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5.xml.rels" ContentType="application/vnd.openxmlformats-package.relationships+xml"/>
  <Override PartName="/xl/worksheets/_rels/sheet16.xml.rels" ContentType="application/vnd.openxmlformats-package.relationships+xml"/>
  <Override PartName="/xl/worksheets/_rels/sheet17.xml.rels" ContentType="application/vnd.openxmlformats-package.relationships+xml"/>
  <Override PartName="/xl/worksheets/_rels/sheet18.xml.rels" ContentType="application/vnd.openxmlformats-package.relationships+xml"/>
  <Override PartName="/xl/worksheets/_rels/sheet20.xml.rels" ContentType="application/vnd.openxmlformats-package.relationships+xml"/>
  <Override PartName="/xl/worksheets/_rels/sheet19.xml.rels" ContentType="application/vnd.openxmlformats-package.relationships+xml"/>
  <Override PartName="/xl/worksheets/_rels/sheet21.xml.rels" ContentType="application/vnd.openxmlformats-package.relationships+xml"/>
  <Override PartName="/xl/worksheets/_rels/sheet3.xml.rels" ContentType="application/vnd.openxmlformats-package.relationships+xml"/>
  <Override PartName="/xl/worksheets/_rels/sheet4.xml.rels" ContentType="application/vnd.openxmlformats-package.relationships+xml"/>
  <Override PartName="/xl/worksheets/_rels/sheet22.xml.rels" ContentType="application/vnd.openxmlformats-package.relationships+xml"/>
  <Override PartName="/xl/worksheets/_rels/sheet11.xml.rels" ContentType="application/vnd.openxmlformats-package.relationships+xml"/>
  <Override PartName="/xl/worksheets/_rels/sheet5.xml.rels" ContentType="application/vnd.openxmlformats-package.relationships+xml"/>
  <Override PartName="/xl/worksheets/_rels/sheet6.xml.rels" ContentType="application/vnd.openxmlformats-package.relationships+xml"/>
  <Override PartName="/xl/worksheets/_rels/sheet12.xml.rels" ContentType="application/vnd.openxmlformats-package.relationships+xml"/>
  <Override PartName="/xl/worksheets/_rels/sheet24.xml.rels" ContentType="application/vnd.openxmlformats-package.relationships+xml"/>
  <Override PartName="/xl/worksheets/_rels/sheet10.xml.rels" ContentType="application/vnd.openxmlformats-package.relationships+xml"/>
  <Override PartName="/xl/worksheets/_rels/sheet9.xml.rels" ContentType="application/vnd.openxmlformats-package.relationships+xml"/>
  <Override PartName="/xl/worksheets/_rels/sheet14.xml.rels" ContentType="application/vnd.openxmlformats-package.relationships+xml"/>
  <Override PartName="/xl/worksheets/_rels/sheet8.xml.rels" ContentType="application/vnd.openxmlformats-package.relationships+xml"/>
  <Override PartName="/xl/worksheets/_rels/sheet26.xml.rels" ContentType="application/vnd.openxmlformats-package.relationships+xml"/>
  <Override PartName="/xl/worksheets/_rels/sheet13.xml.rels" ContentType="application/vnd.openxmlformats-package.relationships+xml"/>
  <Override PartName="/xl/worksheets/_rels/sheet7.xml.rels" ContentType="application/vnd.openxmlformats-package.relationships+xml"/>
  <Override PartName="/xl/worksheets/_rels/sheet25.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14.xml" ContentType="application/vnd.openxmlformats-officedocument.spreadsheetml.worksheet+xml"/>
  <Override PartName="/xl/worksheets/sheet8.xml" ContentType="application/vnd.openxmlformats-officedocument.spreadsheetml.worksheet+xml"/>
  <Override PartName="/xl/worksheets/sheet13.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26.xml" ContentType="application/vnd.openxmlformats-officedocument.spreadsheetml.worksheet+xml"/>
  <Override PartName="/xl/worksheets/sheet25.xml" ContentType="application/vnd.openxmlformats-officedocument.spreadsheetml.worksheet+xml"/>
  <Override PartName="/xl/worksheets/sheet24.xml" ContentType="application/vnd.openxmlformats-officedocument.spreadsheetml.worksheet+xml"/>
  <Override PartName="/xl/worksheets/sheet1.xml" ContentType="application/vnd.openxmlformats-officedocument.spreadsheetml.worksheet+xml"/>
  <Override PartName="/xl/worksheets/sheet23.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sharedStrings.xml" ContentType="application/vnd.openxmlformats-officedocument.spreadsheetml.sharedStrings+xml"/>
  <Override PartName="/xl/drawings/drawing13.xml" ContentType="application/vnd.openxmlformats-officedocument.drawing+xml"/>
  <Override PartName="/xl/drawings/drawing4.xml" ContentType="application/vnd.openxmlformats-officedocument.drawing+xml"/>
  <Override PartName="/xl/drawings/drawing9.xml" ContentType="application/vnd.openxmlformats-officedocument.drawing+xml"/>
  <Override PartName="/xl/drawings/drawing18.xml" ContentType="application/vnd.openxmlformats-officedocument.drawing+xml"/>
  <Override PartName="/xl/drawings/drawing20.xml" ContentType="application/vnd.openxmlformats-officedocument.drawing+xml"/>
  <Override PartName="/xl/drawings/drawing12.xml" ContentType="application/vnd.openxmlformats-officedocument.drawing+xml"/>
  <Override PartName="/xl/drawings/drawing3.xml" ContentType="application/vnd.openxmlformats-officedocument.drawing+xml"/>
  <Override PartName="/xl/drawings/drawing8.xml" ContentType="application/vnd.openxmlformats-officedocument.drawing+xml"/>
  <Override PartName="/xl/drawings/drawing17.xml" ContentType="application/vnd.openxmlformats-officedocument.drawing+xml"/>
  <Override PartName="/xl/drawings/drawing23.xml" ContentType="application/vnd.openxmlformats-officedocument.drawing+xml"/>
  <Override PartName="/xl/drawings/drawing22.xml" ContentType="application/vnd.openxmlformats-officedocument.drawing+xml"/>
  <Override PartName="/xl/drawings/drawing21.xml" ContentType="application/vnd.openxmlformats-officedocument.drawing+xml"/>
  <Override PartName="/xl/drawings/drawing19.xml" ContentType="application/vnd.openxmlformats-officedocument.drawing+xml"/>
  <Override PartName="/xl/drawings/drawing1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drawings/drawing14.xml" ContentType="application/vnd.openxmlformats-officedocument.drawing+xml"/>
  <Override PartName="/xl/drawings/drawing6.xml" ContentType="application/vnd.openxmlformats-officedocument.drawing+xml"/>
  <Override PartName="/xl/drawings/drawing15.xml" ContentType="application/vnd.openxmlformats-officedocument.drawing+xml"/>
  <Override PartName="/xl/drawings/drawing10.xml" ContentType="application/vnd.openxmlformats-officedocument.drawing+xml"/>
  <Override PartName="/xl/drawings/drawing1.xml" ContentType="application/vnd.openxmlformats-officedocument.drawing+xml"/>
  <Override PartName="/xl/drawings/drawing7.xml" ContentType="application/vnd.openxmlformats-officedocument.drawing+xml"/>
  <Override PartName="/xl/drawings/drawing16.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ara Baca" sheetId="1" state="visible" r:id="rId3"/>
    <sheet name="Aturan &amp; Tarif" sheetId="2" state="visible" r:id="rId4"/>
    <sheet name="Offshore - Gosford" sheetId="3" state="visible" r:id="rId5"/>
    <sheet name="Offshore - Tasmania Hobart" sheetId="4" state="visible" r:id="rId6"/>
    <sheet name="Offshore - Canberra" sheetId="5" state="visible" r:id="rId7"/>
    <sheet name="Offshore - Armidale" sheetId="6" state="visible" r:id="rId8"/>
    <sheet name="Offshore - Darwin" sheetId="7" state="visible" r:id="rId9"/>
    <sheet name="Offshore - Perth" sheetId="8" state="visible" r:id="rId10"/>
    <sheet name="Offshore - Brisbane" sheetId="9" state="visible" r:id="rId11"/>
    <sheet name="Offshore - Adelaide" sheetId="10" state="visible" r:id="rId12"/>
    <sheet name="Offshore - Sydney" sheetId="11" state="visible" r:id="rId13"/>
    <sheet name="Offshore - Melbourne" sheetId="12" state="visible" r:id="rId14"/>
    <sheet name="Onshore - Sydney" sheetId="13" state="visible" r:id="rId15"/>
    <sheet name="Onshore- Melbourne" sheetId="14" state="visible" r:id="rId16"/>
    <sheet name="Onshore - Adelaide" sheetId="15" state="visible" r:id="rId17"/>
    <sheet name="Onshore - Brisbane" sheetId="16" state="visible" r:id="rId18"/>
    <sheet name="Onshore - Perth" sheetId="17" state="visible" r:id="rId19"/>
    <sheet name="Onshore - Armidale" sheetId="18" state="visible" r:id="rId20"/>
    <sheet name="Onshore - Canberra" sheetId="19" state="visible" r:id="rId21"/>
    <sheet name="Onshore - Tasmania Hobart" sheetId="20" state="visible" r:id="rId22"/>
    <sheet name="Onshore - Darwin (NT)" sheetId="21" state="visible" r:id="rId23"/>
    <sheet name="Onshore - Gosford" sheetId="22" state="visible" r:id="rId24"/>
    <sheet name="ELICOS" sheetId="23" state="visible" r:id="rId25"/>
    <sheet name="Perbandingan Jurusan - Offshore" sheetId="24" state="visible" r:id="rId26"/>
    <sheet name="Perbandingan Jurusan - Onshore" sheetId="25" state="visible" r:id="rId27"/>
    <sheet name="Paket Pathway VET + HE" sheetId="26" state="visible" r:id="rId28"/>
  </sheets>
  <definedNames>
    <definedName function="false" hidden="false" localSheetId="22" name="_xlnm.Print_Area" vbProcedure="false">ELICOS!$A$1:$I$50</definedName>
    <definedName function="false" hidden="false" localSheetId="22" name="_xlnm.Print_Titles" vbProcedure="false">ELICOS!$4:$4</definedName>
    <definedName function="false" hidden="false" localSheetId="9" name="_xlnm.Print_Area" vbProcedure="false">'Offshore - Adelaide'!$A$1:$P$625</definedName>
    <definedName function="false" hidden="false" localSheetId="9" name="_xlnm.Print_Titles" vbProcedure="false">'Offshore - Adelaide'!$5:$5</definedName>
    <definedName function="false" hidden="true" localSheetId="9" name="_xlnm._FilterDatabase" vbProcedure="false">'Offshore - Adelaide'!$A$5:$N$615</definedName>
    <definedName function="false" hidden="false" localSheetId="5" name="_xlnm.Print_Area" vbProcedure="false">'Offshore - Armidale'!$A$1:$P$16</definedName>
    <definedName function="false" hidden="false" localSheetId="5" name="_xlnm.Print_Titles" vbProcedure="false">'Offshore - Armidale'!$5:$5</definedName>
    <definedName function="false" hidden="true" localSheetId="5" name="_xlnm._FilterDatabase" vbProcedure="false">'Offshore - Armidale'!$A$5:$N$8</definedName>
    <definedName function="false" hidden="false" localSheetId="8" name="_xlnm.Print_Area" vbProcedure="false">'Offshore - Brisbane'!$A$1:$P$400</definedName>
    <definedName function="false" hidden="false" localSheetId="8" name="_xlnm.Print_Titles" vbProcedure="false">'Offshore - Brisbane'!$5:$5</definedName>
    <definedName function="false" hidden="true" localSheetId="8" name="_xlnm._FilterDatabase" vbProcedure="false">'Offshore - Brisbane'!$A$5:$N$390</definedName>
    <definedName function="false" hidden="false" localSheetId="4" name="_xlnm.Print_Area" vbProcedure="false">'Offshore - Canberra'!$A$1:$P$155</definedName>
    <definedName function="false" hidden="false" localSheetId="4" name="_xlnm.Print_Titles" vbProcedure="false">'Offshore - Canberra'!$5:$5</definedName>
    <definedName function="false" hidden="true" localSheetId="4" name="_xlnm._FilterDatabase" vbProcedure="false">'Offshore - Canberra'!$A$5:$N$150</definedName>
    <definedName function="false" hidden="false" localSheetId="6" name="_xlnm.Print_Area" vbProcedure="false">'Offshore - Darwin'!$A$1:$P$147</definedName>
    <definedName function="false" hidden="false" localSheetId="6" name="_xlnm.Print_Titles" vbProcedure="false">'Offshore - Darwin'!$5:$5</definedName>
    <definedName function="false" hidden="true" localSheetId="6" name="_xlnm._FilterDatabase" vbProcedure="false">'Offshore - Darwin'!$A$5:$N$139</definedName>
    <definedName function="false" hidden="false" localSheetId="2" name="_xlnm.Print_Area" vbProcedure="false">'Offshore - Gosford'!$A$1:$P$17</definedName>
    <definedName function="false" hidden="false" localSheetId="2" name="_xlnm.Print_Titles" vbProcedure="false">'Offshore - Gosford'!$5:$5</definedName>
    <definedName function="false" hidden="true" localSheetId="2" name="_xlnm._FilterDatabase" vbProcedure="false">'Offshore - Gosford'!$A$5:$N$9</definedName>
    <definedName function="false" hidden="false" localSheetId="11" name="_xlnm.Print_Area" vbProcedure="false">'Offshore - Melbourne'!$A$1:$P$576</definedName>
    <definedName function="false" hidden="false" localSheetId="11" name="_xlnm.Print_Titles" vbProcedure="false">'Offshore - Melbourne'!$5:$5</definedName>
    <definedName function="false" hidden="true" localSheetId="11" name="_xlnm._FilterDatabase" vbProcedure="false">'Offshore - Melbourne'!$A$5:$N$586</definedName>
    <definedName function="false" hidden="false" localSheetId="7" name="_xlnm.Print_Area" vbProcedure="false">'Offshore - Perth'!$A$1:$P$155</definedName>
    <definedName function="false" hidden="false" localSheetId="7" name="_xlnm.Print_Titles" vbProcedure="false">'Offshore - Perth'!$5:$5</definedName>
    <definedName function="false" hidden="true" localSheetId="7" name="_xlnm._FilterDatabase" vbProcedure="false">'Offshore - Perth'!$A$5:$N$149</definedName>
    <definedName function="false" hidden="false" localSheetId="10" name="_xlnm.Print_Area" vbProcedure="false">'Offshore - Sydney'!$A$1:$P$1131</definedName>
    <definedName function="false" hidden="false" localSheetId="10" name="_xlnm.Print_Titles" vbProcedure="false">'Offshore - Sydney'!$5:$5</definedName>
    <definedName function="false" hidden="true" localSheetId="10" name="_xlnm._FilterDatabase" vbProcedure="false">'Offshore - Sydney'!$A$5:$N$1169</definedName>
    <definedName function="false" hidden="false" localSheetId="3" name="_xlnm.Print_Area" vbProcedure="false">'Offshore - Tasmania Hobart'!$A$1:$P$119</definedName>
    <definedName function="false" hidden="false" localSheetId="3" name="_xlnm.Print_Titles" vbProcedure="false">'Offshore - Tasmania Hobart'!$5:$5</definedName>
    <definedName function="false" hidden="true" localSheetId="3" name="_xlnm._FilterDatabase" vbProcedure="false">'Offshore - Tasmania Hobart'!$A$5:$N$111</definedName>
    <definedName function="false" hidden="false" localSheetId="14" name="_xlnm.Print_Area" vbProcedure="false">'Onshore - Adelaide'!$A$1:$O$626</definedName>
    <definedName function="false" hidden="false" localSheetId="14" name="_xlnm.Print_Titles" vbProcedure="false">'Onshore - Adelaide'!$5:$5</definedName>
    <definedName function="false" hidden="true" localSheetId="14" name="_xlnm._FilterDatabase" vbProcedure="false">'Onshore - Adelaide'!$A$5:$M$615</definedName>
    <definedName function="false" hidden="false" localSheetId="17" name="_xlnm.Print_Area" vbProcedure="false">'Onshore - Armidale'!$A$1:$O$16</definedName>
    <definedName function="false" hidden="false" localSheetId="17" name="_xlnm.Print_Titles" vbProcedure="false">'Onshore - Armidale'!$5:$5</definedName>
    <definedName function="false" hidden="true" localSheetId="17" name="_xlnm._FilterDatabase" vbProcedure="false">'Onshore - Armidale'!$A$5:$M$8</definedName>
    <definedName function="false" hidden="false" localSheetId="15" name="_xlnm.Print_Area" vbProcedure="false">'Onshore - Brisbane'!$A$1:$O$398</definedName>
    <definedName function="false" hidden="false" localSheetId="15" name="_xlnm.Print_Titles" vbProcedure="false">'Onshore - Brisbane'!$5:$5</definedName>
    <definedName function="false" hidden="true" localSheetId="15" name="_xlnm._FilterDatabase" vbProcedure="false">'Onshore - Brisbane'!$A$5:$M$389</definedName>
    <definedName function="false" hidden="false" localSheetId="18" name="_xlnm.Print_Area" vbProcedure="false">'Onshore - Canberra'!$A$1:$O$165</definedName>
    <definedName function="false" hidden="false" localSheetId="18" name="_xlnm.Print_Titles" vbProcedure="false">'Onshore - Canberra'!$5:$5</definedName>
    <definedName function="false" hidden="true" localSheetId="18" name="_xlnm._FilterDatabase" vbProcedure="false">'Onshore - Canberra'!$A$5:$M$158</definedName>
    <definedName function="false" hidden="false" localSheetId="20" name="_xlnm.Print_Area" vbProcedure="false">'Onshore - Darwin (NT)'!$A$1:$O$157</definedName>
    <definedName function="false" hidden="false" localSheetId="20" name="_xlnm.Print_Titles" vbProcedure="false">'Onshore - Darwin (NT)'!$5:$5</definedName>
    <definedName function="false" hidden="true" localSheetId="20" name="_xlnm._FilterDatabase" vbProcedure="false">'Onshore - Darwin (NT)'!$A$5:$M$149</definedName>
    <definedName function="false" hidden="false" localSheetId="21" name="_xlnm.Print_Area" vbProcedure="false">'Onshore - Gosford'!$A$1:$O$19</definedName>
    <definedName function="false" hidden="false" localSheetId="21" name="_xlnm.Print_Titles" vbProcedure="false">'Onshore - Gosford'!$5:$5</definedName>
    <definedName function="false" hidden="true" localSheetId="21" name="_xlnm._FilterDatabase" vbProcedure="false">'Onshore - Gosford'!$A$5:$M$9</definedName>
    <definedName function="false" hidden="false" localSheetId="16" name="_xlnm.Print_Area" vbProcedure="false">'Onshore - Perth'!$A$1:$O$161</definedName>
    <definedName function="false" hidden="false" localSheetId="16" name="_xlnm.Print_Titles" vbProcedure="false">'Onshore - Perth'!$5:$5</definedName>
    <definedName function="false" hidden="true" localSheetId="16" name="_xlnm._FilterDatabase" vbProcedure="false">'Onshore - Perth'!$A$5:$M$153</definedName>
    <definedName function="false" hidden="false" localSheetId="12" name="_xlnm.Print_Area" vbProcedure="false">'Onshore - Sydney'!$A$1:$O$1237</definedName>
    <definedName function="false" hidden="false" localSheetId="12" name="_xlnm.Print_Titles" vbProcedure="false">'Onshore - Sydney'!$5:$5</definedName>
    <definedName function="false" hidden="true" localSheetId="12" name="_xlnm._FilterDatabase" vbProcedure="false">'Onshore - Sydney'!$A$5:$M$1254</definedName>
    <definedName function="false" hidden="false" localSheetId="19" name="_xlnm.Print_Area" vbProcedure="false">'Onshore - Tasmania Hobart'!$A$1:$O$126</definedName>
    <definedName function="false" hidden="false" localSheetId="19" name="_xlnm.Print_Titles" vbProcedure="false">'Onshore - Tasmania Hobart'!$5:$5</definedName>
    <definedName function="false" hidden="true" localSheetId="19" name="_xlnm._FilterDatabase" vbProcedure="false">'Onshore - Tasmania Hobart'!$A$5:$M$111</definedName>
    <definedName function="false" hidden="false" localSheetId="13" name="_xlnm.Print_Area" vbProcedure="false">'Onshore- Melbourne'!$A$1:$O$613</definedName>
    <definedName function="false" hidden="false" localSheetId="13" name="_xlnm.Print_Titles" vbProcedure="false">'Onshore- Melbourne'!$5:$5</definedName>
    <definedName function="false" hidden="true" localSheetId="13" name="_xlnm._FilterDatabase" vbProcedure="false">'Onshore- Melbourne'!$A$5:$M$606</definedName>
    <definedName function="false" hidden="false" localSheetId="25" name="_xlnm.Print_Titles" vbProcedure="false">'Paket Pathway VET + HE'!$5:$5</definedName>
    <definedName function="false" hidden="true" localSheetId="25" name="_xlnm._FilterDatabase" vbProcedure="false">'Paket Pathway VET + HE'!$A$5:$P$23</definedName>
    <definedName function="false" hidden="false" localSheetId="23" name="_xlnm.Print_Area" vbProcedure="false">'Perbandingan Jurusan - Offshore'!$A$1:$I$1854</definedName>
    <definedName function="false" hidden="false" localSheetId="23" name="_xlnm.Print_Titles" vbProcedure="false">'Perbandingan Jurusan - Offshore'!$5:$5</definedName>
    <definedName function="false" hidden="true" localSheetId="23" name="_xlnm._FilterDatabase" vbProcedure="false">'Perbandingan Jurusan - Offshore'!$A$5:$I$1854</definedName>
    <definedName function="false" hidden="false" localSheetId="24" name="_xlnm.Print_Area" vbProcedure="false">'Perbandingan Jurusan - Onshore'!$A$1:$I$1916</definedName>
    <definedName function="false" hidden="false" localSheetId="24" name="_xlnm.Print_Titles" vbProcedure="false">'Perbandingan Jurusan - Onshore'!$5:$5</definedName>
    <definedName function="false" hidden="true" localSheetId="24" name="_xlnm._FilterDatabase" vbProcedure="false">'Perbandingan Jurusan - Onshore'!$A$5:$I$1916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<sst xmlns="http://schemas.openxmlformats.org/spreadsheetml/2006/main" count="40468" uniqueCount="4675">
  <si>
    <t xml:space="preserve">CARA BACA - TEG PRICELIST MAIN</t>
  </si>
  <si>
    <t xml:space="preserve">Update: 07/11/2026</t>
  </si>
  <si>
    <t xml:space="preserve">Tab</t>
  </si>
  <si>
    <t xml:space="preserve">Cara Baca | Aturan &amp; Tarif | sheet "Offshore - Kota" &amp; "Onshore - Kota" | ELICOS | Perbandingan Jurusan - Offshore | Perbandingan Jurusan - Onshore | Paket Pathway VET + HE (tiga tab terakhir untuk siswa).</t>
  </si>
  <si>
    <t xml:space="preserve">Kolom sheet kota</t>
  </si>
  <si>
    <t xml:space="preserve">Sekolah &amp; Alamat | Program / Level | Durasi | Periode Bayar | Tuition / Periode | Material Fee | Enrolment Fee | Bayar di Awal (periode) | Estimasi Initial Payment ke Sekolah | OSHC (kisaran) | Visa Fee | Prof. Adm (Offshore) | TOTAL BIAYA AWAL | Catatan Pembayaran. Prof. Adm (Offshore) hanya di sheet Offshore.</t>
  </si>
  <si>
    <t xml:space="preserve">Estimasi Initial Payment</t>
  </si>
  <si>
    <t xml:space="preserve">Tuition / Periode x Bayar di Awal + Material Fee + Enrolment Fee. Bila material ditagih per periode (sesuai bukti/keterangan, atau ditandai "Asumsi"), material ikut dikali Bayar di Awal. Sel kosong dihitung 0 (tetap kosong). Jumlah pasti ikuti offer letter.</t>
  </si>
  <si>
    <t xml:space="preserve">Bayar di Awal</t>
  </si>
  <si>
    <t xml:space="preserve">Urutan: brosur/price list/offer letter &gt; keterangan lama &gt; aturan sektor (VET 1 term; Bachelor ke atas 1 semester = 2 term bila tuition per term, atau 1 trimester). Nilai yang belum didukung dokumen ditulis "Asumsi bayar awal ... - konfirmasi ke sekolah" di Catatan.</t>
  </si>
  <si>
    <t xml:space="preserve">OSHC (kisaran)</t>
  </si>
  <si>
    <t xml:space="preserve">Bulan dibaca otomatis dari kolom Durasi (years x12, months, weeks x12/52, dibulatkan) x tarif Aturan &amp; Tarif B4. Bila teks Durasi tidak terbaca, dipakai angka bulan yang tertulis di rumus. Visa biasanya +2 bulan dari kursus.</t>
  </si>
  <si>
    <t xml:space="preserve">Visa / Prof. Adm / TOTAL</t>
  </si>
  <si>
    <t xml:space="preserve">Visa Fee = B5; Prof. Adm (Offshore) = B6; TOTAL = Initial Payment + OSHC + Visa (+ Prof. Adm Offshore).</t>
  </si>
  <si>
    <t xml:space="preserve">Catatan Pembayaran</t>
  </si>
  <si>
    <t xml:space="preserve">Berisi: "CEK: ..." (masalah aktif - keluar dari tab siswa), PROMO s.d. dd/mm/yyyy, asumsi, status harga, cara hitung tuition/periode, dan "Sumber: ..., dicek dd/mm/yyyy".</t>
  </si>
  <si>
    <t xml:space="preserve">Perbandingan Jurusan - Offshore / Onshore</t>
  </si>
  <si>
    <t xml:space="preserve">Dua tab terpisah: Offshore hanya dari sheet Offshore, Onshore hanya dari sheet Onshore. 8 kolom; satu baris per sekolah per grup Kota &gt; Bidang &gt; Jenjang (istilah bahasa Inggris), program termurah. Peringkat dari estimasi tuition per tahun (kolom bantu tersembunyi I-L). "Biaya belum lengkap" tidak diberi peringkat. Baris yang kemudian diberi "CEK:" di sheet kota langsung tampil "Nonaktif - sedang ditinjau". Paket pathway beda sekolah tidak masuk; lihat tab Paket Pathway VET + HE. Program baru/dihapus perlu tab dibuat ulang.</t>
  </si>
  <si>
    <t xml:space="preserve">Aturan data</t>
  </si>
  <si>
    <t xml:space="preserve">Harga hanya dari sumber resmi; sel kosong = belum tercatat; angka sebagai angka; jangan hapus baris tanpa persetujuan; selisih &gt;30% / sumber pihak ketiga = "CEK: konfirmasi harga ke sekolah".</t>
  </si>
  <si>
    <t xml:space="preserve">Paket Pathway VET + HE</t>
  </si>
  <si>
    <t xml:space="preserve">Paket VET di satu sekolah lalu HE di sekolah lain, dengan dasar pathway resmi. Bagian VET/HE dirumus dari sheet kota; credit transfer hanya dari sumber resmi. Total biaya awal memakai OSHC untuk total durasi paket.</t>
  </si>
  <si>
    <t xml:space="preserve">Nama sekolah</t>
  </si>
  <si>
    <t xml:space="preserve">Nama resmi sesuai CRICOS/situs resmi; kode internal agen (YY, AIG, AIG (ACHIEVA), TAFE) dipindah ke Catatan Pembayaran sebagai "Kode internal: ...".</t>
  </si>
  <si>
    <t xml:space="preserve">ATURAN PAKET CoE &amp; TARIF ACUAN</t>
  </si>
  <si>
    <t xml:space="preserve">Pengaturan</t>
  </si>
  <si>
    <t xml:space="preserve">Nilai</t>
  </si>
  <si>
    <t xml:space="preserve">Keterangan</t>
  </si>
  <si>
    <t xml:space="preserve">Tarif OSHC AHM Single per bulan (AUD)</t>
  </si>
  <si>
    <t xml:space="preserve">TERVERIFIKASI (quote resmi): ahm OSHC Singles di ahmoshc.com.au/get-a-quote, dicek 07/11/2026 (tarif setelah perubahan premi 01/11/2026): cover 01/12/2026-30/11/2027 = AUD 681,40 -&gt; 681,40/12 = AUD 56,78 per bulan (dipakai di B4); cover 01/12/2026-30/11/2028 (24 bulan) = AUD 1.384,10 = 57,67/bulan (termasuk perkiraan kenaikan premi tahun berikutnya). OSHC di pricelist = 56,78 x durasi program (bulan), dibulatkan 2 desimal; untuk paket = durasi keseluruhan paket. Tetap KISARAN: premi akhir mengikuti tanggal cover aktual (biasanya +1/+2 bulan dari akhir kursus, s.d. 15 Maret bila kursus &gt;10 bln berakhir Nov-Des) dan tarif saat pembelian; program &gt;12 bulan bisa sedikit lebih mahal (contoh 24 bulan +1,6%). Harga diskon pihak ketiga (OSHC Australia AUD 660,28/12 bulan) tidak dipakai.</t>
  </si>
  <si>
    <t xml:space="preserve">Biaya visa 500 paspor Indonesia (AUD)</t>
  </si>
  <si>
    <t xml:space="preserve">TERVERIFIKASI (biaya dasar saja): Explanatory Statement F2026L00874 (Home Affairs Legislation Amendment (2026 Measures No. 1) Regulations 2026), item 1222(2)(a)(ib): base application charge Student visa AUD 2.050 untuk pemohon dgn paspor negara di subitem (5A) - Brunei, Kamboja, INDONESIA, Laos, Malaysia, Myanmar, Filipina, Singapura, Thailand, Vietnam; umum AUD 2.500; berlaku 1 Jul 2026. Konsesi juga mencakup pemohon gabungan/anggota keluarga dgn paspor negara tsb. Sumber: https://www.legislation.gov.au/F2026L00874/asmade/2026-06-30/es/original/pdf ; https://www.studyaustralia.gov.au/en/Agent-Hub/agent-news-index/student-visa-application-charge-increase (dicek 29 Okt 2026). Bukan verifikasi total biaya visa: pemohon tambahan, subsequent temporary application charge &amp; biaya lain dihitung terpisah.</t>
  </si>
  <si>
    <t xml:space="preserve">Biaya administrasi (Prof. Adm) offshore (AUD)</t>
  </si>
  <si>
    <t xml:space="preserve">Sesuai pricelist TEG.</t>
  </si>
  <si>
    <t xml:space="preserve">Visa fee sudah dicek di sumber resmi Home Affairs? (Ya / Belum)</t>
  </si>
  <si>
    <t xml:space="preserve">Ya</t>
  </si>
  <si>
    <t xml:space="preserve">Ya = BIAYA DASAR visa 500 pemohon paspor Indonesia AUD 2.050 terverifikasi di dokumen pemerintah (legislation.gov.au F2026L00874, Explanatory Statement, 1222(2)(a)(ib); dicek 29 Okt 2026). Kriteria sumber yang diterima: immi.homeaffairs.gov.au ATAU legislation.gov.au. "Ya" BUKAN verifikasi total biaya visa siswa (dependant, subsequent charge, dll.) dan cek ulang bila ada perubahan regulasi.</t>
  </si>
  <si>
    <t xml:space="preserve">Level AQF</t>
  </si>
  <si>
    <t xml:space="preserve">Angka</t>
  </si>
  <si>
    <t xml:space="preserve">Certificate III</t>
  </si>
  <si>
    <t xml:space="preserve">Certificate IV</t>
  </si>
  <si>
    <t xml:space="preserve">Diploma</t>
  </si>
  <si>
    <t xml:space="preserve">Advanced Diploma</t>
  </si>
  <si>
    <t xml:space="preserve">Bachelor</t>
  </si>
  <si>
    <t xml:space="preserve">Graduate Certificate</t>
  </si>
  <si>
    <t xml:space="preserve">Graduate Diploma</t>
  </si>
  <si>
    <t xml:space="preserve">Master</t>
  </si>
  <si>
    <t xml:space="preserve">ATURAN PAKET (DICEK MANUAL - tab Kursus Individual/Paket CoE sudah dihapus; tidak ada pemeriksaan otomatis lagi)</t>
  </si>
  <si>
    <t xml:space="preserve">1. Semua kursus dari sekolah (provider) yang sama. Paket lintas sekolah bisa saja, tapi harus disetujui dan diterbitkan oleh setiap sekolah - template ini menandainya untuk dicek manual.</t>
  </si>
  <si>
    <t xml:space="preserve">2. Linear: level AQF harus naik di setiap tahap (mis. Cert III -&gt; Cert IV -&gt; Diploma -&gt; Advanced Diploma). Pindah ke level lebih rendah memerlukan visa baru (kondisi visa 8202).</t>
  </si>
  <si>
    <t xml:space="preserve">3. Bidang sama: isi kolom 'Bidang' dengan nama rumpun yang sama untuk kursus yang memang satu jalur (mis. 'Hospitality' untuk Cert IV Kitchen Management dan Diploma of Hospitality Management).</t>
  </si>
  <si>
    <t xml:space="preserve">4. Kursus yang dilarang/ditangguhkan tidak boleh masuk paket maupun tab siswa (daftar kode di A38:A45; tab Perbandingan Jurusan &amp; Paket Pathway menyaring BSB80120 secara otomatis).</t>
  </si>
  <si>
    <t xml:space="preserve">5. Kode CRICOS wajib diisi untuk setiap kursus (cek di cricos.education.gov.au bahwa kursus masih aktif).</t>
  </si>
  <si>
    <t xml:space="preserve">ATURAN YANG TETAP HARUS DICEK MANUAL</t>
  </si>
  <si>
    <t xml:space="preserve">- Paket hanya boleh dijual kalau sekolah memang menawarkannya: minta offer letter / CoE paket resmi. Agen wajib memakai informasi harga yang disetujui sekolah (National Code Standard 1 &amp; 4).</t>
  </si>
  <si>
    <t xml:space="preserve">- Credit transfer (unit yang sama di dua kursus) biasanya memperpendek durasi dan mengurangi biaya - angkanya hanya dari sekolah, isi di kolom Credit transfer &amp; Potongan tuition.</t>
  </si>
  <si>
    <t xml:space="preserve">- Genuine Student: pilihan paket harus masuk akal dengan latar belakang dan tujuan siswa. Paket yang terlalu panjang tanpa alasan jelas berisiko ditolak.</t>
  </si>
  <si>
    <t xml:space="preserve">- Visa diberikan untuk seluruh paket; OSHC wajib menutup seluruh masa visa (biasanya durasi paket + sekitar 2 bulan).</t>
  </si>
  <si>
    <t xml:space="preserve">- Onshore: sejak 2 Okt 2026 sebagian besar pemegang visa sementara harus apply visa 500 dari luar Australia. Naik level AQF hanya dikecualikan bila kursus utama SUDAH SELESAI (HE -&gt; HE harus ke provider pendidikan tinggi). Lihat PANDUAN ONSHORE di baris 48 dan aturan KOMISI onshore transfer di bawahnya.</t>
  </si>
  <si>
    <t xml:space="preserve">Sumber: immi.homeaffairs.gov.au (changes to student visa applications factsheet; kondisi 8202), education.gov.au, thinkhigher.com.au (BSB80120). Diperiksa 29 Okt 2026.</t>
  </si>
  <si>
    <t xml:space="preserve">DAFTAR KODE KURSUS NASIONAL TERLARANG / DITANGGUHKAN (referensi; dipakai penyaring tab siswa)</t>
  </si>
  <si>
    <t xml:space="preserve">Kode kursus nasional</t>
  </si>
  <si>
    <t xml:space="preserve">Sumber &amp; tanggal cek</t>
  </si>
  <si>
    <t xml:space="preserve">BSB80120</t>
  </si>
  <si>
    <t xml:space="preserve">Graduate Diploma of Management (Learning) dari provider VET - registrasi CRICOS ditangguhkan/dibatalkan Sep-Okt 2026</t>
  </si>
  <si>
    <t xml:space="preserve">thinkhigher.com.au (pihak ketiga) - konfirmasi di cricos.education.gov.au; dicek 29 Okt 2026</t>
  </si>
  <si>
    <t xml:space="preserve">PANDUAN ONSHORE: VISA 500 DIAJUKAN DARI DALAM AUSTRALIA (aplikasi yang diajukan sejak 2 Okt 2026)</t>
  </si>
  <si>
    <t xml:space="preserve">Aturan umum: sebagian besar pemegang visa sementara di Australia - termasuk pemegang visa pelajar yang mengajukan visa pelajar baru, dan dependant yang mengajukan sebagai pemohon utama - TIDAK boleh mengajukan visa 500 dari dalam Australia kecuali memenuhi salah satu pengecualian. Aplikasi yang diajukan sebelum 2 Okt 2026 dinilai dengan aturan lama.</t>
  </si>
  <si>
    <t xml:space="preserve">Akibat: aplikasi onshore tanpa pengecualian = TIDAK SAH (invalid). Siswa harus keluar Australia sebelum mengajukan.</t>
  </si>
  <si>
    <t xml:space="preserve">Pengecualian (factsheet Home Affairs):</t>
  </si>
  <si>
    <t xml:space="preserve">a. Naik level AQF: siswa SUDAH MENYELESAIKAN kursus utama (principal course) berlevel AQF dan lanjut ke level AQF lebih tinggi. Bila kursus yang diselesaikan adalah pendidikan tinggi (higher education), kursus berikutnya juga harus pendidikan tinggi dari provider pendidikan tinggi (mis. Bachelor selesai -&gt; Master di universitas boleh; Bachelor selesai -&gt; Graduate Diploma di provider VET tidak memenuhi).</t>
  </si>
  <si>
    <t xml:space="preserve">b. Tambahan waktu studi: butuh paling lama 12 bulan setelah tanggal selesai kursus awal, tetap di provider yang sama. Untuk paket, kursus yang diperpanjang harus kursus utama.</t>
  </si>
  <si>
    <t xml:space="preserve">c. Selesai sekolah (primary/secondary) -&gt; kursus tanpa level AQF (mis. ELICOS).   d. Selesai kursus tanpa level AQF (mis. ELICOS) -&gt; kursus berlevel AQF.</t>
  </si>
  <si>
    <t xml:space="preserve">e. Provider default (siswa tidak bisa melanjutkan karena provider gagal).   f. Disponsori DFAT atau Defence.   g. Mendaftar PhD.   h. Mendaftar sekolah primary/secondary.</t>
  </si>
  <si>
    <t xml:space="preserve">Pemegang visa Student Guardian (590) masih boleh mengajukan 590 lanjutan dari dalam Australia.</t>
  </si>
  <si>
    <t xml:space="preserve">Catatan TEG: "naik level AQF" saja TIDAK cukup. Kursus utama sebelumnya harus SELESAI. Siswa yang pindah sebelum lulus, atau masih di tengah paket, tidak memenuhi pengecualian a. Cek daftar visa terdampak &amp; decision tree "Can I apply in Australia" di situs Home Affairs, dan konfirmasi ke migration agent terdaftar (MARA) sebelum siswa lodge. Subsequent Temporary Application Charge (AUD 700, sebagian pemohon onshore) - cek halaman resmi.</t>
  </si>
  <si>
    <t xml:space="preserve">Sumber: https://immi.homeaffairs.gov.au/Visa-subsite/files/changes-to-student-visa-applications-factsheet.pdf ; https://immi.homeaffairs.gov.au/visas/getting-a-visa/visa-listing/changes-to-student-visa-application-rules-500-590 (update 14 Okt 2026) ; .../what-you-need-to-do (update 7 Okt 2026). Dicek 29 Okt 2026.</t>
  </si>
  <si>
    <t xml:space="preserve">KOMISI AGEN UNTUK ONSHORE TRANSFER</t>
  </si>
  <si>
    <t xml:space="preserve">Aturan: penentu utama adalah TANGGAL SISWA DITERIMA (accepted for enrolment) oleh provider baru, bukan tanggal pindah atau mulai studi. Bila siswa melakukan onshore transfer dan diterima provider baru SETELAH 31 Mar 2026, provider baru DILARANG membayar komisi (uang maupun natura) kepada agen. Bila diterima PADA ATAU SEBELUM 31 Mar 2026, komisi tetap boleh walau pindah/mulai studi setelah tanggal itu.</t>
  </si>
  <si>
    <t xml:space="preserve">Onshore transfer = siswa pindah dari satu provider ke provider lain setelah mulai studi di Australia dan SEBELUM menyelesaikan kursus utama (principal course). Tetap dihitung transfer walau enrolment dibatalkan, siswa withdraw, atau siswa berada di antara kursus dalam paket tanpa menyelesaikan kursus utama.</t>
  </si>
  <si>
    <t xml:space="preserve">Komisi MASIH BOLEH untuk: (1) enrolment awal siswa di provider Australia; (2) progresi dalam paket yang provider &amp; kursusnya tercantum di CoE siswa (mis. ELICOS di Provider A -&gt; degree di Provider B, keduanya di CoE) - tidak untuk kursus yang tidak tercantum di CoE; (3) siswa yang diterima (accepted for enrolment) oleh provider baru pada atau sebelum 31 Mar 2026, walau mulai belakangan - cicilan komisi sesuai kontrak lama boleh dibayar; (4) studi lanjut di provider baru SETELAH kursus utama selesai (mis. Bachelor selesai -&gt; Master di provider lain).</t>
  </si>
  <si>
    <t xml:space="preserve">Agen tetap boleh: memberi saran kepada siswa yang ingin pindah; menarik biaya jasa langsung dari siswa; memberi saran gratis sebagai bagian layanan.</t>
  </si>
  <si>
    <t xml:space="preserve">Catatan TEG: untuk siswa onshore, cek dulu (a) apakah kursus utama sudah selesai dan (b) tanggal "accepted for enrolment" di offer letter. Jangan cantumkan komisi dalam perhitungan bila termasuk onshore transfer.</t>
  </si>
  <si>
    <t xml:space="preserve">Dasar: ESOS Act 2000 &amp; National Code 2018 (Standard 7 - transfer). Sumber resmi: https://www.studyaustralia.gov.au/en/Agent-Hub/agent-news-index/new-rules-on-agent-commissions-for-onshore-student-transfers (Department of Education, Study Australia Agent Hub). Fact sheet education.gov.au "education agents and commissions" tidak bisa dibuka otomatis - baca manual. Dicek 29 Okt 2026.</t>
  </si>
  <si>
    <t xml:space="preserve">PEMBATASAN TRANSFER PROVIDER (RESTRICTED PERIOD) - TERPISAH DARI ATURAN KOMISI</t>
  </si>
  <si>
    <t xml:space="preserve">Siswa non-sekolah (VET/HE/ELICOS): mulai 2 Okt 2026 s.d. 30 Jun 2027 (inklusif), provider penerima umumnya TIDAK BOLEH menerima siswa yang pindah dari provider lain sebelum siswa menyelesaikan 12 bulan pertama kursus utama (principal course) di provider asal, kecuali ada pengecualian. Mulai 1 Jul 2027 kembali menjadi 6 bulan. Berlaku juga untuk siswa yang sudah studi 6-12 bulan saat aturan mulai.</t>
  </si>
  <si>
    <t xml:space="preserve">Siswa sektor sekolah: tetap 6 bulan pertama kursus sekolah terdaftar pertama, kecuali ada pengecualian.</t>
  </si>
  <si>
    <t xml:space="preserve">Pengecualian (Standard 7.1A): (a) provider asal atau kursusnya tidak lagi terdaftar; (b) sanksi ESOS agency mencegah siswa melanjutkan di provider asal; (c) provider asal memberi release (letter of release) dan mencatat tanggal efektif &amp; alasan di PRISMS sesuai kebijakan Standard 7.2; (d) sponsor pemerintah menilai transfer demi kepentingan terbaik siswa dan memberi dukungan tertulis.</t>
  </si>
  <si>
    <t xml:space="preserve">Catatan TEG: sebelum memproses siswa onshore pindah sekolah, cek (1) sudah berapa bulan di kursus utama, (2) ada letter of release atau pengecualian lain, (3) aturan komisi transfer di atas (terpisah), (4) aturan visa onshore 2 Okt 2026.</t>
  </si>
  <si>
    <t xml:space="preserve">Sumber: National Code of Practice for Providers of Education and Training to Overseas Students Amendment (Overseas Student Transfers) Instrument 2026, F2026L01351 (ringkasan Migration Alliance, dicek 06/11/2026; konfirmasi teks resmi di legislation.gov.au). Halaman education.gov.au/esos-framework/changes-legislative-framework-overseas-students: menurut audit 06/11/2026 kini memuat aturan transfer; saat dicek Claude 07/11/2026 isi yang terbaca belum memuatnya - pakai teks resmi legislation.gov.au (F2026L01351) sebagai acuan.</t>
  </si>
  <si>
    <t xml:space="preserve">OFFSHORE - GOSFORD</t>
  </si>
  <si>
    <t xml:space="preserve">Pricelist TALENTED EDUCATION GROUP PTY LTD  |  Semua harga dalam AUD  |  Harga: update 12 Sep 2026, sebagian diverifikasi 28 Okt 2026 (lihat kolom Verifikasi Harga)  |  DRAFT INTERNAL - konfirmasi dengan offer letter sebelum quotation</t>
  </si>
  <si>
    <t xml:space="preserve">Hijau = estimasi dibayar ke sekolah untuk secure CoE   |   Kuning = total biaya awal (sekolah + OSHC + visa + Prof. Adm)   |   Oranye = perlu dicek</t>
  </si>
  <si>
    <t xml:space="preserve">Sekolah &amp; Alamat</t>
  </si>
  <si>
    <t xml:space="preserve">Program / Level</t>
  </si>
  <si>
    <t xml:space="preserve">Durasi</t>
  </si>
  <si>
    <t xml:space="preserve">Periode Bayar</t>
  </si>
  <si>
    <t xml:space="preserve">Tuition / Periode</t>
  </si>
  <si>
    <t xml:space="preserve">Material Fee</t>
  </si>
  <si>
    <t xml:space="preserve">Enrolment Fee</t>
  </si>
  <si>
    <t xml:space="preserve">Bayar di Awal (periode)</t>
  </si>
  <si>
    <t xml:space="preserve">Estimasi Initial Payment ke Sekolah</t>
  </si>
  <si>
    <t xml:space="preserve">Visa Fee</t>
  </si>
  <si>
    <t xml:space="preserve">Prof. Adm (Offshore)</t>
  </si>
  <si>
    <t xml:space="preserve">TOTAL BIAYA AWAL</t>
  </si>
  <si>
    <t xml:space="preserve">Novus College
Suite 5, Level 1, 153 Mann Street, Gosford NSW 2250</t>
  </si>
  <si>
    <t xml:space="preserve">Cert IV in Kitchen Management + Dip of Hospitaity Management</t>
  </si>
  <si>
    <t xml:space="preserve">2 years</t>
  </si>
  <si>
    <t xml:space="preserve">Term</t>
  </si>
  <si>
    <t xml:space="preserve">CEK: Kampus terdaftar Novus: Gosford (153 Mann St), Ultimo (Level 3, Suites 3.09-3.11, 22-36 Mountain St), Perth (Unit 53, 188 Newcastle St) - konfirmasi alamat workshop/lainnya.; Harga belum dicek ke sumber resmi</t>
  </si>
  <si>
    <t xml:space="preserve">Dip + Adv Dip of Hospitaity Management</t>
  </si>
  <si>
    <t xml:space="preserve">CEK: Kampus terdaftar Novus: Gosford (153 Mann St), Ultimo (Level 3, Suites 3.09-3.11, 22-36 Mountain St), Perth (Unit 53, 188 Newcastle St) - konfirmasi alamat workshop/lainnya [berlaku untuk semua program terkait; asal Offshore - Gosford r6]; Harga belum dicek ke sumber resmi</t>
  </si>
  <si>
    <t xml:space="preserve">Adv Dip of Community Sector Management</t>
  </si>
  <si>
    <t xml:space="preserve">1,5 years</t>
  </si>
  <si>
    <t xml:space="preserve">CEK: Kampus terdaftar Novus: Gosford (153 Mann St), Ultimo (Level 3, Suites 3.09-3.11, 22-36 Mountain St), Perth (Unit 53, 188 Newcastle St) - konfirmasi alamat workshop/lainnya [berlaku untuk semua program terkait; asal Offshore - Gosford r6]; CEK: Lebih murah dari harga publik (~3,417/periode): pastikan ini harga agen/promo yang berlaku. Dicocokkan dicek 30/10/2026: selisih 41.5% - tidak ada skema resmi ditemukan; tetap perlu dokumen agen/promo bertanggal; Harga agen: dokumen price list agen belum dilampirkan; Lebih murah dari harga publik - kemungkinan harga agen/promo (tidak diubah); Cara hitung tuition/periode: Hitung: total/tahunan ÷ N; Sumber: https://www.oneuedu.com/en-US/schools/novus-education-03966K, dicek 29/10/2026</t>
  </si>
  <si>
    <t xml:space="preserve">Adv Dip of Civil Construction Design</t>
  </si>
  <si>
    <t xml:space="preserve">CEK: Kampus terdaftar Novus: Gosford (153 Mann St), Ultimo (Level 3, Suites 3.09-3.11, 22-36 Mountain St), Perth (Unit 53, 188 Newcastle St) - konfirmasi alamat workshop/lainnya [berlaku untuk semua program terkait; asal Offshore - Gosford r6]; CEK: Lebih murah dari harga publik (~3,275/periode): pastikan ini harga agen/promo yang berlaku. Dicocokkan dicek 30/10/2026: selisih 32.8% - tidak ada skema resmi ditemukan; tetap perlu dokumen agen/promo bertanggal; Harga agen: dokumen price list agen belum dilampirkan; Lebih murah dari harga publik - kemungkinan harga agen/promo (tidak diubah); Cara hitung tuition/periode: Hitung: total/tahunan ÷ N; Sumber: https://www.oneuedu.com/en-US/schools/novus-education-03966K, dicek 29/10/2026</t>
  </si>
  <si>
    <t xml:space="preserve">• Estimasi Initial Payment ke Sekolah = Tuition per periode x jumlah periode yang dibayar di awal + Material Fee + Enrolment Fee. Jumlah pasti untuk CoE mengikuti offer letter / ketentuan sekolah (mis. material fee yang ditagih per term).</t>
  </si>
  <si>
    <t xml:space="preserve">• Material / Enrolment Fee kosong = belum tercatat di pricelist, bukan berarti gratis. Konfirmasi ke sekolah sebelum membuat quotation.</t>
  </si>
  <si>
    <t xml:space="preserve">• Visa Fee AUD 2.050 = estimasi biaya visa 500 untuk pemohon paspor Indonesia (kategori konsesi ASEAN, sejak 1 Juli 2026; surcharge kartu Home Affairs dihentikan sejak 1 Okt 2026). Tarif umum AUD 2.500; ada tarif konsesi untuk kategori pemohon tertentu (antara lain paspor ASEAN), jadi tarif mengikuti kategori pemohon, bukan hanya ASEAN/non-ASEAN. Status: BELUM terverifikasi di situs resmi Home Affairs - cek sebelum quotation.</t>
  </si>
  <si>
    <t xml:space="preserve">• Kolom Verifikasi Harga: Sesuai resmi / Diperbarui = sudah dicocokkan dengan sumber resmi sekolah (28 Okt 2026); Harga agen? = lebih murah dari harga publik; Konfirmasi = berbeda dari sumber resmi; Belum dicek = belum ada sumber resmi yang bisa dibaca.</t>
  </si>
  <si>
    <t xml:space="preserve">• OSHC = AUD 56,78/bulan x durasi program (bulan); untuk paket = durasi keseluruhan paket. Tarif dari quote resmi ahm OSHC Singles 12 bulan AUD 681,40 (dicek 07/11/2026); tetap kisaran. OSHC merupakan perkiraan berdasarkan durasi studi. Premi akhir mengikuti tarif saat pembelian dan tanggal perlindungan yang diperlukan, yang dapat lebih panjang daripada durasi sekolah.</t>
  </si>
  <si>
    <t xml:space="preserve">• NOTED: ONSHORE application (sambung visa kedua kali dan seterusnya ada biaya tambahan berupa Subsequent fee dari imigrasi (Sesuai rate terupdate)</t>
  </si>
  <si>
    <t xml:space="preserve">• Catatan: Harga bisa berubah kapan saja tanpa ada pemberitahuan</t>
  </si>
  <si>
    <t xml:space="preserve">OFFSHORE - TASMANIA HOBART</t>
  </si>
  <si>
    <t xml:space="preserve">Australian Ideal College (AIC)
GRD Floor, 116 Murray Street, Hobart TAS 7000 Australia</t>
  </si>
  <si>
    <t xml:space="preserve">Dip + Adv Dip of Hospitality Management</t>
  </si>
  <si>
    <t xml:space="preserve">3 years</t>
  </si>
  <si>
    <t xml:space="preserve">CEK: Sebagian sesuai sumber resmi: Paket: hanya komponen Adv Dip bisa dicek: 7.000/4 = 1.750 sesuai untuk Adelaide/Sydney &amp; Hobart onshore; Hobart offshore 2.250 lebih tinggi. Komponen Diploma ti | Data terdaftar: 114 Murray St (bukan 116) - konfirmasi.; Tuition total/tahunan belum terbukti cocok dengan sumber resmi; Harga sebagian sesuai sumber resmi; Cara hitung tuition/periode: Hitung: total/tahunan ÷ N; Sumber: https://www.oneuedu.com/en-US/schools/australian-ideal-college-aic-03053G, dicek 29/10/2026</t>
  </si>
  <si>
    <t xml:space="preserve">Dip of Interpreting (Spoken Language) + Adv Dip of Translating ($5000/term in Adv Dip)</t>
  </si>
  <si>
    <t xml:space="preserve">1 year</t>
  </si>
  <si>
    <t xml:space="preserve">Tuition beda per level, lihat keterangan di kolom Program; Harga belum dicek ke sumber resmi</t>
  </si>
  <si>
    <t xml:space="preserve">Australian Sovereign College (AuSC)
212A Liverpool Street, Hobart TAS 7000</t>
  </si>
  <si>
    <t xml:space="preserve">Cert III in Individual Support + Cert IV in Disability Support</t>
  </si>
  <si>
    <t xml:space="preserve">Harga belum dicek ke sumber resmi</t>
  </si>
  <si>
    <t xml:space="preserve">Cert III in Individual Support + Cert IV in Disability Support + Dip of Community Services</t>
  </si>
  <si>
    <t xml:space="preserve">3,5 years</t>
  </si>
  <si>
    <t xml:space="preserve">Cert III in Individual Support + Cert IV in Disability Support + Dip of Community Services (Fast Track)</t>
  </si>
  <si>
    <t xml:space="preserve">2,5 years</t>
  </si>
  <si>
    <t xml:space="preserve">Cert III in Individual Support + Dip of Community Services</t>
  </si>
  <si>
    <t xml:space="preserve">Cert III in Individual Support + Dip of Community Services (Fast Track)</t>
  </si>
  <si>
    <t xml:space="preserve">Dip of Community Services + Adv Dip of Community Sector Management</t>
  </si>
  <si>
    <t xml:space="preserve">Dip of Community Services + Adv Dip of Community Sector Management (Fast Track)</t>
  </si>
  <si>
    <t xml:space="preserve">Cert III in Carpentry + Dip of Building and Construction (Building)</t>
  </si>
  <si>
    <t xml:space="preserve">Cert III in Painting and Decorating + Dip of Building and Construction (Building)</t>
  </si>
  <si>
    <t xml:space="preserve">Dip + Adv Dip of Leadership and Management</t>
  </si>
  <si>
    <t xml:space="preserve">Cert III in Commercial Cokery + Cert IV in Kitchen Management</t>
  </si>
  <si>
    <t xml:space="preserve">Cert III in Commercial Cokery + Cert IV in Kitchen Management + Dip of Hospitality Management</t>
  </si>
  <si>
    <t xml:space="preserve">Cert IV in Kitchen Management + Dip of Hospitality Management</t>
  </si>
  <si>
    <t xml:space="preserve">University of Tasmania (UTAS)
Churchill Avenue, Sandy Bay, Hobart, TAS 7005---------------Inveresk Precinct, 2 Invermay Road, Launceston, Tasmania.--------------------------West Park Precinct, 4–8 Bass Highway, Burnie, TAS 7320</t>
  </si>
  <si>
    <t xml:space="preserve">Dip of Legal Studies</t>
  </si>
  <si>
    <t xml:space="preserve">CEK: konfirmasi harga ke sekolah (harga beda dengan sumber resmi); Scholarship from Provider / University: Belum Termasuk Bea Siswa: 20%/30%/50%; Scholarship from Agent: Start from 2nd payment $350; CEK: Harga di sini 9,738 lebih mahal dari harga resmi ~8,862/periode - konfirmasi ke sekolah sebelum dipakai. Resmi 2026: $35,450/tahun (Diploma of Legal Studies), kampus Hobart, Launceston, Online. Asumsi periode TEG = 1/4 tahun (pola: harga list x4 = biaya tahunan; 2;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</si>
  <si>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Bachelor of Business - Business Law</t>
  </si>
  <si>
    <t xml:space="preserve">Scholarship from Provider / University: Belum Termasuk Bea Siswa: 20%/30%/50%; Scholarship from Agent: Start from 2nd payment $350; Material/enrolment belum tercatat (material+enrolment; dihitung 0 di Estimasi Initial Payment); Harga sebagian sesuai sumber resmi; Cara hitung tuition/periode: Hitung: total/tahunan ÷ N; Sumber: https://www.utas.edu.au/courses/b3a (fee 2027, dicek 29 Okt 2026), dicek 29/10/2026</t>
  </si>
  <si>
    <t xml:space="preserve">Bachelor of Economics - Business Law</t>
  </si>
  <si>
    <t xml:space="preserve">CEK: konfirmasi harga ke sekolah (harga beda dengan sumber resmi); Scholarship from Provider / University: Belum Termasuk Bea Siswa: 20%/30%/50%; Scholarship from Agent: Start from 2nd payment $350; CEK: Harga di sini 9,612 lebih mahal dari harga resmi ~8,862/periode - konfirmasi ke sekolah sebelum dipakai. Resmi 2026: $35,450/tahun (Bachelor of Economics), kampus Hobart, Online. Asumsi periode TEG = 1/4 tahun (pola: harga list x4 = biaya tahunan; 2 term = 1 semest;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</si>
  <si>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Bachelor of Laws</t>
  </si>
  <si>
    <t xml:space="preserve">Scholarship from Provider / University: Belum Termasuk Bea Siswa: 20%/30%/50%; Scholarship from Agent: Start from 2nd payment $350; Material/enrolment belum tercatat (material+enrolment; dihitung 0 di Estimasi Initial Payment); Harga sebagian sesuai sumber resmi; Cara hitung tuition/periode: Hitung: total/tahunan ÷ N; Sumber: https://www.utas.edu.au/courses/arts-soc/courses/l3c-bachelor-of-laws?year=2027 (fee 2027, dicek 29 Okt 2026), dicek 29/10/2026</t>
  </si>
  <si>
    <t xml:space="preserve">Graduate Certificate in Professional Accounting</t>
  </si>
  <si>
    <t xml:space="preserve">0,5 years</t>
  </si>
  <si>
    <t xml:space="preserve">CEK: konfirmasi harga ke sekolah (harga beda dengan sumber resmi); Scholarship from Provider / University: Belum Termasuk Bea Siswa: 20%/30%/50%; Scholarship from Agent: Start from 2nd payment $350; CEK: Harga di sini 10,812 lebih mahal dari harga resmi ~9,988/periode - konfirmasi ke sekolah sebelum dipakai. Resmi 2026: $19,975 untuk Grad Cert (setengah tahun FT); setara tahunan 19,975x2 = 39,950; /4 = 9,987.50 per periode TEG (asumsi 4 periode/thn, 2 periode = 1 se;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</si>
  <si>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Graduate Diploma of Legal Practice</t>
  </si>
  <si>
    <t xml:space="preserve">Scholarship from Provider / University: Belum Termasuk Bea Siswa: 20%/30%/50%; Scholarship from Agent: Start from 2nd payment $350; CEK: Sebagian sesuai sumber resmi: Resmi 2026: $25,450/tahun, kampus Hobart. Asumsi periode TEG = 1/4 tahun (pola: harga list x4 = biaya tahunan; 2 term = 1 semester): 25,450/4 = 6,362.50. Harga; Material/enrolment belum tercatat (material+enrolment; dihitung 0 di Estimasi Initial Payment); Tuition total/tahunan belum terbukti cocok dengan sumber resmi; Harga sebagian sesuai sumber resmi; Cara hitung tuition/periode: Hitung: total/tahunan ÷ N; Sumber: https://utas-prod-web.squiz.cloud/__data/assets/pdf_file/0003/1807005/university-of-tasmania-international-course-guide-2026.pdf, dicek 29/10/2026</t>
  </si>
  <si>
    <t xml:space="preserve">Graduate Diploma of Professional Accounting</t>
  </si>
  <si>
    <t xml:space="preserve">CEK: konfirmasi harga ke sekolah (harga beda dengan sumber resmi); Scholarship from Provider / University: Belum Termasuk Bea Siswa: 20%/30%/50%; Scholarship from Agent: Start from 2nd payment $350; CEK: Harga di sini 11,062 lebih mahal dari harga resmi ~10,238/periode - konfirmasi ke sekolah sebelum dipakai. Resmi 2026: $40,950/tahun, kampus Hobart, Online. Asumsi periode TEG = 1/4 tahun (pola: harga list x4 = biaya tahunan; 2 term = 1 semester): 40,950/4 = 10,237.5;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</si>
  <si>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Master of Business Administration (Global)</t>
  </si>
  <si>
    <t xml:space="preserve">CEK: konfirmasi harga ke sekolah (harga beda dengan sumber resmi); Scholarship from Provider / University: Belum Termasuk Bea Siswa: 20%/30%/50%; Scholarship from Agent: Start from 2nd payment $350; CEK: Harga di sini 8,803 lebih mahal dari harga resmi ~8,110/periode - konfirmasi ke sekolah sebelum dipakai. Resmi 2026: $32,438/tahun, kampus Hobart. Asumsi periode TEG = 1/4 tahun (pola: harga list x4 = biaya tahunan; 2 term = 1 semester): 32,438/4 = 8,109.50. Harga;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</si>
  <si>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Master of Professional Accounting</t>
  </si>
  <si>
    <t xml:space="preserve">Scholarship from Provider / University: Belum Termasuk Bea Siswa: 20%/30%/50%; Scholarship from Agent: Start from 2nd payment $350; Material/enrolment belum tercatat (material+enrolment; dihitung 0 di Estimasi Initial Payment); Harga sebagian sesuai sumber resmi; Cara hitung tuition/periode: Hitung: total/tahunan ÷ N; Sumber: https://www.utas.edu.au/courses/c7s (fee 2027, dicek 29 Okt 2026), dicek 29/10/2026</t>
  </si>
  <si>
    <t xml:space="preserve">Diploma of Fine Arts</t>
  </si>
  <si>
    <t xml:space="preserve">CEK: konfirmasi harga ke sekolah (harga beda dengan sumber resmi); Scholarship from Provider / University: Belum Termasuk Bea Siswa: 20%/30%/50%; Scholarship from Agent: Start from 2nd payment $350; CEK: Harga di sini 10,062 lebih mahal dari harga resmi ~9,112/periode - konfirmasi ke sekolah sebelum dipakai. Resmi 2026: $36,450/tahun, kampus Hobart, Launceston. Asumsi periode TEG = 1/4 tahun (pola: harga list x4 = biaya tahunan; 2 term = 1 semester): 36,450/4 = 9,11;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</si>
  <si>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Bachelor of Architecture and Built Environments</t>
  </si>
  <si>
    <t xml:space="preserve">CEK: konfirmasi harga ke sekolah (harga beda dengan sumber resmi); Scholarship from Provider / University: Belum Termasuk Bea Siswa: 20%/30%/50%; Scholarship from Agent: Start from 2nd payment $350; CEK: Harga di sini 10,488 lebih mahal dari harga resmi ~9,488/periode - konfirmasi ke sekolah sebelum dipakai. Resmi 2026: $37,950/tahun, kampus Launceston. Asumsi periode TEG = 1/4 tahun (pola: harga list x4 = biaya tahunan; 2 term = 1 semester): 37,950/4 = 9,487.50. Ha;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</si>
  <si>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Bachelor of Media and Communication</t>
  </si>
  <si>
    <t xml:space="preserve">CEK: konfirmasi harga ke sekolah (harga beda dengan sumber resmi); Scholarship from Provider / University: Belum Termasuk Bea Siswa: 20%/30%/50%; Scholarship from Agent: Start from 2nd payment $350; CEK: Harga di sini 9,862 lebih mahal dari harga resmi ~9,112/periode - konfirmasi ke sekolah sebelum dipakai. Resmi 2026: $36,450/tahun, kampus Hobart. Asumsi periode TEG = 1/4 tahun (pola: harga list x4 = biaya tahunan; 2 term = 1 semester): 36,450/4 = 9,112.50. Harga;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</si>
  <si>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Bachelor of Design</t>
  </si>
  <si>
    <t xml:space="preserve">CEK: konfirmasi harga ke sekolah (harga beda dengan sumber resmi); Scholarship from Provider / University: Belum Termasuk Bea Siswa: 20%/30%/50%; Scholarship from Agent: Start from 2nd payment $350; CEK: Harga di sini 9,562 lebih mahal dari harga resmi ~8,738/periode - konfirmasi ke sekolah sebelum dipakai. Resmi 2026: $34,950/tahun, kampus Hobart, Launceston. Asumsi periode TEG = 1/4 tahun (pola: harga list x4 = biaya tahunan; 2 term = 1 semester): 34,950/4 = 8,73;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</si>
  <si>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Bachelor of Fine Arts</t>
  </si>
  <si>
    <t xml:space="preserve">Scholarship from Provider / University: Belum Termasuk Bea Siswa: 20%/30%/50%; Scholarship from Agent: Start from 2nd payment $350; Material/enrolment belum tercatat (material+enrolment; dihitung 0 di Estimasi Initial Payment); Harga sebagian sesuai sumber resmi; Cara hitung tuition/periode: Hitung: total/tahunan ÷ N; Sumber: https://www.utas.edu.au/courses/13r (fee 2027, dicek 29 Okt 2026), dicek 29/10/2026</t>
  </si>
  <si>
    <t xml:space="preserve">Bachelor of Music</t>
  </si>
  <si>
    <t xml:space="preserve">CEK: konfirmasi harga ke sekolah (harga beda dengan sumber resmi); Scholarship from Provider / University: Belum Termasuk Bea Siswa: 20%/30%/50%; Scholarship from Agent: Start from 2nd payment $350; CEK: Harga di sini 10,062 lebih mahal dari harga resmi ~9,112/periode - konfirmasi ke sekolah sebelum dipakai. Resmi 2026: $36,450/tahun, kampus Hobart. Asumsi periode TEG = 1/4 tahun (pola: harga list x4 = biaya tahunan; 2 term = 1 semester): 36,450/4 = 9,112.50. Harga;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</si>
  <si>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Master of Architecture</t>
  </si>
  <si>
    <t xml:space="preserve">CEK: konfirmasi harga ke sekolah (harga beda dengan sumber resmi); Scholarship from Provider / University: Belum Termasuk Bea Siswa: 20%/30%/50%; Scholarship from Agent: Start from 2nd payment $350; CEK: Harga di sini 10,988 lebih mahal dari harga resmi ~9,988/periode - konfirmasi ke sekolah sebelum dipakai. Resmi 2026: $39,950/tahun, kampus Launceston. Asumsi periode TEG = 1/4 tahun (pola: harga list x4 = biaya tahunan; 2 term = 1 semester): 39,950/4 = 9,987.50. Ha;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</si>
  <si>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Diploma of Global Logistics and Maritime Management</t>
  </si>
  <si>
    <t xml:space="preserve">CEK: konfirmasi harga ke sekolah (harga beda dengan sumber resmi); Scholarship from Provider / University: Belum Termasuk Bea Siswa: 20%/30%/50%; Scholarship from Agent: Start from 2nd payment $350; CEK: Harga di sini 9,488 lebih mahal dari harga resmi ~8,612/periode - konfirmasi ke sekolah sebelum dipakai. Resmi 2026: $34,450/tahun, kampus Launceston, Online. Asumsi periode TEG = 1/4 tahun (pola: harga list x4 = biaya tahunan; 2 term = 1 semester): 34,450/4 = 8,61;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</si>
  <si>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Advanced Diploma of Applied Science (Marine Engineering)</t>
  </si>
  <si>
    <t xml:space="preserve">CEK: konfirmasi harga ke sekolah (harga beda dengan sumber resmi); Scholarship from Provider / University: Belum Termasuk Bea Siswa: 20%/30%/50%; Scholarship from Agent: Start from 2nd payment $350; CEK: Harga di sini 6,812 lebih mahal dari harga resmi ~4,325/periode - konfirmasi ke sekolah sebelum dipakai. Resmi 2026: $17,300/tahun, kampus Launceston. Asumsi periode TEG = 1/4 tahun (pola: harga list x4 = biaya tahunan; 2 term = 1 semester): 17,300/4 = 4,325.00. Ha;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</si>
  <si>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Advanced Diploma of Applied Science (Nautical Science)</t>
  </si>
  <si>
    <t xml:space="preserve">CEK: konfirmasi harga ke sekolah (harga beda dengan sumber resmi); Scholarship from Provider / University: Belum Termasuk Bea Siswa: 20%/30%/50%; Scholarship from Agent: Start from 2nd payment $350; CEK: Harga di sini 7,362 lebih mahal dari harga resmi ~4,036/periode - konfirmasi ke sekolah sebelum dipakai. Resmi 2026: $16,143/tahun, kampus Launceston. Asumsi periode TEG = 1/4 tahun (pola: harga list x4 = biaya tahunan; 2 term = 1 semester): 16,143/4 = 4,035.75. Ha;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</si>
  <si>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Associate Degree in Global Logistics and Maritime Management</t>
  </si>
  <si>
    <t xml:space="preserve">Bachelor of Agricultural Science</t>
  </si>
  <si>
    <t xml:space="preserve">4 years</t>
  </si>
  <si>
    <t xml:space="preserve">CEK: konfirmasi harga ke sekolah (harga beda dengan sumber resmi); Scholarship from Provider / University: Belum Termasuk Bea Siswa: 20%/30%/50%; Scholarship from Agent: Start from 2nd payment $350; CEK: Harga di sini 11,238 lebih mahal dari harga resmi ~10,238/periode - konfirmasi ke sekolah sebelum dipakai. Resmi 2026: $40,950/tahun (Bachelor of Agricultural Science with Honours), kampus Hobart. Asumsi periode TEG = 1/4 tahun (pola: harga list x4 = biaya tahunan; 2;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</si>
  <si>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Bachelor of Agriculture and Agribusiness</t>
  </si>
  <si>
    <t xml:space="preserve">Scholarship from Provider / University: Belum Termasuk Bea Siswa: 20%/30%/50%; Scholarship from Agent: Start from 2nd payment $350; Material/enrolment belum tercatat (material+enrolment; dihitung 0 di Estimasi Initial Payment); Harga belum dicek ke sumber resmi; Cara hitung tuition/periode: Hitung: total/tahunan ÷ N</t>
  </si>
  <si>
    <t xml:space="preserve">Bachelor of Applied Science (Marine Engineering)</t>
  </si>
  <si>
    <t xml:space="preserve">CEK: konfirmasi harga ke sekolah (harga beda dengan sumber resmi); Scholarship from Provider / University: Belum Termasuk Bea Siswa: 20%/30%/50%; Scholarship from Agent: Start from 2nd payment $350; CEK: Harga di sini 6,812 lebih mahal dari harga resmi ~4,866/periode - konfirmasi ke sekolah sebelum dipakai. Resmi 2026: $19,463/tahun, kampus Launceston, Online. Asumsi periode TEG = 1/4 tahun (pola: harga list x4 = biaya tahunan; 2 term = 1 semester): 19,463/4 = 4,86;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</si>
  <si>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Bachelor of Applied Science (Nautical Science)</t>
  </si>
  <si>
    <t xml:space="preserve">CEK: konfirmasi harga ke sekolah (harga beda dengan sumber resmi); Scholarship from Provider / University: Belum Termasuk Bea Siswa: 20%/30%/50%; Scholarship from Agent: Start from 2nd payment $350; CEK: Harga di sini 7,362 lebih mahal dari harga resmi ~5,297/periode - konfirmasi ke sekolah sebelum dipakai. Resmi 2026: $21,188/tahun, kampus Launceston, Online. Asumsi periode TEG = 1/4 tahun (pola: harga list x4 = biaya tahunan; 2 term = 1 semester): 21,188/4 = 5,29;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</si>
  <si>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Bachelor of Global Logistics and Maritime Management</t>
  </si>
  <si>
    <t xml:space="preserve">Bachelor of Marine and Antarctic Science</t>
  </si>
  <si>
    <t xml:space="preserve">Scholarship from Provider / University: Belum Termasuk Bea Siswa: 20%/30%/50%; Scholarship from Agent: Start from 2nd payment $350; Material/enrolment belum tercatat (material+enrolment; dihitung 0 di Estimasi Initial Payment); Harga sebagian sesuai sumber resmi; Cara hitung tuition/periode: Hitung: total/tahunan ÷ N; Sumber: https://www.utas.edu.au/courses/p3l (fee 2027, dicek 29 Okt 2026), dicek 29/10/2026</t>
  </si>
  <si>
    <t xml:space="preserve">Bachelor of Natural Environments and Conservation</t>
  </si>
  <si>
    <t xml:space="preserve">CEK: konfirmasi harga ke sekolah (harga beda dengan sumber resmi); Scholarship from Provider / University: Belum Termasuk Bea Siswa: 20%/30%/50%; Scholarship from Agent: Start from 2nd payment $350; CEK: Harga di sini 10,862 lebih mahal dari harga resmi ~9,862/periode - konfirmasi ke sekolah sebelum dipakai. Resmi 2026: $39,450/tahun, kampus Hobart. Asumsi periode TEG = 1/4 tahun (pola: harga list x4 = biaya tahunan; 2 term = 1 semester): 39,450/4 = 9,862.50. Harga;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</si>
  <si>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Graduate Diploma of Protected Area Conservation</t>
  </si>
  <si>
    <t xml:space="preserve">Graduate Diploma of Environmental Geospatial Analysis</t>
  </si>
  <si>
    <t xml:space="preserve">Graduate Certificate in Global Logistics and Supply Chain Management</t>
  </si>
  <si>
    <t xml:space="preserve">CEK: konfirmasi harga ke sekolah (harga beda dengan sumber resmi); Scholarship from Provider / University: Belum Termasuk Bea Siswa: 20%/30%/50%; Scholarship from Agent: Start from 2nd payment $350; CEK: Harga di sini 9,988 lebih mahal dari harga resmi ~9,062/periode - konfirmasi ke sekolah sebelum dipakai. Resmi 2026: $18,125 untuk Grad Cert (setengah tahun FT); setara tahunan 18,125x2 = 36,250; /4 = 9,062.50 per periode TEG (asumsi 4 periode/thn, 2 periode = 1 se;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</si>
  <si>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Graduate Certificate in Maritime Management</t>
  </si>
  <si>
    <t xml:space="preserve">CEK: konfirmasi harga ke sekolah (harga beda dengan sumber resmi); Scholarship from Provider / University: Belum Termasuk Bea Siswa: 20%/30%/50%; Scholarship from Agent: Start from 2nd payment $350; CEK: Harga di sini 10,062 lebih mahal dari harga resmi ~9,112/periode - konfirmasi ke sekolah sebelum dipakai. Resmi 2026: $18,225 untuk Grad Cert (setengah tahun FT); setara tahunan 18,225x2 = 36,450; /4 = 9,112.50 per periode TEG (asumsi 4 periode/thn, 2 periode = 1 se;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</si>
  <si>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Graduate Certificate in Maritime Engineering</t>
  </si>
  <si>
    <t xml:space="preserve">Graduate Diploma of Maritime Engineering</t>
  </si>
  <si>
    <t xml:space="preserve">Graduate Diploma of Global Logistics and Supply Chain Management</t>
  </si>
  <si>
    <t xml:space="preserve">CEK: konfirmasi harga ke sekolah (harga beda dengan sumber resmi); Scholarship from Provider / University: Belum Termasuk Bea Siswa: 20%/30%/50%; Scholarship from Agent: Start from 2nd payment $350; CEK: Harga di sini 9,988 lebih mahal dari harga resmi ~9,062/periode - konfirmasi ke sekolah sebelum dipakai. Resmi 2026: $36,250/tahun, kampus Launceston, Online. Asumsi periode TEG = 1/4 tahun (pola: harga list x4 = biaya tahunan; 2 term = 1 semester): 36,250/4 = 9,06;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</si>
  <si>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Graduate Diploma of Marine and Antarctic Science</t>
  </si>
  <si>
    <t xml:space="preserve">CEK: konfirmasi harga ke sekolah (harga beda dengan sumber resmi); Scholarship from Provider / University: Belum Termasuk Bea Siswa: 20%/30%/50%; Scholarship from Agent: Start from 2nd payment $350; CEK: Harga di sini 12,738 lebih mahal dari harga resmi ~11,562/periode - konfirmasi ke sekolah sebelum dipakai. Resmi 2026: $46,250/tahun, kampus Hobart. Asumsi periode TEG = 1/4 tahun (pola: harga list x4 = biaya tahunan; 2 term = 1 semester): 46,250/4 = 11,562.50. Harga;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</si>
  <si>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Graduate Diploma of Maritime Management</t>
  </si>
  <si>
    <t xml:space="preserve">CEK: konfirmasi harga ke sekolah (harga beda dengan sumber resmi); Scholarship from Provider / University: Belum Termasuk Bea Siswa: 20%/30%/50%; Scholarship from Agent: Start from 2nd payment $350; CEK: Harga di sini 10,062 lebih mahal dari harga resmi ~9,112/periode - konfirmasi ke sekolah sebelum dipakai. Resmi 2026: $36,450/tahun, kampus Launceston, Online. Asumsi periode TEG = 1/4 tahun (pola: harga list x4 = biaya tahunan; 2 term = 1 semester): 36,450/4 = 9,11;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</si>
  <si>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Graduate Diploma of Environmental Planning</t>
  </si>
  <si>
    <t xml:space="preserve">CEK: konfirmasi harga ke sekolah (harga beda dengan sumber resmi); Scholarship from Provider / University: Belum Termasuk Bea Siswa: 20%/30%/50%; Scholarship from Agent: Start from 2nd payment $350; CEK: Harga di sini 10,362 lebih mahal dari harga resmi ~9,862/periode - konfirmasi ke sekolah sebelum dipakai. Resmi 2026: $39,450/tahun, kampus Hobart, Online. Asumsi periode TEG = 1/4 tahun (pola: harga list x4 = biaya tahunan; 2 term = 1 semester): 39,450/4 = 9,862.50;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</si>
  <si>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Master of Agriculture and Food Sciences (Specialisation)</t>
  </si>
  <si>
    <t xml:space="preserve">CEK: konfirmasi harga ke sekolah (harga beda dengan sumber resmi); Scholarship from Provider / University: Belum Termasuk Bea Siswa: 20%/30%/50%; Scholarship from Agent: Start from 2nd payment $350; CEK: Harga di sini 9,562 lebih mahal dari harga resmi ~8,738/periode - konfirmasi ke sekolah sebelum dipakai. Resmi 2026: $34,950/tahun, kampus Hobart. Asumsi periode TEG = 1/4 tahun (pola: harga list x4 = biaya tahunan; 2 term = 1 semester): 34,950/4 = 8,737.50. Harga;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</si>
  <si>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Master of Business Administration in Maritime Management</t>
  </si>
  <si>
    <t xml:space="preserve">CEK: konfirmasi harga ke sekolah (harga beda dengan sumber resmi); Scholarship from Provider / University: Belum Termasuk Bea Siswa: 20%/30%/50%; Scholarship from Agent: Start from 2nd payment $350; CEK: Harga di sini 10,238 lebih mahal dari harga resmi ~9,238/periode - konfirmasi ke sekolah sebelum dipakai. Resmi 2026: $36,950/tahun, kampus Launceston, Online. Asumsi periode TEG = 1/4 tahun (pola: harga list x4 = biaya tahunan; 2 term = 1 semester): 36,950/4 = 9,23;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</si>
  <si>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Master of Environmental Geospatial Science</t>
  </si>
  <si>
    <t xml:space="preserve">CEK: konfirmasi harga ke sekolah (harga beda dengan sumber resmi); Scholarship from Provider / University: Belum Termasuk Bea Siswa: 20%/30%/50%; Scholarship from Agent: Start from 2nd payment $350; CEK: Harga di sini 11,238 lebih mahal dari harga resmi ~10,238/periode - konfirmasi ke sekolah sebelum dipakai. Resmi 2026: $40,950/tahun, kampus Hobart. Asumsi periode TEG = 1/4 tahun (pola: harga list x4 = biaya tahunan; 2 term = 1 semester): 40,950/4 = 10,237.50. Harga;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</si>
  <si>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Master of Global Logistics and Supply Chain Management</t>
  </si>
  <si>
    <t xml:space="preserve">Master of Marine and Antarctic Science</t>
  </si>
  <si>
    <t xml:space="preserve">Master of Planning</t>
  </si>
  <si>
    <t xml:space="preserve">CEK: konfirmasi harga ke sekolah (harga beda dengan sumber resmi); Scholarship from Provider / University: Belum Termasuk Bea Siswa: 20%/30%/50%; Scholarship from Agent: Start from 2nd payment $350; CEK: Harga di sini 10,362 lebih mahal dari harga resmi ~9,862/periode - konfirmasi ke sekolah sebelum dipakai. Resmi 2026: $39,450/tahun, kampus Hobart. Asumsi periode TEG = 1/4 tahun (pola: harga list x4 = biaya tahunan; 2 term = 1 semester): 39,450/4 = 9,862.50. Harga;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</si>
  <si>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Master of Protected Area Conservation</t>
  </si>
  <si>
    <t xml:space="preserve">CEK: konfirmasi harga ke sekolah (harga beda dengan sumber resmi); Scholarship from Provider / University: Belum Termasuk Bea Siswa: 20%/30%/50%; Scholarship from Agent: Start from 2nd payment $350; CEK: Harga di sini 10,362 lebih mahal dari harga resmi ~9,562/periode - konfirmasi ke sekolah sebelum dipakai. Resmi 2026: $38,250/tahun, kampus Hobart. Asumsi periode TEG = 1/4 tahun (pola: harga list x4 = biaya tahunan; 2 term = 1 semester): 38,250/4 = 9,562.50. Harga;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</si>
  <si>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Diploma of Arts</t>
  </si>
  <si>
    <t xml:space="preserve">CEK: konfirmasi harga ke sekolah (harga beda dengan sumber resmi); Scholarship from Provider / University: Belum Termasuk Bea Siswa: 20%/30%/50%; Scholarship from Agent: Start from 2nd payment $350; CEK: Harga di sini 10,062 lebih mahal dari harga resmi ~8,562/periode - konfirmasi ke sekolah sebelum dipakai. Resmi 2026: $34,250/tahun, kampus Hobart, Launceston. Asumsi periode TEG = 1/4 tahun (pola: harga list x4 = biaya tahunan; 2 term = 1 semester): 34,250/4 = 8,56;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</si>
  <si>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Associate Degree in Arts</t>
  </si>
  <si>
    <t xml:space="preserve">CEK: konfirmasi harga ke sekolah (harga beda dengan sumber resmi); Scholarship from Provider / University: Belum Termasuk Bea Siswa: 20%/30%/50%; Scholarship from Agent: Start from 2nd payment $350; CEK: Harga di sini 9,312 lebih mahal dari harga resmi ~8,562/periode - konfirmasi ke sekolah sebelum dipakai. Resmi 2026: $34,250/tahun, kampus Hobart, Launceston. Asumsi periode TEG = 1/4 tahun (pola: harga list x4 = biaya tahunan; 2 term = 1 semester): 34,250/4 = 8,56;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</si>
  <si>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Bachelor of Arts</t>
  </si>
  <si>
    <t xml:space="preserve">Bachelor of Education (Primary)</t>
  </si>
  <si>
    <t xml:space="preserve">CEK: konfirmasi harga ke sekolah (harga beda dengan sumber resmi); Scholarship from Provider / University: Belum Termasuk Bea Siswa: 20%/30%/50%; Scholarship from Agent: Start from 2nd payment $350; CEK: Harga di sini 9,562 lebih mahal dari harga resmi ~8,738/periode - konfirmasi ke sekolah sebelum dipakai. Resmi 2026: $34,950/tahun, kampus Launceston. Asumsi periode TEG = 1/4 tahun (pola: harga list x4 = biaya tahunan; 2 term = 1 semester): 34,950/4 = 8,737.50. Ha;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</si>
  <si>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Bachelor of Education (Health and Physical Education)</t>
  </si>
  <si>
    <t xml:space="preserve">Master of Teaching</t>
  </si>
  <si>
    <t xml:space="preserve">2 yeas</t>
  </si>
  <si>
    <t xml:space="preserve">Bachelor of Engineering (Specialisation) with Honours</t>
  </si>
  <si>
    <t xml:space="preserve">CEK: konfirmasi harga ke sekolah (harga beda dengan sumber resmi); Scholarship from Provider / University: Belum Termasuk Bea Siswa: 20%/30%/50%; Scholarship from Agent: Start from 2nd payment $350; CEK: Harga di sini 10,988 lebih mahal dari harga resmi ~10,612/periode - konfirmasi ke sekolah sebelum dipakai. Resmi 2026: $42,447/tahun, kampus Hobart. Asumsi periode TEG = 1/4 tahun (pola: harga list x4 = biaya tahunan; 2 term = 1 semester): 42,447/4 = 10,611.75. Harga;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</si>
  <si>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Bachelor of Science and Bachelor of Engineering (Specialisation) with Honours in Engineering</t>
  </si>
  <si>
    <t xml:space="preserve">5 years</t>
  </si>
  <si>
    <t xml:space="preserve">CEK: konfirmasi harga ke sekolah (harga beda dengan sumber resmi); Scholarship from Provider / University: Belum Termasuk Bea Siswa: 20%/30%/50%; Scholarship from Agent: Start from 2nd payment $350; CEK: Harga di sini 11,238 lebih mahal dari harga resmi ~10,750/periode - konfirmasi ke sekolah sebelum dipakai. Resmi 2026: $42,998/tahun, kampus Hobart. Asumsi periode TEG = 1/4 tahun (pola: harga list x4 = biaya tahunan; 2 term = 1 semester): 42,998/4 = 10,749.50. Harga;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</si>
  <si>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Bachelor of Information and Communication Technology</t>
  </si>
  <si>
    <t xml:space="preserve">CEK: konfirmasi harga ke sekolah (harga beda dengan sumber resmi); Scholarship from Provider / University: Belum Termasuk Bea Siswa: 20%/30%/50%; Scholarship from Agent: Start from 2nd payment $350; CEK: Harga di sini 9,988 lebih mahal dari harga resmi ~9,488/periode - konfirmasi ke sekolah sebelum dipakai. Resmi 2026: $37,950/tahun, kampus Hobart, Launceston. Asumsi periode TEG = 1/4 tahun (pola: harga list x4 = biaya tahunan; 2 term = 1 semester): 37,950/4 = 9,48;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</si>
  <si>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Bachelor of Maritime Engineering (Specialisation) (Honours)</t>
  </si>
  <si>
    <t xml:space="preserve">CEK: konfirmasi harga ke sekolah (harga beda dengan sumber resmi); Scholarship from Provider / University: Belum Termasuk Bea Siswa: 20%/30%/50%; Scholarship from Agent: Start from 2nd payment $350; CEK: Harga di sini 11,988 lebih mahal dari harga resmi ~10,812/periode - konfirmasi ke sekolah sebelum dipakai. Resmi 2026: $43,250/tahun, kampus Launceston. Asumsi periode TEG = 1/4 tahun (pola: harga list x4 = biaya tahunan; 2 term = 1 semester): 43,250/4 = 10,812.50. H;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</si>
  <si>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Bachelor of Science</t>
  </si>
  <si>
    <t xml:space="preserve">Bachelor of Geospatial Science</t>
  </si>
  <si>
    <t xml:space="preserve">Master of Chemistry</t>
  </si>
  <si>
    <t xml:space="preserve">Master of Economic Geology</t>
  </si>
  <si>
    <t xml:space="preserve">CEK: konfirmasi harga ke sekolah (harga beda dengan sumber resmi); Scholarship from Provider / University: Belum Termasuk Bea Siswa: 20%/30%/50%; Scholarship from Agent: Start from 2nd payment $350; CEK: Harga di sini 11,112 lebih mahal dari harga resmi ~10,062/periode - konfirmasi ke sekolah sebelum dipakai. Resmi 2026: $40,250/tahun, kampus Hobart, Online. Asumsi periode TEG = 1/4 tahun (pola: harga list x4 = biaya tahunan; 2 term = 1 semester): 40,250/4 = 10,062.5;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</si>
  <si>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Master of Maritime Engineering</t>
  </si>
  <si>
    <t xml:space="preserve">Master of Information Technology and Systems</t>
  </si>
  <si>
    <t xml:space="preserve">Scholarship from Provider / University: Belum Termasuk Bea Siswa: 20%/30%/50%; Scholarship from Agent: Start from 2nd payment $350; Material/enrolment belum tercatat (material+enrolment; dihitung 0 di Estimasi Initial Payment); Harga sebagian sesuai sumber resmi; Cara hitung tuition/periode: Hitung: total/tahunan ÷ N; Sumber: https://www.utas.edu.au/courses/k7i (fee 2027, dicek 29 Okt 2026), dicek 29/10/2026</t>
  </si>
  <si>
    <t xml:space="preserve">Bachelor of Biomedicine</t>
  </si>
  <si>
    <t xml:space="preserve">CEK: konfirmasi harga ke sekolah (harga beda dengan sumber resmi); Scholarship from Provider / University: Belum Termasuk Bea Siswa: 20%/30%/50%; Scholarship from Agent: Start from 2nd payment $350; CEK: Harga di sini 11,238 lebih mahal dari harga resmi ~9,738/periode - konfirmasi ke sekolah sebelum dipakai. Resmi 2026: $38,950/tahun, kampus Hobart, Launceston. Asumsi periode TEG = 1/4 tahun (pola: harga list x4 = biaya tahunan; 2 term = 1 semester): 38,950/4 = 9,73;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</si>
  <si>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Bachelor of Exercise and Sport Science</t>
  </si>
  <si>
    <t xml:space="preserve">CEK: konfirmasi harga ke sekolah (harga beda dengan sumber resmi); Scholarship from Provider / University: Belum Termasuk Bea Siswa: 20%/30%/50%; Scholarship from Agent: Start from 2nd payment $350; CEK: Harga di sini 9,988 lebih mahal dari harga resmi ~9,062/periode - konfirmasi ke sekolah sebelum dipakai. Resmi 2026: $36,250/tahun, kampus Launceston. Asumsi periode TEG = 1/4 tahun (pola: harga list x4 = biaya tahunan; 2 term = 1 semester): 36,250/4 = 9,062.50. Ha;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</si>
  <si>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Bachelor of Medical Science and Doctor of Medicine</t>
  </si>
  <si>
    <t xml:space="preserve">Scholarship from Provider / University: Belum Termasuk Bea Siswa: 20%/30%/50%; Scholarship from Agent: Start from 2nd payment $350; CEK: Sebagian sesuai sumber resmi: Resmi 2026: $78,450/tahun, kampus Hobart. Asumsi periode TEG = 1/4 tahun (pola: harga list x4 = biaya tahunan; 2 term = 1 semester): 78,450/4 = 19,612.50. Harga; Material/enrolment belum tercatat (material+enrolment; dihitung 0 di Estimasi Initial Payment); Tuition total/tahunan belum terbukti cocok dengan sumber resmi; Harga sebagian sesuai sumber resmi; Cara hitung tuition/periode: Hitung: total/tahunan ÷ N; Sumber: https://utas-prod-web.squiz.cloud/__data/assets/pdf_file/0003/1807005/university-of-tasmania-international-course-guide-2026.pdf, dicek 29/10/2026</t>
  </si>
  <si>
    <t xml:space="preserve">Bachelor of Nursing</t>
  </si>
  <si>
    <t xml:space="preserve">Scholarship from Provider / University: Belum Termasuk Bea Siswa: 20%/30%/50%; Scholarship from Agent: Start from 2nd payment $350; Material/enrolment belum tercatat (material+enrolment; dihitung 0 di Estimasi Initial Payment); Harga sebagian sesuai sumber resmi; Cara hitung tuition/periode: Hitung: total/tahunan ÷ N; Sumber: https://www.utas.edu.au/courses/health/courses/h3o-bachelor-of-nursing?year=2027 (fee 2027, dicek 29 Okt 2026), dicek 29/10/2026</t>
  </si>
  <si>
    <t xml:space="preserve">Bachelor of Pharmacy with Honours</t>
  </si>
  <si>
    <t xml:space="preserve">Scholarship from Provider / University: Belum Termasuk Bea Siswa: 20%/30%/50%; Scholarship from Agent: Start from 2nd payment $350; CEK: Lebih murah dari harga publik (~13,483/periode): pastikan ini harga agen/promo yang berlaku. Dicocokkan dicek 30/10/2026: selisih 14.8% - beasiswa resmi UTAS (Tasmanian International Scholarship) = 25%; selisih 14,8/20,9/31,5% tidak cocok; catatan 20/30/50% tidak didukung halaman resmi; tetap perlu dokumen agen/promo bertanggal; Material/enrolment belum tercatat (material+enrolment; dihitung 0 di Estimasi Initial Payment); Harga agen: dokumen price list agen belum dilampirkan; Lebih murah dari harga publik - kemungkinan harga agen/promo (tidak diubah); Cara hitung tuition/periode: Hitung: total/tahunan ÷ N; Sumber: https://utas-prod-web.squiz.cloud/__data/assets/pdf_file/0003/1807005/university-of-tasmania-international-course-guide-2026.pdf, dicek 29/10/2026</t>
  </si>
  <si>
    <t xml:space="preserve">Bachelor of Psychological Science</t>
  </si>
  <si>
    <t xml:space="preserve">CEK: konfirmasi harga ke sekolah (harga beda dengan sumber resmi); Scholarship from Provider / University: Belum Termasuk Bea Siswa: 20%/30%/50%; Scholarship from Agent: Start from 2nd payment $350; CEK: Harga di sini 10,488 lebih mahal dari harga resmi ~9,488/periode - konfirmasi ke sekolah sebelum dipakai. Resmi 2026: $37,950/tahun, kampus Hobart, Launceston, Online. Asumsi periode TEG = 1/4 tahun (pola: harga list x4 = biaya tahunan; 2 term = 1 semester): 37,950/;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</si>
  <si>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Bachelor of Social Work with Honours</t>
  </si>
  <si>
    <t xml:space="preserve">CEK: konfirmasi harga ke sekolah (harga beda dengan sumber resmi); Scholarship from Provider / University: Belum Termasuk Bea Siswa: 20%/30%/50%; Scholarship from Agent: Start from 2nd payment $350; CEK: Harga di sini 9,738 lebih mahal dari harga resmi ~9,062/periode - konfirmasi ke sekolah sebelum dipakai. Resmi 2026: $36,250/tahun, kampus Hobart, Launceston, Cradle Coast. Asumsi periode TEG = 1/4 tahun (pola: harga list x4 = biaya tahunan; 2 term = 1 semester): 3;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</si>
  <si>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Graduate Diploma of Pharmaceutical Science</t>
  </si>
  <si>
    <t xml:space="preserve">CEK: konfirmasi harga ke sekolah (harga beda dengan sumber resmi); Scholarship from Provider / University: Belum Termasuk Bea Siswa: 20%/30%/50%; Scholarship from Agent: Start from 2nd payment $350; CEK: Harga di sini 10,238 lebih mahal dari harga resmi ~9,312/periode - konfirmasi ke sekolah sebelum dipakai. Resmi 2026: $37,250/tahun, kampus Hobart. Asumsi periode TEG = 1/4 tahun (pola: harga list x4 = biaya tahunan; 2 term = 1 semester): 37,250/4 = 9,312.50. Harga;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</si>
  <si>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Master of Occupational Therapy</t>
  </si>
  <si>
    <t xml:space="preserve">Scholarship from Provider / University: Belum Termasuk Bea Siswa: 20%/30%/50%; Scholarship from Agent: Start from 2nd payment $350; CEK: Sebagian sesuai sumber resmi: Resmi 2026: $47,250/tahun, kampus Launceston. Asumsi periode TEG = 1/4 tahun (pola: harga list x4 = biaya tahunan; 2 term = 1 semester): 47,250/4 = 11,812.50. H; Material/enrolment belum tercatat (material+enrolment; dihitung 0 di Estimasi Initial Payment); Tuition total/tahunan belum terbukti cocok dengan sumber resmi; Harga sebagian sesuai sumber resmi; Cara hitung tuition/periode: Hitung: total/tahunan ÷ N; Sumber: https://utas-prod-web.squiz.cloud/__data/assets/pdf_file/0003/1807005/university-of-tasmania-international-course-guide-2026.pdf, dicek 29/10/2026</t>
  </si>
  <si>
    <t xml:space="preserve">Master of Laboratory Medicine</t>
  </si>
  <si>
    <t xml:space="preserve">Scholarship from Provider / University: Belum Termasuk Bea Siswa: 20%/30%/50%; Scholarship from Agent: Start from 2nd payment $350; Material/enrolment belum tercatat (material+enrolment; dihitung 0 di Estimasi Initial Payment); Harga sebagian sesuai sumber resmi; Cara hitung tuition/periode: Hitung: total/tahunan ÷ N; Sumber: https://www.utas.edu.au/courses/H7L (fee 2027, dicek 29 Okt 2026), dicek 29/10/2026</t>
  </si>
  <si>
    <t xml:space="preserve">Master of Pharmaceutical Science</t>
  </si>
  <si>
    <t xml:space="preserve">CEK: konfirmasi harga ke sekolah (harga beda dengan sumber resmi); Scholarship from Provider / University: Belum Termasuk Bea Siswa: 20%/30%/50%; Scholarship from Agent: Start from 2nd payment $350; CEK: Harga di sini 10,738 lebih mahal dari harga resmi ~9,312/periode - konfirmasi ke sekolah sebelum dipakai. Resmi 2026: $37,250/tahun, kampus Hobart. Asumsi periode TEG = 1/4 tahun (pola: harga list x4 = biaya tahunan; 2 term = 1 semester): 37,250/4 = 9,312.50. Harga;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</si>
  <si>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Master of Physiotherapy</t>
  </si>
  <si>
    <t xml:space="preserve">CEK: konfirmasi harga ke sekolah (harga beda dengan sumber resmi); Scholarship from Provider / University: Belum Termasuk Bea Siswa: 20%/30%/50%; Scholarship from Agent: Start from 2nd payment $350; CEK: Harga di sini 12,988 lebih mahal dari harga resmi ~11,812/periode - konfirmasi ke sekolah sebelum dipakai. Resmi 2026: $47,250/tahun, kampus Launceston. Asumsi periode TEG = 1/4 tahun (pola: harga list x4 = biaya tahunan; 2 term = 1 semester): 47,250/4 = 11,812.50. H;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</si>
  <si>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Master of Public Health</t>
  </si>
  <si>
    <t xml:space="preserve">CEK: konfirmasi harga ke sekolah (harga beda dengan sumber resmi); Scholarship from Provider / University: Belum Termasuk Bea Siswa: 20%/30%/50%; Scholarship from Agent: Start from 2nd payment $350; CEK: Harga di sini 10,238 lebih mahal dari harga resmi ~9,238/periode - konfirmasi ke sekolah sebelum dipakai. Resmi 2026: $36,950/tahun, kampus Hobart, Online. Asumsi periode TEG = 1/4 tahun (pola: harga list x4 = biaya tahunan; 2 term = 1 semester): 36,950/4 = 9,237.50;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</si>
  <si>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Master of Psychology (Clinical)</t>
  </si>
  <si>
    <t xml:space="preserve">CEK: konfirmasi harga ke sekolah (harga beda dengan sumber resmi); Scholarship from Provider / University: Belum Termasuk Bea Siswa: 20%/30%/50%; Scholarship from Agent: Start from 2nd payment $350; CEK: Harga di sini 12,062 lebih mahal dari harga resmi ~10,988/periode - konfirmasi ke sekolah sebelum dipakai. Resmi 2026: $43,950/tahun, kampus Hobart, Launceston. Asumsi periode TEG = 1/4 tahun (pola: harga list x4 = biaya tahunan; 2 term = 1 semester): 43,950/4 = 10,9;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</si>
  <si>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Master of Professional Psychology</t>
  </si>
  <si>
    <t xml:space="preserve">Master of Speech Pathology</t>
  </si>
  <si>
    <t xml:space="preserve">Master of Social Work (Qualifying)</t>
  </si>
  <si>
    <t xml:space="preserve">CEK: konfirmasi harga ke sekolah (harga beda dengan sumber resmi); Scholarship from Provider / University: Belum Termasuk Bea Siswa: 20%/30%/50%; Scholarship from Agent: Start from 2nd payment $350; CEK: Harga di sini 10,238 lebih mahal dari harga resmi ~9,112/periode - konfirmasi ke sekolah sebelum dipakai. Resmi 2026: $36,450/tahun, kampus Hobart, Launceston, Cradle Coast. Asumsi periode TEG = 1/4 tahun (pola: harga list x4 = biaya tahunan; 2 term = 1 semester): 3;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</si>
  <si>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Master of Advanced Practice (Specialisation)</t>
  </si>
  <si>
    <t xml:space="preserve">CEK: konfirmasi harga ke sekolah (harga beda dengan sumber resmi); Scholarship from Provider / University: Belum Termasuk Bea Siswa: 20%/30%/50%; Scholarship from Agent: Start from 2nd payment $350; CEK: Harga di sini 4,738 lebih mahal dari harga resmi ~2,994/periode - konfirmasi ke sekolah sebelum dipakai. Resmi 2026: $11,975/tahun, kampus Online. Asumsi periode TEG = 1/4 tahun (pola: harga list x4 = biaya tahunan; 2 term = 1 semester): 11,975/4 = 2,993.75. Harga;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</si>
  <si>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Master of Clinical Pharmacy</t>
  </si>
  <si>
    <t xml:space="preserve">CEK: konfirmasi harga ke sekolah (harga beda dengan sumber resmi); Scholarship from Provider / University: Belum Termasuk Bea Siswa: 20%/30%/50%; Scholarship from Agent: Start from 2nd payment $350; CEK: Harga di sini 8,862 lebih mahal dari harga resmi ~8,488/periode - konfirmasi ke sekolah sebelum dipakai. Resmi 2026: $33,950/tahun, kampus Online. Asumsi periode TEG = 1/4 tahun (pola: harga list x4 = biaya tahunan; 2 term = 1 semester): 33,950/4 = 8,487.50. Harga;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</si>
  <si>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Master of Dementia</t>
  </si>
  <si>
    <t xml:space="preserve">CEK: konfirmasi harga ke sekolah (harga beda dengan sumber resmi); Scholarship from Provider / University: Belum Termasuk Bea Siswa: 20%/30%/50%; Scholarship from Agent: Start from 2nd payment $350; CEK: Harga di sini 3,812 lebih mahal dari harga resmi ~3,488/periode - konfirmasi ke sekolah sebelum dipakai. Resmi 2026: $13,950/tahun, kampus Online. Asumsi periode TEG = 1/4 tahun (pola: harga list x4 = biaya tahunan; 2 term = 1 semester): 13,950/4 = 3,487.50. Harga;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</si>
  <si>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Graduate Certificate in Advanced Practice</t>
  </si>
  <si>
    <t xml:space="preserve">Scholarship from Provider / University: Belum Termasuk Bea Siswa: 20%/30%/50%; Scholarship from Agent: Start from 2nd payment $350; CEK: Lebih murah dari harga publik (~5,988/periode): pastikan ini harga agen/promo yang berlaku. Dicocokkan dicek 30/10/2026: selisih 20.9% - beasiswa resmi UTAS (Tasmanian International Scholarship) = 25%; selisih 14,8/20,9/31,5% tidak cocok; catatan 20/30/50% tidak didukung halaman resmi; tetap perlu dokumen agen/promo bertanggal; Material/enrolment belum tercatat (material+enrolment; dihitung 0 di Estimasi Initial Payment); Harga agen: dokumen price list agen belum dilampirkan; Lebih murah dari harga publik - kemungkinan harga agen/promo (tidak diubah); Cara hitung tuition/periode: Hitung: total/tahunan ÷ N; Sumber: https://utas-prod-web.squiz.cloud/__data/assets/pdf_file/0003/1807005/university-of-tasmania-international-course-guide-2026.pdf, dicek 29/10/2026</t>
  </si>
  <si>
    <t xml:space="preserve">Graduate Certificate in Clinical Pharmacy</t>
  </si>
  <si>
    <t xml:space="preserve">CEK: konfirmasi harga ke sekolah (harga beda dengan sumber resmi); Scholarship from Provider / University: Belum Termasuk Bea Siswa: 20%/30%/50%; Scholarship from Agent: Start from 2nd payment $350; CEK: Harga di sini 8,862 lebih mahal dari harga resmi ~8,488/periode - konfirmasi ke sekolah sebelum dipakai. Resmi 2026: $16,975 untuk Grad Cert (setengah tahun FT); setara tahunan 16,975x2 = 33,950; /4 = 8,487.50 per periode TEG (asumsi 4 periode/thn, 2 periode = 1 se;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</si>
  <si>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Graduate Certificate of Counselling</t>
  </si>
  <si>
    <t xml:space="preserve">CEK: konfirmasi harga ke sekolah (harga beda dengan sumber resmi); Scholarship from Provider / University: Belum Termasuk Bea Siswa: 20%/30%/50%; Scholarship from Agent: Start from 2nd payment $350; CEK: Harga di sini 10,488 lebih mahal dari harga resmi ~9,988/periode - konfirmasi ke sekolah sebelum dipakai. Resmi 2026: $19,975 untuk Grad Cert (setengah tahun FT); setara tahunan 19,975x2 = 39,950; /4 = 9,987.50 per periode TEG (asumsi 4 periode/thn, 2 periode = 1 se;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</si>
  <si>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Graduate Certificate in Dementia</t>
  </si>
  <si>
    <t xml:space="preserve">CEK: konfirmasi harga ke sekolah (harga beda dengan sumber resmi); Scholarship from Provider / University: Belum Termasuk Bea Siswa: 20%/30%/50%; Scholarship from Agent: Start from 2nd payment $350; CEK: Harga di sini 3,812 lebih mahal dari harga resmi ~3,488/periode - konfirmasi ke sekolah sebelum dipakai. Resmi 2026: $6,975 untuk Grad Cert (setengah tahun FT); setara tahunan 6,975x2 = 13,950; /4 = 3,487.50 per periode TEG (asumsi 4 periode/thn, 2 periode = 1 seme;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</si>
  <si>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Graduate Certificate in Healthcare in Remote and Extreme Environments</t>
  </si>
  <si>
    <t xml:space="preserve">Graduate Certificate in Health Protection</t>
  </si>
  <si>
    <t xml:space="preserve">CEK: konfirmasi harga ke sekolah (harga beda dengan sumber resmi); Scholarship from Provider / University: Belum Termasuk Bea Siswa: 20%/30%/50%; Scholarship from Agent: Start from 2nd payment $350; CEK: Harga di sini 4,488 lebih mahal dari harga resmi ~4,062/periode - konfirmasi ke sekolah sebelum dipakai. Resmi 2026: $8,125 untuk Grad Cert (setengah tahun FT); setara tahunan 8,125x2 = 16,250; /4 = 4,062.50 per periode TEG (asumsi 4 periode/thn, 2 periode = 1 seme;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</si>
  <si>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Graduate Certificate in Nursing (Overseas Registration) (Specialisation)</t>
  </si>
  <si>
    <t xml:space="preserve">Scholarship from Provider / University: Belum Termasuk Bea Siswa: 20%/30%/50%; Scholarship from Agent: Start from 2nd payment $350; CEK: Lebih murah dari harga publik (~5,562/periode): pastikan ini harga agen/promo yang berlaku. Dicocokkan dicek 30/10/2026: selisih 31.5% - beasiswa resmi UTAS (Tasmanian International Scholarship) = 25%; selisih 14,8/20,9/31,5% tidak cocok; catatan 20/30/50% tidak didukung halaman resmi; tetap perlu dokumen agen/promo bertanggal; Material/enrolment belum tercatat (material+enrolment; dihitung 0 di Estimasi Initial Payment); Harga agen: dokumen price list agen belum dilampirkan; Lebih murah dari harga publik - kemungkinan harga agen/promo (tidak diubah); Cara hitung tuition/periode: Hitung: total/tahunan ÷ N; Sumber: https://utas-prod-web.squiz.cloud/__data/assets/pdf_file/0003/1807005/university-of-tasmania-international-course-guide-2026.pdf, dicek 29/10/2026</t>
  </si>
  <si>
    <t xml:space="preserve">Graduate Diploma of Advanced Practice (Specialisation)</t>
  </si>
  <si>
    <t xml:space="preserve">Graduate Diploma of Clinical Pharmacy</t>
  </si>
  <si>
    <t xml:space="preserve">Graduate Diploma of Dementia</t>
  </si>
  <si>
    <t xml:space="preserve">Graduate Diploma in Counselling</t>
  </si>
  <si>
    <t xml:space="preserve">CEK: konfirmasi harga ke sekolah (harga beda dengan sumber resmi); Scholarship from Provider / University: Belum Termasuk Bea Siswa: 20%/30%/50%; Scholarship from Agent: Start from 2nd payment $350; CEK: Harga di sini 10,488 lebih mahal dari harga resmi ~9,988/periode - konfirmasi ke sekolah sebelum dipakai. Resmi 2026: $39,950/tahun, kampus Hobart, Online. Asumsi periode TEG = 1/4 tahun (pola: harga list x4 = biaya tahunan; 2 term = 1 semester): 39,950/4 = 9,987.50;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</si>
  <si>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OFFSHORE - CANBERRA</t>
  </si>
  <si>
    <t xml:space="preserve">Australian Catholic University (ACU)
127 Phillip Avenue, Watson ACT 2602</t>
  </si>
  <si>
    <t xml:space="preserve">Bachelor of Accounting and Finance</t>
  </si>
  <si>
    <t xml:space="preserve">Material/enrolment belum tercatat (material+enrolment; dihitung 0 di Estimasi Initial Payment); Harga sesuai sumber resmi; Cara hitung tuition/periode: Hitung: total/tahunan ÷ N; Sumber: https://www.acu.edu.au/-/media/feature/pagecontent/richtext/international-students/_docs/condensed-guide-a5-2026_vi-vn_digital.pdf, dicek 29/10/2026</t>
  </si>
  <si>
    <t xml:space="preserve">Bachelor of Arts / Bachelor of Commerce</t>
  </si>
  <si>
    <t xml:space="preserve">Bachelor of Arts / Bachelor of Laws</t>
  </si>
  <si>
    <t xml:space="preserve">Bachelor of Business</t>
  </si>
  <si>
    <t xml:space="preserve">Material/enrolment belum tercatat (material+enrolment; dihitung 0 di Estimasi Initial Payment); Harga diperbarui dari sumber resmi; Cara hitung tuition/periode: Hitung: total/tahunan ÷ N; Sumber: https://www.acu.edu.au/-/media/feature/pagecontent/richtext/international-students/_docs/condensed-guide-a5-2026_vi-vn_digital.pdf, dicek 29/10/2026</t>
  </si>
  <si>
    <t xml:space="preserve">Bachelor of Business / Bachelor of Laws</t>
  </si>
  <si>
    <t xml:space="preserve">CEK: kemungkinan salah input - 8.742 = fee BBus tunggal; resmi BBus/BLaws 2026 36.800/thn = 9.200/term (ACU course guide 2026 hal.23); CEK: Lebih murah dari harga publik (~9,200/periode): pastikan ini harga agen/promo yang berlaku. Dicocokkan dicek 30/10/2026: selisih 5.0% - beasiswa resmi ACU 2026 (s.d. 20%) tidak menyebut 5%/9,2%; kemungkinan beda tahun tarif 2026/2027; tetap perlu dokumen agen/promo bertanggal; Material/enrolment belum tercatat (material+enrolment; dihitung 0 di Estimasi Initial Payment); Harga agen: dokumen price list agen belum dilampirkan; Lebih murah dari harga publik - kemungkinan harga agen/promo (tidak diubah); Cara hitung tuition/periode: Hitung: total/tahunan ÷ N; Sumber: https://www.acu.edu.au/-/media/feature/pagecontent/richtext/international-students/_docs/condensed-guide-a5-2026_vi-vn_digital.pdf, dicek 29/10/2026</t>
  </si>
  <si>
    <t xml:space="preserve">Bachelor of Commerce</t>
  </si>
  <si>
    <t xml:space="preserve">Bachelor of Commerce / Bachelor of Laws</t>
  </si>
  <si>
    <t xml:space="preserve">Bachelor of Computer Science</t>
  </si>
  <si>
    <t xml:space="preserve">Material/enrolment belum tercatat (material+enrolment; dihitung 0 di Estimasi Initial Payment); Harga sebagian sesuai sumber resmi; Cara hitung tuition/periode: Hitung: total/tahunan ÷ N; Sumber: https://www.acu.edu.au/-/media/acu/international/acu-2027-schedule-of-tuition-fees.pdf, dicek 29/10/2026</t>
  </si>
  <si>
    <t xml:space="preserve">Bachelor of Computer Science / Master of Data Science</t>
  </si>
  <si>
    <t xml:space="preserve">Bachelor of Criminology and Criminal Justice</t>
  </si>
  <si>
    <t xml:space="preserve">Bachelor of Criminology and Criminal Justice (Honours)</t>
  </si>
  <si>
    <t xml:space="preserve">Bachelor of Criminology and Criminal Justice / Bachelor of Laws</t>
  </si>
  <si>
    <t xml:space="preserve">Bachelor of Human Rights / Bachelor of Criminology and Criminal Justice</t>
  </si>
  <si>
    <t xml:space="preserve">Bachelor of Human Rights / Bachelor of Laws</t>
  </si>
  <si>
    <t xml:space="preserve">Bachelor of Information Technology (IT)</t>
  </si>
  <si>
    <t xml:space="preserve">Bachelor of Information Technology (IT) / Bachelor of Business</t>
  </si>
  <si>
    <t xml:space="preserve">Bachelor of Laws (Graduate Entry)</t>
  </si>
  <si>
    <t xml:space="preserve">Bachelor of Laws / Bachelor of Global Studies</t>
  </si>
  <si>
    <t xml:space="preserve">Bachelor of Laws / Bachelor of Social and Enviironmental Sustainability</t>
  </si>
  <si>
    <t xml:space="preserve">Bachelor of Nutrition Science / Bachelor of Business</t>
  </si>
  <si>
    <t xml:space="preserve">Bachelor of Philosophy / Bachelor of Laws</t>
  </si>
  <si>
    <t xml:space="preserve">Bachelor of Theology / Bachelor of Laws</t>
  </si>
  <si>
    <t xml:space="preserve">Graduate Certificate in Business Administration</t>
  </si>
  <si>
    <t xml:space="preserve">0,5 year</t>
  </si>
  <si>
    <t xml:space="preserve">CEK: fee resmi Grad Cert 6 bulan (2026: 19.048 / Innovation 18.456) dihitung atas 40cp = kemungkinan TOTAL kursus, bukan fee tahunan; file pakai ÷4 x 2 term = setengahnya -&gt; initial payment kemungkinan terlalu rendah. Konfirmasi ke ACU.; Material/enrolment belum tercatat (material+enrolment; dihitung 0 di Estimasi Initial Payment); Harga sesuai sumber resmi; Cara hitung tuition/periode: Hitung: total/tahunan ÷ N; Sumber: https://www.acu.edu.au/-/media/feature/pagecontent/richtext/international-students/_docs/condensed-guide-a5-2026_vi-vn_digital.pdf, dicek 29/10/2026</t>
  </si>
  <si>
    <t xml:space="preserve">Graduate Certificate in Information Technology (IT)</t>
  </si>
  <si>
    <t xml:space="preserve">Graduate Certificate in Innovation and Entrepreneurship</t>
  </si>
  <si>
    <t xml:space="preserve">Master of Business Administration</t>
  </si>
  <si>
    <t xml:space="preserve">Master of Information Technology (IT)</t>
  </si>
  <si>
    <t xml:space="preserve">Bachelor of Arts / Bachelor of Global Studies</t>
  </si>
  <si>
    <t xml:space="preserve">Bachelor of Arts / Master of Teaching (Secondary)</t>
  </si>
  <si>
    <t xml:space="preserve">Bachelor of Arts (Western Civilisation) / Master of Teaching (Secondary)</t>
  </si>
  <si>
    <t xml:space="preserve">Bachelor of Business / Bachelor of Global Studies</t>
  </si>
  <si>
    <t xml:space="preserve">Bachelor of Commerce / Bachelor of Global Studies</t>
  </si>
  <si>
    <t xml:space="preserve">Bachelor of Creative Arts</t>
  </si>
  <si>
    <t xml:space="preserve">Bachelor of Early Childhood Education (Birth to 5 years)</t>
  </si>
  <si>
    <t xml:space="preserve">Bachelor of Educational Studies</t>
  </si>
  <si>
    <t xml:space="preserve">Bachelor of Education (Early Childhood and Primary)</t>
  </si>
  <si>
    <t xml:space="preserve">Bachelor of Education (Primary and Secondary)</t>
  </si>
  <si>
    <t xml:space="preserve">Bachelor of Education (Secondary)</t>
  </si>
  <si>
    <t xml:space="preserve">Bachelor of Education (Secondary and Special Education)</t>
  </si>
  <si>
    <t xml:space="preserve">Bachelor of Education (secondary) / Bachelor of Arts (Design Innovation and Technologies)</t>
  </si>
  <si>
    <t xml:space="preserve">Bachelor of Education (Secondary) / Bachelor of Arts (Humanities)</t>
  </si>
  <si>
    <t xml:space="preserve">Bachelor of Education (Secondary) / Bachelor of Arts (Mathematics)</t>
  </si>
  <si>
    <t xml:space="preserve">Bachelor of Education (Secondary) / Bachelor of Arts (Visual Arts)</t>
  </si>
  <si>
    <t xml:space="preserve">Bachelor of Education (Secondary) / Bachelor of Exercise Science</t>
  </si>
  <si>
    <t xml:space="preserve">Bachelor of Human Rights</t>
  </si>
  <si>
    <t xml:space="preserve">Bachelor of Social and Environmental Sustainability</t>
  </si>
  <si>
    <t xml:space="preserve">Bachelor of Social and Environmental Sustainability / Bachelor of Global Studies</t>
  </si>
  <si>
    <t xml:space="preserve">Bachelor of Theology / Bachelor of Global Studies</t>
  </si>
  <si>
    <t xml:space="preserve">Bachelor of Visual Arts and Design</t>
  </si>
  <si>
    <t xml:space="preserve">Bachelor of Youth Work</t>
  </si>
  <si>
    <t xml:space="preserve">Master of Education</t>
  </si>
  <si>
    <t xml:space="preserve">Master of Liberal Arts (Western Civilisation)</t>
  </si>
  <si>
    <t xml:space="preserve">Master of Teaching (Early Childhood and Primary)</t>
  </si>
  <si>
    <t xml:space="preserve">Master of Teaching (Primary)</t>
  </si>
  <si>
    <t xml:space="preserve">Master of Teaching (Secondary)</t>
  </si>
  <si>
    <t xml:space="preserve">Master of Teaching (Secondary) / Graduate Certificate in Religius Education</t>
  </si>
  <si>
    <t xml:space="preserve">Bachelor of Biomedical Science</t>
  </si>
  <si>
    <t xml:space="preserve">Bachelor of Biomedical Science / Bachelor of Business</t>
  </si>
  <si>
    <t xml:space="preserve">Bachelor of Exercise and Sports Science</t>
  </si>
  <si>
    <t xml:space="preserve">Bachelor of Exercise and Sports Science / Bachelor of Nutrition Science</t>
  </si>
  <si>
    <t xml:space="preserve">Bachelor of Exercise Science / Bachelor of Business Administration</t>
  </si>
  <si>
    <t xml:space="preserve">Bachelor of Nursing (Enrolled Nurses)</t>
  </si>
  <si>
    <t xml:space="preserve">Bachelor of Nutrition Science</t>
  </si>
  <si>
    <t xml:space="preserve">Bachelor of Occupational Therapy</t>
  </si>
  <si>
    <t xml:space="preserve">Bachelor of Psycholgical Science (Honours)</t>
  </si>
  <si>
    <t xml:space="preserve">CEK: konfirmasi harga ke sekolah (harga beda dengan sumber resmi); CEK: Harga di sini 13,136 lebih mahal dari harga resmi ~8,098/periode - konfirmasi ke sekolah sebelum dipakai. Biaya resmi AUD 32,392/tahun (80cp = 2 semester @40cp). Harga daftar memakai "term" = 1/4 tahun: 32,392/4 = 8,098; "2 terms tuition applied" = 2 x 8,098 = 16,19; Material/enrolment belum tercatat (material+enrolment; dihitung 0 di Estimasi Initial Payment); Cara hitung tuition/periode: Hitung: total/tahunan ÷ N; Sumber: https://www.acu.edu.au/-/media/feature/pagecontent/richtext/international-students/_docs/condensed-guide-a5-2026_vi-vn_digital.pdf, dicek 29/10/2026</t>
  </si>
  <si>
    <t xml:space="preserve">Bachelor of Psycholgical Science / Bachelor of Arts</t>
  </si>
  <si>
    <t xml:space="preserve">Bachelor of Psycholgical Science / Bachelor of Commerce</t>
  </si>
  <si>
    <t xml:space="preserve">CEK: Lebih murah dari harga publik (~8,916/periode): pastikan ini harga agen/promo yang berlaku. Dicocokkan dicek 30/10/2026: selisih 9.2% - beasiswa resmi ACU 2026 (s.d. 20%) tidak menyebut 5%/9,2%; kemungkinan beda tahun tarif 2026/2027; tetap perlu dokumen agen/promo bertanggal; Material/enrolment belum tercatat (material+enrolment; dihitung 0 di Estimasi Initial Payment); Harga agen: dokumen price list agen belum dilampirkan; Lebih murah dari harga publik - kemungkinan harga agen/promo (tidak diubah); Cara hitung tuition/periode: Hitung: total/tahunan ÷ N; Sumber: https://www.acu.edu.au/-/media/feature/pagecontent/richtext/international-students/_docs/condensed-guide-a5-2026_vi-vn_digital.pdf, dicek 29/10/2026</t>
  </si>
  <si>
    <t xml:space="preserve">Bachelor of Psycholgical Science / Bachelor of Criminology and Criminal Justice</t>
  </si>
  <si>
    <t xml:space="preserve">Bachelor of Psycholgical Science / Bachelor of Exercise and Sports Science</t>
  </si>
  <si>
    <t xml:space="preserve">Bachelor of Psycholgical Science / Bachelor of Nutrition Science</t>
  </si>
  <si>
    <t xml:space="preserve">Bachelor of Social Work</t>
  </si>
  <si>
    <t xml:space="preserve">Bachelor of Speech Pathology</t>
  </si>
  <si>
    <t xml:space="preserve">Graduate Diploma in Public Health</t>
  </si>
  <si>
    <t xml:space="preserve">Master of Clinical Exercise Physiology</t>
  </si>
  <si>
    <t xml:space="preserve">Master of Dietetic Practice</t>
  </si>
  <si>
    <t xml:space="preserve">Master of Leadership and Management in Healthcare</t>
  </si>
  <si>
    <t xml:space="preserve">Master of Psychology (Educational and Development)</t>
  </si>
  <si>
    <t xml:space="preserve">Master of Public Health (Global Health and Advocacy)</t>
  </si>
  <si>
    <t xml:space="preserve">Bachelor of Theology</t>
  </si>
  <si>
    <t xml:space="preserve">Bachelor of Theology / Bachelor of Philosophy</t>
  </si>
  <si>
    <t xml:space="preserve">Doctor of Ministry</t>
  </si>
  <si>
    <t xml:space="preserve">Doctor of Philosophy</t>
  </si>
  <si>
    <t xml:space="preserve">Master of Philosophy</t>
  </si>
  <si>
    <t xml:space="preserve">Dip in Biomedical Science</t>
  </si>
  <si>
    <t xml:space="preserve">Dip in Business</t>
  </si>
  <si>
    <t xml:space="preserve">Dip in Criminology</t>
  </si>
  <si>
    <t xml:space="preserve">Dip in Educational Studies (Tertiary Preparation)</t>
  </si>
  <si>
    <t xml:space="preserve">Dip in Exercise Science</t>
  </si>
  <si>
    <t xml:space="preserve">Dip in Information Technology (IT)</t>
  </si>
  <si>
    <t xml:space="preserve">Dip in Liberal Arts</t>
  </si>
  <si>
    <t xml:space="preserve">Dip in Nutrition Science</t>
  </si>
  <si>
    <t xml:space="preserve">Dip in Visual Arts and Design</t>
  </si>
  <si>
    <t xml:space="preserve">Dip in Youth Work</t>
  </si>
  <si>
    <t xml:space="preserve">Foundation Studies</t>
  </si>
  <si>
    <t xml:space="preserve">Tertiary Preparation Program (Health Sciences)</t>
  </si>
  <si>
    <t xml:space="preserve">Capital College
Level 2, 17-21 University Ave Canberra ACT 2601</t>
  </si>
  <si>
    <t xml:space="preserve">Material fee pay every term; CEK: Price list resmi Jun 2026 hanya total kursus AUD 24.000 (104 minggu); tuition/term di sini = total ÷ 8 term (asumsi). jumlah term &amp; syarat bayar awal tidak disebut - minta konfirmasi/offer letter; Tuition total/tahunan belum terbukti cocok dengan sumber resmi; Material ditagih per periode (keterangan pricelist/sekolah: "Material fee pay every term") - Initial Payment menghitung material x Bayar di Awal; Harga sebagian sesuai sumber resmi; Cara hitung tuition/periode: Hitung: total/tahunan ÷ N; Sumber: https://capital.edu.au/wp-content/uploads/2026/05/Price-List-VET-Jun-2026.pdf, dicek 29/10/2026</t>
  </si>
  <si>
    <t xml:space="preserve">Cert III in Commercial Cookery + Cert IV in Kitchen Management</t>
  </si>
  <si>
    <t xml:space="preserve">Material fee pay every term; CEK: Price list resmi Jun 2026 hanya total kursus AUD 23.250 (76 minggu); tuition/term di sini = total ÷ 6 term (asumsi). jumlah term &amp; syarat bayar awal tidak disebut - minta konfirmasi/offer letter; Tuition total/tahunan belum terbukti cocok dengan sumber resmi; Material ditagih per periode (keterangan pricelist/sekolah: "Material fee pay every term") - Initial Payment menghitung material x Bayar di Awal; Harga sebagian sesuai sumber resmi; Cara hitung tuition/periode: Hitung: total/tahunan ÷ N; Sumber: https://capital.edu.au/wp-content/uploads/2026/05/Price-List-VET-Jun-2026.pdf, dicek 29/10/2026</t>
  </si>
  <si>
    <t xml:space="preserve">Cert III + Cert IV in Kitchen Management + Dip of Hospitality Management</t>
  </si>
  <si>
    <t xml:space="preserve">Material fee pay every term and become $110 after Dip; CEK: Price list resmi Jun 2026 hanya total kursus AUD 33.250 (104 minggu); tuition/term di sini = total ÷ 8 term (asumsi). jumlah term &amp; syarat bayar awal tidak disebut - minta konfirmasi/offer letter; Tuition total/tahunan belum terbukti cocok dengan sumber resmi; Material ditagih per periode (keterangan pricelist/sekolah: "Material fee pay every term and become $110 after Dip") - Initial Payment menghitung material x Bayar di Awal; Harga sebagian sesuai sumber resmi; Cara hitung tuition/periode: Hitung: total/tahunan ÷ N; Sumber: https://capital.edu.au/wp-content/uploads/2026/05/Price-List-VET-Jun-2026.pdf, dicek 29/10/2026</t>
  </si>
  <si>
    <t xml:space="preserve">Cert III + Cert IV in Kitchen Management + Dip + Adv Dip of Hospitality Management</t>
  </si>
  <si>
    <t xml:space="preserve">Material fee pay every term and become $110 after Dip; CEK: Price list resmi Jun 2026 hanya total kursus AUD 43.250 (156 minggu); tuition/term di sini = total ÷ 12 term (asumsi). jumlah term &amp; syarat bayar awal tidak disebut - minta konfirmasi/offer letter; Tuition total/tahunan belum terbukti cocok dengan sumber resmi; Material ditagih per periode (keterangan pricelist/sekolah: "Material fee pay every term and become $110 after Dip") - Initial Payment menghitung material x Bayar di Awal; Harga sebagian sesuai sumber resmi; Cara hitung tuition/periode: Hitung: total/tahunan ÷ N; Sumber: https://capital.edu.au/wp-content/uploads/2026/05/Price-List-VET-Jun-2026.pdf, dicek 29/10/2026</t>
  </si>
  <si>
    <t xml:space="preserve">Dip + Adv Diploma of Hospitality Management</t>
  </si>
  <si>
    <t xml:space="preserve">Material fee pay every term; CEK: Price list resmi Jun 2026 hanya total kursus AUD 23.000 (104 minggu); tuition/term di sini = total ÷ 8 term (asumsi). jumlah term &amp; syarat bayar awal tidak disebut - minta konfirmasi/offer letter; Tuition total/tahunan belum terbukti cocok dengan sumber resmi; Material ditagih per periode (keterangan pricelist/sekolah: "Material fee pay every term") - Initial Payment menghitung material x Bayar di Awal; Harga sebagian sesuai sumber resmi; Cara hitung tuition/periode: Hitung: total/tahunan ÷ N; Sumber: https://capital.edu.au/wp-content/uploads/2026/05/Price-List-VET-Jun-2026.pdf, dicek 29/10/2026</t>
  </si>
  <si>
    <t xml:space="preserve">Dip + Adv Dip of Information Technology (IT)</t>
  </si>
  <si>
    <t xml:space="preserve">CEK: Price list resmi Jun 2026 hanya total kursus AUD 34.000 (156 minggu); tuition/term di sini = total ÷ 12 term (asumsi). jumlah term &amp; syarat bayar awal tidak disebut - minta konfirmasi/offer letter; Tuition total/tahunan belum terbukti cocok dengan sumber resmi; Harga sebagian sesuai sumber resmi; Cara hitung tuition/periode: Hitung: total/tahunan ÷ N; Sumber: https://capital.edu.au/wp-content/uploads/2026/05/Price-List-VET-Jun-2026.pdf, dicek 29/10/2026</t>
  </si>
  <si>
    <t xml:space="preserve">Cert III in Individual Support + Dip of Community Service</t>
  </si>
  <si>
    <t xml:space="preserve">CEK: Price list resmi Jun 2026 hanya total kursus AUD 26.000 (156 minggu); tuition/term di sini = total ÷ 12 term (asumsi). jumlah term &amp; syarat bayar awal tidak disebut - minta konfirmasi/offer letter; Tuition total/tahunan belum terbukti cocok dengan sumber resmi; Harga sebagian sesuai sumber resmi; Cara hitung tuition/periode: Hitung: total/tahunan ÷ N; Sumber: https://capital.edu.au/wp-content/uploads/2026/05/Price-List-VET-Jun-2026.pdf, dicek 29/10/2026</t>
  </si>
  <si>
    <t xml:space="preserve">Dip + Adv Dip of leadership Management</t>
  </si>
  <si>
    <t xml:space="preserve">Harga sesuai sumber resmi; Cara hitung tuition/periode: Hitung: total/tahunan ÷ N; Sumber: https://capital.edu.au/wp-content/uploads/2026/05/Price-List-VET-Jun-2026.pdf, dicek 29/10/2026</t>
  </si>
  <si>
    <t xml:space="preserve">Dip + Adv Dip of leadership Management + Graduate Diploma of Strategic Management</t>
  </si>
  <si>
    <t xml:space="preserve">Charles Sturt University (CSU)
Canberra - Theology, Christianity and Pastoral Studies: 15 Blackall Street, Barton ACT 2600</t>
  </si>
  <si>
    <t xml:space="preserve">Bachelor of Theology (CRICOS 022012C)</t>
  </si>
  <si>
    <t xml:space="preserve">Semester</t>
  </si>
  <si>
    <t xml:space="preserve">Sumber: Charles Sturt University International Student Guide 2027 (hal. 26, Theology and Islamic studies): A$25.520 per tahun (2027) -&gt; 12.760/session (4 subjek x 3.190); lokasi resmi: Canberra &amp; United Theological College; intake Maret/Juli(/November); Bayar di Awal = 1 session (tuition per session) - jumlah pasti di offer letter; beasiswa CSU (VC 50%, Success 15/30% mulai sesi 2) belum dihitung; dicek 07/11/2026; Tuition/Periode = 1 session; beasiswa International Student Success 15%/30% berlaku mulai sesi kedua &amp; VC 50% selektif - tidak dipotong dari harga; Alamat kampus: about.csu.edu.au/locations/campuses, dicek 07/11/2026; Terverifikasi 07/11/2026 di csu.edu.au (international course fees 2027): 3.190 per subjek 8-point, 25.520/tahun; tagihan per session; SSAF 2027 = 48 per subjek 8-point, cap 384/tahun (halaman SSAF CSU "For the calendar year 2027", dicek langsung 07/11/2026) -&gt; 48 x 4 subjek session pertama = 192 di Enrolment Fee; KONFLIK SUMBER: halaman international course fees masih menulis SSAF 43/subjek (kemungkinan angka lama) - angka 2027 dipakai, konfirmasi di offer letter; material tidak tercatat</t>
  </si>
  <si>
    <t xml:space="preserve">Master of Theology (CRICOS 025512C)</t>
  </si>
  <si>
    <t xml:space="preserve">Master of Arts (Theological Studies) (CRICOS 107740H)</t>
  </si>
  <si>
    <t xml:space="preserve">CIHE Australia
Unit 2A, 118 Lysaght St, Mitchell ACT 2911 Level 1, 5 Fussell Lane, Gungahlin ACT 2912 Level 4, 40 Cameron Ave, Belconnen ACT 2617</t>
  </si>
  <si>
    <t xml:space="preserve">Master of Research - Major in Information Technology (IT)</t>
  </si>
  <si>
    <t xml:space="preserve">CEK: Sebagian sesuai sumber resmi: 68.000 / (2 th x 4) = 8.500.0. Sesuai: [8500]. Lebih rendah: [7225] -&gt; Beda: lebih murah dari harga publik - kemungkinan harga khusus agen/promo, konfirmasi ke; Tuition total/tahunan belum terbukti cocok dengan sumber resmi; Harga sebagian sesuai sumber resmi; Cara hitung tuition/periode: Hitung: total/tahunan ÷ N; Sumber: https://www.cihe.edu.au/wp-content/uploads/2026/08/2026_International_Course_Fees_v1.1.pdf, dicek 29/10/2026; Info sekolah: dahulu Crown Institute of Higher Education</t>
  </si>
  <si>
    <t xml:space="preserve">Master of Research - Major in Accounting</t>
  </si>
  <si>
    <t xml:space="preserve">Master of Research - Major in Business</t>
  </si>
  <si>
    <t xml:space="preserve">Graduate Diploma in Education (Early Education)</t>
  </si>
  <si>
    <t xml:space="preserve">CEK: Sebagian sesuai sumber resmi: 25.000 / (1 th x 4) = 6.250.0. Sesuai: [6250]. Lebih rendah: [5625] -&gt; Beda: lebih murah dari harga publik - kemungkinan harga khusus agen/promo, konfirmasi ke; Tuition total/tahunan belum terbukti cocok dengan sumber resmi; Harga sebagian sesuai sumber resmi; Cara hitung tuition/periode: Hitung: total/tahunan ÷ N; Sumber: https://www.cihe.edu.au/wp-content/uploads/2026/08/2026_International_Course_Fees_v1.1.pdf, dicek 29/10/2026; Info sekolah: dahulu Crown Institute of Higher Education</t>
  </si>
  <si>
    <t xml:space="preserve">Master of Teaching (Early Childhood Education)</t>
  </si>
  <si>
    <t xml:space="preserve">Harga sesuai sumber resmi; Cara hitung tuition/periode: Hitung: total/tahunan ÷ N; Sumber: https://www.cihe.edu.au/wp-content/uploads/2026/08/2026_International_Course_Fees_v1.1.pdf, dicek 29/10/2026; Info sekolah: dahulu Crown Institute of Higher Education</t>
  </si>
  <si>
    <t xml:space="preserve">Bachelor of Education (Early Childhood)</t>
  </si>
  <si>
    <t xml:space="preserve">CEK: Sebagian sesuai sumber resmi: 80.000 / (4 th x 4) = 5.000.0. Sesuai: [5000]. Lebih rendah: [4250] -&gt; Beda: lebih murah dari harga publik - kemungkinan harga khusus agen/promo, konfirmasi ke; Tuition total/tahunan belum terbukti cocok dengan sumber resmi; Harga sebagian sesuai sumber resmi; Cara hitung tuition/periode: Hitung: total/tahunan ÷ N; Sumber: https://www.cihe.edu.au/wp-content/uploads/2026/08/2026_International_Course_Fees_v1.1.pdf, dicek 29/10/2026; Info sekolah: dahulu Crown Institute of Higher Education</t>
  </si>
  <si>
    <t xml:space="preserve">CEK: Lebih murah dari harga publik (~5,500/periode): pastikan ini harga agen/promo yang berlaku. Dicocokkan dicek 30/10/2026: selisih 18.2% - beasiswa internasional resmi CIHE hanya Dean's List 10/15% mulai semester 2 (bukan harga awal); skema 20-30% untuk domestik; tetap perlu dokumen agen/promo bertanggal; Harga agen: dokumen price list agen belum dilampirkan; Lebih murah dari harga publik - kemungkinan harga agen/promo (tidak diubah); Cara hitung tuition/periode: Hitung: total/tahunan ÷ N; Sumber: https://www.cihe.edu.au/wp-content/uploads/2026/08/2026_International_Course_Fees_v1.1.pdf, dicek 29/10/2026; Info sekolah: dahulu Crown Institute of Higher Education</t>
  </si>
  <si>
    <t xml:space="preserve">Master of Professional Accounting Advanced</t>
  </si>
  <si>
    <t xml:space="preserve">Bachelor of Accounting</t>
  </si>
  <si>
    <t xml:space="preserve">CEK: Lebih murah dari harga publik (~4,500/periode): pastikan ini harga agen/promo yang berlaku. Dicocokkan dicek 30/10/2026: selisih 20.0% - beasiswa internasional resmi CIHE hanya Dean's List 10/15% mulai semester 2 (bukan harga awal); skema 20-30% untuk domestik; tetap perlu dokumen agen/promo bertanggal; Harga agen: dokumen price list agen belum dilampirkan; Lebih murah dari harga publik - kemungkinan harga agen/promo (tidak diubah); Cara hitung tuition/periode: Hitung: total/tahunan ÷ N; Sumber: https://www.cihe.edu.au/wp-content/uploads/2026/08/2026_International_Course_Fees_v1.1.pdf, dicek 29/10/2026; Info sekolah: dahulu Crown Institute of Higher Education</t>
  </si>
  <si>
    <t xml:space="preserve">CEK: Lebih murah dari harga publik (~6,000/periode): pastikan ini harga agen/promo yang berlaku. Dicocokkan dicek 30/10/2026: selisih 12.9% - beasiswa internasional resmi CIHE hanya Dean's List 10/15% mulai semester 2 (bukan harga awal); skema 20-30% untuk domestik; tetap perlu dokumen agen/promo bertanggal; Harga agen: dokumen price list agen belum dilampirkan; Lebih murah dari harga publik - kemungkinan harga agen/promo (tidak diubah); Cara hitung tuition/periode: Hitung: total/tahunan ÷ N; Sumber: https://www.cihe.edu.au/wp-content/uploads/2026/08/2026_International_Course_Fees_v1.1.pdf, dicek 29/10/2026; Info sekolah: dahulu Crown Institute of Higher Education</t>
  </si>
  <si>
    <t xml:space="preserve">CEK: Lebih murah dari harga publik (~4,500/periode): pastikan ini harga agen/promo yang berlaku. Dicocokkan dicek 30/10/2026: selisih 15.0% - beasiswa internasional resmi CIHE hanya Dean's List 10/15% mulai semester 2 (bukan harga awal); skema 20-30% untuk domestik; tetap perlu dokumen agen/promo bertanggal; Harga agen: dokumen price list agen belum dilampirkan; Lebih murah dari harga publik - kemungkinan harga agen/promo (tidak diubah); Cara hitung tuition/periode: Hitung: total/tahunan ÷ N; Sumber: https://www.cihe.edu.au/wp-content/uploads/2026/08/2026_International_Course_Fees_v1.1.pdf, dicek 29/10/2026; Info sekolah: dahulu Crown Institute of Higher Education</t>
  </si>
  <si>
    <t xml:space="preserve">Master of Business Administration Advanced</t>
  </si>
  <si>
    <t xml:space="preserve">CEK: Sebagian sesuai sumber resmi: 9.000 / (0.5 th x 4) = 4.500.0. Sesuai: [4500]. Lebih rendah: [4125] -&gt; Beda: lebih murah dari harga publik - kemungkinan harga khusus agen/promo, konfirmasi ke; Tuition total/tahunan belum terbukti cocok dengan sumber resmi; Harga sebagian sesuai sumber resmi; Cara hitung tuition/periode: Hitung: total/tahunan ÷ N; Sumber: https://www.cihe.edu.au/wp-content/uploads/2026/08/2026_International_Course_Fees_v1.1.pdf, dicek 29/10/2026; Info sekolah: dahulu Crown Institute of Higher Education</t>
  </si>
  <si>
    <t xml:space="preserve">Institute of Vision and Business &amp; Technology (IVBT)
2A/118 Lysaght St, Mitchell ACT 2911</t>
  </si>
  <si>
    <t xml:space="preserve">Cert IV in Kicthen Management + Dip OF Hospitality Management</t>
  </si>
  <si>
    <t xml:space="preserve">CEK: Situs resmi IVBT hanya mencantumkan kampus Ultimo NSW, tidak ada kampus ACT - konfirmasi.; Harga belum dicek ke sumber resmi</t>
  </si>
  <si>
    <t xml:space="preserve">Dip + Adv Dip Of Leadership and Management</t>
  </si>
  <si>
    <t xml:space="preserve">CEK: konfirmasi harga ke sekolah (harga beda dengan sumber resmi); Sumber: https://www.ivbt.edu.au/, dicek 29/10/2026</t>
  </si>
  <si>
    <t xml:space="preserve">Cert IV + Adv Dip Of Leadership and Management</t>
  </si>
  <si>
    <t xml:space="preserve">Mid City College
Suite 4, Level 3/15 Moore Street, Canberra, ACT 2601</t>
  </si>
  <si>
    <t xml:space="preserve">Asumsi bayar awal 2 term (nilai pricelist lama; dokumen resmi (Fee Policy v3.0 &amp; Handbook V3.0) tidak menyebut jumlah term; deposit mengikuti Fee Structure/offer letter) - konfirmasi ke sekolah; Harga belum dicek ke sumber resmi</t>
  </si>
  <si>
    <t xml:space="preserve">Cert III in Light Vehicle Mechanical Technology + Cert IV in Automotive Mechanical Diagnosis</t>
  </si>
  <si>
    <t xml:space="preserve">Cert III in Carpentry</t>
  </si>
  <si>
    <t xml:space="preserve">Opulence College
Mezzanine Level, 15 Moore St Canberra ACT 2601</t>
  </si>
  <si>
    <t xml:space="preserve">Cert IV in Ageing Support + Dip OF Community Service</t>
  </si>
  <si>
    <t xml:space="preserve">Cert III in Commercial Cookery + Cert IV in Kicthen Management + Dip Of Hospitality Management</t>
  </si>
  <si>
    <t xml:space="preserve">Dip + Adv Dip Of Information Technology (IT)</t>
  </si>
  <si>
    <t xml:space="preserve">Dip Of Leadership and Management + Adv Dip Of Business</t>
  </si>
  <si>
    <t xml:space="preserve">Whitehouse International College
Level 4, Suite 3, 15 Moore Street Canberra ACT 2601</t>
  </si>
  <si>
    <t xml:space="preserve">Cert III in Individual Support (Ageing)</t>
  </si>
  <si>
    <t xml:space="preserve">CEK: Sebagian sesuai sumber resmi: Jumlah term tidak disebut; bila 4 term: 11.000/4 = 2.750 = price list 2.750 (11.400/4 = 2.850 -&gt; price list lebih murah). Sumber bukan situs resmi sekolah. | Alamat resmi Suite 1, Level 3, 15 Moore St - konfirmasi.; Tuition total/tahunan belum terbukti cocok dengan sumber resmi; Harga sebagian sesuai sumber resmi; Cara hitung tuition/periode: Hitung: total/tahunan ÷ N; Sumber: https://www.studiesinaustralia.com/courses-in-australia/whitehouse-international-college-pty-ltd/courses/certificate-iii-in-individual-support-chc33021, dicek 29/10/2026</t>
  </si>
  <si>
    <t xml:space="preserve">Cert IV in Ageing Support</t>
  </si>
  <si>
    <t xml:space="preserve">Cert III in Individual Support (Ageing) + Diploma of Community Service ($3125/term on Dip level &amp; $2750/term on Adv Dip)</t>
  </si>
  <si>
    <t xml:space="preserve">Tuition beda per level, lihat keterangan di kolom Program; CEK: Sebagian sesuai sumber resmi: Hanya komponen Cert III yang dicek. Jumlah term tidak disebut; bila 4 term: 11.000/4 = 2.750 = price list 2.750 (11.400/4 = 2.850 -&gt; price list lebih murah). Su; Tuition total/tahunan belum terbukti cocok dengan sumber resmi; Harga sebagian sesuai sumber resmi; Cara hitung tuition/periode: Hitung: total/tahunan ÷ N; Sumber: https://www.studiesinaustralia.com/courses-in-australia/whitehouse-international-college-pty-ltd/courses/certificate-iii-in-individual-support-chc33021, dicek 29/10/2026</t>
  </si>
  <si>
    <t xml:space="preserve">OFFSHORE - ARMIDALE</t>
  </si>
  <si>
    <t xml:space="preserve">Academies Australasia</t>
  </si>
  <si>
    <t xml:space="preserve">Dip. of Agriculture</t>
  </si>
  <si>
    <t xml:space="preserve">1 years</t>
  </si>
  <si>
    <t xml:space="preserve">CEK: Brosur resmi (AKG0046, footer DEC25, cek 29 Okt 2026): AUD 4.000/term, 4 term/36 minggu per kursus. Admin/CoE fee resmi AUD 250 (di sini 200 = lebih murah, konfirmasi harga agen); material fee &amp; syarat bayar awal tidak tercantum; Adv Dip resmi = Advanced Diploma of Agribusiness Management (AHC60319); Tuition total/tahunan belum terbukti cocok dengan sumber resmi; Asumsi bayar awal 2 term (nilai pricelist lama; Handbook AAPoly (VET v3.2, HE v4.3, Okt 2026): VET minimal 1 term, Bachelor 1 semester sebelum mulai) - konfirmasi ke sekolah; Harga sebagian sesuai sumber resmi; Cara hitung tuition/periode: Resmi per periode; Sumber: https://academies.edu.au/wp-content/uploads/2025/05/AKG0046-Agriculture-Course.pdf, dicek 29/10/2026; Info sekolah: nama college dalam grup Academies Australasia (Institute/Polytechnic) belum dikonfirmasi per program</t>
  </si>
  <si>
    <t xml:space="preserve">Adv. Dip. of Agriculture</t>
  </si>
  <si>
    <t xml:space="preserve">Dip + Adv. Dip. of Agriculture</t>
  </si>
  <si>
    <t xml:space="preserve">CEK: Brosur resmi (AKG0046, footer DEC25, cek 29 Okt 2026): AUD 4.000/term, 4 term/36 minggu per kursus. Admin/CoE fee resmi AUD 250 (di sini 200 = lebih murah, konfirmasi harga agen); material fee &amp; syarat bayar awal tidak tercantum; Adv Dip resmi = Advanced Diploma of Agribusiness Management (AHC60319); paket Dip + Adv Dip tidak ada di brosur - butuh offer letter paket; Tuition total/tahunan belum terbukti cocok dengan sumber resmi; Asumsi bayar awal 2 term (nilai pricelist lama; Handbook AAPoly (VET v3.2, HE v4.3, Okt 2026): VET minimal 1 term, Bachelor 1 semester sebelum mulai) - konfirmasi ke sekolah; Harga sebagian sesuai sumber resmi; Cara hitung tuition/periode: Resmi per periode; Sumber: https://academies.edu.au/wp-content/uploads/2025/05/AKG0046-Agriculture-Course.pdf, dicek 29/10/2026; Info sekolah: nama college dalam grup Academies Australasia (Institute/Polytechnic) belum dikonfirmasi per program</t>
  </si>
  <si>
    <t xml:space="preserve">OFFSHORE - DARWIN</t>
  </si>
  <si>
    <t xml:space="preserve">Alice Springs College of Australia (ASCA)
40 Gap road, the Gap Alice Springs, NT 0870</t>
  </si>
  <si>
    <t xml:space="preserve">Cert IV in Kitchen Management + Dip of Hospitality Management ($2500/term in Dip)</t>
  </si>
  <si>
    <t xml:space="preserve">Cert IV in Kitchen Management + Dip + Adv Dip of Hospitality Management ($2500/term in Dip &amp; Adv Dip)</t>
  </si>
  <si>
    <t xml:space="preserve">4,5 years</t>
  </si>
  <si>
    <t xml:space="preserve">Cert IV + Dip of Marketing &amp; Communication</t>
  </si>
  <si>
    <t xml:space="preserve">Cert IV + Dip + Adv Dip of Marketing &amp; Communication ($2500/term in Adv Dip)</t>
  </si>
  <si>
    <t xml:space="preserve">Cert III in Bricklaying and Blocklaying + Dip of Building &amp; Construction (Building)</t>
  </si>
  <si>
    <t xml:space="preserve">Cert III in Solid Plastering + Dip of Building &amp; Construction (Building)</t>
  </si>
  <si>
    <t xml:space="preserve">Cert III in Carpentry + Dip of Building &amp; Construction (Building)</t>
  </si>
  <si>
    <t xml:space="preserve">Cert III in Cabinet Making &amp; Timber Tecnology + Dip of Building &amp; Construction (Building)</t>
  </si>
  <si>
    <t xml:space="preserve">Dip of Building &amp; Construction (Building)</t>
  </si>
  <si>
    <t xml:space="preserve">Canterbury Institute of Management (CIM)
2 Printers Place, DARWIN CITY NT 0800</t>
  </si>
  <si>
    <t xml:space="preserve">Bachelor Of Business (Accounting Major)</t>
  </si>
  <si>
    <t xml:space="preserve">CEK: Bachelor of Business berstatus 'Pending Renewal' di register TEQSA - cek sebelum mendaftarkan siswa.; Material/enrolment belum tercatat (material; dihitung 0 di Estimasi Initial Payment); Harga sesuai sumber resmi; Cara hitung tuition/periode: Resmi per periode; Sumber: https://ciom.edu.au/future-students-international/ ; https://ciom.edu.au/wp-content/uploads/2026/05/CIM_Brochure_A4_v03_18-December_International_Web-2.pdf, dicek 29/10/2026; Kode internal: AIG (ACHIEVA)</t>
  </si>
  <si>
    <t xml:space="preserve">Bachelor Of Business (Information Sydtems Major)</t>
  </si>
  <si>
    <t xml:space="preserve">CEK: Bachelor of Business berstatus 'Pending Renewal' di register TEQSA (berlaku untuk semua major) - pastikan CoE masih bisa diterbitkan sebelum ditawarkan.; Material/enrolment belum tercatat (material; dihitung 0 di Estimasi Initial Payment); Harga sesuai sumber resmi; Cara hitung tuition/periode: Resmi per periode; Sumber: https://ciom.edu.au/future-students-international/ ; https://ciom.edu.au/wp-content/uploads/2026/05/CIM_Brochure_A4_v03_18-December_International_Web-2.pdf, dicek 29/10/2026; Kode internal: AIG (ACHIEVA)</t>
  </si>
  <si>
    <t xml:space="preserve">Bachelor Of Business (Management Major)</t>
  </si>
  <si>
    <t xml:space="preserve">Bachelor Of Business (Hospitality Major)</t>
  </si>
  <si>
    <t xml:space="preserve">Bachelor Of Business (Double Major)</t>
  </si>
  <si>
    <t xml:space="preserve">Charles Darwin University (CDU)
Ellengowan Drive, Brinkin/Casuarina NT 0810, Australia ------------------- 54 Cavenagh Street, Darwin City NT 0800, Australia------------------- CDU Waterfront, 21 Kitchener Drive, Darwin NT 0800, Australia</t>
  </si>
  <si>
    <t xml:space="preserve">Material/enrolment belum tercatat (material+enrolment; dihitung 0 di Estimasi Initial Payment); Harga sesuai sumber resmi; Cara hitung tuition/periode: Hitung: total/tahunan ÷ N; Sumber: https://www.cdu.edu.au/files/2025-08/2026-he-international-annual-tuition-fees.pdf, dicek 29/10/2026; Kode internal: TAFE</t>
  </si>
  <si>
    <t xml:space="preserve">Dip of Arts</t>
  </si>
  <si>
    <t xml:space="preserve">Bachelor of Architectural Design</t>
  </si>
  <si>
    <t xml:space="preserve">Graduate Certificate of Arts</t>
  </si>
  <si>
    <t xml:space="preserve">Bachelor of Arts Honours</t>
  </si>
  <si>
    <t xml:space="preserve">Master of Arts</t>
  </si>
  <si>
    <t xml:space="preserve">Master of Public Policy</t>
  </si>
  <si>
    <t xml:space="preserve">Associate Degree of Legal Studies</t>
  </si>
  <si>
    <t xml:space="preserve">Diploma of Digital Enterprise / Bachelor of Accounting</t>
  </si>
  <si>
    <t xml:space="preserve">Dip of Digital Enterprise</t>
  </si>
  <si>
    <t xml:space="preserve">Diploma of Laws / Bachelor of Accounting</t>
  </si>
  <si>
    <t xml:space="preserve">Dip of Laws</t>
  </si>
  <si>
    <t xml:space="preserve">Bachelor of Digital Enterprise</t>
  </si>
  <si>
    <t xml:space="preserve">Master of Business Administration (Professional Practice)</t>
  </si>
  <si>
    <t xml:space="preserve">Graduate Certificate of Business</t>
  </si>
  <si>
    <t xml:space="preserve">Master of Professional Accounting (Professional Practice)</t>
  </si>
  <si>
    <t xml:space="preserve">Dip of Business Studies</t>
  </si>
  <si>
    <t xml:space="preserve">Bachelor of Laws Honours</t>
  </si>
  <si>
    <t xml:space="preserve">Diploma of Social Care</t>
  </si>
  <si>
    <t xml:space="preserve">Bachelor of Humanitarian Aid and Development</t>
  </si>
  <si>
    <t xml:space="preserve">Graduate Diploma of Emergency and Disaster Management</t>
  </si>
  <si>
    <t xml:space="preserve">Master of Emergency and Disaster Management</t>
  </si>
  <si>
    <t xml:space="preserve">Tuition 9.120 = 36.480/tahun ÷ 4 (konvensi TEG fee tahunan/4; basis tagih CDU per periode belum dibuktikan - tercakup status "Sebagian"). Material &amp; enrolment belum tercatat (kosong, bukan nol).; Material/enrolment belum tercatat (material+enrolment; dihitung 0 di Estimasi Initial Payment); Harga sebagian sesuai sumber resmi; Cara hitung tuition/periode: Hitung: total/tahunan ÷ N; Sumber: https://www.cdu.edu.au/files/2025-08/2026-he-international-annual-tuition-fees.pdf, dicek 29/10/2026; Kode internal: TAFE</t>
  </si>
  <si>
    <t xml:space="preserve">Bachelor of Education (Birth to 5 years)</t>
  </si>
  <si>
    <t xml:space="preserve">Bachelor of Education in Early Childhood Teaching (Birth to 12 years)</t>
  </si>
  <si>
    <t xml:space="preserve">Bachelor of Education Primary</t>
  </si>
  <si>
    <t xml:space="preserve">Bachelor of Education Secondary</t>
  </si>
  <si>
    <t xml:space="preserve">Bachelor of Primary Education / Master of Secondary</t>
  </si>
  <si>
    <t xml:space="preserve">Graduate Certificate of Specialist Education</t>
  </si>
  <si>
    <t xml:space="preserve">Graduate Certificate of University Learning and Teaching</t>
  </si>
  <si>
    <t xml:space="preserve">Graduate Diploma of Linguistic Studies</t>
  </si>
  <si>
    <t xml:space="preserve">Graduate Diploma of Specialist Education</t>
  </si>
  <si>
    <t xml:space="preserve">Master of Applied Linguistics</t>
  </si>
  <si>
    <t xml:space="preserve">Master of Teaching (Birth to 5 Years)</t>
  </si>
  <si>
    <t xml:space="preserve">Master of Teaching Early Childhood</t>
  </si>
  <si>
    <t xml:space="preserve">Master of Teaching Primary</t>
  </si>
  <si>
    <t xml:space="preserve">Master of Teaching Secondary</t>
  </si>
  <si>
    <t xml:space="preserve">Dip of Engineering</t>
  </si>
  <si>
    <t xml:space="preserve">Bachelor of Engineering Honours</t>
  </si>
  <si>
    <t xml:space="preserve">Bachelor of Engineering Science</t>
  </si>
  <si>
    <t xml:space="preserve">Bachelor of Engineering Science / Master of Engineering</t>
  </si>
  <si>
    <t xml:space="preserve">Associate Degree of Engineering</t>
  </si>
  <si>
    <t xml:space="preserve">Associate Degree of Network Engineering</t>
  </si>
  <si>
    <t xml:space="preserve">Master of Engineering</t>
  </si>
  <si>
    <t xml:space="preserve">Master of Engineering (3 years)</t>
  </si>
  <si>
    <t xml:space="preserve">Dip of Science</t>
  </si>
  <si>
    <t xml:space="preserve">Dip of Health Science</t>
  </si>
  <si>
    <t xml:space="preserve">Graduate Diploma of Public Health</t>
  </si>
  <si>
    <t xml:space="preserve">Graduate Certificate of Public Health</t>
  </si>
  <si>
    <t xml:space="preserve">CEK: Sebagian sesuai sumber resmi: 17,371 (0,5 thn = 1 semester) /2 = 8,686. Sebagian baris cocok, sebagian tidak: Offshore Darwin: 8686; Onshore Darwin (NT): 4343; Onshore Darwin (NT): 8686. Kem; Material/enrolment belum tercatat (material+enrolment; dihitung 0 di Estimasi Initial Payment); Tuition total/tahunan belum terbukti cocok dengan sumber resmi; Harga sebagian sesuai sumber resmi; Cara hitung tuition/periode: Hitung: total/tahunan ÷ N; Sumber: https://www.cdu.edu.au/files/2025-08/2026-he-international-annual-tuition-fees.pdf, dicek 29/10/2026; Kode internal: TAFE</t>
  </si>
  <si>
    <t xml:space="preserve">Bachelor of Environmental Science</t>
  </si>
  <si>
    <t xml:space="preserve">Bachelor of Science Honours</t>
  </si>
  <si>
    <t xml:space="preserve">Bachelor of Health Science</t>
  </si>
  <si>
    <t xml:space="preserve">Bachelor of Health Services Management</t>
  </si>
  <si>
    <t xml:space="preserve">Master of Applied Spatial Science</t>
  </si>
  <si>
    <t xml:space="preserve">Master of Environmental Management</t>
  </si>
  <si>
    <t xml:space="preserve">Master of Health Research</t>
  </si>
  <si>
    <t xml:space="preserve">Master of Public Health / Master of Health Research</t>
  </si>
  <si>
    <t xml:space="preserve">Diploma of Health Care</t>
  </si>
  <si>
    <t xml:space="preserve">Bachelor of Health Science / Master of Occupational Therapy</t>
  </si>
  <si>
    <t xml:space="preserve">Bachelor of Health Science / Master of Physiotherapy</t>
  </si>
  <si>
    <t xml:space="preserve">Bachelor of Health Science / Master of Speech and Language Therapy</t>
  </si>
  <si>
    <t xml:space="preserve">Bachelor of Medical Laboratory Science Honours</t>
  </si>
  <si>
    <t xml:space="preserve">Bachelor of Nutrition</t>
  </si>
  <si>
    <t xml:space="preserve">Bachelor of Oral Health Terapy</t>
  </si>
  <si>
    <t xml:space="preserve">Bachelor of Paramedicine</t>
  </si>
  <si>
    <t xml:space="preserve">Bachelor of Public Health</t>
  </si>
  <si>
    <t xml:space="preserve">Graduate Certificate of Infectious Disease Prevention and Control</t>
  </si>
  <si>
    <t xml:space="preserve">Material/enrolment belum tercatat (material+enrolment; dihitung 0 di Estimasi Initial Payment); Harga diperbarui dari sumber resmi; Cara hitung tuition/periode: Hitung: total/tahunan ÷ N; Sumber: https://www.cdu.edu.au/files/2025-08/2026-he-international-annual-tuition-fees.pdf, dicek 29/10/2026; Kode internal: TAFE</t>
  </si>
  <si>
    <t xml:space="preserve">Graduate Diploma of Health Research</t>
  </si>
  <si>
    <t xml:space="preserve">Graduate Diploma of Indigenous Policy Development</t>
  </si>
  <si>
    <t xml:space="preserve">Master of Clinical Audiology</t>
  </si>
  <si>
    <t xml:space="preserve">Master of Dietetics</t>
  </si>
  <si>
    <t xml:space="preserve">Master of Medical Laboratory Science</t>
  </si>
  <si>
    <t xml:space="preserve">Doctor of Pharmacy</t>
  </si>
  <si>
    <t xml:space="preserve">Bachelor of Midwifery</t>
  </si>
  <si>
    <t xml:space="preserve">Master of Nursing Practice (Pre-registration)</t>
  </si>
  <si>
    <t xml:space="preserve">Dip of Counselling</t>
  </si>
  <si>
    <t xml:space="preserve">Dip of Psychology</t>
  </si>
  <si>
    <t xml:space="preserve">Bachelor of Psychological Science (Graduate Entry)</t>
  </si>
  <si>
    <t xml:space="preserve">Bachelor of Psychological Science Honours</t>
  </si>
  <si>
    <t xml:space="preserve">Diploma of Digital Enterprise</t>
  </si>
  <si>
    <t xml:space="preserve">Dip of Information Technology (IT)</t>
  </si>
  <si>
    <t xml:space="preserve">Associate Degree of Information and Communication Technology</t>
  </si>
  <si>
    <t xml:space="preserve">Bachelor of Software Engineering Honours</t>
  </si>
  <si>
    <t xml:space="preserve">Master of Data Science</t>
  </si>
  <si>
    <t xml:space="preserve">Master of Information Technology (AI)</t>
  </si>
  <si>
    <t xml:space="preserve">Master of Information Technology (Cyber Security)</t>
  </si>
  <si>
    <t xml:space="preserve">Master of Information Technology (Information Systems)</t>
  </si>
  <si>
    <t xml:space="preserve">Master of Information Technology (Software Engineering)</t>
  </si>
  <si>
    <t xml:space="preserve">Graduate Certificate of Research Methods</t>
  </si>
  <si>
    <t xml:space="preserve">CEK: Lebih murah dari harga publik (~9,418/periode): pastikan ini harga agen/promo yang berlaku. Dicocokkan dicek 30/10/2026: selisih 10.5% - beasiswa resmi CDU (Global Merit 30%, VCIHAS 50%, Nursing s.d. 20%) tidak ada yang 8-10%; kemungkinan beda tahun tarif 2026/2027; tetap perlu dokumen agen/promo bertanggal; Material/enrolment belum tercatat (material+enrolment; dihitung 0 di Estimasi Initial Payment); Harga agen: dokumen price list agen belum dilampirkan; Lebih murah dari harga publik - kemungkinan harga agen/promo (tidak diubah); Cara hitung tuition/periode: Hitung: total/tahunan ÷ N; Sumber: https://www.cdu.edu.au/files/2025-08/2026-he-international-annual-tuition-fees.pdf, dicek 29/10/2026; Kode internal: TAFE</t>
  </si>
  <si>
    <t xml:space="preserve">Doctor of Philosophy (High Cost) - APHD01</t>
  </si>
  <si>
    <t xml:space="preserve">CEK: Lebih murah dari harga publik (~9,182/periode): pastikan ini harga agen/promo yang berlaku. Dicocokkan dicek 30/10/2026: selisih 8.2% - beasiswa resmi CDU (Global Merit 30%, VCIHAS 50%, Nursing s.d. 20%) tidak ada yang 8-10%; kemungkinan beda tahun tarif 2026/2027; tetap perlu dokumen agen/promo bertanggal; Material/enrolment belum tercatat (material+enrolment; dihitung 0 di Estimasi Initial Payment); Harga agen: dokumen price list agen belum dilampirkan; Lebih murah dari harga publik - kemungkinan harga agen/promo (tidak diubah); Cara hitung tuition/periode: Hitung: total/tahunan ÷ N; Sumber: https://www.cdu.edu.au/files/2025-08/2026-he-international-annual-tuition-fees.pdf, dicek 29/10/2026; Kode internal: TAFE</t>
  </si>
  <si>
    <t xml:space="preserve">Doctor of Philosophy (Low Cost) - APHD01</t>
  </si>
  <si>
    <t xml:space="preserve">CEK: Lebih murah dari harga publik (~8,485/periode): pastikan ini harga agen/promo yang berlaku. Dicocokkan dicek 30/10/2026: selisih 8.3% - beasiswa resmi CDU (Global Merit 30%, VCIHAS 50%, Nursing s.d. 20%) tidak ada yang 8-10%; kemungkinan beda tahun tarif 2026/2027; tetap perlu dokumen agen/promo bertanggal; Material/enrolment belum tercatat (material+enrolment; dihitung 0 di Estimasi Initial Payment); Harga agen: dokumen price list agen belum dilampirkan; Lebih murah dari harga publik - kemungkinan harga agen/promo (tidak diubah); Cara hitung tuition/periode: Hitung: total/tahunan ÷ N; Sumber: https://www.cdu.edu.au/files/2025-08/2026-he-international-annual-tuition-fees.pdf, dicek 29/10/2026; Kode internal: TAFE</t>
  </si>
  <si>
    <t xml:space="preserve">Master by Research (High Cost) - RMRS01</t>
  </si>
  <si>
    <t xml:space="preserve">Master by Research (Low Cost) - RMRS01</t>
  </si>
  <si>
    <t xml:space="preserve">Accelerated International Masters Qualifying Program</t>
  </si>
  <si>
    <t xml:space="preserve">Material/enrolment belum tercatat (material+enrolment; dihitung 0 di Estimasi Initial Payment); Harga belum dicek ke sumber resmi; Kode internal: TAFE</t>
  </si>
  <si>
    <t xml:space="preserve">Study Abroad Program (One Semester)</t>
  </si>
  <si>
    <t xml:space="preserve">Study Abroad Program (Two Semesters)</t>
  </si>
  <si>
    <t xml:space="preserve">Sydney City College of Management
25 Cavenagh Street, Darwin, NT, 0800</t>
  </si>
  <si>
    <t xml:space="preserve">Harga belum dicek ke sumber resmi; Kode internal: AIG (ACHIEVA)</t>
  </si>
  <si>
    <t xml:space="preserve">Adv Dip Of Civil Construction Design</t>
  </si>
  <si>
    <t xml:space="preserve">Harga sesuai sumber resmi; Cara hitung tuition/periode: Hitung: total/tahunan ÷ N; Sumber: https://search.studyaustralia.gov.au/provider/sydney-city-college-of-management-pty-ltd/611a9f771f7d091da9330a8f636396e3/courses, dicek 29/10/2026; Kode internal: AIG (ACHIEVA)</t>
  </si>
  <si>
    <t xml:space="preserve">Cert IV in Kitchen Management + Dip + Adv Dip Of Hospitality Management</t>
  </si>
  <si>
    <t xml:space="preserve">OFFSHORE - PERTH</t>
  </si>
  <si>
    <t xml:space="preserve">Academies Australasia
Level 1, 120 Roe Street, Perth Western Australia 6003 Australia</t>
  </si>
  <si>
    <t xml:space="preserve">Adv Dip of Leadership Management</t>
  </si>
  <si>
    <t xml:space="preserve">CEK: konfirmasi harga ke sekolah (harga beda dengan sumber resmi); Asumsi bayar awal 2 term (nilai pricelist lama; Handbook AAPoly (VET v3.2, HE v4.3, Okt 2026): VET minimal 1 term, Bachelor 1 semester sebelum mulai) - konfirmasi ke sekolah; Sumber: https://search.studyaustralia.gov.au/provider/academies-australasia-institute-pty-ltd/f3038ae580677da109eb5d80db52fc84/courses, dicek 29/10/2026; Info sekolah: nama college dalam grup Academies Australasia (Institute/Polytechnic) belum dikonfirmasi per program</t>
  </si>
  <si>
    <t xml:space="preserve">Bachelor of Toursim &amp; Hospitality Management</t>
  </si>
  <si>
    <t xml:space="preserve">Asumsi bayar awal 2 term (nilai pricelist lama; Handbook AAPoly (VET v3.2, HE v4.3, Okt 2026): VET minimal 1 term, Bachelor 1 semester sebelum mulai) - konfirmasi ke sekolah; Harga belum dicek ke sumber resmi; Info sekolah: nama college dalam grup Academies Australasia (Institute/Polytechnic) belum dikonfirmasi per program</t>
  </si>
  <si>
    <t xml:space="preserve">Dip + Adv Dip of Project Management</t>
  </si>
  <si>
    <t xml:space="preserve">Bachelor of Information Technology (IT) (S1)</t>
  </si>
  <si>
    <t xml:space="preserve">Master of Information Technology (IT) (S2)</t>
  </si>
  <si>
    <t xml:space="preserve">Adv. Dip. of Holistic Classical Yoga Teaching and Therapy</t>
  </si>
  <si>
    <t xml:space="preserve">1,5 year</t>
  </si>
  <si>
    <t xml:space="preserve">CEK: Sebagian sesuai sumber resmi: Jumlah term tidak disebut; offshore 3.000 x 5 term (asumsi term 9 minggu) = 15.000 = total resmi. Onshore 2500: lebih murah dari harga publik - kemungkinan harg; Tuition total/tahunan belum terbukti cocok dengan sumber resmi; Asumsi bayar awal 2 term (nilai pricelist lama; Handbook AAPoly (VET v3.2, HE v4.3, Okt 2026): VET minimal 1 term, Bachelor 1 semester sebelum mulai) - konfirmasi ke sekolah; Harga sebagian sesuai sumber resmi; Cara hitung tuition/periode: Hitung: total/tahunan ÷ N; Sumber: https://search.studyaustralia.gov.au/provider/academies-australasia-institute-pty-ltd/f3038ae580677da109eb5d80db52fc84/courses, dicek 29/10/2026; Info sekolah: nama college dalam grup Academies Australasia (Institute/Polytechnic) belum dikonfirmasi per program</t>
  </si>
  <si>
    <t xml:space="preserve">Diploma + Adv Dip Of Hospitality Management</t>
  </si>
  <si>
    <t xml:space="preserve">CEK: Lebih murah dari harga publik (~2,000/periode): pastikan ini harga agen/promo yang berlaku. Dicocokkan dicek 30/10/2026: selisih 25.0% - situs resmi ACA/AAPoly tanpa diskon persentase (hanya Eagle Award AUD 1.200); tetap perlu dokumen agen/promo bertanggal; Harga agen: dokumen price list agen belum dilampirkan; Asumsi bayar awal 2 term (nilai pricelist lama; Handbook AAPoly (VET v3.2, HE v4.3, Okt 2026): VET minimal 1 term, Bachelor 1 semester sebelum mulai) - konfirmasi ke sekolah; Lebih murah dari harga publik - kemungkinan harga agen/promo (tidak diubah); Sumber: https://academies.edu.au/wp-content/uploads/2025/12/AKG00471-Hospitality-Management-Course-Perth.pdf, dicek 29/10/2026; Info sekolah: nama college dalam grup Academies Australasia (Institute/Polytechnic) belum dikonfirmasi per program</t>
  </si>
  <si>
    <t xml:space="preserve">AIBI Higher Education
74 Walters Dr, Osborne Park WA 6017, Australia</t>
  </si>
  <si>
    <t xml:space="preserve">Bachelor of Cyber Security (Tuition fee will be lower on 2nd $3795/term and 3th year $3696/term)</t>
  </si>
  <si>
    <t xml:space="preserve">Tuition beda per level, lihat keterangan di kolom Program; Brosur AIBI Jul 2026: 3 term/tahun (Term 1-3), tagihan per unit (UG offshore Y1 $2.497,50/unit; UG onshore $1.695/unit; PG $2.025/unit). Tuition/periode di file = tahunan ÷ 4 (konvensi TEG), bukan tarif per term AIBI. Material fee tidak disebut di dokumen - tetap kosong (bukan nol).; CEK: initial payment offshore AIBI = minimum hasil hitung (3 unit + app fee), bukan nominal tertulis - jumlah final dari offer letter; Material/enrolment belum tercatat (material; dihitung 0 di Estimasi Initial Payment); Initial payment CoE menurut dokumen: AUD 7.742 (MINIMUM HASIL HITUNG, bukan nominal tertulis: brosur hanya menyebut "Offshore COE deposit starts from 3 units onwards" -) - belum ditinjau; jumlah pasti ikuti offer letter; Tuition total/tahunan belum terbukti cocok dengan sumber resmi; Harga sebagian sesuai sumber resmi; Cara hitung tuition/periode: Hitung: total/tahunan ÷ N; Sumber: Pricelist AIBI - HE - PRICELIST JULY 2026.pdf hal. 1-2 (Price List &amp; Key Dates Jul 2026 (key dates T3 2026 - T3 2027); promosi, tanpa tanggal akhir), dicek 29/10/2026</t>
  </si>
  <si>
    <t xml:space="preserve">Bachelor of Business (Tuition fee will be lower on 2nd $3795/term and 3th year $3696/term)</t>
  </si>
  <si>
    <t xml:space="preserve">Bachelor of Business (Hospitality Management) (Tuition fee will be lower on 2nd $3795/term and 3th year $3696/term)</t>
  </si>
  <si>
    <t xml:space="preserve">Bachelor of Business (AI Management) (Tuition fee will be lower on 2nd $3795/term and 3th year $3696/term)</t>
  </si>
  <si>
    <t xml:space="preserve">Bachelor of Business (Enterprise Management Systems) (Tuition fee will be lower on 2nd $3795/term and 3th year $3696/term)</t>
  </si>
  <si>
    <t xml:space="preserve">Master of Business Administration (Digital Transformation)</t>
  </si>
  <si>
    <t xml:space="preserve">Brosur AIBI Jul 2026: 3 term/tahun (Term 1-3), tagihan per unit (UG offshore Y1 $2.497,50/unit; UG onshore $1.695/unit; PG $2.025/unit). Tuition/periode di file = tahunan ÷ 4 (konvensi TEG), bukan tarif per term AIBI. Material fee tidak disebut di dokumen - tetap kosong (bukan nol).; CEK: initial payment offshore AIBI = minimum hasil hitung (3 unit + app fee), bukan nominal tertulis - jumlah final dari offer letter; Material/enrolment belum tercatat (material; dihitung 0 di Estimasi Initial Payment); Initial payment CoE menurut dokumen: AUD 6.325 (MINIMUM HASIL HITUNG, bukan nominal tertulis: brosur hanya menyebut "Offshore COE deposit starts from 3 units onwards" -) - belum ditinjau; jumlah pasti ikuti offer letter; Tuition total/tahunan belum terbukti cocok dengan sumber resmi; Harga sebagian sesuai sumber resmi; Cara hitung tuition/periode: Hitung: total/tahunan ÷ N; Sumber: Pricelist AIBI - HE - PRICELIST JULY 2026.pdf hal. 1-2 (Price List &amp; Key Dates Jul 2026 (key dates T3 2026 - T3 2027); promosi, tanpa tanggal akhir), dicek 29/10/2026</t>
  </si>
  <si>
    <t xml:space="preserve">Master of Business Administration (Digital Transformation); Specialisation stream: AI Management</t>
  </si>
  <si>
    <t xml:space="preserve">Master of Business Administration (Digital Transformation); Specialisation stream: Business Analytics</t>
  </si>
  <si>
    <t xml:space="preserve">Master of Business Administration (Digital Transformation); Specialisation stream: FinTech Management</t>
  </si>
  <si>
    <t xml:space="preserve">Master of Business Administration (Digital Transformation); Specialisation stream: Project Management</t>
  </si>
  <si>
    <t xml:space="preserve">Graduate Diploma for Business</t>
  </si>
  <si>
    <t xml:space="preserve">Graduate Certificate for Business</t>
  </si>
  <si>
    <t xml:space="preserve">8 months</t>
  </si>
  <si>
    <t xml:space="preserve">Graduate Diploma for Information Technology (IT)</t>
  </si>
  <si>
    <t xml:space="preserve">Graduate Certificate for Information Technology (IT)</t>
  </si>
  <si>
    <t xml:space="preserve">Apeiro Institute
10 Victoria Ave, Perth WA 6000, Australia</t>
  </si>
  <si>
    <t xml:space="preserve">Dip + Adv Dip of Business</t>
  </si>
  <si>
    <t xml:space="preserve">Harga belum dicek ke sumber resmi; Cara hitung tuition/periode: Hitung: total/tahunan ÷ N</t>
  </si>
  <si>
    <t xml:space="preserve">Dip of Business + Adv Dip of Leadership and Management</t>
  </si>
  <si>
    <t xml:space="preserve">Cert III + Cert IV in Light Vehicle Mechanical Technology</t>
  </si>
  <si>
    <t xml:space="preserve">Cert III + Cert IV in Light Vehicle Mechanical Technology + Dip of Automotive Technology</t>
  </si>
  <si>
    <t xml:space="preserve">Cert III + Cert IV in Electronics and Communications</t>
  </si>
  <si>
    <t xml:space="preserve">Dip + Adv. Dip. Of Civil Construction Design</t>
  </si>
  <si>
    <t xml:space="preserve">Aroha College
Level 1, 12 Newcastle st, Perth WA 6000, Australia</t>
  </si>
  <si>
    <t xml:space="preserve">Cert III in Early Childhood Education &amp; Care + Dip of Community Service</t>
  </si>
  <si>
    <t xml:space="preserve">1,75 years</t>
  </si>
  <si>
    <t xml:space="preserve">Material fee: included in tuition fee; Material/enrolment belum tercatat (material+enrolment; dihitung 0 di Estimasi Initial Payment); Harga belum dicek ke sumber resmi</t>
  </si>
  <si>
    <t xml:space="preserve">Cert III in Early Individual Support (Ageing and Disability) + Dip of Community Service</t>
  </si>
  <si>
    <t xml:space="preserve">Baxter Institute
U2, 41-45 COMMERCE AVENUE, ARMADALE, WA - 6112</t>
  </si>
  <si>
    <t xml:space="preserve">Cert III in Solid Plastering</t>
  </si>
  <si>
    <t xml:space="preserve">Cert III in wall &amp; Floor Tiling</t>
  </si>
  <si>
    <t xml:space="preserve">Cert III in Light Vehicle Mechanical Technology + Cert IV in Automotive Mechanical Diagnosis + Dip of Automotive</t>
  </si>
  <si>
    <t xml:space="preserve">Dip + Adv Dip of Data Science</t>
  </si>
  <si>
    <t xml:space="preserve">Dip of IT</t>
  </si>
  <si>
    <t xml:space="preserve">CEK: Lebih murah dari harga publik (~6,000/periode): pastikan ini harga agen/promo yang berlaku. Dicocokkan dicek 30/10/2026: selisih 26.7% - beasiswa internasional resmi CIHE hanya Dean's List 10/15% mulai semester 2 (bukan harga awal); skema 20-30% untuk domestik; tetap perlu dokumen agen/promo bertanggal; Harga agen: dokumen price list agen belum dilampirkan; Lebih murah dari harga publik - kemungkinan harga agen/promo (tidak diubah); Cara hitung tuition/periode: Hitung: total/tahunan ÷ N; Sumber: https://www.cihe.edu.au/wp-content/uploads/2026/08/2026_International_Course_Fees_v1.1.pdf, dicek 29/10/2026; Info sekolah: dahulu Crown Institute of Higher Education</t>
  </si>
  <si>
    <t xml:space="preserve">CEK: Lebih murah dari harga publik (~5,500/periode): pastikan ini harga agen/promo yang berlaku. Dicocokkan dicek 30/10/2026: selisih 20.0% - beasiswa internasional resmi CIHE hanya Dean's List 10/15% mulai semester 2 (bukan harga awal); skema 20-30% untuk domestik; tetap perlu dokumen agen/promo bertanggal; Harga agen: dokumen price list agen belum dilampirkan; Lebih murah dari harga publik - kemungkinan harga agen/promo (tidak diubah); Cara hitung tuition/periode: Hitung: total/tahunan ÷ N; Sumber: https://www.cihe.edu.au/wp-content/uploads/2026/08/2026_International_Course_Fees_v1.1.pdf, dicek 29/10/2026; Info sekolah: dahulu Crown Institute of Higher Education</t>
  </si>
  <si>
    <t xml:space="preserve">Everthought College of Construction
Building 3, 92 Mallard Way, Cannington WA 6107</t>
  </si>
  <si>
    <t xml:space="preserve">Cert III in Wall &amp; Floor Tiling</t>
  </si>
  <si>
    <t xml:space="preserve">Cert III in Bricklaying &amp; Blocklaying</t>
  </si>
  <si>
    <t xml:space="preserve">Dip of Building &amp; Construction - Building</t>
  </si>
  <si>
    <t xml:space="preserve">Adv Dip of Civil Constructiion Design</t>
  </si>
  <si>
    <t xml:space="preserve">Cert III in Carpentry + Cert IV in Building &amp; Construction ($2000/term in Cert IV)</t>
  </si>
  <si>
    <t xml:space="preserve">Cert III in Wall &amp; Floor Tiling + Cert IV in Building &amp; Construction ($2000/term in Cert IV)</t>
  </si>
  <si>
    <t xml:space="preserve">Cert III in Carpentry + Dip of Building &amp; Construction - Management ($2000/term in Dip)</t>
  </si>
  <si>
    <t xml:space="preserve">Cert III in Wall &amp; Floor Tiling + Dip of Building &amp; Construction - Management ($2000/term in Dip)</t>
  </si>
  <si>
    <t xml:space="preserve">Global College Australasia
21 Moore St, east Perth, WA 6004 ---------- 176 Wellington St, East Perth, WA 6004</t>
  </si>
  <si>
    <t xml:space="preserve">Cert III in Commercial Cookery + Cert IV in Kicthen Management + Dip + Adv Dip Of Hospitality Management</t>
  </si>
  <si>
    <t xml:space="preserve">Cert III + Cert IV in Asian Cookery + Dip Of Hospitality Mangement</t>
  </si>
  <si>
    <t xml:space="preserve">Cert III + Cert IV in Asian Cookery + Dip + Adv Dip Of Hospitality Mangement</t>
  </si>
  <si>
    <t xml:space="preserve">Cert III + Cert IV in Patisserie + Dip Of Hospitality Management</t>
  </si>
  <si>
    <t xml:space="preserve">Cert III + Cert IV in Patisserie + Dip + Adv Dip Of Hospitality Management</t>
  </si>
  <si>
    <t xml:space="preserve">CEK: konfirmasi harga ke sekolah (harga beda dengan sumber resmi); CEK: Harga di sini 2,580 lebih mahal dari harga resmi ~2,212/periode - konfirmasi ke sekolah sebelum dipakai. Total resmi 9,200+8,500 = 17,700 utk 102 mgg (~2 thn). Dengan konvensi agen 4 term/thn (asumsi, tidak dinyatakan sumber): 17,700/8 = 2,212.50/term. Daftar 2,580; Cara hitung tuition/periode: Hitung: total/tahunan ÷ N; Sumber: https://search.studyaustralia.gov.au/provider/global-college-australasia/e038ad57f904134f76610aa6f0ef921b/courses, dicek 29/10/2026</t>
  </si>
  <si>
    <t xml:space="preserve">Cert IV + Dip Of Work Health and Safety</t>
  </si>
  <si>
    <t xml:space="preserve">Cert IV + Dip Of Building and Construction (Building)</t>
  </si>
  <si>
    <t xml:space="preserve">Cert IV + Dip Of Building and Construction (Building) + Adv Dip Of Civil Construction Design</t>
  </si>
  <si>
    <t xml:space="preserve">Cert IV + Dip Of Community Services</t>
  </si>
  <si>
    <t xml:space="preserve">Cert IV + Dip + Adv Dip Of Community Services</t>
  </si>
  <si>
    <t xml:space="preserve">Material/enrolment belum tercatat (enrolment; dihitung 0 di Estimasi Initial Payment); Harga sesuai sumber resmi; Cara hitung tuition/periode: Hitung: total/tahunan ÷ N; Sumber: https://search.studyaustralia.gov.au/provider/global-college-australasia/e038ad57f904134f76610aa6f0ef921b/courses, dicek 29/10/2026</t>
  </si>
  <si>
    <t xml:space="preserve">Cert III in Building Construction</t>
  </si>
  <si>
    <t xml:space="preserve">Material/enrolment belum tercatat (enrolment; dihitung 0 di Estimasi Initial Payment); Harga belum dicek ke sumber resmi</t>
  </si>
  <si>
    <t xml:space="preserve">Greenwich College
13 Beechboro Rd S, Bayswater WA 6053, Australia</t>
  </si>
  <si>
    <t xml:space="preserve">Cert IV + Diploma Of Business (Digital Transformation)</t>
  </si>
  <si>
    <t xml:space="preserve">CEK: konfirmasi harga ke sekolah (harga beda dengan sumber resmi); CEK: tidak ada di price list Greenwich Q4 2026 (Cert IV Business tidak tercantum) - jangan ditawarkan sebelum dikonfirmasi sekolah; Sumber: Pricelist Greenwich_VET_Q4_Master_Pricing_Document_Oct26v3.pdf hal. 4/10/14 (VET Pricing Q4 2026 v9, "Correct as of 30.09.26", aplikasi diterima s.d. 31.12.2026, "intakes starting in 2026 onwards"), dicek 29/10/2026</t>
  </si>
  <si>
    <t xml:space="preserve">Cert IV + Diploma Of Business (Digital Transformation) + Adv Dip of leadership &amp; Management ($1330/term untuk 8 term terakhir)</t>
  </si>
  <si>
    <t xml:space="preserve">CEK: konfirmasi harga ke sekolah (harga beda dengan sumber resmi); Tuition beda per level, lihat keterangan di kolom Program; CEK: tidak ada di price list Greenwich Q4 2026 (Cert IV Business tidak tercantum) - jangan ditawarkan sebelum dikonfirmasi sekolah; Sumber: Pricelist Greenwich_VET_Q4_Master_Pricing_Document_Oct26v3.pdf hal. 4/10/14 (VET Pricing Q4 2026 v9, "Correct as of 30.09.26", aplikasi diterima s.d. 31.12.2026, "intakes starting in 2026 onwards"), dicek 29/10/2026</t>
  </si>
  <si>
    <t xml:space="preserve">Cert IV + Dip Of Leadership &amp; Management</t>
  </si>
  <si>
    <t xml:space="preserve">CEK: konfirmasi harga ke sekolah (harga beda dengan sumber resmi); CEK: tidak ada di price list Greenwich Q4 2026 (Cert IV Leadership &amp; Management tidak tercantum) - jangan ditawarkan sebelum dikonfirmasi sekolah; Sumber: Pricelist Greenwich_VET_Q4_Master_Pricing_Document_Oct26v3.pdf hal. 4/10/14 (VET Pricing Q4 2026 v9, "Correct as of 30.09.26", aplikasi diterima s.d. 31.12.2026, "intakes starting in 2026 onwards"), dicek 29/10/2026</t>
  </si>
  <si>
    <t xml:space="preserve">Cert IV + Dip + Adv. Dip Of Leadership &amp; Management ($1330/term untuk 8 term terakhir)</t>
  </si>
  <si>
    <t xml:space="preserve">CEK: konfirmasi harga ke sekolah (harga beda dengan sumber resmi); Tuition beda per level, lihat keterangan di kolom Program; CEK: tidak ada di price list Greenwich Q4 2026 (Cert IV Leadership &amp; Management tidak tercantum) - jangan ditawarkan sebelum dikonfirmasi sekolah; Sumber: Pricelist Greenwich_VET_Q4_Master_Pricing_Document_Oct26v3.pdf hal. 4/10/14 (VET Pricing Q4 2026 v9, "Correct as of 30.09.26", aplikasi diterima s.d. 31.12.2026, "intakes starting in 2026 onwards"), dicek 29/10/2026</t>
  </si>
  <si>
    <t xml:space="preserve">Cert IV + Dip of Project &amp; Management</t>
  </si>
  <si>
    <t xml:space="preserve">96 weeks</t>
  </si>
  <si>
    <t xml:space="preserve">[B]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44 + 52 = 96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Dip 120 = sisa AUD 120 (kecuali ada waiver di offer letter); Harga sesuai sumber resmi; Cara hitung tuition/periode: Resmi per periode; Sumber: Pricelist Greenwich_VET_Q4_Master_Pricing_Document_Oct26v3.pdf hal. 4 &amp; 8 (VET Pricing Q4 2026 v9, "Correct as of 30.09.26", aplikasi diterima s.d. 31.12.2026, "intakes starting in 2026 onwards"), dicek 29/10/2026</t>
  </si>
  <si>
    <t xml:space="preserve">Cert IV + Dip of Project &amp; Management + Adv Dip Of Program Management ($1330/term untuk 8 term terakhir)</t>
  </si>
  <si>
    <t xml:space="preserve">172 weeks</t>
  </si>
  <si>
    <t xml:space="preserve">Tuition beda per level, lihat keterangan di kolom Program;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44 + 52 + 76 = 172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Dip 120 + Adv Dip 120 = sisa AUD 240 (kecuali ada waiver di offer letter); Harga sesuai sumber resmi; Cara hitung tuition/periode: Resmi per periode; Sumber: Pricelist Greenwich_VET_Q4_Master_Pricing_Document_Oct26v3.pdf hal. 4 &amp; 8 (VET Pricing Q4 2026 v9, "Correct as of 30.09.26", aplikasi diterima s.d. 31.12.2026, "intakes starting in 2026 onwards"), dicek 29/10/2026</t>
  </si>
  <si>
    <t xml:space="preserve">Cert IV in Ageing Support + Dip of Community Service</t>
  </si>
  <si>
    <t xml:space="preserve">128 weeks</t>
  </si>
  <si>
    <t xml:space="preserve">[B]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52 + 76 = 128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Dip 500 = sisa AUD 500 (kecuali ada waiver di offer letter); Harga diperbarui dari sumber resmi; Cara hitung tuition/periode: Resmi per periode; Sumber: Pricelist Greenwich_VET_Q4_Master_Pricing_Document_Oct26v3.pdf hal. 14 &amp; 8 (VET Pricing Q4 2026 v9, "Correct as of 30.09.26", aplikasi diterima s.d. 31.12.2026, "intakes starting in 2026 onwards"), dicek 29/10/2026</t>
  </si>
  <si>
    <t xml:space="preserve">Cert IV in Kitchen Management + Dip Of Hospitality Management (Cert IV 10 term x $1.950, Dip 3 term x $1.750)</t>
  </si>
  <si>
    <t xml:space="preserve">110 weeks</t>
  </si>
  <si>
    <t xml:space="preserve">[B]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[MATERIAL] Material Fee = material kursus PERTAMA saja; material kursus berikutnya masih harus dibayar sebelum kursus itu mulai: Dip 300 (total paket ACP 2.000) = sisa AUD 300 (kecuali ada waiver di offer letter); Harga diperbarui dari sumber resmi; Cara hitung tuition/periode: Resmi per periode; Sumber: Pricelist Greenwich_VET_Q4_Master_Pricing_Document_Oct26v3.pdf hal. 10 &amp; 8 (VET Pricing Q4 2026 v9, "Correct as of 30.09.26", aplikasi diterima s.d. 31.12.2026, "intakes starting in 2026 onwards"), dicek 29/10/2026</t>
  </si>
  <si>
    <t xml:space="preserve">Cert IV in Kitchen Management + Dip + Adv. Dip of Hospitality Management (Cert IV 10 term x $1.950, Dip 3 term x $1.750, Adv Dip 4 term x $1.750)</t>
  </si>
  <si>
    <t xml:space="preserve">144 weeks</t>
  </si>
  <si>
    <t xml:space="preserve">[B]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[MATERIAL] Material Fee = material kursus PERTAMA saja; material kursus berikutnya masih harus dibayar sebelum kursus itu mulai: Dip 300 + Adv Dip 300 (total paket ECT 2.300) = sisa AUD 600 (kecuali ada waiver di offer letter); Harga sesuai sumber resmi; Cara hitung tuition/periode: Resmi per periode; Sumber: Pricelist Greenwich_VET_Q4_Master_Pricing_Document_Oct26v3.pdf hal. 10 &amp; 8 (VET Pricing Q4 2026 v9, "Correct as of 30.09.26", aplikasi diterima s.d. 31.12.2026, "intakes starting in 2026 onwards"), dicek 29/10/2026</t>
  </si>
  <si>
    <t xml:space="preserve">Cert III in Individual Support (Ageing &amp; Disability) + Cert IV in Ageing Support</t>
  </si>
  <si>
    <t xml:space="preserve">84 weeks</t>
  </si>
  <si>
    <t xml:space="preserve">[B]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32 + 52 = 84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Cert IV 500 = sisa AUD 500 (kecuali ada waiver di offer letter); Harga sesuai sumber resmi; Cara hitung tuition/periode: Resmi per periode; Sumber: Pricelist Greenwich_VET_Q4_Master_Pricing_Document_Oct26v3.pdf hal. 14 &amp; 8 (VET Pricing Q4 2026 v9, "Correct as of 30.09.26", aplikasi diterima s.d. 31.12.2026, "intakes starting in 2026 onwards"), dicek 29/10/2026</t>
  </si>
  <si>
    <t xml:space="preserve">Cert III in Individual Support (Ageing &amp; Disability) + Cert IV in Ageing Support + Dip Of Community Service ($1750/term untuk 9 term terakhir)</t>
  </si>
  <si>
    <t xml:space="preserve">160 weeks (jumlah kursus, estimasi)</t>
  </si>
  <si>
    <t xml:space="preserve">Tuition beda per level, lihat keterangan di kolom Program;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32 + 52 + 76 = 160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Cert IV 500 + Dip 500 = sisa AUD 1.000 (kecuali ada waiver di offer letter); Harga sesuai sumber resmi; Cara hitung tuition/periode: Resmi per periode; Sumber: Pricelist Greenwich_VET_Q4_Master_Pricing_Document_Oct26v3.pdf hal. 14 &amp; 8 (VET Pricing Q4 2026 v9, "Correct as of 30.09.26", aplikasi diterima s.d. 31.12.2026, "intakes starting in 2026 onwards") | dicek ulang 29 Okt 20, dicek 29/10/2026</t>
  </si>
  <si>
    <t xml:space="preserve">Greenwich Higher Education (Academy of Interactive Technology Pty Ltd)
Perth - alamat kampus belum dikonfirmasi (lokasi resmi 2027: Sydney &amp; Melbourne)</t>
  </si>
  <si>
    <t xml:space="preserve">Bachelor Of Information Technology (IT) (S1)</t>
  </si>
  <si>
    <t xml:space="preserve">CEK: kampus Perth tidak tercantum - Greenwich Higher Education 2027 Pricing List (v4 Q4, updated 19/10/2026) hanya mencantumkan lokasi Sydney &amp; Melbourne (dicek 07/11/2026); 4 x 4.025 = 16.100, jadi cocok bila 1 tahun = 4 periode (dokumen hanya menyebut "trimester" dan 8 subjek/tahun,;   Sumber: https://info.ait.edu.au/hubfs/v4-Q1-Greenwich-Higher-Education-Master-Pricing-Document-2026.pdf, dicek 29/10/2026</t>
  </si>
  <si>
    <t xml:space="preserve">Bachelor Of Game Design (S1)</t>
  </si>
  <si>
    <t xml:space="preserve">Bachelor Of 3D Animation (S1)</t>
  </si>
  <si>
    <t xml:space="preserve">International Institute of Business and Technology (IIBT)
610 Murray Street, West Perth WA 6005</t>
  </si>
  <si>
    <t xml:space="preserve">Dip of Business Administration</t>
  </si>
  <si>
    <t xml:space="preserve">Post Graduate Qualifying Program</t>
  </si>
  <si>
    <t xml:space="preserve">1/2 year</t>
  </si>
  <si>
    <t xml:space="preserve">Kaplan Business School
1325 Hay Street West Perth WA 6005</t>
  </si>
  <si>
    <t xml:space="preserve">Diploma of Business (Per Trisemester or 4 months)</t>
  </si>
  <si>
    <t xml:space="preserve">Trimester</t>
  </si>
  <si>
    <t xml:space="preserve">CEK: tuition/trimester di file = fee per subject x4, padahal Study Loads Policy KBS: beban normal 2-3 subject/trimester (Dip/Bachelor 3-3-2 per tahun; MBA/Grad Cert BA 2) -&gt; tuition/trimester &amp; initial payment kemungkinan terlalu tinggi. Konfirmasi jumlah subject trimester-1 di offer letter.; Material 0 terverifikasi = Termasuk tuition (sumber cocok) | Refund Policy KBS: definisi tuition mencakup learning materials | program: semua kursus KBS | kampus: semua | intake: 2026 (kebijakan berlaku 1 Jul 2026) | siswa: int; Harga sesuai sumber resmi; Sumber: https://www.kbs.edu.au/admissions/fees/international-fees, dicek 29/10/2026</t>
  </si>
  <si>
    <t xml:space="preserve">Bachelor of Business (Per Trisemester or 4 months)</t>
  </si>
  <si>
    <t xml:space="preserve">Graduate Certificate in Business Administration (Per Trisemester or 4 months)</t>
  </si>
  <si>
    <t xml:space="preserve">Graduate Diploma of Business Administration (Per Trisemester or 4 months)</t>
  </si>
  <si>
    <t xml:space="preserve">CEK: tuition/trimester di file = fee per subject x4, padahal Study Loads Policy KBS: beban normal 2-3 subject/trimester (Dip/Bachelor 3-3-2 per tahun; MBA/Grad Cert BA 2) -&gt; tuition/trimester &amp; initial payment kemungkinan terlalu tinggi. Grad Dip BA resmi 4 trimester (file 1 tahun). Konfirmasi jumlah subject trimester-1 di offer letter.; Material 0 terverifikasi = Termasuk tuition (sumber cocok) | Refund Policy KBS: definisi tuition mencakup learning materials | program: semua kursus KBS | kampus: semua | intake: 2026 (kebijakan berlaku 1 Jul 2026) | siswa: int; Harga sesuai sumber resmi; Sumber: https://www.kbs.edu.au/admissions/fees/international-fees, dicek 29/10/2026</t>
  </si>
  <si>
    <t xml:space="preserve">Master of Business Administration (Per Trisemester or 4 months)</t>
  </si>
  <si>
    <t xml:space="preserve">CEK: tuition/trimester di file = fee per subject x4, padahal Study Loads Policy KBS: beban normal 2-3 subject/trimester (Dip/Bachelor 3-3-2 per tahun; MBA/Grad Cert BA 2) -&gt; tuition/trimester &amp; initial payment kemungkinan terlalu tinggi. MBA resmi 2 tahun/6 trimester (file 1,5 tahun). Konfirmasi jumlah subject trimester-1 di offer letter.; Material 0 terverifikasi = Termasuk tuition (sumber cocok) | Refund Policy KBS: definisi tuition mencakup learning materials | program: semua kursus KBS | kampus: semua | intake: 2026 (kebijakan berlaku 1 Jul 2026) | siswa: int; Harga sesuai sumber resmi; Sumber: https://www.kbs.edu.au/admissions/fees/international-fees, dicek 29/10/2026</t>
  </si>
  <si>
    <t xml:space="preserve">Graduate Certificate of Accounting (Per Trisemester or 4 months)</t>
  </si>
  <si>
    <t xml:space="preserve">Master of Accounting (Per Trisemester or 4 months)</t>
  </si>
  <si>
    <t xml:space="preserve">Master of Professional Accounting (Per Trisemester or 4 months)</t>
  </si>
  <si>
    <t xml:space="preserve">Master of Business Analytics (Per Trisemester or 4 months)</t>
  </si>
  <si>
    <t xml:space="preserve">Master of Business Analytics (Extension) (Per Trisemester or 4 months)</t>
  </si>
  <si>
    <t xml:space="preserve">Master of Business Analytics (IT) (Per Trisemester or 4 months)</t>
  </si>
  <si>
    <t xml:space="preserve">Graduate Certificate in Information Technology (IT) (Per Trisemester or 4 months)</t>
  </si>
  <si>
    <t xml:space="preserve">Graduate Diploma of Information Technology (IT) (Per Trisemester or 4 months)</t>
  </si>
  <si>
    <t xml:space="preserve">Master of Information Technology (IT) (Per Trisemester or 4 months)</t>
  </si>
  <si>
    <t xml:space="preserve">Master of Information Technology (IT) (Extension) (Per Trisemester or 4 months)</t>
  </si>
  <si>
    <t xml:space="preserve">Keystone College of Business and Technology (KCBT)
Level 7/251 Adelaide Terrace, Perth WA 6000, Australia</t>
  </si>
  <si>
    <t xml:space="preserve">Cert III in Solid Plastering + Dip of Building and Construction (Building) + Dip MF $1500</t>
  </si>
  <si>
    <t xml:space="preserve">Tuition beda per level, lihat keterangan di kolom Program; Harga sesuai sumber resmi; Cara hitung tuition/periode: Hitung: total/tahunan ÷ N; Sumber: https://kcbt.edu.au/wp-content/uploads/2026/08/FEES-INTAKES_OFFSHORE_2026_v-24.08.2026.pdf, dicek 29/10/2026</t>
  </si>
  <si>
    <t xml:space="preserve">Cert III in Wall and Floor Tiling + Dip of Building and Construction (Building)) + Dip MF $1500</t>
  </si>
  <si>
    <t xml:space="preserve">Cert III in Wall and Floor Tiling + Cert III in Wall and Floor Tiling + Cert MF $1250</t>
  </si>
  <si>
    <t xml:space="preserve">Cert III in Solid Plastering + Cert III in Wall and Floor Tiling + Dip of Project Management ($2000 in the last 4 term) + Cert MF 1000 + Dip MF $250</t>
  </si>
  <si>
    <t xml:space="preserve">Tuition beda per level, lihat keterangan di kolom Program; Harga sesuai sumber resmi; Sumber: https://kcbt.edu.au/wp-content/uploads/2026/08/FEES-INTAKES_OFFSHORE_2026_v-24.08.2026.pdf, dicek 29/10/2026</t>
  </si>
  <si>
    <t xml:space="preserve">Cert III in Solid Plastering + Cert III in Wall and Floor Tiling + Dip of Building and Construction (Building) ($2450/term in Dip)</t>
  </si>
  <si>
    <t xml:space="preserve">Dip Of Building Construction</t>
  </si>
  <si>
    <t xml:space="preserve">Harga sesuai sumber resmi; Cara hitung tuition/periode: Hitung: total/tahunan ÷ N; Sumber: https://kcbt.edu.au/wp-content/uploads/2026/08/FEES-INTAKES_OFFSHORE_2026_v-24.08.2026.pdf, dicek 29/10/2026</t>
  </si>
  <si>
    <t xml:space="preserve">Adv Dip of Engineering Technology - Electrical</t>
  </si>
  <si>
    <t xml:space="preserve">CEK: Sebagian sesuai sumber resmi: 24,000/8 term = 3,000. Perth (off/on) 3,000 = sesuai. Adelaide onshore 2,969 (-1.0%) sesuai. Adelaide offshore 2,775 (-7.5%) Beda: lebih murah dari harga publik; Tuition total/tahunan belum terbukti cocok dengan sumber resmi; Harga sebagian sesuai sumber resmi; Cara hitung tuition/periode: Hitung: total/tahunan ÷ N; Sumber: https://kcbt.edu.au/wp-content/uploads/2026/08/FEES-INTAKES_OFFSHORE_2026_v-24.08.2026.pdf, dicek 29/10/2026</t>
  </si>
  <si>
    <t xml:space="preserve">Dip of Civil Construction Design</t>
  </si>
  <si>
    <t xml:space="preserve">CEK: Sebagian sesuai sumber resmi: 19,000/6 term (1.5 thn x 4) = 3,166.67 ~ list 3,167 (Perth off/on, Adelaide onshore) sesuai. Adelaide offshore 2,900 (-8.4%) Beda: lebih murah dari harga publik; Tuition total/tahunan belum terbukti cocok dengan sumber resmi; Harga sebagian sesuai sumber resmi; Cara hitung tuition/periode: Hitung: total/tahunan ÷ N; Sumber: https://kcbt.edu.au/wp-content/uploads/2026/08/FEES-INTAKES_OFFSHORE_2026_v-24.08.2026.pdf, dicek 29/10/2026</t>
  </si>
  <si>
    <t xml:space="preserve">Dip + Adv Dip of Civil Construction Design ($2850 in the last 2 term) + Adv MF $650</t>
  </si>
  <si>
    <t xml:space="preserve">CEK: konfirmasi harga ke sekolah (harga beda dengan sumber resmi); Tuition beda per level, lihat keterangan di kolom Program; Sumber: https://kcbt.edu.au/wp-content/uploads/2026/08/FEES-INTAKES_OFFSHORE_2026_v-24.08.2026.pdf, dicek 29/10/2026</t>
  </si>
  <si>
    <t xml:space="preserve">Cert IV in Kitchen Management + Dip Of Hospitality Management MF Dip $250</t>
  </si>
  <si>
    <t xml:space="preserve">Cert IV in Kitchen Management + Dip + Adv Dip Of Hospitality Management ($2125/term in Adv Dip) + MF Dip $250 &amp; Adv Dip $500</t>
  </si>
  <si>
    <t xml:space="preserve">Dip Of Social Media Marketing</t>
  </si>
  <si>
    <t xml:space="preserve">Dip Of Project Management</t>
  </si>
  <si>
    <t xml:space="preserve">CEK: Sebagian sesuai sumber resmi: Onshore 4,000/2 = 2,000 = list sesuai. Offshore 5,000/2 = 2,500 vs list 2,000 (-20%) Beda: lebih murah dari harga publik - kemungkinan harga khusus agen/promo,; Tuition total/tahunan belum terbukti cocok dengan sumber resmi; Harga sebagian sesuai sumber resmi; Cara hitung tuition/periode: Hitung: total/tahunan ÷ N; Sumber: https://kcbt.edu.au/wp-content/uploads/2026/08/FEES-INTAKES_ONSHORE_2026_v-24.08.2026.pdf, dicek 29/10/2026</t>
  </si>
  <si>
    <t xml:space="preserve">Dip Of Business</t>
  </si>
  <si>
    <t xml:space="preserve">CEK: Sebagian sesuai sumber resmi: Onshore 5,500/4 = 1,375 = list sesuai. Offshore 6,500/4 = 1,625 vs list 1,375 (-15.4%) Beda: lebih murah dari harga publik - kemungkinan harga khusus agen/promo; Tuition total/tahunan belum terbukti cocok dengan sumber resmi; Harga sebagian sesuai sumber resmi; Cara hitung tuition/periode: Hitung: total/tahunan ÷ N; Sumber: https://kcbt.edu.au/wp-content/uploads/2026/08/FEES-INTAKES_ONSHORE_2026_v-24.08.2026.pdf, dicek 29/10/2026</t>
  </si>
  <si>
    <t xml:space="preserve">Kingston International College
Lot 131, 131 Harold Street, Highgate, WA 6003</t>
  </si>
  <si>
    <t xml:space="preserve">Cert III in Commercial Cookery + Cert IV in Kitchen Management + Dip of Hospitality Management ($2800/term setelah 4 term)</t>
  </si>
  <si>
    <t xml:space="preserve">Tuition beda per level, lihat keterangan di kolom Program; Harga sesuai sumber resmi; Cara hitung tuition/periode: Hitung: total/tahunan ÷ N; Sumber: https://kingstoncollege.wa.edu.au/kic-courses/sit30821-certificate-iii-in-commercial-cookery/, dicek 29/10/2026</t>
  </si>
  <si>
    <t xml:space="preserve">Cert III in Commercial Cookery + Cert IV in Kitchen Management + Dip + Adv Dip of Hospitality Management ($2800/term setelah 4 term)</t>
  </si>
  <si>
    <t xml:space="preserve">Tuition beda per level, lihat keterangan di kolom Program; Harga sesuai sumber resmi; Cara hitung tuition/periode: Hitung: total/tahunan ÷ N; Sumber: https://kingstoncollege.wa.edu.au/kic-courses/sit60322-advanced-diploma-of-hospitality-management/, dicek 29/10/2026</t>
  </si>
  <si>
    <t xml:space="preserve">Cert IV in Marketing &amp; Communication + Dip Of Business</t>
  </si>
  <si>
    <t xml:space="preserve">Harga sesuai sumber resmi; Cara hitung tuition/periode: Hitung: total/tahunan ÷ N; Sumber: https://kingstoncollege.wa.edu.au/kic-courses/bsb50120-diploma-of-business/, dicek 29/10/2026</t>
  </si>
  <si>
    <t xml:space="preserve">Cert IV in Marketing &amp; Communication + Dip Of Business + Adv Dip of Leadership Management</t>
  </si>
  <si>
    <t xml:space="preserve">Harga sesuai sumber resmi; Cara hitung tuition/periode: Hitung: total/tahunan ÷ N; Sumber: https://kingstoncollege.wa.edu.au/kic-courses/bsb50420-diploma-of-leadership-and-management/, dicek 29/10/2026</t>
  </si>
  <si>
    <t xml:space="preserve">Cert IV in Marketing &amp; Communication + Dip of Leadership Management</t>
  </si>
  <si>
    <t xml:space="preserve">Harga sesuai sumber resmi; Cara hitung tuition/periode: Hitung: total/tahunan ÷ N; Sumber: https://kingstoncollege.wa.edu.au/kic-courses/bsb50420-diploma-of-leadership-and-management-2/, dicek 29/10/2026</t>
  </si>
  <si>
    <t xml:space="preserve">Cert IV in Marketing &amp; Communication + Dip + Adv Dip of Leadership Management</t>
  </si>
  <si>
    <t xml:space="preserve">Graduate Diploma Strategic Leadership</t>
  </si>
  <si>
    <t xml:space="preserve">Harga sesuai sumber resmi; Cara hitung tuition/periode: Hitung: total/tahunan ÷ N; Sumber: https://kingstoncollege.wa.edu.au/kic-courses/bsb80320-graduate-diploma-of-strategic-leadership/, dicek 29/10/2026</t>
  </si>
  <si>
    <t xml:space="preserve">Cert III + Dip of Early Childhood Education and Care ($2450/term di level Dip)</t>
  </si>
  <si>
    <t xml:space="preserve">Tuition beda per level, lihat keterangan di kolom Program; Harga sesuai sumber resmi; Cara hitung tuition/periode: Hitung: total/tahunan ÷ N; Sumber: https://kingstoncollege.wa.edu.au/kic-courses/chc30125-certificate-iii-in-early-childhood-education-and-care/, dicek 29/10/2026</t>
  </si>
  <si>
    <t xml:space="preserve">Cert III in Individual Support + Dip of Community Service ($2700/term di level Diploma)</t>
  </si>
  <si>
    <t xml:space="preserve">Tuition beda per level, lihat keterangan di kolom Program; Harga sesuai sumber resmi; Cara hitung tuition/periode: Hitung: total/tahunan ÷ N; Sumber: https://kingstoncollege.wa.edu.au/kic-courses/chc52025-diploma-of-community-services/, dicek 29/10/2026</t>
  </si>
  <si>
    <t xml:space="preserve">Novus College
Unit 53, 188 Newcastle St, Perth WA 6000</t>
  </si>
  <si>
    <t xml:space="preserve">CEK: Kampus terdaftar Novus: Gosford (153 Mann St), Ultimo (Level 3, Suites 3.09-3.11, 22-36 Mountain St), Perth (Unit 53, 188 Newcastle St) - konfirmasi alamat workshop/lainnya.; CEK: alamat kampus Perth dari daftar kampus terdaftar (konfirmasi ke sekolah); Harga belum dicek ke sumber resmi</t>
  </si>
  <si>
    <t xml:space="preserve">CEK: Kampus terdaftar Novus: Gosford (153 Mann St), Ultimo (Level 3, Suites 3.09-3.11, 22-36 Mountain St), Perth (Unit 53, 188 Newcastle St) - konfirmasi alamat workshop/lainnya [berlaku untuk semua program terkait; asal Offshore - Perth r129]; Harga belum dicek ke sumber resmi</t>
  </si>
  <si>
    <t xml:space="preserve">CEK: Kampus terdaftar Novus: Gosford (153 Mann St), Ultimo (Level 3, Suites 3.09-3.11, 22-36 Mountain St), Perth (Unit 53, 188 Newcastle St) - konfirmasi alamat workshop/lainnya [berlaku untuk semua program terkait; asal Offshore - Perth r129]; CEK: Lebih murah dari harga publik (~3,417/periode): pastikan ini harga agen/promo yang berlaku. Dicocokkan dicek 30/10/2026: selisih 41.5% - tidak ada skema resmi ditemukan; tetap perlu dokumen agen/promo bertanggal; Harga agen: dokumen price list agen belum dilampirkan; Lebih murah dari harga publik - kemungkinan harga agen/promo (tidak diubah); Cara hitung tuition/periode: Hitung: total/tahunan ÷ N; Sumber: https://www.oneuedu.com/en-US/schools/novus-education-03966K, dicek 29/10/2026</t>
  </si>
  <si>
    <t xml:space="preserve">CEK: Kampus terdaftar Novus: Gosford (153 Mann St), Ultimo (Level 3, Suites 3.09-3.11, 22-36 Mountain St), Perth (Unit 53, 188 Newcastle St) - konfirmasi alamat workshop/lainnya [berlaku untuk semua program terkait; asal Offshore - Perth r129]; CEK: Lebih murah dari harga publik (~3,275/periode): pastikan ini harga agen/promo yang berlaku. Dicocokkan dicek 30/10/2026: selisih 32.8% - tidak ada skema resmi ditemukan; tetap perlu dokumen agen/promo bertanggal; Harga agen: dokumen price list agen belum dilampirkan; Lebih murah dari harga publik - kemungkinan harga agen/promo (tidak diubah); Cara hitung tuition/periode: Hitung: total/tahunan ÷ N; Sumber: https://www.oneuedu.com/en-US/schools/novus-education-03966K, dicek 29/10/2026</t>
  </si>
  <si>
    <t xml:space="preserve">Sheridan Institute of Higher Education
Piccadilly Square West Building, Suite 18, 7 Aberdeen Street, Perth WA 6000</t>
  </si>
  <si>
    <t xml:space="preserve">Bachelor of Business (Management) (CRICOS 096490E)</t>
  </si>
  <si>
    <t xml:space="preserve">Sumber: Sheridan Institute of Higher Education - Tuition Fees &amp; Scholarships (koha.sheridan.edu.au/index.php/study/fees-scholarships), fee 2026 internasional: 1.880/unit, 7.520/semester, 15.040/tahun, total 45.120 (3 thn), dicek 06/11/2026; Enrolment &amp; material belum tercatat; Asumsi bayar awal 1 semester - konfirmasi ke sekolah; HE lanjutan pathway TIWA (credit s.d. 12 bulan, belum dikonfirmasi per siswa)</t>
  </si>
  <si>
    <t xml:space="preserve">Bachelor of Business (Accounting) (CRICOS 096490E)</t>
  </si>
  <si>
    <t xml:space="preserve">Skills Institute Australia
74 Walters Drive, Osborne Park, WA 6017</t>
  </si>
  <si>
    <t xml:space="preserve">Cert IV in Kitchen Management + Dip + Adv Dip of Hospitality Management</t>
  </si>
  <si>
    <t xml:space="preserve">Cert III in Light Vehicle Mechanical Technology + Cert IV in Automotive Mechanical Diagnosis + Dip of Automotive Technology</t>
  </si>
  <si>
    <t xml:space="preserve">Cert III in Automotive Diesel Engine Technology + Cert IV in Automotive Mechanical Diagnosis + Dip of Automotive Technology</t>
  </si>
  <si>
    <t xml:space="preserve">Cert III in Wall and Floor Tiling + Dip of Building and Construction (Building)</t>
  </si>
  <si>
    <t xml:space="preserve">Cert III in Solid Plastering + Dip of Building and Construction (Building)</t>
  </si>
  <si>
    <t xml:space="preserve">Di + Adv Dip of Civil Construction Design</t>
  </si>
  <si>
    <t xml:space="preserve">Dip of Project Management + Adv Dip of Program Management</t>
  </si>
  <si>
    <t xml:space="preserve">Adv Dip of IT (Telecommunication Network Engineering)</t>
  </si>
  <si>
    <t xml:space="preserve">TAFE International Western Australia (TIWA)
1 Prospect Place, West Perth WA 6005</t>
  </si>
  <si>
    <t xml:space="preserve">Pathway 1 – Cert IV + Dip of Hospitality Management (TIWA/TAFE) 1.5 year + Bachelor of Business (Management) (Sheridan College) 2 years ($4400/term in Bachelor)</t>
  </si>
  <si>
    <t xml:space="preserve">Tuition beda per level, lihat keterangan di kolom Program; Material/enrolment belum tercatat (material+enrolment; dihitung 0 di Estimasi Initial Payment); Harga belum dicek ke sumber resmi</t>
  </si>
  <si>
    <t xml:space="preserve">Pathway 2 – Cert IV + Dip of Accounting (TIWA/TAFE) 1 year + Bachelor of Business (Accounting) (Sheridan College) 2 years</t>
  </si>
  <si>
    <t xml:space="preserve">CEK: biaya VET pathway belum direkonsiliasi - baris paket ini 3.230/term x 2 = 6.460, sedangkan baris VET TIWA r147 = 6.570/semester (+ resource fee 354/semester dibayar setelah tiba, bukan sebelum CoE) dan masih CEK; minta fee TIWA Cert IV + Dip of Accounting resmi; paket keluar dari tab Paket Pathway sampai terkonfirmasi (07/11/2026); Material/enrolment belum tercatat (material+enrolment; dihitung 0 di Estimasi Initial Payment); Harga belum dicek ke sumber resmi</t>
  </si>
  <si>
    <t xml:space="preserve">Certificate IV &amp; Diploma of Accounting (TIWA) — 1 year</t>
  </si>
  <si>
    <t xml:space="preserve">1 year (2 semester)</t>
  </si>
  <si>
    <t xml:space="preserve">Provider pengajar = TAFE International WA (North Metropolitan TAFE, Perth Campus), bukan Sheridan Institute of Higher Education; resource fee 354/semester dibayar ke college setelah tiba; CEK: fee Diploma of Accounting (semester 2) &amp; susunan paket belum diperoleh.; Material/enrolment belum tercatat (enrolment; dihitung 0 di Estimasi Initial Payment); Tuition total/tahunan belum terbukti cocok dengan sumber resmi; Resource fee 354/semester dibayar ke college SETELAH tiba - TIDAK dihitung di Estimasi Initial Payment (Initial = tuition semester 1 6.570 + enrolment belum tercatat); jadwal bayar pasti mengikuti offer letter TIWA; Harga sebagian sesuai sumber resmi; Cara hitung tuition/periode: Resmi per periode; Sumber: https://www.tafeinternational.wa.edu.au/tafe-courses/fns40222-certificate-iv-accounting-bookkeeping (Cert IV Accounting &amp; Bookkeeping, North Metropolitan TAFE Perth Campus: 6.570 per semester untuk Sem 1 &amp; 2 2027; 1 seme, dicek 29/10/2026</t>
  </si>
  <si>
    <t xml:space="preserve">The Australian Data and Cyber Institute (ADCI)
Level 3, 251 Adelaide Terrace, Perth WA 6000</t>
  </si>
  <si>
    <t xml:space="preserve">Bachelor Programs in Data Science</t>
  </si>
  <si>
    <t xml:space="preserve">CEK: Sebagian sesuai sumber resmi: Total 75,600 / 3 tahun = 25,200/tahun; /4 = 6,300 per 'term' (1/4 tahun = 2 unit) -&gt; Offshore 6,300 sesuai. Struktur resmi: 2 semester/tahun x 4 unit = 12,600/s; Material/enrolment belum tercatat (material; dihitung 0 di Estimasi Initial Payment); Tuition total/tahunan belum terbukti cocok dengan sumber resmi; Harga sebagian sesuai sumber resmi; Cara hitung tuition/periode: Hitung: total/tahunan ÷ N; Sumber: https://adci.edu.au/wp-content/uploads/2026/09/2026-Schedule-of-Tuition-Fees-Updated.pdf, dicek 29/10/2026</t>
  </si>
  <si>
    <t xml:space="preserve">Bachelor Programs in Cyber Security</t>
  </si>
  <si>
    <t xml:space="preserve">OFFSHORE - BRISBANE</t>
  </si>
  <si>
    <t xml:space="preserve">Academies Australasia
90-112 Queens Street Mall, Brisbane City QLD 4000, Australia</t>
  </si>
  <si>
    <t xml:space="preserve">Cert III in Barbering + Dip. Of Salon Management</t>
  </si>
  <si>
    <t xml:space="preserve">Asumsi bayar awal 2 term (nilai pricelist lama; Handbook VET ACA hanya menyebut "TOTAL FEES TO BE PAID IN ADVANCE" di offer letter, jumlah term tidak disebut) - konfirmasi ke sekolah; Harga belum dicek ke sumber resmi; Info sekolah: nama college dalam grup Academies Australasia (Institute/Polytechnic/Hair &amp; Beauty) belum dikonfirmasi per program</t>
  </si>
  <si>
    <t xml:space="preserve">Cert III in Hairdressing + Dip. Of Salon Management</t>
  </si>
  <si>
    <t xml:space="preserve">AIBI Higher Education
3431 Pacific Hwy, Slacks Creek QLD 4127, Australia</t>
  </si>
  <si>
    <t xml:space="preserve">Albright Institute of Business and Language (AIBL)
Level 6 (Reception) &amp; 7, 15 Adelaide St. Brisbane City, QLD 4000</t>
  </si>
  <si>
    <t xml:space="preserve">Dip + Adv Dip Of Project Management</t>
  </si>
  <si>
    <t xml:space="preserve">Material 0 terverifikasi = Termasuk tuition (sumber cocok) | Kebijakan PP-09 V6.5 (Nov 2025) §5.18: biaya kursus VET termasuk resource materials (pengecualian hanya kursus trade); tabel non-tuition Jun 2026 tidak memuat PM/IT |; Asumsi bayar awal 2 term (nilai pricelist lama; kebijakan resmi PP-09 V6.5: deposit awal sesuai Letter of Offer (maks 50%), jumlah term tidak disebut) - konfirmasi ke sekolah; Harga belum dicek ke sumber resmi</t>
  </si>
  <si>
    <t xml:space="preserve">Dip Of Community Services</t>
  </si>
  <si>
    <t xml:space="preserve">Asumsi bayar awal 2 term (nilai pricelist lama; kebijakan resmi PP-09 V6.5: deposit awal sesuai Letter of Offer (maks 50%), jumlah term tidak disebut) - konfirmasi ke sekolah; Harga belum dicek ke sumber resmi</t>
  </si>
  <si>
    <t xml:space="preserve">Dip + Adv Dip Of Civil Construction Design</t>
  </si>
  <si>
    <t xml:space="preserve">Adv Dip Of IT (Telecommunications)</t>
  </si>
  <si>
    <t xml:space="preserve">American College
180 Logan Rd, Woolloongabba QLD 4102, Australia</t>
  </si>
  <si>
    <t xml:space="preserve">Dip + Adv Dip Of Leadership &amp; Management</t>
  </si>
  <si>
    <t xml:space="preserve">Cert III in Light Vehicle Mechanical Technology + Cert IV in Automotive Mechanical Diagnosis + Dip Of Automotive Technology</t>
  </si>
  <si>
    <t xml:space="preserve">Cert IV in Kicthen Management + Dip Of Hospitality Management</t>
  </si>
  <si>
    <t xml:space="preserve">Cert IV in Kicthen Management + Dip + Adv Dip Of Hospitality Management</t>
  </si>
  <si>
    <t xml:space="preserve">Cert III in Individual Support + Cert IV in Disability Support + Dip Of Community Service</t>
  </si>
  <si>
    <t xml:space="preserve">Asia Pacific International College (APIC)
Level 2, 269 Wickham Street, Fortitude Valley QLD 4006</t>
  </si>
  <si>
    <t xml:space="preserve">Material/enrolment belum tercatat (material; dihitung 0 di Estimasi Initial Payment); Harga belum dicek ke sumber resmi; Kode internal: YY</t>
  </si>
  <si>
    <t xml:space="preserve">Info: deposit resmi APIC = enrolment fee + 50% tuition trimester-1 (Student Fees Policy Sch.1) -&gt; bayar di awal 1 trimester di file kemungkinan terlalu tinggi; Material/enrolment belum tercatat (material; dihitung 0 di Estimasi Initial Payment); PROMO s.d. 31/12/2026 - sumber: beasiswa resmi APIC 2026 (Diversity Scholarship offshore / Future Leaders onshore); Tuition total/tahunan belum terbukti cocok dengan sumber resmi; Harga sebagian sesuai sumber resmi; Cara hitung tuition/periode: Hitung: total/tahunan ÷ N; Sumber: https://apicollege.edu.au/fees/, dicek 29/10/2026; Kode internal: YY</t>
  </si>
  <si>
    <t xml:space="preserve">Dip of Business</t>
  </si>
  <si>
    <t xml:space="preserve">CEK: Lebih murah dari harga publik (~7,333/periode): pastikan ini harga agen/promo yang berlaku. CEK: kemungkinan salah input - selisih 59.1% melebihi beasiswa resmi APIC maksimal 36% (dicek 30/10/2026); Material/enrolment belum tercatat (material; dihitung 0 di Estimasi Initial Payment); Harga agen: dokumen price list agen belum dilampirkan; Lebih murah dari harga publik - kemungkinan harga agen/promo (tidak diubah); Cara hitung tuition/periode: Hitung: total/tahunan ÷ N; Sumber: https://apicollege.edu.au/fees/, dicek 29/10/2026; Kode internal: YY</t>
  </si>
  <si>
    <t xml:space="preserve">Bachelor of Business - Information Technology (IT)</t>
  </si>
  <si>
    <t xml:space="preserve">Graduate Certificate in Business Management</t>
  </si>
  <si>
    <t xml:space="preserve">0,75 year</t>
  </si>
  <si>
    <t xml:space="preserve">CEK: Lebih murah dari harga publik (~8,200/periode): pastikan ini harga agen/promo yang berlaku. Dicocokkan dicek 30/10/2026: selisih 4.9% - beasiswa resmi APIC 2026 "up to" 34-36% (Diversity ~25%/unit); tidak ada yang 4,9%; kemungkinan beda tahun tarif; tetap perlu dokumen agen/promo bertanggal; Material/enrolment belum tercatat (material; dihitung 0 di Estimasi Initial Payment); Harga agen: dokumen price list agen belum dilampirkan; Lebih murah dari harga publik - kemungkinan harga agen/promo (tidak diubah); Sumber: https://apicollege.edu.au/fees/, dicek 29/10/2026; Kode internal: YY</t>
  </si>
  <si>
    <t xml:space="preserve">Graduate Diploma in Business Management</t>
  </si>
  <si>
    <t xml:space="preserve">Material/enrolment belum tercatat (material; dihitung 0 di Estimasi Initial Payment); PROMO s.d. 31/12/2026 - sumber: beasiswa resmi APIC 2026 (Diversity Scholarship offshore / Future Leaders onshore); Tuition total/tahunan belum terbukti cocok dengan sumber resmi; Harga sebagian sesuai sumber resmi; Sumber: https://apicollege.edu.au/fees/, dicek 29/10/2026; Kode internal: YY</t>
  </si>
  <si>
    <t xml:space="preserve">Graduate Certifficate in Information Technology (IT)</t>
  </si>
  <si>
    <t xml:space="preserve">Graduate Certificate in Project Management</t>
  </si>
  <si>
    <t xml:space="preserve">Graduate Diploma in Project Management</t>
  </si>
  <si>
    <t xml:space="preserve">Master of Project Management</t>
  </si>
  <si>
    <t xml:space="preserve">Australian Agribusiness Institute
6 Park Road, Woolloongabba, Brisbane, Queensland, 4102, Australia</t>
  </si>
  <si>
    <t xml:space="preserve">Bachelor Of Agribusiness</t>
  </si>
  <si>
    <t xml:space="preserve">CEK: konfirmasi harga ke sekolah (harga beda dengan sumber resmi); Material/enrolment belum tercatat (material; dihitung 0 di Estimasi Initial Payment); Sumber bayar awal: Leaders Institute Fees, Payments and Tuition Assurance Policy v2.0 - tuition study period (semester) pertama lunas sebelum CoE = 2 term (tuition disimpan per term); dicek 30/10/2026; Sumber: https://search.studyaustralia.gov.au/provider/leaders-institute-pty-ltd/f4891b0f690a929d6aa87686d14a8689/courses, dicek 29/10/2026; Info sekolah: Grup: Leaders Institute Pty Ltd</t>
  </si>
  <si>
    <t xml:space="preserve">Graduate Diploma in Agribusiness</t>
  </si>
  <si>
    <t xml:space="preserve">Master Of Business Administration (Agribusiness)</t>
  </si>
  <si>
    <t xml:space="preserve">Master Of Agricultural Information Managemment</t>
  </si>
  <si>
    <t xml:space="preserve">Australian Business Institute (ABI)
6 Park Road, Woolloongabba, Brisbane, Queensland, 4102, Australia</t>
  </si>
  <si>
    <t xml:space="preserve">Bachelor Of Accounting</t>
  </si>
  <si>
    <t xml:space="preserve">yang terdaftar Leaders Institute Pty Ltd (CRICOS 03732F, Bankstown &amp; Brisbane) - konfirmasi entitas (dicek 30/10/2026); Material/enrolment belum tercatat (material; dihitung 0 di Estimasi Initial Payment); Sumber bayar awal: Leaders Institute Fees, Payments and Tuition Assurance Policy v2.0 - tuition study period (semester) pertama lunas sebelum CoE = 2 term (tuition disimpan per term); dicek 30/10/2026; Harga belum dicek ke sumber resmi; Info sekolah: Grup: Leaders Institute Pty Ltd; Identitas: Australian Business Institute = nama dagang Leaders Institute Pty Ltd (TEQSA National Register, dicek 04/11/2026)</t>
  </si>
  <si>
    <t xml:space="preserve">Graduate Diploma Of Business Administration</t>
  </si>
  <si>
    <t xml:space="preserve">Master Of Business Administration</t>
  </si>
  <si>
    <t xml:space="preserve">Australian Catholic University (ACU)
1100 Nudgee Road, Banyo QLD 4014</t>
  </si>
  <si>
    <t xml:space="preserve">Deip in Information Technology (IT)</t>
  </si>
  <si>
    <t xml:space="preserve">Australian Global Institute (AGI)
17-19 Mt Gravatt Capalaba Road, Upper Mt Gravatt, Qld 4122, Brisbane, Australia</t>
  </si>
  <si>
    <t xml:space="preserve">Dip of AI - Information Technology (IT)</t>
  </si>
  <si>
    <t xml:space="preserve">Australian Skills Management Institute (ASMI)
Level 8, 269 Wickham Street Fortitude Valley, QLD, 4006</t>
  </si>
  <si>
    <t xml:space="preserve">Asumsi bayar awal 2 term (nilai pricelist lama; situs resmi ASMI tidak memuat syarat bayar awal) - konfirmasi ke sekolah; Harga belum dicek ke sumber resmi</t>
  </si>
  <si>
    <t xml:space="preserve">Cert III + Cert IV + Dip of Business</t>
  </si>
  <si>
    <t xml:space="preserve">1,7 years</t>
  </si>
  <si>
    <t xml:space="preserve">Dip of Business + Dip of Leadership Management</t>
  </si>
  <si>
    <t xml:space="preserve">Dip + Adv Dip of Leadership Management</t>
  </si>
  <si>
    <t xml:space="preserve">Cert III + Dip of Early Childhood Education and Care</t>
  </si>
  <si>
    <t xml:space="preserve">Cert III + Dip of Travel &amp; Toursim Management</t>
  </si>
  <si>
    <t xml:space="preserve">Cert III in Heatlh &amp; Individual Support + Cert IV in Ageing Support</t>
  </si>
  <si>
    <t xml:space="preserve">Cambridge College
Level 5, 269 Wickham Street, Fortitude Valley, QLD 4006</t>
  </si>
  <si>
    <t xml:space="preserve">CEK: status provider - "Cambridge College" tidak ditemukan di register Study Australia (dicek 30/10/2026); konfirmasi entitas &amp; CRICOS; Harga belum dicek ke sumber resmi</t>
  </si>
  <si>
    <t xml:space="preserve">Cert III in Light Vehicle Mechanical + Cert IV in Automotive Mechanical Diagnosis</t>
  </si>
  <si>
    <t xml:space="preserve">Cert III in Light Vehicle Mechanical + Cert IV in Automotive Mechanical Diagnosis + Dip of Automotive Technology</t>
  </si>
  <si>
    <t xml:space="preserve">Dip + Adv Dip of Leadership &amp; Management</t>
  </si>
  <si>
    <t xml:space="preserve">Adv Dip of Information Technology (IT) (Telecommunications Network Engineering)</t>
  </si>
  <si>
    <t xml:space="preserve">Charles Darwin University (CDU)
Level 10–11, 410 Ann Street, Cathedral Square, Brisbane QLD 4000, Australia</t>
  </si>
  <si>
    <t xml:space="preserve">Doctor of Philosophy (High Cost) - DPHIAS</t>
  </si>
  <si>
    <t xml:space="preserve">Doctor of Philosophy (Low Cost) - DPHIAS</t>
  </si>
  <si>
    <t xml:space="preserve">Master by Research (High Cost) - MRSIAS</t>
  </si>
  <si>
    <t xml:space="preserve">Master by Research (Low Cost) - MRSIAS</t>
  </si>
  <si>
    <t xml:space="preserve">ECA College
269 Wickham St, Fortitude Valley, QLD 4006</t>
  </si>
  <si>
    <t xml:space="preserve">Graduate Diploma Of Engineering</t>
  </si>
  <si>
    <t xml:space="preserve">Material 0 belum terbukti (dasar nol: Tidak ditagih (sumber belum cocok: kampus Brisbane tidak disebut) | flyer GDE: MATERIAL FEES $0 | program: GDE (MEM80112) | intake 2026 | siswa internasional); Harga sesuai sumber resmi; Cara hitung tuition/periode: Hitung: total/tahunan ÷ N; Sumber: https://eca.edu.au/wp-content/uploads/2024/07/GDE-MPMB-Flyer-2.pdf, dicek 29/10/2026; Kode internal: AIG (ACHIEVA)</t>
  </si>
  <si>
    <t xml:space="preserve">Cert IV + Dip Of Marketing and Communication</t>
  </si>
  <si>
    <t xml:space="preserve">Material 0 belum terbukti (dasar nol: Tidak ditagih (sumber belum cocok: tanpa tahun/intake/kampus; kursus pertama paket tidak tercantum atau memakai kode lama) | halaman fees ECA: material "Waived"); Harga belum dicek ke sumber resmi; Cara hitung tuition/periode: Hitung: total/tahunan ÷ N; Kode internal: AIG (ACHIEVA)</t>
  </si>
  <si>
    <t xml:space="preserve">Cert IV + Dip + Adv Dip Of Marketing and Communication</t>
  </si>
  <si>
    <t xml:space="preserve">ECA College of Health Sciences (CHS)
Level 2, 269 Wickham Street, Fortitude Valley QLD 4006</t>
  </si>
  <si>
    <t xml:space="preserve">Graduate Certificate in Health Management</t>
  </si>
  <si>
    <t xml:space="preserve">Material/enrolment belum tercatat (material; dihitung 0 di Estimasi Initial Payment); Harga belum dicek ke sumber resmi; Cara hitung tuition/periode: Hitung: total/tahunan ÷ N; Kode internal: YY</t>
  </si>
  <si>
    <t xml:space="preserve">Graduate Diploma in Health Management</t>
  </si>
  <si>
    <t xml:space="preserve">Master of Health Management</t>
  </si>
  <si>
    <t xml:space="preserve">Everthought College of Construction
Building 4, 460–492 Beaudesert Road, Salisbury QLD 4107.</t>
  </si>
  <si>
    <t xml:space="preserve">Cert III in Painting &amp; Decorating</t>
  </si>
  <si>
    <t xml:space="preserve">Federation Academy
205 Bunda St, Cairns City, QLD 4870</t>
  </si>
  <si>
    <t xml:space="preserve">Dip + Adv Dip of Civil Construction Design</t>
  </si>
  <si>
    <t xml:space="preserve">Cert III in Individual Support (Aged Care &amp; Disability) + Dip of Community Services (Case Management)</t>
  </si>
  <si>
    <t xml:space="preserve">Adv Dip of IT (Cyber Security &amp; Telecommunication Network Engineering)</t>
  </si>
  <si>
    <t xml:space="preserve">Cert III in Marine Craft Construction + Cer IV in Engineering (Marine Craft Construction) + Dip of Project Management</t>
  </si>
  <si>
    <t xml:space="preserve">Greenwich College
Level 3/119 Charlotte St, Brisbane City QLD 4000, Australia</t>
  </si>
  <si>
    <t xml:space="preserve">CEK: konfirmasi harga ke sekolah (harga beda dengan sumber resmi); [KANDIDAT DUPLIKAT] input B–I identik dengan baris 220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Program juga tidak tercantum di price list Q4 (Cert IV Business/L&amp;M) sehingga kode &amp; susunan paket tidak dapat dibuktikan. Kurang: konfirmasi TEG apakah blok kedua = Greenwich Gold Coast (alamat GC belum tercatat di file) + offer letter/kampus.; CEK: tidak ada di price list Greenwich Q4 2026 (Cert IV Business tidak tercantum) - jangan ditawarkan sebelum dikonfirmasi sekolah; Sumber: Pricelist Greenwich_VET_Q4_Master_Pricing_Document_Oct26v3.pdf hal. 4/10/14 (VET Pricing Q4 2026 v9, "Correct as of 30.09.26", aplikasi diterima s.d. 31.12.2026, "intakes starting in 2026 onwards"), dicek 29/10/2026</t>
  </si>
  <si>
    <t xml:space="preserve">CEK: konfirmasi harga ke sekolah (harga beda dengan sumber resmi); [KANDIDAT DUPLIKAT] input B–I identik dengan baris 221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Program juga tidak tercantum di price list Q4 (Cert IV Business/L&amp;M) sehingga kode &amp; susunan paket tidak dapat dibuktikan. Kurang: konfirmasi TEG apakah blok kedua = Greenwich Gold Coast (alamat GC belum tercatat di file) + offer letter/kampus.; Tuition beda per level, lihat keterangan di kolom Program; CEK: tidak ada di price list Greenwich Q4 2026 (Cert IV Business tidak tercantum) - jangan ditawarkan sebelum dikonfirmasi sekolah; Sumber: Pricelist Greenwich_VET_Q4_Master_Pricing_Document_Oct26v3.pdf hal. 4/10/14 (VET Pricing Q4 2026 v9, "Correct as of 30.09.26", aplikasi diterima s.d. 31.12.2026, "intakes starting in 2026 onwards"), dicek 29/10/2026</t>
  </si>
  <si>
    <t xml:space="preserve">CEK: konfirmasi harga ke sekolah (harga beda dengan sumber resmi); [KANDIDAT DUPLIKAT] input B–I identik dengan baris 222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Program juga tidak tercantum di price list Q4 (Cert IV Business/L&amp;M) sehingga kode &amp; susunan paket tidak dapat dibuktikan. Kurang: konfirmasi TEG apakah blok kedua = Greenwich Gold Coast (alamat GC belum tercatat di file) + offer letter/kampus.; CEK: tidak ada di price list Greenwich Q4 2026 (Cert IV Leadership &amp; Management tidak tercantum) - jangan ditawarkan sebelum dikonfirmasi sekolah; Sumber: Pricelist Greenwich_VET_Q4_Master_Pricing_Document_Oct26v3.pdf hal. 4/10/14 (VET Pricing Q4 2026 v9, "Correct as of 30.09.26", aplikasi diterima s.d. 31.12.2026, "intakes starting in 2026 onwards"), dicek 29/10/2026</t>
  </si>
  <si>
    <t xml:space="preserve">CEK: konfirmasi harga ke sekolah (harga beda dengan sumber resmi); [KANDIDAT DUPLIKAT] input B–I identik dengan baris 223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Program juga tidak tercantum di price list Q4 (Cert IV Business/L&amp;M) sehingga kode &amp; susunan paket tidak dapat dibuktikan. Kurang: konfirmasi TEG apakah blok kedua = Greenwich Gold Coast (alamat GC belum tercatat di file) + offer letter/kampus.; Tuition beda per level, lihat keterangan di kolom Program; CEK: tidak ada di price list Greenwich Q4 2026 (Cert IV Leadership &amp; Management tidak tercantum) - jangan ditawarkan sebelum dikonfirmasi sekolah; Sumber: Pricelist Greenwich_VET_Q4_Master_Pricing_Document_Oct26v3.pdf hal. 4/10/14 (VET Pricing Q4 2026 v9, "Correct as of 30.09.26", aplikasi diterima s.d. 31.12.2026, "intakes starting in 2026 onwards"), dicek 29/10/2026</t>
  </si>
  <si>
    <t xml:space="preserve">[KANDIDAT DUPLIKAT] input B–I identik dengan baris 224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Harga BRI = GC di price list Q4, jadi biaya tidak bisa membedakan. Kurang: konfirmasi TEG apakah blok kedua = Greenwich Gold Coast (alamat GC belum tercatat di file) + offer letter/kampus.;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44 + 52 = 96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Dip 120 = sisa AUD 120 (kecuali ada waiver di offer letter); Harga sesuai sumber resmi; Cara hitung tuition/periode: Resmi per periode; Sumber: Pricelist Greenwich_VET_Q4_Master_Pricing_Document_Oct26v3.pdf hal. 4 &amp; 8 (VET Pricing Q4 2026 v9, "Correct as of 30.09.26", aplikasi diterima s.d. 31.12.2026, "intakes starting in 2026 onwards"), dicek 29/10/2026</t>
  </si>
  <si>
    <t xml:space="preserve">[UTAMA] baris 225 ditandai DUPLIKAT (nonaktif);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44 + 52 = 96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Dip 120 = sisa AUD 120 (kecuali ada waiver di offer letter); Harga sesuai sumber resmi; Cara hitung tuition/periode: Resmi per periode; Sumber: Pricelist Greenwich_VET_Q4_Master_Pricing_Document_Oct26v3.pdf hal. 4 &amp; 8 (VET Pricing Q4 2026 v9, "Correct as of 30.09.26", aplikasi diterima s.d. 31.12.2026, "intakes starting in 2026 onwards"), dicek 29/10/2026</t>
  </si>
  <si>
    <t xml:space="preserve">Cert IV + Dip of Marketing &amp; Communication + Adv Dip of Marketing Automation ($1330/term untuk 8 term terakhir)</t>
  </si>
  <si>
    <t xml:space="preserve">[UTAMA] baris 226 ditandai DUPLIKAT (nonaktif); Tuition beda per level, lihat keterangan di kolom Program;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44 + 52 + 76 = 172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Dip 120 + Adv Dip MA 200 = sisa AUD 320 (kecuali ada waiver di offer letter); Harga sesuai sumber resmi; Cara hitung tuition/periode: Resmi per periode; Sumber: Pricelist Greenwich_VET_Q4_Master_Pricing_Document_Oct26v3.pdf hal. 4 &amp; 8 (VET Pricing Q4 2026 v9, "Correct as of 30.09.26", aplikasi diterima s.d. 31.12.2026, "intakes starting in 2026 onwards"), dicek 29/10/2026</t>
  </si>
  <si>
    <t xml:space="preserve">Dip of E-Commerce</t>
  </si>
  <si>
    <t xml:space="preserve">[B]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Harga sesuai sumber resmi; Cara hitung tuition/periode: Resmi per periode; Sumber: Pricelist Greenwich_VET_Q4_Master_Pricing_Document_Oct26v3.pdf hal. 4 &amp; 8 (VET Pricing Q4 2026 v9, "Correct as of 30.09.26", aplikasi diterima s.d. 31.12.2026, "intakes starting in 2026 onwards"), dicek 29/10/2026</t>
  </si>
  <si>
    <t xml:space="preserve">[KANDIDAT DUPLIKAT] input B–I identik dengan baris 228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Harga BRI = GC di price list Q4, jadi biaya tidak bisa membedakan. Kurang: konfirmasi TEG apakah blok kedua = Greenwich Gold Coast (alamat GC belum tercatat di file) + offer letter/kampus.;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52 + 76 = 128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Dip 500 = sisa AUD 500 (kecuali ada waiver di offer letter); Harga diperbarui dari sumber resmi; Cara hitung tuition/periode: Resmi per periode; Sumber: Pricelist Greenwich_VET_Q4_Master_Pricing_Document_Oct26v3.pdf hal. 14 &amp; 8 (VET Pricing Q4 2026 v9, "Correct as of 30.09.26", aplikasi diterima s.d. 31.12.2026, "intakes starting in 2026 onwards"), dicek 29/10/2026</t>
  </si>
  <si>
    <t xml:space="preserve">Cert IV in Kitchen Management + Dip Of Hospitality Management (Cert IV 10 term x $1.650, Dip 3 term x $1.250)</t>
  </si>
  <si>
    <t xml:space="preserve">[KANDIDAT DUPLIKAT] input B–I identik dengan baris 229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Harga BRI = GC di price list Q4, jadi biaya tidak bisa membedakan. Kurang: konfirmasi TEG apakah blok kedua = Greenwich Gold Coast (alamat GC belum tercatat di file) + offer letter/kampus.;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[MATERIAL] Material Fee = material kursus PERTAMA saja; material kursus berikutnya masih harus dibayar sebelum kursus itu mulai: Dip 300 (total paket ACP 2.000) = sisa AUD 300 (kecuali ada waiver di offer letter); Harga diperbarui dari sumber resmi; Cara hitung tuition/periode: Resmi per periode; Sumber: Pricelist Greenwich_VET_Q4_Master_Pricing_Document_Oct26v3.pdf hal. 10 &amp; 8 (VET Pricing Q4 2026 v9, "Correct as of 30.09.26", aplikasi diterima s.d. 31.12.2026, "intakes starting in 2026 onwards"), dicek 29/10/2026</t>
  </si>
  <si>
    <t xml:space="preserve">Cert IV in Kitchen Management + Dip + Adv. Dip of Hospitality Management (Cert IV 10 term x $1.650, Dip 3 term x $1.250, Adv Dip 4 term x $1.450)</t>
  </si>
  <si>
    <t xml:space="preserve">[KANDIDAT DUPLIKAT] input B–I identik dengan baris 230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Harga BRI = GC di price list Q4, jadi biaya tidak bisa membedakan. Kurang: konfirmasi TEG apakah blok kedua = Greenwich Gold Coast (alamat GC belum tercatat di file) + offer letter/kampus.;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[MATERIAL] Material Fee = material kursus PERTAMA saja; material kursus berikutnya masih harus dibayar sebelum kursus itu mulai: Dip 300 + Adv Dip 300 (total paket ECT 2.300) = sisa AUD 600 (kecuali ada waiver di offer letter); Harga diperbarui dari sumber resmi; Cara hitung tuition/periode: Resmi per periode; Sumber: Pricelist Greenwich_VET_Q4_Master_Pricing_Document_Oct26v3.pdf hal. 10 &amp; 8 (VET Pricing Q4 2026 v9, "Correct as of 30.09.26", aplikasi diterima s.d. 31.12.2026, "intakes starting in 2026 onwards"), dicek 29/10/2026</t>
  </si>
  <si>
    <t xml:space="preserve">[KANDIDAT DUPLIKAT] input B–I identik dengan baris 231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Harga BRI = GC di price list Q4, jadi biaya tidak bisa membedakan. Kurang: konfirmasi TEG apakah blok kedua = Greenwich Gold Coast (alamat GC belum tercatat di file) + offer letter/kampus.;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32 + 52 = 84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Cert IV 500 = sisa AUD 500 (kecuali ada waiver di offer letter); Harga sesuai sumber resmi; Cara hitung tuition/periode: Resmi per periode; Sumber: Pricelist Greenwich_VET_Q4_Master_Pricing_Document_Oct26v3.pdf hal. 14 &amp; 8 (VET Pricing Q4 2026 v9, "Correct as of 30.09.26", aplikasi diterima s.d. 31.12.2026, "intakes starting in 2026 onwards"), dicek 29/10/2026</t>
  </si>
  <si>
    <t xml:space="preserve">Cert III in Individual Support (Ageing &amp; Disability) + Cert IV in Ageing Support + Dip Of Community Service ($1750/term 9 term terakhir)</t>
  </si>
  <si>
    <t xml:space="preserve">[KANDIDAT DUPLIKAT] input B–I identik dengan baris 232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Harga BRI = GC di price list Q4, jadi biaya tidak bisa membedakan. Kurang: konfirmasi TEG apakah blok kedua = Greenwich Gold Coast (alamat GC belum tercatat di file) + offer letter/kampus.; Tuition beda per level, lihat keterangan di kolom Program;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32 + 52 + 76 = 160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Cert IV 500 + Dip 500 = sisa AUD 1.000 (kecuali ada waiver di offer letter); Harga sesuai sumber resmi; Cara hitung tuition/periode: Resmi per periode; Sumber: Pricelist Greenwich_VET_Q4_Master_Pricing_Document_Oct26v3.pdf hal. 14 &amp; 8 (VET Pricing Q4 2026 v9, "Correct as of 30.09.26", aplikasi diterima s.d. 31.12.2026, "intakes starting in 2026 onwards") | dicek ulang 29 Okt 20, dicek 29/10/2026</t>
  </si>
  <si>
    <t xml:space="preserve">Cert III + Dip Of Early Childhood Education &amp; Care</t>
  </si>
  <si>
    <t xml:space="preserve">[B]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48 + 56 = 104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Dip ECEC 500 = sisa AUD 500 (kecuali ada waiver di offer letter); Harga sesuai sumber resmi; Cara hitung tuition/periode: Resmi per periode; Sumber: Pricelist Greenwich_VET_Q4_Master_Pricing_Document_Oct26v3.pdf hal. 14 &amp; 8 (VET Pricing Q4 2026 v9, "Correct as of 30.09.26", aplikasi diterima s.d. 31.12.2026, "intakes starting in 2026 onwards") | dicek ulang 29 Okt 20, dicek 29/10/2026</t>
  </si>
  <si>
    <t xml:space="preserve">CEK: konfirmasi harga ke sekolah (harga beda dengan sumber resmi); [KANDIDAT DUPLIKAT] input B–I identik dengan baris 205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Program juga tidak tercantum di price list Q4 (Cert IV Business/L&amp;M) sehingga kode &amp; susunan paket tidak dapat dibuktikan. Kurang: konfirmasi TEG apakah blok kedua = Greenwich Gold Coast (alamat GC belum tercatat di file) + offer letter/kampus.; CEK: tidak ada di price list Greenwich Q4 2026 (Cert IV Business tidak tercantum) - jangan ditawarkan sebelum dikonfirmasi sekolah; Sumber: Pricelist Greenwich_VET_Q4_Master_Pricing_Document_Oct26v3.pdf hal. 4/10/14 (VET Pricing Q4 2026 v9, "Correct as of 30.09.26", aplikasi diterima s.d. 31.12.2026, "intakes starting in 2026 onwards"), dicek 29/10/2026</t>
  </si>
  <si>
    <t xml:space="preserve">CEK: konfirmasi harga ke sekolah (harga beda dengan sumber resmi); [KANDIDAT DUPLIKAT] input B–I identik dengan baris 206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Program juga tidak tercantum di price list Q4 (Cert IV Business/L&amp;M) sehingga kode &amp; susunan paket tidak dapat dibuktikan. Kurang: konfirmasi TEG apakah blok kedua = Greenwich Gold Coast (alamat GC belum tercatat di file) + offer letter/kampus.; Tuition beda per level, lihat keterangan di kolom Program; CEK: tidak ada di price list Greenwich Q4 2026 (Cert IV Business tidak tercantum) - jangan ditawarkan sebelum dikonfirmasi sekolah; Sumber: Pricelist Greenwich_VET_Q4_Master_Pricing_Document_Oct26v3.pdf hal. 4/10/14 (VET Pricing Q4 2026 v9, "Correct as of 30.09.26", aplikasi diterima s.d. 31.12.2026, "intakes starting in 2026 onwards"), dicek 29/10/2026</t>
  </si>
  <si>
    <t xml:space="preserve">CEK: konfirmasi harga ke sekolah (harga beda dengan sumber resmi); [KANDIDAT DUPLIKAT] input B–I identik dengan baris 207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Program juga tidak tercantum di price list Q4 (Cert IV Business/L&amp;M) sehingga kode &amp; susunan paket tidak dapat dibuktikan. Kurang: konfirmasi TEG apakah blok kedua = Greenwich Gold Coast (alamat GC belum tercatat di file) + offer letter/kampus.; CEK: tidak ada di price list Greenwich Q4 2026 (Cert IV Leadership &amp; Management tidak tercantum) - jangan ditawarkan sebelum dikonfirmasi sekolah; Sumber: Pricelist Greenwich_VET_Q4_Master_Pricing_Document_Oct26v3.pdf hal. 4/10/14 (VET Pricing Q4 2026 v9, "Correct as of 30.09.26", aplikasi diterima s.d. 31.12.2026, "intakes starting in 2026 onwards"), dicek 29/10/2026</t>
  </si>
  <si>
    <t xml:space="preserve">CEK: konfirmasi harga ke sekolah (harga beda dengan sumber resmi); [KANDIDAT DUPLIKAT] input B–I identik dengan baris 208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Program juga tidak tercantum di price list Q4 (Cert IV Business/L&amp;M) sehingga kode &amp; susunan paket tidak dapat dibuktikan. Kurang: konfirmasi TEG apakah blok kedua = Greenwich Gold Coast (alamat GC belum tercatat di file) + offer letter/kampus.; Tuition beda per level, lihat keterangan di kolom Program; CEK: tidak ada di price list Greenwich Q4 2026 (Cert IV Leadership &amp; Management tidak tercantum) - jangan ditawarkan sebelum dikonfirmasi sekolah; Sumber: Pricelist Greenwich_VET_Q4_Master_Pricing_Document_Oct26v3.pdf hal. 4/10/14 (VET Pricing Q4 2026 v9, "Correct as of 30.09.26", aplikasi diterima s.d. 31.12.2026, "intakes starting in 2026 onwards"), dicek 29/10/2026</t>
  </si>
  <si>
    <t xml:space="preserve">[KANDIDAT DUPLIKAT] input B–I identik dengan baris 209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Harga BRI = GC di price list Q4, jadi biaya tidak bisa membedakan. Kurang: konfirmasi TEG apakah blok kedua = Greenwich Gold Coast (alamat GC belum tercatat di file) + offer letter/kampus.;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44 + 52 = 96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Dip 120 = sisa AUD 120 (kecuali ada waiver di offer letter); Harga sesuai sumber resmi; Cara hitung tuition/periode: Resmi per periode; Sumber: Pricelist Greenwich_VET_Q4_Master_Pricing_Document_Oct26v3.pdf hal. 4 &amp; 8 (VET Pricing Q4 2026 v9, "Correct as of 30.09.26", aplikasi diterima s.d. 31.12.2026, "intakes starting in 2026 onwards"), dicek 29/10/2026</t>
  </si>
  <si>
    <t xml:space="preserve">CEK: duplikat dari baris 211 (kemungkinan salah input);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44 + 52 = 96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Dip 120 = sisa AUD 120 (kecuali ada waiver di offer letter); Harga sesuai sumber resmi; Cara hitung tuition/periode: Resmi per periode; Sumber: Pricelist Greenwich_VET_Q4_Master_Pricing_Document_Oct26v3.pdf hal. 4 &amp; 8 (VET Pricing Q4 2026 v9, "Correct as of 30.09.26", aplikasi diterima s.d. 31.12.2026, "intakes starting in 2026 onwards"), dicek 29/10/2026</t>
  </si>
  <si>
    <t xml:space="preserve">CEK: duplikat dari baris 212 (kemungkinan salah input); Tuition beda per level, lihat keterangan di kolom Program;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44 + 52 + 76 = 172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Dip 120 + Adv Dip MA 200 = sisa AUD 320 (kecuali ada waiver di offer letter); Harga sesuai sumber resmi; Cara hitung tuition/periode: Resmi per periode; Sumber: Pricelist Greenwich_VET_Q4_Master_Pricing_Document_Oct26v3.pdf hal. 4 &amp; 8 (VET Pricing Q4 2026 v9, "Correct as of 30.09.26", aplikasi diterima s.d. 31.12.2026, "intakes starting in 2026 onwards"), dicek 29/10/2026</t>
  </si>
  <si>
    <t xml:space="preserve">Adv Dip Of IT ($1330/term untuk 11 term terakhir)</t>
  </si>
  <si>
    <t xml:space="preserve">CEK: konfirmasi harga ke sekolah (harga beda dengan sumber resmi); Tuition beda per level, lihat keterangan di kolom Program; CEK: tidak ada di price list Greenwich Q4 2026 (ICT60220 Adv Dip of IT (1 x $1,250 + 11 x $1,330/term) (kampus: SYD MEL GC ADL)) - jangan ditawarkan sebelum dikonfirmasi sekolah; Sumber: Pricelist Greenwich_VET_Q4_Master_Pricing_Document_Oct26v3.pdf hal. 4/10/14 (VET Pricing Q4 2026 v9, "Correct as of 30.09.26", aplikasi diterima s.d. 31.12.2026, "intakes starting in 2026 onwards"), dicek 29/10/2026</t>
  </si>
  <si>
    <t xml:space="preserve">[KANDIDAT DUPLIKAT] input B–I identik dengan baris 214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Harga BRI = GC di price list Q4, jadi biaya tidak bisa membedakan. Kurang: konfirmasi TEG apakah blok kedua = Greenwich Gold Coast (alamat GC belum tercatat di file) + offer letter/kampus.;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52 + 76 = 128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Dip 500 = sisa AUD 500 (kecuali ada waiver di offer letter); Harga diperbarui dari sumber resmi; Cara hitung tuition/periode: Resmi per periode; Sumber: Pricelist Greenwich_VET_Q4_Master_Pricing_Document_Oct26v3.pdf hal. 14 &amp; 8 (VET Pricing Q4 2026 v9, "Correct as of 30.09.26", aplikasi diterima s.d. 31.12.2026, "intakes starting in 2026 onwards"), dicek 29/10/2026</t>
  </si>
  <si>
    <t xml:space="preserve">[KANDIDAT DUPLIKAT] input B–I identik dengan baris 215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Harga BRI = GC di price list Q4, jadi biaya tidak bisa membedakan. Kurang: konfirmasi TEG apakah blok kedua = Greenwich Gold Coast (alamat GC belum tercatat di file) + offer letter/kampus.;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[MATERIAL] Material Fee = material kursus PERTAMA saja; material kursus berikutnya masih harus dibayar sebelum kursus itu mulai: Dip 300 (total paket ACP 2.000) = sisa AUD 300 (kecuali ada waiver di offer letter); Harga diperbarui dari sumber resmi; Cara hitung tuition/periode: Resmi per periode; Sumber: Pricelist Greenwich_VET_Q4_Master_Pricing_Document_Oct26v3.pdf hal. 10 &amp; 8 (VET Pricing Q4 2026 v9, "Correct as of 30.09.26", aplikasi diterima s.d. 31.12.2026, "intakes starting in 2026 onwards"), dicek 29/10/2026</t>
  </si>
  <si>
    <t xml:space="preserve">[KANDIDAT DUPLIKAT] input B–I identik dengan baris 216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Harga BRI = GC di price list Q4, jadi biaya tidak bisa membedakan. Kurang: konfirmasi TEG apakah blok kedua = Greenwich Gold Coast (alamat GC belum tercatat di file) + offer letter/kampus.;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[MATERIAL] Material Fee = material kursus PERTAMA saja; material kursus berikutnya masih harus dibayar sebelum kursus itu mulai: Dip 300 + Adv Dip 300 (total paket ECT 2.300) = sisa AUD 600 (kecuali ada waiver di offer letter); Harga diperbarui dari sumber resmi; Cara hitung tuition/periode: Resmi per periode; Sumber: Pricelist Greenwich_VET_Q4_Master_Pricing_Document_Oct26v3.pdf hal. 10 &amp; 8 (VET Pricing Q4 2026 v9, "Correct as of 30.09.26", aplikasi diterima s.d. 31.12.2026, "intakes starting in 2026 onwards"), dicek 29/10/2026</t>
  </si>
  <si>
    <t xml:space="preserve">[KANDIDAT DUPLIKAT] input B–I identik dengan baris 217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Harga BRI = GC di price list Q4, jadi biaya tidak bisa membedakan. Kurang: konfirmasi TEG apakah blok kedua = Greenwich Gold Coast (alamat GC belum tercatat di file) + offer letter/kampus.;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32 + 52 = 84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Cert IV 500 = sisa AUD 500 (kecuali ada waiver di offer letter); Harga sesuai sumber resmi; Cara hitung tuition/periode: Resmi per periode; Sumber: Pricelist Greenwich_VET_Q4_Master_Pricing_Document_Oct26v3.pdf hal. 14 &amp; 8 (VET Pricing Q4 2026 v9, "Correct as of 30.09.26", aplikasi diterima s.d. 31.12.2026, "intakes starting in 2026 onwards"), dicek 29/10/2026</t>
  </si>
  <si>
    <t xml:space="preserve">[KANDIDAT DUPLIKAT] input B–I identik dengan baris 218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Harga BRI = GC di price list Q4, jadi biaya tidak bisa membedakan. Kurang: konfirmasi TEG apakah blok kedua = Greenwich Gold Coast (alamat GC belum tercatat di file) + offer letter/kampus.; Tuition beda per level, lihat keterangan di kolom Program;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32 + 52 + 76 = 160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Cert IV 500 + Dip 500 = sisa AUD 1.000 (kecuali ada waiver di offer letter); Harga sesuai sumber resmi; Cara hitung tuition/periode: Resmi per periode; Sumber: Pricelist Greenwich_VET_Q4_Master_Pricing_Document_Oct26v3.pdf hal. 14 &amp; 8 (VET Pricing Q4 2026 v9, "Correct as of 30.09.26", aplikasi diterima s.d. 31.12.2026, "intakes starting in 2026 onwards") | dicek ulang 29 Okt 20, dicek 29/10/2026</t>
  </si>
  <si>
    <t xml:space="preserve">Adv Dip of IT (11 terms tearkhir $1330/term)</t>
  </si>
  <si>
    <t xml:space="preserve">Greenwich Higher Education (Academy of Interactive Technology Pty Ltd)
Brisbane - alamat kampus belum dikonfirmasi (lokasi resmi 2027: Sydney &amp; Melbourne)</t>
  </si>
  <si>
    <t xml:space="preserve">CEK: kampus Brisbane tidak tercantum - Greenwich Higher Education 2027 Pricing List (v4 Q4, updated 19/10/2026) hanya mencantumkan lokasi Sydney &amp; Melbourne (dicek 07/11/2026); 4 x 4.025 = 16.100, jadi cocok bila 1 tahun = 4 periode (dokumen hanya menyebut "trimester" dan 8 subjek/tahun,;   Sumber: https://info.ait.edu.au/hubfs/v4-Q1-Greenwich-Higher-Education-Master-Pricing-Document-2026.pdf, dicek 29/10/2026</t>
  </si>
  <si>
    <t xml:space="preserve">Hospitality Training Academy (HTA)
Suite 102, Level 1/9 Bay St, Southport 4215, QLD, Australia</t>
  </si>
  <si>
    <t xml:space="preserve">Cert IV in Kitchen Management + Dip Of Hospitality Management (tuition fee bayar tiap bulan $1000/term sampai lunas)</t>
  </si>
  <si>
    <t xml:space="preserve">Cert IV in Kitchen Management + Dip + Adv Dip Of Hospitality Management (tuition fee bayar tiap bulan $1000/term sampai lunas)</t>
  </si>
  <si>
    <t xml:space="preserve">Dip Of Business (tuition fee bayar tiap bulan $1000/term sampai lunas)</t>
  </si>
  <si>
    <t xml:space="preserve">Tuition beda per level, lihat keterangan di kolom Program; Material/enrolment belum tercatat (material; dihitung 0 di Estimasi Initial Payment); Harga belum dicek ke sumber resmi</t>
  </si>
  <si>
    <t xml:space="preserve">Dip Of Business + Graduate Diploma Of Management (Learning) (tuition fee bayar tiap bulan $1000/term sampai lunas)</t>
  </si>
  <si>
    <t xml:space="preserve">Tuition beda per level, lihat keterangan di kolom Program; CEK: BSB80120 Graduate Diploma of Management (Learning) dari provider VET - registrasi CRICOS ditangguhkan/dibatalkan sejak Sep-Okt 2026. Jangan ditawarkan sebelum dikonfirmasi.; Harga belum dicek ke sumber resmi</t>
  </si>
  <si>
    <t xml:space="preserve">Graduate Diploma Of Strategic Leadership (tuition fee bayar tiap bulan $1000/term sampai lunas)</t>
  </si>
  <si>
    <t xml:space="preserve">Graduate Diploma Of Management (Learning) (tuition fee bayar tiap bulan $1000/term sampai lunas)</t>
  </si>
  <si>
    <t xml:space="preserve">Cert IV in Patisserie + Dip Of Hospitality Management (tuition fee bayar tiap bulan $1000/term sampai lunas)</t>
  </si>
  <si>
    <t xml:space="preserve">Cert IV in Kitchen Management + Cert IV in Patisserie + Adv Dip Of Hospitality Management (tuition fee bayar tiap bulan $1000/term sampai lunas)</t>
  </si>
  <si>
    <t xml:space="preserve">Imperial Institute of Sydney (IIS)
Campus 4 (Regional): Level 2, Orchid Plaza, 58 Lake Street, Cairns City, QLD, Australia 4870</t>
  </si>
  <si>
    <t xml:space="preserve">Cert IV in Kicthen Management + Dip Of Hsopitality Management</t>
  </si>
  <si>
    <t xml:space="preserve">CEK: kampus Brisbane tidak tercantum di register Study Australia untuk provider ini (dicek 04/11/2026) - konfirmasi kampus/entitas; Material/enrolment belum tercatat (enrolment; dihitung 0 di Estimasi Initial Payment); Harga belum dicek ke sumber resmi</t>
  </si>
  <si>
    <t xml:space="preserve">Dip + Adv Dip Of Program Management</t>
  </si>
  <si>
    <t xml:space="preserve">Kaplan Business School
Level 2, 252 St Pauls Terrace Brisbane QLD 4000 ---------Ground Level, 369 Ann Street Brisbane QLD 4000--------36 Marine Parade Southport QLD 4215</t>
  </si>
  <si>
    <t xml:space="preserve">Diploma of Business (Per Trimester or 4 months)</t>
  </si>
  <si>
    <t xml:space="preserve">Bachelor of Business (Per Trimester or 4 months)</t>
  </si>
  <si>
    <t xml:space="preserve">Graduate Certificate in Business Administration (Per Trimester or 4 months)</t>
  </si>
  <si>
    <t xml:space="preserve">Graduate Diploma of Business Administration (Per Trimester or 4 months)</t>
  </si>
  <si>
    <t xml:space="preserve">Master of Business Administration (Per Trimester or 4 months)</t>
  </si>
  <si>
    <t xml:space="preserve">Graduate Certificate of Accounting (Per Trimester or 4 months)</t>
  </si>
  <si>
    <t xml:space="preserve">Master of Accounting (Per Trimester or 4 months)</t>
  </si>
  <si>
    <t xml:space="preserve">Master of Professional Accounting (Per Trimester or 4 months)</t>
  </si>
  <si>
    <t xml:space="preserve">Master of Business Analytics (Per Trimester or 4 months)</t>
  </si>
  <si>
    <t xml:space="preserve">Master of Business Analytics (Extension) (Per Trimester or 4 months)</t>
  </si>
  <si>
    <t xml:space="preserve">Master of Business Analytics - Information Technology (IT) (Per Trimester or 4 months)</t>
  </si>
  <si>
    <t xml:space="preserve">Graduate Certificate in IT (Per Trimester or 4 months)</t>
  </si>
  <si>
    <t xml:space="preserve">Graduate Diploma of IT (Per Trimester or 4 months)</t>
  </si>
  <si>
    <t xml:space="preserve">Master of IT (Per Trimester or 4 months)</t>
  </si>
  <si>
    <t xml:space="preserve">Master of IT (Extension) (Per Trimester or 4 months)</t>
  </si>
  <si>
    <t xml:space="preserve">Le Cordon Bleu Australia
111 Colchester Street, South Bank QLD 4101</t>
  </si>
  <si>
    <t xml:space="preserve">Certificate III in Commercial Cookery</t>
  </si>
  <si>
    <t xml:space="preserve">CEK: kampus Brisbane tidak tercantum di register Study Australia untuk provider ini (dicek 04/11/2026) - konfirmasi kampus/entitas; Material/enrolment belum tercatat (material; dihitung 0 di Estimasi Initial Payment); Asumsi bayar awal 2 term (nilai pricelist lama; dokumen resmi (Fees and Refunds Policy v8.0, 15/01/2025): fee study period pertama dibayar sebelum CoE, panjang study period tidak disebut) - konfirmasi ke sekolah; Harga sesuai sumber resmi; Cara hitung tuition/periode: Hitung: total/tahunan ÷ N; Sumber: https://www.cordonbleu.edu/sydney/diplome-de-cuisine/en, dicek 29/10/2026</t>
  </si>
  <si>
    <t xml:space="preserve">Certificate IV in Kitchen Management</t>
  </si>
  <si>
    <t xml:space="preserve">CEK: kampus Brisbane tidak tercantum di register Study Australia untuk provider ini (dicek 04/11/2026) - konfirmasi kampus/entitas; Material/enrolment belum tercatat (material; dihitung 0 di Estimasi Initial Payment); Asumsi bayar awal 2 term (nilai pricelist lama; dokumen resmi (Fees and Refunds Policy v8.0, 15/01/2025): fee study period pertama dibayar sebelum CoE, panjang study period tidak disebut) - konfirmasi ke sekolah; Harga belum dicek ke sumber resmi</t>
  </si>
  <si>
    <t xml:space="preserve">Advanced Diploma of Hospitality Management</t>
  </si>
  <si>
    <t xml:space="preserve">Cert III + Cert IV Kitchen Management + Advd Dip Hospitality Management</t>
  </si>
  <si>
    <t xml:space="preserve">CEK: kampus Brisbane tidak tercantum di register Study Australia untuk provider ini (dicek 04/11/2026) - konfirmasi kampus/entitas; CEK: Sebagian sesuai sumber resmi: Paket hanya bisa dicek per komponen. Cert III 41.985 sesuai (6 x 6.997,5). Konsistensi internal: 7.005,6 x 10 = 70.056 = 41.985 + 13.474 + 14.597; Cert IV &amp; Adv; Material/enrolment belum tercatat (material; dihitung 0 di Estimasi Initial Payment); Tuition total/tahunan belum terbukti cocok dengan sumber resmi; Asumsi bayar awal 2 term (nilai pricelist lama; dokumen resmi (Fees and Refunds Policy v8.0, 15/01/2025): fee study period pertama dibayar sebelum CoE, panjang study period tidak disebut) - konfirmasi ke sekolah; Harga sebagian sesuai sumber resmi; Sumber: https://www.cordonbleu.edu/sydney/diplome-de-cuisine/en, dicek 29/10/2026</t>
  </si>
  <si>
    <t xml:space="preserve">Certificate III in Patisserie</t>
  </si>
  <si>
    <t xml:space="preserve">CEK: kampus Brisbane tidak tercantum di register Study Australia untuk provider ini (dicek 04/11/2026) - konfirmasi kampus/entitas; Material/enrolment belum tercatat (material; dihitung 0 di Estimasi Initial Payment); Asumsi bayar awal 2 term (nilai pricelist lama; dokumen resmi (Fees and Refunds Policy v8.0, 15/01/2025): fee study period pertama dibayar sebelum CoE, panjang study period tidak disebut) - konfirmasi ke sekolah; Harga belum dicek ke sumber resmi; Cara hitung tuition/periode: Hitung: total/tahunan ÷ N</t>
  </si>
  <si>
    <t xml:space="preserve">Certificate IV in Patisserie</t>
  </si>
  <si>
    <t xml:space="preserve">Cert III + Cert IV Patisserie + Adv Dip Hospitality Management</t>
  </si>
  <si>
    <t xml:space="preserve">Bachelor of Business - International Hotel Management</t>
  </si>
  <si>
    <t xml:space="preserve">CEK: kampus Brisbane tidak tercantum di register Study Australia untuk provider ini (dicek 04/11/2026) - konfirmasi kampus/entitas; Material/enrolment belum tercatat (material; dihitung 0 di Estimasi Initial Payment); Asumsi bayar awal 2 term (nilai pricelist lama; dokumen resmi (Fees and Refunds Policy v8.0, 15/01/2025): fee study period pertama dibayar sebelum CoE, panjang study period tidak disebut) - konfirmasi ke sekolah; Harga sesuai sumber resmi; Cara hitung tuition/periode: Hitung: total/tahunan ÷ N; Sumber: https://www.cordonbleu.edu/sydney/bachelor-business-international-hotel-management/en, dicek 29/10/2026</t>
  </si>
  <si>
    <t xml:space="preserve">Bachelor of Business - International Restaurant Management</t>
  </si>
  <si>
    <t xml:space="preserve">Master of Applied Hospitality Management</t>
  </si>
  <si>
    <t xml:space="preserve">CEK: kampus Brisbane tidak tercantum di register Study Australia untuk provider ini (dicek 04/11/2026) - konfirmasi kampus/entitas; Material/enrolment belum tercatat (material; dihitung 0 di Estimasi Initial Payment); Asumsi bayar awal 2 term (nilai pricelist lama; dokumen resmi (Fees and Refunds Policy v8.0, 15/01/2025): fee study period pertama dibayar sebelum CoE, panjang study period tidak disebut) - konfirmasi ke sekolah; Harga sesuai sumber resmi; Cara hitung tuition/periode: Hitung: total/tahunan ÷ N; Sumber: https://www.cordonbleu.edu/melbourne/master-of-applied-hospitality-management/en, dicek 29/10/2026</t>
  </si>
  <si>
    <t xml:space="preserve">Master of Applied Supply Chain Management</t>
  </si>
  <si>
    <t xml:space="preserve">CEK: kampus Brisbane tidak tercantum di register Study Australia untuk provider ini (dicek 04/11/2026) - konfirmasi kampus/entitas; Material/enrolment belum tercatat (material; dihitung 0 di Estimasi Initial Payment); Asumsi bayar awal 2 term (nilai pricelist lama; dokumen resmi (Fees and Refunds Policy v8.0, 15/01/2025): fee study period pertama dibayar sebelum CoE, panjang study period tidak disebut) - konfirmasi ke sekolah; Harga sesuai sumber resmi; Cara hitung tuition/periode: Hitung: total/tahunan ÷ N; Sumber: https://www.oneuedu.com/en-US/courses/master-of-applied-supply-chain-management-113968D, dicek 29/10/2026</t>
  </si>
  <si>
    <t xml:space="preserve">Million Brown's College (MBC)
Office 1 Level 4/269 Wickham St, Fortitude Valley QLD 4006, Australia</t>
  </si>
  <si>
    <t xml:space="preserve">Cert IV in Kitchen Management + Dip. Of Hospitality Management</t>
  </si>
  <si>
    <t xml:space="preserve">Material Fee pay every term; CEK: Lebih murah dari harga publik (~3,733/periode): pastikan ini harga agen/promo yang berlaku. Dicocokkan dicek 30/10/2026: selisih 37.3% - situs resmi MBC tanpa fee/promo; price list special $180/mgg tidak bertanggal; tetap perlu dokumen agen/promo bertanggal; CEK: price list offshore MBC TANPA TANGGAL (special tuition $180/mgg + material $20/mgg. 104 mgg. enrolment $250. initial payment $2.650) - konfirmasi masa berlaku; tuition/term = mingguan x 13 (asumsi); Initial payment CoE menurut dokumen: AUD 2.650 (Initial Payment $2.650. 22 Sep/Million Brown College.jpeg hal. 1 (Off Shore Price List - TANPA TANGGAL).) - belum ditinjau; jumlah pasti ikuti offer letter; Harga agen: dokumen price list agen belum dilampirkan; Material ditagih per periode (keterangan pricelist/sekolah: "Material Fee pay every term") - Initial Payment menghitung material x Bayar di Awal; Lebih murah dari harga publik - kemungkinan harga agen/promo (tidak diubah); Sumber: 22 Sep/Million Brown College.jpeg hal. 1 (Off Shore Price List - TANPA TANGGAL), dicek 29/10/2026</t>
  </si>
  <si>
    <t xml:space="preserve">Dip. + Adv. Dip Of Leadership and Management</t>
  </si>
  <si>
    <t xml:space="preserve">Material Fee pay every term; CEK: Lebih murah dari harga publik (~2,533/periode): pastikan ini harga agen/promo yang berlaku. Dicocokkan dicek 30/10/2026: selisih 35.8% - situs resmi MBC tanpa fee/promo; price list special $180/mgg tidak bertanggal; tetap perlu dokumen agen/promo bertanggal; CEK: price list offshore MBC TANPA TANGGAL (special tuition $125/mgg + material $10/mgg. 130 mgg. enrolment $250. initial payment $1.870) - konfirmasi masa berlaku; tuition/term = mingguan x 13 (asumsi); Initial payment CoE menurut dokumen: AUD 1.870 (Initial Payment $1.870. 22 Sep/Million Brown College.jpeg hal. 1 (Off Shore Price List - TANPA TANGGAL).) - belum ditinjau; jumlah pasti ikuti offer letter; Harga agen: dokumen price list agen belum dilampirkan; Material ditagih per periode (keterangan pricelist/sekolah: "Material Fee pay every term") - Initial Payment menghitung material x Bayar di Awal; Lebih murah dari harga publik - kemungkinan harga agen/promo (tidak diubah); Sumber: 22 Sep/Million Brown College.jpeg hal. 1 (Off Shore Price List - TANPA TANGGAL), dicek 29/10/2026</t>
  </si>
  <si>
    <t xml:space="preserve">Oceania College of Technology
110 Beatty Road, Archerfield QLD, 4108, Australia (Brisbane) ---------------- Suite 102, Level 1/9 Bay St, Southport, QLD, 4215, Australia (Gold Coast)</t>
  </si>
  <si>
    <t xml:space="preserve">Cert III in Light Vehicle Mechanical Technology + Cert IV in Automotive Mechanical Diagnosis ($2500/term in Cert IV)</t>
  </si>
  <si>
    <t xml:space="preserve">CEK: kampus Brisbane tidak tercantum di register Study Australia untuk provider ini (dicek 04/11/2026) - konfirmasi kampus/entitas; Tuition beda per level, lihat keterangan di kolom Program; Harga belum dicek ke sumber resmi</t>
  </si>
  <si>
    <t xml:space="preserve">Cert III in Light Vehicle Mechanical Technology + Cert IV + Dip of Automotive Mechanical Diagnosis ($2500/term in Cert IV &amp; $1500/term in Dip)</t>
  </si>
  <si>
    <t xml:space="preserve">Cert III + Cert IV in Automotive Body repair Technology ($2666/term in Cert IV)</t>
  </si>
  <si>
    <t xml:space="preserve">Cert III + Cert IV in Automotive Body repair Technology + Dip of Automotive Management ($2666/term in Cert IV &amp; $1500/term in Dip)</t>
  </si>
  <si>
    <t xml:space="preserve">Cert III in Light Vehicle Mechanical Technology + Cert III in Heavy Commercial Vehicle Mechanical Technology ($4500/term in Cert IV)</t>
  </si>
  <si>
    <t xml:space="preserve">Cert III in Light Vehicle Mechanical Technology + Cert III in Heavy Commercial Vehicle Mechanical Technology + Cert IV in Automotive Management ($2500/term in Cert IV &amp; $1500/term in Dip)</t>
  </si>
  <si>
    <t xml:space="preserve">Cert III in Heavy Commercial Vehicle Mechanical Technology + Cert IV in Automotive Mechanical Diagnosis ($2500/term in Cert IV)</t>
  </si>
  <si>
    <t xml:space="preserve">Cert III in Heavy Commercial Vehicle Mechanical Technology + Cert IV in Automotive Mechanical Diagnosis + Dip of Automotive Management ($2500/term in Cert IV &amp; $1500/term in Dip)</t>
  </si>
  <si>
    <t xml:space="preserve">Cert III in Automotive Electrical Technology + Cert IV in Automotive Mechanical Technology ($2500/term in Cert IV)</t>
  </si>
  <si>
    <t xml:space="preserve">Cert III in Automotive Electrical Technology + Cert IV in Automotive Mechanical Technology + Dip Automotive Management ($2500/term in Cert IV &amp; $1500/term in Dip)</t>
  </si>
  <si>
    <t xml:space="preserve">Cert III in Light Vehicle Mechanical Technology + Cert III in Automotive Electrical Technology ($4500/term Cert III in Automotive)</t>
  </si>
  <si>
    <t xml:space="preserve">Cert III in Light Vehicle Mechanical Technology + Cert III in Automotive Electrical Technology + Cert IV in Automotive Mechanical Diagnosis ($2500/term in Cert IV)</t>
  </si>
  <si>
    <t xml:space="preserve">Shafston International College
46 Thorn St, Kangaroo Point, Brisbane QLD 4169 Australia</t>
  </si>
  <si>
    <t xml:space="preserve">Cert IV in Kitchen Management + Dip Of Hospitality Management</t>
  </si>
  <si>
    <t xml:space="preserve">Material/enrolment belum tercatat (enrolment; dihitung 0 di Estimasi Initial Payment); Asumsi bayar awal 2 term (nilai pricelist lama; dokumen resmi (VET T&amp;C Jan 2026): deposit AUD 500 per kursus, sisa sesuai payment plan offer letter; jumlah term tidak disebut) - konfirmasi ke sekolah; Harga belum dicek ke sumber resmi</t>
  </si>
  <si>
    <t xml:space="preserve">Cert III in Individual Support + Dip of Community Service (naik Dip Tuition fee menjadi $2000/term)</t>
  </si>
  <si>
    <t xml:space="preserve">Tuition beda per level, lihat keterangan di kolom Program; Material/enrolment belum tercatat (enrolment; dihitung 0 di Estimasi Initial Payment); Asumsi bayar awal 2 term (nilai pricelist lama; dokumen resmi (VET T&amp;C Jan 2026): deposit AUD 500 per kursus, sisa sesuai payment plan offer letter; jumlah term tidak disebut) - konfirmasi ke sekolah; Harga belum dicek ke sumber resmi</t>
  </si>
  <si>
    <t xml:space="preserve">Cert IV + Dip of Information Technology (IT)</t>
  </si>
  <si>
    <t xml:space="preserve">Cert IV in Business + Dip of Leadership Management</t>
  </si>
  <si>
    <t xml:space="preserve">Asumsi bayar awal 2 term (nilai pricelist lama; dokumen resmi (VET T&amp;C Jan 2026): deposit AUD 500 per kursus, sisa sesuai payment plan offer letter; jumlah term tidak disebut) - konfirmasi ke sekolah; Harga belum dicek ke sumber resmi</t>
  </si>
  <si>
    <t xml:space="preserve">Cert IV in Business + Dip of Project Management</t>
  </si>
  <si>
    <t xml:space="preserve">Skills Institute Australia
3431 Pacific Hwy, Slacks Creek, QLD 4127</t>
  </si>
  <si>
    <t xml:space="preserve">Adv Dip of Information Technology (IT) (Telecommunication Network Engineering)</t>
  </si>
  <si>
    <t xml:space="preserve">Torrens University Australia
90 Bowen Terrace Fortitude Valley QLD 4006</t>
  </si>
  <si>
    <t xml:space="preserve">Diploma of Business</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</si>
  <si>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090282F: 3.950/subject, tahunan 31.600, total 31.600 (8 subject, 1 thn) - Torrens 2026 International Student Fee Schedule (Sept26 V24, terbit Okt 2026) hal. 1,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</si>
  <si>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090275E: 3.950/subject, tahunan 31.600, total 94.800 (24 subject, 3 thn) - Torrens 2026 International Student Fee Schedule (Sept26 V24, terbit Okt 2026) hal. 1,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</si>
  <si>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Diploma of Business Information Systems</t>
  </si>
  <si>
    <t xml:space="preserve">CEK: program tidak tercantum di Torrens 2026 International Student Fee Schedule (Sept26 V24, terbit Okt 2026) - kemungkinan tidak ditawarkan/berganti nama untuk siswa internasional 2026; konfirmasi ke Torrens (dicek 30/10/2026); 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</si>
  <si>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Bachelor of Business Information Systems</t>
  </si>
  <si>
    <t xml:space="preserve">Bachelor of Business (Entrepreneurship)</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</si>
  <si>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095229D: 3.950/subject, tahunan 31.600, total 94.800 (24 subject, 3 thn) - Torrens 2026 International Student Fee Schedule (Sept26 V24, terbit Okt 2026) hal. 1,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</si>
  <si>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Bachelor of Business (Event Management)</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</si>
  <si>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090278B: 3.950/subject, tahunan 31.600, total 94.800 (24 subject, 3 thn) - Torrens 2026 International Student Fee Schedule (Sept26 V24, terbit Okt 2026) hal. 1,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</si>
  <si>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Diploma of Business (Marketing)</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</si>
  <si>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114739J: 3.950/subject, tahunan 31.600, total 31.600 (8 subject, 1 thn) - Torrens 2026 International Student Fee Schedule (Sept26 V24, terbit Okt 2026) hal. 1,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</si>
  <si>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Bachelor of Business (Marketing)</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</si>
  <si>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090279A: 3.950/subject, tahunan 31.600, total 94.800 (24 subject, 3 thn) - Torrens 2026 International Student Fee Schedule (Sept26 V24, terbit Okt 2026) hal. 1,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</si>
  <si>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Bachelor of Business (Sport Management)</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</si>
  <si>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090265G: 3.950/subject, tahunan 31.600, total 94.800 (24 subject, 3 thn) - Torrens 2026 International Student Fee Schedule (Sept26 V24, terbit Okt 2026) hal. 1,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</si>
  <si>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Graduate Certificate of Business Administration</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</si>
  <si>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095349G: 4.500/subject, tahunan 18.000, total 18.000 (4 subject, 0.5 thn) - Torrens 2026 International Student Fee Schedule (Sept26 V24, terbit Okt 2026) hal. 2,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</si>
  <si>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Graduate Diploma of Business Administration</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</si>
  <si>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095352A: 4.500/subject, tahunan 36.000, total 36.000 (8 subject, 1 thn) - Torrens 2026 International Student Fee Schedule (Sept26 V24, terbit Okt 2026) hal. 2,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</si>
  <si>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095353M: 4.500/subject, tahunan 36.000, total 54.000 (12 subject, 1.5 thn) - Torrens 2026 International Student Fee Schedule (Sept26 V24, terbit Okt 2026) hal. 2,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</si>
  <si>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Master of Business Administration (Advanced)</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</si>
  <si>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088149G: 4.500/subject, tahunan 36.000, total 72.000 (16 subject, 2 thn) - Torrens 2026 International Student Fee Schedule (Sept26 V24, terbit Okt 2026) hal. 2,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</si>
  <si>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Master of Business Administration &amp; Master of Global Project Management</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</si>
  <si>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090241D: 4.500/subject, tahunan 36.000, total 72.000 (16 subject, 2 thn) - Torrens 2026 International Student Fee Schedule (Sept26 V24, terbit Okt 2026) hal. 2,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</si>
  <si>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Master of Business Administration &amp; Master of Public Health</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</si>
  <si>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090242C: 3.975/subject, tahunan 31.800, total 63.600 (16 subject, 2 thn) - Torrens 2026 International Student Fee Schedule (Sept26 V24, terbit Okt 2026) hal. 10,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</si>
  <si>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Master of Business Analytics</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</si>
  <si>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110668G: 4.500/subject, tahunan 36.000, total 54.000 (12 subject, 1.5 thn) - Torrens 2026 International Student Fee Schedule (Sept26 V24, terbit Okt 2026) hal. 2,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</si>
  <si>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Master of Business Analytics (Advanced)</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</si>
  <si>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110667H: 4.500/subject, tahunan 36.000, total 72.000 (16 subject, 2 thn) - Torrens 2026 International Student Fee Schedule (Sept26 V24, terbit Okt 2026) hal. 2,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</si>
  <si>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Graduate Certificate of Analytics</t>
  </si>
  <si>
    <t xml:space="preserve">Material/enrolment belum tercatat (material+enrolment; dihitung 0 di Estimasi Initial Payment); Tuition cocok dengan fee resmi 117426B: 4.500/subject, tahunan 18.000, total 18.000 (4 subject, 0.7 thn) - Torrens 2026 International Student Fee Schedule (Sept26 V24, terbit Okt 2026) hal. 2, dicek 30/10/2026; tuition/periode = tahunan ÷ 4 (konvensi TEG); Torrens menagih per trimester sesuai jumlah subject yang diambil, jadi tagihan per trimester bisa berbeda - jumlah pasti ikuti offer letter; Asumsi bayar awal 2 term (nilai pricelist lama; Torrens menagih per trimester sesuai subject; Fee Schedule 2026 V24 tidak menyebut jumlah bayar sebelum CoE) - konfirmasi ke sekolah; Harga belum dicek ke sumber resmi</t>
  </si>
  <si>
    <t xml:space="preserve">Graduate Certificate of Business Analytics</t>
  </si>
  <si>
    <t xml:space="preserve">Material/enrolment belum tercatat (material+enrolment; dihitung 0 di Estimasi Initial Payment); Tuition cocok dengan fee resmi 117359H: 4.500/subject, tahunan 18.000, total 18.000 (4 subject, 0.7 thn) - Torrens 2026 International Student Fee Schedule (Sept26 V24, terbit Okt 2026) hal. 2, dicek 30/10/2026; tuition/periode = tahunan ÷ 4 (konvensi TEG); Torrens menagih per trimester sesuai jumlah subject yang diambil, jadi tagihan per trimester bisa berbeda - jumlah pasti ikuti offer letter; Asumsi bayar awal 2 term (nilai pricelist lama; Torrens menagih per trimester sesuai subject; Fee Schedule 2026 V24 tidak menyebut jumlah bayar sebelum CoE) - konfirmasi ke sekolah; Harga belum dicek ke sumber resmi</t>
  </si>
  <si>
    <t xml:space="preserve">Graduate Diploma of Business Analytics</t>
  </si>
  <si>
    <t xml:space="preserve">Material/enrolment belum tercatat (material+enrolment; dihitung 0 di Estimasi Initial Payment); Tuition cocok dengan fee resmi 117358J: 4.500/subject, tahunan 36.000, total 36.000 (8 subject, 1 thn) - Torrens 2026 International Student Fee Schedule (Sept26 V24, terbit Okt 2026) hal. 2, dicek 30/10/2026; tuition/periode = tahunan ÷ 4 (konvensi TEG); Torrens menagih per trimester sesuai jumlah subject yang diambil, jadi tagihan per trimester bisa berbeda - jumlah pasti ikuti offer letter; Asumsi bayar awal 2 term (nilai pricelist lama; Torrens menagih per trimester sesuai subject; Fee Schedule 2026 V24 tidak menyebut jumlah bayar sebelum CoE) - konfirmasi ke sekolah; Harga belum dicek ke sumber resmi</t>
  </si>
  <si>
    <t xml:space="preserve">Graduate Diploma of Business Information Systems</t>
  </si>
  <si>
    <t xml:space="preserve">Master of Business Information Systems</t>
  </si>
  <si>
    <t xml:space="preserve">Master of Engineering Management</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</si>
  <si>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102618F: 4.500/subject, tahunan 36.000, total 72.000 (16 subject, 2 thn) - Torrens 2026 International Student Fee Schedule (Sept26 V24, terbit Okt 2026) hal. 3,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</si>
  <si>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Graduate Certificate of Global Project Management</t>
  </si>
  <si>
    <t xml:space="preserve">Graduate Diploma of Global Project Management</t>
  </si>
  <si>
    <t xml:space="preserve">Master of Global Project Management</t>
  </si>
  <si>
    <t xml:space="preserve">Master of Global Project Management (Advanced)</t>
  </si>
  <si>
    <t xml:space="preserve">Master of Global Project Management &amp; Master of Public Health</t>
  </si>
  <si>
    <t xml:space="preserve">Master of Business Administration (Sport Management) (Advanced)</t>
  </si>
  <si>
    <t xml:space="preserve">CEK: konfirmasi harga ke sekolah (harga beda dengan sumber resmi); CEK: konfirmasi harga ke sekolah - tuition di file x4 = 82.540 lebih mahal 100% dari fee tahunan resmi 41.250 (kemungkinan memakai total kursus ÷ 4) - 0101388: 5.156/subject, tahunan 41.250, total 82.500 (16 subject, 2 thn) - Torrens 2026 International Student Fee Schedule (Sept26 V24, terbit Okt 2026) hal. 3, dicek 30/10/2026; tuition/periode = tahunan ÷ 4 (konvensi TEG); Torrens menagih per trimester sesuai jumlah subject yang diambil, jadi tagihan per trimester bisa berbeda - jumlah pasti ikuti offer letter; Material/enrolment belum tercatat (material+enrolment; dihitung 0 di Estimasi Initial Payment); Asumsi bayar awal 2 term (nilai pricelist lama; Torrens menagih per trimester sesuai subject; Fee Schedule 2026 V24 tidak menyebut jumlah bayar sebelum CoE) - konfirmasi ke sekolah; Cara hitung tuition/periode: Hitung: total/tahunan ÷ N; Sumber: https://cdn.intelligencebank.com/au/share/RyzZ/D1G8V/jlMdo/original/TUA-International-Pricing-guide, dicek 29/10/2026</t>
  </si>
  <si>
    <t xml:space="preserve">Diploma of Graphic Design</t>
  </si>
  <si>
    <t xml:space="preserve">CEK: kampus Brisbane tidak tercantum untuk program ini (kampus resmi: Sydney, Online) - 102489K: 3.125/subject, tahunan 25.000, total 37.500 (12 subject, 1.5 thn) - Torrens 2026 International Student Fee Schedule (Sept26 V24, terbit Okt 2026) hal. 4, dicek 30/10/2026; tuition/periode = tahunan ÷ 4 (konvensi TEG); Torrens menagih per trimester sesuai jumlah subject yang diambil, jadi tagihan per trimester bisa berbeda - jumlah pasti ikuti offer letter; 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</si>
  <si>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Bachelor of Communication Design</t>
  </si>
  <si>
    <t xml:space="preserve">CEK: kampus Brisbane tidak tercantum untuk program ini (kampus resmi: Sydney, Online) - 090295A: 4.688/subject, tahunan 37.500, total 112.500 (24 subject, 3 thn) - Torrens 2026 International Student Fee Schedule (Sept26 V24, terbit Okt 2026) hal. 4, dicek 30/10/2026; tuition/periode = tahunan ÷ 4 (konvensi TEG); Torrens menagih per trimester sesuai jumlah subject yang diambil, jadi tagihan per trimester bisa berbeda - jumlah pasti ikuti offer letter; 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</si>
  <si>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Diploma of Branded Fashion Design</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</si>
  <si>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107018A: 4.688/subject, tahunan 37.500, total 37.500 (8 subject, 1 thn) - Torrens 2026 International Student Fee Schedule (Sept26 V24, terbit Okt 2026) hal. 4,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</si>
  <si>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Diploma of Fashion Marketing &amp; Enterprise</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</si>
  <si>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108078C: 4.688/subject, tahunan 37.500, total 37.500 (8 subject, 1 thn) - Torrens 2026 International Student Fee Schedule (Sept26 V24, terbit Okt 2026) hal. 4,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</si>
  <si>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Bachelor of Branded Fashion Design</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</si>
  <si>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090293C: 4.688/subject, tahunan 37.500, total 112.500 (24 subject, 3 thn) - Torrens 2026 International Student Fee Schedule (Sept26 V24, terbit Okt 2026) hal. 4,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</si>
  <si>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Bachelor of Fashion Marketing &amp; Enterprise</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</si>
  <si>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108076E: 4.688/subject, tahunan 37.500, total 112.500 (23** subject, 3 thn) - Torrens 2026 International Student Fee Schedule (Sept26 V24, terbit Okt 2026) hal. 4,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</si>
  <si>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Advanced Diploma of Interior Design and Decoration</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</si>
  <si>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117125D: 3.125/subject, tahunan 25.000, total 37.500 (12 subject, 1.7 thn) - Torrens 2026 International Student Fee Schedule (Sept26 V24, terbit Okt 2026) hal. 4,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</si>
  <si>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Diploma of Interior Design and Decoration</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</si>
  <si>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092484B: 3.125/subject, tahunan 25.000, total 25.000 (8 subject, 1 thn) - Torrens 2026 International Student Fee Schedule (Sept26 V24, terbit Okt 2026) hal. 4,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</si>
  <si>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Bachelor of Interior Design (Commercial)</t>
  </si>
  <si>
    <t xml:space="preserve">CEK: kampus Brisbane tidak tercantum untuk program ini (kampus resmi: Sydney, Online) - 105417B: 4.688/subject, tahunan 37.500, total 112.500 (24 subject, 3 thn) - Torrens 2026 International Student Fee Schedule (Sept26 V24, terbit Okt 2026) hal. 4, dicek 30/10/2026; tuition/periode = tahunan ÷ 4 (konvensi TEG); Torrens menagih per trimester sesuai jumlah subject yang diambil, jadi tagihan per trimester bisa berbeda - jumlah pasti ikuti offer letter; 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</si>
  <si>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Bachelor of Interior Design (Residential)</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</si>
  <si>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105419M: 4.688/subject, tahunan 37.500, total 112.500 (24 subject, 3 thn) - Torrens 2026 International Student Fee Schedule (Sept26 V24, terbit Okt 2026) hal. 4,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</si>
  <si>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Bachelor of Architectural Technology</t>
  </si>
  <si>
    <t xml:space="preserve">CEK: kampus Brisbane tidak tercantum untuk program ini (kampus resmi: Melbourne, Sydney, Online) - 114510H: 4.688/subject, tahunan 37.500, total 112.500 (24 subject, 3 thn) - Torrens 2026 International Student Fee Schedule (Sept26 V24, terbit Okt 2026) hal. 4, dicek 30/10/2026; tuition/periode = tahunan ÷ 4 (konvensi TEG); Torrens menagih per trimester sesuai jumlah subject yang diambil, jadi tagihan per trimester bisa berbeda - jumlah pasti ikuti offer letter; 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</si>
  <si>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Diploma of Cybersecurity</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</si>
  <si>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110738J: 4.688/subject, tahunan 37.500, total 37.500 (8 subject, 1 thn) - Torrens 2026 International Student Fee Schedule (Sept26 V24, terbit Okt 2026) hal. 6,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</si>
  <si>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Diploma of Information Technology (IT)</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</si>
  <si>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108469K: 3.950/subject, tahunan 31.600, total 31.600 (8 subject, 1 thn) - Torrens 2026 International Student Fee Schedule (Sept26 V24, terbit Okt 2026) hal. 6,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</si>
  <si>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108468M: 3.950/subject, tahunan 31.600, total 94.800 (22** subject, 3 thn) - Torrens 2026 International Student Fee Schedule (Sept26 V24, terbit Okt 2026) hal. 6,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</si>
  <si>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Graduate Certificate of Cybersecurity</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</si>
  <si>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110794A: 4.975/subject, tahunan 19.900, total 19.900 (4 subject, 0.6 thn) - Torrens 2026 International Student Fee Schedule (Sept26 V24, terbit Okt 2026) hal. 7,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</si>
  <si>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Graduate Diploma of Cybersecurity</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</si>
  <si>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110793B: 4.975/subject, tahunan 39.800, total 39.800 (8 subject, 1 thn) - Torrens 2026 International Student Fee Schedule (Sept26 V24, terbit Okt 2026) hal. 7,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</si>
  <si>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Master of Cybersecurity</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</si>
  <si>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110792C: 4.975/subject, tahunan 39.800, total 59.700 (11** subject, 1.7 thn) - Torrens 2026 International Student Fee Schedule (Sept26 V24, terbit Okt 2026) hal. 7,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</si>
  <si>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Master of Cybersecurity (Advanced)</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</si>
  <si>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110791D: 4.975/subject, tahunan 39.800, total 79.600 (13** subject, 2 thn) - Torrens 2026 International Student Fee Schedule (Sept26 V24, terbit Okt 2026) hal. 7,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</si>
  <si>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Graduate Certificate of Information Technology (IT)</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</si>
  <si>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107048F: 4.500/subject, tahunan 18.000, total 18.000 (4 subject, 0.6 thn) - Torrens 2026 International Student Fee Schedule (Sept26 V24, terbit Okt 2026) hal. 7,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</si>
  <si>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Graduate Diploma of Information Technology (IT)</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</si>
  <si>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107047G: 4.500/subject, tahunan 36.000, total 36.000 (8 subject, 1 thn) - Torrens 2026 International Student Fee Schedule (Sept26 V24, terbit Okt 2026) hal. 7,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</si>
  <si>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107046H: 4.500/subject, tahunan 36.000, total 54.000 (11** subject, 1.7 thn) - Torrens 2026 International Student Fee Schedule (Sept26 V24, terbit Okt 2026) hal. 7,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</si>
  <si>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Master of Information Technology (IT) (Advanced)</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</si>
  <si>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107045J: 4.500/subject, tahunan 36.000, total 72.000 (13** subject, 2 thn) - Torrens 2026 International Student Fee Schedule (Sept26 V24, terbit Okt 2026) hal. 7,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</si>
  <si>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Diploma of Beauty &amp; Spa Practice</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</si>
  <si>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Tuition/periode diperbarui 8.748 -&gt; 7,332.50 (lebih mahal 19.3% dari fee resmi; cara hitung sama: tahunan ÷ 4) - 094184J: 3.666/subject, tahunan 29.330, total 29.330 (8 subject, 1 thn) - Torrens 2026 International Student Fee Schedule (Sept26 V24, terbit Okt 2026) hal. 9,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</si>
  <si>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Bachelor of Health Science (Dermal Therapies)</t>
  </si>
  <si>
    <t xml:space="preserve">halaman kursus) sedangkan file memakai Term ÷4 x 2 di awal; deposit CoE standar tidak dipublikasikan. Hitung ulang dari 2026 International Fee Schedule (PDF resmi, belum terbaca) / offer letter. Aplikasi langsung: application fee $0 (agen belum jelas).; CEK: 7.875 = fee 2025 Aesthetics (31.500/4); 2026 resmi ~87.990/3 th = 29.330/thn (÷4 = 7.332,5) -&gt; file ±7% lebih mahal.; Material/enrolment belum tercatat (material+enrolment; dihitung 0 di Estimasi Initial Payment); Tuition/periode diperbarui 7.875 -&gt; 7,332.50 (lebih mahal 7.4% dari fee resmi; cara hitung sama: tahunan ÷ 4) - 119240G: 3.666/subject, tahunan 29.330, total 87.990 (24 subject, 3 thn) - Torrens 2026 International Student Fee Schedule (Sept26 V24, terbit Okt 2026) hal. 9,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</si>
  <si>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Diploma of Health Science</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</si>
  <si>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099640E: 3.666/subject, tahunan 29.330, total 29.330 (8 subject, 1 thn) - Torrens 2026 International Student Fee Schedule (Sept26 V24, terbit Okt 2026) hal. 9,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</si>
  <si>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Bachelor of Health Science (Chinese Medicine)</t>
  </si>
  <si>
    <t xml:space="preserve">CEK: kampus Brisbane tidak tercantum untuk program ini (kampus resmi: Melbourne) - 102914J: 3.666/subject, tahunan 29.330, total 117.320 (32 subject, 4 thn) - Torrens 2026 International Student Fee Schedule (Sept26 V24, terbit Okt 2026) hal. 9, dicek 30/10/2026; tuition/periode = tahunan ÷ 4 (konvensi TEG); Torrens menagih per trimester sesuai jumlah subject yang diambil, jadi tagihan per trimester bisa berbeda - jumlah pasti ikuti offer letter; 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</si>
  <si>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Bachelor of Health Science (Naturopathy)</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</si>
  <si>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099643B: 3.666/subject, tahunan 29.330, total 117.320 (32 subject, 4 thn) - Torrens 2026 International Student Fee Schedule (Sept26 V24, terbit Okt 2026) hal. 9,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</si>
  <si>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Bachelor of Health Science (Western Herbal Medicine)</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</si>
  <si>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099641D: 3.666/subject, tahunan 29.330, total 87.990 (24 subject, 3 thn) - Torrens 2026 International Student Fee Schedule (Sept26 V24, terbit Okt 2026) hal. 9,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</si>
  <si>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Bachelor of Community Services</t>
  </si>
  <si>
    <t xml:space="preserve">CEK: kampus Brisbane tidak tercantum untuk program ini (kampus resmi: Adelaide, Melbourne, Sydney) - 111741F: 3.666/subject, tahunan 29.330, total 87.990 (24 subject, 3 thn) - Torrens 2026 International Student Fee Schedule (Sept26 V24, terbit Okt 2026) hal. 9, dicek 30/10/2026; tuition/periode = tahunan ÷ 4 (konvensi TEG); Torrens menagih per trimester sesuai jumlah subject yang diambil, jadi tagihan per trimester bisa berbeda - jumlah pasti ikuti offer letter; 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</si>
  <si>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100910: 4.375/subject, tahunan 35.000, total 105.000 (24 subject, 3 thn) - Torrens 2026 International Student Fee Schedule (Sept26 V24, terbit Okt 2026) hal. 9,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</si>
  <si>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Bachelor of Health Science (Clinical Nutrition)</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</si>
  <si>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099642C: 3.666/subject, tahunan 29.330, total 87.990 (24 subject, 3 thn) - Torrens 2026 International Student Fee Schedule (Sept26 V24, terbit Okt 2026) hal. 9,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</si>
  <si>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Material/enrolment belum tercatat (material+enrolment; dihitung 0 di Estimasi Initial Payment); Tuition cocok dengan fee resmi 117489J: 4.318/subject, tahunan 34.545, total 103.635 (24 subject, 3 thn) - Torrens 2026 International Student Fee Schedule (Sept26 V24, terbit Okt 2026) hal. 9, dicek 30/10/2026; tuition/periode = tahunan ÷ 4 (konvensi TEG); Torrens menagih per trimester sesuai jumlah subject yang diambil, jadi tagihan per trimester bisa berbeda - jumlah pasti ikuti offer letter; Asumsi bayar awal 2 term (nilai pricelist lama; Torrens menagih per trimester sesuai subject; Fee Schedule 2026 V24 tidak menyebut jumlah bayar sebelum CoE) - konfirmasi ke sekolah; Harga belum dicek ke sumber resmi</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</si>
  <si>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097405K: 3.975/subject, tahunan 15.900, total 15.900 (4 subject, 0.5 thn) - Torrens 2026 International Student Fee Schedule (Sept26 V24, terbit Okt 2026) hal. 10,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</si>
  <si>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097406J: 3.975/subject, tahunan 31.800, total 31.800 (8 subject, 1 thn) - Torrens 2026 International Student Fee Schedule (Sept26 V24, terbit Okt 2026) hal. 10,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</si>
  <si>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097404M: 3.975/subject, tahunan 31.800, total 47.700 (12 subject, 1.5 thn) - Torrens 2026 International Student Fee Schedule (Sept26 V24, terbit Okt 2026) hal. 10,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</si>
  <si>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Master of Public Health (Advanced)</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</si>
  <si>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095594E: 3.975/subject, tahunan 31.800, total 63.600 (16 subject, 2 thn) - Torrens 2026 International Student Fee Schedule (Sept26 V24, terbit Okt 2026) hal. 10,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</si>
  <si>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Diploma of Nursing</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</si>
  <si>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110190G: 0/subject, tahunan 26.250, total 42.000 (25 subject, 1.5 thn) - Torrens 2026 International Student Fee Schedule (Sept26 V24, terbit Okt 2026) hal. 11, dicek 30/10/2026; tuition/periode = tahunan ÷ 4 (konvensi TEG); Torrens menagih per trimester sesuai jumlah subject yang diambil, jadi tagihan per trimester bisa berbeda - jumlah pasti ikuti offer letter; fee resmi per trimester: T1 7.875, T2 9.660, T3 8.715, T4 8.794, T5 6.956 (total 42.000); payment plan tidak tersedia;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</si>
  <si>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Bachelor of Business (Hospitality and Tourism Management)</t>
  </si>
  <si>
    <t xml:space="preserve">CEK: kampus Brisbane tidak tercantum untuk program ini (kampus resmi: Sydney, Online) - 113665H: 3.950/subject, tahunan 31.600, total 94.800 (24 subject, 3 thn) - Torrens 2026 International Student Fee Schedule (Sept26 V24, terbit Okt 2026) hal. 13, dicek 30/10/2026; tuition/periode = tahunan ÷ 4 (konvensi TEG); Torrens menagih per trimester sesuai jumlah subject yang diambil, jadi tagihan per trimester bisa berbeda - jumlah pasti ikuti offer letter; 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</si>
  <si>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Diploma of Business (International Hotel Management)</t>
  </si>
  <si>
    <t xml:space="preserve">CEK: kampus Brisbane tidak tercantum untuk program ini (kampus resmi: Sydney and Blue Mountains) - 119195G: 4.686/subject, tahunan 37.485, total 37.485 (8 subject, 1 thn) - Torrens 2026 International Student Fee Schedule (Sept26 V24, terbit Okt 2026) hal. 13, dicek 30/10/2026; tuition/periode = tahunan ÷ 4 (konvensi TEG); Torrens menagih per trimester sesuai jumlah subject yang diambil, jadi tagihan per trimester bisa berbeda - jumlah pasti ikuti offer letter; Blue Mountains: deposit AUD 3.200 setelah Letter of Offer ditandatangani (fee schedule hal. 16); Material/enrolment belum tercatat (material+enrolment; dihitung 0 di Estimasi Initial Payment); Asumsi bayar awal 2 term (nilai pricelist lama; Torrens menagih per trimester sesuai subject; Fee Schedule 2026 V24 tidak menyebut jumlah bayar sebelum CoE) - konfirmasi ke sekolah; Harga sesuai sumber resmi; Cara hitung tuition/periode: Hitung: total/tahunan ÷ N; Sumber: https://cdn.intelligencebank.com/au/share/RyzZ/D1G8V/jlMdo/original/TUA-International-Pricing-guide, dicek 29/10/2026</t>
  </si>
  <si>
    <t xml:space="preserve">Graduate Certificate of Research Studies</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</si>
  <si>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108075F: 3.688/subject, tahunan 14.750, total 14.750 (4 subject, 0.5 thn) - Torrens 2026 International Student Fee Schedule (Sept26 V24, terbit Okt 2026) hal. 14,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</si>
  <si>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Graduate Diploma of Research Studies</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</si>
  <si>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109130G: 3.688/subject, tahunan 29.500, total 29.500 (8 subject, 1 thn) - Torrens 2026 International Student Fee Schedule (Sept26 V24, terbit Okt 2026) hal. 14,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</si>
  <si>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Master of Research Studies</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</si>
  <si>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115327K: 3.688/subject, tahunan 29.500, total 59.000 (16 subject, 2 thn) - Torrens 2026 International Student Fee Schedule (Sept26 V24, terbit Okt 2026) hal. 14,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</si>
  <si>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096609F: 3.688/subject, tahunan 29.500, total 59.000 (16 subject, 2 thn) - Torrens 2026 International Student Fee Schedule (Sept26 V24, terbit Okt 2026) hal. 14,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</si>
  <si>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096608G: 3.688/subject, tahunan 29.500, total 88.500 (24 subject, 3 thn) - Torrens 2026 International Student Fee Schedule (Sept26 V24, terbit Okt 2026) hal. 14,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</si>
  <si>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Professional Doctorate (Research)</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</si>
  <si>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108074G: 3.688/subject, tahunan 29.500, total 88.500 (24 subject, 3 thn) - Torrens 2026 International Student Fee Schedule (Sept26 V24, terbit Okt 2026) hal. 14,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</si>
  <si>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Professional Doctorate (Applied Research)</t>
  </si>
  <si>
    <t xml:space="preserve">Material/enrolment belum tercatat (material+enrolment; dihitung 0 di Estimasi Initial Payment); Tuition cocok dengan fee resmi 117156H: 3.688/subject, tahunan 29.500, total 88.500 (24 subject, 3 thn) - Torrens 2026 International Student Fee Schedule (Sept26 V24, terbit Okt 2026) hal. 14, dicek 30/10/2026; tuition/periode = tahunan ÷ 4 (konvensi TEG); Torrens menagih per trimester sesuai jumlah subject yang diambil, jadi tagihan per trimester bisa berbeda - jumlah pasti ikuti offer letter; Asumsi bayar awal 2 term (nilai pricelist lama; Torrens menagih per trimester sesuai subject; Fee Schedule 2026 V24 tidak menyebut jumlah bayar sebelum CoE) - konfirmasi ke sekolah; Harga belum dicek ke sumber resmi</t>
  </si>
  <si>
    <t xml:space="preserve">• L3/ 160 Edward St, Brisbane City, QLD 4000</t>
  </si>
  <si>
    <t xml:space="preserve">• 350 =+SUM(E334:J334)+E334 2 terms tuition applied</t>
  </si>
  <si>
    <t xml:space="preserve">OFFSHORE - ADELAIDE</t>
  </si>
  <si>
    <t xml:space="preserve">Abbey College Australia
L11, 118 King William St. Adelaide SA 5000</t>
  </si>
  <si>
    <t xml:space="preserve">Dip + Adv Dip Of Information Technology (IT) ($2250/term after Adv Dip level)</t>
  </si>
  <si>
    <t xml:space="preserve">Cert IV in Ageing Support + Dip Of Community Services</t>
  </si>
  <si>
    <t xml:space="preserve">Dip Of Project Management + Adv Dip Of Program Management</t>
  </si>
  <si>
    <t xml:space="preserve">Dip + Adv Dip Of Business</t>
  </si>
  <si>
    <t xml:space="preserve">Cert IV + Dip + Adv Dip Of Business Marketing and Communication</t>
  </si>
  <si>
    <t xml:space="preserve">Dip + Adv Dip Of Translating</t>
  </si>
  <si>
    <t xml:space="preserve">Adelaide University
Adelaide University, Adelaide City Campus East — Corner of North Terrace &amp; Frome Road, Adelaide SA 5001---------------Adelaide University, Adelaide City Campus West — North Terrace, Adelaide SA 5000. Halaman resmi juga mencantumkan 55 North Terrace sebagai lokasi Campus West--------------Adelaide University Magill Campus — St Bernards Road, Magill SA 5072-----------------------Adelaide University Mawson Lakes Campus — Mawson Lakes Boulevard, Mawson Lakes SA 5095----------------------Adelaide University - Waite Campus — Urrbrae / Glen Osmond SA 5064. Situs resmi universitas mencantumkan Waite Campus, Glen Osmond SA 5064.---------------------Adelaide University Roseworthy Campus — Mudla Wirra Road, Roseworthy SA 5371-----------------Adelaide University Mount Gambier Campus — Wireless Road West, Mount Gambier SA 5291--------------Adelaide University Whyalla Campus — 111 Nicolson Avenue, Whyalla Norrie SA 5608</t>
  </si>
  <si>
    <t xml:space="preserve">Bachelor of Commerce majoring in Accounting</t>
  </si>
  <si>
    <t xml:space="preserve">Material/enrolment belum tercatat (material; dihitung 0 di Estimasi Initial Payment); Harga diperbarui dari sumber resmi; Cara hitung tuition/periode: Hitung: total/tahunan ÷ N; Sumber: https://adelaide.edu.au/study/degrees/bachelor-of-commerce/, dicek 29/10/2026; Kode internal: YY</t>
  </si>
  <si>
    <t xml:space="preserve">Bachelor of Commerce majoring in Banking and Finance</t>
  </si>
  <si>
    <t xml:space="preserve">Bachelor of Commerce majoring in Business Analytics</t>
  </si>
  <si>
    <t xml:space="preserve">Bachelor of Commerce majoring in Financial Planning</t>
  </si>
  <si>
    <t xml:space="preserve">Bachelor of Economics</t>
  </si>
  <si>
    <t xml:space="preserve">Material/enrolment belum tercatat (material; dihitung 0 di Estimasi Initial Payment); Harga sesuai sumber resmi; Cara hitung tuition/periode: Hitung: total/tahunan ÷ N; Sumber: https://adelaide.edu.au/study/degrees/bachelor-of-economics/, dicek 29/10/2026; Kode internal: YY</t>
  </si>
  <si>
    <t xml:space="preserve">Bachelor of Economics majoring in Advanced Analysis</t>
  </si>
  <si>
    <t xml:space="preserve">Bachelor of Economics (Honours)</t>
  </si>
  <si>
    <t xml:space="preserve">Bachelor of Philosophy, Politics and Economics</t>
  </si>
  <si>
    <t xml:space="preserve">Bachelor of Agricultural Sciences</t>
  </si>
  <si>
    <t xml:space="preserve">Material/enrolment belum tercatat (material; dihitung 0 di Estimasi Initial Payment); Harga sesuai sumber resmi; Cara hitung tuition/periode: Hitung: total/tahunan ÷ N; Sumber: https://adelaide.edu.au/study/degrees/bachelor-of-agricultural-sciences/, dicek 29/10/2026; Kode internal: YY</t>
  </si>
  <si>
    <t xml:space="preserve">Bachelor of Science majoring in Animal Behaviour</t>
  </si>
  <si>
    <t xml:space="preserve">Material/enrolment belum tercatat (material; dihitung 0 di Estimasi Initial Payment); Harga sesuai sumber resmi; Cara hitung tuition/periode: Hitung: total/tahunan ÷ N; Sumber: https://adelaide.edu.au/study/degrees/bachelor-of-science/, dicek 29/10/2026; Kode internal: YY</t>
  </si>
  <si>
    <t xml:space="preserve">Bachelor of Science majoring in Animal Science</t>
  </si>
  <si>
    <t xml:space="preserve">Bachelor of Science (Veterinary Bioscience) Q</t>
  </si>
  <si>
    <t xml:space="preserve">Bachelor of Veterinary Technology</t>
  </si>
  <si>
    <t xml:space="preserve">Bachelor of Viticulture and Oenology</t>
  </si>
  <si>
    <t xml:space="preserve">Bachelor of Clinical Exercise Physiology (Honours)</t>
  </si>
  <si>
    <t xml:space="preserve">Bachelor of Human Movement majoring in Human Nutrition</t>
  </si>
  <si>
    <t xml:space="preserve">Bachelor of Human Movement majoring in Secondary Health and Physical Education</t>
  </si>
  <si>
    <t xml:space="preserve">Bachelor of Human Movement majoring in Sport Coaching</t>
  </si>
  <si>
    <t xml:space="preserve">Bachelor of Medical Radiation Science (Honours) majoring in Medical Imaging Q</t>
  </si>
  <si>
    <t xml:space="preserve">Bachelor of Medical Radiation Science (Honours) majoring in Nuclear Medicine Q</t>
  </si>
  <si>
    <t xml:space="preserve">Bachelor of Medical Radiation Science (Honours) majoring in Radiation Therapy Q</t>
  </si>
  <si>
    <t xml:space="preserve">Bachelor of Occupational Therapy (Honours) Q</t>
  </si>
  <si>
    <t xml:space="preserve">Bachelor of Outdoor and Environmental Leadership</t>
  </si>
  <si>
    <t xml:space="preserve">Bachelor of Pharmaceutical Science</t>
  </si>
  <si>
    <t xml:space="preserve">Bachelor of Pharmacy (Honours)</t>
  </si>
  <si>
    <t xml:space="preserve">Material/enrolment belum tercatat (material; dihitung 0 di Estimasi Initial Payment); Harga diperbarui dari sumber resmi; Cara hitung tuition/periode: Hitung: total/tahunan ÷ N; Sumber: https://adelaide.edu.au/study/degrees/bachelor-of-pharmacy-honours/, dicek 29/10/2026; Kode internal: YY</t>
  </si>
  <si>
    <t xml:space="preserve">Bachelor of Physiotherapy (Honours) Q</t>
  </si>
  <si>
    <t xml:space="preserve">Material/enrolment belum tercatat (material; dihitung 0 di Estimasi Initial Payment); Harga diperbarui dari sumber resmi; Cara hitung tuition/periode: Hitung: total/tahunan ÷ N; Sumber: https://adelaide.edu.au/study/degrees/bachelor-of-physiotherapy-honours/, dicek 29/10/2026; Kode internal: YY</t>
  </si>
  <si>
    <t xml:space="preserve">Bachelor of Podiatry (Honours) Q</t>
  </si>
  <si>
    <t xml:space="preserve">Bachelor of Speech Pathology (Honours) Q</t>
  </si>
  <si>
    <t xml:space="preserve">Bachelor of Architectural Design majoring in Urban Planning</t>
  </si>
  <si>
    <t xml:space="preserve">Bachelor of Industrial Design</t>
  </si>
  <si>
    <t xml:space="preserve">Bachelor of Interior Architecture (Honours)</t>
  </si>
  <si>
    <t xml:space="preserve">Material/enrolment belum tercatat (material; dihitung 0 di Estimasi Initial Payment); Harga sesuai sumber resmi; Cara hitung tuition/periode: Hitung: total/tahunan ÷ N; Sumber: https://adelaide.edu.au/study/degrees/bachelor-of-arts/, dicek 29/10/2026; Kode internal: YY</t>
  </si>
  <si>
    <t xml:space="preserve">Bachelor of Arts majoring in Aboriginal Studies</t>
  </si>
  <si>
    <t xml:space="preserve">Bachelor of Arts majoring in Anthropology</t>
  </si>
  <si>
    <t xml:space="preserve">Bachelor of Arts majoring in Archaeology and Classical Studies</t>
  </si>
  <si>
    <t xml:space="preserve">Bachelor of Arts majoring in Art History and Visual Culture</t>
  </si>
  <si>
    <t xml:space="preserve">Bachelor of Arts majoring in Chinese Studies</t>
  </si>
  <si>
    <t xml:space="preserve">Bachelor of Arts majoring in Creative Writing</t>
  </si>
  <si>
    <t xml:space="preserve">Bachelor of Arts majoring in Cultural Studies</t>
  </si>
  <si>
    <t xml:space="preserve">Bachelor of Arts majoring in English Literature</t>
  </si>
  <si>
    <t xml:space="preserve">Bachelor of Arts majoring in Environmental Management</t>
  </si>
  <si>
    <t xml:space="preserve">Bachelor of Arts majoring in French Studies</t>
  </si>
  <si>
    <t xml:space="preserve">Bachelor of Arts majoring in Gender and Sexuality Studies</t>
  </si>
  <si>
    <t xml:space="preserve">Bachelor of Arts majoring in Geography</t>
  </si>
  <si>
    <t xml:space="preserve">Bachelor of Arts majoring in German Studies</t>
  </si>
  <si>
    <t xml:space="preserve">Bachelor of Arts majoring in History</t>
  </si>
  <si>
    <t xml:space="preserve">Bachelor of Arts majoring in International Development</t>
  </si>
  <si>
    <t xml:space="preserve">Bachelor of Arts majoring in International Security</t>
  </si>
  <si>
    <t xml:space="preserve">Bachelor of Arts majoring in Italian Studies</t>
  </si>
  <si>
    <t xml:space="preserve">Bachelor of Arts majoring in Japanese Studies</t>
  </si>
  <si>
    <t xml:space="preserve">Bachelor of Arts majoring in Linguistics and Applied Linguistics</t>
  </si>
  <si>
    <t xml:space="preserve">Bachelor of Arts majoring in Philosophy</t>
  </si>
  <si>
    <t xml:space="preserve">Bachelor of Arts majoring in Politics</t>
  </si>
  <si>
    <t xml:space="preserve">Bachelor of Arts majoring in Population and Migration Studies</t>
  </si>
  <si>
    <t xml:space="preserve">Bachelor of Arts majoring in Screen Studies</t>
  </si>
  <si>
    <t xml:space="preserve">Bachelor of Arts majoring in Social Research and Policy Analysis</t>
  </si>
  <si>
    <t xml:space="preserve">Bachelor of Arts majoring in Sociology</t>
  </si>
  <si>
    <t xml:space="preserve">Bachelor of Arts majoring in Spanish Studies</t>
  </si>
  <si>
    <t xml:space="preserve">Bachelor of International Relations</t>
  </si>
  <si>
    <t xml:space="preserve">Material/enrolment belum tercatat (material; dihitung 0 di Estimasi Initial Payment); Harga sesuai sumber resmi; Cara hitung tuition/periode: Hitung: total/tahunan ÷ N; Sumber: https://adelaide.edu.au/study/degrees/bachelor-of-international-relations/, dicek 29/10/2026; Kode internal: YY</t>
  </si>
  <si>
    <t xml:space="preserve">Bachelor of International Relations majoring in Chinese Studies</t>
  </si>
  <si>
    <t xml:space="preserve">Bachelor of International Relations majoring in Environmental Management</t>
  </si>
  <si>
    <t xml:space="preserve">Bachelor of International Relations majoring in French Studies</t>
  </si>
  <si>
    <t xml:space="preserve">Bachelor of International Relations majoring in German Studies</t>
  </si>
  <si>
    <t xml:space="preserve">Bachelor of International Relations majoring in History</t>
  </si>
  <si>
    <t xml:space="preserve">Bachelor of International Relations majoring in International Development</t>
  </si>
  <si>
    <t xml:space="preserve">Bachelor of International Relations majoring in International Security</t>
  </si>
  <si>
    <t xml:space="preserve">Bachelor of International Relations majoring in Italian Studies</t>
  </si>
  <si>
    <t xml:space="preserve">Bachelor of International Relations majoring in Japanese Studies</t>
  </si>
  <si>
    <t xml:space="preserve">Bachelor of International Relations majoring in Politics</t>
  </si>
  <si>
    <t xml:space="preserve">Bachelor of International Relations majoring in Population and Migration Studies</t>
  </si>
  <si>
    <t xml:space="preserve">Bachelor of International Relations majoring in Spanish Studies</t>
  </si>
  <si>
    <t xml:space="preserve">Bachelor of Social Science majoring in Ageing and Disability</t>
  </si>
  <si>
    <t xml:space="preserve">Bachelor of Social Science majoring in Human Services</t>
  </si>
  <si>
    <t xml:space="preserve">Bachelor of Aviation majoring in Management</t>
  </si>
  <si>
    <t xml:space="preserve">Bachelor of Aviation majoring in Pilot</t>
  </si>
  <si>
    <t xml:space="preserve">Material/enrolment belum tercatat (material; dihitung 0 di Estimasi Initial Payment); Harga diperbarui dari sumber resmi; Cara hitung tuition/periode: Hitung: total/tahunan ÷ N; Sumber: https://adelaide.edu.au/study/degrees/bachelor-of-business/, dicek 29/10/2026; Kode internal: YY</t>
  </si>
  <si>
    <t xml:space="preserve">Bachelor of Business majoring in Digital Business</t>
  </si>
  <si>
    <t xml:space="preserve">Bachelor of Business majoring in Human Resource Management</t>
  </si>
  <si>
    <t xml:space="preserve">Bachelor of Business majoring in Innovation, Entrepreneurship and Strategy</t>
  </si>
  <si>
    <t xml:space="preserve">Bachelor of Business majoring in International Business</t>
  </si>
  <si>
    <t xml:space="preserve">Bachelor of Business majoring in Management</t>
  </si>
  <si>
    <t xml:space="preserve">Bachelor of Business majoring in Marketing</t>
  </si>
  <si>
    <t xml:space="preserve">Bachelor of Business majoring in Marketing and Communication</t>
  </si>
  <si>
    <t xml:space="preserve">Bachelor of Business majoring in Marketing and Design</t>
  </si>
  <si>
    <t xml:space="preserve">Bachelor of Business majoring in Procurement and Supply Chain Management</t>
  </si>
  <si>
    <t xml:space="preserve">Bachelor of Business majoring in Project Management</t>
  </si>
  <si>
    <t xml:space="preserve">Material/enrolment belum tercatat (material; dihitung 0 di Estimasi Initial Payment); Harga sesuai sumber resmi; Cara hitung tuition/periode: Hitung: total/tahunan ÷ N; Sumber: https://adelaide.edu.au/study/degrees/bachelor-of-computer-science/, dicek 29/10/2026; Kode internal: YY</t>
  </si>
  <si>
    <t xml:space="preserve">Bachelor of Computer Science majoring in Artificial Intelligence and Machine Learning</t>
  </si>
  <si>
    <t xml:space="preserve">Bachelor of Computer Science majoring in Human-Centred Computing</t>
  </si>
  <si>
    <t xml:space="preserve">Bachelor of Computer Science majoring in Programming Languages</t>
  </si>
  <si>
    <t xml:space="preserve">Bachelor of Computer Science (Honours)</t>
  </si>
  <si>
    <t xml:space="preserve">Material/enrolment belum tercatat (material; dihitung 0 di Estimasi Initial Payment); Harga sesuai sumber resmi; Cara hitung tuition/periode: Hitung: total/tahunan ÷ N; Sumber: https://adelaide.edu.au/study/degrees/bachelor-of-computer-science-honours/, dicek 29/10/2026; Kode internal: YY</t>
  </si>
  <si>
    <t xml:space="preserve">Bachelor of Computer Science (Honours) majoring in Artificial Intelligence and Machine Learning</t>
  </si>
  <si>
    <t xml:space="preserve">Bachelor of Computer Science (Honours) majoring in Human-Centred Computing</t>
  </si>
  <si>
    <t xml:space="preserve">Bachelor of Computer Science (Honours) majoring in Programming Languages</t>
  </si>
  <si>
    <t xml:space="preserve">Bachelor of Cyber Security</t>
  </si>
  <si>
    <t xml:space="preserve">Material/enrolment belum tercatat (material; dihitung 0 di Estimasi Initial Payment); Harga sesuai sumber resmi; Cara hitung tuition/periode: Hitung: total/tahunan ÷ N; Sumber: https://adelaide.edu.au/study/degrees/bachelor-of-cyber-security/, dicek 29/10/2026; Kode internal: YY</t>
  </si>
  <si>
    <t xml:space="preserve">Bachelor of Cyber Security majoring in Governance, Risk, and Compliance</t>
  </si>
  <si>
    <t xml:space="preserve">Bachelor of Cyber Security majoring in Technology</t>
  </si>
  <si>
    <t xml:space="preserve">Material/enrolment belum tercatat (material; dihitung 0 di Estimasi Initial Payment); Harga sesuai sumber resmi; Cara hitung tuition/periode: Hitung: total/tahunan ÷ N; Sumber: https://adelaide.edu.au/study/degrees/bachelor-of-information-technology/, dicek 29/10/2026; Kode internal: YY</t>
  </si>
  <si>
    <t xml:space="preserve">Bachelor of Information Technology (IT) majoring in Data Analytics</t>
  </si>
  <si>
    <t xml:space="preserve">Bachelor of Information Technology (IT) majoring in Games Development</t>
  </si>
  <si>
    <t xml:space="preserve">Bachelor of Information Technology (IT) majoring in Networking and Cyber Security</t>
  </si>
  <si>
    <t xml:space="preserve">Bachelor of Information Technology (IT) majoring in Software Development</t>
  </si>
  <si>
    <t xml:space="preserve">Bachelor of Software Engineering (Honours)</t>
  </si>
  <si>
    <t xml:space="preserve">Material/enrolment belum tercatat (material; dihitung 0 di Estimasi Initial Payment); Harga diperbarui dari sumber resmi; Cara hitung tuition/periode: Hitung: total/tahunan ÷ N; Sumber: https://adelaide.edu.au/study/degrees/bachelor-of-creative-arts/, dicek 29/10/2026; Kode internal: YY</t>
  </si>
  <si>
    <t xml:space="preserve">Bachelor of Creative Arts majoring in Comicbook Creation</t>
  </si>
  <si>
    <t xml:space="preserve">Bachelor of Creative Arts majoring in Creative Industries</t>
  </si>
  <si>
    <t xml:space="preserve">Bachelor of Creative Arts majoring in Creative Writing</t>
  </si>
  <si>
    <t xml:space="preserve">Bachelor of Creative Arts majoring in Digital Media and Web Design</t>
  </si>
  <si>
    <t xml:space="preserve">Bachelor of Creative Arts majoring in Festivals</t>
  </si>
  <si>
    <t xml:space="preserve">Bachelor of Creative Arts majoring in Games Design and Production</t>
  </si>
  <si>
    <t xml:space="preserve">Bachelor of Creative Arts majoring in Immersive Media</t>
  </si>
  <si>
    <t xml:space="preserve">Bachelor of Creative Arts majoring in Performing Arts</t>
  </si>
  <si>
    <t xml:space="preserve">Bachelor of Creative Arts majoring in Screen Production</t>
  </si>
  <si>
    <t xml:space="preserve">Bachelor of Film and Television</t>
  </si>
  <si>
    <t xml:space="preserve">Material/enrolment belum tercatat (material; dihitung 0 di Estimasi Initial Payment); Harga sesuai sumber resmi; Cara hitung tuition/periode: Hitung: total/tahunan ÷ N; Sumber: https://adelaide.edu.au/study/degrees/bachelor-of-film-and-television/, dicek 29/10/2026; Kode internal: YY</t>
  </si>
  <si>
    <t xml:space="preserve">Bachelor of Graphic Communication Design</t>
  </si>
  <si>
    <t xml:space="preserve">Bachelor of Illustration and Animation</t>
  </si>
  <si>
    <t xml:space="preserve">Bachelor of Journalism</t>
  </si>
  <si>
    <t xml:space="preserve">Material/enrolment belum tercatat (material; dihitung 0 di Estimasi Initial Payment); Harga diperbarui dari sumber resmi; Cara hitung tuition/periode: Hitung: total/tahunan ÷ N; Sumber: https://adelaide.edu.au/study/degrees/bachelor-of-journalism/, dicek 29/10/2026; Kode internal: YY</t>
  </si>
  <si>
    <t xml:space="preserve">Bachelor of Journalism majoring in Creative Writing</t>
  </si>
  <si>
    <t xml:space="preserve">Bachelor of Journalism majoring in Digital and Social Media Storytelling</t>
  </si>
  <si>
    <t xml:space="preserve">Bachelor of Journalism majoring in Immersive Media</t>
  </si>
  <si>
    <t xml:space="preserve">Bachelor of Journalism majoring in Politics</t>
  </si>
  <si>
    <t xml:space="preserve">Bachelor of Journalism majoring in Strategic Communication</t>
  </si>
  <si>
    <t xml:space="preserve">Material/enrolment belum tercatat (material; dihitung 0 di Estimasi Initial Payment); Harga diperbarui dari sumber resmi; Cara hitung tuition/periode: Hitung: total/tahunan ÷ N; Sumber: https://adelaide.edu.au/study/degrees/bachelor-of-media-and-communication/, dicek 29/10/2026; Kode internal: YY</t>
  </si>
  <si>
    <t xml:space="preserve">Bachelor of Media and Communication majoring in Digital and Social Media Storytelling</t>
  </si>
  <si>
    <t xml:space="preserve">Bachelor of Media and Communication majoring in Digital Media and Web Design</t>
  </si>
  <si>
    <t xml:space="preserve">Bachelor of Media and Communication majoring in Games Design and Production</t>
  </si>
  <si>
    <t xml:space="preserve">Bachelor of Media and Communication majoring in Immersive Media</t>
  </si>
  <si>
    <t xml:space="preserve">Bachelor of Media and Communication majoring in Media Cultures</t>
  </si>
  <si>
    <t xml:space="preserve">Bachelor of Media and Communication majoring in Screen Production</t>
  </si>
  <si>
    <t xml:space="preserve">Bachelor of Media and Communication majoring in Screen Studies</t>
  </si>
  <si>
    <t xml:space="preserve">Bachelor of Media and Communication majoring in Strategic Communication</t>
  </si>
  <si>
    <t xml:space="preserve">Bachelor of Visual Effects</t>
  </si>
  <si>
    <t xml:space="preserve">Bachelor of Engineering (Chemical) (Honours)</t>
  </si>
  <si>
    <t xml:space="preserve">Bachelor of Engineering (Civil) (Honours)</t>
  </si>
  <si>
    <t xml:space="preserve">Material/enrolment belum tercatat (material; dihitung 0 di Estimasi Initial Payment); Harga sesuai sumber resmi; Cara hitung tuition/periode: Hitung: total/tahunan ÷ N; Sumber: https://adelaide.edu.au/study/degrees/bachelor-of-engineering-civil-honours/, dicek 29/10/2026; Kode internal: YY</t>
  </si>
  <si>
    <t xml:space="preserve">Bachelor of Engineering (Electrical) (Honours)</t>
  </si>
  <si>
    <t xml:space="preserve">Bachelor of Engineering (Environmental) (Honours)</t>
  </si>
  <si>
    <t xml:space="preserve">Bachelor of Engineering (Mechanical) (Honours)</t>
  </si>
  <si>
    <t xml:space="preserve">Bachelor of Biomedical and Health Sciences</t>
  </si>
  <si>
    <t xml:space="preserve">Material/enrolment belum tercatat (material; dihitung 0 di Estimasi Initial Payment); Harga diperbarui dari sumber resmi; Cara hitung tuition/periode: Hitung: total/tahunan ÷ N; Sumber: https://adelaide.edu.au/study/degrees/bachelor-of-biomedical-and-health-sciences/, dicek 29/10/2026; Kode internal: YY</t>
  </si>
  <si>
    <t xml:space="preserve">Bachelor of Biomedical and Health Sciences majoring in Biochemistry</t>
  </si>
  <si>
    <t xml:space="preserve">Bachelor of Biomedical and Health Sciences majoring in Clinical Trials</t>
  </si>
  <si>
    <t xml:space="preserve">Bachelor of Biomedical and Health Sciences majoring in Genetics</t>
  </si>
  <si>
    <t xml:space="preserve">Bachelor of Biomedical and Health Sciences majoring in Medical Science</t>
  </si>
  <si>
    <t xml:space="preserve">Bachelor of Biomedical and Health Sciences majoring in Microbiology and Immunology</t>
  </si>
  <si>
    <t xml:space="preserve">Bachelor of Biomedical and Health Sciences majoring in Neuroscience</t>
  </si>
  <si>
    <t xml:space="preserve">Bachelor of Biomedical and Health Sciences majoring in Public Health</t>
  </si>
  <si>
    <t xml:space="preserve">Bachelor of Biomedical and Health Sciences majoring in Reproductive and Childhood Health</t>
  </si>
  <si>
    <t xml:space="preserve">Material/enrolment belum tercatat (material; dihitung 0 di Estimasi Initial Payment); Harga sesuai sumber resmi; Cara hitung tuition/periode: Hitung: total/tahunan ÷ N; Sumber: https://adelaide.edu.au/study/degrees/bachelor-of-criminology-and-criminal-justice/, dicek 29/10/2026; Kode internal: YY</t>
  </si>
  <si>
    <t xml:space="preserve">Bachelor of Criminology and Criminal Justice majoring in Aboriginal Studies</t>
  </si>
  <si>
    <t xml:space="preserve">Bachelor of Criminology and Criminal Justice majoring in Anthropology</t>
  </si>
  <si>
    <t xml:space="preserve">Bachelor of Criminology and Criminal Justice majoring in Gender and Sexuality Studies</t>
  </si>
  <si>
    <t xml:space="preserve">Bachelor of Criminology and Criminal Justice majoring in History</t>
  </si>
  <si>
    <t xml:space="preserve">Bachelor of Criminology and Criminal Justice majoring in International Security</t>
  </si>
  <si>
    <t xml:space="preserve">Bachelor of Criminology and Criminal Justice majoring in Politics</t>
  </si>
  <si>
    <t xml:space="preserve">Bachelor of Criminology and Criminal Justice majoring in Population and Migration Studies</t>
  </si>
  <si>
    <t xml:space="preserve">Bachelor of Criminology and Criminal Justice majoring in Social Research and Policy Analysis</t>
  </si>
  <si>
    <t xml:space="preserve">Bachelor of Criminology and Criminal Justice majoring in Sociology</t>
  </si>
  <si>
    <t xml:space="preserve">Bachelor of Laws (Honours)</t>
  </si>
  <si>
    <t xml:space="preserve">Material/enrolment belum tercatat (material; dihitung 0 di Estimasi Initial Payment); Harga diperbarui dari sumber resmi; Cara hitung tuition/periode: Hitung: total/tahunan ÷ N; Sumber: https://adelaide.edu.au/study/degrees/bachelor-of-laws-honours/, dicek 29/10/2026; Kode internal: YY</t>
  </si>
  <si>
    <t xml:space="preserve">Bachelor of Laws (Honours), Bachelor of Arts</t>
  </si>
  <si>
    <t xml:space="preserve">Bachelor of Laws (Honours), Bachelor of Business</t>
  </si>
  <si>
    <t xml:space="preserve">Bachelor of Laws (Honours), Bachelor of Commerce</t>
  </si>
  <si>
    <t xml:space="preserve">Bachelor of Laws (Honours), Bachelor of Criminology and Criminal Justice</t>
  </si>
  <si>
    <t xml:space="preserve">Bachelor of Laws (Honours), Bachelor of Economics</t>
  </si>
  <si>
    <t xml:space="preserve">Bachelor of Laws (Honours), Bachelor of Economics (Honours)</t>
  </si>
  <si>
    <t xml:space="preserve">6 years</t>
  </si>
  <si>
    <t xml:space="preserve">Bachelor of Laws (Honours), Bachelor of International Relations</t>
  </si>
  <si>
    <t xml:space="preserve">Bachelor of Laws (Honours), Bachelor of Journalism</t>
  </si>
  <si>
    <t xml:space="preserve">Bachelor of Laws (Honours), Bachelor of Psychology</t>
  </si>
  <si>
    <t xml:space="preserve">Bachelor of Laws (Honours), Bachelor of Sustainability and Climate Change</t>
  </si>
  <si>
    <t xml:space="preserve">Bachelor of Mathematics</t>
  </si>
  <si>
    <t xml:space="preserve">Material/enrolment belum tercatat (material; dihitung 0 di Estimasi Initial Payment); Harga diperbarui dari sumber resmi; Cara hitung tuition/periode: Hitung: total/tahunan ÷ N; Sumber: https://adelaide.edu.au/study/degrees/bachelor-of-mathematics/, dicek 29/10/2026; Kode internal: YY</t>
  </si>
  <si>
    <t xml:space="preserve">Bachelor of Mathematics majoring in Applied Mathematics</t>
  </si>
  <si>
    <t xml:space="preserve">Bachelor of Mathematics majoring in Data Science</t>
  </si>
  <si>
    <t xml:space="preserve">Bachelor of Mathematics majoring in Pure Mathematics</t>
  </si>
  <si>
    <t xml:space="preserve">Bachelor of Mathematics majoring in Statistics</t>
  </si>
  <si>
    <t xml:space="preserve">Bachelor of Mathematics (Honours)</t>
  </si>
  <si>
    <t xml:space="preserve">Material/enrolment belum tercatat (material; dihitung 0 di Estimasi Initial Payment); Harga sesuai sumber resmi; Cara hitung tuition/periode: Hitung: total/tahunan ÷ N; Sumber: https://adelaide.edu.au/study/degrees/bachelor-of-mathematics-honours/, dicek 29/10/2026; Kode internal: YY</t>
  </si>
  <si>
    <t xml:space="preserve">Bachelor of Mathematics (Honours) majoring in Applied Mathematics</t>
  </si>
  <si>
    <t xml:space="preserve">Bachelor of Mathematics (Honours) majoring in Data Science</t>
  </si>
  <si>
    <t xml:space="preserve">Bachelor of Mathematics (Honours) majoring in Pure Mathematics</t>
  </si>
  <si>
    <t xml:space="preserve">Bachelor of Mathematics (Honours) majoring in Statistics</t>
  </si>
  <si>
    <t xml:space="preserve">Bachelor of Dental Surgery Q</t>
  </si>
  <si>
    <t xml:space="preserve">Material/enrolment belum tercatat (material; dihitung 0 di Estimasi Initial Payment); Harga sesuai sumber resmi; Cara hitung tuition/periode: Hitung: total/tahunan ÷ N; Sumber: https://adelaide.edu.au/study/degrees/bachelor-of-dental-surgery/, dicek 29/10/2026; Kode internal: YY</t>
  </si>
  <si>
    <t xml:space="preserve">Bachelor of Laboratory Medicine (Honours)</t>
  </si>
  <si>
    <t xml:space="preserve">Bachelor of Medical Studies Q</t>
  </si>
  <si>
    <t xml:space="preserve">Material/enrolment belum tercatat (material; dihitung 0 di Estimasi Initial Payment); Harga sesuai sumber resmi; Cara hitung tuition/periode: Hitung: total/tahunan ÷ N; Sumber: https://adelaide.edu.au/study/degrees/bachelor-of-medical-studies/, dicek 29/10/2026; Kode internal: YY</t>
  </si>
  <si>
    <t xml:space="preserve">Bachelor of Oral Health Q</t>
  </si>
  <si>
    <t xml:space="preserve">Bachelor of Music majoring in Classical Performance</t>
  </si>
  <si>
    <t xml:space="preserve">Bachelor of Music majoring in Creative Practice</t>
  </si>
  <si>
    <t xml:space="preserve">Bachelor of Music majoring in Jazz Performance</t>
  </si>
  <si>
    <t xml:space="preserve">Bachelor of Music majoring in Music Education</t>
  </si>
  <si>
    <t xml:space="preserve">Bachelor of Music (Honours) majoring in Classical Performance</t>
  </si>
  <si>
    <t xml:space="preserve">Bachelor of Music (Honours) majoring in Creative Practice</t>
  </si>
  <si>
    <t xml:space="preserve">Bachelor of Music (Honours) majoring in Jazz Performance</t>
  </si>
  <si>
    <t xml:space="preserve">Bachelor of Music (Honours) majoring in Music Education</t>
  </si>
  <si>
    <t xml:space="preserve">Bachelor of Music Theatre</t>
  </si>
  <si>
    <t xml:space="preserve">Material/enrolment belum tercatat (material; dihitung 0 di Estimasi Initial Payment); Harga diperbarui dari sumber resmi; Cara hitung tuition/periode: Hitung: total/tahunan ÷ N; Sumber: https://adelaide.edu.au/study/degrees/bachelor-of-music-theatre/, dicek 29/10/2026; Kode internal: YY</t>
  </si>
  <si>
    <t xml:space="preserve">Bachelor of Midwifery Q</t>
  </si>
  <si>
    <t xml:space="preserve">Bachelor of Nursing Q</t>
  </si>
  <si>
    <t xml:space="preserve">Material/enrolment belum tercatat (material; dihitung 0 di Estimasi Initial Payment); Harga sesuai sumber resmi; Cara hitung tuition/periode: Hitung: total/tahunan ÷ N; Sumber: https://adelaide.edu.au/study/degrees/bachelor-of-nursing/, dicek 29/10/2026; Kode internal: YY</t>
  </si>
  <si>
    <t xml:space="preserve">Bachelor of Human Nutrition</t>
  </si>
  <si>
    <t xml:space="preserve">Bachelor of Science majoring in Food Science and Technology</t>
  </si>
  <si>
    <t xml:space="preserve">Material/enrolment belum tercatat (material; dihitung 0 di Estimasi Initial Payment); Harga diperbarui dari sumber resmi; Cara hitung tuition/periode: Hitung: total/tahunan ÷ N; Sumber: https://adelaide.edu.au/study/degrees/bachelor-of-science/, dicek 29/10/2026; Kode internal: YY</t>
  </si>
  <si>
    <t xml:space="preserve">Bachelor of Business majoring in Real Estate</t>
  </si>
  <si>
    <t xml:space="preserve">Bachelor of Commerce majoring in Property</t>
  </si>
  <si>
    <t xml:space="preserve">Bachelor of Construction Management</t>
  </si>
  <si>
    <t xml:space="preserve">Bachelor of Construction Management (Honours)</t>
  </si>
  <si>
    <t xml:space="preserve">Bachelor of Psychology Q</t>
  </si>
  <si>
    <t xml:space="preserve">Material/enrolment belum tercatat (material; dihitung 0 di Estimasi Initial Payment); Harga sesuai sumber resmi; Cara hitung tuition/periode: Hitung: total/tahunan ÷ N; Sumber: https://adelaide.edu.au/study/degrees/bachelor-of-psychology/, dicek 29/10/2026; Kode internal: YY</t>
  </si>
  <si>
    <t xml:space="preserve">Bachelor of Psychology (Cognitive Neuroscience) Q</t>
  </si>
  <si>
    <t xml:space="preserve">Bachelor of Psychology (Counselling and Interpersonal Skills) Q</t>
  </si>
  <si>
    <t xml:space="preserve">Bachelor of Psychology (Honours)</t>
  </si>
  <si>
    <t xml:space="preserve">Bachelor of Psychology (Honours) (Cognitive Neuroscience)</t>
  </si>
  <si>
    <t xml:space="preserve">Bachelor of Psychology (Honours) (Counselling and Interpersonal Skills)</t>
  </si>
  <si>
    <t xml:space="preserve">Bachelor of Psychology (Honours) 1-year</t>
  </si>
  <si>
    <t xml:space="preserve">Material/enrolment belum tercatat (material; dihitung 0 di Estimasi Initial Payment); Harga sesuai sumber resmi; Cara hitung tuition/periode: Hitung: total/tahunan ÷ N; Sumber: https://adelaide.edu.au/study/degrees/bachelor-of-social-work/, dicek 29/10/2026; Kode internal: YY</t>
  </si>
  <si>
    <t xml:space="preserve">Bachelor of Social Work (Honours)</t>
  </si>
  <si>
    <t xml:space="preserve">Bachelor of Science majoring in Analytical Chemistry</t>
  </si>
  <si>
    <t xml:space="preserve">Bachelor of Science majoring in Biochemistry</t>
  </si>
  <si>
    <t xml:space="preserve">Bachelor of Science majoring in Biotechnology</t>
  </si>
  <si>
    <t xml:space="preserve">Bachelor of Science majoring in Chemistry</t>
  </si>
  <si>
    <t xml:space="preserve">Bachelor of Science majoring in Computational Physics</t>
  </si>
  <si>
    <t xml:space="preserve">Bachelor of Science majoring in Ecology</t>
  </si>
  <si>
    <t xml:space="preserve">Bachelor of Science majoring in Environmental and Geospatial Science</t>
  </si>
  <si>
    <t xml:space="preserve">Bachelor of Science majoring in Environmental Science</t>
  </si>
  <si>
    <t xml:space="preserve">Bachelor of Science majoring in Evolutionary Biology</t>
  </si>
  <si>
    <t xml:space="preserve">Bachelor of Science majoring in Evolutionary Biology and Palaeontology</t>
  </si>
  <si>
    <t xml:space="preserve">Bachelor of Science majoring in Experimental Physics</t>
  </si>
  <si>
    <t xml:space="preserve">Bachelor of Science majoring in Genetics</t>
  </si>
  <si>
    <t xml:space="preserve">Bachelor of Science majoring in Geology</t>
  </si>
  <si>
    <t xml:space="preserve">Bachelor of Science majoring in Geology and Earth Resources</t>
  </si>
  <si>
    <t xml:space="preserve">Bachelor of Science majoring in Geology and Palaeontology</t>
  </si>
  <si>
    <t xml:space="preserve">Bachelor of Science majoring in Geophysics</t>
  </si>
  <si>
    <t xml:space="preserve">Bachelor of Science majoring in Marine and Wildlife Conservation</t>
  </si>
  <si>
    <t xml:space="preserve">Bachelor of Science majoring in Medicinal and Biological Chemistry</t>
  </si>
  <si>
    <t xml:space="preserve">Bachelor of Science majoring in Microbiology and Immunology</t>
  </si>
  <si>
    <t xml:space="preserve">Bachelor of Science majoring in Nuclear and Radiation Physics</t>
  </si>
  <si>
    <t xml:space="preserve">Bachelor of Science majoring in Nuclear Chemistry</t>
  </si>
  <si>
    <t xml:space="preserve">Bachelor of Science majoring in Physics and Geophysics</t>
  </si>
  <si>
    <t xml:space="preserve">Bachelor of Science majoring in Plant Biology</t>
  </si>
  <si>
    <t xml:space="preserve">Bachelor of Science majoring in Pure and Applied Chemistry</t>
  </si>
  <si>
    <t xml:space="preserve">Bachelor of Science majoring in Soil Science</t>
  </si>
  <si>
    <t xml:space="preserve">Bachelor of Science majoring in Space Science and Astrophysics</t>
  </si>
  <si>
    <t xml:space="preserve">Bachelor of Science majoring in Theoretical Physics</t>
  </si>
  <si>
    <t xml:space="preserve">Bachelor of Science (Honours)</t>
  </si>
  <si>
    <t xml:space="preserve">Bachelor of Sustainability and Climate Change</t>
  </si>
  <si>
    <t xml:space="preserve">Material/enrolment belum tercatat (material; dihitung 0 di Estimasi Initial Payment); Harga sesuai sumber resmi; Cara hitung tuition/periode: Hitung: total/tahunan ÷ N; Sumber: https://adelaide.edu.au/study/degrees/bachelor-of-sustainability-and-climate-change/, dicek 29/10/2026; Kode internal: YY</t>
  </si>
  <si>
    <t xml:space="preserve">Bachelor of Sustainability and Climate Change majoring in Aboriginal Studies</t>
  </si>
  <si>
    <t xml:space="preserve">Bachelor of Sustainability and Climate Change majoring in Anthropology</t>
  </si>
  <si>
    <t xml:space="preserve">Bachelor of Sustainability and Climate Change majoring in Environmental Management</t>
  </si>
  <si>
    <t xml:space="preserve">Bachelor of Sustainability and Climate Change majoring in Geography</t>
  </si>
  <si>
    <t xml:space="preserve">Bachelor of Sustainability and Climate Change majoring in International Development</t>
  </si>
  <si>
    <t xml:space="preserve">Bachelor of Sustainability and Climate Change majoring in International Security</t>
  </si>
  <si>
    <t xml:space="preserve">Bachelor of Sustainability and Climate Change majoring in Politics</t>
  </si>
  <si>
    <t xml:space="preserve">Bachelor of Sustainability and Climate Change majoring in Population and Migration Studies</t>
  </si>
  <si>
    <t xml:space="preserve">Bachelor of Sustainability and Climate Change majoring in Sociology</t>
  </si>
  <si>
    <t xml:space="preserve">Bachelor of Teaching (Early Childhood Education)</t>
  </si>
  <si>
    <t xml:space="preserve">Material/enrolment belum tercatat (material; dihitung 0 di Estimasi Initial Payment); Harga diperbarui dari sumber resmi; Cara hitung tuition/periode: Hitung: total/tahunan ÷ N; Sumber: https://adelaide.edu.au/study/degrees/bachelor-of-teaching-early-childhood-education/, dicek 29/10/2026; Kode internal: YY</t>
  </si>
  <si>
    <t xml:space="preserve">Bachelor of Teaching (Primary) (Honours)</t>
  </si>
  <si>
    <t xml:space="preserve">Material/enrolment belum tercatat (material; dihitung 0 di Estimasi Initial Payment); Harga sesuai sumber resmi; Cara hitung tuition/periode: Hitung: total/tahunan ÷ N; Sumber: https://adelaide.edu.au/study/degrees/bachelor-of-teaching-primary-honours/, dicek 29/10/2026; Kode internal: YY</t>
  </si>
  <si>
    <t xml:space="preserve">Bachelor of Teaching (Secondary) (Honours)</t>
  </si>
  <si>
    <t xml:space="preserve">Bachelor of Business majoring in Sport Management</t>
  </si>
  <si>
    <t xml:space="preserve">Bachelor of Business majoring in Tourism, Events and Hospitality Management</t>
  </si>
  <si>
    <t xml:space="preserve">Master of Accounting</t>
  </si>
  <si>
    <t xml:space="preserve">Material/enrolment belum tercatat (material; dihitung 0 di Estimasi Initial Payment); Harga sesuai sumber resmi; Cara hitung tuition/periode: Hitung: total/tahunan ÷ N; Sumber: https://adelaide.edu.au/study/degrees/master-of-accounting/, dicek 29/10/2026; Kode internal: YY</t>
  </si>
  <si>
    <t xml:space="preserve">Master of Accounting and Business Analytics</t>
  </si>
  <si>
    <t xml:space="preserve">Master of Accounting and Finance</t>
  </si>
  <si>
    <t xml:space="preserve">Master of Applied Finance</t>
  </si>
  <si>
    <t xml:space="preserve">Master of Economics and Resource Policy</t>
  </si>
  <si>
    <t xml:space="preserve">Master of Economics and Resource Policy specialising in Economic Analysis</t>
  </si>
  <si>
    <t xml:space="preserve">Master of Economics and Resource Policy specialising in Global Food and Agribusiness</t>
  </si>
  <si>
    <t xml:space="preserve">Master of Economics and Resource Policy specialising in International Trade</t>
  </si>
  <si>
    <t xml:space="preserve">Master of Economics and Resource Policy specialising in Public Economics and Policy</t>
  </si>
  <si>
    <t xml:space="preserve">Master of Finance</t>
  </si>
  <si>
    <t xml:space="preserve">Master of Finance and Business Analytics</t>
  </si>
  <si>
    <t xml:space="preserve">Master of Financial Planning</t>
  </si>
  <si>
    <t xml:space="preserve">Doctor of Veterinary Medicine Q</t>
  </si>
  <si>
    <t xml:space="preserve">Material/enrolment belum tercatat (material; dihitung 0 di Estimasi Initial Payment); Harga sesuai sumber resmi; Cara hitung tuition/periode: Hitung: total/tahunan ÷ N; Sumber: https://adelaide.edu.au/study/degrees/doctor-of-veterinary-medicine/, dicek 29/10/2026; Kode internal: YY</t>
  </si>
  <si>
    <t xml:space="preserve">Master of Viticulture and Oenology</t>
  </si>
  <si>
    <t xml:space="preserve">Master of Advanced Clinical Physiotherapy specialising in Musculoskeletal Q</t>
  </si>
  <si>
    <t xml:space="preserve">Master of Advanced Clinical Physiotherapy specialising in Sports Q</t>
  </si>
  <si>
    <t xml:space="preserve">Master of Occupational Therapy (Graduate Entry) Q</t>
  </si>
  <si>
    <t xml:space="preserve">Master of Physiotherapy (Graduate Entry) Q</t>
  </si>
  <si>
    <t xml:space="preserve">Master of Design specialising in Industrial Design</t>
  </si>
  <si>
    <t xml:space="preserve">Material/enrolment belum tercatat (material; dihitung 0 di Estimasi Initial Payment); Harga sesuai sumber resmi; Cara hitung tuition/periode: Hitung: total/tahunan ÷ N; Sumber: https://adelaide.edu.au/study/degrees/master-of-design/, dicek 29/10/2026; Kode internal: YY</t>
  </si>
  <si>
    <t xml:space="preserve">Master of Design specialising in Interior Architecture</t>
  </si>
  <si>
    <t xml:space="preserve">Master of Landscape Architecture</t>
  </si>
  <si>
    <t xml:space="preserve">Master of Aboriginal Studies</t>
  </si>
  <si>
    <t xml:space="preserve">Master of Curatorial and Museum Studies</t>
  </si>
  <si>
    <t xml:space="preserve">Graduate Diploma in Aviation</t>
  </si>
  <si>
    <t xml:space="preserve">Material/enrolment belum tercatat (material; dihitung 0 di Estimasi Initial Payment); Harga sesuai sumber resmi; Cara hitung tuition/periode: Hitung: total/tahunan ÷ N; Sumber: https://adelaide.edu.au/study/degrees/graduate-diploma-in-aviation/, dicek 29/10/2026; Kode internal: YY</t>
  </si>
  <si>
    <t xml:space="preserve">International Master of Business Administration</t>
  </si>
  <si>
    <t xml:space="preserve">Material/enrolment belum tercatat (material; dihitung 0 di Estimasi Initial Payment); Harga sesuai sumber resmi; Cara hitung tuition/periode: Hitung: total/tahunan ÷ N; Sumber: https://adelaide.edu.au/study/degrees/international-master-of-business-administration/, dicek 29/10/2026; Kode internal: YY</t>
  </si>
  <si>
    <t xml:space="preserve">International Master of Business Administration specialising in Business Analytics</t>
  </si>
  <si>
    <t xml:space="preserve">International Master of Business Administration specialising in Finance</t>
  </si>
  <si>
    <t xml:space="preserve">International Master of Business Administration specialising in Human Resource Management</t>
  </si>
  <si>
    <t xml:space="preserve">International Master of Business Administration specialising in Marketing</t>
  </si>
  <si>
    <t xml:space="preserve">International Master of Business Administration specialising in Procurement and Supply Chain Management</t>
  </si>
  <si>
    <t xml:space="preserve">International Master of Business Administration specialising in Project Management</t>
  </si>
  <si>
    <t xml:space="preserve">Material/enrolment belum tercatat (material; dihitung 0 di Estimasi Initial Payment); Harga sesuai sumber resmi; Cara hitung tuition/periode: Hitung: total/tahunan ÷ N; Sumber: https://adelaide.edu.au/study/degrees/master-of-business-administration/, dicek 29/10/2026; Kode internal: YY</t>
  </si>
  <si>
    <t xml:space="preserve">Master of Business Administration specialising in Finance</t>
  </si>
  <si>
    <t xml:space="preserve">Master of Business Administration specialising in Human Resource Management</t>
  </si>
  <si>
    <t xml:space="preserve">Master of Business Administration specialising in Marketing</t>
  </si>
  <si>
    <t xml:space="preserve">Master of Business Administration specialising in Sustainable Futures</t>
  </si>
  <si>
    <t xml:space="preserve">Master of Business Analytics Policy and Management</t>
  </si>
  <si>
    <t xml:space="preserve">Master of Human Resource Management</t>
  </si>
  <si>
    <t xml:space="preserve">Master of International Business</t>
  </si>
  <si>
    <t xml:space="preserve">Master of Management</t>
  </si>
  <si>
    <t xml:space="preserve">Master of Marketing</t>
  </si>
  <si>
    <t xml:space="preserve">Master of Procurement and Supply Chain Management</t>
  </si>
  <si>
    <t xml:space="preserve">Master of Technology, Innovation and Entrepreneurship</t>
  </si>
  <si>
    <t xml:space="preserve">Master of Wine and Food Business</t>
  </si>
  <si>
    <t xml:space="preserve">Master of Artificial Intelligence and Machine Learning</t>
  </si>
  <si>
    <t xml:space="preserve">Master of Computer Science</t>
  </si>
  <si>
    <t xml:space="preserve">Master of Information Technology (IT) (Applied Artificial Intelligence)</t>
  </si>
  <si>
    <t xml:space="preserve">Material/enrolment belum tercatat (material; dihitung 0 di Estimasi Initial Payment); Harga sesuai sumber resmi; Cara hitung tuition/periode: Hitung: total/tahunan ÷ N; Sumber: https://adelaide.edu.au/study/degrees/master-of-information-technology-applied-artificial-intelligence/, dicek 29/10/2026; Kode internal: YY</t>
  </si>
  <si>
    <t xml:space="preserve">Master of Information Technology (IT) (Computing and Innovation)</t>
  </si>
  <si>
    <t xml:space="preserve">Master of Information Technology (IT) (Cyber Security)</t>
  </si>
  <si>
    <t xml:space="preserve">Master of Information Technology (IT) (Enterprise Management)</t>
  </si>
  <si>
    <t xml:space="preserve">Graduate Certificate in 3D Animation</t>
  </si>
  <si>
    <t xml:space="preserve">Graduate Certificate in Compositing and Tracking</t>
  </si>
  <si>
    <t xml:space="preserve">Graduate Certificate in Creature Effects</t>
  </si>
  <si>
    <t xml:space="preserve">Master of Design</t>
  </si>
  <si>
    <t xml:space="preserve">Master of Design specialising in Fine Arts</t>
  </si>
  <si>
    <t xml:space="preserve">Master of Design specialising in Graphic Communication Design</t>
  </si>
  <si>
    <t xml:space="preserve">Master of Design specialising in Illustration and Animation</t>
  </si>
  <si>
    <t xml:space="preserve">Master of Immersive Media Technologies</t>
  </si>
  <si>
    <t xml:space="preserve">Master of Strategic Communication</t>
  </si>
  <si>
    <t xml:space="preserve">Master of Engineering (Biopharmaceutical)</t>
  </si>
  <si>
    <t xml:space="preserve">Master of Engineering (Engineering Management)</t>
  </si>
  <si>
    <t xml:space="preserve">Master of Engineering (Maritime)</t>
  </si>
  <si>
    <t xml:space="preserve">Master of Engineering (Materials)</t>
  </si>
  <si>
    <t xml:space="preserve">Master of Professional Engineering (Chemical)</t>
  </si>
  <si>
    <t xml:space="preserve">Master of Professional Engineering (Civil)</t>
  </si>
  <si>
    <t xml:space="preserve">Material/enrolment belum tercatat (material; dihitung 0 di Estimasi Initial Payment); Harga sesuai sumber resmi; Cara hitung tuition/periode: Hitung: total/tahunan ÷ N; Sumber: https://adelaide.edu.au/study/degrees/master-of-professional-engineering-civil/, dicek 29/10/2026; Kode internal: YY</t>
  </si>
  <si>
    <t xml:space="preserve">Master of Professional Engineering (Electrical)</t>
  </si>
  <si>
    <t xml:space="preserve">Master of Professional Engineering (Energy Resources)</t>
  </si>
  <si>
    <t xml:space="preserve">Master of Professional Engineering (Environmental and Water Resources Management)</t>
  </si>
  <si>
    <t xml:space="preserve">Master of Professional Engineering (Mechanical)</t>
  </si>
  <si>
    <t xml:space="preserve">Master of Professional Engineering (Mechatronic)</t>
  </si>
  <si>
    <t xml:space="preserve">Master of Professional Engineering (Mining)</t>
  </si>
  <si>
    <t xml:space="preserve">Master of Professional Engineering (Structural)</t>
  </si>
  <si>
    <t xml:space="preserve">Master of Professional Engineering (Telecommunications)</t>
  </si>
  <si>
    <t xml:space="preserve">Master of International and Security Law</t>
  </si>
  <si>
    <t xml:space="preserve">Master of Laws</t>
  </si>
  <si>
    <t xml:space="preserve">Material/enrolment belum tercatat (material; dihitung 0 di Estimasi Initial Payment); Harga sesuai sumber resmi; Cara hitung tuition/periode: Hitung: total/tahunan ÷ N; Sumber: https://adelaide.edu.au/study/degrees/master-of-data-science/, dicek 29/10/2026; Kode internal: YY</t>
  </si>
  <si>
    <t xml:space="preserve">Master of Mathematical Sciences specialising in Artificial Intelligence</t>
  </si>
  <si>
    <t xml:space="preserve">Doctor of Medicine</t>
  </si>
  <si>
    <t xml:space="preserve">Material/enrolment belum tercatat (material; dihitung 0 di Estimasi Initial Payment); Harga sesuai sumber resmi; Cara hitung tuition/periode: Hitung: total/tahunan ÷ N; Sumber: https://adelaide.edu.au/study/degrees/doctor-of-medicine/, dicek 29/10/2026; Kode internal: YY</t>
  </si>
  <si>
    <t xml:space="preserve">Master of Music (Performance and Pedagogy)</t>
  </si>
  <si>
    <t xml:space="preserve">Master of Music (Performance Studies)</t>
  </si>
  <si>
    <t xml:space="preserve">Master of Midwifery</t>
  </si>
  <si>
    <t xml:space="preserve">Master of Midwifery (Graduate Entry) Q</t>
  </si>
  <si>
    <t xml:space="preserve">Master of Nursing</t>
  </si>
  <si>
    <t xml:space="preserve">Material/enrolment belum tercatat (material; dihitung 0 di Estimasi Initial Payment); Harga sesuai sumber resmi; Cara hitung tuition/periode: Hitung: total/tahunan ÷ N; Sumber: https://adelaide.edu.au/study/degrees/master-of-nursing/, dicek 29/10/2026; Kode internal: YY</t>
  </si>
  <si>
    <t xml:space="preserve">Master of Nursing (Graduate Entry) Q</t>
  </si>
  <si>
    <t xml:space="preserve">Master of Construction Management</t>
  </si>
  <si>
    <t xml:space="preserve">Master of Urban and Regional Planning</t>
  </si>
  <si>
    <t xml:space="preserve">Master of Counselling and Psychotherapy</t>
  </si>
  <si>
    <t xml:space="preserve">Master of Psychology (Clinical) Q</t>
  </si>
  <si>
    <t xml:space="preserve">Material/enrolment belum tercatat (material; dihitung 0 di Estimasi Initial Payment); Harga sesuai sumber resmi; Cara hitung tuition/periode: Hitung: total/tahunan ÷ N; Sumber: https://adelaide.edu.au/study/degrees/master-of-psychology-clinical/, dicek 29/10/2026; Kode internal: YY</t>
  </si>
  <si>
    <t xml:space="preserve">Master of Psychology (Health) Q</t>
  </si>
  <si>
    <t xml:space="preserve">Master of Psychology (Organisational and Human Factors) Q</t>
  </si>
  <si>
    <t xml:space="preserve">Master of Social Work</t>
  </si>
  <si>
    <t xml:space="preserve">Material/enrolment belum tercatat (material; dihitung 0 di Estimasi Initial Payment); Harga sesuai sumber resmi; Cara hitung tuition/periode: Hitung: total/tahunan ÷ N; Sumber: https://adelaide.edu.au/study/degrees/master-of-social-work/, dicek 29/10/2026; Kode internal: YY</t>
  </si>
  <si>
    <t xml:space="preserve">Master of Science specialising in Biotechnology</t>
  </si>
  <si>
    <t xml:space="preserve">Material/enrolment belum tercatat (material; dihitung 0 di Estimasi Initial Payment); Harga diperbarui dari sumber resmi; Cara hitung tuition/periode: Hitung: total/tahunan ÷ N; Sumber: https://adelaide.edu.au/study/degrees/master-of-science/, dicek 29/10/2026; Kode internal: YY</t>
  </si>
  <si>
    <t xml:space="preserve">Master of Science specialising in Environment and Conservation</t>
  </si>
  <si>
    <t xml:space="preserve">Master of Science specialising in Global Food and Nutrition Science</t>
  </si>
  <si>
    <t xml:space="preserve">Master of Science specialising in Medical Radiation Physics</t>
  </si>
  <si>
    <t xml:space="preserve">Master of Science specialising in Sustainable Georesources</t>
  </si>
  <si>
    <t xml:space="preserve">Material/enrolment belum tercatat (material; dihitung 0 di Estimasi Initial Payment); Harga sesuai sumber resmi; Cara hitung tuition/periode: Hitung: total/tahunan ÷ N; Sumber: https://adelaide.edu.au/study/degrees/master-of-teaching-secondary/, dicek 29/10/2026; Kode internal: YY</t>
  </si>
  <si>
    <t xml:space="preserve">Master of Tourism, Events and Hospitality Management</t>
  </si>
  <si>
    <t xml:space="preserve">Albright Institute of Business and Language (AIBL)
Level 4, 5 (Reception) &amp; 14, 90 King William St, Adelaide, SA 5000</t>
  </si>
  <si>
    <t xml:space="preserve">Cert III in Commercial Cookery + Cert IV in Kitchen Management + Dip Of Hospitality Management</t>
  </si>
  <si>
    <t xml:space="preserve">Adv Dip Of Information Technology (IT) (Telecommunications)</t>
  </si>
  <si>
    <t xml:space="preserve">Alliance College
Level 1/115 Grenfell St, Adelaide SA 5000, Australia</t>
  </si>
  <si>
    <t xml:space="preserve">Harga belum dicek ke sumber resmi; Kode internal: AIG</t>
  </si>
  <si>
    <t xml:space="preserve">Cert III in Commercial Cookery + Cert IV in Kitchen Management + Dip + Adv Dip Of Hospitality Management</t>
  </si>
  <si>
    <t xml:space="preserve">Cert III in Patisserie + Cert IV in Kitchen Management</t>
  </si>
  <si>
    <t xml:space="preserve">Cert III in Patisserie + Cert IV in Kitchen Management + Dip Of Hospitality Management</t>
  </si>
  <si>
    <t xml:space="preserve">Cert III in Patisserie + Cert IV in Kitchen Management + Dip + Adv Dip Of Hospitality Management</t>
  </si>
  <si>
    <t xml:space="preserve">Dip + Adv Dip Of Hospitality Management</t>
  </si>
  <si>
    <t xml:space="preserve">Cert III in Light Vechicle Mechanical Technology + Cert IV in Automotive Mechanical Diagnosis</t>
  </si>
  <si>
    <t xml:space="preserve">Cert III in Light Vechicle Mechanical Technology + Cert IV in Automotive Mechanical Diagnosis + Dip Of Automotive Technology</t>
  </si>
  <si>
    <t xml:space="preserve">Cert III in Automotive Electrical Technology + Cert IV in Automotive Mechanical Diagnosis</t>
  </si>
  <si>
    <t xml:space="preserve">Cert III in Automotive Electrical Technology + Cert IV in Automotive Mechanical Diagnosis + Dip Of Automotive Technology</t>
  </si>
  <si>
    <t xml:space="preserve">Cert III in Carpentry + Cert IV in Building and Construction(Building)</t>
  </si>
  <si>
    <t xml:space="preserve">Dip + Adv Dip in Civil Contruction Design</t>
  </si>
  <si>
    <t xml:space="preserve">Cert III in Carpentry + Cert IV in Building and Construction(Building) + Dip Of Civil Construction Design</t>
  </si>
  <si>
    <t xml:space="preserve">Cert III in Carpentry + Cert IV in Building and Construction(Building) + Dip + Adv Dip Of Civil Construction Design</t>
  </si>
  <si>
    <t xml:space="preserve">Material/enrolment belum tercatat (material; dihitung 0 di Estimasi Initial Payment); Harga belum dicek ke sumber resmi; Kode internal: AIG</t>
  </si>
  <si>
    <t xml:space="preserve">Australian Business &amp; Culinary Institute (ABC Institute)
Level 1, 142 North Terrace. Adelaide, SA 5000</t>
  </si>
  <si>
    <t xml:space="preserve">Cer III in Commercial Cookery + Cert IV in Kitchen Management</t>
  </si>
  <si>
    <t xml:space="preserve">Cer III in Commercial Cookery + Cert IV in Kitchen Management + Dip of Hospitality Management</t>
  </si>
  <si>
    <t xml:space="preserve">Cer III in Commercial Cookery + Cert IV in Kitchen Management + Dip + Adv Dip of Hospitality Management</t>
  </si>
  <si>
    <t xml:space="preserve">Australian Ideal College (AIC)
Level 3, 7 James Place, Adelaide SA 5000 Australia</t>
  </si>
  <si>
    <t xml:space="preserve">Cert III + Cert IV in Business (Administration)</t>
  </si>
  <si>
    <t xml:space="preserve">CEK: Data terdaftar: 114 Murray St (bukan 116) - konfirmasi.; Harga belum dicek ke sumber resmi</t>
  </si>
  <si>
    <t xml:space="preserve">Cert III + Cert IV in Business (Administration) + Dip of Leadership and Management</t>
  </si>
  <si>
    <t xml:space="preserve">Cert III + Cert IV in Business (Administration) + Dip + Adv Dip of Leadership and Management</t>
  </si>
  <si>
    <t xml:space="preserve">CEK: Sebagian sesuai sumber resmi: Hanya komponen Adv Dip yang bisa dicek: 6.000/4 = 1.500 sesuai. Komponen lain tidak ditemukan. (sumber: agregator One U Education, bukan situs resmi sekolah; ko; Tuition total/tahunan belum terbukti cocok dengan sumber resmi; Harga sebagian sesuai sumber resmi; Cara hitung tuition/periode: Hitung: total/tahunan ÷ N; Sumber: https://www.oneuedu.com/en-US/schools/australian-ideal-college-aic-03053G, dicek 29/10/2026</t>
  </si>
  <si>
    <t xml:space="preserve">Adv Dip of Leadership and Management</t>
  </si>
  <si>
    <t xml:space="preserve">Harga sesuai sumber resmi; Cara hitung tuition/periode: Hitung: total/tahunan ÷ N; Sumber: https://www.oneuedu.com/en-US/schools/australian-ideal-college-aic-03053G, dicek 29/10/2026</t>
  </si>
  <si>
    <t xml:space="preserve">Cert III in Accounts Administration + Cert IV in Accounting and Bookkeeping</t>
  </si>
  <si>
    <t xml:space="preserve">Cert III in Accounts Administration + Cert IV in Accounting and Bookkeeping + Dip of Acccounting</t>
  </si>
  <si>
    <t xml:space="preserve">Cert III in Accounts Administration + Cert IV in Accounting and Bookkeeping + Dip + Adv Dip of Acccounting</t>
  </si>
  <si>
    <t xml:space="preserve">CEK: Sebagian sesuai sumber resmi: Hanya komponen Adv Dip: 6.000/4 = 1.500 sesuai. Komponen lain tidak ditemukan. (sumber: agregator One U Education, bukan situs resmi sekolah; konfirmasi ke seko; Tuition total/tahunan belum terbukti cocok dengan sumber resmi; Harga sebagian sesuai sumber resmi; Cara hitung tuition/periode: Hitung: total/tahunan ÷ N; Sumber: https://www.oneuedu.com/en-US/schools/australian-ideal-college-aic-03053G, dicek 29/10/2026</t>
  </si>
  <si>
    <t xml:space="preserve">Adv Dip of Acccounting</t>
  </si>
  <si>
    <t xml:space="preserve">Cert IV + Dip of Project Management</t>
  </si>
  <si>
    <t xml:space="preserve">Dip + Adv Dip of Travel &amp; Tourism Management</t>
  </si>
  <si>
    <t xml:space="preserve">Adv Dip of Travel &amp; Tourism Management</t>
  </si>
  <si>
    <t xml:space="preserve">CEK: Sebagian sesuai sumber resmi: Paket: hanya komponen Adv Dip bisa dicek: 7.000/4 = 1.750 sesuai untuk Adelaide/Sydney &amp; Hobart onshore; Hobart offshore 2.250 lebih tinggi. Komponen Diploma ti; Tuition total/tahunan belum terbukti cocok dengan sumber resmi; Harga sebagian sesuai sumber resmi; Cara hitung tuition/periode: Hitung: total/tahunan ÷ N; Sumber: https://www.oneuedu.com/en-US/schools/australian-ideal-college-aic-03053G, dicek 29/10/2026</t>
  </si>
  <si>
    <t xml:space="preserve">Adv Dip of Hospitality Management</t>
  </si>
  <si>
    <t xml:space="preserve">Harga sesuai sumber resmi; Cara hitung tuition/periode: Hitung: total/tahunan ÷ N; Sumber: https://www.oneuedu.com/en-US/courses/advanced-diploma-of-hospitality-management-111480M, dicek 29/10/2026</t>
  </si>
  <si>
    <t xml:space="preserve">Cert IV + Dip of Marketing and Communication</t>
  </si>
  <si>
    <t xml:space="preserve">Cert IV + Dip + Adv Dip of Marketing and Communication</t>
  </si>
  <si>
    <t xml:space="preserve">Dip of Interpreting (Spoken Language) + Adv Dip of Translating ($2100/term in Adv Dip)</t>
  </si>
  <si>
    <t xml:space="preserve">Australian Institute of Advanced Technologies (AIAT)
Level 9 East, 50 Grenfell Street, Adelaide SA 5000</t>
  </si>
  <si>
    <t xml:space="preserve">Master of Business Administration (Leadership &amp; Innovation)</t>
  </si>
  <si>
    <t xml:space="preserve">Material/enrolment belum tercatat (material; dihitung 0 di Estimasi Initial Payment); Sumber: https://aiat.edu.au/fees-and-payments/, dicek 29/10/2026; PROMO s.d. intake Juli 2027 (berlaku intake Feb &amp; Jul 2027. first come first served; tanggal akhir pendaftaran tidak disebut) - sumber: pesan resmi AIAT (Aulia Arifianto. AIAT Institute Adelaide) di grup WhatsApp AIAT x Talented Education. diterima 04/11/2026; promo offshore khusus siswa Indonesia: MBA (Leadership &amp; Innovation) AUD 30.000 total (harga normal BIT 72.000 / MIT 52.000 / MBA 48.000) ÷ (2 thn x 4 term) = 3.750.00/term; Tuition/periode = ekuivalen per term (total ÷ jumlah term), BUKAN jadwal tagihan resmi AIAT; jadwal tagihan, kampus yang berlaku (Adelaide/Melbourne) dan batas pendaftaran belum dikonfirmasi - konfirmasi ke AIAT</t>
  </si>
  <si>
    <t xml:space="preserve">Master of Information Technology (IT); Specialisation in AI</t>
  </si>
  <si>
    <t xml:space="preserve">Material/enrolment belum tercatat (material; dihitung 0 di Estimasi Initial Payment); Sumber: https://aiat.edu.au/fees-and-payments/, dicek 29/10/2026; PROMO s.d. intake Juli 2027 (berlaku intake Feb &amp; Jul 2027. first come first served; tanggal akhir pendaftaran tidak disebut) - sumber: pesan resmi AIAT (Aulia Arifianto. AIAT Institute Adelaide) di grup WhatsApp AIAT x Talented Education. diterima 04/11/2026; promo offshore khusus siswa Indonesia: Master of Information Technology AUD 30.900 total (harga normal BIT 72.000 / MIT 52.000 / MBA 48.000) ÷ (2 thn x 4 term) = 3.862.50/term; Tuition/periode = ekuivalen per term (total ÷ jumlah term), BUKAN jadwal tagihan resmi AIAT; jadwal tagihan, kampus yang berlaku (Adelaide/Melbourne) dan batas pendaftaran belum dikonfirmasi - konfirmasi ke AIAT</t>
  </si>
  <si>
    <t xml:space="preserve">Master of Information Technology (IT); Specialisation in Data Analytics</t>
  </si>
  <si>
    <t xml:space="preserve">Master of Information Technology (IT); Specialisation in Emerging Technology Management</t>
  </si>
  <si>
    <t xml:space="preserve">Material/enrolment belum tercatat (material; dihitung 0 di Estimasi Initial Payment); Sumber: https://aiat.edu.au/fees-and-payments/, dicek 29/10/2026; PROMO s.d. intake Juli 2027 (berlaku intake Feb &amp; Jul 2027. first come first served; tanggal akhir pendaftaran tidak disebut) - sumber: pesan resmi AIAT (Aulia Arifianto. AIAT Institute Adelaide) di grup WhatsApp AIAT x Talented Education. diterima 04/11/2026; promo offshore khusus siswa Indonesia: Bachelor of Information Technology AUD 36.000 total (harga normal BIT 72.000 / MIT 52.000 / MBA 48.000) ÷ (3 thn x 4 term) = 3.000.00/term; Tuition/periode = ekuivalen per term (total ÷ jumlah term), BUKAN jadwal tagihan resmi AIAT; jadwal tagihan, kampus yang berlaku (Adelaide/Melbourne) dan batas pendaftaran belum dikonfirmasi - konfirmasi ke AIAT</t>
  </si>
  <si>
    <t xml:space="preserve">Australian Institute of Advanced Technologies (AIAT)
Level 9 East,50 Grenfell Street Adelaide, SA 5000 Australia</t>
  </si>
  <si>
    <t xml:space="preserve">Material/enrolment belum tercatat (material; dihitung 0 di Estimasi Initial Payment); Cara hitung tuition/periode: Hitung: total/tahunan ÷ N; Sumber: https://aiat.edu.au/fees-and-payments/, dicek 29/10/2026; PROMO s.d. intake Juli 2027 (berlaku intake Feb &amp; Jul 2027. first come first served; tanggal akhir pendaftaran tidak disebut) - sumber: pesan resmi AIAT (Aulia Arifianto. AIAT Institute Adelaide) di grup WhatsApp AIAT x Talented Education. diterima 04/11/2026; promo offshore khusus siswa Indonesia: MBA (Leadership &amp; Innovation) AUD 30.000 total (harga normal BIT 72.000 / MIT 52.000 / MBA 48.000) ÷ (2 thn x 4 term) = 3.750.00/term; Tuition/periode = ekuivalen per term (total ÷ jumlah term), BUKAN jadwal tagihan resmi AIAT; jadwal tagihan, kampus yang berlaku (Adelaide/Melbourne) dan batas pendaftaran belum dikonfirmasi - konfirmasi ke AIAT</t>
  </si>
  <si>
    <t xml:space="preserve">CEK: konfirmasi harga ke sekolah (harga beda dengan sumber resmi); Material/enrolment belum tercatat (material; dihitung 0 di Estimasi Initial Payment); Cara hitung tuition/periode: Hitung: total/tahunan ÷ N; Sumber: https://aiat.edu.au/fees-and-payments/, dicek 29/10/2026</t>
  </si>
  <si>
    <t xml:space="preserve">Material/enrolment belum tercatat (material; dihitung 0 di Estimasi Initial Payment); Cara hitung tuition/periode: Hitung: total/tahunan ÷ N; Sumber: https://aiat.edu.au/fees-and-payments/, dicek 29/10/2026; PROMO s.d. intake Juli 2027 (berlaku intake Feb &amp; Jul 2027. first come first served; tanggal akhir pendaftaran tidak disebut) - sumber: pesan resmi AIAT (Aulia Arifianto. AIAT Institute Adelaide) di grup WhatsApp AIAT x Talented Education. diterima 04/11/2026; promo offshore khusus siswa Indonesia: Master of Information Technology AUD 30.900 total (harga normal BIT 72.000 / MIT 52.000 / MBA 48.000) ÷ (2 thn x 4 term) = 3.862.50/term; Tuition/periode = ekuivalen per term (total ÷ jumlah term), BUKAN jadwal tagihan resmi AIAT; jadwal tagihan, kampus yang berlaku (Adelaide/Melbourne) dan batas pendaftaran belum dikonfirmasi - konfirmasi ke AIAT</t>
  </si>
  <si>
    <t xml:space="preserve">Material/enrolment belum tercatat (material; dihitung 0 di Estimasi Initial Payment); Cara hitung tuition/periode: Hitung: total/tahunan ÷ N; Sumber: https://aiat.edu.au/fees-and-payments/, dicek 29/10/2026; PROMO s.d. intake Juli 2027 (berlaku intake Feb &amp; Jul 2027. first come first served; tanggal akhir pendaftaran tidak disebut) - sumber: pesan resmi AIAT (Aulia Arifianto. AIAT Institute Adelaide) di grup WhatsApp AIAT x Talented Education. diterima 04/11/2026; promo offshore khusus siswa Indonesia: Bachelor of Information Technology AUD 36.000 total (harga normal BIT 72.000 / MIT 52.000 / MBA 48.000) ÷ (3 thn x 4 term) = 3.000.00/term; Tuition/periode = ekuivalen per term (total ÷ jumlah term), BUKAN jadwal tagihan resmi AIAT; jadwal tagihan, kampus yang berlaku (Adelaide/Melbourne) dan batas pendaftaran belum dikonfirmasi - konfirmasi ke AIAT</t>
  </si>
  <si>
    <t xml:space="preserve">Concord Institute
Unit 5/97 Pirie St, Adelaide SA 5000, Australia</t>
  </si>
  <si>
    <t xml:space="preserve">Cert III in Individual Support (Disability Stream) + Dip of Community ($2500/term di level Dip)</t>
  </si>
  <si>
    <t xml:space="preserve">CEK: status provider - Concord Institute tidak ditemukan di register Study Australia (dicek 30/10/2026); Tuition beda per level, lihat keterangan di kolom Program; Harga belum dicek ke sumber resmi; Kode internal: AIG</t>
  </si>
  <si>
    <t xml:space="preserve">Cert III in Individual Support (Ageing Stream) + Dip of Community ($2500/term di level Dip)</t>
  </si>
  <si>
    <t xml:space="preserve">Cert III in Individual Support (Disability &amp; Ageing Stream) + Dip of Community ($2500/term di level Dip)</t>
  </si>
  <si>
    <t xml:space="preserve">Adv Dip Of Information Technology (IT)</t>
  </si>
  <si>
    <t xml:space="preserve">CEK: status provider - Concord Institute tidak ditemukan di register Study Australia (dicek 30/10/2026); Harga belum dicek ke sumber resmi; Kode internal: AIG</t>
  </si>
  <si>
    <t xml:space="preserve">Greenwich College
Level 4/27 Currie St, Adelaide SA 5000, Australia</t>
  </si>
  <si>
    <t xml:space="preserve">Dip of Project &amp; Management</t>
  </si>
  <si>
    <t xml:space="preserve">Cert IV in Marketing &amp; Communication + Adv Dip of Marketing Automation ($1330/term untuk 8 term terakhir)</t>
  </si>
  <si>
    <t xml:space="preserve">120 weeks</t>
  </si>
  <si>
    <t xml:space="preserve">Tuition beda per level, lihat keterangan di kolom Program;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44 + 52 + 76 = 172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Dip 120 + Adv Dip MA 200 = sisa AUD 320 (kecuali ada waiver di offer letter); Harga sesuai sumber resmi; Cara hitung tuition/periode: Resmi per periode; Sumber: Pricelist Greenwich_VET_Q4_Master_Pricing_Document_Oct26v3.pdf hal. 4 &amp; 8 (VET Pricing Q4 2026 v9, "Correct as of 30.09.26", aplikasi diterima s.d. 31.12.2026, "intakes starting in 2026 onwards"), dicek 29/10/2026</t>
  </si>
  <si>
    <t xml:space="preserve">[B]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32 + 52 = 84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Cert IV 500 = sisa AUD 500 (kecuali ada waiver di offer letter); Harga diperbarui dari sumber resmi; Cara hitung tuition/periode: Resmi per periode; Sumber: Pricelist Greenwich_VET_Q4_Master_Pricing_Document_Oct26v3.pdf hal. 14 &amp; 8 (VET Pricing Q4 2026 v9, "Correct as of 30.09.26", aplikasi diterima s.d. 31.12.2026, "intakes starting in 2026 onwards"), dicek 29/10/2026</t>
  </si>
  <si>
    <t xml:space="preserve">Cert III in Individual Suupport (Ageing &amp; Disability) + Cert IV in Ageing Support + Dip Of Community Service (Cert III 4 term x $1.600, Cert IV 6 term x $1.600, Dip 9 term x $1.750)</t>
  </si>
  <si>
    <t xml:space="preserve">Tuition beda per level, lihat keterangan di kolom Program;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32 + 52 + 76 = 160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Cert IV 500 + Dip 500 = sisa AUD 1.000 (kecuali ada waiver di offer letter); Harga diperbarui dari sumber resmi; Cara hitung tuition/periode: Resmi per periode; Sumber: Pricelist Greenwich_VET_Q4_Master_Pricing_Document_Oct26v3.pdf hal. 14 &amp; 8 (VET Pricing Q4 2026 v9, "Correct as of 30.09.26", aplikasi diterima s.d. 31.12.2026, "intakes starting in 2026 onwards") | dicek ulang 29 Okt 20, dicek 29/10/2026</t>
  </si>
  <si>
    <t xml:space="preserve">CEK: konfirmasi harga ke sekolah (harga beda dengan sumber resmi); CEK: promo berakhir - selisih 12,9% sama dengan Launch Price ECEC Greenwich (brosur ECEC 05/01/2026, kampus Sydney/Melbourne: $1.350 vs standar $1.550/term) yang hanya berlaku intake s.d. 04/05/2026; dicek 30/10/2026; CEK: tidak ada di price list Greenwich Q4 2026 (CHC30125 Cert III in Early Childhood Education &amp; Care (kampus: SYD MEL BRI), CHC50125 Diploma in ECEC (mulai Jan 2027) (kampus: SYD MEL BRI)) - jangan ditawarkan sebelum dikonfirmasi sekolah; Cara hitung tuition/periode: Hitung: total/tahunan ÷ N; Sumber: Pricelist Greenwich_VET_Q4_Master_Pricing_Document_Oct26v3.pdf hal. 4/10/14 (VET Pricing Q4 2026 v9, "Correct as of 30.09.26", aplikasi diterima s.d. 31.12.2026, "intakes starting in 2026 onwards"), dicek 29/10/2026; Dicek ulang 07/11/2026: Greenwich VET Q4 2026 hanya mencantumkan ECEC (CHC30125/CHC50125) di kampus Sydney, Melbourne, Brisbane - tidak ada harga pengganti untuk kampus ini; tetap CEK</t>
  </si>
  <si>
    <t xml:space="preserve">Tuition beda per level, lihat keterangan di kolom Program;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Harga sesuai sumber resmi; Cara hitung tuition/periode: Resmi per periode; Sumber: Pricelist Greenwich_VET_Q4_Master_Pricing_Document_Oct26v3.pdf hal. 4 &amp; 8 (VET Pricing Q4 2026 v9, "Correct as of 30.09.26", aplikasi diterima s.d. 31.12.2026, "intakes starting in 2026 onwards"), dicek 29/10/2026</t>
  </si>
  <si>
    <t xml:space="preserve">Greenwich Higher Education (Academy of Interactive Technology Pty Ltd)
Adelaide - alamat kampus belum dikonfirmasi (lokasi resmi 2027: Sydney &amp; Melbourne)</t>
  </si>
  <si>
    <t xml:space="preserve">CEK: kampus Adelaide tidak tercantum - Greenwich Higher Education 2027 Pricing List (v4 Q4, updated 19/10/2026) hanya mencantumkan lokasi Sydney &amp; Melbourne (dicek 07/11/2026); 4 x 4.025 = 16.100, jadi cocok bila 1 tahun = 4 periode (dokumen hanya menyebut "trimester" dan 8 subjek/tahun,;   Sumber: https://info.ait.edu.au/hubfs/v4-Q1-Greenwich-Higher-Education-Master-Pricing-Document-2026.pdf, dicek 29/10/2026</t>
  </si>
  <si>
    <t xml:space="preserve">Kaplan Business School
Level 1, 68 Grenfell Street Adelaide SA 5000</t>
  </si>
  <si>
    <t xml:space="preserve">Graduate Certificate in - Information Technology (IT) (Per Trimester or 4 months)</t>
  </si>
  <si>
    <t xml:space="preserve">Graduate Diploma of - Information Technology (IT) (Per Trimester or 4 months)</t>
  </si>
  <si>
    <t xml:space="preserve">Keystone College of Business and Technology (KCBT)
Level 3, 38 Currie Street, Adelaide SA 5000</t>
  </si>
  <si>
    <t xml:space="preserve">Dip + Adv Dip of Civil Construction Design ($2175 in the last 2 term) + Adv MF $650</t>
  </si>
  <si>
    <t xml:space="preserve">Le Cordon Bleu Australia
137 Days Road, Regency Park SA 5010</t>
  </si>
  <si>
    <t xml:space="preserve">Material/enrolment belum tercatat (material; dihitung 0 di Estimasi Initial Payment); Asumsi bayar awal 2 term (nilai pricelist lama; dokumen resmi (Fees and Refunds Policy v8.0, 15/01/2025): fee study period pertama dibayar sebelum CoE, panjang study period tidak disebut) - konfirmasi ke sekolah; Harga sesuai sumber resmi; Cara hitung tuition/periode: Hitung: total/tahunan ÷ N; Sumber: https://www.cordonbleu.edu/sydney/diplome-de-cuisine/en, dicek 29/10/2026</t>
  </si>
  <si>
    <t xml:space="preserve">Material/enrolment belum tercatat (material; dihitung 0 di Estimasi Initial Payment); Asumsi bayar awal 2 term (nilai pricelist lama; dokumen resmi (Fees and Refunds Policy v8.0, 15/01/2025): fee study period pertama dibayar sebelum CoE, panjang study period tidak disebut) - konfirmasi ke sekolah; Harga belum dicek ke sumber resmi</t>
  </si>
  <si>
    <t xml:space="preserve">CEK: Sebagian sesuai sumber resmi: Paket hanya bisa dicek per komponen. Cert III 41.985 sesuai (6 x 6.997,5). Konsistensi internal: 7.005,6 x 10 = 70.056 = 41.985 + 13.474 + 14.597; Cert IV &amp; Adv; Material/enrolment belum tercatat (material; dihitung 0 di Estimasi Initial Payment); Tuition total/tahunan belum terbukti cocok dengan sumber resmi; Asumsi bayar awal 2 term (nilai pricelist lama; dokumen resmi (Fees and Refunds Policy v8.0, 15/01/2025): fee study period pertama dibayar sebelum CoE, panjang study period tidak disebut) - konfirmasi ke sekolah; Harga sebagian sesuai sumber resmi; Sumber: https://www.cordonbleu.edu/sydney/diplome-de-cuisine/en, dicek 29/10/2026</t>
  </si>
  <si>
    <t xml:space="preserve">Material/enrolment belum tercatat (material; dihitung 0 di Estimasi Initial Payment); Asumsi bayar awal 2 term (nilai pricelist lama; dokumen resmi (Fees and Refunds Policy v8.0, 15/01/2025): fee study period pertama dibayar sebelum CoE, panjang study period tidak disebut) - konfirmasi ke sekolah; Harga belum dicek ke sumber resmi; Cara hitung tuition/periode: Hitung: total/tahunan ÷ N</t>
  </si>
  <si>
    <t xml:space="preserve">Material/enrolment belum tercatat (material; dihitung 0 di Estimasi Initial Payment); Asumsi bayar awal 2 term (nilai pricelist lama; dokumen resmi (Fees and Refunds Policy v8.0, 15/01/2025): fee study period pertama dibayar sebelum CoE, panjang study period tidak disebut) - konfirmasi ke sekolah; Harga sesuai sumber resmi; Cara hitung tuition/periode: Hitung: total/tahunan ÷ N; Sumber: https://www.cordonbleu.edu/sydney/bachelor-business-international-hotel-management/en, dicek 29/10/2026</t>
  </si>
  <si>
    <t xml:space="preserve">Material/enrolment belum tercatat (material; dihitung 0 di Estimasi Initial Payment); Asumsi bayar awal 2 term (nilai pricelist lama; dokumen resmi (Fees and Refunds Policy v8.0, 15/01/2025): fee study period pertama dibayar sebelum CoE, panjang study period tidak disebut) - konfirmasi ke sekolah; Harga sesuai sumber resmi; Cara hitung tuition/periode: Hitung: total/tahunan ÷ N; Sumber: https://www.cordonbleu.edu/melbourne/master-of-applied-hospitality-management/en, dicek 29/10/2026</t>
  </si>
  <si>
    <t xml:space="preserve">Material/enrolment belum tercatat (material; dihitung 0 di Estimasi Initial Payment); Asumsi bayar awal 2 term (nilai pricelist lama; dokumen resmi (Fees and Refunds Policy v8.0, 15/01/2025): fee study period pertama dibayar sebelum CoE, panjang study period tidak disebut) - konfirmasi ke sekolah; Harga sesuai sumber resmi; Cara hitung tuition/periode: Hitung: total/tahunan ÷ N; Sumber: https://www.oneuedu.com/en-US/courses/master-of-applied-supply-chain-management-113968D, dicek 29/10/2026</t>
  </si>
  <si>
    <t xml:space="preserve">Signet Institute of Australia
L 1, 54 Parramatta Road, Forest Lodge NSW 2037</t>
  </si>
  <si>
    <t xml:space="preserve">Cert III in engineering - Fabrication Trade</t>
  </si>
  <si>
    <t xml:space="preserve">CEK: Sebagian sesuai sumber resmi: Komponen Adv Dip: 7.500/4 = 1.875 = harga list (asumsi 4 term/tahun). Komponen Diploma tidak ditemukan. (sumber: agregator One U Education, bukan situs resmi se; Tuition total/tahunan belum terbukti cocok dengan sumber resmi; Harga sebagian sesuai sumber resmi; Cara hitung tuition/periode: Hitung: total/tahunan ÷ N; Sumber: https://www.oneuedu.com/en-US/schools/signet-institute-of-australia-03377J, dicek 29/10/2026</t>
  </si>
  <si>
    <t xml:space="preserve">Material/enrolment belum tercatat (material; dihitung 0 di Estimasi Initial Payment); Harga belum dicek ke sumber resmi</t>
  </si>
  <si>
    <t xml:space="preserve">Cert III in Automotive Diesel engine Technology + Cert IV in Automotive Mechanical Diagnosis</t>
  </si>
  <si>
    <t xml:space="preserve">CEK: konfirmasi harga ke sekolah (harga beda dengan sumber resmi); CEK: Harga di sini 2,300 lebih mahal dari harga resmi ~2,213/periode - konfirmasi ke sekolah sebelum dipakai. Komponen Cert III: 8.851/4 = 2.212,75; list 2.300 (+3,9%, lebih tinggi). Cert IV tidak ditemukan. (sumber: agregator One U Education, bukan situs resmi sekolah; Cara hitung tuition/periode: Hitung: total/tahunan ÷ N; Sumber: https://www.oneuedu.com/en-US/schools/signet-institute-of-australia-03377J, dicek 29/10/2026</t>
  </si>
  <si>
    <t xml:space="preserve">Cert III in Bricklaying and Blocklaying + Dip of Building Cunstruction</t>
  </si>
  <si>
    <t xml:space="preserve">Cert III in Bricklaying and Blocklaying + Dip of Building Cunstruction + Adv Dip of Civil Construction Design</t>
  </si>
  <si>
    <t xml:space="preserve">Material/enrolment belum tercatat (material; dihitung 0 di Estimasi Initial Payment); Harga belum dicek ke sumber resmi; Cara hitung tuition/periode: Hitung: total/tahunan ÷ N</t>
  </si>
  <si>
    <t xml:space="preserve">Cert III in wall and floor Tilling + Dip of Building Cunstruction + Adv Dip of Civil Construction Design</t>
  </si>
  <si>
    <t xml:space="preserve">Sydney City College of Management
Level 8 50 Grenfell St, ADELAIDE, South Australia 5000</t>
  </si>
  <si>
    <t xml:space="preserve">Dip + Adv Dip Of Information Technology (IT) Information Technology (IT)</t>
  </si>
  <si>
    <t xml:space="preserve">Harga sesuai sumber resmi; Sumber: https://search.studyaustralia.gov.au/provider/sydney-city-college-of-management-pty-ltd/611a9f771f7d091da9330a8f636396e3/courses, dicek 29/10/2026; Kode internal: AIG</t>
  </si>
  <si>
    <t xml:space="preserve">TAFE SA
ADL – TAFE SA - Adelaide City Campus: 120 Currie Street, Adelaide SA 5000-------------------------- ACA – TAFE SA - Adelaide College of the Arts: 39 Light Square, Adelaide SA 5000----------------------------- GIL – TAFE SA - Gilles Plains Campus: 33 Blacks Road, Gilles Plains SA 5086---------------------------- REG – TAFE SA - Regency Campus: 137 Days Road, Regency Park SA 5010------------------------ TON – TAFE SA - Tonsley Campus: 1284 South Road, Tonsley SA 5042 -------------------------------- URB – TAFE SA - Urrbrae Campus: 505 Fullarton Road, Netherby SA 5062</t>
  </si>
  <si>
    <t xml:space="preserve">Certificate IV in Visual Arts</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</si>
  <si>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https://www.tafesa.edu.au/xml/course/in/in_2027TP01222.aspx (halaman kursus resmi 2027, dicek 29 Okt 2026); syarat CoE: https://www.tafesa.edu.au/international/apply-international-student/int-fees-refunds (bayar semester, dicek 29/10/2026; Kode internal: YY</t>
  </si>
  <si>
    <t xml:space="preserve">Diploma of Screen and Media (Animation, Gaming and Visual Effects)</t>
  </si>
  <si>
    <t xml:space="preserve">SAAT INI (29 Okt 2026): CUA51020 Diploma of Screen and Media (Animation, Gaming and Visual Effects), CRICOS 108455E, Adelaide College of the Arts: Semester 1 $11.030 + Semester 2 $11.030 = $22.060, 52 mgg (2 semester). Tuition/Periode = tarif per SEMESTER tertulis di halaman resmi.; Material/enrolment belum tercatat (material+enrolment; dihitung 0 di Estimasi Initial Payment); Sumber bayar awal: TAFE SA International fees and refunds (tafesa.edu.au/int-fees-refunds) - fee semester pertama sebelum CoE = 2 term (tuition disimpan per term); dicek 30/10/2026; Harga diperbarui dari sumber resmi; Cara hitung tuition/periode: Resmi per periode; Sumber: https://www.tafesa.edu.au/xml/course/in/in_2027TP01226.aspx (halaman kursus resmi 2027, dicek 29 Okt 2026), dicek 29/10/2026; Kode internal: YY</t>
  </si>
  <si>
    <t xml:space="preserve">Material/enrolment belum tercatat (enrolment; dihitung 0 di Estimasi Initial Payment); Material 0 terverifikasi = Tidak ditagih (sumber cocok) | https://www.tafesa.edu.au/xml/course/in/in_2027TP01556.aspx kolom Incidental Fees tertulis "AUD $0" | program: sama | kampus: Adelaide (halaman kursus) | intake: 2027 | ;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https://www.tafesa.edu.au/xml/course/in/in_2027TP01556.aspx (halaman kursus resmi 2027, dicek 29 Okt 2026); syarat CoE: https://www.tafesa.edu.au/international/apply-international-student/int-fees-refunds (bayar semester, dicek 29/10/2026; Kode internal: YY</t>
  </si>
  <si>
    <t xml:space="preserve">Diploma of Screen and Media</t>
  </si>
  <si>
    <t xml:space="preserve">SAAT INI (29 Okt 2026): CUA51020 Diploma of Screen and Media (fokus produksi film/TV), CRICOS 108455E, Adelaide College of the Arts: Semester 1 $11.030 + Semester 2 $11.030 = $22.060, 52 mgg (2 semester). Kode &amp; CRICOS sama dengan baris Animation/Gaming tetapi halaman program berbeda - jangan digabung. Tuition/Periode = tarif per SEMESTER tertulis di halaman resmi.; Material/enrolment belum tercatat (material+enrolment; dihitung 0 di Estimasi Initial Payment); Sumber bayar awal: TAFE SA International fees and refunds (tafesa.edu.au/int-fees-refunds) - fee semester pertama sebelum CoE = 2 term (tuition disimpan per term); dicek 30/10/2026; Harga diperbarui dari sumber resmi; Cara hitung tuition/periode: Resmi per periode; Sumber: https://www.tafesa.edu.au/xml/course/in/in_2027TP01258.aspx (halaman kursus resmi 2027, dicek 29 Okt 2026), dicek 29/10/2026; Kode internal: YY</t>
  </si>
  <si>
    <t xml:space="preserve">Diploma of Interior Design</t>
  </si>
  <si>
    <t xml:space="preserve">Material/enrolment belum tercatat (material+enrolment;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https://www.tafesa.edu.au/xml/course/in/in_2027TP01424.aspx (halaman kursus resmi 2027, dicek 29 Okt 2026); syarat CoE: https://www.tafesa.edu.au/international/apply-international-student/int-fees-refunds (bayar semester, dicek 29/10/2026; Kode internal: YY</t>
  </si>
  <si>
    <t xml:space="preserve">Advanced Diploma of Screen and Media (Content Creation and Design)</t>
  </si>
  <si>
    <t xml:space="preserve">SAAT INI (29 Okt 2026): CUA60620 Advanced Diploma of Screen and Media (Content Creation and Design), CRICOS 108456D, Adelaide College of the Arts: Semester 1 $11.035 + Semester 2 $11.035 = $22.070, 52 mgg (2 semester). Tuition/Periode = tarif per SEMESTER tertulis di halaman resmi.; Material/enrolment belum tercatat (material+enrolment; dihitung 0 di Estimasi Initial Payment); Sumber bayar awal: TAFE SA International fees and refunds (tafesa.edu.au/int-fees-refunds) - fee semester pertama sebelum CoE = 2 term (tuition disimpan per term); dicek 30/10/2026; Harga diperbarui dari sumber resmi; Cara hitung tuition/periode: Resmi per periode; Sumber: https://www.tafesa.edu.au/xml/course/in/in_2027TP01228.aspx (halaman kursus resmi 2027, dicek 29 Okt 2026), dicek 29/10/2026; Kode internal: YY</t>
  </si>
  <si>
    <t xml:space="preserve">Advanced Diploma of Graphic Design</t>
  </si>
  <si>
    <t xml:space="preserve">Material/enrolment belum tercatat (enrolment; dihitung 0 di Estimasi Initial Payment); Material 0 terverifikasi = Tidak ditagih (sumber cocok) | https://www.tafesa.edu.au/xml/course/in/in_2027TP01557.aspx kolom Incidental Fees tertulis "AUD $0" | program: sama | kampus: Adelaide (halaman kursus) | intake: 2027 | ;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https://www.tafesa.edu.au/xml/course/in/in_2027TP01557.aspx (halaman kursus resmi 2027, dicek 29 Okt 2026); syarat CoE: https://www.tafesa.edu.au/international/apply-international-student/int-fees-refunds (bayar semester, dicek 29/10/2026; Kode internal: YY</t>
  </si>
  <si>
    <t xml:space="preserve">Advanced Diploma of Screen and Media</t>
  </si>
  <si>
    <t xml:space="preserve">Material/enrolment belum tercatat (material+enrolment;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https://www.tafesa.edu.au/xml/course/in/in_2027TP01259.aspx (halaman kursus resmi 2027, dicek 29 Okt 2026), dicek 29/10/2026; Kode internal: YY</t>
  </si>
  <si>
    <t xml:space="preserve">Certificate IV in Residential Drafting</t>
  </si>
  <si>
    <t xml:space="preserve">Material/enrolment belum tercatat (material+enrolment;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https://www.tafesa.edu.au/xml/course/in/in_2027TP01285.aspx (halaman kursus resmi 2027, dicek 29 Okt 2026); syarat CoE: https://www.tafesa.edu.au/international/apply-international-student/int-fees-refunds (bayar semester, dicek 29/10/2026; Kode internal: YY</t>
  </si>
  <si>
    <t xml:space="preserve">Certificate IV in Building and Construction (Building)</t>
  </si>
  <si>
    <t xml:space="preserve">CEK: konfirmasi harga ke sekolah (harga beda dengan sumber resmi); CEK: Harga di sini 5,554 lebih mahal dari harga resmi ~3,702/periode - konfirmasi ke sekolah sebelum dipakai. 22215/6 term = 3702.5 per term. Harga list 5553.75 (selisih +50.0%). Harga list = total kursus/4 (22215/4), padahal durasi 1,5 tahun (6 term); per term seharusn; CEK: TAFE SA hanya publikasi total kursus &amp; rata-rata per tahun (harga 2027); tuition/term di sini hasil bagi, jadwal bayar &amp; enrolment fee tidak disebut - cek halaman kursus/offer letter; pastikan tahun harga sesuai intake; Material/enrolment belum tercatat (material+enrolment; dihitung 0 di Estimasi Initial Payment); Sumber bayar awal: TAFE SA International fees and refunds (tafesa.edu.au/int-fees-refunds) - fee semester pertama sebelum CoE = 2 term (tuition disimpan per term); dicek 30/10/2026; Cara hitung tuition/periode: Hitung: total/tahunan ÷ N; Sumber: https://www.tafesa.edu.au/international/international-courses/international-courses_list, dicek 29/10/2026; Kode internal: YY</t>
  </si>
  <si>
    <t xml:space="preserve">Certificate IV in Building Project Support (Estimator)</t>
  </si>
  <si>
    <t xml:space="preserve">Material/enrolment belum tercatat (material+enrolment;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https://www.tafesa.edu.au/xml/course/in/in_2027TP01344.aspx (halaman kursus resmi 2027, dicek 29 Okt 2026); syarat CoE: https://www.tafesa.edu.au/international/apply-international-student/int-fees-refunds (bayar semester, dicek 29/10/2026; Kode internal: YY</t>
  </si>
  <si>
    <t xml:space="preserve">Associate Degree in Electrical Engineering</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</si>
  <si>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https://www.tafesa.edu.au/xml/course/in/in_2027AC00079.aspx (halaman kursus resmi 2027, dicek 29 Okt 2026) ; syarat CoE: https://www.tafesa.edu.au/international/apply-international-student/int-fees-refunds, dicek 29/10/2026; Kode internal: YY</t>
  </si>
  <si>
    <t xml:space="preserve">Diploma of Marketing and Communication</t>
  </si>
  <si>
    <t xml:space="preserve">Material/enrolment belum tercatat (material+enrolment;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https://www.tafesa.edu.au/xml/course/in/in_2027TP01240.aspx (halaman kursus resmi 2027, dicek 29 Okt 2026); syarat CoE: https://www.tafesa.edu.au/international/apply-international-student/int-fees-refunds (bayar semester, dicek 29/10/2026; Kode internal: YY</t>
  </si>
  <si>
    <t xml:space="preserve">Certificate III in Individual Support (Ageing)</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</si>
  <si>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https://www.tafesa.edu.au/xml/course/in/in_2027TP01384.aspx (halaman kursus resmi 2027, dicek 29 Okt 2026); syarat CoE: https://www.tafesa.edu.au/international/apply-international-student/int-fees-refunds (bayar semester, dicek 29/10/2026; Kode internal: YY</t>
  </si>
  <si>
    <t xml:space="preserve">Certificate IV in Community Services</t>
  </si>
  <si>
    <t xml:space="preserve">CEK: TAFE SA hanya publikasi total kursus &amp; rata-rata per tahun (harga 2027); tuition/term di sini hasil bagi, jadwal bayar &amp; enrolment fee tidak disebut - cek halaman kursus/offer letter; pastikan tahun harga sesuai intake; Info: resmi 2027 = 6.190/semester x2, durasi 39 minggu (file 12 bulan, 4.126,6/term) - tidak cocok; dibiarkan, lihat Pertanyaan Sekolah.; Material/enrolment belum tercatat (material+enrolment; dihitung 0 di Estimasi Initial Payment); Tuition total/tahunan belum terbukti cocok dengan sumber resmi; Sumber bayar awal: TAFE SA International fees and refunds (tafesa.edu.au/int-fees-refunds) - fee semester pertama sebelum CoE = 2 term (tuition disimpan per term); dicek 30/10/2026; Harga sebagian sesuai sumber resmi; Cara hitung tuition/periode: Hitung: total/tahunan ÷ N; Sumber: https://www.tafesa.edu.au/international/international-courses/international-courses_list, dicek 29/10/2026; Kode internal: YY</t>
  </si>
  <si>
    <t xml:space="preserve">Diploma of Community Services</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</si>
  <si>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https://www.tafesa.edu.au/xml/course/in/in_2027TP01554.aspx (halaman kursus resmi 2027, dicek 29 Okt 2026); syarat CoE: https://www.tafesa.edu.au/international/apply-international-student/int-fees-refunds (bayar semester, dicek 29/10/2026; Kode internal: YY</t>
  </si>
  <si>
    <t xml:space="preserve">General English 40</t>
  </si>
  <si>
    <t xml:space="preserve">40 minggu</t>
  </si>
  <si>
    <t xml:space="preserve">Material/enrolment belum tercatat (material+enrolment;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https://www.tafesa.edu.au/xml/course/in/in_2027BR00001.aspx (General English 40, CRICOS 064265A: Semester 1 8.300 + Semester 2 8.300 = 16.600; 40 minggu; incidental "-"; internasional; Adelaide City; intake 2026/2027; di, dicek 29/10/2026; Kode internal: YY</t>
  </si>
  <si>
    <t xml:space="preserve">English for Academic Purposes 20</t>
  </si>
  <si>
    <t xml:space="preserve">26 minggu</t>
  </si>
  <si>
    <t xml:space="preserve">Material/enrolment belum tercatat (enrolment; dihitung 0 di Estimasi Initial Payment); Material 0 terverifikasi = Tidak ditagih (sumber cocok) | halaman kursus 2027: Incidental fees $0 | program sama | kampus Adelaide City | intake 2026/2027 | siswa internasional;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https://www.tafesa.edu.au/xml/course/in/in_2027BR00003.aspx (EAP 20, CRICOS 064266M: 8.300 total, 1 semester, 26 minggu; incidental $0; internasional; Adelaide City; intake 2026/2027; dicek 29 Okt 2026), dicek 29/10/2026; Kode internal: YY</t>
  </si>
  <si>
    <t xml:space="preserve">English for Academic Purposes Advanced</t>
  </si>
  <si>
    <t xml:space="preserve">Material/enrolment belum tercatat (enrolment; dihitung 0 di Estimasi Initial Payment); Material 0 terverifikasi = Tidak ditagih (sumber cocok) | halaman kursus 2027: Incidental fees $0 | program sama | kampus Adelaide City | intake 2026/2027 | siswa internasional;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https://www.tafesa.edu.au/xml/course/in/in_2027BR00006.aspx (EAP Advanced, CRICOS 086001K: 8.300 total, 1 semester, 26 minggu; incidental $0; internasional; Adelaide City; intake 2026/2027; dicek 29 Okt 2026), dicek 29/10/2026; Kode internal: YY</t>
  </si>
  <si>
    <t xml:space="preserve">Certificate III in Early Childhood Education and Care</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</si>
  <si>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https://www.tafesa.edu.au/xml/course/in/in_2027TP01469.aspx (halaman kursus resmi 2027, dicek 29 Okt 2026); syarat CoE: https://www.tafesa.edu.au/international/apply-international-student/int-fees-refunds (bayar semester, dicek 29/10/2026; Kode internal: YY</t>
  </si>
  <si>
    <t xml:space="preserve">Diploma of Early Childhood Education and Care</t>
  </si>
  <si>
    <t xml:space="preserve">Material/enrolment belum tercatat (material+enrolment;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https://www.tafesa.edu.au/xml/course/in/in_2027TP01553.aspx (halaman kursus resmi 2027, dicek 29 Okt 2026); syarat CoE: https://www.tafesa.edu.au/international/apply-international-student/int-fees-refunds (bayar semester, dicek 29/10/2026; Kode internal: YY</t>
  </si>
  <si>
    <t xml:space="preserve">Certificate III in Beauty Services</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</si>
  <si>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https://www.tafesa.edu.au/xml/course/in/in_2027TP01353.aspx (halaman kursus resmi 2027, dicek 29 Okt 2026); syarat CoE: https://www.tafesa.edu.au/international/apply-international-student/int-fees-refunds (bayar semester, dicek 29/10/2026; Kode internal: YY</t>
  </si>
  <si>
    <t xml:space="preserve">Diploma of Dental Technology</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</si>
  <si>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https://www.tafesa.edu.au/xml/course/in/in_2027TP01106.aspx (halaman kursus resmi 2027, dicek 29 Okt 2026); syarat CoE: https://www.tafesa.edu.au/international/apply-international-student/int-fees-refunds (bayar semester, dicek 29/10/2026; Kode internal: YY</t>
  </si>
  <si>
    <t xml:space="preserve">CEK: konfirmasi harga ke sekolah (harga beda dengan sumber resmi); CEK: Harga di sini 9,544 lebih mahal dari harga resmi ~5,454/periode - konfirmasi ke sekolah sebelum dipakai. 38175/7 term = 5453.57 per term. Harga list 9544 (selisih +75.0%). Harga list = total kursus/4 (38175/4), padahal durasi 1,77 tahun (92 minggu, 3,5 semester; 10; CEK: TAFE SA hanya publikasi total kursus &amp; rata-rata per tahun (harga 2027); tuition/term di sini hasil bagi, jadwal bayar &amp; enrolment fee tidak disebut - cek halaman kursus/offer letter; pastikan tahun harga sesuai intake; Material/enrolment belum tercatat (enrolment; dihitung 0 di Estimasi Initial Payment); Sumber bayar awal: TAFE SA International fees and refunds (tafesa.edu.au/int-fees-refunds) - fee semester pertama sebelum CoE = 2 term (tuition disimpan per term); dicek 30/10/2026; Cara hitung tuition/periode: Hitung: total/tahunan ÷ N; Sumber: https://www.tafesa.edu.au/xml/course/in/in_2026TP01261.aspx, dicek 29/10/2026; Kode internal: YY</t>
  </si>
  <si>
    <t xml:space="preserve">Advanced Diploma of Oral Health (Dental Hygiene)</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</si>
  <si>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https://www.tafesa.edu.au/xml/course/in/in_2027AC00120.aspx (halaman kursus resmi 2027, dicek 29 Okt 2026); syarat CoE: https://www.tafesa.edu.au/international/apply-international-student/int-fees-refunds (bayar semester, dicek 29/10/2026; Kode internal: YY</t>
  </si>
  <si>
    <t xml:space="preserve">CEK: TAFE SA hanya publikasi total kursus &amp; rata-rata per tahun (harga 2027); tuition/term di sini hasil bagi, jadwal bayar &amp; enrolment fee tidak disebut - cek halaman kursus/offer letter; pastikan tahun harga sesuai intake; CEK: halaman kursus resmi 2027 menagih SELURUH tuition (17,500) di Semester 1 (Semester 2 = 0) -&gt; deposit CoE kemungkinan = tuition penuh, bukan 2 term di file. Konfirmasi di Letter of Offer.; Material/enrolment belum tercatat (enrolment; dihitung 0 di Estimasi Initial Payment); Tuition total/tahunan belum terbukti cocok dengan sumber resmi; Sumber bayar awal: TAFE SA International fees and refunds (tafesa.edu.au/int-fees-refunds) - fee semester pertama sebelum CoE = 2 term (tuition disimpan per term); dicek 30/10/2026; Harga sebagian sesuai sumber resmi; Cara hitung tuition/periode: Hitung: total/tahunan ÷ N; Sumber: https://www.tafesa.edu.au/international/international-courses/international-courses_list, dicek 29/10/2026; Kode internal: YY</t>
  </si>
  <si>
    <t xml:space="preserve">Certificate III in Events</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</si>
  <si>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https://www.tafesa.edu.au/xml/course/in/in_2027TP01367.aspx (halaman kursus resmi 2027, dicek 29 Okt 2026); syarat CoE: https://www.tafesa.edu.au/international/apply-international-student/int-fees-refunds (bayar semester, dicek 29/10/2026; Kode internal: YY</t>
  </si>
  <si>
    <t xml:space="preserve">Certificate III in Tourism</t>
  </si>
  <si>
    <t xml:space="preserve">CEK: Certificate III in Tourism tidak ada di daftar kursus internasional TAFE SA 2027 - kemungkinan dihentikan; jangan ditawarkan sebelum dikonfirmasi.; Material/enrolment belum tercatat (enrolment; dihitung 0 di Estimasi Initial Payment); Sumber bayar awal: TAFE SA International fees and refunds (tafesa.edu.au/int-fees-refunds) - fee semester pertama sebelum CoE = 2 term (tuition disimpan per term); dicek 30/10/2026; Harga belum dicek ke sumber resmi; Cara hitung tuition/periode: Hitung: total/tahunan ÷ N; Kode internal: YY</t>
  </si>
  <si>
    <t xml:space="preserve">Certificate III in Hospitality</t>
  </si>
  <si>
    <t xml:space="preserve">CEK: TAFE SA hanya publikasi total kursus &amp; rata-rata per tahun (harga 2027); tuition/term di sini hasil bagi, jadwal bayar &amp; enrolment fee tidak disebut - cek halaman kursus/offer letter; pastikan tahun harga sesuai intake; CEK: halaman kursus resmi 2027 menagih SELURUH tuition (12,185) di Semester 1 (Semester 2 = 0) -&gt; deposit CoE kemungkinan = tuition penuh, bukan 2 term di file. Konfirmasi di Letter of Offer.; Material/enrolment belum tercatat (enrolment; dihitung 0 di Estimasi Initial Payment); Tuition total/tahunan belum terbukti cocok dengan sumber resmi; Sumber bayar awal: TAFE SA International fees and refunds (tafesa.edu.au/int-fees-refunds) - fee semester pertama sebelum CoE = 2 term (tuition disimpan per term); dicek 30/10/2026; Harga sebagian sesuai sumber resmi; Cara hitung tuition/periode: Hitung: total/tahunan ÷ N; Sumber: https://www.tafesa.edu.au/international/international-courses/international-courses_list, dicek 29/10/2026; Kode internal: YY</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</si>
  <si>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https://www.tafesa.edu.au/xml/course/in/in_2027TP01392.aspx (halaman kursus resmi 2027, dicek 29 Okt 2026); syarat CoE: https://www.tafesa.edu.au/international/apply-international-student/int-fees-refunds (bayar semester, dicek 29/10/2026; Kode internal: YY</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</si>
  <si>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https://www.tafesa.edu.au/xml/course/in/in_2027TP01366.aspx (halaman kursus resmi 2027, dicek 29 Okt 2026); syarat CoE: https://www.tafesa.edu.au/international/apply-international-student/int-fees-refunds (bayar semester, dicek 29/10/2026; Kode internal: YY</t>
  </si>
  <si>
    <t xml:space="preserve">Certificate IV in Hospitality</t>
  </si>
  <si>
    <t xml:space="preserve">CEK: TAFE SA hanya publikasi total kursus &amp; rata-rata per tahun (harga 2027); tuition/term di sini hasil bagi, jadwal bayar &amp; enrolment fee tidak disebut - cek halaman kursus/offer letter; pastikan tahun harga sesuai intake; Info: tarif resmi 2027 9.895/semester (1 semester); file 4.895 x2 = 9.790 (lebih murah 1%, tidak diubah - aturan 8).; Material/enrolment belum tercatat (enrolment; dihitung 0 di Estimasi Initial Payment); Tuition total/tahunan belum terbukti cocok dengan sumber resmi; Sumber bayar awal: TAFE SA International fees and refunds (tafesa.edu.au/int-fees-refunds) - fee semester pertama sebelum CoE = 2 term (tuition disimpan per term); dicek 30/10/2026; Harga sebagian sesuai sumber resmi; Cara hitung tuition/periode: Hitung: total/tahunan ÷ N; Sumber: https://www.tafesa.edu.au/international/international-courses/international-courses_list, dicek 29/10/2026; Kode internal: YY</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</si>
  <si>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https://www.tafesa.edu.au/xml/course/in/in_2027TP01393.aspx (halaman kursus resmi 2027, dicek 29 Okt 2026); syarat CoE: https://www.tafesa.edu.au/international/apply-international-student/int-fees-refunds (bayar semester, dicek 29/10/2026; Kode internal: YY</t>
  </si>
  <si>
    <t xml:space="preserve">Diploma of Food Science &amp; Technology</t>
  </si>
  <si>
    <t xml:space="preserve">Material/enrolment belum tercatat (material+enrolment;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https://www.tafesa.edu.au/xml/course/in/in_2027TP01316.aspx (halaman kursus resmi 2027, dicek 29 Okt 2026); syarat CoE: https://www.tafesa.edu.au/international/apply-international-student/int-fees-refunds (bayar semester, dicek 29/10/2026; Kode internal: YY</t>
  </si>
  <si>
    <t xml:space="preserve">Diploma of Event Management</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</si>
  <si>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https://www.tafesa.edu.au/xml/course/in/in_2027TP01368.aspx (halaman kursus resmi 2027, dicek 29 Okt 2026); syarat CoE: https://www.tafesa.edu.au/international/apply-international-student/int-fees-refunds (bayar semester, dicek 29/10/2026; Kode internal: YY</t>
  </si>
  <si>
    <t xml:space="preserve">Diploma of Travel and Tourism Management</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</si>
  <si>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https://www.tafesa.edu.au/xml/course/in/in_2027TP01371.aspx (halaman kursus resmi 2027, dicek 29 Okt 2026); syarat CoE: https://www.tafesa.edu.au/international/apply-international-student/int-fees-refunds (bayar semester, dicek 29/10/2026; Kode internal: YY</t>
  </si>
  <si>
    <t xml:space="preserve">Diploma of Hospitality Management</t>
  </si>
  <si>
    <t xml:space="preserve">Material/enrolment belum tercatat (enrolment; dihitung 0 di Estimasi Initial Payment); Material 0 terverifikasi = Tidak ditagih (sumber cocok) | https://www.tafesa.edu.au/xml/course/in/in_2027TP01382.aspx kolom Incidental Fees tertulis "AUD $0" | program: sama | kampus: Adelaide (halaman kursus) | intake: 2027 | ;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https://www.tafesa.edu.au/xml/course/in/in_2027TP01382.aspx (halaman kursus resmi 2027, dicek 29 Okt 2026); syarat CoE: https://www.tafesa.edu.au/international/apply-international-student/int-fees-refunds (bayar semester, dicek 29/10/2026; Kode internal: YY</t>
  </si>
  <si>
    <t xml:space="preserve">Bachelor of Tourism, Hospitality and Events Management</t>
  </si>
  <si>
    <t xml:space="preserve">CEK: konfirmasi harga ke sekolah (harga beda dengan sumber resmi); CEK: Harga di sini 13,614 lebih mahal dari harga resmi ~4,538/periode - konfirmasi ke sekolah sebelum dipakai. 54455/12 term = 4537.92 per term. Harga list 13614 (selisih +200.0%). Harga list = total kursus/4 (54455/4), padahal durasi 3 tahun (12 term); per term seharusn; CEK: TAFE SA hanya publikasi total kursus &amp; rata-rata per tahun (harga 2027); tuition/term di sini hasil bagi, jadwal bayar &amp; enrolment fee tidak disebut - cek halaman kursus/offer letter; pastikan tahun harga sesuai intake; Material/enrolment belum tercatat (enrolment; dihitung 0 di Estimasi Initial Payment); Sumber bayar awal: TAFE SA International fees and refunds (tafesa.edu.au/int-fees-refunds) - fee semester pertama sebelum CoE = 2 term (tuition disimpan per term); dicek 30/10/2026; Cara hitung tuition/periode: Hitung: total/tahunan ÷ N; Sumber: https://www.tafesa.edu.au/international/international-courses/international-courses_list, dicek 29/10/2026; Kode internal: YY</t>
  </si>
  <si>
    <t xml:space="preserve">Certificate III in Information Technology (IT)</t>
  </si>
  <si>
    <t xml:space="preserve">Material/enrolment belum tercatat (enrolment; dihitung 0 di Estimasi Initial Payment); Material 0 terverifikasi = Tidak ditagih (sumber cocok) | https://www.tafesa.edu.au/xml/course/in/in_2027TP01194.aspx kolom Incidental Fees tertulis "AUD $0" | program: sama | kampus: Adelaide (halaman kursus) | intake: 2027 | ;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https://www.tafesa.edu.au/xml/course/in/in_2027TP01194.aspx (halaman kursus resmi 2027, dicek 29 Okt 2026); syarat CoE: https://www.tafesa.edu.au/international/apply-international-student/int-fees-refunds (bayar semester, dicek 29/10/2026; Kode internal: YY</t>
  </si>
  <si>
    <t xml:space="preserve">Certificate IV in Cyber Security</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</si>
  <si>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https://www.tafesa.edu.au/xml/course/in/in_2027AC00128.aspx (halaman kursus resmi 2027, dicek 29 Okt 2026); syarat CoE: https://www.tafesa.edu.au/international/apply-international-student/int-fees-refunds (bayar semester, dicek 29/10/2026; Kode internal: YY</t>
  </si>
  <si>
    <t xml:space="preserve">Certificate IV in Information Technology (IT) (Networking)</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</si>
  <si>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https://www.tafesa.edu.au/xml/course/in/in_2027TP01247.aspx (halaman kursus resmi 2027, dicek 29 Okt 2026) ; syarat CoE: https://www.tafesa.edu.au/international/apply-international-student/int-fees-refunds, dicek 29/10/2026; Kode internal: YY</t>
  </si>
  <si>
    <t xml:space="preserve">Certificate IV in Information Technology (IT) (Programming)</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</si>
  <si>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https://www.tafesa.edu.au/xml/course/in/in_2027TP01248.aspx (halaman kursus resmi 2027, dicek 29 Okt 2026) ; syarat CoE: https://www.tafesa.edu.au/international/apply-international-student/int-fees-refunds, dicek 29/10/2026; Kode internal: YY</t>
  </si>
  <si>
    <t xml:space="preserve">Certificate IV in Information Technology (IT) (Systems Administration Support)</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</si>
  <si>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https://www.tafesa.edu.au/xml/course/in/in_2027TP01249.aspx (halaman kursus resmi 2027, dicek 29 Okt 2026) ; syarat CoE: https://www.tafesa.edu.au/international/apply-international-student/int-fees-refunds, dicek 29/10/2026; Kode internal: YY</t>
  </si>
  <si>
    <t xml:space="preserve">Certificate IV in Information Technology (IT) (Web Development)</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</si>
  <si>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https://www.tafesa.edu.au/xml/course/in/in_2027TP01250.aspx (halaman kursus resmi 2027, dicek 29 Okt 2026) ; syarat CoE: https://www.tafesa.edu.au/international/apply-international-student/int-fees-refunds, dicek 29/10/2026; Kode internal: YY</t>
  </si>
  <si>
    <t xml:space="preserve">Diploma of Information Technology (IT) (Advanced Networking) &amp; (Cloud Engineering)</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</si>
  <si>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https://www.tafesa.edu.au/xml/course/in/in_2027TP01267.aspx (halaman kursus resmi 2027, dicek 29 Okt 2026); syarat CoE: https://www.tafesa.edu.au/international/apply-international-student/int-fees-refunds (bayar semester, dicek 29/10/2026; Kode internal: YY</t>
  </si>
  <si>
    <t xml:space="preserve">Diploma of Information Technology (IT) (Advanced Programming)</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</si>
  <si>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https://www.tafesa.edu.au/xml/course/in/in_2027TP01268.aspx (halaman kursus resmi 2027, dicek 29 Okt 2026); syarat CoE: https://www.tafesa.edu.au/international/apply-international-student/int-fees-refunds (bayar semester, dicek 29/10/2026; Kode internal: YY</t>
  </si>
  <si>
    <t xml:space="preserve">Diploma of Information Technology (IT) (Cyber Security)</t>
  </si>
  <si>
    <t xml:space="preserve">Material/enrolment belum tercatat (material+enrolment;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https://www.tafesa.edu.au/xml/course/in/in_2027TP01271.aspx (halaman kursus resmi 2027, dicek 29 Okt 2026); syarat CoE: https://www.tafesa.edu.au/international/apply-international-student/int-fees-refunds (bayar semester, dicek 29/10/2026; Kode internal: YY</t>
  </si>
  <si>
    <t xml:space="preserve">Diploma of Information Technology (IT) (Back End Web Development)</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</si>
  <si>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https://www.tafesa.edu.au/xml/course/in/in_2027TP01272.aspx (halaman kursus resmi 2027, dicek 29 Okt 2026); syarat CoE: https://www.tafesa.edu.au/international/apply-international-student/int-fees-refunds (bayar semester, dicek 29/10/2026; Kode internal: YY</t>
  </si>
  <si>
    <t xml:space="preserve">Diploma of Information Technology (IT) (System Administration) &amp; (Cloud Engineering)</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</si>
  <si>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https://www.tafesa.edu.au/xml/course/in/in_2027TP01273.aspx (halaman kursus resmi 2027, dicek 29 Okt 2026); syarat CoE: https://www.tafesa.edu.au/international/apply-international-student/int-fees-refunds (bayar semester, dicek 29/10/2026; Kode internal: YY</t>
  </si>
  <si>
    <t xml:space="preserve">Certificate III in Engineering – Technical</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</si>
  <si>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https://www.tafesa.edu.au/xml/course/in/in_2027TP01421.aspx (halaman kursus resmi 2027, dicek 29 Okt 2026); syarat CoE: https://www.tafesa.edu.au/international/apply-international-student/int-fees-refunds (bayar semester, dicek 29/10/2026; Kode internal: YY</t>
  </si>
  <si>
    <t xml:space="preserve">Associate Degree in Electronic Engineering</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</si>
  <si>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https://www.tafesa.edu.au/xml/course/in/in_2027AC00058.aspx (halaman kursus resmi 2027, dicek 29 Okt 2026) ; syarat CoE: https://www.tafesa.edu.au/international/apply-international-student/int-fees-refunds, dicek 29/10/2026; Kode internal: YY</t>
  </si>
  <si>
    <t xml:space="preserve">Associate Degree in Biomedical Engineering</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</si>
  <si>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https://www.tafesa.edu.au/xml/course/in/in_2027AC00078.aspx (halaman kursus resmi 2027, dicek 29 Okt 2026) ; syarat CoE: https://www.tafesa.edu.au/international/apply-international-student/int-fees-refunds, dicek 29/10/2026; Kode internal: YY</t>
  </si>
  <si>
    <t xml:space="preserve">Associate Degree in Civil and Structural Engineering (Design Drafting)</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</si>
  <si>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https://www.tafesa.edu.au/xml/course/in/in_2027AC00080.aspx (halaman kursus resmi 2027, dicek 29 Okt 2026) ; syarat CoE: https://www.tafesa.edu.au/international/apply-international-student/int-fees-refunds, dicek 29/10/2026; Kode internal: YY</t>
  </si>
  <si>
    <t xml:space="preserve">Associate Degree in Mechanical Engineering</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</si>
  <si>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https://www.tafesa.edu.au/xml/course/in/in_2027AC00149.aspx (halaman kursus resmi 2027, dicek 29 Okt 2026) ; syarat CoE: https://www.tafesa.edu.au/international/apply-international-student/int-fees-refunds, dicek 29/10/2026; Kode internal: YY</t>
  </si>
  <si>
    <t xml:space="preserve">Certificate III in Horticulture</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</si>
  <si>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https://www.tafesa.edu.au/xml/course/in/in_2027TP01435.aspx (halaman kursus resmi 2027, dicek 29 Okt 2026); syarat CoE: https://www.tafesa.edu.au/international/apply-international-student/int-fees-refunds (bayar semester, dicek 29/10/2026; Kode internal: YY</t>
  </si>
  <si>
    <t xml:space="preserve">Certificate III in Conservation and Ecosystem Management</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</si>
  <si>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https://www.tafesa.edu.au/xml/course/in/in_2027TP01447.aspx (halaman kursus resmi 2027, dicek 29 Okt 2026); syarat CoE: https://www.tafesa.edu.au/international/apply-international-student/int-fees-refunds (bayar semester, dicek 29/10/2026; Kode internal: YY</t>
  </si>
  <si>
    <t xml:space="preserve">Diploma of Conservation and Ecosystem Management</t>
  </si>
  <si>
    <t xml:space="preserve">Material/enrolment belum tercatat (enrolment; dihitung 0 di Estimasi Initial Payment); Sumber bayar awal: TAFE SA International fees and refunds (tafesa.edu.au/int-fees-refunds) - fee semester pertama sebelum CoE = 2 term (tuition disimpan per term); dicek 30/10/2026; Harga sesuai sumber resmi; Cara hitung tuition/periode: Resmi per periode; Sumber: https://www.tafesa.edu.au/xml/course/in/in_2027TP01201.aspx (halaman kursus resmi 2027, dicek 29 Okt 2026); syarat CoE: https://www.tafesa.edu.au/international/apply-international-student/int-fees-refunds (bayar semester, dicek 29/10/2026; Kode internal: YY</t>
  </si>
  <si>
    <t xml:space="preserve">Diploma of Landscape Design</t>
  </si>
  <si>
    <t xml:space="preserve">CEK: konfirmasi harga ke sekolah (harga beda dengan sumber resmi); CEK: Harga di sini 5,921 lebih mahal dari harga resmi ~3,384/periode - konfirmasi ke sekolah sebelum dipakai. 23685/7 term = 3383.57 per term. Harga list 5921.25 (selisih +75.0%). Harga list = total kursus/4 (23685/4), padahal durasi 1,77 tahun (rata-rata 13.158/tahun); CEK: TAFE SA hanya publikasi total kursus &amp; rata-rata per tahun (harga 2027); tuition/term di sini hasil bagi, jadwal bayar &amp; enrolment fee tidak disebut - cek halaman kursus/offer letter; pastikan tahun harga sesuai intake; Material/enrolment belum tercatat (enrolment; dihitung 0 di Estimasi Initial Payment); Sumber bayar awal: TAFE SA International fees and refunds (tafesa.edu.au/int-fees-refunds) - fee semester pertama sebelum CoE = 2 term (tuition disimpan per term); dicek 30/10/2026; Cara hitung tuition/periode: Hitung: total/tahunan ÷ N; Sumber: https://www.tafesa.edu.au/international/international-courses/international-courses_list, dicek 29/10/2026; Kode internal: YY</t>
  </si>
  <si>
    <t xml:space="preserve">The Centre of Excellence
Level 2, 38 Currie Street, Adelaide, SA 5000</t>
  </si>
  <si>
    <t xml:space="preserve">Cert III in Painting and Decorating + Dip. Of Building and Construction</t>
  </si>
  <si>
    <t xml:space="preserve">Torrens University Australia
88 Wakefield Street Adelaide SA 5000</t>
  </si>
  <si>
    <t xml:space="preserve">Diploma of Cyber Security</t>
  </si>
  <si>
    <t xml:space="preserve">CEK: kampus Adelaide tidak tercantum untuk program ini (kampus resmi: Melbourne, Sydney, Online) - 110736M: 4.688/subject, tahunan 37.500, total 112.500 (22** subject, 3 thn) - Torrens 2026 International Student Fee Schedule (Sept26 V24, terbit Okt 2026) hal. 6, dicek 30/10/2026; tuition/periode = tahunan ÷ 4 (konvensi TEG); Torrens menagih per trimester sesuai jumlah subject yang diambil, jadi tagihan per trimester bisa berbeda - jumlah pasti ikuti offer letter; 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</si>
  <si>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111741F: 3.666/subject, tahunan 29.330, total 87.990 (24 subject, 3 thn) - Torrens 2026 International Student Fee Schedule (Sept26 V24, terbit Okt 2026) hal. 9,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</si>
  <si>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CEK: kampus Adelaide tidak tercantum untuk program ini (kampus resmi: Sydney, Online) - 113665H: 3.950/subject, tahunan 31.600, total 94.800 (24 subject, 3 thn) - Torrens 2026 International Student Fee Schedule (Sept26 V24, terbit Okt 2026) hal. 13, dicek 30/10/2026; tuition/periode = tahunan ÷ 4 (konvensi TEG); Torrens menagih per trimester sesuai jumlah subject yang diambil, jadi tagihan per trimester bisa berbeda - jumlah pasti ikuti offer letter; 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</si>
  <si>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Graduate Certificate in International Hotel Management (Students commenced before 2025)</t>
  </si>
  <si>
    <t xml:space="preserve">CEK: tarif khusus siswa yang mulai SEBELUM 2025 - bukan untuk siswa baru (089932J: 5.248/subject, tahunan 20.990, total 20.990 (4 subject, 0.5 thn) - Torrens 2026 International Student Fee Schedule (Sept26 V24, terbit Okt 2026) hal. 13, dicek 30/10/2026; tuition/periode = tahunan ÷ 4 (konvensi TEG); Torrens menagih per trimester sesuai jumlah subject yang diambil, jadi tagihan per trimester bisa berbeda - jumlah pasti ikuti offer letter); 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</si>
  <si>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Master of International Hotel Management (Students commenced before 2025)</t>
  </si>
  <si>
    <t xml:space="preserve">CEK: konfirmasi harga ke sekolah (harga beda dengan sumber resmi); CEK: tarif khusus siswa yang mulai SEBELUM 2025 - bukan untuk siswa baru (089931K: 5.248/subject, tahunan 41.980, total 62.970 (12 subject, 2 thn) - Torrens 2026 International Student Fee Schedule (Sept26 V24, terbit Okt 2026) hal. 13, dicek 30/10/2026; tuition/periode = tahunan ÷ 4 (konvensi TEG); Torrens menagih per trimester sesuai jumlah subject yang diambil, jadi tagihan per trimester bisa berbeda - jumlah pasti ikuti offer letter); Material/enrolment belum tercatat (material+enrolment; dihitung 0 di Estimasi Initial Payment); Asumsi bayar awal 2 term (nilai pricelist lama; Torrens menagih per trimester sesuai subject; Fee Schedule 2026 V24 tidak menyebut jumlah bayar sebelum CoE) - konfirmasi ke sekolah; Cara hitung tuition/periode: Hitung: total/tahunan ÷ N; Sumber: https://cdn.intelligencebank.com/au/share/RyzZ/D1G8V/jlMdo/original/TUA-International-Pricing-guide, dicek 29/10/2026</t>
  </si>
  <si>
    <t xml:space="preserve">UniSC (University of the Sunshine Coast) - Adelaide
182 Victoria Square, Adelaide SA 5000</t>
  </si>
  <si>
    <t xml:space="preserve">Bachelor of Information and Communications Technology</t>
  </si>
  <si>
    <t xml:space="preserve">CEK: konfirmasi harga ke sekolah (harga beda dengan sumber resmi); Material/enrolment belum tercatat (material+enrolment; dihitung 0 di Estimasi Initial Payment); Cara hitung tuition/periode: Hitung: total/tahunan ÷ N; Sumber: https://www.unisc.edu.au/learn/international-students/what-are-the-fees, dicek 29/10/2026</t>
  </si>
  <si>
    <t xml:space="preserve">Bachelor of Education Studies (Early Childhood)</t>
  </si>
  <si>
    <t xml:space="preserve">Master of Information and Communicaions Technology</t>
  </si>
  <si>
    <t xml:space="preserve">Master of Cyber Security and Forensics</t>
  </si>
  <si>
    <t xml:space="preserve">Master of Business Administration / Master of Business Inteligence and Analytics</t>
  </si>
  <si>
    <t xml:space="preserve">• 3 years 11275 150 2150 2070.5 350 =+SUM(E437:J437)+E437 2 terms tuition applied</t>
  </si>
  <si>
    <t xml:space="preserve">• 350 =+SUM(E612:J612)+E612 2 terms tuition applied</t>
  </si>
  <si>
    <t xml:space="preserve">OFFSHORE - SYDNEY</t>
  </si>
  <si>
    <t xml:space="preserve">Abbey College Australia
Level 1/545 Kent St, Sydney NSW 2000, Australia</t>
  </si>
  <si>
    <t xml:space="preserve">ABM Further Education
Campus: 242 Castlereagh Street Sydney NSW 2000</t>
  </si>
  <si>
    <t xml:space="preserve">Cert III in Fitness</t>
  </si>
  <si>
    <t xml:space="preserve">Asumsi bayar awal 1 term (nilai pricelist lama; dokumen resmi terbaru (2026) tidak ditemukan; flyer 2024 sudah kedaluwarsa) - konfirmasi ke sekolah; Harga belum dicek ke sumber resmi</t>
  </si>
  <si>
    <t xml:space="preserve">Cert III + Cert IV in Fitness</t>
  </si>
  <si>
    <t xml:space="preserve">Cert III + Cert IV in Fitness + Dip of Sport</t>
  </si>
  <si>
    <t xml:space="preserve">Cert IV in Kitchen Management + Dip of Hospitality Management ($1850/term on Dip)</t>
  </si>
  <si>
    <t xml:space="preserve">Tuition beda per level, lihat keterangan di kolom Program; Asumsi bayar awal 1 term (nilai pricelist lama; dokumen resmi terbaru (2026) tidak ditemukan; flyer 2024 sudah kedaluwarsa) - konfirmasi ke sekolah; Harga belum dicek ke sumber resmi</t>
  </si>
  <si>
    <t xml:space="preserve">Cert IV in Kitchen Management + Dip + Adv Dip of Hospitality Management ($1850/term on Dip + Adv)</t>
  </si>
  <si>
    <t xml:space="preserve">Cert IV in Patisserie</t>
  </si>
  <si>
    <t xml:space="preserve">Cert IV in Patisserie + Dip of Hospitality Management ($1850/term on Dip)</t>
  </si>
  <si>
    <t xml:space="preserve">Cert IV in Patisserie+ Dip + Adv Dip of Hospitality Management ($1850/term on Dip + Adv)</t>
  </si>
  <si>
    <t xml:space="preserve">Cert IV in Kitchen Management + Cert IV in Patisserie</t>
  </si>
  <si>
    <t xml:space="preserve">Cert IV in Kitchen Management + Cert IV in Patisserie + Dip of Hospitality Management ($1850/term on Dip)</t>
  </si>
  <si>
    <t xml:space="preserve">Cert IV in Kitchen Management + Cert IV in Patisserie + Adv Dip of Hospitality Management ($1850/term on Dip + Adv)</t>
  </si>
  <si>
    <t xml:space="preserve">Dip Hospitality Management</t>
  </si>
  <si>
    <t xml:space="preserve">Dip + Adv Dip Hospitality Management</t>
  </si>
  <si>
    <t xml:space="preserve">Cert IV + Dip + Adv Dip of Project Management</t>
  </si>
  <si>
    <t xml:space="preserve">Cert IV + Dip of Human Resource Management (HR)</t>
  </si>
  <si>
    <t xml:space="preserve">Cert IV + Dip + Adv Dip of Human Resource Management (HR)</t>
  </si>
  <si>
    <t xml:space="preserve">Cert IV + Dip of Business</t>
  </si>
  <si>
    <t xml:space="preserve">Cert IV + Dip + Adv Dip of Business</t>
  </si>
  <si>
    <t xml:space="preserve">Academia of Trade
Ground Floor,12-14 Wentworth St, Parramatta, NSW 2150 Australia</t>
  </si>
  <si>
    <t xml:space="preserve">Certificate III in Roof Plumbing + Dip of Building and Construction (Building) ($3350/term on Dip)</t>
  </si>
  <si>
    <t xml:space="preserve">Cert III in Carpentry + Dip of Building and Construction (Building) ($3350/term on Dip)</t>
  </si>
  <si>
    <t xml:space="preserve">Cert III in Painting and Decorating + Dip of Building and Construction (Building) ($3350/term on Dip)</t>
  </si>
  <si>
    <t xml:space="preserve">Cert III in Bricklaying and Bloklaying + Dip of Building and Construction (Building) ($3350/term on Dip)</t>
  </si>
  <si>
    <t xml:space="preserve">Cert III in Wall and Floor Tiling + Dip of Building and Construction (Building) ($3350/term on Dip)</t>
  </si>
  <si>
    <t xml:space="preserve">Cert IV in Kitchen Management + Dip of Hospitality Management ($4500/term on Dip)</t>
  </si>
  <si>
    <t xml:space="preserve">Academies Australasia
Level 6, 505 George Street, Sydney NSW 2000 Australia</t>
  </si>
  <si>
    <t xml:space="preserve">CEK: konfirmasi harga ke sekolah (harga beda dengan sumber resmi); Asumsi bayar awal 2 term (nilai pricelist lama; Handbook AAPoly (VET v3.2, HE v4.3, Okt 2026): VET minimal 1 term, Bachelor 1 semester sebelum mulai) - konfirmasi ke sekolah; Cara hitung tuition/periode: Hitung: total/tahunan ÷ N; Sumber: https://search.studyaustralia.gov.au/provider/academies-australasia-institute-pty-ltd/f3038ae580677da109eb5d80db52fc84/courses, dicek 29/10/2026; Info sekolah: nama college dalam grup Academies Australasia (Institute/Polytechnic) belum dikonfirmasi per program</t>
  </si>
  <si>
    <t xml:space="preserve">Bachelor of Business ( Leadership &amp; Management)</t>
  </si>
  <si>
    <t xml:space="preserve">Bachelor of Business (Digital Marketing)</t>
  </si>
  <si>
    <t xml:space="preserve">Cert IV + Dip + Adv of Information Technology (IT)</t>
  </si>
  <si>
    <t xml:space="preserve">Bachelor of Information Technology (IT) (Sarjana 1)</t>
  </si>
  <si>
    <t xml:space="preserve">Periode Bayar diisi Term (tuition tersimpan per term) - konfirmasi ke sekolah; Bayar awal 1 semester - sumber: Handbook AAPoly (VET v3.2, HE v4.3, Okt 2026): VET minimal 1 term, Bachelor 1 semester sebelum mulai; dicek 30/10/2026; Harga belum dicek ke sumber resmi; Info sekolah: nama college dalam grup Academies Australasia (Institute/Polytechnic) belum dikonfirmasi per program</t>
  </si>
  <si>
    <t xml:space="preserve">Master of Information Technology (IT) (Sarjana 2)</t>
  </si>
  <si>
    <t xml:space="preserve">Dip + Adv of Hospitality Management</t>
  </si>
  <si>
    <t xml:space="preserve">Cert IV + Dip + Adv DIP of Travel &amp; Tourism Management</t>
  </si>
  <si>
    <t xml:space="preserve">Asumsi bayar awal 2 term (nilai pricelist lama; Handbook AAPoly (VET v3.2, HE v4.3, Okt 2026): VET minimal 1 term, Bachelor 1 semester sebelum mulai) - konfirmasi ke sekolah; Harga belum dicek ke sumber resmi; Cara hitung tuition/periode: Hitung: total/tahunan ÷ N; Info sekolah: nama college dalam grup Academies Australasia (Institute/Polytechnic) belum dikonfirmasi per program</t>
  </si>
  <si>
    <t xml:space="preserve">Bachelor of Tourism &amp; Hotel Management</t>
  </si>
  <si>
    <t xml:space="preserve">CEK: Sebagian sesuai sumber resmi: Jumlah term tidak disebut; bila 8 term x 9 minggu: 18.000/8 = 2.250/term = offshore price list 2.250. Onshore 1.900 -&gt; lebih murah dari harga publik - kemungkin; Tuition total/tahunan belum terbukti cocok dengan sumber resmi; Asumsi bayar awal 2 term (nilai pricelist lama; Handbook AAPoly (VET v3.2, HE v4.3, Okt 2026): VET minimal 1 term, Bachelor 1 semester sebelum mulai) - konfirmasi ke sekolah; Harga sebagian sesuai sumber resmi; Cara hitung tuition/periode: Hitung: total/tahunan ÷ N; Sumber: https://search.studyaustralia.gov.au/provider/academies-australasia-institute-pty-ltd/f3038ae580677da109eb5d80db52fc84/courses, dicek 29/10/2026; Info sekolah: nama college dalam grup Academies Australasia (Institute/Polytechnic) belum dikonfirmasi per program</t>
  </si>
  <si>
    <t xml:space="preserve">Advanced Diploma of Holistic Classical Yoga Teaching and Therapy</t>
  </si>
  <si>
    <t xml:space="preserve">CEK: Sebagian sesuai sumber resmi: Jumlah term tidak disebut; offshore 3.000 x 5 term (asumsi term 9 minggu) = 15.000 = total resmi.; Tuition total/tahunan belum terbukti cocok dengan sumber resmi; Asumsi bayar awal 2 term (nilai pricelist lama; Handbook AAPoly (VET v3.2, HE v4.3, Okt 2026): VET minimal 1 term, Bachelor 1 semester sebelum mulai) - konfirmasi ke sekolah; Harga sebagian sesuai sumber resmi; Cara hitung tuition/periode: Hitung: total/tahunan ÷ N; Sumber: https://search.studyaustralia.gov.au/provider/academies-australasia-institute-pty-ltd/f3038ae580677da109eb5d80db52fc84/courses, dicek 29/10/2026; Info sekolah: nama college dalam grup Academies Australasia (Institute/Polytechnic) belum dikonfirmasi per program</t>
  </si>
  <si>
    <t xml:space="preserve">Academy of Interactive Technology (AIT)
Level 2, 7 Kelly Street, Ultimo, NSW 2007</t>
  </si>
  <si>
    <t xml:space="preserve">Bachelor of 2D Animation</t>
  </si>
  <si>
    <t xml:space="preserve">CEK: duplikat - program yang sama kini ditawarkan sebagai Greenwich Higher Education (provider sama: Academy of Interactive Technology Pty Ltd), harga 2027 di baris 468; baris AIT ini harga lama - jangan ditawarkan; CEK: enrolment di file 200 &lt; enrolment resmi 2026 AUD 250 (master pricing 2026 &amp; Terms: "$250 enrollment fee applies") - masalah biaya; perbarui setelah keputusan K9.; Material/enrolment belum tercatat (material; dihitung 0 di Estimasi Initial Payment); Asumsi bayar awal 2 term (nilai pricelist lama; kebijakan resmi AIT v2.3: minimal instalment pertama sebelum CoE, besarnya di Letter of Offer) - konfirmasi ke sekolah; Harga sebagian sesuai sumber resmi</t>
  </si>
  <si>
    <t xml:space="preserve">Bachelor of 3D Animation</t>
  </si>
  <si>
    <t xml:space="preserve">CEK: duplikat - program yang sama kini ditawarkan sebagai Greenwich Higher Education (provider sama: Academy of Interactive Technology Pty Ltd), harga 2027 di baris 467; baris AIT ini harga lama - jangan ditawarkan; Info: AIT tagih per trimester (3/tahun); 5.750 = 23.000/4 (konvensi TEG, hasil hitung); offshore deposit = 3 unit (trimester 1), onshore 1.000; enrolment resmi 2026 = 250 (file 200, lebih rendah - tidak diubah); CEK: enrolment di file 200 &lt; enrolment resmi 2026 AUD 250 (master pricing 2026 &amp; Terms: "$250 enrollment fee applies") - masalah biaya; perbarui setelah keputusan K9.; Asumsi bayar awal 2 term (nilai pricelist lama; kebijakan resmi AIT v2.3: minimal instalment pertama sebelum CoE, besarnya di Letter of Offer) - konfirmasi ke sekolah; Harga sebagian sesuai sumber resmi; Cara hitung tuition/periode: Hitung: total/tahunan ÷ N; Sumber: https://info.ait.edu.au/hubfs/v4-Q1-Greenwich-Higher-Education-Master-Pricing-Document-2026.pdf, dicek 29/10/2026</t>
  </si>
  <si>
    <t xml:space="preserve">Bachelor of Film</t>
  </si>
  <si>
    <t xml:space="preserve">CEK: halaman Film AIT hanya menampilkan intake 2025, tidak ada fee 2026 &amp; tidak ada di halaman apply - status penawaran diragukan; konfirmasi.; CEK: enrolment di file 200 &lt; enrolment resmi 2026 AUD 250 (master pricing 2026 &amp; Terms: "$250 enrollment fee applies") - masalah biaya; perbarui setelah keputusan K9.; Material/enrolment belum tercatat (material; dihitung 0 di Estimasi Initial Payment); Asumsi bayar awal 2 term (nilai pricelist lama; kebijakan resmi AIT v2.3: minimal instalment pertama sebelum CoE, besarnya di Letter of Offer) - konfirmasi ke sekolah; Harga belum dicek ke sumber resmi</t>
  </si>
  <si>
    <t xml:space="preserve">Bachelor of Game Design</t>
  </si>
  <si>
    <t xml:space="preserve">CEK: duplikat - program yang sama kini ditawarkan sebagai Greenwich Higher Education (provider sama: Academy of Interactive Technology Pty Ltd), harga 2027 di baris 466; baris AIT ini harga lama - jangan ditawarkan; Info: AIT tagih per trimester (3/tahun); 5.750 = 23.000/4 (konvensi TEG, hasil hitung); offshore deposit = 3 unit (trimester 1), onshore 1.000; enrolment resmi 2026 = 250 (file 200, lebih rendah - tidak diubah); CEK: enrolment di file 200 &lt; enrolment resmi 2026 AUD 250 (master pricing 2026 &amp; Terms: "$250 enrollment fee applies") - masalah biaya; perbarui setelah keputusan K9.; Asumsi bayar awal 2 term (nilai pricelist lama; kebijakan resmi AIT v2.3: minimal instalment pertama sebelum CoE, besarnya di Letter of Offer) - konfirmasi ke sekolah; Harga sebagian sesuai sumber resmi; Cara hitung tuition/periode: Hitung: total/tahunan ÷ N; Sumber: https://info.ait.edu.au/hubfs/v4-Q1-Greenwich-Higher-Education-Master-Pricing-Document-2026.pdf, dicek 29/10/2026</t>
  </si>
  <si>
    <t xml:space="preserve">Bachelor of Information Technology (IT) (Mobile App Dev))</t>
  </si>
  <si>
    <t xml:space="preserve">CEK: Sebagian sesuai sumber resmi: Sumber resmi tidak menyebut jumlah term/tahun, jadi per-term tidak bisa dipastikan. 23,000/8 = 2,875 per subject; 5,750 = 2 subject = 23,000/4. Price list 5,750; CEK: Bachelor/Dip IT (Mobile App Development) berstatus teach-out, tidak menerima aplikasi baru (halaman kursus resmi) - jangan ditawarkan.; CEK: enrolment di file 200 &lt; enrolment resmi 2026 AUD 250 (master pricing 2026 &amp; Terms: "$250 enrollment fee applies") - masalah biaya; perbarui setelah keputusan K9.; Material/enrolment belum tercatat (material; dihitung 0 di Estimasi Initial Payment); Tuition total/tahunan belum terbukti cocok dengan sumber resmi; Asumsi bayar awal 2 term (nilai pricelist lama; kebijakan resmi AIT v2.3: minimal instalment pertama sebelum CoE, besarnya di Letter of Offer) - konfirmasi ke sekolah; Harga sebagian sesuai sumber resmi; Cara hitung tuition/periode: Hitung: total/tahunan ÷ N; Sumber: https://info.ait.edu.au/hubfs/v4-Q1-Greenwich-Higher-Education-Master-Pricing-Document-2026.pdf, dicek 29/10/2026; Bachelor of IT (Mobile App Development) teach-out berbeda dari Bachelor of Information Technology GHE (CRICOS 119223H, baris 465) - jangan digabung</t>
  </si>
  <si>
    <t xml:space="preserve">Dip of 2D Animation</t>
  </si>
  <si>
    <t xml:space="preserve">CEK: enrolment di file 200 &lt; enrolment resmi 2026 AUD 250 (master pricing 2026 &amp; Terms: "$250 enrollment fee applies") - masalah biaya; perbarui setelah keputusan K9.; Material/enrolment belum tercatat (material; dihitung 0 di Estimasi Initial Payment); Asumsi bayar awal 2 term (nilai pricelist lama; kebijakan resmi AIT v2.3: minimal instalment pertama sebelum CoE, besarnya di Letter of Offer) - konfirmasi ke sekolah; Harga sebagian sesuai sumber resmi</t>
  </si>
  <si>
    <t xml:space="preserve">Dip of 3D Animation</t>
  </si>
  <si>
    <t xml:space="preserve">Dip of Film</t>
  </si>
  <si>
    <t xml:space="preserve">Dipr of Game Design</t>
  </si>
  <si>
    <t xml:space="preserve">Dip of Information Technology (IT) (Mobile App Dev))</t>
  </si>
  <si>
    <t xml:space="preserve">CEK: Bachelor/Dip IT (Mobile App Development) berstatus teach-out, tidak menerima aplikasi baru (halaman kursus resmi) - jangan ditawarkan.; CEK: enrolment di file 200 &lt; enrolment resmi 2026 AUD 250 (master pricing 2026 &amp; Terms: "$250 enrollment fee applies") - masalah biaya; perbarui setelah keputusan K9.; Material/enrolment belum tercatat (material; dihitung 0 di Estimasi Initial Payment); Asumsi bayar awal 2 term (nilai pricelist lama; kebijakan resmi AIT v2.3: minimal instalment pertama sebelum CoE, besarnya di Letter of Offer) - konfirmasi ke sekolah; Harga belum dicek ke sumber resmi</t>
  </si>
  <si>
    <t xml:space="preserve">Dip of Information Technology (IT) (Vocational)</t>
  </si>
  <si>
    <t xml:space="preserve">CEK: konfirmasi harga ke sekolah (harga beda dengan sumber resmi); CEK: Dip IT (Vocational) ICT50220 resmi 8.000 total / 4 trimester (15 bulan); file 5.750/term x 12 bulan = 23.000 -&gt; beda besar, lihat Keputusan Internal.; CEK: enrolment di file 200 &lt; enrolment resmi 2026 AUD 250 (master pricing 2026 &amp; Terms: "$250 enrollment fee applies") - masalah biaya; perbarui setelah keputusan K9.; Material/enrolment belum tercatat (material; dihitung 0 di Estimasi Initial Payment); Asumsi bayar awal 2 term (nilai pricelist lama; kebijakan resmi AIT v2.3: minimal instalment pertama sebelum CoE, besarnya di Letter of Offer) - konfirmasi ke sekolah</t>
  </si>
  <si>
    <t xml:space="preserve">AIBI Higher Education
Level 2/451 Pitt St, Haymarket NSW 2000</t>
  </si>
  <si>
    <t xml:space="preserve">AIH Higher Education (Australian Institute of Higher Education)
Level 3 &amp; 4, 545 Kent Street, NSW 2000, Australia</t>
  </si>
  <si>
    <t xml:space="preserve">Unit</t>
  </si>
  <si>
    <t xml:space="preserve">PROMO s.d. 31/12/2026 (apply &amp; terima offer) - sumber: brosur resmi AIH Australian Next Gen Award 30% (Bachelor; kuota 100 pendaftar pertama untuk intake 2027), Offshore; harga per unit setelah beasiswa 1.470 (publik 2.100); total 35.280 untuk 24 unit (explore.aih.edu.au/2026-scholarships-and-bursaries, dicek 07/11/2026); Sumber harga publik: aih.edu.au/fees (2026), CRICOS 069531C, dicek 07/11/2026; Periode Bayar = per unit (8 unit/tahun; 24 unit total; peringkat tahunan = per unit x 8); material/resource fee 50 per unit (dibayar sepanjang kursus) dihitung x unit di Initial; enrolment 250; Bayar di Awal 4 unit: AIH Fees and Charges Policy 2023.2 Appendix 1 "Other Markets - Offshore: 4 units" (kebijakan lama; versi aktif belum ditemukan) - konfirmasi di offer letter; setelah deposit, Pay As You Learn per subjek; kelayakan siswa Indonesia tidak disebut khusus; Kode internal: AIG (ACHIEVA)</t>
  </si>
  <si>
    <t xml:space="preserve">Bachelor Of Business (Management)</t>
  </si>
  <si>
    <t xml:space="preserve">PROMO s.d. 31/12/2026 (apply &amp; terima offer) - sumber: brosur resmi AIH Australian Next Gen Award 30% (Bachelor; kuota 100 pendaftar pertama untuk intake 2027), Offshore; harga per unit setelah beasiswa 1.560 (publik 2.230); total 37.440 untuk 24 unit (explore.aih.edu.au/2026-scholarships-and-bursaries, dicek 07/11/2026); Sumber harga publik: aih.edu.au/fees (2026), CRICOS 112649E, dicek 07/11/2026; Periode Bayar = per unit (8 unit/tahun; 24 unit total; peringkat tahunan = per unit x 8); material/resource fee 50 per unit (dibayar sepanjang kursus) dihitung x unit di Initial; enrolment 250; Bayar di Awal 4 unit: AIH Fees and Charges Policy 2023.2 Appendix 1 "Other Markets - Offshore: 4 units" (kebijakan lama; versi aktif belum ditemukan) - konfirmasi di offer letter; setelah deposit, Pay As You Learn per subjek; kelayakan siswa Indonesia tidak disebut khusus; Kode internal: AIG (ACHIEVA)</t>
  </si>
  <si>
    <t xml:space="preserve">Bachelor Of Business (Hospitality and Tourism Management)</t>
  </si>
  <si>
    <t xml:space="preserve">PROMO s.d. 31/12/2026 (apply &amp; terima offer) - sumber: brosur resmi AIH Australian Next Gen Award 30% (Bachelor; kuota 100 pendaftar pertama untuk intake 2027), Offshore; harga per unit setelah beasiswa 1.560 (publik 2.230); total 37.440 untuk 24 unit (explore.aih.edu.au/2026-scholarships-and-bursaries, dicek 07/11/2026); Sumber harga publik: aih.edu.au/fees (2026), CRICOS 112646H, dicek 07/11/2026; Periode Bayar = per unit (8 unit/tahun; 24 unit total; peringkat tahunan = per unit x 8); material/resource fee 50 per unit (dibayar sepanjang kursus) dihitung x unit di Initial; enrolment 250; Bayar di Awal 4 unit: AIH Fees and Charges Policy 2023.2 Appendix 1 "Other Markets - Offshore: 4 units" (kebijakan lama; versi aktif belum ditemukan) - konfirmasi di offer letter; setelah deposit, Pay As You Learn per subjek; kelayakan siswa Indonesia tidak disebut khusus; Kode internal: AIG (ACHIEVA)</t>
  </si>
  <si>
    <t xml:space="preserve">Bachelor Of Business (Project Management)</t>
  </si>
  <si>
    <t xml:space="preserve">PROMO s.d. 31/12/2026 (apply &amp; terima offer) - sumber: brosur resmi AIH Australian Next Gen Award 30% (Bachelor; kuota 100 pendaftar pertama untuk intake 2027), Offshore; harga per unit setelah beasiswa 1.560 (publik 2.230); total 37.440 untuk 24 unit (explore.aih.edu.au/2026-scholarships-and-bursaries, dicek 07/11/2026); Sumber harga publik: aih.edu.au/fees (2026), CRICOS 112652K, dicek 07/11/2026; Periode Bayar = per unit (8 unit/tahun; 24 unit total; peringkat tahunan = per unit x 8); material/resource fee 50 per unit (dibayar sepanjang kursus) dihitung x unit di Initial; enrolment 250; Bayar di Awal 4 unit: AIH Fees and Charges Policy 2023.2 Appendix 1 "Other Markets - Offshore: 4 units" (kebijakan lama; versi aktif belum ditemukan) - konfirmasi di offer letter; setelah deposit, Pay As You Learn per subjek; kelayakan siswa Indonesia tidak disebut khusus; Kode internal: AIG (ACHIEVA)</t>
  </si>
  <si>
    <t xml:space="preserve">Bachelor Of Business Information Systems</t>
  </si>
  <si>
    <t xml:space="preserve">PROMO s.d. 31/12/2026 (apply &amp; terima offer) - sumber: brosur resmi AIH Australian Next Gen Award 30% (Bachelor; kuota 100 pendaftar pertama untuk intake 2027), Offshore; harga per unit setelah beasiswa 1.560 (publik 2.230); total 37.440 untuk 24 unit (explore.aih.edu.au/2026-scholarships-and-bursaries, dicek 07/11/2026); Sumber harga publik: aih.edu.au/fees (2026), CRICOS 083131B, dicek 07/11/2026; Periode Bayar = per unit (8 unit/tahun; 24 unit total; peringkat tahunan = per unit x 8); material/resource fee 50 per unit (dibayar sepanjang kursus) dihitung x unit di Initial; enrolment 250; Bayar di Awal 4 unit: AIH Fees and Charges Policy 2023.2 Appendix 1 "Other Markets - Offshore: 4 units" (kebijakan lama; versi aktif belum ditemukan) - konfirmasi di offer letter; setelah deposit, Pay As You Learn per subjek; kelayakan siswa Indonesia tidak disebut khusus; Kode internal: AIG (ACHIEVA)</t>
  </si>
  <si>
    <t xml:space="preserve">Master Of Business Information Systems</t>
  </si>
  <si>
    <t xml:space="preserve">PROMO s.d. 31/12/2026 (apply &amp; terima offer) - sumber: brosur resmi AIH Global Access Award 15% (Postgraduate), Offshore; harga per unit setelah beasiswa 2.280 (publik 2.680); total 36.480 untuk 16 unit (explore.aih.edu.au/2026-scholarships-and-bursaries, dicek 07/11/2026); Sumber harga publik: aih.edu.au/fees (2026), CRICOS 105293J, dicek 07/11/2026; Periode Bayar = per unit (8 unit/tahun; 16 unit total; peringkat tahunan = per unit x 8); material/resource fee 50 per unit (dibayar sepanjang kursus) dihitung x unit di Initial; enrolment 250; Bayar di Awal 4 unit: AIH Fees and Charges Policy 2023.2 Appendix 1 "Other Markets - Offshore: 4 units" (kebijakan lama; versi aktif belum ditemukan) - konfirmasi di offer letter; setelah deposit, Pay As You Learn per subjek; kelayakan siswa Indonesia tidak disebut khusus; jumlah unit: brosur menulis 15 unit tetapi total = 16 x per unit - konfirmasi; Kode internal: AIG (ACHIEVA)</t>
  </si>
  <si>
    <t xml:space="preserve">Master Of Business Information Systems (Cyber Security)</t>
  </si>
  <si>
    <t xml:space="preserve">PROMO s.d. 31/12/2026 (apply &amp; terima offer) - sumber: brosur resmi AIH Global Access Award 15% (Postgraduate), Offshore; harga per unit setelah beasiswa 2.460 (publik 2.890); total 39.360 untuk 16 unit (explore.aih.edu.au/2026-scholarships-and-bursaries, dicek 07/11/2026); Sumber harga publik: aih.edu.au/fees (2026), CRICOS 111497B, dicek 07/11/2026; Periode Bayar = per unit (8 unit/tahun; 16 unit total; peringkat tahunan = per unit x 8); material/resource fee 50 per unit (dibayar sepanjang kursus) dihitung x unit di Initial; enrolment 250; Bayar di Awal 4 unit: AIH Fees and Charges Policy 2023.2 Appendix 1 "Other Markets - Offshore: 4 units" (kebijakan lama; versi aktif belum ditemukan) - konfirmasi di offer letter; setelah deposit, Pay As You Learn per subjek; kelayakan siswa Indonesia tidak disebut khusus; jumlah unit: brosur menulis 15 unit tetapi total = 16 x per unit - konfirmasi; Kode internal: AIG (ACHIEVA)</t>
  </si>
  <si>
    <t xml:space="preserve">Master Of Business Information Systems (Data Analytics)</t>
  </si>
  <si>
    <t xml:space="preserve">PROMO s.d. 31/12/2026 (apply &amp; terima offer) - sumber: brosur resmi AIH Global Access Award 15% (Postgraduate), Offshore; harga per unit setelah beasiswa 2.460 (publik 2.890); total 39.360 untuk 16 unit (explore.aih.edu.au/2026-scholarships-and-bursaries, dicek 07/11/2026); Sumber harga publik: aih.edu.au/fees (2026), CRICOS 111495D, dicek 07/11/2026; Periode Bayar = per unit (8 unit/tahun; 16 unit total; peringkat tahunan = per unit x 8); material/resource fee 50 per unit (dibayar sepanjang kursus) dihitung x unit di Initial; enrolment 250; Bayar di Awal 4 unit: AIH Fees and Charges Policy 2023.2 Appendix 1 "Other Markets - Offshore: 4 units" (kebijakan lama; versi aktif belum ditemukan) - konfirmasi di offer letter; setelah deposit, Pay As You Learn per subjek; kelayakan siswa Indonesia tidak disebut khusus; jumlah unit: brosur menulis 15 unit tetapi total = 16 x per unit - konfirmasi; Kode internal: AIG (ACHIEVA)</t>
  </si>
  <si>
    <t xml:space="preserve">Master Of Business Administration (Business Analytics)</t>
  </si>
  <si>
    <t xml:space="preserve">PROMO s.d. 31/12/2026 (apply &amp; terima offer) - sumber: brosur resmi AIH Global Access Award 15% (Postgraduate), Offshore; harga per unit setelah beasiswa 2.280 (publik 2.680); total 36.480 untuk 16 unit (explore.aih.edu.au/2026-scholarships-and-bursaries, dicek 07/11/2026); Sumber harga publik: aih.edu.au/fees (2026), CRICOS 111558E, dicek 07/11/2026; Periode Bayar = per unit (8 unit/tahun; 16 unit total; peringkat tahunan = per unit x 8); material/resource fee 50 per unit (dibayar sepanjang kursus) dihitung x unit di Initial; enrolment 250; Bayar di Awal 4 unit: AIH Fees and Charges Policy 2023.2 Appendix 1 "Other Markets - Offshore: 4 units" (kebijakan lama; versi aktif belum ditemukan) - konfirmasi di offer letter; setelah deposit, Pay As You Learn per subjek; kelayakan siswa Indonesia tidak disebut khusus; Kode internal: AIG (ACHIEVA)</t>
  </si>
  <si>
    <t xml:space="preserve">Master Of Project Management</t>
  </si>
  <si>
    <t xml:space="preserve">PROMO s.d. 31/12/2026 (apply &amp; terima offer) - sumber: brosur resmi AIH Global Access Award 15% (Postgraduate), Offshore; harga per unit setelah beasiswa 2.380 (publik 2.790); total 38.080 untuk 16 unit (explore.aih.edu.au/2026-scholarships-and-bursaries, dicek 07/11/2026); Sumber harga publik: aih.edu.au/fees (2026), CRICOS 111561K, dicek 07/11/2026; Periode Bayar = per unit (8 unit/tahun; 16 unit total; peringkat tahunan = per unit x 8); material/resource fee 50 per unit (dibayar sepanjang kursus) dihitung x unit di Initial; enrolment 250; Bayar di Awal 4 unit: AIH Fees and Charges Policy 2023.2 Appendix 1 "Other Markets - Offshore: 4 units" (kebijakan lama; versi aktif belum ditemukan) - konfirmasi di offer letter; setelah deposit, Pay As You Learn per subjek; kelayakan siswa Indonesia tidak disebut khusus; Kode internal: AIG (ACHIEVA)</t>
  </si>
  <si>
    <t xml:space="preserve">Albright Institute of Business and Language (AIBL)
Ground (Reception), Level 2 &amp; Level 3, 10 Quay St Haymarket, NSW 2000</t>
  </si>
  <si>
    <t xml:space="preserve">Dip Of Information Technology (IT) (Cybersecurity)</t>
  </si>
  <si>
    <t xml:space="preserve">Adv Dip Of IInformation Technology (IT) (Telecommunications)</t>
  </si>
  <si>
    <t xml:space="preserve">Albury College
L2 12 -14 Wentworth St Parramatta NNSW 2150</t>
  </si>
  <si>
    <t xml:space="preserve">Cert III in Carpentry + Dip of Building &amp; Construction (Building) PLUS</t>
  </si>
  <si>
    <t xml:space="preserve">CEK: konfirmasi harga ke sekolah (harga beda dengan sumber resmi); Cara hitung tuition/periode: Hitung: total/tahunan ÷ N; Sumber: https://alburycollege.edu.au/courses/certificate-iii-in-carpentry/, dicek 29/10/2026</t>
  </si>
  <si>
    <t xml:space="preserve">Cert III in Carpentry + Dip of Building &amp; Construction (Building) CORE</t>
  </si>
  <si>
    <t xml:space="preserve">Cert III in Painting and decorating + Dip of Building &amp; Construction (Building) CORE</t>
  </si>
  <si>
    <t xml:space="preserve">Cer IV in Kitchen Management + Dip of Hospitality Management</t>
  </si>
  <si>
    <t xml:space="preserve">Cer IV in Kitchen Management + Dip + Adv Dip of Hospitality Management</t>
  </si>
  <si>
    <t xml:space="preserve">Cert III in Light Vehicle Mechanical Technology + Dip of Automotive Technology</t>
  </si>
  <si>
    <t xml:space="preserve">Cert III in Automotive Mechanical Diagnosis + Dip of Automotive Technology</t>
  </si>
  <si>
    <t xml:space="preserve">Alice Springs College of Australia (ASCA)
LEVEL 15, 7 DEANE STREET, BURWOOD NSW 2134</t>
  </si>
  <si>
    <t xml:space="preserve">Alliance College
Suite 2, Level 4/187 Thomas St, Haymarket NSW 2000, Australia</t>
  </si>
  <si>
    <t xml:space="preserve">Dip + Adv Dip Of Business + Graduated Diploma of Management</t>
  </si>
  <si>
    <t xml:space="preserve">Alpha College of Australia (ACA)
Level 5/127 Liverpool St, Sydney NSW 2000, Australia</t>
  </si>
  <si>
    <t xml:space="preserve">Cert IV in Building and Construction</t>
  </si>
  <si>
    <t xml:space="preserve">Dip of Building and Construction (Building)</t>
  </si>
  <si>
    <t xml:space="preserve">Adv Dip of Civil Construction</t>
  </si>
  <si>
    <t xml:space="preserve">Cert III in Carpentry + Cert IV in Building and Construction</t>
  </si>
  <si>
    <t xml:space="preserve">Apeiro Institute
Level 2A/133 Parramatta Rd, Granville NSW 2142, Australia</t>
  </si>
  <si>
    <t xml:space="preserve">Dip + Adv Dip of Business + Graduate Diploma of Business Management (Learning)</t>
  </si>
  <si>
    <t xml:space="preserve">CEK: BSB80120 Graduate Diploma of Management (Learning) dari provider VET - registrasi CRICOS ditangguhkan/dibatalkan sejak Sep-Okt 2026. Jangan ditawarkan sebelum dikonfirmasi.; Harga belum dicek ke sumber resmi</t>
  </si>
  <si>
    <t xml:space="preserve">Dip of Business + Adv Dip of Leadership and Management + Graduate Diploma of Business Management (Learning)</t>
  </si>
  <si>
    <t xml:space="preserve">Asia Pacific International College (APIC)
Level 6, 1–3 Fitzwilliam Street, Parramatta NSW 2150</t>
  </si>
  <si>
    <t xml:space="preserve">Dip of Information Technology (IT) (Per Trimester or 4 months)</t>
  </si>
  <si>
    <t xml:space="preserve">Bachelor of Information Technology (IT) (Per Trimester or 4 months)</t>
  </si>
  <si>
    <t xml:space="preserve">Dip of Business (Per Trimester or 4 months)</t>
  </si>
  <si>
    <t xml:space="preserve">Bachelor of Business - Information Technology (IT) (Per Trimester or 4 months)</t>
  </si>
  <si>
    <t xml:space="preserve">Graduate Certificate in Business Management (Per Trimester or 4 months)</t>
  </si>
  <si>
    <t xml:space="preserve">Graduate Diploma in Business Management (Per Trimester or 4 months)</t>
  </si>
  <si>
    <t xml:space="preserve">Graduate Certifficate in Information Technology (IT) (Per Trimester or 4 months)</t>
  </si>
  <si>
    <t xml:space="preserve">Master of Information Technology (IT) (Per Trimester or 4 months)</t>
  </si>
  <si>
    <t xml:space="preserve">Graduate Certificate in Project Management (Per Trimester or 4 months)</t>
  </si>
  <si>
    <t xml:space="preserve">Graduate Diploma in Project Management (Per Trimester or 4 months)</t>
  </si>
  <si>
    <t xml:space="preserve">Astra Institute of Higher Education
'Level 3, 16–18 Wentworth Street, Parramatta NSW 2150, Australia</t>
  </si>
  <si>
    <t xml:space="preserve">Bachelor of Business (Per Trimester or 4 months) (tahun ke 2 dan 3 akan pakai harga onshore $4400/trimester - jd lbh murah)</t>
  </si>
  <si>
    <t xml:space="preserve">Bachelor of Business (Major in Hospitality) (Per Trimester or 4 months) (tahun ke 2 dan 3 akan pakai harga onshore $4400/trimester - jd lbh murah)</t>
  </si>
  <si>
    <t xml:space="preserve">Bachelor of Business (Major in Construction Project Management) (Per Trimester or 4 months) (tahun ke 2 dan 3 akan pakai harga onshore - jd lbh murah)</t>
  </si>
  <si>
    <t xml:space="preserve">Bachelor of Business (Cyber Security) (Per Trimester or 4 months) (tahun ke 2 dan 3 akan pakai harga onshore $4400/trimester - jd lbh murah)</t>
  </si>
  <si>
    <t xml:space="preserve">Bachelor of Business (AI) (Per Trimester or 4 months) (tahun ke 2 dan 3 akan pakai harga onshore $4400/trimester - jd lbh murah)</t>
  </si>
  <si>
    <t xml:space="preserve">Australian Agribusiness Institute
6 Fetherstone Street, Bankstown, NSW, 2200, Australia</t>
  </si>
  <si>
    <t xml:space="preserve">Master Of Agricultural Information Management</t>
  </si>
  <si>
    <t xml:space="preserve">Australian Business Institute (ABI)
6 Fetherstone Street, Bankstown, NSW, 2200, Australia</t>
  </si>
  <si>
    <t xml:space="preserve">Australian Catholic University (ACU)
40 Edward Street, North Sydney NSW 2060 ------------ 25A Barker Road, Strathfield NSW 2135 ---------------- 22 Main Street, Blacktown NSW 2148</t>
  </si>
  <si>
    <t xml:space="preserve">Australian College of Business Intelligence (ACBI)
Suite 510/451 Pitt Street, Sydney NSW 2000</t>
  </si>
  <si>
    <t xml:space="preserve">Diploma of Project Management (BSB50820)</t>
  </si>
  <si>
    <t xml:space="preserve">52 weeks (4 terms)</t>
  </si>
  <si>
    <t xml:space="preserve">Sumber: ACBI 2026 Pricelist &amp; Academic Calendar - October 2026 (Onshore &amp; Offshore. International Students). dicek 07/11/2026: "New Price" 1.350/term x 4 term = total 5.400 (harga reguler 2.000/term); masa berlaku harga baru tidak disebut; resource fee 100 &amp; application processing fee 250 (non-refundable); Asumsi bayar awal 1 term - konfirmasi ke sekolah; alamat &amp; CRICOS 03426E/RTO 40835 dari situs resmi acbi.edu.au</t>
  </si>
  <si>
    <t xml:space="preserve">Advanced Diploma of Program Management (BSB60720)</t>
  </si>
  <si>
    <t xml:space="preserve">Sumber: ACBI 2026 Pricelist &amp; Academic Calendar - October 2026 (Onshore &amp; Offshore. International Students). dicek 07/11/2026: "New Price" 1.500/term x 4 term = total 6.000 (harga reguler 2.100/term); masa berlaku harga baru tidak disebut; resource fee 100 &amp; application processing fee 250 (non-refundable); Asumsi bayar awal 1 term - konfirmasi ke sekolah; alamat &amp; CRICOS 03426E/RTO 40835 dari situs resmi acbi.edu.au</t>
  </si>
  <si>
    <t xml:space="preserve">Diploma of Leadership and Management (BSB50420)</t>
  </si>
  <si>
    <t xml:space="preserve">Advanced Diploma of Leadership and Management (BSB60420)</t>
  </si>
  <si>
    <t xml:space="preserve">Graduate Diploma of Strategic Leadership (BSB80320)</t>
  </si>
  <si>
    <t xml:space="preserve">104 weeks (8 terms)</t>
  </si>
  <si>
    <t xml:space="preserve">Sumber: ACBI 2026 Pricelist &amp; Academic Calendar - October 2026 (Onshore &amp; Offshore. International Students). dicek 07/11/2026: "New Price" 1.980/term x 8 term = total 15.840 (harga reguler 2.200/term); masa berlaku harga baru tidak disebut; resource fee 100 &amp; application processing fee 250 (non-refundable); Asumsi bayar awal 1 term - konfirmasi ke sekolah; alamat &amp; CRICOS 03426E/RTO 40835 dari situs resmi acbi.edu.au; BSB80320 berbeda dari BSB80120 (Graduate Diploma of Management (Learning)) - tidak termasuk kursus ditangguhkan</t>
  </si>
  <si>
    <t xml:space="preserve">Certificate IV in Environmentally Sustainable Management (11130NAT)</t>
  </si>
  <si>
    <t xml:space="preserve">Sumber: ACBI 2026 Pricelist &amp; Academic Calendar - October 2026 (Onshore &amp; Offshore. International Students). dicek 07/11/2026: "New Price" 1.710/term x 4 term = total 6.840 (harga reguler 1.900/term); masa berlaku harga baru tidak disebut; resource fee 100 &amp; application processing fee 250 (non-refundable); Asumsi bayar awal 1 term - konfirmasi ke sekolah; alamat &amp; CRICOS 03426E/RTO 40835 dari situs resmi acbi.edu.au</t>
  </si>
  <si>
    <t xml:space="preserve">Diploma of Sustainable Operations (MSS50122)</t>
  </si>
  <si>
    <t xml:space="preserve">78 weeks (6 terms)</t>
  </si>
  <si>
    <t xml:space="preserve">Sumber: ACBI 2026 Pricelist &amp; Academic Calendar - October 2026 (Onshore &amp; Offshore. International Students). dicek 07/11/2026: "New Price" 1.800/term x 6 term = total 10.800 (harga reguler 2.000/term); masa berlaku harga baru tidak disebut; resource fee 100 &amp; application processing fee 250 (non-refundable); Asumsi bayar awal 1 term - konfirmasi ke sekolah; alamat &amp; CRICOS 03426E/RTO 40835 dari situs resmi acbi.edu.au</t>
  </si>
  <si>
    <t xml:space="preserve">Advanced Diploma of Conservation and Ecosystem Management (AHC60422)</t>
  </si>
  <si>
    <t xml:space="preserve">Sumber: ACBI 2026 Pricelist &amp; Academic Calendar - October 2026 (Onshore &amp; Offshore. International Students). dicek 07/11/2026: "New Price" 1.890/term x 4 term = total 7.560 (harga reguler 2.100/term); masa berlaku harga baru tidak disebut; resource fee 100 &amp; application processing fee 250 (non-refundable); Asumsi bayar awal 1 term - konfirmasi ke sekolah; alamat &amp; CRICOS 03426E/RTO 40835 dari situs resmi acbi.edu.au</t>
  </si>
  <si>
    <t xml:space="preserve">Diploma of Artificial Intelligence (AI) (11287NAT)</t>
  </si>
  <si>
    <t xml:space="preserve">Sumber: ACBI 2026 Pricelist &amp; Academic Calendar - October 2026 (Onshore &amp; Offshore. International Students). dicek 07/11/2026: "New Price" 1.800/term x 4 term = total 7.200 (harga reguler 2.000/term); masa berlaku harga baru tidak disebut; resource fee 100 &amp; application processing fee 250 (non-refundable); Asumsi bayar awal 1 term - konfirmasi ke sekolah; alamat &amp; CRICOS 03426E/RTO 40835 dari situs resmi acbi.edu.au</t>
  </si>
  <si>
    <t xml:space="preserve">Advanced Diploma of Artificial Intelligence (AI) (11423NAT)</t>
  </si>
  <si>
    <t xml:space="preserve">Sumber: ACBI 2026 Pricelist &amp; Academic Calendar - October 2026 (Onshore &amp; Offshore. International Students). dicek 07/11/2026: "New Price" 1.890/term x 8 term = total 15.120 (harga reguler 2.100/term); masa berlaku harga baru tidak disebut; resource fee 100 &amp; application processing fee 250 (non-refundable); Asumsi bayar awal 1 term - konfirmasi ke sekolah; alamat &amp; CRICOS 03426E/RTO 40835 dari situs resmi acbi.edu.au</t>
  </si>
  <si>
    <t xml:space="preserve">Certificate IV in Social Media and Digital Marketing (11302NAT)</t>
  </si>
  <si>
    <t xml:space="preserve">Diploma of Digital Marketing (11422NAT)</t>
  </si>
  <si>
    <t xml:space="preserve">Advanced Diploma of Digital Marketing (11266NAT)</t>
  </si>
  <si>
    <t xml:space="preserve">Certificate IV in Design (CUA40725)</t>
  </si>
  <si>
    <t xml:space="preserve">Sumber: ACBI 2026 Pricelist &amp; Academic Calendar - October 2026 (Onshore &amp; Offshore. International Students). dicek 07/11/2026: "New Price" 1.710/term x 4 term = total 6.840 (harga reguler 1.900/term); masa berlaku harga baru tidak disebut; resource fee 100 &amp; application processing fee 250 (non-refundable); Asumsi bayar awal 1 term - konfirmasi ke sekolah; alamat &amp; CRICOS 03426E/RTO 40835 dari situs resmi acbi.edu.au; Resource fee 100 (bukan 200): situs resmi acbi.edu.au/student-fees-information dicek 07/11/2026 - Resource Fee 100 dibayar sebelum enrolment; Additional Resource Fee 100 hanya untuk Diploma &amp; Advanced Diploma of Graphic Design</t>
  </si>
  <si>
    <t xml:space="preserve">Diploma of Graphic Design (CUA50725)</t>
  </si>
  <si>
    <t xml:space="preserve">Sumber: ACBI 2026 Pricelist &amp; Academic Calendar - October 2026 (Onshore &amp; Offshore. International Students). dicek 07/11/2026: "New Price" 2.160/term x 6 term = total 12.960 (harga reguler 2.400/term); masa berlaku harga baru tidak disebut; resource fee 200 &amp; application processing fee 250 (non-refundable); Asumsi bayar awal 1 term - konfirmasi ke sekolah; alamat &amp; CRICOS 03426E/RTO 40835 dari situs resmi acbi.edu.au</t>
  </si>
  <si>
    <t xml:space="preserve">Advanced Diploma of Graphic Design (CUA60325)</t>
  </si>
  <si>
    <t xml:space="preserve">Sumber: ACBI 2026 Pricelist &amp; Academic Calendar - October 2026 (Onshore &amp; Offshore. International Students). dicek 07/11/2026: "New Price" 2.160/term x 4 term = total 8.640 (harga reguler 2.400/term); masa berlaku harga baru tidak disebut; resource fee 200 &amp; application processing fee 250 (non-refundable); Asumsi bayar awal 1 term - konfirmasi ke sekolah; alamat &amp; CRICOS 03426E/RTO 40835 dari situs resmi acbi.edu.au</t>
  </si>
  <si>
    <t xml:space="preserve">Certificate IV in Information Technology (ICT40120)</t>
  </si>
  <si>
    <t xml:space="preserve">Diploma of Information Technology (Front End Web Development) (ICT50220)</t>
  </si>
  <si>
    <t xml:space="preserve">Sumber: ACBI 2026 Pricelist &amp; Academic Calendar - October 2026 (Onshore &amp; Offshore. International Students). dicek 07/11/2026: "New Price" 1.800/term x 6 term = total 10.800 (harga reguler 2.000/term); masa berlaku harga baru tidak disebut; resource fee 100 &amp; application processing fee 250 (non-refundable); Asumsi bayar awal 1 term - konfirmasi ke sekolah; alamat &amp; CRICOS 03426E/RTO 40835 dari situs resmi acbi.edu.au; Dicek visual pricelist hal. 1 (07/11/2026): Reg Price 2.000 (dicoret), New Price 1.800, 6 terms, total 10.800 = 6 x 1.800 (konsisten)</t>
  </si>
  <si>
    <t xml:space="preserve">Advanced Diploma of Information Technology (ICT60220)</t>
  </si>
  <si>
    <t xml:space="preserve">Advanced Diploma of Information Technology (Cyber Security) (ICT60220)</t>
  </si>
  <si>
    <t xml:space="preserve">Advanced Diploma of Information Technology (Telecommunications Network Engineering) (ICT60220)</t>
  </si>
  <si>
    <t xml:space="preserve">Australian Harbour International College (AHIC)
Level 1/84 Mary St, Surry Hills NSW 2010, Australia ---------Level 4/114-120 Castlereagh St, Sydney NSW 2000 Australia</t>
  </si>
  <si>
    <t xml:space="preserve">Cert IV in Ageing Support + Dip of Community Service + Adv Dip Of Community Sector Management</t>
  </si>
  <si>
    <t xml:space="preserve">Cert IV + Dip of Accounting</t>
  </si>
  <si>
    <t xml:space="preserve">Cert IV + Dip + Adv of Accounting</t>
  </si>
  <si>
    <t xml:space="preserve">Dip of Leadership &amp; Management</t>
  </si>
  <si>
    <t xml:space="preserve">1.5 year</t>
  </si>
  <si>
    <t xml:space="preserve">Cert III + Dip Early Childhood Education &amp; Care</t>
  </si>
  <si>
    <t xml:space="preserve">Cert IV in Kitchen Management + Dip + Adv of Hospitality Management</t>
  </si>
  <si>
    <t xml:space="preserve">Cert III in Wall and Floor Tiling</t>
  </si>
  <si>
    <t xml:space="preserve">Australian Ideal College (AIC)
Level 7 &amp; 8, 75 King Street, Sydney NSW 2000 Australia</t>
  </si>
  <si>
    <t xml:space="preserve">Australian International College of Skills &amp; Education (AICSE)
Level 2, 269- 273 Bigge St, Liverpool, NSW 2170</t>
  </si>
  <si>
    <t xml:space="preserve">Cert IV in Building &amp; Construction</t>
  </si>
  <si>
    <t xml:space="preserve">Dip of Project Management + Adv Dip in program Management</t>
  </si>
  <si>
    <t xml:space="preserve">Cert III + Dip of Early Childhood Education &amp; Care</t>
  </si>
  <si>
    <t xml:space="preserve">Cert III in Individual Support + Cert IV in Ageing Support</t>
  </si>
  <si>
    <t xml:space="preserve">Cert III in Individual Support + Cert IV in Ageing Support + Dip of Community Services</t>
  </si>
  <si>
    <t xml:space="preserve">Australian Skills Management Institute (ASMI)
Level 2, 222 Pitt Street, Sydney, NSW, 2000</t>
  </si>
  <si>
    <t xml:space="preserve">Cert IV + Dip Early Childhood Education and Care</t>
  </si>
  <si>
    <t xml:space="preserve">Australian Workplace Skills Institute (AWS)
Level 6, 140 Elizabeth Street, Sydney NSW 2000</t>
  </si>
  <si>
    <t xml:space="preserve">Dip + Adv. Dip of Leadership &amp; Management</t>
  </si>
  <si>
    <t xml:space="preserve">CEK: Status RTO: registrasi berakhir 15 Jun 2025, perpanjangan sedang dinilai (sumber pihak ketiga) - cek training.gov.au sebelum mendaftarkan siswa.; Asumsi bayar awal 2 term (nilai pricelist lama; kebijakan resmi AWS V2.0: fee sesuai Letter of Offer sebelum CoE, jumlah term tidak disebut) - konfirmasi ke sekolah; Harga belum dicek ke sumber resmi</t>
  </si>
  <si>
    <t xml:space="preserve">Dip + Adv. Dip of Information Technology</t>
  </si>
  <si>
    <t xml:space="preserve">3.5 years</t>
  </si>
  <si>
    <t xml:space="preserve">CEK: Status RTO: registrasi berakhir 15 Jun 2025, perpanjangan sedang dinilai (sumber pihak ketiga) - cek training.gov.au sebelum mendaftarkan siswa [berlaku untuk semua program terkait; asal Offshore - Sydney r331]; Asumsi bayar awal 2 term (nilai pricelist lama; kebijakan resmi AWS V2.0: fee sesuai Letter of Offer sebelum CoE, jumlah term tidak disebut) - konfirmasi ke sekolah; Harga belum dicek ke sumber resmi</t>
  </si>
  <si>
    <t xml:space="preserve">Berkeley Business Institute (BBI)
SUITE 1, L1, 338 Pitt St, Sydney</t>
  </si>
  <si>
    <t xml:space="preserve">CEK: Alamat 338 Pitt St terdaftar untuk Le Rosey; Berkeley/York resmi di 70-72 Bathurst St - konfirmasi kampus. | Alamat resmi Berkeley: Level 3-5, 72 Bathurst St, Sydney - konfirmasi.; Sumber bayar awal: Berkeley Student Pre-enrolment Information V7.0 &amp; Handbook V13.0 (Jan 2026) - "first term's fee plus all other fees" sebelum eCoE; dicek 30/10/2026; Harga belum dicek ke sumber resmi; Info sekolah: Grup: Wellington</t>
  </si>
  <si>
    <t xml:space="preserve">CEK: Alamat 338 Pitt St terdaftar untuk Le Rosey [berlaku untuk semua program terkait; asal Offshore - Sydney r333]; Sumber bayar awal: Berkeley Student Pre-enrolment Information V7.0 &amp; Handbook V13.0 (Jan 2026) - "first term's fee plus all other fees" sebelum eCoE; dicek 30/10/2026; Harga belum dicek ke sumber resmi; Info sekolah: Grup: Wellington</t>
  </si>
  <si>
    <t xml:space="preserve">Cert III + Dip of Marketing &amp; Communication</t>
  </si>
  <si>
    <t xml:space="preserve">Cert IV + Dip + Adv Dip of Marketing &amp; Communication</t>
  </si>
  <si>
    <t xml:space="preserve">Cert III + Dip of Leadership &amp; Communication</t>
  </si>
  <si>
    <t xml:space="preserve">Cert III + Dip + Adv Dip of Leadership &amp; Communication</t>
  </si>
  <si>
    <t xml:space="preserve">Cert III in Early Childhood Education &amp; Care</t>
  </si>
  <si>
    <t xml:space="preserve">Cert III + Dip of School Age Education &amp; Care</t>
  </si>
  <si>
    <t xml:space="preserve">Canterbury Institute of Management (CIM)
DARLINGHURST - 63 Oxford Street REDFERN - 21 Regent Street</t>
  </si>
  <si>
    <t xml:space="preserve">CEK: Bachelor of Business berstatus 'Pending Renewal' di register TEQSA - cek sebelum mendaftarkan siswa.; Material/enrolment belum tercatat (material; dihitung 0 di Estimasi Initial Payment); Harga sesuai sumber resmi; Cara hitung tuition/periode: Resmi per periode; Sumber: https://ciom.edu.au/future-students-international/ ; https://ciom.edu.au/wp-content/uploads/2026/05/CIM_Brochure_A4_v03_18-December_International_Web-2.pdf, dicek 29/10/2026; Kode internal: AIG</t>
  </si>
  <si>
    <t xml:space="preserve">CEK: Bachelor of Business berstatus 'Pending Renewal' di register TEQSA (berlaku untuk semua major) - pastikan CoE masih bisa diterbitkan sebelum ditawarkan.; Material/enrolment belum tercatat (material; dihitung 0 di Estimasi Initial Payment); Harga sesuai sumber resmi; Cara hitung tuition/periode: Resmi per periode; Sumber: https://ciom.edu.au/future-students-international/ ; https://ciom.edu.au/wp-content/uploads/2026/05/CIM_Brochure_A4_v03_18-December_International_Web-2.pdf, dicek 29/10/2026; Kode internal: AIG</t>
  </si>
  <si>
    <t xml:space="preserve">Capstone Institute of Australia (CIA)
Level 5, 565 George St., Sydney, NSW 2000</t>
  </si>
  <si>
    <t xml:space="preserve">Cert IV in Kitchen Management + Dip of Hospitality Management ($1700/term di level Dip &amp; Adv Dip)</t>
  </si>
  <si>
    <t xml:space="preserve">Tuition beda per level, lihat keterangan di kolom Program; Enrolment $200 sekali; materials fee per kursus (Cert IV $1.700, Dip $100, Adv Dip $200); initial payment CoE tidak disebut dokumen; Harga diperbarui dari sumber resmi; Cara hitung tuition/periode: Resmi per periode; Sumber: Capstone 2026 -2027 Offshore price list.pdf hal. 1 (Promotion 2026-2027, "valid until 31 March 2027", intake 2 Nov 2026 - 12 Jul 2027), dicek 29/10/2026</t>
  </si>
  <si>
    <t xml:space="preserve">Cert IV in Kitchen Management + Dip + Adv Dip of Hospitality Management ($1700/term di level Dip &amp; Adv Dip)</t>
  </si>
  <si>
    <t xml:space="preserve">Cert IV + Dip. Of Marketing and Communication ($1400/term di level Dip)</t>
  </si>
  <si>
    <t xml:space="preserve">CEK: konfirmasi harga ke sekolah (harga beda dengan sumber resmi); Tuition beda per level, lihat keterangan di kolom Program; CEK: Marketing &amp; Communication hanya untuk siswa ONSHORE menurut price list offshore 2026-2027 hal. 1 - jangan ditawarkan offshore sebelum ada konfirmasi sekolah; Sumber: Capstone 2026 -2027 Offshore price list.pdf hal. 1 (Promotion 2026-2027, "valid until 31 March 2027", intake 2 Nov 2026 - 12 Jul 2027), dicek 29/10/2026</t>
  </si>
  <si>
    <t xml:space="preserve">Cert IV + Dip + Adv. Dip Of Marketing and Communication ($1400/term di level Dip+Adv)</t>
  </si>
  <si>
    <t xml:space="preserve">Cert III + Dip in Early Childhood Education &amp; Care</t>
  </si>
  <si>
    <t xml:space="preserve">Materials $600 per kursus (Cert III &amp; Dip masing-masing); initial payment CoE tidak disebut dokumen; Harga diperbarui dari sumber resmi; Cara hitung tuition/periode: Resmi per periode; Sumber: Capstone 2026 -2027 Offshore price list.pdf hal. 1 (Promotion 2026-2027, "valid until 31 March 2027", intake 2 Nov 2026 - 12 Jul 2027), dicek 29/10/2026</t>
  </si>
  <si>
    <t xml:space="preserve">Charles Darwin University (CDU)
Levels 8–11, 815 George Street, Haymarket NSW 2000, Australia</t>
  </si>
  <si>
    <t xml:space="preserve">Master of Information Technology (IT) (AI)</t>
  </si>
  <si>
    <t xml:space="preserve">Master of Information Technology (IT) (Information Systems)</t>
  </si>
  <si>
    <t xml:space="preserve">Master of Information Technology (IT) (Software Engineering)</t>
  </si>
  <si>
    <t xml:space="preserve">Charles Sturt University (CSU)
United Theological College: 16 Masons Drive, North Parramatta NSW 2151</t>
  </si>
  <si>
    <t xml:space="preserve">CIHE Australia
------116 Pacific Hwy, North Sydney NSW 2060 (Head Office) ------Level 5, 213 Miller St, North Sydney NSW 2060 ------2 Woodville St, Hurstville NSW 2220 Level 11, 307 Pitt St, Sydney NSW 2000</t>
  </si>
  <si>
    <t xml:space="preserve">CEK: Lebih murah dari harga publik (~5,500/periode): pastikan ini harga agen/promo yang berlaku. Dicocokkan dicek 30/10/2026: selisih 30.0% - beasiswa internasional resmi CIHE hanya Dean's List 10/15% mulai semester 2 (bukan harga awal); skema 20-30% untuk domestik; tetap perlu dokumen agen/promo bertanggal; Harga agen: dokumen price list agen belum dilampirkan; Lebih murah dari harga publik - kemungkinan harga agen/promo (tidak diubah); Cara hitung tuition/periode: Hitung: total/tahunan ÷ N; Sumber: https://www.cihe.edu.au/wp-content/uploads/2026/08/2026_International_Course_Fees_v1.1.pdf, dicek 29/10/2026; Info sekolah: dahulu Crown Institute of Higher Education</t>
  </si>
  <si>
    <t xml:space="preserve">CEK: Lebih murah dari harga publik (~4,500/periode): pastikan ini harga agen/promo yang berlaku. Dicocokkan dicek 30/10/2026: selisih 25.0% - beasiswa internasional resmi CIHE hanya Dean's List 10/15% mulai semester 2 (bukan harga awal); skema 20-30% untuk domestik; tetap perlu dokumen agen/promo bertanggal; Harga agen: dokumen price list agen belum dilampirkan; Lebih murah dari harga publik - kemungkinan harga agen/promo (tidak diubah); Cara hitung tuition/periode: Hitung: total/tahunan ÷ N; Sumber: https://www.cihe.edu.au/wp-content/uploads/2026/08/2026_International_Course_Fees_v1.1.pdf, dicek 29/10/2026; Info sekolah: dahulu Crown Institute of Higher Education</t>
  </si>
  <si>
    <t xml:space="preserve">CEK: Lebih murah dari harga publik (~6,000/periode): pastikan ini harga agen/promo yang berlaku. Dicocokkan dicek 30/10/2026: selisih 31.2% - beasiswa internasional resmi CIHE hanya Dean's List 10/15% mulai semester 2 (bukan harga awal); skema 20-30% untuk domestik; tetap perlu dokumen agen/promo bertanggal; Harga agen: dokumen price list agen belum dilampirkan; Lebih murah dari harga publik - kemungkinan harga agen/promo (tidak diubah); Cara hitung tuition/periode: Hitung: total/tahunan ÷ N; Sumber: https://www.cihe.edu.au/wp-content/uploads/2026/08/2026_International_Course_Fees_v1.1.pdf, dicek 29/10/2026; Info sekolah: dahulu Crown Institute of Higher Education</t>
  </si>
  <si>
    <t xml:space="preserve">CEK: Lebih murah dari harga publik (~5,500/periode): pastikan ini harga agen/promo yang berlaku. Dicocokkan dicek 30/10/2026: selisih 25.0% - beasiswa internasional resmi CIHE hanya Dean's List 10/15% mulai semester 2 (bukan harga awal); skema 20-30% untuk domestik; tetap perlu dokumen agen/promo bertanggal; Harga agen: dokumen price list agen belum dilampirkan; Lebih murah dari harga publik - kemungkinan harga agen/promo (tidak diubah); Cara hitung tuition/periode: Hitung: total/tahunan ÷ N; Sumber: https://www.cihe.edu.au/wp-content/uploads/2026/08/2026_International_Course_Fees_v1.1.pdf, dicek 29/10/2026; Info sekolah: dahulu Crown Institute of Higher Education</t>
  </si>
  <si>
    <t xml:space="preserve">Collins Institute of Australia
Level 6, 127 Liverpool Street, Sydney NSW 2000, AUSTRALIA</t>
  </si>
  <si>
    <t xml:space="preserve">Cert VI + Dip of Leadership Management</t>
  </si>
  <si>
    <t xml:space="preserve">CEK: Lebih murah dari harga publik (~2,125/periode): pastikan ini harga agen/promo yang berlaku. Dicocokkan dicek 30/10/2026: selisih 29.4% - fee schedule resmi Collins tanpa diskon; tetap perlu dokumen agen/promo bertanggal; Harga agen: dokumen price list agen belum dilampirkan; Lebih murah dari harga publik - kemungkinan harga agen/promo (tidak diubah); Cara hitung tuition/periode: Hitung: total/tahunan ÷ N; Sumber: https://collins.edu.au/fees-schedule/, dicek 29/10/2026</t>
  </si>
  <si>
    <t xml:space="preserve">Cert IV + Dip + Adv Dip of Leadership Management</t>
  </si>
  <si>
    <t xml:space="preserve">4.5 years</t>
  </si>
  <si>
    <t xml:space="preserve">Concord Institute
Level 4/187 Thomas Street, Haymarket NSW 2000</t>
  </si>
  <si>
    <t xml:space="preserve">Cert III in Individual Support (Disability Stream) + Dip of Community ($2000/term on Dip level)</t>
  </si>
  <si>
    <t xml:space="preserve">Cert III in Individual Support (Ageing Stream) + Dip of Community ($2000/term on Dip level)</t>
  </si>
  <si>
    <t xml:space="preserve">Cert III in Individual Support (Disability &amp; Ageing Stream) + Dip of Community ($2000/term on Dip level)</t>
  </si>
  <si>
    <t xml:space="preserve">ECA College
Level 2, 160 Sussex St, Sydney, NSW 2000</t>
  </si>
  <si>
    <t xml:space="preserve">Material 0 belum terbukti (dasar nol: Tidak ditagih (sumber belum cocok: flyer berlabel Onshore, baris ini offshore) | flyer GDE: MATERIAL FEES $0 | program: GDE (MEM80112) | intake 2026 | siswa internasional); Harga sesuai sumber resmi; Sumber: https://eca.edu.au/wp-content/uploads/2024/07/GDE-MPMB-Flyer-2.pdf, dicek 29/10/2026; Kode internal: AIG</t>
  </si>
  <si>
    <t xml:space="preserve">Material 0 belum terbukti (dasar nol: Tidak ditagih (sumber belum cocok: tanpa tahun/intake/kampus; kursus pertama paket tidak tercantum atau memakai kode lama) | halaman fees ECA: material "Waived"); Harga belum dicek ke sumber resmi; Kode internal: AIG</t>
  </si>
  <si>
    <t xml:space="preserve">ECA College of Health Sciences (CHS)
Level 4, 1–3 Fitzwilliam Street, Parramatta NSW 2150</t>
  </si>
  <si>
    <t xml:space="preserve">Graduate Certificate in Health Management (Per Trimester or 4 months)</t>
  </si>
  <si>
    <t xml:space="preserve">Graduate Diploma in Health Management (Per Trimester or 4 months)</t>
  </si>
  <si>
    <t xml:space="preserve">Master of Health Management (Per Trimester or 4 months)</t>
  </si>
  <si>
    <t xml:space="preserve">Eton College
Level 6, 191 Thomas Street Haymarket NSW 2000 AUSTRALIA</t>
  </si>
  <si>
    <t xml:space="preserve">Asumsi bayar awal 2 term (nilai pricelist lama; situs resmi Eton: fee dibayar sesuai tanggal di offer letter/invoice; jumlah term tidak disebut) - konfirmasi ke sekolah; Material ditagih per term (situs resmi: material fee VET AUD 50/term, dicek 30/10/2026) - Initial Payment menghitung material x Bayar di Awal; Harga belum dicek ke sumber resmi</t>
  </si>
  <si>
    <t xml:space="preserve">Cert IV + Dip + Adv Dip. of Program Management</t>
  </si>
  <si>
    <t xml:space="preserve">Evolution Hospitality Institute
Level 1-4, 552 George Street Sydney NSW 2000 Australia</t>
  </si>
  <si>
    <t xml:space="preserve">Cert IV in Kitchen Management ($2550/term mulai dari term 6)</t>
  </si>
  <si>
    <t xml:space="preserve">Tuition beda per level, lihat keterangan di kolom Program; CEK: Sebagian sesuai sumber resmi: Price list resmi EHI (Version 2025.2) memberi fee per kursus/paket, bukan per term, dan tidak menyebut jumlah term -&gt; tuition per term tidak bisa dikonversi. Re; Tuition total/tahunan belum terbukti cocok dengan sumber resmi; Harga sebagian sesuai sumber resmi; Sumber: https://evolution.edu.au/images/EHI-Price-List.pdf, dicek 29/10/2026</t>
  </si>
  <si>
    <t xml:space="preserve">Cert IV in Kitchen Management + Dip of Hospitality Management ($2550 mulai dari term 6)</t>
  </si>
  <si>
    <t xml:space="preserve">Cert IV in Kitchen Management + Dip + Adv Dip of Hospitality Management ($2550 mulai dari term 6)</t>
  </si>
  <si>
    <t xml:space="preserve">Cert IV in Patisserie ($2550 mulai dari term 7)</t>
  </si>
  <si>
    <t xml:space="preserve">Cert IV in Patisserie + Dip of Hospitality Management ($2550 mulai dari term 7)</t>
  </si>
  <si>
    <t xml:space="preserve">Cert IV in Patisserie+ Dip + Adv Dip of Hospitality Management ($2550 mulai dari term 7)</t>
  </si>
  <si>
    <t xml:space="preserve">Cert IV in Asian Cookery ($2550 mulai dari term 7)</t>
  </si>
  <si>
    <t xml:space="preserve">Cert IV in Asian Cookery + Dip of Hospitality Management ($2550 mulai dari term 7)</t>
  </si>
  <si>
    <t xml:space="preserve">Cert IV in Asian Cookery + Dip + Adv Dip of Hospitality Management ($2550 mulai dari term 7)</t>
  </si>
  <si>
    <t xml:space="preserve">Diploma of Event Management + Adv. Diploma of Event Management</t>
  </si>
  <si>
    <t xml:space="preserve">Cert IV in Hospitality Managament (Hotel)</t>
  </si>
  <si>
    <t xml:space="preserve">CEK: Sebagian sesuai sumber resmi: Price list resmi EHI (Version 2025.2) memberi fee per kursus/paket, bukan per term, dan tidak menyebut jumlah term -&gt; tuition per term tidak bisa dikonversi. Re; Tuition total/tahunan belum terbukti cocok dengan sumber resmi; Harga sebagian sesuai sumber resmi; Sumber: https://evolution.edu.au/images/EHI-Price-List.pdf, dicek 29/10/2026</t>
  </si>
  <si>
    <t xml:space="preserve">Cert IV + Dip of Hospitality Managament (Hotel)</t>
  </si>
  <si>
    <t xml:space="preserve">Cert IV + Dip + Adv Dip of Hospitality Managament (Hotel)</t>
  </si>
  <si>
    <t xml:space="preserve">Cert IV in Travel and Tourism</t>
  </si>
  <si>
    <t xml:space="preserve">Cert IV + Dip of Travel and Tourism Management</t>
  </si>
  <si>
    <t xml:space="preserve">Cert IV + Dip + Adv Dip of Travel and Tourism Management</t>
  </si>
  <si>
    <t xml:space="preserve">George Brown College
Level 5/191 Thomas St, Haymarket NSW 2000</t>
  </si>
  <si>
    <t xml:space="preserve">Cert IV + Dip of Leadership &amp; Management</t>
  </si>
  <si>
    <t xml:space="preserve">Cert IV + Dip + Advanced Dip of Leadership &amp; Management</t>
  </si>
  <si>
    <t xml:space="preserve">Cert IV in Leadership &amp; Management + Dip of Project &amp; Management</t>
  </si>
  <si>
    <t xml:space="preserve">Cert IV + Dip of Human Resource</t>
  </si>
  <si>
    <t xml:space="preserve">Cert IV + Dip + Adv Dip of Human Resource</t>
  </si>
  <si>
    <t xml:space="preserve">Cert III in Nail Technology + Dip of Beauty Therapy</t>
  </si>
  <si>
    <t xml:space="preserve">Cert IV in Ageing Support + Dip of Community Service ($1900/term in Dip)</t>
  </si>
  <si>
    <t xml:space="preserve">Cert III in Light Vehicle Mechanical Technology + Cert IV in Automotive Mechanical Diagnosi</t>
  </si>
  <si>
    <t xml:space="preserve">Cert III in Light Vehicle Mechanical Technology + Cert IV in Automotive Mechanical Diagnosis + Dip of Automotive Management</t>
  </si>
  <si>
    <t xml:space="preserve">Cert III in Commercial Cookery + Cert IV in Kitchen Management Material fee tidak termasuk toolkit (Perlengkapan Chef) ($1750 in Dip + Adv Dip)</t>
  </si>
  <si>
    <t xml:space="preserve">Cert III in Commercial Cookery + Cert IV in Kitchen Management + Dip of Hospitality Management Material fee tidak termasuk toolkit (Perlengkapan Chef) ($1750 in Dip + Adv Dip)</t>
  </si>
  <si>
    <t xml:space="preserve">Cert III in Carpentry + Dip of Building and Construction</t>
  </si>
  <si>
    <t xml:space="preserve">Cert III in Painting and Decorating + Dip of Building and Construction</t>
  </si>
  <si>
    <t xml:space="preserve">Cert III in Wall and Floor Tiling + Dip of Building and Construction</t>
  </si>
  <si>
    <t xml:space="preserve">Greenwich College
2/396 Pitt St, Sydney NSW 2000, Australia</t>
  </si>
  <si>
    <t xml:space="preserve">Cert IV + Diploma Of Business (Digital Transformation) + Adv Dip of leadership &amp; Management (8 terms tearkhir $1330/term)</t>
  </si>
  <si>
    <t xml:space="preserve">Cert IV + Dip + Adv. Dip Of Leadership &amp; Management (8 terms tearkhir $1330/term)</t>
  </si>
  <si>
    <t xml:space="preserve">Cert IV + Dip of Project &amp; Management + Adv Dip Of Program Management (8 terms tearkhir $1330/term)</t>
  </si>
  <si>
    <t xml:space="preserve">Cert IV + Dip of Marketing &amp; Communication + Adv Dip of Marketing Automation (8 terms tearkhir $1330/term)</t>
  </si>
  <si>
    <t xml:space="preserve">Dip Of E-Commerce + Adv Dip of IT (11 terms tearkhir $1330/term)</t>
  </si>
  <si>
    <t xml:space="preserve">Tuition beda per level, lihat keterangan di kolom Program;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52 + 104 = 156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Adv Dip IT 240 = sisa AUD 240 (kecuali ada waiver di offer letter); Harga sesuai sumber resmi; Cara hitung tuition/periode: Resmi per periode; Sumber: Pricelist Greenwich_VET_Q4_Master_Pricing_Document_Oct26v3.pdf hal. 4 &amp; 8 (VET Pricing Q4 2026 v9, "Correct as of 30.09.26", aplikasi diterima s.d. 31.12.2026, "intakes starting in 2026 onwards"), dicek 29/10/2026</t>
  </si>
  <si>
    <t xml:space="preserve">[UTAMA] baris 464 ditandai DUPLIKAT (nonaktif); Tuition beda per level, lihat keterangan di kolom Program;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Harga sesuai sumber resmi; Cara hitung tuition/periode: Resmi per periode; Sumber: Pricelist Greenwich_VET_Q4_Master_Pricing_Document_Oct26v3.pdf hal. 4 &amp; 8 (VET Pricing Q4 2026 v9, "Correct as of 30.09.26", aplikasi diterima s.d. 31.12.2026, "intakes starting in 2026 onwards"), dicek 29/10/2026</t>
  </si>
  <si>
    <t xml:space="preserve">Cert IV in Kitchen Management + Dip Of Hospitality Management (Cert IV 10 term x $1.850, Dip 3 term x $1.650)</t>
  </si>
  <si>
    <t xml:space="preserve">Cert IV in Kitchen Management + Dip + Adv. Dip of Hospitality Management (Cert IV 10 term x $1.850, Dip 3 term x $1.650, Adv Dip 4 term x $1.650)</t>
  </si>
  <si>
    <t xml:space="preserve">Cert III in Individual Support (Ageing &amp; Disability) + Cert IV in Ageing Support + Dip Of Community Service (9 terms tearkhir $1750/term)</t>
  </si>
  <si>
    <t xml:space="preserve">[B]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48 + 56 = 104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Dip ECEC 500 = sisa AUD 500 (kecuali ada waiver di offer letter); Harga diperbarui dari sumber resmi; Cara hitung tuition/periode: Resmi per periode; Sumber: Pricelist Greenwich_VET_Q4_Master_Pricing_Document_Oct26v3.pdf hal. 14 &amp; 8 (VET Pricing Q4 2026 v9, "Correct as of 30.09.26", aplikasi diterima s.d. 31.12.2026, "intakes starting in 2026 onwards"), dicek 29/10/2026</t>
  </si>
  <si>
    <t xml:space="preserve">CEK: duplikat dari baris 457 (kemungkinan salah input); Tuition beda per level, lihat keterangan di kolom Program;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Harga sesuai sumber resmi; Cara hitung tuition/periode: Resmi per periode; Sumber: Pricelist Greenwich_VET_Q4_Master_Pricing_Document_Oct26v3.pdf hal. 4 &amp; 8 (VET Pricing Q4 2026 v9, "Correct as of 30.09.26", aplikasi diterima s.d. 31.12.2026, "intakes starting in 2026 onwards"), dicek 29/10/2026</t>
  </si>
  <si>
    <t xml:space="preserve">Greenwich Higher Education (Academy of Interactive Technology Pty Ltd)
Level 2, 7 Kelly St, Ultimo NSW 2007</t>
  </si>
  <si>
    <t xml:space="preserve">Bachelor of Information Technology (CRICOS 119223H)</t>
  </si>
  <si>
    <t xml:space="preserve">Sumber: Greenwich Higher Education 2027 Pricing List (v4 Q4, updated 19/10/2026), dicek 07/11/2026: tuition 23.000/tahun (8 unit), beasiswa akademik 30% = 16.100/tahun = 2.012,50/unit; total 48.300 (3 tahun, 24 unit); material 200, enrolment 260; Tuition/Periode = per unit 2.012,50 (16.100/8 unit; 8 unit/tahun, peringkat tahunan = 16.100; tagihan resmi per unit sesuai offer letter); PROMO s.d. 13/09/2027 (beasiswa 30% untuk intake 1 Feb, 24 Mei, 13 Sep 2027; intake setelahnya 25%; syarat: full-time, lulus tiap trimester, tidak digabung promo lain) - sumber: Greenwich Higher Education 2027 Pricing List (v4 Q4, updated 19/10/2026); Bayar di Awal 3 unit = trimester pertama sesuai pricing list: 3 unit x 2.012,50 = 6.037,50 (+ enrolment 260 + material 200 = 6.497,50); pricing list: deposit offshore 3 unit hanya untuk pasar Assessment Level 1 &amp; sebagian Level 2 - kelayakan Indonesia belum dikonfirmasi, konfirmasi ke sekolah; provider: Academy of Interactive Technology Pty Ltd (CRICOS 02155J), lokasi resmi Sydney &amp; Melbourne</t>
  </si>
  <si>
    <t xml:space="preserve">Bachelor of Game Design (CRICOS 109411J)</t>
  </si>
  <si>
    <t xml:space="preserve">Bachelor of 3D Animation (CRICOS 109418B)</t>
  </si>
  <si>
    <t xml:space="preserve">Bachelor of 2D Animation (CRICOS 109414F)</t>
  </si>
  <si>
    <t xml:space="preserve">Harbourside Institute of Australia (HIA)
Level 3 616-620 Harris Street, Ultimo NSW 2007, Australia</t>
  </si>
  <si>
    <t xml:space="preserve">CEK: Lebih murah dari harga publik (~2,750/periode): pastikan ini harga agen/promo yang berlaku. Dicocokkan dicek 30/10/2026: selisih 36.4% - halaman fee resmi HIA tidak memuat beasiswa/diskon; tetap perlu dokumen agen/promo bertanggal; Harga agen: dokumen price list agen belum dilampirkan; Lebih murah dari harga publik - kemungkinan harga agen/promo (tidak diubah); Cara hitung tuition/periode: Hitung: total/tahunan ÷ N; Sumber: https://harbourside.nsw.edu.au/enrollment/, dicek 29/10/2026</t>
  </si>
  <si>
    <t xml:space="preserve">Cert IV + Dip of Business + Adv. Dip of Business</t>
  </si>
  <si>
    <t xml:space="preserve">CEK: Lebih murah dari harga publik (~2,000/periode): pastikan ini harga agen/promo yang berlaku. Dicocokkan dicek 30/10/2026: selisih 12.5% - halaman fee resmi HIA tidak memuat beasiswa/diskon; tetap perlu dokumen agen/promo bertanggal; Harga agen: dokumen price list agen belum dilampirkan; Lebih murah dari harga publik - kemungkinan harga agen/promo (tidak diubah); Cara hitung tuition/periode: Hitung: total/tahunan ÷ N; Sumber: https://harbourside.nsw.edu.au/enrollment/, dicek 29/10/2026</t>
  </si>
  <si>
    <t xml:space="preserve">Cert IV + Dip + Adv. Dip of Marketing &amp; Communication</t>
  </si>
  <si>
    <t xml:space="preserve">Dip Project Management + Adv. Dip Program Management</t>
  </si>
  <si>
    <t xml:space="preserve">CEK: Lebih murah dari harga publik (~4,000/periode): pastikan ini harga agen/promo yang berlaku. Dicocokkan dicek 30/10/2026: selisih 50.0% - halaman fee resmi HIA tidak memuat beasiswa/diskon; tetap perlu dokumen agen/promo bertanggal; Harga agen: dokumen price list agen belum dilampirkan; Lebih murah dari harga publik - kemungkinan harga agen/promo (tidak diubah); Cara hitung tuition/periode: Hitung: total/tahunan ÷ N; Sumber: https://harbourside.nsw.edu.au/enrollment/, dicek 29/10/2026</t>
  </si>
  <si>
    <t xml:space="preserve">CEK: Lebih murah dari harga publik (~4,000/periode): pastikan ini harga agen/promo yang berlaku. Dicocokkan dicek 30/10/2026: selisih 43.8% - halaman fee resmi HIA tidak memuat beasiswa/diskon; tetap perlu dokumen agen/promo bertanggal; Harga agen: dokumen price list agen belum dilampirkan; Lebih murah dari harga publik - kemungkinan harga agen/promo (tidak diubah); Cara hitung tuition/periode: Hitung: total/tahunan ÷ N; Sumber: https://harbourside.nsw.edu.au/enrollment/, dicek 29/10/2026</t>
  </si>
  <si>
    <t xml:space="preserve">CEK: Lebih murah dari harga publik (~3,000/periode): pastikan ini harga agen/promo yang berlaku. Dicocokkan dicek 30/10/2026: selisih 25.0% - halaman fee resmi HIA tidak memuat beasiswa/diskon; tetap perlu dokumen agen/promo bertanggal; Harga agen: dokumen price list agen belum dilampirkan; Lebih murah dari harga publik - kemungkinan harga agen/promo (tidak diubah); Cara hitung tuition/periode: Hitung: total/tahunan ÷ N; Sumber: https://harbourside.nsw.edu.au/enrollment/, dicek 29/10/2026</t>
  </si>
  <si>
    <t xml:space="preserve">Cert III in Individual Support + Cert IV in Ageing Support + Dip of Community Service</t>
  </si>
  <si>
    <t xml:space="preserve">Hospitality Training Academy (HTA)
Level 6, 16-18 Wentworth St, Parramatta 2150, NSW, Australia</t>
  </si>
  <si>
    <t xml:space="preserve">Cert IV in Kitchen Management + Dip + Dip Of Hospitality Management (tuition fee bayar tiap bulan $1000/term sampai lunas)</t>
  </si>
  <si>
    <t xml:space="preserve">Hunter Education Group
27 Centenary Road, Newcastle, NSW 2300</t>
  </si>
  <si>
    <t xml:space="preserve">Bachelor of Tourism, Hospitality &amp; Events</t>
  </si>
  <si>
    <t xml:space="preserve">CEK: kampus Sydney tidak tercantum di register Study Australia untuk provider ini (dicek 04/11/2026) - konfirmasi kampus/entitas; CEK: identitas provider - register: Hunter Education Group Pty Ltd (CRICOS 04215H, RTO swasta Newcastle), bukan University of Newcastle; label perlu dikoreksi (dicek 30/10/2026); Material/enrolment belum tercatat (material+enrolment; dihitung 0 di Estimasi Initial Payment); Harga agen: dokumen price list agen belum dilampirkan; Lebih murah dari harga publik - kemungkinan harga agen/promo (tidak diubah); Info sekolah: bukan University of Newcastle</t>
  </si>
  <si>
    <t xml:space="preserve">Cert IV in Entrepreneurship &amp; New Business + Dip of Business</t>
  </si>
  <si>
    <t xml:space="preserve">CEK: kampus Sydney tidak tercantum di register Study Australia untuk provider ini (dicek 04/11/2026) - konfirmasi kampus/entitas; CEK: identitas provider - register: Hunter Education Group Pty Ltd (CRICOS 04215H, RTO swasta Newcastle), bukan University of Newcastle; label perlu dikoreksi (dicek 30/10/2026); Material/enrolment belum tercatat (enrolment; dihitung 0 di Estimasi Initial Payment); Tuition total/tahunan belum terbukti cocok dengan sumber resmi; Harga sebagian sesuai sumber resmi; Cara hitung tuition/periode: Hitung: total/tahunan ÷ N; Info sekolah: bukan University of Newcastle</t>
  </si>
  <si>
    <t xml:space="preserve">Cert IV in Entrepreneurship &amp; New Business + Dip + Adv Dip of Business</t>
  </si>
  <si>
    <t xml:space="preserve">CEK: kampus Sydney tidak tercantum di register Study Australia untuk provider ini (dicek 04/11/2026) - konfirmasi kampus/entitas; CEK: konfirmasi harga ke sekolah (harga beda dengan sumber resmi); CEK: identitas provider - register: Hunter Education Group Pty Ltd (CRICOS 04215H, RTO swasta Newcastle), bukan University of Newcastle; label perlu dikoreksi (dicek 30/10/2026); CEK: resmi 9.000+18.000+13.000 = 40.000 vs file 4.500 x 10 term = 45.000 (+12,5%) - konfirmasi harga &amp; susunan paket ke Hunter.; Material/enrolment belum tercatat (enrolment; dihitung 0 di Estimasi Initial Payment); Info sekolah: bukan University of Newcastle</t>
  </si>
  <si>
    <t xml:space="preserve">Dip of Hospitality Management</t>
  </si>
  <si>
    <t xml:space="preserve">CEK: kampus Sydney tidak tercantum di register Study Australia untuk provider ini (dicek 04/11/2026) - konfirmasi kampus/entitas; CEK: konfirmasi harga ke sekolah (harga beda dengan sumber resmi); CEK: identitas provider - register: Hunter Education Group Pty Ltd (CRICOS 04215H, RTO swasta Newcastle), bukan University of Newcastle; label perlu dikoreksi (dicek 30/10/2026); CEK: resmi 18.000 total / 62 mgg (±15 bulan) vs file 4.500 x 18 bulan = 27.000 (+50%) - konfirmasi harga &amp; susunan paket ke Hunter.; Material/enrolment belum tercatat (enrolment; dihitung 0 di Estimasi Initial Payment); Info sekolah: bukan University of Newcastle</t>
  </si>
  <si>
    <t xml:space="preserve">CEK: kampus Sydney tidak tercantum di register Study Australia untuk provider ini (dicek 04/11/2026) - konfirmasi kampus/entitas; CEK: konfirmasi harga ke sekolah (harga beda dengan sumber resmi); CEK: identitas provider - register: Hunter Education Group Pty Ltd (CRICOS 04215H, RTO swasta Newcastle), bukan University of Newcastle; label perlu dikoreksi (dicek 30/10/2026); CEK: resmi Adv Dip 29.000/104 mgg (Dip 18.000) - susunan paket &amp; total tidak cocok dgn file 45.000 - konfirmasi harga &amp; susunan paket ke Hunter.; Material/enrolment belum tercatat (enrolment; dihitung 0 di Estimasi Initial Payment); Info sekolah: bukan University of Newcastle</t>
  </si>
  <si>
    <t xml:space="preserve">Dip of Travel and Tourism Management</t>
  </si>
  <si>
    <t xml:space="preserve">CEK: kampus Sydney tidak tercantum di register Study Australia untuk provider ini (dicek 04/11/2026) - konfirmasi kampus/entitas; CEK: konfirmasi harga ke sekolah (harga beda dengan sumber resmi); CEK: identitas provider - register: Hunter Education Group Pty Ltd (CRICOS 04215H, RTO swasta Newcastle), bukan University of Newcastle; label perlu dikoreksi (dicek 30/10/2026); CEK: resmi 16.000/52 mgg = 4.000/term (hasil hitung) vs file 4.500 (+12,5%) - konfirmasi harga &amp; susunan paket ke Hunter.; Material/enrolment belum tercatat (enrolment; dihitung 0 di Estimasi Initial Payment); Info sekolah: bukan University of Newcastle</t>
  </si>
  <si>
    <t xml:space="preserve">Imperial Institute of Sydney (IIS)
Campus 1 (Main): Suite 302, Level 3 20 Macquarie Street Parramatta, NSW, Australia 2150 -------Campus 2 9City): Level 1, 175 Liverpool Street Sydney NSW 2000-------- Campus 3 (Regional): Level 3, 325 Crown St, Wollongong, NSW, Australia 2500</t>
  </si>
  <si>
    <t xml:space="preserve">International Institute of Business and Technology (IIBT)
L5, 8 Quay Street, Haymarket, NSW 2000</t>
  </si>
  <si>
    <t xml:space="preserve">INUS / ZOI (Nuture Education Group)
level 1, 341-345 Queen street, Melbourne, VIC 3000, Australia</t>
  </si>
  <si>
    <t xml:space="preserve">Cert III + Dip. Of Early Childhood and Care</t>
  </si>
  <si>
    <t xml:space="preserve">CEK: Alamat 341-345 Queen St tidak cocok dengan INUS (85 Queen St) maupun ZOI - konfirmasi penyelenggara.; Harga belum dicek ke sumber resmi</t>
  </si>
  <si>
    <t xml:space="preserve">Ad. Dip. Of Information Technology (IT) (Telecommunications Network Engineer)</t>
  </si>
  <si>
    <t xml:space="preserve">CEK: Alamat 341-345 Queen St tidak cocok dengan INUS (85 Queen St) maupun ZOI - konfirmasi penyelenggara [berlaku untuk semua program terkait; asal Offshore - Sydney r687]; Harga belum dicek ke sumber resmi</t>
  </si>
  <si>
    <t xml:space="preserve">Dip + Ad. Dip. Of Leadership &amp; Management</t>
  </si>
  <si>
    <t xml:space="preserve">Kaplan Business School
Level 8, 540 George Street -------- Level 1, 55 Elizabeth Street Sydney NSW 2000</t>
  </si>
  <si>
    <t xml:space="preserve">Bachelor of Business(Per Trimester or 4 months)</t>
  </si>
  <si>
    <t xml:space="preserve">Graduate Certificate in Information Technology (IT) (Per Trimester or 4 months)</t>
  </si>
  <si>
    <t xml:space="preserve">Graduate Diploma of Information Technology (IT) (Per Trimester or 4 months)</t>
  </si>
  <si>
    <t xml:space="preserve">Master of Information Technology (IT) (Extension) (Per Trimester or 4 months)</t>
  </si>
  <si>
    <t xml:space="preserve">Kent Institute Australia
Level 11, 10 Barrack Street, Sydney NSW 2000, Australia</t>
  </si>
  <si>
    <t xml:space="preserve">Bachelor of Business (Accounting) (CRICOS 074600G)</t>
  </si>
  <si>
    <t xml:space="preserve">CEK: harga Offshore dan kelayakan promo siswa Indonesia belum terkonfirmasi. Tuition = fee publik internasional resmi 2025: 2.060/unit x 4 unit = 8.240/trimester (total 49.440. 6 trimester) - sumber: Kent "Tuition and Service Fees (International)" (kent.edu.au/wp-content/uploads/DOC-Tuition-and-Service-Fees-International.pdf; tertulis berlaku tahun 2025. tidak membedakan Offshore/Onshore). dicek 06/11/2026; fee 2026 belum terbit di situs Kent; Harga Onshore di file (5800/trimester, "Sudah termasuk beasiswa 30%") hanya referensi pemeriksaan, BUKAN quotation Offshore; Beasiswa Kent International Student Scholarship 30% (pedoman resmi versi 12, 7/11/2025, kent.edu.au/kent3/wp-content/uploads/DOC-International-Student-Scholarship.pdf) hanya untuk warga Eropa, Selandia Baru, Amerika Utara &amp; Amerika Selatan - Indonesia TIDAK termasuk; Kent menagih per trimester (2 trimester wajib/tahun, 4 unit/trimester); Asumsi bayar awal 1 trimester - konfirmasi ke sekolah; enrolment 250 (HE, non-refundable, dokumen fee Kent); Material belum tercatat (dokumen fee merujuk ke daftar ancillary charges); program &amp; kampus Sydney/Melbourne terkonfirmasi di halaman kursus resmi kent.edu.au, dicek 06/11/2026; Fee di baris ini = fee publik 2025 (bukan harga aktif 2026/promo Indonesia); PDF fee Kent gagal diakses ulang auditor (403) 06/11/2026 - minta pricelist/konfirmasi tertulis Kent terbaru sebelum dipakai</t>
  </si>
  <si>
    <t xml:space="preserve">Bachelor of Business (Business Analytics) (CRICOS 074600G)</t>
  </si>
  <si>
    <t xml:space="preserve">Bachelor of Business (Digital Marketing) (CRICOS 074600G)</t>
  </si>
  <si>
    <t xml:space="preserve">Bachelor of Business (Entrepreneurship) (CRICOS 074600G)</t>
  </si>
  <si>
    <t xml:space="preserve">Bachelor of Business (Hospitality Management) (CRICOS 074600G)</t>
  </si>
  <si>
    <t xml:space="preserve">Bachelor of Business (Information Systems) (CRICOS 074600G)</t>
  </si>
  <si>
    <t xml:space="preserve">Bachelor of Business (Project Management) (CRICOS 074600G)</t>
  </si>
  <si>
    <t xml:space="preserve">Bachelor of Business (Management) (CRICOS 074600G)</t>
  </si>
  <si>
    <t xml:space="preserve">Bachelor of Business (Management and Digital Marketing - double specialisation) (CRICOS 074600G)</t>
  </si>
  <si>
    <t xml:space="preserve">Bachelor of Accounting (CRICOS 074601G)</t>
  </si>
  <si>
    <t xml:space="preserve">Bachelor of Information Technology (without specialisation) (CRICOS 097568B)</t>
  </si>
  <si>
    <t xml:space="preserve">CEK: harga Offshore dan kelayakan promo siswa Indonesia belum terkonfirmasi. Tuition = fee publik internasional resmi 2025: 2.200/unit x 4 unit = 8.800/trimester (total 52.800. 6 trimester) - sumber: Kent "Tuition and Service Fees (International)" (kent.edu.au/wp-content/uploads/DOC-Tuition-and-Service-Fees-International.pdf; tertulis berlaku tahun 2025. tidak membedakan Offshore/Onshore). dicek 06/11/2026; fee 2026 belum terbit di situs Kent; Harga Onshore di file (6400/trimester, "Sudah termasuk beasiswa 30%") hanya referensi pemeriksaan, BUKAN quotation Offshore; Beasiswa Kent International Student Scholarship 30% (pedoman resmi versi 12, 7/11/2025, kent.edu.au/kent3/wp-content/uploads/DOC-International-Student-Scholarship.pdf) hanya untuk warga Eropa, Selandia Baru, Amerika Utara &amp; Amerika Selatan - Indonesia TIDAK termasuk; Kent menagih per trimester (2 trimester wajib/tahun, 4 unit/trimester); Asumsi bayar awal 1 trimester - konfirmasi ke sekolah; enrolment 250 (HE, non-refundable, dokumen fee Kent); Material belum tercatat (dokumen fee merujuk ke daftar ancillary charges); program &amp; kampus Sydney/Melbourne terkonfirmasi di halaman kursus resmi kent.edu.au, dicek 06/11/2026; Fee di baris ini = fee publik 2025 (bukan harga aktif 2026/promo Indonesia); PDF fee Kent gagal diakses ulang auditor (403) 06/11/2026 - minta pricelist/konfirmasi tertulis Kent terbaru sebelum dipakai</t>
  </si>
  <si>
    <t xml:space="preserve">Bachelor of Information Technology (Artificial Intelligence) (CRICOS 097568B)</t>
  </si>
  <si>
    <t xml:space="preserve">Bachelor of Information Technology (Cyber Security) (CRICOS 097568B)</t>
  </si>
  <si>
    <t xml:space="preserve">Bachelor of Information Technology (Data Science) (CRICOS 097568B)</t>
  </si>
  <si>
    <t xml:space="preserve">Bachelor of Information Technology (Networking and Communication) (CRICOS 097568B)</t>
  </si>
  <si>
    <t xml:space="preserve">Master of Information and Communication Technology (Artificial Intelligence) (CRICOS 119286D)</t>
  </si>
  <si>
    <t xml:space="preserve">CEK: SUBTOTAL TIDAK LENGKAP - Estimasi Initial Payment (250) dan TOTAL BIAYA AWAL di baris ini BELUM termasuk tuition dan material (tuition Master of ICT belum ada); JANGAN dipakai sebagai quotation siswa (audit 06/11/2026); CEK: harga Offshore dan kelayakan promo siswa Indonesia belum terkonfirmasi. CEK: tuition belum ada - baris Master of ICT di Kent "Tuition and Service Fees (International)" (kent.edu.au/wp-content/uploads/DOC-Tuition-and-Service-Fees-International.pdf; tertulis berlaku tahun 2025, tidak membedakan Offshore/Onshore) tidak terbaca (hanya angka $2,500 terlihat, belum pasti per unit) dan halaman kursus tidak mencantumkan fee; dicek 06/11/2026; Harga Onshore di file (7000/trimester, "Sudah termasuk beasiswa 30%") hanya referensi pemeriksaan, BUKAN quotation Offshore; Beasiswa Kent International Student Scholarship 30% (pedoman resmi versi 12, 7/11/2025, kent.edu.au/kent3/wp-content/uploads/DOC-International-Student-Scholarship.pdf) hanya untuk warga Eropa, Selandia Baru, Amerika Utara &amp; Amerika Selatan - Indonesia TIDAK termasuk; Kent menagih per trimester (2 trimester wajib/tahun, 4 unit/trimester); Asumsi bayar awal 1 trimester - konfirmasi ke sekolah; enrolment 250 (HE, non-refundable, dokumen fee Kent); Material belum tercatat (dokumen fee merujuk ke daftar ancillary charges); program &amp; kampus Sydney/Melbourne terkonfirmasi di halaman kursus resmi kent.edu.au, dicek 06/11/2026</t>
  </si>
  <si>
    <t xml:space="preserve">Master of Information and Communication Technology (Cyber Security) (CRICOS 119286D)</t>
  </si>
  <si>
    <t xml:space="preserve">King's School of Culinary Arts
48-50 Oxford St, Darlinghurst NSW 2010, Australia</t>
  </si>
  <si>
    <t xml:space="preserve">Certificate IV in Kitchen Management + Diploma of Hospitality Management (Package 1: $3.000/term x6 + $1.500/term x2)</t>
  </si>
  <si>
    <t xml:space="preserve">Tuition beda per level, lihat keterangan di kolom Program;  label "SCHOLARSHIP" di nama program bukan istilah dokumen (dokumen: promotion fee vs tuition fee normal); Harga sesuai sumber resmi; Cara hitung tuition/periode: Resmi per periode; Sumber: Kings_2026.08.04_TALENTED ONLY.pdf hal. 1 (TEG AUG 2026 Event Promotion, promotion fee OFFSHORE, intake 2027 T1-T4; tanpa tanggal akhir; khusus TEG), dicek 29/10/2026; PROMO s.d. 31/12/2026 (enrol paling lambat 31/12/2026; setelah itu tuition normal) - sumber: King's Offshore Tuition Promotion 2026 (PDF Kings_2026.10.30_Offshore. hal. 1-2); promo AUD 21.000 (normal 23.000); tuition/term pertama 3.000 (Cert IV). turun 1.500/term di tahap berikutnya; material 1.700 = Cert IV 1.500 x1 + Dip 100 x2 (Dip ditagih per term); enrolment 250; Tuition tahunan rata-rata: 10500; (dasar: total promo 21.000 / 2 thn, price list King's 30/10/2026 - dipakai untuk peringkat)</t>
  </si>
  <si>
    <t xml:space="preserve">Certificate IV in Kitchen Management + Diploma of Hospitality Management + Advanced Diploma of Hospitality Management (Package 2: $3.000/term x6 + $1.500/term x6)</t>
  </si>
  <si>
    <t xml:space="preserve">Tuition beda per level, lihat keterangan di kolom Program;  label "SCHOLARSHIP" di nama program bukan istilah dokumen (dokumen: promotion fee vs tuition fee normal); Harga sesuai sumber resmi; Cara hitung tuition/periode: Resmi per periode; Sumber: Kings_2026.08.04_TALENTED ONLY.pdf hal. 1 (TEG AUG 2026 Event Promotion, promotion fee OFFSHORE, intake 2027 T1-T4; tanpa tanggal akhir; khusus TEG), dicek 29/10/2026; PROMO s.d. 31/12/2026 (enrol paling lambat 31/12/2026; setelah itu tuition normal) - sumber: King's Offshore Tuition Promotion 2026 (PDF Kings_2026.10.30_Offshore. hal. 1-2); promo AUD 27.000 (normal 30.000); tuition/term pertama 3.000 (Cert IV). turun 1.500/term di tahap berikutnya; material 2.100 = Cert IV 1.500 x1 + Dip &amp; Adv Dip 100 x6; enrolment 250; Tuition tahunan rata-rata: 9000; (dasar: total promo 27.000 / 3 thn, price list King's 30/10/2026 - dipakai untuk peringkat)</t>
  </si>
  <si>
    <t xml:space="preserve">Certificate IV in Patisserie + Diploma of Hospitality Management (Package 3: $3.000/term x6 + $1.500/term x2)</t>
  </si>
  <si>
    <t xml:space="preserve">Tuition beda per level, lihat keterangan di kolom Program;  label "SCHOLARSHIP" di nama program bukan istilah dokumen (dokumen: promotion fee vs tuition fee normal); Harga sesuai sumber resmi; Cara hitung tuition/periode: Resmi per periode; Sumber: Kings_2026.08.04_TALENTED ONLY.pdf hal. 1 (TEG AUG 2026 Event Promotion, promotion fee OFFSHORE, intake 2027 T1-T4; tanpa tanggal akhir; khusus TEG), dicek 29/10/2026; PROMO s.d. 31/12/2026 (enrol paling lambat 31/12/2026; setelah itu tuition normal) - sumber: King's Offshore Tuition Promotion 2026 (PDF Kings_2026.10.30_Offshore. hal. 1-2); promo AUD 21.000 (normal 24.000); tuition/term pertama 3.000 (Cert IV). turun 1.500/term di tahap berikutnya; material 1.800 = Cert IV 1.600 x1 + Dip 100 x2; enrolment 250; Tuition tahunan rata-rata: 10500; (dasar: total promo 21.000 / 2 thn, price list King's 30/10/2026 - dipakai untuk peringkat)</t>
  </si>
  <si>
    <t xml:space="preserve">Certificate IV in Patisserie + Diploma of Hospitality Management + Advanced Diploma of Hospitality Management (Package 4: $3.000/term x6 + $1.500/term x6)</t>
  </si>
  <si>
    <t xml:space="preserve">Tuition beda per level, lihat keterangan di kolom Program;  label "SCHOLARSHIP" di nama program bukan istilah dokumen (dokumen: promotion fee vs tuition fee normal); Harga sesuai sumber resmi; Cara hitung tuition/periode: Resmi per periode; Sumber: Kings_2026.08.04_TALENTED ONLY.pdf hal. 1 (TEG AUG 2026 Event Promotion, promotion fee OFFSHORE, intake 2027 T1-T4; tanpa tanggal akhir; khusus TEG), dicek 29/10/2026; PROMO s.d. 31/12/2026 (enrol paling lambat 31/12/2026; setelah itu tuition normal) - sumber: King's Offshore Tuition Promotion 2026 (PDF Kings_2026.10.30_Offshore. hal. 1-2); promo AUD 27.000 (normal 30.000); tuition/term pertama 3.000 (Cert IV). turun 1.500/term di tahap berikutnya; material 2.200 = Cert IV 1.600 x1 + Dip &amp; Adv Dip 100 x6; enrolment 250; Tuition tahunan rata-rata: 9000; (dasar: total promo 27.000 / 3 thn, price list King's 30/10/2026 - dipakai untuk peringkat)</t>
  </si>
  <si>
    <t xml:space="preserve">Certificate IV in Kitchen Management + Certificate IV in Patisserie + Diploma of Hospitality Management (Package 5: $3.000/term x8 + $1.500/term x2)</t>
  </si>
  <si>
    <t xml:space="preserve">Tuition beda per level, lihat keterangan di kolom Program;  label "SCHOLARSHIP" di nama program bukan istilah dokumen (dokumen: promotion fee vs tuition fee normal); Harga sesuai sumber resmi; Cara hitung tuition/periode: Resmi per periode; Sumber: Kings_2026.08.04_TALENTED ONLY.pdf hal. 1 (TEG AUG 2026 Event Promotion, promotion fee OFFSHORE, intake 2027 T1-T4; tanpa tanggal akhir; khusus TEG), dicek 29/10/2026; PROMO s.d. 31/12/2026 (enrol paling lambat 31/12/2026; setelah itu tuition normal) - sumber: King's Offshore Tuition Promotion 2026 (PDF Kings_2026.10.30_Offshore. hal. 1-2); promo AUD 27.000 (normal 31.000); tuition/term pertama 3.000 (Cert IV). turun 1.500/term di tahap berikutnya; material 2.000 = Cert IV 1.800 x1 + Dip 100 x2; enrolment 250; Tuition tahunan rata-rata: 10800; (dasar: total promo 27.000 / 2,5 thn, price list King's 30/10/2026 - dipakai untuk peringkat)</t>
  </si>
  <si>
    <t xml:space="preserve">Dip + Adv Dip Of Hospitality Management ($1500/term untuk 2 term terakhir)</t>
  </si>
  <si>
    <t xml:space="preserve">Tuition beda per level, lihat keterangan di kolom Program; CEK: Dip + Adv Dip Hospitality tidak ada di promo King's Aug 2026 untuk TEG - harga belum ada bukti; Harga belum dicek ke sumber resmi; Dip + Adv Dip Hospitality tidak ada di price list offshore King's 30/10/2026 (yang ada: Dip 104 mgg &amp; Adv Dip 156 mgg terpisah) - dicek 04/11/2026</t>
  </si>
  <si>
    <t xml:space="preserve">Certificate IV in Kitchen Management (SIT40521, CRICOS 109622J) - 78 weeks</t>
  </si>
  <si>
    <t xml:space="preserve">78 weeks</t>
  </si>
  <si>
    <t xml:space="preserve">Tuition normal 19.800 (tanpa promo) ÷ 6 term = 3.300/term; material 1.500 (termasuk tool kit &amp; seragam); enrolment 250 - sumber: King's Offshore Tuition Promotion 2026 (PDF Kings_2026.10.30_Offshore, hal. 1-2), dicek 04/11/2026; Asumsi bayar awal 1 term - konfirmasi ke sekolah</t>
  </si>
  <si>
    <t xml:space="preserve">Certificate IV in Patisserie (SIT40721, CRICOS 120774M) - 78 weeks</t>
  </si>
  <si>
    <t xml:space="preserve">Tuition normal 21.000 (tanpa promo) ÷ 6 term = 3.500/term; material 1.600; enrolment 250 - sumber: King's Offshore Tuition Promotion 2026 (PDF Kings_2026.10.30_Offshore, hal. 1-2), dicek 04/11/2026; Asumsi bayar awal 1 term - konfirmasi ke sekolah</t>
  </si>
  <si>
    <t xml:space="preserve">Diploma of Hospitality Management (SIT50422, CRICOS 110581C) - 104 weeks (F&amp;B 1)</t>
  </si>
  <si>
    <t xml:space="preserve">104 weeks</t>
  </si>
  <si>
    <t xml:space="preserve">PROMO s.d. 31/12/2026 (enrol paling lambat 31/12/2026; setelah itu tuition normal) - sumber: King's Offshore Tuition Promotion 2026 (PDF Kings_2026.10.30_Offshore, hal. 1-2); promo 14.400 = 1.800 x 8 term (normal 18.400); material 100/term (total 800); enrolment 250; Asumsi bayar awal 1 term - konfirmasi ke sekolah</t>
  </si>
  <si>
    <t xml:space="preserve">Advanced Diploma of Hospitality Management (SIT60322, CRICOS 110582B) - 156 weeks (F&amp;B 2)</t>
  </si>
  <si>
    <t xml:space="preserve">156 weeks</t>
  </si>
  <si>
    <t xml:space="preserve">PROMO s.d. 31/12/2026 (enrol paling lambat 31/12/2026; setelah itu tuition normal) - sumber: King's Offshore Tuition Promotion 2026 (PDF Kings_2026.10.30_Offshore, hal. 1-2); promo 21.600 = 1.800 x 12 term (normal 27.600); material 100/term (total 1.200); enrolment 250; Asumsi bayar awal 1 term - konfirmasi ke sekolah</t>
  </si>
  <si>
    <t xml:space="preserve">Le Cordon Bleu Australia
250 Blaxland Road, Ryde NSW 2112</t>
  </si>
  <si>
    <t xml:space="preserve">Le Culinaire Hospitality Institute
Level 1, 276-280 Botany Road, Alexandria NSW 2015</t>
  </si>
  <si>
    <t xml:space="preserve">Certificate IV in Kitchen Management + Diploma of Hospitality Management (package "Kitchen Management + Diploma")</t>
  </si>
  <si>
    <t xml:space="preserve">2,25 years (9 terms)</t>
  </si>
  <si>
    <t xml:space="preserve">Tuition beda per level: 6 x $2.800 + 3 x $1.800 (Tuition/Periode = term pertama); Sumber: Le Culinaire 2026 Tuition Guide (PDF "Le_Culinaire_2026_Price_List_v2"; fee internasional, tidak membedakan Offshore/Onshore), dicek 07/11/2026: total tuition 22.200, material 1.850, enrolment 250 + CoE fee 50; Tuition tahunan rata-rata: 9867; (dasar: total tuition / durasi, untuk peringkat); Asumsi bayar awal 1 term - konfirmasi ke sekolah; Alamat terverifikasi: Level 1, 276-280 Botany Road, Alexandria NSW 2015 (Tuition Guide 2026 v2 &amp; situs resmi, dicek 07/11/2026); Riwayat: harga lama dari sumber pihak ketiga/lama (dicek 29/10/2026) diganti Tuition Guide resmi 2026 v2; Asumsi material dibayar penuh di awal (Tuition Guide tidak menyebut jadwal bayar material) - konfirmasi ke sekolah</t>
  </si>
  <si>
    <t xml:space="preserve">Certificate IV in Kitchen Management + Advanced Diploma of Hospitality Management - Cookery Pathway</t>
  </si>
  <si>
    <t xml:space="preserve">Certificate IV in Kitchen Management + Diploma of Hospitality Management (package) + upgrade Advanced Diploma of Hospitality Management (Food &amp; Beverage)</t>
  </si>
  <si>
    <t xml:space="preserve">3,5 years (14 terms)</t>
  </si>
  <si>
    <t xml:space="preserve">Tuition beda per level: paket 22.200 (6 x $2.800 + 3 x $1.800) + upgrade Adv Dip F&amp;B 9.000 (5 x $1.800); material 1.850 + 250 (Tuition/Periode = term pertama); Sumber: Le Culinaire 2026 Tuition Guide (PDF "Le_Culinaire_2026_Price_List_v2"; fee internasional, tidak membedakan Offshore/Onshore), dicek 07/11/2026: total tuition 31.200, material 2.100, enrolment 250 + CoE fee 50; Tuition tahunan rata-rata: 8914; (dasar: total tuition / durasi, untuk peringkat); Asumsi bayar awal 1 term - konfirmasi ke sekolah; Alamat terverifikasi: Level 1, 276-280 Botany Road, Alexandria NSW 2015 (Tuition Guide 2026 v2 &amp; situs resmi, dicek 07/11/2026); Riwayat: harga lama dari sumber pihak ketiga/lama (dicek 29/10/2026) diganti Tuition Guide resmi 2026 v2; Asumsi material dibayar penuh di awal (Tuition Guide tidak menyebut jadwal bayar material) - konfirmasi ke sekolah</t>
  </si>
  <si>
    <t xml:space="preserve">Cert IV in Kitchen Management ($2800/term)+ Cert IV in Patisserie ($3000/term) + Dip of Hospitality Management ($1800/term)</t>
  </si>
  <si>
    <t xml:space="preserve">CEK: kombinasi Cert IV Kitchen Management + Cert IV Patisserie + Diploma tidak ada di Tuition Guide 2026 v2 (Le Culinaire 2026 Tuition Guide (PDF "Le_Culinaire_2026_Price_List_v2"; fee internasional, tidak membedakan Offshore/Onshore), dicek 07/11/2026) - konfirmasi ke sekolah; Tuition beda per level, lihat keterangan di kolom Program; CEK: Sebagian sesuai sumber resmi: Hanya bisa dicek per komponen; sumber tidak menyebut jumlah term. Indikatif jika 4 term/tahun: 16,200/6 term = 2,700 vs price list 2,800 (+3.7%, lebih mahal - k; Tuition total/tahunan belum terbukti cocok dengan sumber resmi; Harga sebagian sesuai sumber resmi; Cara hitung tuition/periode: Hitung: total/tahunan ÷ N; Sumber: https://search.studyaustralia.gov.au/provider/le-culinaire-hospitality-institute/f2e7a0d114c7957a3d7655da46ac5b99/courses, dicek 29/10/2026</t>
  </si>
  <si>
    <t xml:space="preserve">Certificate IV in Patisserie + Diploma of Hospitality Management (package "Patisserie + Diploma")</t>
  </si>
  <si>
    <t xml:space="preserve">Tuition beda per level: 6 x $3.000 + 3 x $1.800 (Tuition/Periode = term pertama); Sumber: Le Culinaire 2026 Tuition Guide (PDF "Le_Culinaire_2026_Price_List_v2"; fee internasional, tidak membedakan Offshore/Onshore), dicek 07/11/2026: total tuition 23.400, material 1.850, enrolment 250 + CoE fee 50; Tuition tahunan rata-rata: 10400; (dasar: total tuition / durasi, untuk peringkat); Asumsi bayar awal 1 term - konfirmasi ke sekolah; Alamat terverifikasi: Level 1, 276-280 Botany Road, Alexandria NSW 2015 (Tuition Guide 2026 v2 &amp; situs resmi, dicek 07/11/2026); Riwayat: harga lama dari sumber pihak ketiga/lama (dicek 29/10/2026) diganti Tuition Guide resmi 2026 v2; Asumsi material dibayar penuh di awal (Tuition Guide tidak menyebut jadwal bayar material) - konfirmasi ke sekolah</t>
  </si>
  <si>
    <t xml:space="preserve">Certificate IV in Patisserie + Advanced Diploma of Hospitality Management - Patisserie Pathway</t>
  </si>
  <si>
    <t xml:space="preserve">Cert IV in Patisserie + Dip of Hospitality Management (Food &amp; Beverage Pathway) (2 term terakhir $1,800/term)</t>
  </si>
  <si>
    <t xml:space="preserve">CEK: susunan "Patisserie + Diploma (F&amp;B) 3,5 tahun" tidak cocok dengan paket di Tuition Guide 2026 v2 (Le Culinaire 2026 Tuition Guide (PDF "Le_Culinaire_2026_Price_List_v2"; fee internasional, tidak membedakan Offshore/Onshore), dicek 07/11/2026) - konfirmasi ke sekolah; Tuition beda per level, lihat keterangan di kolom Program; CEK: Sebagian sesuai sumber resmi: Hanya bisa dicek per komponen; sumber tidak menyebut jumlah term. Indikatif jika 4 term/tahun: 17,700/6 term = 2,950 vs price list 3,000 (+1.7%, dalam toleransi; Tuition total/tahunan belum terbukti cocok dengan sumber resmi; Harga sebagian sesuai sumber resmi; Cara hitung tuition/periode: Hitung: total/tahunan ÷ N; Sumber: https://search.studyaustralia.gov.au/provider/le-culinaire-hospitality-institute/f2e7a0d114c7957a3d7655da46ac5b99/courses, dicek 29/10/2026</t>
  </si>
  <si>
    <t xml:space="preserve">Certificate IV in Kitchen Management (SIT40521, CRICOS 109552G)</t>
  </si>
  <si>
    <t xml:space="preserve">1,5 years (6 terms)</t>
  </si>
  <si>
    <t xml:space="preserve">Sumber: Le Culinaire 2026 Tuition Guide (PDF "Le_Culinaire_2026_Price_List_v2"; fee internasional, tidak membedakan Offshore/Onshore), dicek 07/11/2026: total tuition 16.800 (6 x 2.800) + material 1.700 = 18.500; enrolment 250 + CoE fee 50; Asumsi bayar awal 1 term - konfirmasi ke sekolah; Asumsi material dibayar penuh di awal (Tuition Guide tidak menyebut jadwal bayar material) - konfirmasi ke sekolah</t>
  </si>
  <si>
    <t xml:space="preserve">Certificate IV in Patisserie (SIT40721, CRICOS 109480G)</t>
  </si>
  <si>
    <t xml:space="preserve">Sumber: Le Culinaire 2026 Tuition Guide (PDF "Le_Culinaire_2026_Price_List_v2"; fee internasional, tidak membedakan Offshore/Onshore), dicek 07/11/2026: total tuition 18.000 (6 x 3.000) + material 1.700 = 19.700; enrolment 250 + CoE fee 50; Asumsi bayar awal 1 term - konfirmasi ke sekolah; Asumsi material dibayar penuh di awal (Tuition Guide tidak menyebut jadwal bayar material) - konfirmasi ke sekolah</t>
  </si>
  <si>
    <t xml:space="preserve">Diploma of Hospitality Management - Food &amp; Beverage (SIT50422, CRICOS 110329D)</t>
  </si>
  <si>
    <t xml:space="preserve">2 years (8 terms)</t>
  </si>
  <si>
    <t xml:space="preserve">Sumber: Le Culinaire 2026 Tuition Guide (PDF "Le_Culinaire_2026_Price_List_v2"; fee internasional, tidak membedakan Offshore/Onshore), dicek 07/11/2026: total tuition 14.400 (8 x 1.800) + material 400 = 14.800; enrolment 250 + CoE fee 50; Asumsi bayar awal 1 term - konfirmasi ke sekolah; Asumsi material dibayar penuh di awal (Tuition Guide tidak menyebut jadwal bayar material) - konfirmasi ke sekolah; Durasi: Tuition Guide menulis 2 Years / 8 terms / 92 weeks - OSHC memakai 24 bulan; konfirmasi durasi di CoE</t>
  </si>
  <si>
    <t xml:space="preserve">Advanced Diploma of Hospitality Management - Food &amp; Beverage (SIT60322, CRICOS 110330M)</t>
  </si>
  <si>
    <t xml:space="preserve">Sumber: Le Culinaire 2026 Tuition Guide (PDF "Le_Culinaire_2026_Price_List_v2"; fee internasional, tidak membedakan Offshore/Onshore), dicek 07/11/2026: total tuition 16.200 (9 x 1.800) + material 450 = 16.650; enrolment 250 + CoE fee 50; Asumsi bayar awal 1 term - konfirmasi ke sekolah; Asumsi material dibayar penuh di awal (Tuition Guide tidak menyebut jadwal bayar material) - konfirmasi ke sekolah</t>
  </si>
  <si>
    <t xml:space="preserve">Le Rosey Hospitality Institute
372 - 428 Wattle Street, Ultimo NSW 2007 /</t>
  </si>
  <si>
    <t xml:space="preserve">Cert III in Commercial Cookery + Cert IV in Kitchen Management + Dip + Adv Dip. of Hospitality Management ($1500/term di level Dip + Adv Dip)</t>
  </si>
  <si>
    <t xml:space="preserve">Tuition beda per level, lihat keterangan di kolom Program; CEK: Alamat 338 Pitt St terdaftar untuk Le Rosey; Berkeley/York resmi di 70-72 Bathurst St - konfirmasi kampus. | Alamat Wattle St Ultimo tidak ada di register; resmi 338-340 Pitt St Sydney - konfirmasi.; Sumber bayar awal: LRHI Student Pre-enrolment Information V1 &amp; Handbook V3.0 - "the first term's fee plus all other fees"; material ditagih per term; dicek 30/10/2026; Material ditagih per term (Handbook LRHI); Harga belum dicek ke sumber resmi; Info sekolah: Grup: Wellington</t>
  </si>
  <si>
    <t xml:space="preserve">Cert IV in Kitchen Management + Dip + Adv Dip. of Hospitality Management ($1500/term di level Dip + Adv Dip)</t>
  </si>
  <si>
    <t xml:space="preserve">CEK: Alamat 338 Pitt St terdaftar untuk Le Rosey [berlaku untuk semua program terkait; asal Offshore - Sydney r562]; Tuition beda per level, lihat keterangan di kolom Program; Sumber bayar awal: LRHI Student Pre-enrolment Information V1 &amp; Handbook V3.0 - "the first term's fee plus all other fees"; material ditagih per term; dicek 30/10/2026; Material ditagih per term (Handbook LRHI); Harga belum dicek ke sumber resmi; Info sekolah: Grup: Wellington</t>
  </si>
  <si>
    <t xml:space="preserve">Cert IV in Kitchen Management + Adv Dip. of Hospitality Management ($1500/term di level Adv Dip)</t>
  </si>
  <si>
    <t xml:space="preserve">CEK: Alamat 338 Pitt St terdaftar untuk Le Rosey [berlaku untuk semua program terkait; asal Offshore - Sydney r562]; Sumber bayar awal: LRHI Student Pre-enrolment Information V1 &amp; Handbook V3.0 - "the first term's fee plus all other fees"; material ditagih per term; dicek 30/10/2026; Material ditagih per term (Handbook LRHI); Harga belum dicek ke sumber resmi; Info sekolah: Grup: Wellington</t>
  </si>
  <si>
    <t xml:space="preserve">Legend Institute
Level 3, 20-22 Macquarie Street Parramatta NSW 2150</t>
  </si>
  <si>
    <t xml:space="preserve">CEK: konfirmasi harga ke sekolah (harga beda dengan sumber resmi); CEK: Lebih murah dari harga publik (~4,212/periode): pastikan ini harga agen/promo yang berlaku. Dicocokkan dicek 30/10/2026: selisih 52.5% - situs resmi Legend tidak memuat beasiswa/diskon; cek basis harga (total vs per term); tetap perlu dokumen agen/promo bertanggal; CEK: price list OFFSHORE Legend (tanpa tanggal) hal. 2 = $15.000/kursus 52 mgg (~3.750/term bila 4 term), sedangkan file 2.000/term mengikuti flyer promo $8.000 (tanpa tanggal, onshore/offshore tidak disebut) - konfirmasi harga offshore yang berlaku &amp; masa promo; deposit CoE tidak disebut nominalnya; Cara hitung tuition/periode: Hitung: total/tahunan ÷ N; Sumber: 22 Sep/Legend Institute - Offshore Prices.pdf hal. 2; Waiting/Pricelist - Legend Institute.pdf hal. 2 (keduanya tanpa tanggal), dicek 29/10/2026</t>
  </si>
  <si>
    <t xml:space="preserve">Cert III in Bricklaying &amp; Blocklaying + Cert IV in Building and Construction</t>
  </si>
  <si>
    <t xml:space="preserve">CEK: konfirmasi harga ke sekolah (harga beda dengan sumber resmi); CEK: Lebih murah dari harga publik (~4,212/periode): pastikan ini harga agen/promo yang berlaku. Dicocokkan dicek 30/10/2026: selisih 52.5% - situs resmi Legend tidak memuat beasiswa/diskon; cek basis harga (total vs per term); tetap perlu dokumen agen/promo bertanggal; CEK: price list OFFSHORE Legend (tanpa tanggal) hal. 2 = $15.000/kursus 52 mgg (~3.750/term bila 4 term), sedangkan file 2.000/term mengikuti flyer promo $8.000 (tanpa tanggal, onshore/offshore tidak disebut) - konfirmasi harga offshore yang berlaku &amp; masa promo; deposit CoE tidak disebut nominalnya; Sumber: 22 Sep/Legend Institute - Offshore Prices.pdf hal. 2; Waiting/Pricelist - Legend Institute.pdf hal. 2 (keduanya tanpa tanggal), dicek 29/10/2026</t>
  </si>
  <si>
    <t xml:space="preserve">Cert III in Bricklaying &amp; Blocklaying + Dip of Building and Construction (Building)</t>
  </si>
  <si>
    <t xml:space="preserve">Cert III in Joinery</t>
  </si>
  <si>
    <t xml:space="preserve">CEK: konfirmasi harga ke sekolah (harga beda dengan sumber resmi); CEK: price list OFFSHORE Legend (tanpa tanggal) hal. 2 = $15.000/kursus 52 mgg (~3.750/term bila 4 term), sedangkan file 2.000/term mengikuti flyer promo $8.000 (tanpa tanggal, onshore/offshore tidak disebut) - konfirmasi harga offshore yang berlaku &amp; masa promo; deposit CoE tidak disebut nominalnya; Sumber: 22 Sep/Legend Institute - Offshore Prices.pdf hal. 2; Waiting/Pricelist - Legend Institute.pdf hal. 2 (keduanya tanpa tanggal), dicek 29/10/2026</t>
  </si>
  <si>
    <t xml:space="preserve">Cert III in Joinery + Cert IV in Building and Construction</t>
  </si>
  <si>
    <t xml:space="preserve">Cert III in Joinery + Dip of Building and Construction (Building)</t>
  </si>
  <si>
    <t xml:space="preserve">Cert III in Painting and Decorating</t>
  </si>
  <si>
    <t xml:space="preserve">Cert III in Painting and Decorating + Cert IV in Building and Construction</t>
  </si>
  <si>
    <t xml:space="preserve">Cert III in Wall and Floor Tiling + Cert IV in Building and Construction</t>
  </si>
  <si>
    <t xml:space="preserve">CEK: konfirmasi harga ke sekolah (harga beda dengan sumber resmi); CEK: Lebih murah dari harga publik (~4,088/periode): pastikan ini harga agen/promo yang berlaku. Dicocokkan dicek 30/10/2026: selisih 51.1% - situs resmi Legend tidak memuat beasiswa/diskon; cek basis harga (total vs per term); tetap perlu dokumen agen/promo bertanggal; CEK: price list OFFSHORE Legend (tanpa tanggal) hal. 2 = $15.000/kursus 52 mgg (~3.750/term bila 4 term), sedangkan file 2.000/term mengikuti flyer promo $8.000 (tanpa tanggal, onshore/offshore tidak disebut) - konfirmasi harga offshore yang berlaku &amp; masa promo; deposit CoE tidak disebut nominalnya; Cara hitung tuition/periode: Hitung: total/tahunan ÷ N; Sumber: 22 Sep/Legend Institute - Offshore Prices.pdf hal. 2; Waiting/Pricelist - Legend Institute.pdf hal. 2 (keduanya tanpa tanggal), dicek 29/10/2026</t>
  </si>
  <si>
    <t xml:space="preserve">CEK: konfirmasi harga ke sekolah (harga beda dengan sumber resmi); CEK: Lebih murah dari harga publik (~4,088/periode): pastikan ini harga agen/promo yang berlaku. Dicocokkan dicek 30/10/2026: selisih 51.1% - situs resmi Legend tidak memuat beasiswa/diskon; cek basis harga (total vs per term); tetap perlu dokumen agen/promo bertanggal; CEK: price list OFFSHORE Legend (tanpa tanggal) hal. 2 = $15.000/kursus 52 mgg (~3.750/term bila 4 term), sedangkan file 2.000/term mengikuti flyer promo $8.000 (tanpa tanggal, onshore/offshore tidak disebut) - konfirmasi harga offshore yang berlaku &amp; masa promo; deposit CoE tidak disebut nominalnya; Sumber: 22 Sep/Legend Institute - Offshore Prices.pdf hal. 2; Waiting/Pricelist - Legend Institute.pdf hal. 2 (keduanya tanpa tanggal), dicek 29/10/2026</t>
  </si>
  <si>
    <t xml:space="preserve">CEK: konfirmasi harga ke sekolah (harga beda dengan sumber resmi); CEK: Lebih murah dari harga publik (~2,625/periode): pastikan ini harga agen/promo yang berlaku. Dicocokkan dicek 30/10/2026: selisih 42.9% - situs resmi Legend tidak memuat beasiswa/diskon; cek basis harga (total vs per term); tetap perlu dokumen agen/promo bertanggal; CEK: price list OFFSHORE Legend (tanpa tanggal) hal. 2: Dip of Business $10.000/52 mgg + Adv Dip of Business $20.000/104 mgg, material $1.000 + $2.000, $500. Flyer promo (tanpa tanggal, onshore/offshore tidak disebut) hal. 2: Business courses tuition $6.000, material $500, application $500, Adv Dip 52 mgg. File 1.500/term &amp; material 500 = angka flyer ($6.000 ÷ 4). Dokumen saling bertentangan (harga &amp; durasi Adv Dip 52 vs 104 mgg) - konfirmasi harga offshore yang berlaku; Cara hitung tuition/periode: Hitung: total/tahunan ÷ N; Sumber: 22 Sep/Legend Institute - Offshore Prices.pdf hal. 2; Waiting/Pricelist - Legend Institute.pdf hal. 2 (keduanya tanpa tanggal), dicek 29/10/2026</t>
  </si>
  <si>
    <t xml:space="preserve">Magill College Sydney
Level 4, 695-699 George Street, Haymarket NSW 2000, Australia</t>
  </si>
  <si>
    <t xml:space="preserve">Cert IV + Dip of Marketing and Communcation</t>
  </si>
  <si>
    <t xml:space="preserve">Cert IV + Dip + Adv Dip of Marketing and Communcation</t>
  </si>
  <si>
    <t xml:space="preserve">4 yearss</t>
  </si>
  <si>
    <t xml:space="preserve">CEK: Lebih murah dari harga publik (~2,267/periode): pastikan ini harga agen/promo yang berlaku. Dicocokkan dicek 30/10/2026: selisih 11.8% - situs resmi tidak dapat dibaca; tidak ada skema resmi ditemukan; tetap perlu dokumen agen/promo bertanggal; Harga agen: dokumen price list agen belum dilampirkan; Lebih murah dari harga publik - kemungkinan harga agen/promo (tidak diubah); Cara hitung tuition/periode: Hitung: total/tahunan ÷ N; Sumber: https://www.oneuedu.com/schools/magill-college-sydney-mcs-01994M, dicek 29/10/2026</t>
  </si>
  <si>
    <t xml:space="preserve">Cert IV + Dip of Project Management + Adv Dip of Program Management</t>
  </si>
  <si>
    <t xml:space="preserve">Cert IV + Dip of Leadeship and Management</t>
  </si>
  <si>
    <t xml:space="preserve">Cert IV + Dip + Adv Dip of Leadeship and Management</t>
  </si>
  <si>
    <t xml:space="preserve">CEK: Lebih murah dari harga publik (~2,246/periode): pastikan ini harga agen/promo yang berlaku. Dicocokkan dicek 30/10/2026: selisih 11.0% - situs resmi tidak dapat dibaca; tidak ada skema resmi ditemukan; tetap perlu dokumen agen/promo bertanggal; Harga agen: dokumen price list agen belum dilampirkan; Lebih murah dari harga publik - kemungkinan harga agen/promo (tidak diubah); Cara hitung tuition/periode: Hitung: total/tahunan ÷ N; Sumber: https://www.oneuedu.com/schools/magill-college-sydney-mcs-01994M, dicek 29/10/2026</t>
  </si>
  <si>
    <t xml:space="preserve">Dip + Adv Dip of AI (IT)</t>
  </si>
  <si>
    <t xml:space="preserve">CEK: Lebih murah dari harga publik (~2,324/periode): pastikan ini harga agen/promo yang berlaku. Dicocokkan dicek 30/10/2026: selisih 13.9% - situs resmi tidak dapat dibaca; tidak ada skema resmi ditemukan; tetap perlu dokumen agen/promo bertanggal; Harga agen: dokumen price list agen belum dilampirkan; Lebih murah dari harga publik - kemungkinan harga agen/promo (tidak diubah); Cara hitung tuition/periode: Hitung: total/tahunan ÷ N; Sumber: https://www.oneuedu.com/schools/magill-college-sydney-mcs-01994M, dicek 29/10/2026</t>
  </si>
  <si>
    <t xml:space="preserve">National Academy of Professional Studies (NAPS)
Level 4, 136 Chalmers Street Surry Hills NSW 2010 Australia</t>
  </si>
  <si>
    <t xml:space="preserve">Bachelor Of Information Technology (IT)</t>
  </si>
  <si>
    <t xml:space="preserve">CEK: periode &amp; nominal - NAPS menagih per TRIMESTER (tuition trimester pertama jatuh tempo saat enrolment, TERVERIFIKASI 07/11/2026 di naps.edu.au/pages/payment-schedule-and-fee-notice: "fees in advance on a trimester-by-trimester basis", jatuh tempo min. 2 minggu sebelum trimester mulai), sedangkan file menyimpan tuition per term (Bayar di Awal 1); nominal per trimester belum ada bukti - jangan digandakan otomatis; minta fee schedule/offer NAPS; Asumsi bayar awal 1 term (nilai pricelist lama; NAPS tampak menagih per trimester (halaman kursus naps.edu.au); jumlah bayar sebelum CoE tidak ditemukan) - konfirmasi ke sekolah; Harga belum dicek ke sumber resmi; Harga publik internasional 2026 (naps.edu.au/pages/fees-and-charges, dicek 07/11/2026): total tuition 57.000, per tahun 19.000,00 (= 6.333,33/trimester); file 4.500/term = 18.000/tahun (-5% vs publik) - kemungkinan harga agen, tidak diganti; non-tuition fee &amp; material per trimester berlaku; yang perlu dikonfirmasi: harga agen per tahun/per trimester &amp; pembayaran sebelum CoE</t>
  </si>
  <si>
    <t xml:space="preserve">Master of Information Technology (IT) (S2) + Graduate Diploma of Information Technology (IT)</t>
  </si>
  <si>
    <t xml:space="preserve">CEK: periode &amp; nominal - NAPS menagih per TRIMESTER (tuition trimester pertama jatuh tempo saat enrolment, TERVERIFIKASI 07/11/2026 di naps.edu.au/pages/payment-schedule-and-fee-notice: "fees in advance on a trimester-by-trimester basis", jatuh tempo min. 2 minggu sebelum trimester mulai), sedangkan file menyimpan tuition per term (Bayar di Awal 1); nominal per trimester belum ada bukti - jangan digandakan otomatis; minta fee schedule/offer NAPS; Asumsi bayar awal 1 term (nilai pricelist lama; NAPS tampak menagih per trimester (halaman kursus naps.edu.au); jumlah bayar sebelum CoE tidak ditemukan) - konfirmasi ke sekolah; Harga belum dicek ke sumber resmi; Harga publik internasional 2026 (naps.edu.au/pages/fees-and-charges, dicek 07/11/2026): total tuition 52.000, per tahun 26.000,00 (= 8.666,67/trimester); file 5.500/term = 22.000/tahun (-15% vs publik) - kemungkinan harga agen, tidak diganti; non-tuition fee &amp; material per trimester berlaku; yang perlu dikonfirmasi: harga agen per tahun/per trimester &amp; pembayaran sebelum CoE</t>
  </si>
  <si>
    <t xml:space="preserve">Bachelor Of Business - Accounting (S1)</t>
  </si>
  <si>
    <t xml:space="preserve">CEK: periode &amp; nominal - NAPS menagih per TRIMESTER (tuition trimester pertama jatuh tempo saat enrolment, TERVERIFIKASI 07/11/2026 di naps.edu.au/pages/payment-schedule-and-fee-notice: "fees in advance on a trimester-by-trimester basis", jatuh tempo min. 2 minggu sebelum trimester mulai), sedangkan file menyimpan tuition per term (Bayar di Awal 1); nominal per trimester belum ada bukti - jangan digandakan otomatis; minta fee schedule/offer NAPS; Asumsi bayar awal 1 term (nilai pricelist lama; NAPS tampak menagih per trimester (halaman kursus naps.edu.au); jumlah bayar sebelum CoE tidak ditemukan) - konfirmasi ke sekolah; Harga belum dicek ke sumber resmi; Harga publik internasional 2026 (naps.edu.au/pages/fees-and-charges, dicek 07/11/2026): total tuition 50.000, per tahun 16.666,67 (= 5.555,56/trimester); file 4.000/term = 16.000/tahun (-4% vs publik) - kemungkinan harga agen, tidak diganti; non-tuition fee &amp; material per trimester berlaku; yang perlu dikonfirmasi: harga agen per tahun/per trimester &amp; pembayaran sebelum CoE</t>
  </si>
  <si>
    <t xml:space="preserve">Master of Professional Accounting (S2) + Graduate Diploma of Management</t>
  </si>
  <si>
    <t xml:space="preserve">CEK: periode &amp; nominal - NAPS menagih per TRIMESTER (tuition trimester pertama jatuh tempo saat enrolment, TERVERIFIKASI 07/11/2026 di naps.edu.au/pages/payment-schedule-and-fee-notice: "fees in advance on a trimester-by-trimester basis", jatuh tempo min. 2 minggu sebelum trimester mulai), sedangkan file menyimpan tuition per term (Bayar di Awal 1); nominal per trimester belum ada bukti - jangan digandakan otomatis; minta fee schedule/offer NAPS; Asumsi bayar awal 1 term (nilai pricelist lama; NAPS tampak menagih per trimester (halaman kursus naps.edu.au); jumlah bayar sebelum CoE tidak ditemukan) - konfirmasi ke sekolah; Harga belum dicek ke sumber resmi; Harga publik internasional 2026 (naps.edu.au/pages/fees-and-charges, dicek 07/11/2026): total tuition 52.000, per tahun 26.000,00 (= 8.666,67/trimester); file 4.250/term = 17.000/tahun (-35% vs publik) - kemungkinan harga agen, tidak diganti; non-tuition fee &amp; material per trimester berlaku; yang perlu dikonfirmasi: harga agen per tahun/per trimester &amp; pembayaran sebelum CoE</t>
  </si>
  <si>
    <t xml:space="preserve">Bachelor of Bachelor of Social Work (S1)</t>
  </si>
  <si>
    <t xml:space="preserve">CEK: periode &amp; nominal - NAPS menagih per TRIMESTER (tuition trimester pertama jatuh tempo saat enrolment, TERVERIFIKASI 07/11/2026 di naps.edu.au/pages/payment-schedule-and-fee-notice: "fees in advance on a trimester-by-trimester basis", jatuh tempo min. 2 minggu sebelum trimester mulai), sedangkan file menyimpan tuition per term (Bayar di Awal 1); nominal per trimester belum ada bukti - jangan digandakan otomatis; minta fee schedule/offer NAPS; Asumsi bayar awal 1 term (nilai pricelist lama; NAPS tampak menagih per trimester (halaman kursus naps.edu.au); jumlah bayar sebelum CoE tidak ditemukan) - konfirmasi ke sekolah; Harga belum dicek ke sumber resmi; Harga publik internasional 2026 (naps.edu.au/pages/fees-and-charges, dicek 07/11/2026): total tuition 96.000, per tahun 24.000,00 (= 8.000,00/trimester); file 5.500/term = 22.000/tahun (-8% vs publik) - kemungkinan harga agen, tidak diganti; non-tuition fee &amp; material per trimester berlaku; yang perlu dikonfirmasi: harga agen per tahun/per trimester &amp; pembayaran sebelum CoE</t>
  </si>
  <si>
    <t xml:space="preserve">Master of Business Administration (S2) + Graduate Diploma of Business Administration</t>
  </si>
  <si>
    <t xml:space="preserve">Bachelor Of Business - Islamic Business (S1)</t>
  </si>
  <si>
    <t xml:space="preserve">CEK: periode &amp; nominal - NAPS menagih per TRIMESTER (tuition trimester pertama jatuh tempo saat enrolment, TERVERIFIKASI 07/11/2026 di naps.edu.au/pages/payment-schedule-and-fee-notice: "fees in advance on a trimester-by-trimester basis", jatuh tempo min. 2 minggu sebelum trimester mulai), sedangkan file menyimpan tuition per term (Bayar di Awal 1); nominal per trimester belum ada bukti - jangan digandakan otomatis; minta fee schedule/offer NAPS; Asumsi bayar awal 1 term (nilai pricelist lama; NAPS tampak menagih per trimester (halaman kursus naps.edu.au); jumlah bayar sebelum CoE tidak ditemukan) - konfirmasi ke sekolah; Harga belum dicek ke sumber resmi; Harga publik internasional 2026 (naps.edu.au/pages/fees-and-charges, dicek 07/11/2026): total tuition 54.000, per tahun 18.000,00 (= 6.000,00/trimester); file 4.500/term = 18.000/tahun (+0% vs publik) - kemungkinan harga agen, tidak diganti; non-tuition fee &amp; material per trimester berlaku; yang perlu dikonfirmasi: harga agen per tahun/per trimester &amp; pembayaran sebelum CoE</t>
  </si>
  <si>
    <t xml:space="preserve">Bachelor of Early Childhood Education</t>
  </si>
  <si>
    <t xml:space="preserve">CEK: periode &amp; nominal - NAPS menagih per TRIMESTER (tuition trimester pertama jatuh tempo saat enrolment, TERVERIFIKASI 07/11/2026 di naps.edu.au/pages/payment-schedule-and-fee-notice: "fees in advance on a trimester-by-trimester basis", jatuh tempo min. 2 minggu sebelum trimester mulai), sedangkan file menyimpan tuition per term (Bayar di Awal 1); nominal per trimester belum ada bukti - jangan digandakan otomatis; minta fee schedule/offer NAPS; Asumsi bayar awal 1 term (nilai pricelist lama; NAPS tampak menagih per trimester (halaman kursus naps.edu.au); jumlah bayar sebelum CoE tidak ditemukan) - konfirmasi ke sekolah; Harga belum dicek ke sumber resmi; Harga publik internasional 2026 (naps.edu.au/pages/fees-and-charges, dicek 07/11/2026): total tuition 80.000, per tahun 20.000,00 (= 6.666,67/trimester); file 4.500/term = 18.000/tahun (-10% vs publik) - kemungkinan harga agen, tidak diganti; non-tuition fee &amp; material per trimester berlaku; yang perlu dikonfirmasi: harga agen per tahun/per trimester &amp; pembayaran sebelum CoE</t>
  </si>
  <si>
    <t xml:space="preserve">Diploma of Early Childhood Education</t>
  </si>
  <si>
    <t xml:space="preserve">CEK: periode &amp; nominal - NAPS menagih per TRIMESTER (tuition trimester pertama jatuh tempo saat enrolment, TERVERIFIKASI 07/11/2026 di naps.edu.au/pages/payment-schedule-and-fee-notice: "fees in advance on a trimester-by-trimester basis", jatuh tempo min. 2 minggu sebelum trimester mulai), sedangkan file menyimpan tuition per term (Bayar di Awal 1); nominal per trimester belum ada bukti - jangan digandakan otomatis; minta fee schedule/offer NAPS; Asumsi bayar awal 1 term (nilai pricelist lama; NAPS tampak menagih per trimester (halaman kursus naps.edu.au); jumlah bayar sebelum CoE tidak ditemukan) - konfirmasi ke sekolah; Harga belum dicek ke sumber resmi; Harga publik internasional 2026 (naps.edu.au/pages/fees-and-charges, dicek 07/11/2026): total tuition 40.000, per tahun 20.000,00 (= 6.666,67/trimester); file 4.500/term = 18.000/tahun (-10% vs publik) - kemungkinan harga agen, tidak diganti; non-tuition fee &amp; material per trimester berlaku; yang perlu dikonfirmasi: harga agen per tahun/per trimester &amp; pembayaran sebelum CoE</t>
  </si>
  <si>
    <t xml:space="preserve">New Cambridge College Sydney (NCCS)
Level 3, 770-772 George Street, Sydney NSW 2000</t>
  </si>
  <si>
    <t xml:space="preserve">Cert III in Business + Dip of Leadership &amp; Management</t>
  </si>
  <si>
    <t xml:space="preserve">[MATERIAL] hanya kursus pertama; sisa material kursus berikutnya: Dip L&amp;M 0 (basis sekali/per term belum disebut); Tuition total/tahunan belum terbukti cocok dengan sumber resmi; Harga sebagian sesuai sumber resmi; Cara hitung tuition/periode: Hitung: total/tahunan ÷ N</t>
  </si>
  <si>
    <t xml:space="preserve">Cert III in Business + Dip + Adv Dip of Leadership &amp; Management ($1600/term on Adv Dip level)</t>
  </si>
  <si>
    <t xml:space="preserve">Tuition beda per level, lihat keterangan di kolom Program; [MATERIAL] hanya kursus pertama; sisa material kursus berikutnya: Dip L&amp;M 0 + Adv Dip L&amp;M 200 (basis sekali/per term belum disebut); Tuition total/tahunan belum terbukti cocok dengan sumber resmi; Harga sebagian sesuai sumber resmi; Cara hitung tuition/periode: Hitung: total/tahunan ÷ N</t>
  </si>
  <si>
    <t xml:space="preserve">[MATERIAL] hanya kursus pertama; sisa material kursus berikutnya: Dip L&amp;M 0 (basis sekali/per term belum disebut); Material 0 belum terbukti (dasar nol: Tidak ditagih (sumber belum cocok: tahun/intake tidak tercetak; tertulis "other course fees may apply") | tabel resmi NCCS Material Fee $0 | program: sama | kampus: Sydney | siswa: internasional (kode); Tuition total/tahunan belum terbukti cocok dengan sumber resmi; Harga sebagian sesuai sumber resmi; Cara hitung tuition/periode: Hitung: total/tahunan ÷ N</t>
  </si>
  <si>
    <t xml:space="preserve">Cert IV + Dip + Adv Dip of Leadership &amp; Management ($1600/term on Adv Dip level)</t>
  </si>
  <si>
    <t xml:space="preserve">Tuition beda per level, lihat keterangan di kolom Program; [MATERIAL] hanya kursus pertama; sisa material kursus berikutnya: Dip 0 + Adv Dip L&amp;M 200 (basis sekali/per term belum disebut); Material 0 belum terbukti (dasar nol: Tidak ditagih (sumber belum cocok: tahun/intake tidak tercetak; tertulis "other course fees may apply") | tabel resmi NCCS Material Fee $0 | program: sama | kampus: Sydney | siswa: internasional (kode); Tuition total/tahunan belum terbukti cocok dengan sumber resmi; Harga sebagian sesuai sumber resmi; Cara hitung tuition/periode: Hitung: total/tahunan ÷ N</t>
  </si>
  <si>
    <t xml:space="preserve">[MATERIAL] hanya kursus pertama; sisa material kursus berikutnya: Dip PM 0 (basis sekali/per term belum disebut); Material 0 belum terbukti (dasar nol: Tidak ditagih (sumber belum cocok: tahun/intake tidak tercetak; tertulis "other course fees may apply") | tabel resmi NCCS Material Fee $0 | program: sama | kampus: Sydney | siswa: internasional (kode); Tuition total/tahunan belum terbukti cocok dengan sumber resmi; Harga sebagian sesuai sumber resmi; Cara hitung tuition/periode: Hitung: total/tahunan ÷ N</t>
  </si>
  <si>
    <t xml:space="preserve">Cert IV + Dip of Project Management + Adv Dip of Program Management ($1600/term on Adv Dip level)</t>
  </si>
  <si>
    <t xml:space="preserve">Tuition beda per level, lihat keterangan di kolom Program; [MATERIAL] hanya kursus pertama; sisa material kursus berikutnya: Dip 0 + Adv Dip Program Mgmt 200 (basis sekali/per term belum disebut); Material 0 belum terbukti (dasar nol: Tidak ditagih (sumber belum cocok: tahun/intake tidak tercetak; tertulis "other course fees may apply") | tabel resmi NCCS Material Fee $0 | program: sama | kampus: Sydney | siswa: internasional (kode); Tuition total/tahunan belum terbukti cocok dengan sumber resmi; Harga sebagian sesuai sumber resmi; Cara hitung tuition/periode: Hitung: total/tahunan ÷ N</t>
  </si>
  <si>
    <t xml:space="preserve">[MATERIAL] hanya kursus pertama; sisa material kursus berikutnya: Dip Accounting 300 (basis sekali/per term belum disebut); CEK: halaman fees NCCS menyatakan "No intake available for CIV + Dip Acct" - jangan ditawarkan sebelum dikonfirmasi.; Harga agen: dokumen price list agen belum dilampirkan; Lebih murah dari harga publik - kemungkinan harga agen/promo (tidak diubah)</t>
  </si>
  <si>
    <t xml:space="preserve">Cert IV + Dip + Adv Dip of Accounting ($1600/term on Adv Dip level)</t>
  </si>
  <si>
    <t xml:space="preserve">Tuition beda per level, lihat keterangan di kolom Program; [MATERIAL] hanya kursus pertama; sisa material kursus berikutnya: Dip 300 + Adv Dip 400 (basis sekali/per term belum disebut); CEK: halaman fees NCCS menyatakan "No intake available for CIV + Dip Acct" - jangan ditawarkan sebelum dikonfirmasi.; Harga agen: dokumen price list agen belum dilampirkan; Lebih murah dari harga publik - kemungkinan harga agen/promo (tidak diubah)</t>
  </si>
  <si>
    <t xml:space="preserve">Dip of Community Services ($1350/term first term)</t>
  </si>
  <si>
    <t xml:space="preserve">Tuition beda per level, lihat keterangan di kolom Program; [MATERIAL] resmi Dip Community Services 600 (file 500, tidak diubah - lihat Keputusan Internal); tuition resmi 22.000/104 mgg ~2.750/term (hasil hitung); Harga agen: dokumen price list agen belum dilampirkan; Lebih murah dari harga publik - kemungkinan harga agen/promo (tidak diubah)</t>
  </si>
  <si>
    <t xml:space="preserve">Graduate Diploma of Portfolio Management</t>
  </si>
  <si>
    <t xml:space="preserve">Material 0 belum terbukti (dasar nol: Tidak ditagih (sumber belum cocok: tahun/intake tidak tercetak; tertulis "other course fees may apply") | tabel resmi NCCS Material Fee $0 | program: sama | kampus: Sydney | siswa: internasional (kode); Tuition total/tahunan belum terbukti cocok dengan sumber resmi; Harga sebagian sesuai sumber resmi; Cara hitung tuition/periode: Hitung: total/tahunan ÷ N</t>
  </si>
  <si>
    <t xml:space="preserve">New Era Institute
Suite 13 &amp; 14, 100 George Street Windsor, NSW 2756 Australia</t>
  </si>
  <si>
    <t xml:space="preserve">Advanced Diploma of Information Technology (IT)specialised in Cyber Security</t>
  </si>
  <si>
    <t xml:space="preserve">Advanced Diploma of Information Technology (IT) specialised in Telecommunications Network Engineering</t>
  </si>
  <si>
    <t xml:space="preserve">Advanced Diploma in Civil Construction Design</t>
  </si>
  <si>
    <t xml:space="preserve">Cert IV in Kitchen Management + Dip of Hospitality Management (2 term terakhir $2000/term)</t>
  </si>
  <si>
    <t xml:space="preserve">Cert IY in Ageing Support + Dip of Community Services (8 term terakhir $2450/term)</t>
  </si>
  <si>
    <t xml:space="preserve">Cert III + Dip of Early Childhood Education and Care (4 term terakhir $2500/term)</t>
  </si>
  <si>
    <t xml:space="preserve">Novus College
Workshop KITCHEN: Shop 7/68 Mountain St, Ultimo NSW 2007</t>
  </si>
  <si>
    <t xml:space="preserve">CEK: Kampus terdaftar Novus: Gosford (153 Mann St), Ultimo (Level 3, Suites 3.09-3.11, 22-36 Mountain St), Perth (Unit 53, 188 Newcastle St) - konfirmasi alamat workshop/lainnya [berlaku untuk semua program terkait; asal Offshore - Sydney r102]; Harga belum dicek ke sumber resmi</t>
  </si>
  <si>
    <t xml:space="preserve">CEK: Kampus terdaftar Novus: Gosford (153 Mann St), Ultimo (Level 3, Suites 3.09-3.11, 22-36 Mountain St), Perth (Unit 53, 188 Newcastle St) - konfirmasi alamat workshop/lainnya [berlaku untuk semua program terkait; asal Offshore - Sydney r102]; Harga belum dicek ke sumber resmi; Cara hitung tuition/periode: Hitung: total/tahunan ÷ N</t>
  </si>
  <si>
    <t xml:space="preserve">CertIII in Painting and Decorating + Dip in Building &amp; Construction</t>
  </si>
  <si>
    <t xml:space="preserve">CertIII in Wall and Floor Tiling + Dip in Building &amp; Construction</t>
  </si>
  <si>
    <t xml:space="preserve">CertIII in Bricklaying and Blocklaying + Dip in Building &amp; Construction</t>
  </si>
  <si>
    <t xml:space="preserve">Dip in Building &amp; Construction + Adv Dip of Civil Construction Design</t>
  </si>
  <si>
    <t xml:space="preserve">Cert III in Light Vehicle Mechanical Technology + Dip of Automotive Management</t>
  </si>
  <si>
    <t xml:space="preserve">Cert III in Automotive Electrical Technology + Dip of Automotive Management</t>
  </si>
  <si>
    <t xml:space="preserve">Cert III in Light Vehicle Mechanical Technology + Cert III in Automotive Electrical Technology + Dip of Automotive</t>
  </si>
  <si>
    <t xml:space="preserve">Nurse Training Australia (NTA)
106-108 3 Railway Parade, Burwood NSW Australia</t>
  </si>
  <si>
    <t xml:space="preserve">Cert III in Individual Support + Cert IV in Ageing Support + Dip of Community Services ($2287,5/term in Cert IV, $2494/term in Dip)</t>
  </si>
  <si>
    <t xml:space="preserve">Dip of Community Services + Adv Dip of Community Sector Management ($3000/term in Adv Dip)</t>
  </si>
  <si>
    <t xml:space="preserve">Adv Dip of Community Sector Management + Graduate Certificate in Client Assessment and Case Management ($3750/term in Graduate Dip)</t>
  </si>
  <si>
    <t xml:space="preserve">Dip of Community Services + Adv Dip of Community Sector Management + Graduate Certificate in Client Assessment and Case Management ($3000/term in Adv Dip, $3750/term in Graduate Dip)</t>
  </si>
  <si>
    <t xml:space="preserve">Cert III in Individual Support (Ageing and Disability)</t>
  </si>
  <si>
    <t xml:space="preserve">Cert IV in Disability Support</t>
  </si>
  <si>
    <t xml:space="preserve">Cert IV in Mental Health</t>
  </si>
  <si>
    <t xml:space="preserve">Dip of Community Services</t>
  </si>
  <si>
    <t xml:space="preserve">Graduate Certificate in Client Assessment and Case Management</t>
  </si>
  <si>
    <t xml:space="preserve">NVR Education
Level 3, 770-772 George Street, Sydney NSW 2000</t>
  </si>
  <si>
    <t xml:space="preserve">Cert III in Painting &amp; Decoration</t>
  </si>
  <si>
    <t xml:space="preserve">CEK: Situs resmi NVR hanya mencantumkan Level 7, 191-199 Thomas St, Haymarket - konfirmasi alamat George St.; Harga belum dicek ke sumber resmi</t>
  </si>
  <si>
    <t xml:space="preserve">CEK: Lebih murah dari harga publik (~3,600/periode): pastikan ini harga agen/promo yang berlaku. Dicocokkan dicek 30/10/2026: selisih 30.6% - halaman fee resmi NVR tidak dapat dibaca; tidak ada skema resmi ditemukan; tetap perlu dokumen agen/promo bertanggal; Harga agen: dokumen price list agen belum dilampirkan; Lebih murah dari harga publik - kemungkinan harga agen/promo (tidak diubah); Cara hitung tuition/periode: Hitung: total/tahunan ÷ N; Sumber: https://search.studyaustralia.gov.au/provider/nvr-education-pty-ltd/784c90d025b61ed0920375b67bbd9b0d/courses, dicek 29/10/2026</t>
  </si>
  <si>
    <t xml:space="preserve">Adv Dip of Information Technology (IT) (Cyber Security)</t>
  </si>
  <si>
    <t xml:space="preserve">Material/enrolment belum tercatat (material; dihitung 0 di Estimasi Initial Payment); Harga agen: dokumen price list agen belum dilampirkan; Lebih murah dari harga publik - kemungkinan harga agen/promo (tidak diubah)</t>
  </si>
  <si>
    <t xml:space="preserve">CEK: Lebih murah dari harga publik (~2,000/periode): pastikan ini harga agen/promo yang berlaku. Dicocokkan dicek 30/10/2026: selisih 25.0% - halaman fee resmi NVR tidak dapat dibaca; tidak ada skema resmi ditemukan; tetap perlu dokumen agen/promo bertanggal; Material/enrolment belum tercatat (material; dihitung 0 di Estimasi Initial Payment); Harga agen: dokumen price list agen belum dilampirkan; Lebih murah dari harga publik - kemungkinan harga agen/promo (tidak diubah); Cara hitung tuition/periode: Hitung: total/tahunan ÷ N; Sumber: https://search.studyaustralia.gov.au/provider/nvr-education-pty-ltd/784c90d025b61ed0920375b67bbd9b0d/courses, dicek 29/10/2026</t>
  </si>
  <si>
    <t xml:space="preserve">Tuition beda per level, lihat keterangan di kolom Program; CEK: Lebih murah dari harga publik (~2,000/periode): pastikan ini harga agen/promo yang berlaku. Dicocokkan dicek 30/10/2026: selisih 25.0% - halaman fee resmi NVR tidak dapat dibaca; tidak ada skema resmi ditemukan; tetap perlu dokumen agen/promo bertanggal; Material/enrolment belum tercatat (material; dihitung 0 di Estimasi Initial Payment); Harga agen: dokumen price list agen belum dilampirkan; Lebih murah dari harga publik - kemungkinan harga agen/promo (tidak diubah); Cara hitung tuition/periode: Hitung: total/tahunan ÷ N; Sumber: https://search.studyaustralia.gov.au/provider/nvr-education-pty-ltd/784c90d025b61ed0920375b67bbd9b0d/courses, dicek 29/10/2026</t>
  </si>
  <si>
    <t xml:space="preserve">Cert IV + Dip of Human Resource (HR) ($1600/term on Adv Dip level)</t>
  </si>
  <si>
    <t xml:space="preserve">Tuition beda per level, lihat keterangan di kolom Program; CEK: Lebih murah dari harga publik (~2,500/periode): pastikan ini harga agen/promo yang berlaku. Dicocokkan dicek 30/10/2026: selisih 40.0% - halaman fee resmi NVR tidak dapat dibaca; tidak ada skema resmi ditemukan; tetap perlu dokumen agen/promo bertanggal; Material/enrolment belum tercatat (material; dihitung 0 di Estimasi Initial Payment); Harga agen: dokumen price list agen belum dilampirkan; Lebih murah dari harga publik - kemungkinan harga agen/promo (tidak diubah); Cara hitung tuition/periode: Hitung: total/tahunan ÷ N; Sumber: https://search.studyaustralia.gov.au/provider/nvr-education-pty-ltd/784c90d025b61ed0920375b67bbd9b0d/courses, dicek 29/10/2026</t>
  </si>
  <si>
    <t xml:space="preserve">Cert IV + Dip + Adv Dip of Human Resource (HR) ($1600/term on Adv Dip level)</t>
  </si>
  <si>
    <t xml:space="preserve">Cert IV + Dip of Marketing Communication</t>
  </si>
  <si>
    <t xml:space="preserve">Cert IV + Dip + Adv Dip of Marketing Communication ($1600/term on Adv Dip level)</t>
  </si>
  <si>
    <t xml:space="preserve">Cert IV + Dip + Adv Dip of Project Management ($1600/term on Adv Dip level)</t>
  </si>
  <si>
    <t xml:space="preserve">Oceania College of Technology
Level 6, 16-18 Wentworth St, Parramatta, Sydney, NSW, 2150, Australia</t>
  </si>
  <si>
    <t xml:space="preserve">Rosehill College
Level 2 &amp; 4, 4/620 Harris St, Ultimo NSW 2007, Australia</t>
  </si>
  <si>
    <t xml:space="preserve">Cert III in Electrotechnology Elitrician</t>
  </si>
  <si>
    <t xml:space="preserve">CEK: Data terdaftar: 616 Harris St (bukan 4/620) - konfirmasi.; Harga belum dicek ke sumber resmi; Cara hitung tuition/periode: Hitung: total/tahunan ÷ N</t>
  </si>
  <si>
    <t xml:space="preserve">Adv. Dip of Engineering Technology - Electrical</t>
  </si>
  <si>
    <t xml:space="preserve">CEK: konfirmasi harga ke sekolah (harga beda dengan sumber resmi); CEK: Harga di sini 3,625 lebih mahal dari harga resmi ~3,125/periode - konfirmasi ke sekolah sebelum dipakai. 12.500/4 = 3.125 per term (asumsi 4 term); list offshore 3.625 (+16%, lebih tinggi). (sumber: agregator One U Education, bukan situs resmi sekolah; konfirmasi k; Cara hitung tuition/periode: Hitung: total/tahunan ÷ N; Sumber: https://www.oneuedu.com/schools/rosehill-college-rc-03622A, dicek 29/10/2026</t>
  </si>
  <si>
    <t xml:space="preserve">Cert III in Electrotechnology Elitrician + Adv. Dip of engineering Technology - Electrical</t>
  </si>
  <si>
    <t xml:space="preserve">Cert III + Dip. Of Early Childhood Education and Care ($2025/term on Dip Level)</t>
  </si>
  <si>
    <t xml:space="preserve">Cert III in Individual Support (Ageing and Disability) + Cert IV in Disability Support</t>
  </si>
  <si>
    <t xml:space="preserve">Cert III in Individual Support (Ageing and Disability) + Cert IV in Disability Support + Dip of Community Services</t>
  </si>
  <si>
    <t xml:space="preserve">Dip of Business (Digital and Data)</t>
  </si>
  <si>
    <t xml:space="preserve">Adv Dip of Leadership and Communication</t>
  </si>
  <si>
    <t xml:space="preserve">CEK: Sebagian sesuai sumber resmi: Nama di list kemungkinan salah (seharusnya Leadership and Management). 6.000/4 = 1.500 = list onshore 1.500 (sesuai); list offshore 2.500 lebih tinggi. (sumber:; Tuition total/tahunan belum terbukti cocok dengan sumber resmi; Harga sebagian sesuai sumber resmi; Cara hitung tuition/periode: Hitung: total/tahunan ÷ N; Sumber: https://www.oneuedu.com/schools/rosehill-college-rc-03622A, dicek 29/10/2026</t>
  </si>
  <si>
    <t xml:space="preserve">Rosewood International College
Level 3, 541 Kent Street, Sydney, NSW 2000</t>
  </si>
  <si>
    <t xml:space="preserve">Cert IV + Dip + Adv Dip of Accounting</t>
  </si>
  <si>
    <t xml:space="preserve">Cert IV in Kitchen Management + Dip of Hospitality Management ( $1500/term untuk 2 term terakhir)</t>
  </si>
  <si>
    <t xml:space="preserve">Signet Institute of Australia
Level 1/54 Parramatta Rd, Forest Lodge NSW 2037, Australia</t>
  </si>
  <si>
    <t xml:space="preserve">Cert III in Automotive Diesel Engine Technology + Cert IV in Automotive Mechanical Diagnosis</t>
  </si>
  <si>
    <t xml:space="preserve">Cert III in Bricklaying and Blocklaying + Adv Dip of Civil Construction Design</t>
  </si>
  <si>
    <t xml:space="preserve">Cert III in wall and floor Tilling + Adv Dip of Civil Construction Design</t>
  </si>
  <si>
    <t xml:space="preserve">Cert III in Individual Support + Dip Of Community Service</t>
  </si>
  <si>
    <t xml:space="preserve">Cert III in Individual Support + Dip Of Mental Health</t>
  </si>
  <si>
    <t xml:space="preserve">Dip Of Dental Technology ($3500 Practical Fee)</t>
  </si>
  <si>
    <t xml:space="preserve">Skyline Higher Education Australia (SHEA)
Level 3, 136 Chalmers Street, Surry Hills, NSW 2010, Sydney, Australia</t>
  </si>
  <si>
    <t xml:space="preserve">CEK: Lebih murah dari harga publik (~4,950/periode): pastikan ini harga agen/promo yang berlaku. Dicocokkan dicek 30/10/2026: selisih 10.0% - halaman fee resmi SHEA tanpa diskon (BIT 19.800/thn, MIT 24.000/thn); tetap perlu dokumen agen/promo bertanggal; Harga agen: dokumen price list agen belum dilampirkan; Lebih murah dari harga publik - kemungkinan harga agen/promo (tidak diubah); Sumber: https://shea.edu.au/future-students/fees/, dicek 29/10/2026</t>
  </si>
  <si>
    <t xml:space="preserve">Bachelor of Information Technology (IT) (Specialise in AI)</t>
  </si>
  <si>
    <t xml:space="preserve">Bachelor of Information Technology (IT) (Specialise in Cyber Security)</t>
  </si>
  <si>
    <t xml:space="preserve">CEK: Lebih murah dari harga publik (~6,000/periode): pastikan ini harga agen/promo yang berlaku. Dicocokkan dicek 30/10/2026: selisih 10.0% - halaman fee resmi SHEA tanpa diskon (BIT 19.800/thn, MIT 24.000/thn); tetap perlu dokumen agen/promo bertanggal; Harga agen: dokumen price list agen belum dilampirkan; Lebih murah dari harga publik - kemungkinan harga agen/promo (tidak diubah); Sumber: https://shea.edu.au/future-students/fees/, dicek 29/10/2026</t>
  </si>
  <si>
    <t xml:space="preserve">Master of Information Technology (IT) (Specialise in AI)</t>
  </si>
  <si>
    <t xml:space="preserve">Sydney City College of Management
Level 1 303 Pitts Street, Sydney, NSW 2000------------Level 2, 17 Macquarie St, Parramatta NSW 2150</t>
  </si>
  <si>
    <t xml:space="preserve">Sydney College of Professional Education (SCPE)
LEVEL 1, 133 PARRAMATTA ROAD, GRANVILLE NSW 2142</t>
  </si>
  <si>
    <t xml:space="preserve">Cert III in Individual Support + Cert IV in Disability</t>
  </si>
  <si>
    <t xml:space="preserve">CEK: Sebagian sesuai sumber resmi: 18.000/6 term = 3.000/term: offshore $3.000 cocok; onshore $2.500 lebih murah dari harga publik - kemungkinan harga khusus agen/promo, konfirmasi ke sekolah. Su; Tuition total/tahunan belum terbukti cocok dengan sumber resmi; Harga sebagian sesuai sumber resmi; Cara hitung tuition/periode: Hitung: total/tahunan ÷ N; Sumber: https://search.studyaustralia.gov.au/provider/sydney-college-of-professional-education-pty-ltd/c413305fb39adf38b3cce28a75408c47/courses, dicek 29/10/2026</t>
  </si>
  <si>
    <t xml:space="preserve">Cert III in Individual Support + Cert IV in Disability + Diploma of Community Services ($2500/term in Dip level)</t>
  </si>
  <si>
    <t xml:space="preserve">Tuition beda per level, lihat keterangan di kolom Program; Harga sesuai sumber resmi; Cara hitung tuition/periode: Hitung: total/tahunan ÷ N; Sumber: https://search.studyaustralia.gov.au/provider/sydney-college-of-professional-education-pty-ltd/c413305fb39adf38b3cce28a75408c47/courses, dicek 29/10/2026</t>
  </si>
  <si>
    <t xml:space="preserve">Cert IV + Dip of Leadership and Management ($3000/term in Dip)</t>
  </si>
  <si>
    <t xml:space="preserve">Cert IV + Dip + Adv Dip of Leadership and Management ($3000/term in Dip, $4250/term in Adv Dip)</t>
  </si>
  <si>
    <t xml:space="preserve">Cert III in Heavy Commercial Vehicle Mechanical Technology</t>
  </si>
  <si>
    <t xml:space="preserve">CEK: Sebagian sesuai sumber resmi: 28.000/8 term = 3.500/term: offshore $3.500 cocok; onshore $2.750 lebih murah dari harga publik - kemungkinan harga khusus agen/promo, konfirmasi ke sekolah. Su; Tuition total/tahunan belum terbukti cocok dengan sumber resmi; Harga sebagian sesuai sumber resmi; Cara hitung tuition/periode: Hitung: total/tahunan ÷ N; Sumber: https://search.studyaustralia.gov.au/provider/sydney-college-of-professional-education-pty-ltd/c413305fb39adf38b3cce28a75408c47/courses, dicek 29/10/2026</t>
  </si>
  <si>
    <t xml:space="preserve">Sydney Institute of Higher Education (SIHE)
Level 3/695-699 George St, Haymarket NSW 2000, Australia</t>
  </si>
  <si>
    <t xml:space="preserve">Bachelor Of Information Technology (IT) (Per Trimester or 4 months)</t>
  </si>
  <si>
    <t xml:space="preserve">CEK: Lebih murah dari harga publik (~6,533/periode): pastikan ini harga agen/promo yang berlaku. Dicocokkan dicek 30/10/2026: selisih 15.6% - beasiswa resmi SIHE 25% offshore / 35% onshore (intake Nov 2026); selisih 15,6%/26,9% tidak cocok; tetap perlu dokumen agen/promo bertanggal; Material/enrolment belum tercatat (material; dihitung 0 di Estimasi Initial Payment); Harga agen: dokumen price list agen belum dilampirkan; Lebih murah dari harga publik - kemungkinan harga agen/promo (tidak diubah); Cara hitung tuition/periode: Hitung: total/tahunan ÷ N; Sumber: https://sydneyinstitute.edu.au/scholarships/, dicek 29/10/2026</t>
  </si>
  <si>
    <t xml:space="preserve">Master Of Information Technology (IT) (Per Trimester or 4 months)</t>
  </si>
  <si>
    <t xml:space="preserve">Bachelor Of Accounting (Per Trimester or 4 months)</t>
  </si>
  <si>
    <t xml:space="preserve">Sydney Metro College (SMC)
Level 1, 95 Bathurst Street Sydney, NSW, 2000</t>
  </si>
  <si>
    <t xml:space="preserve">Cet III + Dip of Early Childhood Education and Care</t>
  </si>
  <si>
    <t xml:space="preserve">Cert IV + Dip + Adv Dip of Information Technology (IT)</t>
  </si>
  <si>
    <t xml:space="preserve">Cert III in Ageing Support + Dip of Community Services</t>
  </si>
  <si>
    <t xml:space="preserve">Sydney Metropolitan International College
432 - 434 Kent Street, Sydney NSW 2000, Australia</t>
  </si>
  <si>
    <t xml:space="preserve">Dip + Adv. Dip. Of Information Technology (IT)</t>
  </si>
  <si>
    <t xml:space="preserve">Cert IV + Dip of Business (Diploma Tuition fee $1500/term)</t>
  </si>
  <si>
    <t xml:space="preserve">Cert IV + Dip + Adv Dip. of Business (Diploma &amp; Adv. Dip Tuition fee $1500/term)</t>
  </si>
  <si>
    <t xml:space="preserve">Cert III in Individual Support + Cert IV in Ageing Support + Dip. Of Community Service</t>
  </si>
  <si>
    <t xml:space="preserve">Adv. Dip. Of Civil Construction</t>
  </si>
  <si>
    <t xml:space="preserve">TAFE NSW
TAFE NSW punya 130+ kampus di seluruh NSW, Jadi alamat tergantung: - jurusan yang kamu ambil - intake &amp; lokasi yang tersedia</t>
  </si>
  <si>
    <t xml:space="preserve">Cert IV in Tertiary Preparation (kampus: Ultimo)</t>
  </si>
  <si>
    <t xml:space="preserve">[B] TAFE NSW: tuition dibayar di muka per semester (guide hal. 78); uniform/equipment/textbooks $300-$1.000 per kursus (RENTANG - material tetap kosong, baris tetap diblokir); harga dari Guide 2026 (cetak Ags 2025) - untuk intake 2027 cek tafensw.edu.au/international; Material/enrolment belum tercatat (material; dihitung 0 di Estimasi Initial Payment); Harga belum dicek ke sumber resmi; Sumber: TAFE NSW International Pricelist - Student Guide.pdf (International Student Guide 2026, "Correct at time of printing (August 2025)"); https://www.tafensw.edu.au/international/enrol/fees (dicek 29 Okt 2026), dicek 29/10/2026</t>
  </si>
  <si>
    <t xml:space="preserve">Cert IV in Residential Drafting + Dip of Building Design (kampus: Ultimo) ($6600/term on Dip)</t>
  </si>
  <si>
    <t xml:space="preserve">Tuition beda per level, lihat keterangan di kolom Program; [B] TAFE NSW: tuition dibayar di muka per semester (guide hal. 78); uniform/equipment/textbooks $300-$1.000 per kursus (RENTANG - material tetap kosong, baris tetap diblokir); harga dari Guide 2026 (cetak Ags 2025) - untuk intake 2027 cek tafensw.edu.au/international; Material/enrolment belum tercatat (material; dihitung 0 di Estimasi Initial Payment); Harga belum dicek ke sumber resmi; Sumber: TAFE NSW International Pricelist - Student Guide.pdf (International Student Guide 2026, "Correct at time of printing (August 2025)"); https://www.tafensw.edu.au/international/enrol/fees (dicek 29 Okt 2026), dicek 29/10/2026</t>
  </si>
  <si>
    <t xml:space="preserve">Cert IV + Dip of Building &amp; Construction(Building) (kampus: Granville, Nirimba) ($6300/term on Dip)</t>
  </si>
  <si>
    <t xml:space="preserve">Cert IV + Dip of Surveying and Spatial Information Services (Surveyig) (Kampus: Ultimo) ($6900/term on Dip)</t>
  </si>
  <si>
    <t xml:space="preserve">Cert IV in Acccounting &amp; Bookkeeping + Dip Applied Commerce (kampus: Granville, Ultimo) ($5560/term on Dip)</t>
  </si>
  <si>
    <t xml:space="preserve">Bachelor of Applied Commerce - Accounting Major (Ultimo)</t>
  </si>
  <si>
    <t xml:space="preserve">[B] TAFE NSW: tuition dibayar di muka per semester (guide hal. 78); uniform/equipment/textbooks $300-$1.000 per kursus (RENTANG - material tetap kosong, baris tetap diblokir); harga dari Guide 2026 (cetak Ags 2025) - untuk intake 2027 cek tafensw.edu.au/international; Material/enrolment belum tercatat (material; dihitung 0 di Estimasi Initial Payment); Harga sesuai sumber resmi; Cara hitung tuition/periode: Hitung: total/tahunan ÷ N; Sumber: https://cd.tafensw.edu.au/api/-/media/Files/PDFs/About/Fees/TAFE-NSW-HE-FEES-2026.pdf, dicek 29/10/2026</t>
  </si>
  <si>
    <t xml:space="preserve">Bachelor of Applied Commerce Accounting and Financial Planning (Double Majors) (Ultimo)</t>
  </si>
  <si>
    <t xml:space="preserve">Bachelor of Applied Commerce - Financial Planning Major (Ultimo)</t>
  </si>
  <si>
    <t xml:space="preserve">Bachelor of Applied Commerce - Financial Planning Major (Ultimo) (Fast Track)</t>
  </si>
  <si>
    <t xml:space="preserve">Cert III + Cert IV + Dip of Business (kampus: Ultimo, Granville, Liverpool, Meadowbank, Newcastle) ($4025/term on Cert IV, $5560/term on Dip)</t>
  </si>
  <si>
    <t xml:space="preserve">Cert IV in Business (Administration) (Ultimo)</t>
  </si>
  <si>
    <t xml:space="preserve">Bachelor of Business (Kampus: Granville , Ultimo)</t>
  </si>
  <si>
    <t xml:space="preserve">Bachelor of Business (Kampus: Granville , Ultimo) (Fast Track)</t>
  </si>
  <si>
    <t xml:space="preserve">Bachelor of Business Specialising in Hospitality and Hotel Management (Part of package) (kampus: Ultimo)</t>
  </si>
  <si>
    <t xml:space="preserve">Cert IV in Marketing &amp; Communication (kampus: Ultimo, Newwcastle)</t>
  </si>
  <si>
    <t xml:space="preserve">Cert IV in Real Estate Practice (kampus: Ultimo)</t>
  </si>
  <si>
    <t xml:space="preserve">Bachelor of Property Valuation (kampus: Ultimo)</t>
  </si>
  <si>
    <t xml:space="preserve">Cert III in Individual Support (Ageing) + Cert IV in Ageing Support (kampus: Ultimo, Port Macquarie, Glendale, Kingswood, Meadowbank, Newcastle, St Leaonards, wetherill park) ($3432/term on Cert IV)</t>
  </si>
  <si>
    <t xml:space="preserve">Cert IV + Dip of Community Services (kampus: Dubbo, Nirimba, Ultimo) ($2750/term on Dip)</t>
  </si>
  <si>
    <t xml:space="preserve">Cert III + Dip of Early Childhood &amp; Care (kampus: Gleendale, Meadowbank, Nirimba, Ourimbah, Petersham, Randwick, St Leonards, Ultimo, Wollongong, Loftus) ($4250/tterm on Dip)</t>
  </si>
  <si>
    <t xml:space="preserve">Bachelor of Early Childhood &amp; Care - Birth 5 (kampus: Glendale, Nirimba, Randwick, Shellharbour, St Leonards, Ultimo)</t>
  </si>
  <si>
    <t xml:space="preserve">Bachelor of Early Childhood &amp; Care - Birth 5 (kampus: Ultimo)</t>
  </si>
  <si>
    <t xml:space="preserve">Dip + Adv Dip of Civil Construction Design (kampus: Ultimo) ($4515/term on Adv Dip)</t>
  </si>
  <si>
    <t xml:space="preserve">Dip of Electronics and Communications Engineering (kampus: Ultimo)</t>
  </si>
  <si>
    <t xml:space="preserve">Adv Dip of Engineering (Mechanical) (kampus: Ultimo)</t>
  </si>
  <si>
    <t xml:space="preserve">Dip of Renewable Energy Engineerng (kampus: Ultimo)</t>
  </si>
  <si>
    <t xml:space="preserve">Dip of Event Management (kampus: Hamilton, Ulttimo)</t>
  </si>
  <si>
    <t xml:space="preserve">Dip of Travel and Tourism Management (kampus: Hamilton, Northern Beaches, Ryde, Ultimo)</t>
  </si>
  <si>
    <t xml:space="preserve">Cert III in Commercial Cookery + Cert in Kicthen Management + Dip of Hospitality Management (kampus: Ourimbah, Wollongong, Hamilton, Kingsciff, Kingswood, Ryde, Ultimo, Wollongbar, Armidale, Dubbo, Tamworth, Northern Beaches, Orange) ($5725/ term on Cert IV, $4325/term on Dip)</t>
  </si>
  <si>
    <t xml:space="preserve">Tuition beda per level, lihat keterangan di kolom Program; CEK: Sebagian sesuai sumber resmi: Komponen Cert IV ($5.725/term) dan Dip ($4.325/term) konsisten dgn harga paket resmi: 5.725x4 + 4.325x4 = 40.200 (= batas bawah resmi). Harga $5.100/term utk Ce; [B] TAFE NSW: tuition dibayar di muka per semester (guide hal. 78); uniform/equipment/textbooks $300-$1.000 per kursus (RENTANG - material tetap kosong, baris tetap diblokir); harga dari Guide 2026 (cetak Ags 2025) - untuk intake 2027 cek tafensw.edu.au/international; Material/enrolment belum tercatat (material; dihitung 0 di Estimasi Initial Payment); Tuition total/tahunan belum terbukti cocok dengan sumber resmi; Harga sebagian sesuai sumber resmi; Cara hitung tuition/periode: Hitung: total/tahunan ÷ N; Sumber: https://www.tafensw.edu.au/international/package/diploma-of-hospitality-management--1469, dicek 29/10/2026</t>
  </si>
  <si>
    <t xml:space="preserve">Cert III + Cert IV in Patisserie + Dip of Hospitality Management (kampus: Ryde, Ultimo) ($5725/ term on Cert IV, $4325/term on Dip)</t>
  </si>
  <si>
    <t xml:space="preserve">Tuition beda per level, lihat keterangan di kolom Program; CEK: Sebagian sesuai sumber resmi: Hanya komponen Dip Hospitality Mgmt ($4.325/term) yang konsisten dgn harga paket resmi (4.325x4 = 17.300; 22.900+17.300 = 40.200). Cert III/Cert IV Patisserie (; [B] TAFE NSW: tuition dibayar di muka per semester (guide hal. 78); uniform/equipment/textbooks $300-$1.000 per kursus (RENTANG - material tetap kosong, baris tetap diblokir); harga dari Guide 2026 (cetak Ags 2025) - untuk intake 2027 cek tafensw.edu.au/international; Material/enrolment belum tercatat (material; dihitung 0 di Estimasi Initial Payment); Tuition total/tahunan belum terbukti cocok dengan sumber resmi; Harga sebagian sesuai sumber resmi; Cara hitung tuition/periode: Hitung: total/tahunan ÷ N; Sumber: https://www.tafensw.edu.au/international/package/diploma-of-hospitality-management--1469, dicek 29/10/2026</t>
  </si>
  <si>
    <t xml:space="preserve">Cert III in Hairdressing + Dip of Beauty Therapy (kampus: Granville, Liverpool, Ultimo, Meadowbank) ($5610/term on Dip)</t>
  </si>
  <si>
    <t xml:space="preserve">Cert III + Cert IV in Dental Assisting + Dip of Dental Technology (kampus: Randwick) ($7100/term on Cert IV, $6090/term on Dip)</t>
  </si>
  <si>
    <t xml:space="preserve">Cert III in Health Services Assistance (Assisting in Nursing Work in Acute Care) + Dip of Nursing (kampus: Castle Hill, Kingswood, Newcastle, Ultimo, Randwiick, taree, St George, Kogarah, Albury, Orange, Wyong, Wagga Wagga) ($4750/term on Dip)</t>
  </si>
  <si>
    <t xml:space="preserve">Certt IV in Laboratory Techniques + Dip Laboratory Technology(Chemistry) (kampus: Granville, Ultimo) ($6677/term on Dip)</t>
  </si>
  <si>
    <t xml:space="preserve">Certt IV in Laboratory Techniques + Dip Laboratory Technology(Food) (kampus: Ultimo) ($5583/term on Dip)</t>
  </si>
  <si>
    <t xml:space="preserve">Certt IV in Laboratory Techniques + Dip Laboratory Technology(Pathology) (kampus: Granville, Ultimo) ($4946/term on Dip)</t>
  </si>
  <si>
    <t xml:space="preserve">Dip of Remedial Massage (kampus: Kingscliff, Port Macquarie, Randwick)</t>
  </si>
  <si>
    <t xml:space="preserve">Cert III in Horticulture+ Dip of Landscape Design (kampus: Ryde) ($4855/term on Dip)</t>
  </si>
  <si>
    <t xml:space="preserve">2.5 years</t>
  </si>
  <si>
    <t xml:space="preserve">Dip of Conservation and Ecosystem Management (kampus: Ryde)</t>
  </si>
  <si>
    <t xml:space="preserve">Cert III + Cert IV + Dip of IT (kampus: St Leonards, Meadowbank) ($6675/term on Cert IV, $8100/term on Diip)</t>
  </si>
  <si>
    <t xml:space="preserve">Cert III + Cert IV + Dip of IT (Advanced Networking and Cloud Architecture) (kampus: Ultimo, Blacktown, Meadowbank) ($6675/term on Cert IV, $8100/term on Diip)</t>
  </si>
  <si>
    <t xml:space="preserve">Cert III + Cert IV + Dip of IT (Advanced Programming) (kampus: Ultimo,Petersham) ($6675/term on Cert IV, $8100/term on Diip)</t>
  </si>
  <si>
    <t xml:space="preserve">Cert III + Cert IV + Dip of IT (Back End Web Development) or (Front End Web Development) (kampus: Ultimo) ($6675/term on Cert IV, $8100/term on Diip)</t>
  </si>
  <si>
    <t xml:space="preserve">Cert IV in IT (Gaming Development) (kampus: St Leonards)</t>
  </si>
  <si>
    <t xml:space="preserve">Bachelor of Information Technology (IT) (Cyber &amp; Network Security) (kampus: Meadownbank)</t>
  </si>
  <si>
    <t xml:space="preserve">Bachelor of Information Technology (IT) (Cyber &amp; Network Security) (kampus: Meadownbank) (Fast Track)</t>
  </si>
  <si>
    <t xml:space="preserve">Bachelor of Information Technology (IT) (Data Engineering) (kampus: Meadownbank)</t>
  </si>
  <si>
    <t xml:space="preserve">Bachelor of Information Technology (IT) (Data Engineering) (kampus: Meadownbank) (Fast Track)</t>
  </si>
  <si>
    <t xml:space="preserve">Dip of Maritime Operations (Watchkeeper Deck) (kampus: Newcastle)</t>
  </si>
  <si>
    <t xml:space="preserve">Marine Engineering Class 1) - (Motor) (kampus: Newcastle)</t>
  </si>
  <si>
    <t xml:space="preserve">Dip of Maritime Operations (Engineer Watchkeeper) (kampus: Newcastle)</t>
  </si>
  <si>
    <t xml:space="preserve">Cert III in Design Fundamentals + Cert IV in Design (focused on Fashion Design*) (kampus: Ulttimo) ($5463/term on Cert IV)</t>
  </si>
  <si>
    <t xml:space="preserve">Cert III in Apparel, Fashion and Textiles (kampus: Ulttimo)</t>
  </si>
  <si>
    <t xml:space="preserve">Cert IV in Live Producton and Technical Services (Costume)</t>
  </si>
  <si>
    <t xml:space="preserve">Dip of Apparel, Fashion and Textiles (kampus: Ulttimo) (Business)</t>
  </si>
  <si>
    <t xml:space="preserve">Dip of Apparel, Fashion and Textiles(Design and Product Development) (kampus: Ulttimo)</t>
  </si>
  <si>
    <t xml:space="preserve">Dip of Fashion (kampus: Ulttimo)</t>
  </si>
  <si>
    <t xml:space="preserve">Bachelor of Fashion Design (kampus: Ulttimo)</t>
  </si>
  <si>
    <t xml:space="preserve">Cert III in Design Fundamentals + Cert IV in Design (focused on Graphic Design) + Dip of Graphic Design (kampus: Lidcombe, Design Centre, Enmore Kingswood, Cambelltown) ($5463/term on Cert IV, $4275/term on Dip)</t>
  </si>
  <si>
    <t xml:space="preserve">Cert III in Design Fundamentals + Cert IV in Design (focused on Graphic Design) + Dip + Adv Dip of Graphic Design (kampus: Lidcombe, Design Centre Enmore, Kingswood, Cambelltown) ($5463/term on Cert IV, $4275/term on Dip, $4088/term on Adv Dip)</t>
  </si>
  <si>
    <t xml:space="preserve">Cert IV in Interior Decoration + Dip of Interior Design (kampus: Lidombe, Design Centre Enmore) ($6213/term on Dip)</t>
  </si>
  <si>
    <t xml:space="preserve">Bachelor of Interior Design (kampus: Design Centre Enmore)</t>
  </si>
  <si>
    <t xml:space="preserve">Cert III + Dip of Music (Creation and Composition) (kampus: Ultimo) ($3813/term on Dip)</t>
  </si>
  <si>
    <t xml:space="preserve">Cert III + Dip of Music (Performance) (kampus: Ultimo) ($3813/term on Dip)</t>
  </si>
  <si>
    <t xml:space="preserve">Cert III + Dip of Music (Sound Production) (kampus: Ultimo) ($3813/term on Dip)</t>
  </si>
  <si>
    <t xml:space="preserve">Bachelor of Creative Practice Specialising in Music Production and Performance (kampus: Ultimo)</t>
  </si>
  <si>
    <t xml:space="preserve">Cert III in Floristry (kampus: Ryde, Ultimo)</t>
  </si>
  <si>
    <t xml:space="preserve">Cert IV + Dip of Screen and Media (kampus: St Leonards) ($4882/term on Dip)</t>
  </si>
  <si>
    <t xml:space="preserve">Bachelor of 3D Art and Animation (kampus: Design Centre Enmore)</t>
  </si>
  <si>
    <t xml:space="preserve">The Institute of International Studies (TIIS)
Level 4 22 Market St., Sydney NSW 2000 Australia</t>
  </si>
  <si>
    <t xml:space="preserve">Graduate Certificate in Information Technology</t>
  </si>
  <si>
    <t xml:space="preserve">Material/enrolment belum tercatat (material; dihitung 0 di Estimasi Initial Payment); Asumsi bayar awal 2 term (nilai pricelist lama; kebijakan resmi TIIS EMT-24: initial fees dibayar saat menerima Letter of Offer, jumlah periode tidak disebut; Grad Cert 16 minggu) - konfirmasi ke sekolah; Harga belum dicek ke sumber resmi</t>
  </si>
  <si>
    <t xml:space="preserve">Graduate Certificate in profesional Accounting</t>
  </si>
  <si>
    <t xml:space="preserve">Master Of Cyber Security</t>
  </si>
  <si>
    <t xml:space="preserve">Master Of Professional Accounting</t>
  </si>
  <si>
    <t xml:space="preserve">Master Of Professional Accounting (Advanced)</t>
  </si>
  <si>
    <t xml:space="preserve">Bachelor Of Business</t>
  </si>
  <si>
    <t xml:space="preserve">Times Academy
LG/101 Sussex St, Sydney NSW 2000, Australia</t>
  </si>
  <si>
    <t xml:space="preserve">Cert IV + Dip of Leadership Management</t>
  </si>
  <si>
    <t xml:space="preserve">Graduate Dip of Management (Learning)</t>
  </si>
  <si>
    <t xml:space="preserve">Cert III in Individual Support + Cert Iv in Ageing Support</t>
  </si>
  <si>
    <t xml:space="preserve">Cert III in Individual Support + Cert Iv in Ageing Support + Dip of Community Service</t>
  </si>
  <si>
    <t xml:space="preserve">TKL College (Training for Knowledge and Livelihood)
Unit 43, Level 10, 95-99 York St Sydney NSW 2000-------------: Suite 707, Level 7, 159-175 Church St, Parramatta, NSW 2150</t>
  </si>
  <si>
    <t xml:space="preserve">Cert IV + Dip Of Accounting</t>
  </si>
  <si>
    <t xml:space="preserve">Cert IV + Dip + Adv Dip Leadership &amp; Management</t>
  </si>
  <si>
    <t xml:space="preserve">Cert III + Dip of Early Chidhood Education &amp; Care</t>
  </si>
  <si>
    <t xml:space="preserve">Torrens University Australia
17–51 Foveaux Street Surry Hills NSW 2010 ---------------- 1 Chambers Road Leura NSW 2780 --------- 21–23 Norton Street Leichhardt NSW 2040</t>
  </si>
  <si>
    <t xml:space="preserve">Diploma of Business (Accounting)</t>
  </si>
  <si>
    <t xml:space="preserve">Material/enrolment belum tercatat (material+enrolment; dihitung 0 di Estimasi Initial Payment); Tuition cocok dengan fee resmi 117486A: 3.950/subject, tahunan 31.600, total 31.600 (8 subject, 1 thn) - Torrens 2026 International Student Fee Schedule (Sept26 V24, terbit Okt 2026) hal. 1, dicek 30/10/2026; tuition/periode = tahunan ÷ 4 (konvensi TEG); Torrens menagih per trimester sesuai jumlah subject yang diambil, jadi tagihan per trimester bisa berbeda - jumlah pasti ikuti offer letter; Asumsi bayar awal 2 term (nilai pricelist lama; Torrens menagih per trimester sesuai subject; Fee Schedule 2026 V24 tidak menyebut jumlah bayar sebelum CoE) - konfirmasi ke sekolah; Harga belum dicek ke sumber resmi</t>
  </si>
  <si>
    <t xml:space="preserve">Bachelor of Business (Accounting)</t>
  </si>
  <si>
    <t xml:space="preserve">Material/enrolment belum tercatat (material+enrolment; dihitung 0 di Estimasi Initial Payment); Tuition cocok dengan fee resmi 107271K: 3.950/subject, tahunan 31.600, total 94.800 (24 subject, 3 thn) - Torrens 2026 International Student Fee Schedule (Sept26 V24, terbit Okt 2026) hal. 1, dicek 30/10/2026; tuition/periode = tahunan ÷ 4 (konvensi TEG); Torrens menagih per trimester sesuai jumlah subject yang diambil, jadi tagihan per trimester bisa berbeda - jumlah pasti ikuti offer letter; Asumsi bayar awal 2 term (nilai pricelist lama; Torrens menagih per trimester sesuai subject; Fee Schedule 2026 V24 tidak menyebut jumlah bayar sebelum CoE) - konfirmasi ke sekolah; Harga belum dicek ke sumber resmi; Cara hitung tuition/periode: Hitung: total/tahunan ÷ N</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</si>
  <si>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095358F: 4.500/subject, tahunan 36.000, total 54.000 (12 subject, 1.5 thn) - Torrens 2026 International Student Fee Schedule (Sept26 V24, terbit Okt 2026) hal. 2,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</si>
  <si>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Master of Professional Accounting (Advanced)</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</si>
  <si>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090254K: 4.500/subject, tahunan 36.000, total 72.000 (16 subject, 2 thn) - Torrens 2026 International Student Fee Schedule (Sept26 V24, terbit Okt 2026) hal. 2,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</si>
  <si>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Diploma of Design</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</si>
  <si>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094008C: 4.688/subject, tahunan 37.500, total 37.500 (8 subject, 1 thn) - Torrens 2026 International Student Fee Schedule (Sept26 V24, terbit Okt 2026) hal. 4,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</si>
  <si>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102489K: 3.125/subject, tahunan 25.000, total 37.500 (12 subject, 1.5 thn) - Torrens 2026 International Student Fee Schedule (Sept26 V24, terbit Okt 2026) hal. 4,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</si>
  <si>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090295A: 4.688/subject, tahunan 37.500, total 112.500 (24 subject, 3 thn) - Torrens 2026 International Student Fee Schedule (Sept26 V24, terbit Okt 2026) hal. 4,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</si>
  <si>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105417B: 4.688/subject, tahunan 37.500, total 112.500 (24 subject, 3 thn) - Torrens 2026 International Student Fee Schedule (Sept26 V24, terbit Okt 2026) hal. 4,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</si>
  <si>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114510H: 4.688/subject, tahunan 37.500, total 112.500 (24 subject, 3 thn) - Torrens 2026 International Student Fee Schedule (Sept26 V24, terbit Okt 2026) hal. 4,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</si>
  <si>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Diploma of Photography &amp; Photo Imaging</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</si>
  <si>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102490F: 3.125/subject, tahunan 25.000, total 37.500 (12 subject, 1.5 thn) - Torrens 2026 International Student Fee Schedule (Sept26 V24, terbit Okt 2026) hal. 4,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</si>
  <si>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Diploma of 3D Design &amp; Animation</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</si>
  <si>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103343J: 3.125/subject, tahunan 25.000, total 37.500 (12 subject, 1.5 thn) - Torrens 2026 International Student Fee Schedule (Sept26 V24, terbit Okt 2026) hal. 5,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</si>
  <si>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Bachelor of 3D Design &amp; Animation</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</si>
  <si>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103341M: 4.688/subject, tahunan 37.500, total 112.500 (24 subject, 3 thn) - Torrens 2026 International Student Fee Schedule (Sept26 V24, terbit Okt 2026) hal. 5,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</si>
  <si>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Diploma of UX &amp; Web Design</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</si>
  <si>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103346F: 3.125/subject, tahunan 25.000, total 37.500 (12 subject, 1.5 thn) - Torrens 2026 International Student Fee Schedule (Sept26 V24, terbit Okt 2026) hal. 5,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</si>
  <si>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Graduate Certificate of Design</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</si>
  <si>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114513E: 4.450/subject, tahunan 17.800, total 17.800 (4 subject, 0.5 thn) - Torrens 2026 International Student Fee Schedule (Sept26 V24, terbit Okt 2026) hal. 5,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</si>
  <si>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Master of Design (Cognate)</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</si>
  <si>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114511G: 4.450/subject, tahunan 35.600, total 53.400 (9** subject, 1.7 thn) - Torrens 2026 International Student Fee Schedule (Sept26 V24, terbit Okt 2026) hal. 5,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</si>
  <si>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110736M: 4.688/subject, tahunan 37.500, total 112.500 (22** subject, 3 thn) - Torrens 2026 International Student Fee Schedule (Sept26 V24, terbit Okt 2026) hal. 6,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</si>
  <si>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Diploma of Game Design &amp; Development</t>
  </si>
  <si>
    <t xml:space="preserve">Bachelor of Game Design &amp; Development</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</si>
  <si>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095346K: 4.688/subject, tahunan 37.500, total 112.500 (22** subject, 3 thn) - Torrens 2026 International Student Fee Schedule (Sept26 V24, terbit Okt 2026) hal. 4,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</si>
  <si>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Bachelor of Software Engineering (AI)</t>
  </si>
  <si>
    <t xml:space="preserve">Master of Software Engineering (AI, Advanced)</t>
  </si>
  <si>
    <t xml:space="preserve">Graduate Certificate of Education</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</si>
  <si>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113060D: 3.513/subject, tahunan 14.050, total 14.050 (4 subject, 0.5 thn) - Torrens 2026 International Student Fee Schedule (Sept26 V24, terbit Okt 2026) hal. 8,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</si>
  <si>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Graduate Diploma of Education (Inclusive Education)</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</si>
  <si>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113065K: 3.513/subject, tahunan 28.100, total 28.100 (8 subject, 1 thn) - Torrens 2026 International Student Fee Schedule (Sept26 V24, terbit Okt 2026) hal. 8,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</si>
  <si>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Master of Education (Inclusive Education)</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</si>
  <si>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113064M: 3.513/subject, tahunan 28.100, total 42.150 (12 subject, 1.5 thn) - Torrens 2026 International Student Fee Schedule (Sept26 V24, terbit Okt 2026) hal. 8,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</si>
  <si>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Master of Education (Inclusive Education) (Advanced)</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</si>
  <si>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113063A: 3.513/subject, tahunan 28.100, total 56.200 (16 subject, 2 thn) - Torrens 2026 International Student Fee Schedule (Sept26 V24, terbit Okt 2026) hal. 8,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</si>
  <si>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Graduate Diploma of Education (Inclusive Literacies)</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</si>
  <si>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113069F: 3.513/subject, tahunan 28.100, total 28.100 (8 subject, 1 thn) - Torrens 2026 International Student Fee Schedule (Sept26 V24, terbit Okt 2026) hal. 8,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</si>
  <si>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Master of Education (Inclusive Literacies)</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</si>
  <si>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113068G: 3.513/subject, tahunan 28.100, total 42.150 (12 subject, 1.5 thn) - Torrens 2026 International Student Fee Schedule (Sept26 V24, terbit Okt 2026) hal. 8,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</si>
  <si>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Master of Education (Inclusive Literacies) (Advanced)</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</si>
  <si>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113067H: 3.513/subject, tahunan 28.100, total 56.200 (16 subject, 2 thn) - Torrens 2026 International Student Fee Schedule (Sept26 V24, terbit Okt 2026) hal. 8,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</si>
  <si>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Graduate Diploma of Education (Leadership and Innovation)</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</si>
  <si>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113062B: 3.513/subject, tahunan 28.100, total 28.100 (8 subject, 1 thn) - Torrens 2026 International Student Fee Schedule (Sept26 V24, terbit Okt 2026) hal. 8,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</si>
  <si>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Master of Education (Leadership and Innovation)</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</si>
  <si>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113061C: 3.513/subject, tahunan 28.100, total 42.150 (12 subject, 1.5 thn) - Torrens 2026 International Student Fee Schedule (Sept26 V24, terbit Okt 2026) hal. 8,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</si>
  <si>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Master of Education (Leadership and Innovation) (Advanced)</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</si>
  <si>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113059H: 3.513/subject, tahunan 28.100, total 56.200 (16 subject, 2 thn) - Torrens 2026 International Student Fee Schedule (Sept26 V24, terbit Okt 2026) hal. 8,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</si>
  <si>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Diploma of Business (Hospitality and Tourism Management)</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</si>
  <si>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114738K: 3.950/subject, tahunan 31.600, total 31.600 (8 subject, 1 thn) - Torrens 2026 International Student Fee Schedule (Sept26 V24, terbit Okt 2026) hal. 13,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</si>
  <si>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113665H: 3.950/subject, tahunan 31.600, total 94.800 (24 subject, 3 thn) - Torrens 2026 International Student Fee Schedule (Sept26 V24, terbit Okt 2026) hal. 13,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</si>
  <si>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Material/enrolment belum tercatat (material+enrolment; dihitung 0 di Estimasi Initial Payment); Tuition cocok dengan fee resmi 119195G: 4.686/subject, tahunan 37.485, total 37.485 (8 subject, 1 thn) - Torrens 2026 International Student Fee Schedule (Sept26 V24, terbit Okt 2026) hal. 13, dicek 30/10/2026; tuition/periode = tahunan ÷ 4 (konvensi TEG); Torrens menagih per trimester sesuai jumlah subject yang diambil, jadi tagihan per trimester bisa berbeda - jumlah pasti ikuti offer letter; Blue Mountains: deposit AUD 3.200 setelah Letter of Offer ditandatangani (fee schedule hal. 16); Asumsi bayar awal 2 term (nilai pricelist lama; Torrens menagih per trimester sesuai subject; Fee Schedule 2026 V24 tidak menyebut jumlah bayar sebelum CoE) - konfirmasi ke sekolah; Harga sesuai sumber resmi; Cara hitung tuition/periode: Hitung: total/tahunan ÷ N; Sumber: https://cdn.intelligencebank.com/au/share/RyzZ/D1G8V/jlMdo/original/TUA-International-Pricing-guide, dicek 29/10/2026</t>
  </si>
  <si>
    <t xml:space="preserve">Associate Degree of Business (International Hotel Management)</t>
  </si>
  <si>
    <t xml:space="preserve">Material/enrolment belum tercatat (material+enrolment; dihitung 0 di Estimasi Initial Payment); Tuition cocok dengan fee resmi 119194H: 4.686/subject, tahunan 37.485, total 74.970 (16 subject, 2 thn) - Torrens 2026 International Student Fee Schedule (Sept26 V24, terbit Okt 2026) hal. 13, dicek 30/10/2026; tuition/periode = tahunan ÷ 4 (konvensi TEG); Torrens menagih per trimester sesuai jumlah subject yang diambil, jadi tagihan per trimester bisa berbeda - jumlah pasti ikuti offer letter; Blue Mountains: deposit AUD 3.200 setelah Letter of Offer ditandatangani (fee schedule hal. 16); Asumsi bayar awal 2 term (nilai pricelist lama; Torrens menagih per trimester sesuai subject; Fee Schedule 2026 V24 tidak menyebut jumlah bayar sebelum CoE) - konfirmasi ke sekolah; Harga sesuai sumber resmi; Cara hitung tuition/periode: Hitung: total/tahunan ÷ N; Sumber: https://cdn.intelligencebank.com/au/share/RyzZ/D1G8V/jlMdo/original/TUA-International-Pricing-guide, dicek 29/10/2026</t>
  </si>
  <si>
    <t xml:space="preserve">Bachelor of Business (International Hotel Management)</t>
  </si>
  <si>
    <t xml:space="preserve">Material/enrolment belum tercatat (material+enrolment; dihitung 0 di Estimasi Initial Payment); Tuition cocok dengan fee resmi 119193J: 4.686/subject, tahunan 37.485, total 112.455 (24 subject, 3 thn) - Torrens 2026 International Student Fee Schedule (Sept26 V24, terbit Okt 2026) hal. 13, dicek 30/10/2026; tuition/periode = tahunan ÷ 4 (konvensi TEG); Torrens menagih per trimester sesuai jumlah subject yang diambil, jadi tagihan per trimester bisa berbeda - jumlah pasti ikuti offer letter; Blue Mountains: deposit AUD 3.200 setelah Letter of Offer ditandatangani (fee schedule hal. 16); Asumsi bayar awal 2 term (nilai pricelist lama; Torrens menagih per trimester sesuai subject; Fee Schedule 2026 V24 tidak menyebut jumlah bayar sebelum CoE) - konfirmasi ke sekolah; Harga sesuai sumber resmi; Cara hitung tuition/periode: Hitung: total/tahunan ÷ N; Sumber: https://cdn.intelligencebank.com/au/share/RyzZ/D1G8V/jlMdo/original/TUA-International-Pricing-guide, dicek 29/10/2026</t>
  </si>
  <si>
    <t xml:space="preserve">Graduate Certificate in International Hotel Management (Students commencing from 2025)</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</si>
  <si>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089932J: 5.700/subject, tahunan 22.800, total 22.800 (4 subject, 0.5 thn) - Torrens 2026 International Student Fee Schedule (Sept26 V24, terbit Okt 2026) hal. 13,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</si>
  <si>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Master of International Hotel Management (Students commencing from 2025)</t>
  </si>
  <si>
    <t xml:space="preserve">CEK: konfirmasi harga ke sekolah (harga beda dengan sumber resmi); Material/enrolment belum tercatat (material+enrolment; dihitung 0 di Estimasi Initial Payment); Tuition cocok dengan fee resmi 089931K: 5.700/subject, tahunan 45.600, total 68.400 (12 subject, 2 thn) - Torrens 2026 International Student Fee Schedule (Sept26 V24, terbit Okt 2026) hal. 13, dicek 30/10/2026; tuition/periode = tahunan ÷ 4 (konvensi TEG); Torrens menagih per trimester sesuai jumlah subject yang diambil, jadi tagihan per trimester bisa berbeda - jumlah pasti ikuti offer letter; Asumsi bayar awal 2 term (nilai pricelist lama; Torrens menagih per trimester sesuai subject; Fee Schedule 2026 V24 tidak menyebut jumlah bayar sebelum CoE) - konfirmasi ke sekolah; Cara hitung tuition/periode: Hitung: total/tahunan ÷ N; Sumber: https://cdn.intelligencebank.com/au/share/RyzZ/D1G8V/jlMdo/original/TUA-International-Pricing-guide, dicek 29/10/2026</t>
  </si>
  <si>
    <t xml:space="preserve">University of Tasmania (UTAS)
Corner of Church &amp; Glover Streets, Lilyfield, NSW 2040---------------11/700 Harris Street, Ultimo, NSW 2007. Untuk program Business dan ICT tertentu.</t>
  </si>
  <si>
    <t xml:space="preserve">CEK: konfirmasi harga ke sekolah (harga beda dengan sumber resmi); Belum Termasuk Bea Siswa: 20%/30%/50%; Start from 2nd payment $350; CEK: kampus baris ini (Sydney) belum terbukti untuk siswa internasional UTAS Bachelor of Nursing (halaman kursus: Cradle Coast, Hobart, Launceston, Sydney; Melbourne tidak ada). Nilai 10.737,5 x4 = fee 2027 42.950 (halaman tanpa fee per kampus). Konfirmasi kampus &amp; CRICOS lokasi.; Material/enrolment belum tercatat (material+enrolment; dihitung 0 di Estimasi Initial Payment); Cara hitung tuition/periode: Hitung: total/tahunan ÷ N; Sumber: https://www.utas.edu.au/courses/health/courses/h3o-bachelor-of-nursing?year=2027 (fee 2027, dicek 29 Okt 2026), dicek 29/10/2026</t>
  </si>
  <si>
    <t xml:space="preserve">Belum Termasuk Bea Siswa: 15%/25%/35%; Start from 2nd payment $350; Material/enrolment belum tercatat (material+enrolment; dihitung 0 di Estimasi Initial Payment); Harga belum dicek ke sumber resmi; Cara hitung tuition/periode: Hitung: total/tahunan ÷ N</t>
  </si>
  <si>
    <t xml:space="preserve">CEK: konfirmasi harga ke sekolah (harga beda dengan sumber resmi); Belum Termasuk Bea Siswa: 15%/25%/35%; Start from 2nd payment $350; CEK: Harga di sini 9,988 lebih mahal dari harga resmi ~9,488/periode - konfirmasi ke sekolah sebelum dipakai. Resmi 2026: $37,950/tahun, kampus Hobart, Launceston. Asumsi periode TEG = 1/4 tahun (pola: harga list x4 = biaya tahunan; 2 term = 1 semester): 37,950/4 = 9,48;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</si>
  <si>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CEK: konfirmasi harga ke sekolah (harga beda dengan sumber resmi); Belum Termasuk Bea Siswa: 15%/25%/35%; Start from 2nd payment $350; CEK: Harga di sini 8,522 lebih mahal dari harga resmi ~8,110/periode - konfirmasi ke sekolah sebelum dipakai. Resmi 2026: $32,438/tahun, kampus Hobart. Asumsi periode TEG = 1/4 tahun (pola: harga list x4 = biaya tahunan; 2 term = 1 semester): 32,438/4 = 8,109.50. Harga; Material/enrolment belum tercatat (material+enrolment; dihitung 0 di Estimasi Initial Payment); Cara hitung tuition/periode: Hitung: total/tahunan ÷ N; Sumber: https://utas-prod-web.squiz.cloud/__data/assets/pdf_file/0003/1807005/university-of-tasmania-international-course-guide-2026.pdf, dicek 29/10/2026</t>
  </si>
  <si>
    <t xml:space="preserve">Master of Health Service Management</t>
  </si>
  <si>
    <t xml:space="preserve">VIA Education
Level 5, 565 George St., Sydney, NSW 2000</t>
  </si>
  <si>
    <t xml:space="preserve">Cert IV + Dip of Human Resource Management ($1350 on first term only)</t>
  </si>
  <si>
    <t xml:space="preserve">Cert IV + Dip + Adv. Dip of Human Resource Management ($1350 on first term only)</t>
  </si>
  <si>
    <t xml:space="preserve">Cert IV + Dip of Project Management Practice ($1350 on first term only)</t>
  </si>
  <si>
    <t xml:space="preserve">Cert IV + Dip of Project Management+ Adv. Dip of Leadership &amp; Management ($1350 on first term only)</t>
  </si>
  <si>
    <t xml:space="preserve">Cert IV + Dip of Leadership &amp; Management ($1350 on first term only)</t>
  </si>
  <si>
    <t xml:space="preserve">Cert IV + Dip + Adv. Dip of Leadership &amp; Management ($1350 on first term only)</t>
  </si>
  <si>
    <t xml:space="preserve">Cert IV + Dip of Marketing &amp; Communication ($1350 on first term only)</t>
  </si>
  <si>
    <t xml:space="preserve">Cert IV + Dip + Adv. Dip of Marketing &amp; Communication ($1350 on first term only)</t>
  </si>
  <si>
    <t xml:space="preserve">Cert IV + Dip of Hospitality Management</t>
  </si>
  <si>
    <t xml:space="preserve">Cert IV + Dip + Adv. Dip of Hospitality Management</t>
  </si>
  <si>
    <t xml:space="preserve">Cert IV in Kitchen Management + Dip of Hospitality Management ($1600/term di level Dip)</t>
  </si>
  <si>
    <t xml:space="preserve">Cert IV in Kitchen Management + Dip + Adv Dip of Hospitality Management ($1600/term di level Dip + Adv)</t>
  </si>
  <si>
    <t xml:space="preserve">Victory Institute
Level 8, 22 Market Street, Sydney NSW 2000 AUSTRALIA</t>
  </si>
  <si>
    <t xml:space="preserve">Cert III + Cert IV in Business (Operations)</t>
  </si>
  <si>
    <t xml:space="preserve">Asumsi bayar awal 2 term (nilai pricelist lama; situs resmi Victory: tiap instalment dibayar sebelum term terkait; jumlah sebelum CoE tidak disebut) - konfirmasi ke sekolah; Material ditagih per term (situs resmi: material fee VET AUD 50/term, dicek 30/10/2026) - Initial Payment menghitung material x Bayar di Awal; Harga belum dicek ke sumber resmi</t>
  </si>
  <si>
    <t xml:space="preserve">Cert III + Dip of Business (Operations)</t>
  </si>
  <si>
    <t xml:space="preserve">Cert III + Cert IV + Dip of Business (Operations)</t>
  </si>
  <si>
    <t xml:space="preserve">Cert IV + Dip + Adv Dip of Business (Operations)</t>
  </si>
  <si>
    <t xml:space="preserve">Cert IV + Dip + Adv of Marketing &amp; Communication</t>
  </si>
  <si>
    <t xml:space="preserve">Cert IV + Dip of Screen &amp; Media</t>
  </si>
  <si>
    <t xml:space="preserve">Warwick Institute of Australia
L5, 8 Quay Street, Haymarket, NSW 2000</t>
  </si>
  <si>
    <t xml:space="preserve">Cert III + Cert IV in Enterprenuership &amp; New Business</t>
  </si>
  <si>
    <t xml:space="preserve">Cert III + Cert IV in Enterprenuership &amp; New Business + Dip of Business</t>
  </si>
  <si>
    <t xml:space="preserve">Cert III + Cert IV in Enterprenuership &amp; New Business + Dip + Adv Dip of Business</t>
  </si>
  <si>
    <t xml:space="preserve">Cert III + Cert IV in Enterprenuership &amp; New Business + Dip of Project Management</t>
  </si>
  <si>
    <t xml:space="preserve">Cert III + Cert IV in Enterprenuership &amp; New Business + Dip + Adv Dip of Program Management</t>
  </si>
  <si>
    <t xml:space="preserve">Cert IV in Real Estate Practice + Dip of Property (Agency Management)</t>
  </si>
  <si>
    <t xml:space="preserve">Wells International College (WIC)
LG/101 Sussex St, Sydney NSW 2000, Australia</t>
  </si>
  <si>
    <t xml:space="preserve">Cert IV + Dip + Advanced Dip of Hospitality Management</t>
  </si>
  <si>
    <t xml:space="preserve">1.5 years</t>
  </si>
  <si>
    <t xml:space="preserve">Western Sydney College (WSC)
55 High St., Parramatta, New South Wales, 2150</t>
  </si>
  <si>
    <t xml:space="preserve">CEK: komponen kursus (Business/Banking/Cert IV IT/"Cert IV Commercial Cookery") tidak ada di daftar kursus WSC saat ini - jangan ditawarkan sebelum dikonfirmasi.; Harga belum dicek ke sumber resmi</t>
  </si>
  <si>
    <t xml:space="preserve">Cert IV + Dip of Business + Adv. Dip of Leadership &amp; Management</t>
  </si>
  <si>
    <t xml:space="preserve">Harga agen: dokumen price list agen belum dilampirkan; Lebih murah dari harga publik - kemungkinan harga agen/promo (tidak diubah)</t>
  </si>
  <si>
    <t xml:space="preserve">Cert IV + Dip + Adv. Dip of Information Technology (IT)</t>
  </si>
  <si>
    <t xml:space="preserve">Dip + Adv. Dip of Banking Service Management</t>
  </si>
  <si>
    <t xml:space="preserve">Cert IV + Dip + Adv. Dip of Accounting</t>
  </si>
  <si>
    <t xml:space="preserve">Cert IV Commercial Cookery + Dip of Hospitality Management</t>
  </si>
  <si>
    <t xml:space="preserve">Cert IV Commercial Cookery + Dip +Adv Dip of Hospitality Management</t>
  </si>
  <si>
    <t xml:space="preserve">Advanced Diploma of Civil Construction Design</t>
  </si>
  <si>
    <t xml:space="preserve">Adv Diip of Community Sector Management</t>
  </si>
  <si>
    <t xml:space="preserve">Certificate III in Painting and Decorating</t>
  </si>
  <si>
    <t xml:space="preserve">Western Sydney University
Uni ini punya banyak kampus di seluruh NSW, Jadi alamat tergantung: - jurusan yang kamu ambil - intake &amp; lokasi yang tersedia</t>
  </si>
  <si>
    <t xml:space="preserve">Bachelor of Arts (kampus: Bankstown City, Parramatta, Penrith)</t>
  </si>
  <si>
    <t xml:space="preserve">Material/enrolment belum tercatat (material+enrolment; dihitung 0 di Estimasi Initial Payment); Harga sesuai sumber resmi; Cara hitung tuition/periode: Hitung: total/tahunan ÷ N; Sumber: https://www.westernsydney.edu.au/content/dam/digital/pdf/international/ug-intl-fees-2026.pdf, dicek 29/10/2026</t>
  </si>
  <si>
    <t xml:space="preserve">Bachelor of International Studies (kampus: Bankstown City, Parramatta)</t>
  </si>
  <si>
    <t xml:space="preserve">Bachelor of Arts (Interpreting and Translation) (kampus: Parramatta)</t>
  </si>
  <si>
    <t xml:space="preserve">Bachelor of Communication (Major: Advertising, Journalism and Public Relations) (kampus: Parramatta, Sydney City)</t>
  </si>
  <si>
    <t xml:space="preserve">Bachelor of Design (Visual Communication) (kampus: Parramatta)</t>
  </si>
  <si>
    <t xml:space="preserve">Bachelor of Music (kampus: Penrith)</t>
  </si>
  <si>
    <t xml:space="preserve">Bachelor of Screen Mediia (Arts and Production)) (kampus: Parramatta)</t>
  </si>
  <si>
    <t xml:space="preserve">Bachelor of Accounting (kampus: Bankstown City, Campbelltown, Parramatta City)</t>
  </si>
  <si>
    <t xml:space="preserve">Bachelor of Business (Major: Accounting, Applied Finance and FinTech, Business Analytics, Economics, Human Resource Management, International Business, Management, Marketing, Property, dan Sport Management) (kampus: Bankstown City, Campbelltown, Parramatta, Sydney City)</t>
  </si>
  <si>
    <t xml:space="preserve">Bachelor of Architectural Design (kampus: Parramatta City)</t>
  </si>
  <si>
    <t xml:space="preserve">Bachelor oof Construction Management (Honours) (kampus: Parramatta, Penrith)</t>
  </si>
  <si>
    <t xml:space="preserve">Bachelor of Construction Technology (kampus: Penrith)</t>
  </si>
  <si>
    <t xml:space="preserve">Bachelor of Design and Technology (kampus: Parramatta City)</t>
  </si>
  <si>
    <t xml:space="preserve">Bachelor of Industrial Design (kampus: Parramatta City)</t>
  </si>
  <si>
    <t xml:space="preserve">Bachelor of Industrial Design (Honours) (kampus: Parramatta City)</t>
  </si>
  <si>
    <t xml:space="preserve">Bachelor of Engineering (Honours) (Major: Advanced Manufacturing, Civil, Construction, Electrical, Materials, Mecchanical, Robotics and Mechatronics, Sustainability) (kampus: Parramatta City, Penrith, Sydney City)</t>
  </si>
  <si>
    <t xml:space="preserve">Bachelor of Engineering Science (Major: Advanced Manufacturing, Civil, Construction, Electrical, Materials, Mecchanical, Robotics and Mechatronics, Sustainability Computer, Data and Mathematical Sciences) (kampus: Parramatta City, Penrith, Sydney City)</t>
  </si>
  <si>
    <t xml:space="preserve">Bachelor of Computer Science (Major: AI, Cyber Security, Networked Systems, Systems Programming and Technology Entreprenuership) (kampus: Parramatta, Penrith)</t>
  </si>
  <si>
    <t xml:space="preserve">Bachelor of IT (Major: Business Analytics, Cyber Security Management, Health Informatics, Infonomics, Network Management, User Experience) (kampus: Parramatta, Sydney City)</t>
  </si>
  <si>
    <t xml:space="preserve">Material/enrolment belum tercatat (material+enrolment; dihitung 0 di Estimasi Initial Payment); Harga belum dicek ke sumber resmi; Cara hitung tuition/periode: Hitung: total/tahunan ÷ N</t>
  </si>
  <si>
    <t xml:space="preserve">Bachelor of Information andd Communications Technology (Major: Cyber Security and Ethical Hacking, Enterprise Systems and Architectures, Health Informatics, Multimedia Computing, Network and Cloud Computing, Software Development) (kampus: Campbelltown, Parramatta, Penrith, Sydney City)</t>
  </si>
  <si>
    <t xml:space="preserve">Bachelor of Applied Data Science (kampus: Parramatta)</t>
  </si>
  <si>
    <t xml:space="preserve">Bachelor of Data Science (kampus: Parramatta)</t>
  </si>
  <si>
    <t xml:space="preserve">Bachelor of Mathematics (kampus: Campbelltown, Parramatta, Penrith)</t>
  </si>
  <si>
    <t xml:space="preserve">Bachelor of Health Science (Major: Clinical Sciences, Health Promotion, Health Services Management, Public Health and Recreational Therapy) (kampus: Campbelltown, Sydney City)</t>
  </si>
  <si>
    <t xml:space="preserve">Bachelor of Paramedicine (kampus: Campbelltown)</t>
  </si>
  <si>
    <t xml:space="preserve">Bachelor of Health and Physical Education (kampus: Penrith)</t>
  </si>
  <si>
    <t xml:space="preserve">Bachelor of Health Science (Sport &amp; Exercise Science) (kampus: Penrith)</t>
  </si>
  <si>
    <t xml:space="preserve">Bachelor of Occupational Therapy (kampus: Campbelltown)</t>
  </si>
  <si>
    <t xml:space="preserve">Bachelor of Occupational Therapy (Honours) (kampus: Campbelltown)</t>
  </si>
  <si>
    <t xml:space="preserve">Bachelor of Podiatric Medicine (kampus: Campbelltown)</t>
  </si>
  <si>
    <t xml:space="preserve">Bachelor of Podiatric Medicine (Honours) (kampus: Campbelltown)</t>
  </si>
  <si>
    <t xml:space="preserve">Bachelor of Traditional Chinese Medicine (kampus: Campbelltown)</t>
  </si>
  <si>
    <t xml:space="preserve">Bachelor of Speech Pathology (kampus: Campbelltown)</t>
  </si>
  <si>
    <t xml:space="preserve">Bachelor of Speech Pathology (Honours) (kampus: Campbelltown)</t>
  </si>
  <si>
    <t xml:space="preserve">Bachelor of Physiotherapy (kampus: Campbelltown)</t>
  </si>
  <si>
    <t xml:space="preserve">Bachelor of Laws (Non Graduate Entry) (kampus: Campbelltown, Parramatta)</t>
  </si>
  <si>
    <t xml:space="preserve">Bachelor of Accounting / Bachelor of Laws (kampus: Campbelltown, Parramatta)</t>
  </si>
  <si>
    <t xml:space="preserve">Bachelor of Arts / Bachelor of Laws (kampus: Campbelltown, Parramatta)</t>
  </si>
  <si>
    <t xml:space="preserve">Bachelor of Arts (Psychology) / Bachelor of Laws (kampus: Campbelltown, Parramatta)</t>
  </si>
  <si>
    <t xml:space="preserve">Bachelor of Bussiness / Bachelor of Laws (kampus: Campbelltown, Parramatta)</t>
  </si>
  <si>
    <t xml:space="preserve">Bachelor of Communication / Bachelor of Laws (kampus: Campbelltown, Parramatta)</t>
  </si>
  <si>
    <t xml:space="preserve">Bachelor of Criminal and Community Justice / Bachelor of Laws (kampus: Campbelltown, Parramatta)</t>
  </si>
  <si>
    <t xml:space="preserve">Bachelor of Criminology / Bachelor of Laws (kampus: Campbelltown, Parramatta)</t>
  </si>
  <si>
    <t xml:space="preserve">Bachelor of Connstruction Management Studies / Bachelor of Laws (kampus: Campbelltown, Parramatta)</t>
  </si>
  <si>
    <t xml:space="preserve">Bachelor of International Studies / Bachelor of Laws (kampus: Campbelltown, Parramatta)</t>
  </si>
  <si>
    <t xml:space="preserve">Bachelor of Information and Communications Technology / Bachelor of Laws (kampus: Campbelltown, Parramatta)</t>
  </si>
  <si>
    <t xml:space="preserve">Bachelor of Information Systems / Bachelor of Laws (kampus: Campbelltown, Parramatta)</t>
  </si>
  <si>
    <t xml:space="preserve">Bachelor of Science / Bachelor of Laws (kampus: Campbelltown, Parramatta, Hawkesbury)</t>
  </si>
  <si>
    <t xml:space="preserve">Bachelor of Social Science / Bachelor of Laws (kampus: Campbelltown, Parramatta)</t>
  </si>
  <si>
    <t xml:space="preserve">Bachelor of Medical Research (kampus: Campbelltown)</t>
  </si>
  <si>
    <t xml:space="preserve">Bachelor of Clinical Science (Medicine) / Doctor of Medicine (kampus: Campbelltown)</t>
  </si>
  <si>
    <t xml:space="preserve">Bachelor of Nursing (kampus: Campbelltown, Hawkesbury, Parramatta, Liverpool)</t>
  </si>
  <si>
    <t xml:space="preserve">Bachelor of Psychology (Honours) (kampus: Bankstown City, Parramatta, Penrith)</t>
  </si>
  <si>
    <t xml:space="preserve">Bachelor of Psychological and Social Sciences (kampus: Bankstown City, Parramatta, Penrith)</t>
  </si>
  <si>
    <t xml:space="preserve">Bachelor of Medical Science (Major: Anatomy and Physiology, Biomedical Science, Human Nutrition, Agricultural Science, Animal Science, Biology, Chemistry, Food Science and Innovation, Sustainable Environmental Futures, Zoology) (kampus: Campbelltown, Parramatta)</t>
  </si>
  <si>
    <t xml:space="preserve">Bachelor of Advanced Medical Science (Major: Anatomy &amp; Physiology, Biomedical Science, Human Nutrition) (kampus: Campbelltown, Parramatta)</t>
  </si>
  <si>
    <t xml:space="preserve">Bachelor of Science (Specialisations: Agricultural Science, Animal Science, Applied Physics, Biology, Chemistry, Environmental Health, Food Science and Innovation, Forensic Science, Sustainable Environmental Futures, Zoology) (kampus: Campbelltown, Hawkesbury, Parramatta)</t>
  </si>
  <si>
    <t xml:space="preserve">Bachelor of Advanced Science (Specialisations: Agricultural Science, Animal Science, Applied Physics, Biology, Chemistry, Environmental Health, Food Science and Innovation, Forensic Science, Sustainable Environmental Futures, Zoology) (kampus: Campbelltown, Hawkesbury, Parramatta)</t>
  </si>
  <si>
    <t xml:space="preserve">Bachelor of Criminal and Community Justice (kampus: Liverpool, Penrith)</t>
  </si>
  <si>
    <t xml:space="preserve">Bachelor of Criminology (kampus: Liverpool, Penrith)</t>
  </si>
  <si>
    <t xml:space="preserve">Bachelor of Cyber Security and Behaviour (kampus: Parramatta)</t>
  </si>
  <si>
    <t xml:space="preserve">Bachelor of Humanitarian and Development Studies (kampus: Parramatta, Penrith)</t>
  </si>
  <si>
    <t xml:space="preserve">Bachelor of Policing (kampus: Liverpool, Penrith)</t>
  </si>
  <si>
    <t xml:space="preserve">Bachelor of Social Science (Major: Anthropology, Child and Community, Criminology and Criminal Justice, Disability Studies, Geography and Urban Studies, Heritage and Tourism, Peace and Development Studies, Sociology) (kampus: Liveerpool, Parramatta, Penrith, Sydney City)</t>
  </si>
  <si>
    <t xml:space="preserve">Bachelor of Youth Work (kampus: Liverpool, Parramatta, Penrith)</t>
  </si>
  <si>
    <t xml:space="preserve">Bachelor of Social Work (kampus: Liverpool, Parramatta)</t>
  </si>
  <si>
    <t xml:space="preserve">Bachelor of Business (Pathway to Teaching Secondary) (kampus: Bankstown City, Campbelltown, Parramatta)</t>
  </si>
  <si>
    <t xml:space="preserve">Bachelor of Arts (Pathway to Teaching Early Childhood/Primary) (kampus: Bankstown City, Parramatta, Penrith)</t>
  </si>
  <si>
    <t xml:space="preserve">Bachelor of Arts (Pathway to Teaching Primary) (kampus: Bankstown City, Parramatta, Penrith)</t>
  </si>
  <si>
    <t xml:space="preserve">Bachelor of Arts (Pathway to Teaching Secondary) (kampus: Bankstown City, Parramatta, Penrith)</t>
  </si>
  <si>
    <t xml:space="preserve">Bachelor of Education (Early Childhood) (kampus: Campbelltown)</t>
  </si>
  <si>
    <t xml:space="preserve">Bachelor of Education (Primary) (kampus: Bankstown)</t>
  </si>
  <si>
    <t xml:space="preserve">Bachelor of Education (Secondary) (kampus: Parramatta, Penrith, Bankstown)</t>
  </si>
  <si>
    <t xml:space="preserve">Bachelor of Science - Pathway to Teaching (Primary/Secondary) (kampus: Campbelltown, Hawkesbury, Parramatta)</t>
  </si>
  <si>
    <t xml:space="preserve">Bachelor of Arts (Interpreting and Translation) (kampus: Parramatta City)</t>
  </si>
  <si>
    <t xml:space="preserve">Material/enrolment belum tercatat (material+enrolment; dihitung 0 di Estimasi Initial Payment); Harga diperbarui dari sumber resmi; Cara hitung tuition/periode: Hitung: total/tahunan ÷ N; Sumber: https://www.westernsydney.edu.au/content/dam/digital/pdf/international/ug-intl-fees-2026.pdf, dicek 29/10/2026</t>
  </si>
  <si>
    <t xml:space="preserve">Bachelor of Social Science (Major: Anthropology, Child and Community, Criminology and Criminal Justice, Disability Studies, Geography and Urban Studies, Heritage and Tourism, Peace and Development Studies, Sociology) (kampus: Liverpool, Parramatta, Penrith, Sydney City)</t>
  </si>
  <si>
    <t xml:space="preserve">Bachelor off Planning (Pathway to Master of Urban Management and Planning) (kampus: Bankstown, Parramatta, Penrith)</t>
  </si>
  <si>
    <t xml:space="preserve">Bachelor of Tourism Management and Event Management (kampus: Parramatta)</t>
  </si>
  <si>
    <t xml:space="preserve">DOUBLE DEGREE: Bachelor of Arts / Bachelor of Business (kampus: Bankstown City, Parramatta)</t>
  </si>
  <si>
    <t xml:space="preserve">DOUBLE DEGREE: Bachelor of Arts / Bachelor of Social Science (kampus: Bankstown City, Parramatta, Penrith)</t>
  </si>
  <si>
    <t xml:space="preserve">DOUBLE DEGREE: Bachelor of Arts / Bachelor of Creative Industries (kampus: Parramatta)</t>
  </si>
  <si>
    <t xml:space="preserve">Bachelor of Communication / Bachelor of Creative Industries (kampus: Parramatta)</t>
  </si>
  <si>
    <t xml:space="preserve">Bahcelor of Communication / Bachelor of Business (kampus: Parramatta)</t>
  </si>
  <si>
    <t xml:space="preserve">Bachelor of Criminal and Community Justice / Bachelor of Social Work (kampus: Parramatta) (kampus: Liverpool)</t>
  </si>
  <si>
    <t xml:space="preserve">Bachelor of International Studies / Bachelor of Business (kampus: Bankstown, Parramatta)</t>
  </si>
  <si>
    <t xml:space="preserve">Bachelor of International Studies / Bachelor of Social Sciience (kampus: Bankstown, Parramatta)</t>
  </si>
  <si>
    <t xml:space="preserve">Bachelor of Science / Bachelor of Arts (kampus: Parramatta)</t>
  </si>
  <si>
    <t xml:space="preserve">Bachelor of Science / Bachelor of Business (kampus: Campbelltown, Parramatta)</t>
  </si>
  <si>
    <t xml:space="preserve">Bachelor of Eengineering (Honours) / Bachelor of Business (kampus: Penrith, bankstownn, Campbelltown, Parramatta)</t>
  </si>
  <si>
    <t xml:space="preserve">Bachelor of Design / Bachelor of Creative Inddustries (kampus: Parramatta)</t>
  </si>
  <si>
    <t xml:space="preserve">Master of Arts in Literature and Creative Writing (kampus: Parramatta)</t>
  </si>
  <si>
    <t xml:space="preserve">Material/enrolment belum tercatat (material+enrolment; dihitung 0 di Estimasi Initial Payment); Harga sesuai sumber resmi; Cara hitung tuition/periode: Hitung: total/tahunan ÷ N; Sumber: https://www.westernsydney.edu.au/content/dam/digital/pdf/international/INTL-Fees-PG-2026.pdf, dicek 29/10/2026</t>
  </si>
  <si>
    <t xml:space="preserve">Master of Creative Music Therapy (kampus: Penrith)</t>
  </si>
  <si>
    <t xml:space="preserve">Master of Business Administration (kampus: Parramatta City, Sydney City)</t>
  </si>
  <si>
    <t xml:space="preserve">Graduate Certificate in Business (kampus: Parramatta City)</t>
  </si>
  <si>
    <t xml:space="preserve">Master of Applied Finance (kampus: Parramatta City)</t>
  </si>
  <si>
    <t xml:space="preserve">Graduate Certificate in Applied Finance (kampus: Parramatta City)</t>
  </si>
  <si>
    <t xml:space="preserve">Master of Marketing (kampus: Parramatta City) (kampus: Parramatta City)</t>
  </si>
  <si>
    <t xml:space="preserve">Master of Business (Operations Management) (kampus: Parramatta City)</t>
  </si>
  <si>
    <t xml:space="preserve">Master of Management (kampus: Parramatta City)</t>
  </si>
  <si>
    <t xml:space="preserve">Master of Human Resource Management (kampus: Parramatta City)</t>
  </si>
  <si>
    <t xml:space="preserve">Master of Property Investment and Development (kampus: Parramatta City)</t>
  </si>
  <si>
    <t xml:space="preserve">Graduate Certificate in Property Investment (kampus: Parramatta City)</t>
  </si>
  <si>
    <t xml:space="preserve">Master of Professional Accounting (Advanced) (kampus: Parramatta City, Sydney City)</t>
  </si>
  <si>
    <t xml:space="preserve">Master of Professional Accounting (kampus: Parramatta City)</t>
  </si>
  <si>
    <t xml:space="preserve">Master of Business Analystics (kampus: Parramatta City)</t>
  </si>
  <si>
    <t xml:space="preserve">Graduate Certificate in Start Up Scale Up (kampus: Parramatta City)</t>
  </si>
  <si>
    <t xml:space="preserve">Master of Project Management (kampus: Parramatta City)</t>
  </si>
  <si>
    <t xml:space="preserve">Master of Architecture (Urban Transformation) (kampus: Parramatta City)</t>
  </si>
  <si>
    <t xml:space="preserve">Master of Information and Communication Technology (Advanced) (kampus: Parramatta)</t>
  </si>
  <si>
    <t xml:space="preserve">Master of Information and Communication Technology (Advanced) (kampus: Parramatta, Sydney City)</t>
  </si>
  <si>
    <t xml:space="preserve">Graduate Diploma in Information and Communications Technology (kampus: Parramatta)</t>
  </si>
  <si>
    <t xml:space="preserve">Graduate Certificate in Information and Communications Technology (kampus: Parramatta)</t>
  </si>
  <si>
    <t xml:space="preserve">Master of Data Science (kampus: Parramatta)</t>
  </si>
  <si>
    <t xml:space="preserve">Graduate Certificate in Data Science (kampus: Parramatta)</t>
  </si>
  <si>
    <t xml:space="preserve">Graduate Diploma in Data Science (kampus: Parramatta)</t>
  </si>
  <si>
    <t xml:space="preserve">Master of Data Engineering (kampus: Parramatta)</t>
  </si>
  <si>
    <t xml:space="preserve">Master of AI (kampus: Parramatta)</t>
  </si>
  <si>
    <t xml:space="preserve">Master of Engineering (kampus: Parramatta City)</t>
  </si>
  <si>
    <t xml:space="preserve">Graduate Certificate in Engineering (kampus: Parramatta City)</t>
  </si>
  <si>
    <t xml:space="preserve">Master of Health Science (Specialisations: Health Services Management, Digital Health or Occupational Health and Safety) (kampus: Parramatta, Sydney City)</t>
  </si>
  <si>
    <t xml:space="preserve">Graduate Diploma in Health Science (kampus: Parramatta)</t>
  </si>
  <si>
    <t xml:space="preserve">Graduate Certificate in Health Science (kampus: Parramatta)</t>
  </si>
  <si>
    <t xml:space="preserve">Master of Public Health (kampus: Parramattta)</t>
  </si>
  <si>
    <t xml:space="preserve">Graduate Diploma in Publlic Health (kampus: Parramattta)</t>
  </si>
  <si>
    <t xml:space="preserve">Graduate Certificate in Public Health (kampus: Parramattta)</t>
  </si>
  <si>
    <t xml:space="preserve">Master in Chinese Medicine (kampus: Campbelltown)</t>
  </si>
  <si>
    <t xml:space="preserve">Graduate Diploma in Aged Care Management (kampus: Parramattta)</t>
  </si>
  <si>
    <t xml:space="preserve">Graduate Diploma in Health Service Management (kampus: Parramattta)</t>
  </si>
  <si>
    <t xml:space="preserve">Graduate Diploma in Digital Health (kampus: Parramattta)</t>
  </si>
  <si>
    <t xml:space="preserve">Graduate in Occupational Health and Safety (kampus: Parramattta)</t>
  </si>
  <si>
    <t xml:space="preserve">Master of Laws Code 2824 - 80cp (kampus: Parramattta)</t>
  </si>
  <si>
    <t xml:space="preserve">Master of Laws Code 2824 - 120cp (kampus: Parramattta)</t>
  </si>
  <si>
    <t xml:space="preserve">Master of Laws 2824 - 160cp (kampus: Parramattta)</t>
  </si>
  <si>
    <t xml:space="preserve">Master of Epidemiology (kampus: Parramattta)</t>
  </si>
  <si>
    <t xml:space="preserve">Graduate Diploma of Epidemiology (kampus: Parramattta)</t>
  </si>
  <si>
    <t xml:space="preserve">Graduate Certificateof Epidemiology (kampus: Parramattta)</t>
  </si>
  <si>
    <t xml:space="preserve">Master of Nursing (kampus: Parramattta)</t>
  </si>
  <si>
    <t xml:space="preserve">Master of Nursing Practice ((Pre Registration) (kampus: Hawkesbury, Parramattta)</t>
  </si>
  <si>
    <t xml:space="preserve">Graduate Diploma in Psychology (kampus: Bankstown City, Penrith, Parramatta)</t>
  </si>
  <si>
    <t xml:space="preserve">Master of Clinical Psychology (kampus: Bankstown City, Penrith)</t>
  </si>
  <si>
    <t xml:space="preserve">Master of Proofessional Psychology (kampus: Bankstown City, Penrith)</t>
  </si>
  <si>
    <t xml:space="preserve">Master of Science (Specialisations: Food Science, Prublic Health Nutrition, Greenhouse Horticulture, Agriculture, Sustainable Water Futures) (kampus: Parramatta, Hawkkesbury)</t>
  </si>
  <si>
    <t xml:space="preserve">Master of Sustainable Tourism, Hospitality and Event Management (kampus: Parramatta City)</t>
  </si>
  <si>
    <t xml:space="preserve">Graduate Certificate in Sustainable Tourism, Hospitality and Event Management (kampus: Parramatta City)</t>
  </si>
  <si>
    <t xml:space="preserve">Master of Psychotherapy and Counselling (kampus: Parramatta)</t>
  </si>
  <si>
    <t xml:space="preserve">Graduate Diploma in Humanitarian and Development Studies (kampus: Parramatta City)</t>
  </si>
  <si>
    <t xml:space="preserve">Graduate Certificate in Humanitarian and Development Studies (kampus: Parramatta City)</t>
  </si>
  <si>
    <t xml:space="preserve">Master of Global Security and Justice (kampus: Parramatta City, Liverpool)</t>
  </si>
  <si>
    <t xml:space="preserve">Master of Humanitarian and Development Studies (kampus: Parramatta City)</t>
  </si>
  <si>
    <t xml:space="preserve">Master of Teaching (Early Childhood and Primary) (kampus: Bankstown City)</t>
  </si>
  <si>
    <t xml:space="preserve">Master of Teaching (Early Childhood) (kampus: Bankstown City)</t>
  </si>
  <si>
    <t xml:space="preserve">Master of Teaching (Primary) (kampus: Bankstown City)</t>
  </si>
  <si>
    <t xml:space="preserve">Master of Teaching (Secondary) (kampus: Penrith)</t>
  </si>
  <si>
    <t xml:space="preserve">Master of Teaching (Secondary) STEM (kampus: Penrith, Hawkesbury)</t>
  </si>
  <si>
    <t xml:space="preserve">Graduate Diploma in TESOL (kampus: Parramatta City)</t>
  </si>
  <si>
    <t xml:space="preserve">Graduate Certificate in TESOL (kampus: Parramatta City)</t>
  </si>
  <si>
    <t xml:space="preserve">Master of Translation and TESOL (kampus: Parramatta City)</t>
  </si>
  <si>
    <t xml:space="preserve">Master of Interpreting and Translation (kampus: Parramatta City)</t>
  </si>
  <si>
    <t xml:space="preserve">Graduate Certificate in Interpreting and Translation (kampus: Parramatta City)</t>
  </si>
  <si>
    <t xml:space="preserve">Master of Art Therapy (kampus: Parramatta)</t>
  </si>
  <si>
    <t xml:space="preserve">Master of Psychotherapy and Counselling (Qualifying) (kampus: Parramatta)</t>
  </si>
  <si>
    <t xml:space="preserve">Master of Social Work (Qualifying) (kampus: Parramatta City)</t>
  </si>
  <si>
    <t xml:space="preserve">Postgraduate Bridging Program (Social Work) (kampus: Liverpool, Parramatta)</t>
  </si>
  <si>
    <t xml:space="preserve">Master of Urrban Management and Planning (kampus: Parramatta City)</t>
  </si>
  <si>
    <t xml:space="preserve">Master of Planning (kampus: Parramatta City)</t>
  </si>
  <si>
    <t xml:space="preserve">Whitehouse International College
1/ 150 King Street, Newcastle, NSW, 2300</t>
  </si>
  <si>
    <t xml:space="preserve">CEK: kampus Sydney tidak tercantum di register Study Australia untuk provider ini (dicek 04/11/2026) - konfirmasi kampus/entitas; CEK: Sebagian sesuai sumber resmi: Jumlah term tidak disebut; bila 4 term: 11.000/4 = 2.750 = price list 2.750 (11.400/4 = 2.850 -&gt; price list lebih murah). Sumber bukan situs resmi sekolah. | Alamat resmi Suite 1, Level 3, 15 Moore St - konfirmasi.; Tuition total/tahunan belum terbukti cocok dengan sumber resmi; Harga sebagian sesuai sumber resmi; Cara hitung tuition/periode: Hitung: total/tahunan ÷ N; Sumber: https://www.studiesinaustralia.com/courses-in-australia/whitehouse-international-college-pty-ltd/courses/certificate-iii-in-individual-support-chc33021, dicek 29/10/2026</t>
  </si>
  <si>
    <t xml:space="preserve">CEK: kampus Sydney tidak tercantum di register Study Australia untuk provider ini (dicek 04/11/2026) - konfirmasi kampus/entitas; Harga belum dicek ke sumber resmi</t>
  </si>
  <si>
    <t xml:space="preserve">Cert III in Individual Support (Ageing) + Cert IV in Ageing Support + Diploma of Community Service ($3375/term in Dip level)</t>
  </si>
  <si>
    <t xml:space="preserve">CEK: kampus Sydney tidak tercantum di register Study Australia untuk provider ini (dicek 04/11/2026) - konfirmasi kampus/entitas; Tuition beda per level, lihat keterangan di kolom Program; CEK: Sebagian sesuai sumber resmi: Hanya komponen Cert III yang dicek. Jumlah term tidak disebut; bila 4 term: 11.000/4 = 2.750 = price list 2.750 (11.400/4 = 2.850 -&gt; price list lebih murah). Su; Tuition total/tahunan belum terbukti cocok dengan sumber resmi; Harga sebagian sesuai sumber resmi; Cara hitung tuition/periode: Hitung: total/tahunan ÷ N; Sumber: https://www.studiesinaustralia.com/courses-in-australia/whitehouse-international-college-pty-ltd/courses/certificate-iii-in-individual-support-chc33021, dicek 29/10/2026</t>
  </si>
  <si>
    <t xml:space="preserve">York Business Institute
SUITE 1, L1, 338 Pitt St, Sydney</t>
  </si>
  <si>
    <t xml:space="preserve">CEK: Alamat 338 Pitt St terdaftar untuk Le Rosey; Berkeley/York resmi di 70-72 Bathurst St - konfirmasi kampus. | Alamat resmi YBI: Level 5, 70-72 Bathurst St / Suite 2, 338-340 Pitt St - konfirmasi.; Sumber bayar awal: York Student Pre-enrolment Information V7.0 &amp; Student Handbook V13.0 (Jan 2026, york.edu.au/downloads) - "the first term's fee plus all other fees including learning material costs" sebelum eCoE; dicek 30/10/2026; Harga belum dicek ke sumber resmi; Info sekolah: Grup: Wellington</t>
  </si>
  <si>
    <t xml:space="preserve">Cert III + Cert IV + Dip + Adv Dip of Business</t>
  </si>
  <si>
    <t xml:space="preserve">CEK: Alamat 338 Pitt St terdaftar untuk Le Rosey [berlaku untuk semua program terkait; asal Offshore - Sydney r1151]; Sumber bayar awal: York Student Pre-enrolment Information V7.0 &amp; Student Handbook V13.0 (Jan 2026, york.edu.au/downloads) - "the first term's fee plus all other fees including learning material costs" sebelum eCoE; dicek 30/10/2026; Harga belum dicek ke sumber resmi; Info sekolah: Grup: Wellington</t>
  </si>
  <si>
    <t xml:space="preserve">Cert III + Dip of Hospitality</t>
  </si>
  <si>
    <t xml:space="preserve">Cert IV + Dip + Adv Dip of Hospitality</t>
  </si>
  <si>
    <t xml:space="preserve">Cert IV + Dip + Adv Dip of Information Technology (IT) ($2000/term di level Adv Dip)</t>
  </si>
  <si>
    <t xml:space="preserve">CEK: Alamat 338 Pitt St terdaftar untuk Le Rosey [berlaku untuk semua program terkait; asal Offshore - Sydney r1151]; Tuition beda per level, lihat keterangan di kolom Program; Sumber bayar awal: York Student Pre-enrolment Information V7.0 &amp; Student Handbook V13.0 (Jan 2026, york.edu.au/downloads) - "the first term's fee plus all other fees including learning material costs" sebelum eCoE; dicek 30/10/2026; Harga belum dicek ke sumber resmi; Info sekolah: Grup: Wellington</t>
  </si>
  <si>
    <t xml:space="preserve">Cert III in Carpentry (Fast Track)</t>
  </si>
  <si>
    <t xml:space="preserve">Cert III in Carpentry + Dip of Buillding &amp; Consruction (Management)</t>
  </si>
  <si>
    <t xml:space="preserve">Cert III in Painting &amp; Decorating + Dip of Buillding &amp; Consruction (Management)</t>
  </si>
  <si>
    <t xml:space="preserve">Cert III in Wall &amp; Floor Tiling + Dip of Buillding &amp; Consruction (Management)</t>
  </si>
  <si>
    <t xml:space="preserve">Dip + Adv Dip of Civil Construction</t>
  </si>
  <si>
    <t xml:space="preserve">• 350 =+SUM(E356:J356) 1 Term Tuition Fee</t>
  </si>
  <si>
    <t xml:space="preserve">• Kitchen. 418A Elizabeth St, Surry Hills, NSW 2010</t>
  </si>
  <si>
    <t xml:space="preserve">• Kitchen: Shop 22 61-79 Quay Street Haymarket NSW2000</t>
  </si>
  <si>
    <t xml:space="preserve">• Level 4, 388-390 Sussex Street, Sydney NSW 2000, Australia</t>
  </si>
  <si>
    <t xml:space="preserve">OFFSHORE - MELBOURNE</t>
  </si>
  <si>
    <t xml:space="preserve">Academies Australasia
Level 7, 628 Bourke Street, Melbourne VIC 3000 Australia</t>
  </si>
  <si>
    <t xml:space="preserve">Bachelor of Business (Leadership &amp; Management)</t>
  </si>
  <si>
    <t xml:space="preserve">Dip + Adv of Information Technology (IT)</t>
  </si>
  <si>
    <t xml:space="preserve">CEK: Lebih murah dari harga publik (~2,000/periode): pastikan ini harga agen/promo yang berlaku. Dicocokkan dicek 30/10/2026: selisih 25.0% - situs resmi ACA/AAPoly tanpa diskon persentase (hanya Eagle Award AUD 1.200); tetap perlu dokumen agen/promo bertanggal; Harga agen: dokumen price list agen belum dilampirkan; Asumsi bayar awal 2 term (nilai pricelist lama; Handbook VET ACA hanya menyebut "TOTAL FEES TO BE PAID IN ADVANCE" di offer letter, jumlah term tidak disebut) - konfirmasi ke sekolah; Lebih murah dari harga publik - kemungkinan harga agen/promo (tidak diubah); Sumber: https://academies.edu.au/wp-content/uploads/2025/07/AKG0036-Information-Technology-Course.pdf, dicek 29/10/2026; Info sekolah: nama college dalam grup Academies Australasia (Institute/Polytechnic/Hair &amp; Beauty) belum dikonfirmasi per program</t>
  </si>
  <si>
    <t xml:space="preserve">Cert III + Cert IV in Kitchen Management + Dip. Of Hospitality Management</t>
  </si>
  <si>
    <t xml:space="preserve">Cert III + Cert IV in Kitchen Management + Dip. + Adv Dip. Of Hospitality Management</t>
  </si>
  <si>
    <t xml:space="preserve">CEK: Lebih murah dari harga publik (~2,000/periode): pastikan ini harga agen/promo yang berlaku. Dicocokkan dicek 30/10/2026: selisih 25.0% - situs resmi ACA/AAPoly tanpa diskon persentase (hanya Eagle Award AUD 1.200); tetap perlu dokumen agen/promo bertanggal; Harga agen: dokumen price list agen belum dilampirkan; Asumsi bayar awal 2 term (nilai pricelist lama; Handbook VET ACA hanya menyebut "TOTAL FEES TO BE PAID IN ADVANCE" di offer letter, jumlah term tidak disebut) - konfirmasi ke sekolah; Lebih murah dari harga publik - kemungkinan harga agen/promo (tidak diubah); Sumber: https://academies.edu.au/wp-content/uploads/2025/07/AKG0047-Hospitality-Management-Course.pdf, dicek 29/10/2026; Info sekolah: nama college dalam grup Academies Australasia (Institute/Polytechnic/Hair &amp; Beauty) belum dikonfirmasi per program</t>
  </si>
  <si>
    <t xml:space="preserve">Bachelor of Toursim &amp; Hotel Management</t>
  </si>
  <si>
    <t xml:space="preserve">Cert III + Dip. Of Early Childhood Education and Care</t>
  </si>
  <si>
    <t xml:space="preserve">Academy of Interactive Technology (AIT)
Level 13, 120 Spencer Street, Melbourne VIC 3000</t>
  </si>
  <si>
    <t xml:space="preserve">CEK: duplikat - program yang sama kini ditawarkan sebagai Greenwich Higher Education (provider sama: Academy of Interactive Technology Pty Ltd), harga 2027 di baris 283; baris AIT ini harga lama - jangan ditawarkan; CEK: enrolment di file 200 &lt; enrolment resmi 2026 AUD 250 (master pricing 2026 &amp; Terms: "$250 enrollment fee applies") - masalah biaya; perbarui setelah keputusan K9.; Material/enrolment belum tercatat (material; dihitung 0 di Estimasi Initial Payment); Asumsi bayar awal 2 term (nilai pricelist lama; kebijakan resmi AIT v2.3: minimal instalment pertama sebelum CoE, besarnya di Letter of Offer) - konfirmasi ke sekolah; Harga sebagian sesuai sumber resmi</t>
  </si>
  <si>
    <t xml:space="preserve">CEK: duplikat - program yang sama kini ditawarkan sebagai Greenwich Higher Education (provider sama: Academy of Interactive Technology Pty Ltd), harga 2027 di baris 282; baris AIT ini harga lama - jangan ditawarkan; Info: AIT tagih per trimester (3/tahun); 5.750 = 23.000/4 (konvensi TEG, hasil hitung); offshore deposit = 3 unit (trimester 1), onshore 1.000; enrolment resmi 2026 = 250 (file 200, lebih rendah - tidak diubah); CEK: enrolment di file 200 &lt; enrolment resmi 2026 AUD 250 (master pricing 2026 &amp; Terms: "$250 enrollment fee applies") - masalah biaya; perbarui setelah keputusan K9.; Asumsi bayar awal 2 term (nilai pricelist lama; kebijakan resmi AIT v2.3: minimal instalment pertama sebelum CoE, besarnya di Letter of Offer) - konfirmasi ke sekolah; Harga sebagian sesuai sumber resmi; Cara hitung tuition/periode: Hitung: total/tahunan ÷ N; Sumber: https://info.ait.edu.au/hubfs/v4-Q1-Greenwich-Higher-Education-Master-Pricing-Document-2026.pdf, dicek 29/10/2026</t>
  </si>
  <si>
    <t xml:space="preserve">CEK: duplikat - program yang sama kini ditawarkan sebagai Greenwich Higher Education (provider sama: Academy of Interactive Technology Pty Ltd), harga 2027 di baris 281; baris AIT ini harga lama - jangan ditawarkan; Info: AIT tagih per trimester (3/tahun); 5.750 = 23.000/4 (konvensi TEG, hasil hitung); offshore deposit = 3 unit (trimester 1), onshore 1.000; enrolment resmi 2026 = 250 (file 200, lebih rendah - tidak diubah); CEK: enrolment di file 200 &lt; enrolment resmi 2026 AUD 250 (master pricing 2026 &amp; Terms: "$250 enrollment fee applies") - masalah biaya; perbarui setelah keputusan K9.; Asumsi bayar awal 2 term (nilai pricelist lama; kebijakan resmi AIT v2.3: minimal instalment pertama sebelum CoE, besarnya di Letter of Offer) - konfirmasi ke sekolah; Harga sebagian sesuai sumber resmi; Cara hitung tuition/periode: Hitung: total/tahunan ÷ N; Sumber: https://info.ait.edu.au/hubfs/v4-Q1-Greenwich-Higher-Education-Master-Pricing-Document-2026.pdf, dicek 29/10/2026</t>
  </si>
  <si>
    <t xml:space="preserve">Bachelor of Information Technology (IT) (Mobile App Dev)</t>
  </si>
  <si>
    <t xml:space="preserve">CEK: Sebagian sesuai sumber resmi: Sumber resmi tidak menyebut jumlah term/tahun, jadi per-term tidak bisa dipastikan. 23,000/8 = 2,875 per subject; 5,750 = 2 subject = 23,000/4. Price list 5,750; CEK: Bachelor/Dip IT (Mobile App Development) berstatus teach-out, tidak menerima aplikasi baru (halaman kursus resmi) - jangan ditawarkan.; CEK: enrolment di file 200 &lt; enrolment resmi 2026 AUD 250 (master pricing 2026 &amp; Terms: "$250 enrollment fee applies") - masalah biaya; perbarui setelah keputusan K9.; Material/enrolment belum tercatat (material; dihitung 0 di Estimasi Initial Payment); Tuition total/tahunan belum terbukti cocok dengan sumber resmi; Asumsi bayar awal 2 term (nilai pricelist lama; kebijakan resmi AIT v2.3: minimal instalment pertama sebelum CoE, besarnya di Letter of Offer) - konfirmasi ke sekolah; Harga sebagian sesuai sumber resmi; Cara hitung tuition/periode: Hitung: total/tahunan ÷ N; Sumber: https://info.ait.edu.au/hubfs/v4-Q1-Greenwich-Higher-Education-Master-Pricing-Document-2026.pdf, dicek 29/10/2026; Bachelor of IT (Mobile App Development) teach-out berbeda dari Bachelor of Information Technology GHE (CRICOS 119223H, baris 280) - jangan digabung</t>
  </si>
  <si>
    <t xml:space="preserve">AIBI Higher Education
Level 5/440 Elizabeth St, Melbourne VIC 3000, Australia</t>
  </si>
  <si>
    <t xml:space="preserve">AIH Higher Education (Australian Institute of Higher Education)
Level 1, 20 Queen Street VIC 3000, Australia</t>
  </si>
  <si>
    <t xml:space="preserve">Albright Institute of Business and Language (AIBL)
Ground (Reception), Level 2, 4 &amp; 8, 341-345 Queen St, Melbourne, VIC 3000</t>
  </si>
  <si>
    <t xml:space="preserve">Cert III in Carpentry + Dip. Of Building and Construction (Building) ($3750/term on Dip Level)</t>
  </si>
  <si>
    <t xml:space="preserve">Tuition beda per level, lihat keterangan di kolom Program; Asumsi bayar awal 2 term (nilai pricelist lama; kebijakan resmi PP-09 V6.5: deposit awal sesuai Letter of Offer (maks 50%), jumlah term tidak disebut) - konfirmasi ke sekolah; Harga belum dicek ke sumber resmi</t>
  </si>
  <si>
    <t xml:space="preserve">Cert III in Wall and Floor Tiling + Dip. Of Building and Construction (Building) ($3750/term on Dip Level)</t>
  </si>
  <si>
    <t xml:space="preserve">Allied Institute
Level 1 &amp; 2, 301–311 Flinders Lane, Melbourne VIC 3000</t>
  </si>
  <si>
    <t xml:space="preserve">Cert III in Individual Support + Cert IV Ageing Support ($2000/term in Cert IV)</t>
  </si>
  <si>
    <t xml:space="preserve">Tuition beda per level, lihat keterangan di kolom Program; CEK: Lebih murah dari harga publik (~2,500/periode): pastikan ini harga agen/promo yang berlaku. Dicocokkan dicek 30/10/2026: selisih 25.0% - brosur resmi Allied 06/01/2026 tanpa diskon; tetap perlu dokumen agen/promo bertanggal; Harga agen: dokumen price list agen belum dilampirkan; Lebih murah dari harga publik - kemungkinan harga agen/promo (tidak diubah); Cara hitung tuition/periode: Hitung: total/tahunan ÷ N; Sumber: https://allied.edu.au/courses/certificate-iii-in-individual-support, dicek 29/10/2026</t>
  </si>
  <si>
    <t xml:space="preserve">Cert III in Individual Support + Dip of Community Services ($2312/term in Dip)</t>
  </si>
  <si>
    <t xml:space="preserve">Cert IV Ageing Support + Dip of Community Services ($2312/term in Dip)</t>
  </si>
  <si>
    <t xml:space="preserve">Tuition beda per level, lihat keterangan di kolom Program; CEK: Lebih murah dari harga publik (~2,500/periode): pastikan ini harga agen/promo yang berlaku. Dicocokkan dicek 30/10/2026: selisih 20.0% - brosur resmi Allied 06/01/2026 tanpa diskon; tetap perlu dokumen agen/promo bertanggal; Harga agen: dokumen price list agen belum dilampirkan; Lebih murah dari harga publik - kemungkinan harga agen/promo (tidak diubah); Cara hitung tuition/periode: Hitung: total/tahunan ÷ N; Sumber: https://allied.edu.au/courses/certificate-iv-in-ageing-support, dicek 29/10/2026</t>
  </si>
  <si>
    <t xml:space="preserve">CEK: Lebih murah dari harga publik (~4,500/periode): pastikan ini harga agen/promo yang berlaku. Dicocokkan dicek 30/10/2026: selisih 41.7% - brosur resmi Allied 06/01/2026 tanpa diskon; tetap perlu dokumen agen/promo bertanggal; Harga agen: dokumen price list agen belum dilampirkan; Lebih murah dari harga publik - kemungkinan harga agen/promo (tidak diubah); Cara hitung tuition/periode: Hitung: total/tahunan ÷ N; Sumber: https://allied.edu.au/courses/chc30125-certificate-iii-in-early-childhood-education-and-care, dicek 29/10/2026</t>
  </si>
  <si>
    <t xml:space="preserve">ALTEC College
Level 8/620 Bourke St, Melbourne VIC 3000, Australia</t>
  </si>
  <si>
    <t xml:space="preserve">Cert IV + Dip Of Business</t>
  </si>
  <si>
    <t xml:space="preserve">Cert IV + Dip + Adv. Dip. Of Business</t>
  </si>
  <si>
    <t xml:space="preserve">Cert IV in Business + Dip Of Leadership &amp; Management</t>
  </si>
  <si>
    <t xml:space="preserve">Cert IV in Business + Dip + Adv. Dip. Of Leadership &amp; Management</t>
  </si>
  <si>
    <t xml:space="preserve">Cert III in Carpentry + Dip. Of Building &amp; Construction</t>
  </si>
  <si>
    <t xml:space="preserve">Cert III in Cabinet Making and Timber Technology</t>
  </si>
  <si>
    <t xml:space="preserve">Cert III in Commercial Cookery + Cert IV in Kitchen Management + Dip. Of Hospitality Management</t>
  </si>
  <si>
    <t xml:space="preserve">Cert III in Commercial Cookery + Cert IV in Kitchen Management + Dip + Adv Dip. Of Hospitality Management</t>
  </si>
  <si>
    <t xml:space="preserve">Analytics Institute of Australia (AIA)
Part Level 10, 601 Bourke St, Melbourne</t>
  </si>
  <si>
    <t xml:space="preserve">Bachelor Of Analytics</t>
  </si>
  <si>
    <t xml:space="preserve">CEK: Lebih murah dari harga publik (~10,000/periode): pastikan ini harga agen/promo yang berlaku. Dicocokkan dicek 30/10/2026: selisih 62.7% - beasiswa resmi AIA hanya nominal tetap (AUD 1.000-3.000); fee resmi 2026: Bachelor 10.000/semester, MBA 12.000/semester; tetap perlu dokumen agen/promo bertanggal; Material/enrolment belum tercatat (material; dihitung 0 di Estimasi Initial Payment); Harga agen: dokumen price list agen belum dilampirkan; Lebih murah dari harga publik - kemungkinan harga agen/promo (tidak diubah); Cara hitung tuition/periode: Hitung: total/tahunan ÷ N; Sumber: https://analyticsinstitute.edu.au/wp-content/uploads/AIA_International-Student-Fee_2026.pdf, dicek 29/10/2026</t>
  </si>
  <si>
    <t xml:space="preserve">Master Of Business Analystics</t>
  </si>
  <si>
    <t xml:space="preserve">CEK: Lebih murah dari harga publik (~12,000/periode): pastikan ini harga agen/promo yang berlaku. Dicocokkan dicek 30/10/2026: selisih 62.7% - beasiswa resmi AIA hanya nominal tetap (AUD 1.000-3.000); fee resmi 2026: Bachelor 10.000/semester, MBA 12.000/semester; tetap perlu dokumen agen/promo bertanggal; Material/enrolment belum tercatat (material; dihitung 0 di Estimasi Initial Payment); Harga agen: dokumen price list agen belum dilampirkan; Lebih murah dari harga publik - kemungkinan harga agen/promo (tidak diubah); Cara hitung tuition/periode: Hitung: total/tahunan ÷ N; Sumber: https://analyticsinstitute.edu.au/wp-content/uploads/AIA_International-Student-Fee_2026.pdf, dicek 29/10/2026</t>
  </si>
  <si>
    <t xml:space="preserve">Bachelor Of Business Transformation</t>
  </si>
  <si>
    <t xml:space="preserve">Asia Pacific International College (APIC)
Level 7, 399 Lonsdale Street, Melbourne VIC 3000</t>
  </si>
  <si>
    <t xml:space="preserve">Australian Business &amp; Culinary Institute (ABC Institute)
Level 4, 343 Little Collins Street Terrace, Melbourne, VIC 3000</t>
  </si>
  <si>
    <t xml:space="preserve">Australian Catholic University (ACU)
115 Victoria Parade, Fitzroy VIC 3065 ------------ 1200 Mair Street, Ballarat VIC 3350</t>
  </si>
  <si>
    <t xml:space="preserve">Australian Institute of Advanced Technologies (AIAT)
Level 7 341Queen Street Melbourne , 3000</t>
  </si>
  <si>
    <t xml:space="preserve">Australian Sovereign College (AuSC)
L10 601 Bourke Street Melbourne VIC 3000</t>
  </si>
  <si>
    <t xml:space="preserve">Cert III in Bricklaying and Blocklaying + Dip of Building and Construction (Building)</t>
  </si>
  <si>
    <t xml:space="preserve">Cert III in Cabinet Making and Timber Technology + Dip of Building and Construction (Building)</t>
  </si>
  <si>
    <t xml:space="preserve">Cert III in Automotive Electrical Technology + Cert IV in Automotive Mechanical Diagnosis + Dip of Automotive Technology</t>
  </si>
  <si>
    <t xml:space="preserve">Adv Dip of Information Technology (IT)</t>
  </si>
  <si>
    <t xml:space="preserve">Dip + Adv Dip of Leadership and Management + Graduate Dip of Management (Learning)</t>
  </si>
  <si>
    <t xml:space="preserve">Baxter Institute
72-92 Langford St, North Melbourne VIC 3051</t>
  </si>
  <si>
    <t xml:space="preserve">Cert III in Light Vehicle Mechanical Technology + Cert IV in Automotive Mechanical Diagnosis + Diploma of Automotive Mechanical Diagnoosis</t>
  </si>
  <si>
    <t xml:space="preserve">Cert IV + Dip Of Engineering - Technical</t>
  </si>
  <si>
    <t xml:space="preserve">Dip + Adv Dip Of Data Science</t>
  </si>
  <si>
    <t xml:space="preserve">Canterbury Institute of Management (CIM)
399 Lonsdale St, MELBOURNE VIC 3000</t>
  </si>
  <si>
    <t xml:space="preserve">Collins Academy
Level 1–2, 301–303 Flinders Lane, Melbourne VIC 3000</t>
  </si>
  <si>
    <t xml:space="preserve">Cert IV in Marketing + Dip of AI ($2625/term in Dip)</t>
  </si>
  <si>
    <t xml:space="preserve">Tuition beda per level, lihat keterangan di kolom Program; CEK: Lebih murah dari harga publik (~4,000/periode): pastikan ini harga agen/promo yang berlaku. Dicocokkan dicek 30/10/2026: selisih 51.2% - situs resmi ACA/AAPoly tanpa diskon persentase (hanya Eagle Award AUD 1.200); tetap perlu dokumen agen/promo bertanggal; Harga agen: dokumen price list agen belum dilampirkan; Lebih murah dari harga publik - kemungkinan harga agen/promo (tidak diubah); Cara hitung tuition/periode: Hitung: total/tahunan ÷ N; Sumber: https://search.studyaustralia.gov.au/provider/collins-academy/701967dbd53b3cebffa7c2c88abd29a3/courses, dicek 29/10/2026</t>
  </si>
  <si>
    <t xml:space="preserve">Cert IV in Entrepreneurship and New Business + Dip of AI ($2625/term in Dip)</t>
  </si>
  <si>
    <t xml:space="preserve">Collins International College
Level 1, 158 Swanston Street, Melbourne VIC 3000</t>
  </si>
  <si>
    <t xml:space="preserve">CEK: konfirmasi harga ke sekolah (harga beda dengan sumber resmi); Cara hitung tuition/periode: Hitung: total/tahunan ÷ N; Sumber: https://www.collins.vic.edu.au/courses/sit40521-certificate-iv-in-kitchen-management, dicek 29/10/2026</t>
  </si>
  <si>
    <t xml:space="preserve">Dalton College
Suite 1, Level 14, 190 Queen Street, Melbourne VIC 3000, Australia.</t>
  </si>
  <si>
    <t xml:space="preserve">Cert IV + Dip of Leadership Management ($2950/term in Dip)</t>
  </si>
  <si>
    <t xml:space="preserve">Cert IV + Dip + Adv Dip of Leadership Management ($2950/term in Dip, $2467/term in Adv Dip)</t>
  </si>
  <si>
    <t xml:space="preserve">Adv Dip of Business</t>
  </si>
  <si>
    <t xml:space="preserve">Dip + Adv Dip of Business ($2467/term in Adv Dip)</t>
  </si>
  <si>
    <t xml:space="preserve">Cert III + Dip of Early Childhood education &amp; Care</t>
  </si>
  <si>
    <t xml:space="preserve">ECA College
Level 2, 655 Collins St. Docklands, VIC 3008</t>
  </si>
  <si>
    <t xml:space="preserve">Material 0 belum terbukti (dasar nol: Tidak ditagih (sumber belum cocok: flyer berlabel Onshore, baris ini offshore) | flyer GDE: MATERIAL FEES $0 | program: GDE (MEM80112) | intake 2026 | siswa internasional); Harga sesuai sumber resmi; Cara hitung tuition/periode: Hitung: total/tahunan ÷ N; Sumber: https://eca.edu.au/wp-content/uploads/2024/07/GDE-MPMB-Flyer-2.pdf, dicek 29/10/2026; Kode internal: AIG (ACHIEVA)</t>
  </si>
  <si>
    <t xml:space="preserve">Everthought College of Construction
Level 1, 287–313 Macaulay Road, North Melbourne VIC 3051</t>
  </si>
  <si>
    <t xml:space="preserve">Greenwich College
Level 8/120 Spencer St, Melbourne VIC 3000, Australia</t>
  </si>
  <si>
    <t xml:space="preserve">Cert IV + Dip of Marketing &amp; Communication + Adv Dip of Marketing Automation (Last 8 terms $1330/term)</t>
  </si>
  <si>
    <t xml:space="preserve">Dip Of E-Commerce + Adv Dip of IT ($1330/term untuk 11 term terakhir)</t>
  </si>
  <si>
    <t xml:space="preserve">Adv Dip of IT ($1330/term untuk 11 term terakhir)</t>
  </si>
  <si>
    <t xml:space="preserve">Adv Dip of Information Technology (IT) (11 terms tearkhir $1330/term)</t>
  </si>
  <si>
    <t xml:space="preserve">Greenwich Higher Education (Academy of Interactive Technology Pty Ltd)
Level 13, 120 Spencer St, Melbourne VIC 3000</t>
  </si>
  <si>
    <t xml:space="preserve">Higher Education Leadership Institute (HELI)
Level 3, 655 Collins Street, Docklands VIC 3008</t>
  </si>
  <si>
    <t xml:space="preserve">Graduate Certificate in Research Methods</t>
  </si>
  <si>
    <t xml:space="preserve">CEK: konfirmasi harga ke sekolah (harga beda dengan sumber resmi); CEK: Harga di sini 14,700 lebih mahal dari harga resmi ~11,800/periode - konfirmasi ke sekolah sebelum dipakai. Total 23,600 untuk 0,5 tahun; 2 unit/trimester = 11,800. Price list 14,700/trimester LEBIH MAHAL (+24,6%) dan 14,700 tidak sesuai kelipatan unit. Cek ulang. Enr; Material/enrolment belum tercatat (material; dihitung 0 di Estimasi Initial Payment); Sumber bayar awal: Leaders Institute Fees, Payments and Tuition Assurance Policy v2.0 - tuition study period (semester) pertama lunas sebelum CoE = 2 term (tuition disimpan per term); dicek 30/10/2026; Cara hitung tuition/periode: Hitung: total/tahunan ÷ N; Sumber: https://www.heli.edu.au/fees/, dicek 29/10/2026; Kode internal: YY</t>
  </si>
  <si>
    <t xml:space="preserve">Master of Research</t>
  </si>
  <si>
    <t xml:space="preserve">CEK: konfirmasi harga ke sekolah (harga beda dengan sumber resmi); CEK: Harga di sini 14,700 lebih mahal dari harga resmi ~11,800/periode - konfirmasi ke sekolah sebelum dipakai. 70,800 / 6 trimester (2 thn x 3 trimester) = 11,800. Price list 14,700 LEBIH MAHAL (+24,6%); 6 x 14,700 = 88,200 &gt; 70,800. Cek ulang. Enrolment 200 cocok.; Material/enrolment belum tercatat (material; dihitung 0 di Estimasi Initial Payment); Sumber bayar awal: Leaders Institute Fees, Payments and Tuition Assurance Policy v2.0 - tuition study period (semester) pertama lunas sebelum CoE = 2 term (tuition disimpan per term); dicek 30/10/2026; Cara hitung tuition/periode: Hitung: total/tahunan ÷ N; Sumber: https://www.heli.edu.au/fees/, dicek 29/10/2026; Kode internal: YY</t>
  </si>
  <si>
    <t xml:space="preserve">Master of eLearning</t>
  </si>
  <si>
    <t xml:space="preserve">Material/enrolment belum tercatat (material; dihitung 0 di Estimasi Initial Payment); Sumber bayar awal: Leaders Institute Fees, Payments and Tuition Assurance Policy v2.0 - tuition study period (semester) pertama lunas sebelum CoE = 2 term (tuition disimpan per term); dicek 30/10/2026; Harga sesuai sumber resmi; Cara hitung tuition/periode: Hitung: total/tahunan ÷ N; Sumber: https://www.heli.edu.au/fees/, dicek 29/10/2026; Kode internal: YY</t>
  </si>
  <si>
    <t xml:space="preserve">Ad. Dip. Of IT Telecommunications Network Engineer</t>
  </si>
  <si>
    <t xml:space="preserve">CEK: Alamat 341-345 Queen St tidak cocok dengan INUS (85 Queen St) maupun ZOI - konfirmasi penyelenggara [berlaku untuk semua program terkait; asal Offshore - Melbourne r287]; Harga belum dicek ke sumber resmi</t>
  </si>
  <si>
    <t xml:space="preserve">Kaplan Business School
Level 4, 370 Docklands Drive Docklands VIC 3008</t>
  </si>
  <si>
    <t xml:space="preserve">Master of Business Analytics (IT) (Per Trimester or 4 months)</t>
  </si>
  <si>
    <t xml:space="preserve">Kent Institute Australia
Level 10, 350 Queen Street, Melbourne VIC 3000, Australia</t>
  </si>
  <si>
    <t xml:space="preserve">Laurus Higher Education
Level 3, 301-311 Flinders Lane, Melbourne, VC, 3000</t>
  </si>
  <si>
    <t xml:space="preserve">Bachelor of Community Services (BCS)</t>
  </si>
  <si>
    <t xml:space="preserve">Graduate Diploma in Early Childhood Teaching (GDECT)</t>
  </si>
  <si>
    <t xml:space="preserve">Le Cordon Bleu Australia
488 South Road, Moorabbin VIC 3189-----------------------Corner of Batesford and Warrigal Roads, Chadstone VIC 3148</t>
  </si>
  <si>
    <t xml:space="preserve">Le Suisse Academy
Level 3, 301-311 Flinders Lane, Melbourne VIC 3000</t>
  </si>
  <si>
    <t xml:space="preserve">Cert III in Commercial Cookery + Cert IV in Kitchen Management ($2250/term in Cert IV)</t>
  </si>
  <si>
    <t xml:space="preserve">Cert III in Commercial Cookery + Cert IV in Kitchen Management + Dip of Hospitality Management ($2250/term in Cert IV &amp; $1750/term in Dip)</t>
  </si>
  <si>
    <t xml:space="preserve">Cert III in Commercial Cookery + Cert IV in Kitchen Management + Dip + Adv Dip of Hospitality Management ($2250/term in Cert IV &amp; $1750/term in Dip and Adv Dip)</t>
  </si>
  <si>
    <t xml:space="preserve">Melbourne Metro College
Level 5/440 Elizabeth St, Melbourne VIC 3000, Australia</t>
  </si>
  <si>
    <t xml:space="preserve">Cert III + Cert IV in Ageing Support</t>
  </si>
  <si>
    <t xml:space="preserve">Cert IV in Ageing Support + Dip Of Community Service</t>
  </si>
  <si>
    <t xml:space="preserve">Cert III + Dip Of Early Childhood &amp; Care</t>
  </si>
  <si>
    <t xml:space="preserve">Menzies Institute of Technology
Level 4, 355 Spencer Street, West Melbourne VIC 3003</t>
  </si>
  <si>
    <t xml:space="preserve">78 minggu</t>
  </si>
  <si>
    <t xml:space="preserve">Periode bayar resmi = cicilan (bukan term), lihat price list; Bukti: Price list resmi MIT Offshore v2.2 Mar 2026, Payment Plan: "1 for COE: $17,250" (kutipan, dicek 29 Okt 2026) (ditinjau 29/10/2026); Harga sesuai sumber resmi; Cara hitung tuition/periode: Resmi per periode; Sumber: https://menzies.vic.edu.au/wp-content/uploads/2026/03/Offshore-2026-Menzies-Institute-of-Technology-Price-List-180326.pdf, dicek 29/10/2026</t>
  </si>
  <si>
    <t xml:space="preserve">Cert IV of Ageing Support + Dip OF Community Services ($7500/term untuk 9 term terakhir)</t>
  </si>
  <si>
    <t xml:space="preserve">Tuition beda per level, lihat keterangan di kolom Program; CEK: price list resmi: Dip of Community Services = 2 cicilan x 7.500 (bukan "9 term terakhir"); keterangan program perlu diperbaiki setelah konfirmasi; Tuition total/tahunan belum terbukti cocok dengan sumber resmi; Harga sebagian sesuai sumber resmi; Sumber: https://menzies.vic.edu.au/wp-content/uploads/2026/03/Offshore-2026-Menzies-Institute-of-Technology-Price-List-180326.pdf, dicek 29/10/2026</t>
  </si>
  <si>
    <t xml:space="preserve">Dip Of Dental Technology</t>
  </si>
  <si>
    <t xml:space="preserve">95 minggu</t>
  </si>
  <si>
    <t xml:space="preserve">Periode bayar resmi = cicilan (bukan term), lihat price list; Bukti: Price list resmi MIT Offshore v2.2 Mar 2026, Payment Plan: "1 for COE: $9,250" (kutipan, dicek 29 Okt 2026) (ditinjau 29/10/2026); Harga sesuai sumber resmi; Cara hitung tuition/periode: Resmi per periode; Sumber: https://menzies.vic.edu.au/wp-content/uploads/2026/03/Offshore-2026-Menzies-Institute-of-Technology-Price-List-180326.pdf, dicek 29/10/2026</t>
  </si>
  <si>
    <t xml:space="preserve">Cert III in Light Vehicle Mechanical Technology</t>
  </si>
  <si>
    <t xml:space="preserve">56 minggu</t>
  </si>
  <si>
    <t xml:space="preserve">Periode bayar resmi = cicilan (bukan term), lihat price list; CEK: price list resmi: "1 on start date: $5,700" lalu $4,450 setelah 6 bulan - jumlah yang wajib dibayar untuk CoE tidak disebut, minta ke sekolah; Harga sesuai sumber resmi; Cara hitung tuition/periode: Resmi per periode; Sumber: https://menzies.vic.edu.au/wp-content/uploads/2026/03/Offshore-2026-Menzies-Institute-of-Technology-Price-List-180326.pdf, dicek 29/10/2026</t>
  </si>
  <si>
    <t xml:space="preserve">Cert III in Light Vehicle Mechanical Technology + Cert IV in Automotive Mechanical Diagnosis ($3350 untuk term terakhir)</t>
  </si>
  <si>
    <t xml:space="preserve">Tuition beda per level, lihat keterangan di kolom Program; CEK: Sebagian sesuai sumber resmi: Komponen Cert III (4,450) sesuai; catatan "$3,350 term terakhir" tidak cocok dengan cicilan Cert IV resmi (3,000 / 2,250).; Tuition total/tahunan belum terbukti cocok dengan sumber resmi; Harga sebagian sesuai sumber resmi; Cara hitung tuition/periode: Hitung: total/tahunan ÷ N; Sumber: https://menzies.vic.edu.au/wp-content/uploads/2026/03/Offshore-2026-Menzies-Institute-of-Technology-Price-List-180326.pdf, dicek 29/10/2026</t>
  </si>
  <si>
    <t xml:space="preserve">Cert III in Light Vehicle Mechanical Technology + Cert IV in Automotive Mechanical Diagnosis + Dip Of Automotive Technology ($2250 untuk term terakhir)</t>
  </si>
  <si>
    <t xml:space="preserve">Tuition beda per level, lihat keterangan di kolom Program; Harga sesuai sumber resmi; Cara hitung tuition/periode: Resmi per periode; Sumber: https://menzies.vic.edu.au/wp-content/uploads/2026/03/Offshore-2026-Menzies-Institute-of-Technology-Price-List-180326.pdf, dicek 29/10/2026</t>
  </si>
  <si>
    <t xml:space="preserve">National Academy of Professional Studies (NAPS)
Level 6 &amp; 7, 20 Queen St, Melbourne, VIC 3000</t>
  </si>
  <si>
    <t xml:space="preserve">CEK: periode &amp; nominal - NAPS menagih per TRIMESTER (tuition trimester pertama jatuh tempo saat enrolment, TERVERIFIKASI 07/11/2026 di naps.edu.au/pages/payment-schedule-and-fee-notice: "fees in advance on a trimester-by-trimester basis", jatuh tempo min. 2 minggu sebelum trimester mulai), sedangkan file menyimpan tuition per term (Bayar di Awal 2); nominal per trimester belum ada bukti - jangan digandakan otomatis; minta fee schedule/offer NAPS; Asumsi bayar awal 2 term (nilai pricelist lama; NAPS tampak menagih per trimester (halaman kursus naps.edu.au); jumlah bayar sebelum CoE tidak ditemukan) - konfirmasi ke sekolah; Harga belum dicek ke sumber resmi; Harga publik internasional 2026 (naps.edu.au/pages/fees-and-charges, dicek 07/11/2026): total tuition 57.000, per tahun 19.000,00 (= 6.333,33/trimester); file 4.500/term = 18.000/tahun (-5% vs publik) - kemungkinan harga agen, tidak diganti; non-tuition fee &amp; material per trimester berlaku; yang perlu dikonfirmasi: harga agen per tahun/per trimester &amp; pembayaran sebelum CoE</t>
  </si>
  <si>
    <t xml:space="preserve">CEK: periode &amp; nominal - NAPS menagih per TRIMESTER (tuition trimester pertama jatuh tempo saat enrolment, TERVERIFIKASI 07/11/2026 di naps.edu.au/pages/payment-schedule-and-fee-notice: "fees in advance on a trimester-by-trimester basis", jatuh tempo min. 2 minggu sebelum trimester mulai), sedangkan file menyimpan tuition per term (Bayar di Awal 2); nominal per trimester belum ada bukti - jangan digandakan otomatis; minta fee schedule/offer NAPS; Asumsi bayar awal 2 term (nilai pricelist lama; NAPS tampak menagih per trimester (halaman kursus naps.edu.au); jumlah bayar sebelum CoE tidak ditemukan) - konfirmasi ke sekolah; Harga belum dicek ke sumber resmi; Harga publik internasional 2026 (naps.edu.au/pages/fees-and-charges, dicek 07/11/2026): total tuition 52.000, per tahun 26.000,00 (= 8.666,67/trimester); file 5.500/term = 22.000/tahun (-15% vs publik) - kemungkinan harga agen, tidak diganti; non-tuition fee &amp; material per trimester berlaku; yang perlu dikonfirmasi: harga agen per tahun/per trimester &amp; pembayaran sebelum CoE</t>
  </si>
  <si>
    <t xml:space="preserve">CEK: periode &amp; nominal - NAPS menagih per TRIMESTER (tuition trimester pertama jatuh tempo saat enrolment, TERVERIFIKASI 07/11/2026 di naps.edu.au/pages/payment-schedule-and-fee-notice: "fees in advance on a trimester-by-trimester basis", jatuh tempo min. 2 minggu sebelum trimester mulai), sedangkan file menyimpan tuition per term (Bayar di Awal 2); nominal per trimester belum ada bukti - jangan digandakan otomatis; minta fee schedule/offer NAPS; Asumsi bayar awal 2 term (nilai pricelist lama; NAPS tampak menagih per trimester (halaman kursus naps.edu.au); jumlah bayar sebelum CoE tidak ditemukan) - konfirmasi ke sekolah; Harga belum dicek ke sumber resmi; Harga publik internasional 2026 (naps.edu.au/pages/fees-and-charges, dicek 07/11/2026): total tuition 50.000, per tahun 16.666,67 (= 5.555,56/trimester); file 4.000/term = 16.000/tahun (-4% vs publik) - kemungkinan harga agen, tidak diganti; non-tuition fee &amp; material per trimester berlaku; yang perlu dikonfirmasi: harga agen per tahun/per trimester &amp; pembayaran sebelum CoE</t>
  </si>
  <si>
    <t xml:space="preserve">CEK: periode &amp; nominal - NAPS menagih per TRIMESTER (tuition trimester pertama jatuh tempo saat enrolment, TERVERIFIKASI 07/11/2026 di naps.edu.au/pages/payment-schedule-and-fee-notice: "fees in advance on a trimester-by-trimester basis", jatuh tempo min. 2 minggu sebelum trimester mulai), sedangkan file menyimpan tuition per term (Bayar di Awal 2); nominal per trimester belum ada bukti - jangan digandakan otomatis; minta fee schedule/offer NAPS; Asumsi bayar awal 2 term (nilai pricelist lama; NAPS tampak menagih per trimester (halaman kursus naps.edu.au); jumlah bayar sebelum CoE tidak ditemukan) - konfirmasi ke sekolah; Harga belum dicek ke sumber resmi; Harga publik internasional 2026 (naps.edu.au/pages/fees-and-charges, dicek 07/11/2026): total tuition 52.000, per tahun 26.000,00 (= 8.666,67/trimester); file 4.250/term = 17.000/tahun (-35% vs publik) - kemungkinan harga agen, tidak diganti; non-tuition fee &amp; material per trimester berlaku; yang perlu dikonfirmasi: harga agen per tahun/per trimester &amp; pembayaran sebelum CoE</t>
  </si>
  <si>
    <t xml:space="preserve">CEK: periode &amp; nominal - NAPS menagih per TRIMESTER (tuition trimester pertama jatuh tempo saat enrolment, TERVERIFIKASI 07/11/2026 di naps.edu.au/pages/payment-schedule-and-fee-notice: "fees in advance on a trimester-by-trimester basis", jatuh tempo min. 2 minggu sebelum trimester mulai), sedangkan file menyimpan tuition per term (Bayar di Awal 2); nominal per trimester belum ada bukti - jangan digandakan otomatis; minta fee schedule/offer NAPS; Asumsi bayar awal 2 term (nilai pricelist lama; NAPS tampak menagih per trimester (halaman kursus naps.edu.au); jumlah bayar sebelum CoE tidak ditemukan) - konfirmasi ke sekolah; Harga belum dicek ke sumber resmi; Harga publik internasional 2026 (naps.edu.au/pages/fees-and-charges, dicek 07/11/2026): total tuition 96.000, per tahun 24.000,00 (= 8.000,00/trimester); file 5.500/term = 22.000/tahun (-8% vs publik) - kemungkinan harga agen, tidak diganti; non-tuition fee &amp; material per trimester berlaku; yang perlu dikonfirmasi: harga agen per tahun/per trimester &amp; pembayaran sebelum CoE</t>
  </si>
  <si>
    <t xml:space="preserve">CEK: periode &amp; nominal - NAPS menagih per TRIMESTER (tuition trimester pertama jatuh tempo saat enrolment, TERVERIFIKASI 07/11/2026 di naps.edu.au/pages/payment-schedule-and-fee-notice: "fees in advance on a trimester-by-trimester basis", jatuh tempo min. 2 minggu sebelum trimester mulai), sedangkan file menyimpan tuition per term (Bayar di Awal 2); nominal per trimester belum ada bukti - jangan digandakan otomatis; minta fee schedule/offer NAPS; Asumsi bayar awal 2 term (nilai pricelist lama; NAPS tampak menagih per trimester (halaman kursus naps.edu.au); jumlah bayar sebelum CoE tidak ditemukan) - konfirmasi ke sekolah; Harga belum dicek ke sumber resmi; Harga publik internasional 2026 (naps.edu.au/pages/fees-and-charges, dicek 07/11/2026): total tuition 54.000, per tahun 18.000,00 (= 6.000,00/trimester); file 4.500/term = 18.000/tahun (+0% vs publik) - kemungkinan harga agen, tidak diganti; non-tuition fee &amp; material per trimester berlaku; yang perlu dikonfirmasi: harga agen per tahun/per trimester &amp; pembayaran sebelum CoE</t>
  </si>
  <si>
    <t xml:space="preserve">CEK: periode &amp; nominal - NAPS menagih per TRIMESTER (tuition trimester pertama jatuh tempo saat enrolment, TERVERIFIKASI 07/11/2026 di naps.edu.au/pages/payment-schedule-and-fee-notice: "fees in advance on a trimester-by-trimester basis", jatuh tempo min. 2 minggu sebelum trimester mulai), sedangkan file menyimpan tuition per term (Bayar di Awal 2); nominal per trimester belum ada bukti - jangan digandakan otomatis; minta fee schedule/offer NAPS; Asumsi bayar awal 2 term (nilai pricelist lama; NAPS tampak menagih per trimester (halaman kursus naps.edu.au); jumlah bayar sebelum CoE tidak ditemukan) - konfirmasi ke sekolah; Harga belum dicek ke sumber resmi; Harga publik internasional 2026 (naps.edu.au/pages/fees-and-charges, dicek 07/11/2026): total tuition 80.000, per tahun 20.000,00 (= 6.666,67/trimester); file 4.500/term = 18.000/tahun (-10% vs publik) - kemungkinan harga agen, tidak diganti; non-tuition fee &amp; material per trimester berlaku; yang perlu dikonfirmasi: harga agen per tahun/per trimester &amp; pembayaran sebelum CoE</t>
  </si>
  <si>
    <t xml:space="preserve">CEK: periode &amp; nominal - NAPS menagih per TRIMESTER (tuition trimester pertama jatuh tempo saat enrolment, TERVERIFIKASI 07/11/2026 di naps.edu.au/pages/payment-schedule-and-fee-notice: "fees in advance on a trimester-by-trimester basis", jatuh tempo min. 2 minggu sebelum trimester mulai), sedangkan file menyimpan tuition per term (Bayar di Awal 2); nominal per trimester belum ada bukti - jangan digandakan otomatis; minta fee schedule/offer NAPS; Asumsi bayar awal 2 term (nilai pricelist lama; NAPS tampak menagih per trimester (halaman kursus naps.edu.au); jumlah bayar sebelum CoE tidak ditemukan) - konfirmasi ke sekolah; Harga belum dicek ke sumber resmi; Harga publik internasional 2026 (naps.edu.au/pages/fees-and-charges, dicek 07/11/2026): total tuition 40.000, per tahun 20.000,00 (= 6.666,67/trimester); file 4.500/term = 18.000/tahun (-10% vs publik) - kemungkinan harga agen, tidak diganti; non-tuition fee &amp; material per trimester berlaku; yang perlu dikonfirmasi: harga agen per tahun/per trimester &amp; pembayaran sebelum CoE</t>
  </si>
  <si>
    <t xml:space="preserve">National Training College of Australia (NTCA)
Level 11, 190 Queen St Melbourne 3000</t>
  </si>
  <si>
    <t xml:space="preserve">Cert IV + Dip of Building and Construction ($3875/term in Dip)</t>
  </si>
  <si>
    <t xml:space="preserve">Cert III in Baking + Dip of Hospitality Management ($2600/term in Dip)</t>
  </si>
  <si>
    <t xml:space="preserve">Dip + Adv of Information Technology (IT) ($2250/term in Adv Dip)</t>
  </si>
  <si>
    <t xml:space="preserve">Adv of Information Technology (IT)</t>
  </si>
  <si>
    <t xml:space="preserve">Dip + Adv Dip of Leadership and Management ($3666/term in Adv Dip)</t>
  </si>
  <si>
    <t xml:space="preserve">Dip + Adv Dip of Leadership and Management + Graduate Diploma of Management (Learning) ($2666/term in Adv Dip and $3000/term in Graduate Dip)</t>
  </si>
  <si>
    <t xml:space="preserve">Cert III in Patisserie + Cert IV in Kitchen Management + Dip of Hospitality Management ($2540/term in Cert IV &amp; $2325/term in Dip)</t>
  </si>
  <si>
    <t xml:space="preserve">Cert III in Commercial Cookery + Cert IV in Kitchen Management + Dip of Hospitality Management ($2575/term in Cert IV &amp; $2325/term in Dip)</t>
  </si>
  <si>
    <t xml:space="preserve">Dip + Adv Dip of Hospitality Management ($2325/term in Adv Dip)</t>
  </si>
  <si>
    <t xml:space="preserve">Cert III in Patisserie + Dip of Hospitality Management ($2700/term in Dip)</t>
  </si>
  <si>
    <t xml:space="preserve">Opulence College
Suite 8.02, Level 8, 474 Flinders St Melbourne VIC 3000</t>
  </si>
  <si>
    <t xml:space="preserve">Ozford Institute of Higher Education
333 Queen St, Melbourne VIC 3000, Australia</t>
  </si>
  <si>
    <t xml:space="preserve">CEK: Sebagian sesuai sumber resmi: Resmi $18,600/tahun. Per 1/4 tahun = 18,600/4 = 4,650.0 (list 4,650 -&gt; cocok dgn annual: 4,650x4 = 18,600); namun periode resmi adalah trimester (6 trimester =; Tuition total/tahunan belum terbukti cocok dengan sumber resmi; Harga sebagian sesuai sumber resmi; Cara hitung tuition/periode: Hitung: total/tahunan ÷ N; Sumber: https://ozford.edu.au/fees/higher-education-international-student/, dicek 29/10/2026; Kode internal: AIG (ACHIEVA)</t>
  </si>
  <si>
    <t xml:space="preserve">Bachelor Of Business (Accounting)</t>
  </si>
  <si>
    <t xml:space="preserve">Master in Business Administration</t>
  </si>
  <si>
    <t xml:space="preserve">Bachelor Of Cyber Security</t>
  </si>
  <si>
    <t xml:space="preserve">CEK: Sebagian sesuai sumber resmi: Resmi $19,800/tahun. Per 1/4 tahun = 19,800/4 = 4,950.0 (list 4,950 -&gt; cocok dgn annual: 4,950x4 = 19,800); namun periode resmi adalah trimester (6 trimester =; Tuition total/tahunan belum terbukti cocok dengan sumber resmi; Harga sebagian sesuai sumber resmi; Cara hitung tuition/periode: Hitung: total/tahunan ÷ N; Sumber: https://ozford.edu.au/fees/higher-education-international-student/, dicek 29/10/2026; Kode internal: AIG (ACHIEVA)</t>
  </si>
  <si>
    <t xml:space="preserve">CEK: Sebagian sesuai sumber resmi: Resmi $19,800/tahun. Per 1/4 tahun = 19,800/4 = 4,950.0 (list 4,950 -&gt; cocok dgn annual: 4,950x4 = 19,800); namun periode resmi adalah trimester (6 trimester =; Info: nama resmi Bachelor of Information Systems (19.800 p.a.); Ozford tagih per trimester (2 trimester standar/tahun) - 1 trimester = fee tahunan/2 = 2 term di file; Tuition total/tahunan belum terbukti cocok dengan sumber resmi; Harga sebagian sesuai sumber resmi; Cara hitung tuition/periode: Hitung: total/tahunan ÷ N; Sumber: https://ozford.edu.au/fees/higher-education-international-student/, dicek 29/10/2026; Kode internal: AIG (ACHIEVA)</t>
  </si>
  <si>
    <t xml:space="preserve">Graduate Diploma Of Information Technology (IT)</t>
  </si>
  <si>
    <t xml:space="preserve">CEK: Sebagian sesuai sumber resmi: Resmi $18,950/tahun. Per 1/4 tahun = 18,950/4 = 4,737.5 (list 4,740 -&gt; cocok dgn annual: 4,740x4 = 18,960); namun periode resmi adalah trimester (6 trimester =; Tuition total/tahunan belum terbukti cocok dengan sumber resmi; Harga sebagian sesuai sumber resmi; Cara hitung tuition/periode: Hitung: total/tahunan ÷ N; Sumber: https://ozford.edu.au/fees/higher-education-international-student/, dicek 29/10/2026; Kode internal: AIG (ACHIEVA)</t>
  </si>
  <si>
    <t xml:space="preserve">Master Diploma Of Information Technology (IT)</t>
  </si>
  <si>
    <t xml:space="preserve">CEK: Sebagian sesuai sumber resmi: Resmi $18,950/tahun. Per 1/4 tahun = 18,950/4 = 4,737.5 (list 4,740 -&gt; cocok dgn annual: 4,740x4 = 18,960); namun periode resmi adalah trimester (6 trimester =; Info: nama resmi Master of Information Technology (18.950 p.a.); Ozford tagih per trimester (2 trimester standar/tahun) - 1 trimester = fee tahunan/2 = 2 term di file; Tuition total/tahunan belum terbukti cocok dengan sumber resmi; Harga sebagian sesuai sumber resmi; Cara hitung tuition/periode: Hitung: total/tahunan ÷ N; Sumber: https://ozford.edu.au/fees/higher-education-international-student/, dicek 29/10/2026; Kode internal: AIG (ACHIEVA)</t>
  </si>
  <si>
    <t xml:space="preserve">Paragon Polytechnic
Main campus: Level 1, 287–313 Macaulay Road, North Melbourne VIC 3051--------------Automotive workshop: Unit 5, 60 Stubbs Street, Kensington VIC 3031.</t>
  </si>
  <si>
    <t xml:space="preserve">Cert III in Light Vehicle Mechanical Technology + Cert IV in Automotive Mechanical Diagnosis ($3750/term in Cert IV)</t>
  </si>
  <si>
    <t xml:space="preserve">Tuition beda per level, lihat keterangan di kolom Program; CEK: Lebih murah dari harga publik (~2,917/periode): pastikan ini harga agen/promo yang berlaku. Dicocokkan dicek 30/10/2026: selisih 7.4% - Paragon punya "Promotional Pricelist" yang hanya diberikan atas permintaan - perlu salinan bertanggal; tetap perlu dokumen agen/promo bertanggal; Harga agen: dokumen price list agen belum dilampirkan; Lebih murah dari harga publik - kemungkinan harga agen/promo (tidak diubah); Cara hitung tuition/periode: Hitung: total/tahunan ÷ N; Sumber: https://paragon.edu.au/courses/certificate-iii-in-light-vehicle-mechanical, dicek 29/10/2026</t>
  </si>
  <si>
    <t xml:space="preserve">Cert III in Light Vehicle Mechanical Technology + Cert IV in Automotive Mechanical Diagnosis + Dip of Automotive Management ($3750/term in Cert IV and $2500/term in Dip)</t>
  </si>
  <si>
    <t xml:space="preserve">Cert III in Light Vehicle Mechanical Technology + Cert IV in Automotive Mechanical Diagnosis + Dip of Automotive Technology ($3750/term in Cert IV)</t>
  </si>
  <si>
    <t xml:space="preserve">Cert III + Cert IV in Automotive Electrical Technology</t>
  </si>
  <si>
    <t xml:space="preserve">Cert III + Cert IV in Automotive Electrical Technology + Dip of Automotive Management ($3750/term in Cert IV and $2500/term in Dip)</t>
  </si>
  <si>
    <t xml:space="preserve">Pax Institute of Education
16/190 QUEEN STREET, MELBOURNE VIC 3000</t>
  </si>
  <si>
    <t xml:space="preserve">Cert III in Commercial Cookery + Cert IV in Kitchen Management + Dip of Hospitality Management</t>
  </si>
  <si>
    <t xml:space="preserve">Harga sesuai sumber resmi; Cara hitung tuition/periode: Hitung: total/tahunan ÷ N; Sumber: https://www.pax.edu.au/9388-2/, dicek 29/10/2026</t>
  </si>
  <si>
    <t xml:space="preserve">Sacred Heart International College (SHIC)
Level 9, 85 Queen Street, Melbourne VIC 3000</t>
  </si>
  <si>
    <t xml:space="preserve">Dip + Adv Diploma of Leadership and Management ($2250/term on Adv level) (PROMO Jul-Sep)</t>
  </si>
  <si>
    <t xml:space="preserve">CEK: promo berakhir (30/09/2026); Harga standar resmi (course outline resmi SHIC 2026 (shic.vic.edu.au/courses), dicek 07/11/2026): Dip L&amp;M BSB50420 tuition 11.200 (52 mgg, V1.8 Sep 26) + Adv Dip L&amp;M BSB60420 tuition 15.000 (78 mgg, V1.7 May 26) = 26.200 total tuition; tanpa material fee (materi termasuk tuition); enrolment deposit 500 (Painting: 300; Dip L&amp;M + admission fee 500); per term &amp; jadwal bayar tidak disebut (mengikuti written agreement) - harga promo agen di file tidak diganti karena cara hitung beda &amp; selisih bisa &gt;30%; minta pricelist/promo agen terbaru (Q4 2026/2027) ke SHIC; Tuition beda per level, lihat keterangan di kolom Program; Material/enrolment belum tercatat (material; dihitung 0 di Estimasi Initial Payment); PROMO s.d. 30/09/2026 (tahun diasumsikan 2026) - sumber: pricelist TEG; Harga belum dicek ke sumber resmi</t>
  </si>
  <si>
    <t xml:space="preserve">Cert IV + Dip of Accounting (PROMO Jul-Sep)</t>
  </si>
  <si>
    <t xml:space="preserve">CEK: promo berakhir (30/09/2026); Harga standar resmi (course outline resmi SHIC 2026 (shic.vic.edu.au/courses), dicek 07/11/2026): Cert IV Accounting &amp; Bookkeeping FNS40222 10.200 (52 mgg) + Dip Accounting FNS50222 13.900 (52 mgg) = 24.100 total tuition; tanpa material fee (materi termasuk tuition); enrolment deposit 500 (Painting: 300; Dip L&amp;M + admission fee 500); per term &amp; jadwal bayar tidak disebut (mengikuti written agreement) - harga promo agen di file tidak diganti karena cara hitung beda &amp; selisih bisa &gt;30%; minta pricelist/promo agen terbaru (Q4 2026/2027) ke SHIC; Material/enrolment belum tercatat (material; dihitung 0 di Estimasi Initial Payment); PROMO s.d. 30/09/2026 (tahun diasumsikan 2026) - sumber: pricelist TEG; Harga belum dicek ke sumber resmi</t>
  </si>
  <si>
    <t xml:space="preserve">Adv Dip of Information Technology (IT) (Telecommunications and Network Engineering) (PROMO Jul-Sep)</t>
  </si>
  <si>
    <t xml:space="preserve">CEK: promo berakhir (30/09/2026); Harga standar resmi (course outline resmi SHIC 2026 (shic.vic.edu.au/courses), dicek 07/11/2026): Adv Dip IT ICT60220 (Telecommunications Network Engineering) 19.000 (104 mgg, V1.6 May 26) total tuition; tanpa material fee (materi termasuk tuition); enrolment deposit 500 (Painting: 300; Dip L&amp;M + admission fee 500); per term &amp; jadwal bayar tidak disebut (mengikuti written agreement) - harga promo agen di file tidak diganti karena cara hitung beda &amp; selisih bisa &gt;30%; minta pricelist/promo agen terbaru (Q4 2026/2027) ke SHIC; Material/enrolment belum tercatat (material; dihitung 0 di Estimasi Initial Payment); PROMO s.d. 30/09/2026 (tahun diasumsikan 2026) - sumber: pricelist TEG; Harga belum dicek ke sumber resmi</t>
  </si>
  <si>
    <t xml:space="preserve">Cert III in Wall and Floor Tiling (PROMO Jul-Sep)</t>
  </si>
  <si>
    <t xml:space="preserve">CEK: promo berakhir (30/09/2026); Harga standar resmi (course outline resmi SHIC 2026 (shic.vic.edu.au/courses), dicek 07/11/2026): Cert III Wall &amp; Floor Tiling CPC31320 27.500 (56 mgg, V1.0 Apr 26) total tuition; tanpa material fee (materi termasuk tuition); enrolment deposit 500 (Painting: 300; Dip L&amp;M + admission fee 500); per term &amp; jadwal bayar tidak disebut (mengikuti written agreement) - harga promo agen di file tidak diganti karena cara hitung beda &amp; selisih bisa &gt;30%; minta pricelist/promo agen terbaru (Q4 2026/2027) ke SHIC; PROMO s.d. 30/09/2026 (tahun diasumsikan 2026) - sumber: pricelist TEG; Harga belum dicek ke sumber resmi</t>
  </si>
  <si>
    <t xml:space="preserve">Cert III in Wall and Floor Tiling + Dip of Building &amp; Construction (Building) (PROMO Jul-Sep)</t>
  </si>
  <si>
    <t xml:space="preserve">CEK: promo berakhir (30/09/2026); Harga standar resmi (course outline resmi SHIC 2026 (shic.vic.edu.au/courses), dicek 07/11/2026): Cert III Wall &amp; Floor Tiling CPC31320 27.500 (56 mgg) + Dip Building &amp; Construction CPC50220 27.500 (58 mgg) = 55.000 total tuition; tanpa material fee (materi termasuk tuition); enrolment deposit 500 (Painting: 300; Dip L&amp;M + admission fee 500); per term &amp; jadwal bayar tidak disebut (mengikuti written agreement) - harga promo agen di file tidak diganti karena cara hitung beda &amp; selisih bisa &gt;30%; minta pricelist/promo agen terbaru (Q4 2026/2027) ke SHIC; PROMO s.d. 30/09/2026 (tahun diasumsikan 2026) - sumber: pricelist TEG; Harga belum dicek ke sumber resmi</t>
  </si>
  <si>
    <t xml:space="preserve">Cert III in Solid Plastering (PROMO Jul-Sep)</t>
  </si>
  <si>
    <t xml:space="preserve">CEK: promo berakhir (30/09/2026); Harga standar resmi (course outline resmi SHIC 2026 (shic.vic.edu.au/courses), dicek 07/11/2026): Cert III Solid Plastering CPC31020 27.500 (56 mgg, V1.0 Apr 26) total tuition; tanpa material fee (materi termasuk tuition); enrolment deposit 500 (Painting: 300; Dip L&amp;M + admission fee 500); per term &amp; jadwal bayar tidak disebut (mengikuti written agreement) - harga promo agen di file tidak diganti karena cara hitung beda &amp; selisih bisa &gt;30%; minta pricelist/promo agen terbaru (Q4 2026/2027) ke SHIC; PROMO s.d. 30/09/2026 (tahun diasumsikan 2026) - sumber: pricelist TEG; Harga belum dicek ke sumber resmi</t>
  </si>
  <si>
    <t xml:space="preserve">Cert III in Solid Plastering + Dip of Building &amp; Construction (Building) (PROMO Jul-Sep)</t>
  </si>
  <si>
    <t xml:space="preserve">CEK: promo berakhir (30/09/2026); Harga standar resmi (course outline resmi SHIC 2026 (shic.vic.edu.au/courses), dicek 07/11/2026): Cert III Solid Plastering CPC31020 27.500 (56 mgg) + Dip Building &amp; Construction CPC50220 27.500 (58 mgg) = 55.000 total tuition; tanpa material fee (materi termasuk tuition); enrolment deposit 500 (Painting: 300; Dip L&amp;M + admission fee 500); per term &amp; jadwal bayar tidak disebut (mengikuti written agreement) - harga promo agen di file tidak diganti karena cara hitung beda &amp; selisih bisa &gt;30%; minta pricelist/promo agen terbaru (Q4 2026/2027) ke SHIC; PROMO s.d. 30/09/2026 (tahun diasumsikan 2026) - sumber: pricelist TEG; Harga belum dicek ke sumber resmi</t>
  </si>
  <si>
    <t xml:space="preserve">Cert III in Painting &amp; Decorating (PROMO Jul-Sep)</t>
  </si>
  <si>
    <t xml:space="preserve">CEK: promo berakhir (30/09/2026); Harga standar resmi (course outline resmi SHIC 2026 (shic.vic.edu.au/courses), dicek 07/11/2026): Cert III Painting &amp; Decorating CPC30620 27.500 (60 mgg, V1.0 Apr 26) total tuition; tanpa material fee (materi termasuk tuition); enrolment deposit 500 (Painting: 300; Dip L&amp;M + admission fee 500); per term &amp; jadwal bayar tidak disebut (mengikuti written agreement) - harga promo agen di file tidak diganti karena cara hitung beda &amp; selisih bisa &gt;30%; minta pricelist/promo agen terbaru (Q4 2026/2027) ke SHIC; PROMO s.d. 30/09/2026 (tahun diasumsikan 2026) - sumber: pricelist TEG; Harga belum dicek ke sumber resmi</t>
  </si>
  <si>
    <t xml:space="preserve">Cert III in Painting &amp; Decorating + Dip of Building &amp; Construction (Building) (PROMO Jul-Sep)</t>
  </si>
  <si>
    <t xml:space="preserve">CEK: promo berakhir (30/09/2026); Harga standar resmi (course outline resmi SHIC 2026 (shic.vic.edu.au/courses), dicek 07/11/2026): Cert III Painting &amp; Decorating CPC30620 27.500 (60 mgg) + Dip Building &amp; Construction CPC50220 27.500 (58 mgg) = 55.000 total tuition; tanpa material fee (materi termasuk tuition); enrolment deposit 500 (Painting: 300; Dip L&amp;M + admission fee 500); per term &amp; jadwal bayar tidak disebut (mengikuti written agreement) - harga promo agen di file tidak diganti karena cara hitung beda &amp; selisih bisa &gt;30%; minta pricelist/promo agen terbaru (Q4 2026/2027) ke SHIC; PROMO s.d. 30/09/2026 (tahun diasumsikan 2026) - sumber: pricelist TEG; Harga belum dicek ke sumber resmi</t>
  </si>
  <si>
    <t xml:space="preserve">Signet Institute of Australia
Level 5 &amp; 9, 341-345 Queen Street, Melbourne VIC 3000</t>
  </si>
  <si>
    <t xml:space="preserve">Cert III in Pathology Collection</t>
  </si>
  <si>
    <t xml:space="preserve">States College Australia
Suite 301, 620 Bourke Street, Melbourne VIC 3000</t>
  </si>
  <si>
    <t xml:space="preserve">Cert III + Cert IV in Patisserie + Dip. Of Hospitality Management</t>
  </si>
  <si>
    <t xml:space="preserve">Dip + Adv. Dip. Of IT</t>
  </si>
  <si>
    <t xml:space="preserve">Dip + Adv. Dip. Of Business</t>
  </si>
  <si>
    <t xml:space="preserve">Cert III in Bricklaying and Blocklaying</t>
  </si>
  <si>
    <t xml:space="preserve">The Centre of Excellence
Level 4, 406 Collins Street, Melbourne, VIC 3000</t>
  </si>
  <si>
    <t xml:space="preserve">Dip Of Salon Management</t>
  </si>
  <si>
    <t xml:space="preserve">Cert III in Hairdressing + Dip Of Salon Management</t>
  </si>
  <si>
    <t xml:space="preserve">Cert III + Cert IV + Dip Of Beauty Therapy</t>
  </si>
  <si>
    <t xml:space="preserve">The Institute of International Studies (TIIS)
Level 1 112 Newquay Promenade Docklands VIC 3008 Australia</t>
  </si>
  <si>
    <t xml:space="preserve">TKL College (Training for Knowledge and Livelihood)
Level 6 &amp; 7, 20 Queen St Melbourne VIC 3000</t>
  </si>
  <si>
    <t xml:space="preserve">CEK: kampus Melbourne tidak tercantum di register Study Australia untuk provider ini (dicek 04/11/2026) - konfirmasi kampus/entitas; Harga belum dicek ke sumber resmi</t>
  </si>
  <si>
    <t xml:space="preserve">Graduate Diploma of Management (Learning)</t>
  </si>
  <si>
    <t xml:space="preserve">CEK: kampus Melbourne tidak tercantum di register Study Australia untuk provider ini (dicek 04/11/2026) - konfirmasi kampus/entitas; CEK: BSB80120 Graduate Diploma of Management (Learning) dari provider VET - registrasi CRICOS ditangguhkan/dibatalkan sejak Sep-Okt 2026. Jangan ditawarkan sebelum dikonfirmasi.; Harga belum dicek ke sumber resmi</t>
  </si>
  <si>
    <t xml:space="preserve">Torrens University Australia
196 Flinders Street Melbourne VIC 3000</t>
  </si>
  <si>
    <t xml:space="preserve">CEK: kampus Melbourne tidak tercantum untuk program ini (kampus resmi: Sydney, Online) - 102489K: 3.125/subject, tahunan 25.000, total 37.500 (12 subject, 1.5 thn) - Torrens 2026 International Student Fee Schedule (Sept26 V24, terbit Okt 2026) hal. 4, dicek 30/10/2026; tuition/periode = tahunan ÷ 4 (konvensi TEG); Torrens menagih per trimester sesuai jumlah subject yang diambil, jadi tagihan per trimester bisa berbeda - jumlah pasti ikuti offer letter; 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</si>
  <si>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CEK: kampus Melbourne tidak tercantum untuk program ini (kampus resmi: Sydney, Online) - 090295A: 4.688/subject, tahunan 37.500, total 112.500 (24 subject, 3 thn) - Torrens 2026 International Student Fee Schedule (Sept26 V24, terbit Okt 2026) hal. 4, dicek 30/10/2026; tuition/periode = tahunan ÷ 4 (konvensi TEG); Torrens menagih per trimester sesuai jumlah subject yang diambil, jadi tagihan per trimester bisa berbeda - jumlah pasti ikuti offer letter; 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</si>
  <si>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CEK: kampus Melbourne tidak tercantum untuk program ini (kampus resmi: Sydney, Online) - 105417B: 4.688/subject, tahunan 37.500, total 112.500 (24 subject, 3 thn) - Torrens 2026 International Student Fee Schedule (Sept26 V24, terbit Okt 2026) hal. 4, dicek 30/10/2026; tuition/periode = tahunan ÷ 4 (konvensi TEG); Torrens menagih per trimester sesuai jumlah subject yang diambil, jadi tagihan per trimester bisa berbeda - jumlah pasti ikuti offer letter; 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</si>
  <si>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102914J: 3.666/subject, tahunan 29.330, total 117.320 (32 subject, 4 thn) - Torrens 2026 International Student Fee Schedule (Sept26 V24, terbit Okt 2026) hal. 9,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</si>
  <si>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Bachelor of Health Science (Clinical Myotherapy)</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</si>
  <si>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084579F: 3.666/subject, tahunan 29.330, total 87.990 (24 subject, 3 thn) - Torrens 2026 International Student Fee Schedule (Sept26 V24, terbit Okt 2026) hal. 11, dicek 30/10/2026; tuition/periode = tahunan ÷ 4 (konvensi TEG); Torrens menagih per trimester sesuai jumlah subject yang diambil, jadi tagihan per trimester bisa berbeda - jumlah pasti ikuti offer letter; Tuition total/tahunan belum terbukti cocok dengan sumber resmi; Periode Bayar diisi Term (tuition tersimpan per term) - konfirmasi ke sekolah; Asumsi bayar awal 1 semester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</si>
  <si>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TR4INRIGHT
L4 470 Collins Street Melbourne, VIC 3000</t>
  </si>
  <si>
    <t xml:space="preserve">University of Tasmania (UTAS)
655 Collins Street, Docklands VIC 3008, Australia</t>
  </si>
  <si>
    <t xml:space="preserve">Wattle College
Level 2, 252 Lygon Street, Carlton, VIC – 3053</t>
  </si>
  <si>
    <t xml:space="preserve">Cert III in Carpentry + Dip. Building &amp; Construction</t>
  </si>
  <si>
    <t xml:space="preserve">William Angliss Institute
555 La Trobe St, Melbourne VIC 3000, Australia</t>
  </si>
  <si>
    <t xml:space="preserve">Master Of International Hospitality Entrepreneurship</t>
  </si>
  <si>
    <t xml:space="preserve">Harga sesuai sumber resmi; Cara hitung tuition/periode: Hitung: total/tahunan ÷ N; Sumber: https://www.angliss.edu.au/siteassets/pdf-files/fees/international_course_fees_2026_v2.pdf, dicek 29/10/2026; Kode internal: TAFE</t>
  </si>
  <si>
    <t xml:space="preserve">Master Of International Hotel Leadership</t>
  </si>
  <si>
    <t xml:space="preserve">Bachelor Of Resort and Hotel Management</t>
  </si>
  <si>
    <t xml:space="preserve">Bachelor Of Resort and Hotel Management (Professional Practice)</t>
  </si>
  <si>
    <t xml:space="preserve">Bachelor Of Tourism and Hospitality Management</t>
  </si>
  <si>
    <t xml:space="preserve">Bachelor Of Tourism</t>
  </si>
  <si>
    <t xml:space="preserve">Harga belum dicek ke sumber resmi; Kode internal: TAFE</t>
  </si>
  <si>
    <t xml:space="preserve">Bachelor Of Event Management</t>
  </si>
  <si>
    <t xml:space="preserve">Bahcelor Of Culinairy Management</t>
  </si>
  <si>
    <t xml:space="preserve">Bahcelor Of Food Studies</t>
  </si>
  <si>
    <t xml:space="preserve">CEK: Sebagian sesuai sumber resmi: Paket: hanya bisa dicek per komponen. Paket resmi (2 tahun) total $41,980; Cert III/IV $10,920/sem (5,460/term), Diploma $9,220/sem (4,610/term). Price list mem; Tuition total/tahunan belum terbukti cocok dengan sumber resmi; Harga sebagian sesuai sumber resmi; Cara hitung tuition/periode: Hitung: total/tahunan ÷ N; Sumber: https://www.angliss.edu.au/siteassets/pdf-files/fees/international_course_fees_2026_v2.pdf, dicek 29/10/2026; Kode internal: TAFE</t>
  </si>
  <si>
    <t xml:space="preserve">Cert III in Commercial Cookery + Cert IV in Kitchen Management + Adv Dip Of Hospitality Management</t>
  </si>
  <si>
    <t xml:space="preserve">CEK: Sebagian sesuai sumber resmi: Paket: hanya bisa dicek per komponen. Paket resmi (2.5 tahun) total $51,200; Cert III/IV $10,920/sem (5,460/term), Dip/Adv Dip $9,220/sem (4,610/term). Price li; Tuition total/tahunan belum terbukti cocok dengan sumber resmi; Harga sebagian sesuai sumber resmi; Cara hitung tuition/periode: Hitung: total/tahunan ÷ N; Sumber: https://www.angliss.edu.au/siteassets/pdf-files/fees/international_course_fees_2026_v2.pdf, dicek 29/10/2026; Kode internal: TAFE</t>
  </si>
  <si>
    <t xml:space="preserve">Cert IV in Kitchen Management + Adv Dip Of Hospitality Management + Bachelor Of Culinary Management</t>
  </si>
  <si>
    <t xml:space="preserve">CEK: Sebagian sesuai sumber resmi: Paket: hanya bisa dicek per komponen. Resmi (5 tahun) total $91,240; Cert IV $10,920/sem, Adv Dip $9,220/sem, Bachelor $11,440/sem (5,720/term). Price list mema; Tuition total/tahunan belum terbukti cocok dengan sumber resmi; Harga sebagian sesuai sumber resmi; Cara hitung tuition/periode: Hitung: total/tahunan ÷ N; Sumber: https://www.angliss.edu.au/siteassets/pdf-files/fees/international_course_fees_2026_v2.pdf, dicek 29/10/2026; Kode internal: TAFE</t>
  </si>
  <si>
    <t xml:space="preserve">Cert IV in Patisserie + Dip Of Hospitality Management</t>
  </si>
  <si>
    <t xml:space="preserve">CEK: Sebagian sesuai sumber resmi: Paket: hanya bisa dicek per komponen. Paket resmi (2 tahun) total $41,980; Cert IV Patisserie $10,920/sem (5,460/term), Diploma $9,220/sem (4,610/term). Price l; Tuition total/tahunan belum terbukti cocok dengan sumber resmi; Harga sebagian sesuai sumber resmi; Cara hitung tuition/periode: Hitung: total/tahunan ÷ N; Sumber: https://www.angliss.edu.au/siteassets/pdf-files/fees/international_course_fees_2026_v2.pdf, dicek 29/10/2026; Kode internal: TAFE</t>
  </si>
  <si>
    <t xml:space="preserve">Cert IV in Patisserie + Adv Dip Of Hospitality Management</t>
  </si>
  <si>
    <t xml:space="preserve">CEK: Sebagian sesuai sumber resmi: Paket: hanya bisa dicek per komponen. Paket resmi (2.5 tahun) total $51,200; Cert IV $10,920/sem (5,460/term), Dip/Adv Dip $9,220/sem (4,610/term). Price list m; Tuition total/tahunan belum terbukti cocok dengan sumber resmi; Harga sebagian sesuai sumber resmi; Cara hitung tuition/periode: Hitung: total/tahunan ÷ N; Sumber: https://www.angliss.edu.au/siteassets/pdf-files/fees/international_course_fees_2026_v2.pdf, dicek 29/10/2026; Kode internal: TAFE</t>
  </si>
  <si>
    <t xml:space="preserve">Cert IV in Patisserie + Adv Dip Of Hospitality Management + Bachelor Of Culinary Management</t>
  </si>
  <si>
    <t xml:space="preserve">Cert III in Commercial Cookery + Cert IV in Kitchen Management + Cert IV in Patisserie</t>
  </si>
  <si>
    <t xml:space="preserve">Cert IV in Kitchen Management + Cert IV in Patisserie + Dip Of Hospitality Management</t>
  </si>
  <si>
    <t xml:space="preserve">CEK: Sebagian sesuai sumber resmi: Paket: hanya bisa dicek per komponen. Paket resmi (Dip dengan Cert IV KM + Cert IV Patisserie, 2.5 tahun) total $52,900; Cert IV $10,920/sem (5,460/term), Diplo; Tuition total/tahunan belum terbukti cocok dengan sumber resmi; Harga sebagian sesuai sumber resmi; Cara hitung tuition/periode: Hitung: total/tahunan ÷ N; Sumber: https://www.angliss.edu.au/siteassets/pdf-files/fees/international_course_fees_2026_v2.pdf, dicek 29/10/2026; Kode internal: TAFE</t>
  </si>
  <si>
    <t xml:space="preserve">Cert III in Baking</t>
  </si>
  <si>
    <t xml:space="preserve">Dip in Food Science and Technology</t>
  </si>
  <si>
    <t xml:space="preserve">Cert III + Cert IV + Dip Of Travel and Tourism Management</t>
  </si>
  <si>
    <t xml:space="preserve">Dip Of Travel and Tourism Management</t>
  </si>
  <si>
    <t xml:space="preserve">Dip Of Travel and Tourism Management + Bachelor Of Travel &amp; Tourism Management</t>
  </si>
  <si>
    <t xml:space="preserve">CEK: Sebagian sesuai sumber resmi: Paket: hanya bisa dicek per komponen. Resmi: Bachelor of Tourism and Hospitality Management dengan Diploma T&amp;T (3 tahun) total $63,660; Diploma $8,950/sem (4,47; Tuition total/tahunan belum terbukti cocok dengan sumber resmi; Harga sebagian sesuai sumber resmi; Cara hitung tuition/periode: Hitung: total/tahunan ÷ N; Sumber: https://www.angliss.edu.au/siteassets/pdf-files/fees/international_course_fees_2026_v2.pdf, dicek 29/10/2026; Kode internal: TAFE</t>
  </si>
  <si>
    <t xml:space="preserve">Dip Of Travel and Tourism Management + Bachelor Of Tourism &amp; Hospitality Management</t>
  </si>
  <si>
    <t xml:space="preserve">CEK: Sebagian sesuai sumber resmi: Paket: hanya bisa dicek per komponen. Resmi (Professional Practice, 4 tahun) total $69,380; Diploma $8,950/sem (4,475/term), Bachelor $11,440/sem (5,720/term).; Tuition total/tahunan belum terbukti cocok dengan sumber resmi; Harga sebagian sesuai sumber resmi; Cara hitung tuition/periode: Hitung: total/tahunan ÷ N; Sumber: https://www.angliss.edu.au/siteassets/pdf-files/fees/international_course_fees_2026_v2.pdf, dicek 29/10/2026; Kode internal: TAFE</t>
  </si>
  <si>
    <t xml:space="preserve">Cert III in Aviation (Cabin Crew) + Dip Of Travel and Tourism Management</t>
  </si>
  <si>
    <t xml:space="preserve">CEK: Sebagian sesuai sumber resmi: Paket: hanya bisa dicek per komponen. Resmi (1.5 tahun) total $28,900; Cert III Aviation $11,000/semester (5,500/term), Diploma T&amp;T $8,950/sem (4,475/term). Pri; Tuition total/tahunan belum terbukti cocok dengan sumber resmi; Harga sebagian sesuai sumber resmi; Cara hitung tuition/periode: Hitung: total/tahunan ÷ N; Sumber: https://www.angliss.edu.au/siteassets/pdf-files/fees/international_course_fees_2026_v2.pdf, dicek 29/10/2026; Kode internal: TAFE</t>
  </si>
  <si>
    <t xml:space="preserve">Cert III in Aviation (Cabin Crew) + Dip Of Hospitality Management</t>
  </si>
  <si>
    <t xml:space="preserve">CEK: Sebagian sesuai sumber resmi: Paket: hanya bisa dicek per komponen. Resmi (1.5 tahun) total $29,440; Cert III Aviation $11,000/semester (5,500/term), Diploma Hosp $9,220/sem (4,610/term). Pr; Tuition total/tahunan belum terbukti cocok dengan sumber resmi; Harga sebagian sesuai sumber resmi; Cara hitung tuition/periode: Hitung: total/tahunan ÷ N; Sumber: https://www.angliss.edu.au/siteassets/pdf-files/fees/international_course_fees_2026_v2.pdf, dicek 29/10/2026; Kode internal: TAFE</t>
  </si>
  <si>
    <t xml:space="preserve">Cert III + Dip 0f Hospitality Management</t>
  </si>
  <si>
    <t xml:space="preserve">Cert III + Dip + Adv Dip of Hospitality Management</t>
  </si>
  <si>
    <t xml:space="preserve">Dip 0f Hospitality Management + Bachelor Of Resort and Hotel Management</t>
  </si>
  <si>
    <t xml:space="preserve">CEK: Sebagian sesuai sumber resmi: Paket: hanya bisa dicek per komponen. Resmi AIHS: Bachelor RHM (Professional Practice) dengan Diploma (4.5 tahun) total $73,340; Diploma AIHS $9,500/sem (4,750/; Tuition total/tahunan belum terbukti cocok dengan sumber resmi; Harga sebagian sesuai sumber resmi; Cara hitung tuition/periode: Hitung: total/tahunan ÷ N; Sumber: https://www.angliss.edu.au/siteassets/pdf-files/fees/international_course_fees_2026_v2.pdf, dicek 29/10/2026; Kode internal: TAFE</t>
  </si>
  <si>
    <t xml:space="preserve">Diploma Of Event Management</t>
  </si>
  <si>
    <t xml:space="preserve">Diploma + Bachelor Of Event Management</t>
  </si>
  <si>
    <t xml:space="preserve">CEK: Sebagian sesuai sumber resmi: Paket: hanya bisa dicek per komponen. Resmi (3 tahun) total $63,660; Diploma $8,950/sem (4,475/term), Bachelor $11,440/sem (5,720/term). Price list memakai satu; Tuition total/tahunan belum terbukti cocok dengan sumber resmi; Harga sebagian sesuai sumber resmi; Cara hitung tuition/periode: Hitung: total/tahunan ÷ N; Sumber: https://www.angliss.edu.au/siteassets/pdf-files/fees/international_course_fees_2026_v2.pdf, dicek 29/10/2026; Kode internal: TAFE</t>
  </si>
  <si>
    <t xml:space="preserve">ONSHORE - SYDNEY</t>
  </si>
  <si>
    <t xml:space="preserve">Hijau = estimasi dibayar ke sekolah untuk secure CoE   |   Kuning = total biaya awal (sekolah + OSHC + visa)   |   Oranye = perlu dicek</t>
  </si>
  <si>
    <t xml:space="preserve">Dip + Adv Dip Of Information Technology (IT) ($1800/term after Adv Dip level)</t>
  </si>
  <si>
    <t xml:space="preserve">Cert IV in Kitchen Management + Dip of Hospitality Management ($1600/term on Dip)</t>
  </si>
  <si>
    <t xml:space="preserve">Cert IV in Kitchen Management + Dip + Adv Dip of Hospitality Management ($1600/term on Dip + Adv)</t>
  </si>
  <si>
    <t xml:space="preserve">Tuition beda per level, lihat keterangan di kolom Program; Periode Bayar diisi Term (tuition tersimpan per term) - konfirmasi ke sekolah; Asumsi bayar awal 1 term (dokumen resmi terbaru (2026) tidak ditemukan; flyer 2024 sudah kedaluwarsa) - konfirmasi ke sekolah; Harga belum dicek ke sumber resmi</t>
  </si>
  <si>
    <t xml:space="preserve">Cert IV in Patisserie + Dip of Hospitality Management ($1600/term on Dip)</t>
  </si>
  <si>
    <t xml:space="preserve">Cert IV in Patisserie+ Dip + Adv Dip of Hospitality Management ($1600/term on Dip + Adv)</t>
  </si>
  <si>
    <t xml:space="preserve">Periode Bayar diisi Term (tuition tersimpan per term) - konfirmasi ke sekolah; Asumsi bayar awal 1 term (dokumen resmi terbaru (2026) tidak ditemukan; flyer 2024 sudah kedaluwarsa) - konfirmasi ke sekolah; Harga belum dicek ke sumber resmi</t>
  </si>
  <si>
    <t xml:space="preserve">Cert IV in Kitchen Management + Cert IV in Patisserie + Dip of Hospitality Management ($3000/term on Pattiserrie &amp; $1600/term on Dip)</t>
  </si>
  <si>
    <t xml:space="preserve">Cert IV in Kitchen Management + Cert IV in Patisserie + Adv Dip of Hospitality Management ($3000/term on Pattiserrie &amp; $1600/term on Adv Dip)</t>
  </si>
  <si>
    <t xml:space="preserve">Cert III in Solid Plastering + Dip of Building and Construction (Building) ($2000/term in Dip)</t>
  </si>
  <si>
    <t xml:space="preserve">Cert III in Solid Plastering + Cert IV in Building and Construction (Building)</t>
  </si>
  <si>
    <t xml:space="preserve">Cert III in Bricklaying and Bloklaying + Dip of Building and Construction (Building) ($2000/term in Dip)</t>
  </si>
  <si>
    <t xml:space="preserve">Cert III in Bricklaying and Bloklaying + + Cert IV in Building and Construction (Building)</t>
  </si>
  <si>
    <t xml:space="preserve">Cert III in Wall and Floor Tiling + Dip of Building and Construction (Building) ($2000/term in Dip)</t>
  </si>
  <si>
    <t xml:space="preserve">Cert III in Wall and Floor Tiling + Cert IV in Building and Construction (Building)</t>
  </si>
  <si>
    <t xml:space="preserve">Certificate III in Roof Plumbing + Dip of Building and Construction (Building) ($2000/term in Dip)</t>
  </si>
  <si>
    <t xml:space="preserve">Certificate III in Roof Plumbing + Cert IV in Building and Construction (Building)</t>
  </si>
  <si>
    <t xml:space="preserve">Cert III in Carpentry + Dip of Building and Construction (Building) ($2000/term in Dip)</t>
  </si>
  <si>
    <t xml:space="preserve">Cert III in Carpentry + Cert IV in Building and Construction (Building)</t>
  </si>
  <si>
    <t xml:space="preserve">Cert III in Painting and Decorating + Dip of Building and Construction (Building) ($2000/term on Dip)</t>
  </si>
  <si>
    <t xml:space="preserve">Cert III in Painting and Decorating + Cert IV in Building and Construction (Building)</t>
  </si>
  <si>
    <t xml:space="preserve">Cert IV + Dip of Building and Construction (Building) ($2500/term on Dip)</t>
  </si>
  <si>
    <t xml:space="preserve">Dip + Adv Dip of Information Technology (IT) ($2333/term on Dip)</t>
  </si>
  <si>
    <t xml:space="preserve">Cert IV in Kitchen Management + Dip of Hospitality Management ($2000/term on Dip)</t>
  </si>
  <si>
    <t xml:space="preserve">CEK: konfirmasi harga ke sekolah (harga beda dengan sumber resmi); Asumsi bayar awal 1 term (nilai pricelist lama; Handbook AAPoly (VET v3.2, HE v4.3, Okt 2026): VET minimal 1 term, Bachelor 1 semester sebelum mulai) - konfirmasi ke sekolah; Cara hitung tuition/periode: Hitung: total/tahunan ÷ N; Sumber: https://search.studyaustralia.gov.au/provider/academies-australasia-institute-pty-ltd/f3038ae580677da109eb5d80db52fc84/courses, dicek 29/10/2026; Info sekolah: nama college dalam grup Academies Australasia (Institute/Polytechnic) belum dikonfirmasi per program</t>
  </si>
  <si>
    <t xml:space="preserve">Asumsi bayar awal 1 term (nilai pricelist lama; Handbook AAPoly (VET v3.2, HE v4.3, Okt 2026): VET minimal 1 term, Bachelor 1 semester sebelum mulai) - konfirmasi ke sekolah; Harga belum dicek ke sumber resmi; Info sekolah: nama college dalam grup Academies Australasia (Institute/Polytechnic) belum dikonfirmasi per program; Asumsi bayar awal 1 semester = 2 term (tuition disimpan per term; dasar: Handbook Higher Education AAPoly v4.3 (Okt 2026): "first semester fees need to be cleared before the commencement") - konfirmasi ke sekolah; diperbaiki 06/11/2026 (audit)</t>
  </si>
  <si>
    <t xml:space="preserve">Cert IV + Dip + Adv of IT</t>
  </si>
  <si>
    <t xml:space="preserve">Asumsi bayar awal 1 term (nilai pricelist lama; Handbook AAPoly (VET v3.2, HE v4.3, Okt 2026): VET minimal 1 term, Bachelor 1 semester sebelum mulai) - konfirmasi ke sekolah; Harga belum dicek ke sumber resmi; Info sekolah: nama college dalam grup Academies Australasia (Institute/Polytechnic) belum dikonfirmasi per program</t>
  </si>
  <si>
    <t xml:space="preserve">CEK: Lebih murah dari harga publik (~2,000/periode): pastikan ini harga agen/promo yang berlaku. Dicocokkan dicek 30/10/2026: selisih 32.5% - situs resmi ACA/AAPoly tanpa diskon persentase (hanya Eagle Award AUD 1.200); tetap perlu dokumen agen/promo bertanggal; Harga agen: dokumen price list agen belum dilampirkan; Asumsi bayar awal 1 term (nilai pricelist lama; Handbook AAPoly (VET v3.2, HE v4.3, Okt 2026): VET minimal 1 term, Bachelor 1 semester sebelum mulai) - konfirmasi ke sekolah; Lebih murah dari harga publik - kemungkinan harga agen/promo (tidak diubah); Sumber: https://academies.edu.au/wp-content/uploads/2025/12/AKG00471-Hospitality-Management-Course-Perth.pdf, dicek 29/10/2026; Info sekolah: nama college dalam grup Academies Australasia (Institute/Polytechnic) belum dikonfirmasi per program</t>
  </si>
  <si>
    <t xml:space="preserve">Asumsi bayar awal 1 term (nilai pricelist lama; Handbook AAPoly (VET v3.2, HE v4.3, Okt 2026): VET minimal 1 term, Bachelor 1 semester sebelum mulai) - konfirmasi ke sekolah; Harga belum dicek ke sumber resmi; Cara hitung tuition/periode: Hitung: total/tahunan ÷ N; Info sekolah: nama college dalam grup Academies Australasia (Institute/Polytechnic) belum dikonfirmasi per program</t>
  </si>
  <si>
    <t xml:space="preserve">CEK: Sebagian sesuai sumber resmi: Jumlah term tidak disebut; bila 8 term x 9 minggu: 18.000/8 = 2.250/term = offshore price list 2.250. Onshore 1.900 -&gt; lebih murah dari harga publik - kemungkin; Tuition total/tahunan belum terbukti cocok dengan sumber resmi; Asumsi bayar awal 1 term (nilai pricelist lama; Handbook AAPoly (VET v3.2, HE v4.3, Okt 2026): VET minimal 1 term, Bachelor 1 semester sebelum mulai) - konfirmasi ke sekolah; Harga sebagian sesuai sumber resmi; Cara hitung tuition/periode: Hitung: total/tahunan ÷ N; Sumber: https://search.studyaustralia.gov.au/provider/academies-australasia-institute-pty-ltd/f3038ae580677da109eb5d80db52fc84/courses, dicek 29/10/2026; Info sekolah: nama college dalam grup Academies Australasia (Institute/Polytechnic) belum dikonfirmasi per program</t>
  </si>
  <si>
    <t xml:space="preserve">Adv Dip of Holistic Classical Yoga Teaching and Therapy</t>
  </si>
  <si>
    <t xml:space="preserve">CEK: konfirmasi harga ke sekolah (harga beda dengan sumber resmi); Asumsi bayar awal 1 term (nilai pricelist lama; Handbook AAPoly (VET v3.2, HE v4.3, Okt 2026): VET minimal 1 term, Bachelor 1 semester sebelum mulai) - konfirmasi ke sekolah; Sumber: https://search.studyaustralia.gov.au/provider/academies-australasia-institute-pty-ltd/f3038ae580677da109eb5d80db52fc84/courses, dicek 29/10/2026; Info sekolah: nama college dalam grup Academies Australasia (Institute/Polytechnic) belum dikonfirmasi per program</t>
  </si>
  <si>
    <t xml:space="preserve">CEK: duplikat - program yang sama kini ditawarkan sebagai Greenwich Higher Education (provider sama: Academy of Interactive Technology Pty Ltd), harga 2027 di baris 516; baris AIT ini harga lama - jangan ditawarkan; CEK: enrolment di file 200 &lt; enrolment resmi 2026 AUD 250 (master pricing 2026 &amp; Terms: "$250 enrollment fee applies") - masalah biaya; perbarui setelah keputusan K9.; Material/enrolment belum tercatat (material; dihitung 0 di Estimasi Initial Payment); Asumsi bayar awal 2 term (nilai pricelist lama; kebijakan resmi AIT v2.3: minimal instalment pertama sebelum CoE, besarnya di Letter of Offer) - konfirmasi ke sekolah; Harga sebagian sesuai sumber resmi</t>
  </si>
  <si>
    <t xml:space="preserve">CEK: duplikat - program yang sama kini ditawarkan sebagai Greenwich Higher Education (provider sama: Academy of Interactive Technology Pty Ltd), harga 2027 di baris 515; baris AIT ini harga lama - jangan ditawarkan; Info: AIT tagih per trimester (3/tahun); 5.750 = 23.000/4 (konvensi TEG, hasil hitung); offshore deposit = 3 unit (trimester 1), onshore 1.000; enrolment resmi 2026 = 250 (file 200, lebih rendah - tidak diubah); CEK: enrolment di file 200 &lt; enrolment resmi 2026 AUD 250 (master pricing 2026 &amp; Terms: "$250 enrollment fee applies") - masalah biaya; perbarui setelah keputusan K9.; Asumsi bayar awal 2 term (nilai pricelist lama; kebijakan resmi AIT v2.3: minimal instalment pertama sebelum CoE, besarnya di Letter of Offer) - konfirmasi ke sekolah; Harga sebagian sesuai sumber resmi; Cara hitung tuition/periode: Hitung: total/tahunan ÷ N; Sumber: https://info.ait.edu.au/hubfs/v4-Q1-Greenwich-Higher-Education-Master-Pricing-Document-2026.pdf, dicek 29/10/2026</t>
  </si>
  <si>
    <t xml:space="preserve">CEK: duplikat - program yang sama kini ditawarkan sebagai Greenwich Higher Education (provider sama: Academy of Interactive Technology Pty Ltd), harga 2027 di baris 514; baris AIT ini harga lama - jangan ditawarkan; Info: AIT tagih per trimester (3/tahun); 5.750 = 23.000/4 (konvensi TEG, hasil hitung); offshore deposit = 3 unit (trimester 1), onshore 1.000; enrolment resmi 2026 = 250 (file 200, lebih rendah - tidak diubah); CEK: enrolment di file 200 &lt; enrolment resmi 2026 AUD 250 (master pricing 2026 &amp; Terms: "$250 enrollment fee applies") - masalah biaya; perbarui setelah keputusan K9.; Asumsi bayar awal 2 term (nilai pricelist lama; kebijakan resmi AIT v2.3: minimal instalment pertama sebelum CoE, besarnya di Letter of Offer) - konfirmasi ke sekolah; Harga sebagian sesuai sumber resmi; Cara hitung tuition/periode: Hitung: total/tahunan ÷ N; Sumber: https://info.ait.edu.au/hubfs/v4-Q1-Greenwich-Higher-Education-Master-Pricing-Document-2026.pdf, dicek 29/10/2026</t>
  </si>
  <si>
    <t xml:space="preserve">CEK: Sebagian sesuai sumber resmi: Sumber resmi tidak menyebut jumlah term/tahun, jadi per-term tidak bisa dipastikan. 23,000/8 = 2,875 per subject; 5,750 = 2 subject = 23,000/4. Price list 5,750; CEK: Bachelor/Dip IT (Mobile App Development) berstatus teach-out, tidak menerima aplikasi baru (halaman kursus resmi) - jangan ditawarkan.; CEK: enrolment di file 200 &lt; enrolment resmi 2026 AUD 250 (master pricing 2026 &amp; Terms: "$250 enrollment fee applies") - masalah biaya; perbarui setelah keputusan K9.; Material/enrolment belum tercatat (material; dihitung 0 di Estimasi Initial Payment); Tuition total/tahunan belum terbukti cocok dengan sumber resmi; Asumsi bayar awal 2 term (nilai pricelist lama; kebijakan resmi AIT v2.3: minimal instalment pertama sebelum CoE, besarnya di Letter of Offer) - konfirmasi ke sekolah; Harga sebagian sesuai sumber resmi; Cara hitung tuition/periode: Hitung: total/tahunan ÷ N; Sumber: https://info.ait.edu.au/hubfs/v4-Q1-Greenwich-Higher-Education-Master-Pricing-Document-2026.pdf, dicek 29/10/2026; Bachelor of IT (Mobile App Development) teach-out berbeda dari Bachelor of Information Technology GHE (CRICOS 119223H, baris 513) - jangan digabung</t>
  </si>
  <si>
    <t xml:space="preserve">Dip of IT Information Technology (IT) (Vocational)</t>
  </si>
  <si>
    <t xml:space="preserve">Brosur AIBI Jul 2026: 3 term/tahun (Term 1-3), tagihan per unit (UG offshore Y1 $2.497,50/unit; UG onshore $1.695/unit; PG $2.025/unit). Tuition/periode di file = tahunan ÷ 4 (konvensi TEG), bukan tarif per term AIBI. Material fee tidak disebut di dokumen - tetap kosong (bukan nol).; CEK: pastikan deposit onshore AIBI $2.250 belum termasuk application fee $250 sebelum memakai 2.500; Material/enrolment belum tercatat (material; dihitung 0 di Estimasi Initial Payment); Initial payment CoE menurut dokumen: AUD 2.500 (Hasil gabungan: "Onshore COE deposit $2,250" + application fee $250 yang "charged at the time of the COE deposit" (hal. ) - belum ditinjau; jumlah pasti ikuti offer letter; Tuition total/tahunan belum terbukti cocok dengan sumber resmi; Harga sebagian sesuai sumber resmi; Cara hitung tuition/periode: Hitung: total/tahunan ÷ N; Sumber: Pricelist AIBI - HE - PRICELIST JULY 2026.pdf hal. 1-2 (Price List &amp; Key Dates Jul 2026 (key dates T3 2026 - T3 2027); promosi, tanpa tanggal akhir), dicek 29/10/2026</t>
  </si>
  <si>
    <t xml:space="preserve">Bachelor of Business (Hospitality Management)</t>
  </si>
  <si>
    <t xml:space="preserve">Bachelor of Business (AI Management)</t>
  </si>
  <si>
    <t xml:space="preserve">Bachelor of Business (Enterprise Management Systems)</t>
  </si>
  <si>
    <t xml:space="preserve">PROMO s.d. 31/12/2026 (apply &amp; terima offer) - sumber: AIH International Support Bursary 20% per tahun, khusus ONSHORE (explore.aih.edu.au/2026-scholarships-and-bursaries, dicek 07/11/2026); harga per unit setelah bursary 1.680 (publik 2.100) sesuai brosur resmi International Support Bursary (2025InternationalStudentSuport.pdf; brosur menulis tenggat 30/06/2026, halaman 2026 menulis 31/12/2026 - dipakai); Sumber harga publik: aih.edu.au/fees (2026), CRICOS 069531C, dicek 07/11/2026; Periode Bayar = per unit (8 unit/tahun; 24 unit total; peringkat tahunan = per unit x 8); material/resource fee 50 per unit (dibayar sepanjang kursus) dihitung x unit di Initial; enrolment 250; Deposit: AIH Fees and Charges Policy 2023.2 Appendix 1 menyebut Onshore (existing) 500 / 1 unit - kebijakan lama, versi aktif belum ditemukan; file tetap memakai asumsi bayar awal 4 unit (1 semester) - konfirmasi ke sekolah; kelayakan siswa Indonesia tidak disebut khusus; Kode internal: AIG (ACHIEVA)</t>
  </si>
  <si>
    <t xml:space="preserve">PROMO s.d. 31/12/2026 (apply &amp; terima offer) - sumber: AIH International Support Bursary 20% per tahun, khusus ONSHORE (explore.aih.edu.au/2026-scholarships-and-bursaries, dicek 07/11/2026); harga per unit setelah bursary 1.790 (publik 2.230) sesuai brosur resmi International Support Bursary (2025InternationalStudentSuport.pdf; brosur menulis tenggat 30/06/2026, halaman 2026 menulis 31/12/2026 - dipakai); Sumber harga publik: aih.edu.au/fees (2026), CRICOS 112649E, dicek 07/11/2026; Periode Bayar = per unit (8 unit/tahun; 24 unit total; peringkat tahunan = per unit x 8); material/resource fee 50 per unit (dibayar sepanjang kursus) dihitung x unit di Initial; enrolment 250; Deposit: AIH Fees and Charges Policy 2023.2 Appendix 1 menyebut Onshore (existing) 500 / 1 unit - kebijakan lama, versi aktif belum ditemukan; file tetap memakai asumsi bayar awal 4 unit (1 semester) - konfirmasi ke sekolah; kelayakan siswa Indonesia tidak disebut khusus; Kode internal: AIG (ACHIEVA)</t>
  </si>
  <si>
    <t xml:space="preserve">PROMO s.d. 31/12/2026 (apply &amp; terima offer) - sumber: AIH International Support Bursary 20% per tahun, khusus ONSHORE (explore.aih.edu.au/2026-scholarships-and-bursaries, dicek 07/11/2026); harga per unit setelah bursary 1.790 (publik 2.230) sesuai brosur resmi International Support Bursary (2025InternationalStudentSuport.pdf; brosur menulis tenggat 30/06/2026, halaman 2026 menulis 31/12/2026 - dipakai); Sumber harga publik: aih.edu.au/fees (2026), CRICOS 112646H, dicek 07/11/2026; Periode Bayar = per unit (8 unit/tahun; 24 unit total; peringkat tahunan = per unit x 8); material/resource fee 50 per unit (dibayar sepanjang kursus) dihitung x unit di Initial; enrolment 250; Deposit: AIH Fees and Charges Policy 2023.2 Appendix 1 menyebut Onshore (existing) 500 / 1 unit - kebijakan lama, versi aktif belum ditemukan; file tetap memakai asumsi bayar awal 4 unit (1 semester) - konfirmasi ke sekolah; kelayakan siswa Indonesia tidak disebut khusus; Kode internal: AIG (ACHIEVA)</t>
  </si>
  <si>
    <t xml:space="preserve">PROMO s.d. 31/12/2026 (apply &amp; terima offer) - sumber: AIH International Support Bursary 20% per tahun, khusus ONSHORE (explore.aih.edu.au/2026-scholarships-and-bursaries, dicek 07/11/2026); harga per unit setelah bursary 1.790 (publik 2.230) sesuai brosur resmi International Support Bursary (2025InternationalStudentSuport.pdf; brosur menulis tenggat 30/06/2026, halaman 2026 menulis 31/12/2026 - dipakai); Sumber harga publik: aih.edu.au/fees (2026), CRICOS 112652K, dicek 07/11/2026; Periode Bayar = per unit (8 unit/tahun; 24 unit total; peringkat tahunan = per unit x 8); material/resource fee 50 per unit (dibayar sepanjang kursus) dihitung x unit di Initial; enrolment 250; Deposit: AIH Fees and Charges Policy 2023.2 Appendix 1 menyebut Onshore (existing) 500 / 1 unit - kebijakan lama, versi aktif belum ditemukan; file tetap memakai asumsi bayar awal 4 unit (1 semester) - konfirmasi ke sekolah; kelayakan siswa Indonesia tidak disebut khusus; Kode internal: AIG (ACHIEVA)</t>
  </si>
  <si>
    <t xml:space="preserve">PROMO s.d. 31/12/2026 (apply &amp; terima offer) - sumber: AIH International Support Bursary 20% per tahun, khusus ONSHORE (explore.aih.edu.au/2026-scholarships-and-bursaries, dicek 07/11/2026); harga per unit setelah bursary 1.790 (publik 2.230) sesuai brosur resmi International Support Bursary (2025InternationalStudentSuport.pdf; brosur menulis tenggat 30/06/2026, halaman 2026 menulis 31/12/2026 - dipakai); Sumber harga publik: aih.edu.au/fees (2026), CRICOS 083131B, dicek 07/11/2026; Periode Bayar = per unit (8 unit/tahun; 24 unit total; peringkat tahunan = per unit x 8); material/resource fee 50 per unit (dibayar sepanjang kursus) dihitung x unit di Initial; enrolment 250; Deposit: AIH Fees and Charges Policy 2023.2 Appendix 1 menyebut Onshore (existing) 500 / 1 unit - kebijakan lama, versi aktif belum ditemukan; file tetap memakai asumsi bayar awal 4 unit (1 semester) - konfirmasi ke sekolah; kelayakan siswa Indonesia tidak disebut khusus; Kode internal: AIG (ACHIEVA)</t>
  </si>
  <si>
    <t xml:space="preserve">PROMO s.d. 31/12/2026 (apply &amp; terima offer) - sumber: AIH International Support Bursary 20% per tahun, khusus ONSHORE (explore.aih.edu.au/2026-scholarships-and-bursaries, dicek 07/11/2026); harga per unit setelah bursary 2.150 (publik 2.680) sesuai brosur resmi International Support Bursary (2025InternationalStudentSuport.pdf; brosur menulis tenggat 30/06/2026, halaman 2026 menulis 31/12/2026 - dipakai); Sumber harga publik: aih.edu.au/fees (2026), CRICOS 105293J, dicek 07/11/2026; Periode Bayar = per unit (8 unit/tahun; 16 unit total; peringkat tahunan = per unit x 8); material/resource fee 50 per unit (dibayar sepanjang kursus) dihitung x unit di Initial; enrolment 250; Deposit: AIH Fees and Charges Policy 2023.2 Appendix 1 menyebut Onshore (existing) 500 / 1 unit - kebijakan lama, versi aktif belum ditemukan; file tetap memakai asumsi bayar awal 4 unit (1 semester) - konfirmasi ke sekolah; kelayakan siswa Indonesia tidak disebut khusus; jumlah unit: brosur menulis 15 unit tetapi total = 16 x per unit - konfirmasi; Kode internal: AIG (ACHIEVA)</t>
  </si>
  <si>
    <t xml:space="preserve">PROMO s.d. 31/12/2026 (apply &amp; terima offer) - sumber: AIH International Support Bursary 20% per tahun, khusus ONSHORE (explore.aih.edu.au/2026-scholarships-and-bursaries, dicek 07/11/2026); harga per unit setelah bursary 2.320 (publik 2.890) sesuai brosur resmi International Support Bursary (2025InternationalStudentSuport.pdf; brosur menulis tenggat 30/06/2026, halaman 2026 menulis 31/12/2026 - dipakai); Sumber harga publik: aih.edu.au/fees (2026), CRICOS 111497B, dicek 07/11/2026; Periode Bayar = per unit (8 unit/tahun; 16 unit total; peringkat tahunan = per unit x 8); material/resource fee 50 per unit (dibayar sepanjang kursus) dihitung x unit di Initial; enrolment 250; Deposit: AIH Fees and Charges Policy 2023.2 Appendix 1 menyebut Onshore (existing) 500 / 1 unit - kebijakan lama, versi aktif belum ditemukan; file tetap memakai asumsi bayar awal 4 unit (1 semester) - konfirmasi ke sekolah; kelayakan siswa Indonesia tidak disebut khusus; jumlah unit: brosur menulis 15 unit tetapi total = 16 x per unit - konfirmasi; Kode internal: AIG (ACHIEVA)</t>
  </si>
  <si>
    <t xml:space="preserve">PROMO s.d. 31/12/2026 (apply &amp; terima offer) - sumber: AIH International Support Bursary 20% per tahun, khusus ONSHORE (explore.aih.edu.au/2026-scholarships-and-bursaries, dicek 07/11/2026); harga per unit setelah bursary 2.320 (publik 2.890) sesuai brosur resmi International Support Bursary (2025InternationalStudentSuport.pdf; brosur menulis tenggat 30/06/2026, halaman 2026 menulis 31/12/2026 - dipakai); Sumber harga publik: aih.edu.au/fees (2026), CRICOS 111495D, dicek 07/11/2026; Periode Bayar = per unit (8 unit/tahun; 16 unit total; peringkat tahunan = per unit x 8); material/resource fee 50 per unit (dibayar sepanjang kursus) dihitung x unit di Initial; enrolment 250; Deposit: AIH Fees and Charges Policy 2023.2 Appendix 1 menyebut Onshore (existing) 500 / 1 unit - kebijakan lama, versi aktif belum ditemukan; file tetap memakai asumsi bayar awal 4 unit (1 semester) - konfirmasi ke sekolah; kelayakan siswa Indonesia tidak disebut khusus; jumlah unit: brosur menulis 15 unit tetapi total = 16 x per unit - konfirmasi; Kode internal: AIG (ACHIEVA)</t>
  </si>
  <si>
    <t xml:space="preserve">PROMO s.d. 31/12/2026 (apply &amp; terima offer) - sumber: AIH International Support Bursary 20% per tahun, khusus ONSHORE (explore.aih.edu.au/2026-scholarships-and-bursaries, dicek 07/11/2026); harga per unit setelah bursary 2.150 (publik 2.680) sesuai brosur resmi International Support Bursary (2025InternationalStudentSuport.pdf; brosur menulis tenggat 30/06/2026, halaman 2026 menulis 31/12/2026 - dipakai); Sumber harga publik: aih.edu.au/fees (2026), CRICOS 111558E, dicek 07/11/2026; Periode Bayar = per unit (8 unit/tahun; 16 unit total; peringkat tahunan = per unit x 8); material/resource fee 50 per unit (dibayar sepanjang kursus) dihitung x unit di Initial; enrolment 250; Deposit: AIH Fees and Charges Policy 2023.2 Appendix 1 menyebut Onshore (existing) 500 / 1 unit - kebijakan lama, versi aktif belum ditemukan; file tetap memakai asumsi bayar awal 4 unit (1 semester) - konfirmasi ke sekolah; kelayakan siswa Indonesia tidak disebut khusus; Kode internal: AIG (ACHIEVA)</t>
  </si>
  <si>
    <t xml:space="preserve">PROMO s.d. 31/12/2026 (apply &amp; terima offer) - sumber: AIH International Support Bursary 20% per tahun, khusus ONSHORE (explore.aih.edu.au/2026-scholarships-and-bursaries, dicek 07/11/2026); harga per unit setelah bursary 2.240 (publik 2.790) sesuai brosur resmi International Support Bursary (2025InternationalStudentSuport.pdf; brosur menulis tenggat 30/06/2026, halaman 2026 menulis 31/12/2026 - dipakai); Sumber harga publik: aih.edu.au/fees (2026), CRICOS 111561K, dicek 07/11/2026; Periode Bayar = per unit (8 unit/tahun; 16 unit total; peringkat tahunan = per unit x 8); material/resource fee 50 per unit (dibayar sepanjang kursus) dihitung x unit di Initial; enrolment 250; Deposit: AIH Fees and Charges Policy 2023.2 Appendix 1 menyebut Onshore (existing) 500 / 1 unit - kebijakan lama, versi aktif belum ditemukan; file tetap memakai asumsi bayar awal 4 unit (1 semester) - konfirmasi ke sekolah; kelayakan siswa Indonesia tidak disebut khusus; Kode internal: AIG (ACHIEVA)</t>
  </si>
  <si>
    <t xml:space="preserve">Material 0 terverifikasi = Termasuk tuition (sumber cocok) | Kebijakan PP-09 V6.5 (Nov 2025) §5.18: biaya kursus VET termasuk resource materials (pengecualian hanya kursus trade); tabel non-tuition Jun 2026 tidak memuat PM/IT |; Asumsi bayar awal 1 term (nilai pricelist lama; kebijakan resmi PP-09 V6.5: deposit awal sesuai Letter of Offer (maks 50%), jumlah term tidak disebut) - konfirmasi ke sekolah; Harga belum dicek ke sumber resmi</t>
  </si>
  <si>
    <t xml:space="preserve">Asumsi bayar awal 1 term (nilai pricelist lama; kebijakan resmi PP-09 V6.5: deposit awal sesuai Letter of Offer (maks 50%), jumlah term tidak disebut) - konfirmasi ke sekolah; Harga belum dicek ke sumber resmi</t>
  </si>
  <si>
    <t xml:space="preserve">Cert IV in Kitchen Management + Dip of Hospitality Management ($1500/term in Dip)</t>
  </si>
  <si>
    <t xml:space="preserve">Cert IV in Kitchen Management + Dip + Adv Dip of Hospitality Management ($1500/term in Dip &amp; $2000/term Adv Dip)</t>
  </si>
  <si>
    <t xml:space="preserve">CEK: konfirmasi harga ke sekolah (harga beda dengan sumber resmi); Material/enrolment belum tercatat (material; dihitung 0 di Estimasi Initial Payment); Sumber: https://apicollege.edu.au/fees/, dicek 29/10/2026; Kode internal: YY</t>
  </si>
  <si>
    <t xml:space="preserve">Master of Project Management (Per Trimester or 4 months)</t>
  </si>
  <si>
    <t xml:space="preserve">Bachelor of Business (Major in Hospitality) (Per Trimester or 4 months)</t>
  </si>
  <si>
    <t xml:space="preserve">Bachelor of Business (Major in Construction Project Management) (Per Trimester or 4 months)</t>
  </si>
  <si>
    <t xml:space="preserve">Bachelor of Business (Cyber Security) (Per Trimester or 4 months)</t>
  </si>
  <si>
    <t xml:space="preserve">Bachelor of Business (AI) (Per Trimester or 4 months)</t>
  </si>
  <si>
    <t xml:space="preserve">Bachelor OF Agribusiness</t>
  </si>
  <si>
    <t xml:space="preserve">Australian College of International Studies (ACIS)
L 4, 213 Miller Street, North Sydney NSW 2060</t>
  </si>
  <si>
    <t xml:space="preserve">Dip of Project Management</t>
  </si>
  <si>
    <t xml:space="preserve">Cert III in Animal Care Services</t>
  </si>
  <si>
    <t xml:space="preserve">Cert III in Individual Support + Cert IV in Disability Support ($2000/term after Cert IV)</t>
  </si>
  <si>
    <t xml:space="preserve">Cert III in Individual Support + Cert IV In Ageing Support ($2000/term after Cert IV)</t>
  </si>
  <si>
    <t xml:space="preserve">Australian College of Professional Careers (ACPC)
Shop1, 15-17 Blaxland Rd, Rhodes NSW 2138</t>
  </si>
  <si>
    <t xml:space="preserve">Australian International College of Skills &amp; Education (AICSE)
Level 8, 140 Elizabeth St, Sydney NSW 2000 Australia ------------------- Level 2, 269 - 273 Bigge St, Liverpool NSW 2000 2170 Australia</t>
  </si>
  <si>
    <t xml:space="preserve">Cert III + Cert IV in Painting and Construction</t>
  </si>
  <si>
    <t xml:space="preserve">Cert III + Cert IV in Painting and Construction + Adv. Dip. Of Civil and Construction</t>
  </si>
  <si>
    <t xml:space="preserve">3.75 years</t>
  </si>
  <si>
    <t xml:space="preserve">Cert III + Cert IV in Carpentry and Construction</t>
  </si>
  <si>
    <t xml:space="preserve">Cert III + Cert IV in Carpentry and Construction + Adv. Dip. Of Civil and Construction</t>
  </si>
  <si>
    <t xml:space="preserve">Adv. Dip. Of Civil and Construction</t>
  </si>
  <si>
    <t xml:space="preserve">Dip of Project Management + Adv Dip. in Program Management</t>
  </si>
  <si>
    <t xml:space="preserve">Dip of Project Management + Adv Dip. in Program Management + Gaduate Diploma of Management (learning)</t>
  </si>
  <si>
    <t xml:space="preserve">Cert IV in Ageing Support + Dip of Community Services</t>
  </si>
  <si>
    <t xml:space="preserve">Dip. Of Community Service</t>
  </si>
  <si>
    <t xml:space="preserve">Asumsi bayar awal 1 term (nilai pricelist lama; situs resmi ASMI tidak memuat syarat bayar awal) - konfirmasi ke sekolah; Harga belum dicek ke sumber resmi</t>
  </si>
  <si>
    <t xml:space="preserve">Cert IV + Dip Early Childhood Education and Care + Adv Dip of Leadership Management</t>
  </si>
  <si>
    <t xml:space="preserve">CEK: Status RTO: registrasi berakhir 15 Jun 2025, perpanjangan sedang dinilai (sumber pihak ketiga) - cek training.gov.au sebelum mendaftarkan siswa.; Asumsi bayar awal 1 term (nilai pricelist lama; kebijakan resmi AWS V2.0: fee sesuai Letter of Offer sebelum CoE, jumlah term tidak disebut) - konfirmasi ke sekolah; Harga belum dicek ke sumber resmi</t>
  </si>
  <si>
    <t xml:space="preserve">CEK: Status RTO: registrasi berakhir 15 Jun 2025, perpanjangan sedang dinilai (sumber pihak ketiga) - cek training.gov.au sebelum mendaftarkan siswa [berlaku untuk semua program terkait; asal Offshore - Sydney r331]; CEK: konfirmasi harga ke sekolah (harga beda dengan sumber resmi); Nama program dikoreksi 29 Okt 2026 dari "Dip + Adv. Dip ofSIHE" (register Study Australia: AWS ICT50220 + ICT60220); tuition belum dicek ke sumber resmi; CEK: identitas paket &amp; pemetaan harga belum terbukti - nama dikoreksi dari "Dip + Adv. Dip ofSIHE" berdasarkan register (AWS ICT50220 + ICT60220) dan kecocokan dgn Offshore - Sydney r332, tetapi tuition 1.750/term, material 100, enrolment 200 &amp; bayar di awal 1 belum dibuktikan dari price list/offer letter AWS untuk paket Dip + Adv Dip IT onshore; status RTO AWS juga masih CEK (lihat r362). Jangan ditawarkan sebelum dikonfirmasi sekolah.; Asumsi bayar awal 1 term (nilai pricelist lama; kebijakan resmi AWS V2.0: fee sesuai Letter of Offer sebelum CoE, jumlah term tidak disebut) - konfirmasi ke sekolah; Sumber: https://search.studyaustralia.gov.au/provider/australian-workplace-skills-institute/09c0b49c5a23f33a2ad7ac594ac31cfc/courses (AWS, CRICOS 03924J: ICT50220 Diploma of IT 78 mgg + ICT60220 Advanced Diploma of IT 104 mgg, N, dicek 29/10/2026</t>
  </si>
  <si>
    <t xml:space="preserve">Be Qualified
Suite 1901, Level 19 233 Castlereagh Street, Sydney, NSW 2000</t>
  </si>
  <si>
    <t xml:space="preserve">Dip of Civil Construction Design (Fast Track)</t>
  </si>
  <si>
    <t xml:space="preserve">Dip of IT (Cyber Security)</t>
  </si>
  <si>
    <t xml:space="preserve">Adv Dip of Information Technology (IT) (Telecommunications network engineering and IT strateggy annd organisational development)</t>
  </si>
  <si>
    <t xml:space="preserve">CEK: Alamat 338 Pitt St terdaftar untuk Le Rosey [berlaku untuk semua program terkait; asal Onshore - Sydney r373]; Sumber bayar awal: Berkeley Student Pre-enrolment Information V7.0 &amp; Handbook V13.0 (Jan 2026) - "first term's fee plus all other fees" sebelum eCoE; dicek 30/10/2026; Harga belum dicek ke sumber resmi; Info sekolah: Grup: Wellington</t>
  </si>
  <si>
    <t xml:space="preserve">Tuition beda per level, lihat keterangan di kolom Program; CEK: di brosur onshore 2026-2027 paket ini bernama SIT60322 Advanced Diploma of Hospitality Management - Kitchen Management Stream (104 mgg, 8 term, total $18.800), bukan "Cert IV KM + Dip" - pastikan nama kursus di CoE; material 950 = term 1 ($150 + equipment $800), term berikut $150/$100; Harga sesuai sumber resmi; Cara hitung tuition/periode: Resmi per periode; Sumber: Capstone 2026-2027 Onshore course promotion.pdf hal. 1 (Promotion 2026-2027, "valid until 31 March 2027", intake 2 Nov 2026 - 12 Jul 2027), dicek 29/10/2026</t>
  </si>
  <si>
    <t xml:space="preserve">Cert IV in Kitchen Management + Dip + Adv Dip of Hospitality Management ($1600/term di level Dip)</t>
  </si>
  <si>
    <t xml:space="preserve">Tuition beda per level, lihat keterangan di kolom Program; CEK: paket Cert IV KM + Dip + Adv Dip (3 thn) tidak ada di brosur onshore 2026-2027 (hanya Kitchen Stream 104 mgg &amp; F&amp;B Stream) - konfirmasi ke sekolah; Harga belum dicek ke sumber resmi; Sumber: Capstone 2026-2027 Onshore course promotion.pdf hal. 1 (Promotion 2026-2027, "valid until 31 March 2027", intake 2 Nov 2026 - 12 Jul 2027), dicek 29/10/2026</t>
  </si>
  <si>
    <t xml:space="preserve">Tuition beda per level, lihat keterangan di kolom Program; Initial payment CoE tidak disebut dokumen; Cert IV $1.350/term (promo), Dip $1.400/term; Asumsi material ditagih per periode (dasar belum cukup) - Initial Payment menghitung material x Bayar di Awal; konfirmasi ke sekolah; Harga sesuai sumber resmi; Cara hitung tuition/periode: Resmi per periode; Sumber: Capstone 2026-2027 Onshore course promotion.pdf hal. 1 (Promotion 2026-2027, "valid until 31 March 2027", intake 2 Nov 2026 - 12 Jul 2027), dicek 29/10/2026</t>
  </si>
  <si>
    <t xml:space="preserve">Tuition beda per level, lihat keterangan di kolom Program; Initial payment CoE tidak disebut dokumen; Cert IV $1.350/term (promo), Dip &amp; Adv Dip $1.400/term; Asumsi material ditagih per periode (dasar belum cukup) - Initial Payment menghitung material x Bayar di Awal; konfirmasi ke sekolah; Harga sesuai sumber resmi; Cara hitung tuition/periode: Resmi per periode; Sumber: Capstone 2026-2027 Onshore course promotion.pdf hal. 1 (Promotion 2026-2027, "valid until 31 March 2027", intake 2 Nov 2026 - 12 Jul 2027), dicek 29/10/2026</t>
  </si>
  <si>
    <t xml:space="preserve">Initial payment CoE tidak disebut dokumen; Asumsi material ditagih per periode (dasar belum cukup) - Initial Payment menghitung material x Bayar di Awal; konfirmasi ke sekolah; Harga sesuai sumber resmi; Cara hitung tuition/periode: Resmi per periode; Sumber: Capstone 2026-2027 Onshore course promotion.pdf hal. 1 (Promotion 2026-2027, "valid until 31 March 2027", intake 2 Nov 2026 - 12 Jul 2027), dicek 29/10/2026</t>
  </si>
  <si>
    <t xml:space="preserve">Material 0 terverifikasi = Tidak ditagih (sumber cocok) | flyer GDE: MATERIAL FEES $0 | program: GDE (MEM80112) | intake 2026 | siswa internasional; Harga sesuai sumber resmi; Sumber: https://eca.edu.au/wp-content/uploads/2024/07/GDE-MPMB-Flyer-2.pdf, dicek 29/10/2026; Kode internal: AIG</t>
  </si>
  <si>
    <t xml:space="preserve">Asumsi bayar awal 1 term (nilai pricelist lama; situs resmi Eton: fee dibayar sesuai tanggal di offer letter/invoice; jumlah term tidak disebut) - konfirmasi ke sekolah; Harga belum dicek ke sumber resmi</t>
  </si>
  <si>
    <t xml:space="preserve">Evolution Hospitality Institute
Level 7/8 Quay Street, Haymarket NSW 2000</t>
  </si>
  <si>
    <t xml:space="preserve">Cert IV in Kitchen Management ($2550/term setelah term 6)</t>
  </si>
  <si>
    <t xml:space="preserve">Cert IV in Kitchen Management + Dip of Hospitality Management ($2550/term setelah term 6)</t>
  </si>
  <si>
    <t xml:space="preserve">Cert IV in Kitchen Management + Dip + Adv Dip of Hospitality Management ($2550/term setelah term 6)</t>
  </si>
  <si>
    <t xml:space="preserve">Cert IV in Patisserie ($2550/term setelah term 7)</t>
  </si>
  <si>
    <t xml:space="preserve">Cert IV in Patisserie + Dip of Hospitality Management ($2550/term setelah term 7)</t>
  </si>
  <si>
    <t xml:space="preserve">Cert IV in Patisserie+ Dip + Adv Dip of Hospitality Management ($2550/term setelah term 7)</t>
  </si>
  <si>
    <t xml:space="preserve">Cert IV in Asian Cookery ($2550/term setelah term 7)</t>
  </si>
  <si>
    <t xml:space="preserve">Cert IV in Asian Cookery + Dip of Hospitality Management ($2550/term setelah term 7)</t>
  </si>
  <si>
    <t xml:space="preserve">Cert IV in Asian Cookery + Dip + Adv Dip of Hospitality Management ($2550/term setelah term 7)</t>
  </si>
  <si>
    <t xml:space="preserve">Dip of Event Management + Adv. Diploma of Event Management</t>
  </si>
  <si>
    <t xml:space="preserve">Focus Academy of Learning
Suite 1901, Level 19 233 Castlereagh Street Sydney</t>
  </si>
  <si>
    <t xml:space="preserve">CEK: status provider - FOCUS Academy of Learning tidak ditemukan di register Study Australia (dicek 30/10/2026); jangan ditawarkan sebelum terkonfirmasi; Harga belum dicek ke sumber resmi</t>
  </si>
  <si>
    <t xml:space="preserve">Cert IV + Dip of Leadership and Management</t>
  </si>
  <si>
    <t xml:space="preserve">Global College of Management
Suite 6 GroundFloor, 55 Phillip,Street, Parramatta, New South Wales 2150</t>
  </si>
  <si>
    <t xml:space="preserve">Cert IV in Kitchen Management + Dip 0f Hospitality Management ($2500/term in Dip)</t>
  </si>
  <si>
    <t xml:space="preserve">CEK: konfirmasi harga ke sekolah (harga beda dengan sumber resmi); CEK: status provider - Global College of Management tidak ditemukan di register Study Australia (dicek 30/10/2026); Tuition beda per level, lihat keterangan di kolom Program; CEK: Harga di sini 2,500 lebih mahal dari harga resmi ~2,000/periode - konfirmasi ke sekolah sebelum dipakai. 16,000 / 8 term (104 mgg, asumsi 4 term/thn) = 2,000. Daftar 2,500 (+25%) - lebih mahal dari harga publik. Material daftar 1,500 vs resmi 2,500; enrolment 200 s; Cara hitung tuition/periode: Hitung: total/tahunan ÷ N; Sumber: https://www.gcm.edu.au/pages/fee-structure, dicek 29/10/2026</t>
  </si>
  <si>
    <t xml:space="preserve">Cert III in Painting &amp; Decorating + Dip of Building &amp; Construction ($2500/term in Dip)</t>
  </si>
  <si>
    <t xml:space="preserve">CEK: status provider - Global College of Management tidak ditemukan di register Study Australia (dicek 30/10/2026); Tuition beda per level, lihat keterangan di kolom Program; CEK: Sebagian sesuai sumber resmi: 10,000 / 4 term = 2,500 per term. Komponen Dip (2,500) sesuai; komponen Cert III daftar 3,000 vs 2,500 resmi (lebih mahal +20%); material 1,500 sesuai; enrolmen; Tuition total/tahunan belum terbukti cocok dengan sumber resmi; Harga sebagian sesuai sumber resmi; Cara hitung tuition/periode: Hitung: total/tahunan ÷ N; Sumber: https://www.gcm.edu.au/pages/fee-structure, dicek 29/10/2026</t>
  </si>
  <si>
    <t xml:space="preserve">Cert III in Cabinet Making &amp; Timber Technology + Dip of Building &amp; Construction ($2500/term in Dip)</t>
  </si>
  <si>
    <t xml:space="preserve">Cert III in Carpentry + Dip of Building &amp; Construction($2500/term in Dip)</t>
  </si>
  <si>
    <t xml:space="preserve">CEK: status provider - Global College of Management tidak ditemukan di register Study Australia (dicek 30/10/2026); Tuition beda per level, lihat keterangan di kolom Program; Harga sesuai sumber resmi; Cara hitung tuition/periode: Hitung: total/tahunan ÷ N; Sumber: https://www.gcm.edu.au/pages/fee-structure, dicek 29/10/2026</t>
  </si>
  <si>
    <t xml:space="preserve">Cert III in Solid Plastering + Dip of Building &amp; Construction ($2500/term in Dip )</t>
  </si>
  <si>
    <t xml:space="preserve">CEK: status provider - Global College of Management tidak ditemukan di register Study Australia (dicek 30/10/2026); Tuition beda per level, lihat keterangan di kolom Program; CEK: Sebagian sesuai sumber resmi: 10,000 / 4 term = 2,500 per term. Komponen Dip (2,500) sesuai; komponen Cert III daftar 3,500 vs 2,500 resmi (lebih mahal +40%); material daftar 2,000 vs resmi; Tuition total/tahunan belum terbukti cocok dengan sumber resmi; Harga sebagian sesuai sumber resmi; Cara hitung tuition/periode: Hitung: total/tahunan ÷ N; Sumber: https://www.gcm.edu.au/pages/fee-structure, dicek 29/10/2026</t>
  </si>
  <si>
    <t xml:space="preserve">Cert IV + Diploma Of Business (Digital Transformation) + Adv Dip of Leadership &amp; Management (8 terms tearkhir $1330/term)</t>
  </si>
  <si>
    <t xml:space="preserve">CEK: konfirmasi harga ke sekolah (harga beda dengan sumber resmi); CEK: BSB80120 Graduate Diploma of Management (Learning) dari provider VET - registrasi CRICOS ditangguhkan/dibatalkan sejak Sep-Okt 2026. Jangan ditawarkan sebelum dikonfirmasi.; CEK: tidak ada di price list Greenwich Q4 2026 (tidak tercantum di price list Q4 2026) - jangan ditawarkan sebelum dikonfirmasi sekolah; Sumber: Pricelist Greenwich_VET_Q4_Master_Pricing_Document_Oct26v3.pdf hal. 4/10/14 (VET Pricing Q4 2026 v9, "Correct as of 30.09.26", aplikasi diterima s.d. 31.12.2026, "intakes starting in 2026 onwards"), dicek 29/10/2026</t>
  </si>
  <si>
    <t xml:space="preserve">Dip Of E-Commerce + Adv Dip of Information Technology (IT) (11 terms tearkhir $1330/term)</t>
  </si>
  <si>
    <t xml:space="preserve">[UTAMA] baris 512 ditandai DUPLIKAT (nonaktif); Tuition beda per level, lihat keterangan di kolom Program;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Harga sesuai sumber resmi; Cara hitung tuition/periode: Resmi per periode; Sumber: Pricelist Greenwich_VET_Q4_Master_Pricing_Document_Oct26v3.pdf hal. 4 &amp; 8 (VET Pricing Q4 2026 v9, "Correct as of 30.09.26", aplikasi diterima s.d. 31.12.2026, "intakes starting in 2026 onwards"), dicek 29/10/2026</t>
  </si>
  <si>
    <t xml:space="preserve">CEK: duplikat dari baris 505 (kemungkinan salah input); Tuition beda per level, lihat keterangan di kolom Program;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Harga sesuai sumber resmi; Cara hitung tuition/periode: Resmi per periode; Sumber: Pricelist Greenwich_VET_Q4_Master_Pricing_Document_Oct26v3.pdf hal. 4 &amp; 8 (VET Pricing Q4 2026 v9, "Correct as of 30.09.26", aplikasi diterima s.d. 31.12.2026, "intakes starting in 2026 onwards"), dicek 29/10/2026</t>
  </si>
  <si>
    <t xml:space="preserve">Sumber: Greenwich Higher Education 2027 Pricing List (v4 Q4, updated 19/10/2026), dicek 07/11/2026: tuition 23.000/tahun (8 unit), beasiswa akademik 30% = 16.100/tahun = 2.012,50/unit; total 48.300 (3 tahun, 24 unit); material 200, enrolment 260; Tuition/Periode = per unit 2.012,50 (16.100/8 unit; 8 unit/tahun, peringkat tahunan = 16.100; tagihan resmi per unit sesuai offer letter); PROMO s.d. 13/09/2027 (beasiswa 30% untuk intake 1 Feb, 24 Mei, 13 Sep 2027; intake setelahnya 25%; syarat: full-time, lulus tiap trimester, tidak digabung promo lain) - sumber: Greenwich Higher Education 2027 Pricing List (v4 Q4, updated 19/10/2026); Bayar di Awal = deposit onshore AUD 1.000 + enrolment 260 + material 200 = 1.460 (Bayar di Awal berupa pecahan = 1.000/2.012,50, bukan jumlah unit resmi; enrolment &amp; material dihitung terpisah; konfirmasi apakah deposit 1.000 sudah termasuk enrolment/material, jangan dihitung ganda); provider: Academy of Interactive Technology Pty Ltd (CRICOS 02155J), lokasi resmi Sydney &amp; Melbourne</t>
  </si>
  <si>
    <t xml:space="preserve">CEK: Lebih murah dari harga publik (~2,750/periode): pastikan ini harga agen/promo yang berlaku. Dicocokkan dicek 30/10/2026: selisih 49.1% - halaman fee resmi HIA tidak memuat beasiswa/diskon; tetap perlu dokumen agen/promo bertanggal; Harga agen: dokumen price list agen belum dilampirkan; Lebih murah dari harga publik - kemungkinan harga agen/promo (tidak diubah); Cara hitung tuition/periode: Hitung: total/tahunan ÷ N; Sumber: https://harbourside.nsw.edu.au/enrollment/, dicek 29/10/2026</t>
  </si>
  <si>
    <t xml:space="preserve">CEK: Lebih murah dari harga publik (~2,000/periode): pastikan ini harga agen/promo yang berlaku. Dicocokkan dicek 30/10/2026: selisih 30.0% - halaman fee resmi HIA tidak memuat beasiswa/diskon; tetap perlu dokumen agen/promo bertanggal; Harga agen: dokumen price list agen belum dilampirkan; Lebih murah dari harga publik - kemungkinan harga agen/promo (tidak diubah); Cara hitung tuition/periode: Hitung: total/tahunan ÷ N; Sumber: https://harbourside.nsw.edu.au/enrollment/, dicek 29/10/2026</t>
  </si>
  <si>
    <t xml:space="preserve">CEK: Lebih murah dari harga publik (~4,000/periode): pastikan ini harga agen/promo yang berlaku. Dicocokkan dicek 30/10/2026: selisih 46.2% - halaman fee resmi HIA tidak memuat beasiswa/diskon; tetap perlu dokumen agen/promo bertanggal; Harga agen: dokumen price list agen belum dilampirkan; Lebih murah dari harga publik - kemungkinan harga agen/promo (tidak diubah); Cara hitung tuition/periode: Hitung: total/tahunan ÷ N; Sumber: https://harbourside.nsw.edu.au/enrollment/, dicek 29/10/2026</t>
  </si>
  <si>
    <t xml:space="preserve">CEK: Lebih murah dari harga publik (~3,000/periode): pastikan ini harga agen/promo yang berlaku. Dicocokkan dicek 30/10/2026: selisih 28.3% - halaman fee resmi HIA tidak memuat beasiswa/diskon; tetap perlu dokumen agen/promo bertanggal; Harga agen: dokumen price list agen belum dilampirkan; Lebih murah dari harga publik - kemungkinan harga agen/promo (tidak diubah); Cara hitung tuition/periode: Hitung: total/tahunan ÷ N; Sumber: https://harbourside.nsw.edu.au/enrollment/, dicek 29/10/2026</t>
  </si>
  <si>
    <t xml:space="preserve">International Institute of Business and Technology (IIBT)
Level 3/616-620 Harris St, Ultimo NSW 2007</t>
  </si>
  <si>
    <t xml:space="preserve">Cert IV in Kitchen Management + Dip of Hospitality Management (Food &amp; Beverage Pathway) (2 term terakhir $1,800/term)</t>
  </si>
  <si>
    <t xml:space="preserve">Cert IV in Kitchen Management + Adv Dip of Hospitality Management (Cookery Pathway) (4 term terakhir $1,800/term)</t>
  </si>
  <si>
    <t xml:space="preserve">Cert IV in Kitchen Management + Adv Dip of Hospitality Management (Food &amp; Beverage) (7 term terakhir $1,800/term)</t>
  </si>
  <si>
    <t xml:space="preserve">Cert IV in Kitchen Management ($2800/term)+ Cert IV in Patisserie ($3000/term) + Dip of Hospitality Management ($1800mterm)</t>
  </si>
  <si>
    <t xml:space="preserve">Cert IV in Patisserie + Dip of Hospitality Management (Cookery Pathway) (2 term terakhir $1,800/term)</t>
  </si>
  <si>
    <t xml:space="preserve">Cert IV in Patisserie + Dip + Adv Dip of Hospitality Management (Cookery Pathway) (4 term terakhir $1,800/term)</t>
  </si>
  <si>
    <t xml:space="preserve">Ad. Dip. Of Information Technology (IT) Telecommunications Network Engineer</t>
  </si>
  <si>
    <t xml:space="preserve">CEK: Alamat 341-345 Queen St tidak cocok dengan INUS (85 Queen St) maupun ZOI - konfirmasi penyelenggara [berlaku untuk semua program terkait; asal Onshore - Sydney r549]; Harga belum dicek ke sumber resmi</t>
  </si>
  <si>
    <t xml:space="preserve">Graduate Diploma of Information Technology (IT)(Per Trimester or 4 months)</t>
  </si>
  <si>
    <t xml:space="preserve">Bachelor of Business Accounting (Per Trimester or 4 months)</t>
  </si>
  <si>
    <t xml:space="preserve">Sudah Termasuk Bea Siswa: 30%; CEK: kelayakan promo - selisih 29.6% sama dengan Kent International Student Scholarship 30% (kent.edu.au/?p=2938), tetapi pedoman resmi KENT versi 12 (7/11/2025) tidak mencantumkan Indonesia (hanya Eropa, Selandia Baru, Amerika Utara &amp; Selatan; brosur lama menyebut Asia Tenggara) - perlu konfirmasi tertulis KENT untuk siswa Indonesia; beasiswa seleksi; harga publik ~8,240/periode; dicek 30/10/2026; Material/enrolment belum tercatat (material; dihitung 0 di Estimasi Initial Payment); Harga agen: dokumen price list agen belum dilampirkan; Lebih murah dari harga publik - kemungkinan harga agen/promo (tidak diubah); Cara hitung tuition/periode: Hitung: total/tahunan ÷ N; Sumber: https://kent.edu.au/kent3/wp-content/uploads/DOC-Tuition-and-Service-Fees-International.pdf, dicek 29/10/2026</t>
  </si>
  <si>
    <t xml:space="preserve">Bachelor of Business Analysis (Per Trimester or 4 months)</t>
  </si>
  <si>
    <t xml:space="preserve">Bachelor of Business Digital Marketing (Per Trimester or 4 months)</t>
  </si>
  <si>
    <t xml:space="preserve">Bachelor of Business Entrepreneurship (Per Trimester or 4 months)</t>
  </si>
  <si>
    <t xml:space="preserve">Bachelor of Business Hospitality Management (Per Trimester or 4 months)</t>
  </si>
  <si>
    <t xml:space="preserve">Bachelor of Business Information Systems (Per Trimester or 4 months)</t>
  </si>
  <si>
    <t xml:space="preserve">Bachelor of Business Project Management (Per Trimester or 4 months)</t>
  </si>
  <si>
    <t xml:space="preserve">Bachelor of Business Management (Per Trimester or 4 months)</t>
  </si>
  <si>
    <t xml:space="preserve">Bachelor of Business Management and Digital Marketing (Per Trimester or 4 months)</t>
  </si>
  <si>
    <t xml:space="preserve">Bachelor of Accounting (Per Trimester or 4 months)</t>
  </si>
  <si>
    <t xml:space="preserve">Bachelor of Information Technology - IT (Per Trimester or 4 months)</t>
  </si>
  <si>
    <t xml:space="preserve">Sudah Termasuk Bea Siswa: 30%; CEK: Lebih murah dari harga publik (~8,800/periode): pastikan ini harga agen/promo yang berlaku. Dicocokkan dicek 30/10/2026: selisih 27.3% - Kent International Student Scholarship = 30%; selisih 27,3% tidak cocok; tetap perlu dokumen agen/promo bertanggal; Material/enrolment belum tercatat (material; dihitung 0 di Estimasi Initial Payment); Harga agen: dokumen price list agen belum dilampirkan; Lebih murah dari harga publik - kemungkinan harga agen/promo (tidak diubah); Cara hitung tuition/periode: Hitung: total/tahunan ÷ N; Sumber: https://kent.edu.au/kent3/wp-content/uploads/DOC-Tuition-and-Service-Fees-International.pdf, dicek 29/10/2026</t>
  </si>
  <si>
    <t xml:space="preserve">Bachelor of Information Technology - IT (AI) (Per Trimester or 4 months)</t>
  </si>
  <si>
    <t xml:space="preserve">Bachelor of Information Technology - IT (Cyber Security) (Per Trimester or 4 months)</t>
  </si>
  <si>
    <t xml:space="preserve">Bachelor of Information Technology - IT (Data Science) (Per Trimester or 4 months)</t>
  </si>
  <si>
    <t xml:space="preserve">Bachelor of Information Technology - IT (Networking Communication) (Per Trimester or 4 months)</t>
  </si>
  <si>
    <t xml:space="preserve">Master of Information Technology - IT (AI) (Per Trimester or 4 months)</t>
  </si>
  <si>
    <t xml:space="preserve">CEK: kelayakan promo - harga "Sudah Termasuk Bea Siswa 30%" tetapi Beasiswa Kent International Student Scholarship 30% (pedoman resmi versi 12, 7/11/2025, kent.edu.au/kent3/wp-content/uploads/DOC-International-Student-Scholarship.pdf) hanya untuk warga Eropa, Selandia Baru, Amerika Utara &amp; Amerika Selatan - Indonesia TIDAK termasuk (dicek 06/11/2026); harga publik internasional resmi Master of ICT belum terbaca - konfirmasi ke Kent; Sudah Termasuk Bea Siswa: 30%; Material/enrolment belum tercatat (material; dihitung 0 di Estimasi Initial Payment); Harga belum dicek ke sumber resmi; Cara hitung tuition/periode: Hitung: total/tahunan ÷ N</t>
  </si>
  <si>
    <t xml:space="preserve">Master of Information Technology - IT (Cyber Security) (Per Trimester or 4 months)</t>
  </si>
  <si>
    <t xml:space="preserve">Cert IV in Kitchen Management + Dip of Hospitality Management (SCHOLARSHIP $3000) (jadwal tuition onshore: belum ada dokumen) (PAKET A)</t>
  </si>
  <si>
    <t xml:space="preserve">CEK: konfirmasi harga ke sekolah (harga beda dengan sumber resmi); Tuition beda per level, lihat keterangan di kolom Program; CEK: harga di baris onshore ini sama dengan promo OFFSHORE King's (Aug 2026, khusus offshore) - tidak boleh disalin ke onshore; minta price list onshore King's; Price list onshore King's 30/10/2026 tidak memuat paket ini (hanya kursus tunggal &amp; internal pathway) - dicek 04/11/2026</t>
  </si>
  <si>
    <t xml:space="preserve">Cert IV in Kitchen Management + Dip of Hospitality Management + Adv Dip of Hospitality Management (SCHOLARSHIP $3000) (PAKET B)</t>
  </si>
  <si>
    <t xml:space="preserve">Cert IV in Patisserie + Dip of Hospitality Management (SCHOLARSHIP $3000) (PAKET C)</t>
  </si>
  <si>
    <t xml:space="preserve">Cert IV in Patisserie + Dip of Hospitality Management + Adv Dip of Hospitality Management (SCHOLARSHIP $3000) (jadwal tuition onshore: belum ada dokumen) (PAKET D)</t>
  </si>
  <si>
    <t xml:space="preserve">Cert IV in Kitchen Management + Cert IV in Patisserie + Dip of Hospitality Management (SCHOLARSHIP $5000) (PAKET E)</t>
  </si>
  <si>
    <t xml:space="preserve">PROMO s.d. 31/12/2026 (enrol paling lambat 31/12/2026; setelah itu tuition normal) - sumber: King's Onshore Tuition Promotion 2026 (PDF Kings_2026.10.30_Onshore); promo 15.000 = 1.500 (term 1) + 2.700 x 5 term (normal 19.800); Tuition beda per level/term: term 1 1.500, term 2-6 2.700; material 1.500 (tool kit &amp; seragam); enrolment 250; Asumsi bayar awal 1 term - konfirmasi ke sekolah; Tuition tahunan rata-rata: 10000; (dasar: total promo 15.000 / 1,5 thn, price list King's 30/10/2026 - dipakai untuk peringkat)</t>
  </si>
  <si>
    <t xml:space="preserve">PROMO s.d. 31/12/2026 (enrol paling lambat 31/12/2026; setelah itu tuition normal) - sumber: King's Onshore Tuition Promotion 2026 (PDF Kings_2026.10.30_Onshore); promo 15.000 = 1.500 (term 1) + 2.700 x 5 term (normal 21.000); Tuition beda per level/term: term 1 1.500, term 2-6 2.700; material 1.600; enrolment 250; Asumsi bayar awal 1 term - konfirmasi ke sekolah; Tuition tahunan rata-rata: 10000; (dasar: total promo 15.000 / 1,5 thn, price list King's 30/10/2026 - dipakai untuk peringkat)</t>
  </si>
  <si>
    <t xml:space="preserve">Diploma of Hospitality Management (SIT50422, CRICOS 110581C) - 104 weeks</t>
  </si>
  <si>
    <t xml:space="preserve">PROMO s.d. 31/12/2026 (enrol paling lambat 31/12/2026; setelah itu tuition normal) - sumber: King's Onshore Tuition Promotion 2026 (PDF Kings_2026.10.30_Onshore); promo 12.000 = 1.500 x 8 term (normal 18.400); material 100/term (total 800); enrolment 250; Asumsi bayar awal 1 term - konfirmasi ke sekolah</t>
  </si>
  <si>
    <t xml:space="preserve">Advanced Diploma of Hospitality Management (SIT60322, CRICOS 110582B) - 156 weeks</t>
  </si>
  <si>
    <t xml:space="preserve">PROMO s.d. 31/12/2026 (enrol paling lambat 31/12/2026; setelah itu tuition normal) - sumber: King's Onshore Tuition Promotion 2026 (PDF Kings_2026.10.30_Onshore); promo 18.000 = 1.500 x 12 term (normal 27.600); material 100/term (total 1.200); enrolment 250; Asumsi bayar awal 1 term - konfirmasi ke sekolah</t>
  </si>
  <si>
    <t xml:space="preserve">Diploma of Hospitality Management (Cookery Stream) - internal pathway setelah Cert IV Kitchen Management/Patisserie King's</t>
  </si>
  <si>
    <t xml:space="preserve">PROMO s.d. 31/12/2026 (enrol paling lambat 31/12/2026; setelah itu tuition normal) - sumber: King's Onshore Tuition Promotion 2026 (PDF Kings_2026.10.30_Onshore); internal pathway 3.600 = 1.800 x 2 term; khusus siswa yang sudah menyelesaikan Cert IV Kitchen Management/Patisserie; material belum tercatat; Asumsi bayar awal 1 term - konfirmasi ke sekolah</t>
  </si>
  <si>
    <t xml:space="preserve">Advanced Diploma of Hospitality Management - internal pathway setelah Cert IV Kitchen Management/Patisserie King's</t>
  </si>
  <si>
    <t xml:space="preserve">PROMO s.d. 31/12/2026 (enrol paling lambat 31/12/2026; setelah itu tuition normal) - sumber: King's Onshore Tuition Promotion 2026 (PDF Kings_2026.10.30_Onshore); internal pathway 10.800 = 1.800 x 6 term; khusus siswa yang sudah menyelesaikan Cert IV Kitchen Management/Patisserie; material belum tercatat; Asumsi bayar awal 1 term - konfirmasi ke sekolah</t>
  </si>
  <si>
    <t xml:space="preserve">Certificate IV in Patisserie (SIT40721, CRICOS 120774M) - FAST TRACK 52 weeks (khusus pemegang visa 485)</t>
  </si>
  <si>
    <t xml:space="preserve">52 weeks</t>
  </si>
  <si>
    <t xml:space="preserve">CEK: kelayakan - khusus pemegang visa 485 (onshore); sejak 2 Okt 2026 sebagian besar pemegang visa sementara harus apply visa pelajar dari luar Australia - cek pengecualian; tanggal promo &amp; material/enrolment tidak disebut ("additional materials and enrolment fees apply"); tuition 12.000 ÷ 4 term (52 mgg) = 3.000/term - sumber: flyer King's Fast Track Certificate IV in Patisserie (diterima 04/11/2026); Asumsi bayar awal 1 term - konfirmasi ke sekolah; Flyer Fast Track (07/11/2026): tuition 12.000/52 minggu cocok (4 x 3.000); material &amp; enrolment "additional" tetapi nominal &amp; masa berlaku tidak disebut - jangan pakai syarat promo reguler; khusus pemegang visa 485 yang masih berlaku (boleh belajar dengan 485; larangan apply visa 500 onshore bukan larangan belajar) - Visa Fee &amp; OSHC pelajar di TOTAL hanya relevan bila mengajukan visa 500; jangan menjanjikan kelayakan visa 500 onshore</t>
  </si>
  <si>
    <t xml:space="preserve">Le Pont International College
Mezzanine Level, 31 Macquarie Street, Parramatta NSW 2150</t>
  </si>
  <si>
    <t xml:space="preserve">CEK: Alamat 338 Pitt St terdaftar untuk Le Rosey [berlaku untuk semua program terkait; asal Onshore - Sydney r624]; Tuition beda per level, lihat keterangan di kolom Program; Sumber bayar awal: LRHI Student Pre-enrolment Information V1 &amp; Handbook V3.0 - "the first term's fee plus all other fees"; material ditagih per term; dicek 30/10/2026; Material ditagih per term (Handbook LRHI); Harga belum dicek ke sumber resmi; Info sekolah: Grup: Wellington</t>
  </si>
  <si>
    <t xml:space="preserve">CEK: Alamat 338 Pitt St terdaftar untuk Le Rosey [berlaku untuk semua program terkait; asal Onshore - Sydney r624]; Sumber bayar awal: LRHI Student Pre-enrolment Information V1 &amp; Handbook V3.0 - "the first term's fee plus all other fees"; material ditagih per term; dicek 30/10/2026; Material ditagih per term (Handbook LRHI); Harga belum dicek ke sumber resmi; Info sekolah: Grup: Wellington</t>
  </si>
  <si>
    <t xml:space="preserve">CEK: Lebih murah dari harga publik (~4,212/periode): pastikan ini harga agen/promo yang berlaku. Dicocokkan dicek 30/10/2026: selisih 52.5% - situs resmi Legend tidak memuat beasiswa/diskon; cek basis harga (total vs per term); tetap perlu dokumen agen/promo bertanggal; Price list onshore Legend (tanpa tanggal) hal. 2: $8.000/kursus 52 mgg, material $1.000/kursus; untuk paket 2 kursus total material $2.000 (file mencatat 1.000); deposit CoE tidak disebut nominalnya; Tuition total/tahunan belum terbukti cocok dengan sumber resmi; Harga sebagian sesuai sumber resmi; Cara hitung tuition/periode: Hitung: total/tahunan ÷ N; Sumber: 22 Sep/Legend Institute - Onshore Prices.pdf hal. 2 (tanpa tanggal), dicek 29/10/2026</t>
  </si>
  <si>
    <t xml:space="preserve">Price list onshore Legend (tanpa tanggal) hal. 2: $8.000/kursus 52 mgg, material $1.000/kursus; untuk paket 2 kursus total material $2.000 (file mencatat 1.000); deposit CoE tidak disebut nominalnya; Tuition total/tahunan belum terbukti cocok dengan sumber resmi; Harga sebagian sesuai sumber resmi; Cara hitung tuition/periode: Hitung: total/tahunan ÷ N; Sumber: 22 Sep/Legend Institute - Onshore Prices.pdf hal. 2 (tanpa tanggal), dicek 29/10/2026</t>
  </si>
  <si>
    <t xml:space="preserve">CEK: Lebih murah dari harga publik (~4,088/periode): pastikan ini harga agen/promo yang berlaku. Dicocokkan dicek 30/10/2026: selisih 51.1% - situs resmi Legend tidak memuat beasiswa/diskon; cek basis harga (total vs per term); tetap perlu dokumen agen/promo bertanggal; Price list onshore Legend (tanpa tanggal) hal. 2: $8.000/kursus 52 mgg, material $1.000/kursus; untuk paket 2 kursus total material $2.000 (file mencatat 1.000); deposit CoE tidak disebut nominalnya; Tuition total/tahunan belum terbukti cocok dengan sumber resmi; Harga sebagian sesuai sumber resmi; Cara hitung tuition/periode: Hitung: total/tahunan ÷ N; Sumber: 22 Sep/Legend Institute - Onshore Prices.pdf hal. 2 (tanpa tanggal), dicek 29/10/2026</t>
  </si>
  <si>
    <t xml:space="preserve">CEK: konfirmasi harga ke sekolah (harga beda dengan sumber resmi); CEK: Lebih murah dari harga publik (~2,625/periode): pastikan ini harga agen/promo yang berlaku. Dicocokkan dicek 30/10/2026: selisih 42.9% - situs resmi Legend tidak memuat beasiswa/diskon; cek basis harga (total vs per term); tetap perlu dokumen agen/promo bertanggal; CEK: price list onshore Legend hal. 2: Dip $8.000 (52 mgg) + Adv Dip $16.000 (104 mgg), material $500 + $1.000 - file 1.500/term dan material 500 tidak cocok; dokumen tanpa tanggal; CEK: durasi Adv Dip of Business 104 mgg (price list) vs 52 mgg (flyer promo) - konfirmasi; Cara hitung tuition/periode: Hitung: total/tahunan ÷ N; Sumber: 22 Sep/Legend Institute - Onshore Prices.pdf hal. 2 (tanpa tanggal), dicek 29/10/2026</t>
  </si>
  <si>
    <t xml:space="preserve">Dip + Adv Dip of AI - Information Technology (IT)</t>
  </si>
  <si>
    <t xml:space="preserve">[MATERIAL] hanya kursus pertama; sisa material kursus berikutnya: Dip L&amp;M 0 (basis sekali/per term belum disebut); Material 0 belum terbukti (dasar nol: Tidak ditagih (sumber belum cocok: tahun/intake tidak tercetak; tertulis "other course fees may apply") | tabel resmi NCCS Material Fee $0 | program: sama | kampus: Sydney | siswa: internasional (kode); Harga agen: dokumen price list agen belum dilampirkan; Lebih murah dari harga publik - kemungkinan harga agen/promo (tidak diubah)</t>
  </si>
  <si>
    <t xml:space="preserve">Cert IV + Dip + Adv Dip of Leadership &amp; Management</t>
  </si>
  <si>
    <t xml:space="preserve">[MATERIAL] hanya kursus pertama; sisa material kursus berikutnya: Dip 0 + Adv Dip L&amp;M 200 (basis sekali/per term belum disebut); Material 0 belum terbukti (dasar nol: Tidak ditagih (sumber belum cocok: tahun/intake tidak tercetak; tertulis "other course fees may apply") | tabel resmi NCCS Material Fee $0 | program: sama | kampus: Sydney | siswa: internasional (kode); Harga agen: dokumen price list agen belum dilampirkan; Lebih murah dari harga publik - kemungkinan harga agen/promo (tidak diubah)</t>
  </si>
  <si>
    <t xml:space="preserve">[MATERIAL] hanya kursus pertama; sisa material kursus berikutnya: Dip PM 0 (basis sekali/per term belum disebut); Material 0 belum terbukti (dasar nol: Tidak ditagih (sumber belum cocok: tahun/intake tidak tercetak; tertulis "other course fees may apply") | tabel resmi NCCS Material Fee $0 | program: sama | kampus: Sydney | siswa: internasional (kode); Harga agen: dokumen price list agen belum dilampirkan; Lebih murah dari harga publik - kemungkinan harga agen/promo (tidak diubah)</t>
  </si>
  <si>
    <t xml:space="preserve">[MATERIAL] hanya kursus pertama; sisa material kursus berikutnya: Dip 0 + Adv Dip Program Mgmt 200 (basis sekali/per term belum disebut); Material 0 belum terbukti (dasar nol: Tidak ditagih (sumber belum cocok: tahun/intake tidak tercetak; tertulis "other course fees may apply") | tabel resmi NCCS Material Fee $0 | program: sama | kampus: Sydney | siswa: internasional (kode); Harga agen: dokumen price list agen belum dilampirkan; Lebih murah dari harga publik - kemungkinan harga agen/promo (tidak diubah)</t>
  </si>
  <si>
    <t xml:space="preserve">[MATERIAL] hanya kursus pertama; sisa material kursus berikutnya: Dip 300 + Adv Dip 400 (basis sekali/per term belum disebut); CEK: halaman fees NCCS menyatakan "No intake available for CIV + Dip Acct" - jangan ditawarkan sebelum dikonfirmasi.; Harga agen: dokumen price list agen belum dilampirkan; Lebih murah dari harga publik - kemungkinan harga agen/promo (tidak diubah)</t>
  </si>
  <si>
    <t xml:space="preserve">Dip + Adv Dip of Community Services</t>
  </si>
  <si>
    <t xml:space="preserve">[MATERIAL] resmi Dip Community Services 600 (file 500, tidak diubah - lihat Keputusan Internal); tuition resmi 22.000/104 mgg ~2.750/term (hasil hitung); Harga agen: dokumen price list agen belum dilampirkan; Lebih murah dari harga publik - kemungkinan harga agen/promo (tidak diubah)</t>
  </si>
  <si>
    <t xml:space="preserve">Material 0 belum terbukti (dasar nol: Tidak ditagih (sumber belum cocok: tahun/intake tidak tercetak; tertulis "other course fees may apply") | tabel resmi NCCS Material Fee $0 | program: sama | kampus: Sydney | siswa: internasional (kode); Harga agen: dokumen price list agen belum dilampirkan; Lebih murah dari harga publik - kemungkinan harga agen/promo (tidak diubah)</t>
  </si>
  <si>
    <t xml:space="preserve">Dip od Counselling</t>
  </si>
  <si>
    <t xml:space="preserve">Advanced Diploma of Information Technology (IT) specialised in Cyber Security</t>
  </si>
  <si>
    <t xml:space="preserve">Advanced Diploma in civil construction design</t>
  </si>
  <si>
    <t xml:space="preserve">Cert IV in Kitchen Management + Dip of Hospitality Management (Tuition fee 2 term terakhir $2000/term)</t>
  </si>
  <si>
    <t xml:space="preserve">Cert IV in Ageing Support + Dip of Community Services (8 term terakhir $2190/term)</t>
  </si>
  <si>
    <t xml:space="preserve">Cert III + Dip of Early Childhood Education and Care (Tuition fee for last 4 term is $2275/term)</t>
  </si>
  <si>
    <t xml:space="preserve">CEK: Kampus terdaftar Novus: Gosford (153 Mann St), Ultimo (Level 3, Suites 3.09-3.11, 22-36 Mountain St), Perth (Unit 53, 188 Newcastle St) - konfirmasi alamat workshop/lainnya [berlaku untuk semua program terkait; asal Onshore - Sydney r118]; Harga belum dicek ke sumber resmi</t>
  </si>
  <si>
    <t xml:space="preserve">CEK: Kampus terdaftar Novus: Gosford (153 Mann St), Ultimo (Level 3, Suites 3.09-3.11, 22-36 Mountain St), Perth (Unit 53, 188 Newcastle St) - konfirmasi alamat workshop/lainnya [berlaku untuk semua program terkait; asal Onshore - Sydney r118]; Harga belum dicek ke sumber resmi; Cara hitung tuition/periode: Hitung: total/tahunan ÷ N</t>
  </si>
  <si>
    <t xml:space="preserve">CEK: Lebih murah dari harga publik (~3,600/periode): pastikan ini harga agen/promo yang berlaku. Dicocokkan dicek 30/10/2026: selisih 44.4% - halaman fee resmi NVR tidak dapat dibaca; tidak ada skema resmi ditemukan; tetap perlu dokumen agen/promo bertanggal; Harga agen: dokumen price list agen belum dilampirkan; Lebih murah dari harga publik - kemungkinan harga agen/promo (tidak diubah); Cara hitung tuition/periode: Hitung: total/tahunan ÷ N; Sumber: https://search.studyaustralia.gov.au/provider/nvr-education-pty-ltd/784c90d025b61ed0920375b67bbd9b0d/courses, dicek 29/10/2026</t>
  </si>
  <si>
    <t xml:space="preserve">CEK: Lebih murah dari harga publik (~3,600/periode): pastikan ini harga agen/promo yang berlaku. Dicocokkan dicek 30/10/2026: selisih 38.9% - halaman fee resmi NVR tidak dapat dibaca; tidak ada skema resmi ditemukan; tetap perlu dokumen agen/promo bertanggal; Harga agen: dokumen price list agen belum dilampirkan; Lebih murah dari harga publik - kemungkinan harga agen/promo (tidak diubah); Cara hitung tuition/periode: Hitung: total/tahunan ÷ N; Sumber: https://search.studyaustralia.gov.au/provider/nvr-education-pty-ltd/784c90d025b61ed0920375b67bbd9b0d/courses, dicek 29/10/2026</t>
  </si>
  <si>
    <t xml:space="preserve">Dip + Adv Dip of Civil Construction Design ($2200/term on Adv level)</t>
  </si>
  <si>
    <t xml:space="preserve">Tuition beda per level, lihat keterangan di kolom Program; CEK: Lebih murah dari harga publik (~3,600/periode): pastikan ini harga agen/promo yang berlaku. Dicocokkan dicek 30/10/2026: selisih 38.9% - halaman fee resmi NVR tidak dapat dibaca; tidak ada skema resmi ditemukan; tetap perlu dokumen agen/promo bertanggal; Harga agen: dokumen price list agen belum dilampirkan; Lebih murah dari harga publik - kemungkinan harga agen/promo (tidak diubah); Cara hitung tuition/periode: Hitung: total/tahunan ÷ N; Sumber: https://search.studyaustralia.gov.au/provider/nvr-education-pty-ltd/784c90d025b61ed0920375b67bbd9b0d/courses, dicek 29/10/2026</t>
  </si>
  <si>
    <t xml:space="preserve">Dip + Adv Dip ofInformation Technology (IT) (Cyber Security) ($1500/ term on Adv level)</t>
  </si>
  <si>
    <t xml:space="preserve">Tuition beda per level, lihat keterangan di kolom Program; Material/enrolment belum tercatat (material; dihitung 0 di Estimasi Initial Payment); Harga agen: dokumen price list agen belum dilampirkan; Lebih murah dari harga publik - kemungkinan harga agen/promo (tidak diubah)</t>
  </si>
  <si>
    <t xml:space="preserve">Dip + Adv Dip of Information Technology (IT) (Telecommunications Network Engineering) ($1500/ term on Adv level)</t>
  </si>
  <si>
    <t xml:space="preserve">CEK: Lebih murah dari harga publik (~2,000/periode): pastikan ini harga agen/promo yang berlaku. Dicocokkan dicek 30/10/2026: selisih 37.5% - halaman fee resmi NVR tidak dapat dibaca; tidak ada skema resmi ditemukan; tetap perlu dokumen agen/promo bertanggal; Material/enrolment belum tercatat (material; dihitung 0 di Estimasi Initial Payment); Harga agen: dokumen price list agen belum dilampirkan; Lebih murah dari harga publik - kemungkinan harga agen/promo (tidak diubah); Cara hitung tuition/periode: Hitung: total/tahunan ÷ N; Sumber: https://search.studyaustralia.gov.au/provider/nvr-education-pty-ltd/784c90d025b61ed0920375b67bbd9b0d/courses, dicek 29/10/2026</t>
  </si>
  <si>
    <t xml:space="preserve">Cert IV + Dip of Human Resource (HR)</t>
  </si>
  <si>
    <t xml:space="preserve">CEK: Lebih murah dari harga publik (~2,500/periode): pastikan ini harga agen/promo yang berlaku. Dicocokkan dicek 30/10/2026: selisih 50.0% - halaman fee resmi NVR tidak dapat dibaca; tidak ada skema resmi ditemukan; tetap perlu dokumen agen/promo bertanggal; Material/enrolment belum tercatat (material; dihitung 0 di Estimasi Initial Payment); Harga agen: dokumen price list agen belum dilampirkan; Lebih murah dari harga publik - kemungkinan harga agen/promo (tidak diubah); Cara hitung tuition/periode: Hitung: total/tahunan ÷ N; Sumber: https://search.studyaustralia.gov.au/provider/nvr-education-pty-ltd/784c90d025b61ed0920375b67bbd9b0d/courses, dicek 29/10/2026</t>
  </si>
  <si>
    <t xml:space="preserve">Cert IV + Dip + Adv Dip of Human Resource (HR)</t>
  </si>
  <si>
    <t xml:space="preserve">Cert IV + Dip + Adv Dip of Marketing Communication</t>
  </si>
  <si>
    <t xml:space="preserve">Cert III in Light Vehicle Mechanical Technology + Cert IV in Automotive Mechanical Diagnosis ($2000/term in Cert IV)</t>
  </si>
  <si>
    <t xml:space="preserve">Cert III in Light Vehicle Mechanical Technology + Cert IV + Dip of Automotive Mechanical Diagnosis ($2000/term in Cert IV &amp; $750/term in Dip)</t>
  </si>
  <si>
    <t xml:space="preserve">Cert III + Cert IV in Automotive Body Repair Technology ($2333/term in Cert IV)</t>
  </si>
  <si>
    <t xml:space="preserve">Cert III + Cert IV in Automotive Body Repair Technology + Dip of Automotive Management ($2333/term in Cert IV &amp; $750/term in Dip)</t>
  </si>
  <si>
    <t xml:space="preserve">Cert III in Light Vehicle Mechanical Technology + Cert III in Heavy Commercial Vehicle Mechanical Technology ($4000/term in Cert in Heavy)</t>
  </si>
  <si>
    <t xml:space="preserve">Cert III in Light Vehicle Mechanical Technology + Cert III in Heavy Commercial Vehicle Mechanical Technology + Cert IV in Automotive Management ($2666/term in Cert III in Heavy &amp; $2000 in Cert IV)</t>
  </si>
  <si>
    <t xml:space="preserve">Cert III in Heavy Commercial Vehicle Mechanical Technology + Cert IV in Automotive Mechanical Diapnosis ($2000/term in Cert IV)</t>
  </si>
  <si>
    <t xml:space="preserve">Cert III in Heavy Commercial Vehicle Mechanical Technology + Cert IV in Automotive Mechanical Diapnosis + Dip of Automotive Management ($2000/term in Cert IV &amp; $750/term in Dip)</t>
  </si>
  <si>
    <t xml:space="preserve">Cert III in Automotive Electrical Technology + Cert IV in Automotive Mechanical Technology ($2000/term in Cert IV)</t>
  </si>
  <si>
    <t xml:space="preserve">Cert III in Automotive Electrical Technology + Cert IV in Automotive Mechanical Technology + Dip Automotive Management ($2000/term in Cert IV &amp; $750/term in Dip)</t>
  </si>
  <si>
    <t xml:space="preserve">Cert III in Light Vehicle Mechanical Technology + Cert III in Automotive Electrical Technology ($3000/term in Cert III in Automotive)</t>
  </si>
  <si>
    <t xml:space="preserve">Cert III in Light Vehicle Mechanical Technology + Cert III in Automotive Electrical Technology + Cert IV in Automotive Mechanical Diagnosis ($3000/term in Cert III in Automotive &amp; $750/term in Dip)</t>
  </si>
  <si>
    <t xml:space="preserve">Adv. Dip of engineering Technology - Electrical</t>
  </si>
  <si>
    <t xml:space="preserve">Harga sesuai sumber resmi; Cara hitung tuition/periode: Hitung: total/tahunan ÷ N; Sumber: https://www.oneuedu.com/schools/rosehill-college-rc-03622A, dicek 29/10/2026</t>
  </si>
  <si>
    <t xml:space="preserve">Cert III in Electrotechnology Elitrician + Adv. Dip of engineering Technology - Electrical ($3125/term in Adv Dip)</t>
  </si>
  <si>
    <t xml:space="preserve">Tuition beda per level, lihat keterangan di kolom Program; CEK: Sebagian sesuai sumber resmi: Komponen Adv Dip $3.125/term sesuai (12.500/4). Komponen Cert III (list 3.250) tidak ditemukan. (sumber: agregator One U Education, bukan situs resmi sekolah; k; Tuition total/tahunan belum terbukti cocok dengan sumber resmi; Harga sebagian sesuai sumber resmi; Cara hitung tuition/periode: Hitung: total/tahunan ÷ N; Sumber: https://www.oneuedu.com/schools/rosehill-college-rc-03622A, dicek 29/10/2026</t>
  </si>
  <si>
    <t xml:space="preserve">Cert III + Dip. Of Early Childhood Education and Care ($1725/term in Dip)</t>
  </si>
  <si>
    <t xml:space="preserve">Dip + Adv Dip of Information Technology (IT) ($1600/term in Adv Dip)</t>
  </si>
  <si>
    <t xml:space="preserve">Tuition beda per level, lihat keterangan di kolom Program; Harga belum dicek ke sumber resmi; Cara hitung tuition/periode: Hitung: total/tahunan ÷ N</t>
  </si>
  <si>
    <t xml:space="preserve">Cert IV + Dip + Adv Dip of Marketing and Communication ($1600/term in Adv Dip)</t>
  </si>
  <si>
    <t xml:space="preserve">Cert III in Engineering - Fabrication Trade</t>
  </si>
  <si>
    <t xml:space="preserve">Bachelor Of Information Technology (IT) (Specialise in AI)</t>
  </si>
  <si>
    <t xml:space="preserve">Bachelor Of Information Technology (IT) (Specialise in Cyber Security)</t>
  </si>
  <si>
    <t xml:space="preserve">Master Of Information Technology (IT)</t>
  </si>
  <si>
    <t xml:space="preserve">Master Of Information Technology (IT) (Specialise in AI)</t>
  </si>
  <si>
    <t xml:space="preserve">Cert III in Individual Support + Cert IV in Disability + Diploma of Community Services ($2000/term in Dip level)</t>
  </si>
  <si>
    <t xml:space="preserve">Tuition beda per level, lihat keterangan di kolom Program; CEK: Lebih murah dari harga publik (~3,000/periode): pastikan ini harga agen/promo yang berlaku. Dicocokkan dicek 30/10/2026: selisih 16.7% - situs resmi SCPE tanpa fee/beasiswa; tetap perlu dokumen agen/promo bertanggal; Harga agen: dokumen price list agen belum dilampirkan; Lebih murah dari harga publik - kemungkinan harga agen/promo (tidak diubah); Cara hitung tuition/periode: Hitung: total/tahunan ÷ N; Sumber: https://search.studyaustralia.gov.au/provider/sydney-college-of-professional-education-pty-ltd/c413305fb39adf38b3cce28a75408c47/courses, dicek 29/10/2026</t>
  </si>
  <si>
    <t xml:space="preserve">CEK: Lebih murah dari harga publik (~2,500/periode): pastikan ini harga agen/promo yang berlaku. Dicocokkan dicek 30/10/2026: selisih 40.0% - situs resmi SCPE tanpa fee/beasiswa; tetap perlu dokumen agen/promo bertanggal; Harga agen: dokumen price list agen belum dilampirkan; Lebih murah dari harga publik - kemungkinan harga agen/promo (tidak diubah); Cara hitung tuition/periode: Hitung: total/tahunan ÷ N; Sumber: https://search.studyaustralia.gov.au/provider/sydney-college-of-professional-education-pty-ltd/c413305fb39adf38b3cce28a75408c47/courses, dicek 29/10/2026</t>
  </si>
  <si>
    <t xml:space="preserve">Cert IV + Dip + Adv Dip of Leadership and Management</t>
  </si>
  <si>
    <t xml:space="preserve">Sydney Global College
Level 4, 118 Walker Street North Sydney NSW 2010</t>
  </si>
  <si>
    <t xml:space="preserve">Adv. Dip of Project Management</t>
  </si>
  <si>
    <t xml:space="preserve">Dip + Adv. Dip Project Management</t>
  </si>
  <si>
    <t xml:space="preserve">CEK: Lebih murah dari harga publik (~6,533/periode): pastikan ini harga agen/promo yang berlaku. Dicocokkan dicek 30/10/2026: selisih 26.9% - beasiswa resmi SIHE 25% offshore / 35% onshore (intake Nov 2026); selisih 15,6%/26,9% tidak cocok; tetap perlu dokumen agen/promo bertanggal; Material/enrolment belum tercatat (material; dihitung 0 di Estimasi Initial Payment); Harga agen: dokumen price list agen belum dilampirkan; Lebih murah dari harga publik - kemungkinan harga agen/promo (tidak diubah); Cara hitung tuition/periode: Hitung: total/tahunan ÷ N; Sumber: https://sydneyinstitute.edu.au/scholarships/, dicek 29/10/2026</t>
  </si>
  <si>
    <t xml:space="preserve">Cert IV + Dip of Business ($1500/term di level Dip)</t>
  </si>
  <si>
    <t xml:space="preserve">Cert IV + Dip + Adv Dip. of Business ($1500/term di level Dip &amp; Adv Dip)</t>
  </si>
  <si>
    <t xml:space="preserve">Bachelor of Bussiness (Kampus: Granville , Ultimo) (Fast Track)</t>
  </si>
  <si>
    <t xml:space="preserve">Cert III + Cert IV + Dip of Information Technology (IT) (kampus: St Leonards, Meadowbank) ($6675/term on Cert IV, $8100/term on Diip)</t>
  </si>
  <si>
    <t xml:space="preserve">Cert III + Cert IV + Dip of Information Technology (IT) (Advanced Networking and Cloud Architecture) (kampus: Ultimo, Blacktown, Meadowbank) ($6675/term on Cert IV, $8100/term on Diip)</t>
  </si>
  <si>
    <t xml:space="preserve">Cert III + Cert IV + Dip of Information Technology (IT) (Advanced Programming) (kampus: Ultimo,Petersham) ($6675/term on Cert IV, $8100/term on Diip)</t>
  </si>
  <si>
    <t xml:space="preserve">Cert III + Cert IV + Dip of Information Technology (IT) (Back End Web Development) or (Front End Web Development) (kampus: Ultimo) ($6675/term on Cert IV, $8100/term on Diip)</t>
  </si>
  <si>
    <t xml:space="preserve">Cert IV in Information Technology (IT) (Gaming Development) (kampus: St Leonards)</t>
  </si>
  <si>
    <t xml:space="preserve">Master of Design (Non-Cognate)</t>
  </si>
  <si>
    <t xml:space="preserve">Asumsi bayar awal 1 term (nilai pricelist lama; situs resmi Victory: tiap instalment dibayar sebelum term terkait; jumlah sebelum CoE tidak disebut) - konfirmasi ke sekolah; Harga belum dicek ke sumber resmi</t>
  </si>
  <si>
    <t xml:space="preserve">Vigil International College
Level 2 16-18 Wentworth St, Parramatta, NSW 2150</t>
  </si>
  <si>
    <t xml:space="preserve">Cert III in Light Vehicle Mechanical Technology + Dipp of Automotive Management</t>
  </si>
  <si>
    <t xml:space="preserve">Cert III in Hairdressing + Dip of Salon Management</t>
  </si>
  <si>
    <t xml:space="preserve">Cert III in Individual Support (Ageing and Disability) + Dip of Community Services</t>
  </si>
  <si>
    <t xml:space="preserve">Dip of Social Media Marketing</t>
  </si>
  <si>
    <t xml:space="preserve">Graduate Dip. Management (Learning)</t>
  </si>
  <si>
    <t xml:space="preserve">bachelor of Computer Science (Major: AI, Cyber Security, Networked Systems, Systems Programming and Technology Entreprenuership) (kampus: Parramatta, Penrith)</t>
  </si>
  <si>
    <t xml:space="preserve">Bachelor of Information Technology (IT) (Major: Business Analytics, Cyber Security Management, Health Informatics, Infonomics, Network Management, User Experience) (kampus: Parramatta, Sydney City)</t>
  </si>
  <si>
    <t xml:space="preserve">Graduate Diploma in Public Health (kampus: Parramattta)</t>
  </si>
  <si>
    <t xml:space="preserve">Master of Nursingg Practice ((Pre Registration) (kampus: Hawkesbury, Parramattta)</t>
  </si>
  <si>
    <t xml:space="preserve">Master oof Clinical Psychology (kampus: Bankstown City, Penrith)</t>
  </si>
  <si>
    <t xml:space="preserve">Master of Urban Management and Planning (kampus: Parramatta City)</t>
  </si>
  <si>
    <t xml:space="preserve">Cert III in Individual Support (Ageing) + Cert IV in Ageing Support + Diploma of Community Service ($3375/term on Dip level)</t>
  </si>
  <si>
    <t xml:space="preserve">William Angliss Institute
11 Bowden St, Alexandria NSW 2015, Australia</t>
  </si>
  <si>
    <t xml:space="preserve">CEK: konfirmasi harga ke sekolah (harga beda dengan sumber resmi); Cara hitung tuition/periode: Hitung: total/tahunan ÷ N; Sumber: https://www.angliss.edu.au/siteassets/pdf-files/fees/international_course_fees_2026_v2.pdf, dicek 29/10/2026; Kode internal: TAFE</t>
  </si>
  <si>
    <t xml:space="preserve">Cert IV in Kitchen Management + Adv Dip Of Hospitality Management</t>
  </si>
  <si>
    <t xml:space="preserve">CEK: Alamat 338 Pitt St terdaftar untuk Le Rosey [berlaku untuk semua program terkait; asal Onshore - Sydney r1237]; Sumber bayar awal: York Student Pre-enrolment Information V7.0 &amp; Student Handbook V13.0 (Jan 2026, york.edu.au/downloads) - "the first term's fee plus all other fees including learning material costs" sebelum eCoE; dicek 30/10/2026; Harga belum dicek ke sumber resmi; Info sekolah: Grup: Wellington</t>
  </si>
  <si>
    <t xml:space="preserve">Cert IV + Dip + Adv Dip of Information Technology (IT) ( $2000/term di Adv Dip)</t>
  </si>
  <si>
    <t xml:space="preserve">CEK: Alamat 338 Pitt St terdaftar untuk Le Rosey [berlaku untuk semua program terkait; asal Onshore - Sydney r1237]; Tuition beda per level, lihat keterangan di kolom Program; Sumber bayar awal: York Student Pre-enrolment Information V7.0 &amp; Student Handbook V13.0 (Jan 2026, york.edu.au/downloads) - "the first term's fee plus all other fees including learning material costs" sebelum eCoE; dicek 30/10/2026; Harga belum dicek ke sumber resmi; Info sekolah: Grup: Wellington</t>
  </si>
  <si>
    <t xml:space="preserve">• Onshore (sejak 2 Okt 2026): sebagian besar pemegang visa sementara, termasuk visa pelajar, harus apply visa 500 dari LUAR Australia. Pengecualian naik level AQF hanya bila kursus utama SUDAH SELESAI (HE -&gt; HE harus ke provider pendidikan tinggi); lodgement onshore tanpa pengecualian = invalid. Rincian &amp; pengecualian lain: Aturan &amp; Tarif baris 48.</t>
  </si>
  <si>
    <t xml:space="preserve">• =+SUM(E716:I716) 1 term tuition applied</t>
  </si>
  <si>
    <t xml:space="preserve">• =+SUM(E719:I719) 1 term tuition applied</t>
  </si>
  <si>
    <t xml:space="preserve">• =+SUM(E731:I731) 1 term tuition applied</t>
  </si>
  <si>
    <t xml:space="preserve">• =+SUM(E734:I734) 1 term tuition applied</t>
  </si>
  <si>
    <t xml:space="preserve">• =+SUM(E737:I737) 1 term tuition applied</t>
  </si>
  <si>
    <t xml:space="preserve">• 2 terms tuition applied</t>
  </si>
  <si>
    <t xml:space="preserve">• 2070.5 =+SUM(E1521:I1521)+E1521 2 terms tuition applied</t>
  </si>
  <si>
    <t xml:space="preserve">• Komisi agen untuk onshore transfer (pindah provider sebelum kursus utama selesai): penentunya TANGGAL DITERIMA (accepted for enrolment) di provider baru. Diterima setelah 31 Mar 2026 = komisi dilarang; diterima &lt;= 31 Mar 2026 = boleh. Tetap boleh: paket yang tercantum di CoE, studi lanjut setelah kursus utama selesai. Rincian: Aturan &amp; Tarif baris 60.</t>
  </si>
  <si>
    <t xml:space="preserve">ONSHORE -  MELBOURNE</t>
  </si>
  <si>
    <t xml:space="preserve">Harga belum dicek ke sumber resmi; Info sekolah: nama college dalam grup Academies Australasia (Institute/Polytechnic/Hair &amp; Beauty) belum dikonfirmasi per program; Asumsi bayar awal 1 semester = 2 term (tuition disimpan per term; dasar: Handbook Higher Education AAPoly v4.3 (Okt 2026): "first semester fees need to be cleared before the commencement") - konfirmasi ke sekolah; diperbaiki 06/11/2026 (audit)</t>
  </si>
  <si>
    <t xml:space="preserve">Asumsi bayar awal 1 term (nilai pricelist lama; Handbook VET ACA hanya menyebut "TOTAL FEES TO BE PAID IN ADVANCE" di offer letter, jumlah term tidak disebut) - konfirmasi ke sekolah; Harga belum dicek ke sumber resmi; Info sekolah: nama college dalam grup Academies Australasia (Institute/Polytechnic/Hair &amp; Beauty) belum dikonfirmasi per program</t>
  </si>
  <si>
    <t xml:space="preserve">CEK: Lebih murah dari harga publik (~2,000/periode): pastikan ini harga agen/promo yang berlaku. Dicocokkan dicek 30/10/2026: selisih 32.5% - situs resmi ACA/AAPoly tanpa diskon persentase (hanya Eagle Award AUD 1.200); tetap perlu dokumen agen/promo bertanggal; Harga agen: dokumen price list agen belum dilampirkan; Asumsi bayar awal 1 term (nilai pricelist lama; Handbook VET ACA hanya menyebut "TOTAL FEES TO BE PAID IN ADVANCE" di offer letter, jumlah term tidak disebut) - konfirmasi ke sekolah; Lebih murah dari harga publik - kemungkinan harga agen/promo (tidak diubah); Sumber: https://academies.edu.au/wp-content/uploads/2025/07/AKG0036-Information-Technology-Course.pdf, dicek 29/10/2026; Info sekolah: nama college dalam grup Academies Australasia (Institute/Polytechnic/Hair &amp; Beauty) belum dikonfirmasi per program</t>
  </si>
  <si>
    <t xml:space="preserve">CEK: Lebih murah dari harga publik (~2,000/periode): pastikan ini harga agen/promo yang berlaku. Dicocokkan dicek 30/10/2026: selisih 32.5% - situs resmi ACA/AAPoly tanpa diskon persentase (hanya Eagle Award AUD 1.200); tetap perlu dokumen agen/promo bertanggal; Harga agen: dokumen price list agen belum dilampirkan; Asumsi bayar awal 1 term (nilai pricelist lama; Handbook VET ACA hanya menyebut "TOTAL FEES TO BE PAID IN ADVANCE" di offer letter, jumlah term tidak disebut) - konfirmasi ke sekolah; Lebih murah dari harga publik - kemungkinan harga agen/promo (tidak diubah); Sumber: https://academies.edu.au/wp-content/uploads/2025/07/AKG0047-Hospitality-Management-Course.pdf, dicek 29/10/2026; Info sekolah: nama college dalam grup Academies Australasia (Institute/Polytechnic/Hair &amp; Beauty) belum dikonfirmasi per program</t>
  </si>
  <si>
    <t xml:space="preserve">CEK: duplikat - program yang sama kini ditawarkan sebagai Greenwich Higher Education (provider sama: Academy of Interactive Technology Pty Ltd), harga 2027 di baris 297; baris AIT ini harga lama - jangan ditawarkan; CEK: enrolment di file 200 &lt; enrolment resmi 2026 AUD 250 (master pricing 2026 &amp; Terms: "$250 enrollment fee applies") - masalah biaya; perbarui setelah keputusan K9.; Material/enrolment belum tercatat (material; dihitung 0 di Estimasi Initial Payment); Asumsi bayar awal 2 term (nilai pricelist lama; kebijakan resmi AIT v2.3: minimal instalment pertama sebelum CoE, besarnya di Letter of Offer) - konfirmasi ke sekolah; Harga sebagian sesuai sumber resmi</t>
  </si>
  <si>
    <t xml:space="preserve">CEK: duplikat - program yang sama kini ditawarkan sebagai Greenwich Higher Education (provider sama: Academy of Interactive Technology Pty Ltd), harga 2027 di baris 296; baris AIT ini harga lama - jangan ditawarkan; Info: AIT tagih per trimester (3/tahun); 5.750 = 23.000/4 (konvensi TEG, hasil hitung); offshore deposit = 3 unit (trimester 1), onshore 1.000; enrolment resmi 2026 = 250 (file 200, lebih rendah - tidak diubah); CEK: enrolment di file 200 &lt; enrolment resmi 2026 AUD 250 (master pricing 2026 &amp; Terms: "$250 enrollment fee applies") - masalah biaya; perbarui setelah keputusan K9.; Asumsi bayar awal 2 term (nilai pricelist lama; kebijakan resmi AIT v2.3: minimal instalment pertama sebelum CoE, besarnya di Letter of Offer) - konfirmasi ke sekolah; Harga sebagian sesuai sumber resmi; Cara hitung tuition/periode: Hitung: total/tahunan ÷ N; Sumber: https://info.ait.edu.au/hubfs/v4-Q1-Greenwich-Higher-Education-Master-Pricing-Document-2026.pdf, dicek 29/10/2026</t>
  </si>
  <si>
    <t xml:space="preserve">CEK: duplikat - program yang sama kini ditawarkan sebagai Greenwich Higher Education (provider sama: Academy of Interactive Technology Pty Ltd), harga 2027 di baris 295; baris AIT ini harga lama - jangan ditawarkan; Info: AIT tagih per trimester (3/tahun); 5.750 = 23.000/4 (konvensi TEG, hasil hitung); offshore deposit = 3 unit (trimester 1), onshore 1.000; enrolment resmi 2026 = 250 (file 200, lebih rendah - tidak diubah); CEK: enrolment di file 200 &lt; enrolment resmi 2026 AUD 250 (master pricing 2026 &amp; Terms: "$250 enrollment fee applies") - masalah biaya; perbarui setelah keputusan K9.; Asumsi bayar awal 2 term (nilai pricelist lama; kebijakan resmi AIT v2.3: minimal instalment pertama sebelum CoE, besarnya di Letter of Offer) - konfirmasi ke sekolah; Harga sebagian sesuai sumber resmi; Cara hitung tuition/periode: Hitung: total/tahunan ÷ N; Sumber: https://info.ait.edu.au/hubfs/v4-Q1-Greenwich-Higher-Education-Master-Pricing-Document-2026.pdf, dicek 29/10/2026</t>
  </si>
  <si>
    <t xml:space="preserve">CEK: Sebagian sesuai sumber resmi: Sumber resmi tidak menyebut jumlah term/tahun, jadi per-term tidak bisa dipastikan. 23,000/8 = 2,875 per subject; 5,750 = 2 subject = 23,000/4. Price list 5,750; CEK: Bachelor/Dip IT (Mobile App Development) berstatus teach-out, tidak menerima aplikasi baru (halaman kursus resmi) - jangan ditawarkan.; CEK: enrolment di file 200 &lt; enrolment resmi 2026 AUD 250 (master pricing 2026 &amp; Terms: "$250 enrollment fee applies") - masalah biaya; perbarui setelah keputusan K9.; Material/enrolment belum tercatat (material; dihitung 0 di Estimasi Initial Payment); Tuition total/tahunan belum terbukti cocok dengan sumber resmi; Asumsi bayar awal 2 term (nilai pricelist lama; kebijakan resmi AIT v2.3: minimal instalment pertama sebelum CoE, besarnya di Letter of Offer) - konfirmasi ke sekolah; Harga sebagian sesuai sumber resmi; Cara hitung tuition/periode: Hitung: total/tahunan ÷ N; Sumber: https://info.ait.edu.au/hubfs/v4-Q1-Greenwich-Higher-Education-Master-Pricing-Document-2026.pdf, dicek 29/10/2026; Bachelor of IT (Mobile App Development) teach-out berbeda dari Bachelor of Information Technology GHE (CRICOS 119223H, baris 294) - jangan digabung</t>
  </si>
  <si>
    <t xml:space="preserve">AIH Higher Education (Australian Institute of Higher Education)
Level 1, 20 Queen Street, Melbourne VIC 3000</t>
  </si>
  <si>
    <t xml:space="preserve">Cert III in Carpentry + Dip. Of Building and Construction (Building)</t>
  </si>
  <si>
    <t xml:space="preserve">Cert III in Wall and Floor Tiling + Dip. Of Building and Construction (Building)</t>
  </si>
  <si>
    <t xml:space="preserve">Cert III in Individual Support + Cert IV Ageing Support</t>
  </si>
  <si>
    <t xml:space="preserve">CEK: Lebih murah dari harga publik (~2,500/periode): pastikan ini harga agen/promo yang berlaku. Dicocokkan dicek 30/10/2026: selisih 50.0% - brosur resmi Allied 06/01/2026 tanpa diskon; tetap perlu dokumen agen/promo bertanggal; Harga agen: dokumen price list agen belum dilampirkan; Lebih murah dari harga publik - kemungkinan harga agen/promo (tidak diubah); Cara hitung tuition/periode: Hitung: total/tahunan ÷ N; Sumber: https://allied.edu.au/courses/certificate-iii-in-individual-support, dicek 29/10/2026</t>
  </si>
  <si>
    <t xml:space="preserve">Cert III in Individual Support + Dip of Community Services ($2169/term in Dip)</t>
  </si>
  <si>
    <t xml:space="preserve">Tuition beda per level, lihat keterangan di kolom Program; CEK: Lebih murah dari harga publik (~2,500/periode): pastikan ini harga agen/promo yang berlaku. Dicocokkan dicek 30/10/2026: selisih 50.0% - brosur resmi Allied 06/01/2026 tanpa diskon; tetap perlu dokumen agen/promo bertanggal; Harga agen: dokumen price list agen belum dilampirkan; Lebih murah dari harga publik - kemungkinan harga agen/promo (tidak diubah); Cara hitung tuition/periode: Hitung: total/tahunan ÷ N; Sumber: https://allied.edu.au/courses/certificate-iii-in-individual-support, dicek 29/10/2026</t>
  </si>
  <si>
    <t xml:space="preserve">Cert IV Ageing Support + Dip of Community Services ($2169/term in Dip)</t>
  </si>
  <si>
    <t xml:space="preserve">Tuition beda per level, lihat keterangan di kolom Program; CEK: Lebih murah dari harga publik (~2,500/periode): pastikan ini harga agen/promo yang berlaku. Dicocokkan dicek 30/10/2026: selisih 15.0% - brosur resmi Allied 06/01/2026 tanpa diskon; tetap perlu dokumen agen/promo bertanggal; Harga agen: dokumen price list agen belum dilampirkan; Lebih murah dari harga publik - kemungkinan harga agen/promo (tidak diubah); Cara hitung tuition/periode: Hitung: total/tahunan ÷ N; Sumber: https://allied.edu.au/courses/certificate-iv-in-ageing-support, dicek 29/10/2026</t>
  </si>
  <si>
    <t xml:space="preserve">Cert III + Dip of Early Childhood Education and Care ($2125/term in Dip)</t>
  </si>
  <si>
    <t xml:space="preserve">Tuition beda per level, lihat keterangan di kolom Program; CEK: Lebih murah dari harga publik (~4,500/periode): pastikan ini harga agen/promo yang berlaku. Dicocokkan dicek 30/10/2026: selisih 55.6% - brosur resmi Allied 06/01/2026 tanpa diskon; tetap perlu dokumen agen/promo bertanggal; Harga agen: dokumen price list agen belum dilampirkan; Lebih murah dari harga publik - kemungkinan harga agen/promo (tidak diubah); Cara hitung tuition/periode: Hitung: total/tahunan ÷ N; Sumber: https://allied.edu.au/courses/chc30125-certificate-iii-in-early-childhood-education-and-care, dicek 29/10/2026</t>
  </si>
  <si>
    <t xml:space="preserve">CEK: Lebih murah dari harga publik (~10,000/periode): pastikan ini harga agen/promo yang berlaku. Dicocokkan dicek 30/10/2026: selisih 65.3% - beasiswa resmi AIA hanya nominal tetap (AUD 1.000-3.000); fee resmi 2026: Bachelor 10.000/semester, MBA 12.000/semester; tetap perlu dokumen agen/promo bertanggal; Material/enrolment belum tercatat (material; dihitung 0 di Estimasi Initial Payment); Harga agen: dokumen price list agen belum dilampirkan; Lebih murah dari harga publik - kemungkinan harga agen/promo (tidak diubah); Cara hitung tuition/periode: Hitung: total/tahunan ÷ N; Sumber: https://analyticsinstitute.edu.au/wp-content/uploads/AIA_International-Student-Fee_2026.pdf, dicek 29/10/2026</t>
  </si>
  <si>
    <t xml:space="preserve">CEK: Lebih murah dari harga publik (~12,000/periode): pastikan ini harga agen/promo yang berlaku. Dicocokkan dicek 30/10/2026: selisih 66.9% - beasiswa resmi AIA hanya nominal tetap (AUD 1.000-3.000); fee resmi 2026: Bachelor 10.000/semester, MBA 12.000/semester; tetap perlu dokumen agen/promo bertanggal; Material/enrolment belum tercatat (material; dihitung 0 di Estimasi Initial Payment); Harga agen: dokumen price list agen belum dilampirkan; Lebih murah dari harga publik - kemungkinan harga agen/promo (tidak diubah); Cara hitung tuition/periode: Hitung: total/tahunan ÷ N; Sumber: https://analyticsinstitute.edu.au/wp-content/uploads/AIA_International-Student-Fee_2026.pdf, dicek 29/10/2026</t>
  </si>
  <si>
    <t xml:space="preserve">Material/enrolment belum tercatat (material; dihitung 0 di Estimasi Initial Payment); Cara hitung tuition/periode: Hitung: total/tahunan ÷ N; Sumber: https://aiat.edu.au/fees-and-payments/, dicek 29/10/2026; PROMO s.d. intake November 2026 (tanggal pasti tidak disebut) - sumber: pesan resmi AIAT (Aulia Arifianto. AIAT Institute Adelaide) di grup WhatsApp AIAT x Talented Education. diterima 04/11/2026; harga onshore MBA AUD 28.000 total ÷ (2 thn x 4 term) = 3.500.00/term; syarat: onshore recruitment hanya bagi yang memenuhi syarat visa (pemegang visa 417/462/485 dibatasi; aturan 2 Okt 2026) - cek kelayakan; Tuition/periode = ekuivalen per term (total ÷ jumlah term), BUKAN jadwal tagihan resmi AIAT; jadwal tagihan, kampus yang berlaku (Adelaide/Melbourne) dan batas pendaftaran belum dikonfirmasi - konfirmasi ke AIAT</t>
  </si>
  <si>
    <t xml:space="preserve">Material/enrolment belum tercatat (material; dihitung 0 di Estimasi Initial Payment); Cara hitung tuition/periode: Hitung: total/tahunan ÷ N; Sumber: https://aiat.edu.au/fees-and-payments/, dicek 29/10/2026; PROMO s.d. intake November 2026 (tanggal pasti tidak disebut) - sumber: pesan resmi AIAT (Aulia Arifianto. AIAT Institute Adelaide) di grup WhatsApp AIAT x Talented Education. diterima 04/11/2026; harga onshore MIT AUD 30.000 total ÷ (2 thn x 4 term) = 3.750.00/term; syarat: onshore recruitment hanya bagi yang memenuhi syarat visa (pemegang visa 417/462/485 dibatasi; aturan 2 Okt 2026) - cek kelayakan; Tuition/periode = ekuivalen per term (total ÷ jumlah term), BUKAN jadwal tagihan resmi AIAT; jadwal tagihan, kampus yang berlaku (Adelaide/Melbourne) dan batas pendaftaran belum dikonfirmasi - konfirmasi ke AIAT</t>
  </si>
  <si>
    <t xml:space="preserve">Material/enrolment belum tercatat (material; dihitung 0 di Estimasi Initial Payment); Cara hitung tuition/periode: Hitung: total/tahunan ÷ N; Sumber: https://aiat.edu.au/fees-and-payments/, dicek 29/10/2026; PROMO s.d. intake November 2026 (tanggal pasti tidak disebut) - sumber: pesan resmi AIAT (Aulia Arifianto. AIAT Institute Adelaide) di grup WhatsApp AIAT x Talented Education. diterima 04/11/2026; harga onshore BIT AUD 36.000 total ÷ (3 thn x 4 term) = 3.000.00/term; syarat: onshore recruitment hanya bagi yang memenuhi syarat visa (pemegang visa 417/462/485 dibatasi; aturan 2 Okt 2026) - cek kelayakan; Tuition/periode = ekuivalen per term (total ÷ jumlah term), BUKAN jadwal tagihan resmi AIAT; jadwal tagihan, kampus yang berlaku (Adelaide/Melbourne) dan batas pendaftaran belum dikonfirmasi - konfirmasi ke AIAT</t>
  </si>
  <si>
    <t xml:space="preserve">Australian Institute of Advanced Technologies (AIAT)
Level 7, 341 Queen Street, Melbourne VIC 3000</t>
  </si>
  <si>
    <t xml:space="preserve">Material/enrolment belum tercatat (material; dihitung 0 di Estimasi Initial Payment); Sumber: https://aiat.edu.au/fees-and-payments/, dicek 29/10/2026; PROMO s.d. intake November 2026 (tanggal pasti tidak disebut) - sumber: pesan resmi AIAT (Aulia Arifianto. AIAT Institute Adelaide) di grup WhatsApp AIAT x Talented Education. diterima 04/11/2026; harga onshore MBA AUD 28.000 total ÷ (2 thn x 4 term) = 3.500.00/term; syarat: onshore recruitment hanya bagi yang memenuhi syarat visa (pemegang visa 417/462/485 dibatasi; aturan 2 Okt 2026) - cek kelayakan; Tuition/periode = ekuivalen per term (total ÷ jumlah term), BUKAN jadwal tagihan resmi AIAT; jadwal tagihan, kampus yang berlaku (Adelaide/Melbourne) dan batas pendaftaran belum dikonfirmasi - konfirmasi ke AIAT</t>
  </si>
  <si>
    <t xml:space="preserve">Material/enrolment belum tercatat (material; dihitung 0 di Estimasi Initial Payment); Harga sesuai sumber resmi; Cara hitung tuition/periode: Hitung: total/tahunan ÷ N; Sumber: https://aiat.edu.au/fees-and-payments/, dicek 29/10/2026</t>
  </si>
  <si>
    <t xml:space="preserve">Material/enrolment belum tercatat (material; dihitung 0 di Estimasi Initial Payment); Sumber: https://aiat.edu.au/fees-and-payments/, dicek 29/10/2026; PROMO s.d. intake November 2026 (tanggal pasti tidak disebut) - sumber: pesan resmi AIAT (Aulia Arifianto. AIAT Institute Adelaide) di grup WhatsApp AIAT x Talented Education. diterima 04/11/2026; harga onshore MIT AUD 30.000 total ÷ (2 thn x 4 term) = 3.750.00/term; syarat: onshore recruitment hanya bagi yang memenuhi syarat visa (pemegang visa 417/462/485 dibatasi; aturan 2 Okt 2026) - cek kelayakan; Tuition/periode = ekuivalen per term (total ÷ jumlah term), BUKAN jadwal tagihan resmi AIAT; jadwal tagihan, kampus yang berlaku (Adelaide/Melbourne) dan batas pendaftaran belum dikonfirmasi - konfirmasi ke AIAT</t>
  </si>
  <si>
    <t xml:space="preserve">Material/enrolment belum tercatat (material; dihitung 0 di Estimasi Initial Payment); Sumber: https://aiat.edu.au/fees-and-payments/, dicek 29/10/2026; PROMO s.d. intake November 2026 (tanggal pasti tidak disebut) - sumber: pesan resmi AIAT (Aulia Arifianto. AIAT Institute Adelaide) di grup WhatsApp AIAT x Talented Education. diterima 04/11/2026; harga onshore BIT AUD 36.000 total ÷ (3 thn x 4 term) = 3.000.00/term; syarat: onshore recruitment hanya bagi yang memenuhi syarat visa (pemegang visa 417/462/485 dibatasi; aturan 2 Okt 2026) - cek kelayakan; Tuition/periode = ekuivalen per term (total ÷ jumlah term), BUKAN jadwal tagihan resmi AIAT; jadwal tagihan, kampus yang berlaku (Adelaide/Melbourne) dan batas pendaftaran belum dikonfirmasi - konfirmasi ke AIAT</t>
  </si>
  <si>
    <t xml:space="preserve">Australian Institute of Digital Technology (AIDT)
Level 1, 377 Lonsdale St, Melbourne, VIC 3000</t>
  </si>
  <si>
    <t xml:space="preserve">Adv Dip of IT (Cyber Security)</t>
  </si>
  <si>
    <t xml:space="preserve">Dip + Adv Dip of IT (Cyber Security)</t>
  </si>
  <si>
    <t xml:space="preserve">Cert III in Cabinet Making &amp; Timber Technology</t>
  </si>
  <si>
    <t xml:space="preserve">Cert III + Dip in Early Childhood Education and Care ($2500/term on Dip)</t>
  </si>
  <si>
    <t xml:space="preserve">Cert IIII in Commercial Cookery + Cert IV in Kitchen Management + Dip of Hospitality Management ($2000/term on Dip + Adv)</t>
  </si>
  <si>
    <t xml:space="preserve">Cert IV in Marketing + Dip of AI ($1500/term in Dip)</t>
  </si>
  <si>
    <t xml:space="preserve">Tuition beda per level, lihat keterangan di kolom Program; CEK: Lebih murah dari harga publik (~4,000/periode): pastikan ini harga agen/promo yang berlaku. Dicocokkan dicek 30/10/2026: selisih 57.5% - situs resmi ACA/AAPoly tanpa diskon persentase (hanya Eagle Award AUD 1.200); tetap perlu dokumen agen/promo bertanggal; Harga agen: dokumen price list agen belum dilampirkan; Lebih murah dari harga publik - kemungkinan harga agen/promo (tidak diubah); Cara hitung tuition/periode: Hitung: total/tahunan ÷ N; Sumber: https://search.studyaustralia.gov.au/provider/collins-academy/701967dbd53b3cebffa7c2c88abd29a3/courses, dicek 29/10/2026</t>
  </si>
  <si>
    <t xml:space="preserve">Cert IV in Entrepreneurship and New Business + Dip of AI ($1500/term in Dip)</t>
  </si>
  <si>
    <t xml:space="preserve">Adv Dip of Information Technology (IT) (Telecomunication Network Engineering)</t>
  </si>
  <si>
    <t xml:space="preserve">CEK: Lebih murah dari harga publik (~2,750/periode): pastikan ini harga agen/promo yang berlaku. Dicocokkan dicek 30/10/2026: selisih 22.7% - course guide resmi (fee per 01/01/2024) tanpa diskon; cek basis harga (tuition vs termasuk non-tuition); tetap perlu dokumen agen/promo bertanggal; Harga agen: dokumen price list agen belum dilampirkan; Lebih murah dari harga publik - kemungkinan harga agen/promo (tidak diubah); Cara hitung tuition/periode: Hitung: total/tahunan ÷ N; Sumber: https://www.collins.vic.edu.au/courses/ict60220-advanced-diploma-of-information-technology-telecommunication-network-engineering, dicek 29/10/2026</t>
  </si>
  <si>
    <t xml:space="preserve">CEK: konfirmasi harga ke sekolah (harga beda dengan sumber resmi); [MATERIAL] kursus pertama saja (Cert IV 1.000, sumber BSB40520); sisa: Dip L&amp;M 1.000 (BSB50420) + Adv Dip L&amp;M 1.750 (BSB60420); halaman: "fees include all material costs" = total per kursus sudah memuat material yang dirinci; tahun tidak tercetak; Cara hitung tuition/periode: Hitung: total/tahunan ÷ N; Sumber: Material kursus pertama (Cert IV, G=1.000): https://www.collins.vic.edu.au/courses/bsb40520-certificate-iv-in-leadership-and-management ; Dip: https://www.collins.vic.edu.au/courses/bsb50420-diploma-of-leadership-and-man, dicek 29/10/2026</t>
  </si>
  <si>
    <t xml:space="preserve">Cert IV + Dip of Leadership Management ($1450/term in Dip)</t>
  </si>
  <si>
    <t xml:space="preserve">Cert IV + Dip + Adv Dip of Leadership Management ($1450/term in Dip, $1467/term in Adv Dip)</t>
  </si>
  <si>
    <t xml:space="preserve">Dip + Adv Dip of Business ($1467/term in Adv Dip)</t>
  </si>
  <si>
    <t xml:space="preserve">ECA College
Level 2, 655 Collins St, Docklands, VIC 3008</t>
  </si>
  <si>
    <t xml:space="preserve">Material 0 terverifikasi = Tidak ditagih (sumber cocok) | flyer GDE: MATERIAL FEES $0 | program: GDE (MEM80112) | intake 2026 | siswa internasional; Harga sesuai sumber resmi; Cara hitung tuition/periode: Hitung: total/tahunan ÷ N; Sumber: https://eca.edu.au/wp-content/uploads/2024/07/GDE-MPMB-Flyer-2.pdf, dicek 29/10/2026; Kode internal: AIG (ACHIEVA)</t>
  </si>
  <si>
    <t xml:space="preserve">Dip Of E-Commerce + Adv Dip of Information Technology (IT) ($1330/term untuk 11 term terakhir)</t>
  </si>
  <si>
    <t xml:space="preserve">Graduate Certificate in Research Methods (Per Trimester or 4 months)</t>
  </si>
  <si>
    <t xml:space="preserve">Master of Research (Per Trimester or 4 months)</t>
  </si>
  <si>
    <t xml:space="preserve">Master of eLearning (Per Trimester or 4 months)</t>
  </si>
  <si>
    <t xml:space="preserve">CEK: Alamat 341-345 Queen St tidak cocok dengan INUS (85 Queen St) maupun ZOI - konfirmasi penyelenggara [berlaku untuk semua program terkait; asal Onshore- Melbourne r301]; Harga belum dicek ke sumber resmi</t>
  </si>
  <si>
    <t xml:space="preserve">Kaplan Business School
evel 4, 370 Docklands Drive Docklands VIC 3008</t>
  </si>
  <si>
    <t xml:space="preserve">Le Cordon Bleu Australia
488 South Road, Moorabbin VIC 3189---------------------Corner of Batesford and Warrigal Roads, Chadstone VIC 3148</t>
  </si>
  <si>
    <t xml:space="preserve">Cert III in Commercial Cookery + Cert IV in Kitchen Management ($1575/term in Cert IV)</t>
  </si>
  <si>
    <t xml:space="preserve">Cert III in Commercial Cookery + Cert IV in Kitchen Management + Dip of Hospitality Management ($1575/term in Cert IV &amp; $1625/term in Dip)</t>
  </si>
  <si>
    <t xml:space="preserve">Cert III in Commercial Cookery + Cert IV in Kitchen Management + Dip + Adv Dip of Hospitality Management ($1575/term in Cert IV &amp; $1625/term in Dip and Adv Dip)</t>
  </si>
  <si>
    <t xml:space="preserve">Matic International College
Level 1, 620 Bourke Street, Melbourne CBD, Victoria, VIC Australia, 3000</t>
  </si>
  <si>
    <t xml:space="preserve">Cert IV in Engineering (Welding)</t>
  </si>
  <si>
    <t xml:space="preserve">Dip Of Leadership &amp; Management + Graduate Diploma Of Management (Learning)</t>
  </si>
  <si>
    <t xml:space="preserve">Dokumen Onshore-2026-Menzies-Institute-of-Technology-Price-List-180326.pdf (MIT Onshore Pricelist v2.3 Mar 2026) hal. 1: Diploma of Nursing HLT54121, 78 mgg: tuition $26.500 + material $8.250 + enrolment $250 = $35.000 = CoE $5.000 (T $4.750, EF $250) + 8 x $3.750 tiap 2 bulan - jadwal KONSISTEN (koreksi catatan sebelumnya). CEK: tagihan berupa cicilan bulanan/2-bulanan, bukan per term - tuition/term di file bukan tarif resmi; cocokkan kode kursus &amp; intake sebelum membuka blokir; Initial payment CoE menurut dokumen: AUD 5.000 (Tertulis "1 for COE: $5.000" - Onshore-2026-Menzies-Institute-of-Technology-Price-List-180326.pdf (MIT Onshore Pricelist) - belum ditinjau; jumlah pasti ikuti offer letter; Tuition total/tahunan belum terbukti cocok dengan sumber resmi; Harga sebagian sesuai sumber resmi; Cara hitung tuition/periode: Hitung: total/tahunan ÷ N; Sumber: https://menzies.vic.edu.au/wp-content/uploads/2026/03/Onshore-2026-Menzies-Institute-of-Technology-Price-List-180326.pdf, dicek 29/10/2026</t>
  </si>
  <si>
    <t xml:space="preserve">Cert IV of Ageing Support + Dip OF Community Services ($3000/term untuk 9 term terakhir)</t>
  </si>
  <si>
    <t xml:space="preserve">CEK: konfirmasi harga ke sekolah (harga beda dengan sumber resmi); Tuition beda per level, lihat keterangan di kolom Program; Dokumen Onshore-2026-Menzies-Institute-of-Technology-Price-List-180326.pdf (MIT Onshore Pricelist v2.3 Mar 2026) hal. 1: Paket per kursus: Cert IV Ageing CHC43015 36 mgg ($5.250 + $1.000 + $250 = $6.500 = CoE $1.250 + 5 x $1.050/bln); Dip Community CHC52025 78 mgg ($15.000 + $1.500 + $250 = $16.750 = CoE $2.750 + 14 x $1.000/bln) - jadwal per kursus KONSISTEN (koreksi catatan sebelumnya). CEK: harga &amp; deposit PAKET tidak tertulis di dokumen (hanya per kursus); durasi paket jangan dijumlahkan otomatis - minta offer letter paket; Sumber: https://menzies.vic.edu.au/wp-content/uploads/2026/03/Onshore-2026-Menzies-Institute-of-Technology-Price-List-180326.pdf, dicek 29/10/2026</t>
  </si>
  <si>
    <t xml:space="preserve">Cert III in dental Assisting + Dip Of Dental Technology ($3000/term untuk 9 term terakhir)</t>
  </si>
  <si>
    <t xml:space="preserve">Tuition beda per level, lihat keterangan di kolom Program; CEK: Tuition 48,000 per term tidak wajar - kemungkinan salah input (total kursus?). Cek ke Menzies.; Harga belum dicek ke sumber resmi</t>
  </si>
  <si>
    <t xml:space="preserve">95 weeks</t>
  </si>
  <si>
    <t xml:space="preserve">Dokumen Onshore-2026-Menzies-Institute-of-Technology-Price-List-180326.pdf (MIT Onshore Pricelist v2.3 Mar 2026) hal. 1: Diploma of Dental Technology HLT55118, 95 mgg: tuition $25.000 + material $2.750 + enrolment $250 = $28.000 = CoE $1.250 (T $1.000, EF $250) + $2.750 setelah 1 bln + 10 x $2.400 tiap 2 bulan - jadwal KONSISTEN (koreksi catatan sebelumnya). CEK: tagihan berupa cicilan bulanan/2-bulanan, bukan per term - tuition/term di file bukan tarif resmi; cocokkan kode kursus &amp; intake sebelum membuka blokir; Initial payment CoE menurut dokumen: AUD 1.250 (Tertulis "1 for COE: $1.250" - Onshore-2026-Menzies-Institute-of-Technology-Price-List-180326.pdf (MIT Onshore Pricelist) - belum ditinjau; jumlah pasti ikuti offer letter; Tuition total/tahunan belum terbukti cocok dengan sumber resmi; Harga sebagian sesuai sumber resmi; Cara hitung tuition/periode: Hitung: total/tahunan ÷ N; Sumber: https://menzies.vic.edu.au/wp-content/uploads/2026/03/Onshore-2026-Menzies-Institute-of-Technology-Price-List-180326.pdf, dicek 29/10/2026</t>
  </si>
  <si>
    <t xml:space="preserve">56 weeks</t>
  </si>
  <si>
    <t xml:space="preserve">Dokumen Onshore-2026-Menzies-Institute-of-Technology-Price-List-180326.pdf (MIT Onshore Pricelist v2.3 Mar 2026) hal. 1: Cert III Light Vehicle AUR30620 (Package 1), 56 mgg: tuition $8.900 + material $1.000 + enrolment $250 = $10.150 = CoE $1.250 (T $1.000, EF $250) + $1.000 setelah 1 bln + 8 x $987,50/bln - jadwal KONSISTEN (koreksi catatan sebelumnya). CEK: tagihan berupa cicilan bulanan/2-bulanan, bukan per term - tuition/term di file bukan tarif resmi; cocokkan kode kursus &amp; intake sebelum membuka blokir; Initial payment CoE menurut dokumen: AUD 1.250 (Tertulis "1 for COE: $1.250" - Onshore-2026-Menzies-Institute-of-Technology-Price-List-180326.pdf (MIT Onshore Pricelist) - belum ditinjau; jumlah pasti ikuti offer letter; Tuition total/tahunan belum terbukti cocok dengan sumber resmi; Harga sebagian sesuai sumber resmi; Cara hitung tuition/periode: Hitung: total/tahunan ÷ N; Sumber: https://menzies.vic.edu.au/wp-content/uploads/2026/03/Onshore-2026-Menzies-Institute-of-Technology-Price-List-180326.pdf, dicek 29/10/2026</t>
  </si>
  <si>
    <t xml:space="preserve">CEK: konfirmasi harga ke sekolah (harga beda dengan sumber resmi); Dokumen Onshore-2026-Menzies-Institute-of-Technology-Price-List-180326.pdf (MIT Onshore Pricelist v2.3 Mar 2026) hal. 1: Paket per kursus: Cert III LV AUR30620 56 mgg ($10.150 = CoE $1.250 + $1.000 + 8 x $987,50); Cert IV AMD AUR40216 24 mgg ($4.500 + $750 = $5.250 = $1.750 saat mulai + 4 x $875) - jadwal per kursus KONSISTEN (koreksi catatan sebelumnya). CEK: harga &amp; deposit PAKET tidak tertulis di dokumen (hanya per kursus); durasi paket jangan dijumlahkan otomatis - minta offer letter paket; Sumber: https://menzies.vic.edu.au/wp-content/uploads/2026/03/Onshore-2026-Menzies-Institute-of-Technology-Price-List-180326.pdf, dicek 29/10/2026</t>
  </si>
  <si>
    <t xml:space="preserve">CEK: konfirmasi harga ke sekolah (harga beda dengan sumber resmi); Tuition beda per level, lihat keterangan di kolom Program; Dokumen Onshore-2026-Menzies-Institute-of-Technology-Price-List-180326.pdf (MIT Onshore Pricelist v2.3 Mar 2026) hal. 1: Paket per kursus: Cert III LV ($10.150 = CoE $1.250 + $1.000 + 8 x $987,50); Cert IV AMD ($5.250 = $1.750 + 4 x $875); Dip Automotive AUR50216 24 mgg ($4.500 + $650 = $5.150 = $1.650 + 4 x $875) - jadwal per kursus KONSISTEN (koreksi catatan sebelumnya). CEK: harga &amp; deposit PAKET tidak tertulis di dokumen (hanya per kursus); durasi paket jangan dijumlahkan otomatis - minta offer letter paket; Cara hitung tuition/periode: Resmi per periode; Sumber: https://menzies.vic.edu.au/wp-content/uploads/2026/03/Onshore-2026-Menzies-Institute-of-Technology-Price-List-180326.pdf, dicek 29/10/2026</t>
  </si>
  <si>
    <t xml:space="preserve">Master of Information Technology (IT) (S2) + Graduate Diploma of IT</t>
  </si>
  <si>
    <t xml:space="preserve">Cert III in Carpentry + Cert IV in Building and Construction ($2416/term in Cert IV)</t>
  </si>
  <si>
    <t xml:space="preserve">Cert III in Solid Plastering + Cert IV in Building and Construction ($2416/term in Cert IV)</t>
  </si>
  <si>
    <t xml:space="preserve">Cert III in Wal and Ceiling + Cert IV in Building and Construction ($2416/term in Cert IV)</t>
  </si>
  <si>
    <t xml:space="preserve">Cert IV + Dip of Building and Construction ($2750/term in Dip)</t>
  </si>
  <si>
    <t xml:space="preserve">Cert III in Baking + Dip of Hospitality Management ($1825/term in Dip)</t>
  </si>
  <si>
    <t xml:space="preserve">Cert III in Commercial Cookery + Cert IV in Kitchen Management ($2125/term in Cert IV)</t>
  </si>
  <si>
    <t xml:space="preserve">Cert III in Patisserie + Cert IV in Kitchen Management ($1775/term in Cert IV)</t>
  </si>
  <si>
    <t xml:space="preserve">Cert III in Commercial Cookery + Cert IV in Kitchen Management + Dip + Adv Dip of Hospitality Management ($2125/term in Cert IV &amp; $1825/term in Dip &amp; $1600 in Adv Dip)</t>
  </si>
  <si>
    <t xml:space="preserve">Dip + Adv Dip of Leadership and Management ($2100/term in Adv Dip)</t>
  </si>
  <si>
    <t xml:space="preserve">Tuition beda per level, lihat keterangan di kolom Program; CEK: Lebih murah dari harga publik (~2,917/periode): pastikan ini harga agen/promo yang berlaku. Dicocokkan dicek 30/10/2026: selisih 42.9% - Paragon punya "Promotional Pricelist" yang hanya diberikan atas permintaan - perlu salinan bertanggal; tetap perlu dokumen agen/promo bertanggal; Harga agen: dokumen price list agen belum dilampirkan; Lebih murah dari harga publik - kemungkinan harga agen/promo (tidak diubah); Cara hitung tuition/periode: Hitung: total/tahunan ÷ N; Sumber: https://paragon.edu.au/courses/certificate-iii-in-light-vehicle-mechanical, dicek 29/10/2026</t>
  </si>
  <si>
    <t xml:space="preserve">Cert III in Light Vehicle Mechanical Technology + Cert IV in Automotive Mechanical Diagnosis + Dip of Automotive Management ($2500/term in Cert IV and $1500/term in Dip)</t>
  </si>
  <si>
    <t xml:space="preserve">Cert III in Light Vehicle Mechanical Technology + Cert IV in Automotive Mechanical Diagnosis + Dip of Automotive Technology ($2500/term in Cert IV)</t>
  </si>
  <si>
    <t xml:space="preserve">Cert III + Cert IV in Automotive Electrical Technology + Dip of Automotive Management ($2500/term in Cert IV and $1500/term in Dip)</t>
  </si>
  <si>
    <t xml:space="preserve">Dip + Adv Diploma of Leadership and Management ($1750/term on Adv level) (PROMO Jul-Sep)</t>
  </si>
  <si>
    <t xml:space="preserve">CEK: promo berakhir (30/09/2026); Harga standar resmi (course outline resmi SHIC 2026 (shic.vic.edu.au/courses), dicek 07/11/2026): Dip L&amp;M BSB50420 tuition 11.200 (52 mgg) + Adv Dip L&amp;M BSB60420 tuition 15.000 (78 mgg) = 26.200 total tuition; tanpa material fee (materi termasuk tuition); enrolment deposit 500 (Painting: 300; Dip L&amp;M + admission fee 500); per term &amp; jadwal bayar tidak disebut (mengikuti written agreement) - harga promo agen di file tidak diganti karena cara hitung beda &amp; selisih bisa &gt;30%; minta pricelist/promo agen terbaru (Q4 2026/2027) ke SHIC; Tuition beda per level, lihat keterangan di kolom Program; Material/enrolment belum tercatat (material; dihitung 0 di Estimasi Initial Payment); PROMO s.d. 30/09/2026 (tahun diasumsikan 2026) - sumber: pricelist TEG; Harga belum dicek ke sumber resmi</t>
  </si>
  <si>
    <t xml:space="preserve">Cert IV in Business + Dip + Adv Diploma of Leadership and Management ($1625/term on Dip and $1750/term on Adv level) (PROMO Jul-Sep)</t>
  </si>
  <si>
    <t xml:space="preserve">CEK: promo berakhir (30/09/2026); Harga standar resmi (course outline resmi SHIC 2026 (shic.vic.edu.au/courses), dicek 07/11/2026): Cert IV Business BSB40120 5.200 (28 mgg) + Dip L&amp;M 11.200 (52 mgg) + Adv Dip L&amp;M 15.000 (78 mgg) = 31.400 total tuition; tanpa material fee (materi termasuk tuition); enrolment deposit 500 (Painting: 300; Dip L&amp;M + admission fee 500); per term &amp; jadwal bayar tidak disebut (mengikuti written agreement) - harga promo agen di file tidak diganti karena cara hitung beda &amp; selisih bisa &gt;30%; minta pricelist/promo agen terbaru (Q4 2026/2027) ke SHIC; Tuition beda per level, lihat keterangan di kolom Program; Material/enrolment belum tercatat (material; dihitung 0 di Estimasi Initial Payment); PROMO s.d. 30/09/2026 (tahun diasumsikan 2026) - sumber: pricelist TEG; Harga belum dicek ke sumber resmi</t>
  </si>
  <si>
    <t xml:space="preserve">Graduate Certificate in Profesional Accounting</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</si>
  <si>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107018A: 4.688/subject, tahunan 37.500, total 37.500 (8 subject, 1 thn) - Torrens 2026 International Student Fee Schedule (Sept26 V24, terbit Okt 2026) hal. 4, dicek 30/10/2026; tuition/periode = tahunan ÷ 4 (konvensi TEG); Torrens menagih per trimester sesuai jumlah subject yang diambil, jadi tagihan per trimester bisa berbeda - jumlah pasti ikuti offer letter; Tuition total/tahunan belum terbukti cocok dengan sumber resmi; Periode Bayar diisi Term (tuition tersimpan per term) - konfirmasi ke sekolah; Asumsi bayar awal 1 term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</si>
  <si>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Graduate Diploma of Cyber Security</t>
  </si>
  <si>
    <t xml:space="preserve">halaman kursus) sedangkan file memakai Term ÷4 x 2 di awal; deposit CoE standar tidak dipublikasikan. Hitung ulang dari 2026 International Fee Schedule (PDF resmi, belum terbaca) / offer letter. Aplikasi langsung: application fee $0 (agen belum jelas).; Material/enrolment belum tercatat (material+enrolment; dihitung 0 di Estimasi Initial Payment); Tuition cocok dengan fee resmi 084579F: 3.666/subject, tahunan 29.330, total 87.990 (24 subject, 3 thn) - Torrens 2026 International Student Fee Schedule (Sept26 V24, terbit Okt 2026) hal. 11, dicek 30/10/2026; tuition/periode = tahunan ÷ 4 (konvensi TEG); Torrens menagih per trimester sesuai jumlah subject yang diambil, jadi tagihan per trimester bisa berbeda - jumlah pasti ikuti offer letter; Tuition total/tahunan belum terbukti cocok dengan sumber resmi; Asumsi bayar awal 2 term (nilai pricelist lama; Torrens menagih per trimester sesuai subject; Fee Schedule 2026 V24 tidak menyebut jumlah bayar sebelum CoE) - konfirmasi ke sekolah; Harga sebagian sesuai sumber resmi; Cara hitung tuition/periode: Hitung: total/tahunan ÷ N; Sumber: https://cdn.intelligencebank.com/au/share/RyzZ/D1G8V/jlMdo/original/2026-International-Fee-Schedule (ditautkan dari torrens.edu.au/how-to-apply/fees-scholarships/tuition-fees; PDF tidak dapat dibuka otomatis), dicek 29/10/2026</t>
  </si>
  <si>
    <t xml:space="preserve">[MATERIAL] kursus pertama saja; sisa: Adv Dip L&amp;M 300 / Grad Dip Mgmt (Learning) 250 (price list 2026/2027); Harga belum dicek ke sumber resmi</t>
  </si>
  <si>
    <t xml:space="preserve">Dip + Graduate Dip of Leadership &amp; Management</t>
  </si>
  <si>
    <t xml:space="preserve">CEK: konfirmasi harga ke sekolah (harga beda dengan sumber resmi); Belum Termasuk Bea Siswa: 20%/30%/50%; Start from 2nd payment $350; CEK: kampus baris ini (Melbourne) belum terbukti untuk siswa internasional UTAS Bachelor of Nursing (halaman kursus: Cradle Coast, Hobart, Launceston, Sydney; Melbourne tidak ada). Nilai 10.737,5 x4 = fee 2027 42.950 (halaman tanpa fee per kampus). Konfirmasi kampus &amp; CRICOS lokasi.; Material/enrolment belum tercatat (material+enrolment; dihitung 0 di Estimasi Initial Payment); Cara hitung tuition/periode: Hitung: total/tahunan ÷ N; Sumber: https://www.utas.edu.au/courses/health/courses/h3o-bachelor-of-nursing?year=2027 (fee 2027, dicek 29 Okt 2026), dicek 29/10/2026</t>
  </si>
  <si>
    <t xml:space="preserve">Cert IV + Dip + Adv. Dip. Of Leadership &amp; Management</t>
  </si>
  <si>
    <t xml:space="preserve">ONSHORE - ADELAIDE</t>
  </si>
  <si>
    <t xml:space="preserve">Master of Information Technology (Applied Artificial Intelligence)</t>
  </si>
  <si>
    <t xml:space="preserve">Master of Information Technology (Computing and Innovation)</t>
  </si>
  <si>
    <t xml:space="preserve">Master of Information Technology (Enterprise Management)</t>
  </si>
  <si>
    <t xml:space="preserve">Material/enrolment belum tercatat (material; dihitung 0 di Estimasi Initial Payment); Harga belum dicek ke sumber resmi; Kode internal: AIG (ACHIEVA)</t>
  </si>
  <si>
    <t xml:space="preserve">Cert III in Individual Support (Disability Stream) + Dip of Community ($2500/term on Dip level)</t>
  </si>
  <si>
    <t xml:space="preserve">CEK: status provider - Concord Institute tidak ditemukan di register Study Australia (dicek 30/10/2026); Tuition beda per level, lihat keterangan di kolom Program; Harga belum dicek ke sumber resmi; Kode internal: AIG (ACHIEVA)</t>
  </si>
  <si>
    <t xml:space="preserve">Cert III in Individual Support (Ageing Stream) + Dip of Community ($2500/term on Dip level)</t>
  </si>
  <si>
    <t xml:space="preserve">Cert III in Individual Support (Disability &amp; Ageing Stream) + Dip of Community ($2500/term on Dip level)</t>
  </si>
  <si>
    <t xml:space="preserve">CEK: status provider - Concord Institute tidak ditemukan di register Study Australia (dicek 30/10/2026); Harga belum dicek ke sumber resmi; Kode internal: AIG (ACHIEVA)</t>
  </si>
  <si>
    <t xml:space="preserve">Adv Dip of Information Technology (IT) ($1330/term untuk 11 term terakhir)</t>
  </si>
  <si>
    <t xml:space="preserve">Cert III in Individual Suupport (Ageing &amp; Disability) + Cert IV in Ageing Support</t>
  </si>
  <si>
    <t xml:space="preserve">Dip + Adv Dip of Civil Construction Design ($21750 in the last 2 term) + Adv MF $650</t>
  </si>
  <si>
    <t xml:space="preserve">Tuition beda per level, lihat keterangan di kolom Program; Harga sesuai sumber resmi; Sumber: https://kcbt.edu.au/wp-content/uploads/2026/08/FEES-INTAKES_ONSHORE_2026_v-24.08.2026.pdf, dicek 29/10/2026</t>
  </si>
  <si>
    <t xml:space="preserve">Dip Of Community Service</t>
  </si>
  <si>
    <t xml:space="preserve">Material/enrolment belum tercatat (material+enrolment; dihitung 0 di Estimasi Initial Payment); Harga belum dicek ke sumber resmi; Kode internal: YY</t>
  </si>
  <si>
    <t xml:space="preserve">• 3 years 11275 150 2150 2070.5 =+SUM(E441:I441)+E441 2 terms tuition applied</t>
  </si>
  <si>
    <t xml:space="preserve">ONSHORE - BRISBANE</t>
  </si>
  <si>
    <t xml:space="preserve">Australian Skills Management Institute (ASMI)
Level 8, 269 Wickham Street</t>
  </si>
  <si>
    <t xml:space="preserve">Cert IV + Dip of Travel &amp; Toursim Management</t>
  </si>
  <si>
    <t xml:space="preserve">Cert III in Individual Support (Aged Care &amp; Disability) + Dip of Ccommunity Services (Case Management)</t>
  </si>
  <si>
    <t xml:space="preserve">Adv Dip of Information Technology (IT) (Cyber Security &amp; Telecommunication Network Engineering)</t>
  </si>
  <si>
    <t xml:space="preserve">CEK: konfirmasi harga ke sekolah (harga beda dengan sumber resmi); [KANDIDAT DUPLIKAT] input B–I identik dengan baris 221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Program juga tidak tercantum di price list Q4 (Cert IV Business/L&amp;M) sehingga kode &amp; susunan paket tidak dapat dibuktikan. Kurang: konfirmasi TEG apakah blok kedua = Greenwich Gold Coast (alamat GC belum tercatat di file) + offer letter/kampus.; CEK: tidak ada di price list Greenwich Q4 2026 (Cert IV Business tidak tercantum) - jangan ditawarkan sebelum dikonfirmasi sekolah; Sumber: Pricelist Greenwich_VET_Q4_Master_Pricing_Document_Oct26v3.pdf hal. 4/10/14 (VET Pricing Q4 2026 v9, "Correct as of 30.09.26", aplikasi diterima s.d. 31.12.2026, "intakes starting in 2026 onwards"), dicek 29/10/2026</t>
  </si>
  <si>
    <t xml:space="preserve">CEK: konfirmasi harga ke sekolah (harga beda dengan sumber resmi); [KANDIDAT DUPLIKAT] input B–I identik dengan baris 222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Program juga tidak tercantum di price list Q4 (Cert IV Business/L&amp;M) sehingga kode &amp; susunan paket tidak dapat dibuktikan. Kurang: konfirmasi TEG apakah blok kedua = Greenwich Gold Coast (alamat GC belum tercatat di file) + offer letter/kampus.; Tuition beda per level, lihat keterangan di kolom Program; CEK: tidak ada di price list Greenwich Q4 2026 (Cert IV Business tidak tercantum) - jangan ditawarkan sebelum dikonfirmasi sekolah; Sumber: Pricelist Greenwich_VET_Q4_Master_Pricing_Document_Oct26v3.pdf hal. 4/10/14 (VET Pricing Q4 2026 v9, "Correct as of 30.09.26", aplikasi diterima s.d. 31.12.2026, "intakes starting in 2026 onwards"), dicek 29/10/2026</t>
  </si>
  <si>
    <t xml:space="preserve">CEK: konfirmasi harga ke sekolah (harga beda dengan sumber resmi); [KANDIDAT DUPLIKAT] input B–I identik dengan baris 223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Program juga tidak tercantum di price list Q4 (Cert IV Business/L&amp;M) sehingga kode &amp; susunan paket tidak dapat dibuktikan. Kurang: konfirmasi TEG apakah blok kedua = Greenwich Gold Coast (alamat GC belum tercatat di file) + offer letter/kampus.; CEK: tidak ada di price list Greenwich Q4 2026 (Cert IV Leadership &amp; Management tidak tercantum) - jangan ditawarkan sebelum dikonfirmasi sekolah; Sumber: Pricelist Greenwich_VET_Q4_Master_Pricing_Document_Oct26v3.pdf hal. 4/10/14 (VET Pricing Q4 2026 v9, "Correct as of 30.09.26", aplikasi diterima s.d. 31.12.2026, "intakes starting in 2026 onwards"), dicek 29/10/2026</t>
  </si>
  <si>
    <t xml:space="preserve">CEK: konfirmasi harga ke sekolah (harga beda dengan sumber resmi); [KANDIDAT DUPLIKAT] input B–I identik dengan baris 224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Program juga tidak tercantum di price list Q4 (Cert IV Business/L&amp;M) sehingga kode &amp; susunan paket tidak dapat dibuktikan. Kurang: konfirmasi TEG apakah blok kedua = Greenwich Gold Coast (alamat GC belum tercatat di file) + offer letter/kampus.; Tuition beda per level, lihat keterangan di kolom Program; CEK: tidak ada di price list Greenwich Q4 2026 (Cert IV Leadership &amp; Management tidak tercantum) - jangan ditawarkan sebelum dikonfirmasi sekolah; Sumber: Pricelist Greenwich_VET_Q4_Master_Pricing_Document_Oct26v3.pdf hal. 4/10/14 (VET Pricing Q4 2026 v9, "Correct as of 30.09.26", aplikasi diterima s.d. 31.12.2026, "intakes starting in 2026 onwards"), dicek 29/10/2026</t>
  </si>
  <si>
    <t xml:space="preserve">[KANDIDAT DUPLIKAT] input B–I identik dengan baris 225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Harga BRI = GC di price list Q4, jadi biaya tidak bisa membedakan. Kurang: konfirmasi TEG apakah blok kedua = Greenwich Gold Coast (alamat GC belum tercatat di file) + offer letter/kampus.;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44 + 52 = 96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Dip 120 = sisa AUD 120 (kecuali ada waiver di offer letter); Harga sesuai sumber resmi; Cara hitung tuition/periode: Resmi per periode; Sumber: Pricelist Greenwich_VET_Q4_Master_Pricing_Document_Oct26v3.pdf hal. 4 &amp; 8 (VET Pricing Q4 2026 v9, "Correct as of 30.09.26", aplikasi diterima s.d. 31.12.2026, "intakes starting in 2026 onwards"), dicek 29/10/2026</t>
  </si>
  <si>
    <t xml:space="preserve">[UTAMA] baris 226 ditandai DUPLIKAT (nonaktif);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44 + 52 = 96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Dip 120 = sisa AUD 120 (kecuali ada waiver di offer letter); Harga sesuai sumber resmi; Cara hitung tuition/periode: Resmi per periode; Sumber: Pricelist Greenwich_VET_Q4_Master_Pricing_Document_Oct26v3.pdf hal. 4 &amp; 8 (VET Pricing Q4 2026 v9, "Correct as of 30.09.26", aplikasi diterima s.d. 31.12.2026, "intakes starting in 2026 onwards"), dicek 29/10/2026</t>
  </si>
  <si>
    <t xml:space="preserve">[UTAMA] baris 227 ditandai DUPLIKAT (nonaktif); Tuition beda per level, lihat keterangan di kolom Program;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44 + 52 + 76 = 172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Dip 120 + Adv Dip MA 200 = sisa AUD 320 (kecuali ada waiver di offer letter); Harga sesuai sumber resmi; Cara hitung tuition/periode: Resmi per periode; Sumber: Pricelist Greenwich_VET_Q4_Master_Pricing_Document_Oct26v3.pdf hal. 4 &amp; 8 (VET Pricing Q4 2026 v9, "Correct as of 30.09.26", aplikasi diterima s.d. 31.12.2026, "intakes starting in 2026 onwards"), dicek 29/10/2026</t>
  </si>
  <si>
    <t xml:space="preserve">Dip Of E-Commerce</t>
  </si>
  <si>
    <t xml:space="preserve">[KANDIDAT DUPLIKAT] input B–I identik dengan baris 229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Harga BRI = GC di price list Q4, jadi biaya tidak bisa membedakan. Kurang: konfirmasi TEG apakah blok kedua = Greenwich Gold Coast (alamat GC belum tercatat di file) + offer letter/kampus.;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52 + 76 = 128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Dip 500 = sisa AUD 500 (kecuali ada waiver di offer letter); Harga diperbarui dari sumber resmi; Cara hitung tuition/periode: Resmi per periode; Sumber: Pricelist Greenwich_VET_Q4_Master_Pricing_Document_Oct26v3.pdf hal. 14 &amp; 8 (VET Pricing Q4 2026 v9, "Correct as of 30.09.26", aplikasi diterima s.d. 31.12.2026, "intakes starting in 2026 onwards"), dicek 29/10/2026</t>
  </si>
  <si>
    <t xml:space="preserve">[KANDIDAT DUPLIKAT] input B–I identik dengan baris 230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Harga BRI = GC di price list Q4, jadi biaya tidak bisa membedakan. Kurang: konfirmasi TEG apakah blok kedua = Greenwich Gold Coast (alamat GC belum tercatat di file) + offer letter/kampus.;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[MATERIAL] Material Fee = material kursus PERTAMA saja; material kursus berikutnya masih harus dibayar sebelum kursus itu mulai: Dip 300 (total paket ACP 2.000) = sisa AUD 300 (kecuali ada waiver di offer letter); Harga diperbarui dari sumber resmi; Cara hitung tuition/periode: Resmi per periode; Sumber: Pricelist Greenwich_VET_Q4_Master_Pricing_Document_Oct26v3.pdf hal. 10 &amp; 8 (VET Pricing Q4 2026 v9, "Correct as of 30.09.26", aplikasi diterima s.d. 31.12.2026, "intakes starting in 2026 onwards"), dicek 29/10/2026</t>
  </si>
  <si>
    <t xml:space="preserve">[KANDIDAT DUPLIKAT] input B–I identik dengan baris 231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Harga BRI = GC di price list Q4, jadi biaya tidak bisa membedakan. Kurang: konfirmasi TEG apakah blok kedua = Greenwich Gold Coast (alamat GC belum tercatat di file) + offer letter/kampus.;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[MATERIAL] Material Fee = material kursus PERTAMA saja; material kursus berikutnya masih harus dibayar sebelum kursus itu mulai: Dip 300 + Adv Dip 300 (total paket ECT 2.300) = sisa AUD 600 (kecuali ada waiver di offer letter); Harga diperbarui dari sumber resmi; Cara hitung tuition/periode: Resmi per periode; Sumber: Pricelist Greenwich_VET_Q4_Master_Pricing_Document_Oct26v3.pdf hal. 10 &amp; 8 (VET Pricing Q4 2026 v9, "Correct as of 30.09.26", aplikasi diterima s.d. 31.12.2026, "intakes starting in 2026 onwards"), dicek 29/10/2026</t>
  </si>
  <si>
    <t xml:space="preserve">[KANDIDAT DUPLIKAT] input B–I identik dengan baris 232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Harga BRI = GC di price list Q4, jadi biaya tidak bisa membedakan. Kurang: konfirmasi TEG apakah blok kedua = Greenwich Gold Coast (alamat GC belum tercatat di file) + offer letter/kampus.;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32 + 52 = 84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Cert IV 500 = sisa AUD 500 (kecuali ada waiver di offer letter); Harga sesuai sumber resmi; Cara hitung tuition/periode: Resmi per periode; Sumber: Pricelist Greenwich_VET_Q4_Master_Pricing_Document_Oct26v3.pdf hal. 14 &amp; 8 (VET Pricing Q4 2026 v9, "Correct as of 30.09.26", aplikasi diterima s.d. 31.12.2026, "intakes starting in 2026 onwards"), dicek 29/10/2026</t>
  </si>
  <si>
    <t xml:space="preserve">[KANDIDAT DUPLIKAT] input B–I identik dengan baris 233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Harga BRI = GC di price list Q4, jadi biaya tidak bisa membedakan. Kurang: konfirmasi TEG apakah blok kedua = Greenwich Gold Coast (alamat GC belum tercatat di file) + offer letter/kampus.; Tuition beda per level, lihat keterangan di kolom Program;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32 + 52 + 76 = 160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Cert IV 500 + Dip 500 = sisa AUD 1.000 (kecuali ada waiver di offer letter); Harga sesuai sumber resmi; Cara hitung tuition/periode: Resmi per periode; Sumber: Pricelist Greenwich_VET_Q4_Master_Pricing_Document_Oct26v3.pdf hal. 14 &amp; 8 (VET Pricing Q4 2026 v9, "Correct as of 30.09.26", aplikasi diterima s.d. 31.12.2026, "intakes starting in 2026 onwards") | dicek ulang 29 Okt 20, dicek 29/10/2026</t>
  </si>
  <si>
    <t xml:space="preserve">CEK: konfirmasi harga ke sekolah (harga beda dengan sumber resmi); [KANDIDAT DUPLIKAT] input B–I identik dengan baris 206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Program juga tidak tercantum di price list Q4 (Cert IV Business/L&amp;M) sehingga kode &amp; susunan paket tidak dapat dibuktikan. Kurang: konfirmasi TEG apakah blok kedua = Greenwich Gold Coast (alamat GC belum tercatat di file) + offer letter/kampus.; CEK: tidak ada di price list Greenwich Q4 2026 (Cert IV Business tidak tercantum) - jangan ditawarkan sebelum dikonfirmasi sekolah; Sumber: Pricelist Greenwich_VET_Q4_Master_Pricing_Document_Oct26v3.pdf hal. 4/10/14 (VET Pricing Q4 2026 v9, "Correct as of 30.09.26", aplikasi diterima s.d. 31.12.2026, "intakes starting in 2026 onwards"), dicek 29/10/2026</t>
  </si>
  <si>
    <t xml:space="preserve">CEK: konfirmasi harga ke sekolah (harga beda dengan sumber resmi); [KANDIDAT DUPLIKAT] input B–I identik dengan baris 207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Program juga tidak tercantum di price list Q4 (Cert IV Business/L&amp;M) sehingga kode &amp; susunan paket tidak dapat dibuktikan. Kurang: konfirmasi TEG apakah blok kedua = Greenwich Gold Coast (alamat GC belum tercatat di file) + offer letter/kampus.; Tuition beda per level, lihat keterangan di kolom Program; CEK: tidak ada di price list Greenwich Q4 2026 (Cert IV Business tidak tercantum) - jangan ditawarkan sebelum dikonfirmasi sekolah; Sumber: Pricelist Greenwich_VET_Q4_Master_Pricing_Document_Oct26v3.pdf hal. 4/10/14 (VET Pricing Q4 2026 v9, "Correct as of 30.09.26", aplikasi diterima s.d. 31.12.2026, "intakes starting in 2026 onwards"), dicek 29/10/2026</t>
  </si>
  <si>
    <t xml:space="preserve">CEK: konfirmasi harga ke sekolah (harga beda dengan sumber resmi); [KANDIDAT DUPLIKAT] input B–I identik dengan baris 208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Program juga tidak tercantum di price list Q4 (Cert IV Business/L&amp;M) sehingga kode &amp; susunan paket tidak dapat dibuktikan. Kurang: konfirmasi TEG apakah blok kedua = Greenwich Gold Coast (alamat GC belum tercatat di file) + offer letter/kampus.; CEK: tidak ada di price list Greenwich Q4 2026 (Cert IV Leadership &amp; Management tidak tercantum) - jangan ditawarkan sebelum dikonfirmasi sekolah; Sumber: Pricelist Greenwich_VET_Q4_Master_Pricing_Document_Oct26v3.pdf hal. 4/10/14 (VET Pricing Q4 2026 v9, "Correct as of 30.09.26", aplikasi diterima s.d. 31.12.2026, "intakes starting in 2026 onwards"), dicek 29/10/2026</t>
  </si>
  <si>
    <t xml:space="preserve">CEK: konfirmasi harga ke sekolah (harga beda dengan sumber resmi); [KANDIDAT DUPLIKAT] input B–I identik dengan baris 209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Program juga tidak tercantum di price list Q4 (Cert IV Business/L&amp;M) sehingga kode &amp; susunan paket tidak dapat dibuktikan. Kurang: konfirmasi TEG apakah blok kedua = Greenwich Gold Coast (alamat GC belum tercatat di file) + offer letter/kampus.; Tuition beda per level, lihat keterangan di kolom Program; CEK: tidak ada di price list Greenwich Q4 2026 (Cert IV Leadership &amp; Management tidak tercantum) - jangan ditawarkan sebelum dikonfirmasi sekolah; Sumber: Pricelist Greenwich_VET_Q4_Master_Pricing_Document_Oct26v3.pdf hal. 4/10/14 (VET Pricing Q4 2026 v9, "Correct as of 30.09.26", aplikasi diterima s.d. 31.12.2026, "intakes starting in 2026 onwards"), dicek 29/10/2026</t>
  </si>
  <si>
    <t xml:space="preserve">[KANDIDAT DUPLIKAT] input B–I identik dengan baris 210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Harga BRI = GC di price list Q4, jadi biaya tidak bisa membedakan. Kurang: konfirmasi TEG apakah blok kedua = Greenwich Gold Coast (alamat GC belum tercatat di file) + offer letter/kampus.;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44 + 52 = 96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Dip 120 = sisa AUD 120 (kecuali ada waiver di offer letter); Harga sesuai sumber resmi; Cara hitung tuition/periode: Resmi per periode; Sumber: Pricelist Greenwich_VET_Q4_Master_Pricing_Document_Oct26v3.pdf hal. 4 &amp; 8 (VET Pricing Q4 2026 v9, "Correct as of 30.09.26", aplikasi diterima s.d. 31.12.2026, "intakes starting in 2026 onwards"), dicek 29/10/2026</t>
  </si>
  <si>
    <t xml:space="preserve">CEK: duplikat dari baris 212 (kemungkinan salah input);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44 + 52 = 96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Dip 120 = sisa AUD 120 (kecuali ada waiver di offer letter); Harga sesuai sumber resmi; Cara hitung tuition/periode: Resmi per periode; Sumber: Pricelist Greenwich_VET_Q4_Master_Pricing_Document_Oct26v3.pdf hal. 4 &amp; 8 (VET Pricing Q4 2026 v9, "Correct as of 30.09.26", aplikasi diterima s.d. 31.12.2026, "intakes starting in 2026 onwards"), dicek 29/10/2026</t>
  </si>
  <si>
    <t xml:space="preserve">CEK: duplikat dari baris 213 (kemungkinan salah input); Tuition beda per level, lihat keterangan di kolom Program;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44 + 52 + 76 = 172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Dip 120 + Adv Dip MA 200 = sisa AUD 320 (kecuali ada waiver di offer letter); Harga sesuai sumber resmi; Cara hitung tuition/periode: Resmi per periode; Sumber: Pricelist Greenwich_VET_Q4_Master_Pricing_Document_Oct26v3.pdf hal. 4 &amp; 8 (VET Pricing Q4 2026 v9, "Correct as of 30.09.26", aplikasi diterima s.d. 31.12.2026, "intakes starting in 2026 onwards"), dicek 29/10/2026</t>
  </si>
  <si>
    <t xml:space="preserve">Adv Dip Of Information Technology (IT) ($1330/term untuk 11 term terakhir)</t>
  </si>
  <si>
    <t xml:space="preserve">[KANDIDAT DUPLIKAT] input B–I identik dengan baris 215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Harga BRI = GC di price list Q4, jadi biaya tidak bisa membedakan. Kurang: konfirmasi TEG apakah blok kedua = Greenwich Gold Coast (alamat GC belum tercatat di file) + offer letter/kampus.;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52 + 76 = 128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Dip 500 = sisa AUD 500 (kecuali ada waiver di offer letter); Harga diperbarui dari sumber resmi; Cara hitung tuition/periode: Resmi per periode; Sumber: Pricelist Greenwich_VET_Q4_Master_Pricing_Document_Oct26v3.pdf hal. 14 &amp; 8 (VET Pricing Q4 2026 v9, "Correct as of 30.09.26", aplikasi diterima s.d. 31.12.2026, "intakes starting in 2026 onwards"), dicek 29/10/2026</t>
  </si>
  <si>
    <t xml:space="preserve">[KANDIDAT DUPLIKAT] input B–I identik dengan baris 216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Harga BRI = GC di price list Q4, jadi biaya tidak bisa membedakan. Kurang: konfirmasi TEG apakah blok kedua = Greenwich Gold Coast (alamat GC belum tercatat di file) + offer letter/kampus.;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[MATERIAL] Material Fee = material kursus PERTAMA saja; material kursus berikutnya masih harus dibayar sebelum kursus itu mulai: Dip 300 (total paket ACP 2.000) = sisa AUD 300 (kecuali ada waiver di offer letter); Harga diperbarui dari sumber resmi; Cara hitung tuition/periode: Resmi per periode; Sumber: Pricelist Greenwich_VET_Q4_Master_Pricing_Document_Oct26v3.pdf hal. 10 &amp; 8 (VET Pricing Q4 2026 v9, "Correct as of 30.09.26", aplikasi diterima s.d. 31.12.2026, "intakes starting in 2026 onwards"), dicek 29/10/2026</t>
  </si>
  <si>
    <t xml:space="preserve">[KANDIDAT DUPLIKAT] input B–I identik dengan baris 217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Harga BRI = GC di price list Q4, jadi biaya tidak bisa membedakan. Kurang: konfirmasi TEG apakah blok kedua = Greenwich Gold Coast (alamat GC belum tercatat di file) + offer letter/kampus.;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[MATERIAL] Material Fee = material kursus PERTAMA saja; material kursus berikutnya masih harus dibayar sebelum kursus itu mulai: Dip 300 + Adv Dip 300 (total paket ECT 2.300) = sisa AUD 600 (kecuali ada waiver di offer letter); Harga diperbarui dari sumber resmi; Cara hitung tuition/periode: Resmi per periode; Sumber: Pricelist Greenwich_VET_Q4_Master_Pricing_Document_Oct26v3.pdf hal. 10 &amp; 8 (VET Pricing Q4 2026 v9, "Correct as of 30.09.26", aplikasi diterima s.d. 31.12.2026, "intakes starting in 2026 onwards"), dicek 29/10/2026</t>
  </si>
  <si>
    <t xml:space="preserve">[KANDIDAT DUPLIKAT] input B–I identik dengan baris 218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Harga BRI = GC di price list Q4, jadi biaya tidak bisa membedakan. Kurang: konfirmasi TEG apakah blok kedua = Greenwich Gold Coast (alamat GC belum tercatat di file) + offer letter/kampus.;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32 + 52 = 84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Cert IV 500 = sisa AUD 500 (kecuali ada waiver di offer letter); Harga sesuai sumber resmi; Cara hitung tuition/periode: Resmi per periode; Sumber: Pricelist Greenwich_VET_Q4_Master_Pricing_Document_Oct26v3.pdf hal. 14 &amp; 8 (VET Pricing Q4 2026 v9, "Correct as of 30.09.26", aplikasi diterima s.d. 31.12.2026, "intakes starting in 2026 onwards"), dicek 29/10/2026</t>
  </si>
  <si>
    <t xml:space="preserve">[KANDIDAT DUPLIKAT] input B–I identik dengan baris 219 di sheet ini (Greenwich, alamat sama). JANGAN dihapus/digabung sampai kampus, intake, promo, sumber &amp; identitas program terkonfirmasi; versi siswa: tampilkan satu saja. Blok kedua (Brisbane r220-233/r221-234) memuat Adv Dip IT yang hanya dibuka di SYD/MEL/GC/ADL (bukan BRI) -&gt; blok itu mungkin dimaksudkan untuk Gold Coast. Harga BRI = GC di price list Q4, jadi biaya tidak bisa membedakan. Kurang: konfirmasi TEG apakah blok kedua = Greenwich Gold Coast (alamat GC belum tercatat di file) + offer letter/kampus.; Tuition beda per level, lihat keterangan di kolom Program; [B]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32 + 52 + 76 = 160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Cert IV 500 + Dip 500 = sisa AUD 1.000 (kecuali ada waiver di offer letter); Harga sesuai sumber resmi; Cara hitung tuition/periode: Resmi per periode; Sumber: Pricelist Greenwich_VET_Q4_Master_Pricing_Document_Oct26v3.pdf hal. 14 &amp; 8 (VET Pricing Q4 2026 v9, "Correct as of 30.09.26", aplikasi diterima s.d. 31.12.2026, "intakes starting in 2026 onwards") | dicek ulang 29 Okt 20, dicek 29/10/2026</t>
  </si>
  <si>
    <t xml:space="preserve">Hospitality Training Academy (HTA)
Suite 102, Level 1/9 Bay St, Southport 4215, QLD, Australia (Gold Coast)</t>
  </si>
  <si>
    <t xml:space="preserve">Cert IV in Kitchen Management + Cert IV in Patisserie + Dip Of Hospitality Management (tuition fee bayar tiap bulan $1000/term sampai lunas)</t>
  </si>
  <si>
    <t xml:space="preserve">Cert III in Solid Plastering + Dip of Building and Construction (Building) (tuition fee bayar tiap bulan $1000/term sampai lunas)</t>
  </si>
  <si>
    <t xml:space="preserve">Cert III in Bricklaying &amp; Blocklaying + Dip of Building and Construction (Building) (tuition fee bayar tiap bulan $1000/term sampai lunas)</t>
  </si>
  <si>
    <t xml:space="preserve">Imperial Institute of Sydney (IIS)
Campus 4 (Regional): Level 2, Orchd Plaza, 58 Lake Street, Cairns City, QLD, Australia 4870</t>
  </si>
  <si>
    <t xml:space="preserve">[catatan lama untuk tarif offshore mingguan, TIDAK berlaku untuk angka onshore: Material Fee pay every term]; CEK: dokumen onshore hanya memberi total tuition $17.700/104 mgg dan material $2.000 per paket; jumlah term &amp; jadwal tagih material harus dikonfirmasi; Material = TOTAL paket menurut dokumen onshore, jadwal tagih belum diketahui - jangan dikalikan jumlah periode; Initial payment CoE menurut dokumen: AUD 1.500 (Initial Payment: Hospitality Courses $1.500. Pricelist -Million Brown  onshore.jpeg hal. 1 (Onshore Price List July 26 -) - belum ditinjau; jumlah pasti ikuti offer letter; Tuition total/tahunan belum terbukti cocok dengan sumber resmi; Harga sebagian sesuai sumber resmi; Cara hitung tuition/periode: Hitung: total/tahunan ÷ N; Sumber: Pricelist -Million Brown onshore.jpeg hal. 1 (Onshore Price List July 26 - Jan 27 Intake), dicek 29/10/2026</t>
  </si>
  <si>
    <t xml:space="preserve">[catatan lama untuk tarif offshore mingguan, TIDAK berlaku untuk angka onshore: Material Fee pay every term]; CEK: dokumen onshore hanya memberi total tuition $14.100/130 mgg dan material $350 per paket; jumlah term &amp; jadwal tagih material harus dikonfirmasi; Material = TOTAL paket menurut dokumen onshore, jadwal tagih belum diketahui - jangan dikalikan jumlah periode; Initial payment CoE menurut dokumen: AUD 1.000 (Initial Payment: Leadership Management $1.000. Pricelist -Million Brown  onshore.jpeg hal. 1 (Onshore Price List July 26) - belum ditinjau; jumlah pasti ikuti offer letter; Tuition total/tahunan belum terbukti cocok dengan sumber resmi; Harga sebagian sesuai sumber resmi; Cara hitung tuition/periode: Hitung: total/tahunan ÷ N; Sumber: Pricelist -Million Brown onshore.jpeg hal. 1 (Onshore Price List July 26 - Jan 27 Intake), dicek 29/10/2026</t>
  </si>
  <si>
    <t xml:space="preserve">Cert III in Individual Support + Dip of Community Service ($2000/term di level Diploma)</t>
  </si>
  <si>
    <t xml:space="preserve">ONSHORE - PERTH</t>
  </si>
  <si>
    <t xml:space="preserve">CEK: Sebagian sesuai sumber resmi: Jumlah term tidak disebut; offshore 3.000 x 5 term (asumsi term 9 minggu) = 15.000 = total resmi. Onshore 2500: lebih murah dari harga publik - kemungkinan harg; Tuition total/tahunan belum terbukti cocok dengan sumber resmi; Asumsi bayar awal 1 term (nilai pricelist lama; Handbook AAPoly (VET v3.2, HE v4.3, Okt 2026): VET minimal 1 term, Bachelor 1 semester sebelum mulai) - konfirmasi ke sekolah; Harga sebagian sesuai sumber resmi; Cara hitung tuition/periode: Hitung: total/tahunan ÷ N; Sumber: https://search.studyaustralia.gov.au/provider/academies-australasia-institute-pty-ltd/f3038ae580677da109eb5d80db52fc84/courses, dicek 29/10/2026; Info sekolah: nama college dalam grup Academies Australasia (Institute/Polytechnic) belum dikonfirmasi per program</t>
  </si>
  <si>
    <t xml:space="preserve">CEK: Lebih murah dari harga publik (~2,000/periode): pastikan ini harga agen/promo yang berlaku. Dicocokkan dicek 30/10/2026: selisih 25.0% - situs resmi ACA/AAPoly tanpa diskon persentase (hanya Eagle Award AUD 1.200); tetap perlu dokumen agen/promo bertanggal; Harga agen: dokumen price list agen belum dilampirkan; Asumsi bayar awal 1 term (nilai pricelist lama; Handbook AAPoly (VET v3.2, HE v4.3, Okt 2026): VET minimal 1 term, Bachelor 1 semester sebelum mulai) - konfirmasi ke sekolah; Lebih murah dari harga publik - kemungkinan harga agen/promo (tidak diubah); Sumber: https://academies.edu.au/wp-content/uploads/2025/12/AKG00471-Hospitality-Management-Course-Perth.pdf, dicek 29/10/2026; Info sekolah: nama college dalam grup Academies Australasia (Institute/Polytechnic) belum dikonfirmasi per program</t>
  </si>
  <si>
    <t xml:space="preserve">Cert III in Individual Support (Ageing &amp; Disability) + Cert IV in Ageing Support + Dip Of Community Service (1750/term untuk 9 term terakhir)</t>
  </si>
  <si>
    <t xml:space="preserve">[B] Aturan CoE Greenwich Q4 hal. 8: onshore = tuition 1 term kursus pertama + enrolment; offshore = 2 term + enrolment; material dibayar penuh SEBELUM mulai (bukan syarat CoE - estimasi Initial Payment file memasukkan material); promo onshore siswa baru: diskon 50% term pertama - tidak diterapkan ke angka; [DURASI] 32 + 52 + 76 = 160 mgg = PENJUMLAHAN durasi kursus di price list (hal. 4/14), bukan durasi paket resmi; jadwal paket, jeda intake &amp; credit transfer belum dikonfirmasi - ikuti offer letter/CoE; [MATERIAL] Material Fee = material kursus PERTAMA saja; material kursus berikutnya masih harus dibayar sebelum kursus itu mulai: Cert IV 500 + Dip 500 = sisa AUD 1.000 (kecuali ada waiver di offer letter); Harga sesuai sumber resmi; Cara hitung tuition/periode: Resmi per periode; Sumber: Pricelist Greenwich_VET_Q4_Master_Pricing_Document_Oct26v3.pdf hal. 14 &amp; 8 (VET Pricing Q4 2026 v9, "Correct as of 30.09.26", aplikasi diterima s.d. 31.12.2026, "intakes starting in 2026 onwards") | dicek ulang 29 Okt 20, dicek 29/10/2026</t>
  </si>
  <si>
    <t xml:space="preserve">Cert III in Wall and Floor Tiling + Dip of Building and Construction (Building) + Dip MF $1500</t>
  </si>
  <si>
    <t xml:space="preserve">Tuition beda per level, lihat keterangan di kolom Program; Harga sesuai sumber resmi; Cara hitung tuition/periode: Hitung: total/tahunan ÷ N; Sumber: https://kcbt.edu.au/wp-content/uploads/2026/08/FEES-INTAKES_ONSHORE_2026_v-24.08.2026.pdf, dicek 29/10/2026</t>
  </si>
  <si>
    <t xml:space="preserve">Cert III in Solid Plastering + Cert III in Wall and Floor Tiling + Cert MF $1250</t>
  </si>
  <si>
    <t xml:space="preserve">Cert III in Solid Plastering + Cert III in Wall and Floor Tiling + Dip of Building and Construction (Building) ($2125/term in Adv Dip) + MF Dip $250 + MF Adv Dip $500</t>
  </si>
  <si>
    <t xml:space="preserve">Tuition beda per level, lihat keterangan di kolom Program; CEK: Sebagian sesuai sumber resmi: 25,000/10 term = 2,500 = list. Tetapi teks list menyebut "$2125/term in Adv Dip + MF Dip $250 + MF Adv Dip $500" yang tidak relevan (salah salin dari paket hosp; Tuition total/tahunan belum terbukti cocok dengan sumber resmi; Harga sebagian sesuai sumber resmi; Cara hitung tuition/periode: Hitung: total/tahunan ÷ N; Sumber: https://kcbt.edu.au/wp-content/uploads/2026/08/FEES-INTAKES_ONSHORE_2026_v-24.08.2026.pdf, dicek 29/10/2026</t>
  </si>
  <si>
    <t xml:space="preserve">Cert III + Dip of Early Childhood Education and Care ($2450/term di level Diploma)</t>
  </si>
  <si>
    <t xml:space="preserve">Tuition beda per level, lihat keterangan di kolom Program; Harga sesuai sumber resmi; Cara hitung tuition/periode: Hitung: total/tahunan ÷ N; Sumber: https://kingstoncollege.wa.edu.au/kic-courses/chc50125-diploma-of-early-childhood-education-and-care/, dicek 29/10/2026</t>
  </si>
  <si>
    <t xml:space="preserve">CEK: Kampus terdaftar Novus: Gosford (153 Mann St), Ultimo (Level 3, Suites 3.09-3.11, 22-36 Mountain St), Perth (Unit 53, 188 Newcastle St) - konfirmasi alamat workshop/lainnya [berlaku untuk semua program terkait; asal Onshore - Perth r133]; Harga belum dicek ke sumber resmi</t>
  </si>
  <si>
    <t xml:space="preserve">CEK: Kampus terdaftar Novus: Gosford (153 Mann St), Ultimo (Level 3, Suites 3.09-3.11, 22-36 Mountain St), Perth (Unit 53, 188 Newcastle St) - konfirmasi alamat workshop/lainnya [berlaku untuk semua program terkait; asal Onshore - Perth r133]; CEK: Lebih murah dari harga publik (~3,417/periode): pastikan ini harga agen/promo yang berlaku. Dicocokkan dicek 30/10/2026: selisih 35.6% - tidak ada skema resmi ditemukan; tetap perlu dokumen agen/promo bertanggal; Harga agen: dokumen price list agen belum dilampirkan; Lebih murah dari harga publik - kemungkinan harga agen/promo (tidak diubah); Cara hitung tuition/periode: Hitung: total/tahunan ÷ N; Sumber: https://www.oneuedu.com/en-US/schools/novus-education-03966K, dicek 29/10/2026</t>
  </si>
  <si>
    <t xml:space="preserve">CEK: Kampus terdaftar Novus: Gosford (153 Mann St), Ultimo (Level 3, Suites 3.09-3.11, 22-36 Mountain St), Perth (Unit 53, 188 Newcastle St) - konfirmasi alamat workshop/lainnya [berlaku untuk semua program terkait; asal Onshore - Perth r133]; CEK: Lebih murah dari harga publik (~3,275/periode): pastikan ini harga agen/promo yang berlaku. Dicocokkan dicek 30/10/2026: selisih 35.9% - tidak ada skema resmi ditemukan; tetap perlu dokumen agen/promo bertanggal; Harga agen: dokumen price list agen belum dilampirkan; Lebih murah dari harga publik - kemungkinan harga agen/promo (tidak diubah); Cara hitung tuition/periode: Hitung: total/tahunan ÷ N; Sumber: https://www.oneuedu.com/en-US/schools/novus-education-03966K, dicek 29/10/2026</t>
  </si>
  <si>
    <t xml:space="preserve">CEK: biaya VET pathway belum direkonsiliasi - baris paket ini 3.230/term x 2 = 6.460, sedangkan baris VET TIWA r151 = 6.570/semester (+ resource fee 354/semester dibayar setelah tiba, bukan sebelum CoE) dan masih CEK; minta fee TIWA Cert IV + Dip of Accounting resmi; paket keluar dari tab Paket Pathway sampai terkonfirmasi (07/11/2026); Material/enrolment belum tercatat (material+enrolment; dihitung 0 di Estimasi Initial Payment); Harga belum dicek ke sumber resmi</t>
  </si>
  <si>
    <t xml:space="preserve">The Australian Data and Cyber Institute (ADCI)
Level 3, 251 Adelaide Terrace, perth WA 6000</t>
  </si>
  <si>
    <t xml:space="preserve">CEK: Sebagian sesuai sumber resmi: Total 75,600 / 3 tahun = 25,200/tahun; /4 = 6,300 per 'term' (1/4 tahun = 2 unit) -&gt; Offshore 6,300 sesuai. Struktur resmi: 2 semester/tahun x 4 unit = 12,600/s; Material/enrolment belum tercatat (material; dihitung 0 di Estimasi Initial Payment); Tuition total/tahunan belum terbukti cocok dengan sumber resmi; Harga sebagian sesuai sumber resmi; Cara hitung tuition/periode: Hitung: total/tahunan ÷ N; Sumber: https://adci.edu.au/wp-content/uploads/2026/09/2026-Schedule-of-Tuition-Fees-Updated.pdf, dicek 29/10/2026; Asumsi bayar awal 1 semester = 2 term (tuition disimpan per term; dasar: aturan sektor HE) - konfirmasi ke sekolah; diperbaiki 06/11/2026 (audit)</t>
  </si>
  <si>
    <t xml:space="preserve">ONSHORE - ARMIDALE</t>
  </si>
  <si>
    <t xml:space="preserve">CEK: Brosur resmi (AKG0046, footer DEC25, cek 29 Okt 2026): AUD 4.000/term, 4 term/36 minggu per kursus. Admin/CoE fee resmi AUD 250 (di sini 200 = lebih murah, konfirmasi harga agen); material fee &amp; syarat bayar awal tidak tercantum; Adv Dip resmi = Advanced Diploma of Agribusiness Management (AHC60319); Tuition total/tahunan belum terbukti cocok dengan sumber resmi; Asumsi bayar awal 1 term (nilai pricelist lama; Handbook AAPoly (VET v3.2, HE v4.3, Okt 2026): VET minimal 1 term, Bachelor 1 semester sebelum mulai) - konfirmasi ke sekolah; Harga sebagian sesuai sumber resmi; Cara hitung tuition/periode: Resmi per periode; Sumber: https://academies.edu.au/wp-content/uploads/2025/05/AKG0046-Agriculture-Course.pdf, dicek 29/10/2026; Info sekolah: nama college dalam grup Academies Australasia (Institute/Polytechnic) belum dikonfirmasi per program</t>
  </si>
  <si>
    <t xml:space="preserve">CEK: Brosur resmi (AKG0046, footer DEC25, cek 29 Okt 2026): AUD 4.000/term, 4 term/36 minggu per kursus. Admin/CoE fee resmi AUD 250 (di sini 200 = lebih murah, konfirmasi harga agen); material fee &amp; syarat bayar awal tidak tercantum; Adv Dip resmi = Advanced Diploma of Agribusiness Management (AHC60319); paket Dip + Adv Dip tidak ada di brosur - butuh offer letter paket; Tuition total/tahunan belum terbukti cocok dengan sumber resmi; Asumsi bayar awal 1 term (nilai pricelist lama; Handbook AAPoly (VET v3.2, HE v4.3, Okt 2026): VET minimal 1 term, Bachelor 1 semester sebelum mulai) - konfirmasi ke sekolah; Harga sebagian sesuai sumber resmi; Cara hitung tuition/periode: Resmi per periode; Sumber: https://academies.edu.au/wp-content/uploads/2025/05/AKG0046-Agriculture-Course.pdf, dicek 29/10/2026; Info sekolah: nama college dalam grup Academies Australasia (Institute/Polytechnic) belum dikonfirmasi per program</t>
  </si>
  <si>
    <t xml:space="preserve">ONSHORE - CANBERRA</t>
  </si>
  <si>
    <t xml:space="preserve">Australian Workplace Skills Institute (AWS)
Level 1, 66 Townshend Street, Phillip ACT 2606</t>
  </si>
  <si>
    <t xml:space="preserve">CEK: Price list resmi Jun 2026 hanya total kursus AUD 18.000 (104 minggu); tuition/term di sini = total ÷ 8 term (asumsi). jumlah term &amp; syarat bayar awal tidak disebut - minta konfirmasi/offer letter; Tuition total/tahunan belum terbukti cocok dengan sumber resmi; Asumsi material ditagih per periode (dasar belum cukup) - Initial Payment menghitung material x Bayar di Awal; konfirmasi ke sekolah; Harga sebagian sesuai sumber resmi; Cara hitung tuition/periode: Hitung: total/tahunan ÷ N; Sumber: https://capital.edu.au/wp-content/uploads/2026/05/Price-List-VET-Jun-2026.pdf, dicek 29/10/2026</t>
  </si>
  <si>
    <t xml:space="preserve">Material fee pay every term; CEK: Price list resmi Jun 2026 hanya total kursus AUD 18.250 (76 minggu); tuition/term di sini = total ÷ 6 term (asumsi). jumlah term &amp; syarat bayar awal tidak disebut - minta konfirmasi/offer letter; Tuition total/tahunan belum terbukti cocok dengan sumber resmi; Material ditagih per periode (keterangan pricelist/sekolah: "Material fee pay every term") - Initial Payment menghitung material x Bayar di Awal; Harga sebagian sesuai sumber resmi; Cara hitung tuition/periode: Hitung: total/tahunan ÷ N; Sumber: https://capital.edu.au/wp-content/uploads/2026/05/Price-List-VET-Jun-2026.pdf, dicek 29/10/2026</t>
  </si>
  <si>
    <t xml:space="preserve">Material fee pay every term and become $110 after Dip; CEK: Price list resmi Jun 2026 hanya total kursus AUD 24.250 (104 minggu); tuition/term di sini = total ÷ 8 term (asumsi). jumlah term &amp; syarat bayar awal tidak disebut - minta konfirmasi/offer letter; Tuition total/tahunan belum terbukti cocok dengan sumber resmi; Material ditagih per periode (keterangan pricelist/sekolah: "Material fee pay every term and become $110 after Dip") - Initial Payment menghitung material x Bayar di Awal; Harga sebagian sesuai sumber resmi; Cara hitung tuition/periode: Hitung: total/tahunan ÷ N; Sumber: https://capital.edu.au/wp-content/uploads/2026/05/Price-List-VET-Jun-2026.pdf, dicek 29/10/2026</t>
  </si>
  <si>
    <t xml:space="preserve">Material fee pay every term and become $110 after Dip; CEK: Price list resmi Jun 2026 hanya total kursus AUD 34.250 (156 minggu); tuition/term di sini = total ÷ 12 term (asumsi). jumlah term &amp; syarat bayar awal tidak disebut - minta konfirmasi/offer letter; Tuition total/tahunan belum terbukti cocok dengan sumber resmi; Material ditagih per periode (keterangan pricelist/sekolah: "Material fee pay every term and become $110 after Dip") - Initial Payment menghitung material x Bayar di Awal; Harga sebagian sesuai sumber resmi; Cara hitung tuition/periode: Hitung: total/tahunan ÷ N; Sumber: https://capital.edu.au/wp-content/uploads/2026/05/Price-List-VET-Jun-2026.pdf, dicek 29/10/2026</t>
  </si>
  <si>
    <t xml:space="preserve">Cert III + Cert IV in Kitchen Management + Dip + Adv Dip of Hospitality Management + Graduate Diploma</t>
  </si>
  <si>
    <t xml:space="preserve">Material fee pay every term and become $110 after Dip; Material ditagih per periode (keterangan pricelist/sekolah: "Material fee pay every term and become $110 after Dip") - Initial Payment menghitung material x Bayar di Awal; Harga sesuai sumber resmi; Sumber: https://capital.edu.au/wp-content/uploads/2026/05/Price-List-VET-Jun-2026.pdf, dicek 29/10/2026</t>
  </si>
  <si>
    <t xml:space="preserve">Material fee pay every term; CEK: Price list resmi Jun 2026 hanya total kursus AUD 20.000 (104 minggu); tuition/term di sini = total ÷ 8 term (asumsi). jumlah term &amp; syarat bayar awal tidak disebut - minta konfirmasi/offer letter; Tuition total/tahunan belum terbukti cocok dengan sumber resmi; Material ditagih per periode (keterangan pricelist/sekolah: "Material fee pay every term") - Initial Payment menghitung material x Bayar di Awal; Harga sebagian sesuai sumber resmi; Cara hitung tuition/periode: Hitung: total/tahunan ÷ N; Sumber: https://capital.edu.au/wp-content/uploads/2026/05/Price-List-VET-Jun-2026.pdf, dicek 29/10/2026</t>
  </si>
  <si>
    <t xml:space="preserve">CEK: Price list resmi Jun 2026 hanya total kursus AUD 25.000 (156 minggu); tuition/term di sini = total ÷ 12 term (asumsi). jumlah term &amp; syarat bayar awal tidak disebut - minta konfirmasi/offer letter; Tuition total/tahunan belum terbukti cocok dengan sumber resmi; Harga sebagian sesuai sumber resmi; Cara hitung tuition/periode: Hitung: total/tahunan ÷ N; Sumber: https://capital.edu.au/wp-content/uploads/2026/05/Price-List-VET-Jun-2026.pdf, dicek 29/10/2026</t>
  </si>
  <si>
    <t xml:space="preserve">CEK: Price list resmi Jun 2026 hanya total kursus AUD 23.000 (156 minggu); tuition/term di sini = total ÷ 12 term (asumsi). jumlah term &amp; syarat bayar awal tidak disebut - minta konfirmasi/offer letter; Durasi diperbarui ke 156 mgg (price list hal. 1); total onshore $23.000, material $2.400. CEK: jumlah cicilan/term &amp; deposit tetap belum pasti - 156 mgg tidak otomatis menetapkan jumlah cicilan; Tuition total/tahunan belum terbukti cocok dengan sumber resmi; Harga sebagian sesuai sumber resmi; Cara hitung tuition/periode: Hitung: total/tahunan ÷ N; Sumber: https://capital.edu.au/wp-content/uploads/2026/05/Price-List-VET-Jun-2026.pdf, dicek 29/10/2026</t>
  </si>
  <si>
    <t xml:space="preserve">Cert IV in Kitchen Management</t>
  </si>
  <si>
    <t xml:space="preserve">Asumsi bayar awal 1 term (nilai pricelist lama; dokumen resmi (Fee Policy v3.0 &amp; Handbook V3.0) tidak menyebut jumlah term; deposit mengikuti Fee Structure/offer letter) - konfirmasi ke sekolah; Harga belum dicek ke sumber resmi</t>
  </si>
  <si>
    <t xml:space="preserve">Cert IV in Automotive Mechanical Diagnosis</t>
  </si>
  <si>
    <t xml:space="preserve">0.5 years</t>
  </si>
  <si>
    <t xml:space="preserve">Diploma of Leadership and Management</t>
  </si>
  <si>
    <t xml:space="preserve">Diploma of Project Management</t>
  </si>
  <si>
    <t xml:space="preserve">ONSHORE - TASMANIA HOBART</t>
  </si>
  <si>
    <t xml:space="preserve">Dip of Interpreting (Spoken Language) + Adv Dip of Translating ($4200/term in Adv Dip)</t>
  </si>
  <si>
    <t xml:space="preserve">• =+SUM(E35:I35)+E35 2 terms tuition applied</t>
  </si>
  <si>
    <t xml:space="preserve">• =+SUM(E43:I43)+E43 2 terms tuition applied</t>
  </si>
  <si>
    <t xml:space="preserve">• =+SUM(E55:I55)+E55 2 terms tuition applied</t>
  </si>
  <si>
    <t xml:space="preserve">• =+SUM(E73:I73)+E73 2 terms tuition applied</t>
  </si>
  <si>
    <t xml:space="preserve">• =+SUM(E80:I80)+E80 2 terms tuition applied</t>
  </si>
  <si>
    <t xml:space="preserve">• =+SUM(E91:I91)+E91 2 terms tuition applied</t>
  </si>
  <si>
    <t xml:space="preserve">• =+SUM(E109:I109)+E109 2 terms tuition applied</t>
  </si>
  <si>
    <t xml:space="preserve">ONSHORE - DARWIN (NT)</t>
  </si>
  <si>
    <t xml:space="preserve">Canterbury Institute of Management (CIM)
2 Printers Place, Darwin City, NT 0800</t>
  </si>
  <si>
    <t xml:space="preserve">Master of Information Technology (IT)y (Information Systems)</t>
  </si>
  <si>
    <t xml:space="preserve">Associate Degree of Accounting Studies</t>
  </si>
  <si>
    <t xml:space="preserve">Bachelor of Education Studies</t>
  </si>
  <si>
    <t xml:space="preserve">Diploma of Health Studies</t>
  </si>
  <si>
    <t xml:space="preserve">Diploma of Introductory Accounting</t>
  </si>
  <si>
    <t xml:space="preserve">CEK: Sebagian sesuai sumber resmi: 17,371 (0,5 thn = 1 semester) /2 = 8,686. Sebagian baris cocok, sebagian tidak: Offshore Darwin: 8686; Onshore Darwin (NT): 4343; Onshore Darwin (NT): 8686. Kem | Kemungkinan salah: 4.343 = setengah harga resmi 8.686 per semester. Cek ke CDU.; Material/enrolment belum tercatat (material+enrolment; dihitung 0 di Estimasi Initial Payment); Tuition total/tahunan belum terbukti cocok dengan sumber resmi; Harga sebagian sesuai sumber resmi; Cara hitung tuition/periode: Hitung: total/tahunan ÷ N; Sumber: https://www.cdu.edu.au/files/2025-08/2026-he-international-annual-tuition-fees.pdf, dicek 29/10/2026; Kode internal: TAFE</t>
  </si>
  <si>
    <t xml:space="preserve">Material/enrolment belum tercatat (material+enrolment; dihitung 0 di Estimasi Initial Payment); Harga sesuai sumber resmi; Cara hitung tuition/periode: Hitung: total/tahunan ÷ N; Sumber: https://www.cdu.edu.au/files/2026-08/2027-International-TAFE-VET-Fee.pdf, dicek 29/10/2026; Kode internal: TAFE</t>
  </si>
  <si>
    <t xml:space="preserve">Cert IV of Kicthen Management</t>
  </si>
  <si>
    <t xml:space="preserve">ONSHORE - GOSFORD</t>
  </si>
  <si>
    <t xml:space="preserve">CEK: Kampus terdaftar Novus: Gosford (153 Mann St), Ultimo (Level 3, Suites 3.09-3.11, 22-36 Mountain St), Perth (Unit 53, 188 Newcastle St) - konfirmasi alamat workshop/lainnya [berlaku untuk semua program terkait; asal Onshore - Gosford r6]; Harga belum dicek ke sumber resmi</t>
  </si>
  <si>
    <t xml:space="preserve">CEK: Kampus terdaftar Novus: Gosford (153 Mann St), Ultimo (Level 3, Suites 3.09-3.11, 22-36 Mountain St), Perth (Unit 53, 188 Newcastle St) - konfirmasi alamat workshop/lainnya [berlaku untuk semua program terkait; asal Onshore - Gosford r6]; CEK: Lebih murah dari harga publik (~3,417/periode): pastikan ini harga agen/promo yang berlaku. Dicocokkan dicek 30/10/2026: selisih 35.6% - tidak ada skema resmi ditemukan; tetap perlu dokumen agen/promo bertanggal; Harga agen: dokumen price list agen belum dilampirkan; Lebih murah dari harga publik - kemungkinan harga agen/promo (tidak diubah); Cara hitung tuition/periode: Hitung: total/tahunan ÷ N; Sumber: https://www.oneuedu.com/en-US/schools/novus-education-03966K, dicek 29/10/2026</t>
  </si>
  <si>
    <t xml:space="preserve">CEK: Kampus terdaftar Novus: Gosford (153 Mann St), Ultimo (Level 3, Suites 3.09-3.11, 22-36 Mountain St), Perth (Unit 53, 188 Newcastle St) - konfirmasi alamat workshop/lainnya [berlaku untuk semua program terkait; asal Onshore - Gosford r6]; CEK: Lebih murah dari harga publik (~3,275/periode): pastikan ini harga agen/promo yang berlaku. Dicocokkan dicek 30/10/2026: selisih 35.9% - tidak ada skema resmi ditemukan; tetap perlu dokumen agen/promo bertanggal; Harga agen: dokumen price list agen belum dilampirkan; Lebih murah dari harga publik - kemungkinan harga agen/promo (tidak diubah); Cara hitung tuition/periode: Hitung: total/tahunan ÷ N; Sumber: https://www.oneuedu.com/en-US/schools/novus-education-03966K, dicek 29/10/2026</t>
  </si>
  <si>
    <t xml:space="preserve">ELICOS (Kursus Bahasa Inggris)</t>
  </si>
  <si>
    <t xml:space="preserve">Pricelist TALENTED EDUCATION GROUP PTY LTD  |  Semua harga dalam AUD per minggu kecuali Enrolment Fee</t>
  </si>
  <si>
    <t xml:space="preserve">Sekolah</t>
  </si>
  <si>
    <t xml:space="preserve">Kota</t>
  </si>
  <si>
    <t xml:space="preserve">Alamat</t>
  </si>
  <si>
    <t xml:space="preserve">Syarat</t>
  </si>
  <si>
    <t xml:space="preserve">Tuition / Minggu (Offshore)</t>
  </si>
  <si>
    <t xml:space="preserve">Tuition / Minggu (Onshore)</t>
  </si>
  <si>
    <t xml:space="preserve">Material Fee (satuan sesuai Syarat: in full / per level / per 12 minggu / per kursus; per minggu bila Syarat tidak menyebut)</t>
  </si>
  <si>
    <t xml:space="preserve">Catatan</t>
  </si>
  <si>
    <t xml:space="preserve">Minggu dasar estimasi (dari kolom Syarat; bila tidak disebut = ASUMSI 10 minggu)</t>
  </si>
  <si>
    <t xml:space="preserve">Enrolment offshore jika beda (dari Catatan)</t>
  </si>
  <si>
    <t xml:space="preserve">Estimasi Initial Payment ke Sekolah (Offshore)</t>
  </si>
  <si>
    <t xml:space="preserve">Estimasi Initial Payment ke Sekolah (Onshore)</t>
  </si>
  <si>
    <t xml:space="preserve">Dasar estimasi Initial Payment</t>
  </si>
  <si>
    <t xml:space="preserve">Academies Australasia (ACA)</t>
  </si>
  <si>
    <t xml:space="preserve">Sydney</t>
  </si>
  <si>
    <t xml:space="preserve">Level 6, 505 George Street, Sydney NSW 2000 Australia</t>
  </si>
  <si>
    <t xml:space="preserve">Offshore TBC by MM, Material fee in full</t>
  </si>
  <si>
    <t xml:space="preserve">ASUMSI: tarif offshore kosong/0 di file -&gt; Initial Payment offshore memakai tarif onshore (/minggu). Ganti setelah tarif offshore resmi diketahui. Rumus: tuition/minggu x minggu dasar + material 1x (bukan per minggu) + enrolment; ASUMSI 10 minggu (minimum tidak disebut di Syarat); PERHATIAN: Syarat menyebut material "in full" - basis material bisa berbeda dari per minggu; ESTIMASI berdasarkan harga di sheet ELICOS (belum diverifikasi ke sumber resmi); final mengikuti offer letter; Material dihitung 1x sesuai basis: Syarat: "Material fee in full"; diperbaiki 06/11/2026 (audit); CEK basis "in full" (total vs per minggu) ke brosur agen</t>
  </si>
  <si>
    <t xml:space="preserve">Albright Institute</t>
  </si>
  <si>
    <t xml:space="preserve">Sydney-Adelaide-Melbourne-Brisbane</t>
  </si>
  <si>
    <t xml:space="preserve">Check footer price list or Website</t>
  </si>
  <si>
    <t xml:space="preserve">Minimum 6 weeks</t>
  </si>
  <si>
    <t xml:space="preserve">Offshore enrolment fee $300</t>
  </si>
  <si>
    <t xml:space="preserve">Rumus: tuition/minggu x minggu dasar + material/minggu x minggu dasar + enrolment; Syarat: Minimum 6 weeks; enrolment offshore 300 dari Catatan; ESTIMASI berdasarkan harga di sheet ELICOS (belum diverifikasi ke sumber resmi); final mengikuti offer letter</t>
  </si>
  <si>
    <t xml:space="preserve">Amazing English</t>
  </si>
  <si>
    <t xml:space="preserve">Melbourne</t>
  </si>
  <si>
    <t xml:space="preserve">Part of Level 10, 601 Brouke St, Melbourne, VIC 3000</t>
  </si>
  <si>
    <t xml:space="preserve">Minimum 10 weeks</t>
  </si>
  <si>
    <t xml:space="preserve">Rumus: tuition/minggu x minggu dasar + material/minggu x minggu dasar + enrolment; Syarat: Minimum 10 weeks; ESTIMASI berdasarkan harga di sheet ELICOS (belum diverifikasi ke sumber resmi); final mengikuti offer letter</t>
  </si>
  <si>
    <t xml:space="preserve">Australian Business &amp; Culinary Institute (ABC Institute)</t>
  </si>
  <si>
    <t xml:space="preserve">Adelaide - Melbourne</t>
  </si>
  <si>
    <t xml:space="preserve">Level 4, 343 Little Collins Street Terrace, Melbourne, VIC 3000------------ Level 1, 142 North Terrace. Adelaide, SA 5000</t>
  </si>
  <si>
    <t xml:space="preserve">Minimum 12 weeks</t>
  </si>
  <si>
    <t xml:space="preserve">Rumus: tuition/minggu x minggu dasar + material/minggu x minggu dasar + enrolment; Syarat: Minimum 12 weeks; ESTIMASI berdasarkan harga di sheet ELICOS (belum diverifikasi ke sumber resmi); final mengikuti offer letter</t>
  </si>
  <si>
    <t xml:space="preserve">Australian Ideal College (AIC)</t>
  </si>
  <si>
    <t xml:space="preserve">Melbourne - Adelaide</t>
  </si>
  <si>
    <t xml:space="preserve">Level 4, 343 Little Collins Street Terrace, Melbourne, VIC 3000, Level 1, 142 North Terrace. Adelaide, SA 5000</t>
  </si>
  <si>
    <t xml:space="preserve">Minimum 16 weeks</t>
  </si>
  <si>
    <t xml:space="preserve">Material fee $20 if Course less than 16 weeks (Offshore), min 8 weeks for onshore</t>
  </si>
  <si>
    <t xml:space="preserve">Rumus: tuition/minggu x minggu dasar + material/minggu x minggu dasar + enrolment; Syarat: Minimum 16 weeks; ESTIMASI berdasarkan harga di sheet ELICOS (belum diverifikasi ke sumber resmi); final mengikuti offer letter</t>
  </si>
  <si>
    <t xml:space="preserve">Sydney - Adelaide</t>
  </si>
  <si>
    <t xml:space="preserve">Level 7 &amp; 8, 75 King Street, Sydney NSW 2000 Australia, Level 3, 7 James Place, Adelaide SA 5000 Australia</t>
  </si>
  <si>
    <t xml:space="preserve">$185 for min 13 weeks (onshore), $165 for min 30 weeks (onshore); $250 for min 13 weeks (offshore), $225 for min 30 weeks (offshore)</t>
  </si>
  <si>
    <t xml:space="preserve">Australian Skills Management Institute (ASMI)</t>
  </si>
  <si>
    <t xml:space="preserve">Brisbane</t>
  </si>
  <si>
    <t xml:space="preserve">Level 8, 269 Wickham St, Fortitude Valley, QLD, 4006</t>
  </si>
  <si>
    <t xml:space="preserve">ASUMSI: tarif onshore kosong/0 di file -&gt; Initial Payment onshore memakai tarif offshore (/minggu). Ganti setelah tarif onshore resmi diketahui. Rumus: tuition/minggu x minggu dasar + material/minggu x minggu dasar + enrolment; Syarat: Minimum 10 weeks; ESTIMASI berdasarkan harga di sheet ELICOS (belum diverifikasi ke sumber resmi); final mengikuti offer letter</t>
  </si>
  <si>
    <t xml:space="preserve">Australian Sovereign College (AuSC)</t>
  </si>
  <si>
    <t xml:space="preserve">L10 601 Bourke Street Melbourne VIC 3000, 395-397 Victoria St, Abbotsford, Victoria 3067, 61 Riggall St, Broadmeadows, Victoria 3047</t>
  </si>
  <si>
    <t xml:space="preserve">$210 for min 30 weeks</t>
  </si>
  <si>
    <t xml:space="preserve">Baxter Institute</t>
  </si>
  <si>
    <t xml:space="preserve">72-92 LANGFORD STREET, NORTH MELBOURNE VIC 3051</t>
  </si>
  <si>
    <t xml:space="preserve">Max 20 weeks</t>
  </si>
  <si>
    <t xml:space="preserve">Rumus: tuition/minggu x minggu dasar + material/minggu x minggu dasar + enrolment; ASUMSI 10 minggu (minimum tidak disebut di Syarat); ESTIMASI berdasarkan harga di sheet ELICOS (belum diverifikasi ke sumber resmi); final mengikuti offer letter</t>
  </si>
  <si>
    <t xml:space="preserve">Perth</t>
  </si>
  <si>
    <t xml:space="preserve">U2, 41-45 COMMERCE AVENUE, ARMADALE, WA - 6112</t>
  </si>
  <si>
    <t xml:space="preserve">Offshore enrolment fee $350</t>
  </si>
  <si>
    <t xml:space="preserve">Rumus: tuition/minggu x minggu dasar + material/minggu x minggu dasar + enrolment; ASUMSI 10 minggu (minimum tidak disebut di Syarat); enrolment offshore 350 dari Catatan; ESTIMASI berdasarkan harga di sheet ELICOS (belum diverifikasi ke sumber resmi); final mengikuti offer letter</t>
  </si>
  <si>
    <t xml:space="preserve">Cambridge College</t>
  </si>
  <si>
    <t xml:space="preserve">Level 5, 269 Wickham Street, Fortitude Valley, QLD 4006</t>
  </si>
  <si>
    <t xml:space="preserve">Minimum 5 weeks</t>
  </si>
  <si>
    <t xml:space="preserve">$200 for min 20 weeks</t>
  </si>
  <si>
    <t xml:space="preserve">Rumus: tuition/minggu x minggu dasar + material/minggu x minggu dasar + enrolment; Syarat: Minimum 5 weeks; ESTIMASI berdasarkan harga di sheet ELICOS (belum diverifikasi ke sumber resmi); final mengikuti offer letter</t>
  </si>
  <si>
    <t xml:space="preserve">Charles Darwin University (CDU) - TAFE</t>
  </si>
  <si>
    <t xml:space="preserve">Darwin</t>
  </si>
  <si>
    <t xml:space="preserve">54 Cavenagh Street, Darwin NT 0800 ------------------- 21 Kitchener Drive, Darwin NT 0800------------------- 815 George Street, Haymarket NSW 2000</t>
  </si>
  <si>
    <t xml:space="preserve">Rumus: tuition/minggu x minggu dasar + material/minggu x minggu dasar + enrolment; Syarat: Minimum 10 weeks; material tidak tercatat (tidak dihitung, bukan nol); enrolment tidak tercatat (tidak dihitung, bukan nol); ESTIMASI berdasarkan harga di sheet ELICOS (belum diverifikasi ke sumber resmi); final mengikuti offer letter</t>
  </si>
  <si>
    <t xml:space="preserve">Collins Institute Of Australia</t>
  </si>
  <si>
    <t xml:space="preserve">Level 6/127 Liverpool St, Sydney NSW 2000, Australia</t>
  </si>
  <si>
    <t xml:space="preserve">Material fee/level</t>
  </si>
  <si>
    <t xml:space="preserve">Rumus: tuition/minggu x minggu dasar + material 1x (bukan per minggu) + enrolment; ASUMSI 10 minggu (minimum tidak disebut di Syarat); PERHATIAN: Syarat menyebut material "/level" - basis material bisa berbeda dari per minggu; ESTIMASI berdasarkan harga di sheet ELICOS (belum diverifikasi ke sumber resmi); final mengikuti offer letter; Material dihitung 1x sesuai basis: Syarat: "Material fee/level"; diperbaiki 06/11/2026 (audit)</t>
  </si>
  <si>
    <t xml:space="preserve">Crown Institute of Higher Education (CIHE)</t>
  </si>
  <si>
    <t xml:space="preserve">Sydney - Canberra - Perth</t>
  </si>
  <si>
    <t xml:space="preserve">116 Pacific Hwy, North Sydney NSW 2060 (Head Office), Level 5, 213 Miller St, North Sydney NSW 2060, 2 Woodville St, Hurstville NSW 2220, Level 11, 307 Pitt St, Sydney NSW 2000, 1325 Hay St, West Perth WA 6005, Unit 2A, 118 Lysaght St, Mitchell ACT 2911, Level 1, 5 Fussell Lane, Gungahlin ACT 2912, Level 4, 40 Cameron Ave, Belconnen ACT 2617,</t>
  </si>
  <si>
    <t xml:space="preserve">Rumus: tuition/minggu x minggu dasar + material/minggu x minggu dasar + enrolment; ASUMSI 10 minggu (minimum tidak disebut di Syarat); material tidak tercatat (tidak dihitung, bukan nol); ESTIMASI berdasarkan harga di sheet ELICOS (belum diverifikasi ke sumber resmi); final mengikuti offer letter</t>
  </si>
  <si>
    <t xml:space="preserve">Dalton College</t>
  </si>
  <si>
    <t xml:space="preserve">Suite 1, Level 14, 190 Queen Street, Melbourne VIC 3000, Australia.</t>
  </si>
  <si>
    <t xml:space="preserve">Minimum 24 weeks</t>
  </si>
  <si>
    <t xml:space="preserve">Rumus: tuition/minggu x minggu dasar + material 1x (bukan per minggu) + enrolment; Syarat: Minimum 24 weeks; ESTIMASI berdasarkan harga di sheet ELICOS (belum diverifikasi ke sumber resmi); final mengikuti offer letter; Material dihitung 1x sesuai basis: situs resmi Dalton (daltoncollege.vic.edu.au/general-englishge-ige-ii, dicek 07/11/2026): GE-I/GE-II 24 minggu tuition publik 7.400 (=308,33/minggu), material 450 per kursus; file: tuition 200/minggu offshore &amp; 158,33 onshore, material 400 = lebih murah dari publik (kemungkinan harga agen) - tidak diganti, konfirmasi harga agen; diperbaiki 06/11/2026 (audit)</t>
  </si>
  <si>
    <t xml:space="preserve">English Wise Global</t>
  </si>
  <si>
    <t xml:space="preserve">Adelaide - Brisbane -Melbourne - Sydney - Parramatta - Gold Coast - Brisbane - Perth</t>
  </si>
  <si>
    <t xml:space="preserve">Brisbane: Suite 21, Level 4/269 Wickham St, Fortitude Valley QLD Gold Coast: Suite 204/89 Scarborough St, Southport QLD Sydney: Level 2, 22/26 Goulburn St, Sydney NSW Parramatta: 43 Hunter St, Parramatta NSW Melbourne: Level 1, Suite 5/190 Queen St, Melbourne Adelaide: Level 2, 90 King William St, Adelaide SA</t>
  </si>
  <si>
    <t xml:space="preserve">Evolution</t>
  </si>
  <si>
    <t xml:space="preserve">Level 7, 8 Quay Street, Haymarket, NSW 2000, Australia</t>
  </si>
  <si>
    <t xml:space="preserve">Minimum 10 weeks, Material fee in full</t>
  </si>
  <si>
    <t xml:space="preserve">`</t>
  </si>
  <si>
    <t xml:space="preserve">Rumus: tuition/minggu x minggu dasar + material 1x (bukan per minggu) + enrolment; Syarat: Minimum 10 weeks, Material fee in full; PERHATIAN: Syarat menyebut material "in full" - basis material bisa berbeda dari per minggu; ESTIMASI berdasarkan harga di sheet ELICOS (belum diverifikasi ke sumber resmi); final mengikuti offer letter; Material dihitung 1x sesuai basis: Syarat: "Material fee in full"; diperbaiki 06/11/2026 (audit); CEK basis "in full" (total vs per minggu) ke brosur agen</t>
  </si>
  <si>
    <t xml:space="preserve">Future English</t>
  </si>
  <si>
    <t xml:space="preserve">Level 3, 301-311 Flinders Lane, Melbourne, VC, 3000</t>
  </si>
  <si>
    <t xml:space="preserve">George Brown College</t>
  </si>
  <si>
    <t xml:space="preserve">L5, 191 Thomas Street, Haymarket NSW 2000</t>
  </si>
  <si>
    <t xml:space="preserve">Global College Australasia</t>
  </si>
  <si>
    <t xml:space="preserve">21 Moore St, East Perth, Western Australia 6004 &amp; 176 Wellington St, East Perth, western Australia 6004</t>
  </si>
  <si>
    <t xml:space="preserve">Minimum 12 weeks, Material fee in full</t>
  </si>
  <si>
    <t xml:space="preserve">Rumus: tuition/minggu x minggu dasar + material 1x (bukan per minggu) + enrolment; Syarat: Minimum 12 weeks, Material fee in full; PERHATIAN: Syarat menyebut material "in full" - basis material bisa berbeda dari per minggu; ESTIMASI berdasarkan harga di sheet ELICOS (belum diverifikasi ke sumber resmi); final mengikuti offer letter; Material dihitung 1x sesuai basis: Syarat: "Material fee in full"; diperbaiki 06/11/2026 (audit); CEK basis "in full" (total vs per minggu) ke brosur agen</t>
  </si>
  <si>
    <t xml:space="preserve">Greenwich College</t>
  </si>
  <si>
    <t xml:space="preserve">Sydney-Melbourne-Brisbane-Gold Coast-</t>
  </si>
  <si>
    <t xml:space="preserve">Check Website</t>
  </si>
  <si>
    <t xml:space="preserve">Perth-Adelaide</t>
  </si>
  <si>
    <t xml:space="preserve">Harbourside Institute OF Australia (HIA)</t>
  </si>
  <si>
    <t xml:space="preserve">Level 3 616-620 Harris Street, Ultimo NSW 2007, Australia</t>
  </si>
  <si>
    <t xml:space="preserve">IIBT (Warwick)</t>
  </si>
  <si>
    <t xml:space="preserve">L5, 8 Quay Street, Haymarket, NSW 2000</t>
  </si>
  <si>
    <t xml:space="preserve">Keystone College</t>
  </si>
  <si>
    <t xml:space="preserve">Adelaide - Perth</t>
  </si>
  <si>
    <t xml:space="preserve">Level 3, 38 Currie St, Adelaide &amp; Level 7, 251 Adelaide Terrace, Perth WA 6000</t>
  </si>
  <si>
    <t xml:space="preserve">Offshore Min16 weeks, Onshore Min 4 weeks</t>
  </si>
  <si>
    <t xml:space="preserve">Rumus: tuition/minggu x minggu dasar + material/minggu x minggu dasar + enrolment; Syarat: Offshore Min16 weeks, Onshore Min 4 weeks; Onshore memakai minimum onshore 4 minggu; ESTIMASI berdasarkan harga di sheet ELICOS (belum diverifikasi ke sumber resmi); final mengikuti offer letter</t>
  </si>
  <si>
    <t xml:space="preserve">Kingston International College</t>
  </si>
  <si>
    <t xml:space="preserve">Western Australia</t>
  </si>
  <si>
    <t xml:space="preserve">Lot 131, 131 Harold Street, Highgate, WA 6003</t>
  </si>
  <si>
    <t xml:space="preserve">Nexus English College</t>
  </si>
  <si>
    <t xml:space="preserve">Level 7, 191-199 Thomas Street, Haymarket, NSW 2000</t>
  </si>
  <si>
    <t xml:space="preserve">NOVUS English College</t>
  </si>
  <si>
    <t xml:space="preserve">Suite 3.09 - 3.11, Level 3, 22-36 Mountain Street, Ultimo NSW 2007, Australia</t>
  </si>
  <si>
    <t xml:space="preserve">Sacred Heart International College (SHIC)</t>
  </si>
  <si>
    <t xml:space="preserve">Level 3, 271 -281, Leviathan Building, Bourke St., Melbourne, Victoria - 3000</t>
  </si>
  <si>
    <t xml:space="preserve">Sacred Heart International College (SHIC) (SHIC)</t>
  </si>
  <si>
    <t xml:space="preserve">Shafston International College</t>
  </si>
  <si>
    <t xml:space="preserve">Sydney-Brisbane-Gold coast</t>
  </si>
  <si>
    <t xml:space="preserve">233 Castlereagh Street, Sydney, NSW 2000 Australia &amp; 72 Nerang St, Southport, Gold Coast QLD 4215 Australia &amp; 46 Thorn St, Kangaroo Point, Brisbane QLD 4169 Australia</t>
  </si>
  <si>
    <t xml:space="preserve">Minimum 4 weeks</t>
  </si>
  <si>
    <t xml:space="preserve">Rumus: tuition/minggu x minggu dasar + material/minggu x minggu dasar + enrolment; Syarat: Minimum 4 weeks; ESTIMASI berdasarkan harga di sheet ELICOS (belum diverifikasi ke sumber resmi); final mengikuti offer letter</t>
  </si>
  <si>
    <t xml:space="preserve">Signet Institute</t>
  </si>
  <si>
    <t xml:space="preserve">Sydney-Adelaide-Melbourne</t>
  </si>
  <si>
    <t xml:space="preserve">L 1, 54 Parramatta Road, Forest Lodge NSW 2037 &amp; Level 5 &amp; 9, 341-345 Queen Street, Melbourne VIC 3000 &amp; Level 3, 45 Grenfell Street, Adelaide SA 5000</t>
  </si>
  <si>
    <t xml:space="preserve">ASUMSI: tarif offshore kosong/0 di file -&gt; Initial Payment offshore memakai tarif onshore (/minggu). Ganti setelah tarif offshore resmi diketahui. Rumus: tuition/minggu x minggu dasar + material/minggu x minggu dasar + enrolment; ASUMSI 10 minggu (minimum tidak disebut di Syarat); ESTIMASI berdasarkan harga di sheet ELICOS (belum diverifikasi ke sumber resmi); final mengikuti offer letter</t>
  </si>
  <si>
    <t xml:space="preserve">Skills Institute of Australia</t>
  </si>
  <si>
    <t xml:space="preserve">Brisbane-Perth</t>
  </si>
  <si>
    <t xml:space="preserve">3431 Pacific Hwy, Slacks Creek, QLD 4127, 74 Walters Drive, Osborne Park, WA 6017</t>
  </si>
  <si>
    <t xml:space="preserve">Sydney English House (Warwick)</t>
  </si>
  <si>
    <t xml:space="preserve">Sydney Metro College</t>
  </si>
  <si>
    <t xml:space="preserve">Level 1, 95 Bathurst Street</t>
  </si>
  <si>
    <t xml:space="preserve">Sydney Metropolitan English Institute (SMEI)</t>
  </si>
  <si>
    <t xml:space="preserve">432-434 Kent Street, Sydney, NSW, 2000 Australia</t>
  </si>
  <si>
    <t xml:space="preserve">TAFE NSW</t>
  </si>
  <si>
    <t xml:space="preserve">Sydney and Regional centres: Ultimo, Newcastle (Tighes Hill), Wollongong and Kingscliff</t>
  </si>
  <si>
    <t xml:space="preserve">$420/week for jika hanya ambil ELICOS tanpa paket VET</t>
  </si>
  <si>
    <t xml:space="preserve">Rumus: tuition/minggu x minggu dasar + material/minggu x minggu dasar + enrolment; Syarat: Minimum 10 weeks; material tidak tercatat (tidak dihitung, bukan nol); ESTIMASI berdasarkan harga di sheet ELICOS (belum diverifikasi ke sumber resmi); final mengikuti offer letter</t>
  </si>
  <si>
    <t xml:space="preserve">TAFE SA</t>
  </si>
  <si>
    <t xml:space="preserve">Adelaide</t>
  </si>
  <si>
    <t xml:space="preserve">ADL – TAFE SA - Adelaide City Campus: 120 Currie Street, Adelaide SA 5000-------------------------- ACA – TAFE SA - Adelaide College of the Arts: 39 Light Square, Adelaide SA 5000----------------------------- GIL – TAFE SA - Gilles Plains Campus: 33 Blacks Road, Gilles Plains SA 5086---------------------------- REG – TAFE SA - Regency Campus: 137 Days Road, Regency Park SA 5010------------------------ TON – TAFE SA - Tonsley Campus: 1284 South Road, Tonsley SA 5042 -------------------------------- URB – TAFE SA - Urrbrae Campus: 505 Fullarton Road, Netherby SA 5062</t>
  </si>
  <si>
    <t xml:space="preserve">Kode internal: YY</t>
  </si>
  <si>
    <t xml:space="preserve">The Centre Of Excellence</t>
  </si>
  <si>
    <t xml:space="preserve">Melbourne-Adelaide</t>
  </si>
  <si>
    <t xml:space="preserve">Level 4/406 Collins St, Melbourne VIC 3000, Australia &amp; 38 Currie St, Adelaide SA 5000, Australia</t>
  </si>
  <si>
    <t xml:space="preserve">Offshore enrolment fee $500</t>
  </si>
  <si>
    <t xml:space="preserve">Rumus: tuition/minggu x minggu dasar + material 1x (bukan per minggu) + enrolment; Syarat: Minimum 12 weeks, Material fee in full; PERHATIAN: Syarat menyebut material "in full" - basis material bisa berbeda dari per minggu; enrolment offshore 500 dari Catatan; ESTIMASI berdasarkan harga di sheet ELICOS (belum diverifikasi ke sumber resmi); final mengikuti offer letter; Material dihitung 1x sesuai basis: Syarat: "Material fee in full"; diperbaiki 06/11/2026 (audit); CEK basis "in full" (total vs per minggu) ke brosur agen</t>
  </si>
  <si>
    <t xml:space="preserve">Times Academy</t>
  </si>
  <si>
    <t xml:space="preserve">LG/101 Sussex St, Sydney NSW 2000, Australia</t>
  </si>
  <si>
    <t xml:space="preserve">Torrens University Australia</t>
  </si>
  <si>
    <t xml:space="preserve">Adelaide - Brisbane -Melbourne - Sydney</t>
  </si>
  <si>
    <t xml:space="preserve">88 Wakefield Street Adelaide SA 5000, 196 Flinders Street Melbourne VIC 3000, 17–51 Foveaux Street Surry Hills NSW 2010, 90 Bowen Terrace Fortitude Valley QLD 4006, 1 Chambers Road Leura NSW 2780, Actors Centre Australia (Sydney) 21–23 Norton Street Leichhardt NSW 2040</t>
  </si>
  <si>
    <t xml:space="preserve">Training for Knowledge and Livelihood (TKL)</t>
  </si>
  <si>
    <t xml:space="preserve">Sydney - Melbourne</t>
  </si>
  <si>
    <t xml:space="preserve">Unit 43, Level 10, 95-99 York St Sydney NSW 2000, Suite 707, Level 7, 159-175 Church St, Parramatta, NSW 2150, Level 6 &amp; 7, 20 Queen St Melbourne VIC 3000</t>
  </si>
  <si>
    <t xml:space="preserve">Victory Institute</t>
  </si>
  <si>
    <t xml:space="preserve">8/22 Market St, Sydney NSW 2000, Australia</t>
  </si>
  <si>
    <t xml:space="preserve">Minimum 12 weeks, Material fee/level</t>
  </si>
  <si>
    <t xml:space="preserve">Rumus: tuition/minggu x minggu dasar + material 1x (bukan per minggu) + enrolment; Syarat: Minimum 12 weeks, Material fee/level; PERHATIAN: Syarat menyebut material "/level" - basis material bisa berbeda dari per minggu; ESTIMASI berdasarkan harga di sheet ELICOS (belum diverifikasi ke sumber resmi); final mengikuti offer letter; Material dihitung 1x sesuai basis: Syarat: "Material fee/level"; situs resmi Victory: material 120/level (dicek 04/11/2026); diperbaiki 06/11/2026 (audit)</t>
  </si>
  <si>
    <t xml:space="preserve">Wattle College</t>
  </si>
  <si>
    <t xml:space="preserve">Level 2, 252 Lygon Street, Carlton, VIC</t>
  </si>
  <si>
    <t xml:space="preserve">Minimum 12 weeks, Material fee/12 weeks</t>
  </si>
  <si>
    <t xml:space="preserve">Rumus: tuition/minggu x minggu dasar + material 1x (bukan per minggu) + enrolment; Syarat: Minimum 12 weeks, Material fee/12 weeks; PERHATIAN: Syarat menyebut material "/12 weeks" - basis material bisa berbeda dari per minggu; ESTIMASI berdasarkan harga di sheet ELICOS (belum diverifikasi ke sumber resmi); final mengikuti offer letter; Material dihitung 1x sesuai basis: Syarat: "Material fee/12 weeks" (minggu dasar 12); diperbaiki 06/11/2026 (audit)</t>
  </si>
  <si>
    <t xml:space="preserve">York Business Institute</t>
  </si>
  <si>
    <t xml:space="preserve">Suite 1, Level 1/338 Pitt St, Sydney NSW 2000, Australia</t>
  </si>
  <si>
    <t xml:space="preserve">Catatan: Harga bisa berubah kapan saja tanpa ada pemberitahuan</t>
  </si>
  <si>
    <t xml:space="preserve">PERBANDINGAN JURUSAN - OFFSHORE</t>
  </si>
  <si>
    <t xml:space="preserve">Semua harga adalah perkiraan (kisaran, bisa lebih atau kurang) dalam AUD. Jumlah akhir, jadwal pembayaran, dan biaya tambahan mengikuti offer letter resmi dari sekolah. Hubungi konsultan TEG untuk penawaran resmi.</t>
  </si>
  <si>
    <t xml:space="preserve">Tanggal update data: 07/11/2026. Semua sekolah di sheet Offshore ditampilkan. Peringkat dihitung dari estimasi tuition per tahun (per periode x 4 term, x 3 trimester, x 2 semester, x 8 unit) per grup Bidang + Kota + Jenjang. Urutan: Bidang A-Z, Kota A-Z, Jenjang rendah ke tinggi, peringkat, nama sekolah A-Z; baris tanpa harga atau yang tidak menerima pendaftaran (Peringkat "-") di bawah grup. Satu baris per sekolah per grup (program termurah yang harganya tersedia). Lihat kolom Keterangan. Sel tuition kuning = material/enrolment belum lengkap tercatat (total biaya bisa lebih).</t>
  </si>
  <si>
    <t xml:space="preserve">Bidang</t>
  </si>
  <si>
    <t xml:space="preserve">Jenjang</t>
  </si>
  <si>
    <t xml:space="preserve">Tuition per periode</t>
  </si>
  <si>
    <t xml:space="preserve">Peringkat termurah di grup</t>
  </si>
  <si>
    <t xml:space="preserve">Grup (bantu)</t>
  </si>
  <si>
    <t xml:space="preserve">Estimasi tuition per tahun (bantu)</t>
  </si>
  <si>
    <t xml:space="preserve">Biaya lengkap (bantu)</t>
  </si>
  <si>
    <t xml:space="preserve">Status (bantu)</t>
  </si>
  <si>
    <t xml:space="preserve">Accounting &amp; Finance - ADELAIDE - Certificate IV</t>
  </si>
  <si>
    <t xml:space="preserve">Accounting &amp; Finance</t>
  </si>
  <si>
    <t xml:space="preserve">Adelaide | Accounting &amp; Finance | Certificate IV</t>
  </si>
  <si>
    <t xml:space="preserve">Accounting &amp; Finance - ADELAIDE - Diploma</t>
  </si>
  <si>
    <t xml:space="preserve">Adelaide | Accounting &amp; Finance | Diploma</t>
  </si>
  <si>
    <t xml:space="preserve">Accounting &amp; Finance - ADELAIDE - Advanced Diploma</t>
  </si>
  <si>
    <t xml:space="preserve">Adelaide | Accounting &amp; Finance | Advanced Diploma</t>
  </si>
  <si>
    <t xml:space="preserve">Accounting &amp; Finance - ADELAIDE - Bachelor</t>
  </si>
  <si>
    <t xml:space="preserve">Adelaide | Accounting &amp; Finance | Bachelor</t>
  </si>
  <si>
    <t xml:space="preserve">Accounting &amp; Finance - ADELAIDE - Graduate Certificate/Diploma</t>
  </si>
  <si>
    <t xml:space="preserve">Graduate Certificate/Diploma</t>
  </si>
  <si>
    <t xml:space="preserve">Adelaide | Accounting &amp; Finance | Graduate Certificate/Diploma</t>
  </si>
  <si>
    <t xml:space="preserve">Accounting &amp; Finance - ADELAIDE - Master</t>
  </si>
  <si>
    <t xml:space="preserve">Adelaide | Accounting &amp; Finance | Master</t>
  </si>
  <si>
    <t xml:space="preserve">Accounting &amp; Finance - BRISBANE - Bachelor</t>
  </si>
  <si>
    <t xml:space="preserve">Brisbane | Accounting &amp; Finance | Bachelor</t>
  </si>
  <si>
    <t xml:space="preserve">Accounting &amp; Finance - BRISBANE - Graduate Certificate/Diploma</t>
  </si>
  <si>
    <t xml:space="preserve">Brisbane | Accounting &amp; Finance | Graduate Certificate/Diploma</t>
  </si>
  <si>
    <t xml:space="preserve">Accounting &amp; Finance - BRISBANE - Master</t>
  </si>
  <si>
    <t xml:space="preserve">Brisbane | Accounting &amp; Finance | Master</t>
  </si>
  <si>
    <t xml:space="preserve">Accounting &amp; Finance - CANBERRA - Bachelor</t>
  </si>
  <si>
    <t xml:space="preserve">Canberra</t>
  </si>
  <si>
    <t xml:space="preserve">Canberra | Accounting &amp; Finance | Bachelor</t>
  </si>
  <si>
    <t xml:space="preserve">Accounting &amp; Finance - CANBERRA - Master</t>
  </si>
  <si>
    <t xml:space="preserve">Canberra | Accounting &amp; Finance | Master</t>
  </si>
  <si>
    <t xml:space="preserve">Accounting &amp; Finance - DARWIN - Bachelor</t>
  </si>
  <si>
    <t xml:space="preserve">Darwin | Accounting &amp; Finance | Bachelor</t>
  </si>
  <si>
    <t xml:space="preserve">Accounting &amp; Finance - DARWIN - Master</t>
  </si>
  <si>
    <t xml:space="preserve">Darwin | Accounting &amp; Finance | Master</t>
  </si>
  <si>
    <t xml:space="preserve">Accounting &amp; Finance - MELBOURNE - Diploma</t>
  </si>
  <si>
    <t xml:space="preserve">Melbourne | Accounting &amp; Finance | Diploma</t>
  </si>
  <si>
    <t xml:space="preserve">Accounting &amp; Finance - MELBOURNE - Bachelor</t>
  </si>
  <si>
    <t xml:space="preserve">Melbourne | Accounting &amp; Finance | Bachelor</t>
  </si>
  <si>
    <t xml:space="preserve">Accounting &amp; Finance - MELBOURNE - Graduate Certificate/Diploma</t>
  </si>
  <si>
    <t xml:space="preserve">Melbourne | Accounting &amp; Finance | Graduate Certificate/Diploma</t>
  </si>
  <si>
    <t xml:space="preserve">Accounting &amp; Finance - MELBOURNE - Master</t>
  </si>
  <si>
    <t xml:space="preserve">Melbourne | Accounting &amp; Finance | Master</t>
  </si>
  <si>
    <t xml:space="preserve">Accounting &amp; Finance - PERTH - Diploma</t>
  </si>
  <si>
    <t xml:space="preserve">Perth | Accounting &amp; Finance | Diploma</t>
  </si>
  <si>
    <t xml:space="preserve">Accounting &amp; Finance - PERTH - Graduate Certificate/Diploma</t>
  </si>
  <si>
    <t xml:space="preserve">Perth | Accounting &amp; Finance | Graduate Certificate/Diploma</t>
  </si>
  <si>
    <t xml:space="preserve">Accounting &amp; Finance - PERTH - Master</t>
  </si>
  <si>
    <t xml:space="preserve">Perth | Accounting &amp; Finance | Master</t>
  </si>
  <si>
    <t xml:space="preserve">Accounting &amp; Finance - SYDNEY - Certificate IV</t>
  </si>
  <si>
    <t xml:space="preserve">Sydney | Accounting &amp; Finance | Certificate IV</t>
  </si>
  <si>
    <t xml:space="preserve">Accounting &amp; Finance - SYDNEY - Diploma</t>
  </si>
  <si>
    <t xml:space="preserve">Sydney | Accounting &amp; Finance | Diploma</t>
  </si>
  <si>
    <t xml:space="preserve">Accounting &amp; Finance - SYDNEY - Advanced Diploma</t>
  </si>
  <si>
    <t xml:space="preserve">Sydney | Accounting &amp; Finance | Advanced Diploma</t>
  </si>
  <si>
    <t xml:space="preserve">Accounting &amp; Finance - SYDNEY - Bachelor</t>
  </si>
  <si>
    <t xml:space="preserve">Sydney | Accounting &amp; Finance | Bachelor</t>
  </si>
  <si>
    <t xml:space="preserve">Accounting &amp; Finance - SYDNEY - Graduate Certificate/Diploma</t>
  </si>
  <si>
    <t xml:space="preserve">Sydney | Accounting &amp; Finance | Graduate Certificate/Diploma</t>
  </si>
  <si>
    <t xml:space="preserve">Accounting &amp; Finance - SYDNEY - Master</t>
  </si>
  <si>
    <t xml:space="preserve">Sydney | Accounting &amp; Finance | Master</t>
  </si>
  <si>
    <t xml:space="preserve">Accounting &amp; Finance - TASMANIA HOBART - Graduate Certificate/Diploma</t>
  </si>
  <si>
    <t xml:space="preserve">Tasmania Hobart</t>
  </si>
  <si>
    <t xml:space="preserve">Tasmania Hobart | Accounting &amp; Finance | Graduate Certificate/Diploma</t>
  </si>
  <si>
    <t xml:space="preserve">Accounting &amp; Finance - TASMANIA HOBART - Master</t>
  </si>
  <si>
    <t xml:space="preserve">Tasmania Hobart | Accounting &amp; Finance | Master</t>
  </si>
  <si>
    <t xml:space="preserve">Agriculture &amp; Horticulture - ADELAIDE - Certificate III</t>
  </si>
  <si>
    <t xml:space="preserve">Agriculture &amp; Horticulture</t>
  </si>
  <si>
    <t xml:space="preserve">Adelaide | Agriculture &amp; Horticulture | Certificate III</t>
  </si>
  <si>
    <t xml:space="preserve">Agriculture &amp; Horticulture - ADELAIDE - Diploma</t>
  </si>
  <si>
    <t xml:space="preserve">Adelaide | Agriculture &amp; Horticulture | Diploma</t>
  </si>
  <si>
    <t xml:space="preserve">Agriculture &amp; Horticulture - ADELAIDE - Bachelor</t>
  </si>
  <si>
    <t xml:space="preserve">Adelaide | Agriculture &amp; Horticulture | Bachelor</t>
  </si>
  <si>
    <t xml:space="preserve">Agriculture &amp; Horticulture - ADELAIDE - Master</t>
  </si>
  <si>
    <t xml:space="preserve">Adelaide | Agriculture &amp; Horticulture | Master</t>
  </si>
  <si>
    <t xml:space="preserve">Agriculture &amp; Horticulture - ARMIDALE - Diploma</t>
  </si>
  <si>
    <t xml:space="preserve">Armidale</t>
  </si>
  <si>
    <t xml:space="preserve">Armidale | Agriculture &amp; Horticulture | Diploma</t>
  </si>
  <si>
    <t xml:space="preserve">Agriculture &amp; Horticulture - ARMIDALE - Advanced Diploma</t>
  </si>
  <si>
    <t xml:space="preserve">Armidale | Agriculture &amp; Horticulture | Advanced Diploma</t>
  </si>
  <si>
    <t xml:space="preserve">Agriculture &amp; Horticulture - BRISBANE - Bachelor</t>
  </si>
  <si>
    <t xml:space="preserve">Brisbane | Agriculture &amp; Horticulture | Bachelor</t>
  </si>
  <si>
    <t xml:space="preserve">Agriculture &amp; Horticulture - BRISBANE - Graduate Certificate/Diploma</t>
  </si>
  <si>
    <t xml:space="preserve">Brisbane | Agriculture &amp; Horticulture | Graduate Certificate/Diploma</t>
  </si>
  <si>
    <t xml:space="preserve">Agriculture &amp; Horticulture - BRISBANE - Master</t>
  </si>
  <si>
    <t xml:space="preserve">Brisbane | Agriculture &amp; Horticulture | Master</t>
  </si>
  <si>
    <t xml:space="preserve">Agriculture &amp; Horticulture - SYDNEY - Certificate III</t>
  </si>
  <si>
    <t xml:space="preserve">Sydney | Agriculture &amp; Horticulture | Certificate III</t>
  </si>
  <si>
    <t xml:space="preserve">Agriculture &amp; Horticulture - SYDNEY - Diploma</t>
  </si>
  <si>
    <t xml:space="preserve">Sydney | Agriculture &amp; Horticulture | Diploma</t>
  </si>
  <si>
    <t xml:space="preserve">Agriculture &amp; Horticulture - SYDNEY - Bachelor</t>
  </si>
  <si>
    <t xml:space="preserve">Sydney | Agriculture &amp; Horticulture | Bachelor</t>
  </si>
  <si>
    <t xml:space="preserve">Agriculture &amp; Horticulture - SYDNEY - Graduate Certificate/Diploma</t>
  </si>
  <si>
    <t xml:space="preserve">Sydney | Agriculture &amp; Horticulture | Graduate Certificate/Diploma</t>
  </si>
  <si>
    <t xml:space="preserve">Agriculture &amp; Horticulture - SYDNEY - Master</t>
  </si>
  <si>
    <t xml:space="preserve">Sydney | Agriculture &amp; Horticulture | Master</t>
  </si>
  <si>
    <t xml:space="preserve">Agriculture &amp; Horticulture - TASMANIA HOBART - Bachelor</t>
  </si>
  <si>
    <t xml:space="preserve">Tasmania Hobart | Agriculture &amp; Horticulture | Bachelor</t>
  </si>
  <si>
    <t xml:space="preserve">Agriculture &amp; Horticulture - TASMANIA HOBART - Master</t>
  </si>
  <si>
    <t xml:space="preserve">Tasmania Hobart | Agriculture &amp; Horticulture | Master</t>
  </si>
  <si>
    <t xml:space="preserve">Automotive - ADELAIDE - Certificate IV</t>
  </si>
  <si>
    <t xml:space="preserve">Automotive</t>
  </si>
  <si>
    <t xml:space="preserve">Adelaide | Automotive | Certificate IV</t>
  </si>
  <si>
    <t xml:space="preserve">Automotive - ADELAIDE - Diploma</t>
  </si>
  <si>
    <t xml:space="preserve">Adelaide | Automotive | Diploma</t>
  </si>
  <si>
    <t xml:space="preserve">Automotive - BRISBANE - Certificate III</t>
  </si>
  <si>
    <t xml:space="preserve">Brisbane | Automotive | Certificate III</t>
  </si>
  <si>
    <t xml:space="preserve">Automotive - BRISBANE - Certificate IV</t>
  </si>
  <si>
    <t xml:space="preserve">Brisbane | Automotive | Certificate IV</t>
  </si>
  <si>
    <t xml:space="preserve">Automotive - BRISBANE - Diploma</t>
  </si>
  <si>
    <t xml:space="preserve">Brisbane | Automotive | Diploma</t>
  </si>
  <si>
    <t xml:space="preserve">Automotive - CANBERRA - Certificate IV</t>
  </si>
  <si>
    <t xml:space="preserve">Canberra | Automotive | Certificate IV</t>
  </si>
  <si>
    <t xml:space="preserve">Automotive - MELBOURNE - Certificate III</t>
  </si>
  <si>
    <t xml:space="preserve">Melbourne | Automotive | Certificate III</t>
  </si>
  <si>
    <t xml:space="preserve">Automotive - MELBOURNE - Certificate IV</t>
  </si>
  <si>
    <t xml:space="preserve">Melbourne | Automotive | Certificate IV</t>
  </si>
  <si>
    <t xml:space="preserve">Automotive - MELBOURNE - Diploma</t>
  </si>
  <si>
    <t xml:space="preserve">Melbourne | Automotive | Diploma</t>
  </si>
  <si>
    <t xml:space="preserve">Automotive - PERTH - Certificate IV</t>
  </si>
  <si>
    <t xml:space="preserve">Perth | Automotive | Certificate IV</t>
  </si>
  <si>
    <t xml:space="preserve">Automotive - PERTH - Diploma</t>
  </si>
  <si>
    <t xml:space="preserve">Perth | Automotive | Diploma</t>
  </si>
  <si>
    <t xml:space="preserve">Automotive - SYDNEY - Certificate III</t>
  </si>
  <si>
    <t xml:space="preserve">Sydney | Automotive | Certificate III</t>
  </si>
  <si>
    <t xml:space="preserve">Automotive - SYDNEY - Certificate IV</t>
  </si>
  <si>
    <t xml:space="preserve">Sydney | Automotive | Certificate IV</t>
  </si>
  <si>
    <t xml:space="preserve">Automotive - SYDNEY - Diploma</t>
  </si>
  <si>
    <t xml:space="preserve">Sydney | Automotive | Diploma</t>
  </si>
  <si>
    <t xml:space="preserve">Automotive - SYDNEY - Others</t>
  </si>
  <si>
    <t xml:space="preserve">Others</t>
  </si>
  <si>
    <t xml:space="preserve">Sydney | Automotive | Others</t>
  </si>
  <si>
    <t xml:space="preserve">Beauty &amp; Hairdressing - ADELAIDE - Certificate III</t>
  </si>
  <si>
    <t xml:space="preserve">Beauty &amp; Hairdressing</t>
  </si>
  <si>
    <t xml:space="preserve">Adelaide | Beauty &amp; Hairdressing | Certificate III</t>
  </si>
  <si>
    <t xml:space="preserve">Beauty &amp; Hairdressing - BRISBANE - Diploma</t>
  </si>
  <si>
    <t xml:space="preserve">Brisbane | Beauty &amp; Hairdressing | Diploma</t>
  </si>
  <si>
    <t xml:space="preserve">Beauty &amp; Hairdressing - MELBOURNE - Diploma</t>
  </si>
  <si>
    <t xml:space="preserve">Melbourne | Beauty &amp; Hairdressing | Diploma</t>
  </si>
  <si>
    <t xml:space="preserve">Beauty &amp; Hairdressing - SYDNEY - Diploma</t>
  </si>
  <si>
    <t xml:space="preserve">Sydney | Beauty &amp; Hairdressing | Diploma</t>
  </si>
  <si>
    <t xml:space="preserve">Business &amp; Management - ADELAIDE - Certificate IV</t>
  </si>
  <si>
    <t xml:space="preserve">Business &amp; Management</t>
  </si>
  <si>
    <t xml:space="preserve">Adelaide | Business &amp; Management | Certificate IV</t>
  </si>
  <si>
    <t xml:space="preserve">Business &amp; Management - ADELAIDE - Diploma</t>
  </si>
  <si>
    <t xml:space="preserve">Adelaide | Business &amp; Management | Diploma</t>
  </si>
  <si>
    <t xml:space="preserve">Business &amp; Management - ADELAIDE - Advanced Diploma</t>
  </si>
  <si>
    <t xml:space="preserve">Adelaide | Business &amp; Management | Advanced Diploma</t>
  </si>
  <si>
    <t xml:space="preserve">Business &amp; Management - ADELAIDE - Bachelor</t>
  </si>
  <si>
    <t xml:space="preserve">Adelaide | Business &amp; Management | Bachelor</t>
  </si>
  <si>
    <t xml:space="preserve">Business &amp; Management - ADELAIDE - Graduate Certificate/Diploma</t>
  </si>
  <si>
    <t xml:space="preserve">Adelaide | Business &amp; Management | Graduate Certificate/Diploma</t>
  </si>
  <si>
    <t xml:space="preserve">Business &amp; Management - ADELAIDE - Master</t>
  </si>
  <si>
    <t xml:space="preserve">Adelaide | Business &amp; Management | Master</t>
  </si>
  <si>
    <t xml:space="preserve">Business &amp; Management - BRISBANE - Diploma</t>
  </si>
  <si>
    <t xml:space="preserve">Brisbane | Business &amp; Management | Diploma</t>
  </si>
  <si>
    <t xml:space="preserve">Business &amp; Management - BRISBANE - Advanced Diploma</t>
  </si>
  <si>
    <t xml:space="preserve">Brisbane | Business &amp; Management | Advanced Diploma</t>
  </si>
  <si>
    <t xml:space="preserve">Business &amp; Management - BRISBANE - Bachelor</t>
  </si>
  <si>
    <t xml:space="preserve">Brisbane | Business &amp; Management | Bachelor</t>
  </si>
  <si>
    <t xml:space="preserve">Business &amp; Management - BRISBANE - Graduate Certificate/Diploma</t>
  </si>
  <si>
    <t xml:space="preserve">Brisbane | Business &amp; Management | Graduate Certificate/Diploma</t>
  </si>
  <si>
    <t xml:space="preserve">Business &amp; Management - BRISBANE - Master</t>
  </si>
  <si>
    <t xml:space="preserve">Brisbane | Business &amp; Management | Master</t>
  </si>
  <si>
    <t xml:space="preserve">Business &amp; Management - CANBERRA - Diploma</t>
  </si>
  <si>
    <t xml:space="preserve">Canberra | Business &amp; Management | Diploma</t>
  </si>
  <si>
    <t xml:space="preserve">Business &amp; Management - CANBERRA - Advanced Diploma</t>
  </si>
  <si>
    <t xml:space="preserve">Canberra | Business &amp; Management | Advanced Diploma</t>
  </si>
  <si>
    <t xml:space="preserve">Business &amp; Management - CANBERRA - Bachelor</t>
  </si>
  <si>
    <t xml:space="preserve">Canberra | Business &amp; Management | Bachelor</t>
  </si>
  <si>
    <t xml:space="preserve">Business &amp; Management - CANBERRA - Graduate Certificate/Diploma</t>
  </si>
  <si>
    <t xml:space="preserve">Canberra | Business &amp; Management | Graduate Certificate/Diploma</t>
  </si>
  <si>
    <t xml:space="preserve">Business &amp; Management - CANBERRA - Master</t>
  </si>
  <si>
    <t xml:space="preserve">Canberra | Business &amp; Management | Master</t>
  </si>
  <si>
    <t xml:space="preserve">Business &amp; Management - DARWIN - Diploma</t>
  </si>
  <si>
    <t xml:space="preserve">Darwin | Business &amp; Management | Diploma</t>
  </si>
  <si>
    <t xml:space="preserve">Business &amp; Management - DARWIN - Advanced Diploma</t>
  </si>
  <si>
    <t xml:space="preserve">Darwin | Business &amp; Management | Advanced Diploma</t>
  </si>
  <si>
    <t xml:space="preserve">Business &amp; Management - DARWIN - Bachelor</t>
  </si>
  <si>
    <t xml:space="preserve">Darwin | Business &amp; Management | Bachelor</t>
  </si>
  <si>
    <t xml:space="preserve">Business &amp; Management - DARWIN - Graduate Certificate/Diploma</t>
  </si>
  <si>
    <t xml:space="preserve">Darwin | Business &amp; Management | Graduate Certificate/Diploma</t>
  </si>
  <si>
    <t xml:space="preserve">Business &amp; Management - DARWIN - Master</t>
  </si>
  <si>
    <t xml:space="preserve">Darwin | Business &amp; Management | Master</t>
  </si>
  <si>
    <t xml:space="preserve">Business &amp; Management - DARWIN - Others</t>
  </si>
  <si>
    <t xml:space="preserve">Darwin | Business &amp; Management | Others</t>
  </si>
  <si>
    <t xml:space="preserve">Business &amp; Management - GOSFORD - Diploma</t>
  </si>
  <si>
    <t xml:space="preserve">Gosford</t>
  </si>
  <si>
    <t xml:space="preserve">Gosford | Business &amp; Management | Diploma</t>
  </si>
  <si>
    <t xml:space="preserve">Business &amp; Management - GOSFORD - Advanced Diploma</t>
  </si>
  <si>
    <t xml:space="preserve">Gosford | Business &amp; Management | Advanced Diploma</t>
  </si>
  <si>
    <t xml:space="preserve">Business &amp; Management - MELBOURNE - Diploma</t>
  </si>
  <si>
    <t xml:space="preserve">Melbourne | Business &amp; Management | Diploma</t>
  </si>
  <si>
    <t xml:space="preserve">Business &amp; Management - MELBOURNE - Advanced Diploma</t>
  </si>
  <si>
    <t xml:space="preserve">Melbourne | Business &amp; Management | Advanced Diploma</t>
  </si>
  <si>
    <t xml:space="preserve">Business &amp; Management - MELBOURNE - Bachelor</t>
  </si>
  <si>
    <t xml:space="preserve">Melbourne | Business &amp; Management | Bachelor</t>
  </si>
  <si>
    <t xml:space="preserve">Business &amp; Management - MELBOURNE - Graduate Certificate/Diploma</t>
  </si>
  <si>
    <t xml:space="preserve">Melbourne | Business &amp; Management | Graduate Certificate/Diploma</t>
  </si>
  <si>
    <t xml:space="preserve">Business &amp; Management - MELBOURNE - Master</t>
  </si>
  <si>
    <t xml:space="preserve">Melbourne | Business &amp; Management | Master</t>
  </si>
  <si>
    <t xml:space="preserve">Business &amp; Management - PERTH - Certificate IV</t>
  </si>
  <si>
    <t xml:space="preserve">Perth | Business &amp; Management | Certificate IV</t>
  </si>
  <si>
    <t xml:space="preserve">Business &amp; Management - PERTH - Diploma</t>
  </si>
  <si>
    <t xml:space="preserve">Perth | Business &amp; Management | Diploma</t>
  </si>
  <si>
    <t xml:space="preserve">Business &amp; Management - PERTH - Advanced Diploma</t>
  </si>
  <si>
    <t xml:space="preserve">Perth | Business &amp; Management | Advanced Diploma</t>
  </si>
  <si>
    <t xml:space="preserve">Business &amp; Management - PERTH - Bachelor</t>
  </si>
  <si>
    <t xml:space="preserve">Perth | Business &amp; Management | Bachelor</t>
  </si>
  <si>
    <t xml:space="preserve">Business &amp; Management - PERTH - Graduate Certificate/Diploma</t>
  </si>
  <si>
    <t xml:space="preserve">Perth | Business &amp; Management | Graduate Certificate/Diploma</t>
  </si>
  <si>
    <t xml:space="preserve">Business &amp; Management - PERTH - Master</t>
  </si>
  <si>
    <t xml:space="preserve">Perth | Business &amp; Management | Master</t>
  </si>
  <si>
    <t xml:space="preserve">Business &amp; Management - SYDNEY - Certificate IV</t>
  </si>
  <si>
    <t xml:space="preserve">Sydney | Business &amp; Management | Certificate IV</t>
  </si>
  <si>
    <t xml:space="preserve">Business &amp; Management - SYDNEY - Diploma</t>
  </si>
  <si>
    <t xml:space="preserve">Sydney | Business &amp; Management | Diploma</t>
  </si>
  <si>
    <t xml:space="preserve">Business &amp; Management - SYDNEY - Advanced Diploma</t>
  </si>
  <si>
    <t xml:space="preserve">Sydney | Business &amp; Management | Advanced Diploma</t>
  </si>
  <si>
    <t xml:space="preserve">Business &amp; Management - SYDNEY - Bachelor</t>
  </si>
  <si>
    <t xml:space="preserve">Sydney | Business &amp; Management | Bachelor</t>
  </si>
  <si>
    <t xml:space="preserve">Business &amp; Management - SYDNEY - Graduate Certificate/Diploma</t>
  </si>
  <si>
    <t xml:space="preserve">Sydney | Business &amp; Management | Graduate Certificate/Diploma</t>
  </si>
  <si>
    <t xml:space="preserve">Business &amp; Management - SYDNEY - Master</t>
  </si>
  <si>
    <t xml:space="preserve">Sydney | Business &amp; Management | Master</t>
  </si>
  <si>
    <t xml:space="preserve">Business &amp; Management - SYDNEY - Others</t>
  </si>
  <si>
    <t xml:space="preserve">Sydney | Business &amp; Management | Others</t>
  </si>
  <si>
    <t xml:space="preserve">Business &amp; Management - TASMANIA HOBART - Advanced Diploma</t>
  </si>
  <si>
    <t xml:space="preserve">Tasmania Hobart | Business &amp; Management | Advanced Diploma</t>
  </si>
  <si>
    <t xml:space="preserve">Business &amp; Management - TASMANIA HOBART - Master</t>
  </si>
  <si>
    <t xml:space="preserve">Tasmania Hobart | Business &amp; Management | Master</t>
  </si>
  <si>
    <t xml:space="preserve">Community Services &amp; Early Childhood - ADELAIDE - Certificate III</t>
  </si>
  <si>
    <t xml:space="preserve">Community Services &amp; Early Childhood</t>
  </si>
  <si>
    <t xml:space="preserve">Adelaide | Community Services &amp; Early Childhood | Certificate III</t>
  </si>
  <si>
    <t xml:space="preserve">Community Services &amp; Early Childhood - ADELAIDE - Certificate IV</t>
  </si>
  <si>
    <t xml:space="preserve">Adelaide | Community Services &amp; Early Childhood | Certificate IV</t>
  </si>
  <si>
    <t xml:space="preserve">Community Services &amp; Early Childhood - ADELAIDE - Diploma</t>
  </si>
  <si>
    <t xml:space="preserve">Adelaide | Community Services &amp; Early Childhood | Diploma</t>
  </si>
  <si>
    <t xml:space="preserve">Community Services &amp; Early Childhood - ADELAIDE - Bachelor</t>
  </si>
  <si>
    <t xml:space="preserve">Adelaide | Community Services &amp; Early Childhood | Bachelor</t>
  </si>
  <si>
    <t xml:space="preserve">Community Services &amp; Early Childhood - ADELAIDE - Master</t>
  </si>
  <si>
    <t xml:space="preserve">Adelaide | Community Services &amp; Early Childhood | Master</t>
  </si>
  <si>
    <t xml:space="preserve">Community Services &amp; Early Childhood - BRISBANE - Diploma</t>
  </si>
  <si>
    <t xml:space="preserve">Brisbane | Community Services &amp; Early Childhood | Diploma</t>
  </si>
  <si>
    <t xml:space="preserve">Community Services &amp; Early Childhood - BRISBANE - Bachelor</t>
  </si>
  <si>
    <t xml:space="preserve">Brisbane | Community Services &amp; Early Childhood | Bachelor</t>
  </si>
  <si>
    <t xml:space="preserve">Community Services &amp; Early Childhood - BRISBANE - Master</t>
  </si>
  <si>
    <t xml:space="preserve">Brisbane | Community Services &amp; Early Childhood | Master</t>
  </si>
  <si>
    <t xml:space="preserve">Community Services &amp; Early Childhood - CANBERRA - Diploma</t>
  </si>
  <si>
    <t xml:space="preserve">Canberra | Community Services &amp; Early Childhood | Diploma</t>
  </si>
  <si>
    <t xml:space="preserve">Community Services &amp; Early Childhood - CANBERRA - Bachelor</t>
  </si>
  <si>
    <t xml:space="preserve">Canberra | Community Services &amp; Early Childhood | Bachelor</t>
  </si>
  <si>
    <t xml:space="preserve">Community Services &amp; Early Childhood - CANBERRA - Master</t>
  </si>
  <si>
    <t xml:space="preserve">Canberra | Community Services &amp; Early Childhood | Master</t>
  </si>
  <si>
    <t xml:space="preserve">Community Services &amp; Early Childhood - DARWIN - Diploma</t>
  </si>
  <si>
    <t xml:space="preserve">Darwin | Community Services &amp; Early Childhood | Diploma</t>
  </si>
  <si>
    <t xml:space="preserve">Community Services &amp; Early Childhood - DARWIN - Bachelor</t>
  </si>
  <si>
    <t xml:space="preserve">Darwin | Community Services &amp; Early Childhood | Bachelor</t>
  </si>
  <si>
    <t xml:space="preserve">Community Services &amp; Early Childhood - DARWIN - Master</t>
  </si>
  <si>
    <t xml:space="preserve">Darwin | Community Services &amp; Early Childhood | Master</t>
  </si>
  <si>
    <t xml:space="preserve">Community Services &amp; Early Childhood - GOSFORD - Advanced Diploma</t>
  </si>
  <si>
    <t xml:space="preserve">Gosford | Community Services &amp; Early Childhood | Advanced Diploma</t>
  </si>
  <si>
    <t xml:space="preserve">Community Services &amp; Early Childhood - MELBOURNE - Diploma</t>
  </si>
  <si>
    <t xml:space="preserve">Melbourne | Community Services &amp; Early Childhood | Diploma</t>
  </si>
  <si>
    <t xml:space="preserve">Community Services &amp; Early Childhood - MELBOURNE - Advanced Diploma</t>
  </si>
  <si>
    <t xml:space="preserve">Melbourne | Community Services &amp; Early Childhood | Advanced Diploma</t>
  </si>
  <si>
    <t xml:space="preserve">Community Services &amp; Early Childhood - MELBOURNE - Bachelor</t>
  </si>
  <si>
    <t xml:space="preserve">Melbourne | Community Services &amp; Early Childhood | Bachelor</t>
  </si>
  <si>
    <t xml:space="preserve">Community Services &amp; Early Childhood - MELBOURNE - Master</t>
  </si>
  <si>
    <t xml:space="preserve">Melbourne | Community Services &amp; Early Childhood | Master</t>
  </si>
  <si>
    <t xml:space="preserve">Community Services &amp; Early Childhood - PERTH - Diploma</t>
  </si>
  <si>
    <t xml:space="preserve">Perth | Community Services &amp; Early Childhood | Diploma</t>
  </si>
  <si>
    <t xml:space="preserve">Community Services &amp; Early Childhood - PERTH - Advanced Diploma</t>
  </si>
  <si>
    <t xml:space="preserve">Perth | Community Services &amp; Early Childhood | Advanced Diploma</t>
  </si>
  <si>
    <t xml:space="preserve">Community Services &amp; Early Childhood - SYDNEY - Certificate III</t>
  </si>
  <si>
    <t xml:space="preserve">Sydney | Community Services &amp; Early Childhood | Certificate III</t>
  </si>
  <si>
    <t xml:space="preserve">Community Services &amp; Early Childhood - SYDNEY - Diploma</t>
  </si>
  <si>
    <t xml:space="preserve">Sydney | Community Services &amp; Early Childhood | Diploma</t>
  </si>
  <si>
    <t xml:space="preserve">Community Services &amp; Early Childhood - SYDNEY - Advanced Diploma</t>
  </si>
  <si>
    <t xml:space="preserve">Sydney | Community Services &amp; Early Childhood | Advanced Diploma</t>
  </si>
  <si>
    <t xml:space="preserve">Community Services &amp; Early Childhood - SYDNEY - Bachelor</t>
  </si>
  <si>
    <t xml:space="preserve">Sydney | Community Services &amp; Early Childhood | Bachelor</t>
  </si>
  <si>
    <t xml:space="preserve">Community Services &amp; Early Childhood - SYDNEY - Graduate Certificate/Diploma</t>
  </si>
  <si>
    <t xml:space="preserve">Sydney | Community Services &amp; Early Childhood | Graduate Certificate/Diploma</t>
  </si>
  <si>
    <t xml:space="preserve">Community Services &amp; Early Childhood - SYDNEY - Master</t>
  </si>
  <si>
    <t xml:space="preserve">Sydney | Community Services &amp; Early Childhood | Master</t>
  </si>
  <si>
    <t xml:space="preserve">Community Services &amp; Early Childhood - SYDNEY - Others</t>
  </si>
  <si>
    <t xml:space="preserve">Sydney | Community Services &amp; Early Childhood | Others</t>
  </si>
  <si>
    <t xml:space="preserve">Community Services &amp; Early Childhood - TASMANIA HOBART - Diploma</t>
  </si>
  <si>
    <t xml:space="preserve">Tasmania Hobart | Community Services &amp; Early Childhood | Diploma</t>
  </si>
  <si>
    <t xml:space="preserve">Community Services &amp; Early Childhood - TASMANIA HOBART - Advanced Diploma</t>
  </si>
  <si>
    <t xml:space="preserve">Tasmania Hobart | Community Services &amp; Early Childhood | Advanced Diploma</t>
  </si>
  <si>
    <t xml:space="preserve">Community Services &amp; Early Childhood - TASMANIA HOBART - Bachelor</t>
  </si>
  <si>
    <t xml:space="preserve">Tasmania Hobart | Community Services &amp; Early Childhood | Bachelor</t>
  </si>
  <si>
    <t xml:space="preserve">Community Services &amp; Early Childhood - TASMANIA HOBART - Graduate Certificate/Diploma</t>
  </si>
  <si>
    <t xml:space="preserve">Tasmania Hobart | Community Services &amp; Early Childhood | Graduate Certificate/Diploma</t>
  </si>
  <si>
    <t xml:space="preserve">Community Services &amp; Early Childhood - TASMANIA HOBART - Master</t>
  </si>
  <si>
    <t xml:space="preserve">Tasmania Hobart | Community Services &amp; Early Childhood | Master</t>
  </si>
  <si>
    <t xml:space="preserve">Construction, Engineering &amp; Trades - ADELAIDE - Certificate III</t>
  </si>
  <si>
    <t xml:space="preserve">Construction, Engineering &amp; Trades</t>
  </si>
  <si>
    <t xml:space="preserve">Adelaide | Construction, Engineering &amp; Trades | Certificate III</t>
  </si>
  <si>
    <t xml:space="preserve">Construction, Engineering &amp; Trades - ADELAIDE - Certificate IV</t>
  </si>
  <si>
    <t xml:space="preserve">Adelaide | Construction, Engineering &amp; Trades | Certificate IV</t>
  </si>
  <si>
    <t xml:space="preserve">Construction, Engineering &amp; Trades - ADELAIDE - Diploma</t>
  </si>
  <si>
    <t xml:space="preserve">Adelaide | Construction, Engineering &amp; Trades | Diploma</t>
  </si>
  <si>
    <t xml:space="preserve">Construction, Engineering &amp; Trades - ADELAIDE - Advanced Diploma</t>
  </si>
  <si>
    <t xml:space="preserve">Adelaide | Construction, Engineering &amp; Trades | Advanced Diploma</t>
  </si>
  <si>
    <t xml:space="preserve">Construction, Engineering &amp; Trades - ADELAIDE - Bachelor</t>
  </si>
  <si>
    <t xml:space="preserve">Adelaide | Construction, Engineering &amp; Trades | Bachelor</t>
  </si>
  <si>
    <t xml:space="preserve">Construction, Engineering &amp; Trades - ADELAIDE - Master</t>
  </si>
  <si>
    <t xml:space="preserve">Adelaide | Construction, Engineering &amp; Trades | Master</t>
  </si>
  <si>
    <t xml:space="preserve">Construction, Engineering &amp; Trades - BRISBANE - Certificate III</t>
  </si>
  <si>
    <t xml:space="preserve">Brisbane | Construction, Engineering &amp; Trades | Certificate III</t>
  </si>
  <si>
    <t xml:space="preserve">Construction, Engineering &amp; Trades - BRISBANE - Certificate IV</t>
  </si>
  <si>
    <t xml:space="preserve">Brisbane | Construction, Engineering &amp; Trades | Certificate IV</t>
  </si>
  <si>
    <t xml:space="preserve">Construction, Engineering &amp; Trades - BRISBANE - Diploma</t>
  </si>
  <si>
    <t xml:space="preserve">Brisbane | Construction, Engineering &amp; Trades | Diploma</t>
  </si>
  <si>
    <t xml:space="preserve">Construction, Engineering &amp; Trades - BRISBANE - Advanced Diploma</t>
  </si>
  <si>
    <t xml:space="preserve">Brisbane | Construction, Engineering &amp; Trades | Advanced Diploma</t>
  </si>
  <si>
    <t xml:space="preserve">Construction, Engineering &amp; Trades - BRISBANE - Bachelor</t>
  </si>
  <si>
    <t xml:space="preserve">Brisbane | Construction, Engineering &amp; Trades | Bachelor</t>
  </si>
  <si>
    <t xml:space="preserve">Construction, Engineering &amp; Trades - BRISBANE - Graduate Certificate/Diploma</t>
  </si>
  <si>
    <t xml:space="preserve">Brisbane | Construction, Engineering &amp; Trades | Graduate Certificate/Diploma</t>
  </si>
  <si>
    <t xml:space="preserve">Construction, Engineering &amp; Trades - BRISBANE - Master</t>
  </si>
  <si>
    <t xml:space="preserve">Brisbane | Construction, Engineering &amp; Trades | Master</t>
  </si>
  <si>
    <t xml:space="preserve">Construction, Engineering &amp; Trades - CANBERRA - Certificate III</t>
  </si>
  <si>
    <t xml:space="preserve">Canberra | Construction, Engineering &amp; Trades | Certificate III</t>
  </si>
  <si>
    <t xml:space="preserve">Construction, Engineering &amp; Trades - CANBERRA - Advanced Diploma</t>
  </si>
  <si>
    <t xml:space="preserve">Canberra | Construction, Engineering &amp; Trades | Advanced Diploma</t>
  </si>
  <si>
    <t xml:space="preserve">Construction, Engineering &amp; Trades - DARWIN - Diploma</t>
  </si>
  <si>
    <t xml:space="preserve">Darwin | Construction, Engineering &amp; Trades | Diploma</t>
  </si>
  <si>
    <t xml:space="preserve">Construction, Engineering &amp; Trades - DARWIN - Advanced Diploma</t>
  </si>
  <si>
    <t xml:space="preserve">Darwin | Construction, Engineering &amp; Trades | Advanced Diploma</t>
  </si>
  <si>
    <t xml:space="preserve">Construction, Engineering &amp; Trades - DARWIN - Bachelor</t>
  </si>
  <si>
    <t xml:space="preserve">Darwin | Construction, Engineering &amp; Trades | Bachelor</t>
  </si>
  <si>
    <t xml:space="preserve">Construction, Engineering &amp; Trades - DARWIN - Master</t>
  </si>
  <si>
    <t xml:space="preserve">Darwin | Construction, Engineering &amp; Trades | Master</t>
  </si>
  <si>
    <t xml:space="preserve">Construction, Engineering &amp; Trades - GOSFORD - Advanced Diploma</t>
  </si>
  <si>
    <t xml:space="preserve">Gosford | Construction, Engineering &amp; Trades | Advanced Diploma</t>
  </si>
  <si>
    <t xml:space="preserve">Construction, Engineering &amp; Trades - MELBOURNE - Certificate III</t>
  </si>
  <si>
    <t xml:space="preserve">Melbourne | Construction, Engineering &amp; Trades | Certificate III</t>
  </si>
  <si>
    <t xml:space="preserve">Construction, Engineering &amp; Trades - MELBOURNE - Certificate IV</t>
  </si>
  <si>
    <t xml:space="preserve">Melbourne | Construction, Engineering &amp; Trades | Certificate IV</t>
  </si>
  <si>
    <t xml:space="preserve">Construction, Engineering &amp; Trades - MELBOURNE - Diploma</t>
  </si>
  <si>
    <t xml:space="preserve">Melbourne | Construction, Engineering &amp; Trades | Diploma</t>
  </si>
  <si>
    <t xml:space="preserve">Construction, Engineering &amp; Trades - MELBOURNE - Advanced Diploma</t>
  </si>
  <si>
    <t xml:space="preserve">Melbourne | Construction, Engineering &amp; Trades | Advanced Diploma</t>
  </si>
  <si>
    <t xml:space="preserve">Construction, Engineering &amp; Trades - MELBOURNE - Graduate Certificate/Diploma</t>
  </si>
  <si>
    <t xml:space="preserve">Melbourne | Construction, Engineering &amp; Trades | Graduate Certificate/Diploma</t>
  </si>
  <si>
    <t xml:space="preserve">Construction, Engineering &amp; Trades - MELBOURNE - Master</t>
  </si>
  <si>
    <t xml:space="preserve">Melbourne | Construction, Engineering &amp; Trades | Master</t>
  </si>
  <si>
    <t xml:space="preserve">Construction, Engineering &amp; Trades - PERTH - Certificate III</t>
  </si>
  <si>
    <t xml:space="preserve">Perth | Construction, Engineering &amp; Trades | Certificate III</t>
  </si>
  <si>
    <t xml:space="preserve">Construction, Engineering &amp; Trades - PERTH - Certificate IV</t>
  </si>
  <si>
    <t xml:space="preserve">Perth | Construction, Engineering &amp; Trades | Certificate IV</t>
  </si>
  <si>
    <t xml:space="preserve">Construction, Engineering &amp; Trades - PERTH - Diploma</t>
  </si>
  <si>
    <t xml:space="preserve">Perth | Construction, Engineering &amp; Trades | Diploma</t>
  </si>
  <si>
    <t xml:space="preserve">Construction, Engineering &amp; Trades - PERTH - Advanced Diploma</t>
  </si>
  <si>
    <t xml:space="preserve">Perth | Construction, Engineering &amp; Trades | Advanced Diploma</t>
  </si>
  <si>
    <t xml:space="preserve">Construction, Engineering &amp; Trades - SYDNEY - Certificate III</t>
  </si>
  <si>
    <t xml:space="preserve">Sydney | Construction, Engineering &amp; Trades | Certificate III</t>
  </si>
  <si>
    <t xml:space="preserve">Construction, Engineering &amp; Trades - SYDNEY - Certificate IV</t>
  </si>
  <si>
    <t xml:space="preserve">Sydney | Construction, Engineering &amp; Trades | Certificate IV</t>
  </si>
  <si>
    <t xml:space="preserve">Construction, Engineering &amp; Trades - SYDNEY - Diploma</t>
  </si>
  <si>
    <t xml:space="preserve">Sydney | Construction, Engineering &amp; Trades | Diploma</t>
  </si>
  <si>
    <t xml:space="preserve">Construction, Engineering &amp; Trades - SYDNEY - Advanced Diploma</t>
  </si>
  <si>
    <t xml:space="preserve">Sydney | Construction, Engineering &amp; Trades | Advanced Diploma</t>
  </si>
  <si>
    <t xml:space="preserve">Construction, Engineering &amp; Trades - SYDNEY - Bachelor</t>
  </si>
  <si>
    <t xml:space="preserve">Sydney | Construction, Engineering &amp; Trades | Bachelor</t>
  </si>
  <si>
    <t xml:space="preserve">Construction, Engineering &amp; Trades - SYDNEY - Graduate Certificate/Diploma</t>
  </si>
  <si>
    <t xml:space="preserve">Sydney | Construction, Engineering &amp; Trades | Graduate Certificate/Diploma</t>
  </si>
  <si>
    <t xml:space="preserve">Construction, Engineering &amp; Trades - SYDNEY - Master</t>
  </si>
  <si>
    <t xml:space="preserve">Sydney | Construction, Engineering &amp; Trades | Master</t>
  </si>
  <si>
    <t xml:space="preserve">Construction, Engineering &amp; Trades - TASMANIA HOBART - Diploma</t>
  </si>
  <si>
    <t xml:space="preserve">Tasmania Hobart | Construction, Engineering &amp; Trades | Diploma</t>
  </si>
  <si>
    <t xml:space="preserve">Construction, Engineering &amp; Trades - TASMANIA HOBART - Bachelor</t>
  </si>
  <si>
    <t xml:space="preserve">Tasmania Hobart | Construction, Engineering &amp; Trades | Bachelor</t>
  </si>
  <si>
    <t xml:space="preserve">Construction, Engineering &amp; Trades - TASMANIA HOBART - Graduate Certificate/Diploma</t>
  </si>
  <si>
    <t xml:space="preserve">Tasmania Hobart | Construction, Engineering &amp; Trades | Graduate Certificate/Diploma</t>
  </si>
  <si>
    <t xml:space="preserve">Construction, Engineering &amp; Trades - TASMANIA HOBART - Master</t>
  </si>
  <si>
    <t xml:space="preserve">Tasmania Hobart | Construction, Engineering &amp; Trades | Master</t>
  </si>
  <si>
    <t xml:space="preserve">Design, Media &amp; Arts - ADELAIDE - Certificate IV</t>
  </si>
  <si>
    <t xml:space="preserve">Design, Media &amp; Arts</t>
  </si>
  <si>
    <t xml:space="preserve">Adelaide | Design, Media &amp; Arts | Certificate IV</t>
  </si>
  <si>
    <t xml:space="preserve">Design, Media &amp; Arts - ADELAIDE - Diploma</t>
  </si>
  <si>
    <t xml:space="preserve">Adelaide | Design, Media &amp; Arts | Diploma</t>
  </si>
  <si>
    <t xml:space="preserve">Design, Media &amp; Arts - ADELAIDE - Advanced Diploma</t>
  </si>
  <si>
    <t xml:space="preserve">Adelaide | Design, Media &amp; Arts | Advanced Diploma</t>
  </si>
  <si>
    <t xml:space="preserve">Design, Media &amp; Arts - ADELAIDE - Bachelor</t>
  </si>
  <si>
    <t xml:space="preserve">Adelaide | Design, Media &amp; Arts | Bachelor</t>
  </si>
  <si>
    <t xml:space="preserve">Design, Media &amp; Arts - ADELAIDE - Graduate Certificate/Diploma</t>
  </si>
  <si>
    <t xml:space="preserve">Adelaide | Design, Media &amp; Arts | Graduate Certificate/Diploma</t>
  </si>
  <si>
    <t xml:space="preserve">Design, Media &amp; Arts - ADELAIDE - Master</t>
  </si>
  <si>
    <t xml:space="preserve">Adelaide | Design, Media &amp; Arts | Master</t>
  </si>
  <si>
    <t xml:space="preserve">Design, Media &amp; Arts - BRISBANE - Diploma</t>
  </si>
  <si>
    <t xml:space="preserve">Brisbane | Design, Media &amp; Arts | Diploma</t>
  </si>
  <si>
    <t xml:space="preserve">Design, Media &amp; Arts - BRISBANE - Advanced Diploma</t>
  </si>
  <si>
    <t xml:space="preserve">Brisbane | Design, Media &amp; Arts | Advanced Diploma</t>
  </si>
  <si>
    <t xml:space="preserve">Design, Media &amp; Arts - BRISBANE - Bachelor</t>
  </si>
  <si>
    <t xml:space="preserve">Brisbane | Design, Media &amp; Arts | Bachelor</t>
  </si>
  <si>
    <t xml:space="preserve">Design, Media &amp; Arts - BRISBANE - Master</t>
  </si>
  <si>
    <t xml:space="preserve">Brisbane | Design, Media &amp; Arts | Master</t>
  </si>
  <si>
    <t xml:space="preserve">Design, Media &amp; Arts - CANBERRA - Diploma</t>
  </si>
  <si>
    <t xml:space="preserve">Canberra | Design, Media &amp; Arts | Diploma</t>
  </si>
  <si>
    <t xml:space="preserve">Design, Media &amp; Arts - CANBERRA - Bachelor</t>
  </si>
  <si>
    <t xml:space="preserve">Canberra | Design, Media &amp; Arts | Bachelor</t>
  </si>
  <si>
    <t xml:space="preserve">Design, Media &amp; Arts - CANBERRA - Master</t>
  </si>
  <si>
    <t xml:space="preserve">Canberra | Design, Media &amp; Arts | Master</t>
  </si>
  <si>
    <t xml:space="preserve">Design, Media &amp; Arts - DARWIN - Bachelor</t>
  </si>
  <si>
    <t xml:space="preserve">Darwin | Design, Media &amp; Arts | Bachelor</t>
  </si>
  <si>
    <t xml:space="preserve">Design, Media &amp; Arts - MELBOURNE - Diploma</t>
  </si>
  <si>
    <t xml:space="preserve">Melbourne | Design, Media &amp; Arts | Diploma</t>
  </si>
  <si>
    <t xml:space="preserve">Design, Media &amp; Arts - MELBOURNE - Advanced Diploma</t>
  </si>
  <si>
    <t xml:space="preserve">Melbourne | Design, Media &amp; Arts | Advanced Diploma</t>
  </si>
  <si>
    <t xml:space="preserve">Design, Media &amp; Arts - MELBOURNE - Bachelor</t>
  </si>
  <si>
    <t xml:space="preserve">Melbourne | Design, Media &amp; Arts | Bachelor</t>
  </si>
  <si>
    <t xml:space="preserve">Design, Media &amp; Arts - MELBOURNE - Master</t>
  </si>
  <si>
    <t xml:space="preserve">Melbourne | Design, Media &amp; Arts | Master</t>
  </si>
  <si>
    <t xml:space="preserve">Design, Media &amp; Arts - PERTH - Bachelor</t>
  </si>
  <si>
    <t xml:space="preserve">Perth | Design, Media &amp; Arts | Bachelor</t>
  </si>
  <si>
    <t xml:space="preserve">Design, Media &amp; Arts - SYDNEY - Certificate IV</t>
  </si>
  <si>
    <t xml:space="preserve">Sydney | Design, Media &amp; Arts | Certificate IV</t>
  </si>
  <si>
    <t xml:space="preserve">Design, Media &amp; Arts - SYDNEY - Diploma</t>
  </si>
  <si>
    <t xml:space="preserve">Sydney | Design, Media &amp; Arts | Diploma</t>
  </si>
  <si>
    <t xml:space="preserve">Design, Media &amp; Arts - SYDNEY - Advanced Diploma</t>
  </si>
  <si>
    <t xml:space="preserve">Sydney | Design, Media &amp; Arts | Advanced Diploma</t>
  </si>
  <si>
    <t xml:space="preserve">Design, Media &amp; Arts - SYDNEY - Bachelor</t>
  </si>
  <si>
    <t xml:space="preserve">Sydney | Design, Media &amp; Arts | Bachelor</t>
  </si>
  <si>
    <t xml:space="preserve">Design, Media &amp; Arts - SYDNEY - Graduate Certificate/Diploma</t>
  </si>
  <si>
    <t xml:space="preserve">Sydney | Design, Media &amp; Arts | Graduate Certificate/Diploma</t>
  </si>
  <si>
    <t xml:space="preserve">Design, Media &amp; Arts - SYDNEY - Master</t>
  </si>
  <si>
    <t xml:space="preserve">Sydney | Design, Media &amp; Arts | Master</t>
  </si>
  <si>
    <t xml:space="preserve">Design, Media &amp; Arts - TASMANIA HOBART - Diploma</t>
  </si>
  <si>
    <t xml:space="preserve">Tasmania Hobart | Design, Media &amp; Arts | Diploma</t>
  </si>
  <si>
    <t xml:space="preserve">Design, Media &amp; Arts - TASMANIA HOBART - Bachelor</t>
  </si>
  <si>
    <t xml:space="preserve">Tasmania Hobart | Design, Media &amp; Arts | Bachelor</t>
  </si>
  <si>
    <t xml:space="preserve">Education &amp; Training - ADELAIDE - Bachelor</t>
  </si>
  <si>
    <t xml:space="preserve">Education &amp; Training</t>
  </si>
  <si>
    <t xml:space="preserve">Adelaide | Education &amp; Training | Bachelor</t>
  </si>
  <si>
    <t xml:space="preserve">Education &amp; Training - ADELAIDE - Master</t>
  </si>
  <si>
    <t xml:space="preserve">Adelaide | Education &amp; Training | Master</t>
  </si>
  <si>
    <t xml:space="preserve">Education &amp; Training - BRISBANE - Diploma</t>
  </si>
  <si>
    <t xml:space="preserve">Brisbane | Education &amp; Training | Diploma</t>
  </si>
  <si>
    <t xml:space="preserve">Education &amp; Training - BRISBANE - Bachelor</t>
  </si>
  <si>
    <t xml:space="preserve">Brisbane | Education &amp; Training | Bachelor</t>
  </si>
  <si>
    <t xml:space="preserve">Education &amp; Training - BRISBANE - Master</t>
  </si>
  <si>
    <t xml:space="preserve">Brisbane | Education &amp; Training | Master</t>
  </si>
  <si>
    <t xml:space="preserve">Education &amp; Training - CANBERRA - Diploma</t>
  </si>
  <si>
    <t xml:space="preserve">Canberra | Education &amp; Training | Diploma</t>
  </si>
  <si>
    <t xml:space="preserve">Education &amp; Training - CANBERRA - Bachelor</t>
  </si>
  <si>
    <t xml:space="preserve">Canberra | Education &amp; Training | Bachelor</t>
  </si>
  <si>
    <t xml:space="preserve">Education &amp; Training - CANBERRA - Graduate Certificate/Diploma</t>
  </si>
  <si>
    <t xml:space="preserve">Canberra | Education &amp; Training | Graduate Certificate/Diploma</t>
  </si>
  <si>
    <t xml:space="preserve">Education &amp; Training - CANBERRA - Master</t>
  </si>
  <si>
    <t xml:space="preserve">Canberra | Education &amp; Training | Master</t>
  </si>
  <si>
    <t xml:space="preserve">Education &amp; Training - DARWIN - Bachelor</t>
  </si>
  <si>
    <t xml:space="preserve">Darwin | Education &amp; Training | Bachelor</t>
  </si>
  <si>
    <t xml:space="preserve">Education &amp; Training - DARWIN - Graduate Certificate/Diploma</t>
  </si>
  <si>
    <t xml:space="preserve">Darwin | Education &amp; Training | Graduate Certificate/Diploma</t>
  </si>
  <si>
    <t xml:space="preserve">Education &amp; Training - DARWIN - Master</t>
  </si>
  <si>
    <t xml:space="preserve">Darwin | Education &amp; Training | Master</t>
  </si>
  <si>
    <t xml:space="preserve">Education &amp; Training - MELBOURNE - Diploma</t>
  </si>
  <si>
    <t xml:space="preserve">Melbourne | Education &amp; Training | Diploma</t>
  </si>
  <si>
    <t xml:space="preserve">Education &amp; Training - MELBOURNE - Bachelor</t>
  </si>
  <si>
    <t xml:space="preserve">Melbourne | Education &amp; Training | Bachelor</t>
  </si>
  <si>
    <t xml:space="preserve">Education &amp; Training - MELBOURNE - Graduate Certificate/Diploma</t>
  </si>
  <si>
    <t xml:space="preserve">Melbourne | Education &amp; Training | Graduate Certificate/Diploma</t>
  </si>
  <si>
    <t xml:space="preserve">Education &amp; Training - MELBOURNE - Master</t>
  </si>
  <si>
    <t xml:space="preserve">Melbourne | Education &amp; Training | Master</t>
  </si>
  <si>
    <t xml:space="preserve">Education &amp; Training - PERTH - Advanced Diploma</t>
  </si>
  <si>
    <t xml:space="preserve">Perth | Education &amp; Training | Advanced Diploma</t>
  </si>
  <si>
    <t xml:space="preserve">Education &amp; Training - PERTH - Bachelor</t>
  </si>
  <si>
    <t xml:space="preserve">Perth | Education &amp; Training | Bachelor</t>
  </si>
  <si>
    <t xml:space="preserve">Education &amp; Training - PERTH - Graduate Certificate/Diploma</t>
  </si>
  <si>
    <t xml:space="preserve">Perth | Education &amp; Training | Graduate Certificate/Diploma</t>
  </si>
  <si>
    <t xml:space="preserve">Education &amp; Training - PERTH - Master</t>
  </si>
  <si>
    <t xml:space="preserve">Perth | Education &amp; Training | Master</t>
  </si>
  <si>
    <t xml:space="preserve">Education &amp; Training - SYDNEY - Diploma</t>
  </si>
  <si>
    <t xml:space="preserve">Sydney | Education &amp; Training | Diploma</t>
  </si>
  <si>
    <t xml:space="preserve">Education &amp; Training - SYDNEY - Advanced Diploma</t>
  </si>
  <si>
    <t xml:space="preserve">Sydney | Education &amp; Training | Advanced Diploma</t>
  </si>
  <si>
    <t xml:space="preserve">Education &amp; Training - SYDNEY - Bachelor</t>
  </si>
  <si>
    <t xml:space="preserve">Sydney | Education &amp; Training | Bachelor</t>
  </si>
  <si>
    <t xml:space="preserve">Education &amp; Training - SYDNEY - Graduate Certificate/Diploma</t>
  </si>
  <si>
    <t xml:space="preserve">Sydney | Education &amp; Training | Graduate Certificate/Diploma</t>
  </si>
  <si>
    <t xml:space="preserve">Education &amp; Training - SYDNEY - Master</t>
  </si>
  <si>
    <t xml:space="preserve">Sydney | Education &amp; Training | Master</t>
  </si>
  <si>
    <t xml:space="preserve">Education &amp; Training - TASMANIA HOBART - Bachelor</t>
  </si>
  <si>
    <t xml:space="preserve">Tasmania Hobart | Education &amp; Training | Bachelor</t>
  </si>
  <si>
    <t xml:space="preserve">Education &amp; Training - TASMANIA HOBART - Master</t>
  </si>
  <si>
    <t xml:space="preserve">Tasmania Hobart | Education &amp; Training | Master</t>
  </si>
  <si>
    <t xml:space="preserve">English &amp; Pathway Programs - ADELAIDE - Bachelor</t>
  </si>
  <si>
    <t xml:space="preserve">English &amp; Pathway Programs</t>
  </si>
  <si>
    <t xml:space="preserve">Adelaide | English &amp; Pathway Programs | Bachelor</t>
  </si>
  <si>
    <t xml:space="preserve">English &amp; Pathway Programs - ADELAIDE - Non-AQF</t>
  </si>
  <si>
    <t xml:space="preserve">Non-AQF</t>
  </si>
  <si>
    <t xml:space="preserve">Adelaide | English &amp; Pathway Programs | Non-AQF</t>
  </si>
  <si>
    <t xml:space="preserve">English &amp; Pathway Programs - BRISBANE - Non-AQF</t>
  </si>
  <si>
    <t xml:space="preserve">Brisbane | English &amp; Pathway Programs | Non-AQF</t>
  </si>
  <si>
    <t xml:space="preserve">English &amp; Pathway Programs - BRISBANE - Others</t>
  </si>
  <si>
    <t xml:space="preserve">Brisbane | English &amp; Pathway Programs | Others</t>
  </si>
  <si>
    <t xml:space="preserve">English &amp; Pathway Programs - CANBERRA - Non-AQF</t>
  </si>
  <si>
    <t xml:space="preserve">Canberra | English &amp; Pathway Programs | Non-AQF</t>
  </si>
  <si>
    <t xml:space="preserve">English &amp; Pathway Programs - CANBERRA - Others</t>
  </si>
  <si>
    <t xml:space="preserve">Canberra | English &amp; Pathway Programs | Others</t>
  </si>
  <si>
    <t xml:space="preserve">English &amp; Pathway Programs - MELBOURNE - Non-AQF</t>
  </si>
  <si>
    <t xml:space="preserve">Melbourne | English &amp; Pathway Programs | Non-AQF</t>
  </si>
  <si>
    <t xml:space="preserve">English &amp; Pathway Programs - MELBOURNE - Others</t>
  </si>
  <si>
    <t xml:space="preserve">Melbourne | English &amp; Pathway Programs | Others</t>
  </si>
  <si>
    <t xml:space="preserve">English &amp; Pathway Programs - SYDNEY - Certificate IV</t>
  </si>
  <si>
    <t xml:space="preserve">Sydney | English &amp; Pathway Programs | Certificate IV</t>
  </si>
  <si>
    <t xml:space="preserve">English &amp; Pathway Programs - SYDNEY - Non-AQF</t>
  </si>
  <si>
    <t xml:space="preserve">Sydney | English &amp; Pathway Programs | Non-AQF</t>
  </si>
  <si>
    <t xml:space="preserve">English &amp; Pathway Programs - SYDNEY - Others</t>
  </si>
  <si>
    <t xml:space="preserve">Sydney | English &amp; Pathway Programs | Others</t>
  </si>
  <si>
    <t xml:space="preserve">Health &amp; Nursing - ADELAIDE - Certificate III</t>
  </si>
  <si>
    <t xml:space="preserve">Health &amp; Nursing</t>
  </si>
  <si>
    <t xml:space="preserve">Adelaide | Health &amp; Nursing | Certificate III</t>
  </si>
  <si>
    <t xml:space="preserve">Health &amp; Nursing - ADELAIDE - Certificate IV</t>
  </si>
  <si>
    <t xml:space="preserve">Adelaide | Health &amp; Nursing | Certificate IV</t>
  </si>
  <si>
    <t xml:space="preserve">Health &amp; Nursing - ADELAIDE - Diploma</t>
  </si>
  <si>
    <t xml:space="preserve">Adelaide | Health &amp; Nursing | Diploma</t>
  </si>
  <si>
    <t xml:space="preserve">Health &amp; Nursing - ADELAIDE - Advanced Diploma</t>
  </si>
  <si>
    <t xml:space="preserve">Adelaide | Health &amp; Nursing | Advanced Diploma</t>
  </si>
  <si>
    <t xml:space="preserve">Health &amp; Nursing - ADELAIDE - Bachelor</t>
  </si>
  <si>
    <t xml:space="preserve">Adelaide | Health &amp; Nursing | Bachelor</t>
  </si>
  <si>
    <t xml:space="preserve">Health &amp; Nursing - ADELAIDE - Graduate Certificate/Diploma</t>
  </si>
  <si>
    <t xml:space="preserve">Adelaide | Health &amp; Nursing | Graduate Certificate/Diploma</t>
  </si>
  <si>
    <t xml:space="preserve">Health &amp; Nursing - ADELAIDE - Master</t>
  </si>
  <si>
    <t xml:space="preserve">Adelaide | Health &amp; Nursing | Master</t>
  </si>
  <si>
    <t xml:space="preserve">Health &amp; Nursing - ADELAIDE - Doctorate</t>
  </si>
  <si>
    <t xml:space="preserve">Doctorate</t>
  </si>
  <si>
    <t xml:space="preserve">Adelaide | Health &amp; Nursing | Doctorate</t>
  </si>
  <si>
    <t xml:space="preserve">Health &amp; Nursing - BRISBANE - Certificate IV</t>
  </si>
  <si>
    <t xml:space="preserve">Brisbane | Health &amp; Nursing | Certificate IV</t>
  </si>
  <si>
    <t xml:space="preserve">Health &amp; Nursing - BRISBANE - Diploma</t>
  </si>
  <si>
    <t xml:space="preserve">Brisbane | Health &amp; Nursing | Diploma</t>
  </si>
  <si>
    <t xml:space="preserve">Health &amp; Nursing - BRISBANE - Bachelor</t>
  </si>
  <si>
    <t xml:space="preserve">Brisbane | Health &amp; Nursing | Bachelor</t>
  </si>
  <si>
    <t xml:space="preserve">Health &amp; Nursing - BRISBANE - Graduate Certificate/Diploma</t>
  </si>
  <si>
    <t xml:space="preserve">Brisbane | Health &amp; Nursing | Graduate Certificate/Diploma</t>
  </si>
  <si>
    <t xml:space="preserve">Health &amp; Nursing - BRISBANE - Master</t>
  </si>
  <si>
    <t xml:space="preserve">Brisbane | Health &amp; Nursing | Master</t>
  </si>
  <si>
    <t xml:space="preserve">Health &amp; Nursing - CANBERRA - Certificate III</t>
  </si>
  <si>
    <t xml:space="preserve">Canberra | Health &amp; Nursing | Certificate III</t>
  </si>
  <si>
    <t xml:space="preserve">Health &amp; Nursing - CANBERRA - Certificate IV</t>
  </si>
  <si>
    <t xml:space="preserve">Canberra | Health &amp; Nursing | Certificate IV</t>
  </si>
  <si>
    <t xml:space="preserve">Health &amp; Nursing - CANBERRA - Diploma</t>
  </si>
  <si>
    <t xml:space="preserve">Canberra | Health &amp; Nursing | Diploma</t>
  </si>
  <si>
    <t xml:space="preserve">Health &amp; Nursing - CANBERRA - Bachelor</t>
  </si>
  <si>
    <t xml:space="preserve">Canberra | Health &amp; Nursing | Bachelor</t>
  </si>
  <si>
    <t xml:space="preserve">Health &amp; Nursing - CANBERRA - Graduate Certificate/Diploma</t>
  </si>
  <si>
    <t xml:space="preserve">Canberra | Health &amp; Nursing | Graduate Certificate/Diploma</t>
  </si>
  <si>
    <t xml:space="preserve">Health &amp; Nursing - CANBERRA - Master</t>
  </si>
  <si>
    <t xml:space="preserve">Canberra | Health &amp; Nursing | Master</t>
  </si>
  <si>
    <t xml:space="preserve">Health &amp; Nursing - DARWIN - Diploma</t>
  </si>
  <si>
    <t xml:space="preserve">Darwin | Health &amp; Nursing | Diploma</t>
  </si>
  <si>
    <t xml:space="preserve">Health &amp; Nursing - DARWIN - Bachelor</t>
  </si>
  <si>
    <t xml:space="preserve">Darwin | Health &amp; Nursing | Bachelor</t>
  </si>
  <si>
    <t xml:space="preserve">Health &amp; Nursing - DARWIN - Graduate Certificate/Diploma</t>
  </si>
  <si>
    <t xml:space="preserve">Darwin | Health &amp; Nursing | Graduate Certificate/Diploma</t>
  </si>
  <si>
    <t xml:space="preserve">Health &amp; Nursing - DARWIN - Master</t>
  </si>
  <si>
    <t xml:space="preserve">Darwin | Health &amp; Nursing | Master</t>
  </si>
  <si>
    <t xml:space="preserve">Health &amp; Nursing - DARWIN - Doctorate</t>
  </si>
  <si>
    <t xml:space="preserve">Darwin | Health &amp; Nursing | Doctorate</t>
  </si>
  <si>
    <t xml:space="preserve">Health &amp; Nursing - MELBOURNE - Certificate III</t>
  </si>
  <si>
    <t xml:space="preserve">Melbourne | Health &amp; Nursing | Certificate III</t>
  </si>
  <si>
    <t xml:space="preserve">Health &amp; Nursing - MELBOURNE - Certificate IV</t>
  </si>
  <si>
    <t xml:space="preserve">Melbourne | Health &amp; Nursing | Certificate IV</t>
  </si>
  <si>
    <t xml:space="preserve">Health &amp; Nursing - MELBOURNE - Diploma</t>
  </si>
  <si>
    <t xml:space="preserve">Melbourne | Health &amp; Nursing | Diploma</t>
  </si>
  <si>
    <t xml:space="preserve">Health &amp; Nursing - MELBOURNE - Bachelor</t>
  </si>
  <si>
    <t xml:space="preserve">Melbourne | Health &amp; Nursing | Bachelor</t>
  </si>
  <si>
    <t xml:space="preserve">Health &amp; Nursing - MELBOURNE - Graduate Certificate/Diploma</t>
  </si>
  <si>
    <t xml:space="preserve">Melbourne | Health &amp; Nursing | Graduate Certificate/Diploma</t>
  </si>
  <si>
    <t xml:space="preserve">Health &amp; Nursing - MELBOURNE - Master</t>
  </si>
  <si>
    <t xml:space="preserve">Melbourne | Health &amp; Nursing | Master</t>
  </si>
  <si>
    <t xml:space="preserve">Health &amp; Nursing - PERTH - Certificate IV</t>
  </si>
  <si>
    <t xml:space="preserve">Perth | Health &amp; Nursing | Certificate IV</t>
  </si>
  <si>
    <t xml:space="preserve">Health &amp; Nursing - PERTH - Diploma</t>
  </si>
  <si>
    <t xml:space="preserve">Perth | Health &amp; Nursing | Diploma</t>
  </si>
  <si>
    <t xml:space="preserve">Health &amp; Nursing - SYDNEY - Certificate III</t>
  </si>
  <si>
    <t xml:space="preserve">Sydney | Health &amp; Nursing | Certificate III</t>
  </si>
  <si>
    <t xml:space="preserve">Health &amp; Nursing - SYDNEY - Certificate IV</t>
  </si>
  <si>
    <t xml:space="preserve">Sydney | Health &amp; Nursing | Certificate IV</t>
  </si>
  <si>
    <t xml:space="preserve">Health &amp; Nursing - SYDNEY - Diploma</t>
  </si>
  <si>
    <t xml:space="preserve">Sydney | Health &amp; Nursing | Diploma</t>
  </si>
  <si>
    <t xml:space="preserve">Health &amp; Nursing - SYDNEY - Bachelor</t>
  </si>
  <si>
    <t xml:space="preserve">Sydney | Health &amp; Nursing | Bachelor</t>
  </si>
  <si>
    <t xml:space="preserve">Health &amp; Nursing - SYDNEY - Graduate Certificate/Diploma</t>
  </si>
  <si>
    <t xml:space="preserve">Sydney | Health &amp; Nursing | Graduate Certificate/Diploma</t>
  </si>
  <si>
    <t xml:space="preserve">Health &amp; Nursing - SYDNEY - Master</t>
  </si>
  <si>
    <t xml:space="preserve">Sydney | Health &amp; Nursing | Master</t>
  </si>
  <si>
    <t xml:space="preserve">Health &amp; Nursing - SYDNEY - Doctorate</t>
  </si>
  <si>
    <t xml:space="preserve">Sydney | Health &amp; Nursing | Doctorate</t>
  </si>
  <si>
    <t xml:space="preserve">Health &amp; Nursing - TASMANIA HOBART - Certificate IV</t>
  </si>
  <si>
    <t xml:space="preserve">Tasmania Hobart | Health &amp; Nursing | Certificate IV</t>
  </si>
  <si>
    <t xml:space="preserve">Health &amp; Nursing - TASMANIA HOBART - Bachelor</t>
  </si>
  <si>
    <t xml:space="preserve">Tasmania Hobart | Health &amp; Nursing | Bachelor</t>
  </si>
  <si>
    <t xml:space="preserve">Health &amp; Nursing - TASMANIA HOBART - Graduate Certificate/Diploma</t>
  </si>
  <si>
    <t xml:space="preserve">Tasmania Hobart | Health &amp; Nursing | Graduate Certificate/Diploma</t>
  </si>
  <si>
    <t xml:space="preserve">Health &amp; Nursing - TASMANIA HOBART - Master</t>
  </si>
  <si>
    <t xml:space="preserve">Tasmania Hobart | Health &amp; Nursing | Master</t>
  </si>
  <si>
    <t xml:space="preserve">Health &amp; Nursing - TASMANIA HOBART - Doctorate</t>
  </si>
  <si>
    <t xml:space="preserve">Tasmania Hobart | Health &amp; Nursing | Doctorate</t>
  </si>
  <si>
    <t xml:space="preserve">Hospitality, Cookery &amp; Tourism - ADELAIDE - Certificate III</t>
  </si>
  <si>
    <t xml:space="preserve">Hospitality, Cookery &amp; Tourism</t>
  </si>
  <si>
    <t xml:space="preserve">Adelaide | Hospitality, Cookery &amp; Tourism | Certificate III</t>
  </si>
  <si>
    <t xml:space="preserve">Hospitality, Cookery &amp; Tourism - ADELAIDE - Certificate IV</t>
  </si>
  <si>
    <t xml:space="preserve">Adelaide | Hospitality, Cookery &amp; Tourism | Certificate IV</t>
  </si>
  <si>
    <t xml:space="preserve">Hospitality, Cookery &amp; Tourism - ADELAIDE - Diploma</t>
  </si>
  <si>
    <t xml:space="preserve">Adelaide | Hospitality, Cookery &amp; Tourism | Diploma</t>
  </si>
  <si>
    <t xml:space="preserve">Hospitality, Cookery &amp; Tourism - ADELAIDE - Advanced Diploma</t>
  </si>
  <si>
    <t xml:space="preserve">Adelaide | Hospitality, Cookery &amp; Tourism | Advanced Diploma</t>
  </si>
  <si>
    <t xml:space="preserve">Hospitality, Cookery &amp; Tourism - ADELAIDE - Bachelor</t>
  </si>
  <si>
    <t xml:space="preserve">Adelaide | Hospitality, Cookery &amp; Tourism | Bachelor</t>
  </si>
  <si>
    <t xml:space="preserve">Hospitality, Cookery &amp; Tourism - ADELAIDE - Graduate Certificate/Diploma</t>
  </si>
  <si>
    <t xml:space="preserve">Adelaide | Hospitality, Cookery &amp; Tourism | Graduate Certificate/Diploma</t>
  </si>
  <si>
    <t xml:space="preserve">Hospitality, Cookery &amp; Tourism - ADELAIDE - Master</t>
  </si>
  <si>
    <t xml:space="preserve">Adelaide | Hospitality, Cookery &amp; Tourism | Master</t>
  </si>
  <si>
    <t xml:space="preserve">Hospitality, Cookery &amp; Tourism - BRISBANE - Certificate III</t>
  </si>
  <si>
    <t xml:space="preserve">Brisbane | Hospitality, Cookery &amp; Tourism | Certificate III</t>
  </si>
  <si>
    <t xml:space="preserve">Hospitality, Cookery &amp; Tourism - BRISBANE - Certificate IV</t>
  </si>
  <si>
    <t xml:space="preserve">Brisbane | Hospitality, Cookery &amp; Tourism | Certificate IV</t>
  </si>
  <si>
    <t xml:space="preserve">Hospitality, Cookery &amp; Tourism - BRISBANE - Diploma</t>
  </si>
  <si>
    <t xml:space="preserve">Brisbane | Hospitality, Cookery &amp; Tourism | Diploma</t>
  </si>
  <si>
    <t xml:space="preserve">Hospitality, Cookery &amp; Tourism - BRISBANE - Advanced Diploma</t>
  </si>
  <si>
    <t xml:space="preserve">Brisbane | Hospitality, Cookery &amp; Tourism | Advanced Diploma</t>
  </si>
  <si>
    <t xml:space="preserve">Hospitality, Cookery &amp; Tourism - BRISBANE - Bachelor</t>
  </si>
  <si>
    <t xml:space="preserve">Brisbane | Hospitality, Cookery &amp; Tourism | Bachelor</t>
  </si>
  <si>
    <t xml:space="preserve">Hospitality, Cookery &amp; Tourism - BRISBANE - Master</t>
  </si>
  <si>
    <t xml:space="preserve">Brisbane | Hospitality, Cookery &amp; Tourism | Master</t>
  </si>
  <si>
    <t xml:space="preserve">Hospitality, Cookery &amp; Tourism - CANBERRA - Certificate IV</t>
  </si>
  <si>
    <t xml:space="preserve">Canberra | Hospitality, Cookery &amp; Tourism | Certificate IV</t>
  </si>
  <si>
    <t xml:space="preserve">Hospitality, Cookery &amp; Tourism - CANBERRA - Diploma</t>
  </si>
  <si>
    <t xml:space="preserve">Canberra | Hospitality, Cookery &amp; Tourism | Diploma</t>
  </si>
  <si>
    <t xml:space="preserve">Hospitality, Cookery &amp; Tourism - CANBERRA - Advanced Diploma</t>
  </si>
  <si>
    <t xml:space="preserve">Canberra | Hospitality, Cookery &amp; Tourism | Advanced Diploma</t>
  </si>
  <si>
    <t xml:space="preserve">Hospitality, Cookery &amp; Tourism - DARWIN - Diploma</t>
  </si>
  <si>
    <t xml:space="preserve">Darwin | Hospitality, Cookery &amp; Tourism | Diploma</t>
  </si>
  <si>
    <t xml:space="preserve">Hospitality, Cookery &amp; Tourism - DARWIN - Advanced Diploma</t>
  </si>
  <si>
    <t xml:space="preserve">Darwin | Hospitality, Cookery &amp; Tourism | Advanced Diploma</t>
  </si>
  <si>
    <t xml:space="preserve">Hospitality, Cookery &amp; Tourism - MELBOURNE - Certificate III</t>
  </si>
  <si>
    <t xml:space="preserve">Melbourne | Hospitality, Cookery &amp; Tourism | Certificate III</t>
  </si>
  <si>
    <t xml:space="preserve">Hospitality, Cookery &amp; Tourism - MELBOURNE - Certificate IV</t>
  </si>
  <si>
    <t xml:space="preserve">Melbourne | Hospitality, Cookery &amp; Tourism | Certificate IV</t>
  </si>
  <si>
    <t xml:space="preserve">Hospitality, Cookery &amp; Tourism - MELBOURNE - Diploma</t>
  </si>
  <si>
    <t xml:space="preserve">Melbourne | Hospitality, Cookery &amp; Tourism | Diploma</t>
  </si>
  <si>
    <t xml:space="preserve">Hospitality, Cookery &amp; Tourism - MELBOURNE - Advanced Diploma</t>
  </si>
  <si>
    <t xml:space="preserve">Melbourne | Hospitality, Cookery &amp; Tourism | Advanced Diploma</t>
  </si>
  <si>
    <t xml:space="preserve">Hospitality, Cookery &amp; Tourism - MELBOURNE - Bachelor</t>
  </si>
  <si>
    <t xml:space="preserve">Melbourne | Hospitality, Cookery &amp; Tourism | Bachelor</t>
  </si>
  <si>
    <t xml:space="preserve">Hospitality, Cookery &amp; Tourism - MELBOURNE - Graduate Certificate/Diploma</t>
  </si>
  <si>
    <t xml:space="preserve">Melbourne | Hospitality, Cookery &amp; Tourism | Graduate Certificate/Diploma</t>
  </si>
  <si>
    <t xml:space="preserve">Hospitality, Cookery &amp; Tourism - MELBOURNE - Master</t>
  </si>
  <si>
    <t xml:space="preserve">Melbourne | Hospitality, Cookery &amp; Tourism | Master</t>
  </si>
  <si>
    <t xml:space="preserve">Hospitality, Cookery &amp; Tourism - PERTH - Diploma</t>
  </si>
  <si>
    <t xml:space="preserve">Perth | Hospitality, Cookery &amp; Tourism | Diploma</t>
  </si>
  <si>
    <t xml:space="preserve">Hospitality, Cookery &amp; Tourism - PERTH - Advanced Diploma</t>
  </si>
  <si>
    <t xml:space="preserve">Perth | Hospitality, Cookery &amp; Tourism | Advanced Diploma</t>
  </si>
  <si>
    <t xml:space="preserve">Hospitality, Cookery &amp; Tourism - PERTH - Bachelor</t>
  </si>
  <si>
    <t xml:space="preserve">Perth | Hospitality, Cookery &amp; Tourism | Bachelor</t>
  </si>
  <si>
    <t xml:space="preserve">Hospitality, Cookery &amp; Tourism - SYDNEY - Certificate III</t>
  </si>
  <si>
    <t xml:space="preserve">Sydney | Hospitality, Cookery &amp; Tourism | Certificate III</t>
  </si>
  <si>
    <t xml:space="preserve">Hospitality, Cookery &amp; Tourism - SYDNEY - Certificate IV</t>
  </si>
  <si>
    <t xml:space="preserve">Sydney | Hospitality, Cookery &amp; Tourism | Certificate IV</t>
  </si>
  <si>
    <t xml:space="preserve">Hospitality, Cookery &amp; Tourism - SYDNEY - Diploma</t>
  </si>
  <si>
    <t xml:space="preserve">Sydney | Hospitality, Cookery &amp; Tourism | Diploma</t>
  </si>
  <si>
    <t xml:space="preserve">Hospitality, Cookery &amp; Tourism - SYDNEY - Advanced Diploma</t>
  </si>
  <si>
    <t xml:space="preserve">Sydney | Hospitality, Cookery &amp; Tourism | Advanced Diploma</t>
  </si>
  <si>
    <t xml:space="preserve">Hospitality, Cookery &amp; Tourism - SYDNEY - Bachelor</t>
  </si>
  <si>
    <t xml:space="preserve">Sydney | Hospitality, Cookery &amp; Tourism | Bachelor</t>
  </si>
  <si>
    <t xml:space="preserve">Hospitality, Cookery &amp; Tourism - SYDNEY - Graduate Certificate/Diploma</t>
  </si>
  <si>
    <t xml:space="preserve">Sydney | Hospitality, Cookery &amp; Tourism | Graduate Certificate/Diploma</t>
  </si>
  <si>
    <t xml:space="preserve">Hospitality, Cookery &amp; Tourism - SYDNEY - Master</t>
  </si>
  <si>
    <t xml:space="preserve">Sydney | Hospitality, Cookery &amp; Tourism | Master</t>
  </si>
  <si>
    <t xml:space="preserve">Hospitality, Cookery &amp; Tourism - TASMANIA HOBART - Certificate IV</t>
  </si>
  <si>
    <t xml:space="preserve">Tasmania Hobart | Hospitality, Cookery &amp; Tourism | Certificate IV</t>
  </si>
  <si>
    <t xml:space="preserve">Hospitality, Cookery &amp; Tourism - TASMANIA HOBART - Diploma</t>
  </si>
  <si>
    <t xml:space="preserve">Tasmania Hobart | Hospitality, Cookery &amp; Tourism | Diploma</t>
  </si>
  <si>
    <t xml:space="preserve">Hospitality, Cookery &amp; Tourism - TASMANIA HOBART - Advanced Diploma</t>
  </si>
  <si>
    <t xml:space="preserve">Tasmania Hobart | Hospitality, Cookery &amp; Tourism | Advanced Diploma</t>
  </si>
  <si>
    <t xml:space="preserve">IT, Data &amp; Cyber Security - ADELAIDE - Certificate III</t>
  </si>
  <si>
    <t xml:space="preserve">IT, Data &amp; Cyber Security</t>
  </si>
  <si>
    <t xml:space="preserve">Adelaide | IT, Data &amp; Cyber Security | Certificate III</t>
  </si>
  <si>
    <t xml:space="preserve">IT, Data &amp; Cyber Security - ADELAIDE - Certificate IV</t>
  </si>
  <si>
    <t xml:space="preserve">Adelaide | IT, Data &amp; Cyber Security | Certificate IV</t>
  </si>
  <si>
    <t xml:space="preserve">IT, Data &amp; Cyber Security - ADELAIDE - Diploma</t>
  </si>
  <si>
    <t xml:space="preserve">Adelaide | IT, Data &amp; Cyber Security | Diploma</t>
  </si>
  <si>
    <t xml:space="preserve">IT, Data &amp; Cyber Security - ADELAIDE - Advanced Diploma</t>
  </si>
  <si>
    <t xml:space="preserve">Adelaide | IT, Data &amp; Cyber Security | Advanced Diploma</t>
  </si>
  <si>
    <t xml:space="preserve">IT, Data &amp; Cyber Security - ADELAIDE - Bachelor</t>
  </si>
  <si>
    <t xml:space="preserve">Adelaide | IT, Data &amp; Cyber Security | Bachelor</t>
  </si>
  <si>
    <t xml:space="preserve">IT, Data &amp; Cyber Security - ADELAIDE - Graduate Certificate/Diploma</t>
  </si>
  <si>
    <t xml:space="preserve">Adelaide | IT, Data &amp; Cyber Security | Graduate Certificate/Diploma</t>
  </si>
  <si>
    <t xml:space="preserve">IT, Data &amp; Cyber Security - ADELAIDE - Master</t>
  </si>
  <si>
    <t xml:space="preserve">Adelaide | IT, Data &amp; Cyber Security | Master</t>
  </si>
  <si>
    <t xml:space="preserve">IT, Data &amp; Cyber Security - BRISBANE - Diploma</t>
  </si>
  <si>
    <t xml:space="preserve">Brisbane | IT, Data &amp; Cyber Security | Diploma</t>
  </si>
  <si>
    <t xml:space="preserve">IT, Data &amp; Cyber Security - BRISBANE - Advanced Diploma</t>
  </si>
  <si>
    <t xml:space="preserve">Brisbane | IT, Data &amp; Cyber Security | Advanced Diploma</t>
  </si>
  <si>
    <t xml:space="preserve">IT, Data &amp; Cyber Security - BRISBANE - Bachelor</t>
  </si>
  <si>
    <t xml:space="preserve">Brisbane | IT, Data &amp; Cyber Security | Bachelor</t>
  </si>
  <si>
    <t xml:space="preserve">IT, Data &amp; Cyber Security - BRISBANE - Graduate Certificate/Diploma</t>
  </si>
  <si>
    <t xml:space="preserve">Brisbane | IT, Data &amp; Cyber Security | Graduate Certificate/Diploma</t>
  </si>
  <si>
    <t xml:space="preserve">IT, Data &amp; Cyber Security - BRISBANE - Master</t>
  </si>
  <si>
    <t xml:space="preserve">Brisbane | IT, Data &amp; Cyber Security | Master</t>
  </si>
  <si>
    <t xml:space="preserve">IT, Data &amp; Cyber Security - CANBERRA - Diploma</t>
  </si>
  <si>
    <t xml:space="preserve">Canberra | IT, Data &amp; Cyber Security | Diploma</t>
  </si>
  <si>
    <t xml:space="preserve">IT, Data &amp; Cyber Security - CANBERRA - Advanced Diploma</t>
  </si>
  <si>
    <t xml:space="preserve">Canberra | IT, Data &amp; Cyber Security | Advanced Diploma</t>
  </si>
  <si>
    <t xml:space="preserve">IT, Data &amp; Cyber Security - CANBERRA - Bachelor</t>
  </si>
  <si>
    <t xml:space="preserve">Canberra | IT, Data &amp; Cyber Security | Bachelor</t>
  </si>
  <si>
    <t xml:space="preserve">IT, Data &amp; Cyber Security - CANBERRA - Graduate Certificate/Diploma</t>
  </si>
  <si>
    <t xml:space="preserve">Canberra | IT, Data &amp; Cyber Security | Graduate Certificate/Diploma</t>
  </si>
  <si>
    <t xml:space="preserve">IT, Data &amp; Cyber Security - CANBERRA - Master</t>
  </si>
  <si>
    <t xml:space="preserve">Canberra | IT, Data &amp; Cyber Security | Master</t>
  </si>
  <si>
    <t xml:space="preserve">IT, Data &amp; Cyber Security - DARWIN - Diploma</t>
  </si>
  <si>
    <t xml:space="preserve">Darwin | IT, Data &amp; Cyber Security | Diploma</t>
  </si>
  <si>
    <t xml:space="preserve">IT, Data &amp; Cyber Security - DARWIN - Advanced Diploma</t>
  </si>
  <si>
    <t xml:space="preserve">Darwin | IT, Data &amp; Cyber Security | Advanced Diploma</t>
  </si>
  <si>
    <t xml:space="preserve">IT, Data &amp; Cyber Security - DARWIN - Bachelor</t>
  </si>
  <si>
    <t xml:space="preserve">Darwin | IT, Data &amp; Cyber Security | Bachelor</t>
  </si>
  <si>
    <t xml:space="preserve">IT, Data &amp; Cyber Security - DARWIN - Master</t>
  </si>
  <si>
    <t xml:space="preserve">Darwin | IT, Data &amp; Cyber Security | Master</t>
  </si>
  <si>
    <t xml:space="preserve">IT, Data &amp; Cyber Security - MELBOURNE - Diploma</t>
  </si>
  <si>
    <t xml:space="preserve">Melbourne | IT, Data &amp; Cyber Security | Diploma</t>
  </si>
  <si>
    <t xml:space="preserve">IT, Data &amp; Cyber Security - MELBOURNE - Advanced Diploma</t>
  </si>
  <si>
    <t xml:space="preserve">Melbourne | IT, Data &amp; Cyber Security | Advanced Diploma</t>
  </si>
  <si>
    <t xml:space="preserve">IT, Data &amp; Cyber Security - MELBOURNE - Bachelor</t>
  </si>
  <si>
    <t xml:space="preserve">Melbourne | IT, Data &amp; Cyber Security | Bachelor</t>
  </si>
  <si>
    <t xml:space="preserve">IT, Data &amp; Cyber Security - MELBOURNE - Graduate Certificate/Diploma</t>
  </si>
  <si>
    <t xml:space="preserve">Melbourne | IT, Data &amp; Cyber Security | Graduate Certificate/Diploma</t>
  </si>
  <si>
    <t xml:space="preserve">IT, Data &amp; Cyber Security - MELBOURNE - Master</t>
  </si>
  <si>
    <t xml:space="preserve">Melbourne | IT, Data &amp; Cyber Security | Master</t>
  </si>
  <si>
    <t xml:space="preserve">IT, Data &amp; Cyber Security - PERTH - Diploma</t>
  </si>
  <si>
    <t xml:space="preserve">Perth | IT, Data &amp; Cyber Security | Diploma</t>
  </si>
  <si>
    <t xml:space="preserve">IT, Data &amp; Cyber Security - PERTH - Advanced Diploma</t>
  </si>
  <si>
    <t xml:space="preserve">Perth | IT, Data &amp; Cyber Security | Advanced Diploma</t>
  </si>
  <si>
    <t xml:space="preserve">IT, Data &amp; Cyber Security - PERTH - Bachelor</t>
  </si>
  <si>
    <t xml:space="preserve">Perth | IT, Data &amp; Cyber Security | Bachelor</t>
  </si>
  <si>
    <t xml:space="preserve">IT, Data &amp; Cyber Security - PERTH - Graduate Certificate/Diploma</t>
  </si>
  <si>
    <t xml:space="preserve">Perth | IT, Data &amp; Cyber Security | Graduate Certificate/Diploma</t>
  </si>
  <si>
    <t xml:space="preserve">IT, Data &amp; Cyber Security - PERTH - Master</t>
  </si>
  <si>
    <t xml:space="preserve">Perth | IT, Data &amp; Cyber Security | Master</t>
  </si>
  <si>
    <t xml:space="preserve">IT, Data &amp; Cyber Security - SYDNEY - Certificate IV</t>
  </si>
  <si>
    <t xml:space="preserve">Sydney | IT, Data &amp; Cyber Security | Certificate IV</t>
  </si>
  <si>
    <t xml:space="preserve">IT, Data &amp; Cyber Security - SYDNEY - Diploma</t>
  </si>
  <si>
    <t xml:space="preserve">Sydney | IT, Data &amp; Cyber Security | Diploma</t>
  </si>
  <si>
    <t xml:space="preserve">IT, Data &amp; Cyber Security - SYDNEY - Advanced Diploma</t>
  </si>
  <si>
    <t xml:space="preserve">Sydney | IT, Data &amp; Cyber Security | Advanced Diploma</t>
  </si>
  <si>
    <t xml:space="preserve">IT, Data &amp; Cyber Security - SYDNEY - Bachelor</t>
  </si>
  <si>
    <t xml:space="preserve">Sydney | IT, Data &amp; Cyber Security | Bachelor</t>
  </si>
  <si>
    <t xml:space="preserve">IT, Data &amp; Cyber Security - SYDNEY - Graduate Certificate/Diploma</t>
  </si>
  <si>
    <t xml:space="preserve">Sydney | IT, Data &amp; Cyber Security | Graduate Certificate/Diploma</t>
  </si>
  <si>
    <t xml:space="preserve">IT, Data &amp; Cyber Security - SYDNEY - Master</t>
  </si>
  <si>
    <t xml:space="preserve">Sydney | IT, Data &amp; Cyber Security | Master</t>
  </si>
  <si>
    <t xml:space="preserve">IT, Data &amp; Cyber Security - TASMANIA HOBART - Bachelor</t>
  </si>
  <si>
    <t xml:space="preserve">Tasmania Hobart | IT, Data &amp; Cyber Security | Bachelor</t>
  </si>
  <si>
    <t xml:space="preserve">IT, Data &amp; Cyber Security - TASMANIA HOBART - Master</t>
  </si>
  <si>
    <t xml:space="preserve">Tasmania Hobart | IT, Data &amp; Cyber Security | Master</t>
  </si>
  <si>
    <t xml:space="preserve">Law &amp; Criminology - ADELAIDE - Bachelor</t>
  </si>
  <si>
    <t xml:space="preserve">Law &amp; Criminology</t>
  </si>
  <si>
    <t xml:space="preserve">Adelaide | Law &amp; Criminology | Bachelor</t>
  </si>
  <si>
    <t xml:space="preserve">Law &amp; Criminology - ADELAIDE - Master</t>
  </si>
  <si>
    <t xml:space="preserve">Adelaide | Law &amp; Criminology | Master</t>
  </si>
  <si>
    <t xml:space="preserve">Law &amp; Criminology - BRISBANE - Diploma</t>
  </si>
  <si>
    <t xml:space="preserve">Brisbane | Law &amp; Criminology | Diploma</t>
  </si>
  <si>
    <t xml:space="preserve">Law &amp; Criminology - BRISBANE - Bachelor</t>
  </si>
  <si>
    <t xml:space="preserve">Brisbane | Law &amp; Criminology | Bachelor</t>
  </si>
  <si>
    <t xml:space="preserve">Law &amp; Criminology - CANBERRA - Diploma</t>
  </si>
  <si>
    <t xml:space="preserve">Canberra | Law &amp; Criminology | Diploma</t>
  </si>
  <si>
    <t xml:space="preserve">Law &amp; Criminology - CANBERRA - Bachelor</t>
  </si>
  <si>
    <t xml:space="preserve">Canberra | Law &amp; Criminology | Bachelor</t>
  </si>
  <si>
    <t xml:space="preserve">Law &amp; Criminology - DARWIN - Diploma</t>
  </si>
  <si>
    <t xml:space="preserve">Darwin | Law &amp; Criminology | Diploma</t>
  </si>
  <si>
    <t xml:space="preserve">Law &amp; Criminology - DARWIN - Advanced Diploma</t>
  </si>
  <si>
    <t xml:space="preserve">Darwin | Law &amp; Criminology | Advanced Diploma</t>
  </si>
  <si>
    <t xml:space="preserve">Law &amp; Criminology - DARWIN - Bachelor</t>
  </si>
  <si>
    <t xml:space="preserve">Darwin | Law &amp; Criminology | Bachelor</t>
  </si>
  <si>
    <t xml:space="preserve">Law &amp; Criminology - MELBOURNE - Diploma</t>
  </si>
  <si>
    <t xml:space="preserve">Melbourne | Law &amp; Criminology | Diploma</t>
  </si>
  <si>
    <t xml:space="preserve">Law &amp; Criminology - MELBOURNE - Bachelor</t>
  </si>
  <si>
    <t xml:space="preserve">Melbourne | Law &amp; Criminology | Bachelor</t>
  </si>
  <si>
    <t xml:space="preserve">Law &amp; Criminology - SYDNEY - Diploma</t>
  </si>
  <si>
    <t xml:space="preserve">Sydney | Law &amp; Criminology | Diploma</t>
  </si>
  <si>
    <t xml:space="preserve">Law &amp; Criminology - SYDNEY - Bachelor</t>
  </si>
  <si>
    <t xml:space="preserve">Sydney | Law &amp; Criminology | Bachelor</t>
  </si>
  <si>
    <t xml:space="preserve">Law &amp; Criminology - SYDNEY - Master</t>
  </si>
  <si>
    <t xml:space="preserve">Sydney | Law &amp; Criminology | Master</t>
  </si>
  <si>
    <t xml:space="preserve">Law &amp; Criminology - TASMANIA HOBART - Diploma</t>
  </si>
  <si>
    <t xml:space="preserve">Tasmania Hobart | Law &amp; Criminology | Diploma</t>
  </si>
  <si>
    <t xml:space="preserve">Law &amp; Criminology - TASMANIA HOBART - Bachelor</t>
  </si>
  <si>
    <t xml:space="preserve">Tasmania Hobart | Law &amp; Criminology | Bachelor</t>
  </si>
  <si>
    <t xml:space="preserve">Law &amp; Criminology - TASMANIA HOBART - Graduate Certificate/Diploma</t>
  </si>
  <si>
    <t xml:space="preserve">Tasmania Hobart | Law &amp; Criminology | Graduate Certificate/Diploma</t>
  </si>
  <si>
    <t xml:space="preserve">Logistics &amp; Supply Chain - ADELAIDE - Bachelor</t>
  </si>
  <si>
    <t xml:space="preserve">Logistics &amp; Supply Chain</t>
  </si>
  <si>
    <t xml:space="preserve">Adelaide | Logistics &amp; Supply Chain | Bachelor</t>
  </si>
  <si>
    <t xml:space="preserve">Logistics &amp; Supply Chain - ADELAIDE - Graduate Certificate/Diploma</t>
  </si>
  <si>
    <t xml:space="preserve">Adelaide | Logistics &amp; Supply Chain | Graduate Certificate/Diploma</t>
  </si>
  <si>
    <t xml:space="preserve">Logistics &amp; Supply Chain - ADELAIDE - Master</t>
  </si>
  <si>
    <t xml:space="preserve">Adelaide | Logistics &amp; Supply Chain | Master</t>
  </si>
  <si>
    <t xml:space="preserve">Logistics &amp; Supply Chain - BRISBANE - Master</t>
  </si>
  <si>
    <t xml:space="preserve">Brisbane | Logistics &amp; Supply Chain | Master</t>
  </si>
  <si>
    <t xml:space="preserve">Logistics &amp; Supply Chain - MELBOURNE - Master</t>
  </si>
  <si>
    <t xml:space="preserve">Melbourne | Logistics &amp; Supply Chain | Master</t>
  </si>
  <si>
    <t xml:space="preserve">Logistics &amp; Supply Chain - SYDNEY - Diploma</t>
  </si>
  <si>
    <t xml:space="preserve">Sydney | Logistics &amp; Supply Chain | Diploma</t>
  </si>
  <si>
    <t xml:space="preserve">Logistics &amp; Supply Chain - SYDNEY - Master</t>
  </si>
  <si>
    <t xml:space="preserve">Sydney | Logistics &amp; Supply Chain | Master</t>
  </si>
  <si>
    <t xml:space="preserve">Logistics &amp; Supply Chain - TASMANIA HOBART - Diploma</t>
  </si>
  <si>
    <t xml:space="preserve">Tasmania Hobart | Logistics &amp; Supply Chain | Diploma</t>
  </si>
  <si>
    <t xml:space="preserve">Logistics &amp; Supply Chain - TASMANIA HOBART - Advanced Diploma</t>
  </si>
  <si>
    <t xml:space="preserve">Tasmania Hobart | Logistics &amp; Supply Chain | Advanced Diploma</t>
  </si>
  <si>
    <t xml:space="preserve">Logistics &amp; Supply Chain - TASMANIA HOBART - Bachelor</t>
  </si>
  <si>
    <t xml:space="preserve">Tasmania Hobart | Logistics &amp; Supply Chain | Bachelor</t>
  </si>
  <si>
    <t xml:space="preserve">Logistics &amp; Supply Chain - TASMANIA HOBART - Graduate Certificate/Diploma</t>
  </si>
  <si>
    <t xml:space="preserve">Tasmania Hobart | Logistics &amp; Supply Chain | Graduate Certificate/Diploma</t>
  </si>
  <si>
    <t xml:space="preserve">Logistics &amp; Supply Chain - TASMANIA HOBART - Master</t>
  </si>
  <si>
    <t xml:space="preserve">Tasmania Hobart | Logistics &amp; Supply Chain | Master</t>
  </si>
  <si>
    <t xml:space="preserve">Others - ADELAIDE - Advanced Diploma</t>
  </si>
  <si>
    <t xml:space="preserve">Adelaide | Others | Advanced Diploma</t>
  </si>
  <si>
    <t xml:space="preserve">Others - ADELAIDE - Bachelor</t>
  </si>
  <si>
    <t xml:space="preserve">Adelaide | Others | Bachelor</t>
  </si>
  <si>
    <t xml:space="preserve">Others - ADELAIDE - Graduate Certificate/Diploma</t>
  </si>
  <si>
    <t xml:space="preserve">Adelaide | Others | Graduate Certificate/Diploma</t>
  </si>
  <si>
    <t xml:space="preserve">Others - ADELAIDE - Master</t>
  </si>
  <si>
    <t xml:space="preserve">Adelaide | Others | Master</t>
  </si>
  <si>
    <t xml:space="preserve">Others - ADELAIDE - Doctorate</t>
  </si>
  <si>
    <t xml:space="preserve">Adelaide | Others | Doctorate</t>
  </si>
  <si>
    <t xml:space="preserve">Others - BRISBANE - Diploma</t>
  </si>
  <si>
    <t xml:space="preserve">Brisbane | Others | Diploma</t>
  </si>
  <si>
    <t xml:space="preserve">Others - BRISBANE - Bachelor</t>
  </si>
  <si>
    <t xml:space="preserve">Brisbane | Others | Bachelor</t>
  </si>
  <si>
    <t xml:space="preserve">Others - BRISBANE - Graduate Certificate/Diploma</t>
  </si>
  <si>
    <t xml:space="preserve">Brisbane | Others | Graduate Certificate/Diploma</t>
  </si>
  <si>
    <t xml:space="preserve">Others - BRISBANE - Master</t>
  </si>
  <si>
    <t xml:space="preserve">Brisbane | Others | Master</t>
  </si>
  <si>
    <t xml:space="preserve">Others - BRISBANE - Doctorate</t>
  </si>
  <si>
    <t xml:space="preserve">Brisbane | Others | Doctorate</t>
  </si>
  <si>
    <t xml:space="preserve">Others - CANBERRA - Diploma</t>
  </si>
  <si>
    <t xml:space="preserve">Canberra | Others | Diploma</t>
  </si>
  <si>
    <t xml:space="preserve">Others - CANBERRA - Bachelor</t>
  </si>
  <si>
    <t xml:space="preserve">Canberra | Others | Bachelor</t>
  </si>
  <si>
    <t xml:space="preserve">Others - CANBERRA - Master</t>
  </si>
  <si>
    <t xml:space="preserve">Canberra | Others | Master</t>
  </si>
  <si>
    <t xml:space="preserve">Others - CANBERRA - Doctorate</t>
  </si>
  <si>
    <t xml:space="preserve">Canberra | Others | Doctorate</t>
  </si>
  <si>
    <t xml:space="preserve">Others - DARWIN - Diploma</t>
  </si>
  <si>
    <t xml:space="preserve">Darwin | Others | Diploma</t>
  </si>
  <si>
    <t xml:space="preserve">Others - DARWIN - Bachelor</t>
  </si>
  <si>
    <t xml:space="preserve">Darwin | Others | Bachelor</t>
  </si>
  <si>
    <t xml:space="preserve">Others - DARWIN - Graduate Certificate/Diploma</t>
  </si>
  <si>
    <t xml:space="preserve">Darwin | Others | Graduate Certificate/Diploma</t>
  </si>
  <si>
    <t xml:space="preserve">Others - DARWIN - Master</t>
  </si>
  <si>
    <t xml:space="preserve">Darwin | Others | Master</t>
  </si>
  <si>
    <t xml:space="preserve">Others - DARWIN - Doctorate</t>
  </si>
  <si>
    <t xml:space="preserve">Darwin | Others | Doctorate</t>
  </si>
  <si>
    <t xml:space="preserve">Others - MELBOURNE - Diploma</t>
  </si>
  <si>
    <t xml:space="preserve">Melbourne | Others | Diploma</t>
  </si>
  <si>
    <t xml:space="preserve">Others - MELBOURNE - Bachelor</t>
  </si>
  <si>
    <t xml:space="preserve">Melbourne | Others | Bachelor</t>
  </si>
  <si>
    <t xml:space="preserve">Others - MELBOURNE - Graduate Certificate/Diploma</t>
  </si>
  <si>
    <t xml:space="preserve">Melbourne | Others | Graduate Certificate/Diploma</t>
  </si>
  <si>
    <t xml:space="preserve">Others - MELBOURNE - Master</t>
  </si>
  <si>
    <t xml:space="preserve">Melbourne | Others | Master</t>
  </si>
  <si>
    <t xml:space="preserve">Others - MELBOURNE - Doctorate</t>
  </si>
  <si>
    <t xml:space="preserve">Melbourne | Others | Doctorate</t>
  </si>
  <si>
    <t xml:space="preserve">Others - SYDNEY - Diploma</t>
  </si>
  <si>
    <t xml:space="preserve">Sydney | Others | Diploma</t>
  </si>
  <si>
    <t xml:space="preserve">Others - SYDNEY - Advanced Diploma</t>
  </si>
  <si>
    <t xml:space="preserve">Sydney | Others | Advanced Diploma</t>
  </si>
  <si>
    <t xml:space="preserve">Others - SYDNEY - Bachelor</t>
  </si>
  <si>
    <t xml:space="preserve">Sydney | Others | Bachelor</t>
  </si>
  <si>
    <t xml:space="preserve">Others - SYDNEY - Graduate Certificate/Diploma</t>
  </si>
  <si>
    <t xml:space="preserve">Sydney | Others | Graduate Certificate/Diploma</t>
  </si>
  <si>
    <t xml:space="preserve">Others - SYDNEY - Master</t>
  </si>
  <si>
    <t xml:space="preserve">Sydney | Others | Master</t>
  </si>
  <si>
    <t xml:space="preserve">Others - SYDNEY - Doctorate</t>
  </si>
  <si>
    <t xml:space="preserve">Sydney | Others | Doctorate</t>
  </si>
  <si>
    <t xml:space="preserve">Others - TASMANIA HOBART - Diploma</t>
  </si>
  <si>
    <t xml:space="preserve">Tasmania Hobart | Others | Diploma</t>
  </si>
  <si>
    <t xml:space="preserve">Others - TASMANIA HOBART - Advanced Diploma</t>
  </si>
  <si>
    <t xml:space="preserve">Tasmania Hobart | Others | Advanced Diploma</t>
  </si>
  <si>
    <t xml:space="preserve">Others - TASMANIA HOBART - Bachelor</t>
  </si>
  <si>
    <t xml:space="preserve">Tasmania Hobart | Others | Bachelor</t>
  </si>
  <si>
    <t xml:space="preserve">Others - TASMANIA HOBART - Graduate Certificate/Diploma</t>
  </si>
  <si>
    <t xml:space="preserve">Tasmania Hobart | Others | Graduate Certificate/Diploma</t>
  </si>
  <si>
    <t xml:space="preserve">Others - TASMANIA HOBART - Master</t>
  </si>
  <si>
    <t xml:space="preserve">Tasmania Hobart | Others | Master</t>
  </si>
  <si>
    <t xml:space="preserve">Science &amp; Environment - ADELAIDE - Certificate III</t>
  </si>
  <si>
    <t xml:space="preserve">Science &amp; Environment</t>
  </si>
  <si>
    <t xml:space="preserve">Adelaide | Science &amp; Environment | Certificate III</t>
  </si>
  <si>
    <t xml:space="preserve">Science &amp; Environment - ADELAIDE - Diploma</t>
  </si>
  <si>
    <t xml:space="preserve">Adelaide | Science &amp; Environment | Diploma</t>
  </si>
  <si>
    <t xml:space="preserve">Science &amp; Environment - ADELAIDE - Bachelor</t>
  </si>
  <si>
    <t xml:space="preserve">Adelaide | Science &amp; Environment | Bachelor</t>
  </si>
  <si>
    <t xml:space="preserve">Science &amp; Environment - ADELAIDE - Master</t>
  </si>
  <si>
    <t xml:space="preserve">Adelaide | Science &amp; Environment | Master</t>
  </si>
  <si>
    <t xml:space="preserve">Science &amp; Environment - BRISBANE - Bachelor</t>
  </si>
  <si>
    <t xml:space="preserve">Brisbane | Science &amp; Environment | Bachelor</t>
  </si>
  <si>
    <t xml:space="preserve">Science &amp; Environment - CANBERRA - Bachelor</t>
  </si>
  <si>
    <t xml:space="preserve">Canberra | Science &amp; Environment | Bachelor</t>
  </si>
  <si>
    <t xml:space="preserve">Science &amp; Environment - DARWIN - Diploma</t>
  </si>
  <si>
    <t xml:space="preserve">Darwin | Science &amp; Environment | Diploma</t>
  </si>
  <si>
    <t xml:space="preserve">Science &amp; Environment - DARWIN - Bachelor</t>
  </si>
  <si>
    <t xml:space="preserve">Darwin | Science &amp; Environment | Bachelor</t>
  </si>
  <si>
    <t xml:space="preserve">Science &amp; Environment - DARWIN - Master</t>
  </si>
  <si>
    <t xml:space="preserve">Darwin | Science &amp; Environment | Master</t>
  </si>
  <si>
    <t xml:space="preserve">Science &amp; Environment - MELBOURNE - Diploma</t>
  </si>
  <si>
    <t xml:space="preserve">Melbourne | Science &amp; Environment | Diploma</t>
  </si>
  <si>
    <t xml:space="preserve">Science &amp; Environment - MELBOURNE - Bachelor</t>
  </si>
  <si>
    <t xml:space="preserve">Melbourne | Science &amp; Environment | Bachelor</t>
  </si>
  <si>
    <t xml:space="preserve">Science &amp; Environment - SYDNEY - Certificate IV</t>
  </si>
  <si>
    <t xml:space="preserve">Sydney | Science &amp; Environment | Certificate IV</t>
  </si>
  <si>
    <t xml:space="preserve">Science &amp; Environment - SYDNEY - Diploma</t>
  </si>
  <si>
    <t xml:space="preserve">Sydney | Science &amp; Environment | Diploma</t>
  </si>
  <si>
    <t xml:space="preserve">Science &amp; Environment - SYDNEY - Advanced Diploma</t>
  </si>
  <si>
    <t xml:space="preserve">Sydney | Science &amp; Environment | Advanced Diploma</t>
  </si>
  <si>
    <t xml:space="preserve">Science &amp; Environment - SYDNEY - Bachelor</t>
  </si>
  <si>
    <t xml:space="preserve">Sydney | Science &amp; Environment | Bachelor</t>
  </si>
  <si>
    <t xml:space="preserve">Science &amp; Environment - SYDNEY - Master</t>
  </si>
  <si>
    <t xml:space="preserve">Sydney | Science &amp; Environment | Master</t>
  </si>
  <si>
    <t xml:space="preserve">Science &amp; Environment - TASMANIA HOBART - Advanced Diploma</t>
  </si>
  <si>
    <t xml:space="preserve">Tasmania Hobart | Science &amp; Environment | Advanced Diploma</t>
  </si>
  <si>
    <t xml:space="preserve">Science &amp; Environment - TASMANIA HOBART - Bachelor</t>
  </si>
  <si>
    <t xml:space="preserve">Tasmania Hobart | Science &amp; Environment | Bachelor</t>
  </si>
  <si>
    <t xml:space="preserve">Science &amp; Environment - TASMANIA HOBART - Graduate Certificate/Diploma</t>
  </si>
  <si>
    <t xml:space="preserve">Tasmania Hobart | Science &amp; Environment | Graduate Certificate/Diploma</t>
  </si>
  <si>
    <t xml:space="preserve">Science &amp; Environment - TASMANIA HOBART - Master</t>
  </si>
  <si>
    <t xml:space="preserve">Tasmania Hobart | Science &amp; Environment | Master</t>
  </si>
  <si>
    <t xml:space="preserve">PERBANDINGAN JURUSAN - ONSHORE</t>
  </si>
  <si>
    <t xml:space="preserve">Tanggal update data: 07/11/2026. Semua sekolah di sheet Onshore ditampilkan. Peringkat dihitung dari estimasi tuition per tahun (per periode x 4 term, x 3 trimester, x 2 semester, x 8 unit) per grup Bidang + Kota + Jenjang. Urutan: Bidang A-Z, Kota A-Z, Jenjang rendah ke tinggi, peringkat, nama sekolah A-Z; baris tanpa harga atau yang tidak menerima pendaftaran (Peringkat "-") di bawah grup. Satu baris per sekolah per grup (program termurah yang harganya tersedia). Lihat kolom Keterangan. Sel tuition kuning = material/enrolment belum lengkap tercatat (total biaya bisa lebih).</t>
  </si>
  <si>
    <t xml:space="preserve">Sejak 2 Okt 2026 sebagian besar pemegang visa sementara harus mengajukan visa pelajar dari luar Australia kecuali ada pengecualian. Konsultasikan dengan konsultan TEG.</t>
  </si>
  <si>
    <t xml:space="preserve">Accounting &amp; Finance - DARWIN - Diploma</t>
  </si>
  <si>
    <t xml:space="preserve">Darwin | Accounting &amp; Finance | Diploma</t>
  </si>
  <si>
    <t xml:space="preserve">Accounting &amp; Finance - DARWIN - Advanced Diploma</t>
  </si>
  <si>
    <t xml:space="preserve">Darwin | Accounting &amp; Finance | Advanced Diploma</t>
  </si>
  <si>
    <t xml:space="preserve">Automotive - CANBERRA - Certificate III</t>
  </si>
  <si>
    <t xml:space="preserve">Canberra | Automotive | Certificate III</t>
  </si>
  <si>
    <t xml:space="preserve">Business &amp; Management - DARWIN - Certificate IV</t>
  </si>
  <si>
    <t xml:space="preserve">Darwin | Business &amp; Management | Certificate IV</t>
  </si>
  <si>
    <t xml:space="preserve">Hospitality, Cookery &amp; Tourism - CANBERRA - Graduate Certificate/Diploma</t>
  </si>
  <si>
    <t xml:space="preserve">Canberra | Hospitality, Cookery &amp; Tourism | Graduate Certificate/Diploma</t>
  </si>
  <si>
    <t xml:space="preserve">Hospitality, Cookery &amp; Tourism - DARWIN - Certificate III</t>
  </si>
  <si>
    <t xml:space="preserve">Darwin | Hospitality, Cookery &amp; Tourism | Certificate III</t>
  </si>
  <si>
    <t xml:space="preserve">PAKET PATHWAY VET + HE</t>
  </si>
  <si>
    <t xml:space="preserve">Tanggal update data: 07/11/2026. Paket VET di satu sekolah lalu Higher Education di sekolah lain. Bagian VET/HE diambil dengan rumus dari sheet kota. Urutan: OFFSHORE/ONSHORE dipisah, lalu dikelompokkan Kota (A-Z) &gt; Bidang; di dalam setiap grup Sekolah VET A-Z, lalu Sekolah HE A-Z (aturan Project).</t>
  </si>
  <si>
    <t xml:space="preserve">Sekolah VET</t>
  </si>
  <si>
    <t xml:space="preserve">Program VET</t>
  </si>
  <si>
    <t xml:space="preserve">Durasi VET</t>
  </si>
  <si>
    <t xml:space="preserve">Sekolah HE</t>
  </si>
  <si>
    <t xml:space="preserve">Program HE</t>
  </si>
  <si>
    <t xml:space="preserve">Durasi HE (setelah credit transfer)</t>
  </si>
  <si>
    <t xml:space="preserve">Credit transfer</t>
  </si>
  <si>
    <t xml:space="preserve">Total durasi paket</t>
  </si>
  <si>
    <t xml:space="preserve">Tuition per periode VET (+ periode)</t>
  </si>
  <si>
    <t xml:space="preserve">Tuition per periode HE (+ periode)</t>
  </si>
  <si>
    <t xml:space="preserve">Estimasi Initial Payment (ke sekolah VET)</t>
  </si>
  <si>
    <t xml:space="preserve">Estimasi Total Biaya Awal</t>
  </si>
  <si>
    <t xml:space="preserve">Dasar pathway (sumber &amp; tanggal)</t>
  </si>
  <si>
    <t xml:space="preserve">OFFSHORE</t>
  </si>
  <si>
    <t xml:space="preserve">MELBOURNE - IT, Data &amp; Cyber Security</t>
  </si>
  <si>
    <t xml:space="preserve">Greenwich Higher Education (Academy of Interactive Technology Pty Ltd)</t>
  </si>
  <si>
    <t xml:space="preserve">2 years (3 years - 1 tahun credit)</t>
  </si>
  <si>
    <t xml:space="preserve">1 tahun RPL &amp; credit (sumber resmi GHE; jumlah pasti per siswa dikonfirmasi di offer letter)</t>
  </si>
  <si>
    <t xml:space="preserve">4 years (2 thn VET + 2 thn Bachelor setelah credit 1 tahun)</t>
  </si>
  <si>
    <t xml:space="preserve">Greenwich Higher Education 2027 Pricing List (v4 Q4, updated 19/10/2026) hal. 2: "Greenwich College offers a Diploma and Advanced Diploma of IT that can be packaged with Greenwich Higher Education's Bachelor of IT, leading to one year of RPL and credit"; situs greenwichhighered.edu.au dicek 07/11/2026; fee VET: Greenwich VET Q4 Master Pricing Oct26 v3 hal. 4</t>
  </si>
  <si>
    <t xml:space="preserve">Setiap sekolah menerbitkan CoE/offer letter sendiri; masuk ke HE bergantung pada kelulusan VET dan syarat masuk sekolah HE; pastikan pilihan paket sesuai Genuine Student.</t>
  </si>
  <si>
    <t xml:space="preserve">PERTH - Accounting &amp; Finance</t>
  </si>
  <si>
    <t xml:space="preserve">TAFE International Western Australia (TIWA)</t>
  </si>
  <si>
    <t xml:space="preserve">Certificate IV + Diploma of Accounting (FNS50222)</t>
  </si>
  <si>
    <t xml:space="preserve">Sheridan Institute of Higher Education</t>
  </si>
  <si>
    <t xml:space="preserve">Up to 12 months (sumber resmi TIWA; jumlah pasti belum dikonfirmasi per siswa)</t>
  </si>
  <si>
    <t xml:space="preserve">4 years tanpa credit (s.d. 3 years bila credit 12 bulan disetujui)</t>
  </si>
  <si>
    <t xml:space="preserve">TAFE International WA - Degree pathways (tafeinternational.wa.edu.au/degree-pathways, "Last updated on September 1, 2026"): Diploma TIWA -&gt; Sheridan Bachelor of Business (Accounting/Management), "up to 12 months credit"; halaman dapat dibuka 04/11 &amp; 06/11/2026; fee HE: koha.sheridan.edu.au (2026)</t>
  </si>
  <si>
    <t xml:space="preserve">Setiap sekolah menerbitkan CoE/offer letter sendiri; masuk ke HE bergantung pada kelulusan VET dan syarat masuk sekolah HE; pastikan pilihan paket sesuai Genuine Student. Keterangan: Harga perlu dikonfirmasi ke sekolah.</t>
  </si>
  <si>
    <t xml:space="preserve">PERTH - Business &amp; Management</t>
  </si>
  <si>
    <t xml:space="preserve">Certificate IV + Diploma of Hospitality Management (SIT50422)</t>
  </si>
  <si>
    <t xml:space="preserve">Bachelor of Business (Management)</t>
  </si>
  <si>
    <t xml:space="preserve">4.5 years tanpa credit (s.d. 3.5 years bila credit 12 bulan disetujui)</t>
  </si>
  <si>
    <t xml:space="preserve">SYDNEY - IT, Data &amp; Cyber Security</t>
  </si>
  <si>
    <t xml:space="preserve">ONSHORE</t>
  </si>
</sst>
</file>

<file path=xl/styles.xml><?xml version="1.0" encoding="utf-8"?>
<styleSheet xmlns="http://schemas.openxmlformats.org/spreadsheetml/2006/main">
  <numFmts count="4">
    <numFmt numFmtId="164" formatCode="General"/>
    <numFmt numFmtId="165" formatCode="\$#,##0.00;&quot;-$&quot;#,##0.00;\-"/>
    <numFmt numFmtId="166" formatCode="0"/>
    <numFmt numFmtId="167" formatCode="\$#,##0;&quot;-$&quot;#,##0;\-"/>
  </numFmts>
  <fonts count="23">
    <font>
      <sz val="11"/>
      <color theme="1"/>
      <name val="Calibri"/>
      <family val="2"/>
      <charset val="1"/>
    </font>
    <font>
      <sz val="10"/>
      <name val="Arial"/>
      <family val="0"/>
    </font>
    <font>
      <sz val="10"/>
      <name val="Arial"/>
      <family val="0"/>
    </font>
    <font>
      <sz val="10"/>
      <name val="Arial"/>
      <family val="0"/>
    </font>
    <font>
      <b val="true"/>
      <sz val="14"/>
      <name val="Cambria"/>
      <family val="0"/>
      <charset val="1"/>
    </font>
    <font>
      <b val="true"/>
      <sz val="11"/>
      <name val="Cambria"/>
      <family val="0"/>
      <charset val="1"/>
    </font>
    <font>
      <b val="true"/>
      <sz val="10"/>
      <color rgb="FFFFFFFF"/>
      <name val="Arial"/>
      <family val="0"/>
      <charset val="1"/>
    </font>
    <font>
      <sz val="10"/>
      <name val="Arial"/>
      <family val="0"/>
      <charset val="1"/>
    </font>
    <font>
      <sz val="10"/>
      <color rgb="FF000000"/>
      <name val="Arial"/>
      <family val="0"/>
      <charset val="1"/>
    </font>
    <font>
      <b val="true"/>
      <sz val="10"/>
      <color rgb="FF000000"/>
      <name val="Arial"/>
      <family val="0"/>
      <charset val="1"/>
    </font>
    <font>
      <b val="true"/>
      <sz val="14"/>
      <color rgb="FF1F3864"/>
      <name val="Arial"/>
      <family val="0"/>
      <charset val="1"/>
    </font>
    <font>
      <sz val="10"/>
      <color rgb="FF0000FF"/>
      <name val="Arial"/>
      <family val="0"/>
      <charset val="1"/>
    </font>
    <font>
      <sz val="9"/>
      <color rgb="FF595959"/>
      <name val="Arial"/>
      <family val="0"/>
      <charset val="1"/>
    </font>
    <font>
      <b val="true"/>
      <sz val="10"/>
      <color rgb="FF1F3864"/>
      <name val="Arial"/>
      <family val="0"/>
      <charset val="1"/>
    </font>
    <font>
      <sz val="11"/>
      <name val="Cambria"/>
      <family val="0"/>
      <charset val="1"/>
    </font>
    <font>
      <i val="true"/>
      <sz val="9"/>
      <name val="Arial"/>
      <family val="0"/>
      <charset val="1"/>
    </font>
    <font>
      <sz val="8"/>
      <color rgb="FF595959"/>
      <name val="Arial"/>
      <family val="0"/>
      <charset val="1"/>
    </font>
    <font>
      <b val="true"/>
      <sz val="9"/>
      <color rgb="FFFFFFFF"/>
      <name val="Arial"/>
      <family val="0"/>
      <charset val="1"/>
    </font>
    <font>
      <b val="true"/>
      <sz val="9"/>
      <name val="Arial"/>
      <family val="0"/>
      <charset val="1"/>
    </font>
    <font>
      <sz val="9"/>
      <name val="Arial"/>
      <family val="0"/>
      <charset val="1"/>
    </font>
    <font>
      <i val="true"/>
      <sz val="8"/>
      <color rgb="FF404040"/>
      <name val="Arial"/>
      <family val="0"/>
      <charset val="1"/>
    </font>
    <font>
      <b val="true"/>
      <sz val="11"/>
      <color rgb="FFFFFFFF"/>
      <name val="Cambria"/>
      <family val="0"/>
      <charset val="1"/>
    </font>
    <font>
      <b val="true"/>
      <sz val="11"/>
      <color rgb="FF9C0006"/>
      <name val="Cambria"/>
      <family val="0"/>
      <charset val="1"/>
    </font>
  </fonts>
  <fills count="10">
    <fill>
      <patternFill patternType="none"/>
    </fill>
    <fill>
      <patternFill patternType="gray125"/>
    </fill>
    <fill>
      <patternFill patternType="solid">
        <fgColor rgb="FF1F3864"/>
        <bgColor rgb="FF404040"/>
      </patternFill>
    </fill>
    <fill>
      <patternFill patternType="solid">
        <fgColor rgb="FFE2EFDA"/>
        <bgColor rgb="FFEEF2F8"/>
      </patternFill>
    </fill>
    <fill>
      <patternFill patternType="solid">
        <fgColor rgb="FFFFF2CC"/>
        <bgColor rgb="FFFCE4D6"/>
      </patternFill>
    </fill>
    <fill>
      <patternFill patternType="solid">
        <fgColor rgb="FFFCE4D6"/>
        <bgColor rgb="FFFFF2CC"/>
      </patternFill>
    </fill>
    <fill>
      <patternFill patternType="solid">
        <fgColor rgb="FFFFFF00"/>
        <bgColor rgb="FFFFFF00"/>
      </patternFill>
    </fill>
    <fill>
      <patternFill patternType="solid">
        <fgColor rgb="FFEEF2F8"/>
        <bgColor rgb="FFE2EFDA"/>
      </patternFill>
    </fill>
    <fill>
      <patternFill patternType="solid">
        <fgColor rgb="FFD9E1F2"/>
        <bgColor rgb="FFE2EFDA"/>
      </patternFill>
    </fill>
    <fill>
      <patternFill patternType="solid">
        <fgColor rgb="FF2F5597"/>
        <bgColor rgb="FF1F3864"/>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5" fillId="2"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false" indent="0" shrinkToFit="false"/>
      <protection locked="true" hidden="false"/>
    </xf>
    <xf numFmtId="164" fontId="9" fillId="0" borderId="0" xfId="0" applyFont="true" applyBorder="false" applyAlignment="true" applyProtection="false">
      <alignment horizontal="general" vertical="top" textRotation="0" wrapText="false" indent="0" shrinkToFit="false"/>
      <protection locked="true" hidden="false"/>
    </xf>
    <xf numFmtId="164" fontId="8" fillId="3" borderId="0" xfId="0" applyFont="true" applyBorder="false" applyAlignment="true" applyProtection="false">
      <alignment horizontal="general" vertical="top" textRotation="0" wrapText="false" indent="0" shrinkToFit="false"/>
      <protection locked="true" hidden="false"/>
    </xf>
    <xf numFmtId="164" fontId="8" fillId="4" borderId="0" xfId="0" applyFont="true" applyBorder="false" applyAlignment="true" applyProtection="false">
      <alignment horizontal="general" vertical="top" textRotation="0" wrapText="false" indent="0" shrinkToFit="false"/>
      <protection locked="true" hidden="false"/>
    </xf>
    <xf numFmtId="164" fontId="8" fillId="5"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5" fontId="11" fillId="4"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5" fontId="11" fillId="6"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general" vertical="bottom" textRotation="0" wrapText="false" indent="0" shrinkToFit="false"/>
      <protection locked="true" hidden="false"/>
    </xf>
    <xf numFmtId="164" fontId="17" fillId="2" borderId="1" xfId="0" applyFont="true" applyBorder="true" applyAlignment="true" applyProtection="false">
      <alignment horizontal="center" vertical="center" textRotation="0" wrapText="true" indent="0" shrinkToFit="false"/>
      <protection locked="true" hidden="false"/>
    </xf>
    <xf numFmtId="164" fontId="17" fillId="2" borderId="1" xfId="0" applyFont="true" applyBorder="true" applyAlignment="true" applyProtection="false">
      <alignment horizontal="general" vertical="top" textRotation="0" wrapText="true" indent="0" shrinkToFit="false"/>
      <protection locked="true" hidden="false"/>
    </xf>
    <xf numFmtId="164" fontId="18" fillId="7" borderId="1" xfId="0" applyFont="true" applyBorder="true" applyAlignment="true" applyProtection="false">
      <alignment horizontal="left" vertical="top" textRotation="0" wrapText="true" indent="0" shrinkToFit="false"/>
      <protection locked="true" hidden="false"/>
    </xf>
    <xf numFmtId="164" fontId="19" fillId="7" borderId="1" xfId="0" applyFont="true" applyBorder="true" applyAlignment="true" applyProtection="false">
      <alignment horizontal="left" vertical="top" textRotation="0" wrapText="true" indent="0" shrinkToFit="false"/>
      <protection locked="true" hidden="false"/>
    </xf>
    <xf numFmtId="164" fontId="19" fillId="7" borderId="1" xfId="0" applyFont="true" applyBorder="true" applyAlignment="true" applyProtection="false">
      <alignment horizontal="center" vertical="top" textRotation="0" wrapText="true" indent="0" shrinkToFit="false"/>
      <protection locked="true" hidden="false"/>
    </xf>
    <xf numFmtId="165" fontId="19" fillId="7" borderId="1" xfId="0" applyFont="true" applyBorder="true" applyAlignment="true" applyProtection="false">
      <alignment horizontal="right" vertical="top" textRotation="0" wrapText="true" indent="0" shrinkToFit="false"/>
      <protection locked="true" hidden="false"/>
    </xf>
    <xf numFmtId="166" fontId="19" fillId="7" borderId="1" xfId="0" applyFont="true" applyBorder="true" applyAlignment="true" applyProtection="false">
      <alignment horizontal="center" vertical="top" textRotation="0" wrapText="true" indent="0" shrinkToFit="false"/>
      <protection locked="true" hidden="false"/>
    </xf>
    <xf numFmtId="165" fontId="18" fillId="3" borderId="1" xfId="0" applyFont="true" applyBorder="true" applyAlignment="true" applyProtection="false">
      <alignment horizontal="right" vertical="top" textRotation="0" wrapText="true" indent="0" shrinkToFit="false"/>
      <protection locked="true" hidden="false"/>
    </xf>
    <xf numFmtId="165" fontId="18" fillId="4" borderId="1" xfId="0" applyFont="true" applyBorder="true" applyAlignment="true" applyProtection="false">
      <alignment horizontal="right" vertical="top" textRotation="0" wrapText="true" indent="0" shrinkToFit="false"/>
      <protection locked="true" hidden="false"/>
    </xf>
    <xf numFmtId="164" fontId="19" fillId="7" borderId="1" xfId="0" applyFont="true" applyBorder="true" applyAlignment="true" applyProtection="false">
      <alignment horizontal="general" vertical="top" textRotation="0" wrapText="false" indent="0" shrinkToFit="false"/>
      <protection locked="true" hidden="false"/>
    </xf>
    <xf numFmtId="164" fontId="18" fillId="7" borderId="1" xfId="0" applyFont="true" applyBorder="true" applyAlignment="true" applyProtection="false">
      <alignment horizontal="general" vertical="top" textRotation="0" wrapText="false" indent="0" shrinkToFit="false"/>
      <protection locked="true" hidden="false"/>
    </xf>
    <xf numFmtId="164" fontId="20" fillId="0" borderId="0" xfId="0" applyFont="true" applyBorder="false" applyAlignment="true" applyProtection="false">
      <alignment horizontal="general" vertical="top" textRotation="0" wrapText="true" indent="0" shrinkToFit="false"/>
      <protection locked="true" hidden="false"/>
    </xf>
    <xf numFmtId="164" fontId="18" fillId="0" borderId="1" xfId="0" applyFont="true" applyBorder="true" applyAlignment="true" applyProtection="false">
      <alignment horizontal="left" vertical="top" textRotation="0" wrapText="true" indent="0" shrinkToFit="false"/>
      <protection locked="true" hidden="false"/>
    </xf>
    <xf numFmtId="164" fontId="19" fillId="0" borderId="1" xfId="0" applyFont="true" applyBorder="true" applyAlignment="true" applyProtection="false">
      <alignment horizontal="left" vertical="top" textRotation="0" wrapText="true" indent="0" shrinkToFit="false"/>
      <protection locked="true" hidden="false"/>
    </xf>
    <xf numFmtId="164" fontId="19" fillId="0" borderId="1" xfId="0" applyFont="true" applyBorder="true" applyAlignment="true" applyProtection="false">
      <alignment horizontal="center" vertical="top" textRotation="0" wrapText="true" indent="0" shrinkToFit="false"/>
      <protection locked="true" hidden="false"/>
    </xf>
    <xf numFmtId="165" fontId="19" fillId="0" borderId="1" xfId="0" applyFont="true" applyBorder="true" applyAlignment="true" applyProtection="false">
      <alignment horizontal="right" vertical="top" textRotation="0" wrapText="true" indent="0" shrinkToFit="false"/>
      <protection locked="true" hidden="false"/>
    </xf>
    <xf numFmtId="166" fontId="19" fillId="0" borderId="1" xfId="0" applyFont="true" applyBorder="true" applyAlignment="true" applyProtection="false">
      <alignment horizontal="center" vertical="top" textRotation="0" wrapText="true" indent="0" shrinkToFit="false"/>
      <protection locked="true" hidden="false"/>
    </xf>
    <xf numFmtId="164" fontId="19" fillId="0" borderId="1" xfId="0" applyFont="true" applyBorder="true" applyAlignment="true" applyProtection="false">
      <alignment horizontal="general" vertical="top" textRotation="0" wrapText="false" indent="0" shrinkToFit="false"/>
      <protection locked="true" hidden="false"/>
    </xf>
    <xf numFmtId="164" fontId="18" fillId="0" borderId="1" xfId="0" applyFont="true" applyBorder="true" applyAlignment="true" applyProtection="false">
      <alignment horizontal="general" vertical="top" textRotation="0" wrapText="false" indent="0" shrinkToFit="false"/>
      <protection locked="true" hidden="false"/>
    </xf>
    <xf numFmtId="164" fontId="18" fillId="7" borderId="1" xfId="0" applyFont="true" applyBorder="true" applyAlignment="true" applyProtection="false">
      <alignment horizontal="general" vertical="top" textRotation="0" wrapText="true" indent="0" shrinkToFit="false"/>
      <protection locked="true" hidden="false"/>
    </xf>
    <xf numFmtId="164" fontId="18" fillId="0" borderId="1" xfId="0" applyFont="true" applyBorder="true" applyAlignment="true" applyProtection="false">
      <alignment horizontal="general" vertical="top" textRotation="0" wrapText="true" indent="0" shrinkToFit="false"/>
      <protection locked="true" hidden="false"/>
    </xf>
    <xf numFmtId="164" fontId="19" fillId="5" borderId="1" xfId="0" applyFont="true" applyBorder="true" applyAlignment="true" applyProtection="false">
      <alignment horizontal="center" vertical="top" textRotation="0" wrapText="true" indent="0" shrinkToFit="false"/>
      <protection locked="true" hidden="false"/>
    </xf>
    <xf numFmtId="165" fontId="19" fillId="5" borderId="1" xfId="0" applyFont="true" applyBorder="true" applyAlignment="true" applyProtection="false">
      <alignment horizontal="right" vertical="top" textRotation="0" wrapText="true" indent="0" shrinkToFit="false"/>
      <protection locked="true" hidden="false"/>
    </xf>
    <xf numFmtId="166" fontId="19" fillId="5" borderId="1" xfId="0" applyFont="true" applyBorder="true" applyAlignment="true" applyProtection="false">
      <alignment horizontal="center" vertical="top" textRotation="0" wrapText="true" indent="0" shrinkToFit="false"/>
      <protection locked="true" hidden="false"/>
    </xf>
    <xf numFmtId="165" fontId="19" fillId="0" borderId="1" xfId="0" applyFont="true" applyBorder="true" applyAlignment="true" applyProtection="false">
      <alignment horizontal="general" vertical="top" textRotation="0" wrapText="false" indent="0" shrinkToFit="false"/>
      <protection locked="true" hidden="false"/>
    </xf>
    <xf numFmtId="165" fontId="19" fillId="7" borderId="1" xfId="0" applyFont="true" applyBorder="true" applyAlignment="true" applyProtection="false">
      <alignment horizontal="general" vertical="top" textRotation="0" wrapText="false" indent="0" shrinkToFit="false"/>
      <protection locked="true" hidden="false"/>
    </xf>
    <xf numFmtId="164" fontId="10" fillId="0" borderId="0" xfId="0" applyFont="true" applyBorder="true" applyAlignment="true" applyProtection="false">
      <alignment horizontal="general" vertical="bottom" textRotation="0" wrapText="false" indent="0" shrinkToFit="false"/>
      <protection locked="true" hidden="false"/>
    </xf>
    <xf numFmtId="164" fontId="15" fillId="0" borderId="0" xfId="0" applyFont="true" applyBorder="true" applyAlignment="true" applyProtection="false">
      <alignment horizontal="general" vertical="bottom" textRotation="0" wrapText="false" indent="0" shrinkToFit="false"/>
      <protection locked="true" hidden="false"/>
    </xf>
    <xf numFmtId="164" fontId="19" fillId="7" borderId="1" xfId="0" applyFont="true" applyBorder="true" applyAlignment="true" applyProtection="false">
      <alignment horizontal="right" vertical="top" textRotation="0" wrapText="true" indent="0" shrinkToFit="false"/>
      <protection locked="true" hidden="false"/>
    </xf>
    <xf numFmtId="165" fontId="0" fillId="3" borderId="0" xfId="0" applyFont="false" applyBorder="false" applyAlignment="true" applyProtection="false">
      <alignment horizontal="general" vertical="top" textRotation="0" wrapText="true" indent="0" shrinkToFit="false"/>
      <protection locked="true" hidden="false"/>
    </xf>
    <xf numFmtId="164" fontId="19" fillId="0" borderId="1" xfId="0" applyFont="true" applyBorder="true" applyAlignment="true" applyProtection="false">
      <alignment horizontal="right"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top" textRotation="0" wrapText="true" indent="0" shrinkToFit="false"/>
      <protection locked="true" hidden="false"/>
    </xf>
    <xf numFmtId="164" fontId="21" fillId="2" borderId="0" xfId="0" applyFont="true" applyBorder="false" applyAlignment="true" applyProtection="false">
      <alignment horizontal="center" vertical="center" textRotation="0" wrapText="true" indent="0" shrinkToFit="false"/>
      <protection locked="true" hidden="false"/>
    </xf>
    <xf numFmtId="164" fontId="5" fillId="8" borderId="0" xfId="0" applyFont="true" applyBorder="false" applyAlignment="false" applyProtection="false">
      <alignment horizontal="general" vertical="bottom" textRotation="0" wrapText="false" indent="0" shrinkToFit="false"/>
      <protection locked="true" hidden="false"/>
    </xf>
    <xf numFmtId="164" fontId="0" fillId="8"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7" fontId="0" fillId="0" borderId="0" xfId="0" applyFont="false" applyBorder="false" applyAlignment="true" applyProtection="false">
      <alignment horizontal="general" vertical="top" textRotation="0" wrapText="false" indent="0" shrinkToFit="false"/>
      <protection locked="true" hidden="false"/>
    </xf>
    <xf numFmtId="164" fontId="22" fillId="0" borderId="0" xfId="0" applyFont="true" applyBorder="true" applyAlignment="true" applyProtection="false">
      <alignment horizontal="general" vertical="top" textRotation="0" wrapText="true" indent="0" shrinkToFit="false"/>
      <protection locked="true" hidden="false"/>
    </xf>
    <xf numFmtId="164" fontId="0" fillId="0" borderId="0" xfId="0" applyFont="true" applyBorder="true" applyAlignment="false" applyProtection="false">
      <alignment horizontal="general" vertical="bottom" textRotation="0" wrapText="false" indent="0" shrinkToFit="false"/>
      <protection locked="true" hidden="false"/>
    </xf>
    <xf numFmtId="164" fontId="21" fillId="9" borderId="0" xfId="0" applyFont="true" applyBorder="false" applyAlignment="false" applyProtection="false">
      <alignment horizontal="general" vertical="bottom" textRotation="0" wrapText="false" indent="0" shrinkToFit="false"/>
      <protection locked="true" hidden="false"/>
    </xf>
    <xf numFmtId="164" fontId="0" fillId="9"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4">
    <dxf>
      <fill>
        <patternFill patternType="solid">
          <fgColor rgb="FF1F3864"/>
          <bgColor rgb="FF000000"/>
        </patternFill>
      </fill>
    </dxf>
    <dxf>
      <fill>
        <patternFill patternType="solid">
          <fgColor rgb="FFEEF2F8"/>
          <bgColor rgb="FF000000"/>
        </patternFill>
      </fill>
    </dxf>
    <dxf>
      <fill>
        <patternFill patternType="solid">
          <fgColor rgb="FFFFFFFF"/>
          <bgColor rgb="FF000000"/>
        </patternFill>
      </fill>
    </dxf>
    <dxf>
      <fill>
        <patternFill patternType="solid">
          <bgColor rgb="FF000000"/>
        </patternFill>
      </fill>
    </dxf>
    <dxf>
      <fill>
        <patternFill patternType="solid">
          <fgColor rgb="FFE2EFDA"/>
          <bgColor rgb="FF000000"/>
        </patternFill>
      </fill>
    </dxf>
    <dxf>
      <fill>
        <patternFill patternType="solid">
          <fgColor rgb="FFFFF2CC"/>
          <bgColor rgb="FF000000"/>
        </patternFill>
      </fill>
    </dxf>
    <dxf>
      <font>
        <b val="1"/>
        <color rgb="FF9C0006"/>
      </font>
      <fill>
        <patternFill>
          <bgColor rgb="FFF8CBAD"/>
        </patternFill>
      </fill>
    </dxf>
    <dxf>
      <fill>
        <patternFill patternType="solid">
          <fgColor rgb="FFFCE4D6"/>
          <bgColor rgb="FF000000"/>
        </patternFill>
      </fill>
    </dxf>
    <dxf>
      <fill>
        <patternFill patternType="solid">
          <fgColor rgb="FFC6EFCE"/>
          <bgColor rgb="FF000000"/>
        </patternFill>
      </fill>
    </dxf>
    <dxf>
      <fill>
        <patternFill patternType="solid">
          <fgColor rgb="FFD9E1F2"/>
          <bgColor rgb="FF000000"/>
        </patternFill>
      </fill>
    </dxf>
    <dxf>
      <fill>
        <patternFill patternType="solid">
          <fgColor rgb="FF000000"/>
          <bgColor rgb="FF000000"/>
        </patternFill>
      </fill>
    </dxf>
    <dxf>
      <fill>
        <patternFill>
          <bgColor rgb="FFC6EFCE"/>
        </patternFill>
      </fill>
    </dxf>
    <dxf>
      <fill>
        <patternFill>
          <bgColor rgb="FFFFF2CC"/>
        </patternFill>
      </fill>
    </dxf>
    <dxf>
      <fill>
        <patternFill patternType="solid">
          <fgColor rgb="FF2F5597"/>
          <bgColor rgb="FF000000"/>
        </patternFill>
      </fill>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FBFBF"/>
      <rgbColor rgb="FF808080"/>
      <rgbColor rgb="FF9999FF"/>
      <rgbColor rgb="FF993366"/>
      <rgbColor rgb="FFFFF2CC"/>
      <rgbColor rgb="FFE2EFDA"/>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EEF2F8"/>
      <rgbColor rgb="FFC6EFCE"/>
      <rgbColor rgb="FFFCE4D6"/>
      <rgbColor rgb="FF99CCFF"/>
      <rgbColor rgb="FFFF99CC"/>
      <rgbColor rgb="FFCC99FF"/>
      <rgbColor rgb="FFF8CBAD"/>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2F5597"/>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worksheet" Target="worksheets/sheet20.xml"/><Relationship Id="rId23" Type="http://schemas.openxmlformats.org/officeDocument/2006/relationships/worksheet" Target="worksheets/sheet21.xml"/><Relationship Id="rId24" Type="http://schemas.openxmlformats.org/officeDocument/2006/relationships/worksheet" Target="worksheets/sheet22.xml"/><Relationship Id="rId25" Type="http://schemas.openxmlformats.org/officeDocument/2006/relationships/worksheet" Target="worksheets/sheet23.xml"/><Relationship Id="rId26" Type="http://schemas.openxmlformats.org/officeDocument/2006/relationships/worksheet" Target="worksheets/sheet24.xml"/><Relationship Id="rId27" Type="http://schemas.openxmlformats.org/officeDocument/2006/relationships/worksheet" Target="worksheets/sheet25.xml"/><Relationship Id="rId28" Type="http://schemas.openxmlformats.org/officeDocument/2006/relationships/worksheet" Target="worksheets/sheet26.xml"/><Relationship Id="rId29"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drawings/drawing6.xml><?xml version="1.0" encoding="utf-8"?>
<xdr:wsDr xmlns:xdr="http://schemas.openxmlformats.org/drawingml/2006/spreadsheetDrawing" xmlns:a="http://schemas.openxmlformats.org/drawingml/2006/main" xmlns:r="http://schemas.openxmlformats.org/officeDocument/2006/relationships"/>
</file>

<file path=xl/drawings/drawing7.xml><?xml version="1.0" encoding="utf-8"?>
<xdr:wsDr xmlns:xdr="http://schemas.openxmlformats.org/drawingml/2006/spreadsheetDrawing" xmlns:a="http://schemas.openxmlformats.org/drawingml/2006/main" xmlns:r="http://schemas.openxmlformats.org/officeDocument/2006/relationships"/>
</file>

<file path=xl/drawings/drawing8.xml><?xml version="1.0" encoding="utf-8"?>
<xdr:wsDr xmlns:xdr="http://schemas.openxmlformats.org/drawingml/2006/spreadsheetDrawing" xmlns:a="http://schemas.openxmlformats.org/drawingml/2006/main" xmlns:r="http://schemas.openxmlformats.org/officeDocument/2006/relationships"/>
</file>

<file path=xl/drawings/drawing9.xml><?xml version="1.0" encoding="utf-8"?>
<xdr:wsDr xmlns:xdr="http://schemas.openxmlformats.org/drawingml/2006/spreadsheetDrawing" xmlns:a="http://schemas.openxmlformats.org/drawingml/2006/main" xmlns:r="http://schemas.openxmlformats.org/officeDocument/2006/relationships"/>
</file>

<file path=xl/drawings/drawing10.xml><?xml version="1.0" encoding="utf-8"?>
<xdr:wsDr xmlns:xdr="http://schemas.openxmlformats.org/drawingml/2006/spreadsheetDrawing" xmlns:a="http://schemas.openxmlformats.org/drawingml/2006/main" xmlns:r="http://schemas.openxmlformats.org/officeDocument/2006/relationships"/>
</file>

<file path=xl/drawings/drawing11.xml><?xml version="1.0" encoding="utf-8"?>
<xdr:wsDr xmlns:xdr="http://schemas.openxmlformats.org/drawingml/2006/spreadsheetDrawing" xmlns:a="http://schemas.openxmlformats.org/drawingml/2006/main" xmlns:r="http://schemas.openxmlformats.org/officeDocument/2006/relationships"/>
</file>

<file path=xl/drawings/drawing12.xml><?xml version="1.0" encoding="utf-8"?>
<xdr:wsDr xmlns:xdr="http://schemas.openxmlformats.org/drawingml/2006/spreadsheetDrawing" xmlns:a="http://schemas.openxmlformats.org/drawingml/2006/main" xmlns:r="http://schemas.openxmlformats.org/officeDocument/2006/relationships"/>
</file>

<file path=xl/drawings/drawing13.xml><?xml version="1.0" encoding="utf-8"?>
<xdr:wsDr xmlns:xdr="http://schemas.openxmlformats.org/drawingml/2006/spreadsheetDrawing" xmlns:a="http://schemas.openxmlformats.org/drawingml/2006/main" xmlns:r="http://schemas.openxmlformats.org/officeDocument/2006/relationships"/>
</file>

<file path=xl/drawings/drawing14.xml><?xml version="1.0" encoding="utf-8"?>
<xdr:wsDr xmlns:xdr="http://schemas.openxmlformats.org/drawingml/2006/spreadsheetDrawing" xmlns:a="http://schemas.openxmlformats.org/drawingml/2006/main" xmlns:r="http://schemas.openxmlformats.org/officeDocument/2006/relationships"/>
</file>

<file path=xl/drawings/drawing15.xml><?xml version="1.0" encoding="utf-8"?>
<xdr:wsDr xmlns:xdr="http://schemas.openxmlformats.org/drawingml/2006/spreadsheetDrawing" xmlns:a="http://schemas.openxmlformats.org/drawingml/2006/main" xmlns:r="http://schemas.openxmlformats.org/officeDocument/2006/relationships"/>
</file>

<file path=xl/drawings/drawing16.xml><?xml version="1.0" encoding="utf-8"?>
<xdr:wsDr xmlns:xdr="http://schemas.openxmlformats.org/drawingml/2006/spreadsheetDrawing" xmlns:a="http://schemas.openxmlformats.org/drawingml/2006/main" xmlns:r="http://schemas.openxmlformats.org/officeDocument/2006/relationships"/>
</file>

<file path=xl/drawings/drawing17.xml><?xml version="1.0" encoding="utf-8"?>
<xdr:wsDr xmlns:xdr="http://schemas.openxmlformats.org/drawingml/2006/spreadsheetDrawing" xmlns:a="http://schemas.openxmlformats.org/drawingml/2006/main" xmlns:r="http://schemas.openxmlformats.org/officeDocument/2006/relationships"/>
</file>

<file path=xl/drawings/drawing18.xml><?xml version="1.0" encoding="utf-8"?>
<xdr:wsDr xmlns:xdr="http://schemas.openxmlformats.org/drawingml/2006/spreadsheetDrawing" xmlns:a="http://schemas.openxmlformats.org/drawingml/2006/main" xmlns:r="http://schemas.openxmlformats.org/officeDocument/2006/relationships"/>
</file>

<file path=xl/drawings/drawing19.xml><?xml version="1.0" encoding="utf-8"?>
<xdr:wsDr xmlns:xdr="http://schemas.openxmlformats.org/drawingml/2006/spreadsheetDrawing" xmlns:a="http://schemas.openxmlformats.org/drawingml/2006/main" xmlns:r="http://schemas.openxmlformats.org/officeDocument/2006/relationships"/>
</file>

<file path=xl/drawings/drawing20.xml><?xml version="1.0" encoding="utf-8"?>
<xdr:wsDr xmlns:xdr="http://schemas.openxmlformats.org/drawingml/2006/spreadsheetDrawing" xmlns:a="http://schemas.openxmlformats.org/drawingml/2006/main" xmlns:r="http://schemas.openxmlformats.org/officeDocument/2006/relationships"/>
</file>

<file path=xl/drawings/drawing21.xml><?xml version="1.0" encoding="utf-8"?>
<xdr:wsDr xmlns:xdr="http://schemas.openxmlformats.org/drawingml/2006/spreadsheetDrawing" xmlns:a="http://schemas.openxmlformats.org/drawingml/2006/main" xmlns:r="http://schemas.openxmlformats.org/officeDocument/2006/relationships"/>
</file>

<file path=xl/drawings/drawing22.xml><?xml version="1.0" encoding="utf-8"?>
<xdr:wsDr xmlns:xdr="http://schemas.openxmlformats.org/drawingml/2006/spreadsheetDrawing" xmlns:a="http://schemas.openxmlformats.org/drawingml/2006/main" xmlns:r="http://schemas.openxmlformats.org/officeDocument/2006/relationships"/>
</file>

<file path=xl/drawings/drawing23.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drawing" Target="../drawings/drawing3.xml"/>
</Relationships>
</file>

<file path=xl/worksheets/_rels/sheet6.xml.rels><?xml version="1.0" encoding="UTF-8"?>
<Relationships xmlns="http://schemas.openxmlformats.org/package/2006/relationships"><Relationship Id="rId1" Type="http://schemas.openxmlformats.org/officeDocument/2006/relationships/drawing" Target="../drawings/drawing4.xml"/>
</Relationships>
</file>

<file path=xl/worksheets/_rels/sheet7.xml.rels><?xml version="1.0" encoding="UTF-8"?>
<Relationships xmlns="http://schemas.openxmlformats.org/package/2006/relationships"><Relationship Id="rId1" Type="http://schemas.openxmlformats.org/officeDocument/2006/relationships/drawing" Target="../drawings/drawing5.xml"/>
</Relationships>
</file>

<file path=xl/worksheets/_rels/sheet8.xml.rels><?xml version="1.0" encoding="UTF-8"?>
<Relationships xmlns="http://schemas.openxmlformats.org/package/2006/relationships"><Relationship Id="rId1" Type="http://schemas.openxmlformats.org/officeDocument/2006/relationships/drawing" Target="../drawings/drawing6.xml"/>
</Relationships>
</file>

<file path=xl/worksheets/_rels/sheet9.xml.rels><?xml version="1.0" encoding="UTF-8"?>
<Relationships xmlns="http://schemas.openxmlformats.org/package/2006/relationships"><Relationship Id="rId1" Type="http://schemas.openxmlformats.org/officeDocument/2006/relationships/drawing" Target="../drawings/drawing7.xml"/>
</Relationships>
</file>

<file path=xl/worksheets/_rels/sheet10.xml.rels><?xml version="1.0" encoding="UTF-8"?>
<Relationships xmlns="http://schemas.openxmlformats.org/package/2006/relationships"><Relationship Id="rId1" Type="http://schemas.openxmlformats.org/officeDocument/2006/relationships/drawing" Target="../drawings/drawing8.xml"/>
</Relationships>
</file>

<file path=xl/worksheets/_rels/sheet11.xml.rels><?xml version="1.0" encoding="UTF-8"?>
<Relationships xmlns="http://schemas.openxmlformats.org/package/2006/relationships"><Relationship Id="rId1" Type="http://schemas.openxmlformats.org/officeDocument/2006/relationships/drawing" Target="../drawings/drawing9.xml"/>
</Relationships>
</file>

<file path=xl/worksheets/_rels/sheet12.xml.rels><?xml version="1.0" encoding="UTF-8"?>
<Relationships xmlns="http://schemas.openxmlformats.org/package/2006/relationships"><Relationship Id="rId1" Type="http://schemas.openxmlformats.org/officeDocument/2006/relationships/drawing" Target="../drawings/drawing10.xml"/>
</Relationships>
</file>

<file path=xl/worksheets/_rels/sheet13.xml.rels><?xml version="1.0" encoding="UTF-8"?>
<Relationships xmlns="http://schemas.openxmlformats.org/package/2006/relationships"><Relationship Id="rId1" Type="http://schemas.openxmlformats.org/officeDocument/2006/relationships/drawing" Target="../drawings/drawing11.xml"/>
</Relationships>
</file>

<file path=xl/worksheets/_rels/sheet14.xml.rels><?xml version="1.0" encoding="UTF-8"?>
<Relationships xmlns="http://schemas.openxmlformats.org/package/2006/relationships"><Relationship Id="rId1" Type="http://schemas.openxmlformats.org/officeDocument/2006/relationships/drawing" Target="../drawings/drawing12.xml"/>
</Relationships>
</file>

<file path=xl/worksheets/_rels/sheet15.xml.rels><?xml version="1.0" encoding="UTF-8"?>
<Relationships xmlns="http://schemas.openxmlformats.org/package/2006/relationships"><Relationship Id="rId1" Type="http://schemas.openxmlformats.org/officeDocument/2006/relationships/drawing" Target="../drawings/drawing13.xml"/>
</Relationships>
</file>

<file path=xl/worksheets/_rels/sheet16.xml.rels><?xml version="1.0" encoding="UTF-8"?>
<Relationships xmlns="http://schemas.openxmlformats.org/package/2006/relationships"><Relationship Id="rId1" Type="http://schemas.openxmlformats.org/officeDocument/2006/relationships/drawing" Target="../drawings/drawing14.xml"/>
</Relationships>
</file>

<file path=xl/worksheets/_rels/sheet17.xml.rels><?xml version="1.0" encoding="UTF-8"?>
<Relationships xmlns="http://schemas.openxmlformats.org/package/2006/relationships"><Relationship Id="rId1" Type="http://schemas.openxmlformats.org/officeDocument/2006/relationships/drawing" Target="../drawings/drawing15.xml"/>
</Relationships>
</file>

<file path=xl/worksheets/_rels/sheet18.xml.rels><?xml version="1.0" encoding="UTF-8"?>
<Relationships xmlns="http://schemas.openxmlformats.org/package/2006/relationships"><Relationship Id="rId1" Type="http://schemas.openxmlformats.org/officeDocument/2006/relationships/drawing" Target="../drawings/drawing16.xml"/>
</Relationships>
</file>

<file path=xl/worksheets/_rels/sheet19.xml.rels><?xml version="1.0" encoding="UTF-8"?>
<Relationships xmlns="http://schemas.openxmlformats.org/package/2006/relationships"><Relationship Id="rId1" Type="http://schemas.openxmlformats.org/officeDocument/2006/relationships/drawing" Target="../drawings/drawing17.xml"/>
</Relationships>
</file>

<file path=xl/worksheets/_rels/sheet20.xml.rels><?xml version="1.0" encoding="UTF-8"?>
<Relationships xmlns="http://schemas.openxmlformats.org/package/2006/relationships"><Relationship Id="rId1" Type="http://schemas.openxmlformats.org/officeDocument/2006/relationships/drawing" Target="../drawings/drawing18.xml"/>
</Relationships>
</file>

<file path=xl/worksheets/_rels/sheet21.xml.rels><?xml version="1.0" encoding="UTF-8"?>
<Relationships xmlns="http://schemas.openxmlformats.org/package/2006/relationships"><Relationship Id="rId1" Type="http://schemas.openxmlformats.org/officeDocument/2006/relationships/drawing" Target="../drawings/drawing19.xml"/>
</Relationships>
</file>

<file path=xl/worksheets/_rels/sheet22.xml.rels><?xml version="1.0" encoding="UTF-8"?>
<Relationships xmlns="http://schemas.openxmlformats.org/package/2006/relationships"><Relationship Id="rId1" Type="http://schemas.openxmlformats.org/officeDocument/2006/relationships/drawing" Target="../drawings/drawing20.xml"/>
</Relationships>
</file>

<file path=xl/worksheets/_rels/sheet24.xml.rels><?xml version="1.0" encoding="UTF-8"?>
<Relationships xmlns="http://schemas.openxmlformats.org/package/2006/relationships"><Relationship Id="rId1" Type="http://schemas.openxmlformats.org/officeDocument/2006/relationships/drawing" Target="../drawings/drawing21.xml"/>
</Relationships>
</file>

<file path=xl/worksheets/_rels/sheet25.xml.rels><?xml version="1.0" encoding="UTF-8"?>
<Relationships xmlns="http://schemas.openxmlformats.org/package/2006/relationships"><Relationship Id="rId1" Type="http://schemas.openxmlformats.org/officeDocument/2006/relationships/drawing" Target="../drawings/drawing22.xml"/>
</Relationships>
</file>

<file path=xl/worksheets/_rels/sheet26.xml.rels><?xml version="1.0" encoding="UTF-8"?>
<Relationships xmlns="http://schemas.openxmlformats.org/package/2006/relationships"><Relationship Id="rId1" Type="http://schemas.openxmlformats.org/officeDocument/2006/relationships/drawing" Target="../drawings/drawing2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6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8"/>
    <col collapsed="false" customWidth="true" hidden="false" outlineLevel="0" max="2" min="2" style="1" width="120"/>
  </cols>
  <sheetData>
    <row r="1" customFormat="false" ht="17.25" hidden="false" customHeight="true" outlineLevel="0" collapsed="false">
      <c r="A1" s="2" t="s">
        <v>0</v>
      </c>
      <c r="B1" s="3"/>
    </row>
    <row r="2" customFormat="false" ht="15" hidden="false" customHeight="true" outlineLevel="0" collapsed="false">
      <c r="A2" s="4" t="s">
        <v>1</v>
      </c>
      <c r="B2" s="3"/>
    </row>
    <row r="3" customFormat="false" ht="15" hidden="false" customHeight="true" outlineLevel="0" collapsed="false">
      <c r="A3" s="5"/>
      <c r="B3" s="6"/>
    </row>
    <row r="4" customFormat="false" ht="15" hidden="false" customHeight="true" outlineLevel="0" collapsed="false">
      <c r="A4" s="4" t="s">
        <v>2</v>
      </c>
      <c r="B4" s="7" t="s">
        <v>3</v>
      </c>
    </row>
    <row r="5" customFormat="false" ht="15" hidden="false" customHeight="true" outlineLevel="0" collapsed="false">
      <c r="A5" s="4" t="s">
        <v>4</v>
      </c>
      <c r="B5" s="7" t="s">
        <v>5</v>
      </c>
    </row>
    <row r="6" customFormat="false" ht="15" hidden="false" customHeight="true" outlineLevel="0" collapsed="false">
      <c r="A6" s="4" t="s">
        <v>6</v>
      </c>
      <c r="B6" s="7" t="s">
        <v>7</v>
      </c>
    </row>
    <row r="7" customFormat="false" ht="23.25" hidden="false" customHeight="true" outlineLevel="0" collapsed="false">
      <c r="A7" s="4" t="s">
        <v>8</v>
      </c>
      <c r="B7" s="7" t="s">
        <v>9</v>
      </c>
    </row>
    <row r="8" customFormat="false" ht="23.25" hidden="false" customHeight="true" outlineLevel="0" collapsed="false">
      <c r="A8" s="4" t="s">
        <v>10</v>
      </c>
      <c r="B8" s="7" t="s">
        <v>11</v>
      </c>
    </row>
    <row r="9" customFormat="false" ht="23.25" hidden="false" customHeight="true" outlineLevel="0" collapsed="false">
      <c r="A9" s="4" t="s">
        <v>12</v>
      </c>
      <c r="B9" s="7" t="s">
        <v>13</v>
      </c>
    </row>
    <row r="10" customFormat="false" ht="23.25" hidden="false" customHeight="true" outlineLevel="0" collapsed="false">
      <c r="A10" s="4" t="s">
        <v>14</v>
      </c>
      <c r="B10" s="7" t="s">
        <v>15</v>
      </c>
    </row>
    <row r="11" customFormat="false" ht="15" hidden="false" customHeight="true" outlineLevel="0" collapsed="false">
      <c r="A11" s="4" t="s">
        <v>16</v>
      </c>
      <c r="B11" s="7" t="s">
        <v>17</v>
      </c>
    </row>
    <row r="12" customFormat="false" ht="15" hidden="false" customHeight="true" outlineLevel="0" collapsed="false">
      <c r="A12" s="4" t="s">
        <v>18</v>
      </c>
      <c r="B12" s="7" t="s">
        <v>19</v>
      </c>
    </row>
    <row r="13" customFormat="false" ht="15" hidden="false" customHeight="true" outlineLevel="0" collapsed="false">
      <c r="A13" s="8"/>
      <c r="B13" s="7"/>
    </row>
    <row r="14" customFormat="false" ht="15" hidden="false" customHeight="true" outlineLevel="0" collapsed="false">
      <c r="A14" s="8"/>
      <c r="B14" s="7"/>
    </row>
    <row r="15" customFormat="false" ht="15" hidden="false" customHeight="true" outlineLevel="0" collapsed="false">
      <c r="A15" s="9"/>
    </row>
    <row r="16" customFormat="false" ht="15" hidden="false" customHeight="true" outlineLevel="0" collapsed="false">
      <c r="A16" s="9"/>
    </row>
    <row r="17" customFormat="false" ht="15" hidden="false" customHeight="true" outlineLevel="0" collapsed="false">
      <c r="A17" s="10"/>
      <c r="B17" s="7"/>
    </row>
    <row r="18" customFormat="false" ht="15" hidden="false" customHeight="true" outlineLevel="0" collapsed="false">
      <c r="A18" s="11"/>
      <c r="B18" s="7"/>
    </row>
    <row r="19" customFormat="false" ht="15" hidden="false" customHeight="true" outlineLevel="0" collapsed="false">
      <c r="A19" s="12"/>
      <c r="B19" s="7"/>
    </row>
    <row r="20" customFormat="false" ht="15" hidden="false" customHeight="true" outlineLevel="0" collapsed="false">
      <c r="A20" s="9"/>
    </row>
    <row r="21" customFormat="false" ht="34.5" hidden="false" customHeight="true" outlineLevel="0" collapsed="false">
      <c r="A21" s="8"/>
      <c r="B21" s="7"/>
    </row>
    <row r="22" customFormat="false" ht="23.25" hidden="false" customHeight="true" outlineLevel="0" collapsed="false">
      <c r="A22" s="9"/>
      <c r="B22" s="7"/>
    </row>
    <row r="24" customFormat="false" ht="15" hidden="false" customHeight="true" outlineLevel="0" collapsed="false">
      <c r="A24" s="9"/>
      <c r="B24" s="7"/>
    </row>
    <row r="25" customFormat="false" ht="23.25" hidden="false" customHeight="true" outlineLevel="0" collapsed="false">
      <c r="A25" s="8"/>
      <c r="B25" s="7"/>
    </row>
    <row r="26" customFormat="false" ht="23.25" hidden="false" customHeight="true" outlineLevel="0" collapsed="false">
      <c r="A26" s="8"/>
      <c r="B26" s="7"/>
    </row>
    <row r="27" customFormat="false" ht="23.25" hidden="false" customHeight="true" outlineLevel="0" collapsed="false">
      <c r="A27" s="8"/>
      <c r="B27" s="7"/>
    </row>
    <row r="28" customFormat="false" ht="34.5" hidden="false" customHeight="true" outlineLevel="0" collapsed="false">
      <c r="A28" s="8"/>
      <c r="B28" s="7"/>
    </row>
    <row r="29" customFormat="false" ht="15" hidden="false" customHeight="true" outlineLevel="0" collapsed="false">
      <c r="A29" s="8"/>
      <c r="B29" s="7"/>
    </row>
    <row r="31" customFormat="false" ht="15" hidden="false" customHeight="true" outlineLevel="0" collapsed="false">
      <c r="A31" s="8"/>
      <c r="B31" s="7"/>
    </row>
    <row r="32" customFormat="false" ht="23.25" hidden="false" customHeight="true" outlineLevel="0" collapsed="false">
      <c r="A32" s="8"/>
      <c r="B32" s="7"/>
    </row>
    <row r="33" customFormat="false" ht="34.5" hidden="false" customHeight="true" outlineLevel="0" collapsed="false">
      <c r="A33" s="8"/>
      <c r="B33" s="7"/>
    </row>
    <row r="34" customFormat="false" ht="23.25" hidden="false" customHeight="true" outlineLevel="0" collapsed="false">
      <c r="A34" s="8"/>
      <c r="B34" s="7"/>
    </row>
    <row r="35" customFormat="false" ht="23.25" hidden="false" customHeight="true" outlineLevel="0" collapsed="false">
      <c r="A35" s="8"/>
      <c r="B35" s="7"/>
    </row>
    <row r="37" customFormat="false" ht="15" hidden="false" customHeight="true" outlineLevel="0" collapsed="false">
      <c r="A37" s="8"/>
      <c r="B37" s="7"/>
    </row>
    <row r="38" customFormat="false" ht="23.25" hidden="false" customHeight="true" outlineLevel="0" collapsed="false">
      <c r="A38" s="8"/>
      <c r="B38" s="7"/>
    </row>
    <row r="39" customFormat="false" ht="23.25" hidden="false" customHeight="true" outlineLevel="0" collapsed="false">
      <c r="A39" s="8"/>
      <c r="B39" s="7"/>
    </row>
    <row r="40" customFormat="false" ht="23.25" hidden="false" customHeight="true" outlineLevel="0" collapsed="false">
      <c r="A40" s="8"/>
      <c r="B40" s="7"/>
    </row>
    <row r="41" customFormat="false" ht="23.25" hidden="false" customHeight="true" outlineLevel="0" collapsed="false">
      <c r="A41" s="8"/>
      <c r="B41" s="7"/>
    </row>
    <row r="43" customFormat="false" ht="45.75" hidden="false" customHeight="true" outlineLevel="0" collapsed="false">
      <c r="A43" s="8"/>
      <c r="B43" s="7"/>
    </row>
    <row r="45" customFormat="false" ht="34.5" hidden="false" customHeight="true" outlineLevel="0" collapsed="false">
      <c r="A45" s="8"/>
      <c r="B45" s="7"/>
    </row>
    <row r="46" customFormat="false" ht="23.25" hidden="false" customHeight="true" outlineLevel="0" collapsed="false">
      <c r="A46" s="8"/>
      <c r="B46" s="7"/>
    </row>
    <row r="47" customFormat="false" ht="23.25" hidden="false" customHeight="true" outlineLevel="0" collapsed="false">
      <c r="A47" s="8"/>
      <c r="B47" s="7"/>
    </row>
    <row r="49" customFormat="false" ht="34.5" hidden="false" customHeight="true" outlineLevel="0" collapsed="false">
      <c r="A49" s="8"/>
      <c r="B49" s="7"/>
    </row>
    <row r="51" customFormat="false" ht="34.5" hidden="false" customHeight="true" outlineLevel="0" collapsed="false">
      <c r="A51" s="8"/>
      <c r="B51" s="7"/>
    </row>
    <row r="53" customFormat="false" ht="45.75" hidden="false" customHeight="true" outlineLevel="0" collapsed="false">
      <c r="A53" s="8"/>
      <c r="B53" s="7"/>
    </row>
    <row r="54" customFormat="false" ht="34.5" hidden="false" customHeight="true" outlineLevel="0" collapsed="false">
      <c r="A54" s="8"/>
      <c r="B54" s="7"/>
    </row>
    <row r="55" customFormat="false" ht="34.5" hidden="false" customHeight="true" outlineLevel="0" collapsed="false">
      <c r="A55" s="8"/>
      <c r="B55" s="7"/>
    </row>
    <row r="57" customFormat="false" ht="68.25" hidden="false" customHeight="true" outlineLevel="0" collapsed="false">
      <c r="A57" s="8"/>
      <c r="B57" s="7"/>
    </row>
    <row r="59" customFormat="false" ht="57" hidden="false" customHeight="true" outlineLevel="0" collapsed="false">
      <c r="A59" s="8"/>
      <c r="B59" s="7"/>
    </row>
    <row r="60" customFormat="false" ht="27.75" hidden="false" customHeight="true" outlineLevel="0" collapsed="false">
      <c r="A60" s="13" t="s">
        <v>20</v>
      </c>
      <c r="B60" s="3" t="s">
        <v>21</v>
      </c>
    </row>
    <row r="61" customFormat="false" ht="27.75" hidden="false" customHeight="true" outlineLevel="0" collapsed="false">
      <c r="A61" s="13" t="s">
        <v>22</v>
      </c>
      <c r="B61" s="3" t="s">
        <v>23</v>
      </c>
    </row>
    <row r="62" customFormat="false" ht="27.75" hidden="false" customHeight="true" outlineLevel="0" collapsed="false">
      <c r="A62" s="13"/>
      <c r="B62" s="3"/>
    </row>
    <row r="63" customFormat="false" ht="27.75" hidden="false" customHeight="true" outlineLevel="0" collapsed="false">
      <c r="A63" s="13"/>
      <c r="B63" s="3"/>
    </row>
    <row r="64" customFormat="false" ht="27.75" hidden="false" customHeight="true" outlineLevel="0" collapsed="false">
      <c r="A64" s="13"/>
      <c r="B64" s="3"/>
    </row>
    <row r="65" customFormat="false" ht="27.75" hidden="false" customHeight="true" outlineLevel="0" collapsed="false">
      <c r="A65" s="13"/>
      <c r="B65" s="3"/>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7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2" min="2" style="1" width="14"/>
    <col collapsed="false" customWidth="true" hidden="false" outlineLevel="0" max="3" min="3" style="1" width="90"/>
  </cols>
  <sheetData>
    <row r="1" customFormat="false" ht="17.25" hidden="false" customHeight="true" outlineLevel="0" collapsed="false">
      <c r="A1" s="14" t="s">
        <v>24</v>
      </c>
    </row>
    <row r="3" customFormat="false" ht="15" hidden="false" customHeight="true" outlineLevel="0" collapsed="false">
      <c r="A3" s="15" t="s">
        <v>25</v>
      </c>
      <c r="B3" s="15" t="s">
        <v>26</v>
      </c>
      <c r="C3" s="15" t="s">
        <v>27</v>
      </c>
    </row>
    <row r="4" customFormat="false" ht="15" hidden="false" customHeight="true" outlineLevel="0" collapsed="false">
      <c r="A4" s="16" t="s">
        <v>28</v>
      </c>
      <c r="B4" s="17" t="n">
        <v>56.78</v>
      </c>
      <c r="C4" s="18" t="s">
        <v>29</v>
      </c>
    </row>
    <row r="5" customFormat="false" ht="15" hidden="false" customHeight="true" outlineLevel="0" collapsed="false">
      <c r="A5" s="16" t="s">
        <v>30</v>
      </c>
      <c r="B5" s="17" t="n">
        <v>2050</v>
      </c>
      <c r="C5" s="18" t="s">
        <v>31</v>
      </c>
    </row>
    <row r="6" customFormat="false" ht="15" hidden="false" customHeight="true" outlineLevel="0" collapsed="false">
      <c r="A6" s="16" t="s">
        <v>32</v>
      </c>
      <c r="B6" s="17" t="n">
        <v>350</v>
      </c>
      <c r="C6" s="18" t="s">
        <v>33</v>
      </c>
    </row>
    <row r="7" customFormat="false" ht="15" hidden="false" customHeight="true" outlineLevel="0" collapsed="false">
      <c r="A7" s="16" t="s">
        <v>34</v>
      </c>
      <c r="B7" s="19" t="s">
        <v>35</v>
      </c>
      <c r="C7" s="18" t="s">
        <v>36</v>
      </c>
    </row>
    <row r="9" customFormat="false" ht="15" hidden="false" customHeight="true" outlineLevel="0" collapsed="false">
      <c r="A9" s="15" t="s">
        <v>37</v>
      </c>
      <c r="B9" s="15" t="s">
        <v>38</v>
      </c>
    </row>
    <row r="10" customFormat="false" ht="15" hidden="false" customHeight="true" outlineLevel="0" collapsed="false">
      <c r="A10" s="16" t="s">
        <v>39</v>
      </c>
      <c r="B10" s="16" t="n">
        <v>3</v>
      </c>
    </row>
    <row r="11" customFormat="false" ht="15" hidden="false" customHeight="true" outlineLevel="0" collapsed="false">
      <c r="A11" s="16" t="s">
        <v>40</v>
      </c>
      <c r="B11" s="16" t="n">
        <v>4</v>
      </c>
    </row>
    <row r="12" customFormat="false" ht="15" hidden="false" customHeight="true" outlineLevel="0" collapsed="false">
      <c r="A12" s="16" t="s">
        <v>41</v>
      </c>
      <c r="B12" s="16" t="n">
        <v>5</v>
      </c>
    </row>
    <row r="13" customFormat="false" ht="15" hidden="false" customHeight="true" outlineLevel="0" collapsed="false">
      <c r="A13" s="16" t="s">
        <v>42</v>
      </c>
      <c r="B13" s="16" t="n">
        <v>6</v>
      </c>
    </row>
    <row r="14" customFormat="false" ht="15" hidden="false" customHeight="true" outlineLevel="0" collapsed="false">
      <c r="A14" s="16" t="s">
        <v>43</v>
      </c>
      <c r="B14" s="16" t="n">
        <v>7</v>
      </c>
    </row>
    <row r="15" customFormat="false" ht="15" hidden="false" customHeight="true" outlineLevel="0" collapsed="false">
      <c r="A15" s="16" t="s">
        <v>44</v>
      </c>
      <c r="B15" s="16" t="n">
        <v>8</v>
      </c>
    </row>
    <row r="16" customFormat="false" ht="15" hidden="false" customHeight="true" outlineLevel="0" collapsed="false">
      <c r="A16" s="16" t="s">
        <v>45</v>
      </c>
      <c r="B16" s="16" t="n">
        <v>8</v>
      </c>
    </row>
    <row r="17" customFormat="false" ht="15" hidden="false" customHeight="true" outlineLevel="0" collapsed="false">
      <c r="A17" s="16" t="s">
        <v>46</v>
      </c>
      <c r="B17" s="16" t="n">
        <v>9</v>
      </c>
    </row>
    <row r="20" customFormat="false" ht="15" hidden="false" customHeight="true" outlineLevel="0" collapsed="false">
      <c r="A20" s="20" t="s">
        <v>47</v>
      </c>
      <c r="B20" s="20"/>
      <c r="C20" s="20"/>
    </row>
    <row r="21" customFormat="false" ht="30" hidden="false" customHeight="true" outlineLevel="0" collapsed="false">
      <c r="A21" s="21" t="s">
        <v>48</v>
      </c>
      <c r="B21" s="21"/>
      <c r="C21" s="21"/>
    </row>
    <row r="22" customFormat="false" ht="30" hidden="false" customHeight="true" outlineLevel="0" collapsed="false">
      <c r="A22" s="21" t="s">
        <v>49</v>
      </c>
      <c r="B22" s="21"/>
      <c r="C22" s="21"/>
    </row>
    <row r="23" customFormat="false" ht="30" hidden="false" customHeight="true" outlineLevel="0" collapsed="false">
      <c r="A23" s="21" t="s">
        <v>50</v>
      </c>
      <c r="B23" s="21"/>
      <c r="C23" s="21"/>
    </row>
    <row r="24" customFormat="false" ht="30" hidden="false" customHeight="true" outlineLevel="0" collapsed="false">
      <c r="A24" s="21" t="s">
        <v>51</v>
      </c>
      <c r="B24" s="21"/>
      <c r="C24" s="21"/>
    </row>
    <row r="25" customFormat="false" ht="15" hidden="false" customHeight="true" outlineLevel="0" collapsed="false">
      <c r="A25" s="21" t="s">
        <v>52</v>
      </c>
      <c r="B25" s="21"/>
      <c r="C25" s="21"/>
    </row>
    <row r="26" customFormat="false" ht="15" hidden="false" customHeight="true" outlineLevel="0" collapsed="false">
      <c r="A26" s="21"/>
      <c r="B26" s="21"/>
      <c r="C26" s="21"/>
    </row>
    <row r="27" customFormat="false" ht="15" hidden="false" customHeight="true" outlineLevel="0" collapsed="false">
      <c r="A27" s="20" t="s">
        <v>53</v>
      </c>
      <c r="B27" s="20"/>
      <c r="C27" s="20"/>
    </row>
    <row r="28" customFormat="false" ht="30" hidden="false" customHeight="true" outlineLevel="0" collapsed="false">
      <c r="A28" s="21" t="s">
        <v>54</v>
      </c>
      <c r="B28" s="21"/>
      <c r="C28" s="21"/>
    </row>
    <row r="29" customFormat="false" ht="30" hidden="false" customHeight="true" outlineLevel="0" collapsed="false">
      <c r="A29" s="21" t="s">
        <v>55</v>
      </c>
      <c r="B29" s="21"/>
      <c r="C29" s="21"/>
    </row>
    <row r="30" customFormat="false" ht="30" hidden="false" customHeight="true" outlineLevel="0" collapsed="false">
      <c r="A30" s="21" t="s">
        <v>56</v>
      </c>
      <c r="B30" s="21"/>
      <c r="C30" s="21"/>
    </row>
    <row r="31" customFormat="false" ht="15" hidden="false" customHeight="true" outlineLevel="0" collapsed="false">
      <c r="A31" s="21" t="s">
        <v>57</v>
      </c>
      <c r="B31" s="21"/>
      <c r="C31" s="21"/>
    </row>
    <row r="32" customFormat="false" ht="30" hidden="false" customHeight="true" outlineLevel="0" collapsed="false">
      <c r="A32" s="21" t="s">
        <v>58</v>
      </c>
      <c r="B32" s="21"/>
      <c r="C32" s="21"/>
    </row>
    <row r="33" customFormat="false" ht="15" hidden="false" customHeight="true" outlineLevel="0" collapsed="false">
      <c r="A33" s="21"/>
      <c r="B33" s="21"/>
      <c r="C33" s="21"/>
    </row>
    <row r="34" customFormat="false" ht="30" hidden="false" customHeight="true" outlineLevel="0" collapsed="false">
      <c r="A34" s="21" t="s">
        <v>59</v>
      </c>
      <c r="B34" s="21"/>
      <c r="C34" s="21"/>
    </row>
    <row r="36" customFormat="false" ht="34.5" hidden="false" customHeight="true" outlineLevel="0" collapsed="false">
      <c r="A36" s="22" t="s">
        <v>60</v>
      </c>
      <c r="B36" s="22"/>
      <c r="C36" s="22"/>
    </row>
    <row r="37" customFormat="false" ht="15" hidden="false" customHeight="true" outlineLevel="0" collapsed="false">
      <c r="A37" s="22" t="s">
        <v>61</v>
      </c>
      <c r="B37" s="22" t="s">
        <v>27</v>
      </c>
      <c r="C37" s="22" t="s">
        <v>62</v>
      </c>
    </row>
    <row r="38" customFormat="false" ht="113.25" hidden="false" customHeight="true" outlineLevel="0" collapsed="false">
      <c r="A38" s="23" t="s">
        <v>63</v>
      </c>
      <c r="B38" s="23" t="s">
        <v>64</v>
      </c>
      <c r="C38" s="23" t="s">
        <v>65</v>
      </c>
    </row>
    <row r="39" customFormat="false" ht="15" hidden="false" customHeight="true" outlineLevel="0" collapsed="false">
      <c r="A39" s="23"/>
      <c r="B39" s="23"/>
      <c r="C39" s="23"/>
    </row>
    <row r="40" customFormat="false" ht="15" hidden="false" customHeight="true" outlineLevel="0" collapsed="false">
      <c r="A40" s="23"/>
      <c r="B40" s="23"/>
      <c r="C40" s="23"/>
    </row>
    <row r="41" customFormat="false" ht="15" hidden="false" customHeight="true" outlineLevel="0" collapsed="false">
      <c r="A41" s="23"/>
      <c r="B41" s="23"/>
      <c r="C41" s="23"/>
    </row>
    <row r="42" customFormat="false" ht="15" hidden="false" customHeight="true" outlineLevel="0" collapsed="false">
      <c r="A42" s="23"/>
      <c r="B42" s="23"/>
      <c r="C42" s="23"/>
    </row>
    <row r="43" customFormat="false" ht="15" hidden="false" customHeight="true" outlineLevel="0" collapsed="false">
      <c r="A43" s="23"/>
      <c r="B43" s="23"/>
      <c r="C43" s="23"/>
    </row>
    <row r="44" customFormat="false" ht="15" hidden="false" customHeight="true" outlineLevel="0" collapsed="false">
      <c r="A44" s="23"/>
      <c r="B44" s="23"/>
      <c r="C44" s="23"/>
    </row>
    <row r="45" customFormat="false" ht="15" hidden="false" customHeight="true" outlineLevel="0" collapsed="false">
      <c r="A45" s="23"/>
      <c r="B45" s="23"/>
      <c r="C45" s="23"/>
    </row>
    <row r="48" customFormat="false" ht="15" hidden="false" customHeight="true" outlineLevel="0" collapsed="false">
      <c r="A48" s="20" t="s">
        <v>66</v>
      </c>
      <c r="B48" s="20"/>
      <c r="C48" s="20"/>
    </row>
    <row r="49" customFormat="false" ht="45" hidden="false" customHeight="true" outlineLevel="0" collapsed="false">
      <c r="A49" s="21" t="s">
        <v>67</v>
      </c>
      <c r="B49" s="21"/>
      <c r="C49" s="21"/>
    </row>
    <row r="50" customFormat="false" ht="30" hidden="false" customHeight="true" outlineLevel="0" collapsed="false">
      <c r="A50" s="21" t="s">
        <v>68</v>
      </c>
      <c r="B50" s="21"/>
      <c r="C50" s="21"/>
    </row>
    <row r="51" customFormat="false" ht="15" hidden="false" customHeight="true" outlineLevel="0" collapsed="false">
      <c r="A51" s="20" t="s">
        <v>69</v>
      </c>
      <c r="B51" s="20"/>
      <c r="C51" s="20"/>
    </row>
    <row r="52" customFormat="false" ht="45" hidden="false" customHeight="true" outlineLevel="0" collapsed="false">
      <c r="A52" s="21" t="s">
        <v>70</v>
      </c>
      <c r="B52" s="21"/>
      <c r="C52" s="21"/>
    </row>
    <row r="53" customFormat="false" ht="30" hidden="false" customHeight="true" outlineLevel="0" collapsed="false">
      <c r="A53" s="21" t="s">
        <v>71</v>
      </c>
      <c r="B53" s="21"/>
      <c r="C53" s="21"/>
    </row>
    <row r="54" customFormat="false" ht="30" hidden="false" customHeight="true" outlineLevel="0" collapsed="false">
      <c r="A54" s="21" t="s">
        <v>72</v>
      </c>
      <c r="B54" s="21"/>
      <c r="C54" s="21"/>
    </row>
    <row r="55" customFormat="false" ht="30" hidden="false" customHeight="true" outlineLevel="0" collapsed="false">
      <c r="A55" s="21" t="s">
        <v>73</v>
      </c>
      <c r="B55" s="21"/>
      <c r="C55" s="21"/>
    </row>
    <row r="56" customFormat="false" ht="30" hidden="false" customHeight="true" outlineLevel="0" collapsed="false">
      <c r="A56" s="21" t="s">
        <v>74</v>
      </c>
      <c r="B56" s="21"/>
      <c r="C56" s="21"/>
    </row>
    <row r="57" customFormat="false" ht="45" hidden="false" customHeight="true" outlineLevel="0" collapsed="false">
      <c r="A57" s="21" t="s">
        <v>75</v>
      </c>
      <c r="B57" s="21"/>
      <c r="C57" s="21"/>
    </row>
    <row r="58" customFormat="false" ht="45" hidden="false" customHeight="true" outlineLevel="0" collapsed="false">
      <c r="A58" s="21" t="s">
        <v>76</v>
      </c>
      <c r="B58" s="21"/>
      <c r="C58" s="21"/>
    </row>
    <row r="60" customFormat="false" ht="15" hidden="false" customHeight="true" outlineLevel="0" collapsed="false">
      <c r="A60" s="20" t="s">
        <v>77</v>
      </c>
      <c r="B60" s="20"/>
      <c r="C60" s="20"/>
    </row>
    <row r="61" customFormat="false" ht="30" hidden="false" customHeight="true" outlineLevel="0" collapsed="false">
      <c r="A61" s="21" t="s">
        <v>78</v>
      </c>
      <c r="B61" s="21"/>
      <c r="C61" s="21"/>
    </row>
    <row r="62" customFormat="false" ht="45" hidden="false" customHeight="true" outlineLevel="0" collapsed="false">
      <c r="A62" s="21" t="s">
        <v>79</v>
      </c>
      <c r="B62" s="21"/>
      <c r="C62" s="21"/>
    </row>
    <row r="63" customFormat="false" ht="60" hidden="false" customHeight="true" outlineLevel="0" collapsed="false">
      <c r="A63" s="21" t="s">
        <v>80</v>
      </c>
      <c r="B63" s="21"/>
      <c r="C63" s="21"/>
    </row>
    <row r="64" customFormat="false" ht="30" hidden="false" customHeight="true" outlineLevel="0" collapsed="false">
      <c r="A64" s="21" t="s">
        <v>81</v>
      </c>
      <c r="B64" s="21"/>
      <c r="C64" s="21"/>
    </row>
    <row r="65" customFormat="false" ht="30" hidden="false" customHeight="true" outlineLevel="0" collapsed="false">
      <c r="A65" s="21" t="s">
        <v>82</v>
      </c>
      <c r="B65" s="21"/>
      <c r="C65" s="21"/>
    </row>
    <row r="66" customFormat="false" ht="45" hidden="false" customHeight="true" outlineLevel="0" collapsed="false">
      <c r="A66" s="21" t="s">
        <v>83</v>
      </c>
      <c r="B66" s="21"/>
      <c r="C66" s="21"/>
    </row>
    <row r="68" customFormat="false" ht="41.25" hidden="false" customHeight="true" outlineLevel="0" collapsed="false">
      <c r="A68" s="4" t="s">
        <v>84</v>
      </c>
    </row>
    <row r="69" customFormat="false" ht="60" hidden="false" customHeight="true" outlineLevel="0" collapsed="false">
      <c r="A69" s="24" t="s">
        <v>85</v>
      </c>
    </row>
    <row r="70" customFormat="false" ht="60" hidden="false" customHeight="true" outlineLevel="0" collapsed="false">
      <c r="A70" s="24" t="s">
        <v>86</v>
      </c>
    </row>
    <row r="71" customFormat="false" ht="60" hidden="false" customHeight="true" outlineLevel="0" collapsed="false">
      <c r="A71" s="24" t="s">
        <v>87</v>
      </c>
    </row>
    <row r="72" customFormat="false" ht="60" hidden="false" customHeight="true" outlineLevel="0" collapsed="false">
      <c r="A72" s="24" t="s">
        <v>88</v>
      </c>
    </row>
    <row r="73" customFormat="false" ht="60" hidden="false" customHeight="true" outlineLevel="0" collapsed="false">
      <c r="A73" s="24" t="s">
        <v>89</v>
      </c>
    </row>
  </sheetData>
  <mergeCells count="33">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48:C48"/>
    <mergeCell ref="A49:C49"/>
    <mergeCell ref="A50:C50"/>
    <mergeCell ref="A51:C51"/>
    <mergeCell ref="A52:C52"/>
    <mergeCell ref="A53:C53"/>
    <mergeCell ref="A54:C54"/>
    <mergeCell ref="A55:C55"/>
    <mergeCell ref="A56:C56"/>
    <mergeCell ref="A57:C57"/>
    <mergeCell ref="A58:C58"/>
    <mergeCell ref="A60:C60"/>
    <mergeCell ref="A61:C61"/>
    <mergeCell ref="A62:C62"/>
    <mergeCell ref="A63:C63"/>
    <mergeCell ref="A64:C64"/>
    <mergeCell ref="A65:C65"/>
    <mergeCell ref="A66:C66"/>
  </mergeCells>
  <dataValidations count="1">
    <dataValidation allowBlank="false" errorStyle="stop" operator="between" showDropDown="false" showErrorMessage="false" showInputMessage="false" sqref="B7" type="list">
      <formula1>"Ya,Belum"</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7"/>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2" min="2" style="1" width="55"/>
    <col collapsed="false" customWidth="true" hidden="false" outlineLevel="0" max="3" min="3" style="1" width="14"/>
    <col collapsed="false" customWidth="true" hidden="false" outlineLevel="0" max="4" min="4" style="1" width="11"/>
    <col collapsed="false" customWidth="true" hidden="false" outlineLevel="0" max="5" min="5" style="1" width="12"/>
    <col collapsed="false" customWidth="true" hidden="false" outlineLevel="0" max="8" min="6" style="1" width="11"/>
    <col collapsed="false" customWidth="true" hidden="false" outlineLevel="0" max="9" min="9" style="1" width="15"/>
    <col collapsed="false" customWidth="true" hidden="false" outlineLevel="0" max="10" min="10" style="1" width="12"/>
    <col collapsed="false" customWidth="true" hidden="false" outlineLevel="0" max="12" min="11" style="1" width="10"/>
    <col collapsed="false" customWidth="true" hidden="false" outlineLevel="0" max="13" min="13" style="1" width="15"/>
    <col collapsed="false" customWidth="true" hidden="false" outlineLevel="0" max="14" min="14" style="1" width="110"/>
    <col collapsed="false" customWidth="true" hidden="false" outlineLevel="0" max="44" min="15" style="1" width="9"/>
  </cols>
  <sheetData>
    <row r="1" customFormat="false" ht="17.25" hidden="false" customHeight="true" outlineLevel="0" collapsed="false">
      <c r="A1" s="14" t="s">
        <v>90</v>
      </c>
    </row>
    <row r="2" customFormat="false" ht="15" hidden="false" customHeight="true" outlineLevel="0" collapsed="false">
      <c r="A2" s="25" t="s">
        <v>91</v>
      </c>
    </row>
    <row r="3" customFormat="false" ht="15" hidden="false" customHeight="true" outlineLevel="0" collapsed="false">
      <c r="A3" s="26" t="s">
        <v>92</v>
      </c>
    </row>
    <row r="5" customFormat="false" ht="36" hidden="false" customHeight="true" outlineLevel="0" collapsed="false">
      <c r="A5" s="27" t="s">
        <v>93</v>
      </c>
      <c r="B5" s="27" t="s">
        <v>94</v>
      </c>
      <c r="C5" s="27" t="s">
        <v>95</v>
      </c>
      <c r="D5" s="27" t="s">
        <v>96</v>
      </c>
      <c r="E5" s="27" t="s">
        <v>97</v>
      </c>
      <c r="F5" s="27" t="s">
        <v>98</v>
      </c>
      <c r="G5" s="27" t="s">
        <v>99</v>
      </c>
      <c r="H5" s="27" t="s">
        <v>100</v>
      </c>
      <c r="I5" s="27" t="s">
        <v>101</v>
      </c>
      <c r="J5" s="27" t="s">
        <v>10</v>
      </c>
      <c r="K5" s="27" t="s">
        <v>102</v>
      </c>
      <c r="L5" s="27" t="s">
        <v>103</v>
      </c>
      <c r="M5" s="27" t="s">
        <v>104</v>
      </c>
      <c r="N5" s="28" t="s">
        <v>14</v>
      </c>
    </row>
    <row r="6" customFormat="false" ht="48.75" hidden="false" customHeight="true" outlineLevel="0" collapsed="false">
      <c r="A6" s="29" t="s">
        <v>105</v>
      </c>
      <c r="B6" s="30" t="s">
        <v>106</v>
      </c>
      <c r="C6" s="31" t="s">
        <v>107</v>
      </c>
      <c r="D6" s="31" t="s">
        <v>108</v>
      </c>
      <c r="E6" s="32" t="n">
        <v>2500</v>
      </c>
      <c r="F6" s="32" t="n">
        <v>2500</v>
      </c>
      <c r="G6" s="32" t="n">
        <v>500</v>
      </c>
      <c r="H6" s="33" t="n">
        <v>1</v>
      </c>
      <c r="I6" s="34" t="n">
        <f aca="false">E6*H6+N(F6)+N(G6)</f>
        <v>5500</v>
      </c>
      <c r="J6" s="32" t="n">
        <f aca="false">ROUND(IFERROR(ROUND(IF(OR(ISNUMBER(SEARCH("week",C6)),ISNUMBER(SEARCH("minggu",C6))),IFERROR(_xlfn.NUMBERVALUE(SUBSTITUTE(LEFT(TRIM(C6),FIND("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")-1),",","."))+1,9))*12,NA()))),0),24)*'Aturan &amp; Tarif'!$B$4,2)</f>
        <v>1362.72</v>
      </c>
      <c r="K6" s="32" t="n">
        <f aca="false">'Aturan &amp; Tarif'!$B$5</f>
        <v>2050</v>
      </c>
      <c r="L6" s="32" t="n">
        <f aca="false">'Aturan &amp; Tarif'!$B$6</f>
        <v>350</v>
      </c>
      <c r="M6" s="35" t="n">
        <f aca="false">I6+J6+K6+L6</f>
        <v>9262.72</v>
      </c>
      <c r="N6" s="36" t="s">
        <v>109</v>
      </c>
    </row>
    <row r="7" customFormat="false" ht="14.25" hidden="false" customHeight="true" outlineLevel="0" collapsed="false">
      <c r="A7" s="29"/>
      <c r="B7" s="30" t="s">
        <v>110</v>
      </c>
      <c r="C7" s="31" t="s">
        <v>107</v>
      </c>
      <c r="D7" s="31" t="s">
        <v>108</v>
      </c>
      <c r="E7" s="32" t="n">
        <v>2300</v>
      </c>
      <c r="F7" s="32" t="n">
        <v>2000</v>
      </c>
      <c r="G7" s="32" t="n">
        <v>500</v>
      </c>
      <c r="H7" s="33" t="n">
        <v>1</v>
      </c>
      <c r="I7" s="34" t="n">
        <f aca="false">E7*H7+N(F7)+N(G7)</f>
        <v>4800</v>
      </c>
      <c r="J7" s="32" t="n">
        <f aca="false">ROUND(IFERROR(ROUND(IF(OR(ISNUMBER(SEARCH("week",C7)),ISNUMBER(SEARCH("minggu",C7))),IFERROR(_xlfn.NUMBERVALUE(SUBSTITUTE(LEFT(TRIM(C7),FIND(" ",TRIM(C7)&amp;" ")-1),",","."),"."),LEFT(SUBSTITUTE(LEFT(TRIM(C7),FIND(" ",TRIM(C7)&amp;" ")-1),",","."),FIND("/",SUBSTITUTE(LEFT(TRIM(C7),FIND(" ",TRIM(C7)&amp;" ")-1),",","."))-1)/MID(SUBSTITUTE(LEFT(TRIM(C7),FIND(" ",TRIM(C7)&amp;" ")-1),",","."),FIND("/",SUBSTITUTE(LEFT(TRIM(C7),FIND(" ",TRIM(C7)&amp;" ")-1),",","."))+1,9))*12/52,IF(ISNUMBER(SEARCH("month",C7)),IFERROR(_xlfn.NUMBERVALUE(SUBSTITUTE(LEFT(TRIM(C7),FIND(" ",TRIM(C7)&amp;" ")-1),",","."),"."),LEFT(SUBSTITUTE(LEFT(TRIM(C7),FIND(" ",TRIM(C7)&amp;" ")-1),",","."),FIND("/",SUBSTITUTE(LEFT(TRIM(C7),FIND(" ",TRIM(C7)&amp;" ")-1),",","."))-1)/MID(SUBSTITUTE(LEFT(TRIM(C7),FIND(" ",TRIM(C7)&amp;" ")-1),",","."),FIND("/",SUBSTITUTE(LEFT(TRIM(C7),FIND(" ",TRIM(C7)&amp;" ")-1),",","."))+1,9)),IF(ISNUMBER(SEARCH("yea",C7)),IFERROR(_xlfn.NUMBERVALUE(SUBSTITUTE(LEFT(TRIM(C7),FIND(" ",TRIM(C7)&amp;" ")-1),",","."),"."),LEFT(SUBSTITUTE(LEFT(TRIM(C7),FIND(" ",TRIM(C7)&amp;" ")-1),",","."),FIND("/",SUBSTITUTE(LEFT(TRIM(C7),FIND(" ",TRIM(C7)&amp;" ")-1),",","."))-1)/MID(SUBSTITUTE(LEFT(TRIM(C7),FIND(" ",TRIM(C7)&amp;" ")-1),",","."),FIND("/",SUBSTITUTE(LEFT(TRIM(C7),FIND(" ",TRIM(C7)&amp;" ")-1),",","."))+1,9))*12,NA()))),0),24)*'Aturan &amp; Tarif'!$B$4,2)</f>
        <v>1362.72</v>
      </c>
      <c r="K7" s="32" t="n">
        <f aca="false">'Aturan &amp; Tarif'!$B$5</f>
        <v>2050</v>
      </c>
      <c r="L7" s="32" t="n">
        <f aca="false">'Aturan &amp; Tarif'!$B$6</f>
        <v>350</v>
      </c>
      <c r="M7" s="35" t="n">
        <f aca="false">I7+J7+K7+L7</f>
        <v>8562.72</v>
      </c>
      <c r="N7" s="37" t="s">
        <v>111</v>
      </c>
    </row>
    <row r="8" customFormat="false" ht="37.5" hidden="false" customHeight="true" outlineLevel="0" collapsed="false">
      <c r="A8" s="29"/>
      <c r="B8" s="30" t="s">
        <v>112</v>
      </c>
      <c r="C8" s="31" t="s">
        <v>113</v>
      </c>
      <c r="D8" s="31" t="s">
        <v>108</v>
      </c>
      <c r="E8" s="32" t="n">
        <v>2000</v>
      </c>
      <c r="F8" s="32" t="n">
        <v>2500</v>
      </c>
      <c r="G8" s="32" t="n">
        <v>300</v>
      </c>
      <c r="H8" s="33" t="n">
        <v>1</v>
      </c>
      <c r="I8" s="34" t="n">
        <f aca="false">E8*H8+N(F8)+N(G8)</f>
        <v>4800</v>
      </c>
      <c r="J8" s="32" t="n">
        <f aca="false">ROUND(IFERROR(ROUND(IF(OR(ISNUMBER(SEARCH("week",C8)),ISNUMBER(SEARCH("minggu",C8))),IFERROR(_xlfn.NUMBERVALUE(SUBSTITUTE(LEFT(TRIM(C8),FIND(" ",TRIM(C8)&amp;" ")-1),",","."),"."),LEFT(SUBSTITUTE(LEFT(TRIM(C8),FIND(" ",TRIM(C8)&amp;" ")-1),",","."),FIND("/",SUBSTITUTE(LEFT(TRIM(C8),FIND(" ",TRIM(C8)&amp;" ")-1),",","."))-1)/MID(SUBSTITUTE(LEFT(TRIM(C8),FIND(" ",TRIM(C8)&amp;" ")-1),",","."),FIND("/",SUBSTITUTE(LEFT(TRIM(C8),FIND(" ",TRIM(C8)&amp;" ")-1),",","."))+1,9))*12/52,IF(ISNUMBER(SEARCH("month",C8)),IFERROR(_xlfn.NUMBERVALUE(SUBSTITUTE(LEFT(TRIM(C8),FIND(" ",TRIM(C8)&amp;" ")-1),",","."),"."),LEFT(SUBSTITUTE(LEFT(TRIM(C8),FIND(" ",TRIM(C8)&amp;" ")-1),",","."),FIND("/",SUBSTITUTE(LEFT(TRIM(C8),FIND(" ",TRIM(C8)&amp;" ")-1),",","."))-1)/MID(SUBSTITUTE(LEFT(TRIM(C8),FIND(" ",TRIM(C8)&amp;" ")-1),",","."),FIND("/",SUBSTITUTE(LEFT(TRIM(C8),FIND(" ",TRIM(C8)&amp;" ")-1),",","."))+1,9)),IF(ISNUMBER(SEARCH("yea",C8)),IFERROR(_xlfn.NUMBERVALUE(SUBSTITUTE(LEFT(TRIM(C8),FIND(" ",TRIM(C8)&amp;" ")-1),",","."),"."),LEFT(SUBSTITUTE(LEFT(TRIM(C8),FIND(" ",TRIM(C8)&amp;" ")-1),",","."),FIND("/",SUBSTITUTE(LEFT(TRIM(C8),FIND(" ",TRIM(C8)&amp;" ")-1),",","."))-1)/MID(SUBSTITUTE(LEFT(TRIM(C8),FIND(" ",TRIM(C8)&amp;" ")-1),",","."),FIND("/",SUBSTITUTE(LEFT(TRIM(C8),FIND(" ",TRIM(C8)&amp;" ")-1),",","."))+1,9))*12,NA()))),0),18)*'Aturan &amp; Tarif'!$B$4,2)</f>
        <v>1022.04</v>
      </c>
      <c r="K8" s="32" t="n">
        <f aca="false">'Aturan &amp; Tarif'!$B$5</f>
        <v>2050</v>
      </c>
      <c r="L8" s="32" t="n">
        <f aca="false">'Aturan &amp; Tarif'!$B$6</f>
        <v>350</v>
      </c>
      <c r="M8" s="35" t="n">
        <f aca="false">I8+J8+K8+L8</f>
        <v>8222.04</v>
      </c>
      <c r="N8" s="36" t="s">
        <v>114</v>
      </c>
    </row>
    <row r="9" customFormat="false" ht="37.5" hidden="false" customHeight="true" outlineLevel="0" collapsed="false">
      <c r="A9" s="29"/>
      <c r="B9" s="30" t="s">
        <v>115</v>
      </c>
      <c r="C9" s="31" t="s">
        <v>107</v>
      </c>
      <c r="D9" s="31" t="s">
        <v>108</v>
      </c>
      <c r="E9" s="32" t="n">
        <v>2200</v>
      </c>
      <c r="F9" s="32" t="n">
        <v>2000</v>
      </c>
      <c r="G9" s="32" t="n">
        <v>300</v>
      </c>
      <c r="H9" s="33" t="n">
        <v>1</v>
      </c>
      <c r="I9" s="34" t="n">
        <f aca="false">E9*H9+N(F9)+N(G9)</f>
        <v>4500</v>
      </c>
      <c r="J9" s="32" t="n">
        <f aca="false">ROUND(IFERROR(ROUND(IF(OR(ISNUMBER(SEARCH("week",C9)),ISNUMBER(SEARCH("minggu",C9))),IFERROR(_xlfn.NUMBERVALUE(SUBSTITUTE(LEFT(TRIM(C9),FIND(" ",TRIM(C9)&amp;" ")-1),",","."),"."),LEFT(SUBSTITUTE(LEFT(TRIM(C9),FIND(" ",TRIM(C9)&amp;" ")-1),",","."),FIND("/",SUBSTITUTE(LEFT(TRIM(C9),FIND(" ",TRIM(C9)&amp;" ")-1),",","."))-1)/MID(SUBSTITUTE(LEFT(TRIM(C9),FIND(" ",TRIM(C9)&amp;" ")-1),",","."),FIND("/",SUBSTITUTE(LEFT(TRIM(C9),FIND(" ",TRIM(C9)&amp;" ")-1),",","."))+1,9))*12/52,IF(ISNUMBER(SEARCH("month",C9)),IFERROR(_xlfn.NUMBERVALUE(SUBSTITUTE(LEFT(TRIM(C9),FIND(" ",TRIM(C9)&amp;" ")-1),",","."),"."),LEFT(SUBSTITUTE(LEFT(TRIM(C9),FIND(" ",TRIM(C9)&amp;" ")-1),",","."),FIND("/",SUBSTITUTE(LEFT(TRIM(C9),FIND(" ",TRIM(C9)&amp;" ")-1),",","."))-1)/MID(SUBSTITUTE(LEFT(TRIM(C9),FIND(" ",TRIM(C9)&amp;" ")-1),",","."),FIND("/",SUBSTITUTE(LEFT(TRIM(C9),FIND(" ",TRIM(C9)&amp;" ")-1),",","."))+1,9)),IF(ISNUMBER(SEARCH("yea",C9)),IFERROR(_xlfn.NUMBERVALUE(SUBSTITUTE(LEFT(TRIM(C9),FIND(" ",TRIM(C9)&amp;" ")-1),",","."),"."),LEFT(SUBSTITUTE(LEFT(TRIM(C9),FIND(" ",TRIM(C9)&amp;" ")-1),",","."),FIND("/",SUBSTITUTE(LEFT(TRIM(C9),FIND(" ",TRIM(C9)&amp;" ")-1),",","."))-1)/MID(SUBSTITUTE(LEFT(TRIM(C9),FIND(" ",TRIM(C9)&amp;" ")-1),",","."),FIND("/",SUBSTITUTE(LEFT(TRIM(C9),FIND(" ",TRIM(C9)&amp;" ")-1),",","."))+1,9))*12,NA()))),0),24)*'Aturan &amp; Tarif'!$B$4,2)</f>
        <v>1362.72</v>
      </c>
      <c r="K9" s="32" t="n">
        <f aca="false">'Aturan &amp; Tarif'!$B$5</f>
        <v>2050</v>
      </c>
      <c r="L9" s="32" t="n">
        <f aca="false">'Aturan &amp; Tarif'!$B$6</f>
        <v>350</v>
      </c>
      <c r="M9" s="35" t="n">
        <f aca="false">I9+J9+K9+L9</f>
        <v>8262.72</v>
      </c>
      <c r="N9" s="36" t="s">
        <v>116</v>
      </c>
    </row>
    <row r="11" customFormat="false" ht="12.75" hidden="false" customHeight="true" outlineLevel="0" collapsed="false">
      <c r="A11" s="38" t="s">
        <v>117</v>
      </c>
    </row>
    <row r="12" customFormat="false" ht="12.75" hidden="false" customHeight="true" outlineLevel="0" collapsed="false">
      <c r="A12" s="38" t="s">
        <v>118</v>
      </c>
    </row>
    <row r="13" customFormat="false" ht="12.75" hidden="false" customHeight="true" outlineLevel="0" collapsed="false">
      <c r="A13" s="38" t="s">
        <v>119</v>
      </c>
    </row>
    <row r="14" customFormat="false" ht="12.75" hidden="false" customHeight="true" outlineLevel="0" collapsed="false">
      <c r="A14" s="38" t="s">
        <v>120</v>
      </c>
    </row>
    <row r="15" customFormat="false" ht="12.75" hidden="false" customHeight="true" outlineLevel="0" collapsed="false">
      <c r="A15" s="38" t="s">
        <v>121</v>
      </c>
    </row>
    <row r="16" customFormat="false" ht="12.75" hidden="false" customHeight="true" outlineLevel="0" collapsed="false">
      <c r="A16" s="38" t="s">
        <v>122</v>
      </c>
    </row>
    <row r="17" customFormat="false" ht="12.75" hidden="false" customHeight="true" outlineLevel="0" collapsed="false">
      <c r="A17" s="38" t="s">
        <v>123</v>
      </c>
    </row>
  </sheetData>
  <autoFilter ref="A5:N9"/>
  <conditionalFormatting sqref="J6:J9">
    <cfRule type="expression" priority="2" aboveAverage="0" equalAverage="0" bottom="0" percent="0" rank="0" text="" dxfId="6">
      <formula>AND($E6&lt;&gt;"",OR(ISERROR(ROUND(IF(OR(ISNUMBER(SEARCH("week",C6)),ISNUMBER(SEARCH("minggu",C6))),IFERROR(_xlfn.NUMBERVALUE(SUBSTITUTE(LEFT(TRIM(C6),FIND("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")-1),",","."))+1,9))*12,NA()))),0)&lt;1,1),IFERROR(ROUND(IF(OR(ISNUMBER(SEARCH("week",C6)),ISNUMBER(SEARCH("minggu",C6))),IFERROR(_xlfn.NUMBERVALUE(SUBSTITUTE(LEFT(TRIM(C6),FIND("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")-1),",","."))+1,9))*12,NA()))),0)&gt;96,1)))</formula>
    </cfRule>
  </conditionalFormatting>
  <printOptions headings="false" gridLines="false" gridLinesSet="true" horizontalCentered="true" verticalCentered="false"/>
  <pageMargins left="0.3" right="0.3" top="0.5" bottom="0.5" header="0.2" footer="0.2"/>
  <pageSetup paperSize="9" scale="100" fitToWidth="1" fitToHeight="0" pageOrder="downThenOver" orientation="landscape" blackAndWhite="false" draft="false" cellComments="none" horizontalDpi="300" verticalDpi="300" copies="1"/>
  <headerFooter differentFirst="false" differentOddEven="false">
    <oddHeader>&amp;R&amp;8 OFFSHORE - GOSFORD</oddHeader>
    <oddFooter>&amp;L&amp;8 TEG Pricelist - harga bisa berubah sewaktu-waktu&amp;R&amp;8 Halaman &amp;P dari &amp;N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19"/>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2" min="2" style="1" width="55"/>
    <col collapsed="false" customWidth="true" hidden="false" outlineLevel="0" max="3" min="3" style="1" width="14"/>
    <col collapsed="false" customWidth="true" hidden="false" outlineLevel="0" max="4" min="4" style="1" width="11"/>
    <col collapsed="false" customWidth="true" hidden="false" outlineLevel="0" max="5" min="5" style="1" width="12"/>
    <col collapsed="false" customWidth="true" hidden="false" outlineLevel="0" max="8" min="6" style="1" width="11"/>
    <col collapsed="false" customWidth="true" hidden="false" outlineLevel="0" max="9" min="9" style="1" width="15"/>
    <col collapsed="false" customWidth="true" hidden="false" outlineLevel="0" max="10" min="10" style="1" width="12"/>
    <col collapsed="false" customWidth="true" hidden="false" outlineLevel="0" max="12" min="11" style="1" width="10"/>
    <col collapsed="false" customWidth="true" hidden="false" outlineLevel="0" max="13" min="13" style="1" width="15"/>
    <col collapsed="false" customWidth="true" hidden="false" outlineLevel="0" max="14" min="14" style="1" width="110"/>
    <col collapsed="false" customWidth="true" hidden="false" outlineLevel="0" max="44" min="15" style="1" width="9"/>
  </cols>
  <sheetData>
    <row r="1" customFormat="false" ht="17.25" hidden="false" customHeight="true" outlineLevel="0" collapsed="false">
      <c r="A1" s="14" t="s">
        <v>124</v>
      </c>
    </row>
    <row r="2" customFormat="false" ht="15" hidden="false" customHeight="true" outlineLevel="0" collapsed="false">
      <c r="A2" s="25" t="s">
        <v>91</v>
      </c>
    </row>
    <row r="3" customFormat="false" ht="15" hidden="false" customHeight="true" outlineLevel="0" collapsed="false">
      <c r="A3" s="26" t="s">
        <v>92</v>
      </c>
    </row>
    <row r="5" customFormat="false" ht="36" hidden="false" customHeight="true" outlineLevel="0" collapsed="false">
      <c r="A5" s="27" t="s">
        <v>93</v>
      </c>
      <c r="B5" s="27" t="s">
        <v>94</v>
      </c>
      <c r="C5" s="27" t="s">
        <v>95</v>
      </c>
      <c r="D5" s="27" t="s">
        <v>96</v>
      </c>
      <c r="E5" s="27" t="s">
        <v>97</v>
      </c>
      <c r="F5" s="27" t="s">
        <v>98</v>
      </c>
      <c r="G5" s="27" t="s">
        <v>99</v>
      </c>
      <c r="H5" s="27" t="s">
        <v>100</v>
      </c>
      <c r="I5" s="27" t="s">
        <v>101</v>
      </c>
      <c r="J5" s="27" t="s">
        <v>10</v>
      </c>
      <c r="K5" s="27" t="s">
        <v>102</v>
      </c>
      <c r="L5" s="27" t="s">
        <v>103</v>
      </c>
      <c r="M5" s="27" t="s">
        <v>104</v>
      </c>
      <c r="N5" s="28" t="s">
        <v>14</v>
      </c>
    </row>
    <row r="6" customFormat="false" ht="72" hidden="false" customHeight="true" outlineLevel="0" collapsed="false">
      <c r="A6" s="39" t="s">
        <v>125</v>
      </c>
      <c r="B6" s="40" t="s">
        <v>126</v>
      </c>
      <c r="C6" s="41" t="s">
        <v>127</v>
      </c>
      <c r="D6" s="41" t="s">
        <v>108</v>
      </c>
      <c r="E6" s="42" t="n">
        <v>2250</v>
      </c>
      <c r="F6" s="42" t="n">
        <v>200</v>
      </c>
      <c r="G6" s="42" t="n">
        <v>200</v>
      </c>
      <c r="H6" s="43" t="n">
        <v>1</v>
      </c>
      <c r="I6" s="34" t="n">
        <f aca="false">E6*H6+N(F6)+N(G6)</f>
        <v>2650</v>
      </c>
      <c r="J6" s="42" t="n">
        <f aca="false">ROUND(IFERROR(ROUND(IF(OR(ISNUMBER(SEARCH("week",C6)),ISNUMBER(SEARCH("minggu",C6))),IFERROR(_xlfn.NUMBERVALUE(SUBSTITUTE(LEFT(TRIM(C6),FIND("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")-1),",","."))+1,9))*12,NA()))),0),36)*'Aturan &amp; Tarif'!$B$4,2)</f>
        <v>2044.08</v>
      </c>
      <c r="K6" s="42" t="n">
        <f aca="false">'Aturan &amp; Tarif'!$B$5</f>
        <v>2050</v>
      </c>
      <c r="L6" s="42" t="n">
        <f aca="false">'Aturan &amp; Tarif'!$B$6</f>
        <v>350</v>
      </c>
      <c r="M6" s="35" t="n">
        <f aca="false">I6+J6+K6+L6</f>
        <v>7094.08</v>
      </c>
      <c r="N6" s="44" t="s">
        <v>128</v>
      </c>
    </row>
    <row r="7" customFormat="false" ht="37.5" hidden="false" customHeight="true" outlineLevel="0" collapsed="false">
      <c r="A7" s="39"/>
      <c r="B7" s="40" t="s">
        <v>129</v>
      </c>
      <c r="C7" s="41" t="s">
        <v>130</v>
      </c>
      <c r="D7" s="41" t="s">
        <v>108</v>
      </c>
      <c r="E7" s="42" t="n">
        <v>4000</v>
      </c>
      <c r="F7" s="42" t="n">
        <v>300</v>
      </c>
      <c r="G7" s="42" t="n">
        <v>200</v>
      </c>
      <c r="H7" s="43" t="n">
        <v>1</v>
      </c>
      <c r="I7" s="34" t="n">
        <f aca="false">E7*H7+N(F7)+N(G7)</f>
        <v>4500</v>
      </c>
      <c r="J7" s="42" t="n">
        <f aca="false">ROUND(IFERROR(ROUND(IF(OR(ISNUMBER(SEARCH("week",C7)),ISNUMBER(SEARCH("minggu",C7))),IFERROR(_xlfn.NUMBERVALUE(SUBSTITUTE(LEFT(TRIM(C7),FIND(" ",TRIM(C7)&amp;" ")-1),",","."),"."),LEFT(SUBSTITUTE(LEFT(TRIM(C7),FIND(" ",TRIM(C7)&amp;" ")-1),",","."),FIND("/",SUBSTITUTE(LEFT(TRIM(C7),FIND(" ",TRIM(C7)&amp;" ")-1),",","."))-1)/MID(SUBSTITUTE(LEFT(TRIM(C7),FIND(" ",TRIM(C7)&amp;" ")-1),",","."),FIND("/",SUBSTITUTE(LEFT(TRIM(C7),FIND(" ",TRIM(C7)&amp;" ")-1),",","."))+1,9))*12/52,IF(ISNUMBER(SEARCH("month",C7)),IFERROR(_xlfn.NUMBERVALUE(SUBSTITUTE(LEFT(TRIM(C7),FIND(" ",TRIM(C7)&amp;" ")-1),",","."),"."),LEFT(SUBSTITUTE(LEFT(TRIM(C7),FIND(" ",TRIM(C7)&amp;" ")-1),",","."),FIND("/",SUBSTITUTE(LEFT(TRIM(C7),FIND(" ",TRIM(C7)&amp;" ")-1),",","."))-1)/MID(SUBSTITUTE(LEFT(TRIM(C7),FIND(" ",TRIM(C7)&amp;" ")-1),",","."),FIND("/",SUBSTITUTE(LEFT(TRIM(C7),FIND(" ",TRIM(C7)&amp;" ")-1),",","."))+1,9)),IF(ISNUMBER(SEARCH("yea",C7)),IFERROR(_xlfn.NUMBERVALUE(SUBSTITUTE(LEFT(TRIM(C7),FIND(" ",TRIM(C7)&amp;" ")-1),",","."),"."),LEFT(SUBSTITUTE(LEFT(TRIM(C7),FIND(" ",TRIM(C7)&amp;" ")-1),",","."),FIND("/",SUBSTITUTE(LEFT(TRIM(C7),FIND(" ",TRIM(C7)&amp;" ")-1),",","."))-1)/MID(SUBSTITUTE(LEFT(TRIM(C7),FIND(" ",TRIM(C7)&amp;" ")-1),",","."),FIND("/",SUBSTITUTE(LEFT(TRIM(C7),FIND(" ",TRIM(C7)&amp;" ")-1),",","."))+1,9))*12,NA()))),0),12)*'Aturan &amp; Tarif'!$B$4,2)</f>
        <v>681.36</v>
      </c>
      <c r="K7" s="42" t="n">
        <f aca="false">'Aturan &amp; Tarif'!$B$5</f>
        <v>2050</v>
      </c>
      <c r="L7" s="42" t="n">
        <f aca="false">'Aturan &amp; Tarif'!$B$6</f>
        <v>350</v>
      </c>
      <c r="M7" s="35" t="n">
        <f aca="false">I7+J7+K7+L7</f>
        <v>7581.36</v>
      </c>
      <c r="N7" s="44" t="s">
        <v>131</v>
      </c>
    </row>
    <row r="8" customFormat="false" ht="37.5" hidden="false" customHeight="true" outlineLevel="0" collapsed="false">
      <c r="A8" s="29" t="s">
        <v>132</v>
      </c>
      <c r="B8" s="30" t="s">
        <v>133</v>
      </c>
      <c r="C8" s="31" t="s">
        <v>107</v>
      </c>
      <c r="D8" s="31" t="s">
        <v>108</v>
      </c>
      <c r="E8" s="32" t="n">
        <v>3450</v>
      </c>
      <c r="F8" s="32" t="n">
        <v>800</v>
      </c>
      <c r="G8" s="32" t="n">
        <v>250</v>
      </c>
      <c r="H8" s="33" t="n">
        <v>1</v>
      </c>
      <c r="I8" s="34" t="n">
        <f aca="false">E8*H8+N(F8)+N(G8)</f>
        <v>4500</v>
      </c>
      <c r="J8" s="32" t="n">
        <f aca="false">ROUND(IFERROR(ROUND(IF(OR(ISNUMBER(SEARCH("week",C8)),ISNUMBER(SEARCH("minggu",C8))),IFERROR(_xlfn.NUMBERVALUE(SUBSTITUTE(LEFT(TRIM(C8),FIND(" ",TRIM(C8)&amp;" ")-1),",","."),"."),LEFT(SUBSTITUTE(LEFT(TRIM(C8),FIND(" ",TRIM(C8)&amp;" ")-1),",","."),FIND("/",SUBSTITUTE(LEFT(TRIM(C8),FIND(" ",TRIM(C8)&amp;" ")-1),",","."))-1)/MID(SUBSTITUTE(LEFT(TRIM(C8),FIND(" ",TRIM(C8)&amp;" ")-1),",","."),FIND("/",SUBSTITUTE(LEFT(TRIM(C8),FIND(" ",TRIM(C8)&amp;" ")-1),",","."))+1,9))*12/52,IF(ISNUMBER(SEARCH("month",C8)),IFERROR(_xlfn.NUMBERVALUE(SUBSTITUTE(LEFT(TRIM(C8),FIND(" ",TRIM(C8)&amp;" ")-1),",","."),"."),LEFT(SUBSTITUTE(LEFT(TRIM(C8),FIND(" ",TRIM(C8)&amp;" ")-1),",","."),FIND("/",SUBSTITUTE(LEFT(TRIM(C8),FIND(" ",TRIM(C8)&amp;" ")-1),",","."))-1)/MID(SUBSTITUTE(LEFT(TRIM(C8),FIND(" ",TRIM(C8)&amp;" ")-1),",","."),FIND("/",SUBSTITUTE(LEFT(TRIM(C8),FIND(" ",TRIM(C8)&amp;" ")-1),",","."))+1,9)),IF(ISNUMBER(SEARCH("yea",C8)),IFERROR(_xlfn.NUMBERVALUE(SUBSTITUTE(LEFT(TRIM(C8),FIND(" ",TRIM(C8)&amp;" ")-1),",","."),"."),LEFT(SUBSTITUTE(LEFT(TRIM(C8),FIND(" ",TRIM(C8)&amp;" ")-1),",","."),FIND("/",SUBSTITUTE(LEFT(TRIM(C8),FIND(" ",TRIM(C8)&amp;" ")-1),",","."))-1)/MID(SUBSTITUTE(LEFT(TRIM(C8),FIND(" ",TRIM(C8)&amp;" ")-1),",","."),FIND("/",SUBSTITUTE(LEFT(TRIM(C8),FIND(" ",TRIM(C8)&amp;" ")-1),",","."))+1,9))*12,NA()))),0),24)*'Aturan &amp; Tarif'!$B$4,2)</f>
        <v>1362.72</v>
      </c>
      <c r="K8" s="32" t="n">
        <f aca="false">'Aturan &amp; Tarif'!$B$5</f>
        <v>2050</v>
      </c>
      <c r="L8" s="32" t="n">
        <f aca="false">'Aturan &amp; Tarif'!$B$6</f>
        <v>350</v>
      </c>
      <c r="M8" s="35" t="n">
        <f aca="false">I8+J8+K8+L8</f>
        <v>8262.72</v>
      </c>
      <c r="N8" s="37" t="s">
        <v>134</v>
      </c>
    </row>
    <row r="9" customFormat="false" ht="37.5" hidden="false" customHeight="true" outlineLevel="0" collapsed="false">
      <c r="A9" s="29"/>
      <c r="B9" s="30" t="s">
        <v>135</v>
      </c>
      <c r="C9" s="31" t="s">
        <v>136</v>
      </c>
      <c r="D9" s="31" t="s">
        <v>108</v>
      </c>
      <c r="E9" s="32" t="n">
        <v>3050</v>
      </c>
      <c r="F9" s="32" t="n">
        <v>2000</v>
      </c>
      <c r="G9" s="32" t="n">
        <v>250</v>
      </c>
      <c r="H9" s="33" t="n">
        <v>1</v>
      </c>
      <c r="I9" s="34" t="n">
        <f aca="false">E9*H9+N(F9)+N(G9)</f>
        <v>5300</v>
      </c>
      <c r="J9" s="32" t="n">
        <f aca="false">ROUND(IFERROR(ROUND(IF(OR(ISNUMBER(SEARCH("week",C9)),ISNUMBER(SEARCH("minggu",C9))),IFERROR(_xlfn.NUMBERVALUE(SUBSTITUTE(LEFT(TRIM(C9),FIND(" ",TRIM(C9)&amp;" ")-1),",","."),"."),LEFT(SUBSTITUTE(LEFT(TRIM(C9),FIND(" ",TRIM(C9)&amp;" ")-1),",","."),FIND("/",SUBSTITUTE(LEFT(TRIM(C9),FIND(" ",TRIM(C9)&amp;" ")-1),",","."))-1)/MID(SUBSTITUTE(LEFT(TRIM(C9),FIND(" ",TRIM(C9)&amp;" ")-1),",","."),FIND("/",SUBSTITUTE(LEFT(TRIM(C9),FIND(" ",TRIM(C9)&amp;" ")-1),",","."))+1,9))*12/52,IF(ISNUMBER(SEARCH("month",C9)),IFERROR(_xlfn.NUMBERVALUE(SUBSTITUTE(LEFT(TRIM(C9),FIND(" ",TRIM(C9)&amp;" ")-1),",","."),"."),LEFT(SUBSTITUTE(LEFT(TRIM(C9),FIND(" ",TRIM(C9)&amp;" ")-1),",","."),FIND("/",SUBSTITUTE(LEFT(TRIM(C9),FIND(" ",TRIM(C9)&amp;" ")-1),",","."))-1)/MID(SUBSTITUTE(LEFT(TRIM(C9),FIND(" ",TRIM(C9)&amp;" ")-1),",","."),FIND("/",SUBSTITUTE(LEFT(TRIM(C9),FIND(" ",TRIM(C9)&amp;" ")-1),",","."))+1,9)),IF(ISNUMBER(SEARCH("yea",C9)),IFERROR(_xlfn.NUMBERVALUE(SUBSTITUTE(LEFT(TRIM(C9),FIND(" ",TRIM(C9)&amp;" ")-1),",","."),"."),LEFT(SUBSTITUTE(LEFT(TRIM(C9),FIND(" ",TRIM(C9)&amp;" ")-1),",","."),FIND("/",SUBSTITUTE(LEFT(TRIM(C9),FIND(" ",TRIM(C9)&amp;" ")-1),",","."))-1)/MID(SUBSTITUTE(LEFT(TRIM(C9),FIND(" ",TRIM(C9)&amp;" ")-1),",","."),FIND("/",SUBSTITUTE(LEFT(TRIM(C9),FIND(" ",TRIM(C9)&amp;" ")-1),",","."))+1,9))*12,NA()))),0),42)*'Aturan &amp; Tarif'!$B$4,2)</f>
        <v>2384.76</v>
      </c>
      <c r="K9" s="32" t="n">
        <f aca="false">'Aturan &amp; Tarif'!$B$5</f>
        <v>2050</v>
      </c>
      <c r="L9" s="32" t="n">
        <f aca="false">'Aturan &amp; Tarif'!$B$6</f>
        <v>350</v>
      </c>
      <c r="M9" s="35" t="n">
        <f aca="false">I9+J9+K9+L9</f>
        <v>10084.76</v>
      </c>
      <c r="N9" s="37" t="s">
        <v>134</v>
      </c>
    </row>
    <row r="10" customFormat="false" ht="37.5" hidden="false" customHeight="true" outlineLevel="0" collapsed="false">
      <c r="A10" s="29"/>
      <c r="B10" s="30" t="s">
        <v>137</v>
      </c>
      <c r="C10" s="31" t="s">
        <v>138</v>
      </c>
      <c r="D10" s="31" t="s">
        <v>108</v>
      </c>
      <c r="E10" s="32" t="n">
        <v>3450</v>
      </c>
      <c r="F10" s="32" t="n">
        <v>2000</v>
      </c>
      <c r="G10" s="32" t="n">
        <v>250</v>
      </c>
      <c r="H10" s="33" t="n">
        <v>1</v>
      </c>
      <c r="I10" s="34" t="n">
        <f aca="false">E10*H10+N(F10)+N(G10)</f>
        <v>5700</v>
      </c>
      <c r="J10" s="32" t="n">
        <f aca="false">ROUND(IFERROR(ROUND(IF(OR(ISNUMBER(SEARCH("week",C10)),ISNUMBER(SEARCH("minggu",C10))),IFERROR(_xlfn.NUMBERVALUE(SUBSTITUTE(LEFT(TRIM(C10),FIND(" ",TRIM(C10)&amp;" ")-1),",","."),"."),LEFT(SUBSTITUTE(LEFT(TRIM(C10),FIND(" ",TRIM(C10)&amp;" ")-1),",","."),FIND("/",SUBSTITUTE(LEFT(TRIM(C10),FIND(" ",TRIM(C10)&amp;" ")-1),",","."))-1)/MID(SUBSTITUTE(LEFT(TRIM(C10),FIND(" ",TRIM(C10)&amp;" ")-1),",","."),FIND("/",SUBSTITUTE(LEFT(TRIM(C10),FIND(" ",TRIM(C10)&amp;" ")-1),",","."))+1,9))*12/52,IF(ISNUMBER(SEARCH("month",C10)),IFERROR(_xlfn.NUMBERVALUE(SUBSTITUTE(LEFT(TRIM(C10),FIND(" ",TRIM(C10)&amp;" ")-1),",","."),"."),LEFT(SUBSTITUTE(LEFT(TRIM(C10),FIND(" ",TRIM(C10)&amp;" ")-1),",","."),FIND("/",SUBSTITUTE(LEFT(TRIM(C10),FIND(" ",TRIM(C10)&amp;" ")-1),",","."))-1)/MID(SUBSTITUTE(LEFT(TRIM(C10),FIND(" ",TRIM(C10)&amp;" ")-1),",","."),FIND("/",SUBSTITUTE(LEFT(TRIM(C10),FIND(" ",TRIM(C10)&amp;" ")-1),",","."))+1,9)),IF(ISNUMBER(SEARCH("yea",C10)),IFERROR(_xlfn.NUMBERVALUE(SUBSTITUTE(LEFT(TRIM(C10),FIND(" ",TRIM(C10)&amp;" ")-1),",","."),"."),LEFT(SUBSTITUTE(LEFT(TRIM(C10),FIND(" ",TRIM(C10)&amp;" ")-1),",","."),FIND("/",SUBSTITUTE(LEFT(TRIM(C10),FIND(" ",TRIM(C10)&amp;" ")-1),",","."))-1)/MID(SUBSTITUTE(LEFT(TRIM(C10),FIND(" ",TRIM(C10)&amp;" ")-1),",","."),FIND("/",SUBSTITUTE(LEFT(TRIM(C10),FIND(" ",TRIM(C10)&amp;" ")-1),",","."))+1,9))*12,NA()))),0),30)*'Aturan &amp; Tarif'!$B$4,2)</f>
        <v>1703.4</v>
      </c>
      <c r="K10" s="32" t="n">
        <f aca="false">'Aturan &amp; Tarif'!$B$5</f>
        <v>2050</v>
      </c>
      <c r="L10" s="32" t="n">
        <f aca="false">'Aturan &amp; Tarif'!$B$6</f>
        <v>350</v>
      </c>
      <c r="M10" s="35" t="n">
        <f aca="false">I10+J10+K10+L10</f>
        <v>9803.4</v>
      </c>
      <c r="N10" s="37" t="s">
        <v>134</v>
      </c>
    </row>
    <row r="11" customFormat="false" ht="25.5" hidden="false" customHeight="true" outlineLevel="0" collapsed="false">
      <c r="A11" s="29"/>
      <c r="B11" s="30" t="s">
        <v>139</v>
      </c>
      <c r="C11" s="31" t="s">
        <v>127</v>
      </c>
      <c r="D11" s="31" t="s">
        <v>108</v>
      </c>
      <c r="E11" s="32" t="n">
        <v>2850</v>
      </c>
      <c r="F11" s="32" t="n">
        <v>1600</v>
      </c>
      <c r="G11" s="32" t="n">
        <v>250</v>
      </c>
      <c r="H11" s="33" t="n">
        <v>1</v>
      </c>
      <c r="I11" s="34" t="n">
        <f aca="false">E11*H11+N(F11)+N(G11)</f>
        <v>4700</v>
      </c>
      <c r="J11" s="32" t="n">
        <f aca="false">ROUND(IFERROR(ROUND(IF(OR(ISNUMBER(SEARCH("week",C11)),ISNUMBER(SEARCH("minggu",C11))),IFERROR(_xlfn.NUMBERVALUE(SUBSTITUTE(LEFT(TRIM(C11),FIND(" ",TRIM(C11)&amp;" ")-1),",","."),"."),LEFT(SUBSTITUTE(LEFT(TRIM(C11),FIND(" ",TRIM(C11)&amp;" ")-1),",","."),FIND("/",SUBSTITUTE(LEFT(TRIM(C11),FIND(" ",TRIM(C11)&amp;" ")-1),",","."))-1)/MID(SUBSTITUTE(LEFT(TRIM(C11),FIND(" ",TRIM(C11)&amp;" ")-1),",","."),FIND("/",SUBSTITUTE(LEFT(TRIM(C11),FIND(" ",TRIM(C11)&amp;" ")-1),",","."))+1,9))*12/52,IF(ISNUMBER(SEARCH("month",C11)),IFERROR(_xlfn.NUMBERVALUE(SUBSTITUTE(LEFT(TRIM(C11),FIND(" ",TRIM(C11)&amp;" ")-1),",","."),"."),LEFT(SUBSTITUTE(LEFT(TRIM(C11),FIND(" ",TRIM(C11)&amp;" ")-1),",","."),FIND("/",SUBSTITUTE(LEFT(TRIM(C11),FIND(" ",TRIM(C11)&amp;" ")-1),",","."))-1)/MID(SUBSTITUTE(LEFT(TRIM(C11),FIND(" ",TRIM(C11)&amp;" ")-1),",","."),FIND("/",SUBSTITUTE(LEFT(TRIM(C11),FIND(" ",TRIM(C11)&amp;" ")-1),",","."))+1,9)),IF(ISNUMBER(SEARCH("yea",C11)),IFERROR(_xlfn.NUMBERVALUE(SUBSTITUTE(LEFT(TRIM(C11),FIND(" ",TRIM(C11)&amp;" ")-1),",","."),"."),LEFT(SUBSTITUTE(LEFT(TRIM(C11),FIND(" ",TRIM(C11)&amp;" ")-1),",","."),FIND("/",SUBSTITUTE(LEFT(TRIM(C11),FIND(" ",TRIM(C11)&amp;" ")-1),",","."))-1)/MID(SUBSTITUTE(LEFT(TRIM(C11),FIND(" ",TRIM(C11)&amp;" ")-1),",","."),FIND("/",SUBSTITUTE(LEFT(TRIM(C11),FIND(" ",TRIM(C11)&amp;" ")-1),",","."))+1,9))*12,NA()))),0),36)*'Aturan &amp; Tarif'!$B$4,2)</f>
        <v>2044.08</v>
      </c>
      <c r="K11" s="32" t="n">
        <f aca="false">'Aturan &amp; Tarif'!$B$5</f>
        <v>2050</v>
      </c>
      <c r="L11" s="32" t="n">
        <f aca="false">'Aturan &amp; Tarif'!$B$6</f>
        <v>350</v>
      </c>
      <c r="M11" s="35" t="n">
        <f aca="false">I11+J11+K11+L11</f>
        <v>9144.08</v>
      </c>
      <c r="N11" s="37" t="s">
        <v>134</v>
      </c>
    </row>
    <row r="12" customFormat="false" ht="25.5" hidden="false" customHeight="true" outlineLevel="0" collapsed="false">
      <c r="A12" s="29"/>
      <c r="B12" s="30" t="s">
        <v>140</v>
      </c>
      <c r="C12" s="31" t="s">
        <v>107</v>
      </c>
      <c r="D12" s="31" t="s">
        <v>108</v>
      </c>
      <c r="E12" s="32" t="n">
        <v>3250</v>
      </c>
      <c r="F12" s="32" t="n">
        <v>1600</v>
      </c>
      <c r="G12" s="32" t="n">
        <v>250</v>
      </c>
      <c r="H12" s="33" t="n">
        <v>1</v>
      </c>
      <c r="I12" s="34" t="n">
        <f aca="false">E12*H12+N(F12)+N(G12)</f>
        <v>5100</v>
      </c>
      <c r="J12" s="32" t="n">
        <f aca="false">ROUND(IFERROR(ROUND(IF(OR(ISNUMBER(SEARCH("week",C12)),ISNUMBER(SEARCH("minggu",C12))),IFERROR(_xlfn.NUMBERVALUE(SUBSTITUTE(LEFT(TRIM(C12),FIND(" ",TRIM(C12)&amp;" ")-1),",","."),"."),LEFT(SUBSTITUTE(LEFT(TRIM(C12),FIND(" ",TRIM(C12)&amp;" ")-1),",","."),FIND("/",SUBSTITUTE(LEFT(TRIM(C12),FIND(" ",TRIM(C12)&amp;" ")-1),",","."))-1)/MID(SUBSTITUTE(LEFT(TRIM(C12),FIND(" ",TRIM(C12)&amp;" ")-1),",","."),FIND("/",SUBSTITUTE(LEFT(TRIM(C12),FIND(" ",TRIM(C12)&amp;" ")-1),",","."))+1,9))*12/52,IF(ISNUMBER(SEARCH("month",C12)),IFERROR(_xlfn.NUMBERVALUE(SUBSTITUTE(LEFT(TRIM(C12),FIND(" ",TRIM(C12)&amp;" ")-1),",","."),"."),LEFT(SUBSTITUTE(LEFT(TRIM(C12),FIND(" ",TRIM(C12)&amp;" ")-1),",","."),FIND("/",SUBSTITUTE(LEFT(TRIM(C12),FIND(" ",TRIM(C12)&amp;" ")-1),",","."))-1)/MID(SUBSTITUTE(LEFT(TRIM(C12),FIND(" ",TRIM(C12)&amp;" ")-1),",","."),FIND("/",SUBSTITUTE(LEFT(TRIM(C12),FIND(" ",TRIM(C12)&amp;" ")-1),",","."))+1,9)),IF(ISNUMBER(SEARCH("yea",C12)),IFERROR(_xlfn.NUMBERVALUE(SUBSTITUTE(LEFT(TRIM(C12),FIND(" ",TRIM(C12)&amp;" ")-1),",","."),"."),LEFT(SUBSTITUTE(LEFT(TRIM(C12),FIND(" ",TRIM(C12)&amp;" ")-1),",","."),FIND("/",SUBSTITUTE(LEFT(TRIM(C12),FIND(" ",TRIM(C12)&amp;" ")-1),",","."))-1)/MID(SUBSTITUTE(LEFT(TRIM(C12),FIND(" ",TRIM(C12)&amp;" ")-1),",","."),FIND("/",SUBSTITUTE(LEFT(TRIM(C12),FIND(" ",TRIM(C12)&amp;" ")-1),",","."))+1,9))*12,NA()))),0),24)*'Aturan &amp; Tarif'!$B$4,2)</f>
        <v>1362.72</v>
      </c>
      <c r="K12" s="32" t="n">
        <f aca="false">'Aturan &amp; Tarif'!$B$5</f>
        <v>2050</v>
      </c>
      <c r="L12" s="32" t="n">
        <f aca="false">'Aturan &amp; Tarif'!$B$6</f>
        <v>350</v>
      </c>
      <c r="M12" s="35" t="n">
        <f aca="false">I12+J12+K12+L12</f>
        <v>8862.72</v>
      </c>
      <c r="N12" s="37" t="s">
        <v>134</v>
      </c>
    </row>
    <row r="13" customFormat="false" ht="25.5" hidden="false" customHeight="true" outlineLevel="0" collapsed="false">
      <c r="A13" s="29"/>
      <c r="B13" s="30" t="s">
        <v>141</v>
      </c>
      <c r="C13" s="31" t="s">
        <v>127</v>
      </c>
      <c r="D13" s="31" t="s">
        <v>108</v>
      </c>
      <c r="E13" s="32" t="n">
        <v>2750</v>
      </c>
      <c r="F13" s="32" t="n">
        <v>1700</v>
      </c>
      <c r="G13" s="32" t="n">
        <v>250</v>
      </c>
      <c r="H13" s="33" t="n">
        <v>1</v>
      </c>
      <c r="I13" s="34" t="n">
        <f aca="false">E13*H13+N(F13)+N(G13)</f>
        <v>4700</v>
      </c>
      <c r="J13" s="32" t="n">
        <f aca="false">ROUND(IFERROR(ROUND(IF(OR(ISNUMBER(SEARCH("week",C13)),ISNUMBER(SEARCH("minggu",C13))),IFERROR(_xlfn.NUMBERVALUE(SUBSTITUTE(LEFT(TRIM(C13),FIND(" ",TRIM(C13)&amp;" ")-1),",","."),"."),LEFT(SUBSTITUTE(LEFT(TRIM(C13),FIND(" ",TRIM(C13)&amp;" ")-1),",","."),FIND("/",SUBSTITUTE(LEFT(TRIM(C13),FIND(" ",TRIM(C13)&amp;" ")-1),",","."))-1)/MID(SUBSTITUTE(LEFT(TRIM(C13),FIND(" ",TRIM(C13)&amp;" ")-1),",","."),FIND("/",SUBSTITUTE(LEFT(TRIM(C13),FIND(" ",TRIM(C13)&amp;" ")-1),",","."))+1,9))*12/52,IF(ISNUMBER(SEARCH("month",C13)),IFERROR(_xlfn.NUMBERVALUE(SUBSTITUTE(LEFT(TRIM(C13),FIND(" ",TRIM(C13)&amp;" ")-1),",","."),"."),LEFT(SUBSTITUTE(LEFT(TRIM(C13),FIND(" ",TRIM(C13)&amp;" ")-1),",","."),FIND("/",SUBSTITUTE(LEFT(TRIM(C13),FIND(" ",TRIM(C13)&amp;" ")-1),",","."))-1)/MID(SUBSTITUTE(LEFT(TRIM(C13),FIND(" ",TRIM(C13)&amp;" ")-1),",","."),FIND("/",SUBSTITUTE(LEFT(TRIM(C13),FIND(" ",TRIM(C13)&amp;" ")-1),",","."))+1,9)),IF(ISNUMBER(SEARCH("yea",C13)),IFERROR(_xlfn.NUMBERVALUE(SUBSTITUTE(LEFT(TRIM(C13),FIND(" ",TRIM(C13)&amp;" ")-1),",","."),"."),LEFT(SUBSTITUTE(LEFT(TRIM(C13),FIND(" ",TRIM(C13)&amp;" ")-1),",","."),FIND("/",SUBSTITUTE(LEFT(TRIM(C13),FIND(" ",TRIM(C13)&amp;" ")-1),",","."))-1)/MID(SUBSTITUTE(LEFT(TRIM(C13),FIND(" ",TRIM(C13)&amp;" ")-1),",","."),FIND("/",SUBSTITUTE(LEFT(TRIM(C13),FIND(" ",TRIM(C13)&amp;" ")-1),",","."))+1,9))*12,NA()))),0),36)*'Aturan &amp; Tarif'!$B$4,2)</f>
        <v>2044.08</v>
      </c>
      <c r="K13" s="32" t="n">
        <f aca="false">'Aturan &amp; Tarif'!$B$5</f>
        <v>2050</v>
      </c>
      <c r="L13" s="32" t="n">
        <f aca="false">'Aturan &amp; Tarif'!$B$6</f>
        <v>350</v>
      </c>
      <c r="M13" s="35" t="n">
        <f aca="false">I13+J13+K13+L13</f>
        <v>9144.08</v>
      </c>
      <c r="N13" s="37" t="s">
        <v>134</v>
      </c>
    </row>
    <row r="14" customFormat="false" ht="25.5" hidden="false" customHeight="true" outlineLevel="0" collapsed="false">
      <c r="A14" s="29"/>
      <c r="B14" s="30" t="s">
        <v>142</v>
      </c>
      <c r="C14" s="31" t="s">
        <v>107</v>
      </c>
      <c r="D14" s="31" t="s">
        <v>108</v>
      </c>
      <c r="E14" s="32" t="n">
        <v>3125</v>
      </c>
      <c r="F14" s="32" t="n">
        <v>1700</v>
      </c>
      <c r="G14" s="32" t="n">
        <v>250</v>
      </c>
      <c r="H14" s="33" t="n">
        <v>1</v>
      </c>
      <c r="I14" s="34" t="n">
        <f aca="false">E14*H14+N(F14)+N(G14)</f>
        <v>5075</v>
      </c>
      <c r="J14" s="32" t="n">
        <f aca="false">ROUND(IFERROR(ROUND(IF(OR(ISNUMBER(SEARCH("week",C14)),ISNUMBER(SEARCH("minggu",C14))),IFERROR(_xlfn.NUMBERVALUE(SUBSTITUTE(LEFT(TRIM(C14),FIND(" ",TRIM(C14)&amp;" ")-1),",","."),"."),LEFT(SUBSTITUTE(LEFT(TRIM(C14),FIND(" ",TRIM(C14)&amp;" ")-1),",","."),FIND("/",SUBSTITUTE(LEFT(TRIM(C14),FIND(" ",TRIM(C14)&amp;" ")-1),",","."))-1)/MID(SUBSTITUTE(LEFT(TRIM(C14),FIND(" ",TRIM(C14)&amp;" ")-1),",","."),FIND("/",SUBSTITUTE(LEFT(TRIM(C14),FIND(" ",TRIM(C14)&amp;" ")-1),",","."))+1,9))*12/52,IF(ISNUMBER(SEARCH("month",C14)),IFERROR(_xlfn.NUMBERVALUE(SUBSTITUTE(LEFT(TRIM(C14),FIND(" ",TRIM(C14)&amp;" ")-1),",","."),"."),LEFT(SUBSTITUTE(LEFT(TRIM(C14),FIND(" ",TRIM(C14)&amp;" ")-1),",","."),FIND("/",SUBSTITUTE(LEFT(TRIM(C14),FIND(" ",TRIM(C14)&amp;" ")-1),",","."))-1)/MID(SUBSTITUTE(LEFT(TRIM(C14),FIND(" ",TRIM(C14)&amp;" ")-1),",","."),FIND("/",SUBSTITUTE(LEFT(TRIM(C14),FIND(" ",TRIM(C14)&amp;" ")-1),",","."))+1,9)),IF(ISNUMBER(SEARCH("yea",C14)),IFERROR(_xlfn.NUMBERVALUE(SUBSTITUTE(LEFT(TRIM(C14),FIND(" ",TRIM(C14)&amp;" ")-1),",","."),"."),LEFT(SUBSTITUTE(LEFT(TRIM(C14),FIND(" ",TRIM(C14)&amp;" ")-1),",","."),FIND("/",SUBSTITUTE(LEFT(TRIM(C14),FIND(" ",TRIM(C14)&amp;" ")-1),",","."))-1)/MID(SUBSTITUTE(LEFT(TRIM(C14),FIND(" ",TRIM(C14)&amp;" ")-1),",","."),FIND("/",SUBSTITUTE(LEFT(TRIM(C14),FIND(" ",TRIM(C14)&amp;" ")-1),",","."))+1,9))*12,NA()))),0),24)*'Aturan &amp; Tarif'!$B$4,2)</f>
        <v>1362.72</v>
      </c>
      <c r="K14" s="32" t="n">
        <f aca="false">'Aturan &amp; Tarif'!$B$5</f>
        <v>2050</v>
      </c>
      <c r="L14" s="32" t="n">
        <f aca="false">'Aturan &amp; Tarif'!$B$6</f>
        <v>350</v>
      </c>
      <c r="M14" s="35" t="n">
        <f aca="false">I14+J14+K14+L14</f>
        <v>8837.72</v>
      </c>
      <c r="N14" s="37" t="s">
        <v>134</v>
      </c>
    </row>
    <row r="15" customFormat="false" ht="25.5" hidden="false" customHeight="true" outlineLevel="0" collapsed="false">
      <c r="A15" s="29"/>
      <c r="B15" s="30" t="s">
        <v>143</v>
      </c>
      <c r="C15" s="31" t="s">
        <v>107</v>
      </c>
      <c r="D15" s="31" t="s">
        <v>108</v>
      </c>
      <c r="E15" s="32" t="n">
        <v>3750</v>
      </c>
      <c r="F15" s="32" t="n">
        <v>3000</v>
      </c>
      <c r="G15" s="32" t="n">
        <v>250</v>
      </c>
      <c r="H15" s="33" t="n">
        <v>1</v>
      </c>
      <c r="I15" s="34" t="n">
        <f aca="false">E15*H15+N(F15)+N(G15)</f>
        <v>7000</v>
      </c>
      <c r="J15" s="32" t="n">
        <f aca="false">ROUND(IFERROR(ROUND(IF(OR(ISNUMBER(SEARCH("week",C15)),ISNUMBER(SEARCH("minggu",C15))),IFERROR(_xlfn.NUMBERVALUE(SUBSTITUTE(LEFT(TRIM(C15),FIND(" ",TRIM(C15)&amp;" ")-1),",","."),"."),LEFT(SUBSTITUTE(LEFT(TRIM(C15),FIND(" ",TRIM(C15)&amp;" ")-1),",","."),FIND("/",SUBSTITUTE(LEFT(TRIM(C15),FIND(" ",TRIM(C15)&amp;" ")-1),",","."))-1)/MID(SUBSTITUTE(LEFT(TRIM(C15),FIND(" ",TRIM(C15)&amp;" ")-1),",","."),FIND("/",SUBSTITUTE(LEFT(TRIM(C15),FIND(" ",TRIM(C15)&amp;" ")-1),",","."))+1,9))*12/52,IF(ISNUMBER(SEARCH("month",C15)),IFERROR(_xlfn.NUMBERVALUE(SUBSTITUTE(LEFT(TRIM(C15),FIND(" ",TRIM(C15)&amp;" ")-1),",","."),"."),LEFT(SUBSTITUTE(LEFT(TRIM(C15),FIND(" ",TRIM(C15)&amp;" ")-1),",","."),FIND("/",SUBSTITUTE(LEFT(TRIM(C15),FIND(" ",TRIM(C15)&amp;" ")-1),",","."))-1)/MID(SUBSTITUTE(LEFT(TRIM(C15),FIND(" ",TRIM(C15)&amp;" ")-1),",","."),FIND("/",SUBSTITUTE(LEFT(TRIM(C15),FIND(" ",TRIM(C15)&amp;" ")-1),",","."))+1,9)),IF(ISNUMBER(SEARCH("yea",C15)),IFERROR(_xlfn.NUMBERVALUE(SUBSTITUTE(LEFT(TRIM(C15),FIND(" ",TRIM(C15)&amp;" ")-1),",","."),"."),LEFT(SUBSTITUTE(LEFT(TRIM(C15),FIND(" ",TRIM(C15)&amp;" ")-1),",","."),FIND("/",SUBSTITUTE(LEFT(TRIM(C15),FIND(" ",TRIM(C15)&amp;" ")-1),",","."))-1)/MID(SUBSTITUTE(LEFT(TRIM(C15),FIND(" ",TRIM(C15)&amp;" ")-1),",","."),FIND("/",SUBSTITUTE(LEFT(TRIM(C15),FIND(" ",TRIM(C15)&amp;" ")-1),",","."))+1,9))*12,NA()))),0),24)*'Aturan &amp; Tarif'!$B$4,2)</f>
        <v>1362.72</v>
      </c>
      <c r="K15" s="32" t="n">
        <f aca="false">'Aturan &amp; Tarif'!$B$5</f>
        <v>2050</v>
      </c>
      <c r="L15" s="32" t="n">
        <f aca="false">'Aturan &amp; Tarif'!$B$6</f>
        <v>350</v>
      </c>
      <c r="M15" s="35" t="n">
        <f aca="false">I15+J15+K15+L15</f>
        <v>10762.72</v>
      </c>
      <c r="N15" s="37" t="s">
        <v>134</v>
      </c>
    </row>
    <row r="16" customFormat="false" ht="25.5" hidden="false" customHeight="true" outlineLevel="0" collapsed="false">
      <c r="A16" s="29"/>
      <c r="B16" s="30" t="s">
        <v>144</v>
      </c>
      <c r="C16" s="31" t="s">
        <v>107</v>
      </c>
      <c r="D16" s="31" t="s">
        <v>108</v>
      </c>
      <c r="E16" s="32" t="n">
        <v>3750</v>
      </c>
      <c r="F16" s="32" t="n">
        <v>3000</v>
      </c>
      <c r="G16" s="32" t="n">
        <v>250</v>
      </c>
      <c r="H16" s="33" t="n">
        <v>1</v>
      </c>
      <c r="I16" s="34" t="n">
        <f aca="false">E16*H16+N(F16)+N(G16)</f>
        <v>7000</v>
      </c>
      <c r="J16" s="32" t="n">
        <f aca="false">ROUND(IFERROR(ROUND(IF(OR(ISNUMBER(SEARCH("week",C16)),ISNUMBER(SEARCH("minggu",C16))),IFERROR(_xlfn.NUMBERVALUE(SUBSTITUTE(LEFT(TRIM(C16),FIND(" ",TRIM(C16)&amp;" ")-1),",","."),"."),LEFT(SUBSTITUTE(LEFT(TRIM(C16),FIND(" ",TRIM(C16)&amp;" ")-1),",","."),FIND("/",SUBSTITUTE(LEFT(TRIM(C16),FIND(" ",TRIM(C16)&amp;" ")-1),",","."))-1)/MID(SUBSTITUTE(LEFT(TRIM(C16),FIND(" ",TRIM(C16)&amp;" ")-1),",","."),FIND("/",SUBSTITUTE(LEFT(TRIM(C16),FIND(" ",TRIM(C16)&amp;" ")-1),",","."))+1,9))*12/52,IF(ISNUMBER(SEARCH("month",C16)),IFERROR(_xlfn.NUMBERVALUE(SUBSTITUTE(LEFT(TRIM(C16),FIND(" ",TRIM(C16)&amp;" ")-1),",","."),"."),LEFT(SUBSTITUTE(LEFT(TRIM(C16),FIND(" ",TRIM(C16)&amp;" ")-1),",","."),FIND("/",SUBSTITUTE(LEFT(TRIM(C16),FIND(" ",TRIM(C16)&amp;" ")-1),",","."))-1)/MID(SUBSTITUTE(LEFT(TRIM(C16),FIND(" ",TRIM(C16)&amp;" ")-1),",","."),FIND("/",SUBSTITUTE(LEFT(TRIM(C16),FIND(" ",TRIM(C16)&amp;" ")-1),",","."))+1,9)),IF(ISNUMBER(SEARCH("yea",C16)),IFERROR(_xlfn.NUMBERVALUE(SUBSTITUTE(LEFT(TRIM(C16),FIND(" ",TRIM(C16)&amp;" ")-1),",","."),"."),LEFT(SUBSTITUTE(LEFT(TRIM(C16),FIND(" ",TRIM(C16)&amp;" ")-1),",","."),FIND("/",SUBSTITUTE(LEFT(TRIM(C16),FIND(" ",TRIM(C16)&amp;" ")-1),",","."))-1)/MID(SUBSTITUTE(LEFT(TRIM(C16),FIND(" ",TRIM(C16)&amp;" ")-1),",","."),FIND("/",SUBSTITUTE(LEFT(TRIM(C16),FIND(" ",TRIM(C16)&amp;" ")-1),",","."))+1,9))*12,NA()))),0),24)*'Aturan &amp; Tarif'!$B$4,2)</f>
        <v>1362.72</v>
      </c>
      <c r="K16" s="32" t="n">
        <f aca="false">'Aturan &amp; Tarif'!$B$5</f>
        <v>2050</v>
      </c>
      <c r="L16" s="32" t="n">
        <f aca="false">'Aturan &amp; Tarif'!$B$6</f>
        <v>350</v>
      </c>
      <c r="M16" s="35" t="n">
        <f aca="false">I16+J16+K16+L16</f>
        <v>10762.72</v>
      </c>
      <c r="N16" s="37" t="s">
        <v>134</v>
      </c>
    </row>
    <row r="17" customFormat="false" ht="25.5" hidden="false" customHeight="true" outlineLevel="0" collapsed="false">
      <c r="A17" s="29"/>
      <c r="B17" s="30" t="s">
        <v>145</v>
      </c>
      <c r="C17" s="31" t="s">
        <v>107</v>
      </c>
      <c r="D17" s="31" t="s">
        <v>108</v>
      </c>
      <c r="E17" s="32" t="n">
        <v>2375</v>
      </c>
      <c r="F17" s="32" t="n">
        <v>800</v>
      </c>
      <c r="G17" s="32" t="n">
        <v>250</v>
      </c>
      <c r="H17" s="33" t="n">
        <v>1</v>
      </c>
      <c r="I17" s="34" t="n">
        <f aca="false">E17*H17+N(F17)+N(G17)</f>
        <v>3425</v>
      </c>
      <c r="J17" s="32" t="n">
        <f aca="false">ROUND(IFERROR(ROUND(IF(OR(ISNUMBER(SEARCH("week",C17)),ISNUMBER(SEARCH("minggu",C17))),IFERROR(_xlfn.NUMBERVALUE(SUBSTITUTE(LEFT(TRIM(C17),FIND(" ",TRIM(C17)&amp;" ")-1),",","."),"."),LEFT(SUBSTITUTE(LEFT(TRIM(C17),FIND(" ",TRIM(C17)&amp;" ")-1),",","."),FIND("/",SUBSTITUTE(LEFT(TRIM(C17),FIND(" ",TRIM(C17)&amp;" ")-1),",","."))-1)/MID(SUBSTITUTE(LEFT(TRIM(C17),FIND(" ",TRIM(C17)&amp;" ")-1),",","."),FIND("/",SUBSTITUTE(LEFT(TRIM(C17),FIND(" ",TRIM(C17)&amp;" ")-1),",","."))+1,9))*12/52,IF(ISNUMBER(SEARCH("month",C17)),IFERROR(_xlfn.NUMBERVALUE(SUBSTITUTE(LEFT(TRIM(C17),FIND(" ",TRIM(C17)&amp;" ")-1),",","."),"."),LEFT(SUBSTITUTE(LEFT(TRIM(C17),FIND(" ",TRIM(C17)&amp;" ")-1),",","."),FIND("/",SUBSTITUTE(LEFT(TRIM(C17),FIND(" ",TRIM(C17)&amp;" ")-1),",","."))-1)/MID(SUBSTITUTE(LEFT(TRIM(C17),FIND(" ",TRIM(C17)&amp;" ")-1),",","."),FIND("/",SUBSTITUTE(LEFT(TRIM(C17),FIND(" ",TRIM(C17)&amp;" ")-1),",","."))+1,9)),IF(ISNUMBER(SEARCH("yea",C17)),IFERROR(_xlfn.NUMBERVALUE(SUBSTITUTE(LEFT(TRIM(C17),FIND(" ",TRIM(C17)&amp;" ")-1),",","."),"."),LEFT(SUBSTITUTE(LEFT(TRIM(C17),FIND(" ",TRIM(C17)&amp;" ")-1),",","."),FIND("/",SUBSTITUTE(LEFT(TRIM(C17),FIND(" ",TRIM(C17)&amp;" ")-1),",","."))-1)/MID(SUBSTITUTE(LEFT(TRIM(C17),FIND(" ",TRIM(C17)&amp;" ")-1),",","."),FIND("/",SUBSTITUTE(LEFT(TRIM(C17),FIND(" ",TRIM(C17)&amp;" ")-1),",","."))+1,9))*12,NA()))),0),24)*'Aturan &amp; Tarif'!$B$4,2)</f>
        <v>1362.72</v>
      </c>
      <c r="K17" s="32" t="n">
        <f aca="false">'Aturan &amp; Tarif'!$B$5</f>
        <v>2050</v>
      </c>
      <c r="L17" s="32" t="n">
        <f aca="false">'Aturan &amp; Tarif'!$B$6</f>
        <v>350</v>
      </c>
      <c r="M17" s="35" t="n">
        <f aca="false">I17+J17+K17+L17</f>
        <v>7187.72</v>
      </c>
      <c r="N17" s="37" t="s">
        <v>134</v>
      </c>
    </row>
    <row r="18" customFormat="false" ht="25.5" hidden="false" customHeight="true" outlineLevel="0" collapsed="false">
      <c r="A18" s="29"/>
      <c r="B18" s="30" t="s">
        <v>146</v>
      </c>
      <c r="C18" s="31" t="s">
        <v>113</v>
      </c>
      <c r="D18" s="31" t="s">
        <v>108</v>
      </c>
      <c r="E18" s="32" t="n">
        <v>3200</v>
      </c>
      <c r="F18" s="32" t="n">
        <v>1500</v>
      </c>
      <c r="G18" s="32" t="n">
        <v>250</v>
      </c>
      <c r="H18" s="33" t="n">
        <v>1</v>
      </c>
      <c r="I18" s="34" t="n">
        <f aca="false">E18*H18+N(F18)+N(G18)</f>
        <v>4950</v>
      </c>
      <c r="J18" s="32" t="n">
        <f aca="false">ROUND(IFERROR(ROUND(IF(OR(ISNUMBER(SEARCH("week",C18)),ISNUMBER(SEARCH("minggu",C18))),IFERROR(_xlfn.NUMBERVALUE(SUBSTITUTE(LEFT(TRIM(C18),FIND(" ",TRIM(C18)&amp;" ")-1),",","."),"."),LEFT(SUBSTITUTE(LEFT(TRIM(C18),FIND(" ",TRIM(C18)&amp;" ")-1),",","."),FIND("/",SUBSTITUTE(LEFT(TRIM(C18),FIND(" ",TRIM(C18)&amp;" ")-1),",","."))-1)/MID(SUBSTITUTE(LEFT(TRIM(C18),FIND(" ",TRIM(C18)&amp;" ")-1),",","."),FIND("/",SUBSTITUTE(LEFT(TRIM(C18),FIND(" ",TRIM(C18)&amp;" ")-1),",","."))+1,9))*12/52,IF(ISNUMBER(SEARCH("month",C18)),IFERROR(_xlfn.NUMBERVALUE(SUBSTITUTE(LEFT(TRIM(C18),FIND(" ",TRIM(C18)&amp;" ")-1),",","."),"."),LEFT(SUBSTITUTE(LEFT(TRIM(C18),FIND(" ",TRIM(C18)&amp;" ")-1),",","."),FIND("/",SUBSTITUTE(LEFT(TRIM(C18),FIND(" ",TRIM(C18)&amp;" ")-1),",","."))-1)/MID(SUBSTITUTE(LEFT(TRIM(C18),FIND(" ",TRIM(C18)&amp;" ")-1),",","."),FIND("/",SUBSTITUTE(LEFT(TRIM(C18),FIND(" ",TRIM(C18)&amp;" ")-1),",","."))+1,9)),IF(ISNUMBER(SEARCH("yea",C18)),IFERROR(_xlfn.NUMBERVALUE(SUBSTITUTE(LEFT(TRIM(C18),FIND(" ",TRIM(C18)&amp;" ")-1),",","."),"."),LEFT(SUBSTITUTE(LEFT(TRIM(C18),FIND(" ",TRIM(C18)&amp;" ")-1),",","."),FIND("/",SUBSTITUTE(LEFT(TRIM(C18),FIND(" ",TRIM(C18)&amp;" ")-1),",","."))-1)/MID(SUBSTITUTE(LEFT(TRIM(C18),FIND(" ",TRIM(C18)&amp;" ")-1),",","."),FIND("/",SUBSTITUTE(LEFT(TRIM(C18),FIND(" ",TRIM(C18)&amp;" ")-1),",","."))+1,9))*12,NA()))),0),18)*'Aturan &amp; Tarif'!$B$4,2)</f>
        <v>1022.04</v>
      </c>
      <c r="K18" s="32" t="n">
        <f aca="false">'Aturan &amp; Tarif'!$B$5</f>
        <v>2050</v>
      </c>
      <c r="L18" s="32" t="n">
        <f aca="false">'Aturan &amp; Tarif'!$B$6</f>
        <v>350</v>
      </c>
      <c r="M18" s="35" t="n">
        <f aca="false">I18+J18+K18+L18</f>
        <v>8372.04</v>
      </c>
      <c r="N18" s="37" t="s">
        <v>134</v>
      </c>
    </row>
    <row r="19" customFormat="false" ht="37.5" hidden="false" customHeight="true" outlineLevel="0" collapsed="false">
      <c r="A19" s="29"/>
      <c r="B19" s="30" t="s">
        <v>147</v>
      </c>
      <c r="C19" s="31" t="s">
        <v>107</v>
      </c>
      <c r="D19" s="31" t="s">
        <v>108</v>
      </c>
      <c r="E19" s="32" t="n">
        <v>2750</v>
      </c>
      <c r="F19" s="32" t="n">
        <v>1500</v>
      </c>
      <c r="G19" s="32" t="n">
        <v>250</v>
      </c>
      <c r="H19" s="33" t="n">
        <v>1</v>
      </c>
      <c r="I19" s="34" t="n">
        <f aca="false">E19*H19+N(F19)+N(G19)</f>
        <v>4500</v>
      </c>
      <c r="J19" s="32" t="n">
        <f aca="false">ROUND(IFERROR(ROUND(IF(OR(ISNUMBER(SEARCH("week",C19)),ISNUMBER(SEARCH("minggu",C19))),IFERROR(_xlfn.NUMBERVALUE(SUBSTITUTE(LEFT(TRIM(C19),FIND(" ",TRIM(C19)&amp;" ")-1),",","."),"."),LEFT(SUBSTITUTE(LEFT(TRIM(C19),FIND(" ",TRIM(C19)&amp;" ")-1),",","."),FIND("/",SUBSTITUTE(LEFT(TRIM(C19),FIND(" ",TRIM(C19)&amp;" ")-1),",","."))-1)/MID(SUBSTITUTE(LEFT(TRIM(C19),FIND(" ",TRIM(C19)&amp;" ")-1),",","."),FIND("/",SUBSTITUTE(LEFT(TRIM(C19),FIND(" ",TRIM(C19)&amp;" ")-1),",","."))+1,9))*12/52,IF(ISNUMBER(SEARCH("month",C19)),IFERROR(_xlfn.NUMBERVALUE(SUBSTITUTE(LEFT(TRIM(C19),FIND(" ",TRIM(C19)&amp;" ")-1),",","."),"."),LEFT(SUBSTITUTE(LEFT(TRIM(C19),FIND(" ",TRIM(C19)&amp;" ")-1),",","."),FIND("/",SUBSTITUTE(LEFT(TRIM(C19),FIND(" ",TRIM(C19)&amp;" ")-1),",","."))-1)/MID(SUBSTITUTE(LEFT(TRIM(C19),FIND(" ",TRIM(C19)&amp;" ")-1),",","."),FIND("/",SUBSTITUTE(LEFT(TRIM(C19),FIND(" ",TRIM(C19)&amp;" ")-1),",","."))+1,9)),IF(ISNUMBER(SEARCH("yea",C19)),IFERROR(_xlfn.NUMBERVALUE(SUBSTITUTE(LEFT(TRIM(C19),FIND(" ",TRIM(C19)&amp;" ")-1),",","."),"."),LEFT(SUBSTITUTE(LEFT(TRIM(C19),FIND(" ",TRIM(C19)&amp;" ")-1),",","."),FIND("/",SUBSTITUTE(LEFT(TRIM(C19),FIND(" ",TRIM(C19)&amp;" ")-1),",","."))-1)/MID(SUBSTITUTE(LEFT(TRIM(C19),FIND(" ",TRIM(C19)&amp;" ")-1),",","."),FIND("/",SUBSTITUTE(LEFT(TRIM(C19),FIND(" ",TRIM(C19)&amp;" ")-1),",","."))+1,9))*12,NA()))),0),24)*'Aturan &amp; Tarif'!$B$4,2)</f>
        <v>1362.72</v>
      </c>
      <c r="K19" s="32" t="n">
        <f aca="false">'Aturan &amp; Tarif'!$B$5</f>
        <v>2050</v>
      </c>
      <c r="L19" s="32" t="n">
        <f aca="false">'Aturan &amp; Tarif'!$B$6</f>
        <v>350</v>
      </c>
      <c r="M19" s="35" t="n">
        <f aca="false">I19+J19+K19+L19</f>
        <v>8262.72</v>
      </c>
      <c r="N19" s="37" t="s">
        <v>134</v>
      </c>
    </row>
    <row r="20" customFormat="false" ht="25.5" hidden="false" customHeight="true" outlineLevel="0" collapsed="false">
      <c r="A20" s="29"/>
      <c r="B20" s="30" t="s">
        <v>148</v>
      </c>
      <c r="C20" s="31" t="s">
        <v>113</v>
      </c>
      <c r="D20" s="31" t="s">
        <v>108</v>
      </c>
      <c r="E20" s="32" t="n">
        <v>3350</v>
      </c>
      <c r="F20" s="32" t="n">
        <v>1500</v>
      </c>
      <c r="G20" s="32" t="n">
        <v>250</v>
      </c>
      <c r="H20" s="33" t="n">
        <v>1</v>
      </c>
      <c r="I20" s="34" t="n">
        <f aca="false">E20*H20+N(F20)+N(G20)</f>
        <v>5100</v>
      </c>
      <c r="J20" s="32" t="n">
        <f aca="false">ROUND(IFERROR(ROUND(IF(OR(ISNUMBER(SEARCH("week",C20)),ISNUMBER(SEARCH("minggu",C20))),IFERROR(_xlfn.NUMBERVALUE(SUBSTITUTE(LEFT(TRIM(C20),FIND(" ",TRIM(C20)&amp;" ")-1),",","."),"."),LEFT(SUBSTITUTE(LEFT(TRIM(C20),FIND(" ",TRIM(C20)&amp;" ")-1),",","."),FIND("/",SUBSTITUTE(LEFT(TRIM(C20),FIND(" ",TRIM(C20)&amp;" ")-1),",","."))-1)/MID(SUBSTITUTE(LEFT(TRIM(C20),FIND(" ",TRIM(C20)&amp;" ")-1),",","."),FIND("/",SUBSTITUTE(LEFT(TRIM(C20),FIND(" ",TRIM(C20)&amp;" ")-1),",","."))+1,9))*12/52,IF(ISNUMBER(SEARCH("month",C20)),IFERROR(_xlfn.NUMBERVALUE(SUBSTITUTE(LEFT(TRIM(C20),FIND(" ",TRIM(C20)&amp;" ")-1),",","."),"."),LEFT(SUBSTITUTE(LEFT(TRIM(C20),FIND(" ",TRIM(C20)&amp;" ")-1),",","."),FIND("/",SUBSTITUTE(LEFT(TRIM(C20),FIND(" ",TRIM(C20)&amp;" ")-1),",","."))-1)/MID(SUBSTITUTE(LEFT(TRIM(C20),FIND(" ",TRIM(C20)&amp;" ")-1),",","."),FIND("/",SUBSTITUTE(LEFT(TRIM(C20),FIND(" ",TRIM(C20)&amp;" ")-1),",","."))+1,9)),IF(ISNUMBER(SEARCH("yea",C20)),IFERROR(_xlfn.NUMBERVALUE(SUBSTITUTE(LEFT(TRIM(C20),FIND(" ",TRIM(C20)&amp;" ")-1),",","."),"."),LEFT(SUBSTITUTE(LEFT(TRIM(C20),FIND(" ",TRIM(C20)&amp;" ")-1),",","."),FIND("/",SUBSTITUTE(LEFT(TRIM(C20),FIND(" ",TRIM(C20)&amp;" ")-1),",","."))-1)/MID(SUBSTITUTE(LEFT(TRIM(C20),FIND(" ",TRIM(C20)&amp;" ")-1),",","."),FIND("/",SUBSTITUTE(LEFT(TRIM(C20),FIND(" ",TRIM(C20)&amp;" ")-1),",","."))+1,9))*12,NA()))),0),18)*'Aturan &amp; Tarif'!$B$4,2)</f>
        <v>1022.04</v>
      </c>
      <c r="K20" s="32" t="n">
        <f aca="false">'Aturan &amp; Tarif'!$B$5</f>
        <v>2050</v>
      </c>
      <c r="L20" s="32" t="n">
        <f aca="false">'Aturan &amp; Tarif'!$B$6</f>
        <v>350</v>
      </c>
      <c r="M20" s="35" t="n">
        <f aca="false">I20+J20+K20+L20</f>
        <v>8522.04</v>
      </c>
      <c r="N20" s="37" t="s">
        <v>134</v>
      </c>
    </row>
    <row r="21" customFormat="false" ht="106.5" hidden="false" customHeight="true" outlineLevel="0" collapsed="false">
      <c r="A21" s="29" t="s">
        <v>149</v>
      </c>
      <c r="B21" s="30" t="s">
        <v>150</v>
      </c>
      <c r="C21" s="31" t="s">
        <v>130</v>
      </c>
      <c r="D21" s="31" t="s">
        <v>108</v>
      </c>
      <c r="E21" s="32" t="n">
        <v>9737.5</v>
      </c>
      <c r="F21" s="32"/>
      <c r="G21" s="32"/>
      <c r="H21" s="33" t="n">
        <v>2</v>
      </c>
      <c r="I21" s="34" t="n">
        <f aca="false">E21*H21+N(F21)+N(G21)</f>
        <v>19475</v>
      </c>
      <c r="J21" s="32" t="n">
        <f aca="false">ROUND(IFERROR(ROUND(IF(OR(ISNUMBER(SEARCH("week",C21)),ISNUMBER(SEARCH("minggu",C21))),IFERROR(_xlfn.NUMBERVALUE(SUBSTITUTE(LEFT(TRIM(C21),FIND(" ",TRIM(C21)&amp;" ")-1),",","."),"."),LEFT(SUBSTITUTE(LEFT(TRIM(C21),FIND(" ",TRIM(C21)&amp;" ")-1),",","."),FIND("/",SUBSTITUTE(LEFT(TRIM(C21),FIND(" ",TRIM(C21)&amp;" ")-1),",","."))-1)/MID(SUBSTITUTE(LEFT(TRIM(C21),FIND(" ",TRIM(C21)&amp;" ")-1),",","."),FIND("/",SUBSTITUTE(LEFT(TRIM(C21),FIND(" ",TRIM(C21)&amp;" ")-1),",","."))+1,9))*12/52,IF(ISNUMBER(SEARCH("month",C21)),IFERROR(_xlfn.NUMBERVALUE(SUBSTITUTE(LEFT(TRIM(C21),FIND(" ",TRIM(C21)&amp;" ")-1),",","."),"."),LEFT(SUBSTITUTE(LEFT(TRIM(C21),FIND(" ",TRIM(C21)&amp;" ")-1),",","."),FIND("/",SUBSTITUTE(LEFT(TRIM(C21),FIND(" ",TRIM(C21)&amp;" ")-1),",","."))-1)/MID(SUBSTITUTE(LEFT(TRIM(C21),FIND(" ",TRIM(C21)&amp;" ")-1),",","."),FIND("/",SUBSTITUTE(LEFT(TRIM(C21),FIND(" ",TRIM(C21)&amp;" ")-1),",","."))+1,9)),IF(ISNUMBER(SEARCH("yea",C21)),IFERROR(_xlfn.NUMBERVALUE(SUBSTITUTE(LEFT(TRIM(C21),FIND(" ",TRIM(C21)&amp;" ")-1),",","."),"."),LEFT(SUBSTITUTE(LEFT(TRIM(C21),FIND(" ",TRIM(C21)&amp;" ")-1),",","."),FIND("/",SUBSTITUTE(LEFT(TRIM(C21),FIND(" ",TRIM(C21)&amp;" ")-1),",","."))-1)/MID(SUBSTITUTE(LEFT(TRIM(C21),FIND(" ",TRIM(C21)&amp;" ")-1),",","."),FIND("/",SUBSTITUTE(LEFT(TRIM(C21),FIND(" ",TRIM(C21)&amp;" ")-1),",","."))+1,9))*12,NA()))),0),12)*'Aturan &amp; Tarif'!$B$4,2)</f>
        <v>681.36</v>
      </c>
      <c r="K21" s="32" t="n">
        <f aca="false">'Aturan &amp; Tarif'!$B$5</f>
        <v>2050</v>
      </c>
      <c r="L21" s="32" t="n">
        <f aca="false">'Aturan &amp; Tarif'!$B$6</f>
        <v>350</v>
      </c>
      <c r="M21" s="35" t="n">
        <f aca="false">I21+J21+K21+L21</f>
        <v>22556.36</v>
      </c>
      <c r="N21" s="36" t="s">
        <v>151</v>
      </c>
    </row>
    <row r="22" customFormat="false" ht="106.5" hidden="false" customHeight="true" outlineLevel="0" collapsed="false">
      <c r="A22" s="29"/>
      <c r="B22" s="30" t="s">
        <v>152</v>
      </c>
      <c r="C22" s="31" t="s">
        <v>127</v>
      </c>
      <c r="D22" s="31" t="s">
        <v>108</v>
      </c>
      <c r="E22" s="32" t="n">
        <v>9737.5</v>
      </c>
      <c r="F22" s="32"/>
      <c r="G22" s="32"/>
      <c r="H22" s="33" t="n">
        <v>2</v>
      </c>
      <c r="I22" s="34" t="n">
        <f aca="false">E22*H22+N(F22)+N(G22)</f>
        <v>19475</v>
      </c>
      <c r="J22" s="32" t="n">
        <f aca="false">ROUND(IFERROR(ROUND(IF(OR(ISNUMBER(SEARCH("week",C22)),ISNUMBER(SEARCH("minggu",C22))),IFERROR(_xlfn.NUMBERVALUE(SUBSTITUTE(LEFT(TRIM(C22),FIND(" ",TRIM(C22)&amp;" ")-1),",","."),"."),LEFT(SUBSTITUTE(LEFT(TRIM(C22),FIND(" ",TRIM(C22)&amp;" ")-1),",","."),FIND("/",SUBSTITUTE(LEFT(TRIM(C22),FIND(" ",TRIM(C22)&amp;" ")-1),",","."))-1)/MID(SUBSTITUTE(LEFT(TRIM(C22),FIND(" ",TRIM(C22)&amp;" ")-1),",","."),FIND("/",SUBSTITUTE(LEFT(TRIM(C22),FIND(" ",TRIM(C22)&amp;" ")-1),",","."))+1,9))*12/52,IF(ISNUMBER(SEARCH("month",C22)),IFERROR(_xlfn.NUMBERVALUE(SUBSTITUTE(LEFT(TRIM(C22),FIND(" ",TRIM(C22)&amp;" ")-1),",","."),"."),LEFT(SUBSTITUTE(LEFT(TRIM(C22),FIND(" ",TRIM(C22)&amp;" ")-1),",","."),FIND("/",SUBSTITUTE(LEFT(TRIM(C22),FIND(" ",TRIM(C22)&amp;" ")-1),",","."))-1)/MID(SUBSTITUTE(LEFT(TRIM(C22),FIND(" ",TRIM(C22)&amp;" ")-1),",","."),FIND("/",SUBSTITUTE(LEFT(TRIM(C22),FIND(" ",TRIM(C22)&amp;" ")-1),",","."))+1,9)),IF(ISNUMBER(SEARCH("yea",C22)),IFERROR(_xlfn.NUMBERVALUE(SUBSTITUTE(LEFT(TRIM(C22),FIND(" ",TRIM(C22)&amp;" ")-1),",","."),"."),LEFT(SUBSTITUTE(LEFT(TRIM(C22),FIND(" ",TRIM(C22)&amp;" ")-1),",","."),FIND("/",SUBSTITUTE(LEFT(TRIM(C22),FIND(" ",TRIM(C22)&amp;" ")-1),",","."))-1)/MID(SUBSTITUTE(LEFT(TRIM(C22),FIND(" ",TRIM(C22)&amp;" ")-1),",","."),FIND("/",SUBSTITUTE(LEFT(TRIM(C22),FIND(" ",TRIM(C22)&amp;" ")-1),",","."))+1,9))*12,NA()))),0),36)*'Aturan &amp; Tarif'!$B$4,2)</f>
        <v>2044.08</v>
      </c>
      <c r="K22" s="32" t="n">
        <f aca="false">'Aturan &amp; Tarif'!$B$5</f>
        <v>2050</v>
      </c>
      <c r="L22" s="32" t="n">
        <f aca="false">'Aturan &amp; Tarif'!$B$6</f>
        <v>350</v>
      </c>
      <c r="M22" s="35" t="n">
        <f aca="false">I22+J22+K22+L22</f>
        <v>23919.08</v>
      </c>
      <c r="N22" s="36" t="s">
        <v>153</v>
      </c>
    </row>
    <row r="23" customFormat="false" ht="106.5" hidden="false" customHeight="true" outlineLevel="0" collapsed="false">
      <c r="A23" s="29"/>
      <c r="B23" s="30" t="s">
        <v>154</v>
      </c>
      <c r="C23" s="31" t="s">
        <v>127</v>
      </c>
      <c r="D23" s="31" t="s">
        <v>108</v>
      </c>
      <c r="E23" s="32" t="n">
        <v>9612.5</v>
      </c>
      <c r="F23" s="32"/>
      <c r="G23" s="32"/>
      <c r="H23" s="33" t="n">
        <v>2</v>
      </c>
      <c r="I23" s="34" t="n">
        <f aca="false">E23*H23+N(F23)+N(G23)</f>
        <v>19225</v>
      </c>
      <c r="J23" s="32" t="n">
        <f aca="false">ROUND(IFERROR(ROUND(IF(OR(ISNUMBER(SEARCH("week",C23)),ISNUMBER(SEARCH("minggu",C23))),IFERROR(_xlfn.NUMBERVALUE(SUBSTITUTE(LEFT(TRIM(C23),FIND(" ",TRIM(C23)&amp;" ")-1),",","."),"."),LEFT(SUBSTITUTE(LEFT(TRIM(C23),FIND(" ",TRIM(C23)&amp;" ")-1),",","."),FIND("/",SUBSTITUTE(LEFT(TRIM(C23),FIND(" ",TRIM(C23)&amp;" ")-1),",","."))-1)/MID(SUBSTITUTE(LEFT(TRIM(C23),FIND(" ",TRIM(C23)&amp;" ")-1),",","."),FIND("/",SUBSTITUTE(LEFT(TRIM(C23),FIND(" ",TRIM(C23)&amp;" ")-1),",","."))+1,9))*12/52,IF(ISNUMBER(SEARCH("month",C23)),IFERROR(_xlfn.NUMBERVALUE(SUBSTITUTE(LEFT(TRIM(C23),FIND(" ",TRIM(C23)&amp;" ")-1),",","."),"."),LEFT(SUBSTITUTE(LEFT(TRIM(C23),FIND(" ",TRIM(C23)&amp;" ")-1),",","."),FIND("/",SUBSTITUTE(LEFT(TRIM(C23),FIND(" ",TRIM(C23)&amp;" ")-1),",","."))-1)/MID(SUBSTITUTE(LEFT(TRIM(C23),FIND(" ",TRIM(C23)&amp;" ")-1),",","."),FIND("/",SUBSTITUTE(LEFT(TRIM(C23),FIND(" ",TRIM(C23)&amp;" ")-1),",","."))+1,9)),IF(ISNUMBER(SEARCH("yea",C23)),IFERROR(_xlfn.NUMBERVALUE(SUBSTITUTE(LEFT(TRIM(C23),FIND(" ",TRIM(C23)&amp;" ")-1),",","."),"."),LEFT(SUBSTITUTE(LEFT(TRIM(C23),FIND(" ",TRIM(C23)&amp;" ")-1),",","."),FIND("/",SUBSTITUTE(LEFT(TRIM(C23),FIND(" ",TRIM(C23)&amp;" ")-1),",","."))-1)/MID(SUBSTITUTE(LEFT(TRIM(C23),FIND(" ",TRIM(C23)&amp;" ")-1),",","."),FIND("/",SUBSTITUTE(LEFT(TRIM(C23),FIND(" ",TRIM(C23)&amp;" ")-1),",","."))+1,9))*12,NA()))),0),36)*'Aturan &amp; Tarif'!$B$4,2)</f>
        <v>2044.08</v>
      </c>
      <c r="K23" s="32" t="n">
        <f aca="false">'Aturan &amp; Tarif'!$B$5</f>
        <v>2050</v>
      </c>
      <c r="L23" s="32" t="n">
        <f aca="false">'Aturan &amp; Tarif'!$B$6</f>
        <v>350</v>
      </c>
      <c r="M23" s="35" t="n">
        <f aca="false">I23+J23+K23+L23</f>
        <v>23669.08</v>
      </c>
      <c r="N23" s="36" t="s">
        <v>155</v>
      </c>
    </row>
    <row r="24" customFormat="false" ht="106.5" hidden="false" customHeight="true" outlineLevel="0" collapsed="false">
      <c r="A24" s="29"/>
      <c r="B24" s="30" t="s">
        <v>156</v>
      </c>
      <c r="C24" s="31" t="s">
        <v>136</v>
      </c>
      <c r="D24" s="31" t="s">
        <v>108</v>
      </c>
      <c r="E24" s="32" t="n">
        <v>10237.5</v>
      </c>
      <c r="F24" s="32"/>
      <c r="G24" s="32"/>
      <c r="H24" s="33" t="n">
        <v>2</v>
      </c>
      <c r="I24" s="34" t="n">
        <f aca="false">E24*H24+N(F24)+N(G24)</f>
        <v>20475</v>
      </c>
      <c r="J24" s="32" t="n">
        <f aca="false">ROUND(IFERROR(ROUND(IF(OR(ISNUMBER(SEARCH("week",C24)),ISNUMBER(SEARCH("minggu",C24))),IFERROR(_xlfn.NUMBERVALUE(SUBSTITUTE(LEFT(TRIM(C24),FIND(" ",TRIM(C24)&amp;" ")-1),",","."),"."),LEFT(SUBSTITUTE(LEFT(TRIM(C24),FIND(" ",TRIM(C24)&amp;" ")-1),",","."),FIND("/",SUBSTITUTE(LEFT(TRIM(C24),FIND(" ",TRIM(C24)&amp;" ")-1),",","."))-1)/MID(SUBSTITUTE(LEFT(TRIM(C24),FIND(" ",TRIM(C24)&amp;" ")-1),",","."),FIND("/",SUBSTITUTE(LEFT(TRIM(C24),FIND(" ",TRIM(C24)&amp;" ")-1),",","."))+1,9))*12/52,IF(ISNUMBER(SEARCH("month",C24)),IFERROR(_xlfn.NUMBERVALUE(SUBSTITUTE(LEFT(TRIM(C24),FIND(" ",TRIM(C24)&amp;" ")-1),",","."),"."),LEFT(SUBSTITUTE(LEFT(TRIM(C24),FIND(" ",TRIM(C24)&amp;" ")-1),",","."),FIND("/",SUBSTITUTE(LEFT(TRIM(C24),FIND(" ",TRIM(C24)&amp;" ")-1),",","."))-1)/MID(SUBSTITUTE(LEFT(TRIM(C24),FIND(" ",TRIM(C24)&amp;" ")-1),",","."),FIND("/",SUBSTITUTE(LEFT(TRIM(C24),FIND(" ",TRIM(C24)&amp;" ")-1),",","."))+1,9)),IF(ISNUMBER(SEARCH("yea",C24)),IFERROR(_xlfn.NUMBERVALUE(SUBSTITUTE(LEFT(TRIM(C24),FIND(" ",TRIM(C24)&amp;" ")-1),",","."),"."),LEFT(SUBSTITUTE(LEFT(TRIM(C24),FIND(" ",TRIM(C24)&amp;" ")-1),",","."),FIND("/",SUBSTITUTE(LEFT(TRIM(C24),FIND(" ",TRIM(C24)&amp;" ")-1),",","."))-1)/MID(SUBSTITUTE(LEFT(TRIM(C24),FIND(" ",TRIM(C24)&amp;" ")-1),",","."),FIND("/",SUBSTITUTE(LEFT(TRIM(C24),FIND(" ",TRIM(C24)&amp;" ")-1),",","."))+1,9))*12,NA()))),0),42)*'Aturan &amp; Tarif'!$B$4,2)</f>
        <v>2384.76</v>
      </c>
      <c r="K24" s="32" t="n">
        <f aca="false">'Aturan &amp; Tarif'!$B$5</f>
        <v>2050</v>
      </c>
      <c r="L24" s="32" t="n">
        <f aca="false">'Aturan &amp; Tarif'!$B$6</f>
        <v>350</v>
      </c>
      <c r="M24" s="35" t="n">
        <f aca="false">I24+J24+K24+L24</f>
        <v>25259.76</v>
      </c>
      <c r="N24" s="36" t="s">
        <v>157</v>
      </c>
    </row>
    <row r="25" customFormat="false" ht="106.5" hidden="false" customHeight="true" outlineLevel="0" collapsed="false">
      <c r="A25" s="29"/>
      <c r="B25" s="30" t="s">
        <v>158</v>
      </c>
      <c r="C25" s="31" t="s">
        <v>159</v>
      </c>
      <c r="D25" s="31" t="s">
        <v>108</v>
      </c>
      <c r="E25" s="32" t="n">
        <v>10812.5</v>
      </c>
      <c r="F25" s="32"/>
      <c r="G25" s="32"/>
      <c r="H25" s="33" t="n">
        <v>2</v>
      </c>
      <c r="I25" s="34" t="n">
        <f aca="false">E25*H25+N(F25)+N(G25)</f>
        <v>21625</v>
      </c>
      <c r="J25" s="32" t="n">
        <f aca="false">ROUND(IFERROR(ROUND(IF(OR(ISNUMBER(SEARCH("week",C25)),ISNUMBER(SEARCH("minggu",C25))),IFERROR(_xlfn.NUMBERVALUE(SUBSTITUTE(LEFT(TRIM(C25),FIND(" ",TRIM(C25)&amp;" ")-1),",","."),"."),LEFT(SUBSTITUTE(LEFT(TRIM(C25),FIND(" ",TRIM(C25)&amp;" ")-1),",","."),FIND("/",SUBSTITUTE(LEFT(TRIM(C25),FIND(" ",TRIM(C25)&amp;" ")-1),",","."))-1)/MID(SUBSTITUTE(LEFT(TRIM(C25),FIND(" ",TRIM(C25)&amp;" ")-1),",","."),FIND("/",SUBSTITUTE(LEFT(TRIM(C25),FIND(" ",TRIM(C25)&amp;" ")-1),",","."))+1,9))*12/52,IF(ISNUMBER(SEARCH("month",C25)),IFERROR(_xlfn.NUMBERVALUE(SUBSTITUTE(LEFT(TRIM(C25),FIND(" ",TRIM(C25)&amp;" ")-1),",","."),"."),LEFT(SUBSTITUTE(LEFT(TRIM(C25),FIND(" ",TRIM(C25)&amp;" ")-1),",","."),FIND("/",SUBSTITUTE(LEFT(TRIM(C25),FIND(" ",TRIM(C25)&amp;" ")-1),",","."))-1)/MID(SUBSTITUTE(LEFT(TRIM(C25),FIND(" ",TRIM(C25)&amp;" ")-1),",","."),FIND("/",SUBSTITUTE(LEFT(TRIM(C25),FIND(" ",TRIM(C25)&amp;" ")-1),",","."))+1,9)),IF(ISNUMBER(SEARCH("yea",C25)),IFERROR(_xlfn.NUMBERVALUE(SUBSTITUTE(LEFT(TRIM(C25),FIND(" ",TRIM(C25)&amp;" ")-1),",","."),"."),LEFT(SUBSTITUTE(LEFT(TRIM(C25),FIND(" ",TRIM(C25)&amp;" ")-1),",","."),FIND("/",SUBSTITUTE(LEFT(TRIM(C25),FIND(" ",TRIM(C25)&amp;" ")-1),",","."))-1)/MID(SUBSTITUTE(LEFT(TRIM(C25),FIND(" ",TRIM(C25)&amp;" ")-1),",","."),FIND("/",SUBSTITUTE(LEFT(TRIM(C25),FIND(" ",TRIM(C25)&amp;" ")-1),",","."))+1,9))*12,NA()))),0),6)*'Aturan &amp; Tarif'!$B$4,2)</f>
        <v>340.68</v>
      </c>
      <c r="K25" s="32" t="n">
        <f aca="false">'Aturan &amp; Tarif'!$B$5</f>
        <v>2050</v>
      </c>
      <c r="L25" s="32" t="n">
        <f aca="false">'Aturan &amp; Tarif'!$B$6</f>
        <v>350</v>
      </c>
      <c r="M25" s="35" t="n">
        <f aca="false">I25+J25+K25+L25</f>
        <v>24365.68</v>
      </c>
      <c r="N25" s="36" t="s">
        <v>160</v>
      </c>
    </row>
    <row r="26" customFormat="false" ht="94.5" hidden="false" customHeight="true" outlineLevel="0" collapsed="false">
      <c r="A26" s="29"/>
      <c r="B26" s="30" t="s">
        <v>161</v>
      </c>
      <c r="C26" s="31" t="s">
        <v>159</v>
      </c>
      <c r="D26" s="31" t="s">
        <v>108</v>
      </c>
      <c r="E26" s="32" t="n">
        <v>6612.5</v>
      </c>
      <c r="F26" s="32"/>
      <c r="G26" s="32"/>
      <c r="H26" s="33" t="n">
        <v>2</v>
      </c>
      <c r="I26" s="34" t="n">
        <f aca="false">E26*H26+N(F26)+N(G26)</f>
        <v>13225</v>
      </c>
      <c r="J26" s="32" t="n">
        <f aca="false">ROUND(IFERROR(ROUND(IF(OR(ISNUMBER(SEARCH("week",C26)),ISNUMBER(SEARCH("minggu",C26))),IFERROR(_xlfn.NUMBERVALUE(SUBSTITUTE(LEFT(TRIM(C26),FIND(" ",TRIM(C26)&amp;" ")-1),",","."),"."),LEFT(SUBSTITUTE(LEFT(TRIM(C26),FIND(" ",TRIM(C26)&amp;" ")-1),",","."),FIND("/",SUBSTITUTE(LEFT(TRIM(C26),FIND(" ",TRIM(C26)&amp;" ")-1),",","."))-1)/MID(SUBSTITUTE(LEFT(TRIM(C26),FIND(" ",TRIM(C26)&amp;" ")-1),",","."),FIND("/",SUBSTITUTE(LEFT(TRIM(C26),FIND(" ",TRIM(C26)&amp;" ")-1),",","."))+1,9))*12/52,IF(ISNUMBER(SEARCH("month",C26)),IFERROR(_xlfn.NUMBERVALUE(SUBSTITUTE(LEFT(TRIM(C26),FIND(" ",TRIM(C26)&amp;" ")-1),",","."),"."),LEFT(SUBSTITUTE(LEFT(TRIM(C26),FIND(" ",TRIM(C26)&amp;" ")-1),",","."),FIND("/",SUBSTITUTE(LEFT(TRIM(C26),FIND(" ",TRIM(C26)&amp;" ")-1),",","."))-1)/MID(SUBSTITUTE(LEFT(TRIM(C26),FIND(" ",TRIM(C26)&amp;" ")-1),",","."),FIND("/",SUBSTITUTE(LEFT(TRIM(C26),FIND(" ",TRIM(C26)&amp;" ")-1),",","."))+1,9)),IF(ISNUMBER(SEARCH("yea",C26)),IFERROR(_xlfn.NUMBERVALUE(SUBSTITUTE(LEFT(TRIM(C26),FIND(" ",TRIM(C26)&amp;" ")-1),",","."),"."),LEFT(SUBSTITUTE(LEFT(TRIM(C26),FIND(" ",TRIM(C26)&amp;" ")-1),",","."),FIND("/",SUBSTITUTE(LEFT(TRIM(C26),FIND(" ",TRIM(C26)&amp;" ")-1),",","."))-1)/MID(SUBSTITUTE(LEFT(TRIM(C26),FIND(" ",TRIM(C26)&amp;" ")-1),",","."),FIND("/",SUBSTITUTE(LEFT(TRIM(C26),FIND(" ",TRIM(C26)&amp;" ")-1),",","."))+1,9))*12,NA()))),0),6)*'Aturan &amp; Tarif'!$B$4,2)</f>
        <v>340.68</v>
      </c>
      <c r="K26" s="32" t="n">
        <f aca="false">'Aturan &amp; Tarif'!$B$5</f>
        <v>2050</v>
      </c>
      <c r="L26" s="32" t="n">
        <f aca="false">'Aturan &amp; Tarif'!$B$6</f>
        <v>350</v>
      </c>
      <c r="M26" s="35" t="n">
        <f aca="false">I26+J26+K26+L26</f>
        <v>15965.68</v>
      </c>
      <c r="N26" s="36" t="s">
        <v>162</v>
      </c>
    </row>
    <row r="27" customFormat="false" ht="106.5" hidden="false" customHeight="true" outlineLevel="0" collapsed="false">
      <c r="A27" s="29"/>
      <c r="B27" s="30" t="s">
        <v>163</v>
      </c>
      <c r="C27" s="31" t="s">
        <v>130</v>
      </c>
      <c r="D27" s="31" t="s">
        <v>108</v>
      </c>
      <c r="E27" s="32" t="n">
        <v>11062.5</v>
      </c>
      <c r="F27" s="32"/>
      <c r="G27" s="32"/>
      <c r="H27" s="33" t="n">
        <v>2</v>
      </c>
      <c r="I27" s="34" t="n">
        <f aca="false">E27*H27+N(F27)+N(G27)</f>
        <v>22125</v>
      </c>
      <c r="J27" s="32" t="n">
        <f aca="false">ROUND(IFERROR(ROUND(IF(OR(ISNUMBER(SEARCH("week",C27)),ISNUMBER(SEARCH("minggu",C27))),IFERROR(_xlfn.NUMBERVALUE(SUBSTITUTE(LEFT(TRIM(C27),FIND(" ",TRIM(C27)&amp;" ")-1),",","."),"."),LEFT(SUBSTITUTE(LEFT(TRIM(C27),FIND(" ",TRIM(C27)&amp;" ")-1),",","."),FIND("/",SUBSTITUTE(LEFT(TRIM(C27),FIND(" ",TRIM(C27)&amp;" ")-1),",","."))-1)/MID(SUBSTITUTE(LEFT(TRIM(C27),FIND(" ",TRIM(C27)&amp;" ")-1),",","."),FIND("/",SUBSTITUTE(LEFT(TRIM(C27),FIND(" ",TRIM(C27)&amp;" ")-1),",","."))+1,9))*12/52,IF(ISNUMBER(SEARCH("month",C27)),IFERROR(_xlfn.NUMBERVALUE(SUBSTITUTE(LEFT(TRIM(C27),FIND(" ",TRIM(C27)&amp;" ")-1),",","."),"."),LEFT(SUBSTITUTE(LEFT(TRIM(C27),FIND(" ",TRIM(C27)&amp;" ")-1),",","."),FIND("/",SUBSTITUTE(LEFT(TRIM(C27),FIND(" ",TRIM(C27)&amp;" ")-1),",","."))-1)/MID(SUBSTITUTE(LEFT(TRIM(C27),FIND(" ",TRIM(C27)&amp;" ")-1),",","."),FIND("/",SUBSTITUTE(LEFT(TRIM(C27),FIND(" ",TRIM(C27)&amp;" ")-1),",","."))+1,9)),IF(ISNUMBER(SEARCH("yea",C27)),IFERROR(_xlfn.NUMBERVALUE(SUBSTITUTE(LEFT(TRIM(C27),FIND(" ",TRIM(C27)&amp;" ")-1),",","."),"."),LEFT(SUBSTITUTE(LEFT(TRIM(C27),FIND(" ",TRIM(C27)&amp;" ")-1),",","."),FIND("/",SUBSTITUTE(LEFT(TRIM(C27),FIND(" ",TRIM(C27)&amp;" ")-1),",","."))-1)/MID(SUBSTITUTE(LEFT(TRIM(C27),FIND(" ",TRIM(C27)&amp;" ")-1),",","."),FIND("/",SUBSTITUTE(LEFT(TRIM(C27),FIND(" ",TRIM(C27)&amp;" ")-1),",","."))+1,9))*12,NA()))),0),12)*'Aturan &amp; Tarif'!$B$4,2)</f>
        <v>681.36</v>
      </c>
      <c r="K27" s="32" t="n">
        <f aca="false">'Aturan &amp; Tarif'!$B$5</f>
        <v>2050</v>
      </c>
      <c r="L27" s="32" t="n">
        <f aca="false">'Aturan &amp; Tarif'!$B$6</f>
        <v>350</v>
      </c>
      <c r="M27" s="35" t="n">
        <f aca="false">I27+J27+K27+L27</f>
        <v>25206.36</v>
      </c>
      <c r="N27" s="36" t="s">
        <v>164</v>
      </c>
    </row>
    <row r="28" customFormat="false" ht="106.5" hidden="false" customHeight="true" outlineLevel="0" collapsed="false">
      <c r="A28" s="29"/>
      <c r="B28" s="30" t="s">
        <v>165</v>
      </c>
      <c r="C28" s="31" t="s">
        <v>107</v>
      </c>
      <c r="D28" s="31" t="s">
        <v>108</v>
      </c>
      <c r="E28" s="32" t="n">
        <v>8803.25</v>
      </c>
      <c r="F28" s="32"/>
      <c r="G28" s="32"/>
      <c r="H28" s="33" t="n">
        <v>2</v>
      </c>
      <c r="I28" s="34" t="n">
        <f aca="false">E28*H28+N(F28)+N(G28)</f>
        <v>17606.5</v>
      </c>
      <c r="J28" s="32" t="n">
        <f aca="false">ROUND(IFERROR(ROUND(IF(OR(ISNUMBER(SEARCH("week",C28)),ISNUMBER(SEARCH("minggu",C28))),IFERROR(_xlfn.NUMBERVALUE(SUBSTITUTE(LEFT(TRIM(C28),FIND(" ",TRIM(C28)&amp;" ")-1),",","."),"."),LEFT(SUBSTITUTE(LEFT(TRIM(C28),FIND(" ",TRIM(C28)&amp;" ")-1),",","."),FIND("/",SUBSTITUTE(LEFT(TRIM(C28),FIND(" ",TRIM(C28)&amp;" ")-1),",","."))-1)/MID(SUBSTITUTE(LEFT(TRIM(C28),FIND(" ",TRIM(C28)&amp;" ")-1),",","."),FIND("/",SUBSTITUTE(LEFT(TRIM(C28),FIND(" ",TRIM(C28)&amp;" ")-1),",","."))+1,9))*12/52,IF(ISNUMBER(SEARCH("month",C28)),IFERROR(_xlfn.NUMBERVALUE(SUBSTITUTE(LEFT(TRIM(C28),FIND(" ",TRIM(C28)&amp;" ")-1),",","."),"."),LEFT(SUBSTITUTE(LEFT(TRIM(C28),FIND(" ",TRIM(C28)&amp;" ")-1),",","."),FIND("/",SUBSTITUTE(LEFT(TRIM(C28),FIND(" ",TRIM(C28)&amp;" ")-1),",","."))-1)/MID(SUBSTITUTE(LEFT(TRIM(C28),FIND(" ",TRIM(C28)&amp;" ")-1),",","."),FIND("/",SUBSTITUTE(LEFT(TRIM(C28),FIND(" ",TRIM(C28)&amp;" ")-1),",","."))+1,9)),IF(ISNUMBER(SEARCH("yea",C28)),IFERROR(_xlfn.NUMBERVALUE(SUBSTITUTE(LEFT(TRIM(C28),FIND(" ",TRIM(C28)&amp;" ")-1),",","."),"."),LEFT(SUBSTITUTE(LEFT(TRIM(C28),FIND(" ",TRIM(C28)&amp;" ")-1),",","."),FIND("/",SUBSTITUTE(LEFT(TRIM(C28),FIND(" ",TRIM(C28)&amp;" ")-1),",","."))-1)/MID(SUBSTITUTE(LEFT(TRIM(C28),FIND(" ",TRIM(C28)&amp;" ")-1),",","."),FIND("/",SUBSTITUTE(LEFT(TRIM(C28),FIND(" ",TRIM(C28)&amp;" ")-1),",","."))+1,9))*12,NA()))),0),24)*'Aturan &amp; Tarif'!$B$4,2)</f>
        <v>1362.72</v>
      </c>
      <c r="K28" s="32" t="n">
        <f aca="false">'Aturan &amp; Tarif'!$B$5</f>
        <v>2050</v>
      </c>
      <c r="L28" s="32" t="n">
        <f aca="false">'Aturan &amp; Tarif'!$B$6</f>
        <v>350</v>
      </c>
      <c r="M28" s="35" t="n">
        <f aca="false">I28+J28+K28+L28</f>
        <v>21369.22</v>
      </c>
      <c r="N28" s="36" t="s">
        <v>166</v>
      </c>
    </row>
    <row r="29" customFormat="false" ht="106.5" hidden="false" customHeight="true" outlineLevel="0" collapsed="false">
      <c r="A29" s="29"/>
      <c r="B29" s="30" t="s">
        <v>167</v>
      </c>
      <c r="C29" s="31" t="s">
        <v>107</v>
      </c>
      <c r="D29" s="31" t="s">
        <v>108</v>
      </c>
      <c r="E29" s="32" t="n">
        <v>9862.5</v>
      </c>
      <c r="F29" s="32"/>
      <c r="G29" s="32"/>
      <c r="H29" s="33" t="n">
        <v>2</v>
      </c>
      <c r="I29" s="34" t="n">
        <f aca="false">E29*H29+N(F29)+N(G29)</f>
        <v>19725</v>
      </c>
      <c r="J29" s="32" t="n">
        <f aca="false">ROUND(IFERROR(ROUND(IF(OR(ISNUMBER(SEARCH("week",C29)),ISNUMBER(SEARCH("minggu",C29))),IFERROR(_xlfn.NUMBERVALUE(SUBSTITUTE(LEFT(TRIM(C29),FIND(" ",TRIM(C29)&amp;" ")-1),",","."),"."),LEFT(SUBSTITUTE(LEFT(TRIM(C29),FIND(" ",TRIM(C29)&amp;" ")-1),",","."),FIND("/",SUBSTITUTE(LEFT(TRIM(C29),FIND(" ",TRIM(C29)&amp;" ")-1),",","."))-1)/MID(SUBSTITUTE(LEFT(TRIM(C29),FIND(" ",TRIM(C29)&amp;" ")-1),",","."),FIND("/",SUBSTITUTE(LEFT(TRIM(C29),FIND(" ",TRIM(C29)&amp;" ")-1),",","."))+1,9))*12/52,IF(ISNUMBER(SEARCH("month",C29)),IFERROR(_xlfn.NUMBERVALUE(SUBSTITUTE(LEFT(TRIM(C29),FIND(" ",TRIM(C29)&amp;" ")-1),",","."),"."),LEFT(SUBSTITUTE(LEFT(TRIM(C29),FIND(" ",TRIM(C29)&amp;" ")-1),",","."),FIND("/",SUBSTITUTE(LEFT(TRIM(C29),FIND(" ",TRIM(C29)&amp;" ")-1),",","."))-1)/MID(SUBSTITUTE(LEFT(TRIM(C29),FIND(" ",TRIM(C29)&amp;" ")-1),",","."),FIND("/",SUBSTITUTE(LEFT(TRIM(C29),FIND(" ",TRIM(C29)&amp;" ")-1),",","."))+1,9)),IF(ISNUMBER(SEARCH("yea",C29)),IFERROR(_xlfn.NUMBERVALUE(SUBSTITUTE(LEFT(TRIM(C29),FIND(" ",TRIM(C29)&amp;" ")-1),",","."),"."),LEFT(SUBSTITUTE(LEFT(TRIM(C29),FIND(" ",TRIM(C29)&amp;" ")-1),",","."),FIND("/",SUBSTITUTE(LEFT(TRIM(C29),FIND(" ",TRIM(C29)&amp;" ")-1),",","."))-1)/MID(SUBSTITUTE(LEFT(TRIM(C29),FIND(" ",TRIM(C29)&amp;" ")-1),",","."),FIND("/",SUBSTITUTE(LEFT(TRIM(C29),FIND(" ",TRIM(C29)&amp;" ")-1),",","."))+1,9))*12,NA()))),0),24)*'Aturan &amp; Tarif'!$B$4,2)</f>
        <v>1362.72</v>
      </c>
      <c r="K29" s="32" t="n">
        <f aca="false">'Aturan &amp; Tarif'!$B$5</f>
        <v>2050</v>
      </c>
      <c r="L29" s="32" t="n">
        <f aca="false">'Aturan &amp; Tarif'!$B$6</f>
        <v>350</v>
      </c>
      <c r="M29" s="35" t="n">
        <f aca="false">I29+J29+K29+L29</f>
        <v>23487.72</v>
      </c>
      <c r="N29" s="36" t="s">
        <v>168</v>
      </c>
    </row>
    <row r="30" customFormat="false" ht="106.5" hidden="false" customHeight="true" outlineLevel="0" collapsed="false">
      <c r="A30" s="29"/>
      <c r="B30" s="30" t="s">
        <v>169</v>
      </c>
      <c r="C30" s="31" t="s">
        <v>130</v>
      </c>
      <c r="D30" s="31" t="s">
        <v>108</v>
      </c>
      <c r="E30" s="32" t="n">
        <v>10062.5</v>
      </c>
      <c r="F30" s="32"/>
      <c r="G30" s="32"/>
      <c r="H30" s="33" t="n">
        <v>2</v>
      </c>
      <c r="I30" s="34" t="n">
        <f aca="false">E30*H30+N(F30)+N(G30)</f>
        <v>20125</v>
      </c>
      <c r="J30" s="32" t="n">
        <f aca="false">ROUND(IFERROR(ROUND(IF(OR(ISNUMBER(SEARCH("week",C30)),ISNUMBER(SEARCH("minggu",C30))),IFERROR(_xlfn.NUMBERVALUE(SUBSTITUTE(LEFT(TRIM(C30),FIND(" ",TRIM(C30)&amp;" ")-1),",","."),"."),LEFT(SUBSTITUTE(LEFT(TRIM(C30),FIND(" ",TRIM(C30)&amp;" ")-1),",","."),FIND("/",SUBSTITUTE(LEFT(TRIM(C30),FIND(" ",TRIM(C30)&amp;" ")-1),",","."))-1)/MID(SUBSTITUTE(LEFT(TRIM(C30),FIND(" ",TRIM(C30)&amp;" ")-1),",","."),FIND("/",SUBSTITUTE(LEFT(TRIM(C30),FIND(" ",TRIM(C30)&amp;" ")-1),",","."))+1,9))*12/52,IF(ISNUMBER(SEARCH("month",C30)),IFERROR(_xlfn.NUMBERVALUE(SUBSTITUTE(LEFT(TRIM(C30),FIND(" ",TRIM(C30)&amp;" ")-1),",","."),"."),LEFT(SUBSTITUTE(LEFT(TRIM(C30),FIND(" ",TRIM(C30)&amp;" ")-1),",","."),FIND("/",SUBSTITUTE(LEFT(TRIM(C30),FIND(" ",TRIM(C30)&amp;" ")-1),",","."))-1)/MID(SUBSTITUTE(LEFT(TRIM(C30),FIND(" ",TRIM(C30)&amp;" ")-1),",","."),FIND("/",SUBSTITUTE(LEFT(TRIM(C30),FIND(" ",TRIM(C30)&amp;" ")-1),",","."))+1,9)),IF(ISNUMBER(SEARCH("yea",C30)),IFERROR(_xlfn.NUMBERVALUE(SUBSTITUTE(LEFT(TRIM(C30),FIND(" ",TRIM(C30)&amp;" ")-1),",","."),"."),LEFT(SUBSTITUTE(LEFT(TRIM(C30),FIND(" ",TRIM(C30)&amp;" ")-1),",","."),FIND("/",SUBSTITUTE(LEFT(TRIM(C30),FIND(" ",TRIM(C30)&amp;" ")-1),",","."))-1)/MID(SUBSTITUTE(LEFT(TRIM(C30),FIND(" ",TRIM(C30)&amp;" ")-1),",","."),FIND("/",SUBSTITUTE(LEFT(TRIM(C30),FIND(" ",TRIM(C30)&amp;" ")-1),",","."))+1,9))*12,NA()))),0),12)*'Aturan &amp; Tarif'!$B$4,2)</f>
        <v>681.36</v>
      </c>
      <c r="K30" s="32" t="n">
        <f aca="false">'Aturan &amp; Tarif'!$B$5</f>
        <v>2050</v>
      </c>
      <c r="L30" s="32" t="n">
        <f aca="false">'Aturan &amp; Tarif'!$B$6</f>
        <v>350</v>
      </c>
      <c r="M30" s="35" t="n">
        <f aca="false">I30+J30+K30+L30</f>
        <v>23206.36</v>
      </c>
      <c r="N30" s="36" t="s">
        <v>170</v>
      </c>
    </row>
    <row r="31" customFormat="false" ht="106.5" hidden="false" customHeight="true" outlineLevel="0" collapsed="false">
      <c r="A31" s="29"/>
      <c r="B31" s="30" t="s">
        <v>171</v>
      </c>
      <c r="C31" s="31" t="s">
        <v>127</v>
      </c>
      <c r="D31" s="31" t="s">
        <v>108</v>
      </c>
      <c r="E31" s="32" t="n">
        <v>10487.5</v>
      </c>
      <c r="F31" s="32"/>
      <c r="G31" s="32"/>
      <c r="H31" s="33" t="n">
        <v>2</v>
      </c>
      <c r="I31" s="34" t="n">
        <f aca="false">E31*H31+N(F31)+N(G31)</f>
        <v>20975</v>
      </c>
      <c r="J31" s="32" t="n">
        <f aca="false">ROUND(IFERROR(ROUND(IF(OR(ISNUMBER(SEARCH("week",C31)),ISNUMBER(SEARCH("minggu",C31))),IFERROR(_xlfn.NUMBERVALUE(SUBSTITUTE(LEFT(TRIM(C31),FIND(" ",TRIM(C31)&amp;" ")-1),",","."),"."),LEFT(SUBSTITUTE(LEFT(TRIM(C31),FIND(" ",TRIM(C31)&amp;" ")-1),",","."),FIND("/",SUBSTITUTE(LEFT(TRIM(C31),FIND(" ",TRIM(C31)&amp;" ")-1),",","."))-1)/MID(SUBSTITUTE(LEFT(TRIM(C31),FIND(" ",TRIM(C31)&amp;" ")-1),",","."),FIND("/",SUBSTITUTE(LEFT(TRIM(C31),FIND(" ",TRIM(C31)&amp;" ")-1),",","."))+1,9))*12/52,IF(ISNUMBER(SEARCH("month",C31)),IFERROR(_xlfn.NUMBERVALUE(SUBSTITUTE(LEFT(TRIM(C31),FIND(" ",TRIM(C31)&amp;" ")-1),",","."),"."),LEFT(SUBSTITUTE(LEFT(TRIM(C31),FIND(" ",TRIM(C31)&amp;" ")-1),",","."),FIND("/",SUBSTITUTE(LEFT(TRIM(C31),FIND(" ",TRIM(C31)&amp;" ")-1),",","."))-1)/MID(SUBSTITUTE(LEFT(TRIM(C31),FIND(" ",TRIM(C31)&amp;" ")-1),",","."),FIND("/",SUBSTITUTE(LEFT(TRIM(C31),FIND(" ",TRIM(C31)&amp;" ")-1),",","."))+1,9)),IF(ISNUMBER(SEARCH("yea",C31)),IFERROR(_xlfn.NUMBERVALUE(SUBSTITUTE(LEFT(TRIM(C31),FIND(" ",TRIM(C31)&amp;" ")-1),",","."),"."),LEFT(SUBSTITUTE(LEFT(TRIM(C31),FIND(" ",TRIM(C31)&amp;" ")-1),",","."),FIND("/",SUBSTITUTE(LEFT(TRIM(C31),FIND(" ",TRIM(C31)&amp;" ")-1),",","."))-1)/MID(SUBSTITUTE(LEFT(TRIM(C31),FIND(" ",TRIM(C31)&amp;" ")-1),",","."),FIND("/",SUBSTITUTE(LEFT(TRIM(C31),FIND(" ",TRIM(C31)&amp;" ")-1),",","."))+1,9))*12,NA()))),0),36)*'Aturan &amp; Tarif'!$B$4,2)</f>
        <v>2044.08</v>
      </c>
      <c r="K31" s="32" t="n">
        <f aca="false">'Aturan &amp; Tarif'!$B$5</f>
        <v>2050</v>
      </c>
      <c r="L31" s="32" t="n">
        <f aca="false">'Aturan &amp; Tarif'!$B$6</f>
        <v>350</v>
      </c>
      <c r="M31" s="35" t="n">
        <f aca="false">I31+J31+K31+L31</f>
        <v>25419.08</v>
      </c>
      <c r="N31" s="36" t="s">
        <v>172</v>
      </c>
    </row>
    <row r="32" customFormat="false" ht="106.5" hidden="false" customHeight="true" outlineLevel="0" collapsed="false">
      <c r="A32" s="29"/>
      <c r="B32" s="30" t="s">
        <v>173</v>
      </c>
      <c r="C32" s="31" t="s">
        <v>127</v>
      </c>
      <c r="D32" s="31" t="s">
        <v>108</v>
      </c>
      <c r="E32" s="32" t="n">
        <v>9862.5</v>
      </c>
      <c r="F32" s="32"/>
      <c r="G32" s="32"/>
      <c r="H32" s="33" t="n">
        <v>2</v>
      </c>
      <c r="I32" s="34" t="n">
        <f aca="false">E32*H32+N(F32)+N(G32)</f>
        <v>19725</v>
      </c>
      <c r="J32" s="32" t="n">
        <f aca="false">ROUND(IFERROR(ROUND(IF(OR(ISNUMBER(SEARCH("week",C32)),ISNUMBER(SEARCH("minggu",C32))),IFERROR(_xlfn.NUMBERVALUE(SUBSTITUTE(LEFT(TRIM(C32),FIND(" ",TRIM(C32)&amp;" ")-1),",","."),"."),LEFT(SUBSTITUTE(LEFT(TRIM(C32),FIND(" ",TRIM(C32)&amp;" ")-1),",","."),FIND("/",SUBSTITUTE(LEFT(TRIM(C32),FIND(" ",TRIM(C32)&amp;" ")-1),",","."))-1)/MID(SUBSTITUTE(LEFT(TRIM(C32),FIND(" ",TRIM(C32)&amp;" ")-1),",","."),FIND("/",SUBSTITUTE(LEFT(TRIM(C32),FIND(" ",TRIM(C32)&amp;" ")-1),",","."))+1,9))*12/52,IF(ISNUMBER(SEARCH("month",C32)),IFERROR(_xlfn.NUMBERVALUE(SUBSTITUTE(LEFT(TRIM(C32),FIND(" ",TRIM(C32)&amp;" ")-1),",","."),"."),LEFT(SUBSTITUTE(LEFT(TRIM(C32),FIND(" ",TRIM(C32)&amp;" ")-1),",","."),FIND("/",SUBSTITUTE(LEFT(TRIM(C32),FIND(" ",TRIM(C32)&amp;" ")-1),",","."))-1)/MID(SUBSTITUTE(LEFT(TRIM(C32),FIND(" ",TRIM(C32)&amp;" ")-1),",","."),FIND("/",SUBSTITUTE(LEFT(TRIM(C32),FIND(" ",TRIM(C32)&amp;" ")-1),",","."))+1,9)),IF(ISNUMBER(SEARCH("yea",C32)),IFERROR(_xlfn.NUMBERVALUE(SUBSTITUTE(LEFT(TRIM(C32),FIND(" ",TRIM(C32)&amp;" ")-1),",","."),"."),LEFT(SUBSTITUTE(LEFT(TRIM(C32),FIND(" ",TRIM(C32)&amp;" ")-1),",","."),FIND("/",SUBSTITUTE(LEFT(TRIM(C32),FIND(" ",TRIM(C32)&amp;" ")-1),",","."))-1)/MID(SUBSTITUTE(LEFT(TRIM(C32),FIND(" ",TRIM(C32)&amp;" ")-1),",","."),FIND("/",SUBSTITUTE(LEFT(TRIM(C32),FIND(" ",TRIM(C32)&amp;" ")-1),",","."))+1,9))*12,NA()))),0),36)*'Aturan &amp; Tarif'!$B$4,2)</f>
        <v>2044.08</v>
      </c>
      <c r="K32" s="32" t="n">
        <f aca="false">'Aturan &amp; Tarif'!$B$5</f>
        <v>2050</v>
      </c>
      <c r="L32" s="32" t="n">
        <f aca="false">'Aturan &amp; Tarif'!$B$6</f>
        <v>350</v>
      </c>
      <c r="M32" s="35" t="n">
        <f aca="false">I32+J32+K32+L32</f>
        <v>24169.08</v>
      </c>
      <c r="N32" s="36" t="s">
        <v>174</v>
      </c>
    </row>
    <row r="33" customFormat="false" ht="106.5" hidden="false" customHeight="true" outlineLevel="0" collapsed="false">
      <c r="A33" s="29"/>
      <c r="B33" s="30" t="s">
        <v>175</v>
      </c>
      <c r="C33" s="31" t="s">
        <v>127</v>
      </c>
      <c r="D33" s="31" t="s">
        <v>108</v>
      </c>
      <c r="E33" s="32" t="n">
        <v>9562.5</v>
      </c>
      <c r="F33" s="32"/>
      <c r="G33" s="32"/>
      <c r="H33" s="33" t="n">
        <v>2</v>
      </c>
      <c r="I33" s="34" t="n">
        <f aca="false">E33*H33+N(F33)+N(G33)</f>
        <v>19125</v>
      </c>
      <c r="J33" s="32" t="n">
        <f aca="false">ROUND(IFERROR(ROUND(IF(OR(ISNUMBER(SEARCH("week",C33)),ISNUMBER(SEARCH("minggu",C33))),IFERROR(_xlfn.NUMBERVALUE(SUBSTITUTE(LEFT(TRIM(C33),FIND(" ",TRIM(C33)&amp;" ")-1),",","."),"."),LEFT(SUBSTITUTE(LEFT(TRIM(C33),FIND(" ",TRIM(C33)&amp;" ")-1),",","."),FIND("/",SUBSTITUTE(LEFT(TRIM(C33),FIND(" ",TRIM(C33)&amp;" ")-1),",","."))-1)/MID(SUBSTITUTE(LEFT(TRIM(C33),FIND(" ",TRIM(C33)&amp;" ")-1),",","."),FIND("/",SUBSTITUTE(LEFT(TRIM(C33),FIND(" ",TRIM(C33)&amp;" ")-1),",","."))+1,9))*12/52,IF(ISNUMBER(SEARCH("month",C33)),IFERROR(_xlfn.NUMBERVALUE(SUBSTITUTE(LEFT(TRIM(C33),FIND(" ",TRIM(C33)&amp;" ")-1),",","."),"."),LEFT(SUBSTITUTE(LEFT(TRIM(C33),FIND(" ",TRIM(C33)&amp;" ")-1),",","."),FIND("/",SUBSTITUTE(LEFT(TRIM(C33),FIND(" ",TRIM(C33)&amp;" ")-1),",","."))-1)/MID(SUBSTITUTE(LEFT(TRIM(C33),FIND(" ",TRIM(C33)&amp;" ")-1),",","."),FIND("/",SUBSTITUTE(LEFT(TRIM(C33),FIND(" ",TRIM(C33)&amp;" ")-1),",","."))+1,9)),IF(ISNUMBER(SEARCH("yea",C33)),IFERROR(_xlfn.NUMBERVALUE(SUBSTITUTE(LEFT(TRIM(C33),FIND(" ",TRIM(C33)&amp;" ")-1),",","."),"."),LEFT(SUBSTITUTE(LEFT(TRIM(C33),FIND(" ",TRIM(C33)&amp;" ")-1),",","."),FIND("/",SUBSTITUTE(LEFT(TRIM(C33),FIND(" ",TRIM(C33)&amp;" ")-1),",","."))-1)/MID(SUBSTITUTE(LEFT(TRIM(C33),FIND(" ",TRIM(C33)&amp;" ")-1),",","."),FIND("/",SUBSTITUTE(LEFT(TRIM(C33),FIND(" ",TRIM(C33)&amp;" ")-1),",","."))+1,9))*12,NA()))),0),36)*'Aturan &amp; Tarif'!$B$4,2)</f>
        <v>2044.08</v>
      </c>
      <c r="K33" s="32" t="n">
        <f aca="false">'Aturan &amp; Tarif'!$B$5</f>
        <v>2050</v>
      </c>
      <c r="L33" s="32" t="n">
        <f aca="false">'Aturan &amp; Tarif'!$B$6</f>
        <v>350</v>
      </c>
      <c r="M33" s="35" t="n">
        <f aca="false">I33+J33+K33+L33</f>
        <v>23569.08</v>
      </c>
      <c r="N33" s="36" t="s">
        <v>176</v>
      </c>
    </row>
    <row r="34" customFormat="false" ht="106.5" hidden="false" customHeight="true" outlineLevel="0" collapsed="false">
      <c r="A34" s="29"/>
      <c r="B34" s="30" t="s">
        <v>177</v>
      </c>
      <c r="C34" s="31" t="s">
        <v>127</v>
      </c>
      <c r="D34" s="31" t="s">
        <v>108</v>
      </c>
      <c r="E34" s="32" t="n">
        <v>10062.5</v>
      </c>
      <c r="F34" s="32"/>
      <c r="G34" s="32"/>
      <c r="H34" s="33" t="n">
        <v>2</v>
      </c>
      <c r="I34" s="34" t="n">
        <f aca="false">E34*H34+N(F34)+N(G34)</f>
        <v>20125</v>
      </c>
      <c r="J34" s="32" t="n">
        <f aca="false">ROUND(IFERROR(ROUND(IF(OR(ISNUMBER(SEARCH("week",C34)),ISNUMBER(SEARCH("minggu",C34))),IFERROR(_xlfn.NUMBERVALUE(SUBSTITUTE(LEFT(TRIM(C34),FIND(" ",TRIM(C34)&amp;" ")-1),",","."),"."),LEFT(SUBSTITUTE(LEFT(TRIM(C34),FIND(" ",TRIM(C34)&amp;" ")-1),",","."),FIND("/",SUBSTITUTE(LEFT(TRIM(C34),FIND(" ",TRIM(C34)&amp;" ")-1),",","."))-1)/MID(SUBSTITUTE(LEFT(TRIM(C34),FIND(" ",TRIM(C34)&amp;" ")-1),",","."),FIND("/",SUBSTITUTE(LEFT(TRIM(C34),FIND(" ",TRIM(C34)&amp;" ")-1),",","."))+1,9))*12/52,IF(ISNUMBER(SEARCH("month",C34)),IFERROR(_xlfn.NUMBERVALUE(SUBSTITUTE(LEFT(TRIM(C34),FIND(" ",TRIM(C34)&amp;" ")-1),",","."),"."),LEFT(SUBSTITUTE(LEFT(TRIM(C34),FIND(" ",TRIM(C34)&amp;" ")-1),",","."),FIND("/",SUBSTITUTE(LEFT(TRIM(C34),FIND(" ",TRIM(C34)&amp;" ")-1),",","."))-1)/MID(SUBSTITUTE(LEFT(TRIM(C34),FIND(" ",TRIM(C34)&amp;" ")-1),",","."),FIND("/",SUBSTITUTE(LEFT(TRIM(C34),FIND(" ",TRIM(C34)&amp;" ")-1),",","."))+1,9)),IF(ISNUMBER(SEARCH("yea",C34)),IFERROR(_xlfn.NUMBERVALUE(SUBSTITUTE(LEFT(TRIM(C34),FIND(" ",TRIM(C34)&amp;" ")-1),",","."),"."),LEFT(SUBSTITUTE(LEFT(TRIM(C34),FIND(" ",TRIM(C34)&amp;" ")-1),",","."),FIND("/",SUBSTITUTE(LEFT(TRIM(C34),FIND(" ",TRIM(C34)&amp;" ")-1),",","."))-1)/MID(SUBSTITUTE(LEFT(TRIM(C34),FIND(" ",TRIM(C34)&amp;" ")-1),",","."),FIND("/",SUBSTITUTE(LEFT(TRIM(C34),FIND(" ",TRIM(C34)&amp;" ")-1),",","."))+1,9))*12,NA()))),0),36)*'Aturan &amp; Tarif'!$B$4,2)</f>
        <v>2044.08</v>
      </c>
      <c r="K34" s="32" t="n">
        <f aca="false">'Aturan &amp; Tarif'!$B$5</f>
        <v>2050</v>
      </c>
      <c r="L34" s="32" t="n">
        <f aca="false">'Aturan &amp; Tarif'!$B$6</f>
        <v>350</v>
      </c>
      <c r="M34" s="35" t="n">
        <f aca="false">I34+J34+K34+L34</f>
        <v>24569.08</v>
      </c>
      <c r="N34" s="36" t="s">
        <v>178</v>
      </c>
    </row>
    <row r="35" customFormat="false" ht="106.5" hidden="false" customHeight="true" outlineLevel="0" collapsed="false">
      <c r="A35" s="29"/>
      <c r="B35" s="30" t="s">
        <v>179</v>
      </c>
      <c r="C35" s="31" t="s">
        <v>127</v>
      </c>
      <c r="D35" s="31" t="s">
        <v>108</v>
      </c>
      <c r="E35" s="32" t="n">
        <v>10062.5</v>
      </c>
      <c r="F35" s="32"/>
      <c r="G35" s="32"/>
      <c r="H35" s="33" t="n">
        <v>2</v>
      </c>
      <c r="I35" s="34" t="n">
        <f aca="false">E35*H35+N(F35)+N(G35)</f>
        <v>20125</v>
      </c>
      <c r="J35" s="32" t="n">
        <f aca="false">ROUND(IFERROR(ROUND(IF(OR(ISNUMBER(SEARCH("week",C35)),ISNUMBER(SEARCH("minggu",C35))),IFERROR(_xlfn.NUMBERVALUE(SUBSTITUTE(LEFT(TRIM(C35),FIND(" ",TRIM(C35)&amp;" ")-1),",","."),"."),LEFT(SUBSTITUTE(LEFT(TRIM(C35),FIND(" ",TRIM(C35)&amp;" ")-1),",","."),FIND("/",SUBSTITUTE(LEFT(TRIM(C35),FIND(" ",TRIM(C35)&amp;" ")-1),",","."))-1)/MID(SUBSTITUTE(LEFT(TRIM(C35),FIND(" ",TRIM(C35)&amp;" ")-1),",","."),FIND("/",SUBSTITUTE(LEFT(TRIM(C35),FIND(" ",TRIM(C35)&amp;" ")-1),",","."))+1,9))*12/52,IF(ISNUMBER(SEARCH("month",C35)),IFERROR(_xlfn.NUMBERVALUE(SUBSTITUTE(LEFT(TRIM(C35),FIND(" ",TRIM(C35)&amp;" ")-1),",","."),"."),LEFT(SUBSTITUTE(LEFT(TRIM(C35),FIND(" ",TRIM(C35)&amp;" ")-1),",","."),FIND("/",SUBSTITUTE(LEFT(TRIM(C35),FIND(" ",TRIM(C35)&amp;" ")-1),",","."))-1)/MID(SUBSTITUTE(LEFT(TRIM(C35),FIND(" ",TRIM(C35)&amp;" ")-1),",","."),FIND("/",SUBSTITUTE(LEFT(TRIM(C35),FIND(" ",TRIM(C35)&amp;" ")-1),",","."))+1,9)),IF(ISNUMBER(SEARCH("yea",C35)),IFERROR(_xlfn.NUMBERVALUE(SUBSTITUTE(LEFT(TRIM(C35),FIND(" ",TRIM(C35)&amp;" ")-1),",","."),"."),LEFT(SUBSTITUTE(LEFT(TRIM(C35),FIND(" ",TRIM(C35)&amp;" ")-1),",","."),FIND("/",SUBSTITUTE(LEFT(TRIM(C35),FIND(" ",TRIM(C35)&amp;" ")-1),",","."))-1)/MID(SUBSTITUTE(LEFT(TRIM(C35),FIND(" ",TRIM(C35)&amp;" ")-1),",","."),FIND("/",SUBSTITUTE(LEFT(TRIM(C35),FIND(" ",TRIM(C35)&amp;" ")-1),",","."))+1,9))*12,NA()))),0),36)*'Aturan &amp; Tarif'!$B$4,2)</f>
        <v>2044.08</v>
      </c>
      <c r="K35" s="32" t="n">
        <f aca="false">'Aturan &amp; Tarif'!$B$5</f>
        <v>2050</v>
      </c>
      <c r="L35" s="32" t="n">
        <f aca="false">'Aturan &amp; Tarif'!$B$6</f>
        <v>350</v>
      </c>
      <c r="M35" s="35" t="n">
        <f aca="false">I35+J35+K35+L35</f>
        <v>24569.08</v>
      </c>
      <c r="N35" s="36" t="s">
        <v>180</v>
      </c>
    </row>
    <row r="36" customFormat="false" ht="106.5" hidden="false" customHeight="true" outlineLevel="0" collapsed="false">
      <c r="A36" s="29"/>
      <c r="B36" s="30" t="s">
        <v>181</v>
      </c>
      <c r="C36" s="31" t="s">
        <v>107</v>
      </c>
      <c r="D36" s="31" t="s">
        <v>108</v>
      </c>
      <c r="E36" s="32" t="n">
        <v>10987.5</v>
      </c>
      <c r="F36" s="32"/>
      <c r="G36" s="32"/>
      <c r="H36" s="33" t="n">
        <v>2</v>
      </c>
      <c r="I36" s="34" t="n">
        <f aca="false">E36*H36+N(F36)+N(G36)</f>
        <v>21975</v>
      </c>
      <c r="J36" s="32" t="n">
        <f aca="false">ROUND(IFERROR(ROUND(IF(OR(ISNUMBER(SEARCH("week",C36)),ISNUMBER(SEARCH("minggu",C36))),IFERROR(_xlfn.NUMBERVALUE(SUBSTITUTE(LEFT(TRIM(C36),FIND(" ",TRIM(C36)&amp;" ")-1),",","."),"."),LEFT(SUBSTITUTE(LEFT(TRIM(C36),FIND(" ",TRIM(C36)&amp;" ")-1),",","."),FIND("/",SUBSTITUTE(LEFT(TRIM(C36),FIND(" ",TRIM(C36)&amp;" ")-1),",","."))-1)/MID(SUBSTITUTE(LEFT(TRIM(C36),FIND(" ",TRIM(C36)&amp;" ")-1),",","."),FIND("/",SUBSTITUTE(LEFT(TRIM(C36),FIND(" ",TRIM(C36)&amp;" ")-1),",","."))+1,9))*12/52,IF(ISNUMBER(SEARCH("month",C36)),IFERROR(_xlfn.NUMBERVALUE(SUBSTITUTE(LEFT(TRIM(C36),FIND(" ",TRIM(C36)&amp;" ")-1),",","."),"."),LEFT(SUBSTITUTE(LEFT(TRIM(C36),FIND(" ",TRIM(C36)&amp;" ")-1),",","."),FIND("/",SUBSTITUTE(LEFT(TRIM(C36),FIND(" ",TRIM(C36)&amp;" ")-1),",","."))-1)/MID(SUBSTITUTE(LEFT(TRIM(C36),FIND(" ",TRIM(C36)&amp;" ")-1),",","."),FIND("/",SUBSTITUTE(LEFT(TRIM(C36),FIND(" ",TRIM(C36)&amp;" ")-1),",","."))+1,9)),IF(ISNUMBER(SEARCH("yea",C36)),IFERROR(_xlfn.NUMBERVALUE(SUBSTITUTE(LEFT(TRIM(C36),FIND(" ",TRIM(C36)&amp;" ")-1),",","."),"."),LEFT(SUBSTITUTE(LEFT(TRIM(C36),FIND(" ",TRIM(C36)&amp;" ")-1),",","."),FIND("/",SUBSTITUTE(LEFT(TRIM(C36),FIND(" ",TRIM(C36)&amp;" ")-1),",","."))-1)/MID(SUBSTITUTE(LEFT(TRIM(C36),FIND(" ",TRIM(C36)&amp;" ")-1),",","."),FIND("/",SUBSTITUTE(LEFT(TRIM(C36),FIND(" ",TRIM(C36)&amp;" ")-1),",","."))+1,9))*12,NA()))),0),24)*'Aturan &amp; Tarif'!$B$4,2)</f>
        <v>1362.72</v>
      </c>
      <c r="K36" s="32" t="n">
        <f aca="false">'Aturan &amp; Tarif'!$B$5</f>
        <v>2050</v>
      </c>
      <c r="L36" s="32" t="n">
        <f aca="false">'Aturan &amp; Tarif'!$B$6</f>
        <v>350</v>
      </c>
      <c r="M36" s="35" t="n">
        <f aca="false">I36+J36+K36+L36</f>
        <v>25737.72</v>
      </c>
      <c r="N36" s="36" t="s">
        <v>182</v>
      </c>
    </row>
    <row r="37" customFormat="false" ht="106.5" hidden="false" customHeight="true" outlineLevel="0" collapsed="false">
      <c r="A37" s="29"/>
      <c r="B37" s="30" t="s">
        <v>183</v>
      </c>
      <c r="C37" s="31" t="s">
        <v>130</v>
      </c>
      <c r="D37" s="31" t="s">
        <v>108</v>
      </c>
      <c r="E37" s="32" t="n">
        <v>9487.5</v>
      </c>
      <c r="F37" s="32"/>
      <c r="G37" s="32"/>
      <c r="H37" s="33" t="n">
        <v>2</v>
      </c>
      <c r="I37" s="34" t="n">
        <f aca="false">E37*H37+N(F37)+N(G37)</f>
        <v>18975</v>
      </c>
      <c r="J37" s="32" t="n">
        <f aca="false">ROUND(IFERROR(ROUND(IF(OR(ISNUMBER(SEARCH("week",C37)),ISNUMBER(SEARCH("minggu",C37))),IFERROR(_xlfn.NUMBERVALUE(SUBSTITUTE(LEFT(TRIM(C37),FIND(" ",TRIM(C37)&amp;" ")-1),",","."),"."),LEFT(SUBSTITUTE(LEFT(TRIM(C37),FIND(" ",TRIM(C37)&amp;" ")-1),",","."),FIND("/",SUBSTITUTE(LEFT(TRIM(C37),FIND(" ",TRIM(C37)&amp;" ")-1),",","."))-1)/MID(SUBSTITUTE(LEFT(TRIM(C37),FIND(" ",TRIM(C37)&amp;" ")-1),",","."),FIND("/",SUBSTITUTE(LEFT(TRIM(C37),FIND(" ",TRIM(C37)&amp;" ")-1),",","."))+1,9))*12/52,IF(ISNUMBER(SEARCH("month",C37)),IFERROR(_xlfn.NUMBERVALUE(SUBSTITUTE(LEFT(TRIM(C37),FIND(" ",TRIM(C37)&amp;" ")-1),",","."),"."),LEFT(SUBSTITUTE(LEFT(TRIM(C37),FIND(" ",TRIM(C37)&amp;" ")-1),",","."),FIND("/",SUBSTITUTE(LEFT(TRIM(C37),FIND(" ",TRIM(C37)&amp;" ")-1),",","."))-1)/MID(SUBSTITUTE(LEFT(TRIM(C37),FIND(" ",TRIM(C37)&amp;" ")-1),",","."),FIND("/",SUBSTITUTE(LEFT(TRIM(C37),FIND(" ",TRIM(C37)&amp;" ")-1),",","."))+1,9)),IF(ISNUMBER(SEARCH("yea",C37)),IFERROR(_xlfn.NUMBERVALUE(SUBSTITUTE(LEFT(TRIM(C37),FIND(" ",TRIM(C37)&amp;" ")-1),",","."),"."),LEFT(SUBSTITUTE(LEFT(TRIM(C37),FIND(" ",TRIM(C37)&amp;" ")-1),",","."),FIND("/",SUBSTITUTE(LEFT(TRIM(C37),FIND(" ",TRIM(C37)&amp;" ")-1),",","."))-1)/MID(SUBSTITUTE(LEFT(TRIM(C37),FIND(" ",TRIM(C37)&amp;" ")-1),",","."),FIND("/",SUBSTITUTE(LEFT(TRIM(C37),FIND(" ",TRIM(C37)&amp;" ")-1),",","."))+1,9))*12,NA()))),0),12)*'Aturan &amp; Tarif'!$B$4,2)</f>
        <v>681.36</v>
      </c>
      <c r="K37" s="32" t="n">
        <f aca="false">'Aturan &amp; Tarif'!$B$5</f>
        <v>2050</v>
      </c>
      <c r="L37" s="32" t="n">
        <f aca="false">'Aturan &amp; Tarif'!$B$6</f>
        <v>350</v>
      </c>
      <c r="M37" s="35" t="n">
        <f aca="false">I37+J37+K37+L37</f>
        <v>22056.36</v>
      </c>
      <c r="N37" s="36" t="s">
        <v>184</v>
      </c>
    </row>
    <row r="38" customFormat="false" ht="106.5" hidden="false" customHeight="true" outlineLevel="0" collapsed="false">
      <c r="A38" s="29"/>
      <c r="B38" s="30" t="s">
        <v>185</v>
      </c>
      <c r="C38" s="31" t="s">
        <v>127</v>
      </c>
      <c r="D38" s="31" t="s">
        <v>108</v>
      </c>
      <c r="E38" s="32" t="n">
        <v>6812.5</v>
      </c>
      <c r="F38" s="32"/>
      <c r="G38" s="32"/>
      <c r="H38" s="33" t="n">
        <v>2</v>
      </c>
      <c r="I38" s="34" t="n">
        <f aca="false">E38*H38+N(F38)+N(G38)</f>
        <v>13625</v>
      </c>
      <c r="J38" s="32" t="n">
        <f aca="false">ROUND(IFERROR(ROUND(IF(OR(ISNUMBER(SEARCH("week",C38)),ISNUMBER(SEARCH("minggu",C38))),IFERROR(_xlfn.NUMBERVALUE(SUBSTITUTE(LEFT(TRIM(C38),FIND(" ",TRIM(C38)&amp;" ")-1),",","."),"."),LEFT(SUBSTITUTE(LEFT(TRIM(C38),FIND(" ",TRIM(C38)&amp;" ")-1),",","."),FIND("/",SUBSTITUTE(LEFT(TRIM(C38),FIND(" ",TRIM(C38)&amp;" ")-1),",","."))-1)/MID(SUBSTITUTE(LEFT(TRIM(C38),FIND(" ",TRIM(C38)&amp;" ")-1),",","."),FIND("/",SUBSTITUTE(LEFT(TRIM(C38),FIND(" ",TRIM(C38)&amp;" ")-1),",","."))+1,9))*12/52,IF(ISNUMBER(SEARCH("month",C38)),IFERROR(_xlfn.NUMBERVALUE(SUBSTITUTE(LEFT(TRIM(C38),FIND(" ",TRIM(C38)&amp;" ")-1),",","."),"."),LEFT(SUBSTITUTE(LEFT(TRIM(C38),FIND(" ",TRIM(C38)&amp;" ")-1),",","."),FIND("/",SUBSTITUTE(LEFT(TRIM(C38),FIND(" ",TRIM(C38)&amp;" ")-1),",","."))-1)/MID(SUBSTITUTE(LEFT(TRIM(C38),FIND(" ",TRIM(C38)&amp;" ")-1),",","."),FIND("/",SUBSTITUTE(LEFT(TRIM(C38),FIND(" ",TRIM(C38)&amp;" ")-1),",","."))+1,9)),IF(ISNUMBER(SEARCH("yea",C38)),IFERROR(_xlfn.NUMBERVALUE(SUBSTITUTE(LEFT(TRIM(C38),FIND(" ",TRIM(C38)&amp;" ")-1),",","."),"."),LEFT(SUBSTITUTE(LEFT(TRIM(C38),FIND(" ",TRIM(C38)&amp;" ")-1),",","."),FIND("/",SUBSTITUTE(LEFT(TRIM(C38),FIND(" ",TRIM(C38)&amp;" ")-1),",","."))-1)/MID(SUBSTITUTE(LEFT(TRIM(C38),FIND(" ",TRIM(C38)&amp;" ")-1),",","."),FIND("/",SUBSTITUTE(LEFT(TRIM(C38),FIND(" ",TRIM(C38)&amp;" ")-1),",","."))+1,9))*12,NA()))),0),36)*'Aturan &amp; Tarif'!$B$4,2)</f>
        <v>2044.08</v>
      </c>
      <c r="K38" s="32" t="n">
        <f aca="false">'Aturan &amp; Tarif'!$B$5</f>
        <v>2050</v>
      </c>
      <c r="L38" s="32" t="n">
        <f aca="false">'Aturan &amp; Tarif'!$B$6</f>
        <v>350</v>
      </c>
      <c r="M38" s="35" t="n">
        <f aca="false">I38+J38+K38+L38</f>
        <v>18069.08</v>
      </c>
      <c r="N38" s="36" t="s">
        <v>186</v>
      </c>
    </row>
    <row r="39" customFormat="false" ht="106.5" hidden="false" customHeight="true" outlineLevel="0" collapsed="false">
      <c r="A39" s="29"/>
      <c r="B39" s="30" t="s">
        <v>187</v>
      </c>
      <c r="C39" s="31" t="s">
        <v>136</v>
      </c>
      <c r="D39" s="31" t="s">
        <v>108</v>
      </c>
      <c r="E39" s="32" t="n">
        <v>7362.5</v>
      </c>
      <c r="F39" s="32"/>
      <c r="G39" s="32"/>
      <c r="H39" s="33" t="n">
        <v>2</v>
      </c>
      <c r="I39" s="34" t="n">
        <f aca="false">E39*H39+N(F39)+N(G39)</f>
        <v>14725</v>
      </c>
      <c r="J39" s="32" t="n">
        <f aca="false">ROUND(IFERROR(ROUND(IF(OR(ISNUMBER(SEARCH("week",C39)),ISNUMBER(SEARCH("minggu",C39))),IFERROR(_xlfn.NUMBERVALUE(SUBSTITUTE(LEFT(TRIM(C39),FIND(" ",TRIM(C39)&amp;" ")-1),",","."),"."),LEFT(SUBSTITUTE(LEFT(TRIM(C39),FIND(" ",TRIM(C39)&amp;" ")-1),",","."),FIND("/",SUBSTITUTE(LEFT(TRIM(C39),FIND(" ",TRIM(C39)&amp;" ")-1),",","."))-1)/MID(SUBSTITUTE(LEFT(TRIM(C39),FIND(" ",TRIM(C39)&amp;" ")-1),",","."),FIND("/",SUBSTITUTE(LEFT(TRIM(C39),FIND(" ",TRIM(C39)&amp;" ")-1),",","."))+1,9))*12/52,IF(ISNUMBER(SEARCH("month",C39)),IFERROR(_xlfn.NUMBERVALUE(SUBSTITUTE(LEFT(TRIM(C39),FIND(" ",TRIM(C39)&amp;" ")-1),",","."),"."),LEFT(SUBSTITUTE(LEFT(TRIM(C39),FIND(" ",TRIM(C39)&amp;" ")-1),",","."),FIND("/",SUBSTITUTE(LEFT(TRIM(C39),FIND(" ",TRIM(C39)&amp;" ")-1),",","."))-1)/MID(SUBSTITUTE(LEFT(TRIM(C39),FIND(" ",TRIM(C39)&amp;" ")-1),",","."),FIND("/",SUBSTITUTE(LEFT(TRIM(C39),FIND(" ",TRIM(C39)&amp;" ")-1),",","."))+1,9)),IF(ISNUMBER(SEARCH("yea",C39)),IFERROR(_xlfn.NUMBERVALUE(SUBSTITUTE(LEFT(TRIM(C39),FIND(" ",TRIM(C39)&amp;" ")-1),",","."),"."),LEFT(SUBSTITUTE(LEFT(TRIM(C39),FIND(" ",TRIM(C39)&amp;" ")-1),",","."),FIND("/",SUBSTITUTE(LEFT(TRIM(C39),FIND(" ",TRIM(C39)&amp;" ")-1),",","."))-1)/MID(SUBSTITUTE(LEFT(TRIM(C39),FIND(" ",TRIM(C39)&amp;" ")-1),",","."),FIND("/",SUBSTITUTE(LEFT(TRIM(C39),FIND(" ",TRIM(C39)&amp;" ")-1),",","."))+1,9))*12,NA()))),0),42)*'Aturan &amp; Tarif'!$B$4,2)</f>
        <v>2384.76</v>
      </c>
      <c r="K39" s="32" t="n">
        <f aca="false">'Aturan &amp; Tarif'!$B$5</f>
        <v>2050</v>
      </c>
      <c r="L39" s="32" t="n">
        <f aca="false">'Aturan &amp; Tarif'!$B$6</f>
        <v>350</v>
      </c>
      <c r="M39" s="35" t="n">
        <f aca="false">I39+J39+K39+L39</f>
        <v>19509.76</v>
      </c>
      <c r="N39" s="36" t="s">
        <v>188</v>
      </c>
    </row>
    <row r="40" customFormat="false" ht="106.5" hidden="false" customHeight="true" outlineLevel="0" collapsed="false">
      <c r="A40" s="29"/>
      <c r="B40" s="30" t="s">
        <v>189</v>
      </c>
      <c r="C40" s="31" t="s">
        <v>107</v>
      </c>
      <c r="D40" s="31" t="s">
        <v>108</v>
      </c>
      <c r="E40" s="32" t="n">
        <v>9487.5</v>
      </c>
      <c r="F40" s="32"/>
      <c r="G40" s="32"/>
      <c r="H40" s="33" t="n">
        <v>2</v>
      </c>
      <c r="I40" s="34" t="n">
        <f aca="false">E40*H40+N(F40)+N(G40)</f>
        <v>18975</v>
      </c>
      <c r="J40" s="32" t="n">
        <f aca="false">ROUND(IFERROR(ROUND(IF(OR(ISNUMBER(SEARCH("week",C40)),ISNUMBER(SEARCH("minggu",C40))),IFERROR(_xlfn.NUMBERVALUE(SUBSTITUTE(LEFT(TRIM(C40),FIND(" ",TRIM(C40)&amp;" ")-1),",","."),"."),LEFT(SUBSTITUTE(LEFT(TRIM(C40),FIND(" ",TRIM(C40)&amp;" ")-1),",","."),FIND("/",SUBSTITUTE(LEFT(TRIM(C40),FIND(" ",TRIM(C40)&amp;" ")-1),",","."))-1)/MID(SUBSTITUTE(LEFT(TRIM(C40),FIND(" ",TRIM(C40)&amp;" ")-1),",","."),FIND("/",SUBSTITUTE(LEFT(TRIM(C40),FIND(" ",TRIM(C40)&amp;" ")-1),",","."))+1,9))*12/52,IF(ISNUMBER(SEARCH("month",C40)),IFERROR(_xlfn.NUMBERVALUE(SUBSTITUTE(LEFT(TRIM(C40),FIND(" ",TRIM(C40)&amp;" ")-1),",","."),"."),LEFT(SUBSTITUTE(LEFT(TRIM(C40),FIND(" ",TRIM(C40)&amp;" ")-1),",","."),FIND("/",SUBSTITUTE(LEFT(TRIM(C40),FIND(" ",TRIM(C40)&amp;" ")-1),",","."))-1)/MID(SUBSTITUTE(LEFT(TRIM(C40),FIND(" ",TRIM(C40)&amp;" ")-1),",","."),FIND("/",SUBSTITUTE(LEFT(TRIM(C40),FIND(" ",TRIM(C40)&amp;" ")-1),",","."))+1,9)),IF(ISNUMBER(SEARCH("yea",C40)),IFERROR(_xlfn.NUMBERVALUE(SUBSTITUTE(LEFT(TRIM(C40),FIND(" ",TRIM(C40)&amp;" ")-1),",","."),"."),LEFT(SUBSTITUTE(LEFT(TRIM(C40),FIND(" ",TRIM(C40)&amp;" ")-1),",","."),FIND("/",SUBSTITUTE(LEFT(TRIM(C40),FIND(" ",TRIM(C40)&amp;" ")-1),",","."))-1)/MID(SUBSTITUTE(LEFT(TRIM(C40),FIND(" ",TRIM(C40)&amp;" ")-1),",","."),FIND("/",SUBSTITUTE(LEFT(TRIM(C40),FIND(" ",TRIM(C40)&amp;" ")-1),",","."))+1,9))*12,NA()))),0),24)*'Aturan &amp; Tarif'!$B$4,2)</f>
        <v>1362.72</v>
      </c>
      <c r="K40" s="32" t="n">
        <f aca="false">'Aturan &amp; Tarif'!$B$5</f>
        <v>2050</v>
      </c>
      <c r="L40" s="32" t="n">
        <f aca="false">'Aturan &amp; Tarif'!$B$6</f>
        <v>350</v>
      </c>
      <c r="M40" s="35" t="n">
        <f aca="false">I40+J40+K40+L40</f>
        <v>22737.72</v>
      </c>
      <c r="N40" s="36" t="s">
        <v>184</v>
      </c>
    </row>
    <row r="41" customFormat="false" ht="106.5" hidden="false" customHeight="true" outlineLevel="0" collapsed="false">
      <c r="A41" s="29"/>
      <c r="B41" s="30" t="s">
        <v>190</v>
      </c>
      <c r="C41" s="31" t="s">
        <v>191</v>
      </c>
      <c r="D41" s="31" t="s">
        <v>108</v>
      </c>
      <c r="E41" s="32" t="n">
        <v>11237.5</v>
      </c>
      <c r="F41" s="32"/>
      <c r="G41" s="32"/>
      <c r="H41" s="33" t="n">
        <v>2</v>
      </c>
      <c r="I41" s="34" t="n">
        <f aca="false">E41*H41+N(F41)+N(G41)</f>
        <v>22475</v>
      </c>
      <c r="J41" s="32" t="n">
        <f aca="false">ROUND(IFERROR(ROUND(IF(OR(ISNUMBER(SEARCH("week",C41)),ISNUMBER(SEARCH("minggu",C41))),IFERROR(_xlfn.NUMBERVALUE(SUBSTITUTE(LEFT(TRIM(C41),FIND(" ",TRIM(C41)&amp;" ")-1),",","."),"."),LEFT(SUBSTITUTE(LEFT(TRIM(C41),FIND(" ",TRIM(C41)&amp;" ")-1),",","."),FIND("/",SUBSTITUTE(LEFT(TRIM(C41),FIND(" ",TRIM(C41)&amp;" ")-1),",","."))-1)/MID(SUBSTITUTE(LEFT(TRIM(C41),FIND(" ",TRIM(C41)&amp;" ")-1),",","."),FIND("/",SUBSTITUTE(LEFT(TRIM(C41),FIND(" ",TRIM(C41)&amp;" ")-1),",","."))+1,9))*12/52,IF(ISNUMBER(SEARCH("month",C41)),IFERROR(_xlfn.NUMBERVALUE(SUBSTITUTE(LEFT(TRIM(C41),FIND(" ",TRIM(C41)&amp;" ")-1),",","."),"."),LEFT(SUBSTITUTE(LEFT(TRIM(C41),FIND(" ",TRIM(C41)&amp;" ")-1),",","."),FIND("/",SUBSTITUTE(LEFT(TRIM(C41),FIND(" ",TRIM(C41)&amp;" ")-1),",","."))-1)/MID(SUBSTITUTE(LEFT(TRIM(C41),FIND(" ",TRIM(C41)&amp;" ")-1),",","."),FIND("/",SUBSTITUTE(LEFT(TRIM(C41),FIND(" ",TRIM(C41)&amp;" ")-1),",","."))+1,9)),IF(ISNUMBER(SEARCH("yea",C41)),IFERROR(_xlfn.NUMBERVALUE(SUBSTITUTE(LEFT(TRIM(C41),FIND(" ",TRIM(C41)&amp;" ")-1),",","."),"."),LEFT(SUBSTITUTE(LEFT(TRIM(C41),FIND(" ",TRIM(C41)&amp;" ")-1),",","."),FIND("/",SUBSTITUTE(LEFT(TRIM(C41),FIND(" ",TRIM(C41)&amp;" ")-1),",","."))-1)/MID(SUBSTITUTE(LEFT(TRIM(C41),FIND(" ",TRIM(C41)&amp;" ")-1),",","."),FIND("/",SUBSTITUTE(LEFT(TRIM(C41),FIND(" ",TRIM(C41)&amp;" ")-1),",","."))+1,9))*12,NA()))),0),48)*'Aturan &amp; Tarif'!$B$4,2)</f>
        <v>2725.44</v>
      </c>
      <c r="K41" s="32" t="n">
        <f aca="false">'Aturan &amp; Tarif'!$B$5</f>
        <v>2050</v>
      </c>
      <c r="L41" s="32" t="n">
        <f aca="false">'Aturan &amp; Tarif'!$B$6</f>
        <v>350</v>
      </c>
      <c r="M41" s="35" t="n">
        <f aca="false">I41+J41+K41+L41</f>
        <v>27600.44</v>
      </c>
      <c r="N41" s="36" t="s">
        <v>192</v>
      </c>
    </row>
    <row r="42" customFormat="false" ht="37.5" hidden="false" customHeight="true" outlineLevel="0" collapsed="false">
      <c r="A42" s="29"/>
      <c r="B42" s="30" t="s">
        <v>193</v>
      </c>
      <c r="C42" s="31" t="s">
        <v>127</v>
      </c>
      <c r="D42" s="31" t="s">
        <v>108</v>
      </c>
      <c r="E42" s="32" t="n">
        <v>11237.5</v>
      </c>
      <c r="F42" s="32"/>
      <c r="G42" s="32"/>
      <c r="H42" s="33" t="n">
        <v>2</v>
      </c>
      <c r="I42" s="34" t="n">
        <f aca="false">E42*H42+N(F42)+N(G42)</f>
        <v>22475</v>
      </c>
      <c r="J42" s="32" t="n">
        <f aca="false">ROUND(IFERROR(ROUND(IF(OR(ISNUMBER(SEARCH("week",C42)),ISNUMBER(SEARCH("minggu",C42))),IFERROR(_xlfn.NUMBERVALUE(SUBSTITUTE(LEFT(TRIM(C42),FIND(" ",TRIM(C42)&amp;" ")-1),",","."),"."),LEFT(SUBSTITUTE(LEFT(TRIM(C42),FIND(" ",TRIM(C42)&amp;" ")-1),",","."),FIND("/",SUBSTITUTE(LEFT(TRIM(C42),FIND(" ",TRIM(C42)&amp;" ")-1),",","."))-1)/MID(SUBSTITUTE(LEFT(TRIM(C42),FIND(" ",TRIM(C42)&amp;" ")-1),",","."),FIND("/",SUBSTITUTE(LEFT(TRIM(C42),FIND(" ",TRIM(C42)&amp;" ")-1),",","."))+1,9))*12/52,IF(ISNUMBER(SEARCH("month",C42)),IFERROR(_xlfn.NUMBERVALUE(SUBSTITUTE(LEFT(TRIM(C42),FIND(" ",TRIM(C42)&amp;" ")-1),",","."),"."),LEFT(SUBSTITUTE(LEFT(TRIM(C42),FIND(" ",TRIM(C42)&amp;" ")-1),",","."),FIND("/",SUBSTITUTE(LEFT(TRIM(C42),FIND(" ",TRIM(C42)&amp;" ")-1),",","."))-1)/MID(SUBSTITUTE(LEFT(TRIM(C42),FIND(" ",TRIM(C42)&amp;" ")-1),",","."),FIND("/",SUBSTITUTE(LEFT(TRIM(C42),FIND(" ",TRIM(C42)&amp;" ")-1),",","."))+1,9)),IF(ISNUMBER(SEARCH("yea",C42)),IFERROR(_xlfn.NUMBERVALUE(SUBSTITUTE(LEFT(TRIM(C42),FIND(" ",TRIM(C42)&amp;" ")-1),",","."),"."),LEFT(SUBSTITUTE(LEFT(TRIM(C42),FIND(" ",TRIM(C42)&amp;" ")-1),",","."),FIND("/",SUBSTITUTE(LEFT(TRIM(C42),FIND(" ",TRIM(C42)&amp;" ")-1),",","."))-1)/MID(SUBSTITUTE(LEFT(TRIM(C42),FIND(" ",TRIM(C42)&amp;" ")-1),",","."),FIND("/",SUBSTITUTE(LEFT(TRIM(C42),FIND(" ",TRIM(C42)&amp;" ")-1),",","."))+1,9))*12,NA()))),0),36)*'Aturan &amp; Tarif'!$B$4,2)</f>
        <v>2044.08</v>
      </c>
      <c r="K42" s="32" t="n">
        <f aca="false">'Aturan &amp; Tarif'!$B$5</f>
        <v>2050</v>
      </c>
      <c r="L42" s="32" t="n">
        <f aca="false">'Aturan &amp; Tarif'!$B$6</f>
        <v>350</v>
      </c>
      <c r="M42" s="35" t="n">
        <f aca="false">I42+J42+K42+L42</f>
        <v>26919.08</v>
      </c>
      <c r="N42" s="36" t="s">
        <v>194</v>
      </c>
    </row>
    <row r="43" customFormat="false" ht="106.5" hidden="false" customHeight="true" outlineLevel="0" collapsed="false">
      <c r="A43" s="29"/>
      <c r="B43" s="30" t="s">
        <v>195</v>
      </c>
      <c r="C43" s="31" t="s">
        <v>191</v>
      </c>
      <c r="D43" s="31" t="s">
        <v>108</v>
      </c>
      <c r="E43" s="32" t="n">
        <v>6812.5</v>
      </c>
      <c r="F43" s="32"/>
      <c r="G43" s="32"/>
      <c r="H43" s="33" t="n">
        <v>2</v>
      </c>
      <c r="I43" s="34" t="n">
        <f aca="false">E43*H43+N(F43)+N(G43)</f>
        <v>13625</v>
      </c>
      <c r="J43" s="32" t="n">
        <f aca="false">ROUND(IFERROR(ROUND(IF(OR(ISNUMBER(SEARCH("week",C43)),ISNUMBER(SEARCH("minggu",C43))),IFERROR(_xlfn.NUMBERVALUE(SUBSTITUTE(LEFT(TRIM(C43),FIND(" ",TRIM(C43)&amp;" ")-1),",","."),"."),LEFT(SUBSTITUTE(LEFT(TRIM(C43),FIND(" ",TRIM(C43)&amp;" ")-1),",","."),FIND("/",SUBSTITUTE(LEFT(TRIM(C43),FIND(" ",TRIM(C43)&amp;" ")-1),",","."))-1)/MID(SUBSTITUTE(LEFT(TRIM(C43),FIND(" ",TRIM(C43)&amp;" ")-1),",","."),FIND("/",SUBSTITUTE(LEFT(TRIM(C43),FIND(" ",TRIM(C43)&amp;" ")-1),",","."))+1,9))*12/52,IF(ISNUMBER(SEARCH("month",C43)),IFERROR(_xlfn.NUMBERVALUE(SUBSTITUTE(LEFT(TRIM(C43),FIND(" ",TRIM(C43)&amp;" ")-1),",","."),"."),LEFT(SUBSTITUTE(LEFT(TRIM(C43),FIND(" ",TRIM(C43)&amp;" ")-1),",","."),FIND("/",SUBSTITUTE(LEFT(TRIM(C43),FIND(" ",TRIM(C43)&amp;" ")-1),",","."))-1)/MID(SUBSTITUTE(LEFT(TRIM(C43),FIND(" ",TRIM(C43)&amp;" ")-1),",","."),FIND("/",SUBSTITUTE(LEFT(TRIM(C43),FIND(" ",TRIM(C43)&amp;" ")-1),",","."))+1,9)),IF(ISNUMBER(SEARCH("yea",C43)),IFERROR(_xlfn.NUMBERVALUE(SUBSTITUTE(LEFT(TRIM(C43),FIND(" ",TRIM(C43)&amp;" ")-1),",","."),"."),LEFT(SUBSTITUTE(LEFT(TRIM(C43),FIND(" ",TRIM(C43)&amp;" ")-1),",","."),FIND("/",SUBSTITUTE(LEFT(TRIM(C43),FIND(" ",TRIM(C43)&amp;" ")-1),",","."))-1)/MID(SUBSTITUTE(LEFT(TRIM(C43),FIND(" ",TRIM(C43)&amp;" ")-1),",","."),FIND("/",SUBSTITUTE(LEFT(TRIM(C43),FIND(" ",TRIM(C43)&amp;" ")-1),",","."))+1,9))*12,NA()))),0),48)*'Aturan &amp; Tarif'!$B$4,2)</f>
        <v>2725.44</v>
      </c>
      <c r="K43" s="32" t="n">
        <f aca="false">'Aturan &amp; Tarif'!$B$5</f>
        <v>2050</v>
      </c>
      <c r="L43" s="32" t="n">
        <f aca="false">'Aturan &amp; Tarif'!$B$6</f>
        <v>350</v>
      </c>
      <c r="M43" s="35" t="n">
        <f aca="false">I43+J43+K43+L43</f>
        <v>18750.44</v>
      </c>
      <c r="N43" s="36" t="s">
        <v>196</v>
      </c>
    </row>
    <row r="44" customFormat="false" ht="106.5" hidden="false" customHeight="true" outlineLevel="0" collapsed="false">
      <c r="A44" s="29"/>
      <c r="B44" s="30" t="s">
        <v>197</v>
      </c>
      <c r="C44" s="31" t="s">
        <v>191</v>
      </c>
      <c r="D44" s="31" t="s">
        <v>108</v>
      </c>
      <c r="E44" s="32" t="n">
        <v>7362.5</v>
      </c>
      <c r="F44" s="32"/>
      <c r="G44" s="32"/>
      <c r="H44" s="33" t="n">
        <v>2</v>
      </c>
      <c r="I44" s="34" t="n">
        <f aca="false">E44*H44+N(F44)+N(G44)</f>
        <v>14725</v>
      </c>
      <c r="J44" s="32" t="n">
        <f aca="false">ROUND(IFERROR(ROUND(IF(OR(ISNUMBER(SEARCH("week",C44)),ISNUMBER(SEARCH("minggu",C44))),IFERROR(_xlfn.NUMBERVALUE(SUBSTITUTE(LEFT(TRIM(C44),FIND(" ",TRIM(C44)&amp;" ")-1),",","."),"."),LEFT(SUBSTITUTE(LEFT(TRIM(C44),FIND(" ",TRIM(C44)&amp;" ")-1),",","."),FIND("/",SUBSTITUTE(LEFT(TRIM(C44),FIND(" ",TRIM(C44)&amp;" ")-1),",","."))-1)/MID(SUBSTITUTE(LEFT(TRIM(C44),FIND(" ",TRIM(C44)&amp;" ")-1),",","."),FIND("/",SUBSTITUTE(LEFT(TRIM(C44),FIND(" ",TRIM(C44)&amp;" ")-1),",","."))+1,9))*12/52,IF(ISNUMBER(SEARCH("month",C44)),IFERROR(_xlfn.NUMBERVALUE(SUBSTITUTE(LEFT(TRIM(C44),FIND(" ",TRIM(C44)&amp;" ")-1),",","."),"."),LEFT(SUBSTITUTE(LEFT(TRIM(C44),FIND(" ",TRIM(C44)&amp;" ")-1),",","."),FIND("/",SUBSTITUTE(LEFT(TRIM(C44),FIND(" ",TRIM(C44)&amp;" ")-1),",","."))-1)/MID(SUBSTITUTE(LEFT(TRIM(C44),FIND(" ",TRIM(C44)&amp;" ")-1),",","."),FIND("/",SUBSTITUTE(LEFT(TRIM(C44),FIND(" ",TRIM(C44)&amp;" ")-1),",","."))+1,9)),IF(ISNUMBER(SEARCH("yea",C44)),IFERROR(_xlfn.NUMBERVALUE(SUBSTITUTE(LEFT(TRIM(C44),FIND(" ",TRIM(C44)&amp;" ")-1),",","."),"."),LEFT(SUBSTITUTE(LEFT(TRIM(C44),FIND(" ",TRIM(C44)&amp;" ")-1),",","."),FIND("/",SUBSTITUTE(LEFT(TRIM(C44),FIND(" ",TRIM(C44)&amp;" ")-1),",","."))-1)/MID(SUBSTITUTE(LEFT(TRIM(C44),FIND(" ",TRIM(C44)&amp;" ")-1),",","."),FIND("/",SUBSTITUTE(LEFT(TRIM(C44),FIND(" ",TRIM(C44)&amp;" ")-1),",","."))+1,9))*12,NA()))),0),48)*'Aturan &amp; Tarif'!$B$4,2)</f>
        <v>2725.44</v>
      </c>
      <c r="K44" s="32" t="n">
        <f aca="false">'Aturan &amp; Tarif'!$B$5</f>
        <v>2050</v>
      </c>
      <c r="L44" s="32" t="n">
        <f aca="false">'Aturan &amp; Tarif'!$B$6</f>
        <v>350</v>
      </c>
      <c r="M44" s="35" t="n">
        <f aca="false">I44+J44+K44+L44</f>
        <v>19850.44</v>
      </c>
      <c r="N44" s="36" t="s">
        <v>198</v>
      </c>
    </row>
    <row r="45" customFormat="false" ht="106.5" hidden="false" customHeight="true" outlineLevel="0" collapsed="false">
      <c r="A45" s="29"/>
      <c r="B45" s="30" t="s">
        <v>199</v>
      </c>
      <c r="C45" s="31" t="s">
        <v>127</v>
      </c>
      <c r="D45" s="31" t="s">
        <v>108</v>
      </c>
      <c r="E45" s="32" t="n">
        <v>9487.5</v>
      </c>
      <c r="F45" s="32"/>
      <c r="G45" s="32"/>
      <c r="H45" s="33" t="n">
        <v>2</v>
      </c>
      <c r="I45" s="34" t="n">
        <f aca="false">E45*H45+N(F45)+N(G45)</f>
        <v>18975</v>
      </c>
      <c r="J45" s="32" t="n">
        <f aca="false">ROUND(IFERROR(ROUND(IF(OR(ISNUMBER(SEARCH("week",C45)),ISNUMBER(SEARCH("minggu",C45))),IFERROR(_xlfn.NUMBERVALUE(SUBSTITUTE(LEFT(TRIM(C45),FIND(" ",TRIM(C45)&amp;" ")-1),",","."),"."),LEFT(SUBSTITUTE(LEFT(TRIM(C45),FIND(" ",TRIM(C45)&amp;" ")-1),",","."),FIND("/",SUBSTITUTE(LEFT(TRIM(C45),FIND(" ",TRIM(C45)&amp;" ")-1),",","."))-1)/MID(SUBSTITUTE(LEFT(TRIM(C45),FIND(" ",TRIM(C45)&amp;" ")-1),",","."),FIND("/",SUBSTITUTE(LEFT(TRIM(C45),FIND(" ",TRIM(C45)&amp;" ")-1),",","."))+1,9))*12/52,IF(ISNUMBER(SEARCH("month",C45)),IFERROR(_xlfn.NUMBERVALUE(SUBSTITUTE(LEFT(TRIM(C45),FIND(" ",TRIM(C45)&amp;" ")-1),",","."),"."),LEFT(SUBSTITUTE(LEFT(TRIM(C45),FIND(" ",TRIM(C45)&amp;" ")-1),",","."),FIND("/",SUBSTITUTE(LEFT(TRIM(C45),FIND(" ",TRIM(C45)&amp;" ")-1),",","."))-1)/MID(SUBSTITUTE(LEFT(TRIM(C45),FIND(" ",TRIM(C45)&amp;" ")-1),",","."),FIND("/",SUBSTITUTE(LEFT(TRIM(C45),FIND(" ",TRIM(C45)&amp;" ")-1),",","."))+1,9)),IF(ISNUMBER(SEARCH("yea",C45)),IFERROR(_xlfn.NUMBERVALUE(SUBSTITUTE(LEFT(TRIM(C45),FIND(" ",TRIM(C45)&amp;" ")-1),",","."),"."),LEFT(SUBSTITUTE(LEFT(TRIM(C45),FIND(" ",TRIM(C45)&amp;" ")-1),",","."),FIND("/",SUBSTITUTE(LEFT(TRIM(C45),FIND(" ",TRIM(C45)&amp;" ")-1),",","."))-1)/MID(SUBSTITUTE(LEFT(TRIM(C45),FIND(" ",TRIM(C45)&amp;" ")-1),",","."),FIND("/",SUBSTITUTE(LEFT(TRIM(C45),FIND(" ",TRIM(C45)&amp;" ")-1),",","."))+1,9))*12,NA()))),0),36)*'Aturan &amp; Tarif'!$B$4,2)</f>
        <v>2044.08</v>
      </c>
      <c r="K45" s="32" t="n">
        <f aca="false">'Aturan &amp; Tarif'!$B$5</f>
        <v>2050</v>
      </c>
      <c r="L45" s="32" t="n">
        <f aca="false">'Aturan &amp; Tarif'!$B$6</f>
        <v>350</v>
      </c>
      <c r="M45" s="35" t="n">
        <f aca="false">I45+J45+K45+L45</f>
        <v>23419.08</v>
      </c>
      <c r="N45" s="36" t="s">
        <v>184</v>
      </c>
    </row>
    <row r="46" customFormat="false" ht="106.5" hidden="false" customHeight="true" outlineLevel="0" collapsed="false">
      <c r="A46" s="29"/>
      <c r="B46" s="30" t="s">
        <v>200</v>
      </c>
      <c r="C46" s="31" t="s">
        <v>127</v>
      </c>
      <c r="D46" s="31" t="s">
        <v>108</v>
      </c>
      <c r="E46" s="32" t="n">
        <v>12487.5</v>
      </c>
      <c r="F46" s="32"/>
      <c r="G46" s="32"/>
      <c r="H46" s="33" t="n">
        <v>2</v>
      </c>
      <c r="I46" s="34" t="n">
        <f aca="false">E46*H46+N(F46)+N(G46)</f>
        <v>24975</v>
      </c>
      <c r="J46" s="32" t="n">
        <f aca="false">ROUND(IFERROR(ROUND(IF(OR(ISNUMBER(SEARCH("week",C46)),ISNUMBER(SEARCH("minggu",C46))),IFERROR(_xlfn.NUMBERVALUE(SUBSTITUTE(LEFT(TRIM(C46),FIND(" ",TRIM(C46)&amp;" ")-1),",","."),"."),LEFT(SUBSTITUTE(LEFT(TRIM(C46),FIND(" ",TRIM(C46)&amp;" ")-1),",","."),FIND("/",SUBSTITUTE(LEFT(TRIM(C46),FIND(" ",TRIM(C46)&amp;" ")-1),",","."))-1)/MID(SUBSTITUTE(LEFT(TRIM(C46),FIND(" ",TRIM(C46)&amp;" ")-1),",","."),FIND("/",SUBSTITUTE(LEFT(TRIM(C46),FIND(" ",TRIM(C46)&amp;" ")-1),",","."))+1,9))*12/52,IF(ISNUMBER(SEARCH("month",C46)),IFERROR(_xlfn.NUMBERVALUE(SUBSTITUTE(LEFT(TRIM(C46),FIND(" ",TRIM(C46)&amp;" ")-1),",","."),"."),LEFT(SUBSTITUTE(LEFT(TRIM(C46),FIND(" ",TRIM(C46)&amp;" ")-1),",","."),FIND("/",SUBSTITUTE(LEFT(TRIM(C46),FIND(" ",TRIM(C46)&amp;" ")-1),",","."))-1)/MID(SUBSTITUTE(LEFT(TRIM(C46),FIND(" ",TRIM(C46)&amp;" ")-1),",","."),FIND("/",SUBSTITUTE(LEFT(TRIM(C46),FIND(" ",TRIM(C46)&amp;" ")-1),",","."))+1,9)),IF(ISNUMBER(SEARCH("yea",C46)),IFERROR(_xlfn.NUMBERVALUE(SUBSTITUTE(LEFT(TRIM(C46),FIND(" ",TRIM(C46)&amp;" ")-1),",","."),"."),LEFT(SUBSTITUTE(LEFT(TRIM(C46),FIND(" ",TRIM(C46)&amp;" ")-1),",","."),FIND("/",SUBSTITUTE(LEFT(TRIM(C46),FIND(" ",TRIM(C46)&amp;" ")-1),",","."))-1)/MID(SUBSTITUTE(LEFT(TRIM(C46),FIND(" ",TRIM(C46)&amp;" ")-1),",","."),FIND("/",SUBSTITUTE(LEFT(TRIM(C46),FIND(" ",TRIM(C46)&amp;" ")-1),",","."))+1,9))*12,NA()))),0),36)*'Aturan &amp; Tarif'!$B$4,2)</f>
        <v>2044.08</v>
      </c>
      <c r="K46" s="32" t="n">
        <f aca="false">'Aturan &amp; Tarif'!$B$5</f>
        <v>2050</v>
      </c>
      <c r="L46" s="32" t="n">
        <f aca="false">'Aturan &amp; Tarif'!$B$6</f>
        <v>350</v>
      </c>
      <c r="M46" s="35" t="n">
        <f aca="false">I46+J46+K46+L46</f>
        <v>29419.08</v>
      </c>
      <c r="N46" s="36" t="s">
        <v>201</v>
      </c>
    </row>
    <row r="47" customFormat="false" ht="106.5" hidden="false" customHeight="true" outlineLevel="0" collapsed="false">
      <c r="A47" s="29"/>
      <c r="B47" s="30" t="s">
        <v>202</v>
      </c>
      <c r="C47" s="31" t="s">
        <v>127</v>
      </c>
      <c r="D47" s="31" t="s">
        <v>108</v>
      </c>
      <c r="E47" s="32" t="n">
        <v>10862.5</v>
      </c>
      <c r="F47" s="32"/>
      <c r="G47" s="32"/>
      <c r="H47" s="33" t="n">
        <v>2</v>
      </c>
      <c r="I47" s="34" t="n">
        <f aca="false">E47*H47+N(F47)+N(G47)</f>
        <v>21725</v>
      </c>
      <c r="J47" s="32" t="n">
        <f aca="false">ROUND(IFERROR(ROUND(IF(OR(ISNUMBER(SEARCH("week",C47)),ISNUMBER(SEARCH("minggu",C47))),IFERROR(_xlfn.NUMBERVALUE(SUBSTITUTE(LEFT(TRIM(C47),FIND(" ",TRIM(C47)&amp;" ")-1),",","."),"."),LEFT(SUBSTITUTE(LEFT(TRIM(C47),FIND(" ",TRIM(C47)&amp;" ")-1),",","."),FIND("/",SUBSTITUTE(LEFT(TRIM(C47),FIND(" ",TRIM(C47)&amp;" ")-1),",","."))-1)/MID(SUBSTITUTE(LEFT(TRIM(C47),FIND(" ",TRIM(C47)&amp;" ")-1),",","."),FIND("/",SUBSTITUTE(LEFT(TRIM(C47),FIND(" ",TRIM(C47)&amp;" ")-1),",","."))+1,9))*12/52,IF(ISNUMBER(SEARCH("month",C47)),IFERROR(_xlfn.NUMBERVALUE(SUBSTITUTE(LEFT(TRIM(C47),FIND(" ",TRIM(C47)&amp;" ")-1),",","."),"."),LEFT(SUBSTITUTE(LEFT(TRIM(C47),FIND(" ",TRIM(C47)&amp;" ")-1),",","."),FIND("/",SUBSTITUTE(LEFT(TRIM(C47),FIND(" ",TRIM(C47)&amp;" ")-1),",","."))-1)/MID(SUBSTITUTE(LEFT(TRIM(C47),FIND(" ",TRIM(C47)&amp;" ")-1),",","."),FIND("/",SUBSTITUTE(LEFT(TRIM(C47),FIND(" ",TRIM(C47)&amp;" ")-1),",","."))+1,9)),IF(ISNUMBER(SEARCH("yea",C47)),IFERROR(_xlfn.NUMBERVALUE(SUBSTITUTE(LEFT(TRIM(C47),FIND(" ",TRIM(C47)&amp;" ")-1),",","."),"."),LEFT(SUBSTITUTE(LEFT(TRIM(C47),FIND(" ",TRIM(C47)&amp;" ")-1),",","."),FIND("/",SUBSTITUTE(LEFT(TRIM(C47),FIND(" ",TRIM(C47)&amp;" ")-1),",","."))-1)/MID(SUBSTITUTE(LEFT(TRIM(C47),FIND(" ",TRIM(C47)&amp;" ")-1),",","."),FIND("/",SUBSTITUTE(LEFT(TRIM(C47),FIND(" ",TRIM(C47)&amp;" ")-1),",","."))+1,9))*12,NA()))),0),36)*'Aturan &amp; Tarif'!$B$4,2)</f>
        <v>2044.08</v>
      </c>
      <c r="K47" s="32" t="n">
        <f aca="false">'Aturan &amp; Tarif'!$B$5</f>
        <v>2050</v>
      </c>
      <c r="L47" s="32" t="n">
        <f aca="false">'Aturan &amp; Tarif'!$B$6</f>
        <v>350</v>
      </c>
      <c r="M47" s="35" t="n">
        <f aca="false">I47+J47+K47+L47</f>
        <v>26169.08</v>
      </c>
      <c r="N47" s="36" t="s">
        <v>203</v>
      </c>
    </row>
    <row r="48" customFormat="false" ht="37.5" hidden="false" customHeight="true" outlineLevel="0" collapsed="false">
      <c r="A48" s="29"/>
      <c r="B48" s="30" t="s">
        <v>204</v>
      </c>
      <c r="C48" s="31" t="s">
        <v>130</v>
      </c>
      <c r="D48" s="31" t="s">
        <v>108</v>
      </c>
      <c r="E48" s="32" t="n">
        <v>9312.5</v>
      </c>
      <c r="F48" s="32"/>
      <c r="G48" s="32"/>
      <c r="H48" s="33" t="n">
        <v>2</v>
      </c>
      <c r="I48" s="34" t="n">
        <f aca="false">E48*H48+N(F48)+N(G48)</f>
        <v>18625</v>
      </c>
      <c r="J48" s="32" t="n">
        <f aca="false">ROUND(IFERROR(ROUND(IF(OR(ISNUMBER(SEARCH("week",C48)),ISNUMBER(SEARCH("minggu",C48))),IFERROR(_xlfn.NUMBERVALUE(SUBSTITUTE(LEFT(TRIM(C48),FIND(" ",TRIM(C48)&amp;" ")-1),",","."),"."),LEFT(SUBSTITUTE(LEFT(TRIM(C48),FIND(" ",TRIM(C48)&amp;" ")-1),",","."),FIND("/",SUBSTITUTE(LEFT(TRIM(C48),FIND(" ",TRIM(C48)&amp;" ")-1),",","."))-1)/MID(SUBSTITUTE(LEFT(TRIM(C48),FIND(" ",TRIM(C48)&amp;" ")-1),",","."),FIND("/",SUBSTITUTE(LEFT(TRIM(C48),FIND(" ",TRIM(C48)&amp;" ")-1),",","."))+1,9))*12/52,IF(ISNUMBER(SEARCH("month",C48)),IFERROR(_xlfn.NUMBERVALUE(SUBSTITUTE(LEFT(TRIM(C48),FIND(" ",TRIM(C48)&amp;" ")-1),",","."),"."),LEFT(SUBSTITUTE(LEFT(TRIM(C48),FIND(" ",TRIM(C48)&amp;" ")-1),",","."),FIND("/",SUBSTITUTE(LEFT(TRIM(C48),FIND(" ",TRIM(C48)&amp;" ")-1),",","."))-1)/MID(SUBSTITUTE(LEFT(TRIM(C48),FIND(" ",TRIM(C48)&amp;" ")-1),",","."),FIND("/",SUBSTITUTE(LEFT(TRIM(C48),FIND(" ",TRIM(C48)&amp;" ")-1),",","."))+1,9)),IF(ISNUMBER(SEARCH("yea",C48)),IFERROR(_xlfn.NUMBERVALUE(SUBSTITUTE(LEFT(TRIM(C48),FIND(" ",TRIM(C48)&amp;" ")-1),",","."),"."),LEFT(SUBSTITUTE(LEFT(TRIM(C48),FIND(" ",TRIM(C48)&amp;" ")-1),",","."),FIND("/",SUBSTITUTE(LEFT(TRIM(C48),FIND(" ",TRIM(C48)&amp;" ")-1),",","."))-1)/MID(SUBSTITUTE(LEFT(TRIM(C48),FIND(" ",TRIM(C48)&amp;" ")-1),",","."),FIND("/",SUBSTITUTE(LEFT(TRIM(C48),FIND(" ",TRIM(C48)&amp;" ")-1),",","."))+1,9))*12,NA()))),0),12)*'Aturan &amp; Tarif'!$B$4,2)</f>
        <v>681.36</v>
      </c>
      <c r="K48" s="32" t="n">
        <f aca="false">'Aturan &amp; Tarif'!$B$5</f>
        <v>2050</v>
      </c>
      <c r="L48" s="32" t="n">
        <f aca="false">'Aturan &amp; Tarif'!$B$6</f>
        <v>350</v>
      </c>
      <c r="M48" s="35" t="n">
        <f aca="false">I48+J48+K48+L48</f>
        <v>21706.36</v>
      </c>
      <c r="N48" s="36" t="s">
        <v>194</v>
      </c>
    </row>
    <row r="49" customFormat="false" ht="37.5" hidden="false" customHeight="true" outlineLevel="0" collapsed="false">
      <c r="A49" s="29"/>
      <c r="B49" s="30" t="s">
        <v>205</v>
      </c>
      <c r="C49" s="31" t="s">
        <v>130</v>
      </c>
      <c r="D49" s="31" t="s">
        <v>108</v>
      </c>
      <c r="E49" s="32" t="n">
        <v>9562.5</v>
      </c>
      <c r="F49" s="32"/>
      <c r="G49" s="32"/>
      <c r="H49" s="33" t="n">
        <v>2</v>
      </c>
      <c r="I49" s="34" t="n">
        <f aca="false">E49*H49+N(F49)+N(G49)</f>
        <v>19125</v>
      </c>
      <c r="J49" s="32" t="n">
        <f aca="false">ROUND(IFERROR(ROUND(IF(OR(ISNUMBER(SEARCH("week",C49)),ISNUMBER(SEARCH("minggu",C49))),IFERROR(_xlfn.NUMBERVALUE(SUBSTITUTE(LEFT(TRIM(C49),FIND(" ",TRIM(C49)&amp;" ")-1),",","."),"."),LEFT(SUBSTITUTE(LEFT(TRIM(C49),FIND(" ",TRIM(C49)&amp;" ")-1),",","."),FIND("/",SUBSTITUTE(LEFT(TRIM(C49),FIND(" ",TRIM(C49)&amp;" ")-1),",","."))-1)/MID(SUBSTITUTE(LEFT(TRIM(C49),FIND(" ",TRIM(C49)&amp;" ")-1),",","."),FIND("/",SUBSTITUTE(LEFT(TRIM(C49),FIND(" ",TRIM(C49)&amp;" ")-1),",","."))+1,9))*12/52,IF(ISNUMBER(SEARCH("month",C49)),IFERROR(_xlfn.NUMBERVALUE(SUBSTITUTE(LEFT(TRIM(C49),FIND(" ",TRIM(C49)&amp;" ")-1),",","."),"."),LEFT(SUBSTITUTE(LEFT(TRIM(C49),FIND(" ",TRIM(C49)&amp;" ")-1),",","."),FIND("/",SUBSTITUTE(LEFT(TRIM(C49),FIND(" ",TRIM(C49)&amp;" ")-1),",","."))-1)/MID(SUBSTITUTE(LEFT(TRIM(C49),FIND(" ",TRIM(C49)&amp;" ")-1),",","."),FIND("/",SUBSTITUTE(LEFT(TRIM(C49),FIND(" ",TRIM(C49)&amp;" ")-1),",","."))+1,9)),IF(ISNUMBER(SEARCH("yea",C49)),IFERROR(_xlfn.NUMBERVALUE(SUBSTITUTE(LEFT(TRIM(C49),FIND(" ",TRIM(C49)&amp;" ")-1),",","."),"."),LEFT(SUBSTITUTE(LEFT(TRIM(C49),FIND(" ",TRIM(C49)&amp;" ")-1),",","."),FIND("/",SUBSTITUTE(LEFT(TRIM(C49),FIND(" ",TRIM(C49)&amp;" ")-1),",","."))-1)/MID(SUBSTITUTE(LEFT(TRIM(C49),FIND(" ",TRIM(C49)&amp;" ")-1),",","."),FIND("/",SUBSTITUTE(LEFT(TRIM(C49),FIND(" ",TRIM(C49)&amp;" ")-1),",","."))+1,9))*12,NA()))),0),12)*'Aturan &amp; Tarif'!$B$4,2)</f>
        <v>681.36</v>
      </c>
      <c r="K49" s="32" t="n">
        <f aca="false">'Aturan &amp; Tarif'!$B$5</f>
        <v>2050</v>
      </c>
      <c r="L49" s="32" t="n">
        <f aca="false">'Aturan &amp; Tarif'!$B$6</f>
        <v>350</v>
      </c>
      <c r="M49" s="35" t="n">
        <f aca="false">I49+J49+K49+L49</f>
        <v>22206.36</v>
      </c>
      <c r="N49" s="36" t="s">
        <v>194</v>
      </c>
    </row>
    <row r="50" customFormat="false" ht="106.5" hidden="false" customHeight="true" outlineLevel="0" collapsed="false">
      <c r="A50" s="29"/>
      <c r="B50" s="30" t="s">
        <v>206</v>
      </c>
      <c r="C50" s="31" t="s">
        <v>159</v>
      </c>
      <c r="D50" s="31" t="s">
        <v>108</v>
      </c>
      <c r="E50" s="32" t="n">
        <v>9987.5</v>
      </c>
      <c r="F50" s="32"/>
      <c r="G50" s="32"/>
      <c r="H50" s="33" t="n">
        <v>2</v>
      </c>
      <c r="I50" s="34" t="n">
        <f aca="false">E50*H50+N(F50)+N(G50)</f>
        <v>19975</v>
      </c>
      <c r="J50" s="32" t="n">
        <f aca="false">ROUND(IFERROR(ROUND(IF(OR(ISNUMBER(SEARCH("week",C50)),ISNUMBER(SEARCH("minggu",C50))),IFERROR(_xlfn.NUMBERVALUE(SUBSTITUTE(LEFT(TRIM(C50),FIND(" ",TRIM(C50)&amp;" ")-1),",","."),"."),LEFT(SUBSTITUTE(LEFT(TRIM(C50),FIND(" ",TRIM(C50)&amp;" ")-1),",","."),FIND("/",SUBSTITUTE(LEFT(TRIM(C50),FIND(" ",TRIM(C50)&amp;" ")-1),",","."))-1)/MID(SUBSTITUTE(LEFT(TRIM(C50),FIND(" ",TRIM(C50)&amp;" ")-1),",","."),FIND("/",SUBSTITUTE(LEFT(TRIM(C50),FIND(" ",TRIM(C50)&amp;" ")-1),",","."))+1,9))*12/52,IF(ISNUMBER(SEARCH("month",C50)),IFERROR(_xlfn.NUMBERVALUE(SUBSTITUTE(LEFT(TRIM(C50),FIND(" ",TRIM(C50)&amp;" ")-1),",","."),"."),LEFT(SUBSTITUTE(LEFT(TRIM(C50),FIND(" ",TRIM(C50)&amp;" ")-1),",","."),FIND("/",SUBSTITUTE(LEFT(TRIM(C50),FIND(" ",TRIM(C50)&amp;" ")-1),",","."))-1)/MID(SUBSTITUTE(LEFT(TRIM(C50),FIND(" ",TRIM(C50)&amp;" ")-1),",","."),FIND("/",SUBSTITUTE(LEFT(TRIM(C50),FIND(" ",TRIM(C50)&amp;" ")-1),",","."))+1,9)),IF(ISNUMBER(SEARCH("yea",C50)),IFERROR(_xlfn.NUMBERVALUE(SUBSTITUTE(LEFT(TRIM(C50),FIND(" ",TRIM(C50)&amp;" ")-1),",","."),"."),LEFT(SUBSTITUTE(LEFT(TRIM(C50),FIND(" ",TRIM(C50)&amp;" ")-1),",","."),FIND("/",SUBSTITUTE(LEFT(TRIM(C50),FIND(" ",TRIM(C50)&amp;" ")-1),",","."))-1)/MID(SUBSTITUTE(LEFT(TRIM(C50),FIND(" ",TRIM(C50)&amp;" ")-1),",","."),FIND("/",SUBSTITUTE(LEFT(TRIM(C50),FIND(" ",TRIM(C50)&amp;" ")-1),",","."))+1,9))*12,NA()))),0),6)*'Aturan &amp; Tarif'!$B$4,2)</f>
        <v>340.68</v>
      </c>
      <c r="K50" s="32" t="n">
        <f aca="false">'Aturan &amp; Tarif'!$B$5</f>
        <v>2050</v>
      </c>
      <c r="L50" s="32" t="n">
        <f aca="false">'Aturan &amp; Tarif'!$B$6</f>
        <v>350</v>
      </c>
      <c r="M50" s="35" t="n">
        <f aca="false">I50+J50+K50+L50</f>
        <v>22715.68</v>
      </c>
      <c r="N50" s="36" t="s">
        <v>207</v>
      </c>
    </row>
    <row r="51" customFormat="false" ht="106.5" hidden="false" customHeight="true" outlineLevel="0" collapsed="false">
      <c r="A51" s="29"/>
      <c r="B51" s="30" t="s">
        <v>208</v>
      </c>
      <c r="C51" s="31" t="s">
        <v>159</v>
      </c>
      <c r="D51" s="31" t="s">
        <v>108</v>
      </c>
      <c r="E51" s="32" t="n">
        <v>10062.5</v>
      </c>
      <c r="F51" s="32"/>
      <c r="G51" s="32"/>
      <c r="H51" s="33" t="n">
        <v>2</v>
      </c>
      <c r="I51" s="34" t="n">
        <f aca="false">E51*H51+N(F51)+N(G51)</f>
        <v>20125</v>
      </c>
      <c r="J51" s="32" t="n">
        <f aca="false">ROUND(IFERROR(ROUND(IF(OR(ISNUMBER(SEARCH("week",C51)),ISNUMBER(SEARCH("minggu",C51))),IFERROR(_xlfn.NUMBERVALUE(SUBSTITUTE(LEFT(TRIM(C51),FIND(" ",TRIM(C51)&amp;" ")-1),",","."),"."),LEFT(SUBSTITUTE(LEFT(TRIM(C51),FIND(" ",TRIM(C51)&amp;" ")-1),",","."),FIND("/",SUBSTITUTE(LEFT(TRIM(C51),FIND(" ",TRIM(C51)&amp;" ")-1),",","."))-1)/MID(SUBSTITUTE(LEFT(TRIM(C51),FIND(" ",TRIM(C51)&amp;" ")-1),",","."),FIND("/",SUBSTITUTE(LEFT(TRIM(C51),FIND(" ",TRIM(C51)&amp;" ")-1),",","."))+1,9))*12/52,IF(ISNUMBER(SEARCH("month",C51)),IFERROR(_xlfn.NUMBERVALUE(SUBSTITUTE(LEFT(TRIM(C51),FIND(" ",TRIM(C51)&amp;" ")-1),",","."),"."),LEFT(SUBSTITUTE(LEFT(TRIM(C51),FIND(" ",TRIM(C51)&amp;" ")-1),",","."),FIND("/",SUBSTITUTE(LEFT(TRIM(C51),FIND(" ",TRIM(C51)&amp;" ")-1),",","."))-1)/MID(SUBSTITUTE(LEFT(TRIM(C51),FIND(" ",TRIM(C51)&amp;" ")-1),",","."),FIND("/",SUBSTITUTE(LEFT(TRIM(C51),FIND(" ",TRIM(C51)&amp;" ")-1),",","."))+1,9)),IF(ISNUMBER(SEARCH("yea",C51)),IFERROR(_xlfn.NUMBERVALUE(SUBSTITUTE(LEFT(TRIM(C51),FIND(" ",TRIM(C51)&amp;" ")-1),",","."),"."),LEFT(SUBSTITUTE(LEFT(TRIM(C51),FIND(" ",TRIM(C51)&amp;" ")-1),",","."),FIND("/",SUBSTITUTE(LEFT(TRIM(C51),FIND(" ",TRIM(C51)&amp;" ")-1),",","."))-1)/MID(SUBSTITUTE(LEFT(TRIM(C51),FIND(" ",TRIM(C51)&amp;" ")-1),",","."),FIND("/",SUBSTITUTE(LEFT(TRIM(C51),FIND(" ",TRIM(C51)&amp;" ")-1),",","."))+1,9))*12,NA()))),0),6)*'Aturan &amp; Tarif'!$B$4,2)</f>
        <v>340.68</v>
      </c>
      <c r="K51" s="32" t="n">
        <f aca="false">'Aturan &amp; Tarif'!$B$5</f>
        <v>2050</v>
      </c>
      <c r="L51" s="32" t="n">
        <f aca="false">'Aturan &amp; Tarif'!$B$6</f>
        <v>350</v>
      </c>
      <c r="M51" s="35" t="n">
        <f aca="false">I51+J51+K51+L51</f>
        <v>22865.68</v>
      </c>
      <c r="N51" s="36" t="s">
        <v>209</v>
      </c>
    </row>
    <row r="52" customFormat="false" ht="37.5" hidden="false" customHeight="true" outlineLevel="0" collapsed="false">
      <c r="A52" s="29"/>
      <c r="B52" s="30" t="s">
        <v>210</v>
      </c>
      <c r="C52" s="31" t="s">
        <v>159</v>
      </c>
      <c r="D52" s="31" t="s">
        <v>108</v>
      </c>
      <c r="E52" s="32" t="n">
        <v>10062.5</v>
      </c>
      <c r="F52" s="32"/>
      <c r="G52" s="32"/>
      <c r="H52" s="33" t="n">
        <v>2</v>
      </c>
      <c r="I52" s="34" t="n">
        <f aca="false">E52*H52+N(F52)+N(G52)</f>
        <v>20125</v>
      </c>
      <c r="J52" s="32" t="n">
        <f aca="false">ROUND(IFERROR(ROUND(IF(OR(ISNUMBER(SEARCH("week",C52)),ISNUMBER(SEARCH("minggu",C52))),IFERROR(_xlfn.NUMBERVALUE(SUBSTITUTE(LEFT(TRIM(C52),FIND(" ",TRIM(C52)&amp;" ")-1),",","."),"."),LEFT(SUBSTITUTE(LEFT(TRIM(C52),FIND(" ",TRIM(C52)&amp;" ")-1),",","."),FIND("/",SUBSTITUTE(LEFT(TRIM(C52),FIND(" ",TRIM(C52)&amp;" ")-1),",","."))-1)/MID(SUBSTITUTE(LEFT(TRIM(C52),FIND(" ",TRIM(C52)&amp;" ")-1),",","."),FIND("/",SUBSTITUTE(LEFT(TRIM(C52),FIND(" ",TRIM(C52)&amp;" ")-1),",","."))+1,9))*12/52,IF(ISNUMBER(SEARCH("month",C52)),IFERROR(_xlfn.NUMBERVALUE(SUBSTITUTE(LEFT(TRIM(C52),FIND(" ",TRIM(C52)&amp;" ")-1),",","."),"."),LEFT(SUBSTITUTE(LEFT(TRIM(C52),FIND(" ",TRIM(C52)&amp;" ")-1),",","."),FIND("/",SUBSTITUTE(LEFT(TRIM(C52),FIND(" ",TRIM(C52)&amp;" ")-1),",","."))-1)/MID(SUBSTITUTE(LEFT(TRIM(C52),FIND(" ",TRIM(C52)&amp;" ")-1),",","."),FIND("/",SUBSTITUTE(LEFT(TRIM(C52),FIND(" ",TRIM(C52)&amp;" ")-1),",","."))+1,9)),IF(ISNUMBER(SEARCH("yea",C52)),IFERROR(_xlfn.NUMBERVALUE(SUBSTITUTE(LEFT(TRIM(C52),FIND(" ",TRIM(C52)&amp;" ")-1),",","."),"."),LEFT(SUBSTITUTE(LEFT(TRIM(C52),FIND(" ",TRIM(C52)&amp;" ")-1),",","."),FIND("/",SUBSTITUTE(LEFT(TRIM(C52),FIND(" ",TRIM(C52)&amp;" ")-1),",","."))-1)/MID(SUBSTITUTE(LEFT(TRIM(C52),FIND(" ",TRIM(C52)&amp;" ")-1),",","."),FIND("/",SUBSTITUTE(LEFT(TRIM(C52),FIND(" ",TRIM(C52)&amp;" ")-1),",","."))+1,9))*12,NA()))),0),6)*'Aturan &amp; Tarif'!$B$4,2)</f>
        <v>340.68</v>
      </c>
      <c r="K52" s="32" t="n">
        <f aca="false">'Aturan &amp; Tarif'!$B$5</f>
        <v>2050</v>
      </c>
      <c r="L52" s="32" t="n">
        <f aca="false">'Aturan &amp; Tarif'!$B$6</f>
        <v>350</v>
      </c>
      <c r="M52" s="35" t="n">
        <f aca="false">I52+J52+K52+L52</f>
        <v>22865.68</v>
      </c>
      <c r="N52" s="36" t="s">
        <v>194</v>
      </c>
    </row>
    <row r="53" customFormat="false" ht="37.5" hidden="false" customHeight="true" outlineLevel="0" collapsed="false">
      <c r="A53" s="29"/>
      <c r="B53" s="30" t="s">
        <v>211</v>
      </c>
      <c r="C53" s="31" t="s">
        <v>130</v>
      </c>
      <c r="D53" s="31" t="s">
        <v>108</v>
      </c>
      <c r="E53" s="32" t="n">
        <v>10062.5</v>
      </c>
      <c r="F53" s="32"/>
      <c r="G53" s="32"/>
      <c r="H53" s="33" t="n">
        <v>2</v>
      </c>
      <c r="I53" s="34" t="n">
        <f aca="false">E53*H53+N(F53)+N(G53)</f>
        <v>20125</v>
      </c>
      <c r="J53" s="32" t="n">
        <f aca="false">ROUND(IFERROR(ROUND(IF(OR(ISNUMBER(SEARCH("week",C53)),ISNUMBER(SEARCH("minggu",C53))),IFERROR(_xlfn.NUMBERVALUE(SUBSTITUTE(LEFT(TRIM(C53),FIND(" ",TRIM(C53)&amp;" ")-1),",","."),"."),LEFT(SUBSTITUTE(LEFT(TRIM(C53),FIND(" ",TRIM(C53)&amp;" ")-1),",","."),FIND("/",SUBSTITUTE(LEFT(TRIM(C53),FIND(" ",TRIM(C53)&amp;" ")-1),",","."))-1)/MID(SUBSTITUTE(LEFT(TRIM(C53),FIND(" ",TRIM(C53)&amp;" ")-1),",","."),FIND("/",SUBSTITUTE(LEFT(TRIM(C53),FIND(" ",TRIM(C53)&amp;" ")-1),",","."))+1,9))*12/52,IF(ISNUMBER(SEARCH("month",C53)),IFERROR(_xlfn.NUMBERVALUE(SUBSTITUTE(LEFT(TRIM(C53),FIND(" ",TRIM(C53)&amp;" ")-1),",","."),"."),LEFT(SUBSTITUTE(LEFT(TRIM(C53),FIND(" ",TRIM(C53)&amp;" ")-1),",","."),FIND("/",SUBSTITUTE(LEFT(TRIM(C53),FIND(" ",TRIM(C53)&amp;" ")-1),",","."))-1)/MID(SUBSTITUTE(LEFT(TRIM(C53),FIND(" ",TRIM(C53)&amp;" ")-1),",","."),FIND("/",SUBSTITUTE(LEFT(TRIM(C53),FIND(" ",TRIM(C53)&amp;" ")-1),",","."))+1,9)),IF(ISNUMBER(SEARCH("yea",C53)),IFERROR(_xlfn.NUMBERVALUE(SUBSTITUTE(LEFT(TRIM(C53),FIND(" ",TRIM(C53)&amp;" ")-1),",","."),"."),LEFT(SUBSTITUTE(LEFT(TRIM(C53),FIND(" ",TRIM(C53)&amp;" ")-1),",","."),FIND("/",SUBSTITUTE(LEFT(TRIM(C53),FIND(" ",TRIM(C53)&amp;" ")-1),",","."))-1)/MID(SUBSTITUTE(LEFT(TRIM(C53),FIND(" ",TRIM(C53)&amp;" ")-1),",","."),FIND("/",SUBSTITUTE(LEFT(TRIM(C53),FIND(" ",TRIM(C53)&amp;" ")-1),",","."))+1,9))*12,NA()))),0),12)*'Aturan &amp; Tarif'!$B$4,2)</f>
        <v>681.36</v>
      </c>
      <c r="K53" s="32" t="n">
        <f aca="false">'Aturan &amp; Tarif'!$B$5</f>
        <v>2050</v>
      </c>
      <c r="L53" s="32" t="n">
        <f aca="false">'Aturan &amp; Tarif'!$B$6</f>
        <v>350</v>
      </c>
      <c r="M53" s="35" t="n">
        <f aca="false">I53+J53+K53+L53</f>
        <v>23206.36</v>
      </c>
      <c r="N53" s="36" t="s">
        <v>194</v>
      </c>
    </row>
    <row r="54" customFormat="false" ht="106.5" hidden="false" customHeight="true" outlineLevel="0" collapsed="false">
      <c r="A54" s="29"/>
      <c r="B54" s="30" t="s">
        <v>212</v>
      </c>
      <c r="C54" s="31" t="s">
        <v>130</v>
      </c>
      <c r="D54" s="31" t="s">
        <v>108</v>
      </c>
      <c r="E54" s="32" t="n">
        <v>9987.5</v>
      </c>
      <c r="F54" s="32"/>
      <c r="G54" s="32"/>
      <c r="H54" s="33" t="n">
        <v>2</v>
      </c>
      <c r="I54" s="34" t="n">
        <f aca="false">E54*H54+N(F54)+N(G54)</f>
        <v>19975</v>
      </c>
      <c r="J54" s="32" t="n">
        <f aca="false">ROUND(IFERROR(ROUND(IF(OR(ISNUMBER(SEARCH("week",C54)),ISNUMBER(SEARCH("minggu",C54))),IFERROR(_xlfn.NUMBERVALUE(SUBSTITUTE(LEFT(TRIM(C54),FIND(" ",TRIM(C54)&amp;" ")-1),",","."),"."),LEFT(SUBSTITUTE(LEFT(TRIM(C54),FIND(" ",TRIM(C54)&amp;" ")-1),",","."),FIND("/",SUBSTITUTE(LEFT(TRIM(C54),FIND(" ",TRIM(C54)&amp;" ")-1),",","."))-1)/MID(SUBSTITUTE(LEFT(TRIM(C54),FIND(" ",TRIM(C54)&amp;" ")-1),",","."),FIND("/",SUBSTITUTE(LEFT(TRIM(C54),FIND(" ",TRIM(C54)&amp;" ")-1),",","."))+1,9))*12/52,IF(ISNUMBER(SEARCH("month",C54)),IFERROR(_xlfn.NUMBERVALUE(SUBSTITUTE(LEFT(TRIM(C54),FIND(" ",TRIM(C54)&amp;" ")-1),",","."),"."),LEFT(SUBSTITUTE(LEFT(TRIM(C54),FIND(" ",TRIM(C54)&amp;" ")-1),",","."),FIND("/",SUBSTITUTE(LEFT(TRIM(C54),FIND(" ",TRIM(C54)&amp;" ")-1),",","."))-1)/MID(SUBSTITUTE(LEFT(TRIM(C54),FIND(" ",TRIM(C54)&amp;" ")-1),",","."),FIND("/",SUBSTITUTE(LEFT(TRIM(C54),FIND(" ",TRIM(C54)&amp;" ")-1),",","."))+1,9)),IF(ISNUMBER(SEARCH("yea",C54)),IFERROR(_xlfn.NUMBERVALUE(SUBSTITUTE(LEFT(TRIM(C54),FIND(" ",TRIM(C54)&amp;" ")-1),",","."),"."),LEFT(SUBSTITUTE(LEFT(TRIM(C54),FIND(" ",TRIM(C54)&amp;" ")-1),",","."),FIND("/",SUBSTITUTE(LEFT(TRIM(C54),FIND(" ",TRIM(C54)&amp;" ")-1),",","."))-1)/MID(SUBSTITUTE(LEFT(TRIM(C54),FIND(" ",TRIM(C54)&amp;" ")-1),",","."),FIND("/",SUBSTITUTE(LEFT(TRIM(C54),FIND(" ",TRIM(C54)&amp;" ")-1),",","."))+1,9))*12,NA()))),0),12)*'Aturan &amp; Tarif'!$B$4,2)</f>
        <v>681.36</v>
      </c>
      <c r="K54" s="32" t="n">
        <f aca="false">'Aturan &amp; Tarif'!$B$5</f>
        <v>2050</v>
      </c>
      <c r="L54" s="32" t="n">
        <f aca="false">'Aturan &amp; Tarif'!$B$6</f>
        <v>350</v>
      </c>
      <c r="M54" s="35" t="n">
        <f aca="false">I54+J54+K54+L54</f>
        <v>23056.36</v>
      </c>
      <c r="N54" s="36" t="s">
        <v>213</v>
      </c>
    </row>
    <row r="55" customFormat="false" ht="106.5" hidden="false" customHeight="true" outlineLevel="0" collapsed="false">
      <c r="A55" s="29"/>
      <c r="B55" s="30" t="s">
        <v>214</v>
      </c>
      <c r="C55" s="31" t="s">
        <v>130</v>
      </c>
      <c r="D55" s="31" t="s">
        <v>108</v>
      </c>
      <c r="E55" s="32" t="n">
        <v>12737.5</v>
      </c>
      <c r="F55" s="32"/>
      <c r="G55" s="32"/>
      <c r="H55" s="33" t="n">
        <v>2</v>
      </c>
      <c r="I55" s="34" t="n">
        <f aca="false">E55*H55+N(F55)+N(G55)</f>
        <v>25475</v>
      </c>
      <c r="J55" s="32" t="n">
        <f aca="false">ROUND(IFERROR(ROUND(IF(OR(ISNUMBER(SEARCH("week",C55)),ISNUMBER(SEARCH("minggu",C55))),IFERROR(_xlfn.NUMBERVALUE(SUBSTITUTE(LEFT(TRIM(C55),FIND(" ",TRIM(C55)&amp;" ")-1),",","."),"."),LEFT(SUBSTITUTE(LEFT(TRIM(C55),FIND(" ",TRIM(C55)&amp;" ")-1),",","."),FIND("/",SUBSTITUTE(LEFT(TRIM(C55),FIND(" ",TRIM(C55)&amp;" ")-1),",","."))-1)/MID(SUBSTITUTE(LEFT(TRIM(C55),FIND(" ",TRIM(C55)&amp;" ")-1),",","."),FIND("/",SUBSTITUTE(LEFT(TRIM(C55),FIND(" ",TRIM(C55)&amp;" ")-1),",","."))+1,9))*12/52,IF(ISNUMBER(SEARCH("month",C55)),IFERROR(_xlfn.NUMBERVALUE(SUBSTITUTE(LEFT(TRIM(C55),FIND(" ",TRIM(C55)&amp;" ")-1),",","."),"."),LEFT(SUBSTITUTE(LEFT(TRIM(C55),FIND(" ",TRIM(C55)&amp;" ")-1),",","."),FIND("/",SUBSTITUTE(LEFT(TRIM(C55),FIND(" ",TRIM(C55)&amp;" ")-1),",","."))-1)/MID(SUBSTITUTE(LEFT(TRIM(C55),FIND(" ",TRIM(C55)&amp;" ")-1),",","."),FIND("/",SUBSTITUTE(LEFT(TRIM(C55),FIND(" ",TRIM(C55)&amp;" ")-1),",","."))+1,9)),IF(ISNUMBER(SEARCH("yea",C55)),IFERROR(_xlfn.NUMBERVALUE(SUBSTITUTE(LEFT(TRIM(C55),FIND(" ",TRIM(C55)&amp;" ")-1),",","."),"."),LEFT(SUBSTITUTE(LEFT(TRIM(C55),FIND(" ",TRIM(C55)&amp;" ")-1),",","."),FIND("/",SUBSTITUTE(LEFT(TRIM(C55),FIND(" ",TRIM(C55)&amp;" ")-1),",","."))-1)/MID(SUBSTITUTE(LEFT(TRIM(C55),FIND(" ",TRIM(C55)&amp;" ")-1),",","."),FIND("/",SUBSTITUTE(LEFT(TRIM(C55),FIND(" ",TRIM(C55)&amp;" ")-1),",","."))+1,9))*12,NA()))),0),12)*'Aturan &amp; Tarif'!$B$4,2)</f>
        <v>681.36</v>
      </c>
      <c r="K55" s="32" t="n">
        <f aca="false">'Aturan &amp; Tarif'!$B$5</f>
        <v>2050</v>
      </c>
      <c r="L55" s="32" t="n">
        <f aca="false">'Aturan &amp; Tarif'!$B$6</f>
        <v>350</v>
      </c>
      <c r="M55" s="35" t="n">
        <f aca="false">I55+J55+K55+L55</f>
        <v>28556.36</v>
      </c>
      <c r="N55" s="36" t="s">
        <v>215</v>
      </c>
    </row>
    <row r="56" customFormat="false" ht="106.5" hidden="false" customHeight="true" outlineLevel="0" collapsed="false">
      <c r="A56" s="29"/>
      <c r="B56" s="30" t="s">
        <v>216</v>
      </c>
      <c r="C56" s="31" t="s">
        <v>130</v>
      </c>
      <c r="D56" s="31" t="s">
        <v>108</v>
      </c>
      <c r="E56" s="32" t="n">
        <v>10062.5</v>
      </c>
      <c r="F56" s="32"/>
      <c r="G56" s="32"/>
      <c r="H56" s="33" t="n">
        <v>2</v>
      </c>
      <c r="I56" s="34" t="n">
        <f aca="false">E56*H56+N(F56)+N(G56)</f>
        <v>20125</v>
      </c>
      <c r="J56" s="32" t="n">
        <f aca="false">ROUND(IFERROR(ROUND(IF(OR(ISNUMBER(SEARCH("week",C56)),ISNUMBER(SEARCH("minggu",C56))),IFERROR(_xlfn.NUMBERVALUE(SUBSTITUTE(LEFT(TRIM(C56),FIND(" ",TRIM(C56)&amp;" ")-1),",","."),"."),LEFT(SUBSTITUTE(LEFT(TRIM(C56),FIND(" ",TRIM(C56)&amp;" ")-1),",","."),FIND("/",SUBSTITUTE(LEFT(TRIM(C56),FIND(" ",TRIM(C56)&amp;" ")-1),",","."))-1)/MID(SUBSTITUTE(LEFT(TRIM(C56),FIND(" ",TRIM(C56)&amp;" ")-1),",","."),FIND("/",SUBSTITUTE(LEFT(TRIM(C56),FIND(" ",TRIM(C56)&amp;" ")-1),",","."))+1,9))*12/52,IF(ISNUMBER(SEARCH("month",C56)),IFERROR(_xlfn.NUMBERVALUE(SUBSTITUTE(LEFT(TRIM(C56),FIND(" ",TRIM(C56)&amp;" ")-1),",","."),"."),LEFT(SUBSTITUTE(LEFT(TRIM(C56),FIND(" ",TRIM(C56)&amp;" ")-1),",","."),FIND("/",SUBSTITUTE(LEFT(TRIM(C56),FIND(" ",TRIM(C56)&amp;" ")-1),",","."))-1)/MID(SUBSTITUTE(LEFT(TRIM(C56),FIND(" ",TRIM(C56)&amp;" ")-1),",","."),FIND("/",SUBSTITUTE(LEFT(TRIM(C56),FIND(" ",TRIM(C56)&amp;" ")-1),",","."))+1,9)),IF(ISNUMBER(SEARCH("yea",C56)),IFERROR(_xlfn.NUMBERVALUE(SUBSTITUTE(LEFT(TRIM(C56),FIND(" ",TRIM(C56)&amp;" ")-1),",","."),"."),LEFT(SUBSTITUTE(LEFT(TRIM(C56),FIND(" ",TRIM(C56)&amp;" ")-1),",","."),FIND("/",SUBSTITUTE(LEFT(TRIM(C56),FIND(" ",TRIM(C56)&amp;" ")-1),",","."))-1)/MID(SUBSTITUTE(LEFT(TRIM(C56),FIND(" ",TRIM(C56)&amp;" ")-1),",","."),FIND("/",SUBSTITUTE(LEFT(TRIM(C56),FIND(" ",TRIM(C56)&amp;" ")-1),",","."))+1,9))*12,NA()))),0),12)*'Aturan &amp; Tarif'!$B$4,2)</f>
        <v>681.36</v>
      </c>
      <c r="K56" s="32" t="n">
        <f aca="false">'Aturan &amp; Tarif'!$B$5</f>
        <v>2050</v>
      </c>
      <c r="L56" s="32" t="n">
        <f aca="false">'Aturan &amp; Tarif'!$B$6</f>
        <v>350</v>
      </c>
      <c r="M56" s="35" t="n">
        <f aca="false">I56+J56+K56+L56</f>
        <v>23206.36</v>
      </c>
      <c r="N56" s="36" t="s">
        <v>217</v>
      </c>
    </row>
    <row r="57" customFormat="false" ht="106.5" hidden="false" customHeight="true" outlineLevel="0" collapsed="false">
      <c r="A57" s="29"/>
      <c r="B57" s="30" t="s">
        <v>218</v>
      </c>
      <c r="C57" s="31" t="s">
        <v>130</v>
      </c>
      <c r="D57" s="31" t="s">
        <v>108</v>
      </c>
      <c r="E57" s="32" t="n">
        <v>10362.5</v>
      </c>
      <c r="F57" s="32"/>
      <c r="G57" s="32"/>
      <c r="H57" s="33" t="n">
        <v>2</v>
      </c>
      <c r="I57" s="34" t="n">
        <f aca="false">E57*H57+N(F57)+N(G57)</f>
        <v>20725</v>
      </c>
      <c r="J57" s="32" t="n">
        <f aca="false">ROUND(IFERROR(ROUND(IF(OR(ISNUMBER(SEARCH("week",C57)),ISNUMBER(SEARCH("minggu",C57))),IFERROR(_xlfn.NUMBERVALUE(SUBSTITUTE(LEFT(TRIM(C57),FIND(" ",TRIM(C57)&amp;" ")-1),",","."),"."),LEFT(SUBSTITUTE(LEFT(TRIM(C57),FIND(" ",TRIM(C57)&amp;" ")-1),",","."),FIND("/",SUBSTITUTE(LEFT(TRIM(C57),FIND(" ",TRIM(C57)&amp;" ")-1),",","."))-1)/MID(SUBSTITUTE(LEFT(TRIM(C57),FIND(" ",TRIM(C57)&amp;" ")-1),",","."),FIND("/",SUBSTITUTE(LEFT(TRIM(C57),FIND(" ",TRIM(C57)&amp;" ")-1),",","."))+1,9))*12/52,IF(ISNUMBER(SEARCH("month",C57)),IFERROR(_xlfn.NUMBERVALUE(SUBSTITUTE(LEFT(TRIM(C57),FIND(" ",TRIM(C57)&amp;" ")-1),",","."),"."),LEFT(SUBSTITUTE(LEFT(TRIM(C57),FIND(" ",TRIM(C57)&amp;" ")-1),",","."),FIND("/",SUBSTITUTE(LEFT(TRIM(C57),FIND(" ",TRIM(C57)&amp;" ")-1),",","."))-1)/MID(SUBSTITUTE(LEFT(TRIM(C57),FIND(" ",TRIM(C57)&amp;" ")-1),",","."),FIND("/",SUBSTITUTE(LEFT(TRIM(C57),FIND(" ",TRIM(C57)&amp;" ")-1),",","."))+1,9)),IF(ISNUMBER(SEARCH("yea",C57)),IFERROR(_xlfn.NUMBERVALUE(SUBSTITUTE(LEFT(TRIM(C57),FIND(" ",TRIM(C57)&amp;" ")-1),",","."),"."),LEFT(SUBSTITUTE(LEFT(TRIM(C57),FIND(" ",TRIM(C57)&amp;" ")-1),",","."),FIND("/",SUBSTITUTE(LEFT(TRIM(C57),FIND(" ",TRIM(C57)&amp;" ")-1),",","."))-1)/MID(SUBSTITUTE(LEFT(TRIM(C57),FIND(" ",TRIM(C57)&amp;" ")-1),",","."),FIND("/",SUBSTITUTE(LEFT(TRIM(C57),FIND(" ",TRIM(C57)&amp;" ")-1),",","."))+1,9))*12,NA()))),0),12)*'Aturan &amp; Tarif'!$B$4,2)</f>
        <v>681.36</v>
      </c>
      <c r="K57" s="32" t="n">
        <f aca="false">'Aturan &amp; Tarif'!$B$5</f>
        <v>2050</v>
      </c>
      <c r="L57" s="32" t="n">
        <f aca="false">'Aturan &amp; Tarif'!$B$6</f>
        <v>350</v>
      </c>
      <c r="M57" s="35" t="n">
        <f aca="false">I57+J57+K57+L57</f>
        <v>23806.36</v>
      </c>
      <c r="N57" s="36" t="s">
        <v>219</v>
      </c>
    </row>
    <row r="58" customFormat="false" ht="106.5" hidden="false" customHeight="true" outlineLevel="0" collapsed="false">
      <c r="A58" s="29"/>
      <c r="B58" s="30" t="s">
        <v>220</v>
      </c>
      <c r="C58" s="31" t="s">
        <v>107</v>
      </c>
      <c r="D58" s="31" t="s">
        <v>108</v>
      </c>
      <c r="E58" s="32" t="n">
        <v>9562.5</v>
      </c>
      <c r="F58" s="32"/>
      <c r="G58" s="32"/>
      <c r="H58" s="33" t="n">
        <v>2</v>
      </c>
      <c r="I58" s="34" t="n">
        <f aca="false">E58*H58+N(F58)+N(G58)</f>
        <v>19125</v>
      </c>
      <c r="J58" s="32" t="n">
        <f aca="false">ROUND(IFERROR(ROUND(IF(OR(ISNUMBER(SEARCH("week",C58)),ISNUMBER(SEARCH("minggu",C58))),IFERROR(_xlfn.NUMBERVALUE(SUBSTITUTE(LEFT(TRIM(C58),FIND(" ",TRIM(C58)&amp;" ")-1),",","."),"."),LEFT(SUBSTITUTE(LEFT(TRIM(C58),FIND(" ",TRIM(C58)&amp;" ")-1),",","."),FIND("/",SUBSTITUTE(LEFT(TRIM(C58),FIND(" ",TRIM(C58)&amp;" ")-1),",","."))-1)/MID(SUBSTITUTE(LEFT(TRIM(C58),FIND(" ",TRIM(C58)&amp;" ")-1),",","."),FIND("/",SUBSTITUTE(LEFT(TRIM(C58),FIND(" ",TRIM(C58)&amp;" ")-1),",","."))+1,9))*12/52,IF(ISNUMBER(SEARCH("month",C58)),IFERROR(_xlfn.NUMBERVALUE(SUBSTITUTE(LEFT(TRIM(C58),FIND(" ",TRIM(C58)&amp;" ")-1),",","."),"."),LEFT(SUBSTITUTE(LEFT(TRIM(C58),FIND(" ",TRIM(C58)&amp;" ")-1),",","."),FIND("/",SUBSTITUTE(LEFT(TRIM(C58),FIND(" ",TRIM(C58)&amp;" ")-1),",","."))-1)/MID(SUBSTITUTE(LEFT(TRIM(C58),FIND(" ",TRIM(C58)&amp;" ")-1),",","."),FIND("/",SUBSTITUTE(LEFT(TRIM(C58),FIND(" ",TRIM(C58)&amp;" ")-1),",","."))+1,9)),IF(ISNUMBER(SEARCH("yea",C58)),IFERROR(_xlfn.NUMBERVALUE(SUBSTITUTE(LEFT(TRIM(C58),FIND(" ",TRIM(C58)&amp;" ")-1),",","."),"."),LEFT(SUBSTITUTE(LEFT(TRIM(C58),FIND(" ",TRIM(C58)&amp;" ")-1),",","."),FIND("/",SUBSTITUTE(LEFT(TRIM(C58),FIND(" ",TRIM(C58)&amp;" ")-1),",","."))-1)/MID(SUBSTITUTE(LEFT(TRIM(C58),FIND(" ",TRIM(C58)&amp;" ")-1),",","."),FIND("/",SUBSTITUTE(LEFT(TRIM(C58),FIND(" ",TRIM(C58)&amp;" ")-1),",","."))+1,9))*12,NA()))),0),24)*'Aturan &amp; Tarif'!$B$4,2)</f>
        <v>1362.72</v>
      </c>
      <c r="K58" s="32" t="n">
        <f aca="false">'Aturan &amp; Tarif'!$B$5</f>
        <v>2050</v>
      </c>
      <c r="L58" s="32" t="n">
        <f aca="false">'Aturan &amp; Tarif'!$B$6</f>
        <v>350</v>
      </c>
      <c r="M58" s="35" t="n">
        <f aca="false">I58+J58+K58+L58</f>
        <v>22887.72</v>
      </c>
      <c r="N58" s="36" t="s">
        <v>221</v>
      </c>
    </row>
    <row r="59" customFormat="false" ht="106.5" hidden="false" customHeight="true" outlineLevel="0" collapsed="false">
      <c r="A59" s="29"/>
      <c r="B59" s="30" t="s">
        <v>222</v>
      </c>
      <c r="C59" s="31" t="s">
        <v>107</v>
      </c>
      <c r="D59" s="31" t="s">
        <v>108</v>
      </c>
      <c r="E59" s="32" t="n">
        <v>10237.5</v>
      </c>
      <c r="F59" s="32"/>
      <c r="G59" s="32"/>
      <c r="H59" s="33" t="n">
        <v>2</v>
      </c>
      <c r="I59" s="34" t="n">
        <f aca="false">E59*H59+N(F59)+N(G59)</f>
        <v>20475</v>
      </c>
      <c r="J59" s="32" t="n">
        <f aca="false">ROUND(IFERROR(ROUND(IF(OR(ISNUMBER(SEARCH("week",C59)),ISNUMBER(SEARCH("minggu",C59))),IFERROR(_xlfn.NUMBERVALUE(SUBSTITUTE(LEFT(TRIM(C59),FIND(" ",TRIM(C59)&amp;" ")-1),",","."),"."),LEFT(SUBSTITUTE(LEFT(TRIM(C59),FIND(" ",TRIM(C59)&amp;" ")-1),",","."),FIND("/",SUBSTITUTE(LEFT(TRIM(C59),FIND(" ",TRIM(C59)&amp;" ")-1),",","."))-1)/MID(SUBSTITUTE(LEFT(TRIM(C59),FIND(" ",TRIM(C59)&amp;" ")-1),",","."),FIND("/",SUBSTITUTE(LEFT(TRIM(C59),FIND(" ",TRIM(C59)&amp;" ")-1),",","."))+1,9))*12/52,IF(ISNUMBER(SEARCH("month",C59)),IFERROR(_xlfn.NUMBERVALUE(SUBSTITUTE(LEFT(TRIM(C59),FIND(" ",TRIM(C59)&amp;" ")-1),",","."),"."),LEFT(SUBSTITUTE(LEFT(TRIM(C59),FIND(" ",TRIM(C59)&amp;" ")-1),",","."),FIND("/",SUBSTITUTE(LEFT(TRIM(C59),FIND(" ",TRIM(C59)&amp;" ")-1),",","."))-1)/MID(SUBSTITUTE(LEFT(TRIM(C59),FIND(" ",TRIM(C59)&amp;" ")-1),",","."),FIND("/",SUBSTITUTE(LEFT(TRIM(C59),FIND(" ",TRIM(C59)&amp;" ")-1),",","."))+1,9)),IF(ISNUMBER(SEARCH("yea",C59)),IFERROR(_xlfn.NUMBERVALUE(SUBSTITUTE(LEFT(TRIM(C59),FIND(" ",TRIM(C59)&amp;" ")-1),",","."),"."),LEFT(SUBSTITUTE(LEFT(TRIM(C59),FIND(" ",TRIM(C59)&amp;" ")-1),",","."),FIND("/",SUBSTITUTE(LEFT(TRIM(C59),FIND(" ",TRIM(C59)&amp;" ")-1),",","."))-1)/MID(SUBSTITUTE(LEFT(TRIM(C59),FIND(" ",TRIM(C59)&amp;" ")-1),",","."),FIND("/",SUBSTITUTE(LEFT(TRIM(C59),FIND(" ",TRIM(C59)&amp;" ")-1),",","."))+1,9))*12,NA()))),0),24)*'Aturan &amp; Tarif'!$B$4,2)</f>
        <v>1362.72</v>
      </c>
      <c r="K59" s="32" t="n">
        <f aca="false">'Aturan &amp; Tarif'!$B$5</f>
        <v>2050</v>
      </c>
      <c r="L59" s="32" t="n">
        <f aca="false">'Aturan &amp; Tarif'!$B$6</f>
        <v>350</v>
      </c>
      <c r="M59" s="35" t="n">
        <f aca="false">I59+J59+K59+L59</f>
        <v>24237.72</v>
      </c>
      <c r="N59" s="36" t="s">
        <v>223</v>
      </c>
    </row>
    <row r="60" customFormat="false" ht="106.5" hidden="false" customHeight="true" outlineLevel="0" collapsed="false">
      <c r="A60" s="29"/>
      <c r="B60" s="30" t="s">
        <v>224</v>
      </c>
      <c r="C60" s="31" t="s">
        <v>107</v>
      </c>
      <c r="D60" s="31" t="s">
        <v>108</v>
      </c>
      <c r="E60" s="32" t="n">
        <v>11237.5</v>
      </c>
      <c r="F60" s="32"/>
      <c r="G60" s="32"/>
      <c r="H60" s="33" t="n">
        <v>2</v>
      </c>
      <c r="I60" s="34" t="n">
        <f aca="false">E60*H60+N(F60)+N(G60)</f>
        <v>22475</v>
      </c>
      <c r="J60" s="32" t="n">
        <f aca="false">ROUND(IFERROR(ROUND(IF(OR(ISNUMBER(SEARCH("week",C60)),ISNUMBER(SEARCH("minggu",C60))),IFERROR(_xlfn.NUMBERVALUE(SUBSTITUTE(LEFT(TRIM(C60),FIND(" ",TRIM(C60)&amp;" ")-1),",","."),"."),LEFT(SUBSTITUTE(LEFT(TRIM(C60),FIND(" ",TRIM(C60)&amp;" ")-1),",","."),FIND("/",SUBSTITUTE(LEFT(TRIM(C60),FIND(" ",TRIM(C60)&amp;" ")-1),",","."))-1)/MID(SUBSTITUTE(LEFT(TRIM(C60),FIND(" ",TRIM(C60)&amp;" ")-1),",","."),FIND("/",SUBSTITUTE(LEFT(TRIM(C60),FIND(" ",TRIM(C60)&amp;" ")-1),",","."))+1,9))*12/52,IF(ISNUMBER(SEARCH("month",C60)),IFERROR(_xlfn.NUMBERVALUE(SUBSTITUTE(LEFT(TRIM(C60),FIND(" ",TRIM(C60)&amp;" ")-1),",","."),"."),LEFT(SUBSTITUTE(LEFT(TRIM(C60),FIND(" ",TRIM(C60)&amp;" ")-1),",","."),FIND("/",SUBSTITUTE(LEFT(TRIM(C60),FIND(" ",TRIM(C60)&amp;" ")-1),",","."))-1)/MID(SUBSTITUTE(LEFT(TRIM(C60),FIND(" ",TRIM(C60)&amp;" ")-1),",","."),FIND("/",SUBSTITUTE(LEFT(TRIM(C60),FIND(" ",TRIM(C60)&amp;" ")-1),",","."))+1,9)),IF(ISNUMBER(SEARCH("yea",C60)),IFERROR(_xlfn.NUMBERVALUE(SUBSTITUTE(LEFT(TRIM(C60),FIND(" ",TRIM(C60)&amp;" ")-1),",","."),"."),LEFT(SUBSTITUTE(LEFT(TRIM(C60),FIND(" ",TRIM(C60)&amp;" ")-1),",","."),FIND("/",SUBSTITUTE(LEFT(TRIM(C60),FIND(" ",TRIM(C60)&amp;" ")-1),",","."))-1)/MID(SUBSTITUTE(LEFT(TRIM(C60),FIND(" ",TRIM(C60)&amp;" ")-1),",","."),FIND("/",SUBSTITUTE(LEFT(TRIM(C60),FIND(" ",TRIM(C60)&amp;" ")-1),",","."))+1,9))*12,NA()))),0),24)*'Aturan &amp; Tarif'!$B$4,2)</f>
        <v>1362.72</v>
      </c>
      <c r="K60" s="32" t="n">
        <f aca="false">'Aturan &amp; Tarif'!$B$5</f>
        <v>2050</v>
      </c>
      <c r="L60" s="32" t="n">
        <f aca="false">'Aturan &amp; Tarif'!$B$6</f>
        <v>350</v>
      </c>
      <c r="M60" s="35" t="n">
        <f aca="false">I60+J60+K60+L60</f>
        <v>26237.72</v>
      </c>
      <c r="N60" s="36" t="s">
        <v>225</v>
      </c>
    </row>
    <row r="61" customFormat="false" ht="106.5" hidden="false" customHeight="true" outlineLevel="0" collapsed="false">
      <c r="A61" s="29"/>
      <c r="B61" s="30" t="s">
        <v>226</v>
      </c>
      <c r="C61" s="31" t="s">
        <v>107</v>
      </c>
      <c r="D61" s="31" t="s">
        <v>108</v>
      </c>
      <c r="E61" s="32" t="n">
        <v>9987.5</v>
      </c>
      <c r="F61" s="32"/>
      <c r="G61" s="32"/>
      <c r="H61" s="33" t="n">
        <v>2</v>
      </c>
      <c r="I61" s="34" t="n">
        <f aca="false">E61*H61+N(F61)+N(G61)</f>
        <v>19975</v>
      </c>
      <c r="J61" s="32" t="n">
        <f aca="false">ROUND(IFERROR(ROUND(IF(OR(ISNUMBER(SEARCH("week",C61)),ISNUMBER(SEARCH("minggu",C61))),IFERROR(_xlfn.NUMBERVALUE(SUBSTITUTE(LEFT(TRIM(C61),FIND(" ",TRIM(C61)&amp;" ")-1),",","."),"."),LEFT(SUBSTITUTE(LEFT(TRIM(C61),FIND(" ",TRIM(C61)&amp;" ")-1),",","."),FIND("/",SUBSTITUTE(LEFT(TRIM(C61),FIND(" ",TRIM(C61)&amp;" ")-1),",","."))-1)/MID(SUBSTITUTE(LEFT(TRIM(C61),FIND(" ",TRIM(C61)&amp;" ")-1),",","."),FIND("/",SUBSTITUTE(LEFT(TRIM(C61),FIND(" ",TRIM(C61)&amp;" ")-1),",","."))+1,9))*12/52,IF(ISNUMBER(SEARCH("month",C61)),IFERROR(_xlfn.NUMBERVALUE(SUBSTITUTE(LEFT(TRIM(C61),FIND(" ",TRIM(C61)&amp;" ")-1),",","."),"."),LEFT(SUBSTITUTE(LEFT(TRIM(C61),FIND(" ",TRIM(C61)&amp;" ")-1),",","."),FIND("/",SUBSTITUTE(LEFT(TRIM(C61),FIND(" ",TRIM(C61)&amp;" ")-1),",","."))-1)/MID(SUBSTITUTE(LEFT(TRIM(C61),FIND(" ",TRIM(C61)&amp;" ")-1),",","."),FIND("/",SUBSTITUTE(LEFT(TRIM(C61),FIND(" ",TRIM(C61)&amp;" ")-1),",","."))+1,9)),IF(ISNUMBER(SEARCH("yea",C61)),IFERROR(_xlfn.NUMBERVALUE(SUBSTITUTE(LEFT(TRIM(C61),FIND(" ",TRIM(C61)&amp;" ")-1),",","."),"."),LEFT(SUBSTITUTE(LEFT(TRIM(C61),FIND(" ",TRIM(C61)&amp;" ")-1),",","."),FIND("/",SUBSTITUTE(LEFT(TRIM(C61),FIND(" ",TRIM(C61)&amp;" ")-1),",","."))-1)/MID(SUBSTITUTE(LEFT(TRIM(C61),FIND(" ",TRIM(C61)&amp;" ")-1),",","."),FIND("/",SUBSTITUTE(LEFT(TRIM(C61),FIND(" ",TRIM(C61)&amp;" ")-1),",","."))+1,9))*12,NA()))),0),24)*'Aturan &amp; Tarif'!$B$4,2)</f>
        <v>1362.72</v>
      </c>
      <c r="K61" s="32" t="n">
        <f aca="false">'Aturan &amp; Tarif'!$B$5</f>
        <v>2050</v>
      </c>
      <c r="L61" s="32" t="n">
        <f aca="false">'Aturan &amp; Tarif'!$B$6</f>
        <v>350</v>
      </c>
      <c r="M61" s="35" t="n">
        <f aca="false">I61+J61+K61+L61</f>
        <v>23737.72</v>
      </c>
      <c r="N61" s="36" t="s">
        <v>213</v>
      </c>
    </row>
    <row r="62" customFormat="false" ht="106.5" hidden="false" customHeight="true" outlineLevel="0" collapsed="false">
      <c r="A62" s="29"/>
      <c r="B62" s="30" t="s">
        <v>227</v>
      </c>
      <c r="C62" s="31" t="s">
        <v>107</v>
      </c>
      <c r="D62" s="31" t="s">
        <v>108</v>
      </c>
      <c r="E62" s="32" t="n">
        <v>12737.5</v>
      </c>
      <c r="F62" s="32"/>
      <c r="G62" s="32"/>
      <c r="H62" s="33" t="n">
        <v>2</v>
      </c>
      <c r="I62" s="34" t="n">
        <f aca="false">E62*H62+N(F62)+N(G62)</f>
        <v>25475</v>
      </c>
      <c r="J62" s="32" t="n">
        <f aca="false">ROUND(IFERROR(ROUND(IF(OR(ISNUMBER(SEARCH("week",C62)),ISNUMBER(SEARCH("minggu",C62))),IFERROR(_xlfn.NUMBERVALUE(SUBSTITUTE(LEFT(TRIM(C62),FIND(" ",TRIM(C62)&amp;" ")-1),",","."),"."),LEFT(SUBSTITUTE(LEFT(TRIM(C62),FIND(" ",TRIM(C62)&amp;" ")-1),",","."),FIND("/",SUBSTITUTE(LEFT(TRIM(C62),FIND(" ",TRIM(C62)&amp;" ")-1),",","."))-1)/MID(SUBSTITUTE(LEFT(TRIM(C62),FIND(" ",TRIM(C62)&amp;" ")-1),",","."),FIND("/",SUBSTITUTE(LEFT(TRIM(C62),FIND(" ",TRIM(C62)&amp;" ")-1),",","."))+1,9))*12/52,IF(ISNUMBER(SEARCH("month",C62)),IFERROR(_xlfn.NUMBERVALUE(SUBSTITUTE(LEFT(TRIM(C62),FIND(" ",TRIM(C62)&amp;" ")-1),",","."),"."),LEFT(SUBSTITUTE(LEFT(TRIM(C62),FIND(" ",TRIM(C62)&amp;" ")-1),",","."),FIND("/",SUBSTITUTE(LEFT(TRIM(C62),FIND(" ",TRIM(C62)&amp;" ")-1),",","."))-1)/MID(SUBSTITUTE(LEFT(TRIM(C62),FIND(" ",TRIM(C62)&amp;" ")-1),",","."),FIND("/",SUBSTITUTE(LEFT(TRIM(C62),FIND(" ",TRIM(C62)&amp;" ")-1),",","."))+1,9)),IF(ISNUMBER(SEARCH("yea",C62)),IFERROR(_xlfn.NUMBERVALUE(SUBSTITUTE(LEFT(TRIM(C62),FIND(" ",TRIM(C62)&amp;" ")-1),",","."),"."),LEFT(SUBSTITUTE(LEFT(TRIM(C62),FIND(" ",TRIM(C62)&amp;" ")-1),",","."),FIND("/",SUBSTITUTE(LEFT(TRIM(C62),FIND(" ",TRIM(C62)&amp;" ")-1),",","."))-1)/MID(SUBSTITUTE(LEFT(TRIM(C62),FIND(" ",TRIM(C62)&amp;" ")-1),",","."),FIND("/",SUBSTITUTE(LEFT(TRIM(C62),FIND(" ",TRIM(C62)&amp;" ")-1),",","."))+1,9))*12,NA()))),0),24)*'Aturan &amp; Tarif'!$B$4,2)</f>
        <v>1362.72</v>
      </c>
      <c r="K62" s="32" t="n">
        <f aca="false">'Aturan &amp; Tarif'!$B$5</f>
        <v>2050</v>
      </c>
      <c r="L62" s="32" t="n">
        <f aca="false">'Aturan &amp; Tarif'!$B$6</f>
        <v>350</v>
      </c>
      <c r="M62" s="35" t="n">
        <f aca="false">I62+J62+K62+L62</f>
        <v>29237.72</v>
      </c>
      <c r="N62" s="36" t="s">
        <v>215</v>
      </c>
    </row>
    <row r="63" customFormat="false" ht="106.5" hidden="false" customHeight="true" outlineLevel="0" collapsed="false">
      <c r="A63" s="29"/>
      <c r="B63" s="30" t="s">
        <v>228</v>
      </c>
      <c r="C63" s="31" t="s">
        <v>107</v>
      </c>
      <c r="D63" s="31" t="s">
        <v>108</v>
      </c>
      <c r="E63" s="32" t="n">
        <v>10362.5</v>
      </c>
      <c r="F63" s="32"/>
      <c r="G63" s="32"/>
      <c r="H63" s="33" t="n">
        <v>2</v>
      </c>
      <c r="I63" s="34" t="n">
        <f aca="false">E63*H63+N(F63)+N(G63)</f>
        <v>20725</v>
      </c>
      <c r="J63" s="32" t="n">
        <f aca="false">ROUND(IFERROR(ROUND(IF(OR(ISNUMBER(SEARCH("week",C63)),ISNUMBER(SEARCH("minggu",C63))),IFERROR(_xlfn.NUMBERVALUE(SUBSTITUTE(LEFT(TRIM(C63),FIND(" ",TRIM(C63)&amp;" ")-1),",","."),"."),LEFT(SUBSTITUTE(LEFT(TRIM(C63),FIND(" ",TRIM(C63)&amp;" ")-1),",","."),FIND("/",SUBSTITUTE(LEFT(TRIM(C63),FIND(" ",TRIM(C63)&amp;" ")-1),",","."))-1)/MID(SUBSTITUTE(LEFT(TRIM(C63),FIND(" ",TRIM(C63)&amp;" ")-1),",","."),FIND("/",SUBSTITUTE(LEFT(TRIM(C63),FIND(" ",TRIM(C63)&amp;" ")-1),",","."))+1,9))*12/52,IF(ISNUMBER(SEARCH("month",C63)),IFERROR(_xlfn.NUMBERVALUE(SUBSTITUTE(LEFT(TRIM(C63),FIND(" ",TRIM(C63)&amp;" ")-1),",","."),"."),LEFT(SUBSTITUTE(LEFT(TRIM(C63),FIND(" ",TRIM(C63)&amp;" ")-1),",","."),FIND("/",SUBSTITUTE(LEFT(TRIM(C63),FIND(" ",TRIM(C63)&amp;" ")-1),",","."))-1)/MID(SUBSTITUTE(LEFT(TRIM(C63),FIND(" ",TRIM(C63)&amp;" ")-1),",","."),FIND("/",SUBSTITUTE(LEFT(TRIM(C63),FIND(" ",TRIM(C63)&amp;" ")-1),",","."))+1,9)),IF(ISNUMBER(SEARCH("yea",C63)),IFERROR(_xlfn.NUMBERVALUE(SUBSTITUTE(LEFT(TRIM(C63),FIND(" ",TRIM(C63)&amp;" ")-1),",","."),"."),LEFT(SUBSTITUTE(LEFT(TRIM(C63),FIND(" ",TRIM(C63)&amp;" ")-1),",","."),FIND("/",SUBSTITUTE(LEFT(TRIM(C63),FIND(" ",TRIM(C63)&amp;" ")-1),",","."))-1)/MID(SUBSTITUTE(LEFT(TRIM(C63),FIND(" ",TRIM(C63)&amp;" ")-1),",","."),FIND("/",SUBSTITUTE(LEFT(TRIM(C63),FIND(" ",TRIM(C63)&amp;" ")-1),",","."))+1,9))*12,NA()))),0),24)*'Aturan &amp; Tarif'!$B$4,2)</f>
        <v>1362.72</v>
      </c>
      <c r="K63" s="32" t="n">
        <f aca="false">'Aturan &amp; Tarif'!$B$5</f>
        <v>2050</v>
      </c>
      <c r="L63" s="32" t="n">
        <f aca="false">'Aturan &amp; Tarif'!$B$6</f>
        <v>350</v>
      </c>
      <c r="M63" s="35" t="n">
        <f aca="false">I63+J63+K63+L63</f>
        <v>24487.72</v>
      </c>
      <c r="N63" s="36" t="s">
        <v>229</v>
      </c>
    </row>
    <row r="64" customFormat="false" ht="106.5" hidden="false" customHeight="true" outlineLevel="0" collapsed="false">
      <c r="A64" s="29"/>
      <c r="B64" s="30" t="s">
        <v>230</v>
      </c>
      <c r="C64" s="31" t="s">
        <v>107</v>
      </c>
      <c r="D64" s="31" t="s">
        <v>108</v>
      </c>
      <c r="E64" s="32" t="n">
        <v>10362.5</v>
      </c>
      <c r="F64" s="32"/>
      <c r="G64" s="32"/>
      <c r="H64" s="33" t="n">
        <v>2</v>
      </c>
      <c r="I64" s="34" t="n">
        <f aca="false">E64*H64+N(F64)+N(G64)</f>
        <v>20725</v>
      </c>
      <c r="J64" s="32" t="n">
        <f aca="false">ROUND(IFERROR(ROUND(IF(OR(ISNUMBER(SEARCH("week",C64)),ISNUMBER(SEARCH("minggu",C64))),IFERROR(_xlfn.NUMBERVALUE(SUBSTITUTE(LEFT(TRIM(C64),FIND(" ",TRIM(C64)&amp;" ")-1),",","."),"."),LEFT(SUBSTITUTE(LEFT(TRIM(C64),FIND(" ",TRIM(C64)&amp;" ")-1),",","."),FIND("/",SUBSTITUTE(LEFT(TRIM(C64),FIND(" ",TRIM(C64)&amp;" ")-1),",","."))-1)/MID(SUBSTITUTE(LEFT(TRIM(C64),FIND(" ",TRIM(C64)&amp;" ")-1),",","."),FIND("/",SUBSTITUTE(LEFT(TRIM(C64),FIND(" ",TRIM(C64)&amp;" ")-1),",","."))+1,9))*12/52,IF(ISNUMBER(SEARCH("month",C64)),IFERROR(_xlfn.NUMBERVALUE(SUBSTITUTE(LEFT(TRIM(C64),FIND(" ",TRIM(C64)&amp;" ")-1),",","."),"."),LEFT(SUBSTITUTE(LEFT(TRIM(C64),FIND(" ",TRIM(C64)&amp;" ")-1),",","."),FIND("/",SUBSTITUTE(LEFT(TRIM(C64),FIND(" ",TRIM(C64)&amp;" ")-1),",","."))-1)/MID(SUBSTITUTE(LEFT(TRIM(C64),FIND(" ",TRIM(C64)&amp;" ")-1),",","."),FIND("/",SUBSTITUTE(LEFT(TRIM(C64),FIND(" ",TRIM(C64)&amp;" ")-1),",","."))+1,9)),IF(ISNUMBER(SEARCH("yea",C64)),IFERROR(_xlfn.NUMBERVALUE(SUBSTITUTE(LEFT(TRIM(C64),FIND(" ",TRIM(C64)&amp;" ")-1),",","."),"."),LEFT(SUBSTITUTE(LEFT(TRIM(C64),FIND(" ",TRIM(C64)&amp;" ")-1),",","."),FIND("/",SUBSTITUTE(LEFT(TRIM(C64),FIND(" ",TRIM(C64)&amp;" ")-1),",","."))-1)/MID(SUBSTITUTE(LEFT(TRIM(C64),FIND(" ",TRIM(C64)&amp;" ")-1),",","."),FIND("/",SUBSTITUTE(LEFT(TRIM(C64),FIND(" ",TRIM(C64)&amp;" ")-1),",","."))+1,9))*12,NA()))),0),24)*'Aturan &amp; Tarif'!$B$4,2)</f>
        <v>1362.72</v>
      </c>
      <c r="K64" s="32" t="n">
        <f aca="false">'Aturan &amp; Tarif'!$B$5</f>
        <v>2050</v>
      </c>
      <c r="L64" s="32" t="n">
        <f aca="false">'Aturan &amp; Tarif'!$B$6</f>
        <v>350</v>
      </c>
      <c r="M64" s="35" t="n">
        <f aca="false">I64+J64+K64+L64</f>
        <v>24487.72</v>
      </c>
      <c r="N64" s="36" t="s">
        <v>231</v>
      </c>
    </row>
    <row r="65" customFormat="false" ht="106.5" hidden="false" customHeight="true" outlineLevel="0" collapsed="false">
      <c r="A65" s="29"/>
      <c r="B65" s="30" t="s">
        <v>232</v>
      </c>
      <c r="C65" s="31" t="s">
        <v>130</v>
      </c>
      <c r="D65" s="31" t="s">
        <v>108</v>
      </c>
      <c r="E65" s="32" t="n">
        <v>10062.5</v>
      </c>
      <c r="F65" s="32"/>
      <c r="G65" s="32"/>
      <c r="H65" s="33" t="n">
        <v>2</v>
      </c>
      <c r="I65" s="34" t="n">
        <f aca="false">E65*H65+N(F65)+N(G65)</f>
        <v>20125</v>
      </c>
      <c r="J65" s="32" t="n">
        <f aca="false">ROUND(IFERROR(ROUND(IF(OR(ISNUMBER(SEARCH("week",C65)),ISNUMBER(SEARCH("minggu",C65))),IFERROR(_xlfn.NUMBERVALUE(SUBSTITUTE(LEFT(TRIM(C65),FIND(" ",TRIM(C65)&amp;" ")-1),",","."),"."),LEFT(SUBSTITUTE(LEFT(TRIM(C65),FIND(" ",TRIM(C65)&amp;" ")-1),",","."),FIND("/",SUBSTITUTE(LEFT(TRIM(C65),FIND(" ",TRIM(C65)&amp;" ")-1),",","."))-1)/MID(SUBSTITUTE(LEFT(TRIM(C65),FIND(" ",TRIM(C65)&amp;" ")-1),",","."),FIND("/",SUBSTITUTE(LEFT(TRIM(C65),FIND(" ",TRIM(C65)&amp;" ")-1),",","."))+1,9))*12/52,IF(ISNUMBER(SEARCH("month",C65)),IFERROR(_xlfn.NUMBERVALUE(SUBSTITUTE(LEFT(TRIM(C65),FIND(" ",TRIM(C65)&amp;" ")-1),",","."),"."),LEFT(SUBSTITUTE(LEFT(TRIM(C65),FIND(" ",TRIM(C65)&amp;" ")-1),",","."),FIND("/",SUBSTITUTE(LEFT(TRIM(C65),FIND(" ",TRIM(C65)&amp;" ")-1),",","."))-1)/MID(SUBSTITUTE(LEFT(TRIM(C65),FIND(" ",TRIM(C65)&amp;" ")-1),",","."),FIND("/",SUBSTITUTE(LEFT(TRIM(C65),FIND(" ",TRIM(C65)&amp;" ")-1),",","."))+1,9)),IF(ISNUMBER(SEARCH("yea",C65)),IFERROR(_xlfn.NUMBERVALUE(SUBSTITUTE(LEFT(TRIM(C65),FIND(" ",TRIM(C65)&amp;" ")-1),",","."),"."),LEFT(SUBSTITUTE(LEFT(TRIM(C65),FIND(" ",TRIM(C65)&amp;" ")-1),",","."),FIND("/",SUBSTITUTE(LEFT(TRIM(C65),FIND(" ",TRIM(C65)&amp;" ")-1),",","."))-1)/MID(SUBSTITUTE(LEFT(TRIM(C65),FIND(" ",TRIM(C65)&amp;" ")-1),",","."),FIND("/",SUBSTITUTE(LEFT(TRIM(C65),FIND(" ",TRIM(C65)&amp;" ")-1),",","."))+1,9))*12,NA()))),0),12)*'Aturan &amp; Tarif'!$B$4,2)</f>
        <v>681.36</v>
      </c>
      <c r="K65" s="32" t="n">
        <f aca="false">'Aturan &amp; Tarif'!$B$5</f>
        <v>2050</v>
      </c>
      <c r="L65" s="32" t="n">
        <f aca="false">'Aturan &amp; Tarif'!$B$6</f>
        <v>350</v>
      </c>
      <c r="M65" s="35" t="n">
        <f aca="false">I65+J65+K65+L65</f>
        <v>23206.36</v>
      </c>
      <c r="N65" s="36" t="s">
        <v>233</v>
      </c>
    </row>
    <row r="66" customFormat="false" ht="106.5" hidden="false" customHeight="true" outlineLevel="0" collapsed="false">
      <c r="A66" s="29"/>
      <c r="B66" s="30" t="s">
        <v>234</v>
      </c>
      <c r="C66" s="31" t="s">
        <v>107</v>
      </c>
      <c r="D66" s="31" t="s">
        <v>108</v>
      </c>
      <c r="E66" s="32" t="n">
        <v>9312.5</v>
      </c>
      <c r="F66" s="32"/>
      <c r="G66" s="32"/>
      <c r="H66" s="33" t="n">
        <v>2</v>
      </c>
      <c r="I66" s="34" t="n">
        <f aca="false">E66*H66+N(F66)+N(G66)</f>
        <v>18625</v>
      </c>
      <c r="J66" s="32" t="n">
        <f aca="false">ROUND(IFERROR(ROUND(IF(OR(ISNUMBER(SEARCH("week",C66)),ISNUMBER(SEARCH("minggu",C66))),IFERROR(_xlfn.NUMBERVALUE(SUBSTITUTE(LEFT(TRIM(C66),FIND(" ",TRIM(C66)&amp;" ")-1),",","."),"."),LEFT(SUBSTITUTE(LEFT(TRIM(C66),FIND(" ",TRIM(C66)&amp;" ")-1),",","."),FIND("/",SUBSTITUTE(LEFT(TRIM(C66),FIND(" ",TRIM(C66)&amp;" ")-1),",","."))-1)/MID(SUBSTITUTE(LEFT(TRIM(C66),FIND(" ",TRIM(C66)&amp;" ")-1),",","."),FIND("/",SUBSTITUTE(LEFT(TRIM(C66),FIND(" ",TRIM(C66)&amp;" ")-1),",","."))+1,9))*12/52,IF(ISNUMBER(SEARCH("month",C66)),IFERROR(_xlfn.NUMBERVALUE(SUBSTITUTE(LEFT(TRIM(C66),FIND(" ",TRIM(C66)&amp;" ")-1),",","."),"."),LEFT(SUBSTITUTE(LEFT(TRIM(C66),FIND(" ",TRIM(C66)&amp;" ")-1),",","."),FIND("/",SUBSTITUTE(LEFT(TRIM(C66),FIND(" ",TRIM(C66)&amp;" ")-1),",","."))-1)/MID(SUBSTITUTE(LEFT(TRIM(C66),FIND(" ",TRIM(C66)&amp;" ")-1),",","."),FIND("/",SUBSTITUTE(LEFT(TRIM(C66),FIND(" ",TRIM(C66)&amp;" ")-1),",","."))+1,9)),IF(ISNUMBER(SEARCH("yea",C66)),IFERROR(_xlfn.NUMBERVALUE(SUBSTITUTE(LEFT(TRIM(C66),FIND(" ",TRIM(C66)&amp;" ")-1),",","."),"."),LEFT(SUBSTITUTE(LEFT(TRIM(C66),FIND(" ",TRIM(C66)&amp;" ")-1),",","."),FIND("/",SUBSTITUTE(LEFT(TRIM(C66),FIND(" ",TRIM(C66)&amp;" ")-1),",","."))-1)/MID(SUBSTITUTE(LEFT(TRIM(C66),FIND(" ",TRIM(C66)&amp;" ")-1),",","."),FIND("/",SUBSTITUTE(LEFT(TRIM(C66),FIND(" ",TRIM(C66)&amp;" ")-1),",","."))+1,9))*12,NA()))),0),24)*'Aturan &amp; Tarif'!$B$4,2)</f>
        <v>1362.72</v>
      </c>
      <c r="K66" s="32" t="n">
        <f aca="false">'Aturan &amp; Tarif'!$B$5</f>
        <v>2050</v>
      </c>
      <c r="L66" s="32" t="n">
        <f aca="false">'Aturan &amp; Tarif'!$B$6</f>
        <v>350</v>
      </c>
      <c r="M66" s="35" t="n">
        <f aca="false">I66+J66+K66+L66</f>
        <v>22387.72</v>
      </c>
      <c r="N66" s="36" t="s">
        <v>235</v>
      </c>
    </row>
    <row r="67" customFormat="false" ht="106.5" hidden="false" customHeight="true" outlineLevel="0" collapsed="false">
      <c r="A67" s="29"/>
      <c r="B67" s="30" t="s">
        <v>236</v>
      </c>
      <c r="C67" s="31" t="s">
        <v>127</v>
      </c>
      <c r="D67" s="31" t="s">
        <v>108</v>
      </c>
      <c r="E67" s="32" t="n">
        <v>9312.5</v>
      </c>
      <c r="F67" s="32"/>
      <c r="G67" s="32"/>
      <c r="H67" s="33" t="n">
        <v>2</v>
      </c>
      <c r="I67" s="34" t="n">
        <f aca="false">E67*H67+N(F67)+N(G67)</f>
        <v>18625</v>
      </c>
      <c r="J67" s="32" t="n">
        <f aca="false">ROUND(IFERROR(ROUND(IF(OR(ISNUMBER(SEARCH("week",C67)),ISNUMBER(SEARCH("minggu",C67))),IFERROR(_xlfn.NUMBERVALUE(SUBSTITUTE(LEFT(TRIM(C67),FIND(" ",TRIM(C67)&amp;" ")-1),",","."),"."),LEFT(SUBSTITUTE(LEFT(TRIM(C67),FIND(" ",TRIM(C67)&amp;" ")-1),",","."),FIND("/",SUBSTITUTE(LEFT(TRIM(C67),FIND(" ",TRIM(C67)&amp;" ")-1),",","."))-1)/MID(SUBSTITUTE(LEFT(TRIM(C67),FIND(" ",TRIM(C67)&amp;" ")-1),",","."),FIND("/",SUBSTITUTE(LEFT(TRIM(C67),FIND(" ",TRIM(C67)&amp;" ")-1),",","."))+1,9))*12/52,IF(ISNUMBER(SEARCH("month",C67)),IFERROR(_xlfn.NUMBERVALUE(SUBSTITUTE(LEFT(TRIM(C67),FIND(" ",TRIM(C67)&amp;" ")-1),",","."),"."),LEFT(SUBSTITUTE(LEFT(TRIM(C67),FIND(" ",TRIM(C67)&amp;" ")-1),",","."),FIND("/",SUBSTITUTE(LEFT(TRIM(C67),FIND(" ",TRIM(C67)&amp;" ")-1),",","."))-1)/MID(SUBSTITUTE(LEFT(TRIM(C67),FIND(" ",TRIM(C67)&amp;" ")-1),",","."),FIND("/",SUBSTITUTE(LEFT(TRIM(C67),FIND(" ",TRIM(C67)&amp;" ")-1),",","."))+1,9)),IF(ISNUMBER(SEARCH("yea",C67)),IFERROR(_xlfn.NUMBERVALUE(SUBSTITUTE(LEFT(TRIM(C67),FIND(" ",TRIM(C67)&amp;" ")-1),",","."),"."),LEFT(SUBSTITUTE(LEFT(TRIM(C67),FIND(" ",TRIM(C67)&amp;" ")-1),",","."),FIND("/",SUBSTITUTE(LEFT(TRIM(C67),FIND(" ",TRIM(C67)&amp;" ")-1),",","."))-1)/MID(SUBSTITUTE(LEFT(TRIM(C67),FIND(" ",TRIM(C67)&amp;" ")-1),",","."),FIND("/",SUBSTITUTE(LEFT(TRIM(C67),FIND(" ",TRIM(C67)&amp;" ")-1),",","."))+1,9))*12,NA()))),0),36)*'Aturan &amp; Tarif'!$B$4,2)</f>
        <v>2044.08</v>
      </c>
      <c r="K67" s="32" t="n">
        <f aca="false">'Aturan &amp; Tarif'!$B$5</f>
        <v>2050</v>
      </c>
      <c r="L67" s="32" t="n">
        <f aca="false">'Aturan &amp; Tarif'!$B$6</f>
        <v>350</v>
      </c>
      <c r="M67" s="35" t="n">
        <f aca="false">I67+J67+K67+L67</f>
        <v>23069.08</v>
      </c>
      <c r="N67" s="36" t="s">
        <v>235</v>
      </c>
    </row>
    <row r="68" customFormat="false" ht="106.5" hidden="false" customHeight="true" outlineLevel="0" collapsed="false">
      <c r="A68" s="29"/>
      <c r="B68" s="30" t="s">
        <v>237</v>
      </c>
      <c r="C68" s="31" t="s">
        <v>191</v>
      </c>
      <c r="D68" s="31" t="s">
        <v>108</v>
      </c>
      <c r="E68" s="32" t="n">
        <v>9562.5</v>
      </c>
      <c r="F68" s="32"/>
      <c r="G68" s="32"/>
      <c r="H68" s="33" t="n">
        <v>2</v>
      </c>
      <c r="I68" s="34" t="n">
        <f aca="false">E68*H68+N(F68)+N(G68)</f>
        <v>19125</v>
      </c>
      <c r="J68" s="32" t="n">
        <f aca="false">ROUND(IFERROR(ROUND(IF(OR(ISNUMBER(SEARCH("week",C68)),ISNUMBER(SEARCH("minggu",C68))),IFERROR(_xlfn.NUMBERVALUE(SUBSTITUTE(LEFT(TRIM(C68),FIND(" ",TRIM(C68)&amp;" ")-1),",","."),"."),LEFT(SUBSTITUTE(LEFT(TRIM(C68),FIND(" ",TRIM(C68)&amp;" ")-1),",","."),FIND("/",SUBSTITUTE(LEFT(TRIM(C68),FIND(" ",TRIM(C68)&amp;" ")-1),",","."))-1)/MID(SUBSTITUTE(LEFT(TRIM(C68),FIND(" ",TRIM(C68)&amp;" ")-1),",","."),FIND("/",SUBSTITUTE(LEFT(TRIM(C68),FIND(" ",TRIM(C68)&amp;" ")-1),",","."))+1,9))*12/52,IF(ISNUMBER(SEARCH("month",C68)),IFERROR(_xlfn.NUMBERVALUE(SUBSTITUTE(LEFT(TRIM(C68),FIND(" ",TRIM(C68)&amp;" ")-1),",","."),"."),LEFT(SUBSTITUTE(LEFT(TRIM(C68),FIND(" ",TRIM(C68)&amp;" ")-1),",","."),FIND("/",SUBSTITUTE(LEFT(TRIM(C68),FIND(" ",TRIM(C68)&amp;" ")-1),",","."))-1)/MID(SUBSTITUTE(LEFT(TRIM(C68),FIND(" ",TRIM(C68)&amp;" ")-1),",","."),FIND("/",SUBSTITUTE(LEFT(TRIM(C68),FIND(" ",TRIM(C68)&amp;" ")-1),",","."))+1,9)),IF(ISNUMBER(SEARCH("yea",C68)),IFERROR(_xlfn.NUMBERVALUE(SUBSTITUTE(LEFT(TRIM(C68),FIND(" ",TRIM(C68)&amp;" ")-1),",","."),"."),LEFT(SUBSTITUTE(LEFT(TRIM(C68),FIND(" ",TRIM(C68)&amp;" ")-1),",","."),FIND("/",SUBSTITUTE(LEFT(TRIM(C68),FIND(" ",TRIM(C68)&amp;" ")-1),",","."))-1)/MID(SUBSTITUTE(LEFT(TRIM(C68),FIND(" ",TRIM(C68)&amp;" ")-1),",","."),FIND("/",SUBSTITUTE(LEFT(TRIM(C68),FIND(" ",TRIM(C68)&amp;" ")-1),",","."))+1,9))*12,NA()))),0),48)*'Aturan &amp; Tarif'!$B$4,2)</f>
        <v>2725.44</v>
      </c>
      <c r="K68" s="32" t="n">
        <f aca="false">'Aturan &amp; Tarif'!$B$5</f>
        <v>2050</v>
      </c>
      <c r="L68" s="32" t="n">
        <f aca="false">'Aturan &amp; Tarif'!$B$6</f>
        <v>350</v>
      </c>
      <c r="M68" s="35" t="n">
        <f aca="false">I68+J68+K68+L68</f>
        <v>24250.44</v>
      </c>
      <c r="N68" s="36" t="s">
        <v>238</v>
      </c>
    </row>
    <row r="69" customFormat="false" ht="106.5" hidden="false" customHeight="true" outlineLevel="0" collapsed="false">
      <c r="A69" s="29"/>
      <c r="B69" s="30" t="s">
        <v>239</v>
      </c>
      <c r="C69" s="31" t="s">
        <v>191</v>
      </c>
      <c r="D69" s="31" t="s">
        <v>108</v>
      </c>
      <c r="E69" s="32" t="n">
        <v>9562.5</v>
      </c>
      <c r="F69" s="32"/>
      <c r="G69" s="32"/>
      <c r="H69" s="33" t="n">
        <v>2</v>
      </c>
      <c r="I69" s="34" t="n">
        <f aca="false">E69*H69+N(F69)+N(G69)</f>
        <v>19125</v>
      </c>
      <c r="J69" s="32" t="n">
        <f aca="false">ROUND(IFERROR(ROUND(IF(OR(ISNUMBER(SEARCH("week",C69)),ISNUMBER(SEARCH("minggu",C69))),IFERROR(_xlfn.NUMBERVALUE(SUBSTITUTE(LEFT(TRIM(C69),FIND(" ",TRIM(C69)&amp;" ")-1),",","."),"."),LEFT(SUBSTITUTE(LEFT(TRIM(C69),FIND(" ",TRIM(C69)&amp;" ")-1),",","."),FIND("/",SUBSTITUTE(LEFT(TRIM(C69),FIND(" ",TRIM(C69)&amp;" ")-1),",","."))-1)/MID(SUBSTITUTE(LEFT(TRIM(C69),FIND(" ",TRIM(C69)&amp;" ")-1),",","."),FIND("/",SUBSTITUTE(LEFT(TRIM(C69),FIND(" ",TRIM(C69)&amp;" ")-1),",","."))+1,9))*12/52,IF(ISNUMBER(SEARCH("month",C69)),IFERROR(_xlfn.NUMBERVALUE(SUBSTITUTE(LEFT(TRIM(C69),FIND(" ",TRIM(C69)&amp;" ")-1),",","."),"."),LEFT(SUBSTITUTE(LEFT(TRIM(C69),FIND(" ",TRIM(C69)&amp;" ")-1),",","."),FIND("/",SUBSTITUTE(LEFT(TRIM(C69),FIND(" ",TRIM(C69)&amp;" ")-1),",","."))-1)/MID(SUBSTITUTE(LEFT(TRIM(C69),FIND(" ",TRIM(C69)&amp;" ")-1),",","."),FIND("/",SUBSTITUTE(LEFT(TRIM(C69),FIND(" ",TRIM(C69)&amp;" ")-1),",","."))+1,9)),IF(ISNUMBER(SEARCH("yea",C69)),IFERROR(_xlfn.NUMBERVALUE(SUBSTITUTE(LEFT(TRIM(C69),FIND(" ",TRIM(C69)&amp;" ")-1),",","."),"."),LEFT(SUBSTITUTE(LEFT(TRIM(C69),FIND(" ",TRIM(C69)&amp;" ")-1),",","."),FIND("/",SUBSTITUTE(LEFT(TRIM(C69),FIND(" ",TRIM(C69)&amp;" ")-1),",","."))-1)/MID(SUBSTITUTE(LEFT(TRIM(C69),FIND(" ",TRIM(C69)&amp;" ")-1),",","."),FIND("/",SUBSTITUTE(LEFT(TRIM(C69),FIND(" ",TRIM(C69)&amp;" ")-1),",","."))+1,9))*12,NA()))),0),48)*'Aturan &amp; Tarif'!$B$4,2)</f>
        <v>2725.44</v>
      </c>
      <c r="K69" s="32" t="n">
        <f aca="false">'Aturan &amp; Tarif'!$B$5</f>
        <v>2050</v>
      </c>
      <c r="L69" s="32" t="n">
        <f aca="false">'Aturan &amp; Tarif'!$B$6</f>
        <v>350</v>
      </c>
      <c r="M69" s="35" t="n">
        <f aca="false">I69+J69+K69+L69</f>
        <v>24250.44</v>
      </c>
      <c r="N69" s="36" t="s">
        <v>238</v>
      </c>
    </row>
    <row r="70" customFormat="false" ht="106.5" hidden="false" customHeight="true" outlineLevel="0" collapsed="false">
      <c r="A70" s="29"/>
      <c r="B70" s="30" t="s">
        <v>240</v>
      </c>
      <c r="C70" s="31" t="s">
        <v>241</v>
      </c>
      <c r="D70" s="31" t="s">
        <v>108</v>
      </c>
      <c r="E70" s="32" t="n">
        <v>9562.5</v>
      </c>
      <c r="F70" s="32"/>
      <c r="G70" s="32"/>
      <c r="H70" s="33" t="n">
        <v>2</v>
      </c>
      <c r="I70" s="34" t="n">
        <f aca="false">E70*H70+N(F70)+N(G70)</f>
        <v>19125</v>
      </c>
      <c r="J70" s="32" t="n">
        <f aca="false">ROUND(IFERROR(ROUND(IF(OR(ISNUMBER(SEARCH("week",C70)),ISNUMBER(SEARCH("minggu",C70))),IFERROR(_xlfn.NUMBERVALUE(SUBSTITUTE(LEFT(TRIM(C70),FIND(" ",TRIM(C70)&amp;" ")-1),",","."),"."),LEFT(SUBSTITUTE(LEFT(TRIM(C70),FIND(" ",TRIM(C70)&amp;" ")-1),",","."),FIND("/",SUBSTITUTE(LEFT(TRIM(C70),FIND(" ",TRIM(C70)&amp;" ")-1),",","."))-1)/MID(SUBSTITUTE(LEFT(TRIM(C70),FIND(" ",TRIM(C70)&amp;" ")-1),",","."),FIND("/",SUBSTITUTE(LEFT(TRIM(C70),FIND(" ",TRIM(C70)&amp;" ")-1),",","."))+1,9))*12/52,IF(ISNUMBER(SEARCH("month",C70)),IFERROR(_xlfn.NUMBERVALUE(SUBSTITUTE(LEFT(TRIM(C70),FIND(" ",TRIM(C70)&amp;" ")-1),",","."),"."),LEFT(SUBSTITUTE(LEFT(TRIM(C70),FIND(" ",TRIM(C70)&amp;" ")-1),",","."),FIND("/",SUBSTITUTE(LEFT(TRIM(C70),FIND(" ",TRIM(C70)&amp;" ")-1),",","."))-1)/MID(SUBSTITUTE(LEFT(TRIM(C70),FIND(" ",TRIM(C70)&amp;" ")-1),",","."),FIND("/",SUBSTITUTE(LEFT(TRIM(C70),FIND(" ",TRIM(C70)&amp;" ")-1),",","."))+1,9)),IF(ISNUMBER(SEARCH("yea",C70)),IFERROR(_xlfn.NUMBERVALUE(SUBSTITUTE(LEFT(TRIM(C70),FIND(" ",TRIM(C70)&amp;" ")-1),",","."),"."),LEFT(SUBSTITUTE(LEFT(TRIM(C70),FIND(" ",TRIM(C70)&amp;" ")-1),",","."),FIND("/",SUBSTITUTE(LEFT(TRIM(C70),FIND(" ",TRIM(C70)&amp;" ")-1),",","."))-1)/MID(SUBSTITUTE(LEFT(TRIM(C70),FIND(" ",TRIM(C70)&amp;" ")-1),",","."),FIND("/",SUBSTITUTE(LEFT(TRIM(C70),FIND(" ",TRIM(C70)&amp;" ")-1),",","."))+1,9))*12,NA()))),0),24)*'Aturan &amp; Tarif'!$B$4,2)</f>
        <v>1362.72</v>
      </c>
      <c r="K70" s="32" t="n">
        <f aca="false">'Aturan &amp; Tarif'!$B$5</f>
        <v>2050</v>
      </c>
      <c r="L70" s="32" t="n">
        <f aca="false">'Aturan &amp; Tarif'!$B$6</f>
        <v>350</v>
      </c>
      <c r="M70" s="35" t="n">
        <f aca="false">I70+J70+K70+L70</f>
        <v>22887.72</v>
      </c>
      <c r="N70" s="36" t="s">
        <v>221</v>
      </c>
    </row>
    <row r="71" customFormat="false" ht="106.5" hidden="false" customHeight="true" outlineLevel="0" collapsed="false">
      <c r="A71" s="29"/>
      <c r="B71" s="30" t="s">
        <v>242</v>
      </c>
      <c r="C71" s="31" t="s">
        <v>191</v>
      </c>
      <c r="D71" s="31" t="s">
        <v>108</v>
      </c>
      <c r="E71" s="32" t="n">
        <v>10987.5</v>
      </c>
      <c r="F71" s="32"/>
      <c r="G71" s="32"/>
      <c r="H71" s="33" t="n">
        <v>2</v>
      </c>
      <c r="I71" s="34" t="n">
        <f aca="false">E71*H71+N(F71)+N(G71)</f>
        <v>21975</v>
      </c>
      <c r="J71" s="32" t="n">
        <f aca="false">ROUND(IFERROR(ROUND(IF(OR(ISNUMBER(SEARCH("week",C71)),ISNUMBER(SEARCH("minggu",C71))),IFERROR(_xlfn.NUMBERVALUE(SUBSTITUTE(LEFT(TRIM(C71),FIND(" ",TRIM(C71)&amp;" ")-1),",","."),"."),LEFT(SUBSTITUTE(LEFT(TRIM(C71),FIND(" ",TRIM(C71)&amp;" ")-1),",","."),FIND("/",SUBSTITUTE(LEFT(TRIM(C71),FIND(" ",TRIM(C71)&amp;" ")-1),",","."))-1)/MID(SUBSTITUTE(LEFT(TRIM(C71),FIND(" ",TRIM(C71)&amp;" ")-1),",","."),FIND("/",SUBSTITUTE(LEFT(TRIM(C71),FIND(" ",TRIM(C71)&amp;" ")-1),",","."))+1,9))*12/52,IF(ISNUMBER(SEARCH("month",C71)),IFERROR(_xlfn.NUMBERVALUE(SUBSTITUTE(LEFT(TRIM(C71),FIND(" ",TRIM(C71)&amp;" ")-1),",","."),"."),LEFT(SUBSTITUTE(LEFT(TRIM(C71),FIND(" ",TRIM(C71)&amp;" ")-1),",","."),FIND("/",SUBSTITUTE(LEFT(TRIM(C71),FIND(" ",TRIM(C71)&amp;" ")-1),",","."))-1)/MID(SUBSTITUTE(LEFT(TRIM(C71),FIND(" ",TRIM(C71)&amp;" ")-1),",","."),FIND("/",SUBSTITUTE(LEFT(TRIM(C71),FIND(" ",TRIM(C71)&amp;" ")-1),",","."))+1,9)),IF(ISNUMBER(SEARCH("yea",C71)),IFERROR(_xlfn.NUMBERVALUE(SUBSTITUTE(LEFT(TRIM(C71),FIND(" ",TRIM(C71)&amp;" ")-1),",","."),"."),LEFT(SUBSTITUTE(LEFT(TRIM(C71),FIND(" ",TRIM(C71)&amp;" ")-1),",","."),FIND("/",SUBSTITUTE(LEFT(TRIM(C71),FIND(" ",TRIM(C71)&amp;" ")-1),",","."))-1)/MID(SUBSTITUTE(LEFT(TRIM(C71),FIND(" ",TRIM(C71)&amp;" ")-1),",","."),FIND("/",SUBSTITUTE(LEFT(TRIM(C71),FIND(" ",TRIM(C71)&amp;" ")-1),",","."))+1,9))*12,NA()))),0),48)*'Aturan &amp; Tarif'!$B$4,2)</f>
        <v>2725.44</v>
      </c>
      <c r="K71" s="32" t="n">
        <f aca="false">'Aturan &amp; Tarif'!$B$5</f>
        <v>2050</v>
      </c>
      <c r="L71" s="32" t="n">
        <f aca="false">'Aturan &amp; Tarif'!$B$6</f>
        <v>350</v>
      </c>
      <c r="M71" s="35" t="n">
        <f aca="false">I71+J71+K71+L71</f>
        <v>27100.44</v>
      </c>
      <c r="N71" s="36" t="s">
        <v>243</v>
      </c>
    </row>
    <row r="72" customFormat="false" ht="106.5" hidden="false" customHeight="true" outlineLevel="0" collapsed="false">
      <c r="A72" s="29"/>
      <c r="B72" s="30" t="s">
        <v>244</v>
      </c>
      <c r="C72" s="31" t="s">
        <v>245</v>
      </c>
      <c r="D72" s="31" t="s">
        <v>108</v>
      </c>
      <c r="E72" s="32" t="n">
        <v>11237.5</v>
      </c>
      <c r="F72" s="32"/>
      <c r="G72" s="32"/>
      <c r="H72" s="33" t="n">
        <v>2</v>
      </c>
      <c r="I72" s="34" t="n">
        <f aca="false">E72*H72+N(F72)+N(G72)</f>
        <v>22475</v>
      </c>
      <c r="J72" s="32" t="n">
        <f aca="false">ROUND(IFERROR(ROUND(IF(OR(ISNUMBER(SEARCH("week",C72)),ISNUMBER(SEARCH("minggu",C72))),IFERROR(_xlfn.NUMBERVALUE(SUBSTITUTE(LEFT(TRIM(C72),FIND(" ",TRIM(C72)&amp;" ")-1),",","."),"."),LEFT(SUBSTITUTE(LEFT(TRIM(C72),FIND(" ",TRIM(C72)&amp;" ")-1),",","."),FIND("/",SUBSTITUTE(LEFT(TRIM(C72),FIND(" ",TRIM(C72)&amp;" ")-1),",","."))-1)/MID(SUBSTITUTE(LEFT(TRIM(C72),FIND(" ",TRIM(C72)&amp;" ")-1),",","."),FIND("/",SUBSTITUTE(LEFT(TRIM(C72),FIND(" ",TRIM(C72)&amp;" ")-1),",","."))+1,9))*12/52,IF(ISNUMBER(SEARCH("month",C72)),IFERROR(_xlfn.NUMBERVALUE(SUBSTITUTE(LEFT(TRIM(C72),FIND(" ",TRIM(C72)&amp;" ")-1),",","."),"."),LEFT(SUBSTITUTE(LEFT(TRIM(C72),FIND(" ",TRIM(C72)&amp;" ")-1),",","."),FIND("/",SUBSTITUTE(LEFT(TRIM(C72),FIND(" ",TRIM(C72)&amp;" ")-1),",","."))-1)/MID(SUBSTITUTE(LEFT(TRIM(C72),FIND(" ",TRIM(C72)&amp;" ")-1),",","."),FIND("/",SUBSTITUTE(LEFT(TRIM(C72),FIND(" ",TRIM(C72)&amp;" ")-1),",","."))+1,9)),IF(ISNUMBER(SEARCH("yea",C72)),IFERROR(_xlfn.NUMBERVALUE(SUBSTITUTE(LEFT(TRIM(C72),FIND(" ",TRIM(C72)&amp;" ")-1),",","."),"."),LEFT(SUBSTITUTE(LEFT(TRIM(C72),FIND(" ",TRIM(C72)&amp;" ")-1),",","."),FIND("/",SUBSTITUTE(LEFT(TRIM(C72),FIND(" ",TRIM(C72)&amp;" ")-1),",","."))-1)/MID(SUBSTITUTE(LEFT(TRIM(C72),FIND(" ",TRIM(C72)&amp;" ")-1),",","."),FIND("/",SUBSTITUTE(LEFT(TRIM(C72),FIND(" ",TRIM(C72)&amp;" ")-1),",","."))+1,9))*12,NA()))),0),60)*'Aturan &amp; Tarif'!$B$4,2)</f>
        <v>3406.8</v>
      </c>
      <c r="K72" s="32" t="n">
        <f aca="false">'Aturan &amp; Tarif'!$B$5</f>
        <v>2050</v>
      </c>
      <c r="L72" s="32" t="n">
        <f aca="false">'Aturan &amp; Tarif'!$B$6</f>
        <v>350</v>
      </c>
      <c r="M72" s="35" t="n">
        <f aca="false">I72+J72+K72+L72</f>
        <v>28281.8</v>
      </c>
      <c r="N72" s="36" t="s">
        <v>246</v>
      </c>
    </row>
    <row r="73" customFormat="false" ht="106.5" hidden="false" customHeight="true" outlineLevel="0" collapsed="false">
      <c r="A73" s="29"/>
      <c r="B73" s="30" t="s">
        <v>247</v>
      </c>
      <c r="C73" s="31" t="s">
        <v>127</v>
      </c>
      <c r="D73" s="31" t="s">
        <v>108</v>
      </c>
      <c r="E73" s="32" t="n">
        <v>9987.5</v>
      </c>
      <c r="F73" s="32"/>
      <c r="G73" s="32"/>
      <c r="H73" s="33" t="n">
        <v>2</v>
      </c>
      <c r="I73" s="34" t="n">
        <f aca="false">E73*H73+N(F73)+N(G73)</f>
        <v>19975</v>
      </c>
      <c r="J73" s="32" t="n">
        <f aca="false">ROUND(IFERROR(ROUND(IF(OR(ISNUMBER(SEARCH("week",C73)),ISNUMBER(SEARCH("minggu",C73))),IFERROR(_xlfn.NUMBERVALUE(SUBSTITUTE(LEFT(TRIM(C73),FIND(" ",TRIM(C73)&amp;" ")-1),",","."),"."),LEFT(SUBSTITUTE(LEFT(TRIM(C73),FIND(" ",TRIM(C73)&amp;" ")-1),",","."),FIND("/",SUBSTITUTE(LEFT(TRIM(C73),FIND(" ",TRIM(C73)&amp;" ")-1),",","."))-1)/MID(SUBSTITUTE(LEFT(TRIM(C73),FIND(" ",TRIM(C73)&amp;" ")-1),",","."),FIND("/",SUBSTITUTE(LEFT(TRIM(C73),FIND(" ",TRIM(C73)&amp;" ")-1),",","."))+1,9))*12/52,IF(ISNUMBER(SEARCH("month",C73)),IFERROR(_xlfn.NUMBERVALUE(SUBSTITUTE(LEFT(TRIM(C73),FIND(" ",TRIM(C73)&amp;" ")-1),",","."),"."),LEFT(SUBSTITUTE(LEFT(TRIM(C73),FIND(" ",TRIM(C73)&amp;" ")-1),",","."),FIND("/",SUBSTITUTE(LEFT(TRIM(C73),FIND(" ",TRIM(C73)&amp;" ")-1),",","."))-1)/MID(SUBSTITUTE(LEFT(TRIM(C73),FIND(" ",TRIM(C73)&amp;" ")-1),",","."),FIND("/",SUBSTITUTE(LEFT(TRIM(C73),FIND(" ",TRIM(C73)&amp;" ")-1),",","."))+1,9)),IF(ISNUMBER(SEARCH("yea",C73)),IFERROR(_xlfn.NUMBERVALUE(SUBSTITUTE(LEFT(TRIM(C73),FIND(" ",TRIM(C73)&amp;" ")-1),",","."),"."),LEFT(SUBSTITUTE(LEFT(TRIM(C73),FIND(" ",TRIM(C73)&amp;" ")-1),",","."),FIND("/",SUBSTITUTE(LEFT(TRIM(C73),FIND(" ",TRIM(C73)&amp;" ")-1),",","."))-1)/MID(SUBSTITUTE(LEFT(TRIM(C73),FIND(" ",TRIM(C73)&amp;" ")-1),",","."),FIND("/",SUBSTITUTE(LEFT(TRIM(C73),FIND(" ",TRIM(C73)&amp;" ")-1),",","."))+1,9))*12,NA()))),0),36)*'Aturan &amp; Tarif'!$B$4,2)</f>
        <v>2044.08</v>
      </c>
      <c r="K73" s="32" t="n">
        <f aca="false">'Aturan &amp; Tarif'!$B$5</f>
        <v>2050</v>
      </c>
      <c r="L73" s="32" t="n">
        <f aca="false">'Aturan &amp; Tarif'!$B$6</f>
        <v>350</v>
      </c>
      <c r="M73" s="35" t="n">
        <f aca="false">I73+J73+K73+L73</f>
        <v>24419.08</v>
      </c>
      <c r="N73" s="36" t="s">
        <v>248</v>
      </c>
    </row>
    <row r="74" customFormat="false" ht="106.5" hidden="false" customHeight="true" outlineLevel="0" collapsed="false">
      <c r="A74" s="29"/>
      <c r="B74" s="30" t="s">
        <v>249</v>
      </c>
      <c r="C74" s="31" t="s">
        <v>191</v>
      </c>
      <c r="D74" s="31" t="s">
        <v>108</v>
      </c>
      <c r="E74" s="32" t="n">
        <v>11987.5</v>
      </c>
      <c r="F74" s="32"/>
      <c r="G74" s="32"/>
      <c r="H74" s="33" t="n">
        <v>2</v>
      </c>
      <c r="I74" s="34" t="n">
        <f aca="false">E74*H74+N(F74)+N(G74)</f>
        <v>23975</v>
      </c>
      <c r="J74" s="32" t="n">
        <f aca="false">ROUND(IFERROR(ROUND(IF(OR(ISNUMBER(SEARCH("week",C74)),ISNUMBER(SEARCH("minggu",C74))),IFERROR(_xlfn.NUMBERVALUE(SUBSTITUTE(LEFT(TRIM(C74),FIND(" ",TRIM(C74)&amp;" ")-1),",","."),"."),LEFT(SUBSTITUTE(LEFT(TRIM(C74),FIND(" ",TRIM(C74)&amp;" ")-1),",","."),FIND("/",SUBSTITUTE(LEFT(TRIM(C74),FIND(" ",TRIM(C74)&amp;" ")-1),",","."))-1)/MID(SUBSTITUTE(LEFT(TRIM(C74),FIND(" ",TRIM(C74)&amp;" ")-1),",","."),FIND("/",SUBSTITUTE(LEFT(TRIM(C74),FIND(" ",TRIM(C74)&amp;" ")-1),",","."))+1,9))*12/52,IF(ISNUMBER(SEARCH("month",C74)),IFERROR(_xlfn.NUMBERVALUE(SUBSTITUTE(LEFT(TRIM(C74),FIND(" ",TRIM(C74)&amp;" ")-1),",","."),"."),LEFT(SUBSTITUTE(LEFT(TRIM(C74),FIND(" ",TRIM(C74)&amp;" ")-1),",","."),FIND("/",SUBSTITUTE(LEFT(TRIM(C74),FIND(" ",TRIM(C74)&amp;" ")-1),",","."))-1)/MID(SUBSTITUTE(LEFT(TRIM(C74),FIND(" ",TRIM(C74)&amp;" ")-1),",","."),FIND("/",SUBSTITUTE(LEFT(TRIM(C74),FIND(" ",TRIM(C74)&amp;" ")-1),",","."))+1,9)),IF(ISNUMBER(SEARCH("yea",C74)),IFERROR(_xlfn.NUMBERVALUE(SUBSTITUTE(LEFT(TRIM(C74),FIND(" ",TRIM(C74)&amp;" ")-1),",","."),"."),LEFT(SUBSTITUTE(LEFT(TRIM(C74),FIND(" ",TRIM(C74)&amp;" ")-1),",","."),FIND("/",SUBSTITUTE(LEFT(TRIM(C74),FIND(" ",TRIM(C74)&amp;" ")-1),",","."))-1)/MID(SUBSTITUTE(LEFT(TRIM(C74),FIND(" ",TRIM(C74)&amp;" ")-1),",","."),FIND("/",SUBSTITUTE(LEFT(TRIM(C74),FIND(" ",TRIM(C74)&amp;" ")-1),",","."))+1,9))*12,NA()))),0),48)*'Aturan &amp; Tarif'!$B$4,2)</f>
        <v>2725.44</v>
      </c>
      <c r="K74" s="32" t="n">
        <f aca="false">'Aturan &amp; Tarif'!$B$5</f>
        <v>2050</v>
      </c>
      <c r="L74" s="32" t="n">
        <f aca="false">'Aturan &amp; Tarif'!$B$6</f>
        <v>350</v>
      </c>
      <c r="M74" s="35" t="n">
        <f aca="false">I74+J74+K74+L74</f>
        <v>29100.44</v>
      </c>
      <c r="N74" s="36" t="s">
        <v>250</v>
      </c>
    </row>
    <row r="75" customFormat="false" ht="106.5" hidden="false" customHeight="true" outlineLevel="0" collapsed="false">
      <c r="A75" s="29"/>
      <c r="B75" s="30" t="s">
        <v>251</v>
      </c>
      <c r="C75" s="31" t="s">
        <v>127</v>
      </c>
      <c r="D75" s="31" t="s">
        <v>108</v>
      </c>
      <c r="E75" s="32" t="n">
        <v>11237.5</v>
      </c>
      <c r="F75" s="32"/>
      <c r="G75" s="32"/>
      <c r="H75" s="33" t="n">
        <v>2</v>
      </c>
      <c r="I75" s="34" t="n">
        <f aca="false">E75*H75+N(F75)+N(G75)</f>
        <v>22475</v>
      </c>
      <c r="J75" s="32" t="n">
        <f aca="false">ROUND(IFERROR(ROUND(IF(OR(ISNUMBER(SEARCH("week",C75)),ISNUMBER(SEARCH("minggu",C75))),IFERROR(_xlfn.NUMBERVALUE(SUBSTITUTE(LEFT(TRIM(C75),FIND(" ",TRIM(C75)&amp;" ")-1),",","."),"."),LEFT(SUBSTITUTE(LEFT(TRIM(C75),FIND(" ",TRIM(C75)&amp;" ")-1),",","."),FIND("/",SUBSTITUTE(LEFT(TRIM(C75),FIND(" ",TRIM(C75)&amp;" ")-1),",","."))-1)/MID(SUBSTITUTE(LEFT(TRIM(C75),FIND(" ",TRIM(C75)&amp;" ")-1),",","."),FIND("/",SUBSTITUTE(LEFT(TRIM(C75),FIND(" ",TRIM(C75)&amp;" ")-1),",","."))+1,9))*12/52,IF(ISNUMBER(SEARCH("month",C75)),IFERROR(_xlfn.NUMBERVALUE(SUBSTITUTE(LEFT(TRIM(C75),FIND(" ",TRIM(C75)&amp;" ")-1),",","."),"."),LEFT(SUBSTITUTE(LEFT(TRIM(C75),FIND(" ",TRIM(C75)&amp;" ")-1),",","."),FIND("/",SUBSTITUTE(LEFT(TRIM(C75),FIND(" ",TRIM(C75)&amp;" ")-1),",","."))-1)/MID(SUBSTITUTE(LEFT(TRIM(C75),FIND(" ",TRIM(C75)&amp;" ")-1),",","."),FIND("/",SUBSTITUTE(LEFT(TRIM(C75),FIND(" ",TRIM(C75)&amp;" ")-1),",","."))+1,9)),IF(ISNUMBER(SEARCH("yea",C75)),IFERROR(_xlfn.NUMBERVALUE(SUBSTITUTE(LEFT(TRIM(C75),FIND(" ",TRIM(C75)&amp;" ")-1),",","."),"."),LEFT(SUBSTITUTE(LEFT(TRIM(C75),FIND(" ",TRIM(C75)&amp;" ")-1),",","."),FIND("/",SUBSTITUTE(LEFT(TRIM(C75),FIND(" ",TRIM(C75)&amp;" ")-1),",","."))-1)/MID(SUBSTITUTE(LEFT(TRIM(C75),FIND(" ",TRIM(C75)&amp;" ")-1),",","."),FIND("/",SUBSTITUTE(LEFT(TRIM(C75),FIND(" ",TRIM(C75)&amp;" ")-1),",","."))+1,9))*12,NA()))),0),36)*'Aturan &amp; Tarif'!$B$4,2)</f>
        <v>2044.08</v>
      </c>
      <c r="K75" s="32" t="n">
        <f aca="false">'Aturan &amp; Tarif'!$B$5</f>
        <v>2050</v>
      </c>
      <c r="L75" s="32" t="n">
        <f aca="false">'Aturan &amp; Tarif'!$B$6</f>
        <v>350</v>
      </c>
      <c r="M75" s="35" t="n">
        <f aca="false">I75+J75+K75+L75</f>
        <v>26919.08</v>
      </c>
      <c r="N75" s="36" t="s">
        <v>225</v>
      </c>
    </row>
    <row r="76" customFormat="false" ht="106.5" hidden="false" customHeight="true" outlineLevel="0" collapsed="false">
      <c r="A76" s="29"/>
      <c r="B76" s="30" t="s">
        <v>252</v>
      </c>
      <c r="C76" s="31" t="s">
        <v>127</v>
      </c>
      <c r="D76" s="31" t="s">
        <v>108</v>
      </c>
      <c r="E76" s="32" t="n">
        <v>11237.5</v>
      </c>
      <c r="F76" s="32"/>
      <c r="G76" s="32"/>
      <c r="H76" s="33" t="n">
        <v>2</v>
      </c>
      <c r="I76" s="34" t="n">
        <f aca="false">E76*H76+N(F76)+N(G76)</f>
        <v>22475</v>
      </c>
      <c r="J76" s="32" t="n">
        <f aca="false">ROUND(IFERROR(ROUND(IF(OR(ISNUMBER(SEARCH("week",C76)),ISNUMBER(SEARCH("minggu",C76))),IFERROR(_xlfn.NUMBERVALUE(SUBSTITUTE(LEFT(TRIM(C76),FIND(" ",TRIM(C76)&amp;" ")-1),",","."),"."),LEFT(SUBSTITUTE(LEFT(TRIM(C76),FIND(" ",TRIM(C76)&amp;" ")-1),",","."),FIND("/",SUBSTITUTE(LEFT(TRIM(C76),FIND(" ",TRIM(C76)&amp;" ")-1),",","."))-1)/MID(SUBSTITUTE(LEFT(TRIM(C76),FIND(" ",TRIM(C76)&amp;" ")-1),",","."),FIND("/",SUBSTITUTE(LEFT(TRIM(C76),FIND(" ",TRIM(C76)&amp;" ")-1),",","."))+1,9))*12/52,IF(ISNUMBER(SEARCH("month",C76)),IFERROR(_xlfn.NUMBERVALUE(SUBSTITUTE(LEFT(TRIM(C76),FIND(" ",TRIM(C76)&amp;" ")-1),",","."),"."),LEFT(SUBSTITUTE(LEFT(TRIM(C76),FIND(" ",TRIM(C76)&amp;" ")-1),",","."),FIND("/",SUBSTITUTE(LEFT(TRIM(C76),FIND(" ",TRIM(C76)&amp;" ")-1),",","."))-1)/MID(SUBSTITUTE(LEFT(TRIM(C76),FIND(" ",TRIM(C76)&amp;" ")-1),",","."),FIND("/",SUBSTITUTE(LEFT(TRIM(C76),FIND(" ",TRIM(C76)&amp;" ")-1),",","."))+1,9)),IF(ISNUMBER(SEARCH("yea",C76)),IFERROR(_xlfn.NUMBERVALUE(SUBSTITUTE(LEFT(TRIM(C76),FIND(" ",TRIM(C76)&amp;" ")-1),",","."),"."),LEFT(SUBSTITUTE(LEFT(TRIM(C76),FIND(" ",TRIM(C76)&amp;" ")-1),",","."),FIND("/",SUBSTITUTE(LEFT(TRIM(C76),FIND(" ",TRIM(C76)&amp;" ")-1),",","."))-1)/MID(SUBSTITUTE(LEFT(TRIM(C76),FIND(" ",TRIM(C76)&amp;" ")-1),",","."),FIND("/",SUBSTITUTE(LEFT(TRIM(C76),FIND(" ",TRIM(C76)&amp;" ")-1),",","."))+1,9))*12,NA()))),0),36)*'Aturan &amp; Tarif'!$B$4,2)</f>
        <v>2044.08</v>
      </c>
      <c r="K76" s="32" t="n">
        <f aca="false">'Aturan &amp; Tarif'!$B$5</f>
        <v>2050</v>
      </c>
      <c r="L76" s="32" t="n">
        <f aca="false">'Aturan &amp; Tarif'!$B$6</f>
        <v>350</v>
      </c>
      <c r="M76" s="35" t="n">
        <f aca="false">I76+J76+K76+L76</f>
        <v>26919.08</v>
      </c>
      <c r="N76" s="36" t="s">
        <v>225</v>
      </c>
    </row>
    <row r="77" customFormat="false" ht="106.5" hidden="false" customHeight="true" outlineLevel="0" collapsed="false">
      <c r="A77" s="29"/>
      <c r="B77" s="30" t="s">
        <v>253</v>
      </c>
      <c r="C77" s="31" t="s">
        <v>107</v>
      </c>
      <c r="D77" s="31" t="s">
        <v>108</v>
      </c>
      <c r="E77" s="32" t="n">
        <v>11237.5</v>
      </c>
      <c r="F77" s="32"/>
      <c r="G77" s="32"/>
      <c r="H77" s="33" t="n">
        <v>2</v>
      </c>
      <c r="I77" s="34" t="n">
        <f aca="false">E77*H77+N(F77)+N(G77)</f>
        <v>22475</v>
      </c>
      <c r="J77" s="32" t="n">
        <f aca="false">ROUND(IFERROR(ROUND(IF(OR(ISNUMBER(SEARCH("week",C77)),ISNUMBER(SEARCH("minggu",C77))),IFERROR(_xlfn.NUMBERVALUE(SUBSTITUTE(LEFT(TRIM(C77),FIND(" ",TRIM(C77)&amp;" ")-1),",","."),"."),LEFT(SUBSTITUTE(LEFT(TRIM(C77),FIND(" ",TRIM(C77)&amp;" ")-1),",","."),FIND("/",SUBSTITUTE(LEFT(TRIM(C77),FIND(" ",TRIM(C77)&amp;" ")-1),",","."))-1)/MID(SUBSTITUTE(LEFT(TRIM(C77),FIND(" ",TRIM(C77)&amp;" ")-1),",","."),FIND("/",SUBSTITUTE(LEFT(TRIM(C77),FIND(" ",TRIM(C77)&amp;" ")-1),",","."))+1,9))*12/52,IF(ISNUMBER(SEARCH("month",C77)),IFERROR(_xlfn.NUMBERVALUE(SUBSTITUTE(LEFT(TRIM(C77),FIND(" ",TRIM(C77)&amp;" ")-1),",","."),"."),LEFT(SUBSTITUTE(LEFT(TRIM(C77),FIND(" ",TRIM(C77)&amp;" ")-1),",","."),FIND("/",SUBSTITUTE(LEFT(TRIM(C77),FIND(" ",TRIM(C77)&amp;" ")-1),",","."))-1)/MID(SUBSTITUTE(LEFT(TRIM(C77),FIND(" ",TRIM(C77)&amp;" ")-1),",","."),FIND("/",SUBSTITUTE(LEFT(TRIM(C77),FIND(" ",TRIM(C77)&amp;" ")-1),",","."))+1,9)),IF(ISNUMBER(SEARCH("yea",C77)),IFERROR(_xlfn.NUMBERVALUE(SUBSTITUTE(LEFT(TRIM(C77),FIND(" ",TRIM(C77)&amp;" ")-1),",","."),"."),LEFT(SUBSTITUTE(LEFT(TRIM(C77),FIND(" ",TRIM(C77)&amp;" ")-1),",","."),FIND("/",SUBSTITUTE(LEFT(TRIM(C77),FIND(" ",TRIM(C77)&amp;" ")-1),",","."))-1)/MID(SUBSTITUTE(LEFT(TRIM(C77),FIND(" ",TRIM(C77)&amp;" ")-1),",","."),FIND("/",SUBSTITUTE(LEFT(TRIM(C77),FIND(" ",TRIM(C77)&amp;" ")-1),",","."))+1,9))*12,NA()))),0),24)*'Aturan &amp; Tarif'!$B$4,2)</f>
        <v>1362.72</v>
      </c>
      <c r="K77" s="32" t="n">
        <f aca="false">'Aturan &amp; Tarif'!$B$5</f>
        <v>2050</v>
      </c>
      <c r="L77" s="32" t="n">
        <f aca="false">'Aturan &amp; Tarif'!$B$6</f>
        <v>350</v>
      </c>
      <c r="M77" s="35" t="n">
        <f aca="false">I77+J77+K77+L77</f>
        <v>26237.72</v>
      </c>
      <c r="N77" s="36" t="s">
        <v>225</v>
      </c>
    </row>
    <row r="78" customFormat="false" ht="106.5" hidden="false" customHeight="true" outlineLevel="0" collapsed="false">
      <c r="A78" s="29"/>
      <c r="B78" s="30" t="s">
        <v>254</v>
      </c>
      <c r="C78" s="31" t="s">
        <v>107</v>
      </c>
      <c r="D78" s="31" t="s">
        <v>108</v>
      </c>
      <c r="E78" s="32" t="n">
        <v>11112.5</v>
      </c>
      <c r="F78" s="32"/>
      <c r="G78" s="32"/>
      <c r="H78" s="33" t="n">
        <v>2</v>
      </c>
      <c r="I78" s="34" t="n">
        <f aca="false">E78*H78+N(F78)+N(G78)</f>
        <v>22225</v>
      </c>
      <c r="J78" s="32" t="n">
        <f aca="false">ROUND(IFERROR(ROUND(IF(OR(ISNUMBER(SEARCH("week",C78)),ISNUMBER(SEARCH("minggu",C78))),IFERROR(_xlfn.NUMBERVALUE(SUBSTITUTE(LEFT(TRIM(C78),FIND(" ",TRIM(C78)&amp;" ")-1),",","."),"."),LEFT(SUBSTITUTE(LEFT(TRIM(C78),FIND(" ",TRIM(C78)&amp;" ")-1),",","."),FIND("/",SUBSTITUTE(LEFT(TRIM(C78),FIND(" ",TRIM(C78)&amp;" ")-1),",","."))-1)/MID(SUBSTITUTE(LEFT(TRIM(C78),FIND(" ",TRIM(C78)&amp;" ")-1),",","."),FIND("/",SUBSTITUTE(LEFT(TRIM(C78),FIND(" ",TRIM(C78)&amp;" ")-1),",","."))+1,9))*12/52,IF(ISNUMBER(SEARCH("month",C78)),IFERROR(_xlfn.NUMBERVALUE(SUBSTITUTE(LEFT(TRIM(C78),FIND(" ",TRIM(C78)&amp;" ")-1),",","."),"."),LEFT(SUBSTITUTE(LEFT(TRIM(C78),FIND(" ",TRIM(C78)&amp;" ")-1),",","."),FIND("/",SUBSTITUTE(LEFT(TRIM(C78),FIND(" ",TRIM(C78)&amp;" ")-1),",","."))-1)/MID(SUBSTITUTE(LEFT(TRIM(C78),FIND(" ",TRIM(C78)&amp;" ")-1),",","."),FIND("/",SUBSTITUTE(LEFT(TRIM(C78),FIND(" ",TRIM(C78)&amp;" ")-1),",","."))+1,9)),IF(ISNUMBER(SEARCH("yea",C78)),IFERROR(_xlfn.NUMBERVALUE(SUBSTITUTE(LEFT(TRIM(C78),FIND(" ",TRIM(C78)&amp;" ")-1),",","."),"."),LEFT(SUBSTITUTE(LEFT(TRIM(C78),FIND(" ",TRIM(C78)&amp;" ")-1),",","."),FIND("/",SUBSTITUTE(LEFT(TRIM(C78),FIND(" ",TRIM(C78)&amp;" ")-1),",","."))-1)/MID(SUBSTITUTE(LEFT(TRIM(C78),FIND(" ",TRIM(C78)&amp;" ")-1),",","."),FIND("/",SUBSTITUTE(LEFT(TRIM(C78),FIND(" ",TRIM(C78)&amp;" ")-1),",","."))+1,9))*12,NA()))),0),24)*'Aturan &amp; Tarif'!$B$4,2)</f>
        <v>1362.72</v>
      </c>
      <c r="K78" s="32" t="n">
        <f aca="false">'Aturan &amp; Tarif'!$B$5</f>
        <v>2050</v>
      </c>
      <c r="L78" s="32" t="n">
        <f aca="false">'Aturan &amp; Tarif'!$B$6</f>
        <v>350</v>
      </c>
      <c r="M78" s="35" t="n">
        <f aca="false">I78+J78+K78+L78</f>
        <v>25987.72</v>
      </c>
      <c r="N78" s="36" t="s">
        <v>255</v>
      </c>
    </row>
    <row r="79" customFormat="false" ht="37.5" hidden="false" customHeight="true" outlineLevel="0" collapsed="false">
      <c r="A79" s="29"/>
      <c r="B79" s="30" t="s">
        <v>256</v>
      </c>
      <c r="C79" s="31" t="s">
        <v>107</v>
      </c>
      <c r="D79" s="31" t="s">
        <v>108</v>
      </c>
      <c r="E79" s="32" t="n">
        <v>10062.5</v>
      </c>
      <c r="F79" s="32"/>
      <c r="G79" s="32"/>
      <c r="H79" s="33" t="n">
        <v>2</v>
      </c>
      <c r="I79" s="34" t="n">
        <f aca="false">E79*H79+N(F79)+N(G79)</f>
        <v>20125</v>
      </c>
      <c r="J79" s="32" t="n">
        <f aca="false">ROUND(IFERROR(ROUND(IF(OR(ISNUMBER(SEARCH("week",C79)),ISNUMBER(SEARCH("minggu",C79))),IFERROR(_xlfn.NUMBERVALUE(SUBSTITUTE(LEFT(TRIM(C79),FIND(" ",TRIM(C79)&amp;" ")-1),",","."),"."),LEFT(SUBSTITUTE(LEFT(TRIM(C79),FIND(" ",TRIM(C79)&amp;" ")-1),",","."),FIND("/",SUBSTITUTE(LEFT(TRIM(C79),FIND(" ",TRIM(C79)&amp;" ")-1),",","."))-1)/MID(SUBSTITUTE(LEFT(TRIM(C79),FIND(" ",TRIM(C79)&amp;" ")-1),",","."),FIND("/",SUBSTITUTE(LEFT(TRIM(C79),FIND(" ",TRIM(C79)&amp;" ")-1),",","."))+1,9))*12/52,IF(ISNUMBER(SEARCH("month",C79)),IFERROR(_xlfn.NUMBERVALUE(SUBSTITUTE(LEFT(TRIM(C79),FIND(" ",TRIM(C79)&amp;" ")-1),",","."),"."),LEFT(SUBSTITUTE(LEFT(TRIM(C79),FIND(" ",TRIM(C79)&amp;" ")-1),",","."),FIND("/",SUBSTITUTE(LEFT(TRIM(C79),FIND(" ",TRIM(C79)&amp;" ")-1),",","."))-1)/MID(SUBSTITUTE(LEFT(TRIM(C79),FIND(" ",TRIM(C79)&amp;" ")-1),",","."),FIND("/",SUBSTITUTE(LEFT(TRIM(C79),FIND(" ",TRIM(C79)&amp;" ")-1),",","."))+1,9)),IF(ISNUMBER(SEARCH("yea",C79)),IFERROR(_xlfn.NUMBERVALUE(SUBSTITUTE(LEFT(TRIM(C79),FIND(" ",TRIM(C79)&amp;" ")-1),",","."),"."),LEFT(SUBSTITUTE(LEFT(TRIM(C79),FIND(" ",TRIM(C79)&amp;" ")-1),",","."),FIND("/",SUBSTITUTE(LEFT(TRIM(C79),FIND(" ",TRIM(C79)&amp;" ")-1),",","."))-1)/MID(SUBSTITUTE(LEFT(TRIM(C79),FIND(" ",TRIM(C79)&amp;" ")-1),",","."),FIND("/",SUBSTITUTE(LEFT(TRIM(C79),FIND(" ",TRIM(C79)&amp;" ")-1),",","."))+1,9))*12,NA()))),0),24)*'Aturan &amp; Tarif'!$B$4,2)</f>
        <v>1362.72</v>
      </c>
      <c r="K79" s="32" t="n">
        <f aca="false">'Aturan &amp; Tarif'!$B$5</f>
        <v>2050</v>
      </c>
      <c r="L79" s="32" t="n">
        <f aca="false">'Aturan &amp; Tarif'!$B$6</f>
        <v>350</v>
      </c>
      <c r="M79" s="35" t="n">
        <f aca="false">I79+J79+K79+L79</f>
        <v>23887.72</v>
      </c>
      <c r="N79" s="36" t="s">
        <v>194</v>
      </c>
    </row>
    <row r="80" customFormat="false" ht="106.5" hidden="false" customHeight="true" outlineLevel="0" collapsed="false">
      <c r="A80" s="29"/>
      <c r="B80" s="30" t="s">
        <v>257</v>
      </c>
      <c r="C80" s="31" t="s">
        <v>107</v>
      </c>
      <c r="D80" s="31" t="s">
        <v>108</v>
      </c>
      <c r="E80" s="32" t="n">
        <v>10487.5</v>
      </c>
      <c r="F80" s="32"/>
      <c r="G80" s="32"/>
      <c r="H80" s="33" t="n">
        <v>2</v>
      </c>
      <c r="I80" s="34" t="n">
        <f aca="false">E80*H80+N(F80)+N(G80)</f>
        <v>20975</v>
      </c>
      <c r="J80" s="32" t="n">
        <f aca="false">ROUND(IFERROR(ROUND(IF(OR(ISNUMBER(SEARCH("week",C80)),ISNUMBER(SEARCH("minggu",C80))),IFERROR(_xlfn.NUMBERVALUE(SUBSTITUTE(LEFT(TRIM(C80),FIND(" ",TRIM(C80)&amp;" ")-1),",","."),"."),LEFT(SUBSTITUTE(LEFT(TRIM(C80),FIND(" ",TRIM(C80)&amp;" ")-1),",","."),FIND("/",SUBSTITUTE(LEFT(TRIM(C80),FIND(" ",TRIM(C80)&amp;" ")-1),",","."))-1)/MID(SUBSTITUTE(LEFT(TRIM(C80),FIND(" ",TRIM(C80)&amp;" ")-1),",","."),FIND("/",SUBSTITUTE(LEFT(TRIM(C80),FIND(" ",TRIM(C80)&amp;" ")-1),",","."))+1,9))*12/52,IF(ISNUMBER(SEARCH("month",C80)),IFERROR(_xlfn.NUMBERVALUE(SUBSTITUTE(LEFT(TRIM(C80),FIND(" ",TRIM(C80)&amp;" ")-1),",","."),"."),LEFT(SUBSTITUTE(LEFT(TRIM(C80),FIND(" ",TRIM(C80)&amp;" ")-1),",","."),FIND("/",SUBSTITUTE(LEFT(TRIM(C80),FIND(" ",TRIM(C80)&amp;" ")-1),",","."))-1)/MID(SUBSTITUTE(LEFT(TRIM(C80),FIND(" ",TRIM(C80)&amp;" ")-1),",","."),FIND("/",SUBSTITUTE(LEFT(TRIM(C80),FIND(" ",TRIM(C80)&amp;" ")-1),",","."))+1,9)),IF(ISNUMBER(SEARCH("yea",C80)),IFERROR(_xlfn.NUMBERVALUE(SUBSTITUTE(LEFT(TRIM(C80),FIND(" ",TRIM(C80)&amp;" ")-1),",","."),"."),LEFT(SUBSTITUTE(LEFT(TRIM(C80),FIND(" ",TRIM(C80)&amp;" ")-1),",","."),FIND("/",SUBSTITUTE(LEFT(TRIM(C80),FIND(" ",TRIM(C80)&amp;" ")-1),",","."))-1)/MID(SUBSTITUTE(LEFT(TRIM(C80),FIND(" ",TRIM(C80)&amp;" ")-1),",","."),FIND("/",SUBSTITUTE(LEFT(TRIM(C80),FIND(" ",TRIM(C80)&amp;" ")-1),",","."))+1,9))*12,NA()))),0),24)*'Aturan &amp; Tarif'!$B$4,2)</f>
        <v>1362.72</v>
      </c>
      <c r="K80" s="32" t="n">
        <f aca="false">'Aturan &amp; Tarif'!$B$5</f>
        <v>2050</v>
      </c>
      <c r="L80" s="32" t="n">
        <f aca="false">'Aturan &amp; Tarif'!$B$6</f>
        <v>350</v>
      </c>
      <c r="M80" s="35" t="n">
        <f aca="false">I80+J80+K80+L80</f>
        <v>24737.72</v>
      </c>
      <c r="N80" s="36" t="s">
        <v>258</v>
      </c>
    </row>
    <row r="81" customFormat="false" ht="106.5" hidden="false" customHeight="true" outlineLevel="0" collapsed="false">
      <c r="A81" s="29"/>
      <c r="B81" s="30" t="s">
        <v>259</v>
      </c>
      <c r="C81" s="31" t="s">
        <v>127</v>
      </c>
      <c r="D81" s="31" t="s">
        <v>108</v>
      </c>
      <c r="E81" s="32" t="n">
        <v>11237.5</v>
      </c>
      <c r="F81" s="32"/>
      <c r="G81" s="32"/>
      <c r="H81" s="33" t="n">
        <v>2</v>
      </c>
      <c r="I81" s="34" t="n">
        <f aca="false">E81*H81+N(F81)+N(G81)</f>
        <v>22475</v>
      </c>
      <c r="J81" s="32" t="n">
        <f aca="false">ROUND(IFERROR(ROUND(IF(OR(ISNUMBER(SEARCH("week",C81)),ISNUMBER(SEARCH("minggu",C81))),IFERROR(_xlfn.NUMBERVALUE(SUBSTITUTE(LEFT(TRIM(C81),FIND(" ",TRIM(C81)&amp;" ")-1),",","."),"."),LEFT(SUBSTITUTE(LEFT(TRIM(C81),FIND(" ",TRIM(C81)&amp;" ")-1),",","."),FIND("/",SUBSTITUTE(LEFT(TRIM(C81),FIND(" ",TRIM(C81)&amp;" ")-1),",","."))-1)/MID(SUBSTITUTE(LEFT(TRIM(C81),FIND(" ",TRIM(C81)&amp;" ")-1),",","."),FIND("/",SUBSTITUTE(LEFT(TRIM(C81),FIND(" ",TRIM(C81)&amp;" ")-1),",","."))+1,9))*12/52,IF(ISNUMBER(SEARCH("month",C81)),IFERROR(_xlfn.NUMBERVALUE(SUBSTITUTE(LEFT(TRIM(C81),FIND(" ",TRIM(C81)&amp;" ")-1),",","."),"."),LEFT(SUBSTITUTE(LEFT(TRIM(C81),FIND(" ",TRIM(C81)&amp;" ")-1),",","."),FIND("/",SUBSTITUTE(LEFT(TRIM(C81),FIND(" ",TRIM(C81)&amp;" ")-1),",","."))-1)/MID(SUBSTITUTE(LEFT(TRIM(C81),FIND(" ",TRIM(C81)&amp;" ")-1),",","."),FIND("/",SUBSTITUTE(LEFT(TRIM(C81),FIND(" ",TRIM(C81)&amp;" ")-1),",","."))+1,9)),IF(ISNUMBER(SEARCH("yea",C81)),IFERROR(_xlfn.NUMBERVALUE(SUBSTITUTE(LEFT(TRIM(C81),FIND(" ",TRIM(C81)&amp;" ")-1),",","."),"."),LEFT(SUBSTITUTE(LEFT(TRIM(C81),FIND(" ",TRIM(C81)&amp;" ")-1),",","."),FIND("/",SUBSTITUTE(LEFT(TRIM(C81),FIND(" ",TRIM(C81)&amp;" ")-1),",","."))-1)/MID(SUBSTITUTE(LEFT(TRIM(C81),FIND(" ",TRIM(C81)&amp;" ")-1),",","."),FIND("/",SUBSTITUTE(LEFT(TRIM(C81),FIND(" ",TRIM(C81)&amp;" ")-1),",","."))+1,9))*12,NA()))),0),36)*'Aturan &amp; Tarif'!$B$4,2)</f>
        <v>2044.08</v>
      </c>
      <c r="K81" s="32" t="n">
        <f aca="false">'Aturan &amp; Tarif'!$B$5</f>
        <v>2050</v>
      </c>
      <c r="L81" s="32" t="n">
        <f aca="false">'Aturan &amp; Tarif'!$B$6</f>
        <v>350</v>
      </c>
      <c r="M81" s="35" t="n">
        <f aca="false">I81+J81+K81+L81</f>
        <v>26919.08</v>
      </c>
      <c r="N81" s="36" t="s">
        <v>260</v>
      </c>
    </row>
    <row r="82" customFormat="false" ht="106.5" hidden="false" customHeight="true" outlineLevel="0" collapsed="false">
      <c r="A82" s="29"/>
      <c r="B82" s="30" t="s">
        <v>261</v>
      </c>
      <c r="C82" s="31" t="s">
        <v>127</v>
      </c>
      <c r="D82" s="31" t="s">
        <v>108</v>
      </c>
      <c r="E82" s="32" t="n">
        <v>9987.5</v>
      </c>
      <c r="F82" s="32"/>
      <c r="G82" s="32"/>
      <c r="H82" s="33" t="n">
        <v>2</v>
      </c>
      <c r="I82" s="34" t="n">
        <f aca="false">E82*H82+N(F82)+N(G82)</f>
        <v>19975</v>
      </c>
      <c r="J82" s="32" t="n">
        <f aca="false">ROUND(IFERROR(ROUND(IF(OR(ISNUMBER(SEARCH("week",C82)),ISNUMBER(SEARCH("minggu",C82))),IFERROR(_xlfn.NUMBERVALUE(SUBSTITUTE(LEFT(TRIM(C82),FIND(" ",TRIM(C82)&amp;" ")-1),",","."),"."),LEFT(SUBSTITUTE(LEFT(TRIM(C82),FIND(" ",TRIM(C82)&amp;" ")-1),",","."),FIND("/",SUBSTITUTE(LEFT(TRIM(C82),FIND(" ",TRIM(C82)&amp;" ")-1),",","."))-1)/MID(SUBSTITUTE(LEFT(TRIM(C82),FIND(" ",TRIM(C82)&amp;" ")-1),",","."),FIND("/",SUBSTITUTE(LEFT(TRIM(C82),FIND(" ",TRIM(C82)&amp;" ")-1),",","."))+1,9))*12/52,IF(ISNUMBER(SEARCH("month",C82)),IFERROR(_xlfn.NUMBERVALUE(SUBSTITUTE(LEFT(TRIM(C82),FIND(" ",TRIM(C82)&amp;" ")-1),",","."),"."),LEFT(SUBSTITUTE(LEFT(TRIM(C82),FIND(" ",TRIM(C82)&amp;" ")-1),",","."),FIND("/",SUBSTITUTE(LEFT(TRIM(C82),FIND(" ",TRIM(C82)&amp;" ")-1),",","."))-1)/MID(SUBSTITUTE(LEFT(TRIM(C82),FIND(" ",TRIM(C82)&amp;" ")-1),",","."),FIND("/",SUBSTITUTE(LEFT(TRIM(C82),FIND(" ",TRIM(C82)&amp;" ")-1),",","."))+1,9)),IF(ISNUMBER(SEARCH("yea",C82)),IFERROR(_xlfn.NUMBERVALUE(SUBSTITUTE(LEFT(TRIM(C82),FIND(" ",TRIM(C82)&amp;" ")-1),",","."),"."),LEFT(SUBSTITUTE(LEFT(TRIM(C82),FIND(" ",TRIM(C82)&amp;" ")-1),",","."),FIND("/",SUBSTITUTE(LEFT(TRIM(C82),FIND(" ",TRIM(C82)&amp;" ")-1),",","."))-1)/MID(SUBSTITUTE(LEFT(TRIM(C82),FIND(" ",TRIM(C82)&amp;" ")-1),",","."),FIND("/",SUBSTITUTE(LEFT(TRIM(C82),FIND(" ",TRIM(C82)&amp;" ")-1),",","."))+1,9))*12,NA()))),0),36)*'Aturan &amp; Tarif'!$B$4,2)</f>
        <v>2044.08</v>
      </c>
      <c r="K82" s="32" t="n">
        <f aca="false">'Aturan &amp; Tarif'!$B$5</f>
        <v>2050</v>
      </c>
      <c r="L82" s="32" t="n">
        <f aca="false">'Aturan &amp; Tarif'!$B$6</f>
        <v>350</v>
      </c>
      <c r="M82" s="35" t="n">
        <f aca="false">I82+J82+K82+L82</f>
        <v>24419.08</v>
      </c>
      <c r="N82" s="36" t="s">
        <v>262</v>
      </c>
    </row>
    <row r="83" customFormat="false" ht="94.5" hidden="false" customHeight="true" outlineLevel="0" collapsed="false">
      <c r="A83" s="29"/>
      <c r="B83" s="30" t="s">
        <v>263</v>
      </c>
      <c r="C83" s="31" t="s">
        <v>245</v>
      </c>
      <c r="D83" s="31" t="s">
        <v>108</v>
      </c>
      <c r="E83" s="32" t="n">
        <v>23237.5</v>
      </c>
      <c r="F83" s="32"/>
      <c r="G83" s="32"/>
      <c r="H83" s="33" t="n">
        <v>2</v>
      </c>
      <c r="I83" s="34" t="n">
        <f aca="false">E83*H83+N(F83)+N(G83)</f>
        <v>46475</v>
      </c>
      <c r="J83" s="32" t="n">
        <f aca="false">ROUND(IFERROR(ROUND(IF(OR(ISNUMBER(SEARCH("week",C83)),ISNUMBER(SEARCH("minggu",C83))),IFERROR(_xlfn.NUMBERVALUE(SUBSTITUTE(LEFT(TRIM(C83),FIND(" ",TRIM(C83)&amp;" ")-1),",","."),"."),LEFT(SUBSTITUTE(LEFT(TRIM(C83),FIND(" ",TRIM(C83)&amp;" ")-1),",","."),FIND("/",SUBSTITUTE(LEFT(TRIM(C83),FIND(" ",TRIM(C83)&amp;" ")-1),",","."))-1)/MID(SUBSTITUTE(LEFT(TRIM(C83),FIND(" ",TRIM(C83)&amp;" ")-1),",","."),FIND("/",SUBSTITUTE(LEFT(TRIM(C83),FIND(" ",TRIM(C83)&amp;" ")-1),",","."))+1,9))*12/52,IF(ISNUMBER(SEARCH("month",C83)),IFERROR(_xlfn.NUMBERVALUE(SUBSTITUTE(LEFT(TRIM(C83),FIND(" ",TRIM(C83)&amp;" ")-1),",","."),"."),LEFT(SUBSTITUTE(LEFT(TRIM(C83),FIND(" ",TRIM(C83)&amp;" ")-1),",","."),FIND("/",SUBSTITUTE(LEFT(TRIM(C83),FIND(" ",TRIM(C83)&amp;" ")-1),",","."))-1)/MID(SUBSTITUTE(LEFT(TRIM(C83),FIND(" ",TRIM(C83)&amp;" ")-1),",","."),FIND("/",SUBSTITUTE(LEFT(TRIM(C83),FIND(" ",TRIM(C83)&amp;" ")-1),",","."))+1,9)),IF(ISNUMBER(SEARCH("yea",C83)),IFERROR(_xlfn.NUMBERVALUE(SUBSTITUTE(LEFT(TRIM(C83),FIND(" ",TRIM(C83)&amp;" ")-1),",","."),"."),LEFT(SUBSTITUTE(LEFT(TRIM(C83),FIND(" ",TRIM(C83)&amp;" ")-1),",","."),FIND("/",SUBSTITUTE(LEFT(TRIM(C83),FIND(" ",TRIM(C83)&amp;" ")-1),",","."))-1)/MID(SUBSTITUTE(LEFT(TRIM(C83),FIND(" ",TRIM(C83)&amp;" ")-1),",","."),FIND("/",SUBSTITUTE(LEFT(TRIM(C83),FIND(" ",TRIM(C83)&amp;" ")-1),",","."))+1,9))*12,NA()))),0),60)*'Aturan &amp; Tarif'!$B$4,2)</f>
        <v>3406.8</v>
      </c>
      <c r="K83" s="32" t="n">
        <f aca="false">'Aturan &amp; Tarif'!$B$5</f>
        <v>2050</v>
      </c>
      <c r="L83" s="32" t="n">
        <f aca="false">'Aturan &amp; Tarif'!$B$6</f>
        <v>350</v>
      </c>
      <c r="M83" s="35" t="n">
        <f aca="false">I83+J83+K83+L83</f>
        <v>52281.8</v>
      </c>
      <c r="N83" s="36" t="s">
        <v>264</v>
      </c>
    </row>
    <row r="84" customFormat="false" ht="106.5" hidden="false" customHeight="true" outlineLevel="0" collapsed="false">
      <c r="A84" s="29"/>
      <c r="B84" s="30" t="s">
        <v>265</v>
      </c>
      <c r="C84" s="31" t="s">
        <v>127</v>
      </c>
      <c r="D84" s="31" t="s">
        <v>108</v>
      </c>
      <c r="E84" s="32" t="n">
        <v>10737.5</v>
      </c>
      <c r="F84" s="32"/>
      <c r="G84" s="32"/>
      <c r="H84" s="33" t="n">
        <v>2</v>
      </c>
      <c r="I84" s="34" t="n">
        <f aca="false">E84*H84+N(F84)+N(G84)</f>
        <v>21475</v>
      </c>
      <c r="J84" s="32" t="n">
        <f aca="false">ROUND(IFERROR(ROUND(IF(OR(ISNUMBER(SEARCH("week",C84)),ISNUMBER(SEARCH("minggu",C84))),IFERROR(_xlfn.NUMBERVALUE(SUBSTITUTE(LEFT(TRIM(C84),FIND(" ",TRIM(C84)&amp;" ")-1),",","."),"."),LEFT(SUBSTITUTE(LEFT(TRIM(C84),FIND(" ",TRIM(C84)&amp;" ")-1),",","."),FIND("/",SUBSTITUTE(LEFT(TRIM(C84),FIND(" ",TRIM(C84)&amp;" ")-1),",","."))-1)/MID(SUBSTITUTE(LEFT(TRIM(C84),FIND(" ",TRIM(C84)&amp;" ")-1),",","."),FIND("/",SUBSTITUTE(LEFT(TRIM(C84),FIND(" ",TRIM(C84)&amp;" ")-1),",","."))+1,9))*12/52,IF(ISNUMBER(SEARCH("month",C84)),IFERROR(_xlfn.NUMBERVALUE(SUBSTITUTE(LEFT(TRIM(C84),FIND(" ",TRIM(C84)&amp;" ")-1),",","."),"."),LEFT(SUBSTITUTE(LEFT(TRIM(C84),FIND(" ",TRIM(C84)&amp;" ")-1),",","."),FIND("/",SUBSTITUTE(LEFT(TRIM(C84),FIND(" ",TRIM(C84)&amp;" ")-1),",","."))-1)/MID(SUBSTITUTE(LEFT(TRIM(C84),FIND(" ",TRIM(C84)&amp;" ")-1),",","."),FIND("/",SUBSTITUTE(LEFT(TRIM(C84),FIND(" ",TRIM(C84)&amp;" ")-1),",","."))+1,9)),IF(ISNUMBER(SEARCH("yea",C84)),IFERROR(_xlfn.NUMBERVALUE(SUBSTITUTE(LEFT(TRIM(C84),FIND(" ",TRIM(C84)&amp;" ")-1),",","."),"."),LEFT(SUBSTITUTE(LEFT(TRIM(C84),FIND(" ",TRIM(C84)&amp;" ")-1),",","."),FIND("/",SUBSTITUTE(LEFT(TRIM(C84),FIND(" ",TRIM(C84)&amp;" ")-1),",","."))-1)/MID(SUBSTITUTE(LEFT(TRIM(C84),FIND(" ",TRIM(C84)&amp;" ")-1),",","."),FIND("/",SUBSTITUTE(LEFT(TRIM(C84),FIND(" ",TRIM(C84)&amp;" ")-1),",","."))+1,9))*12,NA()))),0),36)*'Aturan &amp; Tarif'!$B$4,2)</f>
        <v>2044.08</v>
      </c>
      <c r="K84" s="32" t="n">
        <f aca="false">'Aturan &amp; Tarif'!$B$5</f>
        <v>2050</v>
      </c>
      <c r="L84" s="32" t="n">
        <f aca="false">'Aturan &amp; Tarif'!$B$6</f>
        <v>350</v>
      </c>
      <c r="M84" s="35" t="n">
        <f aca="false">I84+J84+K84+L84</f>
        <v>25919.08</v>
      </c>
      <c r="N84" s="36" t="s">
        <v>266</v>
      </c>
    </row>
    <row r="85" customFormat="false" ht="60" hidden="false" customHeight="true" outlineLevel="0" collapsed="false">
      <c r="A85" s="29"/>
      <c r="B85" s="30" t="s">
        <v>267</v>
      </c>
      <c r="C85" s="31" t="s">
        <v>127</v>
      </c>
      <c r="D85" s="31" t="s">
        <v>108</v>
      </c>
      <c r="E85" s="32" t="n">
        <v>11487.5</v>
      </c>
      <c r="F85" s="32"/>
      <c r="G85" s="32"/>
      <c r="H85" s="33" t="n">
        <v>2</v>
      </c>
      <c r="I85" s="34" t="n">
        <f aca="false">E85*H85+N(F85)+N(G85)</f>
        <v>22975</v>
      </c>
      <c r="J85" s="32" t="n">
        <f aca="false">ROUND(IFERROR(ROUND(IF(OR(ISNUMBER(SEARCH("week",C85)),ISNUMBER(SEARCH("minggu",C85))),IFERROR(_xlfn.NUMBERVALUE(SUBSTITUTE(LEFT(TRIM(C85),FIND(" ",TRIM(C85)&amp;" ")-1),",","."),"."),LEFT(SUBSTITUTE(LEFT(TRIM(C85),FIND(" ",TRIM(C85)&amp;" ")-1),",","."),FIND("/",SUBSTITUTE(LEFT(TRIM(C85),FIND(" ",TRIM(C85)&amp;" ")-1),",","."))-1)/MID(SUBSTITUTE(LEFT(TRIM(C85),FIND(" ",TRIM(C85)&amp;" ")-1),",","."),FIND("/",SUBSTITUTE(LEFT(TRIM(C85),FIND(" ",TRIM(C85)&amp;" ")-1),",","."))+1,9))*12/52,IF(ISNUMBER(SEARCH("month",C85)),IFERROR(_xlfn.NUMBERVALUE(SUBSTITUTE(LEFT(TRIM(C85),FIND(" ",TRIM(C85)&amp;" ")-1),",","."),"."),LEFT(SUBSTITUTE(LEFT(TRIM(C85),FIND(" ",TRIM(C85)&amp;" ")-1),",","."),FIND("/",SUBSTITUTE(LEFT(TRIM(C85),FIND(" ",TRIM(C85)&amp;" ")-1),",","."))-1)/MID(SUBSTITUTE(LEFT(TRIM(C85),FIND(" ",TRIM(C85)&amp;" ")-1),",","."),FIND("/",SUBSTITUTE(LEFT(TRIM(C85),FIND(" ",TRIM(C85)&amp;" ")-1),",","."))+1,9)),IF(ISNUMBER(SEARCH("yea",C85)),IFERROR(_xlfn.NUMBERVALUE(SUBSTITUTE(LEFT(TRIM(C85),FIND(" ",TRIM(C85)&amp;" ")-1),",","."),"."),LEFT(SUBSTITUTE(LEFT(TRIM(C85),FIND(" ",TRIM(C85)&amp;" ")-1),",","."),FIND("/",SUBSTITUTE(LEFT(TRIM(C85),FIND(" ",TRIM(C85)&amp;" ")-1),",","."))-1)/MID(SUBSTITUTE(LEFT(TRIM(C85),FIND(" ",TRIM(C85)&amp;" ")-1),",","."),FIND("/",SUBSTITUTE(LEFT(TRIM(C85),FIND(" ",TRIM(C85)&amp;" ")-1),",","."))+1,9))*12,NA()))),0),36)*'Aturan &amp; Tarif'!$B$4,2)</f>
        <v>2044.08</v>
      </c>
      <c r="K85" s="32" t="n">
        <f aca="false">'Aturan &amp; Tarif'!$B$5</f>
        <v>2050</v>
      </c>
      <c r="L85" s="32" t="n">
        <f aca="false">'Aturan &amp; Tarif'!$B$6</f>
        <v>350</v>
      </c>
      <c r="M85" s="35" t="n">
        <f aca="false">I85+J85+K85+L85</f>
        <v>27419.08</v>
      </c>
      <c r="N85" s="36" t="s">
        <v>268</v>
      </c>
    </row>
    <row r="86" customFormat="false" ht="106.5" hidden="false" customHeight="true" outlineLevel="0" collapsed="false">
      <c r="A86" s="29"/>
      <c r="B86" s="30" t="s">
        <v>269</v>
      </c>
      <c r="C86" s="31" t="s">
        <v>127</v>
      </c>
      <c r="D86" s="31" t="s">
        <v>108</v>
      </c>
      <c r="E86" s="32" t="n">
        <v>10487.5</v>
      </c>
      <c r="F86" s="32"/>
      <c r="G86" s="32"/>
      <c r="H86" s="33" t="n">
        <v>2</v>
      </c>
      <c r="I86" s="34" t="n">
        <f aca="false">E86*H86+N(F86)+N(G86)</f>
        <v>20975</v>
      </c>
      <c r="J86" s="32" t="n">
        <f aca="false">ROUND(IFERROR(ROUND(IF(OR(ISNUMBER(SEARCH("week",C86)),ISNUMBER(SEARCH("minggu",C86))),IFERROR(_xlfn.NUMBERVALUE(SUBSTITUTE(LEFT(TRIM(C86),FIND(" ",TRIM(C86)&amp;" ")-1),",","."),"."),LEFT(SUBSTITUTE(LEFT(TRIM(C86),FIND(" ",TRIM(C86)&amp;" ")-1),",","."),FIND("/",SUBSTITUTE(LEFT(TRIM(C86),FIND(" ",TRIM(C86)&amp;" ")-1),",","."))-1)/MID(SUBSTITUTE(LEFT(TRIM(C86),FIND(" ",TRIM(C86)&amp;" ")-1),",","."),FIND("/",SUBSTITUTE(LEFT(TRIM(C86),FIND(" ",TRIM(C86)&amp;" ")-1),",","."))+1,9))*12/52,IF(ISNUMBER(SEARCH("month",C86)),IFERROR(_xlfn.NUMBERVALUE(SUBSTITUTE(LEFT(TRIM(C86),FIND(" ",TRIM(C86)&amp;" ")-1),",","."),"."),LEFT(SUBSTITUTE(LEFT(TRIM(C86),FIND(" ",TRIM(C86)&amp;" ")-1),",","."),FIND("/",SUBSTITUTE(LEFT(TRIM(C86),FIND(" ",TRIM(C86)&amp;" ")-1),",","."))-1)/MID(SUBSTITUTE(LEFT(TRIM(C86),FIND(" ",TRIM(C86)&amp;" ")-1),",","."),FIND("/",SUBSTITUTE(LEFT(TRIM(C86),FIND(" ",TRIM(C86)&amp;" ")-1),",","."))+1,9)),IF(ISNUMBER(SEARCH("yea",C86)),IFERROR(_xlfn.NUMBERVALUE(SUBSTITUTE(LEFT(TRIM(C86),FIND(" ",TRIM(C86)&amp;" ")-1),",","."),"."),LEFT(SUBSTITUTE(LEFT(TRIM(C86),FIND(" ",TRIM(C86)&amp;" ")-1),",","."),FIND("/",SUBSTITUTE(LEFT(TRIM(C86),FIND(" ",TRIM(C86)&amp;" ")-1),",","."))-1)/MID(SUBSTITUTE(LEFT(TRIM(C86),FIND(" ",TRIM(C86)&amp;" ")-1),",","."),FIND("/",SUBSTITUTE(LEFT(TRIM(C86),FIND(" ",TRIM(C86)&amp;" ")-1),",","."))+1,9))*12,NA()))),0),36)*'Aturan &amp; Tarif'!$B$4,2)</f>
        <v>2044.08</v>
      </c>
      <c r="K86" s="32" t="n">
        <f aca="false">'Aturan &amp; Tarif'!$B$5</f>
        <v>2050</v>
      </c>
      <c r="L86" s="32" t="n">
        <f aca="false">'Aturan &amp; Tarif'!$B$6</f>
        <v>350</v>
      </c>
      <c r="M86" s="35" t="n">
        <f aca="false">I86+J86+K86+L86</f>
        <v>25419.08</v>
      </c>
      <c r="N86" s="36" t="s">
        <v>270</v>
      </c>
    </row>
    <row r="87" customFormat="false" ht="106.5" hidden="false" customHeight="true" outlineLevel="0" collapsed="false">
      <c r="A87" s="29"/>
      <c r="B87" s="30" t="s">
        <v>271</v>
      </c>
      <c r="C87" s="31" t="s">
        <v>191</v>
      </c>
      <c r="D87" s="31" t="s">
        <v>108</v>
      </c>
      <c r="E87" s="32" t="n">
        <v>9737.5</v>
      </c>
      <c r="F87" s="32"/>
      <c r="G87" s="32"/>
      <c r="H87" s="33" t="n">
        <v>2</v>
      </c>
      <c r="I87" s="34" t="n">
        <f aca="false">E87*H87+N(F87)+N(G87)</f>
        <v>19475</v>
      </c>
      <c r="J87" s="32" t="n">
        <f aca="false">ROUND(IFERROR(ROUND(IF(OR(ISNUMBER(SEARCH("week",C87)),ISNUMBER(SEARCH("minggu",C87))),IFERROR(_xlfn.NUMBERVALUE(SUBSTITUTE(LEFT(TRIM(C87),FIND(" ",TRIM(C87)&amp;" ")-1),",","."),"."),LEFT(SUBSTITUTE(LEFT(TRIM(C87),FIND(" ",TRIM(C87)&amp;" ")-1),",","."),FIND("/",SUBSTITUTE(LEFT(TRIM(C87),FIND(" ",TRIM(C87)&amp;" ")-1),",","."))-1)/MID(SUBSTITUTE(LEFT(TRIM(C87),FIND(" ",TRIM(C87)&amp;" ")-1),",","."),FIND("/",SUBSTITUTE(LEFT(TRIM(C87),FIND(" ",TRIM(C87)&amp;" ")-1),",","."))+1,9))*12/52,IF(ISNUMBER(SEARCH("month",C87)),IFERROR(_xlfn.NUMBERVALUE(SUBSTITUTE(LEFT(TRIM(C87),FIND(" ",TRIM(C87)&amp;" ")-1),",","."),"."),LEFT(SUBSTITUTE(LEFT(TRIM(C87),FIND(" ",TRIM(C87)&amp;" ")-1),",","."),FIND("/",SUBSTITUTE(LEFT(TRIM(C87),FIND(" ",TRIM(C87)&amp;" ")-1),",","."))-1)/MID(SUBSTITUTE(LEFT(TRIM(C87),FIND(" ",TRIM(C87)&amp;" ")-1),",","."),FIND("/",SUBSTITUTE(LEFT(TRIM(C87),FIND(" ",TRIM(C87)&amp;" ")-1),",","."))+1,9)),IF(ISNUMBER(SEARCH("yea",C87)),IFERROR(_xlfn.NUMBERVALUE(SUBSTITUTE(LEFT(TRIM(C87),FIND(" ",TRIM(C87)&amp;" ")-1),",","."),"."),LEFT(SUBSTITUTE(LEFT(TRIM(C87),FIND(" ",TRIM(C87)&amp;" ")-1),",","."),FIND("/",SUBSTITUTE(LEFT(TRIM(C87),FIND(" ",TRIM(C87)&amp;" ")-1),",","."))-1)/MID(SUBSTITUTE(LEFT(TRIM(C87),FIND(" ",TRIM(C87)&amp;" ")-1),",","."),FIND("/",SUBSTITUTE(LEFT(TRIM(C87),FIND(" ",TRIM(C87)&amp;" ")-1),",","."))+1,9))*12,NA()))),0),48)*'Aturan &amp; Tarif'!$B$4,2)</f>
        <v>2725.44</v>
      </c>
      <c r="K87" s="32" t="n">
        <f aca="false">'Aturan &amp; Tarif'!$B$5</f>
        <v>2050</v>
      </c>
      <c r="L87" s="32" t="n">
        <f aca="false">'Aturan &amp; Tarif'!$B$6</f>
        <v>350</v>
      </c>
      <c r="M87" s="35" t="n">
        <f aca="false">I87+J87+K87+L87</f>
        <v>24600.44</v>
      </c>
      <c r="N87" s="36" t="s">
        <v>272</v>
      </c>
    </row>
    <row r="88" customFormat="false" ht="106.5" hidden="false" customHeight="true" outlineLevel="0" collapsed="false">
      <c r="A88" s="29"/>
      <c r="B88" s="30" t="s">
        <v>273</v>
      </c>
      <c r="C88" s="31" t="s">
        <v>130</v>
      </c>
      <c r="D88" s="31" t="s">
        <v>108</v>
      </c>
      <c r="E88" s="32" t="n">
        <v>10237.5</v>
      </c>
      <c r="F88" s="32"/>
      <c r="G88" s="32"/>
      <c r="H88" s="33" t="n">
        <v>2</v>
      </c>
      <c r="I88" s="34" t="n">
        <f aca="false">E88*H88+N(F88)+N(G88)</f>
        <v>20475</v>
      </c>
      <c r="J88" s="32" t="n">
        <f aca="false">ROUND(IFERROR(ROUND(IF(OR(ISNUMBER(SEARCH("week",C88)),ISNUMBER(SEARCH("minggu",C88))),IFERROR(_xlfn.NUMBERVALUE(SUBSTITUTE(LEFT(TRIM(C88),FIND(" ",TRIM(C88)&amp;" ")-1),",","."),"."),LEFT(SUBSTITUTE(LEFT(TRIM(C88),FIND(" ",TRIM(C88)&amp;" ")-1),",","."),FIND("/",SUBSTITUTE(LEFT(TRIM(C88),FIND(" ",TRIM(C88)&amp;" ")-1),",","."))-1)/MID(SUBSTITUTE(LEFT(TRIM(C88),FIND(" ",TRIM(C88)&amp;" ")-1),",","."),FIND("/",SUBSTITUTE(LEFT(TRIM(C88),FIND(" ",TRIM(C88)&amp;" ")-1),",","."))+1,9))*12/52,IF(ISNUMBER(SEARCH("month",C88)),IFERROR(_xlfn.NUMBERVALUE(SUBSTITUTE(LEFT(TRIM(C88),FIND(" ",TRIM(C88)&amp;" ")-1),",","."),"."),LEFT(SUBSTITUTE(LEFT(TRIM(C88),FIND(" ",TRIM(C88)&amp;" ")-1),",","."),FIND("/",SUBSTITUTE(LEFT(TRIM(C88),FIND(" ",TRIM(C88)&amp;" ")-1),",","."))-1)/MID(SUBSTITUTE(LEFT(TRIM(C88),FIND(" ",TRIM(C88)&amp;" ")-1),",","."),FIND("/",SUBSTITUTE(LEFT(TRIM(C88),FIND(" ",TRIM(C88)&amp;" ")-1),",","."))+1,9)),IF(ISNUMBER(SEARCH("yea",C88)),IFERROR(_xlfn.NUMBERVALUE(SUBSTITUTE(LEFT(TRIM(C88),FIND(" ",TRIM(C88)&amp;" ")-1),",","."),"."),LEFT(SUBSTITUTE(LEFT(TRIM(C88),FIND(" ",TRIM(C88)&amp;" ")-1),",","."),FIND("/",SUBSTITUTE(LEFT(TRIM(C88),FIND(" ",TRIM(C88)&amp;" ")-1),",","."))-1)/MID(SUBSTITUTE(LEFT(TRIM(C88),FIND(" ",TRIM(C88)&amp;" ")-1),",","."),FIND("/",SUBSTITUTE(LEFT(TRIM(C88),FIND(" ",TRIM(C88)&amp;" ")-1),",","."))+1,9))*12,NA()))),0),12)*'Aturan &amp; Tarif'!$B$4,2)</f>
        <v>681.36</v>
      </c>
      <c r="K88" s="32" t="n">
        <f aca="false">'Aturan &amp; Tarif'!$B$5</f>
        <v>2050</v>
      </c>
      <c r="L88" s="32" t="n">
        <f aca="false">'Aturan &amp; Tarif'!$B$6</f>
        <v>350</v>
      </c>
      <c r="M88" s="35" t="n">
        <f aca="false">I88+J88+K88+L88</f>
        <v>23556.36</v>
      </c>
      <c r="N88" s="36" t="s">
        <v>274</v>
      </c>
    </row>
    <row r="89" customFormat="false" ht="94.5" hidden="false" customHeight="true" outlineLevel="0" collapsed="false">
      <c r="A89" s="29"/>
      <c r="B89" s="30" t="s">
        <v>275</v>
      </c>
      <c r="C89" s="31" t="s">
        <v>107</v>
      </c>
      <c r="D89" s="31" t="s">
        <v>108</v>
      </c>
      <c r="E89" s="32" t="n">
        <v>12987.5</v>
      </c>
      <c r="F89" s="32"/>
      <c r="G89" s="32"/>
      <c r="H89" s="33" t="n">
        <v>2</v>
      </c>
      <c r="I89" s="34" t="n">
        <f aca="false">E89*H89+N(F89)+N(G89)</f>
        <v>25975</v>
      </c>
      <c r="J89" s="32" t="n">
        <f aca="false">ROUND(IFERROR(ROUND(IF(OR(ISNUMBER(SEARCH("week",C89)),ISNUMBER(SEARCH("minggu",C89))),IFERROR(_xlfn.NUMBERVALUE(SUBSTITUTE(LEFT(TRIM(C89),FIND(" ",TRIM(C89)&amp;" ")-1),",","."),"."),LEFT(SUBSTITUTE(LEFT(TRIM(C89),FIND(" ",TRIM(C89)&amp;" ")-1),",","."),FIND("/",SUBSTITUTE(LEFT(TRIM(C89),FIND(" ",TRIM(C89)&amp;" ")-1),",","."))-1)/MID(SUBSTITUTE(LEFT(TRIM(C89),FIND(" ",TRIM(C89)&amp;" ")-1),",","."),FIND("/",SUBSTITUTE(LEFT(TRIM(C89),FIND(" ",TRIM(C89)&amp;" ")-1),",","."))+1,9))*12/52,IF(ISNUMBER(SEARCH("month",C89)),IFERROR(_xlfn.NUMBERVALUE(SUBSTITUTE(LEFT(TRIM(C89),FIND(" ",TRIM(C89)&amp;" ")-1),",","."),"."),LEFT(SUBSTITUTE(LEFT(TRIM(C89),FIND(" ",TRIM(C89)&amp;" ")-1),",","."),FIND("/",SUBSTITUTE(LEFT(TRIM(C89),FIND(" ",TRIM(C89)&amp;" ")-1),",","."))-1)/MID(SUBSTITUTE(LEFT(TRIM(C89),FIND(" ",TRIM(C89)&amp;" ")-1),",","."),FIND("/",SUBSTITUTE(LEFT(TRIM(C89),FIND(" ",TRIM(C89)&amp;" ")-1),",","."))+1,9)),IF(ISNUMBER(SEARCH("yea",C89)),IFERROR(_xlfn.NUMBERVALUE(SUBSTITUTE(LEFT(TRIM(C89),FIND(" ",TRIM(C89)&amp;" ")-1),",","."),"."),LEFT(SUBSTITUTE(LEFT(TRIM(C89),FIND(" ",TRIM(C89)&amp;" ")-1),",","."),FIND("/",SUBSTITUTE(LEFT(TRIM(C89),FIND(" ",TRIM(C89)&amp;" ")-1),",","."))-1)/MID(SUBSTITUTE(LEFT(TRIM(C89),FIND(" ",TRIM(C89)&amp;" ")-1),",","."),FIND("/",SUBSTITUTE(LEFT(TRIM(C89),FIND(" ",TRIM(C89)&amp;" ")-1),",","."))+1,9))*12,NA()))),0),24)*'Aturan &amp; Tarif'!$B$4,2)</f>
        <v>1362.72</v>
      </c>
      <c r="K89" s="32" t="n">
        <f aca="false">'Aturan &amp; Tarif'!$B$5</f>
        <v>2050</v>
      </c>
      <c r="L89" s="32" t="n">
        <f aca="false">'Aturan &amp; Tarif'!$B$6</f>
        <v>350</v>
      </c>
      <c r="M89" s="35" t="n">
        <f aca="false">I89+J89+K89+L89</f>
        <v>29737.72</v>
      </c>
      <c r="N89" s="36" t="s">
        <v>276</v>
      </c>
    </row>
    <row r="90" customFormat="false" ht="106.5" hidden="false" customHeight="true" outlineLevel="0" collapsed="false">
      <c r="A90" s="29"/>
      <c r="B90" s="30" t="s">
        <v>277</v>
      </c>
      <c r="C90" s="31" t="s">
        <v>107</v>
      </c>
      <c r="D90" s="31" t="s">
        <v>108</v>
      </c>
      <c r="E90" s="32" t="n">
        <v>11812.5</v>
      </c>
      <c r="F90" s="32"/>
      <c r="G90" s="32"/>
      <c r="H90" s="33" t="n">
        <v>2</v>
      </c>
      <c r="I90" s="34" t="n">
        <f aca="false">E90*H90+N(F90)+N(G90)</f>
        <v>23625</v>
      </c>
      <c r="J90" s="32" t="n">
        <f aca="false">ROUND(IFERROR(ROUND(IF(OR(ISNUMBER(SEARCH("week",C90)),ISNUMBER(SEARCH("minggu",C90))),IFERROR(_xlfn.NUMBERVALUE(SUBSTITUTE(LEFT(TRIM(C90),FIND(" ",TRIM(C90)&amp;" ")-1),",","."),"."),LEFT(SUBSTITUTE(LEFT(TRIM(C90),FIND(" ",TRIM(C90)&amp;" ")-1),",","."),FIND("/",SUBSTITUTE(LEFT(TRIM(C90),FIND(" ",TRIM(C90)&amp;" ")-1),",","."))-1)/MID(SUBSTITUTE(LEFT(TRIM(C90),FIND(" ",TRIM(C90)&amp;" ")-1),",","."),FIND("/",SUBSTITUTE(LEFT(TRIM(C90),FIND(" ",TRIM(C90)&amp;" ")-1),",","."))+1,9))*12/52,IF(ISNUMBER(SEARCH("month",C90)),IFERROR(_xlfn.NUMBERVALUE(SUBSTITUTE(LEFT(TRIM(C90),FIND(" ",TRIM(C90)&amp;" ")-1),",","."),"."),LEFT(SUBSTITUTE(LEFT(TRIM(C90),FIND(" ",TRIM(C90)&amp;" ")-1),",","."),FIND("/",SUBSTITUTE(LEFT(TRIM(C90),FIND(" ",TRIM(C90)&amp;" ")-1),",","."))-1)/MID(SUBSTITUTE(LEFT(TRIM(C90),FIND(" ",TRIM(C90)&amp;" ")-1),",","."),FIND("/",SUBSTITUTE(LEFT(TRIM(C90),FIND(" ",TRIM(C90)&amp;" ")-1),",","."))+1,9)),IF(ISNUMBER(SEARCH("yea",C90)),IFERROR(_xlfn.NUMBERVALUE(SUBSTITUTE(LEFT(TRIM(C90),FIND(" ",TRIM(C90)&amp;" ")-1),",","."),"."),LEFT(SUBSTITUTE(LEFT(TRIM(C90),FIND(" ",TRIM(C90)&amp;" ")-1),",","."),FIND("/",SUBSTITUTE(LEFT(TRIM(C90),FIND(" ",TRIM(C90)&amp;" ")-1),",","."))-1)/MID(SUBSTITUTE(LEFT(TRIM(C90),FIND(" ",TRIM(C90)&amp;" ")-1),",","."),FIND("/",SUBSTITUTE(LEFT(TRIM(C90),FIND(" ",TRIM(C90)&amp;" ")-1),",","."))+1,9))*12,NA()))),0),24)*'Aturan &amp; Tarif'!$B$4,2)</f>
        <v>1362.72</v>
      </c>
      <c r="K90" s="32" t="n">
        <f aca="false">'Aturan &amp; Tarif'!$B$5</f>
        <v>2050</v>
      </c>
      <c r="L90" s="32" t="n">
        <f aca="false">'Aturan &amp; Tarif'!$B$6</f>
        <v>350</v>
      </c>
      <c r="M90" s="35" t="n">
        <f aca="false">I90+J90+K90+L90</f>
        <v>27387.72</v>
      </c>
      <c r="N90" s="36" t="s">
        <v>278</v>
      </c>
    </row>
    <row r="91" customFormat="false" ht="106.5" hidden="false" customHeight="true" outlineLevel="0" collapsed="false">
      <c r="A91" s="29"/>
      <c r="B91" s="30" t="s">
        <v>279</v>
      </c>
      <c r="C91" s="31" t="s">
        <v>107</v>
      </c>
      <c r="D91" s="31" t="s">
        <v>108</v>
      </c>
      <c r="E91" s="32" t="n">
        <v>10737.5</v>
      </c>
      <c r="F91" s="32"/>
      <c r="G91" s="32"/>
      <c r="H91" s="33" t="n">
        <v>2</v>
      </c>
      <c r="I91" s="34" t="n">
        <f aca="false">E91*H91+N(F91)+N(G91)</f>
        <v>21475</v>
      </c>
      <c r="J91" s="32" t="n">
        <f aca="false">ROUND(IFERROR(ROUND(IF(OR(ISNUMBER(SEARCH("week",C91)),ISNUMBER(SEARCH("minggu",C91))),IFERROR(_xlfn.NUMBERVALUE(SUBSTITUTE(LEFT(TRIM(C91),FIND(" ",TRIM(C91)&amp;" ")-1),",","."),"."),LEFT(SUBSTITUTE(LEFT(TRIM(C91),FIND(" ",TRIM(C91)&amp;" ")-1),",","."),FIND("/",SUBSTITUTE(LEFT(TRIM(C91),FIND(" ",TRIM(C91)&amp;" ")-1),",","."))-1)/MID(SUBSTITUTE(LEFT(TRIM(C91),FIND(" ",TRIM(C91)&amp;" ")-1),",","."),FIND("/",SUBSTITUTE(LEFT(TRIM(C91),FIND(" ",TRIM(C91)&amp;" ")-1),",","."))+1,9))*12/52,IF(ISNUMBER(SEARCH("month",C91)),IFERROR(_xlfn.NUMBERVALUE(SUBSTITUTE(LEFT(TRIM(C91),FIND(" ",TRIM(C91)&amp;" ")-1),",","."),"."),LEFT(SUBSTITUTE(LEFT(TRIM(C91),FIND(" ",TRIM(C91)&amp;" ")-1),",","."),FIND("/",SUBSTITUTE(LEFT(TRIM(C91),FIND(" ",TRIM(C91)&amp;" ")-1),",","."))-1)/MID(SUBSTITUTE(LEFT(TRIM(C91),FIND(" ",TRIM(C91)&amp;" ")-1),",","."),FIND("/",SUBSTITUTE(LEFT(TRIM(C91),FIND(" ",TRIM(C91)&amp;" ")-1),",","."))+1,9)),IF(ISNUMBER(SEARCH("yea",C91)),IFERROR(_xlfn.NUMBERVALUE(SUBSTITUTE(LEFT(TRIM(C91),FIND(" ",TRIM(C91)&amp;" ")-1),",","."),"."),LEFT(SUBSTITUTE(LEFT(TRIM(C91),FIND(" ",TRIM(C91)&amp;" ")-1),",","."),FIND("/",SUBSTITUTE(LEFT(TRIM(C91),FIND(" ",TRIM(C91)&amp;" ")-1),",","."))-1)/MID(SUBSTITUTE(LEFT(TRIM(C91),FIND(" ",TRIM(C91)&amp;" ")-1),",","."),FIND("/",SUBSTITUTE(LEFT(TRIM(C91),FIND(" ",TRIM(C91)&amp;" ")-1),",","."))+1,9))*12,NA()))),0),24)*'Aturan &amp; Tarif'!$B$4,2)</f>
        <v>1362.72</v>
      </c>
      <c r="K91" s="32" t="n">
        <f aca="false">'Aturan &amp; Tarif'!$B$5</f>
        <v>2050</v>
      </c>
      <c r="L91" s="32" t="n">
        <f aca="false">'Aturan &amp; Tarif'!$B$6</f>
        <v>350</v>
      </c>
      <c r="M91" s="35" t="n">
        <f aca="false">I91+J91+K91+L91</f>
        <v>25237.72</v>
      </c>
      <c r="N91" s="36" t="s">
        <v>280</v>
      </c>
    </row>
    <row r="92" customFormat="false" ht="106.5" hidden="false" customHeight="true" outlineLevel="0" collapsed="false">
      <c r="A92" s="29"/>
      <c r="B92" s="30" t="s">
        <v>281</v>
      </c>
      <c r="C92" s="31" t="s">
        <v>107</v>
      </c>
      <c r="D92" s="31" t="s">
        <v>108</v>
      </c>
      <c r="E92" s="32" t="n">
        <v>12987.5</v>
      </c>
      <c r="F92" s="32"/>
      <c r="G92" s="32"/>
      <c r="H92" s="33" t="n">
        <v>2</v>
      </c>
      <c r="I92" s="34" t="n">
        <f aca="false">E92*H92+N(F92)+N(G92)</f>
        <v>25975</v>
      </c>
      <c r="J92" s="32" t="n">
        <f aca="false">ROUND(IFERROR(ROUND(IF(OR(ISNUMBER(SEARCH("week",C92)),ISNUMBER(SEARCH("minggu",C92))),IFERROR(_xlfn.NUMBERVALUE(SUBSTITUTE(LEFT(TRIM(C92),FIND(" ",TRIM(C92)&amp;" ")-1),",","."),"."),LEFT(SUBSTITUTE(LEFT(TRIM(C92),FIND(" ",TRIM(C92)&amp;" ")-1),",","."),FIND("/",SUBSTITUTE(LEFT(TRIM(C92),FIND(" ",TRIM(C92)&amp;" ")-1),",","."))-1)/MID(SUBSTITUTE(LEFT(TRIM(C92),FIND(" ",TRIM(C92)&amp;" ")-1),",","."),FIND("/",SUBSTITUTE(LEFT(TRIM(C92),FIND(" ",TRIM(C92)&amp;" ")-1),",","."))+1,9))*12/52,IF(ISNUMBER(SEARCH("month",C92)),IFERROR(_xlfn.NUMBERVALUE(SUBSTITUTE(LEFT(TRIM(C92),FIND(" ",TRIM(C92)&amp;" ")-1),",","."),"."),LEFT(SUBSTITUTE(LEFT(TRIM(C92),FIND(" ",TRIM(C92)&amp;" ")-1),",","."),FIND("/",SUBSTITUTE(LEFT(TRIM(C92),FIND(" ",TRIM(C92)&amp;" ")-1),",","."))-1)/MID(SUBSTITUTE(LEFT(TRIM(C92),FIND(" ",TRIM(C92)&amp;" ")-1),",","."),FIND("/",SUBSTITUTE(LEFT(TRIM(C92),FIND(" ",TRIM(C92)&amp;" ")-1),",","."))+1,9)),IF(ISNUMBER(SEARCH("yea",C92)),IFERROR(_xlfn.NUMBERVALUE(SUBSTITUTE(LEFT(TRIM(C92),FIND(" ",TRIM(C92)&amp;" ")-1),",","."),"."),LEFT(SUBSTITUTE(LEFT(TRIM(C92),FIND(" ",TRIM(C92)&amp;" ")-1),",","."),FIND("/",SUBSTITUTE(LEFT(TRIM(C92),FIND(" ",TRIM(C92)&amp;" ")-1),",","."))-1)/MID(SUBSTITUTE(LEFT(TRIM(C92),FIND(" ",TRIM(C92)&amp;" ")-1),",","."),FIND("/",SUBSTITUTE(LEFT(TRIM(C92),FIND(" ",TRIM(C92)&amp;" ")-1),",","."))+1,9))*12,NA()))),0),24)*'Aturan &amp; Tarif'!$B$4,2)</f>
        <v>1362.72</v>
      </c>
      <c r="K92" s="32" t="n">
        <f aca="false">'Aturan &amp; Tarif'!$B$5</f>
        <v>2050</v>
      </c>
      <c r="L92" s="32" t="n">
        <f aca="false">'Aturan &amp; Tarif'!$B$6</f>
        <v>350</v>
      </c>
      <c r="M92" s="35" t="n">
        <f aca="false">I92+J92+K92+L92</f>
        <v>29737.72</v>
      </c>
      <c r="N92" s="36" t="s">
        <v>282</v>
      </c>
    </row>
    <row r="93" customFormat="false" ht="106.5" hidden="false" customHeight="true" outlineLevel="0" collapsed="false">
      <c r="A93" s="29"/>
      <c r="B93" s="30" t="s">
        <v>283</v>
      </c>
      <c r="C93" s="31" t="s">
        <v>107</v>
      </c>
      <c r="D93" s="31" t="s">
        <v>108</v>
      </c>
      <c r="E93" s="32" t="n">
        <v>10237.5</v>
      </c>
      <c r="F93" s="32"/>
      <c r="G93" s="32"/>
      <c r="H93" s="33" t="n">
        <v>2</v>
      </c>
      <c r="I93" s="34" t="n">
        <f aca="false">E93*H93+N(F93)+N(G93)</f>
        <v>20475</v>
      </c>
      <c r="J93" s="32" t="n">
        <f aca="false">ROUND(IFERROR(ROUND(IF(OR(ISNUMBER(SEARCH("week",C93)),ISNUMBER(SEARCH("minggu",C93))),IFERROR(_xlfn.NUMBERVALUE(SUBSTITUTE(LEFT(TRIM(C93),FIND(" ",TRIM(C93)&amp;" ")-1),",","."),"."),LEFT(SUBSTITUTE(LEFT(TRIM(C93),FIND(" ",TRIM(C93)&amp;" ")-1),",","."),FIND("/",SUBSTITUTE(LEFT(TRIM(C93),FIND(" ",TRIM(C93)&amp;" ")-1),",","."))-1)/MID(SUBSTITUTE(LEFT(TRIM(C93),FIND(" ",TRIM(C93)&amp;" ")-1),",","."),FIND("/",SUBSTITUTE(LEFT(TRIM(C93),FIND(" ",TRIM(C93)&amp;" ")-1),",","."))+1,9))*12/52,IF(ISNUMBER(SEARCH("month",C93)),IFERROR(_xlfn.NUMBERVALUE(SUBSTITUTE(LEFT(TRIM(C93),FIND(" ",TRIM(C93)&amp;" ")-1),",","."),"."),LEFT(SUBSTITUTE(LEFT(TRIM(C93),FIND(" ",TRIM(C93)&amp;" ")-1),",","."),FIND("/",SUBSTITUTE(LEFT(TRIM(C93),FIND(" ",TRIM(C93)&amp;" ")-1),",","."))-1)/MID(SUBSTITUTE(LEFT(TRIM(C93),FIND(" ",TRIM(C93)&amp;" ")-1),",","."),FIND("/",SUBSTITUTE(LEFT(TRIM(C93),FIND(" ",TRIM(C93)&amp;" ")-1),",","."))+1,9)),IF(ISNUMBER(SEARCH("yea",C93)),IFERROR(_xlfn.NUMBERVALUE(SUBSTITUTE(LEFT(TRIM(C93),FIND(" ",TRIM(C93)&amp;" ")-1),",","."),"."),LEFT(SUBSTITUTE(LEFT(TRIM(C93),FIND(" ",TRIM(C93)&amp;" ")-1),",","."),FIND("/",SUBSTITUTE(LEFT(TRIM(C93),FIND(" ",TRIM(C93)&amp;" ")-1),",","."))-1)/MID(SUBSTITUTE(LEFT(TRIM(C93),FIND(" ",TRIM(C93)&amp;" ")-1),",","."),FIND("/",SUBSTITUTE(LEFT(TRIM(C93),FIND(" ",TRIM(C93)&amp;" ")-1),",","."))+1,9))*12,NA()))),0),24)*'Aturan &amp; Tarif'!$B$4,2)</f>
        <v>1362.72</v>
      </c>
      <c r="K93" s="32" t="n">
        <f aca="false">'Aturan &amp; Tarif'!$B$5</f>
        <v>2050</v>
      </c>
      <c r="L93" s="32" t="n">
        <f aca="false">'Aturan &amp; Tarif'!$B$6</f>
        <v>350</v>
      </c>
      <c r="M93" s="35" t="n">
        <f aca="false">I93+J93+K93+L93</f>
        <v>24237.72</v>
      </c>
      <c r="N93" s="36" t="s">
        <v>284</v>
      </c>
    </row>
    <row r="94" customFormat="false" ht="106.5" hidden="false" customHeight="true" outlineLevel="0" collapsed="false">
      <c r="A94" s="29"/>
      <c r="B94" s="30" t="s">
        <v>285</v>
      </c>
      <c r="C94" s="31" t="s">
        <v>107</v>
      </c>
      <c r="D94" s="31" t="s">
        <v>108</v>
      </c>
      <c r="E94" s="32" t="n">
        <v>12062.5</v>
      </c>
      <c r="F94" s="32"/>
      <c r="G94" s="32"/>
      <c r="H94" s="33" t="n">
        <v>2</v>
      </c>
      <c r="I94" s="34" t="n">
        <f aca="false">E94*H94+N(F94)+N(G94)</f>
        <v>24125</v>
      </c>
      <c r="J94" s="32" t="n">
        <f aca="false">ROUND(IFERROR(ROUND(IF(OR(ISNUMBER(SEARCH("week",C94)),ISNUMBER(SEARCH("minggu",C94))),IFERROR(_xlfn.NUMBERVALUE(SUBSTITUTE(LEFT(TRIM(C94),FIND(" ",TRIM(C94)&amp;" ")-1),",","."),"."),LEFT(SUBSTITUTE(LEFT(TRIM(C94),FIND(" ",TRIM(C94)&amp;" ")-1),",","."),FIND("/",SUBSTITUTE(LEFT(TRIM(C94),FIND(" ",TRIM(C94)&amp;" ")-1),",","."))-1)/MID(SUBSTITUTE(LEFT(TRIM(C94),FIND(" ",TRIM(C94)&amp;" ")-1),",","."),FIND("/",SUBSTITUTE(LEFT(TRIM(C94),FIND(" ",TRIM(C94)&amp;" ")-1),",","."))+1,9))*12/52,IF(ISNUMBER(SEARCH("month",C94)),IFERROR(_xlfn.NUMBERVALUE(SUBSTITUTE(LEFT(TRIM(C94),FIND(" ",TRIM(C94)&amp;" ")-1),",","."),"."),LEFT(SUBSTITUTE(LEFT(TRIM(C94),FIND(" ",TRIM(C94)&amp;" ")-1),",","."),FIND("/",SUBSTITUTE(LEFT(TRIM(C94),FIND(" ",TRIM(C94)&amp;" ")-1),",","."))-1)/MID(SUBSTITUTE(LEFT(TRIM(C94),FIND(" ",TRIM(C94)&amp;" ")-1),",","."),FIND("/",SUBSTITUTE(LEFT(TRIM(C94),FIND(" ",TRIM(C94)&amp;" ")-1),",","."))+1,9)),IF(ISNUMBER(SEARCH("yea",C94)),IFERROR(_xlfn.NUMBERVALUE(SUBSTITUTE(LEFT(TRIM(C94),FIND(" ",TRIM(C94)&amp;" ")-1),",","."),"."),LEFT(SUBSTITUTE(LEFT(TRIM(C94),FIND(" ",TRIM(C94)&amp;" ")-1),",","."),FIND("/",SUBSTITUTE(LEFT(TRIM(C94),FIND(" ",TRIM(C94)&amp;" ")-1),",","."))-1)/MID(SUBSTITUTE(LEFT(TRIM(C94),FIND(" ",TRIM(C94)&amp;" ")-1),",","."),FIND("/",SUBSTITUTE(LEFT(TRIM(C94),FIND(" ",TRIM(C94)&amp;" ")-1),",","."))+1,9))*12,NA()))),0),24)*'Aturan &amp; Tarif'!$B$4,2)</f>
        <v>1362.72</v>
      </c>
      <c r="K94" s="32" t="n">
        <f aca="false">'Aturan &amp; Tarif'!$B$5</f>
        <v>2050</v>
      </c>
      <c r="L94" s="32" t="n">
        <f aca="false">'Aturan &amp; Tarif'!$B$6</f>
        <v>350</v>
      </c>
      <c r="M94" s="35" t="n">
        <f aca="false">I94+J94+K94+L94</f>
        <v>27887.72</v>
      </c>
      <c r="N94" s="36" t="s">
        <v>286</v>
      </c>
    </row>
    <row r="95" customFormat="false" ht="37.5" hidden="false" customHeight="true" outlineLevel="0" collapsed="false">
      <c r="A95" s="29"/>
      <c r="B95" s="30" t="s">
        <v>287</v>
      </c>
      <c r="C95" s="31" t="s">
        <v>130</v>
      </c>
      <c r="D95" s="31" t="s">
        <v>108</v>
      </c>
      <c r="E95" s="32" t="n">
        <v>10987.5</v>
      </c>
      <c r="F95" s="32"/>
      <c r="G95" s="32"/>
      <c r="H95" s="33" t="n">
        <v>2</v>
      </c>
      <c r="I95" s="34" t="n">
        <f aca="false">E95*H95+N(F95)+N(G95)</f>
        <v>21975</v>
      </c>
      <c r="J95" s="32" t="n">
        <f aca="false">ROUND(IFERROR(ROUND(IF(OR(ISNUMBER(SEARCH("week",C95)),ISNUMBER(SEARCH("minggu",C95))),IFERROR(_xlfn.NUMBERVALUE(SUBSTITUTE(LEFT(TRIM(C95),FIND(" ",TRIM(C95)&amp;" ")-1),",","."),"."),LEFT(SUBSTITUTE(LEFT(TRIM(C95),FIND(" ",TRIM(C95)&amp;" ")-1),",","."),FIND("/",SUBSTITUTE(LEFT(TRIM(C95),FIND(" ",TRIM(C95)&amp;" ")-1),",","."))-1)/MID(SUBSTITUTE(LEFT(TRIM(C95),FIND(" ",TRIM(C95)&amp;" ")-1),",","."),FIND("/",SUBSTITUTE(LEFT(TRIM(C95),FIND(" ",TRIM(C95)&amp;" ")-1),",","."))+1,9))*12/52,IF(ISNUMBER(SEARCH("month",C95)),IFERROR(_xlfn.NUMBERVALUE(SUBSTITUTE(LEFT(TRIM(C95),FIND(" ",TRIM(C95)&amp;" ")-1),",","."),"."),LEFT(SUBSTITUTE(LEFT(TRIM(C95),FIND(" ",TRIM(C95)&amp;" ")-1),",","."),FIND("/",SUBSTITUTE(LEFT(TRIM(C95),FIND(" ",TRIM(C95)&amp;" ")-1),",","."))-1)/MID(SUBSTITUTE(LEFT(TRIM(C95),FIND(" ",TRIM(C95)&amp;" ")-1),",","."),FIND("/",SUBSTITUTE(LEFT(TRIM(C95),FIND(" ",TRIM(C95)&amp;" ")-1),",","."))+1,9)),IF(ISNUMBER(SEARCH("yea",C95)),IFERROR(_xlfn.NUMBERVALUE(SUBSTITUTE(LEFT(TRIM(C95),FIND(" ",TRIM(C95)&amp;" ")-1),",","."),"."),LEFT(SUBSTITUTE(LEFT(TRIM(C95),FIND(" ",TRIM(C95)&amp;" ")-1),",","."),FIND("/",SUBSTITUTE(LEFT(TRIM(C95),FIND(" ",TRIM(C95)&amp;" ")-1),",","."))-1)/MID(SUBSTITUTE(LEFT(TRIM(C95),FIND(" ",TRIM(C95)&amp;" ")-1),",","."),FIND("/",SUBSTITUTE(LEFT(TRIM(C95),FIND(" ",TRIM(C95)&amp;" ")-1),",","."))+1,9))*12,NA()))),0),12)*'Aturan &amp; Tarif'!$B$4,2)</f>
        <v>681.36</v>
      </c>
      <c r="K95" s="32" t="n">
        <f aca="false">'Aturan &amp; Tarif'!$B$5</f>
        <v>2050</v>
      </c>
      <c r="L95" s="32" t="n">
        <f aca="false">'Aturan &amp; Tarif'!$B$6</f>
        <v>350</v>
      </c>
      <c r="M95" s="35" t="n">
        <f aca="false">I95+J95+K95+L95</f>
        <v>25056.36</v>
      </c>
      <c r="N95" s="36" t="s">
        <v>194</v>
      </c>
    </row>
    <row r="96" customFormat="false" ht="106.5" hidden="false" customHeight="true" outlineLevel="0" collapsed="false">
      <c r="A96" s="29"/>
      <c r="B96" s="30" t="s">
        <v>288</v>
      </c>
      <c r="C96" s="31" t="s">
        <v>107</v>
      </c>
      <c r="D96" s="31" t="s">
        <v>108</v>
      </c>
      <c r="E96" s="32" t="n">
        <v>12987.5</v>
      </c>
      <c r="F96" s="32"/>
      <c r="G96" s="32"/>
      <c r="H96" s="33" t="n">
        <v>2</v>
      </c>
      <c r="I96" s="34" t="n">
        <f aca="false">E96*H96+N(F96)+N(G96)</f>
        <v>25975</v>
      </c>
      <c r="J96" s="32" t="n">
        <f aca="false">ROUND(IFERROR(ROUND(IF(OR(ISNUMBER(SEARCH("week",C96)),ISNUMBER(SEARCH("minggu",C96))),IFERROR(_xlfn.NUMBERVALUE(SUBSTITUTE(LEFT(TRIM(C96),FIND(" ",TRIM(C96)&amp;" ")-1),",","."),"."),LEFT(SUBSTITUTE(LEFT(TRIM(C96),FIND(" ",TRIM(C96)&amp;" ")-1),",","."),FIND("/",SUBSTITUTE(LEFT(TRIM(C96),FIND(" ",TRIM(C96)&amp;" ")-1),",","."))-1)/MID(SUBSTITUTE(LEFT(TRIM(C96),FIND(" ",TRIM(C96)&amp;" ")-1),",","."),FIND("/",SUBSTITUTE(LEFT(TRIM(C96),FIND(" ",TRIM(C96)&amp;" ")-1),",","."))+1,9))*12/52,IF(ISNUMBER(SEARCH("month",C96)),IFERROR(_xlfn.NUMBERVALUE(SUBSTITUTE(LEFT(TRIM(C96),FIND(" ",TRIM(C96)&amp;" ")-1),",","."),"."),LEFT(SUBSTITUTE(LEFT(TRIM(C96),FIND(" ",TRIM(C96)&amp;" ")-1),",","."),FIND("/",SUBSTITUTE(LEFT(TRIM(C96),FIND(" ",TRIM(C96)&amp;" ")-1),",","."))-1)/MID(SUBSTITUTE(LEFT(TRIM(C96),FIND(" ",TRIM(C96)&amp;" ")-1),",","."),FIND("/",SUBSTITUTE(LEFT(TRIM(C96),FIND(" ",TRIM(C96)&amp;" ")-1),",","."))+1,9)),IF(ISNUMBER(SEARCH("yea",C96)),IFERROR(_xlfn.NUMBERVALUE(SUBSTITUTE(LEFT(TRIM(C96),FIND(" ",TRIM(C96)&amp;" ")-1),",","."),"."),LEFT(SUBSTITUTE(LEFT(TRIM(C96),FIND(" ",TRIM(C96)&amp;" ")-1),",","."),FIND("/",SUBSTITUTE(LEFT(TRIM(C96),FIND(" ",TRIM(C96)&amp;" ")-1),",","."))-1)/MID(SUBSTITUTE(LEFT(TRIM(C96),FIND(" ",TRIM(C96)&amp;" ")-1),",","."),FIND("/",SUBSTITUTE(LEFT(TRIM(C96),FIND(" ",TRIM(C96)&amp;" ")-1),",","."))+1,9))*12,NA()))),0),24)*'Aturan &amp; Tarif'!$B$4,2)</f>
        <v>1362.72</v>
      </c>
      <c r="K96" s="32" t="n">
        <f aca="false">'Aturan &amp; Tarif'!$B$5</f>
        <v>2050</v>
      </c>
      <c r="L96" s="32" t="n">
        <f aca="false">'Aturan &amp; Tarif'!$B$6</f>
        <v>350</v>
      </c>
      <c r="M96" s="35" t="n">
        <f aca="false">I96+J96+K96+L96</f>
        <v>29737.72</v>
      </c>
      <c r="N96" s="36" t="s">
        <v>282</v>
      </c>
    </row>
    <row r="97" customFormat="false" ht="106.5" hidden="false" customHeight="true" outlineLevel="0" collapsed="false">
      <c r="A97" s="29"/>
      <c r="B97" s="30" t="s">
        <v>289</v>
      </c>
      <c r="C97" s="31" t="s">
        <v>107</v>
      </c>
      <c r="D97" s="31" t="s">
        <v>108</v>
      </c>
      <c r="E97" s="32" t="n">
        <v>10237.5</v>
      </c>
      <c r="F97" s="32"/>
      <c r="G97" s="32"/>
      <c r="H97" s="33" t="n">
        <v>2</v>
      </c>
      <c r="I97" s="34" t="n">
        <f aca="false">E97*H97+N(F97)+N(G97)</f>
        <v>20475</v>
      </c>
      <c r="J97" s="32" t="n">
        <f aca="false">ROUND(IFERROR(ROUND(IF(OR(ISNUMBER(SEARCH("week",C97)),ISNUMBER(SEARCH("minggu",C97))),IFERROR(_xlfn.NUMBERVALUE(SUBSTITUTE(LEFT(TRIM(C97),FIND(" ",TRIM(C97)&amp;" ")-1),",","."),"."),LEFT(SUBSTITUTE(LEFT(TRIM(C97),FIND(" ",TRIM(C97)&amp;" ")-1),",","."),FIND("/",SUBSTITUTE(LEFT(TRIM(C97),FIND(" ",TRIM(C97)&amp;" ")-1),",","."))-1)/MID(SUBSTITUTE(LEFT(TRIM(C97),FIND(" ",TRIM(C97)&amp;" ")-1),",","."),FIND("/",SUBSTITUTE(LEFT(TRIM(C97),FIND(" ",TRIM(C97)&amp;" ")-1),",","."))+1,9))*12/52,IF(ISNUMBER(SEARCH("month",C97)),IFERROR(_xlfn.NUMBERVALUE(SUBSTITUTE(LEFT(TRIM(C97),FIND(" ",TRIM(C97)&amp;" ")-1),",","."),"."),LEFT(SUBSTITUTE(LEFT(TRIM(C97),FIND(" ",TRIM(C97)&amp;" ")-1),",","."),FIND("/",SUBSTITUTE(LEFT(TRIM(C97),FIND(" ",TRIM(C97)&amp;" ")-1),",","."))-1)/MID(SUBSTITUTE(LEFT(TRIM(C97),FIND(" ",TRIM(C97)&amp;" ")-1),",","."),FIND("/",SUBSTITUTE(LEFT(TRIM(C97),FIND(" ",TRIM(C97)&amp;" ")-1),",","."))+1,9)),IF(ISNUMBER(SEARCH("yea",C97)),IFERROR(_xlfn.NUMBERVALUE(SUBSTITUTE(LEFT(TRIM(C97),FIND(" ",TRIM(C97)&amp;" ")-1),",","."),"."),LEFT(SUBSTITUTE(LEFT(TRIM(C97),FIND(" ",TRIM(C97)&amp;" ")-1),",","."),FIND("/",SUBSTITUTE(LEFT(TRIM(C97),FIND(" ",TRIM(C97)&amp;" ")-1),",","."))-1)/MID(SUBSTITUTE(LEFT(TRIM(C97),FIND(" ",TRIM(C97)&amp;" ")-1),",","."),FIND("/",SUBSTITUTE(LEFT(TRIM(C97),FIND(" ",TRIM(C97)&amp;" ")-1),",","."))+1,9))*12,NA()))),0),24)*'Aturan &amp; Tarif'!$B$4,2)</f>
        <v>1362.72</v>
      </c>
      <c r="K97" s="32" t="n">
        <f aca="false">'Aturan &amp; Tarif'!$B$5</f>
        <v>2050</v>
      </c>
      <c r="L97" s="32" t="n">
        <f aca="false">'Aturan &amp; Tarif'!$B$6</f>
        <v>350</v>
      </c>
      <c r="M97" s="35" t="n">
        <f aca="false">I97+J97+K97+L97</f>
        <v>24237.72</v>
      </c>
      <c r="N97" s="36" t="s">
        <v>290</v>
      </c>
    </row>
    <row r="98" customFormat="false" ht="106.5" hidden="false" customHeight="true" outlineLevel="0" collapsed="false">
      <c r="A98" s="29"/>
      <c r="B98" s="30" t="s">
        <v>291</v>
      </c>
      <c r="C98" s="31" t="s">
        <v>127</v>
      </c>
      <c r="D98" s="31" t="s">
        <v>108</v>
      </c>
      <c r="E98" s="32" t="n">
        <v>4737.5</v>
      </c>
      <c r="F98" s="32"/>
      <c r="G98" s="32"/>
      <c r="H98" s="33" t="n">
        <v>2</v>
      </c>
      <c r="I98" s="34" t="n">
        <f aca="false">E98*H98+N(F98)+N(G98)</f>
        <v>9475</v>
      </c>
      <c r="J98" s="32" t="n">
        <f aca="false">ROUND(IFERROR(ROUND(IF(OR(ISNUMBER(SEARCH("week",C98)),ISNUMBER(SEARCH("minggu",C98))),IFERROR(_xlfn.NUMBERVALUE(SUBSTITUTE(LEFT(TRIM(C98),FIND(" ",TRIM(C98)&amp;" ")-1),",","."),"."),LEFT(SUBSTITUTE(LEFT(TRIM(C98),FIND(" ",TRIM(C98)&amp;" ")-1),",","."),FIND("/",SUBSTITUTE(LEFT(TRIM(C98),FIND(" ",TRIM(C98)&amp;" ")-1),",","."))-1)/MID(SUBSTITUTE(LEFT(TRIM(C98),FIND(" ",TRIM(C98)&amp;" ")-1),",","."),FIND("/",SUBSTITUTE(LEFT(TRIM(C98),FIND(" ",TRIM(C98)&amp;" ")-1),",","."))+1,9))*12/52,IF(ISNUMBER(SEARCH("month",C98)),IFERROR(_xlfn.NUMBERVALUE(SUBSTITUTE(LEFT(TRIM(C98),FIND(" ",TRIM(C98)&amp;" ")-1),",","."),"."),LEFT(SUBSTITUTE(LEFT(TRIM(C98),FIND(" ",TRIM(C98)&amp;" ")-1),",","."),FIND("/",SUBSTITUTE(LEFT(TRIM(C98),FIND(" ",TRIM(C98)&amp;" ")-1),",","."))-1)/MID(SUBSTITUTE(LEFT(TRIM(C98),FIND(" ",TRIM(C98)&amp;" ")-1),",","."),FIND("/",SUBSTITUTE(LEFT(TRIM(C98),FIND(" ",TRIM(C98)&amp;" ")-1),",","."))+1,9)),IF(ISNUMBER(SEARCH("yea",C98)),IFERROR(_xlfn.NUMBERVALUE(SUBSTITUTE(LEFT(TRIM(C98),FIND(" ",TRIM(C98)&amp;" ")-1),",","."),"."),LEFT(SUBSTITUTE(LEFT(TRIM(C98),FIND(" ",TRIM(C98)&amp;" ")-1),",","."),FIND("/",SUBSTITUTE(LEFT(TRIM(C98),FIND(" ",TRIM(C98)&amp;" ")-1),",","."))-1)/MID(SUBSTITUTE(LEFT(TRIM(C98),FIND(" ",TRIM(C98)&amp;" ")-1),",","."),FIND("/",SUBSTITUTE(LEFT(TRIM(C98),FIND(" ",TRIM(C98)&amp;" ")-1),",","."))+1,9))*12,NA()))),0),36)*'Aturan &amp; Tarif'!$B$4,2)</f>
        <v>2044.08</v>
      </c>
      <c r="K98" s="32" t="n">
        <f aca="false">'Aturan &amp; Tarif'!$B$5</f>
        <v>2050</v>
      </c>
      <c r="L98" s="32" t="n">
        <f aca="false">'Aturan &amp; Tarif'!$B$6</f>
        <v>350</v>
      </c>
      <c r="M98" s="35" t="n">
        <f aca="false">I98+J98+K98+L98</f>
        <v>13919.08</v>
      </c>
      <c r="N98" s="36" t="s">
        <v>292</v>
      </c>
    </row>
    <row r="99" customFormat="false" ht="106.5" hidden="false" customHeight="true" outlineLevel="0" collapsed="false">
      <c r="A99" s="29"/>
      <c r="B99" s="30" t="s">
        <v>293</v>
      </c>
      <c r="C99" s="31" t="s">
        <v>113</v>
      </c>
      <c r="D99" s="31" t="s">
        <v>108</v>
      </c>
      <c r="E99" s="32" t="n">
        <v>8862.5</v>
      </c>
      <c r="F99" s="32"/>
      <c r="G99" s="32"/>
      <c r="H99" s="33" t="n">
        <v>2</v>
      </c>
      <c r="I99" s="34" t="n">
        <f aca="false">E99*H99+N(F99)+N(G99)</f>
        <v>17725</v>
      </c>
      <c r="J99" s="32" t="n">
        <f aca="false">ROUND(IFERROR(ROUND(IF(OR(ISNUMBER(SEARCH("week",C99)),ISNUMBER(SEARCH("minggu",C99))),IFERROR(_xlfn.NUMBERVALUE(SUBSTITUTE(LEFT(TRIM(C99),FIND(" ",TRIM(C99)&amp;" ")-1),",","."),"."),LEFT(SUBSTITUTE(LEFT(TRIM(C99),FIND(" ",TRIM(C99)&amp;" ")-1),",","."),FIND("/",SUBSTITUTE(LEFT(TRIM(C99),FIND(" ",TRIM(C99)&amp;" ")-1),",","."))-1)/MID(SUBSTITUTE(LEFT(TRIM(C99),FIND(" ",TRIM(C99)&amp;" ")-1),",","."),FIND("/",SUBSTITUTE(LEFT(TRIM(C99),FIND(" ",TRIM(C99)&amp;" ")-1),",","."))+1,9))*12/52,IF(ISNUMBER(SEARCH("month",C99)),IFERROR(_xlfn.NUMBERVALUE(SUBSTITUTE(LEFT(TRIM(C99),FIND(" ",TRIM(C99)&amp;" ")-1),",","."),"."),LEFT(SUBSTITUTE(LEFT(TRIM(C99),FIND(" ",TRIM(C99)&amp;" ")-1),",","."),FIND("/",SUBSTITUTE(LEFT(TRIM(C99),FIND(" ",TRIM(C99)&amp;" ")-1),",","."))-1)/MID(SUBSTITUTE(LEFT(TRIM(C99),FIND(" ",TRIM(C99)&amp;" ")-1),",","."),FIND("/",SUBSTITUTE(LEFT(TRIM(C99),FIND(" ",TRIM(C99)&amp;" ")-1),",","."))+1,9)),IF(ISNUMBER(SEARCH("yea",C99)),IFERROR(_xlfn.NUMBERVALUE(SUBSTITUTE(LEFT(TRIM(C99),FIND(" ",TRIM(C99)&amp;" ")-1),",","."),"."),LEFT(SUBSTITUTE(LEFT(TRIM(C99),FIND(" ",TRIM(C99)&amp;" ")-1),",","."),FIND("/",SUBSTITUTE(LEFT(TRIM(C99),FIND(" ",TRIM(C99)&amp;" ")-1),",","."))-1)/MID(SUBSTITUTE(LEFT(TRIM(C99),FIND(" ",TRIM(C99)&amp;" ")-1),",","."),FIND("/",SUBSTITUTE(LEFT(TRIM(C99),FIND(" ",TRIM(C99)&amp;" ")-1),",","."))+1,9))*12,NA()))),0),18)*'Aturan &amp; Tarif'!$B$4,2)</f>
        <v>1022.04</v>
      </c>
      <c r="K99" s="32" t="n">
        <f aca="false">'Aturan &amp; Tarif'!$B$5</f>
        <v>2050</v>
      </c>
      <c r="L99" s="32" t="n">
        <f aca="false">'Aturan &amp; Tarif'!$B$6</f>
        <v>350</v>
      </c>
      <c r="M99" s="35" t="n">
        <f aca="false">I99+J99+K99+L99</f>
        <v>21147.04</v>
      </c>
      <c r="N99" s="36" t="s">
        <v>294</v>
      </c>
    </row>
    <row r="100" customFormat="false" ht="106.5" hidden="false" customHeight="true" outlineLevel="0" collapsed="false">
      <c r="A100" s="29"/>
      <c r="B100" s="30" t="s">
        <v>295</v>
      </c>
      <c r="C100" s="31" t="s">
        <v>113</v>
      </c>
      <c r="D100" s="31" t="s">
        <v>108</v>
      </c>
      <c r="E100" s="32" t="n">
        <v>3812.5</v>
      </c>
      <c r="F100" s="32"/>
      <c r="G100" s="32"/>
      <c r="H100" s="33" t="n">
        <v>2</v>
      </c>
      <c r="I100" s="34" t="n">
        <f aca="false">E100*H100+N(F100)+N(G100)</f>
        <v>7625</v>
      </c>
      <c r="J100" s="32" t="n">
        <f aca="false">ROUND(IFERROR(ROUND(IF(OR(ISNUMBER(SEARCH("week",C100)),ISNUMBER(SEARCH("minggu",C100))),IFERROR(_xlfn.NUMBERVALUE(SUBSTITUTE(LEFT(TRIM(C100),FIND(" ",TRIM(C100)&amp;" ")-1),",","."),"."),LEFT(SUBSTITUTE(LEFT(TRIM(C100),FIND(" ",TRIM(C100)&amp;" ")-1),",","."),FIND("/",SUBSTITUTE(LEFT(TRIM(C100),FIND(" ",TRIM(C100)&amp;" ")-1),",","."))-1)/MID(SUBSTITUTE(LEFT(TRIM(C100),FIND(" ",TRIM(C100)&amp;" ")-1),",","."),FIND("/",SUBSTITUTE(LEFT(TRIM(C100),FIND(" ",TRIM(C100)&amp;" ")-1),",","."))+1,9))*12/52,IF(ISNUMBER(SEARCH("month",C100)),IFERROR(_xlfn.NUMBERVALUE(SUBSTITUTE(LEFT(TRIM(C100),FIND(" ",TRIM(C100)&amp;" ")-1),",","."),"."),LEFT(SUBSTITUTE(LEFT(TRIM(C100),FIND(" ",TRIM(C100)&amp;" ")-1),",","."),FIND("/",SUBSTITUTE(LEFT(TRIM(C100),FIND(" ",TRIM(C100)&amp;" ")-1),",","."))-1)/MID(SUBSTITUTE(LEFT(TRIM(C100),FIND(" ",TRIM(C100)&amp;" ")-1),",","."),FIND("/",SUBSTITUTE(LEFT(TRIM(C100),FIND(" ",TRIM(C100)&amp;" ")-1),",","."))+1,9)),IF(ISNUMBER(SEARCH("yea",C100)),IFERROR(_xlfn.NUMBERVALUE(SUBSTITUTE(LEFT(TRIM(C100),FIND(" ",TRIM(C100)&amp;" ")-1),",","."),"."),LEFT(SUBSTITUTE(LEFT(TRIM(C100),FIND(" ",TRIM(C100)&amp;" ")-1),",","."),FIND("/",SUBSTITUTE(LEFT(TRIM(C100),FIND(" ",TRIM(C100)&amp;" ")-1),",","."))-1)/MID(SUBSTITUTE(LEFT(TRIM(C100),FIND(" ",TRIM(C100)&amp;" ")-1),",","."),FIND("/",SUBSTITUTE(LEFT(TRIM(C100),FIND(" ",TRIM(C100)&amp;" ")-1),",","."))+1,9))*12,NA()))),0),18)*'Aturan &amp; Tarif'!$B$4,2)</f>
        <v>1022.04</v>
      </c>
      <c r="K100" s="32" t="n">
        <f aca="false">'Aturan &amp; Tarif'!$B$5</f>
        <v>2050</v>
      </c>
      <c r="L100" s="32" t="n">
        <f aca="false">'Aturan &amp; Tarif'!$B$6</f>
        <v>350</v>
      </c>
      <c r="M100" s="35" t="n">
        <f aca="false">I100+J100+K100+L100</f>
        <v>11047.04</v>
      </c>
      <c r="N100" s="36" t="s">
        <v>296</v>
      </c>
    </row>
    <row r="101" customFormat="false" ht="60" hidden="false" customHeight="true" outlineLevel="0" collapsed="false">
      <c r="A101" s="29"/>
      <c r="B101" s="30" t="s">
        <v>297</v>
      </c>
      <c r="C101" s="31" t="s">
        <v>130</v>
      </c>
      <c r="D101" s="31" t="s">
        <v>108</v>
      </c>
      <c r="E101" s="32" t="n">
        <v>4737.5</v>
      </c>
      <c r="F101" s="32"/>
      <c r="G101" s="32"/>
      <c r="H101" s="33" t="n">
        <v>2</v>
      </c>
      <c r="I101" s="34" t="n">
        <f aca="false">E101*H101+N(F101)+N(G101)</f>
        <v>9475</v>
      </c>
      <c r="J101" s="32" t="n">
        <f aca="false">ROUND(IFERROR(ROUND(IF(OR(ISNUMBER(SEARCH("week",C101)),ISNUMBER(SEARCH("minggu",C101))),IFERROR(_xlfn.NUMBERVALUE(SUBSTITUTE(LEFT(TRIM(C101),FIND(" ",TRIM(C101)&amp;" ")-1),",","."),"."),LEFT(SUBSTITUTE(LEFT(TRIM(C101),FIND(" ",TRIM(C101)&amp;" ")-1),",","."),FIND("/",SUBSTITUTE(LEFT(TRIM(C101),FIND(" ",TRIM(C101)&amp;" ")-1),",","."))-1)/MID(SUBSTITUTE(LEFT(TRIM(C101),FIND(" ",TRIM(C101)&amp;" ")-1),",","."),FIND("/",SUBSTITUTE(LEFT(TRIM(C101),FIND(" ",TRIM(C101)&amp;" ")-1),",","."))+1,9))*12/52,IF(ISNUMBER(SEARCH("month",C101)),IFERROR(_xlfn.NUMBERVALUE(SUBSTITUTE(LEFT(TRIM(C101),FIND(" ",TRIM(C101)&amp;" ")-1),",","."),"."),LEFT(SUBSTITUTE(LEFT(TRIM(C101),FIND(" ",TRIM(C101)&amp;" ")-1),",","."),FIND("/",SUBSTITUTE(LEFT(TRIM(C101),FIND(" ",TRIM(C101)&amp;" ")-1),",","."))-1)/MID(SUBSTITUTE(LEFT(TRIM(C101),FIND(" ",TRIM(C101)&amp;" ")-1),",","."),FIND("/",SUBSTITUTE(LEFT(TRIM(C101),FIND(" ",TRIM(C101)&amp;" ")-1),",","."))+1,9)),IF(ISNUMBER(SEARCH("yea",C101)),IFERROR(_xlfn.NUMBERVALUE(SUBSTITUTE(LEFT(TRIM(C101),FIND(" ",TRIM(C101)&amp;" ")-1),",","."),"."),LEFT(SUBSTITUTE(LEFT(TRIM(C101),FIND(" ",TRIM(C101)&amp;" ")-1),",","."),FIND("/",SUBSTITUTE(LEFT(TRIM(C101),FIND(" ",TRIM(C101)&amp;" ")-1),",","."))-1)/MID(SUBSTITUTE(LEFT(TRIM(C101),FIND(" ",TRIM(C101)&amp;" ")-1),",","."),FIND("/",SUBSTITUTE(LEFT(TRIM(C101),FIND(" ",TRIM(C101)&amp;" ")-1),",","."))+1,9))*12,NA()))),0),12)*'Aturan &amp; Tarif'!$B$4,2)</f>
        <v>681.36</v>
      </c>
      <c r="K101" s="32" t="n">
        <f aca="false">'Aturan &amp; Tarif'!$B$5</f>
        <v>2050</v>
      </c>
      <c r="L101" s="32" t="n">
        <f aca="false">'Aturan &amp; Tarif'!$B$6</f>
        <v>350</v>
      </c>
      <c r="M101" s="35" t="n">
        <f aca="false">I101+J101+K101+L101</f>
        <v>12556.36</v>
      </c>
      <c r="N101" s="36" t="s">
        <v>298</v>
      </c>
    </row>
    <row r="102" customFormat="false" ht="106.5" hidden="false" customHeight="true" outlineLevel="0" collapsed="false">
      <c r="A102" s="29"/>
      <c r="B102" s="30" t="s">
        <v>299</v>
      </c>
      <c r="C102" s="31" t="s">
        <v>159</v>
      </c>
      <c r="D102" s="31" t="s">
        <v>108</v>
      </c>
      <c r="E102" s="32" t="n">
        <v>8862.5</v>
      </c>
      <c r="F102" s="32"/>
      <c r="G102" s="32"/>
      <c r="H102" s="33" t="n">
        <v>2</v>
      </c>
      <c r="I102" s="34" t="n">
        <f aca="false">E102*H102+N(F102)+N(G102)</f>
        <v>17725</v>
      </c>
      <c r="J102" s="32" t="n">
        <f aca="false">ROUND(IFERROR(ROUND(IF(OR(ISNUMBER(SEARCH("week",C102)),ISNUMBER(SEARCH("minggu",C102))),IFERROR(_xlfn.NUMBERVALUE(SUBSTITUTE(LEFT(TRIM(C102),FIND(" ",TRIM(C102)&amp;" ")-1),",","."),"."),LEFT(SUBSTITUTE(LEFT(TRIM(C102),FIND(" ",TRIM(C102)&amp;" ")-1),",","."),FIND("/",SUBSTITUTE(LEFT(TRIM(C102),FIND(" ",TRIM(C102)&amp;" ")-1),",","."))-1)/MID(SUBSTITUTE(LEFT(TRIM(C102),FIND(" ",TRIM(C102)&amp;" ")-1),",","."),FIND("/",SUBSTITUTE(LEFT(TRIM(C102),FIND(" ",TRIM(C102)&amp;" ")-1),",","."))+1,9))*12/52,IF(ISNUMBER(SEARCH("month",C102)),IFERROR(_xlfn.NUMBERVALUE(SUBSTITUTE(LEFT(TRIM(C102),FIND(" ",TRIM(C102)&amp;" ")-1),",","."),"."),LEFT(SUBSTITUTE(LEFT(TRIM(C102),FIND(" ",TRIM(C102)&amp;" ")-1),",","."),FIND("/",SUBSTITUTE(LEFT(TRIM(C102),FIND(" ",TRIM(C102)&amp;" ")-1),",","."))-1)/MID(SUBSTITUTE(LEFT(TRIM(C102),FIND(" ",TRIM(C102)&amp;" ")-1),",","."),FIND("/",SUBSTITUTE(LEFT(TRIM(C102),FIND(" ",TRIM(C102)&amp;" ")-1),",","."))+1,9)),IF(ISNUMBER(SEARCH("yea",C102)),IFERROR(_xlfn.NUMBERVALUE(SUBSTITUTE(LEFT(TRIM(C102),FIND(" ",TRIM(C102)&amp;" ")-1),",","."),"."),LEFT(SUBSTITUTE(LEFT(TRIM(C102),FIND(" ",TRIM(C102)&amp;" ")-1),",","."),FIND("/",SUBSTITUTE(LEFT(TRIM(C102),FIND(" ",TRIM(C102)&amp;" ")-1),",","."))-1)/MID(SUBSTITUTE(LEFT(TRIM(C102),FIND(" ",TRIM(C102)&amp;" ")-1),",","."),FIND("/",SUBSTITUTE(LEFT(TRIM(C102),FIND(" ",TRIM(C102)&amp;" ")-1),",","."))+1,9))*12,NA()))),0),6)*'Aturan &amp; Tarif'!$B$4,2)</f>
        <v>340.68</v>
      </c>
      <c r="K102" s="32" t="n">
        <f aca="false">'Aturan &amp; Tarif'!$B$5</f>
        <v>2050</v>
      </c>
      <c r="L102" s="32" t="n">
        <f aca="false">'Aturan &amp; Tarif'!$B$6</f>
        <v>350</v>
      </c>
      <c r="M102" s="35" t="n">
        <f aca="false">I102+J102+K102+L102</f>
        <v>20465.68</v>
      </c>
      <c r="N102" s="36" t="s">
        <v>300</v>
      </c>
    </row>
    <row r="103" customFormat="false" ht="106.5" hidden="false" customHeight="true" outlineLevel="0" collapsed="false">
      <c r="A103" s="29"/>
      <c r="B103" s="30" t="s">
        <v>301</v>
      </c>
      <c r="C103" s="31" t="s">
        <v>130</v>
      </c>
      <c r="D103" s="31" t="s">
        <v>108</v>
      </c>
      <c r="E103" s="32" t="n">
        <v>10487.5</v>
      </c>
      <c r="F103" s="32"/>
      <c r="G103" s="32"/>
      <c r="H103" s="33" t="n">
        <v>2</v>
      </c>
      <c r="I103" s="34" t="n">
        <f aca="false">E103*H103+N(F103)+N(G103)</f>
        <v>20975</v>
      </c>
      <c r="J103" s="32" t="n">
        <f aca="false">ROUND(IFERROR(ROUND(IF(OR(ISNUMBER(SEARCH("week",C103)),ISNUMBER(SEARCH("minggu",C103))),IFERROR(_xlfn.NUMBERVALUE(SUBSTITUTE(LEFT(TRIM(C103),FIND(" ",TRIM(C103)&amp;" ")-1),",","."),"."),LEFT(SUBSTITUTE(LEFT(TRIM(C103),FIND(" ",TRIM(C103)&amp;" ")-1),",","."),FIND("/",SUBSTITUTE(LEFT(TRIM(C103),FIND(" ",TRIM(C103)&amp;" ")-1),",","."))-1)/MID(SUBSTITUTE(LEFT(TRIM(C103),FIND(" ",TRIM(C103)&amp;" ")-1),",","."),FIND("/",SUBSTITUTE(LEFT(TRIM(C103),FIND(" ",TRIM(C103)&amp;" ")-1),",","."))+1,9))*12/52,IF(ISNUMBER(SEARCH("month",C103)),IFERROR(_xlfn.NUMBERVALUE(SUBSTITUTE(LEFT(TRIM(C103),FIND(" ",TRIM(C103)&amp;" ")-1),",","."),"."),LEFT(SUBSTITUTE(LEFT(TRIM(C103),FIND(" ",TRIM(C103)&amp;" ")-1),",","."),FIND("/",SUBSTITUTE(LEFT(TRIM(C103),FIND(" ",TRIM(C103)&amp;" ")-1),",","."))-1)/MID(SUBSTITUTE(LEFT(TRIM(C103),FIND(" ",TRIM(C103)&amp;" ")-1),",","."),FIND("/",SUBSTITUTE(LEFT(TRIM(C103),FIND(" ",TRIM(C103)&amp;" ")-1),",","."))+1,9)),IF(ISNUMBER(SEARCH("yea",C103)),IFERROR(_xlfn.NUMBERVALUE(SUBSTITUTE(LEFT(TRIM(C103),FIND(" ",TRIM(C103)&amp;" ")-1),",","."),"."),LEFT(SUBSTITUTE(LEFT(TRIM(C103),FIND(" ",TRIM(C103)&amp;" ")-1),",","."),FIND("/",SUBSTITUTE(LEFT(TRIM(C103),FIND(" ",TRIM(C103)&amp;" ")-1),",","."))-1)/MID(SUBSTITUTE(LEFT(TRIM(C103),FIND(" ",TRIM(C103)&amp;" ")-1),",","."),FIND("/",SUBSTITUTE(LEFT(TRIM(C103),FIND(" ",TRIM(C103)&amp;" ")-1),",","."))+1,9))*12,NA()))),0),12)*'Aturan &amp; Tarif'!$B$4,2)</f>
        <v>681.36</v>
      </c>
      <c r="K103" s="32" t="n">
        <f aca="false">'Aturan &amp; Tarif'!$B$5</f>
        <v>2050</v>
      </c>
      <c r="L103" s="32" t="n">
        <f aca="false">'Aturan &amp; Tarif'!$B$6</f>
        <v>350</v>
      </c>
      <c r="M103" s="35" t="n">
        <f aca="false">I103+J103+K103+L103</f>
        <v>24056.36</v>
      </c>
      <c r="N103" s="36" t="s">
        <v>302</v>
      </c>
    </row>
    <row r="104" customFormat="false" ht="106.5" hidden="false" customHeight="true" outlineLevel="0" collapsed="false">
      <c r="A104" s="29"/>
      <c r="B104" s="30" t="s">
        <v>303</v>
      </c>
      <c r="C104" s="31" t="s">
        <v>159</v>
      </c>
      <c r="D104" s="31" t="s">
        <v>108</v>
      </c>
      <c r="E104" s="32" t="n">
        <v>3812.5</v>
      </c>
      <c r="F104" s="32"/>
      <c r="G104" s="32"/>
      <c r="H104" s="33" t="n">
        <v>2</v>
      </c>
      <c r="I104" s="34" t="n">
        <f aca="false">E104*H104+N(F104)+N(G104)</f>
        <v>7625</v>
      </c>
      <c r="J104" s="32" t="n">
        <f aca="false">ROUND(IFERROR(ROUND(IF(OR(ISNUMBER(SEARCH("week",C104)),ISNUMBER(SEARCH("minggu",C104))),IFERROR(_xlfn.NUMBERVALUE(SUBSTITUTE(LEFT(TRIM(C104),FIND(" ",TRIM(C104)&amp;" ")-1),",","."),"."),LEFT(SUBSTITUTE(LEFT(TRIM(C104),FIND(" ",TRIM(C104)&amp;" ")-1),",","."),FIND("/",SUBSTITUTE(LEFT(TRIM(C104),FIND(" ",TRIM(C104)&amp;" ")-1),",","."))-1)/MID(SUBSTITUTE(LEFT(TRIM(C104),FIND(" ",TRIM(C104)&amp;" ")-1),",","."),FIND("/",SUBSTITUTE(LEFT(TRIM(C104),FIND(" ",TRIM(C104)&amp;" ")-1),",","."))+1,9))*12/52,IF(ISNUMBER(SEARCH("month",C104)),IFERROR(_xlfn.NUMBERVALUE(SUBSTITUTE(LEFT(TRIM(C104),FIND(" ",TRIM(C104)&amp;" ")-1),",","."),"."),LEFT(SUBSTITUTE(LEFT(TRIM(C104),FIND(" ",TRIM(C104)&amp;" ")-1),",","."),FIND("/",SUBSTITUTE(LEFT(TRIM(C104),FIND(" ",TRIM(C104)&amp;" ")-1),",","."))-1)/MID(SUBSTITUTE(LEFT(TRIM(C104),FIND(" ",TRIM(C104)&amp;" ")-1),",","."),FIND("/",SUBSTITUTE(LEFT(TRIM(C104),FIND(" ",TRIM(C104)&amp;" ")-1),",","."))+1,9)),IF(ISNUMBER(SEARCH("yea",C104)),IFERROR(_xlfn.NUMBERVALUE(SUBSTITUTE(LEFT(TRIM(C104),FIND(" ",TRIM(C104)&amp;" ")-1),",","."),"."),LEFT(SUBSTITUTE(LEFT(TRIM(C104),FIND(" ",TRIM(C104)&amp;" ")-1),",","."),FIND("/",SUBSTITUTE(LEFT(TRIM(C104),FIND(" ",TRIM(C104)&amp;" ")-1),",","."))-1)/MID(SUBSTITUTE(LEFT(TRIM(C104),FIND(" ",TRIM(C104)&amp;" ")-1),",","."),FIND("/",SUBSTITUTE(LEFT(TRIM(C104),FIND(" ",TRIM(C104)&amp;" ")-1),",","."))+1,9))*12,NA()))),0),6)*'Aturan &amp; Tarif'!$B$4,2)</f>
        <v>340.68</v>
      </c>
      <c r="K104" s="32" t="n">
        <f aca="false">'Aturan &amp; Tarif'!$B$5</f>
        <v>2050</v>
      </c>
      <c r="L104" s="32" t="n">
        <f aca="false">'Aturan &amp; Tarif'!$B$6</f>
        <v>350</v>
      </c>
      <c r="M104" s="35" t="n">
        <f aca="false">I104+J104+K104+L104</f>
        <v>10365.68</v>
      </c>
      <c r="N104" s="36" t="s">
        <v>304</v>
      </c>
    </row>
    <row r="105" customFormat="false" ht="37.5" hidden="false" customHeight="true" outlineLevel="0" collapsed="false">
      <c r="A105" s="29"/>
      <c r="B105" s="30" t="s">
        <v>305</v>
      </c>
      <c r="C105" s="31" t="s">
        <v>130</v>
      </c>
      <c r="D105" s="31" t="s">
        <v>108</v>
      </c>
      <c r="E105" s="32" t="n">
        <v>5118.75</v>
      </c>
      <c r="F105" s="32"/>
      <c r="G105" s="32"/>
      <c r="H105" s="33" t="n">
        <v>2</v>
      </c>
      <c r="I105" s="34" t="n">
        <f aca="false">E105*H105+N(F105)+N(G105)</f>
        <v>10237.5</v>
      </c>
      <c r="J105" s="32" t="n">
        <f aca="false">ROUND(IFERROR(ROUND(IF(OR(ISNUMBER(SEARCH("week",C105)),ISNUMBER(SEARCH("minggu",C105))),IFERROR(_xlfn.NUMBERVALUE(SUBSTITUTE(LEFT(TRIM(C105),FIND(" ",TRIM(C105)&amp;" ")-1),",","."),"."),LEFT(SUBSTITUTE(LEFT(TRIM(C105),FIND(" ",TRIM(C105)&amp;" ")-1),",","."),FIND("/",SUBSTITUTE(LEFT(TRIM(C105),FIND(" ",TRIM(C105)&amp;" ")-1),",","."))-1)/MID(SUBSTITUTE(LEFT(TRIM(C105),FIND(" ",TRIM(C105)&amp;" ")-1),",","."),FIND("/",SUBSTITUTE(LEFT(TRIM(C105),FIND(" ",TRIM(C105)&amp;" ")-1),",","."))+1,9))*12/52,IF(ISNUMBER(SEARCH("month",C105)),IFERROR(_xlfn.NUMBERVALUE(SUBSTITUTE(LEFT(TRIM(C105),FIND(" ",TRIM(C105)&amp;" ")-1),",","."),"."),LEFT(SUBSTITUTE(LEFT(TRIM(C105),FIND(" ",TRIM(C105)&amp;" ")-1),",","."),FIND("/",SUBSTITUTE(LEFT(TRIM(C105),FIND(" ",TRIM(C105)&amp;" ")-1),",","."))-1)/MID(SUBSTITUTE(LEFT(TRIM(C105),FIND(" ",TRIM(C105)&amp;" ")-1),",","."),FIND("/",SUBSTITUTE(LEFT(TRIM(C105),FIND(" ",TRIM(C105)&amp;" ")-1),",","."))+1,9)),IF(ISNUMBER(SEARCH("yea",C105)),IFERROR(_xlfn.NUMBERVALUE(SUBSTITUTE(LEFT(TRIM(C105),FIND(" ",TRIM(C105)&amp;" ")-1),",","."),"."),LEFT(SUBSTITUTE(LEFT(TRIM(C105),FIND(" ",TRIM(C105)&amp;" ")-1),",","."),FIND("/",SUBSTITUTE(LEFT(TRIM(C105),FIND(" ",TRIM(C105)&amp;" ")-1),",","."))-1)/MID(SUBSTITUTE(LEFT(TRIM(C105),FIND(" ",TRIM(C105)&amp;" ")-1),",","."),FIND("/",SUBSTITUTE(LEFT(TRIM(C105),FIND(" ",TRIM(C105)&amp;" ")-1),",","."))+1,9))*12,NA()))),0),12)*'Aturan &amp; Tarif'!$B$4,2)</f>
        <v>681.36</v>
      </c>
      <c r="K105" s="32" t="n">
        <f aca="false">'Aturan &amp; Tarif'!$B$5</f>
        <v>2050</v>
      </c>
      <c r="L105" s="32" t="n">
        <f aca="false">'Aturan &amp; Tarif'!$B$6</f>
        <v>350</v>
      </c>
      <c r="M105" s="35" t="n">
        <f aca="false">I105+J105+K105+L105</f>
        <v>13318.86</v>
      </c>
      <c r="N105" s="36" t="s">
        <v>194</v>
      </c>
    </row>
    <row r="106" customFormat="false" ht="106.5" hidden="false" customHeight="true" outlineLevel="0" collapsed="false">
      <c r="A106" s="29"/>
      <c r="B106" s="30" t="s">
        <v>306</v>
      </c>
      <c r="C106" s="31" t="s">
        <v>130</v>
      </c>
      <c r="D106" s="31" t="s">
        <v>108</v>
      </c>
      <c r="E106" s="32" t="n">
        <v>4487.5</v>
      </c>
      <c r="F106" s="32"/>
      <c r="G106" s="32"/>
      <c r="H106" s="33" t="n">
        <v>2</v>
      </c>
      <c r="I106" s="34" t="n">
        <f aca="false">E106*H106+N(F106)+N(G106)</f>
        <v>8975</v>
      </c>
      <c r="J106" s="32" t="n">
        <f aca="false">ROUND(IFERROR(ROUND(IF(OR(ISNUMBER(SEARCH("week",C106)),ISNUMBER(SEARCH("minggu",C106))),IFERROR(_xlfn.NUMBERVALUE(SUBSTITUTE(LEFT(TRIM(C106),FIND(" ",TRIM(C106)&amp;" ")-1),",","."),"."),LEFT(SUBSTITUTE(LEFT(TRIM(C106),FIND(" ",TRIM(C106)&amp;" ")-1),",","."),FIND("/",SUBSTITUTE(LEFT(TRIM(C106),FIND(" ",TRIM(C106)&amp;" ")-1),",","."))-1)/MID(SUBSTITUTE(LEFT(TRIM(C106),FIND(" ",TRIM(C106)&amp;" ")-1),",","."),FIND("/",SUBSTITUTE(LEFT(TRIM(C106),FIND(" ",TRIM(C106)&amp;" ")-1),",","."))+1,9))*12/52,IF(ISNUMBER(SEARCH("month",C106)),IFERROR(_xlfn.NUMBERVALUE(SUBSTITUTE(LEFT(TRIM(C106),FIND(" ",TRIM(C106)&amp;" ")-1),",","."),"."),LEFT(SUBSTITUTE(LEFT(TRIM(C106),FIND(" ",TRIM(C106)&amp;" ")-1),",","."),FIND("/",SUBSTITUTE(LEFT(TRIM(C106),FIND(" ",TRIM(C106)&amp;" ")-1),",","."))-1)/MID(SUBSTITUTE(LEFT(TRIM(C106),FIND(" ",TRIM(C106)&amp;" ")-1),",","."),FIND("/",SUBSTITUTE(LEFT(TRIM(C106),FIND(" ",TRIM(C106)&amp;" ")-1),",","."))+1,9)),IF(ISNUMBER(SEARCH("yea",C106)),IFERROR(_xlfn.NUMBERVALUE(SUBSTITUTE(LEFT(TRIM(C106),FIND(" ",TRIM(C106)&amp;" ")-1),",","."),"."),LEFT(SUBSTITUTE(LEFT(TRIM(C106),FIND(" ",TRIM(C106)&amp;" ")-1),",","."),FIND("/",SUBSTITUTE(LEFT(TRIM(C106),FIND(" ",TRIM(C106)&amp;" ")-1),",","."))-1)/MID(SUBSTITUTE(LEFT(TRIM(C106),FIND(" ",TRIM(C106)&amp;" ")-1),",","."),FIND("/",SUBSTITUTE(LEFT(TRIM(C106),FIND(" ",TRIM(C106)&amp;" ")-1),",","."))+1,9))*12,NA()))),0),12)*'Aturan &amp; Tarif'!$B$4,2)</f>
        <v>681.36</v>
      </c>
      <c r="K106" s="32" t="n">
        <f aca="false">'Aturan &amp; Tarif'!$B$5</f>
        <v>2050</v>
      </c>
      <c r="L106" s="32" t="n">
        <f aca="false">'Aturan &amp; Tarif'!$B$6</f>
        <v>350</v>
      </c>
      <c r="M106" s="35" t="n">
        <f aca="false">I106+J106+K106+L106</f>
        <v>12056.36</v>
      </c>
      <c r="N106" s="36" t="s">
        <v>307</v>
      </c>
    </row>
    <row r="107" customFormat="false" ht="60" hidden="false" customHeight="true" outlineLevel="0" collapsed="false">
      <c r="A107" s="29"/>
      <c r="B107" s="30" t="s">
        <v>308</v>
      </c>
      <c r="C107" s="31" t="s">
        <v>130</v>
      </c>
      <c r="D107" s="31" t="s">
        <v>108</v>
      </c>
      <c r="E107" s="32" t="n">
        <v>3812.5</v>
      </c>
      <c r="F107" s="32"/>
      <c r="G107" s="32"/>
      <c r="H107" s="33" t="n">
        <v>2</v>
      </c>
      <c r="I107" s="34" t="n">
        <f aca="false">E107*H107+N(F107)+N(G107)</f>
        <v>7625</v>
      </c>
      <c r="J107" s="32" t="n">
        <f aca="false">ROUND(IFERROR(ROUND(IF(OR(ISNUMBER(SEARCH("week",C107)),ISNUMBER(SEARCH("minggu",C107))),IFERROR(_xlfn.NUMBERVALUE(SUBSTITUTE(LEFT(TRIM(C107),FIND(" ",TRIM(C107)&amp;" ")-1),",","."),"."),LEFT(SUBSTITUTE(LEFT(TRIM(C107),FIND(" ",TRIM(C107)&amp;" ")-1),",","."),FIND("/",SUBSTITUTE(LEFT(TRIM(C107),FIND(" ",TRIM(C107)&amp;" ")-1),",","."))-1)/MID(SUBSTITUTE(LEFT(TRIM(C107),FIND(" ",TRIM(C107)&amp;" ")-1),",","."),FIND("/",SUBSTITUTE(LEFT(TRIM(C107),FIND(" ",TRIM(C107)&amp;" ")-1),",","."))+1,9))*12/52,IF(ISNUMBER(SEARCH("month",C107)),IFERROR(_xlfn.NUMBERVALUE(SUBSTITUTE(LEFT(TRIM(C107),FIND(" ",TRIM(C107)&amp;" ")-1),",","."),"."),LEFT(SUBSTITUTE(LEFT(TRIM(C107),FIND(" ",TRIM(C107)&amp;" ")-1),",","."),FIND("/",SUBSTITUTE(LEFT(TRIM(C107),FIND(" ",TRIM(C107)&amp;" ")-1),",","."))-1)/MID(SUBSTITUTE(LEFT(TRIM(C107),FIND(" ",TRIM(C107)&amp;" ")-1),",","."),FIND("/",SUBSTITUTE(LEFT(TRIM(C107),FIND(" ",TRIM(C107)&amp;" ")-1),",","."))+1,9)),IF(ISNUMBER(SEARCH("yea",C107)),IFERROR(_xlfn.NUMBERVALUE(SUBSTITUTE(LEFT(TRIM(C107),FIND(" ",TRIM(C107)&amp;" ")-1),",","."),"."),LEFT(SUBSTITUTE(LEFT(TRIM(C107),FIND(" ",TRIM(C107)&amp;" ")-1),",","."),FIND("/",SUBSTITUTE(LEFT(TRIM(C107),FIND(" ",TRIM(C107)&amp;" ")-1),",","."))-1)/MID(SUBSTITUTE(LEFT(TRIM(C107),FIND(" ",TRIM(C107)&amp;" ")-1),",","."),FIND("/",SUBSTITUTE(LEFT(TRIM(C107),FIND(" ",TRIM(C107)&amp;" ")-1),",","."))+1,9))*12,NA()))),0),12)*'Aturan &amp; Tarif'!$B$4,2)</f>
        <v>681.36</v>
      </c>
      <c r="K107" s="32" t="n">
        <f aca="false">'Aturan &amp; Tarif'!$B$5</f>
        <v>2050</v>
      </c>
      <c r="L107" s="32" t="n">
        <f aca="false">'Aturan &amp; Tarif'!$B$6</f>
        <v>350</v>
      </c>
      <c r="M107" s="35" t="n">
        <f aca="false">I107+J107+K107+L107</f>
        <v>10706.36</v>
      </c>
      <c r="N107" s="36" t="s">
        <v>309</v>
      </c>
    </row>
    <row r="108" customFormat="false" ht="106.5" hidden="false" customHeight="true" outlineLevel="0" collapsed="false">
      <c r="A108" s="29"/>
      <c r="B108" s="30" t="s">
        <v>310</v>
      </c>
      <c r="C108" s="31" t="s">
        <v>107</v>
      </c>
      <c r="D108" s="31" t="s">
        <v>108</v>
      </c>
      <c r="E108" s="32" t="n">
        <v>4737.5</v>
      </c>
      <c r="F108" s="32"/>
      <c r="G108" s="32"/>
      <c r="H108" s="33" t="n">
        <v>2</v>
      </c>
      <c r="I108" s="34" t="n">
        <f aca="false">E108*H108+N(F108)+N(G108)</f>
        <v>9475</v>
      </c>
      <c r="J108" s="32" t="n">
        <f aca="false">ROUND(IFERROR(ROUND(IF(OR(ISNUMBER(SEARCH("week",C108)),ISNUMBER(SEARCH("minggu",C108))),IFERROR(_xlfn.NUMBERVALUE(SUBSTITUTE(LEFT(TRIM(C108),FIND(" ",TRIM(C108)&amp;" ")-1),",","."),"."),LEFT(SUBSTITUTE(LEFT(TRIM(C108),FIND(" ",TRIM(C108)&amp;" ")-1),",","."),FIND("/",SUBSTITUTE(LEFT(TRIM(C108),FIND(" ",TRIM(C108)&amp;" ")-1),",","."))-1)/MID(SUBSTITUTE(LEFT(TRIM(C108),FIND(" ",TRIM(C108)&amp;" ")-1),",","."),FIND("/",SUBSTITUTE(LEFT(TRIM(C108),FIND(" ",TRIM(C108)&amp;" ")-1),",","."))+1,9))*12/52,IF(ISNUMBER(SEARCH("month",C108)),IFERROR(_xlfn.NUMBERVALUE(SUBSTITUTE(LEFT(TRIM(C108),FIND(" ",TRIM(C108)&amp;" ")-1),",","."),"."),LEFT(SUBSTITUTE(LEFT(TRIM(C108),FIND(" ",TRIM(C108)&amp;" ")-1),",","."),FIND("/",SUBSTITUTE(LEFT(TRIM(C108),FIND(" ",TRIM(C108)&amp;" ")-1),",","."))-1)/MID(SUBSTITUTE(LEFT(TRIM(C108),FIND(" ",TRIM(C108)&amp;" ")-1),",","."),FIND("/",SUBSTITUTE(LEFT(TRIM(C108),FIND(" ",TRIM(C108)&amp;" ")-1),",","."))+1,9)),IF(ISNUMBER(SEARCH("yea",C108)),IFERROR(_xlfn.NUMBERVALUE(SUBSTITUTE(LEFT(TRIM(C108),FIND(" ",TRIM(C108)&amp;" ")-1),",","."),"."),LEFT(SUBSTITUTE(LEFT(TRIM(C108),FIND(" ",TRIM(C108)&amp;" ")-1),",","."),FIND("/",SUBSTITUTE(LEFT(TRIM(C108),FIND(" ",TRIM(C108)&amp;" ")-1),",","."))-1)/MID(SUBSTITUTE(LEFT(TRIM(C108),FIND(" ",TRIM(C108)&amp;" ")-1),",","."),FIND("/",SUBSTITUTE(LEFT(TRIM(C108),FIND(" ",TRIM(C108)&amp;" ")-1),",","."))+1,9))*12,NA()))),0),24)*'Aturan &amp; Tarif'!$B$4,2)</f>
        <v>1362.72</v>
      </c>
      <c r="K108" s="32" t="n">
        <f aca="false">'Aturan &amp; Tarif'!$B$5</f>
        <v>2050</v>
      </c>
      <c r="L108" s="32" t="n">
        <f aca="false">'Aturan &amp; Tarif'!$B$6</f>
        <v>350</v>
      </c>
      <c r="M108" s="35" t="n">
        <f aca="false">I108+J108+K108+L108</f>
        <v>13237.72</v>
      </c>
      <c r="N108" s="36" t="s">
        <v>292</v>
      </c>
    </row>
    <row r="109" customFormat="false" ht="106.5" hidden="false" customHeight="true" outlineLevel="0" collapsed="false">
      <c r="A109" s="29"/>
      <c r="B109" s="30" t="s">
        <v>311</v>
      </c>
      <c r="C109" s="31" t="s">
        <v>130</v>
      </c>
      <c r="D109" s="31" t="s">
        <v>108</v>
      </c>
      <c r="E109" s="32" t="n">
        <v>8862.5</v>
      </c>
      <c r="F109" s="32"/>
      <c r="G109" s="32"/>
      <c r="H109" s="33" t="n">
        <v>2</v>
      </c>
      <c r="I109" s="34" t="n">
        <f aca="false">E109*H109+N(F109)+N(G109)</f>
        <v>17725</v>
      </c>
      <c r="J109" s="32" t="n">
        <f aca="false">ROUND(IFERROR(ROUND(IF(OR(ISNUMBER(SEARCH("week",C109)),ISNUMBER(SEARCH("minggu",C109))),IFERROR(_xlfn.NUMBERVALUE(SUBSTITUTE(LEFT(TRIM(C109),FIND(" ",TRIM(C109)&amp;" ")-1),",","."),"."),LEFT(SUBSTITUTE(LEFT(TRIM(C109),FIND(" ",TRIM(C109)&amp;" ")-1),",","."),FIND("/",SUBSTITUTE(LEFT(TRIM(C109),FIND(" ",TRIM(C109)&amp;" ")-1),",","."))-1)/MID(SUBSTITUTE(LEFT(TRIM(C109),FIND(" ",TRIM(C109)&amp;" ")-1),",","."),FIND("/",SUBSTITUTE(LEFT(TRIM(C109),FIND(" ",TRIM(C109)&amp;" ")-1),",","."))+1,9))*12/52,IF(ISNUMBER(SEARCH("month",C109)),IFERROR(_xlfn.NUMBERVALUE(SUBSTITUTE(LEFT(TRIM(C109),FIND(" ",TRIM(C109)&amp;" ")-1),",","."),"."),LEFT(SUBSTITUTE(LEFT(TRIM(C109),FIND(" ",TRIM(C109)&amp;" ")-1),",","."),FIND("/",SUBSTITUTE(LEFT(TRIM(C109),FIND(" ",TRIM(C109)&amp;" ")-1),",","."))-1)/MID(SUBSTITUTE(LEFT(TRIM(C109),FIND(" ",TRIM(C109)&amp;" ")-1),",","."),FIND("/",SUBSTITUTE(LEFT(TRIM(C109),FIND(" ",TRIM(C109)&amp;" ")-1),",","."))+1,9)),IF(ISNUMBER(SEARCH("yea",C109)),IFERROR(_xlfn.NUMBERVALUE(SUBSTITUTE(LEFT(TRIM(C109),FIND(" ",TRIM(C109)&amp;" ")-1),",","."),"."),LEFT(SUBSTITUTE(LEFT(TRIM(C109),FIND(" ",TRIM(C109)&amp;" ")-1),",","."),FIND("/",SUBSTITUTE(LEFT(TRIM(C109),FIND(" ",TRIM(C109)&amp;" ")-1),",","."))-1)/MID(SUBSTITUTE(LEFT(TRIM(C109),FIND(" ",TRIM(C109)&amp;" ")-1),",","."),FIND("/",SUBSTITUTE(LEFT(TRIM(C109),FIND(" ",TRIM(C109)&amp;" ")-1),",","."))+1,9))*12,NA()))),0),12)*'Aturan &amp; Tarif'!$B$4,2)</f>
        <v>681.36</v>
      </c>
      <c r="K109" s="32" t="n">
        <f aca="false">'Aturan &amp; Tarif'!$B$5</f>
        <v>2050</v>
      </c>
      <c r="L109" s="32" t="n">
        <f aca="false">'Aturan &amp; Tarif'!$B$6</f>
        <v>350</v>
      </c>
      <c r="M109" s="35" t="n">
        <f aca="false">I109+J109+K109+L109</f>
        <v>20806.36</v>
      </c>
      <c r="N109" s="36" t="s">
        <v>294</v>
      </c>
    </row>
    <row r="110" customFormat="false" ht="106.5" hidden="false" customHeight="true" outlineLevel="0" collapsed="false">
      <c r="A110" s="29"/>
      <c r="B110" s="30" t="s">
        <v>312</v>
      </c>
      <c r="C110" s="31" t="s">
        <v>130</v>
      </c>
      <c r="D110" s="31" t="s">
        <v>108</v>
      </c>
      <c r="E110" s="32" t="n">
        <v>3812.5</v>
      </c>
      <c r="F110" s="32"/>
      <c r="G110" s="32"/>
      <c r="H110" s="33" t="n">
        <v>2</v>
      </c>
      <c r="I110" s="34" t="n">
        <f aca="false">E110*H110+N(F110)+N(G110)</f>
        <v>7625</v>
      </c>
      <c r="J110" s="32" t="n">
        <f aca="false">ROUND(IFERROR(ROUND(IF(OR(ISNUMBER(SEARCH("week",C110)),ISNUMBER(SEARCH("minggu",C110))),IFERROR(_xlfn.NUMBERVALUE(SUBSTITUTE(LEFT(TRIM(C110),FIND(" ",TRIM(C110)&amp;" ")-1),",","."),"."),LEFT(SUBSTITUTE(LEFT(TRIM(C110),FIND(" ",TRIM(C110)&amp;" ")-1),",","."),FIND("/",SUBSTITUTE(LEFT(TRIM(C110),FIND(" ",TRIM(C110)&amp;" ")-1),",","."))-1)/MID(SUBSTITUTE(LEFT(TRIM(C110),FIND(" ",TRIM(C110)&amp;" ")-1),",","."),FIND("/",SUBSTITUTE(LEFT(TRIM(C110),FIND(" ",TRIM(C110)&amp;" ")-1),",","."))+1,9))*12/52,IF(ISNUMBER(SEARCH("month",C110)),IFERROR(_xlfn.NUMBERVALUE(SUBSTITUTE(LEFT(TRIM(C110),FIND(" ",TRIM(C110)&amp;" ")-1),",","."),"."),LEFT(SUBSTITUTE(LEFT(TRIM(C110),FIND(" ",TRIM(C110)&amp;" ")-1),",","."),FIND("/",SUBSTITUTE(LEFT(TRIM(C110),FIND(" ",TRIM(C110)&amp;" ")-1),",","."))-1)/MID(SUBSTITUTE(LEFT(TRIM(C110),FIND(" ",TRIM(C110)&amp;" ")-1),",","."),FIND("/",SUBSTITUTE(LEFT(TRIM(C110),FIND(" ",TRIM(C110)&amp;" ")-1),",","."))+1,9)),IF(ISNUMBER(SEARCH("yea",C110)),IFERROR(_xlfn.NUMBERVALUE(SUBSTITUTE(LEFT(TRIM(C110),FIND(" ",TRIM(C110)&amp;" ")-1),",","."),"."),LEFT(SUBSTITUTE(LEFT(TRIM(C110),FIND(" ",TRIM(C110)&amp;" ")-1),",","."),FIND("/",SUBSTITUTE(LEFT(TRIM(C110),FIND(" ",TRIM(C110)&amp;" ")-1),",","."))-1)/MID(SUBSTITUTE(LEFT(TRIM(C110),FIND(" ",TRIM(C110)&amp;" ")-1),",","."),FIND("/",SUBSTITUTE(LEFT(TRIM(C110),FIND(" ",TRIM(C110)&amp;" ")-1),",","."))+1,9))*12,NA()))),0),12)*'Aturan &amp; Tarif'!$B$4,2)</f>
        <v>681.36</v>
      </c>
      <c r="K110" s="32" t="n">
        <f aca="false">'Aturan &amp; Tarif'!$B$5</f>
        <v>2050</v>
      </c>
      <c r="L110" s="32" t="n">
        <f aca="false">'Aturan &amp; Tarif'!$B$6</f>
        <v>350</v>
      </c>
      <c r="M110" s="35" t="n">
        <f aca="false">I110+J110+K110+L110</f>
        <v>10706.36</v>
      </c>
      <c r="N110" s="36" t="s">
        <v>296</v>
      </c>
    </row>
    <row r="111" customFormat="false" ht="106.5" hidden="false" customHeight="true" outlineLevel="0" collapsed="false">
      <c r="A111" s="29"/>
      <c r="B111" s="30" t="s">
        <v>313</v>
      </c>
      <c r="C111" s="31" t="s">
        <v>130</v>
      </c>
      <c r="D111" s="31" t="s">
        <v>108</v>
      </c>
      <c r="E111" s="32" t="n">
        <v>10487.5</v>
      </c>
      <c r="F111" s="32"/>
      <c r="G111" s="32"/>
      <c r="H111" s="33" t="n">
        <v>2</v>
      </c>
      <c r="I111" s="34" t="n">
        <f aca="false">E111*H111+N(F111)+N(G111)</f>
        <v>20975</v>
      </c>
      <c r="J111" s="32" t="n">
        <f aca="false">ROUND(IFERROR(ROUND(IF(OR(ISNUMBER(SEARCH("week",C111)),ISNUMBER(SEARCH("minggu",C111))),IFERROR(_xlfn.NUMBERVALUE(SUBSTITUTE(LEFT(TRIM(C111),FIND(" ",TRIM(C111)&amp;" ")-1),",","."),"."),LEFT(SUBSTITUTE(LEFT(TRIM(C111),FIND(" ",TRIM(C111)&amp;" ")-1),",","."),FIND("/",SUBSTITUTE(LEFT(TRIM(C111),FIND(" ",TRIM(C111)&amp;" ")-1),",","."))-1)/MID(SUBSTITUTE(LEFT(TRIM(C111),FIND(" ",TRIM(C111)&amp;" ")-1),",","."),FIND("/",SUBSTITUTE(LEFT(TRIM(C111),FIND(" ",TRIM(C111)&amp;" ")-1),",","."))+1,9))*12/52,IF(ISNUMBER(SEARCH("month",C111)),IFERROR(_xlfn.NUMBERVALUE(SUBSTITUTE(LEFT(TRIM(C111),FIND(" ",TRIM(C111)&amp;" ")-1),",","."),"."),LEFT(SUBSTITUTE(LEFT(TRIM(C111),FIND(" ",TRIM(C111)&amp;" ")-1),",","."),FIND("/",SUBSTITUTE(LEFT(TRIM(C111),FIND(" ",TRIM(C111)&amp;" ")-1),",","."))-1)/MID(SUBSTITUTE(LEFT(TRIM(C111),FIND(" ",TRIM(C111)&amp;" ")-1),",","."),FIND("/",SUBSTITUTE(LEFT(TRIM(C111),FIND(" ",TRIM(C111)&amp;" ")-1),",","."))+1,9)),IF(ISNUMBER(SEARCH("yea",C111)),IFERROR(_xlfn.NUMBERVALUE(SUBSTITUTE(LEFT(TRIM(C111),FIND(" ",TRIM(C111)&amp;" ")-1),",","."),"."),LEFT(SUBSTITUTE(LEFT(TRIM(C111),FIND(" ",TRIM(C111)&amp;" ")-1),",","."),FIND("/",SUBSTITUTE(LEFT(TRIM(C111),FIND(" ",TRIM(C111)&amp;" ")-1),",","."))-1)/MID(SUBSTITUTE(LEFT(TRIM(C111),FIND(" ",TRIM(C111)&amp;" ")-1),",","."),FIND("/",SUBSTITUTE(LEFT(TRIM(C111),FIND(" ",TRIM(C111)&amp;" ")-1),",","."))+1,9))*12,NA()))),0),12)*'Aturan &amp; Tarif'!$B$4,2)</f>
        <v>681.36</v>
      </c>
      <c r="K111" s="32" t="n">
        <f aca="false">'Aturan &amp; Tarif'!$B$5</f>
        <v>2050</v>
      </c>
      <c r="L111" s="32" t="n">
        <f aca="false">'Aturan &amp; Tarif'!$B$6</f>
        <v>350</v>
      </c>
      <c r="M111" s="35" t="n">
        <f aca="false">I111+J111+K111+L111</f>
        <v>24056.36</v>
      </c>
      <c r="N111" s="36" t="s">
        <v>314</v>
      </c>
    </row>
    <row r="113" customFormat="false" ht="12.75" hidden="false" customHeight="true" outlineLevel="0" collapsed="false">
      <c r="A113" s="38" t="s">
        <v>117</v>
      </c>
    </row>
    <row r="114" customFormat="false" ht="12.75" hidden="false" customHeight="true" outlineLevel="0" collapsed="false">
      <c r="A114" s="38" t="s">
        <v>118</v>
      </c>
    </row>
    <row r="115" customFormat="false" ht="12.75" hidden="false" customHeight="true" outlineLevel="0" collapsed="false">
      <c r="A115" s="38" t="s">
        <v>119</v>
      </c>
    </row>
    <row r="116" customFormat="false" ht="12.75" hidden="false" customHeight="true" outlineLevel="0" collapsed="false">
      <c r="A116" s="38" t="s">
        <v>120</v>
      </c>
    </row>
    <row r="117" customFormat="false" ht="12.75" hidden="false" customHeight="true" outlineLevel="0" collapsed="false">
      <c r="A117" s="38" t="s">
        <v>121</v>
      </c>
    </row>
    <row r="118" customFormat="false" ht="12.75" hidden="false" customHeight="true" outlineLevel="0" collapsed="false">
      <c r="A118" s="38" t="s">
        <v>122</v>
      </c>
    </row>
    <row r="119" customFormat="false" ht="12.75" hidden="false" customHeight="true" outlineLevel="0" collapsed="false">
      <c r="A119" s="38" t="s">
        <v>123</v>
      </c>
    </row>
  </sheetData>
  <autoFilter ref="A5:N111"/>
  <conditionalFormatting sqref="J6:J111">
    <cfRule type="expression" priority="2" aboveAverage="0" equalAverage="0" bottom="0" percent="0" rank="0" text="" dxfId="6">
      <formula>AND($E6&lt;&gt;"",OR(ISERROR(ROUND(IF(OR(ISNUMBER(SEARCH("week",C6)),ISNUMBER(SEARCH("minggu",C6))),IFERROR(_xlfn.NUMBERVALUE(SUBSTITUTE(LEFT(TRIM(C6),FIND("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")-1),",","."))+1,9))*12,NA()))),0)&lt;1,1),IFERROR(ROUND(IF(OR(ISNUMBER(SEARCH("week",C6)),ISNUMBER(SEARCH("minggu",C6))),IFERROR(_xlfn.NUMBERVALUE(SUBSTITUTE(LEFT(TRIM(C6),FIND("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")-1),",","."))+1,9))*12,NA()))),0)&gt;96,1)))</formula>
    </cfRule>
  </conditionalFormatting>
  <printOptions headings="false" gridLines="false" gridLinesSet="true" horizontalCentered="true" verticalCentered="false"/>
  <pageMargins left="0.3" right="0.3" top="0.5" bottom="0.5" header="0.2" footer="0.2"/>
  <pageSetup paperSize="9" scale="100" fitToWidth="1" fitToHeight="0" pageOrder="downThenOver" orientation="landscape" blackAndWhite="false" draft="false" cellComments="none" horizontalDpi="300" verticalDpi="300" copies="1"/>
  <headerFooter differentFirst="false" differentOddEven="false">
    <oddHeader>&amp;R&amp;8 OFFSHORE - TASMANIA HOBART</oddHeader>
    <oddFooter>&amp;L&amp;8 TEG Pricelist - harga bisa berubah sewaktu-waktu&amp;R&amp;8 Halaman &amp;P dari &amp;N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58"/>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2" min="2" style="1" width="55"/>
    <col collapsed="false" customWidth="true" hidden="false" outlineLevel="0" max="3" min="3" style="1" width="14"/>
    <col collapsed="false" customWidth="true" hidden="false" outlineLevel="0" max="4" min="4" style="1" width="11"/>
    <col collapsed="false" customWidth="true" hidden="false" outlineLevel="0" max="5" min="5" style="1" width="12"/>
    <col collapsed="false" customWidth="true" hidden="false" outlineLevel="0" max="8" min="6" style="1" width="11"/>
    <col collapsed="false" customWidth="true" hidden="false" outlineLevel="0" max="9" min="9" style="1" width="15"/>
    <col collapsed="false" customWidth="true" hidden="false" outlineLevel="0" max="10" min="10" style="1" width="12"/>
    <col collapsed="false" customWidth="true" hidden="false" outlineLevel="0" max="12" min="11" style="1" width="10"/>
    <col collapsed="false" customWidth="true" hidden="false" outlineLevel="0" max="13" min="13" style="1" width="15"/>
    <col collapsed="false" customWidth="true" hidden="false" outlineLevel="0" max="14" min="14" style="1" width="110"/>
    <col collapsed="false" customWidth="true" hidden="false" outlineLevel="0" max="44" min="15" style="1" width="9"/>
  </cols>
  <sheetData>
    <row r="1" customFormat="false" ht="17.25" hidden="false" customHeight="true" outlineLevel="0" collapsed="false">
      <c r="A1" s="14" t="s">
        <v>315</v>
      </c>
    </row>
    <row r="2" customFormat="false" ht="15" hidden="false" customHeight="true" outlineLevel="0" collapsed="false">
      <c r="A2" s="25" t="s">
        <v>91</v>
      </c>
    </row>
    <row r="3" customFormat="false" ht="15" hidden="false" customHeight="true" outlineLevel="0" collapsed="false">
      <c r="A3" s="26" t="s">
        <v>92</v>
      </c>
    </row>
    <row r="5" customFormat="false" ht="36" hidden="false" customHeight="true" outlineLevel="0" collapsed="false">
      <c r="A5" s="27" t="s">
        <v>93</v>
      </c>
      <c r="B5" s="27" t="s">
        <v>94</v>
      </c>
      <c r="C5" s="27" t="s">
        <v>95</v>
      </c>
      <c r="D5" s="27" t="s">
        <v>96</v>
      </c>
      <c r="E5" s="27" t="s">
        <v>97</v>
      </c>
      <c r="F5" s="27" t="s">
        <v>98</v>
      </c>
      <c r="G5" s="27" t="s">
        <v>99</v>
      </c>
      <c r="H5" s="27" t="s">
        <v>100</v>
      </c>
      <c r="I5" s="27" t="s">
        <v>101</v>
      </c>
      <c r="J5" s="27" t="s">
        <v>10</v>
      </c>
      <c r="K5" s="27" t="s">
        <v>102</v>
      </c>
      <c r="L5" s="27" t="s">
        <v>103</v>
      </c>
      <c r="M5" s="27" t="s">
        <v>104</v>
      </c>
      <c r="N5" s="28" t="s">
        <v>14</v>
      </c>
    </row>
    <row r="6" customFormat="false" ht="48.75" hidden="false" customHeight="true" outlineLevel="0" collapsed="false">
      <c r="A6" s="39" t="s">
        <v>316</v>
      </c>
      <c r="B6" s="40" t="s">
        <v>317</v>
      </c>
      <c r="C6" s="41" t="s">
        <v>127</v>
      </c>
      <c r="D6" s="41" t="s">
        <v>108</v>
      </c>
      <c r="E6" s="42" t="n">
        <v>8742</v>
      </c>
      <c r="F6" s="42"/>
      <c r="G6" s="42"/>
      <c r="H6" s="43" t="n">
        <v>2</v>
      </c>
      <c r="I6" s="34" t="n">
        <f aca="false">E6*H6+N(F6)+N(G6)</f>
        <v>17484</v>
      </c>
      <c r="J6" s="42" t="n">
        <f aca="false">ROUND(IFERROR(ROUND(IF(OR(ISNUMBER(SEARCH("week",C6)),ISNUMBER(SEARCH("minggu",C6))),IFERROR(_xlfn.NUMBERVALUE(SUBSTITUTE(LEFT(TRIM(C6),FIND("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")-1),",","."))+1,9))*12,NA()))),0),36)*'Aturan &amp; Tarif'!$B$4,2)</f>
        <v>2044.08</v>
      </c>
      <c r="K6" s="42" t="n">
        <f aca="false">'Aturan &amp; Tarif'!$B$5</f>
        <v>2050</v>
      </c>
      <c r="L6" s="42" t="n">
        <f aca="false">'Aturan &amp; Tarif'!$B$6</f>
        <v>350</v>
      </c>
      <c r="M6" s="35" t="n">
        <f aca="false">I6+J6+K6+L6</f>
        <v>21928.08</v>
      </c>
      <c r="N6" s="45" t="s">
        <v>318</v>
      </c>
    </row>
    <row r="7" customFormat="false" ht="14.25" hidden="false" customHeight="true" outlineLevel="0" collapsed="false">
      <c r="A7" s="39"/>
      <c r="B7" s="40" t="s">
        <v>319</v>
      </c>
      <c r="C7" s="41" t="s">
        <v>191</v>
      </c>
      <c r="D7" s="41" t="s">
        <v>108</v>
      </c>
      <c r="E7" s="42" t="n">
        <v>8742</v>
      </c>
      <c r="F7" s="42"/>
      <c r="G7" s="42"/>
      <c r="H7" s="43" t="n">
        <v>2</v>
      </c>
      <c r="I7" s="34" t="n">
        <f aca="false">E7*H7+N(F7)+N(G7)</f>
        <v>17484</v>
      </c>
      <c r="J7" s="42" t="n">
        <f aca="false">ROUND(IFERROR(ROUND(IF(OR(ISNUMBER(SEARCH("week",C7)),ISNUMBER(SEARCH("minggu",C7))),IFERROR(_xlfn.NUMBERVALUE(SUBSTITUTE(LEFT(TRIM(C7),FIND(" ",TRIM(C7)&amp;" ")-1),",","."),"."),LEFT(SUBSTITUTE(LEFT(TRIM(C7),FIND(" ",TRIM(C7)&amp;" ")-1),",","."),FIND("/",SUBSTITUTE(LEFT(TRIM(C7),FIND(" ",TRIM(C7)&amp;" ")-1),",","."))-1)/MID(SUBSTITUTE(LEFT(TRIM(C7),FIND(" ",TRIM(C7)&amp;" ")-1),",","."),FIND("/",SUBSTITUTE(LEFT(TRIM(C7),FIND(" ",TRIM(C7)&amp;" ")-1),",","."))+1,9))*12/52,IF(ISNUMBER(SEARCH("month",C7)),IFERROR(_xlfn.NUMBERVALUE(SUBSTITUTE(LEFT(TRIM(C7),FIND(" ",TRIM(C7)&amp;" ")-1),",","."),"."),LEFT(SUBSTITUTE(LEFT(TRIM(C7),FIND(" ",TRIM(C7)&amp;" ")-1),",","."),FIND("/",SUBSTITUTE(LEFT(TRIM(C7),FIND(" ",TRIM(C7)&amp;" ")-1),",","."))-1)/MID(SUBSTITUTE(LEFT(TRIM(C7),FIND(" ",TRIM(C7)&amp;" ")-1),",","."),FIND("/",SUBSTITUTE(LEFT(TRIM(C7),FIND(" ",TRIM(C7)&amp;" ")-1),",","."))+1,9)),IF(ISNUMBER(SEARCH("yea",C7)),IFERROR(_xlfn.NUMBERVALUE(SUBSTITUTE(LEFT(TRIM(C7),FIND(" ",TRIM(C7)&amp;" ")-1),",","."),"."),LEFT(SUBSTITUTE(LEFT(TRIM(C7),FIND(" ",TRIM(C7)&amp;" ")-1),",","."),FIND("/",SUBSTITUTE(LEFT(TRIM(C7),FIND(" ",TRIM(C7)&amp;" ")-1),",","."))-1)/MID(SUBSTITUTE(LEFT(TRIM(C7),FIND(" ",TRIM(C7)&amp;" ")-1),",","."),FIND("/",SUBSTITUTE(LEFT(TRIM(C7),FIND(" ",TRIM(C7)&amp;" ")-1),",","."))+1,9))*12,NA()))),0),48)*'Aturan &amp; Tarif'!$B$4,2)</f>
        <v>2725.44</v>
      </c>
      <c r="K7" s="42" t="n">
        <f aca="false">'Aturan &amp; Tarif'!$B$5</f>
        <v>2050</v>
      </c>
      <c r="L7" s="42" t="n">
        <f aca="false">'Aturan &amp; Tarif'!$B$6</f>
        <v>350</v>
      </c>
      <c r="M7" s="35" t="n">
        <f aca="false">I7+J7+K7+L7</f>
        <v>22609.44</v>
      </c>
      <c r="N7" s="45" t="s">
        <v>318</v>
      </c>
    </row>
    <row r="8" customFormat="false" ht="14.25" hidden="false" customHeight="true" outlineLevel="0" collapsed="false">
      <c r="A8" s="39"/>
      <c r="B8" s="40" t="s">
        <v>320</v>
      </c>
      <c r="C8" s="41" t="s">
        <v>245</v>
      </c>
      <c r="D8" s="41" t="s">
        <v>108</v>
      </c>
      <c r="E8" s="42" t="n">
        <v>9200</v>
      </c>
      <c r="F8" s="42"/>
      <c r="G8" s="42"/>
      <c r="H8" s="43" t="n">
        <v>2</v>
      </c>
      <c r="I8" s="34" t="n">
        <f aca="false">E8*H8+N(F8)+N(G8)</f>
        <v>18400</v>
      </c>
      <c r="J8" s="42" t="n">
        <f aca="false">ROUND(IFERROR(ROUND(IF(OR(ISNUMBER(SEARCH("week",C8)),ISNUMBER(SEARCH("minggu",C8))),IFERROR(_xlfn.NUMBERVALUE(SUBSTITUTE(LEFT(TRIM(C8),FIND(" ",TRIM(C8)&amp;" ")-1),",","."),"."),LEFT(SUBSTITUTE(LEFT(TRIM(C8),FIND(" ",TRIM(C8)&amp;" ")-1),",","."),FIND("/",SUBSTITUTE(LEFT(TRIM(C8),FIND(" ",TRIM(C8)&amp;" ")-1),",","."))-1)/MID(SUBSTITUTE(LEFT(TRIM(C8),FIND(" ",TRIM(C8)&amp;" ")-1),",","."),FIND("/",SUBSTITUTE(LEFT(TRIM(C8),FIND(" ",TRIM(C8)&amp;" ")-1),",","."))+1,9))*12/52,IF(ISNUMBER(SEARCH("month",C8)),IFERROR(_xlfn.NUMBERVALUE(SUBSTITUTE(LEFT(TRIM(C8),FIND(" ",TRIM(C8)&amp;" ")-1),",","."),"."),LEFT(SUBSTITUTE(LEFT(TRIM(C8),FIND(" ",TRIM(C8)&amp;" ")-1),",","."),FIND("/",SUBSTITUTE(LEFT(TRIM(C8),FIND(" ",TRIM(C8)&amp;" ")-1),",","."))-1)/MID(SUBSTITUTE(LEFT(TRIM(C8),FIND(" ",TRIM(C8)&amp;" ")-1),",","."),FIND("/",SUBSTITUTE(LEFT(TRIM(C8),FIND(" ",TRIM(C8)&amp;" ")-1),",","."))+1,9)),IF(ISNUMBER(SEARCH("yea",C8)),IFERROR(_xlfn.NUMBERVALUE(SUBSTITUTE(LEFT(TRIM(C8),FIND(" ",TRIM(C8)&amp;" ")-1),",","."),"."),LEFT(SUBSTITUTE(LEFT(TRIM(C8),FIND(" ",TRIM(C8)&amp;" ")-1),",","."),FIND("/",SUBSTITUTE(LEFT(TRIM(C8),FIND(" ",TRIM(C8)&amp;" ")-1),",","."))-1)/MID(SUBSTITUTE(LEFT(TRIM(C8),FIND(" ",TRIM(C8)&amp;" ")-1),",","."),FIND("/",SUBSTITUTE(LEFT(TRIM(C8),FIND(" ",TRIM(C8)&amp;" ")-1),",","."))+1,9))*12,NA()))),0),60)*'Aturan &amp; Tarif'!$B$4,2)</f>
        <v>3406.8</v>
      </c>
      <c r="K8" s="42" t="n">
        <f aca="false">'Aturan &amp; Tarif'!$B$5</f>
        <v>2050</v>
      </c>
      <c r="L8" s="42" t="n">
        <f aca="false">'Aturan &amp; Tarif'!$B$6</f>
        <v>350</v>
      </c>
      <c r="M8" s="35" t="n">
        <f aca="false">I8+J8+K8+L8</f>
        <v>24206.8</v>
      </c>
      <c r="N8" s="45" t="s">
        <v>318</v>
      </c>
    </row>
    <row r="9" customFormat="false" ht="14.25" hidden="false" customHeight="true" outlineLevel="0" collapsed="false">
      <c r="A9" s="39"/>
      <c r="B9" s="40" t="s">
        <v>321</v>
      </c>
      <c r="C9" s="41" t="s">
        <v>127</v>
      </c>
      <c r="D9" s="41" t="s">
        <v>108</v>
      </c>
      <c r="E9" s="42" t="n">
        <v>8742</v>
      </c>
      <c r="F9" s="42"/>
      <c r="G9" s="42"/>
      <c r="H9" s="43" t="n">
        <v>2</v>
      </c>
      <c r="I9" s="34" t="n">
        <f aca="false">E9*H9+N(F9)+N(G9)</f>
        <v>17484</v>
      </c>
      <c r="J9" s="42" t="n">
        <f aca="false">ROUND(IFERROR(ROUND(IF(OR(ISNUMBER(SEARCH("week",C9)),ISNUMBER(SEARCH("minggu",C9))),IFERROR(_xlfn.NUMBERVALUE(SUBSTITUTE(LEFT(TRIM(C9),FIND(" ",TRIM(C9)&amp;" ")-1),",","."),"."),LEFT(SUBSTITUTE(LEFT(TRIM(C9),FIND(" ",TRIM(C9)&amp;" ")-1),",","."),FIND("/",SUBSTITUTE(LEFT(TRIM(C9),FIND(" ",TRIM(C9)&amp;" ")-1),",","."))-1)/MID(SUBSTITUTE(LEFT(TRIM(C9),FIND(" ",TRIM(C9)&amp;" ")-1),",","."),FIND("/",SUBSTITUTE(LEFT(TRIM(C9),FIND(" ",TRIM(C9)&amp;" ")-1),",","."))+1,9))*12/52,IF(ISNUMBER(SEARCH("month",C9)),IFERROR(_xlfn.NUMBERVALUE(SUBSTITUTE(LEFT(TRIM(C9),FIND(" ",TRIM(C9)&amp;" ")-1),",","."),"."),LEFT(SUBSTITUTE(LEFT(TRIM(C9),FIND(" ",TRIM(C9)&amp;" ")-1),",","."),FIND("/",SUBSTITUTE(LEFT(TRIM(C9),FIND(" ",TRIM(C9)&amp;" ")-1),",","."))-1)/MID(SUBSTITUTE(LEFT(TRIM(C9),FIND(" ",TRIM(C9)&amp;" ")-1),",","."),FIND("/",SUBSTITUTE(LEFT(TRIM(C9),FIND(" ",TRIM(C9)&amp;" ")-1),",","."))+1,9)),IF(ISNUMBER(SEARCH("yea",C9)),IFERROR(_xlfn.NUMBERVALUE(SUBSTITUTE(LEFT(TRIM(C9),FIND(" ",TRIM(C9)&amp;" ")-1),",","."),"."),LEFT(SUBSTITUTE(LEFT(TRIM(C9),FIND(" ",TRIM(C9)&amp;" ")-1),",","."),FIND("/",SUBSTITUTE(LEFT(TRIM(C9),FIND(" ",TRIM(C9)&amp;" ")-1),",","."))-1)/MID(SUBSTITUTE(LEFT(TRIM(C9),FIND(" ",TRIM(C9)&amp;" ")-1),",","."),FIND("/",SUBSTITUTE(LEFT(TRIM(C9),FIND(" ",TRIM(C9)&amp;" ")-1),",","."))+1,9))*12,NA()))),0),36)*'Aturan &amp; Tarif'!$B$4,2)</f>
        <v>2044.08</v>
      </c>
      <c r="K9" s="42" t="n">
        <f aca="false">'Aturan &amp; Tarif'!$B$5</f>
        <v>2050</v>
      </c>
      <c r="L9" s="42" t="n">
        <f aca="false">'Aturan &amp; Tarif'!$B$6</f>
        <v>350</v>
      </c>
      <c r="M9" s="35" t="n">
        <f aca="false">I9+J9+K9+L9</f>
        <v>21928.08</v>
      </c>
      <c r="N9" s="45" t="s">
        <v>322</v>
      </c>
    </row>
    <row r="10" customFormat="false" ht="37.5" hidden="false" customHeight="true" outlineLevel="0" collapsed="false">
      <c r="A10" s="39"/>
      <c r="B10" s="40" t="s">
        <v>323</v>
      </c>
      <c r="C10" s="41" t="s">
        <v>245</v>
      </c>
      <c r="D10" s="41" t="s">
        <v>108</v>
      </c>
      <c r="E10" s="42" t="n">
        <v>8742</v>
      </c>
      <c r="F10" s="42"/>
      <c r="G10" s="42"/>
      <c r="H10" s="43" t="n">
        <v>2</v>
      </c>
      <c r="I10" s="34" t="n">
        <f aca="false">E10*H10+N(F10)+N(G10)</f>
        <v>17484</v>
      </c>
      <c r="J10" s="42" t="n">
        <f aca="false">ROUND(IFERROR(ROUND(IF(OR(ISNUMBER(SEARCH("week",C10)),ISNUMBER(SEARCH("minggu",C10))),IFERROR(_xlfn.NUMBERVALUE(SUBSTITUTE(LEFT(TRIM(C10),FIND(" ",TRIM(C10)&amp;" ")-1),",","."),"."),LEFT(SUBSTITUTE(LEFT(TRIM(C10),FIND(" ",TRIM(C10)&amp;" ")-1),",","."),FIND("/",SUBSTITUTE(LEFT(TRIM(C10),FIND(" ",TRIM(C10)&amp;" ")-1),",","."))-1)/MID(SUBSTITUTE(LEFT(TRIM(C10),FIND(" ",TRIM(C10)&amp;" ")-1),",","."),FIND("/",SUBSTITUTE(LEFT(TRIM(C10),FIND(" ",TRIM(C10)&amp;" ")-1),",","."))+1,9))*12/52,IF(ISNUMBER(SEARCH("month",C10)),IFERROR(_xlfn.NUMBERVALUE(SUBSTITUTE(LEFT(TRIM(C10),FIND(" ",TRIM(C10)&amp;" ")-1),",","."),"."),LEFT(SUBSTITUTE(LEFT(TRIM(C10),FIND(" ",TRIM(C10)&amp;" ")-1),",","."),FIND("/",SUBSTITUTE(LEFT(TRIM(C10),FIND(" ",TRIM(C10)&amp;" ")-1),",","."))-1)/MID(SUBSTITUTE(LEFT(TRIM(C10),FIND(" ",TRIM(C10)&amp;" ")-1),",","."),FIND("/",SUBSTITUTE(LEFT(TRIM(C10),FIND(" ",TRIM(C10)&amp;" ")-1),",","."))+1,9)),IF(ISNUMBER(SEARCH("yea",C10)),IFERROR(_xlfn.NUMBERVALUE(SUBSTITUTE(LEFT(TRIM(C10),FIND(" ",TRIM(C10)&amp;" ")-1),",","."),"."),LEFT(SUBSTITUTE(LEFT(TRIM(C10),FIND(" ",TRIM(C10)&amp;" ")-1),",","."),FIND("/",SUBSTITUTE(LEFT(TRIM(C10),FIND(" ",TRIM(C10)&amp;" ")-1),",","."))-1)/MID(SUBSTITUTE(LEFT(TRIM(C10),FIND(" ",TRIM(C10)&amp;" ")-1),",","."),FIND("/",SUBSTITUTE(LEFT(TRIM(C10),FIND(" ",TRIM(C10)&amp;" ")-1),",","."))+1,9))*12,NA()))),0),60)*'Aturan &amp; Tarif'!$B$4,2)</f>
        <v>3406.8</v>
      </c>
      <c r="K10" s="42" t="n">
        <f aca="false">'Aturan &amp; Tarif'!$B$5</f>
        <v>2050</v>
      </c>
      <c r="L10" s="42" t="n">
        <f aca="false">'Aturan &amp; Tarif'!$B$6</f>
        <v>350</v>
      </c>
      <c r="M10" s="35" t="n">
        <f aca="false">I10+J10+K10+L10</f>
        <v>23290.8</v>
      </c>
      <c r="N10" s="44" t="s">
        <v>324</v>
      </c>
    </row>
    <row r="11" customFormat="false" ht="14.25" hidden="false" customHeight="true" outlineLevel="0" collapsed="false">
      <c r="A11" s="39"/>
      <c r="B11" s="40" t="s">
        <v>325</v>
      </c>
      <c r="C11" s="41" t="s">
        <v>127</v>
      </c>
      <c r="D11" s="41" t="s">
        <v>108</v>
      </c>
      <c r="E11" s="42" t="n">
        <v>8742</v>
      </c>
      <c r="F11" s="42"/>
      <c r="G11" s="42"/>
      <c r="H11" s="43" t="n">
        <v>2</v>
      </c>
      <c r="I11" s="34" t="n">
        <f aca="false">E11*H11+N(F11)+N(G11)</f>
        <v>17484</v>
      </c>
      <c r="J11" s="42" t="n">
        <f aca="false">ROUND(IFERROR(ROUND(IF(OR(ISNUMBER(SEARCH("week",C11)),ISNUMBER(SEARCH("minggu",C11))),IFERROR(_xlfn.NUMBERVALUE(SUBSTITUTE(LEFT(TRIM(C11),FIND(" ",TRIM(C11)&amp;" ")-1),",","."),"."),LEFT(SUBSTITUTE(LEFT(TRIM(C11),FIND(" ",TRIM(C11)&amp;" ")-1),",","."),FIND("/",SUBSTITUTE(LEFT(TRIM(C11),FIND(" ",TRIM(C11)&amp;" ")-1),",","."))-1)/MID(SUBSTITUTE(LEFT(TRIM(C11),FIND(" ",TRIM(C11)&amp;" ")-1),",","."),FIND("/",SUBSTITUTE(LEFT(TRIM(C11),FIND(" ",TRIM(C11)&amp;" ")-1),",","."))+1,9))*12/52,IF(ISNUMBER(SEARCH("month",C11)),IFERROR(_xlfn.NUMBERVALUE(SUBSTITUTE(LEFT(TRIM(C11),FIND(" ",TRIM(C11)&amp;" ")-1),",","."),"."),LEFT(SUBSTITUTE(LEFT(TRIM(C11),FIND(" ",TRIM(C11)&amp;" ")-1),",","."),FIND("/",SUBSTITUTE(LEFT(TRIM(C11),FIND(" ",TRIM(C11)&amp;" ")-1),",","."))-1)/MID(SUBSTITUTE(LEFT(TRIM(C11),FIND(" ",TRIM(C11)&amp;" ")-1),",","."),FIND("/",SUBSTITUTE(LEFT(TRIM(C11),FIND(" ",TRIM(C11)&amp;" ")-1),",","."))+1,9)),IF(ISNUMBER(SEARCH("yea",C11)),IFERROR(_xlfn.NUMBERVALUE(SUBSTITUTE(LEFT(TRIM(C11),FIND(" ",TRIM(C11)&amp;" ")-1),",","."),"."),LEFT(SUBSTITUTE(LEFT(TRIM(C11),FIND(" ",TRIM(C11)&amp;" ")-1),",","."),FIND("/",SUBSTITUTE(LEFT(TRIM(C11),FIND(" ",TRIM(C11)&amp;" ")-1),",","."))-1)/MID(SUBSTITUTE(LEFT(TRIM(C11),FIND(" ",TRIM(C11)&amp;" ")-1),",","."),FIND("/",SUBSTITUTE(LEFT(TRIM(C11),FIND(" ",TRIM(C11)&amp;" ")-1),",","."))+1,9))*12,NA()))),0),36)*'Aturan &amp; Tarif'!$B$4,2)</f>
        <v>2044.08</v>
      </c>
      <c r="K11" s="42" t="n">
        <f aca="false">'Aturan &amp; Tarif'!$B$5</f>
        <v>2050</v>
      </c>
      <c r="L11" s="42" t="n">
        <f aca="false">'Aturan &amp; Tarif'!$B$6</f>
        <v>350</v>
      </c>
      <c r="M11" s="35" t="n">
        <f aca="false">I11+J11+K11+L11</f>
        <v>21928.08</v>
      </c>
      <c r="N11" s="45" t="s">
        <v>322</v>
      </c>
    </row>
    <row r="12" customFormat="false" ht="14.25" hidden="false" customHeight="true" outlineLevel="0" collapsed="false">
      <c r="A12" s="39"/>
      <c r="B12" s="40" t="s">
        <v>326</v>
      </c>
      <c r="C12" s="41" t="s">
        <v>245</v>
      </c>
      <c r="D12" s="41" t="s">
        <v>108</v>
      </c>
      <c r="E12" s="42" t="n">
        <v>9200</v>
      </c>
      <c r="F12" s="42"/>
      <c r="G12" s="42"/>
      <c r="H12" s="43" t="n">
        <v>2</v>
      </c>
      <c r="I12" s="34" t="n">
        <f aca="false">E12*H12+N(F12)+N(G12)</f>
        <v>18400</v>
      </c>
      <c r="J12" s="42" t="n">
        <f aca="false">ROUND(IFERROR(ROUND(IF(OR(ISNUMBER(SEARCH("week",C12)),ISNUMBER(SEARCH("minggu",C12))),IFERROR(_xlfn.NUMBERVALUE(SUBSTITUTE(LEFT(TRIM(C12),FIND(" ",TRIM(C12)&amp;" ")-1),",","."),"."),LEFT(SUBSTITUTE(LEFT(TRIM(C12),FIND(" ",TRIM(C12)&amp;" ")-1),",","."),FIND("/",SUBSTITUTE(LEFT(TRIM(C12),FIND(" ",TRIM(C12)&amp;" ")-1),",","."))-1)/MID(SUBSTITUTE(LEFT(TRIM(C12),FIND(" ",TRIM(C12)&amp;" ")-1),",","."),FIND("/",SUBSTITUTE(LEFT(TRIM(C12),FIND(" ",TRIM(C12)&amp;" ")-1),",","."))+1,9))*12/52,IF(ISNUMBER(SEARCH("month",C12)),IFERROR(_xlfn.NUMBERVALUE(SUBSTITUTE(LEFT(TRIM(C12),FIND(" ",TRIM(C12)&amp;" ")-1),",","."),"."),LEFT(SUBSTITUTE(LEFT(TRIM(C12),FIND(" ",TRIM(C12)&amp;" ")-1),",","."),FIND("/",SUBSTITUTE(LEFT(TRIM(C12),FIND(" ",TRIM(C12)&amp;" ")-1),",","."))-1)/MID(SUBSTITUTE(LEFT(TRIM(C12),FIND(" ",TRIM(C12)&amp;" ")-1),",","."),FIND("/",SUBSTITUTE(LEFT(TRIM(C12),FIND(" ",TRIM(C12)&amp;" ")-1),",","."))+1,9)),IF(ISNUMBER(SEARCH("yea",C12)),IFERROR(_xlfn.NUMBERVALUE(SUBSTITUTE(LEFT(TRIM(C12),FIND(" ",TRIM(C12)&amp;" ")-1),",","."),"."),LEFT(SUBSTITUTE(LEFT(TRIM(C12),FIND(" ",TRIM(C12)&amp;" ")-1),",","."),FIND("/",SUBSTITUTE(LEFT(TRIM(C12),FIND(" ",TRIM(C12)&amp;" ")-1),",","."))-1)/MID(SUBSTITUTE(LEFT(TRIM(C12),FIND(" ",TRIM(C12)&amp;" ")-1),",","."),FIND("/",SUBSTITUTE(LEFT(TRIM(C12),FIND(" ",TRIM(C12)&amp;" ")-1),",","."))+1,9))*12,NA()))),0),60)*'Aturan &amp; Tarif'!$B$4,2)</f>
        <v>3406.8</v>
      </c>
      <c r="K12" s="42" t="n">
        <f aca="false">'Aturan &amp; Tarif'!$B$5</f>
        <v>2050</v>
      </c>
      <c r="L12" s="42" t="n">
        <f aca="false">'Aturan &amp; Tarif'!$B$6</f>
        <v>350</v>
      </c>
      <c r="M12" s="35" t="n">
        <f aca="false">I12+J12+K12+L12</f>
        <v>24206.8</v>
      </c>
      <c r="N12" s="45" t="s">
        <v>318</v>
      </c>
    </row>
    <row r="13" customFormat="false" ht="60" hidden="false" customHeight="true" outlineLevel="0" collapsed="false">
      <c r="A13" s="39"/>
      <c r="B13" s="40" t="s">
        <v>327</v>
      </c>
      <c r="C13" s="41" t="s">
        <v>127</v>
      </c>
      <c r="D13" s="41" t="s">
        <v>108</v>
      </c>
      <c r="E13" s="42" t="n">
        <v>9750</v>
      </c>
      <c r="F13" s="42"/>
      <c r="G13" s="42"/>
      <c r="H13" s="43" t="n">
        <v>2</v>
      </c>
      <c r="I13" s="34" t="n">
        <f aca="false">E13*H13+N(F13)+N(G13)</f>
        <v>19500</v>
      </c>
      <c r="J13" s="42" t="n">
        <f aca="false">ROUND(IFERROR(ROUND(IF(OR(ISNUMBER(SEARCH("week",C13)),ISNUMBER(SEARCH("minggu",C13))),IFERROR(_xlfn.NUMBERVALUE(SUBSTITUTE(LEFT(TRIM(C13),FIND(" ",TRIM(C13)&amp;" ")-1),",","."),"."),LEFT(SUBSTITUTE(LEFT(TRIM(C13),FIND(" ",TRIM(C13)&amp;" ")-1),",","."),FIND("/",SUBSTITUTE(LEFT(TRIM(C13),FIND(" ",TRIM(C13)&amp;" ")-1),",","."))-1)/MID(SUBSTITUTE(LEFT(TRIM(C13),FIND(" ",TRIM(C13)&amp;" ")-1),",","."),FIND("/",SUBSTITUTE(LEFT(TRIM(C13),FIND(" ",TRIM(C13)&amp;" ")-1),",","."))+1,9))*12/52,IF(ISNUMBER(SEARCH("month",C13)),IFERROR(_xlfn.NUMBERVALUE(SUBSTITUTE(LEFT(TRIM(C13),FIND(" ",TRIM(C13)&amp;" ")-1),",","."),"."),LEFT(SUBSTITUTE(LEFT(TRIM(C13),FIND(" ",TRIM(C13)&amp;" ")-1),",","."),FIND("/",SUBSTITUTE(LEFT(TRIM(C13),FIND(" ",TRIM(C13)&amp;" ")-1),",","."))-1)/MID(SUBSTITUTE(LEFT(TRIM(C13),FIND(" ",TRIM(C13)&amp;" ")-1),",","."),FIND("/",SUBSTITUTE(LEFT(TRIM(C13),FIND(" ",TRIM(C13)&amp;" ")-1),",","."))+1,9)),IF(ISNUMBER(SEARCH("yea",C13)),IFERROR(_xlfn.NUMBERVALUE(SUBSTITUTE(LEFT(TRIM(C13),FIND(" ",TRIM(C13)&amp;" ")-1),",","."),"."),LEFT(SUBSTITUTE(LEFT(TRIM(C13),FIND(" ",TRIM(C13)&amp;" ")-1),",","."),FIND("/",SUBSTITUTE(LEFT(TRIM(C13),FIND(" ",TRIM(C13)&amp;" ")-1),",","."))-1)/MID(SUBSTITUTE(LEFT(TRIM(C13),FIND(" ",TRIM(C13)&amp;" ")-1),",","."),FIND("/",SUBSTITUTE(LEFT(TRIM(C13),FIND(" ",TRIM(C13)&amp;" ")-1),",","."))+1,9))*12,NA()))),0),36)*'Aturan &amp; Tarif'!$B$4,2)</f>
        <v>2044.08</v>
      </c>
      <c r="K13" s="42" t="n">
        <f aca="false">'Aturan &amp; Tarif'!$B$5</f>
        <v>2050</v>
      </c>
      <c r="L13" s="42" t="n">
        <f aca="false">'Aturan &amp; Tarif'!$B$6</f>
        <v>350</v>
      </c>
      <c r="M13" s="35" t="n">
        <f aca="false">I13+J13+K13+L13</f>
        <v>23944.08</v>
      </c>
      <c r="N13" s="44" t="s">
        <v>328</v>
      </c>
    </row>
    <row r="14" customFormat="false" ht="25.5" hidden="false" customHeight="true" outlineLevel="0" collapsed="false">
      <c r="A14" s="39"/>
      <c r="B14" s="40" t="s">
        <v>329</v>
      </c>
      <c r="C14" s="41" t="s">
        <v>191</v>
      </c>
      <c r="D14" s="41" t="s">
        <v>108</v>
      </c>
      <c r="E14" s="42" t="n">
        <v>9750</v>
      </c>
      <c r="F14" s="42"/>
      <c r="G14" s="42"/>
      <c r="H14" s="43" t="n">
        <v>2</v>
      </c>
      <c r="I14" s="34" t="n">
        <f aca="false">E14*H14+N(F14)+N(G14)</f>
        <v>19500</v>
      </c>
      <c r="J14" s="42" t="n">
        <f aca="false">ROUND(IFERROR(ROUND(IF(OR(ISNUMBER(SEARCH("week",C14)),ISNUMBER(SEARCH("minggu",C14))),IFERROR(_xlfn.NUMBERVALUE(SUBSTITUTE(LEFT(TRIM(C14),FIND(" ",TRIM(C14)&amp;" ")-1),",","."),"."),LEFT(SUBSTITUTE(LEFT(TRIM(C14),FIND(" ",TRIM(C14)&amp;" ")-1),",","."),FIND("/",SUBSTITUTE(LEFT(TRIM(C14),FIND(" ",TRIM(C14)&amp;" ")-1),",","."))-1)/MID(SUBSTITUTE(LEFT(TRIM(C14),FIND(" ",TRIM(C14)&amp;" ")-1),",","."),FIND("/",SUBSTITUTE(LEFT(TRIM(C14),FIND(" ",TRIM(C14)&amp;" ")-1),",","."))+1,9))*12/52,IF(ISNUMBER(SEARCH("month",C14)),IFERROR(_xlfn.NUMBERVALUE(SUBSTITUTE(LEFT(TRIM(C14),FIND(" ",TRIM(C14)&amp;" ")-1),",","."),"."),LEFT(SUBSTITUTE(LEFT(TRIM(C14),FIND(" ",TRIM(C14)&amp;" ")-1),",","."),FIND("/",SUBSTITUTE(LEFT(TRIM(C14),FIND(" ",TRIM(C14)&amp;" ")-1),",","."))-1)/MID(SUBSTITUTE(LEFT(TRIM(C14),FIND(" ",TRIM(C14)&amp;" ")-1),",","."),FIND("/",SUBSTITUTE(LEFT(TRIM(C14),FIND(" ",TRIM(C14)&amp;" ")-1),",","."))+1,9)),IF(ISNUMBER(SEARCH("yea",C14)),IFERROR(_xlfn.NUMBERVALUE(SUBSTITUTE(LEFT(TRIM(C14),FIND(" ",TRIM(C14)&amp;" ")-1),",","."),"."),LEFT(SUBSTITUTE(LEFT(TRIM(C14),FIND(" ",TRIM(C14)&amp;" ")-1),",","."),FIND("/",SUBSTITUTE(LEFT(TRIM(C14),FIND(" ",TRIM(C14)&amp;" ")-1),",","."))-1)/MID(SUBSTITUTE(LEFT(TRIM(C14),FIND(" ",TRIM(C14)&amp;" ")-1),",","."),FIND("/",SUBSTITUTE(LEFT(TRIM(C14),FIND(" ",TRIM(C14)&amp;" ")-1),",","."))+1,9))*12,NA()))),0),48)*'Aturan &amp; Tarif'!$B$4,2)</f>
        <v>2725.44</v>
      </c>
      <c r="K14" s="42" t="n">
        <f aca="false">'Aturan &amp; Tarif'!$B$5</f>
        <v>2050</v>
      </c>
      <c r="L14" s="42" t="n">
        <f aca="false">'Aturan &amp; Tarif'!$B$6</f>
        <v>350</v>
      </c>
      <c r="M14" s="35" t="n">
        <f aca="false">I14+J14+K14+L14</f>
        <v>24625.44</v>
      </c>
      <c r="N14" s="45" t="s">
        <v>318</v>
      </c>
    </row>
    <row r="15" customFormat="false" ht="25.5" hidden="false" customHeight="true" outlineLevel="0" collapsed="false">
      <c r="A15" s="39"/>
      <c r="B15" s="40" t="s">
        <v>330</v>
      </c>
      <c r="C15" s="41" t="s">
        <v>127</v>
      </c>
      <c r="D15" s="41" t="s">
        <v>108</v>
      </c>
      <c r="E15" s="42" t="n">
        <v>9200</v>
      </c>
      <c r="F15" s="42"/>
      <c r="G15" s="42"/>
      <c r="H15" s="43" t="n">
        <v>2</v>
      </c>
      <c r="I15" s="34" t="n">
        <f aca="false">E15*H15+N(F15)+N(G15)</f>
        <v>18400</v>
      </c>
      <c r="J15" s="42" t="n">
        <f aca="false">ROUND(IFERROR(ROUND(IF(OR(ISNUMBER(SEARCH("week",C15)),ISNUMBER(SEARCH("minggu",C15))),IFERROR(_xlfn.NUMBERVALUE(SUBSTITUTE(LEFT(TRIM(C15),FIND(" ",TRIM(C15)&amp;" ")-1),",","."),"."),LEFT(SUBSTITUTE(LEFT(TRIM(C15),FIND(" ",TRIM(C15)&amp;" ")-1),",","."),FIND("/",SUBSTITUTE(LEFT(TRIM(C15),FIND(" ",TRIM(C15)&amp;" ")-1),",","."))-1)/MID(SUBSTITUTE(LEFT(TRIM(C15),FIND(" ",TRIM(C15)&amp;" ")-1),",","."),FIND("/",SUBSTITUTE(LEFT(TRIM(C15),FIND(" ",TRIM(C15)&amp;" ")-1),",","."))+1,9))*12/52,IF(ISNUMBER(SEARCH("month",C15)),IFERROR(_xlfn.NUMBERVALUE(SUBSTITUTE(LEFT(TRIM(C15),FIND(" ",TRIM(C15)&amp;" ")-1),",","."),"."),LEFT(SUBSTITUTE(LEFT(TRIM(C15),FIND(" ",TRIM(C15)&amp;" ")-1),",","."),FIND("/",SUBSTITUTE(LEFT(TRIM(C15),FIND(" ",TRIM(C15)&amp;" ")-1),",","."))-1)/MID(SUBSTITUTE(LEFT(TRIM(C15),FIND(" ",TRIM(C15)&amp;" ")-1),",","."),FIND("/",SUBSTITUTE(LEFT(TRIM(C15),FIND(" ",TRIM(C15)&amp;" ")-1),",","."))+1,9)),IF(ISNUMBER(SEARCH("yea",C15)),IFERROR(_xlfn.NUMBERVALUE(SUBSTITUTE(LEFT(TRIM(C15),FIND(" ",TRIM(C15)&amp;" ")-1),",","."),"."),LEFT(SUBSTITUTE(LEFT(TRIM(C15),FIND(" ",TRIM(C15)&amp;" ")-1),",","."),FIND("/",SUBSTITUTE(LEFT(TRIM(C15),FIND(" ",TRIM(C15)&amp;" ")-1),",","."))-1)/MID(SUBSTITUTE(LEFT(TRIM(C15),FIND(" ",TRIM(C15)&amp;" ")-1),",","."),FIND("/",SUBSTITUTE(LEFT(TRIM(C15),FIND(" ",TRIM(C15)&amp;" ")-1),",","."))+1,9))*12,NA()))),0),36)*'Aturan &amp; Tarif'!$B$4,2)</f>
        <v>2044.08</v>
      </c>
      <c r="K15" s="42" t="n">
        <f aca="false">'Aturan &amp; Tarif'!$B$5</f>
        <v>2050</v>
      </c>
      <c r="L15" s="42" t="n">
        <f aca="false">'Aturan &amp; Tarif'!$B$6</f>
        <v>350</v>
      </c>
      <c r="M15" s="35" t="n">
        <f aca="false">I15+J15+K15+L15</f>
        <v>22844.08</v>
      </c>
      <c r="N15" s="45" t="s">
        <v>318</v>
      </c>
    </row>
    <row r="16" customFormat="false" ht="25.5" hidden="false" customHeight="true" outlineLevel="0" collapsed="false">
      <c r="A16" s="39"/>
      <c r="B16" s="40" t="s">
        <v>331</v>
      </c>
      <c r="C16" s="41" t="s">
        <v>245</v>
      </c>
      <c r="D16" s="41" t="s">
        <v>108</v>
      </c>
      <c r="E16" s="42" t="n">
        <v>9200</v>
      </c>
      <c r="F16" s="42"/>
      <c r="G16" s="42"/>
      <c r="H16" s="43" t="n">
        <v>2</v>
      </c>
      <c r="I16" s="34" t="n">
        <f aca="false">E16*H16+N(F16)+N(G16)</f>
        <v>18400</v>
      </c>
      <c r="J16" s="42" t="n">
        <f aca="false">ROUND(IFERROR(ROUND(IF(OR(ISNUMBER(SEARCH("week",C16)),ISNUMBER(SEARCH("minggu",C16))),IFERROR(_xlfn.NUMBERVALUE(SUBSTITUTE(LEFT(TRIM(C16),FIND(" ",TRIM(C16)&amp;" ")-1),",","."),"."),LEFT(SUBSTITUTE(LEFT(TRIM(C16),FIND(" ",TRIM(C16)&amp;" ")-1),",","."),FIND("/",SUBSTITUTE(LEFT(TRIM(C16),FIND(" ",TRIM(C16)&amp;" ")-1),",","."))-1)/MID(SUBSTITUTE(LEFT(TRIM(C16),FIND(" ",TRIM(C16)&amp;" ")-1),",","."),FIND("/",SUBSTITUTE(LEFT(TRIM(C16),FIND(" ",TRIM(C16)&amp;" ")-1),",","."))+1,9))*12/52,IF(ISNUMBER(SEARCH("month",C16)),IFERROR(_xlfn.NUMBERVALUE(SUBSTITUTE(LEFT(TRIM(C16),FIND(" ",TRIM(C16)&amp;" ")-1),",","."),"."),LEFT(SUBSTITUTE(LEFT(TRIM(C16),FIND(" ",TRIM(C16)&amp;" ")-1),",","."),FIND("/",SUBSTITUTE(LEFT(TRIM(C16),FIND(" ",TRIM(C16)&amp;" ")-1),",","."))-1)/MID(SUBSTITUTE(LEFT(TRIM(C16),FIND(" ",TRIM(C16)&amp;" ")-1),",","."),FIND("/",SUBSTITUTE(LEFT(TRIM(C16),FIND(" ",TRIM(C16)&amp;" ")-1),",","."))+1,9)),IF(ISNUMBER(SEARCH("yea",C16)),IFERROR(_xlfn.NUMBERVALUE(SUBSTITUTE(LEFT(TRIM(C16),FIND(" ",TRIM(C16)&amp;" ")-1),",","."),"."),LEFT(SUBSTITUTE(LEFT(TRIM(C16),FIND(" ",TRIM(C16)&amp;" ")-1),",","."),FIND("/",SUBSTITUTE(LEFT(TRIM(C16),FIND(" ",TRIM(C16)&amp;" ")-1),",","."))-1)/MID(SUBSTITUTE(LEFT(TRIM(C16),FIND(" ",TRIM(C16)&amp;" ")-1),",","."),FIND("/",SUBSTITUTE(LEFT(TRIM(C16),FIND(" ",TRIM(C16)&amp;" ")-1),",","."))+1,9))*12,NA()))),0),60)*'Aturan &amp; Tarif'!$B$4,2)</f>
        <v>3406.8</v>
      </c>
      <c r="K16" s="42" t="n">
        <f aca="false">'Aturan &amp; Tarif'!$B$5</f>
        <v>2050</v>
      </c>
      <c r="L16" s="42" t="n">
        <f aca="false">'Aturan &amp; Tarif'!$B$6</f>
        <v>350</v>
      </c>
      <c r="M16" s="35" t="n">
        <f aca="false">I16+J16+K16+L16</f>
        <v>24206.8</v>
      </c>
      <c r="N16" s="45" t="s">
        <v>318</v>
      </c>
    </row>
    <row r="17" customFormat="false" ht="25.5" hidden="false" customHeight="true" outlineLevel="0" collapsed="false">
      <c r="A17" s="39"/>
      <c r="B17" s="40" t="s">
        <v>332</v>
      </c>
      <c r="C17" s="41" t="s">
        <v>245</v>
      </c>
      <c r="D17" s="41" t="s">
        <v>108</v>
      </c>
      <c r="E17" s="42" t="n">
        <v>9200</v>
      </c>
      <c r="F17" s="42"/>
      <c r="G17" s="42"/>
      <c r="H17" s="43" t="n">
        <v>2</v>
      </c>
      <c r="I17" s="34" t="n">
        <f aca="false">E17*H17+N(F17)+N(G17)</f>
        <v>18400</v>
      </c>
      <c r="J17" s="42" t="n">
        <f aca="false">ROUND(IFERROR(ROUND(IF(OR(ISNUMBER(SEARCH("week",C17)),ISNUMBER(SEARCH("minggu",C17))),IFERROR(_xlfn.NUMBERVALUE(SUBSTITUTE(LEFT(TRIM(C17),FIND(" ",TRIM(C17)&amp;" ")-1),",","."),"."),LEFT(SUBSTITUTE(LEFT(TRIM(C17),FIND(" ",TRIM(C17)&amp;" ")-1),",","."),FIND("/",SUBSTITUTE(LEFT(TRIM(C17),FIND(" ",TRIM(C17)&amp;" ")-1),",","."))-1)/MID(SUBSTITUTE(LEFT(TRIM(C17),FIND(" ",TRIM(C17)&amp;" ")-1),",","."),FIND("/",SUBSTITUTE(LEFT(TRIM(C17),FIND(" ",TRIM(C17)&amp;" ")-1),",","."))+1,9))*12/52,IF(ISNUMBER(SEARCH("month",C17)),IFERROR(_xlfn.NUMBERVALUE(SUBSTITUTE(LEFT(TRIM(C17),FIND(" ",TRIM(C17)&amp;" ")-1),",","."),"."),LEFT(SUBSTITUTE(LEFT(TRIM(C17),FIND(" ",TRIM(C17)&amp;" ")-1),",","."),FIND("/",SUBSTITUTE(LEFT(TRIM(C17),FIND(" ",TRIM(C17)&amp;" ")-1),",","."))-1)/MID(SUBSTITUTE(LEFT(TRIM(C17),FIND(" ",TRIM(C17)&amp;" ")-1),",","."),FIND("/",SUBSTITUTE(LEFT(TRIM(C17),FIND(" ",TRIM(C17)&amp;" ")-1),",","."))+1,9)),IF(ISNUMBER(SEARCH("yea",C17)),IFERROR(_xlfn.NUMBERVALUE(SUBSTITUTE(LEFT(TRIM(C17),FIND(" ",TRIM(C17)&amp;" ")-1),",","."),"."),LEFT(SUBSTITUTE(LEFT(TRIM(C17),FIND(" ",TRIM(C17)&amp;" ")-1),",","."),FIND("/",SUBSTITUTE(LEFT(TRIM(C17),FIND(" ",TRIM(C17)&amp;" ")-1),",","."))-1)/MID(SUBSTITUTE(LEFT(TRIM(C17),FIND(" ",TRIM(C17)&amp;" ")-1),",","."),FIND("/",SUBSTITUTE(LEFT(TRIM(C17),FIND(" ",TRIM(C17)&amp;" ")-1),",","."))+1,9))*12,NA()))),0),60)*'Aturan &amp; Tarif'!$B$4,2)</f>
        <v>3406.8</v>
      </c>
      <c r="K17" s="42" t="n">
        <f aca="false">'Aturan &amp; Tarif'!$B$5</f>
        <v>2050</v>
      </c>
      <c r="L17" s="42" t="n">
        <f aca="false">'Aturan &amp; Tarif'!$B$6</f>
        <v>350</v>
      </c>
      <c r="M17" s="35" t="n">
        <f aca="false">I17+J17+K17+L17</f>
        <v>24206.8</v>
      </c>
      <c r="N17" s="45" t="s">
        <v>318</v>
      </c>
    </row>
    <row r="18" customFormat="false" ht="25.5" hidden="false" customHeight="true" outlineLevel="0" collapsed="false">
      <c r="A18" s="39"/>
      <c r="B18" s="40" t="s">
        <v>333</v>
      </c>
      <c r="C18" s="41" t="s">
        <v>191</v>
      </c>
      <c r="D18" s="41" t="s">
        <v>108</v>
      </c>
      <c r="E18" s="42" t="n">
        <v>9200</v>
      </c>
      <c r="F18" s="42"/>
      <c r="G18" s="42"/>
      <c r="H18" s="43" t="n">
        <v>2</v>
      </c>
      <c r="I18" s="34" t="n">
        <f aca="false">E18*H18+N(F18)+N(G18)</f>
        <v>18400</v>
      </c>
      <c r="J18" s="42" t="n">
        <f aca="false">ROUND(IFERROR(ROUND(IF(OR(ISNUMBER(SEARCH("week",C18)),ISNUMBER(SEARCH("minggu",C18))),IFERROR(_xlfn.NUMBERVALUE(SUBSTITUTE(LEFT(TRIM(C18),FIND(" ",TRIM(C18)&amp;" ")-1),",","."),"."),LEFT(SUBSTITUTE(LEFT(TRIM(C18),FIND(" ",TRIM(C18)&amp;" ")-1),",","."),FIND("/",SUBSTITUTE(LEFT(TRIM(C18),FIND(" ",TRIM(C18)&amp;" ")-1),",","."))-1)/MID(SUBSTITUTE(LEFT(TRIM(C18),FIND(" ",TRIM(C18)&amp;" ")-1),",","."),FIND("/",SUBSTITUTE(LEFT(TRIM(C18),FIND(" ",TRIM(C18)&amp;" ")-1),",","."))+1,9))*12/52,IF(ISNUMBER(SEARCH("month",C18)),IFERROR(_xlfn.NUMBERVALUE(SUBSTITUTE(LEFT(TRIM(C18),FIND(" ",TRIM(C18)&amp;" ")-1),",","."),"."),LEFT(SUBSTITUTE(LEFT(TRIM(C18),FIND(" ",TRIM(C18)&amp;" ")-1),",","."),FIND("/",SUBSTITUTE(LEFT(TRIM(C18),FIND(" ",TRIM(C18)&amp;" ")-1),",","."))-1)/MID(SUBSTITUTE(LEFT(TRIM(C18),FIND(" ",TRIM(C18)&amp;" ")-1),",","."),FIND("/",SUBSTITUTE(LEFT(TRIM(C18),FIND(" ",TRIM(C18)&amp;" ")-1),",","."))+1,9)),IF(ISNUMBER(SEARCH("yea",C18)),IFERROR(_xlfn.NUMBERVALUE(SUBSTITUTE(LEFT(TRIM(C18),FIND(" ",TRIM(C18)&amp;" ")-1),",","."),"."),LEFT(SUBSTITUTE(LEFT(TRIM(C18),FIND(" ",TRIM(C18)&amp;" ")-1),",","."),FIND("/",SUBSTITUTE(LEFT(TRIM(C18),FIND(" ",TRIM(C18)&amp;" ")-1),",","."))-1)/MID(SUBSTITUTE(LEFT(TRIM(C18),FIND(" ",TRIM(C18)&amp;" ")-1),",","."),FIND("/",SUBSTITUTE(LEFT(TRIM(C18),FIND(" ",TRIM(C18)&amp;" ")-1),",","."))+1,9))*12,NA()))),0),48)*'Aturan &amp; Tarif'!$B$4,2)</f>
        <v>2725.44</v>
      </c>
      <c r="K18" s="42" t="n">
        <f aca="false">'Aturan &amp; Tarif'!$B$5</f>
        <v>2050</v>
      </c>
      <c r="L18" s="42" t="n">
        <f aca="false">'Aturan &amp; Tarif'!$B$6</f>
        <v>350</v>
      </c>
      <c r="M18" s="35" t="n">
        <f aca="false">I18+J18+K18+L18</f>
        <v>23525.44</v>
      </c>
      <c r="N18" s="45" t="s">
        <v>318</v>
      </c>
    </row>
    <row r="19" customFormat="false" ht="25.5" hidden="false" customHeight="true" outlineLevel="0" collapsed="false">
      <c r="A19" s="39"/>
      <c r="B19" s="40" t="s">
        <v>334</v>
      </c>
      <c r="C19" s="41" t="s">
        <v>245</v>
      </c>
      <c r="D19" s="41" t="s">
        <v>108</v>
      </c>
      <c r="E19" s="42" t="n">
        <v>9200</v>
      </c>
      <c r="F19" s="42"/>
      <c r="G19" s="42"/>
      <c r="H19" s="43" t="n">
        <v>2</v>
      </c>
      <c r="I19" s="34" t="n">
        <f aca="false">E19*H19+N(F19)+N(G19)</f>
        <v>18400</v>
      </c>
      <c r="J19" s="42" t="n">
        <f aca="false">ROUND(IFERROR(ROUND(IF(OR(ISNUMBER(SEARCH("week",C19)),ISNUMBER(SEARCH("minggu",C19))),IFERROR(_xlfn.NUMBERVALUE(SUBSTITUTE(LEFT(TRIM(C19),FIND(" ",TRIM(C19)&amp;" ")-1),",","."),"."),LEFT(SUBSTITUTE(LEFT(TRIM(C19),FIND(" ",TRIM(C19)&amp;" ")-1),",","."),FIND("/",SUBSTITUTE(LEFT(TRIM(C19),FIND(" ",TRIM(C19)&amp;" ")-1),",","."))-1)/MID(SUBSTITUTE(LEFT(TRIM(C19),FIND(" ",TRIM(C19)&amp;" ")-1),",","."),FIND("/",SUBSTITUTE(LEFT(TRIM(C19),FIND(" ",TRIM(C19)&amp;" ")-1),",","."))+1,9))*12/52,IF(ISNUMBER(SEARCH("month",C19)),IFERROR(_xlfn.NUMBERVALUE(SUBSTITUTE(LEFT(TRIM(C19),FIND(" ",TRIM(C19)&amp;" ")-1),",","."),"."),LEFT(SUBSTITUTE(LEFT(TRIM(C19),FIND(" ",TRIM(C19)&amp;" ")-1),",","."),FIND("/",SUBSTITUTE(LEFT(TRIM(C19),FIND(" ",TRIM(C19)&amp;" ")-1),",","."))-1)/MID(SUBSTITUTE(LEFT(TRIM(C19),FIND(" ",TRIM(C19)&amp;" ")-1),",","."),FIND("/",SUBSTITUTE(LEFT(TRIM(C19),FIND(" ",TRIM(C19)&amp;" ")-1),",","."))+1,9)),IF(ISNUMBER(SEARCH("yea",C19)),IFERROR(_xlfn.NUMBERVALUE(SUBSTITUTE(LEFT(TRIM(C19),FIND(" ",TRIM(C19)&amp;" ")-1),",","."),"."),LEFT(SUBSTITUTE(LEFT(TRIM(C19),FIND(" ",TRIM(C19)&amp;" ")-1),",","."),FIND("/",SUBSTITUTE(LEFT(TRIM(C19),FIND(" ",TRIM(C19)&amp;" ")-1),",","."))-1)/MID(SUBSTITUTE(LEFT(TRIM(C19),FIND(" ",TRIM(C19)&amp;" ")-1),",","."),FIND("/",SUBSTITUTE(LEFT(TRIM(C19),FIND(" ",TRIM(C19)&amp;" ")-1),",","."))+1,9))*12,NA()))),0),60)*'Aturan &amp; Tarif'!$B$4,2)</f>
        <v>3406.8</v>
      </c>
      <c r="K19" s="42" t="n">
        <f aca="false">'Aturan &amp; Tarif'!$B$5</f>
        <v>2050</v>
      </c>
      <c r="L19" s="42" t="n">
        <f aca="false">'Aturan &amp; Tarif'!$B$6</f>
        <v>350</v>
      </c>
      <c r="M19" s="35" t="n">
        <f aca="false">I19+J19+K19+L19</f>
        <v>24206.8</v>
      </c>
      <c r="N19" s="45" t="s">
        <v>318</v>
      </c>
    </row>
    <row r="20" customFormat="false" ht="14.25" hidden="false" customHeight="true" outlineLevel="0" collapsed="false">
      <c r="A20" s="39"/>
      <c r="B20" s="40" t="s">
        <v>335</v>
      </c>
      <c r="C20" s="41" t="s">
        <v>127</v>
      </c>
      <c r="D20" s="41" t="s">
        <v>108</v>
      </c>
      <c r="E20" s="42" t="n">
        <v>8742</v>
      </c>
      <c r="F20" s="42"/>
      <c r="G20" s="42"/>
      <c r="H20" s="43" t="n">
        <v>2</v>
      </c>
      <c r="I20" s="34" t="n">
        <f aca="false">E20*H20+N(F20)+N(G20)</f>
        <v>17484</v>
      </c>
      <c r="J20" s="42" t="n">
        <f aca="false">ROUND(IFERROR(ROUND(IF(OR(ISNUMBER(SEARCH("week",C20)),ISNUMBER(SEARCH("minggu",C20))),IFERROR(_xlfn.NUMBERVALUE(SUBSTITUTE(LEFT(TRIM(C20),FIND(" ",TRIM(C20)&amp;" ")-1),",","."),"."),LEFT(SUBSTITUTE(LEFT(TRIM(C20),FIND(" ",TRIM(C20)&amp;" ")-1),",","."),FIND("/",SUBSTITUTE(LEFT(TRIM(C20),FIND(" ",TRIM(C20)&amp;" ")-1),",","."))-1)/MID(SUBSTITUTE(LEFT(TRIM(C20),FIND(" ",TRIM(C20)&amp;" ")-1),",","."),FIND("/",SUBSTITUTE(LEFT(TRIM(C20),FIND(" ",TRIM(C20)&amp;" ")-1),",","."))+1,9))*12/52,IF(ISNUMBER(SEARCH("month",C20)),IFERROR(_xlfn.NUMBERVALUE(SUBSTITUTE(LEFT(TRIM(C20),FIND(" ",TRIM(C20)&amp;" ")-1),",","."),"."),LEFT(SUBSTITUTE(LEFT(TRIM(C20),FIND(" ",TRIM(C20)&amp;" ")-1),",","."),FIND("/",SUBSTITUTE(LEFT(TRIM(C20),FIND(" ",TRIM(C20)&amp;" ")-1),",","."))-1)/MID(SUBSTITUTE(LEFT(TRIM(C20),FIND(" ",TRIM(C20)&amp;" ")-1),",","."),FIND("/",SUBSTITUTE(LEFT(TRIM(C20),FIND(" ",TRIM(C20)&amp;" ")-1),",","."))+1,9)),IF(ISNUMBER(SEARCH("yea",C20)),IFERROR(_xlfn.NUMBERVALUE(SUBSTITUTE(LEFT(TRIM(C20),FIND(" ",TRIM(C20)&amp;" ")-1),",","."),"."),LEFT(SUBSTITUTE(LEFT(TRIM(C20),FIND(" ",TRIM(C20)&amp;" ")-1),",","."),FIND("/",SUBSTITUTE(LEFT(TRIM(C20),FIND(" ",TRIM(C20)&amp;" ")-1),",","."))-1)/MID(SUBSTITUTE(LEFT(TRIM(C20),FIND(" ",TRIM(C20)&amp;" ")-1),",","."),FIND("/",SUBSTITUTE(LEFT(TRIM(C20),FIND(" ",TRIM(C20)&amp;" ")-1),",","."))+1,9))*12,NA()))),0),36)*'Aturan &amp; Tarif'!$B$4,2)</f>
        <v>2044.08</v>
      </c>
      <c r="K20" s="42" t="n">
        <f aca="false">'Aturan &amp; Tarif'!$B$5</f>
        <v>2050</v>
      </c>
      <c r="L20" s="42" t="n">
        <f aca="false">'Aturan &amp; Tarif'!$B$6</f>
        <v>350</v>
      </c>
      <c r="M20" s="35" t="n">
        <f aca="false">I20+J20+K20+L20</f>
        <v>21928.08</v>
      </c>
      <c r="N20" s="45" t="s">
        <v>318</v>
      </c>
    </row>
    <row r="21" customFormat="false" ht="25.5" hidden="false" customHeight="true" outlineLevel="0" collapsed="false">
      <c r="A21" s="39"/>
      <c r="B21" s="40" t="s">
        <v>336</v>
      </c>
      <c r="C21" s="41" t="s">
        <v>191</v>
      </c>
      <c r="D21" s="41" t="s">
        <v>108</v>
      </c>
      <c r="E21" s="42" t="n">
        <v>8742</v>
      </c>
      <c r="F21" s="42"/>
      <c r="G21" s="42"/>
      <c r="H21" s="43" t="n">
        <v>2</v>
      </c>
      <c r="I21" s="34" t="n">
        <f aca="false">E21*H21+N(F21)+N(G21)</f>
        <v>17484</v>
      </c>
      <c r="J21" s="42" t="n">
        <f aca="false">ROUND(IFERROR(ROUND(IF(OR(ISNUMBER(SEARCH("week",C21)),ISNUMBER(SEARCH("minggu",C21))),IFERROR(_xlfn.NUMBERVALUE(SUBSTITUTE(LEFT(TRIM(C21),FIND(" ",TRIM(C21)&amp;" ")-1),",","."),"."),LEFT(SUBSTITUTE(LEFT(TRIM(C21),FIND(" ",TRIM(C21)&amp;" ")-1),",","."),FIND("/",SUBSTITUTE(LEFT(TRIM(C21),FIND(" ",TRIM(C21)&amp;" ")-1),",","."))-1)/MID(SUBSTITUTE(LEFT(TRIM(C21),FIND(" ",TRIM(C21)&amp;" ")-1),",","."),FIND("/",SUBSTITUTE(LEFT(TRIM(C21),FIND(" ",TRIM(C21)&amp;" ")-1),",","."))+1,9))*12/52,IF(ISNUMBER(SEARCH("month",C21)),IFERROR(_xlfn.NUMBERVALUE(SUBSTITUTE(LEFT(TRIM(C21),FIND(" ",TRIM(C21)&amp;" ")-1),",","."),"."),LEFT(SUBSTITUTE(LEFT(TRIM(C21),FIND(" ",TRIM(C21)&amp;" ")-1),",","."),FIND("/",SUBSTITUTE(LEFT(TRIM(C21),FIND(" ",TRIM(C21)&amp;" ")-1),",","."))-1)/MID(SUBSTITUTE(LEFT(TRIM(C21),FIND(" ",TRIM(C21)&amp;" ")-1),",","."),FIND("/",SUBSTITUTE(LEFT(TRIM(C21),FIND(" ",TRIM(C21)&amp;" ")-1),",","."))+1,9)),IF(ISNUMBER(SEARCH("yea",C21)),IFERROR(_xlfn.NUMBERVALUE(SUBSTITUTE(LEFT(TRIM(C21),FIND(" ",TRIM(C21)&amp;" ")-1),",","."),"."),LEFT(SUBSTITUTE(LEFT(TRIM(C21),FIND(" ",TRIM(C21)&amp;" ")-1),",","."),FIND("/",SUBSTITUTE(LEFT(TRIM(C21),FIND(" ",TRIM(C21)&amp;" ")-1),",","."))-1)/MID(SUBSTITUTE(LEFT(TRIM(C21),FIND(" ",TRIM(C21)&amp;" ")-1),",","."),FIND("/",SUBSTITUTE(LEFT(TRIM(C21),FIND(" ",TRIM(C21)&amp;" ")-1),",","."))+1,9))*12,NA()))),0),48)*'Aturan &amp; Tarif'!$B$4,2)</f>
        <v>2725.44</v>
      </c>
      <c r="K21" s="42" t="n">
        <f aca="false">'Aturan &amp; Tarif'!$B$5</f>
        <v>2050</v>
      </c>
      <c r="L21" s="42" t="n">
        <f aca="false">'Aturan &amp; Tarif'!$B$6</f>
        <v>350</v>
      </c>
      <c r="M21" s="35" t="n">
        <f aca="false">I21+J21+K21+L21</f>
        <v>22609.44</v>
      </c>
      <c r="N21" s="45" t="s">
        <v>318</v>
      </c>
    </row>
    <row r="22" customFormat="false" ht="14.25" hidden="false" customHeight="true" outlineLevel="0" collapsed="false">
      <c r="A22" s="39"/>
      <c r="B22" s="40" t="s">
        <v>156</v>
      </c>
      <c r="C22" s="41" t="s">
        <v>191</v>
      </c>
      <c r="D22" s="41" t="s">
        <v>108</v>
      </c>
      <c r="E22" s="42" t="n">
        <v>9200</v>
      </c>
      <c r="F22" s="42"/>
      <c r="G22" s="42"/>
      <c r="H22" s="43" t="n">
        <v>2</v>
      </c>
      <c r="I22" s="34" t="n">
        <f aca="false">E22*H22+N(F22)+N(G22)</f>
        <v>18400</v>
      </c>
      <c r="J22" s="42" t="n">
        <f aca="false">ROUND(IFERROR(ROUND(IF(OR(ISNUMBER(SEARCH("week",C22)),ISNUMBER(SEARCH("minggu",C22))),IFERROR(_xlfn.NUMBERVALUE(SUBSTITUTE(LEFT(TRIM(C22),FIND(" ",TRIM(C22)&amp;" ")-1),",","."),"."),LEFT(SUBSTITUTE(LEFT(TRIM(C22),FIND(" ",TRIM(C22)&amp;" ")-1),",","."),FIND("/",SUBSTITUTE(LEFT(TRIM(C22),FIND(" ",TRIM(C22)&amp;" ")-1),",","."))-1)/MID(SUBSTITUTE(LEFT(TRIM(C22),FIND(" ",TRIM(C22)&amp;" ")-1),",","."),FIND("/",SUBSTITUTE(LEFT(TRIM(C22),FIND(" ",TRIM(C22)&amp;" ")-1),",","."))+1,9))*12/52,IF(ISNUMBER(SEARCH("month",C22)),IFERROR(_xlfn.NUMBERVALUE(SUBSTITUTE(LEFT(TRIM(C22),FIND(" ",TRIM(C22)&amp;" ")-1),",","."),"."),LEFT(SUBSTITUTE(LEFT(TRIM(C22),FIND(" ",TRIM(C22)&amp;" ")-1),",","."),FIND("/",SUBSTITUTE(LEFT(TRIM(C22),FIND(" ",TRIM(C22)&amp;" ")-1),",","."))-1)/MID(SUBSTITUTE(LEFT(TRIM(C22),FIND(" ",TRIM(C22)&amp;" ")-1),",","."),FIND("/",SUBSTITUTE(LEFT(TRIM(C22),FIND(" ",TRIM(C22)&amp;" ")-1),",","."))+1,9)),IF(ISNUMBER(SEARCH("yea",C22)),IFERROR(_xlfn.NUMBERVALUE(SUBSTITUTE(LEFT(TRIM(C22),FIND(" ",TRIM(C22)&amp;" ")-1),",","."),"."),LEFT(SUBSTITUTE(LEFT(TRIM(C22),FIND(" ",TRIM(C22)&amp;" ")-1),",","."),FIND("/",SUBSTITUTE(LEFT(TRIM(C22),FIND(" ",TRIM(C22)&amp;" ")-1),",","."))-1)/MID(SUBSTITUTE(LEFT(TRIM(C22),FIND(" ",TRIM(C22)&amp;" ")-1),",","."),FIND("/",SUBSTITUTE(LEFT(TRIM(C22),FIND(" ",TRIM(C22)&amp;" ")-1),",","."))+1,9))*12,NA()))),0),48)*'Aturan &amp; Tarif'!$B$4,2)</f>
        <v>2725.44</v>
      </c>
      <c r="K22" s="42" t="n">
        <f aca="false">'Aturan &amp; Tarif'!$B$5</f>
        <v>2050</v>
      </c>
      <c r="L22" s="42" t="n">
        <f aca="false">'Aturan &amp; Tarif'!$B$6</f>
        <v>350</v>
      </c>
      <c r="M22" s="35" t="n">
        <f aca="false">I22+J22+K22+L22</f>
        <v>23525.44</v>
      </c>
      <c r="N22" s="45" t="s">
        <v>318</v>
      </c>
    </row>
    <row r="23" customFormat="false" ht="14.25" hidden="false" customHeight="true" outlineLevel="0" collapsed="false">
      <c r="A23" s="39"/>
      <c r="B23" s="40" t="s">
        <v>337</v>
      </c>
      <c r="C23" s="41" t="s">
        <v>127</v>
      </c>
      <c r="D23" s="41" t="s">
        <v>108</v>
      </c>
      <c r="E23" s="42" t="n">
        <v>9200</v>
      </c>
      <c r="F23" s="42"/>
      <c r="G23" s="42"/>
      <c r="H23" s="43" t="n">
        <v>2</v>
      </c>
      <c r="I23" s="34" t="n">
        <f aca="false">E23*H23+N(F23)+N(G23)</f>
        <v>18400</v>
      </c>
      <c r="J23" s="42" t="n">
        <f aca="false">ROUND(IFERROR(ROUND(IF(OR(ISNUMBER(SEARCH("week",C23)),ISNUMBER(SEARCH("minggu",C23))),IFERROR(_xlfn.NUMBERVALUE(SUBSTITUTE(LEFT(TRIM(C23),FIND(" ",TRIM(C23)&amp;" ")-1),",","."),"."),LEFT(SUBSTITUTE(LEFT(TRIM(C23),FIND(" ",TRIM(C23)&amp;" ")-1),",","."),FIND("/",SUBSTITUTE(LEFT(TRIM(C23),FIND(" ",TRIM(C23)&amp;" ")-1),",","."))-1)/MID(SUBSTITUTE(LEFT(TRIM(C23),FIND(" ",TRIM(C23)&amp;" ")-1),",","."),FIND("/",SUBSTITUTE(LEFT(TRIM(C23),FIND(" ",TRIM(C23)&amp;" ")-1),",","."))+1,9))*12/52,IF(ISNUMBER(SEARCH("month",C23)),IFERROR(_xlfn.NUMBERVALUE(SUBSTITUTE(LEFT(TRIM(C23),FIND(" ",TRIM(C23)&amp;" ")-1),",","."),"."),LEFT(SUBSTITUTE(LEFT(TRIM(C23),FIND(" ",TRIM(C23)&amp;" ")-1),",","."),FIND("/",SUBSTITUTE(LEFT(TRIM(C23),FIND(" ",TRIM(C23)&amp;" ")-1),",","."))-1)/MID(SUBSTITUTE(LEFT(TRIM(C23),FIND(" ",TRIM(C23)&amp;" ")-1),",","."),FIND("/",SUBSTITUTE(LEFT(TRIM(C23),FIND(" ",TRIM(C23)&amp;" ")-1),",","."))+1,9)),IF(ISNUMBER(SEARCH("yea",C23)),IFERROR(_xlfn.NUMBERVALUE(SUBSTITUTE(LEFT(TRIM(C23),FIND(" ",TRIM(C23)&amp;" ")-1),",","."),"."),LEFT(SUBSTITUTE(LEFT(TRIM(C23),FIND(" ",TRIM(C23)&amp;" ")-1),",","."),FIND("/",SUBSTITUTE(LEFT(TRIM(C23),FIND(" ",TRIM(C23)&amp;" ")-1),",","."))-1)/MID(SUBSTITUTE(LEFT(TRIM(C23),FIND(" ",TRIM(C23)&amp;" ")-1),",","."),FIND("/",SUBSTITUTE(LEFT(TRIM(C23),FIND(" ",TRIM(C23)&amp;" ")-1),",","."))+1,9))*12,NA()))),0),36)*'Aturan &amp; Tarif'!$B$4,2)</f>
        <v>2044.08</v>
      </c>
      <c r="K23" s="42" t="n">
        <f aca="false">'Aturan &amp; Tarif'!$B$5</f>
        <v>2050</v>
      </c>
      <c r="L23" s="42" t="n">
        <f aca="false">'Aturan &amp; Tarif'!$B$6</f>
        <v>350</v>
      </c>
      <c r="M23" s="35" t="n">
        <f aca="false">I23+J23+K23+L23</f>
        <v>22844.08</v>
      </c>
      <c r="N23" s="45" t="s">
        <v>318</v>
      </c>
    </row>
    <row r="24" customFormat="false" ht="25.5" hidden="false" customHeight="true" outlineLevel="0" collapsed="false">
      <c r="A24" s="39"/>
      <c r="B24" s="40" t="s">
        <v>338</v>
      </c>
      <c r="C24" s="41" t="s">
        <v>191</v>
      </c>
      <c r="D24" s="41" t="s">
        <v>108</v>
      </c>
      <c r="E24" s="42" t="n">
        <v>9200</v>
      </c>
      <c r="F24" s="42"/>
      <c r="G24" s="42"/>
      <c r="H24" s="43" t="n">
        <v>2</v>
      </c>
      <c r="I24" s="34" t="n">
        <f aca="false">E24*H24+N(F24)+N(G24)</f>
        <v>18400</v>
      </c>
      <c r="J24" s="42" t="n">
        <f aca="false">ROUND(IFERROR(ROUND(IF(OR(ISNUMBER(SEARCH("week",C24)),ISNUMBER(SEARCH("minggu",C24))),IFERROR(_xlfn.NUMBERVALUE(SUBSTITUTE(LEFT(TRIM(C24),FIND(" ",TRIM(C24)&amp;" ")-1),",","."),"."),LEFT(SUBSTITUTE(LEFT(TRIM(C24),FIND(" ",TRIM(C24)&amp;" ")-1),",","."),FIND("/",SUBSTITUTE(LEFT(TRIM(C24),FIND(" ",TRIM(C24)&amp;" ")-1),",","."))-1)/MID(SUBSTITUTE(LEFT(TRIM(C24),FIND(" ",TRIM(C24)&amp;" ")-1),",","."),FIND("/",SUBSTITUTE(LEFT(TRIM(C24),FIND(" ",TRIM(C24)&amp;" ")-1),",","."))+1,9))*12/52,IF(ISNUMBER(SEARCH("month",C24)),IFERROR(_xlfn.NUMBERVALUE(SUBSTITUTE(LEFT(TRIM(C24),FIND(" ",TRIM(C24)&amp;" ")-1),",","."),"."),LEFT(SUBSTITUTE(LEFT(TRIM(C24),FIND(" ",TRIM(C24)&amp;" ")-1),",","."),FIND("/",SUBSTITUTE(LEFT(TRIM(C24),FIND(" ",TRIM(C24)&amp;" ")-1),",","."))-1)/MID(SUBSTITUTE(LEFT(TRIM(C24),FIND(" ",TRIM(C24)&amp;" ")-1),",","."),FIND("/",SUBSTITUTE(LEFT(TRIM(C24),FIND(" ",TRIM(C24)&amp;" ")-1),",","."))+1,9)),IF(ISNUMBER(SEARCH("yea",C24)),IFERROR(_xlfn.NUMBERVALUE(SUBSTITUTE(LEFT(TRIM(C24),FIND(" ",TRIM(C24)&amp;" ")-1),",","."),"."),LEFT(SUBSTITUTE(LEFT(TRIM(C24),FIND(" ",TRIM(C24)&amp;" ")-1),",","."),FIND("/",SUBSTITUTE(LEFT(TRIM(C24),FIND(" ",TRIM(C24)&amp;" ")-1),",","."))-1)/MID(SUBSTITUTE(LEFT(TRIM(C24),FIND(" ",TRIM(C24)&amp;" ")-1),",","."),FIND("/",SUBSTITUTE(LEFT(TRIM(C24),FIND(" ",TRIM(C24)&amp;" ")-1),",","."))+1,9))*12,NA()))),0),48)*'Aturan &amp; Tarif'!$B$4,2)</f>
        <v>2725.44</v>
      </c>
      <c r="K24" s="42" t="n">
        <f aca="false">'Aturan &amp; Tarif'!$B$5</f>
        <v>2050</v>
      </c>
      <c r="L24" s="42" t="n">
        <f aca="false">'Aturan &amp; Tarif'!$B$6</f>
        <v>350</v>
      </c>
      <c r="M24" s="35" t="n">
        <f aca="false">I24+J24+K24+L24</f>
        <v>23525.44</v>
      </c>
      <c r="N24" s="45" t="s">
        <v>318</v>
      </c>
    </row>
    <row r="25" customFormat="false" ht="25.5" hidden="false" customHeight="true" outlineLevel="0" collapsed="false">
      <c r="A25" s="39"/>
      <c r="B25" s="40" t="s">
        <v>339</v>
      </c>
      <c r="C25" s="41" t="s">
        <v>191</v>
      </c>
      <c r="D25" s="41" t="s">
        <v>108</v>
      </c>
      <c r="E25" s="42" t="n">
        <v>9200</v>
      </c>
      <c r="F25" s="42"/>
      <c r="G25" s="42"/>
      <c r="H25" s="43" t="n">
        <v>2</v>
      </c>
      <c r="I25" s="34" t="n">
        <f aca="false">E25*H25+N(F25)+N(G25)</f>
        <v>18400</v>
      </c>
      <c r="J25" s="42" t="n">
        <f aca="false">ROUND(IFERROR(ROUND(IF(OR(ISNUMBER(SEARCH("week",C25)),ISNUMBER(SEARCH("minggu",C25))),IFERROR(_xlfn.NUMBERVALUE(SUBSTITUTE(LEFT(TRIM(C25),FIND(" ",TRIM(C25)&amp;" ")-1),",","."),"."),LEFT(SUBSTITUTE(LEFT(TRIM(C25),FIND(" ",TRIM(C25)&amp;" ")-1),",","."),FIND("/",SUBSTITUTE(LEFT(TRIM(C25),FIND(" ",TRIM(C25)&amp;" ")-1),",","."))-1)/MID(SUBSTITUTE(LEFT(TRIM(C25),FIND(" ",TRIM(C25)&amp;" ")-1),",","."),FIND("/",SUBSTITUTE(LEFT(TRIM(C25),FIND(" ",TRIM(C25)&amp;" ")-1),",","."))+1,9))*12/52,IF(ISNUMBER(SEARCH("month",C25)),IFERROR(_xlfn.NUMBERVALUE(SUBSTITUTE(LEFT(TRIM(C25),FIND(" ",TRIM(C25)&amp;" ")-1),",","."),"."),LEFT(SUBSTITUTE(LEFT(TRIM(C25),FIND(" ",TRIM(C25)&amp;" ")-1),",","."),FIND("/",SUBSTITUTE(LEFT(TRIM(C25),FIND(" ",TRIM(C25)&amp;" ")-1),",","."))-1)/MID(SUBSTITUTE(LEFT(TRIM(C25),FIND(" ",TRIM(C25)&amp;" ")-1),",","."),FIND("/",SUBSTITUTE(LEFT(TRIM(C25),FIND(" ",TRIM(C25)&amp;" ")-1),",","."))+1,9)),IF(ISNUMBER(SEARCH("yea",C25)),IFERROR(_xlfn.NUMBERVALUE(SUBSTITUTE(LEFT(TRIM(C25),FIND(" ",TRIM(C25)&amp;" ")-1),",","."),"."),LEFT(SUBSTITUTE(LEFT(TRIM(C25),FIND(" ",TRIM(C25)&amp;" ")-1),",","."),FIND("/",SUBSTITUTE(LEFT(TRIM(C25),FIND(" ",TRIM(C25)&amp;" ")-1),",","."))-1)/MID(SUBSTITUTE(LEFT(TRIM(C25),FIND(" ",TRIM(C25)&amp;" ")-1),",","."),FIND("/",SUBSTITUTE(LEFT(TRIM(C25),FIND(" ",TRIM(C25)&amp;" ")-1),",","."))+1,9))*12,NA()))),0),48)*'Aturan &amp; Tarif'!$B$4,2)</f>
        <v>2725.44</v>
      </c>
      <c r="K25" s="42" t="n">
        <f aca="false">'Aturan &amp; Tarif'!$B$5</f>
        <v>2050</v>
      </c>
      <c r="L25" s="42" t="n">
        <f aca="false">'Aturan &amp; Tarif'!$B$6</f>
        <v>350</v>
      </c>
      <c r="M25" s="35" t="n">
        <f aca="false">I25+J25+K25+L25</f>
        <v>23525.44</v>
      </c>
      <c r="N25" s="45" t="s">
        <v>318</v>
      </c>
    </row>
    <row r="26" customFormat="false" ht="25.5" hidden="false" customHeight="true" outlineLevel="0" collapsed="false">
      <c r="A26" s="39"/>
      <c r="B26" s="40" t="s">
        <v>340</v>
      </c>
      <c r="C26" s="41" t="s">
        <v>191</v>
      </c>
      <c r="D26" s="41" t="s">
        <v>108</v>
      </c>
      <c r="E26" s="42" t="n">
        <v>8742</v>
      </c>
      <c r="F26" s="42"/>
      <c r="G26" s="42"/>
      <c r="H26" s="43" t="n">
        <v>2</v>
      </c>
      <c r="I26" s="34" t="n">
        <f aca="false">E26*H26+N(F26)+N(G26)</f>
        <v>17484</v>
      </c>
      <c r="J26" s="42" t="n">
        <f aca="false">ROUND(IFERROR(ROUND(IF(OR(ISNUMBER(SEARCH("week",C26)),ISNUMBER(SEARCH("minggu",C26))),IFERROR(_xlfn.NUMBERVALUE(SUBSTITUTE(LEFT(TRIM(C26),FIND(" ",TRIM(C26)&amp;" ")-1),",","."),"."),LEFT(SUBSTITUTE(LEFT(TRIM(C26),FIND(" ",TRIM(C26)&amp;" ")-1),",","."),FIND("/",SUBSTITUTE(LEFT(TRIM(C26),FIND(" ",TRIM(C26)&amp;" ")-1),",","."))-1)/MID(SUBSTITUTE(LEFT(TRIM(C26),FIND(" ",TRIM(C26)&amp;" ")-1),",","."),FIND("/",SUBSTITUTE(LEFT(TRIM(C26),FIND(" ",TRIM(C26)&amp;" ")-1),",","."))+1,9))*12/52,IF(ISNUMBER(SEARCH("month",C26)),IFERROR(_xlfn.NUMBERVALUE(SUBSTITUTE(LEFT(TRIM(C26),FIND(" ",TRIM(C26)&amp;" ")-1),",","."),"."),LEFT(SUBSTITUTE(LEFT(TRIM(C26),FIND(" ",TRIM(C26)&amp;" ")-1),",","."),FIND("/",SUBSTITUTE(LEFT(TRIM(C26),FIND(" ",TRIM(C26)&amp;" ")-1),",","."))-1)/MID(SUBSTITUTE(LEFT(TRIM(C26),FIND(" ",TRIM(C26)&amp;" ")-1),",","."),FIND("/",SUBSTITUTE(LEFT(TRIM(C26),FIND(" ",TRIM(C26)&amp;" ")-1),",","."))+1,9)),IF(ISNUMBER(SEARCH("yea",C26)),IFERROR(_xlfn.NUMBERVALUE(SUBSTITUTE(LEFT(TRIM(C26),FIND(" ",TRIM(C26)&amp;" ")-1),",","."),"."),LEFT(SUBSTITUTE(LEFT(TRIM(C26),FIND(" ",TRIM(C26)&amp;" ")-1),",","."),FIND("/",SUBSTITUTE(LEFT(TRIM(C26),FIND(" ",TRIM(C26)&amp;" ")-1),",","."))-1)/MID(SUBSTITUTE(LEFT(TRIM(C26),FIND(" ",TRIM(C26)&amp;" ")-1),",","."),FIND("/",SUBSTITUTE(LEFT(TRIM(C26),FIND(" ",TRIM(C26)&amp;" ")-1),",","."))+1,9))*12,NA()))),0),48)*'Aturan &amp; Tarif'!$B$4,2)</f>
        <v>2725.44</v>
      </c>
      <c r="K26" s="42" t="n">
        <f aca="false">'Aturan &amp; Tarif'!$B$5</f>
        <v>2050</v>
      </c>
      <c r="L26" s="42" t="n">
        <f aca="false">'Aturan &amp; Tarif'!$B$6</f>
        <v>350</v>
      </c>
      <c r="M26" s="35" t="n">
        <f aca="false">I26+J26+K26+L26</f>
        <v>22609.44</v>
      </c>
      <c r="N26" s="45" t="s">
        <v>318</v>
      </c>
    </row>
    <row r="27" customFormat="false" ht="14.25" hidden="false" customHeight="true" outlineLevel="0" collapsed="false">
      <c r="A27" s="39"/>
      <c r="B27" s="40" t="s">
        <v>341</v>
      </c>
      <c r="C27" s="41" t="s">
        <v>245</v>
      </c>
      <c r="D27" s="41" t="s">
        <v>108</v>
      </c>
      <c r="E27" s="42" t="n">
        <v>9200</v>
      </c>
      <c r="F27" s="42"/>
      <c r="G27" s="42"/>
      <c r="H27" s="43" t="n">
        <v>2</v>
      </c>
      <c r="I27" s="34" t="n">
        <f aca="false">E27*H27+N(F27)+N(G27)</f>
        <v>18400</v>
      </c>
      <c r="J27" s="42" t="n">
        <f aca="false">ROUND(IFERROR(ROUND(IF(OR(ISNUMBER(SEARCH("week",C27)),ISNUMBER(SEARCH("minggu",C27))),IFERROR(_xlfn.NUMBERVALUE(SUBSTITUTE(LEFT(TRIM(C27),FIND(" ",TRIM(C27)&amp;" ")-1),",","."),"."),LEFT(SUBSTITUTE(LEFT(TRIM(C27),FIND(" ",TRIM(C27)&amp;" ")-1),",","."),FIND("/",SUBSTITUTE(LEFT(TRIM(C27),FIND(" ",TRIM(C27)&amp;" ")-1),",","."))-1)/MID(SUBSTITUTE(LEFT(TRIM(C27),FIND(" ",TRIM(C27)&amp;" ")-1),",","."),FIND("/",SUBSTITUTE(LEFT(TRIM(C27),FIND(" ",TRIM(C27)&amp;" ")-1),",","."))+1,9))*12/52,IF(ISNUMBER(SEARCH("month",C27)),IFERROR(_xlfn.NUMBERVALUE(SUBSTITUTE(LEFT(TRIM(C27),FIND(" ",TRIM(C27)&amp;" ")-1),",","."),"."),LEFT(SUBSTITUTE(LEFT(TRIM(C27),FIND(" ",TRIM(C27)&amp;" ")-1),",","."),FIND("/",SUBSTITUTE(LEFT(TRIM(C27),FIND(" ",TRIM(C27)&amp;" ")-1),",","."))-1)/MID(SUBSTITUTE(LEFT(TRIM(C27),FIND(" ",TRIM(C27)&amp;" ")-1),",","."),FIND("/",SUBSTITUTE(LEFT(TRIM(C27),FIND(" ",TRIM(C27)&amp;" ")-1),",","."))+1,9)),IF(ISNUMBER(SEARCH("yea",C27)),IFERROR(_xlfn.NUMBERVALUE(SUBSTITUTE(LEFT(TRIM(C27),FIND(" ",TRIM(C27)&amp;" ")-1),",","."),"."),LEFT(SUBSTITUTE(LEFT(TRIM(C27),FIND(" ",TRIM(C27)&amp;" ")-1),",","."),FIND("/",SUBSTITUTE(LEFT(TRIM(C27),FIND(" ",TRIM(C27)&amp;" ")-1),",","."))-1)/MID(SUBSTITUTE(LEFT(TRIM(C27),FIND(" ",TRIM(C27)&amp;" ")-1),",","."),FIND("/",SUBSTITUTE(LEFT(TRIM(C27),FIND(" ",TRIM(C27)&amp;" ")-1),",","."))+1,9))*12,NA()))),0),60)*'Aturan &amp; Tarif'!$B$4,2)</f>
        <v>3406.8</v>
      </c>
      <c r="K27" s="42" t="n">
        <f aca="false">'Aturan &amp; Tarif'!$B$5</f>
        <v>2050</v>
      </c>
      <c r="L27" s="42" t="n">
        <f aca="false">'Aturan &amp; Tarif'!$B$6</f>
        <v>350</v>
      </c>
      <c r="M27" s="35" t="n">
        <f aca="false">I27+J27+K27+L27</f>
        <v>24206.8</v>
      </c>
      <c r="N27" s="45" t="s">
        <v>318</v>
      </c>
    </row>
    <row r="28" customFormat="false" ht="14.25" hidden="false" customHeight="true" outlineLevel="0" collapsed="false">
      <c r="A28" s="39"/>
      <c r="B28" s="40" t="s">
        <v>342</v>
      </c>
      <c r="C28" s="41" t="s">
        <v>245</v>
      </c>
      <c r="D28" s="41" t="s">
        <v>108</v>
      </c>
      <c r="E28" s="42" t="n">
        <v>9200</v>
      </c>
      <c r="F28" s="42"/>
      <c r="G28" s="42"/>
      <c r="H28" s="43" t="n">
        <v>2</v>
      </c>
      <c r="I28" s="34" t="n">
        <f aca="false">E28*H28+N(F28)+N(G28)</f>
        <v>18400</v>
      </c>
      <c r="J28" s="42" t="n">
        <f aca="false">ROUND(IFERROR(ROUND(IF(OR(ISNUMBER(SEARCH("week",C28)),ISNUMBER(SEARCH("minggu",C28))),IFERROR(_xlfn.NUMBERVALUE(SUBSTITUTE(LEFT(TRIM(C28),FIND(" ",TRIM(C28)&amp;" ")-1),",","."),"."),LEFT(SUBSTITUTE(LEFT(TRIM(C28),FIND(" ",TRIM(C28)&amp;" ")-1),",","."),FIND("/",SUBSTITUTE(LEFT(TRIM(C28),FIND(" ",TRIM(C28)&amp;" ")-1),",","."))-1)/MID(SUBSTITUTE(LEFT(TRIM(C28),FIND(" ",TRIM(C28)&amp;" ")-1),",","."),FIND("/",SUBSTITUTE(LEFT(TRIM(C28),FIND(" ",TRIM(C28)&amp;" ")-1),",","."))+1,9))*12/52,IF(ISNUMBER(SEARCH("month",C28)),IFERROR(_xlfn.NUMBERVALUE(SUBSTITUTE(LEFT(TRIM(C28),FIND(" ",TRIM(C28)&amp;" ")-1),",","."),"."),LEFT(SUBSTITUTE(LEFT(TRIM(C28),FIND(" ",TRIM(C28)&amp;" ")-1),",","."),FIND("/",SUBSTITUTE(LEFT(TRIM(C28),FIND(" ",TRIM(C28)&amp;" ")-1),",","."))-1)/MID(SUBSTITUTE(LEFT(TRIM(C28),FIND(" ",TRIM(C28)&amp;" ")-1),",","."),FIND("/",SUBSTITUTE(LEFT(TRIM(C28),FIND(" ",TRIM(C28)&amp;" ")-1),",","."))+1,9)),IF(ISNUMBER(SEARCH("yea",C28)),IFERROR(_xlfn.NUMBERVALUE(SUBSTITUTE(LEFT(TRIM(C28),FIND(" ",TRIM(C28)&amp;" ")-1),",","."),"."),LEFT(SUBSTITUTE(LEFT(TRIM(C28),FIND(" ",TRIM(C28)&amp;" ")-1),",","."),FIND("/",SUBSTITUTE(LEFT(TRIM(C28),FIND(" ",TRIM(C28)&amp;" ")-1),",","."))-1)/MID(SUBSTITUTE(LEFT(TRIM(C28),FIND(" ",TRIM(C28)&amp;" ")-1),",","."),FIND("/",SUBSTITUTE(LEFT(TRIM(C28),FIND(" ",TRIM(C28)&amp;" ")-1),",","."))+1,9))*12,NA()))),0),60)*'Aturan &amp; Tarif'!$B$4,2)</f>
        <v>3406.8</v>
      </c>
      <c r="K28" s="42" t="n">
        <f aca="false">'Aturan &amp; Tarif'!$B$5</f>
        <v>2050</v>
      </c>
      <c r="L28" s="42" t="n">
        <f aca="false">'Aturan &amp; Tarif'!$B$6</f>
        <v>350</v>
      </c>
      <c r="M28" s="35" t="n">
        <f aca="false">I28+J28+K28+L28</f>
        <v>24206.8</v>
      </c>
      <c r="N28" s="45" t="s">
        <v>318</v>
      </c>
    </row>
    <row r="29" customFormat="false" ht="25.5" hidden="false" customHeight="true" outlineLevel="0" collapsed="false">
      <c r="A29" s="39"/>
      <c r="B29" s="40" t="s">
        <v>343</v>
      </c>
      <c r="C29" s="41" t="s">
        <v>344</v>
      </c>
      <c r="D29" s="41" t="s">
        <v>108</v>
      </c>
      <c r="E29" s="42" t="n">
        <v>4762</v>
      </c>
      <c r="F29" s="42"/>
      <c r="G29" s="42"/>
      <c r="H29" s="43" t="n">
        <v>2</v>
      </c>
      <c r="I29" s="34" t="n">
        <f aca="false">E29*H29+N(F29)+N(G29)</f>
        <v>9524</v>
      </c>
      <c r="J29" s="42" t="n">
        <f aca="false">ROUND(IFERROR(ROUND(IF(OR(ISNUMBER(SEARCH("week",C29)),ISNUMBER(SEARCH("minggu",C29))),IFERROR(_xlfn.NUMBERVALUE(SUBSTITUTE(LEFT(TRIM(C29),FIND(" ",TRIM(C29)&amp;" ")-1),",","."),"."),LEFT(SUBSTITUTE(LEFT(TRIM(C29),FIND(" ",TRIM(C29)&amp;" ")-1),",","."),FIND("/",SUBSTITUTE(LEFT(TRIM(C29),FIND(" ",TRIM(C29)&amp;" ")-1),",","."))-1)/MID(SUBSTITUTE(LEFT(TRIM(C29),FIND(" ",TRIM(C29)&amp;" ")-1),",","."),FIND("/",SUBSTITUTE(LEFT(TRIM(C29),FIND(" ",TRIM(C29)&amp;" ")-1),",","."))+1,9))*12/52,IF(ISNUMBER(SEARCH("month",C29)),IFERROR(_xlfn.NUMBERVALUE(SUBSTITUTE(LEFT(TRIM(C29),FIND(" ",TRIM(C29)&amp;" ")-1),",","."),"."),LEFT(SUBSTITUTE(LEFT(TRIM(C29),FIND(" ",TRIM(C29)&amp;" ")-1),",","."),FIND("/",SUBSTITUTE(LEFT(TRIM(C29),FIND(" ",TRIM(C29)&amp;" ")-1),",","."))-1)/MID(SUBSTITUTE(LEFT(TRIM(C29),FIND(" ",TRIM(C29)&amp;" ")-1),",","."),FIND("/",SUBSTITUTE(LEFT(TRIM(C29),FIND(" ",TRIM(C29)&amp;" ")-1),",","."))+1,9)),IF(ISNUMBER(SEARCH("yea",C29)),IFERROR(_xlfn.NUMBERVALUE(SUBSTITUTE(LEFT(TRIM(C29),FIND(" ",TRIM(C29)&amp;" ")-1),",","."),"."),LEFT(SUBSTITUTE(LEFT(TRIM(C29),FIND(" ",TRIM(C29)&amp;" ")-1),",","."),FIND("/",SUBSTITUTE(LEFT(TRIM(C29),FIND(" ",TRIM(C29)&amp;" ")-1),",","."))-1)/MID(SUBSTITUTE(LEFT(TRIM(C29),FIND(" ",TRIM(C29)&amp;" ")-1),",","."),FIND("/",SUBSTITUTE(LEFT(TRIM(C29),FIND(" ",TRIM(C29)&amp;" ")-1),",","."))+1,9))*12,NA()))),0),6)*'Aturan &amp; Tarif'!$B$4,2)</f>
        <v>340.68</v>
      </c>
      <c r="K29" s="42" t="n">
        <f aca="false">'Aturan &amp; Tarif'!$B$5</f>
        <v>2050</v>
      </c>
      <c r="L29" s="42" t="n">
        <f aca="false">'Aturan &amp; Tarif'!$B$6</f>
        <v>350</v>
      </c>
      <c r="M29" s="35" t="n">
        <f aca="false">I29+J29+K29+L29</f>
        <v>12264.68</v>
      </c>
      <c r="N29" s="45" t="s">
        <v>345</v>
      </c>
    </row>
    <row r="30" customFormat="false" ht="25.5" hidden="false" customHeight="true" outlineLevel="0" collapsed="false">
      <c r="A30" s="39"/>
      <c r="B30" s="40" t="s">
        <v>346</v>
      </c>
      <c r="C30" s="41" t="s">
        <v>344</v>
      </c>
      <c r="D30" s="41" t="s">
        <v>108</v>
      </c>
      <c r="E30" s="42" t="n">
        <v>4762</v>
      </c>
      <c r="F30" s="42"/>
      <c r="G30" s="42"/>
      <c r="H30" s="43" t="n">
        <v>2</v>
      </c>
      <c r="I30" s="34" t="n">
        <f aca="false">E30*H30+N(F30)+N(G30)</f>
        <v>9524</v>
      </c>
      <c r="J30" s="42" t="n">
        <f aca="false">ROUND(IFERROR(ROUND(IF(OR(ISNUMBER(SEARCH("week",C30)),ISNUMBER(SEARCH("minggu",C30))),IFERROR(_xlfn.NUMBERVALUE(SUBSTITUTE(LEFT(TRIM(C30),FIND(" ",TRIM(C30)&amp;" ")-1),",","."),"."),LEFT(SUBSTITUTE(LEFT(TRIM(C30),FIND(" ",TRIM(C30)&amp;" ")-1),",","."),FIND("/",SUBSTITUTE(LEFT(TRIM(C30),FIND(" ",TRIM(C30)&amp;" ")-1),",","."))-1)/MID(SUBSTITUTE(LEFT(TRIM(C30),FIND(" ",TRIM(C30)&amp;" ")-1),",","."),FIND("/",SUBSTITUTE(LEFT(TRIM(C30),FIND(" ",TRIM(C30)&amp;" ")-1),",","."))+1,9))*12/52,IF(ISNUMBER(SEARCH("month",C30)),IFERROR(_xlfn.NUMBERVALUE(SUBSTITUTE(LEFT(TRIM(C30),FIND(" ",TRIM(C30)&amp;" ")-1),",","."),"."),LEFT(SUBSTITUTE(LEFT(TRIM(C30),FIND(" ",TRIM(C30)&amp;" ")-1),",","."),FIND("/",SUBSTITUTE(LEFT(TRIM(C30),FIND(" ",TRIM(C30)&amp;" ")-1),",","."))-1)/MID(SUBSTITUTE(LEFT(TRIM(C30),FIND(" ",TRIM(C30)&amp;" ")-1),",","."),FIND("/",SUBSTITUTE(LEFT(TRIM(C30),FIND(" ",TRIM(C30)&amp;" ")-1),",","."))+1,9)),IF(ISNUMBER(SEARCH("yea",C30)),IFERROR(_xlfn.NUMBERVALUE(SUBSTITUTE(LEFT(TRIM(C30),FIND(" ",TRIM(C30)&amp;" ")-1),",","."),"."),LEFT(SUBSTITUTE(LEFT(TRIM(C30),FIND(" ",TRIM(C30)&amp;" ")-1),",","."),FIND("/",SUBSTITUTE(LEFT(TRIM(C30),FIND(" ",TRIM(C30)&amp;" ")-1),",","."))-1)/MID(SUBSTITUTE(LEFT(TRIM(C30),FIND(" ",TRIM(C30)&amp;" ")-1),",","."),FIND("/",SUBSTITUTE(LEFT(TRIM(C30),FIND(" ",TRIM(C30)&amp;" ")-1),",","."))+1,9))*12,NA()))),0),6)*'Aturan &amp; Tarif'!$B$4,2)</f>
        <v>340.68</v>
      </c>
      <c r="K30" s="42" t="n">
        <f aca="false">'Aturan &amp; Tarif'!$B$5</f>
        <v>2050</v>
      </c>
      <c r="L30" s="42" t="n">
        <f aca="false">'Aturan &amp; Tarif'!$B$6</f>
        <v>350</v>
      </c>
      <c r="M30" s="35" t="n">
        <f aca="false">I30+J30+K30+L30</f>
        <v>12264.68</v>
      </c>
      <c r="N30" s="45" t="s">
        <v>345</v>
      </c>
    </row>
    <row r="31" customFormat="false" ht="25.5" hidden="false" customHeight="true" outlineLevel="0" collapsed="false">
      <c r="A31" s="39"/>
      <c r="B31" s="40" t="s">
        <v>347</v>
      </c>
      <c r="C31" s="41" t="s">
        <v>344</v>
      </c>
      <c r="D31" s="41" t="s">
        <v>108</v>
      </c>
      <c r="E31" s="42" t="n">
        <v>4614</v>
      </c>
      <c r="F31" s="42"/>
      <c r="G31" s="42"/>
      <c r="H31" s="43" t="n">
        <v>2</v>
      </c>
      <c r="I31" s="34" t="n">
        <f aca="false">E31*H31+N(F31)+N(G31)</f>
        <v>9228</v>
      </c>
      <c r="J31" s="42" t="n">
        <f aca="false">ROUND(IFERROR(ROUND(IF(OR(ISNUMBER(SEARCH("week",C31)),ISNUMBER(SEARCH("minggu",C31))),IFERROR(_xlfn.NUMBERVALUE(SUBSTITUTE(LEFT(TRIM(C31),FIND(" ",TRIM(C31)&amp;" ")-1),",","."),"."),LEFT(SUBSTITUTE(LEFT(TRIM(C31),FIND(" ",TRIM(C31)&amp;" ")-1),",","."),FIND("/",SUBSTITUTE(LEFT(TRIM(C31),FIND(" ",TRIM(C31)&amp;" ")-1),",","."))-1)/MID(SUBSTITUTE(LEFT(TRIM(C31),FIND(" ",TRIM(C31)&amp;" ")-1),",","."),FIND("/",SUBSTITUTE(LEFT(TRIM(C31),FIND(" ",TRIM(C31)&amp;" ")-1),",","."))+1,9))*12/52,IF(ISNUMBER(SEARCH("month",C31)),IFERROR(_xlfn.NUMBERVALUE(SUBSTITUTE(LEFT(TRIM(C31),FIND(" ",TRIM(C31)&amp;" ")-1),",","."),"."),LEFT(SUBSTITUTE(LEFT(TRIM(C31),FIND(" ",TRIM(C31)&amp;" ")-1),",","."),FIND("/",SUBSTITUTE(LEFT(TRIM(C31),FIND(" ",TRIM(C31)&amp;" ")-1),",","."))-1)/MID(SUBSTITUTE(LEFT(TRIM(C31),FIND(" ",TRIM(C31)&amp;" ")-1),",","."),FIND("/",SUBSTITUTE(LEFT(TRIM(C31),FIND(" ",TRIM(C31)&amp;" ")-1),",","."))+1,9)),IF(ISNUMBER(SEARCH("yea",C31)),IFERROR(_xlfn.NUMBERVALUE(SUBSTITUTE(LEFT(TRIM(C31),FIND(" ",TRIM(C31)&amp;" ")-1),",","."),"."),LEFT(SUBSTITUTE(LEFT(TRIM(C31),FIND(" ",TRIM(C31)&amp;" ")-1),",","."),FIND("/",SUBSTITUTE(LEFT(TRIM(C31),FIND(" ",TRIM(C31)&amp;" ")-1),",","."))-1)/MID(SUBSTITUTE(LEFT(TRIM(C31),FIND(" ",TRIM(C31)&amp;" ")-1),",","."),FIND("/",SUBSTITUTE(LEFT(TRIM(C31),FIND(" ",TRIM(C31)&amp;" ")-1),",","."))+1,9))*12,NA()))),0),6)*'Aturan &amp; Tarif'!$B$4,2)</f>
        <v>340.68</v>
      </c>
      <c r="K31" s="42" t="n">
        <f aca="false">'Aturan &amp; Tarif'!$B$5</f>
        <v>2050</v>
      </c>
      <c r="L31" s="42" t="n">
        <f aca="false">'Aturan &amp; Tarif'!$B$6</f>
        <v>350</v>
      </c>
      <c r="M31" s="35" t="n">
        <f aca="false">I31+J31+K31+L31</f>
        <v>11968.68</v>
      </c>
      <c r="N31" s="45" t="s">
        <v>345</v>
      </c>
    </row>
    <row r="32" customFormat="false" ht="14.25" hidden="false" customHeight="true" outlineLevel="0" collapsed="false">
      <c r="A32" s="39"/>
      <c r="B32" s="40" t="s">
        <v>348</v>
      </c>
      <c r="C32" s="41" t="s">
        <v>107</v>
      </c>
      <c r="D32" s="41" t="s">
        <v>108</v>
      </c>
      <c r="E32" s="42" t="n">
        <v>9524</v>
      </c>
      <c r="F32" s="42"/>
      <c r="G32" s="42"/>
      <c r="H32" s="43" t="n">
        <v>2</v>
      </c>
      <c r="I32" s="34" t="n">
        <f aca="false">E32*H32+N(F32)+N(G32)</f>
        <v>19048</v>
      </c>
      <c r="J32" s="42" t="n">
        <f aca="false">ROUND(IFERROR(ROUND(IF(OR(ISNUMBER(SEARCH("week",C32)),ISNUMBER(SEARCH("minggu",C32))),IFERROR(_xlfn.NUMBERVALUE(SUBSTITUTE(LEFT(TRIM(C32),FIND(" ",TRIM(C32)&amp;" ")-1),",","."),"."),LEFT(SUBSTITUTE(LEFT(TRIM(C32),FIND(" ",TRIM(C32)&amp;" ")-1),",","."),FIND("/",SUBSTITUTE(LEFT(TRIM(C32),FIND(" ",TRIM(C32)&amp;" ")-1),",","."))-1)/MID(SUBSTITUTE(LEFT(TRIM(C32),FIND(" ",TRIM(C32)&amp;" ")-1),",","."),FIND("/",SUBSTITUTE(LEFT(TRIM(C32),FIND(" ",TRIM(C32)&amp;" ")-1),",","."))+1,9))*12/52,IF(ISNUMBER(SEARCH("month",C32)),IFERROR(_xlfn.NUMBERVALUE(SUBSTITUTE(LEFT(TRIM(C32),FIND(" ",TRIM(C32)&amp;" ")-1),",","."),"."),LEFT(SUBSTITUTE(LEFT(TRIM(C32),FIND(" ",TRIM(C32)&amp;" ")-1),",","."),FIND("/",SUBSTITUTE(LEFT(TRIM(C32),FIND(" ",TRIM(C32)&amp;" ")-1),",","."))-1)/MID(SUBSTITUTE(LEFT(TRIM(C32),FIND(" ",TRIM(C32)&amp;" ")-1),",","."),FIND("/",SUBSTITUTE(LEFT(TRIM(C32),FIND(" ",TRIM(C32)&amp;" ")-1),",","."))+1,9)),IF(ISNUMBER(SEARCH("yea",C32)),IFERROR(_xlfn.NUMBERVALUE(SUBSTITUTE(LEFT(TRIM(C32),FIND(" ",TRIM(C32)&amp;" ")-1),",","."),"."),LEFT(SUBSTITUTE(LEFT(TRIM(C32),FIND(" ",TRIM(C32)&amp;" ")-1),",","."),FIND("/",SUBSTITUTE(LEFT(TRIM(C32),FIND(" ",TRIM(C32)&amp;" ")-1),",","."))-1)/MID(SUBSTITUTE(LEFT(TRIM(C32),FIND(" ",TRIM(C32)&amp;" ")-1),",","."),FIND("/",SUBSTITUTE(LEFT(TRIM(C32),FIND(" ",TRIM(C32)&amp;" ")-1),",","."))+1,9))*12,NA()))),0),24)*'Aturan &amp; Tarif'!$B$4,2)</f>
        <v>1362.72</v>
      </c>
      <c r="K32" s="42" t="n">
        <f aca="false">'Aturan &amp; Tarif'!$B$5</f>
        <v>2050</v>
      </c>
      <c r="L32" s="42" t="n">
        <f aca="false">'Aturan &amp; Tarif'!$B$6</f>
        <v>350</v>
      </c>
      <c r="M32" s="35" t="n">
        <f aca="false">I32+J32+K32+L32</f>
        <v>22810.72</v>
      </c>
      <c r="N32" s="45" t="s">
        <v>318</v>
      </c>
    </row>
    <row r="33" customFormat="false" ht="14.25" hidden="false" customHeight="true" outlineLevel="0" collapsed="false">
      <c r="A33" s="39"/>
      <c r="B33" s="40" t="s">
        <v>349</v>
      </c>
      <c r="C33" s="41" t="s">
        <v>107</v>
      </c>
      <c r="D33" s="41" t="s">
        <v>108</v>
      </c>
      <c r="E33" s="42" t="n">
        <v>9524</v>
      </c>
      <c r="F33" s="42"/>
      <c r="G33" s="42"/>
      <c r="H33" s="43" t="n">
        <v>2</v>
      </c>
      <c r="I33" s="34" t="n">
        <f aca="false">E33*H33+N(F33)+N(G33)</f>
        <v>19048</v>
      </c>
      <c r="J33" s="42" t="n">
        <f aca="false">ROUND(IFERROR(ROUND(IF(OR(ISNUMBER(SEARCH("week",C33)),ISNUMBER(SEARCH("minggu",C33))),IFERROR(_xlfn.NUMBERVALUE(SUBSTITUTE(LEFT(TRIM(C33),FIND(" ",TRIM(C33)&amp;" ")-1),",","."),"."),LEFT(SUBSTITUTE(LEFT(TRIM(C33),FIND(" ",TRIM(C33)&amp;" ")-1),",","."),FIND("/",SUBSTITUTE(LEFT(TRIM(C33),FIND(" ",TRIM(C33)&amp;" ")-1),",","."))-1)/MID(SUBSTITUTE(LEFT(TRIM(C33),FIND(" ",TRIM(C33)&amp;" ")-1),",","."),FIND("/",SUBSTITUTE(LEFT(TRIM(C33),FIND(" ",TRIM(C33)&amp;" ")-1),",","."))+1,9))*12/52,IF(ISNUMBER(SEARCH("month",C33)),IFERROR(_xlfn.NUMBERVALUE(SUBSTITUTE(LEFT(TRIM(C33),FIND(" ",TRIM(C33)&amp;" ")-1),",","."),"."),LEFT(SUBSTITUTE(LEFT(TRIM(C33),FIND(" ",TRIM(C33)&amp;" ")-1),",","."),FIND("/",SUBSTITUTE(LEFT(TRIM(C33),FIND(" ",TRIM(C33)&amp;" ")-1),",","."))-1)/MID(SUBSTITUTE(LEFT(TRIM(C33),FIND(" ",TRIM(C33)&amp;" ")-1),",","."),FIND("/",SUBSTITUTE(LEFT(TRIM(C33),FIND(" ",TRIM(C33)&amp;" ")-1),",","."))+1,9)),IF(ISNUMBER(SEARCH("yea",C33)),IFERROR(_xlfn.NUMBERVALUE(SUBSTITUTE(LEFT(TRIM(C33),FIND(" ",TRIM(C33)&amp;" ")-1),",","."),"."),LEFT(SUBSTITUTE(LEFT(TRIM(C33),FIND(" ",TRIM(C33)&amp;" ")-1),",","."),FIND("/",SUBSTITUTE(LEFT(TRIM(C33),FIND(" ",TRIM(C33)&amp;" ")-1),",","."))-1)/MID(SUBSTITUTE(LEFT(TRIM(C33),FIND(" ",TRIM(C33)&amp;" ")-1),",","."),FIND("/",SUBSTITUTE(LEFT(TRIM(C33),FIND(" ",TRIM(C33)&amp;" ")-1),",","."))+1,9))*12,NA()))),0),24)*'Aturan &amp; Tarif'!$B$4,2)</f>
        <v>1362.72</v>
      </c>
      <c r="K33" s="42" t="n">
        <f aca="false">'Aturan &amp; Tarif'!$B$5</f>
        <v>2050</v>
      </c>
      <c r="L33" s="42" t="n">
        <f aca="false">'Aturan &amp; Tarif'!$B$6</f>
        <v>350</v>
      </c>
      <c r="M33" s="35" t="n">
        <f aca="false">I33+J33+K33+L33</f>
        <v>22810.72</v>
      </c>
      <c r="N33" s="45" t="s">
        <v>318</v>
      </c>
    </row>
    <row r="34" customFormat="false" ht="14.25" hidden="false" customHeight="true" outlineLevel="0" collapsed="false">
      <c r="A34" s="39"/>
      <c r="B34" s="40" t="s">
        <v>167</v>
      </c>
      <c r="C34" s="41" t="s">
        <v>107</v>
      </c>
      <c r="D34" s="41" t="s">
        <v>108</v>
      </c>
      <c r="E34" s="42" t="n">
        <v>9524</v>
      </c>
      <c r="F34" s="42"/>
      <c r="G34" s="42"/>
      <c r="H34" s="43" t="n">
        <v>2</v>
      </c>
      <c r="I34" s="34" t="n">
        <f aca="false">E34*H34+N(F34)+N(G34)</f>
        <v>19048</v>
      </c>
      <c r="J34" s="42" t="n">
        <f aca="false">ROUND(IFERROR(ROUND(IF(OR(ISNUMBER(SEARCH("week",C34)),ISNUMBER(SEARCH("minggu",C34))),IFERROR(_xlfn.NUMBERVALUE(SUBSTITUTE(LEFT(TRIM(C34),FIND(" ",TRIM(C34)&amp;" ")-1),",","."),"."),LEFT(SUBSTITUTE(LEFT(TRIM(C34),FIND(" ",TRIM(C34)&amp;" ")-1),",","."),FIND("/",SUBSTITUTE(LEFT(TRIM(C34),FIND(" ",TRIM(C34)&amp;" ")-1),",","."))-1)/MID(SUBSTITUTE(LEFT(TRIM(C34),FIND(" ",TRIM(C34)&amp;" ")-1),",","."),FIND("/",SUBSTITUTE(LEFT(TRIM(C34),FIND(" ",TRIM(C34)&amp;" ")-1),",","."))+1,9))*12/52,IF(ISNUMBER(SEARCH("month",C34)),IFERROR(_xlfn.NUMBERVALUE(SUBSTITUTE(LEFT(TRIM(C34),FIND(" ",TRIM(C34)&amp;" ")-1),",","."),"."),LEFT(SUBSTITUTE(LEFT(TRIM(C34),FIND(" ",TRIM(C34)&amp;" ")-1),",","."),FIND("/",SUBSTITUTE(LEFT(TRIM(C34),FIND(" ",TRIM(C34)&amp;" ")-1),",","."))-1)/MID(SUBSTITUTE(LEFT(TRIM(C34),FIND(" ",TRIM(C34)&amp;" ")-1),",","."),FIND("/",SUBSTITUTE(LEFT(TRIM(C34),FIND(" ",TRIM(C34)&amp;" ")-1),",","."))+1,9)),IF(ISNUMBER(SEARCH("yea",C34)),IFERROR(_xlfn.NUMBERVALUE(SUBSTITUTE(LEFT(TRIM(C34),FIND(" ",TRIM(C34)&amp;" ")-1),",","."),"."),LEFT(SUBSTITUTE(LEFT(TRIM(C34),FIND(" ",TRIM(C34)&amp;" ")-1),",","."),FIND("/",SUBSTITUTE(LEFT(TRIM(C34),FIND(" ",TRIM(C34)&amp;" ")-1),",","."))-1)/MID(SUBSTITUTE(LEFT(TRIM(C34),FIND(" ",TRIM(C34)&amp;" ")-1),",","."),FIND("/",SUBSTITUTE(LEFT(TRIM(C34),FIND(" ",TRIM(C34)&amp;" ")-1),",","."))+1,9))*12,NA()))),0),24)*'Aturan &amp; Tarif'!$B$4,2)</f>
        <v>1362.72</v>
      </c>
      <c r="K34" s="42" t="n">
        <f aca="false">'Aturan &amp; Tarif'!$B$5</f>
        <v>2050</v>
      </c>
      <c r="L34" s="42" t="n">
        <f aca="false">'Aturan &amp; Tarif'!$B$6</f>
        <v>350</v>
      </c>
      <c r="M34" s="35" t="n">
        <f aca="false">I34+J34+K34+L34</f>
        <v>22810.72</v>
      </c>
      <c r="N34" s="45" t="s">
        <v>318</v>
      </c>
    </row>
    <row r="35" customFormat="false" ht="14.25" hidden="false" customHeight="true" outlineLevel="0" collapsed="false">
      <c r="A35" s="39"/>
      <c r="B35" s="40" t="s">
        <v>236</v>
      </c>
      <c r="C35" s="41" t="s">
        <v>127</v>
      </c>
      <c r="D35" s="41" t="s">
        <v>108</v>
      </c>
      <c r="E35" s="42" t="n">
        <v>8906</v>
      </c>
      <c r="F35" s="42"/>
      <c r="G35" s="42"/>
      <c r="H35" s="43" t="n">
        <v>2</v>
      </c>
      <c r="I35" s="34" t="n">
        <f aca="false">E35*H35+N(F35)+N(G35)</f>
        <v>17812</v>
      </c>
      <c r="J35" s="42" t="n">
        <f aca="false">ROUND(IFERROR(ROUND(IF(OR(ISNUMBER(SEARCH("week",C35)),ISNUMBER(SEARCH("minggu",C35))),IFERROR(_xlfn.NUMBERVALUE(SUBSTITUTE(LEFT(TRIM(C35),FIND(" ",TRIM(C35)&amp;" ")-1),",","."),"."),LEFT(SUBSTITUTE(LEFT(TRIM(C35),FIND(" ",TRIM(C35)&amp;" ")-1),",","."),FIND("/",SUBSTITUTE(LEFT(TRIM(C35),FIND(" ",TRIM(C35)&amp;" ")-1),",","."))-1)/MID(SUBSTITUTE(LEFT(TRIM(C35),FIND(" ",TRIM(C35)&amp;" ")-1),",","."),FIND("/",SUBSTITUTE(LEFT(TRIM(C35),FIND(" ",TRIM(C35)&amp;" ")-1),",","."))+1,9))*12/52,IF(ISNUMBER(SEARCH("month",C35)),IFERROR(_xlfn.NUMBERVALUE(SUBSTITUTE(LEFT(TRIM(C35),FIND(" ",TRIM(C35)&amp;" ")-1),",","."),"."),LEFT(SUBSTITUTE(LEFT(TRIM(C35),FIND(" ",TRIM(C35)&amp;" ")-1),",","."),FIND("/",SUBSTITUTE(LEFT(TRIM(C35),FIND(" ",TRIM(C35)&amp;" ")-1),",","."))-1)/MID(SUBSTITUTE(LEFT(TRIM(C35),FIND(" ",TRIM(C35)&amp;" ")-1),",","."),FIND("/",SUBSTITUTE(LEFT(TRIM(C35),FIND(" ",TRIM(C35)&amp;" ")-1),",","."))+1,9)),IF(ISNUMBER(SEARCH("yea",C35)),IFERROR(_xlfn.NUMBERVALUE(SUBSTITUTE(LEFT(TRIM(C35),FIND(" ",TRIM(C35)&amp;" ")-1),",","."),"."),LEFT(SUBSTITUTE(LEFT(TRIM(C35),FIND(" ",TRIM(C35)&amp;" ")-1),",","."),FIND("/",SUBSTITUTE(LEFT(TRIM(C35),FIND(" ",TRIM(C35)&amp;" ")-1),",","."))-1)/MID(SUBSTITUTE(LEFT(TRIM(C35),FIND(" ",TRIM(C35)&amp;" ")-1),",","."),FIND("/",SUBSTITUTE(LEFT(TRIM(C35),FIND(" ",TRIM(C35)&amp;" ")-1),",","."))+1,9))*12,NA()))),0),36)*'Aturan &amp; Tarif'!$B$4,2)</f>
        <v>2044.08</v>
      </c>
      <c r="K35" s="42" t="n">
        <f aca="false">'Aturan &amp; Tarif'!$B$5</f>
        <v>2050</v>
      </c>
      <c r="L35" s="42" t="n">
        <f aca="false">'Aturan &amp; Tarif'!$B$6</f>
        <v>350</v>
      </c>
      <c r="M35" s="35" t="n">
        <f aca="false">I35+J35+K35+L35</f>
        <v>22256.08</v>
      </c>
      <c r="N35" s="45" t="s">
        <v>318</v>
      </c>
    </row>
    <row r="36" customFormat="false" ht="25.5" hidden="false" customHeight="true" outlineLevel="0" collapsed="false">
      <c r="A36" s="39"/>
      <c r="B36" s="40" t="s">
        <v>350</v>
      </c>
      <c r="C36" s="41" t="s">
        <v>191</v>
      </c>
      <c r="D36" s="41" t="s">
        <v>108</v>
      </c>
      <c r="E36" s="42" t="n">
        <v>8906</v>
      </c>
      <c r="F36" s="42"/>
      <c r="G36" s="42"/>
      <c r="H36" s="43" t="n">
        <v>2</v>
      </c>
      <c r="I36" s="34" t="n">
        <f aca="false">E36*H36+N(F36)+N(G36)</f>
        <v>17812</v>
      </c>
      <c r="J36" s="42" t="n">
        <f aca="false">ROUND(IFERROR(ROUND(IF(OR(ISNUMBER(SEARCH("week",C36)),ISNUMBER(SEARCH("minggu",C36))),IFERROR(_xlfn.NUMBERVALUE(SUBSTITUTE(LEFT(TRIM(C36),FIND(" ",TRIM(C36)&amp;" ")-1),",","."),"."),LEFT(SUBSTITUTE(LEFT(TRIM(C36),FIND(" ",TRIM(C36)&amp;" ")-1),",","."),FIND("/",SUBSTITUTE(LEFT(TRIM(C36),FIND(" ",TRIM(C36)&amp;" ")-1),",","."))-1)/MID(SUBSTITUTE(LEFT(TRIM(C36),FIND(" ",TRIM(C36)&amp;" ")-1),",","."),FIND("/",SUBSTITUTE(LEFT(TRIM(C36),FIND(" ",TRIM(C36)&amp;" ")-1),",","."))+1,9))*12/52,IF(ISNUMBER(SEARCH("month",C36)),IFERROR(_xlfn.NUMBERVALUE(SUBSTITUTE(LEFT(TRIM(C36),FIND(" ",TRIM(C36)&amp;" ")-1),",","."),"."),LEFT(SUBSTITUTE(LEFT(TRIM(C36),FIND(" ",TRIM(C36)&amp;" ")-1),",","."),FIND("/",SUBSTITUTE(LEFT(TRIM(C36),FIND(" ",TRIM(C36)&amp;" ")-1),",","."))-1)/MID(SUBSTITUTE(LEFT(TRIM(C36),FIND(" ",TRIM(C36)&amp;" ")-1),",","."),FIND("/",SUBSTITUTE(LEFT(TRIM(C36),FIND(" ",TRIM(C36)&amp;" ")-1),",","."))+1,9)),IF(ISNUMBER(SEARCH("yea",C36)),IFERROR(_xlfn.NUMBERVALUE(SUBSTITUTE(LEFT(TRIM(C36),FIND(" ",TRIM(C36)&amp;" ")-1),",","."),"."),LEFT(SUBSTITUTE(LEFT(TRIM(C36),FIND(" ",TRIM(C36)&amp;" ")-1),",","."),FIND("/",SUBSTITUTE(LEFT(TRIM(C36),FIND(" ",TRIM(C36)&amp;" ")-1),",","."))-1)/MID(SUBSTITUTE(LEFT(TRIM(C36),FIND(" ",TRIM(C36)&amp;" ")-1),",","."),FIND("/",SUBSTITUTE(LEFT(TRIM(C36),FIND(" ",TRIM(C36)&amp;" ")-1),",","."))+1,9))*12,NA()))),0),48)*'Aturan &amp; Tarif'!$B$4,2)</f>
        <v>2725.44</v>
      </c>
      <c r="K36" s="42" t="n">
        <f aca="false">'Aturan &amp; Tarif'!$B$5</f>
        <v>2050</v>
      </c>
      <c r="L36" s="42" t="n">
        <f aca="false">'Aturan &amp; Tarif'!$B$6</f>
        <v>350</v>
      </c>
      <c r="M36" s="35" t="n">
        <f aca="false">I36+J36+K36+L36</f>
        <v>22937.44</v>
      </c>
      <c r="N36" s="45" t="s">
        <v>318</v>
      </c>
    </row>
    <row r="37" customFormat="false" ht="25.5" hidden="false" customHeight="true" outlineLevel="0" collapsed="false">
      <c r="A37" s="39"/>
      <c r="B37" s="40" t="s">
        <v>351</v>
      </c>
      <c r="C37" s="41" t="s">
        <v>191</v>
      </c>
      <c r="D37" s="41" t="s">
        <v>108</v>
      </c>
      <c r="E37" s="42" t="n">
        <v>8906</v>
      </c>
      <c r="F37" s="42"/>
      <c r="G37" s="42"/>
      <c r="H37" s="43" t="n">
        <v>2</v>
      </c>
      <c r="I37" s="34" t="n">
        <f aca="false">E37*H37+N(F37)+N(G37)</f>
        <v>17812</v>
      </c>
      <c r="J37" s="42" t="n">
        <f aca="false">ROUND(IFERROR(ROUND(IF(OR(ISNUMBER(SEARCH("week",C37)),ISNUMBER(SEARCH("minggu",C37))),IFERROR(_xlfn.NUMBERVALUE(SUBSTITUTE(LEFT(TRIM(C37),FIND(" ",TRIM(C37)&amp;" ")-1),",","."),"."),LEFT(SUBSTITUTE(LEFT(TRIM(C37),FIND(" ",TRIM(C37)&amp;" ")-1),",","."),FIND("/",SUBSTITUTE(LEFT(TRIM(C37),FIND(" ",TRIM(C37)&amp;" ")-1),",","."))-1)/MID(SUBSTITUTE(LEFT(TRIM(C37),FIND(" ",TRIM(C37)&amp;" ")-1),",","."),FIND("/",SUBSTITUTE(LEFT(TRIM(C37),FIND(" ",TRIM(C37)&amp;" ")-1),",","."))+1,9))*12/52,IF(ISNUMBER(SEARCH("month",C37)),IFERROR(_xlfn.NUMBERVALUE(SUBSTITUTE(LEFT(TRIM(C37),FIND(" ",TRIM(C37)&amp;" ")-1),",","."),"."),LEFT(SUBSTITUTE(LEFT(TRIM(C37),FIND(" ",TRIM(C37)&amp;" ")-1),",","."),FIND("/",SUBSTITUTE(LEFT(TRIM(C37),FIND(" ",TRIM(C37)&amp;" ")-1),",","."))-1)/MID(SUBSTITUTE(LEFT(TRIM(C37),FIND(" ",TRIM(C37)&amp;" ")-1),",","."),FIND("/",SUBSTITUTE(LEFT(TRIM(C37),FIND(" ",TRIM(C37)&amp;" ")-1),",","."))+1,9)),IF(ISNUMBER(SEARCH("yea",C37)),IFERROR(_xlfn.NUMBERVALUE(SUBSTITUTE(LEFT(TRIM(C37),FIND(" ",TRIM(C37)&amp;" ")-1),",","."),"."),LEFT(SUBSTITUTE(LEFT(TRIM(C37),FIND(" ",TRIM(C37)&amp;" ")-1),",","."),FIND("/",SUBSTITUTE(LEFT(TRIM(C37),FIND(" ",TRIM(C37)&amp;" ")-1),",","."))-1)/MID(SUBSTITUTE(LEFT(TRIM(C37),FIND(" ",TRIM(C37)&amp;" ")-1),",","."),FIND("/",SUBSTITUTE(LEFT(TRIM(C37),FIND(" ",TRIM(C37)&amp;" ")-1),",","."))+1,9))*12,NA()))),0),48)*'Aturan &amp; Tarif'!$B$4,2)</f>
        <v>2725.44</v>
      </c>
      <c r="K37" s="42" t="n">
        <f aca="false">'Aturan &amp; Tarif'!$B$5</f>
        <v>2050</v>
      </c>
      <c r="L37" s="42" t="n">
        <f aca="false">'Aturan &amp; Tarif'!$B$6</f>
        <v>350</v>
      </c>
      <c r="M37" s="35" t="n">
        <f aca="false">I37+J37+K37+L37</f>
        <v>22937.44</v>
      </c>
      <c r="N37" s="45" t="s">
        <v>318</v>
      </c>
    </row>
    <row r="38" customFormat="false" ht="25.5" hidden="false" customHeight="true" outlineLevel="0" collapsed="false">
      <c r="A38" s="39"/>
      <c r="B38" s="40" t="s">
        <v>352</v>
      </c>
      <c r="C38" s="41" t="s">
        <v>191</v>
      </c>
      <c r="D38" s="41" t="s">
        <v>108</v>
      </c>
      <c r="E38" s="42" t="n">
        <v>8906</v>
      </c>
      <c r="F38" s="42"/>
      <c r="G38" s="42"/>
      <c r="H38" s="43" t="n">
        <v>2</v>
      </c>
      <c r="I38" s="34" t="n">
        <f aca="false">E38*H38+N(F38)+N(G38)</f>
        <v>17812</v>
      </c>
      <c r="J38" s="42" t="n">
        <f aca="false">ROUND(IFERROR(ROUND(IF(OR(ISNUMBER(SEARCH("week",C38)),ISNUMBER(SEARCH("minggu",C38))),IFERROR(_xlfn.NUMBERVALUE(SUBSTITUTE(LEFT(TRIM(C38),FIND(" ",TRIM(C38)&amp;" ")-1),",","."),"."),LEFT(SUBSTITUTE(LEFT(TRIM(C38),FIND(" ",TRIM(C38)&amp;" ")-1),",","."),FIND("/",SUBSTITUTE(LEFT(TRIM(C38),FIND(" ",TRIM(C38)&amp;" ")-1),",","."))-1)/MID(SUBSTITUTE(LEFT(TRIM(C38),FIND(" ",TRIM(C38)&amp;" ")-1),",","."),FIND("/",SUBSTITUTE(LEFT(TRIM(C38),FIND(" ",TRIM(C38)&amp;" ")-1),",","."))+1,9))*12/52,IF(ISNUMBER(SEARCH("month",C38)),IFERROR(_xlfn.NUMBERVALUE(SUBSTITUTE(LEFT(TRIM(C38),FIND(" ",TRIM(C38)&amp;" ")-1),",","."),"."),LEFT(SUBSTITUTE(LEFT(TRIM(C38),FIND(" ",TRIM(C38)&amp;" ")-1),",","."),FIND("/",SUBSTITUTE(LEFT(TRIM(C38),FIND(" ",TRIM(C38)&amp;" ")-1),",","."))-1)/MID(SUBSTITUTE(LEFT(TRIM(C38),FIND(" ",TRIM(C38)&amp;" ")-1),",","."),FIND("/",SUBSTITUTE(LEFT(TRIM(C38),FIND(" ",TRIM(C38)&amp;" ")-1),",","."))+1,9)),IF(ISNUMBER(SEARCH("yea",C38)),IFERROR(_xlfn.NUMBERVALUE(SUBSTITUTE(LEFT(TRIM(C38),FIND(" ",TRIM(C38)&amp;" ")-1),",","."),"."),LEFT(SUBSTITUTE(LEFT(TRIM(C38),FIND(" ",TRIM(C38)&amp;" ")-1),",","."),FIND("/",SUBSTITUTE(LEFT(TRIM(C38),FIND(" ",TRIM(C38)&amp;" ")-1),",","."))-1)/MID(SUBSTITUTE(LEFT(TRIM(C38),FIND(" ",TRIM(C38)&amp;" ")-1),",","."),FIND("/",SUBSTITUTE(LEFT(TRIM(C38),FIND(" ",TRIM(C38)&amp;" ")-1),",","."))+1,9))*12,NA()))),0),48)*'Aturan &amp; Tarif'!$B$4,2)</f>
        <v>2725.44</v>
      </c>
      <c r="K38" s="42" t="n">
        <f aca="false">'Aturan &amp; Tarif'!$B$5</f>
        <v>2050</v>
      </c>
      <c r="L38" s="42" t="n">
        <f aca="false">'Aturan &amp; Tarif'!$B$6</f>
        <v>350</v>
      </c>
      <c r="M38" s="35" t="n">
        <f aca="false">I38+J38+K38+L38</f>
        <v>22937.44</v>
      </c>
      <c r="N38" s="45" t="s">
        <v>318</v>
      </c>
    </row>
    <row r="39" customFormat="false" ht="25.5" hidden="false" customHeight="true" outlineLevel="0" collapsed="false">
      <c r="A39" s="39"/>
      <c r="B39" s="40" t="s">
        <v>353</v>
      </c>
      <c r="C39" s="41" t="s">
        <v>191</v>
      </c>
      <c r="D39" s="41" t="s">
        <v>108</v>
      </c>
      <c r="E39" s="42" t="n">
        <v>8906</v>
      </c>
      <c r="F39" s="42"/>
      <c r="G39" s="42"/>
      <c r="H39" s="43" t="n">
        <v>2</v>
      </c>
      <c r="I39" s="34" t="n">
        <f aca="false">E39*H39+N(F39)+N(G39)</f>
        <v>17812</v>
      </c>
      <c r="J39" s="42" t="n">
        <f aca="false">ROUND(IFERROR(ROUND(IF(OR(ISNUMBER(SEARCH("week",C39)),ISNUMBER(SEARCH("minggu",C39))),IFERROR(_xlfn.NUMBERVALUE(SUBSTITUTE(LEFT(TRIM(C39),FIND(" ",TRIM(C39)&amp;" ")-1),",","."),"."),LEFT(SUBSTITUTE(LEFT(TRIM(C39),FIND(" ",TRIM(C39)&amp;" ")-1),",","."),FIND("/",SUBSTITUTE(LEFT(TRIM(C39),FIND(" ",TRIM(C39)&amp;" ")-1),",","."))-1)/MID(SUBSTITUTE(LEFT(TRIM(C39),FIND(" ",TRIM(C39)&amp;" ")-1),",","."),FIND("/",SUBSTITUTE(LEFT(TRIM(C39),FIND(" ",TRIM(C39)&amp;" ")-1),",","."))+1,9))*12/52,IF(ISNUMBER(SEARCH("month",C39)),IFERROR(_xlfn.NUMBERVALUE(SUBSTITUTE(LEFT(TRIM(C39),FIND(" ",TRIM(C39)&amp;" ")-1),",","."),"."),LEFT(SUBSTITUTE(LEFT(TRIM(C39),FIND(" ",TRIM(C39)&amp;" ")-1),",","."),FIND("/",SUBSTITUTE(LEFT(TRIM(C39),FIND(" ",TRIM(C39)&amp;" ")-1),",","."))-1)/MID(SUBSTITUTE(LEFT(TRIM(C39),FIND(" ",TRIM(C39)&amp;" ")-1),",","."),FIND("/",SUBSTITUTE(LEFT(TRIM(C39),FIND(" ",TRIM(C39)&amp;" ")-1),",","."))+1,9)),IF(ISNUMBER(SEARCH("yea",C39)),IFERROR(_xlfn.NUMBERVALUE(SUBSTITUTE(LEFT(TRIM(C39),FIND(" ",TRIM(C39)&amp;" ")-1),",","."),"."),LEFT(SUBSTITUTE(LEFT(TRIM(C39),FIND(" ",TRIM(C39)&amp;" ")-1),",","."),FIND("/",SUBSTITUTE(LEFT(TRIM(C39),FIND(" ",TRIM(C39)&amp;" ")-1),",","."))-1)/MID(SUBSTITUTE(LEFT(TRIM(C39),FIND(" ",TRIM(C39)&amp;" ")-1),",","."),FIND("/",SUBSTITUTE(LEFT(TRIM(C39),FIND(" ",TRIM(C39)&amp;" ")-1),",","."))+1,9))*12,NA()))),0),48)*'Aturan &amp; Tarif'!$B$4,2)</f>
        <v>2725.44</v>
      </c>
      <c r="K39" s="42" t="n">
        <f aca="false">'Aturan &amp; Tarif'!$B$5</f>
        <v>2050</v>
      </c>
      <c r="L39" s="42" t="n">
        <f aca="false">'Aturan &amp; Tarif'!$B$6</f>
        <v>350</v>
      </c>
      <c r="M39" s="35" t="n">
        <f aca="false">I39+J39+K39+L39</f>
        <v>22937.44</v>
      </c>
      <c r="N39" s="45" t="s">
        <v>318</v>
      </c>
    </row>
    <row r="40" customFormat="false" ht="25.5" hidden="false" customHeight="true" outlineLevel="0" collapsed="false">
      <c r="A40" s="39"/>
      <c r="B40" s="40" t="s">
        <v>354</v>
      </c>
      <c r="C40" s="41" t="s">
        <v>191</v>
      </c>
      <c r="D40" s="41" t="s">
        <v>108</v>
      </c>
      <c r="E40" s="42" t="n">
        <v>9706</v>
      </c>
      <c r="F40" s="42"/>
      <c r="G40" s="42"/>
      <c r="H40" s="43" t="n">
        <v>2</v>
      </c>
      <c r="I40" s="34" t="n">
        <f aca="false">E40*H40+N(F40)+N(G40)</f>
        <v>19412</v>
      </c>
      <c r="J40" s="42" t="n">
        <f aca="false">ROUND(IFERROR(ROUND(IF(OR(ISNUMBER(SEARCH("week",C40)),ISNUMBER(SEARCH("minggu",C40))),IFERROR(_xlfn.NUMBERVALUE(SUBSTITUTE(LEFT(TRIM(C40),FIND(" ",TRIM(C40)&amp;" ")-1),",","."),"."),LEFT(SUBSTITUTE(LEFT(TRIM(C40),FIND(" ",TRIM(C40)&amp;" ")-1),",","."),FIND("/",SUBSTITUTE(LEFT(TRIM(C40),FIND(" ",TRIM(C40)&amp;" ")-1),",","."))-1)/MID(SUBSTITUTE(LEFT(TRIM(C40),FIND(" ",TRIM(C40)&amp;" ")-1),",","."),FIND("/",SUBSTITUTE(LEFT(TRIM(C40),FIND(" ",TRIM(C40)&amp;" ")-1),",","."))+1,9))*12/52,IF(ISNUMBER(SEARCH("month",C40)),IFERROR(_xlfn.NUMBERVALUE(SUBSTITUTE(LEFT(TRIM(C40),FIND(" ",TRIM(C40)&amp;" ")-1),",","."),"."),LEFT(SUBSTITUTE(LEFT(TRIM(C40),FIND(" ",TRIM(C40)&amp;" ")-1),",","."),FIND("/",SUBSTITUTE(LEFT(TRIM(C40),FIND(" ",TRIM(C40)&amp;" ")-1),",","."))-1)/MID(SUBSTITUTE(LEFT(TRIM(C40),FIND(" ",TRIM(C40)&amp;" ")-1),",","."),FIND("/",SUBSTITUTE(LEFT(TRIM(C40),FIND(" ",TRIM(C40)&amp;" ")-1),",","."))+1,9)),IF(ISNUMBER(SEARCH("yea",C40)),IFERROR(_xlfn.NUMBERVALUE(SUBSTITUTE(LEFT(TRIM(C40),FIND(" ",TRIM(C40)&amp;" ")-1),",","."),"."),LEFT(SUBSTITUTE(LEFT(TRIM(C40),FIND(" ",TRIM(C40)&amp;" ")-1),",","."),FIND("/",SUBSTITUTE(LEFT(TRIM(C40),FIND(" ",TRIM(C40)&amp;" ")-1),",","."))-1)/MID(SUBSTITUTE(LEFT(TRIM(C40),FIND(" ",TRIM(C40)&amp;" ")-1),",","."),FIND("/",SUBSTITUTE(LEFT(TRIM(C40),FIND(" ",TRIM(C40)&amp;" ")-1),",","."))+1,9))*12,NA()))),0),48)*'Aturan &amp; Tarif'!$B$4,2)</f>
        <v>2725.44</v>
      </c>
      <c r="K40" s="42" t="n">
        <f aca="false">'Aturan &amp; Tarif'!$B$5</f>
        <v>2050</v>
      </c>
      <c r="L40" s="42" t="n">
        <f aca="false">'Aturan &amp; Tarif'!$B$6</f>
        <v>350</v>
      </c>
      <c r="M40" s="35" t="n">
        <f aca="false">I40+J40+K40+L40</f>
        <v>24537.44</v>
      </c>
      <c r="N40" s="45" t="s">
        <v>318</v>
      </c>
    </row>
    <row r="41" customFormat="false" ht="14.25" hidden="false" customHeight="true" outlineLevel="0" collapsed="false">
      <c r="A41" s="39"/>
      <c r="B41" s="40" t="s">
        <v>355</v>
      </c>
      <c r="C41" s="41" t="s">
        <v>127</v>
      </c>
      <c r="D41" s="41" t="s">
        <v>108</v>
      </c>
      <c r="E41" s="42" t="n">
        <v>8906</v>
      </c>
      <c r="F41" s="42"/>
      <c r="G41" s="42"/>
      <c r="H41" s="43" t="n">
        <v>2</v>
      </c>
      <c r="I41" s="34" t="n">
        <f aca="false">E41*H41+N(F41)+N(G41)</f>
        <v>17812</v>
      </c>
      <c r="J41" s="42" t="n">
        <f aca="false">ROUND(IFERROR(ROUND(IF(OR(ISNUMBER(SEARCH("week",C41)),ISNUMBER(SEARCH("minggu",C41))),IFERROR(_xlfn.NUMBERVALUE(SUBSTITUTE(LEFT(TRIM(C41),FIND(" ",TRIM(C41)&amp;" ")-1),",","."),"."),LEFT(SUBSTITUTE(LEFT(TRIM(C41),FIND(" ",TRIM(C41)&amp;" ")-1),",","."),FIND("/",SUBSTITUTE(LEFT(TRIM(C41),FIND(" ",TRIM(C41)&amp;" ")-1),",","."))-1)/MID(SUBSTITUTE(LEFT(TRIM(C41),FIND(" ",TRIM(C41)&amp;" ")-1),",","."),FIND("/",SUBSTITUTE(LEFT(TRIM(C41),FIND(" ",TRIM(C41)&amp;" ")-1),",","."))+1,9))*12/52,IF(ISNUMBER(SEARCH("month",C41)),IFERROR(_xlfn.NUMBERVALUE(SUBSTITUTE(LEFT(TRIM(C41),FIND(" ",TRIM(C41)&amp;" ")-1),",","."),"."),LEFT(SUBSTITUTE(LEFT(TRIM(C41),FIND(" ",TRIM(C41)&amp;" ")-1),",","."),FIND("/",SUBSTITUTE(LEFT(TRIM(C41),FIND(" ",TRIM(C41)&amp;" ")-1),",","."))-1)/MID(SUBSTITUTE(LEFT(TRIM(C41),FIND(" ",TRIM(C41)&amp;" ")-1),",","."),FIND("/",SUBSTITUTE(LEFT(TRIM(C41),FIND(" ",TRIM(C41)&amp;" ")-1),",","."))+1,9)),IF(ISNUMBER(SEARCH("yea",C41)),IFERROR(_xlfn.NUMBERVALUE(SUBSTITUTE(LEFT(TRIM(C41),FIND(" ",TRIM(C41)&amp;" ")-1),",","."),"."),LEFT(SUBSTITUTE(LEFT(TRIM(C41),FIND(" ",TRIM(C41)&amp;" ")-1),",","."),FIND("/",SUBSTITUTE(LEFT(TRIM(C41),FIND(" ",TRIM(C41)&amp;" ")-1),",","."))-1)/MID(SUBSTITUTE(LEFT(TRIM(C41),FIND(" ",TRIM(C41)&amp;" ")-1),",","."),FIND("/",SUBSTITUTE(LEFT(TRIM(C41),FIND(" ",TRIM(C41)&amp;" ")-1),",","."))+1,9))*12,NA()))),0),36)*'Aturan &amp; Tarif'!$B$4,2)</f>
        <v>2044.08</v>
      </c>
      <c r="K41" s="42" t="n">
        <f aca="false">'Aturan &amp; Tarif'!$B$5</f>
        <v>2050</v>
      </c>
      <c r="L41" s="42" t="n">
        <f aca="false">'Aturan &amp; Tarif'!$B$6</f>
        <v>350</v>
      </c>
      <c r="M41" s="35" t="n">
        <f aca="false">I41+J41+K41+L41</f>
        <v>22256.08</v>
      </c>
      <c r="N41" s="45" t="s">
        <v>318</v>
      </c>
    </row>
    <row r="42" customFormat="false" ht="25.5" hidden="false" customHeight="true" outlineLevel="0" collapsed="false">
      <c r="A42" s="39"/>
      <c r="B42" s="40" t="s">
        <v>356</v>
      </c>
      <c r="C42" s="41" t="s">
        <v>191</v>
      </c>
      <c r="D42" s="41" t="s">
        <v>108</v>
      </c>
      <c r="E42" s="42" t="n">
        <v>8906</v>
      </c>
      <c r="F42" s="42"/>
      <c r="G42" s="42"/>
      <c r="H42" s="43" t="n">
        <v>2</v>
      </c>
      <c r="I42" s="34" t="n">
        <f aca="false">E42*H42+N(F42)+N(G42)</f>
        <v>17812</v>
      </c>
      <c r="J42" s="42" t="n">
        <f aca="false">ROUND(IFERROR(ROUND(IF(OR(ISNUMBER(SEARCH("week",C42)),ISNUMBER(SEARCH("minggu",C42))),IFERROR(_xlfn.NUMBERVALUE(SUBSTITUTE(LEFT(TRIM(C42),FIND(" ",TRIM(C42)&amp;" ")-1),",","."),"."),LEFT(SUBSTITUTE(LEFT(TRIM(C42),FIND(" ",TRIM(C42)&amp;" ")-1),",","."),FIND("/",SUBSTITUTE(LEFT(TRIM(C42),FIND(" ",TRIM(C42)&amp;" ")-1),",","."))-1)/MID(SUBSTITUTE(LEFT(TRIM(C42),FIND(" ",TRIM(C42)&amp;" ")-1),",","."),FIND("/",SUBSTITUTE(LEFT(TRIM(C42),FIND(" ",TRIM(C42)&amp;" ")-1),",","."))+1,9))*12/52,IF(ISNUMBER(SEARCH("month",C42)),IFERROR(_xlfn.NUMBERVALUE(SUBSTITUTE(LEFT(TRIM(C42),FIND(" ",TRIM(C42)&amp;" ")-1),",","."),"."),LEFT(SUBSTITUTE(LEFT(TRIM(C42),FIND(" ",TRIM(C42)&amp;" ")-1),",","."),FIND("/",SUBSTITUTE(LEFT(TRIM(C42),FIND(" ",TRIM(C42)&amp;" ")-1),",","."))-1)/MID(SUBSTITUTE(LEFT(TRIM(C42),FIND(" ",TRIM(C42)&amp;" ")-1),",","."),FIND("/",SUBSTITUTE(LEFT(TRIM(C42),FIND(" ",TRIM(C42)&amp;" ")-1),",","."))+1,9)),IF(ISNUMBER(SEARCH("yea",C42)),IFERROR(_xlfn.NUMBERVALUE(SUBSTITUTE(LEFT(TRIM(C42),FIND(" ",TRIM(C42)&amp;" ")-1),",","."),"."),LEFT(SUBSTITUTE(LEFT(TRIM(C42),FIND(" ",TRIM(C42)&amp;" ")-1),",","."),FIND("/",SUBSTITUTE(LEFT(TRIM(C42),FIND(" ",TRIM(C42)&amp;" ")-1),",","."))-1)/MID(SUBSTITUTE(LEFT(TRIM(C42),FIND(" ",TRIM(C42)&amp;" ")-1),",","."),FIND("/",SUBSTITUTE(LEFT(TRIM(C42),FIND(" ",TRIM(C42)&amp;" ")-1),",","."))+1,9))*12,NA()))),0),48)*'Aturan &amp; Tarif'!$B$4,2)</f>
        <v>2725.44</v>
      </c>
      <c r="K42" s="42" t="n">
        <f aca="false">'Aturan &amp; Tarif'!$B$5</f>
        <v>2050</v>
      </c>
      <c r="L42" s="42" t="n">
        <f aca="false">'Aturan &amp; Tarif'!$B$6</f>
        <v>350</v>
      </c>
      <c r="M42" s="35" t="n">
        <f aca="false">I42+J42+K42+L42</f>
        <v>22937.44</v>
      </c>
      <c r="N42" s="45" t="s">
        <v>318</v>
      </c>
    </row>
    <row r="43" customFormat="false" ht="14.25" hidden="false" customHeight="true" outlineLevel="0" collapsed="false">
      <c r="A43" s="39"/>
      <c r="B43" s="40" t="s">
        <v>357</v>
      </c>
      <c r="C43" s="41" t="s">
        <v>191</v>
      </c>
      <c r="D43" s="41" t="s">
        <v>108</v>
      </c>
      <c r="E43" s="42" t="n">
        <v>8906</v>
      </c>
      <c r="F43" s="42"/>
      <c r="G43" s="42"/>
      <c r="H43" s="43" t="n">
        <v>2</v>
      </c>
      <c r="I43" s="34" t="n">
        <f aca="false">E43*H43+N(F43)+N(G43)</f>
        <v>17812</v>
      </c>
      <c r="J43" s="42" t="n">
        <f aca="false">ROUND(IFERROR(ROUND(IF(OR(ISNUMBER(SEARCH("week",C43)),ISNUMBER(SEARCH("minggu",C43))),IFERROR(_xlfn.NUMBERVALUE(SUBSTITUTE(LEFT(TRIM(C43),FIND(" ",TRIM(C43)&amp;" ")-1),",","."),"."),LEFT(SUBSTITUTE(LEFT(TRIM(C43),FIND(" ",TRIM(C43)&amp;" ")-1),",","."),FIND("/",SUBSTITUTE(LEFT(TRIM(C43),FIND(" ",TRIM(C43)&amp;" ")-1),",","."))-1)/MID(SUBSTITUTE(LEFT(TRIM(C43),FIND(" ",TRIM(C43)&amp;" ")-1),",","."),FIND("/",SUBSTITUTE(LEFT(TRIM(C43),FIND(" ",TRIM(C43)&amp;" ")-1),",","."))+1,9))*12/52,IF(ISNUMBER(SEARCH("month",C43)),IFERROR(_xlfn.NUMBERVALUE(SUBSTITUTE(LEFT(TRIM(C43),FIND(" ",TRIM(C43)&amp;" ")-1),",","."),"."),LEFT(SUBSTITUTE(LEFT(TRIM(C43),FIND(" ",TRIM(C43)&amp;" ")-1),",","."),FIND("/",SUBSTITUTE(LEFT(TRIM(C43),FIND(" ",TRIM(C43)&amp;" ")-1),",","."))-1)/MID(SUBSTITUTE(LEFT(TRIM(C43),FIND(" ",TRIM(C43)&amp;" ")-1),",","."),FIND("/",SUBSTITUTE(LEFT(TRIM(C43),FIND(" ",TRIM(C43)&amp;" ")-1),",","."))+1,9)),IF(ISNUMBER(SEARCH("yea",C43)),IFERROR(_xlfn.NUMBERVALUE(SUBSTITUTE(LEFT(TRIM(C43),FIND(" ",TRIM(C43)&amp;" ")-1),",","."),"."),LEFT(SUBSTITUTE(LEFT(TRIM(C43),FIND(" ",TRIM(C43)&amp;" ")-1),",","."),FIND("/",SUBSTITUTE(LEFT(TRIM(C43),FIND(" ",TRIM(C43)&amp;" ")-1),",","."))-1)/MID(SUBSTITUTE(LEFT(TRIM(C43),FIND(" ",TRIM(C43)&amp;" ")-1),",","."),FIND("/",SUBSTITUTE(LEFT(TRIM(C43),FIND(" ",TRIM(C43)&amp;" ")-1),",","."))+1,9))*12,NA()))),0),48)*'Aturan &amp; Tarif'!$B$4,2)</f>
        <v>2725.44</v>
      </c>
      <c r="K43" s="42" t="n">
        <f aca="false">'Aturan &amp; Tarif'!$B$5</f>
        <v>2050</v>
      </c>
      <c r="L43" s="42" t="n">
        <f aca="false">'Aturan &amp; Tarif'!$B$6</f>
        <v>350</v>
      </c>
      <c r="M43" s="35" t="n">
        <f aca="false">I43+J43+K43+L43</f>
        <v>22937.44</v>
      </c>
      <c r="N43" s="45" t="s">
        <v>318</v>
      </c>
    </row>
    <row r="44" customFormat="false" ht="25.5" hidden="false" customHeight="true" outlineLevel="0" collapsed="false">
      <c r="A44" s="39"/>
      <c r="B44" s="40" t="s">
        <v>358</v>
      </c>
      <c r="C44" s="41" t="s">
        <v>191</v>
      </c>
      <c r="D44" s="41" t="s">
        <v>108</v>
      </c>
      <c r="E44" s="42" t="n">
        <v>8906</v>
      </c>
      <c r="F44" s="42"/>
      <c r="G44" s="42"/>
      <c r="H44" s="43" t="n">
        <v>2</v>
      </c>
      <c r="I44" s="34" t="n">
        <f aca="false">E44*H44+N(F44)+N(G44)</f>
        <v>17812</v>
      </c>
      <c r="J44" s="42" t="n">
        <f aca="false">ROUND(IFERROR(ROUND(IF(OR(ISNUMBER(SEARCH("week",C44)),ISNUMBER(SEARCH("minggu",C44))),IFERROR(_xlfn.NUMBERVALUE(SUBSTITUTE(LEFT(TRIM(C44),FIND(" ",TRIM(C44)&amp;" ")-1),",","."),"."),LEFT(SUBSTITUTE(LEFT(TRIM(C44),FIND(" ",TRIM(C44)&amp;" ")-1),",","."),FIND("/",SUBSTITUTE(LEFT(TRIM(C44),FIND(" ",TRIM(C44)&amp;" ")-1),",","."))-1)/MID(SUBSTITUTE(LEFT(TRIM(C44),FIND(" ",TRIM(C44)&amp;" ")-1),",","."),FIND("/",SUBSTITUTE(LEFT(TRIM(C44),FIND(" ",TRIM(C44)&amp;" ")-1),",","."))+1,9))*12/52,IF(ISNUMBER(SEARCH("month",C44)),IFERROR(_xlfn.NUMBERVALUE(SUBSTITUTE(LEFT(TRIM(C44),FIND(" ",TRIM(C44)&amp;" ")-1),",","."),"."),LEFT(SUBSTITUTE(LEFT(TRIM(C44),FIND(" ",TRIM(C44)&amp;" ")-1),",","."),FIND("/",SUBSTITUTE(LEFT(TRIM(C44),FIND(" ",TRIM(C44)&amp;" ")-1),",","."))-1)/MID(SUBSTITUTE(LEFT(TRIM(C44),FIND(" ",TRIM(C44)&amp;" ")-1),",","."),FIND("/",SUBSTITUTE(LEFT(TRIM(C44),FIND(" ",TRIM(C44)&amp;" ")-1),",","."))+1,9)),IF(ISNUMBER(SEARCH("yea",C44)),IFERROR(_xlfn.NUMBERVALUE(SUBSTITUTE(LEFT(TRIM(C44),FIND(" ",TRIM(C44)&amp;" ")-1),",","."),"."),LEFT(SUBSTITUTE(LEFT(TRIM(C44),FIND(" ",TRIM(C44)&amp;" ")-1),",","."),FIND("/",SUBSTITUTE(LEFT(TRIM(C44),FIND(" ",TRIM(C44)&amp;" ")-1),",","."))-1)/MID(SUBSTITUTE(LEFT(TRIM(C44),FIND(" ",TRIM(C44)&amp;" ")-1),",","."),FIND("/",SUBSTITUTE(LEFT(TRIM(C44),FIND(" ",TRIM(C44)&amp;" ")-1),",","."))+1,9))*12,NA()))),0),48)*'Aturan &amp; Tarif'!$B$4,2)</f>
        <v>2725.44</v>
      </c>
      <c r="K44" s="42" t="n">
        <f aca="false">'Aturan &amp; Tarif'!$B$5</f>
        <v>2050</v>
      </c>
      <c r="L44" s="42" t="n">
        <f aca="false">'Aturan &amp; Tarif'!$B$6</f>
        <v>350</v>
      </c>
      <c r="M44" s="35" t="n">
        <f aca="false">I44+J44+K44+L44</f>
        <v>22937.44</v>
      </c>
      <c r="N44" s="45" t="s">
        <v>318</v>
      </c>
    </row>
    <row r="45" customFormat="false" ht="14.25" hidden="false" customHeight="true" outlineLevel="0" collapsed="false">
      <c r="A45" s="39"/>
      <c r="B45" s="40" t="s">
        <v>237</v>
      </c>
      <c r="C45" s="41" t="s">
        <v>191</v>
      </c>
      <c r="D45" s="41" t="s">
        <v>108</v>
      </c>
      <c r="E45" s="42" t="n">
        <v>8906</v>
      </c>
      <c r="F45" s="42"/>
      <c r="G45" s="42"/>
      <c r="H45" s="43" t="n">
        <v>2</v>
      </c>
      <c r="I45" s="34" t="n">
        <f aca="false">E45*H45+N(F45)+N(G45)</f>
        <v>17812</v>
      </c>
      <c r="J45" s="42" t="n">
        <f aca="false">ROUND(IFERROR(ROUND(IF(OR(ISNUMBER(SEARCH("week",C45)),ISNUMBER(SEARCH("minggu",C45))),IFERROR(_xlfn.NUMBERVALUE(SUBSTITUTE(LEFT(TRIM(C45),FIND(" ",TRIM(C45)&amp;" ")-1),",","."),"."),LEFT(SUBSTITUTE(LEFT(TRIM(C45),FIND(" ",TRIM(C45)&amp;" ")-1),",","."),FIND("/",SUBSTITUTE(LEFT(TRIM(C45),FIND(" ",TRIM(C45)&amp;" ")-1),",","."))-1)/MID(SUBSTITUTE(LEFT(TRIM(C45),FIND(" ",TRIM(C45)&amp;" ")-1),",","."),FIND("/",SUBSTITUTE(LEFT(TRIM(C45),FIND(" ",TRIM(C45)&amp;" ")-1),",","."))+1,9))*12/52,IF(ISNUMBER(SEARCH("month",C45)),IFERROR(_xlfn.NUMBERVALUE(SUBSTITUTE(LEFT(TRIM(C45),FIND(" ",TRIM(C45)&amp;" ")-1),",","."),"."),LEFT(SUBSTITUTE(LEFT(TRIM(C45),FIND(" ",TRIM(C45)&amp;" ")-1),",","."),FIND("/",SUBSTITUTE(LEFT(TRIM(C45),FIND(" ",TRIM(C45)&amp;" ")-1),",","."))-1)/MID(SUBSTITUTE(LEFT(TRIM(C45),FIND(" ",TRIM(C45)&amp;" ")-1),",","."),FIND("/",SUBSTITUTE(LEFT(TRIM(C45),FIND(" ",TRIM(C45)&amp;" ")-1),",","."))+1,9)),IF(ISNUMBER(SEARCH("yea",C45)),IFERROR(_xlfn.NUMBERVALUE(SUBSTITUTE(LEFT(TRIM(C45),FIND(" ",TRIM(C45)&amp;" ")-1),",","."),"."),LEFT(SUBSTITUTE(LEFT(TRIM(C45),FIND(" ",TRIM(C45)&amp;" ")-1),",","."),FIND("/",SUBSTITUTE(LEFT(TRIM(C45),FIND(" ",TRIM(C45)&amp;" ")-1),",","."))-1)/MID(SUBSTITUTE(LEFT(TRIM(C45),FIND(" ",TRIM(C45)&amp;" ")-1),",","."),FIND("/",SUBSTITUTE(LEFT(TRIM(C45),FIND(" ",TRIM(C45)&amp;" ")-1),",","."))+1,9))*12,NA()))),0),48)*'Aturan &amp; Tarif'!$B$4,2)</f>
        <v>2725.44</v>
      </c>
      <c r="K45" s="42" t="n">
        <f aca="false">'Aturan &amp; Tarif'!$B$5</f>
        <v>2050</v>
      </c>
      <c r="L45" s="42" t="n">
        <f aca="false">'Aturan &amp; Tarif'!$B$6</f>
        <v>350</v>
      </c>
      <c r="M45" s="35" t="n">
        <f aca="false">I45+J45+K45+L45</f>
        <v>22937.44</v>
      </c>
      <c r="N45" s="45" t="s">
        <v>318</v>
      </c>
    </row>
    <row r="46" customFormat="false" ht="25.5" hidden="false" customHeight="true" outlineLevel="0" collapsed="false">
      <c r="A46" s="39"/>
      <c r="B46" s="40" t="s">
        <v>359</v>
      </c>
      <c r="C46" s="41" t="s">
        <v>191</v>
      </c>
      <c r="D46" s="41" t="s">
        <v>108</v>
      </c>
      <c r="E46" s="42" t="n">
        <v>8906</v>
      </c>
      <c r="F46" s="42"/>
      <c r="G46" s="42"/>
      <c r="H46" s="43" t="n">
        <v>2</v>
      </c>
      <c r="I46" s="34" t="n">
        <f aca="false">E46*H46+N(F46)+N(G46)</f>
        <v>17812</v>
      </c>
      <c r="J46" s="42" t="n">
        <f aca="false">ROUND(IFERROR(ROUND(IF(OR(ISNUMBER(SEARCH("week",C46)),ISNUMBER(SEARCH("minggu",C46))),IFERROR(_xlfn.NUMBERVALUE(SUBSTITUTE(LEFT(TRIM(C46),FIND(" ",TRIM(C46)&amp;" ")-1),",","."),"."),LEFT(SUBSTITUTE(LEFT(TRIM(C46),FIND(" ",TRIM(C46)&amp;" ")-1),",","."),FIND("/",SUBSTITUTE(LEFT(TRIM(C46),FIND(" ",TRIM(C46)&amp;" ")-1),",","."))-1)/MID(SUBSTITUTE(LEFT(TRIM(C46),FIND(" ",TRIM(C46)&amp;" ")-1),",","."),FIND("/",SUBSTITUTE(LEFT(TRIM(C46),FIND(" ",TRIM(C46)&amp;" ")-1),",","."))+1,9))*12/52,IF(ISNUMBER(SEARCH("month",C46)),IFERROR(_xlfn.NUMBERVALUE(SUBSTITUTE(LEFT(TRIM(C46),FIND(" ",TRIM(C46)&amp;" ")-1),",","."),"."),LEFT(SUBSTITUTE(LEFT(TRIM(C46),FIND(" ",TRIM(C46)&amp;" ")-1),",","."),FIND("/",SUBSTITUTE(LEFT(TRIM(C46),FIND(" ",TRIM(C46)&amp;" ")-1),",","."))-1)/MID(SUBSTITUTE(LEFT(TRIM(C46),FIND(" ",TRIM(C46)&amp;" ")-1),",","."),FIND("/",SUBSTITUTE(LEFT(TRIM(C46),FIND(" ",TRIM(C46)&amp;" ")-1),",","."))+1,9)),IF(ISNUMBER(SEARCH("yea",C46)),IFERROR(_xlfn.NUMBERVALUE(SUBSTITUTE(LEFT(TRIM(C46),FIND(" ",TRIM(C46)&amp;" ")-1),",","."),"."),LEFT(SUBSTITUTE(LEFT(TRIM(C46),FIND(" ",TRIM(C46)&amp;" ")-1),",","."),FIND("/",SUBSTITUTE(LEFT(TRIM(C46),FIND(" ",TRIM(C46)&amp;" ")-1),",","."))-1)/MID(SUBSTITUTE(LEFT(TRIM(C46),FIND(" ",TRIM(C46)&amp;" ")-1),",","."),FIND("/",SUBSTITUTE(LEFT(TRIM(C46),FIND(" ",TRIM(C46)&amp;" ")-1),",","."))+1,9))*12,NA()))),0),48)*'Aturan &amp; Tarif'!$B$4,2)</f>
        <v>2725.44</v>
      </c>
      <c r="K46" s="42" t="n">
        <f aca="false">'Aturan &amp; Tarif'!$B$5</f>
        <v>2050</v>
      </c>
      <c r="L46" s="42" t="n">
        <f aca="false">'Aturan &amp; Tarif'!$B$6</f>
        <v>350</v>
      </c>
      <c r="M46" s="35" t="n">
        <f aca="false">I46+J46+K46+L46</f>
        <v>22937.44</v>
      </c>
      <c r="N46" s="45" t="s">
        <v>318</v>
      </c>
    </row>
    <row r="47" customFormat="false" ht="14.25" hidden="false" customHeight="true" outlineLevel="0" collapsed="false">
      <c r="A47" s="39"/>
      <c r="B47" s="40" t="s">
        <v>360</v>
      </c>
      <c r="C47" s="41" t="s">
        <v>191</v>
      </c>
      <c r="D47" s="41" t="s">
        <v>108</v>
      </c>
      <c r="E47" s="42" t="n">
        <v>8906</v>
      </c>
      <c r="F47" s="42"/>
      <c r="G47" s="42"/>
      <c r="H47" s="43" t="n">
        <v>2</v>
      </c>
      <c r="I47" s="34" t="n">
        <f aca="false">E47*H47+N(F47)+N(G47)</f>
        <v>17812</v>
      </c>
      <c r="J47" s="42" t="n">
        <f aca="false">ROUND(IFERROR(ROUND(IF(OR(ISNUMBER(SEARCH("week",C47)),ISNUMBER(SEARCH("minggu",C47))),IFERROR(_xlfn.NUMBERVALUE(SUBSTITUTE(LEFT(TRIM(C47),FIND(" ",TRIM(C47)&amp;" ")-1),",","."),"."),LEFT(SUBSTITUTE(LEFT(TRIM(C47),FIND(" ",TRIM(C47)&amp;" ")-1),",","."),FIND("/",SUBSTITUTE(LEFT(TRIM(C47),FIND(" ",TRIM(C47)&amp;" ")-1),",","."))-1)/MID(SUBSTITUTE(LEFT(TRIM(C47),FIND(" ",TRIM(C47)&amp;" ")-1),",","."),FIND("/",SUBSTITUTE(LEFT(TRIM(C47),FIND(" ",TRIM(C47)&amp;" ")-1),",","."))+1,9))*12/52,IF(ISNUMBER(SEARCH("month",C47)),IFERROR(_xlfn.NUMBERVALUE(SUBSTITUTE(LEFT(TRIM(C47),FIND(" ",TRIM(C47)&amp;" ")-1),",","."),"."),LEFT(SUBSTITUTE(LEFT(TRIM(C47),FIND(" ",TRIM(C47)&amp;" ")-1),",","."),FIND("/",SUBSTITUTE(LEFT(TRIM(C47),FIND(" ",TRIM(C47)&amp;" ")-1),",","."))-1)/MID(SUBSTITUTE(LEFT(TRIM(C47),FIND(" ",TRIM(C47)&amp;" ")-1),",","."),FIND("/",SUBSTITUTE(LEFT(TRIM(C47),FIND(" ",TRIM(C47)&amp;" ")-1),",","."))+1,9)),IF(ISNUMBER(SEARCH("yea",C47)),IFERROR(_xlfn.NUMBERVALUE(SUBSTITUTE(LEFT(TRIM(C47),FIND(" ",TRIM(C47)&amp;" ")-1),",","."),"."),LEFT(SUBSTITUTE(LEFT(TRIM(C47),FIND(" ",TRIM(C47)&amp;" ")-1),",","."),FIND("/",SUBSTITUTE(LEFT(TRIM(C47),FIND(" ",TRIM(C47)&amp;" ")-1),",","."))-1)/MID(SUBSTITUTE(LEFT(TRIM(C47),FIND(" ",TRIM(C47)&amp;" ")-1),",","."),FIND("/",SUBSTITUTE(LEFT(TRIM(C47),FIND(" ",TRIM(C47)&amp;" ")-1),",","."))+1,9))*12,NA()))),0),48)*'Aturan &amp; Tarif'!$B$4,2)</f>
        <v>2725.44</v>
      </c>
      <c r="K47" s="42" t="n">
        <f aca="false">'Aturan &amp; Tarif'!$B$5</f>
        <v>2050</v>
      </c>
      <c r="L47" s="42" t="n">
        <f aca="false">'Aturan &amp; Tarif'!$B$6</f>
        <v>350</v>
      </c>
      <c r="M47" s="35" t="n">
        <f aca="false">I47+J47+K47+L47</f>
        <v>22937.44</v>
      </c>
      <c r="N47" s="45" t="s">
        <v>318</v>
      </c>
    </row>
    <row r="48" customFormat="false" ht="25.5" hidden="false" customHeight="true" outlineLevel="0" collapsed="false">
      <c r="A48" s="39"/>
      <c r="B48" s="40" t="s">
        <v>361</v>
      </c>
      <c r="C48" s="41" t="s">
        <v>191</v>
      </c>
      <c r="D48" s="41" t="s">
        <v>108</v>
      </c>
      <c r="E48" s="42" t="n">
        <v>8906</v>
      </c>
      <c r="F48" s="42"/>
      <c r="G48" s="42"/>
      <c r="H48" s="43" t="n">
        <v>2</v>
      </c>
      <c r="I48" s="34" t="n">
        <f aca="false">E48*H48+N(F48)+N(G48)</f>
        <v>17812</v>
      </c>
      <c r="J48" s="42" t="n">
        <f aca="false">ROUND(IFERROR(ROUND(IF(OR(ISNUMBER(SEARCH("week",C48)),ISNUMBER(SEARCH("minggu",C48))),IFERROR(_xlfn.NUMBERVALUE(SUBSTITUTE(LEFT(TRIM(C48),FIND(" ",TRIM(C48)&amp;" ")-1),",","."),"."),LEFT(SUBSTITUTE(LEFT(TRIM(C48),FIND(" ",TRIM(C48)&amp;" ")-1),",","."),FIND("/",SUBSTITUTE(LEFT(TRIM(C48),FIND(" ",TRIM(C48)&amp;" ")-1),",","."))-1)/MID(SUBSTITUTE(LEFT(TRIM(C48),FIND(" ",TRIM(C48)&amp;" ")-1),",","."),FIND("/",SUBSTITUTE(LEFT(TRIM(C48),FIND(" ",TRIM(C48)&amp;" ")-1),",","."))+1,9))*12/52,IF(ISNUMBER(SEARCH("month",C48)),IFERROR(_xlfn.NUMBERVALUE(SUBSTITUTE(LEFT(TRIM(C48),FIND(" ",TRIM(C48)&amp;" ")-1),",","."),"."),LEFT(SUBSTITUTE(LEFT(TRIM(C48),FIND(" ",TRIM(C48)&amp;" ")-1),",","."),FIND("/",SUBSTITUTE(LEFT(TRIM(C48),FIND(" ",TRIM(C48)&amp;" ")-1),",","."))-1)/MID(SUBSTITUTE(LEFT(TRIM(C48),FIND(" ",TRIM(C48)&amp;" ")-1),",","."),FIND("/",SUBSTITUTE(LEFT(TRIM(C48),FIND(" ",TRIM(C48)&amp;" ")-1),",","."))+1,9)),IF(ISNUMBER(SEARCH("yea",C48)),IFERROR(_xlfn.NUMBERVALUE(SUBSTITUTE(LEFT(TRIM(C48),FIND(" ",TRIM(C48)&amp;" ")-1),",","."),"."),LEFT(SUBSTITUTE(LEFT(TRIM(C48),FIND(" ",TRIM(C48)&amp;" ")-1),",","."),FIND("/",SUBSTITUTE(LEFT(TRIM(C48),FIND(" ",TRIM(C48)&amp;" ")-1),",","."))-1)/MID(SUBSTITUTE(LEFT(TRIM(C48),FIND(" ",TRIM(C48)&amp;" ")-1),",","."),FIND("/",SUBSTITUTE(LEFT(TRIM(C48),FIND(" ",TRIM(C48)&amp;" ")-1),",","."))+1,9))*12,NA()))),0),48)*'Aturan &amp; Tarif'!$B$4,2)</f>
        <v>2725.44</v>
      </c>
      <c r="K48" s="42" t="n">
        <f aca="false">'Aturan &amp; Tarif'!$B$5</f>
        <v>2050</v>
      </c>
      <c r="L48" s="42" t="n">
        <f aca="false">'Aturan &amp; Tarif'!$B$6</f>
        <v>350</v>
      </c>
      <c r="M48" s="35" t="n">
        <f aca="false">I48+J48+K48+L48</f>
        <v>22937.44</v>
      </c>
      <c r="N48" s="45" t="s">
        <v>318</v>
      </c>
    </row>
    <row r="49" customFormat="false" ht="37.5" hidden="false" customHeight="true" outlineLevel="0" collapsed="false">
      <c r="A49" s="39"/>
      <c r="B49" s="40" t="s">
        <v>362</v>
      </c>
      <c r="C49" s="41" t="s">
        <v>191</v>
      </c>
      <c r="D49" s="41" t="s">
        <v>108</v>
      </c>
      <c r="E49" s="42" t="n">
        <v>8906</v>
      </c>
      <c r="F49" s="42"/>
      <c r="G49" s="42"/>
      <c r="H49" s="43" t="n">
        <v>2</v>
      </c>
      <c r="I49" s="34" t="n">
        <f aca="false">E49*H49+N(F49)+N(G49)</f>
        <v>17812</v>
      </c>
      <c r="J49" s="42" t="n">
        <f aca="false">ROUND(IFERROR(ROUND(IF(OR(ISNUMBER(SEARCH("week",C49)),ISNUMBER(SEARCH("minggu",C49))),IFERROR(_xlfn.NUMBERVALUE(SUBSTITUTE(LEFT(TRIM(C49),FIND(" ",TRIM(C49)&amp;" ")-1),",","."),"."),LEFT(SUBSTITUTE(LEFT(TRIM(C49),FIND(" ",TRIM(C49)&amp;" ")-1),",","."),FIND("/",SUBSTITUTE(LEFT(TRIM(C49),FIND(" ",TRIM(C49)&amp;" ")-1),",","."))-1)/MID(SUBSTITUTE(LEFT(TRIM(C49),FIND(" ",TRIM(C49)&amp;" ")-1),",","."),FIND("/",SUBSTITUTE(LEFT(TRIM(C49),FIND(" ",TRIM(C49)&amp;" ")-1),",","."))+1,9))*12/52,IF(ISNUMBER(SEARCH("month",C49)),IFERROR(_xlfn.NUMBERVALUE(SUBSTITUTE(LEFT(TRIM(C49),FIND(" ",TRIM(C49)&amp;" ")-1),",","."),"."),LEFT(SUBSTITUTE(LEFT(TRIM(C49),FIND(" ",TRIM(C49)&amp;" ")-1),",","."),FIND("/",SUBSTITUTE(LEFT(TRIM(C49),FIND(" ",TRIM(C49)&amp;" ")-1),",","."))-1)/MID(SUBSTITUTE(LEFT(TRIM(C49),FIND(" ",TRIM(C49)&amp;" ")-1),",","."),FIND("/",SUBSTITUTE(LEFT(TRIM(C49),FIND(" ",TRIM(C49)&amp;" ")-1),",","."))+1,9)),IF(ISNUMBER(SEARCH("yea",C49)),IFERROR(_xlfn.NUMBERVALUE(SUBSTITUTE(LEFT(TRIM(C49),FIND(" ",TRIM(C49)&amp;" ")-1),",","."),"."),LEFT(SUBSTITUTE(LEFT(TRIM(C49),FIND(" ",TRIM(C49)&amp;" ")-1),",","."),FIND("/",SUBSTITUTE(LEFT(TRIM(C49),FIND(" ",TRIM(C49)&amp;" ")-1),",","."))-1)/MID(SUBSTITUTE(LEFT(TRIM(C49),FIND(" ",TRIM(C49)&amp;" ")-1),",","."),FIND("/",SUBSTITUTE(LEFT(TRIM(C49),FIND(" ",TRIM(C49)&amp;" ")-1),",","."))+1,9))*12,NA()))),0),48)*'Aturan &amp; Tarif'!$B$4,2)</f>
        <v>2725.44</v>
      </c>
      <c r="K49" s="42" t="n">
        <f aca="false">'Aturan &amp; Tarif'!$B$5</f>
        <v>2050</v>
      </c>
      <c r="L49" s="42" t="n">
        <f aca="false">'Aturan &amp; Tarif'!$B$6</f>
        <v>350</v>
      </c>
      <c r="M49" s="35" t="n">
        <f aca="false">I49+J49+K49+L49</f>
        <v>22937.44</v>
      </c>
      <c r="N49" s="45" t="s">
        <v>318</v>
      </c>
    </row>
    <row r="50" customFormat="false" ht="25.5" hidden="false" customHeight="true" outlineLevel="0" collapsed="false">
      <c r="A50" s="39"/>
      <c r="B50" s="40" t="s">
        <v>363</v>
      </c>
      <c r="C50" s="41" t="s">
        <v>191</v>
      </c>
      <c r="D50" s="41" t="s">
        <v>108</v>
      </c>
      <c r="E50" s="42" t="n">
        <v>8906</v>
      </c>
      <c r="F50" s="42"/>
      <c r="G50" s="42"/>
      <c r="H50" s="43" t="n">
        <v>2</v>
      </c>
      <c r="I50" s="34" t="n">
        <f aca="false">E50*H50+N(F50)+N(G50)</f>
        <v>17812</v>
      </c>
      <c r="J50" s="42" t="n">
        <f aca="false">ROUND(IFERROR(ROUND(IF(OR(ISNUMBER(SEARCH("week",C50)),ISNUMBER(SEARCH("minggu",C50))),IFERROR(_xlfn.NUMBERVALUE(SUBSTITUTE(LEFT(TRIM(C50),FIND(" ",TRIM(C50)&amp;" ")-1),",","."),"."),LEFT(SUBSTITUTE(LEFT(TRIM(C50),FIND(" ",TRIM(C50)&amp;" ")-1),",","."),FIND("/",SUBSTITUTE(LEFT(TRIM(C50),FIND(" ",TRIM(C50)&amp;" ")-1),",","."))-1)/MID(SUBSTITUTE(LEFT(TRIM(C50),FIND(" ",TRIM(C50)&amp;" ")-1),",","."),FIND("/",SUBSTITUTE(LEFT(TRIM(C50),FIND(" ",TRIM(C50)&amp;" ")-1),",","."))+1,9))*12/52,IF(ISNUMBER(SEARCH("month",C50)),IFERROR(_xlfn.NUMBERVALUE(SUBSTITUTE(LEFT(TRIM(C50),FIND(" ",TRIM(C50)&amp;" ")-1),",","."),"."),LEFT(SUBSTITUTE(LEFT(TRIM(C50),FIND(" ",TRIM(C50)&amp;" ")-1),",","."),FIND("/",SUBSTITUTE(LEFT(TRIM(C50),FIND(" ",TRIM(C50)&amp;" ")-1),",","."))-1)/MID(SUBSTITUTE(LEFT(TRIM(C50),FIND(" ",TRIM(C50)&amp;" ")-1),",","."),FIND("/",SUBSTITUTE(LEFT(TRIM(C50),FIND(" ",TRIM(C50)&amp;" ")-1),",","."))+1,9)),IF(ISNUMBER(SEARCH("yea",C50)),IFERROR(_xlfn.NUMBERVALUE(SUBSTITUTE(LEFT(TRIM(C50),FIND(" ",TRIM(C50)&amp;" ")-1),",","."),"."),LEFT(SUBSTITUTE(LEFT(TRIM(C50),FIND(" ",TRIM(C50)&amp;" ")-1),",","."),FIND("/",SUBSTITUTE(LEFT(TRIM(C50),FIND(" ",TRIM(C50)&amp;" ")-1),",","."))-1)/MID(SUBSTITUTE(LEFT(TRIM(C50),FIND(" ",TRIM(C50)&amp;" ")-1),",","."),FIND("/",SUBSTITUTE(LEFT(TRIM(C50),FIND(" ",TRIM(C50)&amp;" ")-1),",","."))+1,9))*12,NA()))),0),48)*'Aturan &amp; Tarif'!$B$4,2)</f>
        <v>2725.44</v>
      </c>
      <c r="K50" s="42" t="n">
        <f aca="false">'Aturan &amp; Tarif'!$B$5</f>
        <v>2050</v>
      </c>
      <c r="L50" s="42" t="n">
        <f aca="false">'Aturan &amp; Tarif'!$B$6</f>
        <v>350</v>
      </c>
      <c r="M50" s="35" t="n">
        <f aca="false">I50+J50+K50+L50</f>
        <v>22937.44</v>
      </c>
      <c r="N50" s="45" t="s">
        <v>318</v>
      </c>
    </row>
    <row r="51" customFormat="false" ht="25.5" hidden="false" customHeight="true" outlineLevel="0" collapsed="false">
      <c r="A51" s="39"/>
      <c r="B51" s="40" t="s">
        <v>364</v>
      </c>
      <c r="C51" s="41" t="s">
        <v>191</v>
      </c>
      <c r="D51" s="41" t="s">
        <v>108</v>
      </c>
      <c r="E51" s="42" t="n">
        <v>8906</v>
      </c>
      <c r="F51" s="42"/>
      <c r="G51" s="42"/>
      <c r="H51" s="43" t="n">
        <v>2</v>
      </c>
      <c r="I51" s="34" t="n">
        <f aca="false">E51*H51+N(F51)+N(G51)</f>
        <v>17812</v>
      </c>
      <c r="J51" s="42" t="n">
        <f aca="false">ROUND(IFERROR(ROUND(IF(OR(ISNUMBER(SEARCH("week",C51)),ISNUMBER(SEARCH("minggu",C51))),IFERROR(_xlfn.NUMBERVALUE(SUBSTITUTE(LEFT(TRIM(C51),FIND(" ",TRIM(C51)&amp;" ")-1),",","."),"."),LEFT(SUBSTITUTE(LEFT(TRIM(C51),FIND(" ",TRIM(C51)&amp;" ")-1),",","."),FIND("/",SUBSTITUTE(LEFT(TRIM(C51),FIND(" ",TRIM(C51)&amp;" ")-1),",","."))-1)/MID(SUBSTITUTE(LEFT(TRIM(C51),FIND(" ",TRIM(C51)&amp;" ")-1),",","."),FIND("/",SUBSTITUTE(LEFT(TRIM(C51),FIND(" ",TRIM(C51)&amp;" ")-1),",","."))+1,9))*12/52,IF(ISNUMBER(SEARCH("month",C51)),IFERROR(_xlfn.NUMBERVALUE(SUBSTITUTE(LEFT(TRIM(C51),FIND(" ",TRIM(C51)&amp;" ")-1),",","."),"."),LEFT(SUBSTITUTE(LEFT(TRIM(C51),FIND(" ",TRIM(C51)&amp;" ")-1),",","."),FIND("/",SUBSTITUTE(LEFT(TRIM(C51),FIND(" ",TRIM(C51)&amp;" ")-1),",","."))-1)/MID(SUBSTITUTE(LEFT(TRIM(C51),FIND(" ",TRIM(C51)&amp;" ")-1),",","."),FIND("/",SUBSTITUTE(LEFT(TRIM(C51),FIND(" ",TRIM(C51)&amp;" ")-1),",","."))+1,9)),IF(ISNUMBER(SEARCH("yea",C51)),IFERROR(_xlfn.NUMBERVALUE(SUBSTITUTE(LEFT(TRIM(C51),FIND(" ",TRIM(C51)&amp;" ")-1),",","."),"."),LEFT(SUBSTITUTE(LEFT(TRIM(C51),FIND(" ",TRIM(C51)&amp;" ")-1),",","."),FIND("/",SUBSTITUTE(LEFT(TRIM(C51),FIND(" ",TRIM(C51)&amp;" ")-1),",","."))-1)/MID(SUBSTITUTE(LEFT(TRIM(C51),FIND(" ",TRIM(C51)&amp;" ")-1),",","."),FIND("/",SUBSTITUTE(LEFT(TRIM(C51),FIND(" ",TRIM(C51)&amp;" ")-1),",","."))+1,9))*12,NA()))),0),48)*'Aturan &amp; Tarif'!$B$4,2)</f>
        <v>2725.44</v>
      </c>
      <c r="K51" s="42" t="n">
        <f aca="false">'Aturan &amp; Tarif'!$B$5</f>
        <v>2050</v>
      </c>
      <c r="L51" s="42" t="n">
        <f aca="false">'Aturan &amp; Tarif'!$B$6</f>
        <v>350</v>
      </c>
      <c r="M51" s="35" t="n">
        <f aca="false">I51+J51+K51+L51</f>
        <v>22937.44</v>
      </c>
      <c r="N51" s="45" t="s">
        <v>318</v>
      </c>
    </row>
    <row r="52" customFormat="false" ht="25.5" hidden="false" customHeight="true" outlineLevel="0" collapsed="false">
      <c r="A52" s="39"/>
      <c r="B52" s="40" t="s">
        <v>365</v>
      </c>
      <c r="C52" s="41" t="s">
        <v>191</v>
      </c>
      <c r="D52" s="41" t="s">
        <v>108</v>
      </c>
      <c r="E52" s="42" t="n">
        <v>8906</v>
      </c>
      <c r="F52" s="42"/>
      <c r="G52" s="42"/>
      <c r="H52" s="43" t="n">
        <v>2</v>
      </c>
      <c r="I52" s="34" t="n">
        <f aca="false">E52*H52+N(F52)+N(G52)</f>
        <v>17812</v>
      </c>
      <c r="J52" s="42" t="n">
        <f aca="false">ROUND(IFERROR(ROUND(IF(OR(ISNUMBER(SEARCH("week",C52)),ISNUMBER(SEARCH("minggu",C52))),IFERROR(_xlfn.NUMBERVALUE(SUBSTITUTE(LEFT(TRIM(C52),FIND(" ",TRIM(C52)&amp;" ")-1),",","."),"."),LEFT(SUBSTITUTE(LEFT(TRIM(C52),FIND(" ",TRIM(C52)&amp;" ")-1),",","."),FIND("/",SUBSTITUTE(LEFT(TRIM(C52),FIND(" ",TRIM(C52)&amp;" ")-1),",","."))-1)/MID(SUBSTITUTE(LEFT(TRIM(C52),FIND(" ",TRIM(C52)&amp;" ")-1),",","."),FIND("/",SUBSTITUTE(LEFT(TRIM(C52),FIND(" ",TRIM(C52)&amp;" ")-1),",","."))+1,9))*12/52,IF(ISNUMBER(SEARCH("month",C52)),IFERROR(_xlfn.NUMBERVALUE(SUBSTITUTE(LEFT(TRIM(C52),FIND(" ",TRIM(C52)&amp;" ")-1),",","."),"."),LEFT(SUBSTITUTE(LEFT(TRIM(C52),FIND(" ",TRIM(C52)&amp;" ")-1),",","."),FIND("/",SUBSTITUTE(LEFT(TRIM(C52),FIND(" ",TRIM(C52)&amp;" ")-1),",","."))-1)/MID(SUBSTITUTE(LEFT(TRIM(C52),FIND(" ",TRIM(C52)&amp;" ")-1),",","."),FIND("/",SUBSTITUTE(LEFT(TRIM(C52),FIND(" ",TRIM(C52)&amp;" ")-1),",","."))+1,9)),IF(ISNUMBER(SEARCH("yea",C52)),IFERROR(_xlfn.NUMBERVALUE(SUBSTITUTE(LEFT(TRIM(C52),FIND(" ",TRIM(C52)&amp;" ")-1),",","."),"."),LEFT(SUBSTITUTE(LEFT(TRIM(C52),FIND(" ",TRIM(C52)&amp;" ")-1),",","."),FIND("/",SUBSTITUTE(LEFT(TRIM(C52),FIND(" ",TRIM(C52)&amp;" ")-1),",","."))-1)/MID(SUBSTITUTE(LEFT(TRIM(C52),FIND(" ",TRIM(C52)&amp;" ")-1),",","."),FIND("/",SUBSTITUTE(LEFT(TRIM(C52),FIND(" ",TRIM(C52)&amp;" ")-1),",","."))+1,9))*12,NA()))),0),48)*'Aturan &amp; Tarif'!$B$4,2)</f>
        <v>2725.44</v>
      </c>
      <c r="K52" s="42" t="n">
        <f aca="false">'Aturan &amp; Tarif'!$B$5</f>
        <v>2050</v>
      </c>
      <c r="L52" s="42" t="n">
        <f aca="false">'Aturan &amp; Tarif'!$B$6</f>
        <v>350</v>
      </c>
      <c r="M52" s="35" t="n">
        <f aca="false">I52+J52+K52+L52</f>
        <v>22937.44</v>
      </c>
      <c r="N52" s="45" t="s">
        <v>318</v>
      </c>
    </row>
    <row r="53" customFormat="false" ht="25.5" hidden="false" customHeight="true" outlineLevel="0" collapsed="false">
      <c r="A53" s="39"/>
      <c r="B53" s="40" t="s">
        <v>366</v>
      </c>
      <c r="C53" s="41" t="s">
        <v>191</v>
      </c>
      <c r="D53" s="41" t="s">
        <v>108</v>
      </c>
      <c r="E53" s="42" t="n">
        <v>8906</v>
      </c>
      <c r="F53" s="42"/>
      <c r="G53" s="42"/>
      <c r="H53" s="43" t="n">
        <v>2</v>
      </c>
      <c r="I53" s="34" t="n">
        <f aca="false">E53*H53+N(F53)+N(G53)</f>
        <v>17812</v>
      </c>
      <c r="J53" s="42" t="n">
        <f aca="false">ROUND(IFERROR(ROUND(IF(OR(ISNUMBER(SEARCH("week",C53)),ISNUMBER(SEARCH("minggu",C53))),IFERROR(_xlfn.NUMBERVALUE(SUBSTITUTE(LEFT(TRIM(C53),FIND(" ",TRIM(C53)&amp;" ")-1),",","."),"."),LEFT(SUBSTITUTE(LEFT(TRIM(C53),FIND(" ",TRIM(C53)&amp;" ")-1),",","."),FIND("/",SUBSTITUTE(LEFT(TRIM(C53),FIND(" ",TRIM(C53)&amp;" ")-1),",","."))-1)/MID(SUBSTITUTE(LEFT(TRIM(C53),FIND(" ",TRIM(C53)&amp;" ")-1),",","."),FIND("/",SUBSTITUTE(LEFT(TRIM(C53),FIND(" ",TRIM(C53)&amp;" ")-1),",","."))+1,9))*12/52,IF(ISNUMBER(SEARCH("month",C53)),IFERROR(_xlfn.NUMBERVALUE(SUBSTITUTE(LEFT(TRIM(C53),FIND(" ",TRIM(C53)&amp;" ")-1),",","."),"."),LEFT(SUBSTITUTE(LEFT(TRIM(C53),FIND(" ",TRIM(C53)&amp;" ")-1),",","."),FIND("/",SUBSTITUTE(LEFT(TRIM(C53),FIND(" ",TRIM(C53)&amp;" ")-1),",","."))-1)/MID(SUBSTITUTE(LEFT(TRIM(C53),FIND(" ",TRIM(C53)&amp;" ")-1),",","."),FIND("/",SUBSTITUTE(LEFT(TRIM(C53),FIND(" ",TRIM(C53)&amp;" ")-1),",","."))+1,9)),IF(ISNUMBER(SEARCH("yea",C53)),IFERROR(_xlfn.NUMBERVALUE(SUBSTITUTE(LEFT(TRIM(C53),FIND(" ",TRIM(C53)&amp;" ")-1),",","."),"."),LEFT(SUBSTITUTE(LEFT(TRIM(C53),FIND(" ",TRIM(C53)&amp;" ")-1),",","."),FIND("/",SUBSTITUTE(LEFT(TRIM(C53),FIND(" ",TRIM(C53)&amp;" ")-1),",","."))-1)/MID(SUBSTITUTE(LEFT(TRIM(C53),FIND(" ",TRIM(C53)&amp;" ")-1),",","."),FIND("/",SUBSTITUTE(LEFT(TRIM(C53),FIND(" ",TRIM(C53)&amp;" ")-1),",","."))+1,9))*12,NA()))),0),48)*'Aturan &amp; Tarif'!$B$4,2)</f>
        <v>2725.44</v>
      </c>
      <c r="K53" s="42" t="n">
        <f aca="false">'Aturan &amp; Tarif'!$B$5</f>
        <v>2050</v>
      </c>
      <c r="L53" s="42" t="n">
        <f aca="false">'Aturan &amp; Tarif'!$B$6</f>
        <v>350</v>
      </c>
      <c r="M53" s="35" t="n">
        <f aca="false">I53+J53+K53+L53</f>
        <v>22937.44</v>
      </c>
      <c r="N53" s="45" t="s">
        <v>318</v>
      </c>
    </row>
    <row r="54" customFormat="false" ht="14.25" hidden="false" customHeight="true" outlineLevel="0" collapsed="false">
      <c r="A54" s="39"/>
      <c r="B54" s="40" t="s">
        <v>367</v>
      </c>
      <c r="C54" s="41" t="s">
        <v>127</v>
      </c>
      <c r="D54" s="41" t="s">
        <v>108</v>
      </c>
      <c r="E54" s="42" t="n">
        <v>8906</v>
      </c>
      <c r="F54" s="42"/>
      <c r="G54" s="42"/>
      <c r="H54" s="43" t="n">
        <v>2</v>
      </c>
      <c r="I54" s="34" t="n">
        <f aca="false">E54*H54+N(F54)+N(G54)</f>
        <v>17812</v>
      </c>
      <c r="J54" s="42" t="n">
        <f aca="false">ROUND(IFERROR(ROUND(IF(OR(ISNUMBER(SEARCH("week",C54)),ISNUMBER(SEARCH("minggu",C54))),IFERROR(_xlfn.NUMBERVALUE(SUBSTITUTE(LEFT(TRIM(C54),FIND(" ",TRIM(C54)&amp;" ")-1),",","."),"."),LEFT(SUBSTITUTE(LEFT(TRIM(C54),FIND(" ",TRIM(C54)&amp;" ")-1),",","."),FIND("/",SUBSTITUTE(LEFT(TRIM(C54),FIND(" ",TRIM(C54)&amp;" ")-1),",","."))-1)/MID(SUBSTITUTE(LEFT(TRIM(C54),FIND(" ",TRIM(C54)&amp;" ")-1),",","."),FIND("/",SUBSTITUTE(LEFT(TRIM(C54),FIND(" ",TRIM(C54)&amp;" ")-1),",","."))+1,9))*12/52,IF(ISNUMBER(SEARCH("month",C54)),IFERROR(_xlfn.NUMBERVALUE(SUBSTITUTE(LEFT(TRIM(C54),FIND(" ",TRIM(C54)&amp;" ")-1),",","."),"."),LEFT(SUBSTITUTE(LEFT(TRIM(C54),FIND(" ",TRIM(C54)&amp;" ")-1),",","."),FIND("/",SUBSTITUTE(LEFT(TRIM(C54),FIND(" ",TRIM(C54)&amp;" ")-1),",","."))-1)/MID(SUBSTITUTE(LEFT(TRIM(C54),FIND(" ",TRIM(C54)&amp;" ")-1),",","."),FIND("/",SUBSTITUTE(LEFT(TRIM(C54),FIND(" ",TRIM(C54)&amp;" ")-1),",","."))+1,9)),IF(ISNUMBER(SEARCH("yea",C54)),IFERROR(_xlfn.NUMBERVALUE(SUBSTITUTE(LEFT(TRIM(C54),FIND(" ",TRIM(C54)&amp;" ")-1),",","."),"."),LEFT(SUBSTITUTE(LEFT(TRIM(C54),FIND(" ",TRIM(C54)&amp;" ")-1),",","."),FIND("/",SUBSTITUTE(LEFT(TRIM(C54),FIND(" ",TRIM(C54)&amp;" ")-1),",","."))-1)/MID(SUBSTITUTE(LEFT(TRIM(C54),FIND(" ",TRIM(C54)&amp;" ")-1),",","."),FIND("/",SUBSTITUTE(LEFT(TRIM(C54),FIND(" ",TRIM(C54)&amp;" ")-1),",","."))+1,9))*12,NA()))),0),36)*'Aturan &amp; Tarif'!$B$4,2)</f>
        <v>2044.08</v>
      </c>
      <c r="K54" s="42" t="n">
        <f aca="false">'Aturan &amp; Tarif'!$B$5</f>
        <v>2050</v>
      </c>
      <c r="L54" s="42" t="n">
        <f aca="false">'Aturan &amp; Tarif'!$B$6</f>
        <v>350</v>
      </c>
      <c r="M54" s="35" t="n">
        <f aca="false">I54+J54+K54+L54</f>
        <v>22256.08</v>
      </c>
      <c r="N54" s="45" t="s">
        <v>318</v>
      </c>
    </row>
    <row r="55" customFormat="false" ht="25.5" hidden="false" customHeight="true" outlineLevel="0" collapsed="false">
      <c r="A55" s="39"/>
      <c r="B55" s="40" t="s">
        <v>368</v>
      </c>
      <c r="C55" s="41" t="s">
        <v>191</v>
      </c>
      <c r="D55" s="41" t="s">
        <v>108</v>
      </c>
      <c r="E55" s="42" t="n">
        <v>8906</v>
      </c>
      <c r="F55" s="42"/>
      <c r="G55" s="42"/>
      <c r="H55" s="43" t="n">
        <v>2</v>
      </c>
      <c r="I55" s="34" t="n">
        <f aca="false">E55*H55+N(F55)+N(G55)</f>
        <v>17812</v>
      </c>
      <c r="J55" s="42" t="n">
        <f aca="false">ROUND(IFERROR(ROUND(IF(OR(ISNUMBER(SEARCH("week",C55)),ISNUMBER(SEARCH("minggu",C55))),IFERROR(_xlfn.NUMBERVALUE(SUBSTITUTE(LEFT(TRIM(C55),FIND(" ",TRIM(C55)&amp;" ")-1),",","."),"."),LEFT(SUBSTITUTE(LEFT(TRIM(C55),FIND(" ",TRIM(C55)&amp;" ")-1),",","."),FIND("/",SUBSTITUTE(LEFT(TRIM(C55),FIND(" ",TRIM(C55)&amp;" ")-1),",","."))-1)/MID(SUBSTITUTE(LEFT(TRIM(C55),FIND(" ",TRIM(C55)&amp;" ")-1),",","."),FIND("/",SUBSTITUTE(LEFT(TRIM(C55),FIND(" ",TRIM(C55)&amp;" ")-1),",","."))+1,9))*12/52,IF(ISNUMBER(SEARCH("month",C55)),IFERROR(_xlfn.NUMBERVALUE(SUBSTITUTE(LEFT(TRIM(C55),FIND(" ",TRIM(C55)&amp;" ")-1),",","."),"."),LEFT(SUBSTITUTE(LEFT(TRIM(C55),FIND(" ",TRIM(C55)&amp;" ")-1),",","."),FIND("/",SUBSTITUTE(LEFT(TRIM(C55),FIND(" ",TRIM(C55)&amp;" ")-1),",","."))-1)/MID(SUBSTITUTE(LEFT(TRIM(C55),FIND(" ",TRIM(C55)&amp;" ")-1),",","."),FIND("/",SUBSTITUTE(LEFT(TRIM(C55),FIND(" ",TRIM(C55)&amp;" ")-1),",","."))+1,9)),IF(ISNUMBER(SEARCH("yea",C55)),IFERROR(_xlfn.NUMBERVALUE(SUBSTITUTE(LEFT(TRIM(C55),FIND(" ",TRIM(C55)&amp;" ")-1),",","."),"."),LEFT(SUBSTITUTE(LEFT(TRIM(C55),FIND(" ",TRIM(C55)&amp;" ")-1),",","."),FIND("/",SUBSTITUTE(LEFT(TRIM(C55),FIND(" ",TRIM(C55)&amp;" ")-1),",","."))-1)/MID(SUBSTITUTE(LEFT(TRIM(C55),FIND(" ",TRIM(C55)&amp;" ")-1),",","."),FIND("/",SUBSTITUTE(LEFT(TRIM(C55),FIND(" ",TRIM(C55)&amp;" ")-1),",","."))+1,9))*12,NA()))),0),48)*'Aturan &amp; Tarif'!$B$4,2)</f>
        <v>2725.44</v>
      </c>
      <c r="K55" s="42" t="n">
        <f aca="false">'Aturan &amp; Tarif'!$B$5</f>
        <v>2050</v>
      </c>
      <c r="L55" s="42" t="n">
        <f aca="false">'Aturan &amp; Tarif'!$B$6</f>
        <v>350</v>
      </c>
      <c r="M55" s="35" t="n">
        <f aca="false">I55+J55+K55+L55</f>
        <v>22937.44</v>
      </c>
      <c r="N55" s="45" t="s">
        <v>318</v>
      </c>
    </row>
    <row r="56" customFormat="false" ht="25.5" hidden="false" customHeight="true" outlineLevel="0" collapsed="false">
      <c r="A56" s="39"/>
      <c r="B56" s="40" t="s">
        <v>369</v>
      </c>
      <c r="C56" s="41" t="s">
        <v>191</v>
      </c>
      <c r="D56" s="41" t="s">
        <v>108</v>
      </c>
      <c r="E56" s="42" t="n">
        <v>8906</v>
      </c>
      <c r="F56" s="42"/>
      <c r="G56" s="42"/>
      <c r="H56" s="43" t="n">
        <v>2</v>
      </c>
      <c r="I56" s="34" t="n">
        <f aca="false">E56*H56+N(F56)+N(G56)</f>
        <v>17812</v>
      </c>
      <c r="J56" s="42" t="n">
        <f aca="false">ROUND(IFERROR(ROUND(IF(OR(ISNUMBER(SEARCH("week",C56)),ISNUMBER(SEARCH("minggu",C56))),IFERROR(_xlfn.NUMBERVALUE(SUBSTITUTE(LEFT(TRIM(C56),FIND(" ",TRIM(C56)&amp;" ")-1),",","."),"."),LEFT(SUBSTITUTE(LEFT(TRIM(C56),FIND(" ",TRIM(C56)&amp;" ")-1),",","."),FIND("/",SUBSTITUTE(LEFT(TRIM(C56),FIND(" ",TRIM(C56)&amp;" ")-1),",","."))-1)/MID(SUBSTITUTE(LEFT(TRIM(C56),FIND(" ",TRIM(C56)&amp;" ")-1),",","."),FIND("/",SUBSTITUTE(LEFT(TRIM(C56),FIND(" ",TRIM(C56)&amp;" ")-1),",","."))+1,9))*12/52,IF(ISNUMBER(SEARCH("month",C56)),IFERROR(_xlfn.NUMBERVALUE(SUBSTITUTE(LEFT(TRIM(C56),FIND(" ",TRIM(C56)&amp;" ")-1),",","."),"."),LEFT(SUBSTITUTE(LEFT(TRIM(C56),FIND(" ",TRIM(C56)&amp;" ")-1),",","."),FIND("/",SUBSTITUTE(LEFT(TRIM(C56),FIND(" ",TRIM(C56)&amp;" ")-1),",","."))-1)/MID(SUBSTITUTE(LEFT(TRIM(C56),FIND(" ",TRIM(C56)&amp;" ")-1),",","."),FIND("/",SUBSTITUTE(LEFT(TRIM(C56),FIND(" ",TRIM(C56)&amp;" ")-1),",","."))+1,9)),IF(ISNUMBER(SEARCH("yea",C56)),IFERROR(_xlfn.NUMBERVALUE(SUBSTITUTE(LEFT(TRIM(C56),FIND(" ",TRIM(C56)&amp;" ")-1),",","."),"."),LEFT(SUBSTITUTE(LEFT(TRIM(C56),FIND(" ",TRIM(C56)&amp;" ")-1),",","."),FIND("/",SUBSTITUTE(LEFT(TRIM(C56),FIND(" ",TRIM(C56)&amp;" ")-1),",","."))-1)/MID(SUBSTITUTE(LEFT(TRIM(C56),FIND(" ",TRIM(C56)&amp;" ")-1),",","."),FIND("/",SUBSTITUTE(LEFT(TRIM(C56),FIND(" ",TRIM(C56)&amp;" ")-1),",","."))+1,9))*12,NA()))),0),48)*'Aturan &amp; Tarif'!$B$4,2)</f>
        <v>2725.44</v>
      </c>
      <c r="K56" s="42" t="n">
        <f aca="false">'Aturan &amp; Tarif'!$B$5</f>
        <v>2050</v>
      </c>
      <c r="L56" s="42" t="n">
        <f aca="false">'Aturan &amp; Tarif'!$B$6</f>
        <v>350</v>
      </c>
      <c r="M56" s="35" t="n">
        <f aca="false">I56+J56+K56+L56</f>
        <v>22937.44</v>
      </c>
      <c r="N56" s="45" t="s">
        <v>318</v>
      </c>
    </row>
    <row r="57" customFormat="false" ht="25.5" hidden="false" customHeight="true" outlineLevel="0" collapsed="false">
      <c r="A57" s="39"/>
      <c r="B57" s="40" t="s">
        <v>370</v>
      </c>
      <c r="C57" s="41" t="s">
        <v>191</v>
      </c>
      <c r="D57" s="41" t="s">
        <v>108</v>
      </c>
      <c r="E57" s="42" t="n">
        <v>8906</v>
      </c>
      <c r="F57" s="42"/>
      <c r="G57" s="42"/>
      <c r="H57" s="43" t="n">
        <v>2</v>
      </c>
      <c r="I57" s="34" t="n">
        <f aca="false">E57*H57+N(F57)+N(G57)</f>
        <v>17812</v>
      </c>
      <c r="J57" s="42" t="n">
        <f aca="false">ROUND(IFERROR(ROUND(IF(OR(ISNUMBER(SEARCH("week",C57)),ISNUMBER(SEARCH("minggu",C57))),IFERROR(_xlfn.NUMBERVALUE(SUBSTITUTE(LEFT(TRIM(C57),FIND(" ",TRIM(C57)&amp;" ")-1),",","."),"."),LEFT(SUBSTITUTE(LEFT(TRIM(C57),FIND(" ",TRIM(C57)&amp;" ")-1),",","."),FIND("/",SUBSTITUTE(LEFT(TRIM(C57),FIND(" ",TRIM(C57)&amp;" ")-1),",","."))-1)/MID(SUBSTITUTE(LEFT(TRIM(C57),FIND(" ",TRIM(C57)&amp;" ")-1),",","."),FIND("/",SUBSTITUTE(LEFT(TRIM(C57),FIND(" ",TRIM(C57)&amp;" ")-1),",","."))+1,9))*12/52,IF(ISNUMBER(SEARCH("month",C57)),IFERROR(_xlfn.NUMBERVALUE(SUBSTITUTE(LEFT(TRIM(C57),FIND(" ",TRIM(C57)&amp;" ")-1),",","."),"."),LEFT(SUBSTITUTE(LEFT(TRIM(C57),FIND(" ",TRIM(C57)&amp;" ")-1),",","."),FIND("/",SUBSTITUTE(LEFT(TRIM(C57),FIND(" ",TRIM(C57)&amp;" ")-1),",","."))-1)/MID(SUBSTITUTE(LEFT(TRIM(C57),FIND(" ",TRIM(C57)&amp;" ")-1),",","."),FIND("/",SUBSTITUTE(LEFT(TRIM(C57),FIND(" ",TRIM(C57)&amp;" ")-1),",","."))+1,9)),IF(ISNUMBER(SEARCH("yea",C57)),IFERROR(_xlfn.NUMBERVALUE(SUBSTITUTE(LEFT(TRIM(C57),FIND(" ",TRIM(C57)&amp;" ")-1),",","."),"."),LEFT(SUBSTITUTE(LEFT(TRIM(C57),FIND(" ",TRIM(C57)&amp;" ")-1),",","."),FIND("/",SUBSTITUTE(LEFT(TRIM(C57),FIND(" ",TRIM(C57)&amp;" ")-1),",","."))-1)/MID(SUBSTITUTE(LEFT(TRIM(C57),FIND(" ",TRIM(C57)&amp;" ")-1),",","."),FIND("/",SUBSTITUTE(LEFT(TRIM(C57),FIND(" ",TRIM(C57)&amp;" ")-1),",","."))+1,9))*12,NA()))),0),48)*'Aturan &amp; Tarif'!$B$4,2)</f>
        <v>2725.44</v>
      </c>
      <c r="K57" s="42" t="n">
        <f aca="false">'Aturan &amp; Tarif'!$B$5</f>
        <v>2050</v>
      </c>
      <c r="L57" s="42" t="n">
        <f aca="false">'Aturan &amp; Tarif'!$B$6</f>
        <v>350</v>
      </c>
      <c r="M57" s="35" t="n">
        <f aca="false">I57+J57+K57+L57</f>
        <v>22937.44</v>
      </c>
      <c r="N57" s="45" t="s">
        <v>318</v>
      </c>
    </row>
    <row r="58" customFormat="false" ht="14.25" hidden="false" customHeight="true" outlineLevel="0" collapsed="false">
      <c r="A58" s="39"/>
      <c r="B58" s="40" t="s">
        <v>371</v>
      </c>
      <c r="C58" s="41" t="s">
        <v>127</v>
      </c>
      <c r="D58" s="41" t="s">
        <v>108</v>
      </c>
      <c r="E58" s="42" t="n">
        <v>8906</v>
      </c>
      <c r="F58" s="42"/>
      <c r="G58" s="42"/>
      <c r="H58" s="43" t="n">
        <v>2</v>
      </c>
      <c r="I58" s="34" t="n">
        <f aca="false">E58*H58+N(F58)+N(G58)</f>
        <v>17812</v>
      </c>
      <c r="J58" s="42" t="n">
        <f aca="false">ROUND(IFERROR(ROUND(IF(OR(ISNUMBER(SEARCH("week",C58)),ISNUMBER(SEARCH("minggu",C58))),IFERROR(_xlfn.NUMBERVALUE(SUBSTITUTE(LEFT(TRIM(C58),FIND(" ",TRIM(C58)&amp;" ")-1),",","."),"."),LEFT(SUBSTITUTE(LEFT(TRIM(C58),FIND(" ",TRIM(C58)&amp;" ")-1),",","."),FIND("/",SUBSTITUTE(LEFT(TRIM(C58),FIND(" ",TRIM(C58)&amp;" ")-1),",","."))-1)/MID(SUBSTITUTE(LEFT(TRIM(C58),FIND(" ",TRIM(C58)&amp;" ")-1),",","."),FIND("/",SUBSTITUTE(LEFT(TRIM(C58),FIND(" ",TRIM(C58)&amp;" ")-1),",","."))+1,9))*12/52,IF(ISNUMBER(SEARCH("month",C58)),IFERROR(_xlfn.NUMBERVALUE(SUBSTITUTE(LEFT(TRIM(C58),FIND(" ",TRIM(C58)&amp;" ")-1),",","."),"."),LEFT(SUBSTITUTE(LEFT(TRIM(C58),FIND(" ",TRIM(C58)&amp;" ")-1),",","."),FIND("/",SUBSTITUTE(LEFT(TRIM(C58),FIND(" ",TRIM(C58)&amp;" ")-1),",","."))-1)/MID(SUBSTITUTE(LEFT(TRIM(C58),FIND(" ",TRIM(C58)&amp;" ")-1),",","."),FIND("/",SUBSTITUTE(LEFT(TRIM(C58),FIND(" ",TRIM(C58)&amp;" ")-1),",","."))+1,9)),IF(ISNUMBER(SEARCH("yea",C58)),IFERROR(_xlfn.NUMBERVALUE(SUBSTITUTE(LEFT(TRIM(C58),FIND(" ",TRIM(C58)&amp;" ")-1),",","."),"."),LEFT(SUBSTITUTE(LEFT(TRIM(C58),FIND(" ",TRIM(C58)&amp;" ")-1),",","."),FIND("/",SUBSTITUTE(LEFT(TRIM(C58),FIND(" ",TRIM(C58)&amp;" ")-1),",","."))-1)/MID(SUBSTITUTE(LEFT(TRIM(C58),FIND(" ",TRIM(C58)&amp;" ")-1),",","."),FIND("/",SUBSTITUTE(LEFT(TRIM(C58),FIND(" ",TRIM(C58)&amp;" ")-1),",","."))+1,9))*12,NA()))),0),36)*'Aturan &amp; Tarif'!$B$4,2)</f>
        <v>2044.08</v>
      </c>
      <c r="K58" s="42" t="n">
        <f aca="false">'Aturan &amp; Tarif'!$B$5</f>
        <v>2050</v>
      </c>
      <c r="L58" s="42" t="n">
        <f aca="false">'Aturan &amp; Tarif'!$B$6</f>
        <v>350</v>
      </c>
      <c r="M58" s="35" t="n">
        <f aca="false">I58+J58+K58+L58</f>
        <v>22256.08</v>
      </c>
      <c r="N58" s="45" t="s">
        <v>318</v>
      </c>
    </row>
    <row r="59" customFormat="false" ht="14.25" hidden="false" customHeight="true" outlineLevel="0" collapsed="false">
      <c r="A59" s="39"/>
      <c r="B59" s="40" t="s">
        <v>372</v>
      </c>
      <c r="C59" s="41" t="s">
        <v>127</v>
      </c>
      <c r="D59" s="41" t="s">
        <v>108</v>
      </c>
      <c r="E59" s="42" t="n">
        <v>8906</v>
      </c>
      <c r="F59" s="42"/>
      <c r="G59" s="42"/>
      <c r="H59" s="43" t="n">
        <v>2</v>
      </c>
      <c r="I59" s="34" t="n">
        <f aca="false">E59*H59+N(F59)+N(G59)</f>
        <v>17812</v>
      </c>
      <c r="J59" s="42" t="n">
        <f aca="false">ROUND(IFERROR(ROUND(IF(OR(ISNUMBER(SEARCH("week",C59)),ISNUMBER(SEARCH("minggu",C59))),IFERROR(_xlfn.NUMBERVALUE(SUBSTITUTE(LEFT(TRIM(C59),FIND(" ",TRIM(C59)&amp;" ")-1),",","."),"."),LEFT(SUBSTITUTE(LEFT(TRIM(C59),FIND(" ",TRIM(C59)&amp;" ")-1),",","."),FIND("/",SUBSTITUTE(LEFT(TRIM(C59),FIND(" ",TRIM(C59)&amp;" ")-1),",","."))-1)/MID(SUBSTITUTE(LEFT(TRIM(C59),FIND(" ",TRIM(C59)&amp;" ")-1),",","."),FIND("/",SUBSTITUTE(LEFT(TRIM(C59),FIND(" ",TRIM(C59)&amp;" ")-1),",","."))+1,9))*12/52,IF(ISNUMBER(SEARCH("month",C59)),IFERROR(_xlfn.NUMBERVALUE(SUBSTITUTE(LEFT(TRIM(C59),FIND(" ",TRIM(C59)&amp;" ")-1),",","."),"."),LEFT(SUBSTITUTE(LEFT(TRIM(C59),FIND(" ",TRIM(C59)&amp;" ")-1),",","."),FIND("/",SUBSTITUTE(LEFT(TRIM(C59),FIND(" ",TRIM(C59)&amp;" ")-1),",","."))-1)/MID(SUBSTITUTE(LEFT(TRIM(C59),FIND(" ",TRIM(C59)&amp;" ")-1),",","."),FIND("/",SUBSTITUTE(LEFT(TRIM(C59),FIND(" ",TRIM(C59)&amp;" ")-1),",","."))+1,9)),IF(ISNUMBER(SEARCH("yea",C59)),IFERROR(_xlfn.NUMBERVALUE(SUBSTITUTE(LEFT(TRIM(C59),FIND(" ",TRIM(C59)&amp;" ")-1),",","."),"."),LEFT(SUBSTITUTE(LEFT(TRIM(C59),FIND(" ",TRIM(C59)&amp;" ")-1),",","."),FIND("/",SUBSTITUTE(LEFT(TRIM(C59),FIND(" ",TRIM(C59)&amp;" ")-1),",","."))-1)/MID(SUBSTITUTE(LEFT(TRIM(C59),FIND(" ",TRIM(C59)&amp;" ")-1),",","."),FIND("/",SUBSTITUTE(LEFT(TRIM(C59),FIND(" ",TRIM(C59)&amp;" ")-1),",","."))+1,9))*12,NA()))),0),36)*'Aturan &amp; Tarif'!$B$4,2)</f>
        <v>2044.08</v>
      </c>
      <c r="K59" s="42" t="n">
        <f aca="false">'Aturan &amp; Tarif'!$B$5</f>
        <v>2050</v>
      </c>
      <c r="L59" s="42" t="n">
        <f aca="false">'Aturan &amp; Tarif'!$B$6</f>
        <v>350</v>
      </c>
      <c r="M59" s="35" t="n">
        <f aca="false">I59+J59+K59+L59</f>
        <v>22256.08</v>
      </c>
      <c r="N59" s="45" t="s">
        <v>318</v>
      </c>
    </row>
    <row r="60" customFormat="false" ht="14.25" hidden="false" customHeight="true" outlineLevel="0" collapsed="false">
      <c r="A60" s="39"/>
      <c r="B60" s="40" t="s">
        <v>373</v>
      </c>
      <c r="C60" s="41" t="s">
        <v>107</v>
      </c>
      <c r="D60" s="41" t="s">
        <v>108</v>
      </c>
      <c r="E60" s="42" t="n">
        <v>8906</v>
      </c>
      <c r="F60" s="42"/>
      <c r="G60" s="42"/>
      <c r="H60" s="43" t="n">
        <v>2</v>
      </c>
      <c r="I60" s="34" t="n">
        <f aca="false">E60*H60+N(F60)+N(G60)</f>
        <v>17812</v>
      </c>
      <c r="J60" s="42" t="n">
        <f aca="false">ROUND(IFERROR(ROUND(IF(OR(ISNUMBER(SEARCH("week",C60)),ISNUMBER(SEARCH("minggu",C60))),IFERROR(_xlfn.NUMBERVALUE(SUBSTITUTE(LEFT(TRIM(C60),FIND(" ",TRIM(C60)&amp;" ")-1),",","."),"."),LEFT(SUBSTITUTE(LEFT(TRIM(C60),FIND(" ",TRIM(C60)&amp;" ")-1),",","."),FIND("/",SUBSTITUTE(LEFT(TRIM(C60),FIND(" ",TRIM(C60)&amp;" ")-1),",","."))-1)/MID(SUBSTITUTE(LEFT(TRIM(C60),FIND(" ",TRIM(C60)&amp;" ")-1),",","."),FIND("/",SUBSTITUTE(LEFT(TRIM(C60),FIND(" ",TRIM(C60)&amp;" ")-1),",","."))+1,9))*12/52,IF(ISNUMBER(SEARCH("month",C60)),IFERROR(_xlfn.NUMBERVALUE(SUBSTITUTE(LEFT(TRIM(C60),FIND(" ",TRIM(C60)&amp;" ")-1),",","."),"."),LEFT(SUBSTITUTE(LEFT(TRIM(C60),FIND(" ",TRIM(C60)&amp;" ")-1),",","."),FIND("/",SUBSTITUTE(LEFT(TRIM(C60),FIND(" ",TRIM(C60)&amp;" ")-1),",","."))-1)/MID(SUBSTITUTE(LEFT(TRIM(C60),FIND(" ",TRIM(C60)&amp;" ")-1),",","."),FIND("/",SUBSTITUTE(LEFT(TRIM(C60),FIND(" ",TRIM(C60)&amp;" ")-1),",","."))+1,9)),IF(ISNUMBER(SEARCH("yea",C60)),IFERROR(_xlfn.NUMBERVALUE(SUBSTITUTE(LEFT(TRIM(C60),FIND(" ",TRIM(C60)&amp;" ")-1),",","."),"."),LEFT(SUBSTITUTE(LEFT(TRIM(C60),FIND(" ",TRIM(C60)&amp;" ")-1),",","."),FIND("/",SUBSTITUTE(LEFT(TRIM(C60),FIND(" ",TRIM(C60)&amp;" ")-1),",","."))-1)/MID(SUBSTITUTE(LEFT(TRIM(C60),FIND(" ",TRIM(C60)&amp;" ")-1),",","."),FIND("/",SUBSTITUTE(LEFT(TRIM(C60),FIND(" ",TRIM(C60)&amp;" ")-1),",","."))+1,9))*12,NA()))),0),24)*'Aturan &amp; Tarif'!$B$4,2)</f>
        <v>1362.72</v>
      </c>
      <c r="K60" s="42" t="n">
        <f aca="false">'Aturan &amp; Tarif'!$B$5</f>
        <v>2050</v>
      </c>
      <c r="L60" s="42" t="n">
        <f aca="false">'Aturan &amp; Tarif'!$B$6</f>
        <v>350</v>
      </c>
      <c r="M60" s="35" t="n">
        <f aca="false">I60+J60+K60+L60</f>
        <v>21574.72</v>
      </c>
      <c r="N60" s="45" t="s">
        <v>318</v>
      </c>
    </row>
    <row r="61" customFormat="false" ht="25.5" hidden="false" customHeight="true" outlineLevel="0" collapsed="false">
      <c r="A61" s="39"/>
      <c r="B61" s="40" t="s">
        <v>374</v>
      </c>
      <c r="C61" s="41" t="s">
        <v>107</v>
      </c>
      <c r="D61" s="41" t="s">
        <v>108</v>
      </c>
      <c r="E61" s="42" t="n">
        <v>8906</v>
      </c>
      <c r="F61" s="42"/>
      <c r="G61" s="42"/>
      <c r="H61" s="43" t="n">
        <v>2</v>
      </c>
      <c r="I61" s="34" t="n">
        <f aca="false">E61*H61+N(F61)+N(G61)</f>
        <v>17812</v>
      </c>
      <c r="J61" s="42" t="n">
        <f aca="false">ROUND(IFERROR(ROUND(IF(OR(ISNUMBER(SEARCH("week",C61)),ISNUMBER(SEARCH("minggu",C61))),IFERROR(_xlfn.NUMBERVALUE(SUBSTITUTE(LEFT(TRIM(C61),FIND(" ",TRIM(C61)&amp;" ")-1),",","."),"."),LEFT(SUBSTITUTE(LEFT(TRIM(C61),FIND(" ",TRIM(C61)&amp;" ")-1),",","."),FIND("/",SUBSTITUTE(LEFT(TRIM(C61),FIND(" ",TRIM(C61)&amp;" ")-1),",","."))-1)/MID(SUBSTITUTE(LEFT(TRIM(C61),FIND(" ",TRIM(C61)&amp;" ")-1),",","."),FIND("/",SUBSTITUTE(LEFT(TRIM(C61),FIND(" ",TRIM(C61)&amp;" ")-1),",","."))+1,9))*12/52,IF(ISNUMBER(SEARCH("month",C61)),IFERROR(_xlfn.NUMBERVALUE(SUBSTITUTE(LEFT(TRIM(C61),FIND(" ",TRIM(C61)&amp;" ")-1),",","."),"."),LEFT(SUBSTITUTE(LEFT(TRIM(C61),FIND(" ",TRIM(C61)&amp;" ")-1),",","."),FIND("/",SUBSTITUTE(LEFT(TRIM(C61),FIND(" ",TRIM(C61)&amp;" ")-1),",","."))-1)/MID(SUBSTITUTE(LEFT(TRIM(C61),FIND(" ",TRIM(C61)&amp;" ")-1),",","."),FIND("/",SUBSTITUTE(LEFT(TRIM(C61),FIND(" ",TRIM(C61)&amp;" ")-1),",","."))+1,9)),IF(ISNUMBER(SEARCH("yea",C61)),IFERROR(_xlfn.NUMBERVALUE(SUBSTITUTE(LEFT(TRIM(C61),FIND(" ",TRIM(C61)&amp;" ")-1),",","."),"."),LEFT(SUBSTITUTE(LEFT(TRIM(C61),FIND(" ",TRIM(C61)&amp;" ")-1),",","."),FIND("/",SUBSTITUTE(LEFT(TRIM(C61),FIND(" ",TRIM(C61)&amp;" ")-1),",","."))-1)/MID(SUBSTITUTE(LEFT(TRIM(C61),FIND(" ",TRIM(C61)&amp;" ")-1),",","."),FIND("/",SUBSTITUTE(LEFT(TRIM(C61),FIND(" ",TRIM(C61)&amp;" ")-1),",","."))+1,9))*12,NA()))),0),24)*'Aturan &amp; Tarif'!$B$4,2)</f>
        <v>1362.72</v>
      </c>
      <c r="K61" s="42" t="n">
        <f aca="false">'Aturan &amp; Tarif'!$B$5</f>
        <v>2050</v>
      </c>
      <c r="L61" s="42" t="n">
        <f aca="false">'Aturan &amp; Tarif'!$B$6</f>
        <v>350</v>
      </c>
      <c r="M61" s="35" t="n">
        <f aca="false">I61+J61+K61+L61</f>
        <v>21574.72</v>
      </c>
      <c r="N61" s="45" t="s">
        <v>318</v>
      </c>
    </row>
    <row r="62" customFormat="false" ht="25.5" hidden="false" customHeight="true" outlineLevel="0" collapsed="false">
      <c r="A62" s="39"/>
      <c r="B62" s="40" t="s">
        <v>375</v>
      </c>
      <c r="C62" s="41" t="s">
        <v>107</v>
      </c>
      <c r="D62" s="41" t="s">
        <v>108</v>
      </c>
      <c r="E62" s="42" t="n">
        <v>8906</v>
      </c>
      <c r="F62" s="42"/>
      <c r="G62" s="42"/>
      <c r="H62" s="43" t="n">
        <v>2</v>
      </c>
      <c r="I62" s="34" t="n">
        <f aca="false">E62*H62+N(F62)+N(G62)</f>
        <v>17812</v>
      </c>
      <c r="J62" s="42" t="n">
        <f aca="false">ROUND(IFERROR(ROUND(IF(OR(ISNUMBER(SEARCH("week",C62)),ISNUMBER(SEARCH("minggu",C62))),IFERROR(_xlfn.NUMBERVALUE(SUBSTITUTE(LEFT(TRIM(C62),FIND(" ",TRIM(C62)&amp;" ")-1),",","."),"."),LEFT(SUBSTITUTE(LEFT(TRIM(C62),FIND(" ",TRIM(C62)&amp;" ")-1),",","."),FIND("/",SUBSTITUTE(LEFT(TRIM(C62),FIND(" ",TRIM(C62)&amp;" ")-1),",","."))-1)/MID(SUBSTITUTE(LEFT(TRIM(C62),FIND(" ",TRIM(C62)&amp;" ")-1),",","."),FIND("/",SUBSTITUTE(LEFT(TRIM(C62),FIND(" ",TRIM(C62)&amp;" ")-1),",","."))+1,9))*12/52,IF(ISNUMBER(SEARCH("month",C62)),IFERROR(_xlfn.NUMBERVALUE(SUBSTITUTE(LEFT(TRIM(C62),FIND(" ",TRIM(C62)&amp;" ")-1),",","."),"."),LEFT(SUBSTITUTE(LEFT(TRIM(C62),FIND(" ",TRIM(C62)&amp;" ")-1),",","."),FIND("/",SUBSTITUTE(LEFT(TRIM(C62),FIND(" ",TRIM(C62)&amp;" ")-1),",","."))-1)/MID(SUBSTITUTE(LEFT(TRIM(C62),FIND(" ",TRIM(C62)&amp;" ")-1),",","."),FIND("/",SUBSTITUTE(LEFT(TRIM(C62),FIND(" ",TRIM(C62)&amp;" ")-1),",","."))+1,9)),IF(ISNUMBER(SEARCH("yea",C62)),IFERROR(_xlfn.NUMBERVALUE(SUBSTITUTE(LEFT(TRIM(C62),FIND(" ",TRIM(C62)&amp;" ")-1),",","."),"."),LEFT(SUBSTITUTE(LEFT(TRIM(C62),FIND(" ",TRIM(C62)&amp;" ")-1),",","."),FIND("/",SUBSTITUTE(LEFT(TRIM(C62),FIND(" ",TRIM(C62)&amp;" ")-1),",","."))-1)/MID(SUBSTITUTE(LEFT(TRIM(C62),FIND(" ",TRIM(C62)&amp;" ")-1),",","."),FIND("/",SUBSTITUTE(LEFT(TRIM(C62),FIND(" ",TRIM(C62)&amp;" ")-1),",","."))+1,9))*12,NA()))),0),24)*'Aturan &amp; Tarif'!$B$4,2)</f>
        <v>1362.72</v>
      </c>
      <c r="K62" s="42" t="n">
        <f aca="false">'Aturan &amp; Tarif'!$B$5</f>
        <v>2050</v>
      </c>
      <c r="L62" s="42" t="n">
        <f aca="false">'Aturan &amp; Tarif'!$B$6</f>
        <v>350</v>
      </c>
      <c r="M62" s="35" t="n">
        <f aca="false">I62+J62+K62+L62</f>
        <v>21574.72</v>
      </c>
      <c r="N62" s="45" t="s">
        <v>318</v>
      </c>
    </row>
    <row r="63" customFormat="false" ht="14.25" hidden="false" customHeight="true" outlineLevel="0" collapsed="false">
      <c r="A63" s="39"/>
      <c r="B63" s="40" t="s">
        <v>376</v>
      </c>
      <c r="C63" s="41" t="s">
        <v>107</v>
      </c>
      <c r="D63" s="41" t="s">
        <v>108</v>
      </c>
      <c r="E63" s="42" t="n">
        <v>8906</v>
      </c>
      <c r="F63" s="42"/>
      <c r="G63" s="42"/>
      <c r="H63" s="43" t="n">
        <v>2</v>
      </c>
      <c r="I63" s="34" t="n">
        <f aca="false">E63*H63+N(F63)+N(G63)</f>
        <v>17812</v>
      </c>
      <c r="J63" s="42" t="n">
        <f aca="false">ROUND(IFERROR(ROUND(IF(OR(ISNUMBER(SEARCH("week",C63)),ISNUMBER(SEARCH("minggu",C63))),IFERROR(_xlfn.NUMBERVALUE(SUBSTITUTE(LEFT(TRIM(C63),FIND(" ",TRIM(C63)&amp;" ")-1),",","."),"."),LEFT(SUBSTITUTE(LEFT(TRIM(C63),FIND(" ",TRIM(C63)&amp;" ")-1),",","."),FIND("/",SUBSTITUTE(LEFT(TRIM(C63),FIND(" ",TRIM(C63)&amp;" ")-1),",","."))-1)/MID(SUBSTITUTE(LEFT(TRIM(C63),FIND(" ",TRIM(C63)&amp;" ")-1),",","."),FIND("/",SUBSTITUTE(LEFT(TRIM(C63),FIND(" ",TRIM(C63)&amp;" ")-1),",","."))+1,9))*12/52,IF(ISNUMBER(SEARCH("month",C63)),IFERROR(_xlfn.NUMBERVALUE(SUBSTITUTE(LEFT(TRIM(C63),FIND(" ",TRIM(C63)&amp;" ")-1),",","."),"."),LEFT(SUBSTITUTE(LEFT(TRIM(C63),FIND(" ",TRIM(C63)&amp;" ")-1),",","."),FIND("/",SUBSTITUTE(LEFT(TRIM(C63),FIND(" ",TRIM(C63)&amp;" ")-1),",","."))-1)/MID(SUBSTITUTE(LEFT(TRIM(C63),FIND(" ",TRIM(C63)&amp;" ")-1),",","."),FIND("/",SUBSTITUTE(LEFT(TRIM(C63),FIND(" ",TRIM(C63)&amp;" ")-1),",","."))+1,9)),IF(ISNUMBER(SEARCH("yea",C63)),IFERROR(_xlfn.NUMBERVALUE(SUBSTITUTE(LEFT(TRIM(C63),FIND(" ",TRIM(C63)&amp;" ")-1),",","."),"."),LEFT(SUBSTITUTE(LEFT(TRIM(C63),FIND(" ",TRIM(C63)&amp;" ")-1),",","."),FIND("/",SUBSTITUTE(LEFT(TRIM(C63),FIND(" ",TRIM(C63)&amp;" ")-1),",","."))-1)/MID(SUBSTITUTE(LEFT(TRIM(C63),FIND(" ",TRIM(C63)&amp;" ")-1),",","."),FIND("/",SUBSTITUTE(LEFT(TRIM(C63),FIND(" ",TRIM(C63)&amp;" ")-1),",","."))+1,9))*12,NA()))),0),24)*'Aturan &amp; Tarif'!$B$4,2)</f>
        <v>1362.72</v>
      </c>
      <c r="K63" s="42" t="n">
        <f aca="false">'Aturan &amp; Tarif'!$B$5</f>
        <v>2050</v>
      </c>
      <c r="L63" s="42" t="n">
        <f aca="false">'Aturan &amp; Tarif'!$B$6</f>
        <v>350</v>
      </c>
      <c r="M63" s="35" t="n">
        <f aca="false">I63+J63+K63+L63</f>
        <v>21574.72</v>
      </c>
      <c r="N63" s="45" t="s">
        <v>318</v>
      </c>
    </row>
    <row r="64" customFormat="false" ht="14.25" hidden="false" customHeight="true" outlineLevel="0" collapsed="false">
      <c r="A64" s="39"/>
      <c r="B64" s="40" t="s">
        <v>377</v>
      </c>
      <c r="C64" s="41" t="s">
        <v>107</v>
      </c>
      <c r="D64" s="41" t="s">
        <v>108</v>
      </c>
      <c r="E64" s="42" t="n">
        <v>8906</v>
      </c>
      <c r="F64" s="42"/>
      <c r="G64" s="42"/>
      <c r="H64" s="43" t="n">
        <v>2</v>
      </c>
      <c r="I64" s="34" t="n">
        <f aca="false">E64*H64+N(F64)+N(G64)</f>
        <v>17812</v>
      </c>
      <c r="J64" s="42" t="n">
        <f aca="false">ROUND(IFERROR(ROUND(IF(OR(ISNUMBER(SEARCH("week",C64)),ISNUMBER(SEARCH("minggu",C64))),IFERROR(_xlfn.NUMBERVALUE(SUBSTITUTE(LEFT(TRIM(C64),FIND(" ",TRIM(C64)&amp;" ")-1),",","."),"."),LEFT(SUBSTITUTE(LEFT(TRIM(C64),FIND(" ",TRIM(C64)&amp;" ")-1),",","."),FIND("/",SUBSTITUTE(LEFT(TRIM(C64),FIND(" ",TRIM(C64)&amp;" ")-1),",","."))-1)/MID(SUBSTITUTE(LEFT(TRIM(C64),FIND(" ",TRIM(C64)&amp;" ")-1),",","."),FIND("/",SUBSTITUTE(LEFT(TRIM(C64),FIND(" ",TRIM(C64)&amp;" ")-1),",","."))+1,9))*12/52,IF(ISNUMBER(SEARCH("month",C64)),IFERROR(_xlfn.NUMBERVALUE(SUBSTITUTE(LEFT(TRIM(C64),FIND(" ",TRIM(C64)&amp;" ")-1),",","."),"."),LEFT(SUBSTITUTE(LEFT(TRIM(C64),FIND(" ",TRIM(C64)&amp;" ")-1),",","."),FIND("/",SUBSTITUTE(LEFT(TRIM(C64),FIND(" ",TRIM(C64)&amp;" ")-1),",","."))-1)/MID(SUBSTITUTE(LEFT(TRIM(C64),FIND(" ",TRIM(C64)&amp;" ")-1),",","."),FIND("/",SUBSTITUTE(LEFT(TRIM(C64),FIND(" ",TRIM(C64)&amp;" ")-1),",","."))+1,9)),IF(ISNUMBER(SEARCH("yea",C64)),IFERROR(_xlfn.NUMBERVALUE(SUBSTITUTE(LEFT(TRIM(C64),FIND(" ",TRIM(C64)&amp;" ")-1),",","."),"."),LEFT(SUBSTITUTE(LEFT(TRIM(C64),FIND(" ",TRIM(C64)&amp;" ")-1),",","."),FIND("/",SUBSTITUTE(LEFT(TRIM(C64),FIND(" ",TRIM(C64)&amp;" ")-1),",","."))-1)/MID(SUBSTITUTE(LEFT(TRIM(C64),FIND(" ",TRIM(C64)&amp;" ")-1),",","."),FIND("/",SUBSTITUTE(LEFT(TRIM(C64),FIND(" ",TRIM(C64)&amp;" ")-1),",","."))+1,9))*12,NA()))),0),24)*'Aturan &amp; Tarif'!$B$4,2)</f>
        <v>1362.72</v>
      </c>
      <c r="K64" s="42" t="n">
        <f aca="false">'Aturan &amp; Tarif'!$B$5</f>
        <v>2050</v>
      </c>
      <c r="L64" s="42" t="n">
        <f aca="false">'Aturan &amp; Tarif'!$B$6</f>
        <v>350</v>
      </c>
      <c r="M64" s="35" t="n">
        <f aca="false">I64+J64+K64+L64</f>
        <v>21574.72</v>
      </c>
      <c r="N64" s="45" t="s">
        <v>318</v>
      </c>
    </row>
    <row r="65" customFormat="false" ht="25.5" hidden="false" customHeight="true" outlineLevel="0" collapsed="false">
      <c r="A65" s="39"/>
      <c r="B65" s="40" t="s">
        <v>378</v>
      </c>
      <c r="C65" s="41" t="s">
        <v>107</v>
      </c>
      <c r="D65" s="41" t="s">
        <v>108</v>
      </c>
      <c r="E65" s="42" t="n">
        <v>8906</v>
      </c>
      <c r="F65" s="42"/>
      <c r="G65" s="42"/>
      <c r="H65" s="43" t="n">
        <v>2</v>
      </c>
      <c r="I65" s="34" t="n">
        <f aca="false">E65*H65+N(F65)+N(G65)</f>
        <v>17812</v>
      </c>
      <c r="J65" s="42" t="n">
        <f aca="false">ROUND(IFERROR(ROUND(IF(OR(ISNUMBER(SEARCH("week",C65)),ISNUMBER(SEARCH("minggu",C65))),IFERROR(_xlfn.NUMBERVALUE(SUBSTITUTE(LEFT(TRIM(C65),FIND(" ",TRIM(C65)&amp;" ")-1),",","."),"."),LEFT(SUBSTITUTE(LEFT(TRIM(C65),FIND(" ",TRIM(C65)&amp;" ")-1),",","."),FIND("/",SUBSTITUTE(LEFT(TRIM(C65),FIND(" ",TRIM(C65)&amp;" ")-1),",","."))-1)/MID(SUBSTITUTE(LEFT(TRIM(C65),FIND(" ",TRIM(C65)&amp;" ")-1),",","."),FIND("/",SUBSTITUTE(LEFT(TRIM(C65),FIND(" ",TRIM(C65)&amp;" ")-1),",","."))+1,9))*12/52,IF(ISNUMBER(SEARCH("month",C65)),IFERROR(_xlfn.NUMBERVALUE(SUBSTITUTE(LEFT(TRIM(C65),FIND(" ",TRIM(C65)&amp;" ")-1),",","."),"."),LEFT(SUBSTITUTE(LEFT(TRIM(C65),FIND(" ",TRIM(C65)&amp;" ")-1),",","."),FIND("/",SUBSTITUTE(LEFT(TRIM(C65),FIND(" ",TRIM(C65)&amp;" ")-1),",","."))-1)/MID(SUBSTITUTE(LEFT(TRIM(C65),FIND(" ",TRIM(C65)&amp;" ")-1),",","."),FIND("/",SUBSTITUTE(LEFT(TRIM(C65),FIND(" ",TRIM(C65)&amp;" ")-1),",","."))+1,9)),IF(ISNUMBER(SEARCH("yea",C65)),IFERROR(_xlfn.NUMBERVALUE(SUBSTITUTE(LEFT(TRIM(C65),FIND(" ",TRIM(C65)&amp;" ")-1),",","."),"."),LEFT(SUBSTITUTE(LEFT(TRIM(C65),FIND(" ",TRIM(C65)&amp;" ")-1),",","."),FIND("/",SUBSTITUTE(LEFT(TRIM(C65),FIND(" ",TRIM(C65)&amp;" ")-1),",","."))-1)/MID(SUBSTITUTE(LEFT(TRIM(C65),FIND(" ",TRIM(C65)&amp;" ")-1),",","."),FIND("/",SUBSTITUTE(LEFT(TRIM(C65),FIND(" ",TRIM(C65)&amp;" ")-1),",","."))+1,9))*12,NA()))),0),24)*'Aturan &amp; Tarif'!$B$4,2)</f>
        <v>1362.72</v>
      </c>
      <c r="K65" s="42" t="n">
        <f aca="false">'Aturan &amp; Tarif'!$B$5</f>
        <v>2050</v>
      </c>
      <c r="L65" s="42" t="n">
        <f aca="false">'Aturan &amp; Tarif'!$B$6</f>
        <v>350</v>
      </c>
      <c r="M65" s="35" t="n">
        <f aca="false">I65+J65+K65+L65</f>
        <v>21574.72</v>
      </c>
      <c r="N65" s="45" t="s">
        <v>318</v>
      </c>
    </row>
    <row r="66" customFormat="false" ht="14.25" hidden="false" customHeight="true" outlineLevel="0" collapsed="false">
      <c r="A66" s="39"/>
      <c r="B66" s="40" t="s">
        <v>379</v>
      </c>
      <c r="C66" s="41" t="s">
        <v>127</v>
      </c>
      <c r="D66" s="41" t="s">
        <v>108</v>
      </c>
      <c r="E66" s="42" t="n">
        <v>8098</v>
      </c>
      <c r="F66" s="42"/>
      <c r="G66" s="42"/>
      <c r="H66" s="43" t="n">
        <v>2</v>
      </c>
      <c r="I66" s="34" t="n">
        <f aca="false">E66*H66+N(F66)+N(G66)</f>
        <v>16196</v>
      </c>
      <c r="J66" s="42" t="n">
        <f aca="false">ROUND(IFERROR(ROUND(IF(OR(ISNUMBER(SEARCH("week",C66)),ISNUMBER(SEARCH("minggu",C66))),IFERROR(_xlfn.NUMBERVALUE(SUBSTITUTE(LEFT(TRIM(C66),FIND(" ",TRIM(C66)&amp;" ")-1),",","."),"."),LEFT(SUBSTITUTE(LEFT(TRIM(C66),FIND(" ",TRIM(C66)&amp;" ")-1),",","."),FIND("/",SUBSTITUTE(LEFT(TRIM(C66),FIND(" ",TRIM(C66)&amp;" ")-1),",","."))-1)/MID(SUBSTITUTE(LEFT(TRIM(C66),FIND(" ",TRIM(C66)&amp;" ")-1),",","."),FIND("/",SUBSTITUTE(LEFT(TRIM(C66),FIND(" ",TRIM(C66)&amp;" ")-1),",","."))+1,9))*12/52,IF(ISNUMBER(SEARCH("month",C66)),IFERROR(_xlfn.NUMBERVALUE(SUBSTITUTE(LEFT(TRIM(C66),FIND(" ",TRIM(C66)&amp;" ")-1),",","."),"."),LEFT(SUBSTITUTE(LEFT(TRIM(C66),FIND(" ",TRIM(C66)&amp;" ")-1),",","."),FIND("/",SUBSTITUTE(LEFT(TRIM(C66),FIND(" ",TRIM(C66)&amp;" ")-1),",","."))-1)/MID(SUBSTITUTE(LEFT(TRIM(C66),FIND(" ",TRIM(C66)&amp;" ")-1),",","."),FIND("/",SUBSTITUTE(LEFT(TRIM(C66),FIND(" ",TRIM(C66)&amp;" ")-1),",","."))+1,9)),IF(ISNUMBER(SEARCH("yea",C66)),IFERROR(_xlfn.NUMBERVALUE(SUBSTITUTE(LEFT(TRIM(C66),FIND(" ",TRIM(C66)&amp;" ")-1),",","."),"."),LEFT(SUBSTITUTE(LEFT(TRIM(C66),FIND(" ",TRIM(C66)&amp;" ")-1),",","."),FIND("/",SUBSTITUTE(LEFT(TRIM(C66),FIND(" ",TRIM(C66)&amp;" ")-1),",","."))-1)/MID(SUBSTITUTE(LEFT(TRIM(C66),FIND(" ",TRIM(C66)&amp;" ")-1),",","."),FIND("/",SUBSTITUTE(LEFT(TRIM(C66),FIND(" ",TRIM(C66)&amp;" ")-1),",","."))+1,9))*12,NA()))),0),36)*'Aturan &amp; Tarif'!$B$4,2)</f>
        <v>2044.08</v>
      </c>
      <c r="K66" s="42" t="n">
        <f aca="false">'Aturan &amp; Tarif'!$B$5</f>
        <v>2050</v>
      </c>
      <c r="L66" s="42" t="n">
        <f aca="false">'Aturan &amp; Tarif'!$B$6</f>
        <v>350</v>
      </c>
      <c r="M66" s="35" t="n">
        <f aca="false">I66+J66+K66+L66</f>
        <v>20640.08</v>
      </c>
      <c r="N66" s="45" t="s">
        <v>318</v>
      </c>
    </row>
    <row r="67" customFormat="false" ht="25.5" hidden="false" customHeight="true" outlineLevel="0" collapsed="false">
      <c r="A67" s="39"/>
      <c r="B67" s="40" t="s">
        <v>380</v>
      </c>
      <c r="C67" s="41" t="s">
        <v>191</v>
      </c>
      <c r="D67" s="41" t="s">
        <v>108</v>
      </c>
      <c r="E67" s="42" t="n">
        <v>8906</v>
      </c>
      <c r="F67" s="42"/>
      <c r="G67" s="42"/>
      <c r="H67" s="43" t="n">
        <v>2</v>
      </c>
      <c r="I67" s="34" t="n">
        <f aca="false">E67*H67+N(F67)+N(G67)</f>
        <v>17812</v>
      </c>
      <c r="J67" s="42" t="n">
        <f aca="false">ROUND(IFERROR(ROUND(IF(OR(ISNUMBER(SEARCH("week",C67)),ISNUMBER(SEARCH("minggu",C67))),IFERROR(_xlfn.NUMBERVALUE(SUBSTITUTE(LEFT(TRIM(C67),FIND(" ",TRIM(C67)&amp;" ")-1),",","."),"."),LEFT(SUBSTITUTE(LEFT(TRIM(C67),FIND(" ",TRIM(C67)&amp;" ")-1),",","."),FIND("/",SUBSTITUTE(LEFT(TRIM(C67),FIND(" ",TRIM(C67)&amp;" ")-1),",","."))-1)/MID(SUBSTITUTE(LEFT(TRIM(C67),FIND(" ",TRIM(C67)&amp;" ")-1),",","."),FIND("/",SUBSTITUTE(LEFT(TRIM(C67),FIND(" ",TRIM(C67)&amp;" ")-1),",","."))+1,9))*12/52,IF(ISNUMBER(SEARCH("month",C67)),IFERROR(_xlfn.NUMBERVALUE(SUBSTITUTE(LEFT(TRIM(C67),FIND(" ",TRIM(C67)&amp;" ")-1),",","."),"."),LEFT(SUBSTITUTE(LEFT(TRIM(C67),FIND(" ",TRIM(C67)&amp;" ")-1),",","."),FIND("/",SUBSTITUTE(LEFT(TRIM(C67),FIND(" ",TRIM(C67)&amp;" ")-1),",","."))-1)/MID(SUBSTITUTE(LEFT(TRIM(C67),FIND(" ",TRIM(C67)&amp;" ")-1),",","."),FIND("/",SUBSTITUTE(LEFT(TRIM(C67),FIND(" ",TRIM(C67)&amp;" ")-1),",","."))+1,9)),IF(ISNUMBER(SEARCH("yea",C67)),IFERROR(_xlfn.NUMBERVALUE(SUBSTITUTE(LEFT(TRIM(C67),FIND(" ",TRIM(C67)&amp;" ")-1),",","."),"."),LEFT(SUBSTITUTE(LEFT(TRIM(C67),FIND(" ",TRIM(C67)&amp;" ")-1),",","."),FIND("/",SUBSTITUTE(LEFT(TRIM(C67),FIND(" ",TRIM(C67)&amp;" ")-1),",","."))-1)/MID(SUBSTITUTE(LEFT(TRIM(C67),FIND(" ",TRIM(C67)&amp;" ")-1),",","."),FIND("/",SUBSTITUTE(LEFT(TRIM(C67),FIND(" ",TRIM(C67)&amp;" ")-1),",","."))+1,9))*12,NA()))),0),48)*'Aturan &amp; Tarif'!$B$4,2)</f>
        <v>2725.44</v>
      </c>
      <c r="K67" s="42" t="n">
        <f aca="false">'Aturan &amp; Tarif'!$B$5</f>
        <v>2050</v>
      </c>
      <c r="L67" s="42" t="n">
        <f aca="false">'Aturan &amp; Tarif'!$B$6</f>
        <v>350</v>
      </c>
      <c r="M67" s="35" t="n">
        <f aca="false">I67+J67+K67+L67</f>
        <v>22937.44</v>
      </c>
      <c r="N67" s="45" t="s">
        <v>318</v>
      </c>
    </row>
    <row r="68" customFormat="false" ht="14.25" hidden="false" customHeight="true" outlineLevel="0" collapsed="false">
      <c r="A68" s="39"/>
      <c r="B68" s="40" t="s">
        <v>381</v>
      </c>
      <c r="C68" s="41" t="s">
        <v>127</v>
      </c>
      <c r="D68" s="41" t="s">
        <v>108</v>
      </c>
      <c r="E68" s="42" t="n">
        <v>8098</v>
      </c>
      <c r="F68" s="42"/>
      <c r="G68" s="42"/>
      <c r="H68" s="43" t="n">
        <v>2</v>
      </c>
      <c r="I68" s="34" t="n">
        <f aca="false">E68*H68+N(F68)+N(G68)</f>
        <v>16196</v>
      </c>
      <c r="J68" s="42" t="n">
        <f aca="false">ROUND(IFERROR(ROUND(IF(OR(ISNUMBER(SEARCH("week",C68)),ISNUMBER(SEARCH("minggu",C68))),IFERROR(_xlfn.NUMBERVALUE(SUBSTITUTE(LEFT(TRIM(C68),FIND(" ",TRIM(C68)&amp;" ")-1),",","."),"."),LEFT(SUBSTITUTE(LEFT(TRIM(C68),FIND(" ",TRIM(C68)&amp;" ")-1),",","."),FIND("/",SUBSTITUTE(LEFT(TRIM(C68),FIND(" ",TRIM(C68)&amp;" ")-1),",","."))-1)/MID(SUBSTITUTE(LEFT(TRIM(C68),FIND(" ",TRIM(C68)&amp;" ")-1),",","."),FIND("/",SUBSTITUTE(LEFT(TRIM(C68),FIND(" ",TRIM(C68)&amp;" ")-1),",","."))+1,9))*12/52,IF(ISNUMBER(SEARCH("month",C68)),IFERROR(_xlfn.NUMBERVALUE(SUBSTITUTE(LEFT(TRIM(C68),FIND(" ",TRIM(C68)&amp;" ")-1),",","."),"."),LEFT(SUBSTITUTE(LEFT(TRIM(C68),FIND(" ",TRIM(C68)&amp;" ")-1),",","."),FIND("/",SUBSTITUTE(LEFT(TRIM(C68),FIND(" ",TRIM(C68)&amp;" ")-1),",","."))-1)/MID(SUBSTITUTE(LEFT(TRIM(C68),FIND(" ",TRIM(C68)&amp;" ")-1),",","."),FIND("/",SUBSTITUTE(LEFT(TRIM(C68),FIND(" ",TRIM(C68)&amp;" ")-1),",","."))+1,9)),IF(ISNUMBER(SEARCH("yea",C68)),IFERROR(_xlfn.NUMBERVALUE(SUBSTITUTE(LEFT(TRIM(C68),FIND(" ",TRIM(C68)&amp;" ")-1),",","."),"."),LEFT(SUBSTITUTE(LEFT(TRIM(C68),FIND(" ",TRIM(C68)&amp;" ")-1),",","."),FIND("/",SUBSTITUTE(LEFT(TRIM(C68),FIND(" ",TRIM(C68)&amp;" ")-1),",","."))-1)/MID(SUBSTITUTE(LEFT(TRIM(C68),FIND(" ",TRIM(C68)&amp;" ")-1),",","."),FIND("/",SUBSTITUTE(LEFT(TRIM(C68),FIND(" ",TRIM(C68)&amp;" ")-1),",","."))+1,9))*12,NA()))),0),36)*'Aturan &amp; Tarif'!$B$4,2)</f>
        <v>2044.08</v>
      </c>
      <c r="K68" s="42" t="n">
        <f aca="false">'Aturan &amp; Tarif'!$B$5</f>
        <v>2050</v>
      </c>
      <c r="L68" s="42" t="n">
        <f aca="false">'Aturan &amp; Tarif'!$B$6</f>
        <v>350</v>
      </c>
      <c r="M68" s="35" t="n">
        <f aca="false">I68+J68+K68+L68</f>
        <v>20640.08</v>
      </c>
      <c r="N68" s="45" t="s">
        <v>318</v>
      </c>
    </row>
    <row r="69" customFormat="false" ht="25.5" hidden="false" customHeight="true" outlineLevel="0" collapsed="false">
      <c r="A69" s="39"/>
      <c r="B69" s="40" t="s">
        <v>382</v>
      </c>
      <c r="C69" s="41" t="s">
        <v>191</v>
      </c>
      <c r="D69" s="41" t="s">
        <v>108</v>
      </c>
      <c r="E69" s="42" t="n">
        <v>8098</v>
      </c>
      <c r="F69" s="42"/>
      <c r="G69" s="42"/>
      <c r="H69" s="43" t="n">
        <v>2</v>
      </c>
      <c r="I69" s="34" t="n">
        <f aca="false">E69*H69+N(F69)+N(G69)</f>
        <v>16196</v>
      </c>
      <c r="J69" s="42" t="n">
        <f aca="false">ROUND(IFERROR(ROUND(IF(OR(ISNUMBER(SEARCH("week",C69)),ISNUMBER(SEARCH("minggu",C69))),IFERROR(_xlfn.NUMBERVALUE(SUBSTITUTE(LEFT(TRIM(C69),FIND(" ",TRIM(C69)&amp;" ")-1),",","."),"."),LEFT(SUBSTITUTE(LEFT(TRIM(C69),FIND(" ",TRIM(C69)&amp;" ")-1),",","."),FIND("/",SUBSTITUTE(LEFT(TRIM(C69),FIND(" ",TRIM(C69)&amp;" ")-1),",","."))-1)/MID(SUBSTITUTE(LEFT(TRIM(C69),FIND(" ",TRIM(C69)&amp;" ")-1),",","."),FIND("/",SUBSTITUTE(LEFT(TRIM(C69),FIND(" ",TRIM(C69)&amp;" ")-1),",","."))+1,9))*12/52,IF(ISNUMBER(SEARCH("month",C69)),IFERROR(_xlfn.NUMBERVALUE(SUBSTITUTE(LEFT(TRIM(C69),FIND(" ",TRIM(C69)&amp;" ")-1),",","."),"."),LEFT(SUBSTITUTE(LEFT(TRIM(C69),FIND(" ",TRIM(C69)&amp;" ")-1),",","."),FIND("/",SUBSTITUTE(LEFT(TRIM(C69),FIND(" ",TRIM(C69)&amp;" ")-1),",","."))-1)/MID(SUBSTITUTE(LEFT(TRIM(C69),FIND(" ",TRIM(C69)&amp;" ")-1),",","."),FIND("/",SUBSTITUTE(LEFT(TRIM(C69),FIND(" ",TRIM(C69)&amp;" ")-1),",","."))+1,9)),IF(ISNUMBER(SEARCH("yea",C69)),IFERROR(_xlfn.NUMBERVALUE(SUBSTITUTE(LEFT(TRIM(C69),FIND(" ",TRIM(C69)&amp;" ")-1),",","."),"."),LEFT(SUBSTITUTE(LEFT(TRIM(C69),FIND(" ",TRIM(C69)&amp;" ")-1),",","."),FIND("/",SUBSTITUTE(LEFT(TRIM(C69),FIND(" ",TRIM(C69)&amp;" ")-1),",","."))-1)/MID(SUBSTITUTE(LEFT(TRIM(C69),FIND(" ",TRIM(C69)&amp;" ")-1),",","."),FIND("/",SUBSTITUTE(LEFT(TRIM(C69),FIND(" ",TRIM(C69)&amp;" ")-1),",","."))+1,9))*12,NA()))),0),48)*'Aturan &amp; Tarif'!$B$4,2)</f>
        <v>2725.44</v>
      </c>
      <c r="K69" s="42" t="n">
        <f aca="false">'Aturan &amp; Tarif'!$B$5</f>
        <v>2050</v>
      </c>
      <c r="L69" s="42" t="n">
        <f aca="false">'Aturan &amp; Tarif'!$B$6</f>
        <v>350</v>
      </c>
      <c r="M69" s="35" t="n">
        <f aca="false">I69+J69+K69+L69</f>
        <v>21321.44</v>
      </c>
      <c r="N69" s="45" t="s">
        <v>318</v>
      </c>
    </row>
    <row r="70" customFormat="false" ht="25.5" hidden="false" customHeight="true" outlineLevel="0" collapsed="false">
      <c r="A70" s="39"/>
      <c r="B70" s="40" t="s">
        <v>383</v>
      </c>
      <c r="C70" s="41" t="s">
        <v>191</v>
      </c>
      <c r="D70" s="41" t="s">
        <v>108</v>
      </c>
      <c r="E70" s="42" t="n">
        <v>8906</v>
      </c>
      <c r="F70" s="42"/>
      <c r="G70" s="42"/>
      <c r="H70" s="43" t="n">
        <v>2</v>
      </c>
      <c r="I70" s="34" t="n">
        <f aca="false">E70*H70+N(F70)+N(G70)</f>
        <v>17812</v>
      </c>
      <c r="J70" s="42" t="n">
        <f aca="false">ROUND(IFERROR(ROUND(IF(OR(ISNUMBER(SEARCH("week",C70)),ISNUMBER(SEARCH("minggu",C70))),IFERROR(_xlfn.NUMBERVALUE(SUBSTITUTE(LEFT(TRIM(C70),FIND(" ",TRIM(C70)&amp;" ")-1),",","."),"."),LEFT(SUBSTITUTE(LEFT(TRIM(C70),FIND(" ",TRIM(C70)&amp;" ")-1),",","."),FIND("/",SUBSTITUTE(LEFT(TRIM(C70),FIND(" ",TRIM(C70)&amp;" ")-1),",","."))-1)/MID(SUBSTITUTE(LEFT(TRIM(C70),FIND(" ",TRIM(C70)&amp;" ")-1),",","."),FIND("/",SUBSTITUTE(LEFT(TRIM(C70),FIND(" ",TRIM(C70)&amp;" ")-1),",","."))+1,9))*12/52,IF(ISNUMBER(SEARCH("month",C70)),IFERROR(_xlfn.NUMBERVALUE(SUBSTITUTE(LEFT(TRIM(C70),FIND(" ",TRIM(C70)&amp;" ")-1),",","."),"."),LEFT(SUBSTITUTE(LEFT(TRIM(C70),FIND(" ",TRIM(C70)&amp;" ")-1),",","."),FIND("/",SUBSTITUTE(LEFT(TRIM(C70),FIND(" ",TRIM(C70)&amp;" ")-1),",","."))-1)/MID(SUBSTITUTE(LEFT(TRIM(C70),FIND(" ",TRIM(C70)&amp;" ")-1),",","."),FIND("/",SUBSTITUTE(LEFT(TRIM(C70),FIND(" ",TRIM(C70)&amp;" ")-1),",","."))+1,9)),IF(ISNUMBER(SEARCH("yea",C70)),IFERROR(_xlfn.NUMBERVALUE(SUBSTITUTE(LEFT(TRIM(C70),FIND(" ",TRIM(C70)&amp;" ")-1),",","."),"."),LEFT(SUBSTITUTE(LEFT(TRIM(C70),FIND(" ",TRIM(C70)&amp;" ")-1),",","."),FIND("/",SUBSTITUTE(LEFT(TRIM(C70),FIND(" ",TRIM(C70)&amp;" ")-1),",","."))-1)/MID(SUBSTITUTE(LEFT(TRIM(C70),FIND(" ",TRIM(C70)&amp;" ")-1),",","."),FIND("/",SUBSTITUTE(LEFT(TRIM(C70),FIND(" ",TRIM(C70)&amp;" ")-1),",","."))+1,9))*12,NA()))),0),48)*'Aturan &amp; Tarif'!$B$4,2)</f>
        <v>2725.44</v>
      </c>
      <c r="K70" s="42" t="n">
        <f aca="false">'Aturan &amp; Tarif'!$B$5</f>
        <v>2050</v>
      </c>
      <c r="L70" s="42" t="n">
        <f aca="false">'Aturan &amp; Tarif'!$B$6</f>
        <v>350</v>
      </c>
      <c r="M70" s="35" t="n">
        <f aca="false">I70+J70+K70+L70</f>
        <v>22937.44</v>
      </c>
      <c r="N70" s="45" t="s">
        <v>318</v>
      </c>
    </row>
    <row r="71" customFormat="false" ht="14.25" hidden="false" customHeight="true" outlineLevel="0" collapsed="false">
      <c r="A71" s="39"/>
      <c r="B71" s="40" t="s">
        <v>265</v>
      </c>
      <c r="C71" s="41" t="s">
        <v>127</v>
      </c>
      <c r="D71" s="41" t="s">
        <v>108</v>
      </c>
      <c r="E71" s="42" t="n">
        <v>9820</v>
      </c>
      <c r="F71" s="42"/>
      <c r="G71" s="42"/>
      <c r="H71" s="43" t="n">
        <v>2</v>
      </c>
      <c r="I71" s="34" t="n">
        <f aca="false">E71*H71+N(F71)+N(G71)</f>
        <v>19640</v>
      </c>
      <c r="J71" s="42" t="n">
        <f aca="false">ROUND(IFERROR(ROUND(IF(OR(ISNUMBER(SEARCH("week",C71)),ISNUMBER(SEARCH("minggu",C71))),IFERROR(_xlfn.NUMBERVALUE(SUBSTITUTE(LEFT(TRIM(C71),FIND(" ",TRIM(C71)&amp;" ")-1),",","."),"."),LEFT(SUBSTITUTE(LEFT(TRIM(C71),FIND(" ",TRIM(C71)&amp;" ")-1),",","."),FIND("/",SUBSTITUTE(LEFT(TRIM(C71),FIND(" ",TRIM(C71)&amp;" ")-1),",","."))-1)/MID(SUBSTITUTE(LEFT(TRIM(C71),FIND(" ",TRIM(C71)&amp;" ")-1),",","."),FIND("/",SUBSTITUTE(LEFT(TRIM(C71),FIND(" ",TRIM(C71)&amp;" ")-1),",","."))+1,9))*12/52,IF(ISNUMBER(SEARCH("month",C71)),IFERROR(_xlfn.NUMBERVALUE(SUBSTITUTE(LEFT(TRIM(C71),FIND(" ",TRIM(C71)&amp;" ")-1),",","."),"."),LEFT(SUBSTITUTE(LEFT(TRIM(C71),FIND(" ",TRIM(C71)&amp;" ")-1),",","."),FIND("/",SUBSTITUTE(LEFT(TRIM(C71),FIND(" ",TRIM(C71)&amp;" ")-1),",","."))-1)/MID(SUBSTITUTE(LEFT(TRIM(C71),FIND(" ",TRIM(C71)&amp;" ")-1),",","."),FIND("/",SUBSTITUTE(LEFT(TRIM(C71),FIND(" ",TRIM(C71)&amp;" ")-1),",","."))+1,9)),IF(ISNUMBER(SEARCH("yea",C71)),IFERROR(_xlfn.NUMBERVALUE(SUBSTITUTE(LEFT(TRIM(C71),FIND(" ",TRIM(C71)&amp;" ")-1),",","."),"."),LEFT(SUBSTITUTE(LEFT(TRIM(C71),FIND(" ",TRIM(C71)&amp;" ")-1),",","."),FIND("/",SUBSTITUTE(LEFT(TRIM(C71),FIND(" ",TRIM(C71)&amp;" ")-1),",","."))-1)/MID(SUBSTITUTE(LEFT(TRIM(C71),FIND(" ",TRIM(C71)&amp;" ")-1),",","."),FIND("/",SUBSTITUTE(LEFT(TRIM(C71),FIND(" ",TRIM(C71)&amp;" ")-1),",","."))+1,9))*12,NA()))),0),36)*'Aturan &amp; Tarif'!$B$4,2)</f>
        <v>2044.08</v>
      </c>
      <c r="K71" s="42" t="n">
        <f aca="false">'Aturan &amp; Tarif'!$B$5</f>
        <v>2050</v>
      </c>
      <c r="L71" s="42" t="n">
        <f aca="false">'Aturan &amp; Tarif'!$B$6</f>
        <v>350</v>
      </c>
      <c r="M71" s="35" t="n">
        <f aca="false">I71+J71+K71+L71</f>
        <v>24084.08</v>
      </c>
      <c r="N71" s="45" t="s">
        <v>318</v>
      </c>
    </row>
    <row r="72" customFormat="false" ht="14.25" hidden="false" customHeight="true" outlineLevel="0" collapsed="false">
      <c r="A72" s="39"/>
      <c r="B72" s="40" t="s">
        <v>384</v>
      </c>
      <c r="C72" s="41" t="s">
        <v>127</v>
      </c>
      <c r="D72" s="41" t="s">
        <v>108</v>
      </c>
      <c r="E72" s="42" t="n">
        <v>9820</v>
      </c>
      <c r="F72" s="42"/>
      <c r="G72" s="42"/>
      <c r="H72" s="43" t="n">
        <v>2</v>
      </c>
      <c r="I72" s="34" t="n">
        <f aca="false">E72*H72+N(F72)+N(G72)</f>
        <v>19640</v>
      </c>
      <c r="J72" s="42" t="n">
        <f aca="false">ROUND(IFERROR(ROUND(IF(OR(ISNUMBER(SEARCH("week",C72)),ISNUMBER(SEARCH("minggu",C72))),IFERROR(_xlfn.NUMBERVALUE(SUBSTITUTE(LEFT(TRIM(C72),FIND(" ",TRIM(C72)&amp;" ")-1),",","."),"."),LEFT(SUBSTITUTE(LEFT(TRIM(C72),FIND(" ",TRIM(C72)&amp;" ")-1),",","."),FIND("/",SUBSTITUTE(LEFT(TRIM(C72),FIND(" ",TRIM(C72)&amp;" ")-1),",","."))-1)/MID(SUBSTITUTE(LEFT(TRIM(C72),FIND(" ",TRIM(C72)&amp;" ")-1),",","."),FIND("/",SUBSTITUTE(LEFT(TRIM(C72),FIND(" ",TRIM(C72)&amp;" ")-1),",","."))+1,9))*12/52,IF(ISNUMBER(SEARCH("month",C72)),IFERROR(_xlfn.NUMBERVALUE(SUBSTITUTE(LEFT(TRIM(C72),FIND(" ",TRIM(C72)&amp;" ")-1),",","."),"."),LEFT(SUBSTITUTE(LEFT(TRIM(C72),FIND(" ",TRIM(C72)&amp;" ")-1),",","."),FIND("/",SUBSTITUTE(LEFT(TRIM(C72),FIND(" ",TRIM(C72)&amp;" ")-1),",","."))-1)/MID(SUBSTITUTE(LEFT(TRIM(C72),FIND(" ",TRIM(C72)&amp;" ")-1),",","."),FIND("/",SUBSTITUTE(LEFT(TRIM(C72),FIND(" ",TRIM(C72)&amp;" ")-1),",","."))+1,9)),IF(ISNUMBER(SEARCH("yea",C72)),IFERROR(_xlfn.NUMBERVALUE(SUBSTITUTE(LEFT(TRIM(C72),FIND(" ",TRIM(C72)&amp;" ")-1),",","."),"."),LEFT(SUBSTITUTE(LEFT(TRIM(C72),FIND(" ",TRIM(C72)&amp;" ")-1),",","."),FIND("/",SUBSTITUTE(LEFT(TRIM(C72),FIND(" ",TRIM(C72)&amp;" ")-1),",","."))-1)/MID(SUBSTITUTE(LEFT(TRIM(C72),FIND(" ",TRIM(C72)&amp;" ")-1),",","."),FIND("/",SUBSTITUTE(LEFT(TRIM(C72),FIND(" ",TRIM(C72)&amp;" ")-1),",","."))+1,9))*12,NA()))),0),36)*'Aturan &amp; Tarif'!$B$4,2)</f>
        <v>2044.08</v>
      </c>
      <c r="K72" s="42" t="n">
        <f aca="false">'Aturan &amp; Tarif'!$B$5</f>
        <v>2050</v>
      </c>
      <c r="L72" s="42" t="n">
        <f aca="false">'Aturan &amp; Tarif'!$B$6</f>
        <v>350</v>
      </c>
      <c r="M72" s="35" t="n">
        <f aca="false">I72+J72+K72+L72</f>
        <v>24084.08</v>
      </c>
      <c r="N72" s="45" t="s">
        <v>318</v>
      </c>
    </row>
    <row r="73" customFormat="false" ht="14.25" hidden="false" customHeight="true" outlineLevel="0" collapsed="false">
      <c r="A73" s="39"/>
      <c r="B73" s="40" t="s">
        <v>385</v>
      </c>
      <c r="C73" s="41" t="s">
        <v>127</v>
      </c>
      <c r="D73" s="41" t="s">
        <v>108</v>
      </c>
      <c r="E73" s="42" t="n">
        <v>8098</v>
      </c>
      <c r="F73" s="42"/>
      <c r="G73" s="42"/>
      <c r="H73" s="43" t="n">
        <v>2</v>
      </c>
      <c r="I73" s="34" t="n">
        <f aca="false">E73*H73+N(F73)+N(G73)</f>
        <v>16196</v>
      </c>
      <c r="J73" s="42" t="n">
        <f aca="false">ROUND(IFERROR(ROUND(IF(OR(ISNUMBER(SEARCH("week",C73)),ISNUMBER(SEARCH("minggu",C73))),IFERROR(_xlfn.NUMBERVALUE(SUBSTITUTE(LEFT(TRIM(C73),FIND(" ",TRIM(C73)&amp;" ")-1),",","."),"."),LEFT(SUBSTITUTE(LEFT(TRIM(C73),FIND(" ",TRIM(C73)&amp;" ")-1),",","."),FIND("/",SUBSTITUTE(LEFT(TRIM(C73),FIND(" ",TRIM(C73)&amp;" ")-1),",","."))-1)/MID(SUBSTITUTE(LEFT(TRIM(C73),FIND(" ",TRIM(C73)&amp;" ")-1),",","."),FIND("/",SUBSTITUTE(LEFT(TRIM(C73),FIND(" ",TRIM(C73)&amp;" ")-1),",","."))+1,9))*12/52,IF(ISNUMBER(SEARCH("month",C73)),IFERROR(_xlfn.NUMBERVALUE(SUBSTITUTE(LEFT(TRIM(C73),FIND(" ",TRIM(C73)&amp;" ")-1),",","."),"."),LEFT(SUBSTITUTE(LEFT(TRIM(C73),FIND(" ",TRIM(C73)&amp;" ")-1),",","."),FIND("/",SUBSTITUTE(LEFT(TRIM(C73),FIND(" ",TRIM(C73)&amp;" ")-1),",","."))-1)/MID(SUBSTITUTE(LEFT(TRIM(C73),FIND(" ",TRIM(C73)&amp;" ")-1),",","."),FIND("/",SUBSTITUTE(LEFT(TRIM(C73),FIND(" ",TRIM(C73)&amp;" ")-1),",","."))+1,9)),IF(ISNUMBER(SEARCH("yea",C73)),IFERROR(_xlfn.NUMBERVALUE(SUBSTITUTE(LEFT(TRIM(C73),FIND(" ",TRIM(C73)&amp;" ")-1),",","."),"."),LEFT(SUBSTITUTE(LEFT(TRIM(C73),FIND(" ",TRIM(C73)&amp;" ")-1),",","."),FIND("/",SUBSTITUTE(LEFT(TRIM(C73),FIND(" ",TRIM(C73)&amp;" ")-1),",","."))-1)/MID(SUBSTITUTE(LEFT(TRIM(C73),FIND(" ",TRIM(C73)&amp;" ")-1),",","."),FIND("/",SUBSTITUTE(LEFT(TRIM(C73),FIND(" ",TRIM(C73)&amp;" ")-1),",","."))+1,9))*12,NA()))),0),36)*'Aturan &amp; Tarif'!$B$4,2)</f>
        <v>2044.08</v>
      </c>
      <c r="K73" s="42" t="n">
        <f aca="false">'Aturan &amp; Tarif'!$B$5</f>
        <v>2050</v>
      </c>
      <c r="L73" s="42" t="n">
        <f aca="false">'Aturan &amp; Tarif'!$B$6</f>
        <v>350</v>
      </c>
      <c r="M73" s="35" t="n">
        <f aca="false">I73+J73+K73+L73</f>
        <v>20640.08</v>
      </c>
      <c r="N73" s="45" t="s">
        <v>318</v>
      </c>
    </row>
    <row r="74" customFormat="false" ht="14.25" hidden="false" customHeight="true" outlineLevel="0" collapsed="false">
      <c r="A74" s="39"/>
      <c r="B74" s="40" t="s">
        <v>386</v>
      </c>
      <c r="C74" s="41" t="s">
        <v>191</v>
      </c>
      <c r="D74" s="41" t="s">
        <v>108</v>
      </c>
      <c r="E74" s="42" t="n">
        <v>13136</v>
      </c>
      <c r="F74" s="42"/>
      <c r="G74" s="42"/>
      <c r="H74" s="43" t="n">
        <v>2</v>
      </c>
      <c r="I74" s="34" t="n">
        <f aca="false">E74*H74+N(F74)+N(G74)</f>
        <v>26272</v>
      </c>
      <c r="J74" s="42" t="n">
        <f aca="false">ROUND(IFERROR(ROUND(IF(OR(ISNUMBER(SEARCH("week",C74)),ISNUMBER(SEARCH("minggu",C74))),IFERROR(_xlfn.NUMBERVALUE(SUBSTITUTE(LEFT(TRIM(C74),FIND(" ",TRIM(C74)&amp;" ")-1),",","."),"."),LEFT(SUBSTITUTE(LEFT(TRIM(C74),FIND(" ",TRIM(C74)&amp;" ")-1),",","."),FIND("/",SUBSTITUTE(LEFT(TRIM(C74),FIND(" ",TRIM(C74)&amp;" ")-1),",","."))-1)/MID(SUBSTITUTE(LEFT(TRIM(C74),FIND(" ",TRIM(C74)&amp;" ")-1),",","."),FIND("/",SUBSTITUTE(LEFT(TRIM(C74),FIND(" ",TRIM(C74)&amp;" ")-1),",","."))+1,9))*12/52,IF(ISNUMBER(SEARCH("month",C74)),IFERROR(_xlfn.NUMBERVALUE(SUBSTITUTE(LEFT(TRIM(C74),FIND(" ",TRIM(C74)&amp;" ")-1),",","."),"."),LEFT(SUBSTITUTE(LEFT(TRIM(C74),FIND(" ",TRIM(C74)&amp;" ")-1),",","."),FIND("/",SUBSTITUTE(LEFT(TRIM(C74),FIND(" ",TRIM(C74)&amp;" ")-1),",","."))-1)/MID(SUBSTITUTE(LEFT(TRIM(C74),FIND(" ",TRIM(C74)&amp;" ")-1),",","."),FIND("/",SUBSTITUTE(LEFT(TRIM(C74),FIND(" ",TRIM(C74)&amp;" ")-1),",","."))+1,9)),IF(ISNUMBER(SEARCH("yea",C74)),IFERROR(_xlfn.NUMBERVALUE(SUBSTITUTE(LEFT(TRIM(C74),FIND(" ",TRIM(C74)&amp;" ")-1),",","."),"."),LEFT(SUBSTITUTE(LEFT(TRIM(C74),FIND(" ",TRIM(C74)&amp;" ")-1),",","."),FIND("/",SUBSTITUTE(LEFT(TRIM(C74),FIND(" ",TRIM(C74)&amp;" ")-1),",","."))-1)/MID(SUBSTITUTE(LEFT(TRIM(C74),FIND(" ",TRIM(C74)&amp;" ")-1),",","."),FIND("/",SUBSTITUTE(LEFT(TRIM(C74),FIND(" ",TRIM(C74)&amp;" ")-1),",","."))+1,9))*12,NA()))),0),48)*'Aturan &amp; Tarif'!$B$4,2)</f>
        <v>2725.44</v>
      </c>
      <c r="K74" s="42" t="n">
        <f aca="false">'Aturan &amp; Tarif'!$B$5</f>
        <v>2050</v>
      </c>
      <c r="L74" s="42" t="n">
        <f aca="false">'Aturan &amp; Tarif'!$B$6</f>
        <v>350</v>
      </c>
      <c r="M74" s="35" t="n">
        <f aca="false">I74+J74+K74+L74</f>
        <v>31397.44</v>
      </c>
      <c r="N74" s="45" t="s">
        <v>318</v>
      </c>
    </row>
    <row r="75" customFormat="false" ht="72" hidden="false" customHeight="true" outlineLevel="0" collapsed="false">
      <c r="A75" s="39"/>
      <c r="B75" s="40" t="s">
        <v>387</v>
      </c>
      <c r="C75" s="41" t="s">
        <v>191</v>
      </c>
      <c r="D75" s="41" t="s">
        <v>108</v>
      </c>
      <c r="E75" s="42" t="n">
        <v>13136</v>
      </c>
      <c r="F75" s="42"/>
      <c r="G75" s="42"/>
      <c r="H75" s="43" t="n">
        <v>2</v>
      </c>
      <c r="I75" s="34" t="n">
        <f aca="false">E75*H75+N(F75)+N(G75)</f>
        <v>26272</v>
      </c>
      <c r="J75" s="42" t="n">
        <f aca="false">ROUND(IFERROR(ROUND(IF(OR(ISNUMBER(SEARCH("week",C75)),ISNUMBER(SEARCH("minggu",C75))),IFERROR(_xlfn.NUMBERVALUE(SUBSTITUTE(LEFT(TRIM(C75),FIND(" ",TRIM(C75)&amp;" ")-1),",","."),"."),LEFT(SUBSTITUTE(LEFT(TRIM(C75),FIND(" ",TRIM(C75)&amp;" ")-1),",","."),FIND("/",SUBSTITUTE(LEFT(TRIM(C75),FIND(" ",TRIM(C75)&amp;" ")-1),",","."))-1)/MID(SUBSTITUTE(LEFT(TRIM(C75),FIND(" ",TRIM(C75)&amp;" ")-1),",","."),FIND("/",SUBSTITUTE(LEFT(TRIM(C75),FIND(" ",TRIM(C75)&amp;" ")-1),",","."))+1,9))*12/52,IF(ISNUMBER(SEARCH("month",C75)),IFERROR(_xlfn.NUMBERVALUE(SUBSTITUTE(LEFT(TRIM(C75),FIND(" ",TRIM(C75)&amp;" ")-1),",","."),"."),LEFT(SUBSTITUTE(LEFT(TRIM(C75),FIND(" ",TRIM(C75)&amp;" ")-1),",","."),FIND("/",SUBSTITUTE(LEFT(TRIM(C75),FIND(" ",TRIM(C75)&amp;" ")-1),",","."))-1)/MID(SUBSTITUTE(LEFT(TRIM(C75),FIND(" ",TRIM(C75)&amp;" ")-1),",","."),FIND("/",SUBSTITUTE(LEFT(TRIM(C75),FIND(" ",TRIM(C75)&amp;" ")-1),",","."))+1,9)),IF(ISNUMBER(SEARCH("yea",C75)),IFERROR(_xlfn.NUMBERVALUE(SUBSTITUTE(LEFT(TRIM(C75),FIND(" ",TRIM(C75)&amp;" ")-1),",","."),"."),LEFT(SUBSTITUTE(LEFT(TRIM(C75),FIND(" ",TRIM(C75)&amp;" ")-1),",","."),FIND("/",SUBSTITUTE(LEFT(TRIM(C75),FIND(" ",TRIM(C75)&amp;" ")-1),",","."))-1)/MID(SUBSTITUTE(LEFT(TRIM(C75),FIND(" ",TRIM(C75)&amp;" ")-1),",","."),FIND("/",SUBSTITUTE(LEFT(TRIM(C75),FIND(" ",TRIM(C75)&amp;" ")-1),",","."))+1,9))*12,NA()))),0),48)*'Aturan &amp; Tarif'!$B$4,2)</f>
        <v>2725.44</v>
      </c>
      <c r="K75" s="42" t="n">
        <f aca="false">'Aturan &amp; Tarif'!$B$5</f>
        <v>2050</v>
      </c>
      <c r="L75" s="42" t="n">
        <f aca="false">'Aturan &amp; Tarif'!$B$6</f>
        <v>350</v>
      </c>
      <c r="M75" s="35" t="n">
        <f aca="false">I75+J75+K75+L75</f>
        <v>31397.44</v>
      </c>
      <c r="N75" s="44" t="s">
        <v>388</v>
      </c>
    </row>
    <row r="76" customFormat="false" ht="25.5" hidden="false" customHeight="true" outlineLevel="0" collapsed="false">
      <c r="A76" s="39"/>
      <c r="B76" s="40" t="s">
        <v>389</v>
      </c>
      <c r="C76" s="41" t="s">
        <v>191</v>
      </c>
      <c r="D76" s="41" t="s">
        <v>108</v>
      </c>
      <c r="E76" s="42" t="n">
        <v>8098</v>
      </c>
      <c r="F76" s="42"/>
      <c r="G76" s="42"/>
      <c r="H76" s="43" t="n">
        <v>2</v>
      </c>
      <c r="I76" s="34" t="n">
        <f aca="false">E76*H76+N(F76)+N(G76)</f>
        <v>16196</v>
      </c>
      <c r="J76" s="42" t="n">
        <f aca="false">ROUND(IFERROR(ROUND(IF(OR(ISNUMBER(SEARCH("week",C76)),ISNUMBER(SEARCH("minggu",C76))),IFERROR(_xlfn.NUMBERVALUE(SUBSTITUTE(LEFT(TRIM(C76),FIND(" ",TRIM(C76)&amp;" ")-1),",","."),"."),LEFT(SUBSTITUTE(LEFT(TRIM(C76),FIND(" ",TRIM(C76)&amp;" ")-1),",","."),FIND("/",SUBSTITUTE(LEFT(TRIM(C76),FIND(" ",TRIM(C76)&amp;" ")-1),",","."))-1)/MID(SUBSTITUTE(LEFT(TRIM(C76),FIND(" ",TRIM(C76)&amp;" ")-1),",","."),FIND("/",SUBSTITUTE(LEFT(TRIM(C76),FIND(" ",TRIM(C76)&amp;" ")-1),",","."))+1,9))*12/52,IF(ISNUMBER(SEARCH("month",C76)),IFERROR(_xlfn.NUMBERVALUE(SUBSTITUTE(LEFT(TRIM(C76),FIND(" ",TRIM(C76)&amp;" ")-1),",","."),"."),LEFT(SUBSTITUTE(LEFT(TRIM(C76),FIND(" ",TRIM(C76)&amp;" ")-1),",","."),FIND("/",SUBSTITUTE(LEFT(TRIM(C76),FIND(" ",TRIM(C76)&amp;" ")-1),",","."))-1)/MID(SUBSTITUTE(LEFT(TRIM(C76),FIND(" ",TRIM(C76)&amp;" ")-1),",","."),FIND("/",SUBSTITUTE(LEFT(TRIM(C76),FIND(" ",TRIM(C76)&amp;" ")-1),",","."))+1,9)),IF(ISNUMBER(SEARCH("yea",C76)),IFERROR(_xlfn.NUMBERVALUE(SUBSTITUTE(LEFT(TRIM(C76),FIND(" ",TRIM(C76)&amp;" ")-1),",","."),"."),LEFT(SUBSTITUTE(LEFT(TRIM(C76),FIND(" ",TRIM(C76)&amp;" ")-1),",","."),FIND("/",SUBSTITUTE(LEFT(TRIM(C76),FIND(" ",TRIM(C76)&amp;" ")-1),",","."))-1)/MID(SUBSTITUTE(LEFT(TRIM(C76),FIND(" ",TRIM(C76)&amp;" ")-1),",","."),FIND("/",SUBSTITUTE(LEFT(TRIM(C76),FIND(" ",TRIM(C76)&amp;" ")-1),",","."))+1,9))*12,NA()))),0),48)*'Aturan &amp; Tarif'!$B$4,2)</f>
        <v>2725.44</v>
      </c>
      <c r="K76" s="42" t="n">
        <f aca="false">'Aturan &amp; Tarif'!$B$5</f>
        <v>2050</v>
      </c>
      <c r="L76" s="42" t="n">
        <f aca="false">'Aturan &amp; Tarif'!$B$6</f>
        <v>350</v>
      </c>
      <c r="M76" s="35" t="n">
        <f aca="false">I76+J76+K76+L76</f>
        <v>21321.44</v>
      </c>
      <c r="N76" s="45" t="s">
        <v>318</v>
      </c>
    </row>
    <row r="77" customFormat="false" ht="37.5" hidden="false" customHeight="true" outlineLevel="0" collapsed="false">
      <c r="A77" s="39"/>
      <c r="B77" s="40" t="s">
        <v>390</v>
      </c>
      <c r="C77" s="41" t="s">
        <v>191</v>
      </c>
      <c r="D77" s="41" t="s">
        <v>108</v>
      </c>
      <c r="E77" s="42" t="n">
        <v>8098</v>
      </c>
      <c r="F77" s="42"/>
      <c r="G77" s="42"/>
      <c r="H77" s="43" t="n">
        <v>2</v>
      </c>
      <c r="I77" s="34" t="n">
        <f aca="false">E77*H77+N(F77)+N(G77)</f>
        <v>16196</v>
      </c>
      <c r="J77" s="42" t="n">
        <f aca="false">ROUND(IFERROR(ROUND(IF(OR(ISNUMBER(SEARCH("week",C77)),ISNUMBER(SEARCH("minggu",C77))),IFERROR(_xlfn.NUMBERVALUE(SUBSTITUTE(LEFT(TRIM(C77),FIND(" ",TRIM(C77)&amp;" ")-1),",","."),"."),LEFT(SUBSTITUTE(LEFT(TRIM(C77),FIND(" ",TRIM(C77)&amp;" ")-1),",","."),FIND("/",SUBSTITUTE(LEFT(TRIM(C77),FIND(" ",TRIM(C77)&amp;" ")-1),",","."))-1)/MID(SUBSTITUTE(LEFT(TRIM(C77),FIND(" ",TRIM(C77)&amp;" ")-1),",","."),FIND("/",SUBSTITUTE(LEFT(TRIM(C77),FIND(" ",TRIM(C77)&amp;" ")-1),",","."))+1,9))*12/52,IF(ISNUMBER(SEARCH("month",C77)),IFERROR(_xlfn.NUMBERVALUE(SUBSTITUTE(LEFT(TRIM(C77),FIND(" ",TRIM(C77)&amp;" ")-1),",","."),"."),LEFT(SUBSTITUTE(LEFT(TRIM(C77),FIND(" ",TRIM(C77)&amp;" ")-1),",","."),FIND("/",SUBSTITUTE(LEFT(TRIM(C77),FIND(" ",TRIM(C77)&amp;" ")-1),",","."))-1)/MID(SUBSTITUTE(LEFT(TRIM(C77),FIND(" ",TRIM(C77)&amp;" ")-1),",","."),FIND("/",SUBSTITUTE(LEFT(TRIM(C77),FIND(" ",TRIM(C77)&amp;" ")-1),",","."))+1,9)),IF(ISNUMBER(SEARCH("yea",C77)),IFERROR(_xlfn.NUMBERVALUE(SUBSTITUTE(LEFT(TRIM(C77),FIND(" ",TRIM(C77)&amp;" ")-1),",","."),"."),LEFT(SUBSTITUTE(LEFT(TRIM(C77),FIND(" ",TRIM(C77)&amp;" ")-1),",","."),FIND("/",SUBSTITUTE(LEFT(TRIM(C77),FIND(" ",TRIM(C77)&amp;" ")-1),",","."))-1)/MID(SUBSTITUTE(LEFT(TRIM(C77),FIND(" ",TRIM(C77)&amp;" ")-1),",","."),FIND("/",SUBSTITUTE(LEFT(TRIM(C77),FIND(" ",TRIM(C77)&amp;" ")-1),",","."))+1,9))*12,NA()))),0),48)*'Aturan &amp; Tarif'!$B$4,2)</f>
        <v>2725.44</v>
      </c>
      <c r="K77" s="42" t="n">
        <f aca="false">'Aturan &amp; Tarif'!$B$5</f>
        <v>2050</v>
      </c>
      <c r="L77" s="42" t="n">
        <f aca="false">'Aturan &amp; Tarif'!$B$6</f>
        <v>350</v>
      </c>
      <c r="M77" s="35" t="n">
        <f aca="false">I77+J77+K77+L77</f>
        <v>21321.44</v>
      </c>
      <c r="N77" s="44" t="s">
        <v>391</v>
      </c>
    </row>
    <row r="78" customFormat="false" ht="37.5" hidden="false" customHeight="true" outlineLevel="0" collapsed="false">
      <c r="A78" s="39"/>
      <c r="B78" s="40" t="s">
        <v>392</v>
      </c>
      <c r="C78" s="41" t="s">
        <v>191</v>
      </c>
      <c r="D78" s="41" t="s">
        <v>108</v>
      </c>
      <c r="E78" s="42" t="n">
        <v>8098</v>
      </c>
      <c r="F78" s="42"/>
      <c r="G78" s="42"/>
      <c r="H78" s="43" t="n">
        <v>2</v>
      </c>
      <c r="I78" s="34" t="n">
        <f aca="false">E78*H78+N(F78)+N(G78)</f>
        <v>16196</v>
      </c>
      <c r="J78" s="42" t="n">
        <f aca="false">ROUND(IFERROR(ROUND(IF(OR(ISNUMBER(SEARCH("week",C78)),ISNUMBER(SEARCH("minggu",C78))),IFERROR(_xlfn.NUMBERVALUE(SUBSTITUTE(LEFT(TRIM(C78),FIND(" ",TRIM(C78)&amp;" ")-1),",","."),"."),LEFT(SUBSTITUTE(LEFT(TRIM(C78),FIND(" ",TRIM(C78)&amp;" ")-1),",","."),FIND("/",SUBSTITUTE(LEFT(TRIM(C78),FIND(" ",TRIM(C78)&amp;" ")-1),",","."))-1)/MID(SUBSTITUTE(LEFT(TRIM(C78),FIND(" ",TRIM(C78)&amp;" ")-1),",","."),FIND("/",SUBSTITUTE(LEFT(TRIM(C78),FIND(" ",TRIM(C78)&amp;" ")-1),",","."))+1,9))*12/52,IF(ISNUMBER(SEARCH("month",C78)),IFERROR(_xlfn.NUMBERVALUE(SUBSTITUTE(LEFT(TRIM(C78),FIND(" ",TRIM(C78)&amp;" ")-1),",","."),"."),LEFT(SUBSTITUTE(LEFT(TRIM(C78),FIND(" ",TRIM(C78)&amp;" ")-1),",","."),FIND("/",SUBSTITUTE(LEFT(TRIM(C78),FIND(" ",TRIM(C78)&amp;" ")-1),",","."))-1)/MID(SUBSTITUTE(LEFT(TRIM(C78),FIND(" ",TRIM(C78)&amp;" ")-1),",","."),FIND("/",SUBSTITUTE(LEFT(TRIM(C78),FIND(" ",TRIM(C78)&amp;" ")-1),",","."))+1,9)),IF(ISNUMBER(SEARCH("yea",C78)),IFERROR(_xlfn.NUMBERVALUE(SUBSTITUTE(LEFT(TRIM(C78),FIND(" ",TRIM(C78)&amp;" ")-1),",","."),"."),LEFT(SUBSTITUTE(LEFT(TRIM(C78),FIND(" ",TRIM(C78)&amp;" ")-1),",","."),FIND("/",SUBSTITUTE(LEFT(TRIM(C78),FIND(" ",TRIM(C78)&amp;" ")-1),",","."))-1)/MID(SUBSTITUTE(LEFT(TRIM(C78),FIND(" ",TRIM(C78)&amp;" ")-1),",","."),FIND("/",SUBSTITUTE(LEFT(TRIM(C78),FIND(" ",TRIM(C78)&amp;" ")-1),",","."))+1,9))*12,NA()))),0),48)*'Aturan &amp; Tarif'!$B$4,2)</f>
        <v>2725.44</v>
      </c>
      <c r="K78" s="42" t="n">
        <f aca="false">'Aturan &amp; Tarif'!$B$5</f>
        <v>2050</v>
      </c>
      <c r="L78" s="42" t="n">
        <f aca="false">'Aturan &amp; Tarif'!$B$6</f>
        <v>350</v>
      </c>
      <c r="M78" s="35" t="n">
        <f aca="false">I78+J78+K78+L78</f>
        <v>21321.44</v>
      </c>
      <c r="N78" s="44" t="s">
        <v>391</v>
      </c>
    </row>
    <row r="79" customFormat="false" ht="25.5" hidden="false" customHeight="true" outlineLevel="0" collapsed="false">
      <c r="A79" s="39"/>
      <c r="B79" s="40" t="s">
        <v>393</v>
      </c>
      <c r="C79" s="41" t="s">
        <v>191</v>
      </c>
      <c r="D79" s="41" t="s">
        <v>108</v>
      </c>
      <c r="E79" s="42" t="n">
        <v>8098</v>
      </c>
      <c r="F79" s="42"/>
      <c r="G79" s="42"/>
      <c r="H79" s="43" t="n">
        <v>2</v>
      </c>
      <c r="I79" s="34" t="n">
        <f aca="false">E79*H79+N(F79)+N(G79)</f>
        <v>16196</v>
      </c>
      <c r="J79" s="42" t="n">
        <f aca="false">ROUND(IFERROR(ROUND(IF(OR(ISNUMBER(SEARCH("week",C79)),ISNUMBER(SEARCH("minggu",C79))),IFERROR(_xlfn.NUMBERVALUE(SUBSTITUTE(LEFT(TRIM(C79),FIND(" ",TRIM(C79)&amp;" ")-1),",","."),"."),LEFT(SUBSTITUTE(LEFT(TRIM(C79),FIND(" ",TRIM(C79)&amp;" ")-1),",","."),FIND("/",SUBSTITUTE(LEFT(TRIM(C79),FIND(" ",TRIM(C79)&amp;" ")-1),",","."))-1)/MID(SUBSTITUTE(LEFT(TRIM(C79),FIND(" ",TRIM(C79)&amp;" ")-1),",","."),FIND("/",SUBSTITUTE(LEFT(TRIM(C79),FIND(" ",TRIM(C79)&amp;" ")-1),",","."))+1,9))*12/52,IF(ISNUMBER(SEARCH("month",C79)),IFERROR(_xlfn.NUMBERVALUE(SUBSTITUTE(LEFT(TRIM(C79),FIND(" ",TRIM(C79)&amp;" ")-1),",","."),"."),LEFT(SUBSTITUTE(LEFT(TRIM(C79),FIND(" ",TRIM(C79)&amp;" ")-1),",","."),FIND("/",SUBSTITUTE(LEFT(TRIM(C79),FIND(" ",TRIM(C79)&amp;" ")-1),",","."))-1)/MID(SUBSTITUTE(LEFT(TRIM(C79),FIND(" ",TRIM(C79)&amp;" ")-1),",","."),FIND("/",SUBSTITUTE(LEFT(TRIM(C79),FIND(" ",TRIM(C79)&amp;" ")-1),",","."))+1,9)),IF(ISNUMBER(SEARCH("yea",C79)),IFERROR(_xlfn.NUMBERVALUE(SUBSTITUTE(LEFT(TRIM(C79),FIND(" ",TRIM(C79)&amp;" ")-1),",","."),"."),LEFT(SUBSTITUTE(LEFT(TRIM(C79),FIND(" ",TRIM(C79)&amp;" ")-1),",","."),FIND("/",SUBSTITUTE(LEFT(TRIM(C79),FIND(" ",TRIM(C79)&amp;" ")-1),",","."))-1)/MID(SUBSTITUTE(LEFT(TRIM(C79),FIND(" ",TRIM(C79)&amp;" ")-1),",","."),FIND("/",SUBSTITUTE(LEFT(TRIM(C79),FIND(" ",TRIM(C79)&amp;" ")-1),",","."))+1,9))*12,NA()))),0),48)*'Aturan &amp; Tarif'!$B$4,2)</f>
        <v>2725.44</v>
      </c>
      <c r="K79" s="42" t="n">
        <f aca="false">'Aturan &amp; Tarif'!$B$5</f>
        <v>2050</v>
      </c>
      <c r="L79" s="42" t="n">
        <f aca="false">'Aturan &amp; Tarif'!$B$6</f>
        <v>350</v>
      </c>
      <c r="M79" s="35" t="n">
        <f aca="false">I79+J79+K79+L79</f>
        <v>21321.44</v>
      </c>
      <c r="N79" s="45" t="s">
        <v>322</v>
      </c>
    </row>
    <row r="80" customFormat="false" ht="25.5" hidden="false" customHeight="true" outlineLevel="0" collapsed="false">
      <c r="A80" s="39"/>
      <c r="B80" s="40" t="s">
        <v>394</v>
      </c>
      <c r="C80" s="41" t="s">
        <v>191</v>
      </c>
      <c r="D80" s="41" t="s">
        <v>108</v>
      </c>
      <c r="E80" s="42" t="n">
        <v>8098</v>
      </c>
      <c r="F80" s="42"/>
      <c r="G80" s="42"/>
      <c r="H80" s="43" t="n">
        <v>2</v>
      </c>
      <c r="I80" s="34" t="n">
        <f aca="false">E80*H80+N(F80)+N(G80)</f>
        <v>16196</v>
      </c>
      <c r="J80" s="42" t="n">
        <f aca="false">ROUND(IFERROR(ROUND(IF(OR(ISNUMBER(SEARCH("week",C80)),ISNUMBER(SEARCH("minggu",C80))),IFERROR(_xlfn.NUMBERVALUE(SUBSTITUTE(LEFT(TRIM(C80),FIND(" ",TRIM(C80)&amp;" ")-1),",","."),"."),LEFT(SUBSTITUTE(LEFT(TRIM(C80),FIND(" ",TRIM(C80)&amp;" ")-1),",","."),FIND("/",SUBSTITUTE(LEFT(TRIM(C80),FIND(" ",TRIM(C80)&amp;" ")-1),",","."))-1)/MID(SUBSTITUTE(LEFT(TRIM(C80),FIND(" ",TRIM(C80)&amp;" ")-1),",","."),FIND("/",SUBSTITUTE(LEFT(TRIM(C80),FIND(" ",TRIM(C80)&amp;" ")-1),",","."))+1,9))*12/52,IF(ISNUMBER(SEARCH("month",C80)),IFERROR(_xlfn.NUMBERVALUE(SUBSTITUTE(LEFT(TRIM(C80),FIND(" ",TRIM(C80)&amp;" ")-1),",","."),"."),LEFT(SUBSTITUTE(LEFT(TRIM(C80),FIND(" ",TRIM(C80)&amp;" ")-1),",","."),FIND("/",SUBSTITUTE(LEFT(TRIM(C80),FIND(" ",TRIM(C80)&amp;" ")-1),",","."))-1)/MID(SUBSTITUTE(LEFT(TRIM(C80),FIND(" ",TRIM(C80)&amp;" ")-1),",","."),FIND("/",SUBSTITUTE(LEFT(TRIM(C80),FIND(" ",TRIM(C80)&amp;" ")-1),",","."))+1,9)),IF(ISNUMBER(SEARCH("yea",C80)),IFERROR(_xlfn.NUMBERVALUE(SUBSTITUTE(LEFT(TRIM(C80),FIND(" ",TRIM(C80)&amp;" ")-1),",","."),"."),LEFT(SUBSTITUTE(LEFT(TRIM(C80),FIND(" ",TRIM(C80)&amp;" ")-1),",","."),FIND("/",SUBSTITUTE(LEFT(TRIM(C80),FIND(" ",TRIM(C80)&amp;" ")-1),",","."))-1)/MID(SUBSTITUTE(LEFT(TRIM(C80),FIND(" ",TRIM(C80)&amp;" ")-1),",","."),FIND("/",SUBSTITUTE(LEFT(TRIM(C80),FIND(" ",TRIM(C80)&amp;" ")-1),",","."))+1,9))*12,NA()))),0),48)*'Aturan &amp; Tarif'!$B$4,2)</f>
        <v>2725.44</v>
      </c>
      <c r="K80" s="42" t="n">
        <f aca="false">'Aturan &amp; Tarif'!$B$5</f>
        <v>2050</v>
      </c>
      <c r="L80" s="42" t="n">
        <f aca="false">'Aturan &amp; Tarif'!$B$6</f>
        <v>350</v>
      </c>
      <c r="M80" s="35" t="n">
        <f aca="false">I80+J80+K80+L80</f>
        <v>21321.44</v>
      </c>
      <c r="N80" s="45" t="s">
        <v>322</v>
      </c>
    </row>
    <row r="81" customFormat="false" ht="25.5" hidden="false" customHeight="true" outlineLevel="0" collapsed="false">
      <c r="A81" s="39"/>
      <c r="B81" s="40" t="s">
        <v>387</v>
      </c>
      <c r="C81" s="41" t="s">
        <v>191</v>
      </c>
      <c r="D81" s="41" t="s">
        <v>108</v>
      </c>
      <c r="E81" s="42" t="n">
        <v>8098</v>
      </c>
      <c r="F81" s="42"/>
      <c r="G81" s="42"/>
      <c r="H81" s="43" t="n">
        <v>2</v>
      </c>
      <c r="I81" s="34" t="n">
        <f aca="false">E81*H81+N(F81)+N(G81)</f>
        <v>16196</v>
      </c>
      <c r="J81" s="42" t="n">
        <f aca="false">ROUND(IFERROR(ROUND(IF(OR(ISNUMBER(SEARCH("week",C81)),ISNUMBER(SEARCH("minggu",C81))),IFERROR(_xlfn.NUMBERVALUE(SUBSTITUTE(LEFT(TRIM(C81),FIND(" ",TRIM(C81)&amp;" ")-1),",","."),"."),LEFT(SUBSTITUTE(LEFT(TRIM(C81),FIND(" ",TRIM(C81)&amp;" ")-1),",","."),FIND("/",SUBSTITUTE(LEFT(TRIM(C81),FIND(" ",TRIM(C81)&amp;" ")-1),",","."))-1)/MID(SUBSTITUTE(LEFT(TRIM(C81),FIND(" ",TRIM(C81)&amp;" ")-1),",","."),FIND("/",SUBSTITUTE(LEFT(TRIM(C81),FIND(" ",TRIM(C81)&amp;" ")-1),",","."))+1,9))*12/52,IF(ISNUMBER(SEARCH("month",C81)),IFERROR(_xlfn.NUMBERVALUE(SUBSTITUTE(LEFT(TRIM(C81),FIND(" ",TRIM(C81)&amp;" ")-1),",","."),"."),LEFT(SUBSTITUTE(LEFT(TRIM(C81),FIND(" ",TRIM(C81)&amp;" ")-1),",","."),FIND("/",SUBSTITUTE(LEFT(TRIM(C81),FIND(" ",TRIM(C81)&amp;" ")-1),",","."))-1)/MID(SUBSTITUTE(LEFT(TRIM(C81),FIND(" ",TRIM(C81)&amp;" ")-1),",","."),FIND("/",SUBSTITUTE(LEFT(TRIM(C81),FIND(" ",TRIM(C81)&amp;" ")-1),",","."))+1,9)),IF(ISNUMBER(SEARCH("yea",C81)),IFERROR(_xlfn.NUMBERVALUE(SUBSTITUTE(LEFT(TRIM(C81),FIND(" ",TRIM(C81)&amp;" ")-1),",","."),"."),LEFT(SUBSTITUTE(LEFT(TRIM(C81),FIND(" ",TRIM(C81)&amp;" ")-1),",","."),FIND("/",SUBSTITUTE(LEFT(TRIM(C81),FIND(" ",TRIM(C81)&amp;" ")-1),",","."))-1)/MID(SUBSTITUTE(LEFT(TRIM(C81),FIND(" ",TRIM(C81)&amp;" ")-1),",","."),FIND("/",SUBSTITUTE(LEFT(TRIM(C81),FIND(" ",TRIM(C81)&amp;" ")-1),",","."))+1,9))*12,NA()))),0),48)*'Aturan &amp; Tarif'!$B$4,2)</f>
        <v>2725.44</v>
      </c>
      <c r="K81" s="42" t="n">
        <f aca="false">'Aturan &amp; Tarif'!$B$5</f>
        <v>2050</v>
      </c>
      <c r="L81" s="42" t="n">
        <f aca="false">'Aturan &amp; Tarif'!$B$6</f>
        <v>350</v>
      </c>
      <c r="M81" s="35" t="n">
        <f aca="false">I81+J81+K81+L81</f>
        <v>21321.44</v>
      </c>
      <c r="N81" s="45" t="s">
        <v>322</v>
      </c>
    </row>
    <row r="82" customFormat="false" ht="14.25" hidden="false" customHeight="true" outlineLevel="0" collapsed="false">
      <c r="A82" s="39"/>
      <c r="B82" s="40" t="s">
        <v>395</v>
      </c>
      <c r="C82" s="41" t="s">
        <v>191</v>
      </c>
      <c r="D82" s="41" t="s">
        <v>108</v>
      </c>
      <c r="E82" s="42" t="n">
        <v>8098</v>
      </c>
      <c r="F82" s="42"/>
      <c r="G82" s="42"/>
      <c r="H82" s="43" t="n">
        <v>2</v>
      </c>
      <c r="I82" s="34" t="n">
        <f aca="false">E82*H82+N(F82)+N(G82)</f>
        <v>16196</v>
      </c>
      <c r="J82" s="42" t="n">
        <f aca="false">ROUND(IFERROR(ROUND(IF(OR(ISNUMBER(SEARCH("week",C82)),ISNUMBER(SEARCH("minggu",C82))),IFERROR(_xlfn.NUMBERVALUE(SUBSTITUTE(LEFT(TRIM(C82),FIND(" ",TRIM(C82)&amp;" ")-1),",","."),"."),LEFT(SUBSTITUTE(LEFT(TRIM(C82),FIND(" ",TRIM(C82)&amp;" ")-1),",","."),FIND("/",SUBSTITUTE(LEFT(TRIM(C82),FIND(" ",TRIM(C82)&amp;" ")-1),",","."))-1)/MID(SUBSTITUTE(LEFT(TRIM(C82),FIND(" ",TRIM(C82)&amp;" ")-1),",","."),FIND("/",SUBSTITUTE(LEFT(TRIM(C82),FIND(" ",TRIM(C82)&amp;" ")-1),",","."))+1,9))*12/52,IF(ISNUMBER(SEARCH("month",C82)),IFERROR(_xlfn.NUMBERVALUE(SUBSTITUTE(LEFT(TRIM(C82),FIND(" ",TRIM(C82)&amp;" ")-1),",","."),"."),LEFT(SUBSTITUTE(LEFT(TRIM(C82),FIND(" ",TRIM(C82)&amp;" ")-1),",","."),FIND("/",SUBSTITUTE(LEFT(TRIM(C82),FIND(" ",TRIM(C82)&amp;" ")-1),",","."))-1)/MID(SUBSTITUTE(LEFT(TRIM(C82),FIND(" ",TRIM(C82)&amp;" ")-1),",","."),FIND("/",SUBSTITUTE(LEFT(TRIM(C82),FIND(" ",TRIM(C82)&amp;" ")-1),",","."))+1,9)),IF(ISNUMBER(SEARCH("yea",C82)),IFERROR(_xlfn.NUMBERVALUE(SUBSTITUTE(LEFT(TRIM(C82),FIND(" ",TRIM(C82)&amp;" ")-1),",","."),"."),LEFT(SUBSTITUTE(LEFT(TRIM(C82),FIND(" ",TRIM(C82)&amp;" ")-1),",","."),FIND("/",SUBSTITUTE(LEFT(TRIM(C82),FIND(" ",TRIM(C82)&amp;" ")-1),",","."))-1)/MID(SUBSTITUTE(LEFT(TRIM(C82),FIND(" ",TRIM(C82)&amp;" ")-1),",","."),FIND("/",SUBSTITUTE(LEFT(TRIM(C82),FIND(" ",TRIM(C82)&amp;" ")-1),",","."))+1,9))*12,NA()))),0),48)*'Aturan &amp; Tarif'!$B$4,2)</f>
        <v>2725.44</v>
      </c>
      <c r="K82" s="42" t="n">
        <f aca="false">'Aturan &amp; Tarif'!$B$5</f>
        <v>2050</v>
      </c>
      <c r="L82" s="42" t="n">
        <f aca="false">'Aturan &amp; Tarif'!$B$6</f>
        <v>350</v>
      </c>
      <c r="M82" s="35" t="n">
        <f aca="false">I82+J82+K82+L82</f>
        <v>21321.44</v>
      </c>
      <c r="N82" s="45" t="s">
        <v>322</v>
      </c>
    </row>
    <row r="83" customFormat="false" ht="14.25" hidden="false" customHeight="true" outlineLevel="0" collapsed="false">
      <c r="A83" s="39"/>
      <c r="B83" s="40" t="s">
        <v>396</v>
      </c>
      <c r="C83" s="41" t="s">
        <v>191</v>
      </c>
      <c r="D83" s="41" t="s">
        <v>108</v>
      </c>
      <c r="E83" s="42" t="n">
        <v>13136</v>
      </c>
      <c r="F83" s="42"/>
      <c r="G83" s="42"/>
      <c r="H83" s="43" t="n">
        <v>2</v>
      </c>
      <c r="I83" s="34" t="n">
        <f aca="false">E83*H83+N(F83)+N(G83)</f>
        <v>26272</v>
      </c>
      <c r="J83" s="42" t="n">
        <f aca="false">ROUND(IFERROR(ROUND(IF(OR(ISNUMBER(SEARCH("week",C83)),ISNUMBER(SEARCH("minggu",C83))),IFERROR(_xlfn.NUMBERVALUE(SUBSTITUTE(LEFT(TRIM(C83),FIND(" ",TRIM(C83)&amp;" ")-1),",","."),"."),LEFT(SUBSTITUTE(LEFT(TRIM(C83),FIND(" ",TRIM(C83)&amp;" ")-1),",","."),FIND("/",SUBSTITUTE(LEFT(TRIM(C83),FIND(" ",TRIM(C83)&amp;" ")-1),",","."))-1)/MID(SUBSTITUTE(LEFT(TRIM(C83),FIND(" ",TRIM(C83)&amp;" ")-1),",","."),FIND("/",SUBSTITUTE(LEFT(TRIM(C83),FIND(" ",TRIM(C83)&amp;" ")-1),",","."))+1,9))*12/52,IF(ISNUMBER(SEARCH("month",C83)),IFERROR(_xlfn.NUMBERVALUE(SUBSTITUTE(LEFT(TRIM(C83),FIND(" ",TRIM(C83)&amp;" ")-1),",","."),"."),LEFT(SUBSTITUTE(LEFT(TRIM(C83),FIND(" ",TRIM(C83)&amp;" ")-1),",","."),FIND("/",SUBSTITUTE(LEFT(TRIM(C83),FIND(" ",TRIM(C83)&amp;" ")-1),",","."))-1)/MID(SUBSTITUTE(LEFT(TRIM(C83),FIND(" ",TRIM(C83)&amp;" ")-1),",","."),FIND("/",SUBSTITUTE(LEFT(TRIM(C83),FIND(" ",TRIM(C83)&amp;" ")-1),",","."))+1,9)),IF(ISNUMBER(SEARCH("yea",C83)),IFERROR(_xlfn.NUMBERVALUE(SUBSTITUTE(LEFT(TRIM(C83),FIND(" ",TRIM(C83)&amp;" ")-1),",","."),"."),LEFT(SUBSTITUTE(LEFT(TRIM(C83),FIND(" ",TRIM(C83)&amp;" ")-1),",","."),FIND("/",SUBSTITUTE(LEFT(TRIM(C83),FIND(" ",TRIM(C83)&amp;" ")-1),",","."))-1)/MID(SUBSTITUTE(LEFT(TRIM(C83),FIND(" ",TRIM(C83)&amp;" ")-1),",","."),FIND("/",SUBSTITUTE(LEFT(TRIM(C83),FIND(" ",TRIM(C83)&amp;" ")-1),",","."))+1,9))*12,NA()))),0),48)*'Aturan &amp; Tarif'!$B$4,2)</f>
        <v>2725.44</v>
      </c>
      <c r="K83" s="42" t="n">
        <f aca="false">'Aturan &amp; Tarif'!$B$5</f>
        <v>2050</v>
      </c>
      <c r="L83" s="42" t="n">
        <f aca="false">'Aturan &amp; Tarif'!$B$6</f>
        <v>350</v>
      </c>
      <c r="M83" s="35" t="n">
        <f aca="false">I83+J83+K83+L83</f>
        <v>31397.44</v>
      </c>
      <c r="N83" s="45" t="s">
        <v>318</v>
      </c>
    </row>
    <row r="84" customFormat="false" ht="14.25" hidden="false" customHeight="true" outlineLevel="0" collapsed="false">
      <c r="A84" s="39"/>
      <c r="B84" s="40" t="s">
        <v>397</v>
      </c>
      <c r="C84" s="41" t="s">
        <v>130</v>
      </c>
      <c r="D84" s="41" t="s">
        <v>108</v>
      </c>
      <c r="E84" s="42" t="n">
        <v>8018</v>
      </c>
      <c r="F84" s="42"/>
      <c r="G84" s="42"/>
      <c r="H84" s="43" t="n">
        <v>2</v>
      </c>
      <c r="I84" s="34" t="n">
        <f aca="false">E84*H84+N(F84)+N(G84)</f>
        <v>16036</v>
      </c>
      <c r="J84" s="42" t="n">
        <f aca="false">ROUND(IFERROR(ROUND(IF(OR(ISNUMBER(SEARCH("week",C84)),ISNUMBER(SEARCH("minggu",C84))),IFERROR(_xlfn.NUMBERVALUE(SUBSTITUTE(LEFT(TRIM(C84),FIND(" ",TRIM(C84)&amp;" ")-1),",","."),"."),LEFT(SUBSTITUTE(LEFT(TRIM(C84),FIND(" ",TRIM(C84)&amp;" ")-1),",","."),FIND("/",SUBSTITUTE(LEFT(TRIM(C84),FIND(" ",TRIM(C84)&amp;" ")-1),",","."))-1)/MID(SUBSTITUTE(LEFT(TRIM(C84),FIND(" ",TRIM(C84)&amp;" ")-1),",","."),FIND("/",SUBSTITUTE(LEFT(TRIM(C84),FIND(" ",TRIM(C84)&amp;" ")-1),",","."))+1,9))*12/52,IF(ISNUMBER(SEARCH("month",C84)),IFERROR(_xlfn.NUMBERVALUE(SUBSTITUTE(LEFT(TRIM(C84),FIND(" ",TRIM(C84)&amp;" ")-1),",","."),"."),LEFT(SUBSTITUTE(LEFT(TRIM(C84),FIND(" ",TRIM(C84)&amp;" ")-1),",","."),FIND("/",SUBSTITUTE(LEFT(TRIM(C84),FIND(" ",TRIM(C84)&amp;" ")-1),",","."))-1)/MID(SUBSTITUTE(LEFT(TRIM(C84),FIND(" ",TRIM(C84)&amp;" ")-1),",","."),FIND("/",SUBSTITUTE(LEFT(TRIM(C84),FIND(" ",TRIM(C84)&amp;" ")-1),",","."))+1,9)),IF(ISNUMBER(SEARCH("yea",C84)),IFERROR(_xlfn.NUMBERVALUE(SUBSTITUTE(LEFT(TRIM(C84),FIND(" ",TRIM(C84)&amp;" ")-1),",","."),"."),LEFT(SUBSTITUTE(LEFT(TRIM(C84),FIND(" ",TRIM(C84)&amp;" ")-1),",","."),FIND("/",SUBSTITUTE(LEFT(TRIM(C84),FIND(" ",TRIM(C84)&amp;" ")-1),",","."))-1)/MID(SUBSTITUTE(LEFT(TRIM(C84),FIND(" ",TRIM(C84)&amp;" ")-1),",","."),FIND("/",SUBSTITUTE(LEFT(TRIM(C84),FIND(" ",TRIM(C84)&amp;" ")-1),",","."))+1,9))*12,NA()))),0),12)*'Aturan &amp; Tarif'!$B$4,2)</f>
        <v>681.36</v>
      </c>
      <c r="K84" s="42" t="n">
        <f aca="false">'Aturan &amp; Tarif'!$B$5</f>
        <v>2050</v>
      </c>
      <c r="L84" s="42" t="n">
        <f aca="false">'Aturan &amp; Tarif'!$B$6</f>
        <v>350</v>
      </c>
      <c r="M84" s="35" t="n">
        <f aca="false">I84+J84+K84+L84</f>
        <v>19117.36</v>
      </c>
      <c r="N84" s="45" t="s">
        <v>318</v>
      </c>
    </row>
    <row r="85" customFormat="false" ht="14.25" hidden="false" customHeight="true" outlineLevel="0" collapsed="false">
      <c r="A85" s="39"/>
      <c r="B85" s="40" t="s">
        <v>398</v>
      </c>
      <c r="C85" s="41" t="s">
        <v>107</v>
      </c>
      <c r="D85" s="41" t="s">
        <v>108</v>
      </c>
      <c r="E85" s="42" t="n">
        <v>8018</v>
      </c>
      <c r="F85" s="42"/>
      <c r="G85" s="42"/>
      <c r="H85" s="43" t="n">
        <v>2</v>
      </c>
      <c r="I85" s="34" t="n">
        <f aca="false">E85*H85+N(F85)+N(G85)</f>
        <v>16036</v>
      </c>
      <c r="J85" s="42" t="n">
        <f aca="false">ROUND(IFERROR(ROUND(IF(OR(ISNUMBER(SEARCH("week",C85)),ISNUMBER(SEARCH("minggu",C85))),IFERROR(_xlfn.NUMBERVALUE(SUBSTITUTE(LEFT(TRIM(C85),FIND(" ",TRIM(C85)&amp;" ")-1),",","."),"."),LEFT(SUBSTITUTE(LEFT(TRIM(C85),FIND(" ",TRIM(C85)&amp;" ")-1),",","."),FIND("/",SUBSTITUTE(LEFT(TRIM(C85),FIND(" ",TRIM(C85)&amp;" ")-1),",","."))-1)/MID(SUBSTITUTE(LEFT(TRIM(C85),FIND(" ",TRIM(C85)&amp;" ")-1),",","."),FIND("/",SUBSTITUTE(LEFT(TRIM(C85),FIND(" ",TRIM(C85)&amp;" ")-1),",","."))+1,9))*12/52,IF(ISNUMBER(SEARCH("month",C85)),IFERROR(_xlfn.NUMBERVALUE(SUBSTITUTE(LEFT(TRIM(C85),FIND(" ",TRIM(C85)&amp;" ")-1),",","."),"."),LEFT(SUBSTITUTE(LEFT(TRIM(C85),FIND(" ",TRIM(C85)&amp;" ")-1),",","."),FIND("/",SUBSTITUTE(LEFT(TRIM(C85),FIND(" ",TRIM(C85)&amp;" ")-1),",","."))-1)/MID(SUBSTITUTE(LEFT(TRIM(C85),FIND(" ",TRIM(C85)&amp;" ")-1),",","."),FIND("/",SUBSTITUTE(LEFT(TRIM(C85),FIND(" ",TRIM(C85)&amp;" ")-1),",","."))+1,9)),IF(ISNUMBER(SEARCH("yea",C85)),IFERROR(_xlfn.NUMBERVALUE(SUBSTITUTE(LEFT(TRIM(C85),FIND(" ",TRIM(C85)&amp;" ")-1),",","."),"."),LEFT(SUBSTITUTE(LEFT(TRIM(C85),FIND(" ",TRIM(C85)&amp;" ")-1),",","."),FIND("/",SUBSTITUTE(LEFT(TRIM(C85),FIND(" ",TRIM(C85)&amp;" ")-1),",","."))-1)/MID(SUBSTITUTE(LEFT(TRIM(C85),FIND(" ",TRIM(C85)&amp;" ")-1),",","."),FIND("/",SUBSTITUTE(LEFT(TRIM(C85),FIND(" ",TRIM(C85)&amp;" ")-1),",","."))+1,9))*12,NA()))),0),24)*'Aturan &amp; Tarif'!$B$4,2)</f>
        <v>1362.72</v>
      </c>
      <c r="K85" s="42" t="n">
        <f aca="false">'Aturan &amp; Tarif'!$B$5</f>
        <v>2050</v>
      </c>
      <c r="L85" s="42" t="n">
        <f aca="false">'Aturan &amp; Tarif'!$B$6</f>
        <v>350</v>
      </c>
      <c r="M85" s="35" t="n">
        <f aca="false">I85+J85+K85+L85</f>
        <v>19798.72</v>
      </c>
      <c r="N85" s="45" t="s">
        <v>318</v>
      </c>
    </row>
    <row r="86" customFormat="false" ht="14.25" hidden="false" customHeight="true" outlineLevel="0" collapsed="false">
      <c r="A86" s="39"/>
      <c r="B86" s="40" t="s">
        <v>399</v>
      </c>
      <c r="C86" s="41" t="s">
        <v>107</v>
      </c>
      <c r="D86" s="41" t="s">
        <v>108</v>
      </c>
      <c r="E86" s="42" t="n">
        <v>11410</v>
      </c>
      <c r="F86" s="42"/>
      <c r="G86" s="42"/>
      <c r="H86" s="43" t="n">
        <v>2</v>
      </c>
      <c r="I86" s="34" t="n">
        <f aca="false">E86*H86+N(F86)+N(G86)</f>
        <v>22820</v>
      </c>
      <c r="J86" s="42" t="n">
        <f aca="false">ROUND(IFERROR(ROUND(IF(OR(ISNUMBER(SEARCH("week",C86)),ISNUMBER(SEARCH("minggu",C86))),IFERROR(_xlfn.NUMBERVALUE(SUBSTITUTE(LEFT(TRIM(C86),FIND(" ",TRIM(C86)&amp;" ")-1),",","."),"."),LEFT(SUBSTITUTE(LEFT(TRIM(C86),FIND(" ",TRIM(C86)&amp;" ")-1),",","."),FIND("/",SUBSTITUTE(LEFT(TRIM(C86),FIND(" ",TRIM(C86)&amp;" ")-1),",","."))-1)/MID(SUBSTITUTE(LEFT(TRIM(C86),FIND(" ",TRIM(C86)&amp;" ")-1),",","."),FIND("/",SUBSTITUTE(LEFT(TRIM(C86),FIND(" ",TRIM(C86)&amp;" ")-1),",","."))+1,9))*12/52,IF(ISNUMBER(SEARCH("month",C86)),IFERROR(_xlfn.NUMBERVALUE(SUBSTITUTE(LEFT(TRIM(C86),FIND(" ",TRIM(C86)&amp;" ")-1),",","."),"."),LEFT(SUBSTITUTE(LEFT(TRIM(C86),FIND(" ",TRIM(C86)&amp;" ")-1),",","."),FIND("/",SUBSTITUTE(LEFT(TRIM(C86),FIND(" ",TRIM(C86)&amp;" ")-1),",","."))-1)/MID(SUBSTITUTE(LEFT(TRIM(C86),FIND(" ",TRIM(C86)&amp;" ")-1),",","."),FIND("/",SUBSTITUTE(LEFT(TRIM(C86),FIND(" ",TRIM(C86)&amp;" ")-1),",","."))+1,9)),IF(ISNUMBER(SEARCH("yea",C86)),IFERROR(_xlfn.NUMBERVALUE(SUBSTITUTE(LEFT(TRIM(C86),FIND(" ",TRIM(C86)&amp;" ")-1),",","."),"."),LEFT(SUBSTITUTE(LEFT(TRIM(C86),FIND(" ",TRIM(C86)&amp;" ")-1),",","."),FIND("/",SUBSTITUTE(LEFT(TRIM(C86),FIND(" ",TRIM(C86)&amp;" ")-1),",","."))-1)/MID(SUBSTITUTE(LEFT(TRIM(C86),FIND(" ",TRIM(C86)&amp;" ")-1),",","."),FIND("/",SUBSTITUTE(LEFT(TRIM(C86),FIND(" ",TRIM(C86)&amp;" ")-1),",","."))+1,9))*12,NA()))),0),24)*'Aturan &amp; Tarif'!$B$4,2)</f>
        <v>1362.72</v>
      </c>
      <c r="K86" s="42" t="n">
        <f aca="false">'Aturan &amp; Tarif'!$B$5</f>
        <v>2050</v>
      </c>
      <c r="L86" s="42" t="n">
        <f aca="false">'Aturan &amp; Tarif'!$B$6</f>
        <v>350</v>
      </c>
      <c r="M86" s="35" t="n">
        <f aca="false">I86+J86+K86+L86</f>
        <v>26582.72</v>
      </c>
      <c r="N86" s="45" t="s">
        <v>318</v>
      </c>
    </row>
    <row r="87" customFormat="false" ht="25.5" hidden="false" customHeight="true" outlineLevel="0" collapsed="false">
      <c r="A87" s="39"/>
      <c r="B87" s="40" t="s">
        <v>400</v>
      </c>
      <c r="C87" s="41" t="s">
        <v>107</v>
      </c>
      <c r="D87" s="41" t="s">
        <v>108</v>
      </c>
      <c r="E87" s="42" t="n">
        <v>8172</v>
      </c>
      <c r="F87" s="42"/>
      <c r="G87" s="42"/>
      <c r="H87" s="43" t="n">
        <v>2</v>
      </c>
      <c r="I87" s="34" t="n">
        <f aca="false">E87*H87+N(F87)+N(G87)</f>
        <v>16344</v>
      </c>
      <c r="J87" s="42" t="n">
        <f aca="false">ROUND(IFERROR(ROUND(IF(OR(ISNUMBER(SEARCH("week",C87)),ISNUMBER(SEARCH("minggu",C87))),IFERROR(_xlfn.NUMBERVALUE(SUBSTITUTE(LEFT(TRIM(C87),FIND(" ",TRIM(C87)&amp;" ")-1),",","."),"."),LEFT(SUBSTITUTE(LEFT(TRIM(C87),FIND(" ",TRIM(C87)&amp;" ")-1),",","."),FIND("/",SUBSTITUTE(LEFT(TRIM(C87),FIND(" ",TRIM(C87)&amp;" ")-1),",","."))-1)/MID(SUBSTITUTE(LEFT(TRIM(C87),FIND(" ",TRIM(C87)&amp;" ")-1),",","."),FIND("/",SUBSTITUTE(LEFT(TRIM(C87),FIND(" ",TRIM(C87)&amp;" ")-1),",","."))+1,9))*12/52,IF(ISNUMBER(SEARCH("month",C87)),IFERROR(_xlfn.NUMBERVALUE(SUBSTITUTE(LEFT(TRIM(C87),FIND(" ",TRIM(C87)&amp;" ")-1),",","."),"."),LEFT(SUBSTITUTE(LEFT(TRIM(C87),FIND(" ",TRIM(C87)&amp;" ")-1),",","."),FIND("/",SUBSTITUTE(LEFT(TRIM(C87),FIND(" ",TRIM(C87)&amp;" ")-1),",","."))-1)/MID(SUBSTITUTE(LEFT(TRIM(C87),FIND(" ",TRIM(C87)&amp;" ")-1),",","."),FIND("/",SUBSTITUTE(LEFT(TRIM(C87),FIND(" ",TRIM(C87)&amp;" ")-1),",","."))+1,9)),IF(ISNUMBER(SEARCH("yea",C87)),IFERROR(_xlfn.NUMBERVALUE(SUBSTITUTE(LEFT(TRIM(C87),FIND(" ",TRIM(C87)&amp;" ")-1),",","."),"."),LEFT(SUBSTITUTE(LEFT(TRIM(C87),FIND(" ",TRIM(C87)&amp;" ")-1),",","."),FIND("/",SUBSTITUTE(LEFT(TRIM(C87),FIND(" ",TRIM(C87)&amp;" ")-1),",","."))-1)/MID(SUBSTITUTE(LEFT(TRIM(C87),FIND(" ",TRIM(C87)&amp;" ")-1),",","."),FIND("/",SUBSTITUTE(LEFT(TRIM(C87),FIND(" ",TRIM(C87)&amp;" ")-1),",","."))+1,9))*12,NA()))),0),24)*'Aturan &amp; Tarif'!$B$4,2)</f>
        <v>1362.72</v>
      </c>
      <c r="K87" s="42" t="n">
        <f aca="false">'Aturan &amp; Tarif'!$B$5</f>
        <v>2050</v>
      </c>
      <c r="L87" s="42" t="n">
        <f aca="false">'Aturan &amp; Tarif'!$B$6</f>
        <v>350</v>
      </c>
      <c r="M87" s="35" t="n">
        <f aca="false">I87+J87+K87+L87</f>
        <v>20106.72</v>
      </c>
      <c r="N87" s="45" t="s">
        <v>318</v>
      </c>
    </row>
    <row r="88" customFormat="false" ht="14.25" hidden="false" customHeight="true" outlineLevel="0" collapsed="false">
      <c r="A88" s="39"/>
      <c r="B88" s="40" t="s">
        <v>285</v>
      </c>
      <c r="C88" s="41" t="s">
        <v>107</v>
      </c>
      <c r="D88" s="41" t="s">
        <v>108</v>
      </c>
      <c r="E88" s="42" t="n">
        <v>9288</v>
      </c>
      <c r="F88" s="42"/>
      <c r="G88" s="42"/>
      <c r="H88" s="43" t="n">
        <v>2</v>
      </c>
      <c r="I88" s="34" t="n">
        <f aca="false">E88*H88+N(F88)+N(G88)</f>
        <v>18576</v>
      </c>
      <c r="J88" s="42" t="n">
        <f aca="false">ROUND(IFERROR(ROUND(IF(OR(ISNUMBER(SEARCH("week",C88)),ISNUMBER(SEARCH("minggu",C88))),IFERROR(_xlfn.NUMBERVALUE(SUBSTITUTE(LEFT(TRIM(C88),FIND(" ",TRIM(C88)&amp;" ")-1),",","."),"."),LEFT(SUBSTITUTE(LEFT(TRIM(C88),FIND(" ",TRIM(C88)&amp;" ")-1),",","."),FIND("/",SUBSTITUTE(LEFT(TRIM(C88),FIND(" ",TRIM(C88)&amp;" ")-1),",","."))-1)/MID(SUBSTITUTE(LEFT(TRIM(C88),FIND(" ",TRIM(C88)&amp;" ")-1),",","."),FIND("/",SUBSTITUTE(LEFT(TRIM(C88),FIND(" ",TRIM(C88)&amp;" ")-1),",","."))+1,9))*12/52,IF(ISNUMBER(SEARCH("month",C88)),IFERROR(_xlfn.NUMBERVALUE(SUBSTITUTE(LEFT(TRIM(C88),FIND(" ",TRIM(C88)&amp;" ")-1),",","."),"."),LEFT(SUBSTITUTE(LEFT(TRIM(C88),FIND(" ",TRIM(C88)&amp;" ")-1),",","."),FIND("/",SUBSTITUTE(LEFT(TRIM(C88),FIND(" ",TRIM(C88)&amp;" ")-1),",","."))-1)/MID(SUBSTITUTE(LEFT(TRIM(C88),FIND(" ",TRIM(C88)&amp;" ")-1),",","."),FIND("/",SUBSTITUTE(LEFT(TRIM(C88),FIND(" ",TRIM(C88)&amp;" ")-1),",","."))+1,9)),IF(ISNUMBER(SEARCH("yea",C88)),IFERROR(_xlfn.NUMBERVALUE(SUBSTITUTE(LEFT(TRIM(C88),FIND(" ",TRIM(C88)&amp;" ")-1),",","."),"."),LEFT(SUBSTITUTE(LEFT(TRIM(C88),FIND(" ",TRIM(C88)&amp;" ")-1),",","."),FIND("/",SUBSTITUTE(LEFT(TRIM(C88),FIND(" ",TRIM(C88)&amp;" ")-1),",","."))-1)/MID(SUBSTITUTE(LEFT(TRIM(C88),FIND(" ",TRIM(C88)&amp;" ")-1),",","."),FIND("/",SUBSTITUTE(LEFT(TRIM(C88),FIND(" ",TRIM(C88)&amp;" ")-1),",","."))+1,9))*12,NA()))),0),24)*'Aturan &amp; Tarif'!$B$4,2)</f>
        <v>1362.72</v>
      </c>
      <c r="K88" s="42" t="n">
        <f aca="false">'Aturan &amp; Tarif'!$B$5</f>
        <v>2050</v>
      </c>
      <c r="L88" s="42" t="n">
        <f aca="false">'Aturan &amp; Tarif'!$B$6</f>
        <v>350</v>
      </c>
      <c r="M88" s="35" t="n">
        <f aca="false">I88+J88+K88+L88</f>
        <v>22338.72</v>
      </c>
      <c r="N88" s="45" t="s">
        <v>318</v>
      </c>
    </row>
    <row r="89" customFormat="false" ht="14.25" hidden="false" customHeight="true" outlineLevel="0" collapsed="false">
      <c r="A89" s="39"/>
      <c r="B89" s="40" t="s">
        <v>287</v>
      </c>
      <c r="C89" s="41" t="s">
        <v>107</v>
      </c>
      <c r="D89" s="41" t="s">
        <v>108</v>
      </c>
      <c r="E89" s="42" t="n">
        <v>9288</v>
      </c>
      <c r="F89" s="42"/>
      <c r="G89" s="42"/>
      <c r="H89" s="43" t="n">
        <v>2</v>
      </c>
      <c r="I89" s="34" t="n">
        <f aca="false">E89*H89+N(F89)+N(G89)</f>
        <v>18576</v>
      </c>
      <c r="J89" s="42" t="n">
        <f aca="false">ROUND(IFERROR(ROUND(IF(OR(ISNUMBER(SEARCH("week",C89)),ISNUMBER(SEARCH("minggu",C89))),IFERROR(_xlfn.NUMBERVALUE(SUBSTITUTE(LEFT(TRIM(C89),FIND(" ",TRIM(C89)&amp;" ")-1),",","."),"."),LEFT(SUBSTITUTE(LEFT(TRIM(C89),FIND(" ",TRIM(C89)&amp;" ")-1),",","."),FIND("/",SUBSTITUTE(LEFT(TRIM(C89),FIND(" ",TRIM(C89)&amp;" ")-1),",","."))-1)/MID(SUBSTITUTE(LEFT(TRIM(C89),FIND(" ",TRIM(C89)&amp;" ")-1),",","."),FIND("/",SUBSTITUTE(LEFT(TRIM(C89),FIND(" ",TRIM(C89)&amp;" ")-1),",","."))+1,9))*12/52,IF(ISNUMBER(SEARCH("month",C89)),IFERROR(_xlfn.NUMBERVALUE(SUBSTITUTE(LEFT(TRIM(C89),FIND(" ",TRIM(C89)&amp;" ")-1),",","."),"."),LEFT(SUBSTITUTE(LEFT(TRIM(C89),FIND(" ",TRIM(C89)&amp;" ")-1),",","."),FIND("/",SUBSTITUTE(LEFT(TRIM(C89),FIND(" ",TRIM(C89)&amp;" ")-1),",","."))-1)/MID(SUBSTITUTE(LEFT(TRIM(C89),FIND(" ",TRIM(C89)&amp;" ")-1),",","."),FIND("/",SUBSTITUTE(LEFT(TRIM(C89),FIND(" ",TRIM(C89)&amp;" ")-1),",","."))+1,9)),IF(ISNUMBER(SEARCH("yea",C89)),IFERROR(_xlfn.NUMBERVALUE(SUBSTITUTE(LEFT(TRIM(C89),FIND(" ",TRIM(C89)&amp;" ")-1),",","."),"."),LEFT(SUBSTITUTE(LEFT(TRIM(C89),FIND(" ",TRIM(C89)&amp;" ")-1),",","."),FIND("/",SUBSTITUTE(LEFT(TRIM(C89),FIND(" ",TRIM(C89)&amp;" ")-1),",","."))-1)/MID(SUBSTITUTE(LEFT(TRIM(C89),FIND(" ",TRIM(C89)&amp;" ")-1),",","."),FIND("/",SUBSTITUTE(LEFT(TRIM(C89),FIND(" ",TRIM(C89)&amp;" ")-1),",","."))+1,9))*12,NA()))),0),24)*'Aturan &amp; Tarif'!$B$4,2)</f>
        <v>1362.72</v>
      </c>
      <c r="K89" s="42" t="n">
        <f aca="false">'Aturan &amp; Tarif'!$B$5</f>
        <v>2050</v>
      </c>
      <c r="L89" s="42" t="n">
        <f aca="false">'Aturan &amp; Tarif'!$B$6</f>
        <v>350</v>
      </c>
      <c r="M89" s="35" t="n">
        <f aca="false">I89+J89+K89+L89</f>
        <v>22338.72</v>
      </c>
      <c r="N89" s="45" t="s">
        <v>318</v>
      </c>
    </row>
    <row r="90" customFormat="false" ht="25.5" hidden="false" customHeight="true" outlineLevel="0" collapsed="false">
      <c r="A90" s="39"/>
      <c r="B90" s="40" t="s">
        <v>401</v>
      </c>
      <c r="C90" s="41" t="s">
        <v>107</v>
      </c>
      <c r="D90" s="41" t="s">
        <v>108</v>
      </c>
      <c r="E90" s="42" t="n">
        <v>9288</v>
      </c>
      <c r="F90" s="42"/>
      <c r="G90" s="42"/>
      <c r="H90" s="43" t="n">
        <v>2</v>
      </c>
      <c r="I90" s="34" t="n">
        <f aca="false">E90*H90+N(F90)+N(G90)</f>
        <v>18576</v>
      </c>
      <c r="J90" s="42" t="n">
        <f aca="false">ROUND(IFERROR(ROUND(IF(OR(ISNUMBER(SEARCH("week",C90)),ISNUMBER(SEARCH("minggu",C90))),IFERROR(_xlfn.NUMBERVALUE(SUBSTITUTE(LEFT(TRIM(C90),FIND(" ",TRIM(C90)&amp;" ")-1),",","."),"."),LEFT(SUBSTITUTE(LEFT(TRIM(C90),FIND(" ",TRIM(C90)&amp;" ")-1),",","."),FIND("/",SUBSTITUTE(LEFT(TRIM(C90),FIND(" ",TRIM(C90)&amp;" ")-1),",","."))-1)/MID(SUBSTITUTE(LEFT(TRIM(C90),FIND(" ",TRIM(C90)&amp;" ")-1),",","."),FIND("/",SUBSTITUTE(LEFT(TRIM(C90),FIND(" ",TRIM(C90)&amp;" ")-1),",","."))+1,9))*12/52,IF(ISNUMBER(SEARCH("month",C90)),IFERROR(_xlfn.NUMBERVALUE(SUBSTITUTE(LEFT(TRIM(C90),FIND(" ",TRIM(C90)&amp;" ")-1),",","."),"."),LEFT(SUBSTITUTE(LEFT(TRIM(C90),FIND(" ",TRIM(C90)&amp;" ")-1),",","."),FIND("/",SUBSTITUTE(LEFT(TRIM(C90),FIND(" ",TRIM(C90)&amp;" ")-1),",","."))-1)/MID(SUBSTITUTE(LEFT(TRIM(C90),FIND(" ",TRIM(C90)&amp;" ")-1),",","."),FIND("/",SUBSTITUTE(LEFT(TRIM(C90),FIND(" ",TRIM(C90)&amp;" ")-1),",","."))+1,9)),IF(ISNUMBER(SEARCH("yea",C90)),IFERROR(_xlfn.NUMBERVALUE(SUBSTITUTE(LEFT(TRIM(C90),FIND(" ",TRIM(C90)&amp;" ")-1),",","."),"."),LEFT(SUBSTITUTE(LEFT(TRIM(C90),FIND(" ",TRIM(C90)&amp;" ")-1),",","."),FIND("/",SUBSTITUTE(LEFT(TRIM(C90),FIND(" ",TRIM(C90)&amp;" ")-1),",","."))-1)/MID(SUBSTITUTE(LEFT(TRIM(C90),FIND(" ",TRIM(C90)&amp;" ")-1),",","."),FIND("/",SUBSTITUTE(LEFT(TRIM(C90),FIND(" ",TRIM(C90)&amp;" ")-1),",","."))+1,9))*12,NA()))),0),24)*'Aturan &amp; Tarif'!$B$4,2)</f>
        <v>1362.72</v>
      </c>
      <c r="K90" s="42" t="n">
        <f aca="false">'Aturan &amp; Tarif'!$B$5</f>
        <v>2050</v>
      </c>
      <c r="L90" s="42" t="n">
        <f aca="false">'Aturan &amp; Tarif'!$B$6</f>
        <v>350</v>
      </c>
      <c r="M90" s="35" t="n">
        <f aca="false">I90+J90+K90+L90</f>
        <v>22338.72</v>
      </c>
      <c r="N90" s="45" t="s">
        <v>318</v>
      </c>
    </row>
    <row r="91" customFormat="false" ht="14.25" hidden="false" customHeight="true" outlineLevel="0" collapsed="false">
      <c r="A91" s="39"/>
      <c r="B91" s="40" t="s">
        <v>283</v>
      </c>
      <c r="C91" s="41" t="s">
        <v>107</v>
      </c>
      <c r="D91" s="41" t="s">
        <v>108</v>
      </c>
      <c r="E91" s="42" t="n">
        <v>8018</v>
      </c>
      <c r="F91" s="42"/>
      <c r="G91" s="42"/>
      <c r="H91" s="43" t="n">
        <v>2</v>
      </c>
      <c r="I91" s="34" t="n">
        <f aca="false">E91*H91+N(F91)+N(G91)</f>
        <v>16036</v>
      </c>
      <c r="J91" s="42" t="n">
        <f aca="false">ROUND(IFERROR(ROUND(IF(OR(ISNUMBER(SEARCH("week",C91)),ISNUMBER(SEARCH("minggu",C91))),IFERROR(_xlfn.NUMBERVALUE(SUBSTITUTE(LEFT(TRIM(C91),FIND(" ",TRIM(C91)&amp;" ")-1),",","."),"."),LEFT(SUBSTITUTE(LEFT(TRIM(C91),FIND(" ",TRIM(C91)&amp;" ")-1),",","."),FIND("/",SUBSTITUTE(LEFT(TRIM(C91),FIND(" ",TRIM(C91)&amp;" ")-1),",","."))-1)/MID(SUBSTITUTE(LEFT(TRIM(C91),FIND(" ",TRIM(C91)&amp;" ")-1),",","."),FIND("/",SUBSTITUTE(LEFT(TRIM(C91),FIND(" ",TRIM(C91)&amp;" ")-1),",","."))+1,9))*12/52,IF(ISNUMBER(SEARCH("month",C91)),IFERROR(_xlfn.NUMBERVALUE(SUBSTITUTE(LEFT(TRIM(C91),FIND(" ",TRIM(C91)&amp;" ")-1),",","."),"."),LEFT(SUBSTITUTE(LEFT(TRIM(C91),FIND(" ",TRIM(C91)&amp;" ")-1),",","."),FIND("/",SUBSTITUTE(LEFT(TRIM(C91),FIND(" ",TRIM(C91)&amp;" ")-1),",","."))-1)/MID(SUBSTITUTE(LEFT(TRIM(C91),FIND(" ",TRIM(C91)&amp;" ")-1),",","."),FIND("/",SUBSTITUTE(LEFT(TRIM(C91),FIND(" ",TRIM(C91)&amp;" ")-1),",","."))+1,9)),IF(ISNUMBER(SEARCH("yea",C91)),IFERROR(_xlfn.NUMBERVALUE(SUBSTITUTE(LEFT(TRIM(C91),FIND(" ",TRIM(C91)&amp;" ")-1),",","."),"."),LEFT(SUBSTITUTE(LEFT(TRIM(C91),FIND(" ",TRIM(C91)&amp;" ")-1),",","."),FIND("/",SUBSTITUTE(LEFT(TRIM(C91),FIND(" ",TRIM(C91)&amp;" ")-1),",","."))-1)/MID(SUBSTITUTE(LEFT(TRIM(C91),FIND(" ",TRIM(C91)&amp;" ")-1),",","."),FIND("/",SUBSTITUTE(LEFT(TRIM(C91),FIND(" ",TRIM(C91)&amp;" ")-1),",","."))+1,9))*12,NA()))),0),24)*'Aturan &amp; Tarif'!$B$4,2)</f>
        <v>1362.72</v>
      </c>
      <c r="K91" s="42" t="n">
        <f aca="false">'Aturan &amp; Tarif'!$B$5</f>
        <v>2050</v>
      </c>
      <c r="L91" s="42" t="n">
        <f aca="false">'Aturan &amp; Tarif'!$B$6</f>
        <v>350</v>
      </c>
      <c r="M91" s="35" t="n">
        <f aca="false">I91+J91+K91+L91</f>
        <v>19798.72</v>
      </c>
      <c r="N91" s="45" t="s">
        <v>318</v>
      </c>
    </row>
    <row r="92" customFormat="false" ht="25.5" hidden="false" customHeight="true" outlineLevel="0" collapsed="false">
      <c r="A92" s="39"/>
      <c r="B92" s="40" t="s">
        <v>402</v>
      </c>
      <c r="C92" s="41" t="s">
        <v>107</v>
      </c>
      <c r="D92" s="41" t="s">
        <v>108</v>
      </c>
      <c r="E92" s="42" t="n">
        <v>8018</v>
      </c>
      <c r="F92" s="42"/>
      <c r="G92" s="42"/>
      <c r="H92" s="43" t="n">
        <v>2</v>
      </c>
      <c r="I92" s="34" t="n">
        <f aca="false">E92*H92+N(F92)+N(G92)</f>
        <v>16036</v>
      </c>
      <c r="J92" s="42" t="n">
        <f aca="false">ROUND(IFERROR(ROUND(IF(OR(ISNUMBER(SEARCH("week",C92)),ISNUMBER(SEARCH("minggu",C92))),IFERROR(_xlfn.NUMBERVALUE(SUBSTITUTE(LEFT(TRIM(C92),FIND(" ",TRIM(C92)&amp;" ")-1),",","."),"."),LEFT(SUBSTITUTE(LEFT(TRIM(C92),FIND(" ",TRIM(C92)&amp;" ")-1),",","."),FIND("/",SUBSTITUTE(LEFT(TRIM(C92),FIND(" ",TRIM(C92)&amp;" ")-1),",","."))-1)/MID(SUBSTITUTE(LEFT(TRIM(C92),FIND(" ",TRIM(C92)&amp;" ")-1),",","."),FIND("/",SUBSTITUTE(LEFT(TRIM(C92),FIND(" ",TRIM(C92)&amp;" ")-1),",","."))+1,9))*12/52,IF(ISNUMBER(SEARCH("month",C92)),IFERROR(_xlfn.NUMBERVALUE(SUBSTITUTE(LEFT(TRIM(C92),FIND(" ",TRIM(C92)&amp;" ")-1),",","."),"."),LEFT(SUBSTITUTE(LEFT(TRIM(C92),FIND(" ",TRIM(C92)&amp;" ")-1),",","."),FIND("/",SUBSTITUTE(LEFT(TRIM(C92),FIND(" ",TRIM(C92)&amp;" ")-1),",","."))-1)/MID(SUBSTITUTE(LEFT(TRIM(C92),FIND(" ",TRIM(C92)&amp;" ")-1),",","."),FIND("/",SUBSTITUTE(LEFT(TRIM(C92),FIND(" ",TRIM(C92)&amp;" ")-1),",","."))+1,9)),IF(ISNUMBER(SEARCH("yea",C92)),IFERROR(_xlfn.NUMBERVALUE(SUBSTITUTE(LEFT(TRIM(C92),FIND(" ",TRIM(C92)&amp;" ")-1),",","."),"."),LEFT(SUBSTITUTE(LEFT(TRIM(C92),FIND(" ",TRIM(C92)&amp;" ")-1),",","."),FIND("/",SUBSTITUTE(LEFT(TRIM(C92),FIND(" ",TRIM(C92)&amp;" ")-1),",","."))-1)/MID(SUBSTITUTE(LEFT(TRIM(C92),FIND(" ",TRIM(C92)&amp;" ")-1),",","."),FIND("/",SUBSTITUTE(LEFT(TRIM(C92),FIND(" ",TRIM(C92)&amp;" ")-1),",","."))+1,9))*12,NA()))),0),24)*'Aturan &amp; Tarif'!$B$4,2)</f>
        <v>1362.72</v>
      </c>
      <c r="K92" s="42" t="n">
        <f aca="false">'Aturan &amp; Tarif'!$B$5</f>
        <v>2050</v>
      </c>
      <c r="L92" s="42" t="n">
        <f aca="false">'Aturan &amp; Tarif'!$B$6</f>
        <v>350</v>
      </c>
      <c r="M92" s="35" t="n">
        <f aca="false">I92+J92+K92+L92</f>
        <v>19798.72</v>
      </c>
      <c r="N92" s="45" t="s">
        <v>318</v>
      </c>
    </row>
    <row r="93" customFormat="false" ht="14.25" hidden="false" customHeight="true" outlineLevel="0" collapsed="false">
      <c r="A93" s="39"/>
      <c r="B93" s="40" t="s">
        <v>289</v>
      </c>
      <c r="C93" s="41" t="s">
        <v>107</v>
      </c>
      <c r="D93" s="41" t="s">
        <v>108</v>
      </c>
      <c r="E93" s="42" t="n">
        <v>8018</v>
      </c>
      <c r="F93" s="42"/>
      <c r="G93" s="42"/>
      <c r="H93" s="43" t="n">
        <v>2</v>
      </c>
      <c r="I93" s="34" t="n">
        <f aca="false">E93*H93+N(F93)+N(G93)</f>
        <v>16036</v>
      </c>
      <c r="J93" s="42" t="n">
        <f aca="false">ROUND(IFERROR(ROUND(IF(OR(ISNUMBER(SEARCH("week",C93)),ISNUMBER(SEARCH("minggu",C93))),IFERROR(_xlfn.NUMBERVALUE(SUBSTITUTE(LEFT(TRIM(C93),FIND(" ",TRIM(C93)&amp;" ")-1),",","."),"."),LEFT(SUBSTITUTE(LEFT(TRIM(C93),FIND(" ",TRIM(C93)&amp;" ")-1),",","."),FIND("/",SUBSTITUTE(LEFT(TRIM(C93),FIND(" ",TRIM(C93)&amp;" ")-1),",","."))-1)/MID(SUBSTITUTE(LEFT(TRIM(C93),FIND(" ",TRIM(C93)&amp;" ")-1),",","."),FIND("/",SUBSTITUTE(LEFT(TRIM(C93),FIND(" ",TRIM(C93)&amp;" ")-1),",","."))+1,9))*12/52,IF(ISNUMBER(SEARCH("month",C93)),IFERROR(_xlfn.NUMBERVALUE(SUBSTITUTE(LEFT(TRIM(C93),FIND(" ",TRIM(C93)&amp;" ")-1),",","."),"."),LEFT(SUBSTITUTE(LEFT(TRIM(C93),FIND(" ",TRIM(C93)&amp;" ")-1),",","."),FIND("/",SUBSTITUTE(LEFT(TRIM(C93),FIND(" ",TRIM(C93)&amp;" ")-1),",","."))-1)/MID(SUBSTITUTE(LEFT(TRIM(C93),FIND(" ",TRIM(C93)&amp;" ")-1),",","."),FIND("/",SUBSTITUTE(LEFT(TRIM(C93),FIND(" ",TRIM(C93)&amp;" ")-1),",","."))+1,9)),IF(ISNUMBER(SEARCH("yea",C93)),IFERROR(_xlfn.NUMBERVALUE(SUBSTITUTE(LEFT(TRIM(C93),FIND(" ",TRIM(C93)&amp;" ")-1),",","."),"."),LEFT(SUBSTITUTE(LEFT(TRIM(C93),FIND(" ",TRIM(C93)&amp;" ")-1),",","."),FIND("/",SUBSTITUTE(LEFT(TRIM(C93),FIND(" ",TRIM(C93)&amp;" ")-1),",","."))-1)/MID(SUBSTITUTE(LEFT(TRIM(C93),FIND(" ",TRIM(C93)&amp;" ")-1),",","."),FIND("/",SUBSTITUTE(LEFT(TRIM(C93),FIND(" ",TRIM(C93)&amp;" ")-1),",","."))+1,9))*12,NA()))),0),24)*'Aturan &amp; Tarif'!$B$4,2)</f>
        <v>1362.72</v>
      </c>
      <c r="K93" s="42" t="n">
        <f aca="false">'Aturan &amp; Tarif'!$B$5</f>
        <v>2050</v>
      </c>
      <c r="L93" s="42" t="n">
        <f aca="false">'Aturan &amp; Tarif'!$B$6</f>
        <v>350</v>
      </c>
      <c r="M93" s="35" t="n">
        <f aca="false">I93+J93+K93+L93</f>
        <v>19798.72</v>
      </c>
      <c r="N93" s="45" t="s">
        <v>318</v>
      </c>
    </row>
    <row r="94" customFormat="false" ht="14.25" hidden="false" customHeight="true" outlineLevel="0" collapsed="false">
      <c r="A94" s="39"/>
      <c r="B94" s="40" t="s">
        <v>403</v>
      </c>
      <c r="C94" s="41" t="s">
        <v>127</v>
      </c>
      <c r="D94" s="41" t="s">
        <v>108</v>
      </c>
      <c r="E94" s="42" t="n">
        <v>7162</v>
      </c>
      <c r="F94" s="42"/>
      <c r="G94" s="42"/>
      <c r="H94" s="43" t="n">
        <v>2</v>
      </c>
      <c r="I94" s="34" t="n">
        <f aca="false">E94*H94+N(F94)+N(G94)</f>
        <v>14324</v>
      </c>
      <c r="J94" s="42" t="n">
        <f aca="false">ROUND(IFERROR(ROUND(IF(OR(ISNUMBER(SEARCH("week",C94)),ISNUMBER(SEARCH("minggu",C94))),IFERROR(_xlfn.NUMBERVALUE(SUBSTITUTE(LEFT(TRIM(C94),FIND(" ",TRIM(C94)&amp;" ")-1),",","."),"."),LEFT(SUBSTITUTE(LEFT(TRIM(C94),FIND(" ",TRIM(C94)&amp;" ")-1),",","."),FIND("/",SUBSTITUTE(LEFT(TRIM(C94),FIND(" ",TRIM(C94)&amp;" ")-1),",","."))-1)/MID(SUBSTITUTE(LEFT(TRIM(C94),FIND(" ",TRIM(C94)&amp;" ")-1),",","."),FIND("/",SUBSTITUTE(LEFT(TRIM(C94),FIND(" ",TRIM(C94)&amp;" ")-1),",","."))+1,9))*12/52,IF(ISNUMBER(SEARCH("month",C94)),IFERROR(_xlfn.NUMBERVALUE(SUBSTITUTE(LEFT(TRIM(C94),FIND(" ",TRIM(C94)&amp;" ")-1),",","."),"."),LEFT(SUBSTITUTE(LEFT(TRIM(C94),FIND(" ",TRIM(C94)&amp;" ")-1),",","."),FIND("/",SUBSTITUTE(LEFT(TRIM(C94),FIND(" ",TRIM(C94)&amp;" ")-1),",","."))-1)/MID(SUBSTITUTE(LEFT(TRIM(C94),FIND(" ",TRIM(C94)&amp;" ")-1),",","."),FIND("/",SUBSTITUTE(LEFT(TRIM(C94),FIND(" ",TRIM(C94)&amp;" ")-1),",","."))+1,9)),IF(ISNUMBER(SEARCH("yea",C94)),IFERROR(_xlfn.NUMBERVALUE(SUBSTITUTE(LEFT(TRIM(C94),FIND(" ",TRIM(C94)&amp;" ")-1),",","."),"."),LEFT(SUBSTITUTE(LEFT(TRIM(C94),FIND(" ",TRIM(C94)&amp;" ")-1),",","."),FIND("/",SUBSTITUTE(LEFT(TRIM(C94),FIND(" ",TRIM(C94)&amp;" ")-1),",","."))-1)/MID(SUBSTITUTE(LEFT(TRIM(C94),FIND(" ",TRIM(C94)&amp;" ")-1),",","."),FIND("/",SUBSTITUTE(LEFT(TRIM(C94),FIND(" ",TRIM(C94)&amp;" ")-1),",","."))+1,9))*12,NA()))),0),36)*'Aturan &amp; Tarif'!$B$4,2)</f>
        <v>2044.08</v>
      </c>
      <c r="K94" s="42" t="n">
        <f aca="false">'Aturan &amp; Tarif'!$B$5</f>
        <v>2050</v>
      </c>
      <c r="L94" s="42" t="n">
        <f aca="false">'Aturan &amp; Tarif'!$B$6</f>
        <v>350</v>
      </c>
      <c r="M94" s="35" t="n">
        <f aca="false">I94+J94+K94+L94</f>
        <v>18768.08</v>
      </c>
      <c r="N94" s="45" t="s">
        <v>318</v>
      </c>
    </row>
    <row r="95" customFormat="false" ht="25.5" hidden="false" customHeight="true" outlineLevel="0" collapsed="false">
      <c r="A95" s="39"/>
      <c r="B95" s="40" t="s">
        <v>404</v>
      </c>
      <c r="C95" s="41" t="s">
        <v>191</v>
      </c>
      <c r="D95" s="41" t="s">
        <v>108</v>
      </c>
      <c r="E95" s="42" t="n">
        <v>7162</v>
      </c>
      <c r="F95" s="42"/>
      <c r="G95" s="42"/>
      <c r="H95" s="43" t="n">
        <v>2</v>
      </c>
      <c r="I95" s="34" t="n">
        <f aca="false">E95*H95+N(F95)+N(G95)</f>
        <v>14324</v>
      </c>
      <c r="J95" s="42" t="n">
        <f aca="false">ROUND(IFERROR(ROUND(IF(OR(ISNUMBER(SEARCH("week",C95)),ISNUMBER(SEARCH("minggu",C95))),IFERROR(_xlfn.NUMBERVALUE(SUBSTITUTE(LEFT(TRIM(C95),FIND(" ",TRIM(C95)&amp;" ")-1),",","."),"."),LEFT(SUBSTITUTE(LEFT(TRIM(C95),FIND(" ",TRIM(C95)&amp;" ")-1),",","."),FIND("/",SUBSTITUTE(LEFT(TRIM(C95),FIND(" ",TRIM(C95)&amp;" ")-1),",","."))-1)/MID(SUBSTITUTE(LEFT(TRIM(C95),FIND(" ",TRIM(C95)&amp;" ")-1),",","."),FIND("/",SUBSTITUTE(LEFT(TRIM(C95),FIND(" ",TRIM(C95)&amp;" ")-1),",","."))+1,9))*12/52,IF(ISNUMBER(SEARCH("month",C95)),IFERROR(_xlfn.NUMBERVALUE(SUBSTITUTE(LEFT(TRIM(C95),FIND(" ",TRIM(C95)&amp;" ")-1),",","."),"."),LEFT(SUBSTITUTE(LEFT(TRIM(C95),FIND(" ",TRIM(C95)&amp;" ")-1),",","."),FIND("/",SUBSTITUTE(LEFT(TRIM(C95),FIND(" ",TRIM(C95)&amp;" ")-1),",","."))-1)/MID(SUBSTITUTE(LEFT(TRIM(C95),FIND(" ",TRIM(C95)&amp;" ")-1),",","."),FIND("/",SUBSTITUTE(LEFT(TRIM(C95),FIND(" ",TRIM(C95)&amp;" ")-1),",","."))+1,9)),IF(ISNUMBER(SEARCH("yea",C95)),IFERROR(_xlfn.NUMBERVALUE(SUBSTITUTE(LEFT(TRIM(C95),FIND(" ",TRIM(C95)&amp;" ")-1),",","."),"."),LEFT(SUBSTITUTE(LEFT(TRIM(C95),FIND(" ",TRIM(C95)&amp;" ")-1),",","."),FIND("/",SUBSTITUTE(LEFT(TRIM(C95),FIND(" ",TRIM(C95)&amp;" ")-1),",","."))-1)/MID(SUBSTITUTE(LEFT(TRIM(C95),FIND(" ",TRIM(C95)&amp;" ")-1),",","."),FIND("/",SUBSTITUTE(LEFT(TRIM(C95),FIND(" ",TRIM(C95)&amp;" ")-1),",","."))+1,9))*12,NA()))),0),48)*'Aturan &amp; Tarif'!$B$4,2)</f>
        <v>2725.44</v>
      </c>
      <c r="K95" s="42" t="n">
        <f aca="false">'Aturan &amp; Tarif'!$B$5</f>
        <v>2050</v>
      </c>
      <c r="L95" s="42" t="n">
        <f aca="false">'Aturan &amp; Tarif'!$B$6</f>
        <v>350</v>
      </c>
      <c r="M95" s="35" t="n">
        <f aca="false">I95+J95+K95+L95</f>
        <v>19449.44</v>
      </c>
      <c r="N95" s="45" t="s">
        <v>318</v>
      </c>
    </row>
    <row r="96" customFormat="false" ht="14.25" hidden="false" customHeight="true" outlineLevel="0" collapsed="false">
      <c r="A96" s="39"/>
      <c r="B96" s="40" t="s">
        <v>405</v>
      </c>
      <c r="C96" s="41" t="s">
        <v>127</v>
      </c>
      <c r="D96" s="41" t="s">
        <v>108</v>
      </c>
      <c r="E96" s="42" t="n">
        <v>8682</v>
      </c>
      <c r="F96" s="42"/>
      <c r="G96" s="42"/>
      <c r="H96" s="43" t="n">
        <v>2</v>
      </c>
      <c r="I96" s="34" t="n">
        <f aca="false">E96*H96+N(F96)+N(G96)</f>
        <v>17364</v>
      </c>
      <c r="J96" s="42" t="n">
        <f aca="false">ROUND(IFERROR(ROUND(IF(OR(ISNUMBER(SEARCH("week",C96)),ISNUMBER(SEARCH("minggu",C96))),IFERROR(_xlfn.NUMBERVALUE(SUBSTITUTE(LEFT(TRIM(C96),FIND(" ",TRIM(C96)&amp;" ")-1),",","."),"."),LEFT(SUBSTITUTE(LEFT(TRIM(C96),FIND(" ",TRIM(C96)&amp;" ")-1),",","."),FIND("/",SUBSTITUTE(LEFT(TRIM(C96),FIND(" ",TRIM(C96)&amp;" ")-1),",","."))-1)/MID(SUBSTITUTE(LEFT(TRIM(C96),FIND(" ",TRIM(C96)&amp;" ")-1),",","."),FIND("/",SUBSTITUTE(LEFT(TRIM(C96),FIND(" ",TRIM(C96)&amp;" ")-1),",","."))+1,9))*12/52,IF(ISNUMBER(SEARCH("month",C96)),IFERROR(_xlfn.NUMBERVALUE(SUBSTITUTE(LEFT(TRIM(C96),FIND(" ",TRIM(C96)&amp;" ")-1),",","."),"."),LEFT(SUBSTITUTE(LEFT(TRIM(C96),FIND(" ",TRIM(C96)&amp;" ")-1),",","."),FIND("/",SUBSTITUTE(LEFT(TRIM(C96),FIND(" ",TRIM(C96)&amp;" ")-1),",","."))-1)/MID(SUBSTITUTE(LEFT(TRIM(C96),FIND(" ",TRIM(C96)&amp;" ")-1),",","."),FIND("/",SUBSTITUTE(LEFT(TRIM(C96),FIND(" ",TRIM(C96)&amp;" ")-1),",","."))+1,9)),IF(ISNUMBER(SEARCH("yea",C96)),IFERROR(_xlfn.NUMBERVALUE(SUBSTITUTE(LEFT(TRIM(C96),FIND(" ",TRIM(C96)&amp;" ")-1),",","."),"."),LEFT(SUBSTITUTE(LEFT(TRIM(C96),FIND(" ",TRIM(C96)&amp;" ")-1),",","."),FIND("/",SUBSTITUTE(LEFT(TRIM(C96),FIND(" ",TRIM(C96)&amp;" ")-1),",","."))-1)/MID(SUBSTITUTE(LEFT(TRIM(C96),FIND(" ",TRIM(C96)&amp;" ")-1),",","."),FIND("/",SUBSTITUTE(LEFT(TRIM(C96),FIND(" ",TRIM(C96)&amp;" ")-1),",","."))+1,9))*12,NA()))),0),36)*'Aturan &amp; Tarif'!$B$4,2)</f>
        <v>2044.08</v>
      </c>
      <c r="K96" s="42" t="n">
        <f aca="false">'Aturan &amp; Tarif'!$B$5</f>
        <v>2050</v>
      </c>
      <c r="L96" s="42" t="n">
        <f aca="false">'Aturan &amp; Tarif'!$B$6</f>
        <v>350</v>
      </c>
      <c r="M96" s="35" t="n">
        <f aca="false">I96+J96+K96+L96</f>
        <v>21808.08</v>
      </c>
      <c r="N96" s="45" t="s">
        <v>318</v>
      </c>
    </row>
    <row r="97" customFormat="false" ht="14.25" hidden="false" customHeight="true" outlineLevel="0" collapsed="false">
      <c r="A97" s="39"/>
      <c r="B97" s="40" t="s">
        <v>406</v>
      </c>
      <c r="C97" s="41" t="s">
        <v>191</v>
      </c>
      <c r="D97" s="41" t="s">
        <v>108</v>
      </c>
      <c r="E97" s="42" t="n">
        <v>8682</v>
      </c>
      <c r="F97" s="42"/>
      <c r="G97" s="42"/>
      <c r="H97" s="43" t="n">
        <v>2</v>
      </c>
      <c r="I97" s="34" t="n">
        <f aca="false">E97*H97+N(F97)+N(G97)</f>
        <v>17364</v>
      </c>
      <c r="J97" s="42" t="n">
        <f aca="false">ROUND(IFERROR(ROUND(IF(OR(ISNUMBER(SEARCH("week",C97)),ISNUMBER(SEARCH("minggu",C97))),IFERROR(_xlfn.NUMBERVALUE(SUBSTITUTE(LEFT(TRIM(C97),FIND(" ",TRIM(C97)&amp;" ")-1),",","."),"."),LEFT(SUBSTITUTE(LEFT(TRIM(C97),FIND(" ",TRIM(C97)&amp;" ")-1),",","."),FIND("/",SUBSTITUTE(LEFT(TRIM(C97),FIND(" ",TRIM(C97)&amp;" ")-1),",","."))-1)/MID(SUBSTITUTE(LEFT(TRIM(C97),FIND(" ",TRIM(C97)&amp;" ")-1),",","."),FIND("/",SUBSTITUTE(LEFT(TRIM(C97),FIND(" ",TRIM(C97)&amp;" ")-1),",","."))+1,9))*12/52,IF(ISNUMBER(SEARCH("month",C97)),IFERROR(_xlfn.NUMBERVALUE(SUBSTITUTE(LEFT(TRIM(C97),FIND(" ",TRIM(C97)&amp;" ")-1),",","."),"."),LEFT(SUBSTITUTE(LEFT(TRIM(C97),FIND(" ",TRIM(C97)&amp;" ")-1),",","."),FIND("/",SUBSTITUTE(LEFT(TRIM(C97),FIND(" ",TRIM(C97)&amp;" ")-1),",","."))-1)/MID(SUBSTITUTE(LEFT(TRIM(C97),FIND(" ",TRIM(C97)&amp;" ")-1),",","."),FIND("/",SUBSTITUTE(LEFT(TRIM(C97),FIND(" ",TRIM(C97)&amp;" ")-1),",","."))+1,9)),IF(ISNUMBER(SEARCH("yea",C97)),IFERROR(_xlfn.NUMBERVALUE(SUBSTITUTE(LEFT(TRIM(C97),FIND(" ",TRIM(C97)&amp;" ")-1),",","."),"."),LEFT(SUBSTITUTE(LEFT(TRIM(C97),FIND(" ",TRIM(C97)&amp;" ")-1),",","."),FIND("/",SUBSTITUTE(LEFT(TRIM(C97),FIND(" ",TRIM(C97)&amp;" ")-1),",","."))-1)/MID(SUBSTITUTE(LEFT(TRIM(C97),FIND(" ",TRIM(C97)&amp;" ")-1),",","."),FIND("/",SUBSTITUTE(LEFT(TRIM(C97),FIND(" ",TRIM(C97)&amp;" ")-1),",","."))+1,9))*12,NA()))),0),48)*'Aturan &amp; Tarif'!$B$4,2)</f>
        <v>2725.44</v>
      </c>
      <c r="K97" s="42" t="n">
        <f aca="false">'Aturan &amp; Tarif'!$B$5</f>
        <v>2050</v>
      </c>
      <c r="L97" s="42" t="n">
        <f aca="false">'Aturan &amp; Tarif'!$B$6</f>
        <v>350</v>
      </c>
      <c r="M97" s="35" t="n">
        <f aca="false">I97+J97+K97+L97</f>
        <v>22489.44</v>
      </c>
      <c r="N97" s="45" t="s">
        <v>318</v>
      </c>
    </row>
    <row r="98" customFormat="false" ht="14.25" hidden="false" customHeight="true" outlineLevel="0" collapsed="false">
      <c r="A98" s="39"/>
      <c r="B98" s="40" t="s">
        <v>407</v>
      </c>
      <c r="C98" s="41" t="s">
        <v>107</v>
      </c>
      <c r="D98" s="41" t="s">
        <v>108</v>
      </c>
      <c r="E98" s="42" t="n">
        <v>8682</v>
      </c>
      <c r="F98" s="42"/>
      <c r="G98" s="42"/>
      <c r="H98" s="43" t="n">
        <v>2</v>
      </c>
      <c r="I98" s="34" t="n">
        <f aca="false">E98*H98+N(F98)+N(G98)</f>
        <v>17364</v>
      </c>
      <c r="J98" s="42" t="n">
        <f aca="false">ROUND(IFERROR(ROUND(IF(OR(ISNUMBER(SEARCH("week",C98)),ISNUMBER(SEARCH("minggu",C98))),IFERROR(_xlfn.NUMBERVALUE(SUBSTITUTE(LEFT(TRIM(C98),FIND(" ",TRIM(C98)&amp;" ")-1),",","."),"."),LEFT(SUBSTITUTE(LEFT(TRIM(C98),FIND(" ",TRIM(C98)&amp;" ")-1),",","."),FIND("/",SUBSTITUTE(LEFT(TRIM(C98),FIND(" ",TRIM(C98)&amp;" ")-1),",","."))-1)/MID(SUBSTITUTE(LEFT(TRIM(C98),FIND(" ",TRIM(C98)&amp;" ")-1),",","."),FIND("/",SUBSTITUTE(LEFT(TRIM(C98),FIND(" ",TRIM(C98)&amp;" ")-1),",","."))+1,9))*12/52,IF(ISNUMBER(SEARCH("month",C98)),IFERROR(_xlfn.NUMBERVALUE(SUBSTITUTE(LEFT(TRIM(C98),FIND(" ",TRIM(C98)&amp;" ")-1),",","."),"."),LEFT(SUBSTITUTE(LEFT(TRIM(C98),FIND(" ",TRIM(C98)&amp;" ")-1),",","."),FIND("/",SUBSTITUTE(LEFT(TRIM(C98),FIND(" ",TRIM(C98)&amp;" ")-1),",","."))-1)/MID(SUBSTITUTE(LEFT(TRIM(C98),FIND(" ",TRIM(C98)&amp;" ")-1),",","."),FIND("/",SUBSTITUTE(LEFT(TRIM(C98),FIND(" ",TRIM(C98)&amp;" ")-1),",","."))+1,9)),IF(ISNUMBER(SEARCH("yea",C98)),IFERROR(_xlfn.NUMBERVALUE(SUBSTITUTE(LEFT(TRIM(C98),FIND(" ",TRIM(C98)&amp;" ")-1),",","."),"."),LEFT(SUBSTITUTE(LEFT(TRIM(C98),FIND(" ",TRIM(C98)&amp;" ")-1),",","."),FIND("/",SUBSTITUTE(LEFT(TRIM(C98),FIND(" ",TRIM(C98)&amp;" ")-1),",","."))-1)/MID(SUBSTITUTE(LEFT(TRIM(C98),FIND(" ",TRIM(C98)&amp;" ")-1),",","."),FIND("/",SUBSTITUTE(LEFT(TRIM(C98),FIND(" ",TRIM(C98)&amp;" ")-1),",","."))+1,9))*12,NA()))),0),24)*'Aturan &amp; Tarif'!$B$4,2)</f>
        <v>1362.72</v>
      </c>
      <c r="K98" s="42" t="n">
        <f aca="false">'Aturan &amp; Tarif'!$B$5</f>
        <v>2050</v>
      </c>
      <c r="L98" s="42" t="n">
        <f aca="false">'Aturan &amp; Tarif'!$B$6</f>
        <v>350</v>
      </c>
      <c r="M98" s="35" t="n">
        <f aca="false">I98+J98+K98+L98</f>
        <v>21126.72</v>
      </c>
      <c r="N98" s="45" t="s">
        <v>318</v>
      </c>
    </row>
    <row r="99" customFormat="false" ht="14.25" hidden="false" customHeight="true" outlineLevel="0" collapsed="false">
      <c r="A99" s="39"/>
      <c r="B99" s="40" t="s">
        <v>408</v>
      </c>
      <c r="C99" s="41" t="s">
        <v>130</v>
      </c>
      <c r="D99" s="41" t="s">
        <v>108</v>
      </c>
      <c r="E99" s="42" t="n">
        <v>7086</v>
      </c>
      <c r="F99" s="42"/>
      <c r="G99" s="42"/>
      <c r="H99" s="43" t="n">
        <v>2</v>
      </c>
      <c r="I99" s="34" t="n">
        <f aca="false">E99*H99+N(F99)+N(G99)</f>
        <v>14172</v>
      </c>
      <c r="J99" s="42" t="n">
        <f aca="false">ROUND(IFERROR(ROUND(IF(OR(ISNUMBER(SEARCH("week",C99)),ISNUMBER(SEARCH("minggu",C99))),IFERROR(_xlfn.NUMBERVALUE(SUBSTITUTE(LEFT(TRIM(C99),FIND(" ",TRIM(C99)&amp;" ")-1),",","."),"."),LEFT(SUBSTITUTE(LEFT(TRIM(C99),FIND(" ",TRIM(C99)&amp;" ")-1),",","."),FIND("/",SUBSTITUTE(LEFT(TRIM(C99),FIND(" ",TRIM(C99)&amp;" ")-1),",","."))-1)/MID(SUBSTITUTE(LEFT(TRIM(C99),FIND(" ",TRIM(C99)&amp;" ")-1),",","."),FIND("/",SUBSTITUTE(LEFT(TRIM(C99),FIND(" ",TRIM(C99)&amp;" ")-1),",","."))+1,9))*12/52,IF(ISNUMBER(SEARCH("month",C99)),IFERROR(_xlfn.NUMBERVALUE(SUBSTITUTE(LEFT(TRIM(C99),FIND(" ",TRIM(C99)&amp;" ")-1),",","."),"."),LEFT(SUBSTITUTE(LEFT(TRIM(C99),FIND(" ",TRIM(C99)&amp;" ")-1),",","."),FIND("/",SUBSTITUTE(LEFT(TRIM(C99),FIND(" ",TRIM(C99)&amp;" ")-1),",","."))-1)/MID(SUBSTITUTE(LEFT(TRIM(C99),FIND(" ",TRIM(C99)&amp;" ")-1),",","."),FIND("/",SUBSTITUTE(LEFT(TRIM(C99),FIND(" ",TRIM(C99)&amp;" ")-1),",","."))+1,9)),IF(ISNUMBER(SEARCH("yea",C99)),IFERROR(_xlfn.NUMBERVALUE(SUBSTITUTE(LEFT(TRIM(C99),FIND(" ",TRIM(C99)&amp;" ")-1),",","."),"."),LEFT(SUBSTITUTE(LEFT(TRIM(C99),FIND(" ",TRIM(C99)&amp;" ")-1),",","."),FIND("/",SUBSTITUTE(LEFT(TRIM(C99),FIND(" ",TRIM(C99)&amp;" ")-1),",","."))-1)/MID(SUBSTITUTE(LEFT(TRIM(C99),FIND(" ",TRIM(C99)&amp;" ")-1),",","."),FIND("/",SUBSTITUTE(LEFT(TRIM(C99),FIND(" ",TRIM(C99)&amp;" ")-1),",","."))+1,9))*12,NA()))),0),12)*'Aturan &amp; Tarif'!$B$4,2)</f>
        <v>681.36</v>
      </c>
      <c r="K99" s="42" t="n">
        <f aca="false">'Aturan &amp; Tarif'!$B$5</f>
        <v>2050</v>
      </c>
      <c r="L99" s="42" t="n">
        <f aca="false">'Aturan &amp; Tarif'!$B$6</f>
        <v>350</v>
      </c>
      <c r="M99" s="35" t="n">
        <f aca="false">I99+J99+K99+L99</f>
        <v>17253.36</v>
      </c>
      <c r="N99" s="45" t="s">
        <v>318</v>
      </c>
    </row>
    <row r="100" customFormat="false" ht="14.25" hidden="false" customHeight="true" outlineLevel="0" collapsed="false">
      <c r="A100" s="39"/>
      <c r="B100" s="40" t="s">
        <v>409</v>
      </c>
      <c r="C100" s="41" t="s">
        <v>130</v>
      </c>
      <c r="D100" s="41" t="s">
        <v>108</v>
      </c>
      <c r="E100" s="42" t="n">
        <v>8058</v>
      </c>
      <c r="F100" s="42"/>
      <c r="G100" s="42"/>
      <c r="H100" s="43" t="n">
        <v>2</v>
      </c>
      <c r="I100" s="34" t="n">
        <f aca="false">E100*H100+N(F100)+N(G100)</f>
        <v>16116</v>
      </c>
      <c r="J100" s="42" t="n">
        <f aca="false">ROUND(IFERROR(ROUND(IF(OR(ISNUMBER(SEARCH("week",C100)),ISNUMBER(SEARCH("minggu",C100))),IFERROR(_xlfn.NUMBERVALUE(SUBSTITUTE(LEFT(TRIM(C100),FIND(" ",TRIM(C100)&amp;" ")-1),",","."),"."),LEFT(SUBSTITUTE(LEFT(TRIM(C100),FIND(" ",TRIM(C100)&amp;" ")-1),",","."),FIND("/",SUBSTITUTE(LEFT(TRIM(C100),FIND(" ",TRIM(C100)&amp;" ")-1),",","."))-1)/MID(SUBSTITUTE(LEFT(TRIM(C100),FIND(" ",TRIM(C100)&amp;" ")-1),",","."),FIND("/",SUBSTITUTE(LEFT(TRIM(C100),FIND(" ",TRIM(C100)&amp;" ")-1),",","."))+1,9))*12/52,IF(ISNUMBER(SEARCH("month",C100)),IFERROR(_xlfn.NUMBERVALUE(SUBSTITUTE(LEFT(TRIM(C100),FIND(" ",TRIM(C100)&amp;" ")-1),",","."),"."),LEFT(SUBSTITUTE(LEFT(TRIM(C100),FIND(" ",TRIM(C100)&amp;" ")-1),",","."),FIND("/",SUBSTITUTE(LEFT(TRIM(C100),FIND(" ",TRIM(C100)&amp;" ")-1),",","."))-1)/MID(SUBSTITUTE(LEFT(TRIM(C100),FIND(" ",TRIM(C100)&amp;" ")-1),",","."),FIND("/",SUBSTITUTE(LEFT(TRIM(C100),FIND(" ",TRIM(C100)&amp;" ")-1),",","."))+1,9)),IF(ISNUMBER(SEARCH("yea",C100)),IFERROR(_xlfn.NUMBERVALUE(SUBSTITUTE(LEFT(TRIM(C100),FIND(" ",TRIM(C100)&amp;" ")-1),",","."),"."),LEFT(SUBSTITUTE(LEFT(TRIM(C100),FIND(" ",TRIM(C100)&amp;" ")-1),",","."),FIND("/",SUBSTITUTE(LEFT(TRIM(C100),FIND(" ",TRIM(C100)&amp;" ")-1),",","."))-1)/MID(SUBSTITUTE(LEFT(TRIM(C100),FIND(" ",TRIM(C100)&amp;" ")-1),",","."),FIND("/",SUBSTITUTE(LEFT(TRIM(C100),FIND(" ",TRIM(C100)&amp;" ")-1),",","."))+1,9))*12,NA()))),0),12)*'Aturan &amp; Tarif'!$B$4,2)</f>
        <v>681.36</v>
      </c>
      <c r="K100" s="42" t="n">
        <f aca="false">'Aturan &amp; Tarif'!$B$5</f>
        <v>2050</v>
      </c>
      <c r="L100" s="42" t="n">
        <f aca="false">'Aturan &amp; Tarif'!$B$6</f>
        <v>350</v>
      </c>
      <c r="M100" s="35" t="n">
        <f aca="false">I100+J100+K100+L100</f>
        <v>19197.36</v>
      </c>
      <c r="N100" s="45" t="s">
        <v>318</v>
      </c>
    </row>
    <row r="101" customFormat="false" ht="14.25" hidden="false" customHeight="true" outlineLevel="0" collapsed="false">
      <c r="A101" s="39"/>
      <c r="B101" s="40" t="s">
        <v>410</v>
      </c>
      <c r="C101" s="41" t="s">
        <v>130</v>
      </c>
      <c r="D101" s="41" t="s">
        <v>108</v>
      </c>
      <c r="E101" s="42" t="n">
        <v>8480</v>
      </c>
      <c r="F101" s="42"/>
      <c r="G101" s="42"/>
      <c r="H101" s="43" t="n">
        <v>2</v>
      </c>
      <c r="I101" s="34" t="n">
        <f aca="false">E101*H101+N(F101)+N(G101)</f>
        <v>16960</v>
      </c>
      <c r="J101" s="42" t="n">
        <f aca="false">ROUND(IFERROR(ROUND(IF(OR(ISNUMBER(SEARCH("week",C101)),ISNUMBER(SEARCH("minggu",C101))),IFERROR(_xlfn.NUMBERVALUE(SUBSTITUTE(LEFT(TRIM(C101),FIND(" ",TRIM(C101)&amp;" ")-1),",","."),"."),LEFT(SUBSTITUTE(LEFT(TRIM(C101),FIND(" ",TRIM(C101)&amp;" ")-1),",","."),FIND("/",SUBSTITUTE(LEFT(TRIM(C101),FIND(" ",TRIM(C101)&amp;" ")-1),",","."))-1)/MID(SUBSTITUTE(LEFT(TRIM(C101),FIND(" ",TRIM(C101)&amp;" ")-1),",","."),FIND("/",SUBSTITUTE(LEFT(TRIM(C101),FIND(" ",TRIM(C101)&amp;" ")-1),",","."))+1,9))*12/52,IF(ISNUMBER(SEARCH("month",C101)),IFERROR(_xlfn.NUMBERVALUE(SUBSTITUTE(LEFT(TRIM(C101),FIND(" ",TRIM(C101)&amp;" ")-1),",","."),"."),LEFT(SUBSTITUTE(LEFT(TRIM(C101),FIND(" ",TRIM(C101)&amp;" ")-1),",","."),FIND("/",SUBSTITUTE(LEFT(TRIM(C101),FIND(" ",TRIM(C101)&amp;" ")-1),",","."))-1)/MID(SUBSTITUTE(LEFT(TRIM(C101),FIND(" ",TRIM(C101)&amp;" ")-1),",","."),FIND("/",SUBSTITUTE(LEFT(TRIM(C101),FIND(" ",TRIM(C101)&amp;" ")-1),",","."))+1,9)),IF(ISNUMBER(SEARCH("yea",C101)),IFERROR(_xlfn.NUMBERVALUE(SUBSTITUTE(LEFT(TRIM(C101),FIND(" ",TRIM(C101)&amp;" ")-1),",","."),"."),LEFT(SUBSTITUTE(LEFT(TRIM(C101),FIND(" ",TRIM(C101)&amp;" ")-1),",","."),FIND("/",SUBSTITUTE(LEFT(TRIM(C101),FIND(" ",TRIM(C101)&amp;" ")-1),",","."))-1)/MID(SUBSTITUTE(LEFT(TRIM(C101),FIND(" ",TRIM(C101)&amp;" ")-1),",","."),FIND("/",SUBSTITUTE(LEFT(TRIM(C101),FIND(" ",TRIM(C101)&amp;" ")-1),",","."))+1,9))*12,NA()))),0),12)*'Aturan &amp; Tarif'!$B$4,2)</f>
        <v>681.36</v>
      </c>
      <c r="K101" s="42" t="n">
        <f aca="false">'Aturan &amp; Tarif'!$B$5</f>
        <v>2050</v>
      </c>
      <c r="L101" s="42" t="n">
        <f aca="false">'Aturan &amp; Tarif'!$B$6</f>
        <v>350</v>
      </c>
      <c r="M101" s="35" t="n">
        <f aca="false">I101+J101+K101+L101</f>
        <v>20041.36</v>
      </c>
      <c r="N101" s="45" t="s">
        <v>318</v>
      </c>
    </row>
    <row r="102" customFormat="false" ht="25.5" hidden="false" customHeight="true" outlineLevel="0" collapsed="false">
      <c r="A102" s="39"/>
      <c r="B102" s="40" t="s">
        <v>411</v>
      </c>
      <c r="C102" s="41" t="s">
        <v>130</v>
      </c>
      <c r="D102" s="41" t="s">
        <v>108</v>
      </c>
      <c r="E102" s="42" t="n">
        <v>8906</v>
      </c>
      <c r="F102" s="42"/>
      <c r="G102" s="42"/>
      <c r="H102" s="43" t="n">
        <v>2</v>
      </c>
      <c r="I102" s="34" t="n">
        <f aca="false">E102*H102+N(F102)+N(G102)</f>
        <v>17812</v>
      </c>
      <c r="J102" s="42" t="n">
        <f aca="false">ROUND(IFERROR(ROUND(IF(OR(ISNUMBER(SEARCH("week",C102)),ISNUMBER(SEARCH("minggu",C102))),IFERROR(_xlfn.NUMBERVALUE(SUBSTITUTE(LEFT(TRIM(C102),FIND(" ",TRIM(C102)&amp;" ")-1),",","."),"."),LEFT(SUBSTITUTE(LEFT(TRIM(C102),FIND(" ",TRIM(C102)&amp;" ")-1),",","."),FIND("/",SUBSTITUTE(LEFT(TRIM(C102),FIND(" ",TRIM(C102)&amp;" ")-1),",","."))-1)/MID(SUBSTITUTE(LEFT(TRIM(C102),FIND(" ",TRIM(C102)&amp;" ")-1),",","."),FIND("/",SUBSTITUTE(LEFT(TRIM(C102),FIND(" ",TRIM(C102)&amp;" ")-1),",","."))+1,9))*12/52,IF(ISNUMBER(SEARCH("month",C102)),IFERROR(_xlfn.NUMBERVALUE(SUBSTITUTE(LEFT(TRIM(C102),FIND(" ",TRIM(C102)&amp;" ")-1),",","."),"."),LEFT(SUBSTITUTE(LEFT(TRIM(C102),FIND(" ",TRIM(C102)&amp;" ")-1),",","."),FIND("/",SUBSTITUTE(LEFT(TRIM(C102),FIND(" ",TRIM(C102)&amp;" ")-1),",","."))-1)/MID(SUBSTITUTE(LEFT(TRIM(C102),FIND(" ",TRIM(C102)&amp;" ")-1),",","."),FIND("/",SUBSTITUTE(LEFT(TRIM(C102),FIND(" ",TRIM(C102)&amp;" ")-1),",","."))+1,9)),IF(ISNUMBER(SEARCH("yea",C102)),IFERROR(_xlfn.NUMBERVALUE(SUBSTITUTE(LEFT(TRIM(C102),FIND(" ",TRIM(C102)&amp;" ")-1),",","."),"."),LEFT(SUBSTITUTE(LEFT(TRIM(C102),FIND(" ",TRIM(C102)&amp;" ")-1),",","."),FIND("/",SUBSTITUTE(LEFT(TRIM(C102),FIND(" ",TRIM(C102)&amp;" ")-1),",","."))-1)/MID(SUBSTITUTE(LEFT(TRIM(C102),FIND(" ",TRIM(C102)&amp;" ")-1),",","."),FIND("/",SUBSTITUTE(LEFT(TRIM(C102),FIND(" ",TRIM(C102)&amp;" ")-1),",","."))+1,9))*12,NA()))),0),12)*'Aturan &amp; Tarif'!$B$4,2)</f>
        <v>681.36</v>
      </c>
      <c r="K102" s="42" t="n">
        <f aca="false">'Aturan &amp; Tarif'!$B$5</f>
        <v>2050</v>
      </c>
      <c r="L102" s="42" t="n">
        <f aca="false">'Aturan &amp; Tarif'!$B$6</f>
        <v>350</v>
      </c>
      <c r="M102" s="35" t="n">
        <f aca="false">I102+J102+K102+L102</f>
        <v>20893.36</v>
      </c>
      <c r="N102" s="45" t="s">
        <v>318</v>
      </c>
    </row>
    <row r="103" customFormat="false" ht="14.25" hidden="false" customHeight="true" outlineLevel="0" collapsed="false">
      <c r="A103" s="39"/>
      <c r="B103" s="40" t="s">
        <v>412</v>
      </c>
      <c r="C103" s="41" t="s">
        <v>130</v>
      </c>
      <c r="D103" s="41" t="s">
        <v>108</v>
      </c>
      <c r="E103" s="42" t="n">
        <v>7086</v>
      </c>
      <c r="F103" s="42"/>
      <c r="G103" s="42"/>
      <c r="H103" s="43" t="n">
        <v>2</v>
      </c>
      <c r="I103" s="34" t="n">
        <f aca="false">E103*H103+N(F103)+N(G103)</f>
        <v>14172</v>
      </c>
      <c r="J103" s="42" t="n">
        <f aca="false">ROUND(IFERROR(ROUND(IF(OR(ISNUMBER(SEARCH("week",C103)),ISNUMBER(SEARCH("minggu",C103))),IFERROR(_xlfn.NUMBERVALUE(SUBSTITUTE(LEFT(TRIM(C103),FIND(" ",TRIM(C103)&amp;" ")-1),",","."),"."),LEFT(SUBSTITUTE(LEFT(TRIM(C103),FIND(" ",TRIM(C103)&amp;" ")-1),",","."),FIND("/",SUBSTITUTE(LEFT(TRIM(C103),FIND(" ",TRIM(C103)&amp;" ")-1),",","."))-1)/MID(SUBSTITUTE(LEFT(TRIM(C103),FIND(" ",TRIM(C103)&amp;" ")-1),",","."),FIND("/",SUBSTITUTE(LEFT(TRIM(C103),FIND(" ",TRIM(C103)&amp;" ")-1),",","."))+1,9))*12/52,IF(ISNUMBER(SEARCH("month",C103)),IFERROR(_xlfn.NUMBERVALUE(SUBSTITUTE(LEFT(TRIM(C103),FIND(" ",TRIM(C103)&amp;" ")-1),",","."),"."),LEFT(SUBSTITUTE(LEFT(TRIM(C103),FIND(" ",TRIM(C103)&amp;" ")-1),",","."),FIND("/",SUBSTITUTE(LEFT(TRIM(C103),FIND(" ",TRIM(C103)&amp;" ")-1),",","."))-1)/MID(SUBSTITUTE(LEFT(TRIM(C103),FIND(" ",TRIM(C103)&amp;" ")-1),",","."),FIND("/",SUBSTITUTE(LEFT(TRIM(C103),FIND(" ",TRIM(C103)&amp;" ")-1),",","."))+1,9)),IF(ISNUMBER(SEARCH("yea",C103)),IFERROR(_xlfn.NUMBERVALUE(SUBSTITUTE(LEFT(TRIM(C103),FIND(" ",TRIM(C103)&amp;" ")-1),",","."),"."),LEFT(SUBSTITUTE(LEFT(TRIM(C103),FIND(" ",TRIM(C103)&amp;" ")-1),",","."),FIND("/",SUBSTITUTE(LEFT(TRIM(C103),FIND(" ",TRIM(C103)&amp;" ")-1),",","."))-1)/MID(SUBSTITUTE(LEFT(TRIM(C103),FIND(" ",TRIM(C103)&amp;" ")-1),",","."),FIND("/",SUBSTITUTE(LEFT(TRIM(C103),FIND(" ",TRIM(C103)&amp;" ")-1),",","."))+1,9))*12,NA()))),0),12)*'Aturan &amp; Tarif'!$B$4,2)</f>
        <v>681.36</v>
      </c>
      <c r="K103" s="42" t="n">
        <f aca="false">'Aturan &amp; Tarif'!$B$5</f>
        <v>2050</v>
      </c>
      <c r="L103" s="42" t="n">
        <f aca="false">'Aturan &amp; Tarif'!$B$6</f>
        <v>350</v>
      </c>
      <c r="M103" s="35" t="n">
        <f aca="false">I103+J103+K103+L103</f>
        <v>17253.36</v>
      </c>
      <c r="N103" s="45" t="s">
        <v>318</v>
      </c>
    </row>
    <row r="104" customFormat="false" ht="14.25" hidden="false" customHeight="true" outlineLevel="0" collapsed="false">
      <c r="A104" s="39"/>
      <c r="B104" s="40" t="s">
        <v>413</v>
      </c>
      <c r="C104" s="41" t="s">
        <v>130</v>
      </c>
      <c r="D104" s="41" t="s">
        <v>108</v>
      </c>
      <c r="E104" s="42" t="n">
        <v>8058</v>
      </c>
      <c r="F104" s="42"/>
      <c r="G104" s="42"/>
      <c r="H104" s="43" t="n">
        <v>2</v>
      </c>
      <c r="I104" s="34" t="n">
        <f aca="false">E104*H104+N(F104)+N(G104)</f>
        <v>16116</v>
      </c>
      <c r="J104" s="42" t="n">
        <f aca="false">ROUND(IFERROR(ROUND(IF(OR(ISNUMBER(SEARCH("week",C104)),ISNUMBER(SEARCH("minggu",C104))),IFERROR(_xlfn.NUMBERVALUE(SUBSTITUTE(LEFT(TRIM(C104),FIND(" ",TRIM(C104)&amp;" ")-1),",","."),"."),LEFT(SUBSTITUTE(LEFT(TRIM(C104),FIND(" ",TRIM(C104)&amp;" ")-1),",","."),FIND("/",SUBSTITUTE(LEFT(TRIM(C104),FIND(" ",TRIM(C104)&amp;" ")-1),",","."))-1)/MID(SUBSTITUTE(LEFT(TRIM(C104),FIND(" ",TRIM(C104)&amp;" ")-1),",","."),FIND("/",SUBSTITUTE(LEFT(TRIM(C104),FIND(" ",TRIM(C104)&amp;" ")-1),",","."))+1,9))*12/52,IF(ISNUMBER(SEARCH("month",C104)),IFERROR(_xlfn.NUMBERVALUE(SUBSTITUTE(LEFT(TRIM(C104),FIND(" ",TRIM(C104)&amp;" ")-1),",","."),"."),LEFT(SUBSTITUTE(LEFT(TRIM(C104),FIND(" ",TRIM(C104)&amp;" ")-1),",","."),FIND("/",SUBSTITUTE(LEFT(TRIM(C104),FIND(" ",TRIM(C104)&amp;" ")-1),",","."))-1)/MID(SUBSTITUTE(LEFT(TRIM(C104),FIND(" ",TRIM(C104)&amp;" ")-1),",","."),FIND("/",SUBSTITUTE(LEFT(TRIM(C104),FIND(" ",TRIM(C104)&amp;" ")-1),",","."))+1,9)),IF(ISNUMBER(SEARCH("yea",C104)),IFERROR(_xlfn.NUMBERVALUE(SUBSTITUTE(LEFT(TRIM(C104),FIND(" ",TRIM(C104)&amp;" ")-1),",","."),"."),LEFT(SUBSTITUTE(LEFT(TRIM(C104),FIND(" ",TRIM(C104)&amp;" ")-1),",","."),FIND("/",SUBSTITUTE(LEFT(TRIM(C104),FIND(" ",TRIM(C104)&amp;" ")-1),",","."))-1)/MID(SUBSTITUTE(LEFT(TRIM(C104),FIND(" ",TRIM(C104)&amp;" ")-1),",","."),FIND("/",SUBSTITUTE(LEFT(TRIM(C104),FIND(" ",TRIM(C104)&amp;" ")-1),",","."))+1,9))*12,NA()))),0),12)*'Aturan &amp; Tarif'!$B$4,2)</f>
        <v>681.36</v>
      </c>
      <c r="K104" s="42" t="n">
        <f aca="false">'Aturan &amp; Tarif'!$B$5</f>
        <v>2050</v>
      </c>
      <c r="L104" s="42" t="n">
        <f aca="false">'Aturan &amp; Tarif'!$B$6</f>
        <v>350</v>
      </c>
      <c r="M104" s="35" t="n">
        <f aca="false">I104+J104+K104+L104</f>
        <v>19197.36</v>
      </c>
      <c r="N104" s="45" t="s">
        <v>318</v>
      </c>
    </row>
    <row r="105" customFormat="false" ht="14.25" hidden="false" customHeight="true" outlineLevel="0" collapsed="false">
      <c r="A105" s="39"/>
      <c r="B105" s="40" t="s">
        <v>414</v>
      </c>
      <c r="C105" s="41" t="s">
        <v>130</v>
      </c>
      <c r="D105" s="41" t="s">
        <v>108</v>
      </c>
      <c r="E105" s="42" t="n">
        <v>8906</v>
      </c>
      <c r="F105" s="42"/>
      <c r="G105" s="42"/>
      <c r="H105" s="43" t="n">
        <v>2</v>
      </c>
      <c r="I105" s="34" t="n">
        <f aca="false">E105*H105+N(F105)+N(G105)</f>
        <v>17812</v>
      </c>
      <c r="J105" s="42" t="n">
        <f aca="false">ROUND(IFERROR(ROUND(IF(OR(ISNUMBER(SEARCH("week",C105)),ISNUMBER(SEARCH("minggu",C105))),IFERROR(_xlfn.NUMBERVALUE(SUBSTITUTE(LEFT(TRIM(C105),FIND(" ",TRIM(C105)&amp;" ")-1),",","."),"."),LEFT(SUBSTITUTE(LEFT(TRIM(C105),FIND(" ",TRIM(C105)&amp;" ")-1),",","."),FIND("/",SUBSTITUTE(LEFT(TRIM(C105),FIND(" ",TRIM(C105)&amp;" ")-1),",","."))-1)/MID(SUBSTITUTE(LEFT(TRIM(C105),FIND(" ",TRIM(C105)&amp;" ")-1),",","."),FIND("/",SUBSTITUTE(LEFT(TRIM(C105),FIND(" ",TRIM(C105)&amp;" ")-1),",","."))+1,9))*12/52,IF(ISNUMBER(SEARCH("month",C105)),IFERROR(_xlfn.NUMBERVALUE(SUBSTITUTE(LEFT(TRIM(C105),FIND(" ",TRIM(C105)&amp;" ")-1),",","."),"."),LEFT(SUBSTITUTE(LEFT(TRIM(C105),FIND(" ",TRIM(C105)&amp;" ")-1),",","."),FIND("/",SUBSTITUTE(LEFT(TRIM(C105),FIND(" ",TRIM(C105)&amp;" ")-1),",","."))-1)/MID(SUBSTITUTE(LEFT(TRIM(C105),FIND(" ",TRIM(C105)&amp;" ")-1),",","."),FIND("/",SUBSTITUTE(LEFT(TRIM(C105),FIND(" ",TRIM(C105)&amp;" ")-1),",","."))+1,9)),IF(ISNUMBER(SEARCH("yea",C105)),IFERROR(_xlfn.NUMBERVALUE(SUBSTITUTE(LEFT(TRIM(C105),FIND(" ",TRIM(C105)&amp;" ")-1),",","."),"."),LEFT(SUBSTITUTE(LEFT(TRIM(C105),FIND(" ",TRIM(C105)&amp;" ")-1),",","."),FIND("/",SUBSTITUTE(LEFT(TRIM(C105),FIND(" ",TRIM(C105)&amp;" ")-1),",","."))-1)/MID(SUBSTITUTE(LEFT(TRIM(C105),FIND(" ",TRIM(C105)&amp;" ")-1),",","."),FIND("/",SUBSTITUTE(LEFT(TRIM(C105),FIND(" ",TRIM(C105)&amp;" ")-1),",","."))+1,9))*12,NA()))),0),12)*'Aturan &amp; Tarif'!$B$4,2)</f>
        <v>681.36</v>
      </c>
      <c r="K105" s="42" t="n">
        <f aca="false">'Aturan &amp; Tarif'!$B$5</f>
        <v>2050</v>
      </c>
      <c r="L105" s="42" t="n">
        <f aca="false">'Aturan &amp; Tarif'!$B$6</f>
        <v>350</v>
      </c>
      <c r="M105" s="35" t="n">
        <f aca="false">I105+J105+K105+L105</f>
        <v>20893.36</v>
      </c>
      <c r="N105" s="45" t="s">
        <v>318</v>
      </c>
    </row>
    <row r="106" customFormat="false" ht="14.25" hidden="false" customHeight="true" outlineLevel="0" collapsed="false">
      <c r="A106" s="39"/>
      <c r="B106" s="40" t="s">
        <v>415</v>
      </c>
      <c r="C106" s="41" t="s">
        <v>130</v>
      </c>
      <c r="D106" s="41" t="s">
        <v>108</v>
      </c>
      <c r="E106" s="42" t="n">
        <v>7086</v>
      </c>
      <c r="F106" s="42"/>
      <c r="G106" s="42"/>
      <c r="H106" s="43" t="n">
        <v>2</v>
      </c>
      <c r="I106" s="34" t="n">
        <f aca="false">E106*H106+N(F106)+N(G106)</f>
        <v>14172</v>
      </c>
      <c r="J106" s="42" t="n">
        <f aca="false">ROUND(IFERROR(ROUND(IF(OR(ISNUMBER(SEARCH("week",C106)),ISNUMBER(SEARCH("minggu",C106))),IFERROR(_xlfn.NUMBERVALUE(SUBSTITUTE(LEFT(TRIM(C106),FIND(" ",TRIM(C106)&amp;" ")-1),",","."),"."),LEFT(SUBSTITUTE(LEFT(TRIM(C106),FIND(" ",TRIM(C106)&amp;" ")-1),",","."),FIND("/",SUBSTITUTE(LEFT(TRIM(C106),FIND(" ",TRIM(C106)&amp;" ")-1),",","."))-1)/MID(SUBSTITUTE(LEFT(TRIM(C106),FIND(" ",TRIM(C106)&amp;" ")-1),",","."),FIND("/",SUBSTITUTE(LEFT(TRIM(C106),FIND(" ",TRIM(C106)&amp;" ")-1),",","."))+1,9))*12/52,IF(ISNUMBER(SEARCH("month",C106)),IFERROR(_xlfn.NUMBERVALUE(SUBSTITUTE(LEFT(TRIM(C106),FIND(" ",TRIM(C106)&amp;" ")-1),",","."),"."),LEFT(SUBSTITUTE(LEFT(TRIM(C106),FIND(" ",TRIM(C106)&amp;" ")-1),",","."),FIND("/",SUBSTITUTE(LEFT(TRIM(C106),FIND(" ",TRIM(C106)&amp;" ")-1),",","."))-1)/MID(SUBSTITUTE(LEFT(TRIM(C106),FIND(" ",TRIM(C106)&amp;" ")-1),",","."),FIND("/",SUBSTITUTE(LEFT(TRIM(C106),FIND(" ",TRIM(C106)&amp;" ")-1),",","."))+1,9)),IF(ISNUMBER(SEARCH("yea",C106)),IFERROR(_xlfn.NUMBERVALUE(SUBSTITUTE(LEFT(TRIM(C106),FIND(" ",TRIM(C106)&amp;" ")-1),",","."),"."),LEFT(SUBSTITUTE(LEFT(TRIM(C106),FIND(" ",TRIM(C106)&amp;" ")-1),",","."),FIND("/",SUBSTITUTE(LEFT(TRIM(C106),FIND(" ",TRIM(C106)&amp;" ")-1),",","."))-1)/MID(SUBSTITUTE(LEFT(TRIM(C106),FIND(" ",TRIM(C106)&amp;" ")-1),",","."),FIND("/",SUBSTITUTE(LEFT(TRIM(C106),FIND(" ",TRIM(C106)&amp;" ")-1),",","."))+1,9))*12,NA()))),0),12)*'Aturan &amp; Tarif'!$B$4,2)</f>
        <v>681.36</v>
      </c>
      <c r="K106" s="42" t="n">
        <f aca="false">'Aturan &amp; Tarif'!$B$5</f>
        <v>2050</v>
      </c>
      <c r="L106" s="42" t="n">
        <f aca="false">'Aturan &amp; Tarif'!$B$6</f>
        <v>350</v>
      </c>
      <c r="M106" s="35" t="n">
        <f aca="false">I106+J106+K106+L106</f>
        <v>17253.36</v>
      </c>
      <c r="N106" s="45" t="s">
        <v>318</v>
      </c>
    </row>
    <row r="107" customFormat="false" ht="14.25" hidden="false" customHeight="true" outlineLevel="0" collapsed="false">
      <c r="A107" s="39"/>
      <c r="B107" s="40" t="s">
        <v>416</v>
      </c>
      <c r="C107" s="41" t="s">
        <v>130</v>
      </c>
      <c r="D107" s="41" t="s">
        <v>108</v>
      </c>
      <c r="E107" s="42" t="n">
        <v>8906</v>
      </c>
      <c r="F107" s="42"/>
      <c r="G107" s="42"/>
      <c r="H107" s="43" t="n">
        <v>2</v>
      </c>
      <c r="I107" s="34" t="n">
        <f aca="false">E107*H107+N(F107)+N(G107)</f>
        <v>17812</v>
      </c>
      <c r="J107" s="42" t="n">
        <f aca="false">ROUND(IFERROR(ROUND(IF(OR(ISNUMBER(SEARCH("week",C107)),ISNUMBER(SEARCH("minggu",C107))),IFERROR(_xlfn.NUMBERVALUE(SUBSTITUTE(LEFT(TRIM(C107),FIND(" ",TRIM(C107)&amp;" ")-1),",","."),"."),LEFT(SUBSTITUTE(LEFT(TRIM(C107),FIND(" ",TRIM(C107)&amp;" ")-1),",","."),FIND("/",SUBSTITUTE(LEFT(TRIM(C107),FIND(" ",TRIM(C107)&amp;" ")-1),",","."))-1)/MID(SUBSTITUTE(LEFT(TRIM(C107),FIND(" ",TRIM(C107)&amp;" ")-1),",","."),FIND("/",SUBSTITUTE(LEFT(TRIM(C107),FIND(" ",TRIM(C107)&amp;" ")-1),",","."))+1,9))*12/52,IF(ISNUMBER(SEARCH("month",C107)),IFERROR(_xlfn.NUMBERVALUE(SUBSTITUTE(LEFT(TRIM(C107),FIND(" ",TRIM(C107)&amp;" ")-1),",","."),"."),LEFT(SUBSTITUTE(LEFT(TRIM(C107),FIND(" ",TRIM(C107)&amp;" ")-1),",","."),FIND("/",SUBSTITUTE(LEFT(TRIM(C107),FIND(" ",TRIM(C107)&amp;" ")-1),",","."))-1)/MID(SUBSTITUTE(LEFT(TRIM(C107),FIND(" ",TRIM(C107)&amp;" ")-1),",","."),FIND("/",SUBSTITUTE(LEFT(TRIM(C107),FIND(" ",TRIM(C107)&amp;" ")-1),",","."))+1,9)),IF(ISNUMBER(SEARCH("yea",C107)),IFERROR(_xlfn.NUMBERVALUE(SUBSTITUTE(LEFT(TRIM(C107),FIND(" ",TRIM(C107)&amp;" ")-1),",","."),"."),LEFT(SUBSTITUTE(LEFT(TRIM(C107),FIND(" ",TRIM(C107)&amp;" ")-1),",","."),FIND("/",SUBSTITUTE(LEFT(TRIM(C107),FIND(" ",TRIM(C107)&amp;" ")-1),",","."))-1)/MID(SUBSTITUTE(LEFT(TRIM(C107),FIND(" ",TRIM(C107)&amp;" ")-1),",","."),FIND("/",SUBSTITUTE(LEFT(TRIM(C107),FIND(" ",TRIM(C107)&amp;" ")-1),",","."))+1,9))*12,NA()))),0),12)*'Aturan &amp; Tarif'!$B$4,2)</f>
        <v>681.36</v>
      </c>
      <c r="K107" s="42" t="n">
        <f aca="false">'Aturan &amp; Tarif'!$B$5</f>
        <v>2050</v>
      </c>
      <c r="L107" s="42" t="n">
        <f aca="false">'Aturan &amp; Tarif'!$B$6</f>
        <v>350</v>
      </c>
      <c r="M107" s="35" t="n">
        <f aca="false">I107+J107+K107+L107</f>
        <v>20893.36</v>
      </c>
      <c r="N107" s="45" t="s">
        <v>318</v>
      </c>
    </row>
    <row r="108" customFormat="false" ht="14.25" hidden="false" customHeight="true" outlineLevel="0" collapsed="false">
      <c r="A108" s="39"/>
      <c r="B108" s="40" t="s">
        <v>417</v>
      </c>
      <c r="C108" s="41" t="s">
        <v>130</v>
      </c>
      <c r="D108" s="41" t="s">
        <v>108</v>
      </c>
      <c r="E108" s="42" t="n">
        <v>8906</v>
      </c>
      <c r="F108" s="42"/>
      <c r="G108" s="42"/>
      <c r="H108" s="43" t="n">
        <v>2</v>
      </c>
      <c r="I108" s="34" t="n">
        <f aca="false">E108*H108+N(F108)+N(G108)</f>
        <v>17812</v>
      </c>
      <c r="J108" s="42" t="n">
        <f aca="false">ROUND(IFERROR(ROUND(IF(OR(ISNUMBER(SEARCH("week",C108)),ISNUMBER(SEARCH("minggu",C108))),IFERROR(_xlfn.NUMBERVALUE(SUBSTITUTE(LEFT(TRIM(C108),FIND(" ",TRIM(C108)&amp;" ")-1),",","."),"."),LEFT(SUBSTITUTE(LEFT(TRIM(C108),FIND(" ",TRIM(C108)&amp;" ")-1),",","."),FIND("/",SUBSTITUTE(LEFT(TRIM(C108),FIND(" ",TRIM(C108)&amp;" ")-1),",","."))-1)/MID(SUBSTITUTE(LEFT(TRIM(C108),FIND(" ",TRIM(C108)&amp;" ")-1),",","."),FIND("/",SUBSTITUTE(LEFT(TRIM(C108),FIND(" ",TRIM(C108)&amp;" ")-1),",","."))+1,9))*12/52,IF(ISNUMBER(SEARCH("month",C108)),IFERROR(_xlfn.NUMBERVALUE(SUBSTITUTE(LEFT(TRIM(C108),FIND(" ",TRIM(C108)&amp;" ")-1),",","."),"."),LEFT(SUBSTITUTE(LEFT(TRIM(C108),FIND(" ",TRIM(C108)&amp;" ")-1),",","."),FIND("/",SUBSTITUTE(LEFT(TRIM(C108),FIND(" ",TRIM(C108)&amp;" ")-1),",","."))-1)/MID(SUBSTITUTE(LEFT(TRIM(C108),FIND(" ",TRIM(C108)&amp;" ")-1),",","."),FIND("/",SUBSTITUTE(LEFT(TRIM(C108),FIND(" ",TRIM(C108)&amp;" ")-1),",","."))+1,9)),IF(ISNUMBER(SEARCH("yea",C108)),IFERROR(_xlfn.NUMBERVALUE(SUBSTITUTE(LEFT(TRIM(C108),FIND(" ",TRIM(C108)&amp;" ")-1),",","."),"."),LEFT(SUBSTITUTE(LEFT(TRIM(C108),FIND(" ",TRIM(C108)&amp;" ")-1),",","."),FIND("/",SUBSTITUTE(LEFT(TRIM(C108),FIND(" ",TRIM(C108)&amp;" ")-1),",","."))-1)/MID(SUBSTITUTE(LEFT(TRIM(C108),FIND(" ",TRIM(C108)&amp;" ")-1),",","."),FIND("/",SUBSTITUTE(LEFT(TRIM(C108),FIND(" ",TRIM(C108)&amp;" ")-1),",","."))+1,9))*12,NA()))),0),12)*'Aturan &amp; Tarif'!$B$4,2)</f>
        <v>681.36</v>
      </c>
      <c r="K108" s="42" t="n">
        <f aca="false">'Aturan &amp; Tarif'!$B$5</f>
        <v>2050</v>
      </c>
      <c r="L108" s="42" t="n">
        <f aca="false">'Aturan &amp; Tarif'!$B$6</f>
        <v>350</v>
      </c>
      <c r="M108" s="35" t="n">
        <f aca="false">I108+J108+K108+L108</f>
        <v>20893.36</v>
      </c>
      <c r="N108" s="45" t="s">
        <v>318</v>
      </c>
    </row>
    <row r="109" customFormat="false" ht="14.25" hidden="false" customHeight="true" outlineLevel="0" collapsed="false">
      <c r="A109" s="39"/>
      <c r="B109" s="40" t="s">
        <v>418</v>
      </c>
      <c r="C109" s="41" t="s">
        <v>130</v>
      </c>
      <c r="D109" s="41" t="s">
        <v>108</v>
      </c>
      <c r="E109" s="42" t="n">
        <v>5780</v>
      </c>
      <c r="F109" s="42"/>
      <c r="G109" s="42"/>
      <c r="H109" s="43" t="n">
        <v>2</v>
      </c>
      <c r="I109" s="34" t="n">
        <f aca="false">E109*H109+N(F109)+N(G109)</f>
        <v>11560</v>
      </c>
      <c r="J109" s="42" t="n">
        <f aca="false">ROUND(IFERROR(ROUND(IF(OR(ISNUMBER(SEARCH("week",C109)),ISNUMBER(SEARCH("minggu",C109))),IFERROR(_xlfn.NUMBERVALUE(SUBSTITUTE(LEFT(TRIM(C109),FIND(" ",TRIM(C109)&amp;" ")-1),",","."),"."),LEFT(SUBSTITUTE(LEFT(TRIM(C109),FIND(" ",TRIM(C109)&amp;" ")-1),",","."),FIND("/",SUBSTITUTE(LEFT(TRIM(C109),FIND(" ",TRIM(C109)&amp;" ")-1),",","."))-1)/MID(SUBSTITUTE(LEFT(TRIM(C109),FIND(" ",TRIM(C109)&amp;" ")-1),",","."),FIND("/",SUBSTITUTE(LEFT(TRIM(C109),FIND(" ",TRIM(C109)&amp;" ")-1),",","."))+1,9))*12/52,IF(ISNUMBER(SEARCH("month",C109)),IFERROR(_xlfn.NUMBERVALUE(SUBSTITUTE(LEFT(TRIM(C109),FIND(" ",TRIM(C109)&amp;" ")-1),",","."),"."),LEFT(SUBSTITUTE(LEFT(TRIM(C109),FIND(" ",TRIM(C109)&amp;" ")-1),",","."),FIND("/",SUBSTITUTE(LEFT(TRIM(C109),FIND(" ",TRIM(C109)&amp;" ")-1),",","."))-1)/MID(SUBSTITUTE(LEFT(TRIM(C109),FIND(" ",TRIM(C109)&amp;" ")-1),",","."),FIND("/",SUBSTITUTE(LEFT(TRIM(C109),FIND(" ",TRIM(C109)&amp;" ")-1),",","."))+1,9)),IF(ISNUMBER(SEARCH("yea",C109)),IFERROR(_xlfn.NUMBERVALUE(SUBSTITUTE(LEFT(TRIM(C109),FIND(" ",TRIM(C109)&amp;" ")-1),",","."),"."),LEFT(SUBSTITUTE(LEFT(TRIM(C109),FIND(" ",TRIM(C109)&amp;" ")-1),",","."),FIND("/",SUBSTITUTE(LEFT(TRIM(C109),FIND(" ",TRIM(C109)&amp;" ")-1),",","."))-1)/MID(SUBSTITUTE(LEFT(TRIM(C109),FIND(" ",TRIM(C109)&amp;" ")-1),",","."),FIND("/",SUBSTITUTE(LEFT(TRIM(C109),FIND(" ",TRIM(C109)&amp;" ")-1),",","."))+1,9))*12,NA()))),0),12)*'Aturan &amp; Tarif'!$B$4,2)</f>
        <v>681.36</v>
      </c>
      <c r="K109" s="42" t="n">
        <f aca="false">'Aturan &amp; Tarif'!$B$5</f>
        <v>2050</v>
      </c>
      <c r="L109" s="42" t="n">
        <f aca="false">'Aturan &amp; Tarif'!$B$6</f>
        <v>350</v>
      </c>
      <c r="M109" s="35" t="n">
        <f aca="false">I109+J109+K109+L109</f>
        <v>14641.36</v>
      </c>
      <c r="N109" s="45" t="s">
        <v>318</v>
      </c>
    </row>
    <row r="110" customFormat="false" ht="25.5" hidden="false" customHeight="true" outlineLevel="0" collapsed="false">
      <c r="A110" s="39"/>
      <c r="B110" s="40" t="s">
        <v>419</v>
      </c>
      <c r="C110" s="41" t="s">
        <v>130</v>
      </c>
      <c r="D110" s="41" t="s">
        <v>108</v>
      </c>
      <c r="E110" s="42" t="n">
        <v>5000</v>
      </c>
      <c r="F110" s="42"/>
      <c r="G110" s="42"/>
      <c r="H110" s="43" t="n">
        <v>2</v>
      </c>
      <c r="I110" s="34" t="n">
        <f aca="false">E110*H110+N(F110)+N(G110)</f>
        <v>10000</v>
      </c>
      <c r="J110" s="42" t="n">
        <f aca="false">ROUND(IFERROR(ROUND(IF(OR(ISNUMBER(SEARCH("week",C110)),ISNUMBER(SEARCH("minggu",C110))),IFERROR(_xlfn.NUMBERVALUE(SUBSTITUTE(LEFT(TRIM(C110),FIND(" ",TRIM(C110)&amp;" ")-1),",","."),"."),LEFT(SUBSTITUTE(LEFT(TRIM(C110),FIND(" ",TRIM(C110)&amp;" ")-1),",","."),FIND("/",SUBSTITUTE(LEFT(TRIM(C110),FIND(" ",TRIM(C110)&amp;" ")-1),",","."))-1)/MID(SUBSTITUTE(LEFT(TRIM(C110),FIND(" ",TRIM(C110)&amp;" ")-1),",","."),FIND("/",SUBSTITUTE(LEFT(TRIM(C110),FIND(" ",TRIM(C110)&amp;" ")-1),",","."))+1,9))*12/52,IF(ISNUMBER(SEARCH("month",C110)),IFERROR(_xlfn.NUMBERVALUE(SUBSTITUTE(LEFT(TRIM(C110),FIND(" ",TRIM(C110)&amp;" ")-1),",","."),"."),LEFT(SUBSTITUTE(LEFT(TRIM(C110),FIND(" ",TRIM(C110)&amp;" ")-1),",","."),FIND("/",SUBSTITUTE(LEFT(TRIM(C110),FIND(" ",TRIM(C110)&amp;" ")-1),",","."))-1)/MID(SUBSTITUTE(LEFT(TRIM(C110),FIND(" ",TRIM(C110)&amp;" ")-1),",","."),FIND("/",SUBSTITUTE(LEFT(TRIM(C110),FIND(" ",TRIM(C110)&amp;" ")-1),",","."))+1,9)),IF(ISNUMBER(SEARCH("yea",C110)),IFERROR(_xlfn.NUMBERVALUE(SUBSTITUTE(LEFT(TRIM(C110),FIND(" ",TRIM(C110)&amp;" ")-1),",","."),"."),LEFT(SUBSTITUTE(LEFT(TRIM(C110),FIND(" ",TRIM(C110)&amp;" ")-1),",","."),FIND("/",SUBSTITUTE(LEFT(TRIM(C110),FIND(" ",TRIM(C110)&amp;" ")-1),",","."))-1)/MID(SUBSTITUTE(LEFT(TRIM(C110),FIND(" ",TRIM(C110)&amp;" ")-1),",","."),FIND("/",SUBSTITUTE(LEFT(TRIM(C110),FIND(" ",TRIM(C110)&amp;" ")-1),",","."))+1,9))*12,NA()))),0),12)*'Aturan &amp; Tarif'!$B$4,2)</f>
        <v>681.36</v>
      </c>
      <c r="K110" s="42" t="n">
        <f aca="false">'Aturan &amp; Tarif'!$B$5</f>
        <v>2050</v>
      </c>
      <c r="L110" s="42" t="n">
        <f aca="false">'Aturan &amp; Tarif'!$B$6</f>
        <v>350</v>
      </c>
      <c r="M110" s="35" t="n">
        <f aca="false">I110+J110+K110+L110</f>
        <v>13081.36</v>
      </c>
      <c r="N110" s="45" t="s">
        <v>318</v>
      </c>
    </row>
    <row r="111" customFormat="false" ht="37.5" hidden="false" customHeight="true" outlineLevel="0" collapsed="false">
      <c r="A111" s="29" t="s">
        <v>420</v>
      </c>
      <c r="B111" s="30" t="s">
        <v>115</v>
      </c>
      <c r="C111" s="31" t="s">
        <v>107</v>
      </c>
      <c r="D111" s="31" t="s">
        <v>108</v>
      </c>
      <c r="E111" s="32" t="n">
        <v>3000</v>
      </c>
      <c r="F111" s="32" t="n">
        <v>250</v>
      </c>
      <c r="G111" s="32" t="n">
        <v>250</v>
      </c>
      <c r="H111" s="33" t="n">
        <v>2</v>
      </c>
      <c r="I111" s="34" t="n">
        <f aca="false">E111*H111+N(F111)*H111+N(G111)</f>
        <v>6750</v>
      </c>
      <c r="J111" s="32" t="n">
        <f aca="false">ROUND(IFERROR(ROUND(IF(OR(ISNUMBER(SEARCH("week",C111)),ISNUMBER(SEARCH("minggu",C111))),IFERROR(_xlfn.NUMBERVALUE(SUBSTITUTE(LEFT(TRIM(C111),FIND(" ",TRIM(C111)&amp;" ")-1),",","."),"."),LEFT(SUBSTITUTE(LEFT(TRIM(C111),FIND(" ",TRIM(C111)&amp;" ")-1),",","."),FIND("/",SUBSTITUTE(LEFT(TRIM(C111),FIND(" ",TRIM(C111)&amp;" ")-1),",","."))-1)/MID(SUBSTITUTE(LEFT(TRIM(C111),FIND(" ",TRIM(C111)&amp;" ")-1),",","."),FIND("/",SUBSTITUTE(LEFT(TRIM(C111),FIND(" ",TRIM(C111)&amp;" ")-1),",","."))+1,9))*12/52,IF(ISNUMBER(SEARCH("month",C111)),IFERROR(_xlfn.NUMBERVALUE(SUBSTITUTE(LEFT(TRIM(C111),FIND(" ",TRIM(C111)&amp;" ")-1),",","."),"."),LEFT(SUBSTITUTE(LEFT(TRIM(C111),FIND(" ",TRIM(C111)&amp;" ")-1),",","."),FIND("/",SUBSTITUTE(LEFT(TRIM(C111),FIND(" ",TRIM(C111)&amp;" ")-1),",","."))-1)/MID(SUBSTITUTE(LEFT(TRIM(C111),FIND(" ",TRIM(C111)&amp;" ")-1),",","."),FIND("/",SUBSTITUTE(LEFT(TRIM(C111),FIND(" ",TRIM(C111)&amp;" ")-1),",","."))+1,9)),IF(ISNUMBER(SEARCH("yea",C111)),IFERROR(_xlfn.NUMBERVALUE(SUBSTITUTE(LEFT(TRIM(C111),FIND(" ",TRIM(C111)&amp;" ")-1),",","."),"."),LEFT(SUBSTITUTE(LEFT(TRIM(C111),FIND(" ",TRIM(C111)&amp;" ")-1),",","."),FIND("/",SUBSTITUTE(LEFT(TRIM(C111),FIND(" ",TRIM(C111)&amp;" ")-1),",","."))-1)/MID(SUBSTITUTE(LEFT(TRIM(C111),FIND(" ",TRIM(C111)&amp;" ")-1),",","."),FIND("/",SUBSTITUTE(LEFT(TRIM(C111),FIND(" ",TRIM(C111)&amp;" ")-1),",","."))+1,9))*12,NA()))),0),24)*'Aturan &amp; Tarif'!$B$4,2)</f>
        <v>1362.72</v>
      </c>
      <c r="K111" s="32" t="n">
        <f aca="false">'Aturan &amp; Tarif'!$B$5</f>
        <v>2050</v>
      </c>
      <c r="L111" s="32" t="n">
        <f aca="false">'Aturan &amp; Tarif'!$B$6</f>
        <v>350</v>
      </c>
      <c r="M111" s="35" t="n">
        <f aca="false">I111+J111+K111+L111</f>
        <v>10512.72</v>
      </c>
      <c r="N111" s="36" t="s">
        <v>421</v>
      </c>
    </row>
    <row r="112" customFormat="false" ht="25.5" hidden="false" customHeight="true" outlineLevel="0" collapsed="false">
      <c r="A112" s="29"/>
      <c r="B112" s="30" t="s">
        <v>422</v>
      </c>
      <c r="C112" s="31" t="s">
        <v>113</v>
      </c>
      <c r="D112" s="31" t="s">
        <v>108</v>
      </c>
      <c r="E112" s="32" t="n">
        <v>3875</v>
      </c>
      <c r="F112" s="32" t="n">
        <v>375</v>
      </c>
      <c r="G112" s="32" t="n">
        <v>250</v>
      </c>
      <c r="H112" s="33" t="n">
        <v>2</v>
      </c>
      <c r="I112" s="34" t="n">
        <f aca="false">E112*H112+N(F112)*H112+N(G112)</f>
        <v>8750</v>
      </c>
      <c r="J112" s="32" t="n">
        <f aca="false">ROUND(IFERROR(ROUND(IF(OR(ISNUMBER(SEARCH("week",C112)),ISNUMBER(SEARCH("minggu",C112))),IFERROR(_xlfn.NUMBERVALUE(SUBSTITUTE(LEFT(TRIM(C112),FIND(" ",TRIM(C112)&amp;" ")-1),",","."),"."),LEFT(SUBSTITUTE(LEFT(TRIM(C112),FIND(" ",TRIM(C112)&amp;" ")-1),",","."),FIND("/",SUBSTITUTE(LEFT(TRIM(C112),FIND(" ",TRIM(C112)&amp;" ")-1),",","."))-1)/MID(SUBSTITUTE(LEFT(TRIM(C112),FIND(" ",TRIM(C112)&amp;" ")-1),",","."),FIND("/",SUBSTITUTE(LEFT(TRIM(C112),FIND(" ",TRIM(C112)&amp;" ")-1),",","."))+1,9))*12/52,IF(ISNUMBER(SEARCH("month",C112)),IFERROR(_xlfn.NUMBERVALUE(SUBSTITUTE(LEFT(TRIM(C112),FIND(" ",TRIM(C112)&amp;" ")-1),",","."),"."),LEFT(SUBSTITUTE(LEFT(TRIM(C112),FIND(" ",TRIM(C112)&amp;" ")-1),",","."),FIND("/",SUBSTITUTE(LEFT(TRIM(C112),FIND(" ",TRIM(C112)&amp;" ")-1),",","."))-1)/MID(SUBSTITUTE(LEFT(TRIM(C112),FIND(" ",TRIM(C112)&amp;" ")-1),",","."),FIND("/",SUBSTITUTE(LEFT(TRIM(C112),FIND(" ",TRIM(C112)&amp;" ")-1),",","."))+1,9)),IF(ISNUMBER(SEARCH("yea",C112)),IFERROR(_xlfn.NUMBERVALUE(SUBSTITUTE(LEFT(TRIM(C112),FIND(" ",TRIM(C112)&amp;" ")-1),",","."),"."),LEFT(SUBSTITUTE(LEFT(TRIM(C112),FIND(" ",TRIM(C112)&amp;" ")-1),",","."),FIND("/",SUBSTITUTE(LEFT(TRIM(C112),FIND(" ",TRIM(C112)&amp;" ")-1),",","."))-1)/MID(SUBSTITUTE(LEFT(TRIM(C112),FIND(" ",TRIM(C112)&amp;" ")-1),",","."),FIND("/",SUBSTITUTE(LEFT(TRIM(C112),FIND(" ",TRIM(C112)&amp;" ")-1),",","."))+1,9))*12,NA()))),0),18)*'Aturan &amp; Tarif'!$B$4,2)</f>
        <v>1022.04</v>
      </c>
      <c r="K112" s="32" t="n">
        <f aca="false">'Aturan &amp; Tarif'!$B$5</f>
        <v>2050</v>
      </c>
      <c r="L112" s="32" t="n">
        <f aca="false">'Aturan &amp; Tarif'!$B$6</f>
        <v>350</v>
      </c>
      <c r="M112" s="35" t="n">
        <f aca="false">I112+J112+K112+L112</f>
        <v>12172.04</v>
      </c>
      <c r="N112" s="36" t="s">
        <v>423</v>
      </c>
    </row>
    <row r="113" customFormat="false" ht="25.5" hidden="false" customHeight="true" outlineLevel="0" collapsed="false">
      <c r="A113" s="29"/>
      <c r="B113" s="30" t="s">
        <v>424</v>
      </c>
      <c r="C113" s="31" t="s">
        <v>107</v>
      </c>
      <c r="D113" s="31" t="s">
        <v>108</v>
      </c>
      <c r="E113" s="32" t="n">
        <v>4157</v>
      </c>
      <c r="F113" s="32" t="n">
        <v>375</v>
      </c>
      <c r="G113" s="32" t="n">
        <v>250</v>
      </c>
      <c r="H113" s="33" t="n">
        <v>2</v>
      </c>
      <c r="I113" s="34" t="n">
        <f aca="false">E113*H113+N(F113)*H113+N(G113)</f>
        <v>9314</v>
      </c>
      <c r="J113" s="32" t="n">
        <f aca="false">ROUND(IFERROR(ROUND(IF(OR(ISNUMBER(SEARCH("week",C113)),ISNUMBER(SEARCH("minggu",C113))),IFERROR(_xlfn.NUMBERVALUE(SUBSTITUTE(LEFT(TRIM(C113),FIND(" ",TRIM(C113)&amp;" ")-1),",","."),"."),LEFT(SUBSTITUTE(LEFT(TRIM(C113),FIND(" ",TRIM(C113)&amp;" ")-1),",","."),FIND("/",SUBSTITUTE(LEFT(TRIM(C113),FIND(" ",TRIM(C113)&amp;" ")-1),",","."))-1)/MID(SUBSTITUTE(LEFT(TRIM(C113),FIND(" ",TRIM(C113)&amp;" ")-1),",","."),FIND("/",SUBSTITUTE(LEFT(TRIM(C113),FIND(" ",TRIM(C113)&amp;" ")-1),",","."))+1,9))*12/52,IF(ISNUMBER(SEARCH("month",C113)),IFERROR(_xlfn.NUMBERVALUE(SUBSTITUTE(LEFT(TRIM(C113),FIND(" ",TRIM(C113)&amp;" ")-1),",","."),"."),LEFT(SUBSTITUTE(LEFT(TRIM(C113),FIND(" ",TRIM(C113)&amp;" ")-1),",","."),FIND("/",SUBSTITUTE(LEFT(TRIM(C113),FIND(" ",TRIM(C113)&amp;" ")-1),",","."))-1)/MID(SUBSTITUTE(LEFT(TRIM(C113),FIND(" ",TRIM(C113)&amp;" ")-1),",","."),FIND("/",SUBSTITUTE(LEFT(TRIM(C113),FIND(" ",TRIM(C113)&amp;" ")-1),",","."))+1,9)),IF(ISNUMBER(SEARCH("yea",C113)),IFERROR(_xlfn.NUMBERVALUE(SUBSTITUTE(LEFT(TRIM(C113),FIND(" ",TRIM(C113)&amp;" ")-1),",","."),"."),LEFT(SUBSTITUTE(LEFT(TRIM(C113),FIND(" ",TRIM(C113)&amp;" ")-1),",","."),FIND("/",SUBSTITUTE(LEFT(TRIM(C113),FIND(" ",TRIM(C113)&amp;" ")-1),",","."))-1)/MID(SUBSTITUTE(LEFT(TRIM(C113),FIND(" ",TRIM(C113)&amp;" ")-1),",","."),FIND("/",SUBSTITUTE(LEFT(TRIM(C113),FIND(" ",TRIM(C113)&amp;" ")-1),",","."))+1,9))*12,NA()))),0),24)*'Aturan &amp; Tarif'!$B$4,2)</f>
        <v>1362.72</v>
      </c>
      <c r="K113" s="32" t="n">
        <f aca="false">'Aturan &amp; Tarif'!$B$5</f>
        <v>2050</v>
      </c>
      <c r="L113" s="32" t="n">
        <f aca="false">'Aturan &amp; Tarif'!$B$6</f>
        <v>350</v>
      </c>
      <c r="M113" s="35" t="n">
        <f aca="false">I113+J113+K113+L113</f>
        <v>13076.72</v>
      </c>
      <c r="N113" s="36" t="s">
        <v>425</v>
      </c>
    </row>
    <row r="114" customFormat="false" ht="25.5" hidden="false" customHeight="true" outlineLevel="0" collapsed="false">
      <c r="A114" s="29"/>
      <c r="B114" s="30" t="s">
        <v>426</v>
      </c>
      <c r="C114" s="31" t="s">
        <v>127</v>
      </c>
      <c r="D114" s="31" t="s">
        <v>108</v>
      </c>
      <c r="E114" s="32" t="n">
        <v>3605</v>
      </c>
      <c r="F114" s="32" t="n">
        <v>375</v>
      </c>
      <c r="G114" s="32" t="n">
        <v>250</v>
      </c>
      <c r="H114" s="33" t="n">
        <v>2</v>
      </c>
      <c r="I114" s="34" t="n">
        <f aca="false">E114*H114+N(F114)*H114+N(G114)</f>
        <v>8210</v>
      </c>
      <c r="J114" s="32" t="n">
        <f aca="false">ROUND(IFERROR(ROUND(IF(OR(ISNUMBER(SEARCH("week",C114)),ISNUMBER(SEARCH("minggu",C114))),IFERROR(_xlfn.NUMBERVALUE(SUBSTITUTE(LEFT(TRIM(C114),FIND(" ",TRIM(C114)&amp;" ")-1),",","."),"."),LEFT(SUBSTITUTE(LEFT(TRIM(C114),FIND(" ",TRIM(C114)&amp;" ")-1),",","."),FIND("/",SUBSTITUTE(LEFT(TRIM(C114),FIND(" ",TRIM(C114)&amp;" ")-1),",","."))-1)/MID(SUBSTITUTE(LEFT(TRIM(C114),FIND(" ",TRIM(C114)&amp;" ")-1),",","."),FIND("/",SUBSTITUTE(LEFT(TRIM(C114),FIND(" ",TRIM(C114)&amp;" ")-1),",","."))+1,9))*12/52,IF(ISNUMBER(SEARCH("month",C114)),IFERROR(_xlfn.NUMBERVALUE(SUBSTITUTE(LEFT(TRIM(C114),FIND(" ",TRIM(C114)&amp;" ")-1),",","."),"."),LEFT(SUBSTITUTE(LEFT(TRIM(C114),FIND(" ",TRIM(C114)&amp;" ")-1),",","."),FIND("/",SUBSTITUTE(LEFT(TRIM(C114),FIND(" ",TRIM(C114)&amp;" ")-1),",","."))-1)/MID(SUBSTITUTE(LEFT(TRIM(C114),FIND(" ",TRIM(C114)&amp;" ")-1),",","."),FIND("/",SUBSTITUTE(LEFT(TRIM(C114),FIND(" ",TRIM(C114)&amp;" ")-1),",","."))+1,9)),IF(ISNUMBER(SEARCH("yea",C114)),IFERROR(_xlfn.NUMBERVALUE(SUBSTITUTE(LEFT(TRIM(C114),FIND(" ",TRIM(C114)&amp;" ")-1),",","."),"."),LEFT(SUBSTITUTE(LEFT(TRIM(C114),FIND(" ",TRIM(C114)&amp;" ")-1),",","."),FIND("/",SUBSTITUTE(LEFT(TRIM(C114),FIND(" ",TRIM(C114)&amp;" ")-1),",","."))-1)/MID(SUBSTITUTE(LEFT(TRIM(C114),FIND(" ",TRIM(C114)&amp;" ")-1),",","."),FIND("/",SUBSTITUTE(LEFT(TRIM(C114),FIND(" ",TRIM(C114)&amp;" ")-1),",","."))+1,9))*12,NA()))),0),36)*'Aturan &amp; Tarif'!$B$4,2)</f>
        <v>2044.08</v>
      </c>
      <c r="K114" s="32" t="n">
        <f aca="false">'Aturan &amp; Tarif'!$B$5</f>
        <v>2050</v>
      </c>
      <c r="L114" s="32" t="n">
        <f aca="false">'Aturan &amp; Tarif'!$B$6</f>
        <v>350</v>
      </c>
      <c r="M114" s="35" t="n">
        <f aca="false">I114+J114+K114+L114</f>
        <v>12654.08</v>
      </c>
      <c r="N114" s="36" t="s">
        <v>427</v>
      </c>
    </row>
    <row r="115" customFormat="false" ht="25.5" hidden="false" customHeight="true" outlineLevel="0" collapsed="false">
      <c r="A115" s="29"/>
      <c r="B115" s="30" t="s">
        <v>428</v>
      </c>
      <c r="C115" s="31" t="s">
        <v>107</v>
      </c>
      <c r="D115" s="31" t="s">
        <v>108</v>
      </c>
      <c r="E115" s="32" t="n">
        <v>2875</v>
      </c>
      <c r="F115" s="32" t="n">
        <v>110</v>
      </c>
      <c r="G115" s="32" t="n">
        <v>250</v>
      </c>
      <c r="H115" s="33" t="n">
        <v>2</v>
      </c>
      <c r="I115" s="34" t="n">
        <f aca="false">E115*H115+N(F115)*H115+N(G115)</f>
        <v>6220</v>
      </c>
      <c r="J115" s="32" t="n">
        <f aca="false">ROUND(IFERROR(ROUND(IF(OR(ISNUMBER(SEARCH("week",C115)),ISNUMBER(SEARCH("minggu",C115))),IFERROR(_xlfn.NUMBERVALUE(SUBSTITUTE(LEFT(TRIM(C115),FIND(" ",TRIM(C115)&amp;" ")-1),",","."),"."),LEFT(SUBSTITUTE(LEFT(TRIM(C115),FIND(" ",TRIM(C115)&amp;" ")-1),",","."),FIND("/",SUBSTITUTE(LEFT(TRIM(C115),FIND(" ",TRIM(C115)&amp;" ")-1),",","."))-1)/MID(SUBSTITUTE(LEFT(TRIM(C115),FIND(" ",TRIM(C115)&amp;" ")-1),",","."),FIND("/",SUBSTITUTE(LEFT(TRIM(C115),FIND(" ",TRIM(C115)&amp;" ")-1),",","."))+1,9))*12/52,IF(ISNUMBER(SEARCH("month",C115)),IFERROR(_xlfn.NUMBERVALUE(SUBSTITUTE(LEFT(TRIM(C115),FIND(" ",TRIM(C115)&amp;" ")-1),",","."),"."),LEFT(SUBSTITUTE(LEFT(TRIM(C115),FIND(" ",TRIM(C115)&amp;" ")-1),",","."),FIND("/",SUBSTITUTE(LEFT(TRIM(C115),FIND(" ",TRIM(C115)&amp;" ")-1),",","."))-1)/MID(SUBSTITUTE(LEFT(TRIM(C115),FIND(" ",TRIM(C115)&amp;" ")-1),",","."),FIND("/",SUBSTITUTE(LEFT(TRIM(C115),FIND(" ",TRIM(C115)&amp;" ")-1),",","."))+1,9)),IF(ISNUMBER(SEARCH("yea",C115)),IFERROR(_xlfn.NUMBERVALUE(SUBSTITUTE(LEFT(TRIM(C115),FIND(" ",TRIM(C115)&amp;" ")-1),",","."),"."),LEFT(SUBSTITUTE(LEFT(TRIM(C115),FIND(" ",TRIM(C115)&amp;" ")-1),",","."),FIND("/",SUBSTITUTE(LEFT(TRIM(C115),FIND(" ",TRIM(C115)&amp;" ")-1),",","."))-1)/MID(SUBSTITUTE(LEFT(TRIM(C115),FIND(" ",TRIM(C115)&amp;" ")-1),",","."),FIND("/",SUBSTITUTE(LEFT(TRIM(C115),FIND(" ",TRIM(C115)&amp;" ")-1),",","."))+1,9))*12,NA()))),0),24)*'Aturan &amp; Tarif'!$B$4,2)</f>
        <v>1362.72</v>
      </c>
      <c r="K115" s="32" t="n">
        <f aca="false">'Aturan &amp; Tarif'!$B$5</f>
        <v>2050</v>
      </c>
      <c r="L115" s="32" t="n">
        <f aca="false">'Aturan &amp; Tarif'!$B$6</f>
        <v>350</v>
      </c>
      <c r="M115" s="35" t="n">
        <f aca="false">I115+J115+K115+L115</f>
        <v>9982.72</v>
      </c>
      <c r="N115" s="36" t="s">
        <v>429</v>
      </c>
    </row>
    <row r="116" customFormat="false" ht="25.5" hidden="false" customHeight="true" outlineLevel="0" collapsed="false">
      <c r="A116" s="29"/>
      <c r="B116" s="30" t="s">
        <v>430</v>
      </c>
      <c r="C116" s="31" t="s">
        <v>127</v>
      </c>
      <c r="D116" s="31" t="s">
        <v>108</v>
      </c>
      <c r="E116" s="32" t="n">
        <v>2835</v>
      </c>
      <c r="F116" s="32" t="n">
        <v>2000</v>
      </c>
      <c r="G116" s="32" t="n">
        <v>250</v>
      </c>
      <c r="H116" s="33" t="n">
        <v>2</v>
      </c>
      <c r="I116" s="34" t="n">
        <f aca="false">E116*H116+N(F116)+N(G116)</f>
        <v>7920</v>
      </c>
      <c r="J116" s="32" t="n">
        <f aca="false">ROUND(IFERROR(ROUND(IF(OR(ISNUMBER(SEARCH("week",C116)),ISNUMBER(SEARCH("minggu",C116))),IFERROR(_xlfn.NUMBERVALUE(SUBSTITUTE(LEFT(TRIM(C116),FIND(" ",TRIM(C116)&amp;" ")-1),",","."),"."),LEFT(SUBSTITUTE(LEFT(TRIM(C116),FIND(" ",TRIM(C116)&amp;" ")-1),",","."),FIND("/",SUBSTITUTE(LEFT(TRIM(C116),FIND(" ",TRIM(C116)&amp;" ")-1),",","."))-1)/MID(SUBSTITUTE(LEFT(TRIM(C116),FIND(" ",TRIM(C116)&amp;" ")-1),",","."),FIND("/",SUBSTITUTE(LEFT(TRIM(C116),FIND(" ",TRIM(C116)&amp;" ")-1),",","."))+1,9))*12/52,IF(ISNUMBER(SEARCH("month",C116)),IFERROR(_xlfn.NUMBERVALUE(SUBSTITUTE(LEFT(TRIM(C116),FIND(" ",TRIM(C116)&amp;" ")-1),",","."),"."),LEFT(SUBSTITUTE(LEFT(TRIM(C116),FIND(" ",TRIM(C116)&amp;" ")-1),",","."),FIND("/",SUBSTITUTE(LEFT(TRIM(C116),FIND(" ",TRIM(C116)&amp;" ")-1),",","."))-1)/MID(SUBSTITUTE(LEFT(TRIM(C116),FIND(" ",TRIM(C116)&amp;" ")-1),",","."),FIND("/",SUBSTITUTE(LEFT(TRIM(C116),FIND(" ",TRIM(C116)&amp;" ")-1),",","."))+1,9)),IF(ISNUMBER(SEARCH("yea",C116)),IFERROR(_xlfn.NUMBERVALUE(SUBSTITUTE(LEFT(TRIM(C116),FIND(" ",TRIM(C116)&amp;" ")-1),",","."),"."),LEFT(SUBSTITUTE(LEFT(TRIM(C116),FIND(" ",TRIM(C116)&amp;" ")-1),",","."),FIND("/",SUBSTITUTE(LEFT(TRIM(C116),FIND(" ",TRIM(C116)&amp;" ")-1),",","."))-1)/MID(SUBSTITUTE(LEFT(TRIM(C116),FIND(" ",TRIM(C116)&amp;" ")-1),",","."),FIND("/",SUBSTITUTE(LEFT(TRIM(C116),FIND(" ",TRIM(C116)&amp;" ")-1),",","."))+1,9))*12,NA()))),0),36)*'Aturan &amp; Tarif'!$B$4,2)</f>
        <v>2044.08</v>
      </c>
      <c r="K116" s="32" t="n">
        <f aca="false">'Aturan &amp; Tarif'!$B$5</f>
        <v>2050</v>
      </c>
      <c r="L116" s="32" t="n">
        <f aca="false">'Aturan &amp; Tarif'!$B$6</f>
        <v>350</v>
      </c>
      <c r="M116" s="35" t="n">
        <f aca="false">I116+J116+K116+L116</f>
        <v>12364.08</v>
      </c>
      <c r="N116" s="37" t="s">
        <v>431</v>
      </c>
    </row>
    <row r="117" customFormat="false" ht="25.5" hidden="false" customHeight="true" outlineLevel="0" collapsed="false">
      <c r="A117" s="29"/>
      <c r="B117" s="30" t="s">
        <v>432</v>
      </c>
      <c r="C117" s="31" t="s">
        <v>127</v>
      </c>
      <c r="D117" s="31" t="s">
        <v>108</v>
      </c>
      <c r="E117" s="32" t="n">
        <v>2170</v>
      </c>
      <c r="F117" s="32" t="n">
        <v>2400</v>
      </c>
      <c r="G117" s="32" t="n">
        <v>250</v>
      </c>
      <c r="H117" s="33" t="n">
        <v>2</v>
      </c>
      <c r="I117" s="34" t="n">
        <f aca="false">E117*H117+N(F117)+N(G117)</f>
        <v>6990</v>
      </c>
      <c r="J117" s="32" t="n">
        <f aca="false">ROUND(IFERROR(ROUND(IF(OR(ISNUMBER(SEARCH("week",C117)),ISNUMBER(SEARCH("minggu",C117))),IFERROR(_xlfn.NUMBERVALUE(SUBSTITUTE(LEFT(TRIM(C117),FIND(" ",TRIM(C117)&amp;" ")-1),",","."),"."),LEFT(SUBSTITUTE(LEFT(TRIM(C117),FIND(" ",TRIM(C117)&amp;" ")-1),",","."),FIND("/",SUBSTITUTE(LEFT(TRIM(C117),FIND(" ",TRIM(C117)&amp;" ")-1),",","."))-1)/MID(SUBSTITUTE(LEFT(TRIM(C117),FIND(" ",TRIM(C117)&amp;" ")-1),",","."),FIND("/",SUBSTITUTE(LEFT(TRIM(C117),FIND(" ",TRIM(C117)&amp;" ")-1),",","."))+1,9))*12/52,IF(ISNUMBER(SEARCH("month",C117)),IFERROR(_xlfn.NUMBERVALUE(SUBSTITUTE(LEFT(TRIM(C117),FIND(" ",TRIM(C117)&amp;" ")-1),",","."),"."),LEFT(SUBSTITUTE(LEFT(TRIM(C117),FIND(" ",TRIM(C117)&amp;" ")-1),",","."),FIND("/",SUBSTITUTE(LEFT(TRIM(C117),FIND(" ",TRIM(C117)&amp;" ")-1),",","."))-1)/MID(SUBSTITUTE(LEFT(TRIM(C117),FIND(" ",TRIM(C117)&amp;" ")-1),",","."),FIND("/",SUBSTITUTE(LEFT(TRIM(C117),FIND(" ",TRIM(C117)&amp;" ")-1),",","."))+1,9)),IF(ISNUMBER(SEARCH("yea",C117)),IFERROR(_xlfn.NUMBERVALUE(SUBSTITUTE(LEFT(TRIM(C117),FIND(" ",TRIM(C117)&amp;" ")-1),",","."),"."),LEFT(SUBSTITUTE(LEFT(TRIM(C117),FIND(" ",TRIM(C117)&amp;" ")-1),",","."),FIND("/",SUBSTITUTE(LEFT(TRIM(C117),FIND(" ",TRIM(C117)&amp;" ")-1),",","."))-1)/MID(SUBSTITUTE(LEFT(TRIM(C117),FIND(" ",TRIM(C117)&amp;" ")-1),",","."),FIND("/",SUBSTITUTE(LEFT(TRIM(C117),FIND(" ",TRIM(C117)&amp;" ")-1),",","."))+1,9))*12,NA()))),0),36)*'Aturan &amp; Tarif'!$B$4,2)</f>
        <v>2044.08</v>
      </c>
      <c r="K117" s="32" t="n">
        <f aca="false">'Aturan &amp; Tarif'!$B$5</f>
        <v>2050</v>
      </c>
      <c r="L117" s="32" t="n">
        <f aca="false">'Aturan &amp; Tarif'!$B$6</f>
        <v>350</v>
      </c>
      <c r="M117" s="35" t="n">
        <f aca="false">I117+J117+K117+L117</f>
        <v>11434.08</v>
      </c>
      <c r="N117" s="37" t="s">
        <v>433</v>
      </c>
    </row>
    <row r="118" customFormat="false" ht="14.25" hidden="false" customHeight="true" outlineLevel="0" collapsed="false">
      <c r="A118" s="29"/>
      <c r="B118" s="30" t="s">
        <v>434</v>
      </c>
      <c r="C118" s="31" t="s">
        <v>107</v>
      </c>
      <c r="D118" s="31" t="s">
        <v>108</v>
      </c>
      <c r="E118" s="32" t="n">
        <v>1875</v>
      </c>
      <c r="F118" s="32" t="n">
        <v>600</v>
      </c>
      <c r="G118" s="32" t="n">
        <v>250</v>
      </c>
      <c r="H118" s="33" t="n">
        <v>2</v>
      </c>
      <c r="I118" s="34" t="n">
        <f aca="false">E118*H118+N(F118)+N(G118)</f>
        <v>4600</v>
      </c>
      <c r="J118" s="32" t="n">
        <f aca="false">ROUND(IFERROR(ROUND(IF(OR(ISNUMBER(SEARCH("week",C118)),ISNUMBER(SEARCH("minggu",C118))),IFERROR(_xlfn.NUMBERVALUE(SUBSTITUTE(LEFT(TRIM(C118),FIND(" ",TRIM(C118)&amp;" ")-1),",","."),"."),LEFT(SUBSTITUTE(LEFT(TRIM(C118),FIND(" ",TRIM(C118)&amp;" ")-1),",","."),FIND("/",SUBSTITUTE(LEFT(TRIM(C118),FIND(" ",TRIM(C118)&amp;" ")-1),",","."))-1)/MID(SUBSTITUTE(LEFT(TRIM(C118),FIND(" ",TRIM(C118)&amp;" ")-1),",","."),FIND("/",SUBSTITUTE(LEFT(TRIM(C118),FIND(" ",TRIM(C118)&amp;" ")-1),",","."))+1,9))*12/52,IF(ISNUMBER(SEARCH("month",C118)),IFERROR(_xlfn.NUMBERVALUE(SUBSTITUTE(LEFT(TRIM(C118),FIND(" ",TRIM(C118)&amp;" ")-1),",","."),"."),LEFT(SUBSTITUTE(LEFT(TRIM(C118),FIND(" ",TRIM(C118)&amp;" ")-1),",","."),FIND("/",SUBSTITUTE(LEFT(TRIM(C118),FIND(" ",TRIM(C118)&amp;" ")-1),",","."))-1)/MID(SUBSTITUTE(LEFT(TRIM(C118),FIND(" ",TRIM(C118)&amp;" ")-1),",","."),FIND("/",SUBSTITUTE(LEFT(TRIM(C118),FIND(" ",TRIM(C118)&amp;" ")-1),",","."))+1,9)),IF(ISNUMBER(SEARCH("yea",C118)),IFERROR(_xlfn.NUMBERVALUE(SUBSTITUTE(LEFT(TRIM(C118),FIND(" ",TRIM(C118)&amp;" ")-1),",","."),"."),LEFT(SUBSTITUTE(LEFT(TRIM(C118),FIND(" ",TRIM(C118)&amp;" ")-1),",","."),FIND("/",SUBSTITUTE(LEFT(TRIM(C118),FIND(" ",TRIM(C118)&amp;" ")-1),",","."))-1)/MID(SUBSTITUTE(LEFT(TRIM(C118),FIND(" ",TRIM(C118)&amp;" ")-1),",","."),FIND("/",SUBSTITUTE(LEFT(TRIM(C118),FIND(" ",TRIM(C118)&amp;" ")-1),",","."))+1,9))*12,NA()))),0),24)*'Aturan &amp; Tarif'!$B$4,2)</f>
        <v>1362.72</v>
      </c>
      <c r="K118" s="32" t="n">
        <f aca="false">'Aturan &amp; Tarif'!$B$5</f>
        <v>2050</v>
      </c>
      <c r="L118" s="32" t="n">
        <f aca="false">'Aturan &amp; Tarif'!$B$6</f>
        <v>350</v>
      </c>
      <c r="M118" s="35" t="n">
        <f aca="false">I118+J118+K118+L118</f>
        <v>8362.72</v>
      </c>
      <c r="N118" s="37" t="s">
        <v>435</v>
      </c>
    </row>
    <row r="119" customFormat="false" ht="25.5" hidden="false" customHeight="true" outlineLevel="0" collapsed="false">
      <c r="A119" s="29"/>
      <c r="B119" s="30" t="s">
        <v>436</v>
      </c>
      <c r="C119" s="31" t="s">
        <v>127</v>
      </c>
      <c r="D119" s="31" t="s">
        <v>108</v>
      </c>
      <c r="E119" s="32" t="n">
        <v>2170</v>
      </c>
      <c r="F119" s="32" t="n">
        <v>1050</v>
      </c>
      <c r="G119" s="32" t="n">
        <v>250</v>
      </c>
      <c r="H119" s="33" t="n">
        <v>2</v>
      </c>
      <c r="I119" s="34" t="n">
        <f aca="false">E119*H119+N(F119)+N(G119)</f>
        <v>5640</v>
      </c>
      <c r="J119" s="32" t="n">
        <f aca="false">ROUND(IFERROR(ROUND(IF(OR(ISNUMBER(SEARCH("week",C119)),ISNUMBER(SEARCH("minggu",C119))),IFERROR(_xlfn.NUMBERVALUE(SUBSTITUTE(LEFT(TRIM(C119),FIND(" ",TRIM(C119)&amp;" ")-1),",","."),"."),LEFT(SUBSTITUTE(LEFT(TRIM(C119),FIND(" ",TRIM(C119)&amp;" ")-1),",","."),FIND("/",SUBSTITUTE(LEFT(TRIM(C119),FIND(" ",TRIM(C119)&amp;" ")-1),",","."))-1)/MID(SUBSTITUTE(LEFT(TRIM(C119),FIND(" ",TRIM(C119)&amp;" ")-1),",","."),FIND("/",SUBSTITUTE(LEFT(TRIM(C119),FIND(" ",TRIM(C119)&amp;" ")-1),",","."))+1,9))*12/52,IF(ISNUMBER(SEARCH("month",C119)),IFERROR(_xlfn.NUMBERVALUE(SUBSTITUTE(LEFT(TRIM(C119),FIND(" ",TRIM(C119)&amp;" ")-1),",","."),"."),LEFT(SUBSTITUTE(LEFT(TRIM(C119),FIND(" ",TRIM(C119)&amp;" ")-1),",","."),FIND("/",SUBSTITUTE(LEFT(TRIM(C119),FIND(" ",TRIM(C119)&amp;" ")-1),",","."))-1)/MID(SUBSTITUTE(LEFT(TRIM(C119),FIND(" ",TRIM(C119)&amp;" ")-1),",","."),FIND("/",SUBSTITUTE(LEFT(TRIM(C119),FIND(" ",TRIM(C119)&amp;" ")-1),",","."))+1,9)),IF(ISNUMBER(SEARCH("yea",C119)),IFERROR(_xlfn.NUMBERVALUE(SUBSTITUTE(LEFT(TRIM(C119),FIND(" ",TRIM(C119)&amp;" ")-1),",","."),"."),LEFT(SUBSTITUTE(LEFT(TRIM(C119),FIND(" ",TRIM(C119)&amp;" ")-1),",","."),FIND("/",SUBSTITUTE(LEFT(TRIM(C119),FIND(" ",TRIM(C119)&amp;" ")-1),",","."))-1)/MID(SUBSTITUTE(LEFT(TRIM(C119),FIND(" ",TRIM(C119)&amp;" ")-1),",","."),FIND("/",SUBSTITUTE(LEFT(TRIM(C119),FIND(" ",TRIM(C119)&amp;" ")-1),",","."))+1,9))*12,NA()))),0),36)*'Aturan &amp; Tarif'!$B$4,2)</f>
        <v>2044.08</v>
      </c>
      <c r="K119" s="32" t="n">
        <f aca="false">'Aturan &amp; Tarif'!$B$5</f>
        <v>2050</v>
      </c>
      <c r="L119" s="32" t="n">
        <f aca="false">'Aturan &amp; Tarif'!$B$6</f>
        <v>350</v>
      </c>
      <c r="M119" s="35" t="n">
        <f aca="false">I119+J119+K119+L119</f>
        <v>10084.08</v>
      </c>
      <c r="N119" s="37" t="s">
        <v>435</v>
      </c>
    </row>
    <row r="120" customFormat="false" ht="32.25" hidden="false" customHeight="true" outlineLevel="0" collapsed="false">
      <c r="A120" s="46" t="s">
        <v>437</v>
      </c>
      <c r="B120" s="30" t="s">
        <v>438</v>
      </c>
      <c r="C120" s="31" t="s">
        <v>127</v>
      </c>
      <c r="D120" s="31" t="s">
        <v>439</v>
      </c>
      <c r="E120" s="32" t="n">
        <v>12760</v>
      </c>
      <c r="F120" s="32"/>
      <c r="G120" s="32" t="n">
        <v>192</v>
      </c>
      <c r="H120" s="33" t="n">
        <v>1</v>
      </c>
      <c r="I120" s="34" t="n">
        <f aca="false">E120*H120+N(F120)+N(G120)</f>
        <v>12952</v>
      </c>
      <c r="J120" s="32" t="n">
        <f aca="false">ROUND(IFERROR(ROUND(IF(OR(ISNUMBER(SEARCH("week",C120)),ISNUMBER(SEARCH("minggu",C120))),IFERROR(_xlfn.NUMBERVALUE(SUBSTITUTE(LEFT(TRIM(C120),FIND(" ",TRIM(C120)&amp;" ")-1),",","."),"."),LEFT(SUBSTITUTE(LEFT(TRIM(C120),FIND(" ",TRIM(C120)&amp;" ")-1),",","."),FIND("/",SUBSTITUTE(LEFT(TRIM(C120),FIND(" ",TRIM(C120)&amp;" ")-1),",","."))-1)/MID(SUBSTITUTE(LEFT(TRIM(C120),FIND(" ",TRIM(C120)&amp;" ")-1),",","."),FIND("/",SUBSTITUTE(LEFT(TRIM(C120),FIND(" ",TRIM(C120)&amp;" ")-1),",","."))+1,9))*12/52,IF(ISNUMBER(SEARCH("month",C120)),IFERROR(_xlfn.NUMBERVALUE(SUBSTITUTE(LEFT(TRIM(C120),FIND(" ",TRIM(C120)&amp;" ")-1),",","."),"."),LEFT(SUBSTITUTE(LEFT(TRIM(C120),FIND(" ",TRIM(C120)&amp;" ")-1),",","."),FIND("/",SUBSTITUTE(LEFT(TRIM(C120),FIND(" ",TRIM(C120)&amp;" ")-1),",","."))-1)/MID(SUBSTITUTE(LEFT(TRIM(C120),FIND(" ",TRIM(C120)&amp;" ")-1),",","."),FIND("/",SUBSTITUTE(LEFT(TRIM(C120),FIND(" ",TRIM(C120)&amp;" ")-1),",","."))+1,9)),IF(ISNUMBER(SEARCH("yea",C120)),IFERROR(_xlfn.NUMBERVALUE(SUBSTITUTE(LEFT(TRIM(C120),FIND(" ",TRIM(C120)&amp;" ")-1),",","."),"."),LEFT(SUBSTITUTE(LEFT(TRIM(C120),FIND(" ",TRIM(C120)&amp;" ")-1),",","."),FIND("/",SUBSTITUTE(LEFT(TRIM(C120),FIND(" ",TRIM(C120)&amp;" ")-1),",","."))-1)/MID(SUBSTITUTE(LEFT(TRIM(C120),FIND(" ",TRIM(C120)&amp;" ")-1),",","."),FIND("/",SUBSTITUTE(LEFT(TRIM(C120),FIND(" ",TRIM(C120)&amp;" ")-1),",","."))+1,9))*12,NA()))),0),36)*'Aturan &amp; Tarif'!$B$4,2)</f>
        <v>2044.08</v>
      </c>
      <c r="K120" s="32" t="n">
        <f aca="false">'Aturan &amp; Tarif'!$B$5</f>
        <v>2050</v>
      </c>
      <c r="L120" s="32" t="n">
        <f aca="false">'Aturan &amp; Tarif'!$B$6</f>
        <v>350</v>
      </c>
      <c r="M120" s="35" t="n">
        <f aca="false">I120+J120+K120+L120</f>
        <v>17396.08</v>
      </c>
      <c r="N120" s="36" t="s">
        <v>440</v>
      </c>
    </row>
    <row r="121" customFormat="false" ht="12.75" hidden="false" customHeight="true" outlineLevel="0" collapsed="false">
      <c r="A121" s="29"/>
      <c r="B121" s="30" t="s">
        <v>441</v>
      </c>
      <c r="C121" s="31" t="s">
        <v>113</v>
      </c>
      <c r="D121" s="31" t="s">
        <v>439</v>
      </c>
      <c r="E121" s="32" t="n">
        <v>12760</v>
      </c>
      <c r="F121" s="32"/>
      <c r="G121" s="32" t="n">
        <v>192</v>
      </c>
      <c r="H121" s="33" t="n">
        <v>1</v>
      </c>
      <c r="I121" s="34" t="n">
        <f aca="false">E121*H121+N(F121)+N(G121)</f>
        <v>12952</v>
      </c>
      <c r="J121" s="32" t="n">
        <f aca="false">ROUND(IFERROR(ROUND(IF(OR(ISNUMBER(SEARCH("week",C121)),ISNUMBER(SEARCH("minggu",C121))),IFERROR(_xlfn.NUMBERVALUE(SUBSTITUTE(LEFT(TRIM(C121),FIND(" ",TRIM(C121)&amp;" ")-1),",","."),"."),LEFT(SUBSTITUTE(LEFT(TRIM(C121),FIND(" ",TRIM(C121)&amp;" ")-1),",","."),FIND("/",SUBSTITUTE(LEFT(TRIM(C121),FIND(" ",TRIM(C121)&amp;" ")-1),",","."))-1)/MID(SUBSTITUTE(LEFT(TRIM(C121),FIND(" ",TRIM(C121)&amp;" ")-1),",","."),FIND("/",SUBSTITUTE(LEFT(TRIM(C121),FIND(" ",TRIM(C121)&amp;" ")-1),",","."))+1,9))*12/52,IF(ISNUMBER(SEARCH("month",C121)),IFERROR(_xlfn.NUMBERVALUE(SUBSTITUTE(LEFT(TRIM(C121),FIND(" ",TRIM(C121)&amp;" ")-1),",","."),"."),LEFT(SUBSTITUTE(LEFT(TRIM(C121),FIND(" ",TRIM(C121)&amp;" ")-1),",","."),FIND("/",SUBSTITUTE(LEFT(TRIM(C121),FIND(" ",TRIM(C121)&amp;" ")-1),",","."))-1)/MID(SUBSTITUTE(LEFT(TRIM(C121),FIND(" ",TRIM(C121)&amp;" ")-1),",","."),FIND("/",SUBSTITUTE(LEFT(TRIM(C121),FIND(" ",TRIM(C121)&amp;" ")-1),",","."))+1,9)),IF(ISNUMBER(SEARCH("yea",C121)),IFERROR(_xlfn.NUMBERVALUE(SUBSTITUTE(LEFT(TRIM(C121),FIND(" ",TRIM(C121)&amp;" ")-1),",","."),"."),LEFT(SUBSTITUTE(LEFT(TRIM(C121),FIND(" ",TRIM(C121)&amp;" ")-1),",","."),FIND("/",SUBSTITUTE(LEFT(TRIM(C121),FIND(" ",TRIM(C121)&amp;" ")-1),",","."))-1)/MID(SUBSTITUTE(LEFT(TRIM(C121),FIND(" ",TRIM(C121)&amp;" ")-1),",","."),FIND("/",SUBSTITUTE(LEFT(TRIM(C121),FIND(" ",TRIM(C121)&amp;" ")-1),",","."))+1,9))*12,NA()))),0),18)*'Aturan &amp; Tarif'!$B$4,2)</f>
        <v>1022.04</v>
      </c>
      <c r="K121" s="32" t="n">
        <f aca="false">'Aturan &amp; Tarif'!$B$5</f>
        <v>2050</v>
      </c>
      <c r="L121" s="32" t="n">
        <f aca="false">'Aturan &amp; Tarif'!$B$6</f>
        <v>350</v>
      </c>
      <c r="M121" s="35" t="n">
        <f aca="false">I121+J121+K121+L121</f>
        <v>16374.04</v>
      </c>
      <c r="N121" s="36" t="s">
        <v>440</v>
      </c>
    </row>
    <row r="122" customFormat="false" ht="12.75" hidden="false" customHeight="true" outlineLevel="0" collapsed="false">
      <c r="A122" s="29"/>
      <c r="B122" s="30" t="s">
        <v>442</v>
      </c>
      <c r="C122" s="31" t="s">
        <v>113</v>
      </c>
      <c r="D122" s="31" t="s">
        <v>439</v>
      </c>
      <c r="E122" s="32" t="n">
        <v>12760</v>
      </c>
      <c r="F122" s="32"/>
      <c r="G122" s="32" t="n">
        <v>192</v>
      </c>
      <c r="H122" s="33" t="n">
        <v>1</v>
      </c>
      <c r="I122" s="34" t="n">
        <f aca="false">E122*H122+N(F122)+N(G122)</f>
        <v>12952</v>
      </c>
      <c r="J122" s="32" t="n">
        <f aca="false">ROUND(IFERROR(ROUND(IF(OR(ISNUMBER(SEARCH("week",C122)),ISNUMBER(SEARCH("minggu",C122))),IFERROR(_xlfn.NUMBERVALUE(SUBSTITUTE(LEFT(TRIM(C122),FIND(" ",TRIM(C122)&amp;" ")-1),",","."),"."),LEFT(SUBSTITUTE(LEFT(TRIM(C122),FIND(" ",TRIM(C122)&amp;" ")-1),",","."),FIND("/",SUBSTITUTE(LEFT(TRIM(C122),FIND(" ",TRIM(C122)&amp;" ")-1),",","."))-1)/MID(SUBSTITUTE(LEFT(TRIM(C122),FIND(" ",TRIM(C122)&amp;" ")-1),",","."),FIND("/",SUBSTITUTE(LEFT(TRIM(C122),FIND(" ",TRIM(C122)&amp;" ")-1),",","."))+1,9))*12/52,IF(ISNUMBER(SEARCH("month",C122)),IFERROR(_xlfn.NUMBERVALUE(SUBSTITUTE(LEFT(TRIM(C122),FIND(" ",TRIM(C122)&amp;" ")-1),",","."),"."),LEFT(SUBSTITUTE(LEFT(TRIM(C122),FIND(" ",TRIM(C122)&amp;" ")-1),",","."),FIND("/",SUBSTITUTE(LEFT(TRIM(C122),FIND(" ",TRIM(C122)&amp;" ")-1),",","."))-1)/MID(SUBSTITUTE(LEFT(TRIM(C122),FIND(" ",TRIM(C122)&amp;" ")-1),",","."),FIND("/",SUBSTITUTE(LEFT(TRIM(C122),FIND(" ",TRIM(C122)&amp;" ")-1),",","."))+1,9)),IF(ISNUMBER(SEARCH("yea",C122)),IFERROR(_xlfn.NUMBERVALUE(SUBSTITUTE(LEFT(TRIM(C122),FIND(" ",TRIM(C122)&amp;" ")-1),",","."),"."),LEFT(SUBSTITUTE(LEFT(TRIM(C122),FIND(" ",TRIM(C122)&amp;" ")-1),",","."),FIND("/",SUBSTITUTE(LEFT(TRIM(C122),FIND(" ",TRIM(C122)&amp;" ")-1),",","."))-1)/MID(SUBSTITUTE(LEFT(TRIM(C122),FIND(" ",TRIM(C122)&amp;" ")-1),",","."),FIND("/",SUBSTITUTE(LEFT(TRIM(C122),FIND(" ",TRIM(C122)&amp;" ")-1),",","."))+1,9))*12,NA()))),0),18)*'Aturan &amp; Tarif'!$B$4,2)</f>
        <v>1022.04</v>
      </c>
      <c r="K122" s="32" t="n">
        <f aca="false">'Aturan &amp; Tarif'!$B$5</f>
        <v>2050</v>
      </c>
      <c r="L122" s="32" t="n">
        <f aca="false">'Aturan &amp; Tarif'!$B$6</f>
        <v>350</v>
      </c>
      <c r="M122" s="35" t="n">
        <f aca="false">I122+J122+K122+L122</f>
        <v>16374.04</v>
      </c>
      <c r="N122" s="36" t="s">
        <v>440</v>
      </c>
    </row>
    <row r="123" customFormat="false" ht="83.25" hidden="false" customHeight="true" outlineLevel="0" collapsed="false">
      <c r="A123" s="29" t="s">
        <v>443</v>
      </c>
      <c r="B123" s="30" t="s">
        <v>444</v>
      </c>
      <c r="C123" s="31" t="s">
        <v>107</v>
      </c>
      <c r="D123" s="31" t="s">
        <v>108</v>
      </c>
      <c r="E123" s="32" t="n">
        <v>7225</v>
      </c>
      <c r="F123" s="32" t="n">
        <v>400</v>
      </c>
      <c r="G123" s="32" t="n">
        <v>350</v>
      </c>
      <c r="H123" s="33" t="n">
        <v>2</v>
      </c>
      <c r="I123" s="34" t="n">
        <f aca="false">E123*H123+N(F123)+N(G123)</f>
        <v>15200</v>
      </c>
      <c r="J123" s="32" t="n">
        <f aca="false">ROUND(IFERROR(ROUND(IF(OR(ISNUMBER(SEARCH("week",C123)),ISNUMBER(SEARCH("minggu",C123))),IFERROR(_xlfn.NUMBERVALUE(SUBSTITUTE(LEFT(TRIM(C123),FIND(" ",TRIM(C123)&amp;" ")-1),",","."),"."),LEFT(SUBSTITUTE(LEFT(TRIM(C123),FIND(" ",TRIM(C123)&amp;" ")-1),",","."),FIND("/",SUBSTITUTE(LEFT(TRIM(C123),FIND(" ",TRIM(C123)&amp;" ")-1),",","."))-1)/MID(SUBSTITUTE(LEFT(TRIM(C123),FIND(" ",TRIM(C123)&amp;" ")-1),",","."),FIND("/",SUBSTITUTE(LEFT(TRIM(C123),FIND(" ",TRIM(C123)&amp;" ")-1),",","."))+1,9))*12/52,IF(ISNUMBER(SEARCH("month",C123)),IFERROR(_xlfn.NUMBERVALUE(SUBSTITUTE(LEFT(TRIM(C123),FIND(" ",TRIM(C123)&amp;" ")-1),",","."),"."),LEFT(SUBSTITUTE(LEFT(TRIM(C123),FIND(" ",TRIM(C123)&amp;" ")-1),",","."),FIND("/",SUBSTITUTE(LEFT(TRIM(C123),FIND(" ",TRIM(C123)&amp;" ")-1),",","."))-1)/MID(SUBSTITUTE(LEFT(TRIM(C123),FIND(" ",TRIM(C123)&amp;" ")-1),",","."),FIND("/",SUBSTITUTE(LEFT(TRIM(C123),FIND(" ",TRIM(C123)&amp;" ")-1),",","."))+1,9)),IF(ISNUMBER(SEARCH("yea",C123)),IFERROR(_xlfn.NUMBERVALUE(SUBSTITUTE(LEFT(TRIM(C123),FIND(" ",TRIM(C123)&amp;" ")-1),",","."),"."),LEFT(SUBSTITUTE(LEFT(TRIM(C123),FIND(" ",TRIM(C123)&amp;" ")-1),",","."),FIND("/",SUBSTITUTE(LEFT(TRIM(C123),FIND(" ",TRIM(C123)&amp;" ")-1),",","."))-1)/MID(SUBSTITUTE(LEFT(TRIM(C123),FIND(" ",TRIM(C123)&amp;" ")-1),",","."),FIND("/",SUBSTITUTE(LEFT(TRIM(C123),FIND(" ",TRIM(C123)&amp;" ")-1),",","."))+1,9))*12,NA()))),0),24)*'Aturan &amp; Tarif'!$B$4,2)</f>
        <v>1362.72</v>
      </c>
      <c r="K123" s="32" t="n">
        <f aca="false">'Aturan &amp; Tarif'!$B$5</f>
        <v>2050</v>
      </c>
      <c r="L123" s="32" t="n">
        <f aca="false">'Aturan &amp; Tarif'!$B$6</f>
        <v>350</v>
      </c>
      <c r="M123" s="35" t="n">
        <f aca="false">I123+J123+K123+L123</f>
        <v>18962.72</v>
      </c>
      <c r="N123" s="36" t="s">
        <v>445</v>
      </c>
    </row>
    <row r="124" customFormat="false" ht="60" hidden="false" customHeight="true" outlineLevel="0" collapsed="false">
      <c r="A124" s="29"/>
      <c r="B124" s="30" t="s">
        <v>446</v>
      </c>
      <c r="C124" s="31" t="s">
        <v>107</v>
      </c>
      <c r="D124" s="31" t="s">
        <v>108</v>
      </c>
      <c r="E124" s="32" t="n">
        <v>7225</v>
      </c>
      <c r="F124" s="32" t="n">
        <v>400</v>
      </c>
      <c r="G124" s="32" t="n">
        <v>350</v>
      </c>
      <c r="H124" s="33" t="n">
        <v>2</v>
      </c>
      <c r="I124" s="34" t="n">
        <f aca="false">E124*H124+N(F124)+N(G124)</f>
        <v>15200</v>
      </c>
      <c r="J124" s="32" t="n">
        <f aca="false">ROUND(IFERROR(ROUND(IF(OR(ISNUMBER(SEARCH("week",C124)),ISNUMBER(SEARCH("minggu",C124))),IFERROR(_xlfn.NUMBERVALUE(SUBSTITUTE(LEFT(TRIM(C124),FIND(" ",TRIM(C124)&amp;" ")-1),",","."),"."),LEFT(SUBSTITUTE(LEFT(TRIM(C124),FIND(" ",TRIM(C124)&amp;" ")-1),",","."),FIND("/",SUBSTITUTE(LEFT(TRIM(C124),FIND(" ",TRIM(C124)&amp;" ")-1),",","."))-1)/MID(SUBSTITUTE(LEFT(TRIM(C124),FIND(" ",TRIM(C124)&amp;" ")-1),",","."),FIND("/",SUBSTITUTE(LEFT(TRIM(C124),FIND(" ",TRIM(C124)&amp;" ")-1),",","."))+1,9))*12/52,IF(ISNUMBER(SEARCH("month",C124)),IFERROR(_xlfn.NUMBERVALUE(SUBSTITUTE(LEFT(TRIM(C124),FIND(" ",TRIM(C124)&amp;" ")-1),",","."),"."),LEFT(SUBSTITUTE(LEFT(TRIM(C124),FIND(" ",TRIM(C124)&amp;" ")-1),",","."),FIND("/",SUBSTITUTE(LEFT(TRIM(C124),FIND(" ",TRIM(C124)&amp;" ")-1),",","."))-1)/MID(SUBSTITUTE(LEFT(TRIM(C124),FIND(" ",TRIM(C124)&amp;" ")-1),",","."),FIND("/",SUBSTITUTE(LEFT(TRIM(C124),FIND(" ",TRIM(C124)&amp;" ")-1),",","."))+1,9)),IF(ISNUMBER(SEARCH("yea",C124)),IFERROR(_xlfn.NUMBERVALUE(SUBSTITUTE(LEFT(TRIM(C124),FIND(" ",TRIM(C124)&amp;" ")-1),",","."),"."),LEFT(SUBSTITUTE(LEFT(TRIM(C124),FIND(" ",TRIM(C124)&amp;" ")-1),",","."),FIND("/",SUBSTITUTE(LEFT(TRIM(C124),FIND(" ",TRIM(C124)&amp;" ")-1),",","."))-1)/MID(SUBSTITUTE(LEFT(TRIM(C124),FIND(" ",TRIM(C124)&amp;" ")-1),",","."),FIND("/",SUBSTITUTE(LEFT(TRIM(C124),FIND(" ",TRIM(C124)&amp;" ")-1),",","."))+1,9))*12,NA()))),0),24)*'Aturan &amp; Tarif'!$B$4,2)</f>
        <v>1362.72</v>
      </c>
      <c r="K124" s="32" t="n">
        <f aca="false">'Aturan &amp; Tarif'!$B$5</f>
        <v>2050</v>
      </c>
      <c r="L124" s="32" t="n">
        <f aca="false">'Aturan &amp; Tarif'!$B$6</f>
        <v>350</v>
      </c>
      <c r="M124" s="35" t="n">
        <f aca="false">I124+J124+K124+L124</f>
        <v>18962.72</v>
      </c>
      <c r="N124" s="36" t="s">
        <v>445</v>
      </c>
    </row>
    <row r="125" customFormat="false" ht="60" hidden="false" customHeight="true" outlineLevel="0" collapsed="false">
      <c r="A125" s="29"/>
      <c r="B125" s="30" t="s">
        <v>447</v>
      </c>
      <c r="C125" s="31" t="s">
        <v>107</v>
      </c>
      <c r="D125" s="31" t="s">
        <v>108</v>
      </c>
      <c r="E125" s="32" t="n">
        <v>7225</v>
      </c>
      <c r="F125" s="32" t="n">
        <v>400</v>
      </c>
      <c r="G125" s="32" t="n">
        <v>350</v>
      </c>
      <c r="H125" s="33" t="n">
        <v>2</v>
      </c>
      <c r="I125" s="34" t="n">
        <f aca="false">E125*H125+N(F125)+N(G125)</f>
        <v>15200</v>
      </c>
      <c r="J125" s="32" t="n">
        <f aca="false">ROUND(IFERROR(ROUND(IF(OR(ISNUMBER(SEARCH("week",C125)),ISNUMBER(SEARCH("minggu",C125))),IFERROR(_xlfn.NUMBERVALUE(SUBSTITUTE(LEFT(TRIM(C125),FIND(" ",TRIM(C125)&amp;" ")-1),",","."),"."),LEFT(SUBSTITUTE(LEFT(TRIM(C125),FIND(" ",TRIM(C125)&amp;" ")-1),",","."),FIND("/",SUBSTITUTE(LEFT(TRIM(C125),FIND(" ",TRIM(C125)&amp;" ")-1),",","."))-1)/MID(SUBSTITUTE(LEFT(TRIM(C125),FIND(" ",TRIM(C125)&amp;" ")-1),",","."),FIND("/",SUBSTITUTE(LEFT(TRIM(C125),FIND(" ",TRIM(C125)&amp;" ")-1),",","."))+1,9))*12/52,IF(ISNUMBER(SEARCH("month",C125)),IFERROR(_xlfn.NUMBERVALUE(SUBSTITUTE(LEFT(TRIM(C125),FIND(" ",TRIM(C125)&amp;" ")-1),",","."),"."),LEFT(SUBSTITUTE(LEFT(TRIM(C125),FIND(" ",TRIM(C125)&amp;" ")-1),",","."),FIND("/",SUBSTITUTE(LEFT(TRIM(C125),FIND(" ",TRIM(C125)&amp;" ")-1),",","."))-1)/MID(SUBSTITUTE(LEFT(TRIM(C125),FIND(" ",TRIM(C125)&amp;" ")-1),",","."),FIND("/",SUBSTITUTE(LEFT(TRIM(C125),FIND(" ",TRIM(C125)&amp;" ")-1),",","."))+1,9)),IF(ISNUMBER(SEARCH("yea",C125)),IFERROR(_xlfn.NUMBERVALUE(SUBSTITUTE(LEFT(TRIM(C125),FIND(" ",TRIM(C125)&amp;" ")-1),",","."),"."),LEFT(SUBSTITUTE(LEFT(TRIM(C125),FIND(" ",TRIM(C125)&amp;" ")-1),",","."),FIND("/",SUBSTITUTE(LEFT(TRIM(C125),FIND(" ",TRIM(C125)&amp;" ")-1),",","."))-1)/MID(SUBSTITUTE(LEFT(TRIM(C125),FIND(" ",TRIM(C125)&amp;" ")-1),",","."),FIND("/",SUBSTITUTE(LEFT(TRIM(C125),FIND(" ",TRIM(C125)&amp;" ")-1),",","."))+1,9))*12,NA()))),0),24)*'Aturan &amp; Tarif'!$B$4,2)</f>
        <v>1362.72</v>
      </c>
      <c r="K125" s="32" t="n">
        <f aca="false">'Aturan &amp; Tarif'!$B$5</f>
        <v>2050</v>
      </c>
      <c r="L125" s="32" t="n">
        <f aca="false">'Aturan &amp; Tarif'!$B$6</f>
        <v>350</v>
      </c>
      <c r="M125" s="35" t="n">
        <f aca="false">I125+J125+K125+L125</f>
        <v>18962.72</v>
      </c>
      <c r="N125" s="36" t="s">
        <v>445</v>
      </c>
    </row>
    <row r="126" customFormat="false" ht="60" hidden="false" customHeight="true" outlineLevel="0" collapsed="false">
      <c r="A126" s="29"/>
      <c r="B126" s="30" t="s">
        <v>448</v>
      </c>
      <c r="C126" s="31" t="s">
        <v>130</v>
      </c>
      <c r="D126" s="31" t="s">
        <v>108</v>
      </c>
      <c r="E126" s="32" t="n">
        <v>6250</v>
      </c>
      <c r="F126" s="32" t="n">
        <v>400</v>
      </c>
      <c r="G126" s="32" t="n">
        <v>350</v>
      </c>
      <c r="H126" s="33" t="n">
        <v>2</v>
      </c>
      <c r="I126" s="34" t="n">
        <f aca="false">E126*H126+N(F126)+N(G126)</f>
        <v>13250</v>
      </c>
      <c r="J126" s="32" t="n">
        <f aca="false">ROUND(IFERROR(ROUND(IF(OR(ISNUMBER(SEARCH("week",C126)),ISNUMBER(SEARCH("minggu",C126))),IFERROR(_xlfn.NUMBERVALUE(SUBSTITUTE(LEFT(TRIM(C126),FIND(" ",TRIM(C126)&amp;" ")-1),",","."),"."),LEFT(SUBSTITUTE(LEFT(TRIM(C126),FIND(" ",TRIM(C126)&amp;" ")-1),",","."),FIND("/",SUBSTITUTE(LEFT(TRIM(C126),FIND(" ",TRIM(C126)&amp;" ")-1),",","."))-1)/MID(SUBSTITUTE(LEFT(TRIM(C126),FIND(" ",TRIM(C126)&amp;" ")-1),",","."),FIND("/",SUBSTITUTE(LEFT(TRIM(C126),FIND(" ",TRIM(C126)&amp;" ")-1),",","."))+1,9))*12/52,IF(ISNUMBER(SEARCH("month",C126)),IFERROR(_xlfn.NUMBERVALUE(SUBSTITUTE(LEFT(TRIM(C126),FIND(" ",TRIM(C126)&amp;" ")-1),",","."),"."),LEFT(SUBSTITUTE(LEFT(TRIM(C126),FIND(" ",TRIM(C126)&amp;" ")-1),",","."),FIND("/",SUBSTITUTE(LEFT(TRIM(C126),FIND(" ",TRIM(C126)&amp;" ")-1),",","."))-1)/MID(SUBSTITUTE(LEFT(TRIM(C126),FIND(" ",TRIM(C126)&amp;" ")-1),",","."),FIND("/",SUBSTITUTE(LEFT(TRIM(C126),FIND(" ",TRIM(C126)&amp;" ")-1),",","."))+1,9)),IF(ISNUMBER(SEARCH("yea",C126)),IFERROR(_xlfn.NUMBERVALUE(SUBSTITUTE(LEFT(TRIM(C126),FIND(" ",TRIM(C126)&amp;" ")-1),",","."),"."),LEFT(SUBSTITUTE(LEFT(TRIM(C126),FIND(" ",TRIM(C126)&amp;" ")-1),",","."),FIND("/",SUBSTITUTE(LEFT(TRIM(C126),FIND(" ",TRIM(C126)&amp;" ")-1),",","."))-1)/MID(SUBSTITUTE(LEFT(TRIM(C126),FIND(" ",TRIM(C126)&amp;" ")-1),",","."),FIND("/",SUBSTITUTE(LEFT(TRIM(C126),FIND(" ",TRIM(C126)&amp;" ")-1),",","."))+1,9))*12,NA()))),0),12)*'Aturan &amp; Tarif'!$B$4,2)</f>
        <v>681.36</v>
      </c>
      <c r="K126" s="32" t="n">
        <f aca="false">'Aturan &amp; Tarif'!$B$5</f>
        <v>2050</v>
      </c>
      <c r="L126" s="32" t="n">
        <f aca="false">'Aturan &amp; Tarif'!$B$6</f>
        <v>350</v>
      </c>
      <c r="M126" s="35" t="n">
        <f aca="false">I126+J126+K126+L126</f>
        <v>16331.36</v>
      </c>
      <c r="N126" s="36" t="s">
        <v>449</v>
      </c>
    </row>
    <row r="127" customFormat="false" ht="25.5" hidden="false" customHeight="true" outlineLevel="0" collapsed="false">
      <c r="A127" s="29"/>
      <c r="B127" s="30" t="s">
        <v>450</v>
      </c>
      <c r="C127" s="31" t="s">
        <v>107</v>
      </c>
      <c r="D127" s="31" t="s">
        <v>108</v>
      </c>
      <c r="E127" s="32" t="n">
        <v>6250</v>
      </c>
      <c r="F127" s="32" t="n">
        <v>400</v>
      </c>
      <c r="G127" s="32" t="n">
        <v>350</v>
      </c>
      <c r="H127" s="33" t="n">
        <v>2</v>
      </c>
      <c r="I127" s="34" t="n">
        <f aca="false">E127*H127+N(F127)+N(G127)</f>
        <v>13250</v>
      </c>
      <c r="J127" s="32" t="n">
        <f aca="false">ROUND(IFERROR(ROUND(IF(OR(ISNUMBER(SEARCH("week",C127)),ISNUMBER(SEARCH("minggu",C127))),IFERROR(_xlfn.NUMBERVALUE(SUBSTITUTE(LEFT(TRIM(C127),FIND(" ",TRIM(C127)&amp;" ")-1),",","."),"."),LEFT(SUBSTITUTE(LEFT(TRIM(C127),FIND(" ",TRIM(C127)&amp;" ")-1),",","."),FIND("/",SUBSTITUTE(LEFT(TRIM(C127),FIND(" ",TRIM(C127)&amp;" ")-1),",","."))-1)/MID(SUBSTITUTE(LEFT(TRIM(C127),FIND(" ",TRIM(C127)&amp;" ")-1),",","."),FIND("/",SUBSTITUTE(LEFT(TRIM(C127),FIND(" ",TRIM(C127)&amp;" ")-1),",","."))+1,9))*12/52,IF(ISNUMBER(SEARCH("month",C127)),IFERROR(_xlfn.NUMBERVALUE(SUBSTITUTE(LEFT(TRIM(C127),FIND(" ",TRIM(C127)&amp;" ")-1),",","."),"."),LEFT(SUBSTITUTE(LEFT(TRIM(C127),FIND(" ",TRIM(C127)&amp;" ")-1),",","."),FIND("/",SUBSTITUTE(LEFT(TRIM(C127),FIND(" ",TRIM(C127)&amp;" ")-1),",","."))-1)/MID(SUBSTITUTE(LEFT(TRIM(C127),FIND(" ",TRIM(C127)&amp;" ")-1),",","."),FIND("/",SUBSTITUTE(LEFT(TRIM(C127),FIND(" ",TRIM(C127)&amp;" ")-1),",","."))+1,9)),IF(ISNUMBER(SEARCH("yea",C127)),IFERROR(_xlfn.NUMBERVALUE(SUBSTITUTE(LEFT(TRIM(C127),FIND(" ",TRIM(C127)&amp;" ")-1),",","."),"."),LEFT(SUBSTITUTE(LEFT(TRIM(C127),FIND(" ",TRIM(C127)&amp;" ")-1),",","."),FIND("/",SUBSTITUTE(LEFT(TRIM(C127),FIND(" ",TRIM(C127)&amp;" ")-1),",","."))-1)/MID(SUBSTITUTE(LEFT(TRIM(C127),FIND(" ",TRIM(C127)&amp;" ")-1),",","."),FIND("/",SUBSTITUTE(LEFT(TRIM(C127),FIND(" ",TRIM(C127)&amp;" ")-1),",","."))+1,9))*12,NA()))),0),24)*'Aturan &amp; Tarif'!$B$4,2)</f>
        <v>1362.72</v>
      </c>
      <c r="K127" s="32" t="n">
        <f aca="false">'Aturan &amp; Tarif'!$B$5</f>
        <v>2050</v>
      </c>
      <c r="L127" s="32" t="n">
        <f aca="false">'Aturan &amp; Tarif'!$B$6</f>
        <v>350</v>
      </c>
      <c r="M127" s="35" t="n">
        <f aca="false">I127+J127+K127+L127</f>
        <v>17012.72</v>
      </c>
      <c r="N127" s="37" t="s">
        <v>451</v>
      </c>
    </row>
    <row r="128" customFormat="false" ht="60" hidden="false" customHeight="true" outlineLevel="0" collapsed="false">
      <c r="A128" s="29"/>
      <c r="B128" s="30" t="s">
        <v>452</v>
      </c>
      <c r="C128" s="31" t="s">
        <v>191</v>
      </c>
      <c r="D128" s="31" t="s">
        <v>108</v>
      </c>
      <c r="E128" s="32" t="n">
        <v>5000</v>
      </c>
      <c r="F128" s="32" t="n">
        <v>400</v>
      </c>
      <c r="G128" s="32" t="n">
        <v>350</v>
      </c>
      <c r="H128" s="33" t="n">
        <v>2</v>
      </c>
      <c r="I128" s="34" t="n">
        <f aca="false">E128*H128+N(F128)+N(G128)</f>
        <v>10750</v>
      </c>
      <c r="J128" s="32" t="n">
        <f aca="false">ROUND(IFERROR(ROUND(IF(OR(ISNUMBER(SEARCH("week",C128)),ISNUMBER(SEARCH("minggu",C128))),IFERROR(_xlfn.NUMBERVALUE(SUBSTITUTE(LEFT(TRIM(C128),FIND(" ",TRIM(C128)&amp;" ")-1),",","."),"."),LEFT(SUBSTITUTE(LEFT(TRIM(C128),FIND(" ",TRIM(C128)&amp;" ")-1),",","."),FIND("/",SUBSTITUTE(LEFT(TRIM(C128),FIND(" ",TRIM(C128)&amp;" ")-1),",","."))-1)/MID(SUBSTITUTE(LEFT(TRIM(C128),FIND(" ",TRIM(C128)&amp;" ")-1),",","."),FIND("/",SUBSTITUTE(LEFT(TRIM(C128),FIND(" ",TRIM(C128)&amp;" ")-1),",","."))+1,9))*12/52,IF(ISNUMBER(SEARCH("month",C128)),IFERROR(_xlfn.NUMBERVALUE(SUBSTITUTE(LEFT(TRIM(C128),FIND(" ",TRIM(C128)&amp;" ")-1),",","."),"."),LEFT(SUBSTITUTE(LEFT(TRIM(C128),FIND(" ",TRIM(C128)&amp;" ")-1),",","."),FIND("/",SUBSTITUTE(LEFT(TRIM(C128),FIND(" ",TRIM(C128)&amp;" ")-1),",","."))-1)/MID(SUBSTITUTE(LEFT(TRIM(C128),FIND(" ",TRIM(C128)&amp;" ")-1),",","."),FIND("/",SUBSTITUTE(LEFT(TRIM(C128),FIND(" ",TRIM(C128)&amp;" ")-1),",","."))+1,9)),IF(ISNUMBER(SEARCH("yea",C128)),IFERROR(_xlfn.NUMBERVALUE(SUBSTITUTE(LEFT(TRIM(C128),FIND(" ",TRIM(C128)&amp;" ")-1),",","."),"."),LEFT(SUBSTITUTE(LEFT(TRIM(C128),FIND(" ",TRIM(C128)&amp;" ")-1),",","."),FIND("/",SUBSTITUTE(LEFT(TRIM(C128),FIND(" ",TRIM(C128)&amp;" ")-1),",","."))-1)/MID(SUBSTITUTE(LEFT(TRIM(C128),FIND(" ",TRIM(C128)&amp;" ")-1),",","."),FIND("/",SUBSTITUTE(LEFT(TRIM(C128),FIND(" ",TRIM(C128)&amp;" ")-1),",","."))+1,9))*12,NA()))),0),48)*'Aturan &amp; Tarif'!$B$4,2)</f>
        <v>2725.44</v>
      </c>
      <c r="K128" s="32" t="n">
        <f aca="false">'Aturan &amp; Tarif'!$B$5</f>
        <v>2050</v>
      </c>
      <c r="L128" s="32" t="n">
        <f aca="false">'Aturan &amp; Tarif'!$B$6</f>
        <v>350</v>
      </c>
      <c r="M128" s="35" t="n">
        <f aca="false">I128+J128+K128+L128</f>
        <v>15875.44</v>
      </c>
      <c r="N128" s="36" t="s">
        <v>453</v>
      </c>
    </row>
    <row r="129" customFormat="false" ht="37.5" hidden="false" customHeight="true" outlineLevel="0" collapsed="false">
      <c r="A129" s="29"/>
      <c r="B129" s="30" t="s">
        <v>167</v>
      </c>
      <c r="C129" s="31" t="s">
        <v>113</v>
      </c>
      <c r="D129" s="31" t="s">
        <v>108</v>
      </c>
      <c r="E129" s="32" t="n">
        <v>4500</v>
      </c>
      <c r="F129" s="32" t="n">
        <v>400</v>
      </c>
      <c r="G129" s="32" t="n">
        <v>350</v>
      </c>
      <c r="H129" s="33" t="n">
        <v>2</v>
      </c>
      <c r="I129" s="34" t="n">
        <f aca="false">E129*H129+N(F129)+N(G129)</f>
        <v>9750</v>
      </c>
      <c r="J129" s="32" t="n">
        <f aca="false">ROUND(IFERROR(ROUND(IF(OR(ISNUMBER(SEARCH("week",C129)),ISNUMBER(SEARCH("minggu",C129))),IFERROR(_xlfn.NUMBERVALUE(SUBSTITUTE(LEFT(TRIM(C129),FIND(" ",TRIM(C129)&amp;" ")-1),",","."),"."),LEFT(SUBSTITUTE(LEFT(TRIM(C129),FIND(" ",TRIM(C129)&amp;" ")-1),",","."),FIND("/",SUBSTITUTE(LEFT(TRIM(C129),FIND(" ",TRIM(C129)&amp;" ")-1),",","."))-1)/MID(SUBSTITUTE(LEFT(TRIM(C129),FIND(" ",TRIM(C129)&amp;" ")-1),",","."),FIND("/",SUBSTITUTE(LEFT(TRIM(C129),FIND(" ",TRIM(C129)&amp;" ")-1),",","."))+1,9))*12/52,IF(ISNUMBER(SEARCH("month",C129)),IFERROR(_xlfn.NUMBERVALUE(SUBSTITUTE(LEFT(TRIM(C129),FIND(" ",TRIM(C129)&amp;" ")-1),",","."),"."),LEFT(SUBSTITUTE(LEFT(TRIM(C129),FIND(" ",TRIM(C129)&amp;" ")-1),",","."),FIND("/",SUBSTITUTE(LEFT(TRIM(C129),FIND(" ",TRIM(C129)&amp;" ")-1),",","."))-1)/MID(SUBSTITUTE(LEFT(TRIM(C129),FIND(" ",TRIM(C129)&amp;" ")-1),",","."),FIND("/",SUBSTITUTE(LEFT(TRIM(C129),FIND(" ",TRIM(C129)&amp;" ")-1),",","."))+1,9)),IF(ISNUMBER(SEARCH("yea",C129)),IFERROR(_xlfn.NUMBERVALUE(SUBSTITUTE(LEFT(TRIM(C129),FIND(" ",TRIM(C129)&amp;" ")-1),",","."),"."),LEFT(SUBSTITUTE(LEFT(TRIM(C129),FIND(" ",TRIM(C129)&amp;" ")-1),",","."),FIND("/",SUBSTITUTE(LEFT(TRIM(C129),FIND(" ",TRIM(C129)&amp;" ")-1),",","."))-1)/MID(SUBSTITUTE(LEFT(TRIM(C129),FIND(" ",TRIM(C129)&amp;" ")-1),",","."),FIND("/",SUBSTITUTE(LEFT(TRIM(C129),FIND(" ",TRIM(C129)&amp;" ")-1),",","."))+1,9))*12,NA()))),0),18)*'Aturan &amp; Tarif'!$B$4,2)</f>
        <v>1022.04</v>
      </c>
      <c r="K129" s="32" t="n">
        <f aca="false">'Aturan &amp; Tarif'!$B$5</f>
        <v>2050</v>
      </c>
      <c r="L129" s="32" t="n">
        <f aca="false">'Aturan &amp; Tarif'!$B$6</f>
        <v>350</v>
      </c>
      <c r="M129" s="35" t="n">
        <f aca="false">I129+J129+K129+L129</f>
        <v>13172.04</v>
      </c>
      <c r="N129" s="36" t="s">
        <v>454</v>
      </c>
    </row>
    <row r="130" customFormat="false" ht="37.5" hidden="false" customHeight="true" outlineLevel="0" collapsed="false">
      <c r="A130" s="29"/>
      <c r="B130" s="30" t="s">
        <v>455</v>
      </c>
      <c r="C130" s="31" t="s">
        <v>107</v>
      </c>
      <c r="D130" s="31" t="s">
        <v>108</v>
      </c>
      <c r="E130" s="32" t="n">
        <v>4500</v>
      </c>
      <c r="F130" s="32" t="n">
        <v>400</v>
      </c>
      <c r="G130" s="32" t="n">
        <v>350</v>
      </c>
      <c r="H130" s="33" t="n">
        <v>2</v>
      </c>
      <c r="I130" s="34" t="n">
        <f aca="false">E130*H130+N(F130)+N(G130)</f>
        <v>9750</v>
      </c>
      <c r="J130" s="32" t="n">
        <f aca="false">ROUND(IFERROR(ROUND(IF(OR(ISNUMBER(SEARCH("week",C130)),ISNUMBER(SEARCH("minggu",C130))),IFERROR(_xlfn.NUMBERVALUE(SUBSTITUTE(LEFT(TRIM(C130),FIND(" ",TRIM(C130)&amp;" ")-1),",","."),"."),LEFT(SUBSTITUTE(LEFT(TRIM(C130),FIND(" ",TRIM(C130)&amp;" ")-1),",","."),FIND("/",SUBSTITUTE(LEFT(TRIM(C130),FIND(" ",TRIM(C130)&amp;" ")-1),",","."))-1)/MID(SUBSTITUTE(LEFT(TRIM(C130),FIND(" ",TRIM(C130)&amp;" ")-1),",","."),FIND("/",SUBSTITUTE(LEFT(TRIM(C130),FIND(" ",TRIM(C130)&amp;" ")-1),",","."))+1,9))*12/52,IF(ISNUMBER(SEARCH("month",C130)),IFERROR(_xlfn.NUMBERVALUE(SUBSTITUTE(LEFT(TRIM(C130),FIND(" ",TRIM(C130)&amp;" ")-1),",","."),"."),LEFT(SUBSTITUTE(LEFT(TRIM(C130),FIND(" ",TRIM(C130)&amp;" ")-1),",","."),FIND("/",SUBSTITUTE(LEFT(TRIM(C130),FIND(" ",TRIM(C130)&amp;" ")-1),",","."))-1)/MID(SUBSTITUTE(LEFT(TRIM(C130),FIND(" ",TRIM(C130)&amp;" ")-1),",","."),FIND("/",SUBSTITUTE(LEFT(TRIM(C130),FIND(" ",TRIM(C130)&amp;" ")-1),",","."))+1,9)),IF(ISNUMBER(SEARCH("yea",C130)),IFERROR(_xlfn.NUMBERVALUE(SUBSTITUTE(LEFT(TRIM(C130),FIND(" ",TRIM(C130)&amp;" ")-1),",","."),"."),LEFT(SUBSTITUTE(LEFT(TRIM(C130),FIND(" ",TRIM(C130)&amp;" ")-1),",","."),FIND("/",SUBSTITUTE(LEFT(TRIM(C130),FIND(" ",TRIM(C130)&amp;" ")-1),",","."))-1)/MID(SUBSTITUTE(LEFT(TRIM(C130),FIND(" ",TRIM(C130)&amp;" ")-1),",","."),FIND("/",SUBSTITUTE(LEFT(TRIM(C130),FIND(" ",TRIM(C130)&amp;" ")-1),",","."))+1,9))*12,NA()))),0),24)*'Aturan &amp; Tarif'!$B$4,2)</f>
        <v>1362.72</v>
      </c>
      <c r="K130" s="32" t="n">
        <f aca="false">'Aturan &amp; Tarif'!$B$5</f>
        <v>2050</v>
      </c>
      <c r="L130" s="32" t="n">
        <f aca="false">'Aturan &amp; Tarif'!$B$6</f>
        <v>350</v>
      </c>
      <c r="M130" s="35" t="n">
        <f aca="false">I130+J130+K130+L130</f>
        <v>13512.72</v>
      </c>
      <c r="N130" s="36" t="s">
        <v>454</v>
      </c>
    </row>
    <row r="131" customFormat="false" ht="37.5" hidden="false" customHeight="true" outlineLevel="0" collapsed="false">
      <c r="A131" s="29"/>
      <c r="B131" s="30" t="s">
        <v>456</v>
      </c>
      <c r="C131" s="31" t="s">
        <v>127</v>
      </c>
      <c r="D131" s="31" t="s">
        <v>108</v>
      </c>
      <c r="E131" s="32" t="n">
        <v>3600</v>
      </c>
      <c r="F131" s="32" t="n">
        <v>400</v>
      </c>
      <c r="G131" s="32" t="n">
        <v>350</v>
      </c>
      <c r="H131" s="33" t="n">
        <v>2</v>
      </c>
      <c r="I131" s="34" t="n">
        <f aca="false">E131*H131+N(F131)+N(G131)</f>
        <v>7950</v>
      </c>
      <c r="J131" s="32" t="n">
        <f aca="false">ROUND(IFERROR(ROUND(IF(OR(ISNUMBER(SEARCH("week",C131)),ISNUMBER(SEARCH("minggu",C131))),IFERROR(_xlfn.NUMBERVALUE(SUBSTITUTE(LEFT(TRIM(C131),FIND(" ",TRIM(C131)&amp;" ")-1),",","."),"."),LEFT(SUBSTITUTE(LEFT(TRIM(C131),FIND(" ",TRIM(C131)&amp;" ")-1),",","."),FIND("/",SUBSTITUTE(LEFT(TRIM(C131),FIND(" ",TRIM(C131)&amp;" ")-1),",","."))-1)/MID(SUBSTITUTE(LEFT(TRIM(C131),FIND(" ",TRIM(C131)&amp;" ")-1),",","."),FIND("/",SUBSTITUTE(LEFT(TRIM(C131),FIND(" ",TRIM(C131)&amp;" ")-1),",","."))+1,9))*12/52,IF(ISNUMBER(SEARCH("month",C131)),IFERROR(_xlfn.NUMBERVALUE(SUBSTITUTE(LEFT(TRIM(C131),FIND(" ",TRIM(C131)&amp;" ")-1),",","."),"."),LEFT(SUBSTITUTE(LEFT(TRIM(C131),FIND(" ",TRIM(C131)&amp;" ")-1),",","."),FIND("/",SUBSTITUTE(LEFT(TRIM(C131),FIND(" ",TRIM(C131)&amp;" ")-1),",","."))-1)/MID(SUBSTITUTE(LEFT(TRIM(C131),FIND(" ",TRIM(C131)&amp;" ")-1),",","."),FIND("/",SUBSTITUTE(LEFT(TRIM(C131),FIND(" ",TRIM(C131)&amp;" ")-1),",","."))+1,9)),IF(ISNUMBER(SEARCH("yea",C131)),IFERROR(_xlfn.NUMBERVALUE(SUBSTITUTE(LEFT(TRIM(C131),FIND(" ",TRIM(C131)&amp;" ")-1),",","."),"."),LEFT(SUBSTITUTE(LEFT(TRIM(C131),FIND(" ",TRIM(C131)&amp;" ")-1),",","."),FIND("/",SUBSTITUTE(LEFT(TRIM(C131),FIND(" ",TRIM(C131)&amp;" ")-1),",","."))-1)/MID(SUBSTITUTE(LEFT(TRIM(C131),FIND(" ",TRIM(C131)&amp;" ")-1),",","."),FIND("/",SUBSTITUTE(LEFT(TRIM(C131),FIND(" ",TRIM(C131)&amp;" ")-1),",","."))+1,9))*12,NA()))),0),36)*'Aturan &amp; Tarif'!$B$4,2)</f>
        <v>2044.08</v>
      </c>
      <c r="K131" s="32" t="n">
        <f aca="false">'Aturan &amp; Tarif'!$B$5</f>
        <v>2050</v>
      </c>
      <c r="L131" s="32" t="n">
        <f aca="false">'Aturan &amp; Tarif'!$B$6</f>
        <v>350</v>
      </c>
      <c r="M131" s="35" t="n">
        <f aca="false">I131+J131+K131+L131</f>
        <v>12394.08</v>
      </c>
      <c r="N131" s="36" t="s">
        <v>457</v>
      </c>
    </row>
    <row r="132" customFormat="false" ht="37.5" hidden="false" customHeight="true" outlineLevel="0" collapsed="false">
      <c r="A132" s="29"/>
      <c r="B132" s="30" t="s">
        <v>349</v>
      </c>
      <c r="C132" s="31" t="s">
        <v>107</v>
      </c>
      <c r="D132" s="31" t="s">
        <v>108</v>
      </c>
      <c r="E132" s="32" t="n">
        <v>5225</v>
      </c>
      <c r="F132" s="32" t="n">
        <v>400</v>
      </c>
      <c r="G132" s="32" t="n">
        <v>350</v>
      </c>
      <c r="H132" s="33" t="n">
        <v>2</v>
      </c>
      <c r="I132" s="34" t="n">
        <f aca="false">E132*H132+N(F132)+N(G132)</f>
        <v>11200</v>
      </c>
      <c r="J132" s="32" t="n">
        <f aca="false">ROUND(IFERROR(ROUND(IF(OR(ISNUMBER(SEARCH("week",C132)),ISNUMBER(SEARCH("minggu",C132))),IFERROR(_xlfn.NUMBERVALUE(SUBSTITUTE(LEFT(TRIM(C132),FIND(" ",TRIM(C132)&amp;" ")-1),",","."),"."),LEFT(SUBSTITUTE(LEFT(TRIM(C132),FIND(" ",TRIM(C132)&amp;" ")-1),",","."),FIND("/",SUBSTITUTE(LEFT(TRIM(C132),FIND(" ",TRIM(C132)&amp;" ")-1),",","."))-1)/MID(SUBSTITUTE(LEFT(TRIM(C132),FIND(" ",TRIM(C132)&amp;" ")-1),",","."),FIND("/",SUBSTITUTE(LEFT(TRIM(C132),FIND(" ",TRIM(C132)&amp;" ")-1),",","."))+1,9))*12/52,IF(ISNUMBER(SEARCH("month",C132)),IFERROR(_xlfn.NUMBERVALUE(SUBSTITUTE(LEFT(TRIM(C132),FIND(" ",TRIM(C132)&amp;" ")-1),",","."),"."),LEFT(SUBSTITUTE(LEFT(TRIM(C132),FIND(" ",TRIM(C132)&amp;" ")-1),",","."),FIND("/",SUBSTITUTE(LEFT(TRIM(C132),FIND(" ",TRIM(C132)&amp;" ")-1),",","."))-1)/MID(SUBSTITUTE(LEFT(TRIM(C132),FIND(" ",TRIM(C132)&amp;" ")-1),",","."),FIND("/",SUBSTITUTE(LEFT(TRIM(C132),FIND(" ",TRIM(C132)&amp;" ")-1),",","."))+1,9)),IF(ISNUMBER(SEARCH("yea",C132)),IFERROR(_xlfn.NUMBERVALUE(SUBSTITUTE(LEFT(TRIM(C132),FIND(" ",TRIM(C132)&amp;" ")-1),",","."),"."),LEFT(SUBSTITUTE(LEFT(TRIM(C132),FIND(" ",TRIM(C132)&amp;" ")-1),",","."),FIND("/",SUBSTITUTE(LEFT(TRIM(C132),FIND(" ",TRIM(C132)&amp;" ")-1),",","."))-1)/MID(SUBSTITUTE(LEFT(TRIM(C132),FIND(" ",TRIM(C132)&amp;" ")-1),",","."),FIND("/",SUBSTITUTE(LEFT(TRIM(C132),FIND(" ",TRIM(C132)&amp;" ")-1),",","."))+1,9))*12,NA()))),0),24)*'Aturan &amp; Tarif'!$B$4,2)</f>
        <v>1362.72</v>
      </c>
      <c r="K132" s="32" t="n">
        <f aca="false">'Aturan &amp; Tarif'!$B$5</f>
        <v>2050</v>
      </c>
      <c r="L132" s="32" t="n">
        <f aca="false">'Aturan &amp; Tarif'!$B$6</f>
        <v>350</v>
      </c>
      <c r="M132" s="35" t="n">
        <f aca="false">I132+J132+K132+L132</f>
        <v>14962.72</v>
      </c>
      <c r="N132" s="36" t="s">
        <v>458</v>
      </c>
    </row>
    <row r="133" customFormat="false" ht="37.5" hidden="false" customHeight="true" outlineLevel="0" collapsed="false">
      <c r="A133" s="29"/>
      <c r="B133" s="30" t="s">
        <v>335</v>
      </c>
      <c r="C133" s="31" t="s">
        <v>127</v>
      </c>
      <c r="D133" s="31" t="s">
        <v>108</v>
      </c>
      <c r="E133" s="32" t="n">
        <v>3825</v>
      </c>
      <c r="F133" s="32" t="n">
        <v>400</v>
      </c>
      <c r="G133" s="32" t="n">
        <v>350</v>
      </c>
      <c r="H133" s="33" t="n">
        <v>2</v>
      </c>
      <c r="I133" s="34" t="n">
        <f aca="false">E133*H133+N(F133)+N(G133)</f>
        <v>8400</v>
      </c>
      <c r="J133" s="32" t="n">
        <f aca="false">ROUND(IFERROR(ROUND(IF(OR(ISNUMBER(SEARCH("week",C133)),ISNUMBER(SEARCH("minggu",C133))),IFERROR(_xlfn.NUMBERVALUE(SUBSTITUTE(LEFT(TRIM(C133),FIND(" ",TRIM(C133)&amp;" ")-1),",","."),"."),LEFT(SUBSTITUTE(LEFT(TRIM(C133),FIND(" ",TRIM(C133)&amp;" ")-1),",","."),FIND("/",SUBSTITUTE(LEFT(TRIM(C133),FIND(" ",TRIM(C133)&amp;" ")-1),",","."))-1)/MID(SUBSTITUTE(LEFT(TRIM(C133),FIND(" ",TRIM(C133)&amp;" ")-1),",","."),FIND("/",SUBSTITUTE(LEFT(TRIM(C133),FIND(" ",TRIM(C133)&amp;" ")-1),",","."))+1,9))*12/52,IF(ISNUMBER(SEARCH("month",C133)),IFERROR(_xlfn.NUMBERVALUE(SUBSTITUTE(LEFT(TRIM(C133),FIND(" ",TRIM(C133)&amp;" ")-1),",","."),"."),LEFT(SUBSTITUTE(LEFT(TRIM(C133),FIND(" ",TRIM(C133)&amp;" ")-1),",","."),FIND("/",SUBSTITUTE(LEFT(TRIM(C133),FIND(" ",TRIM(C133)&amp;" ")-1),",","."))-1)/MID(SUBSTITUTE(LEFT(TRIM(C133),FIND(" ",TRIM(C133)&amp;" ")-1),",","."),FIND("/",SUBSTITUTE(LEFT(TRIM(C133),FIND(" ",TRIM(C133)&amp;" ")-1),",","."))+1,9)),IF(ISNUMBER(SEARCH("yea",C133)),IFERROR(_xlfn.NUMBERVALUE(SUBSTITUTE(LEFT(TRIM(C133),FIND(" ",TRIM(C133)&amp;" ")-1),",","."),"."),LEFT(SUBSTITUTE(LEFT(TRIM(C133),FIND(" ",TRIM(C133)&amp;" ")-1),",","."),FIND("/",SUBSTITUTE(LEFT(TRIM(C133),FIND(" ",TRIM(C133)&amp;" ")-1),",","."))-1)/MID(SUBSTITUTE(LEFT(TRIM(C133),FIND(" ",TRIM(C133)&amp;" ")-1),",","."),FIND("/",SUBSTITUTE(LEFT(TRIM(C133),FIND(" ",TRIM(C133)&amp;" ")-1),",","."))+1,9))*12,NA()))),0),36)*'Aturan &amp; Tarif'!$B$4,2)</f>
        <v>2044.08</v>
      </c>
      <c r="K133" s="32" t="n">
        <f aca="false">'Aturan &amp; Tarif'!$B$5</f>
        <v>2050</v>
      </c>
      <c r="L133" s="32" t="n">
        <f aca="false">'Aturan &amp; Tarif'!$B$6</f>
        <v>350</v>
      </c>
      <c r="M133" s="35" t="n">
        <f aca="false">I133+J133+K133+L133</f>
        <v>12844.08</v>
      </c>
      <c r="N133" s="36" t="s">
        <v>459</v>
      </c>
    </row>
    <row r="134" customFormat="false" ht="37.5" hidden="false" customHeight="true" outlineLevel="0" collapsed="false">
      <c r="A134" s="29"/>
      <c r="B134" s="30" t="s">
        <v>348</v>
      </c>
      <c r="C134" s="31" t="s">
        <v>113</v>
      </c>
      <c r="D134" s="31" t="s">
        <v>108</v>
      </c>
      <c r="E134" s="32" t="n">
        <v>4500</v>
      </c>
      <c r="F134" s="32" t="n">
        <v>400</v>
      </c>
      <c r="G134" s="32" t="n">
        <v>350</v>
      </c>
      <c r="H134" s="33" t="n">
        <v>2</v>
      </c>
      <c r="I134" s="34" t="n">
        <f aca="false">E134*H134+N(F134)+N(G134)</f>
        <v>9750</v>
      </c>
      <c r="J134" s="32" t="n">
        <f aca="false">ROUND(IFERROR(ROUND(IF(OR(ISNUMBER(SEARCH("week",C134)),ISNUMBER(SEARCH("minggu",C134))),IFERROR(_xlfn.NUMBERVALUE(SUBSTITUTE(LEFT(TRIM(C134),FIND(" ",TRIM(C134)&amp;" ")-1),",","."),"."),LEFT(SUBSTITUTE(LEFT(TRIM(C134),FIND(" ",TRIM(C134)&amp;" ")-1),",","."),FIND("/",SUBSTITUTE(LEFT(TRIM(C134),FIND(" ",TRIM(C134)&amp;" ")-1),",","."))-1)/MID(SUBSTITUTE(LEFT(TRIM(C134),FIND(" ",TRIM(C134)&amp;" ")-1),",","."),FIND("/",SUBSTITUTE(LEFT(TRIM(C134),FIND(" ",TRIM(C134)&amp;" ")-1),",","."))+1,9))*12/52,IF(ISNUMBER(SEARCH("month",C134)),IFERROR(_xlfn.NUMBERVALUE(SUBSTITUTE(LEFT(TRIM(C134),FIND(" ",TRIM(C134)&amp;" ")-1),",","."),"."),LEFT(SUBSTITUTE(LEFT(TRIM(C134),FIND(" ",TRIM(C134)&amp;" ")-1),",","."),FIND("/",SUBSTITUTE(LEFT(TRIM(C134),FIND(" ",TRIM(C134)&amp;" ")-1),",","."))-1)/MID(SUBSTITUTE(LEFT(TRIM(C134),FIND(" ",TRIM(C134)&amp;" ")-1),",","."),FIND("/",SUBSTITUTE(LEFT(TRIM(C134),FIND(" ",TRIM(C134)&amp;" ")-1),",","."))+1,9)),IF(ISNUMBER(SEARCH("yea",C134)),IFERROR(_xlfn.NUMBERVALUE(SUBSTITUTE(LEFT(TRIM(C134),FIND(" ",TRIM(C134)&amp;" ")-1),",","."),"."),LEFT(SUBSTITUTE(LEFT(TRIM(C134),FIND(" ",TRIM(C134)&amp;" ")-1),",","."),FIND("/",SUBSTITUTE(LEFT(TRIM(C134),FIND(" ",TRIM(C134)&amp;" ")-1),",","."))-1)/MID(SUBSTITUTE(LEFT(TRIM(C134),FIND(" ",TRIM(C134)&amp;" ")-1),",","."),FIND("/",SUBSTITUTE(LEFT(TRIM(C134),FIND(" ",TRIM(C134)&amp;" ")-1),",","."))+1,9))*12,NA()))),0),18)*'Aturan &amp; Tarif'!$B$4,2)</f>
        <v>1022.04</v>
      </c>
      <c r="K134" s="32" t="n">
        <f aca="false">'Aturan &amp; Tarif'!$B$5</f>
        <v>2050</v>
      </c>
      <c r="L134" s="32" t="n">
        <f aca="false">'Aturan &amp; Tarif'!$B$6</f>
        <v>350</v>
      </c>
      <c r="M134" s="35" t="n">
        <f aca="false">I134+J134+K134+L134</f>
        <v>13172.04</v>
      </c>
      <c r="N134" s="36" t="s">
        <v>454</v>
      </c>
    </row>
    <row r="135" customFormat="false" ht="37.5" hidden="false" customHeight="true" outlineLevel="0" collapsed="false">
      <c r="A135" s="29"/>
      <c r="B135" s="30" t="s">
        <v>460</v>
      </c>
      <c r="C135" s="31" t="s">
        <v>107</v>
      </c>
      <c r="D135" s="31" t="s">
        <v>108</v>
      </c>
      <c r="E135" s="32" t="n">
        <v>4500</v>
      </c>
      <c r="F135" s="32" t="n">
        <v>400</v>
      </c>
      <c r="G135" s="32" t="n">
        <v>350</v>
      </c>
      <c r="H135" s="33" t="n">
        <v>2</v>
      </c>
      <c r="I135" s="34" t="n">
        <f aca="false">E135*H135+N(F135)+N(G135)</f>
        <v>9750</v>
      </c>
      <c r="J135" s="32" t="n">
        <f aca="false">ROUND(IFERROR(ROUND(IF(OR(ISNUMBER(SEARCH("week",C135)),ISNUMBER(SEARCH("minggu",C135))),IFERROR(_xlfn.NUMBERVALUE(SUBSTITUTE(LEFT(TRIM(C135),FIND(" ",TRIM(C135)&amp;" ")-1),",","."),"."),LEFT(SUBSTITUTE(LEFT(TRIM(C135),FIND(" ",TRIM(C135)&amp;" ")-1),",","."),FIND("/",SUBSTITUTE(LEFT(TRIM(C135),FIND(" ",TRIM(C135)&amp;" ")-1),",","."))-1)/MID(SUBSTITUTE(LEFT(TRIM(C135),FIND(" ",TRIM(C135)&amp;" ")-1),",","."),FIND("/",SUBSTITUTE(LEFT(TRIM(C135),FIND(" ",TRIM(C135)&amp;" ")-1),",","."))+1,9))*12/52,IF(ISNUMBER(SEARCH("month",C135)),IFERROR(_xlfn.NUMBERVALUE(SUBSTITUTE(LEFT(TRIM(C135),FIND(" ",TRIM(C135)&amp;" ")-1),",","."),"."),LEFT(SUBSTITUTE(LEFT(TRIM(C135),FIND(" ",TRIM(C135)&amp;" ")-1),",","."),FIND("/",SUBSTITUTE(LEFT(TRIM(C135),FIND(" ",TRIM(C135)&amp;" ")-1),",","."))-1)/MID(SUBSTITUTE(LEFT(TRIM(C135),FIND(" ",TRIM(C135)&amp;" ")-1),",","."),FIND("/",SUBSTITUTE(LEFT(TRIM(C135),FIND(" ",TRIM(C135)&amp;" ")-1),",","."))+1,9)),IF(ISNUMBER(SEARCH("yea",C135)),IFERROR(_xlfn.NUMBERVALUE(SUBSTITUTE(LEFT(TRIM(C135),FIND(" ",TRIM(C135)&amp;" ")-1),",","."),"."),LEFT(SUBSTITUTE(LEFT(TRIM(C135),FIND(" ",TRIM(C135)&amp;" ")-1),",","."),FIND("/",SUBSTITUTE(LEFT(TRIM(C135),FIND(" ",TRIM(C135)&amp;" ")-1),",","."))-1)/MID(SUBSTITUTE(LEFT(TRIM(C135),FIND(" ",TRIM(C135)&amp;" ")-1),",","."),FIND("/",SUBSTITUTE(LEFT(TRIM(C135),FIND(" ",TRIM(C135)&amp;" ")-1),",","."))+1,9))*12,NA()))),0),24)*'Aturan &amp; Tarif'!$B$4,2)</f>
        <v>1362.72</v>
      </c>
      <c r="K135" s="32" t="n">
        <f aca="false">'Aturan &amp; Tarif'!$B$5</f>
        <v>2050</v>
      </c>
      <c r="L135" s="32" t="n">
        <f aca="false">'Aturan &amp; Tarif'!$B$6</f>
        <v>350</v>
      </c>
      <c r="M135" s="35" t="n">
        <f aca="false">I135+J135+K135+L135</f>
        <v>13512.72</v>
      </c>
      <c r="N135" s="36" t="s">
        <v>454</v>
      </c>
    </row>
    <row r="136" customFormat="false" ht="37.5" hidden="false" customHeight="true" outlineLevel="0" collapsed="false">
      <c r="A136" s="29"/>
      <c r="B136" s="30" t="s">
        <v>321</v>
      </c>
      <c r="C136" s="31" t="s">
        <v>127</v>
      </c>
      <c r="D136" s="31" t="s">
        <v>108</v>
      </c>
      <c r="E136" s="32" t="n">
        <v>3825</v>
      </c>
      <c r="F136" s="32" t="n">
        <v>400</v>
      </c>
      <c r="G136" s="32" t="n">
        <v>350</v>
      </c>
      <c r="H136" s="33" t="n">
        <v>2</v>
      </c>
      <c r="I136" s="34" t="n">
        <f aca="false">E136*H136+N(F136)+N(G136)</f>
        <v>8400</v>
      </c>
      <c r="J136" s="32" t="n">
        <f aca="false">ROUND(IFERROR(ROUND(IF(OR(ISNUMBER(SEARCH("week",C136)),ISNUMBER(SEARCH("minggu",C136))),IFERROR(_xlfn.NUMBERVALUE(SUBSTITUTE(LEFT(TRIM(C136),FIND(" ",TRIM(C136)&amp;" ")-1),",","."),"."),LEFT(SUBSTITUTE(LEFT(TRIM(C136),FIND(" ",TRIM(C136)&amp;" ")-1),",","."),FIND("/",SUBSTITUTE(LEFT(TRIM(C136),FIND(" ",TRIM(C136)&amp;" ")-1),",","."))-1)/MID(SUBSTITUTE(LEFT(TRIM(C136),FIND(" ",TRIM(C136)&amp;" ")-1),",","."),FIND("/",SUBSTITUTE(LEFT(TRIM(C136),FIND(" ",TRIM(C136)&amp;" ")-1),",","."))+1,9))*12/52,IF(ISNUMBER(SEARCH("month",C136)),IFERROR(_xlfn.NUMBERVALUE(SUBSTITUTE(LEFT(TRIM(C136),FIND(" ",TRIM(C136)&amp;" ")-1),",","."),"."),LEFT(SUBSTITUTE(LEFT(TRIM(C136),FIND(" ",TRIM(C136)&amp;" ")-1),",","."),FIND("/",SUBSTITUTE(LEFT(TRIM(C136),FIND(" ",TRIM(C136)&amp;" ")-1),",","."))-1)/MID(SUBSTITUTE(LEFT(TRIM(C136),FIND(" ",TRIM(C136)&amp;" ")-1),",","."),FIND("/",SUBSTITUTE(LEFT(TRIM(C136),FIND(" ",TRIM(C136)&amp;" ")-1),",","."))+1,9)),IF(ISNUMBER(SEARCH("yea",C136)),IFERROR(_xlfn.NUMBERVALUE(SUBSTITUTE(LEFT(TRIM(C136),FIND(" ",TRIM(C136)&amp;" ")-1),",","."),"."),LEFT(SUBSTITUTE(LEFT(TRIM(C136),FIND(" ",TRIM(C136)&amp;" ")-1),",","."),FIND("/",SUBSTITUTE(LEFT(TRIM(C136),FIND(" ",TRIM(C136)&amp;" ")-1),",","."))-1)/MID(SUBSTITUTE(LEFT(TRIM(C136),FIND(" ",TRIM(C136)&amp;" ")-1),",","."),FIND("/",SUBSTITUTE(LEFT(TRIM(C136),FIND(" ",TRIM(C136)&amp;" ")-1),",","."))+1,9))*12,NA()))),0),36)*'Aturan &amp; Tarif'!$B$4,2)</f>
        <v>2044.08</v>
      </c>
      <c r="K136" s="32" t="n">
        <f aca="false">'Aturan &amp; Tarif'!$B$5</f>
        <v>2050</v>
      </c>
      <c r="L136" s="32" t="n">
        <f aca="false">'Aturan &amp; Tarif'!$B$6</f>
        <v>350</v>
      </c>
      <c r="M136" s="35" t="n">
        <f aca="false">I136+J136+K136+L136</f>
        <v>12844.08</v>
      </c>
      <c r="N136" s="36" t="s">
        <v>459</v>
      </c>
    </row>
    <row r="137" customFormat="false" ht="60" hidden="false" customHeight="true" outlineLevel="0" collapsed="false">
      <c r="A137" s="29"/>
      <c r="B137" s="30" t="s">
        <v>343</v>
      </c>
      <c r="C137" s="31" t="s">
        <v>344</v>
      </c>
      <c r="D137" s="31" t="s">
        <v>108</v>
      </c>
      <c r="E137" s="32" t="n">
        <v>4500</v>
      </c>
      <c r="F137" s="32" t="n">
        <v>400</v>
      </c>
      <c r="G137" s="32" t="n">
        <v>350</v>
      </c>
      <c r="H137" s="33" t="n">
        <v>2</v>
      </c>
      <c r="I137" s="34" t="n">
        <f aca="false">E137*H137+N(F137)+N(G137)</f>
        <v>9750</v>
      </c>
      <c r="J137" s="32" t="n">
        <f aca="false">ROUND(IFERROR(ROUND(IF(OR(ISNUMBER(SEARCH("week",C137)),ISNUMBER(SEARCH("minggu",C137))),IFERROR(_xlfn.NUMBERVALUE(SUBSTITUTE(LEFT(TRIM(C137),FIND(" ",TRIM(C137)&amp;" ")-1),",","."),"."),LEFT(SUBSTITUTE(LEFT(TRIM(C137),FIND(" ",TRIM(C137)&amp;" ")-1),",","."),FIND("/",SUBSTITUTE(LEFT(TRIM(C137),FIND(" ",TRIM(C137)&amp;" ")-1),",","."))-1)/MID(SUBSTITUTE(LEFT(TRIM(C137),FIND(" ",TRIM(C137)&amp;" ")-1),",","."),FIND("/",SUBSTITUTE(LEFT(TRIM(C137),FIND(" ",TRIM(C137)&amp;" ")-1),",","."))+1,9))*12/52,IF(ISNUMBER(SEARCH("month",C137)),IFERROR(_xlfn.NUMBERVALUE(SUBSTITUTE(LEFT(TRIM(C137),FIND(" ",TRIM(C137)&amp;" ")-1),",","."),"."),LEFT(SUBSTITUTE(LEFT(TRIM(C137),FIND(" ",TRIM(C137)&amp;" ")-1),",","."),FIND("/",SUBSTITUTE(LEFT(TRIM(C137),FIND(" ",TRIM(C137)&amp;" ")-1),",","."))-1)/MID(SUBSTITUTE(LEFT(TRIM(C137),FIND(" ",TRIM(C137)&amp;" ")-1),",","."),FIND("/",SUBSTITUTE(LEFT(TRIM(C137),FIND(" ",TRIM(C137)&amp;" ")-1),",","."))+1,9)),IF(ISNUMBER(SEARCH("yea",C137)),IFERROR(_xlfn.NUMBERVALUE(SUBSTITUTE(LEFT(TRIM(C137),FIND(" ",TRIM(C137)&amp;" ")-1),",","."),"."),LEFT(SUBSTITUTE(LEFT(TRIM(C137),FIND(" ",TRIM(C137)&amp;" ")-1),",","."),FIND("/",SUBSTITUTE(LEFT(TRIM(C137),FIND(" ",TRIM(C137)&amp;" ")-1),",","."))-1)/MID(SUBSTITUTE(LEFT(TRIM(C137),FIND(" ",TRIM(C137)&amp;" ")-1),",","."),FIND("/",SUBSTITUTE(LEFT(TRIM(C137),FIND(" ",TRIM(C137)&amp;" ")-1),",","."))+1,9))*12,NA()))),0),6)*'Aturan &amp; Tarif'!$B$4,2)</f>
        <v>340.68</v>
      </c>
      <c r="K137" s="32" t="n">
        <f aca="false">'Aturan &amp; Tarif'!$B$5</f>
        <v>2050</v>
      </c>
      <c r="L137" s="32" t="n">
        <f aca="false">'Aturan &amp; Tarif'!$B$6</f>
        <v>350</v>
      </c>
      <c r="M137" s="35" t="n">
        <f aca="false">I137+J137+K137+L137</f>
        <v>12490.68</v>
      </c>
      <c r="N137" s="36" t="s">
        <v>461</v>
      </c>
    </row>
    <row r="138" customFormat="false" ht="48.75" hidden="false" customHeight="true" outlineLevel="0" collapsed="false">
      <c r="A138" s="39" t="s">
        <v>462</v>
      </c>
      <c r="B138" s="40" t="s">
        <v>463</v>
      </c>
      <c r="C138" s="41" t="s">
        <v>107</v>
      </c>
      <c r="D138" s="41" t="s">
        <v>108</v>
      </c>
      <c r="E138" s="42" t="n">
        <v>1950</v>
      </c>
      <c r="F138" s="42" t="n">
        <v>2200</v>
      </c>
      <c r="G138" s="42" t="n">
        <v>300</v>
      </c>
      <c r="H138" s="43" t="n">
        <v>1</v>
      </c>
      <c r="I138" s="34" t="n">
        <f aca="false">E138*H138+N(F138)+N(G138)</f>
        <v>4450</v>
      </c>
      <c r="J138" s="42" t="n">
        <f aca="false">ROUND(IFERROR(ROUND(IF(OR(ISNUMBER(SEARCH("week",C138)),ISNUMBER(SEARCH("minggu",C138))),IFERROR(_xlfn.NUMBERVALUE(SUBSTITUTE(LEFT(TRIM(C138),FIND(" ",TRIM(C138)&amp;" ")-1),",","."),"."),LEFT(SUBSTITUTE(LEFT(TRIM(C138),FIND(" ",TRIM(C138)&amp;" ")-1),",","."),FIND("/",SUBSTITUTE(LEFT(TRIM(C138),FIND(" ",TRIM(C138)&amp;" ")-1),",","."))-1)/MID(SUBSTITUTE(LEFT(TRIM(C138),FIND(" ",TRIM(C138)&amp;" ")-1),",","."),FIND("/",SUBSTITUTE(LEFT(TRIM(C138),FIND(" ",TRIM(C138)&amp;" ")-1),",","."))+1,9))*12/52,IF(ISNUMBER(SEARCH("month",C138)),IFERROR(_xlfn.NUMBERVALUE(SUBSTITUTE(LEFT(TRIM(C138),FIND(" ",TRIM(C138)&amp;" ")-1),",","."),"."),LEFT(SUBSTITUTE(LEFT(TRIM(C138),FIND(" ",TRIM(C138)&amp;" ")-1),",","."),FIND("/",SUBSTITUTE(LEFT(TRIM(C138),FIND(" ",TRIM(C138)&amp;" ")-1),",","."))-1)/MID(SUBSTITUTE(LEFT(TRIM(C138),FIND(" ",TRIM(C138)&amp;" ")-1),",","."),FIND("/",SUBSTITUTE(LEFT(TRIM(C138),FIND(" ",TRIM(C138)&amp;" ")-1),",","."))+1,9)),IF(ISNUMBER(SEARCH("yea",C138)),IFERROR(_xlfn.NUMBERVALUE(SUBSTITUTE(LEFT(TRIM(C138),FIND(" ",TRIM(C138)&amp;" ")-1),",","."),"."),LEFT(SUBSTITUTE(LEFT(TRIM(C138),FIND(" ",TRIM(C138)&amp;" ")-1),",","."),FIND("/",SUBSTITUTE(LEFT(TRIM(C138),FIND(" ",TRIM(C138)&amp;" ")-1),",","."))-1)/MID(SUBSTITUTE(LEFT(TRIM(C138),FIND(" ",TRIM(C138)&amp;" ")-1),",","."),FIND("/",SUBSTITUTE(LEFT(TRIM(C138),FIND(" ",TRIM(C138)&amp;" ")-1),",","."))+1,9))*12,NA()))),0),24)*'Aturan &amp; Tarif'!$B$4,2)</f>
        <v>1362.72</v>
      </c>
      <c r="K138" s="42" t="n">
        <f aca="false">'Aturan &amp; Tarif'!$B$5</f>
        <v>2050</v>
      </c>
      <c r="L138" s="42" t="n">
        <f aca="false">'Aturan &amp; Tarif'!$B$6</f>
        <v>350</v>
      </c>
      <c r="M138" s="35" t="n">
        <f aca="false">I138+J138+K138+L138</f>
        <v>8212.72</v>
      </c>
      <c r="N138" s="44" t="s">
        <v>464</v>
      </c>
    </row>
    <row r="139" customFormat="false" ht="25.5" hidden="false" customHeight="true" outlineLevel="0" collapsed="false">
      <c r="A139" s="39"/>
      <c r="B139" s="40" t="s">
        <v>465</v>
      </c>
      <c r="C139" s="41" t="s">
        <v>107</v>
      </c>
      <c r="D139" s="41" t="s">
        <v>108</v>
      </c>
      <c r="E139" s="42" t="n">
        <v>1450</v>
      </c>
      <c r="F139" s="42" t="n">
        <v>1000</v>
      </c>
      <c r="G139" s="42" t="n">
        <v>300</v>
      </c>
      <c r="H139" s="43" t="n">
        <v>1</v>
      </c>
      <c r="I139" s="34" t="n">
        <f aca="false">E139*H139+N(F139)+N(G139)</f>
        <v>2750</v>
      </c>
      <c r="J139" s="42" t="n">
        <f aca="false">ROUND(IFERROR(ROUND(IF(OR(ISNUMBER(SEARCH("week",C139)),ISNUMBER(SEARCH("minggu",C139))),IFERROR(_xlfn.NUMBERVALUE(SUBSTITUTE(LEFT(TRIM(C139),FIND(" ",TRIM(C139)&amp;" ")-1),",","."),"."),LEFT(SUBSTITUTE(LEFT(TRIM(C139),FIND(" ",TRIM(C139)&amp;" ")-1),",","."),FIND("/",SUBSTITUTE(LEFT(TRIM(C139),FIND(" ",TRIM(C139)&amp;" ")-1),",","."))-1)/MID(SUBSTITUTE(LEFT(TRIM(C139),FIND(" ",TRIM(C139)&amp;" ")-1),",","."),FIND("/",SUBSTITUTE(LEFT(TRIM(C139),FIND(" ",TRIM(C139)&amp;" ")-1),",","."))+1,9))*12/52,IF(ISNUMBER(SEARCH("month",C139)),IFERROR(_xlfn.NUMBERVALUE(SUBSTITUTE(LEFT(TRIM(C139),FIND(" ",TRIM(C139)&amp;" ")-1),",","."),"."),LEFT(SUBSTITUTE(LEFT(TRIM(C139),FIND(" ",TRIM(C139)&amp;" ")-1),",","."),FIND("/",SUBSTITUTE(LEFT(TRIM(C139),FIND(" ",TRIM(C139)&amp;" ")-1),",","."))-1)/MID(SUBSTITUTE(LEFT(TRIM(C139),FIND(" ",TRIM(C139)&amp;" ")-1),",","."),FIND("/",SUBSTITUTE(LEFT(TRIM(C139),FIND(" ",TRIM(C139)&amp;" ")-1),",","."))+1,9)),IF(ISNUMBER(SEARCH("yea",C139)),IFERROR(_xlfn.NUMBERVALUE(SUBSTITUTE(LEFT(TRIM(C139),FIND(" ",TRIM(C139)&amp;" ")-1),",","."),"."),LEFT(SUBSTITUTE(LEFT(TRIM(C139),FIND(" ",TRIM(C139)&amp;" ")-1),",","."),FIND("/",SUBSTITUTE(LEFT(TRIM(C139),FIND(" ",TRIM(C139)&amp;" ")-1),",","."))-1)/MID(SUBSTITUTE(LEFT(TRIM(C139),FIND(" ",TRIM(C139)&amp;" ")-1),",","."),FIND("/",SUBSTITUTE(LEFT(TRIM(C139),FIND(" ",TRIM(C139)&amp;" ")-1),",","."))+1,9))*12,NA()))),0),24)*'Aturan &amp; Tarif'!$B$4,2)</f>
        <v>1362.72</v>
      </c>
      <c r="K139" s="42" t="n">
        <f aca="false">'Aturan &amp; Tarif'!$B$5</f>
        <v>2050</v>
      </c>
      <c r="L139" s="42" t="n">
        <f aca="false">'Aturan &amp; Tarif'!$B$6</f>
        <v>350</v>
      </c>
      <c r="M139" s="35" t="n">
        <f aca="false">I139+J139+K139+L139</f>
        <v>6512.72</v>
      </c>
      <c r="N139" s="45" t="s">
        <v>466</v>
      </c>
    </row>
    <row r="140" customFormat="false" ht="25.5" hidden="false" customHeight="true" outlineLevel="0" collapsed="false">
      <c r="A140" s="39"/>
      <c r="B140" s="40" t="s">
        <v>467</v>
      </c>
      <c r="C140" s="41" t="s">
        <v>107</v>
      </c>
      <c r="D140" s="41" t="s">
        <v>108</v>
      </c>
      <c r="E140" s="42" t="n">
        <v>1320</v>
      </c>
      <c r="F140" s="42" t="n">
        <v>1000</v>
      </c>
      <c r="G140" s="42" t="n">
        <v>200</v>
      </c>
      <c r="H140" s="43" t="n">
        <v>1</v>
      </c>
      <c r="I140" s="34" t="n">
        <f aca="false">E140*H140+N(F140)+N(G140)</f>
        <v>2520</v>
      </c>
      <c r="J140" s="42" t="n">
        <f aca="false">ROUND(IFERROR(ROUND(IF(OR(ISNUMBER(SEARCH("week",C140)),ISNUMBER(SEARCH("minggu",C140))),IFERROR(_xlfn.NUMBERVALUE(SUBSTITUTE(LEFT(TRIM(C140),FIND(" ",TRIM(C140)&amp;" ")-1),",","."),"."),LEFT(SUBSTITUTE(LEFT(TRIM(C140),FIND(" ",TRIM(C140)&amp;" ")-1),",","."),FIND("/",SUBSTITUTE(LEFT(TRIM(C140),FIND(" ",TRIM(C140)&amp;" ")-1),",","."))-1)/MID(SUBSTITUTE(LEFT(TRIM(C140),FIND(" ",TRIM(C140)&amp;" ")-1),",","."),FIND("/",SUBSTITUTE(LEFT(TRIM(C140),FIND(" ",TRIM(C140)&amp;" ")-1),",","."))+1,9))*12/52,IF(ISNUMBER(SEARCH("month",C140)),IFERROR(_xlfn.NUMBERVALUE(SUBSTITUTE(LEFT(TRIM(C140),FIND(" ",TRIM(C140)&amp;" ")-1),",","."),"."),LEFT(SUBSTITUTE(LEFT(TRIM(C140),FIND(" ",TRIM(C140)&amp;" ")-1),",","."),FIND("/",SUBSTITUTE(LEFT(TRIM(C140),FIND(" ",TRIM(C140)&amp;" ")-1),",","."))-1)/MID(SUBSTITUTE(LEFT(TRIM(C140),FIND(" ",TRIM(C140)&amp;" ")-1),",","."),FIND("/",SUBSTITUTE(LEFT(TRIM(C140),FIND(" ",TRIM(C140)&amp;" ")-1),",","."))+1,9)),IF(ISNUMBER(SEARCH("yea",C140)),IFERROR(_xlfn.NUMBERVALUE(SUBSTITUTE(LEFT(TRIM(C140),FIND(" ",TRIM(C140)&amp;" ")-1),",","."),"."),LEFT(SUBSTITUTE(LEFT(TRIM(C140),FIND(" ",TRIM(C140)&amp;" ")-1),",","."),FIND("/",SUBSTITUTE(LEFT(TRIM(C140),FIND(" ",TRIM(C140)&amp;" ")-1),",","."))-1)/MID(SUBSTITUTE(LEFT(TRIM(C140),FIND(" ",TRIM(C140)&amp;" ")-1),",","."),FIND("/",SUBSTITUTE(LEFT(TRIM(C140),FIND(" ",TRIM(C140)&amp;" ")-1),",","."))+1,9))*12,NA()))),0),24)*'Aturan &amp; Tarif'!$B$4,2)</f>
        <v>1362.72</v>
      </c>
      <c r="K140" s="42" t="n">
        <f aca="false">'Aturan &amp; Tarif'!$B$5</f>
        <v>2050</v>
      </c>
      <c r="L140" s="42" t="n">
        <f aca="false">'Aturan &amp; Tarif'!$B$6</f>
        <v>350</v>
      </c>
      <c r="M140" s="35" t="n">
        <f aca="false">I140+J140+K140+L140</f>
        <v>6282.72</v>
      </c>
      <c r="N140" s="45" t="s">
        <v>466</v>
      </c>
    </row>
    <row r="141" customFormat="false" ht="37.5" hidden="false" customHeight="true" outlineLevel="0" collapsed="false">
      <c r="A141" s="39" t="s">
        <v>468</v>
      </c>
      <c r="B141" s="40" t="s">
        <v>148</v>
      </c>
      <c r="C141" s="41" t="s">
        <v>107</v>
      </c>
      <c r="D141" s="41" t="s">
        <v>108</v>
      </c>
      <c r="E141" s="42" t="n">
        <v>3750</v>
      </c>
      <c r="F141" s="42" t="n">
        <v>1500</v>
      </c>
      <c r="G141" s="42" t="n">
        <v>250</v>
      </c>
      <c r="H141" s="43" t="n">
        <v>2</v>
      </c>
      <c r="I141" s="34" t="n">
        <f aca="false">E141*H141+N(F141)+N(G141)</f>
        <v>9250</v>
      </c>
      <c r="J141" s="42" t="n">
        <f aca="false">ROUND(IFERROR(ROUND(IF(OR(ISNUMBER(SEARCH("week",C141)),ISNUMBER(SEARCH("minggu",C141))),IFERROR(_xlfn.NUMBERVALUE(SUBSTITUTE(LEFT(TRIM(C141),FIND(" ",TRIM(C141)&amp;" ")-1),",","."),"."),LEFT(SUBSTITUTE(LEFT(TRIM(C141),FIND(" ",TRIM(C141)&amp;" ")-1),",","."),FIND("/",SUBSTITUTE(LEFT(TRIM(C141),FIND(" ",TRIM(C141)&amp;" ")-1),",","."))-1)/MID(SUBSTITUTE(LEFT(TRIM(C141),FIND(" ",TRIM(C141)&amp;" ")-1),",","."),FIND("/",SUBSTITUTE(LEFT(TRIM(C141),FIND(" ",TRIM(C141)&amp;" ")-1),",","."))+1,9))*12/52,IF(ISNUMBER(SEARCH("month",C141)),IFERROR(_xlfn.NUMBERVALUE(SUBSTITUTE(LEFT(TRIM(C141),FIND(" ",TRIM(C141)&amp;" ")-1),",","."),"."),LEFT(SUBSTITUTE(LEFT(TRIM(C141),FIND(" ",TRIM(C141)&amp;" ")-1),",","."),FIND("/",SUBSTITUTE(LEFT(TRIM(C141),FIND(" ",TRIM(C141)&amp;" ")-1),",","."))-1)/MID(SUBSTITUTE(LEFT(TRIM(C141),FIND(" ",TRIM(C141)&amp;" ")-1),",","."),FIND("/",SUBSTITUTE(LEFT(TRIM(C141),FIND(" ",TRIM(C141)&amp;" ")-1),",","."))+1,9)),IF(ISNUMBER(SEARCH("yea",C141)),IFERROR(_xlfn.NUMBERVALUE(SUBSTITUTE(LEFT(TRIM(C141),FIND(" ",TRIM(C141)&amp;" ")-1),",","."),"."),LEFT(SUBSTITUTE(LEFT(TRIM(C141),FIND(" ",TRIM(C141)&amp;" ")-1),",","."),FIND("/",SUBSTITUTE(LEFT(TRIM(C141),FIND(" ",TRIM(C141)&amp;" ")-1),",","."))-1)/MID(SUBSTITUTE(LEFT(TRIM(C141),FIND(" ",TRIM(C141)&amp;" ")-1),",","."),FIND("/",SUBSTITUTE(LEFT(TRIM(C141),FIND(" ",TRIM(C141)&amp;" ")-1),",","."))+1,9))*12,NA()))),0),24)*'Aturan &amp; Tarif'!$B$4,2)</f>
        <v>1362.72</v>
      </c>
      <c r="K141" s="42" t="n">
        <f aca="false">'Aturan &amp; Tarif'!$B$5</f>
        <v>2050</v>
      </c>
      <c r="L141" s="42" t="n">
        <f aca="false">'Aturan &amp; Tarif'!$B$6</f>
        <v>350</v>
      </c>
      <c r="M141" s="35" t="n">
        <f aca="false">I141+J141+K141+L141</f>
        <v>13012.72</v>
      </c>
      <c r="N141" s="45" t="s">
        <v>469</v>
      </c>
    </row>
    <row r="142" customFormat="false" ht="37.5" hidden="false" customHeight="true" outlineLevel="0" collapsed="false">
      <c r="A142" s="39"/>
      <c r="B142" s="40" t="s">
        <v>470</v>
      </c>
      <c r="C142" s="41" t="s">
        <v>107</v>
      </c>
      <c r="D142" s="41" t="s">
        <v>108</v>
      </c>
      <c r="E142" s="42" t="n">
        <v>4375</v>
      </c>
      <c r="F142" s="42" t="n">
        <v>750</v>
      </c>
      <c r="G142" s="42" t="n">
        <v>250</v>
      </c>
      <c r="H142" s="43" t="n">
        <v>2</v>
      </c>
      <c r="I142" s="34" t="n">
        <f aca="false">E142*H142+N(F142)+N(G142)</f>
        <v>9750</v>
      </c>
      <c r="J142" s="42" t="n">
        <f aca="false">ROUND(IFERROR(ROUND(IF(OR(ISNUMBER(SEARCH("week",C142)),ISNUMBER(SEARCH("minggu",C142))),IFERROR(_xlfn.NUMBERVALUE(SUBSTITUTE(LEFT(TRIM(C142),FIND(" ",TRIM(C142)&amp;" ")-1),",","."),"."),LEFT(SUBSTITUTE(LEFT(TRIM(C142),FIND(" ",TRIM(C142)&amp;" ")-1),",","."),FIND("/",SUBSTITUTE(LEFT(TRIM(C142),FIND(" ",TRIM(C142)&amp;" ")-1),",","."))-1)/MID(SUBSTITUTE(LEFT(TRIM(C142),FIND(" ",TRIM(C142)&amp;" ")-1),",","."),FIND("/",SUBSTITUTE(LEFT(TRIM(C142),FIND(" ",TRIM(C142)&amp;" ")-1),",","."))+1,9))*12/52,IF(ISNUMBER(SEARCH("month",C142)),IFERROR(_xlfn.NUMBERVALUE(SUBSTITUTE(LEFT(TRIM(C142),FIND(" ",TRIM(C142)&amp;" ")-1),",","."),"."),LEFT(SUBSTITUTE(LEFT(TRIM(C142),FIND(" ",TRIM(C142)&amp;" ")-1),",","."),FIND("/",SUBSTITUTE(LEFT(TRIM(C142),FIND(" ",TRIM(C142)&amp;" ")-1),",","."))-1)/MID(SUBSTITUTE(LEFT(TRIM(C142),FIND(" ",TRIM(C142)&amp;" ")-1),",","."),FIND("/",SUBSTITUTE(LEFT(TRIM(C142),FIND(" ",TRIM(C142)&amp;" ")-1),",","."))+1,9)),IF(ISNUMBER(SEARCH("yea",C142)),IFERROR(_xlfn.NUMBERVALUE(SUBSTITUTE(LEFT(TRIM(C142),FIND(" ",TRIM(C142)&amp;" ")-1),",","."),"."),LEFT(SUBSTITUTE(LEFT(TRIM(C142),FIND(" ",TRIM(C142)&amp;" ")-1),",","."),FIND("/",SUBSTITUTE(LEFT(TRIM(C142),FIND(" ",TRIM(C142)&amp;" ")-1),",","."))-1)/MID(SUBSTITUTE(LEFT(TRIM(C142),FIND(" ",TRIM(C142)&amp;" ")-1),",","."),FIND("/",SUBSTITUTE(LEFT(TRIM(C142),FIND(" ",TRIM(C142)&amp;" ")-1),",","."))+1,9))*12,NA()))),0),24)*'Aturan &amp; Tarif'!$B$4,2)</f>
        <v>1362.72</v>
      </c>
      <c r="K142" s="42" t="n">
        <f aca="false">'Aturan &amp; Tarif'!$B$5</f>
        <v>2050</v>
      </c>
      <c r="L142" s="42" t="n">
        <f aca="false">'Aturan &amp; Tarif'!$B$6</f>
        <v>350</v>
      </c>
      <c r="M142" s="35" t="n">
        <f aca="false">I142+J142+K142+L142</f>
        <v>13512.72</v>
      </c>
      <c r="N142" s="45" t="s">
        <v>469</v>
      </c>
    </row>
    <row r="143" customFormat="false" ht="14.25" hidden="false" customHeight="true" outlineLevel="0" collapsed="false">
      <c r="A143" s="39"/>
      <c r="B143" s="40" t="s">
        <v>471</v>
      </c>
      <c r="C143" s="41" t="s">
        <v>107</v>
      </c>
      <c r="D143" s="41" t="s">
        <v>108</v>
      </c>
      <c r="E143" s="42" t="n">
        <v>3437.5</v>
      </c>
      <c r="F143" s="42" t="n">
        <v>2000</v>
      </c>
      <c r="G143" s="42" t="n">
        <v>250</v>
      </c>
      <c r="H143" s="43" t="n">
        <v>2</v>
      </c>
      <c r="I143" s="34" t="n">
        <f aca="false">E143*H143+N(F143)+N(G143)</f>
        <v>9125</v>
      </c>
      <c r="J143" s="42" t="n">
        <f aca="false">ROUND(IFERROR(ROUND(IF(OR(ISNUMBER(SEARCH("week",C143)),ISNUMBER(SEARCH("minggu",C143))),IFERROR(_xlfn.NUMBERVALUE(SUBSTITUTE(LEFT(TRIM(C143),FIND(" ",TRIM(C143)&amp;" ")-1),",","."),"."),LEFT(SUBSTITUTE(LEFT(TRIM(C143),FIND(" ",TRIM(C143)&amp;" ")-1),",","."),FIND("/",SUBSTITUTE(LEFT(TRIM(C143),FIND(" ",TRIM(C143)&amp;" ")-1),",","."))-1)/MID(SUBSTITUTE(LEFT(TRIM(C143),FIND(" ",TRIM(C143)&amp;" ")-1),",","."),FIND("/",SUBSTITUTE(LEFT(TRIM(C143),FIND(" ",TRIM(C143)&amp;" ")-1),",","."))+1,9))*12/52,IF(ISNUMBER(SEARCH("month",C143)),IFERROR(_xlfn.NUMBERVALUE(SUBSTITUTE(LEFT(TRIM(C143),FIND(" ",TRIM(C143)&amp;" ")-1),",","."),"."),LEFT(SUBSTITUTE(LEFT(TRIM(C143),FIND(" ",TRIM(C143)&amp;" ")-1),",","."),FIND("/",SUBSTITUTE(LEFT(TRIM(C143),FIND(" ",TRIM(C143)&amp;" ")-1),",","."))-1)/MID(SUBSTITUTE(LEFT(TRIM(C143),FIND(" ",TRIM(C143)&amp;" ")-1),",","."),FIND("/",SUBSTITUTE(LEFT(TRIM(C143),FIND(" ",TRIM(C143)&amp;" ")-1),",","."))+1,9)),IF(ISNUMBER(SEARCH("yea",C143)),IFERROR(_xlfn.NUMBERVALUE(SUBSTITUTE(LEFT(TRIM(C143),FIND(" ",TRIM(C143)&amp;" ")-1),",","."),"."),LEFT(SUBSTITUTE(LEFT(TRIM(C143),FIND(" ",TRIM(C143)&amp;" ")-1),",","."),FIND("/",SUBSTITUTE(LEFT(TRIM(C143),FIND(" ",TRIM(C143)&amp;" ")-1),",","."))-1)/MID(SUBSTITUTE(LEFT(TRIM(C143),FIND(" ",TRIM(C143)&amp;" ")-1),",","."),FIND("/",SUBSTITUTE(LEFT(TRIM(C143),FIND(" ",TRIM(C143)&amp;" ")-1),",","."))+1,9))*12,NA()))),0),24)*'Aturan &amp; Tarif'!$B$4,2)</f>
        <v>1362.72</v>
      </c>
      <c r="K143" s="42" t="n">
        <f aca="false">'Aturan &amp; Tarif'!$B$5</f>
        <v>2050</v>
      </c>
      <c r="L143" s="42" t="n">
        <f aca="false">'Aturan &amp; Tarif'!$B$6</f>
        <v>350</v>
      </c>
      <c r="M143" s="35" t="n">
        <f aca="false">I143+J143+K143+L143</f>
        <v>12887.72</v>
      </c>
      <c r="N143" s="45" t="s">
        <v>469</v>
      </c>
    </row>
    <row r="144" customFormat="false" ht="37.5" hidden="false" customHeight="true" outlineLevel="0" collapsed="false">
      <c r="A144" s="29" t="s">
        <v>472</v>
      </c>
      <c r="B144" s="30" t="s">
        <v>473</v>
      </c>
      <c r="C144" s="31" t="s">
        <v>138</v>
      </c>
      <c r="D144" s="31" t="s">
        <v>108</v>
      </c>
      <c r="E144" s="32" t="n">
        <v>2600</v>
      </c>
      <c r="F144" s="32" t="n">
        <v>1000</v>
      </c>
      <c r="G144" s="32" t="n">
        <v>250</v>
      </c>
      <c r="H144" s="33" t="n">
        <v>1</v>
      </c>
      <c r="I144" s="34" t="n">
        <f aca="false">E144*H144+N(F144)+N(G144)</f>
        <v>3850</v>
      </c>
      <c r="J144" s="32" t="n">
        <f aca="false">ROUND(IFERROR(ROUND(IF(OR(ISNUMBER(SEARCH("week",C144)),ISNUMBER(SEARCH("minggu",C144))),IFERROR(_xlfn.NUMBERVALUE(SUBSTITUTE(LEFT(TRIM(C144),FIND(" ",TRIM(C144)&amp;" ")-1),",","."),"."),LEFT(SUBSTITUTE(LEFT(TRIM(C144),FIND(" ",TRIM(C144)&amp;" ")-1),",","."),FIND("/",SUBSTITUTE(LEFT(TRIM(C144),FIND(" ",TRIM(C144)&amp;" ")-1),",","."))-1)/MID(SUBSTITUTE(LEFT(TRIM(C144),FIND(" ",TRIM(C144)&amp;" ")-1),",","."),FIND("/",SUBSTITUTE(LEFT(TRIM(C144),FIND(" ",TRIM(C144)&amp;" ")-1),",","."))+1,9))*12/52,IF(ISNUMBER(SEARCH("month",C144)),IFERROR(_xlfn.NUMBERVALUE(SUBSTITUTE(LEFT(TRIM(C144),FIND(" ",TRIM(C144)&amp;" ")-1),",","."),"."),LEFT(SUBSTITUTE(LEFT(TRIM(C144),FIND(" ",TRIM(C144)&amp;" ")-1),",","."),FIND("/",SUBSTITUTE(LEFT(TRIM(C144),FIND(" ",TRIM(C144)&amp;" ")-1),",","."))-1)/MID(SUBSTITUTE(LEFT(TRIM(C144),FIND(" ",TRIM(C144)&amp;" ")-1),",","."),FIND("/",SUBSTITUTE(LEFT(TRIM(C144),FIND(" ",TRIM(C144)&amp;" ")-1),",","."))+1,9)),IF(ISNUMBER(SEARCH("yea",C144)),IFERROR(_xlfn.NUMBERVALUE(SUBSTITUTE(LEFT(TRIM(C144),FIND(" ",TRIM(C144)&amp;" ")-1),",","."),"."),LEFT(SUBSTITUTE(LEFT(TRIM(C144),FIND(" ",TRIM(C144)&amp;" ")-1),",","."),FIND("/",SUBSTITUTE(LEFT(TRIM(C144),FIND(" ",TRIM(C144)&amp;" ")-1),",","."))-1)/MID(SUBSTITUTE(LEFT(TRIM(C144),FIND(" ",TRIM(C144)&amp;" ")-1),",","."),FIND("/",SUBSTITUTE(LEFT(TRIM(C144),FIND(" ",TRIM(C144)&amp;" ")-1),",","."))+1,9))*12,NA()))),0),30)*'Aturan &amp; Tarif'!$B$4,2)</f>
        <v>1703.4</v>
      </c>
      <c r="K144" s="32" t="n">
        <f aca="false">'Aturan &amp; Tarif'!$B$5</f>
        <v>2050</v>
      </c>
      <c r="L144" s="32" t="n">
        <f aca="false">'Aturan &amp; Tarif'!$B$6</f>
        <v>350</v>
      </c>
      <c r="M144" s="35" t="n">
        <f aca="false">I144+J144+K144+L144</f>
        <v>7953.4</v>
      </c>
      <c r="N144" s="37" t="s">
        <v>134</v>
      </c>
    </row>
    <row r="145" customFormat="false" ht="37.5" hidden="false" customHeight="true" outlineLevel="0" collapsed="false">
      <c r="A145" s="29"/>
      <c r="B145" s="30" t="s">
        <v>474</v>
      </c>
      <c r="C145" s="31" t="s">
        <v>107</v>
      </c>
      <c r="D145" s="31" t="s">
        <v>108</v>
      </c>
      <c r="E145" s="32" t="n">
        <v>2815</v>
      </c>
      <c r="F145" s="32" t="n">
        <v>1200</v>
      </c>
      <c r="G145" s="32" t="n">
        <v>500</v>
      </c>
      <c r="H145" s="33" t="n">
        <v>1</v>
      </c>
      <c r="I145" s="34" t="n">
        <f aca="false">E145*H145+N(F145)+N(G145)</f>
        <v>4515</v>
      </c>
      <c r="J145" s="32" t="n">
        <f aca="false">ROUND(IFERROR(ROUND(IF(OR(ISNUMBER(SEARCH("week",C145)),ISNUMBER(SEARCH("minggu",C145))),IFERROR(_xlfn.NUMBERVALUE(SUBSTITUTE(LEFT(TRIM(C145),FIND(" ",TRIM(C145)&amp;" ")-1),",","."),"."),LEFT(SUBSTITUTE(LEFT(TRIM(C145),FIND(" ",TRIM(C145)&amp;" ")-1),",","."),FIND("/",SUBSTITUTE(LEFT(TRIM(C145),FIND(" ",TRIM(C145)&amp;" ")-1),",","."))-1)/MID(SUBSTITUTE(LEFT(TRIM(C145),FIND(" ",TRIM(C145)&amp;" ")-1),",","."),FIND("/",SUBSTITUTE(LEFT(TRIM(C145),FIND(" ",TRIM(C145)&amp;" ")-1),",","."))+1,9))*12/52,IF(ISNUMBER(SEARCH("month",C145)),IFERROR(_xlfn.NUMBERVALUE(SUBSTITUTE(LEFT(TRIM(C145),FIND(" ",TRIM(C145)&amp;" ")-1),",","."),"."),LEFT(SUBSTITUTE(LEFT(TRIM(C145),FIND(" ",TRIM(C145)&amp;" ")-1),",","."),FIND("/",SUBSTITUTE(LEFT(TRIM(C145),FIND(" ",TRIM(C145)&amp;" ")-1),",","."))-1)/MID(SUBSTITUTE(LEFT(TRIM(C145),FIND(" ",TRIM(C145)&amp;" ")-1),",","."),FIND("/",SUBSTITUTE(LEFT(TRIM(C145),FIND(" ",TRIM(C145)&amp;" ")-1),",","."))+1,9)),IF(ISNUMBER(SEARCH("yea",C145)),IFERROR(_xlfn.NUMBERVALUE(SUBSTITUTE(LEFT(TRIM(C145),FIND(" ",TRIM(C145)&amp;" ")-1),",","."),"."),LEFT(SUBSTITUTE(LEFT(TRIM(C145),FIND(" ",TRIM(C145)&amp;" ")-1),",","."),FIND("/",SUBSTITUTE(LEFT(TRIM(C145),FIND(" ",TRIM(C145)&amp;" ")-1),",","."))-1)/MID(SUBSTITUTE(LEFT(TRIM(C145),FIND(" ",TRIM(C145)&amp;" ")-1),",","."),FIND("/",SUBSTITUTE(LEFT(TRIM(C145),FIND(" ",TRIM(C145)&amp;" ")-1),",","."))+1,9))*12,NA()))),0),24)*'Aturan &amp; Tarif'!$B$4,2)</f>
        <v>1362.72</v>
      </c>
      <c r="K145" s="32" t="n">
        <f aca="false">'Aturan &amp; Tarif'!$B$5</f>
        <v>2050</v>
      </c>
      <c r="L145" s="32" t="n">
        <f aca="false">'Aturan &amp; Tarif'!$B$6</f>
        <v>350</v>
      </c>
      <c r="M145" s="35" t="n">
        <f aca="false">I145+J145+K145+L145</f>
        <v>8277.72</v>
      </c>
      <c r="N145" s="37" t="s">
        <v>134</v>
      </c>
    </row>
    <row r="146" customFormat="false" ht="25.5" hidden="false" customHeight="true" outlineLevel="0" collapsed="false">
      <c r="A146" s="29"/>
      <c r="B146" s="30" t="s">
        <v>475</v>
      </c>
      <c r="C146" s="31" t="s">
        <v>127</v>
      </c>
      <c r="D146" s="31" t="s">
        <v>108</v>
      </c>
      <c r="E146" s="32" t="n">
        <v>2375</v>
      </c>
      <c r="F146" s="32" t="n">
        <v>1100</v>
      </c>
      <c r="G146" s="32" t="n">
        <v>250</v>
      </c>
      <c r="H146" s="33" t="n">
        <v>1</v>
      </c>
      <c r="I146" s="34" t="n">
        <f aca="false">E146*H146+N(F146)+N(G146)</f>
        <v>3725</v>
      </c>
      <c r="J146" s="32" t="n">
        <f aca="false">ROUND(IFERROR(ROUND(IF(OR(ISNUMBER(SEARCH("week",C146)),ISNUMBER(SEARCH("minggu",C146))),IFERROR(_xlfn.NUMBERVALUE(SUBSTITUTE(LEFT(TRIM(C146),FIND(" ",TRIM(C146)&amp;" ")-1),",","."),"."),LEFT(SUBSTITUTE(LEFT(TRIM(C146),FIND(" ",TRIM(C146)&amp;" ")-1),",","."),FIND("/",SUBSTITUTE(LEFT(TRIM(C146),FIND(" ",TRIM(C146)&amp;" ")-1),",","."))-1)/MID(SUBSTITUTE(LEFT(TRIM(C146),FIND(" ",TRIM(C146)&amp;" ")-1),",","."),FIND("/",SUBSTITUTE(LEFT(TRIM(C146),FIND(" ",TRIM(C146)&amp;" ")-1),",","."))+1,9))*12/52,IF(ISNUMBER(SEARCH("month",C146)),IFERROR(_xlfn.NUMBERVALUE(SUBSTITUTE(LEFT(TRIM(C146),FIND(" ",TRIM(C146)&amp;" ")-1),",","."),"."),LEFT(SUBSTITUTE(LEFT(TRIM(C146),FIND(" ",TRIM(C146)&amp;" ")-1),",","."),FIND("/",SUBSTITUTE(LEFT(TRIM(C146),FIND(" ",TRIM(C146)&amp;" ")-1),",","."))-1)/MID(SUBSTITUTE(LEFT(TRIM(C146),FIND(" ",TRIM(C146)&amp;" ")-1),",","."),FIND("/",SUBSTITUTE(LEFT(TRIM(C146),FIND(" ",TRIM(C146)&amp;" ")-1),",","."))+1,9)),IF(ISNUMBER(SEARCH("yea",C146)),IFERROR(_xlfn.NUMBERVALUE(SUBSTITUTE(LEFT(TRIM(C146),FIND(" ",TRIM(C146)&amp;" ")-1),",","."),"."),LEFT(SUBSTITUTE(LEFT(TRIM(C146),FIND(" ",TRIM(C146)&amp;" ")-1),",","."),FIND("/",SUBSTITUTE(LEFT(TRIM(C146),FIND(" ",TRIM(C146)&amp;" ")-1),",","."))-1)/MID(SUBSTITUTE(LEFT(TRIM(C146),FIND(" ",TRIM(C146)&amp;" ")-1),",","."),FIND("/",SUBSTITUTE(LEFT(TRIM(C146),FIND(" ",TRIM(C146)&amp;" ")-1),",","."))+1,9))*12,NA()))),0),36)*'Aturan &amp; Tarif'!$B$4,2)</f>
        <v>2044.08</v>
      </c>
      <c r="K146" s="32" t="n">
        <f aca="false">'Aturan &amp; Tarif'!$B$5</f>
        <v>2050</v>
      </c>
      <c r="L146" s="32" t="n">
        <f aca="false">'Aturan &amp; Tarif'!$B$6</f>
        <v>350</v>
      </c>
      <c r="M146" s="35" t="n">
        <f aca="false">I146+J146+K146+L146</f>
        <v>8169.08</v>
      </c>
      <c r="N146" s="37" t="s">
        <v>134</v>
      </c>
    </row>
    <row r="147" customFormat="false" ht="25.5" hidden="false" customHeight="true" outlineLevel="0" collapsed="false">
      <c r="A147" s="29"/>
      <c r="B147" s="30" t="s">
        <v>476</v>
      </c>
      <c r="C147" s="31" t="s">
        <v>107</v>
      </c>
      <c r="D147" s="31" t="s">
        <v>108</v>
      </c>
      <c r="E147" s="32" t="n">
        <v>2000</v>
      </c>
      <c r="F147" s="32" t="n">
        <v>200</v>
      </c>
      <c r="G147" s="32" t="n">
        <v>250</v>
      </c>
      <c r="H147" s="33" t="n">
        <v>1</v>
      </c>
      <c r="I147" s="34" t="n">
        <f aca="false">E147*H147+N(F147)+N(G147)</f>
        <v>2450</v>
      </c>
      <c r="J147" s="32" t="n">
        <f aca="false">ROUND(IFERROR(ROUND(IF(OR(ISNUMBER(SEARCH("week",C147)),ISNUMBER(SEARCH("minggu",C147))),IFERROR(_xlfn.NUMBERVALUE(SUBSTITUTE(LEFT(TRIM(C147),FIND(" ",TRIM(C147)&amp;" ")-1),",","."),"."),LEFT(SUBSTITUTE(LEFT(TRIM(C147),FIND(" ",TRIM(C147)&amp;" ")-1),",","."),FIND("/",SUBSTITUTE(LEFT(TRIM(C147),FIND(" ",TRIM(C147)&amp;" ")-1),",","."))-1)/MID(SUBSTITUTE(LEFT(TRIM(C147),FIND(" ",TRIM(C147)&amp;" ")-1),",","."),FIND("/",SUBSTITUTE(LEFT(TRIM(C147),FIND(" ",TRIM(C147)&amp;" ")-1),",","."))+1,9))*12/52,IF(ISNUMBER(SEARCH("month",C147)),IFERROR(_xlfn.NUMBERVALUE(SUBSTITUTE(LEFT(TRIM(C147),FIND(" ",TRIM(C147)&amp;" ")-1),",","."),"."),LEFT(SUBSTITUTE(LEFT(TRIM(C147),FIND(" ",TRIM(C147)&amp;" ")-1),",","."),FIND("/",SUBSTITUTE(LEFT(TRIM(C147),FIND(" ",TRIM(C147)&amp;" ")-1),",","."))-1)/MID(SUBSTITUTE(LEFT(TRIM(C147),FIND(" ",TRIM(C147)&amp;" ")-1),",","."),FIND("/",SUBSTITUTE(LEFT(TRIM(C147),FIND(" ",TRIM(C147)&amp;" ")-1),",","."))+1,9)),IF(ISNUMBER(SEARCH("yea",C147)),IFERROR(_xlfn.NUMBERVALUE(SUBSTITUTE(LEFT(TRIM(C147),FIND(" ",TRIM(C147)&amp;" ")-1),",","."),"."),LEFT(SUBSTITUTE(LEFT(TRIM(C147),FIND(" ",TRIM(C147)&amp;" ")-1),",","."),FIND("/",SUBSTITUTE(LEFT(TRIM(C147),FIND(" ",TRIM(C147)&amp;" ")-1),",","."))-1)/MID(SUBSTITUTE(LEFT(TRIM(C147),FIND(" ",TRIM(C147)&amp;" ")-1),",","."),FIND("/",SUBSTITUTE(LEFT(TRIM(C147),FIND(" ",TRIM(C147)&amp;" ")-1),",","."))+1,9))*12,NA()))),0),24)*'Aturan &amp; Tarif'!$B$4,2)</f>
        <v>1362.72</v>
      </c>
      <c r="K147" s="32" t="n">
        <f aca="false">'Aturan &amp; Tarif'!$B$5</f>
        <v>2050</v>
      </c>
      <c r="L147" s="32" t="n">
        <f aca="false">'Aturan &amp; Tarif'!$B$6</f>
        <v>350</v>
      </c>
      <c r="M147" s="35" t="n">
        <f aca="false">I147+J147+K147+L147</f>
        <v>6212.72</v>
      </c>
      <c r="N147" s="37" t="s">
        <v>134</v>
      </c>
    </row>
    <row r="148" customFormat="false" ht="72" hidden="false" customHeight="true" outlineLevel="0" collapsed="false">
      <c r="A148" s="29" t="s">
        <v>477</v>
      </c>
      <c r="B148" s="30" t="s">
        <v>478</v>
      </c>
      <c r="C148" s="31" t="s">
        <v>130</v>
      </c>
      <c r="D148" s="31" t="s">
        <v>108</v>
      </c>
      <c r="E148" s="32" t="n">
        <v>2750</v>
      </c>
      <c r="F148" s="32" t="n">
        <v>250</v>
      </c>
      <c r="G148" s="32" t="n">
        <v>150</v>
      </c>
      <c r="H148" s="33" t="n">
        <v>1</v>
      </c>
      <c r="I148" s="34" t="n">
        <f aca="false">E148*H148+N(F148)+N(G148)</f>
        <v>3150</v>
      </c>
      <c r="J148" s="32" t="n">
        <f aca="false">ROUND(IFERROR(ROUND(IF(OR(ISNUMBER(SEARCH("week",C148)),ISNUMBER(SEARCH("minggu",C148))),IFERROR(_xlfn.NUMBERVALUE(SUBSTITUTE(LEFT(TRIM(C148),FIND(" ",TRIM(C148)&amp;" ")-1),",","."),"."),LEFT(SUBSTITUTE(LEFT(TRIM(C148),FIND(" ",TRIM(C148)&amp;" ")-1),",","."),FIND("/",SUBSTITUTE(LEFT(TRIM(C148),FIND(" ",TRIM(C148)&amp;" ")-1),",","."))-1)/MID(SUBSTITUTE(LEFT(TRIM(C148),FIND(" ",TRIM(C148)&amp;" ")-1),",","."),FIND("/",SUBSTITUTE(LEFT(TRIM(C148),FIND(" ",TRIM(C148)&amp;" ")-1),",","."))+1,9))*12/52,IF(ISNUMBER(SEARCH("month",C148)),IFERROR(_xlfn.NUMBERVALUE(SUBSTITUTE(LEFT(TRIM(C148),FIND(" ",TRIM(C148)&amp;" ")-1),",","."),"."),LEFT(SUBSTITUTE(LEFT(TRIM(C148),FIND(" ",TRIM(C148)&amp;" ")-1),",","."),FIND("/",SUBSTITUTE(LEFT(TRIM(C148),FIND(" ",TRIM(C148)&amp;" ")-1),",","."))-1)/MID(SUBSTITUTE(LEFT(TRIM(C148),FIND(" ",TRIM(C148)&amp;" ")-1),",","."),FIND("/",SUBSTITUTE(LEFT(TRIM(C148),FIND(" ",TRIM(C148)&amp;" ")-1),",","."))+1,9)),IF(ISNUMBER(SEARCH("yea",C148)),IFERROR(_xlfn.NUMBERVALUE(SUBSTITUTE(LEFT(TRIM(C148),FIND(" ",TRIM(C148)&amp;" ")-1),",","."),"."),LEFT(SUBSTITUTE(LEFT(TRIM(C148),FIND(" ",TRIM(C148)&amp;" ")-1),",","."),FIND("/",SUBSTITUTE(LEFT(TRIM(C148),FIND(" ",TRIM(C148)&amp;" ")-1),",","."))-1)/MID(SUBSTITUTE(LEFT(TRIM(C148),FIND(" ",TRIM(C148)&amp;" ")-1),",","."),FIND("/",SUBSTITUTE(LEFT(TRIM(C148),FIND(" ",TRIM(C148)&amp;" ")-1),",","."))+1,9))*12,NA()))),0),12)*'Aturan &amp; Tarif'!$B$4,2)</f>
        <v>681.36</v>
      </c>
      <c r="K148" s="32" t="n">
        <f aca="false">'Aturan &amp; Tarif'!$B$5</f>
        <v>2050</v>
      </c>
      <c r="L148" s="32" t="n">
        <f aca="false">'Aturan &amp; Tarif'!$B$6</f>
        <v>350</v>
      </c>
      <c r="M148" s="35" t="n">
        <f aca="false">I148+J148+K148+L148</f>
        <v>6231.36</v>
      </c>
      <c r="N148" s="36" t="s">
        <v>479</v>
      </c>
    </row>
    <row r="149" customFormat="false" ht="14.25" hidden="false" customHeight="true" outlineLevel="0" collapsed="false">
      <c r="A149" s="29"/>
      <c r="B149" s="30" t="s">
        <v>480</v>
      </c>
      <c r="C149" s="31" t="s">
        <v>130</v>
      </c>
      <c r="D149" s="31" t="s">
        <v>108</v>
      </c>
      <c r="E149" s="32" t="n">
        <v>2750</v>
      </c>
      <c r="F149" s="32" t="n">
        <v>250</v>
      </c>
      <c r="G149" s="32" t="n">
        <v>150</v>
      </c>
      <c r="H149" s="33" t="n">
        <v>1</v>
      </c>
      <c r="I149" s="34" t="n">
        <f aca="false">E149*H149+N(F149)+N(G149)</f>
        <v>3150</v>
      </c>
      <c r="J149" s="32" t="n">
        <f aca="false">ROUND(IFERROR(ROUND(IF(OR(ISNUMBER(SEARCH("week",C149)),ISNUMBER(SEARCH("minggu",C149))),IFERROR(_xlfn.NUMBERVALUE(SUBSTITUTE(LEFT(TRIM(C149),FIND(" ",TRIM(C149)&amp;" ")-1),",","."),"."),LEFT(SUBSTITUTE(LEFT(TRIM(C149),FIND(" ",TRIM(C149)&amp;" ")-1),",","."),FIND("/",SUBSTITUTE(LEFT(TRIM(C149),FIND(" ",TRIM(C149)&amp;" ")-1),",","."))-1)/MID(SUBSTITUTE(LEFT(TRIM(C149),FIND(" ",TRIM(C149)&amp;" ")-1),",","."),FIND("/",SUBSTITUTE(LEFT(TRIM(C149),FIND(" ",TRIM(C149)&amp;" ")-1),",","."))+1,9))*12/52,IF(ISNUMBER(SEARCH("month",C149)),IFERROR(_xlfn.NUMBERVALUE(SUBSTITUTE(LEFT(TRIM(C149),FIND(" ",TRIM(C149)&amp;" ")-1),",","."),"."),LEFT(SUBSTITUTE(LEFT(TRIM(C149),FIND(" ",TRIM(C149)&amp;" ")-1),",","."),FIND("/",SUBSTITUTE(LEFT(TRIM(C149),FIND(" ",TRIM(C149)&amp;" ")-1),",","."))-1)/MID(SUBSTITUTE(LEFT(TRIM(C149),FIND(" ",TRIM(C149)&amp;" ")-1),",","."),FIND("/",SUBSTITUTE(LEFT(TRIM(C149),FIND(" ",TRIM(C149)&amp;" ")-1),",","."))+1,9)),IF(ISNUMBER(SEARCH("yea",C149)),IFERROR(_xlfn.NUMBERVALUE(SUBSTITUTE(LEFT(TRIM(C149),FIND(" ",TRIM(C149)&amp;" ")-1),",","."),"."),LEFT(SUBSTITUTE(LEFT(TRIM(C149),FIND(" ",TRIM(C149)&amp;" ")-1),",","."),FIND("/",SUBSTITUTE(LEFT(TRIM(C149),FIND(" ",TRIM(C149)&amp;" ")-1),",","."))-1)/MID(SUBSTITUTE(LEFT(TRIM(C149),FIND(" ",TRIM(C149)&amp;" ")-1),",","."),FIND("/",SUBSTITUTE(LEFT(TRIM(C149),FIND(" ",TRIM(C149)&amp;" ")-1),",","."))+1,9))*12,NA()))),0),12)*'Aturan &amp; Tarif'!$B$4,2)</f>
        <v>681.36</v>
      </c>
      <c r="K149" s="32" t="n">
        <f aca="false">'Aturan &amp; Tarif'!$B$5</f>
        <v>2050</v>
      </c>
      <c r="L149" s="32" t="n">
        <f aca="false">'Aturan &amp; Tarif'!$B$6</f>
        <v>350</v>
      </c>
      <c r="M149" s="35" t="n">
        <f aca="false">I149+J149+K149+L149</f>
        <v>6231.36</v>
      </c>
      <c r="N149" s="37" t="s">
        <v>134</v>
      </c>
    </row>
    <row r="150" customFormat="false" ht="72" hidden="false" customHeight="true" outlineLevel="0" collapsed="false">
      <c r="A150" s="29"/>
      <c r="B150" s="30" t="s">
        <v>481</v>
      </c>
      <c r="C150" s="31" t="s">
        <v>191</v>
      </c>
      <c r="D150" s="31" t="s">
        <v>108</v>
      </c>
      <c r="E150" s="32" t="n">
        <v>2750</v>
      </c>
      <c r="F150" s="32" t="n">
        <v>250</v>
      </c>
      <c r="G150" s="32" t="n">
        <v>150</v>
      </c>
      <c r="H150" s="33" t="n">
        <v>1</v>
      </c>
      <c r="I150" s="34" t="n">
        <f aca="false">E150*H150+N(F150)+N(G150)</f>
        <v>3150</v>
      </c>
      <c r="J150" s="32" t="n">
        <f aca="false">ROUND(IFERROR(ROUND(IF(OR(ISNUMBER(SEARCH("week",C150)),ISNUMBER(SEARCH("minggu",C150))),IFERROR(_xlfn.NUMBERVALUE(SUBSTITUTE(LEFT(TRIM(C150),FIND(" ",TRIM(C150)&amp;" ")-1),",","."),"."),LEFT(SUBSTITUTE(LEFT(TRIM(C150),FIND(" ",TRIM(C150)&amp;" ")-1),",","."),FIND("/",SUBSTITUTE(LEFT(TRIM(C150),FIND(" ",TRIM(C150)&amp;" ")-1),",","."))-1)/MID(SUBSTITUTE(LEFT(TRIM(C150),FIND(" ",TRIM(C150)&amp;" ")-1),",","."),FIND("/",SUBSTITUTE(LEFT(TRIM(C150),FIND(" ",TRIM(C150)&amp;" ")-1),",","."))+1,9))*12/52,IF(ISNUMBER(SEARCH("month",C150)),IFERROR(_xlfn.NUMBERVALUE(SUBSTITUTE(LEFT(TRIM(C150),FIND(" ",TRIM(C150)&amp;" ")-1),",","."),"."),LEFT(SUBSTITUTE(LEFT(TRIM(C150),FIND(" ",TRIM(C150)&amp;" ")-1),",","."),FIND("/",SUBSTITUTE(LEFT(TRIM(C150),FIND(" ",TRIM(C150)&amp;" ")-1),",","."))-1)/MID(SUBSTITUTE(LEFT(TRIM(C150),FIND(" ",TRIM(C150)&amp;" ")-1),",","."),FIND("/",SUBSTITUTE(LEFT(TRIM(C150),FIND(" ",TRIM(C150)&amp;" ")-1),",","."))+1,9)),IF(ISNUMBER(SEARCH("yea",C150)),IFERROR(_xlfn.NUMBERVALUE(SUBSTITUTE(LEFT(TRIM(C150),FIND(" ",TRIM(C150)&amp;" ")-1),",","."),"."),LEFT(SUBSTITUTE(LEFT(TRIM(C150),FIND(" ",TRIM(C150)&amp;" ")-1),",","."),FIND("/",SUBSTITUTE(LEFT(TRIM(C150),FIND(" ",TRIM(C150)&amp;" ")-1),",","."))-1)/MID(SUBSTITUTE(LEFT(TRIM(C150),FIND(" ",TRIM(C150)&amp;" ")-1),",","."),FIND("/",SUBSTITUTE(LEFT(TRIM(C150),FIND(" ",TRIM(C150)&amp;" ")-1),",","."))+1,9))*12,NA()))),0),48)*'Aturan &amp; Tarif'!$B$4,2)</f>
        <v>2725.44</v>
      </c>
      <c r="K150" s="32" t="n">
        <f aca="false">'Aturan &amp; Tarif'!$B$5</f>
        <v>2050</v>
      </c>
      <c r="L150" s="32" t="n">
        <f aca="false">'Aturan &amp; Tarif'!$B$6</f>
        <v>350</v>
      </c>
      <c r="M150" s="35" t="n">
        <f aca="false">I150+J150+K150+L150</f>
        <v>8275.44</v>
      </c>
      <c r="N150" s="36" t="s">
        <v>482</v>
      </c>
    </row>
    <row r="151" customFormat="false" ht="12.75" hidden="false" customHeight="true" outlineLevel="0" collapsed="false"/>
    <row r="152" customFormat="false" ht="12.75" hidden="false" customHeight="true" outlineLevel="0" collapsed="false">
      <c r="A152" s="38" t="s">
        <v>117</v>
      </c>
    </row>
    <row r="153" customFormat="false" ht="12.75" hidden="false" customHeight="true" outlineLevel="0" collapsed="false">
      <c r="A153" s="38" t="s">
        <v>118</v>
      </c>
    </row>
    <row r="154" customFormat="false" ht="12.75" hidden="false" customHeight="true" outlineLevel="0" collapsed="false">
      <c r="A154" s="38" t="s">
        <v>119</v>
      </c>
    </row>
    <row r="155" customFormat="false" ht="12.75" hidden="false" customHeight="true" outlineLevel="0" collapsed="false">
      <c r="A155" s="38" t="s">
        <v>120</v>
      </c>
    </row>
    <row r="156" customFormat="false" ht="54.75" hidden="false" customHeight="true" outlineLevel="0" collapsed="false">
      <c r="A156" s="38" t="s">
        <v>121</v>
      </c>
    </row>
    <row r="157" customFormat="false" ht="27.75" hidden="false" customHeight="true" outlineLevel="0" collapsed="false">
      <c r="A157" s="38" t="s">
        <v>122</v>
      </c>
    </row>
    <row r="158" customFormat="false" ht="18.75" hidden="false" customHeight="true" outlineLevel="0" collapsed="false">
      <c r="A158" s="38" t="s">
        <v>123</v>
      </c>
    </row>
  </sheetData>
  <autoFilter ref="A5:N150"/>
  <conditionalFormatting sqref="J6:J150">
    <cfRule type="expression" priority="2" aboveAverage="0" equalAverage="0" bottom="0" percent="0" rank="0" text="" dxfId="6">
      <formula>AND($E6&lt;&gt;"",OR(ISERROR(ROUND(IF(OR(ISNUMBER(SEARCH("week",C6)),ISNUMBER(SEARCH("minggu",C6))),IFERROR(_xlfn.NUMBERVALUE(SUBSTITUTE(LEFT(TRIM(C6),FIND("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")-1),",","."))+1,9))*12,NA()))),0)&lt;1,1),IFERROR(ROUND(IF(OR(ISNUMBER(SEARCH("week",C6)),ISNUMBER(SEARCH("minggu",C6))),IFERROR(_xlfn.NUMBERVALUE(SUBSTITUTE(LEFT(TRIM(C6),FIND("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")-1),",","."))+1,9))*12,NA()))),0)&gt;96,1)))</formula>
    </cfRule>
  </conditionalFormatting>
  <printOptions headings="false" gridLines="false" gridLinesSet="true" horizontalCentered="true" verticalCentered="false"/>
  <pageMargins left="0.3" right="0.3" top="0.5" bottom="0.5" header="0.2" footer="0.2"/>
  <pageSetup paperSize="9" scale="100" fitToWidth="1" fitToHeight="0" pageOrder="downThenOver" orientation="landscape" blackAndWhite="false" draft="false" cellComments="none" horizontalDpi="300" verticalDpi="300" copies="1"/>
  <headerFooter differentFirst="false" differentOddEven="false">
    <oddHeader>&amp;R&amp;8 OFFSHORE - CANBERRA</oddHeader>
    <oddFooter>&amp;L&amp;8 TEG Pricelist - harga bisa berubah sewaktu-waktu&amp;R&amp;8 Halaman &amp;P dari &amp;N</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6"/>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2" min="2" style="1" width="55"/>
    <col collapsed="false" customWidth="true" hidden="false" outlineLevel="0" max="3" min="3" style="1" width="14"/>
    <col collapsed="false" customWidth="true" hidden="false" outlineLevel="0" max="4" min="4" style="1" width="11"/>
    <col collapsed="false" customWidth="true" hidden="false" outlineLevel="0" max="5" min="5" style="1" width="12"/>
    <col collapsed="false" customWidth="true" hidden="false" outlineLevel="0" max="8" min="6" style="1" width="11"/>
    <col collapsed="false" customWidth="true" hidden="false" outlineLevel="0" max="9" min="9" style="1" width="15"/>
    <col collapsed="false" customWidth="true" hidden="false" outlineLevel="0" max="10" min="10" style="1" width="12"/>
    <col collapsed="false" customWidth="true" hidden="false" outlineLevel="0" max="12" min="11" style="1" width="10"/>
    <col collapsed="false" customWidth="true" hidden="false" outlineLevel="0" max="13" min="13" style="1" width="15"/>
    <col collapsed="false" customWidth="true" hidden="false" outlineLevel="0" max="14" min="14" style="1" width="110"/>
    <col collapsed="false" customWidth="true" hidden="false" outlineLevel="0" max="44" min="15" style="1" width="9"/>
  </cols>
  <sheetData>
    <row r="1" customFormat="false" ht="17.25" hidden="false" customHeight="true" outlineLevel="0" collapsed="false">
      <c r="A1" s="14" t="s">
        <v>483</v>
      </c>
    </row>
    <row r="2" customFormat="false" ht="15" hidden="false" customHeight="true" outlineLevel="0" collapsed="false">
      <c r="A2" s="25" t="s">
        <v>91</v>
      </c>
    </row>
    <row r="3" customFormat="false" ht="15" hidden="false" customHeight="true" outlineLevel="0" collapsed="false">
      <c r="A3" s="26" t="s">
        <v>92</v>
      </c>
    </row>
    <row r="5" customFormat="false" ht="36" hidden="false" customHeight="true" outlineLevel="0" collapsed="false">
      <c r="A5" s="27" t="s">
        <v>93</v>
      </c>
      <c r="B5" s="27" t="s">
        <v>94</v>
      </c>
      <c r="C5" s="27" t="s">
        <v>95</v>
      </c>
      <c r="D5" s="27" t="s">
        <v>96</v>
      </c>
      <c r="E5" s="27" t="s">
        <v>97</v>
      </c>
      <c r="F5" s="27" t="s">
        <v>98</v>
      </c>
      <c r="G5" s="27" t="s">
        <v>99</v>
      </c>
      <c r="H5" s="27" t="s">
        <v>100</v>
      </c>
      <c r="I5" s="27" t="s">
        <v>101</v>
      </c>
      <c r="J5" s="27" t="s">
        <v>10</v>
      </c>
      <c r="K5" s="27" t="s">
        <v>102</v>
      </c>
      <c r="L5" s="27" t="s">
        <v>103</v>
      </c>
      <c r="M5" s="27" t="s">
        <v>104</v>
      </c>
      <c r="N5" s="28" t="s">
        <v>14</v>
      </c>
    </row>
    <row r="6" customFormat="false" ht="14.25" hidden="false" customHeight="true" outlineLevel="0" collapsed="false">
      <c r="A6" s="29" t="s">
        <v>484</v>
      </c>
      <c r="B6" s="30" t="s">
        <v>485</v>
      </c>
      <c r="C6" s="31" t="s">
        <v>486</v>
      </c>
      <c r="D6" s="31" t="s">
        <v>108</v>
      </c>
      <c r="E6" s="32" t="n">
        <v>4000</v>
      </c>
      <c r="F6" s="32" t="n">
        <v>100</v>
      </c>
      <c r="G6" s="32" t="n">
        <v>200</v>
      </c>
      <c r="H6" s="33" t="n">
        <v>2</v>
      </c>
      <c r="I6" s="34" t="n">
        <f aca="false">E6*H6+N(F6)+N(G6)</f>
        <v>8300</v>
      </c>
      <c r="J6" s="32" t="n">
        <f aca="false">ROUND(IFERROR(ROUND(IF(OR(ISNUMBER(SEARCH("week",C6)),ISNUMBER(SEARCH("minggu",C6))),IFERROR(_xlfn.NUMBERVALUE(SUBSTITUTE(LEFT(TRIM(C6),FIND("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")-1),",","."))+1,9))*12,NA()))),0),12)*'Aturan &amp; Tarif'!$B$4,2)</f>
        <v>681.36</v>
      </c>
      <c r="K6" s="32" t="n">
        <f aca="false">'Aturan &amp; Tarif'!$B$5</f>
        <v>2050</v>
      </c>
      <c r="L6" s="32" t="n">
        <f aca="false">'Aturan &amp; Tarif'!$B$6</f>
        <v>350</v>
      </c>
      <c r="M6" s="35" t="n">
        <f aca="false">I6+J6+K6+L6</f>
        <v>11381.36</v>
      </c>
      <c r="N6" s="37" t="s">
        <v>487</v>
      </c>
    </row>
    <row r="7" customFormat="false" ht="14.25" hidden="false" customHeight="true" outlineLevel="0" collapsed="false">
      <c r="A7" s="29"/>
      <c r="B7" s="30" t="s">
        <v>488</v>
      </c>
      <c r="C7" s="31" t="s">
        <v>486</v>
      </c>
      <c r="D7" s="31" t="s">
        <v>108</v>
      </c>
      <c r="E7" s="32" t="n">
        <v>4000</v>
      </c>
      <c r="F7" s="32" t="n">
        <v>100</v>
      </c>
      <c r="G7" s="32" t="n">
        <v>200</v>
      </c>
      <c r="H7" s="33" t="n">
        <v>2</v>
      </c>
      <c r="I7" s="34" t="n">
        <f aca="false">E7*H7+N(F7)+N(G7)</f>
        <v>8300</v>
      </c>
      <c r="J7" s="32" t="n">
        <f aca="false">ROUND(IFERROR(ROUND(IF(OR(ISNUMBER(SEARCH("week",C7)),ISNUMBER(SEARCH("minggu",C7))),IFERROR(_xlfn.NUMBERVALUE(SUBSTITUTE(LEFT(TRIM(C7),FIND(" ",TRIM(C7)&amp;" ")-1),",","."),"."),LEFT(SUBSTITUTE(LEFT(TRIM(C7),FIND(" ",TRIM(C7)&amp;" ")-1),",","."),FIND("/",SUBSTITUTE(LEFT(TRIM(C7),FIND(" ",TRIM(C7)&amp;" ")-1),",","."))-1)/MID(SUBSTITUTE(LEFT(TRIM(C7),FIND(" ",TRIM(C7)&amp;" ")-1),",","."),FIND("/",SUBSTITUTE(LEFT(TRIM(C7),FIND(" ",TRIM(C7)&amp;" ")-1),",","."))+1,9))*12/52,IF(ISNUMBER(SEARCH("month",C7)),IFERROR(_xlfn.NUMBERVALUE(SUBSTITUTE(LEFT(TRIM(C7),FIND(" ",TRIM(C7)&amp;" ")-1),",","."),"."),LEFT(SUBSTITUTE(LEFT(TRIM(C7),FIND(" ",TRIM(C7)&amp;" ")-1),",","."),FIND("/",SUBSTITUTE(LEFT(TRIM(C7),FIND(" ",TRIM(C7)&amp;" ")-1),",","."))-1)/MID(SUBSTITUTE(LEFT(TRIM(C7),FIND(" ",TRIM(C7)&amp;" ")-1),",","."),FIND("/",SUBSTITUTE(LEFT(TRIM(C7),FIND(" ",TRIM(C7)&amp;" ")-1),",","."))+1,9)),IF(ISNUMBER(SEARCH("yea",C7)),IFERROR(_xlfn.NUMBERVALUE(SUBSTITUTE(LEFT(TRIM(C7),FIND(" ",TRIM(C7)&amp;" ")-1),",","."),"."),LEFT(SUBSTITUTE(LEFT(TRIM(C7),FIND(" ",TRIM(C7)&amp;" ")-1),",","."),FIND("/",SUBSTITUTE(LEFT(TRIM(C7),FIND(" ",TRIM(C7)&amp;" ")-1),",","."))-1)/MID(SUBSTITUTE(LEFT(TRIM(C7),FIND(" ",TRIM(C7)&amp;" ")-1),",","."),FIND("/",SUBSTITUTE(LEFT(TRIM(C7),FIND(" ",TRIM(C7)&amp;" ")-1),",","."))+1,9))*12,NA()))),0),12)*'Aturan &amp; Tarif'!$B$4,2)</f>
        <v>681.36</v>
      </c>
      <c r="K7" s="32" t="n">
        <f aca="false">'Aturan &amp; Tarif'!$B$5</f>
        <v>2050</v>
      </c>
      <c r="L7" s="32" t="n">
        <f aca="false">'Aturan &amp; Tarif'!$B$6</f>
        <v>350</v>
      </c>
      <c r="M7" s="35" t="n">
        <f aca="false">I7+J7+K7+L7</f>
        <v>11381.36</v>
      </c>
      <c r="N7" s="37" t="s">
        <v>487</v>
      </c>
    </row>
    <row r="8" customFormat="false" ht="14.25" hidden="false" customHeight="true" outlineLevel="0" collapsed="false">
      <c r="A8" s="29"/>
      <c r="B8" s="30" t="s">
        <v>489</v>
      </c>
      <c r="C8" s="31" t="s">
        <v>107</v>
      </c>
      <c r="D8" s="31" t="s">
        <v>108</v>
      </c>
      <c r="E8" s="32" t="n">
        <v>4000</v>
      </c>
      <c r="F8" s="32" t="n">
        <v>100</v>
      </c>
      <c r="G8" s="32" t="n">
        <v>200</v>
      </c>
      <c r="H8" s="33" t="n">
        <v>2</v>
      </c>
      <c r="I8" s="34" t="n">
        <f aca="false">E8*H8+N(F8)+N(G8)</f>
        <v>8300</v>
      </c>
      <c r="J8" s="32" t="n">
        <f aca="false">ROUND(IFERROR(ROUND(IF(OR(ISNUMBER(SEARCH("week",C8)),ISNUMBER(SEARCH("minggu",C8))),IFERROR(_xlfn.NUMBERVALUE(SUBSTITUTE(LEFT(TRIM(C8),FIND(" ",TRIM(C8)&amp;" ")-1),",","."),"."),LEFT(SUBSTITUTE(LEFT(TRIM(C8),FIND(" ",TRIM(C8)&amp;" ")-1),",","."),FIND("/",SUBSTITUTE(LEFT(TRIM(C8),FIND(" ",TRIM(C8)&amp;" ")-1),",","."))-1)/MID(SUBSTITUTE(LEFT(TRIM(C8),FIND(" ",TRIM(C8)&amp;" ")-1),",","."),FIND("/",SUBSTITUTE(LEFT(TRIM(C8),FIND(" ",TRIM(C8)&amp;" ")-1),",","."))+1,9))*12/52,IF(ISNUMBER(SEARCH("month",C8)),IFERROR(_xlfn.NUMBERVALUE(SUBSTITUTE(LEFT(TRIM(C8),FIND(" ",TRIM(C8)&amp;" ")-1),",","."),"."),LEFT(SUBSTITUTE(LEFT(TRIM(C8),FIND(" ",TRIM(C8)&amp;" ")-1),",","."),FIND("/",SUBSTITUTE(LEFT(TRIM(C8),FIND(" ",TRIM(C8)&amp;" ")-1),",","."))-1)/MID(SUBSTITUTE(LEFT(TRIM(C8),FIND(" ",TRIM(C8)&amp;" ")-1),",","."),FIND("/",SUBSTITUTE(LEFT(TRIM(C8),FIND(" ",TRIM(C8)&amp;" ")-1),",","."))+1,9)),IF(ISNUMBER(SEARCH("yea",C8)),IFERROR(_xlfn.NUMBERVALUE(SUBSTITUTE(LEFT(TRIM(C8),FIND(" ",TRIM(C8)&amp;" ")-1),",","."),"."),LEFT(SUBSTITUTE(LEFT(TRIM(C8),FIND(" ",TRIM(C8)&amp;" ")-1),",","."),FIND("/",SUBSTITUTE(LEFT(TRIM(C8),FIND(" ",TRIM(C8)&amp;" ")-1),",","."))-1)/MID(SUBSTITUTE(LEFT(TRIM(C8),FIND(" ",TRIM(C8)&amp;" ")-1),",","."),FIND("/",SUBSTITUTE(LEFT(TRIM(C8),FIND(" ",TRIM(C8)&amp;" ")-1),",","."))+1,9))*12,NA()))),0),24)*'Aturan &amp; Tarif'!$B$4,2)</f>
        <v>1362.72</v>
      </c>
      <c r="K8" s="32" t="n">
        <f aca="false">'Aturan &amp; Tarif'!$B$5</f>
        <v>2050</v>
      </c>
      <c r="L8" s="32" t="n">
        <f aca="false">'Aturan &amp; Tarif'!$B$6</f>
        <v>350</v>
      </c>
      <c r="M8" s="35" t="n">
        <f aca="false">I8+J8+K8+L8</f>
        <v>12062.72</v>
      </c>
      <c r="N8" s="37" t="s">
        <v>490</v>
      </c>
    </row>
    <row r="10" customFormat="false" ht="12.75" hidden="false" customHeight="true" outlineLevel="0" collapsed="false">
      <c r="A10" s="38" t="s">
        <v>117</v>
      </c>
    </row>
    <row r="11" customFormat="false" ht="12.75" hidden="false" customHeight="true" outlineLevel="0" collapsed="false">
      <c r="A11" s="38" t="s">
        <v>118</v>
      </c>
    </row>
    <row r="12" customFormat="false" ht="12.75" hidden="false" customHeight="true" outlineLevel="0" collapsed="false">
      <c r="A12" s="38" t="s">
        <v>119</v>
      </c>
    </row>
    <row r="13" customFormat="false" ht="12.75" hidden="false" customHeight="true" outlineLevel="0" collapsed="false">
      <c r="A13" s="38" t="s">
        <v>120</v>
      </c>
    </row>
    <row r="14" customFormat="false" ht="12.75" hidden="false" customHeight="true" outlineLevel="0" collapsed="false">
      <c r="A14" s="38" t="s">
        <v>121</v>
      </c>
    </row>
    <row r="15" customFormat="false" ht="12.75" hidden="false" customHeight="true" outlineLevel="0" collapsed="false">
      <c r="A15" s="38" t="s">
        <v>122</v>
      </c>
    </row>
    <row r="16" customFormat="false" ht="12.75" hidden="false" customHeight="true" outlineLevel="0" collapsed="false">
      <c r="A16" s="38" t="s">
        <v>123</v>
      </c>
    </row>
  </sheetData>
  <autoFilter ref="A5:N8"/>
  <conditionalFormatting sqref="J6:J8">
    <cfRule type="expression" priority="2" aboveAverage="0" equalAverage="0" bottom="0" percent="0" rank="0" text="" dxfId="6">
      <formula>AND($E6&lt;&gt;"",OR(ISERROR(ROUND(IF(OR(ISNUMBER(SEARCH("week",C6)),ISNUMBER(SEARCH("minggu",C6))),IFERROR(_xlfn.NUMBERVALUE(SUBSTITUTE(LEFT(TRIM(C6),FIND("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")-1),",","."))+1,9))*12,NA()))),0)&lt;1,1),IFERROR(ROUND(IF(OR(ISNUMBER(SEARCH("week",C6)),ISNUMBER(SEARCH("minggu",C6))),IFERROR(_xlfn.NUMBERVALUE(SUBSTITUTE(LEFT(TRIM(C6),FIND("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")-1),",","."))+1,9))*12,NA()))),0)&gt;96,1)))</formula>
    </cfRule>
  </conditionalFormatting>
  <printOptions headings="false" gridLines="false" gridLinesSet="true" horizontalCentered="true" verticalCentered="false"/>
  <pageMargins left="0.3" right="0.3" top="0.5" bottom="0.5" header="0.2" footer="0.2"/>
  <pageSetup paperSize="9" scale="100" fitToWidth="1" fitToHeight="0" pageOrder="downThenOver" orientation="landscape" blackAndWhite="false" draft="false" cellComments="none" horizontalDpi="300" verticalDpi="300" copies="1"/>
  <headerFooter differentFirst="false" differentOddEven="false">
    <oddHeader>&amp;R&amp;8 OFFSHORE - ARMIDALE</oddHeader>
    <oddFooter>&amp;L&amp;8 TEG Pricelist - harga bisa berubah sewaktu-waktu&amp;R&amp;8 Halaman &amp;P dari &amp;N</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47"/>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2" min="2" style="1" width="55"/>
    <col collapsed="false" customWidth="true" hidden="false" outlineLevel="0" max="3" min="3" style="1" width="14"/>
    <col collapsed="false" customWidth="true" hidden="false" outlineLevel="0" max="4" min="4" style="1" width="11"/>
    <col collapsed="false" customWidth="true" hidden="false" outlineLevel="0" max="5" min="5" style="1" width="12"/>
    <col collapsed="false" customWidth="true" hidden="false" outlineLevel="0" max="8" min="6" style="1" width="11"/>
    <col collapsed="false" customWidth="true" hidden="false" outlineLevel="0" max="9" min="9" style="1" width="15"/>
    <col collapsed="false" customWidth="true" hidden="false" outlineLevel="0" max="10" min="10" style="1" width="12"/>
    <col collapsed="false" customWidth="true" hidden="false" outlineLevel="0" max="12" min="11" style="1" width="10"/>
    <col collapsed="false" customWidth="true" hidden="false" outlineLevel="0" max="13" min="13" style="1" width="15"/>
    <col collapsed="false" customWidth="true" hidden="false" outlineLevel="0" max="14" min="14" style="1" width="110"/>
    <col collapsed="false" customWidth="true" hidden="false" outlineLevel="0" max="44" min="15" style="1" width="9"/>
  </cols>
  <sheetData>
    <row r="1" customFormat="false" ht="17.25" hidden="false" customHeight="true" outlineLevel="0" collapsed="false">
      <c r="A1" s="14" t="s">
        <v>491</v>
      </c>
    </row>
    <row r="2" customFormat="false" ht="15" hidden="false" customHeight="true" outlineLevel="0" collapsed="false">
      <c r="A2" s="25" t="s">
        <v>91</v>
      </c>
    </row>
    <row r="3" customFormat="false" ht="15" hidden="false" customHeight="true" outlineLevel="0" collapsed="false">
      <c r="A3" s="26" t="s">
        <v>92</v>
      </c>
    </row>
    <row r="5" customFormat="false" ht="36" hidden="false" customHeight="true" outlineLevel="0" collapsed="false">
      <c r="A5" s="27" t="s">
        <v>93</v>
      </c>
      <c r="B5" s="27" t="s">
        <v>94</v>
      </c>
      <c r="C5" s="27" t="s">
        <v>95</v>
      </c>
      <c r="D5" s="27" t="s">
        <v>96</v>
      </c>
      <c r="E5" s="27" t="s">
        <v>97</v>
      </c>
      <c r="F5" s="27" t="s">
        <v>98</v>
      </c>
      <c r="G5" s="27" t="s">
        <v>99</v>
      </c>
      <c r="H5" s="27" t="s">
        <v>100</v>
      </c>
      <c r="I5" s="27" t="s">
        <v>101</v>
      </c>
      <c r="J5" s="27" t="s">
        <v>10</v>
      </c>
      <c r="K5" s="27" t="s">
        <v>102</v>
      </c>
      <c r="L5" s="27" t="s">
        <v>103</v>
      </c>
      <c r="M5" s="27" t="s">
        <v>104</v>
      </c>
      <c r="N5" s="28" t="s">
        <v>14</v>
      </c>
    </row>
    <row r="6" customFormat="false" ht="37.5" hidden="false" customHeight="true" outlineLevel="0" collapsed="false">
      <c r="A6" s="29" t="s">
        <v>492</v>
      </c>
      <c r="B6" s="30" t="s">
        <v>493</v>
      </c>
      <c r="C6" s="31" t="s">
        <v>136</v>
      </c>
      <c r="D6" s="31" t="s">
        <v>108</v>
      </c>
      <c r="E6" s="32" t="n">
        <v>3333</v>
      </c>
      <c r="F6" s="32" t="n">
        <v>2000</v>
      </c>
      <c r="G6" s="32" t="n">
        <v>500</v>
      </c>
      <c r="H6" s="33" t="n">
        <v>1</v>
      </c>
      <c r="I6" s="34" t="n">
        <f aca="false">E6*H6+N(F6)+N(G6)</f>
        <v>5833</v>
      </c>
      <c r="J6" s="32" t="n">
        <f aca="false">ROUND(IFERROR(ROUND(IF(OR(ISNUMBER(SEARCH("week",C6)),ISNUMBER(SEARCH("minggu",C6))),IFERROR(_xlfn.NUMBERVALUE(SUBSTITUTE(LEFT(TRIM(C6),FIND("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")-1),",","."))+1,9))*12,NA()))),0),42)*'Aturan &amp; Tarif'!$B$4,2)</f>
        <v>2384.76</v>
      </c>
      <c r="K6" s="32" t="n">
        <f aca="false">'Aturan &amp; Tarif'!$B$5</f>
        <v>2050</v>
      </c>
      <c r="L6" s="32" t="n">
        <f aca="false">'Aturan &amp; Tarif'!$B$6</f>
        <v>350</v>
      </c>
      <c r="M6" s="35" t="n">
        <f aca="false">I6+J6+K6+L6</f>
        <v>10617.76</v>
      </c>
      <c r="N6" s="36" t="s">
        <v>131</v>
      </c>
    </row>
    <row r="7" customFormat="false" ht="37.5" hidden="false" customHeight="true" outlineLevel="0" collapsed="false">
      <c r="A7" s="29"/>
      <c r="B7" s="30" t="s">
        <v>494</v>
      </c>
      <c r="C7" s="31" t="s">
        <v>495</v>
      </c>
      <c r="D7" s="31" t="s">
        <v>108</v>
      </c>
      <c r="E7" s="32" t="n">
        <v>3333</v>
      </c>
      <c r="F7" s="32" t="n">
        <v>2000</v>
      </c>
      <c r="G7" s="32" t="n">
        <v>500</v>
      </c>
      <c r="H7" s="33" t="n">
        <v>1</v>
      </c>
      <c r="I7" s="34" t="n">
        <f aca="false">E7*H7+N(F7)+N(G7)</f>
        <v>5833</v>
      </c>
      <c r="J7" s="32" t="n">
        <f aca="false">ROUND(IFERROR(ROUND(IF(OR(ISNUMBER(SEARCH("week",C7)),ISNUMBER(SEARCH("minggu",C7))),IFERROR(_xlfn.NUMBERVALUE(SUBSTITUTE(LEFT(TRIM(C7),FIND(" ",TRIM(C7)&amp;" ")-1),",","."),"."),LEFT(SUBSTITUTE(LEFT(TRIM(C7),FIND(" ",TRIM(C7)&amp;" ")-1),",","."),FIND("/",SUBSTITUTE(LEFT(TRIM(C7),FIND(" ",TRIM(C7)&amp;" ")-1),",","."))-1)/MID(SUBSTITUTE(LEFT(TRIM(C7),FIND(" ",TRIM(C7)&amp;" ")-1),",","."),FIND("/",SUBSTITUTE(LEFT(TRIM(C7),FIND(" ",TRIM(C7)&amp;" ")-1),",","."))+1,9))*12/52,IF(ISNUMBER(SEARCH("month",C7)),IFERROR(_xlfn.NUMBERVALUE(SUBSTITUTE(LEFT(TRIM(C7),FIND(" ",TRIM(C7)&amp;" ")-1),",","."),"."),LEFT(SUBSTITUTE(LEFT(TRIM(C7),FIND(" ",TRIM(C7)&amp;" ")-1),",","."),FIND("/",SUBSTITUTE(LEFT(TRIM(C7),FIND(" ",TRIM(C7)&amp;" ")-1),",","."))-1)/MID(SUBSTITUTE(LEFT(TRIM(C7),FIND(" ",TRIM(C7)&amp;" ")-1),",","."),FIND("/",SUBSTITUTE(LEFT(TRIM(C7),FIND(" ",TRIM(C7)&amp;" ")-1),",","."))+1,9)),IF(ISNUMBER(SEARCH("yea",C7)),IFERROR(_xlfn.NUMBERVALUE(SUBSTITUTE(LEFT(TRIM(C7),FIND(" ",TRIM(C7)&amp;" ")-1),",","."),"."),LEFT(SUBSTITUTE(LEFT(TRIM(C7),FIND(" ",TRIM(C7)&amp;" ")-1),",","."),FIND("/",SUBSTITUTE(LEFT(TRIM(C7),FIND(" ",TRIM(C7)&amp;" ")-1),",","."))-1)/MID(SUBSTITUTE(LEFT(TRIM(C7),FIND(" ",TRIM(C7)&amp;" ")-1),",","."),FIND("/",SUBSTITUTE(LEFT(TRIM(C7),FIND(" ",TRIM(C7)&amp;" ")-1),",","."))+1,9))*12,NA()))),0),54)*'Aturan &amp; Tarif'!$B$4,2)</f>
        <v>3066.12</v>
      </c>
      <c r="K7" s="32" t="n">
        <f aca="false">'Aturan &amp; Tarif'!$B$5</f>
        <v>2050</v>
      </c>
      <c r="L7" s="32" t="n">
        <f aca="false">'Aturan &amp; Tarif'!$B$6</f>
        <v>350</v>
      </c>
      <c r="M7" s="35" t="n">
        <f aca="false">I7+J7+K7+L7</f>
        <v>11299.12</v>
      </c>
      <c r="N7" s="36" t="s">
        <v>131</v>
      </c>
    </row>
    <row r="8" customFormat="false" ht="25.5" hidden="false" customHeight="true" outlineLevel="0" collapsed="false">
      <c r="A8" s="29"/>
      <c r="B8" s="30" t="s">
        <v>496</v>
      </c>
      <c r="C8" s="31" t="s">
        <v>107</v>
      </c>
      <c r="D8" s="31" t="s">
        <v>108</v>
      </c>
      <c r="E8" s="32" t="n">
        <v>2500</v>
      </c>
      <c r="F8" s="32" t="n">
        <v>500</v>
      </c>
      <c r="G8" s="32" t="n">
        <v>500</v>
      </c>
      <c r="H8" s="33" t="n">
        <v>1</v>
      </c>
      <c r="I8" s="34" t="n">
        <f aca="false">E8*H8+N(F8)+N(G8)</f>
        <v>3500</v>
      </c>
      <c r="J8" s="32" t="n">
        <f aca="false">ROUND(IFERROR(ROUND(IF(OR(ISNUMBER(SEARCH("week",C8)),ISNUMBER(SEARCH("minggu",C8))),IFERROR(_xlfn.NUMBERVALUE(SUBSTITUTE(LEFT(TRIM(C8),FIND(" ",TRIM(C8)&amp;" ")-1),",","."),"."),LEFT(SUBSTITUTE(LEFT(TRIM(C8),FIND(" ",TRIM(C8)&amp;" ")-1),",","."),FIND("/",SUBSTITUTE(LEFT(TRIM(C8),FIND(" ",TRIM(C8)&amp;" ")-1),",","."))-1)/MID(SUBSTITUTE(LEFT(TRIM(C8),FIND(" ",TRIM(C8)&amp;" ")-1),",","."),FIND("/",SUBSTITUTE(LEFT(TRIM(C8),FIND(" ",TRIM(C8)&amp;" ")-1),",","."))+1,9))*12/52,IF(ISNUMBER(SEARCH("month",C8)),IFERROR(_xlfn.NUMBERVALUE(SUBSTITUTE(LEFT(TRIM(C8),FIND(" ",TRIM(C8)&amp;" ")-1),",","."),"."),LEFT(SUBSTITUTE(LEFT(TRIM(C8),FIND(" ",TRIM(C8)&amp;" ")-1),",","."),FIND("/",SUBSTITUTE(LEFT(TRIM(C8),FIND(" ",TRIM(C8)&amp;" ")-1),",","."))-1)/MID(SUBSTITUTE(LEFT(TRIM(C8),FIND(" ",TRIM(C8)&amp;" ")-1),",","."),FIND("/",SUBSTITUTE(LEFT(TRIM(C8),FIND(" ",TRIM(C8)&amp;" ")-1),",","."))+1,9)),IF(ISNUMBER(SEARCH("yea",C8)),IFERROR(_xlfn.NUMBERVALUE(SUBSTITUTE(LEFT(TRIM(C8),FIND(" ",TRIM(C8)&amp;" ")-1),",","."),"."),LEFT(SUBSTITUTE(LEFT(TRIM(C8),FIND(" ",TRIM(C8)&amp;" ")-1),",","."),FIND("/",SUBSTITUTE(LEFT(TRIM(C8),FIND(" ",TRIM(C8)&amp;" ")-1),",","."))-1)/MID(SUBSTITUTE(LEFT(TRIM(C8),FIND(" ",TRIM(C8)&amp;" ")-1),",","."),FIND("/",SUBSTITUTE(LEFT(TRIM(C8),FIND(" ",TRIM(C8)&amp;" ")-1),",","."))+1,9))*12,NA()))),0),24)*'Aturan &amp; Tarif'!$B$4,2)</f>
        <v>1362.72</v>
      </c>
      <c r="K8" s="32" t="n">
        <f aca="false">'Aturan &amp; Tarif'!$B$5</f>
        <v>2050</v>
      </c>
      <c r="L8" s="32" t="n">
        <f aca="false">'Aturan &amp; Tarif'!$B$6</f>
        <v>350</v>
      </c>
      <c r="M8" s="35" t="n">
        <f aca="false">I8+J8+K8+L8</f>
        <v>7262.72</v>
      </c>
      <c r="N8" s="37" t="s">
        <v>134</v>
      </c>
    </row>
    <row r="9" customFormat="false" ht="25.5" hidden="false" customHeight="true" outlineLevel="0" collapsed="false">
      <c r="A9" s="29"/>
      <c r="B9" s="30" t="s">
        <v>497</v>
      </c>
      <c r="C9" s="31" t="s">
        <v>136</v>
      </c>
      <c r="D9" s="31" t="s">
        <v>108</v>
      </c>
      <c r="E9" s="32" t="n">
        <v>2500</v>
      </c>
      <c r="F9" s="32" t="n">
        <v>500</v>
      </c>
      <c r="G9" s="32" t="n">
        <v>500</v>
      </c>
      <c r="H9" s="33" t="n">
        <v>1</v>
      </c>
      <c r="I9" s="34" t="n">
        <f aca="false">E9*H9+N(F9)+N(G9)</f>
        <v>3500</v>
      </c>
      <c r="J9" s="32" t="n">
        <f aca="false">ROUND(IFERROR(ROUND(IF(OR(ISNUMBER(SEARCH("week",C9)),ISNUMBER(SEARCH("minggu",C9))),IFERROR(_xlfn.NUMBERVALUE(SUBSTITUTE(LEFT(TRIM(C9),FIND(" ",TRIM(C9)&amp;" ")-1),",","."),"."),LEFT(SUBSTITUTE(LEFT(TRIM(C9),FIND(" ",TRIM(C9)&amp;" ")-1),",","."),FIND("/",SUBSTITUTE(LEFT(TRIM(C9),FIND(" ",TRIM(C9)&amp;" ")-1),",","."))-1)/MID(SUBSTITUTE(LEFT(TRIM(C9),FIND(" ",TRIM(C9)&amp;" ")-1),",","."),FIND("/",SUBSTITUTE(LEFT(TRIM(C9),FIND(" ",TRIM(C9)&amp;" ")-1),",","."))+1,9))*12/52,IF(ISNUMBER(SEARCH("month",C9)),IFERROR(_xlfn.NUMBERVALUE(SUBSTITUTE(LEFT(TRIM(C9),FIND(" ",TRIM(C9)&amp;" ")-1),",","."),"."),LEFT(SUBSTITUTE(LEFT(TRIM(C9),FIND(" ",TRIM(C9)&amp;" ")-1),",","."),FIND("/",SUBSTITUTE(LEFT(TRIM(C9),FIND(" ",TRIM(C9)&amp;" ")-1),",","."))-1)/MID(SUBSTITUTE(LEFT(TRIM(C9),FIND(" ",TRIM(C9)&amp;" ")-1),",","."),FIND("/",SUBSTITUTE(LEFT(TRIM(C9),FIND(" ",TRIM(C9)&amp;" ")-1),",","."))+1,9)),IF(ISNUMBER(SEARCH("yea",C9)),IFERROR(_xlfn.NUMBERVALUE(SUBSTITUTE(LEFT(TRIM(C9),FIND(" ",TRIM(C9)&amp;" ")-1),",","."),"."),LEFT(SUBSTITUTE(LEFT(TRIM(C9),FIND(" ",TRIM(C9)&amp;" ")-1),",","."),FIND("/",SUBSTITUTE(LEFT(TRIM(C9),FIND(" ",TRIM(C9)&amp;" ")-1),",","."))-1)/MID(SUBSTITUTE(LEFT(TRIM(C9),FIND(" ",TRIM(C9)&amp;" ")-1),",","."),FIND("/",SUBSTITUTE(LEFT(TRIM(C9),FIND(" ",TRIM(C9)&amp;" ")-1),",","."))+1,9))*12,NA()))),0),42)*'Aturan &amp; Tarif'!$B$4,2)</f>
        <v>2384.76</v>
      </c>
      <c r="K9" s="32" t="n">
        <f aca="false">'Aturan &amp; Tarif'!$B$5</f>
        <v>2050</v>
      </c>
      <c r="L9" s="32" t="n">
        <f aca="false">'Aturan &amp; Tarif'!$B$6</f>
        <v>350</v>
      </c>
      <c r="M9" s="35" t="n">
        <f aca="false">I9+J9+K9+L9</f>
        <v>8284.76</v>
      </c>
      <c r="N9" s="36" t="s">
        <v>131</v>
      </c>
    </row>
    <row r="10" customFormat="false" ht="37.5" hidden="false" customHeight="true" outlineLevel="0" collapsed="false">
      <c r="A10" s="29"/>
      <c r="B10" s="30" t="s">
        <v>498</v>
      </c>
      <c r="C10" s="31" t="s">
        <v>107</v>
      </c>
      <c r="D10" s="31" t="s">
        <v>108</v>
      </c>
      <c r="E10" s="32" t="n">
        <v>2500</v>
      </c>
      <c r="F10" s="32" t="n">
        <v>2000</v>
      </c>
      <c r="G10" s="32" t="n">
        <v>500</v>
      </c>
      <c r="H10" s="33" t="n">
        <v>1</v>
      </c>
      <c r="I10" s="34" t="n">
        <f aca="false">E10*H10+N(F10)+N(G10)</f>
        <v>5000</v>
      </c>
      <c r="J10" s="32" t="n">
        <f aca="false">ROUND(IFERROR(ROUND(IF(OR(ISNUMBER(SEARCH("week",C10)),ISNUMBER(SEARCH("minggu",C10))),IFERROR(_xlfn.NUMBERVALUE(SUBSTITUTE(LEFT(TRIM(C10),FIND(" ",TRIM(C10)&amp;" ")-1),",","."),"."),LEFT(SUBSTITUTE(LEFT(TRIM(C10),FIND(" ",TRIM(C10)&amp;" ")-1),",","."),FIND("/",SUBSTITUTE(LEFT(TRIM(C10),FIND(" ",TRIM(C10)&amp;" ")-1),",","."))-1)/MID(SUBSTITUTE(LEFT(TRIM(C10),FIND(" ",TRIM(C10)&amp;" ")-1),",","."),FIND("/",SUBSTITUTE(LEFT(TRIM(C10),FIND(" ",TRIM(C10)&amp;" ")-1),",","."))+1,9))*12/52,IF(ISNUMBER(SEARCH("month",C10)),IFERROR(_xlfn.NUMBERVALUE(SUBSTITUTE(LEFT(TRIM(C10),FIND(" ",TRIM(C10)&amp;" ")-1),",","."),"."),LEFT(SUBSTITUTE(LEFT(TRIM(C10),FIND(" ",TRIM(C10)&amp;" ")-1),",","."),FIND("/",SUBSTITUTE(LEFT(TRIM(C10),FIND(" ",TRIM(C10)&amp;" ")-1),",","."))-1)/MID(SUBSTITUTE(LEFT(TRIM(C10),FIND(" ",TRIM(C10)&amp;" ")-1),",","."),FIND("/",SUBSTITUTE(LEFT(TRIM(C10),FIND(" ",TRIM(C10)&amp;" ")-1),",","."))+1,9)),IF(ISNUMBER(SEARCH("yea",C10)),IFERROR(_xlfn.NUMBERVALUE(SUBSTITUTE(LEFT(TRIM(C10),FIND(" ",TRIM(C10)&amp;" ")-1),",","."),"."),LEFT(SUBSTITUTE(LEFT(TRIM(C10),FIND(" ",TRIM(C10)&amp;" ")-1),",","."),FIND("/",SUBSTITUTE(LEFT(TRIM(C10),FIND(" ",TRIM(C10)&amp;" ")-1),",","."))-1)/MID(SUBSTITUTE(LEFT(TRIM(C10),FIND(" ",TRIM(C10)&amp;" ")-1),",","."),FIND("/",SUBSTITUTE(LEFT(TRIM(C10),FIND(" ",TRIM(C10)&amp;" ")-1),",","."))+1,9))*12,NA()))),0),24)*'Aturan &amp; Tarif'!$B$4,2)</f>
        <v>1362.72</v>
      </c>
      <c r="K10" s="32" t="n">
        <f aca="false">'Aturan &amp; Tarif'!$B$5</f>
        <v>2050</v>
      </c>
      <c r="L10" s="32" t="n">
        <f aca="false">'Aturan &amp; Tarif'!$B$6</f>
        <v>350</v>
      </c>
      <c r="M10" s="35" t="n">
        <f aca="false">I10+J10+K10+L10</f>
        <v>8762.72</v>
      </c>
      <c r="N10" s="37" t="s">
        <v>134</v>
      </c>
    </row>
    <row r="11" customFormat="false" ht="25.5" hidden="false" customHeight="true" outlineLevel="0" collapsed="false">
      <c r="A11" s="29"/>
      <c r="B11" s="30" t="s">
        <v>499</v>
      </c>
      <c r="C11" s="31" t="s">
        <v>107</v>
      </c>
      <c r="D11" s="31" t="s">
        <v>108</v>
      </c>
      <c r="E11" s="32" t="n">
        <v>2500</v>
      </c>
      <c r="F11" s="32" t="n">
        <v>2000</v>
      </c>
      <c r="G11" s="32" t="n">
        <v>500</v>
      </c>
      <c r="H11" s="33" t="n">
        <v>1</v>
      </c>
      <c r="I11" s="34" t="n">
        <f aca="false">E11*H11+N(F11)+N(G11)</f>
        <v>5000</v>
      </c>
      <c r="J11" s="32" t="n">
        <f aca="false">ROUND(IFERROR(ROUND(IF(OR(ISNUMBER(SEARCH("week",C11)),ISNUMBER(SEARCH("minggu",C11))),IFERROR(_xlfn.NUMBERVALUE(SUBSTITUTE(LEFT(TRIM(C11),FIND(" ",TRIM(C11)&amp;" ")-1),",","."),"."),LEFT(SUBSTITUTE(LEFT(TRIM(C11),FIND(" ",TRIM(C11)&amp;" ")-1),",","."),FIND("/",SUBSTITUTE(LEFT(TRIM(C11),FIND(" ",TRIM(C11)&amp;" ")-1),",","."))-1)/MID(SUBSTITUTE(LEFT(TRIM(C11),FIND(" ",TRIM(C11)&amp;" ")-1),",","."),FIND("/",SUBSTITUTE(LEFT(TRIM(C11),FIND(" ",TRIM(C11)&amp;" ")-1),",","."))+1,9))*12/52,IF(ISNUMBER(SEARCH("month",C11)),IFERROR(_xlfn.NUMBERVALUE(SUBSTITUTE(LEFT(TRIM(C11),FIND(" ",TRIM(C11)&amp;" ")-1),",","."),"."),LEFT(SUBSTITUTE(LEFT(TRIM(C11),FIND(" ",TRIM(C11)&amp;" ")-1),",","."),FIND("/",SUBSTITUTE(LEFT(TRIM(C11),FIND(" ",TRIM(C11)&amp;" ")-1),",","."))-1)/MID(SUBSTITUTE(LEFT(TRIM(C11),FIND(" ",TRIM(C11)&amp;" ")-1),",","."),FIND("/",SUBSTITUTE(LEFT(TRIM(C11),FIND(" ",TRIM(C11)&amp;" ")-1),",","."))+1,9)),IF(ISNUMBER(SEARCH("yea",C11)),IFERROR(_xlfn.NUMBERVALUE(SUBSTITUTE(LEFT(TRIM(C11),FIND(" ",TRIM(C11)&amp;" ")-1),",","."),"."),LEFT(SUBSTITUTE(LEFT(TRIM(C11),FIND(" ",TRIM(C11)&amp;" ")-1),",","."),FIND("/",SUBSTITUTE(LEFT(TRIM(C11),FIND(" ",TRIM(C11)&amp;" ")-1),",","."))-1)/MID(SUBSTITUTE(LEFT(TRIM(C11),FIND(" ",TRIM(C11)&amp;" ")-1),",","."),FIND("/",SUBSTITUTE(LEFT(TRIM(C11),FIND(" ",TRIM(C11)&amp;" ")-1),",","."))+1,9))*12,NA()))),0),24)*'Aturan &amp; Tarif'!$B$4,2)</f>
        <v>1362.72</v>
      </c>
      <c r="K11" s="32" t="n">
        <f aca="false">'Aturan &amp; Tarif'!$B$5</f>
        <v>2050</v>
      </c>
      <c r="L11" s="32" t="n">
        <f aca="false">'Aturan &amp; Tarif'!$B$6</f>
        <v>350</v>
      </c>
      <c r="M11" s="35" t="n">
        <f aca="false">I11+J11+K11+L11</f>
        <v>8762.72</v>
      </c>
      <c r="N11" s="37" t="s">
        <v>134</v>
      </c>
    </row>
    <row r="12" customFormat="false" ht="25.5" hidden="false" customHeight="true" outlineLevel="0" collapsed="false">
      <c r="A12" s="29"/>
      <c r="B12" s="30" t="s">
        <v>500</v>
      </c>
      <c r="C12" s="31" t="s">
        <v>107</v>
      </c>
      <c r="D12" s="31" t="s">
        <v>108</v>
      </c>
      <c r="E12" s="32" t="n">
        <v>2500</v>
      </c>
      <c r="F12" s="32" t="n">
        <v>2000</v>
      </c>
      <c r="G12" s="32" t="n">
        <v>500</v>
      </c>
      <c r="H12" s="33" t="n">
        <v>1</v>
      </c>
      <c r="I12" s="34" t="n">
        <f aca="false">E12*H12+N(F12)+N(G12)</f>
        <v>5000</v>
      </c>
      <c r="J12" s="32" t="n">
        <f aca="false">ROUND(IFERROR(ROUND(IF(OR(ISNUMBER(SEARCH("week",C12)),ISNUMBER(SEARCH("minggu",C12))),IFERROR(_xlfn.NUMBERVALUE(SUBSTITUTE(LEFT(TRIM(C12),FIND(" ",TRIM(C12)&amp;" ")-1),",","."),"."),LEFT(SUBSTITUTE(LEFT(TRIM(C12),FIND(" ",TRIM(C12)&amp;" ")-1),",","."),FIND("/",SUBSTITUTE(LEFT(TRIM(C12),FIND(" ",TRIM(C12)&amp;" ")-1),",","."))-1)/MID(SUBSTITUTE(LEFT(TRIM(C12),FIND(" ",TRIM(C12)&amp;" ")-1),",","."),FIND("/",SUBSTITUTE(LEFT(TRIM(C12),FIND(" ",TRIM(C12)&amp;" ")-1),",","."))+1,9))*12/52,IF(ISNUMBER(SEARCH("month",C12)),IFERROR(_xlfn.NUMBERVALUE(SUBSTITUTE(LEFT(TRIM(C12),FIND(" ",TRIM(C12)&amp;" ")-1),",","."),"."),LEFT(SUBSTITUTE(LEFT(TRIM(C12),FIND(" ",TRIM(C12)&amp;" ")-1),",","."),FIND("/",SUBSTITUTE(LEFT(TRIM(C12),FIND(" ",TRIM(C12)&amp;" ")-1),",","."))-1)/MID(SUBSTITUTE(LEFT(TRIM(C12),FIND(" ",TRIM(C12)&amp;" ")-1),",","."),FIND("/",SUBSTITUTE(LEFT(TRIM(C12),FIND(" ",TRIM(C12)&amp;" ")-1),",","."))+1,9)),IF(ISNUMBER(SEARCH("yea",C12)),IFERROR(_xlfn.NUMBERVALUE(SUBSTITUTE(LEFT(TRIM(C12),FIND(" ",TRIM(C12)&amp;" ")-1),",","."),"."),LEFT(SUBSTITUTE(LEFT(TRIM(C12),FIND(" ",TRIM(C12)&amp;" ")-1),",","."),FIND("/",SUBSTITUTE(LEFT(TRIM(C12),FIND(" ",TRIM(C12)&amp;" ")-1),",","."))-1)/MID(SUBSTITUTE(LEFT(TRIM(C12),FIND(" ",TRIM(C12)&amp;" ")-1),",","."),FIND("/",SUBSTITUTE(LEFT(TRIM(C12),FIND(" ",TRIM(C12)&amp;" ")-1),",","."))+1,9))*12,NA()))),0),24)*'Aturan &amp; Tarif'!$B$4,2)</f>
        <v>1362.72</v>
      </c>
      <c r="K12" s="32" t="n">
        <f aca="false">'Aturan &amp; Tarif'!$B$5</f>
        <v>2050</v>
      </c>
      <c r="L12" s="32" t="n">
        <f aca="false">'Aturan &amp; Tarif'!$B$6</f>
        <v>350</v>
      </c>
      <c r="M12" s="35" t="n">
        <f aca="false">I12+J12+K12+L12</f>
        <v>8762.72</v>
      </c>
      <c r="N12" s="37" t="s">
        <v>134</v>
      </c>
    </row>
    <row r="13" customFormat="false" ht="37.5" hidden="false" customHeight="true" outlineLevel="0" collapsed="false">
      <c r="A13" s="29"/>
      <c r="B13" s="30" t="s">
        <v>501</v>
      </c>
      <c r="C13" s="31" t="s">
        <v>107</v>
      </c>
      <c r="D13" s="31" t="s">
        <v>108</v>
      </c>
      <c r="E13" s="32" t="n">
        <v>2500</v>
      </c>
      <c r="F13" s="32" t="n">
        <v>2000</v>
      </c>
      <c r="G13" s="32" t="n">
        <v>500</v>
      </c>
      <c r="H13" s="33" t="n">
        <v>1</v>
      </c>
      <c r="I13" s="34" t="n">
        <f aca="false">E13*H13+N(F13)+N(G13)</f>
        <v>5000</v>
      </c>
      <c r="J13" s="32" t="n">
        <f aca="false">ROUND(IFERROR(ROUND(IF(OR(ISNUMBER(SEARCH("week",C13)),ISNUMBER(SEARCH("minggu",C13))),IFERROR(_xlfn.NUMBERVALUE(SUBSTITUTE(LEFT(TRIM(C13),FIND(" ",TRIM(C13)&amp;" ")-1),",","."),"."),LEFT(SUBSTITUTE(LEFT(TRIM(C13),FIND(" ",TRIM(C13)&amp;" ")-1),",","."),FIND("/",SUBSTITUTE(LEFT(TRIM(C13),FIND(" ",TRIM(C13)&amp;" ")-1),",","."))-1)/MID(SUBSTITUTE(LEFT(TRIM(C13),FIND(" ",TRIM(C13)&amp;" ")-1),",","."),FIND("/",SUBSTITUTE(LEFT(TRIM(C13),FIND(" ",TRIM(C13)&amp;" ")-1),",","."))+1,9))*12/52,IF(ISNUMBER(SEARCH("month",C13)),IFERROR(_xlfn.NUMBERVALUE(SUBSTITUTE(LEFT(TRIM(C13),FIND(" ",TRIM(C13)&amp;" ")-1),",","."),"."),LEFT(SUBSTITUTE(LEFT(TRIM(C13),FIND(" ",TRIM(C13)&amp;" ")-1),",","."),FIND("/",SUBSTITUTE(LEFT(TRIM(C13),FIND(" ",TRIM(C13)&amp;" ")-1),",","."))-1)/MID(SUBSTITUTE(LEFT(TRIM(C13),FIND(" ",TRIM(C13)&amp;" ")-1),",","."),FIND("/",SUBSTITUTE(LEFT(TRIM(C13),FIND(" ",TRIM(C13)&amp;" ")-1),",","."))+1,9)),IF(ISNUMBER(SEARCH("yea",C13)),IFERROR(_xlfn.NUMBERVALUE(SUBSTITUTE(LEFT(TRIM(C13),FIND(" ",TRIM(C13)&amp;" ")-1),",","."),"."),LEFT(SUBSTITUTE(LEFT(TRIM(C13),FIND(" ",TRIM(C13)&amp;" ")-1),",","."),FIND("/",SUBSTITUTE(LEFT(TRIM(C13),FIND(" ",TRIM(C13)&amp;" ")-1),",","."))-1)/MID(SUBSTITUTE(LEFT(TRIM(C13),FIND(" ",TRIM(C13)&amp;" ")-1),",","."),FIND("/",SUBSTITUTE(LEFT(TRIM(C13),FIND(" ",TRIM(C13)&amp;" ")-1),",","."))+1,9))*12,NA()))),0),24)*'Aturan &amp; Tarif'!$B$4,2)</f>
        <v>1362.72</v>
      </c>
      <c r="K13" s="32" t="n">
        <f aca="false">'Aturan &amp; Tarif'!$B$5</f>
        <v>2050</v>
      </c>
      <c r="L13" s="32" t="n">
        <f aca="false">'Aturan &amp; Tarif'!$B$6</f>
        <v>350</v>
      </c>
      <c r="M13" s="35" t="n">
        <f aca="false">I13+J13+K13+L13</f>
        <v>8762.72</v>
      </c>
      <c r="N13" s="37" t="s">
        <v>134</v>
      </c>
    </row>
    <row r="14" customFormat="false" ht="14.25" hidden="false" customHeight="true" outlineLevel="0" collapsed="false">
      <c r="A14" s="29"/>
      <c r="B14" s="30" t="s">
        <v>502</v>
      </c>
      <c r="C14" s="31" t="s">
        <v>107</v>
      </c>
      <c r="D14" s="31" t="s">
        <v>108</v>
      </c>
      <c r="E14" s="32" t="n">
        <v>3250</v>
      </c>
      <c r="F14" s="32" t="n">
        <v>2000</v>
      </c>
      <c r="G14" s="32" t="n">
        <v>500</v>
      </c>
      <c r="H14" s="33" t="n">
        <v>1</v>
      </c>
      <c r="I14" s="34" t="n">
        <f aca="false">E14*H14+N(F14)+N(G14)</f>
        <v>5750</v>
      </c>
      <c r="J14" s="32" t="n">
        <f aca="false">ROUND(IFERROR(ROUND(IF(OR(ISNUMBER(SEARCH("week",C14)),ISNUMBER(SEARCH("minggu",C14))),IFERROR(_xlfn.NUMBERVALUE(SUBSTITUTE(LEFT(TRIM(C14),FIND(" ",TRIM(C14)&amp;" ")-1),",","."),"."),LEFT(SUBSTITUTE(LEFT(TRIM(C14),FIND(" ",TRIM(C14)&amp;" ")-1),",","."),FIND("/",SUBSTITUTE(LEFT(TRIM(C14),FIND(" ",TRIM(C14)&amp;" ")-1),",","."))-1)/MID(SUBSTITUTE(LEFT(TRIM(C14),FIND(" ",TRIM(C14)&amp;" ")-1),",","."),FIND("/",SUBSTITUTE(LEFT(TRIM(C14),FIND(" ",TRIM(C14)&amp;" ")-1),",","."))+1,9))*12/52,IF(ISNUMBER(SEARCH("month",C14)),IFERROR(_xlfn.NUMBERVALUE(SUBSTITUTE(LEFT(TRIM(C14),FIND(" ",TRIM(C14)&amp;" ")-1),",","."),"."),LEFT(SUBSTITUTE(LEFT(TRIM(C14),FIND(" ",TRIM(C14)&amp;" ")-1),",","."),FIND("/",SUBSTITUTE(LEFT(TRIM(C14),FIND(" ",TRIM(C14)&amp;" ")-1),",","."))-1)/MID(SUBSTITUTE(LEFT(TRIM(C14),FIND(" ",TRIM(C14)&amp;" ")-1),",","."),FIND("/",SUBSTITUTE(LEFT(TRIM(C14),FIND(" ",TRIM(C14)&amp;" ")-1),",","."))+1,9)),IF(ISNUMBER(SEARCH("yea",C14)),IFERROR(_xlfn.NUMBERVALUE(SUBSTITUTE(LEFT(TRIM(C14),FIND(" ",TRIM(C14)&amp;" ")-1),",","."),"."),LEFT(SUBSTITUTE(LEFT(TRIM(C14),FIND(" ",TRIM(C14)&amp;" ")-1),",","."),FIND("/",SUBSTITUTE(LEFT(TRIM(C14),FIND(" ",TRIM(C14)&amp;" ")-1),",","."))-1)/MID(SUBSTITUTE(LEFT(TRIM(C14),FIND(" ",TRIM(C14)&amp;" ")-1),",","."),FIND("/",SUBSTITUTE(LEFT(TRIM(C14),FIND(" ",TRIM(C14)&amp;" ")-1),",","."))+1,9))*12,NA()))),0),24)*'Aturan &amp; Tarif'!$B$4,2)</f>
        <v>1362.72</v>
      </c>
      <c r="K14" s="32" t="n">
        <f aca="false">'Aturan &amp; Tarif'!$B$5</f>
        <v>2050</v>
      </c>
      <c r="L14" s="32" t="n">
        <f aca="false">'Aturan &amp; Tarif'!$B$6</f>
        <v>350</v>
      </c>
      <c r="M14" s="35" t="n">
        <f aca="false">I14+J14+K14+L14</f>
        <v>9512.72</v>
      </c>
      <c r="N14" s="37" t="s">
        <v>134</v>
      </c>
    </row>
    <row r="15" customFormat="false" ht="48.75" hidden="false" customHeight="true" outlineLevel="0" collapsed="false">
      <c r="A15" s="29" t="s">
        <v>503</v>
      </c>
      <c r="B15" s="30" t="s">
        <v>504</v>
      </c>
      <c r="C15" s="31" t="s">
        <v>127</v>
      </c>
      <c r="D15" s="31" t="s">
        <v>439</v>
      </c>
      <c r="E15" s="32" t="n">
        <v>8000</v>
      </c>
      <c r="F15" s="32"/>
      <c r="G15" s="32" t="n">
        <f aca="false">250+250</f>
        <v>500</v>
      </c>
      <c r="H15" s="33" t="n">
        <v>1</v>
      </c>
      <c r="I15" s="34" t="n">
        <f aca="false">E15*H15+N(F15)+N(G15)</f>
        <v>8500</v>
      </c>
      <c r="J15" s="32" t="n">
        <f aca="false">ROUND(IFERROR(ROUND(IF(OR(ISNUMBER(SEARCH("week",C15)),ISNUMBER(SEARCH("minggu",C15))),IFERROR(_xlfn.NUMBERVALUE(SUBSTITUTE(LEFT(TRIM(C15),FIND(" ",TRIM(C15)&amp;" ")-1),",","."),"."),LEFT(SUBSTITUTE(LEFT(TRIM(C15),FIND(" ",TRIM(C15)&amp;" ")-1),",","."),FIND("/",SUBSTITUTE(LEFT(TRIM(C15),FIND(" ",TRIM(C15)&amp;" ")-1),",","."))-1)/MID(SUBSTITUTE(LEFT(TRIM(C15),FIND(" ",TRIM(C15)&amp;" ")-1),",","."),FIND("/",SUBSTITUTE(LEFT(TRIM(C15),FIND(" ",TRIM(C15)&amp;" ")-1),",","."))+1,9))*12/52,IF(ISNUMBER(SEARCH("month",C15)),IFERROR(_xlfn.NUMBERVALUE(SUBSTITUTE(LEFT(TRIM(C15),FIND(" ",TRIM(C15)&amp;" ")-1),",","."),"."),LEFT(SUBSTITUTE(LEFT(TRIM(C15),FIND(" ",TRIM(C15)&amp;" ")-1),",","."),FIND("/",SUBSTITUTE(LEFT(TRIM(C15),FIND(" ",TRIM(C15)&amp;" ")-1),",","."))-1)/MID(SUBSTITUTE(LEFT(TRIM(C15),FIND(" ",TRIM(C15)&amp;" ")-1),",","."),FIND("/",SUBSTITUTE(LEFT(TRIM(C15),FIND(" ",TRIM(C15)&amp;" ")-1),",","."))+1,9)),IF(ISNUMBER(SEARCH("yea",C15)),IFERROR(_xlfn.NUMBERVALUE(SUBSTITUTE(LEFT(TRIM(C15),FIND(" ",TRIM(C15)&amp;" ")-1),",","."),"."),LEFT(SUBSTITUTE(LEFT(TRIM(C15),FIND(" ",TRIM(C15)&amp;" ")-1),",","."),FIND("/",SUBSTITUTE(LEFT(TRIM(C15),FIND(" ",TRIM(C15)&amp;" ")-1),",","."))-1)/MID(SUBSTITUTE(LEFT(TRIM(C15),FIND(" ",TRIM(C15)&amp;" ")-1),",","."),FIND("/",SUBSTITUTE(LEFT(TRIM(C15),FIND(" ",TRIM(C15)&amp;" ")-1),",","."))+1,9))*12,NA()))),0),36)*'Aturan &amp; Tarif'!$B$4,2)</f>
        <v>2044.08</v>
      </c>
      <c r="K15" s="32" t="n">
        <f aca="false">'Aturan &amp; Tarif'!$B$5</f>
        <v>2050</v>
      </c>
      <c r="L15" s="32" t="n">
        <f aca="false">'Aturan &amp; Tarif'!$B$6</f>
        <v>350</v>
      </c>
      <c r="M15" s="35" t="n">
        <f aca="false">I15+J15+K15+L15</f>
        <v>12944.08</v>
      </c>
      <c r="N15" s="36" t="s">
        <v>505</v>
      </c>
    </row>
    <row r="16" customFormat="false" ht="25.5" hidden="false" customHeight="true" outlineLevel="0" collapsed="false">
      <c r="A16" s="29"/>
      <c r="B16" s="30" t="s">
        <v>506</v>
      </c>
      <c r="C16" s="31" t="s">
        <v>127</v>
      </c>
      <c r="D16" s="31" t="s">
        <v>439</v>
      </c>
      <c r="E16" s="32" t="n">
        <v>8000</v>
      </c>
      <c r="F16" s="32"/>
      <c r="G16" s="32" t="n">
        <f aca="false">250+250</f>
        <v>500</v>
      </c>
      <c r="H16" s="33" t="n">
        <v>1</v>
      </c>
      <c r="I16" s="34" t="n">
        <f aca="false">E16*H16+N(F16)+N(G16)</f>
        <v>8500</v>
      </c>
      <c r="J16" s="32" t="n">
        <f aca="false">ROUND(IFERROR(ROUND(IF(OR(ISNUMBER(SEARCH("week",C16)),ISNUMBER(SEARCH("minggu",C16))),IFERROR(_xlfn.NUMBERVALUE(SUBSTITUTE(LEFT(TRIM(C16),FIND(" ",TRIM(C16)&amp;" ")-1),",","."),"."),LEFT(SUBSTITUTE(LEFT(TRIM(C16),FIND(" ",TRIM(C16)&amp;" ")-1),",","."),FIND("/",SUBSTITUTE(LEFT(TRIM(C16),FIND(" ",TRIM(C16)&amp;" ")-1),",","."))-1)/MID(SUBSTITUTE(LEFT(TRIM(C16),FIND(" ",TRIM(C16)&amp;" ")-1),",","."),FIND("/",SUBSTITUTE(LEFT(TRIM(C16),FIND(" ",TRIM(C16)&amp;" ")-1),",","."))+1,9))*12/52,IF(ISNUMBER(SEARCH("month",C16)),IFERROR(_xlfn.NUMBERVALUE(SUBSTITUTE(LEFT(TRIM(C16),FIND(" ",TRIM(C16)&amp;" ")-1),",","."),"."),LEFT(SUBSTITUTE(LEFT(TRIM(C16),FIND(" ",TRIM(C16)&amp;" ")-1),",","."),FIND("/",SUBSTITUTE(LEFT(TRIM(C16),FIND(" ",TRIM(C16)&amp;" ")-1),",","."))-1)/MID(SUBSTITUTE(LEFT(TRIM(C16),FIND(" ",TRIM(C16)&amp;" ")-1),",","."),FIND("/",SUBSTITUTE(LEFT(TRIM(C16),FIND(" ",TRIM(C16)&amp;" ")-1),",","."))+1,9)),IF(ISNUMBER(SEARCH("yea",C16)),IFERROR(_xlfn.NUMBERVALUE(SUBSTITUTE(LEFT(TRIM(C16),FIND(" ",TRIM(C16)&amp;" ")-1),",","."),"."),LEFT(SUBSTITUTE(LEFT(TRIM(C16),FIND(" ",TRIM(C16)&amp;" ")-1),",","."),FIND("/",SUBSTITUTE(LEFT(TRIM(C16),FIND(" ",TRIM(C16)&amp;" ")-1),",","."))-1)/MID(SUBSTITUTE(LEFT(TRIM(C16),FIND(" ",TRIM(C16)&amp;" ")-1),",","."),FIND("/",SUBSTITUTE(LEFT(TRIM(C16),FIND(" ",TRIM(C16)&amp;" ")-1),",","."))+1,9))*12,NA()))),0),36)*'Aturan &amp; Tarif'!$B$4,2)</f>
        <v>2044.08</v>
      </c>
      <c r="K16" s="32" t="n">
        <f aca="false">'Aturan &amp; Tarif'!$B$5</f>
        <v>2050</v>
      </c>
      <c r="L16" s="32" t="n">
        <f aca="false">'Aturan &amp; Tarif'!$B$6</f>
        <v>350</v>
      </c>
      <c r="M16" s="35" t="n">
        <f aca="false">I16+J16+K16+L16</f>
        <v>12944.08</v>
      </c>
      <c r="N16" s="37" t="s">
        <v>507</v>
      </c>
    </row>
    <row r="17" customFormat="false" ht="14.25" hidden="false" customHeight="true" outlineLevel="0" collapsed="false">
      <c r="A17" s="29"/>
      <c r="B17" s="30" t="s">
        <v>508</v>
      </c>
      <c r="C17" s="31" t="s">
        <v>127</v>
      </c>
      <c r="D17" s="31" t="s">
        <v>439</v>
      </c>
      <c r="E17" s="32" t="n">
        <v>8000</v>
      </c>
      <c r="F17" s="32"/>
      <c r="G17" s="32" t="n">
        <f aca="false">250+250</f>
        <v>500</v>
      </c>
      <c r="H17" s="33" t="n">
        <v>1</v>
      </c>
      <c r="I17" s="34" t="n">
        <f aca="false">E17*H17+N(F17)+N(G17)</f>
        <v>8500</v>
      </c>
      <c r="J17" s="32" t="n">
        <f aca="false">ROUND(IFERROR(ROUND(IF(OR(ISNUMBER(SEARCH("week",C17)),ISNUMBER(SEARCH("minggu",C17))),IFERROR(_xlfn.NUMBERVALUE(SUBSTITUTE(LEFT(TRIM(C17),FIND(" ",TRIM(C17)&amp;" ")-1),",","."),"."),LEFT(SUBSTITUTE(LEFT(TRIM(C17),FIND(" ",TRIM(C17)&amp;" ")-1),",","."),FIND("/",SUBSTITUTE(LEFT(TRIM(C17),FIND(" ",TRIM(C17)&amp;" ")-1),",","."))-1)/MID(SUBSTITUTE(LEFT(TRIM(C17),FIND(" ",TRIM(C17)&amp;" ")-1),",","."),FIND("/",SUBSTITUTE(LEFT(TRIM(C17),FIND(" ",TRIM(C17)&amp;" ")-1),",","."))+1,9))*12/52,IF(ISNUMBER(SEARCH("month",C17)),IFERROR(_xlfn.NUMBERVALUE(SUBSTITUTE(LEFT(TRIM(C17),FIND(" ",TRIM(C17)&amp;" ")-1),",","."),"."),LEFT(SUBSTITUTE(LEFT(TRIM(C17),FIND(" ",TRIM(C17)&amp;" ")-1),",","."),FIND("/",SUBSTITUTE(LEFT(TRIM(C17),FIND(" ",TRIM(C17)&amp;" ")-1),",","."))-1)/MID(SUBSTITUTE(LEFT(TRIM(C17),FIND(" ",TRIM(C17)&amp;" ")-1),",","."),FIND("/",SUBSTITUTE(LEFT(TRIM(C17),FIND(" ",TRIM(C17)&amp;" ")-1),",","."))+1,9)),IF(ISNUMBER(SEARCH("yea",C17)),IFERROR(_xlfn.NUMBERVALUE(SUBSTITUTE(LEFT(TRIM(C17),FIND(" ",TRIM(C17)&amp;" ")-1),",","."),"."),LEFT(SUBSTITUTE(LEFT(TRIM(C17),FIND(" ",TRIM(C17)&amp;" ")-1),",","."),FIND("/",SUBSTITUTE(LEFT(TRIM(C17),FIND(" ",TRIM(C17)&amp;" ")-1),",","."))-1)/MID(SUBSTITUTE(LEFT(TRIM(C17),FIND(" ",TRIM(C17)&amp;" ")-1),",","."),FIND("/",SUBSTITUTE(LEFT(TRIM(C17),FIND(" ",TRIM(C17)&amp;" ")-1),",","."))+1,9))*12,NA()))),0),36)*'Aturan &amp; Tarif'!$B$4,2)</f>
        <v>2044.08</v>
      </c>
      <c r="K17" s="32" t="n">
        <f aca="false">'Aturan &amp; Tarif'!$B$5</f>
        <v>2050</v>
      </c>
      <c r="L17" s="32" t="n">
        <f aca="false">'Aturan &amp; Tarif'!$B$6</f>
        <v>350</v>
      </c>
      <c r="M17" s="35" t="n">
        <f aca="false">I17+J17+K17+L17</f>
        <v>12944.08</v>
      </c>
      <c r="N17" s="37" t="s">
        <v>507</v>
      </c>
    </row>
    <row r="18" customFormat="false" ht="14.25" hidden="false" customHeight="true" outlineLevel="0" collapsed="false">
      <c r="A18" s="29"/>
      <c r="B18" s="30" t="s">
        <v>509</v>
      </c>
      <c r="C18" s="31" t="s">
        <v>127</v>
      </c>
      <c r="D18" s="31" t="s">
        <v>439</v>
      </c>
      <c r="E18" s="32" t="n">
        <v>8000</v>
      </c>
      <c r="F18" s="32"/>
      <c r="G18" s="32" t="n">
        <f aca="false">250+250</f>
        <v>500</v>
      </c>
      <c r="H18" s="33" t="n">
        <v>1</v>
      </c>
      <c r="I18" s="34" t="n">
        <f aca="false">E18*H18+N(F18)+N(G18)</f>
        <v>8500</v>
      </c>
      <c r="J18" s="32" t="n">
        <f aca="false">ROUND(IFERROR(ROUND(IF(OR(ISNUMBER(SEARCH("week",C18)),ISNUMBER(SEARCH("minggu",C18))),IFERROR(_xlfn.NUMBERVALUE(SUBSTITUTE(LEFT(TRIM(C18),FIND(" ",TRIM(C18)&amp;" ")-1),",","."),"."),LEFT(SUBSTITUTE(LEFT(TRIM(C18),FIND(" ",TRIM(C18)&amp;" ")-1),",","."),FIND("/",SUBSTITUTE(LEFT(TRIM(C18),FIND(" ",TRIM(C18)&amp;" ")-1),",","."))-1)/MID(SUBSTITUTE(LEFT(TRIM(C18),FIND(" ",TRIM(C18)&amp;" ")-1),",","."),FIND("/",SUBSTITUTE(LEFT(TRIM(C18),FIND(" ",TRIM(C18)&amp;" ")-1),",","."))+1,9))*12/52,IF(ISNUMBER(SEARCH("month",C18)),IFERROR(_xlfn.NUMBERVALUE(SUBSTITUTE(LEFT(TRIM(C18),FIND(" ",TRIM(C18)&amp;" ")-1),",","."),"."),LEFT(SUBSTITUTE(LEFT(TRIM(C18),FIND(" ",TRIM(C18)&amp;" ")-1),",","."),FIND("/",SUBSTITUTE(LEFT(TRIM(C18),FIND(" ",TRIM(C18)&amp;" ")-1),",","."))-1)/MID(SUBSTITUTE(LEFT(TRIM(C18),FIND(" ",TRIM(C18)&amp;" ")-1),",","."),FIND("/",SUBSTITUTE(LEFT(TRIM(C18),FIND(" ",TRIM(C18)&amp;" ")-1),",","."))+1,9)),IF(ISNUMBER(SEARCH("yea",C18)),IFERROR(_xlfn.NUMBERVALUE(SUBSTITUTE(LEFT(TRIM(C18),FIND(" ",TRIM(C18)&amp;" ")-1),",","."),"."),LEFT(SUBSTITUTE(LEFT(TRIM(C18),FIND(" ",TRIM(C18)&amp;" ")-1),",","."),FIND("/",SUBSTITUTE(LEFT(TRIM(C18),FIND(" ",TRIM(C18)&amp;" ")-1),",","."))-1)/MID(SUBSTITUTE(LEFT(TRIM(C18),FIND(" ",TRIM(C18)&amp;" ")-1),",","."),FIND("/",SUBSTITUTE(LEFT(TRIM(C18),FIND(" ",TRIM(C18)&amp;" ")-1),",","."))+1,9))*12,NA()))),0),36)*'Aturan &amp; Tarif'!$B$4,2)</f>
        <v>2044.08</v>
      </c>
      <c r="K18" s="32" t="n">
        <f aca="false">'Aturan &amp; Tarif'!$B$5</f>
        <v>2050</v>
      </c>
      <c r="L18" s="32" t="n">
        <f aca="false">'Aturan &amp; Tarif'!$B$6</f>
        <v>350</v>
      </c>
      <c r="M18" s="35" t="n">
        <f aca="false">I18+J18+K18+L18</f>
        <v>12944.08</v>
      </c>
      <c r="N18" s="37" t="s">
        <v>507</v>
      </c>
    </row>
    <row r="19" customFormat="false" ht="14.25" hidden="false" customHeight="true" outlineLevel="0" collapsed="false">
      <c r="A19" s="29"/>
      <c r="B19" s="30" t="s">
        <v>510</v>
      </c>
      <c r="C19" s="31" t="s">
        <v>127</v>
      </c>
      <c r="D19" s="31" t="s">
        <v>439</v>
      </c>
      <c r="E19" s="32" t="n">
        <v>8000</v>
      </c>
      <c r="F19" s="32"/>
      <c r="G19" s="32" t="n">
        <f aca="false">250+250</f>
        <v>500</v>
      </c>
      <c r="H19" s="33" t="n">
        <v>1</v>
      </c>
      <c r="I19" s="34" t="n">
        <f aca="false">E19*H19+N(F19)+N(G19)</f>
        <v>8500</v>
      </c>
      <c r="J19" s="32" t="n">
        <f aca="false">ROUND(IFERROR(ROUND(IF(OR(ISNUMBER(SEARCH("week",C19)),ISNUMBER(SEARCH("minggu",C19))),IFERROR(_xlfn.NUMBERVALUE(SUBSTITUTE(LEFT(TRIM(C19),FIND(" ",TRIM(C19)&amp;" ")-1),",","."),"."),LEFT(SUBSTITUTE(LEFT(TRIM(C19),FIND(" ",TRIM(C19)&amp;" ")-1),",","."),FIND("/",SUBSTITUTE(LEFT(TRIM(C19),FIND(" ",TRIM(C19)&amp;" ")-1),",","."))-1)/MID(SUBSTITUTE(LEFT(TRIM(C19),FIND(" ",TRIM(C19)&amp;" ")-1),",","."),FIND("/",SUBSTITUTE(LEFT(TRIM(C19),FIND(" ",TRIM(C19)&amp;" ")-1),",","."))+1,9))*12/52,IF(ISNUMBER(SEARCH("month",C19)),IFERROR(_xlfn.NUMBERVALUE(SUBSTITUTE(LEFT(TRIM(C19),FIND(" ",TRIM(C19)&amp;" ")-1),",","."),"."),LEFT(SUBSTITUTE(LEFT(TRIM(C19),FIND(" ",TRIM(C19)&amp;" ")-1),",","."),FIND("/",SUBSTITUTE(LEFT(TRIM(C19),FIND(" ",TRIM(C19)&amp;" ")-1),",","."))-1)/MID(SUBSTITUTE(LEFT(TRIM(C19),FIND(" ",TRIM(C19)&amp;" ")-1),",","."),FIND("/",SUBSTITUTE(LEFT(TRIM(C19),FIND(" ",TRIM(C19)&amp;" ")-1),",","."))+1,9)),IF(ISNUMBER(SEARCH("yea",C19)),IFERROR(_xlfn.NUMBERVALUE(SUBSTITUTE(LEFT(TRIM(C19),FIND(" ",TRIM(C19)&amp;" ")-1),",","."),"."),LEFT(SUBSTITUTE(LEFT(TRIM(C19),FIND(" ",TRIM(C19)&amp;" ")-1),",","."),FIND("/",SUBSTITUTE(LEFT(TRIM(C19),FIND(" ",TRIM(C19)&amp;" ")-1),",","."))-1)/MID(SUBSTITUTE(LEFT(TRIM(C19),FIND(" ",TRIM(C19)&amp;" ")-1),",","."),FIND("/",SUBSTITUTE(LEFT(TRIM(C19),FIND(" ",TRIM(C19)&amp;" ")-1),",","."))+1,9))*12,NA()))),0),36)*'Aturan &amp; Tarif'!$B$4,2)</f>
        <v>2044.08</v>
      </c>
      <c r="K19" s="32" t="n">
        <f aca="false">'Aturan &amp; Tarif'!$B$5</f>
        <v>2050</v>
      </c>
      <c r="L19" s="32" t="n">
        <f aca="false">'Aturan &amp; Tarif'!$B$6</f>
        <v>350</v>
      </c>
      <c r="M19" s="35" t="n">
        <f aca="false">I19+J19+K19+L19</f>
        <v>12944.08</v>
      </c>
      <c r="N19" s="37" t="s">
        <v>507</v>
      </c>
    </row>
    <row r="20" customFormat="false" ht="106.5" hidden="false" customHeight="true" outlineLevel="0" collapsed="false">
      <c r="A20" s="39" t="s">
        <v>511</v>
      </c>
      <c r="B20" s="40" t="s">
        <v>236</v>
      </c>
      <c r="C20" s="41" t="s">
        <v>127</v>
      </c>
      <c r="D20" s="41" t="s">
        <v>108</v>
      </c>
      <c r="E20" s="42" t="n">
        <v>7450</v>
      </c>
      <c r="F20" s="42"/>
      <c r="G20" s="42"/>
      <c r="H20" s="43" t="n">
        <v>2</v>
      </c>
      <c r="I20" s="34" t="n">
        <f aca="false">E20*H20+N(F20)+N(G20)</f>
        <v>14900</v>
      </c>
      <c r="J20" s="42" t="n">
        <f aca="false">ROUND(IFERROR(ROUND(IF(OR(ISNUMBER(SEARCH("week",C20)),ISNUMBER(SEARCH("minggu",C20))),IFERROR(_xlfn.NUMBERVALUE(SUBSTITUTE(LEFT(TRIM(C20),FIND(" ",TRIM(C20)&amp;" ")-1),",","."),"."),LEFT(SUBSTITUTE(LEFT(TRIM(C20),FIND(" ",TRIM(C20)&amp;" ")-1),",","."),FIND("/",SUBSTITUTE(LEFT(TRIM(C20),FIND(" ",TRIM(C20)&amp;" ")-1),",","."))-1)/MID(SUBSTITUTE(LEFT(TRIM(C20),FIND(" ",TRIM(C20)&amp;" ")-1),",","."),FIND("/",SUBSTITUTE(LEFT(TRIM(C20),FIND(" ",TRIM(C20)&amp;" ")-1),",","."))+1,9))*12/52,IF(ISNUMBER(SEARCH("month",C20)),IFERROR(_xlfn.NUMBERVALUE(SUBSTITUTE(LEFT(TRIM(C20),FIND(" ",TRIM(C20)&amp;" ")-1),",","."),"."),LEFT(SUBSTITUTE(LEFT(TRIM(C20),FIND(" ",TRIM(C20)&amp;" ")-1),",","."),FIND("/",SUBSTITUTE(LEFT(TRIM(C20),FIND(" ",TRIM(C20)&amp;" ")-1),",","."))-1)/MID(SUBSTITUTE(LEFT(TRIM(C20),FIND(" ",TRIM(C20)&amp;" ")-1),",","."),FIND("/",SUBSTITUTE(LEFT(TRIM(C20),FIND(" ",TRIM(C20)&amp;" ")-1),",","."))+1,9)),IF(ISNUMBER(SEARCH("yea",C20)),IFERROR(_xlfn.NUMBERVALUE(SUBSTITUTE(LEFT(TRIM(C20),FIND(" ",TRIM(C20)&amp;" ")-1),",","."),"."),LEFT(SUBSTITUTE(LEFT(TRIM(C20),FIND(" ",TRIM(C20)&amp;" ")-1),",","."),FIND("/",SUBSTITUTE(LEFT(TRIM(C20),FIND(" ",TRIM(C20)&amp;" ")-1),",","."))-1)/MID(SUBSTITUTE(LEFT(TRIM(C20),FIND(" ",TRIM(C20)&amp;" ")-1),",","."),FIND("/",SUBSTITUTE(LEFT(TRIM(C20),FIND(" ",TRIM(C20)&amp;" ")-1),",","."))+1,9))*12,NA()))),0),36)*'Aturan &amp; Tarif'!$B$4,2)</f>
        <v>2044.08</v>
      </c>
      <c r="K20" s="42" t="n">
        <f aca="false">'Aturan &amp; Tarif'!$B$5</f>
        <v>2050</v>
      </c>
      <c r="L20" s="42" t="n">
        <f aca="false">'Aturan &amp; Tarif'!$B$6</f>
        <v>350</v>
      </c>
      <c r="M20" s="35" t="n">
        <f aca="false">I20+J20+K20+L20</f>
        <v>19344.08</v>
      </c>
      <c r="N20" s="45" t="s">
        <v>512</v>
      </c>
    </row>
    <row r="21" customFormat="false" ht="14.25" hidden="false" customHeight="true" outlineLevel="0" collapsed="false">
      <c r="A21" s="39"/>
      <c r="B21" s="40" t="s">
        <v>513</v>
      </c>
      <c r="C21" s="41" t="s">
        <v>130</v>
      </c>
      <c r="D21" s="41" t="s">
        <v>108</v>
      </c>
      <c r="E21" s="42" t="n">
        <v>7450</v>
      </c>
      <c r="F21" s="42"/>
      <c r="G21" s="42"/>
      <c r="H21" s="43" t="n">
        <v>2</v>
      </c>
      <c r="I21" s="34" t="n">
        <f aca="false">E21*H21+N(F21)+N(G21)</f>
        <v>14900</v>
      </c>
      <c r="J21" s="42" t="n">
        <f aca="false">ROUND(IFERROR(ROUND(IF(OR(ISNUMBER(SEARCH("week",C21)),ISNUMBER(SEARCH("minggu",C21))),IFERROR(_xlfn.NUMBERVALUE(SUBSTITUTE(LEFT(TRIM(C21),FIND(" ",TRIM(C21)&amp;" ")-1),",","."),"."),LEFT(SUBSTITUTE(LEFT(TRIM(C21),FIND(" ",TRIM(C21)&amp;" ")-1),",","."),FIND("/",SUBSTITUTE(LEFT(TRIM(C21),FIND(" ",TRIM(C21)&amp;" ")-1),",","."))-1)/MID(SUBSTITUTE(LEFT(TRIM(C21),FIND(" ",TRIM(C21)&amp;" ")-1),",","."),FIND("/",SUBSTITUTE(LEFT(TRIM(C21),FIND(" ",TRIM(C21)&amp;" ")-1),",","."))+1,9))*12/52,IF(ISNUMBER(SEARCH("month",C21)),IFERROR(_xlfn.NUMBERVALUE(SUBSTITUTE(LEFT(TRIM(C21),FIND(" ",TRIM(C21)&amp;" ")-1),",","."),"."),LEFT(SUBSTITUTE(LEFT(TRIM(C21),FIND(" ",TRIM(C21)&amp;" ")-1),",","."),FIND("/",SUBSTITUTE(LEFT(TRIM(C21),FIND(" ",TRIM(C21)&amp;" ")-1),",","."))-1)/MID(SUBSTITUTE(LEFT(TRIM(C21),FIND(" ",TRIM(C21)&amp;" ")-1),",","."),FIND("/",SUBSTITUTE(LEFT(TRIM(C21),FIND(" ",TRIM(C21)&amp;" ")-1),",","."))+1,9)),IF(ISNUMBER(SEARCH("yea",C21)),IFERROR(_xlfn.NUMBERVALUE(SUBSTITUTE(LEFT(TRIM(C21),FIND(" ",TRIM(C21)&amp;" ")-1),",","."),"."),LEFT(SUBSTITUTE(LEFT(TRIM(C21),FIND(" ",TRIM(C21)&amp;" ")-1),",","."),FIND("/",SUBSTITUTE(LEFT(TRIM(C21),FIND(" ",TRIM(C21)&amp;" ")-1),",","."))-1)/MID(SUBSTITUTE(LEFT(TRIM(C21),FIND(" ",TRIM(C21)&amp;" ")-1),",","."),FIND("/",SUBSTITUTE(LEFT(TRIM(C21),FIND(" ",TRIM(C21)&amp;" ")-1),",","."))+1,9))*12,NA()))),0),12)*'Aturan &amp; Tarif'!$B$4,2)</f>
        <v>681.36</v>
      </c>
      <c r="K21" s="42" t="n">
        <f aca="false">'Aturan &amp; Tarif'!$B$5</f>
        <v>2050</v>
      </c>
      <c r="L21" s="42" t="n">
        <f aca="false">'Aturan &amp; Tarif'!$B$6</f>
        <v>350</v>
      </c>
      <c r="M21" s="35" t="n">
        <f aca="false">I21+J21+K21+L21</f>
        <v>17981.36</v>
      </c>
      <c r="N21" s="45" t="s">
        <v>512</v>
      </c>
    </row>
    <row r="22" customFormat="false" ht="14.25" hidden="false" customHeight="true" outlineLevel="0" collapsed="false">
      <c r="A22" s="39"/>
      <c r="B22" s="40" t="s">
        <v>514</v>
      </c>
      <c r="C22" s="41" t="s">
        <v>127</v>
      </c>
      <c r="D22" s="41" t="s">
        <v>108</v>
      </c>
      <c r="E22" s="42" t="n">
        <v>8008</v>
      </c>
      <c r="F22" s="42"/>
      <c r="G22" s="42"/>
      <c r="H22" s="43" t="n">
        <v>2</v>
      </c>
      <c r="I22" s="34" t="n">
        <f aca="false">E22*H22+N(F22)+N(G22)</f>
        <v>16016</v>
      </c>
      <c r="J22" s="42" t="n">
        <f aca="false">ROUND(IFERROR(ROUND(IF(OR(ISNUMBER(SEARCH("week",C22)),ISNUMBER(SEARCH("minggu",C22))),IFERROR(_xlfn.NUMBERVALUE(SUBSTITUTE(LEFT(TRIM(C22),FIND(" ",TRIM(C22)&amp;" ")-1),",","."),"."),LEFT(SUBSTITUTE(LEFT(TRIM(C22),FIND(" ",TRIM(C22)&amp;" ")-1),",","."),FIND("/",SUBSTITUTE(LEFT(TRIM(C22),FIND(" ",TRIM(C22)&amp;" ")-1),",","."))-1)/MID(SUBSTITUTE(LEFT(TRIM(C22),FIND(" ",TRIM(C22)&amp;" ")-1),",","."),FIND("/",SUBSTITUTE(LEFT(TRIM(C22),FIND(" ",TRIM(C22)&amp;" ")-1),",","."))+1,9))*12/52,IF(ISNUMBER(SEARCH("month",C22)),IFERROR(_xlfn.NUMBERVALUE(SUBSTITUTE(LEFT(TRIM(C22),FIND(" ",TRIM(C22)&amp;" ")-1),",","."),"."),LEFT(SUBSTITUTE(LEFT(TRIM(C22),FIND(" ",TRIM(C22)&amp;" ")-1),",","."),FIND("/",SUBSTITUTE(LEFT(TRIM(C22),FIND(" ",TRIM(C22)&amp;" ")-1),",","."))-1)/MID(SUBSTITUTE(LEFT(TRIM(C22),FIND(" ",TRIM(C22)&amp;" ")-1),",","."),FIND("/",SUBSTITUTE(LEFT(TRIM(C22),FIND(" ",TRIM(C22)&amp;" ")-1),",","."))+1,9)),IF(ISNUMBER(SEARCH("yea",C22)),IFERROR(_xlfn.NUMBERVALUE(SUBSTITUTE(LEFT(TRIM(C22),FIND(" ",TRIM(C22)&amp;" ")-1),",","."),"."),LEFT(SUBSTITUTE(LEFT(TRIM(C22),FIND(" ",TRIM(C22)&amp;" ")-1),",","."),FIND("/",SUBSTITUTE(LEFT(TRIM(C22),FIND(" ",TRIM(C22)&amp;" ")-1),",","."))-1)/MID(SUBSTITUTE(LEFT(TRIM(C22),FIND(" ",TRIM(C22)&amp;" ")-1),",","."),FIND("/",SUBSTITUTE(LEFT(TRIM(C22),FIND(" ",TRIM(C22)&amp;" ")-1),",","."))+1,9))*12,NA()))),0),36)*'Aturan &amp; Tarif'!$B$4,2)</f>
        <v>2044.08</v>
      </c>
      <c r="K22" s="42" t="n">
        <f aca="false">'Aturan &amp; Tarif'!$B$5</f>
        <v>2050</v>
      </c>
      <c r="L22" s="42" t="n">
        <f aca="false">'Aturan &amp; Tarif'!$B$6</f>
        <v>350</v>
      </c>
      <c r="M22" s="35" t="n">
        <f aca="false">I22+J22+K22+L22</f>
        <v>20460.08</v>
      </c>
      <c r="N22" s="45" t="s">
        <v>512</v>
      </c>
    </row>
    <row r="23" customFormat="false" ht="14.25" hidden="false" customHeight="true" outlineLevel="0" collapsed="false">
      <c r="A23" s="39"/>
      <c r="B23" s="40" t="s">
        <v>355</v>
      </c>
      <c r="C23" s="41" t="s">
        <v>127</v>
      </c>
      <c r="D23" s="41" t="s">
        <v>108</v>
      </c>
      <c r="E23" s="42" t="n">
        <v>7526</v>
      </c>
      <c r="F23" s="42"/>
      <c r="G23" s="42"/>
      <c r="H23" s="43" t="n">
        <v>2</v>
      </c>
      <c r="I23" s="34" t="n">
        <f aca="false">E23*H23+N(F23)+N(G23)</f>
        <v>15052</v>
      </c>
      <c r="J23" s="42" t="n">
        <f aca="false">ROUND(IFERROR(ROUND(IF(OR(ISNUMBER(SEARCH("week",C23)),ISNUMBER(SEARCH("minggu",C23))),IFERROR(_xlfn.NUMBERVALUE(SUBSTITUTE(LEFT(TRIM(C23),FIND(" ",TRIM(C23)&amp;" ")-1),",","."),"."),LEFT(SUBSTITUTE(LEFT(TRIM(C23),FIND(" ",TRIM(C23)&amp;" ")-1),",","."),FIND("/",SUBSTITUTE(LEFT(TRIM(C23),FIND(" ",TRIM(C23)&amp;" ")-1),",","."))-1)/MID(SUBSTITUTE(LEFT(TRIM(C23),FIND(" ",TRIM(C23)&amp;" ")-1),",","."),FIND("/",SUBSTITUTE(LEFT(TRIM(C23),FIND(" ",TRIM(C23)&amp;" ")-1),",","."))+1,9))*12/52,IF(ISNUMBER(SEARCH("month",C23)),IFERROR(_xlfn.NUMBERVALUE(SUBSTITUTE(LEFT(TRIM(C23),FIND(" ",TRIM(C23)&amp;" ")-1),",","."),"."),LEFT(SUBSTITUTE(LEFT(TRIM(C23),FIND(" ",TRIM(C23)&amp;" ")-1),",","."),FIND("/",SUBSTITUTE(LEFT(TRIM(C23),FIND(" ",TRIM(C23)&amp;" ")-1),",","."))-1)/MID(SUBSTITUTE(LEFT(TRIM(C23),FIND(" ",TRIM(C23)&amp;" ")-1),",","."),FIND("/",SUBSTITUTE(LEFT(TRIM(C23),FIND(" ",TRIM(C23)&amp;" ")-1),",","."))+1,9)),IF(ISNUMBER(SEARCH("yea",C23)),IFERROR(_xlfn.NUMBERVALUE(SUBSTITUTE(LEFT(TRIM(C23),FIND(" ",TRIM(C23)&amp;" ")-1),",","."),"."),LEFT(SUBSTITUTE(LEFT(TRIM(C23),FIND(" ",TRIM(C23)&amp;" ")-1),",","."),FIND("/",SUBSTITUTE(LEFT(TRIM(C23),FIND(" ",TRIM(C23)&amp;" ")-1),",","."))-1)/MID(SUBSTITUTE(LEFT(TRIM(C23),FIND(" ",TRIM(C23)&amp;" ")-1),",","."),FIND("/",SUBSTITUTE(LEFT(TRIM(C23),FIND(" ",TRIM(C23)&amp;" ")-1),",","."))+1,9))*12,NA()))),0),36)*'Aturan &amp; Tarif'!$B$4,2)</f>
        <v>2044.08</v>
      </c>
      <c r="K23" s="42" t="n">
        <f aca="false">'Aturan &amp; Tarif'!$B$5</f>
        <v>2050</v>
      </c>
      <c r="L23" s="42" t="n">
        <f aca="false">'Aturan &amp; Tarif'!$B$6</f>
        <v>350</v>
      </c>
      <c r="M23" s="35" t="n">
        <f aca="false">I23+J23+K23+L23</f>
        <v>19496.08</v>
      </c>
      <c r="N23" s="45" t="s">
        <v>512</v>
      </c>
    </row>
    <row r="24" customFormat="false" ht="14.25" hidden="false" customHeight="true" outlineLevel="0" collapsed="false">
      <c r="A24" s="39"/>
      <c r="B24" s="40" t="s">
        <v>181</v>
      </c>
      <c r="C24" s="41" t="s">
        <v>107</v>
      </c>
      <c r="D24" s="41" t="s">
        <v>108</v>
      </c>
      <c r="E24" s="42" t="n">
        <v>9418</v>
      </c>
      <c r="F24" s="42"/>
      <c r="G24" s="42"/>
      <c r="H24" s="43" t="n">
        <v>2</v>
      </c>
      <c r="I24" s="34" t="n">
        <f aca="false">E24*H24+N(F24)+N(G24)</f>
        <v>18836</v>
      </c>
      <c r="J24" s="42" t="n">
        <f aca="false">ROUND(IFERROR(ROUND(IF(OR(ISNUMBER(SEARCH("week",C24)),ISNUMBER(SEARCH("minggu",C24))),IFERROR(_xlfn.NUMBERVALUE(SUBSTITUTE(LEFT(TRIM(C24),FIND(" ",TRIM(C24)&amp;" ")-1),",","."),"."),LEFT(SUBSTITUTE(LEFT(TRIM(C24),FIND(" ",TRIM(C24)&amp;" ")-1),",","."),FIND("/",SUBSTITUTE(LEFT(TRIM(C24),FIND(" ",TRIM(C24)&amp;" ")-1),",","."))-1)/MID(SUBSTITUTE(LEFT(TRIM(C24),FIND(" ",TRIM(C24)&amp;" ")-1),",","."),FIND("/",SUBSTITUTE(LEFT(TRIM(C24),FIND(" ",TRIM(C24)&amp;" ")-1),",","."))+1,9))*12/52,IF(ISNUMBER(SEARCH("month",C24)),IFERROR(_xlfn.NUMBERVALUE(SUBSTITUTE(LEFT(TRIM(C24),FIND(" ",TRIM(C24)&amp;" ")-1),",","."),"."),LEFT(SUBSTITUTE(LEFT(TRIM(C24),FIND(" ",TRIM(C24)&amp;" ")-1),",","."),FIND("/",SUBSTITUTE(LEFT(TRIM(C24),FIND(" ",TRIM(C24)&amp;" ")-1),",","."))-1)/MID(SUBSTITUTE(LEFT(TRIM(C24),FIND(" ",TRIM(C24)&amp;" ")-1),",","."),FIND("/",SUBSTITUTE(LEFT(TRIM(C24),FIND(" ",TRIM(C24)&amp;" ")-1),",","."))+1,9)),IF(ISNUMBER(SEARCH("yea",C24)),IFERROR(_xlfn.NUMBERVALUE(SUBSTITUTE(LEFT(TRIM(C24),FIND(" ",TRIM(C24)&amp;" ")-1),",","."),"."),LEFT(SUBSTITUTE(LEFT(TRIM(C24),FIND(" ",TRIM(C24)&amp;" ")-1),",","."),FIND("/",SUBSTITUTE(LEFT(TRIM(C24),FIND(" ",TRIM(C24)&amp;" ")-1),",","."))-1)/MID(SUBSTITUTE(LEFT(TRIM(C24),FIND(" ",TRIM(C24)&amp;" ")-1),",","."),FIND("/",SUBSTITUTE(LEFT(TRIM(C24),FIND(" ",TRIM(C24)&amp;" ")-1),",","."))+1,9))*12,NA()))),0),24)*'Aturan &amp; Tarif'!$B$4,2)</f>
        <v>1362.72</v>
      </c>
      <c r="K24" s="42" t="n">
        <f aca="false">'Aturan &amp; Tarif'!$B$5</f>
        <v>2050</v>
      </c>
      <c r="L24" s="42" t="n">
        <f aca="false">'Aturan &amp; Tarif'!$B$6</f>
        <v>350</v>
      </c>
      <c r="M24" s="35" t="n">
        <f aca="false">I24+J24+K24+L24</f>
        <v>22598.72</v>
      </c>
      <c r="N24" s="45" t="s">
        <v>512</v>
      </c>
    </row>
    <row r="25" customFormat="false" ht="14.25" hidden="false" customHeight="true" outlineLevel="0" collapsed="false">
      <c r="A25" s="39"/>
      <c r="B25" s="40" t="s">
        <v>515</v>
      </c>
      <c r="C25" s="41" t="s">
        <v>344</v>
      </c>
      <c r="D25" s="41" t="s">
        <v>108</v>
      </c>
      <c r="E25" s="42" t="n">
        <v>9418</v>
      </c>
      <c r="F25" s="42"/>
      <c r="G25" s="42"/>
      <c r="H25" s="43" t="n">
        <v>2</v>
      </c>
      <c r="I25" s="34" t="n">
        <f aca="false">E25*H25+N(F25)+N(G25)</f>
        <v>18836</v>
      </c>
      <c r="J25" s="42" t="n">
        <f aca="false">ROUND(IFERROR(ROUND(IF(OR(ISNUMBER(SEARCH("week",C25)),ISNUMBER(SEARCH("minggu",C25))),IFERROR(_xlfn.NUMBERVALUE(SUBSTITUTE(LEFT(TRIM(C25),FIND(" ",TRIM(C25)&amp;" ")-1),",","."),"."),LEFT(SUBSTITUTE(LEFT(TRIM(C25),FIND(" ",TRIM(C25)&amp;" ")-1),",","."),FIND("/",SUBSTITUTE(LEFT(TRIM(C25),FIND(" ",TRIM(C25)&amp;" ")-1),",","."))-1)/MID(SUBSTITUTE(LEFT(TRIM(C25),FIND(" ",TRIM(C25)&amp;" ")-1),",","."),FIND("/",SUBSTITUTE(LEFT(TRIM(C25),FIND(" ",TRIM(C25)&amp;" ")-1),",","."))+1,9))*12/52,IF(ISNUMBER(SEARCH("month",C25)),IFERROR(_xlfn.NUMBERVALUE(SUBSTITUTE(LEFT(TRIM(C25),FIND(" ",TRIM(C25)&amp;" ")-1),",","."),"."),LEFT(SUBSTITUTE(LEFT(TRIM(C25),FIND(" ",TRIM(C25)&amp;" ")-1),",","."),FIND("/",SUBSTITUTE(LEFT(TRIM(C25),FIND(" ",TRIM(C25)&amp;" ")-1),",","."))-1)/MID(SUBSTITUTE(LEFT(TRIM(C25),FIND(" ",TRIM(C25)&amp;" ")-1),",","."),FIND("/",SUBSTITUTE(LEFT(TRIM(C25),FIND(" ",TRIM(C25)&amp;" ")-1),",","."))+1,9)),IF(ISNUMBER(SEARCH("yea",C25)),IFERROR(_xlfn.NUMBERVALUE(SUBSTITUTE(LEFT(TRIM(C25),FIND(" ",TRIM(C25)&amp;" ")-1),",","."),"."),LEFT(SUBSTITUTE(LEFT(TRIM(C25),FIND(" ",TRIM(C25)&amp;" ")-1),",","."),FIND("/",SUBSTITUTE(LEFT(TRIM(C25),FIND(" ",TRIM(C25)&amp;" ")-1),",","."))-1)/MID(SUBSTITUTE(LEFT(TRIM(C25),FIND(" ",TRIM(C25)&amp;" ")-1),",","."),FIND("/",SUBSTITUTE(LEFT(TRIM(C25),FIND(" ",TRIM(C25)&amp;" ")-1),",","."))+1,9))*12,NA()))),0),6)*'Aturan &amp; Tarif'!$B$4,2)</f>
        <v>340.68</v>
      </c>
      <c r="K25" s="42" t="n">
        <f aca="false">'Aturan &amp; Tarif'!$B$5</f>
        <v>2050</v>
      </c>
      <c r="L25" s="42" t="n">
        <f aca="false">'Aturan &amp; Tarif'!$B$6</f>
        <v>350</v>
      </c>
      <c r="M25" s="35" t="n">
        <f aca="false">I25+J25+K25+L25</f>
        <v>21576.68</v>
      </c>
      <c r="N25" s="45" t="s">
        <v>512</v>
      </c>
    </row>
    <row r="26" customFormat="false" ht="14.25" hidden="false" customHeight="true" outlineLevel="0" collapsed="false">
      <c r="A26" s="39"/>
      <c r="B26" s="40" t="s">
        <v>516</v>
      </c>
      <c r="C26" s="41" t="s">
        <v>191</v>
      </c>
      <c r="D26" s="41" t="s">
        <v>108</v>
      </c>
      <c r="E26" s="42" t="n">
        <v>7450</v>
      </c>
      <c r="F26" s="42"/>
      <c r="G26" s="42"/>
      <c r="H26" s="43" t="n">
        <v>2</v>
      </c>
      <c r="I26" s="34" t="n">
        <f aca="false">E26*H26+N(F26)+N(G26)</f>
        <v>14900</v>
      </c>
      <c r="J26" s="42" t="n">
        <f aca="false">ROUND(IFERROR(ROUND(IF(OR(ISNUMBER(SEARCH("week",C26)),ISNUMBER(SEARCH("minggu",C26))),IFERROR(_xlfn.NUMBERVALUE(SUBSTITUTE(LEFT(TRIM(C26),FIND(" ",TRIM(C26)&amp;" ")-1),",","."),"."),LEFT(SUBSTITUTE(LEFT(TRIM(C26),FIND(" ",TRIM(C26)&amp;" ")-1),",","."),FIND("/",SUBSTITUTE(LEFT(TRIM(C26),FIND(" ",TRIM(C26)&amp;" ")-1),",","."))-1)/MID(SUBSTITUTE(LEFT(TRIM(C26),FIND(" ",TRIM(C26)&amp;" ")-1),",","."),FIND("/",SUBSTITUTE(LEFT(TRIM(C26),FIND(" ",TRIM(C26)&amp;" ")-1),",","."))+1,9))*12/52,IF(ISNUMBER(SEARCH("month",C26)),IFERROR(_xlfn.NUMBERVALUE(SUBSTITUTE(LEFT(TRIM(C26),FIND(" ",TRIM(C26)&amp;" ")-1),",","."),"."),LEFT(SUBSTITUTE(LEFT(TRIM(C26),FIND(" ",TRIM(C26)&amp;" ")-1),",","."),FIND("/",SUBSTITUTE(LEFT(TRIM(C26),FIND(" ",TRIM(C26)&amp;" ")-1),",","."))-1)/MID(SUBSTITUTE(LEFT(TRIM(C26),FIND(" ",TRIM(C26)&amp;" ")-1),",","."),FIND("/",SUBSTITUTE(LEFT(TRIM(C26),FIND(" ",TRIM(C26)&amp;" ")-1),",","."))+1,9)),IF(ISNUMBER(SEARCH("yea",C26)),IFERROR(_xlfn.NUMBERVALUE(SUBSTITUTE(LEFT(TRIM(C26),FIND(" ",TRIM(C26)&amp;" ")-1),",","."),"."),LEFT(SUBSTITUTE(LEFT(TRIM(C26),FIND(" ",TRIM(C26)&amp;" ")-1),",","."),FIND("/",SUBSTITUTE(LEFT(TRIM(C26),FIND(" ",TRIM(C26)&amp;" ")-1),",","."))-1)/MID(SUBSTITUTE(LEFT(TRIM(C26),FIND(" ",TRIM(C26)&amp;" ")-1),",","."),FIND("/",SUBSTITUTE(LEFT(TRIM(C26),FIND(" ",TRIM(C26)&amp;" ")-1),",","."))+1,9))*12,NA()))),0),48)*'Aturan &amp; Tarif'!$B$4,2)</f>
        <v>2725.44</v>
      </c>
      <c r="K26" s="42" t="n">
        <f aca="false">'Aturan &amp; Tarif'!$B$5</f>
        <v>2050</v>
      </c>
      <c r="L26" s="42" t="n">
        <f aca="false">'Aturan &amp; Tarif'!$B$6</f>
        <v>350</v>
      </c>
      <c r="M26" s="35" t="n">
        <f aca="false">I26+J26+K26+L26</f>
        <v>20025.44</v>
      </c>
      <c r="N26" s="45" t="s">
        <v>512</v>
      </c>
    </row>
    <row r="27" customFormat="false" ht="14.25" hidden="false" customHeight="true" outlineLevel="0" collapsed="false">
      <c r="A27" s="39"/>
      <c r="B27" s="40" t="s">
        <v>517</v>
      </c>
      <c r="C27" s="41" t="s">
        <v>107</v>
      </c>
      <c r="D27" s="41" t="s">
        <v>108</v>
      </c>
      <c r="E27" s="42" t="n">
        <v>9418</v>
      </c>
      <c r="F27" s="42"/>
      <c r="G27" s="42"/>
      <c r="H27" s="43" t="n">
        <v>2</v>
      </c>
      <c r="I27" s="34" t="n">
        <f aca="false">E27*H27+N(F27)+N(G27)</f>
        <v>18836</v>
      </c>
      <c r="J27" s="42" t="n">
        <f aca="false">ROUND(IFERROR(ROUND(IF(OR(ISNUMBER(SEARCH("week",C27)),ISNUMBER(SEARCH("minggu",C27))),IFERROR(_xlfn.NUMBERVALUE(SUBSTITUTE(LEFT(TRIM(C27),FIND(" ",TRIM(C27)&amp;" ")-1),",","."),"."),LEFT(SUBSTITUTE(LEFT(TRIM(C27),FIND(" ",TRIM(C27)&amp;" ")-1),",","."),FIND("/",SUBSTITUTE(LEFT(TRIM(C27),FIND(" ",TRIM(C27)&amp;" ")-1),",","."))-1)/MID(SUBSTITUTE(LEFT(TRIM(C27),FIND(" ",TRIM(C27)&amp;" ")-1),",","."),FIND("/",SUBSTITUTE(LEFT(TRIM(C27),FIND(" ",TRIM(C27)&amp;" ")-1),",","."))+1,9))*12/52,IF(ISNUMBER(SEARCH("month",C27)),IFERROR(_xlfn.NUMBERVALUE(SUBSTITUTE(LEFT(TRIM(C27),FIND(" ",TRIM(C27)&amp;" ")-1),",","."),"."),LEFT(SUBSTITUTE(LEFT(TRIM(C27),FIND(" ",TRIM(C27)&amp;" ")-1),",","."),FIND("/",SUBSTITUTE(LEFT(TRIM(C27),FIND(" ",TRIM(C27)&amp;" ")-1),",","."))-1)/MID(SUBSTITUTE(LEFT(TRIM(C27),FIND(" ",TRIM(C27)&amp;" ")-1),",","."),FIND("/",SUBSTITUTE(LEFT(TRIM(C27),FIND(" ",TRIM(C27)&amp;" ")-1),",","."))+1,9)),IF(ISNUMBER(SEARCH("yea",C27)),IFERROR(_xlfn.NUMBERVALUE(SUBSTITUTE(LEFT(TRIM(C27),FIND(" ",TRIM(C27)&amp;" ")-1),",","."),"."),LEFT(SUBSTITUTE(LEFT(TRIM(C27),FIND(" ",TRIM(C27)&amp;" ")-1),",","."),FIND("/",SUBSTITUTE(LEFT(TRIM(C27),FIND(" ",TRIM(C27)&amp;" ")-1),",","."))-1)/MID(SUBSTITUTE(LEFT(TRIM(C27),FIND(" ",TRIM(C27)&amp;" ")-1),",","."),FIND("/",SUBSTITUTE(LEFT(TRIM(C27),FIND(" ",TRIM(C27)&amp;" ")-1),",","."))+1,9))*12,NA()))),0),24)*'Aturan &amp; Tarif'!$B$4,2)</f>
        <v>1362.72</v>
      </c>
      <c r="K27" s="42" t="n">
        <f aca="false">'Aturan &amp; Tarif'!$B$5</f>
        <v>2050</v>
      </c>
      <c r="L27" s="42" t="n">
        <f aca="false">'Aturan &amp; Tarif'!$B$6</f>
        <v>350</v>
      </c>
      <c r="M27" s="35" t="n">
        <f aca="false">I27+J27+K27+L27</f>
        <v>22598.72</v>
      </c>
      <c r="N27" s="45" t="s">
        <v>512</v>
      </c>
    </row>
    <row r="28" customFormat="false" ht="14.25" hidden="false" customHeight="true" outlineLevel="0" collapsed="false">
      <c r="A28" s="39"/>
      <c r="B28" s="40" t="s">
        <v>518</v>
      </c>
      <c r="C28" s="41" t="s">
        <v>107</v>
      </c>
      <c r="D28" s="41" t="s">
        <v>108</v>
      </c>
      <c r="E28" s="42" t="n">
        <v>9418</v>
      </c>
      <c r="F28" s="42"/>
      <c r="G28" s="42"/>
      <c r="H28" s="43" t="n">
        <v>2</v>
      </c>
      <c r="I28" s="34" t="n">
        <f aca="false">E28*H28+N(F28)+N(G28)</f>
        <v>18836</v>
      </c>
      <c r="J28" s="42" t="n">
        <f aca="false">ROUND(IFERROR(ROUND(IF(OR(ISNUMBER(SEARCH("week",C28)),ISNUMBER(SEARCH("minggu",C28))),IFERROR(_xlfn.NUMBERVALUE(SUBSTITUTE(LEFT(TRIM(C28),FIND(" ",TRIM(C28)&amp;" ")-1),",","."),"."),LEFT(SUBSTITUTE(LEFT(TRIM(C28),FIND(" ",TRIM(C28)&amp;" ")-1),",","."),FIND("/",SUBSTITUTE(LEFT(TRIM(C28),FIND(" ",TRIM(C28)&amp;" ")-1),",","."))-1)/MID(SUBSTITUTE(LEFT(TRIM(C28),FIND(" ",TRIM(C28)&amp;" ")-1),",","."),FIND("/",SUBSTITUTE(LEFT(TRIM(C28),FIND(" ",TRIM(C28)&amp;" ")-1),",","."))+1,9))*12/52,IF(ISNUMBER(SEARCH("month",C28)),IFERROR(_xlfn.NUMBERVALUE(SUBSTITUTE(LEFT(TRIM(C28),FIND(" ",TRIM(C28)&amp;" ")-1),",","."),"."),LEFT(SUBSTITUTE(LEFT(TRIM(C28),FIND(" ",TRIM(C28)&amp;" ")-1),",","."),FIND("/",SUBSTITUTE(LEFT(TRIM(C28),FIND(" ",TRIM(C28)&amp;" ")-1),",","."))-1)/MID(SUBSTITUTE(LEFT(TRIM(C28),FIND(" ",TRIM(C28)&amp;" ")-1),",","."),FIND("/",SUBSTITUTE(LEFT(TRIM(C28),FIND(" ",TRIM(C28)&amp;" ")-1),",","."))+1,9)),IF(ISNUMBER(SEARCH("yea",C28)),IFERROR(_xlfn.NUMBERVALUE(SUBSTITUTE(LEFT(TRIM(C28),FIND(" ",TRIM(C28)&amp;" ")-1),",","."),"."),LEFT(SUBSTITUTE(LEFT(TRIM(C28),FIND(" ",TRIM(C28)&amp;" ")-1),",","."),FIND("/",SUBSTITUTE(LEFT(TRIM(C28),FIND(" ",TRIM(C28)&amp;" ")-1),",","."))-1)/MID(SUBSTITUTE(LEFT(TRIM(C28),FIND(" ",TRIM(C28)&amp;" ")-1),",","."),FIND("/",SUBSTITUTE(LEFT(TRIM(C28),FIND(" ",TRIM(C28)&amp;" ")-1),",","."))+1,9))*12,NA()))),0),24)*'Aturan &amp; Tarif'!$B$4,2)</f>
        <v>1362.72</v>
      </c>
      <c r="K28" s="42" t="n">
        <f aca="false">'Aturan &amp; Tarif'!$B$5</f>
        <v>2050</v>
      </c>
      <c r="L28" s="42" t="n">
        <f aca="false">'Aturan &amp; Tarif'!$B$6</f>
        <v>350</v>
      </c>
      <c r="M28" s="35" t="n">
        <f aca="false">I28+J28+K28+L28</f>
        <v>22598.72</v>
      </c>
      <c r="N28" s="45" t="s">
        <v>512</v>
      </c>
    </row>
    <row r="29" customFormat="false" ht="14.25" hidden="false" customHeight="true" outlineLevel="0" collapsed="false">
      <c r="A29" s="39"/>
      <c r="B29" s="40" t="s">
        <v>519</v>
      </c>
      <c r="C29" s="41" t="s">
        <v>107</v>
      </c>
      <c r="D29" s="41" t="s">
        <v>108</v>
      </c>
      <c r="E29" s="42" t="n">
        <v>7932</v>
      </c>
      <c r="F29" s="42"/>
      <c r="G29" s="42"/>
      <c r="H29" s="43" t="n">
        <v>2</v>
      </c>
      <c r="I29" s="34" t="n">
        <f aca="false">E29*H29+N(F29)+N(G29)</f>
        <v>15864</v>
      </c>
      <c r="J29" s="42" t="n">
        <f aca="false">ROUND(IFERROR(ROUND(IF(OR(ISNUMBER(SEARCH("week",C29)),ISNUMBER(SEARCH("minggu",C29))),IFERROR(_xlfn.NUMBERVALUE(SUBSTITUTE(LEFT(TRIM(C29),FIND(" ",TRIM(C29)&amp;" ")-1),",","."),"."),LEFT(SUBSTITUTE(LEFT(TRIM(C29),FIND(" ",TRIM(C29)&amp;" ")-1),",","."),FIND("/",SUBSTITUTE(LEFT(TRIM(C29),FIND(" ",TRIM(C29)&amp;" ")-1),",","."))-1)/MID(SUBSTITUTE(LEFT(TRIM(C29),FIND(" ",TRIM(C29)&amp;" ")-1),",","."),FIND("/",SUBSTITUTE(LEFT(TRIM(C29),FIND(" ",TRIM(C29)&amp;" ")-1),",","."))+1,9))*12/52,IF(ISNUMBER(SEARCH("month",C29)),IFERROR(_xlfn.NUMBERVALUE(SUBSTITUTE(LEFT(TRIM(C29),FIND(" ",TRIM(C29)&amp;" ")-1),",","."),"."),LEFT(SUBSTITUTE(LEFT(TRIM(C29),FIND(" ",TRIM(C29)&amp;" ")-1),",","."),FIND("/",SUBSTITUTE(LEFT(TRIM(C29),FIND(" ",TRIM(C29)&amp;" ")-1),",","."))-1)/MID(SUBSTITUTE(LEFT(TRIM(C29),FIND(" ",TRIM(C29)&amp;" ")-1),",","."),FIND("/",SUBSTITUTE(LEFT(TRIM(C29),FIND(" ",TRIM(C29)&amp;" ")-1),",","."))+1,9)),IF(ISNUMBER(SEARCH("yea",C29)),IFERROR(_xlfn.NUMBERVALUE(SUBSTITUTE(LEFT(TRIM(C29),FIND(" ",TRIM(C29)&amp;" ")-1),",","."),"."),LEFT(SUBSTITUTE(LEFT(TRIM(C29),FIND(" ",TRIM(C29)&amp;" ")-1),",","."),FIND("/",SUBSTITUTE(LEFT(TRIM(C29),FIND(" ",TRIM(C29)&amp;" ")-1),",","."))-1)/MID(SUBSTITUTE(LEFT(TRIM(C29),FIND(" ",TRIM(C29)&amp;" ")-1),",","."),FIND("/",SUBSTITUTE(LEFT(TRIM(C29),FIND(" ",TRIM(C29)&amp;" ")-1),",","."))+1,9))*12,NA()))),0),24)*'Aturan &amp; Tarif'!$B$4,2)</f>
        <v>1362.72</v>
      </c>
      <c r="K29" s="42" t="n">
        <f aca="false">'Aturan &amp; Tarif'!$B$5</f>
        <v>2050</v>
      </c>
      <c r="L29" s="42" t="n">
        <f aca="false">'Aturan &amp; Tarif'!$B$6</f>
        <v>350</v>
      </c>
      <c r="M29" s="35" t="n">
        <f aca="false">I29+J29+K29+L29</f>
        <v>19626.72</v>
      </c>
      <c r="N29" s="45" t="s">
        <v>512</v>
      </c>
    </row>
    <row r="30" customFormat="false" ht="14.25" hidden="false" customHeight="true" outlineLevel="0" collapsed="false">
      <c r="A30" s="39"/>
      <c r="B30" s="40" t="s">
        <v>456</v>
      </c>
      <c r="C30" s="41" t="s">
        <v>127</v>
      </c>
      <c r="D30" s="41" t="s">
        <v>108</v>
      </c>
      <c r="E30" s="42" t="n">
        <v>7802</v>
      </c>
      <c r="F30" s="42"/>
      <c r="G30" s="42"/>
      <c r="H30" s="43" t="n">
        <v>2</v>
      </c>
      <c r="I30" s="34" t="n">
        <f aca="false">E30*H30+N(F30)+N(G30)</f>
        <v>15604</v>
      </c>
      <c r="J30" s="42" t="n">
        <f aca="false">ROUND(IFERROR(ROUND(IF(OR(ISNUMBER(SEARCH("week",C30)),ISNUMBER(SEARCH("minggu",C30))),IFERROR(_xlfn.NUMBERVALUE(SUBSTITUTE(LEFT(TRIM(C30),FIND(" ",TRIM(C30)&amp;" ")-1),",","."),"."),LEFT(SUBSTITUTE(LEFT(TRIM(C30),FIND(" ",TRIM(C30)&amp;" ")-1),",","."),FIND("/",SUBSTITUTE(LEFT(TRIM(C30),FIND(" ",TRIM(C30)&amp;" ")-1),",","."))-1)/MID(SUBSTITUTE(LEFT(TRIM(C30),FIND(" ",TRIM(C30)&amp;" ")-1),",","."),FIND("/",SUBSTITUTE(LEFT(TRIM(C30),FIND(" ",TRIM(C30)&amp;" ")-1),",","."))+1,9))*12/52,IF(ISNUMBER(SEARCH("month",C30)),IFERROR(_xlfn.NUMBERVALUE(SUBSTITUTE(LEFT(TRIM(C30),FIND(" ",TRIM(C30)&amp;" ")-1),",","."),"."),LEFT(SUBSTITUTE(LEFT(TRIM(C30),FIND(" ",TRIM(C30)&amp;" ")-1),",","."),FIND("/",SUBSTITUTE(LEFT(TRIM(C30),FIND(" ",TRIM(C30)&amp;" ")-1),",","."))-1)/MID(SUBSTITUTE(LEFT(TRIM(C30),FIND(" ",TRIM(C30)&amp;" ")-1),",","."),FIND("/",SUBSTITUTE(LEFT(TRIM(C30),FIND(" ",TRIM(C30)&amp;" ")-1),",","."))+1,9)),IF(ISNUMBER(SEARCH("yea",C30)),IFERROR(_xlfn.NUMBERVALUE(SUBSTITUTE(LEFT(TRIM(C30),FIND(" ",TRIM(C30)&amp;" ")-1),",","."),"."),LEFT(SUBSTITUTE(LEFT(TRIM(C30),FIND(" ",TRIM(C30)&amp;" ")-1),",","."),FIND("/",SUBSTITUTE(LEFT(TRIM(C30),FIND(" ",TRIM(C30)&amp;" ")-1),",","."))-1)/MID(SUBSTITUTE(LEFT(TRIM(C30),FIND(" ",TRIM(C30)&amp;" ")-1),",","."),FIND("/",SUBSTITUTE(LEFT(TRIM(C30),FIND(" ",TRIM(C30)&amp;" ")-1),",","."))+1,9))*12,NA()))),0),36)*'Aturan &amp; Tarif'!$B$4,2)</f>
        <v>2044.08</v>
      </c>
      <c r="K30" s="42" t="n">
        <f aca="false">'Aturan &amp; Tarif'!$B$5</f>
        <v>2050</v>
      </c>
      <c r="L30" s="42" t="n">
        <f aca="false">'Aturan &amp; Tarif'!$B$6</f>
        <v>350</v>
      </c>
      <c r="M30" s="35" t="n">
        <f aca="false">I30+J30+K30+L30</f>
        <v>20048.08</v>
      </c>
      <c r="N30" s="45" t="s">
        <v>512</v>
      </c>
    </row>
    <row r="31" customFormat="false" ht="25.5" hidden="false" customHeight="true" outlineLevel="0" collapsed="false">
      <c r="A31" s="39"/>
      <c r="B31" s="40" t="s">
        <v>520</v>
      </c>
      <c r="C31" s="41" t="s">
        <v>191</v>
      </c>
      <c r="D31" s="41" t="s">
        <v>108</v>
      </c>
      <c r="E31" s="42" t="n">
        <v>7802</v>
      </c>
      <c r="F31" s="42"/>
      <c r="G31" s="42"/>
      <c r="H31" s="43" t="n">
        <v>2</v>
      </c>
      <c r="I31" s="34" t="n">
        <f aca="false">E31*H31+N(F31)+N(G31)</f>
        <v>15604</v>
      </c>
      <c r="J31" s="42" t="n">
        <f aca="false">ROUND(IFERROR(ROUND(IF(OR(ISNUMBER(SEARCH("week",C31)),ISNUMBER(SEARCH("minggu",C31))),IFERROR(_xlfn.NUMBERVALUE(SUBSTITUTE(LEFT(TRIM(C31),FIND(" ",TRIM(C31)&amp;" ")-1),",","."),"."),LEFT(SUBSTITUTE(LEFT(TRIM(C31),FIND(" ",TRIM(C31)&amp;" ")-1),",","."),FIND("/",SUBSTITUTE(LEFT(TRIM(C31),FIND(" ",TRIM(C31)&amp;" ")-1),",","."))-1)/MID(SUBSTITUTE(LEFT(TRIM(C31),FIND(" ",TRIM(C31)&amp;" ")-1),",","."),FIND("/",SUBSTITUTE(LEFT(TRIM(C31),FIND(" ",TRIM(C31)&amp;" ")-1),",","."))+1,9))*12/52,IF(ISNUMBER(SEARCH("month",C31)),IFERROR(_xlfn.NUMBERVALUE(SUBSTITUTE(LEFT(TRIM(C31),FIND(" ",TRIM(C31)&amp;" ")-1),",","."),"."),LEFT(SUBSTITUTE(LEFT(TRIM(C31),FIND(" ",TRIM(C31)&amp;" ")-1),",","."),FIND("/",SUBSTITUTE(LEFT(TRIM(C31),FIND(" ",TRIM(C31)&amp;" ")-1),",","."))-1)/MID(SUBSTITUTE(LEFT(TRIM(C31),FIND(" ",TRIM(C31)&amp;" ")-1),",","."),FIND("/",SUBSTITUTE(LEFT(TRIM(C31),FIND(" ",TRIM(C31)&amp;" ")-1),",","."))+1,9)),IF(ISNUMBER(SEARCH("yea",C31)),IFERROR(_xlfn.NUMBERVALUE(SUBSTITUTE(LEFT(TRIM(C31),FIND(" ",TRIM(C31)&amp;" ")-1),",","."),"."),LEFT(SUBSTITUTE(LEFT(TRIM(C31),FIND(" ",TRIM(C31)&amp;" ")-1),",","."),FIND("/",SUBSTITUTE(LEFT(TRIM(C31),FIND(" ",TRIM(C31)&amp;" ")-1),",","."))-1)/MID(SUBSTITUTE(LEFT(TRIM(C31),FIND(" ",TRIM(C31)&amp;" ")-1),",","."),FIND("/",SUBSTITUTE(LEFT(TRIM(C31),FIND(" ",TRIM(C31)&amp;" ")-1),",","."))+1,9))*12,NA()))),0),48)*'Aturan &amp; Tarif'!$B$4,2)</f>
        <v>2725.44</v>
      </c>
      <c r="K31" s="42" t="n">
        <f aca="false">'Aturan &amp; Tarif'!$B$5</f>
        <v>2050</v>
      </c>
      <c r="L31" s="42" t="n">
        <f aca="false">'Aturan &amp; Tarif'!$B$6</f>
        <v>350</v>
      </c>
      <c r="M31" s="35" t="n">
        <f aca="false">I31+J31+K31+L31</f>
        <v>20729.44</v>
      </c>
      <c r="N31" s="45" t="s">
        <v>512</v>
      </c>
    </row>
    <row r="32" customFormat="false" ht="14.25" hidden="false" customHeight="true" outlineLevel="0" collapsed="false">
      <c r="A32" s="39"/>
      <c r="B32" s="40" t="s">
        <v>521</v>
      </c>
      <c r="C32" s="41" t="s">
        <v>130</v>
      </c>
      <c r="D32" s="41" t="s">
        <v>108</v>
      </c>
      <c r="E32" s="42" t="n">
        <v>7802</v>
      </c>
      <c r="F32" s="42"/>
      <c r="G32" s="42"/>
      <c r="H32" s="43" t="n">
        <v>2</v>
      </c>
      <c r="I32" s="34" t="n">
        <f aca="false">E32*H32+N(F32)+N(G32)</f>
        <v>15604</v>
      </c>
      <c r="J32" s="42" t="n">
        <f aca="false">ROUND(IFERROR(ROUND(IF(OR(ISNUMBER(SEARCH("week",C32)),ISNUMBER(SEARCH("minggu",C32))),IFERROR(_xlfn.NUMBERVALUE(SUBSTITUTE(LEFT(TRIM(C32),FIND(" ",TRIM(C32)&amp;" ")-1),",","."),"."),LEFT(SUBSTITUTE(LEFT(TRIM(C32),FIND(" ",TRIM(C32)&amp;" ")-1),",","."),FIND("/",SUBSTITUTE(LEFT(TRIM(C32),FIND(" ",TRIM(C32)&amp;" ")-1),",","."))-1)/MID(SUBSTITUTE(LEFT(TRIM(C32),FIND(" ",TRIM(C32)&amp;" ")-1),",","."),FIND("/",SUBSTITUTE(LEFT(TRIM(C32),FIND(" ",TRIM(C32)&amp;" ")-1),",","."))+1,9))*12/52,IF(ISNUMBER(SEARCH("month",C32)),IFERROR(_xlfn.NUMBERVALUE(SUBSTITUTE(LEFT(TRIM(C32),FIND(" ",TRIM(C32)&amp;" ")-1),",","."),"."),LEFT(SUBSTITUTE(LEFT(TRIM(C32),FIND(" ",TRIM(C32)&amp;" ")-1),",","."),FIND("/",SUBSTITUTE(LEFT(TRIM(C32),FIND(" ",TRIM(C32)&amp;" ")-1),",","."))-1)/MID(SUBSTITUTE(LEFT(TRIM(C32),FIND(" ",TRIM(C32)&amp;" ")-1),",","."),FIND("/",SUBSTITUTE(LEFT(TRIM(C32),FIND(" ",TRIM(C32)&amp;" ")-1),",","."))+1,9)),IF(ISNUMBER(SEARCH("yea",C32)),IFERROR(_xlfn.NUMBERVALUE(SUBSTITUTE(LEFT(TRIM(C32),FIND(" ",TRIM(C32)&amp;" ")-1),",","."),"."),LEFT(SUBSTITUTE(LEFT(TRIM(C32),FIND(" ",TRIM(C32)&amp;" ")-1),",","."),FIND("/",SUBSTITUTE(LEFT(TRIM(C32),FIND(" ",TRIM(C32)&amp;" ")-1),",","."))-1)/MID(SUBSTITUTE(LEFT(TRIM(C32),FIND(" ",TRIM(C32)&amp;" ")-1),",","."),FIND("/",SUBSTITUTE(LEFT(TRIM(C32),FIND(" ",TRIM(C32)&amp;" ")-1),",","."))+1,9))*12,NA()))),0),12)*'Aturan &amp; Tarif'!$B$4,2)</f>
        <v>681.36</v>
      </c>
      <c r="K32" s="42" t="n">
        <f aca="false">'Aturan &amp; Tarif'!$B$5</f>
        <v>2050</v>
      </c>
      <c r="L32" s="42" t="n">
        <f aca="false">'Aturan &amp; Tarif'!$B$6</f>
        <v>350</v>
      </c>
      <c r="M32" s="35" t="n">
        <f aca="false">I32+J32+K32+L32</f>
        <v>18685.36</v>
      </c>
      <c r="N32" s="45" t="s">
        <v>512</v>
      </c>
    </row>
    <row r="33" customFormat="false" ht="14.25" hidden="false" customHeight="true" outlineLevel="0" collapsed="false">
      <c r="A33" s="39"/>
      <c r="B33" s="40" t="s">
        <v>522</v>
      </c>
      <c r="C33" s="41" t="s">
        <v>191</v>
      </c>
      <c r="D33" s="41" t="s">
        <v>108</v>
      </c>
      <c r="E33" s="42" t="n">
        <v>7802</v>
      </c>
      <c r="F33" s="42"/>
      <c r="G33" s="42"/>
      <c r="H33" s="43" t="n">
        <v>2</v>
      </c>
      <c r="I33" s="34" t="n">
        <f aca="false">E33*H33+N(F33)+N(G33)</f>
        <v>15604</v>
      </c>
      <c r="J33" s="42" t="n">
        <f aca="false">ROUND(IFERROR(ROUND(IF(OR(ISNUMBER(SEARCH("week",C33)),ISNUMBER(SEARCH("minggu",C33))),IFERROR(_xlfn.NUMBERVALUE(SUBSTITUTE(LEFT(TRIM(C33),FIND(" ",TRIM(C33)&amp;" ")-1),",","."),"."),LEFT(SUBSTITUTE(LEFT(TRIM(C33),FIND(" ",TRIM(C33)&amp;" ")-1),",","."),FIND("/",SUBSTITUTE(LEFT(TRIM(C33),FIND(" ",TRIM(C33)&amp;" ")-1),",","."))-1)/MID(SUBSTITUTE(LEFT(TRIM(C33),FIND(" ",TRIM(C33)&amp;" ")-1),",","."),FIND("/",SUBSTITUTE(LEFT(TRIM(C33),FIND(" ",TRIM(C33)&amp;" ")-1),",","."))+1,9))*12/52,IF(ISNUMBER(SEARCH("month",C33)),IFERROR(_xlfn.NUMBERVALUE(SUBSTITUTE(LEFT(TRIM(C33),FIND(" ",TRIM(C33)&amp;" ")-1),",","."),"."),LEFT(SUBSTITUTE(LEFT(TRIM(C33),FIND(" ",TRIM(C33)&amp;" ")-1),",","."),FIND("/",SUBSTITUTE(LEFT(TRIM(C33),FIND(" ",TRIM(C33)&amp;" ")-1),",","."))-1)/MID(SUBSTITUTE(LEFT(TRIM(C33),FIND(" ",TRIM(C33)&amp;" ")-1),",","."),FIND("/",SUBSTITUTE(LEFT(TRIM(C33),FIND(" ",TRIM(C33)&amp;" ")-1),",","."))+1,9)),IF(ISNUMBER(SEARCH("yea",C33)),IFERROR(_xlfn.NUMBERVALUE(SUBSTITUTE(LEFT(TRIM(C33),FIND(" ",TRIM(C33)&amp;" ")-1),",","."),"."),LEFT(SUBSTITUTE(LEFT(TRIM(C33),FIND(" ",TRIM(C33)&amp;" ")-1),",","."),FIND("/",SUBSTITUTE(LEFT(TRIM(C33),FIND(" ",TRIM(C33)&amp;" ")-1),",","."))-1)/MID(SUBSTITUTE(LEFT(TRIM(C33),FIND(" ",TRIM(C33)&amp;" ")-1),",","."),FIND("/",SUBSTITUTE(LEFT(TRIM(C33),FIND(" ",TRIM(C33)&amp;" ")-1),",","."))+1,9))*12,NA()))),0),48)*'Aturan &amp; Tarif'!$B$4,2)</f>
        <v>2725.44</v>
      </c>
      <c r="K33" s="42" t="n">
        <f aca="false">'Aturan &amp; Tarif'!$B$5</f>
        <v>2050</v>
      </c>
      <c r="L33" s="42" t="n">
        <f aca="false">'Aturan &amp; Tarif'!$B$6</f>
        <v>350</v>
      </c>
      <c r="M33" s="35" t="n">
        <f aca="false">I33+J33+K33+L33</f>
        <v>20729.44</v>
      </c>
      <c r="N33" s="45" t="s">
        <v>512</v>
      </c>
    </row>
    <row r="34" customFormat="false" ht="14.25" hidden="false" customHeight="true" outlineLevel="0" collapsed="false">
      <c r="A34" s="39"/>
      <c r="B34" s="40" t="s">
        <v>523</v>
      </c>
      <c r="C34" s="41" t="s">
        <v>130</v>
      </c>
      <c r="D34" s="41" t="s">
        <v>108</v>
      </c>
      <c r="E34" s="42" t="n">
        <v>7932</v>
      </c>
      <c r="F34" s="42"/>
      <c r="G34" s="42"/>
      <c r="H34" s="43" t="n">
        <v>2</v>
      </c>
      <c r="I34" s="34" t="n">
        <f aca="false">E34*H34+N(F34)+N(G34)</f>
        <v>15864</v>
      </c>
      <c r="J34" s="42" t="n">
        <f aca="false">ROUND(IFERROR(ROUND(IF(OR(ISNUMBER(SEARCH("week",C34)),ISNUMBER(SEARCH("minggu",C34))),IFERROR(_xlfn.NUMBERVALUE(SUBSTITUTE(LEFT(TRIM(C34),FIND(" ",TRIM(C34)&amp;" ")-1),",","."),"."),LEFT(SUBSTITUTE(LEFT(TRIM(C34),FIND(" ",TRIM(C34)&amp;" ")-1),",","."),FIND("/",SUBSTITUTE(LEFT(TRIM(C34),FIND(" ",TRIM(C34)&amp;" ")-1),",","."))-1)/MID(SUBSTITUTE(LEFT(TRIM(C34),FIND(" ",TRIM(C34)&amp;" ")-1),",","."),FIND("/",SUBSTITUTE(LEFT(TRIM(C34),FIND(" ",TRIM(C34)&amp;" ")-1),",","."))+1,9))*12/52,IF(ISNUMBER(SEARCH("month",C34)),IFERROR(_xlfn.NUMBERVALUE(SUBSTITUTE(LEFT(TRIM(C34),FIND(" ",TRIM(C34)&amp;" ")-1),",","."),"."),LEFT(SUBSTITUTE(LEFT(TRIM(C34),FIND(" ",TRIM(C34)&amp;" ")-1),",","."),FIND("/",SUBSTITUTE(LEFT(TRIM(C34),FIND(" ",TRIM(C34)&amp;" ")-1),",","."))-1)/MID(SUBSTITUTE(LEFT(TRIM(C34),FIND(" ",TRIM(C34)&amp;" ")-1),",","."),FIND("/",SUBSTITUTE(LEFT(TRIM(C34),FIND(" ",TRIM(C34)&amp;" ")-1),",","."))+1,9)),IF(ISNUMBER(SEARCH("yea",C34)),IFERROR(_xlfn.NUMBERVALUE(SUBSTITUTE(LEFT(TRIM(C34),FIND(" ",TRIM(C34)&amp;" ")-1),",","."),"."),LEFT(SUBSTITUTE(LEFT(TRIM(C34),FIND(" ",TRIM(C34)&amp;" ")-1),",","."),FIND("/",SUBSTITUTE(LEFT(TRIM(C34),FIND(" ",TRIM(C34)&amp;" ")-1),",","."))-1)/MID(SUBSTITUTE(LEFT(TRIM(C34),FIND(" ",TRIM(C34)&amp;" ")-1),",","."),FIND("/",SUBSTITUTE(LEFT(TRIM(C34),FIND(" ",TRIM(C34)&amp;" ")-1),",","."))+1,9))*12,NA()))),0),12)*'Aturan &amp; Tarif'!$B$4,2)</f>
        <v>681.36</v>
      </c>
      <c r="K34" s="42" t="n">
        <f aca="false">'Aturan &amp; Tarif'!$B$5</f>
        <v>2050</v>
      </c>
      <c r="L34" s="42" t="n">
        <f aca="false">'Aturan &amp; Tarif'!$B$6</f>
        <v>350</v>
      </c>
      <c r="M34" s="35" t="n">
        <f aca="false">I34+J34+K34+L34</f>
        <v>18945.36</v>
      </c>
      <c r="N34" s="45" t="s">
        <v>512</v>
      </c>
    </row>
    <row r="35" customFormat="false" ht="14.25" hidden="false" customHeight="true" outlineLevel="0" collapsed="false">
      <c r="A35" s="39"/>
      <c r="B35" s="40" t="s">
        <v>321</v>
      </c>
      <c r="C35" s="41" t="s">
        <v>127</v>
      </c>
      <c r="D35" s="41" t="s">
        <v>108</v>
      </c>
      <c r="E35" s="42" t="n">
        <v>7802</v>
      </c>
      <c r="F35" s="42"/>
      <c r="G35" s="42"/>
      <c r="H35" s="43" t="n">
        <v>2</v>
      </c>
      <c r="I35" s="34" t="n">
        <f aca="false">E35*H35+N(F35)+N(G35)</f>
        <v>15604</v>
      </c>
      <c r="J35" s="42" t="n">
        <f aca="false">ROUND(IFERROR(ROUND(IF(OR(ISNUMBER(SEARCH("week",C35)),ISNUMBER(SEARCH("minggu",C35))),IFERROR(_xlfn.NUMBERVALUE(SUBSTITUTE(LEFT(TRIM(C35),FIND(" ",TRIM(C35)&amp;" ")-1),",","."),"."),LEFT(SUBSTITUTE(LEFT(TRIM(C35),FIND(" ",TRIM(C35)&amp;" ")-1),",","."),FIND("/",SUBSTITUTE(LEFT(TRIM(C35),FIND(" ",TRIM(C35)&amp;" ")-1),",","."))-1)/MID(SUBSTITUTE(LEFT(TRIM(C35),FIND(" ",TRIM(C35)&amp;" ")-1),",","."),FIND("/",SUBSTITUTE(LEFT(TRIM(C35),FIND(" ",TRIM(C35)&amp;" ")-1),",","."))+1,9))*12/52,IF(ISNUMBER(SEARCH("month",C35)),IFERROR(_xlfn.NUMBERVALUE(SUBSTITUTE(LEFT(TRIM(C35),FIND(" ",TRIM(C35)&amp;" ")-1),",","."),"."),LEFT(SUBSTITUTE(LEFT(TRIM(C35),FIND(" ",TRIM(C35)&amp;" ")-1),",","."),FIND("/",SUBSTITUTE(LEFT(TRIM(C35),FIND(" ",TRIM(C35)&amp;" ")-1),",","."))-1)/MID(SUBSTITUTE(LEFT(TRIM(C35),FIND(" ",TRIM(C35)&amp;" ")-1),",","."),FIND("/",SUBSTITUTE(LEFT(TRIM(C35),FIND(" ",TRIM(C35)&amp;" ")-1),",","."))+1,9)),IF(ISNUMBER(SEARCH("yea",C35)),IFERROR(_xlfn.NUMBERVALUE(SUBSTITUTE(LEFT(TRIM(C35),FIND(" ",TRIM(C35)&amp;" ")-1),",","."),"."),LEFT(SUBSTITUTE(LEFT(TRIM(C35),FIND(" ",TRIM(C35)&amp;" ")-1),",","."),FIND("/",SUBSTITUTE(LEFT(TRIM(C35),FIND(" ",TRIM(C35)&amp;" ")-1),",","."))-1)/MID(SUBSTITUTE(LEFT(TRIM(C35),FIND(" ",TRIM(C35)&amp;" ")-1),",","."),FIND("/",SUBSTITUTE(LEFT(TRIM(C35),FIND(" ",TRIM(C35)&amp;" ")-1),",","."))+1,9))*12,NA()))),0),36)*'Aturan &amp; Tarif'!$B$4,2)</f>
        <v>2044.08</v>
      </c>
      <c r="K35" s="42" t="n">
        <f aca="false">'Aturan &amp; Tarif'!$B$5</f>
        <v>2050</v>
      </c>
      <c r="L35" s="42" t="n">
        <f aca="false">'Aturan &amp; Tarif'!$B$6</f>
        <v>350</v>
      </c>
      <c r="M35" s="35" t="n">
        <f aca="false">I35+J35+K35+L35</f>
        <v>20048.08</v>
      </c>
      <c r="N35" s="45" t="s">
        <v>512</v>
      </c>
    </row>
    <row r="36" customFormat="false" ht="14.25" hidden="false" customHeight="true" outlineLevel="0" collapsed="false">
      <c r="A36" s="39"/>
      <c r="B36" s="40" t="s">
        <v>524</v>
      </c>
      <c r="C36" s="41" t="s">
        <v>127</v>
      </c>
      <c r="D36" s="41" t="s">
        <v>108</v>
      </c>
      <c r="E36" s="42" t="n">
        <v>7802</v>
      </c>
      <c r="F36" s="42"/>
      <c r="G36" s="42"/>
      <c r="H36" s="43" t="n">
        <v>2</v>
      </c>
      <c r="I36" s="34" t="n">
        <f aca="false">E36*H36+N(F36)+N(G36)</f>
        <v>15604</v>
      </c>
      <c r="J36" s="42" t="n">
        <f aca="false">ROUND(IFERROR(ROUND(IF(OR(ISNUMBER(SEARCH("week",C36)),ISNUMBER(SEARCH("minggu",C36))),IFERROR(_xlfn.NUMBERVALUE(SUBSTITUTE(LEFT(TRIM(C36),FIND(" ",TRIM(C36)&amp;" ")-1),",","."),"."),LEFT(SUBSTITUTE(LEFT(TRIM(C36),FIND(" ",TRIM(C36)&amp;" ")-1),",","."),FIND("/",SUBSTITUTE(LEFT(TRIM(C36),FIND(" ",TRIM(C36)&amp;" ")-1),",","."))-1)/MID(SUBSTITUTE(LEFT(TRIM(C36),FIND(" ",TRIM(C36)&amp;" ")-1),",","."),FIND("/",SUBSTITUTE(LEFT(TRIM(C36),FIND(" ",TRIM(C36)&amp;" ")-1),",","."))+1,9))*12/52,IF(ISNUMBER(SEARCH("month",C36)),IFERROR(_xlfn.NUMBERVALUE(SUBSTITUTE(LEFT(TRIM(C36),FIND(" ",TRIM(C36)&amp;" ")-1),",","."),"."),LEFT(SUBSTITUTE(LEFT(TRIM(C36),FIND(" ",TRIM(C36)&amp;" ")-1),",","."),FIND("/",SUBSTITUTE(LEFT(TRIM(C36),FIND(" ",TRIM(C36)&amp;" ")-1),",","."))-1)/MID(SUBSTITUTE(LEFT(TRIM(C36),FIND(" ",TRIM(C36)&amp;" ")-1),",","."),FIND("/",SUBSTITUTE(LEFT(TRIM(C36),FIND(" ",TRIM(C36)&amp;" ")-1),",","."))+1,9)),IF(ISNUMBER(SEARCH("yea",C36)),IFERROR(_xlfn.NUMBERVALUE(SUBSTITUTE(LEFT(TRIM(C36),FIND(" ",TRIM(C36)&amp;" ")-1),",","."),"."),LEFT(SUBSTITUTE(LEFT(TRIM(C36),FIND(" ",TRIM(C36)&amp;" ")-1),",","."),FIND("/",SUBSTITUTE(LEFT(TRIM(C36),FIND(" ",TRIM(C36)&amp;" ")-1),",","."))-1)/MID(SUBSTITUTE(LEFT(TRIM(C36),FIND(" ",TRIM(C36)&amp;" ")-1),",","."),FIND("/",SUBSTITUTE(LEFT(TRIM(C36),FIND(" ",TRIM(C36)&amp;" ")-1),",","."))+1,9))*12,NA()))),0),36)*'Aturan &amp; Tarif'!$B$4,2)</f>
        <v>2044.08</v>
      </c>
      <c r="K36" s="42" t="n">
        <f aca="false">'Aturan &amp; Tarif'!$B$5</f>
        <v>2050</v>
      </c>
      <c r="L36" s="42" t="n">
        <f aca="false">'Aturan &amp; Tarif'!$B$6</f>
        <v>350</v>
      </c>
      <c r="M36" s="35" t="n">
        <f aca="false">I36+J36+K36+L36</f>
        <v>20048.08</v>
      </c>
      <c r="N36" s="45" t="s">
        <v>512</v>
      </c>
    </row>
    <row r="37" customFormat="false" ht="14.25" hidden="false" customHeight="true" outlineLevel="0" collapsed="false">
      <c r="A37" s="39"/>
      <c r="B37" s="40" t="s">
        <v>348</v>
      </c>
      <c r="C37" s="41" t="s">
        <v>113</v>
      </c>
      <c r="D37" s="41" t="s">
        <v>108</v>
      </c>
      <c r="E37" s="42" t="n">
        <v>9548</v>
      </c>
      <c r="F37" s="42"/>
      <c r="G37" s="42"/>
      <c r="H37" s="43" t="n">
        <v>2</v>
      </c>
      <c r="I37" s="34" t="n">
        <f aca="false">E37*H37+N(F37)+N(G37)</f>
        <v>19096</v>
      </c>
      <c r="J37" s="42" t="n">
        <f aca="false">ROUND(IFERROR(ROUND(IF(OR(ISNUMBER(SEARCH("week",C37)),ISNUMBER(SEARCH("minggu",C37))),IFERROR(_xlfn.NUMBERVALUE(SUBSTITUTE(LEFT(TRIM(C37),FIND(" ",TRIM(C37)&amp;" ")-1),",","."),"."),LEFT(SUBSTITUTE(LEFT(TRIM(C37),FIND(" ",TRIM(C37)&amp;" ")-1),",","."),FIND("/",SUBSTITUTE(LEFT(TRIM(C37),FIND(" ",TRIM(C37)&amp;" ")-1),",","."))-1)/MID(SUBSTITUTE(LEFT(TRIM(C37),FIND(" ",TRIM(C37)&amp;" ")-1),",","."),FIND("/",SUBSTITUTE(LEFT(TRIM(C37),FIND(" ",TRIM(C37)&amp;" ")-1),",","."))+1,9))*12/52,IF(ISNUMBER(SEARCH("month",C37)),IFERROR(_xlfn.NUMBERVALUE(SUBSTITUTE(LEFT(TRIM(C37),FIND(" ",TRIM(C37)&amp;" ")-1),",","."),"."),LEFT(SUBSTITUTE(LEFT(TRIM(C37),FIND(" ",TRIM(C37)&amp;" ")-1),",","."),FIND("/",SUBSTITUTE(LEFT(TRIM(C37),FIND(" ",TRIM(C37)&amp;" ")-1),",","."))-1)/MID(SUBSTITUTE(LEFT(TRIM(C37),FIND(" ",TRIM(C37)&amp;" ")-1),",","."),FIND("/",SUBSTITUTE(LEFT(TRIM(C37),FIND(" ",TRIM(C37)&amp;" ")-1),",","."))+1,9)),IF(ISNUMBER(SEARCH("yea",C37)),IFERROR(_xlfn.NUMBERVALUE(SUBSTITUTE(LEFT(TRIM(C37),FIND(" ",TRIM(C37)&amp;" ")-1),",","."),"."),LEFT(SUBSTITUTE(LEFT(TRIM(C37),FIND(" ",TRIM(C37)&amp;" ")-1),",","."),FIND("/",SUBSTITUTE(LEFT(TRIM(C37),FIND(" ",TRIM(C37)&amp;" ")-1),",","."))-1)/MID(SUBSTITUTE(LEFT(TRIM(C37),FIND(" ",TRIM(C37)&amp;" ")-1),",","."),FIND("/",SUBSTITUTE(LEFT(TRIM(C37),FIND(" ",TRIM(C37)&amp;" ")-1),",","."))+1,9))*12,NA()))),0),18)*'Aturan &amp; Tarif'!$B$4,2)</f>
        <v>1022.04</v>
      </c>
      <c r="K37" s="42" t="n">
        <f aca="false">'Aturan &amp; Tarif'!$B$5</f>
        <v>2050</v>
      </c>
      <c r="L37" s="42" t="n">
        <f aca="false">'Aturan &amp; Tarif'!$B$6</f>
        <v>350</v>
      </c>
      <c r="M37" s="35" t="n">
        <f aca="false">I37+J37+K37+L37</f>
        <v>22518.04</v>
      </c>
      <c r="N37" s="45" t="s">
        <v>512</v>
      </c>
    </row>
    <row r="38" customFormat="false" ht="25.5" hidden="false" customHeight="true" outlineLevel="0" collapsed="false">
      <c r="A38" s="39"/>
      <c r="B38" s="40" t="s">
        <v>525</v>
      </c>
      <c r="C38" s="41" t="s">
        <v>107</v>
      </c>
      <c r="D38" s="41" t="s">
        <v>108</v>
      </c>
      <c r="E38" s="42" t="n">
        <v>9548</v>
      </c>
      <c r="F38" s="42"/>
      <c r="G38" s="42"/>
      <c r="H38" s="43" t="n">
        <v>2</v>
      </c>
      <c r="I38" s="34" t="n">
        <f aca="false">E38*H38+N(F38)+N(G38)</f>
        <v>19096</v>
      </c>
      <c r="J38" s="42" t="n">
        <f aca="false">ROUND(IFERROR(ROUND(IF(OR(ISNUMBER(SEARCH("week",C38)),ISNUMBER(SEARCH("minggu",C38))),IFERROR(_xlfn.NUMBERVALUE(SUBSTITUTE(LEFT(TRIM(C38),FIND(" ",TRIM(C38)&amp;" ")-1),",","."),"."),LEFT(SUBSTITUTE(LEFT(TRIM(C38),FIND(" ",TRIM(C38)&amp;" ")-1),",","."),FIND("/",SUBSTITUTE(LEFT(TRIM(C38),FIND(" ",TRIM(C38)&amp;" ")-1),",","."))-1)/MID(SUBSTITUTE(LEFT(TRIM(C38),FIND(" ",TRIM(C38)&amp;" ")-1),",","."),FIND("/",SUBSTITUTE(LEFT(TRIM(C38),FIND(" ",TRIM(C38)&amp;" ")-1),",","."))+1,9))*12/52,IF(ISNUMBER(SEARCH("month",C38)),IFERROR(_xlfn.NUMBERVALUE(SUBSTITUTE(LEFT(TRIM(C38),FIND(" ",TRIM(C38)&amp;" ")-1),",","."),"."),LEFT(SUBSTITUTE(LEFT(TRIM(C38),FIND(" ",TRIM(C38)&amp;" ")-1),",","."),FIND("/",SUBSTITUTE(LEFT(TRIM(C38),FIND(" ",TRIM(C38)&amp;" ")-1),",","."))-1)/MID(SUBSTITUTE(LEFT(TRIM(C38),FIND(" ",TRIM(C38)&amp;" ")-1),",","."),FIND("/",SUBSTITUTE(LEFT(TRIM(C38),FIND(" ",TRIM(C38)&amp;" ")-1),",","."))+1,9)),IF(ISNUMBER(SEARCH("yea",C38)),IFERROR(_xlfn.NUMBERVALUE(SUBSTITUTE(LEFT(TRIM(C38),FIND(" ",TRIM(C38)&amp;" ")-1),",","."),"."),LEFT(SUBSTITUTE(LEFT(TRIM(C38),FIND(" ",TRIM(C38)&amp;" ")-1),",","."),FIND("/",SUBSTITUTE(LEFT(TRIM(C38),FIND(" ",TRIM(C38)&amp;" ")-1),",","."))-1)/MID(SUBSTITUTE(LEFT(TRIM(C38),FIND(" ",TRIM(C38)&amp;" ")-1),",","."),FIND("/",SUBSTITUTE(LEFT(TRIM(C38),FIND(" ",TRIM(C38)&amp;" ")-1),",","."))+1,9))*12,NA()))),0),24)*'Aturan &amp; Tarif'!$B$4,2)</f>
        <v>1362.72</v>
      </c>
      <c r="K38" s="42" t="n">
        <f aca="false">'Aturan &amp; Tarif'!$B$5</f>
        <v>2050</v>
      </c>
      <c r="L38" s="42" t="n">
        <f aca="false">'Aturan &amp; Tarif'!$B$6</f>
        <v>350</v>
      </c>
      <c r="M38" s="35" t="n">
        <f aca="false">I38+J38+K38+L38</f>
        <v>22858.72</v>
      </c>
      <c r="N38" s="45" t="s">
        <v>512</v>
      </c>
    </row>
    <row r="39" customFormat="false" ht="14.25" hidden="false" customHeight="true" outlineLevel="0" collapsed="false">
      <c r="A39" s="39"/>
      <c r="B39" s="40" t="s">
        <v>526</v>
      </c>
      <c r="C39" s="41" t="s">
        <v>344</v>
      </c>
      <c r="D39" s="41" t="s">
        <v>108</v>
      </c>
      <c r="E39" s="42" t="n">
        <v>9548</v>
      </c>
      <c r="F39" s="42"/>
      <c r="G39" s="42"/>
      <c r="H39" s="43" t="n">
        <v>2</v>
      </c>
      <c r="I39" s="34" t="n">
        <f aca="false">E39*H39+N(F39)+N(G39)</f>
        <v>19096</v>
      </c>
      <c r="J39" s="42" t="n">
        <f aca="false">ROUND(IFERROR(ROUND(IF(OR(ISNUMBER(SEARCH("week",C39)),ISNUMBER(SEARCH("minggu",C39))),IFERROR(_xlfn.NUMBERVALUE(SUBSTITUTE(LEFT(TRIM(C39),FIND(" ",TRIM(C39)&amp;" ")-1),",","."),"."),LEFT(SUBSTITUTE(LEFT(TRIM(C39),FIND(" ",TRIM(C39)&amp;" ")-1),",","."),FIND("/",SUBSTITUTE(LEFT(TRIM(C39),FIND(" ",TRIM(C39)&amp;" ")-1),",","."))-1)/MID(SUBSTITUTE(LEFT(TRIM(C39),FIND(" ",TRIM(C39)&amp;" ")-1),",","."),FIND("/",SUBSTITUTE(LEFT(TRIM(C39),FIND(" ",TRIM(C39)&amp;" ")-1),",","."))+1,9))*12/52,IF(ISNUMBER(SEARCH("month",C39)),IFERROR(_xlfn.NUMBERVALUE(SUBSTITUTE(LEFT(TRIM(C39),FIND(" ",TRIM(C39)&amp;" ")-1),",","."),"."),LEFT(SUBSTITUTE(LEFT(TRIM(C39),FIND(" ",TRIM(C39)&amp;" ")-1),",","."),FIND("/",SUBSTITUTE(LEFT(TRIM(C39),FIND(" ",TRIM(C39)&amp;" ")-1),",","."))-1)/MID(SUBSTITUTE(LEFT(TRIM(C39),FIND(" ",TRIM(C39)&amp;" ")-1),",","."),FIND("/",SUBSTITUTE(LEFT(TRIM(C39),FIND(" ",TRIM(C39)&amp;" ")-1),",","."))+1,9)),IF(ISNUMBER(SEARCH("yea",C39)),IFERROR(_xlfn.NUMBERVALUE(SUBSTITUTE(LEFT(TRIM(C39),FIND(" ",TRIM(C39)&amp;" ")-1),",","."),"."),LEFT(SUBSTITUTE(LEFT(TRIM(C39),FIND(" ",TRIM(C39)&amp;" ")-1),",","."),FIND("/",SUBSTITUTE(LEFT(TRIM(C39),FIND(" ",TRIM(C39)&amp;" ")-1),",","."))-1)/MID(SUBSTITUTE(LEFT(TRIM(C39),FIND(" ",TRIM(C39)&amp;" ")-1),",","."),FIND("/",SUBSTITUTE(LEFT(TRIM(C39),FIND(" ",TRIM(C39)&amp;" ")-1),",","."))+1,9))*12,NA()))),0),6)*'Aturan &amp; Tarif'!$B$4,2)</f>
        <v>340.68</v>
      </c>
      <c r="K39" s="42" t="n">
        <f aca="false">'Aturan &amp; Tarif'!$B$5</f>
        <v>2050</v>
      </c>
      <c r="L39" s="42" t="n">
        <f aca="false">'Aturan &amp; Tarif'!$B$6</f>
        <v>350</v>
      </c>
      <c r="M39" s="35" t="n">
        <f aca="false">I39+J39+K39+L39</f>
        <v>21836.68</v>
      </c>
      <c r="N39" s="45" t="s">
        <v>512</v>
      </c>
    </row>
    <row r="40" customFormat="false" ht="14.25" hidden="false" customHeight="true" outlineLevel="0" collapsed="false">
      <c r="A40" s="39"/>
      <c r="B40" s="40" t="s">
        <v>167</v>
      </c>
      <c r="C40" s="41" t="s">
        <v>107</v>
      </c>
      <c r="D40" s="41" t="s">
        <v>108</v>
      </c>
      <c r="E40" s="42" t="n">
        <v>9548</v>
      </c>
      <c r="F40" s="42"/>
      <c r="G40" s="42"/>
      <c r="H40" s="43" t="n">
        <v>2</v>
      </c>
      <c r="I40" s="34" t="n">
        <f aca="false">E40*H40+N(F40)+N(G40)</f>
        <v>19096</v>
      </c>
      <c r="J40" s="42" t="n">
        <f aca="false">ROUND(IFERROR(ROUND(IF(OR(ISNUMBER(SEARCH("week",C40)),ISNUMBER(SEARCH("minggu",C40))),IFERROR(_xlfn.NUMBERVALUE(SUBSTITUTE(LEFT(TRIM(C40),FIND(" ",TRIM(C40)&amp;" ")-1),",","."),"."),LEFT(SUBSTITUTE(LEFT(TRIM(C40),FIND(" ",TRIM(C40)&amp;" ")-1),",","."),FIND("/",SUBSTITUTE(LEFT(TRIM(C40),FIND(" ",TRIM(C40)&amp;" ")-1),",","."))-1)/MID(SUBSTITUTE(LEFT(TRIM(C40),FIND(" ",TRIM(C40)&amp;" ")-1),",","."),FIND("/",SUBSTITUTE(LEFT(TRIM(C40),FIND(" ",TRIM(C40)&amp;" ")-1),",","."))+1,9))*12/52,IF(ISNUMBER(SEARCH("month",C40)),IFERROR(_xlfn.NUMBERVALUE(SUBSTITUTE(LEFT(TRIM(C40),FIND(" ",TRIM(C40)&amp;" ")-1),",","."),"."),LEFT(SUBSTITUTE(LEFT(TRIM(C40),FIND(" ",TRIM(C40)&amp;" ")-1),",","."),FIND("/",SUBSTITUTE(LEFT(TRIM(C40),FIND(" ",TRIM(C40)&amp;" ")-1),",","."))-1)/MID(SUBSTITUTE(LEFT(TRIM(C40),FIND(" ",TRIM(C40)&amp;" ")-1),",","."),FIND("/",SUBSTITUTE(LEFT(TRIM(C40),FIND(" ",TRIM(C40)&amp;" ")-1),",","."))+1,9)),IF(ISNUMBER(SEARCH("yea",C40)),IFERROR(_xlfn.NUMBERVALUE(SUBSTITUTE(LEFT(TRIM(C40),FIND(" ",TRIM(C40)&amp;" ")-1),",","."),"."),LEFT(SUBSTITUTE(LEFT(TRIM(C40),FIND(" ",TRIM(C40)&amp;" ")-1),",","."),FIND("/",SUBSTITUTE(LEFT(TRIM(C40),FIND(" ",TRIM(C40)&amp;" ")-1),",","."))-1)/MID(SUBSTITUTE(LEFT(TRIM(C40),FIND(" ",TRIM(C40)&amp;" ")-1),",","."),FIND("/",SUBSTITUTE(LEFT(TRIM(C40),FIND(" ",TRIM(C40)&amp;" ")-1),",","."))+1,9))*12,NA()))),0),24)*'Aturan &amp; Tarif'!$B$4,2)</f>
        <v>1362.72</v>
      </c>
      <c r="K40" s="42" t="n">
        <f aca="false">'Aturan &amp; Tarif'!$B$5</f>
        <v>2050</v>
      </c>
      <c r="L40" s="42" t="n">
        <f aca="false">'Aturan &amp; Tarif'!$B$6</f>
        <v>350</v>
      </c>
      <c r="M40" s="35" t="n">
        <f aca="false">I40+J40+K40+L40</f>
        <v>22858.72</v>
      </c>
      <c r="N40" s="45" t="s">
        <v>512</v>
      </c>
    </row>
    <row r="41" customFormat="false" ht="25.5" hidden="false" customHeight="true" outlineLevel="0" collapsed="false">
      <c r="A41" s="39"/>
      <c r="B41" s="40" t="s">
        <v>527</v>
      </c>
      <c r="C41" s="41" t="s">
        <v>107</v>
      </c>
      <c r="D41" s="41" t="s">
        <v>108</v>
      </c>
      <c r="E41" s="42" t="n">
        <v>9548</v>
      </c>
      <c r="F41" s="42"/>
      <c r="G41" s="42"/>
      <c r="H41" s="43" t="n">
        <v>2</v>
      </c>
      <c r="I41" s="34" t="n">
        <f aca="false">E41*H41+N(F41)+N(G41)</f>
        <v>19096</v>
      </c>
      <c r="J41" s="42" t="n">
        <f aca="false">ROUND(IFERROR(ROUND(IF(OR(ISNUMBER(SEARCH("week",C41)),ISNUMBER(SEARCH("minggu",C41))),IFERROR(_xlfn.NUMBERVALUE(SUBSTITUTE(LEFT(TRIM(C41),FIND(" ",TRIM(C41)&amp;" ")-1),",","."),"."),LEFT(SUBSTITUTE(LEFT(TRIM(C41),FIND(" ",TRIM(C41)&amp;" ")-1),",","."),FIND("/",SUBSTITUTE(LEFT(TRIM(C41),FIND(" ",TRIM(C41)&amp;" ")-1),",","."))-1)/MID(SUBSTITUTE(LEFT(TRIM(C41),FIND(" ",TRIM(C41)&amp;" ")-1),",","."),FIND("/",SUBSTITUTE(LEFT(TRIM(C41),FIND(" ",TRIM(C41)&amp;" ")-1),",","."))+1,9))*12/52,IF(ISNUMBER(SEARCH("month",C41)),IFERROR(_xlfn.NUMBERVALUE(SUBSTITUTE(LEFT(TRIM(C41),FIND(" ",TRIM(C41)&amp;" ")-1),",","."),"."),LEFT(SUBSTITUTE(LEFT(TRIM(C41),FIND(" ",TRIM(C41)&amp;" ")-1),",","."),FIND("/",SUBSTITUTE(LEFT(TRIM(C41),FIND(" ",TRIM(C41)&amp;" ")-1),",","."))-1)/MID(SUBSTITUTE(LEFT(TRIM(C41),FIND(" ",TRIM(C41)&amp;" ")-1),",","."),FIND("/",SUBSTITUTE(LEFT(TRIM(C41),FIND(" ",TRIM(C41)&amp;" ")-1),",","."))+1,9)),IF(ISNUMBER(SEARCH("yea",C41)),IFERROR(_xlfn.NUMBERVALUE(SUBSTITUTE(LEFT(TRIM(C41),FIND(" ",TRIM(C41)&amp;" ")-1),",","."),"."),LEFT(SUBSTITUTE(LEFT(TRIM(C41),FIND(" ",TRIM(C41)&amp;" ")-1),",","."),FIND("/",SUBSTITUTE(LEFT(TRIM(C41),FIND(" ",TRIM(C41)&amp;" ")-1),",","."))-1)/MID(SUBSTITUTE(LEFT(TRIM(C41),FIND(" ",TRIM(C41)&amp;" ")-1),",","."),FIND("/",SUBSTITUTE(LEFT(TRIM(C41),FIND(" ",TRIM(C41)&amp;" ")-1),",","."))+1,9))*12,NA()))),0),24)*'Aturan &amp; Tarif'!$B$4,2)</f>
        <v>1362.72</v>
      </c>
      <c r="K41" s="42" t="n">
        <f aca="false">'Aturan &amp; Tarif'!$B$5</f>
        <v>2050</v>
      </c>
      <c r="L41" s="42" t="n">
        <f aca="false">'Aturan &amp; Tarif'!$B$6</f>
        <v>350</v>
      </c>
      <c r="M41" s="35" t="n">
        <f aca="false">I41+J41+K41+L41</f>
        <v>22858.72</v>
      </c>
      <c r="N41" s="45" t="s">
        <v>512</v>
      </c>
    </row>
    <row r="42" customFormat="false" ht="14.25" hidden="false" customHeight="true" outlineLevel="0" collapsed="false">
      <c r="A42" s="39"/>
      <c r="B42" s="40" t="s">
        <v>528</v>
      </c>
      <c r="C42" s="41" t="s">
        <v>130</v>
      </c>
      <c r="D42" s="41" t="s">
        <v>108</v>
      </c>
      <c r="E42" s="42" t="n">
        <v>7802</v>
      </c>
      <c r="F42" s="42"/>
      <c r="G42" s="42"/>
      <c r="H42" s="43" t="n">
        <v>2</v>
      </c>
      <c r="I42" s="34" t="n">
        <f aca="false">E42*H42+N(F42)+N(G42)</f>
        <v>15604</v>
      </c>
      <c r="J42" s="42" t="n">
        <f aca="false">ROUND(IFERROR(ROUND(IF(OR(ISNUMBER(SEARCH("week",C42)),ISNUMBER(SEARCH("minggu",C42))),IFERROR(_xlfn.NUMBERVALUE(SUBSTITUTE(LEFT(TRIM(C42),FIND(" ",TRIM(C42)&amp;" ")-1),",","."),"."),LEFT(SUBSTITUTE(LEFT(TRIM(C42),FIND(" ",TRIM(C42)&amp;" ")-1),",","."),FIND("/",SUBSTITUTE(LEFT(TRIM(C42),FIND(" ",TRIM(C42)&amp;" ")-1),",","."))-1)/MID(SUBSTITUTE(LEFT(TRIM(C42),FIND(" ",TRIM(C42)&amp;" ")-1),",","."),FIND("/",SUBSTITUTE(LEFT(TRIM(C42),FIND(" ",TRIM(C42)&amp;" ")-1),",","."))+1,9))*12/52,IF(ISNUMBER(SEARCH("month",C42)),IFERROR(_xlfn.NUMBERVALUE(SUBSTITUTE(LEFT(TRIM(C42),FIND(" ",TRIM(C42)&amp;" ")-1),",","."),"."),LEFT(SUBSTITUTE(LEFT(TRIM(C42),FIND(" ",TRIM(C42)&amp;" ")-1),",","."),FIND("/",SUBSTITUTE(LEFT(TRIM(C42),FIND(" ",TRIM(C42)&amp;" ")-1),",","."))-1)/MID(SUBSTITUTE(LEFT(TRIM(C42),FIND(" ",TRIM(C42)&amp;" ")-1),",","."),FIND("/",SUBSTITUTE(LEFT(TRIM(C42),FIND(" ",TRIM(C42)&amp;" ")-1),",","."))+1,9)),IF(ISNUMBER(SEARCH("yea",C42)),IFERROR(_xlfn.NUMBERVALUE(SUBSTITUTE(LEFT(TRIM(C42),FIND(" ",TRIM(C42)&amp;" ")-1),",","."),"."),LEFT(SUBSTITUTE(LEFT(TRIM(C42),FIND(" ",TRIM(C42)&amp;" ")-1),",","."),FIND("/",SUBSTITUTE(LEFT(TRIM(C42),FIND(" ",TRIM(C42)&amp;" ")-1),",","."))-1)/MID(SUBSTITUTE(LEFT(TRIM(C42),FIND(" ",TRIM(C42)&amp;" ")-1),",","."),FIND("/",SUBSTITUTE(LEFT(TRIM(C42),FIND(" ",TRIM(C42)&amp;" ")-1),",","."))+1,9))*12,NA()))),0),12)*'Aturan &amp; Tarif'!$B$4,2)</f>
        <v>681.36</v>
      </c>
      <c r="K42" s="42" t="n">
        <f aca="false">'Aturan &amp; Tarif'!$B$5</f>
        <v>2050</v>
      </c>
      <c r="L42" s="42" t="n">
        <f aca="false">'Aturan &amp; Tarif'!$B$6</f>
        <v>350</v>
      </c>
      <c r="M42" s="35" t="n">
        <f aca="false">I42+J42+K42+L42</f>
        <v>18685.36</v>
      </c>
      <c r="N42" s="45" t="s">
        <v>512</v>
      </c>
    </row>
    <row r="43" customFormat="false" ht="14.25" hidden="false" customHeight="true" outlineLevel="0" collapsed="false">
      <c r="A43" s="39"/>
      <c r="B43" s="40" t="s">
        <v>156</v>
      </c>
      <c r="C43" s="41" t="s">
        <v>127</v>
      </c>
      <c r="D43" s="41" t="s">
        <v>108</v>
      </c>
      <c r="E43" s="42" t="n">
        <v>7932</v>
      </c>
      <c r="F43" s="42"/>
      <c r="G43" s="42"/>
      <c r="H43" s="43" t="n">
        <v>2</v>
      </c>
      <c r="I43" s="34" t="n">
        <f aca="false">E43*H43+N(F43)+N(G43)</f>
        <v>15864</v>
      </c>
      <c r="J43" s="42" t="n">
        <f aca="false">ROUND(IFERROR(ROUND(IF(OR(ISNUMBER(SEARCH("week",C43)),ISNUMBER(SEARCH("minggu",C43))),IFERROR(_xlfn.NUMBERVALUE(SUBSTITUTE(LEFT(TRIM(C43),FIND(" ",TRIM(C43)&amp;" ")-1),",","."),"."),LEFT(SUBSTITUTE(LEFT(TRIM(C43),FIND(" ",TRIM(C43)&amp;" ")-1),",","."),FIND("/",SUBSTITUTE(LEFT(TRIM(C43),FIND(" ",TRIM(C43)&amp;" ")-1),",","."))-1)/MID(SUBSTITUTE(LEFT(TRIM(C43),FIND(" ",TRIM(C43)&amp;" ")-1),",","."),FIND("/",SUBSTITUTE(LEFT(TRIM(C43),FIND(" ",TRIM(C43)&amp;" ")-1),",","."))+1,9))*12/52,IF(ISNUMBER(SEARCH("month",C43)),IFERROR(_xlfn.NUMBERVALUE(SUBSTITUTE(LEFT(TRIM(C43),FIND(" ",TRIM(C43)&amp;" ")-1),",","."),"."),LEFT(SUBSTITUTE(LEFT(TRIM(C43),FIND(" ",TRIM(C43)&amp;" ")-1),",","."),FIND("/",SUBSTITUTE(LEFT(TRIM(C43),FIND(" ",TRIM(C43)&amp;" ")-1),",","."))-1)/MID(SUBSTITUTE(LEFT(TRIM(C43),FIND(" ",TRIM(C43)&amp;" ")-1),",","."),FIND("/",SUBSTITUTE(LEFT(TRIM(C43),FIND(" ",TRIM(C43)&amp;" ")-1),",","."))+1,9)),IF(ISNUMBER(SEARCH("yea",C43)),IFERROR(_xlfn.NUMBERVALUE(SUBSTITUTE(LEFT(TRIM(C43),FIND(" ",TRIM(C43)&amp;" ")-1),",","."),"."),LEFT(SUBSTITUTE(LEFT(TRIM(C43),FIND(" ",TRIM(C43)&amp;" ")-1),",","."),FIND("/",SUBSTITUTE(LEFT(TRIM(C43),FIND(" ",TRIM(C43)&amp;" ")-1),",","."))-1)/MID(SUBSTITUTE(LEFT(TRIM(C43),FIND(" ",TRIM(C43)&amp;" ")-1),",","."),FIND("/",SUBSTITUTE(LEFT(TRIM(C43),FIND(" ",TRIM(C43)&amp;" ")-1),",","."))+1,9))*12,NA()))),0),36)*'Aturan &amp; Tarif'!$B$4,2)</f>
        <v>2044.08</v>
      </c>
      <c r="K43" s="42" t="n">
        <f aca="false">'Aturan &amp; Tarif'!$B$5</f>
        <v>2050</v>
      </c>
      <c r="L43" s="42" t="n">
        <f aca="false">'Aturan &amp; Tarif'!$B$6</f>
        <v>350</v>
      </c>
      <c r="M43" s="35" t="n">
        <f aca="false">I43+J43+K43+L43</f>
        <v>20308.08</v>
      </c>
      <c r="N43" s="45" t="s">
        <v>512</v>
      </c>
    </row>
    <row r="44" customFormat="false" ht="14.25" hidden="false" customHeight="true" outlineLevel="0" collapsed="false">
      <c r="A44" s="39"/>
      <c r="B44" s="40" t="s">
        <v>337</v>
      </c>
      <c r="C44" s="41" t="s">
        <v>127</v>
      </c>
      <c r="D44" s="41" t="s">
        <v>108</v>
      </c>
      <c r="E44" s="42" t="n">
        <v>7932</v>
      </c>
      <c r="F44" s="42"/>
      <c r="G44" s="42"/>
      <c r="H44" s="43" t="n">
        <v>2</v>
      </c>
      <c r="I44" s="34" t="n">
        <f aca="false">E44*H44+N(F44)+N(G44)</f>
        <v>15864</v>
      </c>
      <c r="J44" s="42" t="n">
        <f aca="false">ROUND(IFERROR(ROUND(IF(OR(ISNUMBER(SEARCH("week",C44)),ISNUMBER(SEARCH("minggu",C44))),IFERROR(_xlfn.NUMBERVALUE(SUBSTITUTE(LEFT(TRIM(C44),FIND(" ",TRIM(C44)&amp;" ")-1),",","."),"."),LEFT(SUBSTITUTE(LEFT(TRIM(C44),FIND(" ",TRIM(C44)&amp;" ")-1),",","."),FIND("/",SUBSTITUTE(LEFT(TRIM(C44),FIND(" ",TRIM(C44)&amp;" ")-1),",","."))-1)/MID(SUBSTITUTE(LEFT(TRIM(C44),FIND(" ",TRIM(C44)&amp;" ")-1),",","."),FIND("/",SUBSTITUTE(LEFT(TRIM(C44),FIND(" ",TRIM(C44)&amp;" ")-1),",","."))+1,9))*12/52,IF(ISNUMBER(SEARCH("month",C44)),IFERROR(_xlfn.NUMBERVALUE(SUBSTITUTE(LEFT(TRIM(C44),FIND(" ",TRIM(C44)&amp;" ")-1),",","."),"."),LEFT(SUBSTITUTE(LEFT(TRIM(C44),FIND(" ",TRIM(C44)&amp;" ")-1),",","."),FIND("/",SUBSTITUTE(LEFT(TRIM(C44),FIND(" ",TRIM(C44)&amp;" ")-1),",","."))-1)/MID(SUBSTITUTE(LEFT(TRIM(C44),FIND(" ",TRIM(C44)&amp;" ")-1),",","."),FIND("/",SUBSTITUTE(LEFT(TRIM(C44),FIND(" ",TRIM(C44)&amp;" ")-1),",","."))+1,9)),IF(ISNUMBER(SEARCH("yea",C44)),IFERROR(_xlfn.NUMBERVALUE(SUBSTITUTE(LEFT(TRIM(C44),FIND(" ",TRIM(C44)&amp;" ")-1),",","."),"."),LEFT(SUBSTITUTE(LEFT(TRIM(C44),FIND(" ",TRIM(C44)&amp;" ")-1),",","."),FIND("/",SUBSTITUTE(LEFT(TRIM(C44),FIND(" ",TRIM(C44)&amp;" ")-1),",","."))-1)/MID(SUBSTITUTE(LEFT(TRIM(C44),FIND(" ",TRIM(C44)&amp;" ")-1),",","."),FIND("/",SUBSTITUTE(LEFT(TRIM(C44),FIND(" ",TRIM(C44)&amp;" ")-1),",","."))+1,9))*12,NA()))),0),36)*'Aturan &amp; Tarif'!$B$4,2)</f>
        <v>2044.08</v>
      </c>
      <c r="K44" s="42" t="n">
        <f aca="false">'Aturan &amp; Tarif'!$B$5</f>
        <v>2050</v>
      </c>
      <c r="L44" s="42" t="n">
        <f aca="false">'Aturan &amp; Tarif'!$B$6</f>
        <v>350</v>
      </c>
      <c r="M44" s="35" t="n">
        <f aca="false">I44+J44+K44+L44</f>
        <v>20308.08</v>
      </c>
      <c r="N44" s="45" t="s">
        <v>512</v>
      </c>
    </row>
    <row r="45" customFormat="false" ht="14.25" hidden="false" customHeight="true" outlineLevel="0" collapsed="false">
      <c r="A45" s="39"/>
      <c r="B45" s="40" t="s">
        <v>529</v>
      </c>
      <c r="C45" s="41" t="s">
        <v>127</v>
      </c>
      <c r="D45" s="41" t="s">
        <v>108</v>
      </c>
      <c r="E45" s="42" t="n">
        <v>7932</v>
      </c>
      <c r="F45" s="42"/>
      <c r="G45" s="42"/>
      <c r="H45" s="43" t="n">
        <v>2</v>
      </c>
      <c r="I45" s="34" t="n">
        <f aca="false">E45*H45+N(F45)+N(G45)</f>
        <v>15864</v>
      </c>
      <c r="J45" s="42" t="n">
        <f aca="false">ROUND(IFERROR(ROUND(IF(OR(ISNUMBER(SEARCH("week",C45)),ISNUMBER(SEARCH("minggu",C45))),IFERROR(_xlfn.NUMBERVALUE(SUBSTITUTE(LEFT(TRIM(C45),FIND(" ",TRIM(C45)&amp;" ")-1),",","."),"."),LEFT(SUBSTITUTE(LEFT(TRIM(C45),FIND(" ",TRIM(C45)&amp;" ")-1),",","."),FIND("/",SUBSTITUTE(LEFT(TRIM(C45),FIND(" ",TRIM(C45)&amp;" ")-1),",","."))-1)/MID(SUBSTITUTE(LEFT(TRIM(C45),FIND(" ",TRIM(C45)&amp;" ")-1),",","."),FIND("/",SUBSTITUTE(LEFT(TRIM(C45),FIND(" ",TRIM(C45)&amp;" ")-1),",","."))+1,9))*12/52,IF(ISNUMBER(SEARCH("month",C45)),IFERROR(_xlfn.NUMBERVALUE(SUBSTITUTE(LEFT(TRIM(C45),FIND(" ",TRIM(C45)&amp;" ")-1),",","."),"."),LEFT(SUBSTITUTE(LEFT(TRIM(C45),FIND(" ",TRIM(C45)&amp;" ")-1),",","."),FIND("/",SUBSTITUTE(LEFT(TRIM(C45),FIND(" ",TRIM(C45)&amp;" ")-1),",","."))-1)/MID(SUBSTITUTE(LEFT(TRIM(C45),FIND(" ",TRIM(C45)&amp;" ")-1),",","."),FIND("/",SUBSTITUTE(LEFT(TRIM(C45),FIND(" ",TRIM(C45)&amp;" ")-1),",","."))+1,9)),IF(ISNUMBER(SEARCH("yea",C45)),IFERROR(_xlfn.NUMBERVALUE(SUBSTITUTE(LEFT(TRIM(C45),FIND(" ",TRIM(C45)&amp;" ")-1),",","."),"."),LEFT(SUBSTITUTE(LEFT(TRIM(C45),FIND(" ",TRIM(C45)&amp;" ")-1),",","."),FIND("/",SUBSTITUTE(LEFT(TRIM(C45),FIND(" ",TRIM(C45)&amp;" ")-1),",","."))-1)/MID(SUBSTITUTE(LEFT(TRIM(C45),FIND(" ",TRIM(C45)&amp;" ")-1),",","."),FIND("/",SUBSTITUTE(LEFT(TRIM(C45),FIND(" ",TRIM(C45)&amp;" ")-1),",","."))+1,9))*12,NA()))),0),36)*'Aturan &amp; Tarif'!$B$4,2)</f>
        <v>2044.08</v>
      </c>
      <c r="K45" s="42" t="n">
        <f aca="false">'Aturan &amp; Tarif'!$B$5</f>
        <v>2050</v>
      </c>
      <c r="L45" s="42" t="n">
        <f aca="false">'Aturan &amp; Tarif'!$B$6</f>
        <v>350</v>
      </c>
      <c r="M45" s="35" t="n">
        <f aca="false">I45+J45+K45+L45</f>
        <v>20308.08</v>
      </c>
      <c r="N45" s="45" t="s">
        <v>512</v>
      </c>
    </row>
    <row r="46" customFormat="false" ht="14.25" hidden="false" customHeight="true" outlineLevel="0" collapsed="false">
      <c r="A46" s="39"/>
      <c r="B46" s="40" t="s">
        <v>395</v>
      </c>
      <c r="C46" s="41" t="s">
        <v>191</v>
      </c>
      <c r="D46" s="41" t="s">
        <v>108</v>
      </c>
      <c r="E46" s="42" t="n">
        <v>7946</v>
      </c>
      <c r="F46" s="42"/>
      <c r="G46" s="42"/>
      <c r="H46" s="43" t="n">
        <v>2</v>
      </c>
      <c r="I46" s="34" t="n">
        <f aca="false">E46*H46+N(F46)+N(G46)</f>
        <v>15892</v>
      </c>
      <c r="J46" s="42" t="n">
        <f aca="false">ROUND(IFERROR(ROUND(IF(OR(ISNUMBER(SEARCH("week",C46)),ISNUMBER(SEARCH("minggu",C46))),IFERROR(_xlfn.NUMBERVALUE(SUBSTITUTE(LEFT(TRIM(C46),FIND(" ",TRIM(C46)&amp;" ")-1),",","."),"."),LEFT(SUBSTITUTE(LEFT(TRIM(C46),FIND(" ",TRIM(C46)&amp;" ")-1),",","."),FIND("/",SUBSTITUTE(LEFT(TRIM(C46),FIND(" ",TRIM(C46)&amp;" ")-1),",","."))-1)/MID(SUBSTITUTE(LEFT(TRIM(C46),FIND(" ",TRIM(C46)&amp;" ")-1),",","."),FIND("/",SUBSTITUTE(LEFT(TRIM(C46),FIND(" ",TRIM(C46)&amp;" ")-1),",","."))+1,9))*12/52,IF(ISNUMBER(SEARCH("month",C46)),IFERROR(_xlfn.NUMBERVALUE(SUBSTITUTE(LEFT(TRIM(C46),FIND(" ",TRIM(C46)&amp;" ")-1),",","."),"."),LEFT(SUBSTITUTE(LEFT(TRIM(C46),FIND(" ",TRIM(C46)&amp;" ")-1),",","."),FIND("/",SUBSTITUTE(LEFT(TRIM(C46),FIND(" ",TRIM(C46)&amp;" ")-1),",","."))-1)/MID(SUBSTITUTE(LEFT(TRIM(C46),FIND(" ",TRIM(C46)&amp;" ")-1),",","."),FIND("/",SUBSTITUTE(LEFT(TRIM(C46),FIND(" ",TRIM(C46)&amp;" ")-1),",","."))+1,9)),IF(ISNUMBER(SEARCH("yea",C46)),IFERROR(_xlfn.NUMBERVALUE(SUBSTITUTE(LEFT(TRIM(C46),FIND(" ",TRIM(C46)&amp;" ")-1),",","."),"."),LEFT(SUBSTITUTE(LEFT(TRIM(C46),FIND(" ",TRIM(C46)&amp;" ")-1),",","."),FIND("/",SUBSTITUTE(LEFT(TRIM(C46),FIND(" ",TRIM(C46)&amp;" ")-1),",","."))-1)/MID(SUBSTITUTE(LEFT(TRIM(C46),FIND(" ",TRIM(C46)&amp;" ")-1),",","."),FIND("/",SUBSTITUTE(LEFT(TRIM(C46),FIND(" ",TRIM(C46)&amp;" ")-1),",","."))+1,9))*12,NA()))),0),48)*'Aturan &amp; Tarif'!$B$4,2)</f>
        <v>2725.44</v>
      </c>
      <c r="K46" s="42" t="n">
        <f aca="false">'Aturan &amp; Tarif'!$B$5</f>
        <v>2050</v>
      </c>
      <c r="L46" s="42" t="n">
        <f aca="false">'Aturan &amp; Tarif'!$B$6</f>
        <v>350</v>
      </c>
      <c r="M46" s="35" t="n">
        <f aca="false">I46+J46+K46+L46</f>
        <v>21017.44</v>
      </c>
      <c r="N46" s="45" t="s">
        <v>512</v>
      </c>
    </row>
    <row r="47" customFormat="false" ht="14.25" hidden="false" customHeight="true" outlineLevel="0" collapsed="false">
      <c r="A47" s="39"/>
      <c r="B47" s="40" t="s">
        <v>530</v>
      </c>
      <c r="C47" s="41" t="s">
        <v>130</v>
      </c>
      <c r="D47" s="41" t="s">
        <v>108</v>
      </c>
      <c r="E47" s="42" t="n">
        <v>7600</v>
      </c>
      <c r="F47" s="42"/>
      <c r="G47" s="42"/>
      <c r="H47" s="43" t="n">
        <v>2</v>
      </c>
      <c r="I47" s="34" t="n">
        <f aca="false">E47*H47+N(F47)+N(G47)</f>
        <v>15200</v>
      </c>
      <c r="J47" s="42" t="n">
        <f aca="false">ROUND(IFERROR(ROUND(IF(OR(ISNUMBER(SEARCH("week",C47)),ISNUMBER(SEARCH("minggu",C47))),IFERROR(_xlfn.NUMBERVALUE(SUBSTITUTE(LEFT(TRIM(C47),FIND(" ",TRIM(C47)&amp;" ")-1),",","."),"."),LEFT(SUBSTITUTE(LEFT(TRIM(C47),FIND(" ",TRIM(C47)&amp;" ")-1),",","."),FIND("/",SUBSTITUTE(LEFT(TRIM(C47),FIND(" ",TRIM(C47)&amp;" ")-1),",","."))-1)/MID(SUBSTITUTE(LEFT(TRIM(C47),FIND(" ",TRIM(C47)&amp;" ")-1),",","."),FIND("/",SUBSTITUTE(LEFT(TRIM(C47),FIND(" ",TRIM(C47)&amp;" ")-1),",","."))+1,9))*12/52,IF(ISNUMBER(SEARCH("month",C47)),IFERROR(_xlfn.NUMBERVALUE(SUBSTITUTE(LEFT(TRIM(C47),FIND(" ",TRIM(C47)&amp;" ")-1),",","."),"."),LEFT(SUBSTITUTE(LEFT(TRIM(C47),FIND(" ",TRIM(C47)&amp;" ")-1),",","."),FIND("/",SUBSTITUTE(LEFT(TRIM(C47),FIND(" ",TRIM(C47)&amp;" ")-1),",","."))-1)/MID(SUBSTITUTE(LEFT(TRIM(C47),FIND(" ",TRIM(C47)&amp;" ")-1),",","."),FIND("/",SUBSTITUTE(LEFT(TRIM(C47),FIND(" ",TRIM(C47)&amp;" ")-1),",","."))+1,9)),IF(ISNUMBER(SEARCH("yea",C47)),IFERROR(_xlfn.NUMBERVALUE(SUBSTITUTE(LEFT(TRIM(C47),FIND(" ",TRIM(C47)&amp;" ")-1),",","."),"."),LEFT(SUBSTITUTE(LEFT(TRIM(C47),FIND(" ",TRIM(C47)&amp;" ")-1),",","."),FIND("/",SUBSTITUTE(LEFT(TRIM(C47),FIND(" ",TRIM(C47)&amp;" ")-1),",","."))-1)/MID(SUBSTITUTE(LEFT(TRIM(C47),FIND(" ",TRIM(C47)&amp;" ")-1),",","."),FIND("/",SUBSTITUTE(LEFT(TRIM(C47),FIND(" ",TRIM(C47)&amp;" ")-1),",","."))+1,9))*12,NA()))),0),12)*'Aturan &amp; Tarif'!$B$4,2)</f>
        <v>681.36</v>
      </c>
      <c r="K47" s="42" t="n">
        <f aca="false">'Aturan &amp; Tarif'!$B$5</f>
        <v>2050</v>
      </c>
      <c r="L47" s="42" t="n">
        <f aca="false">'Aturan &amp; Tarif'!$B$6</f>
        <v>350</v>
      </c>
      <c r="M47" s="35" t="n">
        <f aca="false">I47+J47+K47+L47</f>
        <v>18281.36</v>
      </c>
      <c r="N47" s="45" t="s">
        <v>512</v>
      </c>
    </row>
    <row r="48" customFormat="false" ht="25.5" hidden="false" customHeight="true" outlineLevel="0" collapsed="false">
      <c r="A48" s="39"/>
      <c r="B48" s="40" t="s">
        <v>531</v>
      </c>
      <c r="C48" s="41" t="s">
        <v>127</v>
      </c>
      <c r="D48" s="41" t="s">
        <v>108</v>
      </c>
      <c r="E48" s="42" t="n">
        <v>7450</v>
      </c>
      <c r="F48" s="42"/>
      <c r="G48" s="42"/>
      <c r="H48" s="43" t="n">
        <v>2</v>
      </c>
      <c r="I48" s="34" t="n">
        <f aca="false">E48*H48+N(F48)+N(G48)</f>
        <v>14900</v>
      </c>
      <c r="J48" s="42" t="n">
        <f aca="false">ROUND(IFERROR(ROUND(IF(OR(ISNUMBER(SEARCH("week",C48)),ISNUMBER(SEARCH("minggu",C48))),IFERROR(_xlfn.NUMBERVALUE(SUBSTITUTE(LEFT(TRIM(C48),FIND(" ",TRIM(C48)&amp;" ")-1),",","."),"."),LEFT(SUBSTITUTE(LEFT(TRIM(C48),FIND(" ",TRIM(C48)&amp;" ")-1),",","."),FIND("/",SUBSTITUTE(LEFT(TRIM(C48),FIND(" ",TRIM(C48)&amp;" ")-1),",","."))-1)/MID(SUBSTITUTE(LEFT(TRIM(C48),FIND(" ",TRIM(C48)&amp;" ")-1),",","."),FIND("/",SUBSTITUTE(LEFT(TRIM(C48),FIND(" ",TRIM(C48)&amp;" ")-1),",","."))+1,9))*12/52,IF(ISNUMBER(SEARCH("month",C48)),IFERROR(_xlfn.NUMBERVALUE(SUBSTITUTE(LEFT(TRIM(C48),FIND(" ",TRIM(C48)&amp;" ")-1),",","."),"."),LEFT(SUBSTITUTE(LEFT(TRIM(C48),FIND(" ",TRIM(C48)&amp;" ")-1),",","."),FIND("/",SUBSTITUTE(LEFT(TRIM(C48),FIND(" ",TRIM(C48)&amp;" ")-1),",","."))-1)/MID(SUBSTITUTE(LEFT(TRIM(C48),FIND(" ",TRIM(C48)&amp;" ")-1),",","."),FIND("/",SUBSTITUTE(LEFT(TRIM(C48),FIND(" ",TRIM(C48)&amp;" ")-1),",","."))+1,9)),IF(ISNUMBER(SEARCH("yea",C48)),IFERROR(_xlfn.NUMBERVALUE(SUBSTITUTE(LEFT(TRIM(C48),FIND(" ",TRIM(C48)&amp;" ")-1),",","."),"."),LEFT(SUBSTITUTE(LEFT(TRIM(C48),FIND(" ",TRIM(C48)&amp;" ")-1),",","."),FIND("/",SUBSTITUTE(LEFT(TRIM(C48),FIND(" ",TRIM(C48)&amp;" ")-1),",","."))-1)/MID(SUBSTITUTE(LEFT(TRIM(C48),FIND(" ",TRIM(C48)&amp;" ")-1),",","."),FIND("/",SUBSTITUTE(LEFT(TRIM(C48),FIND(" ",TRIM(C48)&amp;" ")-1),",","."))+1,9))*12,NA()))),0),36)*'Aturan &amp; Tarif'!$B$4,2)</f>
        <v>2044.08</v>
      </c>
      <c r="K48" s="42" t="n">
        <f aca="false">'Aturan &amp; Tarif'!$B$5</f>
        <v>2050</v>
      </c>
      <c r="L48" s="42" t="n">
        <f aca="false">'Aturan &amp; Tarif'!$B$6</f>
        <v>350</v>
      </c>
      <c r="M48" s="35" t="n">
        <f aca="false">I48+J48+K48+L48</f>
        <v>19344.08</v>
      </c>
      <c r="N48" s="45" t="s">
        <v>512</v>
      </c>
    </row>
    <row r="49" customFormat="false" ht="25.5" hidden="false" customHeight="true" outlineLevel="0" collapsed="false">
      <c r="A49" s="39"/>
      <c r="B49" s="40" t="s">
        <v>532</v>
      </c>
      <c r="C49" s="41" t="s">
        <v>130</v>
      </c>
      <c r="D49" s="41" t="s">
        <v>108</v>
      </c>
      <c r="E49" s="42" t="n">
        <v>9120</v>
      </c>
      <c r="F49" s="42"/>
      <c r="G49" s="42"/>
      <c r="H49" s="43" t="n">
        <v>2</v>
      </c>
      <c r="I49" s="34" t="n">
        <f aca="false">E49*H49+N(F49)+N(G49)</f>
        <v>18240</v>
      </c>
      <c r="J49" s="42" t="n">
        <f aca="false">ROUND(IFERROR(ROUND(IF(OR(ISNUMBER(SEARCH("week",C49)),ISNUMBER(SEARCH("minggu",C49))),IFERROR(_xlfn.NUMBERVALUE(SUBSTITUTE(LEFT(TRIM(C49),FIND(" ",TRIM(C49)&amp;" ")-1),",","."),"."),LEFT(SUBSTITUTE(LEFT(TRIM(C49),FIND(" ",TRIM(C49)&amp;" ")-1),",","."),FIND("/",SUBSTITUTE(LEFT(TRIM(C49),FIND(" ",TRIM(C49)&amp;" ")-1),",","."))-1)/MID(SUBSTITUTE(LEFT(TRIM(C49),FIND(" ",TRIM(C49)&amp;" ")-1),",","."),FIND("/",SUBSTITUTE(LEFT(TRIM(C49),FIND(" ",TRIM(C49)&amp;" ")-1),",","."))+1,9))*12/52,IF(ISNUMBER(SEARCH("month",C49)),IFERROR(_xlfn.NUMBERVALUE(SUBSTITUTE(LEFT(TRIM(C49),FIND(" ",TRIM(C49)&amp;" ")-1),",","."),"."),LEFT(SUBSTITUTE(LEFT(TRIM(C49),FIND(" ",TRIM(C49)&amp;" ")-1),",","."),FIND("/",SUBSTITUTE(LEFT(TRIM(C49),FIND(" ",TRIM(C49)&amp;" ")-1),",","."))-1)/MID(SUBSTITUTE(LEFT(TRIM(C49),FIND(" ",TRIM(C49)&amp;" ")-1),",","."),FIND("/",SUBSTITUTE(LEFT(TRIM(C49),FIND(" ",TRIM(C49)&amp;" ")-1),",","."))+1,9)),IF(ISNUMBER(SEARCH("yea",C49)),IFERROR(_xlfn.NUMBERVALUE(SUBSTITUTE(LEFT(TRIM(C49),FIND(" ",TRIM(C49)&amp;" ")-1),",","."),"."),LEFT(SUBSTITUTE(LEFT(TRIM(C49),FIND(" ",TRIM(C49)&amp;" ")-1),",","."),FIND("/",SUBSTITUTE(LEFT(TRIM(C49),FIND(" ",TRIM(C49)&amp;" ")-1),",","."))-1)/MID(SUBSTITUTE(LEFT(TRIM(C49),FIND(" ",TRIM(C49)&amp;" ")-1),",","."),FIND("/",SUBSTITUTE(LEFT(TRIM(C49),FIND(" ",TRIM(C49)&amp;" ")-1),",","."))+1,9))*12,NA()))),0),12)*'Aturan &amp; Tarif'!$B$4,2)</f>
        <v>681.36</v>
      </c>
      <c r="K49" s="42" t="n">
        <f aca="false">'Aturan &amp; Tarif'!$B$5</f>
        <v>2050</v>
      </c>
      <c r="L49" s="42" t="n">
        <f aca="false">'Aturan &amp; Tarif'!$B$6</f>
        <v>350</v>
      </c>
      <c r="M49" s="35" t="n">
        <f aca="false">I49+J49+K49+L49</f>
        <v>21321.36</v>
      </c>
      <c r="N49" s="45" t="s">
        <v>512</v>
      </c>
    </row>
    <row r="50" customFormat="false" ht="60" hidden="false" customHeight="true" outlineLevel="0" collapsed="false">
      <c r="A50" s="39"/>
      <c r="B50" s="40" t="s">
        <v>533</v>
      </c>
      <c r="C50" s="41" t="s">
        <v>107</v>
      </c>
      <c r="D50" s="41" t="s">
        <v>108</v>
      </c>
      <c r="E50" s="42" t="n">
        <v>9120</v>
      </c>
      <c r="F50" s="42"/>
      <c r="G50" s="42"/>
      <c r="H50" s="43" t="n">
        <v>2</v>
      </c>
      <c r="I50" s="34" t="n">
        <f aca="false">E50*H50+N(F50)+N(G50)</f>
        <v>18240</v>
      </c>
      <c r="J50" s="42" t="n">
        <f aca="false">ROUND(IFERROR(ROUND(IF(OR(ISNUMBER(SEARCH("week",C50)),ISNUMBER(SEARCH("minggu",C50))),IFERROR(_xlfn.NUMBERVALUE(SUBSTITUTE(LEFT(TRIM(C50),FIND(" ",TRIM(C50)&amp;" ")-1),",","."),"."),LEFT(SUBSTITUTE(LEFT(TRIM(C50),FIND(" ",TRIM(C50)&amp;" ")-1),",","."),FIND("/",SUBSTITUTE(LEFT(TRIM(C50),FIND(" ",TRIM(C50)&amp;" ")-1),",","."))-1)/MID(SUBSTITUTE(LEFT(TRIM(C50),FIND(" ",TRIM(C50)&amp;" ")-1),",","."),FIND("/",SUBSTITUTE(LEFT(TRIM(C50),FIND(" ",TRIM(C50)&amp;" ")-1),",","."))+1,9))*12/52,IF(ISNUMBER(SEARCH("month",C50)),IFERROR(_xlfn.NUMBERVALUE(SUBSTITUTE(LEFT(TRIM(C50),FIND(" ",TRIM(C50)&amp;" ")-1),",","."),"."),LEFT(SUBSTITUTE(LEFT(TRIM(C50),FIND(" ",TRIM(C50)&amp;" ")-1),",","."),FIND("/",SUBSTITUTE(LEFT(TRIM(C50),FIND(" ",TRIM(C50)&amp;" ")-1),",","."))-1)/MID(SUBSTITUTE(LEFT(TRIM(C50),FIND(" ",TRIM(C50)&amp;" ")-1),",","."),FIND("/",SUBSTITUTE(LEFT(TRIM(C50),FIND(" ",TRIM(C50)&amp;" ")-1),",","."))+1,9)),IF(ISNUMBER(SEARCH("yea",C50)),IFERROR(_xlfn.NUMBERVALUE(SUBSTITUTE(LEFT(TRIM(C50),FIND(" ",TRIM(C50)&amp;" ")-1),",","."),"."),LEFT(SUBSTITUTE(LEFT(TRIM(C50),FIND(" ",TRIM(C50)&amp;" ")-1),",","."),FIND("/",SUBSTITUTE(LEFT(TRIM(C50),FIND(" ",TRIM(C50)&amp;" ")-1),",","."))-1)/MID(SUBSTITUTE(LEFT(TRIM(C50),FIND(" ",TRIM(C50)&amp;" ")-1),",","."),FIND("/",SUBSTITUTE(LEFT(TRIM(C50),FIND(" ",TRIM(C50)&amp;" ")-1),",","."))+1,9))*12,NA()))),0),24)*'Aturan &amp; Tarif'!$B$4,2)</f>
        <v>1362.72</v>
      </c>
      <c r="K50" s="42" t="n">
        <f aca="false">'Aturan &amp; Tarif'!$B$5</f>
        <v>2050</v>
      </c>
      <c r="L50" s="42" t="n">
        <f aca="false">'Aturan &amp; Tarif'!$B$6</f>
        <v>350</v>
      </c>
      <c r="M50" s="35" t="n">
        <f aca="false">I50+J50+K50+L50</f>
        <v>22002.72</v>
      </c>
      <c r="N50" s="44" t="s">
        <v>534</v>
      </c>
    </row>
    <row r="51" customFormat="false" ht="14.25" hidden="false" customHeight="true" outlineLevel="0" collapsed="false">
      <c r="A51" s="39"/>
      <c r="B51" s="40" t="s">
        <v>289</v>
      </c>
      <c r="C51" s="41" t="s">
        <v>107</v>
      </c>
      <c r="D51" s="41" t="s">
        <v>108</v>
      </c>
      <c r="E51" s="42" t="n">
        <v>9120</v>
      </c>
      <c r="F51" s="42"/>
      <c r="G51" s="42"/>
      <c r="H51" s="43" t="n">
        <v>2</v>
      </c>
      <c r="I51" s="34" t="n">
        <f aca="false">E51*H51+N(F51)+N(G51)</f>
        <v>18240</v>
      </c>
      <c r="J51" s="42" t="n">
        <f aca="false">ROUND(IFERROR(ROUND(IF(OR(ISNUMBER(SEARCH("week",C51)),ISNUMBER(SEARCH("minggu",C51))),IFERROR(_xlfn.NUMBERVALUE(SUBSTITUTE(LEFT(TRIM(C51),FIND(" ",TRIM(C51)&amp;" ")-1),",","."),"."),LEFT(SUBSTITUTE(LEFT(TRIM(C51),FIND(" ",TRIM(C51)&amp;" ")-1),",","."),FIND("/",SUBSTITUTE(LEFT(TRIM(C51),FIND(" ",TRIM(C51)&amp;" ")-1),",","."))-1)/MID(SUBSTITUTE(LEFT(TRIM(C51),FIND(" ",TRIM(C51)&amp;" ")-1),",","."),FIND("/",SUBSTITUTE(LEFT(TRIM(C51),FIND(" ",TRIM(C51)&amp;" ")-1),",","."))+1,9))*12/52,IF(ISNUMBER(SEARCH("month",C51)),IFERROR(_xlfn.NUMBERVALUE(SUBSTITUTE(LEFT(TRIM(C51),FIND(" ",TRIM(C51)&amp;" ")-1),",","."),"."),LEFT(SUBSTITUTE(LEFT(TRIM(C51),FIND(" ",TRIM(C51)&amp;" ")-1),",","."),FIND("/",SUBSTITUTE(LEFT(TRIM(C51),FIND(" ",TRIM(C51)&amp;" ")-1),",","."))-1)/MID(SUBSTITUTE(LEFT(TRIM(C51),FIND(" ",TRIM(C51)&amp;" ")-1),",","."),FIND("/",SUBSTITUTE(LEFT(TRIM(C51),FIND(" ",TRIM(C51)&amp;" ")-1),",","."))+1,9)),IF(ISNUMBER(SEARCH("yea",C51)),IFERROR(_xlfn.NUMBERVALUE(SUBSTITUTE(LEFT(TRIM(C51),FIND(" ",TRIM(C51)&amp;" ")-1),",","."),"."),LEFT(SUBSTITUTE(LEFT(TRIM(C51),FIND(" ",TRIM(C51)&amp;" ")-1),",","."),FIND("/",SUBSTITUTE(LEFT(TRIM(C51),FIND(" ",TRIM(C51)&amp;" ")-1),",","."))-1)/MID(SUBSTITUTE(LEFT(TRIM(C51),FIND(" ",TRIM(C51)&amp;" ")-1),",","."),FIND("/",SUBSTITUTE(LEFT(TRIM(C51),FIND(" ",TRIM(C51)&amp;" ")-1),",","."))+1,9))*12,NA()))),0),24)*'Aturan &amp; Tarif'!$B$4,2)</f>
        <v>1362.72</v>
      </c>
      <c r="K51" s="42" t="n">
        <f aca="false">'Aturan &amp; Tarif'!$B$5</f>
        <v>2050</v>
      </c>
      <c r="L51" s="42" t="n">
        <f aca="false">'Aturan &amp; Tarif'!$B$6</f>
        <v>350</v>
      </c>
      <c r="M51" s="35" t="n">
        <f aca="false">I51+J51+K51+L51</f>
        <v>22002.72</v>
      </c>
      <c r="N51" s="45" t="s">
        <v>512</v>
      </c>
    </row>
    <row r="52" customFormat="false" ht="14.25" hidden="false" customHeight="true" outlineLevel="0" collapsed="false">
      <c r="A52" s="39"/>
      <c r="B52" s="40" t="s">
        <v>535</v>
      </c>
      <c r="C52" s="41" t="s">
        <v>191</v>
      </c>
      <c r="D52" s="41" t="s">
        <v>108</v>
      </c>
      <c r="E52" s="42" t="n">
        <v>7858</v>
      </c>
      <c r="F52" s="42"/>
      <c r="G52" s="42"/>
      <c r="H52" s="43" t="n">
        <v>2</v>
      </c>
      <c r="I52" s="34" t="n">
        <f aca="false">E52*H52+N(F52)+N(G52)</f>
        <v>15716</v>
      </c>
      <c r="J52" s="42" t="n">
        <f aca="false">ROUND(IFERROR(ROUND(IF(OR(ISNUMBER(SEARCH("week",C52)),ISNUMBER(SEARCH("minggu",C52))),IFERROR(_xlfn.NUMBERVALUE(SUBSTITUTE(LEFT(TRIM(C52),FIND(" ",TRIM(C52)&amp;" ")-1),",","."),"."),LEFT(SUBSTITUTE(LEFT(TRIM(C52),FIND(" ",TRIM(C52)&amp;" ")-1),",","."),FIND("/",SUBSTITUTE(LEFT(TRIM(C52),FIND(" ",TRIM(C52)&amp;" ")-1),",","."))-1)/MID(SUBSTITUTE(LEFT(TRIM(C52),FIND(" ",TRIM(C52)&amp;" ")-1),",","."),FIND("/",SUBSTITUTE(LEFT(TRIM(C52),FIND(" ",TRIM(C52)&amp;" ")-1),",","."))+1,9))*12/52,IF(ISNUMBER(SEARCH("month",C52)),IFERROR(_xlfn.NUMBERVALUE(SUBSTITUTE(LEFT(TRIM(C52),FIND(" ",TRIM(C52)&amp;" ")-1),",","."),"."),LEFT(SUBSTITUTE(LEFT(TRIM(C52),FIND(" ",TRIM(C52)&amp;" ")-1),",","."),FIND("/",SUBSTITUTE(LEFT(TRIM(C52),FIND(" ",TRIM(C52)&amp;" ")-1),",","."))-1)/MID(SUBSTITUTE(LEFT(TRIM(C52),FIND(" ",TRIM(C52)&amp;" ")-1),",","."),FIND("/",SUBSTITUTE(LEFT(TRIM(C52),FIND(" ",TRIM(C52)&amp;" ")-1),",","."))+1,9)),IF(ISNUMBER(SEARCH("yea",C52)),IFERROR(_xlfn.NUMBERVALUE(SUBSTITUTE(LEFT(TRIM(C52),FIND(" ",TRIM(C52)&amp;" ")-1),",","."),"."),LEFT(SUBSTITUTE(LEFT(TRIM(C52),FIND(" ",TRIM(C52)&amp;" ")-1),",","."),FIND("/",SUBSTITUTE(LEFT(TRIM(C52),FIND(" ",TRIM(C52)&amp;" ")-1),",","."))-1)/MID(SUBSTITUTE(LEFT(TRIM(C52),FIND(" ",TRIM(C52)&amp;" ")-1),",","."),FIND("/",SUBSTITUTE(LEFT(TRIM(C52),FIND(" ",TRIM(C52)&amp;" ")-1),",","."))+1,9))*12,NA()))),0),48)*'Aturan &amp; Tarif'!$B$4,2)</f>
        <v>2725.44</v>
      </c>
      <c r="K52" s="42" t="n">
        <f aca="false">'Aturan &amp; Tarif'!$B$5</f>
        <v>2050</v>
      </c>
      <c r="L52" s="42" t="n">
        <f aca="false">'Aturan &amp; Tarif'!$B$6</f>
        <v>350</v>
      </c>
      <c r="M52" s="35" t="n">
        <f aca="false">I52+J52+K52+L52</f>
        <v>20841.44</v>
      </c>
      <c r="N52" s="45" t="s">
        <v>512</v>
      </c>
    </row>
    <row r="53" customFormat="false" ht="25.5" hidden="false" customHeight="true" outlineLevel="0" collapsed="false">
      <c r="A53" s="39"/>
      <c r="B53" s="40" t="s">
        <v>536</v>
      </c>
      <c r="C53" s="41" t="s">
        <v>191</v>
      </c>
      <c r="D53" s="41" t="s">
        <v>108</v>
      </c>
      <c r="E53" s="42" t="n">
        <v>7858</v>
      </c>
      <c r="F53" s="42"/>
      <c r="G53" s="42"/>
      <c r="H53" s="43" t="n">
        <v>2</v>
      </c>
      <c r="I53" s="34" t="n">
        <f aca="false">E53*H53+N(F53)+N(G53)</f>
        <v>15716</v>
      </c>
      <c r="J53" s="42" t="n">
        <f aca="false">ROUND(IFERROR(ROUND(IF(OR(ISNUMBER(SEARCH("week",C53)),ISNUMBER(SEARCH("minggu",C53))),IFERROR(_xlfn.NUMBERVALUE(SUBSTITUTE(LEFT(TRIM(C53),FIND(" ",TRIM(C53)&amp;" ")-1),",","."),"."),LEFT(SUBSTITUTE(LEFT(TRIM(C53),FIND(" ",TRIM(C53)&amp;" ")-1),",","."),FIND("/",SUBSTITUTE(LEFT(TRIM(C53),FIND(" ",TRIM(C53)&amp;" ")-1),",","."))-1)/MID(SUBSTITUTE(LEFT(TRIM(C53),FIND(" ",TRIM(C53)&amp;" ")-1),",","."),FIND("/",SUBSTITUTE(LEFT(TRIM(C53),FIND(" ",TRIM(C53)&amp;" ")-1),",","."))+1,9))*12/52,IF(ISNUMBER(SEARCH("month",C53)),IFERROR(_xlfn.NUMBERVALUE(SUBSTITUTE(LEFT(TRIM(C53),FIND(" ",TRIM(C53)&amp;" ")-1),",","."),"."),LEFT(SUBSTITUTE(LEFT(TRIM(C53),FIND(" ",TRIM(C53)&amp;" ")-1),",","."),FIND("/",SUBSTITUTE(LEFT(TRIM(C53),FIND(" ",TRIM(C53)&amp;" ")-1),",","."))-1)/MID(SUBSTITUTE(LEFT(TRIM(C53),FIND(" ",TRIM(C53)&amp;" ")-1),",","."),FIND("/",SUBSTITUTE(LEFT(TRIM(C53),FIND(" ",TRIM(C53)&amp;" ")-1),",","."))+1,9)),IF(ISNUMBER(SEARCH("yea",C53)),IFERROR(_xlfn.NUMBERVALUE(SUBSTITUTE(LEFT(TRIM(C53),FIND(" ",TRIM(C53)&amp;" ")-1),",","."),"."),LEFT(SUBSTITUTE(LEFT(TRIM(C53),FIND(" ",TRIM(C53)&amp;" ")-1),",","."),FIND("/",SUBSTITUTE(LEFT(TRIM(C53),FIND(" ",TRIM(C53)&amp;" ")-1),",","."))-1)/MID(SUBSTITUTE(LEFT(TRIM(C53),FIND(" ",TRIM(C53)&amp;" ")-1),",","."),FIND("/",SUBSTITUTE(LEFT(TRIM(C53),FIND(" ",TRIM(C53)&amp;" ")-1),",","."))+1,9))*12,NA()))),0),48)*'Aturan &amp; Tarif'!$B$4,2)</f>
        <v>2725.44</v>
      </c>
      <c r="K53" s="42" t="n">
        <f aca="false">'Aturan &amp; Tarif'!$B$5</f>
        <v>2050</v>
      </c>
      <c r="L53" s="42" t="n">
        <f aca="false">'Aturan &amp; Tarif'!$B$6</f>
        <v>350</v>
      </c>
      <c r="M53" s="35" t="n">
        <f aca="false">I53+J53+K53+L53</f>
        <v>20841.44</v>
      </c>
      <c r="N53" s="45" t="s">
        <v>512</v>
      </c>
    </row>
    <row r="54" customFormat="false" ht="14.25" hidden="false" customHeight="true" outlineLevel="0" collapsed="false">
      <c r="A54" s="39"/>
      <c r="B54" s="40" t="s">
        <v>537</v>
      </c>
      <c r="C54" s="41" t="s">
        <v>191</v>
      </c>
      <c r="D54" s="41" t="s">
        <v>108</v>
      </c>
      <c r="E54" s="42" t="n">
        <v>7858</v>
      </c>
      <c r="F54" s="42"/>
      <c r="G54" s="42"/>
      <c r="H54" s="43" t="n">
        <v>2</v>
      </c>
      <c r="I54" s="34" t="n">
        <f aca="false">E54*H54+N(F54)+N(G54)</f>
        <v>15716</v>
      </c>
      <c r="J54" s="42" t="n">
        <f aca="false">ROUND(IFERROR(ROUND(IF(OR(ISNUMBER(SEARCH("week",C54)),ISNUMBER(SEARCH("minggu",C54))),IFERROR(_xlfn.NUMBERVALUE(SUBSTITUTE(LEFT(TRIM(C54),FIND(" ",TRIM(C54)&amp;" ")-1),",","."),"."),LEFT(SUBSTITUTE(LEFT(TRIM(C54),FIND(" ",TRIM(C54)&amp;" ")-1),",","."),FIND("/",SUBSTITUTE(LEFT(TRIM(C54),FIND(" ",TRIM(C54)&amp;" ")-1),",","."))-1)/MID(SUBSTITUTE(LEFT(TRIM(C54),FIND(" ",TRIM(C54)&amp;" ")-1),",","."),FIND("/",SUBSTITUTE(LEFT(TRIM(C54),FIND(" ",TRIM(C54)&amp;" ")-1),",","."))+1,9))*12/52,IF(ISNUMBER(SEARCH("month",C54)),IFERROR(_xlfn.NUMBERVALUE(SUBSTITUTE(LEFT(TRIM(C54),FIND(" ",TRIM(C54)&amp;" ")-1),",","."),"."),LEFT(SUBSTITUTE(LEFT(TRIM(C54),FIND(" ",TRIM(C54)&amp;" ")-1),",","."),FIND("/",SUBSTITUTE(LEFT(TRIM(C54),FIND(" ",TRIM(C54)&amp;" ")-1),",","."))-1)/MID(SUBSTITUTE(LEFT(TRIM(C54),FIND(" ",TRIM(C54)&amp;" ")-1),",","."),FIND("/",SUBSTITUTE(LEFT(TRIM(C54),FIND(" ",TRIM(C54)&amp;" ")-1),",","."))+1,9)),IF(ISNUMBER(SEARCH("yea",C54)),IFERROR(_xlfn.NUMBERVALUE(SUBSTITUTE(LEFT(TRIM(C54),FIND(" ",TRIM(C54)&amp;" ")-1),",","."),"."),LEFT(SUBSTITUTE(LEFT(TRIM(C54),FIND(" ",TRIM(C54)&amp;" ")-1),",","."),FIND("/",SUBSTITUTE(LEFT(TRIM(C54),FIND(" ",TRIM(C54)&amp;" ")-1),",","."))-1)/MID(SUBSTITUTE(LEFT(TRIM(C54),FIND(" ",TRIM(C54)&amp;" ")-1),",","."),FIND("/",SUBSTITUTE(LEFT(TRIM(C54),FIND(" ",TRIM(C54)&amp;" ")-1),",","."))+1,9))*12,NA()))),0),48)*'Aturan &amp; Tarif'!$B$4,2)</f>
        <v>2725.44</v>
      </c>
      <c r="K54" s="42" t="n">
        <f aca="false">'Aturan &amp; Tarif'!$B$5</f>
        <v>2050</v>
      </c>
      <c r="L54" s="42" t="n">
        <f aca="false">'Aturan &amp; Tarif'!$B$6</f>
        <v>350</v>
      </c>
      <c r="M54" s="35" t="n">
        <f aca="false">I54+J54+K54+L54</f>
        <v>20841.44</v>
      </c>
      <c r="N54" s="45" t="s">
        <v>512</v>
      </c>
    </row>
    <row r="55" customFormat="false" ht="14.25" hidden="false" customHeight="true" outlineLevel="0" collapsed="false">
      <c r="A55" s="39"/>
      <c r="B55" s="40" t="s">
        <v>538</v>
      </c>
      <c r="C55" s="41" t="s">
        <v>191</v>
      </c>
      <c r="D55" s="41" t="s">
        <v>108</v>
      </c>
      <c r="E55" s="42" t="n">
        <v>7858</v>
      </c>
      <c r="F55" s="42"/>
      <c r="G55" s="42"/>
      <c r="H55" s="43" t="n">
        <v>2</v>
      </c>
      <c r="I55" s="34" t="n">
        <f aca="false">E55*H55+N(F55)+N(G55)</f>
        <v>15716</v>
      </c>
      <c r="J55" s="42" t="n">
        <f aca="false">ROUND(IFERROR(ROUND(IF(OR(ISNUMBER(SEARCH("week",C55)),ISNUMBER(SEARCH("minggu",C55))),IFERROR(_xlfn.NUMBERVALUE(SUBSTITUTE(LEFT(TRIM(C55),FIND(" ",TRIM(C55)&amp;" ")-1),",","."),"."),LEFT(SUBSTITUTE(LEFT(TRIM(C55),FIND(" ",TRIM(C55)&amp;" ")-1),",","."),FIND("/",SUBSTITUTE(LEFT(TRIM(C55),FIND(" ",TRIM(C55)&amp;" ")-1),",","."))-1)/MID(SUBSTITUTE(LEFT(TRIM(C55),FIND(" ",TRIM(C55)&amp;" ")-1),",","."),FIND("/",SUBSTITUTE(LEFT(TRIM(C55),FIND(" ",TRIM(C55)&amp;" ")-1),",","."))+1,9))*12/52,IF(ISNUMBER(SEARCH("month",C55)),IFERROR(_xlfn.NUMBERVALUE(SUBSTITUTE(LEFT(TRIM(C55),FIND(" ",TRIM(C55)&amp;" ")-1),",","."),"."),LEFT(SUBSTITUTE(LEFT(TRIM(C55),FIND(" ",TRIM(C55)&amp;" ")-1),",","."),FIND("/",SUBSTITUTE(LEFT(TRIM(C55),FIND(" ",TRIM(C55)&amp;" ")-1),",","."))-1)/MID(SUBSTITUTE(LEFT(TRIM(C55),FIND(" ",TRIM(C55)&amp;" ")-1),",","."),FIND("/",SUBSTITUTE(LEFT(TRIM(C55),FIND(" ",TRIM(C55)&amp;" ")-1),",","."))+1,9)),IF(ISNUMBER(SEARCH("yea",C55)),IFERROR(_xlfn.NUMBERVALUE(SUBSTITUTE(LEFT(TRIM(C55),FIND(" ",TRIM(C55)&amp;" ")-1),",","."),"."),LEFT(SUBSTITUTE(LEFT(TRIM(C55),FIND(" ",TRIM(C55)&amp;" ")-1),",","."),FIND("/",SUBSTITUTE(LEFT(TRIM(C55),FIND(" ",TRIM(C55)&amp;" ")-1),",","."))-1)/MID(SUBSTITUTE(LEFT(TRIM(C55),FIND(" ",TRIM(C55)&amp;" ")-1),",","."),FIND("/",SUBSTITUTE(LEFT(TRIM(C55),FIND(" ",TRIM(C55)&amp;" ")-1),",","."))+1,9))*12,NA()))),0),48)*'Aturan &amp; Tarif'!$B$4,2)</f>
        <v>2725.44</v>
      </c>
      <c r="K55" s="42" t="n">
        <f aca="false">'Aturan &amp; Tarif'!$B$5</f>
        <v>2050</v>
      </c>
      <c r="L55" s="42" t="n">
        <f aca="false">'Aturan &amp; Tarif'!$B$6</f>
        <v>350</v>
      </c>
      <c r="M55" s="35" t="n">
        <f aca="false">I55+J55+K55+L55</f>
        <v>20841.44</v>
      </c>
      <c r="N55" s="45" t="s">
        <v>512</v>
      </c>
    </row>
    <row r="56" customFormat="false" ht="25.5" hidden="false" customHeight="true" outlineLevel="0" collapsed="false">
      <c r="A56" s="39"/>
      <c r="B56" s="40" t="s">
        <v>539</v>
      </c>
      <c r="C56" s="41" t="s">
        <v>495</v>
      </c>
      <c r="D56" s="41" t="s">
        <v>108</v>
      </c>
      <c r="E56" s="42" t="n">
        <v>7858</v>
      </c>
      <c r="F56" s="42"/>
      <c r="G56" s="42"/>
      <c r="H56" s="43" t="n">
        <v>2</v>
      </c>
      <c r="I56" s="34" t="n">
        <f aca="false">E56*H56+N(F56)+N(G56)</f>
        <v>15716</v>
      </c>
      <c r="J56" s="42" t="n">
        <f aca="false">ROUND(IFERROR(ROUND(IF(OR(ISNUMBER(SEARCH("week",C56)),ISNUMBER(SEARCH("minggu",C56))),IFERROR(_xlfn.NUMBERVALUE(SUBSTITUTE(LEFT(TRIM(C56),FIND(" ",TRIM(C56)&amp;" ")-1),",","."),"."),LEFT(SUBSTITUTE(LEFT(TRIM(C56),FIND(" ",TRIM(C56)&amp;" ")-1),",","."),FIND("/",SUBSTITUTE(LEFT(TRIM(C56),FIND(" ",TRIM(C56)&amp;" ")-1),",","."))-1)/MID(SUBSTITUTE(LEFT(TRIM(C56),FIND(" ",TRIM(C56)&amp;" ")-1),",","."),FIND("/",SUBSTITUTE(LEFT(TRIM(C56),FIND(" ",TRIM(C56)&amp;" ")-1),",","."))+1,9))*12/52,IF(ISNUMBER(SEARCH("month",C56)),IFERROR(_xlfn.NUMBERVALUE(SUBSTITUTE(LEFT(TRIM(C56),FIND(" ",TRIM(C56)&amp;" ")-1),",","."),"."),LEFT(SUBSTITUTE(LEFT(TRIM(C56),FIND(" ",TRIM(C56)&amp;" ")-1),",","."),FIND("/",SUBSTITUTE(LEFT(TRIM(C56),FIND(" ",TRIM(C56)&amp;" ")-1),",","."))-1)/MID(SUBSTITUTE(LEFT(TRIM(C56),FIND(" ",TRIM(C56)&amp;" ")-1),",","."),FIND("/",SUBSTITUTE(LEFT(TRIM(C56),FIND(" ",TRIM(C56)&amp;" ")-1),",","."))+1,9)),IF(ISNUMBER(SEARCH("yea",C56)),IFERROR(_xlfn.NUMBERVALUE(SUBSTITUTE(LEFT(TRIM(C56),FIND(" ",TRIM(C56)&amp;" ")-1),",","."),"."),LEFT(SUBSTITUTE(LEFT(TRIM(C56),FIND(" ",TRIM(C56)&amp;" ")-1),",","."),FIND("/",SUBSTITUTE(LEFT(TRIM(C56),FIND(" ",TRIM(C56)&amp;" ")-1),",","."))-1)/MID(SUBSTITUTE(LEFT(TRIM(C56),FIND(" ",TRIM(C56)&amp;" ")-1),",","."),FIND("/",SUBSTITUTE(LEFT(TRIM(C56),FIND(" ",TRIM(C56)&amp;" ")-1),",","."))+1,9))*12,NA()))),0),54)*'Aturan &amp; Tarif'!$B$4,2)</f>
        <v>3066.12</v>
      </c>
      <c r="K56" s="42" t="n">
        <f aca="false">'Aturan &amp; Tarif'!$B$5</f>
        <v>2050</v>
      </c>
      <c r="L56" s="42" t="n">
        <f aca="false">'Aturan &amp; Tarif'!$B$6</f>
        <v>350</v>
      </c>
      <c r="M56" s="35" t="n">
        <f aca="false">I56+J56+K56+L56</f>
        <v>21182.12</v>
      </c>
      <c r="N56" s="45" t="s">
        <v>512</v>
      </c>
    </row>
    <row r="57" customFormat="false" ht="25.5" hidden="false" customHeight="true" outlineLevel="0" collapsed="false">
      <c r="A57" s="39"/>
      <c r="B57" s="40" t="s">
        <v>540</v>
      </c>
      <c r="C57" s="41" t="s">
        <v>344</v>
      </c>
      <c r="D57" s="41" t="s">
        <v>108</v>
      </c>
      <c r="E57" s="42" t="n">
        <v>8190</v>
      </c>
      <c r="F57" s="42"/>
      <c r="G57" s="42"/>
      <c r="H57" s="43" t="n">
        <v>2</v>
      </c>
      <c r="I57" s="34" t="n">
        <f aca="false">E57*H57+N(F57)+N(G57)</f>
        <v>16380</v>
      </c>
      <c r="J57" s="42" t="n">
        <f aca="false">ROUND(IFERROR(ROUND(IF(OR(ISNUMBER(SEARCH("week",C57)),ISNUMBER(SEARCH("minggu",C57))),IFERROR(_xlfn.NUMBERVALUE(SUBSTITUTE(LEFT(TRIM(C57),FIND(" ",TRIM(C57)&amp;" ")-1),",","."),"."),LEFT(SUBSTITUTE(LEFT(TRIM(C57),FIND(" ",TRIM(C57)&amp;" ")-1),",","."),FIND("/",SUBSTITUTE(LEFT(TRIM(C57),FIND(" ",TRIM(C57)&amp;" ")-1),",","."))-1)/MID(SUBSTITUTE(LEFT(TRIM(C57),FIND(" ",TRIM(C57)&amp;" ")-1),",","."),FIND("/",SUBSTITUTE(LEFT(TRIM(C57),FIND(" ",TRIM(C57)&amp;" ")-1),",","."))+1,9))*12/52,IF(ISNUMBER(SEARCH("month",C57)),IFERROR(_xlfn.NUMBERVALUE(SUBSTITUTE(LEFT(TRIM(C57),FIND(" ",TRIM(C57)&amp;" ")-1),",","."),"."),LEFT(SUBSTITUTE(LEFT(TRIM(C57),FIND(" ",TRIM(C57)&amp;" ")-1),",","."),FIND("/",SUBSTITUTE(LEFT(TRIM(C57),FIND(" ",TRIM(C57)&amp;" ")-1),",","."))-1)/MID(SUBSTITUTE(LEFT(TRIM(C57),FIND(" ",TRIM(C57)&amp;" ")-1),",","."),FIND("/",SUBSTITUTE(LEFT(TRIM(C57),FIND(" ",TRIM(C57)&amp;" ")-1),",","."))+1,9)),IF(ISNUMBER(SEARCH("yea",C57)),IFERROR(_xlfn.NUMBERVALUE(SUBSTITUTE(LEFT(TRIM(C57),FIND(" ",TRIM(C57)&amp;" ")-1),",","."),"."),LEFT(SUBSTITUTE(LEFT(TRIM(C57),FIND(" ",TRIM(C57)&amp;" ")-1),",","."),FIND("/",SUBSTITUTE(LEFT(TRIM(C57),FIND(" ",TRIM(C57)&amp;" ")-1),",","."))-1)/MID(SUBSTITUTE(LEFT(TRIM(C57),FIND(" ",TRIM(C57)&amp;" ")-1),",","."),FIND("/",SUBSTITUTE(LEFT(TRIM(C57),FIND(" ",TRIM(C57)&amp;" ")-1),",","."))+1,9))*12,NA()))),0),6)*'Aturan &amp; Tarif'!$B$4,2)</f>
        <v>340.68</v>
      </c>
      <c r="K57" s="42" t="n">
        <f aca="false">'Aturan &amp; Tarif'!$B$5</f>
        <v>2050</v>
      </c>
      <c r="L57" s="42" t="n">
        <f aca="false">'Aturan &amp; Tarif'!$B$6</f>
        <v>350</v>
      </c>
      <c r="M57" s="35" t="n">
        <f aca="false">I57+J57+K57+L57</f>
        <v>19120.68</v>
      </c>
      <c r="N57" s="45" t="s">
        <v>512</v>
      </c>
    </row>
    <row r="58" customFormat="false" ht="25.5" hidden="false" customHeight="true" outlineLevel="0" collapsed="false">
      <c r="A58" s="39"/>
      <c r="B58" s="40" t="s">
        <v>541</v>
      </c>
      <c r="C58" s="41" t="s">
        <v>344</v>
      </c>
      <c r="D58" s="41" t="s">
        <v>108</v>
      </c>
      <c r="E58" s="42" t="n">
        <v>8190</v>
      </c>
      <c r="F58" s="42"/>
      <c r="G58" s="42"/>
      <c r="H58" s="43" t="n">
        <v>2</v>
      </c>
      <c r="I58" s="34" t="n">
        <f aca="false">E58*H58+N(F58)+N(G58)</f>
        <v>16380</v>
      </c>
      <c r="J58" s="42" t="n">
        <f aca="false">ROUND(IFERROR(ROUND(IF(OR(ISNUMBER(SEARCH("week",C58)),ISNUMBER(SEARCH("minggu",C58))),IFERROR(_xlfn.NUMBERVALUE(SUBSTITUTE(LEFT(TRIM(C58),FIND(" ",TRIM(C58)&amp;" ")-1),",","."),"."),LEFT(SUBSTITUTE(LEFT(TRIM(C58),FIND(" ",TRIM(C58)&amp;" ")-1),",","."),FIND("/",SUBSTITUTE(LEFT(TRIM(C58),FIND(" ",TRIM(C58)&amp;" ")-1),",","."))-1)/MID(SUBSTITUTE(LEFT(TRIM(C58),FIND(" ",TRIM(C58)&amp;" ")-1),",","."),FIND("/",SUBSTITUTE(LEFT(TRIM(C58),FIND(" ",TRIM(C58)&amp;" ")-1),",","."))+1,9))*12/52,IF(ISNUMBER(SEARCH("month",C58)),IFERROR(_xlfn.NUMBERVALUE(SUBSTITUTE(LEFT(TRIM(C58),FIND(" ",TRIM(C58)&amp;" ")-1),",","."),"."),LEFT(SUBSTITUTE(LEFT(TRIM(C58),FIND(" ",TRIM(C58)&amp;" ")-1),",","."),FIND("/",SUBSTITUTE(LEFT(TRIM(C58),FIND(" ",TRIM(C58)&amp;" ")-1),",","."))-1)/MID(SUBSTITUTE(LEFT(TRIM(C58),FIND(" ",TRIM(C58)&amp;" ")-1),",","."),FIND("/",SUBSTITUTE(LEFT(TRIM(C58),FIND(" ",TRIM(C58)&amp;" ")-1),",","."))+1,9)),IF(ISNUMBER(SEARCH("yea",C58)),IFERROR(_xlfn.NUMBERVALUE(SUBSTITUTE(LEFT(TRIM(C58),FIND(" ",TRIM(C58)&amp;" ")-1),",","."),"."),LEFT(SUBSTITUTE(LEFT(TRIM(C58),FIND(" ",TRIM(C58)&amp;" ")-1),",","."),FIND("/",SUBSTITUTE(LEFT(TRIM(C58),FIND(" ",TRIM(C58)&amp;" ")-1),",","."))-1)/MID(SUBSTITUTE(LEFT(TRIM(C58),FIND(" ",TRIM(C58)&amp;" ")-1),",","."),FIND("/",SUBSTITUTE(LEFT(TRIM(C58),FIND(" ",TRIM(C58)&amp;" ")-1),",","."))+1,9))*12,NA()))),0),6)*'Aturan &amp; Tarif'!$B$4,2)</f>
        <v>340.68</v>
      </c>
      <c r="K58" s="42" t="n">
        <f aca="false">'Aturan &amp; Tarif'!$B$5</f>
        <v>2050</v>
      </c>
      <c r="L58" s="42" t="n">
        <f aca="false">'Aturan &amp; Tarif'!$B$6</f>
        <v>350</v>
      </c>
      <c r="M58" s="35" t="n">
        <f aca="false">I58+J58+K58+L58</f>
        <v>19120.68</v>
      </c>
      <c r="N58" s="45" t="s">
        <v>512</v>
      </c>
    </row>
    <row r="59" customFormat="false" ht="14.25" hidden="false" customHeight="true" outlineLevel="0" collapsed="false">
      <c r="A59" s="39"/>
      <c r="B59" s="40" t="s">
        <v>542</v>
      </c>
      <c r="C59" s="41" t="s">
        <v>130</v>
      </c>
      <c r="D59" s="41" t="s">
        <v>108</v>
      </c>
      <c r="E59" s="42" t="n">
        <v>9418</v>
      </c>
      <c r="F59" s="42"/>
      <c r="G59" s="42"/>
      <c r="H59" s="43" t="n">
        <v>2</v>
      </c>
      <c r="I59" s="34" t="n">
        <f aca="false">E59*H59+N(F59)+N(G59)</f>
        <v>18836</v>
      </c>
      <c r="J59" s="42" t="n">
        <f aca="false">ROUND(IFERROR(ROUND(IF(OR(ISNUMBER(SEARCH("week",C59)),ISNUMBER(SEARCH("minggu",C59))),IFERROR(_xlfn.NUMBERVALUE(SUBSTITUTE(LEFT(TRIM(C59),FIND(" ",TRIM(C59)&amp;" ")-1),",","."),"."),LEFT(SUBSTITUTE(LEFT(TRIM(C59),FIND(" ",TRIM(C59)&amp;" ")-1),",","."),FIND("/",SUBSTITUTE(LEFT(TRIM(C59),FIND(" ",TRIM(C59)&amp;" ")-1),",","."))-1)/MID(SUBSTITUTE(LEFT(TRIM(C59),FIND(" ",TRIM(C59)&amp;" ")-1),",","."),FIND("/",SUBSTITUTE(LEFT(TRIM(C59),FIND(" ",TRIM(C59)&amp;" ")-1),",","."))+1,9))*12/52,IF(ISNUMBER(SEARCH("month",C59)),IFERROR(_xlfn.NUMBERVALUE(SUBSTITUTE(LEFT(TRIM(C59),FIND(" ",TRIM(C59)&amp;" ")-1),",","."),"."),LEFT(SUBSTITUTE(LEFT(TRIM(C59),FIND(" ",TRIM(C59)&amp;" ")-1),",","."),FIND("/",SUBSTITUTE(LEFT(TRIM(C59),FIND(" ",TRIM(C59)&amp;" ")-1),",","."))-1)/MID(SUBSTITUTE(LEFT(TRIM(C59),FIND(" ",TRIM(C59)&amp;" ")-1),",","."),FIND("/",SUBSTITUTE(LEFT(TRIM(C59),FIND(" ",TRIM(C59)&amp;" ")-1),",","."))+1,9)),IF(ISNUMBER(SEARCH("yea",C59)),IFERROR(_xlfn.NUMBERVALUE(SUBSTITUTE(LEFT(TRIM(C59),FIND(" ",TRIM(C59)&amp;" ")-1),",","."),"."),LEFT(SUBSTITUTE(LEFT(TRIM(C59),FIND(" ",TRIM(C59)&amp;" ")-1),",","."),FIND("/",SUBSTITUTE(LEFT(TRIM(C59),FIND(" ",TRIM(C59)&amp;" ")-1),",","."))-1)/MID(SUBSTITUTE(LEFT(TRIM(C59),FIND(" ",TRIM(C59)&amp;" ")-1),",","."),FIND("/",SUBSTITUTE(LEFT(TRIM(C59),FIND(" ",TRIM(C59)&amp;" ")-1),",","."))+1,9))*12,NA()))),0),12)*'Aturan &amp; Tarif'!$B$4,2)</f>
        <v>681.36</v>
      </c>
      <c r="K59" s="42" t="n">
        <f aca="false">'Aturan &amp; Tarif'!$B$5</f>
        <v>2050</v>
      </c>
      <c r="L59" s="42" t="n">
        <f aca="false">'Aturan &amp; Tarif'!$B$6</f>
        <v>350</v>
      </c>
      <c r="M59" s="35" t="n">
        <f aca="false">I59+J59+K59+L59</f>
        <v>21917.36</v>
      </c>
      <c r="N59" s="45" t="s">
        <v>512</v>
      </c>
    </row>
    <row r="60" customFormat="false" ht="14.25" hidden="false" customHeight="true" outlineLevel="0" collapsed="false">
      <c r="A60" s="39"/>
      <c r="B60" s="40" t="s">
        <v>543</v>
      </c>
      <c r="C60" s="41" t="s">
        <v>130</v>
      </c>
      <c r="D60" s="41" t="s">
        <v>108</v>
      </c>
      <c r="E60" s="42" t="n">
        <v>8190</v>
      </c>
      <c r="F60" s="42"/>
      <c r="G60" s="42"/>
      <c r="H60" s="43" t="n">
        <v>2</v>
      </c>
      <c r="I60" s="34" t="n">
        <f aca="false">E60*H60+N(F60)+N(G60)</f>
        <v>16380</v>
      </c>
      <c r="J60" s="42" t="n">
        <f aca="false">ROUND(IFERROR(ROUND(IF(OR(ISNUMBER(SEARCH("week",C60)),ISNUMBER(SEARCH("minggu",C60))),IFERROR(_xlfn.NUMBERVALUE(SUBSTITUTE(LEFT(TRIM(C60),FIND(" ",TRIM(C60)&amp;" ")-1),",","."),"."),LEFT(SUBSTITUTE(LEFT(TRIM(C60),FIND(" ",TRIM(C60)&amp;" ")-1),",","."),FIND("/",SUBSTITUTE(LEFT(TRIM(C60),FIND(" ",TRIM(C60)&amp;" ")-1),",","."))-1)/MID(SUBSTITUTE(LEFT(TRIM(C60),FIND(" ",TRIM(C60)&amp;" ")-1),",","."),FIND("/",SUBSTITUTE(LEFT(TRIM(C60),FIND(" ",TRIM(C60)&amp;" ")-1),",","."))+1,9))*12/52,IF(ISNUMBER(SEARCH("month",C60)),IFERROR(_xlfn.NUMBERVALUE(SUBSTITUTE(LEFT(TRIM(C60),FIND(" ",TRIM(C60)&amp;" ")-1),",","."),"."),LEFT(SUBSTITUTE(LEFT(TRIM(C60),FIND(" ",TRIM(C60)&amp;" ")-1),",","."),FIND("/",SUBSTITUTE(LEFT(TRIM(C60),FIND(" ",TRIM(C60)&amp;" ")-1),",","."))-1)/MID(SUBSTITUTE(LEFT(TRIM(C60),FIND(" ",TRIM(C60)&amp;" ")-1),",","."),FIND("/",SUBSTITUTE(LEFT(TRIM(C60),FIND(" ",TRIM(C60)&amp;" ")-1),",","."))+1,9)),IF(ISNUMBER(SEARCH("yea",C60)),IFERROR(_xlfn.NUMBERVALUE(SUBSTITUTE(LEFT(TRIM(C60),FIND(" ",TRIM(C60)&amp;" ")-1),",","."),"."),LEFT(SUBSTITUTE(LEFT(TRIM(C60),FIND(" ",TRIM(C60)&amp;" ")-1),",","."),FIND("/",SUBSTITUTE(LEFT(TRIM(C60),FIND(" ",TRIM(C60)&amp;" ")-1),",","."))-1)/MID(SUBSTITUTE(LEFT(TRIM(C60),FIND(" ",TRIM(C60)&amp;" ")-1),",","."),FIND("/",SUBSTITUTE(LEFT(TRIM(C60),FIND(" ",TRIM(C60)&amp;" ")-1),",","."))+1,9))*12,NA()))),0),12)*'Aturan &amp; Tarif'!$B$4,2)</f>
        <v>681.36</v>
      </c>
      <c r="K60" s="42" t="n">
        <f aca="false">'Aturan &amp; Tarif'!$B$5</f>
        <v>2050</v>
      </c>
      <c r="L60" s="42" t="n">
        <f aca="false">'Aturan &amp; Tarif'!$B$6</f>
        <v>350</v>
      </c>
      <c r="M60" s="35" t="n">
        <f aca="false">I60+J60+K60+L60</f>
        <v>19461.36</v>
      </c>
      <c r="N60" s="45" t="s">
        <v>512</v>
      </c>
    </row>
    <row r="61" customFormat="false" ht="14.25" hidden="false" customHeight="true" outlineLevel="0" collapsed="false">
      <c r="A61" s="39"/>
      <c r="B61" s="40" t="s">
        <v>544</v>
      </c>
      <c r="C61" s="41" t="s">
        <v>113</v>
      </c>
      <c r="D61" s="41" t="s">
        <v>108</v>
      </c>
      <c r="E61" s="42" t="n">
        <v>9418</v>
      </c>
      <c r="F61" s="42"/>
      <c r="G61" s="42"/>
      <c r="H61" s="43" t="n">
        <v>2</v>
      </c>
      <c r="I61" s="34" t="n">
        <f aca="false">E61*H61+N(F61)+N(G61)</f>
        <v>18836</v>
      </c>
      <c r="J61" s="42" t="n">
        <f aca="false">ROUND(IFERROR(ROUND(IF(OR(ISNUMBER(SEARCH("week",C61)),ISNUMBER(SEARCH("minggu",C61))),IFERROR(_xlfn.NUMBERVALUE(SUBSTITUTE(LEFT(TRIM(C61),FIND(" ",TRIM(C61)&amp;" ")-1),",","."),"."),LEFT(SUBSTITUTE(LEFT(TRIM(C61),FIND(" ",TRIM(C61)&amp;" ")-1),",","."),FIND("/",SUBSTITUTE(LEFT(TRIM(C61),FIND(" ",TRIM(C61)&amp;" ")-1),",","."))-1)/MID(SUBSTITUTE(LEFT(TRIM(C61),FIND(" ",TRIM(C61)&amp;" ")-1),",","."),FIND("/",SUBSTITUTE(LEFT(TRIM(C61),FIND(" ",TRIM(C61)&amp;" ")-1),",","."))+1,9))*12/52,IF(ISNUMBER(SEARCH("month",C61)),IFERROR(_xlfn.NUMBERVALUE(SUBSTITUTE(LEFT(TRIM(C61),FIND(" ",TRIM(C61)&amp;" ")-1),",","."),"."),LEFT(SUBSTITUTE(LEFT(TRIM(C61),FIND(" ",TRIM(C61)&amp;" ")-1),",","."),FIND("/",SUBSTITUTE(LEFT(TRIM(C61),FIND(" ",TRIM(C61)&amp;" ")-1),",","."))-1)/MID(SUBSTITUTE(LEFT(TRIM(C61),FIND(" ",TRIM(C61)&amp;" ")-1),",","."),FIND("/",SUBSTITUTE(LEFT(TRIM(C61),FIND(" ",TRIM(C61)&amp;" ")-1),",","."))+1,9)),IF(ISNUMBER(SEARCH("yea",C61)),IFERROR(_xlfn.NUMBERVALUE(SUBSTITUTE(LEFT(TRIM(C61),FIND(" ",TRIM(C61)&amp;" ")-1),",","."),"."),LEFT(SUBSTITUTE(LEFT(TRIM(C61),FIND(" ",TRIM(C61)&amp;" ")-1),",","."),FIND("/",SUBSTITUTE(LEFT(TRIM(C61),FIND(" ",TRIM(C61)&amp;" ")-1),",","."))-1)/MID(SUBSTITUTE(LEFT(TRIM(C61),FIND(" ",TRIM(C61)&amp;" ")-1),",","."),FIND("/",SUBSTITUTE(LEFT(TRIM(C61),FIND(" ",TRIM(C61)&amp;" ")-1),",","."))+1,9))*12,NA()))),0),18)*'Aturan &amp; Tarif'!$B$4,2)</f>
        <v>1022.04</v>
      </c>
      <c r="K61" s="42" t="n">
        <f aca="false">'Aturan &amp; Tarif'!$B$5</f>
        <v>2050</v>
      </c>
      <c r="L61" s="42" t="n">
        <f aca="false">'Aturan &amp; Tarif'!$B$6</f>
        <v>350</v>
      </c>
      <c r="M61" s="35" t="n">
        <f aca="false">I61+J61+K61+L61</f>
        <v>22258.04</v>
      </c>
      <c r="N61" s="45" t="s">
        <v>512</v>
      </c>
    </row>
    <row r="62" customFormat="false" ht="14.25" hidden="false" customHeight="true" outlineLevel="0" collapsed="false">
      <c r="A62" s="39"/>
      <c r="B62" s="40" t="s">
        <v>373</v>
      </c>
      <c r="C62" s="41" t="s">
        <v>107</v>
      </c>
      <c r="D62" s="41" t="s">
        <v>108</v>
      </c>
      <c r="E62" s="42" t="n">
        <v>8190</v>
      </c>
      <c r="F62" s="42"/>
      <c r="G62" s="42"/>
      <c r="H62" s="43" t="n">
        <v>2</v>
      </c>
      <c r="I62" s="34" t="n">
        <f aca="false">E62*H62+N(F62)+N(G62)</f>
        <v>16380</v>
      </c>
      <c r="J62" s="42" t="n">
        <f aca="false">ROUND(IFERROR(ROUND(IF(OR(ISNUMBER(SEARCH("week",C62)),ISNUMBER(SEARCH("minggu",C62))),IFERROR(_xlfn.NUMBERVALUE(SUBSTITUTE(LEFT(TRIM(C62),FIND(" ",TRIM(C62)&amp;" ")-1),",","."),"."),LEFT(SUBSTITUTE(LEFT(TRIM(C62),FIND(" ",TRIM(C62)&amp;" ")-1),",","."),FIND("/",SUBSTITUTE(LEFT(TRIM(C62),FIND(" ",TRIM(C62)&amp;" ")-1),",","."))-1)/MID(SUBSTITUTE(LEFT(TRIM(C62),FIND(" ",TRIM(C62)&amp;" ")-1),",","."),FIND("/",SUBSTITUTE(LEFT(TRIM(C62),FIND(" ",TRIM(C62)&amp;" ")-1),",","."))+1,9))*12/52,IF(ISNUMBER(SEARCH("month",C62)),IFERROR(_xlfn.NUMBERVALUE(SUBSTITUTE(LEFT(TRIM(C62),FIND(" ",TRIM(C62)&amp;" ")-1),",","."),"."),LEFT(SUBSTITUTE(LEFT(TRIM(C62),FIND(" ",TRIM(C62)&amp;" ")-1),",","."),FIND("/",SUBSTITUTE(LEFT(TRIM(C62),FIND(" ",TRIM(C62)&amp;" ")-1),",","."))-1)/MID(SUBSTITUTE(LEFT(TRIM(C62),FIND(" ",TRIM(C62)&amp;" ")-1),",","."),FIND("/",SUBSTITUTE(LEFT(TRIM(C62),FIND(" ",TRIM(C62)&amp;" ")-1),",","."))+1,9)),IF(ISNUMBER(SEARCH("yea",C62)),IFERROR(_xlfn.NUMBERVALUE(SUBSTITUTE(LEFT(TRIM(C62),FIND(" ",TRIM(C62)&amp;" ")-1),",","."),"."),LEFT(SUBSTITUTE(LEFT(TRIM(C62),FIND(" ",TRIM(C62)&amp;" ")-1),",","."),FIND("/",SUBSTITUTE(LEFT(TRIM(C62),FIND(" ",TRIM(C62)&amp;" ")-1),",","."))-1)/MID(SUBSTITUTE(LEFT(TRIM(C62),FIND(" ",TRIM(C62)&amp;" ")-1),",","."),FIND("/",SUBSTITUTE(LEFT(TRIM(C62),FIND(" ",TRIM(C62)&amp;" ")-1),",","."))+1,9))*12,NA()))),0),24)*'Aturan &amp; Tarif'!$B$4,2)</f>
        <v>1362.72</v>
      </c>
      <c r="K62" s="42" t="n">
        <f aca="false">'Aturan &amp; Tarif'!$B$5</f>
        <v>2050</v>
      </c>
      <c r="L62" s="42" t="n">
        <f aca="false">'Aturan &amp; Tarif'!$B$6</f>
        <v>350</v>
      </c>
      <c r="M62" s="35" t="n">
        <f aca="false">I62+J62+K62+L62</f>
        <v>20142.72</v>
      </c>
      <c r="N62" s="45" t="s">
        <v>512</v>
      </c>
    </row>
    <row r="63" customFormat="false" ht="14.25" hidden="false" customHeight="true" outlineLevel="0" collapsed="false">
      <c r="A63" s="39"/>
      <c r="B63" s="40" t="s">
        <v>545</v>
      </c>
      <c r="C63" s="41" t="s">
        <v>107</v>
      </c>
      <c r="D63" s="41" t="s">
        <v>108</v>
      </c>
      <c r="E63" s="42" t="n">
        <v>8190</v>
      </c>
      <c r="F63" s="42"/>
      <c r="G63" s="42"/>
      <c r="H63" s="43" t="n">
        <v>2</v>
      </c>
      <c r="I63" s="34" t="n">
        <f aca="false">E63*H63+N(F63)+N(G63)</f>
        <v>16380</v>
      </c>
      <c r="J63" s="42" t="n">
        <f aca="false">ROUND(IFERROR(ROUND(IF(OR(ISNUMBER(SEARCH("week",C63)),ISNUMBER(SEARCH("minggu",C63))),IFERROR(_xlfn.NUMBERVALUE(SUBSTITUTE(LEFT(TRIM(C63),FIND(" ",TRIM(C63)&amp;" ")-1),",","."),"."),LEFT(SUBSTITUTE(LEFT(TRIM(C63),FIND(" ",TRIM(C63)&amp;" ")-1),",","."),FIND("/",SUBSTITUTE(LEFT(TRIM(C63),FIND(" ",TRIM(C63)&amp;" ")-1),",","."))-1)/MID(SUBSTITUTE(LEFT(TRIM(C63),FIND(" ",TRIM(C63)&amp;" ")-1),",","."),FIND("/",SUBSTITUTE(LEFT(TRIM(C63),FIND(" ",TRIM(C63)&amp;" ")-1),",","."))+1,9))*12/52,IF(ISNUMBER(SEARCH("month",C63)),IFERROR(_xlfn.NUMBERVALUE(SUBSTITUTE(LEFT(TRIM(C63),FIND(" ",TRIM(C63)&amp;" ")-1),",","."),"."),LEFT(SUBSTITUTE(LEFT(TRIM(C63),FIND(" ",TRIM(C63)&amp;" ")-1),",","."),FIND("/",SUBSTITUTE(LEFT(TRIM(C63),FIND(" ",TRIM(C63)&amp;" ")-1),",","."))-1)/MID(SUBSTITUTE(LEFT(TRIM(C63),FIND(" ",TRIM(C63)&amp;" ")-1),",","."),FIND("/",SUBSTITUTE(LEFT(TRIM(C63),FIND(" ",TRIM(C63)&amp;" ")-1),",","."))+1,9)),IF(ISNUMBER(SEARCH("yea",C63)),IFERROR(_xlfn.NUMBERVALUE(SUBSTITUTE(LEFT(TRIM(C63),FIND(" ",TRIM(C63)&amp;" ")-1),",","."),"."),LEFT(SUBSTITUTE(LEFT(TRIM(C63),FIND(" ",TRIM(C63)&amp;" ")-1),",","."),FIND("/",SUBSTITUTE(LEFT(TRIM(C63),FIND(" ",TRIM(C63)&amp;" ")-1),",","."))-1)/MID(SUBSTITUTE(LEFT(TRIM(C63),FIND(" ",TRIM(C63)&amp;" ")-1),",","."),FIND("/",SUBSTITUTE(LEFT(TRIM(C63),FIND(" ",TRIM(C63)&amp;" ")-1),",","."))+1,9))*12,NA()))),0),24)*'Aturan &amp; Tarif'!$B$4,2)</f>
        <v>1362.72</v>
      </c>
      <c r="K63" s="42" t="n">
        <f aca="false">'Aturan &amp; Tarif'!$B$5</f>
        <v>2050</v>
      </c>
      <c r="L63" s="42" t="n">
        <f aca="false">'Aturan &amp; Tarif'!$B$6</f>
        <v>350</v>
      </c>
      <c r="M63" s="35" t="n">
        <f aca="false">I63+J63+K63+L63</f>
        <v>20142.72</v>
      </c>
      <c r="N63" s="45" t="s">
        <v>512</v>
      </c>
    </row>
    <row r="64" customFormat="false" ht="14.25" hidden="false" customHeight="true" outlineLevel="0" collapsed="false">
      <c r="A64" s="39"/>
      <c r="B64" s="40" t="s">
        <v>546</v>
      </c>
      <c r="C64" s="41" t="s">
        <v>107</v>
      </c>
      <c r="D64" s="41" t="s">
        <v>108</v>
      </c>
      <c r="E64" s="42" t="n">
        <v>8190</v>
      </c>
      <c r="F64" s="42"/>
      <c r="G64" s="42"/>
      <c r="H64" s="43" t="n">
        <v>2</v>
      </c>
      <c r="I64" s="34" t="n">
        <f aca="false">E64*H64+N(F64)+N(G64)</f>
        <v>16380</v>
      </c>
      <c r="J64" s="42" t="n">
        <f aca="false">ROUND(IFERROR(ROUND(IF(OR(ISNUMBER(SEARCH("week",C64)),ISNUMBER(SEARCH("minggu",C64))),IFERROR(_xlfn.NUMBERVALUE(SUBSTITUTE(LEFT(TRIM(C64),FIND(" ",TRIM(C64)&amp;" ")-1),",","."),"."),LEFT(SUBSTITUTE(LEFT(TRIM(C64),FIND(" ",TRIM(C64)&amp;" ")-1),",","."),FIND("/",SUBSTITUTE(LEFT(TRIM(C64),FIND(" ",TRIM(C64)&amp;" ")-1),",","."))-1)/MID(SUBSTITUTE(LEFT(TRIM(C64),FIND(" ",TRIM(C64)&amp;" ")-1),",","."),FIND("/",SUBSTITUTE(LEFT(TRIM(C64),FIND(" ",TRIM(C64)&amp;" ")-1),",","."))+1,9))*12/52,IF(ISNUMBER(SEARCH("month",C64)),IFERROR(_xlfn.NUMBERVALUE(SUBSTITUTE(LEFT(TRIM(C64),FIND(" ",TRIM(C64)&amp;" ")-1),",","."),"."),LEFT(SUBSTITUTE(LEFT(TRIM(C64),FIND(" ",TRIM(C64)&amp;" ")-1),",","."),FIND("/",SUBSTITUTE(LEFT(TRIM(C64),FIND(" ",TRIM(C64)&amp;" ")-1),",","."))-1)/MID(SUBSTITUTE(LEFT(TRIM(C64),FIND(" ",TRIM(C64)&amp;" ")-1),",","."),FIND("/",SUBSTITUTE(LEFT(TRIM(C64),FIND(" ",TRIM(C64)&amp;" ")-1),",","."))+1,9)),IF(ISNUMBER(SEARCH("yea",C64)),IFERROR(_xlfn.NUMBERVALUE(SUBSTITUTE(LEFT(TRIM(C64),FIND(" ",TRIM(C64)&amp;" ")-1),",","."),"."),LEFT(SUBSTITUTE(LEFT(TRIM(C64),FIND(" ",TRIM(C64)&amp;" ")-1),",","."),FIND("/",SUBSTITUTE(LEFT(TRIM(C64),FIND(" ",TRIM(C64)&amp;" ")-1),",","."))-1)/MID(SUBSTITUTE(LEFT(TRIM(C64),FIND(" ",TRIM(C64)&amp;" ")-1),",","."),FIND("/",SUBSTITUTE(LEFT(TRIM(C64),FIND(" ",TRIM(C64)&amp;" ")-1),",","."))+1,9))*12,NA()))),0),24)*'Aturan &amp; Tarif'!$B$4,2)</f>
        <v>1362.72</v>
      </c>
      <c r="K64" s="42" t="n">
        <f aca="false">'Aturan &amp; Tarif'!$B$5</f>
        <v>2050</v>
      </c>
      <c r="L64" s="42" t="n">
        <f aca="false">'Aturan &amp; Tarif'!$B$6</f>
        <v>350</v>
      </c>
      <c r="M64" s="35" t="n">
        <f aca="false">I64+J64+K64+L64</f>
        <v>20142.72</v>
      </c>
      <c r="N64" s="45" t="s">
        <v>512</v>
      </c>
    </row>
    <row r="65" customFormat="false" ht="14.25" hidden="false" customHeight="true" outlineLevel="0" collapsed="false">
      <c r="A65" s="39"/>
      <c r="B65" s="40" t="s">
        <v>547</v>
      </c>
      <c r="C65" s="41" t="s">
        <v>107</v>
      </c>
      <c r="D65" s="41" t="s">
        <v>108</v>
      </c>
      <c r="E65" s="42" t="n">
        <v>8190</v>
      </c>
      <c r="F65" s="42"/>
      <c r="G65" s="42"/>
      <c r="H65" s="43" t="n">
        <v>2</v>
      </c>
      <c r="I65" s="34" t="n">
        <f aca="false">E65*H65+N(F65)+N(G65)</f>
        <v>16380</v>
      </c>
      <c r="J65" s="42" t="n">
        <f aca="false">ROUND(IFERROR(ROUND(IF(OR(ISNUMBER(SEARCH("week",C65)),ISNUMBER(SEARCH("minggu",C65))),IFERROR(_xlfn.NUMBERVALUE(SUBSTITUTE(LEFT(TRIM(C65),FIND(" ",TRIM(C65)&amp;" ")-1),",","."),"."),LEFT(SUBSTITUTE(LEFT(TRIM(C65),FIND(" ",TRIM(C65)&amp;" ")-1),",","."),FIND("/",SUBSTITUTE(LEFT(TRIM(C65),FIND(" ",TRIM(C65)&amp;" ")-1),",","."))-1)/MID(SUBSTITUTE(LEFT(TRIM(C65),FIND(" ",TRIM(C65)&amp;" ")-1),",","."),FIND("/",SUBSTITUTE(LEFT(TRIM(C65),FIND(" ",TRIM(C65)&amp;" ")-1),",","."))+1,9))*12/52,IF(ISNUMBER(SEARCH("month",C65)),IFERROR(_xlfn.NUMBERVALUE(SUBSTITUTE(LEFT(TRIM(C65),FIND(" ",TRIM(C65)&amp;" ")-1),",","."),"."),LEFT(SUBSTITUTE(LEFT(TRIM(C65),FIND(" ",TRIM(C65)&amp;" ")-1),",","."),FIND("/",SUBSTITUTE(LEFT(TRIM(C65),FIND(" ",TRIM(C65)&amp;" ")-1),",","."))-1)/MID(SUBSTITUTE(LEFT(TRIM(C65),FIND(" ",TRIM(C65)&amp;" ")-1),",","."),FIND("/",SUBSTITUTE(LEFT(TRIM(C65),FIND(" ",TRIM(C65)&amp;" ")-1),",","."))+1,9)),IF(ISNUMBER(SEARCH("yea",C65)),IFERROR(_xlfn.NUMBERVALUE(SUBSTITUTE(LEFT(TRIM(C65),FIND(" ",TRIM(C65)&amp;" ")-1),",","."),"."),LEFT(SUBSTITUTE(LEFT(TRIM(C65),FIND(" ",TRIM(C65)&amp;" ")-1),",","."),FIND("/",SUBSTITUTE(LEFT(TRIM(C65),FIND(" ",TRIM(C65)&amp;" ")-1),",","."))-1)/MID(SUBSTITUTE(LEFT(TRIM(C65),FIND(" ",TRIM(C65)&amp;" ")-1),",","."),FIND("/",SUBSTITUTE(LEFT(TRIM(C65),FIND(" ",TRIM(C65)&amp;" ")-1),",","."))+1,9))*12,NA()))),0),24)*'Aturan &amp; Tarif'!$B$4,2)</f>
        <v>1362.72</v>
      </c>
      <c r="K65" s="42" t="n">
        <f aca="false">'Aturan &amp; Tarif'!$B$5</f>
        <v>2050</v>
      </c>
      <c r="L65" s="42" t="n">
        <f aca="false">'Aturan &amp; Tarif'!$B$6</f>
        <v>350</v>
      </c>
      <c r="M65" s="35" t="n">
        <f aca="false">I65+J65+K65+L65</f>
        <v>20142.72</v>
      </c>
      <c r="N65" s="45" t="s">
        <v>512</v>
      </c>
    </row>
    <row r="66" customFormat="false" ht="14.25" hidden="false" customHeight="true" outlineLevel="0" collapsed="false">
      <c r="A66" s="39"/>
      <c r="B66" s="40" t="s">
        <v>548</v>
      </c>
      <c r="C66" s="41" t="s">
        <v>107</v>
      </c>
      <c r="D66" s="41" t="s">
        <v>108</v>
      </c>
      <c r="E66" s="42" t="n">
        <v>8190</v>
      </c>
      <c r="F66" s="42"/>
      <c r="G66" s="42"/>
      <c r="H66" s="43" t="n">
        <v>2</v>
      </c>
      <c r="I66" s="34" t="n">
        <f aca="false">E66*H66+N(F66)+N(G66)</f>
        <v>16380</v>
      </c>
      <c r="J66" s="42" t="n">
        <f aca="false">ROUND(IFERROR(ROUND(IF(OR(ISNUMBER(SEARCH("week",C66)),ISNUMBER(SEARCH("minggu",C66))),IFERROR(_xlfn.NUMBERVALUE(SUBSTITUTE(LEFT(TRIM(C66),FIND(" ",TRIM(C66)&amp;" ")-1),",","."),"."),LEFT(SUBSTITUTE(LEFT(TRIM(C66),FIND(" ",TRIM(C66)&amp;" ")-1),",","."),FIND("/",SUBSTITUTE(LEFT(TRIM(C66),FIND(" ",TRIM(C66)&amp;" ")-1),",","."))-1)/MID(SUBSTITUTE(LEFT(TRIM(C66),FIND(" ",TRIM(C66)&amp;" ")-1),",","."),FIND("/",SUBSTITUTE(LEFT(TRIM(C66),FIND(" ",TRIM(C66)&amp;" ")-1),",","."))+1,9))*12/52,IF(ISNUMBER(SEARCH("month",C66)),IFERROR(_xlfn.NUMBERVALUE(SUBSTITUTE(LEFT(TRIM(C66),FIND(" ",TRIM(C66)&amp;" ")-1),",","."),"."),LEFT(SUBSTITUTE(LEFT(TRIM(C66),FIND(" ",TRIM(C66)&amp;" ")-1),",","."),FIND("/",SUBSTITUTE(LEFT(TRIM(C66),FIND(" ",TRIM(C66)&amp;" ")-1),",","."))-1)/MID(SUBSTITUTE(LEFT(TRIM(C66),FIND(" ",TRIM(C66)&amp;" ")-1),",","."),FIND("/",SUBSTITUTE(LEFT(TRIM(C66),FIND(" ",TRIM(C66)&amp;" ")-1),",","."))+1,9)),IF(ISNUMBER(SEARCH("yea",C66)),IFERROR(_xlfn.NUMBERVALUE(SUBSTITUTE(LEFT(TRIM(C66),FIND(" ",TRIM(C66)&amp;" ")-1),",","."),"."),LEFT(SUBSTITUTE(LEFT(TRIM(C66),FIND(" ",TRIM(C66)&amp;" ")-1),",","."),FIND("/",SUBSTITUTE(LEFT(TRIM(C66),FIND(" ",TRIM(C66)&amp;" ")-1),",","."))-1)/MID(SUBSTITUTE(LEFT(TRIM(C66),FIND(" ",TRIM(C66)&amp;" ")-1),",","."),FIND("/",SUBSTITUTE(LEFT(TRIM(C66),FIND(" ",TRIM(C66)&amp;" ")-1),",","."))+1,9))*12,NA()))),0),24)*'Aturan &amp; Tarif'!$B$4,2)</f>
        <v>1362.72</v>
      </c>
      <c r="K66" s="42" t="n">
        <f aca="false">'Aturan &amp; Tarif'!$B$5</f>
        <v>2050</v>
      </c>
      <c r="L66" s="42" t="n">
        <f aca="false">'Aturan &amp; Tarif'!$B$6</f>
        <v>350</v>
      </c>
      <c r="M66" s="35" t="n">
        <f aca="false">I66+J66+K66+L66</f>
        <v>20142.72</v>
      </c>
      <c r="N66" s="45" t="s">
        <v>512</v>
      </c>
    </row>
    <row r="67" customFormat="false" ht="14.25" hidden="false" customHeight="true" outlineLevel="0" collapsed="false">
      <c r="A67" s="39"/>
      <c r="B67" s="40" t="s">
        <v>549</v>
      </c>
      <c r="C67" s="41" t="s">
        <v>130</v>
      </c>
      <c r="D67" s="41" t="s">
        <v>108</v>
      </c>
      <c r="E67" s="42" t="n">
        <v>9848</v>
      </c>
      <c r="F67" s="42"/>
      <c r="G67" s="42"/>
      <c r="H67" s="43" t="n">
        <v>2</v>
      </c>
      <c r="I67" s="34" t="n">
        <f aca="false">E67*H67+N(F67)+N(G67)</f>
        <v>19696</v>
      </c>
      <c r="J67" s="42" t="n">
        <f aca="false">ROUND(IFERROR(ROUND(IF(OR(ISNUMBER(SEARCH("week",C67)),ISNUMBER(SEARCH("minggu",C67))),IFERROR(_xlfn.NUMBERVALUE(SUBSTITUTE(LEFT(TRIM(C67),FIND(" ",TRIM(C67)&amp;" ")-1),",","."),"."),LEFT(SUBSTITUTE(LEFT(TRIM(C67),FIND(" ",TRIM(C67)&amp;" ")-1),",","."),FIND("/",SUBSTITUTE(LEFT(TRIM(C67),FIND(" ",TRIM(C67)&amp;" ")-1),",","."))-1)/MID(SUBSTITUTE(LEFT(TRIM(C67),FIND(" ",TRIM(C67)&amp;" ")-1),",","."),FIND("/",SUBSTITUTE(LEFT(TRIM(C67),FIND(" ",TRIM(C67)&amp;" ")-1),",","."))+1,9))*12/52,IF(ISNUMBER(SEARCH("month",C67)),IFERROR(_xlfn.NUMBERVALUE(SUBSTITUTE(LEFT(TRIM(C67),FIND(" ",TRIM(C67)&amp;" ")-1),",","."),"."),LEFT(SUBSTITUTE(LEFT(TRIM(C67),FIND(" ",TRIM(C67)&amp;" ")-1),",","."),FIND("/",SUBSTITUTE(LEFT(TRIM(C67),FIND(" ",TRIM(C67)&amp;" ")-1),",","."))-1)/MID(SUBSTITUTE(LEFT(TRIM(C67),FIND(" ",TRIM(C67)&amp;" ")-1),",","."),FIND("/",SUBSTITUTE(LEFT(TRIM(C67),FIND(" ",TRIM(C67)&amp;" ")-1),",","."))+1,9)),IF(ISNUMBER(SEARCH("yea",C67)),IFERROR(_xlfn.NUMBERVALUE(SUBSTITUTE(LEFT(TRIM(C67),FIND(" ",TRIM(C67)&amp;" ")-1),",","."),"."),LEFT(SUBSTITUTE(LEFT(TRIM(C67),FIND(" ",TRIM(C67)&amp;" ")-1),",","."),FIND("/",SUBSTITUTE(LEFT(TRIM(C67),FIND(" ",TRIM(C67)&amp;" ")-1),",","."))-1)/MID(SUBSTITUTE(LEFT(TRIM(C67),FIND(" ",TRIM(C67)&amp;" ")-1),",","."),FIND("/",SUBSTITUTE(LEFT(TRIM(C67),FIND(" ",TRIM(C67)&amp;" ")-1),",","."))+1,9))*12,NA()))),0),12)*'Aturan &amp; Tarif'!$B$4,2)</f>
        <v>681.36</v>
      </c>
      <c r="K67" s="42" t="n">
        <f aca="false">'Aturan &amp; Tarif'!$B$5</f>
        <v>2050</v>
      </c>
      <c r="L67" s="42" t="n">
        <f aca="false">'Aturan &amp; Tarif'!$B$6</f>
        <v>350</v>
      </c>
      <c r="M67" s="35" t="n">
        <f aca="false">I67+J67+K67+L67</f>
        <v>22777.36</v>
      </c>
      <c r="N67" s="45" t="s">
        <v>512</v>
      </c>
    </row>
    <row r="68" customFormat="false" ht="14.25" hidden="false" customHeight="true" outlineLevel="0" collapsed="false">
      <c r="A68" s="39"/>
      <c r="B68" s="40" t="s">
        <v>550</v>
      </c>
      <c r="C68" s="41" t="s">
        <v>191</v>
      </c>
      <c r="D68" s="41" t="s">
        <v>108</v>
      </c>
      <c r="E68" s="42" t="n">
        <v>9848</v>
      </c>
      <c r="F68" s="42"/>
      <c r="G68" s="42"/>
      <c r="H68" s="43" t="n">
        <v>2</v>
      </c>
      <c r="I68" s="34" t="n">
        <f aca="false">E68*H68+N(F68)+N(G68)</f>
        <v>19696</v>
      </c>
      <c r="J68" s="42" t="n">
        <f aca="false">ROUND(IFERROR(ROUND(IF(OR(ISNUMBER(SEARCH("week",C68)),ISNUMBER(SEARCH("minggu",C68))),IFERROR(_xlfn.NUMBERVALUE(SUBSTITUTE(LEFT(TRIM(C68),FIND(" ",TRIM(C68)&amp;" ")-1),",","."),"."),LEFT(SUBSTITUTE(LEFT(TRIM(C68),FIND(" ",TRIM(C68)&amp;" ")-1),",","."),FIND("/",SUBSTITUTE(LEFT(TRIM(C68),FIND(" ",TRIM(C68)&amp;" ")-1),",","."))-1)/MID(SUBSTITUTE(LEFT(TRIM(C68),FIND(" ",TRIM(C68)&amp;" ")-1),",","."),FIND("/",SUBSTITUTE(LEFT(TRIM(C68),FIND(" ",TRIM(C68)&amp;" ")-1),",","."))+1,9))*12/52,IF(ISNUMBER(SEARCH("month",C68)),IFERROR(_xlfn.NUMBERVALUE(SUBSTITUTE(LEFT(TRIM(C68),FIND(" ",TRIM(C68)&amp;" ")-1),",","."),"."),LEFT(SUBSTITUTE(LEFT(TRIM(C68),FIND(" ",TRIM(C68)&amp;" ")-1),",","."),FIND("/",SUBSTITUTE(LEFT(TRIM(C68),FIND(" ",TRIM(C68)&amp;" ")-1),",","."))-1)/MID(SUBSTITUTE(LEFT(TRIM(C68),FIND(" ",TRIM(C68)&amp;" ")-1),",","."),FIND("/",SUBSTITUTE(LEFT(TRIM(C68),FIND(" ",TRIM(C68)&amp;" ")-1),",","."))+1,9)),IF(ISNUMBER(SEARCH("yea",C68)),IFERROR(_xlfn.NUMBERVALUE(SUBSTITUTE(LEFT(TRIM(C68),FIND(" ",TRIM(C68)&amp;" ")-1),",","."),"."),LEFT(SUBSTITUTE(LEFT(TRIM(C68),FIND(" ",TRIM(C68)&amp;" ")-1),",","."),FIND("/",SUBSTITUTE(LEFT(TRIM(C68),FIND(" ",TRIM(C68)&amp;" ")-1),",","."))-1)/MID(SUBSTITUTE(LEFT(TRIM(C68),FIND(" ",TRIM(C68)&amp;" ")-1),",","."),FIND("/",SUBSTITUTE(LEFT(TRIM(C68),FIND(" ",TRIM(C68)&amp;" ")-1),",","."))+1,9))*12,NA()))),0),48)*'Aturan &amp; Tarif'!$B$4,2)</f>
        <v>2725.44</v>
      </c>
      <c r="K68" s="42" t="n">
        <f aca="false">'Aturan &amp; Tarif'!$B$5</f>
        <v>2050</v>
      </c>
      <c r="L68" s="42" t="n">
        <f aca="false">'Aturan &amp; Tarif'!$B$6</f>
        <v>350</v>
      </c>
      <c r="M68" s="35" t="n">
        <f aca="false">I68+J68+K68+L68</f>
        <v>24821.44</v>
      </c>
      <c r="N68" s="45" t="s">
        <v>512</v>
      </c>
    </row>
    <row r="69" customFormat="false" ht="14.25" hidden="false" customHeight="true" outlineLevel="0" collapsed="false">
      <c r="A69" s="39"/>
      <c r="B69" s="40" t="s">
        <v>551</v>
      </c>
      <c r="C69" s="41" t="s">
        <v>127</v>
      </c>
      <c r="D69" s="41" t="s">
        <v>108</v>
      </c>
      <c r="E69" s="42" t="n">
        <v>9848</v>
      </c>
      <c r="F69" s="42"/>
      <c r="G69" s="42"/>
      <c r="H69" s="43" t="n">
        <v>2</v>
      </c>
      <c r="I69" s="34" t="n">
        <f aca="false">E69*H69+N(F69)+N(G69)</f>
        <v>19696</v>
      </c>
      <c r="J69" s="42" t="n">
        <f aca="false">ROUND(IFERROR(ROUND(IF(OR(ISNUMBER(SEARCH("week",C69)),ISNUMBER(SEARCH("minggu",C69))),IFERROR(_xlfn.NUMBERVALUE(SUBSTITUTE(LEFT(TRIM(C69),FIND(" ",TRIM(C69)&amp;" ")-1),",","."),"."),LEFT(SUBSTITUTE(LEFT(TRIM(C69),FIND(" ",TRIM(C69)&amp;" ")-1),",","."),FIND("/",SUBSTITUTE(LEFT(TRIM(C69),FIND(" ",TRIM(C69)&amp;" ")-1),",","."))-1)/MID(SUBSTITUTE(LEFT(TRIM(C69),FIND(" ",TRIM(C69)&amp;" ")-1),",","."),FIND("/",SUBSTITUTE(LEFT(TRIM(C69),FIND(" ",TRIM(C69)&amp;" ")-1),",","."))+1,9))*12/52,IF(ISNUMBER(SEARCH("month",C69)),IFERROR(_xlfn.NUMBERVALUE(SUBSTITUTE(LEFT(TRIM(C69),FIND(" ",TRIM(C69)&amp;" ")-1),",","."),"."),LEFT(SUBSTITUTE(LEFT(TRIM(C69),FIND(" ",TRIM(C69)&amp;" ")-1),",","."),FIND("/",SUBSTITUTE(LEFT(TRIM(C69),FIND(" ",TRIM(C69)&amp;" ")-1),",","."))-1)/MID(SUBSTITUTE(LEFT(TRIM(C69),FIND(" ",TRIM(C69)&amp;" ")-1),",","."),FIND("/",SUBSTITUTE(LEFT(TRIM(C69),FIND(" ",TRIM(C69)&amp;" ")-1),",","."))+1,9)),IF(ISNUMBER(SEARCH("yea",C69)),IFERROR(_xlfn.NUMBERVALUE(SUBSTITUTE(LEFT(TRIM(C69),FIND(" ",TRIM(C69)&amp;" ")-1),",","."),"."),LEFT(SUBSTITUTE(LEFT(TRIM(C69),FIND(" ",TRIM(C69)&amp;" ")-1),",","."),FIND("/",SUBSTITUTE(LEFT(TRIM(C69),FIND(" ",TRIM(C69)&amp;" ")-1),",","."))-1)/MID(SUBSTITUTE(LEFT(TRIM(C69),FIND(" ",TRIM(C69)&amp;" ")-1),",","."),FIND("/",SUBSTITUTE(LEFT(TRIM(C69),FIND(" ",TRIM(C69)&amp;" ")-1),",","."))+1,9))*12,NA()))),0),36)*'Aturan &amp; Tarif'!$B$4,2)</f>
        <v>2044.08</v>
      </c>
      <c r="K69" s="42" t="n">
        <f aca="false">'Aturan &amp; Tarif'!$B$5</f>
        <v>2050</v>
      </c>
      <c r="L69" s="42" t="n">
        <f aca="false">'Aturan &amp; Tarif'!$B$6</f>
        <v>350</v>
      </c>
      <c r="M69" s="35" t="n">
        <f aca="false">I69+J69+K69+L69</f>
        <v>24140.08</v>
      </c>
      <c r="N69" s="45" t="s">
        <v>512</v>
      </c>
    </row>
    <row r="70" customFormat="false" ht="25.5" hidden="false" customHeight="true" outlineLevel="0" collapsed="false">
      <c r="A70" s="39"/>
      <c r="B70" s="40" t="s">
        <v>552</v>
      </c>
      <c r="C70" s="41" t="s">
        <v>191</v>
      </c>
      <c r="D70" s="41" t="s">
        <v>108</v>
      </c>
      <c r="E70" s="42" t="n">
        <v>10202</v>
      </c>
      <c r="F70" s="42"/>
      <c r="G70" s="42"/>
      <c r="H70" s="43" t="n">
        <v>2</v>
      </c>
      <c r="I70" s="34" t="n">
        <f aca="false">E70*H70+N(F70)+N(G70)</f>
        <v>20404</v>
      </c>
      <c r="J70" s="42" t="n">
        <f aca="false">ROUND(IFERROR(ROUND(IF(OR(ISNUMBER(SEARCH("week",C70)),ISNUMBER(SEARCH("minggu",C70))),IFERROR(_xlfn.NUMBERVALUE(SUBSTITUTE(LEFT(TRIM(C70),FIND(" ",TRIM(C70)&amp;" ")-1),",","."),"."),LEFT(SUBSTITUTE(LEFT(TRIM(C70),FIND(" ",TRIM(C70)&amp;" ")-1),",","."),FIND("/",SUBSTITUTE(LEFT(TRIM(C70),FIND(" ",TRIM(C70)&amp;" ")-1),",","."))-1)/MID(SUBSTITUTE(LEFT(TRIM(C70),FIND(" ",TRIM(C70)&amp;" ")-1),",","."),FIND("/",SUBSTITUTE(LEFT(TRIM(C70),FIND(" ",TRIM(C70)&amp;" ")-1),",","."))+1,9))*12/52,IF(ISNUMBER(SEARCH("month",C70)),IFERROR(_xlfn.NUMBERVALUE(SUBSTITUTE(LEFT(TRIM(C70),FIND(" ",TRIM(C70)&amp;" ")-1),",","."),"."),LEFT(SUBSTITUTE(LEFT(TRIM(C70),FIND(" ",TRIM(C70)&amp;" ")-1),",","."),FIND("/",SUBSTITUTE(LEFT(TRIM(C70),FIND(" ",TRIM(C70)&amp;" ")-1),",","."))-1)/MID(SUBSTITUTE(LEFT(TRIM(C70),FIND(" ",TRIM(C70)&amp;" ")-1),",","."),FIND("/",SUBSTITUTE(LEFT(TRIM(C70),FIND(" ",TRIM(C70)&amp;" ")-1),",","."))+1,9)),IF(ISNUMBER(SEARCH("yea",C70)),IFERROR(_xlfn.NUMBERVALUE(SUBSTITUTE(LEFT(TRIM(C70),FIND(" ",TRIM(C70)&amp;" ")-1),",","."),"."),LEFT(SUBSTITUTE(LEFT(TRIM(C70),FIND(" ",TRIM(C70)&amp;" ")-1),",","."),FIND("/",SUBSTITUTE(LEFT(TRIM(C70),FIND(" ",TRIM(C70)&amp;" ")-1),",","."))-1)/MID(SUBSTITUTE(LEFT(TRIM(C70),FIND(" ",TRIM(C70)&amp;" ")-1),",","."),FIND("/",SUBSTITUTE(LEFT(TRIM(C70),FIND(" ",TRIM(C70)&amp;" ")-1),",","."))+1,9))*12,NA()))),0),48)*'Aturan &amp; Tarif'!$B$4,2)</f>
        <v>2725.44</v>
      </c>
      <c r="K70" s="42" t="n">
        <f aca="false">'Aturan &amp; Tarif'!$B$5</f>
        <v>2050</v>
      </c>
      <c r="L70" s="42" t="n">
        <f aca="false">'Aturan &amp; Tarif'!$B$6</f>
        <v>350</v>
      </c>
      <c r="M70" s="35" t="n">
        <f aca="false">I70+J70+K70+L70</f>
        <v>25529.44</v>
      </c>
      <c r="N70" s="45" t="s">
        <v>512</v>
      </c>
    </row>
    <row r="71" customFormat="false" ht="14.25" hidden="false" customHeight="true" outlineLevel="0" collapsed="false">
      <c r="A71" s="39"/>
      <c r="B71" s="40" t="s">
        <v>553</v>
      </c>
      <c r="C71" s="41" t="s">
        <v>107</v>
      </c>
      <c r="D71" s="41" t="s">
        <v>108</v>
      </c>
      <c r="E71" s="42" t="n">
        <v>9848</v>
      </c>
      <c r="F71" s="42"/>
      <c r="G71" s="42"/>
      <c r="H71" s="43" t="n">
        <v>2</v>
      </c>
      <c r="I71" s="34" t="n">
        <f aca="false">E71*H71+N(F71)+N(G71)</f>
        <v>19696</v>
      </c>
      <c r="J71" s="42" t="n">
        <f aca="false">ROUND(IFERROR(ROUND(IF(OR(ISNUMBER(SEARCH("week",C71)),ISNUMBER(SEARCH("minggu",C71))),IFERROR(_xlfn.NUMBERVALUE(SUBSTITUTE(LEFT(TRIM(C71),FIND(" ",TRIM(C71)&amp;" ")-1),",","."),"."),LEFT(SUBSTITUTE(LEFT(TRIM(C71),FIND(" ",TRIM(C71)&amp;" ")-1),",","."),FIND("/",SUBSTITUTE(LEFT(TRIM(C71),FIND(" ",TRIM(C71)&amp;" ")-1),",","."))-1)/MID(SUBSTITUTE(LEFT(TRIM(C71),FIND(" ",TRIM(C71)&amp;" ")-1),",","."),FIND("/",SUBSTITUTE(LEFT(TRIM(C71),FIND(" ",TRIM(C71)&amp;" ")-1),",","."))+1,9))*12/52,IF(ISNUMBER(SEARCH("month",C71)),IFERROR(_xlfn.NUMBERVALUE(SUBSTITUTE(LEFT(TRIM(C71),FIND(" ",TRIM(C71)&amp;" ")-1),",","."),"."),LEFT(SUBSTITUTE(LEFT(TRIM(C71),FIND(" ",TRIM(C71)&amp;" ")-1),",","."),FIND("/",SUBSTITUTE(LEFT(TRIM(C71),FIND(" ",TRIM(C71)&amp;" ")-1),",","."))-1)/MID(SUBSTITUTE(LEFT(TRIM(C71),FIND(" ",TRIM(C71)&amp;" ")-1),",","."),FIND("/",SUBSTITUTE(LEFT(TRIM(C71),FIND(" ",TRIM(C71)&amp;" ")-1),",","."))+1,9)),IF(ISNUMBER(SEARCH("yea",C71)),IFERROR(_xlfn.NUMBERVALUE(SUBSTITUTE(LEFT(TRIM(C71),FIND(" ",TRIM(C71)&amp;" ")-1),",","."),"."),LEFT(SUBSTITUTE(LEFT(TRIM(C71),FIND(" ",TRIM(C71)&amp;" ")-1),",","."),FIND("/",SUBSTITUTE(LEFT(TRIM(C71),FIND(" ",TRIM(C71)&amp;" ")-1),",","."))-1)/MID(SUBSTITUTE(LEFT(TRIM(C71),FIND(" ",TRIM(C71)&amp;" ")-1),",","."),FIND("/",SUBSTITUTE(LEFT(TRIM(C71),FIND(" ",TRIM(C71)&amp;" ")-1),",","."))+1,9))*12,NA()))),0),24)*'Aturan &amp; Tarif'!$B$4,2)</f>
        <v>1362.72</v>
      </c>
      <c r="K71" s="42" t="n">
        <f aca="false">'Aturan &amp; Tarif'!$B$5</f>
        <v>2050</v>
      </c>
      <c r="L71" s="42" t="n">
        <f aca="false">'Aturan &amp; Tarif'!$B$6</f>
        <v>350</v>
      </c>
      <c r="M71" s="35" t="n">
        <f aca="false">I71+J71+K71+L71</f>
        <v>23458.72</v>
      </c>
      <c r="N71" s="45" t="s">
        <v>512</v>
      </c>
    </row>
    <row r="72" customFormat="false" ht="14.25" hidden="false" customHeight="true" outlineLevel="0" collapsed="false">
      <c r="A72" s="39"/>
      <c r="B72" s="40" t="s">
        <v>554</v>
      </c>
      <c r="C72" s="41" t="s">
        <v>107</v>
      </c>
      <c r="D72" s="41" t="s">
        <v>108</v>
      </c>
      <c r="E72" s="42" t="n">
        <v>8714</v>
      </c>
      <c r="F72" s="42"/>
      <c r="G72" s="42"/>
      <c r="H72" s="43" t="n">
        <v>2</v>
      </c>
      <c r="I72" s="34" t="n">
        <f aca="false">E72*H72+N(F72)+N(G72)</f>
        <v>17428</v>
      </c>
      <c r="J72" s="42" t="n">
        <f aca="false">ROUND(IFERROR(ROUND(IF(OR(ISNUMBER(SEARCH("week",C72)),ISNUMBER(SEARCH("minggu",C72))),IFERROR(_xlfn.NUMBERVALUE(SUBSTITUTE(LEFT(TRIM(C72),FIND(" ",TRIM(C72)&amp;" ")-1),",","."),"."),LEFT(SUBSTITUTE(LEFT(TRIM(C72),FIND(" ",TRIM(C72)&amp;" ")-1),",","."),FIND("/",SUBSTITUTE(LEFT(TRIM(C72),FIND(" ",TRIM(C72)&amp;" ")-1),",","."))-1)/MID(SUBSTITUTE(LEFT(TRIM(C72),FIND(" ",TRIM(C72)&amp;" ")-1),",","."),FIND("/",SUBSTITUTE(LEFT(TRIM(C72),FIND(" ",TRIM(C72)&amp;" ")-1),",","."))+1,9))*12/52,IF(ISNUMBER(SEARCH("month",C72)),IFERROR(_xlfn.NUMBERVALUE(SUBSTITUTE(LEFT(TRIM(C72),FIND(" ",TRIM(C72)&amp;" ")-1),",","."),"."),LEFT(SUBSTITUTE(LEFT(TRIM(C72),FIND(" ",TRIM(C72)&amp;" ")-1),",","."),FIND("/",SUBSTITUTE(LEFT(TRIM(C72),FIND(" ",TRIM(C72)&amp;" ")-1),",","."))-1)/MID(SUBSTITUTE(LEFT(TRIM(C72),FIND(" ",TRIM(C72)&amp;" ")-1),",","."),FIND("/",SUBSTITUTE(LEFT(TRIM(C72),FIND(" ",TRIM(C72)&amp;" ")-1),",","."))+1,9)),IF(ISNUMBER(SEARCH("yea",C72)),IFERROR(_xlfn.NUMBERVALUE(SUBSTITUTE(LEFT(TRIM(C72),FIND(" ",TRIM(C72)&amp;" ")-1),",","."),"."),LEFT(SUBSTITUTE(LEFT(TRIM(C72),FIND(" ",TRIM(C72)&amp;" ")-1),",","."),FIND("/",SUBSTITUTE(LEFT(TRIM(C72),FIND(" ",TRIM(C72)&amp;" ")-1),",","."))-1)/MID(SUBSTITUTE(LEFT(TRIM(C72),FIND(" ",TRIM(C72)&amp;" ")-1),",","."),FIND("/",SUBSTITUTE(LEFT(TRIM(C72),FIND(" ",TRIM(C72)&amp;" ")-1),",","."))+1,9))*12,NA()))),0),24)*'Aturan &amp; Tarif'!$B$4,2)</f>
        <v>1362.72</v>
      </c>
      <c r="K72" s="42" t="n">
        <f aca="false">'Aturan &amp; Tarif'!$B$5</f>
        <v>2050</v>
      </c>
      <c r="L72" s="42" t="n">
        <f aca="false">'Aturan &amp; Tarif'!$B$6</f>
        <v>350</v>
      </c>
      <c r="M72" s="35" t="n">
        <f aca="false">I72+J72+K72+L72</f>
        <v>21190.72</v>
      </c>
      <c r="N72" s="45" t="s">
        <v>512</v>
      </c>
    </row>
    <row r="73" customFormat="false" ht="14.25" hidden="false" customHeight="true" outlineLevel="0" collapsed="false">
      <c r="A73" s="39"/>
      <c r="B73" s="40" t="s">
        <v>555</v>
      </c>
      <c r="C73" s="41" t="s">
        <v>107</v>
      </c>
      <c r="D73" s="41" t="s">
        <v>108</v>
      </c>
      <c r="E73" s="42" t="n">
        <v>10388</v>
      </c>
      <c r="F73" s="42"/>
      <c r="G73" s="42"/>
      <c r="H73" s="43" t="n">
        <v>2</v>
      </c>
      <c r="I73" s="34" t="n">
        <f aca="false">E73*H73+N(F73)+N(G73)</f>
        <v>20776</v>
      </c>
      <c r="J73" s="42" t="n">
        <f aca="false">ROUND(IFERROR(ROUND(IF(OR(ISNUMBER(SEARCH("week",C73)),ISNUMBER(SEARCH("minggu",C73))),IFERROR(_xlfn.NUMBERVALUE(SUBSTITUTE(LEFT(TRIM(C73),FIND(" ",TRIM(C73)&amp;" ")-1),",","."),"."),LEFT(SUBSTITUTE(LEFT(TRIM(C73),FIND(" ",TRIM(C73)&amp;" ")-1),",","."),FIND("/",SUBSTITUTE(LEFT(TRIM(C73),FIND(" ",TRIM(C73)&amp;" ")-1),",","."))-1)/MID(SUBSTITUTE(LEFT(TRIM(C73),FIND(" ",TRIM(C73)&amp;" ")-1),",","."),FIND("/",SUBSTITUTE(LEFT(TRIM(C73),FIND(" ",TRIM(C73)&amp;" ")-1),",","."))+1,9))*12/52,IF(ISNUMBER(SEARCH("month",C73)),IFERROR(_xlfn.NUMBERVALUE(SUBSTITUTE(LEFT(TRIM(C73),FIND(" ",TRIM(C73)&amp;" ")-1),",","."),"."),LEFT(SUBSTITUTE(LEFT(TRIM(C73),FIND(" ",TRIM(C73)&amp;" ")-1),",","."),FIND("/",SUBSTITUTE(LEFT(TRIM(C73),FIND(" ",TRIM(C73)&amp;" ")-1),",","."))-1)/MID(SUBSTITUTE(LEFT(TRIM(C73),FIND(" ",TRIM(C73)&amp;" ")-1),",","."),FIND("/",SUBSTITUTE(LEFT(TRIM(C73),FIND(" ",TRIM(C73)&amp;" ")-1),",","."))+1,9)),IF(ISNUMBER(SEARCH("yea",C73)),IFERROR(_xlfn.NUMBERVALUE(SUBSTITUTE(LEFT(TRIM(C73),FIND(" ",TRIM(C73)&amp;" ")-1),",","."),"."),LEFT(SUBSTITUTE(LEFT(TRIM(C73),FIND(" ",TRIM(C73)&amp;" ")-1),",","."),FIND("/",SUBSTITUTE(LEFT(TRIM(C73),FIND(" ",TRIM(C73)&amp;" ")-1),",","."))-1)/MID(SUBSTITUTE(LEFT(TRIM(C73),FIND(" ",TRIM(C73)&amp;" ")-1),",","."),FIND("/",SUBSTITUTE(LEFT(TRIM(C73),FIND(" ",TRIM(C73)&amp;" ")-1),",","."))+1,9))*12,NA()))),0),24)*'Aturan &amp; Tarif'!$B$4,2)</f>
        <v>1362.72</v>
      </c>
      <c r="K73" s="42" t="n">
        <f aca="false">'Aturan &amp; Tarif'!$B$5</f>
        <v>2050</v>
      </c>
      <c r="L73" s="42" t="n">
        <f aca="false">'Aturan &amp; Tarif'!$B$6</f>
        <v>350</v>
      </c>
      <c r="M73" s="35" t="n">
        <f aca="false">I73+J73+K73+L73</f>
        <v>24538.72</v>
      </c>
      <c r="N73" s="45" t="s">
        <v>512</v>
      </c>
    </row>
    <row r="74" customFormat="false" ht="14.25" hidden="false" customHeight="true" outlineLevel="0" collapsed="false">
      <c r="A74" s="39"/>
      <c r="B74" s="40" t="s">
        <v>556</v>
      </c>
      <c r="C74" s="41" t="s">
        <v>107</v>
      </c>
      <c r="D74" s="41" t="s">
        <v>108</v>
      </c>
      <c r="E74" s="42" t="n">
        <v>10202</v>
      </c>
      <c r="F74" s="42"/>
      <c r="G74" s="42"/>
      <c r="H74" s="43" t="n">
        <v>2</v>
      </c>
      <c r="I74" s="34" t="n">
        <f aca="false">E74*H74+N(F74)+N(G74)</f>
        <v>20404</v>
      </c>
      <c r="J74" s="42" t="n">
        <f aca="false">ROUND(IFERROR(ROUND(IF(OR(ISNUMBER(SEARCH("week",C74)),ISNUMBER(SEARCH("minggu",C74))),IFERROR(_xlfn.NUMBERVALUE(SUBSTITUTE(LEFT(TRIM(C74),FIND(" ",TRIM(C74)&amp;" ")-1),",","."),"."),LEFT(SUBSTITUTE(LEFT(TRIM(C74),FIND(" ",TRIM(C74)&amp;" ")-1),",","."),FIND("/",SUBSTITUTE(LEFT(TRIM(C74),FIND(" ",TRIM(C74)&amp;" ")-1),",","."))-1)/MID(SUBSTITUTE(LEFT(TRIM(C74),FIND(" ",TRIM(C74)&amp;" ")-1),",","."),FIND("/",SUBSTITUTE(LEFT(TRIM(C74),FIND(" ",TRIM(C74)&amp;" ")-1),",","."))+1,9))*12/52,IF(ISNUMBER(SEARCH("month",C74)),IFERROR(_xlfn.NUMBERVALUE(SUBSTITUTE(LEFT(TRIM(C74),FIND(" ",TRIM(C74)&amp;" ")-1),",","."),"."),LEFT(SUBSTITUTE(LEFT(TRIM(C74),FIND(" ",TRIM(C74)&amp;" ")-1),",","."),FIND("/",SUBSTITUTE(LEFT(TRIM(C74),FIND(" ",TRIM(C74)&amp;" ")-1),",","."))-1)/MID(SUBSTITUTE(LEFT(TRIM(C74),FIND(" ",TRIM(C74)&amp;" ")-1),",","."),FIND("/",SUBSTITUTE(LEFT(TRIM(C74),FIND(" ",TRIM(C74)&amp;" ")-1),",","."))+1,9)),IF(ISNUMBER(SEARCH("yea",C74)),IFERROR(_xlfn.NUMBERVALUE(SUBSTITUTE(LEFT(TRIM(C74),FIND(" ",TRIM(C74)&amp;" ")-1),",","."),"."),LEFT(SUBSTITUTE(LEFT(TRIM(C74),FIND(" ",TRIM(C74)&amp;" ")-1),",","."),FIND("/",SUBSTITUTE(LEFT(TRIM(C74),FIND(" ",TRIM(C74)&amp;" ")-1),",","."))-1)/MID(SUBSTITUTE(LEFT(TRIM(C74),FIND(" ",TRIM(C74)&amp;" ")-1),",","."),FIND("/",SUBSTITUTE(LEFT(TRIM(C74),FIND(" ",TRIM(C74)&amp;" ")-1),",","."))+1,9))*12,NA()))),0),24)*'Aturan &amp; Tarif'!$B$4,2)</f>
        <v>1362.72</v>
      </c>
      <c r="K74" s="42" t="n">
        <f aca="false">'Aturan &amp; Tarif'!$B$5</f>
        <v>2050</v>
      </c>
      <c r="L74" s="42" t="n">
        <f aca="false">'Aturan &amp; Tarif'!$B$6</f>
        <v>350</v>
      </c>
      <c r="M74" s="35" t="n">
        <f aca="false">I74+J74+K74+L74</f>
        <v>24166.72</v>
      </c>
      <c r="N74" s="45" t="s">
        <v>512</v>
      </c>
    </row>
    <row r="75" customFormat="false" ht="14.25" hidden="false" customHeight="true" outlineLevel="0" collapsed="false">
      <c r="A75" s="39"/>
      <c r="B75" s="40" t="s">
        <v>557</v>
      </c>
      <c r="C75" s="41" t="s">
        <v>130</v>
      </c>
      <c r="D75" s="41" t="s">
        <v>108</v>
      </c>
      <c r="E75" s="42" t="n">
        <v>9120</v>
      </c>
      <c r="F75" s="42"/>
      <c r="G75" s="42"/>
      <c r="H75" s="43" t="n">
        <v>2</v>
      </c>
      <c r="I75" s="34" t="n">
        <f aca="false">E75*H75+N(F75)+N(G75)</f>
        <v>18240</v>
      </c>
      <c r="J75" s="42" t="n">
        <f aca="false">ROUND(IFERROR(ROUND(IF(OR(ISNUMBER(SEARCH("week",C75)),ISNUMBER(SEARCH("minggu",C75))),IFERROR(_xlfn.NUMBERVALUE(SUBSTITUTE(LEFT(TRIM(C75),FIND(" ",TRIM(C75)&amp;" ")-1),",","."),"."),LEFT(SUBSTITUTE(LEFT(TRIM(C75),FIND(" ",TRIM(C75)&amp;" ")-1),",","."),FIND("/",SUBSTITUTE(LEFT(TRIM(C75),FIND(" ",TRIM(C75)&amp;" ")-1),",","."))-1)/MID(SUBSTITUTE(LEFT(TRIM(C75),FIND(" ",TRIM(C75)&amp;" ")-1),",","."),FIND("/",SUBSTITUTE(LEFT(TRIM(C75),FIND(" ",TRIM(C75)&amp;" ")-1),",","."))+1,9))*12/52,IF(ISNUMBER(SEARCH("month",C75)),IFERROR(_xlfn.NUMBERVALUE(SUBSTITUTE(LEFT(TRIM(C75),FIND(" ",TRIM(C75)&amp;" ")-1),",","."),"."),LEFT(SUBSTITUTE(LEFT(TRIM(C75),FIND(" ",TRIM(C75)&amp;" ")-1),",","."),FIND("/",SUBSTITUTE(LEFT(TRIM(C75),FIND(" ",TRIM(C75)&amp;" ")-1),",","."))-1)/MID(SUBSTITUTE(LEFT(TRIM(C75),FIND(" ",TRIM(C75)&amp;" ")-1),",","."),FIND("/",SUBSTITUTE(LEFT(TRIM(C75),FIND(" ",TRIM(C75)&amp;" ")-1),",","."))+1,9)),IF(ISNUMBER(SEARCH("yea",C75)),IFERROR(_xlfn.NUMBERVALUE(SUBSTITUTE(LEFT(TRIM(C75),FIND(" ",TRIM(C75)&amp;" ")-1),",","."),"."),LEFT(SUBSTITUTE(LEFT(TRIM(C75),FIND(" ",TRIM(C75)&amp;" ")-1),",","."),FIND("/",SUBSTITUTE(LEFT(TRIM(C75),FIND(" ",TRIM(C75)&amp;" ")-1),",","."))-1)/MID(SUBSTITUTE(LEFT(TRIM(C75),FIND(" ",TRIM(C75)&amp;" ")-1),",","."),FIND("/",SUBSTITUTE(LEFT(TRIM(C75),FIND(" ",TRIM(C75)&amp;" ")-1),",","."))+1,9))*12,NA()))),0),12)*'Aturan &amp; Tarif'!$B$4,2)</f>
        <v>681.36</v>
      </c>
      <c r="K75" s="42" t="n">
        <f aca="false">'Aturan &amp; Tarif'!$B$5</f>
        <v>2050</v>
      </c>
      <c r="L75" s="42" t="n">
        <f aca="false">'Aturan &amp; Tarif'!$B$6</f>
        <v>350</v>
      </c>
      <c r="M75" s="35" t="n">
        <f aca="false">I75+J75+K75+L75</f>
        <v>21321.36</v>
      </c>
      <c r="N75" s="45" t="s">
        <v>512</v>
      </c>
    </row>
    <row r="76" customFormat="false" ht="14.25" hidden="false" customHeight="true" outlineLevel="0" collapsed="false">
      <c r="A76" s="39"/>
      <c r="B76" s="40" t="s">
        <v>558</v>
      </c>
      <c r="C76" s="41" t="s">
        <v>130</v>
      </c>
      <c r="D76" s="41" t="s">
        <v>108</v>
      </c>
      <c r="E76" s="42" t="n">
        <v>8896</v>
      </c>
      <c r="F76" s="42"/>
      <c r="G76" s="42"/>
      <c r="H76" s="43" t="n">
        <v>2</v>
      </c>
      <c r="I76" s="34" t="n">
        <f aca="false">E76*H76+N(F76)+N(G76)</f>
        <v>17792</v>
      </c>
      <c r="J76" s="42" t="n">
        <f aca="false">ROUND(IFERROR(ROUND(IF(OR(ISNUMBER(SEARCH("week",C76)),ISNUMBER(SEARCH("minggu",C76))),IFERROR(_xlfn.NUMBERVALUE(SUBSTITUTE(LEFT(TRIM(C76),FIND(" ",TRIM(C76)&amp;" ")-1),",","."),"."),LEFT(SUBSTITUTE(LEFT(TRIM(C76),FIND(" ",TRIM(C76)&amp;" ")-1),",","."),FIND("/",SUBSTITUTE(LEFT(TRIM(C76),FIND(" ",TRIM(C76)&amp;" ")-1),",","."))-1)/MID(SUBSTITUTE(LEFT(TRIM(C76),FIND(" ",TRIM(C76)&amp;" ")-1),",","."),FIND("/",SUBSTITUTE(LEFT(TRIM(C76),FIND(" ",TRIM(C76)&amp;" ")-1),",","."))+1,9))*12/52,IF(ISNUMBER(SEARCH("month",C76)),IFERROR(_xlfn.NUMBERVALUE(SUBSTITUTE(LEFT(TRIM(C76),FIND(" ",TRIM(C76)&amp;" ")-1),",","."),"."),LEFT(SUBSTITUTE(LEFT(TRIM(C76),FIND(" ",TRIM(C76)&amp;" ")-1),",","."),FIND("/",SUBSTITUTE(LEFT(TRIM(C76),FIND(" ",TRIM(C76)&amp;" ")-1),",","."))-1)/MID(SUBSTITUTE(LEFT(TRIM(C76),FIND(" ",TRIM(C76)&amp;" ")-1),",","."),FIND("/",SUBSTITUTE(LEFT(TRIM(C76),FIND(" ",TRIM(C76)&amp;" ")-1),",","."))+1,9)),IF(ISNUMBER(SEARCH("yea",C76)),IFERROR(_xlfn.NUMBERVALUE(SUBSTITUTE(LEFT(TRIM(C76),FIND(" ",TRIM(C76)&amp;" ")-1),",","."),"."),LEFT(SUBSTITUTE(LEFT(TRIM(C76),FIND(" ",TRIM(C76)&amp;" ")-1),",","."),FIND("/",SUBSTITUTE(LEFT(TRIM(C76),FIND(" ",TRIM(C76)&amp;" ")-1),",","."))-1)/MID(SUBSTITUTE(LEFT(TRIM(C76),FIND(" ",TRIM(C76)&amp;" ")-1),",","."),FIND("/",SUBSTITUTE(LEFT(TRIM(C76),FIND(" ",TRIM(C76)&amp;" ")-1),",","."))+1,9))*12,NA()))),0),12)*'Aturan &amp; Tarif'!$B$4,2)</f>
        <v>681.36</v>
      </c>
      <c r="K76" s="42" t="n">
        <f aca="false">'Aturan &amp; Tarif'!$B$5</f>
        <v>2050</v>
      </c>
      <c r="L76" s="42" t="n">
        <f aca="false">'Aturan &amp; Tarif'!$B$6</f>
        <v>350</v>
      </c>
      <c r="M76" s="35" t="n">
        <f aca="false">I76+J76+K76+L76</f>
        <v>20873.36</v>
      </c>
      <c r="N76" s="45" t="s">
        <v>512</v>
      </c>
    </row>
    <row r="77" customFormat="false" ht="14.25" hidden="false" customHeight="true" outlineLevel="0" collapsed="false">
      <c r="A77" s="39"/>
      <c r="B77" s="40" t="s">
        <v>559</v>
      </c>
      <c r="C77" s="41" t="s">
        <v>130</v>
      </c>
      <c r="D77" s="41" t="s">
        <v>108</v>
      </c>
      <c r="E77" s="42" t="n">
        <v>8684</v>
      </c>
      <c r="F77" s="42"/>
      <c r="G77" s="42"/>
      <c r="H77" s="43" t="n">
        <v>2</v>
      </c>
      <c r="I77" s="34" t="n">
        <f aca="false">E77*H77+N(F77)+N(G77)</f>
        <v>17368</v>
      </c>
      <c r="J77" s="42" t="n">
        <f aca="false">ROUND(IFERROR(ROUND(IF(OR(ISNUMBER(SEARCH("week",C77)),ISNUMBER(SEARCH("minggu",C77))),IFERROR(_xlfn.NUMBERVALUE(SUBSTITUTE(LEFT(TRIM(C77),FIND(" ",TRIM(C77)&amp;" ")-1),",","."),"."),LEFT(SUBSTITUTE(LEFT(TRIM(C77),FIND(" ",TRIM(C77)&amp;" ")-1),",","."),FIND("/",SUBSTITUTE(LEFT(TRIM(C77),FIND(" ",TRIM(C77)&amp;" ")-1),",","."))-1)/MID(SUBSTITUTE(LEFT(TRIM(C77),FIND(" ",TRIM(C77)&amp;" ")-1),",","."),FIND("/",SUBSTITUTE(LEFT(TRIM(C77),FIND(" ",TRIM(C77)&amp;" ")-1),",","."))+1,9))*12/52,IF(ISNUMBER(SEARCH("month",C77)),IFERROR(_xlfn.NUMBERVALUE(SUBSTITUTE(LEFT(TRIM(C77),FIND(" ",TRIM(C77)&amp;" ")-1),",","."),"."),LEFT(SUBSTITUTE(LEFT(TRIM(C77),FIND(" ",TRIM(C77)&amp;" ")-1),",","."),FIND("/",SUBSTITUTE(LEFT(TRIM(C77),FIND(" ",TRIM(C77)&amp;" ")-1),",","."))-1)/MID(SUBSTITUTE(LEFT(TRIM(C77),FIND(" ",TRIM(C77)&amp;" ")-1),",","."),FIND("/",SUBSTITUTE(LEFT(TRIM(C77),FIND(" ",TRIM(C77)&amp;" ")-1),",","."))+1,9)),IF(ISNUMBER(SEARCH("yea",C77)),IFERROR(_xlfn.NUMBERVALUE(SUBSTITUTE(LEFT(TRIM(C77),FIND(" ",TRIM(C77)&amp;" ")-1),",","."),"."),LEFT(SUBSTITUTE(LEFT(TRIM(C77),FIND(" ",TRIM(C77)&amp;" ")-1),",","."),FIND("/",SUBSTITUTE(LEFT(TRIM(C77),FIND(" ",TRIM(C77)&amp;" ")-1),",","."))-1)/MID(SUBSTITUTE(LEFT(TRIM(C77),FIND(" ",TRIM(C77)&amp;" ")-1),",","."),FIND("/",SUBSTITUTE(LEFT(TRIM(C77),FIND(" ",TRIM(C77)&amp;" ")-1),",","."))+1,9))*12,NA()))),0),12)*'Aturan &amp; Tarif'!$B$4,2)</f>
        <v>681.36</v>
      </c>
      <c r="K77" s="42" t="n">
        <f aca="false">'Aturan &amp; Tarif'!$B$5</f>
        <v>2050</v>
      </c>
      <c r="L77" s="42" t="n">
        <f aca="false">'Aturan &amp; Tarif'!$B$6</f>
        <v>350</v>
      </c>
      <c r="M77" s="35" t="n">
        <f aca="false">I77+J77+K77+L77</f>
        <v>20449.36</v>
      </c>
      <c r="N77" s="45" t="s">
        <v>512</v>
      </c>
    </row>
    <row r="78" customFormat="false" ht="60" hidden="false" customHeight="true" outlineLevel="0" collapsed="false">
      <c r="A78" s="39"/>
      <c r="B78" s="40" t="s">
        <v>560</v>
      </c>
      <c r="C78" s="41" t="s">
        <v>344</v>
      </c>
      <c r="D78" s="41" t="s">
        <v>108</v>
      </c>
      <c r="E78" s="42" t="n">
        <v>8686</v>
      </c>
      <c r="F78" s="42"/>
      <c r="G78" s="42"/>
      <c r="H78" s="43" t="n">
        <v>2</v>
      </c>
      <c r="I78" s="34" t="n">
        <f aca="false">E78*H78+N(F78)+N(G78)</f>
        <v>17372</v>
      </c>
      <c r="J78" s="42" t="n">
        <f aca="false">ROUND(IFERROR(ROUND(IF(OR(ISNUMBER(SEARCH("week",C78)),ISNUMBER(SEARCH("minggu",C78))),IFERROR(_xlfn.NUMBERVALUE(SUBSTITUTE(LEFT(TRIM(C78),FIND(" ",TRIM(C78)&amp;" ")-1),",","."),"."),LEFT(SUBSTITUTE(LEFT(TRIM(C78),FIND(" ",TRIM(C78)&amp;" ")-1),",","."),FIND("/",SUBSTITUTE(LEFT(TRIM(C78),FIND(" ",TRIM(C78)&amp;" ")-1),",","."))-1)/MID(SUBSTITUTE(LEFT(TRIM(C78),FIND(" ",TRIM(C78)&amp;" ")-1),",","."),FIND("/",SUBSTITUTE(LEFT(TRIM(C78),FIND(" ",TRIM(C78)&amp;" ")-1),",","."))+1,9))*12/52,IF(ISNUMBER(SEARCH("month",C78)),IFERROR(_xlfn.NUMBERVALUE(SUBSTITUTE(LEFT(TRIM(C78),FIND(" ",TRIM(C78)&amp;" ")-1),",","."),"."),LEFT(SUBSTITUTE(LEFT(TRIM(C78),FIND(" ",TRIM(C78)&amp;" ")-1),",","."),FIND("/",SUBSTITUTE(LEFT(TRIM(C78),FIND(" ",TRIM(C78)&amp;" ")-1),",","."))-1)/MID(SUBSTITUTE(LEFT(TRIM(C78),FIND(" ",TRIM(C78)&amp;" ")-1),",","."),FIND("/",SUBSTITUTE(LEFT(TRIM(C78),FIND(" ",TRIM(C78)&amp;" ")-1),",","."))+1,9)),IF(ISNUMBER(SEARCH("yea",C78)),IFERROR(_xlfn.NUMBERVALUE(SUBSTITUTE(LEFT(TRIM(C78),FIND(" ",TRIM(C78)&amp;" ")-1),",","."),"."),LEFT(SUBSTITUTE(LEFT(TRIM(C78),FIND(" ",TRIM(C78)&amp;" ")-1),",","."),FIND("/",SUBSTITUTE(LEFT(TRIM(C78),FIND(" ",TRIM(C78)&amp;" ")-1),",","."))-1)/MID(SUBSTITUTE(LEFT(TRIM(C78),FIND(" ",TRIM(C78)&amp;" ")-1),",","."),FIND("/",SUBSTITUTE(LEFT(TRIM(C78),FIND(" ",TRIM(C78)&amp;" ")-1),",","."))+1,9))*12,NA()))),0),6)*'Aturan &amp; Tarif'!$B$4,2)</f>
        <v>340.68</v>
      </c>
      <c r="K78" s="42" t="n">
        <f aca="false">'Aturan &amp; Tarif'!$B$5</f>
        <v>2050</v>
      </c>
      <c r="L78" s="42" t="n">
        <f aca="false">'Aturan &amp; Tarif'!$B$6</f>
        <v>350</v>
      </c>
      <c r="M78" s="35" t="n">
        <f aca="false">I78+J78+K78+L78</f>
        <v>20112.68</v>
      </c>
      <c r="N78" s="44" t="s">
        <v>561</v>
      </c>
    </row>
    <row r="79" customFormat="false" ht="14.25" hidden="false" customHeight="true" outlineLevel="0" collapsed="false">
      <c r="A79" s="39"/>
      <c r="B79" s="40" t="s">
        <v>562</v>
      </c>
      <c r="C79" s="41" t="s">
        <v>127</v>
      </c>
      <c r="D79" s="41" t="s">
        <v>108</v>
      </c>
      <c r="E79" s="42" t="n">
        <v>9512</v>
      </c>
      <c r="F79" s="42"/>
      <c r="G79" s="42"/>
      <c r="H79" s="43" t="n">
        <v>2</v>
      </c>
      <c r="I79" s="34" t="n">
        <f aca="false">E79*H79+N(F79)+N(G79)</f>
        <v>19024</v>
      </c>
      <c r="J79" s="42" t="n">
        <f aca="false">ROUND(IFERROR(ROUND(IF(OR(ISNUMBER(SEARCH("week",C79)),ISNUMBER(SEARCH("minggu",C79))),IFERROR(_xlfn.NUMBERVALUE(SUBSTITUTE(LEFT(TRIM(C79),FIND(" ",TRIM(C79)&amp;" ")-1),",","."),"."),LEFT(SUBSTITUTE(LEFT(TRIM(C79),FIND(" ",TRIM(C79)&amp;" ")-1),",","."),FIND("/",SUBSTITUTE(LEFT(TRIM(C79),FIND(" ",TRIM(C79)&amp;" ")-1),",","."))-1)/MID(SUBSTITUTE(LEFT(TRIM(C79),FIND(" ",TRIM(C79)&amp;" ")-1),",","."),FIND("/",SUBSTITUTE(LEFT(TRIM(C79),FIND(" ",TRIM(C79)&amp;" ")-1),",","."))+1,9))*12/52,IF(ISNUMBER(SEARCH("month",C79)),IFERROR(_xlfn.NUMBERVALUE(SUBSTITUTE(LEFT(TRIM(C79),FIND(" ",TRIM(C79)&amp;" ")-1),",","."),"."),LEFT(SUBSTITUTE(LEFT(TRIM(C79),FIND(" ",TRIM(C79)&amp;" ")-1),",","."),FIND("/",SUBSTITUTE(LEFT(TRIM(C79),FIND(" ",TRIM(C79)&amp;" ")-1),",","."))-1)/MID(SUBSTITUTE(LEFT(TRIM(C79),FIND(" ",TRIM(C79)&amp;" ")-1),",","."),FIND("/",SUBSTITUTE(LEFT(TRIM(C79),FIND(" ",TRIM(C79)&amp;" ")-1),",","."))+1,9)),IF(ISNUMBER(SEARCH("yea",C79)),IFERROR(_xlfn.NUMBERVALUE(SUBSTITUTE(LEFT(TRIM(C79),FIND(" ",TRIM(C79)&amp;" ")-1),",","."),"."),LEFT(SUBSTITUTE(LEFT(TRIM(C79),FIND(" ",TRIM(C79)&amp;" ")-1),",","."),FIND("/",SUBSTITUTE(LEFT(TRIM(C79),FIND(" ",TRIM(C79)&amp;" ")-1),",","."))-1)/MID(SUBSTITUTE(LEFT(TRIM(C79),FIND(" ",TRIM(C79)&amp;" ")-1),",","."),FIND("/",SUBSTITUTE(LEFT(TRIM(C79),FIND(" ",TRIM(C79)&amp;" ")-1),",","."))+1,9))*12,NA()))),0),36)*'Aturan &amp; Tarif'!$B$4,2)</f>
        <v>2044.08</v>
      </c>
      <c r="K79" s="42" t="n">
        <f aca="false">'Aturan &amp; Tarif'!$B$5</f>
        <v>2050</v>
      </c>
      <c r="L79" s="42" t="n">
        <f aca="false">'Aturan &amp; Tarif'!$B$6</f>
        <v>350</v>
      </c>
      <c r="M79" s="35" t="n">
        <f aca="false">I79+J79+K79+L79</f>
        <v>23468.08</v>
      </c>
      <c r="N79" s="45" t="s">
        <v>512</v>
      </c>
    </row>
    <row r="80" customFormat="false" ht="14.25" hidden="false" customHeight="true" outlineLevel="0" collapsed="false">
      <c r="A80" s="39"/>
      <c r="B80" s="40" t="s">
        <v>251</v>
      </c>
      <c r="C80" s="41" t="s">
        <v>127</v>
      </c>
      <c r="D80" s="41" t="s">
        <v>108</v>
      </c>
      <c r="E80" s="42" t="n">
        <v>9512</v>
      </c>
      <c r="F80" s="42"/>
      <c r="G80" s="42"/>
      <c r="H80" s="43" t="n">
        <v>2</v>
      </c>
      <c r="I80" s="34" t="n">
        <f aca="false">E80*H80+N(F80)+N(G80)</f>
        <v>19024</v>
      </c>
      <c r="J80" s="42" t="n">
        <f aca="false">ROUND(IFERROR(ROUND(IF(OR(ISNUMBER(SEARCH("week",C80)),ISNUMBER(SEARCH("minggu",C80))),IFERROR(_xlfn.NUMBERVALUE(SUBSTITUTE(LEFT(TRIM(C80),FIND(" ",TRIM(C80)&amp;" ")-1),",","."),"."),LEFT(SUBSTITUTE(LEFT(TRIM(C80),FIND(" ",TRIM(C80)&amp;" ")-1),",","."),FIND("/",SUBSTITUTE(LEFT(TRIM(C80),FIND(" ",TRIM(C80)&amp;" ")-1),",","."))-1)/MID(SUBSTITUTE(LEFT(TRIM(C80),FIND(" ",TRIM(C80)&amp;" ")-1),",","."),FIND("/",SUBSTITUTE(LEFT(TRIM(C80),FIND(" ",TRIM(C80)&amp;" ")-1),",","."))+1,9))*12/52,IF(ISNUMBER(SEARCH("month",C80)),IFERROR(_xlfn.NUMBERVALUE(SUBSTITUTE(LEFT(TRIM(C80),FIND(" ",TRIM(C80)&amp;" ")-1),",","."),"."),LEFT(SUBSTITUTE(LEFT(TRIM(C80),FIND(" ",TRIM(C80)&amp;" ")-1),",","."),FIND("/",SUBSTITUTE(LEFT(TRIM(C80),FIND(" ",TRIM(C80)&amp;" ")-1),",","."))-1)/MID(SUBSTITUTE(LEFT(TRIM(C80),FIND(" ",TRIM(C80)&amp;" ")-1),",","."),FIND("/",SUBSTITUTE(LEFT(TRIM(C80),FIND(" ",TRIM(C80)&amp;" ")-1),",","."))+1,9)),IF(ISNUMBER(SEARCH("yea",C80)),IFERROR(_xlfn.NUMBERVALUE(SUBSTITUTE(LEFT(TRIM(C80),FIND(" ",TRIM(C80)&amp;" ")-1),",","."),"."),LEFT(SUBSTITUTE(LEFT(TRIM(C80),FIND(" ",TRIM(C80)&amp;" ")-1),",","."),FIND("/",SUBSTITUTE(LEFT(TRIM(C80),FIND(" ",TRIM(C80)&amp;" ")-1),",","."))-1)/MID(SUBSTITUTE(LEFT(TRIM(C80),FIND(" ",TRIM(C80)&amp;" ")-1),",","."),FIND("/",SUBSTITUTE(LEFT(TRIM(C80),FIND(" ",TRIM(C80)&amp;" ")-1),",","."))+1,9))*12,NA()))),0),36)*'Aturan &amp; Tarif'!$B$4,2)</f>
        <v>2044.08</v>
      </c>
      <c r="K80" s="42" t="n">
        <f aca="false">'Aturan &amp; Tarif'!$B$5</f>
        <v>2050</v>
      </c>
      <c r="L80" s="42" t="n">
        <f aca="false">'Aturan &amp; Tarif'!$B$6</f>
        <v>350</v>
      </c>
      <c r="M80" s="35" t="n">
        <f aca="false">I80+J80+K80+L80</f>
        <v>23468.08</v>
      </c>
      <c r="N80" s="45" t="s">
        <v>512</v>
      </c>
    </row>
    <row r="81" customFormat="false" ht="14.25" hidden="false" customHeight="true" outlineLevel="0" collapsed="false">
      <c r="A81" s="39"/>
      <c r="B81" s="40" t="s">
        <v>563</v>
      </c>
      <c r="C81" s="41" t="s">
        <v>130</v>
      </c>
      <c r="D81" s="41" t="s">
        <v>108</v>
      </c>
      <c r="E81" s="42" t="n">
        <v>9512</v>
      </c>
      <c r="F81" s="42"/>
      <c r="G81" s="42"/>
      <c r="H81" s="43" t="n">
        <v>2</v>
      </c>
      <c r="I81" s="34" t="n">
        <f aca="false">E81*H81+N(F81)+N(G81)</f>
        <v>19024</v>
      </c>
      <c r="J81" s="42" t="n">
        <f aca="false">ROUND(IFERROR(ROUND(IF(OR(ISNUMBER(SEARCH("week",C81)),ISNUMBER(SEARCH("minggu",C81))),IFERROR(_xlfn.NUMBERVALUE(SUBSTITUTE(LEFT(TRIM(C81),FIND(" ",TRIM(C81)&amp;" ")-1),",","."),"."),LEFT(SUBSTITUTE(LEFT(TRIM(C81),FIND(" ",TRIM(C81)&amp;" ")-1),",","."),FIND("/",SUBSTITUTE(LEFT(TRIM(C81),FIND(" ",TRIM(C81)&amp;" ")-1),",","."))-1)/MID(SUBSTITUTE(LEFT(TRIM(C81),FIND(" ",TRIM(C81)&amp;" ")-1),",","."),FIND("/",SUBSTITUTE(LEFT(TRIM(C81),FIND(" ",TRIM(C81)&amp;" ")-1),",","."))+1,9))*12/52,IF(ISNUMBER(SEARCH("month",C81)),IFERROR(_xlfn.NUMBERVALUE(SUBSTITUTE(LEFT(TRIM(C81),FIND(" ",TRIM(C81)&amp;" ")-1),",","."),"."),LEFT(SUBSTITUTE(LEFT(TRIM(C81),FIND(" ",TRIM(C81)&amp;" ")-1),",","."),FIND("/",SUBSTITUTE(LEFT(TRIM(C81),FIND(" ",TRIM(C81)&amp;" ")-1),",","."))-1)/MID(SUBSTITUTE(LEFT(TRIM(C81),FIND(" ",TRIM(C81)&amp;" ")-1),",","."),FIND("/",SUBSTITUTE(LEFT(TRIM(C81),FIND(" ",TRIM(C81)&amp;" ")-1),",","."))+1,9)),IF(ISNUMBER(SEARCH("yea",C81)),IFERROR(_xlfn.NUMBERVALUE(SUBSTITUTE(LEFT(TRIM(C81),FIND(" ",TRIM(C81)&amp;" ")-1),",","."),"."),LEFT(SUBSTITUTE(LEFT(TRIM(C81),FIND(" ",TRIM(C81)&amp;" ")-1),",","."),FIND("/",SUBSTITUTE(LEFT(TRIM(C81),FIND(" ",TRIM(C81)&amp;" ")-1),",","."))-1)/MID(SUBSTITUTE(LEFT(TRIM(C81),FIND(" ",TRIM(C81)&amp;" ")-1),",","."),FIND("/",SUBSTITUTE(LEFT(TRIM(C81),FIND(" ",TRIM(C81)&amp;" ")-1),",","."))+1,9))*12,NA()))),0),12)*'Aturan &amp; Tarif'!$B$4,2)</f>
        <v>681.36</v>
      </c>
      <c r="K81" s="42" t="n">
        <f aca="false">'Aturan &amp; Tarif'!$B$5</f>
        <v>2050</v>
      </c>
      <c r="L81" s="42" t="n">
        <f aca="false">'Aturan &amp; Tarif'!$B$6</f>
        <v>350</v>
      </c>
      <c r="M81" s="35" t="n">
        <f aca="false">I81+J81+K81+L81</f>
        <v>22105.36</v>
      </c>
      <c r="N81" s="45" t="s">
        <v>512</v>
      </c>
    </row>
    <row r="82" customFormat="false" ht="14.25" hidden="false" customHeight="true" outlineLevel="0" collapsed="false">
      <c r="A82" s="39"/>
      <c r="B82" s="40" t="s">
        <v>261</v>
      </c>
      <c r="C82" s="41" t="s">
        <v>127</v>
      </c>
      <c r="D82" s="41" t="s">
        <v>108</v>
      </c>
      <c r="E82" s="42" t="n">
        <v>8896</v>
      </c>
      <c r="F82" s="42"/>
      <c r="G82" s="42"/>
      <c r="H82" s="43" t="n">
        <v>2</v>
      </c>
      <c r="I82" s="34" t="n">
        <f aca="false">E82*H82+N(F82)+N(G82)</f>
        <v>17792</v>
      </c>
      <c r="J82" s="42" t="n">
        <f aca="false">ROUND(IFERROR(ROUND(IF(OR(ISNUMBER(SEARCH("week",C82)),ISNUMBER(SEARCH("minggu",C82))),IFERROR(_xlfn.NUMBERVALUE(SUBSTITUTE(LEFT(TRIM(C82),FIND(" ",TRIM(C82)&amp;" ")-1),",","."),"."),LEFT(SUBSTITUTE(LEFT(TRIM(C82),FIND(" ",TRIM(C82)&amp;" ")-1),",","."),FIND("/",SUBSTITUTE(LEFT(TRIM(C82),FIND(" ",TRIM(C82)&amp;" ")-1),",","."))-1)/MID(SUBSTITUTE(LEFT(TRIM(C82),FIND(" ",TRIM(C82)&amp;" ")-1),",","."),FIND("/",SUBSTITUTE(LEFT(TRIM(C82),FIND(" ",TRIM(C82)&amp;" ")-1),",","."))+1,9))*12/52,IF(ISNUMBER(SEARCH("month",C82)),IFERROR(_xlfn.NUMBERVALUE(SUBSTITUTE(LEFT(TRIM(C82),FIND(" ",TRIM(C82)&amp;" ")-1),",","."),"."),LEFT(SUBSTITUTE(LEFT(TRIM(C82),FIND(" ",TRIM(C82)&amp;" ")-1),",","."),FIND("/",SUBSTITUTE(LEFT(TRIM(C82),FIND(" ",TRIM(C82)&amp;" ")-1),",","."))-1)/MID(SUBSTITUTE(LEFT(TRIM(C82),FIND(" ",TRIM(C82)&amp;" ")-1),",","."),FIND("/",SUBSTITUTE(LEFT(TRIM(C82),FIND(" ",TRIM(C82)&amp;" ")-1),",","."))+1,9)),IF(ISNUMBER(SEARCH("yea",C82)),IFERROR(_xlfn.NUMBERVALUE(SUBSTITUTE(LEFT(TRIM(C82),FIND(" ",TRIM(C82)&amp;" ")-1),",","."),"."),LEFT(SUBSTITUTE(LEFT(TRIM(C82),FIND(" ",TRIM(C82)&amp;" ")-1),",","."),FIND("/",SUBSTITUTE(LEFT(TRIM(C82),FIND(" ",TRIM(C82)&amp;" ")-1),",","."))-1)/MID(SUBSTITUTE(LEFT(TRIM(C82),FIND(" ",TRIM(C82)&amp;" ")-1),",","."),FIND("/",SUBSTITUTE(LEFT(TRIM(C82),FIND(" ",TRIM(C82)&amp;" ")-1),",","."))+1,9))*12,NA()))),0),36)*'Aturan &amp; Tarif'!$B$4,2)</f>
        <v>2044.08</v>
      </c>
      <c r="K82" s="42" t="n">
        <f aca="false">'Aturan &amp; Tarif'!$B$5</f>
        <v>2050</v>
      </c>
      <c r="L82" s="42" t="n">
        <f aca="false">'Aturan &amp; Tarif'!$B$6</f>
        <v>350</v>
      </c>
      <c r="M82" s="35" t="n">
        <f aca="false">I82+J82+K82+L82</f>
        <v>22236.08</v>
      </c>
      <c r="N82" s="45" t="s">
        <v>512</v>
      </c>
    </row>
    <row r="83" customFormat="false" ht="14.25" hidden="false" customHeight="true" outlineLevel="0" collapsed="false">
      <c r="A83" s="39"/>
      <c r="B83" s="40" t="s">
        <v>564</v>
      </c>
      <c r="C83" s="41" t="s">
        <v>127</v>
      </c>
      <c r="D83" s="41" t="s">
        <v>108</v>
      </c>
      <c r="E83" s="42" t="n">
        <v>8896</v>
      </c>
      <c r="F83" s="42"/>
      <c r="G83" s="42"/>
      <c r="H83" s="43" t="n">
        <v>2</v>
      </c>
      <c r="I83" s="34" t="n">
        <f aca="false">E83*H83+N(F83)+N(G83)</f>
        <v>17792</v>
      </c>
      <c r="J83" s="42" t="n">
        <f aca="false">ROUND(IFERROR(ROUND(IF(OR(ISNUMBER(SEARCH("week",C83)),ISNUMBER(SEARCH("minggu",C83))),IFERROR(_xlfn.NUMBERVALUE(SUBSTITUTE(LEFT(TRIM(C83),FIND(" ",TRIM(C83)&amp;" ")-1),",","."),"."),LEFT(SUBSTITUTE(LEFT(TRIM(C83),FIND(" ",TRIM(C83)&amp;" ")-1),",","."),FIND("/",SUBSTITUTE(LEFT(TRIM(C83),FIND(" ",TRIM(C83)&amp;" ")-1),",","."))-1)/MID(SUBSTITUTE(LEFT(TRIM(C83),FIND(" ",TRIM(C83)&amp;" ")-1),",","."),FIND("/",SUBSTITUTE(LEFT(TRIM(C83),FIND(" ",TRIM(C83)&amp;" ")-1),",","."))+1,9))*12/52,IF(ISNUMBER(SEARCH("month",C83)),IFERROR(_xlfn.NUMBERVALUE(SUBSTITUTE(LEFT(TRIM(C83),FIND(" ",TRIM(C83)&amp;" ")-1),",","."),"."),LEFT(SUBSTITUTE(LEFT(TRIM(C83),FIND(" ",TRIM(C83)&amp;" ")-1),",","."),FIND("/",SUBSTITUTE(LEFT(TRIM(C83),FIND(" ",TRIM(C83)&amp;" ")-1),",","."))-1)/MID(SUBSTITUTE(LEFT(TRIM(C83),FIND(" ",TRIM(C83)&amp;" ")-1),",","."),FIND("/",SUBSTITUTE(LEFT(TRIM(C83),FIND(" ",TRIM(C83)&amp;" ")-1),",","."))+1,9)),IF(ISNUMBER(SEARCH("yea",C83)),IFERROR(_xlfn.NUMBERVALUE(SUBSTITUTE(LEFT(TRIM(C83),FIND(" ",TRIM(C83)&amp;" ")-1),",","."),"."),LEFT(SUBSTITUTE(LEFT(TRIM(C83),FIND(" ",TRIM(C83)&amp;" ")-1),",","."),FIND("/",SUBSTITUTE(LEFT(TRIM(C83),FIND(" ",TRIM(C83)&amp;" ")-1),",","."))-1)/MID(SUBSTITUTE(LEFT(TRIM(C83),FIND(" ",TRIM(C83)&amp;" ")-1),",","."),FIND("/",SUBSTITUTE(LEFT(TRIM(C83),FIND(" ",TRIM(C83)&amp;" ")-1),",","."))+1,9))*12,NA()))),0),36)*'Aturan &amp; Tarif'!$B$4,2)</f>
        <v>2044.08</v>
      </c>
      <c r="K83" s="42" t="n">
        <f aca="false">'Aturan &amp; Tarif'!$B$5</f>
        <v>2050</v>
      </c>
      <c r="L83" s="42" t="n">
        <f aca="false">'Aturan &amp; Tarif'!$B$6</f>
        <v>350</v>
      </c>
      <c r="M83" s="35" t="n">
        <f aca="false">I83+J83+K83+L83</f>
        <v>22236.08</v>
      </c>
      <c r="N83" s="45" t="s">
        <v>512</v>
      </c>
    </row>
    <row r="84" customFormat="false" ht="14.25" hidden="false" customHeight="true" outlineLevel="0" collapsed="false">
      <c r="A84" s="39"/>
      <c r="B84" s="40" t="s">
        <v>565</v>
      </c>
      <c r="C84" s="41" t="s">
        <v>127</v>
      </c>
      <c r="D84" s="41" t="s">
        <v>108</v>
      </c>
      <c r="E84" s="42" t="n">
        <v>7802</v>
      </c>
      <c r="F84" s="42"/>
      <c r="G84" s="42"/>
      <c r="H84" s="43" t="n">
        <v>2</v>
      </c>
      <c r="I84" s="34" t="n">
        <f aca="false">E84*H84+N(F84)+N(G84)</f>
        <v>15604</v>
      </c>
      <c r="J84" s="42" t="n">
        <f aca="false">ROUND(IFERROR(ROUND(IF(OR(ISNUMBER(SEARCH("week",C84)),ISNUMBER(SEARCH("minggu",C84))),IFERROR(_xlfn.NUMBERVALUE(SUBSTITUTE(LEFT(TRIM(C84),FIND(" ",TRIM(C84)&amp;" ")-1),",","."),"."),LEFT(SUBSTITUTE(LEFT(TRIM(C84),FIND(" ",TRIM(C84)&amp;" ")-1),",","."),FIND("/",SUBSTITUTE(LEFT(TRIM(C84),FIND(" ",TRIM(C84)&amp;" ")-1),",","."))-1)/MID(SUBSTITUTE(LEFT(TRIM(C84),FIND(" ",TRIM(C84)&amp;" ")-1),",","."),FIND("/",SUBSTITUTE(LEFT(TRIM(C84),FIND(" ",TRIM(C84)&amp;" ")-1),",","."))+1,9))*12/52,IF(ISNUMBER(SEARCH("month",C84)),IFERROR(_xlfn.NUMBERVALUE(SUBSTITUTE(LEFT(TRIM(C84),FIND(" ",TRIM(C84)&amp;" ")-1),",","."),"."),LEFT(SUBSTITUTE(LEFT(TRIM(C84),FIND(" ",TRIM(C84)&amp;" ")-1),",","."),FIND("/",SUBSTITUTE(LEFT(TRIM(C84),FIND(" ",TRIM(C84)&amp;" ")-1),",","."))-1)/MID(SUBSTITUTE(LEFT(TRIM(C84),FIND(" ",TRIM(C84)&amp;" ")-1),",","."),FIND("/",SUBSTITUTE(LEFT(TRIM(C84),FIND(" ",TRIM(C84)&amp;" ")-1),",","."))+1,9)),IF(ISNUMBER(SEARCH("yea",C84)),IFERROR(_xlfn.NUMBERVALUE(SUBSTITUTE(LEFT(TRIM(C84),FIND(" ",TRIM(C84)&amp;" ")-1),",","."),"."),LEFT(SUBSTITUTE(LEFT(TRIM(C84),FIND(" ",TRIM(C84)&amp;" ")-1),",","."),FIND("/",SUBSTITUTE(LEFT(TRIM(C84),FIND(" ",TRIM(C84)&amp;" ")-1),",","."))-1)/MID(SUBSTITUTE(LEFT(TRIM(C84),FIND(" ",TRIM(C84)&amp;" ")-1),",","."),FIND("/",SUBSTITUTE(LEFT(TRIM(C84),FIND(" ",TRIM(C84)&amp;" ")-1),",","."))+1,9))*12,NA()))),0),36)*'Aturan &amp; Tarif'!$B$4,2)</f>
        <v>2044.08</v>
      </c>
      <c r="K84" s="42" t="n">
        <f aca="false">'Aturan &amp; Tarif'!$B$5</f>
        <v>2050</v>
      </c>
      <c r="L84" s="42" t="n">
        <f aca="false">'Aturan &amp; Tarif'!$B$6</f>
        <v>350</v>
      </c>
      <c r="M84" s="35" t="n">
        <f aca="false">I84+J84+K84+L84</f>
        <v>20048.08</v>
      </c>
      <c r="N84" s="45" t="s">
        <v>512</v>
      </c>
    </row>
    <row r="85" customFormat="false" ht="14.25" hidden="false" customHeight="true" outlineLevel="0" collapsed="false">
      <c r="A85" s="39"/>
      <c r="B85" s="40" t="s">
        <v>566</v>
      </c>
      <c r="C85" s="41" t="s">
        <v>107</v>
      </c>
      <c r="D85" s="41" t="s">
        <v>108</v>
      </c>
      <c r="E85" s="42" t="n">
        <v>9306</v>
      </c>
      <c r="F85" s="42"/>
      <c r="G85" s="42"/>
      <c r="H85" s="43" t="n">
        <v>2</v>
      </c>
      <c r="I85" s="34" t="n">
        <f aca="false">E85*H85+N(F85)+N(G85)</f>
        <v>18612</v>
      </c>
      <c r="J85" s="42" t="n">
        <f aca="false">ROUND(IFERROR(ROUND(IF(OR(ISNUMBER(SEARCH("week",C85)),ISNUMBER(SEARCH("minggu",C85))),IFERROR(_xlfn.NUMBERVALUE(SUBSTITUTE(LEFT(TRIM(C85),FIND(" ",TRIM(C85)&amp;" ")-1),",","."),"."),LEFT(SUBSTITUTE(LEFT(TRIM(C85),FIND(" ",TRIM(C85)&amp;" ")-1),",","."),FIND("/",SUBSTITUTE(LEFT(TRIM(C85),FIND(" ",TRIM(C85)&amp;" ")-1),",","."))-1)/MID(SUBSTITUTE(LEFT(TRIM(C85),FIND(" ",TRIM(C85)&amp;" ")-1),",","."),FIND("/",SUBSTITUTE(LEFT(TRIM(C85),FIND(" ",TRIM(C85)&amp;" ")-1),",","."))+1,9))*12/52,IF(ISNUMBER(SEARCH("month",C85)),IFERROR(_xlfn.NUMBERVALUE(SUBSTITUTE(LEFT(TRIM(C85),FIND(" ",TRIM(C85)&amp;" ")-1),",","."),"."),LEFT(SUBSTITUTE(LEFT(TRIM(C85),FIND(" ",TRIM(C85)&amp;" ")-1),",","."),FIND("/",SUBSTITUTE(LEFT(TRIM(C85),FIND(" ",TRIM(C85)&amp;" ")-1),",","."))-1)/MID(SUBSTITUTE(LEFT(TRIM(C85),FIND(" ",TRIM(C85)&amp;" ")-1),",","."),FIND("/",SUBSTITUTE(LEFT(TRIM(C85),FIND(" ",TRIM(C85)&amp;" ")-1),",","."))+1,9)),IF(ISNUMBER(SEARCH("yea",C85)),IFERROR(_xlfn.NUMBERVALUE(SUBSTITUTE(LEFT(TRIM(C85),FIND(" ",TRIM(C85)&amp;" ")-1),",","."),"."),LEFT(SUBSTITUTE(LEFT(TRIM(C85),FIND(" ",TRIM(C85)&amp;" ")-1),",","."),FIND("/",SUBSTITUTE(LEFT(TRIM(C85),FIND(" ",TRIM(C85)&amp;" ")-1),",","."))-1)/MID(SUBSTITUTE(LEFT(TRIM(C85),FIND(" ",TRIM(C85)&amp;" ")-1),",","."),FIND("/",SUBSTITUTE(LEFT(TRIM(C85),FIND(" ",TRIM(C85)&amp;" ")-1),",","."))+1,9))*12,NA()))),0),24)*'Aturan &amp; Tarif'!$B$4,2)</f>
        <v>1362.72</v>
      </c>
      <c r="K85" s="42" t="n">
        <f aca="false">'Aturan &amp; Tarif'!$B$5</f>
        <v>2050</v>
      </c>
      <c r="L85" s="42" t="n">
        <f aca="false">'Aturan &amp; Tarif'!$B$6</f>
        <v>350</v>
      </c>
      <c r="M85" s="35" t="n">
        <f aca="false">I85+J85+K85+L85</f>
        <v>22374.72</v>
      </c>
      <c r="N85" s="45" t="s">
        <v>512</v>
      </c>
    </row>
    <row r="86" customFormat="false" ht="14.25" hidden="false" customHeight="true" outlineLevel="0" collapsed="false">
      <c r="A86" s="39"/>
      <c r="B86" s="40" t="s">
        <v>567</v>
      </c>
      <c r="C86" s="41" t="s">
        <v>107</v>
      </c>
      <c r="D86" s="41" t="s">
        <v>108</v>
      </c>
      <c r="E86" s="42" t="n">
        <v>9306</v>
      </c>
      <c r="F86" s="42"/>
      <c r="G86" s="42"/>
      <c r="H86" s="43" t="n">
        <v>2</v>
      </c>
      <c r="I86" s="34" t="n">
        <f aca="false">E86*H86+N(F86)+N(G86)</f>
        <v>18612</v>
      </c>
      <c r="J86" s="42" t="n">
        <f aca="false">ROUND(IFERROR(ROUND(IF(OR(ISNUMBER(SEARCH("week",C86)),ISNUMBER(SEARCH("minggu",C86))),IFERROR(_xlfn.NUMBERVALUE(SUBSTITUTE(LEFT(TRIM(C86),FIND(" ",TRIM(C86)&amp;" ")-1),",","."),"."),LEFT(SUBSTITUTE(LEFT(TRIM(C86),FIND(" ",TRIM(C86)&amp;" ")-1),",","."),FIND("/",SUBSTITUTE(LEFT(TRIM(C86),FIND(" ",TRIM(C86)&amp;" ")-1),",","."))-1)/MID(SUBSTITUTE(LEFT(TRIM(C86),FIND(" ",TRIM(C86)&amp;" ")-1),",","."),FIND("/",SUBSTITUTE(LEFT(TRIM(C86),FIND(" ",TRIM(C86)&amp;" ")-1),",","."))+1,9))*12/52,IF(ISNUMBER(SEARCH("month",C86)),IFERROR(_xlfn.NUMBERVALUE(SUBSTITUTE(LEFT(TRIM(C86),FIND(" ",TRIM(C86)&amp;" ")-1),",","."),"."),LEFT(SUBSTITUTE(LEFT(TRIM(C86),FIND(" ",TRIM(C86)&amp;" ")-1),",","."),FIND("/",SUBSTITUTE(LEFT(TRIM(C86),FIND(" ",TRIM(C86)&amp;" ")-1),",","."))-1)/MID(SUBSTITUTE(LEFT(TRIM(C86),FIND(" ",TRIM(C86)&amp;" ")-1),",","."),FIND("/",SUBSTITUTE(LEFT(TRIM(C86),FIND(" ",TRIM(C86)&amp;" ")-1),",","."))+1,9)),IF(ISNUMBER(SEARCH("yea",C86)),IFERROR(_xlfn.NUMBERVALUE(SUBSTITUTE(LEFT(TRIM(C86),FIND(" ",TRIM(C86)&amp;" ")-1),",","."),"."),LEFT(SUBSTITUTE(LEFT(TRIM(C86),FIND(" ",TRIM(C86)&amp;" ")-1),",","."),FIND("/",SUBSTITUTE(LEFT(TRIM(C86),FIND(" ",TRIM(C86)&amp;" ")-1),",","."))-1)/MID(SUBSTITUTE(LEFT(TRIM(C86),FIND(" ",TRIM(C86)&amp;" ")-1),",","."),FIND("/",SUBSTITUTE(LEFT(TRIM(C86),FIND(" ",TRIM(C86)&amp;" ")-1),",","."))+1,9))*12,NA()))),0),24)*'Aturan &amp; Tarif'!$B$4,2)</f>
        <v>1362.72</v>
      </c>
      <c r="K86" s="42" t="n">
        <f aca="false">'Aturan &amp; Tarif'!$B$5</f>
        <v>2050</v>
      </c>
      <c r="L86" s="42" t="n">
        <f aca="false">'Aturan &amp; Tarif'!$B$6</f>
        <v>350</v>
      </c>
      <c r="M86" s="35" t="n">
        <f aca="false">I86+J86+K86+L86</f>
        <v>22374.72</v>
      </c>
      <c r="N86" s="45" t="s">
        <v>512</v>
      </c>
    </row>
    <row r="87" customFormat="false" ht="14.25" hidden="false" customHeight="true" outlineLevel="0" collapsed="false">
      <c r="A87" s="39"/>
      <c r="B87" s="40" t="s">
        <v>568</v>
      </c>
      <c r="C87" s="41" t="s">
        <v>113</v>
      </c>
      <c r="D87" s="41" t="s">
        <v>108</v>
      </c>
      <c r="E87" s="42" t="n">
        <v>8684</v>
      </c>
      <c r="F87" s="42"/>
      <c r="G87" s="42"/>
      <c r="H87" s="43" t="n">
        <v>2</v>
      </c>
      <c r="I87" s="34" t="n">
        <f aca="false">E87*H87+N(F87)+N(G87)</f>
        <v>17368</v>
      </c>
      <c r="J87" s="42" t="n">
        <f aca="false">ROUND(IFERROR(ROUND(IF(OR(ISNUMBER(SEARCH("week",C87)),ISNUMBER(SEARCH("minggu",C87))),IFERROR(_xlfn.NUMBERVALUE(SUBSTITUTE(LEFT(TRIM(C87),FIND(" ",TRIM(C87)&amp;" ")-1),",","."),"."),LEFT(SUBSTITUTE(LEFT(TRIM(C87),FIND(" ",TRIM(C87)&amp;" ")-1),",","."),FIND("/",SUBSTITUTE(LEFT(TRIM(C87),FIND(" ",TRIM(C87)&amp;" ")-1),",","."))-1)/MID(SUBSTITUTE(LEFT(TRIM(C87),FIND(" ",TRIM(C87)&amp;" ")-1),",","."),FIND("/",SUBSTITUTE(LEFT(TRIM(C87),FIND(" ",TRIM(C87)&amp;" ")-1),",","."))+1,9))*12/52,IF(ISNUMBER(SEARCH("month",C87)),IFERROR(_xlfn.NUMBERVALUE(SUBSTITUTE(LEFT(TRIM(C87),FIND(" ",TRIM(C87)&amp;" ")-1),",","."),"."),LEFT(SUBSTITUTE(LEFT(TRIM(C87),FIND(" ",TRIM(C87)&amp;" ")-1),",","."),FIND("/",SUBSTITUTE(LEFT(TRIM(C87),FIND(" ",TRIM(C87)&amp;" ")-1),",","."))-1)/MID(SUBSTITUTE(LEFT(TRIM(C87),FIND(" ",TRIM(C87)&amp;" ")-1),",","."),FIND("/",SUBSTITUTE(LEFT(TRIM(C87),FIND(" ",TRIM(C87)&amp;" ")-1),",","."))+1,9)),IF(ISNUMBER(SEARCH("yea",C87)),IFERROR(_xlfn.NUMBERVALUE(SUBSTITUTE(LEFT(TRIM(C87),FIND(" ",TRIM(C87)&amp;" ")-1),",","."),"."),LEFT(SUBSTITUTE(LEFT(TRIM(C87),FIND(" ",TRIM(C87)&amp;" ")-1),",","."),FIND("/",SUBSTITUTE(LEFT(TRIM(C87),FIND(" ",TRIM(C87)&amp;" ")-1),",","."))-1)/MID(SUBSTITUTE(LEFT(TRIM(C87),FIND(" ",TRIM(C87)&amp;" ")-1),",","."),FIND("/",SUBSTITUTE(LEFT(TRIM(C87),FIND(" ",TRIM(C87)&amp;" ")-1),",","."))+1,9))*12,NA()))),0),18)*'Aturan &amp; Tarif'!$B$4,2)</f>
        <v>1022.04</v>
      </c>
      <c r="K87" s="42" t="n">
        <f aca="false">'Aturan &amp; Tarif'!$B$5</f>
        <v>2050</v>
      </c>
      <c r="L87" s="42" t="n">
        <f aca="false">'Aturan &amp; Tarif'!$B$6</f>
        <v>350</v>
      </c>
      <c r="M87" s="35" t="n">
        <f aca="false">I87+J87+K87+L87</f>
        <v>20790.04</v>
      </c>
      <c r="N87" s="45" t="s">
        <v>512</v>
      </c>
    </row>
    <row r="88" customFormat="false" ht="14.25" hidden="false" customHeight="true" outlineLevel="0" collapsed="false">
      <c r="A88" s="39"/>
      <c r="B88" s="40" t="s">
        <v>283</v>
      </c>
      <c r="C88" s="41" t="s">
        <v>113</v>
      </c>
      <c r="D88" s="41" t="s">
        <v>108</v>
      </c>
      <c r="E88" s="42" t="n">
        <v>8684</v>
      </c>
      <c r="F88" s="42"/>
      <c r="G88" s="42"/>
      <c r="H88" s="43" t="n">
        <v>2</v>
      </c>
      <c r="I88" s="34" t="n">
        <f aca="false">E88*H88+N(F88)+N(G88)</f>
        <v>17368</v>
      </c>
      <c r="J88" s="42" t="n">
        <f aca="false">ROUND(IFERROR(ROUND(IF(OR(ISNUMBER(SEARCH("week",C88)),ISNUMBER(SEARCH("minggu",C88))),IFERROR(_xlfn.NUMBERVALUE(SUBSTITUTE(LEFT(TRIM(C88),FIND(" ",TRIM(C88)&amp;" ")-1),",","."),"."),LEFT(SUBSTITUTE(LEFT(TRIM(C88),FIND(" ",TRIM(C88)&amp;" ")-1),",","."),FIND("/",SUBSTITUTE(LEFT(TRIM(C88),FIND(" ",TRIM(C88)&amp;" ")-1),",","."))-1)/MID(SUBSTITUTE(LEFT(TRIM(C88),FIND(" ",TRIM(C88)&amp;" ")-1),",","."),FIND("/",SUBSTITUTE(LEFT(TRIM(C88),FIND(" ",TRIM(C88)&amp;" ")-1),",","."))+1,9))*12/52,IF(ISNUMBER(SEARCH("month",C88)),IFERROR(_xlfn.NUMBERVALUE(SUBSTITUTE(LEFT(TRIM(C88),FIND(" ",TRIM(C88)&amp;" ")-1),",","."),"."),LEFT(SUBSTITUTE(LEFT(TRIM(C88),FIND(" ",TRIM(C88)&amp;" ")-1),",","."),FIND("/",SUBSTITUTE(LEFT(TRIM(C88),FIND(" ",TRIM(C88)&amp;" ")-1),",","."))-1)/MID(SUBSTITUTE(LEFT(TRIM(C88),FIND(" ",TRIM(C88)&amp;" ")-1),",","."),FIND("/",SUBSTITUTE(LEFT(TRIM(C88),FIND(" ",TRIM(C88)&amp;" ")-1),",","."))+1,9)),IF(ISNUMBER(SEARCH("yea",C88)),IFERROR(_xlfn.NUMBERVALUE(SUBSTITUTE(LEFT(TRIM(C88),FIND(" ",TRIM(C88)&amp;" ")-1),",","."),"."),LEFT(SUBSTITUTE(LEFT(TRIM(C88),FIND(" ",TRIM(C88)&amp;" ")-1),",","."),FIND("/",SUBSTITUTE(LEFT(TRIM(C88),FIND(" ",TRIM(C88)&amp;" ")-1),",","."))-1)/MID(SUBSTITUTE(LEFT(TRIM(C88),FIND(" ",TRIM(C88)&amp;" ")-1),",","."),FIND("/",SUBSTITUTE(LEFT(TRIM(C88),FIND(" ",TRIM(C88)&amp;" ")-1),",","."))+1,9))*12,NA()))),0),18)*'Aturan &amp; Tarif'!$B$4,2)</f>
        <v>1022.04</v>
      </c>
      <c r="K88" s="42" t="n">
        <f aca="false">'Aturan &amp; Tarif'!$B$5</f>
        <v>2050</v>
      </c>
      <c r="L88" s="42" t="n">
        <f aca="false">'Aturan &amp; Tarif'!$B$6</f>
        <v>350</v>
      </c>
      <c r="M88" s="35" t="n">
        <f aca="false">I88+J88+K88+L88</f>
        <v>20790.04</v>
      </c>
      <c r="N88" s="45" t="s">
        <v>512</v>
      </c>
    </row>
    <row r="89" customFormat="false" ht="25.5" hidden="false" customHeight="true" outlineLevel="0" collapsed="false">
      <c r="A89" s="39"/>
      <c r="B89" s="40" t="s">
        <v>569</v>
      </c>
      <c r="C89" s="41" t="s">
        <v>107</v>
      </c>
      <c r="D89" s="41" t="s">
        <v>108</v>
      </c>
      <c r="E89" s="42" t="n">
        <v>8684</v>
      </c>
      <c r="F89" s="42"/>
      <c r="G89" s="42"/>
      <c r="H89" s="43" t="n">
        <v>2</v>
      </c>
      <c r="I89" s="34" t="n">
        <f aca="false">E89*H89+N(F89)+N(G89)</f>
        <v>17368</v>
      </c>
      <c r="J89" s="42" t="n">
        <f aca="false">ROUND(IFERROR(ROUND(IF(OR(ISNUMBER(SEARCH("week",C89)),ISNUMBER(SEARCH("minggu",C89))),IFERROR(_xlfn.NUMBERVALUE(SUBSTITUTE(LEFT(TRIM(C89),FIND(" ",TRIM(C89)&amp;" ")-1),",","."),"."),LEFT(SUBSTITUTE(LEFT(TRIM(C89),FIND(" ",TRIM(C89)&amp;" ")-1),",","."),FIND("/",SUBSTITUTE(LEFT(TRIM(C89),FIND(" ",TRIM(C89)&amp;" ")-1),",","."))-1)/MID(SUBSTITUTE(LEFT(TRIM(C89),FIND(" ",TRIM(C89)&amp;" ")-1),",","."),FIND("/",SUBSTITUTE(LEFT(TRIM(C89),FIND(" ",TRIM(C89)&amp;" ")-1),",","."))+1,9))*12/52,IF(ISNUMBER(SEARCH("month",C89)),IFERROR(_xlfn.NUMBERVALUE(SUBSTITUTE(LEFT(TRIM(C89),FIND(" ",TRIM(C89)&amp;" ")-1),",","."),"."),LEFT(SUBSTITUTE(LEFT(TRIM(C89),FIND(" ",TRIM(C89)&amp;" ")-1),",","."),FIND("/",SUBSTITUTE(LEFT(TRIM(C89),FIND(" ",TRIM(C89)&amp;" ")-1),",","."))-1)/MID(SUBSTITUTE(LEFT(TRIM(C89),FIND(" ",TRIM(C89)&amp;" ")-1),",","."),FIND("/",SUBSTITUTE(LEFT(TRIM(C89),FIND(" ",TRIM(C89)&amp;" ")-1),",","."))+1,9)),IF(ISNUMBER(SEARCH("yea",C89)),IFERROR(_xlfn.NUMBERVALUE(SUBSTITUTE(LEFT(TRIM(C89),FIND(" ",TRIM(C89)&amp;" ")-1),",","."),"."),LEFT(SUBSTITUTE(LEFT(TRIM(C89),FIND(" ",TRIM(C89)&amp;" ")-1),",","."),FIND("/",SUBSTITUTE(LEFT(TRIM(C89),FIND(" ",TRIM(C89)&amp;" ")-1),",","."))-1)/MID(SUBSTITUTE(LEFT(TRIM(C89),FIND(" ",TRIM(C89)&amp;" ")-1),",","."),FIND("/",SUBSTITUTE(LEFT(TRIM(C89),FIND(" ",TRIM(C89)&amp;" ")-1),",","."))+1,9))*12,NA()))),0),24)*'Aturan &amp; Tarif'!$B$4,2)</f>
        <v>1362.72</v>
      </c>
      <c r="K89" s="42" t="n">
        <f aca="false">'Aturan &amp; Tarif'!$B$5</f>
        <v>2050</v>
      </c>
      <c r="L89" s="42" t="n">
        <f aca="false">'Aturan &amp; Tarif'!$B$6</f>
        <v>350</v>
      </c>
      <c r="M89" s="35" t="n">
        <f aca="false">I89+J89+K89+L89</f>
        <v>21130.72</v>
      </c>
      <c r="N89" s="45" t="s">
        <v>512</v>
      </c>
    </row>
    <row r="90" customFormat="false" ht="14.25" hidden="false" customHeight="true" outlineLevel="0" collapsed="false">
      <c r="A90" s="39"/>
      <c r="B90" s="40" t="s">
        <v>570</v>
      </c>
      <c r="C90" s="41" t="s">
        <v>130</v>
      </c>
      <c r="D90" s="41" t="s">
        <v>108</v>
      </c>
      <c r="E90" s="42" t="n">
        <v>8896</v>
      </c>
      <c r="F90" s="42"/>
      <c r="G90" s="42"/>
      <c r="H90" s="43" t="n">
        <v>2</v>
      </c>
      <c r="I90" s="34" t="n">
        <f aca="false">E90*H90+N(F90)+N(G90)</f>
        <v>17792</v>
      </c>
      <c r="J90" s="42" t="n">
        <f aca="false">ROUND(IFERROR(ROUND(IF(OR(ISNUMBER(SEARCH("week",C90)),ISNUMBER(SEARCH("minggu",C90))),IFERROR(_xlfn.NUMBERVALUE(SUBSTITUTE(LEFT(TRIM(C90),FIND(" ",TRIM(C90)&amp;" ")-1),",","."),"."),LEFT(SUBSTITUTE(LEFT(TRIM(C90),FIND(" ",TRIM(C90)&amp;" ")-1),",","."),FIND("/",SUBSTITUTE(LEFT(TRIM(C90),FIND(" ",TRIM(C90)&amp;" ")-1),",","."))-1)/MID(SUBSTITUTE(LEFT(TRIM(C90),FIND(" ",TRIM(C90)&amp;" ")-1),",","."),FIND("/",SUBSTITUTE(LEFT(TRIM(C90),FIND(" ",TRIM(C90)&amp;" ")-1),",","."))+1,9))*12/52,IF(ISNUMBER(SEARCH("month",C90)),IFERROR(_xlfn.NUMBERVALUE(SUBSTITUTE(LEFT(TRIM(C90),FIND(" ",TRIM(C90)&amp;" ")-1),",","."),"."),LEFT(SUBSTITUTE(LEFT(TRIM(C90),FIND(" ",TRIM(C90)&amp;" ")-1),",","."),FIND("/",SUBSTITUTE(LEFT(TRIM(C90),FIND(" ",TRIM(C90)&amp;" ")-1),",","."))-1)/MID(SUBSTITUTE(LEFT(TRIM(C90),FIND(" ",TRIM(C90)&amp;" ")-1),",","."),FIND("/",SUBSTITUTE(LEFT(TRIM(C90),FIND(" ",TRIM(C90)&amp;" ")-1),",","."))+1,9)),IF(ISNUMBER(SEARCH("yea",C90)),IFERROR(_xlfn.NUMBERVALUE(SUBSTITUTE(LEFT(TRIM(C90),FIND(" ",TRIM(C90)&amp;" ")-1),",","."),"."),LEFT(SUBSTITUTE(LEFT(TRIM(C90),FIND(" ",TRIM(C90)&amp;" ")-1),",","."),FIND("/",SUBSTITUTE(LEFT(TRIM(C90),FIND(" ",TRIM(C90)&amp;" ")-1),",","."))-1)/MID(SUBSTITUTE(LEFT(TRIM(C90),FIND(" ",TRIM(C90)&amp;" ")-1),",","."),FIND("/",SUBSTITUTE(LEFT(TRIM(C90),FIND(" ",TRIM(C90)&amp;" ")-1),",","."))+1,9))*12,NA()))),0),12)*'Aturan &amp; Tarif'!$B$4,2)</f>
        <v>681.36</v>
      </c>
      <c r="K90" s="42" t="n">
        <f aca="false">'Aturan &amp; Tarif'!$B$5</f>
        <v>2050</v>
      </c>
      <c r="L90" s="42" t="n">
        <f aca="false">'Aturan &amp; Tarif'!$B$6</f>
        <v>350</v>
      </c>
      <c r="M90" s="35" t="n">
        <f aca="false">I90+J90+K90+L90</f>
        <v>20873.36</v>
      </c>
      <c r="N90" s="45" t="s">
        <v>512</v>
      </c>
    </row>
    <row r="91" customFormat="false" ht="14.25" hidden="false" customHeight="true" outlineLevel="0" collapsed="false">
      <c r="A91" s="39"/>
      <c r="B91" s="40" t="s">
        <v>379</v>
      </c>
      <c r="C91" s="41" t="s">
        <v>127</v>
      </c>
      <c r="D91" s="41" t="s">
        <v>108</v>
      </c>
      <c r="E91" s="42" t="n">
        <v>9120</v>
      </c>
      <c r="F91" s="42"/>
      <c r="G91" s="42"/>
      <c r="H91" s="43" t="n">
        <v>2</v>
      </c>
      <c r="I91" s="34" t="n">
        <f aca="false">E91*H91+N(F91)+N(G91)</f>
        <v>18240</v>
      </c>
      <c r="J91" s="42" t="n">
        <f aca="false">ROUND(IFERROR(ROUND(IF(OR(ISNUMBER(SEARCH("week",C91)),ISNUMBER(SEARCH("minggu",C91))),IFERROR(_xlfn.NUMBERVALUE(SUBSTITUTE(LEFT(TRIM(C91),FIND(" ",TRIM(C91)&amp;" ")-1),",","."),"."),LEFT(SUBSTITUTE(LEFT(TRIM(C91),FIND(" ",TRIM(C91)&amp;" ")-1),",","."),FIND("/",SUBSTITUTE(LEFT(TRIM(C91),FIND(" ",TRIM(C91)&amp;" ")-1),",","."))-1)/MID(SUBSTITUTE(LEFT(TRIM(C91),FIND(" ",TRIM(C91)&amp;" ")-1),",","."),FIND("/",SUBSTITUTE(LEFT(TRIM(C91),FIND(" ",TRIM(C91)&amp;" ")-1),",","."))+1,9))*12/52,IF(ISNUMBER(SEARCH("month",C91)),IFERROR(_xlfn.NUMBERVALUE(SUBSTITUTE(LEFT(TRIM(C91),FIND(" ",TRIM(C91)&amp;" ")-1),",","."),"."),LEFT(SUBSTITUTE(LEFT(TRIM(C91),FIND(" ",TRIM(C91)&amp;" ")-1),",","."),FIND("/",SUBSTITUTE(LEFT(TRIM(C91),FIND(" ",TRIM(C91)&amp;" ")-1),",","."))-1)/MID(SUBSTITUTE(LEFT(TRIM(C91),FIND(" ",TRIM(C91)&amp;" ")-1),",","."),FIND("/",SUBSTITUTE(LEFT(TRIM(C91),FIND(" ",TRIM(C91)&amp;" ")-1),",","."))+1,9)),IF(ISNUMBER(SEARCH("yea",C91)),IFERROR(_xlfn.NUMBERVALUE(SUBSTITUTE(LEFT(TRIM(C91),FIND(" ",TRIM(C91)&amp;" ")-1),",","."),"."),LEFT(SUBSTITUTE(LEFT(TRIM(C91),FIND(" ",TRIM(C91)&amp;" ")-1),",","."),FIND("/",SUBSTITUTE(LEFT(TRIM(C91),FIND(" ",TRIM(C91)&amp;" ")-1),",","."))-1)/MID(SUBSTITUTE(LEFT(TRIM(C91),FIND(" ",TRIM(C91)&amp;" ")-1),",","."),FIND("/",SUBSTITUTE(LEFT(TRIM(C91),FIND(" ",TRIM(C91)&amp;" ")-1),",","."))+1,9))*12,NA()))),0),36)*'Aturan &amp; Tarif'!$B$4,2)</f>
        <v>2044.08</v>
      </c>
      <c r="K91" s="42" t="n">
        <f aca="false">'Aturan &amp; Tarif'!$B$5</f>
        <v>2050</v>
      </c>
      <c r="L91" s="42" t="n">
        <f aca="false">'Aturan &amp; Tarif'!$B$6</f>
        <v>350</v>
      </c>
      <c r="M91" s="35" t="n">
        <f aca="false">I91+J91+K91+L91</f>
        <v>22684.08</v>
      </c>
      <c r="N91" s="45" t="s">
        <v>512</v>
      </c>
    </row>
    <row r="92" customFormat="false" ht="25.5" hidden="false" customHeight="true" outlineLevel="0" collapsed="false">
      <c r="A92" s="39"/>
      <c r="B92" s="40" t="s">
        <v>571</v>
      </c>
      <c r="C92" s="41" t="s">
        <v>191</v>
      </c>
      <c r="D92" s="41" t="s">
        <v>108</v>
      </c>
      <c r="E92" s="42" t="n">
        <v>8896</v>
      </c>
      <c r="F92" s="42"/>
      <c r="G92" s="42"/>
      <c r="H92" s="43" t="n">
        <v>2</v>
      </c>
      <c r="I92" s="34" t="n">
        <f aca="false">E92*H92+N(F92)+N(G92)</f>
        <v>17792</v>
      </c>
      <c r="J92" s="42" t="n">
        <f aca="false">ROUND(IFERROR(ROUND(IF(OR(ISNUMBER(SEARCH("week",C92)),ISNUMBER(SEARCH("minggu",C92))),IFERROR(_xlfn.NUMBERVALUE(SUBSTITUTE(LEFT(TRIM(C92),FIND(" ",TRIM(C92)&amp;" ")-1),",","."),"."),LEFT(SUBSTITUTE(LEFT(TRIM(C92),FIND(" ",TRIM(C92)&amp;" ")-1),",","."),FIND("/",SUBSTITUTE(LEFT(TRIM(C92),FIND(" ",TRIM(C92)&amp;" ")-1),",","."))-1)/MID(SUBSTITUTE(LEFT(TRIM(C92),FIND(" ",TRIM(C92)&amp;" ")-1),",","."),FIND("/",SUBSTITUTE(LEFT(TRIM(C92),FIND(" ",TRIM(C92)&amp;" ")-1),",","."))+1,9))*12/52,IF(ISNUMBER(SEARCH("month",C92)),IFERROR(_xlfn.NUMBERVALUE(SUBSTITUTE(LEFT(TRIM(C92),FIND(" ",TRIM(C92)&amp;" ")-1),",","."),"."),LEFT(SUBSTITUTE(LEFT(TRIM(C92),FIND(" ",TRIM(C92)&amp;" ")-1),",","."),FIND("/",SUBSTITUTE(LEFT(TRIM(C92),FIND(" ",TRIM(C92)&amp;" ")-1),",","."))-1)/MID(SUBSTITUTE(LEFT(TRIM(C92),FIND(" ",TRIM(C92)&amp;" ")-1),",","."),FIND("/",SUBSTITUTE(LEFT(TRIM(C92),FIND(" ",TRIM(C92)&amp;" ")-1),",","."))+1,9)),IF(ISNUMBER(SEARCH("yea",C92)),IFERROR(_xlfn.NUMBERVALUE(SUBSTITUTE(LEFT(TRIM(C92),FIND(" ",TRIM(C92)&amp;" ")-1),",","."),"."),LEFT(SUBSTITUTE(LEFT(TRIM(C92),FIND(" ",TRIM(C92)&amp;" ")-1),",","."),FIND("/",SUBSTITUTE(LEFT(TRIM(C92),FIND(" ",TRIM(C92)&amp;" ")-1),",","."))-1)/MID(SUBSTITUTE(LEFT(TRIM(C92),FIND(" ",TRIM(C92)&amp;" ")-1),",","."),FIND("/",SUBSTITUTE(LEFT(TRIM(C92),FIND(" ",TRIM(C92)&amp;" ")-1),",","."))+1,9))*12,NA()))),0),48)*'Aturan &amp; Tarif'!$B$4,2)</f>
        <v>2725.44</v>
      </c>
      <c r="K92" s="42" t="n">
        <f aca="false">'Aturan &amp; Tarif'!$B$5</f>
        <v>2050</v>
      </c>
      <c r="L92" s="42" t="n">
        <f aca="false">'Aturan &amp; Tarif'!$B$6</f>
        <v>350</v>
      </c>
      <c r="M92" s="35" t="n">
        <f aca="false">I92+J92+K92+L92</f>
        <v>22917.44</v>
      </c>
      <c r="N92" s="45" t="s">
        <v>512</v>
      </c>
    </row>
    <row r="93" customFormat="false" ht="25.5" hidden="false" customHeight="true" outlineLevel="0" collapsed="false">
      <c r="A93" s="39"/>
      <c r="B93" s="40" t="s">
        <v>572</v>
      </c>
      <c r="C93" s="41" t="s">
        <v>191</v>
      </c>
      <c r="D93" s="41" t="s">
        <v>108</v>
      </c>
      <c r="E93" s="42" t="n">
        <v>8896</v>
      </c>
      <c r="F93" s="42"/>
      <c r="G93" s="42"/>
      <c r="H93" s="43" t="n">
        <v>2</v>
      </c>
      <c r="I93" s="34" t="n">
        <f aca="false">E93*H93+N(F93)+N(G93)</f>
        <v>17792</v>
      </c>
      <c r="J93" s="42" t="n">
        <f aca="false">ROUND(IFERROR(ROUND(IF(OR(ISNUMBER(SEARCH("week",C93)),ISNUMBER(SEARCH("minggu",C93))),IFERROR(_xlfn.NUMBERVALUE(SUBSTITUTE(LEFT(TRIM(C93),FIND(" ",TRIM(C93)&amp;" ")-1),",","."),"."),LEFT(SUBSTITUTE(LEFT(TRIM(C93),FIND(" ",TRIM(C93)&amp;" ")-1),",","."),FIND("/",SUBSTITUTE(LEFT(TRIM(C93),FIND(" ",TRIM(C93)&amp;" ")-1),",","."))-1)/MID(SUBSTITUTE(LEFT(TRIM(C93),FIND(" ",TRIM(C93)&amp;" ")-1),",","."),FIND("/",SUBSTITUTE(LEFT(TRIM(C93),FIND(" ",TRIM(C93)&amp;" ")-1),",","."))+1,9))*12/52,IF(ISNUMBER(SEARCH("month",C93)),IFERROR(_xlfn.NUMBERVALUE(SUBSTITUTE(LEFT(TRIM(C93),FIND(" ",TRIM(C93)&amp;" ")-1),",","."),"."),LEFT(SUBSTITUTE(LEFT(TRIM(C93),FIND(" ",TRIM(C93)&amp;" ")-1),",","."),FIND("/",SUBSTITUTE(LEFT(TRIM(C93),FIND(" ",TRIM(C93)&amp;" ")-1),",","."))-1)/MID(SUBSTITUTE(LEFT(TRIM(C93),FIND(" ",TRIM(C93)&amp;" ")-1),",","."),FIND("/",SUBSTITUTE(LEFT(TRIM(C93),FIND(" ",TRIM(C93)&amp;" ")-1),",","."))+1,9)),IF(ISNUMBER(SEARCH("yea",C93)),IFERROR(_xlfn.NUMBERVALUE(SUBSTITUTE(LEFT(TRIM(C93),FIND(" ",TRIM(C93)&amp;" ")-1),",","."),"."),LEFT(SUBSTITUTE(LEFT(TRIM(C93),FIND(" ",TRIM(C93)&amp;" ")-1),",","."),FIND("/",SUBSTITUTE(LEFT(TRIM(C93),FIND(" ",TRIM(C93)&amp;" ")-1),",","."))-1)/MID(SUBSTITUTE(LEFT(TRIM(C93),FIND(" ",TRIM(C93)&amp;" ")-1),",","."),FIND("/",SUBSTITUTE(LEFT(TRIM(C93),FIND(" ",TRIM(C93)&amp;" ")-1),",","."))+1,9))*12,NA()))),0),48)*'Aturan &amp; Tarif'!$B$4,2)</f>
        <v>2725.44</v>
      </c>
      <c r="K93" s="42" t="n">
        <f aca="false">'Aturan &amp; Tarif'!$B$5</f>
        <v>2050</v>
      </c>
      <c r="L93" s="42" t="n">
        <f aca="false">'Aturan &amp; Tarif'!$B$6</f>
        <v>350</v>
      </c>
      <c r="M93" s="35" t="n">
        <f aca="false">I93+J93+K93+L93</f>
        <v>22917.44</v>
      </c>
      <c r="N93" s="45" t="s">
        <v>512</v>
      </c>
    </row>
    <row r="94" customFormat="false" ht="25.5" hidden="false" customHeight="true" outlineLevel="0" collapsed="false">
      <c r="A94" s="39"/>
      <c r="B94" s="40" t="s">
        <v>573</v>
      </c>
      <c r="C94" s="41" t="s">
        <v>191</v>
      </c>
      <c r="D94" s="41" t="s">
        <v>108</v>
      </c>
      <c r="E94" s="42" t="n">
        <v>8896</v>
      </c>
      <c r="F94" s="42"/>
      <c r="G94" s="42"/>
      <c r="H94" s="43" t="n">
        <v>2</v>
      </c>
      <c r="I94" s="34" t="n">
        <f aca="false">E94*H94+N(F94)+N(G94)</f>
        <v>17792</v>
      </c>
      <c r="J94" s="42" t="n">
        <f aca="false">ROUND(IFERROR(ROUND(IF(OR(ISNUMBER(SEARCH("week",C94)),ISNUMBER(SEARCH("minggu",C94))),IFERROR(_xlfn.NUMBERVALUE(SUBSTITUTE(LEFT(TRIM(C94),FIND(" ",TRIM(C94)&amp;" ")-1),",","."),"."),LEFT(SUBSTITUTE(LEFT(TRIM(C94),FIND(" ",TRIM(C94)&amp;" ")-1),",","."),FIND("/",SUBSTITUTE(LEFT(TRIM(C94),FIND(" ",TRIM(C94)&amp;" ")-1),",","."))-1)/MID(SUBSTITUTE(LEFT(TRIM(C94),FIND(" ",TRIM(C94)&amp;" ")-1),",","."),FIND("/",SUBSTITUTE(LEFT(TRIM(C94),FIND(" ",TRIM(C94)&amp;" ")-1),",","."))+1,9))*12/52,IF(ISNUMBER(SEARCH("month",C94)),IFERROR(_xlfn.NUMBERVALUE(SUBSTITUTE(LEFT(TRIM(C94),FIND(" ",TRIM(C94)&amp;" ")-1),",","."),"."),LEFT(SUBSTITUTE(LEFT(TRIM(C94),FIND(" ",TRIM(C94)&amp;" ")-1),",","."),FIND("/",SUBSTITUTE(LEFT(TRIM(C94),FIND(" ",TRIM(C94)&amp;" ")-1),",","."))-1)/MID(SUBSTITUTE(LEFT(TRIM(C94),FIND(" ",TRIM(C94)&amp;" ")-1),",","."),FIND("/",SUBSTITUTE(LEFT(TRIM(C94),FIND(" ",TRIM(C94)&amp;" ")-1),",","."))+1,9)),IF(ISNUMBER(SEARCH("yea",C94)),IFERROR(_xlfn.NUMBERVALUE(SUBSTITUTE(LEFT(TRIM(C94),FIND(" ",TRIM(C94)&amp;" ")-1),",","."),"."),LEFT(SUBSTITUTE(LEFT(TRIM(C94),FIND(" ",TRIM(C94)&amp;" ")-1),",","."),FIND("/",SUBSTITUTE(LEFT(TRIM(C94),FIND(" ",TRIM(C94)&amp;" ")-1),",","."))-1)/MID(SUBSTITUTE(LEFT(TRIM(C94),FIND(" ",TRIM(C94)&amp;" ")-1),",","."),FIND("/",SUBSTITUTE(LEFT(TRIM(C94),FIND(" ",TRIM(C94)&amp;" ")-1),",","."))+1,9))*12,NA()))),0),48)*'Aturan &amp; Tarif'!$B$4,2)</f>
        <v>2725.44</v>
      </c>
      <c r="K94" s="42" t="n">
        <f aca="false">'Aturan &amp; Tarif'!$B$5</f>
        <v>2050</v>
      </c>
      <c r="L94" s="42" t="n">
        <f aca="false">'Aturan &amp; Tarif'!$B$6</f>
        <v>350</v>
      </c>
      <c r="M94" s="35" t="n">
        <f aca="false">I94+J94+K94+L94</f>
        <v>22917.44</v>
      </c>
      <c r="N94" s="45" t="s">
        <v>512</v>
      </c>
    </row>
    <row r="95" customFormat="false" ht="25.5" hidden="false" customHeight="true" outlineLevel="0" collapsed="false">
      <c r="A95" s="39"/>
      <c r="B95" s="40" t="s">
        <v>574</v>
      </c>
      <c r="C95" s="41" t="s">
        <v>191</v>
      </c>
      <c r="D95" s="41" t="s">
        <v>108</v>
      </c>
      <c r="E95" s="42" t="n">
        <v>9120</v>
      </c>
      <c r="F95" s="42"/>
      <c r="G95" s="42"/>
      <c r="H95" s="43" t="n">
        <v>2</v>
      </c>
      <c r="I95" s="34" t="n">
        <f aca="false">E95*H95+N(F95)+N(G95)</f>
        <v>18240</v>
      </c>
      <c r="J95" s="42" t="n">
        <f aca="false">ROUND(IFERROR(ROUND(IF(OR(ISNUMBER(SEARCH("week",C95)),ISNUMBER(SEARCH("minggu",C95))),IFERROR(_xlfn.NUMBERVALUE(SUBSTITUTE(LEFT(TRIM(C95),FIND(" ",TRIM(C95)&amp;" ")-1),",","."),"."),LEFT(SUBSTITUTE(LEFT(TRIM(C95),FIND(" ",TRIM(C95)&amp;" ")-1),",","."),FIND("/",SUBSTITUTE(LEFT(TRIM(C95),FIND(" ",TRIM(C95)&amp;" ")-1),",","."))-1)/MID(SUBSTITUTE(LEFT(TRIM(C95),FIND(" ",TRIM(C95)&amp;" ")-1),",","."),FIND("/",SUBSTITUTE(LEFT(TRIM(C95),FIND(" ",TRIM(C95)&amp;" ")-1),",","."))+1,9))*12/52,IF(ISNUMBER(SEARCH("month",C95)),IFERROR(_xlfn.NUMBERVALUE(SUBSTITUTE(LEFT(TRIM(C95),FIND(" ",TRIM(C95)&amp;" ")-1),",","."),"."),LEFT(SUBSTITUTE(LEFT(TRIM(C95),FIND(" ",TRIM(C95)&amp;" ")-1),",","."),FIND("/",SUBSTITUTE(LEFT(TRIM(C95),FIND(" ",TRIM(C95)&amp;" ")-1),",","."))-1)/MID(SUBSTITUTE(LEFT(TRIM(C95),FIND(" ",TRIM(C95)&amp;" ")-1),",","."),FIND("/",SUBSTITUTE(LEFT(TRIM(C95),FIND(" ",TRIM(C95)&amp;" ")-1),",","."))+1,9)),IF(ISNUMBER(SEARCH("yea",C95)),IFERROR(_xlfn.NUMBERVALUE(SUBSTITUTE(LEFT(TRIM(C95),FIND(" ",TRIM(C95)&amp;" ")-1),",","."),"."),LEFT(SUBSTITUTE(LEFT(TRIM(C95),FIND(" ",TRIM(C95)&amp;" ")-1),",","."),FIND("/",SUBSTITUTE(LEFT(TRIM(C95),FIND(" ",TRIM(C95)&amp;" ")-1),",","."))-1)/MID(SUBSTITUTE(LEFT(TRIM(C95),FIND(" ",TRIM(C95)&amp;" ")-1),",","."),FIND("/",SUBSTITUTE(LEFT(TRIM(C95),FIND(" ",TRIM(C95)&amp;" ")-1),",","."))+1,9))*12,NA()))),0),48)*'Aturan &amp; Tarif'!$B$4,2)</f>
        <v>2725.44</v>
      </c>
      <c r="K95" s="42" t="n">
        <f aca="false">'Aturan &amp; Tarif'!$B$5</f>
        <v>2050</v>
      </c>
      <c r="L95" s="42" t="n">
        <f aca="false">'Aturan &amp; Tarif'!$B$6</f>
        <v>350</v>
      </c>
      <c r="M95" s="35" t="n">
        <f aca="false">I95+J95+K95+L95</f>
        <v>23365.44</v>
      </c>
      <c r="N95" s="45" t="s">
        <v>512</v>
      </c>
    </row>
    <row r="96" customFormat="false" ht="14.25" hidden="false" customHeight="true" outlineLevel="0" collapsed="false">
      <c r="A96" s="39"/>
      <c r="B96" s="40" t="s">
        <v>575</v>
      </c>
      <c r="C96" s="41" t="s">
        <v>127</v>
      </c>
      <c r="D96" s="41" t="s">
        <v>108</v>
      </c>
      <c r="E96" s="42" t="n">
        <v>8896</v>
      </c>
      <c r="F96" s="42"/>
      <c r="G96" s="42"/>
      <c r="H96" s="43" t="n">
        <v>2</v>
      </c>
      <c r="I96" s="34" t="n">
        <f aca="false">E96*H96+N(F96)+N(G96)</f>
        <v>17792</v>
      </c>
      <c r="J96" s="42" t="n">
        <f aca="false">ROUND(IFERROR(ROUND(IF(OR(ISNUMBER(SEARCH("week",C96)),ISNUMBER(SEARCH("minggu",C96))),IFERROR(_xlfn.NUMBERVALUE(SUBSTITUTE(LEFT(TRIM(C96),FIND(" ",TRIM(C96)&amp;" ")-1),",","."),"."),LEFT(SUBSTITUTE(LEFT(TRIM(C96),FIND(" ",TRIM(C96)&amp;" ")-1),",","."),FIND("/",SUBSTITUTE(LEFT(TRIM(C96),FIND(" ",TRIM(C96)&amp;" ")-1),",","."))-1)/MID(SUBSTITUTE(LEFT(TRIM(C96),FIND(" ",TRIM(C96)&amp;" ")-1),",","."),FIND("/",SUBSTITUTE(LEFT(TRIM(C96),FIND(" ",TRIM(C96)&amp;" ")-1),",","."))+1,9))*12/52,IF(ISNUMBER(SEARCH("month",C96)),IFERROR(_xlfn.NUMBERVALUE(SUBSTITUTE(LEFT(TRIM(C96),FIND(" ",TRIM(C96)&amp;" ")-1),",","."),"."),LEFT(SUBSTITUTE(LEFT(TRIM(C96),FIND(" ",TRIM(C96)&amp;" ")-1),",","."),FIND("/",SUBSTITUTE(LEFT(TRIM(C96),FIND(" ",TRIM(C96)&amp;" ")-1),",","."))-1)/MID(SUBSTITUTE(LEFT(TRIM(C96),FIND(" ",TRIM(C96)&amp;" ")-1),",","."),FIND("/",SUBSTITUTE(LEFT(TRIM(C96),FIND(" ",TRIM(C96)&amp;" ")-1),",","."))+1,9)),IF(ISNUMBER(SEARCH("yea",C96)),IFERROR(_xlfn.NUMBERVALUE(SUBSTITUTE(LEFT(TRIM(C96),FIND(" ",TRIM(C96)&amp;" ")-1),",","."),"."),LEFT(SUBSTITUTE(LEFT(TRIM(C96),FIND(" ",TRIM(C96)&amp;" ")-1),",","."),FIND("/",SUBSTITUTE(LEFT(TRIM(C96),FIND(" ",TRIM(C96)&amp;" ")-1),",","."))-1)/MID(SUBSTITUTE(LEFT(TRIM(C96),FIND(" ",TRIM(C96)&amp;" ")-1),",","."),FIND("/",SUBSTITUTE(LEFT(TRIM(C96),FIND(" ",TRIM(C96)&amp;" ")-1),",","."))+1,9))*12,NA()))),0),36)*'Aturan &amp; Tarif'!$B$4,2)</f>
        <v>2044.08</v>
      </c>
      <c r="K96" s="42" t="n">
        <f aca="false">'Aturan &amp; Tarif'!$B$5</f>
        <v>2050</v>
      </c>
      <c r="L96" s="42" t="n">
        <f aca="false">'Aturan &amp; Tarif'!$B$6</f>
        <v>350</v>
      </c>
      <c r="M96" s="35" t="n">
        <f aca="false">I96+J96+K96+L96</f>
        <v>22236.08</v>
      </c>
      <c r="N96" s="45" t="s">
        <v>512</v>
      </c>
    </row>
    <row r="97" customFormat="false" ht="14.25" hidden="false" customHeight="true" outlineLevel="0" collapsed="false">
      <c r="A97" s="39"/>
      <c r="B97" s="40" t="s">
        <v>576</v>
      </c>
      <c r="C97" s="41" t="s">
        <v>127</v>
      </c>
      <c r="D97" s="41" t="s">
        <v>108</v>
      </c>
      <c r="E97" s="42" t="n">
        <v>8896</v>
      </c>
      <c r="F97" s="42"/>
      <c r="G97" s="42"/>
      <c r="H97" s="43" t="n">
        <v>2</v>
      </c>
      <c r="I97" s="34" t="n">
        <f aca="false">E97*H97+N(F97)+N(G97)</f>
        <v>17792</v>
      </c>
      <c r="J97" s="42" t="n">
        <f aca="false">ROUND(IFERROR(ROUND(IF(OR(ISNUMBER(SEARCH("week",C97)),ISNUMBER(SEARCH("minggu",C97))),IFERROR(_xlfn.NUMBERVALUE(SUBSTITUTE(LEFT(TRIM(C97),FIND(" ",TRIM(C97)&amp;" ")-1),",","."),"."),LEFT(SUBSTITUTE(LEFT(TRIM(C97),FIND(" ",TRIM(C97)&amp;" ")-1),",","."),FIND("/",SUBSTITUTE(LEFT(TRIM(C97),FIND(" ",TRIM(C97)&amp;" ")-1),",","."))-1)/MID(SUBSTITUTE(LEFT(TRIM(C97),FIND(" ",TRIM(C97)&amp;" ")-1),",","."),FIND("/",SUBSTITUTE(LEFT(TRIM(C97),FIND(" ",TRIM(C97)&amp;" ")-1),",","."))+1,9))*12/52,IF(ISNUMBER(SEARCH("month",C97)),IFERROR(_xlfn.NUMBERVALUE(SUBSTITUTE(LEFT(TRIM(C97),FIND(" ",TRIM(C97)&amp;" ")-1),",","."),"."),LEFT(SUBSTITUTE(LEFT(TRIM(C97),FIND(" ",TRIM(C97)&amp;" ")-1),",","."),FIND("/",SUBSTITUTE(LEFT(TRIM(C97),FIND(" ",TRIM(C97)&amp;" ")-1),",","."))-1)/MID(SUBSTITUTE(LEFT(TRIM(C97),FIND(" ",TRIM(C97)&amp;" ")-1),",","."),FIND("/",SUBSTITUTE(LEFT(TRIM(C97),FIND(" ",TRIM(C97)&amp;" ")-1),",","."))+1,9)),IF(ISNUMBER(SEARCH("yea",C97)),IFERROR(_xlfn.NUMBERVALUE(SUBSTITUTE(LEFT(TRIM(C97),FIND(" ",TRIM(C97)&amp;" ")-1),",","."),"."),LEFT(SUBSTITUTE(LEFT(TRIM(C97),FIND(" ",TRIM(C97)&amp;" ")-1),",","."),FIND("/",SUBSTITUTE(LEFT(TRIM(C97),FIND(" ",TRIM(C97)&amp;" ")-1),",","."))-1)/MID(SUBSTITUTE(LEFT(TRIM(C97),FIND(" ",TRIM(C97)&amp;" ")-1),",","."),FIND("/",SUBSTITUTE(LEFT(TRIM(C97),FIND(" ",TRIM(C97)&amp;" ")-1),",","."))+1,9))*12,NA()))),0),36)*'Aturan &amp; Tarif'!$B$4,2)</f>
        <v>2044.08</v>
      </c>
      <c r="K97" s="42" t="n">
        <f aca="false">'Aturan &amp; Tarif'!$B$5</f>
        <v>2050</v>
      </c>
      <c r="L97" s="42" t="n">
        <f aca="false">'Aturan &amp; Tarif'!$B$6</f>
        <v>350</v>
      </c>
      <c r="M97" s="35" t="n">
        <f aca="false">I97+J97+K97+L97</f>
        <v>22236.08</v>
      </c>
      <c r="N97" s="45" t="s">
        <v>512</v>
      </c>
    </row>
    <row r="98" customFormat="false" ht="14.25" hidden="false" customHeight="true" outlineLevel="0" collapsed="false">
      <c r="A98" s="39"/>
      <c r="B98" s="40" t="s">
        <v>577</v>
      </c>
      <c r="C98" s="41" t="s">
        <v>127</v>
      </c>
      <c r="D98" s="41" t="s">
        <v>108</v>
      </c>
      <c r="E98" s="42" t="n">
        <v>8896</v>
      </c>
      <c r="F98" s="42"/>
      <c r="G98" s="42"/>
      <c r="H98" s="43" t="n">
        <v>2</v>
      </c>
      <c r="I98" s="34" t="n">
        <f aca="false">E98*H98+N(F98)+N(G98)</f>
        <v>17792</v>
      </c>
      <c r="J98" s="42" t="n">
        <f aca="false">ROUND(IFERROR(ROUND(IF(OR(ISNUMBER(SEARCH("week",C98)),ISNUMBER(SEARCH("minggu",C98))),IFERROR(_xlfn.NUMBERVALUE(SUBSTITUTE(LEFT(TRIM(C98),FIND(" ",TRIM(C98)&amp;" ")-1),",","."),"."),LEFT(SUBSTITUTE(LEFT(TRIM(C98),FIND(" ",TRIM(C98)&amp;" ")-1),",","."),FIND("/",SUBSTITUTE(LEFT(TRIM(C98),FIND(" ",TRIM(C98)&amp;" ")-1),",","."))-1)/MID(SUBSTITUTE(LEFT(TRIM(C98),FIND(" ",TRIM(C98)&amp;" ")-1),",","."),FIND("/",SUBSTITUTE(LEFT(TRIM(C98),FIND(" ",TRIM(C98)&amp;" ")-1),",","."))+1,9))*12/52,IF(ISNUMBER(SEARCH("month",C98)),IFERROR(_xlfn.NUMBERVALUE(SUBSTITUTE(LEFT(TRIM(C98),FIND(" ",TRIM(C98)&amp;" ")-1),",","."),"."),LEFT(SUBSTITUTE(LEFT(TRIM(C98),FIND(" ",TRIM(C98)&amp;" ")-1),",","."),FIND("/",SUBSTITUTE(LEFT(TRIM(C98),FIND(" ",TRIM(C98)&amp;" ")-1),",","."))-1)/MID(SUBSTITUTE(LEFT(TRIM(C98),FIND(" ",TRIM(C98)&amp;" ")-1),",","."),FIND("/",SUBSTITUTE(LEFT(TRIM(C98),FIND(" ",TRIM(C98)&amp;" ")-1),",","."))+1,9)),IF(ISNUMBER(SEARCH("yea",C98)),IFERROR(_xlfn.NUMBERVALUE(SUBSTITUTE(LEFT(TRIM(C98),FIND(" ",TRIM(C98)&amp;" ")-1),",","."),"."),LEFT(SUBSTITUTE(LEFT(TRIM(C98),FIND(" ",TRIM(C98)&amp;" ")-1),",","."),FIND("/",SUBSTITUTE(LEFT(TRIM(C98),FIND(" ",TRIM(C98)&amp;" ")-1),",","."))-1)/MID(SUBSTITUTE(LEFT(TRIM(C98),FIND(" ",TRIM(C98)&amp;" ")-1),",","."),FIND("/",SUBSTITUTE(LEFT(TRIM(C98),FIND(" ",TRIM(C98)&amp;" ")-1),",","."))+1,9))*12,NA()))),0),36)*'Aturan &amp; Tarif'!$B$4,2)</f>
        <v>2044.08</v>
      </c>
      <c r="K98" s="42" t="n">
        <f aca="false">'Aturan &amp; Tarif'!$B$5</f>
        <v>2050</v>
      </c>
      <c r="L98" s="42" t="n">
        <f aca="false">'Aturan &amp; Tarif'!$B$6</f>
        <v>350</v>
      </c>
      <c r="M98" s="35" t="n">
        <f aca="false">I98+J98+K98+L98</f>
        <v>22236.08</v>
      </c>
      <c r="N98" s="45" t="s">
        <v>512</v>
      </c>
    </row>
    <row r="99" customFormat="false" ht="14.25" hidden="false" customHeight="true" outlineLevel="0" collapsed="false">
      <c r="A99" s="39"/>
      <c r="B99" s="40" t="s">
        <v>578</v>
      </c>
      <c r="C99" s="41" t="s">
        <v>127</v>
      </c>
      <c r="D99" s="41" t="s">
        <v>108</v>
      </c>
      <c r="E99" s="42" t="n">
        <v>8896</v>
      </c>
      <c r="F99" s="42"/>
      <c r="G99" s="42"/>
      <c r="H99" s="43" t="n">
        <v>2</v>
      </c>
      <c r="I99" s="34" t="n">
        <f aca="false">E99*H99+N(F99)+N(G99)</f>
        <v>17792</v>
      </c>
      <c r="J99" s="42" t="n">
        <f aca="false">ROUND(IFERROR(ROUND(IF(OR(ISNUMBER(SEARCH("week",C99)),ISNUMBER(SEARCH("minggu",C99))),IFERROR(_xlfn.NUMBERVALUE(SUBSTITUTE(LEFT(TRIM(C99),FIND(" ",TRIM(C99)&amp;" ")-1),",","."),"."),LEFT(SUBSTITUTE(LEFT(TRIM(C99),FIND(" ",TRIM(C99)&amp;" ")-1),",","."),FIND("/",SUBSTITUTE(LEFT(TRIM(C99),FIND(" ",TRIM(C99)&amp;" ")-1),",","."))-1)/MID(SUBSTITUTE(LEFT(TRIM(C99),FIND(" ",TRIM(C99)&amp;" ")-1),",","."),FIND("/",SUBSTITUTE(LEFT(TRIM(C99),FIND(" ",TRIM(C99)&amp;" ")-1),",","."))+1,9))*12/52,IF(ISNUMBER(SEARCH("month",C99)),IFERROR(_xlfn.NUMBERVALUE(SUBSTITUTE(LEFT(TRIM(C99),FIND(" ",TRIM(C99)&amp;" ")-1),",","."),"."),LEFT(SUBSTITUTE(LEFT(TRIM(C99),FIND(" ",TRIM(C99)&amp;" ")-1),",","."),FIND("/",SUBSTITUTE(LEFT(TRIM(C99),FIND(" ",TRIM(C99)&amp;" ")-1),",","."))-1)/MID(SUBSTITUTE(LEFT(TRIM(C99),FIND(" ",TRIM(C99)&amp;" ")-1),",","."),FIND("/",SUBSTITUTE(LEFT(TRIM(C99),FIND(" ",TRIM(C99)&amp;" ")-1),",","."))+1,9)),IF(ISNUMBER(SEARCH("yea",C99)),IFERROR(_xlfn.NUMBERVALUE(SUBSTITUTE(LEFT(TRIM(C99),FIND(" ",TRIM(C99)&amp;" ")-1),",","."),"."),LEFT(SUBSTITUTE(LEFT(TRIM(C99),FIND(" ",TRIM(C99)&amp;" ")-1),",","."),FIND("/",SUBSTITUTE(LEFT(TRIM(C99),FIND(" ",TRIM(C99)&amp;" ")-1),",","."))-1)/MID(SUBSTITUTE(LEFT(TRIM(C99),FIND(" ",TRIM(C99)&amp;" ")-1),",","."),FIND("/",SUBSTITUTE(LEFT(TRIM(C99),FIND(" ",TRIM(C99)&amp;" ")-1),",","."))+1,9))*12,NA()))),0),36)*'Aturan &amp; Tarif'!$B$4,2)</f>
        <v>2044.08</v>
      </c>
      <c r="K99" s="42" t="n">
        <f aca="false">'Aturan &amp; Tarif'!$B$5</f>
        <v>2050</v>
      </c>
      <c r="L99" s="42" t="n">
        <f aca="false">'Aturan &amp; Tarif'!$B$6</f>
        <v>350</v>
      </c>
      <c r="M99" s="35" t="n">
        <f aca="false">I99+J99+K99+L99</f>
        <v>22236.08</v>
      </c>
      <c r="N99" s="45" t="s">
        <v>512</v>
      </c>
    </row>
    <row r="100" customFormat="false" ht="25.5" hidden="false" customHeight="true" outlineLevel="0" collapsed="false">
      <c r="A100" s="39"/>
      <c r="B100" s="40" t="s">
        <v>579</v>
      </c>
      <c r="C100" s="41" t="s">
        <v>344</v>
      </c>
      <c r="D100" s="41" t="s">
        <v>108</v>
      </c>
      <c r="E100" s="42" t="n">
        <v>8684</v>
      </c>
      <c r="F100" s="42"/>
      <c r="G100" s="42"/>
      <c r="H100" s="43" t="n">
        <v>2</v>
      </c>
      <c r="I100" s="34" t="n">
        <f aca="false">E100*H100+N(F100)+N(G100)</f>
        <v>17368</v>
      </c>
      <c r="J100" s="42" t="n">
        <f aca="false">ROUND(IFERROR(ROUND(IF(OR(ISNUMBER(SEARCH("week",C100)),ISNUMBER(SEARCH("minggu",C100))),IFERROR(_xlfn.NUMBERVALUE(SUBSTITUTE(LEFT(TRIM(C100),FIND(" ",TRIM(C100)&amp;" ")-1),",","."),"."),LEFT(SUBSTITUTE(LEFT(TRIM(C100),FIND(" ",TRIM(C100)&amp;" ")-1),",","."),FIND("/",SUBSTITUTE(LEFT(TRIM(C100),FIND(" ",TRIM(C100)&amp;" ")-1),",","."))-1)/MID(SUBSTITUTE(LEFT(TRIM(C100),FIND(" ",TRIM(C100)&amp;" ")-1),",","."),FIND("/",SUBSTITUTE(LEFT(TRIM(C100),FIND(" ",TRIM(C100)&amp;" ")-1),",","."))+1,9))*12/52,IF(ISNUMBER(SEARCH("month",C100)),IFERROR(_xlfn.NUMBERVALUE(SUBSTITUTE(LEFT(TRIM(C100),FIND(" ",TRIM(C100)&amp;" ")-1),",","."),"."),LEFT(SUBSTITUTE(LEFT(TRIM(C100),FIND(" ",TRIM(C100)&amp;" ")-1),",","."),FIND("/",SUBSTITUTE(LEFT(TRIM(C100),FIND(" ",TRIM(C100)&amp;" ")-1),",","."))-1)/MID(SUBSTITUTE(LEFT(TRIM(C100),FIND(" ",TRIM(C100)&amp;" ")-1),",","."),FIND("/",SUBSTITUTE(LEFT(TRIM(C100),FIND(" ",TRIM(C100)&amp;" ")-1),",","."))+1,9)),IF(ISNUMBER(SEARCH("yea",C100)),IFERROR(_xlfn.NUMBERVALUE(SUBSTITUTE(LEFT(TRIM(C100),FIND(" ",TRIM(C100)&amp;" ")-1),",","."),"."),LEFT(SUBSTITUTE(LEFT(TRIM(C100),FIND(" ",TRIM(C100)&amp;" ")-1),",","."),FIND("/",SUBSTITUTE(LEFT(TRIM(C100),FIND(" ",TRIM(C100)&amp;" ")-1),",","."))-1)/MID(SUBSTITUTE(LEFT(TRIM(C100),FIND(" ",TRIM(C100)&amp;" ")-1),",","."),FIND("/",SUBSTITUTE(LEFT(TRIM(C100),FIND(" ",TRIM(C100)&amp;" ")-1),",","."))+1,9))*12,NA()))),0),6)*'Aturan &amp; Tarif'!$B$4,2)</f>
        <v>340.68</v>
      </c>
      <c r="K100" s="42" t="n">
        <f aca="false">'Aturan &amp; Tarif'!$B$5</f>
        <v>2050</v>
      </c>
      <c r="L100" s="42" t="n">
        <f aca="false">'Aturan &amp; Tarif'!$B$6</f>
        <v>350</v>
      </c>
      <c r="M100" s="35" t="n">
        <f aca="false">I100+J100+K100+L100</f>
        <v>20108.68</v>
      </c>
      <c r="N100" s="45" t="s">
        <v>580</v>
      </c>
    </row>
    <row r="101" customFormat="false" ht="14.25" hidden="false" customHeight="true" outlineLevel="0" collapsed="false">
      <c r="A101" s="39"/>
      <c r="B101" s="40" t="s">
        <v>581</v>
      </c>
      <c r="C101" s="41" t="s">
        <v>130</v>
      </c>
      <c r="D101" s="41" t="s">
        <v>108</v>
      </c>
      <c r="E101" s="42" t="n">
        <v>8684</v>
      </c>
      <c r="F101" s="42"/>
      <c r="G101" s="42"/>
      <c r="H101" s="43" t="n">
        <v>2</v>
      </c>
      <c r="I101" s="34" t="n">
        <f aca="false">E101*H101+N(F101)+N(G101)</f>
        <v>17368</v>
      </c>
      <c r="J101" s="42" t="n">
        <f aca="false">ROUND(IFERROR(ROUND(IF(OR(ISNUMBER(SEARCH("week",C101)),ISNUMBER(SEARCH("minggu",C101))),IFERROR(_xlfn.NUMBERVALUE(SUBSTITUTE(LEFT(TRIM(C101),FIND(" ",TRIM(C101)&amp;" ")-1),",","."),"."),LEFT(SUBSTITUTE(LEFT(TRIM(C101),FIND(" ",TRIM(C101)&amp;" ")-1),",","."),FIND("/",SUBSTITUTE(LEFT(TRIM(C101),FIND(" ",TRIM(C101)&amp;" ")-1),",","."))-1)/MID(SUBSTITUTE(LEFT(TRIM(C101),FIND(" ",TRIM(C101)&amp;" ")-1),",","."),FIND("/",SUBSTITUTE(LEFT(TRIM(C101),FIND(" ",TRIM(C101)&amp;" ")-1),",","."))+1,9))*12/52,IF(ISNUMBER(SEARCH("month",C101)),IFERROR(_xlfn.NUMBERVALUE(SUBSTITUTE(LEFT(TRIM(C101),FIND(" ",TRIM(C101)&amp;" ")-1),",","."),"."),LEFT(SUBSTITUTE(LEFT(TRIM(C101),FIND(" ",TRIM(C101)&amp;" ")-1),",","."),FIND("/",SUBSTITUTE(LEFT(TRIM(C101),FIND(" ",TRIM(C101)&amp;" ")-1),",","."))-1)/MID(SUBSTITUTE(LEFT(TRIM(C101),FIND(" ",TRIM(C101)&amp;" ")-1),",","."),FIND("/",SUBSTITUTE(LEFT(TRIM(C101),FIND(" ",TRIM(C101)&amp;" ")-1),",","."))+1,9)),IF(ISNUMBER(SEARCH("yea",C101)),IFERROR(_xlfn.NUMBERVALUE(SUBSTITUTE(LEFT(TRIM(C101),FIND(" ",TRIM(C101)&amp;" ")-1),",","."),"."),LEFT(SUBSTITUTE(LEFT(TRIM(C101),FIND(" ",TRIM(C101)&amp;" ")-1),",","."),FIND("/",SUBSTITUTE(LEFT(TRIM(C101),FIND(" ",TRIM(C101)&amp;" ")-1),",","."))-1)/MID(SUBSTITUTE(LEFT(TRIM(C101),FIND(" ",TRIM(C101)&amp;" ")-1),",","."),FIND("/",SUBSTITUTE(LEFT(TRIM(C101),FIND(" ",TRIM(C101)&amp;" ")-1),",","."))+1,9))*12,NA()))),0),12)*'Aturan &amp; Tarif'!$B$4,2)</f>
        <v>681.36</v>
      </c>
      <c r="K101" s="42" t="n">
        <f aca="false">'Aturan &amp; Tarif'!$B$5</f>
        <v>2050</v>
      </c>
      <c r="L101" s="42" t="n">
        <f aca="false">'Aturan &amp; Tarif'!$B$6</f>
        <v>350</v>
      </c>
      <c r="M101" s="35" t="n">
        <f aca="false">I101+J101+K101+L101</f>
        <v>20449.36</v>
      </c>
      <c r="N101" s="45" t="s">
        <v>512</v>
      </c>
    </row>
    <row r="102" customFormat="false" ht="25.5" hidden="false" customHeight="true" outlineLevel="0" collapsed="false">
      <c r="A102" s="39"/>
      <c r="B102" s="40" t="s">
        <v>582</v>
      </c>
      <c r="C102" s="41" t="s">
        <v>130</v>
      </c>
      <c r="D102" s="41" t="s">
        <v>108</v>
      </c>
      <c r="E102" s="42" t="n">
        <v>9418</v>
      </c>
      <c r="F102" s="42"/>
      <c r="G102" s="42"/>
      <c r="H102" s="43" t="n">
        <v>2</v>
      </c>
      <c r="I102" s="34" t="n">
        <f aca="false">E102*H102+N(F102)+N(G102)</f>
        <v>18836</v>
      </c>
      <c r="J102" s="42" t="n">
        <f aca="false">ROUND(IFERROR(ROUND(IF(OR(ISNUMBER(SEARCH("week",C102)),ISNUMBER(SEARCH("minggu",C102))),IFERROR(_xlfn.NUMBERVALUE(SUBSTITUTE(LEFT(TRIM(C102),FIND(" ",TRIM(C102)&amp;" ")-1),",","."),"."),LEFT(SUBSTITUTE(LEFT(TRIM(C102),FIND(" ",TRIM(C102)&amp;" ")-1),",","."),FIND("/",SUBSTITUTE(LEFT(TRIM(C102),FIND(" ",TRIM(C102)&amp;" ")-1),",","."))-1)/MID(SUBSTITUTE(LEFT(TRIM(C102),FIND(" ",TRIM(C102)&amp;" ")-1),",","."),FIND("/",SUBSTITUTE(LEFT(TRIM(C102),FIND(" ",TRIM(C102)&amp;" ")-1),",","."))+1,9))*12/52,IF(ISNUMBER(SEARCH("month",C102)),IFERROR(_xlfn.NUMBERVALUE(SUBSTITUTE(LEFT(TRIM(C102),FIND(" ",TRIM(C102)&amp;" ")-1),",","."),"."),LEFT(SUBSTITUTE(LEFT(TRIM(C102),FIND(" ",TRIM(C102)&amp;" ")-1),",","."),FIND("/",SUBSTITUTE(LEFT(TRIM(C102),FIND(" ",TRIM(C102)&amp;" ")-1),",","."))-1)/MID(SUBSTITUTE(LEFT(TRIM(C102),FIND(" ",TRIM(C102)&amp;" ")-1),",","."),FIND("/",SUBSTITUTE(LEFT(TRIM(C102),FIND(" ",TRIM(C102)&amp;" ")-1),",","."))+1,9)),IF(ISNUMBER(SEARCH("yea",C102)),IFERROR(_xlfn.NUMBERVALUE(SUBSTITUTE(LEFT(TRIM(C102),FIND(" ",TRIM(C102)&amp;" ")-1),",","."),"."),LEFT(SUBSTITUTE(LEFT(TRIM(C102),FIND(" ",TRIM(C102)&amp;" ")-1),",","."),FIND("/",SUBSTITUTE(LEFT(TRIM(C102),FIND(" ",TRIM(C102)&amp;" ")-1),",","."))-1)/MID(SUBSTITUTE(LEFT(TRIM(C102),FIND(" ",TRIM(C102)&amp;" ")-1),",","."),FIND("/",SUBSTITUTE(LEFT(TRIM(C102),FIND(" ",TRIM(C102)&amp;" ")-1),",","."))+1,9))*12,NA()))),0),12)*'Aturan &amp; Tarif'!$B$4,2)</f>
        <v>681.36</v>
      </c>
      <c r="K102" s="42" t="n">
        <f aca="false">'Aturan &amp; Tarif'!$B$5</f>
        <v>2050</v>
      </c>
      <c r="L102" s="42" t="n">
        <f aca="false">'Aturan &amp; Tarif'!$B$6</f>
        <v>350</v>
      </c>
      <c r="M102" s="35" t="n">
        <f aca="false">I102+J102+K102+L102</f>
        <v>21917.36</v>
      </c>
      <c r="N102" s="45" t="s">
        <v>512</v>
      </c>
    </row>
    <row r="103" customFormat="false" ht="14.25" hidden="false" customHeight="true" outlineLevel="0" collapsed="false">
      <c r="A103" s="39"/>
      <c r="B103" s="40" t="s">
        <v>583</v>
      </c>
      <c r="C103" s="41" t="s">
        <v>107</v>
      </c>
      <c r="D103" s="41" t="s">
        <v>108</v>
      </c>
      <c r="E103" s="42" t="n">
        <v>8684</v>
      </c>
      <c r="F103" s="42"/>
      <c r="G103" s="42"/>
      <c r="H103" s="43" t="n">
        <v>2</v>
      </c>
      <c r="I103" s="34" t="n">
        <f aca="false">E103*H103+N(F103)+N(G103)</f>
        <v>17368</v>
      </c>
      <c r="J103" s="42" t="n">
        <f aca="false">ROUND(IFERROR(ROUND(IF(OR(ISNUMBER(SEARCH("week",C103)),ISNUMBER(SEARCH("minggu",C103))),IFERROR(_xlfn.NUMBERVALUE(SUBSTITUTE(LEFT(TRIM(C103),FIND(" ",TRIM(C103)&amp;" ")-1),",","."),"."),LEFT(SUBSTITUTE(LEFT(TRIM(C103),FIND(" ",TRIM(C103)&amp;" ")-1),",","."),FIND("/",SUBSTITUTE(LEFT(TRIM(C103),FIND(" ",TRIM(C103)&amp;" ")-1),",","."))-1)/MID(SUBSTITUTE(LEFT(TRIM(C103),FIND(" ",TRIM(C103)&amp;" ")-1),",","."),FIND("/",SUBSTITUTE(LEFT(TRIM(C103),FIND(" ",TRIM(C103)&amp;" ")-1),",","."))+1,9))*12/52,IF(ISNUMBER(SEARCH("month",C103)),IFERROR(_xlfn.NUMBERVALUE(SUBSTITUTE(LEFT(TRIM(C103),FIND(" ",TRIM(C103)&amp;" ")-1),",","."),"."),LEFT(SUBSTITUTE(LEFT(TRIM(C103),FIND(" ",TRIM(C103)&amp;" ")-1),",","."),FIND("/",SUBSTITUTE(LEFT(TRIM(C103),FIND(" ",TRIM(C103)&amp;" ")-1),",","."))-1)/MID(SUBSTITUTE(LEFT(TRIM(C103),FIND(" ",TRIM(C103)&amp;" ")-1),",","."),FIND("/",SUBSTITUTE(LEFT(TRIM(C103),FIND(" ",TRIM(C103)&amp;" ")-1),",","."))+1,9)),IF(ISNUMBER(SEARCH("yea",C103)),IFERROR(_xlfn.NUMBERVALUE(SUBSTITUTE(LEFT(TRIM(C103),FIND(" ",TRIM(C103)&amp;" ")-1),",","."),"."),LEFT(SUBSTITUTE(LEFT(TRIM(C103),FIND(" ",TRIM(C103)&amp;" ")-1),",","."),FIND("/",SUBSTITUTE(LEFT(TRIM(C103),FIND(" ",TRIM(C103)&amp;" ")-1),",","."))-1)/MID(SUBSTITUTE(LEFT(TRIM(C103),FIND(" ",TRIM(C103)&amp;" ")-1),",","."),FIND("/",SUBSTITUTE(LEFT(TRIM(C103),FIND(" ",TRIM(C103)&amp;" ")-1),",","."))+1,9))*12,NA()))),0),24)*'Aturan &amp; Tarif'!$B$4,2)</f>
        <v>1362.72</v>
      </c>
      <c r="K103" s="42" t="n">
        <f aca="false">'Aturan &amp; Tarif'!$B$5</f>
        <v>2050</v>
      </c>
      <c r="L103" s="42" t="n">
        <f aca="false">'Aturan &amp; Tarif'!$B$6</f>
        <v>350</v>
      </c>
      <c r="M103" s="35" t="n">
        <f aca="false">I103+J103+K103+L103</f>
        <v>21130.72</v>
      </c>
      <c r="N103" s="45" t="s">
        <v>512</v>
      </c>
    </row>
    <row r="104" customFormat="false" ht="14.25" hidden="false" customHeight="true" outlineLevel="0" collapsed="false">
      <c r="A104" s="39"/>
      <c r="B104" s="40" t="s">
        <v>584</v>
      </c>
      <c r="C104" s="41" t="s">
        <v>107</v>
      </c>
      <c r="D104" s="41" t="s">
        <v>108</v>
      </c>
      <c r="E104" s="42" t="n">
        <v>8684</v>
      </c>
      <c r="F104" s="42"/>
      <c r="G104" s="42"/>
      <c r="H104" s="43" t="n">
        <v>2</v>
      </c>
      <c r="I104" s="34" t="n">
        <f aca="false">E104*H104+N(F104)+N(G104)</f>
        <v>17368</v>
      </c>
      <c r="J104" s="42" t="n">
        <f aca="false">ROUND(IFERROR(ROUND(IF(OR(ISNUMBER(SEARCH("week",C104)),ISNUMBER(SEARCH("minggu",C104))),IFERROR(_xlfn.NUMBERVALUE(SUBSTITUTE(LEFT(TRIM(C104),FIND(" ",TRIM(C104)&amp;" ")-1),",","."),"."),LEFT(SUBSTITUTE(LEFT(TRIM(C104),FIND(" ",TRIM(C104)&amp;" ")-1),",","."),FIND("/",SUBSTITUTE(LEFT(TRIM(C104),FIND(" ",TRIM(C104)&amp;" ")-1),",","."))-1)/MID(SUBSTITUTE(LEFT(TRIM(C104),FIND(" ",TRIM(C104)&amp;" ")-1),",","."),FIND("/",SUBSTITUTE(LEFT(TRIM(C104),FIND(" ",TRIM(C104)&amp;" ")-1),",","."))+1,9))*12/52,IF(ISNUMBER(SEARCH("month",C104)),IFERROR(_xlfn.NUMBERVALUE(SUBSTITUTE(LEFT(TRIM(C104),FIND(" ",TRIM(C104)&amp;" ")-1),",","."),"."),LEFT(SUBSTITUTE(LEFT(TRIM(C104),FIND(" ",TRIM(C104)&amp;" ")-1),",","."),FIND("/",SUBSTITUTE(LEFT(TRIM(C104),FIND(" ",TRIM(C104)&amp;" ")-1),",","."))-1)/MID(SUBSTITUTE(LEFT(TRIM(C104),FIND(" ",TRIM(C104)&amp;" ")-1),",","."),FIND("/",SUBSTITUTE(LEFT(TRIM(C104),FIND(" ",TRIM(C104)&amp;" ")-1),",","."))+1,9)),IF(ISNUMBER(SEARCH("yea",C104)),IFERROR(_xlfn.NUMBERVALUE(SUBSTITUTE(LEFT(TRIM(C104),FIND(" ",TRIM(C104)&amp;" ")-1),",","."),"."),LEFT(SUBSTITUTE(LEFT(TRIM(C104),FIND(" ",TRIM(C104)&amp;" ")-1),",","."),FIND("/",SUBSTITUTE(LEFT(TRIM(C104),FIND(" ",TRIM(C104)&amp;" ")-1),",","."))-1)/MID(SUBSTITUTE(LEFT(TRIM(C104),FIND(" ",TRIM(C104)&amp;" ")-1),",","."),FIND("/",SUBSTITUTE(LEFT(TRIM(C104),FIND(" ",TRIM(C104)&amp;" ")-1),",","."))+1,9))*12,NA()))),0),24)*'Aturan &amp; Tarif'!$B$4,2)</f>
        <v>1362.72</v>
      </c>
      <c r="K104" s="42" t="n">
        <f aca="false">'Aturan &amp; Tarif'!$B$5</f>
        <v>2050</v>
      </c>
      <c r="L104" s="42" t="n">
        <f aca="false">'Aturan &amp; Tarif'!$B$6</f>
        <v>350</v>
      </c>
      <c r="M104" s="35" t="n">
        <f aca="false">I104+J104+K104+L104</f>
        <v>21130.72</v>
      </c>
      <c r="N104" s="45" t="s">
        <v>512</v>
      </c>
    </row>
    <row r="105" customFormat="false" ht="14.25" hidden="false" customHeight="true" outlineLevel="0" collapsed="false">
      <c r="A105" s="39"/>
      <c r="B105" s="40" t="s">
        <v>585</v>
      </c>
      <c r="C105" s="41" t="s">
        <v>107</v>
      </c>
      <c r="D105" s="41" t="s">
        <v>108</v>
      </c>
      <c r="E105" s="42" t="n">
        <v>10196</v>
      </c>
      <c r="F105" s="42"/>
      <c r="G105" s="42"/>
      <c r="H105" s="43" t="n">
        <v>2</v>
      </c>
      <c r="I105" s="34" t="n">
        <f aca="false">E105*H105+N(F105)+N(G105)</f>
        <v>20392</v>
      </c>
      <c r="J105" s="42" t="n">
        <f aca="false">ROUND(IFERROR(ROUND(IF(OR(ISNUMBER(SEARCH("week",C105)),ISNUMBER(SEARCH("minggu",C105))),IFERROR(_xlfn.NUMBERVALUE(SUBSTITUTE(LEFT(TRIM(C105),FIND(" ",TRIM(C105)&amp;" ")-1),",","."),"."),LEFT(SUBSTITUTE(LEFT(TRIM(C105),FIND(" ",TRIM(C105)&amp;" ")-1),",","."),FIND("/",SUBSTITUTE(LEFT(TRIM(C105),FIND(" ",TRIM(C105)&amp;" ")-1),",","."))-1)/MID(SUBSTITUTE(LEFT(TRIM(C105),FIND(" ",TRIM(C105)&amp;" ")-1),",","."),FIND("/",SUBSTITUTE(LEFT(TRIM(C105),FIND(" ",TRIM(C105)&amp;" ")-1),",","."))+1,9))*12/52,IF(ISNUMBER(SEARCH("month",C105)),IFERROR(_xlfn.NUMBERVALUE(SUBSTITUTE(LEFT(TRIM(C105),FIND(" ",TRIM(C105)&amp;" ")-1),",","."),"."),LEFT(SUBSTITUTE(LEFT(TRIM(C105),FIND(" ",TRIM(C105)&amp;" ")-1),",","."),FIND("/",SUBSTITUTE(LEFT(TRIM(C105),FIND(" ",TRIM(C105)&amp;" ")-1),",","."))-1)/MID(SUBSTITUTE(LEFT(TRIM(C105),FIND(" ",TRIM(C105)&amp;" ")-1),",","."),FIND("/",SUBSTITUTE(LEFT(TRIM(C105),FIND(" ",TRIM(C105)&amp;" ")-1),",","."))+1,9)),IF(ISNUMBER(SEARCH("yea",C105)),IFERROR(_xlfn.NUMBERVALUE(SUBSTITUTE(LEFT(TRIM(C105),FIND(" ",TRIM(C105)&amp;" ")-1),",","."),"."),LEFT(SUBSTITUTE(LEFT(TRIM(C105),FIND(" ",TRIM(C105)&amp;" ")-1),",","."),FIND("/",SUBSTITUTE(LEFT(TRIM(C105),FIND(" ",TRIM(C105)&amp;" ")-1),",","."))-1)/MID(SUBSTITUTE(LEFT(TRIM(C105),FIND(" ",TRIM(C105)&amp;" ")-1),",","."),FIND("/",SUBSTITUTE(LEFT(TRIM(C105),FIND(" ",TRIM(C105)&amp;" ")-1),",","."))+1,9))*12,NA()))),0),24)*'Aturan &amp; Tarif'!$B$4,2)</f>
        <v>1362.72</v>
      </c>
      <c r="K105" s="42" t="n">
        <f aca="false">'Aturan &amp; Tarif'!$B$5</f>
        <v>2050</v>
      </c>
      <c r="L105" s="42" t="n">
        <f aca="false">'Aturan &amp; Tarif'!$B$6</f>
        <v>350</v>
      </c>
      <c r="M105" s="35" t="n">
        <f aca="false">I105+J105+K105+L105</f>
        <v>24154.72</v>
      </c>
      <c r="N105" s="45" t="s">
        <v>512</v>
      </c>
    </row>
    <row r="106" customFormat="false" ht="14.25" hidden="false" customHeight="true" outlineLevel="0" collapsed="false">
      <c r="A106" s="39"/>
      <c r="B106" s="40" t="s">
        <v>275</v>
      </c>
      <c r="C106" s="41" t="s">
        <v>107</v>
      </c>
      <c r="D106" s="41" t="s">
        <v>108</v>
      </c>
      <c r="E106" s="42" t="n">
        <v>8684</v>
      </c>
      <c r="F106" s="42"/>
      <c r="G106" s="42"/>
      <c r="H106" s="43" t="n">
        <v>2</v>
      </c>
      <c r="I106" s="34" t="n">
        <f aca="false">E106*H106+N(F106)+N(G106)</f>
        <v>17368</v>
      </c>
      <c r="J106" s="42" t="n">
        <f aca="false">ROUND(IFERROR(ROUND(IF(OR(ISNUMBER(SEARCH("week",C106)),ISNUMBER(SEARCH("minggu",C106))),IFERROR(_xlfn.NUMBERVALUE(SUBSTITUTE(LEFT(TRIM(C106),FIND(" ",TRIM(C106)&amp;" ")-1),",","."),"."),LEFT(SUBSTITUTE(LEFT(TRIM(C106),FIND(" ",TRIM(C106)&amp;" ")-1),",","."),FIND("/",SUBSTITUTE(LEFT(TRIM(C106),FIND(" ",TRIM(C106)&amp;" ")-1),",","."))-1)/MID(SUBSTITUTE(LEFT(TRIM(C106),FIND(" ",TRIM(C106)&amp;" ")-1),",","."),FIND("/",SUBSTITUTE(LEFT(TRIM(C106),FIND(" ",TRIM(C106)&amp;" ")-1),",","."))+1,9))*12/52,IF(ISNUMBER(SEARCH("month",C106)),IFERROR(_xlfn.NUMBERVALUE(SUBSTITUTE(LEFT(TRIM(C106),FIND(" ",TRIM(C106)&amp;" ")-1),",","."),"."),LEFT(SUBSTITUTE(LEFT(TRIM(C106),FIND(" ",TRIM(C106)&amp;" ")-1),",","."),FIND("/",SUBSTITUTE(LEFT(TRIM(C106),FIND(" ",TRIM(C106)&amp;" ")-1),",","."))-1)/MID(SUBSTITUTE(LEFT(TRIM(C106),FIND(" ",TRIM(C106)&amp;" ")-1),",","."),FIND("/",SUBSTITUTE(LEFT(TRIM(C106),FIND(" ",TRIM(C106)&amp;" ")-1),",","."))+1,9)),IF(ISNUMBER(SEARCH("yea",C106)),IFERROR(_xlfn.NUMBERVALUE(SUBSTITUTE(LEFT(TRIM(C106),FIND(" ",TRIM(C106)&amp;" ")-1),",","."),"."),LEFT(SUBSTITUTE(LEFT(TRIM(C106),FIND(" ",TRIM(C106)&amp;" ")-1),",","."),FIND("/",SUBSTITUTE(LEFT(TRIM(C106),FIND(" ",TRIM(C106)&amp;" ")-1),",","."))-1)/MID(SUBSTITUTE(LEFT(TRIM(C106),FIND(" ",TRIM(C106)&amp;" ")-1),",","."),FIND("/",SUBSTITUTE(LEFT(TRIM(C106),FIND(" ",TRIM(C106)&amp;" ")-1),",","."))+1,9))*12,NA()))),0),24)*'Aturan &amp; Tarif'!$B$4,2)</f>
        <v>1362.72</v>
      </c>
      <c r="K106" s="42" t="n">
        <f aca="false">'Aturan &amp; Tarif'!$B$5</f>
        <v>2050</v>
      </c>
      <c r="L106" s="42" t="n">
        <f aca="false">'Aturan &amp; Tarif'!$B$6</f>
        <v>350</v>
      </c>
      <c r="M106" s="35" t="n">
        <f aca="false">I106+J106+K106+L106</f>
        <v>21130.72</v>
      </c>
      <c r="N106" s="45" t="s">
        <v>512</v>
      </c>
    </row>
    <row r="107" customFormat="false" ht="14.25" hidden="false" customHeight="true" outlineLevel="0" collapsed="false">
      <c r="A107" s="39"/>
      <c r="B107" s="40" t="s">
        <v>288</v>
      </c>
      <c r="C107" s="41" t="s">
        <v>107</v>
      </c>
      <c r="D107" s="41" t="s">
        <v>108</v>
      </c>
      <c r="E107" s="42" t="n">
        <v>8684</v>
      </c>
      <c r="F107" s="42"/>
      <c r="G107" s="42"/>
      <c r="H107" s="43" t="n">
        <v>2</v>
      </c>
      <c r="I107" s="34" t="n">
        <f aca="false">E107*H107+N(F107)+N(G107)</f>
        <v>17368</v>
      </c>
      <c r="J107" s="42" t="n">
        <f aca="false">ROUND(IFERROR(ROUND(IF(OR(ISNUMBER(SEARCH("week",C107)),ISNUMBER(SEARCH("minggu",C107))),IFERROR(_xlfn.NUMBERVALUE(SUBSTITUTE(LEFT(TRIM(C107),FIND(" ",TRIM(C107)&amp;" ")-1),",","."),"."),LEFT(SUBSTITUTE(LEFT(TRIM(C107),FIND(" ",TRIM(C107)&amp;" ")-1),",","."),FIND("/",SUBSTITUTE(LEFT(TRIM(C107),FIND(" ",TRIM(C107)&amp;" ")-1),",","."))-1)/MID(SUBSTITUTE(LEFT(TRIM(C107),FIND(" ",TRIM(C107)&amp;" ")-1),",","."),FIND("/",SUBSTITUTE(LEFT(TRIM(C107),FIND(" ",TRIM(C107)&amp;" ")-1),",","."))+1,9))*12/52,IF(ISNUMBER(SEARCH("month",C107)),IFERROR(_xlfn.NUMBERVALUE(SUBSTITUTE(LEFT(TRIM(C107),FIND(" ",TRIM(C107)&amp;" ")-1),",","."),"."),LEFT(SUBSTITUTE(LEFT(TRIM(C107),FIND(" ",TRIM(C107)&amp;" ")-1),",","."),FIND("/",SUBSTITUTE(LEFT(TRIM(C107),FIND(" ",TRIM(C107)&amp;" ")-1),",","."))-1)/MID(SUBSTITUTE(LEFT(TRIM(C107),FIND(" ",TRIM(C107)&amp;" ")-1),",","."),FIND("/",SUBSTITUTE(LEFT(TRIM(C107),FIND(" ",TRIM(C107)&amp;" ")-1),",","."))+1,9)),IF(ISNUMBER(SEARCH("yea",C107)),IFERROR(_xlfn.NUMBERVALUE(SUBSTITUTE(LEFT(TRIM(C107),FIND(" ",TRIM(C107)&amp;" ")-1),",","."),"."),LEFT(SUBSTITUTE(LEFT(TRIM(C107),FIND(" ",TRIM(C107)&amp;" ")-1),",","."),FIND("/",SUBSTITUTE(LEFT(TRIM(C107),FIND(" ",TRIM(C107)&amp;" ")-1),",","."))-1)/MID(SUBSTITUTE(LEFT(TRIM(C107),FIND(" ",TRIM(C107)&amp;" ")-1),",","."),FIND("/",SUBSTITUTE(LEFT(TRIM(C107),FIND(" ",TRIM(C107)&amp;" ")-1),",","."))+1,9))*12,NA()))),0),24)*'Aturan &amp; Tarif'!$B$4,2)</f>
        <v>1362.72</v>
      </c>
      <c r="K107" s="42" t="n">
        <f aca="false">'Aturan &amp; Tarif'!$B$5</f>
        <v>2050</v>
      </c>
      <c r="L107" s="42" t="n">
        <f aca="false">'Aturan &amp; Tarif'!$B$6</f>
        <v>350</v>
      </c>
      <c r="M107" s="35" t="n">
        <f aca="false">I107+J107+K107+L107</f>
        <v>21130.72</v>
      </c>
      <c r="N107" s="45" t="s">
        <v>512</v>
      </c>
    </row>
    <row r="108" customFormat="false" ht="14.25" hidden="false" customHeight="true" outlineLevel="0" collapsed="false">
      <c r="A108" s="39"/>
      <c r="B108" s="40" t="s">
        <v>586</v>
      </c>
      <c r="C108" s="41" t="s">
        <v>107</v>
      </c>
      <c r="D108" s="41" t="s">
        <v>108</v>
      </c>
      <c r="E108" s="42" t="n">
        <v>13028</v>
      </c>
      <c r="F108" s="42"/>
      <c r="G108" s="42"/>
      <c r="H108" s="43" t="n">
        <v>2</v>
      </c>
      <c r="I108" s="34" t="n">
        <f aca="false">E108*H108+N(F108)+N(G108)</f>
        <v>26056</v>
      </c>
      <c r="J108" s="42" t="n">
        <f aca="false">ROUND(IFERROR(ROUND(IF(OR(ISNUMBER(SEARCH("week",C108)),ISNUMBER(SEARCH("minggu",C108))),IFERROR(_xlfn.NUMBERVALUE(SUBSTITUTE(LEFT(TRIM(C108),FIND(" ",TRIM(C108)&amp;" ")-1),",","."),"."),LEFT(SUBSTITUTE(LEFT(TRIM(C108),FIND(" ",TRIM(C108)&amp;" ")-1),",","."),FIND("/",SUBSTITUTE(LEFT(TRIM(C108),FIND(" ",TRIM(C108)&amp;" ")-1),",","."))-1)/MID(SUBSTITUTE(LEFT(TRIM(C108),FIND(" ",TRIM(C108)&amp;" ")-1),",","."),FIND("/",SUBSTITUTE(LEFT(TRIM(C108),FIND(" ",TRIM(C108)&amp;" ")-1),",","."))+1,9))*12/52,IF(ISNUMBER(SEARCH("month",C108)),IFERROR(_xlfn.NUMBERVALUE(SUBSTITUTE(LEFT(TRIM(C108),FIND(" ",TRIM(C108)&amp;" ")-1),",","."),"."),LEFT(SUBSTITUTE(LEFT(TRIM(C108),FIND(" ",TRIM(C108)&amp;" ")-1),",","."),FIND("/",SUBSTITUTE(LEFT(TRIM(C108),FIND(" ",TRIM(C108)&amp;" ")-1),",","."))-1)/MID(SUBSTITUTE(LEFT(TRIM(C108),FIND(" ",TRIM(C108)&amp;" ")-1),",","."),FIND("/",SUBSTITUTE(LEFT(TRIM(C108),FIND(" ",TRIM(C108)&amp;" ")-1),",","."))+1,9)),IF(ISNUMBER(SEARCH("yea",C108)),IFERROR(_xlfn.NUMBERVALUE(SUBSTITUTE(LEFT(TRIM(C108),FIND(" ",TRIM(C108)&amp;" ")-1),",","."),"."),LEFT(SUBSTITUTE(LEFT(TRIM(C108),FIND(" ",TRIM(C108)&amp;" ")-1),",","."),FIND("/",SUBSTITUTE(LEFT(TRIM(C108),FIND(" ",TRIM(C108)&amp;" ")-1),",","."))-1)/MID(SUBSTITUTE(LEFT(TRIM(C108),FIND(" ",TRIM(C108)&amp;" ")-1),",","."),FIND("/",SUBSTITUTE(LEFT(TRIM(C108),FIND(" ",TRIM(C108)&amp;" ")-1),",","."))+1,9))*12,NA()))),0),24)*'Aturan &amp; Tarif'!$B$4,2)</f>
        <v>1362.72</v>
      </c>
      <c r="K108" s="42" t="n">
        <f aca="false">'Aturan &amp; Tarif'!$B$5</f>
        <v>2050</v>
      </c>
      <c r="L108" s="42" t="n">
        <f aca="false">'Aturan &amp; Tarif'!$B$6</f>
        <v>350</v>
      </c>
      <c r="M108" s="35" t="n">
        <f aca="false">I108+J108+K108+L108</f>
        <v>29818.72</v>
      </c>
      <c r="N108" s="45" t="s">
        <v>512</v>
      </c>
    </row>
    <row r="109" customFormat="false" ht="14.25" hidden="false" customHeight="true" outlineLevel="0" collapsed="false">
      <c r="A109" s="39"/>
      <c r="B109" s="40" t="s">
        <v>587</v>
      </c>
      <c r="C109" s="41" t="s">
        <v>127</v>
      </c>
      <c r="D109" s="41" t="s">
        <v>108</v>
      </c>
      <c r="E109" s="42" t="n">
        <v>9508</v>
      </c>
      <c r="F109" s="42"/>
      <c r="G109" s="42"/>
      <c r="H109" s="43" t="n">
        <v>2</v>
      </c>
      <c r="I109" s="34" t="n">
        <f aca="false">E109*H109+N(F109)+N(G109)</f>
        <v>19016</v>
      </c>
      <c r="J109" s="42" t="n">
        <f aca="false">ROUND(IFERROR(ROUND(IF(OR(ISNUMBER(SEARCH("week",C109)),ISNUMBER(SEARCH("minggu",C109))),IFERROR(_xlfn.NUMBERVALUE(SUBSTITUTE(LEFT(TRIM(C109),FIND(" ",TRIM(C109)&amp;" ")-1),",","."),"."),LEFT(SUBSTITUTE(LEFT(TRIM(C109),FIND(" ",TRIM(C109)&amp;" ")-1),",","."),FIND("/",SUBSTITUTE(LEFT(TRIM(C109),FIND(" ",TRIM(C109)&amp;" ")-1),",","."))-1)/MID(SUBSTITUTE(LEFT(TRIM(C109),FIND(" ",TRIM(C109)&amp;" ")-1),",","."),FIND("/",SUBSTITUTE(LEFT(TRIM(C109),FIND(" ",TRIM(C109)&amp;" ")-1),",","."))+1,9))*12/52,IF(ISNUMBER(SEARCH("month",C109)),IFERROR(_xlfn.NUMBERVALUE(SUBSTITUTE(LEFT(TRIM(C109),FIND(" ",TRIM(C109)&amp;" ")-1),",","."),"."),LEFT(SUBSTITUTE(LEFT(TRIM(C109),FIND(" ",TRIM(C109)&amp;" ")-1),",","."),FIND("/",SUBSTITUTE(LEFT(TRIM(C109),FIND(" ",TRIM(C109)&amp;" ")-1),",","."))-1)/MID(SUBSTITUTE(LEFT(TRIM(C109),FIND(" ",TRIM(C109)&amp;" ")-1),",","."),FIND("/",SUBSTITUTE(LEFT(TRIM(C109),FIND(" ",TRIM(C109)&amp;" ")-1),",","."))+1,9)),IF(ISNUMBER(SEARCH("yea",C109)),IFERROR(_xlfn.NUMBERVALUE(SUBSTITUTE(LEFT(TRIM(C109),FIND(" ",TRIM(C109)&amp;" ")-1),",","."),"."),LEFT(SUBSTITUTE(LEFT(TRIM(C109),FIND(" ",TRIM(C109)&amp;" ")-1),",","."),FIND("/",SUBSTITUTE(LEFT(TRIM(C109),FIND(" ",TRIM(C109)&amp;" ")-1),",","."))-1)/MID(SUBSTITUTE(LEFT(TRIM(C109),FIND(" ",TRIM(C109)&amp;" ")-1),",","."),FIND("/",SUBSTITUTE(LEFT(TRIM(C109),FIND(" ",TRIM(C109)&amp;" ")-1),",","."))+1,9))*12,NA()))),0),36)*'Aturan &amp; Tarif'!$B$4,2)</f>
        <v>2044.08</v>
      </c>
      <c r="K109" s="42" t="n">
        <f aca="false">'Aturan &amp; Tarif'!$B$5</f>
        <v>2050</v>
      </c>
      <c r="L109" s="42" t="n">
        <f aca="false">'Aturan &amp; Tarif'!$B$6</f>
        <v>350</v>
      </c>
      <c r="M109" s="35" t="n">
        <f aca="false">I109+J109+K109+L109</f>
        <v>23460.08</v>
      </c>
      <c r="N109" s="45" t="s">
        <v>512</v>
      </c>
    </row>
    <row r="110" customFormat="false" ht="14.25" hidden="false" customHeight="true" outlineLevel="0" collapsed="false">
      <c r="A110" s="39"/>
      <c r="B110" s="40" t="s">
        <v>265</v>
      </c>
      <c r="C110" s="41" t="s">
        <v>127</v>
      </c>
      <c r="D110" s="41" t="s">
        <v>108</v>
      </c>
      <c r="E110" s="42" t="n">
        <v>9680</v>
      </c>
      <c r="F110" s="42"/>
      <c r="G110" s="42"/>
      <c r="H110" s="43" t="n">
        <v>2</v>
      </c>
      <c r="I110" s="34" t="n">
        <f aca="false">E110*H110+N(F110)+N(G110)</f>
        <v>19360</v>
      </c>
      <c r="J110" s="42" t="n">
        <f aca="false">ROUND(IFERROR(ROUND(IF(OR(ISNUMBER(SEARCH("week",C110)),ISNUMBER(SEARCH("minggu",C110))),IFERROR(_xlfn.NUMBERVALUE(SUBSTITUTE(LEFT(TRIM(C110),FIND(" ",TRIM(C110)&amp;" ")-1),",","."),"."),LEFT(SUBSTITUTE(LEFT(TRIM(C110),FIND(" ",TRIM(C110)&amp;" ")-1),",","."),FIND("/",SUBSTITUTE(LEFT(TRIM(C110),FIND(" ",TRIM(C110)&amp;" ")-1),",","."))-1)/MID(SUBSTITUTE(LEFT(TRIM(C110),FIND(" ",TRIM(C110)&amp;" ")-1),",","."),FIND("/",SUBSTITUTE(LEFT(TRIM(C110),FIND(" ",TRIM(C110)&amp;" ")-1),",","."))+1,9))*12/52,IF(ISNUMBER(SEARCH("month",C110)),IFERROR(_xlfn.NUMBERVALUE(SUBSTITUTE(LEFT(TRIM(C110),FIND(" ",TRIM(C110)&amp;" ")-1),",","."),"."),LEFT(SUBSTITUTE(LEFT(TRIM(C110),FIND(" ",TRIM(C110)&amp;" ")-1),",","."),FIND("/",SUBSTITUTE(LEFT(TRIM(C110),FIND(" ",TRIM(C110)&amp;" ")-1),",","."))-1)/MID(SUBSTITUTE(LEFT(TRIM(C110),FIND(" ",TRIM(C110)&amp;" ")-1),",","."),FIND("/",SUBSTITUTE(LEFT(TRIM(C110),FIND(" ",TRIM(C110)&amp;" ")-1),",","."))+1,9)),IF(ISNUMBER(SEARCH("yea",C110)),IFERROR(_xlfn.NUMBERVALUE(SUBSTITUTE(LEFT(TRIM(C110),FIND(" ",TRIM(C110)&amp;" ")-1),",","."),"."),LEFT(SUBSTITUTE(LEFT(TRIM(C110),FIND(" ",TRIM(C110)&amp;" ")-1),",","."),FIND("/",SUBSTITUTE(LEFT(TRIM(C110),FIND(" ",TRIM(C110)&amp;" ")-1),",","."))-1)/MID(SUBSTITUTE(LEFT(TRIM(C110),FIND(" ",TRIM(C110)&amp;" ")-1),",","."),FIND("/",SUBSTITUTE(LEFT(TRIM(C110),FIND(" ",TRIM(C110)&amp;" ")-1),",","."))+1,9))*12,NA()))),0),36)*'Aturan &amp; Tarif'!$B$4,2)</f>
        <v>2044.08</v>
      </c>
      <c r="K110" s="42" t="n">
        <f aca="false">'Aturan &amp; Tarif'!$B$5</f>
        <v>2050</v>
      </c>
      <c r="L110" s="42" t="n">
        <f aca="false">'Aturan &amp; Tarif'!$B$6</f>
        <v>350</v>
      </c>
      <c r="M110" s="35" t="n">
        <f aca="false">I110+J110+K110+L110</f>
        <v>23804.08</v>
      </c>
      <c r="N110" s="45" t="s">
        <v>512</v>
      </c>
    </row>
    <row r="111" customFormat="false" ht="25.5" hidden="false" customHeight="true" outlineLevel="0" collapsed="false">
      <c r="A111" s="39"/>
      <c r="B111" s="40" t="s">
        <v>588</v>
      </c>
      <c r="C111" s="41" t="s">
        <v>107</v>
      </c>
      <c r="D111" s="41" t="s">
        <v>108</v>
      </c>
      <c r="E111" s="42" t="n">
        <v>10104</v>
      </c>
      <c r="F111" s="42"/>
      <c r="G111" s="42"/>
      <c r="H111" s="43" t="n">
        <v>2</v>
      </c>
      <c r="I111" s="34" t="n">
        <f aca="false">E111*H111+N(F111)+N(G111)</f>
        <v>20208</v>
      </c>
      <c r="J111" s="42" t="n">
        <f aca="false">ROUND(IFERROR(ROUND(IF(OR(ISNUMBER(SEARCH("week",C111)),ISNUMBER(SEARCH("minggu",C111))),IFERROR(_xlfn.NUMBERVALUE(SUBSTITUTE(LEFT(TRIM(C111),FIND(" ",TRIM(C111)&amp;" ")-1),",","."),"."),LEFT(SUBSTITUTE(LEFT(TRIM(C111),FIND(" ",TRIM(C111)&amp;" ")-1),",","."),FIND("/",SUBSTITUTE(LEFT(TRIM(C111),FIND(" ",TRIM(C111)&amp;" ")-1),",","."))-1)/MID(SUBSTITUTE(LEFT(TRIM(C111),FIND(" ",TRIM(C111)&amp;" ")-1),",","."),FIND("/",SUBSTITUTE(LEFT(TRIM(C111),FIND(" ",TRIM(C111)&amp;" ")-1),",","."))+1,9))*12/52,IF(ISNUMBER(SEARCH("month",C111)),IFERROR(_xlfn.NUMBERVALUE(SUBSTITUTE(LEFT(TRIM(C111),FIND(" ",TRIM(C111)&amp;" ")-1),",","."),"."),LEFT(SUBSTITUTE(LEFT(TRIM(C111),FIND(" ",TRIM(C111)&amp;" ")-1),",","."),FIND("/",SUBSTITUTE(LEFT(TRIM(C111),FIND(" ",TRIM(C111)&amp;" ")-1),",","."))-1)/MID(SUBSTITUTE(LEFT(TRIM(C111),FIND(" ",TRIM(C111)&amp;" ")-1),",","."),FIND("/",SUBSTITUTE(LEFT(TRIM(C111),FIND(" ",TRIM(C111)&amp;" ")-1),",","."))+1,9)),IF(ISNUMBER(SEARCH("yea",C111)),IFERROR(_xlfn.NUMBERVALUE(SUBSTITUTE(LEFT(TRIM(C111),FIND(" ",TRIM(C111)&amp;" ")-1),",","."),"."),LEFT(SUBSTITUTE(LEFT(TRIM(C111),FIND(" ",TRIM(C111)&amp;" ")-1),",","."),FIND("/",SUBSTITUTE(LEFT(TRIM(C111),FIND(" ",TRIM(C111)&amp;" ")-1),",","."))-1)/MID(SUBSTITUTE(LEFT(TRIM(C111),FIND(" ",TRIM(C111)&amp;" ")-1),",","."),FIND("/",SUBSTITUTE(LEFT(TRIM(C111),FIND(" ",TRIM(C111)&amp;" ")-1),",","."))+1,9))*12,NA()))),0),24)*'Aturan &amp; Tarif'!$B$4,2)</f>
        <v>1362.72</v>
      </c>
      <c r="K111" s="42" t="n">
        <f aca="false">'Aturan &amp; Tarif'!$B$5</f>
        <v>2050</v>
      </c>
      <c r="L111" s="42" t="n">
        <f aca="false">'Aturan &amp; Tarif'!$B$6</f>
        <v>350</v>
      </c>
      <c r="M111" s="35" t="n">
        <f aca="false">I111+J111+K111+L111</f>
        <v>23970.72</v>
      </c>
      <c r="N111" s="45" t="s">
        <v>512</v>
      </c>
    </row>
    <row r="112" customFormat="false" ht="14.25" hidden="false" customHeight="true" outlineLevel="0" collapsed="false">
      <c r="A112" s="39"/>
      <c r="B112" s="40" t="s">
        <v>589</v>
      </c>
      <c r="C112" s="41" t="s">
        <v>130</v>
      </c>
      <c r="D112" s="41" t="s">
        <v>108</v>
      </c>
      <c r="E112" s="42" t="n">
        <v>8302</v>
      </c>
      <c r="F112" s="42"/>
      <c r="G112" s="42"/>
      <c r="H112" s="43" t="n">
        <v>2</v>
      </c>
      <c r="I112" s="34" t="n">
        <f aca="false">E112*H112+N(F112)+N(G112)</f>
        <v>16604</v>
      </c>
      <c r="J112" s="42" t="n">
        <f aca="false">ROUND(IFERROR(ROUND(IF(OR(ISNUMBER(SEARCH("week",C112)),ISNUMBER(SEARCH("minggu",C112))),IFERROR(_xlfn.NUMBERVALUE(SUBSTITUTE(LEFT(TRIM(C112),FIND(" ",TRIM(C112)&amp;" ")-1),",","."),"."),LEFT(SUBSTITUTE(LEFT(TRIM(C112),FIND(" ",TRIM(C112)&amp;" ")-1),",","."),FIND("/",SUBSTITUTE(LEFT(TRIM(C112),FIND(" ",TRIM(C112)&amp;" ")-1),",","."))-1)/MID(SUBSTITUTE(LEFT(TRIM(C112),FIND(" ",TRIM(C112)&amp;" ")-1),",","."),FIND("/",SUBSTITUTE(LEFT(TRIM(C112),FIND(" ",TRIM(C112)&amp;" ")-1),",","."))+1,9))*12/52,IF(ISNUMBER(SEARCH("month",C112)),IFERROR(_xlfn.NUMBERVALUE(SUBSTITUTE(LEFT(TRIM(C112),FIND(" ",TRIM(C112)&amp;" ")-1),",","."),"."),LEFT(SUBSTITUTE(LEFT(TRIM(C112),FIND(" ",TRIM(C112)&amp;" ")-1),",","."),FIND("/",SUBSTITUTE(LEFT(TRIM(C112),FIND(" ",TRIM(C112)&amp;" ")-1),",","."))-1)/MID(SUBSTITUTE(LEFT(TRIM(C112),FIND(" ",TRIM(C112)&amp;" ")-1),",","."),FIND("/",SUBSTITUTE(LEFT(TRIM(C112),FIND(" ",TRIM(C112)&amp;" ")-1),",","."))+1,9)),IF(ISNUMBER(SEARCH("yea",C112)),IFERROR(_xlfn.NUMBERVALUE(SUBSTITUTE(LEFT(TRIM(C112),FIND(" ",TRIM(C112)&amp;" ")-1),",","."),"."),LEFT(SUBSTITUTE(LEFT(TRIM(C112),FIND(" ",TRIM(C112)&amp;" ")-1),",","."),FIND("/",SUBSTITUTE(LEFT(TRIM(C112),FIND(" ",TRIM(C112)&amp;" ")-1),",","."))-1)/MID(SUBSTITUTE(LEFT(TRIM(C112),FIND(" ",TRIM(C112)&amp;" ")-1),",","."),FIND("/",SUBSTITUTE(LEFT(TRIM(C112),FIND(" ",TRIM(C112)&amp;" ")-1),",","."))+1,9))*12,NA()))),0),12)*'Aturan &amp; Tarif'!$B$4,2)</f>
        <v>681.36</v>
      </c>
      <c r="K112" s="42" t="n">
        <f aca="false">'Aturan &amp; Tarif'!$B$5</f>
        <v>2050</v>
      </c>
      <c r="L112" s="42" t="n">
        <f aca="false">'Aturan &amp; Tarif'!$B$6</f>
        <v>350</v>
      </c>
      <c r="M112" s="35" t="n">
        <f aca="false">I112+J112+K112+L112</f>
        <v>19685.36</v>
      </c>
      <c r="N112" s="45" t="s">
        <v>512</v>
      </c>
    </row>
    <row r="113" customFormat="false" ht="14.25" hidden="false" customHeight="true" outlineLevel="0" collapsed="false">
      <c r="A113" s="39"/>
      <c r="B113" s="40" t="s">
        <v>590</v>
      </c>
      <c r="C113" s="41" t="s">
        <v>130</v>
      </c>
      <c r="D113" s="41" t="s">
        <v>108</v>
      </c>
      <c r="E113" s="42" t="n">
        <v>8302</v>
      </c>
      <c r="F113" s="42"/>
      <c r="G113" s="42"/>
      <c r="H113" s="43" t="n">
        <v>2</v>
      </c>
      <c r="I113" s="34" t="n">
        <f aca="false">E113*H113+N(F113)+N(G113)</f>
        <v>16604</v>
      </c>
      <c r="J113" s="42" t="n">
        <f aca="false">ROUND(IFERROR(ROUND(IF(OR(ISNUMBER(SEARCH("week",C113)),ISNUMBER(SEARCH("minggu",C113))),IFERROR(_xlfn.NUMBERVALUE(SUBSTITUTE(LEFT(TRIM(C113),FIND(" ",TRIM(C113)&amp;" ")-1),",","."),"."),LEFT(SUBSTITUTE(LEFT(TRIM(C113),FIND(" ",TRIM(C113)&amp;" ")-1),",","."),FIND("/",SUBSTITUTE(LEFT(TRIM(C113),FIND(" ",TRIM(C113)&amp;" ")-1),",","."))-1)/MID(SUBSTITUTE(LEFT(TRIM(C113),FIND(" ",TRIM(C113)&amp;" ")-1),",","."),FIND("/",SUBSTITUTE(LEFT(TRIM(C113),FIND(" ",TRIM(C113)&amp;" ")-1),",","."))+1,9))*12/52,IF(ISNUMBER(SEARCH("month",C113)),IFERROR(_xlfn.NUMBERVALUE(SUBSTITUTE(LEFT(TRIM(C113),FIND(" ",TRIM(C113)&amp;" ")-1),",","."),"."),LEFT(SUBSTITUTE(LEFT(TRIM(C113),FIND(" ",TRIM(C113)&amp;" ")-1),",","."),FIND("/",SUBSTITUTE(LEFT(TRIM(C113),FIND(" ",TRIM(C113)&amp;" ")-1),",","."))-1)/MID(SUBSTITUTE(LEFT(TRIM(C113),FIND(" ",TRIM(C113)&amp;" ")-1),",","."),FIND("/",SUBSTITUTE(LEFT(TRIM(C113),FIND(" ",TRIM(C113)&amp;" ")-1),",","."))+1,9)),IF(ISNUMBER(SEARCH("yea",C113)),IFERROR(_xlfn.NUMBERVALUE(SUBSTITUTE(LEFT(TRIM(C113),FIND(" ",TRIM(C113)&amp;" ")-1),",","."),"."),LEFT(SUBSTITUTE(LEFT(TRIM(C113),FIND(" ",TRIM(C113)&amp;" ")-1),",","."),FIND("/",SUBSTITUTE(LEFT(TRIM(C113),FIND(" ",TRIM(C113)&amp;" ")-1),",","."))-1)/MID(SUBSTITUTE(LEFT(TRIM(C113),FIND(" ",TRIM(C113)&amp;" ")-1),",","."),FIND("/",SUBSTITUTE(LEFT(TRIM(C113),FIND(" ",TRIM(C113)&amp;" ")-1),",","."))+1,9))*12,NA()))),0),12)*'Aturan &amp; Tarif'!$B$4,2)</f>
        <v>681.36</v>
      </c>
      <c r="K113" s="42" t="n">
        <f aca="false">'Aturan &amp; Tarif'!$B$5</f>
        <v>2050</v>
      </c>
      <c r="L113" s="42" t="n">
        <f aca="false">'Aturan &amp; Tarif'!$B$6</f>
        <v>350</v>
      </c>
      <c r="M113" s="35" t="n">
        <f aca="false">I113+J113+K113+L113</f>
        <v>19685.36</v>
      </c>
      <c r="N113" s="45" t="s">
        <v>512</v>
      </c>
    </row>
    <row r="114" customFormat="false" ht="14.25" hidden="false" customHeight="true" outlineLevel="0" collapsed="false">
      <c r="A114" s="39"/>
      <c r="B114" s="40" t="s">
        <v>269</v>
      </c>
      <c r="C114" s="41" t="s">
        <v>127</v>
      </c>
      <c r="D114" s="41" t="s">
        <v>108</v>
      </c>
      <c r="E114" s="42" t="n">
        <v>8302</v>
      </c>
      <c r="F114" s="42"/>
      <c r="G114" s="42"/>
      <c r="H114" s="43" t="n">
        <v>2</v>
      </c>
      <c r="I114" s="34" t="n">
        <f aca="false">E114*H114+N(F114)+N(G114)</f>
        <v>16604</v>
      </c>
      <c r="J114" s="42" t="n">
        <f aca="false">ROUND(IFERROR(ROUND(IF(OR(ISNUMBER(SEARCH("week",C114)),ISNUMBER(SEARCH("minggu",C114))),IFERROR(_xlfn.NUMBERVALUE(SUBSTITUTE(LEFT(TRIM(C114),FIND(" ",TRIM(C114)&amp;" ")-1),",","."),"."),LEFT(SUBSTITUTE(LEFT(TRIM(C114),FIND(" ",TRIM(C114)&amp;" ")-1),",","."),FIND("/",SUBSTITUTE(LEFT(TRIM(C114),FIND(" ",TRIM(C114)&amp;" ")-1),",","."))-1)/MID(SUBSTITUTE(LEFT(TRIM(C114),FIND(" ",TRIM(C114)&amp;" ")-1),",","."),FIND("/",SUBSTITUTE(LEFT(TRIM(C114),FIND(" ",TRIM(C114)&amp;" ")-1),",","."))+1,9))*12/52,IF(ISNUMBER(SEARCH("month",C114)),IFERROR(_xlfn.NUMBERVALUE(SUBSTITUTE(LEFT(TRIM(C114),FIND(" ",TRIM(C114)&amp;" ")-1),",","."),"."),LEFT(SUBSTITUTE(LEFT(TRIM(C114),FIND(" ",TRIM(C114)&amp;" ")-1),",","."),FIND("/",SUBSTITUTE(LEFT(TRIM(C114),FIND(" ",TRIM(C114)&amp;" ")-1),",","."))-1)/MID(SUBSTITUTE(LEFT(TRIM(C114),FIND(" ",TRIM(C114)&amp;" ")-1),",","."),FIND("/",SUBSTITUTE(LEFT(TRIM(C114),FIND(" ",TRIM(C114)&amp;" ")-1),",","."))+1,9)),IF(ISNUMBER(SEARCH("yea",C114)),IFERROR(_xlfn.NUMBERVALUE(SUBSTITUTE(LEFT(TRIM(C114),FIND(" ",TRIM(C114)&amp;" ")-1),",","."),"."),LEFT(SUBSTITUTE(LEFT(TRIM(C114),FIND(" ",TRIM(C114)&amp;" ")-1),",","."),FIND("/",SUBSTITUTE(LEFT(TRIM(C114),FIND(" ",TRIM(C114)&amp;" ")-1),",","."))-1)/MID(SUBSTITUTE(LEFT(TRIM(C114),FIND(" ",TRIM(C114)&amp;" ")-1),",","."),FIND("/",SUBSTITUTE(LEFT(TRIM(C114),FIND(" ",TRIM(C114)&amp;" ")-1),",","."))+1,9))*12,NA()))),0),36)*'Aturan &amp; Tarif'!$B$4,2)</f>
        <v>2044.08</v>
      </c>
      <c r="K114" s="42" t="n">
        <f aca="false">'Aturan &amp; Tarif'!$B$5</f>
        <v>2050</v>
      </c>
      <c r="L114" s="42" t="n">
        <f aca="false">'Aturan &amp; Tarif'!$B$6</f>
        <v>350</v>
      </c>
      <c r="M114" s="35" t="n">
        <f aca="false">I114+J114+K114+L114</f>
        <v>21048.08</v>
      </c>
      <c r="N114" s="45" t="s">
        <v>512</v>
      </c>
    </row>
    <row r="115" customFormat="false" ht="25.5" hidden="false" customHeight="true" outlineLevel="0" collapsed="false">
      <c r="A115" s="39"/>
      <c r="B115" s="40" t="s">
        <v>591</v>
      </c>
      <c r="C115" s="41" t="s">
        <v>130</v>
      </c>
      <c r="D115" s="41" t="s">
        <v>108</v>
      </c>
      <c r="E115" s="42" t="n">
        <v>8302</v>
      </c>
      <c r="F115" s="42"/>
      <c r="G115" s="42"/>
      <c r="H115" s="43" t="n">
        <v>2</v>
      </c>
      <c r="I115" s="34" t="n">
        <f aca="false">E115*H115+N(F115)+N(G115)</f>
        <v>16604</v>
      </c>
      <c r="J115" s="42" t="n">
        <f aca="false">ROUND(IFERROR(ROUND(IF(OR(ISNUMBER(SEARCH("week",C115)),ISNUMBER(SEARCH("minggu",C115))),IFERROR(_xlfn.NUMBERVALUE(SUBSTITUTE(LEFT(TRIM(C115),FIND(" ",TRIM(C115)&amp;" ")-1),",","."),"."),LEFT(SUBSTITUTE(LEFT(TRIM(C115),FIND(" ",TRIM(C115)&amp;" ")-1),",","."),FIND("/",SUBSTITUTE(LEFT(TRIM(C115),FIND(" ",TRIM(C115)&amp;" ")-1),",","."))-1)/MID(SUBSTITUTE(LEFT(TRIM(C115),FIND(" ",TRIM(C115)&amp;" ")-1),",","."),FIND("/",SUBSTITUTE(LEFT(TRIM(C115),FIND(" ",TRIM(C115)&amp;" ")-1),",","."))+1,9))*12/52,IF(ISNUMBER(SEARCH("month",C115)),IFERROR(_xlfn.NUMBERVALUE(SUBSTITUTE(LEFT(TRIM(C115),FIND(" ",TRIM(C115)&amp;" ")-1),",","."),"."),LEFT(SUBSTITUTE(LEFT(TRIM(C115),FIND(" ",TRIM(C115)&amp;" ")-1),",","."),FIND("/",SUBSTITUTE(LEFT(TRIM(C115),FIND(" ",TRIM(C115)&amp;" ")-1),",","."))-1)/MID(SUBSTITUTE(LEFT(TRIM(C115),FIND(" ",TRIM(C115)&amp;" ")-1),",","."),FIND("/",SUBSTITUTE(LEFT(TRIM(C115),FIND(" ",TRIM(C115)&amp;" ")-1),",","."))+1,9)),IF(ISNUMBER(SEARCH("yea",C115)),IFERROR(_xlfn.NUMBERVALUE(SUBSTITUTE(LEFT(TRIM(C115),FIND(" ",TRIM(C115)&amp;" ")-1),",","."),"."),LEFT(SUBSTITUTE(LEFT(TRIM(C115),FIND(" ",TRIM(C115)&amp;" ")-1),",","."),FIND("/",SUBSTITUTE(LEFT(TRIM(C115),FIND(" ",TRIM(C115)&amp;" ")-1),",","."))-1)/MID(SUBSTITUTE(LEFT(TRIM(C115),FIND(" ",TRIM(C115)&amp;" ")-1),",","."),FIND("/",SUBSTITUTE(LEFT(TRIM(C115),FIND(" ",TRIM(C115)&amp;" ")-1),",","."))+1,9))*12,NA()))),0),12)*'Aturan &amp; Tarif'!$B$4,2)</f>
        <v>681.36</v>
      </c>
      <c r="K115" s="42" t="n">
        <f aca="false">'Aturan &amp; Tarif'!$B$5</f>
        <v>2050</v>
      </c>
      <c r="L115" s="42" t="n">
        <f aca="false">'Aturan &amp; Tarif'!$B$6</f>
        <v>350</v>
      </c>
      <c r="M115" s="35" t="n">
        <f aca="false">I115+J115+K115+L115</f>
        <v>19685.36</v>
      </c>
      <c r="N115" s="45" t="s">
        <v>512</v>
      </c>
    </row>
    <row r="116" customFormat="false" ht="14.25" hidden="false" customHeight="true" outlineLevel="0" collapsed="false">
      <c r="A116" s="39"/>
      <c r="B116" s="40" t="s">
        <v>592</v>
      </c>
      <c r="C116" s="41" t="s">
        <v>130</v>
      </c>
      <c r="D116" s="41" t="s">
        <v>108</v>
      </c>
      <c r="E116" s="42" t="n">
        <v>8302</v>
      </c>
      <c r="F116" s="42"/>
      <c r="G116" s="42"/>
      <c r="H116" s="43" t="n">
        <v>2</v>
      </c>
      <c r="I116" s="34" t="n">
        <f aca="false">E116*H116+N(F116)+N(G116)</f>
        <v>16604</v>
      </c>
      <c r="J116" s="42" t="n">
        <f aca="false">ROUND(IFERROR(ROUND(IF(OR(ISNUMBER(SEARCH("week",C116)),ISNUMBER(SEARCH("minggu",C116))),IFERROR(_xlfn.NUMBERVALUE(SUBSTITUTE(LEFT(TRIM(C116),FIND(" ",TRIM(C116)&amp;" ")-1),",","."),"."),LEFT(SUBSTITUTE(LEFT(TRIM(C116),FIND(" ",TRIM(C116)&amp;" ")-1),",","."),FIND("/",SUBSTITUTE(LEFT(TRIM(C116),FIND(" ",TRIM(C116)&amp;" ")-1),",","."))-1)/MID(SUBSTITUTE(LEFT(TRIM(C116),FIND(" ",TRIM(C116)&amp;" ")-1),",","."),FIND("/",SUBSTITUTE(LEFT(TRIM(C116),FIND(" ",TRIM(C116)&amp;" ")-1),",","."))+1,9))*12/52,IF(ISNUMBER(SEARCH("month",C116)),IFERROR(_xlfn.NUMBERVALUE(SUBSTITUTE(LEFT(TRIM(C116),FIND(" ",TRIM(C116)&amp;" ")-1),",","."),"."),LEFT(SUBSTITUTE(LEFT(TRIM(C116),FIND(" ",TRIM(C116)&amp;" ")-1),",","."),FIND("/",SUBSTITUTE(LEFT(TRIM(C116),FIND(" ",TRIM(C116)&amp;" ")-1),",","."))-1)/MID(SUBSTITUTE(LEFT(TRIM(C116),FIND(" ",TRIM(C116)&amp;" ")-1),",","."),FIND("/",SUBSTITUTE(LEFT(TRIM(C116),FIND(" ",TRIM(C116)&amp;" ")-1),",","."))+1,9)),IF(ISNUMBER(SEARCH("yea",C116)),IFERROR(_xlfn.NUMBERVALUE(SUBSTITUTE(LEFT(TRIM(C116),FIND(" ",TRIM(C116)&amp;" ")-1),",","."),"."),LEFT(SUBSTITUTE(LEFT(TRIM(C116),FIND(" ",TRIM(C116)&amp;" ")-1),",","."),FIND("/",SUBSTITUTE(LEFT(TRIM(C116),FIND(" ",TRIM(C116)&amp;" ")-1),",","."))-1)/MID(SUBSTITUTE(LEFT(TRIM(C116),FIND(" ",TRIM(C116)&amp;" ")-1),",","."),FIND("/",SUBSTITUTE(LEFT(TRIM(C116),FIND(" ",TRIM(C116)&amp;" ")-1),",","."))+1,9))*12,NA()))),0),12)*'Aturan &amp; Tarif'!$B$4,2)</f>
        <v>681.36</v>
      </c>
      <c r="K116" s="42" t="n">
        <f aca="false">'Aturan &amp; Tarif'!$B$5</f>
        <v>2050</v>
      </c>
      <c r="L116" s="42" t="n">
        <f aca="false">'Aturan &amp; Tarif'!$B$6</f>
        <v>350</v>
      </c>
      <c r="M116" s="35" t="n">
        <f aca="false">I116+J116+K116+L116</f>
        <v>19685.36</v>
      </c>
      <c r="N116" s="45" t="s">
        <v>512</v>
      </c>
    </row>
    <row r="117" customFormat="false" ht="14.25" hidden="false" customHeight="true" outlineLevel="0" collapsed="false">
      <c r="A117" s="39"/>
      <c r="B117" s="40" t="s">
        <v>593</v>
      </c>
      <c r="C117" s="41" t="s">
        <v>130</v>
      </c>
      <c r="D117" s="41" t="s">
        <v>108</v>
      </c>
      <c r="E117" s="42" t="n">
        <v>7802</v>
      </c>
      <c r="F117" s="42"/>
      <c r="G117" s="42"/>
      <c r="H117" s="43" t="n">
        <v>2</v>
      </c>
      <c r="I117" s="34" t="n">
        <f aca="false">E117*H117+N(F117)+N(G117)</f>
        <v>15604</v>
      </c>
      <c r="J117" s="42" t="n">
        <f aca="false">ROUND(IFERROR(ROUND(IF(OR(ISNUMBER(SEARCH("week",C117)),ISNUMBER(SEARCH("minggu",C117))),IFERROR(_xlfn.NUMBERVALUE(SUBSTITUTE(LEFT(TRIM(C117),FIND(" ",TRIM(C117)&amp;" ")-1),",","."),"."),LEFT(SUBSTITUTE(LEFT(TRIM(C117),FIND(" ",TRIM(C117)&amp;" ")-1),",","."),FIND("/",SUBSTITUTE(LEFT(TRIM(C117),FIND(" ",TRIM(C117)&amp;" ")-1),",","."))-1)/MID(SUBSTITUTE(LEFT(TRIM(C117),FIND(" ",TRIM(C117)&amp;" ")-1),",","."),FIND("/",SUBSTITUTE(LEFT(TRIM(C117),FIND(" ",TRIM(C117)&amp;" ")-1),",","."))+1,9))*12/52,IF(ISNUMBER(SEARCH("month",C117)),IFERROR(_xlfn.NUMBERVALUE(SUBSTITUTE(LEFT(TRIM(C117),FIND(" ",TRIM(C117)&amp;" ")-1),",","."),"."),LEFT(SUBSTITUTE(LEFT(TRIM(C117),FIND(" ",TRIM(C117)&amp;" ")-1),",","."),FIND("/",SUBSTITUTE(LEFT(TRIM(C117),FIND(" ",TRIM(C117)&amp;" ")-1),",","."))-1)/MID(SUBSTITUTE(LEFT(TRIM(C117),FIND(" ",TRIM(C117)&amp;" ")-1),",","."),FIND("/",SUBSTITUTE(LEFT(TRIM(C117),FIND(" ",TRIM(C117)&amp;" ")-1),",","."))+1,9)),IF(ISNUMBER(SEARCH("yea",C117)),IFERROR(_xlfn.NUMBERVALUE(SUBSTITUTE(LEFT(TRIM(C117),FIND(" ",TRIM(C117)&amp;" ")-1),",","."),"."),LEFT(SUBSTITUTE(LEFT(TRIM(C117),FIND(" ",TRIM(C117)&amp;" ")-1),",","."),FIND("/",SUBSTITUTE(LEFT(TRIM(C117),FIND(" ",TRIM(C117)&amp;" ")-1),",","."))-1)/MID(SUBSTITUTE(LEFT(TRIM(C117),FIND(" ",TRIM(C117)&amp;" ")-1),",","."),FIND("/",SUBSTITUTE(LEFT(TRIM(C117),FIND(" ",TRIM(C117)&amp;" ")-1),",","."))+1,9))*12,NA()))),0),12)*'Aturan &amp; Tarif'!$B$4,2)</f>
        <v>681.36</v>
      </c>
      <c r="K117" s="42" t="n">
        <f aca="false">'Aturan &amp; Tarif'!$B$5</f>
        <v>2050</v>
      </c>
      <c r="L117" s="42" t="n">
        <f aca="false">'Aturan &amp; Tarif'!$B$6</f>
        <v>350</v>
      </c>
      <c r="M117" s="35" t="n">
        <f aca="false">I117+J117+K117+L117</f>
        <v>18685.36</v>
      </c>
      <c r="N117" s="45" t="s">
        <v>512</v>
      </c>
    </row>
    <row r="118" customFormat="false" ht="14.25" hidden="false" customHeight="true" outlineLevel="0" collapsed="false">
      <c r="A118" s="39"/>
      <c r="B118" s="40" t="s">
        <v>594</v>
      </c>
      <c r="C118" s="41" t="s">
        <v>130</v>
      </c>
      <c r="D118" s="41" t="s">
        <v>108</v>
      </c>
      <c r="E118" s="42" t="n">
        <v>8568</v>
      </c>
      <c r="F118" s="42"/>
      <c r="G118" s="42"/>
      <c r="H118" s="43" t="n">
        <v>2</v>
      </c>
      <c r="I118" s="34" t="n">
        <f aca="false">E118*H118+N(F118)+N(G118)</f>
        <v>17136</v>
      </c>
      <c r="J118" s="42" t="n">
        <f aca="false">ROUND(IFERROR(ROUND(IF(OR(ISNUMBER(SEARCH("week",C118)),ISNUMBER(SEARCH("minggu",C118))),IFERROR(_xlfn.NUMBERVALUE(SUBSTITUTE(LEFT(TRIM(C118),FIND(" ",TRIM(C118)&amp;" ")-1),",","."),"."),LEFT(SUBSTITUTE(LEFT(TRIM(C118),FIND(" ",TRIM(C118)&amp;" ")-1),",","."),FIND("/",SUBSTITUTE(LEFT(TRIM(C118),FIND(" ",TRIM(C118)&amp;" ")-1),",","."))-1)/MID(SUBSTITUTE(LEFT(TRIM(C118),FIND(" ",TRIM(C118)&amp;" ")-1),",","."),FIND("/",SUBSTITUTE(LEFT(TRIM(C118),FIND(" ",TRIM(C118)&amp;" ")-1),",","."))+1,9))*12/52,IF(ISNUMBER(SEARCH("month",C118)),IFERROR(_xlfn.NUMBERVALUE(SUBSTITUTE(LEFT(TRIM(C118),FIND(" ",TRIM(C118)&amp;" ")-1),",","."),"."),LEFT(SUBSTITUTE(LEFT(TRIM(C118),FIND(" ",TRIM(C118)&amp;" ")-1),",","."),FIND("/",SUBSTITUTE(LEFT(TRIM(C118),FIND(" ",TRIM(C118)&amp;" ")-1),",","."))-1)/MID(SUBSTITUTE(LEFT(TRIM(C118),FIND(" ",TRIM(C118)&amp;" ")-1),",","."),FIND("/",SUBSTITUTE(LEFT(TRIM(C118),FIND(" ",TRIM(C118)&amp;" ")-1),",","."))+1,9)),IF(ISNUMBER(SEARCH("yea",C118)),IFERROR(_xlfn.NUMBERVALUE(SUBSTITUTE(LEFT(TRIM(C118),FIND(" ",TRIM(C118)&amp;" ")-1),",","."),"."),LEFT(SUBSTITUTE(LEFT(TRIM(C118),FIND(" ",TRIM(C118)&amp;" ")-1),",","."),FIND("/",SUBSTITUTE(LEFT(TRIM(C118),FIND(" ",TRIM(C118)&amp;" ")-1),",","."))-1)/MID(SUBSTITUTE(LEFT(TRIM(C118),FIND(" ",TRIM(C118)&amp;" ")-1),",","."),FIND("/",SUBSTITUTE(LEFT(TRIM(C118),FIND(" ",TRIM(C118)&amp;" ")-1),",","."))+1,9))*12,NA()))),0),12)*'Aturan &amp; Tarif'!$B$4,2)</f>
        <v>681.36</v>
      </c>
      <c r="K118" s="42" t="n">
        <f aca="false">'Aturan &amp; Tarif'!$B$5</f>
        <v>2050</v>
      </c>
      <c r="L118" s="42" t="n">
        <f aca="false">'Aturan &amp; Tarif'!$B$6</f>
        <v>350</v>
      </c>
      <c r="M118" s="35" t="n">
        <f aca="false">I118+J118+K118+L118</f>
        <v>20217.36</v>
      </c>
      <c r="N118" s="45" t="s">
        <v>512</v>
      </c>
    </row>
    <row r="119" customFormat="false" ht="25.5" hidden="false" customHeight="true" outlineLevel="0" collapsed="false">
      <c r="A119" s="39"/>
      <c r="B119" s="40" t="s">
        <v>595</v>
      </c>
      <c r="C119" s="41" t="s">
        <v>107</v>
      </c>
      <c r="D119" s="41" t="s">
        <v>108</v>
      </c>
      <c r="E119" s="42" t="n">
        <v>8714</v>
      </c>
      <c r="F119" s="42"/>
      <c r="G119" s="42"/>
      <c r="H119" s="43" t="n">
        <v>2</v>
      </c>
      <c r="I119" s="34" t="n">
        <f aca="false">E119*H119+N(F119)+N(G119)</f>
        <v>17428</v>
      </c>
      <c r="J119" s="42" t="n">
        <f aca="false">ROUND(IFERROR(ROUND(IF(OR(ISNUMBER(SEARCH("week",C119)),ISNUMBER(SEARCH("minggu",C119))),IFERROR(_xlfn.NUMBERVALUE(SUBSTITUTE(LEFT(TRIM(C119),FIND(" ",TRIM(C119)&amp;" ")-1),",","."),"."),LEFT(SUBSTITUTE(LEFT(TRIM(C119),FIND(" ",TRIM(C119)&amp;" ")-1),",","."),FIND("/",SUBSTITUTE(LEFT(TRIM(C119),FIND(" ",TRIM(C119)&amp;" ")-1),",","."))-1)/MID(SUBSTITUTE(LEFT(TRIM(C119),FIND(" ",TRIM(C119)&amp;" ")-1),",","."),FIND("/",SUBSTITUTE(LEFT(TRIM(C119),FIND(" ",TRIM(C119)&amp;" ")-1),",","."))+1,9))*12/52,IF(ISNUMBER(SEARCH("month",C119)),IFERROR(_xlfn.NUMBERVALUE(SUBSTITUTE(LEFT(TRIM(C119),FIND(" ",TRIM(C119)&amp;" ")-1),",","."),"."),LEFT(SUBSTITUTE(LEFT(TRIM(C119),FIND(" ",TRIM(C119)&amp;" ")-1),",","."),FIND("/",SUBSTITUTE(LEFT(TRIM(C119),FIND(" ",TRIM(C119)&amp;" ")-1),",","."))-1)/MID(SUBSTITUTE(LEFT(TRIM(C119),FIND(" ",TRIM(C119)&amp;" ")-1),",","."),FIND("/",SUBSTITUTE(LEFT(TRIM(C119),FIND(" ",TRIM(C119)&amp;" ")-1),",","."))+1,9)),IF(ISNUMBER(SEARCH("yea",C119)),IFERROR(_xlfn.NUMBERVALUE(SUBSTITUTE(LEFT(TRIM(C119),FIND(" ",TRIM(C119)&amp;" ")-1),",","."),"."),LEFT(SUBSTITUTE(LEFT(TRIM(C119),FIND(" ",TRIM(C119)&amp;" ")-1),",","."),FIND("/",SUBSTITUTE(LEFT(TRIM(C119),FIND(" ",TRIM(C119)&amp;" ")-1),",","."))-1)/MID(SUBSTITUTE(LEFT(TRIM(C119),FIND(" ",TRIM(C119)&amp;" ")-1),",","."),FIND("/",SUBSTITUTE(LEFT(TRIM(C119),FIND(" ",TRIM(C119)&amp;" ")-1),",","."))+1,9))*12,NA()))),0),24)*'Aturan &amp; Tarif'!$B$4,2)</f>
        <v>1362.72</v>
      </c>
      <c r="K119" s="42" t="n">
        <f aca="false">'Aturan &amp; Tarif'!$B$5</f>
        <v>2050</v>
      </c>
      <c r="L119" s="42" t="n">
        <f aca="false">'Aturan &amp; Tarif'!$B$6</f>
        <v>350</v>
      </c>
      <c r="M119" s="35" t="n">
        <f aca="false">I119+J119+K119+L119</f>
        <v>21190.72</v>
      </c>
      <c r="N119" s="45" t="s">
        <v>512</v>
      </c>
    </row>
    <row r="120" customFormat="false" ht="14.25" hidden="false" customHeight="true" outlineLevel="0" collapsed="false">
      <c r="A120" s="39"/>
      <c r="B120" s="40" t="s">
        <v>327</v>
      </c>
      <c r="C120" s="41" t="s">
        <v>127</v>
      </c>
      <c r="D120" s="41" t="s">
        <v>108</v>
      </c>
      <c r="E120" s="42" t="n">
        <v>8714</v>
      </c>
      <c r="F120" s="42"/>
      <c r="G120" s="42"/>
      <c r="H120" s="43" t="n">
        <v>2</v>
      </c>
      <c r="I120" s="34" t="n">
        <f aca="false">E120*H120+N(F120)+N(G120)</f>
        <v>17428</v>
      </c>
      <c r="J120" s="42" t="n">
        <f aca="false">ROUND(IFERROR(ROUND(IF(OR(ISNUMBER(SEARCH("week",C120)),ISNUMBER(SEARCH("minggu",C120))),IFERROR(_xlfn.NUMBERVALUE(SUBSTITUTE(LEFT(TRIM(C120),FIND(" ",TRIM(C120)&amp;" ")-1),",","."),"."),LEFT(SUBSTITUTE(LEFT(TRIM(C120),FIND(" ",TRIM(C120)&amp;" ")-1),",","."),FIND("/",SUBSTITUTE(LEFT(TRIM(C120),FIND(" ",TRIM(C120)&amp;" ")-1),",","."))-1)/MID(SUBSTITUTE(LEFT(TRIM(C120),FIND(" ",TRIM(C120)&amp;" ")-1),",","."),FIND("/",SUBSTITUTE(LEFT(TRIM(C120),FIND(" ",TRIM(C120)&amp;" ")-1),",","."))+1,9))*12/52,IF(ISNUMBER(SEARCH("month",C120)),IFERROR(_xlfn.NUMBERVALUE(SUBSTITUTE(LEFT(TRIM(C120),FIND(" ",TRIM(C120)&amp;" ")-1),",","."),"."),LEFT(SUBSTITUTE(LEFT(TRIM(C120),FIND(" ",TRIM(C120)&amp;" ")-1),",","."),FIND("/",SUBSTITUTE(LEFT(TRIM(C120),FIND(" ",TRIM(C120)&amp;" ")-1),",","."))-1)/MID(SUBSTITUTE(LEFT(TRIM(C120),FIND(" ",TRIM(C120)&amp;" ")-1),",","."),FIND("/",SUBSTITUTE(LEFT(TRIM(C120),FIND(" ",TRIM(C120)&amp;" ")-1),",","."))+1,9)),IF(ISNUMBER(SEARCH("yea",C120)),IFERROR(_xlfn.NUMBERVALUE(SUBSTITUTE(LEFT(TRIM(C120),FIND(" ",TRIM(C120)&amp;" ")-1),",","."),"."),LEFT(SUBSTITUTE(LEFT(TRIM(C120),FIND(" ",TRIM(C120)&amp;" ")-1),",","."),FIND("/",SUBSTITUTE(LEFT(TRIM(C120),FIND(" ",TRIM(C120)&amp;" ")-1),",","."))-1)/MID(SUBSTITUTE(LEFT(TRIM(C120),FIND(" ",TRIM(C120)&amp;" ")-1),",","."),FIND("/",SUBSTITUTE(LEFT(TRIM(C120),FIND(" ",TRIM(C120)&amp;" ")-1),",","."))+1,9))*12,NA()))),0),36)*'Aturan &amp; Tarif'!$B$4,2)</f>
        <v>2044.08</v>
      </c>
      <c r="K120" s="42" t="n">
        <f aca="false">'Aturan &amp; Tarif'!$B$5</f>
        <v>2050</v>
      </c>
      <c r="L120" s="42" t="n">
        <f aca="false">'Aturan &amp; Tarif'!$B$6</f>
        <v>350</v>
      </c>
      <c r="M120" s="35" t="n">
        <f aca="false">I120+J120+K120+L120</f>
        <v>21872.08</v>
      </c>
      <c r="N120" s="45" t="s">
        <v>512</v>
      </c>
    </row>
    <row r="121" customFormat="false" ht="14.25" hidden="false" customHeight="true" outlineLevel="0" collapsed="false">
      <c r="A121" s="39"/>
      <c r="B121" s="40" t="s">
        <v>335</v>
      </c>
      <c r="C121" s="41" t="s">
        <v>127</v>
      </c>
      <c r="D121" s="41" t="s">
        <v>108</v>
      </c>
      <c r="E121" s="42" t="n">
        <v>8714</v>
      </c>
      <c r="F121" s="42"/>
      <c r="G121" s="42"/>
      <c r="H121" s="43" t="n">
        <v>2</v>
      </c>
      <c r="I121" s="34" t="n">
        <f aca="false">E121*H121+N(F121)+N(G121)</f>
        <v>17428</v>
      </c>
      <c r="J121" s="42" t="n">
        <f aca="false">ROUND(IFERROR(ROUND(IF(OR(ISNUMBER(SEARCH("week",C121)),ISNUMBER(SEARCH("minggu",C121))),IFERROR(_xlfn.NUMBERVALUE(SUBSTITUTE(LEFT(TRIM(C121),FIND(" ",TRIM(C121)&amp;" ")-1),",","."),"."),LEFT(SUBSTITUTE(LEFT(TRIM(C121),FIND(" ",TRIM(C121)&amp;" ")-1),",","."),FIND("/",SUBSTITUTE(LEFT(TRIM(C121),FIND(" ",TRIM(C121)&amp;" ")-1),",","."))-1)/MID(SUBSTITUTE(LEFT(TRIM(C121),FIND(" ",TRIM(C121)&amp;" ")-1),",","."),FIND("/",SUBSTITUTE(LEFT(TRIM(C121),FIND(" ",TRIM(C121)&amp;" ")-1),",","."))+1,9))*12/52,IF(ISNUMBER(SEARCH("month",C121)),IFERROR(_xlfn.NUMBERVALUE(SUBSTITUTE(LEFT(TRIM(C121),FIND(" ",TRIM(C121)&amp;" ")-1),",","."),"."),LEFT(SUBSTITUTE(LEFT(TRIM(C121),FIND(" ",TRIM(C121)&amp;" ")-1),",","."),FIND("/",SUBSTITUTE(LEFT(TRIM(C121),FIND(" ",TRIM(C121)&amp;" ")-1),",","."))-1)/MID(SUBSTITUTE(LEFT(TRIM(C121),FIND(" ",TRIM(C121)&amp;" ")-1),",","."),FIND("/",SUBSTITUTE(LEFT(TRIM(C121),FIND(" ",TRIM(C121)&amp;" ")-1),",","."))+1,9)),IF(ISNUMBER(SEARCH("yea",C121)),IFERROR(_xlfn.NUMBERVALUE(SUBSTITUTE(LEFT(TRIM(C121),FIND(" ",TRIM(C121)&amp;" ")-1),",","."),"."),LEFT(SUBSTITUTE(LEFT(TRIM(C121),FIND(" ",TRIM(C121)&amp;" ")-1),",","."),FIND("/",SUBSTITUTE(LEFT(TRIM(C121),FIND(" ",TRIM(C121)&amp;" ")-1),",","."))-1)/MID(SUBSTITUTE(LEFT(TRIM(C121),FIND(" ",TRIM(C121)&amp;" ")-1),",","."),FIND("/",SUBSTITUTE(LEFT(TRIM(C121),FIND(" ",TRIM(C121)&amp;" ")-1),",","."))+1,9))*12,NA()))),0),36)*'Aturan &amp; Tarif'!$B$4,2)</f>
        <v>2044.08</v>
      </c>
      <c r="K121" s="42" t="n">
        <f aca="false">'Aturan &amp; Tarif'!$B$5</f>
        <v>2050</v>
      </c>
      <c r="L121" s="42" t="n">
        <f aca="false">'Aturan &amp; Tarif'!$B$6</f>
        <v>350</v>
      </c>
      <c r="M121" s="35" t="n">
        <f aca="false">I121+J121+K121+L121</f>
        <v>21872.08</v>
      </c>
      <c r="N121" s="45" t="s">
        <v>512</v>
      </c>
    </row>
    <row r="122" customFormat="false" ht="14.25" hidden="false" customHeight="true" outlineLevel="0" collapsed="false">
      <c r="A122" s="39"/>
      <c r="B122" s="40" t="s">
        <v>596</v>
      </c>
      <c r="C122" s="41" t="s">
        <v>191</v>
      </c>
      <c r="D122" s="41" t="s">
        <v>108</v>
      </c>
      <c r="E122" s="42" t="n">
        <v>9848</v>
      </c>
      <c r="F122" s="42"/>
      <c r="G122" s="42"/>
      <c r="H122" s="43" t="n">
        <v>2</v>
      </c>
      <c r="I122" s="34" t="n">
        <f aca="false">E122*H122+N(F122)+N(G122)</f>
        <v>19696</v>
      </c>
      <c r="J122" s="42" t="n">
        <f aca="false">ROUND(IFERROR(ROUND(IF(OR(ISNUMBER(SEARCH("week",C122)),ISNUMBER(SEARCH("minggu",C122))),IFERROR(_xlfn.NUMBERVALUE(SUBSTITUTE(LEFT(TRIM(C122),FIND(" ",TRIM(C122)&amp;" ")-1),",","."),"."),LEFT(SUBSTITUTE(LEFT(TRIM(C122),FIND(" ",TRIM(C122)&amp;" ")-1),",","."),FIND("/",SUBSTITUTE(LEFT(TRIM(C122),FIND(" ",TRIM(C122)&amp;" ")-1),",","."))-1)/MID(SUBSTITUTE(LEFT(TRIM(C122),FIND(" ",TRIM(C122)&amp;" ")-1),",","."),FIND("/",SUBSTITUTE(LEFT(TRIM(C122),FIND(" ",TRIM(C122)&amp;" ")-1),",","."))+1,9))*12/52,IF(ISNUMBER(SEARCH("month",C122)),IFERROR(_xlfn.NUMBERVALUE(SUBSTITUTE(LEFT(TRIM(C122),FIND(" ",TRIM(C122)&amp;" ")-1),",","."),"."),LEFT(SUBSTITUTE(LEFT(TRIM(C122),FIND(" ",TRIM(C122)&amp;" ")-1),",","."),FIND("/",SUBSTITUTE(LEFT(TRIM(C122),FIND(" ",TRIM(C122)&amp;" ")-1),",","."))-1)/MID(SUBSTITUTE(LEFT(TRIM(C122),FIND(" ",TRIM(C122)&amp;" ")-1),",","."),FIND("/",SUBSTITUTE(LEFT(TRIM(C122),FIND(" ",TRIM(C122)&amp;" ")-1),",","."))+1,9)),IF(ISNUMBER(SEARCH("yea",C122)),IFERROR(_xlfn.NUMBERVALUE(SUBSTITUTE(LEFT(TRIM(C122),FIND(" ",TRIM(C122)&amp;" ")-1),",","."),"."),LEFT(SUBSTITUTE(LEFT(TRIM(C122),FIND(" ",TRIM(C122)&amp;" ")-1),",","."),FIND("/",SUBSTITUTE(LEFT(TRIM(C122),FIND(" ",TRIM(C122)&amp;" ")-1),",","."))-1)/MID(SUBSTITUTE(LEFT(TRIM(C122),FIND(" ",TRIM(C122)&amp;" ")-1),",","."),FIND("/",SUBSTITUTE(LEFT(TRIM(C122),FIND(" ",TRIM(C122)&amp;" ")-1),",","."))+1,9))*12,NA()))),0),48)*'Aturan &amp; Tarif'!$B$4,2)</f>
        <v>2725.44</v>
      </c>
      <c r="K122" s="42" t="n">
        <f aca="false">'Aturan &amp; Tarif'!$B$5</f>
        <v>2050</v>
      </c>
      <c r="L122" s="42" t="n">
        <f aca="false">'Aturan &amp; Tarif'!$B$6</f>
        <v>350</v>
      </c>
      <c r="M122" s="35" t="n">
        <f aca="false">I122+J122+K122+L122</f>
        <v>24821.44</v>
      </c>
      <c r="N122" s="45" t="s">
        <v>512</v>
      </c>
    </row>
    <row r="123" customFormat="false" ht="14.25" hidden="false" customHeight="true" outlineLevel="0" collapsed="false">
      <c r="A123" s="39"/>
      <c r="B123" s="40" t="s">
        <v>597</v>
      </c>
      <c r="C123" s="41" t="s">
        <v>107</v>
      </c>
      <c r="D123" s="41" t="s">
        <v>108</v>
      </c>
      <c r="E123" s="42" t="n">
        <v>9110</v>
      </c>
      <c r="F123" s="42"/>
      <c r="G123" s="42"/>
      <c r="H123" s="43" t="n">
        <v>2</v>
      </c>
      <c r="I123" s="34" t="n">
        <f aca="false">E123*H123+N(F123)+N(G123)</f>
        <v>18220</v>
      </c>
      <c r="J123" s="42" t="n">
        <f aca="false">ROUND(IFERROR(ROUND(IF(OR(ISNUMBER(SEARCH("week",C123)),ISNUMBER(SEARCH("minggu",C123))),IFERROR(_xlfn.NUMBERVALUE(SUBSTITUTE(LEFT(TRIM(C123),FIND(" ",TRIM(C123)&amp;" ")-1),",","."),"."),LEFT(SUBSTITUTE(LEFT(TRIM(C123),FIND(" ",TRIM(C123)&amp;" ")-1),",","."),FIND("/",SUBSTITUTE(LEFT(TRIM(C123),FIND(" ",TRIM(C123)&amp;" ")-1),",","."))-1)/MID(SUBSTITUTE(LEFT(TRIM(C123),FIND(" ",TRIM(C123)&amp;" ")-1),",","."),FIND("/",SUBSTITUTE(LEFT(TRIM(C123),FIND(" ",TRIM(C123)&amp;" ")-1),",","."))+1,9))*12/52,IF(ISNUMBER(SEARCH("month",C123)),IFERROR(_xlfn.NUMBERVALUE(SUBSTITUTE(LEFT(TRIM(C123),FIND(" ",TRIM(C123)&amp;" ")-1),",","."),"."),LEFT(SUBSTITUTE(LEFT(TRIM(C123),FIND(" ",TRIM(C123)&amp;" ")-1),",","."),FIND("/",SUBSTITUTE(LEFT(TRIM(C123),FIND(" ",TRIM(C123)&amp;" ")-1),",","."))-1)/MID(SUBSTITUTE(LEFT(TRIM(C123),FIND(" ",TRIM(C123)&amp;" ")-1),",","."),FIND("/",SUBSTITUTE(LEFT(TRIM(C123),FIND(" ",TRIM(C123)&amp;" ")-1),",","."))+1,9)),IF(ISNUMBER(SEARCH("yea",C123)),IFERROR(_xlfn.NUMBERVALUE(SUBSTITUTE(LEFT(TRIM(C123),FIND(" ",TRIM(C123)&amp;" ")-1),",","."),"."),LEFT(SUBSTITUTE(LEFT(TRIM(C123),FIND(" ",TRIM(C123)&amp;" ")-1),",","."),FIND("/",SUBSTITUTE(LEFT(TRIM(C123),FIND(" ",TRIM(C123)&amp;" ")-1),",","."))-1)/MID(SUBSTITUTE(LEFT(TRIM(C123),FIND(" ",TRIM(C123)&amp;" ")-1),",","."),FIND("/",SUBSTITUTE(LEFT(TRIM(C123),FIND(" ",TRIM(C123)&amp;" ")-1),",","."))+1,9))*12,NA()))),0),24)*'Aturan &amp; Tarif'!$B$4,2)</f>
        <v>1362.72</v>
      </c>
      <c r="K123" s="42" t="n">
        <f aca="false">'Aturan &amp; Tarif'!$B$5</f>
        <v>2050</v>
      </c>
      <c r="L123" s="42" t="n">
        <f aca="false">'Aturan &amp; Tarif'!$B$6</f>
        <v>350</v>
      </c>
      <c r="M123" s="35" t="n">
        <f aca="false">I123+J123+K123+L123</f>
        <v>21982.72</v>
      </c>
      <c r="N123" s="45" t="s">
        <v>512</v>
      </c>
    </row>
    <row r="124" customFormat="false" ht="14.25" hidden="false" customHeight="true" outlineLevel="0" collapsed="false">
      <c r="A124" s="39"/>
      <c r="B124" s="40" t="s">
        <v>598</v>
      </c>
      <c r="C124" s="41" t="s">
        <v>107</v>
      </c>
      <c r="D124" s="41" t="s">
        <v>108</v>
      </c>
      <c r="E124" s="42" t="n">
        <v>9110</v>
      </c>
      <c r="F124" s="42"/>
      <c r="G124" s="42"/>
      <c r="H124" s="43" t="n">
        <v>2</v>
      </c>
      <c r="I124" s="34" t="n">
        <f aca="false">E124*H124+N(F124)+N(G124)</f>
        <v>18220</v>
      </c>
      <c r="J124" s="42" t="n">
        <f aca="false">ROUND(IFERROR(ROUND(IF(OR(ISNUMBER(SEARCH("week",C124)),ISNUMBER(SEARCH("minggu",C124))),IFERROR(_xlfn.NUMBERVALUE(SUBSTITUTE(LEFT(TRIM(C124),FIND(" ",TRIM(C124)&amp;" ")-1),",","."),"."),LEFT(SUBSTITUTE(LEFT(TRIM(C124),FIND(" ",TRIM(C124)&amp;" ")-1),",","."),FIND("/",SUBSTITUTE(LEFT(TRIM(C124),FIND(" ",TRIM(C124)&amp;" ")-1),",","."))-1)/MID(SUBSTITUTE(LEFT(TRIM(C124),FIND(" ",TRIM(C124)&amp;" ")-1),",","."),FIND("/",SUBSTITUTE(LEFT(TRIM(C124),FIND(" ",TRIM(C124)&amp;" ")-1),",","."))+1,9))*12/52,IF(ISNUMBER(SEARCH("month",C124)),IFERROR(_xlfn.NUMBERVALUE(SUBSTITUTE(LEFT(TRIM(C124),FIND(" ",TRIM(C124)&amp;" ")-1),",","."),"."),LEFT(SUBSTITUTE(LEFT(TRIM(C124),FIND(" ",TRIM(C124)&amp;" ")-1),",","."),FIND("/",SUBSTITUTE(LEFT(TRIM(C124),FIND(" ",TRIM(C124)&amp;" ")-1),",","."))-1)/MID(SUBSTITUTE(LEFT(TRIM(C124),FIND(" ",TRIM(C124)&amp;" ")-1),",","."),FIND("/",SUBSTITUTE(LEFT(TRIM(C124),FIND(" ",TRIM(C124)&amp;" ")-1),",","."))+1,9)),IF(ISNUMBER(SEARCH("yea",C124)),IFERROR(_xlfn.NUMBERVALUE(SUBSTITUTE(LEFT(TRIM(C124),FIND(" ",TRIM(C124)&amp;" ")-1),",","."),"."),LEFT(SUBSTITUTE(LEFT(TRIM(C124),FIND(" ",TRIM(C124)&amp;" ")-1),",","."),FIND("/",SUBSTITUTE(LEFT(TRIM(C124),FIND(" ",TRIM(C124)&amp;" ")-1),",","."))-1)/MID(SUBSTITUTE(LEFT(TRIM(C124),FIND(" ",TRIM(C124)&amp;" ")-1),",","."),FIND("/",SUBSTITUTE(LEFT(TRIM(C124),FIND(" ",TRIM(C124)&amp;" ")-1),",","."))+1,9))*12,NA()))),0),24)*'Aturan &amp; Tarif'!$B$4,2)</f>
        <v>1362.72</v>
      </c>
      <c r="K124" s="42" t="n">
        <f aca="false">'Aturan &amp; Tarif'!$B$5</f>
        <v>2050</v>
      </c>
      <c r="L124" s="42" t="n">
        <f aca="false">'Aturan &amp; Tarif'!$B$6</f>
        <v>350</v>
      </c>
      <c r="M124" s="35" t="n">
        <f aca="false">I124+J124+K124+L124</f>
        <v>21982.72</v>
      </c>
      <c r="N124" s="45" t="s">
        <v>512</v>
      </c>
    </row>
    <row r="125" customFormat="false" ht="25.5" hidden="false" customHeight="true" outlineLevel="0" collapsed="false">
      <c r="A125" s="39"/>
      <c r="B125" s="40" t="s">
        <v>599</v>
      </c>
      <c r="C125" s="41" t="s">
        <v>107</v>
      </c>
      <c r="D125" s="41" t="s">
        <v>108</v>
      </c>
      <c r="E125" s="42" t="n">
        <v>9110</v>
      </c>
      <c r="F125" s="42"/>
      <c r="G125" s="42"/>
      <c r="H125" s="43" t="n">
        <v>2</v>
      </c>
      <c r="I125" s="34" t="n">
        <f aca="false">E125*H125+N(F125)+N(G125)</f>
        <v>18220</v>
      </c>
      <c r="J125" s="42" t="n">
        <f aca="false">ROUND(IFERROR(ROUND(IF(OR(ISNUMBER(SEARCH("week",C125)),ISNUMBER(SEARCH("minggu",C125))),IFERROR(_xlfn.NUMBERVALUE(SUBSTITUTE(LEFT(TRIM(C125),FIND(" ",TRIM(C125)&amp;" ")-1),",","."),"."),LEFT(SUBSTITUTE(LEFT(TRIM(C125),FIND(" ",TRIM(C125)&amp;" ")-1),",","."),FIND("/",SUBSTITUTE(LEFT(TRIM(C125),FIND(" ",TRIM(C125)&amp;" ")-1),",","."))-1)/MID(SUBSTITUTE(LEFT(TRIM(C125),FIND(" ",TRIM(C125)&amp;" ")-1),",","."),FIND("/",SUBSTITUTE(LEFT(TRIM(C125),FIND(" ",TRIM(C125)&amp;" ")-1),",","."))+1,9))*12/52,IF(ISNUMBER(SEARCH("month",C125)),IFERROR(_xlfn.NUMBERVALUE(SUBSTITUTE(LEFT(TRIM(C125),FIND(" ",TRIM(C125)&amp;" ")-1),",","."),"."),LEFT(SUBSTITUTE(LEFT(TRIM(C125),FIND(" ",TRIM(C125)&amp;" ")-1),",","."),FIND("/",SUBSTITUTE(LEFT(TRIM(C125),FIND(" ",TRIM(C125)&amp;" ")-1),",","."))-1)/MID(SUBSTITUTE(LEFT(TRIM(C125),FIND(" ",TRIM(C125)&amp;" ")-1),",","."),FIND("/",SUBSTITUTE(LEFT(TRIM(C125),FIND(" ",TRIM(C125)&amp;" ")-1),",","."))+1,9)),IF(ISNUMBER(SEARCH("yea",C125)),IFERROR(_xlfn.NUMBERVALUE(SUBSTITUTE(LEFT(TRIM(C125),FIND(" ",TRIM(C125)&amp;" ")-1),",","."),"."),LEFT(SUBSTITUTE(LEFT(TRIM(C125),FIND(" ",TRIM(C125)&amp;" ")-1),",","."),FIND("/",SUBSTITUTE(LEFT(TRIM(C125),FIND(" ",TRIM(C125)&amp;" ")-1),",","."))-1)/MID(SUBSTITUTE(LEFT(TRIM(C125),FIND(" ",TRIM(C125)&amp;" ")-1),",","."),FIND("/",SUBSTITUTE(LEFT(TRIM(C125),FIND(" ",TRIM(C125)&amp;" ")-1),",","."))+1,9))*12,NA()))),0),24)*'Aturan &amp; Tarif'!$B$4,2)</f>
        <v>1362.72</v>
      </c>
      <c r="K125" s="42" t="n">
        <f aca="false">'Aturan &amp; Tarif'!$B$5</f>
        <v>2050</v>
      </c>
      <c r="L125" s="42" t="n">
        <f aca="false">'Aturan &amp; Tarif'!$B$6</f>
        <v>350</v>
      </c>
      <c r="M125" s="35" t="n">
        <f aca="false">I125+J125+K125+L125</f>
        <v>21982.72</v>
      </c>
      <c r="N125" s="45" t="s">
        <v>512</v>
      </c>
    </row>
    <row r="126" customFormat="false" ht="25.5" hidden="false" customHeight="true" outlineLevel="0" collapsed="false">
      <c r="A126" s="39"/>
      <c r="B126" s="40" t="s">
        <v>600</v>
      </c>
      <c r="C126" s="41" t="s">
        <v>107</v>
      </c>
      <c r="D126" s="41" t="s">
        <v>108</v>
      </c>
      <c r="E126" s="42" t="n">
        <v>9110</v>
      </c>
      <c r="F126" s="42"/>
      <c r="G126" s="42"/>
      <c r="H126" s="43" t="n">
        <v>2</v>
      </c>
      <c r="I126" s="34" t="n">
        <f aca="false">E126*H126+N(F126)+N(G126)</f>
        <v>18220</v>
      </c>
      <c r="J126" s="42" t="n">
        <f aca="false">ROUND(IFERROR(ROUND(IF(OR(ISNUMBER(SEARCH("week",C126)),ISNUMBER(SEARCH("minggu",C126))),IFERROR(_xlfn.NUMBERVALUE(SUBSTITUTE(LEFT(TRIM(C126),FIND(" ",TRIM(C126)&amp;" ")-1),",","."),"."),LEFT(SUBSTITUTE(LEFT(TRIM(C126),FIND(" ",TRIM(C126)&amp;" ")-1),",","."),FIND("/",SUBSTITUTE(LEFT(TRIM(C126),FIND(" ",TRIM(C126)&amp;" ")-1),",","."))-1)/MID(SUBSTITUTE(LEFT(TRIM(C126),FIND(" ",TRIM(C126)&amp;" ")-1),",","."),FIND("/",SUBSTITUTE(LEFT(TRIM(C126),FIND(" ",TRIM(C126)&amp;" ")-1),",","."))+1,9))*12/52,IF(ISNUMBER(SEARCH("month",C126)),IFERROR(_xlfn.NUMBERVALUE(SUBSTITUTE(LEFT(TRIM(C126),FIND(" ",TRIM(C126)&amp;" ")-1),",","."),"."),LEFT(SUBSTITUTE(LEFT(TRIM(C126),FIND(" ",TRIM(C126)&amp;" ")-1),",","."),FIND("/",SUBSTITUTE(LEFT(TRIM(C126),FIND(" ",TRIM(C126)&amp;" ")-1),",","."))-1)/MID(SUBSTITUTE(LEFT(TRIM(C126),FIND(" ",TRIM(C126)&amp;" ")-1),",","."),FIND("/",SUBSTITUTE(LEFT(TRIM(C126),FIND(" ",TRIM(C126)&amp;" ")-1),",","."))+1,9)),IF(ISNUMBER(SEARCH("yea",C126)),IFERROR(_xlfn.NUMBERVALUE(SUBSTITUTE(LEFT(TRIM(C126),FIND(" ",TRIM(C126)&amp;" ")-1),",","."),"."),LEFT(SUBSTITUTE(LEFT(TRIM(C126),FIND(" ",TRIM(C126)&amp;" ")-1),",","."),FIND("/",SUBSTITUTE(LEFT(TRIM(C126),FIND(" ",TRIM(C126)&amp;" ")-1),",","."))-1)/MID(SUBSTITUTE(LEFT(TRIM(C126),FIND(" ",TRIM(C126)&amp;" ")-1),",","."),FIND("/",SUBSTITUTE(LEFT(TRIM(C126),FIND(" ",TRIM(C126)&amp;" ")-1),",","."))+1,9))*12,NA()))),0),24)*'Aturan &amp; Tarif'!$B$4,2)</f>
        <v>1362.72</v>
      </c>
      <c r="K126" s="42" t="n">
        <f aca="false">'Aturan &amp; Tarif'!$B$5</f>
        <v>2050</v>
      </c>
      <c r="L126" s="42" t="n">
        <f aca="false">'Aturan &amp; Tarif'!$B$6</f>
        <v>350</v>
      </c>
      <c r="M126" s="35" t="n">
        <f aca="false">I126+J126+K126+L126</f>
        <v>21982.72</v>
      </c>
      <c r="N126" s="45" t="s">
        <v>512</v>
      </c>
    </row>
    <row r="127" customFormat="false" ht="25.5" hidden="false" customHeight="true" outlineLevel="0" collapsed="false">
      <c r="A127" s="39"/>
      <c r="B127" s="40" t="s">
        <v>601</v>
      </c>
      <c r="C127" s="41" t="s">
        <v>107</v>
      </c>
      <c r="D127" s="41" t="s">
        <v>108</v>
      </c>
      <c r="E127" s="42" t="n">
        <v>9110</v>
      </c>
      <c r="F127" s="42"/>
      <c r="G127" s="42"/>
      <c r="H127" s="43" t="n">
        <v>2</v>
      </c>
      <c r="I127" s="34" t="n">
        <f aca="false">E127*H127+N(F127)+N(G127)</f>
        <v>18220</v>
      </c>
      <c r="J127" s="42" t="n">
        <f aca="false">ROUND(IFERROR(ROUND(IF(OR(ISNUMBER(SEARCH("week",C127)),ISNUMBER(SEARCH("minggu",C127))),IFERROR(_xlfn.NUMBERVALUE(SUBSTITUTE(LEFT(TRIM(C127),FIND(" ",TRIM(C127)&amp;" ")-1),",","."),"."),LEFT(SUBSTITUTE(LEFT(TRIM(C127),FIND(" ",TRIM(C127)&amp;" ")-1),",","."),FIND("/",SUBSTITUTE(LEFT(TRIM(C127),FIND(" ",TRIM(C127)&amp;" ")-1),",","."))-1)/MID(SUBSTITUTE(LEFT(TRIM(C127),FIND(" ",TRIM(C127)&amp;" ")-1),",","."),FIND("/",SUBSTITUTE(LEFT(TRIM(C127),FIND(" ",TRIM(C127)&amp;" ")-1),",","."))+1,9))*12/52,IF(ISNUMBER(SEARCH("month",C127)),IFERROR(_xlfn.NUMBERVALUE(SUBSTITUTE(LEFT(TRIM(C127),FIND(" ",TRIM(C127)&amp;" ")-1),",","."),"."),LEFT(SUBSTITUTE(LEFT(TRIM(C127),FIND(" ",TRIM(C127)&amp;" ")-1),",","."),FIND("/",SUBSTITUTE(LEFT(TRIM(C127),FIND(" ",TRIM(C127)&amp;" ")-1),",","."))-1)/MID(SUBSTITUTE(LEFT(TRIM(C127),FIND(" ",TRIM(C127)&amp;" ")-1),",","."),FIND("/",SUBSTITUTE(LEFT(TRIM(C127),FIND(" ",TRIM(C127)&amp;" ")-1),",","."))+1,9)),IF(ISNUMBER(SEARCH("yea",C127)),IFERROR(_xlfn.NUMBERVALUE(SUBSTITUTE(LEFT(TRIM(C127),FIND(" ",TRIM(C127)&amp;" ")-1),",","."),"."),LEFT(SUBSTITUTE(LEFT(TRIM(C127),FIND(" ",TRIM(C127)&amp;" ")-1),",","."),FIND("/",SUBSTITUTE(LEFT(TRIM(C127),FIND(" ",TRIM(C127)&amp;" ")-1),",","."))-1)/MID(SUBSTITUTE(LEFT(TRIM(C127),FIND(" ",TRIM(C127)&amp;" ")-1),",","."),FIND("/",SUBSTITUTE(LEFT(TRIM(C127),FIND(" ",TRIM(C127)&amp;" ")-1),",","."))+1,9))*12,NA()))),0),24)*'Aturan &amp; Tarif'!$B$4,2)</f>
        <v>1362.72</v>
      </c>
      <c r="K127" s="42" t="n">
        <f aca="false">'Aturan &amp; Tarif'!$B$5</f>
        <v>2050</v>
      </c>
      <c r="L127" s="42" t="n">
        <f aca="false">'Aturan &amp; Tarif'!$B$6</f>
        <v>350</v>
      </c>
      <c r="M127" s="35" t="n">
        <f aca="false">I127+J127+K127+L127</f>
        <v>21982.72</v>
      </c>
      <c r="N127" s="45" t="s">
        <v>512</v>
      </c>
    </row>
    <row r="128" customFormat="false" ht="37.5" hidden="false" customHeight="true" outlineLevel="0" collapsed="false">
      <c r="A128" s="39"/>
      <c r="B128" s="40" t="s">
        <v>602</v>
      </c>
      <c r="C128" s="41" t="s">
        <v>344</v>
      </c>
      <c r="D128" s="41" t="s">
        <v>108</v>
      </c>
      <c r="E128" s="42" t="n">
        <v>8427</v>
      </c>
      <c r="F128" s="42"/>
      <c r="G128" s="42"/>
      <c r="H128" s="43" t="n">
        <v>2</v>
      </c>
      <c r="I128" s="34" t="n">
        <f aca="false">E128*H128+N(F128)+N(G128)</f>
        <v>16854</v>
      </c>
      <c r="J128" s="42" t="n">
        <f aca="false">ROUND(IFERROR(ROUND(IF(OR(ISNUMBER(SEARCH("week",C128)),ISNUMBER(SEARCH("minggu",C128))),IFERROR(_xlfn.NUMBERVALUE(SUBSTITUTE(LEFT(TRIM(C128),FIND(" ",TRIM(C128)&amp;" ")-1),",","."),"."),LEFT(SUBSTITUTE(LEFT(TRIM(C128),FIND(" ",TRIM(C128)&amp;" ")-1),",","."),FIND("/",SUBSTITUTE(LEFT(TRIM(C128),FIND(" ",TRIM(C128)&amp;" ")-1),",","."))-1)/MID(SUBSTITUTE(LEFT(TRIM(C128),FIND(" ",TRIM(C128)&amp;" ")-1),",","."),FIND("/",SUBSTITUTE(LEFT(TRIM(C128),FIND(" ",TRIM(C128)&amp;" ")-1),",","."))+1,9))*12/52,IF(ISNUMBER(SEARCH("month",C128)),IFERROR(_xlfn.NUMBERVALUE(SUBSTITUTE(LEFT(TRIM(C128),FIND(" ",TRIM(C128)&amp;" ")-1),",","."),"."),LEFT(SUBSTITUTE(LEFT(TRIM(C128),FIND(" ",TRIM(C128)&amp;" ")-1),",","."),FIND("/",SUBSTITUTE(LEFT(TRIM(C128),FIND(" ",TRIM(C128)&amp;" ")-1),",","."))-1)/MID(SUBSTITUTE(LEFT(TRIM(C128),FIND(" ",TRIM(C128)&amp;" ")-1),",","."),FIND("/",SUBSTITUTE(LEFT(TRIM(C128),FIND(" ",TRIM(C128)&amp;" ")-1),",","."))+1,9)),IF(ISNUMBER(SEARCH("yea",C128)),IFERROR(_xlfn.NUMBERVALUE(SUBSTITUTE(LEFT(TRIM(C128),FIND(" ",TRIM(C128)&amp;" ")-1),",","."),"."),LEFT(SUBSTITUTE(LEFT(TRIM(C128),FIND(" ",TRIM(C128)&amp;" ")-1),",","."),FIND("/",SUBSTITUTE(LEFT(TRIM(C128),FIND(" ",TRIM(C128)&amp;" ")-1),",","."))-1)/MID(SUBSTITUTE(LEFT(TRIM(C128),FIND(" ",TRIM(C128)&amp;" ")-1),",","."),FIND("/",SUBSTITUTE(LEFT(TRIM(C128),FIND(" ",TRIM(C128)&amp;" ")-1),",","."))+1,9))*12,NA()))),0),6)*'Aturan &amp; Tarif'!$B$4,2)</f>
        <v>340.68</v>
      </c>
      <c r="K128" s="42" t="n">
        <f aca="false">'Aturan &amp; Tarif'!$B$5</f>
        <v>2050</v>
      </c>
      <c r="L128" s="42" t="n">
        <f aca="false">'Aturan &amp; Tarif'!$B$6</f>
        <v>350</v>
      </c>
      <c r="M128" s="35" t="n">
        <f aca="false">I128+J128+K128+L128</f>
        <v>19594.68</v>
      </c>
      <c r="N128" s="44" t="s">
        <v>603</v>
      </c>
    </row>
    <row r="129" customFormat="false" ht="37.5" hidden="false" customHeight="true" outlineLevel="0" collapsed="false">
      <c r="A129" s="39"/>
      <c r="B129" s="40" t="s">
        <v>604</v>
      </c>
      <c r="C129" s="41" t="s">
        <v>191</v>
      </c>
      <c r="D129" s="41" t="s">
        <v>108</v>
      </c>
      <c r="E129" s="42" t="n">
        <v>8427</v>
      </c>
      <c r="F129" s="42"/>
      <c r="G129" s="42"/>
      <c r="H129" s="43" t="n">
        <v>2</v>
      </c>
      <c r="I129" s="34" t="n">
        <f aca="false">E129*H129+N(F129)+N(G129)</f>
        <v>16854</v>
      </c>
      <c r="J129" s="42" t="n">
        <f aca="false">ROUND(IFERROR(ROUND(IF(OR(ISNUMBER(SEARCH("week",C129)),ISNUMBER(SEARCH("minggu",C129))),IFERROR(_xlfn.NUMBERVALUE(SUBSTITUTE(LEFT(TRIM(C129),FIND(" ",TRIM(C129)&amp;" ")-1),",","."),"."),LEFT(SUBSTITUTE(LEFT(TRIM(C129),FIND(" ",TRIM(C129)&amp;" ")-1),",","."),FIND("/",SUBSTITUTE(LEFT(TRIM(C129),FIND(" ",TRIM(C129)&amp;" ")-1),",","."))-1)/MID(SUBSTITUTE(LEFT(TRIM(C129),FIND(" ",TRIM(C129)&amp;" ")-1),",","."),FIND("/",SUBSTITUTE(LEFT(TRIM(C129),FIND(" ",TRIM(C129)&amp;" ")-1),",","."))+1,9))*12/52,IF(ISNUMBER(SEARCH("month",C129)),IFERROR(_xlfn.NUMBERVALUE(SUBSTITUTE(LEFT(TRIM(C129),FIND(" ",TRIM(C129)&amp;" ")-1),",","."),"."),LEFT(SUBSTITUTE(LEFT(TRIM(C129),FIND(" ",TRIM(C129)&amp;" ")-1),",","."),FIND("/",SUBSTITUTE(LEFT(TRIM(C129),FIND(" ",TRIM(C129)&amp;" ")-1),",","."))-1)/MID(SUBSTITUTE(LEFT(TRIM(C129),FIND(" ",TRIM(C129)&amp;" ")-1),",","."),FIND("/",SUBSTITUTE(LEFT(TRIM(C129),FIND(" ",TRIM(C129)&amp;" ")-1),",","."))+1,9)),IF(ISNUMBER(SEARCH("yea",C129)),IFERROR(_xlfn.NUMBERVALUE(SUBSTITUTE(LEFT(TRIM(C129),FIND(" ",TRIM(C129)&amp;" ")-1),",","."),"."),LEFT(SUBSTITUTE(LEFT(TRIM(C129),FIND(" ",TRIM(C129)&amp;" ")-1),",","."),FIND("/",SUBSTITUTE(LEFT(TRIM(C129),FIND(" ",TRIM(C129)&amp;" ")-1),",","."))-1)/MID(SUBSTITUTE(LEFT(TRIM(C129),FIND(" ",TRIM(C129)&amp;" ")-1),",","."),FIND("/",SUBSTITUTE(LEFT(TRIM(C129),FIND(" ",TRIM(C129)&amp;" ")-1),",","."))+1,9))*12,NA()))),0),48)*'Aturan &amp; Tarif'!$B$4,2)</f>
        <v>2725.44</v>
      </c>
      <c r="K129" s="42" t="n">
        <f aca="false">'Aturan &amp; Tarif'!$B$5</f>
        <v>2050</v>
      </c>
      <c r="L129" s="42" t="n">
        <f aca="false">'Aturan &amp; Tarif'!$B$6</f>
        <v>350</v>
      </c>
      <c r="M129" s="35" t="n">
        <f aca="false">I129+J129+K129+L129</f>
        <v>21979.44</v>
      </c>
      <c r="N129" s="44" t="s">
        <v>605</v>
      </c>
    </row>
    <row r="130" customFormat="false" ht="37.5" hidden="false" customHeight="true" outlineLevel="0" collapsed="false">
      <c r="A130" s="39"/>
      <c r="B130" s="40" t="s">
        <v>606</v>
      </c>
      <c r="C130" s="41" t="s">
        <v>191</v>
      </c>
      <c r="D130" s="41" t="s">
        <v>108</v>
      </c>
      <c r="E130" s="42" t="n">
        <v>7784</v>
      </c>
      <c r="F130" s="42"/>
      <c r="G130" s="42"/>
      <c r="H130" s="43" t="n">
        <v>2</v>
      </c>
      <c r="I130" s="34" t="n">
        <f aca="false">E130*H130+N(F130)+N(G130)</f>
        <v>15568</v>
      </c>
      <c r="J130" s="42" t="n">
        <f aca="false">ROUND(IFERROR(ROUND(IF(OR(ISNUMBER(SEARCH("week",C130)),ISNUMBER(SEARCH("minggu",C130))),IFERROR(_xlfn.NUMBERVALUE(SUBSTITUTE(LEFT(TRIM(C130),FIND(" ",TRIM(C130)&amp;" ")-1),",","."),"."),LEFT(SUBSTITUTE(LEFT(TRIM(C130),FIND(" ",TRIM(C130)&amp;" ")-1),",","."),FIND("/",SUBSTITUTE(LEFT(TRIM(C130),FIND(" ",TRIM(C130)&amp;" ")-1),",","."))-1)/MID(SUBSTITUTE(LEFT(TRIM(C130),FIND(" ",TRIM(C130)&amp;" ")-1),",","."),FIND("/",SUBSTITUTE(LEFT(TRIM(C130),FIND(" ",TRIM(C130)&amp;" ")-1),",","."))+1,9))*12/52,IF(ISNUMBER(SEARCH("month",C130)),IFERROR(_xlfn.NUMBERVALUE(SUBSTITUTE(LEFT(TRIM(C130),FIND(" ",TRIM(C130)&amp;" ")-1),",","."),"."),LEFT(SUBSTITUTE(LEFT(TRIM(C130),FIND(" ",TRIM(C130)&amp;" ")-1),",","."),FIND("/",SUBSTITUTE(LEFT(TRIM(C130),FIND(" ",TRIM(C130)&amp;" ")-1),",","."))-1)/MID(SUBSTITUTE(LEFT(TRIM(C130),FIND(" ",TRIM(C130)&amp;" ")-1),",","."),FIND("/",SUBSTITUTE(LEFT(TRIM(C130),FIND(" ",TRIM(C130)&amp;" ")-1),",","."))+1,9)),IF(ISNUMBER(SEARCH("yea",C130)),IFERROR(_xlfn.NUMBERVALUE(SUBSTITUTE(LEFT(TRIM(C130),FIND(" ",TRIM(C130)&amp;" ")-1),",","."),"."),LEFT(SUBSTITUTE(LEFT(TRIM(C130),FIND(" ",TRIM(C130)&amp;" ")-1),",","."),FIND("/",SUBSTITUTE(LEFT(TRIM(C130),FIND(" ",TRIM(C130)&amp;" ")-1),",","."))-1)/MID(SUBSTITUTE(LEFT(TRIM(C130),FIND(" ",TRIM(C130)&amp;" ")-1),",","."),FIND("/",SUBSTITUTE(LEFT(TRIM(C130),FIND(" ",TRIM(C130)&amp;" ")-1),",","."))+1,9))*12,NA()))),0),48)*'Aturan &amp; Tarif'!$B$4,2)</f>
        <v>2725.44</v>
      </c>
      <c r="K130" s="42" t="n">
        <f aca="false">'Aturan &amp; Tarif'!$B$5</f>
        <v>2050</v>
      </c>
      <c r="L130" s="42" t="n">
        <f aca="false">'Aturan &amp; Tarif'!$B$6</f>
        <v>350</v>
      </c>
      <c r="M130" s="35" t="n">
        <f aca="false">I130+J130+K130+L130</f>
        <v>20693.44</v>
      </c>
      <c r="N130" s="44" t="s">
        <v>607</v>
      </c>
    </row>
    <row r="131" customFormat="false" ht="37.5" hidden="false" customHeight="true" outlineLevel="0" collapsed="false">
      <c r="A131" s="39"/>
      <c r="B131" s="40" t="s">
        <v>608</v>
      </c>
      <c r="C131" s="41" t="s">
        <v>107</v>
      </c>
      <c r="D131" s="41" t="s">
        <v>108</v>
      </c>
      <c r="E131" s="42" t="n">
        <v>8427</v>
      </c>
      <c r="F131" s="42"/>
      <c r="G131" s="42"/>
      <c r="H131" s="43" t="n">
        <v>2</v>
      </c>
      <c r="I131" s="34" t="n">
        <f aca="false">E131*H131+N(F131)+N(G131)</f>
        <v>16854</v>
      </c>
      <c r="J131" s="42" t="n">
        <f aca="false">ROUND(IFERROR(ROUND(IF(OR(ISNUMBER(SEARCH("week",C131)),ISNUMBER(SEARCH("minggu",C131))),IFERROR(_xlfn.NUMBERVALUE(SUBSTITUTE(LEFT(TRIM(C131),FIND(" ",TRIM(C131)&amp;" ")-1),",","."),"."),LEFT(SUBSTITUTE(LEFT(TRIM(C131),FIND(" ",TRIM(C131)&amp;" ")-1),",","."),FIND("/",SUBSTITUTE(LEFT(TRIM(C131),FIND(" ",TRIM(C131)&amp;" ")-1),",","."))-1)/MID(SUBSTITUTE(LEFT(TRIM(C131),FIND(" ",TRIM(C131)&amp;" ")-1),",","."),FIND("/",SUBSTITUTE(LEFT(TRIM(C131),FIND(" ",TRIM(C131)&amp;" ")-1),",","."))+1,9))*12/52,IF(ISNUMBER(SEARCH("month",C131)),IFERROR(_xlfn.NUMBERVALUE(SUBSTITUTE(LEFT(TRIM(C131),FIND(" ",TRIM(C131)&amp;" ")-1),",","."),"."),LEFT(SUBSTITUTE(LEFT(TRIM(C131),FIND(" ",TRIM(C131)&amp;" ")-1),",","."),FIND("/",SUBSTITUTE(LEFT(TRIM(C131),FIND(" ",TRIM(C131)&amp;" ")-1),",","."))-1)/MID(SUBSTITUTE(LEFT(TRIM(C131),FIND(" ",TRIM(C131)&amp;" ")-1),",","."),FIND("/",SUBSTITUTE(LEFT(TRIM(C131),FIND(" ",TRIM(C131)&amp;" ")-1),",","."))+1,9)),IF(ISNUMBER(SEARCH("yea",C131)),IFERROR(_xlfn.NUMBERVALUE(SUBSTITUTE(LEFT(TRIM(C131),FIND(" ",TRIM(C131)&amp;" ")-1),",","."),"."),LEFT(SUBSTITUTE(LEFT(TRIM(C131),FIND(" ",TRIM(C131)&amp;" ")-1),",","."),FIND("/",SUBSTITUTE(LEFT(TRIM(C131),FIND(" ",TRIM(C131)&amp;" ")-1),",","."))-1)/MID(SUBSTITUTE(LEFT(TRIM(C131),FIND(" ",TRIM(C131)&amp;" ")-1),",","."),FIND("/",SUBSTITUTE(LEFT(TRIM(C131),FIND(" ",TRIM(C131)&amp;" ")-1),",","."))+1,9))*12,NA()))),0),24)*'Aturan &amp; Tarif'!$B$4,2)</f>
        <v>1362.72</v>
      </c>
      <c r="K131" s="42" t="n">
        <f aca="false">'Aturan &amp; Tarif'!$B$5</f>
        <v>2050</v>
      </c>
      <c r="L131" s="42" t="n">
        <f aca="false">'Aturan &amp; Tarif'!$B$6</f>
        <v>350</v>
      </c>
      <c r="M131" s="35" t="n">
        <f aca="false">I131+J131+K131+L131</f>
        <v>20616.72</v>
      </c>
      <c r="N131" s="44" t="s">
        <v>605</v>
      </c>
    </row>
    <row r="132" customFormat="false" ht="37.5" hidden="false" customHeight="true" outlineLevel="0" collapsed="false">
      <c r="A132" s="39"/>
      <c r="B132" s="40" t="s">
        <v>609</v>
      </c>
      <c r="C132" s="41" t="s">
        <v>107</v>
      </c>
      <c r="D132" s="41" t="s">
        <v>108</v>
      </c>
      <c r="E132" s="42" t="n">
        <v>7784</v>
      </c>
      <c r="F132" s="42"/>
      <c r="G132" s="42"/>
      <c r="H132" s="43" t="n">
        <v>2</v>
      </c>
      <c r="I132" s="34" t="n">
        <f aca="false">E132*H132+N(F132)+N(G132)</f>
        <v>15568</v>
      </c>
      <c r="J132" s="42" t="n">
        <f aca="false">ROUND(IFERROR(ROUND(IF(OR(ISNUMBER(SEARCH("week",C132)),ISNUMBER(SEARCH("minggu",C132))),IFERROR(_xlfn.NUMBERVALUE(SUBSTITUTE(LEFT(TRIM(C132),FIND(" ",TRIM(C132)&amp;" ")-1),",","."),"."),LEFT(SUBSTITUTE(LEFT(TRIM(C132),FIND(" ",TRIM(C132)&amp;" ")-1),",","."),FIND("/",SUBSTITUTE(LEFT(TRIM(C132),FIND(" ",TRIM(C132)&amp;" ")-1),",","."))-1)/MID(SUBSTITUTE(LEFT(TRIM(C132),FIND(" ",TRIM(C132)&amp;" ")-1),",","."),FIND("/",SUBSTITUTE(LEFT(TRIM(C132),FIND(" ",TRIM(C132)&amp;" ")-1),",","."))+1,9))*12/52,IF(ISNUMBER(SEARCH("month",C132)),IFERROR(_xlfn.NUMBERVALUE(SUBSTITUTE(LEFT(TRIM(C132),FIND(" ",TRIM(C132)&amp;" ")-1),",","."),"."),LEFT(SUBSTITUTE(LEFT(TRIM(C132),FIND(" ",TRIM(C132)&amp;" ")-1),",","."),FIND("/",SUBSTITUTE(LEFT(TRIM(C132),FIND(" ",TRIM(C132)&amp;" ")-1),",","."))-1)/MID(SUBSTITUTE(LEFT(TRIM(C132),FIND(" ",TRIM(C132)&amp;" ")-1),",","."),FIND("/",SUBSTITUTE(LEFT(TRIM(C132),FIND(" ",TRIM(C132)&amp;" ")-1),",","."))+1,9)),IF(ISNUMBER(SEARCH("yea",C132)),IFERROR(_xlfn.NUMBERVALUE(SUBSTITUTE(LEFT(TRIM(C132),FIND(" ",TRIM(C132)&amp;" ")-1),",","."),"."),LEFT(SUBSTITUTE(LEFT(TRIM(C132),FIND(" ",TRIM(C132)&amp;" ")-1),",","."),FIND("/",SUBSTITUTE(LEFT(TRIM(C132),FIND(" ",TRIM(C132)&amp;" ")-1),",","."))-1)/MID(SUBSTITUTE(LEFT(TRIM(C132),FIND(" ",TRIM(C132)&amp;" ")-1),",","."),FIND("/",SUBSTITUTE(LEFT(TRIM(C132),FIND(" ",TRIM(C132)&amp;" ")-1),",","."))+1,9))*12,NA()))),0),24)*'Aturan &amp; Tarif'!$B$4,2)</f>
        <v>1362.72</v>
      </c>
      <c r="K132" s="42" t="n">
        <f aca="false">'Aturan &amp; Tarif'!$B$5</f>
        <v>2050</v>
      </c>
      <c r="L132" s="42" t="n">
        <f aca="false">'Aturan &amp; Tarif'!$B$6</f>
        <v>350</v>
      </c>
      <c r="M132" s="35" t="n">
        <f aca="false">I132+J132+K132+L132</f>
        <v>19330.72</v>
      </c>
      <c r="N132" s="44" t="s">
        <v>607</v>
      </c>
    </row>
    <row r="133" customFormat="false" ht="25.5" hidden="false" customHeight="true" outlineLevel="0" collapsed="false">
      <c r="A133" s="39"/>
      <c r="B133" s="40" t="s">
        <v>610</v>
      </c>
      <c r="C133" s="41" t="s">
        <v>344</v>
      </c>
      <c r="D133" s="41" t="s">
        <v>108</v>
      </c>
      <c r="E133" s="42" t="n">
        <v>7948</v>
      </c>
      <c r="F133" s="42"/>
      <c r="G133" s="42"/>
      <c r="H133" s="43" t="n">
        <v>2</v>
      </c>
      <c r="I133" s="34" t="n">
        <f aca="false">E133*H133+N(F133)+N(G133)</f>
        <v>15896</v>
      </c>
      <c r="J133" s="42" t="n">
        <f aca="false">ROUND(IFERROR(ROUND(IF(OR(ISNUMBER(SEARCH("week",C133)),ISNUMBER(SEARCH("minggu",C133))),IFERROR(_xlfn.NUMBERVALUE(SUBSTITUTE(LEFT(TRIM(C133),FIND(" ",TRIM(C133)&amp;" ")-1),",","."),"."),LEFT(SUBSTITUTE(LEFT(TRIM(C133),FIND(" ",TRIM(C133)&amp;" ")-1),",","."),FIND("/",SUBSTITUTE(LEFT(TRIM(C133),FIND(" ",TRIM(C133)&amp;" ")-1),",","."))-1)/MID(SUBSTITUTE(LEFT(TRIM(C133),FIND(" ",TRIM(C133)&amp;" ")-1),",","."),FIND("/",SUBSTITUTE(LEFT(TRIM(C133),FIND(" ",TRIM(C133)&amp;" ")-1),",","."))+1,9))*12/52,IF(ISNUMBER(SEARCH("month",C133)),IFERROR(_xlfn.NUMBERVALUE(SUBSTITUTE(LEFT(TRIM(C133),FIND(" ",TRIM(C133)&amp;" ")-1),",","."),"."),LEFT(SUBSTITUTE(LEFT(TRIM(C133),FIND(" ",TRIM(C133)&amp;" ")-1),",","."),FIND("/",SUBSTITUTE(LEFT(TRIM(C133),FIND(" ",TRIM(C133)&amp;" ")-1),",","."))-1)/MID(SUBSTITUTE(LEFT(TRIM(C133),FIND(" ",TRIM(C133)&amp;" ")-1),",","."),FIND("/",SUBSTITUTE(LEFT(TRIM(C133),FIND(" ",TRIM(C133)&amp;" ")-1),",","."))+1,9)),IF(ISNUMBER(SEARCH("yea",C133)),IFERROR(_xlfn.NUMBERVALUE(SUBSTITUTE(LEFT(TRIM(C133),FIND(" ",TRIM(C133)&amp;" ")-1),",","."),"."),LEFT(SUBSTITUTE(LEFT(TRIM(C133),FIND(" ",TRIM(C133)&amp;" ")-1),",","."),FIND("/",SUBSTITUTE(LEFT(TRIM(C133),FIND(" ",TRIM(C133)&amp;" ")-1),",","."))-1)/MID(SUBSTITUTE(LEFT(TRIM(C133),FIND(" ",TRIM(C133)&amp;" ")-1),",","."),FIND("/",SUBSTITUTE(LEFT(TRIM(C133),FIND(" ",TRIM(C133)&amp;" ")-1),",","."))+1,9))*12,NA()))),0),6)*'Aturan &amp; Tarif'!$B$4,2)</f>
        <v>340.68</v>
      </c>
      <c r="K133" s="42" t="n">
        <f aca="false">'Aturan &amp; Tarif'!$B$5</f>
        <v>2050</v>
      </c>
      <c r="L133" s="42" t="n">
        <f aca="false">'Aturan &amp; Tarif'!$B$6</f>
        <v>350</v>
      </c>
      <c r="M133" s="35" t="n">
        <f aca="false">I133+J133+K133+L133</f>
        <v>18636.68</v>
      </c>
      <c r="N133" s="45" t="s">
        <v>611</v>
      </c>
    </row>
    <row r="134" customFormat="false" ht="14.25" hidden="false" customHeight="true" outlineLevel="0" collapsed="false">
      <c r="A134" s="39"/>
      <c r="B134" s="40" t="s">
        <v>612</v>
      </c>
      <c r="C134" s="41" t="s">
        <v>344</v>
      </c>
      <c r="D134" s="41" t="s">
        <v>108</v>
      </c>
      <c r="E134" s="42" t="n">
        <v>4350</v>
      </c>
      <c r="F134" s="42"/>
      <c r="G134" s="42"/>
      <c r="H134" s="43" t="n">
        <v>2</v>
      </c>
      <c r="I134" s="34" t="n">
        <f aca="false">E134*H134+N(F134)+N(G134)</f>
        <v>8700</v>
      </c>
      <c r="J134" s="42" t="n">
        <f aca="false">ROUND(IFERROR(ROUND(IF(OR(ISNUMBER(SEARCH("week",C134)),ISNUMBER(SEARCH("minggu",C134))),IFERROR(_xlfn.NUMBERVALUE(SUBSTITUTE(LEFT(TRIM(C134),FIND(" ",TRIM(C134)&amp;" ")-1),",","."),"."),LEFT(SUBSTITUTE(LEFT(TRIM(C134),FIND(" ",TRIM(C134)&amp;" ")-1),",","."),FIND("/",SUBSTITUTE(LEFT(TRIM(C134),FIND(" ",TRIM(C134)&amp;" ")-1),",","."))-1)/MID(SUBSTITUTE(LEFT(TRIM(C134),FIND(" ",TRIM(C134)&amp;" ")-1),",","."),FIND("/",SUBSTITUTE(LEFT(TRIM(C134),FIND(" ",TRIM(C134)&amp;" ")-1),",","."))+1,9))*12/52,IF(ISNUMBER(SEARCH("month",C134)),IFERROR(_xlfn.NUMBERVALUE(SUBSTITUTE(LEFT(TRIM(C134),FIND(" ",TRIM(C134)&amp;" ")-1),",","."),"."),LEFT(SUBSTITUTE(LEFT(TRIM(C134),FIND(" ",TRIM(C134)&amp;" ")-1),",","."),FIND("/",SUBSTITUTE(LEFT(TRIM(C134),FIND(" ",TRIM(C134)&amp;" ")-1),",","."))-1)/MID(SUBSTITUTE(LEFT(TRIM(C134),FIND(" ",TRIM(C134)&amp;" ")-1),",","."),FIND("/",SUBSTITUTE(LEFT(TRIM(C134),FIND(" ",TRIM(C134)&amp;" ")-1),",","."))+1,9)),IF(ISNUMBER(SEARCH("yea",C134)),IFERROR(_xlfn.NUMBERVALUE(SUBSTITUTE(LEFT(TRIM(C134),FIND(" ",TRIM(C134)&amp;" ")-1),",","."),"."),LEFT(SUBSTITUTE(LEFT(TRIM(C134),FIND(" ",TRIM(C134)&amp;" ")-1),",","."),FIND("/",SUBSTITUTE(LEFT(TRIM(C134),FIND(" ",TRIM(C134)&amp;" ")-1),",","."))-1)/MID(SUBSTITUTE(LEFT(TRIM(C134),FIND(" ",TRIM(C134)&amp;" ")-1),",","."),FIND("/",SUBSTITUTE(LEFT(TRIM(C134),FIND(" ",TRIM(C134)&amp;" ")-1),",","."))+1,9))*12,NA()))),0),6)*'Aturan &amp; Tarif'!$B$4,2)</f>
        <v>340.68</v>
      </c>
      <c r="K134" s="42" t="n">
        <f aca="false">'Aturan &amp; Tarif'!$B$5</f>
        <v>2050</v>
      </c>
      <c r="L134" s="42" t="n">
        <f aca="false">'Aturan &amp; Tarif'!$B$6</f>
        <v>350</v>
      </c>
      <c r="M134" s="35" t="n">
        <f aca="false">I134+J134+K134+L134</f>
        <v>11440.68</v>
      </c>
      <c r="N134" s="45" t="s">
        <v>512</v>
      </c>
    </row>
    <row r="135" customFormat="false" ht="14.25" hidden="false" customHeight="true" outlineLevel="0" collapsed="false">
      <c r="A135" s="39"/>
      <c r="B135" s="40" t="s">
        <v>613</v>
      </c>
      <c r="C135" s="41" t="s">
        <v>130</v>
      </c>
      <c r="D135" s="41" t="s">
        <v>108</v>
      </c>
      <c r="E135" s="42" t="n">
        <v>4350</v>
      </c>
      <c r="F135" s="42"/>
      <c r="G135" s="42"/>
      <c r="H135" s="43" t="n">
        <v>2</v>
      </c>
      <c r="I135" s="34" t="n">
        <f aca="false">E135*H135+N(F135)+N(G135)</f>
        <v>8700</v>
      </c>
      <c r="J135" s="42" t="n">
        <f aca="false">ROUND(IFERROR(ROUND(IF(OR(ISNUMBER(SEARCH("week",C135)),ISNUMBER(SEARCH("minggu",C135))),IFERROR(_xlfn.NUMBERVALUE(SUBSTITUTE(LEFT(TRIM(C135),FIND(" ",TRIM(C135)&amp;" ")-1),",","."),"."),LEFT(SUBSTITUTE(LEFT(TRIM(C135),FIND(" ",TRIM(C135)&amp;" ")-1),",","."),FIND("/",SUBSTITUTE(LEFT(TRIM(C135),FIND(" ",TRIM(C135)&amp;" ")-1),",","."))-1)/MID(SUBSTITUTE(LEFT(TRIM(C135),FIND(" ",TRIM(C135)&amp;" ")-1),",","."),FIND("/",SUBSTITUTE(LEFT(TRIM(C135),FIND(" ",TRIM(C135)&amp;" ")-1),",","."))+1,9))*12/52,IF(ISNUMBER(SEARCH("month",C135)),IFERROR(_xlfn.NUMBERVALUE(SUBSTITUTE(LEFT(TRIM(C135),FIND(" ",TRIM(C135)&amp;" ")-1),",","."),"."),LEFT(SUBSTITUTE(LEFT(TRIM(C135),FIND(" ",TRIM(C135)&amp;" ")-1),",","."),FIND("/",SUBSTITUTE(LEFT(TRIM(C135),FIND(" ",TRIM(C135)&amp;" ")-1),",","."))-1)/MID(SUBSTITUTE(LEFT(TRIM(C135),FIND(" ",TRIM(C135)&amp;" ")-1),",","."),FIND("/",SUBSTITUTE(LEFT(TRIM(C135),FIND(" ",TRIM(C135)&amp;" ")-1),",","."))+1,9)),IF(ISNUMBER(SEARCH("yea",C135)),IFERROR(_xlfn.NUMBERVALUE(SUBSTITUTE(LEFT(TRIM(C135),FIND(" ",TRIM(C135)&amp;" ")-1),",","."),"."),LEFT(SUBSTITUTE(LEFT(TRIM(C135),FIND(" ",TRIM(C135)&amp;" ")-1),",","."),FIND("/",SUBSTITUTE(LEFT(TRIM(C135),FIND(" ",TRIM(C135)&amp;" ")-1),",","."))-1)/MID(SUBSTITUTE(LEFT(TRIM(C135),FIND(" ",TRIM(C135)&amp;" ")-1),",","."),FIND("/",SUBSTITUTE(LEFT(TRIM(C135),FIND(" ",TRIM(C135)&amp;" ")-1),",","."))+1,9))*12,NA()))),0),12)*'Aturan &amp; Tarif'!$B$4,2)</f>
        <v>681.36</v>
      </c>
      <c r="K135" s="42" t="n">
        <f aca="false">'Aturan &amp; Tarif'!$B$5</f>
        <v>2050</v>
      </c>
      <c r="L135" s="42" t="n">
        <f aca="false">'Aturan &amp; Tarif'!$B$6</f>
        <v>350</v>
      </c>
      <c r="M135" s="35" t="n">
        <f aca="false">I135+J135+K135+L135</f>
        <v>11781.36</v>
      </c>
      <c r="N135" s="45" t="s">
        <v>512</v>
      </c>
    </row>
    <row r="136" customFormat="false" ht="48.75" hidden="false" customHeight="true" outlineLevel="0" collapsed="false">
      <c r="A136" s="39" t="s">
        <v>614</v>
      </c>
      <c r="B136" s="40" t="s">
        <v>465</v>
      </c>
      <c r="C136" s="41" t="s">
        <v>107</v>
      </c>
      <c r="D136" s="41" t="s">
        <v>108</v>
      </c>
      <c r="E136" s="42" t="n">
        <v>2700</v>
      </c>
      <c r="F136" s="42" t="n">
        <v>500</v>
      </c>
      <c r="G136" s="42" t="n">
        <v>250</v>
      </c>
      <c r="H136" s="43" t="n">
        <v>1</v>
      </c>
      <c r="I136" s="34" t="n">
        <f aca="false">E136*H136+N(F136)+N(G136)</f>
        <v>3450</v>
      </c>
      <c r="J136" s="42" t="n">
        <f aca="false">ROUND(IFERROR(ROUND(IF(OR(ISNUMBER(SEARCH("week",C136)),ISNUMBER(SEARCH("minggu",C136))),IFERROR(_xlfn.NUMBERVALUE(SUBSTITUTE(LEFT(TRIM(C136),FIND(" ",TRIM(C136)&amp;" ")-1),",","."),"."),LEFT(SUBSTITUTE(LEFT(TRIM(C136),FIND(" ",TRIM(C136)&amp;" ")-1),",","."),FIND("/",SUBSTITUTE(LEFT(TRIM(C136),FIND(" ",TRIM(C136)&amp;" ")-1),",","."))-1)/MID(SUBSTITUTE(LEFT(TRIM(C136),FIND(" ",TRIM(C136)&amp;" ")-1),",","."),FIND("/",SUBSTITUTE(LEFT(TRIM(C136),FIND(" ",TRIM(C136)&amp;" ")-1),",","."))+1,9))*12/52,IF(ISNUMBER(SEARCH("month",C136)),IFERROR(_xlfn.NUMBERVALUE(SUBSTITUTE(LEFT(TRIM(C136),FIND(" ",TRIM(C136)&amp;" ")-1),",","."),"."),LEFT(SUBSTITUTE(LEFT(TRIM(C136),FIND(" ",TRIM(C136)&amp;" ")-1),",","."),FIND("/",SUBSTITUTE(LEFT(TRIM(C136),FIND(" ",TRIM(C136)&amp;" ")-1),",","."))-1)/MID(SUBSTITUTE(LEFT(TRIM(C136),FIND(" ",TRIM(C136)&amp;" ")-1),",","."),FIND("/",SUBSTITUTE(LEFT(TRIM(C136),FIND(" ",TRIM(C136)&amp;" ")-1),",","."))+1,9)),IF(ISNUMBER(SEARCH("yea",C136)),IFERROR(_xlfn.NUMBERVALUE(SUBSTITUTE(LEFT(TRIM(C136),FIND(" ",TRIM(C136)&amp;" ")-1),",","."),"."),LEFT(SUBSTITUTE(LEFT(TRIM(C136),FIND(" ",TRIM(C136)&amp;" ")-1),",","."),FIND("/",SUBSTITUTE(LEFT(TRIM(C136),FIND(" ",TRIM(C136)&amp;" ")-1),",","."))-1)/MID(SUBSTITUTE(LEFT(TRIM(C136),FIND(" ",TRIM(C136)&amp;" ")-1),",","."),FIND("/",SUBSTITUTE(LEFT(TRIM(C136),FIND(" ",TRIM(C136)&amp;" ")-1),",","."))+1,9))*12,NA()))),0),24)*'Aturan &amp; Tarif'!$B$4,2)</f>
        <v>1362.72</v>
      </c>
      <c r="K136" s="42" t="n">
        <f aca="false">'Aturan &amp; Tarif'!$B$5</f>
        <v>2050</v>
      </c>
      <c r="L136" s="42" t="n">
        <f aca="false">'Aturan &amp; Tarif'!$B$6</f>
        <v>350</v>
      </c>
      <c r="M136" s="35" t="n">
        <f aca="false">I136+J136+K136+L136</f>
        <v>7212.72</v>
      </c>
      <c r="N136" s="45" t="s">
        <v>615</v>
      </c>
    </row>
    <row r="137" customFormat="false" ht="25.5" hidden="false" customHeight="true" outlineLevel="0" collapsed="false">
      <c r="A137" s="39"/>
      <c r="B137" s="40" t="s">
        <v>475</v>
      </c>
      <c r="C137" s="41" t="s">
        <v>138</v>
      </c>
      <c r="D137" s="41" t="s">
        <v>108</v>
      </c>
      <c r="E137" s="42" t="n">
        <v>3000</v>
      </c>
      <c r="F137" s="42" t="n">
        <v>750</v>
      </c>
      <c r="G137" s="42" t="n">
        <v>250</v>
      </c>
      <c r="H137" s="43" t="n">
        <v>1</v>
      </c>
      <c r="I137" s="34" t="n">
        <f aca="false">E137*H137+N(F137)+N(G137)</f>
        <v>4000</v>
      </c>
      <c r="J137" s="42" t="n">
        <f aca="false">ROUND(IFERROR(ROUND(IF(OR(ISNUMBER(SEARCH("week",C137)),ISNUMBER(SEARCH("minggu",C137))),IFERROR(_xlfn.NUMBERVALUE(SUBSTITUTE(LEFT(TRIM(C137),FIND(" ",TRIM(C137)&amp;" ")-1),",","."),"."),LEFT(SUBSTITUTE(LEFT(TRIM(C137),FIND(" ",TRIM(C137)&amp;" ")-1),",","."),FIND("/",SUBSTITUTE(LEFT(TRIM(C137),FIND(" ",TRIM(C137)&amp;" ")-1),",","."))-1)/MID(SUBSTITUTE(LEFT(TRIM(C137),FIND(" ",TRIM(C137)&amp;" ")-1),",","."),FIND("/",SUBSTITUTE(LEFT(TRIM(C137),FIND(" ",TRIM(C137)&amp;" ")-1),",","."))+1,9))*12/52,IF(ISNUMBER(SEARCH("month",C137)),IFERROR(_xlfn.NUMBERVALUE(SUBSTITUTE(LEFT(TRIM(C137),FIND(" ",TRIM(C137)&amp;" ")-1),",","."),"."),LEFT(SUBSTITUTE(LEFT(TRIM(C137),FIND(" ",TRIM(C137)&amp;" ")-1),",","."),FIND("/",SUBSTITUTE(LEFT(TRIM(C137),FIND(" ",TRIM(C137)&amp;" ")-1),",","."))-1)/MID(SUBSTITUTE(LEFT(TRIM(C137),FIND(" ",TRIM(C137)&amp;" ")-1),",","."),FIND("/",SUBSTITUTE(LEFT(TRIM(C137),FIND(" ",TRIM(C137)&amp;" ")-1),",","."))+1,9)),IF(ISNUMBER(SEARCH("yea",C137)),IFERROR(_xlfn.NUMBERVALUE(SUBSTITUTE(LEFT(TRIM(C137),FIND(" ",TRIM(C137)&amp;" ")-1),",","."),"."),LEFT(SUBSTITUTE(LEFT(TRIM(C137),FIND(" ",TRIM(C137)&amp;" ")-1),",","."),FIND("/",SUBSTITUTE(LEFT(TRIM(C137),FIND(" ",TRIM(C137)&amp;" ")-1),",","."))-1)/MID(SUBSTITUTE(LEFT(TRIM(C137),FIND(" ",TRIM(C137)&amp;" ")-1),",","."),FIND("/",SUBSTITUTE(LEFT(TRIM(C137),FIND(" ",TRIM(C137)&amp;" ")-1),",","."))+1,9))*12,NA()))),0),30)*'Aturan &amp; Tarif'!$B$4,2)</f>
        <v>1703.4</v>
      </c>
      <c r="K137" s="42" t="n">
        <f aca="false">'Aturan &amp; Tarif'!$B$5</f>
        <v>2050</v>
      </c>
      <c r="L137" s="42" t="n">
        <f aca="false">'Aturan &amp; Tarif'!$B$6</f>
        <v>350</v>
      </c>
      <c r="M137" s="35" t="n">
        <f aca="false">I137+J137+K137+L137</f>
        <v>8103.4</v>
      </c>
      <c r="N137" s="45" t="s">
        <v>615</v>
      </c>
    </row>
    <row r="138" customFormat="false" ht="14.25" hidden="false" customHeight="true" outlineLevel="0" collapsed="false">
      <c r="A138" s="39"/>
      <c r="B138" s="40" t="s">
        <v>616</v>
      </c>
      <c r="C138" s="41" t="s">
        <v>107</v>
      </c>
      <c r="D138" s="41" t="s">
        <v>108</v>
      </c>
      <c r="E138" s="42" t="n">
        <v>3125</v>
      </c>
      <c r="F138" s="42" t="n">
        <v>2000</v>
      </c>
      <c r="G138" s="42" t="n">
        <v>250</v>
      </c>
      <c r="H138" s="43" t="n">
        <v>1</v>
      </c>
      <c r="I138" s="34" t="n">
        <f aca="false">E138*H138+N(F138)+N(G138)</f>
        <v>5375</v>
      </c>
      <c r="J138" s="42" t="n">
        <f aca="false">ROUND(IFERROR(ROUND(IF(OR(ISNUMBER(SEARCH("week",C138)),ISNUMBER(SEARCH("minggu",C138))),IFERROR(_xlfn.NUMBERVALUE(SUBSTITUTE(LEFT(TRIM(C138),FIND(" ",TRIM(C138)&amp;" ")-1),",","."),"."),LEFT(SUBSTITUTE(LEFT(TRIM(C138),FIND(" ",TRIM(C138)&amp;" ")-1),",","."),FIND("/",SUBSTITUTE(LEFT(TRIM(C138),FIND(" ",TRIM(C138)&amp;" ")-1),",","."))-1)/MID(SUBSTITUTE(LEFT(TRIM(C138),FIND(" ",TRIM(C138)&amp;" ")-1),",","."),FIND("/",SUBSTITUTE(LEFT(TRIM(C138),FIND(" ",TRIM(C138)&amp;" ")-1),",","."))+1,9))*12/52,IF(ISNUMBER(SEARCH("month",C138)),IFERROR(_xlfn.NUMBERVALUE(SUBSTITUTE(LEFT(TRIM(C138),FIND(" ",TRIM(C138)&amp;" ")-1),",","."),"."),LEFT(SUBSTITUTE(LEFT(TRIM(C138),FIND(" ",TRIM(C138)&amp;" ")-1),",","."),FIND("/",SUBSTITUTE(LEFT(TRIM(C138),FIND(" ",TRIM(C138)&amp;" ")-1),",","."))-1)/MID(SUBSTITUTE(LEFT(TRIM(C138),FIND(" ",TRIM(C138)&amp;" ")-1),",","."),FIND("/",SUBSTITUTE(LEFT(TRIM(C138),FIND(" ",TRIM(C138)&amp;" ")-1),",","."))+1,9)),IF(ISNUMBER(SEARCH("yea",C138)),IFERROR(_xlfn.NUMBERVALUE(SUBSTITUTE(LEFT(TRIM(C138),FIND(" ",TRIM(C138)&amp;" ")-1),",","."),"."),LEFT(SUBSTITUTE(LEFT(TRIM(C138),FIND(" ",TRIM(C138)&amp;" ")-1),",","."),FIND("/",SUBSTITUTE(LEFT(TRIM(C138),FIND(" ",TRIM(C138)&amp;" ")-1),",","."))-1)/MID(SUBSTITUTE(LEFT(TRIM(C138),FIND(" ",TRIM(C138)&amp;" ")-1),",","."),FIND("/",SUBSTITUTE(LEFT(TRIM(C138),FIND(" ",TRIM(C138)&amp;" ")-1),",","."))+1,9))*12,NA()))),0),24)*'Aturan &amp; Tarif'!$B$4,2)</f>
        <v>1362.72</v>
      </c>
      <c r="K138" s="42" t="n">
        <f aca="false">'Aturan &amp; Tarif'!$B$5</f>
        <v>2050</v>
      </c>
      <c r="L138" s="42" t="n">
        <f aca="false">'Aturan &amp; Tarif'!$B$6</f>
        <v>350</v>
      </c>
      <c r="M138" s="35" t="n">
        <f aca="false">I138+J138+K138+L138</f>
        <v>9137.72</v>
      </c>
      <c r="N138" s="45" t="s">
        <v>617</v>
      </c>
    </row>
    <row r="139" customFormat="false" ht="25.5" hidden="false" customHeight="true" outlineLevel="0" collapsed="false">
      <c r="A139" s="39"/>
      <c r="B139" s="40" t="s">
        <v>618</v>
      </c>
      <c r="C139" s="41" t="s">
        <v>138</v>
      </c>
      <c r="D139" s="41" t="s">
        <v>108</v>
      </c>
      <c r="E139" s="42" t="n">
        <v>4300</v>
      </c>
      <c r="F139" s="42" t="n">
        <v>2000</v>
      </c>
      <c r="G139" s="42" t="n">
        <v>250</v>
      </c>
      <c r="H139" s="43" t="n">
        <v>1</v>
      </c>
      <c r="I139" s="34" t="n">
        <f aca="false">E139*H139+N(F139)+N(G139)</f>
        <v>6550</v>
      </c>
      <c r="J139" s="42" t="n">
        <f aca="false">ROUND(IFERROR(ROUND(IF(OR(ISNUMBER(SEARCH("week",C139)),ISNUMBER(SEARCH("minggu",C139))),IFERROR(_xlfn.NUMBERVALUE(SUBSTITUTE(LEFT(TRIM(C139),FIND(" ",TRIM(C139)&amp;" ")-1),",","."),"."),LEFT(SUBSTITUTE(LEFT(TRIM(C139),FIND(" ",TRIM(C139)&amp;" ")-1),",","."),FIND("/",SUBSTITUTE(LEFT(TRIM(C139),FIND(" ",TRIM(C139)&amp;" ")-1),",","."))-1)/MID(SUBSTITUTE(LEFT(TRIM(C139),FIND(" ",TRIM(C139)&amp;" ")-1),",","."),FIND("/",SUBSTITUTE(LEFT(TRIM(C139),FIND(" ",TRIM(C139)&amp;" ")-1),",","."))+1,9))*12/52,IF(ISNUMBER(SEARCH("month",C139)),IFERROR(_xlfn.NUMBERVALUE(SUBSTITUTE(LEFT(TRIM(C139),FIND(" ",TRIM(C139)&amp;" ")-1),",","."),"."),LEFT(SUBSTITUTE(LEFT(TRIM(C139),FIND(" ",TRIM(C139)&amp;" ")-1),",","."),FIND("/",SUBSTITUTE(LEFT(TRIM(C139),FIND(" ",TRIM(C139)&amp;" ")-1),",","."))-1)/MID(SUBSTITUTE(LEFT(TRIM(C139),FIND(" ",TRIM(C139)&amp;" ")-1),",","."),FIND("/",SUBSTITUTE(LEFT(TRIM(C139),FIND(" ",TRIM(C139)&amp;" ")-1),",","."))+1,9)),IF(ISNUMBER(SEARCH("yea",C139)),IFERROR(_xlfn.NUMBERVALUE(SUBSTITUTE(LEFT(TRIM(C139),FIND(" ",TRIM(C139)&amp;" ")-1),",","."),"."),LEFT(SUBSTITUTE(LEFT(TRIM(C139),FIND(" ",TRIM(C139)&amp;" ")-1),",","."),FIND("/",SUBSTITUTE(LEFT(TRIM(C139),FIND(" ",TRIM(C139)&amp;" ")-1),",","."))-1)/MID(SUBSTITUTE(LEFT(TRIM(C139),FIND(" ",TRIM(C139)&amp;" ")-1),",","."),FIND("/",SUBSTITUTE(LEFT(TRIM(C139),FIND(" ",TRIM(C139)&amp;" ")-1),",","."))+1,9))*12,NA()))),0),30)*'Aturan &amp; Tarif'!$B$4,2)</f>
        <v>1703.4</v>
      </c>
      <c r="K139" s="42" t="n">
        <f aca="false">'Aturan &amp; Tarif'!$B$5</f>
        <v>2050</v>
      </c>
      <c r="L139" s="42" t="n">
        <f aca="false">'Aturan &amp; Tarif'!$B$6</f>
        <v>350</v>
      </c>
      <c r="M139" s="35" t="n">
        <f aca="false">I139+J139+K139+L139</f>
        <v>10653.4</v>
      </c>
      <c r="N139" s="45" t="s">
        <v>615</v>
      </c>
    </row>
    <row r="141" customFormat="false" ht="12.75" hidden="false" customHeight="true" outlineLevel="0" collapsed="false">
      <c r="A141" s="38" t="s">
        <v>117</v>
      </c>
    </row>
    <row r="142" customFormat="false" ht="12.75" hidden="false" customHeight="true" outlineLevel="0" collapsed="false">
      <c r="A142" s="38" t="s">
        <v>118</v>
      </c>
    </row>
    <row r="143" customFormat="false" ht="12.75" hidden="false" customHeight="true" outlineLevel="0" collapsed="false">
      <c r="A143" s="38" t="s">
        <v>119</v>
      </c>
    </row>
    <row r="144" customFormat="false" ht="12.75" hidden="false" customHeight="true" outlineLevel="0" collapsed="false">
      <c r="A144" s="38" t="s">
        <v>120</v>
      </c>
    </row>
    <row r="145" customFormat="false" ht="12.75" hidden="false" customHeight="true" outlineLevel="0" collapsed="false">
      <c r="A145" s="38" t="s">
        <v>121</v>
      </c>
    </row>
    <row r="146" customFormat="false" ht="12.75" hidden="false" customHeight="true" outlineLevel="0" collapsed="false">
      <c r="A146" s="38" t="s">
        <v>122</v>
      </c>
    </row>
    <row r="147" customFormat="false" ht="12.75" hidden="false" customHeight="true" outlineLevel="0" collapsed="false">
      <c r="A147" s="38" t="s">
        <v>123</v>
      </c>
    </row>
  </sheetData>
  <autoFilter ref="A5:N139"/>
  <conditionalFormatting sqref="J6:J139">
    <cfRule type="expression" priority="2" aboveAverage="0" equalAverage="0" bottom="0" percent="0" rank="0" text="" dxfId="6">
      <formula>AND($E6&lt;&gt;"",OR(ISERROR(ROUND(IF(OR(ISNUMBER(SEARCH("week",C6)),ISNUMBER(SEARCH("minggu",C6))),IFERROR(_xlfn.NUMBERVALUE(SUBSTITUTE(LEFT(TRIM(C6),FIND("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")-1),",","."))+1,9))*12,NA()))),0)&lt;1,1),IFERROR(ROUND(IF(OR(ISNUMBER(SEARCH("week",C6)),ISNUMBER(SEARCH("minggu",C6))),IFERROR(_xlfn.NUMBERVALUE(SUBSTITUTE(LEFT(TRIM(C6),FIND("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")-1),",","."))+1,9))*12,NA()))),0)&gt;96,1)))</formula>
    </cfRule>
  </conditionalFormatting>
  <printOptions headings="false" gridLines="false" gridLinesSet="true" horizontalCentered="true" verticalCentered="false"/>
  <pageMargins left="0.3" right="0.3" top="0.5" bottom="0.5" header="0.2" footer="0.2"/>
  <pageSetup paperSize="9" scale="100" fitToWidth="1" fitToHeight="0" pageOrder="downThenOver" orientation="landscape" blackAndWhite="false" draft="false" cellComments="none" horizontalDpi="300" verticalDpi="300" copies="1"/>
  <headerFooter differentFirst="false" differentOddEven="false">
    <oddHeader>&amp;R&amp;8 OFFSHORE - DARWIN</oddHeader>
    <oddFooter>&amp;L&amp;8 TEG Pricelist - harga bisa berubah sewaktu-waktu&amp;R&amp;8 Halaman &amp;P dari &amp;N</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57"/>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2" min="2" style="1" width="55"/>
    <col collapsed="false" customWidth="true" hidden="false" outlineLevel="0" max="3" min="3" style="1" width="14"/>
    <col collapsed="false" customWidth="true" hidden="false" outlineLevel="0" max="4" min="4" style="1" width="11"/>
    <col collapsed="false" customWidth="true" hidden="false" outlineLevel="0" max="5" min="5" style="1" width="12"/>
    <col collapsed="false" customWidth="true" hidden="false" outlineLevel="0" max="8" min="6" style="1" width="11"/>
    <col collapsed="false" customWidth="true" hidden="false" outlineLevel="0" max="9" min="9" style="1" width="15"/>
    <col collapsed="false" customWidth="true" hidden="false" outlineLevel="0" max="10" min="10" style="1" width="12"/>
    <col collapsed="false" customWidth="true" hidden="false" outlineLevel="0" max="12" min="11" style="1" width="10"/>
    <col collapsed="false" customWidth="true" hidden="false" outlineLevel="0" max="13" min="13" style="1" width="15"/>
    <col collapsed="false" customWidth="true" hidden="false" outlineLevel="0" max="14" min="14" style="1" width="110"/>
    <col collapsed="false" customWidth="true" hidden="false" outlineLevel="0" max="44" min="15" style="1" width="9"/>
  </cols>
  <sheetData>
    <row r="1" customFormat="false" ht="17.25" hidden="false" customHeight="true" outlineLevel="0" collapsed="false">
      <c r="A1" s="14" t="s">
        <v>619</v>
      </c>
    </row>
    <row r="2" customFormat="false" ht="15" hidden="false" customHeight="true" outlineLevel="0" collapsed="false">
      <c r="A2" s="25" t="s">
        <v>91</v>
      </c>
    </row>
    <row r="3" customFormat="false" ht="15" hidden="false" customHeight="true" outlineLevel="0" collapsed="false">
      <c r="A3" s="26" t="s">
        <v>92</v>
      </c>
    </row>
    <row r="5" customFormat="false" ht="36" hidden="false" customHeight="true" outlineLevel="0" collapsed="false">
      <c r="A5" s="27" t="s">
        <v>93</v>
      </c>
      <c r="B5" s="27" t="s">
        <v>94</v>
      </c>
      <c r="C5" s="27" t="s">
        <v>95</v>
      </c>
      <c r="D5" s="27" t="s">
        <v>96</v>
      </c>
      <c r="E5" s="27" t="s">
        <v>97</v>
      </c>
      <c r="F5" s="27" t="s">
        <v>98</v>
      </c>
      <c r="G5" s="27" t="s">
        <v>99</v>
      </c>
      <c r="H5" s="27" t="s">
        <v>100</v>
      </c>
      <c r="I5" s="27" t="s">
        <v>101</v>
      </c>
      <c r="J5" s="27" t="s">
        <v>10</v>
      </c>
      <c r="K5" s="27" t="s">
        <v>102</v>
      </c>
      <c r="L5" s="27" t="s">
        <v>103</v>
      </c>
      <c r="M5" s="27" t="s">
        <v>104</v>
      </c>
      <c r="N5" s="28" t="s">
        <v>14</v>
      </c>
    </row>
    <row r="6" customFormat="false" ht="48.75" hidden="false" customHeight="true" outlineLevel="0" collapsed="false">
      <c r="A6" s="29" t="s">
        <v>620</v>
      </c>
      <c r="B6" s="30" t="s">
        <v>621</v>
      </c>
      <c r="C6" s="31" t="s">
        <v>130</v>
      </c>
      <c r="D6" s="31" t="s">
        <v>108</v>
      </c>
      <c r="E6" s="32" t="n">
        <v>1500</v>
      </c>
      <c r="F6" s="32" t="n">
        <v>100</v>
      </c>
      <c r="G6" s="32" t="n">
        <v>200</v>
      </c>
      <c r="H6" s="33" t="n">
        <v>2</v>
      </c>
      <c r="I6" s="34" t="n">
        <f aca="false">E6*H6+N(F6)+N(G6)</f>
        <v>3300</v>
      </c>
      <c r="J6" s="32" t="n">
        <f aca="false">ROUND(IFERROR(ROUND(IF(OR(ISNUMBER(SEARCH("week",C6)),ISNUMBER(SEARCH("minggu",C6))),IFERROR(_xlfn.NUMBERVALUE(SUBSTITUTE(LEFT(TRIM(C6),FIND("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")-1),",","."))+1,9))*12,NA()))),0),12)*'Aturan &amp; Tarif'!$B$4,2)</f>
        <v>681.36</v>
      </c>
      <c r="K6" s="32" t="n">
        <f aca="false">'Aturan &amp; Tarif'!$B$5</f>
        <v>2050</v>
      </c>
      <c r="L6" s="32" t="n">
        <f aca="false">'Aturan &amp; Tarif'!$B$6</f>
        <v>350</v>
      </c>
      <c r="M6" s="35" t="n">
        <f aca="false">I6+J6+K6+L6</f>
        <v>6381.36</v>
      </c>
      <c r="N6" s="37" t="s">
        <v>622</v>
      </c>
    </row>
    <row r="7" customFormat="false" ht="25.5" hidden="false" customHeight="true" outlineLevel="0" collapsed="false">
      <c r="A7" s="29"/>
      <c r="B7" s="30" t="s">
        <v>623</v>
      </c>
      <c r="C7" s="31" t="s">
        <v>127</v>
      </c>
      <c r="D7" s="31" t="s">
        <v>108</v>
      </c>
      <c r="E7" s="32" t="n">
        <v>5000</v>
      </c>
      <c r="F7" s="32" t="n">
        <v>120</v>
      </c>
      <c r="G7" s="32" t="n">
        <v>250</v>
      </c>
      <c r="H7" s="33" t="n">
        <v>2</v>
      </c>
      <c r="I7" s="34" t="n">
        <f aca="false">E7*H7+N(F7)+N(G7)</f>
        <v>10370</v>
      </c>
      <c r="J7" s="32" t="n">
        <f aca="false">ROUND(IFERROR(ROUND(IF(OR(ISNUMBER(SEARCH("week",C7)),ISNUMBER(SEARCH("minggu",C7))),IFERROR(_xlfn.NUMBERVALUE(SUBSTITUTE(LEFT(TRIM(C7),FIND(" ",TRIM(C7)&amp;" ")-1),",","."),"."),LEFT(SUBSTITUTE(LEFT(TRIM(C7),FIND(" ",TRIM(C7)&amp;" ")-1),",","."),FIND("/",SUBSTITUTE(LEFT(TRIM(C7),FIND(" ",TRIM(C7)&amp;" ")-1),",","."))-1)/MID(SUBSTITUTE(LEFT(TRIM(C7),FIND(" ",TRIM(C7)&amp;" ")-1),",","."),FIND("/",SUBSTITUTE(LEFT(TRIM(C7),FIND(" ",TRIM(C7)&amp;" ")-1),",","."))+1,9))*12/52,IF(ISNUMBER(SEARCH("month",C7)),IFERROR(_xlfn.NUMBERVALUE(SUBSTITUTE(LEFT(TRIM(C7),FIND(" ",TRIM(C7)&amp;" ")-1),",","."),"."),LEFT(SUBSTITUTE(LEFT(TRIM(C7),FIND(" ",TRIM(C7)&amp;" ")-1),",","."),FIND("/",SUBSTITUTE(LEFT(TRIM(C7),FIND(" ",TRIM(C7)&amp;" ")-1),",","."))-1)/MID(SUBSTITUTE(LEFT(TRIM(C7),FIND(" ",TRIM(C7)&amp;" ")-1),",","."),FIND("/",SUBSTITUTE(LEFT(TRIM(C7),FIND(" ",TRIM(C7)&amp;" ")-1),",","."))+1,9)),IF(ISNUMBER(SEARCH("yea",C7)),IFERROR(_xlfn.NUMBERVALUE(SUBSTITUTE(LEFT(TRIM(C7),FIND(" ",TRIM(C7)&amp;" ")-1),",","."),"."),LEFT(SUBSTITUTE(LEFT(TRIM(C7),FIND(" ",TRIM(C7)&amp;" ")-1),",","."),FIND("/",SUBSTITUTE(LEFT(TRIM(C7),FIND(" ",TRIM(C7)&amp;" ")-1),",","."))-1)/MID(SUBSTITUTE(LEFT(TRIM(C7),FIND(" ",TRIM(C7)&amp;" ")-1),",","."),FIND("/",SUBSTITUTE(LEFT(TRIM(C7),FIND(" ",TRIM(C7)&amp;" ")-1),",","."))+1,9))*12,NA()))),0),36)*'Aturan &amp; Tarif'!$B$4,2)</f>
        <v>2044.08</v>
      </c>
      <c r="K7" s="32" t="n">
        <f aca="false">'Aturan &amp; Tarif'!$B$5</f>
        <v>2050</v>
      </c>
      <c r="L7" s="32" t="n">
        <f aca="false">'Aturan &amp; Tarif'!$B$6</f>
        <v>350</v>
      </c>
      <c r="M7" s="35" t="n">
        <f aca="false">I7+J7+K7+L7</f>
        <v>14814.08</v>
      </c>
      <c r="N7" s="37" t="s">
        <v>624</v>
      </c>
    </row>
    <row r="8" customFormat="false" ht="14.25" hidden="false" customHeight="true" outlineLevel="0" collapsed="false">
      <c r="A8" s="29"/>
      <c r="B8" s="30" t="s">
        <v>625</v>
      </c>
      <c r="C8" s="31" t="s">
        <v>107</v>
      </c>
      <c r="D8" s="31" t="s">
        <v>108</v>
      </c>
      <c r="E8" s="32" t="n">
        <v>1500</v>
      </c>
      <c r="F8" s="32" t="n">
        <v>100</v>
      </c>
      <c r="G8" s="32" t="n">
        <v>200</v>
      </c>
      <c r="H8" s="33" t="n">
        <v>2</v>
      </c>
      <c r="I8" s="34" t="n">
        <f aca="false">E8*H8+N(F8)+N(G8)</f>
        <v>3300</v>
      </c>
      <c r="J8" s="32" t="n">
        <f aca="false">ROUND(IFERROR(ROUND(IF(OR(ISNUMBER(SEARCH("week",C8)),ISNUMBER(SEARCH("minggu",C8))),IFERROR(_xlfn.NUMBERVALUE(SUBSTITUTE(LEFT(TRIM(C8),FIND(" ",TRIM(C8)&amp;" ")-1),",","."),"."),LEFT(SUBSTITUTE(LEFT(TRIM(C8),FIND(" ",TRIM(C8)&amp;" ")-1),",","."),FIND("/",SUBSTITUTE(LEFT(TRIM(C8),FIND(" ",TRIM(C8)&amp;" ")-1),",","."))-1)/MID(SUBSTITUTE(LEFT(TRIM(C8),FIND(" ",TRIM(C8)&amp;" ")-1),",","."),FIND("/",SUBSTITUTE(LEFT(TRIM(C8),FIND(" ",TRIM(C8)&amp;" ")-1),",","."))+1,9))*12/52,IF(ISNUMBER(SEARCH("month",C8)),IFERROR(_xlfn.NUMBERVALUE(SUBSTITUTE(LEFT(TRIM(C8),FIND(" ",TRIM(C8)&amp;" ")-1),",","."),"."),LEFT(SUBSTITUTE(LEFT(TRIM(C8),FIND(" ",TRIM(C8)&amp;" ")-1),",","."),FIND("/",SUBSTITUTE(LEFT(TRIM(C8),FIND(" ",TRIM(C8)&amp;" ")-1),",","."))-1)/MID(SUBSTITUTE(LEFT(TRIM(C8),FIND(" ",TRIM(C8)&amp;" ")-1),",","."),FIND("/",SUBSTITUTE(LEFT(TRIM(C8),FIND(" ",TRIM(C8)&amp;" ")-1),",","."))+1,9)),IF(ISNUMBER(SEARCH("yea",C8)),IFERROR(_xlfn.NUMBERVALUE(SUBSTITUTE(LEFT(TRIM(C8),FIND(" ",TRIM(C8)&amp;" ")-1),",","."),"."),LEFT(SUBSTITUTE(LEFT(TRIM(C8),FIND(" ",TRIM(C8)&amp;" ")-1),",","."),FIND("/",SUBSTITUTE(LEFT(TRIM(C8),FIND(" ",TRIM(C8)&amp;" ")-1),",","."))-1)/MID(SUBSTITUTE(LEFT(TRIM(C8),FIND(" ",TRIM(C8)&amp;" ")-1),",","."),FIND("/",SUBSTITUTE(LEFT(TRIM(C8),FIND(" ",TRIM(C8)&amp;" ")-1),",","."))+1,9))*12,NA()))),0),24)*'Aturan &amp; Tarif'!$B$4,2)</f>
        <v>1362.72</v>
      </c>
      <c r="K8" s="32" t="n">
        <f aca="false">'Aturan &amp; Tarif'!$B$5</f>
        <v>2050</v>
      </c>
      <c r="L8" s="32" t="n">
        <f aca="false">'Aturan &amp; Tarif'!$B$6</f>
        <v>350</v>
      </c>
      <c r="M8" s="35" t="n">
        <f aca="false">I8+J8+K8+L8</f>
        <v>7062.72</v>
      </c>
      <c r="N8" s="37" t="s">
        <v>622</v>
      </c>
    </row>
    <row r="9" customFormat="false" ht="25.5" hidden="false" customHeight="true" outlineLevel="0" collapsed="false">
      <c r="A9" s="29"/>
      <c r="B9" s="30" t="s">
        <v>626</v>
      </c>
      <c r="C9" s="31" t="s">
        <v>127</v>
      </c>
      <c r="D9" s="31" t="s">
        <v>108</v>
      </c>
      <c r="E9" s="32" t="n">
        <v>5000</v>
      </c>
      <c r="F9" s="32" t="n">
        <v>120</v>
      </c>
      <c r="G9" s="32" t="n">
        <v>250</v>
      </c>
      <c r="H9" s="33" t="n">
        <v>2</v>
      </c>
      <c r="I9" s="34" t="n">
        <f aca="false">E9*H9+N(F9)+N(G9)</f>
        <v>10370</v>
      </c>
      <c r="J9" s="32" t="n">
        <f aca="false">ROUND(IFERROR(ROUND(IF(OR(ISNUMBER(SEARCH("week",C9)),ISNUMBER(SEARCH("minggu",C9))),IFERROR(_xlfn.NUMBERVALUE(SUBSTITUTE(LEFT(TRIM(C9),FIND(" ",TRIM(C9)&amp;" ")-1),",","."),"."),LEFT(SUBSTITUTE(LEFT(TRIM(C9),FIND(" ",TRIM(C9)&amp;" ")-1),",","."),FIND("/",SUBSTITUTE(LEFT(TRIM(C9),FIND(" ",TRIM(C9)&amp;" ")-1),",","."))-1)/MID(SUBSTITUTE(LEFT(TRIM(C9),FIND(" ",TRIM(C9)&amp;" ")-1),",","."),FIND("/",SUBSTITUTE(LEFT(TRIM(C9),FIND(" ",TRIM(C9)&amp;" ")-1),",","."))+1,9))*12/52,IF(ISNUMBER(SEARCH("month",C9)),IFERROR(_xlfn.NUMBERVALUE(SUBSTITUTE(LEFT(TRIM(C9),FIND(" ",TRIM(C9)&amp;" ")-1),",","."),"."),LEFT(SUBSTITUTE(LEFT(TRIM(C9),FIND(" ",TRIM(C9)&amp;" ")-1),",","."),FIND("/",SUBSTITUTE(LEFT(TRIM(C9),FIND(" ",TRIM(C9)&amp;" ")-1),",","."))-1)/MID(SUBSTITUTE(LEFT(TRIM(C9),FIND(" ",TRIM(C9)&amp;" ")-1),",","."),FIND("/",SUBSTITUTE(LEFT(TRIM(C9),FIND(" ",TRIM(C9)&amp;" ")-1),",","."))+1,9)),IF(ISNUMBER(SEARCH("yea",C9)),IFERROR(_xlfn.NUMBERVALUE(SUBSTITUTE(LEFT(TRIM(C9),FIND(" ",TRIM(C9)&amp;" ")-1),",","."),"."),LEFT(SUBSTITUTE(LEFT(TRIM(C9),FIND(" ",TRIM(C9)&amp;" ")-1),",","."),FIND("/",SUBSTITUTE(LEFT(TRIM(C9),FIND(" ",TRIM(C9)&amp;" ")-1),",","."))-1)/MID(SUBSTITUTE(LEFT(TRIM(C9),FIND(" ",TRIM(C9)&amp;" ")-1),",","."),FIND("/",SUBSTITUTE(LEFT(TRIM(C9),FIND(" ",TRIM(C9)&amp;" ")-1),",","."))+1,9))*12,NA()))),0),36)*'Aturan &amp; Tarif'!$B$4,2)</f>
        <v>2044.08</v>
      </c>
      <c r="K9" s="32" t="n">
        <f aca="false">'Aturan &amp; Tarif'!$B$5</f>
        <v>2050</v>
      </c>
      <c r="L9" s="32" t="n">
        <f aca="false">'Aturan &amp; Tarif'!$B$6</f>
        <v>350</v>
      </c>
      <c r="M9" s="35" t="n">
        <f aca="false">I9+J9+K9+L9</f>
        <v>14814.08</v>
      </c>
      <c r="N9" s="37" t="s">
        <v>624</v>
      </c>
    </row>
    <row r="10" customFormat="false" ht="25.5" hidden="false" customHeight="true" outlineLevel="0" collapsed="false">
      <c r="A10" s="29"/>
      <c r="B10" s="30" t="s">
        <v>627</v>
      </c>
      <c r="C10" s="31" t="s">
        <v>107</v>
      </c>
      <c r="D10" s="31" t="s">
        <v>108</v>
      </c>
      <c r="E10" s="32" t="n">
        <v>5000</v>
      </c>
      <c r="F10" s="32" t="n">
        <v>120</v>
      </c>
      <c r="G10" s="32" t="n">
        <v>250</v>
      </c>
      <c r="H10" s="33" t="n">
        <v>2</v>
      </c>
      <c r="I10" s="34" t="n">
        <f aca="false">E10*H10+N(F10)+N(G10)</f>
        <v>10370</v>
      </c>
      <c r="J10" s="32" t="n">
        <f aca="false">ROUND(IFERROR(ROUND(IF(OR(ISNUMBER(SEARCH("week",C10)),ISNUMBER(SEARCH("minggu",C10))),IFERROR(_xlfn.NUMBERVALUE(SUBSTITUTE(LEFT(TRIM(C10),FIND(" ",TRIM(C10)&amp;" ")-1),",","."),"."),LEFT(SUBSTITUTE(LEFT(TRIM(C10),FIND(" ",TRIM(C10)&amp;" ")-1),",","."),FIND("/",SUBSTITUTE(LEFT(TRIM(C10),FIND(" ",TRIM(C10)&amp;" ")-1),",","."))-1)/MID(SUBSTITUTE(LEFT(TRIM(C10),FIND(" ",TRIM(C10)&amp;" ")-1),",","."),FIND("/",SUBSTITUTE(LEFT(TRIM(C10),FIND(" ",TRIM(C10)&amp;" ")-1),",","."))+1,9))*12/52,IF(ISNUMBER(SEARCH("month",C10)),IFERROR(_xlfn.NUMBERVALUE(SUBSTITUTE(LEFT(TRIM(C10),FIND(" ",TRIM(C10)&amp;" ")-1),",","."),"."),LEFT(SUBSTITUTE(LEFT(TRIM(C10),FIND(" ",TRIM(C10)&amp;" ")-1),",","."),FIND("/",SUBSTITUTE(LEFT(TRIM(C10),FIND(" ",TRIM(C10)&amp;" ")-1),",","."))-1)/MID(SUBSTITUTE(LEFT(TRIM(C10),FIND(" ",TRIM(C10)&amp;" ")-1),",","."),FIND("/",SUBSTITUTE(LEFT(TRIM(C10),FIND(" ",TRIM(C10)&amp;" ")-1),",","."))+1,9)),IF(ISNUMBER(SEARCH("yea",C10)),IFERROR(_xlfn.NUMBERVALUE(SUBSTITUTE(LEFT(TRIM(C10),FIND(" ",TRIM(C10)&amp;" ")-1),",","."),"."),LEFT(SUBSTITUTE(LEFT(TRIM(C10),FIND(" ",TRIM(C10)&amp;" ")-1),",","."),FIND("/",SUBSTITUTE(LEFT(TRIM(C10),FIND(" ",TRIM(C10)&amp;" ")-1),",","."))-1)/MID(SUBSTITUTE(LEFT(TRIM(C10),FIND(" ",TRIM(C10)&amp;" ")-1),",","."),FIND("/",SUBSTITUTE(LEFT(TRIM(C10),FIND(" ",TRIM(C10)&amp;" ")-1),",","."))+1,9))*12,NA()))),0),24)*'Aturan &amp; Tarif'!$B$4,2)</f>
        <v>1362.72</v>
      </c>
      <c r="K10" s="32" t="n">
        <f aca="false">'Aturan &amp; Tarif'!$B$5</f>
        <v>2050</v>
      </c>
      <c r="L10" s="32" t="n">
        <f aca="false">'Aturan &amp; Tarif'!$B$6</f>
        <v>350</v>
      </c>
      <c r="M10" s="35" t="n">
        <f aca="false">I10+J10+K10+L10</f>
        <v>14132.72</v>
      </c>
      <c r="N10" s="37" t="s">
        <v>624</v>
      </c>
    </row>
    <row r="11" customFormat="false" ht="60" hidden="false" customHeight="true" outlineLevel="0" collapsed="false">
      <c r="A11" s="29"/>
      <c r="B11" s="30" t="s">
        <v>628</v>
      </c>
      <c r="C11" s="31" t="s">
        <v>629</v>
      </c>
      <c r="D11" s="31" t="s">
        <v>108</v>
      </c>
      <c r="E11" s="32" t="n">
        <v>3000</v>
      </c>
      <c r="F11" s="32" t="n">
        <v>100</v>
      </c>
      <c r="G11" s="32" t="n">
        <v>200</v>
      </c>
      <c r="H11" s="33" t="n">
        <v>2</v>
      </c>
      <c r="I11" s="34" t="n">
        <f aca="false">E11*H11+N(F11)+N(G11)</f>
        <v>6300</v>
      </c>
      <c r="J11" s="32" t="n">
        <f aca="false">ROUND(IFERROR(ROUND(IF(OR(ISNUMBER(SEARCH("week",C11)),ISNUMBER(SEARCH("minggu",C11))),IFERROR(_xlfn.NUMBERVALUE(SUBSTITUTE(LEFT(TRIM(C11),FIND(" ",TRIM(C11)&amp;" ")-1),",","."),"."),LEFT(SUBSTITUTE(LEFT(TRIM(C11),FIND(" ",TRIM(C11)&amp;" ")-1),",","."),FIND("/",SUBSTITUTE(LEFT(TRIM(C11),FIND(" ",TRIM(C11)&amp;" ")-1),",","."))-1)/MID(SUBSTITUTE(LEFT(TRIM(C11),FIND(" ",TRIM(C11)&amp;" ")-1),",","."),FIND("/",SUBSTITUTE(LEFT(TRIM(C11),FIND(" ",TRIM(C11)&amp;" ")-1),",","."))+1,9))*12/52,IF(ISNUMBER(SEARCH("month",C11)),IFERROR(_xlfn.NUMBERVALUE(SUBSTITUTE(LEFT(TRIM(C11),FIND(" ",TRIM(C11)&amp;" ")-1),",","."),"."),LEFT(SUBSTITUTE(LEFT(TRIM(C11),FIND(" ",TRIM(C11)&amp;" ")-1),",","."),FIND("/",SUBSTITUTE(LEFT(TRIM(C11),FIND(" ",TRIM(C11)&amp;" ")-1),",","."))-1)/MID(SUBSTITUTE(LEFT(TRIM(C11),FIND(" ",TRIM(C11)&amp;" ")-1),",","."),FIND("/",SUBSTITUTE(LEFT(TRIM(C11),FIND(" ",TRIM(C11)&amp;" ")-1),",","."))+1,9)),IF(ISNUMBER(SEARCH("yea",C11)),IFERROR(_xlfn.NUMBERVALUE(SUBSTITUTE(LEFT(TRIM(C11),FIND(" ",TRIM(C11)&amp;" ")-1),",","."),"."),LEFT(SUBSTITUTE(LEFT(TRIM(C11),FIND(" ",TRIM(C11)&amp;" ")-1),",","."),FIND("/",SUBSTITUTE(LEFT(TRIM(C11),FIND(" ",TRIM(C11)&amp;" ")-1),",","."))-1)/MID(SUBSTITUTE(LEFT(TRIM(C11),FIND(" ",TRIM(C11)&amp;" ")-1),",","."),FIND("/",SUBSTITUTE(LEFT(TRIM(C11),FIND(" ",TRIM(C11)&amp;" ")-1),",","."))+1,9))*12,NA()))),0),18)*'Aturan &amp; Tarif'!$B$4,2)</f>
        <v>1022.04</v>
      </c>
      <c r="K11" s="32" t="n">
        <f aca="false">'Aturan &amp; Tarif'!$B$5</f>
        <v>2050</v>
      </c>
      <c r="L11" s="32" t="n">
        <f aca="false">'Aturan &amp; Tarif'!$B$6</f>
        <v>350</v>
      </c>
      <c r="M11" s="35" t="n">
        <f aca="false">I11+J11+K11+L11</f>
        <v>9722.04</v>
      </c>
      <c r="N11" s="36" t="s">
        <v>630</v>
      </c>
    </row>
    <row r="12" customFormat="false" ht="37.5" hidden="false" customHeight="true" outlineLevel="0" collapsed="false">
      <c r="A12" s="29"/>
      <c r="B12" s="30" t="s">
        <v>631</v>
      </c>
      <c r="C12" s="31" t="s">
        <v>629</v>
      </c>
      <c r="D12" s="31" t="s">
        <v>108</v>
      </c>
      <c r="E12" s="32" t="n">
        <v>1500</v>
      </c>
      <c r="F12" s="32" t="n">
        <v>100</v>
      </c>
      <c r="G12" s="32" t="n">
        <v>200</v>
      </c>
      <c r="H12" s="33" t="n">
        <v>2</v>
      </c>
      <c r="I12" s="34" t="n">
        <f aca="false">E12*H12+N(F12)+N(G12)</f>
        <v>3300</v>
      </c>
      <c r="J12" s="32" t="n">
        <f aca="false">ROUND(IFERROR(ROUND(IF(OR(ISNUMBER(SEARCH("week",C12)),ISNUMBER(SEARCH("minggu",C12))),IFERROR(_xlfn.NUMBERVALUE(SUBSTITUTE(LEFT(TRIM(C12),FIND(" ",TRIM(C12)&amp;" ")-1),",","."),"."),LEFT(SUBSTITUTE(LEFT(TRIM(C12),FIND(" ",TRIM(C12)&amp;" ")-1),",","."),FIND("/",SUBSTITUTE(LEFT(TRIM(C12),FIND(" ",TRIM(C12)&amp;" ")-1),",","."))-1)/MID(SUBSTITUTE(LEFT(TRIM(C12),FIND(" ",TRIM(C12)&amp;" ")-1),",","."),FIND("/",SUBSTITUTE(LEFT(TRIM(C12),FIND(" ",TRIM(C12)&amp;" ")-1),",","."))+1,9))*12/52,IF(ISNUMBER(SEARCH("month",C12)),IFERROR(_xlfn.NUMBERVALUE(SUBSTITUTE(LEFT(TRIM(C12),FIND(" ",TRIM(C12)&amp;" ")-1),",","."),"."),LEFT(SUBSTITUTE(LEFT(TRIM(C12),FIND(" ",TRIM(C12)&amp;" ")-1),",","."),FIND("/",SUBSTITUTE(LEFT(TRIM(C12),FIND(" ",TRIM(C12)&amp;" ")-1),",","."))-1)/MID(SUBSTITUTE(LEFT(TRIM(C12),FIND(" ",TRIM(C12)&amp;" ")-1),",","."),FIND("/",SUBSTITUTE(LEFT(TRIM(C12),FIND(" ",TRIM(C12)&amp;" ")-1),",","."))+1,9)),IF(ISNUMBER(SEARCH("yea",C12)),IFERROR(_xlfn.NUMBERVALUE(SUBSTITUTE(LEFT(TRIM(C12),FIND(" ",TRIM(C12)&amp;" ")-1),",","."),"."),LEFT(SUBSTITUTE(LEFT(TRIM(C12),FIND(" ",TRIM(C12)&amp;" ")-1),",","."),FIND("/",SUBSTITUTE(LEFT(TRIM(C12),FIND(" ",TRIM(C12)&amp;" ")-1),",","."))-1)/MID(SUBSTITUTE(LEFT(TRIM(C12),FIND(" ",TRIM(C12)&amp;" ")-1),",","."),FIND("/",SUBSTITUTE(LEFT(TRIM(C12),FIND(" ",TRIM(C12)&amp;" ")-1),",","."))+1,9))*12,NA()))),0),18)*'Aturan &amp; Tarif'!$B$4,2)</f>
        <v>1022.04</v>
      </c>
      <c r="K12" s="32" t="n">
        <f aca="false">'Aturan &amp; Tarif'!$B$5</f>
        <v>2050</v>
      </c>
      <c r="L12" s="32" t="n">
        <f aca="false">'Aturan &amp; Tarif'!$B$6</f>
        <v>350</v>
      </c>
      <c r="M12" s="35" t="n">
        <f aca="false">I12+J12+K12+L12</f>
        <v>6722.04</v>
      </c>
      <c r="N12" s="36" t="s">
        <v>632</v>
      </c>
    </row>
    <row r="13" customFormat="false" ht="37.5" hidden="false" customHeight="true" outlineLevel="0" collapsed="false">
      <c r="A13" s="39" t="s">
        <v>633</v>
      </c>
      <c r="B13" s="40" t="s">
        <v>634</v>
      </c>
      <c r="C13" s="41" t="s">
        <v>127</v>
      </c>
      <c r="D13" s="41" t="s">
        <v>108</v>
      </c>
      <c r="E13" s="42" t="n">
        <v>4995</v>
      </c>
      <c r="F13" s="42"/>
      <c r="G13" s="42" t="n">
        <v>250</v>
      </c>
      <c r="H13" s="43" t="n">
        <v>2</v>
      </c>
      <c r="I13" s="34" t="n">
        <f aca="false">E13*H13+N(F13)+N(G13)</f>
        <v>10240</v>
      </c>
      <c r="J13" s="42" t="n">
        <f aca="false">ROUND(IFERROR(ROUND(IF(OR(ISNUMBER(SEARCH("week",C13)),ISNUMBER(SEARCH("minggu",C13))),IFERROR(_xlfn.NUMBERVALUE(SUBSTITUTE(LEFT(TRIM(C13),FIND(" ",TRIM(C13)&amp;" ")-1),",","."),"."),LEFT(SUBSTITUTE(LEFT(TRIM(C13),FIND(" ",TRIM(C13)&amp;" ")-1),",","."),FIND("/",SUBSTITUTE(LEFT(TRIM(C13),FIND(" ",TRIM(C13)&amp;" ")-1),",","."))-1)/MID(SUBSTITUTE(LEFT(TRIM(C13),FIND(" ",TRIM(C13)&amp;" ")-1),",","."),FIND("/",SUBSTITUTE(LEFT(TRIM(C13),FIND(" ",TRIM(C13)&amp;" ")-1),",","."))+1,9))*12/52,IF(ISNUMBER(SEARCH("month",C13)),IFERROR(_xlfn.NUMBERVALUE(SUBSTITUTE(LEFT(TRIM(C13),FIND(" ",TRIM(C13)&amp;" ")-1),",","."),"."),LEFT(SUBSTITUTE(LEFT(TRIM(C13),FIND(" ",TRIM(C13)&amp;" ")-1),",","."),FIND("/",SUBSTITUTE(LEFT(TRIM(C13),FIND(" ",TRIM(C13)&amp;" ")-1),",","."))-1)/MID(SUBSTITUTE(LEFT(TRIM(C13),FIND(" ",TRIM(C13)&amp;" ")-1),",","."),FIND("/",SUBSTITUTE(LEFT(TRIM(C13),FIND(" ",TRIM(C13)&amp;" ")-1),",","."))+1,9)),IF(ISNUMBER(SEARCH("yea",C13)),IFERROR(_xlfn.NUMBERVALUE(SUBSTITUTE(LEFT(TRIM(C13),FIND(" ",TRIM(C13)&amp;" ")-1),",","."),"."),LEFT(SUBSTITUTE(LEFT(TRIM(C13),FIND(" ",TRIM(C13)&amp;" ")-1),",","."),FIND("/",SUBSTITUTE(LEFT(TRIM(C13),FIND(" ",TRIM(C13)&amp;" ")-1),",","."))-1)/MID(SUBSTITUTE(LEFT(TRIM(C13),FIND(" ",TRIM(C13)&amp;" ")-1),",","."),FIND("/",SUBSTITUTE(LEFT(TRIM(C13),FIND(" ",TRIM(C13)&amp;" ")-1),",","."))+1,9))*12,NA()))),0),36)*'Aturan &amp; Tarif'!$B$4,2)</f>
        <v>2044.08</v>
      </c>
      <c r="K13" s="42" t="n">
        <f aca="false">'Aturan &amp; Tarif'!$B$5</f>
        <v>2050</v>
      </c>
      <c r="L13" s="42" t="n">
        <f aca="false">'Aturan &amp; Tarif'!$B$6</f>
        <v>350</v>
      </c>
      <c r="M13" s="35" t="n">
        <f aca="false">I13+J13+K13+L13</f>
        <v>14684.08</v>
      </c>
      <c r="N13" s="44" t="s">
        <v>635</v>
      </c>
    </row>
    <row r="14" customFormat="false" ht="37.5" hidden="false" customHeight="true" outlineLevel="0" collapsed="false">
      <c r="A14" s="39"/>
      <c r="B14" s="40" t="s">
        <v>636</v>
      </c>
      <c r="C14" s="41" t="s">
        <v>127</v>
      </c>
      <c r="D14" s="41" t="s">
        <v>108</v>
      </c>
      <c r="E14" s="42" t="n">
        <v>4995</v>
      </c>
      <c r="F14" s="42"/>
      <c r="G14" s="42" t="n">
        <v>250</v>
      </c>
      <c r="H14" s="43" t="n">
        <v>2</v>
      </c>
      <c r="I14" s="34" t="n">
        <f aca="false">E14*H14+N(F14)+N(G14)</f>
        <v>10240</v>
      </c>
      <c r="J14" s="42" t="n">
        <f aca="false">ROUND(IFERROR(ROUND(IF(OR(ISNUMBER(SEARCH("week",C14)),ISNUMBER(SEARCH("minggu",C14))),IFERROR(_xlfn.NUMBERVALUE(SUBSTITUTE(LEFT(TRIM(C14),FIND(" ",TRIM(C14)&amp;" ")-1),",","."),"."),LEFT(SUBSTITUTE(LEFT(TRIM(C14),FIND(" ",TRIM(C14)&amp;" ")-1),",","."),FIND("/",SUBSTITUTE(LEFT(TRIM(C14),FIND(" ",TRIM(C14)&amp;" ")-1),",","."))-1)/MID(SUBSTITUTE(LEFT(TRIM(C14),FIND(" ",TRIM(C14)&amp;" ")-1),",","."),FIND("/",SUBSTITUTE(LEFT(TRIM(C14),FIND(" ",TRIM(C14)&amp;" ")-1),",","."))+1,9))*12/52,IF(ISNUMBER(SEARCH("month",C14)),IFERROR(_xlfn.NUMBERVALUE(SUBSTITUTE(LEFT(TRIM(C14),FIND(" ",TRIM(C14)&amp;" ")-1),",","."),"."),LEFT(SUBSTITUTE(LEFT(TRIM(C14),FIND(" ",TRIM(C14)&amp;" ")-1),",","."),FIND("/",SUBSTITUTE(LEFT(TRIM(C14),FIND(" ",TRIM(C14)&amp;" ")-1),",","."))-1)/MID(SUBSTITUTE(LEFT(TRIM(C14),FIND(" ",TRIM(C14)&amp;" ")-1),",","."),FIND("/",SUBSTITUTE(LEFT(TRIM(C14),FIND(" ",TRIM(C14)&amp;" ")-1),",","."))+1,9)),IF(ISNUMBER(SEARCH("yea",C14)),IFERROR(_xlfn.NUMBERVALUE(SUBSTITUTE(LEFT(TRIM(C14),FIND(" ",TRIM(C14)&amp;" ")-1),",","."),"."),LEFT(SUBSTITUTE(LEFT(TRIM(C14),FIND(" ",TRIM(C14)&amp;" ")-1),",","."),FIND("/",SUBSTITUTE(LEFT(TRIM(C14),FIND(" ",TRIM(C14)&amp;" ")-1),",","."))-1)/MID(SUBSTITUTE(LEFT(TRIM(C14),FIND(" ",TRIM(C14)&amp;" ")-1),",","."),FIND("/",SUBSTITUTE(LEFT(TRIM(C14),FIND(" ",TRIM(C14)&amp;" ")-1),",","."))+1,9))*12,NA()))),0),36)*'Aturan &amp; Tarif'!$B$4,2)</f>
        <v>2044.08</v>
      </c>
      <c r="K14" s="42" t="n">
        <f aca="false">'Aturan &amp; Tarif'!$B$5</f>
        <v>2050</v>
      </c>
      <c r="L14" s="42" t="n">
        <f aca="false">'Aturan &amp; Tarif'!$B$6</f>
        <v>350</v>
      </c>
      <c r="M14" s="35" t="n">
        <f aca="false">I14+J14+K14+L14</f>
        <v>14684.08</v>
      </c>
      <c r="N14" s="44" t="s">
        <v>635</v>
      </c>
    </row>
    <row r="15" customFormat="false" ht="37.5" hidden="false" customHeight="true" outlineLevel="0" collapsed="false">
      <c r="A15" s="39"/>
      <c r="B15" s="40" t="s">
        <v>637</v>
      </c>
      <c r="C15" s="41" t="s">
        <v>127</v>
      </c>
      <c r="D15" s="41" t="s">
        <v>108</v>
      </c>
      <c r="E15" s="42" t="n">
        <v>4995</v>
      </c>
      <c r="F15" s="42"/>
      <c r="G15" s="42" t="n">
        <v>250</v>
      </c>
      <c r="H15" s="43" t="n">
        <v>2</v>
      </c>
      <c r="I15" s="34" t="n">
        <f aca="false">E15*H15+N(F15)+N(G15)</f>
        <v>10240</v>
      </c>
      <c r="J15" s="42" t="n">
        <f aca="false">ROUND(IFERROR(ROUND(IF(OR(ISNUMBER(SEARCH("week",C15)),ISNUMBER(SEARCH("minggu",C15))),IFERROR(_xlfn.NUMBERVALUE(SUBSTITUTE(LEFT(TRIM(C15),FIND(" ",TRIM(C15)&amp;" ")-1),",","."),"."),LEFT(SUBSTITUTE(LEFT(TRIM(C15),FIND(" ",TRIM(C15)&amp;" ")-1),",","."),FIND("/",SUBSTITUTE(LEFT(TRIM(C15),FIND(" ",TRIM(C15)&amp;" ")-1),",","."))-1)/MID(SUBSTITUTE(LEFT(TRIM(C15),FIND(" ",TRIM(C15)&amp;" ")-1),",","."),FIND("/",SUBSTITUTE(LEFT(TRIM(C15),FIND(" ",TRIM(C15)&amp;" ")-1),",","."))+1,9))*12/52,IF(ISNUMBER(SEARCH("month",C15)),IFERROR(_xlfn.NUMBERVALUE(SUBSTITUTE(LEFT(TRIM(C15),FIND(" ",TRIM(C15)&amp;" ")-1),",","."),"."),LEFT(SUBSTITUTE(LEFT(TRIM(C15),FIND(" ",TRIM(C15)&amp;" ")-1),",","."),FIND("/",SUBSTITUTE(LEFT(TRIM(C15),FIND(" ",TRIM(C15)&amp;" ")-1),",","."))-1)/MID(SUBSTITUTE(LEFT(TRIM(C15),FIND(" ",TRIM(C15)&amp;" ")-1),",","."),FIND("/",SUBSTITUTE(LEFT(TRIM(C15),FIND(" ",TRIM(C15)&amp;" ")-1),",","."))+1,9)),IF(ISNUMBER(SEARCH("yea",C15)),IFERROR(_xlfn.NUMBERVALUE(SUBSTITUTE(LEFT(TRIM(C15),FIND(" ",TRIM(C15)&amp;" ")-1),",","."),"."),LEFT(SUBSTITUTE(LEFT(TRIM(C15),FIND(" ",TRIM(C15)&amp;" ")-1),",","."),FIND("/",SUBSTITUTE(LEFT(TRIM(C15),FIND(" ",TRIM(C15)&amp;" ")-1),",","."))-1)/MID(SUBSTITUTE(LEFT(TRIM(C15),FIND(" ",TRIM(C15)&amp;" ")-1),",","."),FIND("/",SUBSTITUTE(LEFT(TRIM(C15),FIND(" ",TRIM(C15)&amp;" ")-1),",","."))+1,9))*12,NA()))),0),36)*'Aturan &amp; Tarif'!$B$4,2)</f>
        <v>2044.08</v>
      </c>
      <c r="K15" s="42" t="n">
        <f aca="false">'Aturan &amp; Tarif'!$B$5</f>
        <v>2050</v>
      </c>
      <c r="L15" s="42" t="n">
        <f aca="false">'Aturan &amp; Tarif'!$B$6</f>
        <v>350</v>
      </c>
      <c r="M15" s="35" t="n">
        <f aca="false">I15+J15+K15+L15</f>
        <v>14684.08</v>
      </c>
      <c r="N15" s="44" t="s">
        <v>635</v>
      </c>
    </row>
    <row r="16" customFormat="false" ht="37.5" hidden="false" customHeight="true" outlineLevel="0" collapsed="false">
      <c r="A16" s="39"/>
      <c r="B16" s="40" t="s">
        <v>638</v>
      </c>
      <c r="C16" s="41" t="s">
        <v>127</v>
      </c>
      <c r="D16" s="41" t="s">
        <v>108</v>
      </c>
      <c r="E16" s="42" t="n">
        <v>4995</v>
      </c>
      <c r="F16" s="42"/>
      <c r="G16" s="42" t="n">
        <v>250</v>
      </c>
      <c r="H16" s="43" t="n">
        <v>2</v>
      </c>
      <c r="I16" s="34" t="n">
        <f aca="false">E16*H16+N(F16)+N(G16)</f>
        <v>10240</v>
      </c>
      <c r="J16" s="42" t="n">
        <f aca="false">ROUND(IFERROR(ROUND(IF(OR(ISNUMBER(SEARCH("week",C16)),ISNUMBER(SEARCH("minggu",C16))),IFERROR(_xlfn.NUMBERVALUE(SUBSTITUTE(LEFT(TRIM(C16),FIND(" ",TRIM(C16)&amp;" ")-1),",","."),"."),LEFT(SUBSTITUTE(LEFT(TRIM(C16),FIND(" ",TRIM(C16)&amp;" ")-1),",","."),FIND("/",SUBSTITUTE(LEFT(TRIM(C16),FIND(" ",TRIM(C16)&amp;" ")-1),",","."))-1)/MID(SUBSTITUTE(LEFT(TRIM(C16),FIND(" ",TRIM(C16)&amp;" ")-1),",","."),FIND("/",SUBSTITUTE(LEFT(TRIM(C16),FIND(" ",TRIM(C16)&amp;" ")-1),",","."))+1,9))*12/52,IF(ISNUMBER(SEARCH("month",C16)),IFERROR(_xlfn.NUMBERVALUE(SUBSTITUTE(LEFT(TRIM(C16),FIND(" ",TRIM(C16)&amp;" ")-1),",","."),"."),LEFT(SUBSTITUTE(LEFT(TRIM(C16),FIND(" ",TRIM(C16)&amp;" ")-1),",","."),FIND("/",SUBSTITUTE(LEFT(TRIM(C16),FIND(" ",TRIM(C16)&amp;" ")-1),",","."))-1)/MID(SUBSTITUTE(LEFT(TRIM(C16),FIND(" ",TRIM(C16)&amp;" ")-1),",","."),FIND("/",SUBSTITUTE(LEFT(TRIM(C16),FIND(" ",TRIM(C16)&amp;" ")-1),",","."))+1,9)),IF(ISNUMBER(SEARCH("yea",C16)),IFERROR(_xlfn.NUMBERVALUE(SUBSTITUTE(LEFT(TRIM(C16),FIND(" ",TRIM(C16)&amp;" ")-1),",","."),"."),LEFT(SUBSTITUTE(LEFT(TRIM(C16),FIND(" ",TRIM(C16)&amp;" ")-1),",","."),FIND("/",SUBSTITUTE(LEFT(TRIM(C16),FIND(" ",TRIM(C16)&amp;" ")-1),",","."))-1)/MID(SUBSTITUTE(LEFT(TRIM(C16),FIND(" ",TRIM(C16)&amp;" ")-1),",","."),FIND("/",SUBSTITUTE(LEFT(TRIM(C16),FIND(" ",TRIM(C16)&amp;" ")-1),",","."))+1,9))*12,NA()))),0),36)*'Aturan &amp; Tarif'!$B$4,2)</f>
        <v>2044.08</v>
      </c>
      <c r="K16" s="42" t="n">
        <f aca="false">'Aturan &amp; Tarif'!$B$5</f>
        <v>2050</v>
      </c>
      <c r="L16" s="42" t="n">
        <f aca="false">'Aturan &amp; Tarif'!$B$6</f>
        <v>350</v>
      </c>
      <c r="M16" s="35" t="n">
        <f aca="false">I16+J16+K16+L16</f>
        <v>14684.08</v>
      </c>
      <c r="N16" s="44" t="s">
        <v>635</v>
      </c>
    </row>
    <row r="17" customFormat="false" ht="37.5" hidden="false" customHeight="true" outlineLevel="0" collapsed="false">
      <c r="A17" s="39"/>
      <c r="B17" s="40" t="s">
        <v>639</v>
      </c>
      <c r="C17" s="41" t="s">
        <v>127</v>
      </c>
      <c r="D17" s="41" t="s">
        <v>108</v>
      </c>
      <c r="E17" s="42" t="n">
        <v>4995</v>
      </c>
      <c r="F17" s="42"/>
      <c r="G17" s="42" t="n">
        <v>250</v>
      </c>
      <c r="H17" s="43" t="n">
        <v>2</v>
      </c>
      <c r="I17" s="34" t="n">
        <f aca="false">E17*H17+N(F17)+N(G17)</f>
        <v>10240</v>
      </c>
      <c r="J17" s="42" t="n">
        <f aca="false">ROUND(IFERROR(ROUND(IF(OR(ISNUMBER(SEARCH("week",C17)),ISNUMBER(SEARCH("minggu",C17))),IFERROR(_xlfn.NUMBERVALUE(SUBSTITUTE(LEFT(TRIM(C17),FIND(" ",TRIM(C17)&amp;" ")-1),",","."),"."),LEFT(SUBSTITUTE(LEFT(TRIM(C17),FIND(" ",TRIM(C17)&amp;" ")-1),",","."),FIND("/",SUBSTITUTE(LEFT(TRIM(C17),FIND(" ",TRIM(C17)&amp;" ")-1),",","."))-1)/MID(SUBSTITUTE(LEFT(TRIM(C17),FIND(" ",TRIM(C17)&amp;" ")-1),",","."),FIND("/",SUBSTITUTE(LEFT(TRIM(C17),FIND(" ",TRIM(C17)&amp;" ")-1),",","."))+1,9))*12/52,IF(ISNUMBER(SEARCH("month",C17)),IFERROR(_xlfn.NUMBERVALUE(SUBSTITUTE(LEFT(TRIM(C17),FIND(" ",TRIM(C17)&amp;" ")-1),",","."),"."),LEFT(SUBSTITUTE(LEFT(TRIM(C17),FIND(" ",TRIM(C17)&amp;" ")-1),",","."),FIND("/",SUBSTITUTE(LEFT(TRIM(C17),FIND(" ",TRIM(C17)&amp;" ")-1),",","."))-1)/MID(SUBSTITUTE(LEFT(TRIM(C17),FIND(" ",TRIM(C17)&amp;" ")-1),",","."),FIND("/",SUBSTITUTE(LEFT(TRIM(C17),FIND(" ",TRIM(C17)&amp;" ")-1),",","."))+1,9)),IF(ISNUMBER(SEARCH("yea",C17)),IFERROR(_xlfn.NUMBERVALUE(SUBSTITUTE(LEFT(TRIM(C17),FIND(" ",TRIM(C17)&amp;" ")-1),",","."),"."),LEFT(SUBSTITUTE(LEFT(TRIM(C17),FIND(" ",TRIM(C17)&amp;" ")-1),",","."),FIND("/",SUBSTITUTE(LEFT(TRIM(C17),FIND(" ",TRIM(C17)&amp;" ")-1),",","."))-1)/MID(SUBSTITUTE(LEFT(TRIM(C17),FIND(" ",TRIM(C17)&amp;" ")-1),",","."),FIND("/",SUBSTITUTE(LEFT(TRIM(C17),FIND(" ",TRIM(C17)&amp;" ")-1),",","."))+1,9))*12,NA()))),0),36)*'Aturan &amp; Tarif'!$B$4,2)</f>
        <v>2044.08</v>
      </c>
      <c r="K17" s="42" t="n">
        <f aca="false">'Aturan &amp; Tarif'!$B$5</f>
        <v>2050</v>
      </c>
      <c r="L17" s="42" t="n">
        <f aca="false">'Aturan &amp; Tarif'!$B$6</f>
        <v>350</v>
      </c>
      <c r="M17" s="35" t="n">
        <f aca="false">I17+J17+K17+L17</f>
        <v>14684.08</v>
      </c>
      <c r="N17" s="44" t="s">
        <v>635</v>
      </c>
    </row>
    <row r="18" customFormat="false" ht="25.5" hidden="false" customHeight="true" outlineLevel="0" collapsed="false">
      <c r="A18" s="39"/>
      <c r="B18" s="40" t="s">
        <v>640</v>
      </c>
      <c r="C18" s="41" t="s">
        <v>107</v>
      </c>
      <c r="D18" s="41" t="s">
        <v>108</v>
      </c>
      <c r="E18" s="42" t="n">
        <v>4050</v>
      </c>
      <c r="F18" s="42"/>
      <c r="G18" s="42" t="n">
        <v>250</v>
      </c>
      <c r="H18" s="43" t="n">
        <v>2</v>
      </c>
      <c r="I18" s="34" t="n">
        <f aca="false">E18*H18+N(F18)+N(G18)</f>
        <v>8350</v>
      </c>
      <c r="J18" s="42" t="n">
        <f aca="false">ROUND(IFERROR(ROUND(IF(OR(ISNUMBER(SEARCH("week",C18)),ISNUMBER(SEARCH("minggu",C18))),IFERROR(_xlfn.NUMBERVALUE(SUBSTITUTE(LEFT(TRIM(C18),FIND(" ",TRIM(C18)&amp;" ")-1),",","."),"."),LEFT(SUBSTITUTE(LEFT(TRIM(C18),FIND(" ",TRIM(C18)&amp;" ")-1),",","."),FIND("/",SUBSTITUTE(LEFT(TRIM(C18),FIND(" ",TRIM(C18)&amp;" ")-1),",","."))-1)/MID(SUBSTITUTE(LEFT(TRIM(C18),FIND(" ",TRIM(C18)&amp;" ")-1),",","."),FIND("/",SUBSTITUTE(LEFT(TRIM(C18),FIND(" ",TRIM(C18)&amp;" ")-1),",","."))+1,9))*12/52,IF(ISNUMBER(SEARCH("month",C18)),IFERROR(_xlfn.NUMBERVALUE(SUBSTITUTE(LEFT(TRIM(C18),FIND(" ",TRIM(C18)&amp;" ")-1),",","."),"."),LEFT(SUBSTITUTE(LEFT(TRIM(C18),FIND(" ",TRIM(C18)&amp;" ")-1),",","."),FIND("/",SUBSTITUTE(LEFT(TRIM(C18),FIND(" ",TRIM(C18)&amp;" ")-1),",","."))-1)/MID(SUBSTITUTE(LEFT(TRIM(C18),FIND(" ",TRIM(C18)&amp;" ")-1),",","."),FIND("/",SUBSTITUTE(LEFT(TRIM(C18),FIND(" ",TRIM(C18)&amp;" ")-1),",","."))+1,9)),IF(ISNUMBER(SEARCH("yea",C18)),IFERROR(_xlfn.NUMBERVALUE(SUBSTITUTE(LEFT(TRIM(C18),FIND(" ",TRIM(C18)&amp;" ")-1),",","."),"."),LEFT(SUBSTITUTE(LEFT(TRIM(C18),FIND(" ",TRIM(C18)&amp;" ")-1),",","."),FIND("/",SUBSTITUTE(LEFT(TRIM(C18),FIND(" ",TRIM(C18)&amp;" ")-1),",","."))-1)/MID(SUBSTITUTE(LEFT(TRIM(C18),FIND(" ",TRIM(C18)&amp;" ")-1),",","."),FIND("/",SUBSTITUTE(LEFT(TRIM(C18),FIND(" ",TRIM(C18)&amp;" ")-1),",","."))+1,9))*12,NA()))),0),24)*'Aturan &amp; Tarif'!$B$4,2)</f>
        <v>1362.72</v>
      </c>
      <c r="K18" s="42" t="n">
        <f aca="false">'Aturan &amp; Tarif'!$B$5</f>
        <v>2050</v>
      </c>
      <c r="L18" s="42" t="n">
        <f aca="false">'Aturan &amp; Tarif'!$B$6</f>
        <v>350</v>
      </c>
      <c r="M18" s="35" t="n">
        <f aca="false">I18+J18+K18+L18</f>
        <v>12112.72</v>
      </c>
      <c r="N18" s="45" t="s">
        <v>641</v>
      </c>
    </row>
    <row r="19" customFormat="false" ht="37.5" hidden="false" customHeight="true" outlineLevel="0" collapsed="false">
      <c r="A19" s="39"/>
      <c r="B19" s="40" t="s">
        <v>642</v>
      </c>
      <c r="C19" s="41" t="s">
        <v>107</v>
      </c>
      <c r="D19" s="41" t="s">
        <v>108</v>
      </c>
      <c r="E19" s="42" t="n">
        <v>4050</v>
      </c>
      <c r="F19" s="42"/>
      <c r="G19" s="42" t="n">
        <v>250</v>
      </c>
      <c r="H19" s="43" t="n">
        <v>2</v>
      </c>
      <c r="I19" s="34" t="n">
        <f aca="false">E19*H19+N(F19)+N(G19)</f>
        <v>8350</v>
      </c>
      <c r="J19" s="42" t="n">
        <f aca="false">ROUND(IFERROR(ROUND(IF(OR(ISNUMBER(SEARCH("week",C19)),ISNUMBER(SEARCH("minggu",C19))),IFERROR(_xlfn.NUMBERVALUE(SUBSTITUTE(LEFT(TRIM(C19),FIND(" ",TRIM(C19)&amp;" ")-1),",","."),"."),LEFT(SUBSTITUTE(LEFT(TRIM(C19),FIND(" ",TRIM(C19)&amp;" ")-1),",","."),FIND("/",SUBSTITUTE(LEFT(TRIM(C19),FIND(" ",TRIM(C19)&amp;" ")-1),",","."))-1)/MID(SUBSTITUTE(LEFT(TRIM(C19),FIND(" ",TRIM(C19)&amp;" ")-1),",","."),FIND("/",SUBSTITUTE(LEFT(TRIM(C19),FIND(" ",TRIM(C19)&amp;" ")-1),",","."))+1,9))*12/52,IF(ISNUMBER(SEARCH("month",C19)),IFERROR(_xlfn.NUMBERVALUE(SUBSTITUTE(LEFT(TRIM(C19),FIND(" ",TRIM(C19)&amp;" ")-1),",","."),"."),LEFT(SUBSTITUTE(LEFT(TRIM(C19),FIND(" ",TRIM(C19)&amp;" ")-1),",","."),FIND("/",SUBSTITUTE(LEFT(TRIM(C19),FIND(" ",TRIM(C19)&amp;" ")-1),",","."))-1)/MID(SUBSTITUTE(LEFT(TRIM(C19),FIND(" ",TRIM(C19)&amp;" ")-1),",","."),FIND("/",SUBSTITUTE(LEFT(TRIM(C19),FIND(" ",TRIM(C19)&amp;" ")-1),",","."))+1,9)),IF(ISNUMBER(SEARCH("yea",C19)),IFERROR(_xlfn.NUMBERVALUE(SUBSTITUTE(LEFT(TRIM(C19),FIND(" ",TRIM(C19)&amp;" ")-1),",","."),"."),LEFT(SUBSTITUTE(LEFT(TRIM(C19),FIND(" ",TRIM(C19)&amp;" ")-1),",","."),FIND("/",SUBSTITUTE(LEFT(TRIM(C19),FIND(" ",TRIM(C19)&amp;" ")-1),",","."))-1)/MID(SUBSTITUTE(LEFT(TRIM(C19),FIND(" ",TRIM(C19)&amp;" ")-1),",","."),FIND("/",SUBSTITUTE(LEFT(TRIM(C19),FIND(" ",TRIM(C19)&amp;" ")-1),",","."))+1,9))*12,NA()))),0),24)*'Aturan &amp; Tarif'!$B$4,2)</f>
        <v>1362.72</v>
      </c>
      <c r="K19" s="42" t="n">
        <f aca="false">'Aturan &amp; Tarif'!$B$5</f>
        <v>2050</v>
      </c>
      <c r="L19" s="42" t="n">
        <f aca="false">'Aturan &amp; Tarif'!$B$6</f>
        <v>350</v>
      </c>
      <c r="M19" s="35" t="n">
        <f aca="false">I19+J19+K19+L19</f>
        <v>12112.72</v>
      </c>
      <c r="N19" s="45" t="s">
        <v>641</v>
      </c>
    </row>
    <row r="20" customFormat="false" ht="37.5" hidden="false" customHeight="true" outlineLevel="0" collapsed="false">
      <c r="A20" s="39"/>
      <c r="B20" s="40" t="s">
        <v>643</v>
      </c>
      <c r="C20" s="41" t="s">
        <v>107</v>
      </c>
      <c r="D20" s="41" t="s">
        <v>108</v>
      </c>
      <c r="E20" s="42" t="n">
        <v>4050</v>
      </c>
      <c r="F20" s="42"/>
      <c r="G20" s="42" t="n">
        <v>250</v>
      </c>
      <c r="H20" s="43" t="n">
        <v>2</v>
      </c>
      <c r="I20" s="34" t="n">
        <f aca="false">E20*H20+N(F20)+N(G20)</f>
        <v>8350</v>
      </c>
      <c r="J20" s="42" t="n">
        <f aca="false">ROUND(IFERROR(ROUND(IF(OR(ISNUMBER(SEARCH("week",C20)),ISNUMBER(SEARCH("minggu",C20))),IFERROR(_xlfn.NUMBERVALUE(SUBSTITUTE(LEFT(TRIM(C20),FIND(" ",TRIM(C20)&amp;" ")-1),",","."),"."),LEFT(SUBSTITUTE(LEFT(TRIM(C20),FIND(" ",TRIM(C20)&amp;" ")-1),",","."),FIND("/",SUBSTITUTE(LEFT(TRIM(C20),FIND(" ",TRIM(C20)&amp;" ")-1),",","."))-1)/MID(SUBSTITUTE(LEFT(TRIM(C20),FIND(" ",TRIM(C20)&amp;" ")-1),",","."),FIND("/",SUBSTITUTE(LEFT(TRIM(C20),FIND(" ",TRIM(C20)&amp;" ")-1),",","."))+1,9))*12/52,IF(ISNUMBER(SEARCH("month",C20)),IFERROR(_xlfn.NUMBERVALUE(SUBSTITUTE(LEFT(TRIM(C20),FIND(" ",TRIM(C20)&amp;" ")-1),",","."),"."),LEFT(SUBSTITUTE(LEFT(TRIM(C20),FIND(" ",TRIM(C20)&amp;" ")-1),",","."),FIND("/",SUBSTITUTE(LEFT(TRIM(C20),FIND(" ",TRIM(C20)&amp;" ")-1),",","."))-1)/MID(SUBSTITUTE(LEFT(TRIM(C20),FIND(" ",TRIM(C20)&amp;" ")-1),",","."),FIND("/",SUBSTITUTE(LEFT(TRIM(C20),FIND(" ",TRIM(C20)&amp;" ")-1),",","."))+1,9)),IF(ISNUMBER(SEARCH("yea",C20)),IFERROR(_xlfn.NUMBERVALUE(SUBSTITUTE(LEFT(TRIM(C20),FIND(" ",TRIM(C20)&amp;" ")-1),",","."),"."),LEFT(SUBSTITUTE(LEFT(TRIM(C20),FIND(" ",TRIM(C20)&amp;" ")-1),",","."),FIND("/",SUBSTITUTE(LEFT(TRIM(C20),FIND(" ",TRIM(C20)&amp;" ")-1),",","."))-1)/MID(SUBSTITUTE(LEFT(TRIM(C20),FIND(" ",TRIM(C20)&amp;" ")-1),",","."),FIND("/",SUBSTITUTE(LEFT(TRIM(C20),FIND(" ",TRIM(C20)&amp;" ")-1),",","."))+1,9))*12,NA()))),0),24)*'Aturan &amp; Tarif'!$B$4,2)</f>
        <v>1362.72</v>
      </c>
      <c r="K20" s="42" t="n">
        <f aca="false">'Aturan &amp; Tarif'!$B$5</f>
        <v>2050</v>
      </c>
      <c r="L20" s="42" t="n">
        <f aca="false">'Aturan &amp; Tarif'!$B$6</f>
        <v>350</v>
      </c>
      <c r="M20" s="35" t="n">
        <f aca="false">I20+J20+K20+L20</f>
        <v>12112.72</v>
      </c>
      <c r="N20" s="45" t="s">
        <v>641</v>
      </c>
    </row>
    <row r="21" customFormat="false" ht="37.5" hidden="false" customHeight="true" outlineLevel="0" collapsed="false">
      <c r="A21" s="39"/>
      <c r="B21" s="40" t="s">
        <v>644</v>
      </c>
      <c r="C21" s="41" t="s">
        <v>107</v>
      </c>
      <c r="D21" s="41" t="s">
        <v>108</v>
      </c>
      <c r="E21" s="42" t="n">
        <v>4050</v>
      </c>
      <c r="F21" s="42"/>
      <c r="G21" s="42" t="n">
        <v>250</v>
      </c>
      <c r="H21" s="43" t="n">
        <v>2</v>
      </c>
      <c r="I21" s="34" t="n">
        <f aca="false">E21*H21+N(F21)+N(G21)</f>
        <v>8350</v>
      </c>
      <c r="J21" s="42" t="n">
        <f aca="false">ROUND(IFERROR(ROUND(IF(OR(ISNUMBER(SEARCH("week",C21)),ISNUMBER(SEARCH("minggu",C21))),IFERROR(_xlfn.NUMBERVALUE(SUBSTITUTE(LEFT(TRIM(C21),FIND(" ",TRIM(C21)&amp;" ")-1),",","."),"."),LEFT(SUBSTITUTE(LEFT(TRIM(C21),FIND(" ",TRIM(C21)&amp;" ")-1),",","."),FIND("/",SUBSTITUTE(LEFT(TRIM(C21),FIND(" ",TRIM(C21)&amp;" ")-1),",","."))-1)/MID(SUBSTITUTE(LEFT(TRIM(C21),FIND(" ",TRIM(C21)&amp;" ")-1),",","."),FIND("/",SUBSTITUTE(LEFT(TRIM(C21),FIND(" ",TRIM(C21)&amp;" ")-1),",","."))+1,9))*12/52,IF(ISNUMBER(SEARCH("month",C21)),IFERROR(_xlfn.NUMBERVALUE(SUBSTITUTE(LEFT(TRIM(C21),FIND(" ",TRIM(C21)&amp;" ")-1),",","."),"."),LEFT(SUBSTITUTE(LEFT(TRIM(C21),FIND(" ",TRIM(C21)&amp;" ")-1),",","."),FIND("/",SUBSTITUTE(LEFT(TRIM(C21),FIND(" ",TRIM(C21)&amp;" ")-1),",","."))-1)/MID(SUBSTITUTE(LEFT(TRIM(C21),FIND(" ",TRIM(C21)&amp;" ")-1),",","."),FIND("/",SUBSTITUTE(LEFT(TRIM(C21),FIND(" ",TRIM(C21)&amp;" ")-1),",","."))+1,9)),IF(ISNUMBER(SEARCH("yea",C21)),IFERROR(_xlfn.NUMBERVALUE(SUBSTITUTE(LEFT(TRIM(C21),FIND(" ",TRIM(C21)&amp;" ")-1),",","."),"."),LEFT(SUBSTITUTE(LEFT(TRIM(C21),FIND(" ",TRIM(C21)&amp;" ")-1),",","."),FIND("/",SUBSTITUTE(LEFT(TRIM(C21),FIND(" ",TRIM(C21)&amp;" ")-1),",","."))-1)/MID(SUBSTITUTE(LEFT(TRIM(C21),FIND(" ",TRIM(C21)&amp;" ")-1),",","."),FIND("/",SUBSTITUTE(LEFT(TRIM(C21),FIND(" ",TRIM(C21)&amp;" ")-1),",","."))+1,9))*12,NA()))),0),24)*'Aturan &amp; Tarif'!$B$4,2)</f>
        <v>1362.72</v>
      </c>
      <c r="K21" s="42" t="n">
        <f aca="false">'Aturan &amp; Tarif'!$B$5</f>
        <v>2050</v>
      </c>
      <c r="L21" s="42" t="n">
        <f aca="false">'Aturan &amp; Tarif'!$B$6</f>
        <v>350</v>
      </c>
      <c r="M21" s="35" t="n">
        <f aca="false">I21+J21+K21+L21</f>
        <v>12112.72</v>
      </c>
      <c r="N21" s="45" t="s">
        <v>641</v>
      </c>
    </row>
    <row r="22" customFormat="false" ht="37.5" hidden="false" customHeight="true" outlineLevel="0" collapsed="false">
      <c r="A22" s="39"/>
      <c r="B22" s="40" t="s">
        <v>645</v>
      </c>
      <c r="C22" s="41" t="s">
        <v>107</v>
      </c>
      <c r="D22" s="41" t="s">
        <v>108</v>
      </c>
      <c r="E22" s="42" t="n">
        <v>4050</v>
      </c>
      <c r="F22" s="42"/>
      <c r="G22" s="42" t="n">
        <v>250</v>
      </c>
      <c r="H22" s="43" t="n">
        <v>2</v>
      </c>
      <c r="I22" s="34" t="n">
        <f aca="false">E22*H22+N(F22)+N(G22)</f>
        <v>8350</v>
      </c>
      <c r="J22" s="42" t="n">
        <f aca="false">ROUND(IFERROR(ROUND(IF(OR(ISNUMBER(SEARCH("week",C22)),ISNUMBER(SEARCH("minggu",C22))),IFERROR(_xlfn.NUMBERVALUE(SUBSTITUTE(LEFT(TRIM(C22),FIND(" ",TRIM(C22)&amp;" ")-1),",","."),"."),LEFT(SUBSTITUTE(LEFT(TRIM(C22),FIND(" ",TRIM(C22)&amp;" ")-1),",","."),FIND("/",SUBSTITUTE(LEFT(TRIM(C22),FIND(" ",TRIM(C22)&amp;" ")-1),",","."))-1)/MID(SUBSTITUTE(LEFT(TRIM(C22),FIND(" ",TRIM(C22)&amp;" ")-1),",","."),FIND("/",SUBSTITUTE(LEFT(TRIM(C22),FIND(" ",TRIM(C22)&amp;" ")-1),",","."))+1,9))*12/52,IF(ISNUMBER(SEARCH("month",C22)),IFERROR(_xlfn.NUMBERVALUE(SUBSTITUTE(LEFT(TRIM(C22),FIND(" ",TRIM(C22)&amp;" ")-1),",","."),"."),LEFT(SUBSTITUTE(LEFT(TRIM(C22),FIND(" ",TRIM(C22)&amp;" ")-1),",","."),FIND("/",SUBSTITUTE(LEFT(TRIM(C22),FIND(" ",TRIM(C22)&amp;" ")-1),",","."))-1)/MID(SUBSTITUTE(LEFT(TRIM(C22),FIND(" ",TRIM(C22)&amp;" ")-1),",","."),FIND("/",SUBSTITUTE(LEFT(TRIM(C22),FIND(" ",TRIM(C22)&amp;" ")-1),",","."))+1,9)),IF(ISNUMBER(SEARCH("yea",C22)),IFERROR(_xlfn.NUMBERVALUE(SUBSTITUTE(LEFT(TRIM(C22),FIND(" ",TRIM(C22)&amp;" ")-1),",","."),"."),LEFT(SUBSTITUTE(LEFT(TRIM(C22),FIND(" ",TRIM(C22)&amp;" ")-1),",","."),FIND("/",SUBSTITUTE(LEFT(TRIM(C22),FIND(" ",TRIM(C22)&amp;" ")-1),",","."))-1)/MID(SUBSTITUTE(LEFT(TRIM(C22),FIND(" ",TRIM(C22)&amp;" ")-1),",","."),FIND("/",SUBSTITUTE(LEFT(TRIM(C22),FIND(" ",TRIM(C22)&amp;" ")-1),",","."))+1,9))*12,NA()))),0),24)*'Aturan &amp; Tarif'!$B$4,2)</f>
        <v>1362.72</v>
      </c>
      <c r="K22" s="42" t="n">
        <f aca="false">'Aturan &amp; Tarif'!$B$5</f>
        <v>2050</v>
      </c>
      <c r="L22" s="42" t="n">
        <f aca="false">'Aturan &amp; Tarif'!$B$6</f>
        <v>350</v>
      </c>
      <c r="M22" s="35" t="n">
        <f aca="false">I22+J22+K22+L22</f>
        <v>12112.72</v>
      </c>
      <c r="N22" s="45" t="s">
        <v>641</v>
      </c>
    </row>
    <row r="23" customFormat="false" ht="14.25" hidden="false" customHeight="true" outlineLevel="0" collapsed="false">
      <c r="A23" s="39"/>
      <c r="B23" s="40" t="s">
        <v>646</v>
      </c>
      <c r="C23" s="41" t="s">
        <v>130</v>
      </c>
      <c r="D23" s="41" t="s">
        <v>108</v>
      </c>
      <c r="E23" s="42" t="n">
        <v>4050</v>
      </c>
      <c r="F23" s="42"/>
      <c r="G23" s="42" t="n">
        <v>250</v>
      </c>
      <c r="H23" s="43" t="n">
        <v>2</v>
      </c>
      <c r="I23" s="34" t="n">
        <f aca="false">E23*H23+N(F23)+N(G23)</f>
        <v>8350</v>
      </c>
      <c r="J23" s="42" t="n">
        <f aca="false">ROUND(IFERROR(ROUND(IF(OR(ISNUMBER(SEARCH("week",C23)),ISNUMBER(SEARCH("minggu",C23))),IFERROR(_xlfn.NUMBERVALUE(SUBSTITUTE(LEFT(TRIM(C23),FIND(" ",TRIM(C23)&amp;" ")-1),",","."),"."),LEFT(SUBSTITUTE(LEFT(TRIM(C23),FIND(" ",TRIM(C23)&amp;" ")-1),",","."),FIND("/",SUBSTITUTE(LEFT(TRIM(C23),FIND(" ",TRIM(C23)&amp;" ")-1),",","."))-1)/MID(SUBSTITUTE(LEFT(TRIM(C23),FIND(" ",TRIM(C23)&amp;" ")-1),",","."),FIND("/",SUBSTITUTE(LEFT(TRIM(C23),FIND(" ",TRIM(C23)&amp;" ")-1),",","."))+1,9))*12/52,IF(ISNUMBER(SEARCH("month",C23)),IFERROR(_xlfn.NUMBERVALUE(SUBSTITUTE(LEFT(TRIM(C23),FIND(" ",TRIM(C23)&amp;" ")-1),",","."),"."),LEFT(SUBSTITUTE(LEFT(TRIM(C23),FIND(" ",TRIM(C23)&amp;" ")-1),",","."),FIND("/",SUBSTITUTE(LEFT(TRIM(C23),FIND(" ",TRIM(C23)&amp;" ")-1),",","."))-1)/MID(SUBSTITUTE(LEFT(TRIM(C23),FIND(" ",TRIM(C23)&amp;" ")-1),",","."),FIND("/",SUBSTITUTE(LEFT(TRIM(C23),FIND(" ",TRIM(C23)&amp;" ")-1),",","."))+1,9)),IF(ISNUMBER(SEARCH("yea",C23)),IFERROR(_xlfn.NUMBERVALUE(SUBSTITUTE(LEFT(TRIM(C23),FIND(" ",TRIM(C23)&amp;" ")-1),",","."),"."),LEFT(SUBSTITUTE(LEFT(TRIM(C23),FIND(" ",TRIM(C23)&amp;" ")-1),",","."),FIND("/",SUBSTITUTE(LEFT(TRIM(C23),FIND(" ",TRIM(C23)&amp;" ")-1),",","."))-1)/MID(SUBSTITUTE(LEFT(TRIM(C23),FIND(" ",TRIM(C23)&amp;" ")-1),",","."),FIND("/",SUBSTITUTE(LEFT(TRIM(C23),FIND(" ",TRIM(C23)&amp;" ")-1),",","."))+1,9))*12,NA()))),0),12)*'Aturan &amp; Tarif'!$B$4,2)</f>
        <v>681.36</v>
      </c>
      <c r="K23" s="42" t="n">
        <f aca="false">'Aturan &amp; Tarif'!$B$5</f>
        <v>2050</v>
      </c>
      <c r="L23" s="42" t="n">
        <f aca="false">'Aturan &amp; Tarif'!$B$6</f>
        <v>350</v>
      </c>
      <c r="M23" s="35" t="n">
        <f aca="false">I23+J23+K23+L23</f>
        <v>11431.36</v>
      </c>
      <c r="N23" s="45" t="s">
        <v>641</v>
      </c>
    </row>
    <row r="24" customFormat="false" ht="14.25" hidden="false" customHeight="true" outlineLevel="0" collapsed="false">
      <c r="A24" s="39"/>
      <c r="B24" s="40" t="s">
        <v>647</v>
      </c>
      <c r="C24" s="41" t="s">
        <v>648</v>
      </c>
      <c r="D24" s="41" t="s">
        <v>108</v>
      </c>
      <c r="E24" s="42" t="n">
        <v>2700</v>
      </c>
      <c r="F24" s="42"/>
      <c r="G24" s="42" t="n">
        <v>250</v>
      </c>
      <c r="H24" s="43" t="n">
        <v>2</v>
      </c>
      <c r="I24" s="34" t="n">
        <f aca="false">E24*H24+N(F24)+N(G24)</f>
        <v>5650</v>
      </c>
      <c r="J24" s="42" t="n">
        <f aca="false">ROUND(IFERROR(ROUND(IF(OR(ISNUMBER(SEARCH("week",C24)),ISNUMBER(SEARCH("minggu",C24))),IFERROR(_xlfn.NUMBERVALUE(SUBSTITUTE(LEFT(TRIM(C24),FIND(" ",TRIM(C24)&amp;" ")-1),",","."),"."),LEFT(SUBSTITUTE(LEFT(TRIM(C24),FIND(" ",TRIM(C24)&amp;" ")-1),",","."),FIND("/",SUBSTITUTE(LEFT(TRIM(C24),FIND(" ",TRIM(C24)&amp;" ")-1),",","."))-1)/MID(SUBSTITUTE(LEFT(TRIM(C24),FIND(" ",TRIM(C24)&amp;" ")-1),",","."),FIND("/",SUBSTITUTE(LEFT(TRIM(C24),FIND(" ",TRIM(C24)&amp;" ")-1),",","."))+1,9))*12/52,IF(ISNUMBER(SEARCH("month",C24)),IFERROR(_xlfn.NUMBERVALUE(SUBSTITUTE(LEFT(TRIM(C24),FIND(" ",TRIM(C24)&amp;" ")-1),",","."),"."),LEFT(SUBSTITUTE(LEFT(TRIM(C24),FIND(" ",TRIM(C24)&amp;" ")-1),",","."),FIND("/",SUBSTITUTE(LEFT(TRIM(C24),FIND(" ",TRIM(C24)&amp;" ")-1),",","."))-1)/MID(SUBSTITUTE(LEFT(TRIM(C24),FIND(" ",TRIM(C24)&amp;" ")-1),",","."),FIND("/",SUBSTITUTE(LEFT(TRIM(C24),FIND(" ",TRIM(C24)&amp;" ")-1),",","."))+1,9)),IF(ISNUMBER(SEARCH("yea",C24)),IFERROR(_xlfn.NUMBERVALUE(SUBSTITUTE(LEFT(TRIM(C24),FIND(" ",TRIM(C24)&amp;" ")-1),",","."),"."),LEFT(SUBSTITUTE(LEFT(TRIM(C24),FIND(" ",TRIM(C24)&amp;" ")-1),",","."),FIND("/",SUBSTITUTE(LEFT(TRIM(C24),FIND(" ",TRIM(C24)&amp;" ")-1),",","."))-1)/MID(SUBSTITUTE(LEFT(TRIM(C24),FIND(" ",TRIM(C24)&amp;" ")-1),",","."),FIND("/",SUBSTITUTE(LEFT(TRIM(C24),FIND(" ",TRIM(C24)&amp;" ")-1),",","."))+1,9))*12,NA()))),0),8)*'Aturan &amp; Tarif'!$B$4,2)</f>
        <v>454.24</v>
      </c>
      <c r="K24" s="42" t="n">
        <f aca="false">'Aturan &amp; Tarif'!$B$5</f>
        <v>2050</v>
      </c>
      <c r="L24" s="42" t="n">
        <f aca="false">'Aturan &amp; Tarif'!$B$6</f>
        <v>350</v>
      </c>
      <c r="M24" s="35" t="n">
        <f aca="false">I24+J24+K24+L24</f>
        <v>8504.24</v>
      </c>
      <c r="N24" s="45" t="s">
        <v>641</v>
      </c>
    </row>
    <row r="25" customFormat="false" ht="25.5" hidden="false" customHeight="true" outlineLevel="0" collapsed="false">
      <c r="A25" s="39"/>
      <c r="B25" s="40" t="s">
        <v>649</v>
      </c>
      <c r="C25" s="41" t="s">
        <v>130</v>
      </c>
      <c r="D25" s="41" t="s">
        <v>108</v>
      </c>
      <c r="E25" s="42" t="n">
        <v>4050</v>
      </c>
      <c r="F25" s="42"/>
      <c r="G25" s="42" t="n">
        <v>250</v>
      </c>
      <c r="H25" s="43" t="n">
        <v>2</v>
      </c>
      <c r="I25" s="34" t="n">
        <f aca="false">E25*H25+N(F25)+N(G25)</f>
        <v>8350</v>
      </c>
      <c r="J25" s="42" t="n">
        <f aca="false">ROUND(IFERROR(ROUND(IF(OR(ISNUMBER(SEARCH("week",C25)),ISNUMBER(SEARCH("minggu",C25))),IFERROR(_xlfn.NUMBERVALUE(SUBSTITUTE(LEFT(TRIM(C25),FIND(" ",TRIM(C25)&amp;" ")-1),",","."),"."),LEFT(SUBSTITUTE(LEFT(TRIM(C25),FIND(" ",TRIM(C25)&amp;" ")-1),",","."),FIND("/",SUBSTITUTE(LEFT(TRIM(C25),FIND(" ",TRIM(C25)&amp;" ")-1),",","."))-1)/MID(SUBSTITUTE(LEFT(TRIM(C25),FIND(" ",TRIM(C25)&amp;" ")-1),",","."),FIND("/",SUBSTITUTE(LEFT(TRIM(C25),FIND(" ",TRIM(C25)&amp;" ")-1),",","."))+1,9))*12/52,IF(ISNUMBER(SEARCH("month",C25)),IFERROR(_xlfn.NUMBERVALUE(SUBSTITUTE(LEFT(TRIM(C25),FIND(" ",TRIM(C25)&amp;" ")-1),",","."),"."),LEFT(SUBSTITUTE(LEFT(TRIM(C25),FIND(" ",TRIM(C25)&amp;" ")-1),",","."),FIND("/",SUBSTITUTE(LEFT(TRIM(C25),FIND(" ",TRIM(C25)&amp;" ")-1),",","."))-1)/MID(SUBSTITUTE(LEFT(TRIM(C25),FIND(" ",TRIM(C25)&amp;" ")-1),",","."),FIND("/",SUBSTITUTE(LEFT(TRIM(C25),FIND(" ",TRIM(C25)&amp;" ")-1),",","."))+1,9)),IF(ISNUMBER(SEARCH("yea",C25)),IFERROR(_xlfn.NUMBERVALUE(SUBSTITUTE(LEFT(TRIM(C25),FIND(" ",TRIM(C25)&amp;" ")-1),",","."),"."),LEFT(SUBSTITUTE(LEFT(TRIM(C25),FIND(" ",TRIM(C25)&amp;" ")-1),",","."),FIND("/",SUBSTITUTE(LEFT(TRIM(C25),FIND(" ",TRIM(C25)&amp;" ")-1),",","."))-1)/MID(SUBSTITUTE(LEFT(TRIM(C25),FIND(" ",TRIM(C25)&amp;" ")-1),",","."),FIND("/",SUBSTITUTE(LEFT(TRIM(C25),FIND(" ",TRIM(C25)&amp;" ")-1),",","."))+1,9))*12,NA()))),0),12)*'Aturan &amp; Tarif'!$B$4,2)</f>
        <v>681.36</v>
      </c>
      <c r="K25" s="42" t="n">
        <f aca="false">'Aturan &amp; Tarif'!$B$5</f>
        <v>2050</v>
      </c>
      <c r="L25" s="42" t="n">
        <f aca="false">'Aturan &amp; Tarif'!$B$6</f>
        <v>350</v>
      </c>
      <c r="M25" s="35" t="n">
        <f aca="false">I25+J25+K25+L25</f>
        <v>11431.36</v>
      </c>
      <c r="N25" s="45" t="s">
        <v>641</v>
      </c>
    </row>
    <row r="26" customFormat="false" ht="25.5" hidden="false" customHeight="true" outlineLevel="0" collapsed="false">
      <c r="A26" s="39"/>
      <c r="B26" s="40" t="s">
        <v>650</v>
      </c>
      <c r="C26" s="41" t="s">
        <v>648</v>
      </c>
      <c r="D26" s="41" t="s">
        <v>108</v>
      </c>
      <c r="E26" s="42" t="n">
        <v>2700</v>
      </c>
      <c r="F26" s="42"/>
      <c r="G26" s="42" t="n">
        <v>250</v>
      </c>
      <c r="H26" s="43" t="n">
        <v>2</v>
      </c>
      <c r="I26" s="34" t="n">
        <f aca="false">E26*H26+N(F26)+N(G26)</f>
        <v>5650</v>
      </c>
      <c r="J26" s="42" t="n">
        <f aca="false">ROUND(IFERROR(ROUND(IF(OR(ISNUMBER(SEARCH("week",C26)),ISNUMBER(SEARCH("minggu",C26))),IFERROR(_xlfn.NUMBERVALUE(SUBSTITUTE(LEFT(TRIM(C26),FIND(" ",TRIM(C26)&amp;" ")-1),",","."),"."),LEFT(SUBSTITUTE(LEFT(TRIM(C26),FIND(" ",TRIM(C26)&amp;" ")-1),",","."),FIND("/",SUBSTITUTE(LEFT(TRIM(C26),FIND(" ",TRIM(C26)&amp;" ")-1),",","."))-1)/MID(SUBSTITUTE(LEFT(TRIM(C26),FIND(" ",TRIM(C26)&amp;" ")-1),",","."),FIND("/",SUBSTITUTE(LEFT(TRIM(C26),FIND(" ",TRIM(C26)&amp;" ")-1),",","."))+1,9))*12/52,IF(ISNUMBER(SEARCH("month",C26)),IFERROR(_xlfn.NUMBERVALUE(SUBSTITUTE(LEFT(TRIM(C26),FIND(" ",TRIM(C26)&amp;" ")-1),",","."),"."),LEFT(SUBSTITUTE(LEFT(TRIM(C26),FIND(" ",TRIM(C26)&amp;" ")-1),",","."),FIND("/",SUBSTITUTE(LEFT(TRIM(C26),FIND(" ",TRIM(C26)&amp;" ")-1),",","."))-1)/MID(SUBSTITUTE(LEFT(TRIM(C26),FIND(" ",TRIM(C26)&amp;" ")-1),",","."),FIND("/",SUBSTITUTE(LEFT(TRIM(C26),FIND(" ",TRIM(C26)&amp;" ")-1),",","."))+1,9)),IF(ISNUMBER(SEARCH("yea",C26)),IFERROR(_xlfn.NUMBERVALUE(SUBSTITUTE(LEFT(TRIM(C26),FIND(" ",TRIM(C26)&amp;" ")-1),",","."),"."),LEFT(SUBSTITUTE(LEFT(TRIM(C26),FIND(" ",TRIM(C26)&amp;" ")-1),",","."),FIND("/",SUBSTITUTE(LEFT(TRIM(C26),FIND(" ",TRIM(C26)&amp;" ")-1),",","."))-1)/MID(SUBSTITUTE(LEFT(TRIM(C26),FIND(" ",TRIM(C26)&amp;" ")-1),",","."),FIND("/",SUBSTITUTE(LEFT(TRIM(C26),FIND(" ",TRIM(C26)&amp;" ")-1),",","."))+1,9))*12,NA()))),0),8)*'Aturan &amp; Tarif'!$B$4,2)</f>
        <v>454.24</v>
      </c>
      <c r="K26" s="42" t="n">
        <f aca="false">'Aturan &amp; Tarif'!$B$5</f>
        <v>2050</v>
      </c>
      <c r="L26" s="42" t="n">
        <f aca="false">'Aturan &amp; Tarif'!$B$6</f>
        <v>350</v>
      </c>
      <c r="M26" s="35" t="n">
        <f aca="false">I26+J26+K26+L26</f>
        <v>8504.24</v>
      </c>
      <c r="N26" s="45" t="s">
        <v>641</v>
      </c>
    </row>
    <row r="27" customFormat="false" ht="37.5" hidden="false" customHeight="true" outlineLevel="0" collapsed="false">
      <c r="A27" s="29" t="s">
        <v>651</v>
      </c>
      <c r="B27" s="30" t="s">
        <v>652</v>
      </c>
      <c r="C27" s="31" t="s">
        <v>107</v>
      </c>
      <c r="D27" s="31" t="s">
        <v>108</v>
      </c>
      <c r="E27" s="32" t="n">
        <v>2875</v>
      </c>
      <c r="F27" s="32" t="n">
        <v>600</v>
      </c>
      <c r="G27" s="32" t="n">
        <v>250</v>
      </c>
      <c r="H27" s="33" t="n">
        <v>1</v>
      </c>
      <c r="I27" s="34" t="n">
        <f aca="false">E27*H27+N(F27)+N(G27)</f>
        <v>3725</v>
      </c>
      <c r="J27" s="32" t="n">
        <f aca="false">ROUND(IFERROR(ROUND(IF(OR(ISNUMBER(SEARCH("week",C27)),ISNUMBER(SEARCH("minggu",C27))),IFERROR(_xlfn.NUMBERVALUE(SUBSTITUTE(LEFT(TRIM(C27),FIND(" ",TRIM(C27)&amp;" ")-1),",","."),"."),LEFT(SUBSTITUTE(LEFT(TRIM(C27),FIND(" ",TRIM(C27)&amp;" ")-1),",","."),FIND("/",SUBSTITUTE(LEFT(TRIM(C27),FIND(" ",TRIM(C27)&amp;" ")-1),",","."))-1)/MID(SUBSTITUTE(LEFT(TRIM(C27),FIND(" ",TRIM(C27)&amp;" ")-1),",","."),FIND("/",SUBSTITUTE(LEFT(TRIM(C27),FIND(" ",TRIM(C27)&amp;" ")-1),",","."))+1,9))*12/52,IF(ISNUMBER(SEARCH("month",C27)),IFERROR(_xlfn.NUMBERVALUE(SUBSTITUTE(LEFT(TRIM(C27),FIND(" ",TRIM(C27)&amp;" ")-1),",","."),"."),LEFT(SUBSTITUTE(LEFT(TRIM(C27),FIND(" ",TRIM(C27)&amp;" ")-1),",","."),FIND("/",SUBSTITUTE(LEFT(TRIM(C27),FIND(" ",TRIM(C27)&amp;" ")-1),",","."))-1)/MID(SUBSTITUTE(LEFT(TRIM(C27),FIND(" ",TRIM(C27)&amp;" ")-1),",","."),FIND("/",SUBSTITUTE(LEFT(TRIM(C27),FIND(" ",TRIM(C27)&amp;" ")-1),",","."))+1,9)),IF(ISNUMBER(SEARCH("yea",C27)),IFERROR(_xlfn.NUMBERVALUE(SUBSTITUTE(LEFT(TRIM(C27),FIND(" ",TRIM(C27)&amp;" ")-1),",","."),"."),LEFT(SUBSTITUTE(LEFT(TRIM(C27),FIND(" ",TRIM(C27)&amp;" ")-1),",","."),FIND("/",SUBSTITUTE(LEFT(TRIM(C27),FIND(" ",TRIM(C27)&amp;" ")-1),",","."))-1)/MID(SUBSTITUTE(LEFT(TRIM(C27),FIND(" ",TRIM(C27)&amp;" ")-1),",","."),FIND("/",SUBSTITUTE(LEFT(TRIM(C27),FIND(" ",TRIM(C27)&amp;" ")-1),",","."))+1,9))*12,NA()))),0),24)*'Aturan &amp; Tarif'!$B$4,2)</f>
        <v>1362.72</v>
      </c>
      <c r="K27" s="32" t="n">
        <f aca="false">'Aturan &amp; Tarif'!$B$5</f>
        <v>2050</v>
      </c>
      <c r="L27" s="32" t="n">
        <f aca="false">'Aturan &amp; Tarif'!$B$6</f>
        <v>350</v>
      </c>
      <c r="M27" s="35" t="n">
        <f aca="false">I27+J27+K27+L27</f>
        <v>7487.72</v>
      </c>
      <c r="N27" s="37" t="s">
        <v>653</v>
      </c>
    </row>
    <row r="28" customFormat="false" ht="25.5" hidden="false" customHeight="true" outlineLevel="0" collapsed="false">
      <c r="A28" s="29"/>
      <c r="B28" s="30" t="s">
        <v>654</v>
      </c>
      <c r="C28" s="31" t="s">
        <v>107</v>
      </c>
      <c r="D28" s="31" t="s">
        <v>108</v>
      </c>
      <c r="E28" s="32" t="n">
        <v>2875</v>
      </c>
      <c r="F28" s="32" t="n">
        <v>600</v>
      </c>
      <c r="G28" s="32" t="n">
        <v>250</v>
      </c>
      <c r="H28" s="33" t="n">
        <v>1</v>
      </c>
      <c r="I28" s="34" t="n">
        <f aca="false">E28*H28+N(F28)+N(G28)</f>
        <v>3725</v>
      </c>
      <c r="J28" s="32" t="n">
        <f aca="false">ROUND(IFERROR(ROUND(IF(OR(ISNUMBER(SEARCH("week",C28)),ISNUMBER(SEARCH("minggu",C28))),IFERROR(_xlfn.NUMBERVALUE(SUBSTITUTE(LEFT(TRIM(C28),FIND(" ",TRIM(C28)&amp;" ")-1),",","."),"."),LEFT(SUBSTITUTE(LEFT(TRIM(C28),FIND(" ",TRIM(C28)&amp;" ")-1),",","."),FIND("/",SUBSTITUTE(LEFT(TRIM(C28),FIND(" ",TRIM(C28)&amp;" ")-1),",","."))-1)/MID(SUBSTITUTE(LEFT(TRIM(C28),FIND(" ",TRIM(C28)&amp;" ")-1),",","."),FIND("/",SUBSTITUTE(LEFT(TRIM(C28),FIND(" ",TRIM(C28)&amp;" ")-1),",","."))+1,9))*12/52,IF(ISNUMBER(SEARCH("month",C28)),IFERROR(_xlfn.NUMBERVALUE(SUBSTITUTE(LEFT(TRIM(C28),FIND(" ",TRIM(C28)&amp;" ")-1),",","."),"."),LEFT(SUBSTITUTE(LEFT(TRIM(C28),FIND(" ",TRIM(C28)&amp;" ")-1),",","."),FIND("/",SUBSTITUTE(LEFT(TRIM(C28),FIND(" ",TRIM(C28)&amp;" ")-1),",","."))-1)/MID(SUBSTITUTE(LEFT(TRIM(C28),FIND(" ",TRIM(C28)&amp;" ")-1),",","."),FIND("/",SUBSTITUTE(LEFT(TRIM(C28),FIND(" ",TRIM(C28)&amp;" ")-1),",","."))+1,9)),IF(ISNUMBER(SEARCH("yea",C28)),IFERROR(_xlfn.NUMBERVALUE(SUBSTITUTE(LEFT(TRIM(C28),FIND(" ",TRIM(C28)&amp;" ")-1),",","."),"."),LEFT(SUBSTITUTE(LEFT(TRIM(C28),FIND(" ",TRIM(C28)&amp;" ")-1),",","."),FIND("/",SUBSTITUTE(LEFT(TRIM(C28),FIND(" ",TRIM(C28)&amp;" ")-1),",","."))-1)/MID(SUBSTITUTE(LEFT(TRIM(C28),FIND(" ",TRIM(C28)&amp;" ")-1),",","."),FIND("/",SUBSTITUTE(LEFT(TRIM(C28),FIND(" ",TRIM(C28)&amp;" ")-1),",","."))+1,9))*12,NA()))),0),24)*'Aturan &amp; Tarif'!$B$4,2)</f>
        <v>1362.72</v>
      </c>
      <c r="K28" s="32" t="n">
        <f aca="false">'Aturan &amp; Tarif'!$B$5</f>
        <v>2050</v>
      </c>
      <c r="L28" s="32" t="n">
        <f aca="false">'Aturan &amp; Tarif'!$B$6</f>
        <v>350</v>
      </c>
      <c r="M28" s="35" t="n">
        <f aca="false">I28+J28+K28+L28</f>
        <v>7487.72</v>
      </c>
      <c r="N28" s="37" t="s">
        <v>653</v>
      </c>
    </row>
    <row r="29" customFormat="false" ht="25.5" hidden="false" customHeight="true" outlineLevel="0" collapsed="false">
      <c r="A29" s="29"/>
      <c r="B29" s="30" t="s">
        <v>655</v>
      </c>
      <c r="C29" s="31" t="s">
        <v>107</v>
      </c>
      <c r="D29" s="31" t="s">
        <v>108</v>
      </c>
      <c r="E29" s="32" t="n">
        <v>3900</v>
      </c>
      <c r="F29" s="32" t="n">
        <v>1800</v>
      </c>
      <c r="G29" s="32" t="n">
        <v>250</v>
      </c>
      <c r="H29" s="33" t="n">
        <v>1</v>
      </c>
      <c r="I29" s="34" t="n">
        <f aca="false">E29*H29+N(F29)+N(G29)</f>
        <v>5950</v>
      </c>
      <c r="J29" s="32" t="n">
        <f aca="false">ROUND(IFERROR(ROUND(IF(OR(ISNUMBER(SEARCH("week",C29)),ISNUMBER(SEARCH("minggu",C29))),IFERROR(_xlfn.NUMBERVALUE(SUBSTITUTE(LEFT(TRIM(C29),FIND(" ",TRIM(C29)&amp;" ")-1),",","."),"."),LEFT(SUBSTITUTE(LEFT(TRIM(C29),FIND(" ",TRIM(C29)&amp;" ")-1),",","."),FIND("/",SUBSTITUTE(LEFT(TRIM(C29),FIND(" ",TRIM(C29)&amp;" ")-1),",","."))-1)/MID(SUBSTITUTE(LEFT(TRIM(C29),FIND(" ",TRIM(C29)&amp;" ")-1),",","."),FIND("/",SUBSTITUTE(LEFT(TRIM(C29),FIND(" ",TRIM(C29)&amp;" ")-1),",","."))+1,9))*12/52,IF(ISNUMBER(SEARCH("month",C29)),IFERROR(_xlfn.NUMBERVALUE(SUBSTITUTE(LEFT(TRIM(C29),FIND(" ",TRIM(C29)&amp;" ")-1),",","."),"."),LEFT(SUBSTITUTE(LEFT(TRIM(C29),FIND(" ",TRIM(C29)&amp;" ")-1),",","."),FIND("/",SUBSTITUTE(LEFT(TRIM(C29),FIND(" ",TRIM(C29)&amp;" ")-1),",","."))-1)/MID(SUBSTITUTE(LEFT(TRIM(C29),FIND(" ",TRIM(C29)&amp;" ")-1),",","."),FIND("/",SUBSTITUTE(LEFT(TRIM(C29),FIND(" ",TRIM(C29)&amp;" ")-1),",","."))+1,9)),IF(ISNUMBER(SEARCH("yea",C29)),IFERROR(_xlfn.NUMBERVALUE(SUBSTITUTE(LEFT(TRIM(C29),FIND(" ",TRIM(C29)&amp;" ")-1),",","."),"."),LEFT(SUBSTITUTE(LEFT(TRIM(C29),FIND(" ",TRIM(C29)&amp;" ")-1),",","."),FIND("/",SUBSTITUTE(LEFT(TRIM(C29),FIND(" ",TRIM(C29)&amp;" ")-1),",","."))-1)/MID(SUBSTITUTE(LEFT(TRIM(C29),FIND(" ",TRIM(C29)&amp;" ")-1),",","."),FIND("/",SUBSTITUTE(LEFT(TRIM(C29),FIND(" ",TRIM(C29)&amp;" ")-1),",","."))+1,9))*12,NA()))),0),24)*'Aturan &amp; Tarif'!$B$4,2)</f>
        <v>1362.72</v>
      </c>
      <c r="K29" s="32" t="n">
        <f aca="false">'Aturan &amp; Tarif'!$B$5</f>
        <v>2050</v>
      </c>
      <c r="L29" s="32" t="n">
        <f aca="false">'Aturan &amp; Tarif'!$B$6</f>
        <v>350</v>
      </c>
      <c r="M29" s="35" t="n">
        <f aca="false">I29+J29+K29+L29</f>
        <v>9712.72</v>
      </c>
      <c r="N29" s="37" t="s">
        <v>134</v>
      </c>
    </row>
    <row r="30" customFormat="false" ht="37.5" hidden="false" customHeight="true" outlineLevel="0" collapsed="false">
      <c r="A30" s="29"/>
      <c r="B30" s="30" t="s">
        <v>656</v>
      </c>
      <c r="C30" s="31" t="s">
        <v>138</v>
      </c>
      <c r="D30" s="31" t="s">
        <v>108</v>
      </c>
      <c r="E30" s="32" t="n">
        <v>3900</v>
      </c>
      <c r="F30" s="32" t="n">
        <v>2400</v>
      </c>
      <c r="G30" s="32" t="n">
        <v>250</v>
      </c>
      <c r="H30" s="33" t="n">
        <v>1</v>
      </c>
      <c r="I30" s="34" t="n">
        <f aca="false">E30*H30+N(F30)+N(G30)</f>
        <v>6550</v>
      </c>
      <c r="J30" s="32" t="n">
        <f aca="false">ROUND(IFERROR(ROUND(IF(OR(ISNUMBER(SEARCH("week",C30)),ISNUMBER(SEARCH("minggu",C30))),IFERROR(_xlfn.NUMBERVALUE(SUBSTITUTE(LEFT(TRIM(C30),FIND(" ",TRIM(C30)&amp;" ")-1),",","."),"."),LEFT(SUBSTITUTE(LEFT(TRIM(C30),FIND(" ",TRIM(C30)&amp;" ")-1),",","."),FIND("/",SUBSTITUTE(LEFT(TRIM(C30),FIND(" ",TRIM(C30)&amp;" ")-1),",","."))-1)/MID(SUBSTITUTE(LEFT(TRIM(C30),FIND(" ",TRIM(C30)&amp;" ")-1),",","."),FIND("/",SUBSTITUTE(LEFT(TRIM(C30),FIND(" ",TRIM(C30)&amp;" ")-1),",","."))+1,9))*12/52,IF(ISNUMBER(SEARCH("month",C30)),IFERROR(_xlfn.NUMBERVALUE(SUBSTITUTE(LEFT(TRIM(C30),FIND(" ",TRIM(C30)&amp;" ")-1),",","."),"."),LEFT(SUBSTITUTE(LEFT(TRIM(C30),FIND(" ",TRIM(C30)&amp;" ")-1),",","."),FIND("/",SUBSTITUTE(LEFT(TRIM(C30),FIND(" ",TRIM(C30)&amp;" ")-1),",","."))-1)/MID(SUBSTITUTE(LEFT(TRIM(C30),FIND(" ",TRIM(C30)&amp;" ")-1),",","."),FIND("/",SUBSTITUTE(LEFT(TRIM(C30),FIND(" ",TRIM(C30)&amp;" ")-1),",","."))+1,9)),IF(ISNUMBER(SEARCH("yea",C30)),IFERROR(_xlfn.NUMBERVALUE(SUBSTITUTE(LEFT(TRIM(C30),FIND(" ",TRIM(C30)&amp;" ")-1),",","."),"."),LEFT(SUBSTITUTE(LEFT(TRIM(C30),FIND(" ",TRIM(C30)&amp;" ")-1),",","."),FIND("/",SUBSTITUTE(LEFT(TRIM(C30),FIND(" ",TRIM(C30)&amp;" ")-1),",","."))-1)/MID(SUBSTITUTE(LEFT(TRIM(C30),FIND(" ",TRIM(C30)&amp;" ")-1),",","."),FIND("/",SUBSTITUTE(LEFT(TRIM(C30),FIND(" ",TRIM(C30)&amp;" ")-1),",","."))+1,9))*12,NA()))),0),30)*'Aturan &amp; Tarif'!$B$4,2)</f>
        <v>1703.4</v>
      </c>
      <c r="K30" s="32" t="n">
        <f aca="false">'Aturan &amp; Tarif'!$B$5</f>
        <v>2050</v>
      </c>
      <c r="L30" s="32" t="n">
        <f aca="false">'Aturan &amp; Tarif'!$B$6</f>
        <v>350</v>
      </c>
      <c r="M30" s="35" t="n">
        <f aca="false">I30+J30+K30+L30</f>
        <v>10653.4</v>
      </c>
      <c r="N30" s="37" t="s">
        <v>134</v>
      </c>
    </row>
    <row r="31" customFormat="false" ht="25.5" hidden="false" customHeight="true" outlineLevel="0" collapsed="false">
      <c r="A31" s="29"/>
      <c r="B31" s="30" t="s">
        <v>657</v>
      </c>
      <c r="C31" s="31" t="s">
        <v>107</v>
      </c>
      <c r="D31" s="31" t="s">
        <v>108</v>
      </c>
      <c r="E31" s="32" t="n">
        <v>3900</v>
      </c>
      <c r="F31" s="32" t="n">
        <v>1800</v>
      </c>
      <c r="G31" s="32" t="n">
        <v>250</v>
      </c>
      <c r="H31" s="33" t="n">
        <v>1</v>
      </c>
      <c r="I31" s="34" t="n">
        <f aca="false">E31*H31+N(F31)+N(G31)</f>
        <v>5950</v>
      </c>
      <c r="J31" s="32" t="n">
        <f aca="false">ROUND(IFERROR(ROUND(IF(OR(ISNUMBER(SEARCH("week",C31)),ISNUMBER(SEARCH("minggu",C31))),IFERROR(_xlfn.NUMBERVALUE(SUBSTITUTE(LEFT(TRIM(C31),FIND(" ",TRIM(C31)&amp;" ")-1),",","."),"."),LEFT(SUBSTITUTE(LEFT(TRIM(C31),FIND(" ",TRIM(C31)&amp;" ")-1),",","."),FIND("/",SUBSTITUTE(LEFT(TRIM(C31),FIND(" ",TRIM(C31)&amp;" ")-1),",","."))-1)/MID(SUBSTITUTE(LEFT(TRIM(C31),FIND(" ",TRIM(C31)&amp;" ")-1),",","."),FIND("/",SUBSTITUTE(LEFT(TRIM(C31),FIND(" ",TRIM(C31)&amp;" ")-1),",","."))+1,9))*12/52,IF(ISNUMBER(SEARCH("month",C31)),IFERROR(_xlfn.NUMBERVALUE(SUBSTITUTE(LEFT(TRIM(C31),FIND(" ",TRIM(C31)&amp;" ")-1),",","."),"."),LEFT(SUBSTITUTE(LEFT(TRIM(C31),FIND(" ",TRIM(C31)&amp;" ")-1),",","."),FIND("/",SUBSTITUTE(LEFT(TRIM(C31),FIND(" ",TRIM(C31)&amp;" ")-1),",","."))-1)/MID(SUBSTITUTE(LEFT(TRIM(C31),FIND(" ",TRIM(C31)&amp;" ")-1),",","."),FIND("/",SUBSTITUTE(LEFT(TRIM(C31),FIND(" ",TRIM(C31)&amp;" ")-1),",","."))+1,9)),IF(ISNUMBER(SEARCH("yea",C31)),IFERROR(_xlfn.NUMBERVALUE(SUBSTITUTE(LEFT(TRIM(C31),FIND(" ",TRIM(C31)&amp;" ")-1),",","."),"."),LEFT(SUBSTITUTE(LEFT(TRIM(C31),FIND(" ",TRIM(C31)&amp;" ")-1),",","."),FIND("/",SUBSTITUTE(LEFT(TRIM(C31),FIND(" ",TRIM(C31)&amp;" ")-1),",","."))-1)/MID(SUBSTITUTE(LEFT(TRIM(C31),FIND(" ",TRIM(C31)&amp;" ")-1),",","."),FIND("/",SUBSTITUTE(LEFT(TRIM(C31),FIND(" ",TRIM(C31)&amp;" ")-1),",","."))+1,9))*12,NA()))),0),24)*'Aturan &amp; Tarif'!$B$4,2)</f>
        <v>1362.72</v>
      </c>
      <c r="K31" s="32" t="n">
        <f aca="false">'Aturan &amp; Tarif'!$B$5</f>
        <v>2050</v>
      </c>
      <c r="L31" s="32" t="n">
        <f aca="false">'Aturan &amp; Tarif'!$B$6</f>
        <v>350</v>
      </c>
      <c r="M31" s="35" t="n">
        <f aca="false">I31+J31+K31+L31</f>
        <v>9712.72</v>
      </c>
      <c r="N31" s="37" t="s">
        <v>134</v>
      </c>
    </row>
    <row r="32" customFormat="false" ht="25.5" hidden="false" customHeight="true" outlineLevel="0" collapsed="false">
      <c r="A32" s="29"/>
      <c r="B32" s="30" t="s">
        <v>658</v>
      </c>
      <c r="C32" s="31" t="s">
        <v>138</v>
      </c>
      <c r="D32" s="31" t="s">
        <v>108</v>
      </c>
      <c r="E32" s="32" t="n">
        <v>3750</v>
      </c>
      <c r="F32" s="32" t="n">
        <v>2500</v>
      </c>
      <c r="G32" s="32" t="n">
        <v>250</v>
      </c>
      <c r="H32" s="33" t="n">
        <v>1</v>
      </c>
      <c r="I32" s="34" t="n">
        <f aca="false">E32*H32+N(F32)+N(G32)</f>
        <v>6500</v>
      </c>
      <c r="J32" s="32" t="n">
        <f aca="false">ROUND(IFERROR(ROUND(IF(OR(ISNUMBER(SEARCH("week",C32)),ISNUMBER(SEARCH("minggu",C32))),IFERROR(_xlfn.NUMBERVALUE(SUBSTITUTE(LEFT(TRIM(C32),FIND(" ",TRIM(C32)&amp;" ")-1),",","."),"."),LEFT(SUBSTITUTE(LEFT(TRIM(C32),FIND(" ",TRIM(C32)&amp;" ")-1),",","."),FIND("/",SUBSTITUTE(LEFT(TRIM(C32),FIND(" ",TRIM(C32)&amp;" ")-1),",","."))-1)/MID(SUBSTITUTE(LEFT(TRIM(C32),FIND(" ",TRIM(C32)&amp;" ")-1),",","."),FIND("/",SUBSTITUTE(LEFT(TRIM(C32),FIND(" ",TRIM(C32)&amp;" ")-1),",","."))+1,9))*12/52,IF(ISNUMBER(SEARCH("month",C32)),IFERROR(_xlfn.NUMBERVALUE(SUBSTITUTE(LEFT(TRIM(C32),FIND(" ",TRIM(C32)&amp;" ")-1),",","."),"."),LEFT(SUBSTITUTE(LEFT(TRIM(C32),FIND(" ",TRIM(C32)&amp;" ")-1),",","."),FIND("/",SUBSTITUTE(LEFT(TRIM(C32),FIND(" ",TRIM(C32)&amp;" ")-1),",","."))-1)/MID(SUBSTITUTE(LEFT(TRIM(C32),FIND(" ",TRIM(C32)&amp;" ")-1),",","."),FIND("/",SUBSTITUTE(LEFT(TRIM(C32),FIND(" ",TRIM(C32)&amp;" ")-1),",","."))+1,9)),IF(ISNUMBER(SEARCH("yea",C32)),IFERROR(_xlfn.NUMBERVALUE(SUBSTITUTE(LEFT(TRIM(C32),FIND(" ",TRIM(C32)&amp;" ")-1),",","."),"."),LEFT(SUBSTITUTE(LEFT(TRIM(C32),FIND(" ",TRIM(C32)&amp;" ")-1),",","."),FIND("/",SUBSTITUTE(LEFT(TRIM(C32),FIND(" ",TRIM(C32)&amp;" ")-1),",","."))-1)/MID(SUBSTITUTE(LEFT(TRIM(C32),FIND(" ",TRIM(C32)&amp;" ")-1),",","."),FIND("/",SUBSTITUTE(LEFT(TRIM(C32),FIND(" ",TRIM(C32)&amp;" ")-1),",","."))+1,9))*12,NA()))),0),30)*'Aturan &amp; Tarif'!$B$4,2)</f>
        <v>1703.4</v>
      </c>
      <c r="K32" s="32" t="n">
        <f aca="false">'Aturan &amp; Tarif'!$B$5</f>
        <v>2050</v>
      </c>
      <c r="L32" s="32" t="n">
        <f aca="false">'Aturan &amp; Tarif'!$B$6</f>
        <v>350</v>
      </c>
      <c r="M32" s="35" t="n">
        <f aca="false">I32+J32+K32+L32</f>
        <v>10603.4</v>
      </c>
      <c r="N32" s="37" t="s">
        <v>134</v>
      </c>
    </row>
    <row r="33" customFormat="false" ht="37.5" hidden="false" customHeight="true" outlineLevel="0" collapsed="false">
      <c r="A33" s="39" t="s">
        <v>659</v>
      </c>
      <c r="B33" s="40" t="s">
        <v>660</v>
      </c>
      <c r="C33" s="41" t="s">
        <v>661</v>
      </c>
      <c r="D33" s="41" t="s">
        <v>108</v>
      </c>
      <c r="E33" s="42" t="n">
        <v>3100</v>
      </c>
      <c r="F33" s="42"/>
      <c r="G33" s="42"/>
      <c r="H33" s="43" t="n">
        <v>1</v>
      </c>
      <c r="I33" s="34" t="n">
        <f aca="false">E33*H33+N(F33)+N(G33)</f>
        <v>3100</v>
      </c>
      <c r="J33" s="42" t="n">
        <f aca="false">ROUND(IFERROR(ROUND(IF(OR(ISNUMBER(SEARCH("week",C33)),ISNUMBER(SEARCH("minggu",C33))),IFERROR(_xlfn.NUMBERVALUE(SUBSTITUTE(LEFT(TRIM(C33),FIND(" ",TRIM(C33)&amp;" ")-1),",","."),"."),LEFT(SUBSTITUTE(LEFT(TRIM(C33),FIND(" ",TRIM(C33)&amp;" ")-1),",","."),FIND("/",SUBSTITUTE(LEFT(TRIM(C33),FIND(" ",TRIM(C33)&amp;" ")-1),",","."))-1)/MID(SUBSTITUTE(LEFT(TRIM(C33),FIND(" ",TRIM(C33)&amp;" ")-1),",","."),FIND("/",SUBSTITUTE(LEFT(TRIM(C33),FIND(" ",TRIM(C33)&amp;" ")-1),",","."))+1,9))*12/52,IF(ISNUMBER(SEARCH("month",C33)),IFERROR(_xlfn.NUMBERVALUE(SUBSTITUTE(LEFT(TRIM(C33),FIND(" ",TRIM(C33)&amp;" ")-1),",","."),"."),LEFT(SUBSTITUTE(LEFT(TRIM(C33),FIND(" ",TRIM(C33)&amp;" ")-1),",","."),FIND("/",SUBSTITUTE(LEFT(TRIM(C33),FIND(" ",TRIM(C33)&amp;" ")-1),",","."))-1)/MID(SUBSTITUTE(LEFT(TRIM(C33),FIND(" ",TRIM(C33)&amp;" ")-1),",","."),FIND("/",SUBSTITUTE(LEFT(TRIM(C33),FIND(" ",TRIM(C33)&amp;" ")-1),",","."))+1,9)),IF(ISNUMBER(SEARCH("yea",C33)),IFERROR(_xlfn.NUMBERVALUE(SUBSTITUTE(LEFT(TRIM(C33),FIND(" ",TRIM(C33)&amp;" ")-1),",","."),"."),LEFT(SUBSTITUTE(LEFT(TRIM(C33),FIND(" ",TRIM(C33)&amp;" ")-1),",","."),FIND("/",SUBSTITUTE(LEFT(TRIM(C33),FIND(" ",TRIM(C33)&amp;" ")-1),",","."))-1)/MID(SUBSTITUTE(LEFT(TRIM(C33),FIND(" ",TRIM(C33)&amp;" ")-1),",","."),FIND("/",SUBSTITUTE(LEFT(TRIM(C33),FIND(" ",TRIM(C33)&amp;" ")-1),",","."))+1,9))*12,NA()))),0),21)*'Aturan &amp; Tarif'!$B$4,2)</f>
        <v>1192.38</v>
      </c>
      <c r="K33" s="42" t="n">
        <f aca="false">'Aturan &amp; Tarif'!$B$5</f>
        <v>2050</v>
      </c>
      <c r="L33" s="42" t="n">
        <f aca="false">'Aturan &amp; Tarif'!$B$6</f>
        <v>350</v>
      </c>
      <c r="M33" s="35" t="n">
        <f aca="false">I33+J33+K33+L33</f>
        <v>6692.38</v>
      </c>
      <c r="N33" s="44" t="s">
        <v>662</v>
      </c>
    </row>
    <row r="34" customFormat="false" ht="37.5" hidden="false" customHeight="true" outlineLevel="0" collapsed="false">
      <c r="A34" s="39"/>
      <c r="B34" s="40" t="s">
        <v>663</v>
      </c>
      <c r="C34" s="41" t="s">
        <v>661</v>
      </c>
      <c r="D34" s="41" t="s">
        <v>108</v>
      </c>
      <c r="E34" s="42" t="n">
        <v>2800</v>
      </c>
      <c r="F34" s="42"/>
      <c r="G34" s="42"/>
      <c r="H34" s="43" t="n">
        <v>1</v>
      </c>
      <c r="I34" s="34" t="n">
        <f aca="false">E34*H34+N(F34)+N(G34)</f>
        <v>2800</v>
      </c>
      <c r="J34" s="42" t="n">
        <f aca="false">ROUND(IFERROR(ROUND(IF(OR(ISNUMBER(SEARCH("week",C34)),ISNUMBER(SEARCH("minggu",C34))),IFERROR(_xlfn.NUMBERVALUE(SUBSTITUTE(LEFT(TRIM(C34),FIND(" ",TRIM(C34)&amp;" ")-1),",","."),"."),LEFT(SUBSTITUTE(LEFT(TRIM(C34),FIND(" ",TRIM(C34)&amp;" ")-1),",","."),FIND("/",SUBSTITUTE(LEFT(TRIM(C34),FIND(" ",TRIM(C34)&amp;" ")-1),",","."))-1)/MID(SUBSTITUTE(LEFT(TRIM(C34),FIND(" ",TRIM(C34)&amp;" ")-1),",","."),FIND("/",SUBSTITUTE(LEFT(TRIM(C34),FIND(" ",TRIM(C34)&amp;" ")-1),",","."))+1,9))*12/52,IF(ISNUMBER(SEARCH("month",C34)),IFERROR(_xlfn.NUMBERVALUE(SUBSTITUTE(LEFT(TRIM(C34),FIND(" ",TRIM(C34)&amp;" ")-1),",","."),"."),LEFT(SUBSTITUTE(LEFT(TRIM(C34),FIND(" ",TRIM(C34)&amp;" ")-1),",","."),FIND("/",SUBSTITUTE(LEFT(TRIM(C34),FIND(" ",TRIM(C34)&amp;" ")-1),",","."))-1)/MID(SUBSTITUTE(LEFT(TRIM(C34),FIND(" ",TRIM(C34)&amp;" ")-1),",","."),FIND("/",SUBSTITUTE(LEFT(TRIM(C34),FIND(" ",TRIM(C34)&amp;" ")-1),",","."))+1,9)),IF(ISNUMBER(SEARCH("yea",C34)),IFERROR(_xlfn.NUMBERVALUE(SUBSTITUTE(LEFT(TRIM(C34),FIND(" ",TRIM(C34)&amp;" ")-1),",","."),"."),LEFT(SUBSTITUTE(LEFT(TRIM(C34),FIND(" ",TRIM(C34)&amp;" ")-1),",","."),FIND("/",SUBSTITUTE(LEFT(TRIM(C34),FIND(" ",TRIM(C34)&amp;" ")-1),",","."))-1)/MID(SUBSTITUTE(LEFT(TRIM(C34),FIND(" ",TRIM(C34)&amp;" ")-1),",","."),FIND("/",SUBSTITUTE(LEFT(TRIM(C34),FIND(" ",TRIM(C34)&amp;" ")-1),",","."))+1,9))*12,NA()))),0),21)*'Aturan &amp; Tarif'!$B$4,2)</f>
        <v>1192.38</v>
      </c>
      <c r="K34" s="42" t="n">
        <f aca="false">'Aturan &amp; Tarif'!$B$5</f>
        <v>2050</v>
      </c>
      <c r="L34" s="42" t="n">
        <f aca="false">'Aturan &amp; Tarif'!$B$6</f>
        <v>350</v>
      </c>
      <c r="M34" s="35" t="n">
        <f aca="false">I34+J34+K34+L34</f>
        <v>6392.38</v>
      </c>
      <c r="N34" s="44" t="s">
        <v>662</v>
      </c>
    </row>
    <row r="35" customFormat="false" ht="37.5" hidden="false" customHeight="true" outlineLevel="0" collapsed="false">
      <c r="A35" s="29" t="s">
        <v>664</v>
      </c>
      <c r="B35" s="30" t="s">
        <v>665</v>
      </c>
      <c r="C35" s="31" t="s">
        <v>107</v>
      </c>
      <c r="D35" s="31" t="s">
        <v>108</v>
      </c>
      <c r="E35" s="32" t="n">
        <v>2500</v>
      </c>
      <c r="F35" s="32" t="n">
        <v>750</v>
      </c>
      <c r="G35" s="32" t="n">
        <v>250</v>
      </c>
      <c r="H35" s="33" t="n">
        <v>1</v>
      </c>
      <c r="I35" s="34" t="n">
        <f aca="false">E35*H35+N(F35)+N(G35)</f>
        <v>3500</v>
      </c>
      <c r="J35" s="32" t="n">
        <f aca="false">ROUND(IFERROR(ROUND(IF(OR(ISNUMBER(SEARCH("week",C35)),ISNUMBER(SEARCH("minggu",C35))),IFERROR(_xlfn.NUMBERVALUE(SUBSTITUTE(LEFT(TRIM(C35),FIND(" ",TRIM(C35)&amp;" ")-1),",","."),"."),LEFT(SUBSTITUTE(LEFT(TRIM(C35),FIND(" ",TRIM(C35)&amp;" ")-1),",","."),FIND("/",SUBSTITUTE(LEFT(TRIM(C35),FIND(" ",TRIM(C35)&amp;" ")-1),",","."))-1)/MID(SUBSTITUTE(LEFT(TRIM(C35),FIND(" ",TRIM(C35)&amp;" ")-1),",","."),FIND("/",SUBSTITUTE(LEFT(TRIM(C35),FIND(" ",TRIM(C35)&amp;" ")-1),",","."))+1,9))*12/52,IF(ISNUMBER(SEARCH("month",C35)),IFERROR(_xlfn.NUMBERVALUE(SUBSTITUTE(LEFT(TRIM(C35),FIND(" ",TRIM(C35)&amp;" ")-1),",","."),"."),LEFT(SUBSTITUTE(LEFT(TRIM(C35),FIND(" ",TRIM(C35)&amp;" ")-1),",","."),FIND("/",SUBSTITUTE(LEFT(TRIM(C35),FIND(" ",TRIM(C35)&amp;" ")-1),",","."))-1)/MID(SUBSTITUTE(LEFT(TRIM(C35),FIND(" ",TRIM(C35)&amp;" ")-1),",","."),FIND("/",SUBSTITUTE(LEFT(TRIM(C35),FIND(" ",TRIM(C35)&amp;" ")-1),",","."))+1,9)),IF(ISNUMBER(SEARCH("yea",C35)),IFERROR(_xlfn.NUMBERVALUE(SUBSTITUTE(LEFT(TRIM(C35),FIND(" ",TRIM(C35)&amp;" ")-1),",","."),"."),LEFT(SUBSTITUTE(LEFT(TRIM(C35),FIND(" ",TRIM(C35)&amp;" ")-1),",","."),FIND("/",SUBSTITUTE(LEFT(TRIM(C35),FIND(" ",TRIM(C35)&amp;" ")-1),",","."))-1)/MID(SUBSTITUTE(LEFT(TRIM(C35),FIND(" ",TRIM(C35)&amp;" ")-1),",","."),FIND("/",SUBSTITUTE(LEFT(TRIM(C35),FIND(" ",TRIM(C35)&amp;" ")-1),",","."))+1,9))*12,NA()))),0),24)*'Aturan &amp; Tarif'!$B$4,2)</f>
        <v>1362.72</v>
      </c>
      <c r="K35" s="32" t="n">
        <f aca="false">'Aturan &amp; Tarif'!$B$5</f>
        <v>2050</v>
      </c>
      <c r="L35" s="32" t="n">
        <f aca="false">'Aturan &amp; Tarif'!$B$6</f>
        <v>350</v>
      </c>
      <c r="M35" s="35" t="n">
        <f aca="false">I35+J35+K35+L35</f>
        <v>7262.72</v>
      </c>
      <c r="N35" s="37" t="s">
        <v>134</v>
      </c>
    </row>
    <row r="36" customFormat="false" ht="14.25" hidden="false" customHeight="true" outlineLevel="0" collapsed="false">
      <c r="A36" s="29"/>
      <c r="B36" s="30" t="s">
        <v>666</v>
      </c>
      <c r="C36" s="31" t="s">
        <v>107</v>
      </c>
      <c r="D36" s="31" t="s">
        <v>108</v>
      </c>
      <c r="E36" s="32" t="n">
        <v>2500</v>
      </c>
      <c r="F36" s="32" t="n">
        <v>750</v>
      </c>
      <c r="G36" s="32" t="n">
        <v>250</v>
      </c>
      <c r="H36" s="33" t="n">
        <v>1</v>
      </c>
      <c r="I36" s="34" t="n">
        <f aca="false">E36*H36+N(F36)+N(G36)</f>
        <v>3500</v>
      </c>
      <c r="J36" s="32" t="n">
        <f aca="false">ROUND(IFERROR(ROUND(IF(OR(ISNUMBER(SEARCH("week",C36)),ISNUMBER(SEARCH("minggu",C36))),IFERROR(_xlfn.NUMBERVALUE(SUBSTITUTE(LEFT(TRIM(C36),FIND(" ",TRIM(C36)&amp;" ")-1),",","."),"."),LEFT(SUBSTITUTE(LEFT(TRIM(C36),FIND(" ",TRIM(C36)&amp;" ")-1),",","."),FIND("/",SUBSTITUTE(LEFT(TRIM(C36),FIND(" ",TRIM(C36)&amp;" ")-1),",","."))-1)/MID(SUBSTITUTE(LEFT(TRIM(C36),FIND(" ",TRIM(C36)&amp;" ")-1),",","."),FIND("/",SUBSTITUTE(LEFT(TRIM(C36),FIND(" ",TRIM(C36)&amp;" ")-1),",","."))+1,9))*12/52,IF(ISNUMBER(SEARCH("month",C36)),IFERROR(_xlfn.NUMBERVALUE(SUBSTITUTE(LEFT(TRIM(C36),FIND(" ",TRIM(C36)&amp;" ")-1),",","."),"."),LEFT(SUBSTITUTE(LEFT(TRIM(C36),FIND(" ",TRIM(C36)&amp;" ")-1),",","."),FIND("/",SUBSTITUTE(LEFT(TRIM(C36),FIND(" ",TRIM(C36)&amp;" ")-1),",","."))-1)/MID(SUBSTITUTE(LEFT(TRIM(C36),FIND(" ",TRIM(C36)&amp;" ")-1),",","."),FIND("/",SUBSTITUTE(LEFT(TRIM(C36),FIND(" ",TRIM(C36)&amp;" ")-1),",","."))+1,9)),IF(ISNUMBER(SEARCH("yea",C36)),IFERROR(_xlfn.NUMBERVALUE(SUBSTITUTE(LEFT(TRIM(C36),FIND(" ",TRIM(C36)&amp;" ")-1),",","."),"."),LEFT(SUBSTITUTE(LEFT(TRIM(C36),FIND(" ",TRIM(C36)&amp;" ")-1),",","."),FIND("/",SUBSTITUTE(LEFT(TRIM(C36),FIND(" ",TRIM(C36)&amp;" ")-1),",","."))-1)/MID(SUBSTITUTE(LEFT(TRIM(C36),FIND(" ",TRIM(C36)&amp;" ")-1),",","."),FIND("/",SUBSTITUTE(LEFT(TRIM(C36),FIND(" ",TRIM(C36)&amp;" ")-1),",","."))+1,9))*12,NA()))),0),24)*'Aturan &amp; Tarif'!$B$4,2)</f>
        <v>1362.72</v>
      </c>
      <c r="K36" s="32" t="n">
        <f aca="false">'Aturan &amp; Tarif'!$B$5</f>
        <v>2050</v>
      </c>
      <c r="L36" s="32" t="n">
        <f aca="false">'Aturan &amp; Tarif'!$B$6</f>
        <v>350</v>
      </c>
      <c r="M36" s="35" t="n">
        <f aca="false">I36+J36+K36+L36</f>
        <v>7262.72</v>
      </c>
      <c r="N36" s="37" t="s">
        <v>134</v>
      </c>
    </row>
    <row r="37" customFormat="false" ht="37.5" hidden="false" customHeight="true" outlineLevel="0" collapsed="false">
      <c r="A37" s="29"/>
      <c r="B37" s="30" t="s">
        <v>470</v>
      </c>
      <c r="C37" s="31" t="s">
        <v>107</v>
      </c>
      <c r="D37" s="31" t="s">
        <v>108</v>
      </c>
      <c r="E37" s="32" t="n">
        <v>2625</v>
      </c>
      <c r="F37" s="32" t="n">
        <v>1000</v>
      </c>
      <c r="G37" s="32" t="n">
        <v>350</v>
      </c>
      <c r="H37" s="33" t="n">
        <v>1</v>
      </c>
      <c r="I37" s="34" t="n">
        <f aca="false">E37*H37+N(F37)+N(G37)</f>
        <v>3975</v>
      </c>
      <c r="J37" s="32" t="n">
        <f aca="false">ROUND(IFERROR(ROUND(IF(OR(ISNUMBER(SEARCH("week",C37)),ISNUMBER(SEARCH("minggu",C37))),IFERROR(_xlfn.NUMBERVALUE(SUBSTITUTE(LEFT(TRIM(C37),FIND(" ",TRIM(C37)&amp;" ")-1),",","."),"."),LEFT(SUBSTITUTE(LEFT(TRIM(C37),FIND(" ",TRIM(C37)&amp;" ")-1),",","."),FIND("/",SUBSTITUTE(LEFT(TRIM(C37),FIND(" ",TRIM(C37)&amp;" ")-1),",","."))-1)/MID(SUBSTITUTE(LEFT(TRIM(C37),FIND(" ",TRIM(C37)&amp;" ")-1),",","."),FIND("/",SUBSTITUTE(LEFT(TRIM(C37),FIND(" ",TRIM(C37)&amp;" ")-1),",","."))+1,9))*12/52,IF(ISNUMBER(SEARCH("month",C37)),IFERROR(_xlfn.NUMBERVALUE(SUBSTITUTE(LEFT(TRIM(C37),FIND(" ",TRIM(C37)&amp;" ")-1),",","."),"."),LEFT(SUBSTITUTE(LEFT(TRIM(C37),FIND(" ",TRIM(C37)&amp;" ")-1),",","."),FIND("/",SUBSTITUTE(LEFT(TRIM(C37),FIND(" ",TRIM(C37)&amp;" ")-1),",","."))-1)/MID(SUBSTITUTE(LEFT(TRIM(C37),FIND(" ",TRIM(C37)&amp;" ")-1),",","."),FIND("/",SUBSTITUTE(LEFT(TRIM(C37),FIND(" ",TRIM(C37)&amp;" ")-1),",","."))+1,9)),IF(ISNUMBER(SEARCH("yea",C37)),IFERROR(_xlfn.NUMBERVALUE(SUBSTITUTE(LEFT(TRIM(C37),FIND(" ",TRIM(C37)&amp;" ")-1),",","."),"."),LEFT(SUBSTITUTE(LEFT(TRIM(C37),FIND(" ",TRIM(C37)&amp;" ")-1),",","."),FIND("/",SUBSTITUTE(LEFT(TRIM(C37),FIND(" ",TRIM(C37)&amp;" ")-1),",","."))-1)/MID(SUBSTITUTE(LEFT(TRIM(C37),FIND(" ",TRIM(C37)&amp;" ")-1),",","."),FIND("/",SUBSTITUTE(LEFT(TRIM(C37),FIND(" ",TRIM(C37)&amp;" ")-1),",","."))+1,9))*12,NA()))),0),24)*'Aturan &amp; Tarif'!$B$4,2)</f>
        <v>1362.72</v>
      </c>
      <c r="K37" s="32" t="n">
        <f aca="false">'Aturan &amp; Tarif'!$B$5</f>
        <v>2050</v>
      </c>
      <c r="L37" s="32" t="n">
        <f aca="false">'Aturan &amp; Tarif'!$B$6</f>
        <v>350</v>
      </c>
      <c r="M37" s="35" t="n">
        <f aca="false">I37+J37+K37+L37</f>
        <v>7737.72</v>
      </c>
      <c r="N37" s="37" t="s">
        <v>134</v>
      </c>
    </row>
    <row r="38" customFormat="false" ht="37.5" hidden="false" customHeight="true" outlineLevel="0" collapsed="false">
      <c r="A38" s="29"/>
      <c r="B38" s="30" t="s">
        <v>667</v>
      </c>
      <c r="C38" s="31" t="s">
        <v>138</v>
      </c>
      <c r="D38" s="31" t="s">
        <v>108</v>
      </c>
      <c r="E38" s="32" t="n">
        <v>2700</v>
      </c>
      <c r="F38" s="32" t="n">
        <v>1000</v>
      </c>
      <c r="G38" s="32" t="n">
        <v>350</v>
      </c>
      <c r="H38" s="33" t="n">
        <v>1</v>
      </c>
      <c r="I38" s="34" t="n">
        <f aca="false">E38*H38+N(F38)+N(G38)</f>
        <v>4050</v>
      </c>
      <c r="J38" s="32" t="n">
        <f aca="false">ROUND(IFERROR(ROUND(IF(OR(ISNUMBER(SEARCH("week",C38)),ISNUMBER(SEARCH("minggu",C38))),IFERROR(_xlfn.NUMBERVALUE(SUBSTITUTE(LEFT(TRIM(C38),FIND(" ",TRIM(C38)&amp;" ")-1),",","."),"."),LEFT(SUBSTITUTE(LEFT(TRIM(C38),FIND(" ",TRIM(C38)&amp;" ")-1),",","."),FIND("/",SUBSTITUTE(LEFT(TRIM(C38),FIND(" ",TRIM(C38)&amp;" ")-1),",","."))-1)/MID(SUBSTITUTE(LEFT(TRIM(C38),FIND(" ",TRIM(C38)&amp;" ")-1),",","."),FIND("/",SUBSTITUTE(LEFT(TRIM(C38),FIND(" ",TRIM(C38)&amp;" ")-1),",","."))+1,9))*12/52,IF(ISNUMBER(SEARCH("month",C38)),IFERROR(_xlfn.NUMBERVALUE(SUBSTITUTE(LEFT(TRIM(C38),FIND(" ",TRIM(C38)&amp;" ")-1),",","."),"."),LEFT(SUBSTITUTE(LEFT(TRIM(C38),FIND(" ",TRIM(C38)&amp;" ")-1),",","."),FIND("/",SUBSTITUTE(LEFT(TRIM(C38),FIND(" ",TRIM(C38)&amp;" ")-1),",","."))-1)/MID(SUBSTITUTE(LEFT(TRIM(C38),FIND(" ",TRIM(C38)&amp;" ")-1),",","."),FIND("/",SUBSTITUTE(LEFT(TRIM(C38),FIND(" ",TRIM(C38)&amp;" ")-1),",","."))+1,9)),IF(ISNUMBER(SEARCH("yea",C38)),IFERROR(_xlfn.NUMBERVALUE(SUBSTITUTE(LEFT(TRIM(C38),FIND(" ",TRIM(C38)&amp;" ")-1),",","."),"."),LEFT(SUBSTITUTE(LEFT(TRIM(C38),FIND(" ",TRIM(C38)&amp;" ")-1),",","."),FIND("/",SUBSTITUTE(LEFT(TRIM(C38),FIND(" ",TRIM(C38)&amp;" ")-1),",","."))-1)/MID(SUBSTITUTE(LEFT(TRIM(C38),FIND(" ",TRIM(C38)&amp;" ")-1),",","."),FIND("/",SUBSTITUTE(LEFT(TRIM(C38),FIND(" ",TRIM(C38)&amp;" ")-1),",","."))+1,9))*12,NA()))),0),30)*'Aturan &amp; Tarif'!$B$4,2)</f>
        <v>1703.4</v>
      </c>
      <c r="K38" s="32" t="n">
        <f aca="false">'Aturan &amp; Tarif'!$B$5</f>
        <v>2050</v>
      </c>
      <c r="L38" s="32" t="n">
        <f aca="false">'Aturan &amp; Tarif'!$B$6</f>
        <v>350</v>
      </c>
      <c r="M38" s="35" t="n">
        <f aca="false">I38+J38+K38+L38</f>
        <v>8153.4</v>
      </c>
      <c r="N38" s="37" t="s">
        <v>134</v>
      </c>
    </row>
    <row r="39" customFormat="false" ht="14.25" hidden="false" customHeight="true" outlineLevel="0" collapsed="false">
      <c r="A39" s="29"/>
      <c r="B39" s="30" t="s">
        <v>668</v>
      </c>
      <c r="C39" s="31" t="s">
        <v>107</v>
      </c>
      <c r="D39" s="31" t="s">
        <v>108</v>
      </c>
      <c r="E39" s="32" t="n">
        <v>3750</v>
      </c>
      <c r="F39" s="32" t="n">
        <v>1750</v>
      </c>
      <c r="G39" s="32" t="n">
        <v>350</v>
      </c>
      <c r="H39" s="33" t="n">
        <v>1</v>
      </c>
      <c r="I39" s="34" t="n">
        <f aca="false">E39*H39+N(F39)+N(G39)</f>
        <v>5850</v>
      </c>
      <c r="J39" s="32" t="n">
        <f aca="false">ROUND(IFERROR(ROUND(IF(OR(ISNUMBER(SEARCH("week",C39)),ISNUMBER(SEARCH("minggu",C39))),IFERROR(_xlfn.NUMBERVALUE(SUBSTITUTE(LEFT(TRIM(C39),FIND(" ",TRIM(C39)&amp;" ")-1),",","."),"."),LEFT(SUBSTITUTE(LEFT(TRIM(C39),FIND(" ",TRIM(C39)&amp;" ")-1),",","."),FIND("/",SUBSTITUTE(LEFT(TRIM(C39),FIND(" ",TRIM(C39)&amp;" ")-1),",","."))-1)/MID(SUBSTITUTE(LEFT(TRIM(C39),FIND(" ",TRIM(C39)&amp;" ")-1),",","."),FIND("/",SUBSTITUTE(LEFT(TRIM(C39),FIND(" ",TRIM(C39)&amp;" ")-1),",","."))+1,9))*12/52,IF(ISNUMBER(SEARCH("month",C39)),IFERROR(_xlfn.NUMBERVALUE(SUBSTITUTE(LEFT(TRIM(C39),FIND(" ",TRIM(C39)&amp;" ")-1),",","."),"."),LEFT(SUBSTITUTE(LEFT(TRIM(C39),FIND(" ",TRIM(C39)&amp;" ")-1),",","."),FIND("/",SUBSTITUTE(LEFT(TRIM(C39),FIND(" ",TRIM(C39)&amp;" ")-1),",","."))-1)/MID(SUBSTITUTE(LEFT(TRIM(C39),FIND(" ",TRIM(C39)&amp;" ")-1),",","."),FIND("/",SUBSTITUTE(LEFT(TRIM(C39),FIND(" ",TRIM(C39)&amp;" ")-1),",","."))+1,9)),IF(ISNUMBER(SEARCH("yea",C39)),IFERROR(_xlfn.NUMBERVALUE(SUBSTITUTE(LEFT(TRIM(C39),FIND(" ",TRIM(C39)&amp;" ")-1),",","."),"."),LEFT(SUBSTITUTE(LEFT(TRIM(C39),FIND(" ",TRIM(C39)&amp;" ")-1),",","."),FIND("/",SUBSTITUTE(LEFT(TRIM(C39),FIND(" ",TRIM(C39)&amp;" ")-1),",","."))-1)/MID(SUBSTITUTE(LEFT(TRIM(C39),FIND(" ",TRIM(C39)&amp;" ")-1),",","."),FIND("/",SUBSTITUTE(LEFT(TRIM(C39),FIND(" ",TRIM(C39)&amp;" ")-1),",","."))+1,9))*12,NA()))),0),24)*'Aturan &amp; Tarif'!$B$4,2)</f>
        <v>1362.72</v>
      </c>
      <c r="K39" s="32" t="n">
        <f aca="false">'Aturan &amp; Tarif'!$B$5</f>
        <v>2050</v>
      </c>
      <c r="L39" s="32" t="n">
        <f aca="false">'Aturan &amp; Tarif'!$B$6</f>
        <v>350</v>
      </c>
      <c r="M39" s="35" t="n">
        <f aca="false">I39+J39+K39+L39</f>
        <v>9612.72</v>
      </c>
      <c r="N39" s="37" t="s">
        <v>134</v>
      </c>
    </row>
    <row r="40" customFormat="false" ht="14.25" hidden="false" customHeight="true" outlineLevel="0" collapsed="false">
      <c r="A40" s="29"/>
      <c r="B40" s="30" t="s">
        <v>669</v>
      </c>
      <c r="C40" s="31" t="s">
        <v>130</v>
      </c>
      <c r="D40" s="31" t="s">
        <v>108</v>
      </c>
      <c r="E40" s="32" t="n">
        <v>3500</v>
      </c>
      <c r="F40" s="32" t="n">
        <v>1500</v>
      </c>
      <c r="G40" s="32" t="n">
        <v>350</v>
      </c>
      <c r="H40" s="33" t="n">
        <v>1</v>
      </c>
      <c r="I40" s="34" t="n">
        <f aca="false">E40*H40+N(F40)+N(G40)</f>
        <v>5350</v>
      </c>
      <c r="J40" s="32" t="n">
        <f aca="false">ROUND(IFERROR(ROUND(IF(OR(ISNUMBER(SEARCH("week",C40)),ISNUMBER(SEARCH("minggu",C40))),IFERROR(_xlfn.NUMBERVALUE(SUBSTITUTE(LEFT(TRIM(C40),FIND(" ",TRIM(C40)&amp;" ")-1),",","."),"."),LEFT(SUBSTITUTE(LEFT(TRIM(C40),FIND(" ",TRIM(C40)&amp;" ")-1),",","."),FIND("/",SUBSTITUTE(LEFT(TRIM(C40),FIND(" ",TRIM(C40)&amp;" ")-1),",","."))-1)/MID(SUBSTITUTE(LEFT(TRIM(C40),FIND(" ",TRIM(C40)&amp;" ")-1),",","."),FIND("/",SUBSTITUTE(LEFT(TRIM(C40),FIND(" ",TRIM(C40)&amp;" ")-1),",","."))+1,9))*12/52,IF(ISNUMBER(SEARCH("month",C40)),IFERROR(_xlfn.NUMBERVALUE(SUBSTITUTE(LEFT(TRIM(C40),FIND(" ",TRIM(C40)&amp;" ")-1),",","."),"."),LEFT(SUBSTITUTE(LEFT(TRIM(C40),FIND(" ",TRIM(C40)&amp;" ")-1),",","."),FIND("/",SUBSTITUTE(LEFT(TRIM(C40),FIND(" ",TRIM(C40)&amp;" ")-1),",","."))-1)/MID(SUBSTITUTE(LEFT(TRIM(C40),FIND(" ",TRIM(C40)&amp;" ")-1),",","."),FIND("/",SUBSTITUTE(LEFT(TRIM(C40),FIND(" ",TRIM(C40)&amp;" ")-1),",","."))+1,9)),IF(ISNUMBER(SEARCH("yea",C40)),IFERROR(_xlfn.NUMBERVALUE(SUBSTITUTE(LEFT(TRIM(C40),FIND(" ",TRIM(C40)&amp;" ")-1),",","."),"."),LEFT(SUBSTITUTE(LEFT(TRIM(C40),FIND(" ",TRIM(C40)&amp;" ")-1),",","."),FIND("/",SUBSTITUTE(LEFT(TRIM(C40),FIND(" ",TRIM(C40)&amp;" ")-1),",","."))-1)/MID(SUBSTITUTE(LEFT(TRIM(C40),FIND(" ",TRIM(C40)&amp;" ")-1),",","."),FIND("/",SUBSTITUTE(LEFT(TRIM(C40),FIND(" ",TRIM(C40)&amp;" ")-1),",","."))+1,9))*12,NA()))),0),12)*'Aturan &amp; Tarif'!$B$4,2)</f>
        <v>681.36</v>
      </c>
      <c r="K40" s="32" t="n">
        <f aca="false">'Aturan &amp; Tarif'!$B$5</f>
        <v>2050</v>
      </c>
      <c r="L40" s="32" t="n">
        <f aca="false">'Aturan &amp; Tarif'!$B$6</f>
        <v>350</v>
      </c>
      <c r="M40" s="35" t="n">
        <f aca="false">I40+J40+K40+L40</f>
        <v>8431.36</v>
      </c>
      <c r="N40" s="37" t="s">
        <v>134</v>
      </c>
    </row>
    <row r="41" customFormat="false" ht="83.25" hidden="false" customHeight="true" outlineLevel="0" collapsed="false">
      <c r="A41" s="29" t="s">
        <v>443</v>
      </c>
      <c r="B41" s="30" t="s">
        <v>444</v>
      </c>
      <c r="C41" s="31" t="s">
        <v>107</v>
      </c>
      <c r="D41" s="31" t="s">
        <v>108</v>
      </c>
      <c r="E41" s="32" t="n">
        <v>8500</v>
      </c>
      <c r="F41" s="32" t="n">
        <v>400</v>
      </c>
      <c r="G41" s="32" t="n">
        <v>350</v>
      </c>
      <c r="H41" s="33" t="n">
        <v>2</v>
      </c>
      <c r="I41" s="34" t="n">
        <f aca="false">E41*H41+N(F41)+N(G41)</f>
        <v>17750</v>
      </c>
      <c r="J41" s="32" t="n">
        <f aca="false">ROUND(IFERROR(ROUND(IF(OR(ISNUMBER(SEARCH("week",C41)),ISNUMBER(SEARCH("minggu",C41))),IFERROR(_xlfn.NUMBERVALUE(SUBSTITUTE(LEFT(TRIM(C41),FIND(" ",TRIM(C41)&amp;" ")-1),",","."),"."),LEFT(SUBSTITUTE(LEFT(TRIM(C41),FIND(" ",TRIM(C41)&amp;" ")-1),",","."),FIND("/",SUBSTITUTE(LEFT(TRIM(C41),FIND(" ",TRIM(C41)&amp;" ")-1),",","."))-1)/MID(SUBSTITUTE(LEFT(TRIM(C41),FIND(" ",TRIM(C41)&amp;" ")-1),",","."),FIND("/",SUBSTITUTE(LEFT(TRIM(C41),FIND(" ",TRIM(C41)&amp;" ")-1),",","."))+1,9))*12/52,IF(ISNUMBER(SEARCH("month",C41)),IFERROR(_xlfn.NUMBERVALUE(SUBSTITUTE(LEFT(TRIM(C41),FIND(" ",TRIM(C41)&amp;" ")-1),",","."),"."),LEFT(SUBSTITUTE(LEFT(TRIM(C41),FIND(" ",TRIM(C41)&amp;" ")-1),",","."),FIND("/",SUBSTITUTE(LEFT(TRIM(C41),FIND(" ",TRIM(C41)&amp;" ")-1),",","."))-1)/MID(SUBSTITUTE(LEFT(TRIM(C41),FIND(" ",TRIM(C41)&amp;" ")-1),",","."),FIND("/",SUBSTITUTE(LEFT(TRIM(C41),FIND(" ",TRIM(C41)&amp;" ")-1),",","."))+1,9)),IF(ISNUMBER(SEARCH("yea",C41)),IFERROR(_xlfn.NUMBERVALUE(SUBSTITUTE(LEFT(TRIM(C41),FIND(" ",TRIM(C41)&amp;" ")-1),",","."),"."),LEFT(SUBSTITUTE(LEFT(TRIM(C41),FIND(" ",TRIM(C41)&amp;" ")-1),",","."),FIND("/",SUBSTITUTE(LEFT(TRIM(C41),FIND(" ",TRIM(C41)&amp;" ")-1),",","."))-1)/MID(SUBSTITUTE(LEFT(TRIM(C41),FIND(" ",TRIM(C41)&amp;" ")-1),",","."),FIND("/",SUBSTITUTE(LEFT(TRIM(C41),FIND(" ",TRIM(C41)&amp;" ")-1),",","."))+1,9))*12,NA()))),0),24)*'Aturan &amp; Tarif'!$B$4,2)</f>
        <v>1362.72</v>
      </c>
      <c r="K41" s="32" t="n">
        <f aca="false">'Aturan &amp; Tarif'!$B$5</f>
        <v>2050</v>
      </c>
      <c r="L41" s="32" t="n">
        <f aca="false">'Aturan &amp; Tarif'!$B$6</f>
        <v>350</v>
      </c>
      <c r="M41" s="35" t="n">
        <f aca="false">I41+J41+K41+L41</f>
        <v>21512.72</v>
      </c>
      <c r="N41" s="36" t="s">
        <v>445</v>
      </c>
    </row>
    <row r="42" customFormat="false" ht="60" hidden="false" customHeight="true" outlineLevel="0" collapsed="false">
      <c r="A42" s="29"/>
      <c r="B42" s="30" t="s">
        <v>446</v>
      </c>
      <c r="C42" s="31" t="s">
        <v>107</v>
      </c>
      <c r="D42" s="31" t="s">
        <v>108</v>
      </c>
      <c r="E42" s="32" t="n">
        <v>8500</v>
      </c>
      <c r="F42" s="32" t="n">
        <v>400</v>
      </c>
      <c r="G42" s="32" t="n">
        <v>350</v>
      </c>
      <c r="H42" s="33" t="n">
        <v>2</v>
      </c>
      <c r="I42" s="34" t="n">
        <f aca="false">E42*H42+N(F42)+N(G42)</f>
        <v>17750</v>
      </c>
      <c r="J42" s="32" t="n">
        <f aca="false">ROUND(IFERROR(ROUND(IF(OR(ISNUMBER(SEARCH("week",C42)),ISNUMBER(SEARCH("minggu",C42))),IFERROR(_xlfn.NUMBERVALUE(SUBSTITUTE(LEFT(TRIM(C42),FIND(" ",TRIM(C42)&amp;" ")-1),",","."),"."),LEFT(SUBSTITUTE(LEFT(TRIM(C42),FIND(" ",TRIM(C42)&amp;" ")-1),",","."),FIND("/",SUBSTITUTE(LEFT(TRIM(C42),FIND(" ",TRIM(C42)&amp;" ")-1),",","."))-1)/MID(SUBSTITUTE(LEFT(TRIM(C42),FIND(" ",TRIM(C42)&amp;" ")-1),",","."),FIND("/",SUBSTITUTE(LEFT(TRIM(C42),FIND(" ",TRIM(C42)&amp;" ")-1),",","."))+1,9))*12/52,IF(ISNUMBER(SEARCH("month",C42)),IFERROR(_xlfn.NUMBERVALUE(SUBSTITUTE(LEFT(TRIM(C42),FIND(" ",TRIM(C42)&amp;" ")-1),",","."),"."),LEFT(SUBSTITUTE(LEFT(TRIM(C42),FIND(" ",TRIM(C42)&amp;" ")-1),",","."),FIND("/",SUBSTITUTE(LEFT(TRIM(C42),FIND(" ",TRIM(C42)&amp;" ")-1),",","."))-1)/MID(SUBSTITUTE(LEFT(TRIM(C42),FIND(" ",TRIM(C42)&amp;" ")-1),",","."),FIND("/",SUBSTITUTE(LEFT(TRIM(C42),FIND(" ",TRIM(C42)&amp;" ")-1),",","."))+1,9)),IF(ISNUMBER(SEARCH("yea",C42)),IFERROR(_xlfn.NUMBERVALUE(SUBSTITUTE(LEFT(TRIM(C42),FIND(" ",TRIM(C42)&amp;" ")-1),",","."),"."),LEFT(SUBSTITUTE(LEFT(TRIM(C42),FIND(" ",TRIM(C42)&amp;" ")-1),",","."),FIND("/",SUBSTITUTE(LEFT(TRIM(C42),FIND(" ",TRIM(C42)&amp;" ")-1),",","."))-1)/MID(SUBSTITUTE(LEFT(TRIM(C42),FIND(" ",TRIM(C42)&amp;" ")-1),",","."),FIND("/",SUBSTITUTE(LEFT(TRIM(C42),FIND(" ",TRIM(C42)&amp;" ")-1),",","."))+1,9))*12,NA()))),0),24)*'Aturan &amp; Tarif'!$B$4,2)</f>
        <v>1362.72</v>
      </c>
      <c r="K42" s="32" t="n">
        <f aca="false">'Aturan &amp; Tarif'!$B$5</f>
        <v>2050</v>
      </c>
      <c r="L42" s="32" t="n">
        <f aca="false">'Aturan &amp; Tarif'!$B$6</f>
        <v>350</v>
      </c>
      <c r="M42" s="35" t="n">
        <f aca="false">I42+J42+K42+L42</f>
        <v>21512.72</v>
      </c>
      <c r="N42" s="36" t="s">
        <v>445</v>
      </c>
    </row>
    <row r="43" customFormat="false" ht="60" hidden="false" customHeight="true" outlineLevel="0" collapsed="false">
      <c r="A43" s="29"/>
      <c r="B43" s="30" t="s">
        <v>447</v>
      </c>
      <c r="C43" s="31" t="s">
        <v>107</v>
      </c>
      <c r="D43" s="31" t="s">
        <v>108</v>
      </c>
      <c r="E43" s="32" t="n">
        <v>8500</v>
      </c>
      <c r="F43" s="32" t="n">
        <v>400</v>
      </c>
      <c r="G43" s="32" t="n">
        <v>350</v>
      </c>
      <c r="H43" s="33" t="n">
        <v>2</v>
      </c>
      <c r="I43" s="34" t="n">
        <f aca="false">E43*H43+N(F43)+N(G43)</f>
        <v>17750</v>
      </c>
      <c r="J43" s="32" t="n">
        <f aca="false">ROUND(IFERROR(ROUND(IF(OR(ISNUMBER(SEARCH("week",C43)),ISNUMBER(SEARCH("minggu",C43))),IFERROR(_xlfn.NUMBERVALUE(SUBSTITUTE(LEFT(TRIM(C43),FIND(" ",TRIM(C43)&amp;" ")-1),",","."),"."),LEFT(SUBSTITUTE(LEFT(TRIM(C43),FIND(" ",TRIM(C43)&amp;" ")-1),",","."),FIND("/",SUBSTITUTE(LEFT(TRIM(C43),FIND(" ",TRIM(C43)&amp;" ")-1),",","."))-1)/MID(SUBSTITUTE(LEFT(TRIM(C43),FIND(" ",TRIM(C43)&amp;" ")-1),",","."),FIND("/",SUBSTITUTE(LEFT(TRIM(C43),FIND(" ",TRIM(C43)&amp;" ")-1),",","."))+1,9))*12/52,IF(ISNUMBER(SEARCH("month",C43)),IFERROR(_xlfn.NUMBERVALUE(SUBSTITUTE(LEFT(TRIM(C43),FIND(" ",TRIM(C43)&amp;" ")-1),",","."),"."),LEFT(SUBSTITUTE(LEFT(TRIM(C43),FIND(" ",TRIM(C43)&amp;" ")-1),",","."),FIND("/",SUBSTITUTE(LEFT(TRIM(C43),FIND(" ",TRIM(C43)&amp;" ")-1),",","."))-1)/MID(SUBSTITUTE(LEFT(TRIM(C43),FIND(" ",TRIM(C43)&amp;" ")-1),",","."),FIND("/",SUBSTITUTE(LEFT(TRIM(C43),FIND(" ",TRIM(C43)&amp;" ")-1),",","."))+1,9)),IF(ISNUMBER(SEARCH("yea",C43)),IFERROR(_xlfn.NUMBERVALUE(SUBSTITUTE(LEFT(TRIM(C43),FIND(" ",TRIM(C43)&amp;" ")-1),",","."),"."),LEFT(SUBSTITUTE(LEFT(TRIM(C43),FIND(" ",TRIM(C43)&amp;" ")-1),",","."),FIND("/",SUBSTITUTE(LEFT(TRIM(C43),FIND(" ",TRIM(C43)&amp;" ")-1),",","."))-1)/MID(SUBSTITUTE(LEFT(TRIM(C43),FIND(" ",TRIM(C43)&amp;" ")-1),",","."),FIND("/",SUBSTITUTE(LEFT(TRIM(C43),FIND(" ",TRIM(C43)&amp;" ")-1),",","."))+1,9))*12,NA()))),0),24)*'Aturan &amp; Tarif'!$B$4,2)</f>
        <v>1362.72</v>
      </c>
      <c r="K43" s="32" t="n">
        <f aca="false">'Aturan &amp; Tarif'!$B$5</f>
        <v>2050</v>
      </c>
      <c r="L43" s="32" t="n">
        <f aca="false">'Aturan &amp; Tarif'!$B$6</f>
        <v>350</v>
      </c>
      <c r="M43" s="35" t="n">
        <f aca="false">I43+J43+K43+L43</f>
        <v>21512.72</v>
      </c>
      <c r="N43" s="36" t="s">
        <v>445</v>
      </c>
    </row>
    <row r="44" customFormat="false" ht="60" hidden="false" customHeight="true" outlineLevel="0" collapsed="false">
      <c r="A44" s="29"/>
      <c r="B44" s="30" t="s">
        <v>448</v>
      </c>
      <c r="C44" s="31" t="s">
        <v>130</v>
      </c>
      <c r="D44" s="31" t="s">
        <v>108</v>
      </c>
      <c r="E44" s="32" t="n">
        <v>6250</v>
      </c>
      <c r="F44" s="32" t="n">
        <v>400</v>
      </c>
      <c r="G44" s="32" t="n">
        <v>350</v>
      </c>
      <c r="H44" s="33" t="n">
        <v>2</v>
      </c>
      <c r="I44" s="34" t="n">
        <f aca="false">E44*H44+N(F44)+N(G44)</f>
        <v>13250</v>
      </c>
      <c r="J44" s="32" t="n">
        <f aca="false">ROUND(IFERROR(ROUND(IF(OR(ISNUMBER(SEARCH("week",C44)),ISNUMBER(SEARCH("minggu",C44))),IFERROR(_xlfn.NUMBERVALUE(SUBSTITUTE(LEFT(TRIM(C44),FIND(" ",TRIM(C44)&amp;" ")-1),",","."),"."),LEFT(SUBSTITUTE(LEFT(TRIM(C44),FIND(" ",TRIM(C44)&amp;" ")-1),",","."),FIND("/",SUBSTITUTE(LEFT(TRIM(C44),FIND(" ",TRIM(C44)&amp;" ")-1),",","."))-1)/MID(SUBSTITUTE(LEFT(TRIM(C44),FIND(" ",TRIM(C44)&amp;" ")-1),",","."),FIND("/",SUBSTITUTE(LEFT(TRIM(C44),FIND(" ",TRIM(C44)&amp;" ")-1),",","."))+1,9))*12/52,IF(ISNUMBER(SEARCH("month",C44)),IFERROR(_xlfn.NUMBERVALUE(SUBSTITUTE(LEFT(TRIM(C44),FIND(" ",TRIM(C44)&amp;" ")-1),",","."),"."),LEFT(SUBSTITUTE(LEFT(TRIM(C44),FIND(" ",TRIM(C44)&amp;" ")-1),",","."),FIND("/",SUBSTITUTE(LEFT(TRIM(C44),FIND(" ",TRIM(C44)&amp;" ")-1),",","."))-1)/MID(SUBSTITUTE(LEFT(TRIM(C44),FIND(" ",TRIM(C44)&amp;" ")-1),",","."),FIND("/",SUBSTITUTE(LEFT(TRIM(C44),FIND(" ",TRIM(C44)&amp;" ")-1),",","."))+1,9)),IF(ISNUMBER(SEARCH("yea",C44)),IFERROR(_xlfn.NUMBERVALUE(SUBSTITUTE(LEFT(TRIM(C44),FIND(" ",TRIM(C44)&amp;" ")-1),",","."),"."),LEFT(SUBSTITUTE(LEFT(TRIM(C44),FIND(" ",TRIM(C44)&amp;" ")-1),",","."),FIND("/",SUBSTITUTE(LEFT(TRIM(C44),FIND(" ",TRIM(C44)&amp;" ")-1),",","."))-1)/MID(SUBSTITUTE(LEFT(TRIM(C44),FIND(" ",TRIM(C44)&amp;" ")-1),",","."),FIND("/",SUBSTITUTE(LEFT(TRIM(C44),FIND(" ",TRIM(C44)&amp;" ")-1),",","."))+1,9))*12,NA()))),0),12)*'Aturan &amp; Tarif'!$B$4,2)</f>
        <v>681.36</v>
      </c>
      <c r="K44" s="32" t="n">
        <f aca="false">'Aturan &amp; Tarif'!$B$5</f>
        <v>2050</v>
      </c>
      <c r="L44" s="32" t="n">
        <f aca="false">'Aturan &amp; Tarif'!$B$6</f>
        <v>350</v>
      </c>
      <c r="M44" s="35" t="n">
        <f aca="false">I44+J44+K44+L44</f>
        <v>16331.36</v>
      </c>
      <c r="N44" s="36" t="s">
        <v>449</v>
      </c>
    </row>
    <row r="45" customFormat="false" ht="25.5" hidden="false" customHeight="true" outlineLevel="0" collapsed="false">
      <c r="A45" s="29"/>
      <c r="B45" s="30" t="s">
        <v>450</v>
      </c>
      <c r="C45" s="31" t="s">
        <v>107</v>
      </c>
      <c r="D45" s="31" t="s">
        <v>108</v>
      </c>
      <c r="E45" s="32" t="n">
        <v>6250</v>
      </c>
      <c r="F45" s="32" t="n">
        <v>400</v>
      </c>
      <c r="G45" s="32" t="n">
        <v>350</v>
      </c>
      <c r="H45" s="33" t="n">
        <v>2</v>
      </c>
      <c r="I45" s="34" t="n">
        <f aca="false">E45*H45+N(F45)+N(G45)</f>
        <v>13250</v>
      </c>
      <c r="J45" s="32" t="n">
        <f aca="false">ROUND(IFERROR(ROUND(IF(OR(ISNUMBER(SEARCH("week",C45)),ISNUMBER(SEARCH("minggu",C45))),IFERROR(_xlfn.NUMBERVALUE(SUBSTITUTE(LEFT(TRIM(C45),FIND(" ",TRIM(C45)&amp;" ")-1),",","."),"."),LEFT(SUBSTITUTE(LEFT(TRIM(C45),FIND(" ",TRIM(C45)&amp;" ")-1),",","."),FIND("/",SUBSTITUTE(LEFT(TRIM(C45),FIND(" ",TRIM(C45)&amp;" ")-1),",","."))-1)/MID(SUBSTITUTE(LEFT(TRIM(C45),FIND(" ",TRIM(C45)&amp;" ")-1),",","."),FIND("/",SUBSTITUTE(LEFT(TRIM(C45),FIND(" ",TRIM(C45)&amp;" ")-1),",","."))+1,9))*12/52,IF(ISNUMBER(SEARCH("month",C45)),IFERROR(_xlfn.NUMBERVALUE(SUBSTITUTE(LEFT(TRIM(C45),FIND(" ",TRIM(C45)&amp;" ")-1),",","."),"."),LEFT(SUBSTITUTE(LEFT(TRIM(C45),FIND(" ",TRIM(C45)&amp;" ")-1),",","."),FIND("/",SUBSTITUTE(LEFT(TRIM(C45),FIND(" ",TRIM(C45)&amp;" ")-1),",","."))-1)/MID(SUBSTITUTE(LEFT(TRIM(C45),FIND(" ",TRIM(C45)&amp;" ")-1),",","."),FIND("/",SUBSTITUTE(LEFT(TRIM(C45),FIND(" ",TRIM(C45)&amp;" ")-1),",","."))+1,9)),IF(ISNUMBER(SEARCH("yea",C45)),IFERROR(_xlfn.NUMBERVALUE(SUBSTITUTE(LEFT(TRIM(C45),FIND(" ",TRIM(C45)&amp;" ")-1),",","."),"."),LEFT(SUBSTITUTE(LEFT(TRIM(C45),FIND(" ",TRIM(C45)&amp;" ")-1),",","."),FIND("/",SUBSTITUTE(LEFT(TRIM(C45),FIND(" ",TRIM(C45)&amp;" ")-1),",","."))-1)/MID(SUBSTITUTE(LEFT(TRIM(C45),FIND(" ",TRIM(C45)&amp;" ")-1),",","."),FIND("/",SUBSTITUTE(LEFT(TRIM(C45),FIND(" ",TRIM(C45)&amp;" ")-1),",","."))+1,9))*12,NA()))),0),24)*'Aturan &amp; Tarif'!$B$4,2)</f>
        <v>1362.72</v>
      </c>
      <c r="K45" s="32" t="n">
        <f aca="false">'Aturan &amp; Tarif'!$B$5</f>
        <v>2050</v>
      </c>
      <c r="L45" s="32" t="n">
        <f aca="false">'Aturan &amp; Tarif'!$B$6</f>
        <v>350</v>
      </c>
      <c r="M45" s="35" t="n">
        <f aca="false">I45+J45+K45+L45</f>
        <v>17012.72</v>
      </c>
      <c r="N45" s="37" t="s">
        <v>451</v>
      </c>
    </row>
    <row r="46" customFormat="false" ht="60" hidden="false" customHeight="true" outlineLevel="0" collapsed="false">
      <c r="A46" s="29"/>
      <c r="B46" s="30" t="s">
        <v>452</v>
      </c>
      <c r="C46" s="31" t="s">
        <v>191</v>
      </c>
      <c r="D46" s="31" t="s">
        <v>108</v>
      </c>
      <c r="E46" s="32" t="n">
        <v>5000</v>
      </c>
      <c r="F46" s="32" t="n">
        <v>400</v>
      </c>
      <c r="G46" s="32" t="n">
        <v>350</v>
      </c>
      <c r="H46" s="33" t="n">
        <v>2</v>
      </c>
      <c r="I46" s="34" t="n">
        <f aca="false">E46*H46+N(F46)+N(G46)</f>
        <v>10750</v>
      </c>
      <c r="J46" s="32" t="n">
        <f aca="false">ROUND(IFERROR(ROUND(IF(OR(ISNUMBER(SEARCH("week",C46)),ISNUMBER(SEARCH("minggu",C46))),IFERROR(_xlfn.NUMBERVALUE(SUBSTITUTE(LEFT(TRIM(C46),FIND(" ",TRIM(C46)&amp;" ")-1),",","."),"."),LEFT(SUBSTITUTE(LEFT(TRIM(C46),FIND(" ",TRIM(C46)&amp;" ")-1),",","."),FIND("/",SUBSTITUTE(LEFT(TRIM(C46),FIND(" ",TRIM(C46)&amp;" ")-1),",","."))-1)/MID(SUBSTITUTE(LEFT(TRIM(C46),FIND(" ",TRIM(C46)&amp;" ")-1),",","."),FIND("/",SUBSTITUTE(LEFT(TRIM(C46),FIND(" ",TRIM(C46)&amp;" ")-1),",","."))+1,9))*12/52,IF(ISNUMBER(SEARCH("month",C46)),IFERROR(_xlfn.NUMBERVALUE(SUBSTITUTE(LEFT(TRIM(C46),FIND(" ",TRIM(C46)&amp;" ")-1),",","."),"."),LEFT(SUBSTITUTE(LEFT(TRIM(C46),FIND(" ",TRIM(C46)&amp;" ")-1),",","."),FIND("/",SUBSTITUTE(LEFT(TRIM(C46),FIND(" ",TRIM(C46)&amp;" ")-1),",","."))-1)/MID(SUBSTITUTE(LEFT(TRIM(C46),FIND(" ",TRIM(C46)&amp;" ")-1),",","."),FIND("/",SUBSTITUTE(LEFT(TRIM(C46),FIND(" ",TRIM(C46)&amp;" ")-1),",","."))+1,9)),IF(ISNUMBER(SEARCH("yea",C46)),IFERROR(_xlfn.NUMBERVALUE(SUBSTITUTE(LEFT(TRIM(C46),FIND(" ",TRIM(C46)&amp;" ")-1),",","."),"."),LEFT(SUBSTITUTE(LEFT(TRIM(C46),FIND(" ",TRIM(C46)&amp;" ")-1),",","."),FIND("/",SUBSTITUTE(LEFT(TRIM(C46),FIND(" ",TRIM(C46)&amp;" ")-1),",","."))-1)/MID(SUBSTITUTE(LEFT(TRIM(C46),FIND(" ",TRIM(C46)&amp;" ")-1),",","."),FIND("/",SUBSTITUTE(LEFT(TRIM(C46),FIND(" ",TRIM(C46)&amp;" ")-1),",","."))+1,9))*12,NA()))),0),48)*'Aturan &amp; Tarif'!$B$4,2)</f>
        <v>2725.44</v>
      </c>
      <c r="K46" s="32" t="n">
        <f aca="false">'Aturan &amp; Tarif'!$B$5</f>
        <v>2050</v>
      </c>
      <c r="L46" s="32" t="n">
        <f aca="false">'Aturan &amp; Tarif'!$B$6</f>
        <v>350</v>
      </c>
      <c r="M46" s="35" t="n">
        <f aca="false">I46+J46+K46+L46</f>
        <v>15875.44</v>
      </c>
      <c r="N46" s="36" t="s">
        <v>453</v>
      </c>
    </row>
    <row r="47" customFormat="false" ht="37.5" hidden="false" customHeight="true" outlineLevel="0" collapsed="false">
      <c r="A47" s="29"/>
      <c r="B47" s="30" t="s">
        <v>349</v>
      </c>
      <c r="C47" s="31" t="s">
        <v>107</v>
      </c>
      <c r="D47" s="31" t="s">
        <v>108</v>
      </c>
      <c r="E47" s="32" t="n">
        <v>4400</v>
      </c>
      <c r="F47" s="32" t="n">
        <v>400</v>
      </c>
      <c r="G47" s="32" t="n">
        <v>350</v>
      </c>
      <c r="H47" s="33" t="n">
        <v>2</v>
      </c>
      <c r="I47" s="34" t="n">
        <f aca="false">E47*H47+N(F47)+N(G47)</f>
        <v>9550</v>
      </c>
      <c r="J47" s="32" t="n">
        <f aca="false">ROUND(IFERROR(ROUND(IF(OR(ISNUMBER(SEARCH("week",C47)),ISNUMBER(SEARCH("minggu",C47))),IFERROR(_xlfn.NUMBERVALUE(SUBSTITUTE(LEFT(TRIM(C47),FIND(" ",TRIM(C47)&amp;" ")-1),",","."),"."),LEFT(SUBSTITUTE(LEFT(TRIM(C47),FIND(" ",TRIM(C47)&amp;" ")-1),",","."),FIND("/",SUBSTITUTE(LEFT(TRIM(C47),FIND(" ",TRIM(C47)&amp;" ")-1),",","."))-1)/MID(SUBSTITUTE(LEFT(TRIM(C47),FIND(" ",TRIM(C47)&amp;" ")-1),",","."),FIND("/",SUBSTITUTE(LEFT(TRIM(C47),FIND(" ",TRIM(C47)&amp;" ")-1),",","."))+1,9))*12/52,IF(ISNUMBER(SEARCH("month",C47)),IFERROR(_xlfn.NUMBERVALUE(SUBSTITUTE(LEFT(TRIM(C47),FIND(" ",TRIM(C47)&amp;" ")-1),",","."),"."),LEFT(SUBSTITUTE(LEFT(TRIM(C47),FIND(" ",TRIM(C47)&amp;" ")-1),",","."),FIND("/",SUBSTITUTE(LEFT(TRIM(C47),FIND(" ",TRIM(C47)&amp;" ")-1),",","."))-1)/MID(SUBSTITUTE(LEFT(TRIM(C47),FIND(" ",TRIM(C47)&amp;" ")-1),",","."),FIND("/",SUBSTITUTE(LEFT(TRIM(C47),FIND(" ",TRIM(C47)&amp;" ")-1),",","."))+1,9)),IF(ISNUMBER(SEARCH("yea",C47)),IFERROR(_xlfn.NUMBERVALUE(SUBSTITUTE(LEFT(TRIM(C47),FIND(" ",TRIM(C47)&amp;" ")-1),",","."),"."),LEFT(SUBSTITUTE(LEFT(TRIM(C47),FIND(" ",TRIM(C47)&amp;" ")-1),",","."),FIND("/",SUBSTITUTE(LEFT(TRIM(C47),FIND(" ",TRIM(C47)&amp;" ")-1),",","."))-1)/MID(SUBSTITUTE(LEFT(TRIM(C47),FIND(" ",TRIM(C47)&amp;" ")-1),",","."),FIND("/",SUBSTITUTE(LEFT(TRIM(C47),FIND(" ",TRIM(C47)&amp;" ")-1),",","."))+1,9))*12,NA()))),0),24)*'Aturan &amp; Tarif'!$B$4,2)</f>
        <v>1362.72</v>
      </c>
      <c r="K47" s="32" t="n">
        <f aca="false">'Aturan &amp; Tarif'!$B$5</f>
        <v>2050</v>
      </c>
      <c r="L47" s="32" t="n">
        <f aca="false">'Aturan &amp; Tarif'!$B$6</f>
        <v>350</v>
      </c>
      <c r="M47" s="35" t="n">
        <f aca="false">I47+J47+K47+L47</f>
        <v>13312.72</v>
      </c>
      <c r="N47" s="36" t="s">
        <v>670</v>
      </c>
    </row>
    <row r="48" customFormat="false" ht="37.5" hidden="false" customHeight="true" outlineLevel="0" collapsed="false">
      <c r="A48" s="29"/>
      <c r="B48" s="30" t="s">
        <v>348</v>
      </c>
      <c r="C48" s="31" t="s">
        <v>113</v>
      </c>
      <c r="D48" s="31" t="s">
        <v>108</v>
      </c>
      <c r="E48" s="32" t="n">
        <v>4400</v>
      </c>
      <c r="F48" s="32" t="n">
        <v>400</v>
      </c>
      <c r="G48" s="32" t="n">
        <v>350</v>
      </c>
      <c r="H48" s="33" t="n">
        <v>2</v>
      </c>
      <c r="I48" s="34" t="n">
        <f aca="false">E48*H48+N(F48)+N(G48)</f>
        <v>9550</v>
      </c>
      <c r="J48" s="32" t="n">
        <f aca="false">ROUND(IFERROR(ROUND(IF(OR(ISNUMBER(SEARCH("week",C48)),ISNUMBER(SEARCH("minggu",C48))),IFERROR(_xlfn.NUMBERVALUE(SUBSTITUTE(LEFT(TRIM(C48),FIND(" ",TRIM(C48)&amp;" ")-1),",","."),"."),LEFT(SUBSTITUTE(LEFT(TRIM(C48),FIND(" ",TRIM(C48)&amp;" ")-1),",","."),FIND("/",SUBSTITUTE(LEFT(TRIM(C48),FIND(" ",TRIM(C48)&amp;" ")-1),",","."))-1)/MID(SUBSTITUTE(LEFT(TRIM(C48),FIND(" ",TRIM(C48)&amp;" ")-1),",","."),FIND("/",SUBSTITUTE(LEFT(TRIM(C48),FIND(" ",TRIM(C48)&amp;" ")-1),",","."))+1,9))*12/52,IF(ISNUMBER(SEARCH("month",C48)),IFERROR(_xlfn.NUMBERVALUE(SUBSTITUTE(LEFT(TRIM(C48),FIND(" ",TRIM(C48)&amp;" ")-1),",","."),"."),LEFT(SUBSTITUTE(LEFT(TRIM(C48),FIND(" ",TRIM(C48)&amp;" ")-1),",","."),FIND("/",SUBSTITUTE(LEFT(TRIM(C48),FIND(" ",TRIM(C48)&amp;" ")-1),",","."))-1)/MID(SUBSTITUTE(LEFT(TRIM(C48),FIND(" ",TRIM(C48)&amp;" ")-1),",","."),FIND("/",SUBSTITUTE(LEFT(TRIM(C48),FIND(" ",TRIM(C48)&amp;" ")-1),",","."))+1,9)),IF(ISNUMBER(SEARCH("yea",C48)),IFERROR(_xlfn.NUMBERVALUE(SUBSTITUTE(LEFT(TRIM(C48),FIND(" ",TRIM(C48)&amp;" ")-1),",","."),"."),LEFT(SUBSTITUTE(LEFT(TRIM(C48),FIND(" ",TRIM(C48)&amp;" ")-1),",","."),FIND("/",SUBSTITUTE(LEFT(TRIM(C48),FIND(" ",TRIM(C48)&amp;" ")-1),",","."))-1)/MID(SUBSTITUTE(LEFT(TRIM(C48),FIND(" ",TRIM(C48)&amp;" ")-1),",","."),FIND("/",SUBSTITUTE(LEFT(TRIM(C48),FIND(" ",TRIM(C48)&amp;" ")-1),",","."))+1,9))*12,NA()))),0),18)*'Aturan &amp; Tarif'!$B$4,2)</f>
        <v>1022.04</v>
      </c>
      <c r="K48" s="32" t="n">
        <f aca="false">'Aturan &amp; Tarif'!$B$5</f>
        <v>2050</v>
      </c>
      <c r="L48" s="32" t="n">
        <f aca="false">'Aturan &amp; Tarif'!$B$6</f>
        <v>350</v>
      </c>
      <c r="M48" s="35" t="n">
        <f aca="false">I48+J48+K48+L48</f>
        <v>12972.04</v>
      </c>
      <c r="N48" s="36" t="s">
        <v>671</v>
      </c>
    </row>
    <row r="49" customFormat="false" ht="37.5" hidden="false" customHeight="true" outlineLevel="0" collapsed="false">
      <c r="A49" s="29"/>
      <c r="B49" s="30" t="s">
        <v>460</v>
      </c>
      <c r="C49" s="31" t="s">
        <v>107</v>
      </c>
      <c r="D49" s="31" t="s">
        <v>108</v>
      </c>
      <c r="E49" s="32" t="n">
        <v>4400</v>
      </c>
      <c r="F49" s="32" t="n">
        <v>400</v>
      </c>
      <c r="G49" s="32" t="n">
        <v>350</v>
      </c>
      <c r="H49" s="33" t="n">
        <v>2</v>
      </c>
      <c r="I49" s="34" t="n">
        <f aca="false">E49*H49+N(F49)+N(G49)</f>
        <v>9550</v>
      </c>
      <c r="J49" s="32" t="n">
        <f aca="false">ROUND(IFERROR(ROUND(IF(OR(ISNUMBER(SEARCH("week",C49)),ISNUMBER(SEARCH("minggu",C49))),IFERROR(_xlfn.NUMBERVALUE(SUBSTITUTE(LEFT(TRIM(C49),FIND(" ",TRIM(C49)&amp;" ")-1),",","."),"."),LEFT(SUBSTITUTE(LEFT(TRIM(C49),FIND(" ",TRIM(C49)&amp;" ")-1),",","."),FIND("/",SUBSTITUTE(LEFT(TRIM(C49),FIND(" ",TRIM(C49)&amp;" ")-1),",","."))-1)/MID(SUBSTITUTE(LEFT(TRIM(C49),FIND(" ",TRIM(C49)&amp;" ")-1),",","."),FIND("/",SUBSTITUTE(LEFT(TRIM(C49),FIND(" ",TRIM(C49)&amp;" ")-1),",","."))+1,9))*12/52,IF(ISNUMBER(SEARCH("month",C49)),IFERROR(_xlfn.NUMBERVALUE(SUBSTITUTE(LEFT(TRIM(C49),FIND(" ",TRIM(C49)&amp;" ")-1),",","."),"."),LEFT(SUBSTITUTE(LEFT(TRIM(C49),FIND(" ",TRIM(C49)&amp;" ")-1),",","."),FIND("/",SUBSTITUTE(LEFT(TRIM(C49),FIND(" ",TRIM(C49)&amp;" ")-1),",","."))-1)/MID(SUBSTITUTE(LEFT(TRIM(C49),FIND(" ",TRIM(C49)&amp;" ")-1),",","."),FIND("/",SUBSTITUTE(LEFT(TRIM(C49),FIND(" ",TRIM(C49)&amp;" ")-1),",","."))+1,9)),IF(ISNUMBER(SEARCH("yea",C49)),IFERROR(_xlfn.NUMBERVALUE(SUBSTITUTE(LEFT(TRIM(C49),FIND(" ",TRIM(C49)&amp;" ")-1),",","."),"."),LEFT(SUBSTITUTE(LEFT(TRIM(C49),FIND(" ",TRIM(C49)&amp;" ")-1),",","."),FIND("/",SUBSTITUTE(LEFT(TRIM(C49),FIND(" ",TRIM(C49)&amp;" ")-1),",","."))-1)/MID(SUBSTITUTE(LEFT(TRIM(C49),FIND(" ",TRIM(C49)&amp;" ")-1),",","."),FIND("/",SUBSTITUTE(LEFT(TRIM(C49),FIND(" ",TRIM(C49)&amp;" ")-1),",","."))+1,9))*12,NA()))),0),24)*'Aturan &amp; Tarif'!$B$4,2)</f>
        <v>1362.72</v>
      </c>
      <c r="K49" s="32" t="n">
        <f aca="false">'Aturan &amp; Tarif'!$B$5</f>
        <v>2050</v>
      </c>
      <c r="L49" s="32" t="n">
        <f aca="false">'Aturan &amp; Tarif'!$B$6</f>
        <v>350</v>
      </c>
      <c r="M49" s="35" t="n">
        <f aca="false">I49+J49+K49+L49</f>
        <v>13312.72</v>
      </c>
      <c r="N49" s="36" t="s">
        <v>671</v>
      </c>
    </row>
    <row r="50" customFormat="false" ht="48.75" hidden="false" customHeight="true" outlineLevel="0" collapsed="false">
      <c r="A50" s="39" t="s">
        <v>672</v>
      </c>
      <c r="B50" s="40" t="s">
        <v>471</v>
      </c>
      <c r="C50" s="41" t="s">
        <v>113</v>
      </c>
      <c r="D50" s="41" t="s">
        <v>108</v>
      </c>
      <c r="E50" s="42" t="n">
        <v>2167</v>
      </c>
      <c r="F50" s="42" t="n">
        <v>2000</v>
      </c>
      <c r="G50" s="42" t="n">
        <v>250</v>
      </c>
      <c r="H50" s="43" t="n">
        <v>1</v>
      </c>
      <c r="I50" s="34" t="n">
        <f aca="false">E50*H50+N(F50)+N(G50)</f>
        <v>4417</v>
      </c>
      <c r="J50" s="42" t="n">
        <f aca="false">ROUND(IFERROR(ROUND(IF(OR(ISNUMBER(SEARCH("week",C50)),ISNUMBER(SEARCH("minggu",C50))),IFERROR(_xlfn.NUMBERVALUE(SUBSTITUTE(LEFT(TRIM(C50),FIND(" ",TRIM(C50)&amp;" ")-1),",","."),"."),LEFT(SUBSTITUTE(LEFT(TRIM(C50),FIND(" ",TRIM(C50)&amp;" ")-1),",","."),FIND("/",SUBSTITUTE(LEFT(TRIM(C50),FIND(" ",TRIM(C50)&amp;" ")-1),",","."))-1)/MID(SUBSTITUTE(LEFT(TRIM(C50),FIND(" ",TRIM(C50)&amp;" ")-1),",","."),FIND("/",SUBSTITUTE(LEFT(TRIM(C50),FIND(" ",TRIM(C50)&amp;" ")-1),",","."))+1,9))*12/52,IF(ISNUMBER(SEARCH("month",C50)),IFERROR(_xlfn.NUMBERVALUE(SUBSTITUTE(LEFT(TRIM(C50),FIND(" ",TRIM(C50)&amp;" ")-1),",","."),"."),LEFT(SUBSTITUTE(LEFT(TRIM(C50),FIND(" ",TRIM(C50)&amp;" ")-1),",","."),FIND("/",SUBSTITUTE(LEFT(TRIM(C50),FIND(" ",TRIM(C50)&amp;" ")-1),",","."))-1)/MID(SUBSTITUTE(LEFT(TRIM(C50),FIND(" ",TRIM(C50)&amp;" ")-1),",","."),FIND("/",SUBSTITUTE(LEFT(TRIM(C50),FIND(" ",TRIM(C50)&amp;" ")-1),",","."))+1,9)),IF(ISNUMBER(SEARCH("yea",C50)),IFERROR(_xlfn.NUMBERVALUE(SUBSTITUTE(LEFT(TRIM(C50),FIND(" ",TRIM(C50)&amp;" ")-1),",","."),"."),LEFT(SUBSTITUTE(LEFT(TRIM(C50),FIND(" ",TRIM(C50)&amp;" ")-1),",","."),FIND("/",SUBSTITUTE(LEFT(TRIM(C50),FIND(" ",TRIM(C50)&amp;" ")-1),",","."))-1)/MID(SUBSTITUTE(LEFT(TRIM(C50),FIND(" ",TRIM(C50)&amp;" ")-1),",","."),FIND("/",SUBSTITUTE(LEFT(TRIM(C50),FIND(" ",TRIM(C50)&amp;" ")-1),",","."))+1,9))*12,NA()))),0),18)*'Aturan &amp; Tarif'!$B$4,2)</f>
        <v>1022.04</v>
      </c>
      <c r="K50" s="42" t="n">
        <f aca="false">'Aturan &amp; Tarif'!$B$5</f>
        <v>2050</v>
      </c>
      <c r="L50" s="42" t="n">
        <f aca="false">'Aturan &amp; Tarif'!$B$6</f>
        <v>350</v>
      </c>
      <c r="M50" s="35" t="n">
        <f aca="false">I50+J50+K50+L50</f>
        <v>7839.04</v>
      </c>
      <c r="N50" s="45" t="s">
        <v>134</v>
      </c>
    </row>
    <row r="51" customFormat="false" ht="14.25" hidden="false" customHeight="true" outlineLevel="0" collapsed="false">
      <c r="A51" s="39"/>
      <c r="B51" s="40" t="s">
        <v>673</v>
      </c>
      <c r="C51" s="41" t="s">
        <v>113</v>
      </c>
      <c r="D51" s="41" t="s">
        <v>108</v>
      </c>
      <c r="E51" s="42" t="n">
        <v>2083</v>
      </c>
      <c r="F51" s="42" t="n">
        <v>2000</v>
      </c>
      <c r="G51" s="42" t="n">
        <v>250</v>
      </c>
      <c r="H51" s="43" t="n">
        <v>1</v>
      </c>
      <c r="I51" s="34" t="n">
        <f aca="false">E51*H51+N(F51)+N(G51)</f>
        <v>4333</v>
      </c>
      <c r="J51" s="42" t="n">
        <f aca="false">ROUND(IFERROR(ROUND(IF(OR(ISNUMBER(SEARCH("week",C51)),ISNUMBER(SEARCH("minggu",C51))),IFERROR(_xlfn.NUMBERVALUE(SUBSTITUTE(LEFT(TRIM(C51),FIND(" ",TRIM(C51)&amp;" ")-1),",","."),"."),LEFT(SUBSTITUTE(LEFT(TRIM(C51),FIND(" ",TRIM(C51)&amp;" ")-1),",","."),FIND("/",SUBSTITUTE(LEFT(TRIM(C51),FIND(" ",TRIM(C51)&amp;" ")-1),",","."))-1)/MID(SUBSTITUTE(LEFT(TRIM(C51),FIND(" ",TRIM(C51)&amp;" ")-1),",","."),FIND("/",SUBSTITUTE(LEFT(TRIM(C51),FIND(" ",TRIM(C51)&amp;" ")-1),",","."))+1,9))*12/52,IF(ISNUMBER(SEARCH("month",C51)),IFERROR(_xlfn.NUMBERVALUE(SUBSTITUTE(LEFT(TRIM(C51),FIND(" ",TRIM(C51)&amp;" ")-1),",","."),"."),LEFT(SUBSTITUTE(LEFT(TRIM(C51),FIND(" ",TRIM(C51)&amp;" ")-1),",","."),FIND("/",SUBSTITUTE(LEFT(TRIM(C51),FIND(" ",TRIM(C51)&amp;" ")-1),",","."))-1)/MID(SUBSTITUTE(LEFT(TRIM(C51),FIND(" ",TRIM(C51)&amp;" ")-1),",","."),FIND("/",SUBSTITUTE(LEFT(TRIM(C51),FIND(" ",TRIM(C51)&amp;" ")-1),",","."))+1,9)),IF(ISNUMBER(SEARCH("yea",C51)),IFERROR(_xlfn.NUMBERVALUE(SUBSTITUTE(LEFT(TRIM(C51),FIND(" ",TRIM(C51)&amp;" ")-1),",","."),"."),LEFT(SUBSTITUTE(LEFT(TRIM(C51),FIND(" ",TRIM(C51)&amp;" ")-1),",","."),FIND("/",SUBSTITUTE(LEFT(TRIM(C51),FIND(" ",TRIM(C51)&amp;" ")-1),",","."))-1)/MID(SUBSTITUTE(LEFT(TRIM(C51),FIND(" ",TRIM(C51)&amp;" ")-1),",","."),FIND("/",SUBSTITUTE(LEFT(TRIM(C51),FIND(" ",TRIM(C51)&amp;" ")-1),",","."))+1,9))*12,NA()))),0),18)*'Aturan &amp; Tarif'!$B$4,2)</f>
        <v>1022.04</v>
      </c>
      <c r="K51" s="42" t="n">
        <f aca="false">'Aturan &amp; Tarif'!$B$5</f>
        <v>2050</v>
      </c>
      <c r="L51" s="42" t="n">
        <f aca="false">'Aturan &amp; Tarif'!$B$6</f>
        <v>350</v>
      </c>
      <c r="M51" s="35" t="n">
        <f aca="false">I51+J51+K51+L51</f>
        <v>7755.04</v>
      </c>
      <c r="N51" s="45" t="s">
        <v>134</v>
      </c>
    </row>
    <row r="52" customFormat="false" ht="14.25" hidden="false" customHeight="true" outlineLevel="0" collapsed="false">
      <c r="A52" s="39"/>
      <c r="B52" s="40" t="s">
        <v>674</v>
      </c>
      <c r="C52" s="41" t="s">
        <v>107</v>
      </c>
      <c r="D52" s="41" t="s">
        <v>108</v>
      </c>
      <c r="E52" s="42" t="n">
        <v>2544</v>
      </c>
      <c r="F52" s="42" t="n">
        <v>2500</v>
      </c>
      <c r="G52" s="42" t="n">
        <v>250</v>
      </c>
      <c r="H52" s="43" t="n">
        <v>1</v>
      </c>
      <c r="I52" s="34" t="n">
        <f aca="false">E52*H52+N(F52)+N(G52)</f>
        <v>5294</v>
      </c>
      <c r="J52" s="42" t="n">
        <f aca="false">ROUND(IFERROR(ROUND(IF(OR(ISNUMBER(SEARCH("week",C52)),ISNUMBER(SEARCH("minggu",C52))),IFERROR(_xlfn.NUMBERVALUE(SUBSTITUTE(LEFT(TRIM(C52),FIND(" ",TRIM(C52)&amp;" ")-1),",","."),"."),LEFT(SUBSTITUTE(LEFT(TRIM(C52),FIND(" ",TRIM(C52)&amp;" ")-1),",","."),FIND("/",SUBSTITUTE(LEFT(TRIM(C52),FIND(" ",TRIM(C52)&amp;" ")-1),",","."))-1)/MID(SUBSTITUTE(LEFT(TRIM(C52),FIND(" ",TRIM(C52)&amp;" ")-1),",","."),FIND("/",SUBSTITUTE(LEFT(TRIM(C52),FIND(" ",TRIM(C52)&amp;" ")-1),",","."))+1,9))*12/52,IF(ISNUMBER(SEARCH("month",C52)),IFERROR(_xlfn.NUMBERVALUE(SUBSTITUTE(LEFT(TRIM(C52),FIND(" ",TRIM(C52)&amp;" ")-1),",","."),"."),LEFT(SUBSTITUTE(LEFT(TRIM(C52),FIND(" ",TRIM(C52)&amp;" ")-1),",","."),FIND("/",SUBSTITUTE(LEFT(TRIM(C52),FIND(" ",TRIM(C52)&amp;" ")-1),",","."))-1)/MID(SUBSTITUTE(LEFT(TRIM(C52),FIND(" ",TRIM(C52)&amp;" ")-1),",","."),FIND("/",SUBSTITUTE(LEFT(TRIM(C52),FIND(" ",TRIM(C52)&amp;" ")-1),",","."))+1,9)),IF(ISNUMBER(SEARCH("yea",C52)),IFERROR(_xlfn.NUMBERVALUE(SUBSTITUTE(LEFT(TRIM(C52),FIND(" ",TRIM(C52)&amp;" ")-1),",","."),"."),LEFT(SUBSTITUTE(LEFT(TRIM(C52),FIND(" ",TRIM(C52)&amp;" ")-1),",","."),FIND("/",SUBSTITUTE(LEFT(TRIM(C52),FIND(" ",TRIM(C52)&amp;" ")-1),",","."))-1)/MID(SUBSTITUTE(LEFT(TRIM(C52),FIND(" ",TRIM(C52)&amp;" ")-1),",","."),FIND("/",SUBSTITUTE(LEFT(TRIM(C52),FIND(" ",TRIM(C52)&amp;" ")-1),",","."))+1,9))*12,NA()))),0),24)*'Aturan &amp; Tarif'!$B$4,2)</f>
        <v>1362.72</v>
      </c>
      <c r="K52" s="42" t="n">
        <f aca="false">'Aturan &amp; Tarif'!$B$5</f>
        <v>2050</v>
      </c>
      <c r="L52" s="42" t="n">
        <f aca="false">'Aturan &amp; Tarif'!$B$6</f>
        <v>350</v>
      </c>
      <c r="M52" s="35" t="n">
        <f aca="false">I52+J52+K52+L52</f>
        <v>9056.72</v>
      </c>
      <c r="N52" s="45" t="s">
        <v>134</v>
      </c>
    </row>
    <row r="53" customFormat="false" ht="14.25" hidden="false" customHeight="true" outlineLevel="0" collapsed="false">
      <c r="A53" s="39"/>
      <c r="B53" s="40" t="s">
        <v>675</v>
      </c>
      <c r="C53" s="41" t="s">
        <v>107</v>
      </c>
      <c r="D53" s="41" t="s">
        <v>108</v>
      </c>
      <c r="E53" s="42" t="n">
        <v>2563</v>
      </c>
      <c r="F53" s="42" t="n">
        <v>1000</v>
      </c>
      <c r="G53" s="42" t="n">
        <v>250</v>
      </c>
      <c r="H53" s="43" t="n">
        <v>1</v>
      </c>
      <c r="I53" s="34" t="n">
        <f aca="false">E53*H53+N(F53)+N(G53)</f>
        <v>3813</v>
      </c>
      <c r="J53" s="42" t="n">
        <f aca="false">ROUND(IFERROR(ROUND(IF(OR(ISNUMBER(SEARCH("week",C53)),ISNUMBER(SEARCH("minggu",C53))),IFERROR(_xlfn.NUMBERVALUE(SUBSTITUTE(LEFT(TRIM(C53),FIND(" ",TRIM(C53)&amp;" ")-1),",","."),"."),LEFT(SUBSTITUTE(LEFT(TRIM(C53),FIND(" ",TRIM(C53)&amp;" ")-1),",","."),FIND("/",SUBSTITUTE(LEFT(TRIM(C53),FIND(" ",TRIM(C53)&amp;" ")-1),",","."))-1)/MID(SUBSTITUTE(LEFT(TRIM(C53),FIND(" ",TRIM(C53)&amp;" ")-1),",","."),FIND("/",SUBSTITUTE(LEFT(TRIM(C53),FIND(" ",TRIM(C53)&amp;" ")-1),",","."))+1,9))*12/52,IF(ISNUMBER(SEARCH("month",C53)),IFERROR(_xlfn.NUMBERVALUE(SUBSTITUTE(LEFT(TRIM(C53),FIND(" ",TRIM(C53)&amp;" ")-1),",","."),"."),LEFT(SUBSTITUTE(LEFT(TRIM(C53),FIND(" ",TRIM(C53)&amp;" ")-1),",","."),FIND("/",SUBSTITUTE(LEFT(TRIM(C53),FIND(" ",TRIM(C53)&amp;" ")-1),",","."))-1)/MID(SUBSTITUTE(LEFT(TRIM(C53),FIND(" ",TRIM(C53)&amp;" ")-1),",","."),FIND("/",SUBSTITUTE(LEFT(TRIM(C53),FIND(" ",TRIM(C53)&amp;" ")-1),",","."))+1,9)),IF(ISNUMBER(SEARCH("yea",C53)),IFERROR(_xlfn.NUMBERVALUE(SUBSTITUTE(LEFT(TRIM(C53),FIND(" ",TRIM(C53)&amp;" ")-1),",","."),"."),LEFT(SUBSTITUTE(LEFT(TRIM(C53),FIND(" ",TRIM(C53)&amp;" ")-1),",","."),FIND("/",SUBSTITUTE(LEFT(TRIM(C53),FIND(" ",TRIM(C53)&amp;" ")-1),",","."))-1)/MID(SUBSTITUTE(LEFT(TRIM(C53),FIND(" ",TRIM(C53)&amp;" ")-1),",","."),FIND("/",SUBSTITUTE(LEFT(TRIM(C53),FIND(" ",TRIM(C53)&amp;" ")-1),",","."))+1,9))*12,NA()))),0),24)*'Aturan &amp; Tarif'!$B$4,2)</f>
        <v>1362.72</v>
      </c>
      <c r="K53" s="42" t="n">
        <f aca="false">'Aturan &amp; Tarif'!$B$5</f>
        <v>2050</v>
      </c>
      <c r="L53" s="42" t="n">
        <f aca="false">'Aturan &amp; Tarif'!$B$6</f>
        <v>350</v>
      </c>
      <c r="M53" s="35" t="n">
        <f aca="false">I53+J53+K53+L53</f>
        <v>7575.72</v>
      </c>
      <c r="N53" s="45" t="s">
        <v>134</v>
      </c>
    </row>
    <row r="54" customFormat="false" ht="14.25" hidden="false" customHeight="true" outlineLevel="0" collapsed="false">
      <c r="A54" s="39"/>
      <c r="B54" s="40" t="s">
        <v>676</v>
      </c>
      <c r="C54" s="41" t="s">
        <v>107</v>
      </c>
      <c r="D54" s="41" t="s">
        <v>108</v>
      </c>
      <c r="E54" s="42" t="n">
        <v>2688</v>
      </c>
      <c r="F54" s="42" t="n">
        <v>1000</v>
      </c>
      <c r="G54" s="42" t="n">
        <v>250</v>
      </c>
      <c r="H54" s="43" t="n">
        <v>1</v>
      </c>
      <c r="I54" s="34" t="n">
        <f aca="false">E54*H54+N(F54)+N(G54)</f>
        <v>3938</v>
      </c>
      <c r="J54" s="42" t="n">
        <f aca="false">ROUND(IFERROR(ROUND(IF(OR(ISNUMBER(SEARCH("week",C54)),ISNUMBER(SEARCH("minggu",C54))),IFERROR(_xlfn.NUMBERVALUE(SUBSTITUTE(LEFT(TRIM(C54),FIND(" ",TRIM(C54)&amp;" ")-1),",","."),"."),LEFT(SUBSTITUTE(LEFT(TRIM(C54),FIND(" ",TRIM(C54)&amp;" ")-1),",","."),FIND("/",SUBSTITUTE(LEFT(TRIM(C54),FIND(" ",TRIM(C54)&amp;" ")-1),",","."))-1)/MID(SUBSTITUTE(LEFT(TRIM(C54),FIND(" ",TRIM(C54)&amp;" ")-1),",","."),FIND("/",SUBSTITUTE(LEFT(TRIM(C54),FIND(" ",TRIM(C54)&amp;" ")-1),",","."))+1,9))*12/52,IF(ISNUMBER(SEARCH("month",C54)),IFERROR(_xlfn.NUMBERVALUE(SUBSTITUTE(LEFT(TRIM(C54),FIND(" ",TRIM(C54)&amp;" ")-1),",","."),"."),LEFT(SUBSTITUTE(LEFT(TRIM(C54),FIND(" ",TRIM(C54)&amp;" ")-1),",","."),FIND("/",SUBSTITUTE(LEFT(TRIM(C54),FIND(" ",TRIM(C54)&amp;" ")-1),",","."))-1)/MID(SUBSTITUTE(LEFT(TRIM(C54),FIND(" ",TRIM(C54)&amp;" ")-1),",","."),FIND("/",SUBSTITUTE(LEFT(TRIM(C54),FIND(" ",TRIM(C54)&amp;" ")-1),",","."))+1,9)),IF(ISNUMBER(SEARCH("yea",C54)),IFERROR(_xlfn.NUMBERVALUE(SUBSTITUTE(LEFT(TRIM(C54),FIND(" ",TRIM(C54)&amp;" ")-1),",","."),"."),LEFT(SUBSTITUTE(LEFT(TRIM(C54),FIND(" ",TRIM(C54)&amp;" ")-1),",","."),FIND("/",SUBSTITUTE(LEFT(TRIM(C54),FIND(" ",TRIM(C54)&amp;" ")-1),",","."))-1)/MID(SUBSTITUTE(LEFT(TRIM(C54),FIND(" ",TRIM(C54)&amp;" ")-1),",","."),FIND("/",SUBSTITUTE(LEFT(TRIM(C54),FIND(" ",TRIM(C54)&amp;" ")-1),",","."))+1,9))*12,NA()))),0),24)*'Aturan &amp; Tarif'!$B$4,2)</f>
        <v>1362.72</v>
      </c>
      <c r="K54" s="42" t="n">
        <f aca="false">'Aturan &amp; Tarif'!$B$5</f>
        <v>2050</v>
      </c>
      <c r="L54" s="42" t="n">
        <f aca="false">'Aturan &amp; Tarif'!$B$6</f>
        <v>350</v>
      </c>
      <c r="M54" s="35" t="n">
        <f aca="false">I54+J54+K54+L54</f>
        <v>7700.72</v>
      </c>
      <c r="N54" s="45" t="s">
        <v>134</v>
      </c>
    </row>
    <row r="55" customFormat="false" ht="25.5" hidden="false" customHeight="true" outlineLevel="0" collapsed="false">
      <c r="A55" s="39"/>
      <c r="B55" s="40" t="s">
        <v>677</v>
      </c>
      <c r="C55" s="41" t="s">
        <v>138</v>
      </c>
      <c r="D55" s="41" t="s">
        <v>108</v>
      </c>
      <c r="E55" s="42" t="n">
        <v>2167</v>
      </c>
      <c r="F55" s="42" t="n">
        <v>2000</v>
      </c>
      <c r="G55" s="42" t="n">
        <v>250</v>
      </c>
      <c r="H55" s="43" t="n">
        <v>1</v>
      </c>
      <c r="I55" s="34" t="n">
        <f aca="false">E55*H55+N(F55)+N(G55)</f>
        <v>4417</v>
      </c>
      <c r="J55" s="42" t="n">
        <f aca="false">ROUND(IFERROR(ROUND(IF(OR(ISNUMBER(SEARCH("week",C55)),ISNUMBER(SEARCH("minggu",C55))),IFERROR(_xlfn.NUMBERVALUE(SUBSTITUTE(LEFT(TRIM(C55),FIND(" ",TRIM(C55)&amp;" ")-1),",","."),"."),LEFT(SUBSTITUTE(LEFT(TRIM(C55),FIND(" ",TRIM(C55)&amp;" ")-1),",","."),FIND("/",SUBSTITUTE(LEFT(TRIM(C55),FIND(" ",TRIM(C55)&amp;" ")-1),",","."))-1)/MID(SUBSTITUTE(LEFT(TRIM(C55),FIND(" ",TRIM(C55)&amp;" ")-1),",","."),FIND("/",SUBSTITUTE(LEFT(TRIM(C55),FIND(" ",TRIM(C55)&amp;" ")-1),",","."))+1,9))*12/52,IF(ISNUMBER(SEARCH("month",C55)),IFERROR(_xlfn.NUMBERVALUE(SUBSTITUTE(LEFT(TRIM(C55),FIND(" ",TRIM(C55)&amp;" ")-1),",","."),"."),LEFT(SUBSTITUTE(LEFT(TRIM(C55),FIND(" ",TRIM(C55)&amp;" ")-1),",","."),FIND("/",SUBSTITUTE(LEFT(TRIM(C55),FIND(" ",TRIM(C55)&amp;" ")-1),",","."))-1)/MID(SUBSTITUTE(LEFT(TRIM(C55),FIND(" ",TRIM(C55)&amp;" ")-1),",","."),FIND("/",SUBSTITUTE(LEFT(TRIM(C55),FIND(" ",TRIM(C55)&amp;" ")-1),",","."))+1,9)),IF(ISNUMBER(SEARCH("yea",C55)),IFERROR(_xlfn.NUMBERVALUE(SUBSTITUTE(LEFT(TRIM(C55),FIND(" ",TRIM(C55)&amp;" ")-1),",","."),"."),LEFT(SUBSTITUTE(LEFT(TRIM(C55),FIND(" ",TRIM(C55)&amp;" ")-1),",","."),FIND("/",SUBSTITUTE(LEFT(TRIM(C55),FIND(" ",TRIM(C55)&amp;" ")-1),",","."))-1)/MID(SUBSTITUTE(LEFT(TRIM(C55),FIND(" ",TRIM(C55)&amp;" ")-1),",","."),FIND("/",SUBSTITUTE(LEFT(TRIM(C55),FIND(" ",TRIM(C55)&amp;" ")-1),",","."))+1,9))*12,NA()))),0),30)*'Aturan &amp; Tarif'!$B$4,2)</f>
        <v>1703.4</v>
      </c>
      <c r="K55" s="42" t="n">
        <f aca="false">'Aturan &amp; Tarif'!$B$5</f>
        <v>2050</v>
      </c>
      <c r="L55" s="42" t="n">
        <f aca="false">'Aturan &amp; Tarif'!$B$6</f>
        <v>350</v>
      </c>
      <c r="M55" s="35" t="n">
        <f aca="false">I55+J55+K55+L55</f>
        <v>8520.4</v>
      </c>
      <c r="N55" s="44" t="s">
        <v>131</v>
      </c>
    </row>
    <row r="56" customFormat="false" ht="37.5" hidden="false" customHeight="true" outlineLevel="0" collapsed="false">
      <c r="A56" s="39"/>
      <c r="B56" s="40" t="s">
        <v>678</v>
      </c>
      <c r="C56" s="41" t="s">
        <v>138</v>
      </c>
      <c r="D56" s="41" t="s">
        <v>108</v>
      </c>
      <c r="E56" s="42" t="n">
        <v>2083</v>
      </c>
      <c r="F56" s="42" t="n">
        <v>2000</v>
      </c>
      <c r="G56" s="42" t="n">
        <v>250</v>
      </c>
      <c r="H56" s="43" t="n">
        <v>1</v>
      </c>
      <c r="I56" s="34" t="n">
        <f aca="false">E56*H56+N(F56)+N(G56)</f>
        <v>4333</v>
      </c>
      <c r="J56" s="42" t="n">
        <f aca="false">ROUND(IFERROR(ROUND(IF(OR(ISNUMBER(SEARCH("week",C56)),ISNUMBER(SEARCH("minggu",C56))),IFERROR(_xlfn.NUMBERVALUE(SUBSTITUTE(LEFT(TRIM(C56),FIND(" ",TRIM(C56)&amp;" ")-1),",","."),"."),LEFT(SUBSTITUTE(LEFT(TRIM(C56),FIND(" ",TRIM(C56)&amp;" ")-1),",","."),FIND("/",SUBSTITUTE(LEFT(TRIM(C56),FIND(" ",TRIM(C56)&amp;" ")-1),",","."))-1)/MID(SUBSTITUTE(LEFT(TRIM(C56),FIND(" ",TRIM(C56)&amp;" ")-1),",","."),FIND("/",SUBSTITUTE(LEFT(TRIM(C56),FIND(" ",TRIM(C56)&amp;" ")-1),",","."))+1,9))*12/52,IF(ISNUMBER(SEARCH("month",C56)),IFERROR(_xlfn.NUMBERVALUE(SUBSTITUTE(LEFT(TRIM(C56),FIND(" ",TRIM(C56)&amp;" ")-1),",","."),"."),LEFT(SUBSTITUTE(LEFT(TRIM(C56),FIND(" ",TRIM(C56)&amp;" ")-1),",","."),FIND("/",SUBSTITUTE(LEFT(TRIM(C56),FIND(" ",TRIM(C56)&amp;" ")-1),",","."))-1)/MID(SUBSTITUTE(LEFT(TRIM(C56),FIND(" ",TRIM(C56)&amp;" ")-1),",","."),FIND("/",SUBSTITUTE(LEFT(TRIM(C56),FIND(" ",TRIM(C56)&amp;" ")-1),",","."))+1,9)),IF(ISNUMBER(SEARCH("yea",C56)),IFERROR(_xlfn.NUMBERVALUE(SUBSTITUTE(LEFT(TRIM(C56),FIND(" ",TRIM(C56)&amp;" ")-1),",","."),"."),LEFT(SUBSTITUTE(LEFT(TRIM(C56),FIND(" ",TRIM(C56)&amp;" ")-1),",","."),FIND("/",SUBSTITUTE(LEFT(TRIM(C56),FIND(" ",TRIM(C56)&amp;" ")-1),",","."))-1)/MID(SUBSTITUTE(LEFT(TRIM(C56),FIND(" ",TRIM(C56)&amp;" ")-1),",","."),FIND("/",SUBSTITUTE(LEFT(TRIM(C56),FIND(" ",TRIM(C56)&amp;" ")-1),",","."))+1,9))*12,NA()))),0),30)*'Aturan &amp; Tarif'!$B$4,2)</f>
        <v>1703.4</v>
      </c>
      <c r="K56" s="42" t="n">
        <f aca="false">'Aturan &amp; Tarif'!$B$5</f>
        <v>2050</v>
      </c>
      <c r="L56" s="42" t="n">
        <f aca="false">'Aturan &amp; Tarif'!$B$6</f>
        <v>350</v>
      </c>
      <c r="M56" s="35" t="n">
        <f aca="false">I56+J56+K56+L56</f>
        <v>8436.4</v>
      </c>
      <c r="N56" s="44" t="s">
        <v>131</v>
      </c>
    </row>
    <row r="57" customFormat="false" ht="37.5" hidden="false" customHeight="true" outlineLevel="0" collapsed="false">
      <c r="A57" s="39"/>
      <c r="B57" s="40" t="s">
        <v>679</v>
      </c>
      <c r="C57" s="41" t="s">
        <v>138</v>
      </c>
      <c r="D57" s="41" t="s">
        <v>108</v>
      </c>
      <c r="E57" s="42" t="n">
        <v>2167</v>
      </c>
      <c r="F57" s="42" t="n">
        <v>2000</v>
      </c>
      <c r="G57" s="42" t="n">
        <v>250</v>
      </c>
      <c r="H57" s="43" t="n">
        <v>1</v>
      </c>
      <c r="I57" s="34" t="n">
        <f aca="false">E57*H57+N(F57)+N(G57)</f>
        <v>4417</v>
      </c>
      <c r="J57" s="42" t="n">
        <f aca="false">ROUND(IFERROR(ROUND(IF(OR(ISNUMBER(SEARCH("week",C57)),ISNUMBER(SEARCH("minggu",C57))),IFERROR(_xlfn.NUMBERVALUE(SUBSTITUTE(LEFT(TRIM(C57),FIND(" ",TRIM(C57)&amp;" ")-1),",","."),"."),LEFT(SUBSTITUTE(LEFT(TRIM(C57),FIND(" ",TRIM(C57)&amp;" ")-1),",","."),FIND("/",SUBSTITUTE(LEFT(TRIM(C57),FIND(" ",TRIM(C57)&amp;" ")-1),",","."))-1)/MID(SUBSTITUTE(LEFT(TRIM(C57),FIND(" ",TRIM(C57)&amp;" ")-1),",","."),FIND("/",SUBSTITUTE(LEFT(TRIM(C57),FIND(" ",TRIM(C57)&amp;" ")-1),",","."))+1,9))*12/52,IF(ISNUMBER(SEARCH("month",C57)),IFERROR(_xlfn.NUMBERVALUE(SUBSTITUTE(LEFT(TRIM(C57),FIND(" ",TRIM(C57)&amp;" ")-1),",","."),"."),LEFT(SUBSTITUTE(LEFT(TRIM(C57),FIND(" ",TRIM(C57)&amp;" ")-1),",","."),FIND("/",SUBSTITUTE(LEFT(TRIM(C57),FIND(" ",TRIM(C57)&amp;" ")-1),",","."))-1)/MID(SUBSTITUTE(LEFT(TRIM(C57),FIND(" ",TRIM(C57)&amp;" ")-1),",","."),FIND("/",SUBSTITUTE(LEFT(TRIM(C57),FIND(" ",TRIM(C57)&amp;" ")-1),",","."))+1,9)),IF(ISNUMBER(SEARCH("yea",C57)),IFERROR(_xlfn.NUMBERVALUE(SUBSTITUTE(LEFT(TRIM(C57),FIND(" ",TRIM(C57)&amp;" ")-1),",","."),"."),LEFT(SUBSTITUTE(LEFT(TRIM(C57),FIND(" ",TRIM(C57)&amp;" ")-1),",","."),FIND("/",SUBSTITUTE(LEFT(TRIM(C57),FIND(" ",TRIM(C57)&amp;" ")-1),",","."))-1)/MID(SUBSTITUTE(LEFT(TRIM(C57),FIND(" ",TRIM(C57)&amp;" ")-1),",","."),FIND("/",SUBSTITUTE(LEFT(TRIM(C57),FIND(" ",TRIM(C57)&amp;" ")-1),",","."))+1,9))*12,NA()))),0),30)*'Aturan &amp; Tarif'!$B$4,2)</f>
        <v>1703.4</v>
      </c>
      <c r="K57" s="42" t="n">
        <f aca="false">'Aturan &amp; Tarif'!$B$5</f>
        <v>2050</v>
      </c>
      <c r="L57" s="42" t="n">
        <f aca="false">'Aturan &amp; Tarif'!$B$6</f>
        <v>350</v>
      </c>
      <c r="M57" s="35" t="n">
        <f aca="false">I57+J57+K57+L57</f>
        <v>8520.4</v>
      </c>
      <c r="N57" s="44" t="s">
        <v>131</v>
      </c>
    </row>
    <row r="58" customFormat="false" ht="37.5" hidden="false" customHeight="true" outlineLevel="0" collapsed="false">
      <c r="A58" s="39"/>
      <c r="B58" s="40" t="s">
        <v>680</v>
      </c>
      <c r="C58" s="41" t="s">
        <v>138</v>
      </c>
      <c r="D58" s="41" t="s">
        <v>108</v>
      </c>
      <c r="E58" s="42" t="n">
        <v>2083</v>
      </c>
      <c r="F58" s="42" t="n">
        <v>2000</v>
      </c>
      <c r="G58" s="42" t="n">
        <v>250</v>
      </c>
      <c r="H58" s="43" t="n">
        <v>1</v>
      </c>
      <c r="I58" s="34" t="n">
        <f aca="false">E58*H58+N(F58)+N(G58)</f>
        <v>4333</v>
      </c>
      <c r="J58" s="42" t="n">
        <f aca="false">ROUND(IFERROR(ROUND(IF(OR(ISNUMBER(SEARCH("week",C58)),ISNUMBER(SEARCH("minggu",C58))),IFERROR(_xlfn.NUMBERVALUE(SUBSTITUTE(LEFT(TRIM(C58),FIND(" ",TRIM(C58)&amp;" ")-1),",","."),"."),LEFT(SUBSTITUTE(LEFT(TRIM(C58),FIND(" ",TRIM(C58)&amp;" ")-1),",","."),FIND("/",SUBSTITUTE(LEFT(TRIM(C58),FIND(" ",TRIM(C58)&amp;" ")-1),",","."))-1)/MID(SUBSTITUTE(LEFT(TRIM(C58),FIND(" ",TRIM(C58)&amp;" ")-1),",","."),FIND("/",SUBSTITUTE(LEFT(TRIM(C58),FIND(" ",TRIM(C58)&amp;" ")-1),",","."))+1,9))*12/52,IF(ISNUMBER(SEARCH("month",C58)),IFERROR(_xlfn.NUMBERVALUE(SUBSTITUTE(LEFT(TRIM(C58),FIND(" ",TRIM(C58)&amp;" ")-1),",","."),"."),LEFT(SUBSTITUTE(LEFT(TRIM(C58),FIND(" ",TRIM(C58)&amp;" ")-1),",","."),FIND("/",SUBSTITUTE(LEFT(TRIM(C58),FIND(" ",TRIM(C58)&amp;" ")-1),",","."))-1)/MID(SUBSTITUTE(LEFT(TRIM(C58),FIND(" ",TRIM(C58)&amp;" ")-1),",","."),FIND("/",SUBSTITUTE(LEFT(TRIM(C58),FIND(" ",TRIM(C58)&amp;" ")-1),",","."))+1,9)),IF(ISNUMBER(SEARCH("yea",C58)),IFERROR(_xlfn.NUMBERVALUE(SUBSTITUTE(LEFT(TRIM(C58),FIND(" ",TRIM(C58)&amp;" ")-1),",","."),"."),LEFT(SUBSTITUTE(LEFT(TRIM(C58),FIND(" ",TRIM(C58)&amp;" ")-1),",","."),FIND("/",SUBSTITUTE(LEFT(TRIM(C58),FIND(" ",TRIM(C58)&amp;" ")-1),",","."))-1)/MID(SUBSTITUTE(LEFT(TRIM(C58),FIND(" ",TRIM(C58)&amp;" ")-1),",","."),FIND("/",SUBSTITUTE(LEFT(TRIM(C58),FIND(" ",TRIM(C58)&amp;" ")-1),",","."))+1,9))*12,NA()))),0),30)*'Aturan &amp; Tarif'!$B$4,2)</f>
        <v>1703.4</v>
      </c>
      <c r="K58" s="42" t="n">
        <f aca="false">'Aturan &amp; Tarif'!$B$5</f>
        <v>2050</v>
      </c>
      <c r="L58" s="42" t="n">
        <f aca="false">'Aturan &amp; Tarif'!$B$6</f>
        <v>350</v>
      </c>
      <c r="M58" s="35" t="n">
        <f aca="false">I58+J58+K58+L58</f>
        <v>8436.4</v>
      </c>
      <c r="N58" s="44" t="s">
        <v>131</v>
      </c>
    </row>
    <row r="59" customFormat="false" ht="48.75" hidden="false" customHeight="true" outlineLevel="0" collapsed="false">
      <c r="A59" s="39" t="s">
        <v>681</v>
      </c>
      <c r="B59" s="40" t="s">
        <v>474</v>
      </c>
      <c r="C59" s="41" t="s">
        <v>107</v>
      </c>
      <c r="D59" s="41" t="s">
        <v>108</v>
      </c>
      <c r="E59" s="42" t="n">
        <v>3450</v>
      </c>
      <c r="F59" s="42" t="n">
        <v>1300</v>
      </c>
      <c r="G59" s="42" t="n">
        <v>300</v>
      </c>
      <c r="H59" s="43" t="n">
        <v>1</v>
      </c>
      <c r="I59" s="34" t="n">
        <f aca="false">E59*H59+N(F59)+N(G59)</f>
        <v>5050</v>
      </c>
      <c r="J59" s="42" t="n">
        <f aca="false">ROUND(IFERROR(ROUND(IF(OR(ISNUMBER(SEARCH("week",C59)),ISNUMBER(SEARCH("minggu",C59))),IFERROR(_xlfn.NUMBERVALUE(SUBSTITUTE(LEFT(TRIM(C59),FIND(" ",TRIM(C59)&amp;" ")-1),",","."),"."),LEFT(SUBSTITUTE(LEFT(TRIM(C59),FIND(" ",TRIM(C59)&amp;" ")-1),",","."),FIND("/",SUBSTITUTE(LEFT(TRIM(C59),FIND(" ",TRIM(C59)&amp;" ")-1),",","."))-1)/MID(SUBSTITUTE(LEFT(TRIM(C59),FIND(" ",TRIM(C59)&amp;" ")-1),",","."),FIND("/",SUBSTITUTE(LEFT(TRIM(C59),FIND(" ",TRIM(C59)&amp;" ")-1),",","."))+1,9))*12/52,IF(ISNUMBER(SEARCH("month",C59)),IFERROR(_xlfn.NUMBERVALUE(SUBSTITUTE(LEFT(TRIM(C59),FIND(" ",TRIM(C59)&amp;" ")-1),",","."),"."),LEFT(SUBSTITUTE(LEFT(TRIM(C59),FIND(" ",TRIM(C59)&amp;" ")-1),",","."),FIND("/",SUBSTITUTE(LEFT(TRIM(C59),FIND(" ",TRIM(C59)&amp;" ")-1),",","."))-1)/MID(SUBSTITUTE(LEFT(TRIM(C59),FIND(" ",TRIM(C59)&amp;" ")-1),",","."),FIND("/",SUBSTITUTE(LEFT(TRIM(C59),FIND(" ",TRIM(C59)&amp;" ")-1),",","."))+1,9)),IF(ISNUMBER(SEARCH("yea",C59)),IFERROR(_xlfn.NUMBERVALUE(SUBSTITUTE(LEFT(TRIM(C59),FIND(" ",TRIM(C59)&amp;" ")-1),",","."),"."),LEFT(SUBSTITUTE(LEFT(TRIM(C59),FIND(" ",TRIM(C59)&amp;" ")-1),",","."),FIND("/",SUBSTITUTE(LEFT(TRIM(C59),FIND(" ",TRIM(C59)&amp;" ")-1),",","."))-1)/MID(SUBSTITUTE(LEFT(TRIM(C59),FIND(" ",TRIM(C59)&amp;" ")-1),",","."),FIND("/",SUBSTITUTE(LEFT(TRIM(C59),FIND(" ",TRIM(C59)&amp;" ")-1),",","."))+1,9))*12,NA()))),0),24)*'Aturan &amp; Tarif'!$B$4,2)</f>
        <v>1362.72</v>
      </c>
      <c r="K59" s="42" t="n">
        <f aca="false">'Aturan &amp; Tarif'!$B$5</f>
        <v>2050</v>
      </c>
      <c r="L59" s="42" t="n">
        <f aca="false">'Aturan &amp; Tarif'!$B$6</f>
        <v>350</v>
      </c>
      <c r="M59" s="35" t="n">
        <f aca="false">I59+J59+K59+L59</f>
        <v>8812.72</v>
      </c>
      <c r="N59" s="45" t="s">
        <v>134</v>
      </c>
    </row>
    <row r="60" customFormat="false" ht="37.5" hidden="false" customHeight="true" outlineLevel="0" collapsed="false">
      <c r="A60" s="39"/>
      <c r="B60" s="40" t="s">
        <v>682</v>
      </c>
      <c r="C60" s="41" t="s">
        <v>138</v>
      </c>
      <c r="D60" s="41" t="s">
        <v>108</v>
      </c>
      <c r="E60" s="42" t="n">
        <v>3450</v>
      </c>
      <c r="F60" s="42" t="n">
        <v>1300</v>
      </c>
      <c r="G60" s="42" t="n">
        <v>300</v>
      </c>
      <c r="H60" s="43" t="n">
        <v>1</v>
      </c>
      <c r="I60" s="34" t="n">
        <f aca="false">E60*H60+N(F60)+N(G60)</f>
        <v>5050</v>
      </c>
      <c r="J60" s="42" t="n">
        <f aca="false">ROUND(IFERROR(ROUND(IF(OR(ISNUMBER(SEARCH("week",C60)),ISNUMBER(SEARCH("minggu",C60))),IFERROR(_xlfn.NUMBERVALUE(SUBSTITUTE(LEFT(TRIM(C60),FIND(" ",TRIM(C60)&amp;" ")-1),",","."),"."),LEFT(SUBSTITUTE(LEFT(TRIM(C60),FIND(" ",TRIM(C60)&amp;" ")-1),",","."),FIND("/",SUBSTITUTE(LEFT(TRIM(C60),FIND(" ",TRIM(C60)&amp;" ")-1),",","."))-1)/MID(SUBSTITUTE(LEFT(TRIM(C60),FIND(" ",TRIM(C60)&amp;" ")-1),",","."),FIND("/",SUBSTITUTE(LEFT(TRIM(C60),FIND(" ",TRIM(C60)&amp;" ")-1),",","."))+1,9))*12/52,IF(ISNUMBER(SEARCH("month",C60)),IFERROR(_xlfn.NUMBERVALUE(SUBSTITUTE(LEFT(TRIM(C60),FIND(" ",TRIM(C60)&amp;" ")-1),",","."),"."),LEFT(SUBSTITUTE(LEFT(TRIM(C60),FIND(" ",TRIM(C60)&amp;" ")-1),",","."),FIND("/",SUBSTITUTE(LEFT(TRIM(C60),FIND(" ",TRIM(C60)&amp;" ")-1),",","."))-1)/MID(SUBSTITUTE(LEFT(TRIM(C60),FIND(" ",TRIM(C60)&amp;" ")-1),",","."),FIND("/",SUBSTITUTE(LEFT(TRIM(C60),FIND(" ",TRIM(C60)&amp;" ")-1),",","."))+1,9)),IF(ISNUMBER(SEARCH("yea",C60)),IFERROR(_xlfn.NUMBERVALUE(SUBSTITUTE(LEFT(TRIM(C60),FIND(" ",TRIM(C60)&amp;" ")-1),",","."),"."),LEFT(SUBSTITUTE(LEFT(TRIM(C60),FIND(" ",TRIM(C60)&amp;" ")-1),",","."),FIND("/",SUBSTITUTE(LEFT(TRIM(C60),FIND(" ",TRIM(C60)&amp;" ")-1),",","."))-1)/MID(SUBSTITUTE(LEFT(TRIM(C60),FIND(" ",TRIM(C60)&amp;" ")-1),",","."),FIND("/",SUBSTITUTE(LEFT(TRIM(C60),FIND(" ",TRIM(C60)&amp;" ")-1),",","."))+1,9))*12,NA()))),0),30)*'Aturan &amp; Tarif'!$B$4,2)</f>
        <v>1703.4</v>
      </c>
      <c r="K60" s="42" t="n">
        <f aca="false">'Aturan &amp; Tarif'!$B$5</f>
        <v>2050</v>
      </c>
      <c r="L60" s="42" t="n">
        <f aca="false">'Aturan &amp; Tarif'!$B$6</f>
        <v>350</v>
      </c>
      <c r="M60" s="35" t="n">
        <f aca="false">I60+J60+K60+L60</f>
        <v>9153.4</v>
      </c>
      <c r="N60" s="45" t="s">
        <v>134</v>
      </c>
    </row>
    <row r="61" customFormat="false" ht="25.5" hidden="false" customHeight="true" outlineLevel="0" collapsed="false">
      <c r="A61" s="39"/>
      <c r="B61" s="40" t="s">
        <v>683</v>
      </c>
      <c r="C61" s="41" t="s">
        <v>107</v>
      </c>
      <c r="D61" s="41" t="s">
        <v>108</v>
      </c>
      <c r="E61" s="42" t="n">
        <v>3450</v>
      </c>
      <c r="F61" s="42" t="n">
        <v>1300</v>
      </c>
      <c r="G61" s="42" t="n">
        <v>300</v>
      </c>
      <c r="H61" s="43" t="n">
        <v>1</v>
      </c>
      <c r="I61" s="34" t="n">
        <f aca="false">E61*H61+N(F61)+N(G61)</f>
        <v>5050</v>
      </c>
      <c r="J61" s="42" t="n">
        <f aca="false">ROUND(IFERROR(ROUND(IF(OR(ISNUMBER(SEARCH("week",C61)),ISNUMBER(SEARCH("minggu",C61))),IFERROR(_xlfn.NUMBERVALUE(SUBSTITUTE(LEFT(TRIM(C61),FIND(" ",TRIM(C61)&amp;" ")-1),",","."),"."),LEFT(SUBSTITUTE(LEFT(TRIM(C61),FIND(" ",TRIM(C61)&amp;" ")-1),",","."),FIND("/",SUBSTITUTE(LEFT(TRIM(C61),FIND(" ",TRIM(C61)&amp;" ")-1),",","."))-1)/MID(SUBSTITUTE(LEFT(TRIM(C61),FIND(" ",TRIM(C61)&amp;" ")-1),",","."),FIND("/",SUBSTITUTE(LEFT(TRIM(C61),FIND(" ",TRIM(C61)&amp;" ")-1),",","."))+1,9))*12/52,IF(ISNUMBER(SEARCH("month",C61)),IFERROR(_xlfn.NUMBERVALUE(SUBSTITUTE(LEFT(TRIM(C61),FIND(" ",TRIM(C61)&amp;" ")-1),",","."),"."),LEFT(SUBSTITUTE(LEFT(TRIM(C61),FIND(" ",TRIM(C61)&amp;" ")-1),",","."),FIND("/",SUBSTITUTE(LEFT(TRIM(C61),FIND(" ",TRIM(C61)&amp;" ")-1),",","."))-1)/MID(SUBSTITUTE(LEFT(TRIM(C61),FIND(" ",TRIM(C61)&amp;" ")-1),",","."),FIND("/",SUBSTITUTE(LEFT(TRIM(C61),FIND(" ",TRIM(C61)&amp;" ")-1),",","."))+1,9)),IF(ISNUMBER(SEARCH("yea",C61)),IFERROR(_xlfn.NUMBERVALUE(SUBSTITUTE(LEFT(TRIM(C61),FIND(" ",TRIM(C61)&amp;" ")-1),",","."),"."),LEFT(SUBSTITUTE(LEFT(TRIM(C61),FIND(" ",TRIM(C61)&amp;" ")-1),",","."),FIND("/",SUBSTITUTE(LEFT(TRIM(C61),FIND(" ",TRIM(C61)&amp;" ")-1),",","."))-1)/MID(SUBSTITUTE(LEFT(TRIM(C61),FIND(" ",TRIM(C61)&amp;" ")-1),",","."),FIND("/",SUBSTITUTE(LEFT(TRIM(C61),FIND(" ",TRIM(C61)&amp;" ")-1),",","."))+1,9))*12,NA()))),0),24)*'Aturan &amp; Tarif'!$B$4,2)</f>
        <v>1362.72</v>
      </c>
      <c r="K61" s="42" t="n">
        <f aca="false">'Aturan &amp; Tarif'!$B$5</f>
        <v>2050</v>
      </c>
      <c r="L61" s="42" t="n">
        <f aca="false">'Aturan &amp; Tarif'!$B$6</f>
        <v>350</v>
      </c>
      <c r="M61" s="35" t="n">
        <f aca="false">I61+J61+K61+L61</f>
        <v>8812.72</v>
      </c>
      <c r="N61" s="45" t="s">
        <v>134</v>
      </c>
    </row>
    <row r="62" customFormat="false" ht="25.5" hidden="false" customHeight="true" outlineLevel="0" collapsed="false">
      <c r="A62" s="39"/>
      <c r="B62" s="40" t="s">
        <v>684</v>
      </c>
      <c r="C62" s="41" t="s">
        <v>138</v>
      </c>
      <c r="D62" s="41" t="s">
        <v>108</v>
      </c>
      <c r="E62" s="42" t="n">
        <v>3450</v>
      </c>
      <c r="F62" s="42" t="n">
        <v>1300</v>
      </c>
      <c r="G62" s="42" t="n">
        <v>300</v>
      </c>
      <c r="H62" s="43" t="n">
        <v>1</v>
      </c>
      <c r="I62" s="34" t="n">
        <f aca="false">E62*H62+N(F62)+N(G62)</f>
        <v>5050</v>
      </c>
      <c r="J62" s="42" t="n">
        <f aca="false">ROUND(IFERROR(ROUND(IF(OR(ISNUMBER(SEARCH("week",C62)),ISNUMBER(SEARCH("minggu",C62))),IFERROR(_xlfn.NUMBERVALUE(SUBSTITUTE(LEFT(TRIM(C62),FIND(" ",TRIM(C62)&amp;" ")-1),",","."),"."),LEFT(SUBSTITUTE(LEFT(TRIM(C62),FIND(" ",TRIM(C62)&amp;" ")-1),",","."),FIND("/",SUBSTITUTE(LEFT(TRIM(C62),FIND(" ",TRIM(C62)&amp;" ")-1),",","."))-1)/MID(SUBSTITUTE(LEFT(TRIM(C62),FIND(" ",TRIM(C62)&amp;" ")-1),",","."),FIND("/",SUBSTITUTE(LEFT(TRIM(C62),FIND(" ",TRIM(C62)&amp;" ")-1),",","."))+1,9))*12/52,IF(ISNUMBER(SEARCH("month",C62)),IFERROR(_xlfn.NUMBERVALUE(SUBSTITUTE(LEFT(TRIM(C62),FIND(" ",TRIM(C62)&amp;" ")-1),",","."),"."),LEFT(SUBSTITUTE(LEFT(TRIM(C62),FIND(" ",TRIM(C62)&amp;" ")-1),",","."),FIND("/",SUBSTITUTE(LEFT(TRIM(C62),FIND(" ",TRIM(C62)&amp;" ")-1),",","."))-1)/MID(SUBSTITUTE(LEFT(TRIM(C62),FIND(" ",TRIM(C62)&amp;" ")-1),",","."),FIND("/",SUBSTITUTE(LEFT(TRIM(C62),FIND(" ",TRIM(C62)&amp;" ")-1),",","."))+1,9)),IF(ISNUMBER(SEARCH("yea",C62)),IFERROR(_xlfn.NUMBERVALUE(SUBSTITUTE(LEFT(TRIM(C62),FIND(" ",TRIM(C62)&amp;" ")-1),",","."),"."),LEFT(SUBSTITUTE(LEFT(TRIM(C62),FIND(" ",TRIM(C62)&amp;" ")-1),",","."),FIND("/",SUBSTITUTE(LEFT(TRIM(C62),FIND(" ",TRIM(C62)&amp;" ")-1),",","."))-1)/MID(SUBSTITUTE(LEFT(TRIM(C62),FIND(" ",TRIM(C62)&amp;" ")-1),",","."),FIND("/",SUBSTITUTE(LEFT(TRIM(C62),FIND(" ",TRIM(C62)&amp;" ")-1),",","."))+1,9))*12,NA()))),0),30)*'Aturan &amp; Tarif'!$B$4,2)</f>
        <v>1703.4</v>
      </c>
      <c r="K62" s="42" t="n">
        <f aca="false">'Aturan &amp; Tarif'!$B$5</f>
        <v>2050</v>
      </c>
      <c r="L62" s="42" t="n">
        <f aca="false">'Aturan &amp; Tarif'!$B$6</f>
        <v>350</v>
      </c>
      <c r="M62" s="35" t="n">
        <f aca="false">I62+J62+K62+L62</f>
        <v>9153.4</v>
      </c>
      <c r="N62" s="45" t="s">
        <v>134</v>
      </c>
    </row>
    <row r="63" customFormat="false" ht="25.5" hidden="false" customHeight="true" outlineLevel="0" collapsed="false">
      <c r="A63" s="39"/>
      <c r="B63" s="40" t="s">
        <v>685</v>
      </c>
      <c r="C63" s="41" t="s">
        <v>107</v>
      </c>
      <c r="D63" s="41" t="s">
        <v>108</v>
      </c>
      <c r="E63" s="42" t="n">
        <v>3120</v>
      </c>
      <c r="F63" s="42" t="n">
        <v>1350</v>
      </c>
      <c r="G63" s="42" t="n">
        <v>300</v>
      </c>
      <c r="H63" s="43" t="n">
        <v>1</v>
      </c>
      <c r="I63" s="34" t="n">
        <f aca="false">E63*H63+N(F63)+N(G63)</f>
        <v>4770</v>
      </c>
      <c r="J63" s="42" t="n">
        <f aca="false">ROUND(IFERROR(ROUND(IF(OR(ISNUMBER(SEARCH("week",C63)),ISNUMBER(SEARCH("minggu",C63))),IFERROR(_xlfn.NUMBERVALUE(SUBSTITUTE(LEFT(TRIM(C63),FIND(" ",TRIM(C63)&amp;" ")-1),",","."),"."),LEFT(SUBSTITUTE(LEFT(TRIM(C63),FIND(" ",TRIM(C63)&amp;" ")-1),",","."),FIND("/",SUBSTITUTE(LEFT(TRIM(C63),FIND(" ",TRIM(C63)&amp;" ")-1),",","."))-1)/MID(SUBSTITUTE(LEFT(TRIM(C63),FIND(" ",TRIM(C63)&amp;" ")-1),",","."),FIND("/",SUBSTITUTE(LEFT(TRIM(C63),FIND(" ",TRIM(C63)&amp;" ")-1),",","."))+1,9))*12/52,IF(ISNUMBER(SEARCH("month",C63)),IFERROR(_xlfn.NUMBERVALUE(SUBSTITUTE(LEFT(TRIM(C63),FIND(" ",TRIM(C63)&amp;" ")-1),",","."),"."),LEFT(SUBSTITUTE(LEFT(TRIM(C63),FIND(" ",TRIM(C63)&amp;" ")-1),",","."),FIND("/",SUBSTITUTE(LEFT(TRIM(C63),FIND(" ",TRIM(C63)&amp;" ")-1),",","."))-1)/MID(SUBSTITUTE(LEFT(TRIM(C63),FIND(" ",TRIM(C63)&amp;" ")-1),",","."),FIND("/",SUBSTITUTE(LEFT(TRIM(C63),FIND(" ",TRIM(C63)&amp;" ")-1),",","."))+1,9)),IF(ISNUMBER(SEARCH("yea",C63)),IFERROR(_xlfn.NUMBERVALUE(SUBSTITUTE(LEFT(TRIM(C63),FIND(" ",TRIM(C63)&amp;" ")-1),",","."),"."),LEFT(SUBSTITUTE(LEFT(TRIM(C63),FIND(" ",TRIM(C63)&amp;" ")-1),",","."),FIND("/",SUBSTITUTE(LEFT(TRIM(C63),FIND(" ",TRIM(C63)&amp;" ")-1),",","."))-1)/MID(SUBSTITUTE(LEFT(TRIM(C63),FIND(" ",TRIM(C63)&amp;" ")-1),",","."),FIND("/",SUBSTITUTE(LEFT(TRIM(C63),FIND(" ",TRIM(C63)&amp;" ")-1),",","."))+1,9))*12,NA()))),0),24)*'Aturan &amp; Tarif'!$B$4,2)</f>
        <v>1362.72</v>
      </c>
      <c r="K63" s="42" t="n">
        <f aca="false">'Aturan &amp; Tarif'!$B$5</f>
        <v>2050</v>
      </c>
      <c r="L63" s="42" t="n">
        <f aca="false">'Aturan &amp; Tarif'!$B$6</f>
        <v>350</v>
      </c>
      <c r="M63" s="35" t="n">
        <f aca="false">I63+J63+K63+L63</f>
        <v>8532.72</v>
      </c>
      <c r="N63" s="45" t="s">
        <v>134</v>
      </c>
    </row>
    <row r="64" customFormat="false" ht="25.5" hidden="false" customHeight="true" outlineLevel="0" collapsed="false">
      <c r="A64" s="39"/>
      <c r="B64" s="40" t="s">
        <v>686</v>
      </c>
      <c r="C64" s="41" t="s">
        <v>138</v>
      </c>
      <c r="D64" s="41" t="s">
        <v>108</v>
      </c>
      <c r="E64" s="42" t="n">
        <v>3195</v>
      </c>
      <c r="F64" s="42" t="n">
        <v>1350</v>
      </c>
      <c r="G64" s="42" t="n">
        <v>300</v>
      </c>
      <c r="H64" s="43" t="n">
        <v>1</v>
      </c>
      <c r="I64" s="34" t="n">
        <f aca="false">E64*H64+N(F64)+N(G64)</f>
        <v>4845</v>
      </c>
      <c r="J64" s="42" t="n">
        <f aca="false">ROUND(IFERROR(ROUND(IF(OR(ISNUMBER(SEARCH("week",C64)),ISNUMBER(SEARCH("minggu",C64))),IFERROR(_xlfn.NUMBERVALUE(SUBSTITUTE(LEFT(TRIM(C64),FIND(" ",TRIM(C64)&amp;" ")-1),",","."),"."),LEFT(SUBSTITUTE(LEFT(TRIM(C64),FIND(" ",TRIM(C64)&amp;" ")-1),",","."),FIND("/",SUBSTITUTE(LEFT(TRIM(C64),FIND(" ",TRIM(C64)&amp;" ")-1),",","."))-1)/MID(SUBSTITUTE(LEFT(TRIM(C64),FIND(" ",TRIM(C64)&amp;" ")-1),",","."),FIND("/",SUBSTITUTE(LEFT(TRIM(C64),FIND(" ",TRIM(C64)&amp;" ")-1),",","."))+1,9))*12/52,IF(ISNUMBER(SEARCH("month",C64)),IFERROR(_xlfn.NUMBERVALUE(SUBSTITUTE(LEFT(TRIM(C64),FIND(" ",TRIM(C64)&amp;" ")-1),",","."),"."),LEFT(SUBSTITUTE(LEFT(TRIM(C64),FIND(" ",TRIM(C64)&amp;" ")-1),",","."),FIND("/",SUBSTITUTE(LEFT(TRIM(C64),FIND(" ",TRIM(C64)&amp;" ")-1),",","."))-1)/MID(SUBSTITUTE(LEFT(TRIM(C64),FIND(" ",TRIM(C64)&amp;" ")-1),",","."),FIND("/",SUBSTITUTE(LEFT(TRIM(C64),FIND(" ",TRIM(C64)&amp;" ")-1),",","."))+1,9)),IF(ISNUMBER(SEARCH("yea",C64)),IFERROR(_xlfn.NUMBERVALUE(SUBSTITUTE(LEFT(TRIM(C64),FIND(" ",TRIM(C64)&amp;" ")-1),",","."),"."),LEFT(SUBSTITUTE(LEFT(TRIM(C64),FIND(" ",TRIM(C64)&amp;" ")-1),",","."),FIND("/",SUBSTITUTE(LEFT(TRIM(C64),FIND(" ",TRIM(C64)&amp;" ")-1),",","."))-1)/MID(SUBSTITUTE(LEFT(TRIM(C64),FIND(" ",TRIM(C64)&amp;" ")-1),",","."),FIND("/",SUBSTITUTE(LEFT(TRIM(C64),FIND(" ",TRIM(C64)&amp;" ")-1),",","."))+1,9))*12,NA()))),0),30)*'Aturan &amp; Tarif'!$B$4,2)</f>
        <v>1703.4</v>
      </c>
      <c r="K64" s="42" t="n">
        <f aca="false">'Aturan &amp; Tarif'!$B$5</f>
        <v>2050</v>
      </c>
      <c r="L64" s="42" t="n">
        <f aca="false">'Aturan &amp; Tarif'!$B$6</f>
        <v>350</v>
      </c>
      <c r="M64" s="35" t="n">
        <f aca="false">I64+J64+K64+L64</f>
        <v>8948.4</v>
      </c>
      <c r="N64" s="45" t="s">
        <v>134</v>
      </c>
    </row>
    <row r="65" customFormat="false" ht="72" hidden="false" customHeight="true" outlineLevel="0" collapsed="false">
      <c r="A65" s="39"/>
      <c r="B65" s="40" t="s">
        <v>465</v>
      </c>
      <c r="C65" s="41" t="s">
        <v>107</v>
      </c>
      <c r="D65" s="41" t="s">
        <v>108</v>
      </c>
      <c r="E65" s="42" t="n">
        <v>2580</v>
      </c>
      <c r="F65" s="42" t="n">
        <v>1000</v>
      </c>
      <c r="G65" s="42" t="n">
        <v>300</v>
      </c>
      <c r="H65" s="43" t="n">
        <v>1</v>
      </c>
      <c r="I65" s="34" t="n">
        <f aca="false">E65*H65+N(F65)+N(G65)</f>
        <v>3880</v>
      </c>
      <c r="J65" s="42" t="n">
        <f aca="false">ROUND(IFERROR(ROUND(IF(OR(ISNUMBER(SEARCH("week",C65)),ISNUMBER(SEARCH("minggu",C65))),IFERROR(_xlfn.NUMBERVALUE(SUBSTITUTE(LEFT(TRIM(C65),FIND(" ",TRIM(C65)&amp;" ")-1),",","."),"."),LEFT(SUBSTITUTE(LEFT(TRIM(C65),FIND(" ",TRIM(C65)&amp;" ")-1),",","."),FIND("/",SUBSTITUTE(LEFT(TRIM(C65),FIND(" ",TRIM(C65)&amp;" ")-1),",","."))-1)/MID(SUBSTITUTE(LEFT(TRIM(C65),FIND(" ",TRIM(C65)&amp;" ")-1),",","."),FIND("/",SUBSTITUTE(LEFT(TRIM(C65),FIND(" ",TRIM(C65)&amp;" ")-1),",","."))+1,9))*12/52,IF(ISNUMBER(SEARCH("month",C65)),IFERROR(_xlfn.NUMBERVALUE(SUBSTITUTE(LEFT(TRIM(C65),FIND(" ",TRIM(C65)&amp;" ")-1),",","."),"."),LEFT(SUBSTITUTE(LEFT(TRIM(C65),FIND(" ",TRIM(C65)&amp;" ")-1),",","."),FIND("/",SUBSTITUTE(LEFT(TRIM(C65),FIND(" ",TRIM(C65)&amp;" ")-1),",","."))-1)/MID(SUBSTITUTE(LEFT(TRIM(C65),FIND(" ",TRIM(C65)&amp;" ")-1),",","."),FIND("/",SUBSTITUTE(LEFT(TRIM(C65),FIND(" ",TRIM(C65)&amp;" ")-1),",","."))+1,9)),IF(ISNUMBER(SEARCH("yea",C65)),IFERROR(_xlfn.NUMBERVALUE(SUBSTITUTE(LEFT(TRIM(C65),FIND(" ",TRIM(C65)&amp;" ")-1),",","."),"."),LEFT(SUBSTITUTE(LEFT(TRIM(C65),FIND(" ",TRIM(C65)&amp;" ")-1),",","."),FIND("/",SUBSTITUTE(LEFT(TRIM(C65),FIND(" ",TRIM(C65)&amp;" ")-1),",","."))-1)/MID(SUBSTITUTE(LEFT(TRIM(C65),FIND(" ",TRIM(C65)&amp;" ")-1),",","."),FIND("/",SUBSTITUTE(LEFT(TRIM(C65),FIND(" ",TRIM(C65)&amp;" ")-1),",","."))+1,9))*12,NA()))),0),24)*'Aturan &amp; Tarif'!$B$4,2)</f>
        <v>1362.72</v>
      </c>
      <c r="K65" s="42" t="n">
        <f aca="false">'Aturan &amp; Tarif'!$B$5</f>
        <v>2050</v>
      </c>
      <c r="L65" s="42" t="n">
        <f aca="false">'Aturan &amp; Tarif'!$B$6</f>
        <v>350</v>
      </c>
      <c r="M65" s="35" t="n">
        <f aca="false">I65+J65+K65+L65</f>
        <v>7642.72</v>
      </c>
      <c r="N65" s="44" t="s">
        <v>687</v>
      </c>
    </row>
    <row r="66" customFormat="false" ht="14.25" hidden="false" customHeight="true" outlineLevel="0" collapsed="false">
      <c r="A66" s="39"/>
      <c r="B66" s="40" t="s">
        <v>688</v>
      </c>
      <c r="C66" s="41" t="s">
        <v>107</v>
      </c>
      <c r="D66" s="41" t="s">
        <v>108</v>
      </c>
      <c r="E66" s="42" t="n">
        <v>3350</v>
      </c>
      <c r="F66" s="42" t="n">
        <v>1500</v>
      </c>
      <c r="G66" s="42" t="n">
        <v>300</v>
      </c>
      <c r="H66" s="43" t="n">
        <v>1</v>
      </c>
      <c r="I66" s="34" t="n">
        <f aca="false">E66*H66+N(F66)+N(G66)</f>
        <v>5150</v>
      </c>
      <c r="J66" s="42" t="n">
        <f aca="false">ROUND(IFERROR(ROUND(IF(OR(ISNUMBER(SEARCH("week",C66)),ISNUMBER(SEARCH("minggu",C66))),IFERROR(_xlfn.NUMBERVALUE(SUBSTITUTE(LEFT(TRIM(C66),FIND(" ",TRIM(C66)&amp;" ")-1),",","."),"."),LEFT(SUBSTITUTE(LEFT(TRIM(C66),FIND(" ",TRIM(C66)&amp;" ")-1),",","."),FIND("/",SUBSTITUTE(LEFT(TRIM(C66),FIND(" ",TRIM(C66)&amp;" ")-1),",","."))-1)/MID(SUBSTITUTE(LEFT(TRIM(C66),FIND(" ",TRIM(C66)&amp;" ")-1),",","."),FIND("/",SUBSTITUTE(LEFT(TRIM(C66),FIND(" ",TRIM(C66)&amp;" ")-1),",","."))+1,9))*12/52,IF(ISNUMBER(SEARCH("month",C66)),IFERROR(_xlfn.NUMBERVALUE(SUBSTITUTE(LEFT(TRIM(C66),FIND(" ",TRIM(C66)&amp;" ")-1),",","."),"."),LEFT(SUBSTITUTE(LEFT(TRIM(C66),FIND(" ",TRIM(C66)&amp;" ")-1),",","."),FIND("/",SUBSTITUTE(LEFT(TRIM(C66),FIND(" ",TRIM(C66)&amp;" ")-1),",","."))-1)/MID(SUBSTITUTE(LEFT(TRIM(C66),FIND(" ",TRIM(C66)&amp;" ")-1),",","."),FIND("/",SUBSTITUTE(LEFT(TRIM(C66),FIND(" ",TRIM(C66)&amp;" ")-1),",","."))+1,9)),IF(ISNUMBER(SEARCH("yea",C66)),IFERROR(_xlfn.NUMBERVALUE(SUBSTITUTE(LEFT(TRIM(C66),FIND(" ",TRIM(C66)&amp;" ")-1),",","."),"."),LEFT(SUBSTITUTE(LEFT(TRIM(C66),FIND(" ",TRIM(C66)&amp;" ")-1),",","."),FIND("/",SUBSTITUTE(LEFT(TRIM(C66),FIND(" ",TRIM(C66)&amp;" ")-1),",","."))-1)/MID(SUBSTITUTE(LEFT(TRIM(C66),FIND(" ",TRIM(C66)&amp;" ")-1),",","."),FIND("/",SUBSTITUTE(LEFT(TRIM(C66),FIND(" ",TRIM(C66)&amp;" ")-1),",","."))+1,9))*12,NA()))),0),24)*'Aturan &amp; Tarif'!$B$4,2)</f>
        <v>1362.72</v>
      </c>
      <c r="K66" s="42" t="n">
        <f aca="false">'Aturan &amp; Tarif'!$B$5</f>
        <v>2050</v>
      </c>
      <c r="L66" s="42" t="n">
        <f aca="false">'Aturan &amp; Tarif'!$B$6</f>
        <v>350</v>
      </c>
      <c r="M66" s="35" t="n">
        <f aca="false">I66+J66+K66+L66</f>
        <v>8912.72</v>
      </c>
      <c r="N66" s="45" t="s">
        <v>134</v>
      </c>
    </row>
    <row r="67" customFormat="false" ht="25.5" hidden="false" customHeight="true" outlineLevel="0" collapsed="false">
      <c r="A67" s="39"/>
      <c r="B67" s="40" t="s">
        <v>689</v>
      </c>
      <c r="C67" s="41" t="s">
        <v>107</v>
      </c>
      <c r="D67" s="41" t="s">
        <v>108</v>
      </c>
      <c r="E67" s="42" t="n">
        <v>3375</v>
      </c>
      <c r="F67" s="42" t="n">
        <v>1350</v>
      </c>
      <c r="G67" s="42" t="n">
        <v>300</v>
      </c>
      <c r="H67" s="43" t="n">
        <v>1</v>
      </c>
      <c r="I67" s="34" t="n">
        <f aca="false">E67*H67+N(F67)+N(G67)</f>
        <v>5025</v>
      </c>
      <c r="J67" s="42" t="n">
        <f aca="false">ROUND(IFERROR(ROUND(IF(OR(ISNUMBER(SEARCH("week",C67)),ISNUMBER(SEARCH("minggu",C67))),IFERROR(_xlfn.NUMBERVALUE(SUBSTITUTE(LEFT(TRIM(C67),FIND(" ",TRIM(C67)&amp;" ")-1),",","."),"."),LEFT(SUBSTITUTE(LEFT(TRIM(C67),FIND(" ",TRIM(C67)&amp;" ")-1),",","."),FIND("/",SUBSTITUTE(LEFT(TRIM(C67),FIND(" ",TRIM(C67)&amp;" ")-1),",","."))-1)/MID(SUBSTITUTE(LEFT(TRIM(C67),FIND(" ",TRIM(C67)&amp;" ")-1),",","."),FIND("/",SUBSTITUTE(LEFT(TRIM(C67),FIND(" ",TRIM(C67)&amp;" ")-1),",","."))+1,9))*12/52,IF(ISNUMBER(SEARCH("month",C67)),IFERROR(_xlfn.NUMBERVALUE(SUBSTITUTE(LEFT(TRIM(C67),FIND(" ",TRIM(C67)&amp;" ")-1),",","."),"."),LEFT(SUBSTITUTE(LEFT(TRIM(C67),FIND(" ",TRIM(C67)&amp;" ")-1),",","."),FIND("/",SUBSTITUTE(LEFT(TRIM(C67),FIND(" ",TRIM(C67)&amp;" ")-1),",","."))-1)/MID(SUBSTITUTE(LEFT(TRIM(C67),FIND(" ",TRIM(C67)&amp;" ")-1),",","."),FIND("/",SUBSTITUTE(LEFT(TRIM(C67),FIND(" ",TRIM(C67)&amp;" ")-1),",","."))+1,9)),IF(ISNUMBER(SEARCH("yea",C67)),IFERROR(_xlfn.NUMBERVALUE(SUBSTITUTE(LEFT(TRIM(C67),FIND(" ",TRIM(C67)&amp;" ")-1),",","."),"."),LEFT(SUBSTITUTE(LEFT(TRIM(C67),FIND(" ",TRIM(C67)&amp;" ")-1),",","."),FIND("/",SUBSTITUTE(LEFT(TRIM(C67),FIND(" ",TRIM(C67)&amp;" ")-1),",","."))-1)/MID(SUBSTITUTE(LEFT(TRIM(C67),FIND(" ",TRIM(C67)&amp;" ")-1),",","."),FIND("/",SUBSTITUTE(LEFT(TRIM(C67),FIND(" ",TRIM(C67)&amp;" ")-1),",","."))+1,9))*12,NA()))),0),24)*'Aturan &amp; Tarif'!$B$4,2)</f>
        <v>1362.72</v>
      </c>
      <c r="K67" s="42" t="n">
        <f aca="false">'Aturan &amp; Tarif'!$B$5</f>
        <v>2050</v>
      </c>
      <c r="L67" s="42" t="n">
        <f aca="false">'Aturan &amp; Tarif'!$B$6</f>
        <v>350</v>
      </c>
      <c r="M67" s="35" t="n">
        <f aca="false">I67+J67+K67+L67</f>
        <v>8787.72</v>
      </c>
      <c r="N67" s="45" t="s">
        <v>134</v>
      </c>
    </row>
    <row r="68" customFormat="false" ht="37.5" hidden="false" customHeight="true" outlineLevel="0" collapsed="false">
      <c r="A68" s="39"/>
      <c r="B68" s="40" t="s">
        <v>690</v>
      </c>
      <c r="C68" s="41" t="s">
        <v>191</v>
      </c>
      <c r="D68" s="41" t="s">
        <v>108</v>
      </c>
      <c r="E68" s="42" t="n">
        <v>3375</v>
      </c>
      <c r="F68" s="42" t="n">
        <v>1350</v>
      </c>
      <c r="G68" s="42" t="n">
        <v>300</v>
      </c>
      <c r="H68" s="43" t="n">
        <v>1</v>
      </c>
      <c r="I68" s="34" t="n">
        <f aca="false">E68*H68+N(F68)+N(G68)</f>
        <v>5025</v>
      </c>
      <c r="J68" s="42" t="n">
        <f aca="false">ROUND(IFERROR(ROUND(IF(OR(ISNUMBER(SEARCH("week",C68)),ISNUMBER(SEARCH("minggu",C68))),IFERROR(_xlfn.NUMBERVALUE(SUBSTITUTE(LEFT(TRIM(C68),FIND(" ",TRIM(C68)&amp;" ")-1),",","."),"."),LEFT(SUBSTITUTE(LEFT(TRIM(C68),FIND(" ",TRIM(C68)&amp;" ")-1),",","."),FIND("/",SUBSTITUTE(LEFT(TRIM(C68),FIND(" ",TRIM(C68)&amp;" ")-1),",","."))-1)/MID(SUBSTITUTE(LEFT(TRIM(C68),FIND(" ",TRIM(C68)&amp;" ")-1),",","."),FIND("/",SUBSTITUTE(LEFT(TRIM(C68),FIND(" ",TRIM(C68)&amp;" ")-1),",","."))+1,9))*12/52,IF(ISNUMBER(SEARCH("month",C68)),IFERROR(_xlfn.NUMBERVALUE(SUBSTITUTE(LEFT(TRIM(C68),FIND(" ",TRIM(C68)&amp;" ")-1),",","."),"."),LEFT(SUBSTITUTE(LEFT(TRIM(C68),FIND(" ",TRIM(C68)&amp;" ")-1),",","."),FIND("/",SUBSTITUTE(LEFT(TRIM(C68),FIND(" ",TRIM(C68)&amp;" ")-1),",","."))-1)/MID(SUBSTITUTE(LEFT(TRIM(C68),FIND(" ",TRIM(C68)&amp;" ")-1),",","."),FIND("/",SUBSTITUTE(LEFT(TRIM(C68),FIND(" ",TRIM(C68)&amp;" ")-1),",","."))+1,9)),IF(ISNUMBER(SEARCH("yea",C68)),IFERROR(_xlfn.NUMBERVALUE(SUBSTITUTE(LEFT(TRIM(C68),FIND(" ",TRIM(C68)&amp;" ")-1),",","."),"."),LEFT(SUBSTITUTE(LEFT(TRIM(C68),FIND(" ",TRIM(C68)&amp;" ")-1),",","."),FIND("/",SUBSTITUTE(LEFT(TRIM(C68),FIND(" ",TRIM(C68)&amp;" ")-1),",","."))-1)/MID(SUBSTITUTE(LEFT(TRIM(C68),FIND(" ",TRIM(C68)&amp;" ")-1),",","."),FIND("/",SUBSTITUTE(LEFT(TRIM(C68),FIND(" ",TRIM(C68)&amp;" ")-1),",","."))+1,9))*12,NA()))),0),48)*'Aturan &amp; Tarif'!$B$4,2)</f>
        <v>2725.44</v>
      </c>
      <c r="K68" s="42" t="n">
        <f aca="false">'Aturan &amp; Tarif'!$B$5</f>
        <v>2050</v>
      </c>
      <c r="L68" s="42" t="n">
        <f aca="false">'Aturan &amp; Tarif'!$B$6</f>
        <v>350</v>
      </c>
      <c r="M68" s="35" t="n">
        <f aca="false">I68+J68+K68+L68</f>
        <v>10150.44</v>
      </c>
      <c r="N68" s="45" t="s">
        <v>134</v>
      </c>
    </row>
    <row r="69" customFormat="false" ht="14.25" hidden="false" customHeight="true" outlineLevel="0" collapsed="false">
      <c r="A69" s="39"/>
      <c r="B69" s="40" t="s">
        <v>691</v>
      </c>
      <c r="C69" s="41" t="s">
        <v>138</v>
      </c>
      <c r="D69" s="41" t="s">
        <v>108</v>
      </c>
      <c r="E69" s="42" t="n">
        <v>3100</v>
      </c>
      <c r="F69" s="42" t="n">
        <v>1500</v>
      </c>
      <c r="G69" s="42" t="n">
        <v>300</v>
      </c>
      <c r="H69" s="43" t="n">
        <v>1</v>
      </c>
      <c r="I69" s="34" t="n">
        <f aca="false">E69*H69+N(F69)+N(G69)</f>
        <v>4900</v>
      </c>
      <c r="J69" s="42" t="n">
        <f aca="false">ROUND(IFERROR(ROUND(IF(OR(ISNUMBER(SEARCH("week",C69)),ISNUMBER(SEARCH("minggu",C69))),IFERROR(_xlfn.NUMBERVALUE(SUBSTITUTE(LEFT(TRIM(C69),FIND(" ",TRIM(C69)&amp;" ")-1),",","."),"."),LEFT(SUBSTITUTE(LEFT(TRIM(C69),FIND(" ",TRIM(C69)&amp;" ")-1),",","."),FIND("/",SUBSTITUTE(LEFT(TRIM(C69),FIND(" ",TRIM(C69)&amp;" ")-1),",","."))-1)/MID(SUBSTITUTE(LEFT(TRIM(C69),FIND(" ",TRIM(C69)&amp;" ")-1),",","."),FIND("/",SUBSTITUTE(LEFT(TRIM(C69),FIND(" ",TRIM(C69)&amp;" ")-1),",","."))+1,9))*12/52,IF(ISNUMBER(SEARCH("month",C69)),IFERROR(_xlfn.NUMBERVALUE(SUBSTITUTE(LEFT(TRIM(C69),FIND(" ",TRIM(C69)&amp;" ")-1),",","."),"."),LEFT(SUBSTITUTE(LEFT(TRIM(C69),FIND(" ",TRIM(C69)&amp;" ")-1),",","."),FIND("/",SUBSTITUTE(LEFT(TRIM(C69),FIND(" ",TRIM(C69)&amp;" ")-1),",","."))-1)/MID(SUBSTITUTE(LEFT(TRIM(C69),FIND(" ",TRIM(C69)&amp;" ")-1),",","."),FIND("/",SUBSTITUTE(LEFT(TRIM(C69),FIND(" ",TRIM(C69)&amp;" ")-1),",","."))+1,9)),IF(ISNUMBER(SEARCH("yea",C69)),IFERROR(_xlfn.NUMBERVALUE(SUBSTITUTE(LEFT(TRIM(C69),FIND(" ",TRIM(C69)&amp;" ")-1),",","."),"."),LEFT(SUBSTITUTE(LEFT(TRIM(C69),FIND(" ",TRIM(C69)&amp;" ")-1),",","."),FIND("/",SUBSTITUTE(LEFT(TRIM(C69),FIND(" ",TRIM(C69)&amp;" ")-1),",","."))-1)/MID(SUBSTITUTE(LEFT(TRIM(C69),FIND(" ",TRIM(C69)&amp;" ")-1),",","."),FIND("/",SUBSTITUTE(LEFT(TRIM(C69),FIND(" ",TRIM(C69)&amp;" ")-1),",","."))+1,9))*12,NA()))),0),30)*'Aturan &amp; Tarif'!$B$4,2)</f>
        <v>1703.4</v>
      </c>
      <c r="K69" s="42" t="n">
        <f aca="false">'Aturan &amp; Tarif'!$B$5</f>
        <v>2050</v>
      </c>
      <c r="L69" s="42" t="n">
        <f aca="false">'Aturan &amp; Tarif'!$B$6</f>
        <v>350</v>
      </c>
      <c r="M69" s="35" t="n">
        <f aca="false">I69+J69+K69+L69</f>
        <v>9003.4</v>
      </c>
      <c r="N69" s="45" t="s">
        <v>134</v>
      </c>
    </row>
    <row r="70" customFormat="false" ht="25.5" hidden="false" customHeight="true" outlineLevel="0" collapsed="false">
      <c r="A70" s="39"/>
      <c r="B70" s="40" t="s">
        <v>692</v>
      </c>
      <c r="C70" s="41" t="s">
        <v>127</v>
      </c>
      <c r="D70" s="41" t="s">
        <v>108</v>
      </c>
      <c r="E70" s="42" t="n">
        <v>3100</v>
      </c>
      <c r="F70" s="42" t="n">
        <v>1500</v>
      </c>
      <c r="G70" s="42" t="n">
        <v>300</v>
      </c>
      <c r="H70" s="43" t="n">
        <v>1</v>
      </c>
      <c r="I70" s="34" t="n">
        <f aca="false">E70*H70+N(F70)+N(G70)</f>
        <v>4900</v>
      </c>
      <c r="J70" s="42" t="n">
        <f aca="false">ROUND(IFERROR(ROUND(IF(OR(ISNUMBER(SEARCH("week",C70)),ISNUMBER(SEARCH("minggu",C70))),IFERROR(_xlfn.NUMBERVALUE(SUBSTITUTE(LEFT(TRIM(C70),FIND(" ",TRIM(C70)&amp;" ")-1),",","."),"."),LEFT(SUBSTITUTE(LEFT(TRIM(C70),FIND(" ",TRIM(C70)&amp;" ")-1),",","."),FIND("/",SUBSTITUTE(LEFT(TRIM(C70),FIND(" ",TRIM(C70)&amp;" ")-1),",","."))-1)/MID(SUBSTITUTE(LEFT(TRIM(C70),FIND(" ",TRIM(C70)&amp;" ")-1),",","."),FIND("/",SUBSTITUTE(LEFT(TRIM(C70),FIND(" ",TRIM(C70)&amp;" ")-1),",","."))+1,9))*12/52,IF(ISNUMBER(SEARCH("month",C70)),IFERROR(_xlfn.NUMBERVALUE(SUBSTITUTE(LEFT(TRIM(C70),FIND(" ",TRIM(C70)&amp;" ")-1),",","."),"."),LEFT(SUBSTITUTE(LEFT(TRIM(C70),FIND(" ",TRIM(C70)&amp;" ")-1),",","."),FIND("/",SUBSTITUTE(LEFT(TRIM(C70),FIND(" ",TRIM(C70)&amp;" ")-1),",","."))-1)/MID(SUBSTITUTE(LEFT(TRIM(C70),FIND(" ",TRIM(C70)&amp;" ")-1),",","."),FIND("/",SUBSTITUTE(LEFT(TRIM(C70),FIND(" ",TRIM(C70)&amp;" ")-1),",","."))+1,9)),IF(ISNUMBER(SEARCH("yea",C70)),IFERROR(_xlfn.NUMBERVALUE(SUBSTITUTE(LEFT(TRIM(C70),FIND(" ",TRIM(C70)&amp;" ")-1),",","."),"."),LEFT(SUBSTITUTE(LEFT(TRIM(C70),FIND(" ",TRIM(C70)&amp;" ")-1),",","."),FIND("/",SUBSTITUTE(LEFT(TRIM(C70),FIND(" ",TRIM(C70)&amp;" ")-1),",","."))-1)/MID(SUBSTITUTE(LEFT(TRIM(C70),FIND(" ",TRIM(C70)&amp;" ")-1),",","."),FIND("/",SUBSTITUTE(LEFT(TRIM(C70),FIND(" ",TRIM(C70)&amp;" ")-1),",","."))+1,9))*12,NA()))),0),36)*'Aturan &amp; Tarif'!$B$4,2)</f>
        <v>2044.08</v>
      </c>
      <c r="K70" s="42" t="n">
        <f aca="false">'Aturan &amp; Tarif'!$B$5</f>
        <v>2050</v>
      </c>
      <c r="L70" s="42" t="n">
        <f aca="false">'Aturan &amp; Tarif'!$B$6</f>
        <v>350</v>
      </c>
      <c r="M70" s="35" t="n">
        <f aca="false">I70+J70+K70+L70</f>
        <v>9344.08</v>
      </c>
      <c r="N70" s="45" t="s">
        <v>134</v>
      </c>
    </row>
    <row r="71" customFormat="false" ht="14.25" hidden="false" customHeight="true" outlineLevel="0" collapsed="false">
      <c r="A71" s="39"/>
      <c r="B71" s="40" t="s">
        <v>616</v>
      </c>
      <c r="C71" s="41" t="s">
        <v>107</v>
      </c>
      <c r="D71" s="41" t="s">
        <v>108</v>
      </c>
      <c r="E71" s="42" t="n">
        <v>3450</v>
      </c>
      <c r="F71" s="42" t="n">
        <v>2700</v>
      </c>
      <c r="G71" s="42" t="n">
        <v>300</v>
      </c>
      <c r="H71" s="43" t="n">
        <v>1</v>
      </c>
      <c r="I71" s="34" t="n">
        <f aca="false">E71*H71+N(F71)+N(G71)</f>
        <v>6450</v>
      </c>
      <c r="J71" s="42" t="n">
        <f aca="false">ROUND(IFERROR(ROUND(IF(OR(ISNUMBER(SEARCH("week",C71)),ISNUMBER(SEARCH("minggu",C71))),IFERROR(_xlfn.NUMBERVALUE(SUBSTITUTE(LEFT(TRIM(C71),FIND(" ",TRIM(C71)&amp;" ")-1),",","."),"."),LEFT(SUBSTITUTE(LEFT(TRIM(C71),FIND(" ",TRIM(C71)&amp;" ")-1),",","."),FIND("/",SUBSTITUTE(LEFT(TRIM(C71),FIND(" ",TRIM(C71)&amp;" ")-1),",","."))-1)/MID(SUBSTITUTE(LEFT(TRIM(C71),FIND(" ",TRIM(C71)&amp;" ")-1),",","."),FIND("/",SUBSTITUTE(LEFT(TRIM(C71),FIND(" ",TRIM(C71)&amp;" ")-1),",","."))+1,9))*12/52,IF(ISNUMBER(SEARCH("month",C71)),IFERROR(_xlfn.NUMBERVALUE(SUBSTITUTE(LEFT(TRIM(C71),FIND(" ",TRIM(C71)&amp;" ")-1),",","."),"."),LEFT(SUBSTITUTE(LEFT(TRIM(C71),FIND(" ",TRIM(C71)&amp;" ")-1),",","."),FIND("/",SUBSTITUTE(LEFT(TRIM(C71),FIND(" ",TRIM(C71)&amp;" ")-1),",","."))-1)/MID(SUBSTITUTE(LEFT(TRIM(C71),FIND(" ",TRIM(C71)&amp;" ")-1),",","."),FIND("/",SUBSTITUTE(LEFT(TRIM(C71),FIND(" ",TRIM(C71)&amp;" ")-1),",","."))+1,9)),IF(ISNUMBER(SEARCH("yea",C71)),IFERROR(_xlfn.NUMBERVALUE(SUBSTITUTE(LEFT(TRIM(C71),FIND(" ",TRIM(C71)&amp;" ")-1),",","."),"."),LEFT(SUBSTITUTE(LEFT(TRIM(C71),FIND(" ",TRIM(C71)&amp;" ")-1),",","."),FIND("/",SUBSTITUTE(LEFT(TRIM(C71),FIND(" ",TRIM(C71)&amp;" ")-1),",","."))-1)/MID(SUBSTITUTE(LEFT(TRIM(C71),FIND(" ",TRIM(C71)&amp;" ")-1),",","."),FIND("/",SUBSTITUTE(LEFT(TRIM(C71),FIND(" ",TRIM(C71)&amp;" ")-1),",","."))+1,9))*12,NA()))),0),24)*'Aturan &amp; Tarif'!$B$4,2)</f>
        <v>1362.72</v>
      </c>
      <c r="K71" s="42" t="n">
        <f aca="false">'Aturan &amp; Tarif'!$B$5</f>
        <v>2050</v>
      </c>
      <c r="L71" s="42" t="n">
        <f aca="false">'Aturan &amp; Tarif'!$B$6</f>
        <v>350</v>
      </c>
      <c r="M71" s="35" t="n">
        <f aca="false">I71+J71+K71+L71</f>
        <v>10212.72</v>
      </c>
      <c r="N71" s="45" t="s">
        <v>134</v>
      </c>
    </row>
    <row r="72" customFormat="false" ht="14.25" hidden="false" customHeight="true" outlineLevel="0" collapsed="false">
      <c r="A72" s="39"/>
      <c r="B72" s="40" t="s">
        <v>471</v>
      </c>
      <c r="C72" s="41" t="s">
        <v>113</v>
      </c>
      <c r="D72" s="41" t="s">
        <v>108</v>
      </c>
      <c r="E72" s="42" t="n">
        <v>3250</v>
      </c>
      <c r="F72" s="42" t="n">
        <v>1350</v>
      </c>
      <c r="G72" s="42"/>
      <c r="H72" s="43" t="n">
        <v>1</v>
      </c>
      <c r="I72" s="34" t="n">
        <f aca="false">E72*H72+N(F72)+N(G72)</f>
        <v>4600</v>
      </c>
      <c r="J72" s="42" t="n">
        <f aca="false">ROUND(IFERROR(ROUND(IF(OR(ISNUMBER(SEARCH("week",C72)),ISNUMBER(SEARCH("minggu",C72))),IFERROR(_xlfn.NUMBERVALUE(SUBSTITUTE(LEFT(TRIM(C72),FIND(" ",TRIM(C72)&amp;" ")-1),",","."),"."),LEFT(SUBSTITUTE(LEFT(TRIM(C72),FIND(" ",TRIM(C72)&amp;" ")-1),",","."),FIND("/",SUBSTITUTE(LEFT(TRIM(C72),FIND(" ",TRIM(C72)&amp;" ")-1),",","."))-1)/MID(SUBSTITUTE(LEFT(TRIM(C72),FIND(" ",TRIM(C72)&amp;" ")-1),",","."),FIND("/",SUBSTITUTE(LEFT(TRIM(C72),FIND(" ",TRIM(C72)&amp;" ")-1),",","."))+1,9))*12/52,IF(ISNUMBER(SEARCH("month",C72)),IFERROR(_xlfn.NUMBERVALUE(SUBSTITUTE(LEFT(TRIM(C72),FIND(" ",TRIM(C72)&amp;" ")-1),",","."),"."),LEFT(SUBSTITUTE(LEFT(TRIM(C72),FIND(" ",TRIM(C72)&amp;" ")-1),",","."),FIND("/",SUBSTITUTE(LEFT(TRIM(C72),FIND(" ",TRIM(C72)&amp;" ")-1),",","."))-1)/MID(SUBSTITUTE(LEFT(TRIM(C72),FIND(" ",TRIM(C72)&amp;" ")-1),",","."),FIND("/",SUBSTITUTE(LEFT(TRIM(C72),FIND(" ",TRIM(C72)&amp;" ")-1),",","."))+1,9)),IF(ISNUMBER(SEARCH("yea",C72)),IFERROR(_xlfn.NUMBERVALUE(SUBSTITUTE(LEFT(TRIM(C72),FIND(" ",TRIM(C72)&amp;" ")-1),",","."),"."),LEFT(SUBSTITUTE(LEFT(TRIM(C72),FIND(" ",TRIM(C72)&amp;" ")-1),",","."),FIND("/",SUBSTITUTE(LEFT(TRIM(C72),FIND(" ",TRIM(C72)&amp;" ")-1),",","."))-1)/MID(SUBSTITUTE(LEFT(TRIM(C72),FIND(" ",TRIM(C72)&amp;" ")-1),",","."),FIND("/",SUBSTITUTE(LEFT(TRIM(C72),FIND(" ",TRIM(C72)&amp;" ")-1),",","."))+1,9))*12,NA()))),0),18)*'Aturan &amp; Tarif'!$B$4,2)</f>
        <v>1022.04</v>
      </c>
      <c r="K72" s="42" t="n">
        <f aca="false">'Aturan &amp; Tarif'!$B$5</f>
        <v>2050</v>
      </c>
      <c r="L72" s="42" t="n">
        <f aca="false">'Aturan &amp; Tarif'!$B$6</f>
        <v>350</v>
      </c>
      <c r="M72" s="35" t="n">
        <f aca="false">I72+J72+K72+L72</f>
        <v>8022.04</v>
      </c>
      <c r="N72" s="45" t="s">
        <v>693</v>
      </c>
    </row>
    <row r="73" customFormat="false" ht="14.25" hidden="false" customHeight="true" outlineLevel="0" collapsed="false">
      <c r="A73" s="39"/>
      <c r="B73" s="40" t="s">
        <v>694</v>
      </c>
      <c r="C73" s="41" t="s">
        <v>130</v>
      </c>
      <c r="D73" s="41" t="s">
        <v>108</v>
      </c>
      <c r="E73" s="42" t="n">
        <v>3375</v>
      </c>
      <c r="F73" s="42" t="n">
        <v>1350</v>
      </c>
      <c r="G73" s="42"/>
      <c r="H73" s="43" t="n">
        <v>1</v>
      </c>
      <c r="I73" s="34" t="n">
        <f aca="false">E73*H73+N(F73)+N(G73)</f>
        <v>4725</v>
      </c>
      <c r="J73" s="42" t="n">
        <f aca="false">ROUND(IFERROR(ROUND(IF(OR(ISNUMBER(SEARCH("week",C73)),ISNUMBER(SEARCH("minggu",C73))),IFERROR(_xlfn.NUMBERVALUE(SUBSTITUTE(LEFT(TRIM(C73),FIND(" ",TRIM(C73)&amp;" ")-1),",","."),"."),LEFT(SUBSTITUTE(LEFT(TRIM(C73),FIND(" ",TRIM(C73)&amp;" ")-1),",","."),FIND("/",SUBSTITUTE(LEFT(TRIM(C73),FIND(" ",TRIM(C73)&amp;" ")-1),",","."))-1)/MID(SUBSTITUTE(LEFT(TRIM(C73),FIND(" ",TRIM(C73)&amp;" ")-1),",","."),FIND("/",SUBSTITUTE(LEFT(TRIM(C73),FIND(" ",TRIM(C73)&amp;" ")-1),",","."))+1,9))*12/52,IF(ISNUMBER(SEARCH("month",C73)),IFERROR(_xlfn.NUMBERVALUE(SUBSTITUTE(LEFT(TRIM(C73),FIND(" ",TRIM(C73)&amp;" ")-1),",","."),"."),LEFT(SUBSTITUTE(LEFT(TRIM(C73),FIND(" ",TRIM(C73)&amp;" ")-1),",","."),FIND("/",SUBSTITUTE(LEFT(TRIM(C73),FIND(" ",TRIM(C73)&amp;" ")-1),",","."))-1)/MID(SUBSTITUTE(LEFT(TRIM(C73),FIND(" ",TRIM(C73)&amp;" ")-1),",","."),FIND("/",SUBSTITUTE(LEFT(TRIM(C73),FIND(" ",TRIM(C73)&amp;" ")-1),",","."))+1,9)),IF(ISNUMBER(SEARCH("yea",C73)),IFERROR(_xlfn.NUMBERVALUE(SUBSTITUTE(LEFT(TRIM(C73),FIND(" ",TRIM(C73)&amp;" ")-1),",","."),"."),LEFT(SUBSTITUTE(LEFT(TRIM(C73),FIND(" ",TRIM(C73)&amp;" ")-1),",","."),FIND("/",SUBSTITUTE(LEFT(TRIM(C73),FIND(" ",TRIM(C73)&amp;" ")-1),",","."))-1)/MID(SUBSTITUTE(LEFT(TRIM(C73),FIND(" ",TRIM(C73)&amp;" ")-1),",","."),FIND("/",SUBSTITUTE(LEFT(TRIM(C73),FIND(" ",TRIM(C73)&amp;" ")-1),",","."))+1,9))*12,NA()))),0),12)*'Aturan &amp; Tarif'!$B$4,2)</f>
        <v>681.36</v>
      </c>
      <c r="K73" s="42" t="n">
        <f aca="false">'Aturan &amp; Tarif'!$B$5</f>
        <v>2050</v>
      </c>
      <c r="L73" s="42" t="n">
        <f aca="false">'Aturan &amp; Tarif'!$B$6</f>
        <v>350</v>
      </c>
      <c r="M73" s="35" t="n">
        <f aca="false">I73+J73+K73+L73</f>
        <v>7806.36</v>
      </c>
      <c r="N73" s="45" t="s">
        <v>695</v>
      </c>
    </row>
    <row r="74" customFormat="false" ht="37.5" hidden="false" customHeight="true" outlineLevel="0" collapsed="false">
      <c r="A74" s="39" t="s">
        <v>696</v>
      </c>
      <c r="B74" s="40" t="s">
        <v>697</v>
      </c>
      <c r="C74" s="41" t="s">
        <v>107</v>
      </c>
      <c r="D74" s="41" t="s">
        <v>108</v>
      </c>
      <c r="E74" s="42" t="n">
        <v>1250</v>
      </c>
      <c r="F74" s="42" t="n">
        <v>120</v>
      </c>
      <c r="G74" s="42" t="n">
        <v>250</v>
      </c>
      <c r="H74" s="43" t="n">
        <v>2</v>
      </c>
      <c r="I74" s="34" t="n">
        <f aca="false">E74*H74+N(F74)+N(G74)</f>
        <v>2870</v>
      </c>
      <c r="J74" s="42" t="n">
        <f aca="false">ROUND(IFERROR(ROUND(IF(OR(ISNUMBER(SEARCH("week",C74)),ISNUMBER(SEARCH("minggu",C74))),IFERROR(_xlfn.NUMBERVALUE(SUBSTITUTE(LEFT(TRIM(C74),FIND(" ",TRIM(C74)&amp;" ")-1),",","."),"."),LEFT(SUBSTITUTE(LEFT(TRIM(C74),FIND(" ",TRIM(C74)&amp;" ")-1),",","."),FIND("/",SUBSTITUTE(LEFT(TRIM(C74),FIND(" ",TRIM(C74)&amp;" ")-1),",","."))-1)/MID(SUBSTITUTE(LEFT(TRIM(C74),FIND(" ",TRIM(C74)&amp;" ")-1),",","."),FIND("/",SUBSTITUTE(LEFT(TRIM(C74),FIND(" ",TRIM(C74)&amp;" ")-1),",","."))+1,9))*12/52,IF(ISNUMBER(SEARCH("month",C74)),IFERROR(_xlfn.NUMBERVALUE(SUBSTITUTE(LEFT(TRIM(C74),FIND(" ",TRIM(C74)&amp;" ")-1),",","."),"."),LEFT(SUBSTITUTE(LEFT(TRIM(C74),FIND(" ",TRIM(C74)&amp;" ")-1),",","."),FIND("/",SUBSTITUTE(LEFT(TRIM(C74),FIND(" ",TRIM(C74)&amp;" ")-1),",","."))-1)/MID(SUBSTITUTE(LEFT(TRIM(C74),FIND(" ",TRIM(C74)&amp;" ")-1),",","."),FIND("/",SUBSTITUTE(LEFT(TRIM(C74),FIND(" ",TRIM(C74)&amp;" ")-1),",","."))+1,9)),IF(ISNUMBER(SEARCH("yea",C74)),IFERROR(_xlfn.NUMBERVALUE(SUBSTITUTE(LEFT(TRIM(C74),FIND(" ",TRIM(C74)&amp;" ")-1),",","."),"."),LEFT(SUBSTITUTE(LEFT(TRIM(C74),FIND(" ",TRIM(C74)&amp;" ")-1),",","."),FIND("/",SUBSTITUTE(LEFT(TRIM(C74),FIND(" ",TRIM(C74)&amp;" ")-1),",","."))-1)/MID(SUBSTITUTE(LEFT(TRIM(C74),FIND(" ",TRIM(C74)&amp;" ")-1),",","."),FIND("/",SUBSTITUTE(LEFT(TRIM(C74),FIND(" ",TRIM(C74)&amp;" ")-1),",","."))+1,9))*12,NA()))),0),24)*'Aturan &amp; Tarif'!$B$4,2)</f>
        <v>1362.72</v>
      </c>
      <c r="K74" s="42" t="n">
        <f aca="false">'Aturan &amp; Tarif'!$B$5</f>
        <v>2050</v>
      </c>
      <c r="L74" s="42" t="n">
        <f aca="false">'Aturan &amp; Tarif'!$B$6</f>
        <v>350</v>
      </c>
      <c r="M74" s="35" t="n">
        <f aca="false">I74+J74+K74+L74</f>
        <v>6632.72</v>
      </c>
      <c r="N74" s="45" t="s">
        <v>698</v>
      </c>
    </row>
    <row r="75" customFormat="false" ht="48.75" hidden="false" customHeight="true" outlineLevel="0" collapsed="false">
      <c r="A75" s="39"/>
      <c r="B75" s="40" t="s">
        <v>699</v>
      </c>
      <c r="C75" s="41" t="s">
        <v>136</v>
      </c>
      <c r="D75" s="41" t="s">
        <v>108</v>
      </c>
      <c r="E75" s="42" t="n">
        <v>1250</v>
      </c>
      <c r="F75" s="42" t="n">
        <v>120</v>
      </c>
      <c r="G75" s="42" t="n">
        <v>250</v>
      </c>
      <c r="H75" s="43" t="n">
        <v>2</v>
      </c>
      <c r="I75" s="34" t="n">
        <f aca="false">E75*H75+N(F75)+N(G75)</f>
        <v>2870</v>
      </c>
      <c r="J75" s="42" t="n">
        <f aca="false">ROUND(IFERROR(ROUND(IF(OR(ISNUMBER(SEARCH("week",C75)),ISNUMBER(SEARCH("minggu",C75))),IFERROR(_xlfn.NUMBERVALUE(SUBSTITUTE(LEFT(TRIM(C75),FIND(" ",TRIM(C75)&amp;" ")-1),",","."),"."),LEFT(SUBSTITUTE(LEFT(TRIM(C75),FIND(" ",TRIM(C75)&amp;" ")-1),",","."),FIND("/",SUBSTITUTE(LEFT(TRIM(C75),FIND(" ",TRIM(C75)&amp;" ")-1),",","."))-1)/MID(SUBSTITUTE(LEFT(TRIM(C75),FIND(" ",TRIM(C75)&amp;" ")-1),",","."),FIND("/",SUBSTITUTE(LEFT(TRIM(C75),FIND(" ",TRIM(C75)&amp;" ")-1),",","."))+1,9))*12/52,IF(ISNUMBER(SEARCH("month",C75)),IFERROR(_xlfn.NUMBERVALUE(SUBSTITUTE(LEFT(TRIM(C75),FIND(" ",TRIM(C75)&amp;" ")-1),",","."),"."),LEFT(SUBSTITUTE(LEFT(TRIM(C75),FIND(" ",TRIM(C75)&amp;" ")-1),",","."),FIND("/",SUBSTITUTE(LEFT(TRIM(C75),FIND(" ",TRIM(C75)&amp;" ")-1),",","."))-1)/MID(SUBSTITUTE(LEFT(TRIM(C75),FIND(" ",TRIM(C75)&amp;" ")-1),",","."),FIND("/",SUBSTITUTE(LEFT(TRIM(C75),FIND(" ",TRIM(C75)&amp;" ")-1),",","."))+1,9)),IF(ISNUMBER(SEARCH("yea",C75)),IFERROR(_xlfn.NUMBERVALUE(SUBSTITUTE(LEFT(TRIM(C75),FIND(" ",TRIM(C75)&amp;" ")-1),",","."),"."),LEFT(SUBSTITUTE(LEFT(TRIM(C75),FIND(" ",TRIM(C75)&amp;" ")-1),",","."),FIND("/",SUBSTITUTE(LEFT(TRIM(C75),FIND(" ",TRIM(C75)&amp;" ")-1),",","."))-1)/MID(SUBSTITUTE(LEFT(TRIM(C75),FIND(" ",TRIM(C75)&amp;" ")-1),",","."),FIND("/",SUBSTITUTE(LEFT(TRIM(C75),FIND(" ",TRIM(C75)&amp;" ")-1),",","."))+1,9))*12,NA()))),0),42)*'Aturan &amp; Tarif'!$B$4,2)</f>
        <v>2384.76</v>
      </c>
      <c r="K75" s="42" t="n">
        <f aca="false">'Aturan &amp; Tarif'!$B$5</f>
        <v>2050</v>
      </c>
      <c r="L75" s="42" t="n">
        <f aca="false">'Aturan &amp; Tarif'!$B$6</f>
        <v>350</v>
      </c>
      <c r="M75" s="35" t="n">
        <f aca="false">I75+J75+K75+L75</f>
        <v>7654.76</v>
      </c>
      <c r="N75" s="44" t="s">
        <v>700</v>
      </c>
    </row>
    <row r="76" customFormat="false" ht="14.25" hidden="false" customHeight="true" outlineLevel="0" collapsed="false">
      <c r="A76" s="39"/>
      <c r="B76" s="40" t="s">
        <v>701</v>
      </c>
      <c r="C76" s="41" t="s">
        <v>107</v>
      </c>
      <c r="D76" s="41" t="s">
        <v>108</v>
      </c>
      <c r="E76" s="42" t="n">
        <v>1250</v>
      </c>
      <c r="F76" s="42" t="n">
        <v>120</v>
      </c>
      <c r="G76" s="42" t="n">
        <v>250</v>
      </c>
      <c r="H76" s="43" t="n">
        <v>2</v>
      </c>
      <c r="I76" s="34" t="n">
        <f aca="false">E76*H76+N(F76)+N(G76)</f>
        <v>2870</v>
      </c>
      <c r="J76" s="42" t="n">
        <f aca="false">ROUND(IFERROR(ROUND(IF(OR(ISNUMBER(SEARCH("week",C76)),ISNUMBER(SEARCH("minggu",C76))),IFERROR(_xlfn.NUMBERVALUE(SUBSTITUTE(LEFT(TRIM(C76),FIND(" ",TRIM(C76)&amp;" ")-1),",","."),"."),LEFT(SUBSTITUTE(LEFT(TRIM(C76),FIND(" ",TRIM(C76)&amp;" ")-1),",","."),FIND("/",SUBSTITUTE(LEFT(TRIM(C76),FIND(" ",TRIM(C76)&amp;" ")-1),",","."))-1)/MID(SUBSTITUTE(LEFT(TRIM(C76),FIND(" ",TRIM(C76)&amp;" ")-1),",","."),FIND("/",SUBSTITUTE(LEFT(TRIM(C76),FIND(" ",TRIM(C76)&amp;" ")-1),",","."))+1,9))*12/52,IF(ISNUMBER(SEARCH("month",C76)),IFERROR(_xlfn.NUMBERVALUE(SUBSTITUTE(LEFT(TRIM(C76),FIND(" ",TRIM(C76)&amp;" ")-1),",","."),"."),LEFT(SUBSTITUTE(LEFT(TRIM(C76),FIND(" ",TRIM(C76)&amp;" ")-1),",","."),FIND("/",SUBSTITUTE(LEFT(TRIM(C76),FIND(" ",TRIM(C76)&amp;" ")-1),",","."))-1)/MID(SUBSTITUTE(LEFT(TRIM(C76),FIND(" ",TRIM(C76)&amp;" ")-1),",","."),FIND("/",SUBSTITUTE(LEFT(TRIM(C76),FIND(" ",TRIM(C76)&amp;" ")-1),",","."))+1,9)),IF(ISNUMBER(SEARCH("yea",C76)),IFERROR(_xlfn.NUMBERVALUE(SUBSTITUTE(LEFT(TRIM(C76),FIND(" ",TRIM(C76)&amp;" ")-1),",","."),"."),LEFT(SUBSTITUTE(LEFT(TRIM(C76),FIND(" ",TRIM(C76)&amp;" ")-1),",","."),FIND("/",SUBSTITUTE(LEFT(TRIM(C76),FIND(" ",TRIM(C76)&amp;" ")-1),",","."))-1)/MID(SUBSTITUTE(LEFT(TRIM(C76),FIND(" ",TRIM(C76)&amp;" ")-1),",","."),FIND("/",SUBSTITUTE(LEFT(TRIM(C76),FIND(" ",TRIM(C76)&amp;" ")-1),",","."))+1,9))*12,NA()))),0),24)*'Aturan &amp; Tarif'!$B$4,2)</f>
        <v>1362.72</v>
      </c>
      <c r="K76" s="42" t="n">
        <f aca="false">'Aturan &amp; Tarif'!$B$5</f>
        <v>2050</v>
      </c>
      <c r="L76" s="42" t="n">
        <f aca="false">'Aturan &amp; Tarif'!$B$6</f>
        <v>350</v>
      </c>
      <c r="M76" s="35" t="n">
        <f aca="false">I76+J76+K76+L76</f>
        <v>6632.72</v>
      </c>
      <c r="N76" s="45" t="s">
        <v>702</v>
      </c>
    </row>
    <row r="77" customFormat="false" ht="37.5" hidden="false" customHeight="true" outlineLevel="0" collapsed="false">
      <c r="A77" s="39"/>
      <c r="B77" s="40" t="s">
        <v>703</v>
      </c>
      <c r="C77" s="41" t="s">
        <v>136</v>
      </c>
      <c r="D77" s="41" t="s">
        <v>108</v>
      </c>
      <c r="E77" s="42" t="n">
        <v>1250</v>
      </c>
      <c r="F77" s="42" t="n">
        <v>120</v>
      </c>
      <c r="G77" s="42" t="n">
        <v>250</v>
      </c>
      <c r="H77" s="43" t="n">
        <v>2</v>
      </c>
      <c r="I77" s="34" t="n">
        <f aca="false">E77*H77+N(F77)+N(G77)</f>
        <v>2870</v>
      </c>
      <c r="J77" s="42" t="n">
        <f aca="false">ROUND(IFERROR(ROUND(IF(OR(ISNUMBER(SEARCH("week",C77)),ISNUMBER(SEARCH("minggu",C77))),IFERROR(_xlfn.NUMBERVALUE(SUBSTITUTE(LEFT(TRIM(C77),FIND(" ",TRIM(C77)&amp;" ")-1),",","."),"."),LEFT(SUBSTITUTE(LEFT(TRIM(C77),FIND(" ",TRIM(C77)&amp;" ")-1),",","."),FIND("/",SUBSTITUTE(LEFT(TRIM(C77),FIND(" ",TRIM(C77)&amp;" ")-1),",","."))-1)/MID(SUBSTITUTE(LEFT(TRIM(C77),FIND(" ",TRIM(C77)&amp;" ")-1),",","."),FIND("/",SUBSTITUTE(LEFT(TRIM(C77),FIND(" ",TRIM(C77)&amp;" ")-1),",","."))+1,9))*12/52,IF(ISNUMBER(SEARCH("month",C77)),IFERROR(_xlfn.NUMBERVALUE(SUBSTITUTE(LEFT(TRIM(C77),FIND(" ",TRIM(C77)&amp;" ")-1),",","."),"."),LEFT(SUBSTITUTE(LEFT(TRIM(C77),FIND(" ",TRIM(C77)&amp;" ")-1),",","."),FIND("/",SUBSTITUTE(LEFT(TRIM(C77),FIND(" ",TRIM(C77)&amp;" ")-1),",","."))-1)/MID(SUBSTITUTE(LEFT(TRIM(C77),FIND(" ",TRIM(C77)&amp;" ")-1),",","."),FIND("/",SUBSTITUTE(LEFT(TRIM(C77),FIND(" ",TRIM(C77)&amp;" ")-1),",","."))+1,9)),IF(ISNUMBER(SEARCH("yea",C77)),IFERROR(_xlfn.NUMBERVALUE(SUBSTITUTE(LEFT(TRIM(C77),FIND(" ",TRIM(C77)&amp;" ")-1),",","."),"."),LEFT(SUBSTITUTE(LEFT(TRIM(C77),FIND(" ",TRIM(C77)&amp;" ")-1),",","."),FIND("/",SUBSTITUTE(LEFT(TRIM(C77),FIND(" ",TRIM(C77)&amp;" ")-1),",","."))-1)/MID(SUBSTITUTE(LEFT(TRIM(C77),FIND(" ",TRIM(C77)&amp;" ")-1),",","."),FIND("/",SUBSTITUTE(LEFT(TRIM(C77),FIND(" ",TRIM(C77)&amp;" ")-1),",","."))+1,9))*12,NA()))),0),42)*'Aturan &amp; Tarif'!$B$4,2)</f>
        <v>2384.76</v>
      </c>
      <c r="K77" s="42" t="n">
        <f aca="false">'Aturan &amp; Tarif'!$B$5</f>
        <v>2050</v>
      </c>
      <c r="L77" s="42" t="n">
        <f aca="false">'Aturan &amp; Tarif'!$B$6</f>
        <v>350</v>
      </c>
      <c r="M77" s="35" t="n">
        <f aca="false">I77+J77+K77+L77</f>
        <v>7654.76</v>
      </c>
      <c r="N77" s="44" t="s">
        <v>704</v>
      </c>
    </row>
    <row r="78" customFormat="false" ht="14.25" hidden="false" customHeight="true" outlineLevel="0" collapsed="false">
      <c r="A78" s="39"/>
      <c r="B78" s="40" t="s">
        <v>705</v>
      </c>
      <c r="C78" s="41" t="s">
        <v>706</v>
      </c>
      <c r="D78" s="41" t="s">
        <v>108</v>
      </c>
      <c r="E78" s="42" t="n">
        <v>1250</v>
      </c>
      <c r="F78" s="42" t="n">
        <v>120</v>
      </c>
      <c r="G78" s="42" t="n">
        <v>260</v>
      </c>
      <c r="H78" s="43" t="n">
        <v>2</v>
      </c>
      <c r="I78" s="34" t="n">
        <f aca="false">E78*H78+N(F78)+N(G78)</f>
        <v>2880</v>
      </c>
      <c r="J78" s="42" t="n">
        <f aca="false">ROUND(IFERROR(ROUND(IF(OR(ISNUMBER(SEARCH("week",C78)),ISNUMBER(SEARCH("minggu",C78))),IFERROR(_xlfn.NUMBERVALUE(SUBSTITUTE(LEFT(TRIM(C78),FIND(" ",TRIM(C78)&amp;" ")-1),",","."),"."),LEFT(SUBSTITUTE(LEFT(TRIM(C78),FIND(" ",TRIM(C78)&amp;" ")-1),",","."),FIND("/",SUBSTITUTE(LEFT(TRIM(C78),FIND(" ",TRIM(C78)&amp;" ")-1),",","."))-1)/MID(SUBSTITUTE(LEFT(TRIM(C78),FIND(" ",TRIM(C78)&amp;" ")-1),",","."),FIND("/",SUBSTITUTE(LEFT(TRIM(C78),FIND(" ",TRIM(C78)&amp;" ")-1),",","."))+1,9))*12/52,IF(ISNUMBER(SEARCH("month",C78)),IFERROR(_xlfn.NUMBERVALUE(SUBSTITUTE(LEFT(TRIM(C78),FIND(" ",TRIM(C78)&amp;" ")-1),",","."),"."),LEFT(SUBSTITUTE(LEFT(TRIM(C78),FIND(" ",TRIM(C78)&amp;" ")-1),",","."),FIND("/",SUBSTITUTE(LEFT(TRIM(C78),FIND(" ",TRIM(C78)&amp;" ")-1),",","."))-1)/MID(SUBSTITUTE(LEFT(TRIM(C78),FIND(" ",TRIM(C78)&amp;" ")-1),",","."),FIND("/",SUBSTITUTE(LEFT(TRIM(C78),FIND(" ",TRIM(C78)&amp;" ")-1),",","."))+1,9)),IF(ISNUMBER(SEARCH("yea",C78)),IFERROR(_xlfn.NUMBERVALUE(SUBSTITUTE(LEFT(TRIM(C78),FIND(" ",TRIM(C78)&amp;" ")-1),",","."),"."),LEFT(SUBSTITUTE(LEFT(TRIM(C78),FIND(" ",TRIM(C78)&amp;" ")-1),",","."),FIND("/",SUBSTITUTE(LEFT(TRIM(C78),FIND(" ",TRIM(C78)&amp;" ")-1),",","."))-1)/MID(SUBSTITUTE(LEFT(TRIM(C78),FIND(" ",TRIM(C78)&amp;" ")-1),",","."),FIND("/",SUBSTITUTE(LEFT(TRIM(C78),FIND(" ",TRIM(C78)&amp;" ")-1),",","."))+1,9))*12,NA()))),0),22)*'Aturan &amp; Tarif'!$B$4,2)</f>
        <v>1249.16</v>
      </c>
      <c r="K78" s="42" t="n">
        <f aca="false">'Aturan &amp; Tarif'!$B$5</f>
        <v>2050</v>
      </c>
      <c r="L78" s="42" t="n">
        <f aca="false">'Aturan &amp; Tarif'!$B$6</f>
        <v>350</v>
      </c>
      <c r="M78" s="35" t="n">
        <f aca="false">I78+J78+K78+L78</f>
        <v>6529.16</v>
      </c>
      <c r="N78" s="45" t="s">
        <v>707</v>
      </c>
    </row>
    <row r="79" customFormat="false" ht="37.5" hidden="false" customHeight="true" outlineLevel="0" collapsed="false">
      <c r="A79" s="39"/>
      <c r="B79" s="40" t="s">
        <v>708</v>
      </c>
      <c r="C79" s="41" t="s">
        <v>709</v>
      </c>
      <c r="D79" s="41" t="s">
        <v>108</v>
      </c>
      <c r="E79" s="42" t="n">
        <v>1250</v>
      </c>
      <c r="F79" s="42" t="n">
        <v>120</v>
      </c>
      <c r="G79" s="42" t="n">
        <v>260</v>
      </c>
      <c r="H79" s="43" t="n">
        <v>2</v>
      </c>
      <c r="I79" s="34" t="n">
        <f aca="false">E79*H79+N(F79)+N(G79)</f>
        <v>2880</v>
      </c>
      <c r="J79" s="42" t="n">
        <f aca="false">ROUND(IFERROR(ROUND(IF(OR(ISNUMBER(SEARCH("week",C79)),ISNUMBER(SEARCH("minggu",C79))),IFERROR(_xlfn.NUMBERVALUE(SUBSTITUTE(LEFT(TRIM(C79),FIND(" ",TRIM(C79)&amp;" ")-1),",","."),"."),LEFT(SUBSTITUTE(LEFT(TRIM(C79),FIND(" ",TRIM(C79)&amp;" ")-1),",","."),FIND("/",SUBSTITUTE(LEFT(TRIM(C79),FIND(" ",TRIM(C79)&amp;" ")-1),",","."))-1)/MID(SUBSTITUTE(LEFT(TRIM(C79),FIND(" ",TRIM(C79)&amp;" ")-1),",","."),FIND("/",SUBSTITUTE(LEFT(TRIM(C79),FIND(" ",TRIM(C79)&amp;" ")-1),",","."))+1,9))*12/52,IF(ISNUMBER(SEARCH("month",C79)),IFERROR(_xlfn.NUMBERVALUE(SUBSTITUTE(LEFT(TRIM(C79),FIND(" ",TRIM(C79)&amp;" ")-1),",","."),"."),LEFT(SUBSTITUTE(LEFT(TRIM(C79),FIND(" ",TRIM(C79)&amp;" ")-1),",","."),FIND("/",SUBSTITUTE(LEFT(TRIM(C79),FIND(" ",TRIM(C79)&amp;" ")-1),",","."))-1)/MID(SUBSTITUTE(LEFT(TRIM(C79),FIND(" ",TRIM(C79)&amp;" ")-1),",","."),FIND("/",SUBSTITUTE(LEFT(TRIM(C79),FIND(" ",TRIM(C79)&amp;" ")-1),",","."))+1,9)),IF(ISNUMBER(SEARCH("yea",C79)),IFERROR(_xlfn.NUMBERVALUE(SUBSTITUTE(LEFT(TRIM(C79),FIND(" ",TRIM(C79)&amp;" ")-1),",","."),"."),LEFT(SUBSTITUTE(LEFT(TRIM(C79),FIND(" ",TRIM(C79)&amp;" ")-1),",","."),FIND("/",SUBSTITUTE(LEFT(TRIM(C79),FIND(" ",TRIM(C79)&amp;" ")-1),",","."))-1)/MID(SUBSTITUTE(LEFT(TRIM(C79),FIND(" ",TRIM(C79)&amp;" ")-1),",","."),FIND("/",SUBSTITUTE(LEFT(TRIM(C79),FIND(" ",TRIM(C79)&amp;" ")-1),",","."))+1,9))*12,NA()))),0),40)*'Aturan &amp; Tarif'!$B$4,2)</f>
        <v>2271.2</v>
      </c>
      <c r="K79" s="42" t="n">
        <f aca="false">'Aturan &amp; Tarif'!$B$5</f>
        <v>2050</v>
      </c>
      <c r="L79" s="42" t="n">
        <f aca="false">'Aturan &amp; Tarif'!$B$6</f>
        <v>350</v>
      </c>
      <c r="M79" s="35" t="n">
        <f aca="false">I79+J79+K79+L79</f>
        <v>7551.2</v>
      </c>
      <c r="N79" s="44" t="s">
        <v>710</v>
      </c>
    </row>
    <row r="80" customFormat="false" ht="25.5" hidden="false" customHeight="true" outlineLevel="0" collapsed="false">
      <c r="A80" s="39"/>
      <c r="B80" s="40" t="s">
        <v>711</v>
      </c>
      <c r="C80" s="41" t="s">
        <v>712</v>
      </c>
      <c r="D80" s="41" t="s">
        <v>108</v>
      </c>
      <c r="E80" s="42" t="n">
        <v>1600</v>
      </c>
      <c r="F80" s="42" t="n">
        <v>500</v>
      </c>
      <c r="G80" s="42" t="n">
        <v>260</v>
      </c>
      <c r="H80" s="43" t="n">
        <v>2</v>
      </c>
      <c r="I80" s="34" t="n">
        <f aca="false">E80*H80+N(F80)+N(G80)</f>
        <v>3960</v>
      </c>
      <c r="J80" s="42" t="n">
        <f aca="false">ROUND(IFERROR(ROUND(IF(OR(ISNUMBER(SEARCH("week",C80)),ISNUMBER(SEARCH("minggu",C80))),IFERROR(_xlfn.NUMBERVALUE(SUBSTITUTE(LEFT(TRIM(C80),FIND(" ",TRIM(C80)&amp;" ")-1),",","."),"."),LEFT(SUBSTITUTE(LEFT(TRIM(C80),FIND(" ",TRIM(C80)&amp;" ")-1),",","."),FIND("/",SUBSTITUTE(LEFT(TRIM(C80),FIND(" ",TRIM(C80)&amp;" ")-1),",","."))-1)/MID(SUBSTITUTE(LEFT(TRIM(C80),FIND(" ",TRIM(C80)&amp;" ")-1),",","."),FIND("/",SUBSTITUTE(LEFT(TRIM(C80),FIND(" ",TRIM(C80)&amp;" ")-1),",","."))+1,9))*12/52,IF(ISNUMBER(SEARCH("month",C80)),IFERROR(_xlfn.NUMBERVALUE(SUBSTITUTE(LEFT(TRIM(C80),FIND(" ",TRIM(C80)&amp;" ")-1),",","."),"."),LEFT(SUBSTITUTE(LEFT(TRIM(C80),FIND(" ",TRIM(C80)&amp;" ")-1),",","."),FIND("/",SUBSTITUTE(LEFT(TRIM(C80),FIND(" ",TRIM(C80)&amp;" ")-1),",","."))-1)/MID(SUBSTITUTE(LEFT(TRIM(C80),FIND(" ",TRIM(C80)&amp;" ")-1),",","."),FIND("/",SUBSTITUTE(LEFT(TRIM(C80),FIND(" ",TRIM(C80)&amp;" ")-1),",","."))+1,9)),IF(ISNUMBER(SEARCH("yea",C80)),IFERROR(_xlfn.NUMBERVALUE(SUBSTITUTE(LEFT(TRIM(C80),FIND(" ",TRIM(C80)&amp;" ")-1),",","."),"."),LEFT(SUBSTITUTE(LEFT(TRIM(C80),FIND(" ",TRIM(C80)&amp;" ")-1),",","."),FIND("/",SUBSTITUTE(LEFT(TRIM(C80),FIND(" ",TRIM(C80)&amp;" ")-1),",","."))-1)/MID(SUBSTITUTE(LEFT(TRIM(C80),FIND(" ",TRIM(C80)&amp;" ")-1),",","."),FIND("/",SUBSTITUTE(LEFT(TRIM(C80),FIND(" ",TRIM(C80)&amp;" ")-1),",","."))+1,9))*12,NA()))),0),30)*'Aturan &amp; Tarif'!$B$4,2)</f>
        <v>1703.4</v>
      </c>
      <c r="K80" s="42" t="n">
        <f aca="false">'Aturan &amp; Tarif'!$B$5</f>
        <v>2050</v>
      </c>
      <c r="L80" s="42" t="n">
        <f aca="false">'Aturan &amp; Tarif'!$B$6</f>
        <v>350</v>
      </c>
      <c r="M80" s="35" t="n">
        <f aca="false">I80+J80+K80+L80</f>
        <v>8063.4</v>
      </c>
      <c r="N80" s="45" t="s">
        <v>713</v>
      </c>
    </row>
    <row r="81" customFormat="false" ht="37.5" hidden="false" customHeight="true" outlineLevel="0" collapsed="false">
      <c r="A81" s="39"/>
      <c r="B81" s="40" t="s">
        <v>714</v>
      </c>
      <c r="C81" s="41" t="s">
        <v>715</v>
      </c>
      <c r="D81" s="41" t="s">
        <v>108</v>
      </c>
      <c r="E81" s="42" t="n">
        <v>1950</v>
      </c>
      <c r="F81" s="42" t="n">
        <v>1700</v>
      </c>
      <c r="G81" s="42" t="n">
        <v>260</v>
      </c>
      <c r="H81" s="43" t="n">
        <v>2</v>
      </c>
      <c r="I81" s="34" t="n">
        <f aca="false">E81*H81+N(F81)+N(G81)</f>
        <v>5860</v>
      </c>
      <c r="J81" s="42" t="n">
        <f aca="false">ROUND(IFERROR(ROUND(IF(OR(ISNUMBER(SEARCH("week",C81)),ISNUMBER(SEARCH("minggu",C81))),IFERROR(_xlfn.NUMBERVALUE(SUBSTITUTE(LEFT(TRIM(C81),FIND(" ",TRIM(C81)&amp;" ")-1),",","."),"."),LEFT(SUBSTITUTE(LEFT(TRIM(C81),FIND(" ",TRIM(C81)&amp;" ")-1),",","."),FIND("/",SUBSTITUTE(LEFT(TRIM(C81),FIND(" ",TRIM(C81)&amp;" ")-1),",","."))-1)/MID(SUBSTITUTE(LEFT(TRIM(C81),FIND(" ",TRIM(C81)&amp;" ")-1),",","."),FIND("/",SUBSTITUTE(LEFT(TRIM(C81),FIND(" ",TRIM(C81)&amp;" ")-1),",","."))+1,9))*12/52,IF(ISNUMBER(SEARCH("month",C81)),IFERROR(_xlfn.NUMBERVALUE(SUBSTITUTE(LEFT(TRIM(C81),FIND(" ",TRIM(C81)&amp;" ")-1),",","."),"."),LEFT(SUBSTITUTE(LEFT(TRIM(C81),FIND(" ",TRIM(C81)&amp;" ")-1),",","."),FIND("/",SUBSTITUTE(LEFT(TRIM(C81),FIND(" ",TRIM(C81)&amp;" ")-1),",","."))-1)/MID(SUBSTITUTE(LEFT(TRIM(C81),FIND(" ",TRIM(C81)&amp;" ")-1),",","."),FIND("/",SUBSTITUTE(LEFT(TRIM(C81),FIND(" ",TRIM(C81)&amp;" ")-1),",","."))+1,9)),IF(ISNUMBER(SEARCH("yea",C81)),IFERROR(_xlfn.NUMBERVALUE(SUBSTITUTE(LEFT(TRIM(C81),FIND(" ",TRIM(C81)&amp;" ")-1),",","."),"."),LEFT(SUBSTITUTE(LEFT(TRIM(C81),FIND(" ",TRIM(C81)&amp;" ")-1),",","."),FIND("/",SUBSTITUTE(LEFT(TRIM(C81),FIND(" ",TRIM(C81)&amp;" ")-1),",","."))-1)/MID(SUBSTITUTE(LEFT(TRIM(C81),FIND(" ",TRIM(C81)&amp;" ")-1),",","."),FIND("/",SUBSTITUTE(LEFT(TRIM(C81),FIND(" ",TRIM(C81)&amp;" ")-1),",","."))+1,9))*12,NA()))),0),25)*'Aturan &amp; Tarif'!$B$4,2)</f>
        <v>1419.5</v>
      </c>
      <c r="K81" s="42" t="n">
        <f aca="false">'Aturan &amp; Tarif'!$B$5</f>
        <v>2050</v>
      </c>
      <c r="L81" s="42" t="n">
        <f aca="false">'Aturan &amp; Tarif'!$B$6</f>
        <v>350</v>
      </c>
      <c r="M81" s="35" t="n">
        <f aca="false">I81+J81+K81+L81</f>
        <v>9679.5</v>
      </c>
      <c r="N81" s="45" t="s">
        <v>716</v>
      </c>
    </row>
    <row r="82" customFormat="false" ht="37.5" hidden="false" customHeight="true" outlineLevel="0" collapsed="false">
      <c r="A82" s="39"/>
      <c r="B82" s="40" t="s">
        <v>717</v>
      </c>
      <c r="C82" s="41" t="s">
        <v>718</v>
      </c>
      <c r="D82" s="41" t="s">
        <v>108</v>
      </c>
      <c r="E82" s="42" t="n">
        <v>1950</v>
      </c>
      <c r="F82" s="42" t="n">
        <v>1700</v>
      </c>
      <c r="G82" s="42" t="n">
        <v>260</v>
      </c>
      <c r="H82" s="43" t="n">
        <v>2</v>
      </c>
      <c r="I82" s="34" t="n">
        <f aca="false">E82*H82+N(F82)+N(G82)</f>
        <v>5860</v>
      </c>
      <c r="J82" s="42" t="n">
        <f aca="false">ROUND(IFERROR(ROUND(IF(OR(ISNUMBER(SEARCH("week",C82)),ISNUMBER(SEARCH("minggu",C82))),IFERROR(_xlfn.NUMBERVALUE(SUBSTITUTE(LEFT(TRIM(C82),FIND(" ",TRIM(C82)&amp;" ")-1),",","."),"."),LEFT(SUBSTITUTE(LEFT(TRIM(C82),FIND(" ",TRIM(C82)&amp;" ")-1),",","."),FIND("/",SUBSTITUTE(LEFT(TRIM(C82),FIND(" ",TRIM(C82)&amp;" ")-1),",","."))-1)/MID(SUBSTITUTE(LEFT(TRIM(C82),FIND(" ",TRIM(C82)&amp;" ")-1),",","."),FIND("/",SUBSTITUTE(LEFT(TRIM(C82),FIND(" ",TRIM(C82)&amp;" ")-1),",","."))+1,9))*12/52,IF(ISNUMBER(SEARCH("month",C82)),IFERROR(_xlfn.NUMBERVALUE(SUBSTITUTE(LEFT(TRIM(C82),FIND(" ",TRIM(C82)&amp;" ")-1),",","."),"."),LEFT(SUBSTITUTE(LEFT(TRIM(C82),FIND(" ",TRIM(C82)&amp;" ")-1),",","."),FIND("/",SUBSTITUTE(LEFT(TRIM(C82),FIND(" ",TRIM(C82)&amp;" ")-1),",","."))-1)/MID(SUBSTITUTE(LEFT(TRIM(C82),FIND(" ",TRIM(C82)&amp;" ")-1),",","."),FIND("/",SUBSTITUTE(LEFT(TRIM(C82),FIND(" ",TRIM(C82)&amp;" ")-1),",","."))+1,9)),IF(ISNUMBER(SEARCH("yea",C82)),IFERROR(_xlfn.NUMBERVALUE(SUBSTITUTE(LEFT(TRIM(C82),FIND(" ",TRIM(C82)&amp;" ")-1),",","."),"."),LEFT(SUBSTITUTE(LEFT(TRIM(C82),FIND(" ",TRIM(C82)&amp;" ")-1),",","."),FIND("/",SUBSTITUTE(LEFT(TRIM(C82),FIND(" ",TRIM(C82)&amp;" ")-1),",","."))-1)/MID(SUBSTITUTE(LEFT(TRIM(C82),FIND(" ",TRIM(C82)&amp;" ")-1),",","."),FIND("/",SUBSTITUTE(LEFT(TRIM(C82),FIND(" ",TRIM(C82)&amp;" ")-1),",","."))+1,9))*12,NA()))),0),33)*'Aturan &amp; Tarif'!$B$4,2)</f>
        <v>1873.74</v>
      </c>
      <c r="K82" s="42" t="n">
        <f aca="false">'Aturan &amp; Tarif'!$B$5</f>
        <v>2050</v>
      </c>
      <c r="L82" s="42" t="n">
        <f aca="false">'Aturan &amp; Tarif'!$B$6</f>
        <v>350</v>
      </c>
      <c r="M82" s="35" t="n">
        <f aca="false">I82+J82+K82+L82</f>
        <v>10133.74</v>
      </c>
      <c r="N82" s="45" t="s">
        <v>719</v>
      </c>
    </row>
    <row r="83" customFormat="false" ht="25.5" hidden="false" customHeight="true" outlineLevel="0" collapsed="false">
      <c r="A83" s="39"/>
      <c r="B83" s="40" t="s">
        <v>720</v>
      </c>
      <c r="C83" s="41" t="s">
        <v>721</v>
      </c>
      <c r="D83" s="41" t="s">
        <v>108</v>
      </c>
      <c r="E83" s="42" t="n">
        <v>1600</v>
      </c>
      <c r="F83" s="42" t="n">
        <v>500</v>
      </c>
      <c r="G83" s="42" t="n">
        <v>260</v>
      </c>
      <c r="H83" s="43" t="n">
        <v>2</v>
      </c>
      <c r="I83" s="34" t="n">
        <f aca="false">E83*H83+N(F83)+N(G83)</f>
        <v>3960</v>
      </c>
      <c r="J83" s="42" t="n">
        <f aca="false">ROUND(IFERROR(ROUND(IF(OR(ISNUMBER(SEARCH("week",C83)),ISNUMBER(SEARCH("minggu",C83))),IFERROR(_xlfn.NUMBERVALUE(SUBSTITUTE(LEFT(TRIM(C83),FIND(" ",TRIM(C83)&amp;" ")-1),",","."),"."),LEFT(SUBSTITUTE(LEFT(TRIM(C83),FIND(" ",TRIM(C83)&amp;" ")-1),",","."),FIND("/",SUBSTITUTE(LEFT(TRIM(C83),FIND(" ",TRIM(C83)&amp;" ")-1),",","."))-1)/MID(SUBSTITUTE(LEFT(TRIM(C83),FIND(" ",TRIM(C83)&amp;" ")-1),",","."),FIND("/",SUBSTITUTE(LEFT(TRIM(C83),FIND(" ",TRIM(C83)&amp;" ")-1),",","."))+1,9))*12/52,IF(ISNUMBER(SEARCH("month",C83)),IFERROR(_xlfn.NUMBERVALUE(SUBSTITUTE(LEFT(TRIM(C83),FIND(" ",TRIM(C83)&amp;" ")-1),",","."),"."),LEFT(SUBSTITUTE(LEFT(TRIM(C83),FIND(" ",TRIM(C83)&amp;" ")-1),",","."),FIND("/",SUBSTITUTE(LEFT(TRIM(C83),FIND(" ",TRIM(C83)&amp;" ")-1),",","."))-1)/MID(SUBSTITUTE(LEFT(TRIM(C83),FIND(" ",TRIM(C83)&amp;" ")-1),",","."),FIND("/",SUBSTITUTE(LEFT(TRIM(C83),FIND(" ",TRIM(C83)&amp;" ")-1),",","."))+1,9)),IF(ISNUMBER(SEARCH("yea",C83)),IFERROR(_xlfn.NUMBERVALUE(SUBSTITUTE(LEFT(TRIM(C83),FIND(" ",TRIM(C83)&amp;" ")-1),",","."),"."),LEFT(SUBSTITUTE(LEFT(TRIM(C83),FIND(" ",TRIM(C83)&amp;" ")-1),",","."),FIND("/",SUBSTITUTE(LEFT(TRIM(C83),FIND(" ",TRIM(C83)&amp;" ")-1),",","."))-1)/MID(SUBSTITUTE(LEFT(TRIM(C83),FIND(" ",TRIM(C83)&amp;" ")-1),",","."),FIND("/",SUBSTITUTE(LEFT(TRIM(C83),FIND(" ",TRIM(C83)&amp;" ")-1),",","."))+1,9))*12,NA()))),0),19)*'Aturan &amp; Tarif'!$B$4,2)</f>
        <v>1078.82</v>
      </c>
      <c r="K83" s="42" t="n">
        <f aca="false">'Aturan &amp; Tarif'!$B$5</f>
        <v>2050</v>
      </c>
      <c r="L83" s="42" t="n">
        <f aca="false">'Aturan &amp; Tarif'!$B$6</f>
        <v>350</v>
      </c>
      <c r="M83" s="35" t="n">
        <f aca="false">I83+J83+K83+L83</f>
        <v>7438.82</v>
      </c>
      <c r="N83" s="45" t="s">
        <v>722</v>
      </c>
    </row>
    <row r="84" customFormat="false" ht="48.75" hidden="false" customHeight="true" outlineLevel="0" collapsed="false">
      <c r="A84" s="39"/>
      <c r="B84" s="40" t="s">
        <v>723</v>
      </c>
      <c r="C84" s="41" t="s">
        <v>724</v>
      </c>
      <c r="D84" s="41" t="s">
        <v>108</v>
      </c>
      <c r="E84" s="42" t="n">
        <v>1600</v>
      </c>
      <c r="F84" s="42" t="n">
        <v>500</v>
      </c>
      <c r="G84" s="42" t="n">
        <v>260</v>
      </c>
      <c r="H84" s="43" t="n">
        <v>2</v>
      </c>
      <c r="I84" s="34" t="n">
        <f aca="false">E84*H84+N(F84)+N(G84)</f>
        <v>3960</v>
      </c>
      <c r="J84" s="42" t="n">
        <f aca="false">ROUND(IFERROR(ROUND(IF(OR(ISNUMBER(SEARCH("week",C84)),ISNUMBER(SEARCH("minggu",C84))),IFERROR(_xlfn.NUMBERVALUE(SUBSTITUTE(LEFT(TRIM(C84),FIND(" ",TRIM(C84)&amp;" ")-1),",","."),"."),LEFT(SUBSTITUTE(LEFT(TRIM(C84),FIND(" ",TRIM(C84)&amp;" ")-1),",","."),FIND("/",SUBSTITUTE(LEFT(TRIM(C84),FIND(" ",TRIM(C84)&amp;" ")-1),",","."))-1)/MID(SUBSTITUTE(LEFT(TRIM(C84),FIND(" ",TRIM(C84)&amp;" ")-1),",","."),FIND("/",SUBSTITUTE(LEFT(TRIM(C84),FIND(" ",TRIM(C84)&amp;" ")-1),",","."))+1,9))*12/52,IF(ISNUMBER(SEARCH("month",C84)),IFERROR(_xlfn.NUMBERVALUE(SUBSTITUTE(LEFT(TRIM(C84),FIND(" ",TRIM(C84)&amp;" ")-1),",","."),"."),LEFT(SUBSTITUTE(LEFT(TRIM(C84),FIND(" ",TRIM(C84)&amp;" ")-1),",","."),FIND("/",SUBSTITUTE(LEFT(TRIM(C84),FIND(" ",TRIM(C84)&amp;" ")-1),",","."))-1)/MID(SUBSTITUTE(LEFT(TRIM(C84),FIND(" ",TRIM(C84)&amp;" ")-1),",","."),FIND("/",SUBSTITUTE(LEFT(TRIM(C84),FIND(" ",TRIM(C84)&amp;" ")-1),",","."))+1,9)),IF(ISNUMBER(SEARCH("yea",C84)),IFERROR(_xlfn.NUMBERVALUE(SUBSTITUTE(LEFT(TRIM(C84),FIND(" ",TRIM(C84)&amp;" ")-1),",","."),"."),LEFT(SUBSTITUTE(LEFT(TRIM(C84),FIND(" ",TRIM(C84)&amp;" ")-1),",","."),FIND("/",SUBSTITUTE(LEFT(TRIM(C84),FIND(" ",TRIM(C84)&amp;" ")-1),",","."))-1)/MID(SUBSTITUTE(LEFT(TRIM(C84),FIND(" ",TRIM(C84)&amp;" ")-1),",","."),FIND("/",SUBSTITUTE(LEFT(TRIM(C84),FIND(" ",TRIM(C84)&amp;" ")-1),",","."))+1,9))*12,NA()))),0),37)*'Aturan &amp; Tarif'!$B$4,2)</f>
        <v>2100.86</v>
      </c>
      <c r="K84" s="42" t="n">
        <f aca="false">'Aturan &amp; Tarif'!$B$5</f>
        <v>2050</v>
      </c>
      <c r="L84" s="42" t="n">
        <f aca="false">'Aturan &amp; Tarif'!$B$6</f>
        <v>350</v>
      </c>
      <c r="M84" s="35" t="n">
        <f aca="false">I84+J84+K84+L84</f>
        <v>8460.86</v>
      </c>
      <c r="N84" s="44" t="s">
        <v>725</v>
      </c>
    </row>
    <row r="85" customFormat="false" ht="60" hidden="false" customHeight="true" outlineLevel="0" collapsed="false">
      <c r="A85" s="47" t="s">
        <v>726</v>
      </c>
      <c r="B85" s="40" t="s">
        <v>727</v>
      </c>
      <c r="C85" s="41" t="s">
        <v>127</v>
      </c>
      <c r="D85" s="41" t="s">
        <v>108</v>
      </c>
      <c r="E85" s="42" t="n">
        <v>4025</v>
      </c>
      <c r="F85" s="42" t="n">
        <v>200</v>
      </c>
      <c r="G85" s="42" t="n">
        <v>250</v>
      </c>
      <c r="H85" s="43" t="n">
        <v>2</v>
      </c>
      <c r="I85" s="34" t="n">
        <f aca="false">E85*H85+N(F85)+N(G85)</f>
        <v>8500</v>
      </c>
      <c r="J85" s="42" t="n">
        <f aca="false">ROUND(IFERROR(ROUND(IF(OR(ISNUMBER(SEARCH("week",C85)),ISNUMBER(SEARCH("minggu",C85))),IFERROR(_xlfn.NUMBERVALUE(SUBSTITUTE(LEFT(TRIM(C85),FIND(" ",TRIM(C85)&amp;" ")-1),",","."),"."),LEFT(SUBSTITUTE(LEFT(TRIM(C85),FIND(" ",TRIM(C85)&amp;" ")-1),",","."),FIND("/",SUBSTITUTE(LEFT(TRIM(C85),FIND(" ",TRIM(C85)&amp;" ")-1),",","."))-1)/MID(SUBSTITUTE(LEFT(TRIM(C85),FIND(" ",TRIM(C85)&amp;" ")-1),",","."),FIND("/",SUBSTITUTE(LEFT(TRIM(C85),FIND(" ",TRIM(C85)&amp;" ")-1),",","."))+1,9))*12/52,IF(ISNUMBER(SEARCH("month",C85)),IFERROR(_xlfn.NUMBERVALUE(SUBSTITUTE(LEFT(TRIM(C85),FIND(" ",TRIM(C85)&amp;" ")-1),",","."),"."),LEFT(SUBSTITUTE(LEFT(TRIM(C85),FIND(" ",TRIM(C85)&amp;" ")-1),",","."),FIND("/",SUBSTITUTE(LEFT(TRIM(C85),FIND(" ",TRIM(C85)&amp;" ")-1),",","."))-1)/MID(SUBSTITUTE(LEFT(TRIM(C85),FIND(" ",TRIM(C85)&amp;" ")-1),",","."),FIND("/",SUBSTITUTE(LEFT(TRIM(C85),FIND(" ",TRIM(C85)&amp;" ")-1),",","."))+1,9)),IF(ISNUMBER(SEARCH("yea",C85)),IFERROR(_xlfn.NUMBERVALUE(SUBSTITUTE(LEFT(TRIM(C85),FIND(" ",TRIM(C85)&amp;" ")-1),",","."),"."),LEFT(SUBSTITUTE(LEFT(TRIM(C85),FIND(" ",TRIM(C85)&amp;" ")-1),",","."),FIND("/",SUBSTITUTE(LEFT(TRIM(C85),FIND(" ",TRIM(C85)&amp;" ")-1),",","."))-1)/MID(SUBSTITUTE(LEFT(TRIM(C85),FIND(" ",TRIM(C85)&amp;" ")-1),",","."),FIND("/",SUBSTITUTE(LEFT(TRIM(C85),FIND(" ",TRIM(C85)&amp;" ")-1),",","."))+1,9))*12,NA()))),0),36)*'Aturan &amp; Tarif'!$B$4,2)</f>
        <v>2044.08</v>
      </c>
      <c r="K85" s="42" t="n">
        <f aca="false">'Aturan &amp; Tarif'!$B$5</f>
        <v>2050</v>
      </c>
      <c r="L85" s="42" t="n">
        <f aca="false">'Aturan &amp; Tarif'!$B$6</f>
        <v>350</v>
      </c>
      <c r="M85" s="35" t="n">
        <f aca="false">I85+J85+K85+L85</f>
        <v>12944.08</v>
      </c>
      <c r="N85" s="44" t="s">
        <v>728</v>
      </c>
    </row>
    <row r="86" customFormat="false" ht="60" hidden="false" customHeight="true" outlineLevel="0" collapsed="false">
      <c r="A86" s="39"/>
      <c r="B86" s="40" t="s">
        <v>729</v>
      </c>
      <c r="C86" s="41" t="s">
        <v>127</v>
      </c>
      <c r="D86" s="41" t="s">
        <v>108</v>
      </c>
      <c r="E86" s="42" t="n">
        <v>4025</v>
      </c>
      <c r="F86" s="42" t="n">
        <v>200</v>
      </c>
      <c r="G86" s="42" t="n">
        <v>250</v>
      </c>
      <c r="H86" s="43" t="n">
        <v>2</v>
      </c>
      <c r="I86" s="34" t="n">
        <f aca="false">E86*H86+N(F86)+N(G86)</f>
        <v>8500</v>
      </c>
      <c r="J86" s="42" t="n">
        <f aca="false">ROUND(IFERROR(ROUND(IF(OR(ISNUMBER(SEARCH("week",C86)),ISNUMBER(SEARCH("minggu",C86))),IFERROR(_xlfn.NUMBERVALUE(SUBSTITUTE(LEFT(TRIM(C86),FIND(" ",TRIM(C86)&amp;" ")-1),",","."),"."),LEFT(SUBSTITUTE(LEFT(TRIM(C86),FIND(" ",TRIM(C86)&amp;" ")-1),",","."),FIND("/",SUBSTITUTE(LEFT(TRIM(C86),FIND(" ",TRIM(C86)&amp;" ")-1),",","."))-1)/MID(SUBSTITUTE(LEFT(TRIM(C86),FIND(" ",TRIM(C86)&amp;" ")-1),",","."),FIND("/",SUBSTITUTE(LEFT(TRIM(C86),FIND(" ",TRIM(C86)&amp;" ")-1),",","."))+1,9))*12/52,IF(ISNUMBER(SEARCH("month",C86)),IFERROR(_xlfn.NUMBERVALUE(SUBSTITUTE(LEFT(TRIM(C86),FIND(" ",TRIM(C86)&amp;" ")-1),",","."),"."),LEFT(SUBSTITUTE(LEFT(TRIM(C86),FIND(" ",TRIM(C86)&amp;" ")-1),",","."),FIND("/",SUBSTITUTE(LEFT(TRIM(C86),FIND(" ",TRIM(C86)&amp;" ")-1),",","."))-1)/MID(SUBSTITUTE(LEFT(TRIM(C86),FIND(" ",TRIM(C86)&amp;" ")-1),",","."),FIND("/",SUBSTITUTE(LEFT(TRIM(C86),FIND(" ",TRIM(C86)&amp;" ")-1),",","."))+1,9)),IF(ISNUMBER(SEARCH("yea",C86)),IFERROR(_xlfn.NUMBERVALUE(SUBSTITUTE(LEFT(TRIM(C86),FIND(" ",TRIM(C86)&amp;" ")-1),",","."),"."),LEFT(SUBSTITUTE(LEFT(TRIM(C86),FIND(" ",TRIM(C86)&amp;" ")-1),",","."),FIND("/",SUBSTITUTE(LEFT(TRIM(C86),FIND(" ",TRIM(C86)&amp;" ")-1),",","."))-1)/MID(SUBSTITUTE(LEFT(TRIM(C86),FIND(" ",TRIM(C86)&amp;" ")-1),",","."),FIND("/",SUBSTITUTE(LEFT(TRIM(C86),FIND(" ",TRIM(C86)&amp;" ")-1),",","."))+1,9))*12,NA()))),0),36)*'Aturan &amp; Tarif'!$B$4,2)</f>
        <v>2044.08</v>
      </c>
      <c r="K86" s="42" t="n">
        <f aca="false">'Aturan &amp; Tarif'!$B$5</f>
        <v>2050</v>
      </c>
      <c r="L86" s="42" t="n">
        <f aca="false">'Aturan &amp; Tarif'!$B$6</f>
        <v>350</v>
      </c>
      <c r="M86" s="35" t="n">
        <f aca="false">I86+J86+K86+L86</f>
        <v>12944.08</v>
      </c>
      <c r="N86" s="44" t="s">
        <v>728</v>
      </c>
    </row>
    <row r="87" customFormat="false" ht="60" hidden="false" customHeight="true" outlineLevel="0" collapsed="false">
      <c r="A87" s="39"/>
      <c r="B87" s="40" t="s">
        <v>730</v>
      </c>
      <c r="C87" s="41" t="s">
        <v>127</v>
      </c>
      <c r="D87" s="41" t="s">
        <v>108</v>
      </c>
      <c r="E87" s="42" t="n">
        <v>4025</v>
      </c>
      <c r="F87" s="42" t="n">
        <v>200</v>
      </c>
      <c r="G87" s="42" t="n">
        <v>250</v>
      </c>
      <c r="H87" s="43" t="n">
        <v>2</v>
      </c>
      <c r="I87" s="34" t="n">
        <f aca="false">E87*H87+N(F87)+N(G87)</f>
        <v>8500</v>
      </c>
      <c r="J87" s="42" t="n">
        <f aca="false">ROUND(IFERROR(ROUND(IF(OR(ISNUMBER(SEARCH("week",C87)),ISNUMBER(SEARCH("minggu",C87))),IFERROR(_xlfn.NUMBERVALUE(SUBSTITUTE(LEFT(TRIM(C87),FIND(" ",TRIM(C87)&amp;" ")-1),",","."),"."),LEFT(SUBSTITUTE(LEFT(TRIM(C87),FIND(" ",TRIM(C87)&amp;" ")-1),",","."),FIND("/",SUBSTITUTE(LEFT(TRIM(C87),FIND(" ",TRIM(C87)&amp;" ")-1),",","."))-1)/MID(SUBSTITUTE(LEFT(TRIM(C87),FIND(" ",TRIM(C87)&amp;" ")-1),",","."),FIND("/",SUBSTITUTE(LEFT(TRIM(C87),FIND(" ",TRIM(C87)&amp;" ")-1),",","."))+1,9))*12/52,IF(ISNUMBER(SEARCH("month",C87)),IFERROR(_xlfn.NUMBERVALUE(SUBSTITUTE(LEFT(TRIM(C87),FIND(" ",TRIM(C87)&amp;" ")-1),",","."),"."),LEFT(SUBSTITUTE(LEFT(TRIM(C87),FIND(" ",TRIM(C87)&amp;" ")-1),",","."),FIND("/",SUBSTITUTE(LEFT(TRIM(C87),FIND(" ",TRIM(C87)&amp;" ")-1),",","."))-1)/MID(SUBSTITUTE(LEFT(TRIM(C87),FIND(" ",TRIM(C87)&amp;" ")-1),",","."),FIND("/",SUBSTITUTE(LEFT(TRIM(C87),FIND(" ",TRIM(C87)&amp;" ")-1),",","."))+1,9)),IF(ISNUMBER(SEARCH("yea",C87)),IFERROR(_xlfn.NUMBERVALUE(SUBSTITUTE(LEFT(TRIM(C87),FIND(" ",TRIM(C87)&amp;" ")-1),",","."),"."),LEFT(SUBSTITUTE(LEFT(TRIM(C87),FIND(" ",TRIM(C87)&amp;" ")-1),",","."),FIND("/",SUBSTITUTE(LEFT(TRIM(C87),FIND(" ",TRIM(C87)&amp;" ")-1),",","."))-1)/MID(SUBSTITUTE(LEFT(TRIM(C87),FIND(" ",TRIM(C87)&amp;" ")-1),",","."),FIND("/",SUBSTITUTE(LEFT(TRIM(C87),FIND(" ",TRIM(C87)&amp;" ")-1),",","."))+1,9))*12,NA()))),0),36)*'Aturan &amp; Tarif'!$B$4,2)</f>
        <v>2044.08</v>
      </c>
      <c r="K87" s="42" t="n">
        <f aca="false">'Aturan &amp; Tarif'!$B$5</f>
        <v>2050</v>
      </c>
      <c r="L87" s="42" t="n">
        <f aca="false">'Aturan &amp; Tarif'!$B$6</f>
        <v>350</v>
      </c>
      <c r="M87" s="35" t="n">
        <f aca="false">I87+J87+K87+L87</f>
        <v>12944.08</v>
      </c>
      <c r="N87" s="44" t="s">
        <v>728</v>
      </c>
    </row>
    <row r="88" customFormat="false" ht="60" hidden="false" customHeight="true" outlineLevel="0" collapsed="false">
      <c r="A88" s="39" t="s">
        <v>731</v>
      </c>
      <c r="B88" s="40" t="s">
        <v>732</v>
      </c>
      <c r="C88" s="41" t="s">
        <v>130</v>
      </c>
      <c r="D88" s="41" t="s">
        <v>108</v>
      </c>
      <c r="E88" s="42" t="n">
        <v>3750</v>
      </c>
      <c r="F88" s="42" t="n">
        <v>50</v>
      </c>
      <c r="G88" s="42" t="n">
        <v>250</v>
      </c>
      <c r="H88" s="43" t="n">
        <v>1</v>
      </c>
      <c r="I88" s="34" t="n">
        <f aca="false">E88*H88+N(F88)+N(G88)</f>
        <v>4050</v>
      </c>
      <c r="J88" s="42" t="n">
        <f aca="false">ROUND(IFERROR(ROUND(IF(OR(ISNUMBER(SEARCH("week",C88)),ISNUMBER(SEARCH("minggu",C88))),IFERROR(_xlfn.NUMBERVALUE(SUBSTITUTE(LEFT(TRIM(C88),FIND(" ",TRIM(C88)&amp;" ")-1),",","."),"."),LEFT(SUBSTITUTE(LEFT(TRIM(C88),FIND(" ",TRIM(C88)&amp;" ")-1),",","."),FIND("/",SUBSTITUTE(LEFT(TRIM(C88),FIND(" ",TRIM(C88)&amp;" ")-1),",","."))-1)/MID(SUBSTITUTE(LEFT(TRIM(C88),FIND(" ",TRIM(C88)&amp;" ")-1),",","."),FIND("/",SUBSTITUTE(LEFT(TRIM(C88),FIND(" ",TRIM(C88)&amp;" ")-1),",","."))+1,9))*12/52,IF(ISNUMBER(SEARCH("month",C88)),IFERROR(_xlfn.NUMBERVALUE(SUBSTITUTE(LEFT(TRIM(C88),FIND(" ",TRIM(C88)&amp;" ")-1),",","."),"."),LEFT(SUBSTITUTE(LEFT(TRIM(C88),FIND(" ",TRIM(C88)&amp;" ")-1),",","."),FIND("/",SUBSTITUTE(LEFT(TRIM(C88),FIND(" ",TRIM(C88)&amp;" ")-1),",","."))-1)/MID(SUBSTITUTE(LEFT(TRIM(C88),FIND(" ",TRIM(C88)&amp;" ")-1),",","."),FIND("/",SUBSTITUTE(LEFT(TRIM(C88),FIND(" ",TRIM(C88)&amp;" ")-1),",","."))+1,9)),IF(ISNUMBER(SEARCH("yea",C88)),IFERROR(_xlfn.NUMBERVALUE(SUBSTITUTE(LEFT(TRIM(C88),FIND(" ",TRIM(C88)&amp;" ")-1),",","."),"."),LEFT(SUBSTITUTE(LEFT(TRIM(C88),FIND(" ",TRIM(C88)&amp;" ")-1),",","."),FIND("/",SUBSTITUTE(LEFT(TRIM(C88),FIND(" ",TRIM(C88)&amp;" ")-1),",","."))-1)/MID(SUBSTITUTE(LEFT(TRIM(C88),FIND(" ",TRIM(C88)&amp;" ")-1),",","."),FIND("/",SUBSTITUTE(LEFT(TRIM(C88),FIND(" ",TRIM(C88)&amp;" ")-1),",","."))+1,9))*12,NA()))),0),12)*'Aturan &amp; Tarif'!$B$4,2)</f>
        <v>681.36</v>
      </c>
      <c r="K88" s="42" t="n">
        <f aca="false">'Aturan &amp; Tarif'!$B$5</f>
        <v>2050</v>
      </c>
      <c r="L88" s="42" t="n">
        <f aca="false">'Aturan &amp; Tarif'!$B$6</f>
        <v>350</v>
      </c>
      <c r="M88" s="35" t="n">
        <f aca="false">I88+J88+K88+L88</f>
        <v>7131.36</v>
      </c>
      <c r="N88" s="45" t="s">
        <v>134</v>
      </c>
    </row>
    <row r="89" customFormat="false" ht="14.25" hidden="false" customHeight="true" outlineLevel="0" collapsed="false">
      <c r="A89" s="39"/>
      <c r="B89" s="40" t="s">
        <v>594</v>
      </c>
      <c r="C89" s="41" t="s">
        <v>130</v>
      </c>
      <c r="D89" s="41" t="s">
        <v>108</v>
      </c>
      <c r="E89" s="42" t="n">
        <v>3750</v>
      </c>
      <c r="F89" s="42" t="n">
        <v>50</v>
      </c>
      <c r="G89" s="42" t="n">
        <v>250</v>
      </c>
      <c r="H89" s="43" t="n">
        <v>1</v>
      </c>
      <c r="I89" s="34" t="n">
        <f aca="false">E89*H89+N(F89)+N(G89)</f>
        <v>4050</v>
      </c>
      <c r="J89" s="42" t="n">
        <f aca="false">ROUND(IFERROR(ROUND(IF(OR(ISNUMBER(SEARCH("week",C89)),ISNUMBER(SEARCH("minggu",C89))),IFERROR(_xlfn.NUMBERVALUE(SUBSTITUTE(LEFT(TRIM(C89),FIND(" ",TRIM(C89)&amp;" ")-1),",","."),"."),LEFT(SUBSTITUTE(LEFT(TRIM(C89),FIND(" ",TRIM(C89)&amp;" ")-1),",","."),FIND("/",SUBSTITUTE(LEFT(TRIM(C89),FIND(" ",TRIM(C89)&amp;" ")-1),",","."))-1)/MID(SUBSTITUTE(LEFT(TRIM(C89),FIND(" ",TRIM(C89)&amp;" ")-1),",","."),FIND("/",SUBSTITUTE(LEFT(TRIM(C89),FIND(" ",TRIM(C89)&amp;" ")-1),",","."))+1,9))*12/52,IF(ISNUMBER(SEARCH("month",C89)),IFERROR(_xlfn.NUMBERVALUE(SUBSTITUTE(LEFT(TRIM(C89),FIND(" ",TRIM(C89)&amp;" ")-1),",","."),"."),LEFT(SUBSTITUTE(LEFT(TRIM(C89),FIND(" ",TRIM(C89)&amp;" ")-1),",","."),FIND("/",SUBSTITUTE(LEFT(TRIM(C89),FIND(" ",TRIM(C89)&amp;" ")-1),",","."))-1)/MID(SUBSTITUTE(LEFT(TRIM(C89),FIND(" ",TRIM(C89)&amp;" ")-1),",","."),FIND("/",SUBSTITUTE(LEFT(TRIM(C89),FIND(" ",TRIM(C89)&amp;" ")-1),",","."))+1,9)),IF(ISNUMBER(SEARCH("yea",C89)),IFERROR(_xlfn.NUMBERVALUE(SUBSTITUTE(LEFT(TRIM(C89),FIND(" ",TRIM(C89)&amp;" ")-1),",","."),"."),LEFT(SUBSTITUTE(LEFT(TRIM(C89),FIND(" ",TRIM(C89)&amp;" ")-1),",","."),FIND("/",SUBSTITUTE(LEFT(TRIM(C89),FIND(" ",TRIM(C89)&amp;" ")-1),",","."))-1)/MID(SUBSTITUTE(LEFT(TRIM(C89),FIND(" ",TRIM(C89)&amp;" ")-1),",","."),FIND("/",SUBSTITUTE(LEFT(TRIM(C89),FIND(" ",TRIM(C89)&amp;" ")-1),",","."))+1,9))*12,NA()))),0),12)*'Aturan &amp; Tarif'!$B$4,2)</f>
        <v>681.36</v>
      </c>
      <c r="K89" s="42" t="n">
        <f aca="false">'Aturan &amp; Tarif'!$B$5</f>
        <v>2050</v>
      </c>
      <c r="L89" s="42" t="n">
        <f aca="false">'Aturan &amp; Tarif'!$B$6</f>
        <v>350</v>
      </c>
      <c r="M89" s="35" t="n">
        <f aca="false">I89+J89+K89+L89</f>
        <v>7131.36</v>
      </c>
      <c r="N89" s="45" t="s">
        <v>134</v>
      </c>
    </row>
    <row r="90" customFormat="false" ht="14.25" hidden="false" customHeight="true" outlineLevel="0" collapsed="false">
      <c r="A90" s="39"/>
      <c r="B90" s="40" t="s">
        <v>733</v>
      </c>
      <c r="C90" s="41" t="s">
        <v>734</v>
      </c>
      <c r="D90" s="41" t="s">
        <v>108</v>
      </c>
      <c r="E90" s="42" t="n">
        <v>6000</v>
      </c>
      <c r="F90" s="42" t="n">
        <v>50</v>
      </c>
      <c r="G90" s="42" t="n">
        <v>250</v>
      </c>
      <c r="H90" s="43" t="n">
        <v>1</v>
      </c>
      <c r="I90" s="34" t="n">
        <f aca="false">E90*H90+N(F90)+N(G90)</f>
        <v>6300</v>
      </c>
      <c r="J90" s="42" t="n">
        <f aca="false">ROUND(IFERROR(ROUND(IF(OR(ISNUMBER(SEARCH("week",C90)),ISNUMBER(SEARCH("minggu",C90))),IFERROR(_xlfn.NUMBERVALUE(SUBSTITUTE(LEFT(TRIM(C90),FIND(" ",TRIM(C90)&amp;" ")-1),",","."),"."),LEFT(SUBSTITUTE(LEFT(TRIM(C90),FIND(" ",TRIM(C90)&amp;" ")-1),",","."),FIND("/",SUBSTITUTE(LEFT(TRIM(C90),FIND(" ",TRIM(C90)&amp;" ")-1),",","."))-1)/MID(SUBSTITUTE(LEFT(TRIM(C90),FIND(" ",TRIM(C90)&amp;" ")-1),",","."),FIND("/",SUBSTITUTE(LEFT(TRIM(C90),FIND(" ",TRIM(C90)&amp;" ")-1),",","."))+1,9))*12/52,IF(ISNUMBER(SEARCH("month",C90)),IFERROR(_xlfn.NUMBERVALUE(SUBSTITUTE(LEFT(TRIM(C90),FIND(" ",TRIM(C90)&amp;" ")-1),",","."),"."),LEFT(SUBSTITUTE(LEFT(TRIM(C90),FIND(" ",TRIM(C90)&amp;" ")-1),",","."),FIND("/",SUBSTITUTE(LEFT(TRIM(C90),FIND(" ",TRIM(C90)&amp;" ")-1),",","."))-1)/MID(SUBSTITUTE(LEFT(TRIM(C90),FIND(" ",TRIM(C90)&amp;" ")-1),",","."),FIND("/",SUBSTITUTE(LEFT(TRIM(C90),FIND(" ",TRIM(C90)&amp;" ")-1),",","."))+1,9)),IF(ISNUMBER(SEARCH("yea",C90)),IFERROR(_xlfn.NUMBERVALUE(SUBSTITUTE(LEFT(TRIM(C90),FIND(" ",TRIM(C90)&amp;" ")-1),",","."),"."),LEFT(SUBSTITUTE(LEFT(TRIM(C90),FIND(" ",TRIM(C90)&amp;" ")-1),",","."),FIND("/",SUBSTITUTE(LEFT(TRIM(C90),FIND(" ",TRIM(C90)&amp;" ")-1),",","."))-1)/MID(SUBSTITUTE(LEFT(TRIM(C90),FIND(" ",TRIM(C90)&amp;" ")-1),",","."),FIND("/",SUBSTITUTE(LEFT(TRIM(C90),FIND(" ",TRIM(C90)&amp;" ")-1),",","."))+1,9))*12,NA()))),0),6)*'Aturan &amp; Tarif'!$B$4,2)</f>
        <v>340.68</v>
      </c>
      <c r="K90" s="42" t="n">
        <f aca="false">'Aturan &amp; Tarif'!$B$5</f>
        <v>2050</v>
      </c>
      <c r="L90" s="42" t="n">
        <f aca="false">'Aturan &amp; Tarif'!$B$6</f>
        <v>350</v>
      </c>
      <c r="M90" s="35" t="n">
        <f aca="false">I90+J90+K90+L90</f>
        <v>9040.68</v>
      </c>
      <c r="N90" s="45" t="s">
        <v>134</v>
      </c>
    </row>
    <row r="91" customFormat="false" ht="37.5" hidden="false" customHeight="true" outlineLevel="0" collapsed="false">
      <c r="A91" s="29" t="s">
        <v>735</v>
      </c>
      <c r="B91" s="30" t="s">
        <v>736</v>
      </c>
      <c r="C91" s="31" t="s">
        <v>130</v>
      </c>
      <c r="D91" s="31" t="s">
        <v>737</v>
      </c>
      <c r="E91" s="32" t="n">
        <v>11520</v>
      </c>
      <c r="F91" s="32" t="n">
        <v>0</v>
      </c>
      <c r="G91" s="32" t="n">
        <v>300</v>
      </c>
      <c r="H91" s="33" t="n">
        <v>1</v>
      </c>
      <c r="I91" s="34" t="n">
        <f aca="false">E91*H91+N(F91)+N(G91)</f>
        <v>11820</v>
      </c>
      <c r="J91" s="32" t="n">
        <f aca="false">ROUND(IFERROR(ROUND(IF(OR(ISNUMBER(SEARCH("week",C91)),ISNUMBER(SEARCH("minggu",C91))),IFERROR(_xlfn.NUMBERVALUE(SUBSTITUTE(LEFT(TRIM(C91),FIND(" ",TRIM(C91)&amp;" ")-1),",","."),"."),LEFT(SUBSTITUTE(LEFT(TRIM(C91),FIND(" ",TRIM(C91)&amp;" ")-1),",","."),FIND("/",SUBSTITUTE(LEFT(TRIM(C91),FIND(" ",TRIM(C91)&amp;" ")-1),",","."))-1)/MID(SUBSTITUTE(LEFT(TRIM(C91),FIND(" ",TRIM(C91)&amp;" ")-1),",","."),FIND("/",SUBSTITUTE(LEFT(TRIM(C91),FIND(" ",TRIM(C91)&amp;" ")-1),",","."))+1,9))*12/52,IF(ISNUMBER(SEARCH("month",C91)),IFERROR(_xlfn.NUMBERVALUE(SUBSTITUTE(LEFT(TRIM(C91),FIND(" ",TRIM(C91)&amp;" ")-1),",","."),"."),LEFT(SUBSTITUTE(LEFT(TRIM(C91),FIND(" ",TRIM(C91)&amp;" ")-1),",","."),FIND("/",SUBSTITUTE(LEFT(TRIM(C91),FIND(" ",TRIM(C91)&amp;" ")-1),",","."))-1)/MID(SUBSTITUTE(LEFT(TRIM(C91),FIND(" ",TRIM(C91)&amp;" ")-1),",","."),FIND("/",SUBSTITUTE(LEFT(TRIM(C91),FIND(" ",TRIM(C91)&amp;" ")-1),",","."))+1,9)),IF(ISNUMBER(SEARCH("yea",C91)),IFERROR(_xlfn.NUMBERVALUE(SUBSTITUTE(LEFT(TRIM(C91),FIND(" ",TRIM(C91)&amp;" ")-1),",","."),"."),LEFT(SUBSTITUTE(LEFT(TRIM(C91),FIND(" ",TRIM(C91)&amp;" ")-1),",","."),FIND("/",SUBSTITUTE(LEFT(TRIM(C91),FIND(" ",TRIM(C91)&amp;" ")-1),",","."))-1)/MID(SUBSTITUTE(LEFT(TRIM(C91),FIND(" ",TRIM(C91)&amp;" ")-1),",","."),FIND("/",SUBSTITUTE(LEFT(TRIM(C91),FIND(" ",TRIM(C91)&amp;" ")-1),",","."))+1,9))*12,NA()))),0),12)*'Aturan &amp; Tarif'!$B$4,2)</f>
        <v>681.36</v>
      </c>
      <c r="K91" s="32" t="n">
        <f aca="false">'Aturan &amp; Tarif'!$B$5</f>
        <v>2050</v>
      </c>
      <c r="L91" s="32" t="n">
        <f aca="false">'Aturan &amp; Tarif'!$B$6</f>
        <v>350</v>
      </c>
      <c r="M91" s="35" t="n">
        <f aca="false">I91+J91+K91+L91</f>
        <v>14901.36</v>
      </c>
      <c r="N91" s="37" t="s">
        <v>738</v>
      </c>
    </row>
    <row r="92" customFormat="false" ht="25.5" hidden="false" customHeight="true" outlineLevel="0" collapsed="false">
      <c r="A92" s="29"/>
      <c r="B92" s="30" t="s">
        <v>739</v>
      </c>
      <c r="C92" s="31" t="s">
        <v>127</v>
      </c>
      <c r="D92" s="31" t="s">
        <v>737</v>
      </c>
      <c r="E92" s="32" t="n">
        <v>11520</v>
      </c>
      <c r="F92" s="32" t="n">
        <v>0</v>
      </c>
      <c r="G92" s="32" t="n">
        <v>300</v>
      </c>
      <c r="H92" s="33" t="n">
        <v>1</v>
      </c>
      <c r="I92" s="34" t="n">
        <f aca="false">E92*H92+N(F92)+N(G92)</f>
        <v>11820</v>
      </c>
      <c r="J92" s="32" t="n">
        <f aca="false">ROUND(IFERROR(ROUND(IF(OR(ISNUMBER(SEARCH("week",C92)),ISNUMBER(SEARCH("minggu",C92))),IFERROR(_xlfn.NUMBERVALUE(SUBSTITUTE(LEFT(TRIM(C92),FIND(" ",TRIM(C92)&amp;" ")-1),",","."),"."),LEFT(SUBSTITUTE(LEFT(TRIM(C92),FIND(" ",TRIM(C92)&amp;" ")-1),",","."),FIND("/",SUBSTITUTE(LEFT(TRIM(C92),FIND(" ",TRIM(C92)&amp;" ")-1),",","."))-1)/MID(SUBSTITUTE(LEFT(TRIM(C92),FIND(" ",TRIM(C92)&amp;" ")-1),",","."),FIND("/",SUBSTITUTE(LEFT(TRIM(C92),FIND(" ",TRIM(C92)&amp;" ")-1),",","."))+1,9))*12/52,IF(ISNUMBER(SEARCH("month",C92)),IFERROR(_xlfn.NUMBERVALUE(SUBSTITUTE(LEFT(TRIM(C92),FIND(" ",TRIM(C92)&amp;" ")-1),",","."),"."),LEFT(SUBSTITUTE(LEFT(TRIM(C92),FIND(" ",TRIM(C92)&amp;" ")-1),",","."),FIND("/",SUBSTITUTE(LEFT(TRIM(C92),FIND(" ",TRIM(C92)&amp;" ")-1),",","."))-1)/MID(SUBSTITUTE(LEFT(TRIM(C92),FIND(" ",TRIM(C92)&amp;" ")-1),",","."),FIND("/",SUBSTITUTE(LEFT(TRIM(C92),FIND(" ",TRIM(C92)&amp;" ")-1),",","."))+1,9)),IF(ISNUMBER(SEARCH("yea",C92)),IFERROR(_xlfn.NUMBERVALUE(SUBSTITUTE(LEFT(TRIM(C92),FIND(" ",TRIM(C92)&amp;" ")-1),",","."),"."),LEFT(SUBSTITUTE(LEFT(TRIM(C92),FIND(" ",TRIM(C92)&amp;" ")-1),",","."),FIND("/",SUBSTITUTE(LEFT(TRIM(C92),FIND(" ",TRIM(C92)&amp;" ")-1),",","."))-1)/MID(SUBSTITUTE(LEFT(TRIM(C92),FIND(" ",TRIM(C92)&amp;" ")-1),",","."),FIND("/",SUBSTITUTE(LEFT(TRIM(C92),FIND(" ",TRIM(C92)&amp;" ")-1),",","."))+1,9))*12,NA()))),0),36)*'Aturan &amp; Tarif'!$B$4,2)</f>
        <v>2044.08</v>
      </c>
      <c r="K92" s="32" t="n">
        <f aca="false">'Aturan &amp; Tarif'!$B$5</f>
        <v>2050</v>
      </c>
      <c r="L92" s="32" t="n">
        <f aca="false">'Aturan &amp; Tarif'!$B$6</f>
        <v>350</v>
      </c>
      <c r="M92" s="35" t="n">
        <f aca="false">I92+J92+K92+L92</f>
        <v>16264.08</v>
      </c>
      <c r="N92" s="37" t="s">
        <v>738</v>
      </c>
    </row>
    <row r="93" customFormat="false" ht="25.5" hidden="false" customHeight="true" outlineLevel="0" collapsed="false">
      <c r="A93" s="29"/>
      <c r="B93" s="30" t="s">
        <v>740</v>
      </c>
      <c r="C93" s="31" t="s">
        <v>344</v>
      </c>
      <c r="D93" s="31" t="s">
        <v>737</v>
      </c>
      <c r="E93" s="32" t="n">
        <v>19640</v>
      </c>
      <c r="F93" s="32" t="n">
        <v>0</v>
      </c>
      <c r="G93" s="32" t="n">
        <v>300</v>
      </c>
      <c r="H93" s="33" t="n">
        <v>1</v>
      </c>
      <c r="I93" s="34" t="n">
        <f aca="false">E93*H93+N(F93)+N(G93)</f>
        <v>19940</v>
      </c>
      <c r="J93" s="32" t="n">
        <f aca="false">ROUND(IFERROR(ROUND(IF(OR(ISNUMBER(SEARCH("week",C93)),ISNUMBER(SEARCH("minggu",C93))),IFERROR(_xlfn.NUMBERVALUE(SUBSTITUTE(LEFT(TRIM(C93),FIND(" ",TRIM(C93)&amp;" ")-1),",","."),"."),LEFT(SUBSTITUTE(LEFT(TRIM(C93),FIND(" ",TRIM(C93)&amp;" ")-1),",","."),FIND("/",SUBSTITUTE(LEFT(TRIM(C93),FIND(" ",TRIM(C93)&amp;" ")-1),",","."))-1)/MID(SUBSTITUTE(LEFT(TRIM(C93),FIND(" ",TRIM(C93)&amp;" ")-1),",","."),FIND("/",SUBSTITUTE(LEFT(TRIM(C93),FIND(" ",TRIM(C93)&amp;" ")-1),",","."))+1,9))*12/52,IF(ISNUMBER(SEARCH("month",C93)),IFERROR(_xlfn.NUMBERVALUE(SUBSTITUTE(LEFT(TRIM(C93),FIND(" ",TRIM(C93)&amp;" ")-1),",","."),"."),LEFT(SUBSTITUTE(LEFT(TRIM(C93),FIND(" ",TRIM(C93)&amp;" ")-1),",","."),FIND("/",SUBSTITUTE(LEFT(TRIM(C93),FIND(" ",TRIM(C93)&amp;" ")-1),",","."))-1)/MID(SUBSTITUTE(LEFT(TRIM(C93),FIND(" ",TRIM(C93)&amp;" ")-1),",","."),FIND("/",SUBSTITUTE(LEFT(TRIM(C93),FIND(" ",TRIM(C93)&amp;" ")-1),",","."))+1,9)),IF(ISNUMBER(SEARCH("yea",C93)),IFERROR(_xlfn.NUMBERVALUE(SUBSTITUTE(LEFT(TRIM(C93),FIND(" ",TRIM(C93)&amp;" ")-1),",","."),"."),LEFT(SUBSTITUTE(LEFT(TRIM(C93),FIND(" ",TRIM(C93)&amp;" ")-1),",","."),FIND("/",SUBSTITUTE(LEFT(TRIM(C93),FIND(" ",TRIM(C93)&amp;" ")-1),",","."))-1)/MID(SUBSTITUTE(LEFT(TRIM(C93),FIND(" ",TRIM(C93)&amp;" ")-1),",","."),FIND("/",SUBSTITUTE(LEFT(TRIM(C93),FIND(" ",TRIM(C93)&amp;" ")-1),",","."))+1,9))*12,NA()))),0),6)*'Aturan &amp; Tarif'!$B$4,2)</f>
        <v>340.68</v>
      </c>
      <c r="K93" s="32" t="n">
        <f aca="false">'Aturan &amp; Tarif'!$B$5</f>
        <v>2050</v>
      </c>
      <c r="L93" s="32" t="n">
        <f aca="false">'Aturan &amp; Tarif'!$B$6</f>
        <v>350</v>
      </c>
      <c r="M93" s="35" t="n">
        <f aca="false">I93+J93+K93+L93</f>
        <v>22680.68</v>
      </c>
      <c r="N93" s="37" t="s">
        <v>738</v>
      </c>
    </row>
    <row r="94" customFormat="false" ht="25.5" hidden="false" customHeight="true" outlineLevel="0" collapsed="false">
      <c r="A94" s="29"/>
      <c r="B94" s="30" t="s">
        <v>741</v>
      </c>
      <c r="C94" s="31" t="s">
        <v>130</v>
      </c>
      <c r="D94" s="31" t="s">
        <v>737</v>
      </c>
      <c r="E94" s="32" t="n">
        <v>19640</v>
      </c>
      <c r="F94" s="32" t="n">
        <v>0</v>
      </c>
      <c r="G94" s="32" t="n">
        <v>300</v>
      </c>
      <c r="H94" s="33" t="n">
        <v>1</v>
      </c>
      <c r="I94" s="34" t="n">
        <f aca="false">E94*H94+N(F94)+N(G94)</f>
        <v>19940</v>
      </c>
      <c r="J94" s="32" t="n">
        <f aca="false">ROUND(IFERROR(ROUND(IF(OR(ISNUMBER(SEARCH("week",C94)),ISNUMBER(SEARCH("minggu",C94))),IFERROR(_xlfn.NUMBERVALUE(SUBSTITUTE(LEFT(TRIM(C94),FIND(" ",TRIM(C94)&amp;" ")-1),",","."),"."),LEFT(SUBSTITUTE(LEFT(TRIM(C94),FIND(" ",TRIM(C94)&amp;" ")-1),",","."),FIND("/",SUBSTITUTE(LEFT(TRIM(C94),FIND(" ",TRIM(C94)&amp;" ")-1),",","."))-1)/MID(SUBSTITUTE(LEFT(TRIM(C94),FIND(" ",TRIM(C94)&amp;" ")-1),",","."),FIND("/",SUBSTITUTE(LEFT(TRIM(C94),FIND(" ",TRIM(C94)&amp;" ")-1),",","."))+1,9))*12/52,IF(ISNUMBER(SEARCH("month",C94)),IFERROR(_xlfn.NUMBERVALUE(SUBSTITUTE(LEFT(TRIM(C94),FIND(" ",TRIM(C94)&amp;" ")-1),",","."),"."),LEFT(SUBSTITUTE(LEFT(TRIM(C94),FIND(" ",TRIM(C94)&amp;" ")-1),",","."),FIND("/",SUBSTITUTE(LEFT(TRIM(C94),FIND(" ",TRIM(C94)&amp;" ")-1),",","."))-1)/MID(SUBSTITUTE(LEFT(TRIM(C94),FIND(" ",TRIM(C94)&amp;" ")-1),",","."),FIND("/",SUBSTITUTE(LEFT(TRIM(C94),FIND(" ",TRIM(C94)&amp;" ")-1),",","."))+1,9)),IF(ISNUMBER(SEARCH("yea",C94)),IFERROR(_xlfn.NUMBERVALUE(SUBSTITUTE(LEFT(TRIM(C94),FIND(" ",TRIM(C94)&amp;" ")-1),",","."),"."),LEFT(SUBSTITUTE(LEFT(TRIM(C94),FIND(" ",TRIM(C94)&amp;" ")-1),",","."),FIND("/",SUBSTITUTE(LEFT(TRIM(C94),FIND(" ",TRIM(C94)&amp;" ")-1),",","."))-1)/MID(SUBSTITUTE(LEFT(TRIM(C94),FIND(" ",TRIM(C94)&amp;" ")-1),",","."),FIND("/",SUBSTITUTE(LEFT(TRIM(C94),FIND(" ",TRIM(C94)&amp;" ")-1),",","."))+1,9))*12,NA()))),0),12)*'Aturan &amp; Tarif'!$B$4,2)</f>
        <v>681.36</v>
      </c>
      <c r="K94" s="32" t="n">
        <f aca="false">'Aturan &amp; Tarif'!$B$5</f>
        <v>2050</v>
      </c>
      <c r="L94" s="32" t="n">
        <f aca="false">'Aturan &amp; Tarif'!$B$6</f>
        <v>350</v>
      </c>
      <c r="M94" s="35" t="n">
        <f aca="false">I94+J94+K94+L94</f>
        <v>23021.36</v>
      </c>
      <c r="N94" s="37" t="s">
        <v>742</v>
      </c>
    </row>
    <row r="95" customFormat="false" ht="25.5" hidden="false" customHeight="true" outlineLevel="0" collapsed="false">
      <c r="A95" s="29"/>
      <c r="B95" s="30" t="s">
        <v>743</v>
      </c>
      <c r="C95" s="31" t="s">
        <v>113</v>
      </c>
      <c r="D95" s="31" t="s">
        <v>737</v>
      </c>
      <c r="E95" s="32" t="n">
        <v>19640</v>
      </c>
      <c r="F95" s="32" t="n">
        <v>0</v>
      </c>
      <c r="G95" s="32" t="n">
        <v>300</v>
      </c>
      <c r="H95" s="33" t="n">
        <v>1</v>
      </c>
      <c r="I95" s="34" t="n">
        <f aca="false">E95*H95+N(F95)+N(G95)</f>
        <v>19940</v>
      </c>
      <c r="J95" s="32" t="n">
        <f aca="false">ROUND(IFERROR(ROUND(IF(OR(ISNUMBER(SEARCH("week",C95)),ISNUMBER(SEARCH("minggu",C95))),IFERROR(_xlfn.NUMBERVALUE(SUBSTITUTE(LEFT(TRIM(C95),FIND(" ",TRIM(C95)&amp;" ")-1),",","."),"."),LEFT(SUBSTITUTE(LEFT(TRIM(C95),FIND(" ",TRIM(C95)&amp;" ")-1),",","."),FIND("/",SUBSTITUTE(LEFT(TRIM(C95),FIND(" ",TRIM(C95)&amp;" ")-1),",","."))-1)/MID(SUBSTITUTE(LEFT(TRIM(C95),FIND(" ",TRIM(C95)&amp;" ")-1),",","."),FIND("/",SUBSTITUTE(LEFT(TRIM(C95),FIND(" ",TRIM(C95)&amp;" ")-1),",","."))+1,9))*12/52,IF(ISNUMBER(SEARCH("month",C95)),IFERROR(_xlfn.NUMBERVALUE(SUBSTITUTE(LEFT(TRIM(C95),FIND(" ",TRIM(C95)&amp;" ")-1),",","."),"."),LEFT(SUBSTITUTE(LEFT(TRIM(C95),FIND(" ",TRIM(C95)&amp;" ")-1),",","."),FIND("/",SUBSTITUTE(LEFT(TRIM(C95),FIND(" ",TRIM(C95)&amp;" ")-1),",","."))-1)/MID(SUBSTITUTE(LEFT(TRIM(C95),FIND(" ",TRIM(C95)&amp;" ")-1),",","."),FIND("/",SUBSTITUTE(LEFT(TRIM(C95),FIND(" ",TRIM(C95)&amp;" ")-1),",","."))+1,9)),IF(ISNUMBER(SEARCH("yea",C95)),IFERROR(_xlfn.NUMBERVALUE(SUBSTITUTE(LEFT(TRIM(C95),FIND(" ",TRIM(C95)&amp;" ")-1),",","."),"."),LEFT(SUBSTITUTE(LEFT(TRIM(C95),FIND(" ",TRIM(C95)&amp;" ")-1),",","."),FIND("/",SUBSTITUTE(LEFT(TRIM(C95),FIND(" ",TRIM(C95)&amp;" ")-1),",","."))-1)/MID(SUBSTITUTE(LEFT(TRIM(C95),FIND(" ",TRIM(C95)&amp;" ")-1),",","."),FIND("/",SUBSTITUTE(LEFT(TRIM(C95),FIND(" ",TRIM(C95)&amp;" ")-1),",","."))+1,9))*12,NA()))),0),18)*'Aturan &amp; Tarif'!$B$4,2)</f>
        <v>1022.04</v>
      </c>
      <c r="K95" s="32" t="n">
        <f aca="false">'Aturan &amp; Tarif'!$B$5</f>
        <v>2050</v>
      </c>
      <c r="L95" s="32" t="n">
        <f aca="false">'Aturan &amp; Tarif'!$B$6</f>
        <v>350</v>
      </c>
      <c r="M95" s="35" t="n">
        <f aca="false">I95+J95+K95+L95</f>
        <v>23362.04</v>
      </c>
      <c r="N95" s="37" t="s">
        <v>744</v>
      </c>
    </row>
    <row r="96" customFormat="false" ht="25.5" hidden="false" customHeight="true" outlineLevel="0" collapsed="false">
      <c r="A96" s="29"/>
      <c r="B96" s="30" t="s">
        <v>745</v>
      </c>
      <c r="C96" s="31" t="s">
        <v>344</v>
      </c>
      <c r="D96" s="31" t="s">
        <v>737</v>
      </c>
      <c r="E96" s="32" t="n">
        <v>13600</v>
      </c>
      <c r="F96" s="32" t="n">
        <v>0</v>
      </c>
      <c r="G96" s="32" t="n">
        <v>300</v>
      </c>
      <c r="H96" s="33" t="n">
        <v>1</v>
      </c>
      <c r="I96" s="34" t="n">
        <f aca="false">E96*H96+N(F96)+N(G96)</f>
        <v>13900</v>
      </c>
      <c r="J96" s="32" t="n">
        <f aca="false">ROUND(IFERROR(ROUND(IF(OR(ISNUMBER(SEARCH("week",C96)),ISNUMBER(SEARCH("minggu",C96))),IFERROR(_xlfn.NUMBERVALUE(SUBSTITUTE(LEFT(TRIM(C96),FIND(" ",TRIM(C96)&amp;" ")-1),",","."),"."),LEFT(SUBSTITUTE(LEFT(TRIM(C96),FIND(" ",TRIM(C96)&amp;" ")-1),",","."),FIND("/",SUBSTITUTE(LEFT(TRIM(C96),FIND(" ",TRIM(C96)&amp;" ")-1),",","."))-1)/MID(SUBSTITUTE(LEFT(TRIM(C96),FIND(" ",TRIM(C96)&amp;" ")-1),",","."),FIND("/",SUBSTITUTE(LEFT(TRIM(C96),FIND(" ",TRIM(C96)&amp;" ")-1),",","."))+1,9))*12/52,IF(ISNUMBER(SEARCH("month",C96)),IFERROR(_xlfn.NUMBERVALUE(SUBSTITUTE(LEFT(TRIM(C96),FIND(" ",TRIM(C96)&amp;" ")-1),",","."),"."),LEFT(SUBSTITUTE(LEFT(TRIM(C96),FIND(" ",TRIM(C96)&amp;" ")-1),",","."),FIND("/",SUBSTITUTE(LEFT(TRIM(C96),FIND(" ",TRIM(C96)&amp;" ")-1),",","."))-1)/MID(SUBSTITUTE(LEFT(TRIM(C96),FIND(" ",TRIM(C96)&amp;" ")-1),",","."),FIND("/",SUBSTITUTE(LEFT(TRIM(C96),FIND(" ",TRIM(C96)&amp;" ")-1),",","."))+1,9)),IF(ISNUMBER(SEARCH("yea",C96)),IFERROR(_xlfn.NUMBERVALUE(SUBSTITUTE(LEFT(TRIM(C96),FIND(" ",TRIM(C96)&amp;" ")-1),",","."),"."),LEFT(SUBSTITUTE(LEFT(TRIM(C96),FIND(" ",TRIM(C96)&amp;" ")-1),",","."),FIND("/",SUBSTITUTE(LEFT(TRIM(C96),FIND(" ",TRIM(C96)&amp;" ")-1),",","."))-1)/MID(SUBSTITUTE(LEFT(TRIM(C96),FIND(" ",TRIM(C96)&amp;" ")-1),",","."),FIND("/",SUBSTITUTE(LEFT(TRIM(C96),FIND(" ",TRIM(C96)&amp;" ")-1),",","."))+1,9))*12,NA()))),0),6)*'Aturan &amp; Tarif'!$B$4,2)</f>
        <v>340.68</v>
      </c>
      <c r="K96" s="32" t="n">
        <f aca="false">'Aturan &amp; Tarif'!$B$5</f>
        <v>2050</v>
      </c>
      <c r="L96" s="32" t="n">
        <f aca="false">'Aturan &amp; Tarif'!$B$6</f>
        <v>350</v>
      </c>
      <c r="M96" s="35" t="n">
        <f aca="false">I96+J96+K96+L96</f>
        <v>16640.68</v>
      </c>
      <c r="N96" s="37" t="s">
        <v>738</v>
      </c>
    </row>
    <row r="97" customFormat="false" ht="25.5" hidden="false" customHeight="true" outlineLevel="0" collapsed="false">
      <c r="A97" s="29"/>
      <c r="B97" s="30" t="s">
        <v>746</v>
      </c>
      <c r="C97" s="31" t="s">
        <v>107</v>
      </c>
      <c r="D97" s="31" t="s">
        <v>737</v>
      </c>
      <c r="E97" s="32" t="n">
        <v>13600</v>
      </c>
      <c r="F97" s="32" t="n">
        <v>0</v>
      </c>
      <c r="G97" s="32" t="n">
        <v>300</v>
      </c>
      <c r="H97" s="33" t="n">
        <v>1</v>
      </c>
      <c r="I97" s="34" t="n">
        <f aca="false">E97*H97+N(F97)+N(G97)</f>
        <v>13900</v>
      </c>
      <c r="J97" s="32" t="n">
        <f aca="false">ROUND(IFERROR(ROUND(IF(OR(ISNUMBER(SEARCH("week",C97)),ISNUMBER(SEARCH("minggu",C97))),IFERROR(_xlfn.NUMBERVALUE(SUBSTITUTE(LEFT(TRIM(C97),FIND(" ",TRIM(C97)&amp;" ")-1),",","."),"."),LEFT(SUBSTITUTE(LEFT(TRIM(C97),FIND(" ",TRIM(C97)&amp;" ")-1),",","."),FIND("/",SUBSTITUTE(LEFT(TRIM(C97),FIND(" ",TRIM(C97)&amp;" ")-1),",","."))-1)/MID(SUBSTITUTE(LEFT(TRIM(C97),FIND(" ",TRIM(C97)&amp;" ")-1),",","."),FIND("/",SUBSTITUTE(LEFT(TRIM(C97),FIND(" ",TRIM(C97)&amp;" ")-1),",","."))+1,9))*12/52,IF(ISNUMBER(SEARCH("month",C97)),IFERROR(_xlfn.NUMBERVALUE(SUBSTITUTE(LEFT(TRIM(C97),FIND(" ",TRIM(C97)&amp;" ")-1),",","."),"."),LEFT(SUBSTITUTE(LEFT(TRIM(C97),FIND(" ",TRIM(C97)&amp;" ")-1),",","."),FIND("/",SUBSTITUTE(LEFT(TRIM(C97),FIND(" ",TRIM(C97)&amp;" ")-1),",","."))-1)/MID(SUBSTITUTE(LEFT(TRIM(C97),FIND(" ",TRIM(C97)&amp;" ")-1),",","."),FIND("/",SUBSTITUTE(LEFT(TRIM(C97),FIND(" ",TRIM(C97)&amp;" ")-1),",","."))+1,9)),IF(ISNUMBER(SEARCH("yea",C97)),IFERROR(_xlfn.NUMBERVALUE(SUBSTITUTE(LEFT(TRIM(C97),FIND(" ",TRIM(C97)&amp;" ")-1),",","."),"."),LEFT(SUBSTITUTE(LEFT(TRIM(C97),FIND(" ",TRIM(C97)&amp;" ")-1),",","."),FIND("/",SUBSTITUTE(LEFT(TRIM(C97),FIND(" ",TRIM(C97)&amp;" ")-1),",","."))-1)/MID(SUBSTITUTE(LEFT(TRIM(C97),FIND(" ",TRIM(C97)&amp;" ")-1),",","."),FIND("/",SUBSTITUTE(LEFT(TRIM(C97),FIND(" ",TRIM(C97)&amp;" ")-1),",","."))+1,9))*12,NA()))),0),24)*'Aturan &amp; Tarif'!$B$4,2)</f>
        <v>1362.72</v>
      </c>
      <c r="K97" s="32" t="n">
        <f aca="false">'Aturan &amp; Tarif'!$B$5</f>
        <v>2050</v>
      </c>
      <c r="L97" s="32" t="n">
        <f aca="false">'Aturan &amp; Tarif'!$B$6</f>
        <v>350</v>
      </c>
      <c r="M97" s="35" t="n">
        <f aca="false">I97+J97+K97+L97</f>
        <v>17662.72</v>
      </c>
      <c r="N97" s="37" t="s">
        <v>738</v>
      </c>
    </row>
    <row r="98" customFormat="false" ht="25.5" hidden="false" customHeight="true" outlineLevel="0" collapsed="false">
      <c r="A98" s="29"/>
      <c r="B98" s="30" t="s">
        <v>747</v>
      </c>
      <c r="C98" s="31" t="s">
        <v>113</v>
      </c>
      <c r="D98" s="31" t="s">
        <v>737</v>
      </c>
      <c r="E98" s="32" t="n">
        <v>13600</v>
      </c>
      <c r="F98" s="32" t="n">
        <v>0</v>
      </c>
      <c r="G98" s="32" t="n">
        <v>300</v>
      </c>
      <c r="H98" s="33" t="n">
        <v>1</v>
      </c>
      <c r="I98" s="34" t="n">
        <f aca="false">E98*H98+N(F98)+N(G98)</f>
        <v>13900</v>
      </c>
      <c r="J98" s="32" t="n">
        <f aca="false">ROUND(IFERROR(ROUND(IF(OR(ISNUMBER(SEARCH("week",C98)),ISNUMBER(SEARCH("minggu",C98))),IFERROR(_xlfn.NUMBERVALUE(SUBSTITUTE(LEFT(TRIM(C98),FIND(" ",TRIM(C98)&amp;" ")-1),",","."),"."),LEFT(SUBSTITUTE(LEFT(TRIM(C98),FIND(" ",TRIM(C98)&amp;" ")-1),",","."),FIND("/",SUBSTITUTE(LEFT(TRIM(C98),FIND(" ",TRIM(C98)&amp;" ")-1),",","."))-1)/MID(SUBSTITUTE(LEFT(TRIM(C98),FIND(" ",TRIM(C98)&amp;" ")-1),",","."),FIND("/",SUBSTITUTE(LEFT(TRIM(C98),FIND(" ",TRIM(C98)&amp;" ")-1),",","."))+1,9))*12/52,IF(ISNUMBER(SEARCH("month",C98)),IFERROR(_xlfn.NUMBERVALUE(SUBSTITUTE(LEFT(TRIM(C98),FIND(" ",TRIM(C98)&amp;" ")-1),",","."),"."),LEFT(SUBSTITUTE(LEFT(TRIM(C98),FIND(" ",TRIM(C98)&amp;" ")-1),",","."),FIND("/",SUBSTITUTE(LEFT(TRIM(C98),FIND(" ",TRIM(C98)&amp;" ")-1),",","."))-1)/MID(SUBSTITUTE(LEFT(TRIM(C98),FIND(" ",TRIM(C98)&amp;" ")-1),",","."),FIND("/",SUBSTITUTE(LEFT(TRIM(C98),FIND(" ",TRIM(C98)&amp;" ")-1),",","."))+1,9)),IF(ISNUMBER(SEARCH("yea",C98)),IFERROR(_xlfn.NUMBERVALUE(SUBSTITUTE(LEFT(TRIM(C98),FIND(" ",TRIM(C98)&amp;" ")-1),",","."),"."),LEFT(SUBSTITUTE(LEFT(TRIM(C98),FIND(" ",TRIM(C98)&amp;" ")-1),",","."),FIND("/",SUBSTITUTE(LEFT(TRIM(C98),FIND(" ",TRIM(C98)&amp;" ")-1),",","."))-1)/MID(SUBSTITUTE(LEFT(TRIM(C98),FIND(" ",TRIM(C98)&amp;" ")-1),",","."),FIND("/",SUBSTITUTE(LEFT(TRIM(C98),FIND(" ",TRIM(C98)&amp;" ")-1),",","."))+1,9))*12,NA()))),0),18)*'Aturan &amp; Tarif'!$B$4,2)</f>
        <v>1022.04</v>
      </c>
      <c r="K98" s="32" t="n">
        <f aca="false">'Aturan &amp; Tarif'!$B$5</f>
        <v>2050</v>
      </c>
      <c r="L98" s="32" t="n">
        <f aca="false">'Aturan &amp; Tarif'!$B$6</f>
        <v>350</v>
      </c>
      <c r="M98" s="35" t="n">
        <f aca="false">I98+J98+K98+L98</f>
        <v>17322.04</v>
      </c>
      <c r="N98" s="37" t="s">
        <v>738</v>
      </c>
    </row>
    <row r="99" customFormat="false" ht="25.5" hidden="false" customHeight="true" outlineLevel="0" collapsed="false">
      <c r="A99" s="29"/>
      <c r="B99" s="30" t="s">
        <v>748</v>
      </c>
      <c r="C99" s="31" t="s">
        <v>113</v>
      </c>
      <c r="D99" s="31" t="s">
        <v>737</v>
      </c>
      <c r="E99" s="32" t="n">
        <v>13600</v>
      </c>
      <c r="F99" s="32" t="n">
        <v>0</v>
      </c>
      <c r="G99" s="32" t="n">
        <v>300</v>
      </c>
      <c r="H99" s="33" t="n">
        <v>1</v>
      </c>
      <c r="I99" s="34" t="n">
        <f aca="false">E99*H99+N(F99)+N(G99)</f>
        <v>13900</v>
      </c>
      <c r="J99" s="32" t="n">
        <f aca="false">ROUND(IFERROR(ROUND(IF(OR(ISNUMBER(SEARCH("week",C99)),ISNUMBER(SEARCH("minggu",C99))),IFERROR(_xlfn.NUMBERVALUE(SUBSTITUTE(LEFT(TRIM(C99),FIND(" ",TRIM(C99)&amp;" ")-1),",","."),"."),LEFT(SUBSTITUTE(LEFT(TRIM(C99),FIND(" ",TRIM(C99)&amp;" ")-1),",","."),FIND("/",SUBSTITUTE(LEFT(TRIM(C99),FIND(" ",TRIM(C99)&amp;" ")-1),",","."))-1)/MID(SUBSTITUTE(LEFT(TRIM(C99),FIND(" ",TRIM(C99)&amp;" ")-1),",","."),FIND("/",SUBSTITUTE(LEFT(TRIM(C99),FIND(" ",TRIM(C99)&amp;" ")-1),",","."))+1,9))*12/52,IF(ISNUMBER(SEARCH("month",C99)),IFERROR(_xlfn.NUMBERVALUE(SUBSTITUTE(LEFT(TRIM(C99),FIND(" ",TRIM(C99)&amp;" ")-1),",","."),"."),LEFT(SUBSTITUTE(LEFT(TRIM(C99),FIND(" ",TRIM(C99)&amp;" ")-1),",","."),FIND("/",SUBSTITUTE(LEFT(TRIM(C99),FIND(" ",TRIM(C99)&amp;" ")-1),",","."))-1)/MID(SUBSTITUTE(LEFT(TRIM(C99),FIND(" ",TRIM(C99)&amp;" ")-1),",","."),FIND("/",SUBSTITUTE(LEFT(TRIM(C99),FIND(" ",TRIM(C99)&amp;" ")-1),",","."))+1,9)),IF(ISNUMBER(SEARCH("yea",C99)),IFERROR(_xlfn.NUMBERVALUE(SUBSTITUTE(LEFT(TRIM(C99),FIND(" ",TRIM(C99)&amp;" ")-1),",","."),"."),LEFT(SUBSTITUTE(LEFT(TRIM(C99),FIND(" ",TRIM(C99)&amp;" ")-1),",","."),FIND("/",SUBSTITUTE(LEFT(TRIM(C99),FIND(" ",TRIM(C99)&amp;" ")-1),",","."))-1)/MID(SUBSTITUTE(LEFT(TRIM(C99),FIND(" ",TRIM(C99)&amp;" ")-1),",","."),FIND("/",SUBSTITUTE(LEFT(TRIM(C99),FIND(" ",TRIM(C99)&amp;" ")-1),",","."))+1,9))*12,NA()))),0),18)*'Aturan &amp; Tarif'!$B$4,2)</f>
        <v>1022.04</v>
      </c>
      <c r="K99" s="32" t="n">
        <f aca="false">'Aturan &amp; Tarif'!$B$5</f>
        <v>2050</v>
      </c>
      <c r="L99" s="32" t="n">
        <f aca="false">'Aturan &amp; Tarif'!$B$6</f>
        <v>350</v>
      </c>
      <c r="M99" s="35" t="n">
        <f aca="false">I99+J99+K99+L99</f>
        <v>17322.04</v>
      </c>
      <c r="N99" s="37" t="s">
        <v>738</v>
      </c>
    </row>
    <row r="100" customFormat="false" ht="25.5" hidden="false" customHeight="true" outlineLevel="0" collapsed="false">
      <c r="A100" s="29"/>
      <c r="B100" s="30" t="s">
        <v>749</v>
      </c>
      <c r="C100" s="31" t="s">
        <v>107</v>
      </c>
      <c r="D100" s="31" t="s">
        <v>737</v>
      </c>
      <c r="E100" s="32" t="n">
        <v>13600</v>
      </c>
      <c r="F100" s="32" t="n">
        <v>0</v>
      </c>
      <c r="G100" s="32" t="n">
        <v>300</v>
      </c>
      <c r="H100" s="33" t="n">
        <v>1</v>
      </c>
      <c r="I100" s="34" t="n">
        <f aca="false">E100*H100+N(F100)+N(G100)</f>
        <v>13900</v>
      </c>
      <c r="J100" s="32" t="n">
        <f aca="false">ROUND(IFERROR(ROUND(IF(OR(ISNUMBER(SEARCH("week",C100)),ISNUMBER(SEARCH("minggu",C100))),IFERROR(_xlfn.NUMBERVALUE(SUBSTITUTE(LEFT(TRIM(C100),FIND(" ",TRIM(C100)&amp;" ")-1),",","."),"."),LEFT(SUBSTITUTE(LEFT(TRIM(C100),FIND(" ",TRIM(C100)&amp;" ")-1),",","."),FIND("/",SUBSTITUTE(LEFT(TRIM(C100),FIND(" ",TRIM(C100)&amp;" ")-1),",","."))-1)/MID(SUBSTITUTE(LEFT(TRIM(C100),FIND(" ",TRIM(C100)&amp;" ")-1),",","."),FIND("/",SUBSTITUTE(LEFT(TRIM(C100),FIND(" ",TRIM(C100)&amp;" ")-1),",","."))+1,9))*12/52,IF(ISNUMBER(SEARCH("month",C100)),IFERROR(_xlfn.NUMBERVALUE(SUBSTITUTE(LEFT(TRIM(C100),FIND(" ",TRIM(C100)&amp;" ")-1),",","."),"."),LEFT(SUBSTITUTE(LEFT(TRIM(C100),FIND(" ",TRIM(C100)&amp;" ")-1),",","."),FIND("/",SUBSTITUTE(LEFT(TRIM(C100),FIND(" ",TRIM(C100)&amp;" ")-1),",","."))-1)/MID(SUBSTITUTE(LEFT(TRIM(C100),FIND(" ",TRIM(C100)&amp;" ")-1),",","."),FIND("/",SUBSTITUTE(LEFT(TRIM(C100),FIND(" ",TRIM(C100)&amp;" ")-1),",","."))+1,9)),IF(ISNUMBER(SEARCH("yea",C100)),IFERROR(_xlfn.NUMBERVALUE(SUBSTITUTE(LEFT(TRIM(C100),FIND(" ",TRIM(C100)&amp;" ")-1),",","."),"."),LEFT(SUBSTITUTE(LEFT(TRIM(C100),FIND(" ",TRIM(C100)&amp;" ")-1),",","."),FIND("/",SUBSTITUTE(LEFT(TRIM(C100),FIND(" ",TRIM(C100)&amp;" ")-1),",","."))-1)/MID(SUBSTITUTE(LEFT(TRIM(C100),FIND(" ",TRIM(C100)&amp;" ")-1),",","."),FIND("/",SUBSTITUTE(LEFT(TRIM(C100),FIND(" ",TRIM(C100)&amp;" ")-1),",","."))+1,9))*12,NA()))),0),24)*'Aturan &amp; Tarif'!$B$4,2)</f>
        <v>1362.72</v>
      </c>
      <c r="K100" s="32" t="n">
        <f aca="false">'Aturan &amp; Tarif'!$B$5</f>
        <v>2050</v>
      </c>
      <c r="L100" s="32" t="n">
        <f aca="false">'Aturan &amp; Tarif'!$B$6</f>
        <v>350</v>
      </c>
      <c r="M100" s="35" t="n">
        <f aca="false">I100+J100+K100+L100</f>
        <v>17662.72</v>
      </c>
      <c r="N100" s="37" t="s">
        <v>738</v>
      </c>
    </row>
    <row r="101" customFormat="false" ht="25.5" hidden="false" customHeight="true" outlineLevel="0" collapsed="false">
      <c r="A101" s="29"/>
      <c r="B101" s="30" t="s">
        <v>750</v>
      </c>
      <c r="C101" s="31" t="s">
        <v>138</v>
      </c>
      <c r="D101" s="31" t="s">
        <v>737</v>
      </c>
      <c r="E101" s="32" t="n">
        <v>13600</v>
      </c>
      <c r="F101" s="32" t="n">
        <v>0</v>
      </c>
      <c r="G101" s="32" t="n">
        <v>300</v>
      </c>
      <c r="H101" s="33" t="n">
        <v>1</v>
      </c>
      <c r="I101" s="34" t="n">
        <f aca="false">E101*H101+N(F101)+N(G101)</f>
        <v>13900</v>
      </c>
      <c r="J101" s="32" t="n">
        <f aca="false">ROUND(IFERROR(ROUND(IF(OR(ISNUMBER(SEARCH("week",C101)),ISNUMBER(SEARCH("minggu",C101))),IFERROR(_xlfn.NUMBERVALUE(SUBSTITUTE(LEFT(TRIM(C101),FIND(" ",TRIM(C101)&amp;" ")-1),",","."),"."),LEFT(SUBSTITUTE(LEFT(TRIM(C101),FIND(" ",TRIM(C101)&amp;" ")-1),",","."),FIND("/",SUBSTITUTE(LEFT(TRIM(C101),FIND(" ",TRIM(C101)&amp;" ")-1),",","."))-1)/MID(SUBSTITUTE(LEFT(TRIM(C101),FIND(" ",TRIM(C101)&amp;" ")-1),",","."),FIND("/",SUBSTITUTE(LEFT(TRIM(C101),FIND(" ",TRIM(C101)&amp;" ")-1),",","."))+1,9))*12/52,IF(ISNUMBER(SEARCH("month",C101)),IFERROR(_xlfn.NUMBERVALUE(SUBSTITUTE(LEFT(TRIM(C101),FIND(" ",TRIM(C101)&amp;" ")-1),",","."),"."),LEFT(SUBSTITUTE(LEFT(TRIM(C101),FIND(" ",TRIM(C101)&amp;" ")-1),",","."),FIND("/",SUBSTITUTE(LEFT(TRIM(C101),FIND(" ",TRIM(C101)&amp;" ")-1),",","."))-1)/MID(SUBSTITUTE(LEFT(TRIM(C101),FIND(" ",TRIM(C101)&amp;" ")-1),",","."),FIND("/",SUBSTITUTE(LEFT(TRIM(C101),FIND(" ",TRIM(C101)&amp;" ")-1),",","."))+1,9)),IF(ISNUMBER(SEARCH("yea",C101)),IFERROR(_xlfn.NUMBERVALUE(SUBSTITUTE(LEFT(TRIM(C101),FIND(" ",TRIM(C101)&amp;" ")-1),",","."),"."),LEFT(SUBSTITUTE(LEFT(TRIM(C101),FIND(" ",TRIM(C101)&amp;" ")-1),",","."),FIND("/",SUBSTITUTE(LEFT(TRIM(C101),FIND(" ",TRIM(C101)&amp;" ")-1),",","."))-1)/MID(SUBSTITUTE(LEFT(TRIM(C101),FIND(" ",TRIM(C101)&amp;" ")-1),",","."),FIND("/",SUBSTITUTE(LEFT(TRIM(C101),FIND(" ",TRIM(C101)&amp;" ")-1),",","."))+1,9))*12,NA()))),0),30)*'Aturan &amp; Tarif'!$B$4,2)</f>
        <v>1703.4</v>
      </c>
      <c r="K101" s="32" t="n">
        <f aca="false">'Aturan &amp; Tarif'!$B$5</f>
        <v>2050</v>
      </c>
      <c r="L101" s="32" t="n">
        <f aca="false">'Aturan &amp; Tarif'!$B$6</f>
        <v>350</v>
      </c>
      <c r="M101" s="35" t="n">
        <f aca="false">I101+J101+K101+L101</f>
        <v>18003.4</v>
      </c>
      <c r="N101" s="37" t="s">
        <v>738</v>
      </c>
    </row>
    <row r="102" customFormat="false" ht="25.5" hidden="false" customHeight="true" outlineLevel="0" collapsed="false">
      <c r="A102" s="29"/>
      <c r="B102" s="30" t="s">
        <v>751</v>
      </c>
      <c r="C102" s="31" t="s">
        <v>344</v>
      </c>
      <c r="D102" s="31" t="s">
        <v>737</v>
      </c>
      <c r="E102" s="32" t="n">
        <v>14560</v>
      </c>
      <c r="F102" s="32" t="n">
        <v>0</v>
      </c>
      <c r="G102" s="32" t="n">
        <v>300</v>
      </c>
      <c r="H102" s="33" t="n">
        <v>1</v>
      </c>
      <c r="I102" s="34" t="n">
        <f aca="false">E102*H102+N(F102)+N(G102)</f>
        <v>14860</v>
      </c>
      <c r="J102" s="32" t="n">
        <f aca="false">ROUND(IFERROR(ROUND(IF(OR(ISNUMBER(SEARCH("week",C102)),ISNUMBER(SEARCH("minggu",C102))),IFERROR(_xlfn.NUMBERVALUE(SUBSTITUTE(LEFT(TRIM(C102),FIND(" ",TRIM(C102)&amp;" ")-1),",","."),"."),LEFT(SUBSTITUTE(LEFT(TRIM(C102),FIND(" ",TRIM(C102)&amp;" ")-1),",","."),FIND("/",SUBSTITUTE(LEFT(TRIM(C102),FIND(" ",TRIM(C102)&amp;" ")-1),",","."))-1)/MID(SUBSTITUTE(LEFT(TRIM(C102),FIND(" ",TRIM(C102)&amp;" ")-1),",","."),FIND("/",SUBSTITUTE(LEFT(TRIM(C102),FIND(" ",TRIM(C102)&amp;" ")-1),",","."))+1,9))*12/52,IF(ISNUMBER(SEARCH("month",C102)),IFERROR(_xlfn.NUMBERVALUE(SUBSTITUTE(LEFT(TRIM(C102),FIND(" ",TRIM(C102)&amp;" ")-1),",","."),"."),LEFT(SUBSTITUTE(LEFT(TRIM(C102),FIND(" ",TRIM(C102)&amp;" ")-1),",","."),FIND("/",SUBSTITUTE(LEFT(TRIM(C102),FIND(" ",TRIM(C102)&amp;" ")-1),",","."))-1)/MID(SUBSTITUTE(LEFT(TRIM(C102),FIND(" ",TRIM(C102)&amp;" ")-1),",","."),FIND("/",SUBSTITUTE(LEFT(TRIM(C102),FIND(" ",TRIM(C102)&amp;" ")-1),",","."))+1,9)),IF(ISNUMBER(SEARCH("yea",C102)),IFERROR(_xlfn.NUMBERVALUE(SUBSTITUTE(LEFT(TRIM(C102),FIND(" ",TRIM(C102)&amp;" ")-1),",","."),"."),LEFT(SUBSTITUTE(LEFT(TRIM(C102),FIND(" ",TRIM(C102)&amp;" ")-1),",","."),FIND("/",SUBSTITUTE(LEFT(TRIM(C102),FIND(" ",TRIM(C102)&amp;" ")-1),",","."))-1)/MID(SUBSTITUTE(LEFT(TRIM(C102),FIND(" ",TRIM(C102)&amp;" ")-1),",","."),FIND("/",SUBSTITUTE(LEFT(TRIM(C102),FIND(" ",TRIM(C102)&amp;" ")-1),",","."))+1,9))*12,NA()))),0),6)*'Aturan &amp; Tarif'!$B$4,2)</f>
        <v>340.68</v>
      </c>
      <c r="K102" s="32" t="n">
        <f aca="false">'Aturan &amp; Tarif'!$B$5</f>
        <v>2050</v>
      </c>
      <c r="L102" s="32" t="n">
        <f aca="false">'Aturan &amp; Tarif'!$B$6</f>
        <v>350</v>
      </c>
      <c r="M102" s="35" t="n">
        <f aca="false">I102+J102+K102+L102</f>
        <v>17600.68</v>
      </c>
      <c r="N102" s="37" t="s">
        <v>738</v>
      </c>
    </row>
    <row r="103" customFormat="false" ht="25.5" hidden="false" customHeight="true" outlineLevel="0" collapsed="false">
      <c r="A103" s="29"/>
      <c r="B103" s="30" t="s">
        <v>752</v>
      </c>
      <c r="C103" s="31" t="s">
        <v>130</v>
      </c>
      <c r="D103" s="31" t="s">
        <v>737</v>
      </c>
      <c r="E103" s="32" t="n">
        <v>14560</v>
      </c>
      <c r="F103" s="32" t="n">
        <v>0</v>
      </c>
      <c r="G103" s="32" t="n">
        <v>300</v>
      </c>
      <c r="H103" s="33" t="n">
        <v>1</v>
      </c>
      <c r="I103" s="34" t="n">
        <f aca="false">E103*H103+N(F103)+N(G103)</f>
        <v>14860</v>
      </c>
      <c r="J103" s="32" t="n">
        <f aca="false">ROUND(IFERROR(ROUND(IF(OR(ISNUMBER(SEARCH("week",C103)),ISNUMBER(SEARCH("minggu",C103))),IFERROR(_xlfn.NUMBERVALUE(SUBSTITUTE(LEFT(TRIM(C103),FIND(" ",TRIM(C103)&amp;" ")-1),",","."),"."),LEFT(SUBSTITUTE(LEFT(TRIM(C103),FIND(" ",TRIM(C103)&amp;" ")-1),",","."),FIND("/",SUBSTITUTE(LEFT(TRIM(C103),FIND(" ",TRIM(C103)&amp;" ")-1),",","."))-1)/MID(SUBSTITUTE(LEFT(TRIM(C103),FIND(" ",TRIM(C103)&amp;" ")-1),",","."),FIND("/",SUBSTITUTE(LEFT(TRIM(C103),FIND(" ",TRIM(C103)&amp;" ")-1),",","."))+1,9))*12/52,IF(ISNUMBER(SEARCH("month",C103)),IFERROR(_xlfn.NUMBERVALUE(SUBSTITUTE(LEFT(TRIM(C103),FIND(" ",TRIM(C103)&amp;" ")-1),",","."),"."),LEFT(SUBSTITUTE(LEFT(TRIM(C103),FIND(" ",TRIM(C103)&amp;" ")-1),",","."),FIND("/",SUBSTITUTE(LEFT(TRIM(C103),FIND(" ",TRIM(C103)&amp;" ")-1),",","."))-1)/MID(SUBSTITUTE(LEFT(TRIM(C103),FIND(" ",TRIM(C103)&amp;" ")-1),",","."),FIND("/",SUBSTITUTE(LEFT(TRIM(C103),FIND(" ",TRIM(C103)&amp;" ")-1),",","."))+1,9)),IF(ISNUMBER(SEARCH("yea",C103)),IFERROR(_xlfn.NUMBERVALUE(SUBSTITUTE(LEFT(TRIM(C103),FIND(" ",TRIM(C103)&amp;" ")-1),",","."),"."),LEFT(SUBSTITUTE(LEFT(TRIM(C103),FIND(" ",TRIM(C103)&amp;" ")-1),",","."),FIND("/",SUBSTITUTE(LEFT(TRIM(C103),FIND(" ",TRIM(C103)&amp;" ")-1),",","."))-1)/MID(SUBSTITUTE(LEFT(TRIM(C103),FIND(" ",TRIM(C103)&amp;" ")-1),",","."),FIND("/",SUBSTITUTE(LEFT(TRIM(C103),FIND(" ",TRIM(C103)&amp;" ")-1),",","."))+1,9))*12,NA()))),0),12)*'Aturan &amp; Tarif'!$B$4,2)</f>
        <v>681.36</v>
      </c>
      <c r="K103" s="32" t="n">
        <f aca="false">'Aturan &amp; Tarif'!$B$5</f>
        <v>2050</v>
      </c>
      <c r="L103" s="32" t="n">
        <f aca="false">'Aturan &amp; Tarif'!$B$6</f>
        <v>350</v>
      </c>
      <c r="M103" s="35" t="n">
        <f aca="false">I103+J103+K103+L103</f>
        <v>17941.36</v>
      </c>
      <c r="N103" s="37" t="s">
        <v>738</v>
      </c>
    </row>
    <row r="104" customFormat="false" ht="25.5" hidden="false" customHeight="true" outlineLevel="0" collapsed="false">
      <c r="A104" s="29"/>
      <c r="B104" s="30" t="s">
        <v>753</v>
      </c>
      <c r="C104" s="31" t="s">
        <v>113</v>
      </c>
      <c r="D104" s="31" t="s">
        <v>737</v>
      </c>
      <c r="E104" s="32" t="n">
        <v>14560</v>
      </c>
      <c r="F104" s="32" t="n">
        <v>0</v>
      </c>
      <c r="G104" s="32" t="n">
        <v>300</v>
      </c>
      <c r="H104" s="33" t="n">
        <v>1</v>
      </c>
      <c r="I104" s="34" t="n">
        <f aca="false">E104*H104+N(F104)+N(G104)</f>
        <v>14860</v>
      </c>
      <c r="J104" s="32" t="n">
        <f aca="false">ROUND(IFERROR(ROUND(IF(OR(ISNUMBER(SEARCH("week",C104)),ISNUMBER(SEARCH("minggu",C104))),IFERROR(_xlfn.NUMBERVALUE(SUBSTITUTE(LEFT(TRIM(C104),FIND(" ",TRIM(C104)&amp;" ")-1),",","."),"."),LEFT(SUBSTITUTE(LEFT(TRIM(C104),FIND(" ",TRIM(C104)&amp;" ")-1),",","."),FIND("/",SUBSTITUTE(LEFT(TRIM(C104),FIND(" ",TRIM(C104)&amp;" ")-1),",","."))-1)/MID(SUBSTITUTE(LEFT(TRIM(C104),FIND(" ",TRIM(C104)&amp;" ")-1),",","."),FIND("/",SUBSTITUTE(LEFT(TRIM(C104),FIND(" ",TRIM(C104)&amp;" ")-1),",","."))+1,9))*12/52,IF(ISNUMBER(SEARCH("month",C104)),IFERROR(_xlfn.NUMBERVALUE(SUBSTITUTE(LEFT(TRIM(C104),FIND(" ",TRIM(C104)&amp;" ")-1),",","."),"."),LEFT(SUBSTITUTE(LEFT(TRIM(C104),FIND(" ",TRIM(C104)&amp;" ")-1),",","."),FIND("/",SUBSTITUTE(LEFT(TRIM(C104),FIND(" ",TRIM(C104)&amp;" ")-1),",","."))-1)/MID(SUBSTITUTE(LEFT(TRIM(C104),FIND(" ",TRIM(C104)&amp;" ")-1),",","."),FIND("/",SUBSTITUTE(LEFT(TRIM(C104),FIND(" ",TRIM(C104)&amp;" ")-1),",","."))+1,9)),IF(ISNUMBER(SEARCH("yea",C104)),IFERROR(_xlfn.NUMBERVALUE(SUBSTITUTE(LEFT(TRIM(C104),FIND(" ",TRIM(C104)&amp;" ")-1),",","."),"."),LEFT(SUBSTITUTE(LEFT(TRIM(C104),FIND(" ",TRIM(C104)&amp;" ")-1),",","."),FIND("/",SUBSTITUTE(LEFT(TRIM(C104),FIND(" ",TRIM(C104)&amp;" ")-1),",","."))-1)/MID(SUBSTITUTE(LEFT(TRIM(C104),FIND(" ",TRIM(C104)&amp;" ")-1),",","."),FIND("/",SUBSTITUTE(LEFT(TRIM(C104),FIND(" ",TRIM(C104)&amp;" ")-1),",","."))+1,9))*12,NA()))),0),18)*'Aturan &amp; Tarif'!$B$4,2)</f>
        <v>1022.04</v>
      </c>
      <c r="K104" s="32" t="n">
        <f aca="false">'Aturan &amp; Tarif'!$B$5</f>
        <v>2050</v>
      </c>
      <c r="L104" s="32" t="n">
        <f aca="false">'Aturan &amp; Tarif'!$B$6</f>
        <v>350</v>
      </c>
      <c r="M104" s="35" t="n">
        <f aca="false">I104+J104+K104+L104</f>
        <v>18282.04</v>
      </c>
      <c r="N104" s="37" t="s">
        <v>738</v>
      </c>
    </row>
    <row r="105" customFormat="false" ht="25.5" hidden="false" customHeight="true" outlineLevel="0" collapsed="false">
      <c r="A105" s="29"/>
      <c r="B105" s="30" t="s">
        <v>754</v>
      </c>
      <c r="C105" s="31" t="s">
        <v>107</v>
      </c>
      <c r="D105" s="31" t="s">
        <v>737</v>
      </c>
      <c r="E105" s="32" t="n">
        <v>14560</v>
      </c>
      <c r="F105" s="32" t="n">
        <v>0</v>
      </c>
      <c r="G105" s="32" t="n">
        <v>300</v>
      </c>
      <c r="H105" s="33" t="n">
        <v>1</v>
      </c>
      <c r="I105" s="34" t="n">
        <f aca="false">E105*H105+N(F105)+N(G105)</f>
        <v>14860</v>
      </c>
      <c r="J105" s="32" t="n">
        <f aca="false">ROUND(IFERROR(ROUND(IF(OR(ISNUMBER(SEARCH("week",C105)),ISNUMBER(SEARCH("minggu",C105))),IFERROR(_xlfn.NUMBERVALUE(SUBSTITUTE(LEFT(TRIM(C105),FIND(" ",TRIM(C105)&amp;" ")-1),",","."),"."),LEFT(SUBSTITUTE(LEFT(TRIM(C105),FIND(" ",TRIM(C105)&amp;" ")-1),",","."),FIND("/",SUBSTITUTE(LEFT(TRIM(C105),FIND(" ",TRIM(C105)&amp;" ")-1),",","."))-1)/MID(SUBSTITUTE(LEFT(TRIM(C105),FIND(" ",TRIM(C105)&amp;" ")-1),",","."),FIND("/",SUBSTITUTE(LEFT(TRIM(C105),FIND(" ",TRIM(C105)&amp;" ")-1),",","."))+1,9))*12/52,IF(ISNUMBER(SEARCH("month",C105)),IFERROR(_xlfn.NUMBERVALUE(SUBSTITUTE(LEFT(TRIM(C105),FIND(" ",TRIM(C105)&amp;" ")-1),",","."),"."),LEFT(SUBSTITUTE(LEFT(TRIM(C105),FIND(" ",TRIM(C105)&amp;" ")-1),",","."),FIND("/",SUBSTITUTE(LEFT(TRIM(C105),FIND(" ",TRIM(C105)&amp;" ")-1),",","."))-1)/MID(SUBSTITUTE(LEFT(TRIM(C105),FIND(" ",TRIM(C105)&amp;" ")-1),",","."),FIND("/",SUBSTITUTE(LEFT(TRIM(C105),FIND(" ",TRIM(C105)&amp;" ")-1),",","."))+1,9)),IF(ISNUMBER(SEARCH("yea",C105)),IFERROR(_xlfn.NUMBERVALUE(SUBSTITUTE(LEFT(TRIM(C105),FIND(" ",TRIM(C105)&amp;" ")-1),",","."),"."),LEFT(SUBSTITUTE(LEFT(TRIM(C105),FIND(" ",TRIM(C105)&amp;" ")-1),",","."),FIND("/",SUBSTITUTE(LEFT(TRIM(C105),FIND(" ",TRIM(C105)&amp;" ")-1),",","."))-1)/MID(SUBSTITUTE(LEFT(TRIM(C105),FIND(" ",TRIM(C105)&amp;" ")-1),",","."),FIND("/",SUBSTITUTE(LEFT(TRIM(C105),FIND(" ",TRIM(C105)&amp;" ")-1),",","."))+1,9))*12,NA()))),0),24)*'Aturan &amp; Tarif'!$B$4,2)</f>
        <v>1362.72</v>
      </c>
      <c r="K105" s="32" t="n">
        <f aca="false">'Aturan &amp; Tarif'!$B$5</f>
        <v>2050</v>
      </c>
      <c r="L105" s="32" t="n">
        <f aca="false">'Aturan &amp; Tarif'!$B$6</f>
        <v>350</v>
      </c>
      <c r="M105" s="35" t="n">
        <f aca="false">I105+J105+K105+L105</f>
        <v>18622.72</v>
      </c>
      <c r="N105" s="37" t="s">
        <v>738</v>
      </c>
    </row>
    <row r="106" customFormat="false" ht="48.75" hidden="false" customHeight="true" outlineLevel="0" collapsed="false">
      <c r="A106" s="29" t="s">
        <v>755</v>
      </c>
      <c r="B106" s="30" t="s">
        <v>756</v>
      </c>
      <c r="C106" s="31" t="s">
        <v>107</v>
      </c>
      <c r="D106" s="31" t="s">
        <v>108</v>
      </c>
      <c r="E106" s="32" t="n">
        <v>2500</v>
      </c>
      <c r="F106" s="32" t="n">
        <v>2500</v>
      </c>
      <c r="G106" s="32" t="n">
        <v>250</v>
      </c>
      <c r="H106" s="33" t="n">
        <v>1</v>
      </c>
      <c r="I106" s="34" t="n">
        <f aca="false">E106*H106+N(F106)+N(G106)</f>
        <v>5250</v>
      </c>
      <c r="J106" s="32" t="n">
        <f aca="false">ROUND(IFERROR(ROUND(IF(OR(ISNUMBER(SEARCH("week",C106)),ISNUMBER(SEARCH("minggu",C106))),IFERROR(_xlfn.NUMBERVALUE(SUBSTITUTE(LEFT(TRIM(C106),FIND(" ",TRIM(C106)&amp;" ")-1),",","."),"."),LEFT(SUBSTITUTE(LEFT(TRIM(C106),FIND(" ",TRIM(C106)&amp;" ")-1),",","."),FIND("/",SUBSTITUTE(LEFT(TRIM(C106),FIND(" ",TRIM(C106)&amp;" ")-1),",","."))-1)/MID(SUBSTITUTE(LEFT(TRIM(C106),FIND(" ",TRIM(C106)&amp;" ")-1),",","."),FIND("/",SUBSTITUTE(LEFT(TRIM(C106),FIND(" ",TRIM(C106)&amp;" ")-1),",","."))+1,9))*12/52,IF(ISNUMBER(SEARCH("month",C106)),IFERROR(_xlfn.NUMBERVALUE(SUBSTITUTE(LEFT(TRIM(C106),FIND(" ",TRIM(C106)&amp;" ")-1),",","."),"."),LEFT(SUBSTITUTE(LEFT(TRIM(C106),FIND(" ",TRIM(C106)&amp;" ")-1),",","."),FIND("/",SUBSTITUTE(LEFT(TRIM(C106),FIND(" ",TRIM(C106)&amp;" ")-1),",","."))-1)/MID(SUBSTITUTE(LEFT(TRIM(C106),FIND(" ",TRIM(C106)&amp;" ")-1),",","."),FIND("/",SUBSTITUTE(LEFT(TRIM(C106),FIND(" ",TRIM(C106)&amp;" ")-1),",","."))+1,9)),IF(ISNUMBER(SEARCH("yea",C106)),IFERROR(_xlfn.NUMBERVALUE(SUBSTITUTE(LEFT(TRIM(C106),FIND(" ",TRIM(C106)&amp;" ")-1),",","."),"."),LEFT(SUBSTITUTE(LEFT(TRIM(C106),FIND(" ",TRIM(C106)&amp;" ")-1),",","."),FIND("/",SUBSTITUTE(LEFT(TRIM(C106),FIND(" ",TRIM(C106)&amp;" ")-1),",","."))-1)/MID(SUBSTITUTE(LEFT(TRIM(C106),FIND(" ",TRIM(C106)&amp;" ")-1),",","."),FIND("/",SUBSTITUTE(LEFT(TRIM(C106),FIND(" ",TRIM(C106)&amp;" ")-1),",","."))+1,9))*12,NA()))),0),24)*'Aturan &amp; Tarif'!$B$4,2)</f>
        <v>1362.72</v>
      </c>
      <c r="K106" s="32" t="n">
        <f aca="false">'Aturan &amp; Tarif'!$B$5</f>
        <v>2050</v>
      </c>
      <c r="L106" s="32" t="n">
        <f aca="false">'Aturan &amp; Tarif'!$B$6</f>
        <v>350</v>
      </c>
      <c r="M106" s="35" t="n">
        <f aca="false">I106+J106+K106+L106</f>
        <v>9012.72</v>
      </c>
      <c r="N106" s="36" t="s">
        <v>757</v>
      </c>
    </row>
    <row r="107" customFormat="false" ht="37.5" hidden="false" customHeight="true" outlineLevel="0" collapsed="false">
      <c r="A107" s="29"/>
      <c r="B107" s="30" t="s">
        <v>758</v>
      </c>
      <c r="C107" s="31" t="s">
        <v>107</v>
      </c>
      <c r="D107" s="31" t="s">
        <v>108</v>
      </c>
      <c r="E107" s="32" t="n">
        <v>2500</v>
      </c>
      <c r="F107" s="32" t="n">
        <v>2500</v>
      </c>
      <c r="G107" s="32" t="n">
        <v>250</v>
      </c>
      <c r="H107" s="33" t="n">
        <v>1</v>
      </c>
      <c r="I107" s="34" t="n">
        <f aca="false">E107*H107+N(F107)+N(G107)</f>
        <v>5250</v>
      </c>
      <c r="J107" s="32" t="n">
        <f aca="false">ROUND(IFERROR(ROUND(IF(OR(ISNUMBER(SEARCH("week",C107)),ISNUMBER(SEARCH("minggu",C107))),IFERROR(_xlfn.NUMBERVALUE(SUBSTITUTE(LEFT(TRIM(C107),FIND(" ",TRIM(C107)&amp;" ")-1),",","."),"."),LEFT(SUBSTITUTE(LEFT(TRIM(C107),FIND(" ",TRIM(C107)&amp;" ")-1),",","."),FIND("/",SUBSTITUTE(LEFT(TRIM(C107),FIND(" ",TRIM(C107)&amp;" ")-1),",","."))-1)/MID(SUBSTITUTE(LEFT(TRIM(C107),FIND(" ",TRIM(C107)&amp;" ")-1),",","."),FIND("/",SUBSTITUTE(LEFT(TRIM(C107),FIND(" ",TRIM(C107)&amp;" ")-1),",","."))+1,9))*12/52,IF(ISNUMBER(SEARCH("month",C107)),IFERROR(_xlfn.NUMBERVALUE(SUBSTITUTE(LEFT(TRIM(C107),FIND(" ",TRIM(C107)&amp;" ")-1),",","."),"."),LEFT(SUBSTITUTE(LEFT(TRIM(C107),FIND(" ",TRIM(C107)&amp;" ")-1),",","."),FIND("/",SUBSTITUTE(LEFT(TRIM(C107),FIND(" ",TRIM(C107)&amp;" ")-1),",","."))-1)/MID(SUBSTITUTE(LEFT(TRIM(C107),FIND(" ",TRIM(C107)&amp;" ")-1),",","."),FIND("/",SUBSTITUTE(LEFT(TRIM(C107),FIND(" ",TRIM(C107)&amp;" ")-1),",","."))+1,9)),IF(ISNUMBER(SEARCH("yea",C107)),IFERROR(_xlfn.NUMBERVALUE(SUBSTITUTE(LEFT(TRIM(C107),FIND(" ",TRIM(C107)&amp;" ")-1),",","."),"."),LEFT(SUBSTITUTE(LEFT(TRIM(C107),FIND(" ",TRIM(C107)&amp;" ")-1),",","."),FIND("/",SUBSTITUTE(LEFT(TRIM(C107),FIND(" ",TRIM(C107)&amp;" ")-1),",","."))-1)/MID(SUBSTITUTE(LEFT(TRIM(C107),FIND(" ",TRIM(C107)&amp;" ")-1),",","."),FIND("/",SUBSTITUTE(LEFT(TRIM(C107),FIND(" ",TRIM(C107)&amp;" ")-1),",","."))+1,9))*12,NA()))),0),24)*'Aturan &amp; Tarif'!$B$4,2)</f>
        <v>1362.72</v>
      </c>
      <c r="K107" s="32" t="n">
        <f aca="false">'Aturan &amp; Tarif'!$B$5</f>
        <v>2050</v>
      </c>
      <c r="L107" s="32" t="n">
        <f aca="false">'Aturan &amp; Tarif'!$B$6</f>
        <v>350</v>
      </c>
      <c r="M107" s="35" t="n">
        <f aca="false">I107+J107+K107+L107</f>
        <v>9012.72</v>
      </c>
      <c r="N107" s="36" t="s">
        <v>757</v>
      </c>
    </row>
    <row r="108" customFormat="false" ht="37.5" hidden="false" customHeight="true" outlineLevel="0" collapsed="false">
      <c r="A108" s="29"/>
      <c r="B108" s="30" t="s">
        <v>759</v>
      </c>
      <c r="C108" s="31" t="s">
        <v>113</v>
      </c>
      <c r="D108" s="31" t="s">
        <v>108</v>
      </c>
      <c r="E108" s="32" t="n">
        <v>2500</v>
      </c>
      <c r="F108" s="32" t="n">
        <v>2500</v>
      </c>
      <c r="G108" s="32" t="n">
        <v>250</v>
      </c>
      <c r="H108" s="33" t="n">
        <v>1</v>
      </c>
      <c r="I108" s="34" t="n">
        <f aca="false">E108*H108+N(F108)+N(G108)</f>
        <v>5250</v>
      </c>
      <c r="J108" s="32" t="n">
        <f aca="false">ROUND(IFERROR(ROUND(IF(OR(ISNUMBER(SEARCH("week",C108)),ISNUMBER(SEARCH("minggu",C108))),IFERROR(_xlfn.NUMBERVALUE(SUBSTITUTE(LEFT(TRIM(C108),FIND(" ",TRIM(C108)&amp;" ")-1),",","."),"."),LEFT(SUBSTITUTE(LEFT(TRIM(C108),FIND(" ",TRIM(C108)&amp;" ")-1),",","."),FIND("/",SUBSTITUTE(LEFT(TRIM(C108),FIND(" ",TRIM(C108)&amp;" ")-1),",","."))-1)/MID(SUBSTITUTE(LEFT(TRIM(C108),FIND(" ",TRIM(C108)&amp;" ")-1),",","."),FIND("/",SUBSTITUTE(LEFT(TRIM(C108),FIND(" ",TRIM(C108)&amp;" ")-1),",","."))+1,9))*12/52,IF(ISNUMBER(SEARCH("month",C108)),IFERROR(_xlfn.NUMBERVALUE(SUBSTITUTE(LEFT(TRIM(C108),FIND(" ",TRIM(C108)&amp;" ")-1),",","."),"."),LEFT(SUBSTITUTE(LEFT(TRIM(C108),FIND(" ",TRIM(C108)&amp;" ")-1),",","."),FIND("/",SUBSTITUTE(LEFT(TRIM(C108),FIND(" ",TRIM(C108)&amp;" ")-1),",","."))-1)/MID(SUBSTITUTE(LEFT(TRIM(C108),FIND(" ",TRIM(C108)&amp;" ")-1),",","."),FIND("/",SUBSTITUTE(LEFT(TRIM(C108),FIND(" ",TRIM(C108)&amp;" ")-1),",","."))+1,9)),IF(ISNUMBER(SEARCH("yea",C108)),IFERROR(_xlfn.NUMBERVALUE(SUBSTITUTE(LEFT(TRIM(C108),FIND(" ",TRIM(C108)&amp;" ")-1),",","."),"."),LEFT(SUBSTITUTE(LEFT(TRIM(C108),FIND(" ",TRIM(C108)&amp;" ")-1),",","."),FIND("/",SUBSTITUTE(LEFT(TRIM(C108),FIND(" ",TRIM(C108)&amp;" ")-1),",","."))-1)/MID(SUBSTITUTE(LEFT(TRIM(C108),FIND(" ",TRIM(C108)&amp;" ")-1),",","."),FIND("/",SUBSTITUTE(LEFT(TRIM(C108),FIND(" ",TRIM(C108)&amp;" ")-1),",","."))+1,9))*12,NA()))),0),18)*'Aturan &amp; Tarif'!$B$4,2)</f>
        <v>1022.04</v>
      </c>
      <c r="K108" s="32" t="n">
        <f aca="false">'Aturan &amp; Tarif'!$B$5</f>
        <v>2050</v>
      </c>
      <c r="L108" s="32" t="n">
        <f aca="false">'Aturan &amp; Tarif'!$B$6</f>
        <v>350</v>
      </c>
      <c r="M108" s="35" t="n">
        <f aca="false">I108+J108+K108+L108</f>
        <v>8672.04</v>
      </c>
      <c r="N108" s="36" t="s">
        <v>757</v>
      </c>
    </row>
    <row r="109" customFormat="false" ht="48.75" hidden="false" customHeight="true" outlineLevel="0" collapsed="false">
      <c r="A109" s="29"/>
      <c r="B109" s="30" t="s">
        <v>760</v>
      </c>
      <c r="C109" s="31" t="s">
        <v>107</v>
      </c>
      <c r="D109" s="31" t="s">
        <v>108</v>
      </c>
      <c r="E109" s="32" t="n">
        <v>2500</v>
      </c>
      <c r="F109" s="32" t="n">
        <v>2500</v>
      </c>
      <c r="G109" s="32" t="n">
        <v>250</v>
      </c>
      <c r="H109" s="33" t="n">
        <v>1</v>
      </c>
      <c r="I109" s="34" t="n">
        <f aca="false">E109*H109+N(F109)+N(G109)</f>
        <v>5250</v>
      </c>
      <c r="J109" s="32" t="n">
        <f aca="false">ROUND(IFERROR(ROUND(IF(OR(ISNUMBER(SEARCH("week",C109)),ISNUMBER(SEARCH("minggu",C109))),IFERROR(_xlfn.NUMBERVALUE(SUBSTITUTE(LEFT(TRIM(C109),FIND(" ",TRIM(C109)&amp;" ")-1),",","."),"."),LEFT(SUBSTITUTE(LEFT(TRIM(C109),FIND(" ",TRIM(C109)&amp;" ")-1),",","."),FIND("/",SUBSTITUTE(LEFT(TRIM(C109),FIND(" ",TRIM(C109)&amp;" ")-1),",","."))-1)/MID(SUBSTITUTE(LEFT(TRIM(C109),FIND(" ",TRIM(C109)&amp;" ")-1),",","."),FIND("/",SUBSTITUTE(LEFT(TRIM(C109),FIND(" ",TRIM(C109)&amp;" ")-1),",","."))+1,9))*12/52,IF(ISNUMBER(SEARCH("month",C109)),IFERROR(_xlfn.NUMBERVALUE(SUBSTITUTE(LEFT(TRIM(C109),FIND(" ",TRIM(C109)&amp;" ")-1),",","."),"."),LEFT(SUBSTITUTE(LEFT(TRIM(C109),FIND(" ",TRIM(C109)&amp;" ")-1),",","."),FIND("/",SUBSTITUTE(LEFT(TRIM(C109),FIND(" ",TRIM(C109)&amp;" ")-1),",","."))-1)/MID(SUBSTITUTE(LEFT(TRIM(C109),FIND(" ",TRIM(C109)&amp;" ")-1),",","."),FIND("/",SUBSTITUTE(LEFT(TRIM(C109),FIND(" ",TRIM(C109)&amp;" ")-1),",","."))+1,9)),IF(ISNUMBER(SEARCH("yea",C109)),IFERROR(_xlfn.NUMBERVALUE(SUBSTITUTE(LEFT(TRIM(C109),FIND(" ",TRIM(C109)&amp;" ")-1),",","."),"."),LEFT(SUBSTITUTE(LEFT(TRIM(C109),FIND(" ",TRIM(C109)&amp;" ")-1),",","."),FIND("/",SUBSTITUTE(LEFT(TRIM(C109),FIND(" ",TRIM(C109)&amp;" ")-1),",","."))-1)/MID(SUBSTITUTE(LEFT(TRIM(C109),FIND(" ",TRIM(C109)&amp;" ")-1),",","."),FIND("/",SUBSTITUTE(LEFT(TRIM(C109),FIND(" ",TRIM(C109)&amp;" ")-1),",","."))+1,9))*12,NA()))),0),24)*'Aturan &amp; Tarif'!$B$4,2)</f>
        <v>1362.72</v>
      </c>
      <c r="K109" s="32" t="n">
        <f aca="false">'Aturan &amp; Tarif'!$B$5</f>
        <v>2050</v>
      </c>
      <c r="L109" s="32" t="n">
        <f aca="false">'Aturan &amp; Tarif'!$B$6</f>
        <v>350</v>
      </c>
      <c r="M109" s="35" t="n">
        <f aca="false">I109+J109+K109+L109</f>
        <v>9012.72</v>
      </c>
      <c r="N109" s="36" t="s">
        <v>761</v>
      </c>
    </row>
    <row r="110" customFormat="false" ht="48.75" hidden="false" customHeight="true" outlineLevel="0" collapsed="false">
      <c r="A110" s="29"/>
      <c r="B110" s="30" t="s">
        <v>762</v>
      </c>
      <c r="C110" s="31" t="s">
        <v>107</v>
      </c>
      <c r="D110" s="31" t="s">
        <v>108</v>
      </c>
      <c r="E110" s="32" t="n">
        <v>2500</v>
      </c>
      <c r="F110" s="32" t="n">
        <v>2500</v>
      </c>
      <c r="G110" s="32" t="n">
        <v>250</v>
      </c>
      <c r="H110" s="33" t="n">
        <v>1</v>
      </c>
      <c r="I110" s="34" t="n">
        <f aca="false">E110*H110+N(F110)+N(G110)</f>
        <v>5250</v>
      </c>
      <c r="J110" s="32" t="n">
        <f aca="false">ROUND(IFERROR(ROUND(IF(OR(ISNUMBER(SEARCH("week",C110)),ISNUMBER(SEARCH("minggu",C110))),IFERROR(_xlfn.NUMBERVALUE(SUBSTITUTE(LEFT(TRIM(C110),FIND(" ",TRIM(C110)&amp;" ")-1),",","."),"."),LEFT(SUBSTITUTE(LEFT(TRIM(C110),FIND(" ",TRIM(C110)&amp;" ")-1),",","."),FIND("/",SUBSTITUTE(LEFT(TRIM(C110),FIND(" ",TRIM(C110)&amp;" ")-1),",","."))-1)/MID(SUBSTITUTE(LEFT(TRIM(C110),FIND(" ",TRIM(C110)&amp;" ")-1),",","."),FIND("/",SUBSTITUTE(LEFT(TRIM(C110),FIND(" ",TRIM(C110)&amp;" ")-1),",","."))+1,9))*12/52,IF(ISNUMBER(SEARCH("month",C110)),IFERROR(_xlfn.NUMBERVALUE(SUBSTITUTE(LEFT(TRIM(C110),FIND(" ",TRIM(C110)&amp;" ")-1),",","."),"."),LEFT(SUBSTITUTE(LEFT(TRIM(C110),FIND(" ",TRIM(C110)&amp;" ")-1),",","."),FIND("/",SUBSTITUTE(LEFT(TRIM(C110),FIND(" ",TRIM(C110)&amp;" ")-1),",","."))-1)/MID(SUBSTITUTE(LEFT(TRIM(C110),FIND(" ",TRIM(C110)&amp;" ")-1),",","."),FIND("/",SUBSTITUTE(LEFT(TRIM(C110),FIND(" ",TRIM(C110)&amp;" ")-1),",","."))+1,9)),IF(ISNUMBER(SEARCH("yea",C110)),IFERROR(_xlfn.NUMBERVALUE(SUBSTITUTE(LEFT(TRIM(C110),FIND(" ",TRIM(C110)&amp;" ")-1),",","."),"."),LEFT(SUBSTITUTE(LEFT(TRIM(C110),FIND(" ",TRIM(C110)&amp;" ")-1),",","."),FIND("/",SUBSTITUTE(LEFT(TRIM(C110),FIND(" ",TRIM(C110)&amp;" ")-1),",","."))-1)/MID(SUBSTITUTE(LEFT(TRIM(C110),FIND(" ",TRIM(C110)&amp;" ")-1),",","."),FIND("/",SUBSTITUTE(LEFT(TRIM(C110),FIND(" ",TRIM(C110)&amp;" ")-1),",","."))+1,9))*12,NA()))),0),24)*'Aturan &amp; Tarif'!$B$4,2)</f>
        <v>1362.72</v>
      </c>
      <c r="K110" s="32" t="n">
        <f aca="false">'Aturan &amp; Tarif'!$B$5</f>
        <v>2050</v>
      </c>
      <c r="L110" s="32" t="n">
        <f aca="false">'Aturan &amp; Tarif'!$B$6</f>
        <v>350</v>
      </c>
      <c r="M110" s="35" t="n">
        <f aca="false">I110+J110+K110+L110</f>
        <v>9012.72</v>
      </c>
      <c r="N110" s="36" t="s">
        <v>757</v>
      </c>
    </row>
    <row r="111" customFormat="false" ht="14.25" hidden="false" customHeight="true" outlineLevel="0" collapsed="false">
      <c r="A111" s="29"/>
      <c r="B111" s="30" t="s">
        <v>763</v>
      </c>
      <c r="C111" s="31" t="s">
        <v>130</v>
      </c>
      <c r="D111" s="31" t="s">
        <v>108</v>
      </c>
      <c r="E111" s="32" t="n">
        <v>2500</v>
      </c>
      <c r="F111" s="32" t="n">
        <v>1500</v>
      </c>
      <c r="G111" s="32" t="n">
        <v>250</v>
      </c>
      <c r="H111" s="33" t="n">
        <v>1</v>
      </c>
      <c r="I111" s="34" t="n">
        <f aca="false">E111*H111+N(F111)+N(G111)</f>
        <v>4250</v>
      </c>
      <c r="J111" s="32" t="n">
        <f aca="false">ROUND(IFERROR(ROUND(IF(OR(ISNUMBER(SEARCH("week",C111)),ISNUMBER(SEARCH("minggu",C111))),IFERROR(_xlfn.NUMBERVALUE(SUBSTITUTE(LEFT(TRIM(C111),FIND(" ",TRIM(C111)&amp;" ")-1),",","."),"."),LEFT(SUBSTITUTE(LEFT(TRIM(C111),FIND(" ",TRIM(C111)&amp;" ")-1),",","."),FIND("/",SUBSTITUTE(LEFT(TRIM(C111),FIND(" ",TRIM(C111)&amp;" ")-1),",","."))-1)/MID(SUBSTITUTE(LEFT(TRIM(C111),FIND(" ",TRIM(C111)&amp;" ")-1),",","."),FIND("/",SUBSTITUTE(LEFT(TRIM(C111),FIND(" ",TRIM(C111)&amp;" ")-1),",","."))+1,9))*12/52,IF(ISNUMBER(SEARCH("month",C111)),IFERROR(_xlfn.NUMBERVALUE(SUBSTITUTE(LEFT(TRIM(C111),FIND(" ",TRIM(C111)&amp;" ")-1),",","."),"."),LEFT(SUBSTITUTE(LEFT(TRIM(C111),FIND(" ",TRIM(C111)&amp;" ")-1),",","."),FIND("/",SUBSTITUTE(LEFT(TRIM(C111),FIND(" ",TRIM(C111)&amp;" ")-1),",","."))-1)/MID(SUBSTITUTE(LEFT(TRIM(C111),FIND(" ",TRIM(C111)&amp;" ")-1),",","."),FIND("/",SUBSTITUTE(LEFT(TRIM(C111),FIND(" ",TRIM(C111)&amp;" ")-1),",","."))+1,9)),IF(ISNUMBER(SEARCH("yea",C111)),IFERROR(_xlfn.NUMBERVALUE(SUBSTITUTE(LEFT(TRIM(C111),FIND(" ",TRIM(C111)&amp;" ")-1),",","."),"."),LEFT(SUBSTITUTE(LEFT(TRIM(C111),FIND(" ",TRIM(C111)&amp;" ")-1),",","."),FIND("/",SUBSTITUTE(LEFT(TRIM(C111),FIND(" ",TRIM(C111)&amp;" ")-1),",","."))-1)/MID(SUBSTITUTE(LEFT(TRIM(C111),FIND(" ",TRIM(C111)&amp;" ")-1),",","."),FIND("/",SUBSTITUTE(LEFT(TRIM(C111),FIND(" ",TRIM(C111)&amp;" ")-1),",","."))+1,9))*12,NA()))),0),12)*'Aturan &amp; Tarif'!$B$4,2)</f>
        <v>681.36</v>
      </c>
      <c r="K111" s="32" t="n">
        <f aca="false">'Aturan &amp; Tarif'!$B$5</f>
        <v>2050</v>
      </c>
      <c r="L111" s="32" t="n">
        <f aca="false">'Aturan &amp; Tarif'!$B$6</f>
        <v>350</v>
      </c>
      <c r="M111" s="35" t="n">
        <f aca="false">I111+J111+K111+L111</f>
        <v>7331.36</v>
      </c>
      <c r="N111" s="37" t="s">
        <v>764</v>
      </c>
    </row>
    <row r="112" customFormat="false" ht="60" hidden="false" customHeight="true" outlineLevel="0" collapsed="false">
      <c r="A112" s="29"/>
      <c r="B112" s="30" t="s">
        <v>765</v>
      </c>
      <c r="C112" s="31" t="s">
        <v>107</v>
      </c>
      <c r="D112" s="31" t="s">
        <v>108</v>
      </c>
      <c r="E112" s="32" t="n">
        <v>3000</v>
      </c>
      <c r="F112" s="32" t="n">
        <v>2000</v>
      </c>
      <c r="G112" s="32" t="n">
        <v>250</v>
      </c>
      <c r="H112" s="33" t="n">
        <v>1</v>
      </c>
      <c r="I112" s="34" t="n">
        <f aca="false">E112*H112+N(F112)+N(G112)</f>
        <v>5250</v>
      </c>
      <c r="J112" s="32" t="n">
        <f aca="false">ROUND(IFERROR(ROUND(IF(OR(ISNUMBER(SEARCH("week",C112)),ISNUMBER(SEARCH("minggu",C112))),IFERROR(_xlfn.NUMBERVALUE(SUBSTITUTE(LEFT(TRIM(C112),FIND(" ",TRIM(C112)&amp;" ")-1),",","."),"."),LEFT(SUBSTITUTE(LEFT(TRIM(C112),FIND(" ",TRIM(C112)&amp;" ")-1),",","."),FIND("/",SUBSTITUTE(LEFT(TRIM(C112),FIND(" ",TRIM(C112)&amp;" ")-1),",","."))-1)/MID(SUBSTITUTE(LEFT(TRIM(C112),FIND(" ",TRIM(C112)&amp;" ")-1),",","."),FIND("/",SUBSTITUTE(LEFT(TRIM(C112),FIND(" ",TRIM(C112)&amp;" ")-1),",","."))+1,9))*12/52,IF(ISNUMBER(SEARCH("month",C112)),IFERROR(_xlfn.NUMBERVALUE(SUBSTITUTE(LEFT(TRIM(C112),FIND(" ",TRIM(C112)&amp;" ")-1),",","."),"."),LEFT(SUBSTITUTE(LEFT(TRIM(C112),FIND(" ",TRIM(C112)&amp;" ")-1),",","."),FIND("/",SUBSTITUTE(LEFT(TRIM(C112),FIND(" ",TRIM(C112)&amp;" ")-1),",","."))-1)/MID(SUBSTITUTE(LEFT(TRIM(C112),FIND(" ",TRIM(C112)&amp;" ")-1),",","."),FIND("/",SUBSTITUTE(LEFT(TRIM(C112),FIND(" ",TRIM(C112)&amp;" ")-1),",","."))+1,9)),IF(ISNUMBER(SEARCH("yea",C112)),IFERROR(_xlfn.NUMBERVALUE(SUBSTITUTE(LEFT(TRIM(C112),FIND(" ",TRIM(C112)&amp;" ")-1),",","."),"."),LEFT(SUBSTITUTE(LEFT(TRIM(C112),FIND(" ",TRIM(C112)&amp;" ")-1),",","."),FIND("/",SUBSTITUTE(LEFT(TRIM(C112),FIND(" ",TRIM(C112)&amp;" ")-1),",","."))-1)/MID(SUBSTITUTE(LEFT(TRIM(C112),FIND(" ",TRIM(C112)&amp;" ")-1),",","."),FIND("/",SUBSTITUTE(LEFT(TRIM(C112),FIND(" ",TRIM(C112)&amp;" ")-1),",","."))+1,9))*12,NA()))),0),24)*'Aturan &amp; Tarif'!$B$4,2)</f>
        <v>1362.72</v>
      </c>
      <c r="K112" s="32" t="n">
        <f aca="false">'Aturan &amp; Tarif'!$B$5</f>
        <v>2050</v>
      </c>
      <c r="L112" s="32" t="n">
        <f aca="false">'Aturan &amp; Tarif'!$B$6</f>
        <v>350</v>
      </c>
      <c r="M112" s="35" t="n">
        <f aca="false">I112+J112+K112+L112</f>
        <v>9012.72</v>
      </c>
      <c r="N112" s="36" t="s">
        <v>766</v>
      </c>
    </row>
    <row r="113" customFormat="false" ht="60" hidden="false" customHeight="true" outlineLevel="0" collapsed="false">
      <c r="A113" s="29"/>
      <c r="B113" s="30" t="s">
        <v>767</v>
      </c>
      <c r="C113" s="31" t="s">
        <v>113</v>
      </c>
      <c r="D113" s="31" t="s">
        <v>108</v>
      </c>
      <c r="E113" s="32" t="n">
        <v>3167</v>
      </c>
      <c r="F113" s="32" t="n">
        <v>1000</v>
      </c>
      <c r="G113" s="32" t="n">
        <v>250</v>
      </c>
      <c r="H113" s="33" t="n">
        <v>1</v>
      </c>
      <c r="I113" s="34" t="n">
        <f aca="false">E113*H113+N(F113)+N(G113)</f>
        <v>4417</v>
      </c>
      <c r="J113" s="32" t="n">
        <f aca="false">ROUND(IFERROR(ROUND(IF(OR(ISNUMBER(SEARCH("week",C113)),ISNUMBER(SEARCH("minggu",C113))),IFERROR(_xlfn.NUMBERVALUE(SUBSTITUTE(LEFT(TRIM(C113),FIND(" ",TRIM(C113)&amp;" ")-1),",","."),"."),LEFT(SUBSTITUTE(LEFT(TRIM(C113),FIND(" ",TRIM(C113)&amp;" ")-1),",","."),FIND("/",SUBSTITUTE(LEFT(TRIM(C113),FIND(" ",TRIM(C113)&amp;" ")-1),",","."))-1)/MID(SUBSTITUTE(LEFT(TRIM(C113),FIND(" ",TRIM(C113)&amp;" ")-1),",","."),FIND("/",SUBSTITUTE(LEFT(TRIM(C113),FIND(" ",TRIM(C113)&amp;" ")-1),",","."))+1,9))*12/52,IF(ISNUMBER(SEARCH("month",C113)),IFERROR(_xlfn.NUMBERVALUE(SUBSTITUTE(LEFT(TRIM(C113),FIND(" ",TRIM(C113)&amp;" ")-1),",","."),"."),LEFT(SUBSTITUTE(LEFT(TRIM(C113),FIND(" ",TRIM(C113)&amp;" ")-1),",","."),FIND("/",SUBSTITUTE(LEFT(TRIM(C113),FIND(" ",TRIM(C113)&amp;" ")-1),",","."))-1)/MID(SUBSTITUTE(LEFT(TRIM(C113),FIND(" ",TRIM(C113)&amp;" ")-1),",","."),FIND("/",SUBSTITUTE(LEFT(TRIM(C113),FIND(" ",TRIM(C113)&amp;" ")-1),",","."))+1,9)),IF(ISNUMBER(SEARCH("yea",C113)),IFERROR(_xlfn.NUMBERVALUE(SUBSTITUTE(LEFT(TRIM(C113),FIND(" ",TRIM(C113)&amp;" ")-1),",","."),"."),LEFT(SUBSTITUTE(LEFT(TRIM(C113),FIND(" ",TRIM(C113)&amp;" ")-1),",","."),FIND("/",SUBSTITUTE(LEFT(TRIM(C113),FIND(" ",TRIM(C113)&amp;" ")-1),",","."))-1)/MID(SUBSTITUTE(LEFT(TRIM(C113),FIND(" ",TRIM(C113)&amp;" ")-1),",","."),FIND("/",SUBSTITUTE(LEFT(TRIM(C113),FIND(" ",TRIM(C113)&amp;" ")-1),",","."))+1,9))*12,NA()))),0),18)*'Aturan &amp; Tarif'!$B$4,2)</f>
        <v>1022.04</v>
      </c>
      <c r="K113" s="32" t="n">
        <f aca="false">'Aturan &amp; Tarif'!$B$5</f>
        <v>2050</v>
      </c>
      <c r="L113" s="32" t="n">
        <f aca="false">'Aturan &amp; Tarif'!$B$6</f>
        <v>350</v>
      </c>
      <c r="M113" s="35" t="n">
        <f aca="false">I113+J113+K113+L113</f>
        <v>7839.04</v>
      </c>
      <c r="N113" s="36" t="s">
        <v>768</v>
      </c>
    </row>
    <row r="114" customFormat="false" ht="37.5" hidden="false" customHeight="true" outlineLevel="0" collapsed="false">
      <c r="A114" s="29"/>
      <c r="B114" s="30" t="s">
        <v>769</v>
      </c>
      <c r="C114" s="31" t="s">
        <v>107</v>
      </c>
      <c r="D114" s="31" t="s">
        <v>108</v>
      </c>
      <c r="E114" s="32" t="n">
        <v>3167</v>
      </c>
      <c r="F114" s="32" t="n">
        <v>1500</v>
      </c>
      <c r="G114" s="32" t="n">
        <v>250</v>
      </c>
      <c r="H114" s="33" t="n">
        <v>1</v>
      </c>
      <c r="I114" s="34" t="n">
        <f aca="false">E114*H114+N(F114)+N(G114)</f>
        <v>4917</v>
      </c>
      <c r="J114" s="32" t="n">
        <f aca="false">ROUND(IFERROR(ROUND(IF(OR(ISNUMBER(SEARCH("week",C114)),ISNUMBER(SEARCH("minggu",C114))),IFERROR(_xlfn.NUMBERVALUE(SUBSTITUTE(LEFT(TRIM(C114),FIND(" ",TRIM(C114)&amp;" ")-1),",","."),"."),LEFT(SUBSTITUTE(LEFT(TRIM(C114),FIND(" ",TRIM(C114)&amp;" ")-1),",","."),FIND("/",SUBSTITUTE(LEFT(TRIM(C114),FIND(" ",TRIM(C114)&amp;" ")-1),",","."))-1)/MID(SUBSTITUTE(LEFT(TRIM(C114),FIND(" ",TRIM(C114)&amp;" ")-1),",","."),FIND("/",SUBSTITUTE(LEFT(TRIM(C114),FIND(" ",TRIM(C114)&amp;" ")-1),",","."))+1,9))*12/52,IF(ISNUMBER(SEARCH("month",C114)),IFERROR(_xlfn.NUMBERVALUE(SUBSTITUTE(LEFT(TRIM(C114),FIND(" ",TRIM(C114)&amp;" ")-1),",","."),"."),LEFT(SUBSTITUTE(LEFT(TRIM(C114),FIND(" ",TRIM(C114)&amp;" ")-1),",","."),FIND("/",SUBSTITUTE(LEFT(TRIM(C114),FIND(" ",TRIM(C114)&amp;" ")-1),",","."))-1)/MID(SUBSTITUTE(LEFT(TRIM(C114),FIND(" ",TRIM(C114)&amp;" ")-1),",","."),FIND("/",SUBSTITUTE(LEFT(TRIM(C114),FIND(" ",TRIM(C114)&amp;" ")-1),",","."))+1,9)),IF(ISNUMBER(SEARCH("yea",C114)),IFERROR(_xlfn.NUMBERVALUE(SUBSTITUTE(LEFT(TRIM(C114),FIND(" ",TRIM(C114)&amp;" ")-1),",","."),"."),LEFT(SUBSTITUTE(LEFT(TRIM(C114),FIND(" ",TRIM(C114)&amp;" ")-1),",","."),FIND("/",SUBSTITUTE(LEFT(TRIM(C114),FIND(" ",TRIM(C114)&amp;" ")-1),",","."))-1)/MID(SUBSTITUTE(LEFT(TRIM(C114),FIND(" ",TRIM(C114)&amp;" ")-1),",","."),FIND("/",SUBSTITUTE(LEFT(TRIM(C114),FIND(" ",TRIM(C114)&amp;" ")-1),",","."))+1,9))*12,NA()))),0),24)*'Aturan &amp; Tarif'!$B$4,2)</f>
        <v>1362.72</v>
      </c>
      <c r="K114" s="32" t="n">
        <f aca="false">'Aturan &amp; Tarif'!$B$5</f>
        <v>2050</v>
      </c>
      <c r="L114" s="32" t="n">
        <f aca="false">'Aturan &amp; Tarif'!$B$6</f>
        <v>350</v>
      </c>
      <c r="M114" s="35" t="n">
        <f aca="false">I114+J114+K114+L114</f>
        <v>8679.72</v>
      </c>
      <c r="N114" s="36" t="s">
        <v>770</v>
      </c>
    </row>
    <row r="115" customFormat="false" ht="25.5" hidden="false" customHeight="true" outlineLevel="0" collapsed="false">
      <c r="A115" s="29"/>
      <c r="B115" s="30" t="s">
        <v>771</v>
      </c>
      <c r="C115" s="31" t="s">
        <v>107</v>
      </c>
      <c r="D115" s="31" t="s">
        <v>108</v>
      </c>
      <c r="E115" s="32" t="n">
        <v>2500</v>
      </c>
      <c r="F115" s="32" t="n">
        <v>1400</v>
      </c>
      <c r="G115" s="32" t="n">
        <v>250</v>
      </c>
      <c r="H115" s="33" t="n">
        <v>1</v>
      </c>
      <c r="I115" s="34" t="n">
        <f aca="false">E115*H115+N(F115)+N(G115)</f>
        <v>4150</v>
      </c>
      <c r="J115" s="32" t="n">
        <f aca="false">ROUND(IFERROR(ROUND(IF(OR(ISNUMBER(SEARCH("week",C115)),ISNUMBER(SEARCH("minggu",C115))),IFERROR(_xlfn.NUMBERVALUE(SUBSTITUTE(LEFT(TRIM(C115),FIND(" ",TRIM(C115)&amp;" ")-1),",","."),"."),LEFT(SUBSTITUTE(LEFT(TRIM(C115),FIND(" ",TRIM(C115)&amp;" ")-1),",","."),FIND("/",SUBSTITUTE(LEFT(TRIM(C115),FIND(" ",TRIM(C115)&amp;" ")-1),",","."))-1)/MID(SUBSTITUTE(LEFT(TRIM(C115),FIND(" ",TRIM(C115)&amp;" ")-1),",","."),FIND("/",SUBSTITUTE(LEFT(TRIM(C115),FIND(" ",TRIM(C115)&amp;" ")-1),",","."))+1,9))*12/52,IF(ISNUMBER(SEARCH("month",C115)),IFERROR(_xlfn.NUMBERVALUE(SUBSTITUTE(LEFT(TRIM(C115),FIND(" ",TRIM(C115)&amp;" ")-1),",","."),"."),LEFT(SUBSTITUTE(LEFT(TRIM(C115),FIND(" ",TRIM(C115)&amp;" ")-1),",","."),FIND("/",SUBSTITUTE(LEFT(TRIM(C115),FIND(" ",TRIM(C115)&amp;" ")-1),",","."))-1)/MID(SUBSTITUTE(LEFT(TRIM(C115),FIND(" ",TRIM(C115)&amp;" ")-1),",","."),FIND("/",SUBSTITUTE(LEFT(TRIM(C115),FIND(" ",TRIM(C115)&amp;" ")-1),",","."))+1,9)),IF(ISNUMBER(SEARCH("yea",C115)),IFERROR(_xlfn.NUMBERVALUE(SUBSTITUTE(LEFT(TRIM(C115),FIND(" ",TRIM(C115)&amp;" ")-1),",","."),"."),LEFT(SUBSTITUTE(LEFT(TRIM(C115),FIND(" ",TRIM(C115)&amp;" ")-1),",","."),FIND("/",SUBSTITUTE(LEFT(TRIM(C115),FIND(" ",TRIM(C115)&amp;" ")-1),",","."))-1)/MID(SUBSTITUTE(LEFT(TRIM(C115),FIND(" ",TRIM(C115)&amp;" ")-1),",","."),FIND("/",SUBSTITUTE(LEFT(TRIM(C115),FIND(" ",TRIM(C115)&amp;" ")-1),",","."))+1,9))*12,NA()))),0),24)*'Aturan &amp; Tarif'!$B$4,2)</f>
        <v>1362.72</v>
      </c>
      <c r="K115" s="32" t="n">
        <f aca="false">'Aturan &amp; Tarif'!$B$5</f>
        <v>2050</v>
      </c>
      <c r="L115" s="32" t="n">
        <f aca="false">'Aturan &amp; Tarif'!$B$6</f>
        <v>350</v>
      </c>
      <c r="M115" s="35" t="n">
        <f aca="false">I115+J115+K115+L115</f>
        <v>7912.72</v>
      </c>
      <c r="N115" s="36" t="s">
        <v>757</v>
      </c>
    </row>
    <row r="116" customFormat="false" ht="37.5" hidden="false" customHeight="true" outlineLevel="0" collapsed="false">
      <c r="A116" s="29"/>
      <c r="B116" s="30" t="s">
        <v>772</v>
      </c>
      <c r="C116" s="31" t="s">
        <v>138</v>
      </c>
      <c r="D116" s="31" t="s">
        <v>108</v>
      </c>
      <c r="E116" s="32" t="n">
        <v>2500</v>
      </c>
      <c r="F116" s="32" t="n">
        <v>1400</v>
      </c>
      <c r="G116" s="32" t="n">
        <v>250</v>
      </c>
      <c r="H116" s="33" t="n">
        <v>1</v>
      </c>
      <c r="I116" s="34" t="n">
        <f aca="false">E116*H116+N(F116)+N(G116)</f>
        <v>4150</v>
      </c>
      <c r="J116" s="32" t="n">
        <f aca="false">ROUND(IFERROR(ROUND(IF(OR(ISNUMBER(SEARCH("week",C116)),ISNUMBER(SEARCH("minggu",C116))),IFERROR(_xlfn.NUMBERVALUE(SUBSTITUTE(LEFT(TRIM(C116),FIND(" ",TRIM(C116)&amp;" ")-1),",","."),"."),LEFT(SUBSTITUTE(LEFT(TRIM(C116),FIND(" ",TRIM(C116)&amp;" ")-1),",","."),FIND("/",SUBSTITUTE(LEFT(TRIM(C116),FIND(" ",TRIM(C116)&amp;" ")-1),",","."))-1)/MID(SUBSTITUTE(LEFT(TRIM(C116),FIND(" ",TRIM(C116)&amp;" ")-1),",","."),FIND("/",SUBSTITUTE(LEFT(TRIM(C116),FIND(" ",TRIM(C116)&amp;" ")-1),",","."))+1,9))*12/52,IF(ISNUMBER(SEARCH("month",C116)),IFERROR(_xlfn.NUMBERVALUE(SUBSTITUTE(LEFT(TRIM(C116),FIND(" ",TRIM(C116)&amp;" ")-1),",","."),"."),LEFT(SUBSTITUTE(LEFT(TRIM(C116),FIND(" ",TRIM(C116)&amp;" ")-1),",","."),FIND("/",SUBSTITUTE(LEFT(TRIM(C116),FIND(" ",TRIM(C116)&amp;" ")-1),",","."))-1)/MID(SUBSTITUTE(LEFT(TRIM(C116),FIND(" ",TRIM(C116)&amp;" ")-1),",","."),FIND("/",SUBSTITUTE(LEFT(TRIM(C116),FIND(" ",TRIM(C116)&amp;" ")-1),",","."))+1,9)),IF(ISNUMBER(SEARCH("yea",C116)),IFERROR(_xlfn.NUMBERVALUE(SUBSTITUTE(LEFT(TRIM(C116),FIND(" ",TRIM(C116)&amp;" ")-1),",","."),"."),LEFT(SUBSTITUTE(LEFT(TRIM(C116),FIND(" ",TRIM(C116)&amp;" ")-1),",","."),FIND("/",SUBSTITUTE(LEFT(TRIM(C116),FIND(" ",TRIM(C116)&amp;" ")-1),",","."))-1)/MID(SUBSTITUTE(LEFT(TRIM(C116),FIND(" ",TRIM(C116)&amp;" ")-1),",","."),FIND("/",SUBSTITUTE(LEFT(TRIM(C116),FIND(" ",TRIM(C116)&amp;" ")-1),",","."))+1,9))*12,NA()))),0),30)*'Aturan &amp; Tarif'!$B$4,2)</f>
        <v>1703.4</v>
      </c>
      <c r="K116" s="32" t="n">
        <f aca="false">'Aturan &amp; Tarif'!$B$5</f>
        <v>2050</v>
      </c>
      <c r="L116" s="32" t="n">
        <f aca="false">'Aturan &amp; Tarif'!$B$6</f>
        <v>350</v>
      </c>
      <c r="M116" s="35" t="n">
        <f aca="false">I116+J116+K116+L116</f>
        <v>8253.4</v>
      </c>
      <c r="N116" s="36" t="s">
        <v>761</v>
      </c>
    </row>
    <row r="117" customFormat="false" ht="14.25" hidden="false" customHeight="true" outlineLevel="0" collapsed="false">
      <c r="A117" s="29"/>
      <c r="B117" s="30" t="s">
        <v>773</v>
      </c>
      <c r="C117" s="31" t="s">
        <v>130</v>
      </c>
      <c r="D117" s="31" t="s">
        <v>108</v>
      </c>
      <c r="E117" s="32" t="n">
        <v>1625</v>
      </c>
      <c r="F117" s="32" t="n">
        <v>500</v>
      </c>
      <c r="G117" s="32" t="n">
        <v>250</v>
      </c>
      <c r="H117" s="33" t="n">
        <v>1</v>
      </c>
      <c r="I117" s="34" t="n">
        <f aca="false">E117*H117+N(F117)+N(G117)</f>
        <v>2375</v>
      </c>
      <c r="J117" s="32" t="n">
        <f aca="false">ROUND(IFERROR(ROUND(IF(OR(ISNUMBER(SEARCH("week",C117)),ISNUMBER(SEARCH("minggu",C117))),IFERROR(_xlfn.NUMBERVALUE(SUBSTITUTE(LEFT(TRIM(C117),FIND(" ",TRIM(C117)&amp;" ")-1),",","."),"."),LEFT(SUBSTITUTE(LEFT(TRIM(C117),FIND(" ",TRIM(C117)&amp;" ")-1),",","."),FIND("/",SUBSTITUTE(LEFT(TRIM(C117),FIND(" ",TRIM(C117)&amp;" ")-1),",","."))-1)/MID(SUBSTITUTE(LEFT(TRIM(C117),FIND(" ",TRIM(C117)&amp;" ")-1),",","."),FIND("/",SUBSTITUTE(LEFT(TRIM(C117),FIND(" ",TRIM(C117)&amp;" ")-1),",","."))+1,9))*12/52,IF(ISNUMBER(SEARCH("month",C117)),IFERROR(_xlfn.NUMBERVALUE(SUBSTITUTE(LEFT(TRIM(C117),FIND(" ",TRIM(C117)&amp;" ")-1),",","."),"."),LEFT(SUBSTITUTE(LEFT(TRIM(C117),FIND(" ",TRIM(C117)&amp;" ")-1),",","."),FIND("/",SUBSTITUTE(LEFT(TRIM(C117),FIND(" ",TRIM(C117)&amp;" ")-1),",","."))-1)/MID(SUBSTITUTE(LEFT(TRIM(C117),FIND(" ",TRIM(C117)&amp;" ")-1),",","."),FIND("/",SUBSTITUTE(LEFT(TRIM(C117),FIND(" ",TRIM(C117)&amp;" ")-1),",","."))+1,9)),IF(ISNUMBER(SEARCH("yea",C117)),IFERROR(_xlfn.NUMBERVALUE(SUBSTITUTE(LEFT(TRIM(C117),FIND(" ",TRIM(C117)&amp;" ")-1),",","."),"."),LEFT(SUBSTITUTE(LEFT(TRIM(C117),FIND(" ",TRIM(C117)&amp;" ")-1),",","."),FIND("/",SUBSTITUTE(LEFT(TRIM(C117),FIND(" ",TRIM(C117)&amp;" ")-1),",","."))-1)/MID(SUBSTITUTE(LEFT(TRIM(C117),FIND(" ",TRIM(C117)&amp;" ")-1),",","."),FIND("/",SUBSTITUTE(LEFT(TRIM(C117),FIND(" ",TRIM(C117)&amp;" ")-1),",","."))+1,9))*12,NA()))),0),12)*'Aturan &amp; Tarif'!$B$4,2)</f>
        <v>681.36</v>
      </c>
      <c r="K117" s="32" t="n">
        <f aca="false">'Aturan &amp; Tarif'!$B$5</f>
        <v>2050</v>
      </c>
      <c r="L117" s="32" t="n">
        <f aca="false">'Aturan &amp; Tarif'!$B$6</f>
        <v>350</v>
      </c>
      <c r="M117" s="35" t="n">
        <f aca="false">I117+J117+K117+L117</f>
        <v>5456.36</v>
      </c>
      <c r="N117" s="37" t="s">
        <v>764</v>
      </c>
    </row>
    <row r="118" customFormat="false" ht="60" hidden="false" customHeight="true" outlineLevel="0" collapsed="false">
      <c r="A118" s="29"/>
      <c r="B118" s="30" t="s">
        <v>774</v>
      </c>
      <c r="C118" s="31" t="s">
        <v>159</v>
      </c>
      <c r="D118" s="31" t="s">
        <v>108</v>
      </c>
      <c r="E118" s="32" t="n">
        <v>2000</v>
      </c>
      <c r="F118" s="32" t="n">
        <v>250</v>
      </c>
      <c r="G118" s="32" t="n">
        <v>250</v>
      </c>
      <c r="H118" s="33" t="n">
        <v>1</v>
      </c>
      <c r="I118" s="34" t="n">
        <f aca="false">E118*H118+N(F118)+N(G118)</f>
        <v>2500</v>
      </c>
      <c r="J118" s="32" t="n">
        <f aca="false">ROUND(IFERROR(ROUND(IF(OR(ISNUMBER(SEARCH("week",C118)),ISNUMBER(SEARCH("minggu",C118))),IFERROR(_xlfn.NUMBERVALUE(SUBSTITUTE(LEFT(TRIM(C118),FIND(" ",TRIM(C118)&amp;" ")-1),",","."),"."),LEFT(SUBSTITUTE(LEFT(TRIM(C118),FIND(" ",TRIM(C118)&amp;" ")-1),",","."),FIND("/",SUBSTITUTE(LEFT(TRIM(C118),FIND(" ",TRIM(C118)&amp;" ")-1),",","."))-1)/MID(SUBSTITUTE(LEFT(TRIM(C118),FIND(" ",TRIM(C118)&amp;" ")-1),",","."),FIND("/",SUBSTITUTE(LEFT(TRIM(C118),FIND(" ",TRIM(C118)&amp;" ")-1),",","."))+1,9))*12/52,IF(ISNUMBER(SEARCH("month",C118)),IFERROR(_xlfn.NUMBERVALUE(SUBSTITUTE(LEFT(TRIM(C118),FIND(" ",TRIM(C118)&amp;" ")-1),",","."),"."),LEFT(SUBSTITUTE(LEFT(TRIM(C118),FIND(" ",TRIM(C118)&amp;" ")-1),",","."),FIND("/",SUBSTITUTE(LEFT(TRIM(C118),FIND(" ",TRIM(C118)&amp;" ")-1),",","."))-1)/MID(SUBSTITUTE(LEFT(TRIM(C118),FIND(" ",TRIM(C118)&amp;" ")-1),",","."),FIND("/",SUBSTITUTE(LEFT(TRIM(C118),FIND(" ",TRIM(C118)&amp;" ")-1),",","."))+1,9)),IF(ISNUMBER(SEARCH("yea",C118)),IFERROR(_xlfn.NUMBERVALUE(SUBSTITUTE(LEFT(TRIM(C118),FIND(" ",TRIM(C118)&amp;" ")-1),",","."),"."),LEFT(SUBSTITUTE(LEFT(TRIM(C118),FIND(" ",TRIM(C118)&amp;" ")-1),",","."),FIND("/",SUBSTITUTE(LEFT(TRIM(C118),FIND(" ",TRIM(C118)&amp;" ")-1),",","."))-1)/MID(SUBSTITUTE(LEFT(TRIM(C118),FIND(" ",TRIM(C118)&amp;" ")-1),",","."),FIND("/",SUBSTITUTE(LEFT(TRIM(C118),FIND(" ",TRIM(C118)&amp;" ")-1),",","."))+1,9))*12,NA()))),0),6)*'Aturan &amp; Tarif'!$B$4,2)</f>
        <v>340.68</v>
      </c>
      <c r="K118" s="32" t="n">
        <f aca="false">'Aturan &amp; Tarif'!$B$5</f>
        <v>2050</v>
      </c>
      <c r="L118" s="32" t="n">
        <f aca="false">'Aturan &amp; Tarif'!$B$6</f>
        <v>350</v>
      </c>
      <c r="M118" s="35" t="n">
        <f aca="false">I118+J118+K118+L118</f>
        <v>5240.68</v>
      </c>
      <c r="N118" s="36" t="s">
        <v>775</v>
      </c>
    </row>
    <row r="119" customFormat="false" ht="60" hidden="false" customHeight="true" outlineLevel="0" collapsed="false">
      <c r="A119" s="29"/>
      <c r="B119" s="30" t="s">
        <v>776</v>
      </c>
      <c r="C119" s="31" t="s">
        <v>130</v>
      </c>
      <c r="D119" s="31" t="s">
        <v>108</v>
      </c>
      <c r="E119" s="32" t="n">
        <v>1375</v>
      </c>
      <c r="F119" s="32" t="n">
        <v>500</v>
      </c>
      <c r="G119" s="32" t="n">
        <v>250</v>
      </c>
      <c r="H119" s="33" t="n">
        <v>1</v>
      </c>
      <c r="I119" s="34" t="n">
        <f aca="false">E119*H119+N(F119)+N(G119)</f>
        <v>2125</v>
      </c>
      <c r="J119" s="32" t="n">
        <f aca="false">ROUND(IFERROR(ROUND(IF(OR(ISNUMBER(SEARCH("week",C119)),ISNUMBER(SEARCH("minggu",C119))),IFERROR(_xlfn.NUMBERVALUE(SUBSTITUTE(LEFT(TRIM(C119),FIND(" ",TRIM(C119)&amp;" ")-1),",","."),"."),LEFT(SUBSTITUTE(LEFT(TRIM(C119),FIND(" ",TRIM(C119)&amp;" ")-1),",","."),FIND("/",SUBSTITUTE(LEFT(TRIM(C119),FIND(" ",TRIM(C119)&amp;" ")-1),",","."))-1)/MID(SUBSTITUTE(LEFT(TRIM(C119),FIND(" ",TRIM(C119)&amp;" ")-1),",","."),FIND("/",SUBSTITUTE(LEFT(TRIM(C119),FIND(" ",TRIM(C119)&amp;" ")-1),",","."))+1,9))*12/52,IF(ISNUMBER(SEARCH("month",C119)),IFERROR(_xlfn.NUMBERVALUE(SUBSTITUTE(LEFT(TRIM(C119),FIND(" ",TRIM(C119)&amp;" ")-1),",","."),"."),LEFT(SUBSTITUTE(LEFT(TRIM(C119),FIND(" ",TRIM(C119)&amp;" ")-1),",","."),FIND("/",SUBSTITUTE(LEFT(TRIM(C119),FIND(" ",TRIM(C119)&amp;" ")-1),",","."))-1)/MID(SUBSTITUTE(LEFT(TRIM(C119),FIND(" ",TRIM(C119)&amp;" ")-1),",","."),FIND("/",SUBSTITUTE(LEFT(TRIM(C119),FIND(" ",TRIM(C119)&amp;" ")-1),",","."))+1,9)),IF(ISNUMBER(SEARCH("yea",C119)),IFERROR(_xlfn.NUMBERVALUE(SUBSTITUTE(LEFT(TRIM(C119),FIND(" ",TRIM(C119)&amp;" ")-1),",","."),"."),LEFT(SUBSTITUTE(LEFT(TRIM(C119),FIND(" ",TRIM(C119)&amp;" ")-1),",","."),FIND("/",SUBSTITUTE(LEFT(TRIM(C119),FIND(" ",TRIM(C119)&amp;" ")-1),",","."))-1)/MID(SUBSTITUTE(LEFT(TRIM(C119),FIND(" ",TRIM(C119)&amp;" ")-1),",","."),FIND("/",SUBSTITUTE(LEFT(TRIM(C119),FIND(" ",TRIM(C119)&amp;" ")-1),",","."))+1,9))*12,NA()))),0),12)*'Aturan &amp; Tarif'!$B$4,2)</f>
        <v>681.36</v>
      </c>
      <c r="K119" s="32" t="n">
        <f aca="false">'Aturan &amp; Tarif'!$B$5</f>
        <v>2050</v>
      </c>
      <c r="L119" s="32" t="n">
        <f aca="false">'Aturan &amp; Tarif'!$B$6</f>
        <v>350</v>
      </c>
      <c r="M119" s="35" t="n">
        <f aca="false">I119+J119+K119+L119</f>
        <v>5206.36</v>
      </c>
      <c r="N119" s="36" t="s">
        <v>777</v>
      </c>
    </row>
    <row r="120" customFormat="false" ht="48.75" hidden="false" customHeight="true" outlineLevel="0" collapsed="false">
      <c r="A120" s="29" t="s">
        <v>778</v>
      </c>
      <c r="B120" s="30" t="s">
        <v>779</v>
      </c>
      <c r="C120" s="31" t="s">
        <v>107</v>
      </c>
      <c r="D120" s="31" t="s">
        <v>108</v>
      </c>
      <c r="E120" s="32" t="n">
        <v>2625</v>
      </c>
      <c r="F120" s="32" t="n">
        <v>1500</v>
      </c>
      <c r="G120" s="32" t="n">
        <v>250</v>
      </c>
      <c r="H120" s="33" t="n">
        <v>2</v>
      </c>
      <c r="I120" s="34" t="n">
        <f aca="false">E120*H120+N(F120)+N(G120)</f>
        <v>7000</v>
      </c>
      <c r="J120" s="32" t="n">
        <f aca="false">ROUND(IFERROR(ROUND(IF(OR(ISNUMBER(SEARCH("week",C120)),ISNUMBER(SEARCH("minggu",C120))),IFERROR(_xlfn.NUMBERVALUE(SUBSTITUTE(LEFT(TRIM(C120),FIND(" ",TRIM(C120)&amp;" ")-1),",","."),"."),LEFT(SUBSTITUTE(LEFT(TRIM(C120),FIND(" ",TRIM(C120)&amp;" ")-1),",","."),FIND("/",SUBSTITUTE(LEFT(TRIM(C120),FIND(" ",TRIM(C120)&amp;" ")-1),",","."))-1)/MID(SUBSTITUTE(LEFT(TRIM(C120),FIND(" ",TRIM(C120)&amp;" ")-1),",","."),FIND("/",SUBSTITUTE(LEFT(TRIM(C120),FIND(" ",TRIM(C120)&amp;" ")-1),",","."))+1,9))*12/52,IF(ISNUMBER(SEARCH("month",C120)),IFERROR(_xlfn.NUMBERVALUE(SUBSTITUTE(LEFT(TRIM(C120),FIND(" ",TRIM(C120)&amp;" ")-1),",","."),"."),LEFT(SUBSTITUTE(LEFT(TRIM(C120),FIND(" ",TRIM(C120)&amp;" ")-1),",","."),FIND("/",SUBSTITUTE(LEFT(TRIM(C120),FIND(" ",TRIM(C120)&amp;" ")-1),",","."))-1)/MID(SUBSTITUTE(LEFT(TRIM(C120),FIND(" ",TRIM(C120)&amp;" ")-1),",","."),FIND("/",SUBSTITUTE(LEFT(TRIM(C120),FIND(" ",TRIM(C120)&amp;" ")-1),",","."))+1,9)),IF(ISNUMBER(SEARCH("yea",C120)),IFERROR(_xlfn.NUMBERVALUE(SUBSTITUTE(LEFT(TRIM(C120),FIND(" ",TRIM(C120)&amp;" ")-1),",","."),"."),LEFT(SUBSTITUTE(LEFT(TRIM(C120),FIND(" ",TRIM(C120)&amp;" ")-1),",","."),FIND("/",SUBSTITUTE(LEFT(TRIM(C120),FIND(" ",TRIM(C120)&amp;" ")-1),",","."))-1)/MID(SUBSTITUTE(LEFT(TRIM(C120),FIND(" ",TRIM(C120)&amp;" ")-1),",","."),FIND("/",SUBSTITUTE(LEFT(TRIM(C120),FIND(" ",TRIM(C120)&amp;" ")-1),",","."))+1,9))*12,NA()))),0),24)*'Aturan &amp; Tarif'!$B$4,2)</f>
        <v>1362.72</v>
      </c>
      <c r="K120" s="32" t="n">
        <f aca="false">'Aturan &amp; Tarif'!$B$5</f>
        <v>2050</v>
      </c>
      <c r="L120" s="32" t="n">
        <f aca="false">'Aturan &amp; Tarif'!$B$6</f>
        <v>350</v>
      </c>
      <c r="M120" s="35" t="n">
        <f aca="false">I120+J120+K120+L120</f>
        <v>10762.72</v>
      </c>
      <c r="N120" s="36" t="s">
        <v>780</v>
      </c>
    </row>
    <row r="121" customFormat="false" ht="48.75" hidden="false" customHeight="true" outlineLevel="0" collapsed="false">
      <c r="A121" s="29"/>
      <c r="B121" s="30" t="s">
        <v>781</v>
      </c>
      <c r="C121" s="31" t="s">
        <v>138</v>
      </c>
      <c r="D121" s="31" t="s">
        <v>108</v>
      </c>
      <c r="E121" s="32" t="n">
        <v>2625</v>
      </c>
      <c r="F121" s="32" t="n">
        <v>1500</v>
      </c>
      <c r="G121" s="32" t="n">
        <v>250</v>
      </c>
      <c r="H121" s="33" t="n">
        <v>2</v>
      </c>
      <c r="I121" s="34" t="n">
        <f aca="false">E121*H121+N(F121)+N(G121)</f>
        <v>7000</v>
      </c>
      <c r="J121" s="32" t="n">
        <f aca="false">ROUND(IFERROR(ROUND(IF(OR(ISNUMBER(SEARCH("week",C121)),ISNUMBER(SEARCH("minggu",C121))),IFERROR(_xlfn.NUMBERVALUE(SUBSTITUTE(LEFT(TRIM(C121),FIND(" ",TRIM(C121)&amp;" ")-1),",","."),"."),LEFT(SUBSTITUTE(LEFT(TRIM(C121),FIND(" ",TRIM(C121)&amp;" ")-1),",","."),FIND("/",SUBSTITUTE(LEFT(TRIM(C121),FIND(" ",TRIM(C121)&amp;" ")-1),",","."))-1)/MID(SUBSTITUTE(LEFT(TRIM(C121),FIND(" ",TRIM(C121)&amp;" ")-1),",","."),FIND("/",SUBSTITUTE(LEFT(TRIM(C121),FIND(" ",TRIM(C121)&amp;" ")-1),",","."))+1,9))*12/52,IF(ISNUMBER(SEARCH("month",C121)),IFERROR(_xlfn.NUMBERVALUE(SUBSTITUTE(LEFT(TRIM(C121),FIND(" ",TRIM(C121)&amp;" ")-1),",","."),"."),LEFT(SUBSTITUTE(LEFT(TRIM(C121),FIND(" ",TRIM(C121)&amp;" ")-1),",","."),FIND("/",SUBSTITUTE(LEFT(TRIM(C121),FIND(" ",TRIM(C121)&amp;" ")-1),",","."))-1)/MID(SUBSTITUTE(LEFT(TRIM(C121),FIND(" ",TRIM(C121)&amp;" ")-1),",","."),FIND("/",SUBSTITUTE(LEFT(TRIM(C121),FIND(" ",TRIM(C121)&amp;" ")-1),",","."))+1,9)),IF(ISNUMBER(SEARCH("yea",C121)),IFERROR(_xlfn.NUMBERVALUE(SUBSTITUTE(LEFT(TRIM(C121),FIND(" ",TRIM(C121)&amp;" ")-1),",","."),"."),LEFT(SUBSTITUTE(LEFT(TRIM(C121),FIND(" ",TRIM(C121)&amp;" ")-1),",","."),FIND("/",SUBSTITUTE(LEFT(TRIM(C121),FIND(" ",TRIM(C121)&amp;" ")-1),",","."))-1)/MID(SUBSTITUTE(LEFT(TRIM(C121),FIND(" ",TRIM(C121)&amp;" ")-1),",","."),FIND("/",SUBSTITUTE(LEFT(TRIM(C121),FIND(" ",TRIM(C121)&amp;" ")-1),",","."))+1,9))*12,NA()))),0),30)*'Aturan &amp; Tarif'!$B$4,2)</f>
        <v>1703.4</v>
      </c>
      <c r="K121" s="32" t="n">
        <f aca="false">'Aturan &amp; Tarif'!$B$5</f>
        <v>2050</v>
      </c>
      <c r="L121" s="32" t="n">
        <f aca="false">'Aturan &amp; Tarif'!$B$6</f>
        <v>350</v>
      </c>
      <c r="M121" s="35" t="n">
        <f aca="false">I121+J121+K121+L121</f>
        <v>11103.4</v>
      </c>
      <c r="N121" s="36" t="s">
        <v>782</v>
      </c>
    </row>
    <row r="122" customFormat="false" ht="25.5" hidden="false" customHeight="true" outlineLevel="0" collapsed="false">
      <c r="A122" s="29"/>
      <c r="B122" s="30" t="s">
        <v>783</v>
      </c>
      <c r="C122" s="31" t="s">
        <v>107</v>
      </c>
      <c r="D122" s="31" t="s">
        <v>108</v>
      </c>
      <c r="E122" s="32" t="n">
        <v>2600</v>
      </c>
      <c r="F122" s="32" t="n">
        <v>600</v>
      </c>
      <c r="G122" s="32" t="n">
        <v>250</v>
      </c>
      <c r="H122" s="33" t="n">
        <v>2</v>
      </c>
      <c r="I122" s="34" t="n">
        <f aca="false">E122*H122+N(F122)+N(G122)</f>
        <v>6050</v>
      </c>
      <c r="J122" s="32" t="n">
        <f aca="false">ROUND(IFERROR(ROUND(IF(OR(ISNUMBER(SEARCH("week",C122)),ISNUMBER(SEARCH("minggu",C122))),IFERROR(_xlfn.NUMBERVALUE(SUBSTITUTE(LEFT(TRIM(C122),FIND(" ",TRIM(C122)&amp;" ")-1),",","."),"."),LEFT(SUBSTITUTE(LEFT(TRIM(C122),FIND(" ",TRIM(C122)&amp;" ")-1),",","."),FIND("/",SUBSTITUTE(LEFT(TRIM(C122),FIND(" ",TRIM(C122)&amp;" ")-1),",","."))-1)/MID(SUBSTITUTE(LEFT(TRIM(C122),FIND(" ",TRIM(C122)&amp;" ")-1),",","."),FIND("/",SUBSTITUTE(LEFT(TRIM(C122),FIND(" ",TRIM(C122)&amp;" ")-1),",","."))+1,9))*12/52,IF(ISNUMBER(SEARCH("month",C122)),IFERROR(_xlfn.NUMBERVALUE(SUBSTITUTE(LEFT(TRIM(C122),FIND(" ",TRIM(C122)&amp;" ")-1),",","."),"."),LEFT(SUBSTITUTE(LEFT(TRIM(C122),FIND(" ",TRIM(C122)&amp;" ")-1),",","."),FIND("/",SUBSTITUTE(LEFT(TRIM(C122),FIND(" ",TRIM(C122)&amp;" ")-1),",","."))-1)/MID(SUBSTITUTE(LEFT(TRIM(C122),FIND(" ",TRIM(C122)&amp;" ")-1),",","."),FIND("/",SUBSTITUTE(LEFT(TRIM(C122),FIND(" ",TRIM(C122)&amp;" ")-1),",","."))+1,9)),IF(ISNUMBER(SEARCH("yea",C122)),IFERROR(_xlfn.NUMBERVALUE(SUBSTITUTE(LEFT(TRIM(C122),FIND(" ",TRIM(C122)&amp;" ")-1),",","."),"."),LEFT(SUBSTITUTE(LEFT(TRIM(C122),FIND(" ",TRIM(C122)&amp;" ")-1),",","."),FIND("/",SUBSTITUTE(LEFT(TRIM(C122),FIND(" ",TRIM(C122)&amp;" ")-1),",","."))-1)/MID(SUBSTITUTE(LEFT(TRIM(C122),FIND(" ",TRIM(C122)&amp;" ")-1),",","."),FIND("/",SUBSTITUTE(LEFT(TRIM(C122),FIND(" ",TRIM(C122)&amp;" ")-1),",","."))+1,9))*12,NA()))),0),24)*'Aturan &amp; Tarif'!$B$4,2)</f>
        <v>1362.72</v>
      </c>
      <c r="K122" s="32" t="n">
        <f aca="false">'Aturan &amp; Tarif'!$B$5</f>
        <v>2050</v>
      </c>
      <c r="L122" s="32" t="n">
        <f aca="false">'Aturan &amp; Tarif'!$B$6</f>
        <v>350</v>
      </c>
      <c r="M122" s="35" t="n">
        <f aca="false">I122+J122+K122+L122</f>
        <v>9812.72</v>
      </c>
      <c r="N122" s="37" t="s">
        <v>784</v>
      </c>
    </row>
    <row r="123" customFormat="false" ht="37.5" hidden="false" customHeight="true" outlineLevel="0" collapsed="false">
      <c r="A123" s="29"/>
      <c r="B123" s="30" t="s">
        <v>785</v>
      </c>
      <c r="C123" s="31" t="s">
        <v>127</v>
      </c>
      <c r="D123" s="31" t="s">
        <v>108</v>
      </c>
      <c r="E123" s="32" t="n">
        <v>2625</v>
      </c>
      <c r="F123" s="32" t="n">
        <v>600</v>
      </c>
      <c r="G123" s="32" t="n">
        <v>250</v>
      </c>
      <c r="H123" s="33" t="n">
        <v>2</v>
      </c>
      <c r="I123" s="34" t="n">
        <f aca="false">E123*H123+N(F123)+N(G123)</f>
        <v>6100</v>
      </c>
      <c r="J123" s="32" t="n">
        <f aca="false">ROUND(IFERROR(ROUND(IF(OR(ISNUMBER(SEARCH("week",C123)),ISNUMBER(SEARCH("minggu",C123))),IFERROR(_xlfn.NUMBERVALUE(SUBSTITUTE(LEFT(TRIM(C123),FIND(" ",TRIM(C123)&amp;" ")-1),",","."),"."),LEFT(SUBSTITUTE(LEFT(TRIM(C123),FIND(" ",TRIM(C123)&amp;" ")-1),",","."),FIND("/",SUBSTITUTE(LEFT(TRIM(C123),FIND(" ",TRIM(C123)&amp;" ")-1),",","."))-1)/MID(SUBSTITUTE(LEFT(TRIM(C123),FIND(" ",TRIM(C123)&amp;" ")-1),",","."),FIND("/",SUBSTITUTE(LEFT(TRIM(C123),FIND(" ",TRIM(C123)&amp;" ")-1),",","."))+1,9))*12/52,IF(ISNUMBER(SEARCH("month",C123)),IFERROR(_xlfn.NUMBERVALUE(SUBSTITUTE(LEFT(TRIM(C123),FIND(" ",TRIM(C123)&amp;" ")-1),",","."),"."),LEFT(SUBSTITUTE(LEFT(TRIM(C123),FIND(" ",TRIM(C123)&amp;" ")-1),",","."),FIND("/",SUBSTITUTE(LEFT(TRIM(C123),FIND(" ",TRIM(C123)&amp;" ")-1),",","."))-1)/MID(SUBSTITUTE(LEFT(TRIM(C123),FIND(" ",TRIM(C123)&amp;" ")-1),",","."),FIND("/",SUBSTITUTE(LEFT(TRIM(C123),FIND(" ",TRIM(C123)&amp;" ")-1),",","."))+1,9)),IF(ISNUMBER(SEARCH("yea",C123)),IFERROR(_xlfn.NUMBERVALUE(SUBSTITUTE(LEFT(TRIM(C123),FIND(" ",TRIM(C123)&amp;" ")-1),",","."),"."),LEFT(SUBSTITUTE(LEFT(TRIM(C123),FIND(" ",TRIM(C123)&amp;" ")-1),",","."),FIND("/",SUBSTITUTE(LEFT(TRIM(C123),FIND(" ",TRIM(C123)&amp;" ")-1),",","."))-1)/MID(SUBSTITUTE(LEFT(TRIM(C123),FIND(" ",TRIM(C123)&amp;" ")-1),",","."),FIND("/",SUBSTITUTE(LEFT(TRIM(C123),FIND(" ",TRIM(C123)&amp;" ")-1),",","."))+1,9))*12,NA()))),0),36)*'Aturan &amp; Tarif'!$B$4,2)</f>
        <v>2044.08</v>
      </c>
      <c r="K123" s="32" t="n">
        <f aca="false">'Aturan &amp; Tarif'!$B$5</f>
        <v>2050</v>
      </c>
      <c r="L123" s="32" t="n">
        <f aca="false">'Aturan &amp; Tarif'!$B$6</f>
        <v>350</v>
      </c>
      <c r="M123" s="35" t="n">
        <f aca="false">I123+J123+K123+L123</f>
        <v>10544.08</v>
      </c>
      <c r="N123" s="37" t="s">
        <v>786</v>
      </c>
    </row>
    <row r="124" customFormat="false" ht="25.5" hidden="false" customHeight="true" outlineLevel="0" collapsed="false">
      <c r="A124" s="29"/>
      <c r="B124" s="30" t="s">
        <v>787</v>
      </c>
      <c r="C124" s="31" t="s">
        <v>107</v>
      </c>
      <c r="D124" s="31" t="s">
        <v>108</v>
      </c>
      <c r="E124" s="32" t="n">
        <v>2600</v>
      </c>
      <c r="F124" s="32" t="n">
        <v>600</v>
      </c>
      <c r="G124" s="32" t="n">
        <v>250</v>
      </c>
      <c r="H124" s="33" t="n">
        <v>2</v>
      </c>
      <c r="I124" s="34" t="n">
        <f aca="false">E124*H124+N(F124)+N(G124)</f>
        <v>6050</v>
      </c>
      <c r="J124" s="32" t="n">
        <f aca="false">ROUND(IFERROR(ROUND(IF(OR(ISNUMBER(SEARCH("week",C124)),ISNUMBER(SEARCH("minggu",C124))),IFERROR(_xlfn.NUMBERVALUE(SUBSTITUTE(LEFT(TRIM(C124),FIND(" ",TRIM(C124)&amp;" ")-1),",","."),"."),LEFT(SUBSTITUTE(LEFT(TRIM(C124),FIND(" ",TRIM(C124)&amp;" ")-1),",","."),FIND("/",SUBSTITUTE(LEFT(TRIM(C124),FIND(" ",TRIM(C124)&amp;" ")-1),",","."))-1)/MID(SUBSTITUTE(LEFT(TRIM(C124),FIND(" ",TRIM(C124)&amp;" ")-1),",","."),FIND("/",SUBSTITUTE(LEFT(TRIM(C124),FIND(" ",TRIM(C124)&amp;" ")-1),",","."))+1,9))*12/52,IF(ISNUMBER(SEARCH("month",C124)),IFERROR(_xlfn.NUMBERVALUE(SUBSTITUTE(LEFT(TRIM(C124),FIND(" ",TRIM(C124)&amp;" ")-1),",","."),"."),LEFT(SUBSTITUTE(LEFT(TRIM(C124),FIND(" ",TRIM(C124)&amp;" ")-1),",","."),FIND("/",SUBSTITUTE(LEFT(TRIM(C124),FIND(" ",TRIM(C124)&amp;" ")-1),",","."))-1)/MID(SUBSTITUTE(LEFT(TRIM(C124),FIND(" ",TRIM(C124)&amp;" ")-1),",","."),FIND("/",SUBSTITUTE(LEFT(TRIM(C124),FIND(" ",TRIM(C124)&amp;" ")-1),",","."))+1,9)),IF(ISNUMBER(SEARCH("yea",C124)),IFERROR(_xlfn.NUMBERVALUE(SUBSTITUTE(LEFT(TRIM(C124),FIND(" ",TRIM(C124)&amp;" ")-1),",","."),"."),LEFT(SUBSTITUTE(LEFT(TRIM(C124),FIND(" ",TRIM(C124)&amp;" ")-1),",","."),FIND("/",SUBSTITUTE(LEFT(TRIM(C124),FIND(" ",TRIM(C124)&amp;" ")-1),",","."))-1)/MID(SUBSTITUTE(LEFT(TRIM(C124),FIND(" ",TRIM(C124)&amp;" ")-1),",","."),FIND("/",SUBSTITUTE(LEFT(TRIM(C124),FIND(" ",TRIM(C124)&amp;" ")-1),",","."))+1,9))*12,NA()))),0),24)*'Aturan &amp; Tarif'!$B$4,2)</f>
        <v>1362.72</v>
      </c>
      <c r="K124" s="32" t="n">
        <f aca="false">'Aturan &amp; Tarif'!$B$5</f>
        <v>2050</v>
      </c>
      <c r="L124" s="32" t="n">
        <f aca="false">'Aturan &amp; Tarif'!$B$6</f>
        <v>350</v>
      </c>
      <c r="M124" s="35" t="n">
        <f aca="false">I124+J124+K124+L124</f>
        <v>9812.72</v>
      </c>
      <c r="N124" s="37" t="s">
        <v>788</v>
      </c>
    </row>
    <row r="125" customFormat="false" ht="25.5" hidden="false" customHeight="true" outlineLevel="0" collapsed="false">
      <c r="A125" s="29"/>
      <c r="B125" s="30" t="s">
        <v>789</v>
      </c>
      <c r="C125" s="31" t="s">
        <v>127</v>
      </c>
      <c r="D125" s="31" t="s">
        <v>108</v>
      </c>
      <c r="E125" s="32" t="n">
        <v>2625</v>
      </c>
      <c r="F125" s="32" t="n">
        <v>600</v>
      </c>
      <c r="G125" s="32" t="n">
        <v>250</v>
      </c>
      <c r="H125" s="33" t="n">
        <v>2</v>
      </c>
      <c r="I125" s="34" t="n">
        <f aca="false">E125*H125+N(F125)+N(G125)</f>
        <v>6100</v>
      </c>
      <c r="J125" s="32" t="n">
        <f aca="false">ROUND(IFERROR(ROUND(IF(OR(ISNUMBER(SEARCH("week",C125)),ISNUMBER(SEARCH("minggu",C125))),IFERROR(_xlfn.NUMBERVALUE(SUBSTITUTE(LEFT(TRIM(C125),FIND(" ",TRIM(C125)&amp;" ")-1),",","."),"."),LEFT(SUBSTITUTE(LEFT(TRIM(C125),FIND(" ",TRIM(C125)&amp;" ")-1),",","."),FIND("/",SUBSTITUTE(LEFT(TRIM(C125),FIND(" ",TRIM(C125)&amp;" ")-1),",","."))-1)/MID(SUBSTITUTE(LEFT(TRIM(C125),FIND(" ",TRIM(C125)&amp;" ")-1),",","."),FIND("/",SUBSTITUTE(LEFT(TRIM(C125),FIND(" ",TRIM(C125)&amp;" ")-1),",","."))+1,9))*12/52,IF(ISNUMBER(SEARCH("month",C125)),IFERROR(_xlfn.NUMBERVALUE(SUBSTITUTE(LEFT(TRIM(C125),FIND(" ",TRIM(C125)&amp;" ")-1),",","."),"."),LEFT(SUBSTITUTE(LEFT(TRIM(C125),FIND(" ",TRIM(C125)&amp;" ")-1),",","."),FIND("/",SUBSTITUTE(LEFT(TRIM(C125),FIND(" ",TRIM(C125)&amp;" ")-1),",","."))-1)/MID(SUBSTITUTE(LEFT(TRIM(C125),FIND(" ",TRIM(C125)&amp;" ")-1),",","."),FIND("/",SUBSTITUTE(LEFT(TRIM(C125),FIND(" ",TRIM(C125)&amp;" ")-1),",","."))+1,9)),IF(ISNUMBER(SEARCH("yea",C125)),IFERROR(_xlfn.NUMBERVALUE(SUBSTITUTE(LEFT(TRIM(C125),FIND(" ",TRIM(C125)&amp;" ")-1),",","."),"."),LEFT(SUBSTITUTE(LEFT(TRIM(C125),FIND(" ",TRIM(C125)&amp;" ")-1),",","."),FIND("/",SUBSTITUTE(LEFT(TRIM(C125),FIND(" ",TRIM(C125)&amp;" ")-1),",","."))-1)/MID(SUBSTITUTE(LEFT(TRIM(C125),FIND(" ",TRIM(C125)&amp;" ")-1),",","."),FIND("/",SUBSTITUTE(LEFT(TRIM(C125),FIND(" ",TRIM(C125)&amp;" ")-1),",","."))+1,9))*12,NA()))),0),36)*'Aturan &amp; Tarif'!$B$4,2)</f>
        <v>2044.08</v>
      </c>
      <c r="K125" s="32" t="n">
        <f aca="false">'Aturan &amp; Tarif'!$B$5</f>
        <v>2050</v>
      </c>
      <c r="L125" s="32" t="n">
        <f aca="false">'Aturan &amp; Tarif'!$B$6</f>
        <v>350</v>
      </c>
      <c r="M125" s="35" t="n">
        <f aca="false">I125+J125+K125+L125</f>
        <v>10544.08</v>
      </c>
      <c r="N125" s="37" t="s">
        <v>786</v>
      </c>
    </row>
    <row r="126" customFormat="false" ht="14.25" hidden="false" customHeight="true" outlineLevel="0" collapsed="false">
      <c r="A126" s="29"/>
      <c r="B126" s="30" t="s">
        <v>790</v>
      </c>
      <c r="C126" s="31" t="s">
        <v>107</v>
      </c>
      <c r="D126" s="31" t="s">
        <v>108</v>
      </c>
      <c r="E126" s="32" t="n">
        <v>2815</v>
      </c>
      <c r="F126" s="32" t="n">
        <v>1500</v>
      </c>
      <c r="G126" s="32" t="n">
        <v>250</v>
      </c>
      <c r="H126" s="33" t="n">
        <v>2</v>
      </c>
      <c r="I126" s="34" t="n">
        <f aca="false">E126*H126+N(F126)+N(G126)</f>
        <v>7380</v>
      </c>
      <c r="J126" s="32" t="n">
        <f aca="false">ROUND(IFERROR(ROUND(IF(OR(ISNUMBER(SEARCH("week",C126)),ISNUMBER(SEARCH("minggu",C126))),IFERROR(_xlfn.NUMBERVALUE(SUBSTITUTE(LEFT(TRIM(C126),FIND(" ",TRIM(C126)&amp;" ")-1),",","."),"."),LEFT(SUBSTITUTE(LEFT(TRIM(C126),FIND(" ",TRIM(C126)&amp;" ")-1),",","."),FIND("/",SUBSTITUTE(LEFT(TRIM(C126),FIND(" ",TRIM(C126)&amp;" ")-1),",","."))-1)/MID(SUBSTITUTE(LEFT(TRIM(C126),FIND(" ",TRIM(C126)&amp;" ")-1),",","."),FIND("/",SUBSTITUTE(LEFT(TRIM(C126),FIND(" ",TRIM(C126)&amp;" ")-1),",","."))+1,9))*12/52,IF(ISNUMBER(SEARCH("month",C126)),IFERROR(_xlfn.NUMBERVALUE(SUBSTITUTE(LEFT(TRIM(C126),FIND(" ",TRIM(C126)&amp;" ")-1),",","."),"."),LEFT(SUBSTITUTE(LEFT(TRIM(C126),FIND(" ",TRIM(C126)&amp;" ")-1),",","."),FIND("/",SUBSTITUTE(LEFT(TRIM(C126),FIND(" ",TRIM(C126)&amp;" ")-1),",","."))-1)/MID(SUBSTITUTE(LEFT(TRIM(C126),FIND(" ",TRIM(C126)&amp;" ")-1),",","."),FIND("/",SUBSTITUTE(LEFT(TRIM(C126),FIND(" ",TRIM(C126)&amp;" ")-1),",","."))+1,9)),IF(ISNUMBER(SEARCH("yea",C126)),IFERROR(_xlfn.NUMBERVALUE(SUBSTITUTE(LEFT(TRIM(C126),FIND(" ",TRIM(C126)&amp;" ")-1),",","."),"."),LEFT(SUBSTITUTE(LEFT(TRIM(C126),FIND(" ",TRIM(C126)&amp;" ")-1),",","."),FIND("/",SUBSTITUTE(LEFT(TRIM(C126),FIND(" ",TRIM(C126)&amp;" ")-1),",","."))-1)/MID(SUBSTITUTE(LEFT(TRIM(C126),FIND(" ",TRIM(C126)&amp;" ")-1),",","."),FIND("/",SUBSTITUTE(LEFT(TRIM(C126),FIND(" ",TRIM(C126)&amp;" ")-1),",","."))+1,9))*12,NA()))),0),24)*'Aturan &amp; Tarif'!$B$4,2)</f>
        <v>1362.72</v>
      </c>
      <c r="K126" s="32" t="n">
        <f aca="false">'Aturan &amp; Tarif'!$B$5</f>
        <v>2050</v>
      </c>
      <c r="L126" s="32" t="n">
        <f aca="false">'Aturan &amp; Tarif'!$B$6</f>
        <v>350</v>
      </c>
      <c r="M126" s="35" t="n">
        <f aca="false">I126+J126+K126+L126</f>
        <v>11142.72</v>
      </c>
      <c r="N126" s="37" t="s">
        <v>791</v>
      </c>
    </row>
    <row r="127" customFormat="false" ht="25.5" hidden="false" customHeight="true" outlineLevel="0" collapsed="false">
      <c r="A127" s="29"/>
      <c r="B127" s="30" t="s">
        <v>792</v>
      </c>
      <c r="C127" s="31" t="s">
        <v>107</v>
      </c>
      <c r="D127" s="31" t="s">
        <v>108</v>
      </c>
      <c r="E127" s="32" t="n">
        <v>2200</v>
      </c>
      <c r="F127" s="32" t="n">
        <v>450</v>
      </c>
      <c r="G127" s="32" t="n">
        <v>250</v>
      </c>
      <c r="H127" s="33" t="n">
        <v>2</v>
      </c>
      <c r="I127" s="34" t="n">
        <f aca="false">E127*H127+N(F127)+N(G127)</f>
        <v>5100</v>
      </c>
      <c r="J127" s="32" t="n">
        <f aca="false">ROUND(IFERROR(ROUND(IF(OR(ISNUMBER(SEARCH("week",C127)),ISNUMBER(SEARCH("minggu",C127))),IFERROR(_xlfn.NUMBERVALUE(SUBSTITUTE(LEFT(TRIM(C127),FIND(" ",TRIM(C127)&amp;" ")-1),",","."),"."),LEFT(SUBSTITUTE(LEFT(TRIM(C127),FIND(" ",TRIM(C127)&amp;" ")-1),",","."),FIND("/",SUBSTITUTE(LEFT(TRIM(C127),FIND(" ",TRIM(C127)&amp;" ")-1),",","."))-1)/MID(SUBSTITUTE(LEFT(TRIM(C127),FIND(" ",TRIM(C127)&amp;" ")-1),",","."),FIND("/",SUBSTITUTE(LEFT(TRIM(C127),FIND(" ",TRIM(C127)&amp;" ")-1),",","."))+1,9))*12/52,IF(ISNUMBER(SEARCH("month",C127)),IFERROR(_xlfn.NUMBERVALUE(SUBSTITUTE(LEFT(TRIM(C127),FIND(" ",TRIM(C127)&amp;" ")-1),",","."),"."),LEFT(SUBSTITUTE(LEFT(TRIM(C127),FIND(" ",TRIM(C127)&amp;" ")-1),",","."),FIND("/",SUBSTITUTE(LEFT(TRIM(C127),FIND(" ",TRIM(C127)&amp;" ")-1),",","."))-1)/MID(SUBSTITUTE(LEFT(TRIM(C127),FIND(" ",TRIM(C127)&amp;" ")-1),",","."),FIND("/",SUBSTITUTE(LEFT(TRIM(C127),FIND(" ",TRIM(C127)&amp;" ")-1),",","."))+1,9)),IF(ISNUMBER(SEARCH("yea",C127)),IFERROR(_xlfn.NUMBERVALUE(SUBSTITUTE(LEFT(TRIM(C127),FIND(" ",TRIM(C127)&amp;" ")-1),",","."),"."),LEFT(SUBSTITUTE(LEFT(TRIM(C127),FIND(" ",TRIM(C127)&amp;" ")-1),",","."),FIND("/",SUBSTITUTE(LEFT(TRIM(C127),FIND(" ",TRIM(C127)&amp;" ")-1),",","."))-1)/MID(SUBSTITUTE(LEFT(TRIM(C127),FIND(" ",TRIM(C127)&amp;" ")-1),",","."),FIND("/",SUBSTITUTE(LEFT(TRIM(C127),FIND(" ",TRIM(C127)&amp;" ")-1),",","."))+1,9))*12,NA()))),0),24)*'Aturan &amp; Tarif'!$B$4,2)</f>
        <v>1362.72</v>
      </c>
      <c r="K127" s="32" t="n">
        <f aca="false">'Aturan &amp; Tarif'!$B$5</f>
        <v>2050</v>
      </c>
      <c r="L127" s="32" t="n">
        <f aca="false">'Aturan &amp; Tarif'!$B$6</f>
        <v>350</v>
      </c>
      <c r="M127" s="35" t="n">
        <f aca="false">I127+J127+K127+L127</f>
        <v>8862.72</v>
      </c>
      <c r="N127" s="36" t="s">
        <v>793</v>
      </c>
    </row>
    <row r="128" customFormat="false" ht="37.5" hidden="false" customHeight="true" outlineLevel="0" collapsed="false">
      <c r="A128" s="29"/>
      <c r="B128" s="30" t="s">
        <v>794</v>
      </c>
      <c r="C128" s="31" t="s">
        <v>107</v>
      </c>
      <c r="D128" s="31" t="s">
        <v>108</v>
      </c>
      <c r="E128" s="32" t="n">
        <v>2450</v>
      </c>
      <c r="F128" s="32" t="n">
        <v>450</v>
      </c>
      <c r="G128" s="32" t="n">
        <v>250</v>
      </c>
      <c r="H128" s="33" t="n">
        <v>2</v>
      </c>
      <c r="I128" s="34" t="n">
        <f aca="false">E128*H128+N(F128)+N(G128)</f>
        <v>5600</v>
      </c>
      <c r="J128" s="32" t="n">
        <f aca="false">ROUND(IFERROR(ROUND(IF(OR(ISNUMBER(SEARCH("week",C128)),ISNUMBER(SEARCH("minggu",C128))),IFERROR(_xlfn.NUMBERVALUE(SUBSTITUTE(LEFT(TRIM(C128),FIND(" ",TRIM(C128)&amp;" ")-1),",","."),"."),LEFT(SUBSTITUTE(LEFT(TRIM(C128),FIND(" ",TRIM(C128)&amp;" ")-1),",","."),FIND("/",SUBSTITUTE(LEFT(TRIM(C128),FIND(" ",TRIM(C128)&amp;" ")-1),",","."))-1)/MID(SUBSTITUTE(LEFT(TRIM(C128),FIND(" ",TRIM(C128)&amp;" ")-1),",","."),FIND("/",SUBSTITUTE(LEFT(TRIM(C128),FIND(" ",TRIM(C128)&amp;" ")-1),",","."))+1,9))*12/52,IF(ISNUMBER(SEARCH("month",C128)),IFERROR(_xlfn.NUMBERVALUE(SUBSTITUTE(LEFT(TRIM(C128),FIND(" ",TRIM(C128)&amp;" ")-1),",","."),"."),LEFT(SUBSTITUTE(LEFT(TRIM(C128),FIND(" ",TRIM(C128)&amp;" ")-1),",","."),FIND("/",SUBSTITUTE(LEFT(TRIM(C128),FIND(" ",TRIM(C128)&amp;" ")-1),",","."))-1)/MID(SUBSTITUTE(LEFT(TRIM(C128),FIND(" ",TRIM(C128)&amp;" ")-1),",","."),FIND("/",SUBSTITUTE(LEFT(TRIM(C128),FIND(" ",TRIM(C128)&amp;" ")-1),",","."))+1,9)),IF(ISNUMBER(SEARCH("yea",C128)),IFERROR(_xlfn.NUMBERVALUE(SUBSTITUTE(LEFT(TRIM(C128),FIND(" ",TRIM(C128)&amp;" ")-1),",","."),"."),LEFT(SUBSTITUTE(LEFT(TRIM(C128),FIND(" ",TRIM(C128)&amp;" ")-1),",","."),FIND("/",SUBSTITUTE(LEFT(TRIM(C128),FIND(" ",TRIM(C128)&amp;" ")-1),",","."))-1)/MID(SUBSTITUTE(LEFT(TRIM(C128),FIND(" ",TRIM(C128)&amp;" ")-1),",","."),FIND("/",SUBSTITUTE(LEFT(TRIM(C128),FIND(" ",TRIM(C128)&amp;" ")-1),",","."))+1,9))*12,NA()))),0),24)*'Aturan &amp; Tarif'!$B$4,2)</f>
        <v>1362.72</v>
      </c>
      <c r="K128" s="32" t="n">
        <f aca="false">'Aturan &amp; Tarif'!$B$5</f>
        <v>2050</v>
      </c>
      <c r="L128" s="32" t="n">
        <f aca="false">'Aturan &amp; Tarif'!$B$6</f>
        <v>350</v>
      </c>
      <c r="M128" s="35" t="n">
        <f aca="false">I128+J128+K128+L128</f>
        <v>9362.72</v>
      </c>
      <c r="N128" s="36" t="s">
        <v>795</v>
      </c>
    </row>
    <row r="129" customFormat="false" ht="48.75" hidden="false" customHeight="true" outlineLevel="0" collapsed="false">
      <c r="A129" s="29" t="s">
        <v>796</v>
      </c>
      <c r="B129" s="30" t="s">
        <v>106</v>
      </c>
      <c r="C129" s="31" t="s">
        <v>107</v>
      </c>
      <c r="D129" s="31" t="s">
        <v>108</v>
      </c>
      <c r="E129" s="32" t="n">
        <v>2500</v>
      </c>
      <c r="F129" s="32" t="n">
        <v>2500</v>
      </c>
      <c r="G129" s="32" t="n">
        <v>500</v>
      </c>
      <c r="H129" s="33" t="n">
        <v>1</v>
      </c>
      <c r="I129" s="34" t="n">
        <f aca="false">E129*H129+N(F129)+N(G129)</f>
        <v>5500</v>
      </c>
      <c r="J129" s="32" t="n">
        <f aca="false">ROUND(IFERROR(ROUND(IF(OR(ISNUMBER(SEARCH("week",C129)),ISNUMBER(SEARCH("minggu",C129))),IFERROR(_xlfn.NUMBERVALUE(SUBSTITUTE(LEFT(TRIM(C129),FIND(" ",TRIM(C129)&amp;" ")-1),",","."),"."),LEFT(SUBSTITUTE(LEFT(TRIM(C129),FIND(" ",TRIM(C129)&amp;" ")-1),",","."),FIND("/",SUBSTITUTE(LEFT(TRIM(C129),FIND(" ",TRIM(C129)&amp;" ")-1),",","."))-1)/MID(SUBSTITUTE(LEFT(TRIM(C129),FIND(" ",TRIM(C129)&amp;" ")-1),",","."),FIND("/",SUBSTITUTE(LEFT(TRIM(C129),FIND(" ",TRIM(C129)&amp;" ")-1),",","."))+1,9))*12/52,IF(ISNUMBER(SEARCH("month",C129)),IFERROR(_xlfn.NUMBERVALUE(SUBSTITUTE(LEFT(TRIM(C129),FIND(" ",TRIM(C129)&amp;" ")-1),",","."),"."),LEFT(SUBSTITUTE(LEFT(TRIM(C129),FIND(" ",TRIM(C129)&amp;" ")-1),",","."),FIND("/",SUBSTITUTE(LEFT(TRIM(C129),FIND(" ",TRIM(C129)&amp;" ")-1),",","."))-1)/MID(SUBSTITUTE(LEFT(TRIM(C129),FIND(" ",TRIM(C129)&amp;" ")-1),",","."),FIND("/",SUBSTITUTE(LEFT(TRIM(C129),FIND(" ",TRIM(C129)&amp;" ")-1),",","."))+1,9)),IF(ISNUMBER(SEARCH("yea",C129)),IFERROR(_xlfn.NUMBERVALUE(SUBSTITUTE(LEFT(TRIM(C129),FIND(" ",TRIM(C129)&amp;" ")-1),",","."),"."),LEFT(SUBSTITUTE(LEFT(TRIM(C129),FIND(" ",TRIM(C129)&amp;" ")-1),",","."),FIND("/",SUBSTITUTE(LEFT(TRIM(C129),FIND(" ",TRIM(C129)&amp;" ")-1),",","."))-1)/MID(SUBSTITUTE(LEFT(TRIM(C129),FIND(" ",TRIM(C129)&amp;" ")-1),",","."),FIND("/",SUBSTITUTE(LEFT(TRIM(C129),FIND(" ",TRIM(C129)&amp;" ")-1),",","."))+1,9))*12,NA()))),0),24)*'Aturan &amp; Tarif'!$B$4,2)</f>
        <v>1362.72</v>
      </c>
      <c r="K129" s="32" t="n">
        <f aca="false">'Aturan &amp; Tarif'!$B$5</f>
        <v>2050</v>
      </c>
      <c r="L129" s="32" t="n">
        <f aca="false">'Aturan &amp; Tarif'!$B$6</f>
        <v>350</v>
      </c>
      <c r="M129" s="35" t="n">
        <f aca="false">I129+J129+K129+L129</f>
        <v>9262.72</v>
      </c>
      <c r="N129" s="36" t="s">
        <v>797</v>
      </c>
    </row>
    <row r="130" customFormat="false" ht="14.25" hidden="false" customHeight="true" outlineLevel="0" collapsed="false">
      <c r="A130" s="29"/>
      <c r="B130" s="30" t="s">
        <v>110</v>
      </c>
      <c r="C130" s="31" t="s">
        <v>107</v>
      </c>
      <c r="D130" s="31" t="s">
        <v>108</v>
      </c>
      <c r="E130" s="32" t="n">
        <v>2300</v>
      </c>
      <c r="F130" s="32" t="n">
        <v>2000</v>
      </c>
      <c r="G130" s="32" t="n">
        <v>500</v>
      </c>
      <c r="H130" s="33" t="n">
        <v>1</v>
      </c>
      <c r="I130" s="34" t="n">
        <f aca="false">E130*H130+N(F130)+N(G130)</f>
        <v>4800</v>
      </c>
      <c r="J130" s="32" t="n">
        <f aca="false">ROUND(IFERROR(ROUND(IF(OR(ISNUMBER(SEARCH("week",C130)),ISNUMBER(SEARCH("minggu",C130))),IFERROR(_xlfn.NUMBERVALUE(SUBSTITUTE(LEFT(TRIM(C130),FIND(" ",TRIM(C130)&amp;" ")-1),",","."),"."),LEFT(SUBSTITUTE(LEFT(TRIM(C130),FIND(" ",TRIM(C130)&amp;" ")-1),",","."),FIND("/",SUBSTITUTE(LEFT(TRIM(C130),FIND(" ",TRIM(C130)&amp;" ")-1),",","."))-1)/MID(SUBSTITUTE(LEFT(TRIM(C130),FIND(" ",TRIM(C130)&amp;" ")-1),",","."),FIND("/",SUBSTITUTE(LEFT(TRIM(C130),FIND(" ",TRIM(C130)&amp;" ")-1),",","."))+1,9))*12/52,IF(ISNUMBER(SEARCH("month",C130)),IFERROR(_xlfn.NUMBERVALUE(SUBSTITUTE(LEFT(TRIM(C130),FIND(" ",TRIM(C130)&amp;" ")-1),",","."),"."),LEFT(SUBSTITUTE(LEFT(TRIM(C130),FIND(" ",TRIM(C130)&amp;" ")-1),",","."),FIND("/",SUBSTITUTE(LEFT(TRIM(C130),FIND(" ",TRIM(C130)&amp;" ")-1),",","."))-1)/MID(SUBSTITUTE(LEFT(TRIM(C130),FIND(" ",TRIM(C130)&amp;" ")-1),",","."),FIND("/",SUBSTITUTE(LEFT(TRIM(C130),FIND(" ",TRIM(C130)&amp;" ")-1),",","."))+1,9)),IF(ISNUMBER(SEARCH("yea",C130)),IFERROR(_xlfn.NUMBERVALUE(SUBSTITUTE(LEFT(TRIM(C130),FIND(" ",TRIM(C130)&amp;" ")-1),",","."),"."),LEFT(SUBSTITUTE(LEFT(TRIM(C130),FIND(" ",TRIM(C130)&amp;" ")-1),",","."),FIND("/",SUBSTITUTE(LEFT(TRIM(C130),FIND(" ",TRIM(C130)&amp;" ")-1),",","."))-1)/MID(SUBSTITUTE(LEFT(TRIM(C130),FIND(" ",TRIM(C130)&amp;" ")-1),",","."),FIND("/",SUBSTITUTE(LEFT(TRIM(C130),FIND(" ",TRIM(C130)&amp;" ")-1),",","."))+1,9))*12,NA()))),0),24)*'Aturan &amp; Tarif'!$B$4,2)</f>
        <v>1362.72</v>
      </c>
      <c r="K130" s="32" t="n">
        <f aca="false">'Aturan &amp; Tarif'!$B$5</f>
        <v>2050</v>
      </c>
      <c r="L130" s="32" t="n">
        <f aca="false">'Aturan &amp; Tarif'!$B$6</f>
        <v>350</v>
      </c>
      <c r="M130" s="35" t="n">
        <f aca="false">I130+J130+K130+L130</f>
        <v>8562.72</v>
      </c>
      <c r="N130" s="37" t="s">
        <v>798</v>
      </c>
    </row>
    <row r="131" customFormat="false" ht="37.5" hidden="false" customHeight="true" outlineLevel="0" collapsed="false">
      <c r="A131" s="29"/>
      <c r="B131" s="30" t="s">
        <v>112</v>
      </c>
      <c r="C131" s="31" t="s">
        <v>113</v>
      </c>
      <c r="D131" s="31" t="s">
        <v>108</v>
      </c>
      <c r="E131" s="32" t="n">
        <v>2000</v>
      </c>
      <c r="F131" s="32" t="n">
        <v>2500</v>
      </c>
      <c r="G131" s="32" t="n">
        <v>300</v>
      </c>
      <c r="H131" s="33" t="n">
        <v>1</v>
      </c>
      <c r="I131" s="34" t="n">
        <f aca="false">E131*H131+N(F131)+N(G131)</f>
        <v>4800</v>
      </c>
      <c r="J131" s="32" t="n">
        <f aca="false">ROUND(IFERROR(ROUND(IF(OR(ISNUMBER(SEARCH("week",C131)),ISNUMBER(SEARCH("minggu",C131))),IFERROR(_xlfn.NUMBERVALUE(SUBSTITUTE(LEFT(TRIM(C131),FIND(" ",TRIM(C131)&amp;" ")-1),",","."),"."),LEFT(SUBSTITUTE(LEFT(TRIM(C131),FIND(" ",TRIM(C131)&amp;" ")-1),",","."),FIND("/",SUBSTITUTE(LEFT(TRIM(C131),FIND(" ",TRIM(C131)&amp;" ")-1),",","."))-1)/MID(SUBSTITUTE(LEFT(TRIM(C131),FIND(" ",TRIM(C131)&amp;" ")-1),",","."),FIND("/",SUBSTITUTE(LEFT(TRIM(C131),FIND(" ",TRIM(C131)&amp;" ")-1),",","."))+1,9))*12/52,IF(ISNUMBER(SEARCH("month",C131)),IFERROR(_xlfn.NUMBERVALUE(SUBSTITUTE(LEFT(TRIM(C131),FIND(" ",TRIM(C131)&amp;" ")-1),",","."),"."),LEFT(SUBSTITUTE(LEFT(TRIM(C131),FIND(" ",TRIM(C131)&amp;" ")-1),",","."),FIND("/",SUBSTITUTE(LEFT(TRIM(C131),FIND(" ",TRIM(C131)&amp;" ")-1),",","."))-1)/MID(SUBSTITUTE(LEFT(TRIM(C131),FIND(" ",TRIM(C131)&amp;" ")-1),",","."),FIND("/",SUBSTITUTE(LEFT(TRIM(C131),FIND(" ",TRIM(C131)&amp;" ")-1),",","."))+1,9)),IF(ISNUMBER(SEARCH("yea",C131)),IFERROR(_xlfn.NUMBERVALUE(SUBSTITUTE(LEFT(TRIM(C131),FIND(" ",TRIM(C131)&amp;" ")-1),",","."),"."),LEFT(SUBSTITUTE(LEFT(TRIM(C131),FIND(" ",TRIM(C131)&amp;" ")-1),",","."),FIND("/",SUBSTITUTE(LEFT(TRIM(C131),FIND(" ",TRIM(C131)&amp;" ")-1),",","."))-1)/MID(SUBSTITUTE(LEFT(TRIM(C131),FIND(" ",TRIM(C131)&amp;" ")-1),",","."),FIND("/",SUBSTITUTE(LEFT(TRIM(C131),FIND(" ",TRIM(C131)&amp;" ")-1),",","."))+1,9))*12,NA()))),0),18)*'Aturan &amp; Tarif'!$B$4,2)</f>
        <v>1022.04</v>
      </c>
      <c r="K131" s="32" t="n">
        <f aca="false">'Aturan &amp; Tarif'!$B$5</f>
        <v>2050</v>
      </c>
      <c r="L131" s="32" t="n">
        <f aca="false">'Aturan &amp; Tarif'!$B$6</f>
        <v>350</v>
      </c>
      <c r="M131" s="35" t="n">
        <f aca="false">I131+J131+K131+L131</f>
        <v>8222.04</v>
      </c>
      <c r="N131" s="36" t="s">
        <v>799</v>
      </c>
    </row>
    <row r="132" customFormat="false" ht="37.5" hidden="false" customHeight="true" outlineLevel="0" collapsed="false">
      <c r="A132" s="29"/>
      <c r="B132" s="30" t="s">
        <v>115</v>
      </c>
      <c r="C132" s="31" t="s">
        <v>107</v>
      </c>
      <c r="D132" s="31" t="s">
        <v>108</v>
      </c>
      <c r="E132" s="32" t="n">
        <v>2200</v>
      </c>
      <c r="F132" s="32" t="n">
        <v>2000</v>
      </c>
      <c r="G132" s="32" t="n">
        <v>300</v>
      </c>
      <c r="H132" s="33" t="n">
        <v>1</v>
      </c>
      <c r="I132" s="34" t="n">
        <f aca="false">E132*H132+N(F132)+N(G132)</f>
        <v>4500</v>
      </c>
      <c r="J132" s="32" t="n">
        <f aca="false">ROUND(IFERROR(ROUND(IF(OR(ISNUMBER(SEARCH("week",C132)),ISNUMBER(SEARCH("minggu",C132))),IFERROR(_xlfn.NUMBERVALUE(SUBSTITUTE(LEFT(TRIM(C132),FIND(" ",TRIM(C132)&amp;" ")-1),",","."),"."),LEFT(SUBSTITUTE(LEFT(TRIM(C132),FIND(" ",TRIM(C132)&amp;" ")-1),",","."),FIND("/",SUBSTITUTE(LEFT(TRIM(C132),FIND(" ",TRIM(C132)&amp;" ")-1),",","."))-1)/MID(SUBSTITUTE(LEFT(TRIM(C132),FIND(" ",TRIM(C132)&amp;" ")-1),",","."),FIND("/",SUBSTITUTE(LEFT(TRIM(C132),FIND(" ",TRIM(C132)&amp;" ")-1),",","."))+1,9))*12/52,IF(ISNUMBER(SEARCH("month",C132)),IFERROR(_xlfn.NUMBERVALUE(SUBSTITUTE(LEFT(TRIM(C132),FIND(" ",TRIM(C132)&amp;" ")-1),",","."),"."),LEFT(SUBSTITUTE(LEFT(TRIM(C132),FIND(" ",TRIM(C132)&amp;" ")-1),",","."),FIND("/",SUBSTITUTE(LEFT(TRIM(C132),FIND(" ",TRIM(C132)&amp;" ")-1),",","."))-1)/MID(SUBSTITUTE(LEFT(TRIM(C132),FIND(" ",TRIM(C132)&amp;" ")-1),",","."),FIND("/",SUBSTITUTE(LEFT(TRIM(C132),FIND(" ",TRIM(C132)&amp;" ")-1),",","."))+1,9)),IF(ISNUMBER(SEARCH("yea",C132)),IFERROR(_xlfn.NUMBERVALUE(SUBSTITUTE(LEFT(TRIM(C132),FIND(" ",TRIM(C132)&amp;" ")-1),",","."),"."),LEFT(SUBSTITUTE(LEFT(TRIM(C132),FIND(" ",TRIM(C132)&amp;" ")-1),",","."),FIND("/",SUBSTITUTE(LEFT(TRIM(C132),FIND(" ",TRIM(C132)&amp;" ")-1),",","."))-1)/MID(SUBSTITUTE(LEFT(TRIM(C132),FIND(" ",TRIM(C132)&amp;" ")-1),",","."),FIND("/",SUBSTITUTE(LEFT(TRIM(C132),FIND(" ",TRIM(C132)&amp;" ")-1),",","."))+1,9))*12,NA()))),0),24)*'Aturan &amp; Tarif'!$B$4,2)</f>
        <v>1362.72</v>
      </c>
      <c r="K132" s="32" t="n">
        <f aca="false">'Aturan &amp; Tarif'!$B$5</f>
        <v>2050</v>
      </c>
      <c r="L132" s="32" t="n">
        <f aca="false">'Aturan &amp; Tarif'!$B$6</f>
        <v>350</v>
      </c>
      <c r="M132" s="35" t="n">
        <f aca="false">I132+J132+K132+L132</f>
        <v>8262.72</v>
      </c>
      <c r="N132" s="36" t="s">
        <v>800</v>
      </c>
    </row>
    <row r="133" customFormat="false" ht="15" hidden="false" customHeight="true" outlineLevel="0" collapsed="false">
      <c r="A133" s="39" t="s">
        <v>801</v>
      </c>
      <c r="B133" s="40" t="s">
        <v>802</v>
      </c>
      <c r="C133" s="41" t="s">
        <v>127</v>
      </c>
      <c r="D133" s="48" t="s">
        <v>439</v>
      </c>
      <c r="E133" s="49" t="n">
        <v>7520</v>
      </c>
      <c r="F133" s="42"/>
      <c r="G133" s="42"/>
      <c r="H133" s="50" t="n">
        <v>1</v>
      </c>
      <c r="I133" s="34" t="n">
        <f aca="false">E133*H133+N(F133)+N(G133)</f>
        <v>7520</v>
      </c>
      <c r="J133" s="42" t="n">
        <f aca="false">ROUND(IFERROR(ROUND(IF(OR(ISNUMBER(SEARCH("week",C133)),ISNUMBER(SEARCH("minggu",C133))),IFERROR(_xlfn.NUMBERVALUE(SUBSTITUTE(LEFT(TRIM(C133),FIND(" ",TRIM(C133)&amp;" ")-1),",","."),"."),LEFT(SUBSTITUTE(LEFT(TRIM(C133),FIND(" ",TRIM(C133)&amp;" ")-1),",","."),FIND("/",SUBSTITUTE(LEFT(TRIM(C133),FIND(" ",TRIM(C133)&amp;" ")-1),",","."))-1)/MID(SUBSTITUTE(LEFT(TRIM(C133),FIND(" ",TRIM(C133)&amp;" ")-1),",","."),FIND("/",SUBSTITUTE(LEFT(TRIM(C133),FIND(" ",TRIM(C133)&amp;" ")-1),",","."))+1,9))*12/52,IF(ISNUMBER(SEARCH("month",C133)),IFERROR(_xlfn.NUMBERVALUE(SUBSTITUTE(LEFT(TRIM(C133),FIND(" ",TRIM(C133)&amp;" ")-1),",","."),"."),LEFT(SUBSTITUTE(LEFT(TRIM(C133),FIND(" ",TRIM(C133)&amp;" ")-1),",","."),FIND("/",SUBSTITUTE(LEFT(TRIM(C133),FIND(" ",TRIM(C133)&amp;" ")-1),",","."))-1)/MID(SUBSTITUTE(LEFT(TRIM(C133),FIND(" ",TRIM(C133)&amp;" ")-1),",","."),FIND("/",SUBSTITUTE(LEFT(TRIM(C133),FIND(" ",TRIM(C133)&amp;" ")-1),",","."))+1,9)),IF(ISNUMBER(SEARCH("yea",C133)),IFERROR(_xlfn.NUMBERVALUE(SUBSTITUTE(LEFT(TRIM(C133),FIND(" ",TRIM(C133)&amp;" ")-1),",","."),"."),LEFT(SUBSTITUTE(LEFT(TRIM(C133),FIND(" ",TRIM(C133)&amp;" ")-1),",","."),FIND("/",SUBSTITUTE(LEFT(TRIM(C133),FIND(" ",TRIM(C133)&amp;" ")-1),",","."))-1)/MID(SUBSTITUTE(LEFT(TRIM(C133),FIND(" ",TRIM(C133)&amp;" ")-1),",","."),FIND("/",SUBSTITUTE(LEFT(TRIM(C133),FIND(" ",TRIM(C133)&amp;" ")-1),",","."))+1,9))*12,NA()))),0),36)*'Aturan &amp; Tarif'!$B$4,2)</f>
        <v>2044.08</v>
      </c>
      <c r="K133" s="42" t="n">
        <f aca="false">'Aturan &amp; Tarif'!$B$5</f>
        <v>2050</v>
      </c>
      <c r="L133" s="42" t="n">
        <f aca="false">'Aturan &amp; Tarif'!$B$6</f>
        <v>350</v>
      </c>
      <c r="M133" s="35" t="n">
        <f aca="false">I133+J133+K133+L133</f>
        <v>11964.08</v>
      </c>
      <c r="N133" s="44" t="s">
        <v>803</v>
      </c>
    </row>
    <row r="134" customFormat="false" ht="12.75" hidden="false" customHeight="true" outlineLevel="0" collapsed="false">
      <c r="A134" s="39"/>
      <c r="B134" s="40" t="s">
        <v>804</v>
      </c>
      <c r="C134" s="41" t="s">
        <v>127</v>
      </c>
      <c r="D134" s="48" t="s">
        <v>439</v>
      </c>
      <c r="E134" s="49" t="n">
        <v>7520</v>
      </c>
      <c r="F134" s="42"/>
      <c r="G134" s="42"/>
      <c r="H134" s="50" t="n">
        <v>1</v>
      </c>
      <c r="I134" s="34" t="n">
        <f aca="false">E134*H134+N(F134)+N(G134)</f>
        <v>7520</v>
      </c>
      <c r="J134" s="42" t="n">
        <f aca="false">ROUND(IFERROR(ROUND(IF(OR(ISNUMBER(SEARCH("week",C134)),ISNUMBER(SEARCH("minggu",C134))),IFERROR(_xlfn.NUMBERVALUE(SUBSTITUTE(LEFT(TRIM(C134),FIND(" ",TRIM(C134)&amp;" ")-1),",","."),"."),LEFT(SUBSTITUTE(LEFT(TRIM(C134),FIND(" ",TRIM(C134)&amp;" ")-1),",","."),FIND("/",SUBSTITUTE(LEFT(TRIM(C134),FIND(" ",TRIM(C134)&amp;" ")-1),",","."))-1)/MID(SUBSTITUTE(LEFT(TRIM(C134),FIND(" ",TRIM(C134)&amp;" ")-1),",","."),FIND("/",SUBSTITUTE(LEFT(TRIM(C134),FIND(" ",TRIM(C134)&amp;" ")-1),",","."))+1,9))*12/52,IF(ISNUMBER(SEARCH("month",C134)),IFERROR(_xlfn.NUMBERVALUE(SUBSTITUTE(LEFT(TRIM(C134),FIND(" ",TRIM(C134)&amp;" ")-1),",","."),"."),LEFT(SUBSTITUTE(LEFT(TRIM(C134),FIND(" ",TRIM(C134)&amp;" ")-1),",","."),FIND("/",SUBSTITUTE(LEFT(TRIM(C134),FIND(" ",TRIM(C134)&amp;" ")-1),",","."))-1)/MID(SUBSTITUTE(LEFT(TRIM(C134),FIND(" ",TRIM(C134)&amp;" ")-1),",","."),FIND("/",SUBSTITUTE(LEFT(TRIM(C134),FIND(" ",TRIM(C134)&amp;" ")-1),",","."))+1,9)),IF(ISNUMBER(SEARCH("yea",C134)),IFERROR(_xlfn.NUMBERVALUE(SUBSTITUTE(LEFT(TRIM(C134),FIND(" ",TRIM(C134)&amp;" ")-1),",","."),"."),LEFT(SUBSTITUTE(LEFT(TRIM(C134),FIND(" ",TRIM(C134)&amp;" ")-1),",","."),FIND("/",SUBSTITUTE(LEFT(TRIM(C134),FIND(" ",TRIM(C134)&amp;" ")-1),",","."))-1)/MID(SUBSTITUTE(LEFT(TRIM(C134),FIND(" ",TRIM(C134)&amp;" ")-1),",","."),FIND("/",SUBSTITUTE(LEFT(TRIM(C134),FIND(" ",TRIM(C134)&amp;" ")-1),",","."))+1,9))*12,NA()))),0),36)*'Aturan &amp; Tarif'!$B$4,2)</f>
        <v>2044.08</v>
      </c>
      <c r="K134" s="42" t="n">
        <f aca="false">'Aturan &amp; Tarif'!$B$5</f>
        <v>2050</v>
      </c>
      <c r="L134" s="42" t="n">
        <f aca="false">'Aturan &amp; Tarif'!$B$6</f>
        <v>350</v>
      </c>
      <c r="M134" s="35" t="n">
        <f aca="false">I134+J134+K134+L134</f>
        <v>11964.08</v>
      </c>
      <c r="N134" s="44" t="s">
        <v>803</v>
      </c>
    </row>
    <row r="135" customFormat="false" ht="37.5" hidden="false" customHeight="true" outlineLevel="0" collapsed="false">
      <c r="A135" s="39" t="s">
        <v>805</v>
      </c>
      <c r="B135" s="40" t="s">
        <v>148</v>
      </c>
      <c r="C135" s="41" t="s">
        <v>107</v>
      </c>
      <c r="D135" s="41" t="s">
        <v>108</v>
      </c>
      <c r="E135" s="42" t="n">
        <v>3300</v>
      </c>
      <c r="F135" s="42" t="n">
        <v>1000</v>
      </c>
      <c r="G135" s="42" t="n">
        <v>200</v>
      </c>
      <c r="H135" s="43" t="n">
        <v>1</v>
      </c>
      <c r="I135" s="34" t="n">
        <f aca="false">E135*H135+N(F135)+N(G135)</f>
        <v>4500</v>
      </c>
      <c r="J135" s="42" t="n">
        <f aca="false">ROUND(IFERROR(ROUND(IF(OR(ISNUMBER(SEARCH("week",C135)),ISNUMBER(SEARCH("minggu",C135))),IFERROR(_xlfn.NUMBERVALUE(SUBSTITUTE(LEFT(TRIM(C135),FIND(" ",TRIM(C135)&amp;" ")-1),",","."),"."),LEFT(SUBSTITUTE(LEFT(TRIM(C135),FIND(" ",TRIM(C135)&amp;" ")-1),",","."),FIND("/",SUBSTITUTE(LEFT(TRIM(C135),FIND(" ",TRIM(C135)&amp;" ")-1),",","."))-1)/MID(SUBSTITUTE(LEFT(TRIM(C135),FIND(" ",TRIM(C135)&amp;" ")-1),",","."),FIND("/",SUBSTITUTE(LEFT(TRIM(C135),FIND(" ",TRIM(C135)&amp;" ")-1),",","."))+1,9))*12/52,IF(ISNUMBER(SEARCH("month",C135)),IFERROR(_xlfn.NUMBERVALUE(SUBSTITUTE(LEFT(TRIM(C135),FIND(" ",TRIM(C135)&amp;" ")-1),",","."),"."),LEFT(SUBSTITUTE(LEFT(TRIM(C135),FIND(" ",TRIM(C135)&amp;" ")-1),",","."),FIND("/",SUBSTITUTE(LEFT(TRIM(C135),FIND(" ",TRIM(C135)&amp;" ")-1),",","."))-1)/MID(SUBSTITUTE(LEFT(TRIM(C135),FIND(" ",TRIM(C135)&amp;" ")-1),",","."),FIND("/",SUBSTITUTE(LEFT(TRIM(C135),FIND(" ",TRIM(C135)&amp;" ")-1),",","."))+1,9)),IF(ISNUMBER(SEARCH("yea",C135)),IFERROR(_xlfn.NUMBERVALUE(SUBSTITUTE(LEFT(TRIM(C135),FIND(" ",TRIM(C135)&amp;" ")-1),",","."),"."),LEFT(SUBSTITUTE(LEFT(TRIM(C135),FIND(" ",TRIM(C135)&amp;" ")-1),",","."),FIND("/",SUBSTITUTE(LEFT(TRIM(C135),FIND(" ",TRIM(C135)&amp;" ")-1),",","."))-1)/MID(SUBSTITUTE(LEFT(TRIM(C135),FIND(" ",TRIM(C135)&amp;" ")-1),",","."),FIND("/",SUBSTITUTE(LEFT(TRIM(C135),FIND(" ",TRIM(C135)&amp;" ")-1),",","."))+1,9))*12,NA()))),0),24)*'Aturan &amp; Tarif'!$B$4,2)</f>
        <v>1362.72</v>
      </c>
      <c r="K135" s="42" t="n">
        <f aca="false">'Aturan &amp; Tarif'!$B$5</f>
        <v>2050</v>
      </c>
      <c r="L135" s="42" t="n">
        <f aca="false">'Aturan &amp; Tarif'!$B$6</f>
        <v>350</v>
      </c>
      <c r="M135" s="35" t="n">
        <f aca="false">I135+J135+K135+L135</f>
        <v>8262.72</v>
      </c>
      <c r="N135" s="45" t="s">
        <v>134</v>
      </c>
    </row>
    <row r="136" customFormat="false" ht="25.5" hidden="false" customHeight="true" outlineLevel="0" collapsed="false">
      <c r="A136" s="39"/>
      <c r="B136" s="40" t="s">
        <v>806</v>
      </c>
      <c r="C136" s="41" t="s">
        <v>127</v>
      </c>
      <c r="D136" s="41" t="s">
        <v>108</v>
      </c>
      <c r="E136" s="42" t="n">
        <v>3300</v>
      </c>
      <c r="F136" s="42" t="n">
        <v>1000</v>
      </c>
      <c r="G136" s="42" t="n">
        <v>200</v>
      </c>
      <c r="H136" s="43" t="n">
        <v>1</v>
      </c>
      <c r="I136" s="34" t="n">
        <f aca="false">E136*H136+N(F136)+N(G136)</f>
        <v>4500</v>
      </c>
      <c r="J136" s="42" t="n">
        <f aca="false">ROUND(IFERROR(ROUND(IF(OR(ISNUMBER(SEARCH("week",C136)),ISNUMBER(SEARCH("minggu",C136))),IFERROR(_xlfn.NUMBERVALUE(SUBSTITUTE(LEFT(TRIM(C136),FIND(" ",TRIM(C136)&amp;" ")-1),",","."),"."),LEFT(SUBSTITUTE(LEFT(TRIM(C136),FIND(" ",TRIM(C136)&amp;" ")-1),",","."),FIND("/",SUBSTITUTE(LEFT(TRIM(C136),FIND(" ",TRIM(C136)&amp;" ")-1),",","."))-1)/MID(SUBSTITUTE(LEFT(TRIM(C136),FIND(" ",TRIM(C136)&amp;" ")-1),",","."),FIND("/",SUBSTITUTE(LEFT(TRIM(C136),FIND(" ",TRIM(C136)&amp;" ")-1),",","."))+1,9))*12/52,IF(ISNUMBER(SEARCH("month",C136)),IFERROR(_xlfn.NUMBERVALUE(SUBSTITUTE(LEFT(TRIM(C136),FIND(" ",TRIM(C136)&amp;" ")-1),",","."),"."),LEFT(SUBSTITUTE(LEFT(TRIM(C136),FIND(" ",TRIM(C136)&amp;" ")-1),",","."),FIND("/",SUBSTITUTE(LEFT(TRIM(C136),FIND(" ",TRIM(C136)&amp;" ")-1),",","."))-1)/MID(SUBSTITUTE(LEFT(TRIM(C136),FIND(" ",TRIM(C136)&amp;" ")-1),",","."),FIND("/",SUBSTITUTE(LEFT(TRIM(C136),FIND(" ",TRIM(C136)&amp;" ")-1),",","."))+1,9)),IF(ISNUMBER(SEARCH("yea",C136)),IFERROR(_xlfn.NUMBERVALUE(SUBSTITUTE(LEFT(TRIM(C136),FIND(" ",TRIM(C136)&amp;" ")-1),",","."),"."),LEFT(SUBSTITUTE(LEFT(TRIM(C136),FIND(" ",TRIM(C136)&amp;" ")-1),",","."),FIND("/",SUBSTITUTE(LEFT(TRIM(C136),FIND(" ",TRIM(C136)&amp;" ")-1),",","."))-1)/MID(SUBSTITUTE(LEFT(TRIM(C136),FIND(" ",TRIM(C136)&amp;" ")-1),",","."),FIND("/",SUBSTITUTE(LEFT(TRIM(C136),FIND(" ",TRIM(C136)&amp;" ")-1),",","."))+1,9))*12,NA()))),0),36)*'Aturan &amp; Tarif'!$B$4,2)</f>
        <v>2044.08</v>
      </c>
      <c r="K136" s="42" t="n">
        <f aca="false">'Aturan &amp; Tarif'!$B$5</f>
        <v>2050</v>
      </c>
      <c r="L136" s="42" t="n">
        <f aca="false">'Aturan &amp; Tarif'!$B$6</f>
        <v>350</v>
      </c>
      <c r="M136" s="35" t="n">
        <f aca="false">I136+J136+K136+L136</f>
        <v>8944.08</v>
      </c>
      <c r="N136" s="45" t="s">
        <v>134</v>
      </c>
    </row>
    <row r="137" customFormat="false" ht="14.25" hidden="false" customHeight="true" outlineLevel="0" collapsed="false">
      <c r="A137" s="39"/>
      <c r="B137" s="40" t="s">
        <v>126</v>
      </c>
      <c r="C137" s="41" t="s">
        <v>138</v>
      </c>
      <c r="D137" s="41" t="s">
        <v>108</v>
      </c>
      <c r="E137" s="42" t="n">
        <v>3500</v>
      </c>
      <c r="F137" s="42" t="n">
        <v>1000</v>
      </c>
      <c r="G137" s="42" t="n">
        <v>200</v>
      </c>
      <c r="H137" s="43" t="n">
        <v>1</v>
      </c>
      <c r="I137" s="34" t="n">
        <f aca="false">E137*H137+N(F137)+N(G137)</f>
        <v>4700</v>
      </c>
      <c r="J137" s="42" t="n">
        <f aca="false">ROUND(IFERROR(ROUND(IF(OR(ISNUMBER(SEARCH("week",C137)),ISNUMBER(SEARCH("minggu",C137))),IFERROR(_xlfn.NUMBERVALUE(SUBSTITUTE(LEFT(TRIM(C137),FIND(" ",TRIM(C137)&amp;" ")-1),",","."),"."),LEFT(SUBSTITUTE(LEFT(TRIM(C137),FIND(" ",TRIM(C137)&amp;" ")-1),",","."),FIND("/",SUBSTITUTE(LEFT(TRIM(C137),FIND(" ",TRIM(C137)&amp;" ")-1),",","."))-1)/MID(SUBSTITUTE(LEFT(TRIM(C137),FIND(" ",TRIM(C137)&amp;" ")-1),",","."),FIND("/",SUBSTITUTE(LEFT(TRIM(C137),FIND(" ",TRIM(C137)&amp;" ")-1),",","."))+1,9))*12/52,IF(ISNUMBER(SEARCH("month",C137)),IFERROR(_xlfn.NUMBERVALUE(SUBSTITUTE(LEFT(TRIM(C137),FIND(" ",TRIM(C137)&amp;" ")-1),",","."),"."),LEFT(SUBSTITUTE(LEFT(TRIM(C137),FIND(" ",TRIM(C137)&amp;" ")-1),",","."),FIND("/",SUBSTITUTE(LEFT(TRIM(C137),FIND(" ",TRIM(C137)&amp;" ")-1),",","."))-1)/MID(SUBSTITUTE(LEFT(TRIM(C137),FIND(" ",TRIM(C137)&amp;" ")-1),",","."),FIND("/",SUBSTITUTE(LEFT(TRIM(C137),FIND(" ",TRIM(C137)&amp;" ")-1),",","."))+1,9)),IF(ISNUMBER(SEARCH("yea",C137)),IFERROR(_xlfn.NUMBERVALUE(SUBSTITUTE(LEFT(TRIM(C137),FIND(" ",TRIM(C137)&amp;" ")-1),",","."),"."),LEFT(SUBSTITUTE(LEFT(TRIM(C137),FIND(" ",TRIM(C137)&amp;" ")-1),",","."),FIND("/",SUBSTITUTE(LEFT(TRIM(C137),FIND(" ",TRIM(C137)&amp;" ")-1),",","."))-1)/MID(SUBSTITUTE(LEFT(TRIM(C137),FIND(" ",TRIM(C137)&amp;" ")-1),",","."),FIND("/",SUBSTITUTE(LEFT(TRIM(C137),FIND(" ",TRIM(C137)&amp;" ")-1),",","."))+1,9))*12,NA()))),0),30)*'Aturan &amp; Tarif'!$B$4,2)</f>
        <v>1703.4</v>
      </c>
      <c r="K137" s="42" t="n">
        <f aca="false">'Aturan &amp; Tarif'!$B$5</f>
        <v>2050</v>
      </c>
      <c r="L137" s="42" t="n">
        <f aca="false">'Aturan &amp; Tarif'!$B$6</f>
        <v>350</v>
      </c>
      <c r="M137" s="35" t="n">
        <f aca="false">I137+J137+K137+L137</f>
        <v>8803.4</v>
      </c>
      <c r="N137" s="45" t="s">
        <v>134</v>
      </c>
    </row>
    <row r="138" customFormat="false" ht="37.5" hidden="false" customHeight="true" outlineLevel="0" collapsed="false">
      <c r="A138" s="39"/>
      <c r="B138" s="40" t="s">
        <v>807</v>
      </c>
      <c r="C138" s="41" t="s">
        <v>138</v>
      </c>
      <c r="D138" s="41" t="s">
        <v>108</v>
      </c>
      <c r="E138" s="42" t="n">
        <v>3650</v>
      </c>
      <c r="F138" s="42" t="n">
        <v>800</v>
      </c>
      <c r="G138" s="42" t="n">
        <v>200</v>
      </c>
      <c r="H138" s="43" t="n">
        <v>1</v>
      </c>
      <c r="I138" s="34" t="n">
        <f aca="false">E138*H138+N(F138)+N(G138)</f>
        <v>4650</v>
      </c>
      <c r="J138" s="42" t="n">
        <f aca="false">ROUND(IFERROR(ROUND(IF(OR(ISNUMBER(SEARCH("week",C138)),ISNUMBER(SEARCH("minggu",C138))),IFERROR(_xlfn.NUMBERVALUE(SUBSTITUTE(LEFT(TRIM(C138),FIND(" ",TRIM(C138)&amp;" ")-1),",","."),"."),LEFT(SUBSTITUTE(LEFT(TRIM(C138),FIND(" ",TRIM(C138)&amp;" ")-1),",","."),FIND("/",SUBSTITUTE(LEFT(TRIM(C138),FIND(" ",TRIM(C138)&amp;" ")-1),",","."))-1)/MID(SUBSTITUTE(LEFT(TRIM(C138),FIND(" ",TRIM(C138)&amp;" ")-1),",","."),FIND("/",SUBSTITUTE(LEFT(TRIM(C138),FIND(" ",TRIM(C138)&amp;" ")-1),",","."))+1,9))*12/52,IF(ISNUMBER(SEARCH("month",C138)),IFERROR(_xlfn.NUMBERVALUE(SUBSTITUTE(LEFT(TRIM(C138),FIND(" ",TRIM(C138)&amp;" ")-1),",","."),"."),LEFT(SUBSTITUTE(LEFT(TRIM(C138),FIND(" ",TRIM(C138)&amp;" ")-1),",","."),FIND("/",SUBSTITUTE(LEFT(TRIM(C138),FIND(" ",TRIM(C138)&amp;" ")-1),",","."))-1)/MID(SUBSTITUTE(LEFT(TRIM(C138),FIND(" ",TRIM(C138)&amp;" ")-1),",","."),FIND("/",SUBSTITUTE(LEFT(TRIM(C138),FIND(" ",TRIM(C138)&amp;" ")-1),",","."))+1,9)),IF(ISNUMBER(SEARCH("yea",C138)),IFERROR(_xlfn.NUMBERVALUE(SUBSTITUTE(LEFT(TRIM(C138),FIND(" ",TRIM(C138)&amp;" ")-1),",","."),"."),LEFT(SUBSTITUTE(LEFT(TRIM(C138),FIND(" ",TRIM(C138)&amp;" ")-1),",","."),FIND("/",SUBSTITUTE(LEFT(TRIM(C138),FIND(" ",TRIM(C138)&amp;" ")-1),",","."))-1)/MID(SUBSTITUTE(LEFT(TRIM(C138),FIND(" ",TRIM(C138)&amp;" ")-1),",","."),FIND("/",SUBSTITUTE(LEFT(TRIM(C138),FIND(" ",TRIM(C138)&amp;" ")-1),",","."))+1,9))*12,NA()))),0),30)*'Aturan &amp; Tarif'!$B$4,2)</f>
        <v>1703.4</v>
      </c>
      <c r="K138" s="42" t="n">
        <f aca="false">'Aturan &amp; Tarif'!$B$5</f>
        <v>2050</v>
      </c>
      <c r="L138" s="42" t="n">
        <f aca="false">'Aturan &amp; Tarif'!$B$6</f>
        <v>350</v>
      </c>
      <c r="M138" s="35" t="n">
        <f aca="false">I138+J138+K138+L138</f>
        <v>8753.4</v>
      </c>
      <c r="N138" s="45" t="s">
        <v>134</v>
      </c>
    </row>
    <row r="139" customFormat="false" ht="37.5" hidden="false" customHeight="true" outlineLevel="0" collapsed="false">
      <c r="A139" s="39"/>
      <c r="B139" s="40" t="s">
        <v>808</v>
      </c>
      <c r="C139" s="41" t="s">
        <v>138</v>
      </c>
      <c r="D139" s="41" t="s">
        <v>108</v>
      </c>
      <c r="E139" s="42" t="n">
        <v>3650</v>
      </c>
      <c r="F139" s="42" t="n">
        <v>800</v>
      </c>
      <c r="G139" s="42" t="n">
        <v>200</v>
      </c>
      <c r="H139" s="43" t="n">
        <v>1</v>
      </c>
      <c r="I139" s="34" t="n">
        <f aca="false">E139*H139+N(F139)+N(G139)</f>
        <v>4650</v>
      </c>
      <c r="J139" s="42" t="n">
        <f aca="false">ROUND(IFERROR(ROUND(IF(OR(ISNUMBER(SEARCH("week",C139)),ISNUMBER(SEARCH("minggu",C139))),IFERROR(_xlfn.NUMBERVALUE(SUBSTITUTE(LEFT(TRIM(C139),FIND(" ",TRIM(C139)&amp;" ")-1),",","."),"."),LEFT(SUBSTITUTE(LEFT(TRIM(C139),FIND(" ",TRIM(C139)&amp;" ")-1),",","."),FIND("/",SUBSTITUTE(LEFT(TRIM(C139),FIND(" ",TRIM(C139)&amp;" ")-1),",","."))-1)/MID(SUBSTITUTE(LEFT(TRIM(C139),FIND(" ",TRIM(C139)&amp;" ")-1),",","."),FIND("/",SUBSTITUTE(LEFT(TRIM(C139),FIND(" ",TRIM(C139)&amp;" ")-1),",","."))+1,9))*12/52,IF(ISNUMBER(SEARCH("month",C139)),IFERROR(_xlfn.NUMBERVALUE(SUBSTITUTE(LEFT(TRIM(C139),FIND(" ",TRIM(C139)&amp;" ")-1),",","."),"."),LEFT(SUBSTITUTE(LEFT(TRIM(C139),FIND(" ",TRIM(C139)&amp;" ")-1),",","."),FIND("/",SUBSTITUTE(LEFT(TRIM(C139),FIND(" ",TRIM(C139)&amp;" ")-1),",","."))-1)/MID(SUBSTITUTE(LEFT(TRIM(C139),FIND(" ",TRIM(C139)&amp;" ")-1),",","."),FIND("/",SUBSTITUTE(LEFT(TRIM(C139),FIND(" ",TRIM(C139)&amp;" ")-1),",","."))+1,9)),IF(ISNUMBER(SEARCH("yea",C139)),IFERROR(_xlfn.NUMBERVALUE(SUBSTITUTE(LEFT(TRIM(C139),FIND(" ",TRIM(C139)&amp;" ")-1),",","."),"."),LEFT(SUBSTITUTE(LEFT(TRIM(C139),FIND(" ",TRIM(C139)&amp;" ")-1),",","."),FIND("/",SUBSTITUTE(LEFT(TRIM(C139),FIND(" ",TRIM(C139)&amp;" ")-1),",","."))-1)/MID(SUBSTITUTE(LEFT(TRIM(C139),FIND(" ",TRIM(C139)&amp;" ")-1),",","."),FIND("/",SUBSTITUTE(LEFT(TRIM(C139),FIND(" ",TRIM(C139)&amp;" ")-1),",","."))+1,9))*12,NA()))),0),30)*'Aturan &amp; Tarif'!$B$4,2)</f>
        <v>1703.4</v>
      </c>
      <c r="K139" s="42" t="n">
        <f aca="false">'Aturan &amp; Tarif'!$B$5</f>
        <v>2050</v>
      </c>
      <c r="L139" s="42" t="n">
        <f aca="false">'Aturan &amp; Tarif'!$B$6</f>
        <v>350</v>
      </c>
      <c r="M139" s="35" t="n">
        <f aca="false">I139+J139+K139+L139</f>
        <v>8753.4</v>
      </c>
      <c r="N139" s="45" t="s">
        <v>134</v>
      </c>
    </row>
    <row r="140" customFormat="false" ht="25.5" hidden="false" customHeight="true" outlineLevel="0" collapsed="false">
      <c r="A140" s="39"/>
      <c r="B140" s="40" t="s">
        <v>809</v>
      </c>
      <c r="C140" s="41" t="s">
        <v>127</v>
      </c>
      <c r="D140" s="41" t="s">
        <v>108</v>
      </c>
      <c r="E140" s="42" t="n">
        <v>3125</v>
      </c>
      <c r="F140" s="42" t="n">
        <v>4000</v>
      </c>
      <c r="G140" s="42" t="n">
        <v>200</v>
      </c>
      <c r="H140" s="43" t="n">
        <v>1</v>
      </c>
      <c r="I140" s="34" t="n">
        <f aca="false">E140*H140+N(F140)+N(G140)</f>
        <v>7325</v>
      </c>
      <c r="J140" s="42" t="n">
        <f aca="false">ROUND(IFERROR(ROUND(IF(OR(ISNUMBER(SEARCH("week",C140)),ISNUMBER(SEARCH("minggu",C140))),IFERROR(_xlfn.NUMBERVALUE(SUBSTITUTE(LEFT(TRIM(C140),FIND(" ",TRIM(C140)&amp;" ")-1),",","."),"."),LEFT(SUBSTITUTE(LEFT(TRIM(C140),FIND(" ",TRIM(C140)&amp;" ")-1),",","."),FIND("/",SUBSTITUTE(LEFT(TRIM(C140),FIND(" ",TRIM(C140)&amp;" ")-1),",","."))-1)/MID(SUBSTITUTE(LEFT(TRIM(C140),FIND(" ",TRIM(C140)&amp;" ")-1),",","."),FIND("/",SUBSTITUTE(LEFT(TRIM(C140),FIND(" ",TRIM(C140)&amp;" ")-1),",","."))+1,9))*12/52,IF(ISNUMBER(SEARCH("month",C140)),IFERROR(_xlfn.NUMBERVALUE(SUBSTITUTE(LEFT(TRIM(C140),FIND(" ",TRIM(C140)&amp;" ")-1),",","."),"."),LEFT(SUBSTITUTE(LEFT(TRIM(C140),FIND(" ",TRIM(C140)&amp;" ")-1),",","."),FIND("/",SUBSTITUTE(LEFT(TRIM(C140),FIND(" ",TRIM(C140)&amp;" ")-1),",","."))-1)/MID(SUBSTITUTE(LEFT(TRIM(C140),FIND(" ",TRIM(C140)&amp;" ")-1),",","."),FIND("/",SUBSTITUTE(LEFT(TRIM(C140),FIND(" ",TRIM(C140)&amp;" ")-1),",","."))+1,9)),IF(ISNUMBER(SEARCH("yea",C140)),IFERROR(_xlfn.NUMBERVALUE(SUBSTITUTE(LEFT(TRIM(C140),FIND(" ",TRIM(C140)&amp;" ")-1),",","."),"."),LEFT(SUBSTITUTE(LEFT(TRIM(C140),FIND(" ",TRIM(C140)&amp;" ")-1),",","."),FIND("/",SUBSTITUTE(LEFT(TRIM(C140),FIND(" ",TRIM(C140)&amp;" ")-1),",","."))-1)/MID(SUBSTITUTE(LEFT(TRIM(C140),FIND(" ",TRIM(C140)&amp;" ")-1),",","."),FIND("/",SUBSTITUTE(LEFT(TRIM(C140),FIND(" ",TRIM(C140)&amp;" ")-1),",","."))+1,9))*12,NA()))),0),36)*'Aturan &amp; Tarif'!$B$4,2)</f>
        <v>2044.08</v>
      </c>
      <c r="K140" s="42" t="n">
        <f aca="false">'Aturan &amp; Tarif'!$B$5</f>
        <v>2050</v>
      </c>
      <c r="L140" s="42" t="n">
        <f aca="false">'Aturan &amp; Tarif'!$B$6</f>
        <v>350</v>
      </c>
      <c r="M140" s="35" t="n">
        <f aca="false">I140+J140+K140+L140</f>
        <v>11769.08</v>
      </c>
      <c r="N140" s="45" t="s">
        <v>134</v>
      </c>
    </row>
    <row r="141" customFormat="false" ht="25.5" hidden="false" customHeight="true" outlineLevel="0" collapsed="false">
      <c r="A141" s="39"/>
      <c r="B141" s="40" t="s">
        <v>810</v>
      </c>
      <c r="C141" s="41" t="s">
        <v>127</v>
      </c>
      <c r="D141" s="41" t="s">
        <v>108</v>
      </c>
      <c r="E141" s="42" t="n">
        <v>3125</v>
      </c>
      <c r="F141" s="42" t="n">
        <v>4000</v>
      </c>
      <c r="G141" s="42" t="n">
        <v>200</v>
      </c>
      <c r="H141" s="43" t="n">
        <v>1</v>
      </c>
      <c r="I141" s="34" t="n">
        <f aca="false">E141*H141+N(F141)+N(G141)</f>
        <v>7325</v>
      </c>
      <c r="J141" s="42" t="n">
        <f aca="false">ROUND(IFERROR(ROUND(IF(OR(ISNUMBER(SEARCH("week",C141)),ISNUMBER(SEARCH("minggu",C141))),IFERROR(_xlfn.NUMBERVALUE(SUBSTITUTE(LEFT(TRIM(C141),FIND(" ",TRIM(C141)&amp;" ")-1),",","."),"."),LEFT(SUBSTITUTE(LEFT(TRIM(C141),FIND(" ",TRIM(C141)&amp;" ")-1),",","."),FIND("/",SUBSTITUTE(LEFT(TRIM(C141),FIND(" ",TRIM(C141)&amp;" ")-1),",","."))-1)/MID(SUBSTITUTE(LEFT(TRIM(C141),FIND(" ",TRIM(C141)&amp;" ")-1),",","."),FIND("/",SUBSTITUTE(LEFT(TRIM(C141),FIND(" ",TRIM(C141)&amp;" ")-1),",","."))+1,9))*12/52,IF(ISNUMBER(SEARCH("month",C141)),IFERROR(_xlfn.NUMBERVALUE(SUBSTITUTE(LEFT(TRIM(C141),FIND(" ",TRIM(C141)&amp;" ")-1),",","."),"."),LEFT(SUBSTITUTE(LEFT(TRIM(C141),FIND(" ",TRIM(C141)&amp;" ")-1),",","."),FIND("/",SUBSTITUTE(LEFT(TRIM(C141),FIND(" ",TRIM(C141)&amp;" ")-1),",","."))-1)/MID(SUBSTITUTE(LEFT(TRIM(C141),FIND(" ",TRIM(C141)&amp;" ")-1),",","."),FIND("/",SUBSTITUTE(LEFT(TRIM(C141),FIND(" ",TRIM(C141)&amp;" ")-1),",","."))+1,9)),IF(ISNUMBER(SEARCH("yea",C141)),IFERROR(_xlfn.NUMBERVALUE(SUBSTITUTE(LEFT(TRIM(C141),FIND(" ",TRIM(C141)&amp;" ")-1),",","."),"."),LEFT(SUBSTITUTE(LEFT(TRIM(C141),FIND(" ",TRIM(C141)&amp;" ")-1),",","."),FIND("/",SUBSTITUTE(LEFT(TRIM(C141),FIND(" ",TRIM(C141)&amp;" ")-1),",","."))-1)/MID(SUBSTITUTE(LEFT(TRIM(C141),FIND(" ",TRIM(C141)&amp;" ")-1),",","."),FIND("/",SUBSTITUTE(LEFT(TRIM(C141),FIND(" ",TRIM(C141)&amp;" ")-1),",","."))+1,9))*12,NA()))),0),36)*'Aturan &amp; Tarif'!$B$4,2)</f>
        <v>2044.08</v>
      </c>
      <c r="K141" s="42" t="n">
        <f aca="false">'Aturan &amp; Tarif'!$B$5</f>
        <v>2050</v>
      </c>
      <c r="L141" s="42" t="n">
        <f aca="false">'Aturan &amp; Tarif'!$B$6</f>
        <v>350</v>
      </c>
      <c r="M141" s="35" t="n">
        <f aca="false">I141+J141+K141+L141</f>
        <v>11769.08</v>
      </c>
      <c r="N141" s="45" t="s">
        <v>134</v>
      </c>
    </row>
    <row r="142" customFormat="false" ht="14.25" hidden="false" customHeight="true" outlineLevel="0" collapsed="false">
      <c r="A142" s="39"/>
      <c r="B142" s="40" t="s">
        <v>811</v>
      </c>
      <c r="C142" s="41" t="s">
        <v>107</v>
      </c>
      <c r="D142" s="41" t="s">
        <v>108</v>
      </c>
      <c r="E142" s="42" t="n">
        <v>3000</v>
      </c>
      <c r="F142" s="42" t="n">
        <v>2000</v>
      </c>
      <c r="G142" s="42" t="n">
        <v>200</v>
      </c>
      <c r="H142" s="43" t="n">
        <v>1</v>
      </c>
      <c r="I142" s="34" t="n">
        <f aca="false">E142*H142+N(F142)+N(G142)</f>
        <v>5200</v>
      </c>
      <c r="J142" s="42" t="n">
        <f aca="false">ROUND(IFERROR(ROUND(IF(OR(ISNUMBER(SEARCH("week",C142)),ISNUMBER(SEARCH("minggu",C142))),IFERROR(_xlfn.NUMBERVALUE(SUBSTITUTE(LEFT(TRIM(C142),FIND(" ",TRIM(C142)&amp;" ")-1),",","."),"."),LEFT(SUBSTITUTE(LEFT(TRIM(C142),FIND(" ",TRIM(C142)&amp;" ")-1),",","."),FIND("/",SUBSTITUTE(LEFT(TRIM(C142),FIND(" ",TRIM(C142)&amp;" ")-1),",","."))-1)/MID(SUBSTITUTE(LEFT(TRIM(C142),FIND(" ",TRIM(C142)&amp;" ")-1),",","."),FIND("/",SUBSTITUTE(LEFT(TRIM(C142),FIND(" ",TRIM(C142)&amp;" ")-1),",","."))+1,9))*12/52,IF(ISNUMBER(SEARCH("month",C142)),IFERROR(_xlfn.NUMBERVALUE(SUBSTITUTE(LEFT(TRIM(C142),FIND(" ",TRIM(C142)&amp;" ")-1),",","."),"."),LEFT(SUBSTITUTE(LEFT(TRIM(C142),FIND(" ",TRIM(C142)&amp;" ")-1),",","."),FIND("/",SUBSTITUTE(LEFT(TRIM(C142),FIND(" ",TRIM(C142)&amp;" ")-1),",","."))-1)/MID(SUBSTITUTE(LEFT(TRIM(C142),FIND(" ",TRIM(C142)&amp;" ")-1),",","."),FIND("/",SUBSTITUTE(LEFT(TRIM(C142),FIND(" ",TRIM(C142)&amp;" ")-1),",","."))+1,9)),IF(ISNUMBER(SEARCH("yea",C142)),IFERROR(_xlfn.NUMBERVALUE(SUBSTITUTE(LEFT(TRIM(C142),FIND(" ",TRIM(C142)&amp;" ")-1),",","."),"."),LEFT(SUBSTITUTE(LEFT(TRIM(C142),FIND(" ",TRIM(C142)&amp;" ")-1),",","."),FIND("/",SUBSTITUTE(LEFT(TRIM(C142),FIND(" ",TRIM(C142)&amp;" ")-1),",","."))-1)/MID(SUBSTITUTE(LEFT(TRIM(C142),FIND(" ",TRIM(C142)&amp;" ")-1),",","."),FIND("/",SUBSTITUTE(LEFT(TRIM(C142),FIND(" ",TRIM(C142)&amp;" ")-1),",","."))+1,9))*12,NA()))),0),24)*'Aturan &amp; Tarif'!$B$4,2)</f>
        <v>1362.72</v>
      </c>
      <c r="K142" s="42" t="n">
        <f aca="false">'Aturan &amp; Tarif'!$B$5</f>
        <v>2050</v>
      </c>
      <c r="L142" s="42" t="n">
        <f aca="false">'Aturan &amp; Tarif'!$B$6</f>
        <v>350</v>
      </c>
      <c r="M142" s="35" t="n">
        <f aca="false">I142+J142+K142+L142</f>
        <v>8962.72</v>
      </c>
      <c r="N142" s="45" t="s">
        <v>134</v>
      </c>
    </row>
    <row r="143" customFormat="false" ht="25.5" hidden="false" customHeight="true" outlineLevel="0" collapsed="false">
      <c r="A143" s="39"/>
      <c r="B143" s="40" t="s">
        <v>812</v>
      </c>
      <c r="C143" s="41" t="s">
        <v>107</v>
      </c>
      <c r="D143" s="41" t="s">
        <v>108</v>
      </c>
      <c r="E143" s="42" t="n">
        <v>2600</v>
      </c>
      <c r="F143" s="42" t="n">
        <v>800</v>
      </c>
      <c r="G143" s="42" t="n">
        <v>200</v>
      </c>
      <c r="H143" s="43" t="n">
        <v>1</v>
      </c>
      <c r="I143" s="34" t="n">
        <f aca="false">E143*H143+N(F143)+N(G143)</f>
        <v>3600</v>
      </c>
      <c r="J143" s="42" t="n">
        <f aca="false">ROUND(IFERROR(ROUND(IF(OR(ISNUMBER(SEARCH("week",C143)),ISNUMBER(SEARCH("minggu",C143))),IFERROR(_xlfn.NUMBERVALUE(SUBSTITUTE(LEFT(TRIM(C143),FIND(" ",TRIM(C143)&amp;" ")-1),",","."),"."),LEFT(SUBSTITUTE(LEFT(TRIM(C143),FIND(" ",TRIM(C143)&amp;" ")-1),",","."),FIND("/",SUBSTITUTE(LEFT(TRIM(C143),FIND(" ",TRIM(C143)&amp;" ")-1),",","."))-1)/MID(SUBSTITUTE(LEFT(TRIM(C143),FIND(" ",TRIM(C143)&amp;" ")-1),",","."),FIND("/",SUBSTITUTE(LEFT(TRIM(C143),FIND(" ",TRIM(C143)&amp;" ")-1),",","."))+1,9))*12/52,IF(ISNUMBER(SEARCH("month",C143)),IFERROR(_xlfn.NUMBERVALUE(SUBSTITUTE(LEFT(TRIM(C143),FIND(" ",TRIM(C143)&amp;" ")-1),",","."),"."),LEFT(SUBSTITUTE(LEFT(TRIM(C143),FIND(" ",TRIM(C143)&amp;" ")-1),",","."),FIND("/",SUBSTITUTE(LEFT(TRIM(C143),FIND(" ",TRIM(C143)&amp;" ")-1),",","."))-1)/MID(SUBSTITUTE(LEFT(TRIM(C143),FIND(" ",TRIM(C143)&amp;" ")-1),",","."),FIND("/",SUBSTITUTE(LEFT(TRIM(C143),FIND(" ",TRIM(C143)&amp;" ")-1),",","."))+1,9)),IF(ISNUMBER(SEARCH("yea",C143)),IFERROR(_xlfn.NUMBERVALUE(SUBSTITUTE(LEFT(TRIM(C143),FIND(" ",TRIM(C143)&amp;" ")-1),",","."),"."),LEFT(SUBSTITUTE(LEFT(TRIM(C143),FIND(" ",TRIM(C143)&amp;" ")-1),",","."),FIND("/",SUBSTITUTE(LEFT(TRIM(C143),FIND(" ",TRIM(C143)&amp;" ")-1),",","."))-1)/MID(SUBSTITUTE(LEFT(TRIM(C143),FIND(" ",TRIM(C143)&amp;" ")-1),",","."),FIND("/",SUBSTITUTE(LEFT(TRIM(C143),FIND(" ",TRIM(C143)&amp;" ")-1),",","."))+1,9))*12,NA()))),0),24)*'Aturan &amp; Tarif'!$B$4,2)</f>
        <v>1362.72</v>
      </c>
      <c r="K143" s="42" t="n">
        <f aca="false">'Aturan &amp; Tarif'!$B$5</f>
        <v>2050</v>
      </c>
      <c r="L143" s="42" t="n">
        <f aca="false">'Aturan &amp; Tarif'!$B$6</f>
        <v>350</v>
      </c>
      <c r="M143" s="35" t="n">
        <f aca="false">I143+J143+K143+L143</f>
        <v>7362.72</v>
      </c>
      <c r="N143" s="45" t="s">
        <v>134</v>
      </c>
    </row>
    <row r="144" customFormat="false" ht="25.5" hidden="false" customHeight="true" outlineLevel="0" collapsed="false">
      <c r="A144" s="39"/>
      <c r="B144" s="40" t="s">
        <v>813</v>
      </c>
      <c r="C144" s="41" t="s">
        <v>107</v>
      </c>
      <c r="D144" s="41" t="s">
        <v>108</v>
      </c>
      <c r="E144" s="42" t="n">
        <v>3250</v>
      </c>
      <c r="F144" s="42" t="n">
        <v>1000</v>
      </c>
      <c r="G144" s="42" t="n">
        <v>200</v>
      </c>
      <c r="H144" s="43" t="n">
        <v>1</v>
      </c>
      <c r="I144" s="34" t="n">
        <f aca="false">E144*H144+N(F144)+N(G144)</f>
        <v>4450</v>
      </c>
      <c r="J144" s="42" t="n">
        <f aca="false">ROUND(IFERROR(ROUND(IF(OR(ISNUMBER(SEARCH("week",C144)),ISNUMBER(SEARCH("minggu",C144))),IFERROR(_xlfn.NUMBERVALUE(SUBSTITUTE(LEFT(TRIM(C144),FIND(" ",TRIM(C144)&amp;" ")-1),",","."),"."),LEFT(SUBSTITUTE(LEFT(TRIM(C144),FIND(" ",TRIM(C144)&amp;" ")-1),",","."),FIND("/",SUBSTITUTE(LEFT(TRIM(C144),FIND(" ",TRIM(C144)&amp;" ")-1),",","."))-1)/MID(SUBSTITUTE(LEFT(TRIM(C144),FIND(" ",TRIM(C144)&amp;" ")-1),",","."),FIND("/",SUBSTITUTE(LEFT(TRIM(C144),FIND(" ",TRIM(C144)&amp;" ")-1),",","."))+1,9))*12/52,IF(ISNUMBER(SEARCH("month",C144)),IFERROR(_xlfn.NUMBERVALUE(SUBSTITUTE(LEFT(TRIM(C144),FIND(" ",TRIM(C144)&amp;" ")-1),",","."),"."),LEFT(SUBSTITUTE(LEFT(TRIM(C144),FIND(" ",TRIM(C144)&amp;" ")-1),",","."),FIND("/",SUBSTITUTE(LEFT(TRIM(C144),FIND(" ",TRIM(C144)&amp;" ")-1),",","."))-1)/MID(SUBSTITUTE(LEFT(TRIM(C144),FIND(" ",TRIM(C144)&amp;" ")-1),",","."),FIND("/",SUBSTITUTE(LEFT(TRIM(C144),FIND(" ",TRIM(C144)&amp;" ")-1),",","."))+1,9)),IF(ISNUMBER(SEARCH("yea",C144)),IFERROR(_xlfn.NUMBERVALUE(SUBSTITUTE(LEFT(TRIM(C144),FIND(" ",TRIM(C144)&amp;" ")-1),",","."),"."),LEFT(SUBSTITUTE(LEFT(TRIM(C144),FIND(" ",TRIM(C144)&amp;" ")-1),",","."),FIND("/",SUBSTITUTE(LEFT(TRIM(C144),FIND(" ",TRIM(C144)&amp;" ")-1),",","."))-1)/MID(SUBSTITUTE(LEFT(TRIM(C144),FIND(" ",TRIM(C144)&amp;" ")-1),",","."),FIND("/",SUBSTITUTE(LEFT(TRIM(C144),FIND(" ",TRIM(C144)&amp;" ")-1),",","."))+1,9))*12,NA()))),0),24)*'Aturan &amp; Tarif'!$B$4,2)</f>
        <v>1362.72</v>
      </c>
      <c r="K144" s="42" t="n">
        <f aca="false">'Aturan &amp; Tarif'!$B$5</f>
        <v>2050</v>
      </c>
      <c r="L144" s="42" t="n">
        <f aca="false">'Aturan &amp; Tarif'!$B$6</f>
        <v>350</v>
      </c>
      <c r="M144" s="35" t="n">
        <f aca="false">I144+J144+K144+L144</f>
        <v>8212.72</v>
      </c>
      <c r="N144" s="45" t="s">
        <v>134</v>
      </c>
    </row>
    <row r="145" customFormat="false" ht="48.75" hidden="false" customHeight="true" outlineLevel="0" collapsed="false">
      <c r="A145" s="29" t="s">
        <v>814</v>
      </c>
      <c r="B145" s="30" t="s">
        <v>815</v>
      </c>
      <c r="C145" s="31" t="s">
        <v>136</v>
      </c>
      <c r="D145" s="31" t="s">
        <v>108</v>
      </c>
      <c r="E145" s="32" t="n">
        <v>3000</v>
      </c>
      <c r="F145" s="32"/>
      <c r="G145" s="32"/>
      <c r="H145" s="33" t="n">
        <v>2</v>
      </c>
      <c r="I145" s="34" t="n">
        <f aca="false">E145*H145+N(F145)+N(G145)</f>
        <v>6000</v>
      </c>
      <c r="J145" s="32" t="n">
        <f aca="false">ROUND(IFERROR(ROUND(IF(OR(ISNUMBER(SEARCH("week",C145)),ISNUMBER(SEARCH("minggu",C145))),IFERROR(_xlfn.NUMBERVALUE(SUBSTITUTE(LEFT(TRIM(C145),FIND(" ",TRIM(C145)&amp;" ")-1),",","."),"."),LEFT(SUBSTITUTE(LEFT(TRIM(C145),FIND(" ",TRIM(C145)&amp;" ")-1),",","."),FIND("/",SUBSTITUTE(LEFT(TRIM(C145),FIND(" ",TRIM(C145)&amp;" ")-1),",","."))-1)/MID(SUBSTITUTE(LEFT(TRIM(C145),FIND(" ",TRIM(C145)&amp;" ")-1),",","."),FIND("/",SUBSTITUTE(LEFT(TRIM(C145),FIND(" ",TRIM(C145)&amp;" ")-1),",","."))+1,9))*12/52,IF(ISNUMBER(SEARCH("month",C145)),IFERROR(_xlfn.NUMBERVALUE(SUBSTITUTE(LEFT(TRIM(C145),FIND(" ",TRIM(C145)&amp;" ")-1),",","."),"."),LEFT(SUBSTITUTE(LEFT(TRIM(C145),FIND(" ",TRIM(C145)&amp;" ")-1),",","."),FIND("/",SUBSTITUTE(LEFT(TRIM(C145),FIND(" ",TRIM(C145)&amp;" ")-1),",","."))-1)/MID(SUBSTITUTE(LEFT(TRIM(C145),FIND(" ",TRIM(C145)&amp;" ")-1),",","."),FIND("/",SUBSTITUTE(LEFT(TRIM(C145),FIND(" ",TRIM(C145)&amp;" ")-1),",","."))+1,9)),IF(ISNUMBER(SEARCH("yea",C145)),IFERROR(_xlfn.NUMBERVALUE(SUBSTITUTE(LEFT(TRIM(C145),FIND(" ",TRIM(C145)&amp;" ")-1),",","."),"."),LEFT(SUBSTITUTE(LEFT(TRIM(C145),FIND(" ",TRIM(C145)&amp;" ")-1),",","."),FIND("/",SUBSTITUTE(LEFT(TRIM(C145),FIND(" ",TRIM(C145)&amp;" ")-1),",","."))-1)/MID(SUBSTITUTE(LEFT(TRIM(C145),FIND(" ",TRIM(C145)&amp;" ")-1),",","."),FIND("/",SUBSTITUTE(LEFT(TRIM(C145),FIND(" ",TRIM(C145)&amp;" ")-1),",","."))+1,9))*12,NA()))),0),42)*'Aturan &amp; Tarif'!$B$4,2)</f>
        <v>2384.76</v>
      </c>
      <c r="K145" s="32" t="n">
        <f aca="false">'Aturan &amp; Tarif'!$B$5</f>
        <v>2050</v>
      </c>
      <c r="L145" s="32" t="n">
        <f aca="false">'Aturan &amp; Tarif'!$B$6</f>
        <v>350</v>
      </c>
      <c r="M145" s="35" t="n">
        <f aca="false">I145+J145+K145+L145</f>
        <v>10784.76</v>
      </c>
      <c r="N145" s="36" t="s">
        <v>816</v>
      </c>
    </row>
    <row r="146" customFormat="false" ht="48.75" hidden="false" customHeight="true" outlineLevel="0" collapsed="false">
      <c r="A146" s="39"/>
      <c r="B146" s="40" t="s">
        <v>817</v>
      </c>
      <c r="C146" s="41" t="s">
        <v>127</v>
      </c>
      <c r="D146" s="41" t="s">
        <v>108</v>
      </c>
      <c r="E146" s="42" t="n">
        <v>3230</v>
      </c>
      <c r="F146" s="42"/>
      <c r="G146" s="42"/>
      <c r="H146" s="43" t="n">
        <v>2</v>
      </c>
      <c r="I146" s="34" t="n">
        <f aca="false">E146*H146+N(F146)+N(G146)</f>
        <v>6460</v>
      </c>
      <c r="J146" s="42" t="n">
        <f aca="false">ROUND(IFERROR(ROUND(IF(OR(ISNUMBER(SEARCH("week",C146)),ISNUMBER(SEARCH("minggu",C146))),IFERROR(_xlfn.NUMBERVALUE(SUBSTITUTE(LEFT(TRIM(C146),FIND(" ",TRIM(C146)&amp;" ")-1),",","."),"."),LEFT(SUBSTITUTE(LEFT(TRIM(C146),FIND(" ",TRIM(C146)&amp;" ")-1),",","."),FIND("/",SUBSTITUTE(LEFT(TRIM(C146),FIND(" ",TRIM(C146)&amp;" ")-1),",","."))-1)/MID(SUBSTITUTE(LEFT(TRIM(C146),FIND(" ",TRIM(C146)&amp;" ")-1),",","."),FIND("/",SUBSTITUTE(LEFT(TRIM(C146),FIND(" ",TRIM(C146)&amp;" ")-1),",","."))+1,9))*12/52,IF(ISNUMBER(SEARCH("month",C146)),IFERROR(_xlfn.NUMBERVALUE(SUBSTITUTE(LEFT(TRIM(C146),FIND(" ",TRIM(C146)&amp;" ")-1),",","."),"."),LEFT(SUBSTITUTE(LEFT(TRIM(C146),FIND(" ",TRIM(C146)&amp;" ")-1),",","."),FIND("/",SUBSTITUTE(LEFT(TRIM(C146),FIND(" ",TRIM(C146)&amp;" ")-1),",","."))-1)/MID(SUBSTITUTE(LEFT(TRIM(C146),FIND(" ",TRIM(C146)&amp;" ")-1),",","."),FIND("/",SUBSTITUTE(LEFT(TRIM(C146),FIND(" ",TRIM(C146)&amp;" ")-1),",","."))+1,9)),IF(ISNUMBER(SEARCH("yea",C146)),IFERROR(_xlfn.NUMBERVALUE(SUBSTITUTE(LEFT(TRIM(C146),FIND(" ",TRIM(C146)&amp;" ")-1),",","."),"."),LEFT(SUBSTITUTE(LEFT(TRIM(C146),FIND(" ",TRIM(C146)&amp;" ")-1),",","."),FIND("/",SUBSTITUTE(LEFT(TRIM(C146),FIND(" ",TRIM(C146)&amp;" ")-1),",","."))-1)/MID(SUBSTITUTE(LEFT(TRIM(C146),FIND(" ",TRIM(C146)&amp;" ")-1),",","."),FIND("/",SUBSTITUTE(LEFT(TRIM(C146),FIND(" ",TRIM(C146)&amp;" ")-1),",","."))+1,9))*12,NA()))),0),36)*'Aturan &amp; Tarif'!$B$4,2)</f>
        <v>2044.08</v>
      </c>
      <c r="K146" s="42" t="n">
        <f aca="false">'Aturan &amp; Tarif'!$B$5</f>
        <v>2050</v>
      </c>
      <c r="L146" s="42" t="n">
        <f aca="false">'Aturan &amp; Tarif'!$B$6</f>
        <v>350</v>
      </c>
      <c r="M146" s="35" t="n">
        <f aca="false">I146+J146+K146+L146</f>
        <v>10904.08</v>
      </c>
      <c r="N146" s="45" t="s">
        <v>818</v>
      </c>
    </row>
    <row r="147" customFormat="false" ht="25.5" hidden="false" customHeight="true" outlineLevel="0" collapsed="false">
      <c r="A147" s="39"/>
      <c r="B147" s="40" t="s">
        <v>819</v>
      </c>
      <c r="C147" s="41" t="s">
        <v>820</v>
      </c>
      <c r="D147" s="48" t="s">
        <v>439</v>
      </c>
      <c r="E147" s="49" t="n">
        <v>6570</v>
      </c>
      <c r="F147" s="42" t="n">
        <v>354</v>
      </c>
      <c r="G147" s="42"/>
      <c r="H147" s="50" t="n">
        <v>1</v>
      </c>
      <c r="I147" s="34" t="n">
        <f aca="false">E147*H147+N(G147)</f>
        <v>6570</v>
      </c>
      <c r="J147" s="42" t="n">
        <f aca="false">ROUND(IFERROR(ROUND(IF(OR(ISNUMBER(SEARCH("week",C147)),ISNUMBER(SEARCH("minggu",C147))),IFERROR(_xlfn.NUMBERVALUE(SUBSTITUTE(LEFT(TRIM(C147),FIND(" ",TRIM(C147)&amp;" ")-1),",","."),"."),LEFT(SUBSTITUTE(LEFT(TRIM(C147),FIND(" ",TRIM(C147)&amp;" ")-1),",","."),FIND("/",SUBSTITUTE(LEFT(TRIM(C147),FIND(" ",TRIM(C147)&amp;" ")-1),",","."))-1)/MID(SUBSTITUTE(LEFT(TRIM(C147),FIND(" ",TRIM(C147)&amp;" ")-1),",","."),FIND("/",SUBSTITUTE(LEFT(TRIM(C147),FIND(" ",TRIM(C147)&amp;" ")-1),",","."))+1,9))*12/52,IF(ISNUMBER(SEARCH("month",C147)),IFERROR(_xlfn.NUMBERVALUE(SUBSTITUTE(LEFT(TRIM(C147),FIND(" ",TRIM(C147)&amp;" ")-1),",","."),"."),LEFT(SUBSTITUTE(LEFT(TRIM(C147),FIND(" ",TRIM(C147)&amp;" ")-1),",","."),FIND("/",SUBSTITUTE(LEFT(TRIM(C147),FIND(" ",TRIM(C147)&amp;" ")-1),",","."))-1)/MID(SUBSTITUTE(LEFT(TRIM(C147),FIND(" ",TRIM(C147)&amp;" ")-1),",","."),FIND("/",SUBSTITUTE(LEFT(TRIM(C147),FIND(" ",TRIM(C147)&amp;" ")-1),",","."))+1,9)),IF(ISNUMBER(SEARCH("yea",C147)),IFERROR(_xlfn.NUMBERVALUE(SUBSTITUTE(LEFT(TRIM(C147),FIND(" ",TRIM(C147)&amp;" ")-1),",","."),"."),LEFT(SUBSTITUTE(LEFT(TRIM(C147),FIND(" ",TRIM(C147)&amp;" ")-1),",","."),FIND("/",SUBSTITUTE(LEFT(TRIM(C147),FIND(" ",TRIM(C147)&amp;" ")-1),",","."))-1)/MID(SUBSTITUTE(LEFT(TRIM(C147),FIND(" ",TRIM(C147)&amp;" ")-1),",","."),FIND("/",SUBSTITUTE(LEFT(TRIM(C147),FIND(" ",TRIM(C147)&amp;" ")-1),",","."))+1,9))*12,NA()))),0),12)*'Aturan &amp; Tarif'!$B$4,2)</f>
        <v>681.36</v>
      </c>
      <c r="K147" s="42" t="n">
        <f aca="false">'Aturan &amp; Tarif'!$B$5</f>
        <v>2050</v>
      </c>
      <c r="L147" s="42" t="n">
        <f aca="false">'Aturan &amp; Tarif'!$B$6</f>
        <v>350</v>
      </c>
      <c r="M147" s="35" t="n">
        <f aca="false">I147+J147+K147+L147</f>
        <v>9651.36</v>
      </c>
      <c r="N147" s="44" t="s">
        <v>821</v>
      </c>
    </row>
    <row r="148" customFormat="false" ht="60" hidden="false" customHeight="true" outlineLevel="0" collapsed="false">
      <c r="A148" s="39" t="s">
        <v>822</v>
      </c>
      <c r="B148" s="40" t="s">
        <v>823</v>
      </c>
      <c r="C148" s="41" t="s">
        <v>127</v>
      </c>
      <c r="D148" s="41" t="s">
        <v>108</v>
      </c>
      <c r="E148" s="42" t="n">
        <v>6300</v>
      </c>
      <c r="F148" s="42"/>
      <c r="G148" s="42" t="n">
        <v>350</v>
      </c>
      <c r="H148" s="43" t="n">
        <v>2</v>
      </c>
      <c r="I148" s="34" t="n">
        <f aca="false">E148*H148+N(F148)+N(G148)</f>
        <v>12950</v>
      </c>
      <c r="J148" s="42" t="n">
        <f aca="false">ROUND(IFERROR(ROUND(IF(OR(ISNUMBER(SEARCH("week",C148)),ISNUMBER(SEARCH("minggu",C148))),IFERROR(_xlfn.NUMBERVALUE(SUBSTITUTE(LEFT(TRIM(C148),FIND(" ",TRIM(C148)&amp;" ")-1),",","."),"."),LEFT(SUBSTITUTE(LEFT(TRIM(C148),FIND(" ",TRIM(C148)&amp;" ")-1),",","."),FIND("/",SUBSTITUTE(LEFT(TRIM(C148),FIND(" ",TRIM(C148)&amp;" ")-1),",","."))-1)/MID(SUBSTITUTE(LEFT(TRIM(C148),FIND(" ",TRIM(C148)&amp;" ")-1),",","."),FIND("/",SUBSTITUTE(LEFT(TRIM(C148),FIND(" ",TRIM(C148)&amp;" ")-1),",","."))+1,9))*12/52,IF(ISNUMBER(SEARCH("month",C148)),IFERROR(_xlfn.NUMBERVALUE(SUBSTITUTE(LEFT(TRIM(C148),FIND(" ",TRIM(C148)&amp;" ")-1),",","."),"."),LEFT(SUBSTITUTE(LEFT(TRIM(C148),FIND(" ",TRIM(C148)&amp;" ")-1),",","."),FIND("/",SUBSTITUTE(LEFT(TRIM(C148),FIND(" ",TRIM(C148)&amp;" ")-1),",","."))-1)/MID(SUBSTITUTE(LEFT(TRIM(C148),FIND(" ",TRIM(C148)&amp;" ")-1),",","."),FIND("/",SUBSTITUTE(LEFT(TRIM(C148),FIND(" ",TRIM(C148)&amp;" ")-1),",","."))+1,9)),IF(ISNUMBER(SEARCH("yea",C148)),IFERROR(_xlfn.NUMBERVALUE(SUBSTITUTE(LEFT(TRIM(C148),FIND(" ",TRIM(C148)&amp;" ")-1),",","."),"."),LEFT(SUBSTITUTE(LEFT(TRIM(C148),FIND(" ",TRIM(C148)&amp;" ")-1),",","."),FIND("/",SUBSTITUTE(LEFT(TRIM(C148),FIND(" ",TRIM(C148)&amp;" ")-1),",","."))-1)/MID(SUBSTITUTE(LEFT(TRIM(C148),FIND(" ",TRIM(C148)&amp;" ")-1),",","."),FIND("/",SUBSTITUTE(LEFT(TRIM(C148),FIND(" ",TRIM(C148)&amp;" ")-1),",","."))+1,9))*12,NA()))),0),36)*'Aturan &amp; Tarif'!$B$4,2)</f>
        <v>2044.08</v>
      </c>
      <c r="K148" s="42" t="n">
        <f aca="false">'Aturan &amp; Tarif'!$B$5</f>
        <v>2050</v>
      </c>
      <c r="L148" s="42" t="n">
        <f aca="false">'Aturan &amp; Tarif'!$B$6</f>
        <v>350</v>
      </c>
      <c r="M148" s="35" t="n">
        <f aca="false">I148+J148+K148+L148</f>
        <v>17394.08</v>
      </c>
      <c r="N148" s="44" t="s">
        <v>824</v>
      </c>
    </row>
    <row r="149" customFormat="false" ht="60" hidden="false" customHeight="true" outlineLevel="0" collapsed="false">
      <c r="A149" s="39"/>
      <c r="B149" s="40" t="s">
        <v>825</v>
      </c>
      <c r="C149" s="41" t="s">
        <v>127</v>
      </c>
      <c r="D149" s="41" t="s">
        <v>108</v>
      </c>
      <c r="E149" s="42" t="n">
        <v>6300</v>
      </c>
      <c r="F149" s="42"/>
      <c r="G149" s="42" t="n">
        <v>350</v>
      </c>
      <c r="H149" s="43" t="n">
        <v>2</v>
      </c>
      <c r="I149" s="34" t="n">
        <f aca="false">E149*H149+N(F149)+N(G149)</f>
        <v>12950</v>
      </c>
      <c r="J149" s="42" t="n">
        <f aca="false">ROUND(IFERROR(ROUND(IF(OR(ISNUMBER(SEARCH("week",C149)),ISNUMBER(SEARCH("minggu",C149))),IFERROR(_xlfn.NUMBERVALUE(SUBSTITUTE(LEFT(TRIM(C149),FIND(" ",TRIM(C149)&amp;" ")-1),",","."),"."),LEFT(SUBSTITUTE(LEFT(TRIM(C149),FIND(" ",TRIM(C149)&amp;" ")-1),",","."),FIND("/",SUBSTITUTE(LEFT(TRIM(C149),FIND(" ",TRIM(C149)&amp;" ")-1),",","."))-1)/MID(SUBSTITUTE(LEFT(TRIM(C149),FIND(" ",TRIM(C149)&amp;" ")-1),",","."),FIND("/",SUBSTITUTE(LEFT(TRIM(C149),FIND(" ",TRIM(C149)&amp;" ")-1),",","."))+1,9))*12/52,IF(ISNUMBER(SEARCH("month",C149)),IFERROR(_xlfn.NUMBERVALUE(SUBSTITUTE(LEFT(TRIM(C149),FIND(" ",TRIM(C149)&amp;" ")-1),",","."),"."),LEFT(SUBSTITUTE(LEFT(TRIM(C149),FIND(" ",TRIM(C149)&amp;" ")-1),",","."),FIND("/",SUBSTITUTE(LEFT(TRIM(C149),FIND(" ",TRIM(C149)&amp;" ")-1),",","."))-1)/MID(SUBSTITUTE(LEFT(TRIM(C149),FIND(" ",TRIM(C149)&amp;" ")-1),",","."),FIND("/",SUBSTITUTE(LEFT(TRIM(C149),FIND(" ",TRIM(C149)&amp;" ")-1),",","."))+1,9)),IF(ISNUMBER(SEARCH("yea",C149)),IFERROR(_xlfn.NUMBERVALUE(SUBSTITUTE(LEFT(TRIM(C149),FIND(" ",TRIM(C149)&amp;" ")-1),",","."),"."),LEFT(SUBSTITUTE(LEFT(TRIM(C149),FIND(" ",TRIM(C149)&amp;" ")-1),",","."),FIND("/",SUBSTITUTE(LEFT(TRIM(C149),FIND(" ",TRIM(C149)&amp;" ")-1),",","."))-1)/MID(SUBSTITUTE(LEFT(TRIM(C149),FIND(" ",TRIM(C149)&amp;" ")-1),",","."),FIND("/",SUBSTITUTE(LEFT(TRIM(C149),FIND(" ",TRIM(C149)&amp;" ")-1),",","."))+1,9))*12,NA()))),0),36)*'Aturan &amp; Tarif'!$B$4,2)</f>
        <v>2044.08</v>
      </c>
      <c r="K149" s="42" t="n">
        <f aca="false">'Aturan &amp; Tarif'!$B$5</f>
        <v>2050</v>
      </c>
      <c r="L149" s="42" t="n">
        <f aca="false">'Aturan &amp; Tarif'!$B$6</f>
        <v>350</v>
      </c>
      <c r="M149" s="35" t="n">
        <f aca="false">I149+J149+K149+L149</f>
        <v>17394.08</v>
      </c>
      <c r="N149" s="44" t="s">
        <v>824</v>
      </c>
    </row>
    <row r="150" customFormat="false" ht="12.75" hidden="false" customHeight="true" outlineLevel="0" collapsed="false"/>
    <row r="151" customFormat="false" ht="12.75" hidden="false" customHeight="true" outlineLevel="0" collapsed="false">
      <c r="A151" s="38" t="s">
        <v>117</v>
      </c>
    </row>
    <row r="152" customFormat="false" ht="12.75" hidden="false" customHeight="true" outlineLevel="0" collapsed="false">
      <c r="A152" s="38" t="s">
        <v>118</v>
      </c>
    </row>
    <row r="153" customFormat="false" ht="12.75" hidden="false" customHeight="true" outlineLevel="0" collapsed="false">
      <c r="A153" s="38" t="s">
        <v>119</v>
      </c>
    </row>
    <row r="154" customFormat="false" ht="12.75" hidden="false" customHeight="true" outlineLevel="0" collapsed="false">
      <c r="A154" s="38" t="s">
        <v>120</v>
      </c>
    </row>
    <row r="155" customFormat="false" ht="12.75" hidden="false" customHeight="true" outlineLevel="0" collapsed="false">
      <c r="A155" s="38" t="s">
        <v>121</v>
      </c>
    </row>
    <row r="156" customFormat="false" ht="27.75" hidden="false" customHeight="true" outlineLevel="0" collapsed="false">
      <c r="A156" s="38" t="s">
        <v>122</v>
      </c>
    </row>
    <row r="157" customFormat="false" ht="18.75" hidden="false" customHeight="true" outlineLevel="0" collapsed="false">
      <c r="A157" s="38" t="s">
        <v>123</v>
      </c>
    </row>
  </sheetData>
  <autoFilter ref="A5:N149"/>
  <conditionalFormatting sqref="J6:J149">
    <cfRule type="expression" priority="2" aboveAverage="0" equalAverage="0" bottom="0" percent="0" rank="0" text="" dxfId="6">
      <formula>AND($E6&lt;&gt;"",OR(ISERROR(ROUND(IF(OR(ISNUMBER(SEARCH("week",C6)),ISNUMBER(SEARCH("minggu",C6))),IFERROR(_xlfn.NUMBERVALUE(SUBSTITUTE(LEFT(TRIM(C6),FIND("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")-1),",","."))+1,9))*12,NA()))),0)&lt;1,1),IFERROR(ROUND(IF(OR(ISNUMBER(SEARCH("week",C6)),ISNUMBER(SEARCH("minggu",C6))),IFERROR(_xlfn.NUMBERVALUE(SUBSTITUTE(LEFT(TRIM(C6),FIND("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")-1),",","."))+1,9))*12,NA()))),0)&gt;96,1)))</formula>
    </cfRule>
  </conditionalFormatting>
  <printOptions headings="false" gridLines="false" gridLinesSet="true" horizontalCentered="true" verticalCentered="false"/>
  <pageMargins left="0.3" right="0.3" top="0.5" bottom="0.5" header="0.2" footer="0.2"/>
  <pageSetup paperSize="9" scale="100" fitToWidth="1" fitToHeight="0" pageOrder="downThenOver" orientation="landscape" blackAndWhite="false" draft="false" cellComments="none" horizontalDpi="300" verticalDpi="300" copies="1"/>
  <headerFooter differentFirst="false" differentOddEven="false">
    <oddHeader>&amp;R&amp;8 OFFSHORE - PERTH</oddHeader>
    <oddFooter>&amp;L&amp;8 TEG Pricelist - harga bisa berubah sewaktu-waktu&amp;R&amp;8 Halaman &amp;P dari &amp;N</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400"/>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2" min="2" style="1" width="55"/>
    <col collapsed="false" customWidth="true" hidden="false" outlineLevel="0" max="3" min="3" style="1" width="14"/>
    <col collapsed="false" customWidth="true" hidden="false" outlineLevel="0" max="4" min="4" style="1" width="11"/>
    <col collapsed="false" customWidth="true" hidden="false" outlineLevel="0" max="5" min="5" style="1" width="12"/>
    <col collapsed="false" customWidth="true" hidden="false" outlineLevel="0" max="8" min="6" style="1" width="11"/>
    <col collapsed="false" customWidth="true" hidden="false" outlineLevel="0" max="9" min="9" style="1" width="15"/>
    <col collapsed="false" customWidth="true" hidden="false" outlineLevel="0" max="10" min="10" style="1" width="12"/>
    <col collapsed="false" customWidth="true" hidden="false" outlineLevel="0" max="12" min="11" style="1" width="10"/>
    <col collapsed="false" customWidth="true" hidden="false" outlineLevel="0" max="13" min="13" style="1" width="15"/>
    <col collapsed="false" customWidth="true" hidden="false" outlineLevel="0" max="14" min="14" style="1" width="110"/>
    <col collapsed="false" customWidth="true" hidden="false" outlineLevel="0" max="44" min="15" style="1" width="9"/>
  </cols>
  <sheetData>
    <row r="1" customFormat="false" ht="17.25" hidden="false" customHeight="true" outlineLevel="0" collapsed="false">
      <c r="A1" s="14" t="s">
        <v>826</v>
      </c>
    </row>
    <row r="2" customFormat="false" ht="15" hidden="false" customHeight="true" outlineLevel="0" collapsed="false">
      <c r="A2" s="25" t="s">
        <v>91</v>
      </c>
    </row>
    <row r="3" customFormat="false" ht="15" hidden="false" customHeight="true" outlineLevel="0" collapsed="false">
      <c r="A3" s="26" t="s">
        <v>92</v>
      </c>
    </row>
    <row r="5" customFormat="false" ht="36" hidden="false" customHeight="true" outlineLevel="0" collapsed="false">
      <c r="A5" s="27" t="s">
        <v>93</v>
      </c>
      <c r="B5" s="27" t="s">
        <v>94</v>
      </c>
      <c r="C5" s="27" t="s">
        <v>95</v>
      </c>
      <c r="D5" s="27" t="s">
        <v>96</v>
      </c>
      <c r="E5" s="27" t="s">
        <v>97</v>
      </c>
      <c r="F5" s="27" t="s">
        <v>98</v>
      </c>
      <c r="G5" s="27" t="s">
        <v>99</v>
      </c>
      <c r="H5" s="27" t="s">
        <v>100</v>
      </c>
      <c r="I5" s="27" t="s">
        <v>101</v>
      </c>
      <c r="J5" s="27" t="s">
        <v>10</v>
      </c>
      <c r="K5" s="27" t="s">
        <v>102</v>
      </c>
      <c r="L5" s="27" t="s">
        <v>103</v>
      </c>
      <c r="M5" s="27" t="s">
        <v>104</v>
      </c>
      <c r="N5" s="28" t="s">
        <v>14</v>
      </c>
    </row>
    <row r="6" customFormat="false" ht="48.75" hidden="false" customHeight="true" outlineLevel="0" collapsed="false">
      <c r="A6" s="29" t="s">
        <v>827</v>
      </c>
      <c r="B6" s="30" t="s">
        <v>828</v>
      </c>
      <c r="C6" s="31" t="s">
        <v>138</v>
      </c>
      <c r="D6" s="31" t="s">
        <v>108</v>
      </c>
      <c r="E6" s="32" t="n">
        <v>2700</v>
      </c>
      <c r="F6" s="32" t="n">
        <v>1000</v>
      </c>
      <c r="G6" s="32" t="n">
        <v>200</v>
      </c>
      <c r="H6" s="33" t="n">
        <v>2</v>
      </c>
      <c r="I6" s="34" t="n">
        <f aca="false">E6*H6+N(F6)+N(G6)</f>
        <v>6600</v>
      </c>
      <c r="J6" s="32" t="n">
        <f aca="false">ROUND(IFERROR(ROUND(IF(OR(ISNUMBER(SEARCH("week",C6)),ISNUMBER(SEARCH("minggu",C6))),IFERROR(_xlfn.NUMBERVALUE(SUBSTITUTE(LEFT(TRIM(C6),FIND("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")-1),",","."))+1,9))*12,NA()))),0),30)*'Aturan &amp; Tarif'!$B$4,2)</f>
        <v>1703.4</v>
      </c>
      <c r="K6" s="32" t="n">
        <f aca="false">'Aturan &amp; Tarif'!$B$5</f>
        <v>2050</v>
      </c>
      <c r="L6" s="32" t="n">
        <f aca="false">'Aturan &amp; Tarif'!$B$6</f>
        <v>350</v>
      </c>
      <c r="M6" s="35" t="n">
        <f aca="false">I6+J6+K6+L6</f>
        <v>10703.4</v>
      </c>
      <c r="N6" s="37" t="s">
        <v>829</v>
      </c>
    </row>
    <row r="7" customFormat="false" ht="25.5" hidden="false" customHeight="true" outlineLevel="0" collapsed="false">
      <c r="A7" s="29"/>
      <c r="B7" s="30" t="s">
        <v>830</v>
      </c>
      <c r="C7" s="31" t="s">
        <v>127</v>
      </c>
      <c r="D7" s="31" t="s">
        <v>108</v>
      </c>
      <c r="E7" s="32" t="n">
        <v>2500</v>
      </c>
      <c r="F7" s="32" t="n">
        <v>1200</v>
      </c>
      <c r="G7" s="32" t="n">
        <v>200</v>
      </c>
      <c r="H7" s="33" t="n">
        <v>2</v>
      </c>
      <c r="I7" s="34" t="n">
        <f aca="false">E7*H7+N(F7)+N(G7)</f>
        <v>6400</v>
      </c>
      <c r="J7" s="32" t="n">
        <f aca="false">ROUND(IFERROR(ROUND(IF(OR(ISNUMBER(SEARCH("week",C7)),ISNUMBER(SEARCH("minggu",C7))),IFERROR(_xlfn.NUMBERVALUE(SUBSTITUTE(LEFT(TRIM(C7),FIND(" ",TRIM(C7)&amp;" ")-1),",","."),"."),LEFT(SUBSTITUTE(LEFT(TRIM(C7),FIND(" ",TRIM(C7)&amp;" ")-1),",","."),FIND("/",SUBSTITUTE(LEFT(TRIM(C7),FIND(" ",TRIM(C7)&amp;" ")-1),",","."))-1)/MID(SUBSTITUTE(LEFT(TRIM(C7),FIND(" ",TRIM(C7)&amp;" ")-1),",","."),FIND("/",SUBSTITUTE(LEFT(TRIM(C7),FIND(" ",TRIM(C7)&amp;" ")-1),",","."))+1,9))*12/52,IF(ISNUMBER(SEARCH("month",C7)),IFERROR(_xlfn.NUMBERVALUE(SUBSTITUTE(LEFT(TRIM(C7),FIND(" ",TRIM(C7)&amp;" ")-1),",","."),"."),LEFT(SUBSTITUTE(LEFT(TRIM(C7),FIND(" ",TRIM(C7)&amp;" ")-1),",","."),FIND("/",SUBSTITUTE(LEFT(TRIM(C7),FIND(" ",TRIM(C7)&amp;" ")-1),",","."))-1)/MID(SUBSTITUTE(LEFT(TRIM(C7),FIND(" ",TRIM(C7)&amp;" ")-1),",","."),FIND("/",SUBSTITUTE(LEFT(TRIM(C7),FIND(" ",TRIM(C7)&amp;" ")-1),",","."))+1,9)),IF(ISNUMBER(SEARCH("yea",C7)),IFERROR(_xlfn.NUMBERVALUE(SUBSTITUTE(LEFT(TRIM(C7),FIND(" ",TRIM(C7)&amp;" ")-1),",","."),"."),LEFT(SUBSTITUTE(LEFT(TRIM(C7),FIND(" ",TRIM(C7)&amp;" ")-1),",","."),FIND("/",SUBSTITUTE(LEFT(TRIM(C7),FIND(" ",TRIM(C7)&amp;" ")-1),",","."))-1)/MID(SUBSTITUTE(LEFT(TRIM(C7),FIND(" ",TRIM(C7)&amp;" ")-1),",","."),FIND("/",SUBSTITUTE(LEFT(TRIM(C7),FIND(" ",TRIM(C7)&amp;" ")-1),",","."))+1,9))*12,NA()))),0),36)*'Aturan &amp; Tarif'!$B$4,2)</f>
        <v>2044.08</v>
      </c>
      <c r="K7" s="32" t="n">
        <f aca="false">'Aturan &amp; Tarif'!$B$5</f>
        <v>2050</v>
      </c>
      <c r="L7" s="32" t="n">
        <f aca="false">'Aturan &amp; Tarif'!$B$6</f>
        <v>350</v>
      </c>
      <c r="M7" s="35" t="n">
        <f aca="false">I7+J7+K7+L7</f>
        <v>10844.08</v>
      </c>
      <c r="N7" s="37" t="s">
        <v>829</v>
      </c>
    </row>
    <row r="8" customFormat="false" ht="37.5" hidden="false" customHeight="true" outlineLevel="0" collapsed="false">
      <c r="A8" s="29" t="s">
        <v>831</v>
      </c>
      <c r="B8" s="30" t="s">
        <v>634</v>
      </c>
      <c r="C8" s="31" t="s">
        <v>127</v>
      </c>
      <c r="D8" s="31" t="s">
        <v>108</v>
      </c>
      <c r="E8" s="32" t="n">
        <v>4995</v>
      </c>
      <c r="F8" s="32"/>
      <c r="G8" s="32" t="n">
        <v>250</v>
      </c>
      <c r="H8" s="33" t="n">
        <v>2</v>
      </c>
      <c r="I8" s="34" t="n">
        <f aca="false">E8*H8+N(F8)+N(G8)</f>
        <v>10240</v>
      </c>
      <c r="J8" s="32" t="n">
        <f aca="false">ROUND(IFERROR(ROUND(IF(OR(ISNUMBER(SEARCH("week",C8)),ISNUMBER(SEARCH("minggu",C8))),IFERROR(_xlfn.NUMBERVALUE(SUBSTITUTE(LEFT(TRIM(C8),FIND(" ",TRIM(C8)&amp;" ")-1),",","."),"."),LEFT(SUBSTITUTE(LEFT(TRIM(C8),FIND(" ",TRIM(C8)&amp;" ")-1),",","."),FIND("/",SUBSTITUTE(LEFT(TRIM(C8),FIND(" ",TRIM(C8)&amp;" ")-1),",","."))-1)/MID(SUBSTITUTE(LEFT(TRIM(C8),FIND(" ",TRIM(C8)&amp;" ")-1),",","."),FIND("/",SUBSTITUTE(LEFT(TRIM(C8),FIND(" ",TRIM(C8)&amp;" ")-1),",","."))+1,9))*12/52,IF(ISNUMBER(SEARCH("month",C8)),IFERROR(_xlfn.NUMBERVALUE(SUBSTITUTE(LEFT(TRIM(C8),FIND(" ",TRIM(C8)&amp;" ")-1),",","."),"."),LEFT(SUBSTITUTE(LEFT(TRIM(C8),FIND(" ",TRIM(C8)&amp;" ")-1),",","."),FIND("/",SUBSTITUTE(LEFT(TRIM(C8),FIND(" ",TRIM(C8)&amp;" ")-1),",","."))-1)/MID(SUBSTITUTE(LEFT(TRIM(C8),FIND(" ",TRIM(C8)&amp;" ")-1),",","."),FIND("/",SUBSTITUTE(LEFT(TRIM(C8),FIND(" ",TRIM(C8)&amp;" ")-1),",","."))+1,9)),IF(ISNUMBER(SEARCH("yea",C8)),IFERROR(_xlfn.NUMBERVALUE(SUBSTITUTE(LEFT(TRIM(C8),FIND(" ",TRIM(C8)&amp;" ")-1),",","."),"."),LEFT(SUBSTITUTE(LEFT(TRIM(C8),FIND(" ",TRIM(C8)&amp;" ")-1),",","."),FIND("/",SUBSTITUTE(LEFT(TRIM(C8),FIND(" ",TRIM(C8)&amp;" ")-1),",","."))-1)/MID(SUBSTITUTE(LEFT(TRIM(C8),FIND(" ",TRIM(C8)&amp;" ")-1),",","."),FIND("/",SUBSTITUTE(LEFT(TRIM(C8),FIND(" ",TRIM(C8)&amp;" ")-1),",","."))+1,9))*12,NA()))),0),36)*'Aturan &amp; Tarif'!$B$4,2)</f>
        <v>2044.08</v>
      </c>
      <c r="K8" s="32" t="n">
        <f aca="false">'Aturan &amp; Tarif'!$B$5</f>
        <v>2050</v>
      </c>
      <c r="L8" s="32" t="n">
        <f aca="false">'Aturan &amp; Tarif'!$B$6</f>
        <v>350</v>
      </c>
      <c r="M8" s="35" t="n">
        <f aca="false">I8+J8+K8+L8</f>
        <v>14684.08</v>
      </c>
      <c r="N8" s="36" t="s">
        <v>635</v>
      </c>
    </row>
    <row r="9" customFormat="false" ht="37.5" hidden="false" customHeight="true" outlineLevel="0" collapsed="false">
      <c r="A9" s="29"/>
      <c r="B9" s="30" t="s">
        <v>636</v>
      </c>
      <c r="C9" s="31" t="s">
        <v>127</v>
      </c>
      <c r="D9" s="31" t="s">
        <v>108</v>
      </c>
      <c r="E9" s="32" t="n">
        <v>4995</v>
      </c>
      <c r="F9" s="32"/>
      <c r="G9" s="32" t="n">
        <v>250</v>
      </c>
      <c r="H9" s="33" t="n">
        <v>2</v>
      </c>
      <c r="I9" s="34" t="n">
        <f aca="false">E9*H9+N(F9)+N(G9)</f>
        <v>10240</v>
      </c>
      <c r="J9" s="32" t="n">
        <f aca="false">ROUND(IFERROR(ROUND(IF(OR(ISNUMBER(SEARCH("week",C9)),ISNUMBER(SEARCH("minggu",C9))),IFERROR(_xlfn.NUMBERVALUE(SUBSTITUTE(LEFT(TRIM(C9),FIND(" ",TRIM(C9)&amp;" ")-1),",","."),"."),LEFT(SUBSTITUTE(LEFT(TRIM(C9),FIND(" ",TRIM(C9)&amp;" ")-1),",","."),FIND("/",SUBSTITUTE(LEFT(TRIM(C9),FIND(" ",TRIM(C9)&amp;" ")-1),",","."))-1)/MID(SUBSTITUTE(LEFT(TRIM(C9),FIND(" ",TRIM(C9)&amp;" ")-1),",","."),FIND("/",SUBSTITUTE(LEFT(TRIM(C9),FIND(" ",TRIM(C9)&amp;" ")-1),",","."))+1,9))*12/52,IF(ISNUMBER(SEARCH("month",C9)),IFERROR(_xlfn.NUMBERVALUE(SUBSTITUTE(LEFT(TRIM(C9),FIND(" ",TRIM(C9)&amp;" ")-1),",","."),"."),LEFT(SUBSTITUTE(LEFT(TRIM(C9),FIND(" ",TRIM(C9)&amp;" ")-1),",","."),FIND("/",SUBSTITUTE(LEFT(TRIM(C9),FIND(" ",TRIM(C9)&amp;" ")-1),",","."))-1)/MID(SUBSTITUTE(LEFT(TRIM(C9),FIND(" ",TRIM(C9)&amp;" ")-1),",","."),FIND("/",SUBSTITUTE(LEFT(TRIM(C9),FIND(" ",TRIM(C9)&amp;" ")-1),",","."))+1,9)),IF(ISNUMBER(SEARCH("yea",C9)),IFERROR(_xlfn.NUMBERVALUE(SUBSTITUTE(LEFT(TRIM(C9),FIND(" ",TRIM(C9)&amp;" ")-1),",","."),"."),LEFT(SUBSTITUTE(LEFT(TRIM(C9),FIND(" ",TRIM(C9)&amp;" ")-1),",","."),FIND("/",SUBSTITUTE(LEFT(TRIM(C9),FIND(" ",TRIM(C9)&amp;" ")-1),",","."))-1)/MID(SUBSTITUTE(LEFT(TRIM(C9),FIND(" ",TRIM(C9)&amp;" ")-1),",","."),FIND("/",SUBSTITUTE(LEFT(TRIM(C9),FIND(" ",TRIM(C9)&amp;" ")-1),",","."))+1,9))*12,NA()))),0),36)*'Aturan &amp; Tarif'!$B$4,2)</f>
        <v>2044.08</v>
      </c>
      <c r="K9" s="32" t="n">
        <f aca="false">'Aturan &amp; Tarif'!$B$5</f>
        <v>2050</v>
      </c>
      <c r="L9" s="32" t="n">
        <f aca="false">'Aturan &amp; Tarif'!$B$6</f>
        <v>350</v>
      </c>
      <c r="M9" s="35" t="n">
        <f aca="false">I9+J9+K9+L9</f>
        <v>14684.08</v>
      </c>
      <c r="N9" s="36" t="s">
        <v>635</v>
      </c>
    </row>
    <row r="10" customFormat="false" ht="37.5" hidden="false" customHeight="true" outlineLevel="0" collapsed="false">
      <c r="A10" s="29"/>
      <c r="B10" s="30" t="s">
        <v>637</v>
      </c>
      <c r="C10" s="31" t="s">
        <v>127</v>
      </c>
      <c r="D10" s="31" t="s">
        <v>108</v>
      </c>
      <c r="E10" s="32" t="n">
        <v>4995</v>
      </c>
      <c r="F10" s="32"/>
      <c r="G10" s="32" t="n">
        <v>250</v>
      </c>
      <c r="H10" s="33" t="n">
        <v>2</v>
      </c>
      <c r="I10" s="34" t="n">
        <f aca="false">E10*H10+N(F10)+N(G10)</f>
        <v>10240</v>
      </c>
      <c r="J10" s="32" t="n">
        <f aca="false">ROUND(IFERROR(ROUND(IF(OR(ISNUMBER(SEARCH("week",C10)),ISNUMBER(SEARCH("minggu",C10))),IFERROR(_xlfn.NUMBERVALUE(SUBSTITUTE(LEFT(TRIM(C10),FIND(" ",TRIM(C10)&amp;" ")-1),",","."),"."),LEFT(SUBSTITUTE(LEFT(TRIM(C10),FIND(" ",TRIM(C10)&amp;" ")-1),",","."),FIND("/",SUBSTITUTE(LEFT(TRIM(C10),FIND(" ",TRIM(C10)&amp;" ")-1),",","."))-1)/MID(SUBSTITUTE(LEFT(TRIM(C10),FIND(" ",TRIM(C10)&amp;" ")-1),",","."),FIND("/",SUBSTITUTE(LEFT(TRIM(C10),FIND(" ",TRIM(C10)&amp;" ")-1),",","."))+1,9))*12/52,IF(ISNUMBER(SEARCH("month",C10)),IFERROR(_xlfn.NUMBERVALUE(SUBSTITUTE(LEFT(TRIM(C10),FIND(" ",TRIM(C10)&amp;" ")-1),",","."),"."),LEFT(SUBSTITUTE(LEFT(TRIM(C10),FIND(" ",TRIM(C10)&amp;" ")-1),",","."),FIND("/",SUBSTITUTE(LEFT(TRIM(C10),FIND(" ",TRIM(C10)&amp;" ")-1),",","."))-1)/MID(SUBSTITUTE(LEFT(TRIM(C10),FIND(" ",TRIM(C10)&amp;" ")-1),",","."),FIND("/",SUBSTITUTE(LEFT(TRIM(C10),FIND(" ",TRIM(C10)&amp;" ")-1),",","."))+1,9)),IF(ISNUMBER(SEARCH("yea",C10)),IFERROR(_xlfn.NUMBERVALUE(SUBSTITUTE(LEFT(TRIM(C10),FIND(" ",TRIM(C10)&amp;" ")-1),",","."),"."),LEFT(SUBSTITUTE(LEFT(TRIM(C10),FIND(" ",TRIM(C10)&amp;" ")-1),",","."),FIND("/",SUBSTITUTE(LEFT(TRIM(C10),FIND(" ",TRIM(C10)&amp;" ")-1),",","."))-1)/MID(SUBSTITUTE(LEFT(TRIM(C10),FIND(" ",TRIM(C10)&amp;" ")-1),",","."),FIND("/",SUBSTITUTE(LEFT(TRIM(C10),FIND(" ",TRIM(C10)&amp;" ")-1),",","."))+1,9))*12,NA()))),0),36)*'Aturan &amp; Tarif'!$B$4,2)</f>
        <v>2044.08</v>
      </c>
      <c r="K10" s="32" t="n">
        <f aca="false">'Aturan &amp; Tarif'!$B$5</f>
        <v>2050</v>
      </c>
      <c r="L10" s="32" t="n">
        <f aca="false">'Aturan &amp; Tarif'!$B$6</f>
        <v>350</v>
      </c>
      <c r="M10" s="35" t="n">
        <f aca="false">I10+J10+K10+L10</f>
        <v>14684.08</v>
      </c>
      <c r="N10" s="36" t="s">
        <v>635</v>
      </c>
    </row>
    <row r="11" customFormat="false" ht="37.5" hidden="false" customHeight="true" outlineLevel="0" collapsed="false">
      <c r="A11" s="29"/>
      <c r="B11" s="30" t="s">
        <v>638</v>
      </c>
      <c r="C11" s="31" t="s">
        <v>127</v>
      </c>
      <c r="D11" s="31" t="s">
        <v>108</v>
      </c>
      <c r="E11" s="32" t="n">
        <v>4995</v>
      </c>
      <c r="F11" s="32"/>
      <c r="G11" s="32" t="n">
        <v>250</v>
      </c>
      <c r="H11" s="33" t="n">
        <v>2</v>
      </c>
      <c r="I11" s="34" t="n">
        <f aca="false">E11*H11+N(F11)+N(G11)</f>
        <v>10240</v>
      </c>
      <c r="J11" s="32" t="n">
        <f aca="false">ROUND(IFERROR(ROUND(IF(OR(ISNUMBER(SEARCH("week",C11)),ISNUMBER(SEARCH("minggu",C11))),IFERROR(_xlfn.NUMBERVALUE(SUBSTITUTE(LEFT(TRIM(C11),FIND(" ",TRIM(C11)&amp;" ")-1),",","."),"."),LEFT(SUBSTITUTE(LEFT(TRIM(C11),FIND(" ",TRIM(C11)&amp;" ")-1),",","."),FIND("/",SUBSTITUTE(LEFT(TRIM(C11),FIND(" ",TRIM(C11)&amp;" ")-1),",","."))-1)/MID(SUBSTITUTE(LEFT(TRIM(C11),FIND(" ",TRIM(C11)&amp;" ")-1),",","."),FIND("/",SUBSTITUTE(LEFT(TRIM(C11),FIND(" ",TRIM(C11)&amp;" ")-1),",","."))+1,9))*12/52,IF(ISNUMBER(SEARCH("month",C11)),IFERROR(_xlfn.NUMBERVALUE(SUBSTITUTE(LEFT(TRIM(C11),FIND(" ",TRIM(C11)&amp;" ")-1),",","."),"."),LEFT(SUBSTITUTE(LEFT(TRIM(C11),FIND(" ",TRIM(C11)&amp;" ")-1),",","."),FIND("/",SUBSTITUTE(LEFT(TRIM(C11),FIND(" ",TRIM(C11)&amp;" ")-1),",","."))-1)/MID(SUBSTITUTE(LEFT(TRIM(C11),FIND(" ",TRIM(C11)&amp;" ")-1),",","."),FIND("/",SUBSTITUTE(LEFT(TRIM(C11),FIND(" ",TRIM(C11)&amp;" ")-1),",","."))+1,9)),IF(ISNUMBER(SEARCH("yea",C11)),IFERROR(_xlfn.NUMBERVALUE(SUBSTITUTE(LEFT(TRIM(C11),FIND(" ",TRIM(C11)&amp;" ")-1),",","."),"."),LEFT(SUBSTITUTE(LEFT(TRIM(C11),FIND(" ",TRIM(C11)&amp;" ")-1),",","."),FIND("/",SUBSTITUTE(LEFT(TRIM(C11),FIND(" ",TRIM(C11)&amp;" ")-1),",","."))-1)/MID(SUBSTITUTE(LEFT(TRIM(C11),FIND(" ",TRIM(C11)&amp;" ")-1),",","."),FIND("/",SUBSTITUTE(LEFT(TRIM(C11),FIND(" ",TRIM(C11)&amp;" ")-1),",","."))+1,9))*12,NA()))),0),36)*'Aturan &amp; Tarif'!$B$4,2)</f>
        <v>2044.08</v>
      </c>
      <c r="K11" s="32" t="n">
        <f aca="false">'Aturan &amp; Tarif'!$B$5</f>
        <v>2050</v>
      </c>
      <c r="L11" s="32" t="n">
        <f aca="false">'Aturan &amp; Tarif'!$B$6</f>
        <v>350</v>
      </c>
      <c r="M11" s="35" t="n">
        <f aca="false">I11+J11+K11+L11</f>
        <v>14684.08</v>
      </c>
      <c r="N11" s="36" t="s">
        <v>635</v>
      </c>
    </row>
    <row r="12" customFormat="false" ht="37.5" hidden="false" customHeight="true" outlineLevel="0" collapsed="false">
      <c r="A12" s="29"/>
      <c r="B12" s="30" t="s">
        <v>639</v>
      </c>
      <c r="C12" s="31" t="s">
        <v>127</v>
      </c>
      <c r="D12" s="31" t="s">
        <v>108</v>
      </c>
      <c r="E12" s="32" t="n">
        <v>4995</v>
      </c>
      <c r="F12" s="32"/>
      <c r="G12" s="32" t="n">
        <v>250</v>
      </c>
      <c r="H12" s="33" t="n">
        <v>2</v>
      </c>
      <c r="I12" s="34" t="n">
        <f aca="false">E12*H12+N(F12)+N(G12)</f>
        <v>10240</v>
      </c>
      <c r="J12" s="32" t="n">
        <f aca="false">ROUND(IFERROR(ROUND(IF(OR(ISNUMBER(SEARCH("week",C12)),ISNUMBER(SEARCH("minggu",C12))),IFERROR(_xlfn.NUMBERVALUE(SUBSTITUTE(LEFT(TRIM(C12),FIND(" ",TRIM(C12)&amp;" ")-1),",","."),"."),LEFT(SUBSTITUTE(LEFT(TRIM(C12),FIND(" ",TRIM(C12)&amp;" ")-1),",","."),FIND("/",SUBSTITUTE(LEFT(TRIM(C12),FIND(" ",TRIM(C12)&amp;" ")-1),",","."))-1)/MID(SUBSTITUTE(LEFT(TRIM(C12),FIND(" ",TRIM(C12)&amp;" ")-1),",","."),FIND("/",SUBSTITUTE(LEFT(TRIM(C12),FIND(" ",TRIM(C12)&amp;" ")-1),",","."))+1,9))*12/52,IF(ISNUMBER(SEARCH("month",C12)),IFERROR(_xlfn.NUMBERVALUE(SUBSTITUTE(LEFT(TRIM(C12),FIND(" ",TRIM(C12)&amp;" ")-1),",","."),"."),LEFT(SUBSTITUTE(LEFT(TRIM(C12),FIND(" ",TRIM(C12)&amp;" ")-1),",","."),FIND("/",SUBSTITUTE(LEFT(TRIM(C12),FIND(" ",TRIM(C12)&amp;" ")-1),",","."))-1)/MID(SUBSTITUTE(LEFT(TRIM(C12),FIND(" ",TRIM(C12)&amp;" ")-1),",","."),FIND("/",SUBSTITUTE(LEFT(TRIM(C12),FIND(" ",TRIM(C12)&amp;" ")-1),",","."))+1,9)),IF(ISNUMBER(SEARCH("yea",C12)),IFERROR(_xlfn.NUMBERVALUE(SUBSTITUTE(LEFT(TRIM(C12),FIND(" ",TRIM(C12)&amp;" ")-1),",","."),"."),LEFT(SUBSTITUTE(LEFT(TRIM(C12),FIND(" ",TRIM(C12)&amp;" ")-1),",","."),FIND("/",SUBSTITUTE(LEFT(TRIM(C12),FIND(" ",TRIM(C12)&amp;" ")-1),",","."))-1)/MID(SUBSTITUTE(LEFT(TRIM(C12),FIND(" ",TRIM(C12)&amp;" ")-1),",","."),FIND("/",SUBSTITUTE(LEFT(TRIM(C12),FIND(" ",TRIM(C12)&amp;" ")-1),",","."))+1,9))*12,NA()))),0),36)*'Aturan &amp; Tarif'!$B$4,2)</f>
        <v>2044.08</v>
      </c>
      <c r="K12" s="32" t="n">
        <f aca="false">'Aturan &amp; Tarif'!$B$5</f>
        <v>2050</v>
      </c>
      <c r="L12" s="32" t="n">
        <f aca="false">'Aturan &amp; Tarif'!$B$6</f>
        <v>350</v>
      </c>
      <c r="M12" s="35" t="n">
        <f aca="false">I12+J12+K12+L12</f>
        <v>14684.08</v>
      </c>
      <c r="N12" s="36" t="s">
        <v>635</v>
      </c>
    </row>
    <row r="13" customFormat="false" ht="25.5" hidden="false" customHeight="true" outlineLevel="0" collapsed="false">
      <c r="A13" s="29"/>
      <c r="B13" s="30" t="s">
        <v>640</v>
      </c>
      <c r="C13" s="31" t="s">
        <v>107</v>
      </c>
      <c r="D13" s="31" t="s">
        <v>108</v>
      </c>
      <c r="E13" s="32" t="n">
        <v>4050</v>
      </c>
      <c r="F13" s="32"/>
      <c r="G13" s="32" t="n">
        <v>250</v>
      </c>
      <c r="H13" s="33" t="n">
        <v>2</v>
      </c>
      <c r="I13" s="34" t="n">
        <f aca="false">E13*H13+N(F13)+N(G13)</f>
        <v>8350</v>
      </c>
      <c r="J13" s="32" t="n">
        <f aca="false">ROUND(IFERROR(ROUND(IF(OR(ISNUMBER(SEARCH("week",C13)),ISNUMBER(SEARCH("minggu",C13))),IFERROR(_xlfn.NUMBERVALUE(SUBSTITUTE(LEFT(TRIM(C13),FIND(" ",TRIM(C13)&amp;" ")-1),",","."),"."),LEFT(SUBSTITUTE(LEFT(TRIM(C13),FIND(" ",TRIM(C13)&amp;" ")-1),",","."),FIND("/",SUBSTITUTE(LEFT(TRIM(C13),FIND(" ",TRIM(C13)&amp;" ")-1),",","."))-1)/MID(SUBSTITUTE(LEFT(TRIM(C13),FIND(" ",TRIM(C13)&amp;" ")-1),",","."),FIND("/",SUBSTITUTE(LEFT(TRIM(C13),FIND(" ",TRIM(C13)&amp;" ")-1),",","."))+1,9))*12/52,IF(ISNUMBER(SEARCH("month",C13)),IFERROR(_xlfn.NUMBERVALUE(SUBSTITUTE(LEFT(TRIM(C13),FIND(" ",TRIM(C13)&amp;" ")-1),",","."),"."),LEFT(SUBSTITUTE(LEFT(TRIM(C13),FIND(" ",TRIM(C13)&amp;" ")-1),",","."),FIND("/",SUBSTITUTE(LEFT(TRIM(C13),FIND(" ",TRIM(C13)&amp;" ")-1),",","."))-1)/MID(SUBSTITUTE(LEFT(TRIM(C13),FIND(" ",TRIM(C13)&amp;" ")-1),",","."),FIND("/",SUBSTITUTE(LEFT(TRIM(C13),FIND(" ",TRIM(C13)&amp;" ")-1),",","."))+1,9)),IF(ISNUMBER(SEARCH("yea",C13)),IFERROR(_xlfn.NUMBERVALUE(SUBSTITUTE(LEFT(TRIM(C13),FIND(" ",TRIM(C13)&amp;" ")-1),",","."),"."),LEFT(SUBSTITUTE(LEFT(TRIM(C13),FIND(" ",TRIM(C13)&amp;" ")-1),",","."),FIND("/",SUBSTITUTE(LEFT(TRIM(C13),FIND(" ",TRIM(C13)&amp;" ")-1),",","."))-1)/MID(SUBSTITUTE(LEFT(TRIM(C13),FIND(" ",TRIM(C13)&amp;" ")-1),",","."),FIND("/",SUBSTITUTE(LEFT(TRIM(C13),FIND(" ",TRIM(C13)&amp;" ")-1),",","."))+1,9))*12,NA()))),0),24)*'Aturan &amp; Tarif'!$B$4,2)</f>
        <v>1362.72</v>
      </c>
      <c r="K13" s="32" t="n">
        <f aca="false">'Aturan &amp; Tarif'!$B$5</f>
        <v>2050</v>
      </c>
      <c r="L13" s="32" t="n">
        <f aca="false">'Aturan &amp; Tarif'!$B$6</f>
        <v>350</v>
      </c>
      <c r="M13" s="35" t="n">
        <f aca="false">I13+J13+K13+L13</f>
        <v>12112.72</v>
      </c>
      <c r="N13" s="37" t="s">
        <v>641</v>
      </c>
    </row>
    <row r="14" customFormat="false" ht="37.5" hidden="false" customHeight="true" outlineLevel="0" collapsed="false">
      <c r="A14" s="29"/>
      <c r="B14" s="30" t="s">
        <v>642</v>
      </c>
      <c r="C14" s="31" t="s">
        <v>107</v>
      </c>
      <c r="D14" s="31" t="s">
        <v>108</v>
      </c>
      <c r="E14" s="32" t="n">
        <v>4050</v>
      </c>
      <c r="F14" s="32"/>
      <c r="G14" s="32" t="n">
        <v>250</v>
      </c>
      <c r="H14" s="33" t="n">
        <v>2</v>
      </c>
      <c r="I14" s="34" t="n">
        <f aca="false">E14*H14+N(F14)+N(G14)</f>
        <v>8350</v>
      </c>
      <c r="J14" s="32" t="n">
        <f aca="false">ROUND(IFERROR(ROUND(IF(OR(ISNUMBER(SEARCH("week",C14)),ISNUMBER(SEARCH("minggu",C14))),IFERROR(_xlfn.NUMBERVALUE(SUBSTITUTE(LEFT(TRIM(C14),FIND(" ",TRIM(C14)&amp;" ")-1),",","."),"."),LEFT(SUBSTITUTE(LEFT(TRIM(C14),FIND(" ",TRIM(C14)&amp;" ")-1),",","."),FIND("/",SUBSTITUTE(LEFT(TRIM(C14),FIND(" ",TRIM(C14)&amp;" ")-1),",","."))-1)/MID(SUBSTITUTE(LEFT(TRIM(C14),FIND(" ",TRIM(C14)&amp;" ")-1),",","."),FIND("/",SUBSTITUTE(LEFT(TRIM(C14),FIND(" ",TRIM(C14)&amp;" ")-1),",","."))+1,9))*12/52,IF(ISNUMBER(SEARCH("month",C14)),IFERROR(_xlfn.NUMBERVALUE(SUBSTITUTE(LEFT(TRIM(C14),FIND(" ",TRIM(C14)&amp;" ")-1),",","."),"."),LEFT(SUBSTITUTE(LEFT(TRIM(C14),FIND(" ",TRIM(C14)&amp;" ")-1),",","."),FIND("/",SUBSTITUTE(LEFT(TRIM(C14),FIND(" ",TRIM(C14)&amp;" ")-1),",","."))-1)/MID(SUBSTITUTE(LEFT(TRIM(C14),FIND(" ",TRIM(C14)&amp;" ")-1),",","."),FIND("/",SUBSTITUTE(LEFT(TRIM(C14),FIND(" ",TRIM(C14)&amp;" ")-1),",","."))+1,9)),IF(ISNUMBER(SEARCH("yea",C14)),IFERROR(_xlfn.NUMBERVALUE(SUBSTITUTE(LEFT(TRIM(C14),FIND(" ",TRIM(C14)&amp;" ")-1),",","."),"."),LEFT(SUBSTITUTE(LEFT(TRIM(C14),FIND(" ",TRIM(C14)&amp;" ")-1),",","."),FIND("/",SUBSTITUTE(LEFT(TRIM(C14),FIND(" ",TRIM(C14)&amp;" ")-1),",","."))-1)/MID(SUBSTITUTE(LEFT(TRIM(C14),FIND(" ",TRIM(C14)&amp;" ")-1),",","."),FIND("/",SUBSTITUTE(LEFT(TRIM(C14),FIND(" ",TRIM(C14)&amp;" ")-1),",","."))+1,9))*12,NA()))),0),24)*'Aturan &amp; Tarif'!$B$4,2)</f>
        <v>1362.72</v>
      </c>
      <c r="K14" s="32" t="n">
        <f aca="false">'Aturan &amp; Tarif'!$B$5</f>
        <v>2050</v>
      </c>
      <c r="L14" s="32" t="n">
        <f aca="false">'Aturan &amp; Tarif'!$B$6</f>
        <v>350</v>
      </c>
      <c r="M14" s="35" t="n">
        <f aca="false">I14+J14+K14+L14</f>
        <v>12112.72</v>
      </c>
      <c r="N14" s="37" t="s">
        <v>641</v>
      </c>
    </row>
    <row r="15" customFormat="false" ht="37.5" hidden="false" customHeight="true" outlineLevel="0" collapsed="false">
      <c r="A15" s="29"/>
      <c r="B15" s="30" t="s">
        <v>643</v>
      </c>
      <c r="C15" s="31" t="s">
        <v>107</v>
      </c>
      <c r="D15" s="31" t="s">
        <v>108</v>
      </c>
      <c r="E15" s="32" t="n">
        <v>4050</v>
      </c>
      <c r="F15" s="32"/>
      <c r="G15" s="32" t="n">
        <v>250</v>
      </c>
      <c r="H15" s="33" t="n">
        <v>2</v>
      </c>
      <c r="I15" s="34" t="n">
        <f aca="false">E15*H15+N(F15)+N(G15)</f>
        <v>8350</v>
      </c>
      <c r="J15" s="32" t="n">
        <f aca="false">ROUND(IFERROR(ROUND(IF(OR(ISNUMBER(SEARCH("week",C15)),ISNUMBER(SEARCH("minggu",C15))),IFERROR(_xlfn.NUMBERVALUE(SUBSTITUTE(LEFT(TRIM(C15),FIND(" ",TRIM(C15)&amp;" ")-1),",","."),"."),LEFT(SUBSTITUTE(LEFT(TRIM(C15),FIND(" ",TRIM(C15)&amp;" ")-1),",","."),FIND("/",SUBSTITUTE(LEFT(TRIM(C15),FIND(" ",TRIM(C15)&amp;" ")-1),",","."))-1)/MID(SUBSTITUTE(LEFT(TRIM(C15),FIND(" ",TRIM(C15)&amp;" ")-1),",","."),FIND("/",SUBSTITUTE(LEFT(TRIM(C15),FIND(" ",TRIM(C15)&amp;" ")-1),",","."))+1,9))*12/52,IF(ISNUMBER(SEARCH("month",C15)),IFERROR(_xlfn.NUMBERVALUE(SUBSTITUTE(LEFT(TRIM(C15),FIND(" ",TRIM(C15)&amp;" ")-1),",","."),"."),LEFT(SUBSTITUTE(LEFT(TRIM(C15),FIND(" ",TRIM(C15)&amp;" ")-1),",","."),FIND("/",SUBSTITUTE(LEFT(TRIM(C15),FIND(" ",TRIM(C15)&amp;" ")-1),",","."))-1)/MID(SUBSTITUTE(LEFT(TRIM(C15),FIND(" ",TRIM(C15)&amp;" ")-1),",","."),FIND("/",SUBSTITUTE(LEFT(TRIM(C15),FIND(" ",TRIM(C15)&amp;" ")-1),",","."))+1,9)),IF(ISNUMBER(SEARCH("yea",C15)),IFERROR(_xlfn.NUMBERVALUE(SUBSTITUTE(LEFT(TRIM(C15),FIND(" ",TRIM(C15)&amp;" ")-1),",","."),"."),LEFT(SUBSTITUTE(LEFT(TRIM(C15),FIND(" ",TRIM(C15)&amp;" ")-1),",","."),FIND("/",SUBSTITUTE(LEFT(TRIM(C15),FIND(" ",TRIM(C15)&amp;" ")-1),",","."))-1)/MID(SUBSTITUTE(LEFT(TRIM(C15),FIND(" ",TRIM(C15)&amp;" ")-1),",","."),FIND("/",SUBSTITUTE(LEFT(TRIM(C15),FIND(" ",TRIM(C15)&amp;" ")-1),",","."))+1,9))*12,NA()))),0),24)*'Aturan &amp; Tarif'!$B$4,2)</f>
        <v>1362.72</v>
      </c>
      <c r="K15" s="32" t="n">
        <f aca="false">'Aturan &amp; Tarif'!$B$5</f>
        <v>2050</v>
      </c>
      <c r="L15" s="32" t="n">
        <f aca="false">'Aturan &amp; Tarif'!$B$6</f>
        <v>350</v>
      </c>
      <c r="M15" s="35" t="n">
        <f aca="false">I15+J15+K15+L15</f>
        <v>12112.72</v>
      </c>
      <c r="N15" s="37" t="s">
        <v>641</v>
      </c>
    </row>
    <row r="16" customFormat="false" ht="37.5" hidden="false" customHeight="true" outlineLevel="0" collapsed="false">
      <c r="A16" s="29"/>
      <c r="B16" s="30" t="s">
        <v>644</v>
      </c>
      <c r="C16" s="31" t="s">
        <v>107</v>
      </c>
      <c r="D16" s="31" t="s">
        <v>108</v>
      </c>
      <c r="E16" s="32" t="n">
        <v>4050</v>
      </c>
      <c r="F16" s="32"/>
      <c r="G16" s="32" t="n">
        <v>250</v>
      </c>
      <c r="H16" s="33" t="n">
        <v>2</v>
      </c>
      <c r="I16" s="34" t="n">
        <f aca="false">E16*H16+N(F16)+N(G16)</f>
        <v>8350</v>
      </c>
      <c r="J16" s="32" t="n">
        <f aca="false">ROUND(IFERROR(ROUND(IF(OR(ISNUMBER(SEARCH("week",C16)),ISNUMBER(SEARCH("minggu",C16))),IFERROR(_xlfn.NUMBERVALUE(SUBSTITUTE(LEFT(TRIM(C16),FIND(" ",TRIM(C16)&amp;" ")-1),",","."),"."),LEFT(SUBSTITUTE(LEFT(TRIM(C16),FIND(" ",TRIM(C16)&amp;" ")-1),",","."),FIND("/",SUBSTITUTE(LEFT(TRIM(C16),FIND(" ",TRIM(C16)&amp;" ")-1),",","."))-1)/MID(SUBSTITUTE(LEFT(TRIM(C16),FIND(" ",TRIM(C16)&amp;" ")-1),",","."),FIND("/",SUBSTITUTE(LEFT(TRIM(C16),FIND(" ",TRIM(C16)&amp;" ")-1),",","."))+1,9))*12/52,IF(ISNUMBER(SEARCH("month",C16)),IFERROR(_xlfn.NUMBERVALUE(SUBSTITUTE(LEFT(TRIM(C16),FIND(" ",TRIM(C16)&amp;" ")-1),",","."),"."),LEFT(SUBSTITUTE(LEFT(TRIM(C16),FIND(" ",TRIM(C16)&amp;" ")-1),",","."),FIND("/",SUBSTITUTE(LEFT(TRIM(C16),FIND(" ",TRIM(C16)&amp;" ")-1),",","."))-1)/MID(SUBSTITUTE(LEFT(TRIM(C16),FIND(" ",TRIM(C16)&amp;" ")-1),",","."),FIND("/",SUBSTITUTE(LEFT(TRIM(C16),FIND(" ",TRIM(C16)&amp;" ")-1),",","."))+1,9)),IF(ISNUMBER(SEARCH("yea",C16)),IFERROR(_xlfn.NUMBERVALUE(SUBSTITUTE(LEFT(TRIM(C16),FIND(" ",TRIM(C16)&amp;" ")-1),",","."),"."),LEFT(SUBSTITUTE(LEFT(TRIM(C16),FIND(" ",TRIM(C16)&amp;" ")-1),",","."),FIND("/",SUBSTITUTE(LEFT(TRIM(C16),FIND(" ",TRIM(C16)&amp;" ")-1),",","."))-1)/MID(SUBSTITUTE(LEFT(TRIM(C16),FIND(" ",TRIM(C16)&amp;" ")-1),",","."),FIND("/",SUBSTITUTE(LEFT(TRIM(C16),FIND(" ",TRIM(C16)&amp;" ")-1),",","."))+1,9))*12,NA()))),0),24)*'Aturan &amp; Tarif'!$B$4,2)</f>
        <v>1362.72</v>
      </c>
      <c r="K16" s="32" t="n">
        <f aca="false">'Aturan &amp; Tarif'!$B$5</f>
        <v>2050</v>
      </c>
      <c r="L16" s="32" t="n">
        <f aca="false">'Aturan &amp; Tarif'!$B$6</f>
        <v>350</v>
      </c>
      <c r="M16" s="35" t="n">
        <f aca="false">I16+J16+K16+L16</f>
        <v>12112.72</v>
      </c>
      <c r="N16" s="37" t="s">
        <v>641</v>
      </c>
    </row>
    <row r="17" customFormat="false" ht="37.5" hidden="false" customHeight="true" outlineLevel="0" collapsed="false">
      <c r="A17" s="29"/>
      <c r="B17" s="30" t="s">
        <v>645</v>
      </c>
      <c r="C17" s="31" t="s">
        <v>107</v>
      </c>
      <c r="D17" s="31" t="s">
        <v>108</v>
      </c>
      <c r="E17" s="32" t="n">
        <v>4050</v>
      </c>
      <c r="F17" s="32"/>
      <c r="G17" s="32" t="n">
        <v>250</v>
      </c>
      <c r="H17" s="33" t="n">
        <v>2</v>
      </c>
      <c r="I17" s="34" t="n">
        <f aca="false">E17*H17+N(F17)+N(G17)</f>
        <v>8350</v>
      </c>
      <c r="J17" s="32" t="n">
        <f aca="false">ROUND(IFERROR(ROUND(IF(OR(ISNUMBER(SEARCH("week",C17)),ISNUMBER(SEARCH("minggu",C17))),IFERROR(_xlfn.NUMBERVALUE(SUBSTITUTE(LEFT(TRIM(C17),FIND(" ",TRIM(C17)&amp;" ")-1),",","."),"."),LEFT(SUBSTITUTE(LEFT(TRIM(C17),FIND(" ",TRIM(C17)&amp;" ")-1),",","."),FIND("/",SUBSTITUTE(LEFT(TRIM(C17),FIND(" ",TRIM(C17)&amp;" ")-1),",","."))-1)/MID(SUBSTITUTE(LEFT(TRIM(C17),FIND(" ",TRIM(C17)&amp;" ")-1),",","."),FIND("/",SUBSTITUTE(LEFT(TRIM(C17),FIND(" ",TRIM(C17)&amp;" ")-1),",","."))+1,9))*12/52,IF(ISNUMBER(SEARCH("month",C17)),IFERROR(_xlfn.NUMBERVALUE(SUBSTITUTE(LEFT(TRIM(C17),FIND(" ",TRIM(C17)&amp;" ")-1),",","."),"."),LEFT(SUBSTITUTE(LEFT(TRIM(C17),FIND(" ",TRIM(C17)&amp;" ")-1),",","."),FIND("/",SUBSTITUTE(LEFT(TRIM(C17),FIND(" ",TRIM(C17)&amp;" ")-1),",","."))-1)/MID(SUBSTITUTE(LEFT(TRIM(C17),FIND(" ",TRIM(C17)&amp;" ")-1),",","."),FIND("/",SUBSTITUTE(LEFT(TRIM(C17),FIND(" ",TRIM(C17)&amp;" ")-1),",","."))+1,9)),IF(ISNUMBER(SEARCH("yea",C17)),IFERROR(_xlfn.NUMBERVALUE(SUBSTITUTE(LEFT(TRIM(C17),FIND(" ",TRIM(C17)&amp;" ")-1),",","."),"."),LEFT(SUBSTITUTE(LEFT(TRIM(C17),FIND(" ",TRIM(C17)&amp;" ")-1),",","."),FIND("/",SUBSTITUTE(LEFT(TRIM(C17),FIND(" ",TRIM(C17)&amp;" ")-1),",","."))-1)/MID(SUBSTITUTE(LEFT(TRIM(C17),FIND(" ",TRIM(C17)&amp;" ")-1),",","."),FIND("/",SUBSTITUTE(LEFT(TRIM(C17),FIND(" ",TRIM(C17)&amp;" ")-1),",","."))+1,9))*12,NA()))),0),24)*'Aturan &amp; Tarif'!$B$4,2)</f>
        <v>1362.72</v>
      </c>
      <c r="K17" s="32" t="n">
        <f aca="false">'Aturan &amp; Tarif'!$B$5</f>
        <v>2050</v>
      </c>
      <c r="L17" s="32" t="n">
        <f aca="false">'Aturan &amp; Tarif'!$B$6</f>
        <v>350</v>
      </c>
      <c r="M17" s="35" t="n">
        <f aca="false">I17+J17+K17+L17</f>
        <v>12112.72</v>
      </c>
      <c r="N17" s="37" t="s">
        <v>641</v>
      </c>
    </row>
    <row r="18" customFormat="false" ht="14.25" hidden="false" customHeight="true" outlineLevel="0" collapsed="false">
      <c r="A18" s="29"/>
      <c r="B18" s="30" t="s">
        <v>646</v>
      </c>
      <c r="C18" s="31" t="s">
        <v>130</v>
      </c>
      <c r="D18" s="31" t="s">
        <v>108</v>
      </c>
      <c r="E18" s="32" t="n">
        <v>4050</v>
      </c>
      <c r="F18" s="32"/>
      <c r="G18" s="32" t="n">
        <v>250</v>
      </c>
      <c r="H18" s="33" t="n">
        <v>2</v>
      </c>
      <c r="I18" s="34" t="n">
        <f aca="false">E18*H18+N(F18)+N(G18)</f>
        <v>8350</v>
      </c>
      <c r="J18" s="32" t="n">
        <f aca="false">ROUND(IFERROR(ROUND(IF(OR(ISNUMBER(SEARCH("week",C18)),ISNUMBER(SEARCH("minggu",C18))),IFERROR(_xlfn.NUMBERVALUE(SUBSTITUTE(LEFT(TRIM(C18),FIND(" ",TRIM(C18)&amp;" ")-1),",","."),"."),LEFT(SUBSTITUTE(LEFT(TRIM(C18),FIND(" ",TRIM(C18)&amp;" ")-1),",","."),FIND("/",SUBSTITUTE(LEFT(TRIM(C18),FIND(" ",TRIM(C18)&amp;" ")-1),",","."))-1)/MID(SUBSTITUTE(LEFT(TRIM(C18),FIND(" ",TRIM(C18)&amp;" ")-1),",","."),FIND("/",SUBSTITUTE(LEFT(TRIM(C18),FIND(" ",TRIM(C18)&amp;" ")-1),",","."))+1,9))*12/52,IF(ISNUMBER(SEARCH("month",C18)),IFERROR(_xlfn.NUMBERVALUE(SUBSTITUTE(LEFT(TRIM(C18),FIND(" ",TRIM(C18)&amp;" ")-1),",","."),"."),LEFT(SUBSTITUTE(LEFT(TRIM(C18),FIND(" ",TRIM(C18)&amp;" ")-1),",","."),FIND("/",SUBSTITUTE(LEFT(TRIM(C18),FIND(" ",TRIM(C18)&amp;" ")-1),",","."))-1)/MID(SUBSTITUTE(LEFT(TRIM(C18),FIND(" ",TRIM(C18)&amp;" ")-1),",","."),FIND("/",SUBSTITUTE(LEFT(TRIM(C18),FIND(" ",TRIM(C18)&amp;" ")-1),",","."))+1,9)),IF(ISNUMBER(SEARCH("yea",C18)),IFERROR(_xlfn.NUMBERVALUE(SUBSTITUTE(LEFT(TRIM(C18),FIND(" ",TRIM(C18)&amp;" ")-1),",","."),"."),LEFT(SUBSTITUTE(LEFT(TRIM(C18),FIND(" ",TRIM(C18)&amp;" ")-1),",","."),FIND("/",SUBSTITUTE(LEFT(TRIM(C18),FIND(" ",TRIM(C18)&amp;" ")-1),",","."))-1)/MID(SUBSTITUTE(LEFT(TRIM(C18),FIND(" ",TRIM(C18)&amp;" ")-1),",","."),FIND("/",SUBSTITUTE(LEFT(TRIM(C18),FIND(" ",TRIM(C18)&amp;" ")-1),",","."))+1,9))*12,NA()))),0),12)*'Aturan &amp; Tarif'!$B$4,2)</f>
        <v>681.36</v>
      </c>
      <c r="K18" s="32" t="n">
        <f aca="false">'Aturan &amp; Tarif'!$B$5</f>
        <v>2050</v>
      </c>
      <c r="L18" s="32" t="n">
        <f aca="false">'Aturan &amp; Tarif'!$B$6</f>
        <v>350</v>
      </c>
      <c r="M18" s="35" t="n">
        <f aca="false">I18+J18+K18+L18</f>
        <v>11431.36</v>
      </c>
      <c r="N18" s="37" t="s">
        <v>641</v>
      </c>
    </row>
    <row r="19" customFormat="false" ht="14.25" hidden="false" customHeight="true" outlineLevel="0" collapsed="false">
      <c r="A19" s="29"/>
      <c r="B19" s="30" t="s">
        <v>647</v>
      </c>
      <c r="C19" s="31" t="s">
        <v>648</v>
      </c>
      <c r="D19" s="31" t="s">
        <v>108</v>
      </c>
      <c r="E19" s="32" t="n">
        <v>2700</v>
      </c>
      <c r="F19" s="32"/>
      <c r="G19" s="32" t="n">
        <v>250</v>
      </c>
      <c r="H19" s="33" t="n">
        <v>2</v>
      </c>
      <c r="I19" s="34" t="n">
        <f aca="false">E19*H19+N(F19)+N(G19)</f>
        <v>5650</v>
      </c>
      <c r="J19" s="32" t="n">
        <f aca="false">ROUND(IFERROR(ROUND(IF(OR(ISNUMBER(SEARCH("week",C19)),ISNUMBER(SEARCH("minggu",C19))),IFERROR(_xlfn.NUMBERVALUE(SUBSTITUTE(LEFT(TRIM(C19),FIND(" ",TRIM(C19)&amp;" ")-1),",","."),"."),LEFT(SUBSTITUTE(LEFT(TRIM(C19),FIND(" ",TRIM(C19)&amp;" ")-1),",","."),FIND("/",SUBSTITUTE(LEFT(TRIM(C19),FIND(" ",TRIM(C19)&amp;" ")-1),",","."))-1)/MID(SUBSTITUTE(LEFT(TRIM(C19),FIND(" ",TRIM(C19)&amp;" ")-1),",","."),FIND("/",SUBSTITUTE(LEFT(TRIM(C19),FIND(" ",TRIM(C19)&amp;" ")-1),",","."))+1,9))*12/52,IF(ISNUMBER(SEARCH("month",C19)),IFERROR(_xlfn.NUMBERVALUE(SUBSTITUTE(LEFT(TRIM(C19),FIND(" ",TRIM(C19)&amp;" ")-1),",","."),"."),LEFT(SUBSTITUTE(LEFT(TRIM(C19),FIND(" ",TRIM(C19)&amp;" ")-1),",","."),FIND("/",SUBSTITUTE(LEFT(TRIM(C19),FIND(" ",TRIM(C19)&amp;" ")-1),",","."))-1)/MID(SUBSTITUTE(LEFT(TRIM(C19),FIND(" ",TRIM(C19)&amp;" ")-1),",","."),FIND("/",SUBSTITUTE(LEFT(TRIM(C19),FIND(" ",TRIM(C19)&amp;" ")-1),",","."))+1,9)),IF(ISNUMBER(SEARCH("yea",C19)),IFERROR(_xlfn.NUMBERVALUE(SUBSTITUTE(LEFT(TRIM(C19),FIND(" ",TRIM(C19)&amp;" ")-1),",","."),"."),LEFT(SUBSTITUTE(LEFT(TRIM(C19),FIND(" ",TRIM(C19)&amp;" ")-1),",","."),FIND("/",SUBSTITUTE(LEFT(TRIM(C19),FIND(" ",TRIM(C19)&amp;" ")-1),",","."))-1)/MID(SUBSTITUTE(LEFT(TRIM(C19),FIND(" ",TRIM(C19)&amp;" ")-1),",","."),FIND("/",SUBSTITUTE(LEFT(TRIM(C19),FIND(" ",TRIM(C19)&amp;" ")-1),",","."))+1,9))*12,NA()))),0),8)*'Aturan &amp; Tarif'!$B$4,2)</f>
        <v>454.24</v>
      </c>
      <c r="K19" s="32" t="n">
        <f aca="false">'Aturan &amp; Tarif'!$B$5</f>
        <v>2050</v>
      </c>
      <c r="L19" s="32" t="n">
        <f aca="false">'Aturan &amp; Tarif'!$B$6</f>
        <v>350</v>
      </c>
      <c r="M19" s="35" t="n">
        <f aca="false">I19+J19+K19+L19</f>
        <v>8504.24</v>
      </c>
      <c r="N19" s="37" t="s">
        <v>641</v>
      </c>
    </row>
    <row r="20" customFormat="false" ht="25.5" hidden="false" customHeight="true" outlineLevel="0" collapsed="false">
      <c r="A20" s="29"/>
      <c r="B20" s="30" t="s">
        <v>649</v>
      </c>
      <c r="C20" s="31" t="s">
        <v>130</v>
      </c>
      <c r="D20" s="31" t="s">
        <v>108</v>
      </c>
      <c r="E20" s="32" t="n">
        <v>4050</v>
      </c>
      <c r="F20" s="32"/>
      <c r="G20" s="32" t="n">
        <v>250</v>
      </c>
      <c r="H20" s="33" t="n">
        <v>2</v>
      </c>
      <c r="I20" s="34" t="n">
        <f aca="false">E20*H20+N(F20)+N(G20)</f>
        <v>8350</v>
      </c>
      <c r="J20" s="32" t="n">
        <f aca="false">ROUND(IFERROR(ROUND(IF(OR(ISNUMBER(SEARCH("week",C20)),ISNUMBER(SEARCH("minggu",C20))),IFERROR(_xlfn.NUMBERVALUE(SUBSTITUTE(LEFT(TRIM(C20),FIND(" ",TRIM(C20)&amp;" ")-1),",","."),"."),LEFT(SUBSTITUTE(LEFT(TRIM(C20),FIND(" ",TRIM(C20)&amp;" ")-1),",","."),FIND("/",SUBSTITUTE(LEFT(TRIM(C20),FIND(" ",TRIM(C20)&amp;" ")-1),",","."))-1)/MID(SUBSTITUTE(LEFT(TRIM(C20),FIND(" ",TRIM(C20)&amp;" ")-1),",","."),FIND("/",SUBSTITUTE(LEFT(TRIM(C20),FIND(" ",TRIM(C20)&amp;" ")-1),",","."))+1,9))*12/52,IF(ISNUMBER(SEARCH("month",C20)),IFERROR(_xlfn.NUMBERVALUE(SUBSTITUTE(LEFT(TRIM(C20),FIND(" ",TRIM(C20)&amp;" ")-1),",","."),"."),LEFT(SUBSTITUTE(LEFT(TRIM(C20),FIND(" ",TRIM(C20)&amp;" ")-1),",","."),FIND("/",SUBSTITUTE(LEFT(TRIM(C20),FIND(" ",TRIM(C20)&amp;" ")-1),",","."))-1)/MID(SUBSTITUTE(LEFT(TRIM(C20),FIND(" ",TRIM(C20)&amp;" ")-1),",","."),FIND("/",SUBSTITUTE(LEFT(TRIM(C20),FIND(" ",TRIM(C20)&amp;" ")-1),",","."))+1,9)),IF(ISNUMBER(SEARCH("yea",C20)),IFERROR(_xlfn.NUMBERVALUE(SUBSTITUTE(LEFT(TRIM(C20),FIND(" ",TRIM(C20)&amp;" ")-1),",","."),"."),LEFT(SUBSTITUTE(LEFT(TRIM(C20),FIND(" ",TRIM(C20)&amp;" ")-1),",","."),FIND("/",SUBSTITUTE(LEFT(TRIM(C20),FIND(" ",TRIM(C20)&amp;" ")-1),",","."))-1)/MID(SUBSTITUTE(LEFT(TRIM(C20),FIND(" ",TRIM(C20)&amp;" ")-1),",","."),FIND("/",SUBSTITUTE(LEFT(TRIM(C20),FIND(" ",TRIM(C20)&amp;" ")-1),",","."))+1,9))*12,NA()))),0),12)*'Aturan &amp; Tarif'!$B$4,2)</f>
        <v>681.36</v>
      </c>
      <c r="K20" s="32" t="n">
        <f aca="false">'Aturan &amp; Tarif'!$B$5</f>
        <v>2050</v>
      </c>
      <c r="L20" s="32" t="n">
        <f aca="false">'Aturan &amp; Tarif'!$B$6</f>
        <v>350</v>
      </c>
      <c r="M20" s="35" t="n">
        <f aca="false">I20+J20+K20+L20</f>
        <v>11431.36</v>
      </c>
      <c r="N20" s="37" t="s">
        <v>641</v>
      </c>
    </row>
    <row r="21" customFormat="false" ht="25.5" hidden="false" customHeight="true" outlineLevel="0" collapsed="false">
      <c r="A21" s="29"/>
      <c r="B21" s="30" t="s">
        <v>650</v>
      </c>
      <c r="C21" s="31" t="s">
        <v>648</v>
      </c>
      <c r="D21" s="31" t="s">
        <v>108</v>
      </c>
      <c r="E21" s="32" t="n">
        <v>2700</v>
      </c>
      <c r="F21" s="32"/>
      <c r="G21" s="32" t="n">
        <v>250</v>
      </c>
      <c r="H21" s="33" t="n">
        <v>2</v>
      </c>
      <c r="I21" s="34" t="n">
        <f aca="false">E21*H21+N(F21)+N(G21)</f>
        <v>5650</v>
      </c>
      <c r="J21" s="32" t="n">
        <f aca="false">ROUND(IFERROR(ROUND(IF(OR(ISNUMBER(SEARCH("week",C21)),ISNUMBER(SEARCH("minggu",C21))),IFERROR(_xlfn.NUMBERVALUE(SUBSTITUTE(LEFT(TRIM(C21),FIND(" ",TRIM(C21)&amp;" ")-1),",","."),"."),LEFT(SUBSTITUTE(LEFT(TRIM(C21),FIND(" ",TRIM(C21)&amp;" ")-1),",","."),FIND("/",SUBSTITUTE(LEFT(TRIM(C21),FIND(" ",TRIM(C21)&amp;" ")-1),",","."))-1)/MID(SUBSTITUTE(LEFT(TRIM(C21),FIND(" ",TRIM(C21)&amp;" ")-1),",","."),FIND("/",SUBSTITUTE(LEFT(TRIM(C21),FIND(" ",TRIM(C21)&amp;" ")-1),",","."))+1,9))*12/52,IF(ISNUMBER(SEARCH("month",C21)),IFERROR(_xlfn.NUMBERVALUE(SUBSTITUTE(LEFT(TRIM(C21),FIND(" ",TRIM(C21)&amp;" ")-1),",","."),"."),LEFT(SUBSTITUTE(LEFT(TRIM(C21),FIND(" ",TRIM(C21)&amp;" ")-1),",","."),FIND("/",SUBSTITUTE(LEFT(TRIM(C21),FIND(" ",TRIM(C21)&amp;" ")-1),",","."))-1)/MID(SUBSTITUTE(LEFT(TRIM(C21),FIND(" ",TRIM(C21)&amp;" ")-1),",","."),FIND("/",SUBSTITUTE(LEFT(TRIM(C21),FIND(" ",TRIM(C21)&amp;" ")-1),",","."))+1,9)),IF(ISNUMBER(SEARCH("yea",C21)),IFERROR(_xlfn.NUMBERVALUE(SUBSTITUTE(LEFT(TRIM(C21),FIND(" ",TRIM(C21)&amp;" ")-1),",","."),"."),LEFT(SUBSTITUTE(LEFT(TRIM(C21),FIND(" ",TRIM(C21)&amp;" ")-1),",","."),FIND("/",SUBSTITUTE(LEFT(TRIM(C21),FIND(" ",TRIM(C21)&amp;" ")-1),",","."))-1)/MID(SUBSTITUTE(LEFT(TRIM(C21),FIND(" ",TRIM(C21)&amp;" ")-1),",","."),FIND("/",SUBSTITUTE(LEFT(TRIM(C21),FIND(" ",TRIM(C21)&amp;" ")-1),",","."))+1,9))*12,NA()))),0),8)*'Aturan &amp; Tarif'!$B$4,2)</f>
        <v>454.24</v>
      </c>
      <c r="K21" s="32" t="n">
        <f aca="false">'Aturan &amp; Tarif'!$B$5</f>
        <v>2050</v>
      </c>
      <c r="L21" s="32" t="n">
        <f aca="false">'Aturan &amp; Tarif'!$B$6</f>
        <v>350</v>
      </c>
      <c r="M21" s="35" t="n">
        <f aca="false">I21+J21+K21+L21</f>
        <v>8504.24</v>
      </c>
      <c r="N21" s="37" t="s">
        <v>641</v>
      </c>
    </row>
    <row r="22" customFormat="false" ht="48.75" hidden="false" customHeight="true" outlineLevel="0" collapsed="false">
      <c r="A22" s="39" t="s">
        <v>832</v>
      </c>
      <c r="B22" s="40" t="s">
        <v>833</v>
      </c>
      <c r="C22" s="41" t="s">
        <v>107</v>
      </c>
      <c r="D22" s="41" t="s">
        <v>108</v>
      </c>
      <c r="E22" s="42" t="n">
        <v>2000</v>
      </c>
      <c r="F22" s="42" t="n">
        <v>0</v>
      </c>
      <c r="G22" s="42" t="n">
        <v>300</v>
      </c>
      <c r="H22" s="43" t="n">
        <v>2</v>
      </c>
      <c r="I22" s="34" t="n">
        <f aca="false">E22*H22+N(F22)+N(G22)</f>
        <v>4300</v>
      </c>
      <c r="J22" s="42" t="n">
        <f aca="false">ROUND(IFERROR(ROUND(IF(OR(ISNUMBER(SEARCH("week",C22)),ISNUMBER(SEARCH("minggu",C22))),IFERROR(_xlfn.NUMBERVALUE(SUBSTITUTE(LEFT(TRIM(C22),FIND(" ",TRIM(C22)&amp;" ")-1),",","."),"."),LEFT(SUBSTITUTE(LEFT(TRIM(C22),FIND(" ",TRIM(C22)&amp;" ")-1),",","."),FIND("/",SUBSTITUTE(LEFT(TRIM(C22),FIND(" ",TRIM(C22)&amp;" ")-1),",","."))-1)/MID(SUBSTITUTE(LEFT(TRIM(C22),FIND(" ",TRIM(C22)&amp;" ")-1),",","."),FIND("/",SUBSTITUTE(LEFT(TRIM(C22),FIND(" ",TRIM(C22)&amp;" ")-1),",","."))+1,9))*12/52,IF(ISNUMBER(SEARCH("month",C22)),IFERROR(_xlfn.NUMBERVALUE(SUBSTITUTE(LEFT(TRIM(C22),FIND(" ",TRIM(C22)&amp;" ")-1),",","."),"."),LEFT(SUBSTITUTE(LEFT(TRIM(C22),FIND(" ",TRIM(C22)&amp;" ")-1),",","."),FIND("/",SUBSTITUTE(LEFT(TRIM(C22),FIND(" ",TRIM(C22)&amp;" ")-1),",","."))-1)/MID(SUBSTITUTE(LEFT(TRIM(C22),FIND(" ",TRIM(C22)&amp;" ")-1),",","."),FIND("/",SUBSTITUTE(LEFT(TRIM(C22),FIND(" ",TRIM(C22)&amp;" ")-1),",","."))+1,9)),IF(ISNUMBER(SEARCH("yea",C22)),IFERROR(_xlfn.NUMBERVALUE(SUBSTITUTE(LEFT(TRIM(C22),FIND(" ",TRIM(C22)&amp;" ")-1),",","."),"."),LEFT(SUBSTITUTE(LEFT(TRIM(C22),FIND(" ",TRIM(C22)&amp;" ")-1),",","."),FIND("/",SUBSTITUTE(LEFT(TRIM(C22),FIND(" ",TRIM(C22)&amp;" ")-1),",","."))-1)/MID(SUBSTITUTE(LEFT(TRIM(C22),FIND(" ",TRIM(C22)&amp;" ")-1),",","."),FIND("/",SUBSTITUTE(LEFT(TRIM(C22),FIND(" ",TRIM(C22)&amp;" ")-1),",","."))+1,9))*12,NA()))),0),24)*'Aturan &amp; Tarif'!$B$4,2)</f>
        <v>1362.72</v>
      </c>
      <c r="K22" s="42" t="n">
        <f aca="false">'Aturan &amp; Tarif'!$B$5</f>
        <v>2050</v>
      </c>
      <c r="L22" s="42" t="n">
        <f aca="false">'Aturan &amp; Tarif'!$B$6</f>
        <v>350</v>
      </c>
      <c r="M22" s="35" t="n">
        <f aca="false">I22+J22+K22+L22</f>
        <v>8062.72</v>
      </c>
      <c r="N22" s="45" t="s">
        <v>834</v>
      </c>
    </row>
    <row r="23" customFormat="false" ht="14.25" hidden="false" customHeight="true" outlineLevel="0" collapsed="false">
      <c r="A23" s="39"/>
      <c r="B23" s="40" t="s">
        <v>835</v>
      </c>
      <c r="C23" s="41" t="s">
        <v>107</v>
      </c>
      <c r="D23" s="41" t="s">
        <v>108</v>
      </c>
      <c r="E23" s="42" t="n">
        <v>2315</v>
      </c>
      <c r="F23" s="42" t="n">
        <v>1000</v>
      </c>
      <c r="G23" s="42" t="n">
        <v>300</v>
      </c>
      <c r="H23" s="43" t="n">
        <v>2</v>
      </c>
      <c r="I23" s="34" t="n">
        <f aca="false">E23*H23+N(F23)+N(G23)</f>
        <v>5930</v>
      </c>
      <c r="J23" s="42" t="n">
        <f aca="false">ROUND(IFERROR(ROUND(IF(OR(ISNUMBER(SEARCH("week",C23)),ISNUMBER(SEARCH("minggu",C23))),IFERROR(_xlfn.NUMBERVALUE(SUBSTITUTE(LEFT(TRIM(C23),FIND(" ",TRIM(C23)&amp;" ")-1),",","."),"."),LEFT(SUBSTITUTE(LEFT(TRIM(C23),FIND(" ",TRIM(C23)&amp;" ")-1),",","."),FIND("/",SUBSTITUTE(LEFT(TRIM(C23),FIND(" ",TRIM(C23)&amp;" ")-1),",","."))-1)/MID(SUBSTITUTE(LEFT(TRIM(C23),FIND(" ",TRIM(C23)&amp;" ")-1),",","."),FIND("/",SUBSTITUTE(LEFT(TRIM(C23),FIND(" ",TRIM(C23)&amp;" ")-1),",","."))+1,9))*12/52,IF(ISNUMBER(SEARCH("month",C23)),IFERROR(_xlfn.NUMBERVALUE(SUBSTITUTE(LEFT(TRIM(C23),FIND(" ",TRIM(C23)&amp;" ")-1),",","."),"."),LEFT(SUBSTITUTE(LEFT(TRIM(C23),FIND(" ",TRIM(C23)&amp;" ")-1),",","."),FIND("/",SUBSTITUTE(LEFT(TRIM(C23),FIND(" ",TRIM(C23)&amp;" ")-1),",","."))-1)/MID(SUBSTITUTE(LEFT(TRIM(C23),FIND(" ",TRIM(C23)&amp;" ")-1),",","."),FIND("/",SUBSTITUTE(LEFT(TRIM(C23),FIND(" ",TRIM(C23)&amp;" ")-1),",","."))+1,9)),IF(ISNUMBER(SEARCH("yea",C23)),IFERROR(_xlfn.NUMBERVALUE(SUBSTITUTE(LEFT(TRIM(C23),FIND(" ",TRIM(C23)&amp;" ")-1),",","."),"."),LEFT(SUBSTITUTE(LEFT(TRIM(C23),FIND(" ",TRIM(C23)&amp;" ")-1),",","."),FIND("/",SUBSTITUTE(LEFT(TRIM(C23),FIND(" ",TRIM(C23)&amp;" ")-1),",","."))-1)/MID(SUBSTITUTE(LEFT(TRIM(C23),FIND(" ",TRIM(C23)&amp;" ")-1),",","."),FIND("/",SUBSTITUTE(LEFT(TRIM(C23),FIND(" ",TRIM(C23)&amp;" ")-1),",","."))+1,9))*12,NA()))),0),24)*'Aturan &amp; Tarif'!$B$4,2)</f>
        <v>1362.72</v>
      </c>
      <c r="K23" s="42" t="n">
        <f aca="false">'Aturan &amp; Tarif'!$B$5</f>
        <v>2050</v>
      </c>
      <c r="L23" s="42" t="n">
        <f aca="false">'Aturan &amp; Tarif'!$B$6</f>
        <v>350</v>
      </c>
      <c r="M23" s="35" t="n">
        <f aca="false">I23+J23+K23+L23</f>
        <v>9692.72</v>
      </c>
      <c r="N23" s="45" t="s">
        <v>836</v>
      </c>
    </row>
    <row r="24" customFormat="false" ht="25.5" hidden="false" customHeight="true" outlineLevel="0" collapsed="false">
      <c r="A24" s="39"/>
      <c r="B24" s="40" t="s">
        <v>837</v>
      </c>
      <c r="C24" s="41" t="s">
        <v>107</v>
      </c>
      <c r="D24" s="41" t="s">
        <v>108</v>
      </c>
      <c r="E24" s="42" t="n">
        <v>2375</v>
      </c>
      <c r="F24" s="42" t="n">
        <v>500</v>
      </c>
      <c r="G24" s="42" t="n">
        <v>300</v>
      </c>
      <c r="H24" s="43" t="n">
        <v>2</v>
      </c>
      <c r="I24" s="34" t="n">
        <f aca="false">E24*H24+N(F24)+N(G24)</f>
        <v>5550</v>
      </c>
      <c r="J24" s="42" t="n">
        <f aca="false">ROUND(IFERROR(ROUND(IF(OR(ISNUMBER(SEARCH("week",C24)),ISNUMBER(SEARCH("minggu",C24))),IFERROR(_xlfn.NUMBERVALUE(SUBSTITUTE(LEFT(TRIM(C24),FIND(" ",TRIM(C24)&amp;" ")-1),",","."),"."),LEFT(SUBSTITUTE(LEFT(TRIM(C24),FIND(" ",TRIM(C24)&amp;" ")-1),",","."),FIND("/",SUBSTITUTE(LEFT(TRIM(C24),FIND(" ",TRIM(C24)&amp;" ")-1),",","."))-1)/MID(SUBSTITUTE(LEFT(TRIM(C24),FIND(" ",TRIM(C24)&amp;" ")-1),",","."),FIND("/",SUBSTITUTE(LEFT(TRIM(C24),FIND(" ",TRIM(C24)&amp;" ")-1),",","."))+1,9))*12/52,IF(ISNUMBER(SEARCH("month",C24)),IFERROR(_xlfn.NUMBERVALUE(SUBSTITUTE(LEFT(TRIM(C24),FIND(" ",TRIM(C24)&amp;" ")-1),",","."),"."),LEFT(SUBSTITUTE(LEFT(TRIM(C24),FIND(" ",TRIM(C24)&amp;" ")-1),",","."),FIND("/",SUBSTITUTE(LEFT(TRIM(C24),FIND(" ",TRIM(C24)&amp;" ")-1),",","."))-1)/MID(SUBSTITUTE(LEFT(TRIM(C24),FIND(" ",TRIM(C24)&amp;" ")-1),",","."),FIND("/",SUBSTITUTE(LEFT(TRIM(C24),FIND(" ",TRIM(C24)&amp;" ")-1),",","."))+1,9)),IF(ISNUMBER(SEARCH("yea",C24)),IFERROR(_xlfn.NUMBERVALUE(SUBSTITUTE(LEFT(TRIM(C24),FIND(" ",TRIM(C24)&amp;" ")-1),",","."),"."),LEFT(SUBSTITUTE(LEFT(TRIM(C24),FIND(" ",TRIM(C24)&amp;" ")-1),",","."),FIND("/",SUBSTITUTE(LEFT(TRIM(C24),FIND(" ",TRIM(C24)&amp;" ")-1),",","."))-1)/MID(SUBSTITUTE(LEFT(TRIM(C24),FIND(" ",TRIM(C24)&amp;" ")-1),",","."),FIND("/",SUBSTITUTE(LEFT(TRIM(C24),FIND(" ",TRIM(C24)&amp;" ")-1),",","."))+1,9))*12,NA()))),0),24)*'Aturan &amp; Tarif'!$B$4,2)</f>
        <v>1362.72</v>
      </c>
      <c r="K24" s="42" t="n">
        <f aca="false">'Aturan &amp; Tarif'!$B$5</f>
        <v>2050</v>
      </c>
      <c r="L24" s="42" t="n">
        <f aca="false">'Aturan &amp; Tarif'!$B$6</f>
        <v>350</v>
      </c>
      <c r="M24" s="35" t="n">
        <f aca="false">I24+J24+K24+L24</f>
        <v>9312.72</v>
      </c>
      <c r="N24" s="45" t="s">
        <v>836</v>
      </c>
    </row>
    <row r="25" customFormat="false" ht="14.25" hidden="false" customHeight="true" outlineLevel="0" collapsed="false">
      <c r="A25" s="39"/>
      <c r="B25" s="40" t="s">
        <v>838</v>
      </c>
      <c r="C25" s="41" t="s">
        <v>107</v>
      </c>
      <c r="D25" s="41" t="s">
        <v>108</v>
      </c>
      <c r="E25" s="42" t="n">
        <v>2000</v>
      </c>
      <c r="F25" s="42" t="n">
        <v>0</v>
      </c>
      <c r="G25" s="42" t="n">
        <v>300</v>
      </c>
      <c r="H25" s="43" t="n">
        <v>2</v>
      </c>
      <c r="I25" s="34" t="n">
        <f aca="false">E25*H25+N(F25)+N(G25)</f>
        <v>4300</v>
      </c>
      <c r="J25" s="42" t="n">
        <f aca="false">ROUND(IFERROR(ROUND(IF(OR(ISNUMBER(SEARCH("week",C25)),ISNUMBER(SEARCH("minggu",C25))),IFERROR(_xlfn.NUMBERVALUE(SUBSTITUTE(LEFT(TRIM(C25),FIND(" ",TRIM(C25)&amp;" ")-1),",","."),"."),LEFT(SUBSTITUTE(LEFT(TRIM(C25),FIND(" ",TRIM(C25)&amp;" ")-1),",","."),FIND("/",SUBSTITUTE(LEFT(TRIM(C25),FIND(" ",TRIM(C25)&amp;" ")-1),",","."))-1)/MID(SUBSTITUTE(LEFT(TRIM(C25),FIND(" ",TRIM(C25)&amp;" ")-1),",","."),FIND("/",SUBSTITUTE(LEFT(TRIM(C25),FIND(" ",TRIM(C25)&amp;" ")-1),",","."))+1,9))*12/52,IF(ISNUMBER(SEARCH("month",C25)),IFERROR(_xlfn.NUMBERVALUE(SUBSTITUTE(LEFT(TRIM(C25),FIND(" ",TRIM(C25)&amp;" ")-1),",","."),"."),LEFT(SUBSTITUTE(LEFT(TRIM(C25),FIND(" ",TRIM(C25)&amp;" ")-1),",","."),FIND("/",SUBSTITUTE(LEFT(TRIM(C25),FIND(" ",TRIM(C25)&amp;" ")-1),",","."))-1)/MID(SUBSTITUTE(LEFT(TRIM(C25),FIND(" ",TRIM(C25)&amp;" ")-1),",","."),FIND("/",SUBSTITUTE(LEFT(TRIM(C25),FIND(" ",TRIM(C25)&amp;" ")-1),",","."))+1,9)),IF(ISNUMBER(SEARCH("yea",C25)),IFERROR(_xlfn.NUMBERVALUE(SUBSTITUTE(LEFT(TRIM(C25),FIND(" ",TRIM(C25)&amp;" ")-1),",","."),"."),LEFT(SUBSTITUTE(LEFT(TRIM(C25),FIND(" ",TRIM(C25)&amp;" ")-1),",","."),FIND("/",SUBSTITUTE(LEFT(TRIM(C25),FIND(" ",TRIM(C25)&amp;" ")-1),",","."))-1)/MID(SUBSTITUTE(LEFT(TRIM(C25),FIND(" ",TRIM(C25)&amp;" ")-1),",","."),FIND("/",SUBSTITUTE(LEFT(TRIM(C25),FIND(" ",TRIM(C25)&amp;" ")-1),",","."))+1,9))*12,NA()))),0),24)*'Aturan &amp; Tarif'!$B$4,2)</f>
        <v>1362.72</v>
      </c>
      <c r="K25" s="42" t="n">
        <f aca="false">'Aturan &amp; Tarif'!$B$5</f>
        <v>2050</v>
      </c>
      <c r="L25" s="42" t="n">
        <f aca="false">'Aturan &amp; Tarif'!$B$6</f>
        <v>350</v>
      </c>
      <c r="M25" s="35" t="n">
        <f aca="false">I25+J25+K25+L25</f>
        <v>8062.72</v>
      </c>
      <c r="N25" s="45" t="s">
        <v>834</v>
      </c>
    </row>
    <row r="26" customFormat="false" ht="37.5" hidden="false" customHeight="true" outlineLevel="0" collapsed="false">
      <c r="A26" s="39" t="s">
        <v>839</v>
      </c>
      <c r="B26" s="40" t="s">
        <v>840</v>
      </c>
      <c r="C26" s="41" t="s">
        <v>127</v>
      </c>
      <c r="D26" s="41" t="s">
        <v>108</v>
      </c>
      <c r="E26" s="42" t="n">
        <v>2350</v>
      </c>
      <c r="F26" s="42" t="n">
        <v>395</v>
      </c>
      <c r="G26" s="42" t="n">
        <v>1000</v>
      </c>
      <c r="H26" s="43" t="n">
        <v>1</v>
      </c>
      <c r="I26" s="34" t="n">
        <f aca="false">E26*H26+N(F26)+N(G26)</f>
        <v>3745</v>
      </c>
      <c r="J26" s="42" t="n">
        <f aca="false">ROUND(IFERROR(ROUND(IF(OR(ISNUMBER(SEARCH("week",C26)),ISNUMBER(SEARCH("minggu",C26))),IFERROR(_xlfn.NUMBERVALUE(SUBSTITUTE(LEFT(TRIM(C26),FIND(" ",TRIM(C26)&amp;" ")-1),",","."),"."),LEFT(SUBSTITUTE(LEFT(TRIM(C26),FIND(" ",TRIM(C26)&amp;" ")-1),",","."),FIND("/",SUBSTITUTE(LEFT(TRIM(C26),FIND(" ",TRIM(C26)&amp;" ")-1),",","."))-1)/MID(SUBSTITUTE(LEFT(TRIM(C26),FIND(" ",TRIM(C26)&amp;" ")-1),",","."),FIND("/",SUBSTITUTE(LEFT(TRIM(C26),FIND(" ",TRIM(C26)&amp;" ")-1),",","."))+1,9))*12/52,IF(ISNUMBER(SEARCH("month",C26)),IFERROR(_xlfn.NUMBERVALUE(SUBSTITUTE(LEFT(TRIM(C26),FIND(" ",TRIM(C26)&amp;" ")-1),",","."),"."),LEFT(SUBSTITUTE(LEFT(TRIM(C26),FIND(" ",TRIM(C26)&amp;" ")-1),",","."),FIND("/",SUBSTITUTE(LEFT(TRIM(C26),FIND(" ",TRIM(C26)&amp;" ")-1),",","."))-1)/MID(SUBSTITUTE(LEFT(TRIM(C26),FIND(" ",TRIM(C26)&amp;" ")-1),",","."),FIND("/",SUBSTITUTE(LEFT(TRIM(C26),FIND(" ",TRIM(C26)&amp;" ")-1),",","."))+1,9)),IF(ISNUMBER(SEARCH("yea",C26)),IFERROR(_xlfn.NUMBERVALUE(SUBSTITUTE(LEFT(TRIM(C26),FIND(" ",TRIM(C26)&amp;" ")-1),",","."),"."),LEFT(SUBSTITUTE(LEFT(TRIM(C26),FIND(" ",TRIM(C26)&amp;" ")-1),",","."),FIND("/",SUBSTITUTE(LEFT(TRIM(C26),FIND(" ",TRIM(C26)&amp;" ")-1),",","."))-1)/MID(SUBSTITUTE(LEFT(TRIM(C26),FIND(" ",TRIM(C26)&amp;" ")-1),",","."),FIND("/",SUBSTITUTE(LEFT(TRIM(C26),FIND(" ",TRIM(C26)&amp;" ")-1),",","."))+1,9))*12,NA()))),0),36)*'Aturan &amp; Tarif'!$B$4,2)</f>
        <v>2044.08</v>
      </c>
      <c r="K26" s="42" t="n">
        <f aca="false">'Aturan &amp; Tarif'!$B$5</f>
        <v>2050</v>
      </c>
      <c r="L26" s="42" t="n">
        <f aca="false">'Aturan &amp; Tarif'!$B$6</f>
        <v>350</v>
      </c>
      <c r="M26" s="35" t="n">
        <f aca="false">I26+J26+K26+L26</f>
        <v>8189.08</v>
      </c>
      <c r="N26" s="45" t="s">
        <v>134</v>
      </c>
    </row>
    <row r="27" customFormat="false" ht="37.5" hidden="false" customHeight="true" outlineLevel="0" collapsed="false">
      <c r="A27" s="39"/>
      <c r="B27" s="40" t="s">
        <v>470</v>
      </c>
      <c r="C27" s="41" t="s">
        <v>138</v>
      </c>
      <c r="D27" s="41" t="s">
        <v>108</v>
      </c>
      <c r="E27" s="42" t="n">
        <v>2860</v>
      </c>
      <c r="F27" s="42" t="n">
        <v>395</v>
      </c>
      <c r="G27" s="42" t="n">
        <v>1000</v>
      </c>
      <c r="H27" s="43" t="n">
        <v>1</v>
      </c>
      <c r="I27" s="34" t="n">
        <f aca="false">E27*H27+N(F27)+N(G27)</f>
        <v>4255</v>
      </c>
      <c r="J27" s="42" t="n">
        <f aca="false">ROUND(IFERROR(ROUND(IF(OR(ISNUMBER(SEARCH("week",C27)),ISNUMBER(SEARCH("minggu",C27))),IFERROR(_xlfn.NUMBERVALUE(SUBSTITUTE(LEFT(TRIM(C27),FIND(" ",TRIM(C27)&amp;" ")-1),",","."),"."),LEFT(SUBSTITUTE(LEFT(TRIM(C27),FIND(" ",TRIM(C27)&amp;" ")-1),",","."),FIND("/",SUBSTITUTE(LEFT(TRIM(C27),FIND(" ",TRIM(C27)&amp;" ")-1),",","."))-1)/MID(SUBSTITUTE(LEFT(TRIM(C27),FIND(" ",TRIM(C27)&amp;" ")-1),",","."),FIND("/",SUBSTITUTE(LEFT(TRIM(C27),FIND(" ",TRIM(C27)&amp;" ")-1),",","."))+1,9))*12/52,IF(ISNUMBER(SEARCH("month",C27)),IFERROR(_xlfn.NUMBERVALUE(SUBSTITUTE(LEFT(TRIM(C27),FIND(" ",TRIM(C27)&amp;" ")-1),",","."),"."),LEFT(SUBSTITUTE(LEFT(TRIM(C27),FIND(" ",TRIM(C27)&amp;" ")-1),",","."),FIND("/",SUBSTITUTE(LEFT(TRIM(C27),FIND(" ",TRIM(C27)&amp;" ")-1),",","."))-1)/MID(SUBSTITUTE(LEFT(TRIM(C27),FIND(" ",TRIM(C27)&amp;" ")-1),",","."),FIND("/",SUBSTITUTE(LEFT(TRIM(C27),FIND(" ",TRIM(C27)&amp;" ")-1),",","."))+1,9)),IF(ISNUMBER(SEARCH("yea",C27)),IFERROR(_xlfn.NUMBERVALUE(SUBSTITUTE(LEFT(TRIM(C27),FIND(" ",TRIM(C27)&amp;" ")-1),",","."),"."),LEFT(SUBSTITUTE(LEFT(TRIM(C27),FIND(" ",TRIM(C27)&amp;" ")-1),",","."),FIND("/",SUBSTITUTE(LEFT(TRIM(C27),FIND(" ",TRIM(C27)&amp;" ")-1),",","."))-1)/MID(SUBSTITUTE(LEFT(TRIM(C27),FIND(" ",TRIM(C27)&amp;" ")-1),",","."),FIND("/",SUBSTITUTE(LEFT(TRIM(C27),FIND(" ",TRIM(C27)&amp;" ")-1),",","."))+1,9))*12,NA()))),0),30)*'Aturan &amp; Tarif'!$B$4,2)</f>
        <v>1703.4</v>
      </c>
      <c r="K27" s="42" t="n">
        <f aca="false">'Aturan &amp; Tarif'!$B$5</f>
        <v>2050</v>
      </c>
      <c r="L27" s="42" t="n">
        <f aca="false">'Aturan &amp; Tarif'!$B$6</f>
        <v>350</v>
      </c>
      <c r="M27" s="35" t="n">
        <f aca="false">I27+J27+K27+L27</f>
        <v>8358.4</v>
      </c>
      <c r="N27" s="45" t="s">
        <v>134</v>
      </c>
    </row>
    <row r="28" customFormat="false" ht="37.5" hidden="false" customHeight="true" outlineLevel="0" collapsed="false">
      <c r="A28" s="39"/>
      <c r="B28" s="40" t="s">
        <v>841</v>
      </c>
      <c r="C28" s="41" t="s">
        <v>127</v>
      </c>
      <c r="D28" s="41" t="s">
        <v>108</v>
      </c>
      <c r="E28" s="42" t="n">
        <v>2860</v>
      </c>
      <c r="F28" s="42" t="n">
        <v>395</v>
      </c>
      <c r="G28" s="42" t="n">
        <v>1000</v>
      </c>
      <c r="H28" s="43" t="n">
        <v>1</v>
      </c>
      <c r="I28" s="34" t="n">
        <f aca="false">E28*H28+N(F28)+N(G28)</f>
        <v>4255</v>
      </c>
      <c r="J28" s="42" t="n">
        <f aca="false">ROUND(IFERROR(ROUND(IF(OR(ISNUMBER(SEARCH("week",C28)),ISNUMBER(SEARCH("minggu",C28))),IFERROR(_xlfn.NUMBERVALUE(SUBSTITUTE(LEFT(TRIM(C28),FIND(" ",TRIM(C28)&amp;" ")-1),",","."),"."),LEFT(SUBSTITUTE(LEFT(TRIM(C28),FIND(" ",TRIM(C28)&amp;" ")-1),",","."),FIND("/",SUBSTITUTE(LEFT(TRIM(C28),FIND(" ",TRIM(C28)&amp;" ")-1),",","."))-1)/MID(SUBSTITUTE(LEFT(TRIM(C28),FIND(" ",TRIM(C28)&amp;" ")-1),",","."),FIND("/",SUBSTITUTE(LEFT(TRIM(C28),FIND(" ",TRIM(C28)&amp;" ")-1),",","."))+1,9))*12/52,IF(ISNUMBER(SEARCH("month",C28)),IFERROR(_xlfn.NUMBERVALUE(SUBSTITUTE(LEFT(TRIM(C28),FIND(" ",TRIM(C28)&amp;" ")-1),",","."),"."),LEFT(SUBSTITUTE(LEFT(TRIM(C28),FIND(" ",TRIM(C28)&amp;" ")-1),",","."),FIND("/",SUBSTITUTE(LEFT(TRIM(C28),FIND(" ",TRIM(C28)&amp;" ")-1),",","."))-1)/MID(SUBSTITUTE(LEFT(TRIM(C28),FIND(" ",TRIM(C28)&amp;" ")-1),",","."),FIND("/",SUBSTITUTE(LEFT(TRIM(C28),FIND(" ",TRIM(C28)&amp;" ")-1),",","."))+1,9)),IF(ISNUMBER(SEARCH("yea",C28)),IFERROR(_xlfn.NUMBERVALUE(SUBSTITUTE(LEFT(TRIM(C28),FIND(" ",TRIM(C28)&amp;" ")-1),",","."),"."),LEFT(SUBSTITUTE(LEFT(TRIM(C28),FIND(" ",TRIM(C28)&amp;" ")-1),",","."),FIND("/",SUBSTITUTE(LEFT(TRIM(C28),FIND(" ",TRIM(C28)&amp;" ")-1),",","."))-1)/MID(SUBSTITUTE(LEFT(TRIM(C28),FIND(" ",TRIM(C28)&amp;" ")-1),",","."),FIND("/",SUBSTITUTE(LEFT(TRIM(C28),FIND(" ",TRIM(C28)&amp;" ")-1),",","."))+1,9))*12,NA()))),0),36)*'Aturan &amp; Tarif'!$B$4,2)</f>
        <v>2044.08</v>
      </c>
      <c r="K28" s="42" t="n">
        <f aca="false">'Aturan &amp; Tarif'!$B$5</f>
        <v>2050</v>
      </c>
      <c r="L28" s="42" t="n">
        <f aca="false">'Aturan &amp; Tarif'!$B$6</f>
        <v>350</v>
      </c>
      <c r="M28" s="35" t="n">
        <f aca="false">I28+J28+K28+L28</f>
        <v>8699.08</v>
      </c>
      <c r="N28" s="45" t="s">
        <v>134</v>
      </c>
    </row>
    <row r="29" customFormat="false" ht="25.5" hidden="false" customHeight="true" outlineLevel="0" collapsed="false">
      <c r="A29" s="39"/>
      <c r="B29" s="40" t="s">
        <v>842</v>
      </c>
      <c r="C29" s="41" t="s">
        <v>107</v>
      </c>
      <c r="D29" s="41" t="s">
        <v>108</v>
      </c>
      <c r="E29" s="42" t="n">
        <v>2350</v>
      </c>
      <c r="F29" s="42" t="n">
        <v>395</v>
      </c>
      <c r="G29" s="42" t="n">
        <v>1000</v>
      </c>
      <c r="H29" s="43" t="n">
        <v>1</v>
      </c>
      <c r="I29" s="34" t="n">
        <f aca="false">E29*H29+N(F29)+N(G29)</f>
        <v>3745</v>
      </c>
      <c r="J29" s="42" t="n">
        <f aca="false">ROUND(IFERROR(ROUND(IF(OR(ISNUMBER(SEARCH("week",C29)),ISNUMBER(SEARCH("minggu",C29))),IFERROR(_xlfn.NUMBERVALUE(SUBSTITUTE(LEFT(TRIM(C29),FIND(" ",TRIM(C29)&amp;" ")-1),",","."),"."),LEFT(SUBSTITUTE(LEFT(TRIM(C29),FIND(" ",TRIM(C29)&amp;" ")-1),",","."),FIND("/",SUBSTITUTE(LEFT(TRIM(C29),FIND(" ",TRIM(C29)&amp;" ")-1),",","."))-1)/MID(SUBSTITUTE(LEFT(TRIM(C29),FIND(" ",TRIM(C29)&amp;" ")-1),",","."),FIND("/",SUBSTITUTE(LEFT(TRIM(C29),FIND(" ",TRIM(C29)&amp;" ")-1),",","."))+1,9))*12/52,IF(ISNUMBER(SEARCH("month",C29)),IFERROR(_xlfn.NUMBERVALUE(SUBSTITUTE(LEFT(TRIM(C29),FIND(" ",TRIM(C29)&amp;" ")-1),",","."),"."),LEFT(SUBSTITUTE(LEFT(TRIM(C29),FIND(" ",TRIM(C29)&amp;" ")-1),",","."),FIND("/",SUBSTITUTE(LEFT(TRIM(C29),FIND(" ",TRIM(C29)&amp;" ")-1),",","."))-1)/MID(SUBSTITUTE(LEFT(TRIM(C29),FIND(" ",TRIM(C29)&amp;" ")-1),",","."),FIND("/",SUBSTITUTE(LEFT(TRIM(C29),FIND(" ",TRIM(C29)&amp;" ")-1),",","."))+1,9)),IF(ISNUMBER(SEARCH("yea",C29)),IFERROR(_xlfn.NUMBERVALUE(SUBSTITUTE(LEFT(TRIM(C29),FIND(" ",TRIM(C29)&amp;" ")-1),",","."),"."),LEFT(SUBSTITUTE(LEFT(TRIM(C29),FIND(" ",TRIM(C29)&amp;" ")-1),",","."),FIND("/",SUBSTITUTE(LEFT(TRIM(C29),FIND(" ",TRIM(C29)&amp;" ")-1),",","."))-1)/MID(SUBSTITUTE(LEFT(TRIM(C29),FIND(" ",TRIM(C29)&amp;" ")-1),",","."),FIND("/",SUBSTITUTE(LEFT(TRIM(C29),FIND(" ",TRIM(C29)&amp;" ")-1),",","."))+1,9))*12,NA()))),0),24)*'Aturan &amp; Tarif'!$B$4,2)</f>
        <v>1362.72</v>
      </c>
      <c r="K29" s="42" t="n">
        <f aca="false">'Aturan &amp; Tarif'!$B$5</f>
        <v>2050</v>
      </c>
      <c r="L29" s="42" t="n">
        <f aca="false">'Aturan &amp; Tarif'!$B$6</f>
        <v>350</v>
      </c>
      <c r="M29" s="35" t="n">
        <f aca="false">I29+J29+K29+L29</f>
        <v>7507.72</v>
      </c>
      <c r="N29" s="45" t="s">
        <v>134</v>
      </c>
    </row>
    <row r="30" customFormat="false" ht="25.5" hidden="false" customHeight="true" outlineLevel="0" collapsed="false">
      <c r="A30" s="39"/>
      <c r="B30" s="40" t="s">
        <v>843</v>
      </c>
      <c r="C30" s="41" t="s">
        <v>127</v>
      </c>
      <c r="D30" s="41" t="s">
        <v>108</v>
      </c>
      <c r="E30" s="42" t="n">
        <v>2350</v>
      </c>
      <c r="F30" s="42" t="n">
        <v>395</v>
      </c>
      <c r="G30" s="42" t="n">
        <v>1000</v>
      </c>
      <c r="H30" s="43" t="n">
        <v>1</v>
      </c>
      <c r="I30" s="34" t="n">
        <f aca="false">E30*H30+N(F30)+N(G30)</f>
        <v>3745</v>
      </c>
      <c r="J30" s="42" t="n">
        <f aca="false">ROUND(IFERROR(ROUND(IF(OR(ISNUMBER(SEARCH("week",C30)),ISNUMBER(SEARCH("minggu",C30))),IFERROR(_xlfn.NUMBERVALUE(SUBSTITUTE(LEFT(TRIM(C30),FIND(" ",TRIM(C30)&amp;" ")-1),",","."),"."),LEFT(SUBSTITUTE(LEFT(TRIM(C30),FIND(" ",TRIM(C30)&amp;" ")-1),",","."),FIND("/",SUBSTITUTE(LEFT(TRIM(C30),FIND(" ",TRIM(C30)&amp;" ")-1),",","."))-1)/MID(SUBSTITUTE(LEFT(TRIM(C30),FIND(" ",TRIM(C30)&amp;" ")-1),",","."),FIND("/",SUBSTITUTE(LEFT(TRIM(C30),FIND(" ",TRIM(C30)&amp;" ")-1),",","."))+1,9))*12/52,IF(ISNUMBER(SEARCH("month",C30)),IFERROR(_xlfn.NUMBERVALUE(SUBSTITUTE(LEFT(TRIM(C30),FIND(" ",TRIM(C30)&amp;" ")-1),",","."),"."),LEFT(SUBSTITUTE(LEFT(TRIM(C30),FIND(" ",TRIM(C30)&amp;" ")-1),",","."),FIND("/",SUBSTITUTE(LEFT(TRIM(C30),FIND(" ",TRIM(C30)&amp;" ")-1),",","."))-1)/MID(SUBSTITUTE(LEFT(TRIM(C30),FIND(" ",TRIM(C30)&amp;" ")-1),",","."),FIND("/",SUBSTITUTE(LEFT(TRIM(C30),FIND(" ",TRIM(C30)&amp;" ")-1),",","."))+1,9)),IF(ISNUMBER(SEARCH("yea",C30)),IFERROR(_xlfn.NUMBERVALUE(SUBSTITUTE(LEFT(TRIM(C30),FIND(" ",TRIM(C30)&amp;" ")-1),",","."),"."),LEFT(SUBSTITUTE(LEFT(TRIM(C30),FIND(" ",TRIM(C30)&amp;" ")-1),",","."),FIND("/",SUBSTITUTE(LEFT(TRIM(C30),FIND(" ",TRIM(C30)&amp;" ")-1),",","."))-1)/MID(SUBSTITUTE(LEFT(TRIM(C30),FIND(" ",TRIM(C30)&amp;" ")-1),",","."),FIND("/",SUBSTITUTE(LEFT(TRIM(C30),FIND(" ",TRIM(C30)&amp;" ")-1),",","."))+1,9))*12,NA()))),0),36)*'Aturan &amp; Tarif'!$B$4,2)</f>
        <v>2044.08</v>
      </c>
      <c r="K30" s="42" t="n">
        <f aca="false">'Aturan &amp; Tarif'!$B$5</f>
        <v>2050</v>
      </c>
      <c r="L30" s="42" t="n">
        <f aca="false">'Aturan &amp; Tarif'!$B$6</f>
        <v>350</v>
      </c>
      <c r="M30" s="35" t="n">
        <f aca="false">I30+J30+K30+L30</f>
        <v>8189.08</v>
      </c>
      <c r="N30" s="45" t="s">
        <v>134</v>
      </c>
    </row>
    <row r="31" customFormat="false" ht="25.5" hidden="false" customHeight="true" outlineLevel="0" collapsed="false">
      <c r="A31" s="39"/>
      <c r="B31" s="40" t="s">
        <v>133</v>
      </c>
      <c r="C31" s="41" t="s">
        <v>107</v>
      </c>
      <c r="D31" s="41" t="s">
        <v>108</v>
      </c>
      <c r="E31" s="42" t="n">
        <v>3250</v>
      </c>
      <c r="F31" s="42" t="n">
        <v>395</v>
      </c>
      <c r="G31" s="42" t="n">
        <v>1000</v>
      </c>
      <c r="H31" s="43" t="n">
        <v>1</v>
      </c>
      <c r="I31" s="34" t="n">
        <f aca="false">E31*H31+N(F31)+N(G31)</f>
        <v>4645</v>
      </c>
      <c r="J31" s="42" t="n">
        <f aca="false">ROUND(IFERROR(ROUND(IF(OR(ISNUMBER(SEARCH("week",C31)),ISNUMBER(SEARCH("minggu",C31))),IFERROR(_xlfn.NUMBERVALUE(SUBSTITUTE(LEFT(TRIM(C31),FIND(" ",TRIM(C31)&amp;" ")-1),",","."),"."),LEFT(SUBSTITUTE(LEFT(TRIM(C31),FIND(" ",TRIM(C31)&amp;" ")-1),",","."),FIND("/",SUBSTITUTE(LEFT(TRIM(C31),FIND(" ",TRIM(C31)&amp;" ")-1),",","."))-1)/MID(SUBSTITUTE(LEFT(TRIM(C31),FIND(" ",TRIM(C31)&amp;" ")-1),",","."),FIND("/",SUBSTITUTE(LEFT(TRIM(C31),FIND(" ",TRIM(C31)&amp;" ")-1),",","."))+1,9))*12/52,IF(ISNUMBER(SEARCH("month",C31)),IFERROR(_xlfn.NUMBERVALUE(SUBSTITUTE(LEFT(TRIM(C31),FIND(" ",TRIM(C31)&amp;" ")-1),",","."),"."),LEFT(SUBSTITUTE(LEFT(TRIM(C31),FIND(" ",TRIM(C31)&amp;" ")-1),",","."),FIND("/",SUBSTITUTE(LEFT(TRIM(C31),FIND(" ",TRIM(C31)&amp;" ")-1),",","."))-1)/MID(SUBSTITUTE(LEFT(TRIM(C31),FIND(" ",TRIM(C31)&amp;" ")-1),",","."),FIND("/",SUBSTITUTE(LEFT(TRIM(C31),FIND(" ",TRIM(C31)&amp;" ")-1),",","."))+1,9)),IF(ISNUMBER(SEARCH("yea",C31)),IFERROR(_xlfn.NUMBERVALUE(SUBSTITUTE(LEFT(TRIM(C31),FIND(" ",TRIM(C31)&amp;" ")-1),",","."),"."),LEFT(SUBSTITUTE(LEFT(TRIM(C31),FIND(" ",TRIM(C31)&amp;" ")-1),",","."),FIND("/",SUBSTITUTE(LEFT(TRIM(C31),FIND(" ",TRIM(C31)&amp;" ")-1),",","."))-1)/MID(SUBSTITUTE(LEFT(TRIM(C31),FIND(" ",TRIM(C31)&amp;" ")-1),",","."),FIND("/",SUBSTITUTE(LEFT(TRIM(C31),FIND(" ",TRIM(C31)&amp;" ")-1),",","."))+1,9))*12,NA()))),0),24)*'Aturan &amp; Tarif'!$B$4,2)</f>
        <v>1362.72</v>
      </c>
      <c r="K31" s="42" t="n">
        <f aca="false">'Aturan &amp; Tarif'!$B$5</f>
        <v>2050</v>
      </c>
      <c r="L31" s="42" t="n">
        <f aca="false">'Aturan &amp; Tarif'!$B$6</f>
        <v>350</v>
      </c>
      <c r="M31" s="35" t="n">
        <f aca="false">I31+J31+K31+L31</f>
        <v>8407.72</v>
      </c>
      <c r="N31" s="45" t="s">
        <v>134</v>
      </c>
    </row>
    <row r="32" customFormat="false" ht="37.5" hidden="false" customHeight="true" outlineLevel="0" collapsed="false">
      <c r="A32" s="39"/>
      <c r="B32" s="40" t="s">
        <v>844</v>
      </c>
      <c r="C32" s="41" t="s">
        <v>127</v>
      </c>
      <c r="D32" s="41" t="s">
        <v>108</v>
      </c>
      <c r="E32" s="42" t="n">
        <v>3250</v>
      </c>
      <c r="F32" s="42" t="n">
        <v>395</v>
      </c>
      <c r="G32" s="42" t="n">
        <v>1000</v>
      </c>
      <c r="H32" s="43" t="n">
        <v>1</v>
      </c>
      <c r="I32" s="34" t="n">
        <f aca="false">E32*H32+N(F32)+N(G32)</f>
        <v>4645</v>
      </c>
      <c r="J32" s="42" t="n">
        <f aca="false">ROUND(IFERROR(ROUND(IF(OR(ISNUMBER(SEARCH("week",C32)),ISNUMBER(SEARCH("minggu",C32))),IFERROR(_xlfn.NUMBERVALUE(SUBSTITUTE(LEFT(TRIM(C32),FIND(" ",TRIM(C32)&amp;" ")-1),",","."),"."),LEFT(SUBSTITUTE(LEFT(TRIM(C32),FIND(" ",TRIM(C32)&amp;" ")-1),",","."),FIND("/",SUBSTITUTE(LEFT(TRIM(C32),FIND(" ",TRIM(C32)&amp;" ")-1),",","."))-1)/MID(SUBSTITUTE(LEFT(TRIM(C32),FIND(" ",TRIM(C32)&amp;" ")-1),",","."),FIND("/",SUBSTITUTE(LEFT(TRIM(C32),FIND(" ",TRIM(C32)&amp;" ")-1),",","."))+1,9))*12/52,IF(ISNUMBER(SEARCH("month",C32)),IFERROR(_xlfn.NUMBERVALUE(SUBSTITUTE(LEFT(TRIM(C32),FIND(" ",TRIM(C32)&amp;" ")-1),",","."),"."),LEFT(SUBSTITUTE(LEFT(TRIM(C32),FIND(" ",TRIM(C32)&amp;" ")-1),",","."),FIND("/",SUBSTITUTE(LEFT(TRIM(C32),FIND(" ",TRIM(C32)&amp;" ")-1),",","."))-1)/MID(SUBSTITUTE(LEFT(TRIM(C32),FIND(" ",TRIM(C32)&amp;" ")-1),",","."),FIND("/",SUBSTITUTE(LEFT(TRIM(C32),FIND(" ",TRIM(C32)&amp;" ")-1),",","."))+1,9)),IF(ISNUMBER(SEARCH("yea",C32)),IFERROR(_xlfn.NUMBERVALUE(SUBSTITUTE(LEFT(TRIM(C32),FIND(" ",TRIM(C32)&amp;" ")-1),",","."),"."),LEFT(SUBSTITUTE(LEFT(TRIM(C32),FIND(" ",TRIM(C32)&amp;" ")-1),",","."),FIND("/",SUBSTITUTE(LEFT(TRIM(C32),FIND(" ",TRIM(C32)&amp;" ")-1),",","."))-1)/MID(SUBSTITUTE(LEFT(TRIM(C32),FIND(" ",TRIM(C32)&amp;" ")-1),",","."),FIND("/",SUBSTITUTE(LEFT(TRIM(C32),FIND(" ",TRIM(C32)&amp;" ")-1),",","."))+1,9))*12,NA()))),0),36)*'Aturan &amp; Tarif'!$B$4,2)</f>
        <v>2044.08</v>
      </c>
      <c r="K32" s="42" t="n">
        <f aca="false">'Aturan &amp; Tarif'!$B$5</f>
        <v>2050</v>
      </c>
      <c r="L32" s="42" t="n">
        <f aca="false">'Aturan &amp; Tarif'!$B$6</f>
        <v>350</v>
      </c>
      <c r="M32" s="35" t="n">
        <f aca="false">I32+J32+K32+L32</f>
        <v>9089.08</v>
      </c>
      <c r="N32" s="45" t="s">
        <v>134</v>
      </c>
    </row>
    <row r="33" customFormat="false" ht="48.75" hidden="false" customHeight="true" outlineLevel="0" collapsed="false">
      <c r="A33" s="39" t="s">
        <v>845</v>
      </c>
      <c r="B33" s="40" t="s">
        <v>594</v>
      </c>
      <c r="C33" s="41" t="s">
        <v>130</v>
      </c>
      <c r="D33" s="41" t="s">
        <v>737</v>
      </c>
      <c r="E33" s="42" t="n">
        <v>3000</v>
      </c>
      <c r="F33" s="42"/>
      <c r="G33" s="42" t="n">
        <v>200</v>
      </c>
      <c r="H33" s="43" t="n">
        <v>1</v>
      </c>
      <c r="I33" s="34" t="n">
        <f aca="false">E33*H33+N(F33)+N(G33)</f>
        <v>3200</v>
      </c>
      <c r="J33" s="42" t="n">
        <f aca="false">ROUND(IFERROR(ROUND(IF(OR(ISNUMBER(SEARCH("week",C33)),ISNUMBER(SEARCH("minggu",C33))),IFERROR(_xlfn.NUMBERVALUE(SUBSTITUTE(LEFT(TRIM(C33),FIND(" ",TRIM(C33)&amp;" ")-1),",","."),"."),LEFT(SUBSTITUTE(LEFT(TRIM(C33),FIND(" ",TRIM(C33)&amp;" ")-1),",","."),FIND("/",SUBSTITUTE(LEFT(TRIM(C33),FIND(" ",TRIM(C33)&amp;" ")-1),",","."))-1)/MID(SUBSTITUTE(LEFT(TRIM(C33),FIND(" ",TRIM(C33)&amp;" ")-1),",","."),FIND("/",SUBSTITUTE(LEFT(TRIM(C33),FIND(" ",TRIM(C33)&amp;" ")-1),",","."))+1,9))*12/52,IF(ISNUMBER(SEARCH("month",C33)),IFERROR(_xlfn.NUMBERVALUE(SUBSTITUTE(LEFT(TRIM(C33),FIND(" ",TRIM(C33)&amp;" ")-1),",","."),"."),LEFT(SUBSTITUTE(LEFT(TRIM(C33),FIND(" ",TRIM(C33)&amp;" ")-1),",","."),FIND("/",SUBSTITUTE(LEFT(TRIM(C33),FIND(" ",TRIM(C33)&amp;" ")-1),",","."))-1)/MID(SUBSTITUTE(LEFT(TRIM(C33),FIND(" ",TRIM(C33)&amp;" ")-1),",","."),FIND("/",SUBSTITUTE(LEFT(TRIM(C33),FIND(" ",TRIM(C33)&amp;" ")-1),",","."))+1,9)),IF(ISNUMBER(SEARCH("yea",C33)),IFERROR(_xlfn.NUMBERVALUE(SUBSTITUTE(LEFT(TRIM(C33),FIND(" ",TRIM(C33)&amp;" ")-1),",","."),"."),LEFT(SUBSTITUTE(LEFT(TRIM(C33),FIND(" ",TRIM(C33)&amp;" ")-1),",","."),FIND("/",SUBSTITUTE(LEFT(TRIM(C33),FIND(" ",TRIM(C33)&amp;" ")-1),",","."))-1)/MID(SUBSTITUTE(LEFT(TRIM(C33),FIND(" ",TRIM(C33)&amp;" ")-1),",","."),FIND("/",SUBSTITUTE(LEFT(TRIM(C33),FIND(" ",TRIM(C33)&amp;" ")-1),",","."))+1,9))*12,NA()))),0),12)*'Aturan &amp; Tarif'!$B$4,2)</f>
        <v>681.36</v>
      </c>
      <c r="K33" s="42" t="n">
        <f aca="false">'Aturan &amp; Tarif'!$B$5</f>
        <v>2050</v>
      </c>
      <c r="L33" s="42" t="n">
        <f aca="false">'Aturan &amp; Tarif'!$B$6</f>
        <v>350</v>
      </c>
      <c r="M33" s="35" t="n">
        <f aca="false">I33+J33+K33+L33</f>
        <v>6281.36</v>
      </c>
      <c r="N33" s="45" t="s">
        <v>846</v>
      </c>
    </row>
    <row r="34" customFormat="false" ht="37.5" hidden="false" customHeight="true" outlineLevel="0" collapsed="false">
      <c r="A34" s="39"/>
      <c r="B34" s="40" t="s">
        <v>335</v>
      </c>
      <c r="C34" s="41" t="s">
        <v>127</v>
      </c>
      <c r="D34" s="41" t="s">
        <v>737</v>
      </c>
      <c r="E34" s="42" t="n">
        <v>4500</v>
      </c>
      <c r="F34" s="42"/>
      <c r="G34" s="42" t="n">
        <v>200</v>
      </c>
      <c r="H34" s="43" t="n">
        <v>1</v>
      </c>
      <c r="I34" s="34" t="n">
        <f aca="false">E34*H34+N(F34)+N(G34)</f>
        <v>4700</v>
      </c>
      <c r="J34" s="42" t="n">
        <f aca="false">ROUND(IFERROR(ROUND(IF(OR(ISNUMBER(SEARCH("week",C34)),ISNUMBER(SEARCH("minggu",C34))),IFERROR(_xlfn.NUMBERVALUE(SUBSTITUTE(LEFT(TRIM(C34),FIND(" ",TRIM(C34)&amp;" ")-1),",","."),"."),LEFT(SUBSTITUTE(LEFT(TRIM(C34),FIND(" ",TRIM(C34)&amp;" ")-1),",","."),FIND("/",SUBSTITUTE(LEFT(TRIM(C34),FIND(" ",TRIM(C34)&amp;" ")-1),",","."))-1)/MID(SUBSTITUTE(LEFT(TRIM(C34),FIND(" ",TRIM(C34)&amp;" ")-1),",","."),FIND("/",SUBSTITUTE(LEFT(TRIM(C34),FIND(" ",TRIM(C34)&amp;" ")-1),",","."))+1,9))*12/52,IF(ISNUMBER(SEARCH("month",C34)),IFERROR(_xlfn.NUMBERVALUE(SUBSTITUTE(LEFT(TRIM(C34),FIND(" ",TRIM(C34)&amp;" ")-1),",","."),"."),LEFT(SUBSTITUTE(LEFT(TRIM(C34),FIND(" ",TRIM(C34)&amp;" ")-1),",","."),FIND("/",SUBSTITUTE(LEFT(TRIM(C34),FIND(" ",TRIM(C34)&amp;" ")-1),",","."))-1)/MID(SUBSTITUTE(LEFT(TRIM(C34),FIND(" ",TRIM(C34)&amp;" ")-1),",","."),FIND("/",SUBSTITUTE(LEFT(TRIM(C34),FIND(" ",TRIM(C34)&amp;" ")-1),",","."))+1,9)),IF(ISNUMBER(SEARCH("yea",C34)),IFERROR(_xlfn.NUMBERVALUE(SUBSTITUTE(LEFT(TRIM(C34),FIND(" ",TRIM(C34)&amp;" ")-1),",","."),"."),LEFT(SUBSTITUTE(LEFT(TRIM(C34),FIND(" ",TRIM(C34)&amp;" ")-1),",","."),FIND("/",SUBSTITUTE(LEFT(TRIM(C34),FIND(" ",TRIM(C34)&amp;" ")-1),",","."))-1)/MID(SUBSTITUTE(LEFT(TRIM(C34),FIND(" ",TRIM(C34)&amp;" ")-1),",","."),FIND("/",SUBSTITUTE(LEFT(TRIM(C34),FIND(" ",TRIM(C34)&amp;" ")-1),",","."))+1,9))*12,NA()))),0),36)*'Aturan &amp; Tarif'!$B$4,2)</f>
        <v>2044.08</v>
      </c>
      <c r="K34" s="42" t="n">
        <f aca="false">'Aturan &amp; Tarif'!$B$5</f>
        <v>2050</v>
      </c>
      <c r="L34" s="42" t="n">
        <f aca="false">'Aturan &amp; Tarif'!$B$6</f>
        <v>350</v>
      </c>
      <c r="M34" s="35" t="n">
        <f aca="false">I34+J34+K34+L34</f>
        <v>9144.08</v>
      </c>
      <c r="N34" s="44" t="s">
        <v>847</v>
      </c>
    </row>
    <row r="35" customFormat="false" ht="37.5" hidden="false" customHeight="true" outlineLevel="0" collapsed="false">
      <c r="A35" s="39"/>
      <c r="B35" s="40" t="s">
        <v>848</v>
      </c>
      <c r="C35" s="41" t="s">
        <v>130</v>
      </c>
      <c r="D35" s="41" t="s">
        <v>737</v>
      </c>
      <c r="E35" s="42" t="n">
        <v>3000</v>
      </c>
      <c r="F35" s="42"/>
      <c r="G35" s="42" t="n">
        <v>200</v>
      </c>
      <c r="H35" s="43" t="n">
        <v>1</v>
      </c>
      <c r="I35" s="34" t="n">
        <f aca="false">E35*H35+N(F35)+N(G35)</f>
        <v>3200</v>
      </c>
      <c r="J35" s="42" t="n">
        <f aca="false">ROUND(IFERROR(ROUND(IF(OR(ISNUMBER(SEARCH("week",C35)),ISNUMBER(SEARCH("minggu",C35))),IFERROR(_xlfn.NUMBERVALUE(SUBSTITUTE(LEFT(TRIM(C35),FIND(" ",TRIM(C35)&amp;" ")-1),",","."),"."),LEFT(SUBSTITUTE(LEFT(TRIM(C35),FIND(" ",TRIM(C35)&amp;" ")-1),",","."),FIND("/",SUBSTITUTE(LEFT(TRIM(C35),FIND(" ",TRIM(C35)&amp;" ")-1),",","."))-1)/MID(SUBSTITUTE(LEFT(TRIM(C35),FIND(" ",TRIM(C35)&amp;" ")-1),",","."),FIND("/",SUBSTITUTE(LEFT(TRIM(C35),FIND(" ",TRIM(C35)&amp;" ")-1),",","."))+1,9))*12/52,IF(ISNUMBER(SEARCH("month",C35)),IFERROR(_xlfn.NUMBERVALUE(SUBSTITUTE(LEFT(TRIM(C35),FIND(" ",TRIM(C35)&amp;" ")-1),",","."),"."),LEFT(SUBSTITUTE(LEFT(TRIM(C35),FIND(" ",TRIM(C35)&amp;" ")-1),",","."),FIND("/",SUBSTITUTE(LEFT(TRIM(C35),FIND(" ",TRIM(C35)&amp;" ")-1),",","."))-1)/MID(SUBSTITUTE(LEFT(TRIM(C35),FIND(" ",TRIM(C35)&amp;" ")-1),",","."),FIND("/",SUBSTITUTE(LEFT(TRIM(C35),FIND(" ",TRIM(C35)&amp;" ")-1),",","."))+1,9)),IF(ISNUMBER(SEARCH("yea",C35)),IFERROR(_xlfn.NUMBERVALUE(SUBSTITUTE(LEFT(TRIM(C35),FIND(" ",TRIM(C35)&amp;" ")-1),",","."),"."),LEFT(SUBSTITUTE(LEFT(TRIM(C35),FIND(" ",TRIM(C35)&amp;" ")-1),",","."),FIND("/",SUBSTITUTE(LEFT(TRIM(C35),FIND(" ",TRIM(C35)&amp;" ")-1),",","."))-1)/MID(SUBSTITUTE(LEFT(TRIM(C35),FIND(" ",TRIM(C35)&amp;" ")-1),",","."),FIND("/",SUBSTITUTE(LEFT(TRIM(C35),FIND(" ",TRIM(C35)&amp;" ")-1),",","."))+1,9))*12,NA()))),0),12)*'Aturan &amp; Tarif'!$B$4,2)</f>
        <v>681.36</v>
      </c>
      <c r="K35" s="42" t="n">
        <f aca="false">'Aturan &amp; Tarif'!$B$5</f>
        <v>2050</v>
      </c>
      <c r="L35" s="42" t="n">
        <f aca="false">'Aturan &amp; Tarif'!$B$6</f>
        <v>350</v>
      </c>
      <c r="M35" s="35" t="n">
        <f aca="false">I35+J35+K35+L35</f>
        <v>6281.36</v>
      </c>
      <c r="N35" s="44" t="s">
        <v>849</v>
      </c>
    </row>
    <row r="36" customFormat="false" ht="37.5" hidden="false" customHeight="true" outlineLevel="0" collapsed="false">
      <c r="A36" s="39"/>
      <c r="B36" s="40" t="s">
        <v>321</v>
      </c>
      <c r="C36" s="41" t="s">
        <v>127</v>
      </c>
      <c r="D36" s="41" t="s">
        <v>737</v>
      </c>
      <c r="E36" s="42" t="n">
        <v>4500</v>
      </c>
      <c r="F36" s="42"/>
      <c r="G36" s="42" t="n">
        <v>200</v>
      </c>
      <c r="H36" s="43" t="n">
        <v>1</v>
      </c>
      <c r="I36" s="34" t="n">
        <f aca="false">E36*H36+N(F36)+N(G36)</f>
        <v>4700</v>
      </c>
      <c r="J36" s="42" t="n">
        <f aca="false">ROUND(IFERROR(ROUND(IF(OR(ISNUMBER(SEARCH("week",C36)),ISNUMBER(SEARCH("minggu",C36))),IFERROR(_xlfn.NUMBERVALUE(SUBSTITUTE(LEFT(TRIM(C36),FIND(" ",TRIM(C36)&amp;" ")-1),",","."),"."),LEFT(SUBSTITUTE(LEFT(TRIM(C36),FIND(" ",TRIM(C36)&amp;" ")-1),",","."),FIND("/",SUBSTITUTE(LEFT(TRIM(C36),FIND(" ",TRIM(C36)&amp;" ")-1),",","."))-1)/MID(SUBSTITUTE(LEFT(TRIM(C36),FIND(" ",TRIM(C36)&amp;" ")-1),",","."),FIND("/",SUBSTITUTE(LEFT(TRIM(C36),FIND(" ",TRIM(C36)&amp;" ")-1),",","."))+1,9))*12/52,IF(ISNUMBER(SEARCH("month",C36)),IFERROR(_xlfn.NUMBERVALUE(SUBSTITUTE(LEFT(TRIM(C36),FIND(" ",TRIM(C36)&amp;" ")-1),",","."),"."),LEFT(SUBSTITUTE(LEFT(TRIM(C36),FIND(" ",TRIM(C36)&amp;" ")-1),",","."),FIND("/",SUBSTITUTE(LEFT(TRIM(C36),FIND(" ",TRIM(C36)&amp;" ")-1),",","."))-1)/MID(SUBSTITUTE(LEFT(TRIM(C36),FIND(" ",TRIM(C36)&amp;" ")-1),",","."),FIND("/",SUBSTITUTE(LEFT(TRIM(C36),FIND(" ",TRIM(C36)&amp;" ")-1),",","."))+1,9)),IF(ISNUMBER(SEARCH("yea",C36)),IFERROR(_xlfn.NUMBERVALUE(SUBSTITUTE(LEFT(TRIM(C36),FIND(" ",TRIM(C36)&amp;" ")-1),",","."),"."),LEFT(SUBSTITUTE(LEFT(TRIM(C36),FIND(" ",TRIM(C36)&amp;" ")-1),",","."),FIND("/",SUBSTITUTE(LEFT(TRIM(C36),FIND(" ",TRIM(C36)&amp;" ")-1),",","."))-1)/MID(SUBSTITUTE(LEFT(TRIM(C36),FIND(" ",TRIM(C36)&amp;" ")-1),",","."),FIND("/",SUBSTITUTE(LEFT(TRIM(C36),FIND(" ",TRIM(C36)&amp;" ")-1),",","."))+1,9))*12,NA()))),0),36)*'Aturan &amp; Tarif'!$B$4,2)</f>
        <v>2044.08</v>
      </c>
      <c r="K36" s="42" t="n">
        <f aca="false">'Aturan &amp; Tarif'!$B$5</f>
        <v>2050</v>
      </c>
      <c r="L36" s="42" t="n">
        <f aca="false">'Aturan &amp; Tarif'!$B$6</f>
        <v>350</v>
      </c>
      <c r="M36" s="35" t="n">
        <f aca="false">I36+J36+K36+L36</f>
        <v>9144.08</v>
      </c>
      <c r="N36" s="44" t="s">
        <v>847</v>
      </c>
    </row>
    <row r="37" customFormat="false" ht="37.5" hidden="false" customHeight="true" outlineLevel="0" collapsed="false">
      <c r="A37" s="39"/>
      <c r="B37" s="40" t="s">
        <v>850</v>
      </c>
      <c r="C37" s="41" t="s">
        <v>127</v>
      </c>
      <c r="D37" s="41" t="s">
        <v>737</v>
      </c>
      <c r="E37" s="42" t="n">
        <v>4500</v>
      </c>
      <c r="F37" s="42"/>
      <c r="G37" s="42" t="n">
        <v>200</v>
      </c>
      <c r="H37" s="43" t="n">
        <v>1</v>
      </c>
      <c r="I37" s="34" t="n">
        <f aca="false">E37*H37+N(F37)+N(G37)</f>
        <v>4700</v>
      </c>
      <c r="J37" s="42" t="n">
        <f aca="false">ROUND(IFERROR(ROUND(IF(OR(ISNUMBER(SEARCH("week",C37)),ISNUMBER(SEARCH("minggu",C37))),IFERROR(_xlfn.NUMBERVALUE(SUBSTITUTE(LEFT(TRIM(C37),FIND(" ",TRIM(C37)&amp;" ")-1),",","."),"."),LEFT(SUBSTITUTE(LEFT(TRIM(C37),FIND(" ",TRIM(C37)&amp;" ")-1),",","."),FIND("/",SUBSTITUTE(LEFT(TRIM(C37),FIND(" ",TRIM(C37)&amp;" ")-1),",","."))-1)/MID(SUBSTITUTE(LEFT(TRIM(C37),FIND(" ",TRIM(C37)&amp;" ")-1),",","."),FIND("/",SUBSTITUTE(LEFT(TRIM(C37),FIND(" ",TRIM(C37)&amp;" ")-1),",","."))+1,9))*12/52,IF(ISNUMBER(SEARCH("month",C37)),IFERROR(_xlfn.NUMBERVALUE(SUBSTITUTE(LEFT(TRIM(C37),FIND(" ",TRIM(C37)&amp;" ")-1),",","."),"."),LEFT(SUBSTITUTE(LEFT(TRIM(C37),FIND(" ",TRIM(C37)&amp;" ")-1),",","."),FIND("/",SUBSTITUTE(LEFT(TRIM(C37),FIND(" ",TRIM(C37)&amp;" ")-1),",","."))-1)/MID(SUBSTITUTE(LEFT(TRIM(C37),FIND(" ",TRIM(C37)&amp;" ")-1),",","."),FIND("/",SUBSTITUTE(LEFT(TRIM(C37),FIND(" ",TRIM(C37)&amp;" ")-1),",","."))+1,9)),IF(ISNUMBER(SEARCH("yea",C37)),IFERROR(_xlfn.NUMBERVALUE(SUBSTITUTE(LEFT(TRIM(C37),FIND(" ",TRIM(C37)&amp;" ")-1),",","."),"."),LEFT(SUBSTITUTE(LEFT(TRIM(C37),FIND(" ",TRIM(C37)&amp;" ")-1),",","."),FIND("/",SUBSTITUTE(LEFT(TRIM(C37),FIND(" ",TRIM(C37)&amp;" ")-1),",","."))-1)/MID(SUBSTITUTE(LEFT(TRIM(C37),FIND(" ",TRIM(C37)&amp;" ")-1),",","."),FIND("/",SUBSTITUTE(LEFT(TRIM(C37),FIND(" ",TRIM(C37)&amp;" ")-1),",","."))+1,9))*12,NA()))),0),36)*'Aturan &amp; Tarif'!$B$4,2)</f>
        <v>2044.08</v>
      </c>
      <c r="K37" s="42" t="n">
        <f aca="false">'Aturan &amp; Tarif'!$B$5</f>
        <v>2050</v>
      </c>
      <c r="L37" s="42" t="n">
        <f aca="false">'Aturan &amp; Tarif'!$B$6</f>
        <v>350</v>
      </c>
      <c r="M37" s="35" t="n">
        <f aca="false">I37+J37+K37+L37</f>
        <v>9144.08</v>
      </c>
      <c r="N37" s="44" t="s">
        <v>847</v>
      </c>
    </row>
    <row r="38" customFormat="false" ht="37.5" hidden="false" customHeight="true" outlineLevel="0" collapsed="false">
      <c r="A38" s="39"/>
      <c r="B38" s="40" t="s">
        <v>851</v>
      </c>
      <c r="C38" s="41" t="s">
        <v>852</v>
      </c>
      <c r="D38" s="41" t="s">
        <v>737</v>
      </c>
      <c r="E38" s="42" t="n">
        <v>7800</v>
      </c>
      <c r="F38" s="42"/>
      <c r="G38" s="42" t="n">
        <v>200</v>
      </c>
      <c r="H38" s="43" t="n">
        <v>1</v>
      </c>
      <c r="I38" s="34" t="n">
        <f aca="false">E38*H38+N(F38)+N(G38)</f>
        <v>8000</v>
      </c>
      <c r="J38" s="42" t="n">
        <f aca="false">ROUND(IFERROR(ROUND(IF(OR(ISNUMBER(SEARCH("week",C38)),ISNUMBER(SEARCH("minggu",C38))),IFERROR(_xlfn.NUMBERVALUE(SUBSTITUTE(LEFT(TRIM(C38),FIND(" ",TRIM(C38)&amp;" ")-1),",","."),"."),LEFT(SUBSTITUTE(LEFT(TRIM(C38),FIND(" ",TRIM(C38)&amp;" ")-1),",","."),FIND("/",SUBSTITUTE(LEFT(TRIM(C38),FIND(" ",TRIM(C38)&amp;" ")-1),",","."))-1)/MID(SUBSTITUTE(LEFT(TRIM(C38),FIND(" ",TRIM(C38)&amp;" ")-1),",","."),FIND("/",SUBSTITUTE(LEFT(TRIM(C38),FIND(" ",TRIM(C38)&amp;" ")-1),",","."))+1,9))*12/52,IF(ISNUMBER(SEARCH("month",C38)),IFERROR(_xlfn.NUMBERVALUE(SUBSTITUTE(LEFT(TRIM(C38),FIND(" ",TRIM(C38)&amp;" ")-1),",","."),"."),LEFT(SUBSTITUTE(LEFT(TRIM(C38),FIND(" ",TRIM(C38)&amp;" ")-1),",","."),FIND("/",SUBSTITUTE(LEFT(TRIM(C38),FIND(" ",TRIM(C38)&amp;" ")-1),",","."))-1)/MID(SUBSTITUTE(LEFT(TRIM(C38),FIND(" ",TRIM(C38)&amp;" ")-1),",","."),FIND("/",SUBSTITUTE(LEFT(TRIM(C38),FIND(" ",TRIM(C38)&amp;" ")-1),",","."))+1,9)),IF(ISNUMBER(SEARCH("yea",C38)),IFERROR(_xlfn.NUMBERVALUE(SUBSTITUTE(LEFT(TRIM(C38),FIND(" ",TRIM(C38)&amp;" ")-1),",","."),"."),LEFT(SUBSTITUTE(LEFT(TRIM(C38),FIND(" ",TRIM(C38)&amp;" ")-1),",","."),FIND("/",SUBSTITUTE(LEFT(TRIM(C38),FIND(" ",TRIM(C38)&amp;" ")-1),",","."))-1)/MID(SUBSTITUTE(LEFT(TRIM(C38),FIND(" ",TRIM(C38)&amp;" ")-1),",","."),FIND("/",SUBSTITUTE(LEFT(TRIM(C38),FIND(" ",TRIM(C38)&amp;" ")-1),",","."))+1,9))*12,NA()))),0),9)*'Aturan &amp; Tarif'!$B$4,2)</f>
        <v>511.02</v>
      </c>
      <c r="K38" s="42" t="n">
        <f aca="false">'Aturan &amp; Tarif'!$B$5</f>
        <v>2050</v>
      </c>
      <c r="L38" s="42" t="n">
        <f aca="false">'Aturan &amp; Tarif'!$B$6</f>
        <v>350</v>
      </c>
      <c r="M38" s="35" t="n">
        <f aca="false">I38+J38+K38+L38</f>
        <v>10911.02</v>
      </c>
      <c r="N38" s="44" t="s">
        <v>853</v>
      </c>
    </row>
    <row r="39" customFormat="false" ht="37.5" hidden="false" customHeight="true" outlineLevel="0" collapsed="false">
      <c r="A39" s="39"/>
      <c r="B39" s="40" t="s">
        <v>854</v>
      </c>
      <c r="C39" s="41" t="s">
        <v>130</v>
      </c>
      <c r="D39" s="41" t="s">
        <v>737</v>
      </c>
      <c r="E39" s="42" t="n">
        <v>7800</v>
      </c>
      <c r="F39" s="42"/>
      <c r="G39" s="42" t="n">
        <v>200</v>
      </c>
      <c r="H39" s="43" t="n">
        <v>1</v>
      </c>
      <c r="I39" s="34" t="n">
        <f aca="false">E39*H39+N(F39)+N(G39)</f>
        <v>8000</v>
      </c>
      <c r="J39" s="42" t="n">
        <f aca="false">ROUND(IFERROR(ROUND(IF(OR(ISNUMBER(SEARCH("week",C39)),ISNUMBER(SEARCH("minggu",C39))),IFERROR(_xlfn.NUMBERVALUE(SUBSTITUTE(LEFT(TRIM(C39),FIND(" ",TRIM(C39)&amp;" ")-1),",","."),"."),LEFT(SUBSTITUTE(LEFT(TRIM(C39),FIND(" ",TRIM(C39)&amp;" ")-1),",","."),FIND("/",SUBSTITUTE(LEFT(TRIM(C39),FIND(" ",TRIM(C39)&amp;" ")-1),",","."))-1)/MID(SUBSTITUTE(LEFT(TRIM(C39),FIND(" ",TRIM(C39)&amp;" ")-1),",","."),FIND("/",SUBSTITUTE(LEFT(TRIM(C39),FIND(" ",TRIM(C39)&amp;" ")-1),",","."))+1,9))*12/52,IF(ISNUMBER(SEARCH("month",C39)),IFERROR(_xlfn.NUMBERVALUE(SUBSTITUTE(LEFT(TRIM(C39),FIND(" ",TRIM(C39)&amp;" ")-1),",","."),"."),LEFT(SUBSTITUTE(LEFT(TRIM(C39),FIND(" ",TRIM(C39)&amp;" ")-1),",","."),FIND("/",SUBSTITUTE(LEFT(TRIM(C39),FIND(" ",TRIM(C39)&amp;" ")-1),",","."))-1)/MID(SUBSTITUTE(LEFT(TRIM(C39),FIND(" ",TRIM(C39)&amp;" ")-1),",","."),FIND("/",SUBSTITUTE(LEFT(TRIM(C39),FIND(" ",TRIM(C39)&amp;" ")-1),",","."))+1,9)),IF(ISNUMBER(SEARCH("yea",C39)),IFERROR(_xlfn.NUMBERVALUE(SUBSTITUTE(LEFT(TRIM(C39),FIND(" ",TRIM(C39)&amp;" ")-1),",","."),"."),LEFT(SUBSTITUTE(LEFT(TRIM(C39),FIND(" ",TRIM(C39)&amp;" ")-1),",","."),FIND("/",SUBSTITUTE(LEFT(TRIM(C39),FIND(" ",TRIM(C39)&amp;" ")-1),",","."))-1)/MID(SUBSTITUTE(LEFT(TRIM(C39),FIND(" ",TRIM(C39)&amp;" ")-1),",","."),FIND("/",SUBSTITUTE(LEFT(TRIM(C39),FIND(" ",TRIM(C39)&amp;" ")-1),",","."))+1,9))*12,NA()))),0),12)*'Aturan &amp; Tarif'!$B$4,2)</f>
        <v>681.36</v>
      </c>
      <c r="K39" s="42" t="n">
        <f aca="false">'Aturan &amp; Tarif'!$B$5</f>
        <v>2050</v>
      </c>
      <c r="L39" s="42" t="n">
        <f aca="false">'Aturan &amp; Tarif'!$B$6</f>
        <v>350</v>
      </c>
      <c r="M39" s="35" t="n">
        <f aca="false">I39+J39+K39+L39</f>
        <v>11081.36</v>
      </c>
      <c r="N39" s="44" t="s">
        <v>853</v>
      </c>
    </row>
    <row r="40" customFormat="false" ht="37.5" hidden="false" customHeight="true" outlineLevel="0" collapsed="false">
      <c r="A40" s="39"/>
      <c r="B40" s="40" t="s">
        <v>348</v>
      </c>
      <c r="C40" s="41" t="s">
        <v>107</v>
      </c>
      <c r="D40" s="41" t="s">
        <v>737</v>
      </c>
      <c r="E40" s="42" t="n">
        <v>7800</v>
      </c>
      <c r="F40" s="42"/>
      <c r="G40" s="42" t="n">
        <v>200</v>
      </c>
      <c r="H40" s="43" t="n">
        <v>1</v>
      </c>
      <c r="I40" s="34" t="n">
        <f aca="false">E40*H40+N(F40)+N(G40)</f>
        <v>8000</v>
      </c>
      <c r="J40" s="42" t="n">
        <f aca="false">ROUND(IFERROR(ROUND(IF(OR(ISNUMBER(SEARCH("week",C40)),ISNUMBER(SEARCH("minggu",C40))),IFERROR(_xlfn.NUMBERVALUE(SUBSTITUTE(LEFT(TRIM(C40),FIND(" ",TRIM(C40)&amp;" ")-1),",","."),"."),LEFT(SUBSTITUTE(LEFT(TRIM(C40),FIND(" ",TRIM(C40)&amp;" ")-1),",","."),FIND("/",SUBSTITUTE(LEFT(TRIM(C40),FIND(" ",TRIM(C40)&amp;" ")-1),",","."))-1)/MID(SUBSTITUTE(LEFT(TRIM(C40),FIND(" ",TRIM(C40)&amp;" ")-1),",","."),FIND("/",SUBSTITUTE(LEFT(TRIM(C40),FIND(" ",TRIM(C40)&amp;" ")-1),",","."))+1,9))*12/52,IF(ISNUMBER(SEARCH("month",C40)),IFERROR(_xlfn.NUMBERVALUE(SUBSTITUTE(LEFT(TRIM(C40),FIND(" ",TRIM(C40)&amp;" ")-1),",","."),"."),LEFT(SUBSTITUTE(LEFT(TRIM(C40),FIND(" ",TRIM(C40)&amp;" ")-1),",","."),FIND("/",SUBSTITUTE(LEFT(TRIM(C40),FIND(" ",TRIM(C40)&amp;" ")-1),",","."))-1)/MID(SUBSTITUTE(LEFT(TRIM(C40),FIND(" ",TRIM(C40)&amp;" ")-1),",","."),FIND("/",SUBSTITUTE(LEFT(TRIM(C40),FIND(" ",TRIM(C40)&amp;" ")-1),",","."))+1,9)),IF(ISNUMBER(SEARCH("yea",C40)),IFERROR(_xlfn.NUMBERVALUE(SUBSTITUTE(LEFT(TRIM(C40),FIND(" ",TRIM(C40)&amp;" ")-1),",","."),"."),LEFT(SUBSTITUTE(LEFT(TRIM(C40),FIND(" ",TRIM(C40)&amp;" ")-1),",","."),FIND("/",SUBSTITUTE(LEFT(TRIM(C40),FIND(" ",TRIM(C40)&amp;" ")-1),",","."))-1)/MID(SUBSTITUTE(LEFT(TRIM(C40),FIND(" ",TRIM(C40)&amp;" ")-1),",","."),FIND("/",SUBSTITUTE(LEFT(TRIM(C40),FIND(" ",TRIM(C40)&amp;" ")-1),",","."))+1,9))*12,NA()))),0),24)*'Aturan &amp; Tarif'!$B$4,2)</f>
        <v>1362.72</v>
      </c>
      <c r="K40" s="42" t="n">
        <f aca="false">'Aturan &amp; Tarif'!$B$5</f>
        <v>2050</v>
      </c>
      <c r="L40" s="42" t="n">
        <f aca="false">'Aturan &amp; Tarif'!$B$6</f>
        <v>350</v>
      </c>
      <c r="M40" s="35" t="n">
        <f aca="false">I40+J40+K40+L40</f>
        <v>11762.72</v>
      </c>
      <c r="N40" s="44" t="s">
        <v>855</v>
      </c>
    </row>
    <row r="41" customFormat="false" ht="37.5" hidden="false" customHeight="true" outlineLevel="0" collapsed="false">
      <c r="A41" s="39"/>
      <c r="B41" s="40" t="s">
        <v>856</v>
      </c>
      <c r="C41" s="41" t="s">
        <v>344</v>
      </c>
      <c r="D41" s="41" t="s">
        <v>737</v>
      </c>
      <c r="E41" s="42" t="n">
        <v>7800</v>
      </c>
      <c r="F41" s="42"/>
      <c r="G41" s="42" t="n">
        <v>200</v>
      </c>
      <c r="H41" s="43" t="n">
        <v>1</v>
      </c>
      <c r="I41" s="34" t="n">
        <f aca="false">E41*H41+N(F41)+N(G41)</f>
        <v>8000</v>
      </c>
      <c r="J41" s="42" t="n">
        <f aca="false">ROUND(IFERROR(ROUND(IF(OR(ISNUMBER(SEARCH("week",C41)),ISNUMBER(SEARCH("minggu",C41))),IFERROR(_xlfn.NUMBERVALUE(SUBSTITUTE(LEFT(TRIM(C41),FIND(" ",TRIM(C41)&amp;" ")-1),",","."),"."),LEFT(SUBSTITUTE(LEFT(TRIM(C41),FIND(" ",TRIM(C41)&amp;" ")-1),",","."),FIND("/",SUBSTITUTE(LEFT(TRIM(C41),FIND(" ",TRIM(C41)&amp;" ")-1),",","."))-1)/MID(SUBSTITUTE(LEFT(TRIM(C41),FIND(" ",TRIM(C41)&amp;" ")-1),",","."),FIND("/",SUBSTITUTE(LEFT(TRIM(C41),FIND(" ",TRIM(C41)&amp;" ")-1),",","."))+1,9))*12/52,IF(ISNUMBER(SEARCH("month",C41)),IFERROR(_xlfn.NUMBERVALUE(SUBSTITUTE(LEFT(TRIM(C41),FIND(" ",TRIM(C41)&amp;" ")-1),",","."),"."),LEFT(SUBSTITUTE(LEFT(TRIM(C41),FIND(" ",TRIM(C41)&amp;" ")-1),",","."),FIND("/",SUBSTITUTE(LEFT(TRIM(C41),FIND(" ",TRIM(C41)&amp;" ")-1),",","."))-1)/MID(SUBSTITUTE(LEFT(TRIM(C41),FIND(" ",TRIM(C41)&amp;" ")-1),",","."),FIND("/",SUBSTITUTE(LEFT(TRIM(C41),FIND(" ",TRIM(C41)&amp;" ")-1),",","."))+1,9)),IF(ISNUMBER(SEARCH("yea",C41)),IFERROR(_xlfn.NUMBERVALUE(SUBSTITUTE(LEFT(TRIM(C41),FIND(" ",TRIM(C41)&amp;" ")-1),",","."),"."),LEFT(SUBSTITUTE(LEFT(TRIM(C41),FIND(" ",TRIM(C41)&amp;" ")-1),",","."),FIND("/",SUBSTITUTE(LEFT(TRIM(C41),FIND(" ",TRIM(C41)&amp;" ")-1),",","."))-1)/MID(SUBSTITUTE(LEFT(TRIM(C41),FIND(" ",TRIM(C41)&amp;" ")-1),",","."),FIND("/",SUBSTITUTE(LEFT(TRIM(C41),FIND(" ",TRIM(C41)&amp;" ")-1),",","."))+1,9))*12,NA()))),0),6)*'Aturan &amp; Tarif'!$B$4,2)</f>
        <v>340.68</v>
      </c>
      <c r="K41" s="42" t="n">
        <f aca="false">'Aturan &amp; Tarif'!$B$5</f>
        <v>2050</v>
      </c>
      <c r="L41" s="42" t="n">
        <f aca="false">'Aturan &amp; Tarif'!$B$6</f>
        <v>350</v>
      </c>
      <c r="M41" s="35" t="n">
        <f aca="false">I41+J41+K41+L41</f>
        <v>10740.68</v>
      </c>
      <c r="N41" s="44" t="s">
        <v>853</v>
      </c>
    </row>
    <row r="42" customFormat="false" ht="37.5" hidden="false" customHeight="true" outlineLevel="0" collapsed="false">
      <c r="A42" s="39"/>
      <c r="B42" s="40" t="s">
        <v>349</v>
      </c>
      <c r="C42" s="41" t="s">
        <v>107</v>
      </c>
      <c r="D42" s="41" t="s">
        <v>737</v>
      </c>
      <c r="E42" s="42" t="n">
        <v>7800</v>
      </c>
      <c r="F42" s="42"/>
      <c r="G42" s="42" t="n">
        <v>200</v>
      </c>
      <c r="H42" s="43" t="n">
        <v>1</v>
      </c>
      <c r="I42" s="34" t="n">
        <f aca="false">E42*H42+N(F42)+N(G42)</f>
        <v>8000</v>
      </c>
      <c r="J42" s="42" t="n">
        <f aca="false">ROUND(IFERROR(ROUND(IF(OR(ISNUMBER(SEARCH("week",C42)),ISNUMBER(SEARCH("minggu",C42))),IFERROR(_xlfn.NUMBERVALUE(SUBSTITUTE(LEFT(TRIM(C42),FIND(" ",TRIM(C42)&amp;" ")-1),",","."),"."),LEFT(SUBSTITUTE(LEFT(TRIM(C42),FIND(" ",TRIM(C42)&amp;" ")-1),",","."),FIND("/",SUBSTITUTE(LEFT(TRIM(C42),FIND(" ",TRIM(C42)&amp;" ")-1),",","."))-1)/MID(SUBSTITUTE(LEFT(TRIM(C42),FIND(" ",TRIM(C42)&amp;" ")-1),",","."),FIND("/",SUBSTITUTE(LEFT(TRIM(C42),FIND(" ",TRIM(C42)&amp;" ")-1),",","."))+1,9))*12/52,IF(ISNUMBER(SEARCH("month",C42)),IFERROR(_xlfn.NUMBERVALUE(SUBSTITUTE(LEFT(TRIM(C42),FIND(" ",TRIM(C42)&amp;" ")-1),",","."),"."),LEFT(SUBSTITUTE(LEFT(TRIM(C42),FIND(" ",TRIM(C42)&amp;" ")-1),",","."),FIND("/",SUBSTITUTE(LEFT(TRIM(C42),FIND(" ",TRIM(C42)&amp;" ")-1),",","."))-1)/MID(SUBSTITUTE(LEFT(TRIM(C42),FIND(" ",TRIM(C42)&amp;" ")-1),",","."),FIND("/",SUBSTITUTE(LEFT(TRIM(C42),FIND(" ",TRIM(C42)&amp;" ")-1),",","."))+1,9)),IF(ISNUMBER(SEARCH("yea",C42)),IFERROR(_xlfn.NUMBERVALUE(SUBSTITUTE(LEFT(TRIM(C42),FIND(" ",TRIM(C42)&amp;" ")-1),",","."),"."),LEFT(SUBSTITUTE(LEFT(TRIM(C42),FIND(" ",TRIM(C42)&amp;" ")-1),",","."),FIND("/",SUBSTITUTE(LEFT(TRIM(C42),FIND(" ",TRIM(C42)&amp;" ")-1),",","."))-1)/MID(SUBSTITUTE(LEFT(TRIM(C42),FIND(" ",TRIM(C42)&amp;" ")-1),",","."),FIND("/",SUBSTITUTE(LEFT(TRIM(C42),FIND(" ",TRIM(C42)&amp;" ")-1),",","."))+1,9))*12,NA()))),0),24)*'Aturan &amp; Tarif'!$B$4,2)</f>
        <v>1362.72</v>
      </c>
      <c r="K42" s="42" t="n">
        <f aca="false">'Aturan &amp; Tarif'!$B$5</f>
        <v>2050</v>
      </c>
      <c r="L42" s="42" t="n">
        <f aca="false">'Aturan &amp; Tarif'!$B$6</f>
        <v>350</v>
      </c>
      <c r="M42" s="35" t="n">
        <f aca="false">I42+J42+K42+L42</f>
        <v>11762.72</v>
      </c>
      <c r="N42" s="44" t="s">
        <v>855</v>
      </c>
    </row>
    <row r="43" customFormat="false" ht="37.5" hidden="false" customHeight="true" outlineLevel="0" collapsed="false">
      <c r="A43" s="39"/>
      <c r="B43" s="40" t="s">
        <v>857</v>
      </c>
      <c r="C43" s="41" t="s">
        <v>852</v>
      </c>
      <c r="D43" s="41" t="s">
        <v>737</v>
      </c>
      <c r="E43" s="42" t="n">
        <v>7800</v>
      </c>
      <c r="F43" s="42"/>
      <c r="G43" s="42" t="n">
        <v>200</v>
      </c>
      <c r="H43" s="43" t="n">
        <v>1</v>
      </c>
      <c r="I43" s="34" t="n">
        <f aca="false">E43*H43+N(F43)+N(G43)</f>
        <v>8000</v>
      </c>
      <c r="J43" s="42" t="n">
        <f aca="false">ROUND(IFERROR(ROUND(IF(OR(ISNUMBER(SEARCH("week",C43)),ISNUMBER(SEARCH("minggu",C43))),IFERROR(_xlfn.NUMBERVALUE(SUBSTITUTE(LEFT(TRIM(C43),FIND(" ",TRIM(C43)&amp;" ")-1),",","."),"."),LEFT(SUBSTITUTE(LEFT(TRIM(C43),FIND(" ",TRIM(C43)&amp;" ")-1),",","."),FIND("/",SUBSTITUTE(LEFT(TRIM(C43),FIND(" ",TRIM(C43)&amp;" ")-1),",","."))-1)/MID(SUBSTITUTE(LEFT(TRIM(C43),FIND(" ",TRIM(C43)&amp;" ")-1),",","."),FIND("/",SUBSTITUTE(LEFT(TRIM(C43),FIND(" ",TRIM(C43)&amp;" ")-1),",","."))+1,9))*12/52,IF(ISNUMBER(SEARCH("month",C43)),IFERROR(_xlfn.NUMBERVALUE(SUBSTITUTE(LEFT(TRIM(C43),FIND(" ",TRIM(C43)&amp;" ")-1),",","."),"."),LEFT(SUBSTITUTE(LEFT(TRIM(C43),FIND(" ",TRIM(C43)&amp;" ")-1),",","."),FIND("/",SUBSTITUTE(LEFT(TRIM(C43),FIND(" ",TRIM(C43)&amp;" ")-1),",","."))-1)/MID(SUBSTITUTE(LEFT(TRIM(C43),FIND(" ",TRIM(C43)&amp;" ")-1),",","."),FIND("/",SUBSTITUTE(LEFT(TRIM(C43),FIND(" ",TRIM(C43)&amp;" ")-1),",","."))+1,9)),IF(ISNUMBER(SEARCH("yea",C43)),IFERROR(_xlfn.NUMBERVALUE(SUBSTITUTE(LEFT(TRIM(C43),FIND(" ",TRIM(C43)&amp;" ")-1),",","."),"."),LEFT(SUBSTITUTE(LEFT(TRIM(C43),FIND(" ",TRIM(C43)&amp;" ")-1),",","."),FIND("/",SUBSTITUTE(LEFT(TRIM(C43),FIND(" ",TRIM(C43)&amp;" ")-1),",","."))-1)/MID(SUBSTITUTE(LEFT(TRIM(C43),FIND(" ",TRIM(C43)&amp;" ")-1),",","."),FIND("/",SUBSTITUTE(LEFT(TRIM(C43),FIND(" ",TRIM(C43)&amp;" ")-1),",","."))+1,9))*12,NA()))),0),9)*'Aturan &amp; Tarif'!$B$4,2)</f>
        <v>511.02</v>
      </c>
      <c r="K43" s="42" t="n">
        <f aca="false">'Aturan &amp; Tarif'!$B$5</f>
        <v>2050</v>
      </c>
      <c r="L43" s="42" t="n">
        <f aca="false">'Aturan &amp; Tarif'!$B$6</f>
        <v>350</v>
      </c>
      <c r="M43" s="35" t="n">
        <f aca="false">I43+J43+K43+L43</f>
        <v>10911.02</v>
      </c>
      <c r="N43" s="44" t="s">
        <v>853</v>
      </c>
    </row>
    <row r="44" customFormat="false" ht="37.5" hidden="false" customHeight="true" outlineLevel="0" collapsed="false">
      <c r="A44" s="39"/>
      <c r="B44" s="40" t="s">
        <v>858</v>
      </c>
      <c r="C44" s="41" t="s">
        <v>130</v>
      </c>
      <c r="D44" s="41" t="s">
        <v>737</v>
      </c>
      <c r="E44" s="42" t="n">
        <v>7800</v>
      </c>
      <c r="F44" s="42"/>
      <c r="G44" s="42" t="n">
        <v>200</v>
      </c>
      <c r="H44" s="43" t="n">
        <v>1</v>
      </c>
      <c r="I44" s="34" t="n">
        <f aca="false">E44*H44+N(F44)+N(G44)</f>
        <v>8000</v>
      </c>
      <c r="J44" s="42" t="n">
        <f aca="false">ROUND(IFERROR(ROUND(IF(OR(ISNUMBER(SEARCH("week",C44)),ISNUMBER(SEARCH("minggu",C44))),IFERROR(_xlfn.NUMBERVALUE(SUBSTITUTE(LEFT(TRIM(C44),FIND(" ",TRIM(C44)&amp;" ")-1),",","."),"."),LEFT(SUBSTITUTE(LEFT(TRIM(C44),FIND(" ",TRIM(C44)&amp;" ")-1),",","."),FIND("/",SUBSTITUTE(LEFT(TRIM(C44),FIND(" ",TRIM(C44)&amp;" ")-1),",","."))-1)/MID(SUBSTITUTE(LEFT(TRIM(C44),FIND(" ",TRIM(C44)&amp;" ")-1),",","."),FIND("/",SUBSTITUTE(LEFT(TRIM(C44),FIND(" ",TRIM(C44)&amp;" ")-1),",","."))+1,9))*12/52,IF(ISNUMBER(SEARCH("month",C44)),IFERROR(_xlfn.NUMBERVALUE(SUBSTITUTE(LEFT(TRIM(C44),FIND(" ",TRIM(C44)&amp;" ")-1),",","."),"."),LEFT(SUBSTITUTE(LEFT(TRIM(C44),FIND(" ",TRIM(C44)&amp;" ")-1),",","."),FIND("/",SUBSTITUTE(LEFT(TRIM(C44),FIND(" ",TRIM(C44)&amp;" ")-1),",","."))-1)/MID(SUBSTITUTE(LEFT(TRIM(C44),FIND(" ",TRIM(C44)&amp;" ")-1),",","."),FIND("/",SUBSTITUTE(LEFT(TRIM(C44),FIND(" ",TRIM(C44)&amp;" ")-1),",","."))+1,9)),IF(ISNUMBER(SEARCH("yea",C44)),IFERROR(_xlfn.NUMBERVALUE(SUBSTITUTE(LEFT(TRIM(C44),FIND(" ",TRIM(C44)&amp;" ")-1),",","."),"."),LEFT(SUBSTITUTE(LEFT(TRIM(C44),FIND(" ",TRIM(C44)&amp;" ")-1),",","."),FIND("/",SUBSTITUTE(LEFT(TRIM(C44),FIND(" ",TRIM(C44)&amp;" ")-1),",","."))-1)/MID(SUBSTITUTE(LEFT(TRIM(C44),FIND(" ",TRIM(C44)&amp;" ")-1),",","."),FIND("/",SUBSTITUTE(LEFT(TRIM(C44),FIND(" ",TRIM(C44)&amp;" ")-1),",","."))+1,9))*12,NA()))),0),12)*'Aturan &amp; Tarif'!$B$4,2)</f>
        <v>681.36</v>
      </c>
      <c r="K44" s="42" t="n">
        <f aca="false">'Aturan &amp; Tarif'!$B$5</f>
        <v>2050</v>
      </c>
      <c r="L44" s="42" t="n">
        <f aca="false">'Aturan &amp; Tarif'!$B$6</f>
        <v>350</v>
      </c>
      <c r="M44" s="35" t="n">
        <f aca="false">I44+J44+K44+L44</f>
        <v>11081.36</v>
      </c>
      <c r="N44" s="44" t="s">
        <v>853</v>
      </c>
    </row>
    <row r="45" customFormat="false" ht="37.5" hidden="false" customHeight="true" outlineLevel="0" collapsed="false">
      <c r="A45" s="39"/>
      <c r="B45" s="40" t="s">
        <v>859</v>
      </c>
      <c r="C45" s="41" t="s">
        <v>107</v>
      </c>
      <c r="D45" s="41" t="s">
        <v>737</v>
      </c>
      <c r="E45" s="42" t="n">
        <v>7800</v>
      </c>
      <c r="F45" s="42"/>
      <c r="G45" s="42" t="n">
        <v>200</v>
      </c>
      <c r="H45" s="43" t="n">
        <v>1</v>
      </c>
      <c r="I45" s="34" t="n">
        <f aca="false">E45*H45+N(F45)+N(G45)</f>
        <v>8000</v>
      </c>
      <c r="J45" s="42" t="n">
        <f aca="false">ROUND(IFERROR(ROUND(IF(OR(ISNUMBER(SEARCH("week",C45)),ISNUMBER(SEARCH("minggu",C45))),IFERROR(_xlfn.NUMBERVALUE(SUBSTITUTE(LEFT(TRIM(C45),FIND(" ",TRIM(C45)&amp;" ")-1),",","."),"."),LEFT(SUBSTITUTE(LEFT(TRIM(C45),FIND(" ",TRIM(C45)&amp;" ")-1),",","."),FIND("/",SUBSTITUTE(LEFT(TRIM(C45),FIND(" ",TRIM(C45)&amp;" ")-1),",","."))-1)/MID(SUBSTITUTE(LEFT(TRIM(C45),FIND(" ",TRIM(C45)&amp;" ")-1),",","."),FIND("/",SUBSTITUTE(LEFT(TRIM(C45),FIND(" ",TRIM(C45)&amp;" ")-1),",","."))+1,9))*12/52,IF(ISNUMBER(SEARCH("month",C45)),IFERROR(_xlfn.NUMBERVALUE(SUBSTITUTE(LEFT(TRIM(C45),FIND(" ",TRIM(C45)&amp;" ")-1),",","."),"."),LEFT(SUBSTITUTE(LEFT(TRIM(C45),FIND(" ",TRIM(C45)&amp;" ")-1),",","."),FIND("/",SUBSTITUTE(LEFT(TRIM(C45),FIND(" ",TRIM(C45)&amp;" ")-1),",","."))-1)/MID(SUBSTITUTE(LEFT(TRIM(C45),FIND(" ",TRIM(C45)&amp;" ")-1),",","."),FIND("/",SUBSTITUTE(LEFT(TRIM(C45),FIND(" ",TRIM(C45)&amp;" ")-1),",","."))+1,9)),IF(ISNUMBER(SEARCH("yea",C45)),IFERROR(_xlfn.NUMBERVALUE(SUBSTITUTE(LEFT(TRIM(C45),FIND(" ",TRIM(C45)&amp;" ")-1),",","."),"."),LEFT(SUBSTITUTE(LEFT(TRIM(C45),FIND(" ",TRIM(C45)&amp;" ")-1),",","."),FIND("/",SUBSTITUTE(LEFT(TRIM(C45),FIND(" ",TRIM(C45)&amp;" ")-1),",","."))-1)/MID(SUBSTITUTE(LEFT(TRIM(C45),FIND(" ",TRIM(C45)&amp;" ")-1),",","."),FIND("/",SUBSTITUTE(LEFT(TRIM(C45),FIND(" ",TRIM(C45)&amp;" ")-1),",","."))+1,9))*12,NA()))),0),24)*'Aturan &amp; Tarif'!$B$4,2)</f>
        <v>1362.72</v>
      </c>
      <c r="K45" s="42" t="n">
        <f aca="false">'Aturan &amp; Tarif'!$B$5</f>
        <v>2050</v>
      </c>
      <c r="L45" s="42" t="n">
        <f aca="false">'Aturan &amp; Tarif'!$B$6</f>
        <v>350</v>
      </c>
      <c r="M45" s="35" t="n">
        <f aca="false">I45+J45+K45+L45</f>
        <v>11762.72</v>
      </c>
      <c r="N45" s="44" t="s">
        <v>855</v>
      </c>
    </row>
    <row r="46" customFormat="false" ht="60" hidden="false" customHeight="true" outlineLevel="0" collapsed="false">
      <c r="A46" s="39" t="s">
        <v>860</v>
      </c>
      <c r="B46" s="40" t="s">
        <v>861</v>
      </c>
      <c r="C46" s="41" t="s">
        <v>127</v>
      </c>
      <c r="D46" s="41" t="s">
        <v>108</v>
      </c>
      <c r="E46" s="42" t="n">
        <v>3000</v>
      </c>
      <c r="F46" s="42"/>
      <c r="G46" s="42" t="n">
        <v>500</v>
      </c>
      <c r="H46" s="43" t="n">
        <v>2</v>
      </c>
      <c r="I46" s="34" t="n">
        <f aca="false">E46*H46+N(F46)+N(G46)</f>
        <v>6500</v>
      </c>
      <c r="J46" s="42" t="n">
        <f aca="false">ROUND(IFERROR(ROUND(IF(OR(ISNUMBER(SEARCH("week",C46)),ISNUMBER(SEARCH("minggu",C46))),IFERROR(_xlfn.NUMBERVALUE(SUBSTITUTE(LEFT(TRIM(C46),FIND(" ",TRIM(C46)&amp;" ")-1),",","."),"."),LEFT(SUBSTITUTE(LEFT(TRIM(C46),FIND(" ",TRIM(C46)&amp;" ")-1),",","."),FIND("/",SUBSTITUTE(LEFT(TRIM(C46),FIND(" ",TRIM(C46)&amp;" ")-1),",","."))-1)/MID(SUBSTITUTE(LEFT(TRIM(C46),FIND(" ",TRIM(C46)&amp;" ")-1),",","."),FIND("/",SUBSTITUTE(LEFT(TRIM(C46),FIND(" ",TRIM(C46)&amp;" ")-1),",","."))+1,9))*12/52,IF(ISNUMBER(SEARCH("month",C46)),IFERROR(_xlfn.NUMBERVALUE(SUBSTITUTE(LEFT(TRIM(C46),FIND(" ",TRIM(C46)&amp;" ")-1),",","."),"."),LEFT(SUBSTITUTE(LEFT(TRIM(C46),FIND(" ",TRIM(C46)&amp;" ")-1),",","."),FIND("/",SUBSTITUTE(LEFT(TRIM(C46),FIND(" ",TRIM(C46)&amp;" ")-1),",","."))-1)/MID(SUBSTITUTE(LEFT(TRIM(C46),FIND(" ",TRIM(C46)&amp;" ")-1),",","."),FIND("/",SUBSTITUTE(LEFT(TRIM(C46),FIND(" ",TRIM(C46)&amp;" ")-1),",","."))+1,9)),IF(ISNUMBER(SEARCH("yea",C46)),IFERROR(_xlfn.NUMBERVALUE(SUBSTITUTE(LEFT(TRIM(C46),FIND(" ",TRIM(C46)&amp;" ")-1),",","."),"."),LEFT(SUBSTITUTE(LEFT(TRIM(C46),FIND(" ",TRIM(C46)&amp;" ")-1),",","."),FIND("/",SUBSTITUTE(LEFT(TRIM(C46),FIND(" ",TRIM(C46)&amp;" ")-1),",","."))-1)/MID(SUBSTITUTE(LEFT(TRIM(C46),FIND(" ",TRIM(C46)&amp;" ")-1),",","."),FIND("/",SUBSTITUTE(LEFT(TRIM(C46),FIND(" ",TRIM(C46)&amp;" ")-1),",","."))+1,9))*12,NA()))),0),36)*'Aturan &amp; Tarif'!$B$4,2)</f>
        <v>2044.08</v>
      </c>
      <c r="K46" s="42" t="n">
        <f aca="false">'Aturan &amp; Tarif'!$B$5</f>
        <v>2050</v>
      </c>
      <c r="L46" s="42" t="n">
        <f aca="false">'Aturan &amp; Tarif'!$B$6</f>
        <v>350</v>
      </c>
      <c r="M46" s="35" t="n">
        <f aca="false">I46+J46+K46+L46</f>
        <v>10944.08</v>
      </c>
      <c r="N46" s="45" t="s">
        <v>862</v>
      </c>
    </row>
    <row r="47" customFormat="false" ht="14.25" hidden="false" customHeight="true" outlineLevel="0" collapsed="false">
      <c r="A47" s="39"/>
      <c r="B47" s="40" t="s">
        <v>863</v>
      </c>
      <c r="C47" s="41" t="s">
        <v>130</v>
      </c>
      <c r="D47" s="41" t="s">
        <v>108</v>
      </c>
      <c r="E47" s="42" t="n">
        <v>4000</v>
      </c>
      <c r="F47" s="42"/>
      <c r="G47" s="42" t="n">
        <v>500</v>
      </c>
      <c r="H47" s="43" t="n">
        <v>2</v>
      </c>
      <c r="I47" s="34" t="n">
        <f aca="false">E47*H47+N(F47)+N(G47)</f>
        <v>8500</v>
      </c>
      <c r="J47" s="42" t="n">
        <f aca="false">ROUND(IFERROR(ROUND(IF(OR(ISNUMBER(SEARCH("week",C47)),ISNUMBER(SEARCH("minggu",C47))),IFERROR(_xlfn.NUMBERVALUE(SUBSTITUTE(LEFT(TRIM(C47),FIND(" ",TRIM(C47)&amp;" ")-1),",","."),"."),LEFT(SUBSTITUTE(LEFT(TRIM(C47),FIND(" ",TRIM(C47)&amp;" ")-1),",","."),FIND("/",SUBSTITUTE(LEFT(TRIM(C47),FIND(" ",TRIM(C47)&amp;" ")-1),",","."))-1)/MID(SUBSTITUTE(LEFT(TRIM(C47),FIND(" ",TRIM(C47)&amp;" ")-1),",","."),FIND("/",SUBSTITUTE(LEFT(TRIM(C47),FIND(" ",TRIM(C47)&amp;" ")-1),",","."))+1,9))*12/52,IF(ISNUMBER(SEARCH("month",C47)),IFERROR(_xlfn.NUMBERVALUE(SUBSTITUTE(LEFT(TRIM(C47),FIND(" ",TRIM(C47)&amp;" ")-1),",","."),"."),LEFT(SUBSTITUTE(LEFT(TRIM(C47),FIND(" ",TRIM(C47)&amp;" ")-1),",","."),FIND("/",SUBSTITUTE(LEFT(TRIM(C47),FIND(" ",TRIM(C47)&amp;" ")-1),",","."))-1)/MID(SUBSTITUTE(LEFT(TRIM(C47),FIND(" ",TRIM(C47)&amp;" ")-1),",","."),FIND("/",SUBSTITUTE(LEFT(TRIM(C47),FIND(" ",TRIM(C47)&amp;" ")-1),",","."))+1,9)),IF(ISNUMBER(SEARCH("yea",C47)),IFERROR(_xlfn.NUMBERVALUE(SUBSTITUTE(LEFT(TRIM(C47),FIND(" ",TRIM(C47)&amp;" ")-1),",","."),"."),LEFT(SUBSTITUTE(LEFT(TRIM(C47),FIND(" ",TRIM(C47)&amp;" ")-1),",","."),FIND("/",SUBSTITUTE(LEFT(TRIM(C47),FIND(" ",TRIM(C47)&amp;" ")-1),",","."))-1)/MID(SUBSTITUTE(LEFT(TRIM(C47),FIND(" ",TRIM(C47)&amp;" ")-1),",","."),FIND("/",SUBSTITUTE(LEFT(TRIM(C47),FIND(" ",TRIM(C47)&amp;" ")-1),",","."))+1,9))*12,NA()))),0),12)*'Aturan &amp; Tarif'!$B$4,2)</f>
        <v>681.36</v>
      </c>
      <c r="K47" s="42" t="n">
        <f aca="false">'Aturan &amp; Tarif'!$B$5</f>
        <v>2050</v>
      </c>
      <c r="L47" s="42" t="n">
        <f aca="false">'Aturan &amp; Tarif'!$B$6</f>
        <v>350</v>
      </c>
      <c r="M47" s="35" t="n">
        <f aca="false">I47+J47+K47+L47</f>
        <v>11581.36</v>
      </c>
      <c r="N47" s="45" t="s">
        <v>862</v>
      </c>
    </row>
    <row r="48" customFormat="false" ht="25.5" hidden="false" customHeight="true" outlineLevel="0" collapsed="false">
      <c r="A48" s="39"/>
      <c r="B48" s="40" t="s">
        <v>864</v>
      </c>
      <c r="C48" s="41" t="s">
        <v>107</v>
      </c>
      <c r="D48" s="41" t="s">
        <v>108</v>
      </c>
      <c r="E48" s="42" t="n">
        <v>4000</v>
      </c>
      <c r="F48" s="42"/>
      <c r="G48" s="42" t="n">
        <v>500</v>
      </c>
      <c r="H48" s="43" t="n">
        <v>2</v>
      </c>
      <c r="I48" s="34" t="n">
        <f aca="false">E48*H48+N(F48)+N(G48)</f>
        <v>8500</v>
      </c>
      <c r="J48" s="42" t="n">
        <f aca="false">ROUND(IFERROR(ROUND(IF(OR(ISNUMBER(SEARCH("week",C48)),ISNUMBER(SEARCH("minggu",C48))),IFERROR(_xlfn.NUMBERVALUE(SUBSTITUTE(LEFT(TRIM(C48),FIND(" ",TRIM(C48)&amp;" ")-1),",","."),"."),LEFT(SUBSTITUTE(LEFT(TRIM(C48),FIND(" ",TRIM(C48)&amp;" ")-1),",","."),FIND("/",SUBSTITUTE(LEFT(TRIM(C48),FIND(" ",TRIM(C48)&amp;" ")-1),",","."))-1)/MID(SUBSTITUTE(LEFT(TRIM(C48),FIND(" ",TRIM(C48)&amp;" ")-1),",","."),FIND("/",SUBSTITUTE(LEFT(TRIM(C48),FIND(" ",TRIM(C48)&amp;" ")-1),",","."))+1,9))*12/52,IF(ISNUMBER(SEARCH("month",C48)),IFERROR(_xlfn.NUMBERVALUE(SUBSTITUTE(LEFT(TRIM(C48),FIND(" ",TRIM(C48)&amp;" ")-1),",","."),"."),LEFT(SUBSTITUTE(LEFT(TRIM(C48),FIND(" ",TRIM(C48)&amp;" ")-1),",","."),FIND("/",SUBSTITUTE(LEFT(TRIM(C48),FIND(" ",TRIM(C48)&amp;" ")-1),",","."))-1)/MID(SUBSTITUTE(LEFT(TRIM(C48),FIND(" ",TRIM(C48)&amp;" ")-1),",","."),FIND("/",SUBSTITUTE(LEFT(TRIM(C48),FIND(" ",TRIM(C48)&amp;" ")-1),",","."))+1,9)),IF(ISNUMBER(SEARCH("yea",C48)),IFERROR(_xlfn.NUMBERVALUE(SUBSTITUTE(LEFT(TRIM(C48),FIND(" ",TRIM(C48)&amp;" ")-1),",","."),"."),LEFT(SUBSTITUTE(LEFT(TRIM(C48),FIND(" ",TRIM(C48)&amp;" ")-1),",","."),FIND("/",SUBSTITUTE(LEFT(TRIM(C48),FIND(" ",TRIM(C48)&amp;" ")-1),",","."))-1)/MID(SUBSTITUTE(LEFT(TRIM(C48),FIND(" ",TRIM(C48)&amp;" ")-1),",","."),FIND("/",SUBSTITUTE(LEFT(TRIM(C48),FIND(" ",TRIM(C48)&amp;" ")-1),",","."))+1,9))*12,NA()))),0),24)*'Aturan &amp; Tarif'!$B$4,2)</f>
        <v>1362.72</v>
      </c>
      <c r="K48" s="42" t="n">
        <f aca="false">'Aturan &amp; Tarif'!$B$5</f>
        <v>2050</v>
      </c>
      <c r="L48" s="42" t="n">
        <f aca="false">'Aturan &amp; Tarif'!$B$6</f>
        <v>350</v>
      </c>
      <c r="M48" s="35" t="n">
        <f aca="false">I48+J48+K48+L48</f>
        <v>12262.72</v>
      </c>
      <c r="N48" s="45" t="s">
        <v>862</v>
      </c>
    </row>
    <row r="49" customFormat="false" ht="25.5" hidden="false" customHeight="true" outlineLevel="0" collapsed="false">
      <c r="A49" s="39"/>
      <c r="B49" s="40" t="s">
        <v>865</v>
      </c>
      <c r="C49" s="41" t="s">
        <v>107</v>
      </c>
      <c r="D49" s="41" t="s">
        <v>108</v>
      </c>
      <c r="E49" s="42" t="n">
        <v>4000</v>
      </c>
      <c r="F49" s="42"/>
      <c r="G49" s="42" t="n">
        <v>500</v>
      </c>
      <c r="H49" s="43" t="n">
        <v>2</v>
      </c>
      <c r="I49" s="34" t="n">
        <f aca="false">E49*H49+N(F49)+N(G49)</f>
        <v>8500</v>
      </c>
      <c r="J49" s="42" t="n">
        <f aca="false">ROUND(IFERROR(ROUND(IF(OR(ISNUMBER(SEARCH("week",C49)),ISNUMBER(SEARCH("minggu",C49))),IFERROR(_xlfn.NUMBERVALUE(SUBSTITUTE(LEFT(TRIM(C49),FIND(" ",TRIM(C49)&amp;" ")-1),",","."),"."),LEFT(SUBSTITUTE(LEFT(TRIM(C49),FIND(" ",TRIM(C49)&amp;" ")-1),",","."),FIND("/",SUBSTITUTE(LEFT(TRIM(C49),FIND(" ",TRIM(C49)&amp;" ")-1),",","."))-1)/MID(SUBSTITUTE(LEFT(TRIM(C49),FIND(" ",TRIM(C49)&amp;" ")-1),",","."),FIND("/",SUBSTITUTE(LEFT(TRIM(C49),FIND(" ",TRIM(C49)&amp;" ")-1),",","."))+1,9))*12/52,IF(ISNUMBER(SEARCH("month",C49)),IFERROR(_xlfn.NUMBERVALUE(SUBSTITUTE(LEFT(TRIM(C49),FIND(" ",TRIM(C49)&amp;" ")-1),",","."),"."),LEFT(SUBSTITUTE(LEFT(TRIM(C49),FIND(" ",TRIM(C49)&amp;" ")-1),",","."),FIND("/",SUBSTITUTE(LEFT(TRIM(C49),FIND(" ",TRIM(C49)&amp;" ")-1),",","."))-1)/MID(SUBSTITUTE(LEFT(TRIM(C49),FIND(" ",TRIM(C49)&amp;" ")-1),",","."),FIND("/",SUBSTITUTE(LEFT(TRIM(C49),FIND(" ",TRIM(C49)&amp;" ")-1),",","."))+1,9)),IF(ISNUMBER(SEARCH("yea",C49)),IFERROR(_xlfn.NUMBERVALUE(SUBSTITUTE(LEFT(TRIM(C49),FIND(" ",TRIM(C49)&amp;" ")-1),",","."),"."),LEFT(SUBSTITUTE(LEFT(TRIM(C49),FIND(" ",TRIM(C49)&amp;" ")-1),",","."),FIND("/",SUBSTITUTE(LEFT(TRIM(C49),FIND(" ",TRIM(C49)&amp;" ")-1),",","."))-1)/MID(SUBSTITUTE(LEFT(TRIM(C49),FIND(" ",TRIM(C49)&amp;" ")-1),",","."),FIND("/",SUBSTITUTE(LEFT(TRIM(C49),FIND(" ",TRIM(C49)&amp;" ")-1),",","."))+1,9))*12,NA()))),0),24)*'Aturan &amp; Tarif'!$B$4,2)</f>
        <v>1362.72</v>
      </c>
      <c r="K49" s="42" t="n">
        <f aca="false">'Aturan &amp; Tarif'!$B$5</f>
        <v>2050</v>
      </c>
      <c r="L49" s="42" t="n">
        <f aca="false">'Aturan &amp; Tarif'!$B$6</f>
        <v>350</v>
      </c>
      <c r="M49" s="35" t="n">
        <f aca="false">I49+J49+K49+L49</f>
        <v>12262.72</v>
      </c>
      <c r="N49" s="45" t="s">
        <v>862</v>
      </c>
    </row>
    <row r="50" customFormat="false" ht="60" hidden="false" customHeight="true" outlineLevel="0" collapsed="false">
      <c r="A50" s="29" t="s">
        <v>866</v>
      </c>
      <c r="B50" s="30" t="s">
        <v>867</v>
      </c>
      <c r="C50" s="31" t="s">
        <v>127</v>
      </c>
      <c r="D50" s="31" t="s">
        <v>108</v>
      </c>
      <c r="E50" s="32" t="n">
        <v>3000</v>
      </c>
      <c r="F50" s="32"/>
      <c r="G50" s="32" t="n">
        <v>500</v>
      </c>
      <c r="H50" s="33" t="n">
        <v>2</v>
      </c>
      <c r="I50" s="34" t="n">
        <f aca="false">E50*H50+N(F50)+N(G50)</f>
        <v>6500</v>
      </c>
      <c r="J50" s="32" t="n">
        <f aca="false">ROUND(IFERROR(ROUND(IF(OR(ISNUMBER(SEARCH("week",C50)),ISNUMBER(SEARCH("minggu",C50))),IFERROR(_xlfn.NUMBERVALUE(SUBSTITUTE(LEFT(TRIM(C50),FIND(" ",TRIM(C50)&amp;" ")-1),",","."),"."),LEFT(SUBSTITUTE(LEFT(TRIM(C50),FIND(" ",TRIM(C50)&amp;" ")-1),",","."),FIND("/",SUBSTITUTE(LEFT(TRIM(C50),FIND(" ",TRIM(C50)&amp;" ")-1),",","."))-1)/MID(SUBSTITUTE(LEFT(TRIM(C50),FIND(" ",TRIM(C50)&amp;" ")-1),",","."),FIND("/",SUBSTITUTE(LEFT(TRIM(C50),FIND(" ",TRIM(C50)&amp;" ")-1),",","."))+1,9))*12/52,IF(ISNUMBER(SEARCH("month",C50)),IFERROR(_xlfn.NUMBERVALUE(SUBSTITUTE(LEFT(TRIM(C50),FIND(" ",TRIM(C50)&amp;" ")-1),",","."),"."),LEFT(SUBSTITUTE(LEFT(TRIM(C50),FIND(" ",TRIM(C50)&amp;" ")-1),",","."),FIND("/",SUBSTITUTE(LEFT(TRIM(C50),FIND(" ",TRIM(C50)&amp;" ")-1),",","."))-1)/MID(SUBSTITUTE(LEFT(TRIM(C50),FIND(" ",TRIM(C50)&amp;" ")-1),",","."),FIND("/",SUBSTITUTE(LEFT(TRIM(C50),FIND(" ",TRIM(C50)&amp;" ")-1),",","."))+1,9)),IF(ISNUMBER(SEARCH("yea",C50)),IFERROR(_xlfn.NUMBERVALUE(SUBSTITUTE(LEFT(TRIM(C50),FIND(" ",TRIM(C50)&amp;" ")-1),",","."),"."),LEFT(SUBSTITUTE(LEFT(TRIM(C50),FIND(" ",TRIM(C50)&amp;" ")-1),",","."),FIND("/",SUBSTITUTE(LEFT(TRIM(C50),FIND(" ",TRIM(C50)&amp;" ")-1),",","."))-1)/MID(SUBSTITUTE(LEFT(TRIM(C50),FIND(" ",TRIM(C50)&amp;" ")-1),",","."),FIND("/",SUBSTITUTE(LEFT(TRIM(C50),FIND(" ",TRIM(C50)&amp;" ")-1),",","."))+1,9))*12,NA()))),0),36)*'Aturan &amp; Tarif'!$B$4,2)</f>
        <v>2044.08</v>
      </c>
      <c r="K50" s="32" t="n">
        <f aca="false">'Aturan &amp; Tarif'!$B$5</f>
        <v>2050</v>
      </c>
      <c r="L50" s="32" t="n">
        <f aca="false">'Aturan &amp; Tarif'!$B$6</f>
        <v>350</v>
      </c>
      <c r="M50" s="35" t="n">
        <f aca="false">I50+J50+K50+L50</f>
        <v>10944.08</v>
      </c>
      <c r="N50" s="37" t="s">
        <v>868</v>
      </c>
    </row>
    <row r="51" customFormat="false" ht="25.5" hidden="false" customHeight="true" outlineLevel="0" collapsed="false">
      <c r="A51" s="29"/>
      <c r="B51" s="30" t="s">
        <v>869</v>
      </c>
      <c r="C51" s="31" t="s">
        <v>130</v>
      </c>
      <c r="D51" s="31" t="s">
        <v>108</v>
      </c>
      <c r="E51" s="32" t="n">
        <v>4000</v>
      </c>
      <c r="F51" s="32"/>
      <c r="G51" s="32" t="n">
        <v>500</v>
      </c>
      <c r="H51" s="33" t="n">
        <v>2</v>
      </c>
      <c r="I51" s="34" t="n">
        <f aca="false">E51*H51+N(F51)+N(G51)</f>
        <v>8500</v>
      </c>
      <c r="J51" s="32" t="n">
        <f aca="false">ROUND(IFERROR(ROUND(IF(OR(ISNUMBER(SEARCH("week",C51)),ISNUMBER(SEARCH("minggu",C51))),IFERROR(_xlfn.NUMBERVALUE(SUBSTITUTE(LEFT(TRIM(C51),FIND(" ",TRIM(C51)&amp;" ")-1),",","."),"."),LEFT(SUBSTITUTE(LEFT(TRIM(C51),FIND(" ",TRIM(C51)&amp;" ")-1),",","."),FIND("/",SUBSTITUTE(LEFT(TRIM(C51),FIND(" ",TRIM(C51)&amp;" ")-1),",","."))-1)/MID(SUBSTITUTE(LEFT(TRIM(C51),FIND(" ",TRIM(C51)&amp;" ")-1),",","."),FIND("/",SUBSTITUTE(LEFT(TRIM(C51),FIND(" ",TRIM(C51)&amp;" ")-1),",","."))+1,9))*12/52,IF(ISNUMBER(SEARCH("month",C51)),IFERROR(_xlfn.NUMBERVALUE(SUBSTITUTE(LEFT(TRIM(C51),FIND(" ",TRIM(C51)&amp;" ")-1),",","."),"."),LEFT(SUBSTITUTE(LEFT(TRIM(C51),FIND(" ",TRIM(C51)&amp;" ")-1),",","."),FIND("/",SUBSTITUTE(LEFT(TRIM(C51),FIND(" ",TRIM(C51)&amp;" ")-1),",","."))-1)/MID(SUBSTITUTE(LEFT(TRIM(C51),FIND(" ",TRIM(C51)&amp;" ")-1),",","."),FIND("/",SUBSTITUTE(LEFT(TRIM(C51),FIND(" ",TRIM(C51)&amp;" ")-1),",","."))+1,9)),IF(ISNUMBER(SEARCH("yea",C51)),IFERROR(_xlfn.NUMBERVALUE(SUBSTITUTE(LEFT(TRIM(C51),FIND(" ",TRIM(C51)&amp;" ")-1),",","."),"."),LEFT(SUBSTITUTE(LEFT(TRIM(C51),FIND(" ",TRIM(C51)&amp;" ")-1),",","."),FIND("/",SUBSTITUTE(LEFT(TRIM(C51),FIND(" ",TRIM(C51)&amp;" ")-1),",","."))-1)/MID(SUBSTITUTE(LEFT(TRIM(C51),FIND(" ",TRIM(C51)&amp;" ")-1),",","."),FIND("/",SUBSTITUTE(LEFT(TRIM(C51),FIND(" ",TRIM(C51)&amp;" ")-1),",","."))+1,9))*12,NA()))),0),12)*'Aturan &amp; Tarif'!$B$4,2)</f>
        <v>681.36</v>
      </c>
      <c r="K51" s="32" t="n">
        <f aca="false">'Aturan &amp; Tarif'!$B$5</f>
        <v>2050</v>
      </c>
      <c r="L51" s="32" t="n">
        <f aca="false">'Aturan &amp; Tarif'!$B$6</f>
        <v>350</v>
      </c>
      <c r="M51" s="35" t="n">
        <f aca="false">I51+J51+K51+L51</f>
        <v>11581.36</v>
      </c>
      <c r="N51" s="37" t="s">
        <v>868</v>
      </c>
    </row>
    <row r="52" customFormat="false" ht="14.25" hidden="false" customHeight="true" outlineLevel="0" collapsed="false">
      <c r="A52" s="29"/>
      <c r="B52" s="30" t="s">
        <v>870</v>
      </c>
      <c r="C52" s="31" t="s">
        <v>107</v>
      </c>
      <c r="D52" s="31" t="s">
        <v>108</v>
      </c>
      <c r="E52" s="32" t="n">
        <v>4000</v>
      </c>
      <c r="F52" s="32"/>
      <c r="G52" s="32" t="n">
        <v>500</v>
      </c>
      <c r="H52" s="33" t="n">
        <v>2</v>
      </c>
      <c r="I52" s="34" t="n">
        <f aca="false">E52*H52+N(F52)+N(G52)</f>
        <v>8500</v>
      </c>
      <c r="J52" s="32" t="n">
        <f aca="false">ROUND(IFERROR(ROUND(IF(OR(ISNUMBER(SEARCH("week",C52)),ISNUMBER(SEARCH("minggu",C52))),IFERROR(_xlfn.NUMBERVALUE(SUBSTITUTE(LEFT(TRIM(C52),FIND(" ",TRIM(C52)&amp;" ")-1),",","."),"."),LEFT(SUBSTITUTE(LEFT(TRIM(C52),FIND(" ",TRIM(C52)&amp;" ")-1),",","."),FIND("/",SUBSTITUTE(LEFT(TRIM(C52),FIND(" ",TRIM(C52)&amp;" ")-1),",","."))-1)/MID(SUBSTITUTE(LEFT(TRIM(C52),FIND(" ",TRIM(C52)&amp;" ")-1),",","."),FIND("/",SUBSTITUTE(LEFT(TRIM(C52),FIND(" ",TRIM(C52)&amp;" ")-1),",","."))+1,9))*12/52,IF(ISNUMBER(SEARCH("month",C52)),IFERROR(_xlfn.NUMBERVALUE(SUBSTITUTE(LEFT(TRIM(C52),FIND(" ",TRIM(C52)&amp;" ")-1),",","."),"."),LEFT(SUBSTITUTE(LEFT(TRIM(C52),FIND(" ",TRIM(C52)&amp;" ")-1),",","."),FIND("/",SUBSTITUTE(LEFT(TRIM(C52),FIND(" ",TRIM(C52)&amp;" ")-1),",","."))-1)/MID(SUBSTITUTE(LEFT(TRIM(C52),FIND(" ",TRIM(C52)&amp;" ")-1),",","."),FIND("/",SUBSTITUTE(LEFT(TRIM(C52),FIND(" ",TRIM(C52)&amp;" ")-1),",","."))+1,9)),IF(ISNUMBER(SEARCH("yea",C52)),IFERROR(_xlfn.NUMBERVALUE(SUBSTITUTE(LEFT(TRIM(C52),FIND(" ",TRIM(C52)&amp;" ")-1),",","."),"."),LEFT(SUBSTITUTE(LEFT(TRIM(C52),FIND(" ",TRIM(C52)&amp;" ")-1),",","."),FIND("/",SUBSTITUTE(LEFT(TRIM(C52),FIND(" ",TRIM(C52)&amp;" ")-1),",","."))-1)/MID(SUBSTITUTE(LEFT(TRIM(C52),FIND(" ",TRIM(C52)&amp;" ")-1),",","."),FIND("/",SUBSTITUTE(LEFT(TRIM(C52),FIND(" ",TRIM(C52)&amp;" ")-1),",","."))+1,9))*12,NA()))),0),24)*'Aturan &amp; Tarif'!$B$4,2)</f>
        <v>1362.72</v>
      </c>
      <c r="K52" s="32" t="n">
        <f aca="false">'Aturan &amp; Tarif'!$B$5</f>
        <v>2050</v>
      </c>
      <c r="L52" s="32" t="n">
        <f aca="false">'Aturan &amp; Tarif'!$B$6</f>
        <v>350</v>
      </c>
      <c r="M52" s="35" t="n">
        <f aca="false">I52+J52+K52+L52</f>
        <v>12262.72</v>
      </c>
      <c r="N52" s="37" t="s">
        <v>868</v>
      </c>
    </row>
    <row r="53" customFormat="false" ht="48.75" hidden="false" customHeight="true" outlineLevel="0" collapsed="false">
      <c r="A53" s="29" t="s">
        <v>871</v>
      </c>
      <c r="B53" s="30" t="s">
        <v>317</v>
      </c>
      <c r="C53" s="31" t="s">
        <v>127</v>
      </c>
      <c r="D53" s="31" t="s">
        <v>108</v>
      </c>
      <c r="E53" s="32" t="n">
        <v>8742</v>
      </c>
      <c r="F53" s="32"/>
      <c r="G53" s="32"/>
      <c r="H53" s="33" t="n">
        <v>2</v>
      </c>
      <c r="I53" s="34" t="n">
        <f aca="false">E53*H53+N(F53)+N(G53)</f>
        <v>17484</v>
      </c>
      <c r="J53" s="32" t="n">
        <f aca="false">ROUND(IFERROR(ROUND(IF(OR(ISNUMBER(SEARCH("week",C53)),ISNUMBER(SEARCH("minggu",C53))),IFERROR(_xlfn.NUMBERVALUE(SUBSTITUTE(LEFT(TRIM(C53),FIND(" ",TRIM(C53)&amp;" ")-1),",","."),"."),LEFT(SUBSTITUTE(LEFT(TRIM(C53),FIND(" ",TRIM(C53)&amp;" ")-1),",","."),FIND("/",SUBSTITUTE(LEFT(TRIM(C53),FIND(" ",TRIM(C53)&amp;" ")-1),",","."))-1)/MID(SUBSTITUTE(LEFT(TRIM(C53),FIND(" ",TRIM(C53)&amp;" ")-1),",","."),FIND("/",SUBSTITUTE(LEFT(TRIM(C53),FIND(" ",TRIM(C53)&amp;" ")-1),",","."))+1,9))*12/52,IF(ISNUMBER(SEARCH("month",C53)),IFERROR(_xlfn.NUMBERVALUE(SUBSTITUTE(LEFT(TRIM(C53),FIND(" ",TRIM(C53)&amp;" ")-1),",","."),"."),LEFT(SUBSTITUTE(LEFT(TRIM(C53),FIND(" ",TRIM(C53)&amp;" ")-1),",","."),FIND("/",SUBSTITUTE(LEFT(TRIM(C53),FIND(" ",TRIM(C53)&amp;" ")-1),",","."))-1)/MID(SUBSTITUTE(LEFT(TRIM(C53),FIND(" ",TRIM(C53)&amp;" ")-1),",","."),FIND("/",SUBSTITUTE(LEFT(TRIM(C53),FIND(" ",TRIM(C53)&amp;" ")-1),",","."))+1,9)),IF(ISNUMBER(SEARCH("yea",C53)),IFERROR(_xlfn.NUMBERVALUE(SUBSTITUTE(LEFT(TRIM(C53),FIND(" ",TRIM(C53)&amp;" ")-1),",","."),"."),LEFT(SUBSTITUTE(LEFT(TRIM(C53),FIND(" ",TRIM(C53)&amp;" ")-1),",","."),FIND("/",SUBSTITUTE(LEFT(TRIM(C53),FIND(" ",TRIM(C53)&amp;" ")-1),",","."))-1)/MID(SUBSTITUTE(LEFT(TRIM(C53),FIND(" ",TRIM(C53)&amp;" ")-1),",","."),FIND("/",SUBSTITUTE(LEFT(TRIM(C53),FIND(" ",TRIM(C53)&amp;" ")-1),",","."))+1,9))*12,NA()))),0),36)*'Aturan &amp; Tarif'!$B$4,2)</f>
        <v>2044.08</v>
      </c>
      <c r="K53" s="32" t="n">
        <f aca="false">'Aturan &amp; Tarif'!$B$5</f>
        <v>2050</v>
      </c>
      <c r="L53" s="32" t="n">
        <f aca="false">'Aturan &amp; Tarif'!$B$6</f>
        <v>350</v>
      </c>
      <c r="M53" s="35" t="n">
        <f aca="false">I53+J53+K53+L53</f>
        <v>21928.08</v>
      </c>
      <c r="N53" s="37" t="s">
        <v>318</v>
      </c>
    </row>
    <row r="54" customFormat="false" ht="14.25" hidden="false" customHeight="true" outlineLevel="0" collapsed="false">
      <c r="A54" s="29"/>
      <c r="B54" s="30" t="s">
        <v>319</v>
      </c>
      <c r="C54" s="31" t="s">
        <v>191</v>
      </c>
      <c r="D54" s="31" t="s">
        <v>108</v>
      </c>
      <c r="E54" s="32" t="n">
        <v>8742</v>
      </c>
      <c r="F54" s="32"/>
      <c r="G54" s="32"/>
      <c r="H54" s="33" t="n">
        <v>2</v>
      </c>
      <c r="I54" s="34" t="n">
        <f aca="false">E54*H54+N(F54)+N(G54)</f>
        <v>17484</v>
      </c>
      <c r="J54" s="32" t="n">
        <f aca="false">ROUND(IFERROR(ROUND(IF(OR(ISNUMBER(SEARCH("week",C54)),ISNUMBER(SEARCH("minggu",C54))),IFERROR(_xlfn.NUMBERVALUE(SUBSTITUTE(LEFT(TRIM(C54),FIND(" ",TRIM(C54)&amp;" ")-1),",","."),"."),LEFT(SUBSTITUTE(LEFT(TRIM(C54),FIND(" ",TRIM(C54)&amp;" ")-1),",","."),FIND("/",SUBSTITUTE(LEFT(TRIM(C54),FIND(" ",TRIM(C54)&amp;" ")-1),",","."))-1)/MID(SUBSTITUTE(LEFT(TRIM(C54),FIND(" ",TRIM(C54)&amp;" ")-1),",","."),FIND("/",SUBSTITUTE(LEFT(TRIM(C54),FIND(" ",TRIM(C54)&amp;" ")-1),",","."))+1,9))*12/52,IF(ISNUMBER(SEARCH("month",C54)),IFERROR(_xlfn.NUMBERVALUE(SUBSTITUTE(LEFT(TRIM(C54),FIND(" ",TRIM(C54)&amp;" ")-1),",","."),"."),LEFT(SUBSTITUTE(LEFT(TRIM(C54),FIND(" ",TRIM(C54)&amp;" ")-1),",","."),FIND("/",SUBSTITUTE(LEFT(TRIM(C54),FIND(" ",TRIM(C54)&amp;" ")-1),",","."))-1)/MID(SUBSTITUTE(LEFT(TRIM(C54),FIND(" ",TRIM(C54)&amp;" ")-1),",","."),FIND("/",SUBSTITUTE(LEFT(TRIM(C54),FIND(" ",TRIM(C54)&amp;" ")-1),",","."))+1,9)),IF(ISNUMBER(SEARCH("yea",C54)),IFERROR(_xlfn.NUMBERVALUE(SUBSTITUTE(LEFT(TRIM(C54),FIND(" ",TRIM(C54)&amp;" ")-1),",","."),"."),LEFT(SUBSTITUTE(LEFT(TRIM(C54),FIND(" ",TRIM(C54)&amp;" ")-1),",","."),FIND("/",SUBSTITUTE(LEFT(TRIM(C54),FIND(" ",TRIM(C54)&amp;" ")-1),",","."))-1)/MID(SUBSTITUTE(LEFT(TRIM(C54),FIND(" ",TRIM(C54)&amp;" ")-1),",","."),FIND("/",SUBSTITUTE(LEFT(TRIM(C54),FIND(" ",TRIM(C54)&amp;" ")-1),",","."))+1,9))*12,NA()))),0),48)*'Aturan &amp; Tarif'!$B$4,2)</f>
        <v>2725.44</v>
      </c>
      <c r="K54" s="32" t="n">
        <f aca="false">'Aturan &amp; Tarif'!$B$5</f>
        <v>2050</v>
      </c>
      <c r="L54" s="32" t="n">
        <f aca="false">'Aturan &amp; Tarif'!$B$6</f>
        <v>350</v>
      </c>
      <c r="M54" s="35" t="n">
        <f aca="false">I54+J54+K54+L54</f>
        <v>22609.44</v>
      </c>
      <c r="N54" s="37" t="s">
        <v>318</v>
      </c>
    </row>
    <row r="55" customFormat="false" ht="14.25" hidden="false" customHeight="true" outlineLevel="0" collapsed="false">
      <c r="A55" s="29"/>
      <c r="B55" s="30" t="s">
        <v>320</v>
      </c>
      <c r="C55" s="31" t="s">
        <v>245</v>
      </c>
      <c r="D55" s="31" t="s">
        <v>108</v>
      </c>
      <c r="E55" s="32" t="n">
        <v>9200</v>
      </c>
      <c r="F55" s="32"/>
      <c r="G55" s="32"/>
      <c r="H55" s="33" t="n">
        <v>2</v>
      </c>
      <c r="I55" s="34" t="n">
        <f aca="false">E55*H55+N(F55)+N(G55)</f>
        <v>18400</v>
      </c>
      <c r="J55" s="32" t="n">
        <f aca="false">ROUND(IFERROR(ROUND(IF(OR(ISNUMBER(SEARCH("week",C55)),ISNUMBER(SEARCH("minggu",C55))),IFERROR(_xlfn.NUMBERVALUE(SUBSTITUTE(LEFT(TRIM(C55),FIND(" ",TRIM(C55)&amp;" ")-1),",","."),"."),LEFT(SUBSTITUTE(LEFT(TRIM(C55),FIND(" ",TRIM(C55)&amp;" ")-1),",","."),FIND("/",SUBSTITUTE(LEFT(TRIM(C55),FIND(" ",TRIM(C55)&amp;" ")-1),",","."))-1)/MID(SUBSTITUTE(LEFT(TRIM(C55),FIND(" ",TRIM(C55)&amp;" ")-1),",","."),FIND("/",SUBSTITUTE(LEFT(TRIM(C55),FIND(" ",TRIM(C55)&amp;" ")-1),",","."))+1,9))*12/52,IF(ISNUMBER(SEARCH("month",C55)),IFERROR(_xlfn.NUMBERVALUE(SUBSTITUTE(LEFT(TRIM(C55),FIND(" ",TRIM(C55)&amp;" ")-1),",","."),"."),LEFT(SUBSTITUTE(LEFT(TRIM(C55),FIND(" ",TRIM(C55)&amp;" ")-1),",","."),FIND("/",SUBSTITUTE(LEFT(TRIM(C55),FIND(" ",TRIM(C55)&amp;" ")-1),",","."))-1)/MID(SUBSTITUTE(LEFT(TRIM(C55),FIND(" ",TRIM(C55)&amp;" ")-1),",","."),FIND("/",SUBSTITUTE(LEFT(TRIM(C55),FIND(" ",TRIM(C55)&amp;" ")-1),",","."))+1,9)),IF(ISNUMBER(SEARCH("yea",C55)),IFERROR(_xlfn.NUMBERVALUE(SUBSTITUTE(LEFT(TRIM(C55),FIND(" ",TRIM(C55)&amp;" ")-1),",","."),"."),LEFT(SUBSTITUTE(LEFT(TRIM(C55),FIND(" ",TRIM(C55)&amp;" ")-1),",","."),FIND("/",SUBSTITUTE(LEFT(TRIM(C55),FIND(" ",TRIM(C55)&amp;" ")-1),",","."))-1)/MID(SUBSTITUTE(LEFT(TRIM(C55),FIND(" ",TRIM(C55)&amp;" ")-1),",","."),FIND("/",SUBSTITUTE(LEFT(TRIM(C55),FIND(" ",TRIM(C55)&amp;" ")-1),",","."))+1,9))*12,NA()))),0),60)*'Aturan &amp; Tarif'!$B$4,2)</f>
        <v>3406.8</v>
      </c>
      <c r="K55" s="32" t="n">
        <f aca="false">'Aturan &amp; Tarif'!$B$5</f>
        <v>2050</v>
      </c>
      <c r="L55" s="32" t="n">
        <f aca="false">'Aturan &amp; Tarif'!$B$6</f>
        <v>350</v>
      </c>
      <c r="M55" s="35" t="n">
        <f aca="false">I55+J55+K55+L55</f>
        <v>24206.8</v>
      </c>
      <c r="N55" s="37" t="s">
        <v>318</v>
      </c>
    </row>
    <row r="56" customFormat="false" ht="14.25" hidden="false" customHeight="true" outlineLevel="0" collapsed="false">
      <c r="A56" s="29"/>
      <c r="B56" s="30" t="s">
        <v>321</v>
      </c>
      <c r="C56" s="31" t="s">
        <v>127</v>
      </c>
      <c r="D56" s="31" t="s">
        <v>108</v>
      </c>
      <c r="E56" s="32" t="n">
        <v>8742</v>
      </c>
      <c r="F56" s="32"/>
      <c r="G56" s="32"/>
      <c r="H56" s="33" t="n">
        <v>2</v>
      </c>
      <c r="I56" s="34" t="n">
        <f aca="false">E56*H56+N(F56)+N(G56)</f>
        <v>17484</v>
      </c>
      <c r="J56" s="32" t="n">
        <f aca="false">ROUND(IFERROR(ROUND(IF(OR(ISNUMBER(SEARCH("week",C56)),ISNUMBER(SEARCH("minggu",C56))),IFERROR(_xlfn.NUMBERVALUE(SUBSTITUTE(LEFT(TRIM(C56),FIND(" ",TRIM(C56)&amp;" ")-1),",","."),"."),LEFT(SUBSTITUTE(LEFT(TRIM(C56),FIND(" ",TRIM(C56)&amp;" ")-1),",","."),FIND("/",SUBSTITUTE(LEFT(TRIM(C56),FIND(" ",TRIM(C56)&amp;" ")-1),",","."))-1)/MID(SUBSTITUTE(LEFT(TRIM(C56),FIND(" ",TRIM(C56)&amp;" ")-1),",","."),FIND("/",SUBSTITUTE(LEFT(TRIM(C56),FIND(" ",TRIM(C56)&amp;" ")-1),",","."))+1,9))*12/52,IF(ISNUMBER(SEARCH("month",C56)),IFERROR(_xlfn.NUMBERVALUE(SUBSTITUTE(LEFT(TRIM(C56),FIND(" ",TRIM(C56)&amp;" ")-1),",","."),"."),LEFT(SUBSTITUTE(LEFT(TRIM(C56),FIND(" ",TRIM(C56)&amp;" ")-1),",","."),FIND("/",SUBSTITUTE(LEFT(TRIM(C56),FIND(" ",TRIM(C56)&amp;" ")-1),",","."))-1)/MID(SUBSTITUTE(LEFT(TRIM(C56),FIND(" ",TRIM(C56)&amp;" ")-1),",","."),FIND("/",SUBSTITUTE(LEFT(TRIM(C56),FIND(" ",TRIM(C56)&amp;" ")-1),",","."))+1,9)),IF(ISNUMBER(SEARCH("yea",C56)),IFERROR(_xlfn.NUMBERVALUE(SUBSTITUTE(LEFT(TRIM(C56),FIND(" ",TRIM(C56)&amp;" ")-1),",","."),"."),LEFT(SUBSTITUTE(LEFT(TRIM(C56),FIND(" ",TRIM(C56)&amp;" ")-1),",","."),FIND("/",SUBSTITUTE(LEFT(TRIM(C56),FIND(" ",TRIM(C56)&amp;" ")-1),",","."))-1)/MID(SUBSTITUTE(LEFT(TRIM(C56),FIND(" ",TRIM(C56)&amp;" ")-1),",","."),FIND("/",SUBSTITUTE(LEFT(TRIM(C56),FIND(" ",TRIM(C56)&amp;" ")-1),",","."))+1,9))*12,NA()))),0),36)*'Aturan &amp; Tarif'!$B$4,2)</f>
        <v>2044.08</v>
      </c>
      <c r="K56" s="32" t="n">
        <f aca="false">'Aturan &amp; Tarif'!$B$5</f>
        <v>2050</v>
      </c>
      <c r="L56" s="32" t="n">
        <f aca="false">'Aturan &amp; Tarif'!$B$6</f>
        <v>350</v>
      </c>
      <c r="M56" s="35" t="n">
        <f aca="false">I56+J56+K56+L56</f>
        <v>21928.08</v>
      </c>
      <c r="N56" s="37" t="s">
        <v>322</v>
      </c>
    </row>
    <row r="57" customFormat="false" ht="37.5" hidden="false" customHeight="true" outlineLevel="0" collapsed="false">
      <c r="A57" s="29"/>
      <c r="B57" s="30" t="s">
        <v>323</v>
      </c>
      <c r="C57" s="31" t="s">
        <v>245</v>
      </c>
      <c r="D57" s="31" t="s">
        <v>108</v>
      </c>
      <c r="E57" s="32" t="n">
        <v>8742</v>
      </c>
      <c r="F57" s="32"/>
      <c r="G57" s="32"/>
      <c r="H57" s="33" t="n">
        <v>2</v>
      </c>
      <c r="I57" s="34" t="n">
        <f aca="false">E57*H57+N(F57)+N(G57)</f>
        <v>17484</v>
      </c>
      <c r="J57" s="32" t="n">
        <f aca="false">ROUND(IFERROR(ROUND(IF(OR(ISNUMBER(SEARCH("week",C57)),ISNUMBER(SEARCH("minggu",C57))),IFERROR(_xlfn.NUMBERVALUE(SUBSTITUTE(LEFT(TRIM(C57),FIND(" ",TRIM(C57)&amp;" ")-1),",","."),"."),LEFT(SUBSTITUTE(LEFT(TRIM(C57),FIND(" ",TRIM(C57)&amp;" ")-1),",","."),FIND("/",SUBSTITUTE(LEFT(TRIM(C57),FIND(" ",TRIM(C57)&amp;" ")-1),",","."))-1)/MID(SUBSTITUTE(LEFT(TRIM(C57),FIND(" ",TRIM(C57)&amp;" ")-1),",","."),FIND("/",SUBSTITUTE(LEFT(TRIM(C57),FIND(" ",TRIM(C57)&amp;" ")-1),",","."))+1,9))*12/52,IF(ISNUMBER(SEARCH("month",C57)),IFERROR(_xlfn.NUMBERVALUE(SUBSTITUTE(LEFT(TRIM(C57),FIND(" ",TRIM(C57)&amp;" ")-1),",","."),"."),LEFT(SUBSTITUTE(LEFT(TRIM(C57),FIND(" ",TRIM(C57)&amp;" ")-1),",","."),FIND("/",SUBSTITUTE(LEFT(TRIM(C57),FIND(" ",TRIM(C57)&amp;" ")-1),",","."))-1)/MID(SUBSTITUTE(LEFT(TRIM(C57),FIND(" ",TRIM(C57)&amp;" ")-1),",","."),FIND("/",SUBSTITUTE(LEFT(TRIM(C57),FIND(" ",TRIM(C57)&amp;" ")-1),",","."))+1,9)),IF(ISNUMBER(SEARCH("yea",C57)),IFERROR(_xlfn.NUMBERVALUE(SUBSTITUTE(LEFT(TRIM(C57),FIND(" ",TRIM(C57)&amp;" ")-1),",","."),"."),LEFT(SUBSTITUTE(LEFT(TRIM(C57),FIND(" ",TRIM(C57)&amp;" ")-1),",","."),FIND("/",SUBSTITUTE(LEFT(TRIM(C57),FIND(" ",TRIM(C57)&amp;" ")-1),",","."))-1)/MID(SUBSTITUTE(LEFT(TRIM(C57),FIND(" ",TRIM(C57)&amp;" ")-1),",","."),FIND("/",SUBSTITUTE(LEFT(TRIM(C57),FIND(" ",TRIM(C57)&amp;" ")-1),",","."))+1,9))*12,NA()))),0),60)*'Aturan &amp; Tarif'!$B$4,2)</f>
        <v>3406.8</v>
      </c>
      <c r="K57" s="32" t="n">
        <f aca="false">'Aturan &amp; Tarif'!$B$5</f>
        <v>2050</v>
      </c>
      <c r="L57" s="32" t="n">
        <f aca="false">'Aturan &amp; Tarif'!$B$6</f>
        <v>350</v>
      </c>
      <c r="M57" s="35" t="n">
        <f aca="false">I57+J57+K57+L57</f>
        <v>23290.8</v>
      </c>
      <c r="N57" s="36" t="s">
        <v>324</v>
      </c>
    </row>
    <row r="58" customFormat="false" ht="14.25" hidden="false" customHeight="true" outlineLevel="0" collapsed="false">
      <c r="A58" s="29"/>
      <c r="B58" s="30" t="s">
        <v>325</v>
      </c>
      <c r="C58" s="31" t="s">
        <v>127</v>
      </c>
      <c r="D58" s="31" t="s">
        <v>108</v>
      </c>
      <c r="E58" s="32" t="n">
        <v>8742</v>
      </c>
      <c r="F58" s="32"/>
      <c r="G58" s="32"/>
      <c r="H58" s="33" t="n">
        <v>2</v>
      </c>
      <c r="I58" s="34" t="n">
        <f aca="false">E58*H58+N(F58)+N(G58)</f>
        <v>17484</v>
      </c>
      <c r="J58" s="32" t="n">
        <f aca="false">ROUND(IFERROR(ROUND(IF(OR(ISNUMBER(SEARCH("week",C58)),ISNUMBER(SEARCH("minggu",C58))),IFERROR(_xlfn.NUMBERVALUE(SUBSTITUTE(LEFT(TRIM(C58),FIND(" ",TRIM(C58)&amp;" ")-1),",","."),"."),LEFT(SUBSTITUTE(LEFT(TRIM(C58),FIND(" ",TRIM(C58)&amp;" ")-1),",","."),FIND("/",SUBSTITUTE(LEFT(TRIM(C58),FIND(" ",TRIM(C58)&amp;" ")-1),",","."))-1)/MID(SUBSTITUTE(LEFT(TRIM(C58),FIND(" ",TRIM(C58)&amp;" ")-1),",","."),FIND("/",SUBSTITUTE(LEFT(TRIM(C58),FIND(" ",TRIM(C58)&amp;" ")-1),",","."))+1,9))*12/52,IF(ISNUMBER(SEARCH("month",C58)),IFERROR(_xlfn.NUMBERVALUE(SUBSTITUTE(LEFT(TRIM(C58),FIND(" ",TRIM(C58)&amp;" ")-1),",","."),"."),LEFT(SUBSTITUTE(LEFT(TRIM(C58),FIND(" ",TRIM(C58)&amp;" ")-1),",","."),FIND("/",SUBSTITUTE(LEFT(TRIM(C58),FIND(" ",TRIM(C58)&amp;" ")-1),",","."))-1)/MID(SUBSTITUTE(LEFT(TRIM(C58),FIND(" ",TRIM(C58)&amp;" ")-1),",","."),FIND("/",SUBSTITUTE(LEFT(TRIM(C58),FIND(" ",TRIM(C58)&amp;" ")-1),",","."))+1,9)),IF(ISNUMBER(SEARCH("yea",C58)),IFERROR(_xlfn.NUMBERVALUE(SUBSTITUTE(LEFT(TRIM(C58),FIND(" ",TRIM(C58)&amp;" ")-1),",","."),"."),LEFT(SUBSTITUTE(LEFT(TRIM(C58),FIND(" ",TRIM(C58)&amp;" ")-1),",","."),FIND("/",SUBSTITUTE(LEFT(TRIM(C58),FIND(" ",TRIM(C58)&amp;" ")-1),",","."))-1)/MID(SUBSTITUTE(LEFT(TRIM(C58),FIND(" ",TRIM(C58)&amp;" ")-1),",","."),FIND("/",SUBSTITUTE(LEFT(TRIM(C58),FIND(" ",TRIM(C58)&amp;" ")-1),",","."))+1,9))*12,NA()))),0),36)*'Aturan &amp; Tarif'!$B$4,2)</f>
        <v>2044.08</v>
      </c>
      <c r="K58" s="32" t="n">
        <f aca="false">'Aturan &amp; Tarif'!$B$5</f>
        <v>2050</v>
      </c>
      <c r="L58" s="32" t="n">
        <f aca="false">'Aturan &amp; Tarif'!$B$6</f>
        <v>350</v>
      </c>
      <c r="M58" s="35" t="n">
        <f aca="false">I58+J58+K58+L58</f>
        <v>21928.08</v>
      </c>
      <c r="N58" s="37" t="s">
        <v>322</v>
      </c>
    </row>
    <row r="59" customFormat="false" ht="14.25" hidden="false" customHeight="true" outlineLevel="0" collapsed="false">
      <c r="A59" s="29"/>
      <c r="B59" s="30" t="s">
        <v>326</v>
      </c>
      <c r="C59" s="31" t="s">
        <v>245</v>
      </c>
      <c r="D59" s="31" t="s">
        <v>108</v>
      </c>
      <c r="E59" s="32" t="n">
        <v>9200</v>
      </c>
      <c r="F59" s="32"/>
      <c r="G59" s="32"/>
      <c r="H59" s="33" t="n">
        <v>2</v>
      </c>
      <c r="I59" s="34" t="n">
        <f aca="false">E59*H59+N(F59)+N(G59)</f>
        <v>18400</v>
      </c>
      <c r="J59" s="32" t="n">
        <f aca="false">ROUND(IFERROR(ROUND(IF(OR(ISNUMBER(SEARCH("week",C59)),ISNUMBER(SEARCH("minggu",C59))),IFERROR(_xlfn.NUMBERVALUE(SUBSTITUTE(LEFT(TRIM(C59),FIND(" ",TRIM(C59)&amp;" ")-1),",","."),"."),LEFT(SUBSTITUTE(LEFT(TRIM(C59),FIND(" ",TRIM(C59)&amp;" ")-1),",","."),FIND("/",SUBSTITUTE(LEFT(TRIM(C59),FIND(" ",TRIM(C59)&amp;" ")-1),",","."))-1)/MID(SUBSTITUTE(LEFT(TRIM(C59),FIND(" ",TRIM(C59)&amp;" ")-1),",","."),FIND("/",SUBSTITUTE(LEFT(TRIM(C59),FIND(" ",TRIM(C59)&amp;" ")-1),",","."))+1,9))*12/52,IF(ISNUMBER(SEARCH("month",C59)),IFERROR(_xlfn.NUMBERVALUE(SUBSTITUTE(LEFT(TRIM(C59),FIND(" ",TRIM(C59)&amp;" ")-1),",","."),"."),LEFT(SUBSTITUTE(LEFT(TRIM(C59),FIND(" ",TRIM(C59)&amp;" ")-1),",","."),FIND("/",SUBSTITUTE(LEFT(TRIM(C59),FIND(" ",TRIM(C59)&amp;" ")-1),",","."))-1)/MID(SUBSTITUTE(LEFT(TRIM(C59),FIND(" ",TRIM(C59)&amp;" ")-1),",","."),FIND("/",SUBSTITUTE(LEFT(TRIM(C59),FIND(" ",TRIM(C59)&amp;" ")-1),",","."))+1,9)),IF(ISNUMBER(SEARCH("yea",C59)),IFERROR(_xlfn.NUMBERVALUE(SUBSTITUTE(LEFT(TRIM(C59),FIND(" ",TRIM(C59)&amp;" ")-1),",","."),"."),LEFT(SUBSTITUTE(LEFT(TRIM(C59),FIND(" ",TRIM(C59)&amp;" ")-1),",","."),FIND("/",SUBSTITUTE(LEFT(TRIM(C59),FIND(" ",TRIM(C59)&amp;" ")-1),",","."))-1)/MID(SUBSTITUTE(LEFT(TRIM(C59),FIND(" ",TRIM(C59)&amp;" ")-1),",","."),FIND("/",SUBSTITUTE(LEFT(TRIM(C59),FIND(" ",TRIM(C59)&amp;" ")-1),",","."))+1,9))*12,NA()))),0),60)*'Aturan &amp; Tarif'!$B$4,2)</f>
        <v>3406.8</v>
      </c>
      <c r="K59" s="32" t="n">
        <f aca="false">'Aturan &amp; Tarif'!$B$5</f>
        <v>2050</v>
      </c>
      <c r="L59" s="32" t="n">
        <f aca="false">'Aturan &amp; Tarif'!$B$6</f>
        <v>350</v>
      </c>
      <c r="M59" s="35" t="n">
        <f aca="false">I59+J59+K59+L59</f>
        <v>24206.8</v>
      </c>
      <c r="N59" s="37" t="s">
        <v>318</v>
      </c>
    </row>
    <row r="60" customFormat="false" ht="60" hidden="false" customHeight="true" outlineLevel="0" collapsed="false">
      <c r="A60" s="29"/>
      <c r="B60" s="30" t="s">
        <v>327</v>
      </c>
      <c r="C60" s="31" t="s">
        <v>127</v>
      </c>
      <c r="D60" s="31" t="s">
        <v>108</v>
      </c>
      <c r="E60" s="32" t="n">
        <v>9750</v>
      </c>
      <c r="F60" s="32"/>
      <c r="G60" s="32"/>
      <c r="H60" s="33" t="n">
        <v>2</v>
      </c>
      <c r="I60" s="34" t="n">
        <f aca="false">E60*H60+N(F60)+N(G60)</f>
        <v>19500</v>
      </c>
      <c r="J60" s="32" t="n">
        <f aca="false">ROUND(IFERROR(ROUND(IF(OR(ISNUMBER(SEARCH("week",C60)),ISNUMBER(SEARCH("minggu",C60))),IFERROR(_xlfn.NUMBERVALUE(SUBSTITUTE(LEFT(TRIM(C60),FIND(" ",TRIM(C60)&amp;" ")-1),",","."),"."),LEFT(SUBSTITUTE(LEFT(TRIM(C60),FIND(" ",TRIM(C60)&amp;" ")-1),",","."),FIND("/",SUBSTITUTE(LEFT(TRIM(C60),FIND(" ",TRIM(C60)&amp;" ")-1),",","."))-1)/MID(SUBSTITUTE(LEFT(TRIM(C60),FIND(" ",TRIM(C60)&amp;" ")-1),",","."),FIND("/",SUBSTITUTE(LEFT(TRIM(C60),FIND(" ",TRIM(C60)&amp;" ")-1),",","."))+1,9))*12/52,IF(ISNUMBER(SEARCH("month",C60)),IFERROR(_xlfn.NUMBERVALUE(SUBSTITUTE(LEFT(TRIM(C60),FIND(" ",TRIM(C60)&amp;" ")-1),",","."),"."),LEFT(SUBSTITUTE(LEFT(TRIM(C60),FIND(" ",TRIM(C60)&amp;" ")-1),",","."),FIND("/",SUBSTITUTE(LEFT(TRIM(C60),FIND(" ",TRIM(C60)&amp;" ")-1),",","."))-1)/MID(SUBSTITUTE(LEFT(TRIM(C60),FIND(" ",TRIM(C60)&amp;" ")-1),",","."),FIND("/",SUBSTITUTE(LEFT(TRIM(C60),FIND(" ",TRIM(C60)&amp;" ")-1),",","."))+1,9)),IF(ISNUMBER(SEARCH("yea",C60)),IFERROR(_xlfn.NUMBERVALUE(SUBSTITUTE(LEFT(TRIM(C60),FIND(" ",TRIM(C60)&amp;" ")-1),",","."),"."),LEFT(SUBSTITUTE(LEFT(TRIM(C60),FIND(" ",TRIM(C60)&amp;" ")-1),",","."),FIND("/",SUBSTITUTE(LEFT(TRIM(C60),FIND(" ",TRIM(C60)&amp;" ")-1),",","."))-1)/MID(SUBSTITUTE(LEFT(TRIM(C60),FIND(" ",TRIM(C60)&amp;" ")-1),",","."),FIND("/",SUBSTITUTE(LEFT(TRIM(C60),FIND(" ",TRIM(C60)&amp;" ")-1),",","."))+1,9))*12,NA()))),0),36)*'Aturan &amp; Tarif'!$B$4,2)</f>
        <v>2044.08</v>
      </c>
      <c r="K60" s="32" t="n">
        <f aca="false">'Aturan &amp; Tarif'!$B$5</f>
        <v>2050</v>
      </c>
      <c r="L60" s="32" t="n">
        <f aca="false">'Aturan &amp; Tarif'!$B$6</f>
        <v>350</v>
      </c>
      <c r="M60" s="35" t="n">
        <f aca="false">I60+J60+K60+L60</f>
        <v>23944.08</v>
      </c>
      <c r="N60" s="36" t="s">
        <v>328</v>
      </c>
    </row>
    <row r="61" customFormat="false" ht="25.5" hidden="false" customHeight="true" outlineLevel="0" collapsed="false">
      <c r="A61" s="29"/>
      <c r="B61" s="30" t="s">
        <v>329</v>
      </c>
      <c r="C61" s="31" t="s">
        <v>191</v>
      </c>
      <c r="D61" s="31" t="s">
        <v>108</v>
      </c>
      <c r="E61" s="32" t="n">
        <v>9750</v>
      </c>
      <c r="F61" s="32"/>
      <c r="G61" s="32"/>
      <c r="H61" s="33" t="n">
        <v>2</v>
      </c>
      <c r="I61" s="34" t="n">
        <f aca="false">E61*H61+N(F61)+N(G61)</f>
        <v>19500</v>
      </c>
      <c r="J61" s="32" t="n">
        <f aca="false">ROUND(IFERROR(ROUND(IF(OR(ISNUMBER(SEARCH("week",C61)),ISNUMBER(SEARCH("minggu",C61))),IFERROR(_xlfn.NUMBERVALUE(SUBSTITUTE(LEFT(TRIM(C61),FIND(" ",TRIM(C61)&amp;" ")-1),",","."),"."),LEFT(SUBSTITUTE(LEFT(TRIM(C61),FIND(" ",TRIM(C61)&amp;" ")-1),",","."),FIND("/",SUBSTITUTE(LEFT(TRIM(C61),FIND(" ",TRIM(C61)&amp;" ")-1),",","."))-1)/MID(SUBSTITUTE(LEFT(TRIM(C61),FIND(" ",TRIM(C61)&amp;" ")-1),",","."),FIND("/",SUBSTITUTE(LEFT(TRIM(C61),FIND(" ",TRIM(C61)&amp;" ")-1),",","."))+1,9))*12/52,IF(ISNUMBER(SEARCH("month",C61)),IFERROR(_xlfn.NUMBERVALUE(SUBSTITUTE(LEFT(TRIM(C61),FIND(" ",TRIM(C61)&amp;" ")-1),",","."),"."),LEFT(SUBSTITUTE(LEFT(TRIM(C61),FIND(" ",TRIM(C61)&amp;" ")-1),",","."),FIND("/",SUBSTITUTE(LEFT(TRIM(C61),FIND(" ",TRIM(C61)&amp;" ")-1),",","."))-1)/MID(SUBSTITUTE(LEFT(TRIM(C61),FIND(" ",TRIM(C61)&amp;" ")-1),",","."),FIND("/",SUBSTITUTE(LEFT(TRIM(C61),FIND(" ",TRIM(C61)&amp;" ")-1),",","."))+1,9)),IF(ISNUMBER(SEARCH("yea",C61)),IFERROR(_xlfn.NUMBERVALUE(SUBSTITUTE(LEFT(TRIM(C61),FIND(" ",TRIM(C61)&amp;" ")-1),",","."),"."),LEFT(SUBSTITUTE(LEFT(TRIM(C61),FIND(" ",TRIM(C61)&amp;" ")-1),",","."),FIND("/",SUBSTITUTE(LEFT(TRIM(C61),FIND(" ",TRIM(C61)&amp;" ")-1),",","."))-1)/MID(SUBSTITUTE(LEFT(TRIM(C61),FIND(" ",TRIM(C61)&amp;" ")-1),",","."),FIND("/",SUBSTITUTE(LEFT(TRIM(C61),FIND(" ",TRIM(C61)&amp;" ")-1),",","."))+1,9))*12,NA()))),0),48)*'Aturan &amp; Tarif'!$B$4,2)</f>
        <v>2725.44</v>
      </c>
      <c r="K61" s="32" t="n">
        <f aca="false">'Aturan &amp; Tarif'!$B$5</f>
        <v>2050</v>
      </c>
      <c r="L61" s="32" t="n">
        <f aca="false">'Aturan &amp; Tarif'!$B$6</f>
        <v>350</v>
      </c>
      <c r="M61" s="35" t="n">
        <f aca="false">I61+J61+K61+L61</f>
        <v>24625.44</v>
      </c>
      <c r="N61" s="37" t="s">
        <v>318</v>
      </c>
    </row>
    <row r="62" customFormat="false" ht="25.5" hidden="false" customHeight="true" outlineLevel="0" collapsed="false">
      <c r="A62" s="29"/>
      <c r="B62" s="30" t="s">
        <v>330</v>
      </c>
      <c r="C62" s="31" t="s">
        <v>127</v>
      </c>
      <c r="D62" s="31" t="s">
        <v>108</v>
      </c>
      <c r="E62" s="32" t="n">
        <v>9200</v>
      </c>
      <c r="F62" s="32"/>
      <c r="G62" s="32"/>
      <c r="H62" s="33" t="n">
        <v>2</v>
      </c>
      <c r="I62" s="34" t="n">
        <f aca="false">E62*H62+N(F62)+N(G62)</f>
        <v>18400</v>
      </c>
      <c r="J62" s="32" t="n">
        <f aca="false">ROUND(IFERROR(ROUND(IF(OR(ISNUMBER(SEARCH("week",C62)),ISNUMBER(SEARCH("minggu",C62))),IFERROR(_xlfn.NUMBERVALUE(SUBSTITUTE(LEFT(TRIM(C62),FIND(" ",TRIM(C62)&amp;" ")-1),",","."),"."),LEFT(SUBSTITUTE(LEFT(TRIM(C62),FIND(" ",TRIM(C62)&amp;" ")-1),",","."),FIND("/",SUBSTITUTE(LEFT(TRIM(C62),FIND(" ",TRIM(C62)&amp;" ")-1),",","."))-1)/MID(SUBSTITUTE(LEFT(TRIM(C62),FIND(" ",TRIM(C62)&amp;" ")-1),",","."),FIND("/",SUBSTITUTE(LEFT(TRIM(C62),FIND(" ",TRIM(C62)&amp;" ")-1),",","."))+1,9))*12/52,IF(ISNUMBER(SEARCH("month",C62)),IFERROR(_xlfn.NUMBERVALUE(SUBSTITUTE(LEFT(TRIM(C62),FIND(" ",TRIM(C62)&amp;" ")-1),",","."),"."),LEFT(SUBSTITUTE(LEFT(TRIM(C62),FIND(" ",TRIM(C62)&amp;" ")-1),",","."),FIND("/",SUBSTITUTE(LEFT(TRIM(C62),FIND(" ",TRIM(C62)&amp;" ")-1),",","."))-1)/MID(SUBSTITUTE(LEFT(TRIM(C62),FIND(" ",TRIM(C62)&amp;" ")-1),",","."),FIND("/",SUBSTITUTE(LEFT(TRIM(C62),FIND(" ",TRIM(C62)&amp;" ")-1),",","."))+1,9)),IF(ISNUMBER(SEARCH("yea",C62)),IFERROR(_xlfn.NUMBERVALUE(SUBSTITUTE(LEFT(TRIM(C62),FIND(" ",TRIM(C62)&amp;" ")-1),",","."),"."),LEFT(SUBSTITUTE(LEFT(TRIM(C62),FIND(" ",TRIM(C62)&amp;" ")-1),",","."),FIND("/",SUBSTITUTE(LEFT(TRIM(C62),FIND(" ",TRIM(C62)&amp;" ")-1),",","."))-1)/MID(SUBSTITUTE(LEFT(TRIM(C62),FIND(" ",TRIM(C62)&amp;" ")-1),",","."),FIND("/",SUBSTITUTE(LEFT(TRIM(C62),FIND(" ",TRIM(C62)&amp;" ")-1),",","."))+1,9))*12,NA()))),0),36)*'Aturan &amp; Tarif'!$B$4,2)</f>
        <v>2044.08</v>
      </c>
      <c r="K62" s="32" t="n">
        <f aca="false">'Aturan &amp; Tarif'!$B$5</f>
        <v>2050</v>
      </c>
      <c r="L62" s="32" t="n">
        <f aca="false">'Aturan &amp; Tarif'!$B$6</f>
        <v>350</v>
      </c>
      <c r="M62" s="35" t="n">
        <f aca="false">I62+J62+K62+L62</f>
        <v>22844.08</v>
      </c>
      <c r="N62" s="37" t="s">
        <v>318</v>
      </c>
    </row>
    <row r="63" customFormat="false" ht="25.5" hidden="false" customHeight="true" outlineLevel="0" collapsed="false">
      <c r="A63" s="29"/>
      <c r="B63" s="30" t="s">
        <v>331</v>
      </c>
      <c r="C63" s="31" t="s">
        <v>245</v>
      </c>
      <c r="D63" s="31" t="s">
        <v>108</v>
      </c>
      <c r="E63" s="32" t="n">
        <v>9200</v>
      </c>
      <c r="F63" s="32"/>
      <c r="G63" s="32"/>
      <c r="H63" s="33" t="n">
        <v>2</v>
      </c>
      <c r="I63" s="34" t="n">
        <f aca="false">E63*H63+N(F63)+N(G63)</f>
        <v>18400</v>
      </c>
      <c r="J63" s="32" t="n">
        <f aca="false">ROUND(IFERROR(ROUND(IF(OR(ISNUMBER(SEARCH("week",C63)),ISNUMBER(SEARCH("minggu",C63))),IFERROR(_xlfn.NUMBERVALUE(SUBSTITUTE(LEFT(TRIM(C63),FIND(" ",TRIM(C63)&amp;" ")-1),",","."),"."),LEFT(SUBSTITUTE(LEFT(TRIM(C63),FIND(" ",TRIM(C63)&amp;" ")-1),",","."),FIND("/",SUBSTITUTE(LEFT(TRIM(C63),FIND(" ",TRIM(C63)&amp;" ")-1),",","."))-1)/MID(SUBSTITUTE(LEFT(TRIM(C63),FIND(" ",TRIM(C63)&amp;" ")-1),",","."),FIND("/",SUBSTITUTE(LEFT(TRIM(C63),FIND(" ",TRIM(C63)&amp;" ")-1),",","."))+1,9))*12/52,IF(ISNUMBER(SEARCH("month",C63)),IFERROR(_xlfn.NUMBERVALUE(SUBSTITUTE(LEFT(TRIM(C63),FIND(" ",TRIM(C63)&amp;" ")-1),",","."),"."),LEFT(SUBSTITUTE(LEFT(TRIM(C63),FIND(" ",TRIM(C63)&amp;" ")-1),",","."),FIND("/",SUBSTITUTE(LEFT(TRIM(C63),FIND(" ",TRIM(C63)&amp;" ")-1),",","."))-1)/MID(SUBSTITUTE(LEFT(TRIM(C63),FIND(" ",TRIM(C63)&amp;" ")-1),",","."),FIND("/",SUBSTITUTE(LEFT(TRIM(C63),FIND(" ",TRIM(C63)&amp;" ")-1),",","."))+1,9)),IF(ISNUMBER(SEARCH("yea",C63)),IFERROR(_xlfn.NUMBERVALUE(SUBSTITUTE(LEFT(TRIM(C63),FIND(" ",TRIM(C63)&amp;" ")-1),",","."),"."),LEFT(SUBSTITUTE(LEFT(TRIM(C63),FIND(" ",TRIM(C63)&amp;" ")-1),",","."),FIND("/",SUBSTITUTE(LEFT(TRIM(C63),FIND(" ",TRIM(C63)&amp;" ")-1),",","."))-1)/MID(SUBSTITUTE(LEFT(TRIM(C63),FIND(" ",TRIM(C63)&amp;" ")-1),",","."),FIND("/",SUBSTITUTE(LEFT(TRIM(C63),FIND(" ",TRIM(C63)&amp;" ")-1),",","."))+1,9))*12,NA()))),0),60)*'Aturan &amp; Tarif'!$B$4,2)</f>
        <v>3406.8</v>
      </c>
      <c r="K63" s="32" t="n">
        <f aca="false">'Aturan &amp; Tarif'!$B$5</f>
        <v>2050</v>
      </c>
      <c r="L63" s="32" t="n">
        <f aca="false">'Aturan &amp; Tarif'!$B$6</f>
        <v>350</v>
      </c>
      <c r="M63" s="35" t="n">
        <f aca="false">I63+J63+K63+L63</f>
        <v>24206.8</v>
      </c>
      <c r="N63" s="37" t="s">
        <v>318</v>
      </c>
    </row>
    <row r="64" customFormat="false" ht="25.5" hidden="false" customHeight="true" outlineLevel="0" collapsed="false">
      <c r="A64" s="29"/>
      <c r="B64" s="30" t="s">
        <v>332</v>
      </c>
      <c r="C64" s="31" t="s">
        <v>245</v>
      </c>
      <c r="D64" s="31" t="s">
        <v>108</v>
      </c>
      <c r="E64" s="32" t="n">
        <v>9200</v>
      </c>
      <c r="F64" s="32"/>
      <c r="G64" s="32"/>
      <c r="H64" s="33" t="n">
        <v>2</v>
      </c>
      <c r="I64" s="34" t="n">
        <f aca="false">E64*H64+N(F64)+N(G64)</f>
        <v>18400</v>
      </c>
      <c r="J64" s="32" t="n">
        <f aca="false">ROUND(IFERROR(ROUND(IF(OR(ISNUMBER(SEARCH("week",C64)),ISNUMBER(SEARCH("minggu",C64))),IFERROR(_xlfn.NUMBERVALUE(SUBSTITUTE(LEFT(TRIM(C64),FIND(" ",TRIM(C64)&amp;" ")-1),",","."),"."),LEFT(SUBSTITUTE(LEFT(TRIM(C64),FIND(" ",TRIM(C64)&amp;" ")-1),",","."),FIND("/",SUBSTITUTE(LEFT(TRIM(C64),FIND(" ",TRIM(C64)&amp;" ")-1),",","."))-1)/MID(SUBSTITUTE(LEFT(TRIM(C64),FIND(" ",TRIM(C64)&amp;" ")-1),",","."),FIND("/",SUBSTITUTE(LEFT(TRIM(C64),FIND(" ",TRIM(C64)&amp;" ")-1),",","."))+1,9))*12/52,IF(ISNUMBER(SEARCH("month",C64)),IFERROR(_xlfn.NUMBERVALUE(SUBSTITUTE(LEFT(TRIM(C64),FIND(" ",TRIM(C64)&amp;" ")-1),",","."),"."),LEFT(SUBSTITUTE(LEFT(TRIM(C64),FIND(" ",TRIM(C64)&amp;" ")-1),",","."),FIND("/",SUBSTITUTE(LEFT(TRIM(C64),FIND(" ",TRIM(C64)&amp;" ")-1),",","."))-1)/MID(SUBSTITUTE(LEFT(TRIM(C64),FIND(" ",TRIM(C64)&amp;" ")-1),",","."),FIND("/",SUBSTITUTE(LEFT(TRIM(C64),FIND(" ",TRIM(C64)&amp;" ")-1),",","."))+1,9)),IF(ISNUMBER(SEARCH("yea",C64)),IFERROR(_xlfn.NUMBERVALUE(SUBSTITUTE(LEFT(TRIM(C64),FIND(" ",TRIM(C64)&amp;" ")-1),",","."),"."),LEFT(SUBSTITUTE(LEFT(TRIM(C64),FIND(" ",TRIM(C64)&amp;" ")-1),",","."),FIND("/",SUBSTITUTE(LEFT(TRIM(C64),FIND(" ",TRIM(C64)&amp;" ")-1),",","."))-1)/MID(SUBSTITUTE(LEFT(TRIM(C64),FIND(" ",TRIM(C64)&amp;" ")-1),",","."),FIND("/",SUBSTITUTE(LEFT(TRIM(C64),FIND(" ",TRIM(C64)&amp;" ")-1),",","."))+1,9))*12,NA()))),0),60)*'Aturan &amp; Tarif'!$B$4,2)</f>
        <v>3406.8</v>
      </c>
      <c r="K64" s="32" t="n">
        <f aca="false">'Aturan &amp; Tarif'!$B$5</f>
        <v>2050</v>
      </c>
      <c r="L64" s="32" t="n">
        <f aca="false">'Aturan &amp; Tarif'!$B$6</f>
        <v>350</v>
      </c>
      <c r="M64" s="35" t="n">
        <f aca="false">I64+J64+K64+L64</f>
        <v>24206.8</v>
      </c>
      <c r="N64" s="37" t="s">
        <v>318</v>
      </c>
    </row>
    <row r="65" customFormat="false" ht="25.5" hidden="false" customHeight="true" outlineLevel="0" collapsed="false">
      <c r="A65" s="29"/>
      <c r="B65" s="30" t="s">
        <v>333</v>
      </c>
      <c r="C65" s="31" t="s">
        <v>191</v>
      </c>
      <c r="D65" s="31" t="s">
        <v>108</v>
      </c>
      <c r="E65" s="32" t="n">
        <v>9200</v>
      </c>
      <c r="F65" s="32"/>
      <c r="G65" s="32"/>
      <c r="H65" s="33" t="n">
        <v>2</v>
      </c>
      <c r="I65" s="34" t="n">
        <f aca="false">E65*H65+N(F65)+N(G65)</f>
        <v>18400</v>
      </c>
      <c r="J65" s="32" t="n">
        <f aca="false">ROUND(IFERROR(ROUND(IF(OR(ISNUMBER(SEARCH("week",C65)),ISNUMBER(SEARCH("minggu",C65))),IFERROR(_xlfn.NUMBERVALUE(SUBSTITUTE(LEFT(TRIM(C65),FIND(" ",TRIM(C65)&amp;" ")-1),",","."),"."),LEFT(SUBSTITUTE(LEFT(TRIM(C65),FIND(" ",TRIM(C65)&amp;" ")-1),",","."),FIND("/",SUBSTITUTE(LEFT(TRIM(C65),FIND(" ",TRIM(C65)&amp;" ")-1),",","."))-1)/MID(SUBSTITUTE(LEFT(TRIM(C65),FIND(" ",TRIM(C65)&amp;" ")-1),",","."),FIND("/",SUBSTITUTE(LEFT(TRIM(C65),FIND(" ",TRIM(C65)&amp;" ")-1),",","."))+1,9))*12/52,IF(ISNUMBER(SEARCH("month",C65)),IFERROR(_xlfn.NUMBERVALUE(SUBSTITUTE(LEFT(TRIM(C65),FIND(" ",TRIM(C65)&amp;" ")-1),",","."),"."),LEFT(SUBSTITUTE(LEFT(TRIM(C65),FIND(" ",TRIM(C65)&amp;" ")-1),",","."),FIND("/",SUBSTITUTE(LEFT(TRIM(C65),FIND(" ",TRIM(C65)&amp;" ")-1),",","."))-1)/MID(SUBSTITUTE(LEFT(TRIM(C65),FIND(" ",TRIM(C65)&amp;" ")-1),",","."),FIND("/",SUBSTITUTE(LEFT(TRIM(C65),FIND(" ",TRIM(C65)&amp;" ")-1),",","."))+1,9)),IF(ISNUMBER(SEARCH("yea",C65)),IFERROR(_xlfn.NUMBERVALUE(SUBSTITUTE(LEFT(TRIM(C65),FIND(" ",TRIM(C65)&amp;" ")-1),",","."),"."),LEFT(SUBSTITUTE(LEFT(TRIM(C65),FIND(" ",TRIM(C65)&amp;" ")-1),",","."),FIND("/",SUBSTITUTE(LEFT(TRIM(C65),FIND(" ",TRIM(C65)&amp;" ")-1),",","."))-1)/MID(SUBSTITUTE(LEFT(TRIM(C65),FIND(" ",TRIM(C65)&amp;" ")-1),",","."),FIND("/",SUBSTITUTE(LEFT(TRIM(C65),FIND(" ",TRIM(C65)&amp;" ")-1),",","."))+1,9))*12,NA()))),0),48)*'Aturan &amp; Tarif'!$B$4,2)</f>
        <v>2725.44</v>
      </c>
      <c r="K65" s="32" t="n">
        <f aca="false">'Aturan &amp; Tarif'!$B$5</f>
        <v>2050</v>
      </c>
      <c r="L65" s="32" t="n">
        <f aca="false">'Aturan &amp; Tarif'!$B$6</f>
        <v>350</v>
      </c>
      <c r="M65" s="35" t="n">
        <f aca="false">I65+J65+K65+L65</f>
        <v>23525.44</v>
      </c>
      <c r="N65" s="37" t="s">
        <v>318</v>
      </c>
    </row>
    <row r="66" customFormat="false" ht="25.5" hidden="false" customHeight="true" outlineLevel="0" collapsed="false">
      <c r="A66" s="29"/>
      <c r="B66" s="30" t="s">
        <v>334</v>
      </c>
      <c r="C66" s="31" t="s">
        <v>245</v>
      </c>
      <c r="D66" s="31" t="s">
        <v>108</v>
      </c>
      <c r="E66" s="32" t="n">
        <v>9200</v>
      </c>
      <c r="F66" s="32"/>
      <c r="G66" s="32"/>
      <c r="H66" s="33" t="n">
        <v>2</v>
      </c>
      <c r="I66" s="34" t="n">
        <f aca="false">E66*H66+N(F66)+N(G66)</f>
        <v>18400</v>
      </c>
      <c r="J66" s="32" t="n">
        <f aca="false">ROUND(IFERROR(ROUND(IF(OR(ISNUMBER(SEARCH("week",C66)),ISNUMBER(SEARCH("minggu",C66))),IFERROR(_xlfn.NUMBERVALUE(SUBSTITUTE(LEFT(TRIM(C66),FIND(" ",TRIM(C66)&amp;" ")-1),",","."),"."),LEFT(SUBSTITUTE(LEFT(TRIM(C66),FIND(" ",TRIM(C66)&amp;" ")-1),",","."),FIND("/",SUBSTITUTE(LEFT(TRIM(C66),FIND(" ",TRIM(C66)&amp;" ")-1),",","."))-1)/MID(SUBSTITUTE(LEFT(TRIM(C66),FIND(" ",TRIM(C66)&amp;" ")-1),",","."),FIND("/",SUBSTITUTE(LEFT(TRIM(C66),FIND(" ",TRIM(C66)&amp;" ")-1),",","."))+1,9))*12/52,IF(ISNUMBER(SEARCH("month",C66)),IFERROR(_xlfn.NUMBERVALUE(SUBSTITUTE(LEFT(TRIM(C66),FIND(" ",TRIM(C66)&amp;" ")-1),",","."),"."),LEFT(SUBSTITUTE(LEFT(TRIM(C66),FIND(" ",TRIM(C66)&amp;" ")-1),",","."),FIND("/",SUBSTITUTE(LEFT(TRIM(C66),FIND(" ",TRIM(C66)&amp;" ")-1),",","."))-1)/MID(SUBSTITUTE(LEFT(TRIM(C66),FIND(" ",TRIM(C66)&amp;" ")-1),",","."),FIND("/",SUBSTITUTE(LEFT(TRIM(C66),FIND(" ",TRIM(C66)&amp;" ")-1),",","."))+1,9)),IF(ISNUMBER(SEARCH("yea",C66)),IFERROR(_xlfn.NUMBERVALUE(SUBSTITUTE(LEFT(TRIM(C66),FIND(" ",TRIM(C66)&amp;" ")-1),",","."),"."),LEFT(SUBSTITUTE(LEFT(TRIM(C66),FIND(" ",TRIM(C66)&amp;" ")-1),",","."),FIND("/",SUBSTITUTE(LEFT(TRIM(C66),FIND(" ",TRIM(C66)&amp;" ")-1),",","."))-1)/MID(SUBSTITUTE(LEFT(TRIM(C66),FIND(" ",TRIM(C66)&amp;" ")-1),",","."),FIND("/",SUBSTITUTE(LEFT(TRIM(C66),FIND(" ",TRIM(C66)&amp;" ")-1),",","."))+1,9))*12,NA()))),0),60)*'Aturan &amp; Tarif'!$B$4,2)</f>
        <v>3406.8</v>
      </c>
      <c r="K66" s="32" t="n">
        <f aca="false">'Aturan &amp; Tarif'!$B$5</f>
        <v>2050</v>
      </c>
      <c r="L66" s="32" t="n">
        <f aca="false">'Aturan &amp; Tarif'!$B$6</f>
        <v>350</v>
      </c>
      <c r="M66" s="35" t="n">
        <f aca="false">I66+J66+K66+L66</f>
        <v>24206.8</v>
      </c>
      <c r="N66" s="37" t="s">
        <v>318</v>
      </c>
    </row>
    <row r="67" customFormat="false" ht="14.25" hidden="false" customHeight="true" outlineLevel="0" collapsed="false">
      <c r="A67" s="29"/>
      <c r="B67" s="30" t="s">
        <v>335</v>
      </c>
      <c r="C67" s="31" t="s">
        <v>127</v>
      </c>
      <c r="D67" s="31" t="s">
        <v>108</v>
      </c>
      <c r="E67" s="32" t="n">
        <v>8742</v>
      </c>
      <c r="F67" s="32"/>
      <c r="G67" s="32"/>
      <c r="H67" s="33" t="n">
        <v>2</v>
      </c>
      <c r="I67" s="34" t="n">
        <f aca="false">E67*H67+N(F67)+N(G67)</f>
        <v>17484</v>
      </c>
      <c r="J67" s="32" t="n">
        <f aca="false">ROUND(IFERROR(ROUND(IF(OR(ISNUMBER(SEARCH("week",C67)),ISNUMBER(SEARCH("minggu",C67))),IFERROR(_xlfn.NUMBERVALUE(SUBSTITUTE(LEFT(TRIM(C67),FIND(" ",TRIM(C67)&amp;" ")-1),",","."),"."),LEFT(SUBSTITUTE(LEFT(TRIM(C67),FIND(" ",TRIM(C67)&amp;" ")-1),",","."),FIND("/",SUBSTITUTE(LEFT(TRIM(C67),FIND(" ",TRIM(C67)&amp;" ")-1),",","."))-1)/MID(SUBSTITUTE(LEFT(TRIM(C67),FIND(" ",TRIM(C67)&amp;" ")-1),",","."),FIND("/",SUBSTITUTE(LEFT(TRIM(C67),FIND(" ",TRIM(C67)&amp;" ")-1),",","."))+1,9))*12/52,IF(ISNUMBER(SEARCH("month",C67)),IFERROR(_xlfn.NUMBERVALUE(SUBSTITUTE(LEFT(TRIM(C67),FIND(" ",TRIM(C67)&amp;" ")-1),",","."),"."),LEFT(SUBSTITUTE(LEFT(TRIM(C67),FIND(" ",TRIM(C67)&amp;" ")-1),",","."),FIND("/",SUBSTITUTE(LEFT(TRIM(C67),FIND(" ",TRIM(C67)&amp;" ")-1),",","."))-1)/MID(SUBSTITUTE(LEFT(TRIM(C67),FIND(" ",TRIM(C67)&amp;" ")-1),",","."),FIND("/",SUBSTITUTE(LEFT(TRIM(C67),FIND(" ",TRIM(C67)&amp;" ")-1),",","."))+1,9)),IF(ISNUMBER(SEARCH("yea",C67)),IFERROR(_xlfn.NUMBERVALUE(SUBSTITUTE(LEFT(TRIM(C67),FIND(" ",TRIM(C67)&amp;" ")-1),",","."),"."),LEFT(SUBSTITUTE(LEFT(TRIM(C67),FIND(" ",TRIM(C67)&amp;" ")-1),",","."),FIND("/",SUBSTITUTE(LEFT(TRIM(C67),FIND(" ",TRIM(C67)&amp;" ")-1),",","."))-1)/MID(SUBSTITUTE(LEFT(TRIM(C67),FIND(" ",TRIM(C67)&amp;" ")-1),",","."),FIND("/",SUBSTITUTE(LEFT(TRIM(C67),FIND(" ",TRIM(C67)&amp;" ")-1),",","."))+1,9))*12,NA()))),0),36)*'Aturan &amp; Tarif'!$B$4,2)</f>
        <v>2044.08</v>
      </c>
      <c r="K67" s="32" t="n">
        <f aca="false">'Aturan &amp; Tarif'!$B$5</f>
        <v>2050</v>
      </c>
      <c r="L67" s="32" t="n">
        <f aca="false">'Aturan &amp; Tarif'!$B$6</f>
        <v>350</v>
      </c>
      <c r="M67" s="35" t="n">
        <f aca="false">I67+J67+K67+L67</f>
        <v>21928.08</v>
      </c>
      <c r="N67" s="37" t="s">
        <v>318</v>
      </c>
    </row>
    <row r="68" customFormat="false" ht="25.5" hidden="false" customHeight="true" outlineLevel="0" collapsed="false">
      <c r="A68" s="29"/>
      <c r="B68" s="30" t="s">
        <v>336</v>
      </c>
      <c r="C68" s="31" t="s">
        <v>191</v>
      </c>
      <c r="D68" s="31" t="s">
        <v>108</v>
      </c>
      <c r="E68" s="32" t="n">
        <v>8742</v>
      </c>
      <c r="F68" s="32"/>
      <c r="G68" s="32"/>
      <c r="H68" s="33" t="n">
        <v>2</v>
      </c>
      <c r="I68" s="34" t="n">
        <f aca="false">E68*H68+N(F68)+N(G68)</f>
        <v>17484</v>
      </c>
      <c r="J68" s="32" t="n">
        <f aca="false">ROUND(IFERROR(ROUND(IF(OR(ISNUMBER(SEARCH("week",C68)),ISNUMBER(SEARCH("minggu",C68))),IFERROR(_xlfn.NUMBERVALUE(SUBSTITUTE(LEFT(TRIM(C68),FIND(" ",TRIM(C68)&amp;" ")-1),",","."),"."),LEFT(SUBSTITUTE(LEFT(TRIM(C68),FIND(" ",TRIM(C68)&amp;" ")-1),",","."),FIND("/",SUBSTITUTE(LEFT(TRIM(C68),FIND(" ",TRIM(C68)&amp;" ")-1),",","."))-1)/MID(SUBSTITUTE(LEFT(TRIM(C68),FIND(" ",TRIM(C68)&amp;" ")-1),",","."),FIND("/",SUBSTITUTE(LEFT(TRIM(C68),FIND(" ",TRIM(C68)&amp;" ")-1),",","."))+1,9))*12/52,IF(ISNUMBER(SEARCH("month",C68)),IFERROR(_xlfn.NUMBERVALUE(SUBSTITUTE(LEFT(TRIM(C68),FIND(" ",TRIM(C68)&amp;" ")-1),",","."),"."),LEFT(SUBSTITUTE(LEFT(TRIM(C68),FIND(" ",TRIM(C68)&amp;" ")-1),",","."),FIND("/",SUBSTITUTE(LEFT(TRIM(C68),FIND(" ",TRIM(C68)&amp;" ")-1),",","."))-1)/MID(SUBSTITUTE(LEFT(TRIM(C68),FIND(" ",TRIM(C68)&amp;" ")-1),",","."),FIND("/",SUBSTITUTE(LEFT(TRIM(C68),FIND(" ",TRIM(C68)&amp;" ")-1),",","."))+1,9)),IF(ISNUMBER(SEARCH("yea",C68)),IFERROR(_xlfn.NUMBERVALUE(SUBSTITUTE(LEFT(TRIM(C68),FIND(" ",TRIM(C68)&amp;" ")-1),",","."),"."),LEFT(SUBSTITUTE(LEFT(TRIM(C68),FIND(" ",TRIM(C68)&amp;" ")-1),",","."),FIND("/",SUBSTITUTE(LEFT(TRIM(C68),FIND(" ",TRIM(C68)&amp;" ")-1),",","."))-1)/MID(SUBSTITUTE(LEFT(TRIM(C68),FIND(" ",TRIM(C68)&amp;" ")-1),",","."),FIND("/",SUBSTITUTE(LEFT(TRIM(C68),FIND(" ",TRIM(C68)&amp;" ")-1),",","."))+1,9))*12,NA()))),0),48)*'Aturan &amp; Tarif'!$B$4,2)</f>
        <v>2725.44</v>
      </c>
      <c r="K68" s="32" t="n">
        <f aca="false">'Aturan &amp; Tarif'!$B$5</f>
        <v>2050</v>
      </c>
      <c r="L68" s="32" t="n">
        <f aca="false">'Aturan &amp; Tarif'!$B$6</f>
        <v>350</v>
      </c>
      <c r="M68" s="35" t="n">
        <f aca="false">I68+J68+K68+L68</f>
        <v>22609.44</v>
      </c>
      <c r="N68" s="37" t="s">
        <v>318</v>
      </c>
    </row>
    <row r="69" customFormat="false" ht="14.25" hidden="false" customHeight="true" outlineLevel="0" collapsed="false">
      <c r="A69" s="29"/>
      <c r="B69" s="30" t="s">
        <v>156</v>
      </c>
      <c r="C69" s="31" t="s">
        <v>191</v>
      </c>
      <c r="D69" s="31" t="s">
        <v>108</v>
      </c>
      <c r="E69" s="32" t="n">
        <v>9200</v>
      </c>
      <c r="F69" s="32"/>
      <c r="G69" s="32"/>
      <c r="H69" s="33" t="n">
        <v>2</v>
      </c>
      <c r="I69" s="34" t="n">
        <f aca="false">E69*H69+N(F69)+N(G69)</f>
        <v>18400</v>
      </c>
      <c r="J69" s="32" t="n">
        <f aca="false">ROUND(IFERROR(ROUND(IF(OR(ISNUMBER(SEARCH("week",C69)),ISNUMBER(SEARCH("minggu",C69))),IFERROR(_xlfn.NUMBERVALUE(SUBSTITUTE(LEFT(TRIM(C69),FIND(" ",TRIM(C69)&amp;" ")-1),",","."),"."),LEFT(SUBSTITUTE(LEFT(TRIM(C69),FIND(" ",TRIM(C69)&amp;" ")-1),",","."),FIND("/",SUBSTITUTE(LEFT(TRIM(C69),FIND(" ",TRIM(C69)&amp;" ")-1),",","."))-1)/MID(SUBSTITUTE(LEFT(TRIM(C69),FIND(" ",TRIM(C69)&amp;" ")-1),",","."),FIND("/",SUBSTITUTE(LEFT(TRIM(C69),FIND(" ",TRIM(C69)&amp;" ")-1),",","."))+1,9))*12/52,IF(ISNUMBER(SEARCH("month",C69)),IFERROR(_xlfn.NUMBERVALUE(SUBSTITUTE(LEFT(TRIM(C69),FIND(" ",TRIM(C69)&amp;" ")-1),",","."),"."),LEFT(SUBSTITUTE(LEFT(TRIM(C69),FIND(" ",TRIM(C69)&amp;" ")-1),",","."),FIND("/",SUBSTITUTE(LEFT(TRIM(C69),FIND(" ",TRIM(C69)&amp;" ")-1),",","."))-1)/MID(SUBSTITUTE(LEFT(TRIM(C69),FIND(" ",TRIM(C69)&amp;" ")-1),",","."),FIND("/",SUBSTITUTE(LEFT(TRIM(C69),FIND(" ",TRIM(C69)&amp;" ")-1),",","."))+1,9)),IF(ISNUMBER(SEARCH("yea",C69)),IFERROR(_xlfn.NUMBERVALUE(SUBSTITUTE(LEFT(TRIM(C69),FIND(" ",TRIM(C69)&amp;" ")-1),",","."),"."),LEFT(SUBSTITUTE(LEFT(TRIM(C69),FIND(" ",TRIM(C69)&amp;" ")-1),",","."),FIND("/",SUBSTITUTE(LEFT(TRIM(C69),FIND(" ",TRIM(C69)&amp;" ")-1),",","."))-1)/MID(SUBSTITUTE(LEFT(TRIM(C69),FIND(" ",TRIM(C69)&amp;" ")-1),",","."),FIND("/",SUBSTITUTE(LEFT(TRIM(C69),FIND(" ",TRIM(C69)&amp;" ")-1),",","."))+1,9))*12,NA()))),0),48)*'Aturan &amp; Tarif'!$B$4,2)</f>
        <v>2725.44</v>
      </c>
      <c r="K69" s="32" t="n">
        <f aca="false">'Aturan &amp; Tarif'!$B$5</f>
        <v>2050</v>
      </c>
      <c r="L69" s="32" t="n">
        <f aca="false">'Aturan &amp; Tarif'!$B$6</f>
        <v>350</v>
      </c>
      <c r="M69" s="35" t="n">
        <f aca="false">I69+J69+K69+L69</f>
        <v>23525.44</v>
      </c>
      <c r="N69" s="37" t="s">
        <v>318</v>
      </c>
    </row>
    <row r="70" customFormat="false" ht="14.25" hidden="false" customHeight="true" outlineLevel="0" collapsed="false">
      <c r="A70" s="29"/>
      <c r="B70" s="30" t="s">
        <v>337</v>
      </c>
      <c r="C70" s="31" t="s">
        <v>127</v>
      </c>
      <c r="D70" s="31" t="s">
        <v>108</v>
      </c>
      <c r="E70" s="32" t="n">
        <v>9200</v>
      </c>
      <c r="F70" s="32"/>
      <c r="G70" s="32"/>
      <c r="H70" s="33" t="n">
        <v>2</v>
      </c>
      <c r="I70" s="34" t="n">
        <f aca="false">E70*H70+N(F70)+N(G70)</f>
        <v>18400</v>
      </c>
      <c r="J70" s="32" t="n">
        <f aca="false">ROUND(IFERROR(ROUND(IF(OR(ISNUMBER(SEARCH("week",C70)),ISNUMBER(SEARCH("minggu",C70))),IFERROR(_xlfn.NUMBERVALUE(SUBSTITUTE(LEFT(TRIM(C70),FIND(" ",TRIM(C70)&amp;" ")-1),",","."),"."),LEFT(SUBSTITUTE(LEFT(TRIM(C70),FIND(" ",TRIM(C70)&amp;" ")-1),",","."),FIND("/",SUBSTITUTE(LEFT(TRIM(C70),FIND(" ",TRIM(C70)&amp;" ")-1),",","."))-1)/MID(SUBSTITUTE(LEFT(TRIM(C70),FIND(" ",TRIM(C70)&amp;" ")-1),",","."),FIND("/",SUBSTITUTE(LEFT(TRIM(C70),FIND(" ",TRIM(C70)&amp;" ")-1),",","."))+1,9))*12/52,IF(ISNUMBER(SEARCH("month",C70)),IFERROR(_xlfn.NUMBERVALUE(SUBSTITUTE(LEFT(TRIM(C70),FIND(" ",TRIM(C70)&amp;" ")-1),",","."),"."),LEFT(SUBSTITUTE(LEFT(TRIM(C70),FIND(" ",TRIM(C70)&amp;" ")-1),",","."),FIND("/",SUBSTITUTE(LEFT(TRIM(C70),FIND(" ",TRIM(C70)&amp;" ")-1),",","."))-1)/MID(SUBSTITUTE(LEFT(TRIM(C70),FIND(" ",TRIM(C70)&amp;" ")-1),",","."),FIND("/",SUBSTITUTE(LEFT(TRIM(C70),FIND(" ",TRIM(C70)&amp;" ")-1),",","."))+1,9)),IF(ISNUMBER(SEARCH("yea",C70)),IFERROR(_xlfn.NUMBERVALUE(SUBSTITUTE(LEFT(TRIM(C70),FIND(" ",TRIM(C70)&amp;" ")-1),",","."),"."),LEFT(SUBSTITUTE(LEFT(TRIM(C70),FIND(" ",TRIM(C70)&amp;" ")-1),",","."),FIND("/",SUBSTITUTE(LEFT(TRIM(C70),FIND(" ",TRIM(C70)&amp;" ")-1),",","."))-1)/MID(SUBSTITUTE(LEFT(TRIM(C70),FIND(" ",TRIM(C70)&amp;" ")-1),",","."),FIND("/",SUBSTITUTE(LEFT(TRIM(C70),FIND(" ",TRIM(C70)&amp;" ")-1),",","."))+1,9))*12,NA()))),0),36)*'Aturan &amp; Tarif'!$B$4,2)</f>
        <v>2044.08</v>
      </c>
      <c r="K70" s="32" t="n">
        <f aca="false">'Aturan &amp; Tarif'!$B$5</f>
        <v>2050</v>
      </c>
      <c r="L70" s="32" t="n">
        <f aca="false">'Aturan &amp; Tarif'!$B$6</f>
        <v>350</v>
      </c>
      <c r="M70" s="35" t="n">
        <f aca="false">I70+J70+K70+L70</f>
        <v>22844.08</v>
      </c>
      <c r="N70" s="37" t="s">
        <v>318</v>
      </c>
    </row>
    <row r="71" customFormat="false" ht="25.5" hidden="false" customHeight="true" outlineLevel="0" collapsed="false">
      <c r="A71" s="29"/>
      <c r="B71" s="30" t="s">
        <v>338</v>
      </c>
      <c r="C71" s="31" t="s">
        <v>191</v>
      </c>
      <c r="D71" s="31" t="s">
        <v>108</v>
      </c>
      <c r="E71" s="32" t="n">
        <v>9200</v>
      </c>
      <c r="F71" s="32"/>
      <c r="G71" s="32"/>
      <c r="H71" s="33" t="n">
        <v>2</v>
      </c>
      <c r="I71" s="34" t="n">
        <f aca="false">E71*H71+N(F71)+N(G71)</f>
        <v>18400</v>
      </c>
      <c r="J71" s="32" t="n">
        <f aca="false">ROUND(IFERROR(ROUND(IF(OR(ISNUMBER(SEARCH("week",C71)),ISNUMBER(SEARCH("minggu",C71))),IFERROR(_xlfn.NUMBERVALUE(SUBSTITUTE(LEFT(TRIM(C71),FIND(" ",TRIM(C71)&amp;" ")-1),",","."),"."),LEFT(SUBSTITUTE(LEFT(TRIM(C71),FIND(" ",TRIM(C71)&amp;" ")-1),",","."),FIND("/",SUBSTITUTE(LEFT(TRIM(C71),FIND(" ",TRIM(C71)&amp;" ")-1),",","."))-1)/MID(SUBSTITUTE(LEFT(TRIM(C71),FIND(" ",TRIM(C71)&amp;" ")-1),",","."),FIND("/",SUBSTITUTE(LEFT(TRIM(C71),FIND(" ",TRIM(C71)&amp;" ")-1),",","."))+1,9))*12/52,IF(ISNUMBER(SEARCH("month",C71)),IFERROR(_xlfn.NUMBERVALUE(SUBSTITUTE(LEFT(TRIM(C71),FIND(" ",TRIM(C71)&amp;" ")-1),",","."),"."),LEFT(SUBSTITUTE(LEFT(TRIM(C71),FIND(" ",TRIM(C71)&amp;" ")-1),",","."),FIND("/",SUBSTITUTE(LEFT(TRIM(C71),FIND(" ",TRIM(C71)&amp;" ")-1),",","."))-1)/MID(SUBSTITUTE(LEFT(TRIM(C71),FIND(" ",TRIM(C71)&amp;" ")-1),",","."),FIND("/",SUBSTITUTE(LEFT(TRIM(C71),FIND(" ",TRIM(C71)&amp;" ")-1),",","."))+1,9)),IF(ISNUMBER(SEARCH("yea",C71)),IFERROR(_xlfn.NUMBERVALUE(SUBSTITUTE(LEFT(TRIM(C71),FIND(" ",TRIM(C71)&amp;" ")-1),",","."),"."),LEFT(SUBSTITUTE(LEFT(TRIM(C71),FIND(" ",TRIM(C71)&amp;" ")-1),",","."),FIND("/",SUBSTITUTE(LEFT(TRIM(C71),FIND(" ",TRIM(C71)&amp;" ")-1),",","."))-1)/MID(SUBSTITUTE(LEFT(TRIM(C71),FIND(" ",TRIM(C71)&amp;" ")-1),",","."),FIND("/",SUBSTITUTE(LEFT(TRIM(C71),FIND(" ",TRIM(C71)&amp;" ")-1),",","."))+1,9))*12,NA()))),0),48)*'Aturan &amp; Tarif'!$B$4,2)</f>
        <v>2725.44</v>
      </c>
      <c r="K71" s="32" t="n">
        <f aca="false">'Aturan &amp; Tarif'!$B$5</f>
        <v>2050</v>
      </c>
      <c r="L71" s="32" t="n">
        <f aca="false">'Aturan &amp; Tarif'!$B$6</f>
        <v>350</v>
      </c>
      <c r="M71" s="35" t="n">
        <f aca="false">I71+J71+K71+L71</f>
        <v>23525.44</v>
      </c>
      <c r="N71" s="37" t="s">
        <v>318</v>
      </c>
    </row>
    <row r="72" customFormat="false" ht="25.5" hidden="false" customHeight="true" outlineLevel="0" collapsed="false">
      <c r="A72" s="29"/>
      <c r="B72" s="30" t="s">
        <v>339</v>
      </c>
      <c r="C72" s="31" t="s">
        <v>191</v>
      </c>
      <c r="D72" s="31" t="s">
        <v>108</v>
      </c>
      <c r="E72" s="32" t="n">
        <v>9200</v>
      </c>
      <c r="F72" s="32"/>
      <c r="G72" s="32"/>
      <c r="H72" s="33" t="n">
        <v>2</v>
      </c>
      <c r="I72" s="34" t="n">
        <f aca="false">E72*H72+N(F72)+N(G72)</f>
        <v>18400</v>
      </c>
      <c r="J72" s="32" t="n">
        <f aca="false">ROUND(IFERROR(ROUND(IF(OR(ISNUMBER(SEARCH("week",C72)),ISNUMBER(SEARCH("minggu",C72))),IFERROR(_xlfn.NUMBERVALUE(SUBSTITUTE(LEFT(TRIM(C72),FIND(" ",TRIM(C72)&amp;" ")-1),",","."),"."),LEFT(SUBSTITUTE(LEFT(TRIM(C72),FIND(" ",TRIM(C72)&amp;" ")-1),",","."),FIND("/",SUBSTITUTE(LEFT(TRIM(C72),FIND(" ",TRIM(C72)&amp;" ")-1),",","."))-1)/MID(SUBSTITUTE(LEFT(TRIM(C72),FIND(" ",TRIM(C72)&amp;" ")-1),",","."),FIND("/",SUBSTITUTE(LEFT(TRIM(C72),FIND(" ",TRIM(C72)&amp;" ")-1),",","."))+1,9))*12/52,IF(ISNUMBER(SEARCH("month",C72)),IFERROR(_xlfn.NUMBERVALUE(SUBSTITUTE(LEFT(TRIM(C72),FIND(" ",TRIM(C72)&amp;" ")-1),",","."),"."),LEFT(SUBSTITUTE(LEFT(TRIM(C72),FIND(" ",TRIM(C72)&amp;" ")-1),",","."),FIND("/",SUBSTITUTE(LEFT(TRIM(C72),FIND(" ",TRIM(C72)&amp;" ")-1),",","."))-1)/MID(SUBSTITUTE(LEFT(TRIM(C72),FIND(" ",TRIM(C72)&amp;" ")-1),",","."),FIND("/",SUBSTITUTE(LEFT(TRIM(C72),FIND(" ",TRIM(C72)&amp;" ")-1),",","."))+1,9)),IF(ISNUMBER(SEARCH("yea",C72)),IFERROR(_xlfn.NUMBERVALUE(SUBSTITUTE(LEFT(TRIM(C72),FIND(" ",TRIM(C72)&amp;" ")-1),",","."),"."),LEFT(SUBSTITUTE(LEFT(TRIM(C72),FIND(" ",TRIM(C72)&amp;" ")-1),",","."),FIND("/",SUBSTITUTE(LEFT(TRIM(C72),FIND(" ",TRIM(C72)&amp;" ")-1),",","."))-1)/MID(SUBSTITUTE(LEFT(TRIM(C72),FIND(" ",TRIM(C72)&amp;" ")-1),",","."),FIND("/",SUBSTITUTE(LEFT(TRIM(C72),FIND(" ",TRIM(C72)&amp;" ")-1),",","."))+1,9))*12,NA()))),0),48)*'Aturan &amp; Tarif'!$B$4,2)</f>
        <v>2725.44</v>
      </c>
      <c r="K72" s="32" t="n">
        <f aca="false">'Aturan &amp; Tarif'!$B$5</f>
        <v>2050</v>
      </c>
      <c r="L72" s="32" t="n">
        <f aca="false">'Aturan &amp; Tarif'!$B$6</f>
        <v>350</v>
      </c>
      <c r="M72" s="35" t="n">
        <f aca="false">I72+J72+K72+L72</f>
        <v>23525.44</v>
      </c>
      <c r="N72" s="37" t="s">
        <v>318</v>
      </c>
    </row>
    <row r="73" customFormat="false" ht="25.5" hidden="false" customHeight="true" outlineLevel="0" collapsed="false">
      <c r="A73" s="29"/>
      <c r="B73" s="30" t="s">
        <v>340</v>
      </c>
      <c r="C73" s="31" t="s">
        <v>191</v>
      </c>
      <c r="D73" s="31" t="s">
        <v>108</v>
      </c>
      <c r="E73" s="32" t="n">
        <v>8742</v>
      </c>
      <c r="F73" s="32"/>
      <c r="G73" s="32"/>
      <c r="H73" s="33" t="n">
        <v>2</v>
      </c>
      <c r="I73" s="34" t="n">
        <f aca="false">E73*H73+N(F73)+N(G73)</f>
        <v>17484</v>
      </c>
      <c r="J73" s="32" t="n">
        <f aca="false">ROUND(IFERROR(ROUND(IF(OR(ISNUMBER(SEARCH("week",C73)),ISNUMBER(SEARCH("minggu",C73))),IFERROR(_xlfn.NUMBERVALUE(SUBSTITUTE(LEFT(TRIM(C73),FIND(" ",TRIM(C73)&amp;" ")-1),",","."),"."),LEFT(SUBSTITUTE(LEFT(TRIM(C73),FIND(" ",TRIM(C73)&amp;" ")-1),",","."),FIND("/",SUBSTITUTE(LEFT(TRIM(C73),FIND(" ",TRIM(C73)&amp;" ")-1),",","."))-1)/MID(SUBSTITUTE(LEFT(TRIM(C73),FIND(" ",TRIM(C73)&amp;" ")-1),",","."),FIND("/",SUBSTITUTE(LEFT(TRIM(C73),FIND(" ",TRIM(C73)&amp;" ")-1),",","."))+1,9))*12/52,IF(ISNUMBER(SEARCH("month",C73)),IFERROR(_xlfn.NUMBERVALUE(SUBSTITUTE(LEFT(TRIM(C73),FIND(" ",TRIM(C73)&amp;" ")-1),",","."),"."),LEFT(SUBSTITUTE(LEFT(TRIM(C73),FIND(" ",TRIM(C73)&amp;" ")-1),",","."),FIND("/",SUBSTITUTE(LEFT(TRIM(C73),FIND(" ",TRIM(C73)&amp;" ")-1),",","."))-1)/MID(SUBSTITUTE(LEFT(TRIM(C73),FIND(" ",TRIM(C73)&amp;" ")-1),",","."),FIND("/",SUBSTITUTE(LEFT(TRIM(C73),FIND(" ",TRIM(C73)&amp;" ")-1),",","."))+1,9)),IF(ISNUMBER(SEARCH("yea",C73)),IFERROR(_xlfn.NUMBERVALUE(SUBSTITUTE(LEFT(TRIM(C73),FIND(" ",TRIM(C73)&amp;" ")-1),",","."),"."),LEFT(SUBSTITUTE(LEFT(TRIM(C73),FIND(" ",TRIM(C73)&amp;" ")-1),",","."),FIND("/",SUBSTITUTE(LEFT(TRIM(C73),FIND(" ",TRIM(C73)&amp;" ")-1),",","."))-1)/MID(SUBSTITUTE(LEFT(TRIM(C73),FIND(" ",TRIM(C73)&amp;" ")-1),",","."),FIND("/",SUBSTITUTE(LEFT(TRIM(C73),FIND(" ",TRIM(C73)&amp;" ")-1),",","."))+1,9))*12,NA()))),0),48)*'Aturan &amp; Tarif'!$B$4,2)</f>
        <v>2725.44</v>
      </c>
      <c r="K73" s="32" t="n">
        <f aca="false">'Aturan &amp; Tarif'!$B$5</f>
        <v>2050</v>
      </c>
      <c r="L73" s="32" t="n">
        <f aca="false">'Aturan &amp; Tarif'!$B$6</f>
        <v>350</v>
      </c>
      <c r="M73" s="35" t="n">
        <f aca="false">I73+J73+K73+L73</f>
        <v>22609.44</v>
      </c>
      <c r="N73" s="37" t="s">
        <v>318</v>
      </c>
    </row>
    <row r="74" customFormat="false" ht="14.25" hidden="false" customHeight="true" outlineLevel="0" collapsed="false">
      <c r="A74" s="29"/>
      <c r="B74" s="30" t="s">
        <v>341</v>
      </c>
      <c r="C74" s="31" t="s">
        <v>245</v>
      </c>
      <c r="D74" s="31" t="s">
        <v>108</v>
      </c>
      <c r="E74" s="32" t="n">
        <v>9200</v>
      </c>
      <c r="F74" s="32"/>
      <c r="G74" s="32"/>
      <c r="H74" s="33" t="n">
        <v>2</v>
      </c>
      <c r="I74" s="34" t="n">
        <f aca="false">E74*H74+N(F74)+N(G74)</f>
        <v>18400</v>
      </c>
      <c r="J74" s="32" t="n">
        <f aca="false">ROUND(IFERROR(ROUND(IF(OR(ISNUMBER(SEARCH("week",C74)),ISNUMBER(SEARCH("minggu",C74))),IFERROR(_xlfn.NUMBERVALUE(SUBSTITUTE(LEFT(TRIM(C74),FIND(" ",TRIM(C74)&amp;" ")-1),",","."),"."),LEFT(SUBSTITUTE(LEFT(TRIM(C74),FIND(" ",TRIM(C74)&amp;" ")-1),",","."),FIND("/",SUBSTITUTE(LEFT(TRIM(C74),FIND(" ",TRIM(C74)&amp;" ")-1),",","."))-1)/MID(SUBSTITUTE(LEFT(TRIM(C74),FIND(" ",TRIM(C74)&amp;" ")-1),",","."),FIND("/",SUBSTITUTE(LEFT(TRIM(C74),FIND(" ",TRIM(C74)&amp;" ")-1),",","."))+1,9))*12/52,IF(ISNUMBER(SEARCH("month",C74)),IFERROR(_xlfn.NUMBERVALUE(SUBSTITUTE(LEFT(TRIM(C74),FIND(" ",TRIM(C74)&amp;" ")-1),",","."),"."),LEFT(SUBSTITUTE(LEFT(TRIM(C74),FIND(" ",TRIM(C74)&amp;" ")-1),",","."),FIND("/",SUBSTITUTE(LEFT(TRIM(C74),FIND(" ",TRIM(C74)&amp;" ")-1),",","."))-1)/MID(SUBSTITUTE(LEFT(TRIM(C74),FIND(" ",TRIM(C74)&amp;" ")-1),",","."),FIND("/",SUBSTITUTE(LEFT(TRIM(C74),FIND(" ",TRIM(C74)&amp;" ")-1),",","."))+1,9)),IF(ISNUMBER(SEARCH("yea",C74)),IFERROR(_xlfn.NUMBERVALUE(SUBSTITUTE(LEFT(TRIM(C74),FIND(" ",TRIM(C74)&amp;" ")-1),",","."),"."),LEFT(SUBSTITUTE(LEFT(TRIM(C74),FIND(" ",TRIM(C74)&amp;" ")-1),",","."),FIND("/",SUBSTITUTE(LEFT(TRIM(C74),FIND(" ",TRIM(C74)&amp;" ")-1),",","."))-1)/MID(SUBSTITUTE(LEFT(TRIM(C74),FIND(" ",TRIM(C74)&amp;" ")-1),",","."),FIND("/",SUBSTITUTE(LEFT(TRIM(C74),FIND(" ",TRIM(C74)&amp;" ")-1),",","."))+1,9))*12,NA()))),0),60)*'Aturan &amp; Tarif'!$B$4,2)</f>
        <v>3406.8</v>
      </c>
      <c r="K74" s="32" t="n">
        <f aca="false">'Aturan &amp; Tarif'!$B$5</f>
        <v>2050</v>
      </c>
      <c r="L74" s="32" t="n">
        <f aca="false">'Aturan &amp; Tarif'!$B$6</f>
        <v>350</v>
      </c>
      <c r="M74" s="35" t="n">
        <f aca="false">I74+J74+K74+L74</f>
        <v>24206.8</v>
      </c>
      <c r="N74" s="37" t="s">
        <v>318</v>
      </c>
    </row>
    <row r="75" customFormat="false" ht="14.25" hidden="false" customHeight="true" outlineLevel="0" collapsed="false">
      <c r="A75" s="29"/>
      <c r="B75" s="30" t="s">
        <v>342</v>
      </c>
      <c r="C75" s="31" t="s">
        <v>245</v>
      </c>
      <c r="D75" s="31" t="s">
        <v>108</v>
      </c>
      <c r="E75" s="32" t="n">
        <v>9200</v>
      </c>
      <c r="F75" s="32"/>
      <c r="G75" s="32"/>
      <c r="H75" s="33" t="n">
        <v>2</v>
      </c>
      <c r="I75" s="34" t="n">
        <f aca="false">E75*H75+N(F75)+N(G75)</f>
        <v>18400</v>
      </c>
      <c r="J75" s="32" t="n">
        <f aca="false">ROUND(IFERROR(ROUND(IF(OR(ISNUMBER(SEARCH("week",C75)),ISNUMBER(SEARCH("minggu",C75))),IFERROR(_xlfn.NUMBERVALUE(SUBSTITUTE(LEFT(TRIM(C75),FIND(" ",TRIM(C75)&amp;" ")-1),",","."),"."),LEFT(SUBSTITUTE(LEFT(TRIM(C75),FIND(" ",TRIM(C75)&amp;" ")-1),",","."),FIND("/",SUBSTITUTE(LEFT(TRIM(C75),FIND(" ",TRIM(C75)&amp;" ")-1),",","."))-1)/MID(SUBSTITUTE(LEFT(TRIM(C75),FIND(" ",TRIM(C75)&amp;" ")-1),",","."),FIND("/",SUBSTITUTE(LEFT(TRIM(C75),FIND(" ",TRIM(C75)&amp;" ")-1),",","."))+1,9))*12/52,IF(ISNUMBER(SEARCH("month",C75)),IFERROR(_xlfn.NUMBERVALUE(SUBSTITUTE(LEFT(TRIM(C75),FIND(" ",TRIM(C75)&amp;" ")-1),",","."),"."),LEFT(SUBSTITUTE(LEFT(TRIM(C75),FIND(" ",TRIM(C75)&amp;" ")-1),",","."),FIND("/",SUBSTITUTE(LEFT(TRIM(C75),FIND(" ",TRIM(C75)&amp;" ")-1),",","."))-1)/MID(SUBSTITUTE(LEFT(TRIM(C75),FIND(" ",TRIM(C75)&amp;" ")-1),",","."),FIND("/",SUBSTITUTE(LEFT(TRIM(C75),FIND(" ",TRIM(C75)&amp;" ")-1),",","."))+1,9)),IF(ISNUMBER(SEARCH("yea",C75)),IFERROR(_xlfn.NUMBERVALUE(SUBSTITUTE(LEFT(TRIM(C75),FIND(" ",TRIM(C75)&amp;" ")-1),",","."),"."),LEFT(SUBSTITUTE(LEFT(TRIM(C75),FIND(" ",TRIM(C75)&amp;" ")-1),",","."),FIND("/",SUBSTITUTE(LEFT(TRIM(C75),FIND(" ",TRIM(C75)&amp;" ")-1),",","."))-1)/MID(SUBSTITUTE(LEFT(TRIM(C75),FIND(" ",TRIM(C75)&amp;" ")-1),",","."),FIND("/",SUBSTITUTE(LEFT(TRIM(C75),FIND(" ",TRIM(C75)&amp;" ")-1),",","."))+1,9))*12,NA()))),0),60)*'Aturan &amp; Tarif'!$B$4,2)</f>
        <v>3406.8</v>
      </c>
      <c r="K75" s="32" t="n">
        <f aca="false">'Aturan &amp; Tarif'!$B$5</f>
        <v>2050</v>
      </c>
      <c r="L75" s="32" t="n">
        <f aca="false">'Aturan &amp; Tarif'!$B$6</f>
        <v>350</v>
      </c>
      <c r="M75" s="35" t="n">
        <f aca="false">I75+J75+K75+L75</f>
        <v>24206.8</v>
      </c>
      <c r="N75" s="37" t="s">
        <v>318</v>
      </c>
    </row>
    <row r="76" customFormat="false" ht="25.5" hidden="false" customHeight="true" outlineLevel="0" collapsed="false">
      <c r="A76" s="29"/>
      <c r="B76" s="30" t="s">
        <v>343</v>
      </c>
      <c r="C76" s="31" t="s">
        <v>344</v>
      </c>
      <c r="D76" s="31" t="s">
        <v>108</v>
      </c>
      <c r="E76" s="32" t="n">
        <v>4762</v>
      </c>
      <c r="F76" s="32"/>
      <c r="G76" s="32"/>
      <c r="H76" s="33" t="n">
        <v>2</v>
      </c>
      <c r="I76" s="34" t="n">
        <f aca="false">E76*H76+N(F76)+N(G76)</f>
        <v>9524</v>
      </c>
      <c r="J76" s="32" t="n">
        <f aca="false">ROUND(IFERROR(ROUND(IF(OR(ISNUMBER(SEARCH("week",C76)),ISNUMBER(SEARCH("minggu",C76))),IFERROR(_xlfn.NUMBERVALUE(SUBSTITUTE(LEFT(TRIM(C76),FIND(" ",TRIM(C76)&amp;" ")-1),",","."),"."),LEFT(SUBSTITUTE(LEFT(TRIM(C76),FIND(" ",TRIM(C76)&amp;" ")-1),",","."),FIND("/",SUBSTITUTE(LEFT(TRIM(C76),FIND(" ",TRIM(C76)&amp;" ")-1),",","."))-1)/MID(SUBSTITUTE(LEFT(TRIM(C76),FIND(" ",TRIM(C76)&amp;" ")-1),",","."),FIND("/",SUBSTITUTE(LEFT(TRIM(C76),FIND(" ",TRIM(C76)&amp;" ")-1),",","."))+1,9))*12/52,IF(ISNUMBER(SEARCH("month",C76)),IFERROR(_xlfn.NUMBERVALUE(SUBSTITUTE(LEFT(TRIM(C76),FIND(" ",TRIM(C76)&amp;" ")-1),",","."),"."),LEFT(SUBSTITUTE(LEFT(TRIM(C76),FIND(" ",TRIM(C76)&amp;" ")-1),",","."),FIND("/",SUBSTITUTE(LEFT(TRIM(C76),FIND(" ",TRIM(C76)&amp;" ")-1),",","."))-1)/MID(SUBSTITUTE(LEFT(TRIM(C76),FIND(" ",TRIM(C76)&amp;" ")-1),",","."),FIND("/",SUBSTITUTE(LEFT(TRIM(C76),FIND(" ",TRIM(C76)&amp;" ")-1),",","."))+1,9)),IF(ISNUMBER(SEARCH("yea",C76)),IFERROR(_xlfn.NUMBERVALUE(SUBSTITUTE(LEFT(TRIM(C76),FIND(" ",TRIM(C76)&amp;" ")-1),",","."),"."),LEFT(SUBSTITUTE(LEFT(TRIM(C76),FIND(" ",TRIM(C76)&amp;" ")-1),",","."),FIND("/",SUBSTITUTE(LEFT(TRIM(C76),FIND(" ",TRIM(C76)&amp;" ")-1),",","."))-1)/MID(SUBSTITUTE(LEFT(TRIM(C76),FIND(" ",TRIM(C76)&amp;" ")-1),",","."),FIND("/",SUBSTITUTE(LEFT(TRIM(C76),FIND(" ",TRIM(C76)&amp;" ")-1),",","."))+1,9))*12,NA()))),0),6)*'Aturan &amp; Tarif'!$B$4,2)</f>
        <v>340.68</v>
      </c>
      <c r="K76" s="32" t="n">
        <f aca="false">'Aturan &amp; Tarif'!$B$5</f>
        <v>2050</v>
      </c>
      <c r="L76" s="32" t="n">
        <f aca="false">'Aturan &amp; Tarif'!$B$6</f>
        <v>350</v>
      </c>
      <c r="M76" s="35" t="n">
        <f aca="false">I76+J76+K76+L76</f>
        <v>12264.68</v>
      </c>
      <c r="N76" s="37" t="s">
        <v>345</v>
      </c>
    </row>
    <row r="77" customFormat="false" ht="25.5" hidden="false" customHeight="true" outlineLevel="0" collapsed="false">
      <c r="A77" s="29"/>
      <c r="B77" s="30" t="s">
        <v>346</v>
      </c>
      <c r="C77" s="31" t="s">
        <v>344</v>
      </c>
      <c r="D77" s="31" t="s">
        <v>108</v>
      </c>
      <c r="E77" s="32" t="n">
        <v>4762</v>
      </c>
      <c r="F77" s="32"/>
      <c r="G77" s="32"/>
      <c r="H77" s="33" t="n">
        <v>2</v>
      </c>
      <c r="I77" s="34" t="n">
        <f aca="false">E77*H77+N(F77)+N(G77)</f>
        <v>9524</v>
      </c>
      <c r="J77" s="32" t="n">
        <f aca="false">ROUND(IFERROR(ROUND(IF(OR(ISNUMBER(SEARCH("week",C77)),ISNUMBER(SEARCH("minggu",C77))),IFERROR(_xlfn.NUMBERVALUE(SUBSTITUTE(LEFT(TRIM(C77),FIND(" ",TRIM(C77)&amp;" ")-1),",","."),"."),LEFT(SUBSTITUTE(LEFT(TRIM(C77),FIND(" ",TRIM(C77)&amp;" ")-1),",","."),FIND("/",SUBSTITUTE(LEFT(TRIM(C77),FIND(" ",TRIM(C77)&amp;" ")-1),",","."))-1)/MID(SUBSTITUTE(LEFT(TRIM(C77),FIND(" ",TRIM(C77)&amp;" ")-1),",","."),FIND("/",SUBSTITUTE(LEFT(TRIM(C77),FIND(" ",TRIM(C77)&amp;" ")-1),",","."))+1,9))*12/52,IF(ISNUMBER(SEARCH("month",C77)),IFERROR(_xlfn.NUMBERVALUE(SUBSTITUTE(LEFT(TRIM(C77),FIND(" ",TRIM(C77)&amp;" ")-1),",","."),"."),LEFT(SUBSTITUTE(LEFT(TRIM(C77),FIND(" ",TRIM(C77)&amp;" ")-1),",","."),FIND("/",SUBSTITUTE(LEFT(TRIM(C77),FIND(" ",TRIM(C77)&amp;" ")-1),",","."))-1)/MID(SUBSTITUTE(LEFT(TRIM(C77),FIND(" ",TRIM(C77)&amp;" ")-1),",","."),FIND("/",SUBSTITUTE(LEFT(TRIM(C77),FIND(" ",TRIM(C77)&amp;" ")-1),",","."))+1,9)),IF(ISNUMBER(SEARCH("yea",C77)),IFERROR(_xlfn.NUMBERVALUE(SUBSTITUTE(LEFT(TRIM(C77),FIND(" ",TRIM(C77)&amp;" ")-1),",","."),"."),LEFT(SUBSTITUTE(LEFT(TRIM(C77),FIND(" ",TRIM(C77)&amp;" ")-1),",","."),FIND("/",SUBSTITUTE(LEFT(TRIM(C77),FIND(" ",TRIM(C77)&amp;" ")-1),",","."))-1)/MID(SUBSTITUTE(LEFT(TRIM(C77),FIND(" ",TRIM(C77)&amp;" ")-1),",","."),FIND("/",SUBSTITUTE(LEFT(TRIM(C77),FIND(" ",TRIM(C77)&amp;" ")-1),",","."))+1,9))*12,NA()))),0),6)*'Aturan &amp; Tarif'!$B$4,2)</f>
        <v>340.68</v>
      </c>
      <c r="K77" s="32" t="n">
        <f aca="false">'Aturan &amp; Tarif'!$B$5</f>
        <v>2050</v>
      </c>
      <c r="L77" s="32" t="n">
        <f aca="false">'Aturan &amp; Tarif'!$B$6</f>
        <v>350</v>
      </c>
      <c r="M77" s="35" t="n">
        <f aca="false">I77+J77+K77+L77</f>
        <v>12264.68</v>
      </c>
      <c r="N77" s="37" t="s">
        <v>345</v>
      </c>
    </row>
    <row r="78" customFormat="false" ht="25.5" hidden="false" customHeight="true" outlineLevel="0" collapsed="false">
      <c r="A78" s="29"/>
      <c r="B78" s="30" t="s">
        <v>347</v>
      </c>
      <c r="C78" s="31" t="s">
        <v>344</v>
      </c>
      <c r="D78" s="31" t="s">
        <v>108</v>
      </c>
      <c r="E78" s="32" t="n">
        <v>4614</v>
      </c>
      <c r="F78" s="32"/>
      <c r="G78" s="32"/>
      <c r="H78" s="33" t="n">
        <v>2</v>
      </c>
      <c r="I78" s="34" t="n">
        <f aca="false">E78*H78+N(F78)+N(G78)</f>
        <v>9228</v>
      </c>
      <c r="J78" s="32" t="n">
        <f aca="false">ROUND(IFERROR(ROUND(IF(OR(ISNUMBER(SEARCH("week",C78)),ISNUMBER(SEARCH("minggu",C78))),IFERROR(_xlfn.NUMBERVALUE(SUBSTITUTE(LEFT(TRIM(C78),FIND(" ",TRIM(C78)&amp;" ")-1),",","."),"."),LEFT(SUBSTITUTE(LEFT(TRIM(C78),FIND(" ",TRIM(C78)&amp;" ")-1),",","."),FIND("/",SUBSTITUTE(LEFT(TRIM(C78),FIND(" ",TRIM(C78)&amp;" ")-1),",","."))-1)/MID(SUBSTITUTE(LEFT(TRIM(C78),FIND(" ",TRIM(C78)&amp;" ")-1),",","."),FIND("/",SUBSTITUTE(LEFT(TRIM(C78),FIND(" ",TRIM(C78)&amp;" ")-1),",","."))+1,9))*12/52,IF(ISNUMBER(SEARCH("month",C78)),IFERROR(_xlfn.NUMBERVALUE(SUBSTITUTE(LEFT(TRIM(C78),FIND(" ",TRIM(C78)&amp;" ")-1),",","."),"."),LEFT(SUBSTITUTE(LEFT(TRIM(C78),FIND(" ",TRIM(C78)&amp;" ")-1),",","."),FIND("/",SUBSTITUTE(LEFT(TRIM(C78),FIND(" ",TRIM(C78)&amp;" ")-1),",","."))-1)/MID(SUBSTITUTE(LEFT(TRIM(C78),FIND(" ",TRIM(C78)&amp;" ")-1),",","."),FIND("/",SUBSTITUTE(LEFT(TRIM(C78),FIND(" ",TRIM(C78)&amp;" ")-1),",","."))+1,9)),IF(ISNUMBER(SEARCH("yea",C78)),IFERROR(_xlfn.NUMBERVALUE(SUBSTITUTE(LEFT(TRIM(C78),FIND(" ",TRIM(C78)&amp;" ")-1),",","."),"."),LEFT(SUBSTITUTE(LEFT(TRIM(C78),FIND(" ",TRIM(C78)&amp;" ")-1),",","."),FIND("/",SUBSTITUTE(LEFT(TRIM(C78),FIND(" ",TRIM(C78)&amp;" ")-1),",","."))-1)/MID(SUBSTITUTE(LEFT(TRIM(C78),FIND(" ",TRIM(C78)&amp;" ")-1),",","."),FIND("/",SUBSTITUTE(LEFT(TRIM(C78),FIND(" ",TRIM(C78)&amp;" ")-1),",","."))+1,9))*12,NA()))),0),6)*'Aturan &amp; Tarif'!$B$4,2)</f>
        <v>340.68</v>
      </c>
      <c r="K78" s="32" t="n">
        <f aca="false">'Aturan &amp; Tarif'!$B$5</f>
        <v>2050</v>
      </c>
      <c r="L78" s="32" t="n">
        <f aca="false">'Aturan &amp; Tarif'!$B$6</f>
        <v>350</v>
      </c>
      <c r="M78" s="35" t="n">
        <f aca="false">I78+J78+K78+L78</f>
        <v>11968.68</v>
      </c>
      <c r="N78" s="37" t="s">
        <v>345</v>
      </c>
    </row>
    <row r="79" customFormat="false" ht="14.25" hidden="false" customHeight="true" outlineLevel="0" collapsed="false">
      <c r="A79" s="29"/>
      <c r="B79" s="30" t="s">
        <v>348</v>
      </c>
      <c r="C79" s="31" t="s">
        <v>107</v>
      </c>
      <c r="D79" s="31" t="s">
        <v>108</v>
      </c>
      <c r="E79" s="32" t="n">
        <v>9524</v>
      </c>
      <c r="F79" s="32"/>
      <c r="G79" s="32"/>
      <c r="H79" s="33" t="n">
        <v>2</v>
      </c>
      <c r="I79" s="34" t="n">
        <f aca="false">E79*H79+N(F79)+N(G79)</f>
        <v>19048</v>
      </c>
      <c r="J79" s="32" t="n">
        <f aca="false">ROUND(IFERROR(ROUND(IF(OR(ISNUMBER(SEARCH("week",C79)),ISNUMBER(SEARCH("minggu",C79))),IFERROR(_xlfn.NUMBERVALUE(SUBSTITUTE(LEFT(TRIM(C79),FIND(" ",TRIM(C79)&amp;" ")-1),",","."),"."),LEFT(SUBSTITUTE(LEFT(TRIM(C79),FIND(" ",TRIM(C79)&amp;" ")-1),",","."),FIND("/",SUBSTITUTE(LEFT(TRIM(C79),FIND(" ",TRIM(C79)&amp;" ")-1),",","."))-1)/MID(SUBSTITUTE(LEFT(TRIM(C79),FIND(" ",TRIM(C79)&amp;" ")-1),",","."),FIND("/",SUBSTITUTE(LEFT(TRIM(C79),FIND(" ",TRIM(C79)&amp;" ")-1),",","."))+1,9))*12/52,IF(ISNUMBER(SEARCH("month",C79)),IFERROR(_xlfn.NUMBERVALUE(SUBSTITUTE(LEFT(TRIM(C79),FIND(" ",TRIM(C79)&amp;" ")-1),",","."),"."),LEFT(SUBSTITUTE(LEFT(TRIM(C79),FIND(" ",TRIM(C79)&amp;" ")-1),",","."),FIND("/",SUBSTITUTE(LEFT(TRIM(C79),FIND(" ",TRIM(C79)&amp;" ")-1),",","."))-1)/MID(SUBSTITUTE(LEFT(TRIM(C79),FIND(" ",TRIM(C79)&amp;" ")-1),",","."),FIND("/",SUBSTITUTE(LEFT(TRIM(C79),FIND(" ",TRIM(C79)&amp;" ")-1),",","."))+1,9)),IF(ISNUMBER(SEARCH("yea",C79)),IFERROR(_xlfn.NUMBERVALUE(SUBSTITUTE(LEFT(TRIM(C79),FIND(" ",TRIM(C79)&amp;" ")-1),",","."),"."),LEFT(SUBSTITUTE(LEFT(TRIM(C79),FIND(" ",TRIM(C79)&amp;" ")-1),",","."),FIND("/",SUBSTITUTE(LEFT(TRIM(C79),FIND(" ",TRIM(C79)&amp;" ")-1),",","."))-1)/MID(SUBSTITUTE(LEFT(TRIM(C79),FIND(" ",TRIM(C79)&amp;" ")-1),",","."),FIND("/",SUBSTITUTE(LEFT(TRIM(C79),FIND(" ",TRIM(C79)&amp;" ")-1),",","."))+1,9))*12,NA()))),0),24)*'Aturan &amp; Tarif'!$B$4,2)</f>
        <v>1362.72</v>
      </c>
      <c r="K79" s="32" t="n">
        <f aca="false">'Aturan &amp; Tarif'!$B$5</f>
        <v>2050</v>
      </c>
      <c r="L79" s="32" t="n">
        <f aca="false">'Aturan &amp; Tarif'!$B$6</f>
        <v>350</v>
      </c>
      <c r="M79" s="35" t="n">
        <f aca="false">I79+J79+K79+L79</f>
        <v>22810.72</v>
      </c>
      <c r="N79" s="37" t="s">
        <v>318</v>
      </c>
    </row>
    <row r="80" customFormat="false" ht="14.25" hidden="false" customHeight="true" outlineLevel="0" collapsed="false">
      <c r="A80" s="29"/>
      <c r="B80" s="30" t="s">
        <v>349</v>
      </c>
      <c r="C80" s="31" t="s">
        <v>107</v>
      </c>
      <c r="D80" s="31" t="s">
        <v>108</v>
      </c>
      <c r="E80" s="32" t="n">
        <v>9524</v>
      </c>
      <c r="F80" s="32"/>
      <c r="G80" s="32"/>
      <c r="H80" s="33" t="n">
        <v>2</v>
      </c>
      <c r="I80" s="34" t="n">
        <f aca="false">E80*H80+N(F80)+N(G80)</f>
        <v>19048</v>
      </c>
      <c r="J80" s="32" t="n">
        <f aca="false">ROUND(IFERROR(ROUND(IF(OR(ISNUMBER(SEARCH("week",C80)),ISNUMBER(SEARCH("minggu",C80))),IFERROR(_xlfn.NUMBERVALUE(SUBSTITUTE(LEFT(TRIM(C80),FIND(" ",TRIM(C80)&amp;" ")-1),",","."),"."),LEFT(SUBSTITUTE(LEFT(TRIM(C80),FIND(" ",TRIM(C80)&amp;" ")-1),",","."),FIND("/",SUBSTITUTE(LEFT(TRIM(C80),FIND(" ",TRIM(C80)&amp;" ")-1),",","."))-1)/MID(SUBSTITUTE(LEFT(TRIM(C80),FIND(" ",TRIM(C80)&amp;" ")-1),",","."),FIND("/",SUBSTITUTE(LEFT(TRIM(C80),FIND(" ",TRIM(C80)&amp;" ")-1),",","."))+1,9))*12/52,IF(ISNUMBER(SEARCH("month",C80)),IFERROR(_xlfn.NUMBERVALUE(SUBSTITUTE(LEFT(TRIM(C80),FIND(" ",TRIM(C80)&amp;" ")-1),",","."),"."),LEFT(SUBSTITUTE(LEFT(TRIM(C80),FIND(" ",TRIM(C80)&amp;" ")-1),",","."),FIND("/",SUBSTITUTE(LEFT(TRIM(C80),FIND(" ",TRIM(C80)&amp;" ")-1),",","."))-1)/MID(SUBSTITUTE(LEFT(TRIM(C80),FIND(" ",TRIM(C80)&amp;" ")-1),",","."),FIND("/",SUBSTITUTE(LEFT(TRIM(C80),FIND(" ",TRIM(C80)&amp;" ")-1),",","."))+1,9)),IF(ISNUMBER(SEARCH("yea",C80)),IFERROR(_xlfn.NUMBERVALUE(SUBSTITUTE(LEFT(TRIM(C80),FIND(" ",TRIM(C80)&amp;" ")-1),",","."),"."),LEFT(SUBSTITUTE(LEFT(TRIM(C80),FIND(" ",TRIM(C80)&amp;" ")-1),",","."),FIND("/",SUBSTITUTE(LEFT(TRIM(C80),FIND(" ",TRIM(C80)&amp;" ")-1),",","."))-1)/MID(SUBSTITUTE(LEFT(TRIM(C80),FIND(" ",TRIM(C80)&amp;" ")-1),",","."),FIND("/",SUBSTITUTE(LEFT(TRIM(C80),FIND(" ",TRIM(C80)&amp;" ")-1),",","."))+1,9))*12,NA()))),0),24)*'Aturan &amp; Tarif'!$B$4,2)</f>
        <v>1362.72</v>
      </c>
      <c r="K80" s="32" t="n">
        <f aca="false">'Aturan &amp; Tarif'!$B$5</f>
        <v>2050</v>
      </c>
      <c r="L80" s="32" t="n">
        <f aca="false">'Aturan &amp; Tarif'!$B$6</f>
        <v>350</v>
      </c>
      <c r="M80" s="35" t="n">
        <f aca="false">I80+J80+K80+L80</f>
        <v>22810.72</v>
      </c>
      <c r="N80" s="37" t="s">
        <v>318</v>
      </c>
    </row>
    <row r="81" customFormat="false" ht="14.25" hidden="false" customHeight="true" outlineLevel="0" collapsed="false">
      <c r="A81" s="29"/>
      <c r="B81" s="30" t="s">
        <v>167</v>
      </c>
      <c r="C81" s="31" t="s">
        <v>107</v>
      </c>
      <c r="D81" s="31" t="s">
        <v>108</v>
      </c>
      <c r="E81" s="32" t="n">
        <v>9524</v>
      </c>
      <c r="F81" s="32"/>
      <c r="G81" s="32"/>
      <c r="H81" s="33" t="n">
        <v>2</v>
      </c>
      <c r="I81" s="34" t="n">
        <f aca="false">E81*H81+N(F81)+N(G81)</f>
        <v>19048</v>
      </c>
      <c r="J81" s="32" t="n">
        <f aca="false">ROUND(IFERROR(ROUND(IF(OR(ISNUMBER(SEARCH("week",C81)),ISNUMBER(SEARCH("minggu",C81))),IFERROR(_xlfn.NUMBERVALUE(SUBSTITUTE(LEFT(TRIM(C81),FIND(" ",TRIM(C81)&amp;" ")-1),",","."),"."),LEFT(SUBSTITUTE(LEFT(TRIM(C81),FIND(" ",TRIM(C81)&amp;" ")-1),",","."),FIND("/",SUBSTITUTE(LEFT(TRIM(C81),FIND(" ",TRIM(C81)&amp;" ")-1),",","."))-1)/MID(SUBSTITUTE(LEFT(TRIM(C81),FIND(" ",TRIM(C81)&amp;" ")-1),",","."),FIND("/",SUBSTITUTE(LEFT(TRIM(C81),FIND(" ",TRIM(C81)&amp;" ")-1),",","."))+1,9))*12/52,IF(ISNUMBER(SEARCH("month",C81)),IFERROR(_xlfn.NUMBERVALUE(SUBSTITUTE(LEFT(TRIM(C81),FIND(" ",TRIM(C81)&amp;" ")-1),",","."),"."),LEFT(SUBSTITUTE(LEFT(TRIM(C81),FIND(" ",TRIM(C81)&amp;" ")-1),",","."),FIND("/",SUBSTITUTE(LEFT(TRIM(C81),FIND(" ",TRIM(C81)&amp;" ")-1),",","."))-1)/MID(SUBSTITUTE(LEFT(TRIM(C81),FIND(" ",TRIM(C81)&amp;" ")-1),",","."),FIND("/",SUBSTITUTE(LEFT(TRIM(C81),FIND(" ",TRIM(C81)&amp;" ")-1),",","."))+1,9)),IF(ISNUMBER(SEARCH("yea",C81)),IFERROR(_xlfn.NUMBERVALUE(SUBSTITUTE(LEFT(TRIM(C81),FIND(" ",TRIM(C81)&amp;" ")-1),",","."),"."),LEFT(SUBSTITUTE(LEFT(TRIM(C81),FIND(" ",TRIM(C81)&amp;" ")-1),",","."),FIND("/",SUBSTITUTE(LEFT(TRIM(C81),FIND(" ",TRIM(C81)&amp;" ")-1),",","."))-1)/MID(SUBSTITUTE(LEFT(TRIM(C81),FIND(" ",TRIM(C81)&amp;" ")-1),",","."),FIND("/",SUBSTITUTE(LEFT(TRIM(C81),FIND(" ",TRIM(C81)&amp;" ")-1),",","."))+1,9))*12,NA()))),0),24)*'Aturan &amp; Tarif'!$B$4,2)</f>
        <v>1362.72</v>
      </c>
      <c r="K81" s="32" t="n">
        <f aca="false">'Aturan &amp; Tarif'!$B$5</f>
        <v>2050</v>
      </c>
      <c r="L81" s="32" t="n">
        <f aca="false">'Aturan &amp; Tarif'!$B$6</f>
        <v>350</v>
      </c>
      <c r="M81" s="35" t="n">
        <f aca="false">I81+J81+K81+L81</f>
        <v>22810.72</v>
      </c>
      <c r="N81" s="37" t="s">
        <v>318</v>
      </c>
    </row>
    <row r="82" customFormat="false" ht="14.25" hidden="false" customHeight="true" outlineLevel="0" collapsed="false">
      <c r="A82" s="29"/>
      <c r="B82" s="30" t="s">
        <v>236</v>
      </c>
      <c r="C82" s="31" t="s">
        <v>127</v>
      </c>
      <c r="D82" s="31" t="s">
        <v>108</v>
      </c>
      <c r="E82" s="32" t="n">
        <v>8906</v>
      </c>
      <c r="F82" s="32"/>
      <c r="G82" s="32"/>
      <c r="H82" s="33" t="n">
        <v>2</v>
      </c>
      <c r="I82" s="34" t="n">
        <f aca="false">E82*H82+N(F82)+N(G82)</f>
        <v>17812</v>
      </c>
      <c r="J82" s="32" t="n">
        <f aca="false">ROUND(IFERROR(ROUND(IF(OR(ISNUMBER(SEARCH("week",C82)),ISNUMBER(SEARCH("minggu",C82))),IFERROR(_xlfn.NUMBERVALUE(SUBSTITUTE(LEFT(TRIM(C82),FIND(" ",TRIM(C82)&amp;" ")-1),",","."),"."),LEFT(SUBSTITUTE(LEFT(TRIM(C82),FIND(" ",TRIM(C82)&amp;" ")-1),",","."),FIND("/",SUBSTITUTE(LEFT(TRIM(C82),FIND(" ",TRIM(C82)&amp;" ")-1),",","."))-1)/MID(SUBSTITUTE(LEFT(TRIM(C82),FIND(" ",TRIM(C82)&amp;" ")-1),",","."),FIND("/",SUBSTITUTE(LEFT(TRIM(C82),FIND(" ",TRIM(C82)&amp;" ")-1),",","."))+1,9))*12/52,IF(ISNUMBER(SEARCH("month",C82)),IFERROR(_xlfn.NUMBERVALUE(SUBSTITUTE(LEFT(TRIM(C82),FIND(" ",TRIM(C82)&amp;" ")-1),",","."),"."),LEFT(SUBSTITUTE(LEFT(TRIM(C82),FIND(" ",TRIM(C82)&amp;" ")-1),",","."),FIND("/",SUBSTITUTE(LEFT(TRIM(C82),FIND(" ",TRIM(C82)&amp;" ")-1),",","."))-1)/MID(SUBSTITUTE(LEFT(TRIM(C82),FIND(" ",TRIM(C82)&amp;" ")-1),",","."),FIND("/",SUBSTITUTE(LEFT(TRIM(C82),FIND(" ",TRIM(C82)&amp;" ")-1),",","."))+1,9)),IF(ISNUMBER(SEARCH("yea",C82)),IFERROR(_xlfn.NUMBERVALUE(SUBSTITUTE(LEFT(TRIM(C82),FIND(" ",TRIM(C82)&amp;" ")-1),",","."),"."),LEFT(SUBSTITUTE(LEFT(TRIM(C82),FIND(" ",TRIM(C82)&amp;" ")-1),",","."),FIND("/",SUBSTITUTE(LEFT(TRIM(C82),FIND(" ",TRIM(C82)&amp;" ")-1),",","."))-1)/MID(SUBSTITUTE(LEFT(TRIM(C82),FIND(" ",TRIM(C82)&amp;" ")-1),",","."),FIND("/",SUBSTITUTE(LEFT(TRIM(C82),FIND(" ",TRIM(C82)&amp;" ")-1),",","."))+1,9))*12,NA()))),0),36)*'Aturan &amp; Tarif'!$B$4,2)</f>
        <v>2044.08</v>
      </c>
      <c r="K82" s="32" t="n">
        <f aca="false">'Aturan &amp; Tarif'!$B$5</f>
        <v>2050</v>
      </c>
      <c r="L82" s="32" t="n">
        <f aca="false">'Aturan &amp; Tarif'!$B$6</f>
        <v>350</v>
      </c>
      <c r="M82" s="35" t="n">
        <f aca="false">I82+J82+K82+L82</f>
        <v>22256.08</v>
      </c>
      <c r="N82" s="37" t="s">
        <v>318</v>
      </c>
    </row>
    <row r="83" customFormat="false" ht="25.5" hidden="false" customHeight="true" outlineLevel="0" collapsed="false">
      <c r="A83" s="29"/>
      <c r="B83" s="30" t="s">
        <v>350</v>
      </c>
      <c r="C83" s="31" t="s">
        <v>191</v>
      </c>
      <c r="D83" s="31" t="s">
        <v>108</v>
      </c>
      <c r="E83" s="32" t="n">
        <v>8906</v>
      </c>
      <c r="F83" s="32"/>
      <c r="G83" s="32"/>
      <c r="H83" s="33" t="n">
        <v>2</v>
      </c>
      <c r="I83" s="34" t="n">
        <f aca="false">E83*H83+N(F83)+N(G83)</f>
        <v>17812</v>
      </c>
      <c r="J83" s="32" t="n">
        <f aca="false">ROUND(IFERROR(ROUND(IF(OR(ISNUMBER(SEARCH("week",C83)),ISNUMBER(SEARCH("minggu",C83))),IFERROR(_xlfn.NUMBERVALUE(SUBSTITUTE(LEFT(TRIM(C83),FIND(" ",TRIM(C83)&amp;" ")-1),",","."),"."),LEFT(SUBSTITUTE(LEFT(TRIM(C83),FIND(" ",TRIM(C83)&amp;" ")-1),",","."),FIND("/",SUBSTITUTE(LEFT(TRIM(C83),FIND(" ",TRIM(C83)&amp;" ")-1),",","."))-1)/MID(SUBSTITUTE(LEFT(TRIM(C83),FIND(" ",TRIM(C83)&amp;" ")-1),",","."),FIND("/",SUBSTITUTE(LEFT(TRIM(C83),FIND(" ",TRIM(C83)&amp;" ")-1),",","."))+1,9))*12/52,IF(ISNUMBER(SEARCH("month",C83)),IFERROR(_xlfn.NUMBERVALUE(SUBSTITUTE(LEFT(TRIM(C83),FIND(" ",TRIM(C83)&amp;" ")-1),",","."),"."),LEFT(SUBSTITUTE(LEFT(TRIM(C83),FIND(" ",TRIM(C83)&amp;" ")-1),",","."),FIND("/",SUBSTITUTE(LEFT(TRIM(C83),FIND(" ",TRIM(C83)&amp;" ")-1),",","."))-1)/MID(SUBSTITUTE(LEFT(TRIM(C83),FIND(" ",TRIM(C83)&amp;" ")-1),",","."),FIND("/",SUBSTITUTE(LEFT(TRIM(C83),FIND(" ",TRIM(C83)&amp;" ")-1),",","."))+1,9)),IF(ISNUMBER(SEARCH("yea",C83)),IFERROR(_xlfn.NUMBERVALUE(SUBSTITUTE(LEFT(TRIM(C83),FIND(" ",TRIM(C83)&amp;" ")-1),",","."),"."),LEFT(SUBSTITUTE(LEFT(TRIM(C83),FIND(" ",TRIM(C83)&amp;" ")-1),",","."),FIND("/",SUBSTITUTE(LEFT(TRIM(C83),FIND(" ",TRIM(C83)&amp;" ")-1),",","."))-1)/MID(SUBSTITUTE(LEFT(TRIM(C83),FIND(" ",TRIM(C83)&amp;" ")-1),",","."),FIND("/",SUBSTITUTE(LEFT(TRIM(C83),FIND(" ",TRIM(C83)&amp;" ")-1),",","."))+1,9))*12,NA()))),0),48)*'Aturan &amp; Tarif'!$B$4,2)</f>
        <v>2725.44</v>
      </c>
      <c r="K83" s="32" t="n">
        <f aca="false">'Aturan &amp; Tarif'!$B$5</f>
        <v>2050</v>
      </c>
      <c r="L83" s="32" t="n">
        <f aca="false">'Aturan &amp; Tarif'!$B$6</f>
        <v>350</v>
      </c>
      <c r="M83" s="35" t="n">
        <f aca="false">I83+J83+K83+L83</f>
        <v>22937.44</v>
      </c>
      <c r="N83" s="37" t="s">
        <v>318</v>
      </c>
    </row>
    <row r="84" customFormat="false" ht="25.5" hidden="false" customHeight="true" outlineLevel="0" collapsed="false">
      <c r="A84" s="29"/>
      <c r="B84" s="30" t="s">
        <v>351</v>
      </c>
      <c r="C84" s="31" t="s">
        <v>191</v>
      </c>
      <c r="D84" s="31" t="s">
        <v>108</v>
      </c>
      <c r="E84" s="32" t="n">
        <v>8906</v>
      </c>
      <c r="F84" s="32"/>
      <c r="G84" s="32"/>
      <c r="H84" s="33" t="n">
        <v>2</v>
      </c>
      <c r="I84" s="34" t="n">
        <f aca="false">E84*H84+N(F84)+N(G84)</f>
        <v>17812</v>
      </c>
      <c r="J84" s="32" t="n">
        <f aca="false">ROUND(IFERROR(ROUND(IF(OR(ISNUMBER(SEARCH("week",C84)),ISNUMBER(SEARCH("minggu",C84))),IFERROR(_xlfn.NUMBERVALUE(SUBSTITUTE(LEFT(TRIM(C84),FIND(" ",TRIM(C84)&amp;" ")-1),",","."),"."),LEFT(SUBSTITUTE(LEFT(TRIM(C84),FIND(" ",TRIM(C84)&amp;" ")-1),",","."),FIND("/",SUBSTITUTE(LEFT(TRIM(C84),FIND(" ",TRIM(C84)&amp;" ")-1),",","."))-1)/MID(SUBSTITUTE(LEFT(TRIM(C84),FIND(" ",TRIM(C84)&amp;" ")-1),",","."),FIND("/",SUBSTITUTE(LEFT(TRIM(C84),FIND(" ",TRIM(C84)&amp;" ")-1),",","."))+1,9))*12/52,IF(ISNUMBER(SEARCH("month",C84)),IFERROR(_xlfn.NUMBERVALUE(SUBSTITUTE(LEFT(TRIM(C84),FIND(" ",TRIM(C84)&amp;" ")-1),",","."),"."),LEFT(SUBSTITUTE(LEFT(TRIM(C84),FIND(" ",TRIM(C84)&amp;" ")-1),",","."),FIND("/",SUBSTITUTE(LEFT(TRIM(C84),FIND(" ",TRIM(C84)&amp;" ")-1),",","."))-1)/MID(SUBSTITUTE(LEFT(TRIM(C84),FIND(" ",TRIM(C84)&amp;" ")-1),",","."),FIND("/",SUBSTITUTE(LEFT(TRIM(C84),FIND(" ",TRIM(C84)&amp;" ")-1),",","."))+1,9)),IF(ISNUMBER(SEARCH("yea",C84)),IFERROR(_xlfn.NUMBERVALUE(SUBSTITUTE(LEFT(TRIM(C84),FIND(" ",TRIM(C84)&amp;" ")-1),",","."),"."),LEFT(SUBSTITUTE(LEFT(TRIM(C84),FIND(" ",TRIM(C84)&amp;" ")-1),",","."),FIND("/",SUBSTITUTE(LEFT(TRIM(C84),FIND(" ",TRIM(C84)&amp;" ")-1),",","."))-1)/MID(SUBSTITUTE(LEFT(TRIM(C84),FIND(" ",TRIM(C84)&amp;" ")-1),",","."),FIND("/",SUBSTITUTE(LEFT(TRIM(C84),FIND(" ",TRIM(C84)&amp;" ")-1),",","."))+1,9))*12,NA()))),0),48)*'Aturan &amp; Tarif'!$B$4,2)</f>
        <v>2725.44</v>
      </c>
      <c r="K84" s="32" t="n">
        <f aca="false">'Aturan &amp; Tarif'!$B$5</f>
        <v>2050</v>
      </c>
      <c r="L84" s="32" t="n">
        <f aca="false">'Aturan &amp; Tarif'!$B$6</f>
        <v>350</v>
      </c>
      <c r="M84" s="35" t="n">
        <f aca="false">I84+J84+K84+L84</f>
        <v>22937.44</v>
      </c>
      <c r="N84" s="37" t="s">
        <v>318</v>
      </c>
    </row>
    <row r="85" customFormat="false" ht="25.5" hidden="false" customHeight="true" outlineLevel="0" collapsed="false">
      <c r="A85" s="29"/>
      <c r="B85" s="30" t="s">
        <v>352</v>
      </c>
      <c r="C85" s="31" t="s">
        <v>191</v>
      </c>
      <c r="D85" s="31" t="s">
        <v>108</v>
      </c>
      <c r="E85" s="32" t="n">
        <v>8906</v>
      </c>
      <c r="F85" s="32"/>
      <c r="G85" s="32"/>
      <c r="H85" s="33" t="n">
        <v>2</v>
      </c>
      <c r="I85" s="34" t="n">
        <f aca="false">E85*H85+N(F85)+N(G85)</f>
        <v>17812</v>
      </c>
      <c r="J85" s="32" t="n">
        <f aca="false">ROUND(IFERROR(ROUND(IF(OR(ISNUMBER(SEARCH("week",C85)),ISNUMBER(SEARCH("minggu",C85))),IFERROR(_xlfn.NUMBERVALUE(SUBSTITUTE(LEFT(TRIM(C85),FIND(" ",TRIM(C85)&amp;" ")-1),",","."),"."),LEFT(SUBSTITUTE(LEFT(TRIM(C85),FIND(" ",TRIM(C85)&amp;" ")-1),",","."),FIND("/",SUBSTITUTE(LEFT(TRIM(C85),FIND(" ",TRIM(C85)&amp;" ")-1),",","."))-1)/MID(SUBSTITUTE(LEFT(TRIM(C85),FIND(" ",TRIM(C85)&amp;" ")-1),",","."),FIND("/",SUBSTITUTE(LEFT(TRIM(C85),FIND(" ",TRIM(C85)&amp;" ")-1),",","."))+1,9))*12/52,IF(ISNUMBER(SEARCH("month",C85)),IFERROR(_xlfn.NUMBERVALUE(SUBSTITUTE(LEFT(TRIM(C85),FIND(" ",TRIM(C85)&amp;" ")-1),",","."),"."),LEFT(SUBSTITUTE(LEFT(TRIM(C85),FIND(" ",TRIM(C85)&amp;" ")-1),",","."),FIND("/",SUBSTITUTE(LEFT(TRIM(C85),FIND(" ",TRIM(C85)&amp;" ")-1),",","."))-1)/MID(SUBSTITUTE(LEFT(TRIM(C85),FIND(" ",TRIM(C85)&amp;" ")-1),",","."),FIND("/",SUBSTITUTE(LEFT(TRIM(C85),FIND(" ",TRIM(C85)&amp;" ")-1),",","."))+1,9)),IF(ISNUMBER(SEARCH("yea",C85)),IFERROR(_xlfn.NUMBERVALUE(SUBSTITUTE(LEFT(TRIM(C85),FIND(" ",TRIM(C85)&amp;" ")-1),",","."),"."),LEFT(SUBSTITUTE(LEFT(TRIM(C85),FIND(" ",TRIM(C85)&amp;" ")-1),",","."),FIND("/",SUBSTITUTE(LEFT(TRIM(C85),FIND(" ",TRIM(C85)&amp;" ")-1),",","."))-1)/MID(SUBSTITUTE(LEFT(TRIM(C85),FIND(" ",TRIM(C85)&amp;" ")-1),",","."),FIND("/",SUBSTITUTE(LEFT(TRIM(C85),FIND(" ",TRIM(C85)&amp;" ")-1),",","."))+1,9))*12,NA()))),0),48)*'Aturan &amp; Tarif'!$B$4,2)</f>
        <v>2725.44</v>
      </c>
      <c r="K85" s="32" t="n">
        <f aca="false">'Aturan &amp; Tarif'!$B$5</f>
        <v>2050</v>
      </c>
      <c r="L85" s="32" t="n">
        <f aca="false">'Aturan &amp; Tarif'!$B$6</f>
        <v>350</v>
      </c>
      <c r="M85" s="35" t="n">
        <f aca="false">I85+J85+K85+L85</f>
        <v>22937.44</v>
      </c>
      <c r="N85" s="37" t="s">
        <v>318</v>
      </c>
    </row>
    <row r="86" customFormat="false" ht="25.5" hidden="false" customHeight="true" outlineLevel="0" collapsed="false">
      <c r="A86" s="29"/>
      <c r="B86" s="30" t="s">
        <v>353</v>
      </c>
      <c r="C86" s="31" t="s">
        <v>191</v>
      </c>
      <c r="D86" s="31" t="s">
        <v>108</v>
      </c>
      <c r="E86" s="32" t="n">
        <v>8906</v>
      </c>
      <c r="F86" s="32"/>
      <c r="G86" s="32"/>
      <c r="H86" s="33" t="n">
        <v>2</v>
      </c>
      <c r="I86" s="34" t="n">
        <f aca="false">E86*H86+N(F86)+N(G86)</f>
        <v>17812</v>
      </c>
      <c r="J86" s="32" t="n">
        <f aca="false">ROUND(IFERROR(ROUND(IF(OR(ISNUMBER(SEARCH("week",C86)),ISNUMBER(SEARCH("minggu",C86))),IFERROR(_xlfn.NUMBERVALUE(SUBSTITUTE(LEFT(TRIM(C86),FIND(" ",TRIM(C86)&amp;" ")-1),",","."),"."),LEFT(SUBSTITUTE(LEFT(TRIM(C86),FIND(" ",TRIM(C86)&amp;" ")-1),",","."),FIND("/",SUBSTITUTE(LEFT(TRIM(C86),FIND(" ",TRIM(C86)&amp;" ")-1),",","."))-1)/MID(SUBSTITUTE(LEFT(TRIM(C86),FIND(" ",TRIM(C86)&amp;" ")-1),",","."),FIND("/",SUBSTITUTE(LEFT(TRIM(C86),FIND(" ",TRIM(C86)&amp;" ")-1),",","."))+1,9))*12/52,IF(ISNUMBER(SEARCH("month",C86)),IFERROR(_xlfn.NUMBERVALUE(SUBSTITUTE(LEFT(TRIM(C86),FIND(" ",TRIM(C86)&amp;" ")-1),",","."),"."),LEFT(SUBSTITUTE(LEFT(TRIM(C86),FIND(" ",TRIM(C86)&amp;" ")-1),",","."),FIND("/",SUBSTITUTE(LEFT(TRIM(C86),FIND(" ",TRIM(C86)&amp;" ")-1),",","."))-1)/MID(SUBSTITUTE(LEFT(TRIM(C86),FIND(" ",TRIM(C86)&amp;" ")-1),",","."),FIND("/",SUBSTITUTE(LEFT(TRIM(C86),FIND(" ",TRIM(C86)&amp;" ")-1),",","."))+1,9)),IF(ISNUMBER(SEARCH("yea",C86)),IFERROR(_xlfn.NUMBERVALUE(SUBSTITUTE(LEFT(TRIM(C86),FIND(" ",TRIM(C86)&amp;" ")-1),",","."),"."),LEFT(SUBSTITUTE(LEFT(TRIM(C86),FIND(" ",TRIM(C86)&amp;" ")-1),",","."),FIND("/",SUBSTITUTE(LEFT(TRIM(C86),FIND(" ",TRIM(C86)&amp;" ")-1),",","."))-1)/MID(SUBSTITUTE(LEFT(TRIM(C86),FIND(" ",TRIM(C86)&amp;" ")-1),",","."),FIND("/",SUBSTITUTE(LEFT(TRIM(C86),FIND(" ",TRIM(C86)&amp;" ")-1),",","."))+1,9))*12,NA()))),0),48)*'Aturan &amp; Tarif'!$B$4,2)</f>
        <v>2725.44</v>
      </c>
      <c r="K86" s="32" t="n">
        <f aca="false">'Aturan &amp; Tarif'!$B$5</f>
        <v>2050</v>
      </c>
      <c r="L86" s="32" t="n">
        <f aca="false">'Aturan &amp; Tarif'!$B$6</f>
        <v>350</v>
      </c>
      <c r="M86" s="35" t="n">
        <f aca="false">I86+J86+K86+L86</f>
        <v>22937.44</v>
      </c>
      <c r="N86" s="37" t="s">
        <v>318</v>
      </c>
    </row>
    <row r="87" customFormat="false" ht="25.5" hidden="false" customHeight="true" outlineLevel="0" collapsed="false">
      <c r="A87" s="29"/>
      <c r="B87" s="30" t="s">
        <v>354</v>
      </c>
      <c r="C87" s="31" t="s">
        <v>191</v>
      </c>
      <c r="D87" s="31" t="s">
        <v>108</v>
      </c>
      <c r="E87" s="32" t="n">
        <v>9706</v>
      </c>
      <c r="F87" s="32"/>
      <c r="G87" s="32"/>
      <c r="H87" s="33" t="n">
        <v>2</v>
      </c>
      <c r="I87" s="34" t="n">
        <f aca="false">E87*H87+N(F87)+N(G87)</f>
        <v>19412</v>
      </c>
      <c r="J87" s="32" t="n">
        <f aca="false">ROUND(IFERROR(ROUND(IF(OR(ISNUMBER(SEARCH("week",C87)),ISNUMBER(SEARCH("minggu",C87))),IFERROR(_xlfn.NUMBERVALUE(SUBSTITUTE(LEFT(TRIM(C87),FIND(" ",TRIM(C87)&amp;" ")-1),",","."),"."),LEFT(SUBSTITUTE(LEFT(TRIM(C87),FIND(" ",TRIM(C87)&amp;" ")-1),",","."),FIND("/",SUBSTITUTE(LEFT(TRIM(C87),FIND(" ",TRIM(C87)&amp;" ")-1),",","."))-1)/MID(SUBSTITUTE(LEFT(TRIM(C87),FIND(" ",TRIM(C87)&amp;" ")-1),",","."),FIND("/",SUBSTITUTE(LEFT(TRIM(C87),FIND(" ",TRIM(C87)&amp;" ")-1),",","."))+1,9))*12/52,IF(ISNUMBER(SEARCH("month",C87)),IFERROR(_xlfn.NUMBERVALUE(SUBSTITUTE(LEFT(TRIM(C87),FIND(" ",TRIM(C87)&amp;" ")-1),",","."),"."),LEFT(SUBSTITUTE(LEFT(TRIM(C87),FIND(" ",TRIM(C87)&amp;" ")-1),",","."),FIND("/",SUBSTITUTE(LEFT(TRIM(C87),FIND(" ",TRIM(C87)&amp;" ")-1),",","."))-1)/MID(SUBSTITUTE(LEFT(TRIM(C87),FIND(" ",TRIM(C87)&amp;" ")-1),",","."),FIND("/",SUBSTITUTE(LEFT(TRIM(C87),FIND(" ",TRIM(C87)&amp;" ")-1),",","."))+1,9)),IF(ISNUMBER(SEARCH("yea",C87)),IFERROR(_xlfn.NUMBERVALUE(SUBSTITUTE(LEFT(TRIM(C87),FIND(" ",TRIM(C87)&amp;" ")-1),",","."),"."),LEFT(SUBSTITUTE(LEFT(TRIM(C87),FIND(" ",TRIM(C87)&amp;" ")-1),",","."),FIND("/",SUBSTITUTE(LEFT(TRIM(C87),FIND(" ",TRIM(C87)&amp;" ")-1),",","."))-1)/MID(SUBSTITUTE(LEFT(TRIM(C87),FIND(" ",TRIM(C87)&amp;" ")-1),",","."),FIND("/",SUBSTITUTE(LEFT(TRIM(C87),FIND(" ",TRIM(C87)&amp;" ")-1),",","."))+1,9))*12,NA()))),0),48)*'Aturan &amp; Tarif'!$B$4,2)</f>
        <v>2725.44</v>
      </c>
      <c r="K87" s="32" t="n">
        <f aca="false">'Aturan &amp; Tarif'!$B$5</f>
        <v>2050</v>
      </c>
      <c r="L87" s="32" t="n">
        <f aca="false">'Aturan &amp; Tarif'!$B$6</f>
        <v>350</v>
      </c>
      <c r="M87" s="35" t="n">
        <f aca="false">I87+J87+K87+L87</f>
        <v>24537.44</v>
      </c>
      <c r="N87" s="37" t="s">
        <v>318</v>
      </c>
    </row>
    <row r="88" customFormat="false" ht="14.25" hidden="false" customHeight="true" outlineLevel="0" collapsed="false">
      <c r="A88" s="29"/>
      <c r="B88" s="30" t="s">
        <v>355</v>
      </c>
      <c r="C88" s="31" t="s">
        <v>127</v>
      </c>
      <c r="D88" s="31" t="s">
        <v>108</v>
      </c>
      <c r="E88" s="32" t="n">
        <v>8906</v>
      </c>
      <c r="F88" s="32"/>
      <c r="G88" s="32"/>
      <c r="H88" s="33" t="n">
        <v>2</v>
      </c>
      <c r="I88" s="34" t="n">
        <f aca="false">E88*H88+N(F88)+N(G88)</f>
        <v>17812</v>
      </c>
      <c r="J88" s="32" t="n">
        <f aca="false">ROUND(IFERROR(ROUND(IF(OR(ISNUMBER(SEARCH("week",C88)),ISNUMBER(SEARCH("minggu",C88))),IFERROR(_xlfn.NUMBERVALUE(SUBSTITUTE(LEFT(TRIM(C88),FIND(" ",TRIM(C88)&amp;" ")-1),",","."),"."),LEFT(SUBSTITUTE(LEFT(TRIM(C88),FIND(" ",TRIM(C88)&amp;" ")-1),",","."),FIND("/",SUBSTITUTE(LEFT(TRIM(C88),FIND(" ",TRIM(C88)&amp;" ")-1),",","."))-1)/MID(SUBSTITUTE(LEFT(TRIM(C88),FIND(" ",TRIM(C88)&amp;" ")-1),",","."),FIND("/",SUBSTITUTE(LEFT(TRIM(C88),FIND(" ",TRIM(C88)&amp;" ")-1),",","."))+1,9))*12/52,IF(ISNUMBER(SEARCH("month",C88)),IFERROR(_xlfn.NUMBERVALUE(SUBSTITUTE(LEFT(TRIM(C88),FIND(" ",TRIM(C88)&amp;" ")-1),",","."),"."),LEFT(SUBSTITUTE(LEFT(TRIM(C88),FIND(" ",TRIM(C88)&amp;" ")-1),",","."),FIND("/",SUBSTITUTE(LEFT(TRIM(C88),FIND(" ",TRIM(C88)&amp;" ")-1),",","."))-1)/MID(SUBSTITUTE(LEFT(TRIM(C88),FIND(" ",TRIM(C88)&amp;" ")-1),",","."),FIND("/",SUBSTITUTE(LEFT(TRIM(C88),FIND(" ",TRIM(C88)&amp;" ")-1),",","."))+1,9)),IF(ISNUMBER(SEARCH("yea",C88)),IFERROR(_xlfn.NUMBERVALUE(SUBSTITUTE(LEFT(TRIM(C88),FIND(" ",TRIM(C88)&amp;" ")-1),",","."),"."),LEFT(SUBSTITUTE(LEFT(TRIM(C88),FIND(" ",TRIM(C88)&amp;" ")-1),",","."),FIND("/",SUBSTITUTE(LEFT(TRIM(C88),FIND(" ",TRIM(C88)&amp;" ")-1),",","."))-1)/MID(SUBSTITUTE(LEFT(TRIM(C88),FIND(" ",TRIM(C88)&amp;" ")-1),",","."),FIND("/",SUBSTITUTE(LEFT(TRIM(C88),FIND(" ",TRIM(C88)&amp;" ")-1),",","."))+1,9))*12,NA()))),0),36)*'Aturan &amp; Tarif'!$B$4,2)</f>
        <v>2044.08</v>
      </c>
      <c r="K88" s="32" t="n">
        <f aca="false">'Aturan &amp; Tarif'!$B$5</f>
        <v>2050</v>
      </c>
      <c r="L88" s="32" t="n">
        <f aca="false">'Aturan &amp; Tarif'!$B$6</f>
        <v>350</v>
      </c>
      <c r="M88" s="35" t="n">
        <f aca="false">I88+J88+K88+L88</f>
        <v>22256.08</v>
      </c>
      <c r="N88" s="37" t="s">
        <v>318</v>
      </c>
    </row>
    <row r="89" customFormat="false" ht="25.5" hidden="false" customHeight="true" outlineLevel="0" collapsed="false">
      <c r="A89" s="29"/>
      <c r="B89" s="30" t="s">
        <v>356</v>
      </c>
      <c r="C89" s="31" t="s">
        <v>191</v>
      </c>
      <c r="D89" s="31" t="s">
        <v>108</v>
      </c>
      <c r="E89" s="32" t="n">
        <v>8906</v>
      </c>
      <c r="F89" s="32"/>
      <c r="G89" s="32"/>
      <c r="H89" s="33" t="n">
        <v>2</v>
      </c>
      <c r="I89" s="34" t="n">
        <f aca="false">E89*H89+N(F89)+N(G89)</f>
        <v>17812</v>
      </c>
      <c r="J89" s="32" t="n">
        <f aca="false">ROUND(IFERROR(ROUND(IF(OR(ISNUMBER(SEARCH("week",C89)),ISNUMBER(SEARCH("minggu",C89))),IFERROR(_xlfn.NUMBERVALUE(SUBSTITUTE(LEFT(TRIM(C89),FIND(" ",TRIM(C89)&amp;" ")-1),",","."),"."),LEFT(SUBSTITUTE(LEFT(TRIM(C89),FIND(" ",TRIM(C89)&amp;" ")-1),",","."),FIND("/",SUBSTITUTE(LEFT(TRIM(C89),FIND(" ",TRIM(C89)&amp;" ")-1),",","."))-1)/MID(SUBSTITUTE(LEFT(TRIM(C89),FIND(" ",TRIM(C89)&amp;" ")-1),",","."),FIND("/",SUBSTITUTE(LEFT(TRIM(C89),FIND(" ",TRIM(C89)&amp;" ")-1),",","."))+1,9))*12/52,IF(ISNUMBER(SEARCH("month",C89)),IFERROR(_xlfn.NUMBERVALUE(SUBSTITUTE(LEFT(TRIM(C89),FIND(" ",TRIM(C89)&amp;" ")-1),",","."),"."),LEFT(SUBSTITUTE(LEFT(TRIM(C89),FIND(" ",TRIM(C89)&amp;" ")-1),",","."),FIND("/",SUBSTITUTE(LEFT(TRIM(C89),FIND(" ",TRIM(C89)&amp;" ")-1),",","."))-1)/MID(SUBSTITUTE(LEFT(TRIM(C89),FIND(" ",TRIM(C89)&amp;" ")-1),",","."),FIND("/",SUBSTITUTE(LEFT(TRIM(C89),FIND(" ",TRIM(C89)&amp;" ")-1),",","."))+1,9)),IF(ISNUMBER(SEARCH("yea",C89)),IFERROR(_xlfn.NUMBERVALUE(SUBSTITUTE(LEFT(TRIM(C89),FIND(" ",TRIM(C89)&amp;" ")-1),",","."),"."),LEFT(SUBSTITUTE(LEFT(TRIM(C89),FIND(" ",TRIM(C89)&amp;" ")-1),",","."),FIND("/",SUBSTITUTE(LEFT(TRIM(C89),FIND(" ",TRIM(C89)&amp;" ")-1),",","."))-1)/MID(SUBSTITUTE(LEFT(TRIM(C89),FIND(" ",TRIM(C89)&amp;" ")-1),",","."),FIND("/",SUBSTITUTE(LEFT(TRIM(C89),FIND(" ",TRIM(C89)&amp;" ")-1),",","."))+1,9))*12,NA()))),0),48)*'Aturan &amp; Tarif'!$B$4,2)</f>
        <v>2725.44</v>
      </c>
      <c r="K89" s="32" t="n">
        <f aca="false">'Aturan &amp; Tarif'!$B$5</f>
        <v>2050</v>
      </c>
      <c r="L89" s="32" t="n">
        <f aca="false">'Aturan &amp; Tarif'!$B$6</f>
        <v>350</v>
      </c>
      <c r="M89" s="35" t="n">
        <f aca="false">I89+J89+K89+L89</f>
        <v>22937.44</v>
      </c>
      <c r="N89" s="37" t="s">
        <v>318</v>
      </c>
    </row>
    <row r="90" customFormat="false" ht="14.25" hidden="false" customHeight="true" outlineLevel="0" collapsed="false">
      <c r="A90" s="29"/>
      <c r="B90" s="30" t="s">
        <v>357</v>
      </c>
      <c r="C90" s="31" t="s">
        <v>191</v>
      </c>
      <c r="D90" s="31" t="s">
        <v>108</v>
      </c>
      <c r="E90" s="32" t="n">
        <v>8906</v>
      </c>
      <c r="F90" s="32"/>
      <c r="G90" s="32"/>
      <c r="H90" s="33" t="n">
        <v>2</v>
      </c>
      <c r="I90" s="34" t="n">
        <f aca="false">E90*H90+N(F90)+N(G90)</f>
        <v>17812</v>
      </c>
      <c r="J90" s="32" t="n">
        <f aca="false">ROUND(IFERROR(ROUND(IF(OR(ISNUMBER(SEARCH("week",C90)),ISNUMBER(SEARCH("minggu",C90))),IFERROR(_xlfn.NUMBERVALUE(SUBSTITUTE(LEFT(TRIM(C90),FIND(" ",TRIM(C90)&amp;" ")-1),",","."),"."),LEFT(SUBSTITUTE(LEFT(TRIM(C90),FIND(" ",TRIM(C90)&amp;" ")-1),",","."),FIND("/",SUBSTITUTE(LEFT(TRIM(C90),FIND(" ",TRIM(C90)&amp;" ")-1),",","."))-1)/MID(SUBSTITUTE(LEFT(TRIM(C90),FIND(" ",TRIM(C90)&amp;" ")-1),",","."),FIND("/",SUBSTITUTE(LEFT(TRIM(C90),FIND(" ",TRIM(C90)&amp;" ")-1),",","."))+1,9))*12/52,IF(ISNUMBER(SEARCH("month",C90)),IFERROR(_xlfn.NUMBERVALUE(SUBSTITUTE(LEFT(TRIM(C90),FIND(" ",TRIM(C90)&amp;" ")-1),",","."),"."),LEFT(SUBSTITUTE(LEFT(TRIM(C90),FIND(" ",TRIM(C90)&amp;" ")-1),",","."),FIND("/",SUBSTITUTE(LEFT(TRIM(C90),FIND(" ",TRIM(C90)&amp;" ")-1),",","."))-1)/MID(SUBSTITUTE(LEFT(TRIM(C90),FIND(" ",TRIM(C90)&amp;" ")-1),",","."),FIND("/",SUBSTITUTE(LEFT(TRIM(C90),FIND(" ",TRIM(C90)&amp;" ")-1),",","."))+1,9)),IF(ISNUMBER(SEARCH("yea",C90)),IFERROR(_xlfn.NUMBERVALUE(SUBSTITUTE(LEFT(TRIM(C90),FIND(" ",TRIM(C90)&amp;" ")-1),",","."),"."),LEFT(SUBSTITUTE(LEFT(TRIM(C90),FIND(" ",TRIM(C90)&amp;" ")-1),",","."),FIND("/",SUBSTITUTE(LEFT(TRIM(C90),FIND(" ",TRIM(C90)&amp;" ")-1),",","."))-1)/MID(SUBSTITUTE(LEFT(TRIM(C90),FIND(" ",TRIM(C90)&amp;" ")-1),",","."),FIND("/",SUBSTITUTE(LEFT(TRIM(C90),FIND(" ",TRIM(C90)&amp;" ")-1),",","."))+1,9))*12,NA()))),0),48)*'Aturan &amp; Tarif'!$B$4,2)</f>
        <v>2725.44</v>
      </c>
      <c r="K90" s="32" t="n">
        <f aca="false">'Aturan &amp; Tarif'!$B$5</f>
        <v>2050</v>
      </c>
      <c r="L90" s="32" t="n">
        <f aca="false">'Aturan &amp; Tarif'!$B$6</f>
        <v>350</v>
      </c>
      <c r="M90" s="35" t="n">
        <f aca="false">I90+J90+K90+L90</f>
        <v>22937.44</v>
      </c>
      <c r="N90" s="37" t="s">
        <v>318</v>
      </c>
    </row>
    <row r="91" customFormat="false" ht="25.5" hidden="false" customHeight="true" outlineLevel="0" collapsed="false">
      <c r="A91" s="29"/>
      <c r="B91" s="30" t="s">
        <v>358</v>
      </c>
      <c r="C91" s="31" t="s">
        <v>191</v>
      </c>
      <c r="D91" s="31" t="s">
        <v>108</v>
      </c>
      <c r="E91" s="32" t="n">
        <v>8906</v>
      </c>
      <c r="F91" s="32"/>
      <c r="G91" s="32"/>
      <c r="H91" s="33" t="n">
        <v>2</v>
      </c>
      <c r="I91" s="34" t="n">
        <f aca="false">E91*H91+N(F91)+N(G91)</f>
        <v>17812</v>
      </c>
      <c r="J91" s="32" t="n">
        <f aca="false">ROUND(IFERROR(ROUND(IF(OR(ISNUMBER(SEARCH("week",C91)),ISNUMBER(SEARCH("minggu",C91))),IFERROR(_xlfn.NUMBERVALUE(SUBSTITUTE(LEFT(TRIM(C91),FIND(" ",TRIM(C91)&amp;" ")-1),",","."),"."),LEFT(SUBSTITUTE(LEFT(TRIM(C91),FIND(" ",TRIM(C91)&amp;" ")-1),",","."),FIND("/",SUBSTITUTE(LEFT(TRIM(C91),FIND(" ",TRIM(C91)&amp;" ")-1),",","."))-1)/MID(SUBSTITUTE(LEFT(TRIM(C91),FIND(" ",TRIM(C91)&amp;" ")-1),",","."),FIND("/",SUBSTITUTE(LEFT(TRIM(C91),FIND(" ",TRIM(C91)&amp;" ")-1),",","."))+1,9))*12/52,IF(ISNUMBER(SEARCH("month",C91)),IFERROR(_xlfn.NUMBERVALUE(SUBSTITUTE(LEFT(TRIM(C91),FIND(" ",TRIM(C91)&amp;" ")-1),",","."),"."),LEFT(SUBSTITUTE(LEFT(TRIM(C91),FIND(" ",TRIM(C91)&amp;" ")-1),",","."),FIND("/",SUBSTITUTE(LEFT(TRIM(C91),FIND(" ",TRIM(C91)&amp;" ")-1),",","."))-1)/MID(SUBSTITUTE(LEFT(TRIM(C91),FIND(" ",TRIM(C91)&amp;" ")-1),",","."),FIND("/",SUBSTITUTE(LEFT(TRIM(C91),FIND(" ",TRIM(C91)&amp;" ")-1),",","."))+1,9)),IF(ISNUMBER(SEARCH("yea",C91)),IFERROR(_xlfn.NUMBERVALUE(SUBSTITUTE(LEFT(TRIM(C91),FIND(" ",TRIM(C91)&amp;" ")-1),",","."),"."),LEFT(SUBSTITUTE(LEFT(TRIM(C91),FIND(" ",TRIM(C91)&amp;" ")-1),",","."),FIND("/",SUBSTITUTE(LEFT(TRIM(C91),FIND(" ",TRIM(C91)&amp;" ")-1),",","."))-1)/MID(SUBSTITUTE(LEFT(TRIM(C91),FIND(" ",TRIM(C91)&amp;" ")-1),",","."),FIND("/",SUBSTITUTE(LEFT(TRIM(C91),FIND(" ",TRIM(C91)&amp;" ")-1),",","."))+1,9))*12,NA()))),0),48)*'Aturan &amp; Tarif'!$B$4,2)</f>
        <v>2725.44</v>
      </c>
      <c r="K91" s="32" t="n">
        <f aca="false">'Aturan &amp; Tarif'!$B$5</f>
        <v>2050</v>
      </c>
      <c r="L91" s="32" t="n">
        <f aca="false">'Aturan &amp; Tarif'!$B$6</f>
        <v>350</v>
      </c>
      <c r="M91" s="35" t="n">
        <f aca="false">I91+J91+K91+L91</f>
        <v>22937.44</v>
      </c>
      <c r="N91" s="37" t="s">
        <v>318</v>
      </c>
    </row>
    <row r="92" customFormat="false" ht="14.25" hidden="false" customHeight="true" outlineLevel="0" collapsed="false">
      <c r="A92" s="29"/>
      <c r="B92" s="30" t="s">
        <v>237</v>
      </c>
      <c r="C92" s="31" t="s">
        <v>191</v>
      </c>
      <c r="D92" s="31" t="s">
        <v>108</v>
      </c>
      <c r="E92" s="32" t="n">
        <v>8906</v>
      </c>
      <c r="F92" s="32"/>
      <c r="G92" s="32"/>
      <c r="H92" s="33" t="n">
        <v>2</v>
      </c>
      <c r="I92" s="34" t="n">
        <f aca="false">E92*H92+N(F92)+N(G92)</f>
        <v>17812</v>
      </c>
      <c r="J92" s="32" t="n">
        <f aca="false">ROUND(IFERROR(ROUND(IF(OR(ISNUMBER(SEARCH("week",C92)),ISNUMBER(SEARCH("minggu",C92))),IFERROR(_xlfn.NUMBERVALUE(SUBSTITUTE(LEFT(TRIM(C92),FIND(" ",TRIM(C92)&amp;" ")-1),",","."),"."),LEFT(SUBSTITUTE(LEFT(TRIM(C92),FIND(" ",TRIM(C92)&amp;" ")-1),",","."),FIND("/",SUBSTITUTE(LEFT(TRIM(C92),FIND(" ",TRIM(C92)&amp;" ")-1),",","."))-1)/MID(SUBSTITUTE(LEFT(TRIM(C92),FIND(" ",TRIM(C92)&amp;" ")-1),",","."),FIND("/",SUBSTITUTE(LEFT(TRIM(C92),FIND(" ",TRIM(C92)&amp;" ")-1),",","."))+1,9))*12/52,IF(ISNUMBER(SEARCH("month",C92)),IFERROR(_xlfn.NUMBERVALUE(SUBSTITUTE(LEFT(TRIM(C92),FIND(" ",TRIM(C92)&amp;" ")-1),",","."),"."),LEFT(SUBSTITUTE(LEFT(TRIM(C92),FIND(" ",TRIM(C92)&amp;" ")-1),",","."),FIND("/",SUBSTITUTE(LEFT(TRIM(C92),FIND(" ",TRIM(C92)&amp;" ")-1),",","."))-1)/MID(SUBSTITUTE(LEFT(TRIM(C92),FIND(" ",TRIM(C92)&amp;" ")-1),",","."),FIND("/",SUBSTITUTE(LEFT(TRIM(C92),FIND(" ",TRIM(C92)&amp;" ")-1),",","."))+1,9)),IF(ISNUMBER(SEARCH("yea",C92)),IFERROR(_xlfn.NUMBERVALUE(SUBSTITUTE(LEFT(TRIM(C92),FIND(" ",TRIM(C92)&amp;" ")-1),",","."),"."),LEFT(SUBSTITUTE(LEFT(TRIM(C92),FIND(" ",TRIM(C92)&amp;" ")-1),",","."),FIND("/",SUBSTITUTE(LEFT(TRIM(C92),FIND(" ",TRIM(C92)&amp;" ")-1),",","."))-1)/MID(SUBSTITUTE(LEFT(TRIM(C92),FIND(" ",TRIM(C92)&amp;" ")-1),",","."),FIND("/",SUBSTITUTE(LEFT(TRIM(C92),FIND(" ",TRIM(C92)&amp;" ")-1),",","."))+1,9))*12,NA()))),0),48)*'Aturan &amp; Tarif'!$B$4,2)</f>
        <v>2725.44</v>
      </c>
      <c r="K92" s="32" t="n">
        <f aca="false">'Aturan &amp; Tarif'!$B$5</f>
        <v>2050</v>
      </c>
      <c r="L92" s="32" t="n">
        <f aca="false">'Aturan &amp; Tarif'!$B$6</f>
        <v>350</v>
      </c>
      <c r="M92" s="35" t="n">
        <f aca="false">I92+J92+K92+L92</f>
        <v>22937.44</v>
      </c>
      <c r="N92" s="37" t="s">
        <v>318</v>
      </c>
    </row>
    <row r="93" customFormat="false" ht="25.5" hidden="false" customHeight="true" outlineLevel="0" collapsed="false">
      <c r="A93" s="29"/>
      <c r="B93" s="30" t="s">
        <v>359</v>
      </c>
      <c r="C93" s="31" t="s">
        <v>191</v>
      </c>
      <c r="D93" s="31" t="s">
        <v>108</v>
      </c>
      <c r="E93" s="32" t="n">
        <v>8906</v>
      </c>
      <c r="F93" s="32"/>
      <c r="G93" s="32"/>
      <c r="H93" s="33" t="n">
        <v>2</v>
      </c>
      <c r="I93" s="34" t="n">
        <f aca="false">E93*H93+N(F93)+N(G93)</f>
        <v>17812</v>
      </c>
      <c r="J93" s="32" t="n">
        <f aca="false">ROUND(IFERROR(ROUND(IF(OR(ISNUMBER(SEARCH("week",C93)),ISNUMBER(SEARCH("minggu",C93))),IFERROR(_xlfn.NUMBERVALUE(SUBSTITUTE(LEFT(TRIM(C93),FIND(" ",TRIM(C93)&amp;" ")-1),",","."),"."),LEFT(SUBSTITUTE(LEFT(TRIM(C93),FIND(" ",TRIM(C93)&amp;" ")-1),",","."),FIND("/",SUBSTITUTE(LEFT(TRIM(C93),FIND(" ",TRIM(C93)&amp;" ")-1),",","."))-1)/MID(SUBSTITUTE(LEFT(TRIM(C93),FIND(" ",TRIM(C93)&amp;" ")-1),",","."),FIND("/",SUBSTITUTE(LEFT(TRIM(C93),FIND(" ",TRIM(C93)&amp;" ")-1),",","."))+1,9))*12/52,IF(ISNUMBER(SEARCH("month",C93)),IFERROR(_xlfn.NUMBERVALUE(SUBSTITUTE(LEFT(TRIM(C93),FIND(" ",TRIM(C93)&amp;" ")-1),",","."),"."),LEFT(SUBSTITUTE(LEFT(TRIM(C93),FIND(" ",TRIM(C93)&amp;" ")-1),",","."),FIND("/",SUBSTITUTE(LEFT(TRIM(C93),FIND(" ",TRIM(C93)&amp;" ")-1),",","."))-1)/MID(SUBSTITUTE(LEFT(TRIM(C93),FIND(" ",TRIM(C93)&amp;" ")-1),",","."),FIND("/",SUBSTITUTE(LEFT(TRIM(C93),FIND(" ",TRIM(C93)&amp;" ")-1),",","."))+1,9)),IF(ISNUMBER(SEARCH("yea",C93)),IFERROR(_xlfn.NUMBERVALUE(SUBSTITUTE(LEFT(TRIM(C93),FIND(" ",TRIM(C93)&amp;" ")-1),",","."),"."),LEFT(SUBSTITUTE(LEFT(TRIM(C93),FIND(" ",TRIM(C93)&amp;" ")-1),",","."),FIND("/",SUBSTITUTE(LEFT(TRIM(C93),FIND(" ",TRIM(C93)&amp;" ")-1),",","."))-1)/MID(SUBSTITUTE(LEFT(TRIM(C93),FIND(" ",TRIM(C93)&amp;" ")-1),",","."),FIND("/",SUBSTITUTE(LEFT(TRIM(C93),FIND(" ",TRIM(C93)&amp;" ")-1),",","."))+1,9))*12,NA()))),0),48)*'Aturan &amp; Tarif'!$B$4,2)</f>
        <v>2725.44</v>
      </c>
      <c r="K93" s="32" t="n">
        <f aca="false">'Aturan &amp; Tarif'!$B$5</f>
        <v>2050</v>
      </c>
      <c r="L93" s="32" t="n">
        <f aca="false">'Aturan &amp; Tarif'!$B$6</f>
        <v>350</v>
      </c>
      <c r="M93" s="35" t="n">
        <f aca="false">I93+J93+K93+L93</f>
        <v>22937.44</v>
      </c>
      <c r="N93" s="37" t="s">
        <v>318</v>
      </c>
    </row>
    <row r="94" customFormat="false" ht="14.25" hidden="false" customHeight="true" outlineLevel="0" collapsed="false">
      <c r="A94" s="29"/>
      <c r="B94" s="30" t="s">
        <v>360</v>
      </c>
      <c r="C94" s="31" t="s">
        <v>191</v>
      </c>
      <c r="D94" s="31" t="s">
        <v>108</v>
      </c>
      <c r="E94" s="32" t="n">
        <v>8906</v>
      </c>
      <c r="F94" s="32"/>
      <c r="G94" s="32"/>
      <c r="H94" s="33" t="n">
        <v>2</v>
      </c>
      <c r="I94" s="34" t="n">
        <f aca="false">E94*H94+N(F94)+N(G94)</f>
        <v>17812</v>
      </c>
      <c r="J94" s="32" t="n">
        <f aca="false">ROUND(IFERROR(ROUND(IF(OR(ISNUMBER(SEARCH("week",C94)),ISNUMBER(SEARCH("minggu",C94))),IFERROR(_xlfn.NUMBERVALUE(SUBSTITUTE(LEFT(TRIM(C94),FIND(" ",TRIM(C94)&amp;" ")-1),",","."),"."),LEFT(SUBSTITUTE(LEFT(TRIM(C94),FIND(" ",TRIM(C94)&amp;" ")-1),",","."),FIND("/",SUBSTITUTE(LEFT(TRIM(C94),FIND(" ",TRIM(C94)&amp;" ")-1),",","."))-1)/MID(SUBSTITUTE(LEFT(TRIM(C94),FIND(" ",TRIM(C94)&amp;" ")-1),",","."),FIND("/",SUBSTITUTE(LEFT(TRIM(C94),FIND(" ",TRIM(C94)&amp;" ")-1),",","."))+1,9))*12/52,IF(ISNUMBER(SEARCH("month",C94)),IFERROR(_xlfn.NUMBERVALUE(SUBSTITUTE(LEFT(TRIM(C94),FIND(" ",TRIM(C94)&amp;" ")-1),",","."),"."),LEFT(SUBSTITUTE(LEFT(TRIM(C94),FIND(" ",TRIM(C94)&amp;" ")-1),",","."),FIND("/",SUBSTITUTE(LEFT(TRIM(C94),FIND(" ",TRIM(C94)&amp;" ")-1),",","."))-1)/MID(SUBSTITUTE(LEFT(TRIM(C94),FIND(" ",TRIM(C94)&amp;" ")-1),",","."),FIND("/",SUBSTITUTE(LEFT(TRIM(C94),FIND(" ",TRIM(C94)&amp;" ")-1),",","."))+1,9)),IF(ISNUMBER(SEARCH("yea",C94)),IFERROR(_xlfn.NUMBERVALUE(SUBSTITUTE(LEFT(TRIM(C94),FIND(" ",TRIM(C94)&amp;" ")-1),",","."),"."),LEFT(SUBSTITUTE(LEFT(TRIM(C94),FIND(" ",TRIM(C94)&amp;" ")-1),",","."),FIND("/",SUBSTITUTE(LEFT(TRIM(C94),FIND(" ",TRIM(C94)&amp;" ")-1),",","."))-1)/MID(SUBSTITUTE(LEFT(TRIM(C94),FIND(" ",TRIM(C94)&amp;" ")-1),",","."),FIND("/",SUBSTITUTE(LEFT(TRIM(C94),FIND(" ",TRIM(C94)&amp;" ")-1),",","."))+1,9))*12,NA()))),0),48)*'Aturan &amp; Tarif'!$B$4,2)</f>
        <v>2725.44</v>
      </c>
      <c r="K94" s="32" t="n">
        <f aca="false">'Aturan &amp; Tarif'!$B$5</f>
        <v>2050</v>
      </c>
      <c r="L94" s="32" t="n">
        <f aca="false">'Aturan &amp; Tarif'!$B$6</f>
        <v>350</v>
      </c>
      <c r="M94" s="35" t="n">
        <f aca="false">I94+J94+K94+L94</f>
        <v>22937.44</v>
      </c>
      <c r="N94" s="37" t="s">
        <v>318</v>
      </c>
    </row>
    <row r="95" customFormat="false" ht="25.5" hidden="false" customHeight="true" outlineLevel="0" collapsed="false">
      <c r="A95" s="29"/>
      <c r="B95" s="30" t="s">
        <v>361</v>
      </c>
      <c r="C95" s="31" t="s">
        <v>191</v>
      </c>
      <c r="D95" s="31" t="s">
        <v>108</v>
      </c>
      <c r="E95" s="32" t="n">
        <v>8906</v>
      </c>
      <c r="F95" s="32"/>
      <c r="G95" s="32"/>
      <c r="H95" s="33" t="n">
        <v>2</v>
      </c>
      <c r="I95" s="34" t="n">
        <f aca="false">E95*H95+N(F95)+N(G95)</f>
        <v>17812</v>
      </c>
      <c r="J95" s="32" t="n">
        <f aca="false">ROUND(IFERROR(ROUND(IF(OR(ISNUMBER(SEARCH("week",C95)),ISNUMBER(SEARCH("minggu",C95))),IFERROR(_xlfn.NUMBERVALUE(SUBSTITUTE(LEFT(TRIM(C95),FIND(" ",TRIM(C95)&amp;" ")-1),",","."),"."),LEFT(SUBSTITUTE(LEFT(TRIM(C95),FIND(" ",TRIM(C95)&amp;" ")-1),",","."),FIND("/",SUBSTITUTE(LEFT(TRIM(C95),FIND(" ",TRIM(C95)&amp;" ")-1),",","."))-1)/MID(SUBSTITUTE(LEFT(TRIM(C95),FIND(" ",TRIM(C95)&amp;" ")-1),",","."),FIND("/",SUBSTITUTE(LEFT(TRIM(C95),FIND(" ",TRIM(C95)&amp;" ")-1),",","."))+1,9))*12/52,IF(ISNUMBER(SEARCH("month",C95)),IFERROR(_xlfn.NUMBERVALUE(SUBSTITUTE(LEFT(TRIM(C95),FIND(" ",TRIM(C95)&amp;" ")-1),",","."),"."),LEFT(SUBSTITUTE(LEFT(TRIM(C95),FIND(" ",TRIM(C95)&amp;" ")-1),",","."),FIND("/",SUBSTITUTE(LEFT(TRIM(C95),FIND(" ",TRIM(C95)&amp;" ")-1),",","."))-1)/MID(SUBSTITUTE(LEFT(TRIM(C95),FIND(" ",TRIM(C95)&amp;" ")-1),",","."),FIND("/",SUBSTITUTE(LEFT(TRIM(C95),FIND(" ",TRIM(C95)&amp;" ")-1),",","."))+1,9)),IF(ISNUMBER(SEARCH("yea",C95)),IFERROR(_xlfn.NUMBERVALUE(SUBSTITUTE(LEFT(TRIM(C95),FIND(" ",TRIM(C95)&amp;" ")-1),",","."),"."),LEFT(SUBSTITUTE(LEFT(TRIM(C95),FIND(" ",TRIM(C95)&amp;" ")-1),",","."),FIND("/",SUBSTITUTE(LEFT(TRIM(C95),FIND(" ",TRIM(C95)&amp;" ")-1),",","."))-1)/MID(SUBSTITUTE(LEFT(TRIM(C95),FIND(" ",TRIM(C95)&amp;" ")-1),",","."),FIND("/",SUBSTITUTE(LEFT(TRIM(C95),FIND(" ",TRIM(C95)&amp;" ")-1),",","."))+1,9))*12,NA()))),0),48)*'Aturan &amp; Tarif'!$B$4,2)</f>
        <v>2725.44</v>
      </c>
      <c r="K95" s="32" t="n">
        <f aca="false">'Aturan &amp; Tarif'!$B$5</f>
        <v>2050</v>
      </c>
      <c r="L95" s="32" t="n">
        <f aca="false">'Aturan &amp; Tarif'!$B$6</f>
        <v>350</v>
      </c>
      <c r="M95" s="35" t="n">
        <f aca="false">I95+J95+K95+L95</f>
        <v>22937.44</v>
      </c>
      <c r="N95" s="37" t="s">
        <v>318</v>
      </c>
    </row>
    <row r="96" customFormat="false" ht="37.5" hidden="false" customHeight="true" outlineLevel="0" collapsed="false">
      <c r="A96" s="29"/>
      <c r="B96" s="30" t="s">
        <v>362</v>
      </c>
      <c r="C96" s="31" t="s">
        <v>191</v>
      </c>
      <c r="D96" s="31" t="s">
        <v>108</v>
      </c>
      <c r="E96" s="32" t="n">
        <v>8906</v>
      </c>
      <c r="F96" s="32"/>
      <c r="G96" s="32"/>
      <c r="H96" s="33" t="n">
        <v>2</v>
      </c>
      <c r="I96" s="34" t="n">
        <f aca="false">E96*H96+N(F96)+N(G96)</f>
        <v>17812</v>
      </c>
      <c r="J96" s="32" t="n">
        <f aca="false">ROUND(IFERROR(ROUND(IF(OR(ISNUMBER(SEARCH("week",C96)),ISNUMBER(SEARCH("minggu",C96))),IFERROR(_xlfn.NUMBERVALUE(SUBSTITUTE(LEFT(TRIM(C96),FIND(" ",TRIM(C96)&amp;" ")-1),",","."),"."),LEFT(SUBSTITUTE(LEFT(TRIM(C96),FIND(" ",TRIM(C96)&amp;" ")-1),",","."),FIND("/",SUBSTITUTE(LEFT(TRIM(C96),FIND(" ",TRIM(C96)&amp;" ")-1),",","."))-1)/MID(SUBSTITUTE(LEFT(TRIM(C96),FIND(" ",TRIM(C96)&amp;" ")-1),",","."),FIND("/",SUBSTITUTE(LEFT(TRIM(C96),FIND(" ",TRIM(C96)&amp;" ")-1),",","."))+1,9))*12/52,IF(ISNUMBER(SEARCH("month",C96)),IFERROR(_xlfn.NUMBERVALUE(SUBSTITUTE(LEFT(TRIM(C96),FIND(" ",TRIM(C96)&amp;" ")-1),",","."),"."),LEFT(SUBSTITUTE(LEFT(TRIM(C96),FIND(" ",TRIM(C96)&amp;" ")-1),",","."),FIND("/",SUBSTITUTE(LEFT(TRIM(C96),FIND(" ",TRIM(C96)&amp;" ")-1),",","."))-1)/MID(SUBSTITUTE(LEFT(TRIM(C96),FIND(" ",TRIM(C96)&amp;" ")-1),",","."),FIND("/",SUBSTITUTE(LEFT(TRIM(C96),FIND(" ",TRIM(C96)&amp;" ")-1),",","."))+1,9)),IF(ISNUMBER(SEARCH("yea",C96)),IFERROR(_xlfn.NUMBERVALUE(SUBSTITUTE(LEFT(TRIM(C96),FIND(" ",TRIM(C96)&amp;" ")-1),",","."),"."),LEFT(SUBSTITUTE(LEFT(TRIM(C96),FIND(" ",TRIM(C96)&amp;" ")-1),",","."),FIND("/",SUBSTITUTE(LEFT(TRIM(C96),FIND(" ",TRIM(C96)&amp;" ")-1),",","."))-1)/MID(SUBSTITUTE(LEFT(TRIM(C96),FIND(" ",TRIM(C96)&amp;" ")-1),",","."),FIND("/",SUBSTITUTE(LEFT(TRIM(C96),FIND(" ",TRIM(C96)&amp;" ")-1),",","."))+1,9))*12,NA()))),0),48)*'Aturan &amp; Tarif'!$B$4,2)</f>
        <v>2725.44</v>
      </c>
      <c r="K96" s="32" t="n">
        <f aca="false">'Aturan &amp; Tarif'!$B$5</f>
        <v>2050</v>
      </c>
      <c r="L96" s="32" t="n">
        <f aca="false">'Aturan &amp; Tarif'!$B$6</f>
        <v>350</v>
      </c>
      <c r="M96" s="35" t="n">
        <f aca="false">I96+J96+K96+L96</f>
        <v>22937.44</v>
      </c>
      <c r="N96" s="37" t="s">
        <v>318</v>
      </c>
    </row>
    <row r="97" customFormat="false" ht="25.5" hidden="false" customHeight="true" outlineLevel="0" collapsed="false">
      <c r="A97" s="29"/>
      <c r="B97" s="30" t="s">
        <v>363</v>
      </c>
      <c r="C97" s="31" t="s">
        <v>191</v>
      </c>
      <c r="D97" s="31" t="s">
        <v>108</v>
      </c>
      <c r="E97" s="32" t="n">
        <v>8906</v>
      </c>
      <c r="F97" s="32"/>
      <c r="G97" s="32"/>
      <c r="H97" s="33" t="n">
        <v>2</v>
      </c>
      <c r="I97" s="34" t="n">
        <f aca="false">E97*H97+N(F97)+N(G97)</f>
        <v>17812</v>
      </c>
      <c r="J97" s="32" t="n">
        <f aca="false">ROUND(IFERROR(ROUND(IF(OR(ISNUMBER(SEARCH("week",C97)),ISNUMBER(SEARCH("minggu",C97))),IFERROR(_xlfn.NUMBERVALUE(SUBSTITUTE(LEFT(TRIM(C97),FIND(" ",TRIM(C97)&amp;" ")-1),",","."),"."),LEFT(SUBSTITUTE(LEFT(TRIM(C97),FIND(" ",TRIM(C97)&amp;" ")-1),",","."),FIND("/",SUBSTITUTE(LEFT(TRIM(C97),FIND(" ",TRIM(C97)&amp;" ")-1),",","."))-1)/MID(SUBSTITUTE(LEFT(TRIM(C97),FIND(" ",TRIM(C97)&amp;" ")-1),",","."),FIND("/",SUBSTITUTE(LEFT(TRIM(C97),FIND(" ",TRIM(C97)&amp;" ")-1),",","."))+1,9))*12/52,IF(ISNUMBER(SEARCH("month",C97)),IFERROR(_xlfn.NUMBERVALUE(SUBSTITUTE(LEFT(TRIM(C97),FIND(" ",TRIM(C97)&amp;" ")-1),",","."),"."),LEFT(SUBSTITUTE(LEFT(TRIM(C97),FIND(" ",TRIM(C97)&amp;" ")-1),",","."),FIND("/",SUBSTITUTE(LEFT(TRIM(C97),FIND(" ",TRIM(C97)&amp;" ")-1),",","."))-1)/MID(SUBSTITUTE(LEFT(TRIM(C97),FIND(" ",TRIM(C97)&amp;" ")-1),",","."),FIND("/",SUBSTITUTE(LEFT(TRIM(C97),FIND(" ",TRIM(C97)&amp;" ")-1),",","."))+1,9)),IF(ISNUMBER(SEARCH("yea",C97)),IFERROR(_xlfn.NUMBERVALUE(SUBSTITUTE(LEFT(TRIM(C97),FIND(" ",TRIM(C97)&amp;" ")-1),",","."),"."),LEFT(SUBSTITUTE(LEFT(TRIM(C97),FIND(" ",TRIM(C97)&amp;" ")-1),",","."),FIND("/",SUBSTITUTE(LEFT(TRIM(C97),FIND(" ",TRIM(C97)&amp;" ")-1),",","."))-1)/MID(SUBSTITUTE(LEFT(TRIM(C97),FIND(" ",TRIM(C97)&amp;" ")-1),",","."),FIND("/",SUBSTITUTE(LEFT(TRIM(C97),FIND(" ",TRIM(C97)&amp;" ")-1),",","."))+1,9))*12,NA()))),0),48)*'Aturan &amp; Tarif'!$B$4,2)</f>
        <v>2725.44</v>
      </c>
      <c r="K97" s="32" t="n">
        <f aca="false">'Aturan &amp; Tarif'!$B$5</f>
        <v>2050</v>
      </c>
      <c r="L97" s="32" t="n">
        <f aca="false">'Aturan &amp; Tarif'!$B$6</f>
        <v>350</v>
      </c>
      <c r="M97" s="35" t="n">
        <f aca="false">I97+J97+K97+L97</f>
        <v>22937.44</v>
      </c>
      <c r="N97" s="37" t="s">
        <v>318</v>
      </c>
    </row>
    <row r="98" customFormat="false" ht="25.5" hidden="false" customHeight="true" outlineLevel="0" collapsed="false">
      <c r="A98" s="29"/>
      <c r="B98" s="30" t="s">
        <v>364</v>
      </c>
      <c r="C98" s="31" t="s">
        <v>191</v>
      </c>
      <c r="D98" s="31" t="s">
        <v>108</v>
      </c>
      <c r="E98" s="32" t="n">
        <v>8906</v>
      </c>
      <c r="F98" s="32"/>
      <c r="G98" s="32"/>
      <c r="H98" s="33" t="n">
        <v>2</v>
      </c>
      <c r="I98" s="34" t="n">
        <f aca="false">E98*H98+N(F98)+N(G98)</f>
        <v>17812</v>
      </c>
      <c r="J98" s="32" t="n">
        <f aca="false">ROUND(IFERROR(ROUND(IF(OR(ISNUMBER(SEARCH("week",C98)),ISNUMBER(SEARCH("minggu",C98))),IFERROR(_xlfn.NUMBERVALUE(SUBSTITUTE(LEFT(TRIM(C98),FIND(" ",TRIM(C98)&amp;" ")-1),",","."),"."),LEFT(SUBSTITUTE(LEFT(TRIM(C98),FIND(" ",TRIM(C98)&amp;" ")-1),",","."),FIND("/",SUBSTITUTE(LEFT(TRIM(C98),FIND(" ",TRIM(C98)&amp;" ")-1),",","."))-1)/MID(SUBSTITUTE(LEFT(TRIM(C98),FIND(" ",TRIM(C98)&amp;" ")-1),",","."),FIND("/",SUBSTITUTE(LEFT(TRIM(C98),FIND(" ",TRIM(C98)&amp;" ")-1),",","."))+1,9))*12/52,IF(ISNUMBER(SEARCH("month",C98)),IFERROR(_xlfn.NUMBERVALUE(SUBSTITUTE(LEFT(TRIM(C98),FIND(" ",TRIM(C98)&amp;" ")-1),",","."),"."),LEFT(SUBSTITUTE(LEFT(TRIM(C98),FIND(" ",TRIM(C98)&amp;" ")-1),",","."),FIND("/",SUBSTITUTE(LEFT(TRIM(C98),FIND(" ",TRIM(C98)&amp;" ")-1),",","."))-1)/MID(SUBSTITUTE(LEFT(TRIM(C98),FIND(" ",TRIM(C98)&amp;" ")-1),",","."),FIND("/",SUBSTITUTE(LEFT(TRIM(C98),FIND(" ",TRIM(C98)&amp;" ")-1),",","."))+1,9)),IF(ISNUMBER(SEARCH("yea",C98)),IFERROR(_xlfn.NUMBERVALUE(SUBSTITUTE(LEFT(TRIM(C98),FIND(" ",TRIM(C98)&amp;" ")-1),",","."),"."),LEFT(SUBSTITUTE(LEFT(TRIM(C98),FIND(" ",TRIM(C98)&amp;" ")-1),",","."),FIND("/",SUBSTITUTE(LEFT(TRIM(C98),FIND(" ",TRIM(C98)&amp;" ")-1),",","."))-1)/MID(SUBSTITUTE(LEFT(TRIM(C98),FIND(" ",TRIM(C98)&amp;" ")-1),",","."),FIND("/",SUBSTITUTE(LEFT(TRIM(C98),FIND(" ",TRIM(C98)&amp;" ")-1),",","."))+1,9))*12,NA()))),0),48)*'Aturan &amp; Tarif'!$B$4,2)</f>
        <v>2725.44</v>
      </c>
      <c r="K98" s="32" t="n">
        <f aca="false">'Aturan &amp; Tarif'!$B$5</f>
        <v>2050</v>
      </c>
      <c r="L98" s="32" t="n">
        <f aca="false">'Aturan &amp; Tarif'!$B$6</f>
        <v>350</v>
      </c>
      <c r="M98" s="35" t="n">
        <f aca="false">I98+J98+K98+L98</f>
        <v>22937.44</v>
      </c>
      <c r="N98" s="37" t="s">
        <v>318</v>
      </c>
    </row>
    <row r="99" customFormat="false" ht="25.5" hidden="false" customHeight="true" outlineLevel="0" collapsed="false">
      <c r="A99" s="29"/>
      <c r="B99" s="30" t="s">
        <v>365</v>
      </c>
      <c r="C99" s="31" t="s">
        <v>191</v>
      </c>
      <c r="D99" s="31" t="s">
        <v>108</v>
      </c>
      <c r="E99" s="32" t="n">
        <v>8906</v>
      </c>
      <c r="F99" s="32"/>
      <c r="G99" s="32"/>
      <c r="H99" s="33" t="n">
        <v>2</v>
      </c>
      <c r="I99" s="34" t="n">
        <f aca="false">E99*H99+N(F99)+N(G99)</f>
        <v>17812</v>
      </c>
      <c r="J99" s="32" t="n">
        <f aca="false">ROUND(IFERROR(ROUND(IF(OR(ISNUMBER(SEARCH("week",C99)),ISNUMBER(SEARCH("minggu",C99))),IFERROR(_xlfn.NUMBERVALUE(SUBSTITUTE(LEFT(TRIM(C99),FIND(" ",TRIM(C99)&amp;" ")-1),",","."),"."),LEFT(SUBSTITUTE(LEFT(TRIM(C99),FIND(" ",TRIM(C99)&amp;" ")-1),",","."),FIND("/",SUBSTITUTE(LEFT(TRIM(C99),FIND(" ",TRIM(C99)&amp;" ")-1),",","."))-1)/MID(SUBSTITUTE(LEFT(TRIM(C99),FIND(" ",TRIM(C99)&amp;" ")-1),",","."),FIND("/",SUBSTITUTE(LEFT(TRIM(C99),FIND(" ",TRIM(C99)&amp;" ")-1),",","."))+1,9))*12/52,IF(ISNUMBER(SEARCH("month",C99)),IFERROR(_xlfn.NUMBERVALUE(SUBSTITUTE(LEFT(TRIM(C99),FIND(" ",TRIM(C99)&amp;" ")-1),",","."),"."),LEFT(SUBSTITUTE(LEFT(TRIM(C99),FIND(" ",TRIM(C99)&amp;" ")-1),",","."),FIND("/",SUBSTITUTE(LEFT(TRIM(C99),FIND(" ",TRIM(C99)&amp;" ")-1),",","."))-1)/MID(SUBSTITUTE(LEFT(TRIM(C99),FIND(" ",TRIM(C99)&amp;" ")-1),",","."),FIND("/",SUBSTITUTE(LEFT(TRIM(C99),FIND(" ",TRIM(C99)&amp;" ")-1),",","."))+1,9)),IF(ISNUMBER(SEARCH("yea",C99)),IFERROR(_xlfn.NUMBERVALUE(SUBSTITUTE(LEFT(TRIM(C99),FIND(" ",TRIM(C99)&amp;" ")-1),",","."),"."),LEFT(SUBSTITUTE(LEFT(TRIM(C99),FIND(" ",TRIM(C99)&amp;" ")-1),",","."),FIND("/",SUBSTITUTE(LEFT(TRIM(C99),FIND(" ",TRIM(C99)&amp;" ")-1),",","."))-1)/MID(SUBSTITUTE(LEFT(TRIM(C99),FIND(" ",TRIM(C99)&amp;" ")-1),",","."),FIND("/",SUBSTITUTE(LEFT(TRIM(C99),FIND(" ",TRIM(C99)&amp;" ")-1),",","."))+1,9))*12,NA()))),0),48)*'Aturan &amp; Tarif'!$B$4,2)</f>
        <v>2725.44</v>
      </c>
      <c r="K99" s="32" t="n">
        <f aca="false">'Aturan &amp; Tarif'!$B$5</f>
        <v>2050</v>
      </c>
      <c r="L99" s="32" t="n">
        <f aca="false">'Aturan &amp; Tarif'!$B$6</f>
        <v>350</v>
      </c>
      <c r="M99" s="35" t="n">
        <f aca="false">I99+J99+K99+L99</f>
        <v>22937.44</v>
      </c>
      <c r="N99" s="37" t="s">
        <v>318</v>
      </c>
    </row>
    <row r="100" customFormat="false" ht="25.5" hidden="false" customHeight="true" outlineLevel="0" collapsed="false">
      <c r="A100" s="29"/>
      <c r="B100" s="30" t="s">
        <v>366</v>
      </c>
      <c r="C100" s="31" t="s">
        <v>191</v>
      </c>
      <c r="D100" s="31" t="s">
        <v>108</v>
      </c>
      <c r="E100" s="32" t="n">
        <v>8906</v>
      </c>
      <c r="F100" s="32"/>
      <c r="G100" s="32"/>
      <c r="H100" s="33" t="n">
        <v>2</v>
      </c>
      <c r="I100" s="34" t="n">
        <f aca="false">E100*H100+N(F100)+N(G100)</f>
        <v>17812</v>
      </c>
      <c r="J100" s="32" t="n">
        <f aca="false">ROUND(IFERROR(ROUND(IF(OR(ISNUMBER(SEARCH("week",C100)),ISNUMBER(SEARCH("minggu",C100))),IFERROR(_xlfn.NUMBERVALUE(SUBSTITUTE(LEFT(TRIM(C100),FIND(" ",TRIM(C100)&amp;" ")-1),",","."),"."),LEFT(SUBSTITUTE(LEFT(TRIM(C100),FIND(" ",TRIM(C100)&amp;" ")-1),",","."),FIND("/",SUBSTITUTE(LEFT(TRIM(C100),FIND(" ",TRIM(C100)&amp;" ")-1),",","."))-1)/MID(SUBSTITUTE(LEFT(TRIM(C100),FIND(" ",TRIM(C100)&amp;" ")-1),",","."),FIND("/",SUBSTITUTE(LEFT(TRIM(C100),FIND(" ",TRIM(C100)&amp;" ")-1),",","."))+1,9))*12/52,IF(ISNUMBER(SEARCH("month",C100)),IFERROR(_xlfn.NUMBERVALUE(SUBSTITUTE(LEFT(TRIM(C100),FIND(" ",TRIM(C100)&amp;" ")-1),",","."),"."),LEFT(SUBSTITUTE(LEFT(TRIM(C100),FIND(" ",TRIM(C100)&amp;" ")-1),",","."),FIND("/",SUBSTITUTE(LEFT(TRIM(C100),FIND(" ",TRIM(C100)&amp;" ")-1),",","."))-1)/MID(SUBSTITUTE(LEFT(TRIM(C100),FIND(" ",TRIM(C100)&amp;" ")-1),",","."),FIND("/",SUBSTITUTE(LEFT(TRIM(C100),FIND(" ",TRIM(C100)&amp;" ")-1),",","."))+1,9)),IF(ISNUMBER(SEARCH("yea",C100)),IFERROR(_xlfn.NUMBERVALUE(SUBSTITUTE(LEFT(TRIM(C100),FIND(" ",TRIM(C100)&amp;" ")-1),",","."),"."),LEFT(SUBSTITUTE(LEFT(TRIM(C100),FIND(" ",TRIM(C100)&amp;" ")-1),",","."),FIND("/",SUBSTITUTE(LEFT(TRIM(C100),FIND(" ",TRIM(C100)&amp;" ")-1),",","."))-1)/MID(SUBSTITUTE(LEFT(TRIM(C100),FIND(" ",TRIM(C100)&amp;" ")-1),",","."),FIND("/",SUBSTITUTE(LEFT(TRIM(C100),FIND(" ",TRIM(C100)&amp;" ")-1),",","."))+1,9))*12,NA()))),0),48)*'Aturan &amp; Tarif'!$B$4,2)</f>
        <v>2725.44</v>
      </c>
      <c r="K100" s="32" t="n">
        <f aca="false">'Aturan &amp; Tarif'!$B$5</f>
        <v>2050</v>
      </c>
      <c r="L100" s="32" t="n">
        <f aca="false">'Aturan &amp; Tarif'!$B$6</f>
        <v>350</v>
      </c>
      <c r="M100" s="35" t="n">
        <f aca="false">I100+J100+K100+L100</f>
        <v>22937.44</v>
      </c>
      <c r="N100" s="37" t="s">
        <v>318</v>
      </c>
    </row>
    <row r="101" customFormat="false" ht="14.25" hidden="false" customHeight="true" outlineLevel="0" collapsed="false">
      <c r="A101" s="29"/>
      <c r="B101" s="30" t="s">
        <v>367</v>
      </c>
      <c r="C101" s="31" t="s">
        <v>127</v>
      </c>
      <c r="D101" s="31" t="s">
        <v>108</v>
      </c>
      <c r="E101" s="32" t="n">
        <v>8906</v>
      </c>
      <c r="F101" s="32"/>
      <c r="G101" s="32"/>
      <c r="H101" s="33" t="n">
        <v>2</v>
      </c>
      <c r="I101" s="34" t="n">
        <f aca="false">E101*H101+N(F101)+N(G101)</f>
        <v>17812</v>
      </c>
      <c r="J101" s="32" t="n">
        <f aca="false">ROUND(IFERROR(ROUND(IF(OR(ISNUMBER(SEARCH("week",C101)),ISNUMBER(SEARCH("minggu",C101))),IFERROR(_xlfn.NUMBERVALUE(SUBSTITUTE(LEFT(TRIM(C101),FIND(" ",TRIM(C101)&amp;" ")-1),",","."),"."),LEFT(SUBSTITUTE(LEFT(TRIM(C101),FIND(" ",TRIM(C101)&amp;" ")-1),",","."),FIND("/",SUBSTITUTE(LEFT(TRIM(C101),FIND(" ",TRIM(C101)&amp;" ")-1),",","."))-1)/MID(SUBSTITUTE(LEFT(TRIM(C101),FIND(" ",TRIM(C101)&amp;" ")-1),",","."),FIND("/",SUBSTITUTE(LEFT(TRIM(C101),FIND(" ",TRIM(C101)&amp;" ")-1),",","."))+1,9))*12/52,IF(ISNUMBER(SEARCH("month",C101)),IFERROR(_xlfn.NUMBERVALUE(SUBSTITUTE(LEFT(TRIM(C101),FIND(" ",TRIM(C101)&amp;" ")-1),",","."),"."),LEFT(SUBSTITUTE(LEFT(TRIM(C101),FIND(" ",TRIM(C101)&amp;" ")-1),",","."),FIND("/",SUBSTITUTE(LEFT(TRIM(C101),FIND(" ",TRIM(C101)&amp;" ")-1),",","."))-1)/MID(SUBSTITUTE(LEFT(TRIM(C101),FIND(" ",TRIM(C101)&amp;" ")-1),",","."),FIND("/",SUBSTITUTE(LEFT(TRIM(C101),FIND(" ",TRIM(C101)&amp;" ")-1),",","."))+1,9)),IF(ISNUMBER(SEARCH("yea",C101)),IFERROR(_xlfn.NUMBERVALUE(SUBSTITUTE(LEFT(TRIM(C101),FIND(" ",TRIM(C101)&amp;" ")-1),",","."),"."),LEFT(SUBSTITUTE(LEFT(TRIM(C101),FIND(" ",TRIM(C101)&amp;" ")-1),",","."),FIND("/",SUBSTITUTE(LEFT(TRIM(C101),FIND(" ",TRIM(C101)&amp;" ")-1),",","."))-1)/MID(SUBSTITUTE(LEFT(TRIM(C101),FIND(" ",TRIM(C101)&amp;" ")-1),",","."),FIND("/",SUBSTITUTE(LEFT(TRIM(C101),FIND(" ",TRIM(C101)&amp;" ")-1),",","."))+1,9))*12,NA()))),0),36)*'Aturan &amp; Tarif'!$B$4,2)</f>
        <v>2044.08</v>
      </c>
      <c r="K101" s="32" t="n">
        <f aca="false">'Aturan &amp; Tarif'!$B$5</f>
        <v>2050</v>
      </c>
      <c r="L101" s="32" t="n">
        <f aca="false">'Aturan &amp; Tarif'!$B$6</f>
        <v>350</v>
      </c>
      <c r="M101" s="35" t="n">
        <f aca="false">I101+J101+K101+L101</f>
        <v>22256.08</v>
      </c>
      <c r="N101" s="37" t="s">
        <v>318</v>
      </c>
    </row>
    <row r="102" customFormat="false" ht="25.5" hidden="false" customHeight="true" outlineLevel="0" collapsed="false">
      <c r="A102" s="29"/>
      <c r="B102" s="30" t="s">
        <v>368</v>
      </c>
      <c r="C102" s="31" t="s">
        <v>191</v>
      </c>
      <c r="D102" s="31" t="s">
        <v>108</v>
      </c>
      <c r="E102" s="32" t="n">
        <v>8906</v>
      </c>
      <c r="F102" s="32"/>
      <c r="G102" s="32"/>
      <c r="H102" s="33" t="n">
        <v>2</v>
      </c>
      <c r="I102" s="34" t="n">
        <f aca="false">E102*H102+N(F102)+N(G102)</f>
        <v>17812</v>
      </c>
      <c r="J102" s="32" t="n">
        <f aca="false">ROUND(IFERROR(ROUND(IF(OR(ISNUMBER(SEARCH("week",C102)),ISNUMBER(SEARCH("minggu",C102))),IFERROR(_xlfn.NUMBERVALUE(SUBSTITUTE(LEFT(TRIM(C102),FIND(" ",TRIM(C102)&amp;" ")-1),",","."),"."),LEFT(SUBSTITUTE(LEFT(TRIM(C102),FIND(" ",TRIM(C102)&amp;" ")-1),",","."),FIND("/",SUBSTITUTE(LEFT(TRIM(C102),FIND(" ",TRIM(C102)&amp;" ")-1),",","."))-1)/MID(SUBSTITUTE(LEFT(TRIM(C102),FIND(" ",TRIM(C102)&amp;" ")-1),",","."),FIND("/",SUBSTITUTE(LEFT(TRIM(C102),FIND(" ",TRIM(C102)&amp;" ")-1),",","."))+1,9))*12/52,IF(ISNUMBER(SEARCH("month",C102)),IFERROR(_xlfn.NUMBERVALUE(SUBSTITUTE(LEFT(TRIM(C102),FIND(" ",TRIM(C102)&amp;" ")-1),",","."),"."),LEFT(SUBSTITUTE(LEFT(TRIM(C102),FIND(" ",TRIM(C102)&amp;" ")-1),",","."),FIND("/",SUBSTITUTE(LEFT(TRIM(C102),FIND(" ",TRIM(C102)&amp;" ")-1),",","."))-1)/MID(SUBSTITUTE(LEFT(TRIM(C102),FIND(" ",TRIM(C102)&amp;" ")-1),",","."),FIND("/",SUBSTITUTE(LEFT(TRIM(C102),FIND(" ",TRIM(C102)&amp;" ")-1),",","."))+1,9)),IF(ISNUMBER(SEARCH("yea",C102)),IFERROR(_xlfn.NUMBERVALUE(SUBSTITUTE(LEFT(TRIM(C102),FIND(" ",TRIM(C102)&amp;" ")-1),",","."),"."),LEFT(SUBSTITUTE(LEFT(TRIM(C102),FIND(" ",TRIM(C102)&amp;" ")-1),",","."),FIND("/",SUBSTITUTE(LEFT(TRIM(C102),FIND(" ",TRIM(C102)&amp;" ")-1),",","."))-1)/MID(SUBSTITUTE(LEFT(TRIM(C102),FIND(" ",TRIM(C102)&amp;" ")-1),",","."),FIND("/",SUBSTITUTE(LEFT(TRIM(C102),FIND(" ",TRIM(C102)&amp;" ")-1),",","."))+1,9))*12,NA()))),0),48)*'Aturan &amp; Tarif'!$B$4,2)</f>
        <v>2725.44</v>
      </c>
      <c r="K102" s="32" t="n">
        <f aca="false">'Aturan &amp; Tarif'!$B$5</f>
        <v>2050</v>
      </c>
      <c r="L102" s="32" t="n">
        <f aca="false">'Aturan &amp; Tarif'!$B$6</f>
        <v>350</v>
      </c>
      <c r="M102" s="35" t="n">
        <f aca="false">I102+J102+K102+L102</f>
        <v>22937.44</v>
      </c>
      <c r="N102" s="37" t="s">
        <v>318</v>
      </c>
    </row>
    <row r="103" customFormat="false" ht="25.5" hidden="false" customHeight="true" outlineLevel="0" collapsed="false">
      <c r="A103" s="29"/>
      <c r="B103" s="30" t="s">
        <v>369</v>
      </c>
      <c r="C103" s="31" t="s">
        <v>191</v>
      </c>
      <c r="D103" s="31" t="s">
        <v>108</v>
      </c>
      <c r="E103" s="32" t="n">
        <v>8906</v>
      </c>
      <c r="F103" s="32"/>
      <c r="G103" s="32"/>
      <c r="H103" s="33" t="n">
        <v>2</v>
      </c>
      <c r="I103" s="34" t="n">
        <f aca="false">E103*H103+N(F103)+N(G103)</f>
        <v>17812</v>
      </c>
      <c r="J103" s="32" t="n">
        <f aca="false">ROUND(IFERROR(ROUND(IF(OR(ISNUMBER(SEARCH("week",C103)),ISNUMBER(SEARCH("minggu",C103))),IFERROR(_xlfn.NUMBERVALUE(SUBSTITUTE(LEFT(TRIM(C103),FIND(" ",TRIM(C103)&amp;" ")-1),",","."),"."),LEFT(SUBSTITUTE(LEFT(TRIM(C103),FIND(" ",TRIM(C103)&amp;" ")-1),",","."),FIND("/",SUBSTITUTE(LEFT(TRIM(C103),FIND(" ",TRIM(C103)&amp;" ")-1),",","."))-1)/MID(SUBSTITUTE(LEFT(TRIM(C103),FIND(" ",TRIM(C103)&amp;" ")-1),",","."),FIND("/",SUBSTITUTE(LEFT(TRIM(C103),FIND(" ",TRIM(C103)&amp;" ")-1),",","."))+1,9))*12/52,IF(ISNUMBER(SEARCH("month",C103)),IFERROR(_xlfn.NUMBERVALUE(SUBSTITUTE(LEFT(TRIM(C103),FIND(" ",TRIM(C103)&amp;" ")-1),",","."),"."),LEFT(SUBSTITUTE(LEFT(TRIM(C103),FIND(" ",TRIM(C103)&amp;" ")-1),",","."),FIND("/",SUBSTITUTE(LEFT(TRIM(C103),FIND(" ",TRIM(C103)&amp;" ")-1),",","."))-1)/MID(SUBSTITUTE(LEFT(TRIM(C103),FIND(" ",TRIM(C103)&amp;" ")-1),",","."),FIND("/",SUBSTITUTE(LEFT(TRIM(C103),FIND(" ",TRIM(C103)&amp;" ")-1),",","."))+1,9)),IF(ISNUMBER(SEARCH("yea",C103)),IFERROR(_xlfn.NUMBERVALUE(SUBSTITUTE(LEFT(TRIM(C103),FIND(" ",TRIM(C103)&amp;" ")-1),",","."),"."),LEFT(SUBSTITUTE(LEFT(TRIM(C103),FIND(" ",TRIM(C103)&amp;" ")-1),",","."),FIND("/",SUBSTITUTE(LEFT(TRIM(C103),FIND(" ",TRIM(C103)&amp;" ")-1),",","."))-1)/MID(SUBSTITUTE(LEFT(TRIM(C103),FIND(" ",TRIM(C103)&amp;" ")-1),",","."),FIND("/",SUBSTITUTE(LEFT(TRIM(C103),FIND(" ",TRIM(C103)&amp;" ")-1),",","."))+1,9))*12,NA()))),0),48)*'Aturan &amp; Tarif'!$B$4,2)</f>
        <v>2725.44</v>
      </c>
      <c r="K103" s="32" t="n">
        <f aca="false">'Aturan &amp; Tarif'!$B$5</f>
        <v>2050</v>
      </c>
      <c r="L103" s="32" t="n">
        <f aca="false">'Aturan &amp; Tarif'!$B$6</f>
        <v>350</v>
      </c>
      <c r="M103" s="35" t="n">
        <f aca="false">I103+J103+K103+L103</f>
        <v>22937.44</v>
      </c>
      <c r="N103" s="37" t="s">
        <v>318</v>
      </c>
    </row>
    <row r="104" customFormat="false" ht="25.5" hidden="false" customHeight="true" outlineLevel="0" collapsed="false">
      <c r="A104" s="29"/>
      <c r="B104" s="30" t="s">
        <v>370</v>
      </c>
      <c r="C104" s="31" t="s">
        <v>191</v>
      </c>
      <c r="D104" s="31" t="s">
        <v>108</v>
      </c>
      <c r="E104" s="32" t="n">
        <v>8906</v>
      </c>
      <c r="F104" s="32"/>
      <c r="G104" s="32"/>
      <c r="H104" s="33" t="n">
        <v>2</v>
      </c>
      <c r="I104" s="34" t="n">
        <f aca="false">E104*H104+N(F104)+N(G104)</f>
        <v>17812</v>
      </c>
      <c r="J104" s="32" t="n">
        <f aca="false">ROUND(IFERROR(ROUND(IF(OR(ISNUMBER(SEARCH("week",C104)),ISNUMBER(SEARCH("minggu",C104))),IFERROR(_xlfn.NUMBERVALUE(SUBSTITUTE(LEFT(TRIM(C104),FIND(" ",TRIM(C104)&amp;" ")-1),",","."),"."),LEFT(SUBSTITUTE(LEFT(TRIM(C104),FIND(" ",TRIM(C104)&amp;" ")-1),",","."),FIND("/",SUBSTITUTE(LEFT(TRIM(C104),FIND(" ",TRIM(C104)&amp;" ")-1),",","."))-1)/MID(SUBSTITUTE(LEFT(TRIM(C104),FIND(" ",TRIM(C104)&amp;" ")-1),",","."),FIND("/",SUBSTITUTE(LEFT(TRIM(C104),FIND(" ",TRIM(C104)&amp;" ")-1),",","."))+1,9))*12/52,IF(ISNUMBER(SEARCH("month",C104)),IFERROR(_xlfn.NUMBERVALUE(SUBSTITUTE(LEFT(TRIM(C104),FIND(" ",TRIM(C104)&amp;" ")-1),",","."),"."),LEFT(SUBSTITUTE(LEFT(TRIM(C104),FIND(" ",TRIM(C104)&amp;" ")-1),",","."),FIND("/",SUBSTITUTE(LEFT(TRIM(C104),FIND(" ",TRIM(C104)&amp;" ")-1),",","."))-1)/MID(SUBSTITUTE(LEFT(TRIM(C104),FIND(" ",TRIM(C104)&amp;" ")-1),",","."),FIND("/",SUBSTITUTE(LEFT(TRIM(C104),FIND(" ",TRIM(C104)&amp;" ")-1),",","."))+1,9)),IF(ISNUMBER(SEARCH("yea",C104)),IFERROR(_xlfn.NUMBERVALUE(SUBSTITUTE(LEFT(TRIM(C104),FIND(" ",TRIM(C104)&amp;" ")-1),",","."),"."),LEFT(SUBSTITUTE(LEFT(TRIM(C104),FIND(" ",TRIM(C104)&amp;" ")-1),",","."),FIND("/",SUBSTITUTE(LEFT(TRIM(C104),FIND(" ",TRIM(C104)&amp;" ")-1),",","."))-1)/MID(SUBSTITUTE(LEFT(TRIM(C104),FIND(" ",TRIM(C104)&amp;" ")-1),",","."),FIND("/",SUBSTITUTE(LEFT(TRIM(C104),FIND(" ",TRIM(C104)&amp;" ")-1),",","."))+1,9))*12,NA()))),0),48)*'Aturan &amp; Tarif'!$B$4,2)</f>
        <v>2725.44</v>
      </c>
      <c r="K104" s="32" t="n">
        <f aca="false">'Aturan &amp; Tarif'!$B$5</f>
        <v>2050</v>
      </c>
      <c r="L104" s="32" t="n">
        <f aca="false">'Aturan &amp; Tarif'!$B$6</f>
        <v>350</v>
      </c>
      <c r="M104" s="35" t="n">
        <f aca="false">I104+J104+K104+L104</f>
        <v>22937.44</v>
      </c>
      <c r="N104" s="37" t="s">
        <v>318</v>
      </c>
    </row>
    <row r="105" customFormat="false" ht="14.25" hidden="false" customHeight="true" outlineLevel="0" collapsed="false">
      <c r="A105" s="29"/>
      <c r="B105" s="30" t="s">
        <v>371</v>
      </c>
      <c r="C105" s="31" t="s">
        <v>127</v>
      </c>
      <c r="D105" s="31" t="s">
        <v>108</v>
      </c>
      <c r="E105" s="32" t="n">
        <v>8906</v>
      </c>
      <c r="F105" s="32"/>
      <c r="G105" s="32"/>
      <c r="H105" s="33" t="n">
        <v>2</v>
      </c>
      <c r="I105" s="34" t="n">
        <f aca="false">E105*H105+N(F105)+N(G105)</f>
        <v>17812</v>
      </c>
      <c r="J105" s="32" t="n">
        <f aca="false">ROUND(IFERROR(ROUND(IF(OR(ISNUMBER(SEARCH("week",C105)),ISNUMBER(SEARCH("minggu",C105))),IFERROR(_xlfn.NUMBERVALUE(SUBSTITUTE(LEFT(TRIM(C105),FIND(" ",TRIM(C105)&amp;" ")-1),",","."),"."),LEFT(SUBSTITUTE(LEFT(TRIM(C105),FIND(" ",TRIM(C105)&amp;" ")-1),",","."),FIND("/",SUBSTITUTE(LEFT(TRIM(C105),FIND(" ",TRIM(C105)&amp;" ")-1),",","."))-1)/MID(SUBSTITUTE(LEFT(TRIM(C105),FIND(" ",TRIM(C105)&amp;" ")-1),",","."),FIND("/",SUBSTITUTE(LEFT(TRIM(C105),FIND(" ",TRIM(C105)&amp;" ")-1),",","."))+1,9))*12/52,IF(ISNUMBER(SEARCH("month",C105)),IFERROR(_xlfn.NUMBERVALUE(SUBSTITUTE(LEFT(TRIM(C105),FIND(" ",TRIM(C105)&amp;" ")-1),",","."),"."),LEFT(SUBSTITUTE(LEFT(TRIM(C105),FIND(" ",TRIM(C105)&amp;" ")-1),",","."),FIND("/",SUBSTITUTE(LEFT(TRIM(C105),FIND(" ",TRIM(C105)&amp;" ")-1),",","."))-1)/MID(SUBSTITUTE(LEFT(TRIM(C105),FIND(" ",TRIM(C105)&amp;" ")-1),",","."),FIND("/",SUBSTITUTE(LEFT(TRIM(C105),FIND(" ",TRIM(C105)&amp;" ")-1),",","."))+1,9)),IF(ISNUMBER(SEARCH("yea",C105)),IFERROR(_xlfn.NUMBERVALUE(SUBSTITUTE(LEFT(TRIM(C105),FIND(" ",TRIM(C105)&amp;" ")-1),",","."),"."),LEFT(SUBSTITUTE(LEFT(TRIM(C105),FIND(" ",TRIM(C105)&amp;" ")-1),",","."),FIND("/",SUBSTITUTE(LEFT(TRIM(C105),FIND(" ",TRIM(C105)&amp;" ")-1),",","."))-1)/MID(SUBSTITUTE(LEFT(TRIM(C105),FIND(" ",TRIM(C105)&amp;" ")-1),",","."),FIND("/",SUBSTITUTE(LEFT(TRIM(C105),FIND(" ",TRIM(C105)&amp;" ")-1),",","."))+1,9))*12,NA()))),0),36)*'Aturan &amp; Tarif'!$B$4,2)</f>
        <v>2044.08</v>
      </c>
      <c r="K105" s="32" t="n">
        <f aca="false">'Aturan &amp; Tarif'!$B$5</f>
        <v>2050</v>
      </c>
      <c r="L105" s="32" t="n">
        <f aca="false">'Aturan &amp; Tarif'!$B$6</f>
        <v>350</v>
      </c>
      <c r="M105" s="35" t="n">
        <f aca="false">I105+J105+K105+L105</f>
        <v>22256.08</v>
      </c>
      <c r="N105" s="37" t="s">
        <v>318</v>
      </c>
    </row>
    <row r="106" customFormat="false" ht="14.25" hidden="false" customHeight="true" outlineLevel="0" collapsed="false">
      <c r="A106" s="29"/>
      <c r="B106" s="30" t="s">
        <v>372</v>
      </c>
      <c r="C106" s="31" t="s">
        <v>127</v>
      </c>
      <c r="D106" s="31" t="s">
        <v>108</v>
      </c>
      <c r="E106" s="32" t="n">
        <v>8906</v>
      </c>
      <c r="F106" s="32"/>
      <c r="G106" s="32"/>
      <c r="H106" s="33" t="n">
        <v>2</v>
      </c>
      <c r="I106" s="34" t="n">
        <f aca="false">E106*H106+N(F106)+N(G106)</f>
        <v>17812</v>
      </c>
      <c r="J106" s="32" t="n">
        <f aca="false">ROUND(IFERROR(ROUND(IF(OR(ISNUMBER(SEARCH("week",C106)),ISNUMBER(SEARCH("minggu",C106))),IFERROR(_xlfn.NUMBERVALUE(SUBSTITUTE(LEFT(TRIM(C106),FIND(" ",TRIM(C106)&amp;" ")-1),",","."),"."),LEFT(SUBSTITUTE(LEFT(TRIM(C106),FIND(" ",TRIM(C106)&amp;" ")-1),",","."),FIND("/",SUBSTITUTE(LEFT(TRIM(C106),FIND(" ",TRIM(C106)&amp;" ")-1),",","."))-1)/MID(SUBSTITUTE(LEFT(TRIM(C106),FIND(" ",TRIM(C106)&amp;" ")-1),",","."),FIND("/",SUBSTITUTE(LEFT(TRIM(C106),FIND(" ",TRIM(C106)&amp;" ")-1),",","."))+1,9))*12/52,IF(ISNUMBER(SEARCH("month",C106)),IFERROR(_xlfn.NUMBERVALUE(SUBSTITUTE(LEFT(TRIM(C106),FIND(" ",TRIM(C106)&amp;" ")-1),",","."),"."),LEFT(SUBSTITUTE(LEFT(TRIM(C106),FIND(" ",TRIM(C106)&amp;" ")-1),",","."),FIND("/",SUBSTITUTE(LEFT(TRIM(C106),FIND(" ",TRIM(C106)&amp;" ")-1),",","."))-1)/MID(SUBSTITUTE(LEFT(TRIM(C106),FIND(" ",TRIM(C106)&amp;" ")-1),",","."),FIND("/",SUBSTITUTE(LEFT(TRIM(C106),FIND(" ",TRIM(C106)&amp;" ")-1),",","."))+1,9)),IF(ISNUMBER(SEARCH("yea",C106)),IFERROR(_xlfn.NUMBERVALUE(SUBSTITUTE(LEFT(TRIM(C106),FIND(" ",TRIM(C106)&amp;" ")-1),",","."),"."),LEFT(SUBSTITUTE(LEFT(TRIM(C106),FIND(" ",TRIM(C106)&amp;" ")-1),",","."),FIND("/",SUBSTITUTE(LEFT(TRIM(C106),FIND(" ",TRIM(C106)&amp;" ")-1),",","."))-1)/MID(SUBSTITUTE(LEFT(TRIM(C106),FIND(" ",TRIM(C106)&amp;" ")-1),",","."),FIND("/",SUBSTITUTE(LEFT(TRIM(C106),FIND(" ",TRIM(C106)&amp;" ")-1),",","."))+1,9))*12,NA()))),0),36)*'Aturan &amp; Tarif'!$B$4,2)</f>
        <v>2044.08</v>
      </c>
      <c r="K106" s="32" t="n">
        <f aca="false">'Aturan &amp; Tarif'!$B$5</f>
        <v>2050</v>
      </c>
      <c r="L106" s="32" t="n">
        <f aca="false">'Aturan &amp; Tarif'!$B$6</f>
        <v>350</v>
      </c>
      <c r="M106" s="35" t="n">
        <f aca="false">I106+J106+K106+L106</f>
        <v>22256.08</v>
      </c>
      <c r="N106" s="37" t="s">
        <v>318</v>
      </c>
    </row>
    <row r="107" customFormat="false" ht="14.25" hidden="false" customHeight="true" outlineLevel="0" collapsed="false">
      <c r="A107" s="29"/>
      <c r="B107" s="30" t="s">
        <v>373</v>
      </c>
      <c r="C107" s="31" t="s">
        <v>107</v>
      </c>
      <c r="D107" s="31" t="s">
        <v>108</v>
      </c>
      <c r="E107" s="32" t="n">
        <v>8906</v>
      </c>
      <c r="F107" s="32"/>
      <c r="G107" s="32"/>
      <c r="H107" s="33" t="n">
        <v>2</v>
      </c>
      <c r="I107" s="34" t="n">
        <f aca="false">E107*H107+N(F107)+N(G107)</f>
        <v>17812</v>
      </c>
      <c r="J107" s="32" t="n">
        <f aca="false">ROUND(IFERROR(ROUND(IF(OR(ISNUMBER(SEARCH("week",C107)),ISNUMBER(SEARCH("minggu",C107))),IFERROR(_xlfn.NUMBERVALUE(SUBSTITUTE(LEFT(TRIM(C107),FIND(" ",TRIM(C107)&amp;" ")-1),",","."),"."),LEFT(SUBSTITUTE(LEFT(TRIM(C107),FIND(" ",TRIM(C107)&amp;" ")-1),",","."),FIND("/",SUBSTITUTE(LEFT(TRIM(C107),FIND(" ",TRIM(C107)&amp;" ")-1),",","."))-1)/MID(SUBSTITUTE(LEFT(TRIM(C107),FIND(" ",TRIM(C107)&amp;" ")-1),",","."),FIND("/",SUBSTITUTE(LEFT(TRIM(C107),FIND(" ",TRIM(C107)&amp;" ")-1),",","."))+1,9))*12/52,IF(ISNUMBER(SEARCH("month",C107)),IFERROR(_xlfn.NUMBERVALUE(SUBSTITUTE(LEFT(TRIM(C107),FIND(" ",TRIM(C107)&amp;" ")-1),",","."),"."),LEFT(SUBSTITUTE(LEFT(TRIM(C107),FIND(" ",TRIM(C107)&amp;" ")-1),",","."),FIND("/",SUBSTITUTE(LEFT(TRIM(C107),FIND(" ",TRIM(C107)&amp;" ")-1),",","."))-1)/MID(SUBSTITUTE(LEFT(TRIM(C107),FIND(" ",TRIM(C107)&amp;" ")-1),",","."),FIND("/",SUBSTITUTE(LEFT(TRIM(C107),FIND(" ",TRIM(C107)&amp;" ")-1),",","."))+1,9)),IF(ISNUMBER(SEARCH("yea",C107)),IFERROR(_xlfn.NUMBERVALUE(SUBSTITUTE(LEFT(TRIM(C107),FIND(" ",TRIM(C107)&amp;" ")-1),",","."),"."),LEFT(SUBSTITUTE(LEFT(TRIM(C107),FIND(" ",TRIM(C107)&amp;" ")-1),",","."),FIND("/",SUBSTITUTE(LEFT(TRIM(C107),FIND(" ",TRIM(C107)&amp;" ")-1),",","."))-1)/MID(SUBSTITUTE(LEFT(TRIM(C107),FIND(" ",TRIM(C107)&amp;" ")-1),",","."),FIND("/",SUBSTITUTE(LEFT(TRIM(C107),FIND(" ",TRIM(C107)&amp;" ")-1),",","."))+1,9))*12,NA()))),0),24)*'Aturan &amp; Tarif'!$B$4,2)</f>
        <v>1362.72</v>
      </c>
      <c r="K107" s="32" t="n">
        <f aca="false">'Aturan &amp; Tarif'!$B$5</f>
        <v>2050</v>
      </c>
      <c r="L107" s="32" t="n">
        <f aca="false">'Aturan &amp; Tarif'!$B$6</f>
        <v>350</v>
      </c>
      <c r="M107" s="35" t="n">
        <f aca="false">I107+J107+K107+L107</f>
        <v>21574.72</v>
      </c>
      <c r="N107" s="37" t="s">
        <v>318</v>
      </c>
    </row>
    <row r="108" customFormat="false" ht="25.5" hidden="false" customHeight="true" outlineLevel="0" collapsed="false">
      <c r="A108" s="29"/>
      <c r="B108" s="30" t="s">
        <v>374</v>
      </c>
      <c r="C108" s="31" t="s">
        <v>107</v>
      </c>
      <c r="D108" s="31" t="s">
        <v>108</v>
      </c>
      <c r="E108" s="32" t="n">
        <v>8906</v>
      </c>
      <c r="F108" s="32"/>
      <c r="G108" s="32"/>
      <c r="H108" s="33" t="n">
        <v>2</v>
      </c>
      <c r="I108" s="34" t="n">
        <f aca="false">E108*H108+N(F108)+N(G108)</f>
        <v>17812</v>
      </c>
      <c r="J108" s="32" t="n">
        <f aca="false">ROUND(IFERROR(ROUND(IF(OR(ISNUMBER(SEARCH("week",C108)),ISNUMBER(SEARCH("minggu",C108))),IFERROR(_xlfn.NUMBERVALUE(SUBSTITUTE(LEFT(TRIM(C108),FIND(" ",TRIM(C108)&amp;" ")-1),",","."),"."),LEFT(SUBSTITUTE(LEFT(TRIM(C108),FIND(" ",TRIM(C108)&amp;" ")-1),",","."),FIND("/",SUBSTITUTE(LEFT(TRIM(C108),FIND(" ",TRIM(C108)&amp;" ")-1),",","."))-1)/MID(SUBSTITUTE(LEFT(TRIM(C108),FIND(" ",TRIM(C108)&amp;" ")-1),",","."),FIND("/",SUBSTITUTE(LEFT(TRIM(C108),FIND(" ",TRIM(C108)&amp;" ")-1),",","."))+1,9))*12/52,IF(ISNUMBER(SEARCH("month",C108)),IFERROR(_xlfn.NUMBERVALUE(SUBSTITUTE(LEFT(TRIM(C108),FIND(" ",TRIM(C108)&amp;" ")-1),",","."),"."),LEFT(SUBSTITUTE(LEFT(TRIM(C108),FIND(" ",TRIM(C108)&amp;" ")-1),",","."),FIND("/",SUBSTITUTE(LEFT(TRIM(C108),FIND(" ",TRIM(C108)&amp;" ")-1),",","."))-1)/MID(SUBSTITUTE(LEFT(TRIM(C108),FIND(" ",TRIM(C108)&amp;" ")-1),",","."),FIND("/",SUBSTITUTE(LEFT(TRIM(C108),FIND(" ",TRIM(C108)&amp;" ")-1),",","."))+1,9)),IF(ISNUMBER(SEARCH("yea",C108)),IFERROR(_xlfn.NUMBERVALUE(SUBSTITUTE(LEFT(TRIM(C108),FIND(" ",TRIM(C108)&amp;" ")-1),",","."),"."),LEFT(SUBSTITUTE(LEFT(TRIM(C108),FIND(" ",TRIM(C108)&amp;" ")-1),",","."),FIND("/",SUBSTITUTE(LEFT(TRIM(C108),FIND(" ",TRIM(C108)&amp;" ")-1),",","."))-1)/MID(SUBSTITUTE(LEFT(TRIM(C108),FIND(" ",TRIM(C108)&amp;" ")-1),",","."),FIND("/",SUBSTITUTE(LEFT(TRIM(C108),FIND(" ",TRIM(C108)&amp;" ")-1),",","."))+1,9))*12,NA()))),0),24)*'Aturan &amp; Tarif'!$B$4,2)</f>
        <v>1362.72</v>
      </c>
      <c r="K108" s="32" t="n">
        <f aca="false">'Aturan &amp; Tarif'!$B$5</f>
        <v>2050</v>
      </c>
      <c r="L108" s="32" t="n">
        <f aca="false">'Aturan &amp; Tarif'!$B$6</f>
        <v>350</v>
      </c>
      <c r="M108" s="35" t="n">
        <f aca="false">I108+J108+K108+L108</f>
        <v>21574.72</v>
      </c>
      <c r="N108" s="37" t="s">
        <v>318</v>
      </c>
    </row>
    <row r="109" customFormat="false" ht="25.5" hidden="false" customHeight="true" outlineLevel="0" collapsed="false">
      <c r="A109" s="29"/>
      <c r="B109" s="30" t="s">
        <v>375</v>
      </c>
      <c r="C109" s="31" t="s">
        <v>107</v>
      </c>
      <c r="D109" s="31" t="s">
        <v>108</v>
      </c>
      <c r="E109" s="32" t="n">
        <v>8906</v>
      </c>
      <c r="F109" s="32"/>
      <c r="G109" s="32"/>
      <c r="H109" s="33" t="n">
        <v>2</v>
      </c>
      <c r="I109" s="34" t="n">
        <f aca="false">E109*H109+N(F109)+N(G109)</f>
        <v>17812</v>
      </c>
      <c r="J109" s="32" t="n">
        <f aca="false">ROUND(IFERROR(ROUND(IF(OR(ISNUMBER(SEARCH("week",C109)),ISNUMBER(SEARCH("minggu",C109))),IFERROR(_xlfn.NUMBERVALUE(SUBSTITUTE(LEFT(TRIM(C109),FIND(" ",TRIM(C109)&amp;" ")-1),",","."),"."),LEFT(SUBSTITUTE(LEFT(TRIM(C109),FIND(" ",TRIM(C109)&amp;" ")-1),",","."),FIND("/",SUBSTITUTE(LEFT(TRIM(C109),FIND(" ",TRIM(C109)&amp;" ")-1),",","."))-1)/MID(SUBSTITUTE(LEFT(TRIM(C109),FIND(" ",TRIM(C109)&amp;" ")-1),",","."),FIND("/",SUBSTITUTE(LEFT(TRIM(C109),FIND(" ",TRIM(C109)&amp;" ")-1),",","."))+1,9))*12/52,IF(ISNUMBER(SEARCH("month",C109)),IFERROR(_xlfn.NUMBERVALUE(SUBSTITUTE(LEFT(TRIM(C109),FIND(" ",TRIM(C109)&amp;" ")-1),",","."),"."),LEFT(SUBSTITUTE(LEFT(TRIM(C109),FIND(" ",TRIM(C109)&amp;" ")-1),",","."),FIND("/",SUBSTITUTE(LEFT(TRIM(C109),FIND(" ",TRIM(C109)&amp;" ")-1),",","."))-1)/MID(SUBSTITUTE(LEFT(TRIM(C109),FIND(" ",TRIM(C109)&amp;" ")-1),",","."),FIND("/",SUBSTITUTE(LEFT(TRIM(C109),FIND(" ",TRIM(C109)&amp;" ")-1),",","."))+1,9)),IF(ISNUMBER(SEARCH("yea",C109)),IFERROR(_xlfn.NUMBERVALUE(SUBSTITUTE(LEFT(TRIM(C109),FIND(" ",TRIM(C109)&amp;" ")-1),",","."),"."),LEFT(SUBSTITUTE(LEFT(TRIM(C109),FIND(" ",TRIM(C109)&amp;" ")-1),",","."),FIND("/",SUBSTITUTE(LEFT(TRIM(C109),FIND(" ",TRIM(C109)&amp;" ")-1),",","."))-1)/MID(SUBSTITUTE(LEFT(TRIM(C109),FIND(" ",TRIM(C109)&amp;" ")-1),",","."),FIND("/",SUBSTITUTE(LEFT(TRIM(C109),FIND(" ",TRIM(C109)&amp;" ")-1),",","."))+1,9))*12,NA()))),0),24)*'Aturan &amp; Tarif'!$B$4,2)</f>
        <v>1362.72</v>
      </c>
      <c r="K109" s="32" t="n">
        <f aca="false">'Aturan &amp; Tarif'!$B$5</f>
        <v>2050</v>
      </c>
      <c r="L109" s="32" t="n">
        <f aca="false">'Aturan &amp; Tarif'!$B$6</f>
        <v>350</v>
      </c>
      <c r="M109" s="35" t="n">
        <f aca="false">I109+J109+K109+L109</f>
        <v>21574.72</v>
      </c>
      <c r="N109" s="37" t="s">
        <v>318</v>
      </c>
    </row>
    <row r="110" customFormat="false" ht="14.25" hidden="false" customHeight="true" outlineLevel="0" collapsed="false">
      <c r="A110" s="29"/>
      <c r="B110" s="30" t="s">
        <v>376</v>
      </c>
      <c r="C110" s="31" t="s">
        <v>107</v>
      </c>
      <c r="D110" s="31" t="s">
        <v>108</v>
      </c>
      <c r="E110" s="32" t="n">
        <v>8906</v>
      </c>
      <c r="F110" s="32"/>
      <c r="G110" s="32"/>
      <c r="H110" s="33" t="n">
        <v>2</v>
      </c>
      <c r="I110" s="34" t="n">
        <f aca="false">E110*H110+N(F110)+N(G110)</f>
        <v>17812</v>
      </c>
      <c r="J110" s="32" t="n">
        <f aca="false">ROUND(IFERROR(ROUND(IF(OR(ISNUMBER(SEARCH("week",C110)),ISNUMBER(SEARCH("minggu",C110))),IFERROR(_xlfn.NUMBERVALUE(SUBSTITUTE(LEFT(TRIM(C110),FIND(" ",TRIM(C110)&amp;" ")-1),",","."),"."),LEFT(SUBSTITUTE(LEFT(TRIM(C110),FIND(" ",TRIM(C110)&amp;" ")-1),",","."),FIND("/",SUBSTITUTE(LEFT(TRIM(C110),FIND(" ",TRIM(C110)&amp;" ")-1),",","."))-1)/MID(SUBSTITUTE(LEFT(TRIM(C110),FIND(" ",TRIM(C110)&amp;" ")-1),",","."),FIND("/",SUBSTITUTE(LEFT(TRIM(C110),FIND(" ",TRIM(C110)&amp;" ")-1),",","."))+1,9))*12/52,IF(ISNUMBER(SEARCH("month",C110)),IFERROR(_xlfn.NUMBERVALUE(SUBSTITUTE(LEFT(TRIM(C110),FIND(" ",TRIM(C110)&amp;" ")-1),",","."),"."),LEFT(SUBSTITUTE(LEFT(TRIM(C110),FIND(" ",TRIM(C110)&amp;" ")-1),",","."),FIND("/",SUBSTITUTE(LEFT(TRIM(C110),FIND(" ",TRIM(C110)&amp;" ")-1),",","."))-1)/MID(SUBSTITUTE(LEFT(TRIM(C110),FIND(" ",TRIM(C110)&amp;" ")-1),",","."),FIND("/",SUBSTITUTE(LEFT(TRIM(C110),FIND(" ",TRIM(C110)&amp;" ")-1),",","."))+1,9)),IF(ISNUMBER(SEARCH("yea",C110)),IFERROR(_xlfn.NUMBERVALUE(SUBSTITUTE(LEFT(TRIM(C110),FIND(" ",TRIM(C110)&amp;" ")-1),",","."),"."),LEFT(SUBSTITUTE(LEFT(TRIM(C110),FIND(" ",TRIM(C110)&amp;" ")-1),",","."),FIND("/",SUBSTITUTE(LEFT(TRIM(C110),FIND(" ",TRIM(C110)&amp;" ")-1),",","."))-1)/MID(SUBSTITUTE(LEFT(TRIM(C110),FIND(" ",TRIM(C110)&amp;" ")-1),",","."),FIND("/",SUBSTITUTE(LEFT(TRIM(C110),FIND(" ",TRIM(C110)&amp;" ")-1),",","."))+1,9))*12,NA()))),0),24)*'Aturan &amp; Tarif'!$B$4,2)</f>
        <v>1362.72</v>
      </c>
      <c r="K110" s="32" t="n">
        <f aca="false">'Aturan &amp; Tarif'!$B$5</f>
        <v>2050</v>
      </c>
      <c r="L110" s="32" t="n">
        <f aca="false">'Aturan &amp; Tarif'!$B$6</f>
        <v>350</v>
      </c>
      <c r="M110" s="35" t="n">
        <f aca="false">I110+J110+K110+L110</f>
        <v>21574.72</v>
      </c>
      <c r="N110" s="37" t="s">
        <v>318</v>
      </c>
    </row>
    <row r="111" customFormat="false" ht="14.25" hidden="false" customHeight="true" outlineLevel="0" collapsed="false">
      <c r="A111" s="29"/>
      <c r="B111" s="30" t="s">
        <v>377</v>
      </c>
      <c r="C111" s="31" t="s">
        <v>107</v>
      </c>
      <c r="D111" s="31" t="s">
        <v>108</v>
      </c>
      <c r="E111" s="32" t="n">
        <v>8906</v>
      </c>
      <c r="F111" s="32"/>
      <c r="G111" s="32"/>
      <c r="H111" s="33" t="n">
        <v>2</v>
      </c>
      <c r="I111" s="34" t="n">
        <f aca="false">E111*H111+N(F111)+N(G111)</f>
        <v>17812</v>
      </c>
      <c r="J111" s="32" t="n">
        <f aca="false">ROUND(IFERROR(ROUND(IF(OR(ISNUMBER(SEARCH("week",C111)),ISNUMBER(SEARCH("minggu",C111))),IFERROR(_xlfn.NUMBERVALUE(SUBSTITUTE(LEFT(TRIM(C111),FIND(" ",TRIM(C111)&amp;" ")-1),",","."),"."),LEFT(SUBSTITUTE(LEFT(TRIM(C111),FIND(" ",TRIM(C111)&amp;" ")-1),",","."),FIND("/",SUBSTITUTE(LEFT(TRIM(C111),FIND(" ",TRIM(C111)&amp;" ")-1),",","."))-1)/MID(SUBSTITUTE(LEFT(TRIM(C111),FIND(" ",TRIM(C111)&amp;" ")-1),",","."),FIND("/",SUBSTITUTE(LEFT(TRIM(C111),FIND(" ",TRIM(C111)&amp;" ")-1),",","."))+1,9))*12/52,IF(ISNUMBER(SEARCH("month",C111)),IFERROR(_xlfn.NUMBERVALUE(SUBSTITUTE(LEFT(TRIM(C111),FIND(" ",TRIM(C111)&amp;" ")-1),",","."),"."),LEFT(SUBSTITUTE(LEFT(TRIM(C111),FIND(" ",TRIM(C111)&amp;" ")-1),",","."),FIND("/",SUBSTITUTE(LEFT(TRIM(C111),FIND(" ",TRIM(C111)&amp;" ")-1),",","."))-1)/MID(SUBSTITUTE(LEFT(TRIM(C111),FIND(" ",TRIM(C111)&amp;" ")-1),",","."),FIND("/",SUBSTITUTE(LEFT(TRIM(C111),FIND(" ",TRIM(C111)&amp;" ")-1),",","."))+1,9)),IF(ISNUMBER(SEARCH("yea",C111)),IFERROR(_xlfn.NUMBERVALUE(SUBSTITUTE(LEFT(TRIM(C111),FIND(" ",TRIM(C111)&amp;" ")-1),",","."),"."),LEFT(SUBSTITUTE(LEFT(TRIM(C111),FIND(" ",TRIM(C111)&amp;" ")-1),",","."),FIND("/",SUBSTITUTE(LEFT(TRIM(C111),FIND(" ",TRIM(C111)&amp;" ")-1),",","."))-1)/MID(SUBSTITUTE(LEFT(TRIM(C111),FIND(" ",TRIM(C111)&amp;" ")-1),",","."),FIND("/",SUBSTITUTE(LEFT(TRIM(C111),FIND(" ",TRIM(C111)&amp;" ")-1),",","."))+1,9))*12,NA()))),0),24)*'Aturan &amp; Tarif'!$B$4,2)</f>
        <v>1362.72</v>
      </c>
      <c r="K111" s="32" t="n">
        <f aca="false">'Aturan &amp; Tarif'!$B$5</f>
        <v>2050</v>
      </c>
      <c r="L111" s="32" t="n">
        <f aca="false">'Aturan &amp; Tarif'!$B$6</f>
        <v>350</v>
      </c>
      <c r="M111" s="35" t="n">
        <f aca="false">I111+J111+K111+L111</f>
        <v>21574.72</v>
      </c>
      <c r="N111" s="37" t="s">
        <v>318</v>
      </c>
    </row>
    <row r="112" customFormat="false" ht="25.5" hidden="false" customHeight="true" outlineLevel="0" collapsed="false">
      <c r="A112" s="29"/>
      <c r="B112" s="30" t="s">
        <v>378</v>
      </c>
      <c r="C112" s="31" t="s">
        <v>107</v>
      </c>
      <c r="D112" s="31" t="s">
        <v>108</v>
      </c>
      <c r="E112" s="32" t="n">
        <v>8906</v>
      </c>
      <c r="F112" s="32"/>
      <c r="G112" s="32"/>
      <c r="H112" s="33" t="n">
        <v>2</v>
      </c>
      <c r="I112" s="34" t="n">
        <f aca="false">E112*H112+N(F112)+N(G112)</f>
        <v>17812</v>
      </c>
      <c r="J112" s="32" t="n">
        <f aca="false">ROUND(IFERROR(ROUND(IF(OR(ISNUMBER(SEARCH("week",C112)),ISNUMBER(SEARCH("minggu",C112))),IFERROR(_xlfn.NUMBERVALUE(SUBSTITUTE(LEFT(TRIM(C112),FIND(" ",TRIM(C112)&amp;" ")-1),",","."),"."),LEFT(SUBSTITUTE(LEFT(TRIM(C112),FIND(" ",TRIM(C112)&amp;" ")-1),",","."),FIND("/",SUBSTITUTE(LEFT(TRIM(C112),FIND(" ",TRIM(C112)&amp;" ")-1),",","."))-1)/MID(SUBSTITUTE(LEFT(TRIM(C112),FIND(" ",TRIM(C112)&amp;" ")-1),",","."),FIND("/",SUBSTITUTE(LEFT(TRIM(C112),FIND(" ",TRIM(C112)&amp;" ")-1),",","."))+1,9))*12/52,IF(ISNUMBER(SEARCH("month",C112)),IFERROR(_xlfn.NUMBERVALUE(SUBSTITUTE(LEFT(TRIM(C112),FIND(" ",TRIM(C112)&amp;" ")-1),",","."),"."),LEFT(SUBSTITUTE(LEFT(TRIM(C112),FIND(" ",TRIM(C112)&amp;" ")-1),",","."),FIND("/",SUBSTITUTE(LEFT(TRIM(C112),FIND(" ",TRIM(C112)&amp;" ")-1),",","."))-1)/MID(SUBSTITUTE(LEFT(TRIM(C112),FIND(" ",TRIM(C112)&amp;" ")-1),",","."),FIND("/",SUBSTITUTE(LEFT(TRIM(C112),FIND(" ",TRIM(C112)&amp;" ")-1),",","."))+1,9)),IF(ISNUMBER(SEARCH("yea",C112)),IFERROR(_xlfn.NUMBERVALUE(SUBSTITUTE(LEFT(TRIM(C112),FIND(" ",TRIM(C112)&amp;" ")-1),",","."),"."),LEFT(SUBSTITUTE(LEFT(TRIM(C112),FIND(" ",TRIM(C112)&amp;" ")-1),",","."),FIND("/",SUBSTITUTE(LEFT(TRIM(C112),FIND(" ",TRIM(C112)&amp;" ")-1),",","."))-1)/MID(SUBSTITUTE(LEFT(TRIM(C112),FIND(" ",TRIM(C112)&amp;" ")-1),",","."),FIND("/",SUBSTITUTE(LEFT(TRIM(C112),FIND(" ",TRIM(C112)&amp;" ")-1),",","."))+1,9))*12,NA()))),0),24)*'Aturan &amp; Tarif'!$B$4,2)</f>
        <v>1362.72</v>
      </c>
      <c r="K112" s="32" t="n">
        <f aca="false">'Aturan &amp; Tarif'!$B$5</f>
        <v>2050</v>
      </c>
      <c r="L112" s="32" t="n">
        <f aca="false">'Aturan &amp; Tarif'!$B$6</f>
        <v>350</v>
      </c>
      <c r="M112" s="35" t="n">
        <f aca="false">I112+J112+K112+L112</f>
        <v>21574.72</v>
      </c>
      <c r="N112" s="37" t="s">
        <v>318</v>
      </c>
    </row>
    <row r="113" customFormat="false" ht="14.25" hidden="false" customHeight="true" outlineLevel="0" collapsed="false">
      <c r="A113" s="29"/>
      <c r="B113" s="30" t="s">
        <v>379</v>
      </c>
      <c r="C113" s="31" t="s">
        <v>127</v>
      </c>
      <c r="D113" s="31" t="s">
        <v>108</v>
      </c>
      <c r="E113" s="32" t="n">
        <v>8098</v>
      </c>
      <c r="F113" s="32"/>
      <c r="G113" s="32"/>
      <c r="H113" s="33" t="n">
        <v>2</v>
      </c>
      <c r="I113" s="34" t="n">
        <f aca="false">E113*H113+N(F113)+N(G113)</f>
        <v>16196</v>
      </c>
      <c r="J113" s="32" t="n">
        <f aca="false">ROUND(IFERROR(ROUND(IF(OR(ISNUMBER(SEARCH("week",C113)),ISNUMBER(SEARCH("minggu",C113))),IFERROR(_xlfn.NUMBERVALUE(SUBSTITUTE(LEFT(TRIM(C113),FIND(" ",TRIM(C113)&amp;" ")-1),",","."),"."),LEFT(SUBSTITUTE(LEFT(TRIM(C113),FIND(" ",TRIM(C113)&amp;" ")-1),",","."),FIND("/",SUBSTITUTE(LEFT(TRIM(C113),FIND(" ",TRIM(C113)&amp;" ")-1),",","."))-1)/MID(SUBSTITUTE(LEFT(TRIM(C113),FIND(" ",TRIM(C113)&amp;" ")-1),",","."),FIND("/",SUBSTITUTE(LEFT(TRIM(C113),FIND(" ",TRIM(C113)&amp;" ")-1),",","."))+1,9))*12/52,IF(ISNUMBER(SEARCH("month",C113)),IFERROR(_xlfn.NUMBERVALUE(SUBSTITUTE(LEFT(TRIM(C113),FIND(" ",TRIM(C113)&amp;" ")-1),",","."),"."),LEFT(SUBSTITUTE(LEFT(TRIM(C113),FIND(" ",TRIM(C113)&amp;" ")-1),",","."),FIND("/",SUBSTITUTE(LEFT(TRIM(C113),FIND(" ",TRIM(C113)&amp;" ")-1),",","."))-1)/MID(SUBSTITUTE(LEFT(TRIM(C113),FIND(" ",TRIM(C113)&amp;" ")-1),",","."),FIND("/",SUBSTITUTE(LEFT(TRIM(C113),FIND(" ",TRIM(C113)&amp;" ")-1),",","."))+1,9)),IF(ISNUMBER(SEARCH("yea",C113)),IFERROR(_xlfn.NUMBERVALUE(SUBSTITUTE(LEFT(TRIM(C113),FIND(" ",TRIM(C113)&amp;" ")-1),",","."),"."),LEFT(SUBSTITUTE(LEFT(TRIM(C113),FIND(" ",TRIM(C113)&amp;" ")-1),",","."),FIND("/",SUBSTITUTE(LEFT(TRIM(C113),FIND(" ",TRIM(C113)&amp;" ")-1),",","."))-1)/MID(SUBSTITUTE(LEFT(TRIM(C113),FIND(" ",TRIM(C113)&amp;" ")-1),",","."),FIND("/",SUBSTITUTE(LEFT(TRIM(C113),FIND(" ",TRIM(C113)&amp;" ")-1),",","."))+1,9))*12,NA()))),0),36)*'Aturan &amp; Tarif'!$B$4,2)</f>
        <v>2044.08</v>
      </c>
      <c r="K113" s="32" t="n">
        <f aca="false">'Aturan &amp; Tarif'!$B$5</f>
        <v>2050</v>
      </c>
      <c r="L113" s="32" t="n">
        <f aca="false">'Aturan &amp; Tarif'!$B$6</f>
        <v>350</v>
      </c>
      <c r="M113" s="35" t="n">
        <f aca="false">I113+J113+K113+L113</f>
        <v>20640.08</v>
      </c>
      <c r="N113" s="37" t="s">
        <v>318</v>
      </c>
    </row>
    <row r="114" customFormat="false" ht="25.5" hidden="false" customHeight="true" outlineLevel="0" collapsed="false">
      <c r="A114" s="29"/>
      <c r="B114" s="30" t="s">
        <v>380</v>
      </c>
      <c r="C114" s="31" t="s">
        <v>191</v>
      </c>
      <c r="D114" s="31" t="s">
        <v>108</v>
      </c>
      <c r="E114" s="32" t="n">
        <v>8906</v>
      </c>
      <c r="F114" s="32"/>
      <c r="G114" s="32"/>
      <c r="H114" s="33" t="n">
        <v>2</v>
      </c>
      <c r="I114" s="34" t="n">
        <f aca="false">E114*H114+N(F114)+N(G114)</f>
        <v>17812</v>
      </c>
      <c r="J114" s="32" t="n">
        <f aca="false">ROUND(IFERROR(ROUND(IF(OR(ISNUMBER(SEARCH("week",C114)),ISNUMBER(SEARCH("minggu",C114))),IFERROR(_xlfn.NUMBERVALUE(SUBSTITUTE(LEFT(TRIM(C114),FIND(" ",TRIM(C114)&amp;" ")-1),",","."),"."),LEFT(SUBSTITUTE(LEFT(TRIM(C114),FIND(" ",TRIM(C114)&amp;" ")-1),",","."),FIND("/",SUBSTITUTE(LEFT(TRIM(C114),FIND(" ",TRIM(C114)&amp;" ")-1),",","."))-1)/MID(SUBSTITUTE(LEFT(TRIM(C114),FIND(" ",TRIM(C114)&amp;" ")-1),",","."),FIND("/",SUBSTITUTE(LEFT(TRIM(C114),FIND(" ",TRIM(C114)&amp;" ")-1),",","."))+1,9))*12/52,IF(ISNUMBER(SEARCH("month",C114)),IFERROR(_xlfn.NUMBERVALUE(SUBSTITUTE(LEFT(TRIM(C114),FIND(" ",TRIM(C114)&amp;" ")-1),",","."),"."),LEFT(SUBSTITUTE(LEFT(TRIM(C114),FIND(" ",TRIM(C114)&amp;" ")-1),",","."),FIND("/",SUBSTITUTE(LEFT(TRIM(C114),FIND(" ",TRIM(C114)&amp;" ")-1),",","."))-1)/MID(SUBSTITUTE(LEFT(TRIM(C114),FIND(" ",TRIM(C114)&amp;" ")-1),",","."),FIND("/",SUBSTITUTE(LEFT(TRIM(C114),FIND(" ",TRIM(C114)&amp;" ")-1),",","."))+1,9)),IF(ISNUMBER(SEARCH("yea",C114)),IFERROR(_xlfn.NUMBERVALUE(SUBSTITUTE(LEFT(TRIM(C114),FIND(" ",TRIM(C114)&amp;" ")-1),",","."),"."),LEFT(SUBSTITUTE(LEFT(TRIM(C114),FIND(" ",TRIM(C114)&amp;" ")-1),",","."),FIND("/",SUBSTITUTE(LEFT(TRIM(C114),FIND(" ",TRIM(C114)&amp;" ")-1),",","."))-1)/MID(SUBSTITUTE(LEFT(TRIM(C114),FIND(" ",TRIM(C114)&amp;" ")-1),",","."),FIND("/",SUBSTITUTE(LEFT(TRIM(C114),FIND(" ",TRIM(C114)&amp;" ")-1),",","."))+1,9))*12,NA()))),0),48)*'Aturan &amp; Tarif'!$B$4,2)</f>
        <v>2725.44</v>
      </c>
      <c r="K114" s="32" t="n">
        <f aca="false">'Aturan &amp; Tarif'!$B$5</f>
        <v>2050</v>
      </c>
      <c r="L114" s="32" t="n">
        <f aca="false">'Aturan &amp; Tarif'!$B$6</f>
        <v>350</v>
      </c>
      <c r="M114" s="35" t="n">
        <f aca="false">I114+J114+K114+L114</f>
        <v>22937.44</v>
      </c>
      <c r="N114" s="37" t="s">
        <v>318</v>
      </c>
    </row>
    <row r="115" customFormat="false" ht="14.25" hidden="false" customHeight="true" outlineLevel="0" collapsed="false">
      <c r="A115" s="29"/>
      <c r="B115" s="30" t="s">
        <v>381</v>
      </c>
      <c r="C115" s="31" t="s">
        <v>127</v>
      </c>
      <c r="D115" s="31" t="s">
        <v>108</v>
      </c>
      <c r="E115" s="32" t="n">
        <v>8098</v>
      </c>
      <c r="F115" s="32"/>
      <c r="G115" s="32"/>
      <c r="H115" s="33" t="n">
        <v>2</v>
      </c>
      <c r="I115" s="34" t="n">
        <f aca="false">E115*H115+N(F115)+N(G115)</f>
        <v>16196</v>
      </c>
      <c r="J115" s="32" t="n">
        <f aca="false">ROUND(IFERROR(ROUND(IF(OR(ISNUMBER(SEARCH("week",C115)),ISNUMBER(SEARCH("minggu",C115))),IFERROR(_xlfn.NUMBERVALUE(SUBSTITUTE(LEFT(TRIM(C115),FIND(" ",TRIM(C115)&amp;" ")-1),",","."),"."),LEFT(SUBSTITUTE(LEFT(TRIM(C115),FIND(" ",TRIM(C115)&amp;" ")-1),",","."),FIND("/",SUBSTITUTE(LEFT(TRIM(C115),FIND(" ",TRIM(C115)&amp;" ")-1),",","."))-1)/MID(SUBSTITUTE(LEFT(TRIM(C115),FIND(" ",TRIM(C115)&amp;" ")-1),",","."),FIND("/",SUBSTITUTE(LEFT(TRIM(C115),FIND(" ",TRIM(C115)&amp;" ")-1),",","."))+1,9))*12/52,IF(ISNUMBER(SEARCH("month",C115)),IFERROR(_xlfn.NUMBERVALUE(SUBSTITUTE(LEFT(TRIM(C115),FIND(" ",TRIM(C115)&amp;" ")-1),",","."),"."),LEFT(SUBSTITUTE(LEFT(TRIM(C115),FIND(" ",TRIM(C115)&amp;" ")-1),",","."),FIND("/",SUBSTITUTE(LEFT(TRIM(C115),FIND(" ",TRIM(C115)&amp;" ")-1),",","."))-1)/MID(SUBSTITUTE(LEFT(TRIM(C115),FIND(" ",TRIM(C115)&amp;" ")-1),",","."),FIND("/",SUBSTITUTE(LEFT(TRIM(C115),FIND(" ",TRIM(C115)&amp;" ")-1),",","."))+1,9)),IF(ISNUMBER(SEARCH("yea",C115)),IFERROR(_xlfn.NUMBERVALUE(SUBSTITUTE(LEFT(TRIM(C115),FIND(" ",TRIM(C115)&amp;" ")-1),",","."),"."),LEFT(SUBSTITUTE(LEFT(TRIM(C115),FIND(" ",TRIM(C115)&amp;" ")-1),",","."),FIND("/",SUBSTITUTE(LEFT(TRIM(C115),FIND(" ",TRIM(C115)&amp;" ")-1),",","."))-1)/MID(SUBSTITUTE(LEFT(TRIM(C115),FIND(" ",TRIM(C115)&amp;" ")-1),",","."),FIND("/",SUBSTITUTE(LEFT(TRIM(C115),FIND(" ",TRIM(C115)&amp;" ")-1),",","."))+1,9))*12,NA()))),0),36)*'Aturan &amp; Tarif'!$B$4,2)</f>
        <v>2044.08</v>
      </c>
      <c r="K115" s="32" t="n">
        <f aca="false">'Aturan &amp; Tarif'!$B$5</f>
        <v>2050</v>
      </c>
      <c r="L115" s="32" t="n">
        <f aca="false">'Aturan &amp; Tarif'!$B$6</f>
        <v>350</v>
      </c>
      <c r="M115" s="35" t="n">
        <f aca="false">I115+J115+K115+L115</f>
        <v>20640.08</v>
      </c>
      <c r="N115" s="37" t="s">
        <v>318</v>
      </c>
    </row>
    <row r="116" customFormat="false" ht="25.5" hidden="false" customHeight="true" outlineLevel="0" collapsed="false">
      <c r="A116" s="29"/>
      <c r="B116" s="30" t="s">
        <v>382</v>
      </c>
      <c r="C116" s="31" t="s">
        <v>191</v>
      </c>
      <c r="D116" s="31" t="s">
        <v>108</v>
      </c>
      <c r="E116" s="32" t="n">
        <v>8098</v>
      </c>
      <c r="F116" s="32"/>
      <c r="G116" s="32"/>
      <c r="H116" s="33" t="n">
        <v>2</v>
      </c>
      <c r="I116" s="34" t="n">
        <f aca="false">E116*H116+N(F116)+N(G116)</f>
        <v>16196</v>
      </c>
      <c r="J116" s="32" t="n">
        <f aca="false">ROUND(IFERROR(ROUND(IF(OR(ISNUMBER(SEARCH("week",C116)),ISNUMBER(SEARCH("minggu",C116))),IFERROR(_xlfn.NUMBERVALUE(SUBSTITUTE(LEFT(TRIM(C116),FIND(" ",TRIM(C116)&amp;" ")-1),",","."),"."),LEFT(SUBSTITUTE(LEFT(TRIM(C116),FIND(" ",TRIM(C116)&amp;" ")-1),",","."),FIND("/",SUBSTITUTE(LEFT(TRIM(C116),FIND(" ",TRIM(C116)&amp;" ")-1),",","."))-1)/MID(SUBSTITUTE(LEFT(TRIM(C116),FIND(" ",TRIM(C116)&amp;" ")-1),",","."),FIND("/",SUBSTITUTE(LEFT(TRIM(C116),FIND(" ",TRIM(C116)&amp;" ")-1),",","."))+1,9))*12/52,IF(ISNUMBER(SEARCH("month",C116)),IFERROR(_xlfn.NUMBERVALUE(SUBSTITUTE(LEFT(TRIM(C116),FIND(" ",TRIM(C116)&amp;" ")-1),",","."),"."),LEFT(SUBSTITUTE(LEFT(TRIM(C116),FIND(" ",TRIM(C116)&amp;" ")-1),",","."),FIND("/",SUBSTITUTE(LEFT(TRIM(C116),FIND(" ",TRIM(C116)&amp;" ")-1),",","."))-1)/MID(SUBSTITUTE(LEFT(TRIM(C116),FIND(" ",TRIM(C116)&amp;" ")-1),",","."),FIND("/",SUBSTITUTE(LEFT(TRIM(C116),FIND(" ",TRIM(C116)&amp;" ")-1),",","."))+1,9)),IF(ISNUMBER(SEARCH("yea",C116)),IFERROR(_xlfn.NUMBERVALUE(SUBSTITUTE(LEFT(TRIM(C116),FIND(" ",TRIM(C116)&amp;" ")-1),",","."),"."),LEFT(SUBSTITUTE(LEFT(TRIM(C116),FIND(" ",TRIM(C116)&amp;" ")-1),",","."),FIND("/",SUBSTITUTE(LEFT(TRIM(C116),FIND(" ",TRIM(C116)&amp;" ")-1),",","."))-1)/MID(SUBSTITUTE(LEFT(TRIM(C116),FIND(" ",TRIM(C116)&amp;" ")-1),",","."),FIND("/",SUBSTITUTE(LEFT(TRIM(C116),FIND(" ",TRIM(C116)&amp;" ")-1),",","."))+1,9))*12,NA()))),0),48)*'Aturan &amp; Tarif'!$B$4,2)</f>
        <v>2725.44</v>
      </c>
      <c r="K116" s="32" t="n">
        <f aca="false">'Aturan &amp; Tarif'!$B$5</f>
        <v>2050</v>
      </c>
      <c r="L116" s="32" t="n">
        <f aca="false">'Aturan &amp; Tarif'!$B$6</f>
        <v>350</v>
      </c>
      <c r="M116" s="35" t="n">
        <f aca="false">I116+J116+K116+L116</f>
        <v>21321.44</v>
      </c>
      <c r="N116" s="37" t="s">
        <v>318</v>
      </c>
    </row>
    <row r="117" customFormat="false" ht="25.5" hidden="false" customHeight="true" outlineLevel="0" collapsed="false">
      <c r="A117" s="29"/>
      <c r="B117" s="30" t="s">
        <v>383</v>
      </c>
      <c r="C117" s="31" t="s">
        <v>191</v>
      </c>
      <c r="D117" s="31" t="s">
        <v>108</v>
      </c>
      <c r="E117" s="32" t="n">
        <v>8906</v>
      </c>
      <c r="F117" s="32"/>
      <c r="G117" s="32"/>
      <c r="H117" s="33" t="n">
        <v>2</v>
      </c>
      <c r="I117" s="34" t="n">
        <f aca="false">E117*H117+N(F117)+N(G117)</f>
        <v>17812</v>
      </c>
      <c r="J117" s="32" t="n">
        <f aca="false">ROUND(IFERROR(ROUND(IF(OR(ISNUMBER(SEARCH("week",C117)),ISNUMBER(SEARCH("minggu",C117))),IFERROR(_xlfn.NUMBERVALUE(SUBSTITUTE(LEFT(TRIM(C117),FIND(" ",TRIM(C117)&amp;" ")-1),",","."),"."),LEFT(SUBSTITUTE(LEFT(TRIM(C117),FIND(" ",TRIM(C117)&amp;" ")-1),",","."),FIND("/",SUBSTITUTE(LEFT(TRIM(C117),FIND(" ",TRIM(C117)&amp;" ")-1),",","."))-1)/MID(SUBSTITUTE(LEFT(TRIM(C117),FIND(" ",TRIM(C117)&amp;" ")-1),",","."),FIND("/",SUBSTITUTE(LEFT(TRIM(C117),FIND(" ",TRIM(C117)&amp;" ")-1),",","."))+1,9))*12/52,IF(ISNUMBER(SEARCH("month",C117)),IFERROR(_xlfn.NUMBERVALUE(SUBSTITUTE(LEFT(TRIM(C117),FIND(" ",TRIM(C117)&amp;" ")-1),",","."),"."),LEFT(SUBSTITUTE(LEFT(TRIM(C117),FIND(" ",TRIM(C117)&amp;" ")-1),",","."),FIND("/",SUBSTITUTE(LEFT(TRIM(C117),FIND(" ",TRIM(C117)&amp;" ")-1),",","."))-1)/MID(SUBSTITUTE(LEFT(TRIM(C117),FIND(" ",TRIM(C117)&amp;" ")-1),",","."),FIND("/",SUBSTITUTE(LEFT(TRIM(C117),FIND(" ",TRIM(C117)&amp;" ")-1),",","."))+1,9)),IF(ISNUMBER(SEARCH("yea",C117)),IFERROR(_xlfn.NUMBERVALUE(SUBSTITUTE(LEFT(TRIM(C117),FIND(" ",TRIM(C117)&amp;" ")-1),",","."),"."),LEFT(SUBSTITUTE(LEFT(TRIM(C117),FIND(" ",TRIM(C117)&amp;" ")-1),",","."),FIND("/",SUBSTITUTE(LEFT(TRIM(C117),FIND(" ",TRIM(C117)&amp;" ")-1),",","."))-1)/MID(SUBSTITUTE(LEFT(TRIM(C117),FIND(" ",TRIM(C117)&amp;" ")-1),",","."),FIND("/",SUBSTITUTE(LEFT(TRIM(C117),FIND(" ",TRIM(C117)&amp;" ")-1),",","."))+1,9))*12,NA()))),0),48)*'Aturan &amp; Tarif'!$B$4,2)</f>
        <v>2725.44</v>
      </c>
      <c r="K117" s="32" t="n">
        <f aca="false">'Aturan &amp; Tarif'!$B$5</f>
        <v>2050</v>
      </c>
      <c r="L117" s="32" t="n">
        <f aca="false">'Aturan &amp; Tarif'!$B$6</f>
        <v>350</v>
      </c>
      <c r="M117" s="35" t="n">
        <f aca="false">I117+J117+K117+L117</f>
        <v>22937.44</v>
      </c>
      <c r="N117" s="37" t="s">
        <v>318</v>
      </c>
    </row>
    <row r="118" customFormat="false" ht="14.25" hidden="false" customHeight="true" outlineLevel="0" collapsed="false">
      <c r="A118" s="29"/>
      <c r="B118" s="30" t="s">
        <v>265</v>
      </c>
      <c r="C118" s="31" t="s">
        <v>127</v>
      </c>
      <c r="D118" s="31" t="s">
        <v>108</v>
      </c>
      <c r="E118" s="32" t="n">
        <v>9820</v>
      </c>
      <c r="F118" s="32"/>
      <c r="G118" s="32"/>
      <c r="H118" s="33" t="n">
        <v>2</v>
      </c>
      <c r="I118" s="34" t="n">
        <f aca="false">E118*H118+N(F118)+N(G118)</f>
        <v>19640</v>
      </c>
      <c r="J118" s="32" t="n">
        <f aca="false">ROUND(IFERROR(ROUND(IF(OR(ISNUMBER(SEARCH("week",C118)),ISNUMBER(SEARCH("minggu",C118))),IFERROR(_xlfn.NUMBERVALUE(SUBSTITUTE(LEFT(TRIM(C118),FIND(" ",TRIM(C118)&amp;" ")-1),",","."),"."),LEFT(SUBSTITUTE(LEFT(TRIM(C118),FIND(" ",TRIM(C118)&amp;" ")-1),",","."),FIND("/",SUBSTITUTE(LEFT(TRIM(C118),FIND(" ",TRIM(C118)&amp;" ")-1),",","."))-1)/MID(SUBSTITUTE(LEFT(TRIM(C118),FIND(" ",TRIM(C118)&amp;" ")-1),",","."),FIND("/",SUBSTITUTE(LEFT(TRIM(C118),FIND(" ",TRIM(C118)&amp;" ")-1),",","."))+1,9))*12/52,IF(ISNUMBER(SEARCH("month",C118)),IFERROR(_xlfn.NUMBERVALUE(SUBSTITUTE(LEFT(TRIM(C118),FIND(" ",TRIM(C118)&amp;" ")-1),",","."),"."),LEFT(SUBSTITUTE(LEFT(TRIM(C118),FIND(" ",TRIM(C118)&amp;" ")-1),",","."),FIND("/",SUBSTITUTE(LEFT(TRIM(C118),FIND(" ",TRIM(C118)&amp;" ")-1),",","."))-1)/MID(SUBSTITUTE(LEFT(TRIM(C118),FIND(" ",TRIM(C118)&amp;" ")-1),",","."),FIND("/",SUBSTITUTE(LEFT(TRIM(C118),FIND(" ",TRIM(C118)&amp;" ")-1),",","."))+1,9)),IF(ISNUMBER(SEARCH("yea",C118)),IFERROR(_xlfn.NUMBERVALUE(SUBSTITUTE(LEFT(TRIM(C118),FIND(" ",TRIM(C118)&amp;" ")-1),",","."),"."),LEFT(SUBSTITUTE(LEFT(TRIM(C118),FIND(" ",TRIM(C118)&amp;" ")-1),",","."),FIND("/",SUBSTITUTE(LEFT(TRIM(C118),FIND(" ",TRIM(C118)&amp;" ")-1),",","."))-1)/MID(SUBSTITUTE(LEFT(TRIM(C118),FIND(" ",TRIM(C118)&amp;" ")-1),",","."),FIND("/",SUBSTITUTE(LEFT(TRIM(C118),FIND(" ",TRIM(C118)&amp;" ")-1),",","."))+1,9))*12,NA()))),0),36)*'Aturan &amp; Tarif'!$B$4,2)</f>
        <v>2044.08</v>
      </c>
      <c r="K118" s="32" t="n">
        <f aca="false">'Aturan &amp; Tarif'!$B$5</f>
        <v>2050</v>
      </c>
      <c r="L118" s="32" t="n">
        <f aca="false">'Aturan &amp; Tarif'!$B$6</f>
        <v>350</v>
      </c>
      <c r="M118" s="35" t="n">
        <f aca="false">I118+J118+K118+L118</f>
        <v>24084.08</v>
      </c>
      <c r="N118" s="37" t="s">
        <v>318</v>
      </c>
    </row>
    <row r="119" customFormat="false" ht="14.25" hidden="false" customHeight="true" outlineLevel="0" collapsed="false">
      <c r="A119" s="29"/>
      <c r="B119" s="30" t="s">
        <v>384</v>
      </c>
      <c r="C119" s="31" t="s">
        <v>127</v>
      </c>
      <c r="D119" s="31" t="s">
        <v>108</v>
      </c>
      <c r="E119" s="32" t="n">
        <v>9820</v>
      </c>
      <c r="F119" s="32"/>
      <c r="G119" s="32"/>
      <c r="H119" s="33" t="n">
        <v>2</v>
      </c>
      <c r="I119" s="34" t="n">
        <f aca="false">E119*H119+N(F119)+N(G119)</f>
        <v>19640</v>
      </c>
      <c r="J119" s="32" t="n">
        <f aca="false">ROUND(IFERROR(ROUND(IF(OR(ISNUMBER(SEARCH("week",C119)),ISNUMBER(SEARCH("minggu",C119))),IFERROR(_xlfn.NUMBERVALUE(SUBSTITUTE(LEFT(TRIM(C119),FIND(" ",TRIM(C119)&amp;" ")-1),",","."),"."),LEFT(SUBSTITUTE(LEFT(TRIM(C119),FIND(" ",TRIM(C119)&amp;" ")-1),",","."),FIND("/",SUBSTITUTE(LEFT(TRIM(C119),FIND(" ",TRIM(C119)&amp;" ")-1),",","."))-1)/MID(SUBSTITUTE(LEFT(TRIM(C119),FIND(" ",TRIM(C119)&amp;" ")-1),",","."),FIND("/",SUBSTITUTE(LEFT(TRIM(C119),FIND(" ",TRIM(C119)&amp;" ")-1),",","."))+1,9))*12/52,IF(ISNUMBER(SEARCH("month",C119)),IFERROR(_xlfn.NUMBERVALUE(SUBSTITUTE(LEFT(TRIM(C119),FIND(" ",TRIM(C119)&amp;" ")-1),",","."),"."),LEFT(SUBSTITUTE(LEFT(TRIM(C119),FIND(" ",TRIM(C119)&amp;" ")-1),",","."),FIND("/",SUBSTITUTE(LEFT(TRIM(C119),FIND(" ",TRIM(C119)&amp;" ")-1),",","."))-1)/MID(SUBSTITUTE(LEFT(TRIM(C119),FIND(" ",TRIM(C119)&amp;" ")-1),",","."),FIND("/",SUBSTITUTE(LEFT(TRIM(C119),FIND(" ",TRIM(C119)&amp;" ")-1),",","."))+1,9)),IF(ISNUMBER(SEARCH("yea",C119)),IFERROR(_xlfn.NUMBERVALUE(SUBSTITUTE(LEFT(TRIM(C119),FIND(" ",TRIM(C119)&amp;" ")-1),",","."),"."),LEFT(SUBSTITUTE(LEFT(TRIM(C119),FIND(" ",TRIM(C119)&amp;" ")-1),",","."),FIND("/",SUBSTITUTE(LEFT(TRIM(C119),FIND(" ",TRIM(C119)&amp;" ")-1),",","."))-1)/MID(SUBSTITUTE(LEFT(TRIM(C119),FIND(" ",TRIM(C119)&amp;" ")-1),",","."),FIND("/",SUBSTITUTE(LEFT(TRIM(C119),FIND(" ",TRIM(C119)&amp;" ")-1),",","."))+1,9))*12,NA()))),0),36)*'Aturan &amp; Tarif'!$B$4,2)</f>
        <v>2044.08</v>
      </c>
      <c r="K119" s="32" t="n">
        <f aca="false">'Aturan &amp; Tarif'!$B$5</f>
        <v>2050</v>
      </c>
      <c r="L119" s="32" t="n">
        <f aca="false">'Aturan &amp; Tarif'!$B$6</f>
        <v>350</v>
      </c>
      <c r="M119" s="35" t="n">
        <f aca="false">I119+J119+K119+L119</f>
        <v>24084.08</v>
      </c>
      <c r="N119" s="37" t="s">
        <v>318</v>
      </c>
    </row>
    <row r="120" customFormat="false" ht="14.25" hidden="false" customHeight="true" outlineLevel="0" collapsed="false">
      <c r="A120" s="29"/>
      <c r="B120" s="30" t="s">
        <v>385</v>
      </c>
      <c r="C120" s="31" t="s">
        <v>127</v>
      </c>
      <c r="D120" s="31" t="s">
        <v>108</v>
      </c>
      <c r="E120" s="32" t="n">
        <v>8098</v>
      </c>
      <c r="F120" s="32"/>
      <c r="G120" s="32"/>
      <c r="H120" s="33" t="n">
        <v>2</v>
      </c>
      <c r="I120" s="34" t="n">
        <f aca="false">E120*H120+N(F120)+N(G120)</f>
        <v>16196</v>
      </c>
      <c r="J120" s="32" t="n">
        <f aca="false">ROUND(IFERROR(ROUND(IF(OR(ISNUMBER(SEARCH("week",C120)),ISNUMBER(SEARCH("minggu",C120))),IFERROR(_xlfn.NUMBERVALUE(SUBSTITUTE(LEFT(TRIM(C120),FIND(" ",TRIM(C120)&amp;" ")-1),",","."),"."),LEFT(SUBSTITUTE(LEFT(TRIM(C120),FIND(" ",TRIM(C120)&amp;" ")-1),",","."),FIND("/",SUBSTITUTE(LEFT(TRIM(C120),FIND(" ",TRIM(C120)&amp;" ")-1),",","."))-1)/MID(SUBSTITUTE(LEFT(TRIM(C120),FIND(" ",TRIM(C120)&amp;" ")-1),",","."),FIND("/",SUBSTITUTE(LEFT(TRIM(C120),FIND(" ",TRIM(C120)&amp;" ")-1),",","."))+1,9))*12/52,IF(ISNUMBER(SEARCH("month",C120)),IFERROR(_xlfn.NUMBERVALUE(SUBSTITUTE(LEFT(TRIM(C120),FIND(" ",TRIM(C120)&amp;" ")-1),",","."),"."),LEFT(SUBSTITUTE(LEFT(TRIM(C120),FIND(" ",TRIM(C120)&amp;" ")-1),",","."),FIND("/",SUBSTITUTE(LEFT(TRIM(C120),FIND(" ",TRIM(C120)&amp;" ")-1),",","."))-1)/MID(SUBSTITUTE(LEFT(TRIM(C120),FIND(" ",TRIM(C120)&amp;" ")-1),",","."),FIND("/",SUBSTITUTE(LEFT(TRIM(C120),FIND(" ",TRIM(C120)&amp;" ")-1),",","."))+1,9)),IF(ISNUMBER(SEARCH("yea",C120)),IFERROR(_xlfn.NUMBERVALUE(SUBSTITUTE(LEFT(TRIM(C120),FIND(" ",TRIM(C120)&amp;" ")-1),",","."),"."),LEFT(SUBSTITUTE(LEFT(TRIM(C120),FIND(" ",TRIM(C120)&amp;" ")-1),",","."),FIND("/",SUBSTITUTE(LEFT(TRIM(C120),FIND(" ",TRIM(C120)&amp;" ")-1),",","."))-1)/MID(SUBSTITUTE(LEFT(TRIM(C120),FIND(" ",TRIM(C120)&amp;" ")-1),",","."),FIND("/",SUBSTITUTE(LEFT(TRIM(C120),FIND(" ",TRIM(C120)&amp;" ")-1),",","."))+1,9))*12,NA()))),0),36)*'Aturan &amp; Tarif'!$B$4,2)</f>
        <v>2044.08</v>
      </c>
      <c r="K120" s="32" t="n">
        <f aca="false">'Aturan &amp; Tarif'!$B$5</f>
        <v>2050</v>
      </c>
      <c r="L120" s="32" t="n">
        <f aca="false">'Aturan &amp; Tarif'!$B$6</f>
        <v>350</v>
      </c>
      <c r="M120" s="35" t="n">
        <f aca="false">I120+J120+K120+L120</f>
        <v>20640.08</v>
      </c>
      <c r="N120" s="37" t="s">
        <v>318</v>
      </c>
    </row>
    <row r="121" customFormat="false" ht="14.25" hidden="false" customHeight="true" outlineLevel="0" collapsed="false">
      <c r="A121" s="29"/>
      <c r="B121" s="30" t="s">
        <v>386</v>
      </c>
      <c r="C121" s="31" t="s">
        <v>191</v>
      </c>
      <c r="D121" s="31" t="s">
        <v>108</v>
      </c>
      <c r="E121" s="32" t="n">
        <v>13136</v>
      </c>
      <c r="F121" s="32"/>
      <c r="G121" s="32"/>
      <c r="H121" s="33" t="n">
        <v>2</v>
      </c>
      <c r="I121" s="34" t="n">
        <f aca="false">E121*H121+N(F121)+N(G121)</f>
        <v>26272</v>
      </c>
      <c r="J121" s="32" t="n">
        <f aca="false">ROUND(IFERROR(ROUND(IF(OR(ISNUMBER(SEARCH("week",C121)),ISNUMBER(SEARCH("minggu",C121))),IFERROR(_xlfn.NUMBERVALUE(SUBSTITUTE(LEFT(TRIM(C121),FIND(" ",TRIM(C121)&amp;" ")-1),",","."),"."),LEFT(SUBSTITUTE(LEFT(TRIM(C121),FIND(" ",TRIM(C121)&amp;" ")-1),",","."),FIND("/",SUBSTITUTE(LEFT(TRIM(C121),FIND(" ",TRIM(C121)&amp;" ")-1),",","."))-1)/MID(SUBSTITUTE(LEFT(TRIM(C121),FIND(" ",TRIM(C121)&amp;" ")-1),",","."),FIND("/",SUBSTITUTE(LEFT(TRIM(C121),FIND(" ",TRIM(C121)&amp;" ")-1),",","."))+1,9))*12/52,IF(ISNUMBER(SEARCH("month",C121)),IFERROR(_xlfn.NUMBERVALUE(SUBSTITUTE(LEFT(TRIM(C121),FIND(" ",TRIM(C121)&amp;" ")-1),",","."),"."),LEFT(SUBSTITUTE(LEFT(TRIM(C121),FIND(" ",TRIM(C121)&amp;" ")-1),",","."),FIND("/",SUBSTITUTE(LEFT(TRIM(C121),FIND(" ",TRIM(C121)&amp;" ")-1),",","."))-1)/MID(SUBSTITUTE(LEFT(TRIM(C121),FIND(" ",TRIM(C121)&amp;" ")-1),",","."),FIND("/",SUBSTITUTE(LEFT(TRIM(C121),FIND(" ",TRIM(C121)&amp;" ")-1),",","."))+1,9)),IF(ISNUMBER(SEARCH("yea",C121)),IFERROR(_xlfn.NUMBERVALUE(SUBSTITUTE(LEFT(TRIM(C121),FIND(" ",TRIM(C121)&amp;" ")-1),",","."),"."),LEFT(SUBSTITUTE(LEFT(TRIM(C121),FIND(" ",TRIM(C121)&amp;" ")-1),",","."),FIND("/",SUBSTITUTE(LEFT(TRIM(C121),FIND(" ",TRIM(C121)&amp;" ")-1),",","."))-1)/MID(SUBSTITUTE(LEFT(TRIM(C121),FIND(" ",TRIM(C121)&amp;" ")-1),",","."),FIND("/",SUBSTITUTE(LEFT(TRIM(C121),FIND(" ",TRIM(C121)&amp;" ")-1),",","."))+1,9))*12,NA()))),0),48)*'Aturan &amp; Tarif'!$B$4,2)</f>
        <v>2725.44</v>
      </c>
      <c r="K121" s="32" t="n">
        <f aca="false">'Aturan &amp; Tarif'!$B$5</f>
        <v>2050</v>
      </c>
      <c r="L121" s="32" t="n">
        <f aca="false">'Aturan &amp; Tarif'!$B$6</f>
        <v>350</v>
      </c>
      <c r="M121" s="35" t="n">
        <f aca="false">I121+J121+K121+L121</f>
        <v>31397.44</v>
      </c>
      <c r="N121" s="37" t="s">
        <v>318</v>
      </c>
    </row>
    <row r="122" customFormat="false" ht="72" hidden="false" customHeight="true" outlineLevel="0" collapsed="false">
      <c r="A122" s="29"/>
      <c r="B122" s="30" t="s">
        <v>387</v>
      </c>
      <c r="C122" s="31" t="s">
        <v>191</v>
      </c>
      <c r="D122" s="31" t="s">
        <v>108</v>
      </c>
      <c r="E122" s="32" t="n">
        <v>13136</v>
      </c>
      <c r="F122" s="32"/>
      <c r="G122" s="32"/>
      <c r="H122" s="33" t="n">
        <v>2</v>
      </c>
      <c r="I122" s="34" t="n">
        <f aca="false">E122*H122+N(F122)+N(G122)</f>
        <v>26272</v>
      </c>
      <c r="J122" s="32" t="n">
        <f aca="false">ROUND(IFERROR(ROUND(IF(OR(ISNUMBER(SEARCH("week",C122)),ISNUMBER(SEARCH("minggu",C122))),IFERROR(_xlfn.NUMBERVALUE(SUBSTITUTE(LEFT(TRIM(C122),FIND(" ",TRIM(C122)&amp;" ")-1),",","."),"."),LEFT(SUBSTITUTE(LEFT(TRIM(C122),FIND(" ",TRIM(C122)&amp;" ")-1),",","."),FIND("/",SUBSTITUTE(LEFT(TRIM(C122),FIND(" ",TRIM(C122)&amp;" ")-1),",","."))-1)/MID(SUBSTITUTE(LEFT(TRIM(C122),FIND(" ",TRIM(C122)&amp;" ")-1),",","."),FIND("/",SUBSTITUTE(LEFT(TRIM(C122),FIND(" ",TRIM(C122)&amp;" ")-1),",","."))+1,9))*12/52,IF(ISNUMBER(SEARCH("month",C122)),IFERROR(_xlfn.NUMBERVALUE(SUBSTITUTE(LEFT(TRIM(C122),FIND(" ",TRIM(C122)&amp;" ")-1),",","."),"."),LEFT(SUBSTITUTE(LEFT(TRIM(C122),FIND(" ",TRIM(C122)&amp;" ")-1),",","."),FIND("/",SUBSTITUTE(LEFT(TRIM(C122),FIND(" ",TRIM(C122)&amp;" ")-1),",","."))-1)/MID(SUBSTITUTE(LEFT(TRIM(C122),FIND(" ",TRIM(C122)&amp;" ")-1),",","."),FIND("/",SUBSTITUTE(LEFT(TRIM(C122),FIND(" ",TRIM(C122)&amp;" ")-1),",","."))+1,9)),IF(ISNUMBER(SEARCH("yea",C122)),IFERROR(_xlfn.NUMBERVALUE(SUBSTITUTE(LEFT(TRIM(C122),FIND(" ",TRIM(C122)&amp;" ")-1),",","."),"."),LEFT(SUBSTITUTE(LEFT(TRIM(C122),FIND(" ",TRIM(C122)&amp;" ")-1),",","."),FIND("/",SUBSTITUTE(LEFT(TRIM(C122),FIND(" ",TRIM(C122)&amp;" ")-1),",","."))-1)/MID(SUBSTITUTE(LEFT(TRIM(C122),FIND(" ",TRIM(C122)&amp;" ")-1),",","."),FIND("/",SUBSTITUTE(LEFT(TRIM(C122),FIND(" ",TRIM(C122)&amp;" ")-1),",","."))+1,9))*12,NA()))),0),48)*'Aturan &amp; Tarif'!$B$4,2)</f>
        <v>2725.44</v>
      </c>
      <c r="K122" s="32" t="n">
        <f aca="false">'Aturan &amp; Tarif'!$B$5</f>
        <v>2050</v>
      </c>
      <c r="L122" s="32" t="n">
        <f aca="false">'Aturan &amp; Tarif'!$B$6</f>
        <v>350</v>
      </c>
      <c r="M122" s="35" t="n">
        <f aca="false">I122+J122+K122+L122</f>
        <v>31397.44</v>
      </c>
      <c r="N122" s="36" t="s">
        <v>388</v>
      </c>
    </row>
    <row r="123" customFormat="false" ht="25.5" hidden="false" customHeight="true" outlineLevel="0" collapsed="false">
      <c r="A123" s="29"/>
      <c r="B123" s="30" t="s">
        <v>389</v>
      </c>
      <c r="C123" s="31" t="s">
        <v>191</v>
      </c>
      <c r="D123" s="31" t="s">
        <v>108</v>
      </c>
      <c r="E123" s="32" t="n">
        <v>8098</v>
      </c>
      <c r="F123" s="32"/>
      <c r="G123" s="32"/>
      <c r="H123" s="33" t="n">
        <v>2</v>
      </c>
      <c r="I123" s="34" t="n">
        <f aca="false">E123*H123+N(F123)+N(G123)</f>
        <v>16196</v>
      </c>
      <c r="J123" s="32" t="n">
        <f aca="false">ROUND(IFERROR(ROUND(IF(OR(ISNUMBER(SEARCH("week",C123)),ISNUMBER(SEARCH("minggu",C123))),IFERROR(_xlfn.NUMBERVALUE(SUBSTITUTE(LEFT(TRIM(C123),FIND(" ",TRIM(C123)&amp;" ")-1),",","."),"."),LEFT(SUBSTITUTE(LEFT(TRIM(C123),FIND(" ",TRIM(C123)&amp;" ")-1),",","."),FIND("/",SUBSTITUTE(LEFT(TRIM(C123),FIND(" ",TRIM(C123)&amp;" ")-1),",","."))-1)/MID(SUBSTITUTE(LEFT(TRIM(C123),FIND(" ",TRIM(C123)&amp;" ")-1),",","."),FIND("/",SUBSTITUTE(LEFT(TRIM(C123),FIND(" ",TRIM(C123)&amp;" ")-1),",","."))+1,9))*12/52,IF(ISNUMBER(SEARCH("month",C123)),IFERROR(_xlfn.NUMBERVALUE(SUBSTITUTE(LEFT(TRIM(C123),FIND(" ",TRIM(C123)&amp;" ")-1),",","."),"."),LEFT(SUBSTITUTE(LEFT(TRIM(C123),FIND(" ",TRIM(C123)&amp;" ")-1),",","."),FIND("/",SUBSTITUTE(LEFT(TRIM(C123),FIND(" ",TRIM(C123)&amp;" ")-1),",","."))-1)/MID(SUBSTITUTE(LEFT(TRIM(C123),FIND(" ",TRIM(C123)&amp;" ")-1),",","."),FIND("/",SUBSTITUTE(LEFT(TRIM(C123),FIND(" ",TRIM(C123)&amp;" ")-1),",","."))+1,9)),IF(ISNUMBER(SEARCH("yea",C123)),IFERROR(_xlfn.NUMBERVALUE(SUBSTITUTE(LEFT(TRIM(C123),FIND(" ",TRIM(C123)&amp;" ")-1),",","."),"."),LEFT(SUBSTITUTE(LEFT(TRIM(C123),FIND(" ",TRIM(C123)&amp;" ")-1),",","."),FIND("/",SUBSTITUTE(LEFT(TRIM(C123),FIND(" ",TRIM(C123)&amp;" ")-1),",","."))-1)/MID(SUBSTITUTE(LEFT(TRIM(C123),FIND(" ",TRIM(C123)&amp;" ")-1),",","."),FIND("/",SUBSTITUTE(LEFT(TRIM(C123),FIND(" ",TRIM(C123)&amp;" ")-1),",","."))+1,9))*12,NA()))),0),48)*'Aturan &amp; Tarif'!$B$4,2)</f>
        <v>2725.44</v>
      </c>
      <c r="K123" s="32" t="n">
        <f aca="false">'Aturan &amp; Tarif'!$B$5</f>
        <v>2050</v>
      </c>
      <c r="L123" s="32" t="n">
        <f aca="false">'Aturan &amp; Tarif'!$B$6</f>
        <v>350</v>
      </c>
      <c r="M123" s="35" t="n">
        <f aca="false">I123+J123+K123+L123</f>
        <v>21321.44</v>
      </c>
      <c r="N123" s="37" t="s">
        <v>318</v>
      </c>
    </row>
    <row r="124" customFormat="false" ht="37.5" hidden="false" customHeight="true" outlineLevel="0" collapsed="false">
      <c r="A124" s="29"/>
      <c r="B124" s="30" t="s">
        <v>390</v>
      </c>
      <c r="C124" s="31" t="s">
        <v>191</v>
      </c>
      <c r="D124" s="31" t="s">
        <v>108</v>
      </c>
      <c r="E124" s="32" t="n">
        <v>8098</v>
      </c>
      <c r="F124" s="32"/>
      <c r="G124" s="32"/>
      <c r="H124" s="33" t="n">
        <v>2</v>
      </c>
      <c r="I124" s="34" t="n">
        <f aca="false">E124*H124+N(F124)+N(G124)</f>
        <v>16196</v>
      </c>
      <c r="J124" s="32" t="n">
        <f aca="false">ROUND(IFERROR(ROUND(IF(OR(ISNUMBER(SEARCH("week",C124)),ISNUMBER(SEARCH("minggu",C124))),IFERROR(_xlfn.NUMBERVALUE(SUBSTITUTE(LEFT(TRIM(C124),FIND(" ",TRIM(C124)&amp;" ")-1),",","."),"."),LEFT(SUBSTITUTE(LEFT(TRIM(C124),FIND(" ",TRIM(C124)&amp;" ")-1),",","."),FIND("/",SUBSTITUTE(LEFT(TRIM(C124),FIND(" ",TRIM(C124)&amp;" ")-1),",","."))-1)/MID(SUBSTITUTE(LEFT(TRIM(C124),FIND(" ",TRIM(C124)&amp;" ")-1),",","."),FIND("/",SUBSTITUTE(LEFT(TRIM(C124),FIND(" ",TRIM(C124)&amp;" ")-1),",","."))+1,9))*12/52,IF(ISNUMBER(SEARCH("month",C124)),IFERROR(_xlfn.NUMBERVALUE(SUBSTITUTE(LEFT(TRIM(C124),FIND(" ",TRIM(C124)&amp;" ")-1),",","."),"."),LEFT(SUBSTITUTE(LEFT(TRIM(C124),FIND(" ",TRIM(C124)&amp;" ")-1),",","."),FIND("/",SUBSTITUTE(LEFT(TRIM(C124),FIND(" ",TRIM(C124)&amp;" ")-1),",","."))-1)/MID(SUBSTITUTE(LEFT(TRIM(C124),FIND(" ",TRIM(C124)&amp;" ")-1),",","."),FIND("/",SUBSTITUTE(LEFT(TRIM(C124),FIND(" ",TRIM(C124)&amp;" ")-1),",","."))+1,9)),IF(ISNUMBER(SEARCH("yea",C124)),IFERROR(_xlfn.NUMBERVALUE(SUBSTITUTE(LEFT(TRIM(C124),FIND(" ",TRIM(C124)&amp;" ")-1),",","."),"."),LEFT(SUBSTITUTE(LEFT(TRIM(C124),FIND(" ",TRIM(C124)&amp;" ")-1),",","."),FIND("/",SUBSTITUTE(LEFT(TRIM(C124),FIND(" ",TRIM(C124)&amp;" ")-1),",","."))-1)/MID(SUBSTITUTE(LEFT(TRIM(C124),FIND(" ",TRIM(C124)&amp;" ")-1),",","."),FIND("/",SUBSTITUTE(LEFT(TRIM(C124),FIND(" ",TRIM(C124)&amp;" ")-1),",","."))+1,9))*12,NA()))),0),48)*'Aturan &amp; Tarif'!$B$4,2)</f>
        <v>2725.44</v>
      </c>
      <c r="K124" s="32" t="n">
        <f aca="false">'Aturan &amp; Tarif'!$B$5</f>
        <v>2050</v>
      </c>
      <c r="L124" s="32" t="n">
        <f aca="false">'Aturan &amp; Tarif'!$B$6</f>
        <v>350</v>
      </c>
      <c r="M124" s="35" t="n">
        <f aca="false">I124+J124+K124+L124</f>
        <v>21321.44</v>
      </c>
      <c r="N124" s="36" t="s">
        <v>391</v>
      </c>
    </row>
    <row r="125" customFormat="false" ht="37.5" hidden="false" customHeight="true" outlineLevel="0" collapsed="false">
      <c r="A125" s="29"/>
      <c r="B125" s="30" t="s">
        <v>392</v>
      </c>
      <c r="C125" s="31" t="s">
        <v>191</v>
      </c>
      <c r="D125" s="31" t="s">
        <v>108</v>
      </c>
      <c r="E125" s="32" t="n">
        <v>8098</v>
      </c>
      <c r="F125" s="32"/>
      <c r="G125" s="32"/>
      <c r="H125" s="33" t="n">
        <v>2</v>
      </c>
      <c r="I125" s="34" t="n">
        <f aca="false">E125*H125+N(F125)+N(G125)</f>
        <v>16196</v>
      </c>
      <c r="J125" s="32" t="n">
        <f aca="false">ROUND(IFERROR(ROUND(IF(OR(ISNUMBER(SEARCH("week",C125)),ISNUMBER(SEARCH("minggu",C125))),IFERROR(_xlfn.NUMBERVALUE(SUBSTITUTE(LEFT(TRIM(C125),FIND(" ",TRIM(C125)&amp;" ")-1),",","."),"."),LEFT(SUBSTITUTE(LEFT(TRIM(C125),FIND(" ",TRIM(C125)&amp;" ")-1),",","."),FIND("/",SUBSTITUTE(LEFT(TRIM(C125),FIND(" ",TRIM(C125)&amp;" ")-1),",","."))-1)/MID(SUBSTITUTE(LEFT(TRIM(C125),FIND(" ",TRIM(C125)&amp;" ")-1),",","."),FIND("/",SUBSTITUTE(LEFT(TRIM(C125),FIND(" ",TRIM(C125)&amp;" ")-1),",","."))+1,9))*12/52,IF(ISNUMBER(SEARCH("month",C125)),IFERROR(_xlfn.NUMBERVALUE(SUBSTITUTE(LEFT(TRIM(C125),FIND(" ",TRIM(C125)&amp;" ")-1),",","."),"."),LEFT(SUBSTITUTE(LEFT(TRIM(C125),FIND(" ",TRIM(C125)&amp;" ")-1),",","."),FIND("/",SUBSTITUTE(LEFT(TRIM(C125),FIND(" ",TRIM(C125)&amp;" ")-1),",","."))-1)/MID(SUBSTITUTE(LEFT(TRIM(C125),FIND(" ",TRIM(C125)&amp;" ")-1),",","."),FIND("/",SUBSTITUTE(LEFT(TRIM(C125),FIND(" ",TRIM(C125)&amp;" ")-1),",","."))+1,9)),IF(ISNUMBER(SEARCH("yea",C125)),IFERROR(_xlfn.NUMBERVALUE(SUBSTITUTE(LEFT(TRIM(C125),FIND(" ",TRIM(C125)&amp;" ")-1),",","."),"."),LEFT(SUBSTITUTE(LEFT(TRIM(C125),FIND(" ",TRIM(C125)&amp;" ")-1),",","."),FIND("/",SUBSTITUTE(LEFT(TRIM(C125),FIND(" ",TRIM(C125)&amp;" ")-1),",","."))-1)/MID(SUBSTITUTE(LEFT(TRIM(C125),FIND(" ",TRIM(C125)&amp;" ")-1),",","."),FIND("/",SUBSTITUTE(LEFT(TRIM(C125),FIND(" ",TRIM(C125)&amp;" ")-1),",","."))+1,9))*12,NA()))),0),48)*'Aturan &amp; Tarif'!$B$4,2)</f>
        <v>2725.44</v>
      </c>
      <c r="K125" s="32" t="n">
        <f aca="false">'Aturan &amp; Tarif'!$B$5</f>
        <v>2050</v>
      </c>
      <c r="L125" s="32" t="n">
        <f aca="false">'Aturan &amp; Tarif'!$B$6</f>
        <v>350</v>
      </c>
      <c r="M125" s="35" t="n">
        <f aca="false">I125+J125+K125+L125</f>
        <v>21321.44</v>
      </c>
      <c r="N125" s="36" t="s">
        <v>391</v>
      </c>
    </row>
    <row r="126" customFormat="false" ht="25.5" hidden="false" customHeight="true" outlineLevel="0" collapsed="false">
      <c r="A126" s="29"/>
      <c r="B126" s="30" t="s">
        <v>393</v>
      </c>
      <c r="C126" s="31" t="s">
        <v>191</v>
      </c>
      <c r="D126" s="31" t="s">
        <v>108</v>
      </c>
      <c r="E126" s="32" t="n">
        <v>8098</v>
      </c>
      <c r="F126" s="32"/>
      <c r="G126" s="32"/>
      <c r="H126" s="33" t="n">
        <v>2</v>
      </c>
      <c r="I126" s="34" t="n">
        <f aca="false">E126*H126+N(F126)+N(G126)</f>
        <v>16196</v>
      </c>
      <c r="J126" s="32" t="n">
        <f aca="false">ROUND(IFERROR(ROUND(IF(OR(ISNUMBER(SEARCH("week",C126)),ISNUMBER(SEARCH("minggu",C126))),IFERROR(_xlfn.NUMBERVALUE(SUBSTITUTE(LEFT(TRIM(C126),FIND(" ",TRIM(C126)&amp;" ")-1),",","."),"."),LEFT(SUBSTITUTE(LEFT(TRIM(C126),FIND(" ",TRIM(C126)&amp;" ")-1),",","."),FIND("/",SUBSTITUTE(LEFT(TRIM(C126),FIND(" ",TRIM(C126)&amp;" ")-1),",","."))-1)/MID(SUBSTITUTE(LEFT(TRIM(C126),FIND(" ",TRIM(C126)&amp;" ")-1),",","."),FIND("/",SUBSTITUTE(LEFT(TRIM(C126),FIND(" ",TRIM(C126)&amp;" ")-1),",","."))+1,9))*12/52,IF(ISNUMBER(SEARCH("month",C126)),IFERROR(_xlfn.NUMBERVALUE(SUBSTITUTE(LEFT(TRIM(C126),FIND(" ",TRIM(C126)&amp;" ")-1),",","."),"."),LEFT(SUBSTITUTE(LEFT(TRIM(C126),FIND(" ",TRIM(C126)&amp;" ")-1),",","."),FIND("/",SUBSTITUTE(LEFT(TRIM(C126),FIND(" ",TRIM(C126)&amp;" ")-1),",","."))-1)/MID(SUBSTITUTE(LEFT(TRIM(C126),FIND(" ",TRIM(C126)&amp;" ")-1),",","."),FIND("/",SUBSTITUTE(LEFT(TRIM(C126),FIND(" ",TRIM(C126)&amp;" ")-1),",","."))+1,9)),IF(ISNUMBER(SEARCH("yea",C126)),IFERROR(_xlfn.NUMBERVALUE(SUBSTITUTE(LEFT(TRIM(C126),FIND(" ",TRIM(C126)&amp;" ")-1),",","."),"."),LEFT(SUBSTITUTE(LEFT(TRIM(C126),FIND(" ",TRIM(C126)&amp;" ")-1),",","."),FIND("/",SUBSTITUTE(LEFT(TRIM(C126),FIND(" ",TRIM(C126)&amp;" ")-1),",","."))-1)/MID(SUBSTITUTE(LEFT(TRIM(C126),FIND(" ",TRIM(C126)&amp;" ")-1),",","."),FIND("/",SUBSTITUTE(LEFT(TRIM(C126),FIND(" ",TRIM(C126)&amp;" ")-1),",","."))+1,9))*12,NA()))),0),48)*'Aturan &amp; Tarif'!$B$4,2)</f>
        <v>2725.44</v>
      </c>
      <c r="K126" s="32" t="n">
        <f aca="false">'Aturan &amp; Tarif'!$B$5</f>
        <v>2050</v>
      </c>
      <c r="L126" s="32" t="n">
        <f aca="false">'Aturan &amp; Tarif'!$B$6</f>
        <v>350</v>
      </c>
      <c r="M126" s="35" t="n">
        <f aca="false">I126+J126+K126+L126</f>
        <v>21321.44</v>
      </c>
      <c r="N126" s="37" t="s">
        <v>322</v>
      </c>
    </row>
    <row r="127" customFormat="false" ht="25.5" hidden="false" customHeight="true" outlineLevel="0" collapsed="false">
      <c r="A127" s="29"/>
      <c r="B127" s="30" t="s">
        <v>394</v>
      </c>
      <c r="C127" s="31" t="s">
        <v>191</v>
      </c>
      <c r="D127" s="31" t="s">
        <v>108</v>
      </c>
      <c r="E127" s="32" t="n">
        <v>8098</v>
      </c>
      <c r="F127" s="32"/>
      <c r="G127" s="32"/>
      <c r="H127" s="33" t="n">
        <v>2</v>
      </c>
      <c r="I127" s="34" t="n">
        <f aca="false">E127*H127+N(F127)+N(G127)</f>
        <v>16196</v>
      </c>
      <c r="J127" s="32" t="n">
        <f aca="false">ROUND(IFERROR(ROUND(IF(OR(ISNUMBER(SEARCH("week",C127)),ISNUMBER(SEARCH("minggu",C127))),IFERROR(_xlfn.NUMBERVALUE(SUBSTITUTE(LEFT(TRIM(C127),FIND(" ",TRIM(C127)&amp;" ")-1),",","."),"."),LEFT(SUBSTITUTE(LEFT(TRIM(C127),FIND(" ",TRIM(C127)&amp;" ")-1),",","."),FIND("/",SUBSTITUTE(LEFT(TRIM(C127),FIND(" ",TRIM(C127)&amp;" ")-1),",","."))-1)/MID(SUBSTITUTE(LEFT(TRIM(C127),FIND(" ",TRIM(C127)&amp;" ")-1),",","."),FIND("/",SUBSTITUTE(LEFT(TRIM(C127),FIND(" ",TRIM(C127)&amp;" ")-1),",","."))+1,9))*12/52,IF(ISNUMBER(SEARCH("month",C127)),IFERROR(_xlfn.NUMBERVALUE(SUBSTITUTE(LEFT(TRIM(C127),FIND(" ",TRIM(C127)&amp;" ")-1),",","."),"."),LEFT(SUBSTITUTE(LEFT(TRIM(C127),FIND(" ",TRIM(C127)&amp;" ")-1),",","."),FIND("/",SUBSTITUTE(LEFT(TRIM(C127),FIND(" ",TRIM(C127)&amp;" ")-1),",","."))-1)/MID(SUBSTITUTE(LEFT(TRIM(C127),FIND(" ",TRIM(C127)&amp;" ")-1),",","."),FIND("/",SUBSTITUTE(LEFT(TRIM(C127),FIND(" ",TRIM(C127)&amp;" ")-1),",","."))+1,9)),IF(ISNUMBER(SEARCH("yea",C127)),IFERROR(_xlfn.NUMBERVALUE(SUBSTITUTE(LEFT(TRIM(C127),FIND(" ",TRIM(C127)&amp;" ")-1),",","."),"."),LEFT(SUBSTITUTE(LEFT(TRIM(C127),FIND(" ",TRIM(C127)&amp;" ")-1),",","."),FIND("/",SUBSTITUTE(LEFT(TRIM(C127),FIND(" ",TRIM(C127)&amp;" ")-1),",","."))-1)/MID(SUBSTITUTE(LEFT(TRIM(C127),FIND(" ",TRIM(C127)&amp;" ")-1),",","."),FIND("/",SUBSTITUTE(LEFT(TRIM(C127),FIND(" ",TRIM(C127)&amp;" ")-1),",","."))+1,9))*12,NA()))),0),48)*'Aturan &amp; Tarif'!$B$4,2)</f>
        <v>2725.44</v>
      </c>
      <c r="K127" s="32" t="n">
        <f aca="false">'Aturan &amp; Tarif'!$B$5</f>
        <v>2050</v>
      </c>
      <c r="L127" s="32" t="n">
        <f aca="false">'Aturan &amp; Tarif'!$B$6</f>
        <v>350</v>
      </c>
      <c r="M127" s="35" t="n">
        <f aca="false">I127+J127+K127+L127</f>
        <v>21321.44</v>
      </c>
      <c r="N127" s="37" t="s">
        <v>322</v>
      </c>
    </row>
    <row r="128" customFormat="false" ht="25.5" hidden="false" customHeight="true" outlineLevel="0" collapsed="false">
      <c r="A128" s="29"/>
      <c r="B128" s="30" t="s">
        <v>387</v>
      </c>
      <c r="C128" s="31" t="s">
        <v>191</v>
      </c>
      <c r="D128" s="31" t="s">
        <v>108</v>
      </c>
      <c r="E128" s="32" t="n">
        <v>8098</v>
      </c>
      <c r="F128" s="32"/>
      <c r="G128" s="32"/>
      <c r="H128" s="33" t="n">
        <v>2</v>
      </c>
      <c r="I128" s="34" t="n">
        <f aca="false">E128*H128+N(F128)+N(G128)</f>
        <v>16196</v>
      </c>
      <c r="J128" s="32" t="n">
        <f aca="false">ROUND(IFERROR(ROUND(IF(OR(ISNUMBER(SEARCH("week",C128)),ISNUMBER(SEARCH("minggu",C128))),IFERROR(_xlfn.NUMBERVALUE(SUBSTITUTE(LEFT(TRIM(C128),FIND(" ",TRIM(C128)&amp;" ")-1),",","."),"."),LEFT(SUBSTITUTE(LEFT(TRIM(C128),FIND(" ",TRIM(C128)&amp;" ")-1),",","."),FIND("/",SUBSTITUTE(LEFT(TRIM(C128),FIND(" ",TRIM(C128)&amp;" ")-1),",","."))-1)/MID(SUBSTITUTE(LEFT(TRIM(C128),FIND(" ",TRIM(C128)&amp;" ")-1),",","."),FIND("/",SUBSTITUTE(LEFT(TRIM(C128),FIND(" ",TRIM(C128)&amp;" ")-1),",","."))+1,9))*12/52,IF(ISNUMBER(SEARCH("month",C128)),IFERROR(_xlfn.NUMBERVALUE(SUBSTITUTE(LEFT(TRIM(C128),FIND(" ",TRIM(C128)&amp;" ")-1),",","."),"."),LEFT(SUBSTITUTE(LEFT(TRIM(C128),FIND(" ",TRIM(C128)&amp;" ")-1),",","."),FIND("/",SUBSTITUTE(LEFT(TRIM(C128),FIND(" ",TRIM(C128)&amp;" ")-1),",","."))-1)/MID(SUBSTITUTE(LEFT(TRIM(C128),FIND(" ",TRIM(C128)&amp;" ")-1),",","."),FIND("/",SUBSTITUTE(LEFT(TRIM(C128),FIND(" ",TRIM(C128)&amp;" ")-1),",","."))+1,9)),IF(ISNUMBER(SEARCH("yea",C128)),IFERROR(_xlfn.NUMBERVALUE(SUBSTITUTE(LEFT(TRIM(C128),FIND(" ",TRIM(C128)&amp;" ")-1),",","."),"."),LEFT(SUBSTITUTE(LEFT(TRIM(C128),FIND(" ",TRIM(C128)&amp;" ")-1),",","."),FIND("/",SUBSTITUTE(LEFT(TRIM(C128),FIND(" ",TRIM(C128)&amp;" ")-1),",","."))-1)/MID(SUBSTITUTE(LEFT(TRIM(C128),FIND(" ",TRIM(C128)&amp;" ")-1),",","."),FIND("/",SUBSTITUTE(LEFT(TRIM(C128),FIND(" ",TRIM(C128)&amp;" ")-1),",","."))+1,9))*12,NA()))),0),48)*'Aturan &amp; Tarif'!$B$4,2)</f>
        <v>2725.44</v>
      </c>
      <c r="K128" s="32" t="n">
        <f aca="false">'Aturan &amp; Tarif'!$B$5</f>
        <v>2050</v>
      </c>
      <c r="L128" s="32" t="n">
        <f aca="false">'Aturan &amp; Tarif'!$B$6</f>
        <v>350</v>
      </c>
      <c r="M128" s="35" t="n">
        <f aca="false">I128+J128+K128+L128</f>
        <v>21321.44</v>
      </c>
      <c r="N128" s="37" t="s">
        <v>322</v>
      </c>
    </row>
    <row r="129" customFormat="false" ht="14.25" hidden="false" customHeight="true" outlineLevel="0" collapsed="false">
      <c r="A129" s="29"/>
      <c r="B129" s="30" t="s">
        <v>395</v>
      </c>
      <c r="C129" s="31" t="s">
        <v>191</v>
      </c>
      <c r="D129" s="31" t="s">
        <v>108</v>
      </c>
      <c r="E129" s="32" t="n">
        <v>8098</v>
      </c>
      <c r="F129" s="32"/>
      <c r="G129" s="32"/>
      <c r="H129" s="33" t="n">
        <v>2</v>
      </c>
      <c r="I129" s="34" t="n">
        <f aca="false">E129*H129+N(F129)+N(G129)</f>
        <v>16196</v>
      </c>
      <c r="J129" s="32" t="n">
        <f aca="false">ROUND(IFERROR(ROUND(IF(OR(ISNUMBER(SEARCH("week",C129)),ISNUMBER(SEARCH("minggu",C129))),IFERROR(_xlfn.NUMBERVALUE(SUBSTITUTE(LEFT(TRIM(C129),FIND(" ",TRIM(C129)&amp;" ")-1),",","."),"."),LEFT(SUBSTITUTE(LEFT(TRIM(C129),FIND(" ",TRIM(C129)&amp;" ")-1),",","."),FIND("/",SUBSTITUTE(LEFT(TRIM(C129),FIND(" ",TRIM(C129)&amp;" ")-1),",","."))-1)/MID(SUBSTITUTE(LEFT(TRIM(C129),FIND(" ",TRIM(C129)&amp;" ")-1),",","."),FIND("/",SUBSTITUTE(LEFT(TRIM(C129),FIND(" ",TRIM(C129)&amp;" ")-1),",","."))+1,9))*12/52,IF(ISNUMBER(SEARCH("month",C129)),IFERROR(_xlfn.NUMBERVALUE(SUBSTITUTE(LEFT(TRIM(C129),FIND(" ",TRIM(C129)&amp;" ")-1),",","."),"."),LEFT(SUBSTITUTE(LEFT(TRIM(C129),FIND(" ",TRIM(C129)&amp;" ")-1),",","."),FIND("/",SUBSTITUTE(LEFT(TRIM(C129),FIND(" ",TRIM(C129)&amp;" ")-1),",","."))-1)/MID(SUBSTITUTE(LEFT(TRIM(C129),FIND(" ",TRIM(C129)&amp;" ")-1),",","."),FIND("/",SUBSTITUTE(LEFT(TRIM(C129),FIND(" ",TRIM(C129)&amp;" ")-1),",","."))+1,9)),IF(ISNUMBER(SEARCH("yea",C129)),IFERROR(_xlfn.NUMBERVALUE(SUBSTITUTE(LEFT(TRIM(C129),FIND(" ",TRIM(C129)&amp;" ")-1),",","."),"."),LEFT(SUBSTITUTE(LEFT(TRIM(C129),FIND(" ",TRIM(C129)&amp;" ")-1),",","."),FIND("/",SUBSTITUTE(LEFT(TRIM(C129),FIND(" ",TRIM(C129)&amp;" ")-1),",","."))-1)/MID(SUBSTITUTE(LEFT(TRIM(C129),FIND(" ",TRIM(C129)&amp;" ")-1),",","."),FIND("/",SUBSTITUTE(LEFT(TRIM(C129),FIND(" ",TRIM(C129)&amp;" ")-1),",","."))+1,9))*12,NA()))),0),48)*'Aturan &amp; Tarif'!$B$4,2)</f>
        <v>2725.44</v>
      </c>
      <c r="K129" s="32" t="n">
        <f aca="false">'Aturan &amp; Tarif'!$B$5</f>
        <v>2050</v>
      </c>
      <c r="L129" s="32" t="n">
        <f aca="false">'Aturan &amp; Tarif'!$B$6</f>
        <v>350</v>
      </c>
      <c r="M129" s="35" t="n">
        <f aca="false">I129+J129+K129+L129</f>
        <v>21321.44</v>
      </c>
      <c r="N129" s="37" t="s">
        <v>322</v>
      </c>
    </row>
    <row r="130" customFormat="false" ht="14.25" hidden="false" customHeight="true" outlineLevel="0" collapsed="false">
      <c r="A130" s="29"/>
      <c r="B130" s="30" t="s">
        <v>396</v>
      </c>
      <c r="C130" s="31" t="s">
        <v>191</v>
      </c>
      <c r="D130" s="31" t="s">
        <v>108</v>
      </c>
      <c r="E130" s="32" t="n">
        <v>13136</v>
      </c>
      <c r="F130" s="32"/>
      <c r="G130" s="32"/>
      <c r="H130" s="33" t="n">
        <v>2</v>
      </c>
      <c r="I130" s="34" t="n">
        <f aca="false">E130*H130+N(F130)+N(G130)</f>
        <v>26272</v>
      </c>
      <c r="J130" s="32" t="n">
        <f aca="false">ROUND(IFERROR(ROUND(IF(OR(ISNUMBER(SEARCH("week",C130)),ISNUMBER(SEARCH("minggu",C130))),IFERROR(_xlfn.NUMBERVALUE(SUBSTITUTE(LEFT(TRIM(C130),FIND(" ",TRIM(C130)&amp;" ")-1),",","."),"."),LEFT(SUBSTITUTE(LEFT(TRIM(C130),FIND(" ",TRIM(C130)&amp;" ")-1),",","."),FIND("/",SUBSTITUTE(LEFT(TRIM(C130),FIND(" ",TRIM(C130)&amp;" ")-1),",","."))-1)/MID(SUBSTITUTE(LEFT(TRIM(C130),FIND(" ",TRIM(C130)&amp;" ")-1),",","."),FIND("/",SUBSTITUTE(LEFT(TRIM(C130),FIND(" ",TRIM(C130)&amp;" ")-1),",","."))+1,9))*12/52,IF(ISNUMBER(SEARCH("month",C130)),IFERROR(_xlfn.NUMBERVALUE(SUBSTITUTE(LEFT(TRIM(C130),FIND(" ",TRIM(C130)&amp;" ")-1),",","."),"."),LEFT(SUBSTITUTE(LEFT(TRIM(C130),FIND(" ",TRIM(C130)&amp;" ")-1),",","."),FIND("/",SUBSTITUTE(LEFT(TRIM(C130),FIND(" ",TRIM(C130)&amp;" ")-1),",","."))-1)/MID(SUBSTITUTE(LEFT(TRIM(C130),FIND(" ",TRIM(C130)&amp;" ")-1),",","."),FIND("/",SUBSTITUTE(LEFT(TRIM(C130),FIND(" ",TRIM(C130)&amp;" ")-1),",","."))+1,9)),IF(ISNUMBER(SEARCH("yea",C130)),IFERROR(_xlfn.NUMBERVALUE(SUBSTITUTE(LEFT(TRIM(C130),FIND(" ",TRIM(C130)&amp;" ")-1),",","."),"."),LEFT(SUBSTITUTE(LEFT(TRIM(C130),FIND(" ",TRIM(C130)&amp;" ")-1),",","."),FIND("/",SUBSTITUTE(LEFT(TRIM(C130),FIND(" ",TRIM(C130)&amp;" ")-1),",","."))-1)/MID(SUBSTITUTE(LEFT(TRIM(C130),FIND(" ",TRIM(C130)&amp;" ")-1),",","."),FIND("/",SUBSTITUTE(LEFT(TRIM(C130),FIND(" ",TRIM(C130)&amp;" ")-1),",","."))+1,9))*12,NA()))),0),48)*'Aturan &amp; Tarif'!$B$4,2)</f>
        <v>2725.44</v>
      </c>
      <c r="K130" s="32" t="n">
        <f aca="false">'Aturan &amp; Tarif'!$B$5</f>
        <v>2050</v>
      </c>
      <c r="L130" s="32" t="n">
        <f aca="false">'Aturan &amp; Tarif'!$B$6</f>
        <v>350</v>
      </c>
      <c r="M130" s="35" t="n">
        <f aca="false">I130+J130+K130+L130</f>
        <v>31397.44</v>
      </c>
      <c r="N130" s="37" t="s">
        <v>318</v>
      </c>
    </row>
    <row r="131" customFormat="false" ht="14.25" hidden="false" customHeight="true" outlineLevel="0" collapsed="false">
      <c r="A131" s="29"/>
      <c r="B131" s="30" t="s">
        <v>397</v>
      </c>
      <c r="C131" s="31" t="s">
        <v>130</v>
      </c>
      <c r="D131" s="31" t="s">
        <v>108</v>
      </c>
      <c r="E131" s="32" t="n">
        <v>8018</v>
      </c>
      <c r="F131" s="32"/>
      <c r="G131" s="32"/>
      <c r="H131" s="33" t="n">
        <v>2</v>
      </c>
      <c r="I131" s="34" t="n">
        <f aca="false">E131*H131+N(F131)+N(G131)</f>
        <v>16036</v>
      </c>
      <c r="J131" s="32" t="n">
        <f aca="false">ROUND(IFERROR(ROUND(IF(OR(ISNUMBER(SEARCH("week",C131)),ISNUMBER(SEARCH("minggu",C131))),IFERROR(_xlfn.NUMBERVALUE(SUBSTITUTE(LEFT(TRIM(C131),FIND(" ",TRIM(C131)&amp;" ")-1),",","."),"."),LEFT(SUBSTITUTE(LEFT(TRIM(C131),FIND(" ",TRIM(C131)&amp;" ")-1),",","."),FIND("/",SUBSTITUTE(LEFT(TRIM(C131),FIND(" ",TRIM(C131)&amp;" ")-1),",","."))-1)/MID(SUBSTITUTE(LEFT(TRIM(C131),FIND(" ",TRIM(C131)&amp;" ")-1),",","."),FIND("/",SUBSTITUTE(LEFT(TRIM(C131),FIND(" ",TRIM(C131)&amp;" ")-1),",","."))+1,9))*12/52,IF(ISNUMBER(SEARCH("month",C131)),IFERROR(_xlfn.NUMBERVALUE(SUBSTITUTE(LEFT(TRIM(C131),FIND(" ",TRIM(C131)&amp;" ")-1),",","."),"."),LEFT(SUBSTITUTE(LEFT(TRIM(C131),FIND(" ",TRIM(C131)&amp;" ")-1),",","."),FIND("/",SUBSTITUTE(LEFT(TRIM(C131),FIND(" ",TRIM(C131)&amp;" ")-1),",","."))-1)/MID(SUBSTITUTE(LEFT(TRIM(C131),FIND(" ",TRIM(C131)&amp;" ")-1),",","."),FIND("/",SUBSTITUTE(LEFT(TRIM(C131),FIND(" ",TRIM(C131)&amp;" ")-1),",","."))+1,9)),IF(ISNUMBER(SEARCH("yea",C131)),IFERROR(_xlfn.NUMBERVALUE(SUBSTITUTE(LEFT(TRIM(C131),FIND(" ",TRIM(C131)&amp;" ")-1),",","."),"."),LEFT(SUBSTITUTE(LEFT(TRIM(C131),FIND(" ",TRIM(C131)&amp;" ")-1),",","."),FIND("/",SUBSTITUTE(LEFT(TRIM(C131),FIND(" ",TRIM(C131)&amp;" ")-1),",","."))-1)/MID(SUBSTITUTE(LEFT(TRIM(C131),FIND(" ",TRIM(C131)&amp;" ")-1),",","."),FIND("/",SUBSTITUTE(LEFT(TRIM(C131),FIND(" ",TRIM(C131)&amp;" ")-1),",","."))+1,9))*12,NA()))),0),12)*'Aturan &amp; Tarif'!$B$4,2)</f>
        <v>681.36</v>
      </c>
      <c r="K131" s="32" t="n">
        <f aca="false">'Aturan &amp; Tarif'!$B$5</f>
        <v>2050</v>
      </c>
      <c r="L131" s="32" t="n">
        <f aca="false">'Aturan &amp; Tarif'!$B$6</f>
        <v>350</v>
      </c>
      <c r="M131" s="35" t="n">
        <f aca="false">I131+J131+K131+L131</f>
        <v>19117.36</v>
      </c>
      <c r="N131" s="37" t="s">
        <v>318</v>
      </c>
    </row>
    <row r="132" customFormat="false" ht="14.25" hidden="false" customHeight="true" outlineLevel="0" collapsed="false">
      <c r="A132" s="29"/>
      <c r="B132" s="30" t="s">
        <v>398</v>
      </c>
      <c r="C132" s="31" t="s">
        <v>107</v>
      </c>
      <c r="D132" s="31" t="s">
        <v>108</v>
      </c>
      <c r="E132" s="32" t="n">
        <v>8018</v>
      </c>
      <c r="F132" s="32"/>
      <c r="G132" s="32"/>
      <c r="H132" s="33" t="n">
        <v>2</v>
      </c>
      <c r="I132" s="34" t="n">
        <f aca="false">E132*H132+N(F132)+N(G132)</f>
        <v>16036</v>
      </c>
      <c r="J132" s="32" t="n">
        <f aca="false">ROUND(IFERROR(ROUND(IF(OR(ISNUMBER(SEARCH("week",C132)),ISNUMBER(SEARCH("minggu",C132))),IFERROR(_xlfn.NUMBERVALUE(SUBSTITUTE(LEFT(TRIM(C132),FIND(" ",TRIM(C132)&amp;" ")-1),",","."),"."),LEFT(SUBSTITUTE(LEFT(TRIM(C132),FIND(" ",TRIM(C132)&amp;" ")-1),",","."),FIND("/",SUBSTITUTE(LEFT(TRIM(C132),FIND(" ",TRIM(C132)&amp;" ")-1),",","."))-1)/MID(SUBSTITUTE(LEFT(TRIM(C132),FIND(" ",TRIM(C132)&amp;" ")-1),",","."),FIND("/",SUBSTITUTE(LEFT(TRIM(C132),FIND(" ",TRIM(C132)&amp;" ")-1),",","."))+1,9))*12/52,IF(ISNUMBER(SEARCH("month",C132)),IFERROR(_xlfn.NUMBERVALUE(SUBSTITUTE(LEFT(TRIM(C132),FIND(" ",TRIM(C132)&amp;" ")-1),",","."),"."),LEFT(SUBSTITUTE(LEFT(TRIM(C132),FIND(" ",TRIM(C132)&amp;" ")-1),",","."),FIND("/",SUBSTITUTE(LEFT(TRIM(C132),FIND(" ",TRIM(C132)&amp;" ")-1),",","."))-1)/MID(SUBSTITUTE(LEFT(TRIM(C132),FIND(" ",TRIM(C132)&amp;" ")-1),",","."),FIND("/",SUBSTITUTE(LEFT(TRIM(C132),FIND(" ",TRIM(C132)&amp;" ")-1),",","."))+1,9)),IF(ISNUMBER(SEARCH("yea",C132)),IFERROR(_xlfn.NUMBERVALUE(SUBSTITUTE(LEFT(TRIM(C132),FIND(" ",TRIM(C132)&amp;" ")-1),",","."),"."),LEFT(SUBSTITUTE(LEFT(TRIM(C132),FIND(" ",TRIM(C132)&amp;" ")-1),",","."),FIND("/",SUBSTITUTE(LEFT(TRIM(C132),FIND(" ",TRIM(C132)&amp;" ")-1),",","."))-1)/MID(SUBSTITUTE(LEFT(TRIM(C132),FIND(" ",TRIM(C132)&amp;" ")-1),",","."),FIND("/",SUBSTITUTE(LEFT(TRIM(C132),FIND(" ",TRIM(C132)&amp;" ")-1),",","."))+1,9))*12,NA()))),0),24)*'Aturan &amp; Tarif'!$B$4,2)</f>
        <v>1362.72</v>
      </c>
      <c r="K132" s="32" t="n">
        <f aca="false">'Aturan &amp; Tarif'!$B$5</f>
        <v>2050</v>
      </c>
      <c r="L132" s="32" t="n">
        <f aca="false">'Aturan &amp; Tarif'!$B$6</f>
        <v>350</v>
      </c>
      <c r="M132" s="35" t="n">
        <f aca="false">I132+J132+K132+L132</f>
        <v>19798.72</v>
      </c>
      <c r="N132" s="37" t="s">
        <v>318</v>
      </c>
    </row>
    <row r="133" customFormat="false" ht="14.25" hidden="false" customHeight="true" outlineLevel="0" collapsed="false">
      <c r="A133" s="29"/>
      <c r="B133" s="30" t="s">
        <v>399</v>
      </c>
      <c r="C133" s="31" t="s">
        <v>107</v>
      </c>
      <c r="D133" s="31" t="s">
        <v>108</v>
      </c>
      <c r="E133" s="32" t="n">
        <v>11410</v>
      </c>
      <c r="F133" s="32"/>
      <c r="G133" s="32"/>
      <c r="H133" s="33" t="n">
        <v>2</v>
      </c>
      <c r="I133" s="34" t="n">
        <f aca="false">E133*H133+N(F133)+N(G133)</f>
        <v>22820</v>
      </c>
      <c r="J133" s="32" t="n">
        <f aca="false">ROUND(IFERROR(ROUND(IF(OR(ISNUMBER(SEARCH("week",C133)),ISNUMBER(SEARCH("minggu",C133))),IFERROR(_xlfn.NUMBERVALUE(SUBSTITUTE(LEFT(TRIM(C133),FIND(" ",TRIM(C133)&amp;" ")-1),",","."),"."),LEFT(SUBSTITUTE(LEFT(TRIM(C133),FIND(" ",TRIM(C133)&amp;" ")-1),",","."),FIND("/",SUBSTITUTE(LEFT(TRIM(C133),FIND(" ",TRIM(C133)&amp;" ")-1),",","."))-1)/MID(SUBSTITUTE(LEFT(TRIM(C133),FIND(" ",TRIM(C133)&amp;" ")-1),",","."),FIND("/",SUBSTITUTE(LEFT(TRIM(C133),FIND(" ",TRIM(C133)&amp;" ")-1),",","."))+1,9))*12/52,IF(ISNUMBER(SEARCH("month",C133)),IFERROR(_xlfn.NUMBERVALUE(SUBSTITUTE(LEFT(TRIM(C133),FIND(" ",TRIM(C133)&amp;" ")-1),",","."),"."),LEFT(SUBSTITUTE(LEFT(TRIM(C133),FIND(" ",TRIM(C133)&amp;" ")-1),",","."),FIND("/",SUBSTITUTE(LEFT(TRIM(C133),FIND(" ",TRIM(C133)&amp;" ")-1),",","."))-1)/MID(SUBSTITUTE(LEFT(TRIM(C133),FIND(" ",TRIM(C133)&amp;" ")-1),",","."),FIND("/",SUBSTITUTE(LEFT(TRIM(C133),FIND(" ",TRIM(C133)&amp;" ")-1),",","."))+1,9)),IF(ISNUMBER(SEARCH("yea",C133)),IFERROR(_xlfn.NUMBERVALUE(SUBSTITUTE(LEFT(TRIM(C133),FIND(" ",TRIM(C133)&amp;" ")-1),",","."),"."),LEFT(SUBSTITUTE(LEFT(TRIM(C133),FIND(" ",TRIM(C133)&amp;" ")-1),",","."),FIND("/",SUBSTITUTE(LEFT(TRIM(C133),FIND(" ",TRIM(C133)&amp;" ")-1),",","."))-1)/MID(SUBSTITUTE(LEFT(TRIM(C133),FIND(" ",TRIM(C133)&amp;" ")-1),",","."),FIND("/",SUBSTITUTE(LEFT(TRIM(C133),FIND(" ",TRIM(C133)&amp;" ")-1),",","."))+1,9))*12,NA()))),0),24)*'Aturan &amp; Tarif'!$B$4,2)</f>
        <v>1362.72</v>
      </c>
      <c r="K133" s="32" t="n">
        <f aca="false">'Aturan &amp; Tarif'!$B$5</f>
        <v>2050</v>
      </c>
      <c r="L133" s="32" t="n">
        <f aca="false">'Aturan &amp; Tarif'!$B$6</f>
        <v>350</v>
      </c>
      <c r="M133" s="35" t="n">
        <f aca="false">I133+J133+K133+L133</f>
        <v>26582.72</v>
      </c>
      <c r="N133" s="37" t="s">
        <v>318</v>
      </c>
    </row>
    <row r="134" customFormat="false" ht="25.5" hidden="false" customHeight="true" outlineLevel="0" collapsed="false">
      <c r="A134" s="29"/>
      <c r="B134" s="30" t="s">
        <v>400</v>
      </c>
      <c r="C134" s="31" t="s">
        <v>107</v>
      </c>
      <c r="D134" s="31" t="s">
        <v>108</v>
      </c>
      <c r="E134" s="32" t="n">
        <v>8172</v>
      </c>
      <c r="F134" s="32"/>
      <c r="G134" s="32"/>
      <c r="H134" s="33" t="n">
        <v>2</v>
      </c>
      <c r="I134" s="34" t="n">
        <f aca="false">E134*H134+N(F134)+N(G134)</f>
        <v>16344</v>
      </c>
      <c r="J134" s="32" t="n">
        <f aca="false">ROUND(IFERROR(ROUND(IF(OR(ISNUMBER(SEARCH("week",C134)),ISNUMBER(SEARCH("minggu",C134))),IFERROR(_xlfn.NUMBERVALUE(SUBSTITUTE(LEFT(TRIM(C134),FIND(" ",TRIM(C134)&amp;" ")-1),",","."),"."),LEFT(SUBSTITUTE(LEFT(TRIM(C134),FIND(" ",TRIM(C134)&amp;" ")-1),",","."),FIND("/",SUBSTITUTE(LEFT(TRIM(C134),FIND(" ",TRIM(C134)&amp;" ")-1),",","."))-1)/MID(SUBSTITUTE(LEFT(TRIM(C134),FIND(" ",TRIM(C134)&amp;" ")-1),",","."),FIND("/",SUBSTITUTE(LEFT(TRIM(C134),FIND(" ",TRIM(C134)&amp;" ")-1),",","."))+1,9))*12/52,IF(ISNUMBER(SEARCH("month",C134)),IFERROR(_xlfn.NUMBERVALUE(SUBSTITUTE(LEFT(TRIM(C134),FIND(" ",TRIM(C134)&amp;" ")-1),",","."),"."),LEFT(SUBSTITUTE(LEFT(TRIM(C134),FIND(" ",TRIM(C134)&amp;" ")-1),",","."),FIND("/",SUBSTITUTE(LEFT(TRIM(C134),FIND(" ",TRIM(C134)&amp;" ")-1),",","."))-1)/MID(SUBSTITUTE(LEFT(TRIM(C134),FIND(" ",TRIM(C134)&amp;" ")-1),",","."),FIND("/",SUBSTITUTE(LEFT(TRIM(C134),FIND(" ",TRIM(C134)&amp;" ")-1),",","."))+1,9)),IF(ISNUMBER(SEARCH("yea",C134)),IFERROR(_xlfn.NUMBERVALUE(SUBSTITUTE(LEFT(TRIM(C134),FIND(" ",TRIM(C134)&amp;" ")-1),",","."),"."),LEFT(SUBSTITUTE(LEFT(TRIM(C134),FIND(" ",TRIM(C134)&amp;" ")-1),",","."),FIND("/",SUBSTITUTE(LEFT(TRIM(C134),FIND(" ",TRIM(C134)&amp;" ")-1),",","."))-1)/MID(SUBSTITUTE(LEFT(TRIM(C134),FIND(" ",TRIM(C134)&amp;" ")-1),",","."),FIND("/",SUBSTITUTE(LEFT(TRIM(C134),FIND(" ",TRIM(C134)&amp;" ")-1),",","."))+1,9))*12,NA()))),0),24)*'Aturan &amp; Tarif'!$B$4,2)</f>
        <v>1362.72</v>
      </c>
      <c r="K134" s="32" t="n">
        <f aca="false">'Aturan &amp; Tarif'!$B$5</f>
        <v>2050</v>
      </c>
      <c r="L134" s="32" t="n">
        <f aca="false">'Aturan &amp; Tarif'!$B$6</f>
        <v>350</v>
      </c>
      <c r="M134" s="35" t="n">
        <f aca="false">I134+J134+K134+L134</f>
        <v>20106.72</v>
      </c>
      <c r="N134" s="37" t="s">
        <v>318</v>
      </c>
    </row>
    <row r="135" customFormat="false" ht="14.25" hidden="false" customHeight="true" outlineLevel="0" collapsed="false">
      <c r="A135" s="29"/>
      <c r="B135" s="30" t="s">
        <v>285</v>
      </c>
      <c r="C135" s="31" t="s">
        <v>107</v>
      </c>
      <c r="D135" s="31" t="s">
        <v>108</v>
      </c>
      <c r="E135" s="32" t="n">
        <v>9288</v>
      </c>
      <c r="F135" s="32"/>
      <c r="G135" s="32"/>
      <c r="H135" s="33" t="n">
        <v>2</v>
      </c>
      <c r="I135" s="34" t="n">
        <f aca="false">E135*H135+N(F135)+N(G135)</f>
        <v>18576</v>
      </c>
      <c r="J135" s="32" t="n">
        <f aca="false">ROUND(IFERROR(ROUND(IF(OR(ISNUMBER(SEARCH("week",C135)),ISNUMBER(SEARCH("minggu",C135))),IFERROR(_xlfn.NUMBERVALUE(SUBSTITUTE(LEFT(TRIM(C135),FIND(" ",TRIM(C135)&amp;" ")-1),",","."),"."),LEFT(SUBSTITUTE(LEFT(TRIM(C135),FIND(" ",TRIM(C135)&amp;" ")-1),",","."),FIND("/",SUBSTITUTE(LEFT(TRIM(C135),FIND(" ",TRIM(C135)&amp;" ")-1),",","."))-1)/MID(SUBSTITUTE(LEFT(TRIM(C135),FIND(" ",TRIM(C135)&amp;" ")-1),",","."),FIND("/",SUBSTITUTE(LEFT(TRIM(C135),FIND(" ",TRIM(C135)&amp;" ")-1),",","."))+1,9))*12/52,IF(ISNUMBER(SEARCH("month",C135)),IFERROR(_xlfn.NUMBERVALUE(SUBSTITUTE(LEFT(TRIM(C135),FIND(" ",TRIM(C135)&amp;" ")-1),",","."),"."),LEFT(SUBSTITUTE(LEFT(TRIM(C135),FIND(" ",TRIM(C135)&amp;" ")-1),",","."),FIND("/",SUBSTITUTE(LEFT(TRIM(C135),FIND(" ",TRIM(C135)&amp;" ")-1),",","."))-1)/MID(SUBSTITUTE(LEFT(TRIM(C135),FIND(" ",TRIM(C135)&amp;" ")-1),",","."),FIND("/",SUBSTITUTE(LEFT(TRIM(C135),FIND(" ",TRIM(C135)&amp;" ")-1),",","."))+1,9)),IF(ISNUMBER(SEARCH("yea",C135)),IFERROR(_xlfn.NUMBERVALUE(SUBSTITUTE(LEFT(TRIM(C135),FIND(" ",TRIM(C135)&amp;" ")-1),",","."),"."),LEFT(SUBSTITUTE(LEFT(TRIM(C135),FIND(" ",TRIM(C135)&amp;" ")-1),",","."),FIND("/",SUBSTITUTE(LEFT(TRIM(C135),FIND(" ",TRIM(C135)&amp;" ")-1),",","."))-1)/MID(SUBSTITUTE(LEFT(TRIM(C135),FIND(" ",TRIM(C135)&amp;" ")-1),",","."),FIND("/",SUBSTITUTE(LEFT(TRIM(C135),FIND(" ",TRIM(C135)&amp;" ")-1),",","."))+1,9))*12,NA()))),0),24)*'Aturan &amp; Tarif'!$B$4,2)</f>
        <v>1362.72</v>
      </c>
      <c r="K135" s="32" t="n">
        <f aca="false">'Aturan &amp; Tarif'!$B$5</f>
        <v>2050</v>
      </c>
      <c r="L135" s="32" t="n">
        <f aca="false">'Aturan &amp; Tarif'!$B$6</f>
        <v>350</v>
      </c>
      <c r="M135" s="35" t="n">
        <f aca="false">I135+J135+K135+L135</f>
        <v>22338.72</v>
      </c>
      <c r="N135" s="37" t="s">
        <v>318</v>
      </c>
    </row>
    <row r="136" customFormat="false" ht="14.25" hidden="false" customHeight="true" outlineLevel="0" collapsed="false">
      <c r="A136" s="29"/>
      <c r="B136" s="30" t="s">
        <v>287</v>
      </c>
      <c r="C136" s="31" t="s">
        <v>107</v>
      </c>
      <c r="D136" s="31" t="s">
        <v>108</v>
      </c>
      <c r="E136" s="32" t="n">
        <v>9288</v>
      </c>
      <c r="F136" s="32"/>
      <c r="G136" s="32"/>
      <c r="H136" s="33" t="n">
        <v>2</v>
      </c>
      <c r="I136" s="34" t="n">
        <f aca="false">E136*H136+N(F136)+N(G136)</f>
        <v>18576</v>
      </c>
      <c r="J136" s="32" t="n">
        <f aca="false">ROUND(IFERROR(ROUND(IF(OR(ISNUMBER(SEARCH("week",C136)),ISNUMBER(SEARCH("minggu",C136))),IFERROR(_xlfn.NUMBERVALUE(SUBSTITUTE(LEFT(TRIM(C136),FIND(" ",TRIM(C136)&amp;" ")-1),",","."),"."),LEFT(SUBSTITUTE(LEFT(TRIM(C136),FIND(" ",TRIM(C136)&amp;" ")-1),",","."),FIND("/",SUBSTITUTE(LEFT(TRIM(C136),FIND(" ",TRIM(C136)&amp;" ")-1),",","."))-1)/MID(SUBSTITUTE(LEFT(TRIM(C136),FIND(" ",TRIM(C136)&amp;" ")-1),",","."),FIND("/",SUBSTITUTE(LEFT(TRIM(C136),FIND(" ",TRIM(C136)&amp;" ")-1),",","."))+1,9))*12/52,IF(ISNUMBER(SEARCH("month",C136)),IFERROR(_xlfn.NUMBERVALUE(SUBSTITUTE(LEFT(TRIM(C136),FIND(" ",TRIM(C136)&amp;" ")-1),",","."),"."),LEFT(SUBSTITUTE(LEFT(TRIM(C136),FIND(" ",TRIM(C136)&amp;" ")-1),",","."),FIND("/",SUBSTITUTE(LEFT(TRIM(C136),FIND(" ",TRIM(C136)&amp;" ")-1),",","."))-1)/MID(SUBSTITUTE(LEFT(TRIM(C136),FIND(" ",TRIM(C136)&amp;" ")-1),",","."),FIND("/",SUBSTITUTE(LEFT(TRIM(C136),FIND(" ",TRIM(C136)&amp;" ")-1),",","."))+1,9)),IF(ISNUMBER(SEARCH("yea",C136)),IFERROR(_xlfn.NUMBERVALUE(SUBSTITUTE(LEFT(TRIM(C136),FIND(" ",TRIM(C136)&amp;" ")-1),",","."),"."),LEFT(SUBSTITUTE(LEFT(TRIM(C136),FIND(" ",TRIM(C136)&amp;" ")-1),",","."),FIND("/",SUBSTITUTE(LEFT(TRIM(C136),FIND(" ",TRIM(C136)&amp;" ")-1),",","."))-1)/MID(SUBSTITUTE(LEFT(TRIM(C136),FIND(" ",TRIM(C136)&amp;" ")-1),",","."),FIND("/",SUBSTITUTE(LEFT(TRIM(C136),FIND(" ",TRIM(C136)&amp;" ")-1),",","."))+1,9))*12,NA()))),0),24)*'Aturan &amp; Tarif'!$B$4,2)</f>
        <v>1362.72</v>
      </c>
      <c r="K136" s="32" t="n">
        <f aca="false">'Aturan &amp; Tarif'!$B$5</f>
        <v>2050</v>
      </c>
      <c r="L136" s="32" t="n">
        <f aca="false">'Aturan &amp; Tarif'!$B$6</f>
        <v>350</v>
      </c>
      <c r="M136" s="35" t="n">
        <f aca="false">I136+J136+K136+L136</f>
        <v>22338.72</v>
      </c>
      <c r="N136" s="37" t="s">
        <v>318</v>
      </c>
    </row>
    <row r="137" customFormat="false" ht="25.5" hidden="false" customHeight="true" outlineLevel="0" collapsed="false">
      <c r="A137" s="29"/>
      <c r="B137" s="30" t="s">
        <v>401</v>
      </c>
      <c r="C137" s="31" t="s">
        <v>107</v>
      </c>
      <c r="D137" s="31" t="s">
        <v>108</v>
      </c>
      <c r="E137" s="32" t="n">
        <v>9288</v>
      </c>
      <c r="F137" s="32"/>
      <c r="G137" s="32"/>
      <c r="H137" s="33" t="n">
        <v>2</v>
      </c>
      <c r="I137" s="34" t="n">
        <f aca="false">E137*H137+N(F137)+N(G137)</f>
        <v>18576</v>
      </c>
      <c r="J137" s="32" t="n">
        <f aca="false">ROUND(IFERROR(ROUND(IF(OR(ISNUMBER(SEARCH("week",C137)),ISNUMBER(SEARCH("minggu",C137))),IFERROR(_xlfn.NUMBERVALUE(SUBSTITUTE(LEFT(TRIM(C137),FIND(" ",TRIM(C137)&amp;" ")-1),",","."),"."),LEFT(SUBSTITUTE(LEFT(TRIM(C137),FIND(" ",TRIM(C137)&amp;" ")-1),",","."),FIND("/",SUBSTITUTE(LEFT(TRIM(C137),FIND(" ",TRIM(C137)&amp;" ")-1),",","."))-1)/MID(SUBSTITUTE(LEFT(TRIM(C137),FIND(" ",TRIM(C137)&amp;" ")-1),",","."),FIND("/",SUBSTITUTE(LEFT(TRIM(C137),FIND(" ",TRIM(C137)&amp;" ")-1),",","."))+1,9))*12/52,IF(ISNUMBER(SEARCH("month",C137)),IFERROR(_xlfn.NUMBERVALUE(SUBSTITUTE(LEFT(TRIM(C137),FIND(" ",TRIM(C137)&amp;" ")-1),",","."),"."),LEFT(SUBSTITUTE(LEFT(TRIM(C137),FIND(" ",TRIM(C137)&amp;" ")-1),",","."),FIND("/",SUBSTITUTE(LEFT(TRIM(C137),FIND(" ",TRIM(C137)&amp;" ")-1),",","."))-1)/MID(SUBSTITUTE(LEFT(TRIM(C137),FIND(" ",TRIM(C137)&amp;" ")-1),",","."),FIND("/",SUBSTITUTE(LEFT(TRIM(C137),FIND(" ",TRIM(C137)&amp;" ")-1),",","."))+1,9)),IF(ISNUMBER(SEARCH("yea",C137)),IFERROR(_xlfn.NUMBERVALUE(SUBSTITUTE(LEFT(TRIM(C137),FIND(" ",TRIM(C137)&amp;" ")-1),",","."),"."),LEFT(SUBSTITUTE(LEFT(TRIM(C137),FIND(" ",TRIM(C137)&amp;" ")-1),",","."),FIND("/",SUBSTITUTE(LEFT(TRIM(C137),FIND(" ",TRIM(C137)&amp;" ")-1),",","."))-1)/MID(SUBSTITUTE(LEFT(TRIM(C137),FIND(" ",TRIM(C137)&amp;" ")-1),",","."),FIND("/",SUBSTITUTE(LEFT(TRIM(C137),FIND(" ",TRIM(C137)&amp;" ")-1),",","."))+1,9))*12,NA()))),0),24)*'Aturan &amp; Tarif'!$B$4,2)</f>
        <v>1362.72</v>
      </c>
      <c r="K137" s="32" t="n">
        <f aca="false">'Aturan &amp; Tarif'!$B$5</f>
        <v>2050</v>
      </c>
      <c r="L137" s="32" t="n">
        <f aca="false">'Aturan &amp; Tarif'!$B$6</f>
        <v>350</v>
      </c>
      <c r="M137" s="35" t="n">
        <f aca="false">I137+J137+K137+L137</f>
        <v>22338.72</v>
      </c>
      <c r="N137" s="37" t="s">
        <v>318</v>
      </c>
    </row>
    <row r="138" customFormat="false" ht="14.25" hidden="false" customHeight="true" outlineLevel="0" collapsed="false">
      <c r="A138" s="29"/>
      <c r="B138" s="30" t="s">
        <v>283</v>
      </c>
      <c r="C138" s="31" t="s">
        <v>107</v>
      </c>
      <c r="D138" s="31" t="s">
        <v>108</v>
      </c>
      <c r="E138" s="32" t="n">
        <v>8018</v>
      </c>
      <c r="F138" s="32"/>
      <c r="G138" s="32"/>
      <c r="H138" s="33" t="n">
        <v>2</v>
      </c>
      <c r="I138" s="34" t="n">
        <f aca="false">E138*H138+N(F138)+N(G138)</f>
        <v>16036</v>
      </c>
      <c r="J138" s="32" t="n">
        <f aca="false">ROUND(IFERROR(ROUND(IF(OR(ISNUMBER(SEARCH("week",C138)),ISNUMBER(SEARCH("minggu",C138))),IFERROR(_xlfn.NUMBERVALUE(SUBSTITUTE(LEFT(TRIM(C138),FIND(" ",TRIM(C138)&amp;" ")-1),",","."),"."),LEFT(SUBSTITUTE(LEFT(TRIM(C138),FIND(" ",TRIM(C138)&amp;" ")-1),",","."),FIND("/",SUBSTITUTE(LEFT(TRIM(C138),FIND(" ",TRIM(C138)&amp;" ")-1),",","."))-1)/MID(SUBSTITUTE(LEFT(TRIM(C138),FIND(" ",TRIM(C138)&amp;" ")-1),",","."),FIND("/",SUBSTITUTE(LEFT(TRIM(C138),FIND(" ",TRIM(C138)&amp;" ")-1),",","."))+1,9))*12/52,IF(ISNUMBER(SEARCH("month",C138)),IFERROR(_xlfn.NUMBERVALUE(SUBSTITUTE(LEFT(TRIM(C138),FIND(" ",TRIM(C138)&amp;" ")-1),",","."),"."),LEFT(SUBSTITUTE(LEFT(TRIM(C138),FIND(" ",TRIM(C138)&amp;" ")-1),",","."),FIND("/",SUBSTITUTE(LEFT(TRIM(C138),FIND(" ",TRIM(C138)&amp;" ")-1),",","."))-1)/MID(SUBSTITUTE(LEFT(TRIM(C138),FIND(" ",TRIM(C138)&amp;" ")-1),",","."),FIND("/",SUBSTITUTE(LEFT(TRIM(C138),FIND(" ",TRIM(C138)&amp;" ")-1),",","."))+1,9)),IF(ISNUMBER(SEARCH("yea",C138)),IFERROR(_xlfn.NUMBERVALUE(SUBSTITUTE(LEFT(TRIM(C138),FIND(" ",TRIM(C138)&amp;" ")-1),",","."),"."),LEFT(SUBSTITUTE(LEFT(TRIM(C138),FIND(" ",TRIM(C138)&amp;" ")-1),",","."),FIND("/",SUBSTITUTE(LEFT(TRIM(C138),FIND(" ",TRIM(C138)&amp;" ")-1),",","."))-1)/MID(SUBSTITUTE(LEFT(TRIM(C138),FIND(" ",TRIM(C138)&amp;" ")-1),",","."),FIND("/",SUBSTITUTE(LEFT(TRIM(C138),FIND(" ",TRIM(C138)&amp;" ")-1),",","."))+1,9))*12,NA()))),0),24)*'Aturan &amp; Tarif'!$B$4,2)</f>
        <v>1362.72</v>
      </c>
      <c r="K138" s="32" t="n">
        <f aca="false">'Aturan &amp; Tarif'!$B$5</f>
        <v>2050</v>
      </c>
      <c r="L138" s="32" t="n">
        <f aca="false">'Aturan &amp; Tarif'!$B$6</f>
        <v>350</v>
      </c>
      <c r="M138" s="35" t="n">
        <f aca="false">I138+J138+K138+L138</f>
        <v>19798.72</v>
      </c>
      <c r="N138" s="37" t="s">
        <v>318</v>
      </c>
    </row>
    <row r="139" customFormat="false" ht="25.5" hidden="false" customHeight="true" outlineLevel="0" collapsed="false">
      <c r="A139" s="29"/>
      <c r="B139" s="30" t="s">
        <v>402</v>
      </c>
      <c r="C139" s="31" t="s">
        <v>107</v>
      </c>
      <c r="D139" s="31" t="s">
        <v>108</v>
      </c>
      <c r="E139" s="32" t="n">
        <v>8018</v>
      </c>
      <c r="F139" s="32"/>
      <c r="G139" s="32"/>
      <c r="H139" s="33" t="n">
        <v>2</v>
      </c>
      <c r="I139" s="34" t="n">
        <f aca="false">E139*H139+N(F139)+N(G139)</f>
        <v>16036</v>
      </c>
      <c r="J139" s="32" t="n">
        <f aca="false">ROUND(IFERROR(ROUND(IF(OR(ISNUMBER(SEARCH("week",C139)),ISNUMBER(SEARCH("minggu",C139))),IFERROR(_xlfn.NUMBERVALUE(SUBSTITUTE(LEFT(TRIM(C139),FIND(" ",TRIM(C139)&amp;" ")-1),",","."),"."),LEFT(SUBSTITUTE(LEFT(TRIM(C139),FIND(" ",TRIM(C139)&amp;" ")-1),",","."),FIND("/",SUBSTITUTE(LEFT(TRIM(C139),FIND(" ",TRIM(C139)&amp;" ")-1),",","."))-1)/MID(SUBSTITUTE(LEFT(TRIM(C139),FIND(" ",TRIM(C139)&amp;" ")-1),",","."),FIND("/",SUBSTITUTE(LEFT(TRIM(C139),FIND(" ",TRIM(C139)&amp;" ")-1),",","."))+1,9))*12/52,IF(ISNUMBER(SEARCH("month",C139)),IFERROR(_xlfn.NUMBERVALUE(SUBSTITUTE(LEFT(TRIM(C139),FIND(" ",TRIM(C139)&amp;" ")-1),",","."),"."),LEFT(SUBSTITUTE(LEFT(TRIM(C139),FIND(" ",TRIM(C139)&amp;" ")-1),",","."),FIND("/",SUBSTITUTE(LEFT(TRIM(C139),FIND(" ",TRIM(C139)&amp;" ")-1),",","."))-1)/MID(SUBSTITUTE(LEFT(TRIM(C139),FIND(" ",TRIM(C139)&amp;" ")-1),",","."),FIND("/",SUBSTITUTE(LEFT(TRIM(C139),FIND(" ",TRIM(C139)&amp;" ")-1),",","."))+1,9)),IF(ISNUMBER(SEARCH("yea",C139)),IFERROR(_xlfn.NUMBERVALUE(SUBSTITUTE(LEFT(TRIM(C139),FIND(" ",TRIM(C139)&amp;" ")-1),",","."),"."),LEFT(SUBSTITUTE(LEFT(TRIM(C139),FIND(" ",TRIM(C139)&amp;" ")-1),",","."),FIND("/",SUBSTITUTE(LEFT(TRIM(C139),FIND(" ",TRIM(C139)&amp;" ")-1),",","."))-1)/MID(SUBSTITUTE(LEFT(TRIM(C139),FIND(" ",TRIM(C139)&amp;" ")-1),",","."),FIND("/",SUBSTITUTE(LEFT(TRIM(C139),FIND(" ",TRIM(C139)&amp;" ")-1),",","."))+1,9))*12,NA()))),0),24)*'Aturan &amp; Tarif'!$B$4,2)</f>
        <v>1362.72</v>
      </c>
      <c r="K139" s="32" t="n">
        <f aca="false">'Aturan &amp; Tarif'!$B$5</f>
        <v>2050</v>
      </c>
      <c r="L139" s="32" t="n">
        <f aca="false">'Aturan &amp; Tarif'!$B$6</f>
        <v>350</v>
      </c>
      <c r="M139" s="35" t="n">
        <f aca="false">I139+J139+K139+L139</f>
        <v>19798.72</v>
      </c>
      <c r="N139" s="37" t="s">
        <v>318</v>
      </c>
    </row>
    <row r="140" customFormat="false" ht="14.25" hidden="false" customHeight="true" outlineLevel="0" collapsed="false">
      <c r="A140" s="29"/>
      <c r="B140" s="30" t="s">
        <v>289</v>
      </c>
      <c r="C140" s="31" t="s">
        <v>107</v>
      </c>
      <c r="D140" s="31" t="s">
        <v>108</v>
      </c>
      <c r="E140" s="32" t="n">
        <v>8018</v>
      </c>
      <c r="F140" s="32"/>
      <c r="G140" s="32"/>
      <c r="H140" s="33" t="n">
        <v>2</v>
      </c>
      <c r="I140" s="34" t="n">
        <f aca="false">E140*H140+N(F140)+N(G140)</f>
        <v>16036</v>
      </c>
      <c r="J140" s="32" t="n">
        <f aca="false">ROUND(IFERROR(ROUND(IF(OR(ISNUMBER(SEARCH("week",C140)),ISNUMBER(SEARCH("minggu",C140))),IFERROR(_xlfn.NUMBERVALUE(SUBSTITUTE(LEFT(TRIM(C140),FIND(" ",TRIM(C140)&amp;" ")-1),",","."),"."),LEFT(SUBSTITUTE(LEFT(TRIM(C140),FIND(" ",TRIM(C140)&amp;" ")-1),",","."),FIND("/",SUBSTITUTE(LEFT(TRIM(C140),FIND(" ",TRIM(C140)&amp;" ")-1),",","."))-1)/MID(SUBSTITUTE(LEFT(TRIM(C140),FIND(" ",TRIM(C140)&amp;" ")-1),",","."),FIND("/",SUBSTITUTE(LEFT(TRIM(C140),FIND(" ",TRIM(C140)&amp;" ")-1),",","."))+1,9))*12/52,IF(ISNUMBER(SEARCH("month",C140)),IFERROR(_xlfn.NUMBERVALUE(SUBSTITUTE(LEFT(TRIM(C140),FIND(" ",TRIM(C140)&amp;" ")-1),",","."),"."),LEFT(SUBSTITUTE(LEFT(TRIM(C140),FIND(" ",TRIM(C140)&amp;" ")-1),",","."),FIND("/",SUBSTITUTE(LEFT(TRIM(C140),FIND(" ",TRIM(C140)&amp;" ")-1),",","."))-1)/MID(SUBSTITUTE(LEFT(TRIM(C140),FIND(" ",TRIM(C140)&amp;" ")-1),",","."),FIND("/",SUBSTITUTE(LEFT(TRIM(C140),FIND(" ",TRIM(C140)&amp;" ")-1),",","."))+1,9)),IF(ISNUMBER(SEARCH("yea",C140)),IFERROR(_xlfn.NUMBERVALUE(SUBSTITUTE(LEFT(TRIM(C140),FIND(" ",TRIM(C140)&amp;" ")-1),",","."),"."),LEFT(SUBSTITUTE(LEFT(TRIM(C140),FIND(" ",TRIM(C140)&amp;" ")-1),",","."),FIND("/",SUBSTITUTE(LEFT(TRIM(C140),FIND(" ",TRIM(C140)&amp;" ")-1),",","."))-1)/MID(SUBSTITUTE(LEFT(TRIM(C140),FIND(" ",TRIM(C140)&amp;" ")-1),",","."),FIND("/",SUBSTITUTE(LEFT(TRIM(C140),FIND(" ",TRIM(C140)&amp;" ")-1),",","."))+1,9))*12,NA()))),0),24)*'Aturan &amp; Tarif'!$B$4,2)</f>
        <v>1362.72</v>
      </c>
      <c r="K140" s="32" t="n">
        <f aca="false">'Aturan &amp; Tarif'!$B$5</f>
        <v>2050</v>
      </c>
      <c r="L140" s="32" t="n">
        <f aca="false">'Aturan &amp; Tarif'!$B$6</f>
        <v>350</v>
      </c>
      <c r="M140" s="35" t="n">
        <f aca="false">I140+J140+K140+L140</f>
        <v>19798.72</v>
      </c>
      <c r="N140" s="37" t="s">
        <v>318</v>
      </c>
    </row>
    <row r="141" customFormat="false" ht="14.25" hidden="false" customHeight="true" outlineLevel="0" collapsed="false">
      <c r="A141" s="29"/>
      <c r="B141" s="30" t="s">
        <v>403</v>
      </c>
      <c r="C141" s="31" t="s">
        <v>127</v>
      </c>
      <c r="D141" s="31" t="s">
        <v>108</v>
      </c>
      <c r="E141" s="32" t="n">
        <v>7162</v>
      </c>
      <c r="F141" s="32"/>
      <c r="G141" s="32"/>
      <c r="H141" s="33" t="n">
        <v>2</v>
      </c>
      <c r="I141" s="34" t="n">
        <f aca="false">E141*H141+N(F141)+N(G141)</f>
        <v>14324</v>
      </c>
      <c r="J141" s="32" t="n">
        <f aca="false">ROUND(IFERROR(ROUND(IF(OR(ISNUMBER(SEARCH("week",C141)),ISNUMBER(SEARCH("minggu",C141))),IFERROR(_xlfn.NUMBERVALUE(SUBSTITUTE(LEFT(TRIM(C141),FIND(" ",TRIM(C141)&amp;" ")-1),",","."),"."),LEFT(SUBSTITUTE(LEFT(TRIM(C141),FIND(" ",TRIM(C141)&amp;" ")-1),",","."),FIND("/",SUBSTITUTE(LEFT(TRIM(C141),FIND(" ",TRIM(C141)&amp;" ")-1),",","."))-1)/MID(SUBSTITUTE(LEFT(TRIM(C141),FIND(" ",TRIM(C141)&amp;" ")-1),",","."),FIND("/",SUBSTITUTE(LEFT(TRIM(C141),FIND(" ",TRIM(C141)&amp;" ")-1),",","."))+1,9))*12/52,IF(ISNUMBER(SEARCH("month",C141)),IFERROR(_xlfn.NUMBERVALUE(SUBSTITUTE(LEFT(TRIM(C141),FIND(" ",TRIM(C141)&amp;" ")-1),",","."),"."),LEFT(SUBSTITUTE(LEFT(TRIM(C141),FIND(" ",TRIM(C141)&amp;" ")-1),",","."),FIND("/",SUBSTITUTE(LEFT(TRIM(C141),FIND(" ",TRIM(C141)&amp;" ")-1),",","."))-1)/MID(SUBSTITUTE(LEFT(TRIM(C141),FIND(" ",TRIM(C141)&amp;" ")-1),",","."),FIND("/",SUBSTITUTE(LEFT(TRIM(C141),FIND(" ",TRIM(C141)&amp;" ")-1),",","."))+1,9)),IF(ISNUMBER(SEARCH("yea",C141)),IFERROR(_xlfn.NUMBERVALUE(SUBSTITUTE(LEFT(TRIM(C141),FIND(" ",TRIM(C141)&amp;" ")-1),",","."),"."),LEFT(SUBSTITUTE(LEFT(TRIM(C141),FIND(" ",TRIM(C141)&amp;" ")-1),",","."),FIND("/",SUBSTITUTE(LEFT(TRIM(C141),FIND(" ",TRIM(C141)&amp;" ")-1),",","."))-1)/MID(SUBSTITUTE(LEFT(TRIM(C141),FIND(" ",TRIM(C141)&amp;" ")-1),",","."),FIND("/",SUBSTITUTE(LEFT(TRIM(C141),FIND(" ",TRIM(C141)&amp;" ")-1),",","."))+1,9))*12,NA()))),0),36)*'Aturan &amp; Tarif'!$B$4,2)</f>
        <v>2044.08</v>
      </c>
      <c r="K141" s="32" t="n">
        <f aca="false">'Aturan &amp; Tarif'!$B$5</f>
        <v>2050</v>
      </c>
      <c r="L141" s="32" t="n">
        <f aca="false">'Aturan &amp; Tarif'!$B$6</f>
        <v>350</v>
      </c>
      <c r="M141" s="35" t="n">
        <f aca="false">I141+J141+K141+L141</f>
        <v>18768.08</v>
      </c>
      <c r="N141" s="37" t="s">
        <v>318</v>
      </c>
    </row>
    <row r="142" customFormat="false" ht="25.5" hidden="false" customHeight="true" outlineLevel="0" collapsed="false">
      <c r="A142" s="29"/>
      <c r="B142" s="30" t="s">
        <v>404</v>
      </c>
      <c r="C142" s="31" t="s">
        <v>191</v>
      </c>
      <c r="D142" s="31" t="s">
        <v>108</v>
      </c>
      <c r="E142" s="32" t="n">
        <v>7162</v>
      </c>
      <c r="F142" s="32"/>
      <c r="G142" s="32"/>
      <c r="H142" s="33" t="n">
        <v>2</v>
      </c>
      <c r="I142" s="34" t="n">
        <f aca="false">E142*H142+N(F142)+N(G142)</f>
        <v>14324</v>
      </c>
      <c r="J142" s="32" t="n">
        <f aca="false">ROUND(IFERROR(ROUND(IF(OR(ISNUMBER(SEARCH("week",C142)),ISNUMBER(SEARCH("minggu",C142))),IFERROR(_xlfn.NUMBERVALUE(SUBSTITUTE(LEFT(TRIM(C142),FIND(" ",TRIM(C142)&amp;" ")-1),",","."),"."),LEFT(SUBSTITUTE(LEFT(TRIM(C142),FIND(" ",TRIM(C142)&amp;" ")-1),",","."),FIND("/",SUBSTITUTE(LEFT(TRIM(C142),FIND(" ",TRIM(C142)&amp;" ")-1),",","."))-1)/MID(SUBSTITUTE(LEFT(TRIM(C142),FIND(" ",TRIM(C142)&amp;" ")-1),",","."),FIND("/",SUBSTITUTE(LEFT(TRIM(C142),FIND(" ",TRIM(C142)&amp;" ")-1),",","."))+1,9))*12/52,IF(ISNUMBER(SEARCH("month",C142)),IFERROR(_xlfn.NUMBERVALUE(SUBSTITUTE(LEFT(TRIM(C142),FIND(" ",TRIM(C142)&amp;" ")-1),",","."),"."),LEFT(SUBSTITUTE(LEFT(TRIM(C142),FIND(" ",TRIM(C142)&amp;" ")-1),",","."),FIND("/",SUBSTITUTE(LEFT(TRIM(C142),FIND(" ",TRIM(C142)&amp;" ")-1),",","."))-1)/MID(SUBSTITUTE(LEFT(TRIM(C142),FIND(" ",TRIM(C142)&amp;" ")-1),",","."),FIND("/",SUBSTITUTE(LEFT(TRIM(C142),FIND(" ",TRIM(C142)&amp;" ")-1),",","."))+1,9)),IF(ISNUMBER(SEARCH("yea",C142)),IFERROR(_xlfn.NUMBERVALUE(SUBSTITUTE(LEFT(TRIM(C142),FIND(" ",TRIM(C142)&amp;" ")-1),",","."),"."),LEFT(SUBSTITUTE(LEFT(TRIM(C142),FIND(" ",TRIM(C142)&amp;" ")-1),",","."),FIND("/",SUBSTITUTE(LEFT(TRIM(C142),FIND(" ",TRIM(C142)&amp;" ")-1),",","."))-1)/MID(SUBSTITUTE(LEFT(TRIM(C142),FIND(" ",TRIM(C142)&amp;" ")-1),",","."),FIND("/",SUBSTITUTE(LEFT(TRIM(C142),FIND(" ",TRIM(C142)&amp;" ")-1),",","."))+1,9))*12,NA()))),0),48)*'Aturan &amp; Tarif'!$B$4,2)</f>
        <v>2725.44</v>
      </c>
      <c r="K142" s="32" t="n">
        <f aca="false">'Aturan &amp; Tarif'!$B$5</f>
        <v>2050</v>
      </c>
      <c r="L142" s="32" t="n">
        <f aca="false">'Aturan &amp; Tarif'!$B$6</f>
        <v>350</v>
      </c>
      <c r="M142" s="35" t="n">
        <f aca="false">I142+J142+K142+L142</f>
        <v>19449.44</v>
      </c>
      <c r="N142" s="37" t="s">
        <v>318</v>
      </c>
    </row>
    <row r="143" customFormat="false" ht="14.25" hidden="false" customHeight="true" outlineLevel="0" collapsed="false">
      <c r="A143" s="29"/>
      <c r="B143" s="30" t="s">
        <v>405</v>
      </c>
      <c r="C143" s="31" t="s">
        <v>127</v>
      </c>
      <c r="D143" s="31" t="s">
        <v>108</v>
      </c>
      <c r="E143" s="32" t="n">
        <v>8682</v>
      </c>
      <c r="F143" s="32"/>
      <c r="G143" s="32"/>
      <c r="H143" s="33" t="n">
        <v>2</v>
      </c>
      <c r="I143" s="34" t="n">
        <f aca="false">E143*H143+N(F143)+N(G143)</f>
        <v>17364</v>
      </c>
      <c r="J143" s="32" t="n">
        <f aca="false">ROUND(IFERROR(ROUND(IF(OR(ISNUMBER(SEARCH("week",C143)),ISNUMBER(SEARCH("minggu",C143))),IFERROR(_xlfn.NUMBERVALUE(SUBSTITUTE(LEFT(TRIM(C143),FIND(" ",TRIM(C143)&amp;" ")-1),",","."),"."),LEFT(SUBSTITUTE(LEFT(TRIM(C143),FIND(" ",TRIM(C143)&amp;" ")-1),",","."),FIND("/",SUBSTITUTE(LEFT(TRIM(C143),FIND(" ",TRIM(C143)&amp;" ")-1),",","."))-1)/MID(SUBSTITUTE(LEFT(TRIM(C143),FIND(" ",TRIM(C143)&amp;" ")-1),",","."),FIND("/",SUBSTITUTE(LEFT(TRIM(C143),FIND(" ",TRIM(C143)&amp;" ")-1),",","."))+1,9))*12/52,IF(ISNUMBER(SEARCH("month",C143)),IFERROR(_xlfn.NUMBERVALUE(SUBSTITUTE(LEFT(TRIM(C143),FIND(" ",TRIM(C143)&amp;" ")-1),",","."),"."),LEFT(SUBSTITUTE(LEFT(TRIM(C143),FIND(" ",TRIM(C143)&amp;" ")-1),",","."),FIND("/",SUBSTITUTE(LEFT(TRIM(C143),FIND(" ",TRIM(C143)&amp;" ")-1),",","."))-1)/MID(SUBSTITUTE(LEFT(TRIM(C143),FIND(" ",TRIM(C143)&amp;" ")-1),",","."),FIND("/",SUBSTITUTE(LEFT(TRIM(C143),FIND(" ",TRIM(C143)&amp;" ")-1),",","."))+1,9)),IF(ISNUMBER(SEARCH("yea",C143)),IFERROR(_xlfn.NUMBERVALUE(SUBSTITUTE(LEFT(TRIM(C143),FIND(" ",TRIM(C143)&amp;" ")-1),",","."),"."),LEFT(SUBSTITUTE(LEFT(TRIM(C143),FIND(" ",TRIM(C143)&amp;" ")-1),",","."),FIND("/",SUBSTITUTE(LEFT(TRIM(C143),FIND(" ",TRIM(C143)&amp;" ")-1),",","."))-1)/MID(SUBSTITUTE(LEFT(TRIM(C143),FIND(" ",TRIM(C143)&amp;" ")-1),",","."),FIND("/",SUBSTITUTE(LEFT(TRIM(C143),FIND(" ",TRIM(C143)&amp;" ")-1),",","."))+1,9))*12,NA()))),0),36)*'Aturan &amp; Tarif'!$B$4,2)</f>
        <v>2044.08</v>
      </c>
      <c r="K143" s="32" t="n">
        <f aca="false">'Aturan &amp; Tarif'!$B$5</f>
        <v>2050</v>
      </c>
      <c r="L143" s="32" t="n">
        <f aca="false">'Aturan &amp; Tarif'!$B$6</f>
        <v>350</v>
      </c>
      <c r="M143" s="35" t="n">
        <f aca="false">I143+J143+K143+L143</f>
        <v>21808.08</v>
      </c>
      <c r="N143" s="37" t="s">
        <v>318</v>
      </c>
    </row>
    <row r="144" customFormat="false" ht="14.25" hidden="false" customHeight="true" outlineLevel="0" collapsed="false">
      <c r="A144" s="29"/>
      <c r="B144" s="30" t="s">
        <v>406</v>
      </c>
      <c r="C144" s="31" t="s">
        <v>191</v>
      </c>
      <c r="D144" s="31" t="s">
        <v>108</v>
      </c>
      <c r="E144" s="32" t="n">
        <v>8682</v>
      </c>
      <c r="F144" s="32"/>
      <c r="G144" s="32"/>
      <c r="H144" s="33" t="n">
        <v>2</v>
      </c>
      <c r="I144" s="34" t="n">
        <f aca="false">E144*H144+N(F144)+N(G144)</f>
        <v>17364</v>
      </c>
      <c r="J144" s="32" t="n">
        <f aca="false">ROUND(IFERROR(ROUND(IF(OR(ISNUMBER(SEARCH("week",C144)),ISNUMBER(SEARCH("minggu",C144))),IFERROR(_xlfn.NUMBERVALUE(SUBSTITUTE(LEFT(TRIM(C144),FIND(" ",TRIM(C144)&amp;" ")-1),",","."),"."),LEFT(SUBSTITUTE(LEFT(TRIM(C144),FIND(" ",TRIM(C144)&amp;" ")-1),",","."),FIND("/",SUBSTITUTE(LEFT(TRIM(C144),FIND(" ",TRIM(C144)&amp;" ")-1),",","."))-1)/MID(SUBSTITUTE(LEFT(TRIM(C144),FIND(" ",TRIM(C144)&amp;" ")-1),",","."),FIND("/",SUBSTITUTE(LEFT(TRIM(C144),FIND(" ",TRIM(C144)&amp;" ")-1),",","."))+1,9))*12/52,IF(ISNUMBER(SEARCH("month",C144)),IFERROR(_xlfn.NUMBERVALUE(SUBSTITUTE(LEFT(TRIM(C144),FIND(" ",TRIM(C144)&amp;" ")-1),",","."),"."),LEFT(SUBSTITUTE(LEFT(TRIM(C144),FIND(" ",TRIM(C144)&amp;" ")-1),",","."),FIND("/",SUBSTITUTE(LEFT(TRIM(C144),FIND(" ",TRIM(C144)&amp;" ")-1),",","."))-1)/MID(SUBSTITUTE(LEFT(TRIM(C144),FIND(" ",TRIM(C144)&amp;" ")-1),",","."),FIND("/",SUBSTITUTE(LEFT(TRIM(C144),FIND(" ",TRIM(C144)&amp;" ")-1),",","."))+1,9)),IF(ISNUMBER(SEARCH("yea",C144)),IFERROR(_xlfn.NUMBERVALUE(SUBSTITUTE(LEFT(TRIM(C144),FIND(" ",TRIM(C144)&amp;" ")-1),",","."),"."),LEFT(SUBSTITUTE(LEFT(TRIM(C144),FIND(" ",TRIM(C144)&amp;" ")-1),",","."),FIND("/",SUBSTITUTE(LEFT(TRIM(C144),FIND(" ",TRIM(C144)&amp;" ")-1),",","."))-1)/MID(SUBSTITUTE(LEFT(TRIM(C144),FIND(" ",TRIM(C144)&amp;" ")-1),",","."),FIND("/",SUBSTITUTE(LEFT(TRIM(C144),FIND(" ",TRIM(C144)&amp;" ")-1),",","."))+1,9))*12,NA()))),0),48)*'Aturan &amp; Tarif'!$B$4,2)</f>
        <v>2725.44</v>
      </c>
      <c r="K144" s="32" t="n">
        <f aca="false">'Aturan &amp; Tarif'!$B$5</f>
        <v>2050</v>
      </c>
      <c r="L144" s="32" t="n">
        <f aca="false">'Aturan &amp; Tarif'!$B$6</f>
        <v>350</v>
      </c>
      <c r="M144" s="35" t="n">
        <f aca="false">I144+J144+K144+L144</f>
        <v>22489.44</v>
      </c>
      <c r="N144" s="37" t="s">
        <v>318</v>
      </c>
    </row>
    <row r="145" customFormat="false" ht="14.25" hidden="false" customHeight="true" outlineLevel="0" collapsed="false">
      <c r="A145" s="29"/>
      <c r="B145" s="30" t="s">
        <v>407</v>
      </c>
      <c r="C145" s="31" t="s">
        <v>107</v>
      </c>
      <c r="D145" s="31" t="s">
        <v>108</v>
      </c>
      <c r="E145" s="32" t="n">
        <v>8682</v>
      </c>
      <c r="F145" s="32"/>
      <c r="G145" s="32"/>
      <c r="H145" s="33" t="n">
        <v>2</v>
      </c>
      <c r="I145" s="34" t="n">
        <f aca="false">E145*H145+N(F145)+N(G145)</f>
        <v>17364</v>
      </c>
      <c r="J145" s="32" t="n">
        <f aca="false">ROUND(IFERROR(ROUND(IF(OR(ISNUMBER(SEARCH("week",C145)),ISNUMBER(SEARCH("minggu",C145))),IFERROR(_xlfn.NUMBERVALUE(SUBSTITUTE(LEFT(TRIM(C145),FIND(" ",TRIM(C145)&amp;" ")-1),",","."),"."),LEFT(SUBSTITUTE(LEFT(TRIM(C145),FIND(" ",TRIM(C145)&amp;" ")-1),",","."),FIND("/",SUBSTITUTE(LEFT(TRIM(C145),FIND(" ",TRIM(C145)&amp;" ")-1),",","."))-1)/MID(SUBSTITUTE(LEFT(TRIM(C145),FIND(" ",TRIM(C145)&amp;" ")-1),",","."),FIND("/",SUBSTITUTE(LEFT(TRIM(C145),FIND(" ",TRIM(C145)&amp;" ")-1),",","."))+1,9))*12/52,IF(ISNUMBER(SEARCH("month",C145)),IFERROR(_xlfn.NUMBERVALUE(SUBSTITUTE(LEFT(TRIM(C145),FIND(" ",TRIM(C145)&amp;" ")-1),",","."),"."),LEFT(SUBSTITUTE(LEFT(TRIM(C145),FIND(" ",TRIM(C145)&amp;" ")-1),",","."),FIND("/",SUBSTITUTE(LEFT(TRIM(C145),FIND(" ",TRIM(C145)&amp;" ")-1),",","."))-1)/MID(SUBSTITUTE(LEFT(TRIM(C145),FIND(" ",TRIM(C145)&amp;" ")-1),",","."),FIND("/",SUBSTITUTE(LEFT(TRIM(C145),FIND(" ",TRIM(C145)&amp;" ")-1),",","."))+1,9)),IF(ISNUMBER(SEARCH("yea",C145)),IFERROR(_xlfn.NUMBERVALUE(SUBSTITUTE(LEFT(TRIM(C145),FIND(" ",TRIM(C145)&amp;" ")-1),",","."),"."),LEFT(SUBSTITUTE(LEFT(TRIM(C145),FIND(" ",TRIM(C145)&amp;" ")-1),",","."),FIND("/",SUBSTITUTE(LEFT(TRIM(C145),FIND(" ",TRIM(C145)&amp;" ")-1),",","."))-1)/MID(SUBSTITUTE(LEFT(TRIM(C145),FIND(" ",TRIM(C145)&amp;" ")-1),",","."),FIND("/",SUBSTITUTE(LEFT(TRIM(C145),FIND(" ",TRIM(C145)&amp;" ")-1),",","."))+1,9))*12,NA()))),0),24)*'Aturan &amp; Tarif'!$B$4,2)</f>
        <v>1362.72</v>
      </c>
      <c r="K145" s="32" t="n">
        <f aca="false">'Aturan &amp; Tarif'!$B$5</f>
        <v>2050</v>
      </c>
      <c r="L145" s="32" t="n">
        <f aca="false">'Aturan &amp; Tarif'!$B$6</f>
        <v>350</v>
      </c>
      <c r="M145" s="35" t="n">
        <f aca="false">I145+J145+K145+L145</f>
        <v>21126.72</v>
      </c>
      <c r="N145" s="37" t="s">
        <v>318</v>
      </c>
    </row>
    <row r="146" customFormat="false" ht="14.25" hidden="false" customHeight="true" outlineLevel="0" collapsed="false">
      <c r="A146" s="29"/>
      <c r="B146" s="30" t="s">
        <v>408</v>
      </c>
      <c r="C146" s="31" t="s">
        <v>130</v>
      </c>
      <c r="D146" s="31" t="s">
        <v>108</v>
      </c>
      <c r="E146" s="32" t="n">
        <v>7086</v>
      </c>
      <c r="F146" s="32"/>
      <c r="G146" s="32"/>
      <c r="H146" s="33" t="n">
        <v>2</v>
      </c>
      <c r="I146" s="34" t="n">
        <f aca="false">E146*H146+N(F146)+N(G146)</f>
        <v>14172</v>
      </c>
      <c r="J146" s="32" t="n">
        <f aca="false">ROUND(IFERROR(ROUND(IF(OR(ISNUMBER(SEARCH("week",C146)),ISNUMBER(SEARCH("minggu",C146))),IFERROR(_xlfn.NUMBERVALUE(SUBSTITUTE(LEFT(TRIM(C146),FIND(" ",TRIM(C146)&amp;" ")-1),",","."),"."),LEFT(SUBSTITUTE(LEFT(TRIM(C146),FIND(" ",TRIM(C146)&amp;" ")-1),",","."),FIND("/",SUBSTITUTE(LEFT(TRIM(C146),FIND(" ",TRIM(C146)&amp;" ")-1),",","."))-1)/MID(SUBSTITUTE(LEFT(TRIM(C146),FIND(" ",TRIM(C146)&amp;" ")-1),",","."),FIND("/",SUBSTITUTE(LEFT(TRIM(C146),FIND(" ",TRIM(C146)&amp;" ")-1),",","."))+1,9))*12/52,IF(ISNUMBER(SEARCH("month",C146)),IFERROR(_xlfn.NUMBERVALUE(SUBSTITUTE(LEFT(TRIM(C146),FIND(" ",TRIM(C146)&amp;" ")-1),",","."),"."),LEFT(SUBSTITUTE(LEFT(TRIM(C146),FIND(" ",TRIM(C146)&amp;" ")-1),",","."),FIND("/",SUBSTITUTE(LEFT(TRIM(C146),FIND(" ",TRIM(C146)&amp;" ")-1),",","."))-1)/MID(SUBSTITUTE(LEFT(TRIM(C146),FIND(" ",TRIM(C146)&amp;" ")-1),",","."),FIND("/",SUBSTITUTE(LEFT(TRIM(C146),FIND(" ",TRIM(C146)&amp;" ")-1),",","."))+1,9)),IF(ISNUMBER(SEARCH("yea",C146)),IFERROR(_xlfn.NUMBERVALUE(SUBSTITUTE(LEFT(TRIM(C146),FIND(" ",TRIM(C146)&amp;" ")-1),",","."),"."),LEFT(SUBSTITUTE(LEFT(TRIM(C146),FIND(" ",TRIM(C146)&amp;" ")-1),",","."),FIND("/",SUBSTITUTE(LEFT(TRIM(C146),FIND(" ",TRIM(C146)&amp;" ")-1),",","."))-1)/MID(SUBSTITUTE(LEFT(TRIM(C146),FIND(" ",TRIM(C146)&amp;" ")-1),",","."),FIND("/",SUBSTITUTE(LEFT(TRIM(C146),FIND(" ",TRIM(C146)&amp;" ")-1),",","."))+1,9))*12,NA()))),0),12)*'Aturan &amp; Tarif'!$B$4,2)</f>
        <v>681.36</v>
      </c>
      <c r="K146" s="32" t="n">
        <f aca="false">'Aturan &amp; Tarif'!$B$5</f>
        <v>2050</v>
      </c>
      <c r="L146" s="32" t="n">
        <f aca="false">'Aturan &amp; Tarif'!$B$6</f>
        <v>350</v>
      </c>
      <c r="M146" s="35" t="n">
        <f aca="false">I146+J146+K146+L146</f>
        <v>17253.36</v>
      </c>
      <c r="N146" s="37" t="s">
        <v>318</v>
      </c>
    </row>
    <row r="147" customFormat="false" ht="14.25" hidden="false" customHeight="true" outlineLevel="0" collapsed="false">
      <c r="A147" s="29"/>
      <c r="B147" s="30" t="s">
        <v>409</v>
      </c>
      <c r="C147" s="31" t="s">
        <v>130</v>
      </c>
      <c r="D147" s="31" t="s">
        <v>108</v>
      </c>
      <c r="E147" s="32" t="n">
        <v>8058</v>
      </c>
      <c r="F147" s="32"/>
      <c r="G147" s="32"/>
      <c r="H147" s="33" t="n">
        <v>2</v>
      </c>
      <c r="I147" s="34" t="n">
        <f aca="false">E147*H147+N(F147)+N(G147)</f>
        <v>16116</v>
      </c>
      <c r="J147" s="32" t="n">
        <f aca="false">ROUND(IFERROR(ROUND(IF(OR(ISNUMBER(SEARCH("week",C147)),ISNUMBER(SEARCH("minggu",C147))),IFERROR(_xlfn.NUMBERVALUE(SUBSTITUTE(LEFT(TRIM(C147),FIND(" ",TRIM(C147)&amp;" ")-1),",","."),"."),LEFT(SUBSTITUTE(LEFT(TRIM(C147),FIND(" ",TRIM(C147)&amp;" ")-1),",","."),FIND("/",SUBSTITUTE(LEFT(TRIM(C147),FIND(" ",TRIM(C147)&amp;" ")-1),",","."))-1)/MID(SUBSTITUTE(LEFT(TRIM(C147),FIND(" ",TRIM(C147)&amp;" ")-1),",","."),FIND("/",SUBSTITUTE(LEFT(TRIM(C147),FIND(" ",TRIM(C147)&amp;" ")-1),",","."))+1,9))*12/52,IF(ISNUMBER(SEARCH("month",C147)),IFERROR(_xlfn.NUMBERVALUE(SUBSTITUTE(LEFT(TRIM(C147),FIND(" ",TRIM(C147)&amp;" ")-1),",","."),"."),LEFT(SUBSTITUTE(LEFT(TRIM(C147),FIND(" ",TRIM(C147)&amp;" ")-1),",","."),FIND("/",SUBSTITUTE(LEFT(TRIM(C147),FIND(" ",TRIM(C147)&amp;" ")-1),",","."))-1)/MID(SUBSTITUTE(LEFT(TRIM(C147),FIND(" ",TRIM(C147)&amp;" ")-1),",","."),FIND("/",SUBSTITUTE(LEFT(TRIM(C147),FIND(" ",TRIM(C147)&amp;" ")-1),",","."))+1,9)),IF(ISNUMBER(SEARCH("yea",C147)),IFERROR(_xlfn.NUMBERVALUE(SUBSTITUTE(LEFT(TRIM(C147),FIND(" ",TRIM(C147)&amp;" ")-1),",","."),"."),LEFT(SUBSTITUTE(LEFT(TRIM(C147),FIND(" ",TRIM(C147)&amp;" ")-1),",","."),FIND("/",SUBSTITUTE(LEFT(TRIM(C147),FIND(" ",TRIM(C147)&amp;" ")-1),",","."))-1)/MID(SUBSTITUTE(LEFT(TRIM(C147),FIND(" ",TRIM(C147)&amp;" ")-1),",","."),FIND("/",SUBSTITUTE(LEFT(TRIM(C147),FIND(" ",TRIM(C147)&amp;" ")-1),",","."))+1,9))*12,NA()))),0),12)*'Aturan &amp; Tarif'!$B$4,2)</f>
        <v>681.36</v>
      </c>
      <c r="K147" s="32" t="n">
        <f aca="false">'Aturan &amp; Tarif'!$B$5</f>
        <v>2050</v>
      </c>
      <c r="L147" s="32" t="n">
        <f aca="false">'Aturan &amp; Tarif'!$B$6</f>
        <v>350</v>
      </c>
      <c r="M147" s="35" t="n">
        <f aca="false">I147+J147+K147+L147</f>
        <v>19197.36</v>
      </c>
      <c r="N147" s="37" t="s">
        <v>318</v>
      </c>
    </row>
    <row r="148" customFormat="false" ht="14.25" hidden="false" customHeight="true" outlineLevel="0" collapsed="false">
      <c r="A148" s="29"/>
      <c r="B148" s="30" t="s">
        <v>410</v>
      </c>
      <c r="C148" s="31" t="s">
        <v>130</v>
      </c>
      <c r="D148" s="31" t="s">
        <v>108</v>
      </c>
      <c r="E148" s="32" t="n">
        <v>8480</v>
      </c>
      <c r="F148" s="32"/>
      <c r="G148" s="32"/>
      <c r="H148" s="33" t="n">
        <v>2</v>
      </c>
      <c r="I148" s="34" t="n">
        <f aca="false">E148*H148+N(F148)+N(G148)</f>
        <v>16960</v>
      </c>
      <c r="J148" s="32" t="n">
        <f aca="false">ROUND(IFERROR(ROUND(IF(OR(ISNUMBER(SEARCH("week",C148)),ISNUMBER(SEARCH("minggu",C148))),IFERROR(_xlfn.NUMBERVALUE(SUBSTITUTE(LEFT(TRIM(C148),FIND(" ",TRIM(C148)&amp;" ")-1),",","."),"."),LEFT(SUBSTITUTE(LEFT(TRIM(C148),FIND(" ",TRIM(C148)&amp;" ")-1),",","."),FIND("/",SUBSTITUTE(LEFT(TRIM(C148),FIND(" ",TRIM(C148)&amp;" ")-1),",","."))-1)/MID(SUBSTITUTE(LEFT(TRIM(C148),FIND(" ",TRIM(C148)&amp;" ")-1),",","."),FIND("/",SUBSTITUTE(LEFT(TRIM(C148),FIND(" ",TRIM(C148)&amp;" ")-1),",","."))+1,9))*12/52,IF(ISNUMBER(SEARCH("month",C148)),IFERROR(_xlfn.NUMBERVALUE(SUBSTITUTE(LEFT(TRIM(C148),FIND(" ",TRIM(C148)&amp;" ")-1),",","."),"."),LEFT(SUBSTITUTE(LEFT(TRIM(C148),FIND(" ",TRIM(C148)&amp;" ")-1),",","."),FIND("/",SUBSTITUTE(LEFT(TRIM(C148),FIND(" ",TRIM(C148)&amp;" ")-1),",","."))-1)/MID(SUBSTITUTE(LEFT(TRIM(C148),FIND(" ",TRIM(C148)&amp;" ")-1),",","."),FIND("/",SUBSTITUTE(LEFT(TRIM(C148),FIND(" ",TRIM(C148)&amp;" ")-1),",","."))+1,9)),IF(ISNUMBER(SEARCH("yea",C148)),IFERROR(_xlfn.NUMBERVALUE(SUBSTITUTE(LEFT(TRIM(C148),FIND(" ",TRIM(C148)&amp;" ")-1),",","."),"."),LEFT(SUBSTITUTE(LEFT(TRIM(C148),FIND(" ",TRIM(C148)&amp;" ")-1),",","."),FIND("/",SUBSTITUTE(LEFT(TRIM(C148),FIND(" ",TRIM(C148)&amp;" ")-1),",","."))-1)/MID(SUBSTITUTE(LEFT(TRIM(C148),FIND(" ",TRIM(C148)&amp;" ")-1),",","."),FIND("/",SUBSTITUTE(LEFT(TRIM(C148),FIND(" ",TRIM(C148)&amp;" ")-1),",","."))+1,9))*12,NA()))),0),12)*'Aturan &amp; Tarif'!$B$4,2)</f>
        <v>681.36</v>
      </c>
      <c r="K148" s="32" t="n">
        <f aca="false">'Aturan &amp; Tarif'!$B$5</f>
        <v>2050</v>
      </c>
      <c r="L148" s="32" t="n">
        <f aca="false">'Aturan &amp; Tarif'!$B$6</f>
        <v>350</v>
      </c>
      <c r="M148" s="35" t="n">
        <f aca="false">I148+J148+K148+L148</f>
        <v>20041.36</v>
      </c>
      <c r="N148" s="37" t="s">
        <v>318</v>
      </c>
    </row>
    <row r="149" customFormat="false" ht="25.5" hidden="false" customHeight="true" outlineLevel="0" collapsed="false">
      <c r="A149" s="29"/>
      <c r="B149" s="30" t="s">
        <v>411</v>
      </c>
      <c r="C149" s="31" t="s">
        <v>130</v>
      </c>
      <c r="D149" s="31" t="s">
        <v>108</v>
      </c>
      <c r="E149" s="32" t="n">
        <v>8906</v>
      </c>
      <c r="F149" s="32"/>
      <c r="G149" s="32"/>
      <c r="H149" s="33" t="n">
        <v>2</v>
      </c>
      <c r="I149" s="34" t="n">
        <f aca="false">E149*H149+N(F149)+N(G149)</f>
        <v>17812</v>
      </c>
      <c r="J149" s="32" t="n">
        <f aca="false">ROUND(IFERROR(ROUND(IF(OR(ISNUMBER(SEARCH("week",C149)),ISNUMBER(SEARCH("minggu",C149))),IFERROR(_xlfn.NUMBERVALUE(SUBSTITUTE(LEFT(TRIM(C149),FIND(" ",TRIM(C149)&amp;" ")-1),",","."),"."),LEFT(SUBSTITUTE(LEFT(TRIM(C149),FIND(" ",TRIM(C149)&amp;" ")-1),",","."),FIND("/",SUBSTITUTE(LEFT(TRIM(C149),FIND(" ",TRIM(C149)&amp;" ")-1),",","."))-1)/MID(SUBSTITUTE(LEFT(TRIM(C149),FIND(" ",TRIM(C149)&amp;" ")-1),",","."),FIND("/",SUBSTITUTE(LEFT(TRIM(C149),FIND(" ",TRIM(C149)&amp;" ")-1),",","."))+1,9))*12/52,IF(ISNUMBER(SEARCH("month",C149)),IFERROR(_xlfn.NUMBERVALUE(SUBSTITUTE(LEFT(TRIM(C149),FIND(" ",TRIM(C149)&amp;" ")-1),",","."),"."),LEFT(SUBSTITUTE(LEFT(TRIM(C149),FIND(" ",TRIM(C149)&amp;" ")-1),",","."),FIND("/",SUBSTITUTE(LEFT(TRIM(C149),FIND(" ",TRIM(C149)&amp;" ")-1),",","."))-1)/MID(SUBSTITUTE(LEFT(TRIM(C149),FIND(" ",TRIM(C149)&amp;" ")-1),",","."),FIND("/",SUBSTITUTE(LEFT(TRIM(C149),FIND(" ",TRIM(C149)&amp;" ")-1),",","."))+1,9)),IF(ISNUMBER(SEARCH("yea",C149)),IFERROR(_xlfn.NUMBERVALUE(SUBSTITUTE(LEFT(TRIM(C149),FIND(" ",TRIM(C149)&amp;" ")-1),",","."),"."),LEFT(SUBSTITUTE(LEFT(TRIM(C149),FIND(" ",TRIM(C149)&amp;" ")-1),",","."),FIND("/",SUBSTITUTE(LEFT(TRIM(C149),FIND(" ",TRIM(C149)&amp;" ")-1),",","."))-1)/MID(SUBSTITUTE(LEFT(TRIM(C149),FIND(" ",TRIM(C149)&amp;" ")-1),",","."),FIND("/",SUBSTITUTE(LEFT(TRIM(C149),FIND(" ",TRIM(C149)&amp;" ")-1),",","."))+1,9))*12,NA()))),0),12)*'Aturan &amp; Tarif'!$B$4,2)</f>
        <v>681.36</v>
      </c>
      <c r="K149" s="32" t="n">
        <f aca="false">'Aturan &amp; Tarif'!$B$5</f>
        <v>2050</v>
      </c>
      <c r="L149" s="32" t="n">
        <f aca="false">'Aturan &amp; Tarif'!$B$6</f>
        <v>350</v>
      </c>
      <c r="M149" s="35" t="n">
        <f aca="false">I149+J149+K149+L149</f>
        <v>20893.36</v>
      </c>
      <c r="N149" s="37" t="s">
        <v>318</v>
      </c>
    </row>
    <row r="150" customFormat="false" ht="14.25" hidden="false" customHeight="true" outlineLevel="0" collapsed="false">
      <c r="A150" s="29"/>
      <c r="B150" s="30" t="s">
        <v>412</v>
      </c>
      <c r="C150" s="31" t="s">
        <v>130</v>
      </c>
      <c r="D150" s="31" t="s">
        <v>108</v>
      </c>
      <c r="E150" s="32" t="n">
        <v>7086</v>
      </c>
      <c r="F150" s="32"/>
      <c r="G150" s="32"/>
      <c r="H150" s="33" t="n">
        <v>2</v>
      </c>
      <c r="I150" s="34" t="n">
        <f aca="false">E150*H150+N(F150)+N(G150)</f>
        <v>14172</v>
      </c>
      <c r="J150" s="32" t="n">
        <f aca="false">ROUND(IFERROR(ROUND(IF(OR(ISNUMBER(SEARCH("week",C150)),ISNUMBER(SEARCH("minggu",C150))),IFERROR(_xlfn.NUMBERVALUE(SUBSTITUTE(LEFT(TRIM(C150),FIND(" ",TRIM(C150)&amp;" ")-1),",","."),"."),LEFT(SUBSTITUTE(LEFT(TRIM(C150),FIND(" ",TRIM(C150)&amp;" ")-1),",","."),FIND("/",SUBSTITUTE(LEFT(TRIM(C150),FIND(" ",TRIM(C150)&amp;" ")-1),",","."))-1)/MID(SUBSTITUTE(LEFT(TRIM(C150),FIND(" ",TRIM(C150)&amp;" ")-1),",","."),FIND("/",SUBSTITUTE(LEFT(TRIM(C150),FIND(" ",TRIM(C150)&amp;" ")-1),",","."))+1,9))*12/52,IF(ISNUMBER(SEARCH("month",C150)),IFERROR(_xlfn.NUMBERVALUE(SUBSTITUTE(LEFT(TRIM(C150),FIND(" ",TRIM(C150)&amp;" ")-1),",","."),"."),LEFT(SUBSTITUTE(LEFT(TRIM(C150),FIND(" ",TRIM(C150)&amp;" ")-1),",","."),FIND("/",SUBSTITUTE(LEFT(TRIM(C150),FIND(" ",TRIM(C150)&amp;" ")-1),",","."))-1)/MID(SUBSTITUTE(LEFT(TRIM(C150),FIND(" ",TRIM(C150)&amp;" ")-1),",","."),FIND("/",SUBSTITUTE(LEFT(TRIM(C150),FIND(" ",TRIM(C150)&amp;" ")-1),",","."))+1,9)),IF(ISNUMBER(SEARCH("yea",C150)),IFERROR(_xlfn.NUMBERVALUE(SUBSTITUTE(LEFT(TRIM(C150),FIND(" ",TRIM(C150)&amp;" ")-1),",","."),"."),LEFT(SUBSTITUTE(LEFT(TRIM(C150),FIND(" ",TRIM(C150)&amp;" ")-1),",","."),FIND("/",SUBSTITUTE(LEFT(TRIM(C150),FIND(" ",TRIM(C150)&amp;" ")-1),",","."))-1)/MID(SUBSTITUTE(LEFT(TRIM(C150),FIND(" ",TRIM(C150)&amp;" ")-1),",","."),FIND("/",SUBSTITUTE(LEFT(TRIM(C150),FIND(" ",TRIM(C150)&amp;" ")-1),",","."))+1,9))*12,NA()))),0),12)*'Aturan &amp; Tarif'!$B$4,2)</f>
        <v>681.36</v>
      </c>
      <c r="K150" s="32" t="n">
        <f aca="false">'Aturan &amp; Tarif'!$B$5</f>
        <v>2050</v>
      </c>
      <c r="L150" s="32" t="n">
        <f aca="false">'Aturan &amp; Tarif'!$B$6</f>
        <v>350</v>
      </c>
      <c r="M150" s="35" t="n">
        <f aca="false">I150+J150+K150+L150</f>
        <v>17253.36</v>
      </c>
      <c r="N150" s="37" t="s">
        <v>318</v>
      </c>
    </row>
    <row r="151" customFormat="false" ht="14.25" hidden="false" customHeight="true" outlineLevel="0" collapsed="false">
      <c r="A151" s="29"/>
      <c r="B151" s="30" t="s">
        <v>872</v>
      </c>
      <c r="C151" s="31" t="s">
        <v>130</v>
      </c>
      <c r="D151" s="31" t="s">
        <v>108</v>
      </c>
      <c r="E151" s="32" t="n">
        <v>8058</v>
      </c>
      <c r="F151" s="32"/>
      <c r="G151" s="32"/>
      <c r="H151" s="33" t="n">
        <v>2</v>
      </c>
      <c r="I151" s="34" t="n">
        <f aca="false">E151*H151+N(F151)+N(G151)</f>
        <v>16116</v>
      </c>
      <c r="J151" s="32" t="n">
        <f aca="false">ROUND(IFERROR(ROUND(IF(OR(ISNUMBER(SEARCH("week",C151)),ISNUMBER(SEARCH("minggu",C151))),IFERROR(_xlfn.NUMBERVALUE(SUBSTITUTE(LEFT(TRIM(C151),FIND(" ",TRIM(C151)&amp;" ")-1),",","."),"."),LEFT(SUBSTITUTE(LEFT(TRIM(C151),FIND(" ",TRIM(C151)&amp;" ")-1),",","."),FIND("/",SUBSTITUTE(LEFT(TRIM(C151),FIND(" ",TRIM(C151)&amp;" ")-1),",","."))-1)/MID(SUBSTITUTE(LEFT(TRIM(C151),FIND(" ",TRIM(C151)&amp;" ")-1),",","."),FIND("/",SUBSTITUTE(LEFT(TRIM(C151),FIND(" ",TRIM(C151)&amp;" ")-1),",","."))+1,9))*12/52,IF(ISNUMBER(SEARCH("month",C151)),IFERROR(_xlfn.NUMBERVALUE(SUBSTITUTE(LEFT(TRIM(C151),FIND(" ",TRIM(C151)&amp;" ")-1),",","."),"."),LEFT(SUBSTITUTE(LEFT(TRIM(C151),FIND(" ",TRIM(C151)&amp;" ")-1),",","."),FIND("/",SUBSTITUTE(LEFT(TRIM(C151),FIND(" ",TRIM(C151)&amp;" ")-1),",","."))-1)/MID(SUBSTITUTE(LEFT(TRIM(C151),FIND(" ",TRIM(C151)&amp;" ")-1),",","."),FIND("/",SUBSTITUTE(LEFT(TRIM(C151),FIND(" ",TRIM(C151)&amp;" ")-1),",","."))+1,9)),IF(ISNUMBER(SEARCH("yea",C151)),IFERROR(_xlfn.NUMBERVALUE(SUBSTITUTE(LEFT(TRIM(C151),FIND(" ",TRIM(C151)&amp;" ")-1),",","."),"."),LEFT(SUBSTITUTE(LEFT(TRIM(C151),FIND(" ",TRIM(C151)&amp;" ")-1),",","."),FIND("/",SUBSTITUTE(LEFT(TRIM(C151),FIND(" ",TRIM(C151)&amp;" ")-1),",","."))-1)/MID(SUBSTITUTE(LEFT(TRIM(C151),FIND(" ",TRIM(C151)&amp;" ")-1),",","."),FIND("/",SUBSTITUTE(LEFT(TRIM(C151),FIND(" ",TRIM(C151)&amp;" ")-1),",","."))+1,9))*12,NA()))),0),12)*'Aturan &amp; Tarif'!$B$4,2)</f>
        <v>681.36</v>
      </c>
      <c r="K151" s="32" t="n">
        <f aca="false">'Aturan &amp; Tarif'!$B$5</f>
        <v>2050</v>
      </c>
      <c r="L151" s="32" t="n">
        <f aca="false">'Aturan &amp; Tarif'!$B$6</f>
        <v>350</v>
      </c>
      <c r="M151" s="35" t="n">
        <f aca="false">I151+J151+K151+L151</f>
        <v>19197.36</v>
      </c>
      <c r="N151" s="37" t="s">
        <v>318</v>
      </c>
    </row>
    <row r="152" customFormat="false" ht="14.25" hidden="false" customHeight="true" outlineLevel="0" collapsed="false">
      <c r="A152" s="29"/>
      <c r="B152" s="30" t="s">
        <v>414</v>
      </c>
      <c r="C152" s="31" t="s">
        <v>130</v>
      </c>
      <c r="D152" s="31" t="s">
        <v>108</v>
      </c>
      <c r="E152" s="32" t="n">
        <v>8906</v>
      </c>
      <c r="F152" s="32"/>
      <c r="G152" s="32"/>
      <c r="H152" s="33" t="n">
        <v>2</v>
      </c>
      <c r="I152" s="34" t="n">
        <f aca="false">E152*H152+N(F152)+N(G152)</f>
        <v>17812</v>
      </c>
      <c r="J152" s="32" t="n">
        <f aca="false">ROUND(IFERROR(ROUND(IF(OR(ISNUMBER(SEARCH("week",C152)),ISNUMBER(SEARCH("minggu",C152))),IFERROR(_xlfn.NUMBERVALUE(SUBSTITUTE(LEFT(TRIM(C152),FIND(" ",TRIM(C152)&amp;" ")-1),",","."),"."),LEFT(SUBSTITUTE(LEFT(TRIM(C152),FIND(" ",TRIM(C152)&amp;" ")-1),",","."),FIND("/",SUBSTITUTE(LEFT(TRIM(C152),FIND(" ",TRIM(C152)&amp;" ")-1),",","."))-1)/MID(SUBSTITUTE(LEFT(TRIM(C152),FIND(" ",TRIM(C152)&amp;" ")-1),",","."),FIND("/",SUBSTITUTE(LEFT(TRIM(C152),FIND(" ",TRIM(C152)&amp;" ")-1),",","."))+1,9))*12/52,IF(ISNUMBER(SEARCH("month",C152)),IFERROR(_xlfn.NUMBERVALUE(SUBSTITUTE(LEFT(TRIM(C152),FIND(" ",TRIM(C152)&amp;" ")-1),",","."),"."),LEFT(SUBSTITUTE(LEFT(TRIM(C152),FIND(" ",TRIM(C152)&amp;" ")-1),",","."),FIND("/",SUBSTITUTE(LEFT(TRIM(C152),FIND(" ",TRIM(C152)&amp;" ")-1),",","."))-1)/MID(SUBSTITUTE(LEFT(TRIM(C152),FIND(" ",TRIM(C152)&amp;" ")-1),",","."),FIND("/",SUBSTITUTE(LEFT(TRIM(C152),FIND(" ",TRIM(C152)&amp;" ")-1),",","."))+1,9)),IF(ISNUMBER(SEARCH("yea",C152)),IFERROR(_xlfn.NUMBERVALUE(SUBSTITUTE(LEFT(TRIM(C152),FIND(" ",TRIM(C152)&amp;" ")-1),",","."),"."),LEFT(SUBSTITUTE(LEFT(TRIM(C152),FIND(" ",TRIM(C152)&amp;" ")-1),",","."),FIND("/",SUBSTITUTE(LEFT(TRIM(C152),FIND(" ",TRIM(C152)&amp;" ")-1),",","."))-1)/MID(SUBSTITUTE(LEFT(TRIM(C152),FIND(" ",TRIM(C152)&amp;" ")-1),",","."),FIND("/",SUBSTITUTE(LEFT(TRIM(C152),FIND(" ",TRIM(C152)&amp;" ")-1),",","."))+1,9))*12,NA()))),0),12)*'Aturan &amp; Tarif'!$B$4,2)</f>
        <v>681.36</v>
      </c>
      <c r="K152" s="32" t="n">
        <f aca="false">'Aturan &amp; Tarif'!$B$5</f>
        <v>2050</v>
      </c>
      <c r="L152" s="32" t="n">
        <f aca="false">'Aturan &amp; Tarif'!$B$6</f>
        <v>350</v>
      </c>
      <c r="M152" s="35" t="n">
        <f aca="false">I152+J152+K152+L152</f>
        <v>20893.36</v>
      </c>
      <c r="N152" s="37" t="s">
        <v>318</v>
      </c>
    </row>
    <row r="153" customFormat="false" ht="14.25" hidden="false" customHeight="true" outlineLevel="0" collapsed="false">
      <c r="A153" s="29"/>
      <c r="B153" s="30" t="s">
        <v>415</v>
      </c>
      <c r="C153" s="31" t="s">
        <v>130</v>
      </c>
      <c r="D153" s="31" t="s">
        <v>108</v>
      </c>
      <c r="E153" s="32" t="n">
        <v>7086</v>
      </c>
      <c r="F153" s="32"/>
      <c r="G153" s="32"/>
      <c r="H153" s="33" t="n">
        <v>2</v>
      </c>
      <c r="I153" s="34" t="n">
        <f aca="false">E153*H153+N(F153)+N(G153)</f>
        <v>14172</v>
      </c>
      <c r="J153" s="32" t="n">
        <f aca="false">ROUND(IFERROR(ROUND(IF(OR(ISNUMBER(SEARCH("week",C153)),ISNUMBER(SEARCH("minggu",C153))),IFERROR(_xlfn.NUMBERVALUE(SUBSTITUTE(LEFT(TRIM(C153),FIND(" ",TRIM(C153)&amp;" ")-1),",","."),"."),LEFT(SUBSTITUTE(LEFT(TRIM(C153),FIND(" ",TRIM(C153)&amp;" ")-1),",","."),FIND("/",SUBSTITUTE(LEFT(TRIM(C153),FIND(" ",TRIM(C153)&amp;" ")-1),",","."))-1)/MID(SUBSTITUTE(LEFT(TRIM(C153),FIND(" ",TRIM(C153)&amp;" ")-1),",","."),FIND("/",SUBSTITUTE(LEFT(TRIM(C153),FIND(" ",TRIM(C153)&amp;" ")-1),",","."))+1,9))*12/52,IF(ISNUMBER(SEARCH("month",C153)),IFERROR(_xlfn.NUMBERVALUE(SUBSTITUTE(LEFT(TRIM(C153),FIND(" ",TRIM(C153)&amp;" ")-1),",","."),"."),LEFT(SUBSTITUTE(LEFT(TRIM(C153),FIND(" ",TRIM(C153)&amp;" ")-1),",","."),FIND("/",SUBSTITUTE(LEFT(TRIM(C153),FIND(" ",TRIM(C153)&amp;" ")-1),",","."))-1)/MID(SUBSTITUTE(LEFT(TRIM(C153),FIND(" ",TRIM(C153)&amp;" ")-1),",","."),FIND("/",SUBSTITUTE(LEFT(TRIM(C153),FIND(" ",TRIM(C153)&amp;" ")-1),",","."))+1,9)),IF(ISNUMBER(SEARCH("yea",C153)),IFERROR(_xlfn.NUMBERVALUE(SUBSTITUTE(LEFT(TRIM(C153),FIND(" ",TRIM(C153)&amp;" ")-1),",","."),"."),LEFT(SUBSTITUTE(LEFT(TRIM(C153),FIND(" ",TRIM(C153)&amp;" ")-1),",","."),FIND("/",SUBSTITUTE(LEFT(TRIM(C153),FIND(" ",TRIM(C153)&amp;" ")-1),",","."))-1)/MID(SUBSTITUTE(LEFT(TRIM(C153),FIND(" ",TRIM(C153)&amp;" ")-1),",","."),FIND("/",SUBSTITUTE(LEFT(TRIM(C153),FIND(" ",TRIM(C153)&amp;" ")-1),",","."))+1,9))*12,NA()))),0),12)*'Aturan &amp; Tarif'!$B$4,2)</f>
        <v>681.36</v>
      </c>
      <c r="K153" s="32" t="n">
        <f aca="false">'Aturan &amp; Tarif'!$B$5</f>
        <v>2050</v>
      </c>
      <c r="L153" s="32" t="n">
        <f aca="false">'Aturan &amp; Tarif'!$B$6</f>
        <v>350</v>
      </c>
      <c r="M153" s="35" t="n">
        <f aca="false">I153+J153+K153+L153</f>
        <v>17253.36</v>
      </c>
      <c r="N153" s="37" t="s">
        <v>318</v>
      </c>
    </row>
    <row r="154" customFormat="false" ht="14.25" hidden="false" customHeight="true" outlineLevel="0" collapsed="false">
      <c r="A154" s="29"/>
      <c r="B154" s="30" t="s">
        <v>416</v>
      </c>
      <c r="C154" s="31" t="s">
        <v>130</v>
      </c>
      <c r="D154" s="31" t="s">
        <v>108</v>
      </c>
      <c r="E154" s="32" t="n">
        <v>8906</v>
      </c>
      <c r="F154" s="32"/>
      <c r="G154" s="32"/>
      <c r="H154" s="33" t="n">
        <v>2</v>
      </c>
      <c r="I154" s="34" t="n">
        <f aca="false">E154*H154+N(F154)+N(G154)</f>
        <v>17812</v>
      </c>
      <c r="J154" s="32" t="n">
        <f aca="false">ROUND(IFERROR(ROUND(IF(OR(ISNUMBER(SEARCH("week",C154)),ISNUMBER(SEARCH("minggu",C154))),IFERROR(_xlfn.NUMBERVALUE(SUBSTITUTE(LEFT(TRIM(C154),FIND(" ",TRIM(C154)&amp;" ")-1),",","."),"."),LEFT(SUBSTITUTE(LEFT(TRIM(C154),FIND(" ",TRIM(C154)&amp;" ")-1),",","."),FIND("/",SUBSTITUTE(LEFT(TRIM(C154),FIND(" ",TRIM(C154)&amp;" ")-1),",","."))-1)/MID(SUBSTITUTE(LEFT(TRIM(C154),FIND(" ",TRIM(C154)&amp;" ")-1),",","."),FIND("/",SUBSTITUTE(LEFT(TRIM(C154),FIND(" ",TRIM(C154)&amp;" ")-1),",","."))+1,9))*12/52,IF(ISNUMBER(SEARCH("month",C154)),IFERROR(_xlfn.NUMBERVALUE(SUBSTITUTE(LEFT(TRIM(C154),FIND(" ",TRIM(C154)&amp;" ")-1),",","."),"."),LEFT(SUBSTITUTE(LEFT(TRIM(C154),FIND(" ",TRIM(C154)&amp;" ")-1),",","."),FIND("/",SUBSTITUTE(LEFT(TRIM(C154),FIND(" ",TRIM(C154)&amp;" ")-1),",","."))-1)/MID(SUBSTITUTE(LEFT(TRIM(C154),FIND(" ",TRIM(C154)&amp;" ")-1),",","."),FIND("/",SUBSTITUTE(LEFT(TRIM(C154),FIND(" ",TRIM(C154)&amp;" ")-1),",","."))+1,9)),IF(ISNUMBER(SEARCH("yea",C154)),IFERROR(_xlfn.NUMBERVALUE(SUBSTITUTE(LEFT(TRIM(C154),FIND(" ",TRIM(C154)&amp;" ")-1),",","."),"."),LEFT(SUBSTITUTE(LEFT(TRIM(C154),FIND(" ",TRIM(C154)&amp;" ")-1),",","."),FIND("/",SUBSTITUTE(LEFT(TRIM(C154),FIND(" ",TRIM(C154)&amp;" ")-1),",","."))-1)/MID(SUBSTITUTE(LEFT(TRIM(C154),FIND(" ",TRIM(C154)&amp;" ")-1),",","."),FIND("/",SUBSTITUTE(LEFT(TRIM(C154),FIND(" ",TRIM(C154)&amp;" ")-1),",","."))+1,9))*12,NA()))),0),12)*'Aturan &amp; Tarif'!$B$4,2)</f>
        <v>681.36</v>
      </c>
      <c r="K154" s="32" t="n">
        <f aca="false">'Aturan &amp; Tarif'!$B$5</f>
        <v>2050</v>
      </c>
      <c r="L154" s="32" t="n">
        <f aca="false">'Aturan &amp; Tarif'!$B$6</f>
        <v>350</v>
      </c>
      <c r="M154" s="35" t="n">
        <f aca="false">I154+J154+K154+L154</f>
        <v>20893.36</v>
      </c>
      <c r="N154" s="37" t="s">
        <v>318</v>
      </c>
    </row>
    <row r="155" customFormat="false" ht="14.25" hidden="false" customHeight="true" outlineLevel="0" collapsed="false">
      <c r="A155" s="29"/>
      <c r="B155" s="30" t="s">
        <v>417</v>
      </c>
      <c r="C155" s="31" t="s">
        <v>130</v>
      </c>
      <c r="D155" s="31" t="s">
        <v>108</v>
      </c>
      <c r="E155" s="32" t="n">
        <v>8906</v>
      </c>
      <c r="F155" s="32"/>
      <c r="G155" s="32"/>
      <c r="H155" s="33" t="n">
        <v>2</v>
      </c>
      <c r="I155" s="34" t="n">
        <f aca="false">E155*H155+N(F155)+N(G155)</f>
        <v>17812</v>
      </c>
      <c r="J155" s="32" t="n">
        <f aca="false">ROUND(IFERROR(ROUND(IF(OR(ISNUMBER(SEARCH("week",C155)),ISNUMBER(SEARCH("minggu",C155))),IFERROR(_xlfn.NUMBERVALUE(SUBSTITUTE(LEFT(TRIM(C155),FIND(" ",TRIM(C155)&amp;" ")-1),",","."),"."),LEFT(SUBSTITUTE(LEFT(TRIM(C155),FIND(" ",TRIM(C155)&amp;" ")-1),",","."),FIND("/",SUBSTITUTE(LEFT(TRIM(C155),FIND(" ",TRIM(C155)&amp;" ")-1),",","."))-1)/MID(SUBSTITUTE(LEFT(TRIM(C155),FIND(" ",TRIM(C155)&amp;" ")-1),",","."),FIND("/",SUBSTITUTE(LEFT(TRIM(C155),FIND(" ",TRIM(C155)&amp;" ")-1),",","."))+1,9))*12/52,IF(ISNUMBER(SEARCH("month",C155)),IFERROR(_xlfn.NUMBERVALUE(SUBSTITUTE(LEFT(TRIM(C155),FIND(" ",TRIM(C155)&amp;" ")-1),",","."),"."),LEFT(SUBSTITUTE(LEFT(TRIM(C155),FIND(" ",TRIM(C155)&amp;" ")-1),",","."),FIND("/",SUBSTITUTE(LEFT(TRIM(C155),FIND(" ",TRIM(C155)&amp;" ")-1),",","."))-1)/MID(SUBSTITUTE(LEFT(TRIM(C155),FIND(" ",TRIM(C155)&amp;" ")-1),",","."),FIND("/",SUBSTITUTE(LEFT(TRIM(C155),FIND(" ",TRIM(C155)&amp;" ")-1),",","."))+1,9)),IF(ISNUMBER(SEARCH("yea",C155)),IFERROR(_xlfn.NUMBERVALUE(SUBSTITUTE(LEFT(TRIM(C155),FIND(" ",TRIM(C155)&amp;" ")-1),",","."),"."),LEFT(SUBSTITUTE(LEFT(TRIM(C155),FIND(" ",TRIM(C155)&amp;" ")-1),",","."),FIND("/",SUBSTITUTE(LEFT(TRIM(C155),FIND(" ",TRIM(C155)&amp;" ")-1),",","."))-1)/MID(SUBSTITUTE(LEFT(TRIM(C155),FIND(" ",TRIM(C155)&amp;" ")-1),",","."),FIND("/",SUBSTITUTE(LEFT(TRIM(C155),FIND(" ",TRIM(C155)&amp;" ")-1),",","."))+1,9))*12,NA()))),0),12)*'Aturan &amp; Tarif'!$B$4,2)</f>
        <v>681.36</v>
      </c>
      <c r="K155" s="32" t="n">
        <f aca="false">'Aturan &amp; Tarif'!$B$5</f>
        <v>2050</v>
      </c>
      <c r="L155" s="32" t="n">
        <f aca="false">'Aturan &amp; Tarif'!$B$6</f>
        <v>350</v>
      </c>
      <c r="M155" s="35" t="n">
        <f aca="false">I155+J155+K155+L155</f>
        <v>20893.36</v>
      </c>
      <c r="N155" s="37" t="s">
        <v>318</v>
      </c>
    </row>
    <row r="156" customFormat="false" ht="14.25" hidden="false" customHeight="true" outlineLevel="0" collapsed="false">
      <c r="A156" s="29"/>
      <c r="B156" s="30" t="s">
        <v>418</v>
      </c>
      <c r="C156" s="31" t="s">
        <v>130</v>
      </c>
      <c r="D156" s="31" t="s">
        <v>108</v>
      </c>
      <c r="E156" s="32" t="n">
        <v>5780</v>
      </c>
      <c r="F156" s="32"/>
      <c r="G156" s="32"/>
      <c r="H156" s="33" t="n">
        <v>2</v>
      </c>
      <c r="I156" s="34" t="n">
        <f aca="false">E156*H156+N(F156)+N(G156)</f>
        <v>11560</v>
      </c>
      <c r="J156" s="32" t="n">
        <f aca="false">ROUND(IFERROR(ROUND(IF(OR(ISNUMBER(SEARCH("week",C156)),ISNUMBER(SEARCH("minggu",C156))),IFERROR(_xlfn.NUMBERVALUE(SUBSTITUTE(LEFT(TRIM(C156),FIND(" ",TRIM(C156)&amp;" ")-1),",","."),"."),LEFT(SUBSTITUTE(LEFT(TRIM(C156),FIND(" ",TRIM(C156)&amp;" ")-1),",","."),FIND("/",SUBSTITUTE(LEFT(TRIM(C156),FIND(" ",TRIM(C156)&amp;" ")-1),",","."))-1)/MID(SUBSTITUTE(LEFT(TRIM(C156),FIND(" ",TRIM(C156)&amp;" ")-1),",","."),FIND("/",SUBSTITUTE(LEFT(TRIM(C156),FIND(" ",TRIM(C156)&amp;" ")-1),",","."))+1,9))*12/52,IF(ISNUMBER(SEARCH("month",C156)),IFERROR(_xlfn.NUMBERVALUE(SUBSTITUTE(LEFT(TRIM(C156),FIND(" ",TRIM(C156)&amp;" ")-1),",","."),"."),LEFT(SUBSTITUTE(LEFT(TRIM(C156),FIND(" ",TRIM(C156)&amp;" ")-1),",","."),FIND("/",SUBSTITUTE(LEFT(TRIM(C156),FIND(" ",TRIM(C156)&amp;" ")-1),",","."))-1)/MID(SUBSTITUTE(LEFT(TRIM(C156),FIND(" ",TRIM(C156)&amp;" ")-1),",","."),FIND("/",SUBSTITUTE(LEFT(TRIM(C156),FIND(" ",TRIM(C156)&amp;" ")-1),",","."))+1,9)),IF(ISNUMBER(SEARCH("yea",C156)),IFERROR(_xlfn.NUMBERVALUE(SUBSTITUTE(LEFT(TRIM(C156),FIND(" ",TRIM(C156)&amp;" ")-1),",","."),"."),LEFT(SUBSTITUTE(LEFT(TRIM(C156),FIND(" ",TRIM(C156)&amp;" ")-1),",","."),FIND("/",SUBSTITUTE(LEFT(TRIM(C156),FIND(" ",TRIM(C156)&amp;" ")-1),",","."))-1)/MID(SUBSTITUTE(LEFT(TRIM(C156),FIND(" ",TRIM(C156)&amp;" ")-1),",","."),FIND("/",SUBSTITUTE(LEFT(TRIM(C156),FIND(" ",TRIM(C156)&amp;" ")-1),",","."))+1,9))*12,NA()))),0),12)*'Aturan &amp; Tarif'!$B$4,2)</f>
        <v>681.36</v>
      </c>
      <c r="K156" s="32" t="n">
        <f aca="false">'Aturan &amp; Tarif'!$B$5</f>
        <v>2050</v>
      </c>
      <c r="L156" s="32" t="n">
        <f aca="false">'Aturan &amp; Tarif'!$B$6</f>
        <v>350</v>
      </c>
      <c r="M156" s="35" t="n">
        <f aca="false">I156+J156+K156+L156</f>
        <v>14641.36</v>
      </c>
      <c r="N156" s="37" t="s">
        <v>318</v>
      </c>
    </row>
    <row r="157" customFormat="false" ht="25.5" hidden="false" customHeight="true" outlineLevel="0" collapsed="false">
      <c r="A157" s="29"/>
      <c r="B157" s="30" t="s">
        <v>419</v>
      </c>
      <c r="C157" s="31" t="s">
        <v>130</v>
      </c>
      <c r="D157" s="31" t="s">
        <v>108</v>
      </c>
      <c r="E157" s="32" t="n">
        <v>5000</v>
      </c>
      <c r="F157" s="32"/>
      <c r="G157" s="32"/>
      <c r="H157" s="33" t="n">
        <v>2</v>
      </c>
      <c r="I157" s="34" t="n">
        <f aca="false">E157*H157+N(F157)+N(G157)</f>
        <v>10000</v>
      </c>
      <c r="J157" s="32" t="n">
        <f aca="false">ROUND(IFERROR(ROUND(IF(OR(ISNUMBER(SEARCH("week",C157)),ISNUMBER(SEARCH("minggu",C157))),IFERROR(_xlfn.NUMBERVALUE(SUBSTITUTE(LEFT(TRIM(C157),FIND(" ",TRIM(C157)&amp;" ")-1),",","."),"."),LEFT(SUBSTITUTE(LEFT(TRIM(C157),FIND(" ",TRIM(C157)&amp;" ")-1),",","."),FIND("/",SUBSTITUTE(LEFT(TRIM(C157),FIND(" ",TRIM(C157)&amp;" ")-1),",","."))-1)/MID(SUBSTITUTE(LEFT(TRIM(C157),FIND(" ",TRIM(C157)&amp;" ")-1),",","."),FIND("/",SUBSTITUTE(LEFT(TRIM(C157),FIND(" ",TRIM(C157)&amp;" ")-1),",","."))+1,9))*12/52,IF(ISNUMBER(SEARCH("month",C157)),IFERROR(_xlfn.NUMBERVALUE(SUBSTITUTE(LEFT(TRIM(C157),FIND(" ",TRIM(C157)&amp;" ")-1),",","."),"."),LEFT(SUBSTITUTE(LEFT(TRIM(C157),FIND(" ",TRIM(C157)&amp;" ")-1),",","."),FIND("/",SUBSTITUTE(LEFT(TRIM(C157),FIND(" ",TRIM(C157)&amp;" ")-1),",","."))-1)/MID(SUBSTITUTE(LEFT(TRIM(C157),FIND(" ",TRIM(C157)&amp;" ")-1),",","."),FIND("/",SUBSTITUTE(LEFT(TRIM(C157),FIND(" ",TRIM(C157)&amp;" ")-1),",","."))+1,9)),IF(ISNUMBER(SEARCH("yea",C157)),IFERROR(_xlfn.NUMBERVALUE(SUBSTITUTE(LEFT(TRIM(C157),FIND(" ",TRIM(C157)&amp;" ")-1),",","."),"."),LEFT(SUBSTITUTE(LEFT(TRIM(C157),FIND(" ",TRIM(C157)&amp;" ")-1),",","."),FIND("/",SUBSTITUTE(LEFT(TRIM(C157),FIND(" ",TRIM(C157)&amp;" ")-1),",","."))-1)/MID(SUBSTITUTE(LEFT(TRIM(C157),FIND(" ",TRIM(C157)&amp;" ")-1),",","."),FIND("/",SUBSTITUTE(LEFT(TRIM(C157),FIND(" ",TRIM(C157)&amp;" ")-1),",","."))+1,9))*12,NA()))),0),12)*'Aturan &amp; Tarif'!$B$4,2)</f>
        <v>681.36</v>
      </c>
      <c r="K157" s="32" t="n">
        <f aca="false">'Aturan &amp; Tarif'!$B$5</f>
        <v>2050</v>
      </c>
      <c r="L157" s="32" t="n">
        <f aca="false">'Aturan &amp; Tarif'!$B$6</f>
        <v>350</v>
      </c>
      <c r="M157" s="35" t="n">
        <f aca="false">I157+J157+K157+L157</f>
        <v>13081.36</v>
      </c>
      <c r="N157" s="37" t="s">
        <v>318</v>
      </c>
    </row>
    <row r="158" customFormat="false" ht="60" hidden="false" customHeight="true" outlineLevel="0" collapsed="false">
      <c r="A158" s="29" t="s">
        <v>873</v>
      </c>
      <c r="B158" s="30" t="s">
        <v>148</v>
      </c>
      <c r="C158" s="31" t="s">
        <v>138</v>
      </c>
      <c r="D158" s="31" t="s">
        <v>108</v>
      </c>
      <c r="E158" s="32" t="n">
        <v>2950</v>
      </c>
      <c r="F158" s="32" t="n">
        <v>2500</v>
      </c>
      <c r="G158" s="32" t="n">
        <v>250</v>
      </c>
      <c r="H158" s="33" t="n">
        <v>1</v>
      </c>
      <c r="I158" s="34" t="n">
        <f aca="false">E158*H158+N(F158)+N(G158)</f>
        <v>5700</v>
      </c>
      <c r="J158" s="32" t="n">
        <f aca="false">ROUND(IFERROR(ROUND(IF(OR(ISNUMBER(SEARCH("week",C158)),ISNUMBER(SEARCH("minggu",C158))),IFERROR(_xlfn.NUMBERVALUE(SUBSTITUTE(LEFT(TRIM(C158),FIND(" ",TRIM(C158)&amp;" ")-1),",","."),"."),LEFT(SUBSTITUTE(LEFT(TRIM(C158),FIND(" ",TRIM(C158)&amp;" ")-1),",","."),FIND("/",SUBSTITUTE(LEFT(TRIM(C158),FIND(" ",TRIM(C158)&amp;" ")-1),",","."))-1)/MID(SUBSTITUTE(LEFT(TRIM(C158),FIND(" ",TRIM(C158)&amp;" ")-1),",","."),FIND("/",SUBSTITUTE(LEFT(TRIM(C158),FIND(" ",TRIM(C158)&amp;" ")-1),",","."))+1,9))*12/52,IF(ISNUMBER(SEARCH("month",C158)),IFERROR(_xlfn.NUMBERVALUE(SUBSTITUTE(LEFT(TRIM(C158),FIND(" ",TRIM(C158)&amp;" ")-1),",","."),"."),LEFT(SUBSTITUTE(LEFT(TRIM(C158),FIND(" ",TRIM(C158)&amp;" ")-1),",","."),FIND("/",SUBSTITUTE(LEFT(TRIM(C158),FIND(" ",TRIM(C158)&amp;" ")-1),",","."))-1)/MID(SUBSTITUTE(LEFT(TRIM(C158),FIND(" ",TRIM(C158)&amp;" ")-1),",","."),FIND("/",SUBSTITUTE(LEFT(TRIM(C158),FIND(" ",TRIM(C158)&amp;" ")-1),",","."))+1,9)),IF(ISNUMBER(SEARCH("yea",C158)),IFERROR(_xlfn.NUMBERVALUE(SUBSTITUTE(LEFT(TRIM(C158),FIND(" ",TRIM(C158)&amp;" ")-1),",","."),"."),LEFT(SUBSTITUTE(LEFT(TRIM(C158),FIND(" ",TRIM(C158)&amp;" ")-1),",","."),FIND("/",SUBSTITUTE(LEFT(TRIM(C158),FIND(" ",TRIM(C158)&amp;" ")-1),",","."))-1)/MID(SUBSTITUTE(LEFT(TRIM(C158),FIND(" ",TRIM(C158)&amp;" ")-1),",","."),FIND("/",SUBSTITUTE(LEFT(TRIM(C158),FIND(" ",TRIM(C158)&amp;" ")-1),",","."))+1,9))*12,NA()))),0),30)*'Aturan &amp; Tarif'!$B$4,2)</f>
        <v>1703.4</v>
      </c>
      <c r="K158" s="32" t="n">
        <f aca="false">'Aturan &amp; Tarif'!$B$5</f>
        <v>2050</v>
      </c>
      <c r="L158" s="32" t="n">
        <f aca="false">'Aturan &amp; Tarif'!$B$6</f>
        <v>350</v>
      </c>
      <c r="M158" s="35" t="n">
        <f aca="false">I158+J158+K158+L158</f>
        <v>9803.4</v>
      </c>
      <c r="N158" s="37" t="s">
        <v>134</v>
      </c>
    </row>
    <row r="159" customFormat="false" ht="37.5" hidden="false" customHeight="true" outlineLevel="0" collapsed="false">
      <c r="A159" s="29"/>
      <c r="B159" s="30" t="s">
        <v>470</v>
      </c>
      <c r="C159" s="31" t="s">
        <v>138</v>
      </c>
      <c r="D159" s="31" t="s">
        <v>108</v>
      </c>
      <c r="E159" s="32" t="n">
        <v>3500</v>
      </c>
      <c r="F159" s="32" t="n">
        <v>500</v>
      </c>
      <c r="G159" s="32" t="n">
        <v>250</v>
      </c>
      <c r="H159" s="33" t="n">
        <v>1</v>
      </c>
      <c r="I159" s="34" t="n">
        <f aca="false">E159*H159+N(F159)+N(G159)</f>
        <v>4250</v>
      </c>
      <c r="J159" s="32" t="n">
        <f aca="false">ROUND(IFERROR(ROUND(IF(OR(ISNUMBER(SEARCH("week",C159)),ISNUMBER(SEARCH("minggu",C159))),IFERROR(_xlfn.NUMBERVALUE(SUBSTITUTE(LEFT(TRIM(C159),FIND(" ",TRIM(C159)&amp;" ")-1),",","."),"."),LEFT(SUBSTITUTE(LEFT(TRIM(C159),FIND(" ",TRIM(C159)&amp;" ")-1),",","."),FIND("/",SUBSTITUTE(LEFT(TRIM(C159),FIND(" ",TRIM(C159)&amp;" ")-1),",","."))-1)/MID(SUBSTITUTE(LEFT(TRIM(C159),FIND(" ",TRIM(C159)&amp;" ")-1),",","."),FIND("/",SUBSTITUTE(LEFT(TRIM(C159),FIND(" ",TRIM(C159)&amp;" ")-1),",","."))+1,9))*12/52,IF(ISNUMBER(SEARCH("month",C159)),IFERROR(_xlfn.NUMBERVALUE(SUBSTITUTE(LEFT(TRIM(C159),FIND(" ",TRIM(C159)&amp;" ")-1),",","."),"."),LEFT(SUBSTITUTE(LEFT(TRIM(C159),FIND(" ",TRIM(C159)&amp;" ")-1),",","."),FIND("/",SUBSTITUTE(LEFT(TRIM(C159),FIND(" ",TRIM(C159)&amp;" ")-1),",","."))-1)/MID(SUBSTITUTE(LEFT(TRIM(C159),FIND(" ",TRIM(C159)&amp;" ")-1),",","."),FIND("/",SUBSTITUTE(LEFT(TRIM(C159),FIND(" ",TRIM(C159)&amp;" ")-1),",","."))+1,9)),IF(ISNUMBER(SEARCH("yea",C159)),IFERROR(_xlfn.NUMBERVALUE(SUBSTITUTE(LEFT(TRIM(C159),FIND(" ",TRIM(C159)&amp;" ")-1),",","."),"."),LEFT(SUBSTITUTE(LEFT(TRIM(C159),FIND(" ",TRIM(C159)&amp;" ")-1),",","."),FIND("/",SUBSTITUTE(LEFT(TRIM(C159),FIND(" ",TRIM(C159)&amp;" ")-1),",","."))-1)/MID(SUBSTITUTE(LEFT(TRIM(C159),FIND(" ",TRIM(C159)&amp;" ")-1),",","."),FIND("/",SUBSTITUTE(LEFT(TRIM(C159),FIND(" ",TRIM(C159)&amp;" ")-1),",","."))+1,9))*12,NA()))),0),30)*'Aturan &amp; Tarif'!$B$4,2)</f>
        <v>1703.4</v>
      </c>
      <c r="K159" s="32" t="n">
        <f aca="false">'Aturan &amp; Tarif'!$B$5</f>
        <v>2050</v>
      </c>
      <c r="L159" s="32" t="n">
        <f aca="false">'Aturan &amp; Tarif'!$B$6</f>
        <v>350</v>
      </c>
      <c r="M159" s="35" t="n">
        <f aca="false">I159+J159+K159+L159</f>
        <v>8353.4</v>
      </c>
      <c r="N159" s="37" t="s">
        <v>134</v>
      </c>
    </row>
    <row r="160" customFormat="false" ht="14.25" hidden="false" customHeight="true" outlineLevel="0" collapsed="false">
      <c r="A160" s="29"/>
      <c r="B160" s="30" t="s">
        <v>874</v>
      </c>
      <c r="C160" s="31" t="s">
        <v>107</v>
      </c>
      <c r="D160" s="31" t="s">
        <v>108</v>
      </c>
      <c r="E160" s="32" t="n">
        <v>2100</v>
      </c>
      <c r="F160" s="32" t="n">
        <v>500</v>
      </c>
      <c r="G160" s="32" t="n">
        <v>250</v>
      </c>
      <c r="H160" s="33" t="n">
        <v>1</v>
      </c>
      <c r="I160" s="34" t="n">
        <f aca="false">E160*H160+N(F160)+N(G160)</f>
        <v>2850</v>
      </c>
      <c r="J160" s="32" t="n">
        <f aca="false">ROUND(IFERROR(ROUND(IF(OR(ISNUMBER(SEARCH("week",C160)),ISNUMBER(SEARCH("minggu",C160))),IFERROR(_xlfn.NUMBERVALUE(SUBSTITUTE(LEFT(TRIM(C160),FIND(" ",TRIM(C160)&amp;" ")-1),",","."),"."),LEFT(SUBSTITUTE(LEFT(TRIM(C160),FIND(" ",TRIM(C160)&amp;" ")-1),",","."),FIND("/",SUBSTITUTE(LEFT(TRIM(C160),FIND(" ",TRIM(C160)&amp;" ")-1),",","."))-1)/MID(SUBSTITUTE(LEFT(TRIM(C160),FIND(" ",TRIM(C160)&amp;" ")-1),",","."),FIND("/",SUBSTITUTE(LEFT(TRIM(C160),FIND(" ",TRIM(C160)&amp;" ")-1),",","."))+1,9))*12/52,IF(ISNUMBER(SEARCH("month",C160)),IFERROR(_xlfn.NUMBERVALUE(SUBSTITUTE(LEFT(TRIM(C160),FIND(" ",TRIM(C160)&amp;" ")-1),",","."),"."),LEFT(SUBSTITUTE(LEFT(TRIM(C160),FIND(" ",TRIM(C160)&amp;" ")-1),",","."),FIND("/",SUBSTITUTE(LEFT(TRIM(C160),FIND(" ",TRIM(C160)&amp;" ")-1),",","."))-1)/MID(SUBSTITUTE(LEFT(TRIM(C160),FIND(" ",TRIM(C160)&amp;" ")-1),",","."),FIND("/",SUBSTITUTE(LEFT(TRIM(C160),FIND(" ",TRIM(C160)&amp;" ")-1),",","."))+1,9)),IF(ISNUMBER(SEARCH("yea",C160)),IFERROR(_xlfn.NUMBERVALUE(SUBSTITUTE(LEFT(TRIM(C160),FIND(" ",TRIM(C160)&amp;" ")-1),",","."),"."),LEFT(SUBSTITUTE(LEFT(TRIM(C160),FIND(" ",TRIM(C160)&amp;" ")-1),",","."),FIND("/",SUBSTITUTE(LEFT(TRIM(C160),FIND(" ",TRIM(C160)&amp;" ")-1),",","."))-1)/MID(SUBSTITUTE(LEFT(TRIM(C160),FIND(" ",TRIM(C160)&amp;" ")-1),",","."),FIND("/",SUBSTITUTE(LEFT(TRIM(C160),FIND(" ",TRIM(C160)&amp;" ")-1),",","."))+1,9))*12,NA()))),0),24)*'Aturan &amp; Tarif'!$B$4,2)</f>
        <v>1362.72</v>
      </c>
      <c r="K160" s="32" t="n">
        <f aca="false">'Aturan &amp; Tarif'!$B$5</f>
        <v>2050</v>
      </c>
      <c r="L160" s="32" t="n">
        <f aca="false">'Aturan &amp; Tarif'!$B$6</f>
        <v>350</v>
      </c>
      <c r="M160" s="35" t="n">
        <f aca="false">I160+J160+K160+L160</f>
        <v>6612.72</v>
      </c>
      <c r="N160" s="37" t="s">
        <v>134</v>
      </c>
    </row>
    <row r="161" customFormat="false" ht="48.75" hidden="false" customHeight="true" outlineLevel="0" collapsed="false">
      <c r="A161" s="39" t="s">
        <v>875</v>
      </c>
      <c r="B161" s="40" t="s">
        <v>424</v>
      </c>
      <c r="C161" s="41" t="s">
        <v>107</v>
      </c>
      <c r="D161" s="41" t="s">
        <v>108</v>
      </c>
      <c r="E161" s="42" t="n">
        <v>2875</v>
      </c>
      <c r="F161" s="42" t="n">
        <v>500</v>
      </c>
      <c r="G161" s="42" t="n">
        <v>100</v>
      </c>
      <c r="H161" s="43" t="n">
        <v>2</v>
      </c>
      <c r="I161" s="34" t="n">
        <f aca="false">E161*H161+N(F161)+N(G161)</f>
        <v>6350</v>
      </c>
      <c r="J161" s="42" t="n">
        <f aca="false">ROUND(IFERROR(ROUND(IF(OR(ISNUMBER(SEARCH("week",C161)),ISNUMBER(SEARCH("minggu",C161))),IFERROR(_xlfn.NUMBERVALUE(SUBSTITUTE(LEFT(TRIM(C161),FIND(" ",TRIM(C161)&amp;" ")-1),",","."),"."),LEFT(SUBSTITUTE(LEFT(TRIM(C161),FIND(" ",TRIM(C161)&amp;" ")-1),",","."),FIND("/",SUBSTITUTE(LEFT(TRIM(C161),FIND(" ",TRIM(C161)&amp;" ")-1),",","."))-1)/MID(SUBSTITUTE(LEFT(TRIM(C161),FIND(" ",TRIM(C161)&amp;" ")-1),",","."),FIND("/",SUBSTITUTE(LEFT(TRIM(C161),FIND(" ",TRIM(C161)&amp;" ")-1),",","."))+1,9))*12/52,IF(ISNUMBER(SEARCH("month",C161)),IFERROR(_xlfn.NUMBERVALUE(SUBSTITUTE(LEFT(TRIM(C161),FIND(" ",TRIM(C161)&amp;" ")-1),",","."),"."),LEFT(SUBSTITUTE(LEFT(TRIM(C161),FIND(" ",TRIM(C161)&amp;" ")-1),",","."),FIND("/",SUBSTITUTE(LEFT(TRIM(C161),FIND(" ",TRIM(C161)&amp;" ")-1),",","."))-1)/MID(SUBSTITUTE(LEFT(TRIM(C161),FIND(" ",TRIM(C161)&amp;" ")-1),",","."),FIND("/",SUBSTITUTE(LEFT(TRIM(C161),FIND(" ",TRIM(C161)&amp;" ")-1),",","."))+1,9)),IF(ISNUMBER(SEARCH("yea",C161)),IFERROR(_xlfn.NUMBERVALUE(SUBSTITUTE(LEFT(TRIM(C161),FIND(" ",TRIM(C161)&amp;" ")-1),",","."),"."),LEFT(SUBSTITUTE(LEFT(TRIM(C161),FIND(" ",TRIM(C161)&amp;" ")-1),",","."),FIND("/",SUBSTITUTE(LEFT(TRIM(C161),FIND(" ",TRIM(C161)&amp;" ")-1),",","."))-1)/MID(SUBSTITUTE(LEFT(TRIM(C161),FIND(" ",TRIM(C161)&amp;" ")-1),",","."),FIND("/",SUBSTITUTE(LEFT(TRIM(C161),FIND(" ",TRIM(C161)&amp;" ")-1),",","."))+1,9))*12,NA()))),0),24)*'Aturan &amp; Tarif'!$B$4,2)</f>
        <v>1362.72</v>
      </c>
      <c r="K161" s="42" t="n">
        <f aca="false">'Aturan &amp; Tarif'!$B$5</f>
        <v>2050</v>
      </c>
      <c r="L161" s="42" t="n">
        <f aca="false">'Aturan &amp; Tarif'!$B$6</f>
        <v>350</v>
      </c>
      <c r="M161" s="35" t="n">
        <f aca="false">I161+J161+K161+L161</f>
        <v>10112.72</v>
      </c>
      <c r="N161" s="45" t="s">
        <v>876</v>
      </c>
    </row>
    <row r="162" customFormat="false" ht="25.5" hidden="false" customHeight="true" outlineLevel="0" collapsed="false">
      <c r="A162" s="39"/>
      <c r="B162" s="40" t="s">
        <v>426</v>
      </c>
      <c r="C162" s="41" t="s">
        <v>138</v>
      </c>
      <c r="D162" s="41" t="s">
        <v>108</v>
      </c>
      <c r="E162" s="42" t="n">
        <v>2600</v>
      </c>
      <c r="F162" s="42" t="n">
        <v>600</v>
      </c>
      <c r="G162" s="42" t="n">
        <v>100</v>
      </c>
      <c r="H162" s="43" t="n">
        <v>2</v>
      </c>
      <c r="I162" s="34" t="n">
        <f aca="false">E162*H162+N(F162)+N(G162)</f>
        <v>5900</v>
      </c>
      <c r="J162" s="42" t="n">
        <f aca="false">ROUND(IFERROR(ROUND(IF(OR(ISNUMBER(SEARCH("week",C162)),ISNUMBER(SEARCH("minggu",C162))),IFERROR(_xlfn.NUMBERVALUE(SUBSTITUTE(LEFT(TRIM(C162),FIND(" ",TRIM(C162)&amp;" ")-1),",","."),"."),LEFT(SUBSTITUTE(LEFT(TRIM(C162),FIND(" ",TRIM(C162)&amp;" ")-1),",","."),FIND("/",SUBSTITUTE(LEFT(TRIM(C162),FIND(" ",TRIM(C162)&amp;" ")-1),",","."))-1)/MID(SUBSTITUTE(LEFT(TRIM(C162),FIND(" ",TRIM(C162)&amp;" ")-1),",","."),FIND("/",SUBSTITUTE(LEFT(TRIM(C162),FIND(" ",TRIM(C162)&amp;" ")-1),",","."))+1,9))*12/52,IF(ISNUMBER(SEARCH("month",C162)),IFERROR(_xlfn.NUMBERVALUE(SUBSTITUTE(LEFT(TRIM(C162),FIND(" ",TRIM(C162)&amp;" ")-1),",","."),"."),LEFT(SUBSTITUTE(LEFT(TRIM(C162),FIND(" ",TRIM(C162)&amp;" ")-1),",","."),FIND("/",SUBSTITUTE(LEFT(TRIM(C162),FIND(" ",TRIM(C162)&amp;" ")-1),",","."))-1)/MID(SUBSTITUTE(LEFT(TRIM(C162),FIND(" ",TRIM(C162)&amp;" ")-1),",","."),FIND("/",SUBSTITUTE(LEFT(TRIM(C162),FIND(" ",TRIM(C162)&amp;" ")-1),",","."))+1,9)),IF(ISNUMBER(SEARCH("yea",C162)),IFERROR(_xlfn.NUMBERVALUE(SUBSTITUTE(LEFT(TRIM(C162),FIND(" ",TRIM(C162)&amp;" ")-1),",","."),"."),LEFT(SUBSTITUTE(LEFT(TRIM(C162),FIND(" ",TRIM(C162)&amp;" ")-1),",","."),FIND("/",SUBSTITUTE(LEFT(TRIM(C162),FIND(" ",TRIM(C162)&amp;" ")-1),",","."))-1)/MID(SUBSTITUTE(LEFT(TRIM(C162),FIND(" ",TRIM(C162)&amp;" ")-1),",","."),FIND("/",SUBSTITUTE(LEFT(TRIM(C162),FIND(" ",TRIM(C162)&amp;" ")-1),",","."))+1,9))*12,NA()))),0),30)*'Aturan &amp; Tarif'!$B$4,2)</f>
        <v>1703.4</v>
      </c>
      <c r="K162" s="42" t="n">
        <f aca="false">'Aturan &amp; Tarif'!$B$5</f>
        <v>2050</v>
      </c>
      <c r="L162" s="42" t="n">
        <f aca="false">'Aturan &amp; Tarif'!$B$6</f>
        <v>350</v>
      </c>
      <c r="M162" s="35" t="n">
        <f aca="false">I162+J162+K162+L162</f>
        <v>10003.4</v>
      </c>
      <c r="N162" s="45" t="s">
        <v>876</v>
      </c>
    </row>
    <row r="163" customFormat="false" ht="14.25" hidden="false" customHeight="true" outlineLevel="0" collapsed="false">
      <c r="A163" s="39"/>
      <c r="B163" s="40" t="s">
        <v>877</v>
      </c>
      <c r="C163" s="41" t="s">
        <v>878</v>
      </c>
      <c r="D163" s="41" t="s">
        <v>108</v>
      </c>
      <c r="E163" s="42" t="n">
        <v>2500</v>
      </c>
      <c r="F163" s="42" t="n">
        <v>600</v>
      </c>
      <c r="G163" s="42" t="n">
        <v>100</v>
      </c>
      <c r="H163" s="43" t="n">
        <v>2</v>
      </c>
      <c r="I163" s="34" t="n">
        <f aca="false">E163*H163+N(F163)+N(G163)</f>
        <v>5700</v>
      </c>
      <c r="J163" s="42" t="n">
        <f aca="false">ROUND(IFERROR(ROUND(IF(OR(ISNUMBER(SEARCH("week",C163)),ISNUMBER(SEARCH("minggu",C163))),IFERROR(_xlfn.NUMBERVALUE(SUBSTITUTE(LEFT(TRIM(C163),FIND(" ",TRIM(C163)&amp;" ")-1),",","."),"."),LEFT(SUBSTITUTE(LEFT(TRIM(C163),FIND(" ",TRIM(C163)&amp;" ")-1),",","."),FIND("/",SUBSTITUTE(LEFT(TRIM(C163),FIND(" ",TRIM(C163)&amp;" ")-1),",","."))-1)/MID(SUBSTITUTE(LEFT(TRIM(C163),FIND(" ",TRIM(C163)&amp;" ")-1),",","."),FIND("/",SUBSTITUTE(LEFT(TRIM(C163),FIND(" ",TRIM(C163)&amp;" ")-1),",","."))+1,9))*12/52,IF(ISNUMBER(SEARCH("month",C163)),IFERROR(_xlfn.NUMBERVALUE(SUBSTITUTE(LEFT(TRIM(C163),FIND(" ",TRIM(C163)&amp;" ")-1),",","."),"."),LEFT(SUBSTITUTE(LEFT(TRIM(C163),FIND(" ",TRIM(C163)&amp;" ")-1),",","."),FIND("/",SUBSTITUTE(LEFT(TRIM(C163),FIND(" ",TRIM(C163)&amp;" ")-1),",","."))-1)/MID(SUBSTITUTE(LEFT(TRIM(C163),FIND(" ",TRIM(C163)&amp;" ")-1),",","."),FIND("/",SUBSTITUTE(LEFT(TRIM(C163),FIND(" ",TRIM(C163)&amp;" ")-1),",","."))+1,9)),IF(ISNUMBER(SEARCH("yea",C163)),IFERROR(_xlfn.NUMBERVALUE(SUBSTITUTE(LEFT(TRIM(C163),FIND(" ",TRIM(C163)&amp;" ")-1),",","."),"."),LEFT(SUBSTITUTE(LEFT(TRIM(C163),FIND(" ",TRIM(C163)&amp;" ")-1),",","."),FIND("/",SUBSTITUTE(LEFT(TRIM(C163),FIND(" ",TRIM(C163)&amp;" ")-1),",","."))-1)/MID(SUBSTITUTE(LEFT(TRIM(C163),FIND(" ",TRIM(C163)&amp;" ")-1),",","."),FIND("/",SUBSTITUTE(LEFT(TRIM(C163),FIND(" ",TRIM(C163)&amp;" ")-1),",","."))+1,9))*12,NA()))),0),20)*'Aturan &amp; Tarif'!$B$4,2)</f>
        <v>1135.6</v>
      </c>
      <c r="K163" s="42" t="n">
        <f aca="false">'Aturan &amp; Tarif'!$B$5</f>
        <v>2050</v>
      </c>
      <c r="L163" s="42" t="n">
        <f aca="false">'Aturan &amp; Tarif'!$B$6</f>
        <v>350</v>
      </c>
      <c r="M163" s="35" t="n">
        <f aca="false">I163+J163+K163+L163</f>
        <v>9235.6</v>
      </c>
      <c r="N163" s="45" t="s">
        <v>876</v>
      </c>
    </row>
    <row r="164" customFormat="false" ht="25.5" hidden="false" customHeight="true" outlineLevel="0" collapsed="false">
      <c r="A164" s="39"/>
      <c r="B164" s="40" t="s">
        <v>879</v>
      </c>
      <c r="C164" s="41" t="s">
        <v>878</v>
      </c>
      <c r="D164" s="41" t="s">
        <v>108</v>
      </c>
      <c r="E164" s="42" t="n">
        <v>2375</v>
      </c>
      <c r="F164" s="42" t="n">
        <v>400</v>
      </c>
      <c r="G164" s="42" t="n">
        <v>100</v>
      </c>
      <c r="H164" s="43" t="n">
        <v>2</v>
      </c>
      <c r="I164" s="34" t="n">
        <f aca="false">E164*H164+N(F164)+N(G164)</f>
        <v>5250</v>
      </c>
      <c r="J164" s="42" t="n">
        <f aca="false">ROUND(IFERROR(ROUND(IF(OR(ISNUMBER(SEARCH("week",C164)),ISNUMBER(SEARCH("minggu",C164))),IFERROR(_xlfn.NUMBERVALUE(SUBSTITUTE(LEFT(TRIM(C164),FIND(" ",TRIM(C164)&amp;" ")-1),",","."),"."),LEFT(SUBSTITUTE(LEFT(TRIM(C164),FIND(" ",TRIM(C164)&amp;" ")-1),",","."),FIND("/",SUBSTITUTE(LEFT(TRIM(C164),FIND(" ",TRIM(C164)&amp;" ")-1),",","."))-1)/MID(SUBSTITUTE(LEFT(TRIM(C164),FIND(" ",TRIM(C164)&amp;" ")-1),",","."),FIND("/",SUBSTITUTE(LEFT(TRIM(C164),FIND(" ",TRIM(C164)&amp;" ")-1),",","."))+1,9))*12/52,IF(ISNUMBER(SEARCH("month",C164)),IFERROR(_xlfn.NUMBERVALUE(SUBSTITUTE(LEFT(TRIM(C164),FIND(" ",TRIM(C164)&amp;" ")-1),",","."),"."),LEFT(SUBSTITUTE(LEFT(TRIM(C164),FIND(" ",TRIM(C164)&amp;" ")-1),",","."),FIND("/",SUBSTITUTE(LEFT(TRIM(C164),FIND(" ",TRIM(C164)&amp;" ")-1),",","."))-1)/MID(SUBSTITUTE(LEFT(TRIM(C164),FIND(" ",TRIM(C164)&amp;" ")-1),",","."),FIND("/",SUBSTITUTE(LEFT(TRIM(C164),FIND(" ",TRIM(C164)&amp;" ")-1),",","."))+1,9)),IF(ISNUMBER(SEARCH("yea",C164)),IFERROR(_xlfn.NUMBERVALUE(SUBSTITUTE(LEFT(TRIM(C164),FIND(" ",TRIM(C164)&amp;" ")-1),",","."),"."),LEFT(SUBSTITUTE(LEFT(TRIM(C164),FIND(" ",TRIM(C164)&amp;" ")-1),",","."),FIND("/",SUBSTITUTE(LEFT(TRIM(C164),FIND(" ",TRIM(C164)&amp;" ")-1),",","."))-1)/MID(SUBSTITUTE(LEFT(TRIM(C164),FIND(" ",TRIM(C164)&amp;" ")-1),",","."),FIND("/",SUBSTITUTE(LEFT(TRIM(C164),FIND(" ",TRIM(C164)&amp;" ")-1),",","."))+1,9))*12,NA()))),0),20)*'Aturan &amp; Tarif'!$B$4,2)</f>
        <v>1135.6</v>
      </c>
      <c r="K164" s="42" t="n">
        <f aca="false">'Aturan &amp; Tarif'!$B$5</f>
        <v>2050</v>
      </c>
      <c r="L164" s="42" t="n">
        <f aca="false">'Aturan &amp; Tarif'!$B$6</f>
        <v>350</v>
      </c>
      <c r="M164" s="35" t="n">
        <f aca="false">I164+J164+K164+L164</f>
        <v>8785.6</v>
      </c>
      <c r="N164" s="45" t="s">
        <v>876</v>
      </c>
    </row>
    <row r="165" customFormat="false" ht="14.25" hidden="false" customHeight="true" outlineLevel="0" collapsed="false">
      <c r="A165" s="39"/>
      <c r="B165" s="40" t="s">
        <v>880</v>
      </c>
      <c r="C165" s="41" t="s">
        <v>107</v>
      </c>
      <c r="D165" s="41" t="s">
        <v>108</v>
      </c>
      <c r="E165" s="42" t="n">
        <v>2300</v>
      </c>
      <c r="F165" s="42" t="n">
        <v>400</v>
      </c>
      <c r="G165" s="42" t="n">
        <v>100</v>
      </c>
      <c r="H165" s="43" t="n">
        <v>2</v>
      </c>
      <c r="I165" s="34" t="n">
        <f aca="false">E165*H165+N(F165)+N(G165)</f>
        <v>5100</v>
      </c>
      <c r="J165" s="42" t="n">
        <f aca="false">ROUND(IFERROR(ROUND(IF(OR(ISNUMBER(SEARCH("week",C165)),ISNUMBER(SEARCH("minggu",C165))),IFERROR(_xlfn.NUMBERVALUE(SUBSTITUTE(LEFT(TRIM(C165),FIND(" ",TRIM(C165)&amp;" ")-1),",","."),"."),LEFT(SUBSTITUTE(LEFT(TRIM(C165),FIND(" ",TRIM(C165)&amp;" ")-1),",","."),FIND("/",SUBSTITUTE(LEFT(TRIM(C165),FIND(" ",TRIM(C165)&amp;" ")-1),",","."))-1)/MID(SUBSTITUTE(LEFT(TRIM(C165),FIND(" ",TRIM(C165)&amp;" ")-1),",","."),FIND("/",SUBSTITUTE(LEFT(TRIM(C165),FIND(" ",TRIM(C165)&amp;" ")-1),",","."))+1,9))*12/52,IF(ISNUMBER(SEARCH("month",C165)),IFERROR(_xlfn.NUMBERVALUE(SUBSTITUTE(LEFT(TRIM(C165),FIND(" ",TRIM(C165)&amp;" ")-1),",","."),"."),LEFT(SUBSTITUTE(LEFT(TRIM(C165),FIND(" ",TRIM(C165)&amp;" ")-1),",","."),FIND("/",SUBSTITUTE(LEFT(TRIM(C165),FIND(" ",TRIM(C165)&amp;" ")-1),",","."))-1)/MID(SUBSTITUTE(LEFT(TRIM(C165),FIND(" ",TRIM(C165)&amp;" ")-1),",","."),FIND("/",SUBSTITUTE(LEFT(TRIM(C165),FIND(" ",TRIM(C165)&amp;" ")-1),",","."))+1,9)),IF(ISNUMBER(SEARCH("yea",C165)),IFERROR(_xlfn.NUMBERVALUE(SUBSTITUTE(LEFT(TRIM(C165),FIND(" ",TRIM(C165)&amp;" ")-1),",","."),"."),LEFT(SUBSTITUTE(LEFT(TRIM(C165),FIND(" ",TRIM(C165)&amp;" ")-1),",","."),FIND("/",SUBSTITUTE(LEFT(TRIM(C165),FIND(" ",TRIM(C165)&amp;" ")-1),",","."))-1)/MID(SUBSTITUTE(LEFT(TRIM(C165),FIND(" ",TRIM(C165)&amp;" ")-1),",","."),FIND("/",SUBSTITUTE(LEFT(TRIM(C165),FIND(" ",TRIM(C165)&amp;" ")-1),",","."))+1,9))*12,NA()))),0),24)*'Aturan &amp; Tarif'!$B$4,2)</f>
        <v>1362.72</v>
      </c>
      <c r="K165" s="42" t="n">
        <f aca="false">'Aturan &amp; Tarif'!$B$5</f>
        <v>2050</v>
      </c>
      <c r="L165" s="42" t="n">
        <f aca="false">'Aturan &amp; Tarif'!$B$6</f>
        <v>350</v>
      </c>
      <c r="M165" s="35" t="n">
        <f aca="false">I165+J165+K165+L165</f>
        <v>8862.72</v>
      </c>
      <c r="N165" s="45" t="s">
        <v>876</v>
      </c>
    </row>
    <row r="166" customFormat="false" ht="25.5" hidden="false" customHeight="true" outlineLevel="0" collapsed="false">
      <c r="A166" s="39"/>
      <c r="B166" s="40" t="s">
        <v>881</v>
      </c>
      <c r="C166" s="41" t="s">
        <v>878</v>
      </c>
      <c r="D166" s="41" t="s">
        <v>108</v>
      </c>
      <c r="E166" s="42" t="n">
        <v>2875</v>
      </c>
      <c r="F166" s="42" t="n">
        <v>400</v>
      </c>
      <c r="G166" s="42" t="n">
        <v>100</v>
      </c>
      <c r="H166" s="43" t="n">
        <v>2</v>
      </c>
      <c r="I166" s="34" t="n">
        <f aca="false">E166*H166+N(F166)+N(G166)</f>
        <v>6250</v>
      </c>
      <c r="J166" s="42" t="n">
        <f aca="false">ROUND(IFERROR(ROUND(IF(OR(ISNUMBER(SEARCH("week",C166)),ISNUMBER(SEARCH("minggu",C166))),IFERROR(_xlfn.NUMBERVALUE(SUBSTITUTE(LEFT(TRIM(C166),FIND(" ",TRIM(C166)&amp;" ")-1),",","."),"."),LEFT(SUBSTITUTE(LEFT(TRIM(C166),FIND(" ",TRIM(C166)&amp;" ")-1),",","."),FIND("/",SUBSTITUTE(LEFT(TRIM(C166),FIND(" ",TRIM(C166)&amp;" ")-1),",","."))-1)/MID(SUBSTITUTE(LEFT(TRIM(C166),FIND(" ",TRIM(C166)&amp;" ")-1),",","."),FIND("/",SUBSTITUTE(LEFT(TRIM(C166),FIND(" ",TRIM(C166)&amp;" ")-1),",","."))+1,9))*12/52,IF(ISNUMBER(SEARCH("month",C166)),IFERROR(_xlfn.NUMBERVALUE(SUBSTITUTE(LEFT(TRIM(C166),FIND(" ",TRIM(C166)&amp;" ")-1),",","."),"."),LEFT(SUBSTITUTE(LEFT(TRIM(C166),FIND(" ",TRIM(C166)&amp;" ")-1),",","."),FIND("/",SUBSTITUTE(LEFT(TRIM(C166),FIND(" ",TRIM(C166)&amp;" ")-1),",","."))-1)/MID(SUBSTITUTE(LEFT(TRIM(C166),FIND(" ",TRIM(C166)&amp;" ")-1),",","."),FIND("/",SUBSTITUTE(LEFT(TRIM(C166),FIND(" ",TRIM(C166)&amp;" ")-1),",","."))+1,9)),IF(ISNUMBER(SEARCH("yea",C166)),IFERROR(_xlfn.NUMBERVALUE(SUBSTITUTE(LEFT(TRIM(C166),FIND(" ",TRIM(C166)&amp;" ")-1),",","."),"."),LEFT(SUBSTITUTE(LEFT(TRIM(C166),FIND(" ",TRIM(C166)&amp;" ")-1),",","."),FIND("/",SUBSTITUTE(LEFT(TRIM(C166),FIND(" ",TRIM(C166)&amp;" ")-1),",","."))-1)/MID(SUBSTITUTE(LEFT(TRIM(C166),FIND(" ",TRIM(C166)&amp;" ")-1),",","."),FIND("/",SUBSTITUTE(LEFT(TRIM(C166),FIND(" ",TRIM(C166)&amp;" ")-1),",","."))+1,9))*12,NA()))),0),20)*'Aturan &amp; Tarif'!$B$4,2)</f>
        <v>1135.6</v>
      </c>
      <c r="K166" s="42" t="n">
        <f aca="false">'Aturan &amp; Tarif'!$B$5</f>
        <v>2050</v>
      </c>
      <c r="L166" s="42" t="n">
        <f aca="false">'Aturan &amp; Tarif'!$B$6</f>
        <v>350</v>
      </c>
      <c r="M166" s="35" t="n">
        <f aca="false">I166+J166+K166+L166</f>
        <v>9785.6</v>
      </c>
      <c r="N166" s="45" t="s">
        <v>876</v>
      </c>
    </row>
    <row r="167" customFormat="false" ht="25.5" hidden="false" customHeight="true" outlineLevel="0" collapsed="false">
      <c r="A167" s="39"/>
      <c r="B167" s="40" t="s">
        <v>882</v>
      </c>
      <c r="C167" s="41" t="s">
        <v>107</v>
      </c>
      <c r="D167" s="41" t="s">
        <v>108</v>
      </c>
      <c r="E167" s="42" t="n">
        <v>2500</v>
      </c>
      <c r="F167" s="42" t="n">
        <v>400</v>
      </c>
      <c r="G167" s="42" t="n">
        <v>100</v>
      </c>
      <c r="H167" s="43" t="n">
        <v>2</v>
      </c>
      <c r="I167" s="34" t="n">
        <f aca="false">E167*H167+N(F167)+N(G167)</f>
        <v>5500</v>
      </c>
      <c r="J167" s="42" t="n">
        <f aca="false">ROUND(IFERROR(ROUND(IF(OR(ISNUMBER(SEARCH("week",C167)),ISNUMBER(SEARCH("minggu",C167))),IFERROR(_xlfn.NUMBERVALUE(SUBSTITUTE(LEFT(TRIM(C167),FIND(" ",TRIM(C167)&amp;" ")-1),",","."),"."),LEFT(SUBSTITUTE(LEFT(TRIM(C167),FIND(" ",TRIM(C167)&amp;" ")-1),",","."),FIND("/",SUBSTITUTE(LEFT(TRIM(C167),FIND(" ",TRIM(C167)&amp;" ")-1),",","."))-1)/MID(SUBSTITUTE(LEFT(TRIM(C167),FIND(" ",TRIM(C167)&amp;" ")-1),",","."),FIND("/",SUBSTITUTE(LEFT(TRIM(C167),FIND(" ",TRIM(C167)&amp;" ")-1),",","."))+1,9))*12/52,IF(ISNUMBER(SEARCH("month",C167)),IFERROR(_xlfn.NUMBERVALUE(SUBSTITUTE(LEFT(TRIM(C167),FIND(" ",TRIM(C167)&amp;" ")-1),",","."),"."),LEFT(SUBSTITUTE(LEFT(TRIM(C167),FIND(" ",TRIM(C167)&amp;" ")-1),",","."),FIND("/",SUBSTITUTE(LEFT(TRIM(C167),FIND(" ",TRIM(C167)&amp;" ")-1),",","."))-1)/MID(SUBSTITUTE(LEFT(TRIM(C167),FIND(" ",TRIM(C167)&amp;" ")-1),",","."),FIND("/",SUBSTITUTE(LEFT(TRIM(C167),FIND(" ",TRIM(C167)&amp;" ")-1),",","."))+1,9)),IF(ISNUMBER(SEARCH("yea",C167)),IFERROR(_xlfn.NUMBERVALUE(SUBSTITUTE(LEFT(TRIM(C167),FIND(" ",TRIM(C167)&amp;" ")-1),",","."),"."),LEFT(SUBSTITUTE(LEFT(TRIM(C167),FIND(" ",TRIM(C167)&amp;" ")-1),",","."),FIND("/",SUBSTITUTE(LEFT(TRIM(C167),FIND(" ",TRIM(C167)&amp;" ")-1),",","."))-1)/MID(SUBSTITUTE(LEFT(TRIM(C167),FIND(" ",TRIM(C167)&amp;" ")-1),",","."),FIND("/",SUBSTITUTE(LEFT(TRIM(C167),FIND(" ",TRIM(C167)&amp;" ")-1),",","."))+1,9))*12,NA()))),0),24)*'Aturan &amp; Tarif'!$B$4,2)</f>
        <v>1362.72</v>
      </c>
      <c r="K167" s="42" t="n">
        <f aca="false">'Aturan &amp; Tarif'!$B$5</f>
        <v>2050</v>
      </c>
      <c r="L167" s="42" t="n">
        <f aca="false">'Aturan &amp; Tarif'!$B$6</f>
        <v>350</v>
      </c>
      <c r="M167" s="35" t="n">
        <f aca="false">I167+J167+K167+L167</f>
        <v>9262.72</v>
      </c>
      <c r="N167" s="45" t="s">
        <v>876</v>
      </c>
    </row>
    <row r="168" customFormat="false" ht="25.5" hidden="false" customHeight="true" outlineLevel="0" collapsed="false">
      <c r="A168" s="39"/>
      <c r="B168" s="40" t="s">
        <v>883</v>
      </c>
      <c r="C168" s="41" t="s">
        <v>107</v>
      </c>
      <c r="D168" s="41" t="s">
        <v>108</v>
      </c>
      <c r="E168" s="42" t="n">
        <v>2150</v>
      </c>
      <c r="F168" s="42" t="n">
        <v>400</v>
      </c>
      <c r="G168" s="42" t="n">
        <v>100</v>
      </c>
      <c r="H168" s="43" t="n">
        <v>2</v>
      </c>
      <c r="I168" s="34" t="n">
        <f aca="false">E168*H168+N(F168)+N(G168)</f>
        <v>4800</v>
      </c>
      <c r="J168" s="42" t="n">
        <f aca="false">ROUND(IFERROR(ROUND(IF(OR(ISNUMBER(SEARCH("week",C168)),ISNUMBER(SEARCH("minggu",C168))),IFERROR(_xlfn.NUMBERVALUE(SUBSTITUTE(LEFT(TRIM(C168),FIND(" ",TRIM(C168)&amp;" ")-1),",","."),"."),LEFT(SUBSTITUTE(LEFT(TRIM(C168),FIND(" ",TRIM(C168)&amp;" ")-1),",","."),FIND("/",SUBSTITUTE(LEFT(TRIM(C168),FIND(" ",TRIM(C168)&amp;" ")-1),",","."))-1)/MID(SUBSTITUTE(LEFT(TRIM(C168),FIND(" ",TRIM(C168)&amp;" ")-1),",","."),FIND("/",SUBSTITUTE(LEFT(TRIM(C168),FIND(" ",TRIM(C168)&amp;" ")-1),",","."))+1,9))*12/52,IF(ISNUMBER(SEARCH("month",C168)),IFERROR(_xlfn.NUMBERVALUE(SUBSTITUTE(LEFT(TRIM(C168),FIND(" ",TRIM(C168)&amp;" ")-1),",","."),"."),LEFT(SUBSTITUTE(LEFT(TRIM(C168),FIND(" ",TRIM(C168)&amp;" ")-1),",","."),FIND("/",SUBSTITUTE(LEFT(TRIM(C168),FIND(" ",TRIM(C168)&amp;" ")-1),",","."))-1)/MID(SUBSTITUTE(LEFT(TRIM(C168),FIND(" ",TRIM(C168)&amp;" ")-1),",","."),FIND("/",SUBSTITUTE(LEFT(TRIM(C168),FIND(" ",TRIM(C168)&amp;" ")-1),",","."))+1,9)),IF(ISNUMBER(SEARCH("yea",C168)),IFERROR(_xlfn.NUMBERVALUE(SUBSTITUTE(LEFT(TRIM(C168),FIND(" ",TRIM(C168)&amp;" ")-1),",","."),"."),LEFT(SUBSTITUTE(LEFT(TRIM(C168),FIND(" ",TRIM(C168)&amp;" ")-1),",","."),FIND("/",SUBSTITUTE(LEFT(TRIM(C168),FIND(" ",TRIM(C168)&amp;" ")-1),",","."))-1)/MID(SUBSTITUTE(LEFT(TRIM(C168),FIND(" ",TRIM(C168)&amp;" ")-1),",","."),FIND("/",SUBSTITUTE(LEFT(TRIM(C168),FIND(" ",TRIM(C168)&amp;" ")-1),",","."))+1,9))*12,NA()))),0),24)*'Aturan &amp; Tarif'!$B$4,2)</f>
        <v>1362.72</v>
      </c>
      <c r="K168" s="42" t="n">
        <f aca="false">'Aturan &amp; Tarif'!$B$5</f>
        <v>2050</v>
      </c>
      <c r="L168" s="42" t="n">
        <f aca="false">'Aturan &amp; Tarif'!$B$6</f>
        <v>350</v>
      </c>
      <c r="M168" s="35" t="n">
        <f aca="false">I168+J168+K168+L168</f>
        <v>8562.72</v>
      </c>
      <c r="N168" s="45" t="s">
        <v>876</v>
      </c>
    </row>
    <row r="169" customFormat="false" ht="37.5" hidden="false" customHeight="true" outlineLevel="0" collapsed="false">
      <c r="A169" s="29" t="s">
        <v>884</v>
      </c>
      <c r="B169" s="30" t="s">
        <v>148</v>
      </c>
      <c r="C169" s="31" t="s">
        <v>107</v>
      </c>
      <c r="D169" s="31" t="s">
        <v>108</v>
      </c>
      <c r="E169" s="32" t="n">
        <v>2250</v>
      </c>
      <c r="F169" s="32" t="n">
        <v>1500</v>
      </c>
      <c r="G169" s="32" t="n">
        <v>250</v>
      </c>
      <c r="H169" s="33" t="n">
        <v>1</v>
      </c>
      <c r="I169" s="34" t="n">
        <f aca="false">E169*H169+N(F169)+N(G169)</f>
        <v>4000</v>
      </c>
      <c r="J169" s="32" t="n">
        <f aca="false">ROUND(IFERROR(ROUND(IF(OR(ISNUMBER(SEARCH("week",C169)),ISNUMBER(SEARCH("minggu",C169))),IFERROR(_xlfn.NUMBERVALUE(SUBSTITUTE(LEFT(TRIM(C169),FIND(" ",TRIM(C169)&amp;" ")-1),",","."),"."),LEFT(SUBSTITUTE(LEFT(TRIM(C169),FIND(" ",TRIM(C169)&amp;" ")-1),",","."),FIND("/",SUBSTITUTE(LEFT(TRIM(C169),FIND(" ",TRIM(C169)&amp;" ")-1),",","."))-1)/MID(SUBSTITUTE(LEFT(TRIM(C169),FIND(" ",TRIM(C169)&amp;" ")-1),",","."),FIND("/",SUBSTITUTE(LEFT(TRIM(C169),FIND(" ",TRIM(C169)&amp;" ")-1),",","."))+1,9))*12/52,IF(ISNUMBER(SEARCH("month",C169)),IFERROR(_xlfn.NUMBERVALUE(SUBSTITUTE(LEFT(TRIM(C169),FIND(" ",TRIM(C169)&amp;" ")-1),",","."),"."),LEFT(SUBSTITUTE(LEFT(TRIM(C169),FIND(" ",TRIM(C169)&amp;" ")-1),",","."),FIND("/",SUBSTITUTE(LEFT(TRIM(C169),FIND(" ",TRIM(C169)&amp;" ")-1),",","."))-1)/MID(SUBSTITUTE(LEFT(TRIM(C169),FIND(" ",TRIM(C169)&amp;" ")-1),",","."),FIND("/",SUBSTITUTE(LEFT(TRIM(C169),FIND(" ",TRIM(C169)&amp;" ")-1),",","."))+1,9)),IF(ISNUMBER(SEARCH("yea",C169)),IFERROR(_xlfn.NUMBERVALUE(SUBSTITUTE(LEFT(TRIM(C169),FIND(" ",TRIM(C169)&amp;" ")-1),",","."),"."),LEFT(SUBSTITUTE(LEFT(TRIM(C169),FIND(" ",TRIM(C169)&amp;" ")-1),",","."),FIND("/",SUBSTITUTE(LEFT(TRIM(C169),FIND(" ",TRIM(C169)&amp;" ")-1),",","."))-1)/MID(SUBSTITUTE(LEFT(TRIM(C169),FIND(" ",TRIM(C169)&amp;" ")-1),",","."),FIND("/",SUBSTITUTE(LEFT(TRIM(C169),FIND(" ",TRIM(C169)&amp;" ")-1),",","."))+1,9))*12,NA()))),0),24)*'Aturan &amp; Tarif'!$B$4,2)</f>
        <v>1362.72</v>
      </c>
      <c r="K169" s="32" t="n">
        <f aca="false">'Aturan &amp; Tarif'!$B$5</f>
        <v>2050</v>
      </c>
      <c r="L169" s="32" t="n">
        <f aca="false">'Aturan &amp; Tarif'!$B$6</f>
        <v>350</v>
      </c>
      <c r="M169" s="35" t="n">
        <f aca="false">I169+J169+K169+L169</f>
        <v>7762.72</v>
      </c>
      <c r="N169" s="37" t="s">
        <v>885</v>
      </c>
    </row>
    <row r="170" customFormat="false" ht="25.5" hidden="false" customHeight="true" outlineLevel="0" collapsed="false">
      <c r="A170" s="29"/>
      <c r="B170" s="30" t="s">
        <v>886</v>
      </c>
      <c r="C170" s="31" t="s">
        <v>107</v>
      </c>
      <c r="D170" s="31" t="s">
        <v>108</v>
      </c>
      <c r="E170" s="32" t="n">
        <v>2500</v>
      </c>
      <c r="F170" s="32" t="n">
        <v>1000</v>
      </c>
      <c r="G170" s="32" t="n">
        <v>250</v>
      </c>
      <c r="H170" s="33" t="n">
        <v>1</v>
      </c>
      <c r="I170" s="34" t="n">
        <f aca="false">E170*H170+N(F170)+N(G170)</f>
        <v>3750</v>
      </c>
      <c r="J170" s="32" t="n">
        <f aca="false">ROUND(IFERROR(ROUND(IF(OR(ISNUMBER(SEARCH("week",C170)),ISNUMBER(SEARCH("minggu",C170))),IFERROR(_xlfn.NUMBERVALUE(SUBSTITUTE(LEFT(TRIM(C170),FIND(" ",TRIM(C170)&amp;" ")-1),",","."),"."),LEFT(SUBSTITUTE(LEFT(TRIM(C170),FIND(" ",TRIM(C170)&amp;" ")-1),",","."),FIND("/",SUBSTITUTE(LEFT(TRIM(C170),FIND(" ",TRIM(C170)&amp;" ")-1),",","."))-1)/MID(SUBSTITUTE(LEFT(TRIM(C170),FIND(" ",TRIM(C170)&amp;" ")-1),",","."),FIND("/",SUBSTITUTE(LEFT(TRIM(C170),FIND(" ",TRIM(C170)&amp;" ")-1),",","."))+1,9))*12/52,IF(ISNUMBER(SEARCH("month",C170)),IFERROR(_xlfn.NUMBERVALUE(SUBSTITUTE(LEFT(TRIM(C170),FIND(" ",TRIM(C170)&amp;" ")-1),",","."),"."),LEFT(SUBSTITUTE(LEFT(TRIM(C170),FIND(" ",TRIM(C170)&amp;" ")-1),",","."),FIND("/",SUBSTITUTE(LEFT(TRIM(C170),FIND(" ",TRIM(C170)&amp;" ")-1),",","."))-1)/MID(SUBSTITUTE(LEFT(TRIM(C170),FIND(" ",TRIM(C170)&amp;" ")-1),",","."),FIND("/",SUBSTITUTE(LEFT(TRIM(C170),FIND(" ",TRIM(C170)&amp;" ")-1),",","."))+1,9)),IF(ISNUMBER(SEARCH("yea",C170)),IFERROR(_xlfn.NUMBERVALUE(SUBSTITUTE(LEFT(TRIM(C170),FIND(" ",TRIM(C170)&amp;" ")-1),",","."),"."),LEFT(SUBSTITUTE(LEFT(TRIM(C170),FIND(" ",TRIM(C170)&amp;" ")-1),",","."),FIND("/",SUBSTITUTE(LEFT(TRIM(C170),FIND(" ",TRIM(C170)&amp;" ")-1),",","."))-1)/MID(SUBSTITUTE(LEFT(TRIM(C170),FIND(" ",TRIM(C170)&amp;" ")-1),",","."),FIND("/",SUBSTITUTE(LEFT(TRIM(C170),FIND(" ",TRIM(C170)&amp;" ")-1),",","."))+1,9))*12,NA()))),0),24)*'Aturan &amp; Tarif'!$B$4,2)</f>
        <v>1362.72</v>
      </c>
      <c r="K170" s="32" t="n">
        <f aca="false">'Aturan &amp; Tarif'!$B$5</f>
        <v>2050</v>
      </c>
      <c r="L170" s="32" t="n">
        <f aca="false">'Aturan &amp; Tarif'!$B$6</f>
        <v>350</v>
      </c>
      <c r="M170" s="35" t="n">
        <f aca="false">I170+J170+K170+L170</f>
        <v>7512.72</v>
      </c>
      <c r="N170" s="37" t="s">
        <v>885</v>
      </c>
    </row>
    <row r="171" customFormat="false" ht="37.5" hidden="false" customHeight="true" outlineLevel="0" collapsed="false">
      <c r="A171" s="29"/>
      <c r="B171" s="30" t="s">
        <v>887</v>
      </c>
      <c r="C171" s="31" t="s">
        <v>127</v>
      </c>
      <c r="D171" s="31" t="s">
        <v>108</v>
      </c>
      <c r="E171" s="32" t="n">
        <v>2400</v>
      </c>
      <c r="F171" s="32" t="n">
        <v>1000</v>
      </c>
      <c r="G171" s="32" t="n">
        <v>250</v>
      </c>
      <c r="H171" s="33" t="n">
        <v>1</v>
      </c>
      <c r="I171" s="34" t="n">
        <f aca="false">E171*H171+N(F171)+N(G171)</f>
        <v>3650</v>
      </c>
      <c r="J171" s="32" t="n">
        <f aca="false">ROUND(IFERROR(ROUND(IF(OR(ISNUMBER(SEARCH("week",C171)),ISNUMBER(SEARCH("minggu",C171))),IFERROR(_xlfn.NUMBERVALUE(SUBSTITUTE(LEFT(TRIM(C171),FIND(" ",TRIM(C171)&amp;" ")-1),",","."),"."),LEFT(SUBSTITUTE(LEFT(TRIM(C171),FIND(" ",TRIM(C171)&amp;" ")-1),",","."),FIND("/",SUBSTITUTE(LEFT(TRIM(C171),FIND(" ",TRIM(C171)&amp;" ")-1),",","."))-1)/MID(SUBSTITUTE(LEFT(TRIM(C171),FIND(" ",TRIM(C171)&amp;" ")-1),",","."),FIND("/",SUBSTITUTE(LEFT(TRIM(C171),FIND(" ",TRIM(C171)&amp;" ")-1),",","."))+1,9))*12/52,IF(ISNUMBER(SEARCH("month",C171)),IFERROR(_xlfn.NUMBERVALUE(SUBSTITUTE(LEFT(TRIM(C171),FIND(" ",TRIM(C171)&amp;" ")-1),",","."),"."),LEFT(SUBSTITUTE(LEFT(TRIM(C171),FIND(" ",TRIM(C171)&amp;" ")-1),",","."),FIND("/",SUBSTITUTE(LEFT(TRIM(C171),FIND(" ",TRIM(C171)&amp;" ")-1),",","."))-1)/MID(SUBSTITUTE(LEFT(TRIM(C171),FIND(" ",TRIM(C171)&amp;" ")-1),",","."),FIND("/",SUBSTITUTE(LEFT(TRIM(C171),FIND(" ",TRIM(C171)&amp;" ")-1),",","."))+1,9)),IF(ISNUMBER(SEARCH("yea",C171)),IFERROR(_xlfn.NUMBERVALUE(SUBSTITUTE(LEFT(TRIM(C171),FIND(" ",TRIM(C171)&amp;" ")-1),",","."),"."),LEFT(SUBSTITUTE(LEFT(TRIM(C171),FIND(" ",TRIM(C171)&amp;" ")-1),",","."),FIND("/",SUBSTITUTE(LEFT(TRIM(C171),FIND(" ",TRIM(C171)&amp;" ")-1),",","."))-1)/MID(SUBSTITUTE(LEFT(TRIM(C171),FIND(" ",TRIM(C171)&amp;" ")-1),",","."),FIND("/",SUBSTITUTE(LEFT(TRIM(C171),FIND(" ",TRIM(C171)&amp;" ")-1),",","."))+1,9))*12,NA()))),0),36)*'Aturan &amp; Tarif'!$B$4,2)</f>
        <v>2044.08</v>
      </c>
      <c r="K171" s="32" t="n">
        <f aca="false">'Aturan &amp; Tarif'!$B$5</f>
        <v>2050</v>
      </c>
      <c r="L171" s="32" t="n">
        <f aca="false">'Aturan &amp; Tarif'!$B$6</f>
        <v>350</v>
      </c>
      <c r="M171" s="35" t="n">
        <f aca="false">I171+J171+K171+L171</f>
        <v>8094.08</v>
      </c>
      <c r="N171" s="37" t="s">
        <v>885</v>
      </c>
    </row>
    <row r="172" customFormat="false" ht="14.25" hidden="false" customHeight="true" outlineLevel="0" collapsed="false">
      <c r="A172" s="29"/>
      <c r="B172" s="30" t="s">
        <v>888</v>
      </c>
      <c r="C172" s="31" t="s">
        <v>107</v>
      </c>
      <c r="D172" s="31" t="s">
        <v>108</v>
      </c>
      <c r="E172" s="32" t="n">
        <v>2250</v>
      </c>
      <c r="F172" s="32" t="n">
        <v>500</v>
      </c>
      <c r="G172" s="32" t="n">
        <v>250</v>
      </c>
      <c r="H172" s="33" t="n">
        <v>1</v>
      </c>
      <c r="I172" s="34" t="n">
        <f aca="false">E172*H172+N(F172)+N(G172)</f>
        <v>3000</v>
      </c>
      <c r="J172" s="32" t="n">
        <f aca="false">ROUND(IFERROR(ROUND(IF(OR(ISNUMBER(SEARCH("week",C172)),ISNUMBER(SEARCH("minggu",C172))),IFERROR(_xlfn.NUMBERVALUE(SUBSTITUTE(LEFT(TRIM(C172),FIND(" ",TRIM(C172)&amp;" ")-1),",","."),"."),LEFT(SUBSTITUTE(LEFT(TRIM(C172),FIND(" ",TRIM(C172)&amp;" ")-1),",","."),FIND("/",SUBSTITUTE(LEFT(TRIM(C172),FIND(" ",TRIM(C172)&amp;" ")-1),",","."))-1)/MID(SUBSTITUTE(LEFT(TRIM(C172),FIND(" ",TRIM(C172)&amp;" ")-1),",","."),FIND("/",SUBSTITUTE(LEFT(TRIM(C172),FIND(" ",TRIM(C172)&amp;" ")-1),",","."))+1,9))*12/52,IF(ISNUMBER(SEARCH("month",C172)),IFERROR(_xlfn.NUMBERVALUE(SUBSTITUTE(LEFT(TRIM(C172),FIND(" ",TRIM(C172)&amp;" ")-1),",","."),"."),LEFT(SUBSTITUTE(LEFT(TRIM(C172),FIND(" ",TRIM(C172)&amp;" ")-1),",","."),FIND("/",SUBSTITUTE(LEFT(TRIM(C172),FIND(" ",TRIM(C172)&amp;" ")-1),",","."))-1)/MID(SUBSTITUTE(LEFT(TRIM(C172),FIND(" ",TRIM(C172)&amp;" ")-1),",","."),FIND("/",SUBSTITUTE(LEFT(TRIM(C172),FIND(" ",TRIM(C172)&amp;" ")-1),",","."))+1,9)),IF(ISNUMBER(SEARCH("yea",C172)),IFERROR(_xlfn.NUMBERVALUE(SUBSTITUTE(LEFT(TRIM(C172),FIND(" ",TRIM(C172)&amp;" ")-1),",","."),"."),LEFT(SUBSTITUTE(LEFT(TRIM(C172),FIND(" ",TRIM(C172)&amp;" ")-1),",","."),FIND("/",SUBSTITUTE(LEFT(TRIM(C172),FIND(" ",TRIM(C172)&amp;" ")-1),",","."))-1)/MID(SUBSTITUTE(LEFT(TRIM(C172),FIND(" ",TRIM(C172)&amp;" ")-1),",","."),FIND("/",SUBSTITUTE(LEFT(TRIM(C172),FIND(" ",TRIM(C172)&amp;" ")-1),",","."))+1,9))*12,NA()))),0),24)*'Aturan &amp; Tarif'!$B$4,2)</f>
        <v>1362.72</v>
      </c>
      <c r="K172" s="32" t="n">
        <f aca="false">'Aturan &amp; Tarif'!$B$5</f>
        <v>2050</v>
      </c>
      <c r="L172" s="32" t="n">
        <f aca="false">'Aturan &amp; Tarif'!$B$6</f>
        <v>350</v>
      </c>
      <c r="M172" s="35" t="n">
        <f aca="false">I172+J172+K172+L172</f>
        <v>6762.72</v>
      </c>
      <c r="N172" s="37" t="s">
        <v>885</v>
      </c>
    </row>
    <row r="173" customFormat="false" ht="25.5" hidden="false" customHeight="true" outlineLevel="0" collapsed="false">
      <c r="A173" s="29"/>
      <c r="B173" s="30" t="s">
        <v>889</v>
      </c>
      <c r="C173" s="31" t="s">
        <v>107</v>
      </c>
      <c r="D173" s="31" t="s">
        <v>108</v>
      </c>
      <c r="E173" s="32" t="n">
        <v>2500</v>
      </c>
      <c r="F173" s="32" t="n">
        <v>1000</v>
      </c>
      <c r="G173" s="32" t="n">
        <v>250</v>
      </c>
      <c r="H173" s="33" t="n">
        <v>1</v>
      </c>
      <c r="I173" s="34" t="n">
        <f aca="false">E173*H173+N(F173)+N(G173)</f>
        <v>3750</v>
      </c>
      <c r="J173" s="32" t="n">
        <f aca="false">ROUND(IFERROR(ROUND(IF(OR(ISNUMBER(SEARCH("week",C173)),ISNUMBER(SEARCH("minggu",C173))),IFERROR(_xlfn.NUMBERVALUE(SUBSTITUTE(LEFT(TRIM(C173),FIND(" ",TRIM(C173)&amp;" ")-1),",","."),"."),LEFT(SUBSTITUTE(LEFT(TRIM(C173),FIND(" ",TRIM(C173)&amp;" ")-1),",","."),FIND("/",SUBSTITUTE(LEFT(TRIM(C173),FIND(" ",TRIM(C173)&amp;" ")-1),",","."))-1)/MID(SUBSTITUTE(LEFT(TRIM(C173),FIND(" ",TRIM(C173)&amp;" ")-1),",","."),FIND("/",SUBSTITUTE(LEFT(TRIM(C173),FIND(" ",TRIM(C173)&amp;" ")-1),",","."))+1,9))*12/52,IF(ISNUMBER(SEARCH("month",C173)),IFERROR(_xlfn.NUMBERVALUE(SUBSTITUTE(LEFT(TRIM(C173),FIND(" ",TRIM(C173)&amp;" ")-1),",","."),"."),LEFT(SUBSTITUTE(LEFT(TRIM(C173),FIND(" ",TRIM(C173)&amp;" ")-1),",","."),FIND("/",SUBSTITUTE(LEFT(TRIM(C173),FIND(" ",TRIM(C173)&amp;" ")-1),",","."))-1)/MID(SUBSTITUTE(LEFT(TRIM(C173),FIND(" ",TRIM(C173)&amp;" ")-1),",","."),FIND("/",SUBSTITUTE(LEFT(TRIM(C173),FIND(" ",TRIM(C173)&amp;" ")-1),",","."))+1,9)),IF(ISNUMBER(SEARCH("yea",C173)),IFERROR(_xlfn.NUMBERVALUE(SUBSTITUTE(LEFT(TRIM(C173),FIND(" ",TRIM(C173)&amp;" ")-1),",","."),"."),LEFT(SUBSTITUTE(LEFT(TRIM(C173),FIND(" ",TRIM(C173)&amp;" ")-1),",","."),FIND("/",SUBSTITUTE(LEFT(TRIM(C173),FIND(" ",TRIM(C173)&amp;" ")-1),",","."))-1)/MID(SUBSTITUTE(LEFT(TRIM(C173),FIND(" ",TRIM(C173)&amp;" ")-1),",","."),FIND("/",SUBSTITUTE(LEFT(TRIM(C173),FIND(" ",TRIM(C173)&amp;" ")-1),",","."))+1,9))*12,NA()))),0),24)*'Aturan &amp; Tarif'!$B$4,2)</f>
        <v>1362.72</v>
      </c>
      <c r="K173" s="32" t="n">
        <f aca="false">'Aturan &amp; Tarif'!$B$5</f>
        <v>2050</v>
      </c>
      <c r="L173" s="32" t="n">
        <f aca="false">'Aturan &amp; Tarif'!$B$6</f>
        <v>350</v>
      </c>
      <c r="M173" s="35" t="n">
        <f aca="false">I173+J173+K173+L173</f>
        <v>7512.72</v>
      </c>
      <c r="N173" s="37" t="s">
        <v>885</v>
      </c>
    </row>
    <row r="174" customFormat="false" ht="60" hidden="false" customHeight="true" outlineLevel="0" collapsed="false">
      <c r="A174" s="39" t="s">
        <v>890</v>
      </c>
      <c r="B174" s="40" t="s">
        <v>891</v>
      </c>
      <c r="C174" s="41" t="s">
        <v>191</v>
      </c>
      <c r="D174" s="41" t="s">
        <v>108</v>
      </c>
      <c r="E174" s="42" t="n">
        <v>8427</v>
      </c>
      <c r="F174" s="42"/>
      <c r="G174" s="42"/>
      <c r="H174" s="43" t="n">
        <v>2</v>
      </c>
      <c r="I174" s="34" t="n">
        <f aca="false">E174*H174+N(F174)+N(G174)</f>
        <v>16854</v>
      </c>
      <c r="J174" s="42" t="n">
        <f aca="false">ROUND(IFERROR(ROUND(IF(OR(ISNUMBER(SEARCH("week",C174)),ISNUMBER(SEARCH("minggu",C174))),IFERROR(_xlfn.NUMBERVALUE(SUBSTITUTE(LEFT(TRIM(C174),FIND(" ",TRIM(C174)&amp;" ")-1),",","."),"."),LEFT(SUBSTITUTE(LEFT(TRIM(C174),FIND(" ",TRIM(C174)&amp;" ")-1),",","."),FIND("/",SUBSTITUTE(LEFT(TRIM(C174),FIND(" ",TRIM(C174)&amp;" ")-1),",","."))-1)/MID(SUBSTITUTE(LEFT(TRIM(C174),FIND(" ",TRIM(C174)&amp;" ")-1),",","."),FIND("/",SUBSTITUTE(LEFT(TRIM(C174),FIND(" ",TRIM(C174)&amp;" ")-1),",","."))+1,9))*12/52,IF(ISNUMBER(SEARCH("month",C174)),IFERROR(_xlfn.NUMBERVALUE(SUBSTITUTE(LEFT(TRIM(C174),FIND(" ",TRIM(C174)&amp;" ")-1),",","."),"."),LEFT(SUBSTITUTE(LEFT(TRIM(C174),FIND(" ",TRIM(C174)&amp;" ")-1),",","."),FIND("/",SUBSTITUTE(LEFT(TRIM(C174),FIND(" ",TRIM(C174)&amp;" ")-1),",","."))-1)/MID(SUBSTITUTE(LEFT(TRIM(C174),FIND(" ",TRIM(C174)&amp;" ")-1),",","."),FIND("/",SUBSTITUTE(LEFT(TRIM(C174),FIND(" ",TRIM(C174)&amp;" ")-1),",","."))+1,9)),IF(ISNUMBER(SEARCH("yea",C174)),IFERROR(_xlfn.NUMBERVALUE(SUBSTITUTE(LEFT(TRIM(C174),FIND(" ",TRIM(C174)&amp;" ")-1),",","."),"."),LEFT(SUBSTITUTE(LEFT(TRIM(C174),FIND(" ",TRIM(C174)&amp;" ")-1),",","."),FIND("/",SUBSTITUTE(LEFT(TRIM(C174),FIND(" ",TRIM(C174)&amp;" ")-1),",","."))-1)/MID(SUBSTITUTE(LEFT(TRIM(C174),FIND(" ",TRIM(C174)&amp;" ")-1),",","."),FIND("/",SUBSTITUTE(LEFT(TRIM(C174),FIND(" ",TRIM(C174)&amp;" ")-1),",","."))+1,9))*12,NA()))),0),48)*'Aturan &amp; Tarif'!$B$4,2)</f>
        <v>2725.44</v>
      </c>
      <c r="K174" s="42" t="n">
        <f aca="false">'Aturan &amp; Tarif'!$B$5</f>
        <v>2050</v>
      </c>
      <c r="L174" s="42" t="n">
        <f aca="false">'Aturan &amp; Tarif'!$B$6</f>
        <v>350</v>
      </c>
      <c r="M174" s="35" t="n">
        <f aca="false">I174+J174+K174+L174</f>
        <v>21979.44</v>
      </c>
      <c r="N174" s="44" t="s">
        <v>605</v>
      </c>
    </row>
    <row r="175" customFormat="false" ht="37.5" hidden="false" customHeight="true" outlineLevel="0" collapsed="false">
      <c r="A175" s="39"/>
      <c r="B175" s="40" t="s">
        <v>892</v>
      </c>
      <c r="C175" s="41" t="s">
        <v>191</v>
      </c>
      <c r="D175" s="41" t="s">
        <v>108</v>
      </c>
      <c r="E175" s="42" t="n">
        <v>7784</v>
      </c>
      <c r="F175" s="42"/>
      <c r="G175" s="42"/>
      <c r="H175" s="43" t="n">
        <v>2</v>
      </c>
      <c r="I175" s="34" t="n">
        <f aca="false">E175*H175+N(F175)+N(G175)</f>
        <v>15568</v>
      </c>
      <c r="J175" s="42" t="n">
        <f aca="false">ROUND(IFERROR(ROUND(IF(OR(ISNUMBER(SEARCH("week",C175)),ISNUMBER(SEARCH("minggu",C175))),IFERROR(_xlfn.NUMBERVALUE(SUBSTITUTE(LEFT(TRIM(C175),FIND(" ",TRIM(C175)&amp;" ")-1),",","."),"."),LEFT(SUBSTITUTE(LEFT(TRIM(C175),FIND(" ",TRIM(C175)&amp;" ")-1),",","."),FIND("/",SUBSTITUTE(LEFT(TRIM(C175),FIND(" ",TRIM(C175)&amp;" ")-1),",","."))-1)/MID(SUBSTITUTE(LEFT(TRIM(C175),FIND(" ",TRIM(C175)&amp;" ")-1),",","."),FIND("/",SUBSTITUTE(LEFT(TRIM(C175),FIND(" ",TRIM(C175)&amp;" ")-1),",","."))+1,9))*12/52,IF(ISNUMBER(SEARCH("month",C175)),IFERROR(_xlfn.NUMBERVALUE(SUBSTITUTE(LEFT(TRIM(C175),FIND(" ",TRIM(C175)&amp;" ")-1),",","."),"."),LEFT(SUBSTITUTE(LEFT(TRIM(C175),FIND(" ",TRIM(C175)&amp;" ")-1),",","."),FIND("/",SUBSTITUTE(LEFT(TRIM(C175),FIND(" ",TRIM(C175)&amp;" ")-1),",","."))-1)/MID(SUBSTITUTE(LEFT(TRIM(C175),FIND(" ",TRIM(C175)&amp;" ")-1),",","."),FIND("/",SUBSTITUTE(LEFT(TRIM(C175),FIND(" ",TRIM(C175)&amp;" ")-1),",","."))+1,9)),IF(ISNUMBER(SEARCH("yea",C175)),IFERROR(_xlfn.NUMBERVALUE(SUBSTITUTE(LEFT(TRIM(C175),FIND(" ",TRIM(C175)&amp;" ")-1),",","."),"."),LEFT(SUBSTITUTE(LEFT(TRIM(C175),FIND(" ",TRIM(C175)&amp;" ")-1),",","."),FIND("/",SUBSTITUTE(LEFT(TRIM(C175),FIND(" ",TRIM(C175)&amp;" ")-1),",","."))-1)/MID(SUBSTITUTE(LEFT(TRIM(C175),FIND(" ",TRIM(C175)&amp;" ")-1),",","."),FIND("/",SUBSTITUTE(LEFT(TRIM(C175),FIND(" ",TRIM(C175)&amp;" ")-1),",","."))+1,9))*12,NA()))),0),48)*'Aturan &amp; Tarif'!$B$4,2)</f>
        <v>2725.44</v>
      </c>
      <c r="K175" s="42" t="n">
        <f aca="false">'Aturan &amp; Tarif'!$B$5</f>
        <v>2050</v>
      </c>
      <c r="L175" s="42" t="n">
        <f aca="false">'Aturan &amp; Tarif'!$B$6</f>
        <v>350</v>
      </c>
      <c r="M175" s="35" t="n">
        <f aca="false">I175+J175+K175+L175</f>
        <v>20693.44</v>
      </c>
      <c r="N175" s="44" t="s">
        <v>607</v>
      </c>
    </row>
    <row r="176" customFormat="false" ht="37.5" hidden="false" customHeight="true" outlineLevel="0" collapsed="false">
      <c r="A176" s="39"/>
      <c r="B176" s="40" t="s">
        <v>893</v>
      </c>
      <c r="C176" s="41" t="s">
        <v>107</v>
      </c>
      <c r="D176" s="41" t="s">
        <v>108</v>
      </c>
      <c r="E176" s="42" t="n">
        <v>8427</v>
      </c>
      <c r="F176" s="42"/>
      <c r="G176" s="42"/>
      <c r="H176" s="43" t="n">
        <v>2</v>
      </c>
      <c r="I176" s="34" t="n">
        <f aca="false">E176*H176+N(F176)+N(G176)</f>
        <v>16854</v>
      </c>
      <c r="J176" s="42" t="n">
        <f aca="false">ROUND(IFERROR(ROUND(IF(OR(ISNUMBER(SEARCH("week",C176)),ISNUMBER(SEARCH("minggu",C176))),IFERROR(_xlfn.NUMBERVALUE(SUBSTITUTE(LEFT(TRIM(C176),FIND(" ",TRIM(C176)&amp;" ")-1),",","."),"."),LEFT(SUBSTITUTE(LEFT(TRIM(C176),FIND(" ",TRIM(C176)&amp;" ")-1),",","."),FIND("/",SUBSTITUTE(LEFT(TRIM(C176),FIND(" ",TRIM(C176)&amp;" ")-1),",","."))-1)/MID(SUBSTITUTE(LEFT(TRIM(C176),FIND(" ",TRIM(C176)&amp;" ")-1),",","."),FIND("/",SUBSTITUTE(LEFT(TRIM(C176),FIND(" ",TRIM(C176)&amp;" ")-1),",","."))+1,9))*12/52,IF(ISNUMBER(SEARCH("month",C176)),IFERROR(_xlfn.NUMBERVALUE(SUBSTITUTE(LEFT(TRIM(C176),FIND(" ",TRIM(C176)&amp;" ")-1),",","."),"."),LEFT(SUBSTITUTE(LEFT(TRIM(C176),FIND(" ",TRIM(C176)&amp;" ")-1),",","."),FIND("/",SUBSTITUTE(LEFT(TRIM(C176),FIND(" ",TRIM(C176)&amp;" ")-1),",","."))-1)/MID(SUBSTITUTE(LEFT(TRIM(C176),FIND(" ",TRIM(C176)&amp;" ")-1),",","."),FIND("/",SUBSTITUTE(LEFT(TRIM(C176),FIND(" ",TRIM(C176)&amp;" ")-1),",","."))+1,9)),IF(ISNUMBER(SEARCH("yea",C176)),IFERROR(_xlfn.NUMBERVALUE(SUBSTITUTE(LEFT(TRIM(C176),FIND(" ",TRIM(C176)&amp;" ")-1),",","."),"."),LEFT(SUBSTITUTE(LEFT(TRIM(C176),FIND(" ",TRIM(C176)&amp;" ")-1),",","."),FIND("/",SUBSTITUTE(LEFT(TRIM(C176),FIND(" ",TRIM(C176)&amp;" ")-1),",","."))-1)/MID(SUBSTITUTE(LEFT(TRIM(C176),FIND(" ",TRIM(C176)&amp;" ")-1),",","."),FIND("/",SUBSTITUTE(LEFT(TRIM(C176),FIND(" ",TRIM(C176)&amp;" ")-1),",","."))+1,9))*12,NA()))),0),24)*'Aturan &amp; Tarif'!$B$4,2)</f>
        <v>1362.72</v>
      </c>
      <c r="K176" s="42" t="n">
        <f aca="false">'Aturan &amp; Tarif'!$B$5</f>
        <v>2050</v>
      </c>
      <c r="L176" s="42" t="n">
        <f aca="false">'Aturan &amp; Tarif'!$B$6</f>
        <v>350</v>
      </c>
      <c r="M176" s="35" t="n">
        <f aca="false">I176+J176+K176+L176</f>
        <v>20616.72</v>
      </c>
      <c r="N176" s="44" t="s">
        <v>605</v>
      </c>
    </row>
    <row r="177" customFormat="false" ht="37.5" hidden="false" customHeight="true" outlineLevel="0" collapsed="false">
      <c r="A177" s="39"/>
      <c r="B177" s="40" t="s">
        <v>894</v>
      </c>
      <c r="C177" s="41" t="s">
        <v>107</v>
      </c>
      <c r="D177" s="41" t="s">
        <v>108</v>
      </c>
      <c r="E177" s="42" t="n">
        <v>7784</v>
      </c>
      <c r="F177" s="42"/>
      <c r="G177" s="42"/>
      <c r="H177" s="43" t="n">
        <v>2</v>
      </c>
      <c r="I177" s="34" t="n">
        <f aca="false">E177*H177+N(F177)+N(G177)</f>
        <v>15568</v>
      </c>
      <c r="J177" s="42" t="n">
        <f aca="false">ROUND(IFERROR(ROUND(IF(OR(ISNUMBER(SEARCH("week",C177)),ISNUMBER(SEARCH("minggu",C177))),IFERROR(_xlfn.NUMBERVALUE(SUBSTITUTE(LEFT(TRIM(C177),FIND(" ",TRIM(C177)&amp;" ")-1),",","."),"."),LEFT(SUBSTITUTE(LEFT(TRIM(C177),FIND(" ",TRIM(C177)&amp;" ")-1),",","."),FIND("/",SUBSTITUTE(LEFT(TRIM(C177),FIND(" ",TRIM(C177)&amp;" ")-1),",","."))-1)/MID(SUBSTITUTE(LEFT(TRIM(C177),FIND(" ",TRIM(C177)&amp;" ")-1),",","."),FIND("/",SUBSTITUTE(LEFT(TRIM(C177),FIND(" ",TRIM(C177)&amp;" ")-1),",","."))+1,9))*12/52,IF(ISNUMBER(SEARCH("month",C177)),IFERROR(_xlfn.NUMBERVALUE(SUBSTITUTE(LEFT(TRIM(C177),FIND(" ",TRIM(C177)&amp;" ")-1),",","."),"."),LEFT(SUBSTITUTE(LEFT(TRIM(C177),FIND(" ",TRIM(C177)&amp;" ")-1),",","."),FIND("/",SUBSTITUTE(LEFT(TRIM(C177),FIND(" ",TRIM(C177)&amp;" ")-1),",","."))-1)/MID(SUBSTITUTE(LEFT(TRIM(C177),FIND(" ",TRIM(C177)&amp;" ")-1),",","."),FIND("/",SUBSTITUTE(LEFT(TRIM(C177),FIND(" ",TRIM(C177)&amp;" ")-1),",","."))+1,9)),IF(ISNUMBER(SEARCH("yea",C177)),IFERROR(_xlfn.NUMBERVALUE(SUBSTITUTE(LEFT(TRIM(C177),FIND(" ",TRIM(C177)&amp;" ")-1),",","."),"."),LEFT(SUBSTITUTE(LEFT(TRIM(C177),FIND(" ",TRIM(C177)&amp;" ")-1),",","."),FIND("/",SUBSTITUTE(LEFT(TRIM(C177),FIND(" ",TRIM(C177)&amp;" ")-1),",","."))-1)/MID(SUBSTITUTE(LEFT(TRIM(C177),FIND(" ",TRIM(C177)&amp;" ")-1),",","."),FIND("/",SUBSTITUTE(LEFT(TRIM(C177),FIND(" ",TRIM(C177)&amp;" ")-1),",","."))+1,9))*12,NA()))),0),24)*'Aturan &amp; Tarif'!$B$4,2)</f>
        <v>1362.72</v>
      </c>
      <c r="K177" s="42" t="n">
        <f aca="false">'Aturan &amp; Tarif'!$B$5</f>
        <v>2050</v>
      </c>
      <c r="L177" s="42" t="n">
        <f aca="false">'Aturan &amp; Tarif'!$B$6</f>
        <v>350</v>
      </c>
      <c r="M177" s="35" t="n">
        <f aca="false">I177+J177+K177+L177</f>
        <v>19330.72</v>
      </c>
      <c r="N177" s="44" t="s">
        <v>607</v>
      </c>
    </row>
    <row r="178" customFormat="false" ht="37.5" hidden="false" customHeight="true" outlineLevel="0" collapsed="false">
      <c r="A178" s="39"/>
      <c r="B178" s="40" t="s">
        <v>604</v>
      </c>
      <c r="C178" s="41" t="s">
        <v>191</v>
      </c>
      <c r="D178" s="41" t="s">
        <v>108</v>
      </c>
      <c r="E178" s="42" t="n">
        <v>8427</v>
      </c>
      <c r="F178" s="42"/>
      <c r="G178" s="42"/>
      <c r="H178" s="43" t="n">
        <v>2</v>
      </c>
      <c r="I178" s="34" t="n">
        <f aca="false">E178*H178+N(F178)+N(G178)</f>
        <v>16854</v>
      </c>
      <c r="J178" s="42" t="n">
        <f aca="false">ROUND(IFERROR(ROUND(IF(OR(ISNUMBER(SEARCH("week",C178)),ISNUMBER(SEARCH("minggu",C178))),IFERROR(_xlfn.NUMBERVALUE(SUBSTITUTE(LEFT(TRIM(C178),FIND(" ",TRIM(C178)&amp;" ")-1),",","."),"."),LEFT(SUBSTITUTE(LEFT(TRIM(C178),FIND(" ",TRIM(C178)&amp;" ")-1),",","."),FIND("/",SUBSTITUTE(LEFT(TRIM(C178),FIND(" ",TRIM(C178)&amp;" ")-1),",","."))-1)/MID(SUBSTITUTE(LEFT(TRIM(C178),FIND(" ",TRIM(C178)&amp;" ")-1),",","."),FIND("/",SUBSTITUTE(LEFT(TRIM(C178),FIND(" ",TRIM(C178)&amp;" ")-1),",","."))+1,9))*12/52,IF(ISNUMBER(SEARCH("month",C178)),IFERROR(_xlfn.NUMBERVALUE(SUBSTITUTE(LEFT(TRIM(C178),FIND(" ",TRIM(C178)&amp;" ")-1),",","."),"."),LEFT(SUBSTITUTE(LEFT(TRIM(C178),FIND(" ",TRIM(C178)&amp;" ")-1),",","."),FIND("/",SUBSTITUTE(LEFT(TRIM(C178),FIND(" ",TRIM(C178)&amp;" ")-1),",","."))-1)/MID(SUBSTITUTE(LEFT(TRIM(C178),FIND(" ",TRIM(C178)&amp;" ")-1),",","."),FIND("/",SUBSTITUTE(LEFT(TRIM(C178),FIND(" ",TRIM(C178)&amp;" ")-1),",","."))+1,9)),IF(ISNUMBER(SEARCH("yea",C178)),IFERROR(_xlfn.NUMBERVALUE(SUBSTITUTE(LEFT(TRIM(C178),FIND(" ",TRIM(C178)&amp;" ")-1),",","."),"."),LEFT(SUBSTITUTE(LEFT(TRIM(C178),FIND(" ",TRIM(C178)&amp;" ")-1),",","."),FIND("/",SUBSTITUTE(LEFT(TRIM(C178),FIND(" ",TRIM(C178)&amp;" ")-1),",","."))-1)/MID(SUBSTITUTE(LEFT(TRIM(C178),FIND(" ",TRIM(C178)&amp;" ")-1),",","."),FIND("/",SUBSTITUTE(LEFT(TRIM(C178),FIND(" ",TRIM(C178)&amp;" ")-1),",","."))+1,9))*12,NA()))),0),48)*'Aturan &amp; Tarif'!$B$4,2)</f>
        <v>2725.44</v>
      </c>
      <c r="K178" s="42" t="n">
        <f aca="false">'Aturan &amp; Tarif'!$B$5</f>
        <v>2050</v>
      </c>
      <c r="L178" s="42" t="n">
        <f aca="false">'Aturan &amp; Tarif'!$B$6</f>
        <v>350</v>
      </c>
      <c r="M178" s="35" t="n">
        <f aca="false">I178+J178+K178+L178</f>
        <v>21979.44</v>
      </c>
      <c r="N178" s="44" t="s">
        <v>605</v>
      </c>
    </row>
    <row r="179" customFormat="false" ht="37.5" hidden="false" customHeight="true" outlineLevel="0" collapsed="false">
      <c r="A179" s="39"/>
      <c r="B179" s="40" t="s">
        <v>606</v>
      </c>
      <c r="C179" s="41" t="s">
        <v>191</v>
      </c>
      <c r="D179" s="41" t="s">
        <v>108</v>
      </c>
      <c r="E179" s="42" t="n">
        <v>7784</v>
      </c>
      <c r="F179" s="42"/>
      <c r="G179" s="42"/>
      <c r="H179" s="43" t="n">
        <v>2</v>
      </c>
      <c r="I179" s="34" t="n">
        <f aca="false">E179*H179+N(F179)+N(G179)</f>
        <v>15568</v>
      </c>
      <c r="J179" s="42" t="n">
        <f aca="false">ROUND(IFERROR(ROUND(IF(OR(ISNUMBER(SEARCH("week",C179)),ISNUMBER(SEARCH("minggu",C179))),IFERROR(_xlfn.NUMBERVALUE(SUBSTITUTE(LEFT(TRIM(C179),FIND(" ",TRIM(C179)&amp;" ")-1),",","."),"."),LEFT(SUBSTITUTE(LEFT(TRIM(C179),FIND(" ",TRIM(C179)&amp;" ")-1),",","."),FIND("/",SUBSTITUTE(LEFT(TRIM(C179),FIND(" ",TRIM(C179)&amp;" ")-1),",","."))-1)/MID(SUBSTITUTE(LEFT(TRIM(C179),FIND(" ",TRIM(C179)&amp;" ")-1),",","."),FIND("/",SUBSTITUTE(LEFT(TRIM(C179),FIND(" ",TRIM(C179)&amp;" ")-1),",","."))+1,9))*12/52,IF(ISNUMBER(SEARCH("month",C179)),IFERROR(_xlfn.NUMBERVALUE(SUBSTITUTE(LEFT(TRIM(C179),FIND(" ",TRIM(C179)&amp;" ")-1),",","."),"."),LEFT(SUBSTITUTE(LEFT(TRIM(C179),FIND(" ",TRIM(C179)&amp;" ")-1),",","."),FIND("/",SUBSTITUTE(LEFT(TRIM(C179),FIND(" ",TRIM(C179)&amp;" ")-1),",","."))-1)/MID(SUBSTITUTE(LEFT(TRIM(C179),FIND(" ",TRIM(C179)&amp;" ")-1),",","."),FIND("/",SUBSTITUTE(LEFT(TRIM(C179),FIND(" ",TRIM(C179)&amp;" ")-1),",","."))+1,9)),IF(ISNUMBER(SEARCH("yea",C179)),IFERROR(_xlfn.NUMBERVALUE(SUBSTITUTE(LEFT(TRIM(C179),FIND(" ",TRIM(C179)&amp;" ")-1),",","."),"."),LEFT(SUBSTITUTE(LEFT(TRIM(C179),FIND(" ",TRIM(C179)&amp;" ")-1),",","."),FIND("/",SUBSTITUTE(LEFT(TRIM(C179),FIND(" ",TRIM(C179)&amp;" ")-1),",","."))-1)/MID(SUBSTITUTE(LEFT(TRIM(C179),FIND(" ",TRIM(C179)&amp;" ")-1),",","."),FIND("/",SUBSTITUTE(LEFT(TRIM(C179),FIND(" ",TRIM(C179)&amp;" ")-1),",","."))+1,9))*12,NA()))),0),48)*'Aturan &amp; Tarif'!$B$4,2)</f>
        <v>2725.44</v>
      </c>
      <c r="K179" s="42" t="n">
        <f aca="false">'Aturan &amp; Tarif'!$B$5</f>
        <v>2050</v>
      </c>
      <c r="L179" s="42" t="n">
        <f aca="false">'Aturan &amp; Tarif'!$B$6</f>
        <v>350</v>
      </c>
      <c r="M179" s="35" t="n">
        <f aca="false">I179+J179+K179+L179</f>
        <v>20693.44</v>
      </c>
      <c r="N179" s="44" t="s">
        <v>607</v>
      </c>
    </row>
    <row r="180" customFormat="false" ht="37.5" hidden="false" customHeight="true" outlineLevel="0" collapsed="false">
      <c r="A180" s="39"/>
      <c r="B180" s="40" t="s">
        <v>608</v>
      </c>
      <c r="C180" s="41" t="s">
        <v>107</v>
      </c>
      <c r="D180" s="41" t="s">
        <v>108</v>
      </c>
      <c r="E180" s="42" t="n">
        <v>8427</v>
      </c>
      <c r="F180" s="42"/>
      <c r="G180" s="42"/>
      <c r="H180" s="43" t="n">
        <v>2</v>
      </c>
      <c r="I180" s="34" t="n">
        <f aca="false">E180*H180+N(F180)+N(G180)</f>
        <v>16854</v>
      </c>
      <c r="J180" s="42" t="n">
        <f aca="false">ROUND(IFERROR(ROUND(IF(OR(ISNUMBER(SEARCH("week",C180)),ISNUMBER(SEARCH("minggu",C180))),IFERROR(_xlfn.NUMBERVALUE(SUBSTITUTE(LEFT(TRIM(C180),FIND(" ",TRIM(C180)&amp;" ")-1),",","."),"."),LEFT(SUBSTITUTE(LEFT(TRIM(C180),FIND(" ",TRIM(C180)&amp;" ")-1),",","."),FIND("/",SUBSTITUTE(LEFT(TRIM(C180),FIND(" ",TRIM(C180)&amp;" ")-1),",","."))-1)/MID(SUBSTITUTE(LEFT(TRIM(C180),FIND(" ",TRIM(C180)&amp;" ")-1),",","."),FIND("/",SUBSTITUTE(LEFT(TRIM(C180),FIND(" ",TRIM(C180)&amp;" ")-1),",","."))+1,9))*12/52,IF(ISNUMBER(SEARCH("month",C180)),IFERROR(_xlfn.NUMBERVALUE(SUBSTITUTE(LEFT(TRIM(C180),FIND(" ",TRIM(C180)&amp;" ")-1),",","."),"."),LEFT(SUBSTITUTE(LEFT(TRIM(C180),FIND(" ",TRIM(C180)&amp;" ")-1),",","."),FIND("/",SUBSTITUTE(LEFT(TRIM(C180),FIND(" ",TRIM(C180)&amp;" ")-1),",","."))-1)/MID(SUBSTITUTE(LEFT(TRIM(C180),FIND(" ",TRIM(C180)&amp;" ")-1),",","."),FIND("/",SUBSTITUTE(LEFT(TRIM(C180),FIND(" ",TRIM(C180)&amp;" ")-1),",","."))+1,9)),IF(ISNUMBER(SEARCH("yea",C180)),IFERROR(_xlfn.NUMBERVALUE(SUBSTITUTE(LEFT(TRIM(C180),FIND(" ",TRIM(C180)&amp;" ")-1),",","."),"."),LEFT(SUBSTITUTE(LEFT(TRIM(C180),FIND(" ",TRIM(C180)&amp;" ")-1),",","."),FIND("/",SUBSTITUTE(LEFT(TRIM(C180),FIND(" ",TRIM(C180)&amp;" ")-1),",","."))-1)/MID(SUBSTITUTE(LEFT(TRIM(C180),FIND(" ",TRIM(C180)&amp;" ")-1),",","."),FIND("/",SUBSTITUTE(LEFT(TRIM(C180),FIND(" ",TRIM(C180)&amp;" ")-1),",","."))+1,9))*12,NA()))),0),24)*'Aturan &amp; Tarif'!$B$4,2)</f>
        <v>1362.72</v>
      </c>
      <c r="K180" s="42" t="n">
        <f aca="false">'Aturan &amp; Tarif'!$B$5</f>
        <v>2050</v>
      </c>
      <c r="L180" s="42" t="n">
        <f aca="false">'Aturan &amp; Tarif'!$B$6</f>
        <v>350</v>
      </c>
      <c r="M180" s="35" t="n">
        <f aca="false">I180+J180+K180+L180</f>
        <v>20616.72</v>
      </c>
      <c r="N180" s="44" t="s">
        <v>605</v>
      </c>
    </row>
    <row r="181" customFormat="false" ht="37.5" hidden="false" customHeight="true" outlineLevel="0" collapsed="false">
      <c r="A181" s="39"/>
      <c r="B181" s="40" t="s">
        <v>609</v>
      </c>
      <c r="C181" s="41" t="s">
        <v>107</v>
      </c>
      <c r="D181" s="41" t="s">
        <v>108</v>
      </c>
      <c r="E181" s="42" t="n">
        <v>7784</v>
      </c>
      <c r="F181" s="42"/>
      <c r="G181" s="42"/>
      <c r="H181" s="43" t="n">
        <v>2</v>
      </c>
      <c r="I181" s="34" t="n">
        <f aca="false">E181*H181+N(F181)+N(G181)</f>
        <v>15568</v>
      </c>
      <c r="J181" s="42" t="n">
        <f aca="false">ROUND(IFERROR(ROUND(IF(OR(ISNUMBER(SEARCH("week",C181)),ISNUMBER(SEARCH("minggu",C181))),IFERROR(_xlfn.NUMBERVALUE(SUBSTITUTE(LEFT(TRIM(C181),FIND(" ",TRIM(C181)&amp;" ")-1),",","."),"."),LEFT(SUBSTITUTE(LEFT(TRIM(C181),FIND(" ",TRIM(C181)&amp;" ")-1),",","."),FIND("/",SUBSTITUTE(LEFT(TRIM(C181),FIND(" ",TRIM(C181)&amp;" ")-1),",","."))-1)/MID(SUBSTITUTE(LEFT(TRIM(C181),FIND(" ",TRIM(C181)&amp;" ")-1),",","."),FIND("/",SUBSTITUTE(LEFT(TRIM(C181),FIND(" ",TRIM(C181)&amp;" ")-1),",","."))+1,9))*12/52,IF(ISNUMBER(SEARCH("month",C181)),IFERROR(_xlfn.NUMBERVALUE(SUBSTITUTE(LEFT(TRIM(C181),FIND(" ",TRIM(C181)&amp;" ")-1),",","."),"."),LEFT(SUBSTITUTE(LEFT(TRIM(C181),FIND(" ",TRIM(C181)&amp;" ")-1),",","."),FIND("/",SUBSTITUTE(LEFT(TRIM(C181),FIND(" ",TRIM(C181)&amp;" ")-1),",","."))-1)/MID(SUBSTITUTE(LEFT(TRIM(C181),FIND(" ",TRIM(C181)&amp;" ")-1),",","."),FIND("/",SUBSTITUTE(LEFT(TRIM(C181),FIND(" ",TRIM(C181)&amp;" ")-1),",","."))+1,9)),IF(ISNUMBER(SEARCH("yea",C181)),IFERROR(_xlfn.NUMBERVALUE(SUBSTITUTE(LEFT(TRIM(C181),FIND(" ",TRIM(C181)&amp;" ")-1),",","."),"."),LEFT(SUBSTITUTE(LEFT(TRIM(C181),FIND(" ",TRIM(C181)&amp;" ")-1),",","."),FIND("/",SUBSTITUTE(LEFT(TRIM(C181),FIND(" ",TRIM(C181)&amp;" ")-1),",","."))-1)/MID(SUBSTITUTE(LEFT(TRIM(C181),FIND(" ",TRIM(C181)&amp;" ")-1),",","."),FIND("/",SUBSTITUTE(LEFT(TRIM(C181),FIND(" ",TRIM(C181)&amp;" ")-1),",","."))+1,9))*12,NA()))),0),24)*'Aturan &amp; Tarif'!$B$4,2)</f>
        <v>1362.72</v>
      </c>
      <c r="K181" s="42" t="n">
        <f aca="false">'Aturan &amp; Tarif'!$B$5</f>
        <v>2050</v>
      </c>
      <c r="L181" s="42" t="n">
        <f aca="false">'Aturan &amp; Tarif'!$B$6</f>
        <v>350</v>
      </c>
      <c r="M181" s="35" t="n">
        <f aca="false">I181+J181+K181+L181</f>
        <v>19330.72</v>
      </c>
      <c r="N181" s="44" t="s">
        <v>607</v>
      </c>
    </row>
    <row r="182" customFormat="false" ht="37.5" hidden="false" customHeight="true" outlineLevel="0" collapsed="false">
      <c r="A182" s="39" t="s">
        <v>895</v>
      </c>
      <c r="B182" s="40" t="s">
        <v>896</v>
      </c>
      <c r="C182" s="41" t="s">
        <v>130</v>
      </c>
      <c r="D182" s="41" t="s">
        <v>108</v>
      </c>
      <c r="E182" s="42" t="n">
        <v>3000</v>
      </c>
      <c r="F182" s="42" t="n">
        <v>0</v>
      </c>
      <c r="G182" s="42" t="n">
        <v>250</v>
      </c>
      <c r="H182" s="43" t="n">
        <v>1</v>
      </c>
      <c r="I182" s="34" t="n">
        <f aca="false">E182*H182+N(F182)+N(G182)</f>
        <v>3250</v>
      </c>
      <c r="J182" s="42" t="n">
        <f aca="false">ROUND(IFERROR(ROUND(IF(OR(ISNUMBER(SEARCH("week",C182)),ISNUMBER(SEARCH("minggu",C182))),IFERROR(_xlfn.NUMBERVALUE(SUBSTITUTE(LEFT(TRIM(C182),FIND(" ",TRIM(C182)&amp;" ")-1),",","."),"."),LEFT(SUBSTITUTE(LEFT(TRIM(C182),FIND(" ",TRIM(C182)&amp;" ")-1),",","."),FIND("/",SUBSTITUTE(LEFT(TRIM(C182),FIND(" ",TRIM(C182)&amp;" ")-1),",","."))-1)/MID(SUBSTITUTE(LEFT(TRIM(C182),FIND(" ",TRIM(C182)&amp;" ")-1),",","."),FIND("/",SUBSTITUTE(LEFT(TRIM(C182),FIND(" ",TRIM(C182)&amp;" ")-1),",","."))+1,9))*12/52,IF(ISNUMBER(SEARCH("month",C182)),IFERROR(_xlfn.NUMBERVALUE(SUBSTITUTE(LEFT(TRIM(C182),FIND(" ",TRIM(C182)&amp;" ")-1),",","."),"."),LEFT(SUBSTITUTE(LEFT(TRIM(C182),FIND(" ",TRIM(C182)&amp;" ")-1),",","."),FIND("/",SUBSTITUTE(LEFT(TRIM(C182),FIND(" ",TRIM(C182)&amp;" ")-1),",","."))-1)/MID(SUBSTITUTE(LEFT(TRIM(C182),FIND(" ",TRIM(C182)&amp;" ")-1),",","."),FIND("/",SUBSTITUTE(LEFT(TRIM(C182),FIND(" ",TRIM(C182)&amp;" ")-1),",","."))+1,9)),IF(ISNUMBER(SEARCH("yea",C182)),IFERROR(_xlfn.NUMBERVALUE(SUBSTITUTE(LEFT(TRIM(C182),FIND(" ",TRIM(C182)&amp;" ")-1),",","."),"."),LEFT(SUBSTITUTE(LEFT(TRIM(C182),FIND(" ",TRIM(C182)&amp;" ")-1),",","."),FIND("/",SUBSTITUTE(LEFT(TRIM(C182),FIND(" ",TRIM(C182)&amp;" ")-1),",","."))-1)/MID(SUBSTITUTE(LEFT(TRIM(C182),FIND(" ",TRIM(C182)&amp;" ")-1),",","."),FIND("/",SUBSTITUTE(LEFT(TRIM(C182),FIND(" ",TRIM(C182)&amp;" ")-1),",","."))+1,9))*12,NA()))),0),12)*'Aturan &amp; Tarif'!$B$4,2)</f>
        <v>681.36</v>
      </c>
      <c r="K182" s="42" t="n">
        <f aca="false">'Aturan &amp; Tarif'!$B$5</f>
        <v>2050</v>
      </c>
      <c r="L182" s="42" t="n">
        <f aca="false">'Aturan &amp; Tarif'!$B$6</f>
        <v>350</v>
      </c>
      <c r="M182" s="35" t="n">
        <f aca="false">I182+J182+K182+L182</f>
        <v>6331.36</v>
      </c>
      <c r="N182" s="45" t="s">
        <v>897</v>
      </c>
    </row>
    <row r="183" customFormat="false" ht="25.5" hidden="false" customHeight="true" outlineLevel="0" collapsed="false">
      <c r="A183" s="39"/>
      <c r="B183" s="40" t="s">
        <v>898</v>
      </c>
      <c r="C183" s="41" t="s">
        <v>107</v>
      </c>
      <c r="D183" s="41" t="s">
        <v>108</v>
      </c>
      <c r="E183" s="42" t="n">
        <v>1500</v>
      </c>
      <c r="F183" s="42" t="n">
        <v>0</v>
      </c>
      <c r="G183" s="42" t="n">
        <v>250</v>
      </c>
      <c r="H183" s="43" t="n">
        <v>1</v>
      </c>
      <c r="I183" s="34" t="n">
        <f aca="false">E183*H183+N(F183)+N(G183)</f>
        <v>1750</v>
      </c>
      <c r="J183" s="42" t="n">
        <f aca="false">ROUND(IFERROR(ROUND(IF(OR(ISNUMBER(SEARCH("week",C183)),ISNUMBER(SEARCH("minggu",C183))),IFERROR(_xlfn.NUMBERVALUE(SUBSTITUTE(LEFT(TRIM(C183),FIND(" ",TRIM(C183)&amp;" ")-1),",","."),"."),LEFT(SUBSTITUTE(LEFT(TRIM(C183),FIND(" ",TRIM(C183)&amp;" ")-1),",","."),FIND("/",SUBSTITUTE(LEFT(TRIM(C183),FIND(" ",TRIM(C183)&amp;" ")-1),",","."))-1)/MID(SUBSTITUTE(LEFT(TRIM(C183),FIND(" ",TRIM(C183)&amp;" ")-1),",","."),FIND("/",SUBSTITUTE(LEFT(TRIM(C183),FIND(" ",TRIM(C183)&amp;" ")-1),",","."))+1,9))*12/52,IF(ISNUMBER(SEARCH("month",C183)),IFERROR(_xlfn.NUMBERVALUE(SUBSTITUTE(LEFT(TRIM(C183),FIND(" ",TRIM(C183)&amp;" ")-1),",","."),"."),LEFT(SUBSTITUTE(LEFT(TRIM(C183),FIND(" ",TRIM(C183)&amp;" ")-1),",","."),FIND("/",SUBSTITUTE(LEFT(TRIM(C183),FIND(" ",TRIM(C183)&amp;" ")-1),",","."))-1)/MID(SUBSTITUTE(LEFT(TRIM(C183),FIND(" ",TRIM(C183)&amp;" ")-1),",","."),FIND("/",SUBSTITUTE(LEFT(TRIM(C183),FIND(" ",TRIM(C183)&amp;" ")-1),",","."))+1,9)),IF(ISNUMBER(SEARCH("yea",C183)),IFERROR(_xlfn.NUMBERVALUE(SUBSTITUTE(LEFT(TRIM(C183),FIND(" ",TRIM(C183)&amp;" ")-1),",","."),"."),LEFT(SUBSTITUTE(LEFT(TRIM(C183),FIND(" ",TRIM(C183)&amp;" ")-1),",","."),FIND("/",SUBSTITUTE(LEFT(TRIM(C183),FIND(" ",TRIM(C183)&amp;" ")-1),",","."))-1)/MID(SUBSTITUTE(LEFT(TRIM(C183),FIND(" ",TRIM(C183)&amp;" ")-1),",","."),FIND("/",SUBSTITUTE(LEFT(TRIM(C183),FIND(" ",TRIM(C183)&amp;" ")-1),",","."))+1,9))*12,NA()))),0),24)*'Aturan &amp; Tarif'!$B$4,2)</f>
        <v>1362.72</v>
      </c>
      <c r="K183" s="42" t="n">
        <f aca="false">'Aturan &amp; Tarif'!$B$5</f>
        <v>2050</v>
      </c>
      <c r="L183" s="42" t="n">
        <f aca="false">'Aturan &amp; Tarif'!$B$6</f>
        <v>350</v>
      </c>
      <c r="M183" s="35" t="n">
        <f aca="false">I183+J183+K183+L183</f>
        <v>5512.72</v>
      </c>
      <c r="N183" s="45" t="s">
        <v>899</v>
      </c>
    </row>
    <row r="184" customFormat="false" ht="25.5" hidden="false" customHeight="true" outlineLevel="0" collapsed="false">
      <c r="A184" s="39"/>
      <c r="B184" s="40" t="s">
        <v>900</v>
      </c>
      <c r="C184" s="41" t="s">
        <v>127</v>
      </c>
      <c r="D184" s="41" t="s">
        <v>108</v>
      </c>
      <c r="E184" s="42" t="n">
        <v>1500</v>
      </c>
      <c r="F184" s="42" t="n">
        <v>0</v>
      </c>
      <c r="G184" s="42" t="n">
        <v>250</v>
      </c>
      <c r="H184" s="43" t="n">
        <v>1</v>
      </c>
      <c r="I184" s="34" t="n">
        <f aca="false">E184*H184+N(F184)+N(G184)</f>
        <v>1750</v>
      </c>
      <c r="J184" s="42" t="n">
        <f aca="false">ROUND(IFERROR(ROUND(IF(OR(ISNUMBER(SEARCH("week",C184)),ISNUMBER(SEARCH("minggu",C184))),IFERROR(_xlfn.NUMBERVALUE(SUBSTITUTE(LEFT(TRIM(C184),FIND(" ",TRIM(C184)&amp;" ")-1),",","."),"."),LEFT(SUBSTITUTE(LEFT(TRIM(C184),FIND(" ",TRIM(C184)&amp;" ")-1),",","."),FIND("/",SUBSTITUTE(LEFT(TRIM(C184),FIND(" ",TRIM(C184)&amp;" ")-1),",","."))-1)/MID(SUBSTITUTE(LEFT(TRIM(C184),FIND(" ",TRIM(C184)&amp;" ")-1),",","."),FIND("/",SUBSTITUTE(LEFT(TRIM(C184),FIND(" ",TRIM(C184)&amp;" ")-1),",","."))+1,9))*12/52,IF(ISNUMBER(SEARCH("month",C184)),IFERROR(_xlfn.NUMBERVALUE(SUBSTITUTE(LEFT(TRIM(C184),FIND(" ",TRIM(C184)&amp;" ")-1),",","."),"."),LEFT(SUBSTITUTE(LEFT(TRIM(C184),FIND(" ",TRIM(C184)&amp;" ")-1),",","."),FIND("/",SUBSTITUTE(LEFT(TRIM(C184),FIND(" ",TRIM(C184)&amp;" ")-1),",","."))-1)/MID(SUBSTITUTE(LEFT(TRIM(C184),FIND(" ",TRIM(C184)&amp;" ")-1),",","."),FIND("/",SUBSTITUTE(LEFT(TRIM(C184),FIND(" ",TRIM(C184)&amp;" ")-1),",","."))+1,9)),IF(ISNUMBER(SEARCH("yea",C184)),IFERROR(_xlfn.NUMBERVALUE(SUBSTITUTE(LEFT(TRIM(C184),FIND(" ",TRIM(C184)&amp;" ")-1),",","."),"."),LEFT(SUBSTITUTE(LEFT(TRIM(C184),FIND(" ",TRIM(C184)&amp;" ")-1),",","."),FIND("/",SUBSTITUTE(LEFT(TRIM(C184),FIND(" ",TRIM(C184)&amp;" ")-1),",","."))-1)/MID(SUBSTITUTE(LEFT(TRIM(C184),FIND(" ",TRIM(C184)&amp;" ")-1),",","."),FIND("/",SUBSTITUTE(LEFT(TRIM(C184),FIND(" ",TRIM(C184)&amp;" ")-1),",","."))+1,9))*12,NA()))),0),36)*'Aturan &amp; Tarif'!$B$4,2)</f>
        <v>2044.08</v>
      </c>
      <c r="K184" s="42" t="n">
        <f aca="false">'Aturan &amp; Tarif'!$B$5</f>
        <v>2050</v>
      </c>
      <c r="L184" s="42" t="n">
        <f aca="false">'Aturan &amp; Tarif'!$B$6</f>
        <v>350</v>
      </c>
      <c r="M184" s="35" t="n">
        <f aca="false">I184+J184+K184+L184</f>
        <v>6194.08</v>
      </c>
      <c r="N184" s="45" t="s">
        <v>899</v>
      </c>
    </row>
    <row r="185" customFormat="false" ht="25.5" hidden="false" customHeight="true" outlineLevel="0" collapsed="false">
      <c r="A185" s="39"/>
      <c r="B185" s="40" t="s">
        <v>430</v>
      </c>
      <c r="C185" s="41" t="s">
        <v>127</v>
      </c>
      <c r="D185" s="41" t="s">
        <v>108</v>
      </c>
      <c r="E185" s="42" t="n">
        <v>1700</v>
      </c>
      <c r="F185" s="42" t="n">
        <v>0</v>
      </c>
      <c r="G185" s="42" t="n">
        <v>250</v>
      </c>
      <c r="H185" s="43" t="n">
        <v>1</v>
      </c>
      <c r="I185" s="34" t="n">
        <f aca="false">E185*H185+N(F185)+N(G185)</f>
        <v>1950</v>
      </c>
      <c r="J185" s="42" t="n">
        <f aca="false">ROUND(IFERROR(ROUND(IF(OR(ISNUMBER(SEARCH("week",C185)),ISNUMBER(SEARCH("minggu",C185))),IFERROR(_xlfn.NUMBERVALUE(SUBSTITUTE(LEFT(TRIM(C185),FIND(" ",TRIM(C185)&amp;" ")-1),",","."),"."),LEFT(SUBSTITUTE(LEFT(TRIM(C185),FIND(" ",TRIM(C185)&amp;" ")-1),",","."),FIND("/",SUBSTITUTE(LEFT(TRIM(C185),FIND(" ",TRIM(C185)&amp;" ")-1),",","."))-1)/MID(SUBSTITUTE(LEFT(TRIM(C185),FIND(" ",TRIM(C185)&amp;" ")-1),",","."),FIND("/",SUBSTITUTE(LEFT(TRIM(C185),FIND(" ",TRIM(C185)&amp;" ")-1),",","."))+1,9))*12/52,IF(ISNUMBER(SEARCH("month",C185)),IFERROR(_xlfn.NUMBERVALUE(SUBSTITUTE(LEFT(TRIM(C185),FIND(" ",TRIM(C185)&amp;" ")-1),",","."),"."),LEFT(SUBSTITUTE(LEFT(TRIM(C185),FIND(" ",TRIM(C185)&amp;" ")-1),",","."),FIND("/",SUBSTITUTE(LEFT(TRIM(C185),FIND(" ",TRIM(C185)&amp;" ")-1),",","."))-1)/MID(SUBSTITUTE(LEFT(TRIM(C185),FIND(" ",TRIM(C185)&amp;" ")-1),",","."),FIND("/",SUBSTITUTE(LEFT(TRIM(C185),FIND(" ",TRIM(C185)&amp;" ")-1),",","."))+1,9)),IF(ISNUMBER(SEARCH("yea",C185)),IFERROR(_xlfn.NUMBERVALUE(SUBSTITUTE(LEFT(TRIM(C185),FIND(" ",TRIM(C185)&amp;" ")-1),",","."),"."),LEFT(SUBSTITUTE(LEFT(TRIM(C185),FIND(" ",TRIM(C185)&amp;" ")-1),",","."),FIND("/",SUBSTITUTE(LEFT(TRIM(C185),FIND(" ",TRIM(C185)&amp;" ")-1),",","."))-1)/MID(SUBSTITUTE(LEFT(TRIM(C185),FIND(" ",TRIM(C185)&amp;" ")-1),",","."),FIND("/",SUBSTITUTE(LEFT(TRIM(C185),FIND(" ",TRIM(C185)&amp;" ")-1),",","."))+1,9))*12,NA()))),0),36)*'Aturan &amp; Tarif'!$B$4,2)</f>
        <v>2044.08</v>
      </c>
      <c r="K185" s="42" t="n">
        <f aca="false">'Aturan &amp; Tarif'!$B$5</f>
        <v>2050</v>
      </c>
      <c r="L185" s="42" t="n">
        <f aca="false">'Aturan &amp; Tarif'!$B$6</f>
        <v>350</v>
      </c>
      <c r="M185" s="35" t="n">
        <f aca="false">I185+J185+K185+L185</f>
        <v>6394.08</v>
      </c>
      <c r="N185" s="45" t="s">
        <v>899</v>
      </c>
    </row>
    <row r="186" customFormat="false" ht="25.5" hidden="false" customHeight="true" outlineLevel="0" collapsed="false">
      <c r="A186" s="39"/>
      <c r="B186" s="40" t="s">
        <v>465</v>
      </c>
      <c r="C186" s="41" t="s">
        <v>107</v>
      </c>
      <c r="D186" s="41" t="s">
        <v>108</v>
      </c>
      <c r="E186" s="42" t="n">
        <v>1500</v>
      </c>
      <c r="F186" s="42" t="n">
        <v>0</v>
      </c>
      <c r="G186" s="42" t="n">
        <v>250</v>
      </c>
      <c r="H186" s="43" t="n">
        <v>1</v>
      </c>
      <c r="I186" s="34" t="n">
        <f aca="false">E186*H186+N(F186)+N(G186)</f>
        <v>1750</v>
      </c>
      <c r="J186" s="42" t="n">
        <f aca="false">ROUND(IFERROR(ROUND(IF(OR(ISNUMBER(SEARCH("week",C186)),ISNUMBER(SEARCH("minggu",C186))),IFERROR(_xlfn.NUMBERVALUE(SUBSTITUTE(LEFT(TRIM(C186),FIND(" ",TRIM(C186)&amp;" ")-1),",","."),"."),LEFT(SUBSTITUTE(LEFT(TRIM(C186),FIND(" ",TRIM(C186)&amp;" ")-1),",","."),FIND("/",SUBSTITUTE(LEFT(TRIM(C186),FIND(" ",TRIM(C186)&amp;" ")-1),",","."))-1)/MID(SUBSTITUTE(LEFT(TRIM(C186),FIND(" ",TRIM(C186)&amp;" ")-1),",","."),FIND("/",SUBSTITUTE(LEFT(TRIM(C186),FIND(" ",TRIM(C186)&amp;" ")-1),",","."))+1,9))*12/52,IF(ISNUMBER(SEARCH("month",C186)),IFERROR(_xlfn.NUMBERVALUE(SUBSTITUTE(LEFT(TRIM(C186),FIND(" ",TRIM(C186)&amp;" ")-1),",","."),"."),LEFT(SUBSTITUTE(LEFT(TRIM(C186),FIND(" ",TRIM(C186)&amp;" ")-1),",","."),FIND("/",SUBSTITUTE(LEFT(TRIM(C186),FIND(" ",TRIM(C186)&amp;" ")-1),",","."))-1)/MID(SUBSTITUTE(LEFT(TRIM(C186),FIND(" ",TRIM(C186)&amp;" ")-1),",","."),FIND("/",SUBSTITUTE(LEFT(TRIM(C186),FIND(" ",TRIM(C186)&amp;" ")-1),",","."))+1,9)),IF(ISNUMBER(SEARCH("yea",C186)),IFERROR(_xlfn.NUMBERVALUE(SUBSTITUTE(LEFT(TRIM(C186),FIND(" ",TRIM(C186)&amp;" ")-1),",","."),"."),LEFT(SUBSTITUTE(LEFT(TRIM(C186),FIND(" ",TRIM(C186)&amp;" ")-1),",","."),FIND("/",SUBSTITUTE(LEFT(TRIM(C186),FIND(" ",TRIM(C186)&amp;" ")-1),",","."))-1)/MID(SUBSTITUTE(LEFT(TRIM(C186),FIND(" ",TRIM(C186)&amp;" ")-1),",","."),FIND("/",SUBSTITUTE(LEFT(TRIM(C186),FIND(" ",TRIM(C186)&amp;" ")-1),",","."))+1,9))*12,NA()))),0),24)*'Aturan &amp; Tarif'!$B$4,2)</f>
        <v>1362.72</v>
      </c>
      <c r="K186" s="42" t="n">
        <f aca="false">'Aturan &amp; Tarif'!$B$5</f>
        <v>2050</v>
      </c>
      <c r="L186" s="42" t="n">
        <f aca="false">'Aturan &amp; Tarif'!$B$6</f>
        <v>350</v>
      </c>
      <c r="M186" s="35" t="n">
        <f aca="false">I186+J186+K186+L186</f>
        <v>5512.72</v>
      </c>
      <c r="N186" s="45" t="s">
        <v>899</v>
      </c>
    </row>
    <row r="187" customFormat="false" ht="48.75" hidden="false" customHeight="true" outlineLevel="0" collapsed="false">
      <c r="A187" s="29" t="s">
        <v>901</v>
      </c>
      <c r="B187" s="30" t="s">
        <v>902</v>
      </c>
      <c r="C187" s="31" t="s">
        <v>852</v>
      </c>
      <c r="D187" s="31" t="s">
        <v>737</v>
      </c>
      <c r="E187" s="32" t="n">
        <v>7800</v>
      </c>
      <c r="F187" s="32"/>
      <c r="G187" s="32" t="n">
        <v>200</v>
      </c>
      <c r="H187" s="33" t="n">
        <v>1</v>
      </c>
      <c r="I187" s="34" t="n">
        <f aca="false">E187*H187+N(F187)+N(G187)</f>
        <v>8000</v>
      </c>
      <c r="J187" s="32" t="n">
        <f aca="false">ROUND(IFERROR(ROUND(IF(OR(ISNUMBER(SEARCH("week",C187)),ISNUMBER(SEARCH("minggu",C187))),IFERROR(_xlfn.NUMBERVALUE(SUBSTITUTE(LEFT(TRIM(C187),FIND(" ",TRIM(C187)&amp;" ")-1),",","."),"."),LEFT(SUBSTITUTE(LEFT(TRIM(C187),FIND(" ",TRIM(C187)&amp;" ")-1),",","."),FIND("/",SUBSTITUTE(LEFT(TRIM(C187),FIND(" ",TRIM(C187)&amp;" ")-1),",","."))-1)/MID(SUBSTITUTE(LEFT(TRIM(C187),FIND(" ",TRIM(C187)&amp;" ")-1),",","."),FIND("/",SUBSTITUTE(LEFT(TRIM(C187),FIND(" ",TRIM(C187)&amp;" ")-1),",","."))+1,9))*12/52,IF(ISNUMBER(SEARCH("month",C187)),IFERROR(_xlfn.NUMBERVALUE(SUBSTITUTE(LEFT(TRIM(C187),FIND(" ",TRIM(C187)&amp;" ")-1),",","."),"."),LEFT(SUBSTITUTE(LEFT(TRIM(C187),FIND(" ",TRIM(C187)&amp;" ")-1),",","."),FIND("/",SUBSTITUTE(LEFT(TRIM(C187),FIND(" ",TRIM(C187)&amp;" ")-1),",","."))-1)/MID(SUBSTITUTE(LEFT(TRIM(C187),FIND(" ",TRIM(C187)&amp;" ")-1),",","."),FIND("/",SUBSTITUTE(LEFT(TRIM(C187),FIND(" ",TRIM(C187)&amp;" ")-1),",","."))+1,9)),IF(ISNUMBER(SEARCH("yea",C187)),IFERROR(_xlfn.NUMBERVALUE(SUBSTITUTE(LEFT(TRIM(C187),FIND(" ",TRIM(C187)&amp;" ")-1),",","."),"."),LEFT(SUBSTITUTE(LEFT(TRIM(C187),FIND(" ",TRIM(C187)&amp;" ")-1),",","."),FIND("/",SUBSTITUTE(LEFT(TRIM(C187),FIND(" ",TRIM(C187)&amp;" ")-1),",","."))-1)/MID(SUBSTITUTE(LEFT(TRIM(C187),FIND(" ",TRIM(C187)&amp;" ")-1),",","."),FIND("/",SUBSTITUTE(LEFT(TRIM(C187),FIND(" ",TRIM(C187)&amp;" ")-1),",","."))+1,9))*12,NA()))),0),9)*'Aturan &amp; Tarif'!$B$4,2)</f>
        <v>511.02</v>
      </c>
      <c r="K187" s="32" t="n">
        <f aca="false">'Aturan &amp; Tarif'!$B$5</f>
        <v>2050</v>
      </c>
      <c r="L187" s="32" t="n">
        <f aca="false">'Aturan &amp; Tarif'!$B$6</f>
        <v>350</v>
      </c>
      <c r="M187" s="35" t="n">
        <f aca="false">I187+J187+K187+L187</f>
        <v>10911.02</v>
      </c>
      <c r="N187" s="37" t="s">
        <v>903</v>
      </c>
    </row>
    <row r="188" customFormat="false" ht="14.25" hidden="false" customHeight="true" outlineLevel="0" collapsed="false">
      <c r="A188" s="29"/>
      <c r="B188" s="30" t="s">
        <v>904</v>
      </c>
      <c r="C188" s="31" t="s">
        <v>130</v>
      </c>
      <c r="D188" s="31" t="s">
        <v>737</v>
      </c>
      <c r="E188" s="32" t="n">
        <v>7800</v>
      </c>
      <c r="F188" s="32"/>
      <c r="G188" s="32" t="n">
        <v>200</v>
      </c>
      <c r="H188" s="33" t="n">
        <v>1</v>
      </c>
      <c r="I188" s="34" t="n">
        <f aca="false">E188*H188+N(F188)+N(G188)</f>
        <v>8000</v>
      </c>
      <c r="J188" s="32" t="n">
        <f aca="false">ROUND(IFERROR(ROUND(IF(OR(ISNUMBER(SEARCH("week",C188)),ISNUMBER(SEARCH("minggu",C188))),IFERROR(_xlfn.NUMBERVALUE(SUBSTITUTE(LEFT(TRIM(C188),FIND(" ",TRIM(C188)&amp;" ")-1),",","."),"."),LEFT(SUBSTITUTE(LEFT(TRIM(C188),FIND(" ",TRIM(C188)&amp;" ")-1),",","."),FIND("/",SUBSTITUTE(LEFT(TRIM(C188),FIND(" ",TRIM(C188)&amp;" ")-1),",","."))-1)/MID(SUBSTITUTE(LEFT(TRIM(C188),FIND(" ",TRIM(C188)&amp;" ")-1),",","."),FIND("/",SUBSTITUTE(LEFT(TRIM(C188),FIND(" ",TRIM(C188)&amp;" ")-1),",","."))+1,9))*12/52,IF(ISNUMBER(SEARCH("month",C188)),IFERROR(_xlfn.NUMBERVALUE(SUBSTITUTE(LEFT(TRIM(C188),FIND(" ",TRIM(C188)&amp;" ")-1),",","."),"."),LEFT(SUBSTITUTE(LEFT(TRIM(C188),FIND(" ",TRIM(C188)&amp;" ")-1),",","."),FIND("/",SUBSTITUTE(LEFT(TRIM(C188),FIND(" ",TRIM(C188)&amp;" ")-1),",","."))-1)/MID(SUBSTITUTE(LEFT(TRIM(C188),FIND(" ",TRIM(C188)&amp;" ")-1),",","."),FIND("/",SUBSTITUTE(LEFT(TRIM(C188),FIND(" ",TRIM(C188)&amp;" ")-1),",","."))+1,9)),IF(ISNUMBER(SEARCH("yea",C188)),IFERROR(_xlfn.NUMBERVALUE(SUBSTITUTE(LEFT(TRIM(C188),FIND(" ",TRIM(C188)&amp;" ")-1),",","."),"."),LEFT(SUBSTITUTE(LEFT(TRIM(C188),FIND(" ",TRIM(C188)&amp;" ")-1),",","."),FIND("/",SUBSTITUTE(LEFT(TRIM(C188),FIND(" ",TRIM(C188)&amp;" ")-1),",","."))-1)/MID(SUBSTITUTE(LEFT(TRIM(C188),FIND(" ",TRIM(C188)&amp;" ")-1),",","."),FIND("/",SUBSTITUTE(LEFT(TRIM(C188),FIND(" ",TRIM(C188)&amp;" ")-1),",","."))+1,9))*12,NA()))),0),12)*'Aturan &amp; Tarif'!$B$4,2)</f>
        <v>681.36</v>
      </c>
      <c r="K188" s="32" t="n">
        <f aca="false">'Aturan &amp; Tarif'!$B$5</f>
        <v>2050</v>
      </c>
      <c r="L188" s="32" t="n">
        <f aca="false">'Aturan &amp; Tarif'!$B$6</f>
        <v>350</v>
      </c>
      <c r="M188" s="35" t="n">
        <f aca="false">I188+J188+K188+L188</f>
        <v>11081.36</v>
      </c>
      <c r="N188" s="37" t="s">
        <v>903</v>
      </c>
    </row>
    <row r="189" customFormat="false" ht="14.25" hidden="false" customHeight="true" outlineLevel="0" collapsed="false">
      <c r="A189" s="29"/>
      <c r="B189" s="30" t="s">
        <v>905</v>
      </c>
      <c r="C189" s="31" t="s">
        <v>107</v>
      </c>
      <c r="D189" s="31" t="s">
        <v>737</v>
      </c>
      <c r="E189" s="32" t="n">
        <v>7800</v>
      </c>
      <c r="F189" s="32"/>
      <c r="G189" s="32" t="n">
        <v>200</v>
      </c>
      <c r="H189" s="33" t="n">
        <v>1</v>
      </c>
      <c r="I189" s="34" t="n">
        <f aca="false">E189*H189+N(F189)+N(G189)</f>
        <v>8000</v>
      </c>
      <c r="J189" s="32" t="n">
        <f aca="false">ROUND(IFERROR(ROUND(IF(OR(ISNUMBER(SEARCH("week",C189)),ISNUMBER(SEARCH("minggu",C189))),IFERROR(_xlfn.NUMBERVALUE(SUBSTITUTE(LEFT(TRIM(C189),FIND(" ",TRIM(C189)&amp;" ")-1),",","."),"."),LEFT(SUBSTITUTE(LEFT(TRIM(C189),FIND(" ",TRIM(C189)&amp;" ")-1),",","."),FIND("/",SUBSTITUTE(LEFT(TRIM(C189),FIND(" ",TRIM(C189)&amp;" ")-1),",","."))-1)/MID(SUBSTITUTE(LEFT(TRIM(C189),FIND(" ",TRIM(C189)&amp;" ")-1),",","."),FIND("/",SUBSTITUTE(LEFT(TRIM(C189),FIND(" ",TRIM(C189)&amp;" ")-1),",","."))+1,9))*12/52,IF(ISNUMBER(SEARCH("month",C189)),IFERROR(_xlfn.NUMBERVALUE(SUBSTITUTE(LEFT(TRIM(C189),FIND(" ",TRIM(C189)&amp;" ")-1),",","."),"."),LEFT(SUBSTITUTE(LEFT(TRIM(C189),FIND(" ",TRIM(C189)&amp;" ")-1),",","."),FIND("/",SUBSTITUTE(LEFT(TRIM(C189),FIND(" ",TRIM(C189)&amp;" ")-1),",","."))-1)/MID(SUBSTITUTE(LEFT(TRIM(C189),FIND(" ",TRIM(C189)&amp;" ")-1),",","."),FIND("/",SUBSTITUTE(LEFT(TRIM(C189),FIND(" ",TRIM(C189)&amp;" ")-1),",","."))+1,9)),IF(ISNUMBER(SEARCH("yea",C189)),IFERROR(_xlfn.NUMBERVALUE(SUBSTITUTE(LEFT(TRIM(C189),FIND(" ",TRIM(C189)&amp;" ")-1),",","."),"."),LEFT(SUBSTITUTE(LEFT(TRIM(C189),FIND(" ",TRIM(C189)&amp;" ")-1),",","."),FIND("/",SUBSTITUTE(LEFT(TRIM(C189),FIND(" ",TRIM(C189)&amp;" ")-1),",","."))-1)/MID(SUBSTITUTE(LEFT(TRIM(C189),FIND(" ",TRIM(C189)&amp;" ")-1),",","."),FIND("/",SUBSTITUTE(LEFT(TRIM(C189),FIND(" ",TRIM(C189)&amp;" ")-1),",","."))+1,9))*12,NA()))),0),24)*'Aturan &amp; Tarif'!$B$4,2)</f>
        <v>1362.72</v>
      </c>
      <c r="K189" s="32" t="n">
        <f aca="false">'Aturan &amp; Tarif'!$B$5</f>
        <v>2050</v>
      </c>
      <c r="L189" s="32" t="n">
        <f aca="false">'Aturan &amp; Tarif'!$B$6</f>
        <v>350</v>
      </c>
      <c r="M189" s="35" t="n">
        <f aca="false">I189+J189+K189+L189</f>
        <v>11762.72</v>
      </c>
      <c r="N189" s="37" t="s">
        <v>903</v>
      </c>
    </row>
    <row r="190" customFormat="false" ht="48.75" hidden="false" customHeight="true" outlineLevel="0" collapsed="false">
      <c r="A190" s="29" t="s">
        <v>906</v>
      </c>
      <c r="B190" s="30" t="s">
        <v>471</v>
      </c>
      <c r="C190" s="31" t="s">
        <v>113</v>
      </c>
      <c r="D190" s="31" t="s">
        <v>108</v>
      </c>
      <c r="E190" s="32" t="n">
        <v>2167</v>
      </c>
      <c r="F190" s="32" t="n">
        <v>2000</v>
      </c>
      <c r="G190" s="32" t="n">
        <v>250</v>
      </c>
      <c r="H190" s="33" t="n">
        <v>1</v>
      </c>
      <c r="I190" s="34" t="n">
        <f aca="false">E190*H190+N(F190)+N(G190)</f>
        <v>4417</v>
      </c>
      <c r="J190" s="32" t="n">
        <f aca="false">ROUND(IFERROR(ROUND(IF(OR(ISNUMBER(SEARCH("week",C190)),ISNUMBER(SEARCH("minggu",C190))),IFERROR(_xlfn.NUMBERVALUE(SUBSTITUTE(LEFT(TRIM(C190),FIND(" ",TRIM(C190)&amp;" ")-1),",","."),"."),LEFT(SUBSTITUTE(LEFT(TRIM(C190),FIND(" ",TRIM(C190)&amp;" ")-1),",","."),FIND("/",SUBSTITUTE(LEFT(TRIM(C190),FIND(" ",TRIM(C190)&amp;" ")-1),",","."))-1)/MID(SUBSTITUTE(LEFT(TRIM(C190),FIND(" ",TRIM(C190)&amp;" ")-1),",","."),FIND("/",SUBSTITUTE(LEFT(TRIM(C190),FIND(" ",TRIM(C190)&amp;" ")-1),",","."))+1,9))*12/52,IF(ISNUMBER(SEARCH("month",C190)),IFERROR(_xlfn.NUMBERVALUE(SUBSTITUTE(LEFT(TRIM(C190),FIND(" ",TRIM(C190)&amp;" ")-1),",","."),"."),LEFT(SUBSTITUTE(LEFT(TRIM(C190),FIND(" ",TRIM(C190)&amp;" ")-1),",","."),FIND("/",SUBSTITUTE(LEFT(TRIM(C190),FIND(" ",TRIM(C190)&amp;" ")-1),",","."))-1)/MID(SUBSTITUTE(LEFT(TRIM(C190),FIND(" ",TRIM(C190)&amp;" ")-1),",","."),FIND("/",SUBSTITUTE(LEFT(TRIM(C190),FIND(" ",TRIM(C190)&amp;" ")-1),",","."))+1,9)),IF(ISNUMBER(SEARCH("yea",C190)),IFERROR(_xlfn.NUMBERVALUE(SUBSTITUTE(LEFT(TRIM(C190),FIND(" ",TRIM(C190)&amp;" ")-1),",","."),"."),LEFT(SUBSTITUTE(LEFT(TRIM(C190),FIND(" ",TRIM(C190)&amp;" ")-1),",","."),FIND("/",SUBSTITUTE(LEFT(TRIM(C190),FIND(" ",TRIM(C190)&amp;" ")-1),",","."))-1)/MID(SUBSTITUTE(LEFT(TRIM(C190),FIND(" ",TRIM(C190)&amp;" ")-1),",","."),FIND("/",SUBSTITUTE(LEFT(TRIM(C190),FIND(" ",TRIM(C190)&amp;" ")-1),",","."))+1,9))*12,NA()))),0),18)*'Aturan &amp; Tarif'!$B$4,2)</f>
        <v>1022.04</v>
      </c>
      <c r="K190" s="32" t="n">
        <f aca="false">'Aturan &amp; Tarif'!$B$5</f>
        <v>2050</v>
      </c>
      <c r="L190" s="32" t="n">
        <f aca="false">'Aturan &amp; Tarif'!$B$6</f>
        <v>350</v>
      </c>
      <c r="M190" s="35" t="n">
        <f aca="false">I190+J190+K190+L190</f>
        <v>7839.04</v>
      </c>
      <c r="N190" s="37" t="s">
        <v>134</v>
      </c>
    </row>
    <row r="191" customFormat="false" ht="14.25" hidden="false" customHeight="true" outlineLevel="0" collapsed="false">
      <c r="A191" s="29"/>
      <c r="B191" s="30" t="s">
        <v>673</v>
      </c>
      <c r="C191" s="31" t="s">
        <v>113</v>
      </c>
      <c r="D191" s="31" t="s">
        <v>108</v>
      </c>
      <c r="E191" s="32" t="n">
        <v>2083</v>
      </c>
      <c r="F191" s="32" t="n">
        <v>2000</v>
      </c>
      <c r="G191" s="32" t="n">
        <v>250</v>
      </c>
      <c r="H191" s="33" t="n">
        <v>1</v>
      </c>
      <c r="I191" s="34" t="n">
        <f aca="false">E191*H191+N(F191)+N(G191)</f>
        <v>4333</v>
      </c>
      <c r="J191" s="32" t="n">
        <f aca="false">ROUND(IFERROR(ROUND(IF(OR(ISNUMBER(SEARCH("week",C191)),ISNUMBER(SEARCH("minggu",C191))),IFERROR(_xlfn.NUMBERVALUE(SUBSTITUTE(LEFT(TRIM(C191),FIND(" ",TRIM(C191)&amp;" ")-1),",","."),"."),LEFT(SUBSTITUTE(LEFT(TRIM(C191),FIND(" ",TRIM(C191)&amp;" ")-1),",","."),FIND("/",SUBSTITUTE(LEFT(TRIM(C191),FIND(" ",TRIM(C191)&amp;" ")-1),",","."))-1)/MID(SUBSTITUTE(LEFT(TRIM(C191),FIND(" ",TRIM(C191)&amp;" ")-1),",","."),FIND("/",SUBSTITUTE(LEFT(TRIM(C191),FIND(" ",TRIM(C191)&amp;" ")-1),",","."))+1,9))*12/52,IF(ISNUMBER(SEARCH("month",C191)),IFERROR(_xlfn.NUMBERVALUE(SUBSTITUTE(LEFT(TRIM(C191),FIND(" ",TRIM(C191)&amp;" ")-1),",","."),"."),LEFT(SUBSTITUTE(LEFT(TRIM(C191),FIND(" ",TRIM(C191)&amp;" ")-1),",","."),FIND("/",SUBSTITUTE(LEFT(TRIM(C191),FIND(" ",TRIM(C191)&amp;" ")-1),",","."))-1)/MID(SUBSTITUTE(LEFT(TRIM(C191),FIND(" ",TRIM(C191)&amp;" ")-1),",","."),FIND("/",SUBSTITUTE(LEFT(TRIM(C191),FIND(" ",TRIM(C191)&amp;" ")-1),",","."))+1,9)),IF(ISNUMBER(SEARCH("yea",C191)),IFERROR(_xlfn.NUMBERVALUE(SUBSTITUTE(LEFT(TRIM(C191),FIND(" ",TRIM(C191)&amp;" ")-1),",","."),"."),LEFT(SUBSTITUTE(LEFT(TRIM(C191),FIND(" ",TRIM(C191)&amp;" ")-1),",","."),FIND("/",SUBSTITUTE(LEFT(TRIM(C191),FIND(" ",TRIM(C191)&amp;" ")-1),",","."))-1)/MID(SUBSTITUTE(LEFT(TRIM(C191),FIND(" ",TRIM(C191)&amp;" ")-1),",","."),FIND("/",SUBSTITUTE(LEFT(TRIM(C191),FIND(" ",TRIM(C191)&amp;" ")-1),",","."))+1,9))*12,NA()))),0),18)*'Aturan &amp; Tarif'!$B$4,2)</f>
        <v>1022.04</v>
      </c>
      <c r="K191" s="32" t="n">
        <f aca="false">'Aturan &amp; Tarif'!$B$5</f>
        <v>2050</v>
      </c>
      <c r="L191" s="32" t="n">
        <f aca="false">'Aturan &amp; Tarif'!$B$6</f>
        <v>350</v>
      </c>
      <c r="M191" s="35" t="n">
        <f aca="false">I191+J191+K191+L191</f>
        <v>7755.04</v>
      </c>
      <c r="N191" s="37" t="s">
        <v>134</v>
      </c>
    </row>
    <row r="192" customFormat="false" ht="14.25" hidden="false" customHeight="true" outlineLevel="0" collapsed="false">
      <c r="A192" s="29"/>
      <c r="B192" s="30" t="s">
        <v>907</v>
      </c>
      <c r="C192" s="31" t="s">
        <v>107</v>
      </c>
      <c r="D192" s="31" t="s">
        <v>108</v>
      </c>
      <c r="E192" s="32" t="n">
        <v>2544</v>
      </c>
      <c r="F192" s="32" t="n">
        <v>2500</v>
      </c>
      <c r="G192" s="32" t="n">
        <v>250</v>
      </c>
      <c r="H192" s="33" t="n">
        <v>1</v>
      </c>
      <c r="I192" s="34" t="n">
        <f aca="false">E192*H192+N(F192)+N(G192)</f>
        <v>5294</v>
      </c>
      <c r="J192" s="32" t="n">
        <f aca="false">ROUND(IFERROR(ROUND(IF(OR(ISNUMBER(SEARCH("week",C192)),ISNUMBER(SEARCH("minggu",C192))),IFERROR(_xlfn.NUMBERVALUE(SUBSTITUTE(LEFT(TRIM(C192),FIND(" ",TRIM(C192)&amp;" ")-1),",","."),"."),LEFT(SUBSTITUTE(LEFT(TRIM(C192),FIND(" ",TRIM(C192)&amp;" ")-1),",","."),FIND("/",SUBSTITUTE(LEFT(TRIM(C192),FIND(" ",TRIM(C192)&amp;" ")-1),",","."))-1)/MID(SUBSTITUTE(LEFT(TRIM(C192),FIND(" ",TRIM(C192)&amp;" ")-1),",","."),FIND("/",SUBSTITUTE(LEFT(TRIM(C192),FIND(" ",TRIM(C192)&amp;" ")-1),",","."))+1,9))*12/52,IF(ISNUMBER(SEARCH("month",C192)),IFERROR(_xlfn.NUMBERVALUE(SUBSTITUTE(LEFT(TRIM(C192),FIND(" ",TRIM(C192)&amp;" ")-1),",","."),"."),LEFT(SUBSTITUTE(LEFT(TRIM(C192),FIND(" ",TRIM(C192)&amp;" ")-1),",","."),FIND("/",SUBSTITUTE(LEFT(TRIM(C192),FIND(" ",TRIM(C192)&amp;" ")-1),",","."))-1)/MID(SUBSTITUTE(LEFT(TRIM(C192),FIND(" ",TRIM(C192)&amp;" ")-1),",","."),FIND("/",SUBSTITUTE(LEFT(TRIM(C192),FIND(" ",TRIM(C192)&amp;" ")-1),",","."))+1,9)),IF(ISNUMBER(SEARCH("yea",C192)),IFERROR(_xlfn.NUMBERVALUE(SUBSTITUTE(LEFT(TRIM(C192),FIND(" ",TRIM(C192)&amp;" ")-1),",","."),"."),LEFT(SUBSTITUTE(LEFT(TRIM(C192),FIND(" ",TRIM(C192)&amp;" ")-1),",","."),FIND("/",SUBSTITUTE(LEFT(TRIM(C192),FIND(" ",TRIM(C192)&amp;" ")-1),",","."))-1)/MID(SUBSTITUTE(LEFT(TRIM(C192),FIND(" ",TRIM(C192)&amp;" ")-1),",","."),FIND("/",SUBSTITUTE(LEFT(TRIM(C192),FIND(" ",TRIM(C192)&amp;" ")-1),",","."))+1,9))*12,NA()))),0),24)*'Aturan &amp; Tarif'!$B$4,2)</f>
        <v>1362.72</v>
      </c>
      <c r="K192" s="32" t="n">
        <f aca="false">'Aturan &amp; Tarif'!$B$5</f>
        <v>2050</v>
      </c>
      <c r="L192" s="32" t="n">
        <f aca="false">'Aturan &amp; Tarif'!$B$6</f>
        <v>350</v>
      </c>
      <c r="M192" s="35" t="n">
        <f aca="false">I192+J192+K192+L192</f>
        <v>9056.72</v>
      </c>
      <c r="N192" s="37" t="s">
        <v>134</v>
      </c>
    </row>
    <row r="193" customFormat="false" ht="14.25" hidden="false" customHeight="true" outlineLevel="0" collapsed="false">
      <c r="A193" s="29"/>
      <c r="B193" s="30" t="s">
        <v>674</v>
      </c>
      <c r="C193" s="31" t="s">
        <v>107</v>
      </c>
      <c r="D193" s="31" t="s">
        <v>108</v>
      </c>
      <c r="E193" s="32" t="n">
        <v>2544</v>
      </c>
      <c r="F193" s="32" t="n">
        <v>2500</v>
      </c>
      <c r="G193" s="32" t="n">
        <v>250</v>
      </c>
      <c r="H193" s="33" t="n">
        <v>1</v>
      </c>
      <c r="I193" s="34" t="n">
        <f aca="false">E193*H193+N(F193)+N(G193)</f>
        <v>5294</v>
      </c>
      <c r="J193" s="32" t="n">
        <f aca="false">ROUND(IFERROR(ROUND(IF(OR(ISNUMBER(SEARCH("week",C193)),ISNUMBER(SEARCH("minggu",C193))),IFERROR(_xlfn.NUMBERVALUE(SUBSTITUTE(LEFT(TRIM(C193),FIND(" ",TRIM(C193)&amp;" ")-1),",","."),"."),LEFT(SUBSTITUTE(LEFT(TRIM(C193),FIND(" ",TRIM(C193)&amp;" ")-1),",","."),FIND("/",SUBSTITUTE(LEFT(TRIM(C193),FIND(" ",TRIM(C193)&amp;" ")-1),",","."))-1)/MID(SUBSTITUTE(LEFT(TRIM(C193),FIND(" ",TRIM(C193)&amp;" ")-1),",","."),FIND("/",SUBSTITUTE(LEFT(TRIM(C193),FIND(" ",TRIM(C193)&amp;" ")-1),",","."))+1,9))*12/52,IF(ISNUMBER(SEARCH("month",C193)),IFERROR(_xlfn.NUMBERVALUE(SUBSTITUTE(LEFT(TRIM(C193),FIND(" ",TRIM(C193)&amp;" ")-1),",","."),"."),LEFT(SUBSTITUTE(LEFT(TRIM(C193),FIND(" ",TRIM(C193)&amp;" ")-1),",","."),FIND("/",SUBSTITUTE(LEFT(TRIM(C193),FIND(" ",TRIM(C193)&amp;" ")-1),",","."))-1)/MID(SUBSTITUTE(LEFT(TRIM(C193),FIND(" ",TRIM(C193)&amp;" ")-1),",","."),FIND("/",SUBSTITUTE(LEFT(TRIM(C193),FIND(" ",TRIM(C193)&amp;" ")-1),",","."))+1,9)),IF(ISNUMBER(SEARCH("yea",C193)),IFERROR(_xlfn.NUMBERVALUE(SUBSTITUTE(LEFT(TRIM(C193),FIND(" ",TRIM(C193)&amp;" ")-1),",","."),"."),LEFT(SUBSTITUTE(LEFT(TRIM(C193),FIND(" ",TRIM(C193)&amp;" ")-1),",","."),FIND("/",SUBSTITUTE(LEFT(TRIM(C193),FIND(" ",TRIM(C193)&amp;" ")-1),",","."))-1)/MID(SUBSTITUTE(LEFT(TRIM(C193),FIND(" ",TRIM(C193)&amp;" ")-1),",","."),FIND("/",SUBSTITUTE(LEFT(TRIM(C193),FIND(" ",TRIM(C193)&amp;" ")-1),",","."))+1,9))*12,NA()))),0),24)*'Aturan &amp; Tarif'!$B$4,2)</f>
        <v>1362.72</v>
      </c>
      <c r="K193" s="32" t="n">
        <f aca="false">'Aturan &amp; Tarif'!$B$5</f>
        <v>2050</v>
      </c>
      <c r="L193" s="32" t="n">
        <f aca="false">'Aturan &amp; Tarif'!$B$6</f>
        <v>350</v>
      </c>
      <c r="M193" s="35" t="n">
        <f aca="false">I193+J193+K193+L193</f>
        <v>9056.72</v>
      </c>
      <c r="N193" s="37" t="s">
        <v>134</v>
      </c>
    </row>
    <row r="194" customFormat="false" ht="14.25" hidden="false" customHeight="true" outlineLevel="0" collapsed="false">
      <c r="A194" s="29"/>
      <c r="B194" s="30" t="s">
        <v>675</v>
      </c>
      <c r="C194" s="31" t="s">
        <v>107</v>
      </c>
      <c r="D194" s="31" t="s">
        <v>108</v>
      </c>
      <c r="E194" s="32" t="n">
        <v>2563</v>
      </c>
      <c r="F194" s="32" t="n">
        <v>1000</v>
      </c>
      <c r="G194" s="32" t="n">
        <v>250</v>
      </c>
      <c r="H194" s="33" t="n">
        <v>1</v>
      </c>
      <c r="I194" s="34" t="n">
        <f aca="false">E194*H194+N(F194)+N(G194)</f>
        <v>3813</v>
      </c>
      <c r="J194" s="32" t="n">
        <f aca="false">ROUND(IFERROR(ROUND(IF(OR(ISNUMBER(SEARCH("week",C194)),ISNUMBER(SEARCH("minggu",C194))),IFERROR(_xlfn.NUMBERVALUE(SUBSTITUTE(LEFT(TRIM(C194),FIND(" ",TRIM(C194)&amp;" ")-1),",","."),"."),LEFT(SUBSTITUTE(LEFT(TRIM(C194),FIND(" ",TRIM(C194)&amp;" ")-1),",","."),FIND("/",SUBSTITUTE(LEFT(TRIM(C194),FIND(" ",TRIM(C194)&amp;" ")-1),",","."))-1)/MID(SUBSTITUTE(LEFT(TRIM(C194),FIND(" ",TRIM(C194)&amp;" ")-1),",","."),FIND("/",SUBSTITUTE(LEFT(TRIM(C194),FIND(" ",TRIM(C194)&amp;" ")-1),",","."))+1,9))*12/52,IF(ISNUMBER(SEARCH("month",C194)),IFERROR(_xlfn.NUMBERVALUE(SUBSTITUTE(LEFT(TRIM(C194),FIND(" ",TRIM(C194)&amp;" ")-1),",","."),"."),LEFT(SUBSTITUTE(LEFT(TRIM(C194),FIND(" ",TRIM(C194)&amp;" ")-1),",","."),FIND("/",SUBSTITUTE(LEFT(TRIM(C194),FIND(" ",TRIM(C194)&amp;" ")-1),",","."))-1)/MID(SUBSTITUTE(LEFT(TRIM(C194),FIND(" ",TRIM(C194)&amp;" ")-1),",","."),FIND("/",SUBSTITUTE(LEFT(TRIM(C194),FIND(" ",TRIM(C194)&amp;" ")-1),",","."))+1,9)),IF(ISNUMBER(SEARCH("yea",C194)),IFERROR(_xlfn.NUMBERVALUE(SUBSTITUTE(LEFT(TRIM(C194),FIND(" ",TRIM(C194)&amp;" ")-1),",","."),"."),LEFT(SUBSTITUTE(LEFT(TRIM(C194),FIND(" ",TRIM(C194)&amp;" ")-1),",","."),FIND("/",SUBSTITUTE(LEFT(TRIM(C194),FIND(" ",TRIM(C194)&amp;" ")-1),",","."))-1)/MID(SUBSTITUTE(LEFT(TRIM(C194),FIND(" ",TRIM(C194)&amp;" ")-1),",","."),FIND("/",SUBSTITUTE(LEFT(TRIM(C194),FIND(" ",TRIM(C194)&amp;" ")-1),",","."))+1,9))*12,NA()))),0),24)*'Aturan &amp; Tarif'!$B$4,2)</f>
        <v>1362.72</v>
      </c>
      <c r="K194" s="32" t="n">
        <f aca="false">'Aturan &amp; Tarif'!$B$5</f>
        <v>2050</v>
      </c>
      <c r="L194" s="32" t="n">
        <f aca="false">'Aturan &amp; Tarif'!$B$6</f>
        <v>350</v>
      </c>
      <c r="M194" s="35" t="n">
        <f aca="false">I194+J194+K194+L194</f>
        <v>7575.72</v>
      </c>
      <c r="N194" s="37" t="s">
        <v>134</v>
      </c>
    </row>
    <row r="195" customFormat="false" ht="14.25" hidden="false" customHeight="true" outlineLevel="0" collapsed="false">
      <c r="A195" s="29"/>
      <c r="B195" s="30" t="s">
        <v>676</v>
      </c>
      <c r="C195" s="31" t="s">
        <v>107</v>
      </c>
      <c r="D195" s="31" t="s">
        <v>108</v>
      </c>
      <c r="E195" s="32" t="n">
        <v>2688</v>
      </c>
      <c r="F195" s="32" t="n">
        <v>1000</v>
      </c>
      <c r="G195" s="32" t="n">
        <v>250</v>
      </c>
      <c r="H195" s="33" t="n">
        <v>1</v>
      </c>
      <c r="I195" s="34" t="n">
        <f aca="false">E195*H195+N(F195)+N(G195)</f>
        <v>3938</v>
      </c>
      <c r="J195" s="32" t="n">
        <f aca="false">ROUND(IFERROR(ROUND(IF(OR(ISNUMBER(SEARCH("week",C195)),ISNUMBER(SEARCH("minggu",C195))),IFERROR(_xlfn.NUMBERVALUE(SUBSTITUTE(LEFT(TRIM(C195),FIND(" ",TRIM(C195)&amp;" ")-1),",","."),"."),LEFT(SUBSTITUTE(LEFT(TRIM(C195),FIND(" ",TRIM(C195)&amp;" ")-1),",","."),FIND("/",SUBSTITUTE(LEFT(TRIM(C195),FIND(" ",TRIM(C195)&amp;" ")-1),",","."))-1)/MID(SUBSTITUTE(LEFT(TRIM(C195),FIND(" ",TRIM(C195)&amp;" ")-1),",","."),FIND("/",SUBSTITUTE(LEFT(TRIM(C195),FIND(" ",TRIM(C195)&amp;" ")-1),",","."))+1,9))*12/52,IF(ISNUMBER(SEARCH("month",C195)),IFERROR(_xlfn.NUMBERVALUE(SUBSTITUTE(LEFT(TRIM(C195),FIND(" ",TRIM(C195)&amp;" ")-1),",","."),"."),LEFT(SUBSTITUTE(LEFT(TRIM(C195),FIND(" ",TRIM(C195)&amp;" ")-1),",","."),FIND("/",SUBSTITUTE(LEFT(TRIM(C195),FIND(" ",TRIM(C195)&amp;" ")-1),",","."))-1)/MID(SUBSTITUTE(LEFT(TRIM(C195),FIND(" ",TRIM(C195)&amp;" ")-1),",","."),FIND("/",SUBSTITUTE(LEFT(TRIM(C195),FIND(" ",TRIM(C195)&amp;" ")-1),",","."))+1,9)),IF(ISNUMBER(SEARCH("yea",C195)),IFERROR(_xlfn.NUMBERVALUE(SUBSTITUTE(LEFT(TRIM(C195),FIND(" ",TRIM(C195)&amp;" ")-1),",","."),"."),LEFT(SUBSTITUTE(LEFT(TRIM(C195),FIND(" ",TRIM(C195)&amp;" ")-1),",","."),FIND("/",SUBSTITUTE(LEFT(TRIM(C195),FIND(" ",TRIM(C195)&amp;" ")-1),",","."))-1)/MID(SUBSTITUTE(LEFT(TRIM(C195),FIND(" ",TRIM(C195)&amp;" ")-1),",","."),FIND("/",SUBSTITUTE(LEFT(TRIM(C195),FIND(" ",TRIM(C195)&amp;" ")-1),",","."))+1,9))*12,NA()))),0),24)*'Aturan &amp; Tarif'!$B$4,2)</f>
        <v>1362.72</v>
      </c>
      <c r="K195" s="32" t="n">
        <f aca="false">'Aturan &amp; Tarif'!$B$5</f>
        <v>2050</v>
      </c>
      <c r="L195" s="32" t="n">
        <f aca="false">'Aturan &amp; Tarif'!$B$6</f>
        <v>350</v>
      </c>
      <c r="M195" s="35" t="n">
        <f aca="false">I195+J195+K195+L195</f>
        <v>7700.72</v>
      </c>
      <c r="N195" s="37" t="s">
        <v>134</v>
      </c>
    </row>
    <row r="196" customFormat="false" ht="25.5" hidden="false" customHeight="true" outlineLevel="0" collapsed="false">
      <c r="A196" s="29"/>
      <c r="B196" s="30" t="s">
        <v>677</v>
      </c>
      <c r="C196" s="31" t="s">
        <v>138</v>
      </c>
      <c r="D196" s="31" t="s">
        <v>108</v>
      </c>
      <c r="E196" s="32" t="n">
        <v>2167</v>
      </c>
      <c r="F196" s="32" t="n">
        <v>2000</v>
      </c>
      <c r="G196" s="32" t="n">
        <v>250</v>
      </c>
      <c r="H196" s="33" t="n">
        <v>1</v>
      </c>
      <c r="I196" s="34" t="n">
        <f aca="false">E196*H196+N(F196)+N(G196)</f>
        <v>4417</v>
      </c>
      <c r="J196" s="32" t="n">
        <f aca="false">ROUND(IFERROR(ROUND(IF(OR(ISNUMBER(SEARCH("week",C196)),ISNUMBER(SEARCH("minggu",C196))),IFERROR(_xlfn.NUMBERVALUE(SUBSTITUTE(LEFT(TRIM(C196),FIND(" ",TRIM(C196)&amp;" ")-1),",","."),"."),LEFT(SUBSTITUTE(LEFT(TRIM(C196),FIND(" ",TRIM(C196)&amp;" ")-1),",","."),FIND("/",SUBSTITUTE(LEFT(TRIM(C196),FIND(" ",TRIM(C196)&amp;" ")-1),",","."))-1)/MID(SUBSTITUTE(LEFT(TRIM(C196),FIND(" ",TRIM(C196)&amp;" ")-1),",","."),FIND("/",SUBSTITUTE(LEFT(TRIM(C196),FIND(" ",TRIM(C196)&amp;" ")-1),",","."))+1,9))*12/52,IF(ISNUMBER(SEARCH("month",C196)),IFERROR(_xlfn.NUMBERVALUE(SUBSTITUTE(LEFT(TRIM(C196),FIND(" ",TRIM(C196)&amp;" ")-1),",","."),"."),LEFT(SUBSTITUTE(LEFT(TRIM(C196),FIND(" ",TRIM(C196)&amp;" ")-1),",","."),FIND("/",SUBSTITUTE(LEFT(TRIM(C196),FIND(" ",TRIM(C196)&amp;" ")-1),",","."))-1)/MID(SUBSTITUTE(LEFT(TRIM(C196),FIND(" ",TRIM(C196)&amp;" ")-1),",","."),FIND("/",SUBSTITUTE(LEFT(TRIM(C196),FIND(" ",TRIM(C196)&amp;" ")-1),",","."))+1,9)),IF(ISNUMBER(SEARCH("yea",C196)),IFERROR(_xlfn.NUMBERVALUE(SUBSTITUTE(LEFT(TRIM(C196),FIND(" ",TRIM(C196)&amp;" ")-1),",","."),"."),LEFT(SUBSTITUTE(LEFT(TRIM(C196),FIND(" ",TRIM(C196)&amp;" ")-1),",","."),FIND("/",SUBSTITUTE(LEFT(TRIM(C196),FIND(" ",TRIM(C196)&amp;" ")-1),",","."))-1)/MID(SUBSTITUTE(LEFT(TRIM(C196),FIND(" ",TRIM(C196)&amp;" ")-1),",","."),FIND("/",SUBSTITUTE(LEFT(TRIM(C196),FIND(" ",TRIM(C196)&amp;" ")-1),",","."))+1,9))*12,NA()))),0),30)*'Aturan &amp; Tarif'!$B$4,2)</f>
        <v>1703.4</v>
      </c>
      <c r="K196" s="32" t="n">
        <f aca="false">'Aturan &amp; Tarif'!$B$5</f>
        <v>2050</v>
      </c>
      <c r="L196" s="32" t="n">
        <f aca="false">'Aturan &amp; Tarif'!$B$6</f>
        <v>350</v>
      </c>
      <c r="M196" s="35" t="n">
        <f aca="false">I196+J196+K196+L196</f>
        <v>8520.4</v>
      </c>
      <c r="N196" s="36" t="s">
        <v>131</v>
      </c>
    </row>
    <row r="197" customFormat="false" ht="37.5" hidden="false" customHeight="true" outlineLevel="0" collapsed="false">
      <c r="A197" s="29"/>
      <c r="B197" s="30" t="s">
        <v>678</v>
      </c>
      <c r="C197" s="31" t="s">
        <v>138</v>
      </c>
      <c r="D197" s="31" t="s">
        <v>108</v>
      </c>
      <c r="E197" s="32" t="n">
        <v>2083</v>
      </c>
      <c r="F197" s="32" t="n">
        <v>2000</v>
      </c>
      <c r="G197" s="32" t="n">
        <v>250</v>
      </c>
      <c r="H197" s="33" t="n">
        <v>1</v>
      </c>
      <c r="I197" s="34" t="n">
        <f aca="false">E197*H197+N(F197)+N(G197)</f>
        <v>4333</v>
      </c>
      <c r="J197" s="32" t="n">
        <f aca="false">ROUND(IFERROR(ROUND(IF(OR(ISNUMBER(SEARCH("week",C197)),ISNUMBER(SEARCH("minggu",C197))),IFERROR(_xlfn.NUMBERVALUE(SUBSTITUTE(LEFT(TRIM(C197),FIND(" ",TRIM(C197)&amp;" ")-1),",","."),"."),LEFT(SUBSTITUTE(LEFT(TRIM(C197),FIND(" ",TRIM(C197)&amp;" ")-1),",","."),FIND("/",SUBSTITUTE(LEFT(TRIM(C197),FIND(" ",TRIM(C197)&amp;" ")-1),",","."))-1)/MID(SUBSTITUTE(LEFT(TRIM(C197),FIND(" ",TRIM(C197)&amp;" ")-1),",","."),FIND("/",SUBSTITUTE(LEFT(TRIM(C197),FIND(" ",TRIM(C197)&amp;" ")-1),",","."))+1,9))*12/52,IF(ISNUMBER(SEARCH("month",C197)),IFERROR(_xlfn.NUMBERVALUE(SUBSTITUTE(LEFT(TRIM(C197),FIND(" ",TRIM(C197)&amp;" ")-1),",","."),"."),LEFT(SUBSTITUTE(LEFT(TRIM(C197),FIND(" ",TRIM(C197)&amp;" ")-1),",","."),FIND("/",SUBSTITUTE(LEFT(TRIM(C197),FIND(" ",TRIM(C197)&amp;" ")-1),",","."))-1)/MID(SUBSTITUTE(LEFT(TRIM(C197),FIND(" ",TRIM(C197)&amp;" ")-1),",","."),FIND("/",SUBSTITUTE(LEFT(TRIM(C197),FIND(" ",TRIM(C197)&amp;" ")-1),",","."))+1,9)),IF(ISNUMBER(SEARCH("yea",C197)),IFERROR(_xlfn.NUMBERVALUE(SUBSTITUTE(LEFT(TRIM(C197),FIND(" ",TRIM(C197)&amp;" ")-1),",","."),"."),LEFT(SUBSTITUTE(LEFT(TRIM(C197),FIND(" ",TRIM(C197)&amp;" ")-1),",","."),FIND("/",SUBSTITUTE(LEFT(TRIM(C197),FIND(" ",TRIM(C197)&amp;" ")-1),",","."))-1)/MID(SUBSTITUTE(LEFT(TRIM(C197),FIND(" ",TRIM(C197)&amp;" ")-1),",","."),FIND("/",SUBSTITUTE(LEFT(TRIM(C197),FIND(" ",TRIM(C197)&amp;" ")-1),",","."))+1,9))*12,NA()))),0),30)*'Aturan &amp; Tarif'!$B$4,2)</f>
        <v>1703.4</v>
      </c>
      <c r="K197" s="32" t="n">
        <f aca="false">'Aturan &amp; Tarif'!$B$5</f>
        <v>2050</v>
      </c>
      <c r="L197" s="32" t="n">
        <f aca="false">'Aturan &amp; Tarif'!$B$6</f>
        <v>350</v>
      </c>
      <c r="M197" s="35" t="n">
        <f aca="false">I197+J197+K197+L197</f>
        <v>8436.4</v>
      </c>
      <c r="N197" s="36" t="s">
        <v>131</v>
      </c>
    </row>
    <row r="198" customFormat="false" ht="37.5" hidden="false" customHeight="true" outlineLevel="0" collapsed="false">
      <c r="A198" s="29"/>
      <c r="B198" s="30" t="s">
        <v>679</v>
      </c>
      <c r="C198" s="31" t="s">
        <v>138</v>
      </c>
      <c r="D198" s="31" t="s">
        <v>108</v>
      </c>
      <c r="E198" s="32" t="n">
        <v>2167</v>
      </c>
      <c r="F198" s="32" t="n">
        <v>2000</v>
      </c>
      <c r="G198" s="32" t="n">
        <v>250</v>
      </c>
      <c r="H198" s="33" t="n">
        <v>1</v>
      </c>
      <c r="I198" s="34" t="n">
        <f aca="false">E198*H198+N(F198)+N(G198)</f>
        <v>4417</v>
      </c>
      <c r="J198" s="32" t="n">
        <f aca="false">ROUND(IFERROR(ROUND(IF(OR(ISNUMBER(SEARCH("week",C198)),ISNUMBER(SEARCH("minggu",C198))),IFERROR(_xlfn.NUMBERVALUE(SUBSTITUTE(LEFT(TRIM(C198),FIND(" ",TRIM(C198)&amp;" ")-1),",","."),"."),LEFT(SUBSTITUTE(LEFT(TRIM(C198),FIND(" ",TRIM(C198)&amp;" ")-1),",","."),FIND("/",SUBSTITUTE(LEFT(TRIM(C198),FIND(" ",TRIM(C198)&amp;" ")-1),",","."))-1)/MID(SUBSTITUTE(LEFT(TRIM(C198),FIND(" ",TRIM(C198)&amp;" ")-1),",","."),FIND("/",SUBSTITUTE(LEFT(TRIM(C198),FIND(" ",TRIM(C198)&amp;" ")-1),",","."))+1,9))*12/52,IF(ISNUMBER(SEARCH("month",C198)),IFERROR(_xlfn.NUMBERVALUE(SUBSTITUTE(LEFT(TRIM(C198),FIND(" ",TRIM(C198)&amp;" ")-1),",","."),"."),LEFT(SUBSTITUTE(LEFT(TRIM(C198),FIND(" ",TRIM(C198)&amp;" ")-1),",","."),FIND("/",SUBSTITUTE(LEFT(TRIM(C198),FIND(" ",TRIM(C198)&amp;" ")-1),",","."))-1)/MID(SUBSTITUTE(LEFT(TRIM(C198),FIND(" ",TRIM(C198)&amp;" ")-1),",","."),FIND("/",SUBSTITUTE(LEFT(TRIM(C198),FIND(" ",TRIM(C198)&amp;" ")-1),",","."))+1,9)),IF(ISNUMBER(SEARCH("yea",C198)),IFERROR(_xlfn.NUMBERVALUE(SUBSTITUTE(LEFT(TRIM(C198),FIND(" ",TRIM(C198)&amp;" ")-1),",","."),"."),LEFT(SUBSTITUTE(LEFT(TRIM(C198),FIND(" ",TRIM(C198)&amp;" ")-1),",","."),FIND("/",SUBSTITUTE(LEFT(TRIM(C198),FIND(" ",TRIM(C198)&amp;" ")-1),",","."))-1)/MID(SUBSTITUTE(LEFT(TRIM(C198),FIND(" ",TRIM(C198)&amp;" ")-1),",","."),FIND("/",SUBSTITUTE(LEFT(TRIM(C198),FIND(" ",TRIM(C198)&amp;" ")-1),",","."))+1,9))*12,NA()))),0),30)*'Aturan &amp; Tarif'!$B$4,2)</f>
        <v>1703.4</v>
      </c>
      <c r="K198" s="32" t="n">
        <f aca="false">'Aturan &amp; Tarif'!$B$5</f>
        <v>2050</v>
      </c>
      <c r="L198" s="32" t="n">
        <f aca="false">'Aturan &amp; Tarif'!$B$6</f>
        <v>350</v>
      </c>
      <c r="M198" s="35" t="n">
        <f aca="false">I198+J198+K198+L198</f>
        <v>8520.4</v>
      </c>
      <c r="N198" s="36" t="s">
        <v>131</v>
      </c>
    </row>
    <row r="199" customFormat="false" ht="37.5" hidden="false" customHeight="true" outlineLevel="0" collapsed="false">
      <c r="A199" s="29"/>
      <c r="B199" s="30" t="s">
        <v>680</v>
      </c>
      <c r="C199" s="31" t="s">
        <v>138</v>
      </c>
      <c r="D199" s="31" t="s">
        <v>108</v>
      </c>
      <c r="E199" s="32" t="n">
        <v>2083</v>
      </c>
      <c r="F199" s="32" t="n">
        <v>2000</v>
      </c>
      <c r="G199" s="32" t="n">
        <v>250</v>
      </c>
      <c r="H199" s="33" t="n">
        <v>1</v>
      </c>
      <c r="I199" s="34" t="n">
        <f aca="false">E199*H199+N(F199)+N(G199)</f>
        <v>4333</v>
      </c>
      <c r="J199" s="32" t="n">
        <f aca="false">ROUND(IFERROR(ROUND(IF(OR(ISNUMBER(SEARCH("week",C199)),ISNUMBER(SEARCH("minggu",C199))),IFERROR(_xlfn.NUMBERVALUE(SUBSTITUTE(LEFT(TRIM(C199),FIND(" ",TRIM(C199)&amp;" ")-1),",","."),"."),LEFT(SUBSTITUTE(LEFT(TRIM(C199),FIND(" ",TRIM(C199)&amp;" ")-1),",","."),FIND("/",SUBSTITUTE(LEFT(TRIM(C199),FIND(" ",TRIM(C199)&amp;" ")-1),",","."))-1)/MID(SUBSTITUTE(LEFT(TRIM(C199),FIND(" ",TRIM(C199)&amp;" ")-1),",","."),FIND("/",SUBSTITUTE(LEFT(TRIM(C199),FIND(" ",TRIM(C199)&amp;" ")-1),",","."))+1,9))*12/52,IF(ISNUMBER(SEARCH("month",C199)),IFERROR(_xlfn.NUMBERVALUE(SUBSTITUTE(LEFT(TRIM(C199),FIND(" ",TRIM(C199)&amp;" ")-1),",","."),"."),LEFT(SUBSTITUTE(LEFT(TRIM(C199),FIND(" ",TRIM(C199)&amp;" ")-1),",","."),FIND("/",SUBSTITUTE(LEFT(TRIM(C199),FIND(" ",TRIM(C199)&amp;" ")-1),",","."))-1)/MID(SUBSTITUTE(LEFT(TRIM(C199),FIND(" ",TRIM(C199)&amp;" ")-1),",","."),FIND("/",SUBSTITUTE(LEFT(TRIM(C199),FIND(" ",TRIM(C199)&amp;" ")-1),",","."))+1,9)),IF(ISNUMBER(SEARCH("yea",C199)),IFERROR(_xlfn.NUMBERVALUE(SUBSTITUTE(LEFT(TRIM(C199),FIND(" ",TRIM(C199)&amp;" ")-1),",","."),"."),LEFT(SUBSTITUTE(LEFT(TRIM(C199),FIND(" ",TRIM(C199)&amp;" ")-1),",","."),FIND("/",SUBSTITUTE(LEFT(TRIM(C199),FIND(" ",TRIM(C199)&amp;" ")-1),",","."))-1)/MID(SUBSTITUTE(LEFT(TRIM(C199),FIND(" ",TRIM(C199)&amp;" ")-1),",","."),FIND("/",SUBSTITUTE(LEFT(TRIM(C199),FIND(" ",TRIM(C199)&amp;" ")-1),",","."))+1,9))*12,NA()))),0),30)*'Aturan &amp; Tarif'!$B$4,2)</f>
        <v>1703.4</v>
      </c>
      <c r="K199" s="32" t="n">
        <f aca="false">'Aturan &amp; Tarif'!$B$5</f>
        <v>2050</v>
      </c>
      <c r="L199" s="32" t="n">
        <f aca="false">'Aturan &amp; Tarif'!$B$6</f>
        <v>350</v>
      </c>
      <c r="M199" s="35" t="n">
        <f aca="false">I199+J199+K199+L199</f>
        <v>8436.4</v>
      </c>
      <c r="N199" s="36" t="s">
        <v>131</v>
      </c>
    </row>
    <row r="200" customFormat="false" ht="37.5" hidden="false" customHeight="true" outlineLevel="0" collapsed="false">
      <c r="A200" s="39" t="s">
        <v>908</v>
      </c>
      <c r="B200" s="40" t="s">
        <v>909</v>
      </c>
      <c r="C200" s="41" t="s">
        <v>138</v>
      </c>
      <c r="D200" s="41" t="s">
        <v>108</v>
      </c>
      <c r="E200" s="42" t="n">
        <v>3500</v>
      </c>
      <c r="F200" s="42" t="n">
        <v>1000</v>
      </c>
      <c r="G200" s="42" t="n">
        <v>500</v>
      </c>
      <c r="H200" s="43" t="n">
        <v>1</v>
      </c>
      <c r="I200" s="34" t="n">
        <f aca="false">E200*H200+N(F200)+N(G200)</f>
        <v>5000</v>
      </c>
      <c r="J200" s="42" t="n">
        <f aca="false">ROUND(IFERROR(ROUND(IF(OR(ISNUMBER(SEARCH("week",C200)),ISNUMBER(SEARCH("minggu",C200))),IFERROR(_xlfn.NUMBERVALUE(SUBSTITUTE(LEFT(TRIM(C200),FIND(" ",TRIM(C200)&amp;" ")-1),",","."),"."),LEFT(SUBSTITUTE(LEFT(TRIM(C200),FIND(" ",TRIM(C200)&amp;" ")-1),",","."),FIND("/",SUBSTITUTE(LEFT(TRIM(C200),FIND(" ",TRIM(C200)&amp;" ")-1),",","."))-1)/MID(SUBSTITUTE(LEFT(TRIM(C200),FIND(" ",TRIM(C200)&amp;" ")-1),",","."),FIND("/",SUBSTITUTE(LEFT(TRIM(C200),FIND(" ",TRIM(C200)&amp;" ")-1),",","."))+1,9))*12/52,IF(ISNUMBER(SEARCH("month",C200)),IFERROR(_xlfn.NUMBERVALUE(SUBSTITUTE(LEFT(TRIM(C200),FIND(" ",TRIM(C200)&amp;" ")-1),",","."),"."),LEFT(SUBSTITUTE(LEFT(TRIM(C200),FIND(" ",TRIM(C200)&amp;" ")-1),",","."),FIND("/",SUBSTITUTE(LEFT(TRIM(C200),FIND(" ",TRIM(C200)&amp;" ")-1),",","."))-1)/MID(SUBSTITUTE(LEFT(TRIM(C200),FIND(" ",TRIM(C200)&amp;" ")-1),",","."),FIND("/",SUBSTITUTE(LEFT(TRIM(C200),FIND(" ",TRIM(C200)&amp;" ")-1),",","."))+1,9)),IF(ISNUMBER(SEARCH("yea",C200)),IFERROR(_xlfn.NUMBERVALUE(SUBSTITUTE(LEFT(TRIM(C200),FIND(" ",TRIM(C200)&amp;" ")-1),",","."),"."),LEFT(SUBSTITUTE(LEFT(TRIM(C200),FIND(" ",TRIM(C200)&amp;" ")-1),",","."),FIND("/",SUBSTITUTE(LEFT(TRIM(C200),FIND(" ",TRIM(C200)&amp;" ")-1),",","."))-1)/MID(SUBSTITUTE(LEFT(TRIM(C200),FIND(" ",TRIM(C200)&amp;" ")-1),",","."),FIND("/",SUBSTITUTE(LEFT(TRIM(C200),FIND(" ",TRIM(C200)&amp;" ")-1),",","."))+1,9))*12,NA()))),0),30)*'Aturan &amp; Tarif'!$B$4,2)</f>
        <v>1703.4</v>
      </c>
      <c r="K200" s="42" t="n">
        <f aca="false">'Aturan &amp; Tarif'!$B$5</f>
        <v>2050</v>
      </c>
      <c r="L200" s="42" t="n">
        <f aca="false">'Aturan &amp; Tarif'!$B$6</f>
        <v>350</v>
      </c>
      <c r="M200" s="35" t="n">
        <f aca="false">I200+J200+K200+L200</f>
        <v>9103.4</v>
      </c>
      <c r="N200" s="45" t="s">
        <v>134</v>
      </c>
    </row>
    <row r="201" customFormat="false" ht="37.5" hidden="false" customHeight="true" outlineLevel="0" collapsed="false">
      <c r="A201" s="39"/>
      <c r="B201" s="40" t="s">
        <v>910</v>
      </c>
      <c r="C201" s="41" t="s">
        <v>138</v>
      </c>
      <c r="D201" s="41" t="s">
        <v>108</v>
      </c>
      <c r="E201" s="42" t="n">
        <v>3125</v>
      </c>
      <c r="F201" s="42" t="n">
        <v>600</v>
      </c>
      <c r="G201" s="42" t="n">
        <v>500</v>
      </c>
      <c r="H201" s="43" t="n">
        <v>1</v>
      </c>
      <c r="I201" s="34" t="n">
        <f aca="false">E201*H201+N(F201)+N(G201)</f>
        <v>4225</v>
      </c>
      <c r="J201" s="42" t="n">
        <f aca="false">ROUND(IFERROR(ROUND(IF(OR(ISNUMBER(SEARCH("week",C201)),ISNUMBER(SEARCH("minggu",C201))),IFERROR(_xlfn.NUMBERVALUE(SUBSTITUTE(LEFT(TRIM(C201),FIND(" ",TRIM(C201)&amp;" ")-1),",","."),"."),LEFT(SUBSTITUTE(LEFT(TRIM(C201),FIND(" ",TRIM(C201)&amp;" ")-1),",","."),FIND("/",SUBSTITUTE(LEFT(TRIM(C201),FIND(" ",TRIM(C201)&amp;" ")-1),",","."))-1)/MID(SUBSTITUTE(LEFT(TRIM(C201),FIND(" ",TRIM(C201)&amp;" ")-1),",","."),FIND("/",SUBSTITUTE(LEFT(TRIM(C201),FIND(" ",TRIM(C201)&amp;" ")-1),",","."))+1,9))*12/52,IF(ISNUMBER(SEARCH("month",C201)),IFERROR(_xlfn.NUMBERVALUE(SUBSTITUTE(LEFT(TRIM(C201),FIND(" ",TRIM(C201)&amp;" ")-1),",","."),"."),LEFT(SUBSTITUTE(LEFT(TRIM(C201),FIND(" ",TRIM(C201)&amp;" ")-1),",","."),FIND("/",SUBSTITUTE(LEFT(TRIM(C201),FIND(" ",TRIM(C201)&amp;" ")-1),",","."))-1)/MID(SUBSTITUTE(LEFT(TRIM(C201),FIND(" ",TRIM(C201)&amp;" ")-1),",","."),FIND("/",SUBSTITUTE(LEFT(TRIM(C201),FIND(" ",TRIM(C201)&amp;" ")-1),",","."))+1,9)),IF(ISNUMBER(SEARCH("yea",C201)),IFERROR(_xlfn.NUMBERVALUE(SUBSTITUTE(LEFT(TRIM(C201),FIND(" ",TRIM(C201)&amp;" ")-1),",","."),"."),LEFT(SUBSTITUTE(LEFT(TRIM(C201),FIND(" ",TRIM(C201)&amp;" ")-1),",","."),FIND("/",SUBSTITUTE(LEFT(TRIM(C201),FIND(" ",TRIM(C201)&amp;" ")-1),",","."))-1)/MID(SUBSTITUTE(LEFT(TRIM(C201),FIND(" ",TRIM(C201)&amp;" ")-1),",","."),FIND("/",SUBSTITUTE(LEFT(TRIM(C201),FIND(" ",TRIM(C201)&amp;" ")-1),",","."))+1,9))*12,NA()))),0),30)*'Aturan &amp; Tarif'!$B$4,2)</f>
        <v>1703.4</v>
      </c>
      <c r="K201" s="42" t="n">
        <f aca="false">'Aturan &amp; Tarif'!$B$5</f>
        <v>2050</v>
      </c>
      <c r="L201" s="42" t="n">
        <f aca="false">'Aturan &amp; Tarif'!$B$6</f>
        <v>350</v>
      </c>
      <c r="M201" s="35" t="n">
        <f aca="false">I201+J201+K201+L201</f>
        <v>8328.4</v>
      </c>
      <c r="N201" s="45" t="s">
        <v>134</v>
      </c>
    </row>
    <row r="202" customFormat="false" ht="25.5" hidden="false" customHeight="true" outlineLevel="0" collapsed="false">
      <c r="A202" s="39"/>
      <c r="B202" s="40" t="s">
        <v>911</v>
      </c>
      <c r="C202" s="41" t="s">
        <v>107</v>
      </c>
      <c r="D202" s="41" t="s">
        <v>108</v>
      </c>
      <c r="E202" s="42" t="n">
        <v>3860</v>
      </c>
      <c r="F202" s="42" t="n">
        <v>500</v>
      </c>
      <c r="G202" s="42" t="n">
        <v>500</v>
      </c>
      <c r="H202" s="43" t="n">
        <v>1</v>
      </c>
      <c r="I202" s="34" t="n">
        <f aca="false">E202*H202+N(F202)+N(G202)</f>
        <v>4860</v>
      </c>
      <c r="J202" s="42" t="n">
        <f aca="false">ROUND(IFERROR(ROUND(IF(OR(ISNUMBER(SEARCH("week",C202)),ISNUMBER(SEARCH("minggu",C202))),IFERROR(_xlfn.NUMBERVALUE(SUBSTITUTE(LEFT(TRIM(C202),FIND(" ",TRIM(C202)&amp;" ")-1),",","."),"."),LEFT(SUBSTITUTE(LEFT(TRIM(C202),FIND(" ",TRIM(C202)&amp;" ")-1),",","."),FIND("/",SUBSTITUTE(LEFT(TRIM(C202),FIND(" ",TRIM(C202)&amp;" ")-1),",","."))-1)/MID(SUBSTITUTE(LEFT(TRIM(C202),FIND(" ",TRIM(C202)&amp;" ")-1),",","."),FIND("/",SUBSTITUTE(LEFT(TRIM(C202),FIND(" ",TRIM(C202)&amp;" ")-1),",","."))+1,9))*12/52,IF(ISNUMBER(SEARCH("month",C202)),IFERROR(_xlfn.NUMBERVALUE(SUBSTITUTE(LEFT(TRIM(C202),FIND(" ",TRIM(C202)&amp;" ")-1),",","."),"."),LEFT(SUBSTITUTE(LEFT(TRIM(C202),FIND(" ",TRIM(C202)&amp;" ")-1),",","."),FIND("/",SUBSTITUTE(LEFT(TRIM(C202),FIND(" ",TRIM(C202)&amp;" ")-1),",","."))-1)/MID(SUBSTITUTE(LEFT(TRIM(C202),FIND(" ",TRIM(C202)&amp;" ")-1),",","."),FIND("/",SUBSTITUTE(LEFT(TRIM(C202),FIND(" ",TRIM(C202)&amp;" ")-1),",","."))+1,9)),IF(ISNUMBER(SEARCH("yea",C202)),IFERROR(_xlfn.NUMBERVALUE(SUBSTITUTE(LEFT(TRIM(C202),FIND(" ",TRIM(C202)&amp;" ")-1),",","."),"."),LEFT(SUBSTITUTE(LEFT(TRIM(C202),FIND(" ",TRIM(C202)&amp;" ")-1),",","."),FIND("/",SUBSTITUTE(LEFT(TRIM(C202),FIND(" ",TRIM(C202)&amp;" ")-1),",","."))-1)/MID(SUBSTITUTE(LEFT(TRIM(C202),FIND(" ",TRIM(C202)&amp;" ")-1),",","."),FIND("/",SUBSTITUTE(LEFT(TRIM(C202),FIND(" ",TRIM(C202)&amp;" ")-1),",","."))+1,9))*12,NA()))),0),24)*'Aturan &amp; Tarif'!$B$4,2)</f>
        <v>1362.72</v>
      </c>
      <c r="K202" s="42" t="n">
        <f aca="false">'Aturan &amp; Tarif'!$B$5</f>
        <v>2050</v>
      </c>
      <c r="L202" s="42" t="n">
        <f aca="false">'Aturan &amp; Tarif'!$B$6</f>
        <v>350</v>
      </c>
      <c r="M202" s="35" t="n">
        <f aca="false">I202+J202+K202+L202</f>
        <v>8622.72</v>
      </c>
      <c r="N202" s="45" t="s">
        <v>134</v>
      </c>
    </row>
    <row r="203" customFormat="false" ht="37.5" hidden="false" customHeight="true" outlineLevel="0" collapsed="false">
      <c r="A203" s="39"/>
      <c r="B203" s="40" t="s">
        <v>912</v>
      </c>
      <c r="C203" s="41" t="s">
        <v>138</v>
      </c>
      <c r="D203" s="41" t="s">
        <v>108</v>
      </c>
      <c r="E203" s="42" t="n">
        <v>3650</v>
      </c>
      <c r="F203" s="42" t="n">
        <v>2500</v>
      </c>
      <c r="G203" s="42" t="n">
        <v>500</v>
      </c>
      <c r="H203" s="43" t="n">
        <v>1</v>
      </c>
      <c r="I203" s="34" t="n">
        <f aca="false">E203*H203+N(F203)+N(G203)</f>
        <v>6650</v>
      </c>
      <c r="J203" s="42" t="n">
        <f aca="false">ROUND(IFERROR(ROUND(IF(OR(ISNUMBER(SEARCH("week",C203)),ISNUMBER(SEARCH("minggu",C203))),IFERROR(_xlfn.NUMBERVALUE(SUBSTITUTE(LEFT(TRIM(C203),FIND(" ",TRIM(C203)&amp;" ")-1),",","."),"."),LEFT(SUBSTITUTE(LEFT(TRIM(C203),FIND(" ",TRIM(C203)&amp;" ")-1),",","."),FIND("/",SUBSTITUTE(LEFT(TRIM(C203),FIND(" ",TRIM(C203)&amp;" ")-1),",","."))-1)/MID(SUBSTITUTE(LEFT(TRIM(C203),FIND(" ",TRIM(C203)&amp;" ")-1),",","."),FIND("/",SUBSTITUTE(LEFT(TRIM(C203),FIND(" ",TRIM(C203)&amp;" ")-1),",","."))+1,9))*12/52,IF(ISNUMBER(SEARCH("month",C203)),IFERROR(_xlfn.NUMBERVALUE(SUBSTITUTE(LEFT(TRIM(C203),FIND(" ",TRIM(C203)&amp;" ")-1),",","."),"."),LEFT(SUBSTITUTE(LEFT(TRIM(C203),FIND(" ",TRIM(C203)&amp;" ")-1),",","."),FIND("/",SUBSTITUTE(LEFT(TRIM(C203),FIND(" ",TRIM(C203)&amp;" ")-1),",","."))-1)/MID(SUBSTITUTE(LEFT(TRIM(C203),FIND(" ",TRIM(C203)&amp;" ")-1),",","."),FIND("/",SUBSTITUTE(LEFT(TRIM(C203),FIND(" ",TRIM(C203)&amp;" ")-1),",","."))+1,9)),IF(ISNUMBER(SEARCH("yea",C203)),IFERROR(_xlfn.NUMBERVALUE(SUBSTITUTE(LEFT(TRIM(C203),FIND(" ",TRIM(C203)&amp;" ")-1),",","."),"."),LEFT(SUBSTITUTE(LEFT(TRIM(C203),FIND(" ",TRIM(C203)&amp;" ")-1),",","."),FIND("/",SUBSTITUTE(LEFT(TRIM(C203),FIND(" ",TRIM(C203)&amp;" ")-1),",","."))-1)/MID(SUBSTITUTE(LEFT(TRIM(C203),FIND(" ",TRIM(C203)&amp;" ")-1),",","."),FIND("/",SUBSTITUTE(LEFT(TRIM(C203),FIND(" ",TRIM(C203)&amp;" ")-1),",","."))+1,9))*12,NA()))),0),30)*'Aturan &amp; Tarif'!$B$4,2)</f>
        <v>1703.4</v>
      </c>
      <c r="K203" s="42" t="n">
        <f aca="false">'Aturan &amp; Tarif'!$B$5</f>
        <v>2050</v>
      </c>
      <c r="L203" s="42" t="n">
        <f aca="false">'Aturan &amp; Tarif'!$B$6</f>
        <v>350</v>
      </c>
      <c r="M203" s="35" t="n">
        <f aca="false">I203+J203+K203+L203</f>
        <v>10753.4</v>
      </c>
      <c r="N203" s="45" t="s">
        <v>134</v>
      </c>
    </row>
    <row r="204" customFormat="false" ht="25.5" hidden="false" customHeight="true" outlineLevel="0" collapsed="false">
      <c r="A204" s="39"/>
      <c r="B204" s="40" t="s">
        <v>148</v>
      </c>
      <c r="C204" s="41" t="s">
        <v>107</v>
      </c>
      <c r="D204" s="41" t="s">
        <v>108</v>
      </c>
      <c r="E204" s="42" t="n">
        <v>3650</v>
      </c>
      <c r="F204" s="42" t="n">
        <v>1400</v>
      </c>
      <c r="G204" s="42" t="n">
        <v>500</v>
      </c>
      <c r="H204" s="43" t="n">
        <v>1</v>
      </c>
      <c r="I204" s="34" t="n">
        <f aca="false">E204*H204+N(F204)+N(G204)</f>
        <v>5550</v>
      </c>
      <c r="J204" s="42" t="n">
        <f aca="false">ROUND(IFERROR(ROUND(IF(OR(ISNUMBER(SEARCH("week",C204)),ISNUMBER(SEARCH("minggu",C204))),IFERROR(_xlfn.NUMBERVALUE(SUBSTITUTE(LEFT(TRIM(C204),FIND(" ",TRIM(C204)&amp;" ")-1),",","."),"."),LEFT(SUBSTITUTE(LEFT(TRIM(C204),FIND(" ",TRIM(C204)&amp;" ")-1),",","."),FIND("/",SUBSTITUTE(LEFT(TRIM(C204),FIND(" ",TRIM(C204)&amp;" ")-1),",","."))-1)/MID(SUBSTITUTE(LEFT(TRIM(C204),FIND(" ",TRIM(C204)&amp;" ")-1),",","."),FIND("/",SUBSTITUTE(LEFT(TRIM(C204),FIND(" ",TRIM(C204)&amp;" ")-1),",","."))+1,9))*12/52,IF(ISNUMBER(SEARCH("month",C204)),IFERROR(_xlfn.NUMBERVALUE(SUBSTITUTE(LEFT(TRIM(C204),FIND(" ",TRIM(C204)&amp;" ")-1),",","."),"."),LEFT(SUBSTITUTE(LEFT(TRIM(C204),FIND(" ",TRIM(C204)&amp;" ")-1),",","."),FIND("/",SUBSTITUTE(LEFT(TRIM(C204),FIND(" ",TRIM(C204)&amp;" ")-1),",","."))-1)/MID(SUBSTITUTE(LEFT(TRIM(C204),FIND(" ",TRIM(C204)&amp;" ")-1),",","."),FIND("/",SUBSTITUTE(LEFT(TRIM(C204),FIND(" ",TRIM(C204)&amp;" ")-1),",","."))+1,9)),IF(ISNUMBER(SEARCH("yea",C204)),IFERROR(_xlfn.NUMBERVALUE(SUBSTITUTE(LEFT(TRIM(C204),FIND(" ",TRIM(C204)&amp;" ")-1),",","."),"."),LEFT(SUBSTITUTE(LEFT(TRIM(C204),FIND(" ",TRIM(C204)&amp;" ")-1),",","."),FIND("/",SUBSTITUTE(LEFT(TRIM(C204),FIND(" ",TRIM(C204)&amp;" ")-1),",","."))-1)/MID(SUBSTITUTE(LEFT(TRIM(C204),FIND(" ",TRIM(C204)&amp;" ")-1),",","."),FIND("/",SUBSTITUTE(LEFT(TRIM(C204),FIND(" ",TRIM(C204)&amp;" ")-1),",","."))+1,9))*12,NA()))),0),24)*'Aturan &amp; Tarif'!$B$4,2)</f>
        <v>1362.72</v>
      </c>
      <c r="K204" s="42" t="n">
        <f aca="false">'Aturan &amp; Tarif'!$B$5</f>
        <v>2050</v>
      </c>
      <c r="L204" s="42" t="n">
        <f aca="false">'Aturan &amp; Tarif'!$B$6</f>
        <v>350</v>
      </c>
      <c r="M204" s="35" t="n">
        <f aca="false">I204+J204+K204+L204</f>
        <v>9312.72</v>
      </c>
      <c r="N204" s="45" t="s">
        <v>134</v>
      </c>
    </row>
    <row r="205" customFormat="false" ht="37.5" hidden="false" customHeight="true" outlineLevel="0" collapsed="false">
      <c r="A205" s="29" t="s">
        <v>913</v>
      </c>
      <c r="B205" s="30" t="s">
        <v>697</v>
      </c>
      <c r="C205" s="31" t="s">
        <v>107</v>
      </c>
      <c r="D205" s="31" t="s">
        <v>108</v>
      </c>
      <c r="E205" s="32" t="n">
        <v>1250</v>
      </c>
      <c r="F205" s="32" t="n">
        <v>120</v>
      </c>
      <c r="G205" s="32" t="n">
        <v>250</v>
      </c>
      <c r="H205" s="33" t="n">
        <v>2</v>
      </c>
      <c r="I205" s="34" t="n">
        <f aca="false">E205*H205+N(F205)+N(G205)</f>
        <v>2870</v>
      </c>
      <c r="J205" s="32" t="n">
        <f aca="false">ROUND(IFERROR(ROUND(IF(OR(ISNUMBER(SEARCH("week",C205)),ISNUMBER(SEARCH("minggu",C205))),IFERROR(_xlfn.NUMBERVALUE(SUBSTITUTE(LEFT(TRIM(C205),FIND(" ",TRIM(C205)&amp;" ")-1),",","."),"."),LEFT(SUBSTITUTE(LEFT(TRIM(C205),FIND(" ",TRIM(C205)&amp;" ")-1),",","."),FIND("/",SUBSTITUTE(LEFT(TRIM(C205),FIND(" ",TRIM(C205)&amp;" ")-1),",","."))-1)/MID(SUBSTITUTE(LEFT(TRIM(C205),FIND(" ",TRIM(C205)&amp;" ")-1),",","."),FIND("/",SUBSTITUTE(LEFT(TRIM(C205),FIND(" ",TRIM(C205)&amp;" ")-1),",","."))+1,9))*12/52,IF(ISNUMBER(SEARCH("month",C205)),IFERROR(_xlfn.NUMBERVALUE(SUBSTITUTE(LEFT(TRIM(C205),FIND(" ",TRIM(C205)&amp;" ")-1),",","."),"."),LEFT(SUBSTITUTE(LEFT(TRIM(C205),FIND(" ",TRIM(C205)&amp;" ")-1),",","."),FIND("/",SUBSTITUTE(LEFT(TRIM(C205),FIND(" ",TRIM(C205)&amp;" ")-1),",","."))-1)/MID(SUBSTITUTE(LEFT(TRIM(C205),FIND(" ",TRIM(C205)&amp;" ")-1),",","."),FIND("/",SUBSTITUTE(LEFT(TRIM(C205),FIND(" ",TRIM(C205)&amp;" ")-1),",","."))+1,9)),IF(ISNUMBER(SEARCH("yea",C205)),IFERROR(_xlfn.NUMBERVALUE(SUBSTITUTE(LEFT(TRIM(C205),FIND(" ",TRIM(C205)&amp;" ")-1),",","."),"."),LEFT(SUBSTITUTE(LEFT(TRIM(C205),FIND(" ",TRIM(C205)&amp;" ")-1),",","."),FIND("/",SUBSTITUTE(LEFT(TRIM(C205),FIND(" ",TRIM(C205)&amp;" ")-1),",","."))-1)/MID(SUBSTITUTE(LEFT(TRIM(C205),FIND(" ",TRIM(C205)&amp;" ")-1),",","."),FIND("/",SUBSTITUTE(LEFT(TRIM(C205),FIND(" ",TRIM(C205)&amp;" ")-1),",","."))+1,9))*12,NA()))),0),24)*'Aturan &amp; Tarif'!$B$4,2)</f>
        <v>1362.72</v>
      </c>
      <c r="K205" s="32" t="n">
        <f aca="false">'Aturan &amp; Tarif'!$B$5</f>
        <v>2050</v>
      </c>
      <c r="L205" s="32" t="n">
        <f aca="false">'Aturan &amp; Tarif'!$B$6</f>
        <v>350</v>
      </c>
      <c r="M205" s="35" t="n">
        <f aca="false">I205+J205+K205+L205</f>
        <v>6632.72</v>
      </c>
      <c r="N205" s="37" t="s">
        <v>914</v>
      </c>
    </row>
    <row r="206" customFormat="false" ht="48.75" hidden="false" customHeight="true" outlineLevel="0" collapsed="false">
      <c r="A206" s="29"/>
      <c r="B206" s="30" t="s">
        <v>699</v>
      </c>
      <c r="C206" s="31" t="s">
        <v>136</v>
      </c>
      <c r="D206" s="31" t="s">
        <v>108</v>
      </c>
      <c r="E206" s="32" t="n">
        <v>1250</v>
      </c>
      <c r="F206" s="32" t="n">
        <v>120</v>
      </c>
      <c r="G206" s="32" t="n">
        <v>250</v>
      </c>
      <c r="H206" s="33" t="n">
        <v>2</v>
      </c>
      <c r="I206" s="34" t="n">
        <f aca="false">E206*H206+N(F206)+N(G206)</f>
        <v>2870</v>
      </c>
      <c r="J206" s="32" t="n">
        <f aca="false">ROUND(IFERROR(ROUND(IF(OR(ISNUMBER(SEARCH("week",C206)),ISNUMBER(SEARCH("minggu",C206))),IFERROR(_xlfn.NUMBERVALUE(SUBSTITUTE(LEFT(TRIM(C206),FIND(" ",TRIM(C206)&amp;" ")-1),",","."),"."),LEFT(SUBSTITUTE(LEFT(TRIM(C206),FIND(" ",TRIM(C206)&amp;" ")-1),",","."),FIND("/",SUBSTITUTE(LEFT(TRIM(C206),FIND(" ",TRIM(C206)&amp;" ")-1),",","."))-1)/MID(SUBSTITUTE(LEFT(TRIM(C206),FIND(" ",TRIM(C206)&amp;" ")-1),",","."),FIND("/",SUBSTITUTE(LEFT(TRIM(C206),FIND(" ",TRIM(C206)&amp;" ")-1),",","."))+1,9))*12/52,IF(ISNUMBER(SEARCH("month",C206)),IFERROR(_xlfn.NUMBERVALUE(SUBSTITUTE(LEFT(TRIM(C206),FIND(" ",TRIM(C206)&amp;" ")-1),",","."),"."),LEFT(SUBSTITUTE(LEFT(TRIM(C206),FIND(" ",TRIM(C206)&amp;" ")-1),",","."),FIND("/",SUBSTITUTE(LEFT(TRIM(C206),FIND(" ",TRIM(C206)&amp;" ")-1),",","."))-1)/MID(SUBSTITUTE(LEFT(TRIM(C206),FIND(" ",TRIM(C206)&amp;" ")-1),",","."),FIND("/",SUBSTITUTE(LEFT(TRIM(C206),FIND(" ",TRIM(C206)&amp;" ")-1),",","."))+1,9)),IF(ISNUMBER(SEARCH("yea",C206)),IFERROR(_xlfn.NUMBERVALUE(SUBSTITUTE(LEFT(TRIM(C206),FIND(" ",TRIM(C206)&amp;" ")-1),",","."),"."),LEFT(SUBSTITUTE(LEFT(TRIM(C206),FIND(" ",TRIM(C206)&amp;" ")-1),",","."),FIND("/",SUBSTITUTE(LEFT(TRIM(C206),FIND(" ",TRIM(C206)&amp;" ")-1),",","."))-1)/MID(SUBSTITUTE(LEFT(TRIM(C206),FIND(" ",TRIM(C206)&amp;" ")-1),",","."),FIND("/",SUBSTITUTE(LEFT(TRIM(C206),FIND(" ",TRIM(C206)&amp;" ")-1),",","."))+1,9))*12,NA()))),0),42)*'Aturan &amp; Tarif'!$B$4,2)</f>
        <v>2384.76</v>
      </c>
      <c r="K206" s="32" t="n">
        <f aca="false">'Aturan &amp; Tarif'!$B$5</f>
        <v>2050</v>
      </c>
      <c r="L206" s="32" t="n">
        <f aca="false">'Aturan &amp; Tarif'!$B$6</f>
        <v>350</v>
      </c>
      <c r="M206" s="35" t="n">
        <f aca="false">I206+J206+K206+L206</f>
        <v>7654.76</v>
      </c>
      <c r="N206" s="36" t="s">
        <v>915</v>
      </c>
    </row>
    <row r="207" customFormat="false" ht="14.25" hidden="false" customHeight="true" outlineLevel="0" collapsed="false">
      <c r="A207" s="29"/>
      <c r="B207" s="30" t="s">
        <v>701</v>
      </c>
      <c r="C207" s="31" t="s">
        <v>107</v>
      </c>
      <c r="D207" s="31" t="s">
        <v>108</v>
      </c>
      <c r="E207" s="32" t="n">
        <v>1250</v>
      </c>
      <c r="F207" s="32" t="n">
        <v>120</v>
      </c>
      <c r="G207" s="32" t="n">
        <v>250</v>
      </c>
      <c r="H207" s="33" t="n">
        <v>2</v>
      </c>
      <c r="I207" s="34" t="n">
        <f aca="false">E207*H207+N(F207)+N(G207)</f>
        <v>2870</v>
      </c>
      <c r="J207" s="32" t="n">
        <f aca="false">ROUND(IFERROR(ROUND(IF(OR(ISNUMBER(SEARCH("week",C207)),ISNUMBER(SEARCH("minggu",C207))),IFERROR(_xlfn.NUMBERVALUE(SUBSTITUTE(LEFT(TRIM(C207),FIND(" ",TRIM(C207)&amp;" ")-1),",","."),"."),LEFT(SUBSTITUTE(LEFT(TRIM(C207),FIND(" ",TRIM(C207)&amp;" ")-1),",","."),FIND("/",SUBSTITUTE(LEFT(TRIM(C207),FIND(" ",TRIM(C207)&amp;" ")-1),",","."))-1)/MID(SUBSTITUTE(LEFT(TRIM(C207),FIND(" ",TRIM(C207)&amp;" ")-1),",","."),FIND("/",SUBSTITUTE(LEFT(TRIM(C207),FIND(" ",TRIM(C207)&amp;" ")-1),",","."))+1,9))*12/52,IF(ISNUMBER(SEARCH("month",C207)),IFERROR(_xlfn.NUMBERVALUE(SUBSTITUTE(LEFT(TRIM(C207),FIND(" ",TRIM(C207)&amp;" ")-1),",","."),"."),LEFT(SUBSTITUTE(LEFT(TRIM(C207),FIND(" ",TRIM(C207)&amp;" ")-1),",","."),FIND("/",SUBSTITUTE(LEFT(TRIM(C207),FIND(" ",TRIM(C207)&amp;" ")-1),",","."))-1)/MID(SUBSTITUTE(LEFT(TRIM(C207),FIND(" ",TRIM(C207)&amp;" ")-1),",","."),FIND("/",SUBSTITUTE(LEFT(TRIM(C207),FIND(" ",TRIM(C207)&amp;" ")-1),",","."))+1,9)),IF(ISNUMBER(SEARCH("yea",C207)),IFERROR(_xlfn.NUMBERVALUE(SUBSTITUTE(LEFT(TRIM(C207),FIND(" ",TRIM(C207)&amp;" ")-1),",","."),"."),LEFT(SUBSTITUTE(LEFT(TRIM(C207),FIND(" ",TRIM(C207)&amp;" ")-1),",","."),FIND("/",SUBSTITUTE(LEFT(TRIM(C207),FIND(" ",TRIM(C207)&amp;" ")-1),",","."))-1)/MID(SUBSTITUTE(LEFT(TRIM(C207),FIND(" ",TRIM(C207)&amp;" ")-1),",","."),FIND("/",SUBSTITUTE(LEFT(TRIM(C207),FIND(" ",TRIM(C207)&amp;" ")-1),",","."))+1,9))*12,NA()))),0),24)*'Aturan &amp; Tarif'!$B$4,2)</f>
        <v>1362.72</v>
      </c>
      <c r="K207" s="32" t="n">
        <f aca="false">'Aturan &amp; Tarif'!$B$5</f>
        <v>2050</v>
      </c>
      <c r="L207" s="32" t="n">
        <f aca="false">'Aturan &amp; Tarif'!$B$6</f>
        <v>350</v>
      </c>
      <c r="M207" s="35" t="n">
        <f aca="false">I207+J207+K207+L207</f>
        <v>6632.72</v>
      </c>
      <c r="N207" s="37" t="s">
        <v>916</v>
      </c>
    </row>
    <row r="208" customFormat="false" ht="37.5" hidden="false" customHeight="true" outlineLevel="0" collapsed="false">
      <c r="A208" s="29"/>
      <c r="B208" s="30" t="s">
        <v>703</v>
      </c>
      <c r="C208" s="31" t="s">
        <v>136</v>
      </c>
      <c r="D208" s="31" t="s">
        <v>108</v>
      </c>
      <c r="E208" s="32" t="n">
        <v>1250</v>
      </c>
      <c r="F208" s="32" t="n">
        <v>120</v>
      </c>
      <c r="G208" s="32" t="n">
        <v>250</v>
      </c>
      <c r="H208" s="33" t="n">
        <v>2</v>
      </c>
      <c r="I208" s="34" t="n">
        <f aca="false">E208*H208+N(F208)+N(G208)</f>
        <v>2870</v>
      </c>
      <c r="J208" s="32" t="n">
        <f aca="false">ROUND(IFERROR(ROUND(IF(OR(ISNUMBER(SEARCH("week",C208)),ISNUMBER(SEARCH("minggu",C208))),IFERROR(_xlfn.NUMBERVALUE(SUBSTITUTE(LEFT(TRIM(C208),FIND(" ",TRIM(C208)&amp;" ")-1),",","."),"."),LEFT(SUBSTITUTE(LEFT(TRIM(C208),FIND(" ",TRIM(C208)&amp;" ")-1),",","."),FIND("/",SUBSTITUTE(LEFT(TRIM(C208),FIND(" ",TRIM(C208)&amp;" ")-1),",","."))-1)/MID(SUBSTITUTE(LEFT(TRIM(C208),FIND(" ",TRIM(C208)&amp;" ")-1),",","."),FIND("/",SUBSTITUTE(LEFT(TRIM(C208),FIND(" ",TRIM(C208)&amp;" ")-1),",","."))+1,9))*12/52,IF(ISNUMBER(SEARCH("month",C208)),IFERROR(_xlfn.NUMBERVALUE(SUBSTITUTE(LEFT(TRIM(C208),FIND(" ",TRIM(C208)&amp;" ")-1),",","."),"."),LEFT(SUBSTITUTE(LEFT(TRIM(C208),FIND(" ",TRIM(C208)&amp;" ")-1),",","."),FIND("/",SUBSTITUTE(LEFT(TRIM(C208),FIND(" ",TRIM(C208)&amp;" ")-1),",","."))-1)/MID(SUBSTITUTE(LEFT(TRIM(C208),FIND(" ",TRIM(C208)&amp;" ")-1),",","."),FIND("/",SUBSTITUTE(LEFT(TRIM(C208),FIND(" ",TRIM(C208)&amp;" ")-1),",","."))+1,9)),IF(ISNUMBER(SEARCH("yea",C208)),IFERROR(_xlfn.NUMBERVALUE(SUBSTITUTE(LEFT(TRIM(C208),FIND(" ",TRIM(C208)&amp;" ")-1),",","."),"."),LEFT(SUBSTITUTE(LEFT(TRIM(C208),FIND(" ",TRIM(C208)&amp;" ")-1),",","."),FIND("/",SUBSTITUTE(LEFT(TRIM(C208),FIND(" ",TRIM(C208)&amp;" ")-1),",","."))-1)/MID(SUBSTITUTE(LEFT(TRIM(C208),FIND(" ",TRIM(C208)&amp;" ")-1),",","."),FIND("/",SUBSTITUTE(LEFT(TRIM(C208),FIND(" ",TRIM(C208)&amp;" ")-1),",","."))+1,9))*12,NA()))),0),42)*'Aturan &amp; Tarif'!$B$4,2)</f>
        <v>2384.76</v>
      </c>
      <c r="K208" s="32" t="n">
        <f aca="false">'Aturan &amp; Tarif'!$B$5</f>
        <v>2050</v>
      </c>
      <c r="L208" s="32" t="n">
        <f aca="false">'Aturan &amp; Tarif'!$B$6</f>
        <v>350</v>
      </c>
      <c r="M208" s="35" t="n">
        <f aca="false">I208+J208+K208+L208</f>
        <v>7654.76</v>
      </c>
      <c r="N208" s="36" t="s">
        <v>917</v>
      </c>
    </row>
    <row r="209" customFormat="false" ht="14.25" hidden="false" customHeight="true" outlineLevel="0" collapsed="false">
      <c r="A209" s="29"/>
      <c r="B209" s="30" t="s">
        <v>705</v>
      </c>
      <c r="C209" s="31" t="s">
        <v>706</v>
      </c>
      <c r="D209" s="31" t="s">
        <v>108</v>
      </c>
      <c r="E209" s="32" t="n">
        <v>1250</v>
      </c>
      <c r="F209" s="32" t="n">
        <v>120</v>
      </c>
      <c r="G209" s="32" t="n">
        <v>260</v>
      </c>
      <c r="H209" s="33" t="n">
        <v>2</v>
      </c>
      <c r="I209" s="34" t="n">
        <f aca="false">E209*H209+N(F209)+N(G209)</f>
        <v>2880</v>
      </c>
      <c r="J209" s="32" t="n">
        <f aca="false">ROUND(IFERROR(ROUND(IF(OR(ISNUMBER(SEARCH("week",C209)),ISNUMBER(SEARCH("minggu",C209))),IFERROR(_xlfn.NUMBERVALUE(SUBSTITUTE(LEFT(TRIM(C209),FIND(" ",TRIM(C209)&amp;" ")-1),",","."),"."),LEFT(SUBSTITUTE(LEFT(TRIM(C209),FIND(" ",TRIM(C209)&amp;" ")-1),",","."),FIND("/",SUBSTITUTE(LEFT(TRIM(C209),FIND(" ",TRIM(C209)&amp;" ")-1),",","."))-1)/MID(SUBSTITUTE(LEFT(TRIM(C209),FIND(" ",TRIM(C209)&amp;" ")-1),",","."),FIND("/",SUBSTITUTE(LEFT(TRIM(C209),FIND(" ",TRIM(C209)&amp;" ")-1),",","."))+1,9))*12/52,IF(ISNUMBER(SEARCH("month",C209)),IFERROR(_xlfn.NUMBERVALUE(SUBSTITUTE(LEFT(TRIM(C209),FIND(" ",TRIM(C209)&amp;" ")-1),",","."),"."),LEFT(SUBSTITUTE(LEFT(TRIM(C209),FIND(" ",TRIM(C209)&amp;" ")-1),",","."),FIND("/",SUBSTITUTE(LEFT(TRIM(C209),FIND(" ",TRIM(C209)&amp;" ")-1),",","."))-1)/MID(SUBSTITUTE(LEFT(TRIM(C209),FIND(" ",TRIM(C209)&amp;" ")-1),",","."),FIND("/",SUBSTITUTE(LEFT(TRIM(C209),FIND(" ",TRIM(C209)&amp;" ")-1),",","."))+1,9)),IF(ISNUMBER(SEARCH("yea",C209)),IFERROR(_xlfn.NUMBERVALUE(SUBSTITUTE(LEFT(TRIM(C209),FIND(" ",TRIM(C209)&amp;" ")-1),",","."),"."),LEFT(SUBSTITUTE(LEFT(TRIM(C209),FIND(" ",TRIM(C209)&amp;" ")-1),",","."),FIND("/",SUBSTITUTE(LEFT(TRIM(C209),FIND(" ",TRIM(C209)&amp;" ")-1),",","."))-1)/MID(SUBSTITUTE(LEFT(TRIM(C209),FIND(" ",TRIM(C209)&amp;" ")-1),",","."),FIND("/",SUBSTITUTE(LEFT(TRIM(C209),FIND(" ",TRIM(C209)&amp;" ")-1),",","."))+1,9))*12,NA()))),0),22)*'Aturan &amp; Tarif'!$B$4,2)</f>
        <v>1249.16</v>
      </c>
      <c r="K209" s="32" t="n">
        <f aca="false">'Aturan &amp; Tarif'!$B$5</f>
        <v>2050</v>
      </c>
      <c r="L209" s="32" t="n">
        <f aca="false">'Aturan &amp; Tarif'!$B$6</f>
        <v>350</v>
      </c>
      <c r="M209" s="35" t="n">
        <f aca="false">I209+J209+K209+L209</f>
        <v>6529.16</v>
      </c>
      <c r="N209" s="37" t="s">
        <v>918</v>
      </c>
    </row>
    <row r="210" customFormat="false" ht="37.5" hidden="false" customHeight="true" outlineLevel="0" collapsed="false">
      <c r="A210" s="29"/>
      <c r="B210" s="30" t="s">
        <v>708</v>
      </c>
      <c r="C210" s="31" t="s">
        <v>709</v>
      </c>
      <c r="D210" s="31" t="s">
        <v>108</v>
      </c>
      <c r="E210" s="32" t="n">
        <v>1250</v>
      </c>
      <c r="F210" s="32" t="n">
        <v>120</v>
      </c>
      <c r="G210" s="32" t="n">
        <v>260</v>
      </c>
      <c r="H210" s="33" t="n">
        <v>2</v>
      </c>
      <c r="I210" s="34" t="n">
        <f aca="false">E210*H210+N(F210)+N(G210)</f>
        <v>2880</v>
      </c>
      <c r="J210" s="32" t="n">
        <f aca="false">ROUND(IFERROR(ROUND(IF(OR(ISNUMBER(SEARCH("week",C210)),ISNUMBER(SEARCH("minggu",C210))),IFERROR(_xlfn.NUMBERVALUE(SUBSTITUTE(LEFT(TRIM(C210),FIND(" ",TRIM(C210)&amp;" ")-1),",","."),"."),LEFT(SUBSTITUTE(LEFT(TRIM(C210),FIND(" ",TRIM(C210)&amp;" ")-1),",","."),FIND("/",SUBSTITUTE(LEFT(TRIM(C210),FIND(" ",TRIM(C210)&amp;" ")-1),",","."))-1)/MID(SUBSTITUTE(LEFT(TRIM(C210),FIND(" ",TRIM(C210)&amp;" ")-1),",","."),FIND("/",SUBSTITUTE(LEFT(TRIM(C210),FIND(" ",TRIM(C210)&amp;" ")-1),",","."))+1,9))*12/52,IF(ISNUMBER(SEARCH("month",C210)),IFERROR(_xlfn.NUMBERVALUE(SUBSTITUTE(LEFT(TRIM(C210),FIND(" ",TRIM(C210)&amp;" ")-1),",","."),"."),LEFT(SUBSTITUTE(LEFT(TRIM(C210),FIND(" ",TRIM(C210)&amp;" ")-1),",","."),FIND("/",SUBSTITUTE(LEFT(TRIM(C210),FIND(" ",TRIM(C210)&amp;" ")-1),",","."))-1)/MID(SUBSTITUTE(LEFT(TRIM(C210),FIND(" ",TRIM(C210)&amp;" ")-1),",","."),FIND("/",SUBSTITUTE(LEFT(TRIM(C210),FIND(" ",TRIM(C210)&amp;" ")-1),",","."))+1,9)),IF(ISNUMBER(SEARCH("yea",C210)),IFERROR(_xlfn.NUMBERVALUE(SUBSTITUTE(LEFT(TRIM(C210),FIND(" ",TRIM(C210)&amp;" ")-1),",","."),"."),LEFT(SUBSTITUTE(LEFT(TRIM(C210),FIND(" ",TRIM(C210)&amp;" ")-1),",","."),FIND("/",SUBSTITUTE(LEFT(TRIM(C210),FIND(" ",TRIM(C210)&amp;" ")-1),",","."))-1)/MID(SUBSTITUTE(LEFT(TRIM(C210),FIND(" ",TRIM(C210)&amp;" ")-1),",","."),FIND("/",SUBSTITUTE(LEFT(TRIM(C210),FIND(" ",TRIM(C210)&amp;" ")-1),",","."))+1,9))*12,NA()))),0),40)*'Aturan &amp; Tarif'!$B$4,2)</f>
        <v>2271.2</v>
      </c>
      <c r="K210" s="32" t="n">
        <f aca="false">'Aturan &amp; Tarif'!$B$5</f>
        <v>2050</v>
      </c>
      <c r="L210" s="32" t="n">
        <f aca="false">'Aturan &amp; Tarif'!$B$6</f>
        <v>350</v>
      </c>
      <c r="M210" s="35" t="n">
        <f aca="false">I210+J210+K210+L210</f>
        <v>7551.2</v>
      </c>
      <c r="N210" s="36" t="s">
        <v>710</v>
      </c>
    </row>
    <row r="211" customFormat="false" ht="25.5" hidden="false" customHeight="true" outlineLevel="0" collapsed="false">
      <c r="A211" s="29"/>
      <c r="B211" s="30" t="s">
        <v>496</v>
      </c>
      <c r="C211" s="31" t="s">
        <v>706</v>
      </c>
      <c r="D211" s="31" t="s">
        <v>108</v>
      </c>
      <c r="E211" s="32" t="n">
        <v>1250</v>
      </c>
      <c r="F211" s="32" t="n">
        <v>120</v>
      </c>
      <c r="G211" s="32" t="n">
        <v>260</v>
      </c>
      <c r="H211" s="33" t="n">
        <v>2</v>
      </c>
      <c r="I211" s="34" t="n">
        <f aca="false">E211*H211+N(F211)+N(G211)</f>
        <v>2880</v>
      </c>
      <c r="J211" s="32" t="n">
        <f aca="false">ROUND(IFERROR(ROUND(IF(OR(ISNUMBER(SEARCH("week",C211)),ISNUMBER(SEARCH("minggu",C211))),IFERROR(_xlfn.NUMBERVALUE(SUBSTITUTE(LEFT(TRIM(C211),FIND(" ",TRIM(C211)&amp;" ")-1),",","."),"."),LEFT(SUBSTITUTE(LEFT(TRIM(C211),FIND(" ",TRIM(C211)&amp;" ")-1),",","."),FIND("/",SUBSTITUTE(LEFT(TRIM(C211),FIND(" ",TRIM(C211)&amp;" ")-1),",","."))-1)/MID(SUBSTITUTE(LEFT(TRIM(C211),FIND(" ",TRIM(C211)&amp;" ")-1),",","."),FIND("/",SUBSTITUTE(LEFT(TRIM(C211),FIND(" ",TRIM(C211)&amp;" ")-1),",","."))+1,9))*12/52,IF(ISNUMBER(SEARCH("month",C211)),IFERROR(_xlfn.NUMBERVALUE(SUBSTITUTE(LEFT(TRIM(C211),FIND(" ",TRIM(C211)&amp;" ")-1),",","."),"."),LEFT(SUBSTITUTE(LEFT(TRIM(C211),FIND(" ",TRIM(C211)&amp;" ")-1),",","."),FIND("/",SUBSTITUTE(LEFT(TRIM(C211),FIND(" ",TRIM(C211)&amp;" ")-1),",","."))-1)/MID(SUBSTITUTE(LEFT(TRIM(C211),FIND(" ",TRIM(C211)&amp;" ")-1),",","."),FIND("/",SUBSTITUTE(LEFT(TRIM(C211),FIND(" ",TRIM(C211)&amp;" ")-1),",","."))+1,9)),IF(ISNUMBER(SEARCH("yea",C211)),IFERROR(_xlfn.NUMBERVALUE(SUBSTITUTE(LEFT(TRIM(C211),FIND(" ",TRIM(C211)&amp;" ")-1),",","."),"."),LEFT(SUBSTITUTE(LEFT(TRIM(C211),FIND(" ",TRIM(C211)&amp;" ")-1),",","."),FIND("/",SUBSTITUTE(LEFT(TRIM(C211),FIND(" ",TRIM(C211)&amp;" ")-1),",","."))-1)/MID(SUBSTITUTE(LEFT(TRIM(C211),FIND(" ",TRIM(C211)&amp;" ")-1),",","."),FIND("/",SUBSTITUTE(LEFT(TRIM(C211),FIND(" ",TRIM(C211)&amp;" ")-1),",","."))+1,9))*12,NA()))),0),22)*'Aturan &amp; Tarif'!$B$4,2)</f>
        <v>1249.16</v>
      </c>
      <c r="K211" s="32" t="n">
        <f aca="false">'Aturan &amp; Tarif'!$B$5</f>
        <v>2050</v>
      </c>
      <c r="L211" s="32" t="n">
        <f aca="false">'Aturan &amp; Tarif'!$B$6</f>
        <v>350</v>
      </c>
      <c r="M211" s="35" t="n">
        <f aca="false">I211+J211+K211+L211</f>
        <v>6529.16</v>
      </c>
      <c r="N211" s="37" t="s">
        <v>919</v>
      </c>
    </row>
    <row r="212" customFormat="false" ht="37.5" hidden="false" customHeight="true" outlineLevel="0" collapsed="false">
      <c r="A212" s="29"/>
      <c r="B212" s="30" t="s">
        <v>920</v>
      </c>
      <c r="C212" s="31" t="s">
        <v>709</v>
      </c>
      <c r="D212" s="31" t="s">
        <v>108</v>
      </c>
      <c r="E212" s="32" t="n">
        <v>1250</v>
      </c>
      <c r="F212" s="32" t="n">
        <v>120</v>
      </c>
      <c r="G212" s="32" t="n">
        <v>260</v>
      </c>
      <c r="H212" s="33" t="n">
        <v>2</v>
      </c>
      <c r="I212" s="34" t="n">
        <f aca="false">E212*H212+N(F212)+N(G212)</f>
        <v>2880</v>
      </c>
      <c r="J212" s="32" t="n">
        <f aca="false">ROUND(IFERROR(ROUND(IF(OR(ISNUMBER(SEARCH("week",C212)),ISNUMBER(SEARCH("minggu",C212))),IFERROR(_xlfn.NUMBERVALUE(SUBSTITUTE(LEFT(TRIM(C212),FIND(" ",TRIM(C212)&amp;" ")-1),",","."),"."),LEFT(SUBSTITUTE(LEFT(TRIM(C212),FIND(" ",TRIM(C212)&amp;" ")-1),",","."),FIND("/",SUBSTITUTE(LEFT(TRIM(C212),FIND(" ",TRIM(C212)&amp;" ")-1),",","."))-1)/MID(SUBSTITUTE(LEFT(TRIM(C212),FIND(" ",TRIM(C212)&amp;" ")-1),",","."),FIND("/",SUBSTITUTE(LEFT(TRIM(C212),FIND(" ",TRIM(C212)&amp;" ")-1),",","."))+1,9))*12/52,IF(ISNUMBER(SEARCH("month",C212)),IFERROR(_xlfn.NUMBERVALUE(SUBSTITUTE(LEFT(TRIM(C212),FIND(" ",TRIM(C212)&amp;" ")-1),",","."),"."),LEFT(SUBSTITUTE(LEFT(TRIM(C212),FIND(" ",TRIM(C212)&amp;" ")-1),",","."),FIND("/",SUBSTITUTE(LEFT(TRIM(C212),FIND(" ",TRIM(C212)&amp;" ")-1),",","."))-1)/MID(SUBSTITUTE(LEFT(TRIM(C212),FIND(" ",TRIM(C212)&amp;" ")-1),",","."),FIND("/",SUBSTITUTE(LEFT(TRIM(C212),FIND(" ",TRIM(C212)&amp;" ")-1),",","."))+1,9)),IF(ISNUMBER(SEARCH("yea",C212)),IFERROR(_xlfn.NUMBERVALUE(SUBSTITUTE(LEFT(TRIM(C212),FIND(" ",TRIM(C212)&amp;" ")-1),",","."),"."),LEFT(SUBSTITUTE(LEFT(TRIM(C212),FIND(" ",TRIM(C212)&amp;" ")-1),",","."),FIND("/",SUBSTITUTE(LEFT(TRIM(C212),FIND(" ",TRIM(C212)&amp;" ")-1),",","."))-1)/MID(SUBSTITUTE(LEFT(TRIM(C212),FIND(" ",TRIM(C212)&amp;" ")-1),",","."),FIND("/",SUBSTITUTE(LEFT(TRIM(C212),FIND(" ",TRIM(C212)&amp;" ")-1),",","."))+1,9))*12,NA()))),0),40)*'Aturan &amp; Tarif'!$B$4,2)</f>
        <v>2271.2</v>
      </c>
      <c r="K212" s="32" t="n">
        <f aca="false">'Aturan &amp; Tarif'!$B$5</f>
        <v>2050</v>
      </c>
      <c r="L212" s="32" t="n">
        <f aca="false">'Aturan &amp; Tarif'!$B$6</f>
        <v>350</v>
      </c>
      <c r="M212" s="35" t="n">
        <f aca="false">I212+J212+K212+L212</f>
        <v>7551.2</v>
      </c>
      <c r="N212" s="36" t="s">
        <v>921</v>
      </c>
    </row>
    <row r="213" customFormat="false" ht="14.25" hidden="false" customHeight="true" outlineLevel="0" collapsed="false">
      <c r="A213" s="29"/>
      <c r="B213" s="30" t="s">
        <v>922</v>
      </c>
      <c r="C213" s="31" t="s">
        <v>486</v>
      </c>
      <c r="D213" s="31" t="s">
        <v>108</v>
      </c>
      <c r="E213" s="32" t="n">
        <v>1250</v>
      </c>
      <c r="F213" s="32" t="n">
        <v>200</v>
      </c>
      <c r="G213" s="32" t="n">
        <v>260</v>
      </c>
      <c r="H213" s="33" t="n">
        <v>2</v>
      </c>
      <c r="I213" s="34" t="n">
        <f aca="false">E213*H213+N(F213)+N(G213)</f>
        <v>2960</v>
      </c>
      <c r="J213" s="32" t="n">
        <f aca="false">ROUND(IFERROR(ROUND(IF(OR(ISNUMBER(SEARCH("week",C213)),ISNUMBER(SEARCH("minggu",C213))),IFERROR(_xlfn.NUMBERVALUE(SUBSTITUTE(LEFT(TRIM(C213),FIND(" ",TRIM(C213)&amp;" ")-1),",","."),"."),LEFT(SUBSTITUTE(LEFT(TRIM(C213),FIND(" ",TRIM(C213)&amp;" ")-1),",","."),FIND("/",SUBSTITUTE(LEFT(TRIM(C213),FIND(" ",TRIM(C213)&amp;" ")-1),",","."))-1)/MID(SUBSTITUTE(LEFT(TRIM(C213),FIND(" ",TRIM(C213)&amp;" ")-1),",","."),FIND("/",SUBSTITUTE(LEFT(TRIM(C213),FIND(" ",TRIM(C213)&amp;" ")-1),",","."))+1,9))*12/52,IF(ISNUMBER(SEARCH("month",C213)),IFERROR(_xlfn.NUMBERVALUE(SUBSTITUTE(LEFT(TRIM(C213),FIND(" ",TRIM(C213)&amp;" ")-1),",","."),"."),LEFT(SUBSTITUTE(LEFT(TRIM(C213),FIND(" ",TRIM(C213)&amp;" ")-1),",","."),FIND("/",SUBSTITUTE(LEFT(TRIM(C213),FIND(" ",TRIM(C213)&amp;" ")-1),",","."))-1)/MID(SUBSTITUTE(LEFT(TRIM(C213),FIND(" ",TRIM(C213)&amp;" ")-1),",","."),FIND("/",SUBSTITUTE(LEFT(TRIM(C213),FIND(" ",TRIM(C213)&amp;" ")-1),",","."))+1,9)),IF(ISNUMBER(SEARCH("yea",C213)),IFERROR(_xlfn.NUMBERVALUE(SUBSTITUTE(LEFT(TRIM(C213),FIND(" ",TRIM(C213)&amp;" ")-1),",","."),"."),LEFT(SUBSTITUTE(LEFT(TRIM(C213),FIND(" ",TRIM(C213)&amp;" ")-1),",","."),FIND("/",SUBSTITUTE(LEFT(TRIM(C213),FIND(" ",TRIM(C213)&amp;" ")-1),",","."))-1)/MID(SUBSTITUTE(LEFT(TRIM(C213),FIND(" ",TRIM(C213)&amp;" ")-1),",","."),FIND("/",SUBSTITUTE(LEFT(TRIM(C213),FIND(" ",TRIM(C213)&amp;" ")-1),",","."))+1,9))*12,NA()))),0),12)*'Aturan &amp; Tarif'!$B$4,2)</f>
        <v>681.36</v>
      </c>
      <c r="K213" s="32" t="n">
        <f aca="false">'Aturan &amp; Tarif'!$B$5</f>
        <v>2050</v>
      </c>
      <c r="L213" s="32" t="n">
        <f aca="false">'Aturan &amp; Tarif'!$B$6</f>
        <v>350</v>
      </c>
      <c r="M213" s="35" t="n">
        <f aca="false">I213+J213+K213+L213</f>
        <v>6041.36</v>
      </c>
      <c r="N213" s="37" t="s">
        <v>923</v>
      </c>
    </row>
    <row r="214" customFormat="false" ht="25.5" hidden="false" customHeight="true" outlineLevel="0" collapsed="false">
      <c r="A214" s="29"/>
      <c r="B214" s="30" t="s">
        <v>711</v>
      </c>
      <c r="C214" s="31" t="s">
        <v>712</v>
      </c>
      <c r="D214" s="31" t="s">
        <v>108</v>
      </c>
      <c r="E214" s="32" t="n">
        <v>1600</v>
      </c>
      <c r="F214" s="32" t="n">
        <v>500</v>
      </c>
      <c r="G214" s="32" t="n">
        <v>260</v>
      </c>
      <c r="H214" s="33" t="n">
        <v>2</v>
      </c>
      <c r="I214" s="34" t="n">
        <f aca="false">E214*H214+N(F214)+N(G214)</f>
        <v>3960</v>
      </c>
      <c r="J214" s="32" t="n">
        <f aca="false">ROUND(IFERROR(ROUND(IF(OR(ISNUMBER(SEARCH("week",C214)),ISNUMBER(SEARCH("minggu",C214))),IFERROR(_xlfn.NUMBERVALUE(SUBSTITUTE(LEFT(TRIM(C214),FIND(" ",TRIM(C214)&amp;" ")-1),",","."),"."),LEFT(SUBSTITUTE(LEFT(TRIM(C214),FIND(" ",TRIM(C214)&amp;" ")-1),",","."),FIND("/",SUBSTITUTE(LEFT(TRIM(C214),FIND(" ",TRIM(C214)&amp;" ")-1),",","."))-1)/MID(SUBSTITUTE(LEFT(TRIM(C214),FIND(" ",TRIM(C214)&amp;" ")-1),",","."),FIND("/",SUBSTITUTE(LEFT(TRIM(C214),FIND(" ",TRIM(C214)&amp;" ")-1),",","."))+1,9))*12/52,IF(ISNUMBER(SEARCH("month",C214)),IFERROR(_xlfn.NUMBERVALUE(SUBSTITUTE(LEFT(TRIM(C214),FIND(" ",TRIM(C214)&amp;" ")-1),",","."),"."),LEFT(SUBSTITUTE(LEFT(TRIM(C214),FIND(" ",TRIM(C214)&amp;" ")-1),",","."),FIND("/",SUBSTITUTE(LEFT(TRIM(C214),FIND(" ",TRIM(C214)&amp;" ")-1),",","."))-1)/MID(SUBSTITUTE(LEFT(TRIM(C214),FIND(" ",TRIM(C214)&amp;" ")-1),",","."),FIND("/",SUBSTITUTE(LEFT(TRIM(C214),FIND(" ",TRIM(C214)&amp;" ")-1),",","."))+1,9)),IF(ISNUMBER(SEARCH("yea",C214)),IFERROR(_xlfn.NUMBERVALUE(SUBSTITUTE(LEFT(TRIM(C214),FIND(" ",TRIM(C214)&amp;" ")-1),",","."),"."),LEFT(SUBSTITUTE(LEFT(TRIM(C214),FIND(" ",TRIM(C214)&amp;" ")-1),",","."),FIND("/",SUBSTITUTE(LEFT(TRIM(C214),FIND(" ",TRIM(C214)&amp;" ")-1),",","."))-1)/MID(SUBSTITUTE(LEFT(TRIM(C214),FIND(" ",TRIM(C214)&amp;" ")-1),",","."),FIND("/",SUBSTITUTE(LEFT(TRIM(C214),FIND(" ",TRIM(C214)&amp;" ")-1),",","."))+1,9))*12,NA()))),0),30)*'Aturan &amp; Tarif'!$B$4,2)</f>
        <v>1703.4</v>
      </c>
      <c r="K214" s="32" t="n">
        <f aca="false">'Aturan &amp; Tarif'!$B$5</f>
        <v>2050</v>
      </c>
      <c r="L214" s="32" t="n">
        <f aca="false">'Aturan &amp; Tarif'!$B$6</f>
        <v>350</v>
      </c>
      <c r="M214" s="35" t="n">
        <f aca="false">I214+J214+K214+L214</f>
        <v>8063.4</v>
      </c>
      <c r="N214" s="37" t="s">
        <v>924</v>
      </c>
    </row>
    <row r="215" customFormat="false" ht="37.5" hidden="false" customHeight="true" outlineLevel="0" collapsed="false">
      <c r="A215" s="29"/>
      <c r="B215" s="30" t="s">
        <v>925</v>
      </c>
      <c r="C215" s="31" t="s">
        <v>715</v>
      </c>
      <c r="D215" s="31" t="s">
        <v>108</v>
      </c>
      <c r="E215" s="32" t="n">
        <v>1650</v>
      </c>
      <c r="F215" s="32" t="n">
        <v>1700</v>
      </c>
      <c r="G215" s="32" t="n">
        <v>260</v>
      </c>
      <c r="H215" s="33" t="n">
        <v>2</v>
      </c>
      <c r="I215" s="34" t="n">
        <f aca="false">E215*H215+N(F215)+N(G215)</f>
        <v>5260</v>
      </c>
      <c r="J215" s="32" t="n">
        <f aca="false">ROUND(IFERROR(ROUND(IF(OR(ISNUMBER(SEARCH("week",C215)),ISNUMBER(SEARCH("minggu",C215))),IFERROR(_xlfn.NUMBERVALUE(SUBSTITUTE(LEFT(TRIM(C215),FIND(" ",TRIM(C215)&amp;" ")-1),",","."),"."),LEFT(SUBSTITUTE(LEFT(TRIM(C215),FIND(" ",TRIM(C215)&amp;" ")-1),",","."),FIND("/",SUBSTITUTE(LEFT(TRIM(C215),FIND(" ",TRIM(C215)&amp;" ")-1),",","."))-1)/MID(SUBSTITUTE(LEFT(TRIM(C215),FIND(" ",TRIM(C215)&amp;" ")-1),",","."),FIND("/",SUBSTITUTE(LEFT(TRIM(C215),FIND(" ",TRIM(C215)&amp;" ")-1),",","."))+1,9))*12/52,IF(ISNUMBER(SEARCH("month",C215)),IFERROR(_xlfn.NUMBERVALUE(SUBSTITUTE(LEFT(TRIM(C215),FIND(" ",TRIM(C215)&amp;" ")-1),",","."),"."),LEFT(SUBSTITUTE(LEFT(TRIM(C215),FIND(" ",TRIM(C215)&amp;" ")-1),",","."),FIND("/",SUBSTITUTE(LEFT(TRIM(C215),FIND(" ",TRIM(C215)&amp;" ")-1),",","."))-1)/MID(SUBSTITUTE(LEFT(TRIM(C215),FIND(" ",TRIM(C215)&amp;" ")-1),",","."),FIND("/",SUBSTITUTE(LEFT(TRIM(C215),FIND(" ",TRIM(C215)&amp;" ")-1),",","."))+1,9)),IF(ISNUMBER(SEARCH("yea",C215)),IFERROR(_xlfn.NUMBERVALUE(SUBSTITUTE(LEFT(TRIM(C215),FIND(" ",TRIM(C215)&amp;" ")-1),",","."),"."),LEFT(SUBSTITUTE(LEFT(TRIM(C215),FIND(" ",TRIM(C215)&amp;" ")-1),",","."),FIND("/",SUBSTITUTE(LEFT(TRIM(C215),FIND(" ",TRIM(C215)&amp;" ")-1),",","."))-1)/MID(SUBSTITUTE(LEFT(TRIM(C215),FIND(" ",TRIM(C215)&amp;" ")-1),",","."),FIND("/",SUBSTITUTE(LEFT(TRIM(C215),FIND(" ",TRIM(C215)&amp;" ")-1),",","."))+1,9))*12,NA()))),0),25)*'Aturan &amp; Tarif'!$B$4,2)</f>
        <v>1419.5</v>
      </c>
      <c r="K215" s="32" t="n">
        <f aca="false">'Aturan &amp; Tarif'!$B$5</f>
        <v>2050</v>
      </c>
      <c r="L215" s="32" t="n">
        <f aca="false">'Aturan &amp; Tarif'!$B$6</f>
        <v>350</v>
      </c>
      <c r="M215" s="35" t="n">
        <f aca="false">I215+J215+K215+L215</f>
        <v>9079.5</v>
      </c>
      <c r="N215" s="37" t="s">
        <v>926</v>
      </c>
    </row>
    <row r="216" customFormat="false" ht="37.5" hidden="false" customHeight="true" outlineLevel="0" collapsed="false">
      <c r="A216" s="29"/>
      <c r="B216" s="30" t="s">
        <v>927</v>
      </c>
      <c r="C216" s="31" t="s">
        <v>718</v>
      </c>
      <c r="D216" s="31" t="s">
        <v>108</v>
      </c>
      <c r="E216" s="32" t="n">
        <v>1650</v>
      </c>
      <c r="F216" s="32" t="n">
        <v>1700</v>
      </c>
      <c r="G216" s="32" t="n">
        <v>260</v>
      </c>
      <c r="H216" s="33" t="n">
        <v>2</v>
      </c>
      <c r="I216" s="34" t="n">
        <f aca="false">E216*H216+N(F216)+N(G216)</f>
        <v>5260</v>
      </c>
      <c r="J216" s="32" t="n">
        <f aca="false">ROUND(IFERROR(ROUND(IF(OR(ISNUMBER(SEARCH("week",C216)),ISNUMBER(SEARCH("minggu",C216))),IFERROR(_xlfn.NUMBERVALUE(SUBSTITUTE(LEFT(TRIM(C216),FIND(" ",TRIM(C216)&amp;" ")-1),",","."),"."),LEFT(SUBSTITUTE(LEFT(TRIM(C216),FIND(" ",TRIM(C216)&amp;" ")-1),",","."),FIND("/",SUBSTITUTE(LEFT(TRIM(C216),FIND(" ",TRIM(C216)&amp;" ")-1),",","."))-1)/MID(SUBSTITUTE(LEFT(TRIM(C216),FIND(" ",TRIM(C216)&amp;" ")-1),",","."),FIND("/",SUBSTITUTE(LEFT(TRIM(C216),FIND(" ",TRIM(C216)&amp;" ")-1),",","."))+1,9))*12/52,IF(ISNUMBER(SEARCH("month",C216)),IFERROR(_xlfn.NUMBERVALUE(SUBSTITUTE(LEFT(TRIM(C216),FIND(" ",TRIM(C216)&amp;" ")-1),",","."),"."),LEFT(SUBSTITUTE(LEFT(TRIM(C216),FIND(" ",TRIM(C216)&amp;" ")-1),",","."),FIND("/",SUBSTITUTE(LEFT(TRIM(C216),FIND(" ",TRIM(C216)&amp;" ")-1),",","."))-1)/MID(SUBSTITUTE(LEFT(TRIM(C216),FIND(" ",TRIM(C216)&amp;" ")-1),",","."),FIND("/",SUBSTITUTE(LEFT(TRIM(C216),FIND(" ",TRIM(C216)&amp;" ")-1),",","."))+1,9)),IF(ISNUMBER(SEARCH("yea",C216)),IFERROR(_xlfn.NUMBERVALUE(SUBSTITUTE(LEFT(TRIM(C216),FIND(" ",TRIM(C216)&amp;" ")-1),",","."),"."),LEFT(SUBSTITUTE(LEFT(TRIM(C216),FIND(" ",TRIM(C216)&amp;" ")-1),",","."),FIND("/",SUBSTITUTE(LEFT(TRIM(C216),FIND(" ",TRIM(C216)&amp;" ")-1),",","."))-1)/MID(SUBSTITUTE(LEFT(TRIM(C216),FIND(" ",TRIM(C216)&amp;" ")-1),",","."),FIND("/",SUBSTITUTE(LEFT(TRIM(C216),FIND(" ",TRIM(C216)&amp;" ")-1),",","."))+1,9))*12,NA()))),0),33)*'Aturan &amp; Tarif'!$B$4,2)</f>
        <v>1873.74</v>
      </c>
      <c r="K216" s="32" t="n">
        <f aca="false">'Aturan &amp; Tarif'!$B$5</f>
        <v>2050</v>
      </c>
      <c r="L216" s="32" t="n">
        <f aca="false">'Aturan &amp; Tarif'!$B$6</f>
        <v>350</v>
      </c>
      <c r="M216" s="35" t="n">
        <f aca="false">I216+J216+K216+L216</f>
        <v>9533.74</v>
      </c>
      <c r="N216" s="37" t="s">
        <v>928</v>
      </c>
    </row>
    <row r="217" customFormat="false" ht="25.5" hidden="false" customHeight="true" outlineLevel="0" collapsed="false">
      <c r="A217" s="29"/>
      <c r="B217" s="30" t="s">
        <v>720</v>
      </c>
      <c r="C217" s="31" t="s">
        <v>721</v>
      </c>
      <c r="D217" s="31" t="s">
        <v>108</v>
      </c>
      <c r="E217" s="32" t="n">
        <v>1600</v>
      </c>
      <c r="F217" s="32" t="n">
        <v>500</v>
      </c>
      <c r="G217" s="32" t="n">
        <v>260</v>
      </c>
      <c r="H217" s="33" t="n">
        <v>2</v>
      </c>
      <c r="I217" s="34" t="n">
        <f aca="false">E217*H217+N(F217)+N(G217)</f>
        <v>3960</v>
      </c>
      <c r="J217" s="32" t="n">
        <f aca="false">ROUND(IFERROR(ROUND(IF(OR(ISNUMBER(SEARCH("week",C217)),ISNUMBER(SEARCH("minggu",C217))),IFERROR(_xlfn.NUMBERVALUE(SUBSTITUTE(LEFT(TRIM(C217),FIND(" ",TRIM(C217)&amp;" ")-1),",","."),"."),LEFT(SUBSTITUTE(LEFT(TRIM(C217),FIND(" ",TRIM(C217)&amp;" ")-1),",","."),FIND("/",SUBSTITUTE(LEFT(TRIM(C217),FIND(" ",TRIM(C217)&amp;" ")-1),",","."))-1)/MID(SUBSTITUTE(LEFT(TRIM(C217),FIND(" ",TRIM(C217)&amp;" ")-1),",","."),FIND("/",SUBSTITUTE(LEFT(TRIM(C217),FIND(" ",TRIM(C217)&amp;" ")-1),",","."))+1,9))*12/52,IF(ISNUMBER(SEARCH("month",C217)),IFERROR(_xlfn.NUMBERVALUE(SUBSTITUTE(LEFT(TRIM(C217),FIND(" ",TRIM(C217)&amp;" ")-1),",","."),"."),LEFT(SUBSTITUTE(LEFT(TRIM(C217),FIND(" ",TRIM(C217)&amp;" ")-1),",","."),FIND("/",SUBSTITUTE(LEFT(TRIM(C217),FIND(" ",TRIM(C217)&amp;" ")-1),",","."))-1)/MID(SUBSTITUTE(LEFT(TRIM(C217),FIND(" ",TRIM(C217)&amp;" ")-1),",","."),FIND("/",SUBSTITUTE(LEFT(TRIM(C217),FIND(" ",TRIM(C217)&amp;" ")-1),",","."))+1,9)),IF(ISNUMBER(SEARCH("yea",C217)),IFERROR(_xlfn.NUMBERVALUE(SUBSTITUTE(LEFT(TRIM(C217),FIND(" ",TRIM(C217)&amp;" ")-1),",","."),"."),LEFT(SUBSTITUTE(LEFT(TRIM(C217),FIND(" ",TRIM(C217)&amp;" ")-1),",","."),FIND("/",SUBSTITUTE(LEFT(TRIM(C217),FIND(" ",TRIM(C217)&amp;" ")-1),",","."))-1)/MID(SUBSTITUTE(LEFT(TRIM(C217),FIND(" ",TRIM(C217)&amp;" ")-1),",","."),FIND("/",SUBSTITUTE(LEFT(TRIM(C217),FIND(" ",TRIM(C217)&amp;" ")-1),",","."))+1,9))*12,NA()))),0),19)*'Aturan &amp; Tarif'!$B$4,2)</f>
        <v>1078.82</v>
      </c>
      <c r="K217" s="32" t="n">
        <f aca="false">'Aturan &amp; Tarif'!$B$5</f>
        <v>2050</v>
      </c>
      <c r="L217" s="32" t="n">
        <f aca="false">'Aturan &amp; Tarif'!$B$6</f>
        <v>350</v>
      </c>
      <c r="M217" s="35" t="n">
        <f aca="false">I217+J217+K217+L217</f>
        <v>7438.82</v>
      </c>
      <c r="N217" s="37" t="s">
        <v>929</v>
      </c>
    </row>
    <row r="218" customFormat="false" ht="48.75" hidden="false" customHeight="true" outlineLevel="0" collapsed="false">
      <c r="A218" s="29"/>
      <c r="B218" s="30" t="s">
        <v>930</v>
      </c>
      <c r="C218" s="31" t="s">
        <v>724</v>
      </c>
      <c r="D218" s="31" t="s">
        <v>108</v>
      </c>
      <c r="E218" s="32" t="n">
        <v>1600</v>
      </c>
      <c r="F218" s="32" t="n">
        <v>500</v>
      </c>
      <c r="G218" s="32" t="n">
        <v>260</v>
      </c>
      <c r="H218" s="33" t="n">
        <v>2</v>
      </c>
      <c r="I218" s="34" t="n">
        <f aca="false">E218*H218+N(F218)+N(G218)</f>
        <v>3960</v>
      </c>
      <c r="J218" s="32" t="n">
        <f aca="false">ROUND(IFERROR(ROUND(IF(OR(ISNUMBER(SEARCH("week",C218)),ISNUMBER(SEARCH("minggu",C218))),IFERROR(_xlfn.NUMBERVALUE(SUBSTITUTE(LEFT(TRIM(C218),FIND(" ",TRIM(C218)&amp;" ")-1),",","."),"."),LEFT(SUBSTITUTE(LEFT(TRIM(C218),FIND(" ",TRIM(C218)&amp;" ")-1),",","."),FIND("/",SUBSTITUTE(LEFT(TRIM(C218),FIND(" ",TRIM(C218)&amp;" ")-1),",","."))-1)/MID(SUBSTITUTE(LEFT(TRIM(C218),FIND(" ",TRIM(C218)&amp;" ")-1),",","."),FIND("/",SUBSTITUTE(LEFT(TRIM(C218),FIND(" ",TRIM(C218)&amp;" ")-1),",","."))+1,9))*12/52,IF(ISNUMBER(SEARCH("month",C218)),IFERROR(_xlfn.NUMBERVALUE(SUBSTITUTE(LEFT(TRIM(C218),FIND(" ",TRIM(C218)&amp;" ")-1),",","."),"."),LEFT(SUBSTITUTE(LEFT(TRIM(C218),FIND(" ",TRIM(C218)&amp;" ")-1),",","."),FIND("/",SUBSTITUTE(LEFT(TRIM(C218),FIND(" ",TRIM(C218)&amp;" ")-1),",","."))-1)/MID(SUBSTITUTE(LEFT(TRIM(C218),FIND(" ",TRIM(C218)&amp;" ")-1),",","."),FIND("/",SUBSTITUTE(LEFT(TRIM(C218),FIND(" ",TRIM(C218)&amp;" ")-1),",","."))+1,9)),IF(ISNUMBER(SEARCH("yea",C218)),IFERROR(_xlfn.NUMBERVALUE(SUBSTITUTE(LEFT(TRIM(C218),FIND(" ",TRIM(C218)&amp;" ")-1),",","."),"."),LEFT(SUBSTITUTE(LEFT(TRIM(C218),FIND(" ",TRIM(C218)&amp;" ")-1),",","."),FIND("/",SUBSTITUTE(LEFT(TRIM(C218),FIND(" ",TRIM(C218)&amp;" ")-1),",","."))-1)/MID(SUBSTITUTE(LEFT(TRIM(C218),FIND(" ",TRIM(C218)&amp;" ")-1),",","."),FIND("/",SUBSTITUTE(LEFT(TRIM(C218),FIND(" ",TRIM(C218)&amp;" ")-1),",","."))+1,9))*12,NA()))),0),37)*'Aturan &amp; Tarif'!$B$4,2)</f>
        <v>2100.86</v>
      </c>
      <c r="K218" s="32" t="n">
        <f aca="false">'Aturan &amp; Tarif'!$B$5</f>
        <v>2050</v>
      </c>
      <c r="L218" s="32" t="n">
        <f aca="false">'Aturan &amp; Tarif'!$B$6</f>
        <v>350</v>
      </c>
      <c r="M218" s="35" t="n">
        <f aca="false">I218+J218+K218+L218</f>
        <v>8460.86</v>
      </c>
      <c r="N218" s="36" t="s">
        <v>931</v>
      </c>
    </row>
    <row r="219" customFormat="false" ht="37.5" hidden="false" customHeight="true" outlineLevel="0" collapsed="false">
      <c r="A219" s="29"/>
      <c r="B219" s="30" t="s">
        <v>932</v>
      </c>
      <c r="C219" s="31" t="s">
        <v>107</v>
      </c>
      <c r="D219" s="31" t="s">
        <v>108</v>
      </c>
      <c r="E219" s="32" t="n">
        <v>1400</v>
      </c>
      <c r="F219" s="32" t="n">
        <v>500</v>
      </c>
      <c r="G219" s="32" t="n">
        <v>260</v>
      </c>
      <c r="H219" s="33" t="n">
        <v>2</v>
      </c>
      <c r="I219" s="34" t="n">
        <f aca="false">E219*H219+N(F219)+N(G219)</f>
        <v>3560</v>
      </c>
      <c r="J219" s="32" t="n">
        <f aca="false">ROUND(IFERROR(ROUND(IF(OR(ISNUMBER(SEARCH("week",C219)),ISNUMBER(SEARCH("minggu",C219))),IFERROR(_xlfn.NUMBERVALUE(SUBSTITUTE(LEFT(TRIM(C219),FIND(" ",TRIM(C219)&amp;" ")-1),",","."),"."),LEFT(SUBSTITUTE(LEFT(TRIM(C219),FIND(" ",TRIM(C219)&amp;" ")-1),",","."),FIND("/",SUBSTITUTE(LEFT(TRIM(C219),FIND(" ",TRIM(C219)&amp;" ")-1),",","."))-1)/MID(SUBSTITUTE(LEFT(TRIM(C219),FIND(" ",TRIM(C219)&amp;" ")-1),",","."),FIND("/",SUBSTITUTE(LEFT(TRIM(C219),FIND(" ",TRIM(C219)&amp;" ")-1),",","."))+1,9))*12/52,IF(ISNUMBER(SEARCH("month",C219)),IFERROR(_xlfn.NUMBERVALUE(SUBSTITUTE(LEFT(TRIM(C219),FIND(" ",TRIM(C219)&amp;" ")-1),",","."),"."),LEFT(SUBSTITUTE(LEFT(TRIM(C219),FIND(" ",TRIM(C219)&amp;" ")-1),",","."),FIND("/",SUBSTITUTE(LEFT(TRIM(C219),FIND(" ",TRIM(C219)&amp;" ")-1),",","."))-1)/MID(SUBSTITUTE(LEFT(TRIM(C219),FIND(" ",TRIM(C219)&amp;" ")-1),",","."),FIND("/",SUBSTITUTE(LEFT(TRIM(C219),FIND(" ",TRIM(C219)&amp;" ")-1),",","."))+1,9)),IF(ISNUMBER(SEARCH("yea",C219)),IFERROR(_xlfn.NUMBERVALUE(SUBSTITUTE(LEFT(TRIM(C219),FIND(" ",TRIM(C219)&amp;" ")-1),",","."),"."),LEFT(SUBSTITUTE(LEFT(TRIM(C219),FIND(" ",TRIM(C219)&amp;" ")-1),",","."),FIND("/",SUBSTITUTE(LEFT(TRIM(C219),FIND(" ",TRIM(C219)&amp;" ")-1),",","."))-1)/MID(SUBSTITUTE(LEFT(TRIM(C219),FIND(" ",TRIM(C219)&amp;" ")-1),",","."),FIND("/",SUBSTITUTE(LEFT(TRIM(C219),FIND(" ",TRIM(C219)&amp;" ")-1),",","."))+1,9))*12,NA()))),0),24)*'Aturan &amp; Tarif'!$B$4,2)</f>
        <v>1362.72</v>
      </c>
      <c r="K219" s="32" t="n">
        <f aca="false">'Aturan &amp; Tarif'!$B$5</f>
        <v>2050</v>
      </c>
      <c r="L219" s="32" t="n">
        <f aca="false">'Aturan &amp; Tarif'!$B$6</f>
        <v>350</v>
      </c>
      <c r="M219" s="35" t="n">
        <f aca="false">I219+J219+K219+L219</f>
        <v>7322.72</v>
      </c>
      <c r="N219" s="36" t="s">
        <v>933</v>
      </c>
    </row>
    <row r="220" customFormat="false" ht="25.5" hidden="false" customHeight="true" outlineLevel="0" collapsed="false">
      <c r="A220" s="29"/>
      <c r="B220" s="30" t="s">
        <v>697</v>
      </c>
      <c r="C220" s="31" t="s">
        <v>107</v>
      </c>
      <c r="D220" s="31" t="s">
        <v>108</v>
      </c>
      <c r="E220" s="32" t="n">
        <v>1250</v>
      </c>
      <c r="F220" s="32" t="n">
        <v>120</v>
      </c>
      <c r="G220" s="32" t="n">
        <v>250</v>
      </c>
      <c r="H220" s="33" t="n">
        <v>2</v>
      </c>
      <c r="I220" s="34" t="n">
        <f aca="false">E220*H220+N(F220)+N(G220)</f>
        <v>2870</v>
      </c>
      <c r="J220" s="32" t="n">
        <f aca="false">ROUND(IFERROR(ROUND(IF(OR(ISNUMBER(SEARCH("week",C220)),ISNUMBER(SEARCH("minggu",C220))),IFERROR(_xlfn.NUMBERVALUE(SUBSTITUTE(LEFT(TRIM(C220),FIND(" ",TRIM(C220)&amp;" ")-1),",","."),"."),LEFT(SUBSTITUTE(LEFT(TRIM(C220),FIND(" ",TRIM(C220)&amp;" ")-1),",","."),FIND("/",SUBSTITUTE(LEFT(TRIM(C220),FIND(" ",TRIM(C220)&amp;" ")-1),",","."))-1)/MID(SUBSTITUTE(LEFT(TRIM(C220),FIND(" ",TRIM(C220)&amp;" ")-1),",","."),FIND("/",SUBSTITUTE(LEFT(TRIM(C220),FIND(" ",TRIM(C220)&amp;" ")-1),",","."))+1,9))*12/52,IF(ISNUMBER(SEARCH("month",C220)),IFERROR(_xlfn.NUMBERVALUE(SUBSTITUTE(LEFT(TRIM(C220),FIND(" ",TRIM(C220)&amp;" ")-1),",","."),"."),LEFT(SUBSTITUTE(LEFT(TRIM(C220),FIND(" ",TRIM(C220)&amp;" ")-1),",","."),FIND("/",SUBSTITUTE(LEFT(TRIM(C220),FIND(" ",TRIM(C220)&amp;" ")-1),",","."))-1)/MID(SUBSTITUTE(LEFT(TRIM(C220),FIND(" ",TRIM(C220)&amp;" ")-1),",","."),FIND("/",SUBSTITUTE(LEFT(TRIM(C220),FIND(" ",TRIM(C220)&amp;" ")-1),",","."))+1,9)),IF(ISNUMBER(SEARCH("yea",C220)),IFERROR(_xlfn.NUMBERVALUE(SUBSTITUTE(LEFT(TRIM(C220),FIND(" ",TRIM(C220)&amp;" ")-1),",","."),"."),LEFT(SUBSTITUTE(LEFT(TRIM(C220),FIND(" ",TRIM(C220)&amp;" ")-1),",","."),FIND("/",SUBSTITUTE(LEFT(TRIM(C220),FIND(" ",TRIM(C220)&amp;" ")-1),",","."))-1)/MID(SUBSTITUTE(LEFT(TRIM(C220),FIND(" ",TRIM(C220)&amp;" ")-1),",","."),FIND("/",SUBSTITUTE(LEFT(TRIM(C220),FIND(" ",TRIM(C220)&amp;" ")-1),",","."))+1,9))*12,NA()))),0),24)*'Aturan &amp; Tarif'!$B$4,2)</f>
        <v>1362.72</v>
      </c>
      <c r="K220" s="32" t="n">
        <f aca="false">'Aturan &amp; Tarif'!$B$5</f>
        <v>2050</v>
      </c>
      <c r="L220" s="32" t="n">
        <f aca="false">'Aturan &amp; Tarif'!$B$6</f>
        <v>350</v>
      </c>
      <c r="M220" s="35" t="n">
        <f aca="false">I220+J220+K220+L220</f>
        <v>6632.72</v>
      </c>
      <c r="N220" s="37" t="s">
        <v>934</v>
      </c>
    </row>
    <row r="221" customFormat="false" ht="48.75" hidden="false" customHeight="true" outlineLevel="0" collapsed="false">
      <c r="A221" s="29"/>
      <c r="B221" s="30" t="s">
        <v>699</v>
      </c>
      <c r="C221" s="31" t="s">
        <v>136</v>
      </c>
      <c r="D221" s="31" t="s">
        <v>108</v>
      </c>
      <c r="E221" s="32" t="n">
        <v>1250</v>
      </c>
      <c r="F221" s="32" t="n">
        <v>120</v>
      </c>
      <c r="G221" s="32" t="n">
        <v>250</v>
      </c>
      <c r="H221" s="33" t="n">
        <v>2</v>
      </c>
      <c r="I221" s="34" t="n">
        <f aca="false">E221*H221+N(F221)+N(G221)</f>
        <v>2870</v>
      </c>
      <c r="J221" s="32" t="n">
        <f aca="false">ROUND(IFERROR(ROUND(IF(OR(ISNUMBER(SEARCH("week",C221)),ISNUMBER(SEARCH("minggu",C221))),IFERROR(_xlfn.NUMBERVALUE(SUBSTITUTE(LEFT(TRIM(C221),FIND(" ",TRIM(C221)&amp;" ")-1),",","."),"."),LEFT(SUBSTITUTE(LEFT(TRIM(C221),FIND(" ",TRIM(C221)&amp;" ")-1),",","."),FIND("/",SUBSTITUTE(LEFT(TRIM(C221),FIND(" ",TRIM(C221)&amp;" ")-1),",","."))-1)/MID(SUBSTITUTE(LEFT(TRIM(C221),FIND(" ",TRIM(C221)&amp;" ")-1),",","."),FIND("/",SUBSTITUTE(LEFT(TRIM(C221),FIND(" ",TRIM(C221)&amp;" ")-1),",","."))+1,9))*12/52,IF(ISNUMBER(SEARCH("month",C221)),IFERROR(_xlfn.NUMBERVALUE(SUBSTITUTE(LEFT(TRIM(C221),FIND(" ",TRIM(C221)&amp;" ")-1),",","."),"."),LEFT(SUBSTITUTE(LEFT(TRIM(C221),FIND(" ",TRIM(C221)&amp;" ")-1),",","."),FIND("/",SUBSTITUTE(LEFT(TRIM(C221),FIND(" ",TRIM(C221)&amp;" ")-1),",","."))-1)/MID(SUBSTITUTE(LEFT(TRIM(C221),FIND(" ",TRIM(C221)&amp;" ")-1),",","."),FIND("/",SUBSTITUTE(LEFT(TRIM(C221),FIND(" ",TRIM(C221)&amp;" ")-1),",","."))+1,9)),IF(ISNUMBER(SEARCH("yea",C221)),IFERROR(_xlfn.NUMBERVALUE(SUBSTITUTE(LEFT(TRIM(C221),FIND(" ",TRIM(C221)&amp;" ")-1),",","."),"."),LEFT(SUBSTITUTE(LEFT(TRIM(C221),FIND(" ",TRIM(C221)&amp;" ")-1),",","."),FIND("/",SUBSTITUTE(LEFT(TRIM(C221),FIND(" ",TRIM(C221)&amp;" ")-1),",","."))-1)/MID(SUBSTITUTE(LEFT(TRIM(C221),FIND(" ",TRIM(C221)&amp;" ")-1),",","."),FIND("/",SUBSTITUTE(LEFT(TRIM(C221),FIND(" ",TRIM(C221)&amp;" ")-1),",","."))+1,9))*12,NA()))),0),42)*'Aturan &amp; Tarif'!$B$4,2)</f>
        <v>2384.76</v>
      </c>
      <c r="K221" s="32" t="n">
        <f aca="false">'Aturan &amp; Tarif'!$B$5</f>
        <v>2050</v>
      </c>
      <c r="L221" s="32" t="n">
        <f aca="false">'Aturan &amp; Tarif'!$B$6</f>
        <v>350</v>
      </c>
      <c r="M221" s="35" t="n">
        <f aca="false">I221+J221+K221+L221</f>
        <v>7654.76</v>
      </c>
      <c r="N221" s="36" t="s">
        <v>935</v>
      </c>
    </row>
    <row r="222" customFormat="false" ht="14.25" hidden="false" customHeight="true" outlineLevel="0" collapsed="false">
      <c r="A222" s="29"/>
      <c r="B222" s="30" t="s">
        <v>701</v>
      </c>
      <c r="C222" s="31" t="s">
        <v>107</v>
      </c>
      <c r="D222" s="31" t="s">
        <v>108</v>
      </c>
      <c r="E222" s="32" t="n">
        <v>1250</v>
      </c>
      <c r="F222" s="32" t="n">
        <v>120</v>
      </c>
      <c r="G222" s="32" t="n">
        <v>250</v>
      </c>
      <c r="H222" s="33" t="n">
        <v>2</v>
      </c>
      <c r="I222" s="34" t="n">
        <f aca="false">E222*H222+N(F222)+N(G222)</f>
        <v>2870</v>
      </c>
      <c r="J222" s="32" t="n">
        <f aca="false">ROUND(IFERROR(ROUND(IF(OR(ISNUMBER(SEARCH("week",C222)),ISNUMBER(SEARCH("minggu",C222))),IFERROR(_xlfn.NUMBERVALUE(SUBSTITUTE(LEFT(TRIM(C222),FIND(" ",TRIM(C222)&amp;" ")-1),",","."),"."),LEFT(SUBSTITUTE(LEFT(TRIM(C222),FIND(" ",TRIM(C222)&amp;" ")-1),",","."),FIND("/",SUBSTITUTE(LEFT(TRIM(C222),FIND(" ",TRIM(C222)&amp;" ")-1),",","."))-1)/MID(SUBSTITUTE(LEFT(TRIM(C222),FIND(" ",TRIM(C222)&amp;" ")-1),",","."),FIND("/",SUBSTITUTE(LEFT(TRIM(C222),FIND(" ",TRIM(C222)&amp;" ")-1),",","."))+1,9))*12/52,IF(ISNUMBER(SEARCH("month",C222)),IFERROR(_xlfn.NUMBERVALUE(SUBSTITUTE(LEFT(TRIM(C222),FIND(" ",TRIM(C222)&amp;" ")-1),",","."),"."),LEFT(SUBSTITUTE(LEFT(TRIM(C222),FIND(" ",TRIM(C222)&amp;" ")-1),",","."),FIND("/",SUBSTITUTE(LEFT(TRIM(C222),FIND(" ",TRIM(C222)&amp;" ")-1),",","."))-1)/MID(SUBSTITUTE(LEFT(TRIM(C222),FIND(" ",TRIM(C222)&amp;" ")-1),",","."),FIND("/",SUBSTITUTE(LEFT(TRIM(C222),FIND(" ",TRIM(C222)&amp;" ")-1),",","."))+1,9)),IF(ISNUMBER(SEARCH("yea",C222)),IFERROR(_xlfn.NUMBERVALUE(SUBSTITUTE(LEFT(TRIM(C222),FIND(" ",TRIM(C222)&amp;" ")-1),",","."),"."),LEFT(SUBSTITUTE(LEFT(TRIM(C222),FIND(" ",TRIM(C222)&amp;" ")-1),",","."),FIND("/",SUBSTITUTE(LEFT(TRIM(C222),FIND(" ",TRIM(C222)&amp;" ")-1),",","."))-1)/MID(SUBSTITUTE(LEFT(TRIM(C222),FIND(" ",TRIM(C222)&amp;" ")-1),",","."),FIND("/",SUBSTITUTE(LEFT(TRIM(C222),FIND(" ",TRIM(C222)&amp;" ")-1),",","."))+1,9))*12,NA()))),0),24)*'Aturan &amp; Tarif'!$B$4,2)</f>
        <v>1362.72</v>
      </c>
      <c r="K222" s="32" t="n">
        <f aca="false">'Aturan &amp; Tarif'!$B$5</f>
        <v>2050</v>
      </c>
      <c r="L222" s="32" t="n">
        <f aca="false">'Aturan &amp; Tarif'!$B$6</f>
        <v>350</v>
      </c>
      <c r="M222" s="35" t="n">
        <f aca="false">I222+J222+K222+L222</f>
        <v>6632.72</v>
      </c>
      <c r="N222" s="37" t="s">
        <v>936</v>
      </c>
    </row>
    <row r="223" customFormat="false" ht="37.5" hidden="false" customHeight="true" outlineLevel="0" collapsed="false">
      <c r="A223" s="29"/>
      <c r="B223" s="30" t="s">
        <v>703</v>
      </c>
      <c r="C223" s="31" t="s">
        <v>136</v>
      </c>
      <c r="D223" s="31" t="s">
        <v>108</v>
      </c>
      <c r="E223" s="32" t="n">
        <v>1250</v>
      </c>
      <c r="F223" s="32" t="n">
        <v>120</v>
      </c>
      <c r="G223" s="32" t="n">
        <v>250</v>
      </c>
      <c r="H223" s="33" t="n">
        <v>2</v>
      </c>
      <c r="I223" s="34" t="n">
        <f aca="false">E223*H223+N(F223)+N(G223)</f>
        <v>2870</v>
      </c>
      <c r="J223" s="32" t="n">
        <f aca="false">ROUND(IFERROR(ROUND(IF(OR(ISNUMBER(SEARCH("week",C223)),ISNUMBER(SEARCH("minggu",C223))),IFERROR(_xlfn.NUMBERVALUE(SUBSTITUTE(LEFT(TRIM(C223),FIND(" ",TRIM(C223)&amp;" ")-1),",","."),"."),LEFT(SUBSTITUTE(LEFT(TRIM(C223),FIND(" ",TRIM(C223)&amp;" ")-1),",","."),FIND("/",SUBSTITUTE(LEFT(TRIM(C223),FIND(" ",TRIM(C223)&amp;" ")-1),",","."))-1)/MID(SUBSTITUTE(LEFT(TRIM(C223),FIND(" ",TRIM(C223)&amp;" ")-1),",","."),FIND("/",SUBSTITUTE(LEFT(TRIM(C223),FIND(" ",TRIM(C223)&amp;" ")-1),",","."))+1,9))*12/52,IF(ISNUMBER(SEARCH("month",C223)),IFERROR(_xlfn.NUMBERVALUE(SUBSTITUTE(LEFT(TRIM(C223),FIND(" ",TRIM(C223)&amp;" ")-1),",","."),"."),LEFT(SUBSTITUTE(LEFT(TRIM(C223),FIND(" ",TRIM(C223)&amp;" ")-1),",","."),FIND("/",SUBSTITUTE(LEFT(TRIM(C223),FIND(" ",TRIM(C223)&amp;" ")-1),",","."))-1)/MID(SUBSTITUTE(LEFT(TRIM(C223),FIND(" ",TRIM(C223)&amp;" ")-1),",","."),FIND("/",SUBSTITUTE(LEFT(TRIM(C223),FIND(" ",TRIM(C223)&amp;" ")-1),",","."))+1,9)),IF(ISNUMBER(SEARCH("yea",C223)),IFERROR(_xlfn.NUMBERVALUE(SUBSTITUTE(LEFT(TRIM(C223),FIND(" ",TRIM(C223)&amp;" ")-1),",","."),"."),LEFT(SUBSTITUTE(LEFT(TRIM(C223),FIND(" ",TRIM(C223)&amp;" ")-1),",","."),FIND("/",SUBSTITUTE(LEFT(TRIM(C223),FIND(" ",TRIM(C223)&amp;" ")-1),",","."))-1)/MID(SUBSTITUTE(LEFT(TRIM(C223),FIND(" ",TRIM(C223)&amp;" ")-1),",","."),FIND("/",SUBSTITUTE(LEFT(TRIM(C223),FIND(" ",TRIM(C223)&amp;" ")-1),",","."))+1,9))*12,NA()))),0),42)*'Aturan &amp; Tarif'!$B$4,2)</f>
        <v>2384.76</v>
      </c>
      <c r="K223" s="32" t="n">
        <f aca="false">'Aturan &amp; Tarif'!$B$5</f>
        <v>2050</v>
      </c>
      <c r="L223" s="32" t="n">
        <f aca="false">'Aturan &amp; Tarif'!$B$6</f>
        <v>350</v>
      </c>
      <c r="M223" s="35" t="n">
        <f aca="false">I223+J223+K223+L223</f>
        <v>7654.76</v>
      </c>
      <c r="N223" s="36" t="s">
        <v>937</v>
      </c>
    </row>
    <row r="224" customFormat="false" ht="14.25" hidden="false" customHeight="true" outlineLevel="0" collapsed="false">
      <c r="A224" s="29"/>
      <c r="B224" s="30" t="s">
        <v>705</v>
      </c>
      <c r="C224" s="31" t="s">
        <v>706</v>
      </c>
      <c r="D224" s="31" t="s">
        <v>108</v>
      </c>
      <c r="E224" s="32" t="n">
        <v>1250</v>
      </c>
      <c r="F224" s="32" t="n">
        <v>120</v>
      </c>
      <c r="G224" s="32" t="n">
        <v>260</v>
      </c>
      <c r="H224" s="33" t="n">
        <v>2</v>
      </c>
      <c r="I224" s="34" t="n">
        <f aca="false">E224*H224+N(F224)+N(G224)</f>
        <v>2880</v>
      </c>
      <c r="J224" s="32" t="n">
        <f aca="false">ROUND(IFERROR(ROUND(IF(OR(ISNUMBER(SEARCH("week",C224)),ISNUMBER(SEARCH("minggu",C224))),IFERROR(_xlfn.NUMBERVALUE(SUBSTITUTE(LEFT(TRIM(C224),FIND(" ",TRIM(C224)&amp;" ")-1),",","."),"."),LEFT(SUBSTITUTE(LEFT(TRIM(C224),FIND(" ",TRIM(C224)&amp;" ")-1),",","."),FIND("/",SUBSTITUTE(LEFT(TRIM(C224),FIND(" ",TRIM(C224)&amp;" ")-1),",","."))-1)/MID(SUBSTITUTE(LEFT(TRIM(C224),FIND(" ",TRIM(C224)&amp;" ")-1),",","."),FIND("/",SUBSTITUTE(LEFT(TRIM(C224),FIND(" ",TRIM(C224)&amp;" ")-1),",","."))+1,9))*12/52,IF(ISNUMBER(SEARCH("month",C224)),IFERROR(_xlfn.NUMBERVALUE(SUBSTITUTE(LEFT(TRIM(C224),FIND(" ",TRIM(C224)&amp;" ")-1),",","."),"."),LEFT(SUBSTITUTE(LEFT(TRIM(C224),FIND(" ",TRIM(C224)&amp;" ")-1),",","."),FIND("/",SUBSTITUTE(LEFT(TRIM(C224),FIND(" ",TRIM(C224)&amp;" ")-1),",","."))-1)/MID(SUBSTITUTE(LEFT(TRIM(C224),FIND(" ",TRIM(C224)&amp;" ")-1),",","."),FIND("/",SUBSTITUTE(LEFT(TRIM(C224),FIND(" ",TRIM(C224)&amp;" ")-1),",","."))+1,9)),IF(ISNUMBER(SEARCH("yea",C224)),IFERROR(_xlfn.NUMBERVALUE(SUBSTITUTE(LEFT(TRIM(C224),FIND(" ",TRIM(C224)&amp;" ")-1),",","."),"."),LEFT(SUBSTITUTE(LEFT(TRIM(C224),FIND(" ",TRIM(C224)&amp;" ")-1),",","."),FIND("/",SUBSTITUTE(LEFT(TRIM(C224),FIND(" ",TRIM(C224)&amp;" ")-1),",","."))-1)/MID(SUBSTITUTE(LEFT(TRIM(C224),FIND(" ",TRIM(C224)&amp;" ")-1),",","."),FIND("/",SUBSTITUTE(LEFT(TRIM(C224),FIND(" ",TRIM(C224)&amp;" ")-1),",","."))+1,9))*12,NA()))),0),22)*'Aturan &amp; Tarif'!$B$4,2)</f>
        <v>1249.16</v>
      </c>
      <c r="K224" s="32" t="n">
        <f aca="false">'Aturan &amp; Tarif'!$B$5</f>
        <v>2050</v>
      </c>
      <c r="L224" s="32" t="n">
        <f aca="false">'Aturan &amp; Tarif'!$B$6</f>
        <v>350</v>
      </c>
      <c r="M224" s="35" t="n">
        <f aca="false">I224+J224+K224+L224</f>
        <v>6529.16</v>
      </c>
      <c r="N224" s="37" t="s">
        <v>938</v>
      </c>
    </row>
    <row r="225" customFormat="false" ht="25.5" hidden="false" customHeight="true" outlineLevel="0" collapsed="false">
      <c r="A225" s="29"/>
      <c r="B225" s="30" t="s">
        <v>496</v>
      </c>
      <c r="C225" s="31" t="s">
        <v>706</v>
      </c>
      <c r="D225" s="31" t="s">
        <v>108</v>
      </c>
      <c r="E225" s="32" t="n">
        <v>1250</v>
      </c>
      <c r="F225" s="32" t="n">
        <v>120</v>
      </c>
      <c r="G225" s="32" t="n">
        <v>260</v>
      </c>
      <c r="H225" s="33" t="n">
        <v>2</v>
      </c>
      <c r="I225" s="34" t="n">
        <f aca="false">E225*H225+N(F225)+N(G225)</f>
        <v>2880</v>
      </c>
      <c r="J225" s="32" t="n">
        <f aca="false">ROUND(IFERROR(ROUND(IF(OR(ISNUMBER(SEARCH("week",C225)),ISNUMBER(SEARCH("minggu",C225))),IFERROR(_xlfn.NUMBERVALUE(SUBSTITUTE(LEFT(TRIM(C225),FIND(" ",TRIM(C225)&amp;" ")-1),",","."),"."),LEFT(SUBSTITUTE(LEFT(TRIM(C225),FIND(" ",TRIM(C225)&amp;" ")-1),",","."),FIND("/",SUBSTITUTE(LEFT(TRIM(C225),FIND(" ",TRIM(C225)&amp;" ")-1),",","."))-1)/MID(SUBSTITUTE(LEFT(TRIM(C225),FIND(" ",TRIM(C225)&amp;" ")-1),",","."),FIND("/",SUBSTITUTE(LEFT(TRIM(C225),FIND(" ",TRIM(C225)&amp;" ")-1),",","."))+1,9))*12/52,IF(ISNUMBER(SEARCH("month",C225)),IFERROR(_xlfn.NUMBERVALUE(SUBSTITUTE(LEFT(TRIM(C225),FIND(" ",TRIM(C225)&amp;" ")-1),",","."),"."),LEFT(SUBSTITUTE(LEFT(TRIM(C225),FIND(" ",TRIM(C225)&amp;" ")-1),",","."),FIND("/",SUBSTITUTE(LEFT(TRIM(C225),FIND(" ",TRIM(C225)&amp;" ")-1),",","."))-1)/MID(SUBSTITUTE(LEFT(TRIM(C225),FIND(" ",TRIM(C225)&amp;" ")-1),",","."),FIND("/",SUBSTITUTE(LEFT(TRIM(C225),FIND(" ",TRIM(C225)&amp;" ")-1),",","."))+1,9)),IF(ISNUMBER(SEARCH("yea",C225)),IFERROR(_xlfn.NUMBERVALUE(SUBSTITUTE(LEFT(TRIM(C225),FIND(" ",TRIM(C225)&amp;" ")-1),",","."),"."),LEFT(SUBSTITUTE(LEFT(TRIM(C225),FIND(" ",TRIM(C225)&amp;" ")-1),",","."),FIND("/",SUBSTITUTE(LEFT(TRIM(C225),FIND(" ",TRIM(C225)&amp;" ")-1),",","."))-1)/MID(SUBSTITUTE(LEFT(TRIM(C225),FIND(" ",TRIM(C225)&amp;" ")-1),",","."),FIND("/",SUBSTITUTE(LEFT(TRIM(C225),FIND(" ",TRIM(C225)&amp;" ")-1),",","."))+1,9))*12,NA()))),0),22)*'Aturan &amp; Tarif'!$B$4,2)</f>
        <v>1249.16</v>
      </c>
      <c r="K225" s="32" t="n">
        <f aca="false">'Aturan &amp; Tarif'!$B$5</f>
        <v>2050</v>
      </c>
      <c r="L225" s="32" t="n">
        <f aca="false">'Aturan &amp; Tarif'!$B$6</f>
        <v>350</v>
      </c>
      <c r="M225" s="35" t="n">
        <f aca="false">I225+J225+K225+L225</f>
        <v>6529.16</v>
      </c>
      <c r="N225" s="37" t="s">
        <v>939</v>
      </c>
    </row>
    <row r="226" customFormat="false" ht="37.5" hidden="false" customHeight="true" outlineLevel="0" collapsed="false">
      <c r="A226" s="29"/>
      <c r="B226" s="30" t="s">
        <v>920</v>
      </c>
      <c r="C226" s="31" t="s">
        <v>709</v>
      </c>
      <c r="D226" s="31" t="s">
        <v>108</v>
      </c>
      <c r="E226" s="32" t="n">
        <v>1250</v>
      </c>
      <c r="F226" s="32" t="n">
        <v>120</v>
      </c>
      <c r="G226" s="32" t="n">
        <v>260</v>
      </c>
      <c r="H226" s="33" t="n">
        <v>2</v>
      </c>
      <c r="I226" s="34" t="n">
        <f aca="false">E226*H226+N(F226)+N(G226)</f>
        <v>2880</v>
      </c>
      <c r="J226" s="32" t="n">
        <f aca="false">ROUND(IFERROR(ROUND(IF(OR(ISNUMBER(SEARCH("week",C226)),ISNUMBER(SEARCH("minggu",C226))),IFERROR(_xlfn.NUMBERVALUE(SUBSTITUTE(LEFT(TRIM(C226),FIND(" ",TRIM(C226)&amp;" ")-1),",","."),"."),LEFT(SUBSTITUTE(LEFT(TRIM(C226),FIND(" ",TRIM(C226)&amp;" ")-1),",","."),FIND("/",SUBSTITUTE(LEFT(TRIM(C226),FIND(" ",TRIM(C226)&amp;" ")-1),",","."))-1)/MID(SUBSTITUTE(LEFT(TRIM(C226),FIND(" ",TRIM(C226)&amp;" ")-1),",","."),FIND("/",SUBSTITUTE(LEFT(TRIM(C226),FIND(" ",TRIM(C226)&amp;" ")-1),",","."))+1,9))*12/52,IF(ISNUMBER(SEARCH("month",C226)),IFERROR(_xlfn.NUMBERVALUE(SUBSTITUTE(LEFT(TRIM(C226),FIND(" ",TRIM(C226)&amp;" ")-1),",","."),"."),LEFT(SUBSTITUTE(LEFT(TRIM(C226),FIND(" ",TRIM(C226)&amp;" ")-1),",","."),FIND("/",SUBSTITUTE(LEFT(TRIM(C226),FIND(" ",TRIM(C226)&amp;" ")-1),",","."))-1)/MID(SUBSTITUTE(LEFT(TRIM(C226),FIND(" ",TRIM(C226)&amp;" ")-1),",","."),FIND("/",SUBSTITUTE(LEFT(TRIM(C226),FIND(" ",TRIM(C226)&amp;" ")-1),",","."))+1,9)),IF(ISNUMBER(SEARCH("yea",C226)),IFERROR(_xlfn.NUMBERVALUE(SUBSTITUTE(LEFT(TRIM(C226),FIND(" ",TRIM(C226)&amp;" ")-1),",","."),"."),LEFT(SUBSTITUTE(LEFT(TRIM(C226),FIND(" ",TRIM(C226)&amp;" ")-1),",","."),FIND("/",SUBSTITUTE(LEFT(TRIM(C226),FIND(" ",TRIM(C226)&amp;" ")-1),",","."))-1)/MID(SUBSTITUTE(LEFT(TRIM(C226),FIND(" ",TRIM(C226)&amp;" ")-1),",","."),FIND("/",SUBSTITUTE(LEFT(TRIM(C226),FIND(" ",TRIM(C226)&amp;" ")-1),",","."))+1,9))*12,NA()))),0),40)*'Aturan &amp; Tarif'!$B$4,2)</f>
        <v>2271.2</v>
      </c>
      <c r="K226" s="32" t="n">
        <f aca="false">'Aturan &amp; Tarif'!$B$5</f>
        <v>2050</v>
      </c>
      <c r="L226" s="32" t="n">
        <f aca="false">'Aturan &amp; Tarif'!$B$6</f>
        <v>350</v>
      </c>
      <c r="M226" s="35" t="n">
        <f aca="false">I226+J226+K226+L226</f>
        <v>7551.2</v>
      </c>
      <c r="N226" s="36" t="s">
        <v>940</v>
      </c>
    </row>
    <row r="227" customFormat="false" ht="25.5" hidden="false" customHeight="true" outlineLevel="0" collapsed="false">
      <c r="A227" s="29"/>
      <c r="B227" s="30" t="s">
        <v>941</v>
      </c>
      <c r="C227" s="31" t="s">
        <v>107</v>
      </c>
      <c r="D227" s="31" t="s">
        <v>108</v>
      </c>
      <c r="E227" s="32" t="n">
        <v>1250</v>
      </c>
      <c r="F227" s="32" t="n">
        <v>200</v>
      </c>
      <c r="G227" s="32" t="n">
        <v>250</v>
      </c>
      <c r="H227" s="33" t="n">
        <v>2</v>
      </c>
      <c r="I227" s="34" t="n">
        <f aca="false">E227*H227+N(F227)+N(G227)</f>
        <v>2950</v>
      </c>
      <c r="J227" s="32" t="n">
        <f aca="false">ROUND(IFERROR(ROUND(IF(OR(ISNUMBER(SEARCH("week",C227)),ISNUMBER(SEARCH("minggu",C227))),IFERROR(_xlfn.NUMBERVALUE(SUBSTITUTE(LEFT(TRIM(C227),FIND(" ",TRIM(C227)&amp;" ")-1),",","."),"."),LEFT(SUBSTITUTE(LEFT(TRIM(C227),FIND(" ",TRIM(C227)&amp;" ")-1),",","."),FIND("/",SUBSTITUTE(LEFT(TRIM(C227),FIND(" ",TRIM(C227)&amp;" ")-1),",","."))-1)/MID(SUBSTITUTE(LEFT(TRIM(C227),FIND(" ",TRIM(C227)&amp;" ")-1),",","."),FIND("/",SUBSTITUTE(LEFT(TRIM(C227),FIND(" ",TRIM(C227)&amp;" ")-1),",","."))+1,9))*12/52,IF(ISNUMBER(SEARCH("month",C227)),IFERROR(_xlfn.NUMBERVALUE(SUBSTITUTE(LEFT(TRIM(C227),FIND(" ",TRIM(C227)&amp;" ")-1),",","."),"."),LEFT(SUBSTITUTE(LEFT(TRIM(C227),FIND(" ",TRIM(C227)&amp;" ")-1),",","."),FIND("/",SUBSTITUTE(LEFT(TRIM(C227),FIND(" ",TRIM(C227)&amp;" ")-1),",","."))-1)/MID(SUBSTITUTE(LEFT(TRIM(C227),FIND(" ",TRIM(C227)&amp;" ")-1),",","."),FIND("/",SUBSTITUTE(LEFT(TRIM(C227),FIND(" ",TRIM(C227)&amp;" ")-1),",","."))+1,9)),IF(ISNUMBER(SEARCH("yea",C227)),IFERROR(_xlfn.NUMBERVALUE(SUBSTITUTE(LEFT(TRIM(C227),FIND(" ",TRIM(C227)&amp;" ")-1),",","."),"."),LEFT(SUBSTITUTE(LEFT(TRIM(C227),FIND(" ",TRIM(C227)&amp;" ")-1),",","."),FIND("/",SUBSTITUTE(LEFT(TRIM(C227),FIND(" ",TRIM(C227)&amp;" ")-1),",","."))-1)/MID(SUBSTITUTE(LEFT(TRIM(C227),FIND(" ",TRIM(C227)&amp;" ")-1),",","."),FIND("/",SUBSTITUTE(LEFT(TRIM(C227),FIND(" ",TRIM(C227)&amp;" ")-1),",","."))+1,9))*12,NA()))),0),24)*'Aturan &amp; Tarif'!$B$4,2)</f>
        <v>1362.72</v>
      </c>
      <c r="K227" s="32" t="n">
        <f aca="false">'Aturan &amp; Tarif'!$B$5</f>
        <v>2050</v>
      </c>
      <c r="L227" s="32" t="n">
        <f aca="false">'Aturan &amp; Tarif'!$B$6</f>
        <v>350</v>
      </c>
      <c r="M227" s="35" t="n">
        <f aca="false">I227+J227+K227+L227</f>
        <v>6712.72</v>
      </c>
      <c r="N227" s="36" t="s">
        <v>942</v>
      </c>
    </row>
    <row r="228" customFormat="false" ht="25.5" hidden="false" customHeight="true" outlineLevel="0" collapsed="false">
      <c r="A228" s="29"/>
      <c r="B228" s="30" t="s">
        <v>711</v>
      </c>
      <c r="C228" s="31" t="s">
        <v>712</v>
      </c>
      <c r="D228" s="31" t="s">
        <v>108</v>
      </c>
      <c r="E228" s="32" t="n">
        <v>1600</v>
      </c>
      <c r="F228" s="32" t="n">
        <v>500</v>
      </c>
      <c r="G228" s="32" t="n">
        <v>260</v>
      </c>
      <c r="H228" s="33" t="n">
        <v>2</v>
      </c>
      <c r="I228" s="34" t="n">
        <f aca="false">E228*H228+N(F228)+N(G228)</f>
        <v>3960</v>
      </c>
      <c r="J228" s="32" t="n">
        <f aca="false">ROUND(IFERROR(ROUND(IF(OR(ISNUMBER(SEARCH("week",C228)),ISNUMBER(SEARCH("minggu",C228))),IFERROR(_xlfn.NUMBERVALUE(SUBSTITUTE(LEFT(TRIM(C228),FIND(" ",TRIM(C228)&amp;" ")-1),",","."),"."),LEFT(SUBSTITUTE(LEFT(TRIM(C228),FIND(" ",TRIM(C228)&amp;" ")-1),",","."),FIND("/",SUBSTITUTE(LEFT(TRIM(C228),FIND(" ",TRIM(C228)&amp;" ")-1),",","."))-1)/MID(SUBSTITUTE(LEFT(TRIM(C228),FIND(" ",TRIM(C228)&amp;" ")-1),",","."),FIND("/",SUBSTITUTE(LEFT(TRIM(C228),FIND(" ",TRIM(C228)&amp;" ")-1),",","."))+1,9))*12/52,IF(ISNUMBER(SEARCH("month",C228)),IFERROR(_xlfn.NUMBERVALUE(SUBSTITUTE(LEFT(TRIM(C228),FIND(" ",TRIM(C228)&amp;" ")-1),",","."),"."),LEFT(SUBSTITUTE(LEFT(TRIM(C228),FIND(" ",TRIM(C228)&amp;" ")-1),",","."),FIND("/",SUBSTITUTE(LEFT(TRIM(C228),FIND(" ",TRIM(C228)&amp;" ")-1),",","."))-1)/MID(SUBSTITUTE(LEFT(TRIM(C228),FIND(" ",TRIM(C228)&amp;" ")-1),",","."),FIND("/",SUBSTITUTE(LEFT(TRIM(C228),FIND(" ",TRIM(C228)&amp;" ")-1),",","."))+1,9)),IF(ISNUMBER(SEARCH("yea",C228)),IFERROR(_xlfn.NUMBERVALUE(SUBSTITUTE(LEFT(TRIM(C228),FIND(" ",TRIM(C228)&amp;" ")-1),",","."),"."),LEFT(SUBSTITUTE(LEFT(TRIM(C228),FIND(" ",TRIM(C228)&amp;" ")-1),",","."),FIND("/",SUBSTITUTE(LEFT(TRIM(C228),FIND(" ",TRIM(C228)&amp;" ")-1),",","."))-1)/MID(SUBSTITUTE(LEFT(TRIM(C228),FIND(" ",TRIM(C228)&amp;" ")-1),",","."),FIND("/",SUBSTITUTE(LEFT(TRIM(C228),FIND(" ",TRIM(C228)&amp;" ")-1),",","."))+1,9))*12,NA()))),0),30)*'Aturan &amp; Tarif'!$B$4,2)</f>
        <v>1703.4</v>
      </c>
      <c r="K228" s="32" t="n">
        <f aca="false">'Aturan &amp; Tarif'!$B$5</f>
        <v>2050</v>
      </c>
      <c r="L228" s="32" t="n">
        <f aca="false">'Aturan &amp; Tarif'!$B$6</f>
        <v>350</v>
      </c>
      <c r="M228" s="35" t="n">
        <f aca="false">I228+J228+K228+L228</f>
        <v>8063.4</v>
      </c>
      <c r="N228" s="37" t="s">
        <v>943</v>
      </c>
    </row>
    <row r="229" customFormat="false" ht="37.5" hidden="false" customHeight="true" outlineLevel="0" collapsed="false">
      <c r="A229" s="29"/>
      <c r="B229" s="30" t="s">
        <v>925</v>
      </c>
      <c r="C229" s="31" t="s">
        <v>715</v>
      </c>
      <c r="D229" s="31" t="s">
        <v>108</v>
      </c>
      <c r="E229" s="32" t="n">
        <v>1650</v>
      </c>
      <c r="F229" s="32" t="n">
        <v>1700</v>
      </c>
      <c r="G229" s="32" t="n">
        <v>260</v>
      </c>
      <c r="H229" s="33" t="n">
        <v>2</v>
      </c>
      <c r="I229" s="34" t="n">
        <f aca="false">E229*H229+N(F229)+N(G229)</f>
        <v>5260</v>
      </c>
      <c r="J229" s="32" t="n">
        <f aca="false">ROUND(IFERROR(ROUND(IF(OR(ISNUMBER(SEARCH("week",C229)),ISNUMBER(SEARCH("minggu",C229))),IFERROR(_xlfn.NUMBERVALUE(SUBSTITUTE(LEFT(TRIM(C229),FIND(" ",TRIM(C229)&amp;" ")-1),",","."),"."),LEFT(SUBSTITUTE(LEFT(TRIM(C229),FIND(" ",TRIM(C229)&amp;" ")-1),",","."),FIND("/",SUBSTITUTE(LEFT(TRIM(C229),FIND(" ",TRIM(C229)&amp;" ")-1),",","."))-1)/MID(SUBSTITUTE(LEFT(TRIM(C229),FIND(" ",TRIM(C229)&amp;" ")-1),",","."),FIND("/",SUBSTITUTE(LEFT(TRIM(C229),FIND(" ",TRIM(C229)&amp;" ")-1),",","."))+1,9))*12/52,IF(ISNUMBER(SEARCH("month",C229)),IFERROR(_xlfn.NUMBERVALUE(SUBSTITUTE(LEFT(TRIM(C229),FIND(" ",TRIM(C229)&amp;" ")-1),",","."),"."),LEFT(SUBSTITUTE(LEFT(TRIM(C229),FIND(" ",TRIM(C229)&amp;" ")-1),",","."),FIND("/",SUBSTITUTE(LEFT(TRIM(C229),FIND(" ",TRIM(C229)&amp;" ")-1),",","."))-1)/MID(SUBSTITUTE(LEFT(TRIM(C229),FIND(" ",TRIM(C229)&amp;" ")-1),",","."),FIND("/",SUBSTITUTE(LEFT(TRIM(C229),FIND(" ",TRIM(C229)&amp;" ")-1),",","."))+1,9)),IF(ISNUMBER(SEARCH("yea",C229)),IFERROR(_xlfn.NUMBERVALUE(SUBSTITUTE(LEFT(TRIM(C229),FIND(" ",TRIM(C229)&amp;" ")-1),",","."),"."),LEFT(SUBSTITUTE(LEFT(TRIM(C229),FIND(" ",TRIM(C229)&amp;" ")-1),",","."),FIND("/",SUBSTITUTE(LEFT(TRIM(C229),FIND(" ",TRIM(C229)&amp;" ")-1),",","."))-1)/MID(SUBSTITUTE(LEFT(TRIM(C229),FIND(" ",TRIM(C229)&amp;" ")-1),",","."),FIND("/",SUBSTITUTE(LEFT(TRIM(C229),FIND(" ",TRIM(C229)&amp;" ")-1),",","."))+1,9))*12,NA()))),0),25)*'Aturan &amp; Tarif'!$B$4,2)</f>
        <v>1419.5</v>
      </c>
      <c r="K229" s="32" t="n">
        <f aca="false">'Aturan &amp; Tarif'!$B$5</f>
        <v>2050</v>
      </c>
      <c r="L229" s="32" t="n">
        <f aca="false">'Aturan &amp; Tarif'!$B$6</f>
        <v>350</v>
      </c>
      <c r="M229" s="35" t="n">
        <f aca="false">I229+J229+K229+L229</f>
        <v>9079.5</v>
      </c>
      <c r="N229" s="37" t="s">
        <v>944</v>
      </c>
    </row>
    <row r="230" customFormat="false" ht="37.5" hidden="false" customHeight="true" outlineLevel="0" collapsed="false">
      <c r="A230" s="29"/>
      <c r="B230" s="30" t="s">
        <v>927</v>
      </c>
      <c r="C230" s="31" t="s">
        <v>718</v>
      </c>
      <c r="D230" s="31" t="s">
        <v>108</v>
      </c>
      <c r="E230" s="32" t="n">
        <v>1650</v>
      </c>
      <c r="F230" s="32" t="n">
        <v>1700</v>
      </c>
      <c r="G230" s="32" t="n">
        <v>260</v>
      </c>
      <c r="H230" s="33" t="n">
        <v>2</v>
      </c>
      <c r="I230" s="34" t="n">
        <f aca="false">E230*H230+N(F230)+N(G230)</f>
        <v>5260</v>
      </c>
      <c r="J230" s="32" t="n">
        <f aca="false">ROUND(IFERROR(ROUND(IF(OR(ISNUMBER(SEARCH("week",C230)),ISNUMBER(SEARCH("minggu",C230))),IFERROR(_xlfn.NUMBERVALUE(SUBSTITUTE(LEFT(TRIM(C230),FIND(" ",TRIM(C230)&amp;" ")-1),",","."),"."),LEFT(SUBSTITUTE(LEFT(TRIM(C230),FIND(" ",TRIM(C230)&amp;" ")-1),",","."),FIND("/",SUBSTITUTE(LEFT(TRIM(C230),FIND(" ",TRIM(C230)&amp;" ")-1),",","."))-1)/MID(SUBSTITUTE(LEFT(TRIM(C230),FIND(" ",TRIM(C230)&amp;" ")-1),",","."),FIND("/",SUBSTITUTE(LEFT(TRIM(C230),FIND(" ",TRIM(C230)&amp;" ")-1),",","."))+1,9))*12/52,IF(ISNUMBER(SEARCH("month",C230)),IFERROR(_xlfn.NUMBERVALUE(SUBSTITUTE(LEFT(TRIM(C230),FIND(" ",TRIM(C230)&amp;" ")-1),",","."),"."),LEFT(SUBSTITUTE(LEFT(TRIM(C230),FIND(" ",TRIM(C230)&amp;" ")-1),",","."),FIND("/",SUBSTITUTE(LEFT(TRIM(C230),FIND(" ",TRIM(C230)&amp;" ")-1),",","."))-1)/MID(SUBSTITUTE(LEFT(TRIM(C230),FIND(" ",TRIM(C230)&amp;" ")-1),",","."),FIND("/",SUBSTITUTE(LEFT(TRIM(C230),FIND(" ",TRIM(C230)&amp;" ")-1),",","."))+1,9)),IF(ISNUMBER(SEARCH("yea",C230)),IFERROR(_xlfn.NUMBERVALUE(SUBSTITUTE(LEFT(TRIM(C230),FIND(" ",TRIM(C230)&amp;" ")-1),",","."),"."),LEFT(SUBSTITUTE(LEFT(TRIM(C230),FIND(" ",TRIM(C230)&amp;" ")-1),",","."),FIND("/",SUBSTITUTE(LEFT(TRIM(C230),FIND(" ",TRIM(C230)&amp;" ")-1),",","."))-1)/MID(SUBSTITUTE(LEFT(TRIM(C230),FIND(" ",TRIM(C230)&amp;" ")-1),",","."),FIND("/",SUBSTITUTE(LEFT(TRIM(C230),FIND(" ",TRIM(C230)&amp;" ")-1),",","."))+1,9))*12,NA()))),0),33)*'Aturan &amp; Tarif'!$B$4,2)</f>
        <v>1873.74</v>
      </c>
      <c r="K230" s="32" t="n">
        <f aca="false">'Aturan &amp; Tarif'!$B$5</f>
        <v>2050</v>
      </c>
      <c r="L230" s="32" t="n">
        <f aca="false">'Aturan &amp; Tarif'!$B$6</f>
        <v>350</v>
      </c>
      <c r="M230" s="35" t="n">
        <f aca="false">I230+J230+K230+L230</f>
        <v>9533.74</v>
      </c>
      <c r="N230" s="37" t="s">
        <v>945</v>
      </c>
    </row>
    <row r="231" customFormat="false" ht="25.5" hidden="false" customHeight="true" outlineLevel="0" collapsed="false">
      <c r="A231" s="29"/>
      <c r="B231" s="30" t="s">
        <v>720</v>
      </c>
      <c r="C231" s="31" t="s">
        <v>721</v>
      </c>
      <c r="D231" s="31" t="s">
        <v>108</v>
      </c>
      <c r="E231" s="32" t="n">
        <v>1600</v>
      </c>
      <c r="F231" s="32" t="n">
        <v>500</v>
      </c>
      <c r="G231" s="32" t="n">
        <v>260</v>
      </c>
      <c r="H231" s="33" t="n">
        <v>2</v>
      </c>
      <c r="I231" s="34" t="n">
        <f aca="false">E231*H231+N(F231)+N(G231)</f>
        <v>3960</v>
      </c>
      <c r="J231" s="32" t="n">
        <f aca="false">ROUND(IFERROR(ROUND(IF(OR(ISNUMBER(SEARCH("week",C231)),ISNUMBER(SEARCH("minggu",C231))),IFERROR(_xlfn.NUMBERVALUE(SUBSTITUTE(LEFT(TRIM(C231),FIND(" ",TRIM(C231)&amp;" ")-1),",","."),"."),LEFT(SUBSTITUTE(LEFT(TRIM(C231),FIND(" ",TRIM(C231)&amp;" ")-1),",","."),FIND("/",SUBSTITUTE(LEFT(TRIM(C231),FIND(" ",TRIM(C231)&amp;" ")-1),",","."))-1)/MID(SUBSTITUTE(LEFT(TRIM(C231),FIND(" ",TRIM(C231)&amp;" ")-1),",","."),FIND("/",SUBSTITUTE(LEFT(TRIM(C231),FIND(" ",TRIM(C231)&amp;" ")-1),",","."))+1,9))*12/52,IF(ISNUMBER(SEARCH("month",C231)),IFERROR(_xlfn.NUMBERVALUE(SUBSTITUTE(LEFT(TRIM(C231),FIND(" ",TRIM(C231)&amp;" ")-1),",","."),"."),LEFT(SUBSTITUTE(LEFT(TRIM(C231),FIND(" ",TRIM(C231)&amp;" ")-1),",","."),FIND("/",SUBSTITUTE(LEFT(TRIM(C231),FIND(" ",TRIM(C231)&amp;" ")-1),",","."))-1)/MID(SUBSTITUTE(LEFT(TRIM(C231),FIND(" ",TRIM(C231)&amp;" ")-1),",","."),FIND("/",SUBSTITUTE(LEFT(TRIM(C231),FIND(" ",TRIM(C231)&amp;" ")-1),",","."))+1,9)),IF(ISNUMBER(SEARCH("yea",C231)),IFERROR(_xlfn.NUMBERVALUE(SUBSTITUTE(LEFT(TRIM(C231),FIND(" ",TRIM(C231)&amp;" ")-1),",","."),"."),LEFT(SUBSTITUTE(LEFT(TRIM(C231),FIND(" ",TRIM(C231)&amp;" ")-1),",","."),FIND("/",SUBSTITUTE(LEFT(TRIM(C231),FIND(" ",TRIM(C231)&amp;" ")-1),",","."))-1)/MID(SUBSTITUTE(LEFT(TRIM(C231),FIND(" ",TRIM(C231)&amp;" ")-1),",","."),FIND("/",SUBSTITUTE(LEFT(TRIM(C231),FIND(" ",TRIM(C231)&amp;" ")-1),",","."))+1,9))*12,NA()))),0),19)*'Aturan &amp; Tarif'!$B$4,2)</f>
        <v>1078.82</v>
      </c>
      <c r="K231" s="32" t="n">
        <f aca="false">'Aturan &amp; Tarif'!$B$5</f>
        <v>2050</v>
      </c>
      <c r="L231" s="32" t="n">
        <f aca="false">'Aturan &amp; Tarif'!$B$6</f>
        <v>350</v>
      </c>
      <c r="M231" s="35" t="n">
        <f aca="false">I231+J231+K231+L231</f>
        <v>7438.82</v>
      </c>
      <c r="N231" s="37" t="s">
        <v>946</v>
      </c>
    </row>
    <row r="232" customFormat="false" ht="48.75" hidden="false" customHeight="true" outlineLevel="0" collapsed="false">
      <c r="A232" s="29"/>
      <c r="B232" s="30" t="s">
        <v>930</v>
      </c>
      <c r="C232" s="31" t="s">
        <v>724</v>
      </c>
      <c r="D232" s="31" t="s">
        <v>108</v>
      </c>
      <c r="E232" s="32" t="n">
        <v>1600</v>
      </c>
      <c r="F232" s="32" t="n">
        <v>500</v>
      </c>
      <c r="G232" s="32" t="n">
        <v>260</v>
      </c>
      <c r="H232" s="33" t="n">
        <v>2</v>
      </c>
      <c r="I232" s="34" t="n">
        <f aca="false">E232*H232+N(F232)+N(G232)</f>
        <v>3960</v>
      </c>
      <c r="J232" s="32" t="n">
        <f aca="false">ROUND(IFERROR(ROUND(IF(OR(ISNUMBER(SEARCH("week",C232)),ISNUMBER(SEARCH("minggu",C232))),IFERROR(_xlfn.NUMBERVALUE(SUBSTITUTE(LEFT(TRIM(C232),FIND(" ",TRIM(C232)&amp;" ")-1),",","."),"."),LEFT(SUBSTITUTE(LEFT(TRIM(C232),FIND(" ",TRIM(C232)&amp;" ")-1),",","."),FIND("/",SUBSTITUTE(LEFT(TRIM(C232),FIND(" ",TRIM(C232)&amp;" ")-1),",","."))-1)/MID(SUBSTITUTE(LEFT(TRIM(C232),FIND(" ",TRIM(C232)&amp;" ")-1),",","."),FIND("/",SUBSTITUTE(LEFT(TRIM(C232),FIND(" ",TRIM(C232)&amp;" ")-1),",","."))+1,9))*12/52,IF(ISNUMBER(SEARCH("month",C232)),IFERROR(_xlfn.NUMBERVALUE(SUBSTITUTE(LEFT(TRIM(C232),FIND(" ",TRIM(C232)&amp;" ")-1),",","."),"."),LEFT(SUBSTITUTE(LEFT(TRIM(C232),FIND(" ",TRIM(C232)&amp;" ")-1),",","."),FIND("/",SUBSTITUTE(LEFT(TRIM(C232),FIND(" ",TRIM(C232)&amp;" ")-1),",","."))-1)/MID(SUBSTITUTE(LEFT(TRIM(C232),FIND(" ",TRIM(C232)&amp;" ")-1),",","."),FIND("/",SUBSTITUTE(LEFT(TRIM(C232),FIND(" ",TRIM(C232)&amp;" ")-1),",","."))+1,9)),IF(ISNUMBER(SEARCH("yea",C232)),IFERROR(_xlfn.NUMBERVALUE(SUBSTITUTE(LEFT(TRIM(C232),FIND(" ",TRIM(C232)&amp;" ")-1),",","."),"."),LEFT(SUBSTITUTE(LEFT(TRIM(C232),FIND(" ",TRIM(C232)&amp;" ")-1),",","."),FIND("/",SUBSTITUTE(LEFT(TRIM(C232),FIND(" ",TRIM(C232)&amp;" ")-1),",","."))-1)/MID(SUBSTITUTE(LEFT(TRIM(C232),FIND(" ",TRIM(C232)&amp;" ")-1),",","."),FIND("/",SUBSTITUTE(LEFT(TRIM(C232),FIND(" ",TRIM(C232)&amp;" ")-1),",","."))+1,9))*12,NA()))),0),37)*'Aturan &amp; Tarif'!$B$4,2)</f>
        <v>2100.86</v>
      </c>
      <c r="K232" s="32" t="n">
        <f aca="false">'Aturan &amp; Tarif'!$B$5</f>
        <v>2050</v>
      </c>
      <c r="L232" s="32" t="n">
        <f aca="false">'Aturan &amp; Tarif'!$B$6</f>
        <v>350</v>
      </c>
      <c r="M232" s="35" t="n">
        <f aca="false">I232+J232+K232+L232</f>
        <v>8460.86</v>
      </c>
      <c r="N232" s="36" t="s">
        <v>947</v>
      </c>
    </row>
    <row r="233" customFormat="false" ht="25.5" hidden="false" customHeight="true" outlineLevel="0" collapsed="false">
      <c r="A233" s="29"/>
      <c r="B233" s="30" t="s">
        <v>948</v>
      </c>
      <c r="C233" s="31" t="s">
        <v>107</v>
      </c>
      <c r="D233" s="31" t="s">
        <v>108</v>
      </c>
      <c r="E233" s="32" t="n">
        <v>1250</v>
      </c>
      <c r="F233" s="32" t="n">
        <v>200</v>
      </c>
      <c r="G233" s="32" t="n">
        <v>250</v>
      </c>
      <c r="H233" s="33" t="n">
        <v>2</v>
      </c>
      <c r="I233" s="34" t="n">
        <f aca="false">E233*H233+N(F233)+N(G233)</f>
        <v>2950</v>
      </c>
      <c r="J233" s="32" t="n">
        <f aca="false">ROUND(IFERROR(ROUND(IF(OR(ISNUMBER(SEARCH("week",C233)),ISNUMBER(SEARCH("minggu",C233))),IFERROR(_xlfn.NUMBERVALUE(SUBSTITUTE(LEFT(TRIM(C233),FIND(" ",TRIM(C233)&amp;" ")-1),",","."),"."),LEFT(SUBSTITUTE(LEFT(TRIM(C233),FIND(" ",TRIM(C233)&amp;" ")-1),",","."),FIND("/",SUBSTITUTE(LEFT(TRIM(C233),FIND(" ",TRIM(C233)&amp;" ")-1),",","."))-1)/MID(SUBSTITUTE(LEFT(TRIM(C233),FIND(" ",TRIM(C233)&amp;" ")-1),",","."),FIND("/",SUBSTITUTE(LEFT(TRIM(C233),FIND(" ",TRIM(C233)&amp;" ")-1),",","."))+1,9))*12/52,IF(ISNUMBER(SEARCH("month",C233)),IFERROR(_xlfn.NUMBERVALUE(SUBSTITUTE(LEFT(TRIM(C233),FIND(" ",TRIM(C233)&amp;" ")-1),",","."),"."),LEFT(SUBSTITUTE(LEFT(TRIM(C233),FIND(" ",TRIM(C233)&amp;" ")-1),",","."),FIND("/",SUBSTITUTE(LEFT(TRIM(C233),FIND(" ",TRIM(C233)&amp;" ")-1),",","."))-1)/MID(SUBSTITUTE(LEFT(TRIM(C233),FIND(" ",TRIM(C233)&amp;" ")-1),",","."),FIND("/",SUBSTITUTE(LEFT(TRIM(C233),FIND(" ",TRIM(C233)&amp;" ")-1),",","."))+1,9)),IF(ISNUMBER(SEARCH("yea",C233)),IFERROR(_xlfn.NUMBERVALUE(SUBSTITUTE(LEFT(TRIM(C233),FIND(" ",TRIM(C233)&amp;" ")-1),",","."),"."),LEFT(SUBSTITUTE(LEFT(TRIM(C233),FIND(" ",TRIM(C233)&amp;" ")-1),",","."),FIND("/",SUBSTITUTE(LEFT(TRIM(C233),FIND(" ",TRIM(C233)&amp;" ")-1),",","."))-1)/MID(SUBSTITUTE(LEFT(TRIM(C233),FIND(" ",TRIM(C233)&amp;" ")-1),",","."),FIND("/",SUBSTITUTE(LEFT(TRIM(C233),FIND(" ",TRIM(C233)&amp;" ")-1),",","."))+1,9))*12,NA()))),0),24)*'Aturan &amp; Tarif'!$B$4,2)</f>
        <v>1362.72</v>
      </c>
      <c r="K233" s="32" t="n">
        <f aca="false">'Aturan &amp; Tarif'!$B$5</f>
        <v>2050</v>
      </c>
      <c r="L233" s="32" t="n">
        <f aca="false">'Aturan &amp; Tarif'!$B$6</f>
        <v>350</v>
      </c>
      <c r="M233" s="35" t="n">
        <f aca="false">I233+J233+K233+L233</f>
        <v>6712.72</v>
      </c>
      <c r="N233" s="36" t="s">
        <v>942</v>
      </c>
    </row>
    <row r="234" customFormat="false" ht="60" hidden="false" customHeight="true" outlineLevel="0" collapsed="false">
      <c r="A234" s="46" t="s">
        <v>949</v>
      </c>
      <c r="B234" s="30" t="s">
        <v>727</v>
      </c>
      <c r="C234" s="31" t="s">
        <v>127</v>
      </c>
      <c r="D234" s="31" t="s">
        <v>108</v>
      </c>
      <c r="E234" s="32" t="n">
        <v>4025</v>
      </c>
      <c r="F234" s="32" t="n">
        <v>200</v>
      </c>
      <c r="G234" s="32" t="n">
        <v>250</v>
      </c>
      <c r="H234" s="33" t="n">
        <v>2</v>
      </c>
      <c r="I234" s="34" t="n">
        <f aca="false">E234*H234+N(F234)+N(G234)</f>
        <v>8500</v>
      </c>
      <c r="J234" s="32" t="n">
        <f aca="false">ROUND(IFERROR(ROUND(IF(OR(ISNUMBER(SEARCH("week",C234)),ISNUMBER(SEARCH("minggu",C234))),IFERROR(_xlfn.NUMBERVALUE(SUBSTITUTE(LEFT(TRIM(C234),FIND(" ",TRIM(C234)&amp;" ")-1),",","."),"."),LEFT(SUBSTITUTE(LEFT(TRIM(C234),FIND(" ",TRIM(C234)&amp;" ")-1),",","."),FIND("/",SUBSTITUTE(LEFT(TRIM(C234),FIND(" ",TRIM(C234)&amp;" ")-1),",","."))-1)/MID(SUBSTITUTE(LEFT(TRIM(C234),FIND(" ",TRIM(C234)&amp;" ")-1),",","."),FIND("/",SUBSTITUTE(LEFT(TRIM(C234),FIND(" ",TRIM(C234)&amp;" ")-1),",","."))+1,9))*12/52,IF(ISNUMBER(SEARCH("month",C234)),IFERROR(_xlfn.NUMBERVALUE(SUBSTITUTE(LEFT(TRIM(C234),FIND(" ",TRIM(C234)&amp;" ")-1),",","."),"."),LEFT(SUBSTITUTE(LEFT(TRIM(C234),FIND(" ",TRIM(C234)&amp;" ")-1),",","."),FIND("/",SUBSTITUTE(LEFT(TRIM(C234),FIND(" ",TRIM(C234)&amp;" ")-1),",","."))-1)/MID(SUBSTITUTE(LEFT(TRIM(C234),FIND(" ",TRIM(C234)&amp;" ")-1),",","."),FIND("/",SUBSTITUTE(LEFT(TRIM(C234),FIND(" ",TRIM(C234)&amp;" ")-1),",","."))+1,9)),IF(ISNUMBER(SEARCH("yea",C234)),IFERROR(_xlfn.NUMBERVALUE(SUBSTITUTE(LEFT(TRIM(C234),FIND(" ",TRIM(C234)&amp;" ")-1),",","."),"."),LEFT(SUBSTITUTE(LEFT(TRIM(C234),FIND(" ",TRIM(C234)&amp;" ")-1),",","."),FIND("/",SUBSTITUTE(LEFT(TRIM(C234),FIND(" ",TRIM(C234)&amp;" ")-1),",","."))-1)/MID(SUBSTITUTE(LEFT(TRIM(C234),FIND(" ",TRIM(C234)&amp;" ")-1),",","."),FIND("/",SUBSTITUTE(LEFT(TRIM(C234),FIND(" ",TRIM(C234)&amp;" ")-1),",","."))+1,9))*12,NA()))),0),36)*'Aturan &amp; Tarif'!$B$4,2)</f>
        <v>2044.08</v>
      </c>
      <c r="K234" s="32" t="n">
        <f aca="false">'Aturan &amp; Tarif'!$B$5</f>
        <v>2050</v>
      </c>
      <c r="L234" s="32" t="n">
        <f aca="false">'Aturan &amp; Tarif'!$B$6</f>
        <v>350</v>
      </c>
      <c r="M234" s="35" t="n">
        <f aca="false">I234+J234+K234+L234</f>
        <v>12944.08</v>
      </c>
      <c r="N234" s="36" t="s">
        <v>950</v>
      </c>
    </row>
    <row r="235" customFormat="false" ht="60" hidden="false" customHeight="true" outlineLevel="0" collapsed="false">
      <c r="A235" s="29"/>
      <c r="B235" s="30" t="s">
        <v>729</v>
      </c>
      <c r="C235" s="31" t="s">
        <v>127</v>
      </c>
      <c r="D235" s="31" t="s">
        <v>108</v>
      </c>
      <c r="E235" s="32" t="n">
        <v>4025</v>
      </c>
      <c r="F235" s="32" t="n">
        <v>200</v>
      </c>
      <c r="G235" s="32" t="n">
        <v>250</v>
      </c>
      <c r="H235" s="33" t="n">
        <v>2</v>
      </c>
      <c r="I235" s="34" t="n">
        <f aca="false">E235*H235+N(F235)+N(G235)</f>
        <v>8500</v>
      </c>
      <c r="J235" s="32" t="n">
        <f aca="false">ROUND(IFERROR(ROUND(IF(OR(ISNUMBER(SEARCH("week",C235)),ISNUMBER(SEARCH("minggu",C235))),IFERROR(_xlfn.NUMBERVALUE(SUBSTITUTE(LEFT(TRIM(C235),FIND(" ",TRIM(C235)&amp;" ")-1),",","."),"."),LEFT(SUBSTITUTE(LEFT(TRIM(C235),FIND(" ",TRIM(C235)&amp;" ")-1),",","."),FIND("/",SUBSTITUTE(LEFT(TRIM(C235),FIND(" ",TRIM(C235)&amp;" ")-1),",","."))-1)/MID(SUBSTITUTE(LEFT(TRIM(C235),FIND(" ",TRIM(C235)&amp;" ")-1),",","."),FIND("/",SUBSTITUTE(LEFT(TRIM(C235),FIND(" ",TRIM(C235)&amp;" ")-1),",","."))+1,9))*12/52,IF(ISNUMBER(SEARCH("month",C235)),IFERROR(_xlfn.NUMBERVALUE(SUBSTITUTE(LEFT(TRIM(C235),FIND(" ",TRIM(C235)&amp;" ")-1),",","."),"."),LEFT(SUBSTITUTE(LEFT(TRIM(C235),FIND(" ",TRIM(C235)&amp;" ")-1),",","."),FIND("/",SUBSTITUTE(LEFT(TRIM(C235),FIND(" ",TRIM(C235)&amp;" ")-1),",","."))-1)/MID(SUBSTITUTE(LEFT(TRIM(C235),FIND(" ",TRIM(C235)&amp;" ")-1),",","."),FIND("/",SUBSTITUTE(LEFT(TRIM(C235),FIND(" ",TRIM(C235)&amp;" ")-1),",","."))+1,9)),IF(ISNUMBER(SEARCH("yea",C235)),IFERROR(_xlfn.NUMBERVALUE(SUBSTITUTE(LEFT(TRIM(C235),FIND(" ",TRIM(C235)&amp;" ")-1),",","."),"."),LEFT(SUBSTITUTE(LEFT(TRIM(C235),FIND(" ",TRIM(C235)&amp;" ")-1),",","."),FIND("/",SUBSTITUTE(LEFT(TRIM(C235),FIND(" ",TRIM(C235)&amp;" ")-1),",","."))-1)/MID(SUBSTITUTE(LEFT(TRIM(C235),FIND(" ",TRIM(C235)&amp;" ")-1),",","."),FIND("/",SUBSTITUTE(LEFT(TRIM(C235),FIND(" ",TRIM(C235)&amp;" ")-1),",","."))+1,9))*12,NA()))),0),36)*'Aturan &amp; Tarif'!$B$4,2)</f>
        <v>2044.08</v>
      </c>
      <c r="K235" s="32" t="n">
        <f aca="false">'Aturan &amp; Tarif'!$B$5</f>
        <v>2050</v>
      </c>
      <c r="L235" s="32" t="n">
        <f aca="false">'Aturan &amp; Tarif'!$B$6</f>
        <v>350</v>
      </c>
      <c r="M235" s="35" t="n">
        <f aca="false">I235+J235+K235+L235</f>
        <v>12944.08</v>
      </c>
      <c r="N235" s="36" t="s">
        <v>950</v>
      </c>
    </row>
    <row r="236" customFormat="false" ht="60" hidden="false" customHeight="true" outlineLevel="0" collapsed="false">
      <c r="A236" s="29"/>
      <c r="B236" s="30" t="s">
        <v>730</v>
      </c>
      <c r="C236" s="31" t="s">
        <v>127</v>
      </c>
      <c r="D236" s="31" t="s">
        <v>108</v>
      </c>
      <c r="E236" s="32" t="n">
        <v>4025</v>
      </c>
      <c r="F236" s="32" t="n">
        <v>200</v>
      </c>
      <c r="G236" s="32" t="n">
        <v>250</v>
      </c>
      <c r="H236" s="33" t="n">
        <v>2</v>
      </c>
      <c r="I236" s="34" t="n">
        <f aca="false">E236*H236+N(F236)+N(G236)</f>
        <v>8500</v>
      </c>
      <c r="J236" s="32" t="n">
        <f aca="false">ROUND(IFERROR(ROUND(IF(OR(ISNUMBER(SEARCH("week",C236)),ISNUMBER(SEARCH("minggu",C236))),IFERROR(_xlfn.NUMBERVALUE(SUBSTITUTE(LEFT(TRIM(C236),FIND(" ",TRIM(C236)&amp;" ")-1),",","."),"."),LEFT(SUBSTITUTE(LEFT(TRIM(C236),FIND(" ",TRIM(C236)&amp;" ")-1),",","."),FIND("/",SUBSTITUTE(LEFT(TRIM(C236),FIND(" ",TRIM(C236)&amp;" ")-1),",","."))-1)/MID(SUBSTITUTE(LEFT(TRIM(C236),FIND(" ",TRIM(C236)&amp;" ")-1),",","."),FIND("/",SUBSTITUTE(LEFT(TRIM(C236),FIND(" ",TRIM(C236)&amp;" ")-1),",","."))+1,9))*12/52,IF(ISNUMBER(SEARCH("month",C236)),IFERROR(_xlfn.NUMBERVALUE(SUBSTITUTE(LEFT(TRIM(C236),FIND(" ",TRIM(C236)&amp;" ")-1),",","."),"."),LEFT(SUBSTITUTE(LEFT(TRIM(C236),FIND(" ",TRIM(C236)&amp;" ")-1),",","."),FIND("/",SUBSTITUTE(LEFT(TRIM(C236),FIND(" ",TRIM(C236)&amp;" ")-1),",","."))-1)/MID(SUBSTITUTE(LEFT(TRIM(C236),FIND(" ",TRIM(C236)&amp;" ")-1),",","."),FIND("/",SUBSTITUTE(LEFT(TRIM(C236),FIND(" ",TRIM(C236)&amp;" ")-1),",","."))+1,9)),IF(ISNUMBER(SEARCH("yea",C236)),IFERROR(_xlfn.NUMBERVALUE(SUBSTITUTE(LEFT(TRIM(C236),FIND(" ",TRIM(C236)&amp;" ")-1),",","."),"."),LEFT(SUBSTITUTE(LEFT(TRIM(C236),FIND(" ",TRIM(C236)&amp;" ")-1),",","."),FIND("/",SUBSTITUTE(LEFT(TRIM(C236),FIND(" ",TRIM(C236)&amp;" ")-1),",","."))-1)/MID(SUBSTITUTE(LEFT(TRIM(C236),FIND(" ",TRIM(C236)&amp;" ")-1),",","."),FIND("/",SUBSTITUTE(LEFT(TRIM(C236),FIND(" ",TRIM(C236)&amp;" ")-1),",","."))+1,9))*12,NA()))),0),36)*'Aturan &amp; Tarif'!$B$4,2)</f>
        <v>2044.08</v>
      </c>
      <c r="K236" s="32" t="n">
        <f aca="false">'Aturan &amp; Tarif'!$B$5</f>
        <v>2050</v>
      </c>
      <c r="L236" s="32" t="n">
        <f aca="false">'Aturan &amp; Tarif'!$B$6</f>
        <v>350</v>
      </c>
      <c r="M236" s="35" t="n">
        <f aca="false">I236+J236+K236+L236</f>
        <v>12944.08</v>
      </c>
      <c r="N236" s="36" t="s">
        <v>950</v>
      </c>
    </row>
    <row r="237" customFormat="false" ht="48.75" hidden="false" customHeight="true" outlineLevel="0" collapsed="false">
      <c r="A237" s="29" t="s">
        <v>951</v>
      </c>
      <c r="B237" s="30" t="s">
        <v>952</v>
      </c>
      <c r="C237" s="31" t="s">
        <v>107</v>
      </c>
      <c r="D237" s="31" t="s">
        <v>108</v>
      </c>
      <c r="E237" s="32" t="n">
        <v>2500</v>
      </c>
      <c r="F237" s="32" t="n">
        <v>2500</v>
      </c>
      <c r="G237" s="32" t="n">
        <v>350</v>
      </c>
      <c r="H237" s="33" t="n">
        <v>1</v>
      </c>
      <c r="I237" s="34" t="n">
        <f aca="false">E237*H237+N(F237)+N(G237)</f>
        <v>5350</v>
      </c>
      <c r="J237" s="32" t="n">
        <f aca="false">ROUND(IFERROR(ROUND(IF(OR(ISNUMBER(SEARCH("week",C237)),ISNUMBER(SEARCH("minggu",C237))),IFERROR(_xlfn.NUMBERVALUE(SUBSTITUTE(LEFT(TRIM(C237),FIND(" ",TRIM(C237)&amp;" ")-1),",","."),"."),LEFT(SUBSTITUTE(LEFT(TRIM(C237),FIND(" ",TRIM(C237)&amp;" ")-1),",","."),FIND("/",SUBSTITUTE(LEFT(TRIM(C237),FIND(" ",TRIM(C237)&amp;" ")-1),",","."))-1)/MID(SUBSTITUTE(LEFT(TRIM(C237),FIND(" ",TRIM(C237)&amp;" ")-1),",","."),FIND("/",SUBSTITUTE(LEFT(TRIM(C237),FIND(" ",TRIM(C237)&amp;" ")-1),",","."))+1,9))*12/52,IF(ISNUMBER(SEARCH("month",C237)),IFERROR(_xlfn.NUMBERVALUE(SUBSTITUTE(LEFT(TRIM(C237),FIND(" ",TRIM(C237)&amp;" ")-1),",","."),"."),LEFT(SUBSTITUTE(LEFT(TRIM(C237),FIND(" ",TRIM(C237)&amp;" ")-1),",","."),FIND("/",SUBSTITUTE(LEFT(TRIM(C237),FIND(" ",TRIM(C237)&amp;" ")-1),",","."))-1)/MID(SUBSTITUTE(LEFT(TRIM(C237),FIND(" ",TRIM(C237)&amp;" ")-1),",","."),FIND("/",SUBSTITUTE(LEFT(TRIM(C237),FIND(" ",TRIM(C237)&amp;" ")-1),",","."))+1,9)),IF(ISNUMBER(SEARCH("yea",C237)),IFERROR(_xlfn.NUMBERVALUE(SUBSTITUTE(LEFT(TRIM(C237),FIND(" ",TRIM(C237)&amp;" ")-1),",","."),"."),LEFT(SUBSTITUTE(LEFT(TRIM(C237),FIND(" ",TRIM(C237)&amp;" ")-1),",","."),FIND("/",SUBSTITUTE(LEFT(TRIM(C237),FIND(" ",TRIM(C237)&amp;" ")-1),",","."))-1)/MID(SUBSTITUTE(LEFT(TRIM(C237),FIND(" ",TRIM(C237)&amp;" ")-1),",","."),FIND("/",SUBSTITUTE(LEFT(TRIM(C237),FIND(" ",TRIM(C237)&amp;" ")-1),",","."))+1,9))*12,NA()))),0),24)*'Aturan &amp; Tarif'!$B$4,2)</f>
        <v>1362.72</v>
      </c>
      <c r="K237" s="32" t="n">
        <f aca="false">'Aturan &amp; Tarif'!$B$5</f>
        <v>2050</v>
      </c>
      <c r="L237" s="32" t="n">
        <f aca="false">'Aturan &amp; Tarif'!$B$6</f>
        <v>350</v>
      </c>
      <c r="M237" s="35" t="n">
        <f aca="false">I237+J237+K237+L237</f>
        <v>9112.72</v>
      </c>
      <c r="N237" s="36" t="s">
        <v>131</v>
      </c>
    </row>
    <row r="238" customFormat="false" ht="48.75" hidden="false" customHeight="true" outlineLevel="0" collapsed="false">
      <c r="A238" s="29"/>
      <c r="B238" s="30" t="s">
        <v>953</v>
      </c>
      <c r="C238" s="31" t="s">
        <v>138</v>
      </c>
      <c r="D238" s="31" t="s">
        <v>108</v>
      </c>
      <c r="E238" s="32" t="n">
        <v>2500</v>
      </c>
      <c r="F238" s="32" t="n">
        <v>4000</v>
      </c>
      <c r="G238" s="32" t="n">
        <v>350</v>
      </c>
      <c r="H238" s="33" t="n">
        <v>1</v>
      </c>
      <c r="I238" s="34" t="n">
        <f aca="false">E238*H238+N(F238)+N(G238)</f>
        <v>6850</v>
      </c>
      <c r="J238" s="32" t="n">
        <f aca="false">ROUND(IFERROR(ROUND(IF(OR(ISNUMBER(SEARCH("week",C238)),ISNUMBER(SEARCH("minggu",C238))),IFERROR(_xlfn.NUMBERVALUE(SUBSTITUTE(LEFT(TRIM(C238),FIND(" ",TRIM(C238)&amp;" ")-1),",","."),"."),LEFT(SUBSTITUTE(LEFT(TRIM(C238),FIND(" ",TRIM(C238)&amp;" ")-1),",","."),FIND("/",SUBSTITUTE(LEFT(TRIM(C238),FIND(" ",TRIM(C238)&amp;" ")-1),",","."))-1)/MID(SUBSTITUTE(LEFT(TRIM(C238),FIND(" ",TRIM(C238)&amp;" ")-1),",","."),FIND("/",SUBSTITUTE(LEFT(TRIM(C238),FIND(" ",TRIM(C238)&amp;" ")-1),",","."))+1,9))*12/52,IF(ISNUMBER(SEARCH("month",C238)),IFERROR(_xlfn.NUMBERVALUE(SUBSTITUTE(LEFT(TRIM(C238),FIND(" ",TRIM(C238)&amp;" ")-1),",","."),"."),LEFT(SUBSTITUTE(LEFT(TRIM(C238),FIND(" ",TRIM(C238)&amp;" ")-1),",","."),FIND("/",SUBSTITUTE(LEFT(TRIM(C238),FIND(" ",TRIM(C238)&amp;" ")-1),",","."))-1)/MID(SUBSTITUTE(LEFT(TRIM(C238),FIND(" ",TRIM(C238)&amp;" ")-1),",","."),FIND("/",SUBSTITUTE(LEFT(TRIM(C238),FIND(" ",TRIM(C238)&amp;" ")-1),",","."))+1,9)),IF(ISNUMBER(SEARCH("yea",C238)),IFERROR(_xlfn.NUMBERVALUE(SUBSTITUTE(LEFT(TRIM(C238),FIND(" ",TRIM(C238)&amp;" ")-1),",","."),"."),LEFT(SUBSTITUTE(LEFT(TRIM(C238),FIND(" ",TRIM(C238)&amp;" ")-1),",","."),FIND("/",SUBSTITUTE(LEFT(TRIM(C238),FIND(" ",TRIM(C238)&amp;" ")-1),",","."))-1)/MID(SUBSTITUTE(LEFT(TRIM(C238),FIND(" ",TRIM(C238)&amp;" ")-1),",","."),FIND("/",SUBSTITUTE(LEFT(TRIM(C238),FIND(" ",TRIM(C238)&amp;" ")-1),",","."))+1,9))*12,NA()))),0),30)*'Aturan &amp; Tarif'!$B$4,2)</f>
        <v>1703.4</v>
      </c>
      <c r="K238" s="32" t="n">
        <f aca="false">'Aturan &amp; Tarif'!$B$5</f>
        <v>2050</v>
      </c>
      <c r="L238" s="32" t="n">
        <f aca="false">'Aturan &amp; Tarif'!$B$6</f>
        <v>350</v>
      </c>
      <c r="M238" s="35" t="n">
        <f aca="false">I238+J238+K238+L238</f>
        <v>10953.4</v>
      </c>
      <c r="N238" s="36" t="s">
        <v>131</v>
      </c>
    </row>
    <row r="239" customFormat="false" ht="25.5" hidden="false" customHeight="true" outlineLevel="0" collapsed="false">
      <c r="A239" s="29"/>
      <c r="B239" s="30" t="s">
        <v>954</v>
      </c>
      <c r="C239" s="31" t="s">
        <v>113</v>
      </c>
      <c r="D239" s="31" t="s">
        <v>108</v>
      </c>
      <c r="E239" s="32" t="n">
        <v>1785</v>
      </c>
      <c r="F239" s="32"/>
      <c r="G239" s="32" t="n">
        <v>350</v>
      </c>
      <c r="H239" s="33" t="n">
        <v>1</v>
      </c>
      <c r="I239" s="34" t="n">
        <f aca="false">E239*H239+N(F239)+N(G239)</f>
        <v>2135</v>
      </c>
      <c r="J239" s="32" t="n">
        <f aca="false">ROUND(IFERROR(ROUND(IF(OR(ISNUMBER(SEARCH("week",C239)),ISNUMBER(SEARCH("minggu",C239))),IFERROR(_xlfn.NUMBERVALUE(SUBSTITUTE(LEFT(TRIM(C239),FIND(" ",TRIM(C239)&amp;" ")-1),",","."),"."),LEFT(SUBSTITUTE(LEFT(TRIM(C239),FIND(" ",TRIM(C239)&amp;" ")-1),",","."),FIND("/",SUBSTITUTE(LEFT(TRIM(C239),FIND(" ",TRIM(C239)&amp;" ")-1),",","."))-1)/MID(SUBSTITUTE(LEFT(TRIM(C239),FIND(" ",TRIM(C239)&amp;" ")-1),",","."),FIND("/",SUBSTITUTE(LEFT(TRIM(C239),FIND(" ",TRIM(C239)&amp;" ")-1),",","."))+1,9))*12/52,IF(ISNUMBER(SEARCH("month",C239)),IFERROR(_xlfn.NUMBERVALUE(SUBSTITUTE(LEFT(TRIM(C239),FIND(" ",TRIM(C239)&amp;" ")-1),",","."),"."),LEFT(SUBSTITUTE(LEFT(TRIM(C239),FIND(" ",TRIM(C239)&amp;" ")-1),",","."),FIND("/",SUBSTITUTE(LEFT(TRIM(C239),FIND(" ",TRIM(C239)&amp;" ")-1),",","."))-1)/MID(SUBSTITUTE(LEFT(TRIM(C239),FIND(" ",TRIM(C239)&amp;" ")-1),",","."),FIND("/",SUBSTITUTE(LEFT(TRIM(C239),FIND(" ",TRIM(C239)&amp;" ")-1),",","."))+1,9)),IF(ISNUMBER(SEARCH("yea",C239)),IFERROR(_xlfn.NUMBERVALUE(SUBSTITUTE(LEFT(TRIM(C239),FIND(" ",TRIM(C239)&amp;" ")-1),",","."),"."),LEFT(SUBSTITUTE(LEFT(TRIM(C239),FIND(" ",TRIM(C239)&amp;" ")-1),",","."),FIND("/",SUBSTITUTE(LEFT(TRIM(C239),FIND(" ",TRIM(C239)&amp;" ")-1),",","."))-1)/MID(SUBSTITUTE(LEFT(TRIM(C239),FIND(" ",TRIM(C239)&amp;" ")-1),",","."),FIND("/",SUBSTITUTE(LEFT(TRIM(C239),FIND(" ",TRIM(C239)&amp;" ")-1),",","."))+1,9))*12,NA()))),0),18)*'Aturan &amp; Tarif'!$B$4,2)</f>
        <v>1022.04</v>
      </c>
      <c r="K239" s="32" t="n">
        <f aca="false">'Aturan &amp; Tarif'!$B$5</f>
        <v>2050</v>
      </c>
      <c r="L239" s="32" t="n">
        <f aca="false">'Aturan &amp; Tarif'!$B$6</f>
        <v>350</v>
      </c>
      <c r="M239" s="35" t="n">
        <f aca="false">I239+J239+K239+L239</f>
        <v>5557.04</v>
      </c>
      <c r="N239" s="36" t="s">
        <v>955</v>
      </c>
    </row>
    <row r="240" customFormat="false" ht="72" hidden="false" customHeight="true" outlineLevel="0" collapsed="false">
      <c r="A240" s="29"/>
      <c r="B240" s="30" t="s">
        <v>956</v>
      </c>
      <c r="C240" s="31" t="s">
        <v>138</v>
      </c>
      <c r="D240" s="31" t="s">
        <v>108</v>
      </c>
      <c r="E240" s="32" t="n">
        <v>1785</v>
      </c>
      <c r="F240" s="32" t="n">
        <v>1000</v>
      </c>
      <c r="G240" s="32" t="n">
        <v>350</v>
      </c>
      <c r="H240" s="33" t="n">
        <v>1</v>
      </c>
      <c r="I240" s="34" t="n">
        <f aca="false">E240*H240+N(F240)+N(G240)</f>
        <v>3135</v>
      </c>
      <c r="J240" s="32" t="n">
        <f aca="false">ROUND(IFERROR(ROUND(IF(OR(ISNUMBER(SEARCH("week",C240)),ISNUMBER(SEARCH("minggu",C240))),IFERROR(_xlfn.NUMBERVALUE(SUBSTITUTE(LEFT(TRIM(C240),FIND(" ",TRIM(C240)&amp;" ")-1),",","."),"."),LEFT(SUBSTITUTE(LEFT(TRIM(C240),FIND(" ",TRIM(C240)&amp;" ")-1),",","."),FIND("/",SUBSTITUTE(LEFT(TRIM(C240),FIND(" ",TRIM(C240)&amp;" ")-1),",","."))-1)/MID(SUBSTITUTE(LEFT(TRIM(C240),FIND(" ",TRIM(C240)&amp;" ")-1),",","."),FIND("/",SUBSTITUTE(LEFT(TRIM(C240),FIND(" ",TRIM(C240)&amp;" ")-1),",","."))+1,9))*12/52,IF(ISNUMBER(SEARCH("month",C240)),IFERROR(_xlfn.NUMBERVALUE(SUBSTITUTE(LEFT(TRIM(C240),FIND(" ",TRIM(C240)&amp;" ")-1),",","."),"."),LEFT(SUBSTITUTE(LEFT(TRIM(C240),FIND(" ",TRIM(C240)&amp;" ")-1),",","."),FIND("/",SUBSTITUTE(LEFT(TRIM(C240),FIND(" ",TRIM(C240)&amp;" ")-1),",","."))-1)/MID(SUBSTITUTE(LEFT(TRIM(C240),FIND(" ",TRIM(C240)&amp;" ")-1),",","."),FIND("/",SUBSTITUTE(LEFT(TRIM(C240),FIND(" ",TRIM(C240)&amp;" ")-1),",","."))+1,9)),IF(ISNUMBER(SEARCH("yea",C240)),IFERROR(_xlfn.NUMBERVALUE(SUBSTITUTE(LEFT(TRIM(C240),FIND(" ",TRIM(C240)&amp;" ")-1),",","."),"."),LEFT(SUBSTITUTE(LEFT(TRIM(C240),FIND(" ",TRIM(C240)&amp;" ")-1),",","."),FIND("/",SUBSTITUTE(LEFT(TRIM(C240),FIND(" ",TRIM(C240)&amp;" ")-1),",","."))-1)/MID(SUBSTITUTE(LEFT(TRIM(C240),FIND(" ",TRIM(C240)&amp;" ")-1),",","."),FIND("/",SUBSTITUTE(LEFT(TRIM(C240),FIND(" ",TRIM(C240)&amp;" ")-1),",","."))+1,9))*12,NA()))),0),30)*'Aturan &amp; Tarif'!$B$4,2)</f>
        <v>1703.4</v>
      </c>
      <c r="K240" s="32" t="n">
        <f aca="false">'Aturan &amp; Tarif'!$B$5</f>
        <v>2050</v>
      </c>
      <c r="L240" s="32" t="n">
        <f aca="false">'Aturan &amp; Tarif'!$B$6</f>
        <v>350</v>
      </c>
      <c r="M240" s="35" t="n">
        <f aca="false">I240+J240+K240+L240</f>
        <v>7238.4</v>
      </c>
      <c r="N240" s="36" t="s">
        <v>957</v>
      </c>
    </row>
    <row r="241" customFormat="false" ht="37.5" hidden="false" customHeight="true" outlineLevel="0" collapsed="false">
      <c r="A241" s="29"/>
      <c r="B241" s="30" t="s">
        <v>958</v>
      </c>
      <c r="C241" s="31" t="s">
        <v>107</v>
      </c>
      <c r="D241" s="31" t="s">
        <v>108</v>
      </c>
      <c r="E241" s="32" t="n">
        <v>2250</v>
      </c>
      <c r="F241" s="32" t="n">
        <v>1000</v>
      </c>
      <c r="G241" s="32" t="n">
        <v>350</v>
      </c>
      <c r="H241" s="33" t="n">
        <v>1</v>
      </c>
      <c r="I241" s="34" t="n">
        <f aca="false">E241*H241+N(F241)+N(G241)</f>
        <v>3600</v>
      </c>
      <c r="J241" s="32" t="n">
        <f aca="false">ROUND(IFERROR(ROUND(IF(OR(ISNUMBER(SEARCH("week",C241)),ISNUMBER(SEARCH("minggu",C241))),IFERROR(_xlfn.NUMBERVALUE(SUBSTITUTE(LEFT(TRIM(C241),FIND(" ",TRIM(C241)&amp;" ")-1),",","."),"."),LEFT(SUBSTITUTE(LEFT(TRIM(C241),FIND(" ",TRIM(C241)&amp;" ")-1),",","."),FIND("/",SUBSTITUTE(LEFT(TRIM(C241),FIND(" ",TRIM(C241)&amp;" ")-1),",","."))-1)/MID(SUBSTITUTE(LEFT(TRIM(C241),FIND(" ",TRIM(C241)&amp;" ")-1),",","."),FIND("/",SUBSTITUTE(LEFT(TRIM(C241),FIND(" ",TRIM(C241)&amp;" ")-1),",","."))+1,9))*12/52,IF(ISNUMBER(SEARCH("month",C241)),IFERROR(_xlfn.NUMBERVALUE(SUBSTITUTE(LEFT(TRIM(C241),FIND(" ",TRIM(C241)&amp;" ")-1),",","."),"."),LEFT(SUBSTITUTE(LEFT(TRIM(C241),FIND(" ",TRIM(C241)&amp;" ")-1),",","."),FIND("/",SUBSTITUTE(LEFT(TRIM(C241),FIND(" ",TRIM(C241)&amp;" ")-1),",","."))-1)/MID(SUBSTITUTE(LEFT(TRIM(C241),FIND(" ",TRIM(C241)&amp;" ")-1),",","."),FIND("/",SUBSTITUTE(LEFT(TRIM(C241),FIND(" ",TRIM(C241)&amp;" ")-1),",","."))+1,9)),IF(ISNUMBER(SEARCH("yea",C241)),IFERROR(_xlfn.NUMBERVALUE(SUBSTITUTE(LEFT(TRIM(C241),FIND(" ",TRIM(C241)&amp;" ")-1),",","."),"."),LEFT(SUBSTITUTE(LEFT(TRIM(C241),FIND(" ",TRIM(C241)&amp;" ")-1),",","."),FIND("/",SUBSTITUTE(LEFT(TRIM(C241),FIND(" ",TRIM(C241)&amp;" ")-1),",","."))-1)/MID(SUBSTITUTE(LEFT(TRIM(C241),FIND(" ",TRIM(C241)&amp;" ")-1),",","."),FIND("/",SUBSTITUTE(LEFT(TRIM(C241),FIND(" ",TRIM(C241)&amp;" ")-1),",","."))+1,9))*12,NA()))),0),24)*'Aturan &amp; Tarif'!$B$4,2)</f>
        <v>1362.72</v>
      </c>
      <c r="K241" s="32" t="n">
        <f aca="false">'Aturan &amp; Tarif'!$B$5</f>
        <v>2050</v>
      </c>
      <c r="L241" s="32" t="n">
        <f aca="false">'Aturan &amp; Tarif'!$B$6</f>
        <v>350</v>
      </c>
      <c r="M241" s="35" t="n">
        <f aca="false">I241+J241+K241+L241</f>
        <v>7362.72</v>
      </c>
      <c r="N241" s="36" t="s">
        <v>131</v>
      </c>
    </row>
    <row r="242" customFormat="false" ht="72" hidden="false" customHeight="true" outlineLevel="0" collapsed="false">
      <c r="A242" s="29"/>
      <c r="B242" s="30" t="s">
        <v>959</v>
      </c>
      <c r="C242" s="31" t="s">
        <v>130</v>
      </c>
      <c r="D242" s="31" t="s">
        <v>108</v>
      </c>
      <c r="E242" s="32" t="n">
        <v>3000</v>
      </c>
      <c r="F242" s="32" t="n">
        <v>1000</v>
      </c>
      <c r="G242" s="32" t="n">
        <v>350</v>
      </c>
      <c r="H242" s="33" t="n">
        <v>1</v>
      </c>
      <c r="I242" s="34" t="n">
        <f aca="false">E242*H242+N(F242)+N(G242)</f>
        <v>4350</v>
      </c>
      <c r="J242" s="32" t="n">
        <f aca="false">ROUND(IFERROR(ROUND(IF(OR(ISNUMBER(SEARCH("week",C242)),ISNUMBER(SEARCH("minggu",C242))),IFERROR(_xlfn.NUMBERVALUE(SUBSTITUTE(LEFT(TRIM(C242),FIND(" ",TRIM(C242)&amp;" ")-1),",","."),"."),LEFT(SUBSTITUTE(LEFT(TRIM(C242),FIND(" ",TRIM(C242)&amp;" ")-1),",","."),FIND("/",SUBSTITUTE(LEFT(TRIM(C242),FIND(" ",TRIM(C242)&amp;" ")-1),",","."))-1)/MID(SUBSTITUTE(LEFT(TRIM(C242),FIND(" ",TRIM(C242)&amp;" ")-1),",","."),FIND("/",SUBSTITUTE(LEFT(TRIM(C242),FIND(" ",TRIM(C242)&amp;" ")-1),",","."))+1,9))*12/52,IF(ISNUMBER(SEARCH("month",C242)),IFERROR(_xlfn.NUMBERVALUE(SUBSTITUTE(LEFT(TRIM(C242),FIND(" ",TRIM(C242)&amp;" ")-1),",","."),"."),LEFT(SUBSTITUTE(LEFT(TRIM(C242),FIND(" ",TRIM(C242)&amp;" ")-1),",","."),FIND("/",SUBSTITUTE(LEFT(TRIM(C242),FIND(" ",TRIM(C242)&amp;" ")-1),",","."))-1)/MID(SUBSTITUTE(LEFT(TRIM(C242),FIND(" ",TRIM(C242)&amp;" ")-1),",","."),FIND("/",SUBSTITUTE(LEFT(TRIM(C242),FIND(" ",TRIM(C242)&amp;" ")-1),",","."))+1,9)),IF(ISNUMBER(SEARCH("yea",C242)),IFERROR(_xlfn.NUMBERVALUE(SUBSTITUTE(LEFT(TRIM(C242),FIND(" ",TRIM(C242)&amp;" ")-1),",","."),"."),LEFT(SUBSTITUTE(LEFT(TRIM(C242),FIND(" ",TRIM(C242)&amp;" ")-1),",","."),FIND("/",SUBSTITUTE(LEFT(TRIM(C242),FIND(" ",TRIM(C242)&amp;" ")-1),",","."))-1)/MID(SUBSTITUTE(LEFT(TRIM(C242),FIND(" ",TRIM(C242)&amp;" ")-1),",","."),FIND("/",SUBSTITUTE(LEFT(TRIM(C242),FIND(" ",TRIM(C242)&amp;" ")-1),",","."))+1,9))*12,NA()))),0),12)*'Aturan &amp; Tarif'!$B$4,2)</f>
        <v>681.36</v>
      </c>
      <c r="K242" s="32" t="n">
        <f aca="false">'Aturan &amp; Tarif'!$B$5</f>
        <v>2050</v>
      </c>
      <c r="L242" s="32" t="n">
        <f aca="false">'Aturan &amp; Tarif'!$B$6</f>
        <v>350</v>
      </c>
      <c r="M242" s="35" t="n">
        <f aca="false">I242+J242+K242+L242</f>
        <v>7431.36</v>
      </c>
      <c r="N242" s="36" t="s">
        <v>957</v>
      </c>
    </row>
    <row r="243" customFormat="false" ht="37.5" hidden="false" customHeight="true" outlineLevel="0" collapsed="false">
      <c r="A243" s="29"/>
      <c r="B243" s="30" t="s">
        <v>960</v>
      </c>
      <c r="C243" s="31" t="s">
        <v>107</v>
      </c>
      <c r="D243" s="31" t="s">
        <v>108</v>
      </c>
      <c r="E243" s="32" t="n">
        <v>2714</v>
      </c>
      <c r="F243" s="32" t="n">
        <v>1000</v>
      </c>
      <c r="G243" s="32" t="n">
        <v>350</v>
      </c>
      <c r="H243" s="33" t="n">
        <v>1</v>
      </c>
      <c r="I243" s="34" t="n">
        <f aca="false">E243*H243+N(F243)+N(G243)</f>
        <v>4064</v>
      </c>
      <c r="J243" s="32" t="n">
        <f aca="false">ROUND(IFERROR(ROUND(IF(OR(ISNUMBER(SEARCH("week",C243)),ISNUMBER(SEARCH("minggu",C243))),IFERROR(_xlfn.NUMBERVALUE(SUBSTITUTE(LEFT(TRIM(C243),FIND(" ",TRIM(C243)&amp;" ")-1),",","."),"."),LEFT(SUBSTITUTE(LEFT(TRIM(C243),FIND(" ",TRIM(C243)&amp;" ")-1),",","."),FIND("/",SUBSTITUTE(LEFT(TRIM(C243),FIND(" ",TRIM(C243)&amp;" ")-1),",","."))-1)/MID(SUBSTITUTE(LEFT(TRIM(C243),FIND(" ",TRIM(C243)&amp;" ")-1),",","."),FIND("/",SUBSTITUTE(LEFT(TRIM(C243),FIND(" ",TRIM(C243)&amp;" ")-1),",","."))+1,9))*12/52,IF(ISNUMBER(SEARCH("month",C243)),IFERROR(_xlfn.NUMBERVALUE(SUBSTITUTE(LEFT(TRIM(C243),FIND(" ",TRIM(C243)&amp;" ")-1),",","."),"."),LEFT(SUBSTITUTE(LEFT(TRIM(C243),FIND(" ",TRIM(C243)&amp;" ")-1),",","."),FIND("/",SUBSTITUTE(LEFT(TRIM(C243),FIND(" ",TRIM(C243)&amp;" ")-1),",","."))-1)/MID(SUBSTITUTE(LEFT(TRIM(C243),FIND(" ",TRIM(C243)&amp;" ")-1),",","."),FIND("/",SUBSTITUTE(LEFT(TRIM(C243),FIND(" ",TRIM(C243)&amp;" ")-1),",","."))+1,9)),IF(ISNUMBER(SEARCH("yea",C243)),IFERROR(_xlfn.NUMBERVALUE(SUBSTITUTE(LEFT(TRIM(C243),FIND(" ",TRIM(C243)&amp;" ")-1),",","."),"."),LEFT(SUBSTITUTE(LEFT(TRIM(C243),FIND(" ",TRIM(C243)&amp;" ")-1),",","."),FIND("/",SUBSTITUTE(LEFT(TRIM(C243),FIND(" ",TRIM(C243)&amp;" ")-1),",","."))-1)/MID(SUBSTITUTE(LEFT(TRIM(C243),FIND(" ",TRIM(C243)&amp;" ")-1),",","."),FIND("/",SUBSTITUTE(LEFT(TRIM(C243),FIND(" ",TRIM(C243)&amp;" ")-1),",","."))+1,9))*12,NA()))),0),24)*'Aturan &amp; Tarif'!$B$4,2)</f>
        <v>1362.72</v>
      </c>
      <c r="K243" s="32" t="n">
        <f aca="false">'Aturan &amp; Tarif'!$B$5</f>
        <v>2050</v>
      </c>
      <c r="L243" s="32" t="n">
        <f aca="false">'Aturan &amp; Tarif'!$B$6</f>
        <v>350</v>
      </c>
      <c r="M243" s="35" t="n">
        <f aca="false">I243+J243+K243+L243</f>
        <v>7826.72</v>
      </c>
      <c r="N243" s="36" t="s">
        <v>131</v>
      </c>
    </row>
    <row r="244" customFormat="false" ht="48.75" hidden="false" customHeight="true" outlineLevel="0" collapsed="false">
      <c r="A244" s="29"/>
      <c r="B244" s="30" t="s">
        <v>961</v>
      </c>
      <c r="C244" s="31" t="s">
        <v>136</v>
      </c>
      <c r="D244" s="31" t="s">
        <v>108</v>
      </c>
      <c r="E244" s="32" t="n">
        <v>2500</v>
      </c>
      <c r="F244" s="32" t="n">
        <v>4000</v>
      </c>
      <c r="G244" s="32" t="n">
        <v>350</v>
      </c>
      <c r="H244" s="33" t="n">
        <v>1</v>
      </c>
      <c r="I244" s="34" t="n">
        <f aca="false">E244*H244+N(F244)+N(G244)</f>
        <v>6850</v>
      </c>
      <c r="J244" s="32" t="n">
        <f aca="false">ROUND(IFERROR(ROUND(IF(OR(ISNUMBER(SEARCH("week",C244)),ISNUMBER(SEARCH("minggu",C244))),IFERROR(_xlfn.NUMBERVALUE(SUBSTITUTE(LEFT(TRIM(C244),FIND(" ",TRIM(C244)&amp;" ")-1),",","."),"."),LEFT(SUBSTITUTE(LEFT(TRIM(C244),FIND(" ",TRIM(C244)&amp;" ")-1),",","."),FIND("/",SUBSTITUTE(LEFT(TRIM(C244),FIND(" ",TRIM(C244)&amp;" ")-1),",","."))-1)/MID(SUBSTITUTE(LEFT(TRIM(C244),FIND(" ",TRIM(C244)&amp;" ")-1),",","."),FIND("/",SUBSTITUTE(LEFT(TRIM(C244),FIND(" ",TRIM(C244)&amp;" ")-1),",","."))+1,9))*12/52,IF(ISNUMBER(SEARCH("month",C244)),IFERROR(_xlfn.NUMBERVALUE(SUBSTITUTE(LEFT(TRIM(C244),FIND(" ",TRIM(C244)&amp;" ")-1),",","."),"."),LEFT(SUBSTITUTE(LEFT(TRIM(C244),FIND(" ",TRIM(C244)&amp;" ")-1),",","."),FIND("/",SUBSTITUTE(LEFT(TRIM(C244),FIND(" ",TRIM(C244)&amp;" ")-1),",","."))-1)/MID(SUBSTITUTE(LEFT(TRIM(C244),FIND(" ",TRIM(C244)&amp;" ")-1),",","."),FIND("/",SUBSTITUTE(LEFT(TRIM(C244),FIND(" ",TRIM(C244)&amp;" ")-1),",","."))+1,9)),IF(ISNUMBER(SEARCH("yea",C244)),IFERROR(_xlfn.NUMBERVALUE(SUBSTITUTE(LEFT(TRIM(C244),FIND(" ",TRIM(C244)&amp;" ")-1),",","."),"."),LEFT(SUBSTITUTE(LEFT(TRIM(C244),FIND(" ",TRIM(C244)&amp;" ")-1),",","."),FIND("/",SUBSTITUTE(LEFT(TRIM(C244),FIND(" ",TRIM(C244)&amp;" ")-1),",","."))-1)/MID(SUBSTITUTE(LEFT(TRIM(C244),FIND(" ",TRIM(C244)&amp;" ")-1),",","."),FIND("/",SUBSTITUTE(LEFT(TRIM(C244),FIND(" ",TRIM(C244)&amp;" ")-1),",","."))+1,9))*12,NA()))),0),42)*'Aturan &amp; Tarif'!$B$4,2)</f>
        <v>2384.76</v>
      </c>
      <c r="K244" s="32" t="n">
        <f aca="false">'Aturan &amp; Tarif'!$B$5</f>
        <v>2050</v>
      </c>
      <c r="L244" s="32" t="n">
        <f aca="false">'Aturan &amp; Tarif'!$B$6</f>
        <v>350</v>
      </c>
      <c r="M244" s="35" t="n">
        <f aca="false">I244+J244+K244+L244</f>
        <v>11634.76</v>
      </c>
      <c r="N244" s="36" t="s">
        <v>131</v>
      </c>
    </row>
    <row r="245" customFormat="false" ht="72" hidden="false" customHeight="true" outlineLevel="0" collapsed="false">
      <c r="A245" s="29" t="s">
        <v>962</v>
      </c>
      <c r="B245" s="30" t="s">
        <v>963</v>
      </c>
      <c r="C245" s="31" t="s">
        <v>107</v>
      </c>
      <c r="D245" s="31" t="s">
        <v>108</v>
      </c>
      <c r="E245" s="32" t="n">
        <v>2700</v>
      </c>
      <c r="F245" s="32" t="n">
        <v>1500</v>
      </c>
      <c r="G245" s="32"/>
      <c r="H245" s="33" t="n">
        <v>1</v>
      </c>
      <c r="I245" s="34" t="n">
        <f aca="false">E245*H245+N(F245)+N(G245)</f>
        <v>4200</v>
      </c>
      <c r="J245" s="32" t="n">
        <f aca="false">ROUND(IFERROR(ROUND(IF(OR(ISNUMBER(SEARCH("week",C245)),ISNUMBER(SEARCH("minggu",C245))),IFERROR(_xlfn.NUMBERVALUE(SUBSTITUTE(LEFT(TRIM(C245),FIND(" ",TRIM(C245)&amp;" ")-1),",","."),"."),LEFT(SUBSTITUTE(LEFT(TRIM(C245),FIND(" ",TRIM(C245)&amp;" ")-1),",","."),FIND("/",SUBSTITUTE(LEFT(TRIM(C245),FIND(" ",TRIM(C245)&amp;" ")-1),",","."))-1)/MID(SUBSTITUTE(LEFT(TRIM(C245),FIND(" ",TRIM(C245)&amp;" ")-1),",","."),FIND("/",SUBSTITUTE(LEFT(TRIM(C245),FIND(" ",TRIM(C245)&amp;" ")-1),",","."))+1,9))*12/52,IF(ISNUMBER(SEARCH("month",C245)),IFERROR(_xlfn.NUMBERVALUE(SUBSTITUTE(LEFT(TRIM(C245),FIND(" ",TRIM(C245)&amp;" ")-1),",","."),"."),LEFT(SUBSTITUTE(LEFT(TRIM(C245),FIND(" ",TRIM(C245)&amp;" ")-1),",","."),FIND("/",SUBSTITUTE(LEFT(TRIM(C245),FIND(" ",TRIM(C245)&amp;" ")-1),",","."))-1)/MID(SUBSTITUTE(LEFT(TRIM(C245),FIND(" ",TRIM(C245)&amp;" ")-1),",","."),FIND("/",SUBSTITUTE(LEFT(TRIM(C245),FIND(" ",TRIM(C245)&amp;" ")-1),",","."))+1,9)),IF(ISNUMBER(SEARCH("yea",C245)),IFERROR(_xlfn.NUMBERVALUE(SUBSTITUTE(LEFT(TRIM(C245),FIND(" ",TRIM(C245)&amp;" ")-1),",","."),"."),LEFT(SUBSTITUTE(LEFT(TRIM(C245),FIND(" ",TRIM(C245)&amp;" ")-1),",","."),FIND("/",SUBSTITUTE(LEFT(TRIM(C245),FIND(" ",TRIM(C245)&amp;" ")-1),",","."))-1)/MID(SUBSTITUTE(LEFT(TRIM(C245),FIND(" ",TRIM(C245)&amp;" ")-1),",","."),FIND("/",SUBSTITUTE(LEFT(TRIM(C245),FIND(" ",TRIM(C245)&amp;" ")-1),",","."))+1,9))*12,NA()))),0),24)*'Aturan &amp; Tarif'!$B$4,2)</f>
        <v>1362.72</v>
      </c>
      <c r="K245" s="32" t="n">
        <f aca="false">'Aturan &amp; Tarif'!$B$5</f>
        <v>2050</v>
      </c>
      <c r="L245" s="32" t="n">
        <f aca="false">'Aturan &amp; Tarif'!$B$6</f>
        <v>350</v>
      </c>
      <c r="M245" s="35" t="n">
        <f aca="false">I245+J245+K245+L245</f>
        <v>7962.72</v>
      </c>
      <c r="N245" s="37" t="s">
        <v>964</v>
      </c>
    </row>
    <row r="246" customFormat="false" ht="14.25" hidden="false" customHeight="true" outlineLevel="0" collapsed="false">
      <c r="A246" s="29"/>
      <c r="B246" s="30" t="s">
        <v>616</v>
      </c>
      <c r="C246" s="31" t="s">
        <v>107</v>
      </c>
      <c r="D246" s="31" t="s">
        <v>108</v>
      </c>
      <c r="E246" s="32" t="n">
        <v>2625</v>
      </c>
      <c r="F246" s="32" t="n">
        <v>2000</v>
      </c>
      <c r="G246" s="32"/>
      <c r="H246" s="33" t="n">
        <v>1</v>
      </c>
      <c r="I246" s="34" t="n">
        <f aca="false">E246*H246+N(F246)+N(G246)</f>
        <v>4625</v>
      </c>
      <c r="J246" s="32" t="n">
        <f aca="false">ROUND(IFERROR(ROUND(IF(OR(ISNUMBER(SEARCH("week",C246)),ISNUMBER(SEARCH("minggu",C246))),IFERROR(_xlfn.NUMBERVALUE(SUBSTITUTE(LEFT(TRIM(C246),FIND(" ",TRIM(C246)&amp;" ")-1),",","."),"."),LEFT(SUBSTITUTE(LEFT(TRIM(C246),FIND(" ",TRIM(C246)&amp;" ")-1),",","."),FIND("/",SUBSTITUTE(LEFT(TRIM(C246),FIND(" ",TRIM(C246)&amp;" ")-1),",","."))-1)/MID(SUBSTITUTE(LEFT(TRIM(C246),FIND(" ",TRIM(C246)&amp;" ")-1),",","."),FIND("/",SUBSTITUTE(LEFT(TRIM(C246),FIND(" ",TRIM(C246)&amp;" ")-1),",","."))+1,9))*12/52,IF(ISNUMBER(SEARCH("month",C246)),IFERROR(_xlfn.NUMBERVALUE(SUBSTITUTE(LEFT(TRIM(C246),FIND(" ",TRIM(C246)&amp;" ")-1),",","."),"."),LEFT(SUBSTITUTE(LEFT(TRIM(C246),FIND(" ",TRIM(C246)&amp;" ")-1),",","."),FIND("/",SUBSTITUTE(LEFT(TRIM(C246),FIND(" ",TRIM(C246)&amp;" ")-1),",","."))-1)/MID(SUBSTITUTE(LEFT(TRIM(C246),FIND(" ",TRIM(C246)&amp;" ")-1),",","."),FIND("/",SUBSTITUTE(LEFT(TRIM(C246),FIND(" ",TRIM(C246)&amp;" ")-1),",","."))+1,9)),IF(ISNUMBER(SEARCH("yea",C246)),IFERROR(_xlfn.NUMBERVALUE(SUBSTITUTE(LEFT(TRIM(C246),FIND(" ",TRIM(C246)&amp;" ")-1),",","."),"."),LEFT(SUBSTITUTE(LEFT(TRIM(C246),FIND(" ",TRIM(C246)&amp;" ")-1),",","."),FIND("/",SUBSTITUTE(LEFT(TRIM(C246),FIND(" ",TRIM(C246)&amp;" ")-1),",","."))-1)/MID(SUBSTITUTE(LEFT(TRIM(C246),FIND(" ",TRIM(C246)&amp;" ")-1),",","."),FIND("/",SUBSTITUTE(LEFT(TRIM(C246),FIND(" ",TRIM(C246)&amp;" ")-1),",","."))+1,9))*12,NA()))),0),24)*'Aturan &amp; Tarif'!$B$4,2)</f>
        <v>1362.72</v>
      </c>
      <c r="K246" s="32" t="n">
        <f aca="false">'Aturan &amp; Tarif'!$B$5</f>
        <v>2050</v>
      </c>
      <c r="L246" s="32" t="n">
        <f aca="false">'Aturan &amp; Tarif'!$B$6</f>
        <v>350</v>
      </c>
      <c r="M246" s="35" t="n">
        <f aca="false">I246+J246+K246+L246</f>
        <v>8387.72</v>
      </c>
      <c r="N246" s="37" t="s">
        <v>964</v>
      </c>
    </row>
    <row r="247" customFormat="false" ht="14.25" hidden="false" customHeight="true" outlineLevel="0" collapsed="false">
      <c r="A247" s="29"/>
      <c r="B247" s="30" t="s">
        <v>835</v>
      </c>
      <c r="C247" s="31" t="s">
        <v>107</v>
      </c>
      <c r="D247" s="31" t="s">
        <v>108</v>
      </c>
      <c r="E247" s="32" t="n">
        <v>2250</v>
      </c>
      <c r="F247" s="32" t="n">
        <v>1500</v>
      </c>
      <c r="G247" s="32"/>
      <c r="H247" s="33" t="n">
        <v>1</v>
      </c>
      <c r="I247" s="34" t="n">
        <f aca="false">E247*H247+N(F247)+N(G247)</f>
        <v>3750</v>
      </c>
      <c r="J247" s="32" t="n">
        <f aca="false">ROUND(IFERROR(ROUND(IF(OR(ISNUMBER(SEARCH("week",C247)),ISNUMBER(SEARCH("minggu",C247))),IFERROR(_xlfn.NUMBERVALUE(SUBSTITUTE(LEFT(TRIM(C247),FIND(" ",TRIM(C247)&amp;" ")-1),",","."),"."),LEFT(SUBSTITUTE(LEFT(TRIM(C247),FIND(" ",TRIM(C247)&amp;" ")-1),",","."),FIND("/",SUBSTITUTE(LEFT(TRIM(C247),FIND(" ",TRIM(C247)&amp;" ")-1),",","."))-1)/MID(SUBSTITUTE(LEFT(TRIM(C247),FIND(" ",TRIM(C247)&amp;" ")-1),",","."),FIND("/",SUBSTITUTE(LEFT(TRIM(C247),FIND(" ",TRIM(C247)&amp;" ")-1),",","."))+1,9))*12/52,IF(ISNUMBER(SEARCH("month",C247)),IFERROR(_xlfn.NUMBERVALUE(SUBSTITUTE(LEFT(TRIM(C247),FIND(" ",TRIM(C247)&amp;" ")-1),",","."),"."),LEFT(SUBSTITUTE(LEFT(TRIM(C247),FIND(" ",TRIM(C247)&amp;" ")-1),",","."),FIND("/",SUBSTITUTE(LEFT(TRIM(C247),FIND(" ",TRIM(C247)&amp;" ")-1),",","."))-1)/MID(SUBSTITUTE(LEFT(TRIM(C247),FIND(" ",TRIM(C247)&amp;" ")-1),",","."),FIND("/",SUBSTITUTE(LEFT(TRIM(C247),FIND(" ",TRIM(C247)&amp;" ")-1),",","."))+1,9)),IF(ISNUMBER(SEARCH("yea",C247)),IFERROR(_xlfn.NUMBERVALUE(SUBSTITUTE(LEFT(TRIM(C247),FIND(" ",TRIM(C247)&amp;" ")-1),",","."),"."),LEFT(SUBSTITUTE(LEFT(TRIM(C247),FIND(" ",TRIM(C247)&amp;" ")-1),",","."),FIND("/",SUBSTITUTE(LEFT(TRIM(C247),FIND(" ",TRIM(C247)&amp;" ")-1),",","."))-1)/MID(SUBSTITUTE(LEFT(TRIM(C247),FIND(" ",TRIM(C247)&amp;" ")-1),",","."),FIND("/",SUBSTITUTE(LEFT(TRIM(C247),FIND(" ",TRIM(C247)&amp;" ")-1),",","."))+1,9))*12,NA()))),0),24)*'Aturan &amp; Tarif'!$B$4,2)</f>
        <v>1362.72</v>
      </c>
      <c r="K247" s="32" t="n">
        <f aca="false">'Aturan &amp; Tarif'!$B$5</f>
        <v>2050</v>
      </c>
      <c r="L247" s="32" t="n">
        <f aca="false">'Aturan &amp; Tarif'!$B$6</f>
        <v>350</v>
      </c>
      <c r="M247" s="35" t="n">
        <f aca="false">I247+J247+K247+L247</f>
        <v>7512.72</v>
      </c>
      <c r="N247" s="37" t="s">
        <v>964</v>
      </c>
    </row>
    <row r="248" customFormat="false" ht="14.25" hidden="false" customHeight="true" outlineLevel="0" collapsed="false">
      <c r="A248" s="29"/>
      <c r="B248" s="30" t="s">
        <v>965</v>
      </c>
      <c r="C248" s="31" t="s">
        <v>127</v>
      </c>
      <c r="D248" s="31" t="s">
        <v>108</v>
      </c>
      <c r="E248" s="32" t="n">
        <v>2000</v>
      </c>
      <c r="F248" s="32" t="n">
        <v>1000</v>
      </c>
      <c r="G248" s="32"/>
      <c r="H248" s="33" t="n">
        <v>1</v>
      </c>
      <c r="I248" s="34" t="n">
        <f aca="false">E248*H248+N(F248)+N(G248)</f>
        <v>3000</v>
      </c>
      <c r="J248" s="32" t="n">
        <f aca="false">ROUND(IFERROR(ROUND(IF(OR(ISNUMBER(SEARCH("week",C248)),ISNUMBER(SEARCH("minggu",C248))),IFERROR(_xlfn.NUMBERVALUE(SUBSTITUTE(LEFT(TRIM(C248),FIND(" ",TRIM(C248)&amp;" ")-1),",","."),"."),LEFT(SUBSTITUTE(LEFT(TRIM(C248),FIND(" ",TRIM(C248)&amp;" ")-1),",","."),FIND("/",SUBSTITUTE(LEFT(TRIM(C248),FIND(" ",TRIM(C248)&amp;" ")-1),",","."))-1)/MID(SUBSTITUTE(LEFT(TRIM(C248),FIND(" ",TRIM(C248)&amp;" ")-1),",","."),FIND("/",SUBSTITUTE(LEFT(TRIM(C248),FIND(" ",TRIM(C248)&amp;" ")-1),",","."))+1,9))*12/52,IF(ISNUMBER(SEARCH("month",C248)),IFERROR(_xlfn.NUMBERVALUE(SUBSTITUTE(LEFT(TRIM(C248),FIND(" ",TRIM(C248)&amp;" ")-1),",","."),"."),LEFT(SUBSTITUTE(LEFT(TRIM(C248),FIND(" ",TRIM(C248)&amp;" ")-1),",","."),FIND("/",SUBSTITUTE(LEFT(TRIM(C248),FIND(" ",TRIM(C248)&amp;" ")-1),",","."))-1)/MID(SUBSTITUTE(LEFT(TRIM(C248),FIND(" ",TRIM(C248)&amp;" ")-1),",","."),FIND("/",SUBSTITUTE(LEFT(TRIM(C248),FIND(" ",TRIM(C248)&amp;" ")-1),",","."))+1,9)),IF(ISNUMBER(SEARCH("yea",C248)),IFERROR(_xlfn.NUMBERVALUE(SUBSTITUTE(LEFT(TRIM(C248),FIND(" ",TRIM(C248)&amp;" ")-1),",","."),"."),LEFT(SUBSTITUTE(LEFT(TRIM(C248),FIND(" ",TRIM(C248)&amp;" ")-1),",","."),FIND("/",SUBSTITUTE(LEFT(TRIM(C248),FIND(" ",TRIM(C248)&amp;" ")-1),",","."))-1)/MID(SUBSTITUTE(LEFT(TRIM(C248),FIND(" ",TRIM(C248)&amp;" ")-1),",","."),FIND("/",SUBSTITUTE(LEFT(TRIM(C248),FIND(" ",TRIM(C248)&amp;" ")-1),",","."))+1,9))*12,NA()))),0),36)*'Aturan &amp; Tarif'!$B$4,2)</f>
        <v>2044.08</v>
      </c>
      <c r="K248" s="32" t="n">
        <f aca="false">'Aturan &amp; Tarif'!$B$5</f>
        <v>2050</v>
      </c>
      <c r="L248" s="32" t="n">
        <f aca="false">'Aturan &amp; Tarif'!$B$6</f>
        <v>350</v>
      </c>
      <c r="M248" s="35" t="n">
        <f aca="false">I248+J248+K248+L248</f>
        <v>7444.08</v>
      </c>
      <c r="N248" s="37" t="s">
        <v>964</v>
      </c>
    </row>
    <row r="249" customFormat="false" ht="14.25" hidden="false" customHeight="true" outlineLevel="0" collapsed="false">
      <c r="A249" s="29"/>
      <c r="B249" s="30" t="s">
        <v>776</v>
      </c>
      <c r="C249" s="31" t="s">
        <v>130</v>
      </c>
      <c r="D249" s="31" t="s">
        <v>108</v>
      </c>
      <c r="E249" s="32" t="n">
        <v>1500</v>
      </c>
      <c r="F249" s="32" t="n">
        <v>500</v>
      </c>
      <c r="G249" s="32"/>
      <c r="H249" s="33" t="n">
        <v>1</v>
      </c>
      <c r="I249" s="34" t="n">
        <f aca="false">E249*H249+N(F249)+N(G249)</f>
        <v>2000</v>
      </c>
      <c r="J249" s="32" t="n">
        <f aca="false">ROUND(IFERROR(ROUND(IF(OR(ISNUMBER(SEARCH("week",C249)),ISNUMBER(SEARCH("minggu",C249))),IFERROR(_xlfn.NUMBERVALUE(SUBSTITUTE(LEFT(TRIM(C249),FIND(" ",TRIM(C249)&amp;" ")-1),",","."),"."),LEFT(SUBSTITUTE(LEFT(TRIM(C249),FIND(" ",TRIM(C249)&amp;" ")-1),",","."),FIND("/",SUBSTITUTE(LEFT(TRIM(C249),FIND(" ",TRIM(C249)&amp;" ")-1),",","."))-1)/MID(SUBSTITUTE(LEFT(TRIM(C249),FIND(" ",TRIM(C249)&amp;" ")-1),",","."),FIND("/",SUBSTITUTE(LEFT(TRIM(C249),FIND(" ",TRIM(C249)&amp;" ")-1),",","."))+1,9))*12/52,IF(ISNUMBER(SEARCH("month",C249)),IFERROR(_xlfn.NUMBERVALUE(SUBSTITUTE(LEFT(TRIM(C249),FIND(" ",TRIM(C249)&amp;" ")-1),",","."),"."),LEFT(SUBSTITUTE(LEFT(TRIM(C249),FIND(" ",TRIM(C249)&amp;" ")-1),",","."),FIND("/",SUBSTITUTE(LEFT(TRIM(C249),FIND(" ",TRIM(C249)&amp;" ")-1),",","."))-1)/MID(SUBSTITUTE(LEFT(TRIM(C249),FIND(" ",TRIM(C249)&amp;" ")-1),",","."),FIND("/",SUBSTITUTE(LEFT(TRIM(C249),FIND(" ",TRIM(C249)&amp;" ")-1),",","."))+1,9)),IF(ISNUMBER(SEARCH("yea",C249)),IFERROR(_xlfn.NUMBERVALUE(SUBSTITUTE(LEFT(TRIM(C249),FIND(" ",TRIM(C249)&amp;" ")-1),",","."),"."),LEFT(SUBSTITUTE(LEFT(TRIM(C249),FIND(" ",TRIM(C249)&amp;" ")-1),",","."),FIND("/",SUBSTITUTE(LEFT(TRIM(C249),FIND(" ",TRIM(C249)&amp;" ")-1),",","."))-1)/MID(SUBSTITUTE(LEFT(TRIM(C249),FIND(" ",TRIM(C249)&amp;" ")-1),",","."),FIND("/",SUBSTITUTE(LEFT(TRIM(C249),FIND(" ",TRIM(C249)&amp;" ")-1),",","."))+1,9))*12,NA()))),0),12)*'Aturan &amp; Tarif'!$B$4,2)</f>
        <v>681.36</v>
      </c>
      <c r="K249" s="32" t="n">
        <f aca="false">'Aturan &amp; Tarif'!$B$5</f>
        <v>2050</v>
      </c>
      <c r="L249" s="32" t="n">
        <f aca="false">'Aturan &amp; Tarif'!$B$6</f>
        <v>350</v>
      </c>
      <c r="M249" s="35" t="n">
        <f aca="false">I249+J249+K249+L249</f>
        <v>5081.36</v>
      </c>
      <c r="N249" s="37" t="s">
        <v>964</v>
      </c>
    </row>
    <row r="250" customFormat="false" ht="72" hidden="false" customHeight="true" outlineLevel="0" collapsed="false">
      <c r="A250" s="29" t="s">
        <v>966</v>
      </c>
      <c r="B250" s="30" t="s">
        <v>967</v>
      </c>
      <c r="C250" s="31" t="s">
        <v>130</v>
      </c>
      <c r="D250" s="31" t="s">
        <v>737</v>
      </c>
      <c r="E250" s="32" t="n">
        <v>11520</v>
      </c>
      <c r="F250" s="32" t="n">
        <v>0</v>
      </c>
      <c r="G250" s="32" t="n">
        <v>300</v>
      </c>
      <c r="H250" s="33" t="n">
        <v>1</v>
      </c>
      <c r="I250" s="34" t="n">
        <f aca="false">E250*H250+N(F250)+N(G250)</f>
        <v>11820</v>
      </c>
      <c r="J250" s="32" t="n">
        <f aca="false">ROUND(IFERROR(ROUND(IF(OR(ISNUMBER(SEARCH("week",C250)),ISNUMBER(SEARCH("minggu",C250))),IFERROR(_xlfn.NUMBERVALUE(SUBSTITUTE(LEFT(TRIM(C250),FIND(" ",TRIM(C250)&amp;" ")-1),",","."),"."),LEFT(SUBSTITUTE(LEFT(TRIM(C250),FIND(" ",TRIM(C250)&amp;" ")-1),",","."),FIND("/",SUBSTITUTE(LEFT(TRIM(C250),FIND(" ",TRIM(C250)&amp;" ")-1),",","."))-1)/MID(SUBSTITUTE(LEFT(TRIM(C250),FIND(" ",TRIM(C250)&amp;" ")-1),",","."),FIND("/",SUBSTITUTE(LEFT(TRIM(C250),FIND(" ",TRIM(C250)&amp;" ")-1),",","."))+1,9))*12/52,IF(ISNUMBER(SEARCH("month",C250)),IFERROR(_xlfn.NUMBERVALUE(SUBSTITUTE(LEFT(TRIM(C250),FIND(" ",TRIM(C250)&amp;" ")-1),",","."),"."),LEFT(SUBSTITUTE(LEFT(TRIM(C250),FIND(" ",TRIM(C250)&amp;" ")-1),",","."),FIND("/",SUBSTITUTE(LEFT(TRIM(C250),FIND(" ",TRIM(C250)&amp;" ")-1),",","."))-1)/MID(SUBSTITUTE(LEFT(TRIM(C250),FIND(" ",TRIM(C250)&amp;" ")-1),",","."),FIND("/",SUBSTITUTE(LEFT(TRIM(C250),FIND(" ",TRIM(C250)&amp;" ")-1),",","."))+1,9)),IF(ISNUMBER(SEARCH("yea",C250)),IFERROR(_xlfn.NUMBERVALUE(SUBSTITUTE(LEFT(TRIM(C250),FIND(" ",TRIM(C250)&amp;" ")-1),",","."),"."),LEFT(SUBSTITUTE(LEFT(TRIM(C250),FIND(" ",TRIM(C250)&amp;" ")-1),",","."),FIND("/",SUBSTITUTE(LEFT(TRIM(C250),FIND(" ",TRIM(C250)&amp;" ")-1),",","."))-1)/MID(SUBSTITUTE(LEFT(TRIM(C250),FIND(" ",TRIM(C250)&amp;" ")-1),",","."),FIND("/",SUBSTITUTE(LEFT(TRIM(C250),FIND(" ",TRIM(C250)&amp;" ")-1),",","."))+1,9))*12,NA()))),0),12)*'Aturan &amp; Tarif'!$B$4,2)</f>
        <v>681.36</v>
      </c>
      <c r="K250" s="32" t="n">
        <f aca="false">'Aturan &amp; Tarif'!$B$5</f>
        <v>2050</v>
      </c>
      <c r="L250" s="32" t="n">
        <f aca="false">'Aturan &amp; Tarif'!$B$6</f>
        <v>350</v>
      </c>
      <c r="M250" s="35" t="n">
        <f aca="false">I250+J250+K250+L250</f>
        <v>14901.36</v>
      </c>
      <c r="N250" s="37" t="s">
        <v>738</v>
      </c>
    </row>
    <row r="251" customFormat="false" ht="25.5" hidden="false" customHeight="true" outlineLevel="0" collapsed="false">
      <c r="A251" s="29"/>
      <c r="B251" s="30" t="s">
        <v>968</v>
      </c>
      <c r="C251" s="31" t="s">
        <v>127</v>
      </c>
      <c r="D251" s="31" t="s">
        <v>737</v>
      </c>
      <c r="E251" s="32" t="n">
        <v>11520</v>
      </c>
      <c r="F251" s="32" t="n">
        <v>0</v>
      </c>
      <c r="G251" s="32" t="n">
        <v>300</v>
      </c>
      <c r="H251" s="33" t="n">
        <v>1</v>
      </c>
      <c r="I251" s="34" t="n">
        <f aca="false">E251*H251+N(F251)+N(G251)</f>
        <v>11820</v>
      </c>
      <c r="J251" s="32" t="n">
        <f aca="false">ROUND(IFERROR(ROUND(IF(OR(ISNUMBER(SEARCH("week",C251)),ISNUMBER(SEARCH("minggu",C251))),IFERROR(_xlfn.NUMBERVALUE(SUBSTITUTE(LEFT(TRIM(C251),FIND(" ",TRIM(C251)&amp;" ")-1),",","."),"."),LEFT(SUBSTITUTE(LEFT(TRIM(C251),FIND(" ",TRIM(C251)&amp;" ")-1),",","."),FIND("/",SUBSTITUTE(LEFT(TRIM(C251),FIND(" ",TRIM(C251)&amp;" ")-1),",","."))-1)/MID(SUBSTITUTE(LEFT(TRIM(C251),FIND(" ",TRIM(C251)&amp;" ")-1),",","."),FIND("/",SUBSTITUTE(LEFT(TRIM(C251),FIND(" ",TRIM(C251)&amp;" ")-1),",","."))+1,9))*12/52,IF(ISNUMBER(SEARCH("month",C251)),IFERROR(_xlfn.NUMBERVALUE(SUBSTITUTE(LEFT(TRIM(C251),FIND(" ",TRIM(C251)&amp;" ")-1),",","."),"."),LEFT(SUBSTITUTE(LEFT(TRIM(C251),FIND(" ",TRIM(C251)&amp;" ")-1),",","."),FIND("/",SUBSTITUTE(LEFT(TRIM(C251),FIND(" ",TRIM(C251)&amp;" ")-1),",","."))-1)/MID(SUBSTITUTE(LEFT(TRIM(C251),FIND(" ",TRIM(C251)&amp;" ")-1),",","."),FIND("/",SUBSTITUTE(LEFT(TRIM(C251),FIND(" ",TRIM(C251)&amp;" ")-1),",","."))+1,9)),IF(ISNUMBER(SEARCH("yea",C251)),IFERROR(_xlfn.NUMBERVALUE(SUBSTITUTE(LEFT(TRIM(C251),FIND(" ",TRIM(C251)&amp;" ")-1),",","."),"."),LEFT(SUBSTITUTE(LEFT(TRIM(C251),FIND(" ",TRIM(C251)&amp;" ")-1),",","."),FIND("/",SUBSTITUTE(LEFT(TRIM(C251),FIND(" ",TRIM(C251)&amp;" ")-1),",","."))-1)/MID(SUBSTITUTE(LEFT(TRIM(C251),FIND(" ",TRIM(C251)&amp;" ")-1),",","."),FIND("/",SUBSTITUTE(LEFT(TRIM(C251),FIND(" ",TRIM(C251)&amp;" ")-1),",","."))+1,9))*12,NA()))),0),36)*'Aturan &amp; Tarif'!$B$4,2)</f>
        <v>2044.08</v>
      </c>
      <c r="K251" s="32" t="n">
        <f aca="false">'Aturan &amp; Tarif'!$B$5</f>
        <v>2050</v>
      </c>
      <c r="L251" s="32" t="n">
        <f aca="false">'Aturan &amp; Tarif'!$B$6</f>
        <v>350</v>
      </c>
      <c r="M251" s="35" t="n">
        <f aca="false">I251+J251+K251+L251</f>
        <v>16264.08</v>
      </c>
      <c r="N251" s="37" t="s">
        <v>738</v>
      </c>
    </row>
    <row r="252" customFormat="false" ht="25.5" hidden="false" customHeight="true" outlineLevel="0" collapsed="false">
      <c r="A252" s="29"/>
      <c r="B252" s="30" t="s">
        <v>969</v>
      </c>
      <c r="C252" s="31" t="s">
        <v>344</v>
      </c>
      <c r="D252" s="31" t="s">
        <v>737</v>
      </c>
      <c r="E252" s="32" t="n">
        <v>19640</v>
      </c>
      <c r="F252" s="32" t="n">
        <v>0</v>
      </c>
      <c r="G252" s="32" t="n">
        <v>300</v>
      </c>
      <c r="H252" s="33" t="n">
        <v>1</v>
      </c>
      <c r="I252" s="34" t="n">
        <f aca="false">E252*H252+N(F252)+N(G252)</f>
        <v>19940</v>
      </c>
      <c r="J252" s="32" t="n">
        <f aca="false">ROUND(IFERROR(ROUND(IF(OR(ISNUMBER(SEARCH("week",C252)),ISNUMBER(SEARCH("minggu",C252))),IFERROR(_xlfn.NUMBERVALUE(SUBSTITUTE(LEFT(TRIM(C252),FIND(" ",TRIM(C252)&amp;" ")-1),",","."),"."),LEFT(SUBSTITUTE(LEFT(TRIM(C252),FIND(" ",TRIM(C252)&amp;" ")-1),",","."),FIND("/",SUBSTITUTE(LEFT(TRIM(C252),FIND(" ",TRIM(C252)&amp;" ")-1),",","."))-1)/MID(SUBSTITUTE(LEFT(TRIM(C252),FIND(" ",TRIM(C252)&amp;" ")-1),",","."),FIND("/",SUBSTITUTE(LEFT(TRIM(C252),FIND(" ",TRIM(C252)&amp;" ")-1),",","."))+1,9))*12/52,IF(ISNUMBER(SEARCH("month",C252)),IFERROR(_xlfn.NUMBERVALUE(SUBSTITUTE(LEFT(TRIM(C252),FIND(" ",TRIM(C252)&amp;" ")-1),",","."),"."),LEFT(SUBSTITUTE(LEFT(TRIM(C252),FIND(" ",TRIM(C252)&amp;" ")-1),",","."),FIND("/",SUBSTITUTE(LEFT(TRIM(C252),FIND(" ",TRIM(C252)&amp;" ")-1),",","."))-1)/MID(SUBSTITUTE(LEFT(TRIM(C252),FIND(" ",TRIM(C252)&amp;" ")-1),",","."),FIND("/",SUBSTITUTE(LEFT(TRIM(C252),FIND(" ",TRIM(C252)&amp;" ")-1),",","."))+1,9)),IF(ISNUMBER(SEARCH("yea",C252)),IFERROR(_xlfn.NUMBERVALUE(SUBSTITUTE(LEFT(TRIM(C252),FIND(" ",TRIM(C252)&amp;" ")-1),",","."),"."),LEFT(SUBSTITUTE(LEFT(TRIM(C252),FIND(" ",TRIM(C252)&amp;" ")-1),",","."),FIND("/",SUBSTITUTE(LEFT(TRIM(C252),FIND(" ",TRIM(C252)&amp;" ")-1),",","."))-1)/MID(SUBSTITUTE(LEFT(TRIM(C252),FIND(" ",TRIM(C252)&amp;" ")-1),",","."),FIND("/",SUBSTITUTE(LEFT(TRIM(C252),FIND(" ",TRIM(C252)&amp;" ")-1),",","."))+1,9))*12,NA()))),0),6)*'Aturan &amp; Tarif'!$B$4,2)</f>
        <v>340.68</v>
      </c>
      <c r="K252" s="32" t="n">
        <f aca="false">'Aturan &amp; Tarif'!$B$5</f>
        <v>2050</v>
      </c>
      <c r="L252" s="32" t="n">
        <f aca="false">'Aturan &amp; Tarif'!$B$6</f>
        <v>350</v>
      </c>
      <c r="M252" s="35" t="n">
        <f aca="false">I252+J252+K252+L252</f>
        <v>22680.68</v>
      </c>
      <c r="N252" s="37" t="s">
        <v>738</v>
      </c>
    </row>
    <row r="253" customFormat="false" ht="25.5" hidden="false" customHeight="true" outlineLevel="0" collapsed="false">
      <c r="A253" s="29"/>
      <c r="B253" s="30" t="s">
        <v>970</v>
      </c>
      <c r="C253" s="31" t="s">
        <v>130</v>
      </c>
      <c r="D253" s="31" t="s">
        <v>737</v>
      </c>
      <c r="E253" s="32" t="n">
        <v>19640</v>
      </c>
      <c r="F253" s="32" t="n">
        <v>0</v>
      </c>
      <c r="G253" s="32" t="n">
        <v>300</v>
      </c>
      <c r="H253" s="33" t="n">
        <v>1</v>
      </c>
      <c r="I253" s="34" t="n">
        <f aca="false">E253*H253+N(F253)+N(G253)</f>
        <v>19940</v>
      </c>
      <c r="J253" s="32" t="n">
        <f aca="false">ROUND(IFERROR(ROUND(IF(OR(ISNUMBER(SEARCH("week",C253)),ISNUMBER(SEARCH("minggu",C253))),IFERROR(_xlfn.NUMBERVALUE(SUBSTITUTE(LEFT(TRIM(C253),FIND(" ",TRIM(C253)&amp;" ")-1),",","."),"."),LEFT(SUBSTITUTE(LEFT(TRIM(C253),FIND(" ",TRIM(C253)&amp;" ")-1),",","."),FIND("/",SUBSTITUTE(LEFT(TRIM(C253),FIND(" ",TRIM(C253)&amp;" ")-1),",","."))-1)/MID(SUBSTITUTE(LEFT(TRIM(C253),FIND(" ",TRIM(C253)&amp;" ")-1),",","."),FIND("/",SUBSTITUTE(LEFT(TRIM(C253),FIND(" ",TRIM(C253)&amp;" ")-1),",","."))+1,9))*12/52,IF(ISNUMBER(SEARCH("month",C253)),IFERROR(_xlfn.NUMBERVALUE(SUBSTITUTE(LEFT(TRIM(C253),FIND(" ",TRIM(C253)&amp;" ")-1),",","."),"."),LEFT(SUBSTITUTE(LEFT(TRIM(C253),FIND(" ",TRIM(C253)&amp;" ")-1),",","."),FIND("/",SUBSTITUTE(LEFT(TRIM(C253),FIND(" ",TRIM(C253)&amp;" ")-1),",","."))-1)/MID(SUBSTITUTE(LEFT(TRIM(C253),FIND(" ",TRIM(C253)&amp;" ")-1),",","."),FIND("/",SUBSTITUTE(LEFT(TRIM(C253),FIND(" ",TRIM(C253)&amp;" ")-1),",","."))+1,9)),IF(ISNUMBER(SEARCH("yea",C253)),IFERROR(_xlfn.NUMBERVALUE(SUBSTITUTE(LEFT(TRIM(C253),FIND(" ",TRIM(C253)&amp;" ")-1),",","."),"."),LEFT(SUBSTITUTE(LEFT(TRIM(C253),FIND(" ",TRIM(C253)&amp;" ")-1),",","."),FIND("/",SUBSTITUTE(LEFT(TRIM(C253),FIND(" ",TRIM(C253)&amp;" ")-1),",","."))-1)/MID(SUBSTITUTE(LEFT(TRIM(C253),FIND(" ",TRIM(C253)&amp;" ")-1),",","."),FIND("/",SUBSTITUTE(LEFT(TRIM(C253),FIND(" ",TRIM(C253)&amp;" ")-1),",","."))+1,9))*12,NA()))),0),12)*'Aturan &amp; Tarif'!$B$4,2)</f>
        <v>681.36</v>
      </c>
      <c r="K253" s="32" t="n">
        <f aca="false">'Aturan &amp; Tarif'!$B$5</f>
        <v>2050</v>
      </c>
      <c r="L253" s="32" t="n">
        <f aca="false">'Aturan &amp; Tarif'!$B$6</f>
        <v>350</v>
      </c>
      <c r="M253" s="35" t="n">
        <f aca="false">I253+J253+K253+L253</f>
        <v>23021.36</v>
      </c>
      <c r="N253" s="37" t="s">
        <v>742</v>
      </c>
    </row>
    <row r="254" customFormat="false" ht="25.5" hidden="false" customHeight="true" outlineLevel="0" collapsed="false">
      <c r="A254" s="29"/>
      <c r="B254" s="30" t="s">
        <v>971</v>
      </c>
      <c r="C254" s="31" t="s">
        <v>113</v>
      </c>
      <c r="D254" s="31" t="s">
        <v>737</v>
      </c>
      <c r="E254" s="32" t="n">
        <v>19640</v>
      </c>
      <c r="F254" s="32" t="n">
        <v>0</v>
      </c>
      <c r="G254" s="32" t="n">
        <v>300</v>
      </c>
      <c r="H254" s="33" t="n">
        <v>1</v>
      </c>
      <c r="I254" s="34" t="n">
        <f aca="false">E254*H254+N(F254)+N(G254)</f>
        <v>19940</v>
      </c>
      <c r="J254" s="32" t="n">
        <f aca="false">ROUND(IFERROR(ROUND(IF(OR(ISNUMBER(SEARCH("week",C254)),ISNUMBER(SEARCH("minggu",C254))),IFERROR(_xlfn.NUMBERVALUE(SUBSTITUTE(LEFT(TRIM(C254),FIND(" ",TRIM(C254)&amp;" ")-1),",","."),"."),LEFT(SUBSTITUTE(LEFT(TRIM(C254),FIND(" ",TRIM(C254)&amp;" ")-1),",","."),FIND("/",SUBSTITUTE(LEFT(TRIM(C254),FIND(" ",TRIM(C254)&amp;" ")-1),",","."))-1)/MID(SUBSTITUTE(LEFT(TRIM(C254),FIND(" ",TRIM(C254)&amp;" ")-1),",","."),FIND("/",SUBSTITUTE(LEFT(TRIM(C254),FIND(" ",TRIM(C254)&amp;" ")-1),",","."))+1,9))*12/52,IF(ISNUMBER(SEARCH("month",C254)),IFERROR(_xlfn.NUMBERVALUE(SUBSTITUTE(LEFT(TRIM(C254),FIND(" ",TRIM(C254)&amp;" ")-1),",","."),"."),LEFT(SUBSTITUTE(LEFT(TRIM(C254),FIND(" ",TRIM(C254)&amp;" ")-1),",","."),FIND("/",SUBSTITUTE(LEFT(TRIM(C254),FIND(" ",TRIM(C254)&amp;" ")-1),",","."))-1)/MID(SUBSTITUTE(LEFT(TRIM(C254),FIND(" ",TRIM(C254)&amp;" ")-1),",","."),FIND("/",SUBSTITUTE(LEFT(TRIM(C254),FIND(" ",TRIM(C254)&amp;" ")-1),",","."))+1,9)),IF(ISNUMBER(SEARCH("yea",C254)),IFERROR(_xlfn.NUMBERVALUE(SUBSTITUTE(LEFT(TRIM(C254),FIND(" ",TRIM(C254)&amp;" ")-1),",","."),"."),LEFT(SUBSTITUTE(LEFT(TRIM(C254),FIND(" ",TRIM(C254)&amp;" ")-1),",","."),FIND("/",SUBSTITUTE(LEFT(TRIM(C254),FIND(" ",TRIM(C254)&amp;" ")-1),",","."))-1)/MID(SUBSTITUTE(LEFT(TRIM(C254),FIND(" ",TRIM(C254)&amp;" ")-1),",","."),FIND("/",SUBSTITUTE(LEFT(TRIM(C254),FIND(" ",TRIM(C254)&amp;" ")-1),",","."))+1,9))*12,NA()))),0),18)*'Aturan &amp; Tarif'!$B$4,2)</f>
        <v>1022.04</v>
      </c>
      <c r="K254" s="32" t="n">
        <f aca="false">'Aturan &amp; Tarif'!$B$5</f>
        <v>2050</v>
      </c>
      <c r="L254" s="32" t="n">
        <f aca="false">'Aturan &amp; Tarif'!$B$6</f>
        <v>350</v>
      </c>
      <c r="M254" s="35" t="n">
        <f aca="false">I254+J254+K254+L254</f>
        <v>23362.04</v>
      </c>
      <c r="N254" s="37" t="s">
        <v>744</v>
      </c>
    </row>
    <row r="255" customFormat="false" ht="25.5" hidden="false" customHeight="true" outlineLevel="0" collapsed="false">
      <c r="A255" s="29"/>
      <c r="B255" s="30" t="s">
        <v>972</v>
      </c>
      <c r="C255" s="31" t="s">
        <v>344</v>
      </c>
      <c r="D255" s="31" t="s">
        <v>737</v>
      </c>
      <c r="E255" s="32" t="n">
        <v>13600</v>
      </c>
      <c r="F255" s="32" t="n">
        <v>0</v>
      </c>
      <c r="G255" s="32" t="n">
        <v>300</v>
      </c>
      <c r="H255" s="33" t="n">
        <v>1</v>
      </c>
      <c r="I255" s="34" t="n">
        <f aca="false">E255*H255+N(F255)+N(G255)</f>
        <v>13900</v>
      </c>
      <c r="J255" s="32" t="n">
        <f aca="false">ROUND(IFERROR(ROUND(IF(OR(ISNUMBER(SEARCH("week",C255)),ISNUMBER(SEARCH("minggu",C255))),IFERROR(_xlfn.NUMBERVALUE(SUBSTITUTE(LEFT(TRIM(C255),FIND(" ",TRIM(C255)&amp;" ")-1),",","."),"."),LEFT(SUBSTITUTE(LEFT(TRIM(C255),FIND(" ",TRIM(C255)&amp;" ")-1),",","."),FIND("/",SUBSTITUTE(LEFT(TRIM(C255),FIND(" ",TRIM(C255)&amp;" ")-1),",","."))-1)/MID(SUBSTITUTE(LEFT(TRIM(C255),FIND(" ",TRIM(C255)&amp;" ")-1),",","."),FIND("/",SUBSTITUTE(LEFT(TRIM(C255),FIND(" ",TRIM(C255)&amp;" ")-1),",","."))+1,9))*12/52,IF(ISNUMBER(SEARCH("month",C255)),IFERROR(_xlfn.NUMBERVALUE(SUBSTITUTE(LEFT(TRIM(C255),FIND(" ",TRIM(C255)&amp;" ")-1),",","."),"."),LEFT(SUBSTITUTE(LEFT(TRIM(C255),FIND(" ",TRIM(C255)&amp;" ")-1),",","."),FIND("/",SUBSTITUTE(LEFT(TRIM(C255),FIND(" ",TRIM(C255)&amp;" ")-1),",","."))-1)/MID(SUBSTITUTE(LEFT(TRIM(C255),FIND(" ",TRIM(C255)&amp;" ")-1),",","."),FIND("/",SUBSTITUTE(LEFT(TRIM(C255),FIND(" ",TRIM(C255)&amp;" ")-1),",","."))+1,9)),IF(ISNUMBER(SEARCH("yea",C255)),IFERROR(_xlfn.NUMBERVALUE(SUBSTITUTE(LEFT(TRIM(C255),FIND(" ",TRIM(C255)&amp;" ")-1),",","."),"."),LEFT(SUBSTITUTE(LEFT(TRIM(C255),FIND(" ",TRIM(C255)&amp;" ")-1),",","."),FIND("/",SUBSTITUTE(LEFT(TRIM(C255),FIND(" ",TRIM(C255)&amp;" ")-1),",","."))-1)/MID(SUBSTITUTE(LEFT(TRIM(C255),FIND(" ",TRIM(C255)&amp;" ")-1),",","."),FIND("/",SUBSTITUTE(LEFT(TRIM(C255),FIND(" ",TRIM(C255)&amp;" ")-1),",","."))+1,9))*12,NA()))),0),6)*'Aturan &amp; Tarif'!$B$4,2)</f>
        <v>340.68</v>
      </c>
      <c r="K255" s="32" t="n">
        <f aca="false">'Aturan &amp; Tarif'!$B$5</f>
        <v>2050</v>
      </c>
      <c r="L255" s="32" t="n">
        <f aca="false">'Aturan &amp; Tarif'!$B$6</f>
        <v>350</v>
      </c>
      <c r="M255" s="35" t="n">
        <f aca="false">I255+J255+K255+L255</f>
        <v>16640.68</v>
      </c>
      <c r="N255" s="37" t="s">
        <v>738</v>
      </c>
    </row>
    <row r="256" customFormat="false" ht="25.5" hidden="false" customHeight="true" outlineLevel="0" collapsed="false">
      <c r="A256" s="29"/>
      <c r="B256" s="30" t="s">
        <v>973</v>
      </c>
      <c r="C256" s="31" t="s">
        <v>107</v>
      </c>
      <c r="D256" s="31" t="s">
        <v>737</v>
      </c>
      <c r="E256" s="32" t="n">
        <v>13600</v>
      </c>
      <c r="F256" s="32" t="n">
        <v>0</v>
      </c>
      <c r="G256" s="32" t="n">
        <v>300</v>
      </c>
      <c r="H256" s="33" t="n">
        <v>1</v>
      </c>
      <c r="I256" s="34" t="n">
        <f aca="false">E256*H256+N(F256)+N(G256)</f>
        <v>13900</v>
      </c>
      <c r="J256" s="32" t="n">
        <f aca="false">ROUND(IFERROR(ROUND(IF(OR(ISNUMBER(SEARCH("week",C256)),ISNUMBER(SEARCH("minggu",C256))),IFERROR(_xlfn.NUMBERVALUE(SUBSTITUTE(LEFT(TRIM(C256),FIND(" ",TRIM(C256)&amp;" ")-1),",","."),"."),LEFT(SUBSTITUTE(LEFT(TRIM(C256),FIND(" ",TRIM(C256)&amp;" ")-1),",","."),FIND("/",SUBSTITUTE(LEFT(TRIM(C256),FIND(" ",TRIM(C256)&amp;" ")-1),",","."))-1)/MID(SUBSTITUTE(LEFT(TRIM(C256),FIND(" ",TRIM(C256)&amp;" ")-1),",","."),FIND("/",SUBSTITUTE(LEFT(TRIM(C256),FIND(" ",TRIM(C256)&amp;" ")-1),",","."))+1,9))*12/52,IF(ISNUMBER(SEARCH("month",C256)),IFERROR(_xlfn.NUMBERVALUE(SUBSTITUTE(LEFT(TRIM(C256),FIND(" ",TRIM(C256)&amp;" ")-1),",","."),"."),LEFT(SUBSTITUTE(LEFT(TRIM(C256),FIND(" ",TRIM(C256)&amp;" ")-1),",","."),FIND("/",SUBSTITUTE(LEFT(TRIM(C256),FIND(" ",TRIM(C256)&amp;" ")-1),",","."))-1)/MID(SUBSTITUTE(LEFT(TRIM(C256),FIND(" ",TRIM(C256)&amp;" ")-1),",","."),FIND("/",SUBSTITUTE(LEFT(TRIM(C256),FIND(" ",TRIM(C256)&amp;" ")-1),",","."))+1,9)),IF(ISNUMBER(SEARCH("yea",C256)),IFERROR(_xlfn.NUMBERVALUE(SUBSTITUTE(LEFT(TRIM(C256),FIND(" ",TRIM(C256)&amp;" ")-1),",","."),"."),LEFT(SUBSTITUTE(LEFT(TRIM(C256),FIND(" ",TRIM(C256)&amp;" ")-1),",","."),FIND("/",SUBSTITUTE(LEFT(TRIM(C256),FIND(" ",TRIM(C256)&amp;" ")-1),",","."))-1)/MID(SUBSTITUTE(LEFT(TRIM(C256),FIND(" ",TRIM(C256)&amp;" ")-1),",","."),FIND("/",SUBSTITUTE(LEFT(TRIM(C256),FIND(" ",TRIM(C256)&amp;" ")-1),",","."))+1,9))*12,NA()))),0),24)*'Aturan &amp; Tarif'!$B$4,2)</f>
        <v>1362.72</v>
      </c>
      <c r="K256" s="32" t="n">
        <f aca="false">'Aturan &amp; Tarif'!$B$5</f>
        <v>2050</v>
      </c>
      <c r="L256" s="32" t="n">
        <f aca="false">'Aturan &amp; Tarif'!$B$6</f>
        <v>350</v>
      </c>
      <c r="M256" s="35" t="n">
        <f aca="false">I256+J256+K256+L256</f>
        <v>17662.72</v>
      </c>
      <c r="N256" s="37" t="s">
        <v>738</v>
      </c>
    </row>
    <row r="257" customFormat="false" ht="25.5" hidden="false" customHeight="true" outlineLevel="0" collapsed="false">
      <c r="A257" s="29"/>
      <c r="B257" s="30" t="s">
        <v>974</v>
      </c>
      <c r="C257" s="31" t="s">
        <v>113</v>
      </c>
      <c r="D257" s="31" t="s">
        <v>737</v>
      </c>
      <c r="E257" s="32" t="n">
        <v>13600</v>
      </c>
      <c r="F257" s="32" t="n">
        <v>0</v>
      </c>
      <c r="G257" s="32" t="n">
        <v>300</v>
      </c>
      <c r="H257" s="33" t="n">
        <v>1</v>
      </c>
      <c r="I257" s="34" t="n">
        <f aca="false">E257*H257+N(F257)+N(G257)</f>
        <v>13900</v>
      </c>
      <c r="J257" s="32" t="n">
        <f aca="false">ROUND(IFERROR(ROUND(IF(OR(ISNUMBER(SEARCH("week",C257)),ISNUMBER(SEARCH("minggu",C257))),IFERROR(_xlfn.NUMBERVALUE(SUBSTITUTE(LEFT(TRIM(C257),FIND(" ",TRIM(C257)&amp;" ")-1),",","."),"."),LEFT(SUBSTITUTE(LEFT(TRIM(C257),FIND(" ",TRIM(C257)&amp;" ")-1),",","."),FIND("/",SUBSTITUTE(LEFT(TRIM(C257),FIND(" ",TRIM(C257)&amp;" ")-1),",","."))-1)/MID(SUBSTITUTE(LEFT(TRIM(C257),FIND(" ",TRIM(C257)&amp;" ")-1),",","."),FIND("/",SUBSTITUTE(LEFT(TRIM(C257),FIND(" ",TRIM(C257)&amp;" ")-1),",","."))+1,9))*12/52,IF(ISNUMBER(SEARCH("month",C257)),IFERROR(_xlfn.NUMBERVALUE(SUBSTITUTE(LEFT(TRIM(C257),FIND(" ",TRIM(C257)&amp;" ")-1),",","."),"."),LEFT(SUBSTITUTE(LEFT(TRIM(C257),FIND(" ",TRIM(C257)&amp;" ")-1),",","."),FIND("/",SUBSTITUTE(LEFT(TRIM(C257),FIND(" ",TRIM(C257)&amp;" ")-1),",","."))-1)/MID(SUBSTITUTE(LEFT(TRIM(C257),FIND(" ",TRIM(C257)&amp;" ")-1),",","."),FIND("/",SUBSTITUTE(LEFT(TRIM(C257),FIND(" ",TRIM(C257)&amp;" ")-1),",","."))+1,9)),IF(ISNUMBER(SEARCH("yea",C257)),IFERROR(_xlfn.NUMBERVALUE(SUBSTITUTE(LEFT(TRIM(C257),FIND(" ",TRIM(C257)&amp;" ")-1),",","."),"."),LEFT(SUBSTITUTE(LEFT(TRIM(C257),FIND(" ",TRIM(C257)&amp;" ")-1),",","."),FIND("/",SUBSTITUTE(LEFT(TRIM(C257),FIND(" ",TRIM(C257)&amp;" ")-1),",","."))-1)/MID(SUBSTITUTE(LEFT(TRIM(C257),FIND(" ",TRIM(C257)&amp;" ")-1),",","."),FIND("/",SUBSTITUTE(LEFT(TRIM(C257),FIND(" ",TRIM(C257)&amp;" ")-1),",","."))+1,9))*12,NA()))),0),18)*'Aturan &amp; Tarif'!$B$4,2)</f>
        <v>1022.04</v>
      </c>
      <c r="K257" s="32" t="n">
        <f aca="false">'Aturan &amp; Tarif'!$B$5</f>
        <v>2050</v>
      </c>
      <c r="L257" s="32" t="n">
        <f aca="false">'Aturan &amp; Tarif'!$B$6</f>
        <v>350</v>
      </c>
      <c r="M257" s="35" t="n">
        <f aca="false">I257+J257+K257+L257</f>
        <v>17322.04</v>
      </c>
      <c r="N257" s="37" t="s">
        <v>738</v>
      </c>
    </row>
    <row r="258" customFormat="false" ht="25.5" hidden="false" customHeight="true" outlineLevel="0" collapsed="false">
      <c r="A258" s="29"/>
      <c r="B258" s="30" t="s">
        <v>975</v>
      </c>
      <c r="C258" s="31" t="s">
        <v>113</v>
      </c>
      <c r="D258" s="31" t="s">
        <v>737</v>
      </c>
      <c r="E258" s="32" t="n">
        <v>13600</v>
      </c>
      <c r="F258" s="32" t="n">
        <v>0</v>
      </c>
      <c r="G258" s="32" t="n">
        <v>300</v>
      </c>
      <c r="H258" s="33" t="n">
        <v>1</v>
      </c>
      <c r="I258" s="34" t="n">
        <f aca="false">E258*H258+N(F258)+N(G258)</f>
        <v>13900</v>
      </c>
      <c r="J258" s="32" t="n">
        <f aca="false">ROUND(IFERROR(ROUND(IF(OR(ISNUMBER(SEARCH("week",C258)),ISNUMBER(SEARCH("minggu",C258))),IFERROR(_xlfn.NUMBERVALUE(SUBSTITUTE(LEFT(TRIM(C258),FIND(" ",TRIM(C258)&amp;" ")-1),",","."),"."),LEFT(SUBSTITUTE(LEFT(TRIM(C258),FIND(" ",TRIM(C258)&amp;" ")-1),",","."),FIND("/",SUBSTITUTE(LEFT(TRIM(C258),FIND(" ",TRIM(C258)&amp;" ")-1),",","."))-1)/MID(SUBSTITUTE(LEFT(TRIM(C258),FIND(" ",TRIM(C258)&amp;" ")-1),",","."),FIND("/",SUBSTITUTE(LEFT(TRIM(C258),FIND(" ",TRIM(C258)&amp;" ")-1),",","."))+1,9))*12/52,IF(ISNUMBER(SEARCH("month",C258)),IFERROR(_xlfn.NUMBERVALUE(SUBSTITUTE(LEFT(TRIM(C258),FIND(" ",TRIM(C258)&amp;" ")-1),",","."),"."),LEFT(SUBSTITUTE(LEFT(TRIM(C258),FIND(" ",TRIM(C258)&amp;" ")-1),",","."),FIND("/",SUBSTITUTE(LEFT(TRIM(C258),FIND(" ",TRIM(C258)&amp;" ")-1),",","."))-1)/MID(SUBSTITUTE(LEFT(TRIM(C258),FIND(" ",TRIM(C258)&amp;" ")-1),",","."),FIND("/",SUBSTITUTE(LEFT(TRIM(C258),FIND(" ",TRIM(C258)&amp;" ")-1),",","."))+1,9)),IF(ISNUMBER(SEARCH("yea",C258)),IFERROR(_xlfn.NUMBERVALUE(SUBSTITUTE(LEFT(TRIM(C258),FIND(" ",TRIM(C258)&amp;" ")-1),",","."),"."),LEFT(SUBSTITUTE(LEFT(TRIM(C258),FIND(" ",TRIM(C258)&amp;" ")-1),",","."),FIND("/",SUBSTITUTE(LEFT(TRIM(C258),FIND(" ",TRIM(C258)&amp;" ")-1),",","."))-1)/MID(SUBSTITUTE(LEFT(TRIM(C258),FIND(" ",TRIM(C258)&amp;" ")-1),",","."),FIND("/",SUBSTITUTE(LEFT(TRIM(C258),FIND(" ",TRIM(C258)&amp;" ")-1),",","."))+1,9))*12,NA()))),0),18)*'Aturan &amp; Tarif'!$B$4,2)</f>
        <v>1022.04</v>
      </c>
      <c r="K258" s="32" t="n">
        <f aca="false">'Aturan &amp; Tarif'!$B$5</f>
        <v>2050</v>
      </c>
      <c r="L258" s="32" t="n">
        <f aca="false">'Aturan &amp; Tarif'!$B$6</f>
        <v>350</v>
      </c>
      <c r="M258" s="35" t="n">
        <f aca="false">I258+J258+K258+L258</f>
        <v>17322.04</v>
      </c>
      <c r="N258" s="37" t="s">
        <v>738</v>
      </c>
    </row>
    <row r="259" customFormat="false" ht="25.5" hidden="false" customHeight="true" outlineLevel="0" collapsed="false">
      <c r="A259" s="29"/>
      <c r="B259" s="30" t="s">
        <v>976</v>
      </c>
      <c r="C259" s="31" t="s">
        <v>107</v>
      </c>
      <c r="D259" s="31" t="s">
        <v>737</v>
      </c>
      <c r="E259" s="32" t="n">
        <v>13600</v>
      </c>
      <c r="F259" s="32" t="n">
        <v>0</v>
      </c>
      <c r="G259" s="32" t="n">
        <v>300</v>
      </c>
      <c r="H259" s="33" t="n">
        <v>1</v>
      </c>
      <c r="I259" s="34" t="n">
        <f aca="false">E259*H259+N(F259)+N(G259)</f>
        <v>13900</v>
      </c>
      <c r="J259" s="32" t="n">
        <f aca="false">ROUND(IFERROR(ROUND(IF(OR(ISNUMBER(SEARCH("week",C259)),ISNUMBER(SEARCH("minggu",C259))),IFERROR(_xlfn.NUMBERVALUE(SUBSTITUTE(LEFT(TRIM(C259),FIND(" ",TRIM(C259)&amp;" ")-1),",","."),"."),LEFT(SUBSTITUTE(LEFT(TRIM(C259),FIND(" ",TRIM(C259)&amp;" ")-1),",","."),FIND("/",SUBSTITUTE(LEFT(TRIM(C259),FIND(" ",TRIM(C259)&amp;" ")-1),",","."))-1)/MID(SUBSTITUTE(LEFT(TRIM(C259),FIND(" ",TRIM(C259)&amp;" ")-1),",","."),FIND("/",SUBSTITUTE(LEFT(TRIM(C259),FIND(" ",TRIM(C259)&amp;" ")-1),",","."))+1,9))*12/52,IF(ISNUMBER(SEARCH("month",C259)),IFERROR(_xlfn.NUMBERVALUE(SUBSTITUTE(LEFT(TRIM(C259),FIND(" ",TRIM(C259)&amp;" ")-1),",","."),"."),LEFT(SUBSTITUTE(LEFT(TRIM(C259),FIND(" ",TRIM(C259)&amp;" ")-1),",","."),FIND("/",SUBSTITUTE(LEFT(TRIM(C259),FIND(" ",TRIM(C259)&amp;" ")-1),",","."))-1)/MID(SUBSTITUTE(LEFT(TRIM(C259),FIND(" ",TRIM(C259)&amp;" ")-1),",","."),FIND("/",SUBSTITUTE(LEFT(TRIM(C259),FIND(" ",TRIM(C259)&amp;" ")-1),",","."))+1,9)),IF(ISNUMBER(SEARCH("yea",C259)),IFERROR(_xlfn.NUMBERVALUE(SUBSTITUTE(LEFT(TRIM(C259),FIND(" ",TRIM(C259)&amp;" ")-1),",","."),"."),LEFT(SUBSTITUTE(LEFT(TRIM(C259),FIND(" ",TRIM(C259)&amp;" ")-1),",","."),FIND("/",SUBSTITUTE(LEFT(TRIM(C259),FIND(" ",TRIM(C259)&amp;" ")-1),",","."))-1)/MID(SUBSTITUTE(LEFT(TRIM(C259),FIND(" ",TRIM(C259)&amp;" ")-1),",","."),FIND("/",SUBSTITUTE(LEFT(TRIM(C259),FIND(" ",TRIM(C259)&amp;" ")-1),",","."))+1,9))*12,NA()))),0),24)*'Aturan &amp; Tarif'!$B$4,2)</f>
        <v>1362.72</v>
      </c>
      <c r="K259" s="32" t="n">
        <f aca="false">'Aturan &amp; Tarif'!$B$5</f>
        <v>2050</v>
      </c>
      <c r="L259" s="32" t="n">
        <f aca="false">'Aturan &amp; Tarif'!$B$6</f>
        <v>350</v>
      </c>
      <c r="M259" s="35" t="n">
        <f aca="false">I259+J259+K259+L259</f>
        <v>17662.72</v>
      </c>
      <c r="N259" s="37" t="s">
        <v>738</v>
      </c>
    </row>
    <row r="260" customFormat="false" ht="37.5" hidden="false" customHeight="true" outlineLevel="0" collapsed="false">
      <c r="A260" s="29"/>
      <c r="B260" s="30" t="s">
        <v>977</v>
      </c>
      <c r="C260" s="31" t="s">
        <v>138</v>
      </c>
      <c r="D260" s="31" t="s">
        <v>737</v>
      </c>
      <c r="E260" s="32" t="n">
        <v>13600</v>
      </c>
      <c r="F260" s="32" t="n">
        <v>0</v>
      </c>
      <c r="G260" s="32" t="n">
        <v>300</v>
      </c>
      <c r="H260" s="33" t="n">
        <v>1</v>
      </c>
      <c r="I260" s="34" t="n">
        <f aca="false">E260*H260+N(F260)+N(G260)</f>
        <v>13900</v>
      </c>
      <c r="J260" s="32" t="n">
        <f aca="false">ROUND(IFERROR(ROUND(IF(OR(ISNUMBER(SEARCH("week",C260)),ISNUMBER(SEARCH("minggu",C260))),IFERROR(_xlfn.NUMBERVALUE(SUBSTITUTE(LEFT(TRIM(C260),FIND(" ",TRIM(C260)&amp;" ")-1),",","."),"."),LEFT(SUBSTITUTE(LEFT(TRIM(C260),FIND(" ",TRIM(C260)&amp;" ")-1),",","."),FIND("/",SUBSTITUTE(LEFT(TRIM(C260),FIND(" ",TRIM(C260)&amp;" ")-1),",","."))-1)/MID(SUBSTITUTE(LEFT(TRIM(C260),FIND(" ",TRIM(C260)&amp;" ")-1),",","."),FIND("/",SUBSTITUTE(LEFT(TRIM(C260),FIND(" ",TRIM(C260)&amp;" ")-1),",","."))+1,9))*12/52,IF(ISNUMBER(SEARCH("month",C260)),IFERROR(_xlfn.NUMBERVALUE(SUBSTITUTE(LEFT(TRIM(C260),FIND(" ",TRIM(C260)&amp;" ")-1),",","."),"."),LEFT(SUBSTITUTE(LEFT(TRIM(C260),FIND(" ",TRIM(C260)&amp;" ")-1),",","."),FIND("/",SUBSTITUTE(LEFT(TRIM(C260),FIND(" ",TRIM(C260)&amp;" ")-1),",","."))-1)/MID(SUBSTITUTE(LEFT(TRIM(C260),FIND(" ",TRIM(C260)&amp;" ")-1),",","."),FIND("/",SUBSTITUTE(LEFT(TRIM(C260),FIND(" ",TRIM(C260)&amp;" ")-1),",","."))+1,9)),IF(ISNUMBER(SEARCH("yea",C260)),IFERROR(_xlfn.NUMBERVALUE(SUBSTITUTE(LEFT(TRIM(C260),FIND(" ",TRIM(C260)&amp;" ")-1),",","."),"."),LEFT(SUBSTITUTE(LEFT(TRIM(C260),FIND(" ",TRIM(C260)&amp;" ")-1),",","."),FIND("/",SUBSTITUTE(LEFT(TRIM(C260),FIND(" ",TRIM(C260)&amp;" ")-1),",","."))-1)/MID(SUBSTITUTE(LEFT(TRIM(C260),FIND(" ",TRIM(C260)&amp;" ")-1),",","."),FIND("/",SUBSTITUTE(LEFT(TRIM(C260),FIND(" ",TRIM(C260)&amp;" ")-1),",","."))+1,9))*12,NA()))),0),30)*'Aturan &amp; Tarif'!$B$4,2)</f>
        <v>1703.4</v>
      </c>
      <c r="K260" s="32" t="n">
        <f aca="false">'Aturan &amp; Tarif'!$B$5</f>
        <v>2050</v>
      </c>
      <c r="L260" s="32" t="n">
        <f aca="false">'Aturan &amp; Tarif'!$B$6</f>
        <v>350</v>
      </c>
      <c r="M260" s="35" t="n">
        <f aca="false">I260+J260+K260+L260</f>
        <v>18003.4</v>
      </c>
      <c r="N260" s="37" t="s">
        <v>738</v>
      </c>
    </row>
    <row r="261" customFormat="false" ht="25.5" hidden="false" customHeight="true" outlineLevel="0" collapsed="false">
      <c r="A261" s="29"/>
      <c r="B261" s="30" t="s">
        <v>978</v>
      </c>
      <c r="C261" s="31" t="s">
        <v>344</v>
      </c>
      <c r="D261" s="31" t="s">
        <v>737</v>
      </c>
      <c r="E261" s="32" t="n">
        <v>14560</v>
      </c>
      <c r="F261" s="32" t="n">
        <v>0</v>
      </c>
      <c r="G261" s="32" t="n">
        <v>300</v>
      </c>
      <c r="H261" s="33" t="n">
        <v>1</v>
      </c>
      <c r="I261" s="34" t="n">
        <f aca="false">E261*H261+N(F261)+N(G261)</f>
        <v>14860</v>
      </c>
      <c r="J261" s="32" t="n">
        <f aca="false">ROUND(IFERROR(ROUND(IF(OR(ISNUMBER(SEARCH("week",C261)),ISNUMBER(SEARCH("minggu",C261))),IFERROR(_xlfn.NUMBERVALUE(SUBSTITUTE(LEFT(TRIM(C261),FIND(" ",TRIM(C261)&amp;" ")-1),",","."),"."),LEFT(SUBSTITUTE(LEFT(TRIM(C261),FIND(" ",TRIM(C261)&amp;" ")-1),",","."),FIND("/",SUBSTITUTE(LEFT(TRIM(C261),FIND(" ",TRIM(C261)&amp;" ")-1),",","."))-1)/MID(SUBSTITUTE(LEFT(TRIM(C261),FIND(" ",TRIM(C261)&amp;" ")-1),",","."),FIND("/",SUBSTITUTE(LEFT(TRIM(C261),FIND(" ",TRIM(C261)&amp;" ")-1),",","."))+1,9))*12/52,IF(ISNUMBER(SEARCH("month",C261)),IFERROR(_xlfn.NUMBERVALUE(SUBSTITUTE(LEFT(TRIM(C261),FIND(" ",TRIM(C261)&amp;" ")-1),",","."),"."),LEFT(SUBSTITUTE(LEFT(TRIM(C261),FIND(" ",TRIM(C261)&amp;" ")-1),",","."),FIND("/",SUBSTITUTE(LEFT(TRIM(C261),FIND(" ",TRIM(C261)&amp;" ")-1),",","."))-1)/MID(SUBSTITUTE(LEFT(TRIM(C261),FIND(" ",TRIM(C261)&amp;" ")-1),",","."),FIND("/",SUBSTITUTE(LEFT(TRIM(C261),FIND(" ",TRIM(C261)&amp;" ")-1),",","."))+1,9)),IF(ISNUMBER(SEARCH("yea",C261)),IFERROR(_xlfn.NUMBERVALUE(SUBSTITUTE(LEFT(TRIM(C261),FIND(" ",TRIM(C261)&amp;" ")-1),",","."),"."),LEFT(SUBSTITUTE(LEFT(TRIM(C261),FIND(" ",TRIM(C261)&amp;" ")-1),",","."),FIND("/",SUBSTITUTE(LEFT(TRIM(C261),FIND(" ",TRIM(C261)&amp;" ")-1),",","."))-1)/MID(SUBSTITUTE(LEFT(TRIM(C261),FIND(" ",TRIM(C261)&amp;" ")-1),",","."),FIND("/",SUBSTITUTE(LEFT(TRIM(C261),FIND(" ",TRIM(C261)&amp;" ")-1),",","."))+1,9))*12,NA()))),0),6)*'Aturan &amp; Tarif'!$B$4,2)</f>
        <v>340.68</v>
      </c>
      <c r="K261" s="32" t="n">
        <f aca="false">'Aturan &amp; Tarif'!$B$5</f>
        <v>2050</v>
      </c>
      <c r="L261" s="32" t="n">
        <f aca="false">'Aturan &amp; Tarif'!$B$6</f>
        <v>350</v>
      </c>
      <c r="M261" s="35" t="n">
        <f aca="false">I261+J261+K261+L261</f>
        <v>17600.68</v>
      </c>
      <c r="N261" s="37" t="s">
        <v>738</v>
      </c>
    </row>
    <row r="262" customFormat="false" ht="25.5" hidden="false" customHeight="true" outlineLevel="0" collapsed="false">
      <c r="A262" s="29"/>
      <c r="B262" s="30" t="s">
        <v>979</v>
      </c>
      <c r="C262" s="31" t="s">
        <v>130</v>
      </c>
      <c r="D262" s="31" t="s">
        <v>737</v>
      </c>
      <c r="E262" s="32" t="n">
        <v>14560</v>
      </c>
      <c r="F262" s="32" t="n">
        <v>0</v>
      </c>
      <c r="G262" s="32" t="n">
        <v>300</v>
      </c>
      <c r="H262" s="33" t="n">
        <v>1</v>
      </c>
      <c r="I262" s="34" t="n">
        <f aca="false">E262*H262+N(F262)+N(G262)</f>
        <v>14860</v>
      </c>
      <c r="J262" s="32" t="n">
        <f aca="false">ROUND(IFERROR(ROUND(IF(OR(ISNUMBER(SEARCH("week",C262)),ISNUMBER(SEARCH("minggu",C262))),IFERROR(_xlfn.NUMBERVALUE(SUBSTITUTE(LEFT(TRIM(C262),FIND(" ",TRIM(C262)&amp;" ")-1),",","."),"."),LEFT(SUBSTITUTE(LEFT(TRIM(C262),FIND(" ",TRIM(C262)&amp;" ")-1),",","."),FIND("/",SUBSTITUTE(LEFT(TRIM(C262),FIND(" ",TRIM(C262)&amp;" ")-1),",","."))-1)/MID(SUBSTITUTE(LEFT(TRIM(C262),FIND(" ",TRIM(C262)&amp;" ")-1),",","."),FIND("/",SUBSTITUTE(LEFT(TRIM(C262),FIND(" ",TRIM(C262)&amp;" ")-1),",","."))+1,9))*12/52,IF(ISNUMBER(SEARCH("month",C262)),IFERROR(_xlfn.NUMBERVALUE(SUBSTITUTE(LEFT(TRIM(C262),FIND(" ",TRIM(C262)&amp;" ")-1),",","."),"."),LEFT(SUBSTITUTE(LEFT(TRIM(C262),FIND(" ",TRIM(C262)&amp;" ")-1),",","."),FIND("/",SUBSTITUTE(LEFT(TRIM(C262),FIND(" ",TRIM(C262)&amp;" ")-1),",","."))-1)/MID(SUBSTITUTE(LEFT(TRIM(C262),FIND(" ",TRIM(C262)&amp;" ")-1),",","."),FIND("/",SUBSTITUTE(LEFT(TRIM(C262),FIND(" ",TRIM(C262)&amp;" ")-1),",","."))+1,9)),IF(ISNUMBER(SEARCH("yea",C262)),IFERROR(_xlfn.NUMBERVALUE(SUBSTITUTE(LEFT(TRIM(C262),FIND(" ",TRIM(C262)&amp;" ")-1),",","."),"."),LEFT(SUBSTITUTE(LEFT(TRIM(C262),FIND(" ",TRIM(C262)&amp;" ")-1),",","."),FIND("/",SUBSTITUTE(LEFT(TRIM(C262),FIND(" ",TRIM(C262)&amp;" ")-1),",","."))-1)/MID(SUBSTITUTE(LEFT(TRIM(C262),FIND(" ",TRIM(C262)&amp;" ")-1),",","."),FIND("/",SUBSTITUTE(LEFT(TRIM(C262),FIND(" ",TRIM(C262)&amp;" ")-1),",","."))+1,9))*12,NA()))),0),12)*'Aturan &amp; Tarif'!$B$4,2)</f>
        <v>681.36</v>
      </c>
      <c r="K262" s="32" t="n">
        <f aca="false">'Aturan &amp; Tarif'!$B$5</f>
        <v>2050</v>
      </c>
      <c r="L262" s="32" t="n">
        <f aca="false">'Aturan &amp; Tarif'!$B$6</f>
        <v>350</v>
      </c>
      <c r="M262" s="35" t="n">
        <f aca="false">I262+J262+K262+L262</f>
        <v>17941.36</v>
      </c>
      <c r="N262" s="37" t="s">
        <v>738</v>
      </c>
    </row>
    <row r="263" customFormat="false" ht="14.25" hidden="false" customHeight="true" outlineLevel="0" collapsed="false">
      <c r="A263" s="29"/>
      <c r="B263" s="30" t="s">
        <v>980</v>
      </c>
      <c r="C263" s="31" t="s">
        <v>113</v>
      </c>
      <c r="D263" s="31" t="s">
        <v>737</v>
      </c>
      <c r="E263" s="32" t="n">
        <v>14560</v>
      </c>
      <c r="F263" s="32" t="n">
        <v>0</v>
      </c>
      <c r="G263" s="32" t="n">
        <v>300</v>
      </c>
      <c r="H263" s="33" t="n">
        <v>1</v>
      </c>
      <c r="I263" s="34" t="n">
        <f aca="false">E263*H263+N(F263)+N(G263)</f>
        <v>14860</v>
      </c>
      <c r="J263" s="32" t="n">
        <f aca="false">ROUND(IFERROR(ROUND(IF(OR(ISNUMBER(SEARCH("week",C263)),ISNUMBER(SEARCH("minggu",C263))),IFERROR(_xlfn.NUMBERVALUE(SUBSTITUTE(LEFT(TRIM(C263),FIND(" ",TRIM(C263)&amp;" ")-1),",","."),"."),LEFT(SUBSTITUTE(LEFT(TRIM(C263),FIND(" ",TRIM(C263)&amp;" ")-1),",","."),FIND("/",SUBSTITUTE(LEFT(TRIM(C263),FIND(" ",TRIM(C263)&amp;" ")-1),",","."))-1)/MID(SUBSTITUTE(LEFT(TRIM(C263),FIND(" ",TRIM(C263)&amp;" ")-1),",","."),FIND("/",SUBSTITUTE(LEFT(TRIM(C263),FIND(" ",TRIM(C263)&amp;" ")-1),",","."))+1,9))*12/52,IF(ISNUMBER(SEARCH("month",C263)),IFERROR(_xlfn.NUMBERVALUE(SUBSTITUTE(LEFT(TRIM(C263),FIND(" ",TRIM(C263)&amp;" ")-1),",","."),"."),LEFT(SUBSTITUTE(LEFT(TRIM(C263),FIND(" ",TRIM(C263)&amp;" ")-1),",","."),FIND("/",SUBSTITUTE(LEFT(TRIM(C263),FIND(" ",TRIM(C263)&amp;" ")-1),",","."))-1)/MID(SUBSTITUTE(LEFT(TRIM(C263),FIND(" ",TRIM(C263)&amp;" ")-1),",","."),FIND("/",SUBSTITUTE(LEFT(TRIM(C263),FIND(" ",TRIM(C263)&amp;" ")-1),",","."))+1,9)),IF(ISNUMBER(SEARCH("yea",C263)),IFERROR(_xlfn.NUMBERVALUE(SUBSTITUTE(LEFT(TRIM(C263),FIND(" ",TRIM(C263)&amp;" ")-1),",","."),"."),LEFT(SUBSTITUTE(LEFT(TRIM(C263),FIND(" ",TRIM(C263)&amp;" ")-1),",","."),FIND("/",SUBSTITUTE(LEFT(TRIM(C263),FIND(" ",TRIM(C263)&amp;" ")-1),",","."))-1)/MID(SUBSTITUTE(LEFT(TRIM(C263),FIND(" ",TRIM(C263)&amp;" ")-1),",","."),FIND("/",SUBSTITUTE(LEFT(TRIM(C263),FIND(" ",TRIM(C263)&amp;" ")-1),",","."))+1,9))*12,NA()))),0),18)*'Aturan &amp; Tarif'!$B$4,2)</f>
        <v>1022.04</v>
      </c>
      <c r="K263" s="32" t="n">
        <f aca="false">'Aturan &amp; Tarif'!$B$5</f>
        <v>2050</v>
      </c>
      <c r="L263" s="32" t="n">
        <f aca="false">'Aturan &amp; Tarif'!$B$6</f>
        <v>350</v>
      </c>
      <c r="M263" s="35" t="n">
        <f aca="false">I263+J263+K263+L263</f>
        <v>18282.04</v>
      </c>
      <c r="N263" s="37" t="s">
        <v>738</v>
      </c>
    </row>
    <row r="264" customFormat="false" ht="25.5" hidden="false" customHeight="true" outlineLevel="0" collapsed="false">
      <c r="A264" s="29"/>
      <c r="B264" s="30" t="s">
        <v>981</v>
      </c>
      <c r="C264" s="31" t="s">
        <v>107</v>
      </c>
      <c r="D264" s="31" t="s">
        <v>737</v>
      </c>
      <c r="E264" s="32" t="n">
        <v>14560</v>
      </c>
      <c r="F264" s="32" t="n">
        <v>0</v>
      </c>
      <c r="G264" s="32" t="n">
        <v>300</v>
      </c>
      <c r="H264" s="33" t="n">
        <v>1</v>
      </c>
      <c r="I264" s="34" t="n">
        <f aca="false">E264*H264+N(F264)+N(G264)</f>
        <v>14860</v>
      </c>
      <c r="J264" s="32" t="n">
        <f aca="false">ROUND(IFERROR(ROUND(IF(OR(ISNUMBER(SEARCH("week",C264)),ISNUMBER(SEARCH("minggu",C264))),IFERROR(_xlfn.NUMBERVALUE(SUBSTITUTE(LEFT(TRIM(C264),FIND(" ",TRIM(C264)&amp;" ")-1),",","."),"."),LEFT(SUBSTITUTE(LEFT(TRIM(C264),FIND(" ",TRIM(C264)&amp;" ")-1),",","."),FIND("/",SUBSTITUTE(LEFT(TRIM(C264),FIND(" ",TRIM(C264)&amp;" ")-1),",","."))-1)/MID(SUBSTITUTE(LEFT(TRIM(C264),FIND(" ",TRIM(C264)&amp;" ")-1),",","."),FIND("/",SUBSTITUTE(LEFT(TRIM(C264),FIND(" ",TRIM(C264)&amp;" ")-1),",","."))+1,9))*12/52,IF(ISNUMBER(SEARCH("month",C264)),IFERROR(_xlfn.NUMBERVALUE(SUBSTITUTE(LEFT(TRIM(C264),FIND(" ",TRIM(C264)&amp;" ")-1),",","."),"."),LEFT(SUBSTITUTE(LEFT(TRIM(C264),FIND(" ",TRIM(C264)&amp;" ")-1),",","."),FIND("/",SUBSTITUTE(LEFT(TRIM(C264),FIND(" ",TRIM(C264)&amp;" ")-1),",","."))-1)/MID(SUBSTITUTE(LEFT(TRIM(C264),FIND(" ",TRIM(C264)&amp;" ")-1),",","."),FIND("/",SUBSTITUTE(LEFT(TRIM(C264),FIND(" ",TRIM(C264)&amp;" ")-1),",","."))+1,9)),IF(ISNUMBER(SEARCH("yea",C264)),IFERROR(_xlfn.NUMBERVALUE(SUBSTITUTE(LEFT(TRIM(C264),FIND(" ",TRIM(C264)&amp;" ")-1),",","."),"."),LEFT(SUBSTITUTE(LEFT(TRIM(C264),FIND(" ",TRIM(C264)&amp;" ")-1),",","."),FIND("/",SUBSTITUTE(LEFT(TRIM(C264),FIND(" ",TRIM(C264)&amp;" ")-1),",","."))-1)/MID(SUBSTITUTE(LEFT(TRIM(C264),FIND(" ",TRIM(C264)&amp;" ")-1),",","."),FIND("/",SUBSTITUTE(LEFT(TRIM(C264),FIND(" ",TRIM(C264)&amp;" ")-1),",","."))+1,9))*12,NA()))),0),24)*'Aturan &amp; Tarif'!$B$4,2)</f>
        <v>1362.72</v>
      </c>
      <c r="K264" s="32" t="n">
        <f aca="false">'Aturan &amp; Tarif'!$B$5</f>
        <v>2050</v>
      </c>
      <c r="L264" s="32" t="n">
        <f aca="false">'Aturan &amp; Tarif'!$B$6</f>
        <v>350</v>
      </c>
      <c r="M264" s="35" t="n">
        <f aca="false">I264+J264+K264+L264</f>
        <v>18622.72</v>
      </c>
      <c r="N264" s="37" t="s">
        <v>738</v>
      </c>
    </row>
    <row r="265" customFormat="false" ht="37.5" hidden="false" customHeight="true" outlineLevel="0" collapsed="false">
      <c r="A265" s="39" t="s">
        <v>982</v>
      </c>
      <c r="B265" s="40" t="s">
        <v>983</v>
      </c>
      <c r="C265" s="41" t="s">
        <v>113</v>
      </c>
      <c r="D265" s="41" t="s">
        <v>108</v>
      </c>
      <c r="E265" s="42" t="n">
        <v>6997.5</v>
      </c>
      <c r="F265" s="42"/>
      <c r="G265" s="42" t="n">
        <v>250</v>
      </c>
      <c r="H265" s="43" t="n">
        <v>2</v>
      </c>
      <c r="I265" s="34" t="n">
        <f aca="false">E265*H265+N(F265)+N(G265)</f>
        <v>14245</v>
      </c>
      <c r="J265" s="42" t="n">
        <f aca="false">ROUND(IFERROR(ROUND(IF(OR(ISNUMBER(SEARCH("week",C265)),ISNUMBER(SEARCH("minggu",C265))),IFERROR(_xlfn.NUMBERVALUE(SUBSTITUTE(LEFT(TRIM(C265),FIND(" ",TRIM(C265)&amp;" ")-1),",","."),"."),LEFT(SUBSTITUTE(LEFT(TRIM(C265),FIND(" ",TRIM(C265)&amp;" ")-1),",","."),FIND("/",SUBSTITUTE(LEFT(TRIM(C265),FIND(" ",TRIM(C265)&amp;" ")-1),",","."))-1)/MID(SUBSTITUTE(LEFT(TRIM(C265),FIND(" ",TRIM(C265)&amp;" ")-1),",","."),FIND("/",SUBSTITUTE(LEFT(TRIM(C265),FIND(" ",TRIM(C265)&amp;" ")-1),",","."))+1,9))*12/52,IF(ISNUMBER(SEARCH("month",C265)),IFERROR(_xlfn.NUMBERVALUE(SUBSTITUTE(LEFT(TRIM(C265),FIND(" ",TRIM(C265)&amp;" ")-1),",","."),"."),LEFT(SUBSTITUTE(LEFT(TRIM(C265),FIND(" ",TRIM(C265)&amp;" ")-1),",","."),FIND("/",SUBSTITUTE(LEFT(TRIM(C265),FIND(" ",TRIM(C265)&amp;" ")-1),",","."))-1)/MID(SUBSTITUTE(LEFT(TRIM(C265),FIND(" ",TRIM(C265)&amp;" ")-1),",","."),FIND("/",SUBSTITUTE(LEFT(TRIM(C265),FIND(" ",TRIM(C265)&amp;" ")-1),",","."))+1,9)),IF(ISNUMBER(SEARCH("yea",C265)),IFERROR(_xlfn.NUMBERVALUE(SUBSTITUTE(LEFT(TRIM(C265),FIND(" ",TRIM(C265)&amp;" ")-1),",","."),"."),LEFT(SUBSTITUTE(LEFT(TRIM(C265),FIND(" ",TRIM(C265)&amp;" ")-1),",","."),FIND("/",SUBSTITUTE(LEFT(TRIM(C265),FIND(" ",TRIM(C265)&amp;" ")-1),",","."))-1)/MID(SUBSTITUTE(LEFT(TRIM(C265),FIND(" ",TRIM(C265)&amp;" ")-1),",","."),FIND("/",SUBSTITUTE(LEFT(TRIM(C265),FIND(" ",TRIM(C265)&amp;" ")-1),",","."))+1,9))*12,NA()))),0),18)*'Aturan &amp; Tarif'!$B$4,2)</f>
        <v>1022.04</v>
      </c>
      <c r="K265" s="42" t="n">
        <f aca="false">'Aturan &amp; Tarif'!$B$5</f>
        <v>2050</v>
      </c>
      <c r="L265" s="42" t="n">
        <f aca="false">'Aturan &amp; Tarif'!$B$6</f>
        <v>350</v>
      </c>
      <c r="M265" s="35" t="n">
        <f aca="false">I265+J265+K265+L265</f>
        <v>17667.04</v>
      </c>
      <c r="N265" s="45" t="s">
        <v>984</v>
      </c>
    </row>
    <row r="266" customFormat="false" ht="14.25" hidden="false" customHeight="true" outlineLevel="0" collapsed="false">
      <c r="A266" s="39"/>
      <c r="B266" s="40" t="s">
        <v>985</v>
      </c>
      <c r="C266" s="41" t="s">
        <v>344</v>
      </c>
      <c r="D266" s="41" t="s">
        <v>108</v>
      </c>
      <c r="E266" s="42" t="n">
        <v>6737</v>
      </c>
      <c r="F266" s="42"/>
      <c r="G266" s="42" t="n">
        <v>250</v>
      </c>
      <c r="H266" s="43" t="n">
        <v>2</v>
      </c>
      <c r="I266" s="34" t="n">
        <f aca="false">E266*H266+N(F266)+N(G266)</f>
        <v>13724</v>
      </c>
      <c r="J266" s="42" t="n">
        <f aca="false">ROUND(IFERROR(ROUND(IF(OR(ISNUMBER(SEARCH("week",C266)),ISNUMBER(SEARCH("minggu",C266))),IFERROR(_xlfn.NUMBERVALUE(SUBSTITUTE(LEFT(TRIM(C266),FIND(" ",TRIM(C266)&amp;" ")-1),",","."),"."),LEFT(SUBSTITUTE(LEFT(TRIM(C266),FIND(" ",TRIM(C266)&amp;" ")-1),",","."),FIND("/",SUBSTITUTE(LEFT(TRIM(C266),FIND(" ",TRIM(C266)&amp;" ")-1),",","."))-1)/MID(SUBSTITUTE(LEFT(TRIM(C266),FIND(" ",TRIM(C266)&amp;" ")-1),",","."),FIND("/",SUBSTITUTE(LEFT(TRIM(C266),FIND(" ",TRIM(C266)&amp;" ")-1),",","."))+1,9))*12/52,IF(ISNUMBER(SEARCH("month",C266)),IFERROR(_xlfn.NUMBERVALUE(SUBSTITUTE(LEFT(TRIM(C266),FIND(" ",TRIM(C266)&amp;" ")-1),",","."),"."),LEFT(SUBSTITUTE(LEFT(TRIM(C266),FIND(" ",TRIM(C266)&amp;" ")-1),",","."),FIND("/",SUBSTITUTE(LEFT(TRIM(C266),FIND(" ",TRIM(C266)&amp;" ")-1),",","."))-1)/MID(SUBSTITUTE(LEFT(TRIM(C266),FIND(" ",TRIM(C266)&amp;" ")-1),",","."),FIND("/",SUBSTITUTE(LEFT(TRIM(C266),FIND(" ",TRIM(C266)&amp;" ")-1),",","."))+1,9)),IF(ISNUMBER(SEARCH("yea",C266)),IFERROR(_xlfn.NUMBERVALUE(SUBSTITUTE(LEFT(TRIM(C266),FIND(" ",TRIM(C266)&amp;" ")-1),",","."),"."),LEFT(SUBSTITUTE(LEFT(TRIM(C266),FIND(" ",TRIM(C266)&amp;" ")-1),",","."),FIND("/",SUBSTITUTE(LEFT(TRIM(C266),FIND(" ",TRIM(C266)&amp;" ")-1),",","."))-1)/MID(SUBSTITUTE(LEFT(TRIM(C266),FIND(" ",TRIM(C266)&amp;" ")-1),",","."),FIND("/",SUBSTITUTE(LEFT(TRIM(C266),FIND(" ",TRIM(C266)&amp;" ")-1),",","."))+1,9))*12,NA()))),0),6)*'Aturan &amp; Tarif'!$B$4,2)</f>
        <v>340.68</v>
      </c>
      <c r="K266" s="42" t="n">
        <f aca="false">'Aturan &amp; Tarif'!$B$5</f>
        <v>2050</v>
      </c>
      <c r="L266" s="42" t="n">
        <f aca="false">'Aturan &amp; Tarif'!$B$6</f>
        <v>350</v>
      </c>
      <c r="M266" s="35" t="n">
        <f aca="false">I266+J266+K266+L266</f>
        <v>16464.68</v>
      </c>
      <c r="N266" s="45" t="s">
        <v>986</v>
      </c>
    </row>
    <row r="267" customFormat="false" ht="25.5" hidden="false" customHeight="true" outlineLevel="0" collapsed="false">
      <c r="A267" s="39"/>
      <c r="B267" s="40" t="s">
        <v>987</v>
      </c>
      <c r="C267" s="41" t="s">
        <v>344</v>
      </c>
      <c r="D267" s="41" t="s">
        <v>108</v>
      </c>
      <c r="E267" s="42" t="n">
        <v>7298.5</v>
      </c>
      <c r="F267" s="42"/>
      <c r="G267" s="42" t="n">
        <v>250</v>
      </c>
      <c r="H267" s="43" t="n">
        <v>2</v>
      </c>
      <c r="I267" s="34" t="n">
        <f aca="false">E267*H267+N(F267)+N(G267)</f>
        <v>14847</v>
      </c>
      <c r="J267" s="42" t="n">
        <f aca="false">ROUND(IFERROR(ROUND(IF(OR(ISNUMBER(SEARCH("week",C267)),ISNUMBER(SEARCH("minggu",C267))),IFERROR(_xlfn.NUMBERVALUE(SUBSTITUTE(LEFT(TRIM(C267),FIND(" ",TRIM(C267)&amp;" ")-1),",","."),"."),LEFT(SUBSTITUTE(LEFT(TRIM(C267),FIND(" ",TRIM(C267)&amp;" ")-1),",","."),FIND("/",SUBSTITUTE(LEFT(TRIM(C267),FIND(" ",TRIM(C267)&amp;" ")-1),",","."))-1)/MID(SUBSTITUTE(LEFT(TRIM(C267),FIND(" ",TRIM(C267)&amp;" ")-1),",","."),FIND("/",SUBSTITUTE(LEFT(TRIM(C267),FIND(" ",TRIM(C267)&amp;" ")-1),",","."))+1,9))*12/52,IF(ISNUMBER(SEARCH("month",C267)),IFERROR(_xlfn.NUMBERVALUE(SUBSTITUTE(LEFT(TRIM(C267),FIND(" ",TRIM(C267)&amp;" ")-1),",","."),"."),LEFT(SUBSTITUTE(LEFT(TRIM(C267),FIND(" ",TRIM(C267)&amp;" ")-1),",","."),FIND("/",SUBSTITUTE(LEFT(TRIM(C267),FIND(" ",TRIM(C267)&amp;" ")-1),",","."))-1)/MID(SUBSTITUTE(LEFT(TRIM(C267),FIND(" ",TRIM(C267)&amp;" ")-1),",","."),FIND("/",SUBSTITUTE(LEFT(TRIM(C267),FIND(" ",TRIM(C267)&amp;" ")-1),",","."))+1,9)),IF(ISNUMBER(SEARCH("yea",C267)),IFERROR(_xlfn.NUMBERVALUE(SUBSTITUTE(LEFT(TRIM(C267),FIND(" ",TRIM(C267)&amp;" ")-1),",","."),"."),LEFT(SUBSTITUTE(LEFT(TRIM(C267),FIND(" ",TRIM(C267)&amp;" ")-1),",","."),FIND("/",SUBSTITUTE(LEFT(TRIM(C267),FIND(" ",TRIM(C267)&amp;" ")-1),",","."))-1)/MID(SUBSTITUTE(LEFT(TRIM(C267),FIND(" ",TRIM(C267)&amp;" ")-1),",","."),FIND("/",SUBSTITUTE(LEFT(TRIM(C267),FIND(" ",TRIM(C267)&amp;" ")-1),",","."))+1,9))*12,NA()))),0),6)*'Aturan &amp; Tarif'!$B$4,2)</f>
        <v>340.68</v>
      </c>
      <c r="K267" s="42" t="n">
        <f aca="false">'Aturan &amp; Tarif'!$B$5</f>
        <v>2050</v>
      </c>
      <c r="L267" s="42" t="n">
        <f aca="false">'Aturan &amp; Tarif'!$B$6</f>
        <v>350</v>
      </c>
      <c r="M267" s="35" t="n">
        <f aca="false">I267+J267+K267+L267</f>
        <v>17587.68</v>
      </c>
      <c r="N267" s="45" t="s">
        <v>986</v>
      </c>
    </row>
    <row r="268" customFormat="false" ht="60" hidden="false" customHeight="true" outlineLevel="0" collapsed="false">
      <c r="A268" s="39"/>
      <c r="B268" s="40" t="s">
        <v>988</v>
      </c>
      <c r="C268" s="41" t="s">
        <v>138</v>
      </c>
      <c r="D268" s="41" t="s">
        <v>108</v>
      </c>
      <c r="E268" s="42" t="n">
        <v>7005.6</v>
      </c>
      <c r="F268" s="42"/>
      <c r="G268" s="42" t="n">
        <v>250</v>
      </c>
      <c r="H268" s="43" t="n">
        <v>2</v>
      </c>
      <c r="I268" s="34" t="n">
        <f aca="false">E268*H268+N(F268)+N(G268)</f>
        <v>14261.2</v>
      </c>
      <c r="J268" s="42" t="n">
        <f aca="false">ROUND(IFERROR(ROUND(IF(OR(ISNUMBER(SEARCH("week",C268)),ISNUMBER(SEARCH("minggu",C268))),IFERROR(_xlfn.NUMBERVALUE(SUBSTITUTE(LEFT(TRIM(C268),FIND(" ",TRIM(C268)&amp;" ")-1),",","."),"."),LEFT(SUBSTITUTE(LEFT(TRIM(C268),FIND(" ",TRIM(C268)&amp;" ")-1),",","."),FIND("/",SUBSTITUTE(LEFT(TRIM(C268),FIND(" ",TRIM(C268)&amp;" ")-1),",","."))-1)/MID(SUBSTITUTE(LEFT(TRIM(C268),FIND(" ",TRIM(C268)&amp;" ")-1),",","."),FIND("/",SUBSTITUTE(LEFT(TRIM(C268),FIND(" ",TRIM(C268)&amp;" ")-1),",","."))+1,9))*12/52,IF(ISNUMBER(SEARCH("month",C268)),IFERROR(_xlfn.NUMBERVALUE(SUBSTITUTE(LEFT(TRIM(C268),FIND(" ",TRIM(C268)&amp;" ")-1),",","."),"."),LEFT(SUBSTITUTE(LEFT(TRIM(C268),FIND(" ",TRIM(C268)&amp;" ")-1),",","."),FIND("/",SUBSTITUTE(LEFT(TRIM(C268),FIND(" ",TRIM(C268)&amp;" ")-1),",","."))-1)/MID(SUBSTITUTE(LEFT(TRIM(C268),FIND(" ",TRIM(C268)&amp;" ")-1),",","."),FIND("/",SUBSTITUTE(LEFT(TRIM(C268),FIND(" ",TRIM(C268)&amp;" ")-1),",","."))+1,9)),IF(ISNUMBER(SEARCH("yea",C268)),IFERROR(_xlfn.NUMBERVALUE(SUBSTITUTE(LEFT(TRIM(C268),FIND(" ",TRIM(C268)&amp;" ")-1),",","."),"."),LEFT(SUBSTITUTE(LEFT(TRIM(C268),FIND(" ",TRIM(C268)&amp;" ")-1),",","."),FIND("/",SUBSTITUTE(LEFT(TRIM(C268),FIND(" ",TRIM(C268)&amp;" ")-1),",","."))-1)/MID(SUBSTITUTE(LEFT(TRIM(C268),FIND(" ",TRIM(C268)&amp;" ")-1),",","."),FIND("/",SUBSTITUTE(LEFT(TRIM(C268),FIND(" ",TRIM(C268)&amp;" ")-1),",","."))+1,9))*12,NA()))),0),30)*'Aturan &amp; Tarif'!$B$4,2)</f>
        <v>1703.4</v>
      </c>
      <c r="K268" s="42" t="n">
        <f aca="false">'Aturan &amp; Tarif'!$B$5</f>
        <v>2050</v>
      </c>
      <c r="L268" s="42" t="n">
        <f aca="false">'Aturan &amp; Tarif'!$B$6</f>
        <v>350</v>
      </c>
      <c r="M268" s="35" t="n">
        <f aca="false">I268+J268+K268+L268</f>
        <v>18364.6</v>
      </c>
      <c r="N268" s="44" t="s">
        <v>989</v>
      </c>
    </row>
    <row r="269" customFormat="false" ht="14.25" hidden="false" customHeight="true" outlineLevel="0" collapsed="false">
      <c r="A269" s="39"/>
      <c r="B269" s="40" t="s">
        <v>990</v>
      </c>
      <c r="C269" s="41" t="s">
        <v>113</v>
      </c>
      <c r="D269" s="41" t="s">
        <v>108</v>
      </c>
      <c r="E269" s="42" t="n">
        <v>6997.5</v>
      </c>
      <c r="F269" s="42"/>
      <c r="G269" s="42" t="n">
        <v>250</v>
      </c>
      <c r="H269" s="43" t="n">
        <v>2</v>
      </c>
      <c r="I269" s="34" t="n">
        <f aca="false">E269*H269+N(F269)+N(G269)</f>
        <v>14245</v>
      </c>
      <c r="J269" s="42" t="n">
        <f aca="false">ROUND(IFERROR(ROUND(IF(OR(ISNUMBER(SEARCH("week",C269)),ISNUMBER(SEARCH("minggu",C269))),IFERROR(_xlfn.NUMBERVALUE(SUBSTITUTE(LEFT(TRIM(C269),FIND(" ",TRIM(C269)&amp;" ")-1),",","."),"."),LEFT(SUBSTITUTE(LEFT(TRIM(C269),FIND(" ",TRIM(C269)&amp;" ")-1),",","."),FIND("/",SUBSTITUTE(LEFT(TRIM(C269),FIND(" ",TRIM(C269)&amp;" ")-1),",","."))-1)/MID(SUBSTITUTE(LEFT(TRIM(C269),FIND(" ",TRIM(C269)&amp;" ")-1),",","."),FIND("/",SUBSTITUTE(LEFT(TRIM(C269),FIND(" ",TRIM(C269)&amp;" ")-1),",","."))+1,9))*12/52,IF(ISNUMBER(SEARCH("month",C269)),IFERROR(_xlfn.NUMBERVALUE(SUBSTITUTE(LEFT(TRIM(C269),FIND(" ",TRIM(C269)&amp;" ")-1),",","."),"."),LEFT(SUBSTITUTE(LEFT(TRIM(C269),FIND(" ",TRIM(C269)&amp;" ")-1),",","."),FIND("/",SUBSTITUTE(LEFT(TRIM(C269),FIND(" ",TRIM(C269)&amp;" ")-1),",","."))-1)/MID(SUBSTITUTE(LEFT(TRIM(C269),FIND(" ",TRIM(C269)&amp;" ")-1),",","."),FIND("/",SUBSTITUTE(LEFT(TRIM(C269),FIND(" ",TRIM(C269)&amp;" ")-1),",","."))+1,9)),IF(ISNUMBER(SEARCH("yea",C269)),IFERROR(_xlfn.NUMBERVALUE(SUBSTITUTE(LEFT(TRIM(C269),FIND(" ",TRIM(C269)&amp;" ")-1),",","."),"."),LEFT(SUBSTITUTE(LEFT(TRIM(C269),FIND(" ",TRIM(C269)&amp;" ")-1),",","."),FIND("/",SUBSTITUTE(LEFT(TRIM(C269),FIND(" ",TRIM(C269)&amp;" ")-1),",","."))-1)/MID(SUBSTITUTE(LEFT(TRIM(C269),FIND(" ",TRIM(C269)&amp;" ")-1),",","."),FIND("/",SUBSTITUTE(LEFT(TRIM(C269),FIND(" ",TRIM(C269)&amp;" ")-1),",","."))+1,9))*12,NA()))),0),18)*'Aturan &amp; Tarif'!$B$4,2)</f>
        <v>1022.04</v>
      </c>
      <c r="K269" s="42" t="n">
        <f aca="false">'Aturan &amp; Tarif'!$B$5</f>
        <v>2050</v>
      </c>
      <c r="L269" s="42" t="n">
        <f aca="false">'Aturan &amp; Tarif'!$B$6</f>
        <v>350</v>
      </c>
      <c r="M269" s="35" t="n">
        <f aca="false">I269+J269+K269+L269</f>
        <v>17667.04</v>
      </c>
      <c r="N269" s="45" t="s">
        <v>991</v>
      </c>
    </row>
    <row r="270" customFormat="false" ht="14.25" hidden="false" customHeight="true" outlineLevel="0" collapsed="false">
      <c r="A270" s="39"/>
      <c r="B270" s="40" t="s">
        <v>992</v>
      </c>
      <c r="C270" s="41" t="s">
        <v>344</v>
      </c>
      <c r="D270" s="41" t="s">
        <v>108</v>
      </c>
      <c r="E270" s="42" t="n">
        <v>6737</v>
      </c>
      <c r="F270" s="42"/>
      <c r="G270" s="42" t="n">
        <v>250</v>
      </c>
      <c r="H270" s="43" t="n">
        <v>2</v>
      </c>
      <c r="I270" s="34" t="n">
        <f aca="false">E270*H270+N(F270)+N(G270)</f>
        <v>13724</v>
      </c>
      <c r="J270" s="42" t="n">
        <f aca="false">ROUND(IFERROR(ROUND(IF(OR(ISNUMBER(SEARCH("week",C270)),ISNUMBER(SEARCH("minggu",C270))),IFERROR(_xlfn.NUMBERVALUE(SUBSTITUTE(LEFT(TRIM(C270),FIND(" ",TRIM(C270)&amp;" ")-1),",","."),"."),LEFT(SUBSTITUTE(LEFT(TRIM(C270),FIND(" ",TRIM(C270)&amp;" ")-1),",","."),FIND("/",SUBSTITUTE(LEFT(TRIM(C270),FIND(" ",TRIM(C270)&amp;" ")-1),",","."))-1)/MID(SUBSTITUTE(LEFT(TRIM(C270),FIND(" ",TRIM(C270)&amp;" ")-1),",","."),FIND("/",SUBSTITUTE(LEFT(TRIM(C270),FIND(" ",TRIM(C270)&amp;" ")-1),",","."))+1,9))*12/52,IF(ISNUMBER(SEARCH("month",C270)),IFERROR(_xlfn.NUMBERVALUE(SUBSTITUTE(LEFT(TRIM(C270),FIND(" ",TRIM(C270)&amp;" ")-1),",","."),"."),LEFT(SUBSTITUTE(LEFT(TRIM(C270),FIND(" ",TRIM(C270)&amp;" ")-1),",","."),FIND("/",SUBSTITUTE(LEFT(TRIM(C270),FIND(" ",TRIM(C270)&amp;" ")-1),",","."))-1)/MID(SUBSTITUTE(LEFT(TRIM(C270),FIND(" ",TRIM(C270)&amp;" ")-1),",","."),FIND("/",SUBSTITUTE(LEFT(TRIM(C270),FIND(" ",TRIM(C270)&amp;" ")-1),",","."))+1,9)),IF(ISNUMBER(SEARCH("yea",C270)),IFERROR(_xlfn.NUMBERVALUE(SUBSTITUTE(LEFT(TRIM(C270),FIND(" ",TRIM(C270)&amp;" ")-1),",","."),"."),LEFT(SUBSTITUTE(LEFT(TRIM(C270),FIND(" ",TRIM(C270)&amp;" ")-1),",","."),FIND("/",SUBSTITUTE(LEFT(TRIM(C270),FIND(" ",TRIM(C270)&amp;" ")-1),",","."))-1)/MID(SUBSTITUTE(LEFT(TRIM(C270),FIND(" ",TRIM(C270)&amp;" ")-1),",","."),FIND("/",SUBSTITUTE(LEFT(TRIM(C270),FIND(" ",TRIM(C270)&amp;" ")-1),",","."))+1,9))*12,NA()))),0),6)*'Aturan &amp; Tarif'!$B$4,2)</f>
        <v>340.68</v>
      </c>
      <c r="K270" s="42" t="n">
        <f aca="false">'Aturan &amp; Tarif'!$B$5</f>
        <v>2050</v>
      </c>
      <c r="L270" s="42" t="n">
        <f aca="false">'Aturan &amp; Tarif'!$B$6</f>
        <v>350</v>
      </c>
      <c r="M270" s="35" t="n">
        <f aca="false">I270+J270+K270+L270</f>
        <v>16464.68</v>
      </c>
      <c r="N270" s="45" t="s">
        <v>986</v>
      </c>
    </row>
    <row r="271" customFormat="false" ht="25.5" hidden="false" customHeight="true" outlineLevel="0" collapsed="false">
      <c r="A271" s="39"/>
      <c r="B271" s="40" t="s">
        <v>987</v>
      </c>
      <c r="C271" s="41" t="s">
        <v>344</v>
      </c>
      <c r="D271" s="41" t="s">
        <v>108</v>
      </c>
      <c r="E271" s="42" t="n">
        <v>7298.5</v>
      </c>
      <c r="F271" s="42"/>
      <c r="G271" s="42" t="n">
        <v>250</v>
      </c>
      <c r="H271" s="43" t="n">
        <v>2</v>
      </c>
      <c r="I271" s="34" t="n">
        <f aca="false">E271*H271+N(F271)+N(G271)</f>
        <v>14847</v>
      </c>
      <c r="J271" s="42" t="n">
        <f aca="false">ROUND(IFERROR(ROUND(IF(OR(ISNUMBER(SEARCH("week",C271)),ISNUMBER(SEARCH("minggu",C271))),IFERROR(_xlfn.NUMBERVALUE(SUBSTITUTE(LEFT(TRIM(C271),FIND(" ",TRIM(C271)&amp;" ")-1),",","."),"."),LEFT(SUBSTITUTE(LEFT(TRIM(C271),FIND(" ",TRIM(C271)&amp;" ")-1),",","."),FIND("/",SUBSTITUTE(LEFT(TRIM(C271),FIND(" ",TRIM(C271)&amp;" ")-1),",","."))-1)/MID(SUBSTITUTE(LEFT(TRIM(C271),FIND(" ",TRIM(C271)&amp;" ")-1),",","."),FIND("/",SUBSTITUTE(LEFT(TRIM(C271),FIND(" ",TRIM(C271)&amp;" ")-1),",","."))+1,9))*12/52,IF(ISNUMBER(SEARCH("month",C271)),IFERROR(_xlfn.NUMBERVALUE(SUBSTITUTE(LEFT(TRIM(C271),FIND(" ",TRIM(C271)&amp;" ")-1),",","."),"."),LEFT(SUBSTITUTE(LEFT(TRIM(C271),FIND(" ",TRIM(C271)&amp;" ")-1),",","."),FIND("/",SUBSTITUTE(LEFT(TRIM(C271),FIND(" ",TRIM(C271)&amp;" ")-1),",","."))-1)/MID(SUBSTITUTE(LEFT(TRIM(C271),FIND(" ",TRIM(C271)&amp;" ")-1),",","."),FIND("/",SUBSTITUTE(LEFT(TRIM(C271),FIND(" ",TRIM(C271)&amp;" ")-1),",","."))+1,9)),IF(ISNUMBER(SEARCH("yea",C271)),IFERROR(_xlfn.NUMBERVALUE(SUBSTITUTE(LEFT(TRIM(C271),FIND(" ",TRIM(C271)&amp;" ")-1),",","."),"."),LEFT(SUBSTITUTE(LEFT(TRIM(C271),FIND(" ",TRIM(C271)&amp;" ")-1),",","."),FIND("/",SUBSTITUTE(LEFT(TRIM(C271),FIND(" ",TRIM(C271)&amp;" ")-1),",","."))-1)/MID(SUBSTITUTE(LEFT(TRIM(C271),FIND(" ",TRIM(C271)&amp;" ")-1),",","."),FIND("/",SUBSTITUTE(LEFT(TRIM(C271),FIND(" ",TRIM(C271)&amp;" ")-1),",","."))+1,9))*12,NA()))),0),6)*'Aturan &amp; Tarif'!$B$4,2)</f>
        <v>340.68</v>
      </c>
      <c r="K271" s="42" t="n">
        <f aca="false">'Aturan &amp; Tarif'!$B$5</f>
        <v>2050</v>
      </c>
      <c r="L271" s="42" t="n">
        <f aca="false">'Aturan &amp; Tarif'!$B$6</f>
        <v>350</v>
      </c>
      <c r="M271" s="35" t="n">
        <f aca="false">I271+J271+K271+L271</f>
        <v>17587.68</v>
      </c>
      <c r="N271" s="45" t="s">
        <v>986</v>
      </c>
    </row>
    <row r="272" customFormat="false" ht="60" hidden="false" customHeight="true" outlineLevel="0" collapsed="false">
      <c r="A272" s="39"/>
      <c r="B272" s="40" t="s">
        <v>993</v>
      </c>
      <c r="C272" s="41" t="s">
        <v>138</v>
      </c>
      <c r="D272" s="41" t="s">
        <v>108</v>
      </c>
      <c r="E272" s="42" t="n">
        <v>7005.6</v>
      </c>
      <c r="F272" s="42"/>
      <c r="G272" s="42" t="n">
        <v>250</v>
      </c>
      <c r="H272" s="43" t="n">
        <v>2</v>
      </c>
      <c r="I272" s="34" t="n">
        <f aca="false">E272*H272+N(F272)+N(G272)</f>
        <v>14261.2</v>
      </c>
      <c r="J272" s="42" t="n">
        <f aca="false">ROUND(IFERROR(ROUND(IF(OR(ISNUMBER(SEARCH("week",C272)),ISNUMBER(SEARCH("minggu",C272))),IFERROR(_xlfn.NUMBERVALUE(SUBSTITUTE(LEFT(TRIM(C272),FIND(" ",TRIM(C272)&amp;" ")-1),",","."),"."),LEFT(SUBSTITUTE(LEFT(TRIM(C272),FIND(" ",TRIM(C272)&amp;" ")-1),",","."),FIND("/",SUBSTITUTE(LEFT(TRIM(C272),FIND(" ",TRIM(C272)&amp;" ")-1),",","."))-1)/MID(SUBSTITUTE(LEFT(TRIM(C272),FIND(" ",TRIM(C272)&amp;" ")-1),",","."),FIND("/",SUBSTITUTE(LEFT(TRIM(C272),FIND(" ",TRIM(C272)&amp;" ")-1),",","."))+1,9))*12/52,IF(ISNUMBER(SEARCH("month",C272)),IFERROR(_xlfn.NUMBERVALUE(SUBSTITUTE(LEFT(TRIM(C272),FIND(" ",TRIM(C272)&amp;" ")-1),",","."),"."),LEFT(SUBSTITUTE(LEFT(TRIM(C272),FIND(" ",TRIM(C272)&amp;" ")-1),",","."),FIND("/",SUBSTITUTE(LEFT(TRIM(C272),FIND(" ",TRIM(C272)&amp;" ")-1),",","."))-1)/MID(SUBSTITUTE(LEFT(TRIM(C272),FIND(" ",TRIM(C272)&amp;" ")-1),",","."),FIND("/",SUBSTITUTE(LEFT(TRIM(C272),FIND(" ",TRIM(C272)&amp;" ")-1),",","."))+1,9)),IF(ISNUMBER(SEARCH("yea",C272)),IFERROR(_xlfn.NUMBERVALUE(SUBSTITUTE(LEFT(TRIM(C272),FIND(" ",TRIM(C272)&amp;" ")-1),",","."),"."),LEFT(SUBSTITUTE(LEFT(TRIM(C272),FIND(" ",TRIM(C272)&amp;" ")-1),",","."),FIND("/",SUBSTITUTE(LEFT(TRIM(C272),FIND(" ",TRIM(C272)&amp;" ")-1),",","."))-1)/MID(SUBSTITUTE(LEFT(TRIM(C272),FIND(" ",TRIM(C272)&amp;" ")-1),",","."),FIND("/",SUBSTITUTE(LEFT(TRIM(C272),FIND(" ",TRIM(C272)&amp;" ")-1),",","."))+1,9))*12,NA()))),0),30)*'Aturan &amp; Tarif'!$B$4,2)</f>
        <v>1703.4</v>
      </c>
      <c r="K272" s="42" t="n">
        <f aca="false">'Aturan &amp; Tarif'!$B$5</f>
        <v>2050</v>
      </c>
      <c r="L272" s="42" t="n">
        <f aca="false">'Aturan &amp; Tarif'!$B$6</f>
        <v>350</v>
      </c>
      <c r="M272" s="35" t="n">
        <f aca="false">I272+J272+K272+L272</f>
        <v>18364.6</v>
      </c>
      <c r="N272" s="44" t="s">
        <v>989</v>
      </c>
    </row>
    <row r="273" customFormat="false" ht="25.5" hidden="false" customHeight="true" outlineLevel="0" collapsed="false">
      <c r="A273" s="39"/>
      <c r="B273" s="40" t="s">
        <v>994</v>
      </c>
      <c r="C273" s="41" t="s">
        <v>127</v>
      </c>
      <c r="D273" s="41" t="s">
        <v>108</v>
      </c>
      <c r="E273" s="42" t="n">
        <v>5688.58</v>
      </c>
      <c r="F273" s="42"/>
      <c r="G273" s="42" t="n">
        <v>250</v>
      </c>
      <c r="H273" s="43" t="n">
        <v>2</v>
      </c>
      <c r="I273" s="34" t="n">
        <f aca="false">E273*H273+N(F273)+N(G273)</f>
        <v>11627.16</v>
      </c>
      <c r="J273" s="42" t="n">
        <f aca="false">ROUND(IFERROR(ROUND(IF(OR(ISNUMBER(SEARCH("week",C273)),ISNUMBER(SEARCH("minggu",C273))),IFERROR(_xlfn.NUMBERVALUE(SUBSTITUTE(LEFT(TRIM(C273),FIND(" ",TRIM(C273)&amp;" ")-1),",","."),"."),LEFT(SUBSTITUTE(LEFT(TRIM(C273),FIND(" ",TRIM(C273)&amp;" ")-1),",","."),FIND("/",SUBSTITUTE(LEFT(TRIM(C273),FIND(" ",TRIM(C273)&amp;" ")-1),",","."))-1)/MID(SUBSTITUTE(LEFT(TRIM(C273),FIND(" ",TRIM(C273)&amp;" ")-1),",","."),FIND("/",SUBSTITUTE(LEFT(TRIM(C273),FIND(" ",TRIM(C273)&amp;" ")-1),",","."))+1,9))*12/52,IF(ISNUMBER(SEARCH("month",C273)),IFERROR(_xlfn.NUMBERVALUE(SUBSTITUTE(LEFT(TRIM(C273),FIND(" ",TRIM(C273)&amp;" ")-1),",","."),"."),LEFT(SUBSTITUTE(LEFT(TRIM(C273),FIND(" ",TRIM(C273)&amp;" ")-1),",","."),FIND("/",SUBSTITUTE(LEFT(TRIM(C273),FIND(" ",TRIM(C273)&amp;" ")-1),",","."))-1)/MID(SUBSTITUTE(LEFT(TRIM(C273),FIND(" ",TRIM(C273)&amp;" ")-1),",","."),FIND("/",SUBSTITUTE(LEFT(TRIM(C273),FIND(" ",TRIM(C273)&amp;" ")-1),",","."))+1,9)),IF(ISNUMBER(SEARCH("yea",C273)),IFERROR(_xlfn.NUMBERVALUE(SUBSTITUTE(LEFT(TRIM(C273),FIND(" ",TRIM(C273)&amp;" ")-1),",","."),"."),LEFT(SUBSTITUTE(LEFT(TRIM(C273),FIND(" ",TRIM(C273)&amp;" ")-1),",","."),FIND("/",SUBSTITUTE(LEFT(TRIM(C273),FIND(" ",TRIM(C273)&amp;" ")-1),",","."))-1)/MID(SUBSTITUTE(LEFT(TRIM(C273),FIND(" ",TRIM(C273)&amp;" ")-1),",","."),FIND("/",SUBSTITUTE(LEFT(TRIM(C273),FIND(" ",TRIM(C273)&amp;" ")-1),",","."))+1,9))*12,NA()))),0),36)*'Aturan &amp; Tarif'!$B$4,2)</f>
        <v>2044.08</v>
      </c>
      <c r="K273" s="42" t="n">
        <f aca="false">'Aturan &amp; Tarif'!$B$5</f>
        <v>2050</v>
      </c>
      <c r="L273" s="42" t="n">
        <f aca="false">'Aturan &amp; Tarif'!$B$6</f>
        <v>350</v>
      </c>
      <c r="M273" s="35" t="n">
        <f aca="false">I273+J273+K273+L273</f>
        <v>16071.24</v>
      </c>
      <c r="N273" s="45" t="s">
        <v>995</v>
      </c>
    </row>
    <row r="274" customFormat="false" ht="25.5" hidden="false" customHeight="true" outlineLevel="0" collapsed="false">
      <c r="A274" s="39"/>
      <c r="B274" s="40" t="s">
        <v>996</v>
      </c>
      <c r="C274" s="41" t="s">
        <v>127</v>
      </c>
      <c r="D274" s="41" t="s">
        <v>108</v>
      </c>
      <c r="E274" s="42" t="n">
        <v>5821.66</v>
      </c>
      <c r="F274" s="42"/>
      <c r="G274" s="42" t="n">
        <v>250</v>
      </c>
      <c r="H274" s="43" t="n">
        <v>2</v>
      </c>
      <c r="I274" s="34" t="n">
        <f aca="false">E274*H274+N(F274)+N(G274)</f>
        <v>11893.32</v>
      </c>
      <c r="J274" s="42" t="n">
        <f aca="false">ROUND(IFERROR(ROUND(IF(OR(ISNUMBER(SEARCH("week",C274)),ISNUMBER(SEARCH("minggu",C274))),IFERROR(_xlfn.NUMBERVALUE(SUBSTITUTE(LEFT(TRIM(C274),FIND(" ",TRIM(C274)&amp;" ")-1),",","."),"."),LEFT(SUBSTITUTE(LEFT(TRIM(C274),FIND(" ",TRIM(C274)&amp;" ")-1),",","."),FIND("/",SUBSTITUTE(LEFT(TRIM(C274),FIND(" ",TRIM(C274)&amp;" ")-1),",","."))-1)/MID(SUBSTITUTE(LEFT(TRIM(C274),FIND(" ",TRIM(C274)&amp;" ")-1),",","."),FIND("/",SUBSTITUTE(LEFT(TRIM(C274),FIND(" ",TRIM(C274)&amp;" ")-1),",","."))+1,9))*12/52,IF(ISNUMBER(SEARCH("month",C274)),IFERROR(_xlfn.NUMBERVALUE(SUBSTITUTE(LEFT(TRIM(C274),FIND(" ",TRIM(C274)&amp;" ")-1),",","."),"."),LEFT(SUBSTITUTE(LEFT(TRIM(C274),FIND(" ",TRIM(C274)&amp;" ")-1),",","."),FIND("/",SUBSTITUTE(LEFT(TRIM(C274),FIND(" ",TRIM(C274)&amp;" ")-1),",","."))-1)/MID(SUBSTITUTE(LEFT(TRIM(C274),FIND(" ",TRIM(C274)&amp;" ")-1),",","."),FIND("/",SUBSTITUTE(LEFT(TRIM(C274),FIND(" ",TRIM(C274)&amp;" ")-1),",","."))+1,9)),IF(ISNUMBER(SEARCH("yea",C274)),IFERROR(_xlfn.NUMBERVALUE(SUBSTITUTE(LEFT(TRIM(C274),FIND(" ",TRIM(C274)&amp;" ")-1),",","."),"."),LEFT(SUBSTITUTE(LEFT(TRIM(C274),FIND(" ",TRIM(C274)&amp;" ")-1),",","."),FIND("/",SUBSTITUTE(LEFT(TRIM(C274),FIND(" ",TRIM(C274)&amp;" ")-1),",","."))-1)/MID(SUBSTITUTE(LEFT(TRIM(C274),FIND(" ",TRIM(C274)&amp;" ")-1),",","."),FIND("/",SUBSTITUTE(LEFT(TRIM(C274),FIND(" ",TRIM(C274)&amp;" ")-1),",","."))+1,9))*12,NA()))),0),36)*'Aturan &amp; Tarif'!$B$4,2)</f>
        <v>2044.08</v>
      </c>
      <c r="K274" s="42" t="n">
        <f aca="false">'Aturan &amp; Tarif'!$B$5</f>
        <v>2050</v>
      </c>
      <c r="L274" s="42" t="n">
        <f aca="false">'Aturan &amp; Tarif'!$B$6</f>
        <v>350</v>
      </c>
      <c r="M274" s="35" t="n">
        <f aca="false">I274+J274+K274+L274</f>
        <v>16337.4</v>
      </c>
      <c r="N274" s="45" t="s">
        <v>986</v>
      </c>
    </row>
    <row r="275" customFormat="false" ht="14.25" hidden="false" customHeight="true" outlineLevel="0" collapsed="false">
      <c r="A275" s="39"/>
      <c r="B275" s="40" t="s">
        <v>997</v>
      </c>
      <c r="C275" s="41" t="s">
        <v>107</v>
      </c>
      <c r="D275" s="41" t="s">
        <v>108</v>
      </c>
      <c r="E275" s="42" t="n">
        <v>6818.75</v>
      </c>
      <c r="F275" s="42"/>
      <c r="G275" s="42" t="n">
        <v>250</v>
      </c>
      <c r="H275" s="43" t="n">
        <v>2</v>
      </c>
      <c r="I275" s="34" t="n">
        <f aca="false">E275*H275+N(F275)+N(G275)</f>
        <v>13887.5</v>
      </c>
      <c r="J275" s="42" t="n">
        <f aca="false">ROUND(IFERROR(ROUND(IF(OR(ISNUMBER(SEARCH("week",C275)),ISNUMBER(SEARCH("minggu",C275))),IFERROR(_xlfn.NUMBERVALUE(SUBSTITUTE(LEFT(TRIM(C275),FIND(" ",TRIM(C275)&amp;" ")-1),",","."),"."),LEFT(SUBSTITUTE(LEFT(TRIM(C275),FIND(" ",TRIM(C275)&amp;" ")-1),",","."),FIND("/",SUBSTITUTE(LEFT(TRIM(C275),FIND(" ",TRIM(C275)&amp;" ")-1),",","."))-1)/MID(SUBSTITUTE(LEFT(TRIM(C275),FIND(" ",TRIM(C275)&amp;" ")-1),",","."),FIND("/",SUBSTITUTE(LEFT(TRIM(C275),FIND(" ",TRIM(C275)&amp;" ")-1),",","."))+1,9))*12/52,IF(ISNUMBER(SEARCH("month",C275)),IFERROR(_xlfn.NUMBERVALUE(SUBSTITUTE(LEFT(TRIM(C275),FIND(" ",TRIM(C275)&amp;" ")-1),",","."),"."),LEFT(SUBSTITUTE(LEFT(TRIM(C275),FIND(" ",TRIM(C275)&amp;" ")-1),",","."),FIND("/",SUBSTITUTE(LEFT(TRIM(C275),FIND(" ",TRIM(C275)&amp;" ")-1),",","."))-1)/MID(SUBSTITUTE(LEFT(TRIM(C275),FIND(" ",TRIM(C275)&amp;" ")-1),",","."),FIND("/",SUBSTITUTE(LEFT(TRIM(C275),FIND(" ",TRIM(C275)&amp;" ")-1),",","."))+1,9)),IF(ISNUMBER(SEARCH("yea",C275)),IFERROR(_xlfn.NUMBERVALUE(SUBSTITUTE(LEFT(TRIM(C275),FIND(" ",TRIM(C275)&amp;" ")-1),",","."),"."),LEFT(SUBSTITUTE(LEFT(TRIM(C275),FIND(" ",TRIM(C275)&amp;" ")-1),",","."),FIND("/",SUBSTITUTE(LEFT(TRIM(C275),FIND(" ",TRIM(C275)&amp;" ")-1),",","."))-1)/MID(SUBSTITUTE(LEFT(TRIM(C275),FIND(" ",TRIM(C275)&amp;" ")-1),",","."),FIND("/",SUBSTITUTE(LEFT(TRIM(C275),FIND(" ",TRIM(C275)&amp;" ")-1),",","."))+1,9))*12,NA()))),0),24)*'Aturan &amp; Tarif'!$B$4,2)</f>
        <v>1362.72</v>
      </c>
      <c r="K275" s="42" t="n">
        <f aca="false">'Aturan &amp; Tarif'!$B$5</f>
        <v>2050</v>
      </c>
      <c r="L275" s="42" t="n">
        <f aca="false">'Aturan &amp; Tarif'!$B$6</f>
        <v>350</v>
      </c>
      <c r="M275" s="35" t="n">
        <f aca="false">I275+J275+K275+L275</f>
        <v>17650.22</v>
      </c>
      <c r="N275" s="45" t="s">
        <v>998</v>
      </c>
    </row>
    <row r="276" customFormat="false" ht="14.25" hidden="false" customHeight="true" outlineLevel="0" collapsed="false">
      <c r="A276" s="39"/>
      <c r="B276" s="40" t="s">
        <v>999</v>
      </c>
      <c r="C276" s="41" t="s">
        <v>107</v>
      </c>
      <c r="D276" s="41" t="s">
        <v>108</v>
      </c>
      <c r="E276" s="42" t="n">
        <v>6760</v>
      </c>
      <c r="F276" s="42"/>
      <c r="G276" s="42" t="n">
        <v>250</v>
      </c>
      <c r="H276" s="43" t="n">
        <v>2</v>
      </c>
      <c r="I276" s="34" t="n">
        <f aca="false">E276*H276+N(F276)+N(G276)</f>
        <v>13770</v>
      </c>
      <c r="J276" s="42" t="n">
        <f aca="false">ROUND(IFERROR(ROUND(IF(OR(ISNUMBER(SEARCH("week",C276)),ISNUMBER(SEARCH("minggu",C276))),IFERROR(_xlfn.NUMBERVALUE(SUBSTITUTE(LEFT(TRIM(C276),FIND(" ",TRIM(C276)&amp;" ")-1),",","."),"."),LEFT(SUBSTITUTE(LEFT(TRIM(C276),FIND(" ",TRIM(C276)&amp;" ")-1),",","."),FIND("/",SUBSTITUTE(LEFT(TRIM(C276),FIND(" ",TRIM(C276)&amp;" ")-1),",","."))-1)/MID(SUBSTITUTE(LEFT(TRIM(C276),FIND(" ",TRIM(C276)&amp;" ")-1),",","."),FIND("/",SUBSTITUTE(LEFT(TRIM(C276),FIND(" ",TRIM(C276)&amp;" ")-1),",","."))+1,9))*12/52,IF(ISNUMBER(SEARCH("month",C276)),IFERROR(_xlfn.NUMBERVALUE(SUBSTITUTE(LEFT(TRIM(C276),FIND(" ",TRIM(C276)&amp;" ")-1),",","."),"."),LEFT(SUBSTITUTE(LEFT(TRIM(C276),FIND(" ",TRIM(C276)&amp;" ")-1),",","."),FIND("/",SUBSTITUTE(LEFT(TRIM(C276),FIND(" ",TRIM(C276)&amp;" ")-1),",","."))-1)/MID(SUBSTITUTE(LEFT(TRIM(C276),FIND(" ",TRIM(C276)&amp;" ")-1),",","."),FIND("/",SUBSTITUTE(LEFT(TRIM(C276),FIND(" ",TRIM(C276)&amp;" ")-1),",","."))+1,9)),IF(ISNUMBER(SEARCH("yea",C276)),IFERROR(_xlfn.NUMBERVALUE(SUBSTITUTE(LEFT(TRIM(C276),FIND(" ",TRIM(C276)&amp;" ")-1),",","."),"."),LEFT(SUBSTITUTE(LEFT(TRIM(C276),FIND(" ",TRIM(C276)&amp;" ")-1),",","."),FIND("/",SUBSTITUTE(LEFT(TRIM(C276),FIND(" ",TRIM(C276)&amp;" ")-1),",","."))-1)/MID(SUBSTITUTE(LEFT(TRIM(C276),FIND(" ",TRIM(C276)&amp;" ")-1),",","."),FIND("/",SUBSTITUTE(LEFT(TRIM(C276),FIND(" ",TRIM(C276)&amp;" ")-1),",","."))+1,9))*12,NA()))),0),24)*'Aturan &amp; Tarif'!$B$4,2)</f>
        <v>1362.72</v>
      </c>
      <c r="K276" s="42" t="n">
        <f aca="false">'Aturan &amp; Tarif'!$B$5</f>
        <v>2050</v>
      </c>
      <c r="L276" s="42" t="n">
        <f aca="false">'Aturan &amp; Tarif'!$B$6</f>
        <v>350</v>
      </c>
      <c r="M276" s="35" t="n">
        <f aca="false">I276+J276+K276+L276</f>
        <v>17532.72</v>
      </c>
      <c r="N276" s="45" t="s">
        <v>1000</v>
      </c>
    </row>
    <row r="277" customFormat="false" ht="48.75" hidden="false" customHeight="true" outlineLevel="0" collapsed="false">
      <c r="A277" s="39" t="s">
        <v>1001</v>
      </c>
      <c r="B277" s="40" t="s">
        <v>1002</v>
      </c>
      <c r="C277" s="41" t="s">
        <v>107</v>
      </c>
      <c r="D277" s="41" t="s">
        <v>108</v>
      </c>
      <c r="E277" s="42" t="n">
        <v>2340</v>
      </c>
      <c r="F277" s="42" t="n">
        <v>260</v>
      </c>
      <c r="G277" s="42" t="n">
        <v>250</v>
      </c>
      <c r="H277" s="43" t="n">
        <v>1</v>
      </c>
      <c r="I277" s="34" t="n">
        <f aca="false">E277*H277+N(F277)*H277+N(G277)</f>
        <v>2850</v>
      </c>
      <c r="J277" s="42" t="n">
        <f aca="false">ROUND(IFERROR(ROUND(IF(OR(ISNUMBER(SEARCH("week",C277)),ISNUMBER(SEARCH("minggu",C277))),IFERROR(_xlfn.NUMBERVALUE(SUBSTITUTE(LEFT(TRIM(C277),FIND(" ",TRIM(C277)&amp;" ")-1),",","."),"."),LEFT(SUBSTITUTE(LEFT(TRIM(C277),FIND(" ",TRIM(C277)&amp;" ")-1),",","."),FIND("/",SUBSTITUTE(LEFT(TRIM(C277),FIND(" ",TRIM(C277)&amp;" ")-1),",","."))-1)/MID(SUBSTITUTE(LEFT(TRIM(C277),FIND(" ",TRIM(C277)&amp;" ")-1),",","."),FIND("/",SUBSTITUTE(LEFT(TRIM(C277),FIND(" ",TRIM(C277)&amp;" ")-1),",","."))+1,9))*12/52,IF(ISNUMBER(SEARCH("month",C277)),IFERROR(_xlfn.NUMBERVALUE(SUBSTITUTE(LEFT(TRIM(C277),FIND(" ",TRIM(C277)&amp;" ")-1),",","."),"."),LEFT(SUBSTITUTE(LEFT(TRIM(C277),FIND(" ",TRIM(C277)&amp;" ")-1),",","."),FIND("/",SUBSTITUTE(LEFT(TRIM(C277),FIND(" ",TRIM(C277)&amp;" ")-1),",","."))-1)/MID(SUBSTITUTE(LEFT(TRIM(C277),FIND(" ",TRIM(C277)&amp;" ")-1),",","."),FIND("/",SUBSTITUTE(LEFT(TRIM(C277),FIND(" ",TRIM(C277)&amp;" ")-1),",","."))+1,9)),IF(ISNUMBER(SEARCH("yea",C277)),IFERROR(_xlfn.NUMBERVALUE(SUBSTITUTE(LEFT(TRIM(C277),FIND(" ",TRIM(C277)&amp;" ")-1),",","."),"."),LEFT(SUBSTITUTE(LEFT(TRIM(C277),FIND(" ",TRIM(C277)&amp;" ")-1),",","."),FIND("/",SUBSTITUTE(LEFT(TRIM(C277),FIND(" ",TRIM(C277)&amp;" ")-1),",","."))-1)/MID(SUBSTITUTE(LEFT(TRIM(C277),FIND(" ",TRIM(C277)&amp;" ")-1),",","."),FIND("/",SUBSTITUTE(LEFT(TRIM(C277),FIND(" ",TRIM(C277)&amp;" ")-1),",","."))+1,9))*12,NA()))),0),24)*'Aturan &amp; Tarif'!$B$4,2)</f>
        <v>1362.72</v>
      </c>
      <c r="K277" s="42" t="n">
        <f aca="false">'Aturan &amp; Tarif'!$B$5</f>
        <v>2050</v>
      </c>
      <c r="L277" s="42" t="n">
        <f aca="false">'Aturan &amp; Tarif'!$B$6</f>
        <v>350</v>
      </c>
      <c r="M277" s="35" t="n">
        <f aca="false">I277+J277+K277+L277</f>
        <v>6612.72</v>
      </c>
      <c r="N277" s="44" t="s">
        <v>1003</v>
      </c>
    </row>
    <row r="278" customFormat="false" ht="37.5" hidden="false" customHeight="true" outlineLevel="0" collapsed="false">
      <c r="A278" s="39"/>
      <c r="B278" s="40" t="s">
        <v>1004</v>
      </c>
      <c r="C278" s="41" t="s">
        <v>138</v>
      </c>
      <c r="D278" s="41" t="s">
        <v>108</v>
      </c>
      <c r="E278" s="42" t="n">
        <v>1625</v>
      </c>
      <c r="F278" s="42" t="n">
        <v>130</v>
      </c>
      <c r="G278" s="42" t="n">
        <v>250</v>
      </c>
      <c r="H278" s="43" t="n">
        <v>1</v>
      </c>
      <c r="I278" s="34" t="n">
        <f aca="false">E278*H278+N(F278)*H278+N(G278)</f>
        <v>2005</v>
      </c>
      <c r="J278" s="42" t="n">
        <f aca="false">ROUND(IFERROR(ROUND(IF(OR(ISNUMBER(SEARCH("week",C278)),ISNUMBER(SEARCH("minggu",C278))),IFERROR(_xlfn.NUMBERVALUE(SUBSTITUTE(LEFT(TRIM(C278),FIND(" ",TRIM(C278)&amp;" ")-1),",","."),"."),LEFT(SUBSTITUTE(LEFT(TRIM(C278),FIND(" ",TRIM(C278)&amp;" ")-1),",","."),FIND("/",SUBSTITUTE(LEFT(TRIM(C278),FIND(" ",TRIM(C278)&amp;" ")-1),",","."))-1)/MID(SUBSTITUTE(LEFT(TRIM(C278),FIND(" ",TRIM(C278)&amp;" ")-1),",","."),FIND("/",SUBSTITUTE(LEFT(TRIM(C278),FIND(" ",TRIM(C278)&amp;" ")-1),",","."))+1,9))*12/52,IF(ISNUMBER(SEARCH("month",C278)),IFERROR(_xlfn.NUMBERVALUE(SUBSTITUTE(LEFT(TRIM(C278),FIND(" ",TRIM(C278)&amp;" ")-1),",","."),"."),LEFT(SUBSTITUTE(LEFT(TRIM(C278),FIND(" ",TRIM(C278)&amp;" ")-1),",","."),FIND("/",SUBSTITUTE(LEFT(TRIM(C278),FIND(" ",TRIM(C278)&amp;" ")-1),",","."))-1)/MID(SUBSTITUTE(LEFT(TRIM(C278),FIND(" ",TRIM(C278)&amp;" ")-1),",","."),FIND("/",SUBSTITUTE(LEFT(TRIM(C278),FIND(" ",TRIM(C278)&amp;" ")-1),",","."))+1,9)),IF(ISNUMBER(SEARCH("yea",C278)),IFERROR(_xlfn.NUMBERVALUE(SUBSTITUTE(LEFT(TRIM(C278),FIND(" ",TRIM(C278)&amp;" ")-1),",","."),"."),LEFT(SUBSTITUTE(LEFT(TRIM(C278),FIND(" ",TRIM(C278)&amp;" ")-1),",","."),FIND("/",SUBSTITUTE(LEFT(TRIM(C278),FIND(" ",TRIM(C278)&amp;" ")-1),",","."))-1)/MID(SUBSTITUTE(LEFT(TRIM(C278),FIND(" ",TRIM(C278)&amp;" ")-1),",","."),FIND("/",SUBSTITUTE(LEFT(TRIM(C278),FIND(" ",TRIM(C278)&amp;" ")-1),",","."))+1,9))*12,NA()))),0),30)*'Aturan &amp; Tarif'!$B$4,2)</f>
        <v>1703.4</v>
      </c>
      <c r="K278" s="42" t="n">
        <f aca="false">'Aturan &amp; Tarif'!$B$5</f>
        <v>2050</v>
      </c>
      <c r="L278" s="42" t="n">
        <f aca="false">'Aturan &amp; Tarif'!$B$6</f>
        <v>350</v>
      </c>
      <c r="M278" s="35" t="n">
        <f aca="false">I278+J278+K278+L278</f>
        <v>6108.4</v>
      </c>
      <c r="N278" s="44" t="s">
        <v>1005</v>
      </c>
    </row>
    <row r="279" customFormat="false" ht="83.25" hidden="false" customHeight="true" outlineLevel="0" collapsed="false">
      <c r="A279" s="39" t="s">
        <v>1006</v>
      </c>
      <c r="B279" s="40" t="s">
        <v>1007</v>
      </c>
      <c r="C279" s="41" t="s">
        <v>107</v>
      </c>
      <c r="D279" s="41" t="s">
        <v>108</v>
      </c>
      <c r="E279" s="42" t="n">
        <v>2775</v>
      </c>
      <c r="F279" s="42" t="n">
        <v>1750</v>
      </c>
      <c r="G279" s="42" t="n">
        <v>350</v>
      </c>
      <c r="H279" s="43" t="n">
        <v>1</v>
      </c>
      <c r="I279" s="34" t="n">
        <f aca="false">E279*H279+N(F279)+N(G279)</f>
        <v>4875</v>
      </c>
      <c r="J279" s="42" t="n">
        <f aca="false">ROUND(IFERROR(ROUND(IF(OR(ISNUMBER(SEARCH("week",C279)),ISNUMBER(SEARCH("minggu",C279))),IFERROR(_xlfn.NUMBERVALUE(SUBSTITUTE(LEFT(TRIM(C279),FIND(" ",TRIM(C279)&amp;" ")-1),",","."),"."),LEFT(SUBSTITUTE(LEFT(TRIM(C279),FIND(" ",TRIM(C279)&amp;" ")-1),",","."),FIND("/",SUBSTITUTE(LEFT(TRIM(C279),FIND(" ",TRIM(C279)&amp;" ")-1),",","."))-1)/MID(SUBSTITUTE(LEFT(TRIM(C279),FIND(" ",TRIM(C279)&amp;" ")-1),",","."),FIND("/",SUBSTITUTE(LEFT(TRIM(C279),FIND(" ",TRIM(C279)&amp;" ")-1),",","."))+1,9))*12/52,IF(ISNUMBER(SEARCH("month",C279)),IFERROR(_xlfn.NUMBERVALUE(SUBSTITUTE(LEFT(TRIM(C279),FIND(" ",TRIM(C279)&amp;" ")-1),",","."),"."),LEFT(SUBSTITUTE(LEFT(TRIM(C279),FIND(" ",TRIM(C279)&amp;" ")-1),",","."),FIND("/",SUBSTITUTE(LEFT(TRIM(C279),FIND(" ",TRIM(C279)&amp;" ")-1),",","."))-1)/MID(SUBSTITUTE(LEFT(TRIM(C279),FIND(" ",TRIM(C279)&amp;" ")-1),",","."),FIND("/",SUBSTITUTE(LEFT(TRIM(C279),FIND(" ",TRIM(C279)&amp;" ")-1),",","."))+1,9)),IF(ISNUMBER(SEARCH("yea",C279)),IFERROR(_xlfn.NUMBERVALUE(SUBSTITUTE(LEFT(TRIM(C279),FIND(" ",TRIM(C279)&amp;" ")-1),",","."),"."),LEFT(SUBSTITUTE(LEFT(TRIM(C279),FIND(" ",TRIM(C279)&amp;" ")-1),",","."),FIND("/",SUBSTITUTE(LEFT(TRIM(C279),FIND(" ",TRIM(C279)&amp;" ")-1),",","."))-1)/MID(SUBSTITUTE(LEFT(TRIM(C279),FIND(" ",TRIM(C279)&amp;" ")-1),",","."),FIND("/",SUBSTITUTE(LEFT(TRIM(C279),FIND(" ",TRIM(C279)&amp;" ")-1),",","."))+1,9))*12,NA()))),0),24)*'Aturan &amp; Tarif'!$B$4,2)</f>
        <v>1362.72</v>
      </c>
      <c r="K279" s="42" t="n">
        <f aca="false">'Aturan &amp; Tarif'!$B$5</f>
        <v>2050</v>
      </c>
      <c r="L279" s="42" t="n">
        <f aca="false">'Aturan &amp; Tarif'!$B$6</f>
        <v>350</v>
      </c>
      <c r="M279" s="35" t="n">
        <f aca="false">I279+J279+K279+L279</f>
        <v>8637.72</v>
      </c>
      <c r="N279" s="44" t="s">
        <v>1008</v>
      </c>
    </row>
    <row r="280" customFormat="false" ht="48.75" hidden="false" customHeight="true" outlineLevel="0" collapsed="false">
      <c r="A280" s="39"/>
      <c r="B280" s="40" t="s">
        <v>1009</v>
      </c>
      <c r="C280" s="41" t="s">
        <v>127</v>
      </c>
      <c r="D280" s="41" t="s">
        <v>108</v>
      </c>
      <c r="E280" s="42" t="n">
        <v>2775</v>
      </c>
      <c r="F280" s="42" t="n">
        <v>1750</v>
      </c>
      <c r="G280" s="42" t="n">
        <v>350</v>
      </c>
      <c r="H280" s="43" t="n">
        <v>1</v>
      </c>
      <c r="I280" s="34" t="n">
        <f aca="false">E280*H280+N(F280)+N(G280)</f>
        <v>4875</v>
      </c>
      <c r="J280" s="42" t="n">
        <f aca="false">ROUND(IFERROR(ROUND(IF(OR(ISNUMBER(SEARCH("week",C280)),ISNUMBER(SEARCH("minggu",C280))),IFERROR(_xlfn.NUMBERVALUE(SUBSTITUTE(LEFT(TRIM(C280),FIND(" ",TRIM(C280)&amp;" ")-1),",","."),"."),LEFT(SUBSTITUTE(LEFT(TRIM(C280),FIND(" ",TRIM(C280)&amp;" ")-1),",","."),FIND("/",SUBSTITUTE(LEFT(TRIM(C280),FIND(" ",TRIM(C280)&amp;" ")-1),",","."))-1)/MID(SUBSTITUTE(LEFT(TRIM(C280),FIND(" ",TRIM(C280)&amp;" ")-1),",","."),FIND("/",SUBSTITUTE(LEFT(TRIM(C280),FIND(" ",TRIM(C280)&amp;" ")-1),",","."))+1,9))*12/52,IF(ISNUMBER(SEARCH("month",C280)),IFERROR(_xlfn.NUMBERVALUE(SUBSTITUTE(LEFT(TRIM(C280),FIND(" ",TRIM(C280)&amp;" ")-1),",","."),"."),LEFT(SUBSTITUTE(LEFT(TRIM(C280),FIND(" ",TRIM(C280)&amp;" ")-1),",","."),FIND("/",SUBSTITUTE(LEFT(TRIM(C280),FIND(" ",TRIM(C280)&amp;" ")-1),",","."))-1)/MID(SUBSTITUTE(LEFT(TRIM(C280),FIND(" ",TRIM(C280)&amp;" ")-1),",","."),FIND("/",SUBSTITUTE(LEFT(TRIM(C280),FIND(" ",TRIM(C280)&amp;" ")-1),",","."))+1,9)),IF(ISNUMBER(SEARCH("yea",C280)),IFERROR(_xlfn.NUMBERVALUE(SUBSTITUTE(LEFT(TRIM(C280),FIND(" ",TRIM(C280)&amp;" ")-1),",","."),"."),LEFT(SUBSTITUTE(LEFT(TRIM(C280),FIND(" ",TRIM(C280)&amp;" ")-1),",","."),FIND("/",SUBSTITUTE(LEFT(TRIM(C280),FIND(" ",TRIM(C280)&amp;" ")-1),",","."))-1)/MID(SUBSTITUTE(LEFT(TRIM(C280),FIND(" ",TRIM(C280)&amp;" ")-1),",","."),FIND("/",SUBSTITUTE(LEFT(TRIM(C280),FIND(" ",TRIM(C280)&amp;" ")-1),",","."))+1,9))*12,NA()))),0),36)*'Aturan &amp; Tarif'!$B$4,2)</f>
        <v>2044.08</v>
      </c>
      <c r="K280" s="42" t="n">
        <f aca="false">'Aturan &amp; Tarif'!$B$5</f>
        <v>2050</v>
      </c>
      <c r="L280" s="42" t="n">
        <f aca="false">'Aturan &amp; Tarif'!$B$6</f>
        <v>350</v>
      </c>
      <c r="M280" s="35" t="n">
        <f aca="false">I280+J280+K280+L280</f>
        <v>9319.08</v>
      </c>
      <c r="N280" s="44" t="s">
        <v>1008</v>
      </c>
    </row>
    <row r="281" customFormat="false" ht="25.5" hidden="false" customHeight="true" outlineLevel="0" collapsed="false">
      <c r="A281" s="39"/>
      <c r="B281" s="40" t="s">
        <v>1010</v>
      </c>
      <c r="C281" s="41" t="s">
        <v>107</v>
      </c>
      <c r="D281" s="41" t="s">
        <v>108</v>
      </c>
      <c r="E281" s="42" t="n">
        <v>3166</v>
      </c>
      <c r="F281" s="42" t="n">
        <v>2000</v>
      </c>
      <c r="G281" s="42" t="n">
        <v>350</v>
      </c>
      <c r="H281" s="43" t="n">
        <v>1</v>
      </c>
      <c r="I281" s="34" t="n">
        <f aca="false">E281*H281+N(F281)+N(G281)</f>
        <v>5516</v>
      </c>
      <c r="J281" s="42" t="n">
        <f aca="false">ROUND(IFERROR(ROUND(IF(OR(ISNUMBER(SEARCH("week",C281)),ISNUMBER(SEARCH("minggu",C281))),IFERROR(_xlfn.NUMBERVALUE(SUBSTITUTE(LEFT(TRIM(C281),FIND(" ",TRIM(C281)&amp;" ")-1),",","."),"."),LEFT(SUBSTITUTE(LEFT(TRIM(C281),FIND(" ",TRIM(C281)&amp;" ")-1),",","."),FIND("/",SUBSTITUTE(LEFT(TRIM(C281),FIND(" ",TRIM(C281)&amp;" ")-1),",","."))-1)/MID(SUBSTITUTE(LEFT(TRIM(C281),FIND(" ",TRIM(C281)&amp;" ")-1),",","."),FIND("/",SUBSTITUTE(LEFT(TRIM(C281),FIND(" ",TRIM(C281)&amp;" ")-1),",","."))+1,9))*12/52,IF(ISNUMBER(SEARCH("month",C281)),IFERROR(_xlfn.NUMBERVALUE(SUBSTITUTE(LEFT(TRIM(C281),FIND(" ",TRIM(C281)&amp;" ")-1),",","."),"."),LEFT(SUBSTITUTE(LEFT(TRIM(C281),FIND(" ",TRIM(C281)&amp;" ")-1),",","."),FIND("/",SUBSTITUTE(LEFT(TRIM(C281),FIND(" ",TRIM(C281)&amp;" ")-1),",","."))-1)/MID(SUBSTITUTE(LEFT(TRIM(C281),FIND(" ",TRIM(C281)&amp;" ")-1),",","."),FIND("/",SUBSTITUTE(LEFT(TRIM(C281),FIND(" ",TRIM(C281)&amp;" ")-1),",","."))+1,9)),IF(ISNUMBER(SEARCH("yea",C281)),IFERROR(_xlfn.NUMBERVALUE(SUBSTITUTE(LEFT(TRIM(C281),FIND(" ",TRIM(C281)&amp;" ")-1),",","."),"."),LEFT(SUBSTITUTE(LEFT(TRIM(C281),FIND(" ",TRIM(C281)&amp;" ")-1),",","."),FIND("/",SUBSTITUTE(LEFT(TRIM(C281),FIND(" ",TRIM(C281)&amp;" ")-1),",","."))-1)/MID(SUBSTITUTE(LEFT(TRIM(C281),FIND(" ",TRIM(C281)&amp;" ")-1),",","."),FIND("/",SUBSTITUTE(LEFT(TRIM(C281),FIND(" ",TRIM(C281)&amp;" ")-1),",","."))+1,9))*12,NA()))),0),24)*'Aturan &amp; Tarif'!$B$4,2)</f>
        <v>1362.72</v>
      </c>
      <c r="K281" s="42" t="n">
        <f aca="false">'Aturan &amp; Tarif'!$B$5</f>
        <v>2050</v>
      </c>
      <c r="L281" s="42" t="n">
        <f aca="false">'Aturan &amp; Tarif'!$B$6</f>
        <v>350</v>
      </c>
      <c r="M281" s="35" t="n">
        <f aca="false">I281+J281+K281+L281</f>
        <v>9278.72</v>
      </c>
      <c r="N281" s="44" t="s">
        <v>1008</v>
      </c>
    </row>
    <row r="282" customFormat="false" ht="48.75" hidden="false" customHeight="true" outlineLevel="0" collapsed="false">
      <c r="A282" s="39"/>
      <c r="B282" s="40" t="s">
        <v>1011</v>
      </c>
      <c r="C282" s="41" t="s">
        <v>127</v>
      </c>
      <c r="D282" s="41" t="s">
        <v>108</v>
      </c>
      <c r="E282" s="42" t="n">
        <v>3166</v>
      </c>
      <c r="F282" s="42" t="n">
        <v>2000</v>
      </c>
      <c r="G282" s="42" t="n">
        <v>350</v>
      </c>
      <c r="H282" s="43" t="n">
        <v>1</v>
      </c>
      <c r="I282" s="34" t="n">
        <f aca="false">E282*H282+N(F282)+N(G282)</f>
        <v>5516</v>
      </c>
      <c r="J282" s="42" t="n">
        <f aca="false">ROUND(IFERROR(ROUND(IF(OR(ISNUMBER(SEARCH("week",C282)),ISNUMBER(SEARCH("minggu",C282))),IFERROR(_xlfn.NUMBERVALUE(SUBSTITUTE(LEFT(TRIM(C282),FIND(" ",TRIM(C282)&amp;" ")-1),",","."),"."),LEFT(SUBSTITUTE(LEFT(TRIM(C282),FIND(" ",TRIM(C282)&amp;" ")-1),",","."),FIND("/",SUBSTITUTE(LEFT(TRIM(C282),FIND(" ",TRIM(C282)&amp;" ")-1),",","."))-1)/MID(SUBSTITUTE(LEFT(TRIM(C282),FIND(" ",TRIM(C282)&amp;" ")-1),",","."),FIND("/",SUBSTITUTE(LEFT(TRIM(C282),FIND(" ",TRIM(C282)&amp;" ")-1),",","."))+1,9))*12/52,IF(ISNUMBER(SEARCH("month",C282)),IFERROR(_xlfn.NUMBERVALUE(SUBSTITUTE(LEFT(TRIM(C282),FIND(" ",TRIM(C282)&amp;" ")-1),",","."),"."),LEFT(SUBSTITUTE(LEFT(TRIM(C282),FIND(" ",TRIM(C282)&amp;" ")-1),",","."),FIND("/",SUBSTITUTE(LEFT(TRIM(C282),FIND(" ",TRIM(C282)&amp;" ")-1),",","."))-1)/MID(SUBSTITUTE(LEFT(TRIM(C282),FIND(" ",TRIM(C282)&amp;" ")-1),",","."),FIND("/",SUBSTITUTE(LEFT(TRIM(C282),FIND(" ",TRIM(C282)&amp;" ")-1),",","."))+1,9)),IF(ISNUMBER(SEARCH("yea",C282)),IFERROR(_xlfn.NUMBERVALUE(SUBSTITUTE(LEFT(TRIM(C282),FIND(" ",TRIM(C282)&amp;" ")-1),",","."),"."),LEFT(SUBSTITUTE(LEFT(TRIM(C282),FIND(" ",TRIM(C282)&amp;" ")-1),",","."),FIND("/",SUBSTITUTE(LEFT(TRIM(C282),FIND(" ",TRIM(C282)&amp;" ")-1),",","."))-1)/MID(SUBSTITUTE(LEFT(TRIM(C282),FIND(" ",TRIM(C282)&amp;" ")-1),",","."),FIND("/",SUBSTITUTE(LEFT(TRIM(C282),FIND(" ",TRIM(C282)&amp;" ")-1),",","."))+1,9))*12,NA()))),0),36)*'Aturan &amp; Tarif'!$B$4,2)</f>
        <v>2044.08</v>
      </c>
      <c r="K282" s="42" t="n">
        <f aca="false">'Aturan &amp; Tarif'!$B$5</f>
        <v>2050</v>
      </c>
      <c r="L282" s="42" t="n">
        <f aca="false">'Aturan &amp; Tarif'!$B$6</f>
        <v>350</v>
      </c>
      <c r="M282" s="35" t="n">
        <f aca="false">I282+J282+K282+L282</f>
        <v>9960.08</v>
      </c>
      <c r="N282" s="44" t="s">
        <v>1008</v>
      </c>
    </row>
    <row r="283" customFormat="false" ht="48.75" hidden="false" customHeight="true" outlineLevel="0" collapsed="false">
      <c r="A283" s="39"/>
      <c r="B283" s="40" t="s">
        <v>1012</v>
      </c>
      <c r="C283" s="41" t="s">
        <v>107</v>
      </c>
      <c r="D283" s="41" t="s">
        <v>108</v>
      </c>
      <c r="E283" s="42" t="n">
        <v>3000</v>
      </c>
      <c r="F283" s="42" t="n">
        <v>2000</v>
      </c>
      <c r="G283" s="42" t="n">
        <v>350</v>
      </c>
      <c r="H283" s="43" t="n">
        <v>1</v>
      </c>
      <c r="I283" s="34" t="n">
        <f aca="false">E283*H283+N(F283)+N(G283)</f>
        <v>5350</v>
      </c>
      <c r="J283" s="42" t="n">
        <f aca="false">ROUND(IFERROR(ROUND(IF(OR(ISNUMBER(SEARCH("week",C283)),ISNUMBER(SEARCH("minggu",C283))),IFERROR(_xlfn.NUMBERVALUE(SUBSTITUTE(LEFT(TRIM(C283),FIND(" ",TRIM(C283)&amp;" ")-1),",","."),"."),LEFT(SUBSTITUTE(LEFT(TRIM(C283),FIND(" ",TRIM(C283)&amp;" ")-1),",","."),FIND("/",SUBSTITUTE(LEFT(TRIM(C283),FIND(" ",TRIM(C283)&amp;" ")-1),",","."))-1)/MID(SUBSTITUTE(LEFT(TRIM(C283),FIND(" ",TRIM(C283)&amp;" ")-1),",","."),FIND("/",SUBSTITUTE(LEFT(TRIM(C283),FIND(" ",TRIM(C283)&amp;" ")-1),",","."))+1,9))*12/52,IF(ISNUMBER(SEARCH("month",C283)),IFERROR(_xlfn.NUMBERVALUE(SUBSTITUTE(LEFT(TRIM(C283),FIND(" ",TRIM(C283)&amp;" ")-1),",","."),"."),LEFT(SUBSTITUTE(LEFT(TRIM(C283),FIND(" ",TRIM(C283)&amp;" ")-1),",","."),FIND("/",SUBSTITUTE(LEFT(TRIM(C283),FIND(" ",TRIM(C283)&amp;" ")-1),",","."))-1)/MID(SUBSTITUTE(LEFT(TRIM(C283),FIND(" ",TRIM(C283)&amp;" ")-1),",","."),FIND("/",SUBSTITUTE(LEFT(TRIM(C283),FIND(" ",TRIM(C283)&amp;" ")-1),",","."))+1,9)),IF(ISNUMBER(SEARCH("yea",C283)),IFERROR(_xlfn.NUMBERVALUE(SUBSTITUTE(LEFT(TRIM(C283),FIND(" ",TRIM(C283)&amp;" ")-1),",","."),"."),LEFT(SUBSTITUTE(LEFT(TRIM(C283),FIND(" ",TRIM(C283)&amp;" ")-1),",","."),FIND("/",SUBSTITUTE(LEFT(TRIM(C283),FIND(" ",TRIM(C283)&amp;" ")-1),",","."))-1)/MID(SUBSTITUTE(LEFT(TRIM(C283),FIND(" ",TRIM(C283)&amp;" ")-1),",","."),FIND("/",SUBSTITUTE(LEFT(TRIM(C283),FIND(" ",TRIM(C283)&amp;" ")-1),",","."))+1,9))*12,NA()))),0),24)*'Aturan &amp; Tarif'!$B$4,2)</f>
        <v>1362.72</v>
      </c>
      <c r="K283" s="42" t="n">
        <f aca="false">'Aturan &amp; Tarif'!$B$5</f>
        <v>2050</v>
      </c>
      <c r="L283" s="42" t="n">
        <f aca="false">'Aturan &amp; Tarif'!$B$6</f>
        <v>350</v>
      </c>
      <c r="M283" s="35" t="n">
        <f aca="false">I283+J283+K283+L283</f>
        <v>9112.72</v>
      </c>
      <c r="N283" s="44" t="s">
        <v>1008</v>
      </c>
    </row>
    <row r="284" customFormat="false" ht="60" hidden="false" customHeight="true" outlineLevel="0" collapsed="false">
      <c r="A284" s="39"/>
      <c r="B284" s="40" t="s">
        <v>1013</v>
      </c>
      <c r="C284" s="41" t="s">
        <v>138</v>
      </c>
      <c r="D284" s="41" t="s">
        <v>108</v>
      </c>
      <c r="E284" s="42" t="n">
        <v>3000</v>
      </c>
      <c r="F284" s="42" t="n">
        <v>2000</v>
      </c>
      <c r="G284" s="42" t="n">
        <v>350</v>
      </c>
      <c r="H284" s="43" t="n">
        <v>1</v>
      </c>
      <c r="I284" s="34" t="n">
        <f aca="false">E284*H284+N(F284)+N(G284)</f>
        <v>5350</v>
      </c>
      <c r="J284" s="42" t="n">
        <f aca="false">ROUND(IFERROR(ROUND(IF(OR(ISNUMBER(SEARCH("week",C284)),ISNUMBER(SEARCH("minggu",C284))),IFERROR(_xlfn.NUMBERVALUE(SUBSTITUTE(LEFT(TRIM(C284),FIND(" ",TRIM(C284)&amp;" ")-1),",","."),"."),LEFT(SUBSTITUTE(LEFT(TRIM(C284),FIND(" ",TRIM(C284)&amp;" ")-1),",","."),FIND("/",SUBSTITUTE(LEFT(TRIM(C284),FIND(" ",TRIM(C284)&amp;" ")-1),",","."))-1)/MID(SUBSTITUTE(LEFT(TRIM(C284),FIND(" ",TRIM(C284)&amp;" ")-1),",","."),FIND("/",SUBSTITUTE(LEFT(TRIM(C284),FIND(" ",TRIM(C284)&amp;" ")-1),",","."))+1,9))*12/52,IF(ISNUMBER(SEARCH("month",C284)),IFERROR(_xlfn.NUMBERVALUE(SUBSTITUTE(LEFT(TRIM(C284),FIND(" ",TRIM(C284)&amp;" ")-1),",","."),"."),LEFT(SUBSTITUTE(LEFT(TRIM(C284),FIND(" ",TRIM(C284)&amp;" ")-1),",","."),FIND("/",SUBSTITUTE(LEFT(TRIM(C284),FIND(" ",TRIM(C284)&amp;" ")-1),",","."))-1)/MID(SUBSTITUTE(LEFT(TRIM(C284),FIND(" ",TRIM(C284)&amp;" ")-1),",","."),FIND("/",SUBSTITUTE(LEFT(TRIM(C284),FIND(" ",TRIM(C284)&amp;" ")-1),",","."))+1,9)),IF(ISNUMBER(SEARCH("yea",C284)),IFERROR(_xlfn.NUMBERVALUE(SUBSTITUTE(LEFT(TRIM(C284),FIND(" ",TRIM(C284)&amp;" ")-1),",","."),"."),LEFT(SUBSTITUTE(LEFT(TRIM(C284),FIND(" ",TRIM(C284)&amp;" ")-1),",","."),FIND("/",SUBSTITUTE(LEFT(TRIM(C284),FIND(" ",TRIM(C284)&amp;" ")-1),",","."))-1)/MID(SUBSTITUTE(LEFT(TRIM(C284),FIND(" ",TRIM(C284)&amp;" ")-1),",","."),FIND("/",SUBSTITUTE(LEFT(TRIM(C284),FIND(" ",TRIM(C284)&amp;" ")-1),",","."))+1,9))*12,NA()))),0),30)*'Aturan &amp; Tarif'!$B$4,2)</f>
        <v>1703.4</v>
      </c>
      <c r="K284" s="42" t="n">
        <f aca="false">'Aturan &amp; Tarif'!$B$5</f>
        <v>2050</v>
      </c>
      <c r="L284" s="42" t="n">
        <f aca="false">'Aturan &amp; Tarif'!$B$6</f>
        <v>350</v>
      </c>
      <c r="M284" s="35" t="n">
        <f aca="false">I284+J284+K284+L284</f>
        <v>9453.4</v>
      </c>
      <c r="N284" s="44" t="s">
        <v>1008</v>
      </c>
    </row>
    <row r="285" customFormat="false" ht="48.75" hidden="false" customHeight="true" outlineLevel="0" collapsed="false">
      <c r="A285" s="39"/>
      <c r="B285" s="40" t="s">
        <v>1014</v>
      </c>
      <c r="C285" s="41" t="s">
        <v>107</v>
      </c>
      <c r="D285" s="41" t="s">
        <v>108</v>
      </c>
      <c r="E285" s="42" t="n">
        <v>3066</v>
      </c>
      <c r="F285" s="42" t="n">
        <v>2000</v>
      </c>
      <c r="G285" s="42" t="n">
        <v>350</v>
      </c>
      <c r="H285" s="43" t="n">
        <v>1</v>
      </c>
      <c r="I285" s="34" t="n">
        <f aca="false">E285*H285+N(F285)+N(G285)</f>
        <v>5416</v>
      </c>
      <c r="J285" s="42" t="n">
        <f aca="false">ROUND(IFERROR(ROUND(IF(OR(ISNUMBER(SEARCH("week",C285)),ISNUMBER(SEARCH("minggu",C285))),IFERROR(_xlfn.NUMBERVALUE(SUBSTITUTE(LEFT(TRIM(C285),FIND(" ",TRIM(C285)&amp;" ")-1),",","."),"."),LEFT(SUBSTITUTE(LEFT(TRIM(C285),FIND(" ",TRIM(C285)&amp;" ")-1),",","."),FIND("/",SUBSTITUTE(LEFT(TRIM(C285),FIND(" ",TRIM(C285)&amp;" ")-1),",","."))-1)/MID(SUBSTITUTE(LEFT(TRIM(C285),FIND(" ",TRIM(C285)&amp;" ")-1),",","."),FIND("/",SUBSTITUTE(LEFT(TRIM(C285),FIND(" ",TRIM(C285)&amp;" ")-1),",","."))+1,9))*12/52,IF(ISNUMBER(SEARCH("month",C285)),IFERROR(_xlfn.NUMBERVALUE(SUBSTITUTE(LEFT(TRIM(C285),FIND(" ",TRIM(C285)&amp;" ")-1),",","."),"."),LEFT(SUBSTITUTE(LEFT(TRIM(C285),FIND(" ",TRIM(C285)&amp;" ")-1),",","."),FIND("/",SUBSTITUTE(LEFT(TRIM(C285),FIND(" ",TRIM(C285)&amp;" ")-1),",","."))-1)/MID(SUBSTITUTE(LEFT(TRIM(C285),FIND(" ",TRIM(C285)&amp;" ")-1),",","."),FIND("/",SUBSTITUTE(LEFT(TRIM(C285),FIND(" ",TRIM(C285)&amp;" ")-1),",","."))+1,9)),IF(ISNUMBER(SEARCH("yea",C285)),IFERROR(_xlfn.NUMBERVALUE(SUBSTITUTE(LEFT(TRIM(C285),FIND(" ",TRIM(C285)&amp;" ")-1),",","."),"."),LEFT(SUBSTITUTE(LEFT(TRIM(C285),FIND(" ",TRIM(C285)&amp;" ")-1),",","."),FIND("/",SUBSTITUTE(LEFT(TRIM(C285),FIND(" ",TRIM(C285)&amp;" ")-1),",","."))-1)/MID(SUBSTITUTE(LEFT(TRIM(C285),FIND(" ",TRIM(C285)&amp;" ")-1),",","."),FIND("/",SUBSTITUTE(LEFT(TRIM(C285),FIND(" ",TRIM(C285)&amp;" ")-1),",","."))+1,9))*12,NA()))),0),24)*'Aturan &amp; Tarif'!$B$4,2)</f>
        <v>1362.72</v>
      </c>
      <c r="K285" s="42" t="n">
        <f aca="false">'Aturan &amp; Tarif'!$B$5</f>
        <v>2050</v>
      </c>
      <c r="L285" s="42" t="n">
        <f aca="false">'Aturan &amp; Tarif'!$B$6</f>
        <v>350</v>
      </c>
      <c r="M285" s="35" t="n">
        <f aca="false">I285+J285+K285+L285</f>
        <v>9178.72</v>
      </c>
      <c r="N285" s="44" t="s">
        <v>1008</v>
      </c>
    </row>
    <row r="286" customFormat="false" ht="60" hidden="false" customHeight="true" outlineLevel="0" collapsed="false">
      <c r="A286" s="39"/>
      <c r="B286" s="40" t="s">
        <v>1015</v>
      </c>
      <c r="C286" s="41" t="s">
        <v>127</v>
      </c>
      <c r="D286" s="41" t="s">
        <v>108</v>
      </c>
      <c r="E286" s="42" t="n">
        <v>3066</v>
      </c>
      <c r="F286" s="42" t="n">
        <v>2000</v>
      </c>
      <c r="G286" s="42" t="n">
        <v>350</v>
      </c>
      <c r="H286" s="43" t="n">
        <v>1</v>
      </c>
      <c r="I286" s="34" t="n">
        <f aca="false">E286*H286+N(F286)+N(G286)</f>
        <v>5416</v>
      </c>
      <c r="J286" s="42" t="n">
        <f aca="false">ROUND(IFERROR(ROUND(IF(OR(ISNUMBER(SEARCH("week",C286)),ISNUMBER(SEARCH("minggu",C286))),IFERROR(_xlfn.NUMBERVALUE(SUBSTITUTE(LEFT(TRIM(C286),FIND(" ",TRIM(C286)&amp;" ")-1),",","."),"."),LEFT(SUBSTITUTE(LEFT(TRIM(C286),FIND(" ",TRIM(C286)&amp;" ")-1),",","."),FIND("/",SUBSTITUTE(LEFT(TRIM(C286),FIND(" ",TRIM(C286)&amp;" ")-1),",","."))-1)/MID(SUBSTITUTE(LEFT(TRIM(C286),FIND(" ",TRIM(C286)&amp;" ")-1),",","."),FIND("/",SUBSTITUTE(LEFT(TRIM(C286),FIND(" ",TRIM(C286)&amp;" ")-1),",","."))+1,9))*12/52,IF(ISNUMBER(SEARCH("month",C286)),IFERROR(_xlfn.NUMBERVALUE(SUBSTITUTE(LEFT(TRIM(C286),FIND(" ",TRIM(C286)&amp;" ")-1),",","."),"."),LEFT(SUBSTITUTE(LEFT(TRIM(C286),FIND(" ",TRIM(C286)&amp;" ")-1),",","."),FIND("/",SUBSTITUTE(LEFT(TRIM(C286),FIND(" ",TRIM(C286)&amp;" ")-1),",","."))-1)/MID(SUBSTITUTE(LEFT(TRIM(C286),FIND(" ",TRIM(C286)&amp;" ")-1),",","."),FIND("/",SUBSTITUTE(LEFT(TRIM(C286),FIND(" ",TRIM(C286)&amp;" ")-1),",","."))+1,9)),IF(ISNUMBER(SEARCH("yea",C286)),IFERROR(_xlfn.NUMBERVALUE(SUBSTITUTE(LEFT(TRIM(C286),FIND(" ",TRIM(C286)&amp;" ")-1),",","."),"."),LEFT(SUBSTITUTE(LEFT(TRIM(C286),FIND(" ",TRIM(C286)&amp;" ")-1),",","."),FIND("/",SUBSTITUTE(LEFT(TRIM(C286),FIND(" ",TRIM(C286)&amp;" ")-1),",","."))-1)/MID(SUBSTITUTE(LEFT(TRIM(C286),FIND(" ",TRIM(C286)&amp;" ")-1),",","."),FIND("/",SUBSTITUTE(LEFT(TRIM(C286),FIND(" ",TRIM(C286)&amp;" ")-1),",","."))+1,9))*12,NA()))),0),36)*'Aturan &amp; Tarif'!$B$4,2)</f>
        <v>2044.08</v>
      </c>
      <c r="K286" s="42" t="n">
        <f aca="false">'Aturan &amp; Tarif'!$B$5</f>
        <v>2050</v>
      </c>
      <c r="L286" s="42" t="n">
        <f aca="false">'Aturan &amp; Tarif'!$B$6</f>
        <v>350</v>
      </c>
      <c r="M286" s="35" t="n">
        <f aca="false">I286+J286+K286+L286</f>
        <v>9860.08</v>
      </c>
      <c r="N286" s="44" t="s">
        <v>1008</v>
      </c>
    </row>
    <row r="287" customFormat="false" ht="37.5" hidden="false" customHeight="true" outlineLevel="0" collapsed="false">
      <c r="A287" s="39"/>
      <c r="B287" s="40" t="s">
        <v>1016</v>
      </c>
      <c r="C287" s="41" t="s">
        <v>107</v>
      </c>
      <c r="D287" s="41" t="s">
        <v>108</v>
      </c>
      <c r="E287" s="42" t="n">
        <v>2666</v>
      </c>
      <c r="F287" s="42" t="n">
        <v>2000</v>
      </c>
      <c r="G287" s="42" t="n">
        <v>350</v>
      </c>
      <c r="H287" s="43" t="n">
        <v>1</v>
      </c>
      <c r="I287" s="34" t="n">
        <f aca="false">E287*H287+N(F287)+N(G287)</f>
        <v>5016</v>
      </c>
      <c r="J287" s="42" t="n">
        <f aca="false">ROUND(IFERROR(ROUND(IF(OR(ISNUMBER(SEARCH("week",C287)),ISNUMBER(SEARCH("minggu",C287))),IFERROR(_xlfn.NUMBERVALUE(SUBSTITUTE(LEFT(TRIM(C287),FIND(" ",TRIM(C287)&amp;" ")-1),",","."),"."),LEFT(SUBSTITUTE(LEFT(TRIM(C287),FIND(" ",TRIM(C287)&amp;" ")-1),",","."),FIND("/",SUBSTITUTE(LEFT(TRIM(C287),FIND(" ",TRIM(C287)&amp;" ")-1),",","."))-1)/MID(SUBSTITUTE(LEFT(TRIM(C287),FIND(" ",TRIM(C287)&amp;" ")-1),",","."),FIND("/",SUBSTITUTE(LEFT(TRIM(C287),FIND(" ",TRIM(C287)&amp;" ")-1),",","."))+1,9))*12/52,IF(ISNUMBER(SEARCH("month",C287)),IFERROR(_xlfn.NUMBERVALUE(SUBSTITUTE(LEFT(TRIM(C287),FIND(" ",TRIM(C287)&amp;" ")-1),",","."),"."),LEFT(SUBSTITUTE(LEFT(TRIM(C287),FIND(" ",TRIM(C287)&amp;" ")-1),",","."),FIND("/",SUBSTITUTE(LEFT(TRIM(C287),FIND(" ",TRIM(C287)&amp;" ")-1),",","."))-1)/MID(SUBSTITUTE(LEFT(TRIM(C287),FIND(" ",TRIM(C287)&amp;" ")-1),",","."),FIND("/",SUBSTITUTE(LEFT(TRIM(C287),FIND(" ",TRIM(C287)&amp;" ")-1),",","."))+1,9)),IF(ISNUMBER(SEARCH("yea",C287)),IFERROR(_xlfn.NUMBERVALUE(SUBSTITUTE(LEFT(TRIM(C287),FIND(" ",TRIM(C287)&amp;" ")-1),",","."),"."),LEFT(SUBSTITUTE(LEFT(TRIM(C287),FIND(" ",TRIM(C287)&amp;" ")-1),",","."),FIND("/",SUBSTITUTE(LEFT(TRIM(C287),FIND(" ",TRIM(C287)&amp;" ")-1),",","."))-1)/MID(SUBSTITUTE(LEFT(TRIM(C287),FIND(" ",TRIM(C287)&amp;" ")-1),",","."),FIND("/",SUBSTITUTE(LEFT(TRIM(C287),FIND(" ",TRIM(C287)&amp;" ")-1),",","."))+1,9))*12,NA()))),0),24)*'Aturan &amp; Tarif'!$B$4,2)</f>
        <v>1362.72</v>
      </c>
      <c r="K287" s="42" t="n">
        <f aca="false">'Aturan &amp; Tarif'!$B$5</f>
        <v>2050</v>
      </c>
      <c r="L287" s="42" t="n">
        <f aca="false">'Aturan &amp; Tarif'!$B$6</f>
        <v>350</v>
      </c>
      <c r="M287" s="35" t="n">
        <f aca="false">I287+J287+K287+L287</f>
        <v>8778.72</v>
      </c>
      <c r="N287" s="44" t="s">
        <v>1008</v>
      </c>
    </row>
    <row r="288" customFormat="false" ht="48.75" hidden="false" customHeight="true" outlineLevel="0" collapsed="false">
      <c r="A288" s="39"/>
      <c r="B288" s="40" t="s">
        <v>1017</v>
      </c>
      <c r="C288" s="41" t="s">
        <v>127</v>
      </c>
      <c r="D288" s="41" t="s">
        <v>108</v>
      </c>
      <c r="E288" s="42" t="n">
        <v>2666</v>
      </c>
      <c r="F288" s="42" t="n">
        <v>2000</v>
      </c>
      <c r="G288" s="42" t="n">
        <v>350</v>
      </c>
      <c r="H288" s="43" t="n">
        <v>1</v>
      </c>
      <c r="I288" s="34" t="n">
        <f aca="false">E288*H288+N(F288)+N(G288)</f>
        <v>5016</v>
      </c>
      <c r="J288" s="42" t="n">
        <f aca="false">ROUND(IFERROR(ROUND(IF(OR(ISNUMBER(SEARCH("week",C288)),ISNUMBER(SEARCH("minggu",C288))),IFERROR(_xlfn.NUMBERVALUE(SUBSTITUTE(LEFT(TRIM(C288),FIND(" ",TRIM(C288)&amp;" ")-1),",","."),"."),LEFT(SUBSTITUTE(LEFT(TRIM(C288),FIND(" ",TRIM(C288)&amp;" ")-1),",","."),FIND("/",SUBSTITUTE(LEFT(TRIM(C288),FIND(" ",TRIM(C288)&amp;" ")-1),",","."))-1)/MID(SUBSTITUTE(LEFT(TRIM(C288),FIND(" ",TRIM(C288)&amp;" ")-1),",","."),FIND("/",SUBSTITUTE(LEFT(TRIM(C288),FIND(" ",TRIM(C288)&amp;" ")-1),",","."))+1,9))*12/52,IF(ISNUMBER(SEARCH("month",C288)),IFERROR(_xlfn.NUMBERVALUE(SUBSTITUTE(LEFT(TRIM(C288),FIND(" ",TRIM(C288)&amp;" ")-1),",","."),"."),LEFT(SUBSTITUTE(LEFT(TRIM(C288),FIND(" ",TRIM(C288)&amp;" ")-1),",","."),FIND("/",SUBSTITUTE(LEFT(TRIM(C288),FIND(" ",TRIM(C288)&amp;" ")-1),",","."))-1)/MID(SUBSTITUTE(LEFT(TRIM(C288),FIND(" ",TRIM(C288)&amp;" ")-1),",","."),FIND("/",SUBSTITUTE(LEFT(TRIM(C288),FIND(" ",TRIM(C288)&amp;" ")-1),",","."))+1,9)),IF(ISNUMBER(SEARCH("yea",C288)),IFERROR(_xlfn.NUMBERVALUE(SUBSTITUTE(LEFT(TRIM(C288),FIND(" ",TRIM(C288)&amp;" ")-1),",","."),"."),LEFT(SUBSTITUTE(LEFT(TRIM(C288),FIND(" ",TRIM(C288)&amp;" ")-1),",","."),FIND("/",SUBSTITUTE(LEFT(TRIM(C288),FIND(" ",TRIM(C288)&amp;" ")-1),",","."))-1)/MID(SUBSTITUTE(LEFT(TRIM(C288),FIND(" ",TRIM(C288)&amp;" ")-1),",","."),FIND("/",SUBSTITUTE(LEFT(TRIM(C288),FIND(" ",TRIM(C288)&amp;" ")-1),",","."))+1,9))*12,NA()))),0),36)*'Aturan &amp; Tarif'!$B$4,2)</f>
        <v>2044.08</v>
      </c>
      <c r="K288" s="42" t="n">
        <f aca="false">'Aturan &amp; Tarif'!$B$5</f>
        <v>2050</v>
      </c>
      <c r="L288" s="42" t="n">
        <f aca="false">'Aturan &amp; Tarif'!$B$6</f>
        <v>350</v>
      </c>
      <c r="M288" s="35" t="n">
        <f aca="false">I288+J288+K288+L288</f>
        <v>9460.08</v>
      </c>
      <c r="N288" s="44" t="s">
        <v>1008</v>
      </c>
    </row>
    <row r="289" customFormat="false" ht="48.75" hidden="false" customHeight="true" outlineLevel="0" collapsed="false">
      <c r="A289" s="39"/>
      <c r="B289" s="40" t="s">
        <v>1018</v>
      </c>
      <c r="C289" s="41" t="s">
        <v>107</v>
      </c>
      <c r="D289" s="41" t="s">
        <v>108</v>
      </c>
      <c r="E289" s="42" t="n">
        <v>2666</v>
      </c>
      <c r="F289" s="42" t="n">
        <v>2000</v>
      </c>
      <c r="G289" s="42" t="n">
        <v>350</v>
      </c>
      <c r="H289" s="43" t="n">
        <v>1</v>
      </c>
      <c r="I289" s="34" t="n">
        <f aca="false">E289*H289+N(F289)+N(G289)</f>
        <v>5016</v>
      </c>
      <c r="J289" s="42" t="n">
        <f aca="false">ROUND(IFERROR(ROUND(IF(OR(ISNUMBER(SEARCH("week",C289)),ISNUMBER(SEARCH("minggu",C289))),IFERROR(_xlfn.NUMBERVALUE(SUBSTITUTE(LEFT(TRIM(C289),FIND(" ",TRIM(C289)&amp;" ")-1),",","."),"."),LEFT(SUBSTITUTE(LEFT(TRIM(C289),FIND(" ",TRIM(C289)&amp;" ")-1),",","."),FIND("/",SUBSTITUTE(LEFT(TRIM(C289),FIND(" ",TRIM(C289)&amp;" ")-1),",","."))-1)/MID(SUBSTITUTE(LEFT(TRIM(C289),FIND(" ",TRIM(C289)&amp;" ")-1),",","."),FIND("/",SUBSTITUTE(LEFT(TRIM(C289),FIND(" ",TRIM(C289)&amp;" ")-1),",","."))+1,9))*12/52,IF(ISNUMBER(SEARCH("month",C289)),IFERROR(_xlfn.NUMBERVALUE(SUBSTITUTE(LEFT(TRIM(C289),FIND(" ",TRIM(C289)&amp;" ")-1),",","."),"."),LEFT(SUBSTITUTE(LEFT(TRIM(C289),FIND(" ",TRIM(C289)&amp;" ")-1),",","."),FIND("/",SUBSTITUTE(LEFT(TRIM(C289),FIND(" ",TRIM(C289)&amp;" ")-1),",","."))-1)/MID(SUBSTITUTE(LEFT(TRIM(C289),FIND(" ",TRIM(C289)&amp;" ")-1),",","."),FIND("/",SUBSTITUTE(LEFT(TRIM(C289),FIND(" ",TRIM(C289)&amp;" ")-1),",","."))+1,9)),IF(ISNUMBER(SEARCH("yea",C289)),IFERROR(_xlfn.NUMBERVALUE(SUBSTITUTE(LEFT(TRIM(C289),FIND(" ",TRIM(C289)&amp;" ")-1),",","."),"."),LEFT(SUBSTITUTE(LEFT(TRIM(C289),FIND(" ",TRIM(C289)&amp;" ")-1),",","."),FIND("/",SUBSTITUTE(LEFT(TRIM(C289),FIND(" ",TRIM(C289)&amp;" ")-1),",","."))-1)/MID(SUBSTITUTE(LEFT(TRIM(C289),FIND(" ",TRIM(C289)&amp;" ")-1),",","."),FIND("/",SUBSTITUTE(LEFT(TRIM(C289),FIND(" ",TRIM(C289)&amp;" ")-1),",","."))+1,9))*12,NA()))),0),24)*'Aturan &amp; Tarif'!$B$4,2)</f>
        <v>1362.72</v>
      </c>
      <c r="K289" s="42" t="n">
        <f aca="false">'Aturan &amp; Tarif'!$B$5</f>
        <v>2050</v>
      </c>
      <c r="L289" s="42" t="n">
        <f aca="false">'Aturan &amp; Tarif'!$B$6</f>
        <v>350</v>
      </c>
      <c r="M289" s="35" t="n">
        <f aca="false">I289+J289+K289+L289</f>
        <v>8778.72</v>
      </c>
      <c r="N289" s="44" t="s">
        <v>1008</v>
      </c>
    </row>
    <row r="290" customFormat="false" ht="48.75" hidden="false" customHeight="true" outlineLevel="0" collapsed="false">
      <c r="A290" s="39"/>
      <c r="B290" s="40" t="s">
        <v>1019</v>
      </c>
      <c r="C290" s="41" t="s">
        <v>138</v>
      </c>
      <c r="D290" s="41" t="s">
        <v>108</v>
      </c>
      <c r="E290" s="42" t="n">
        <v>3000</v>
      </c>
      <c r="F290" s="42" t="n">
        <v>2000</v>
      </c>
      <c r="G290" s="42" t="n">
        <v>350</v>
      </c>
      <c r="H290" s="43" t="n">
        <v>1</v>
      </c>
      <c r="I290" s="34" t="n">
        <f aca="false">E290*H290+N(F290)+N(G290)</f>
        <v>5350</v>
      </c>
      <c r="J290" s="42" t="n">
        <f aca="false">ROUND(IFERROR(ROUND(IF(OR(ISNUMBER(SEARCH("week",C290)),ISNUMBER(SEARCH("minggu",C290))),IFERROR(_xlfn.NUMBERVALUE(SUBSTITUTE(LEFT(TRIM(C290),FIND(" ",TRIM(C290)&amp;" ")-1),",","."),"."),LEFT(SUBSTITUTE(LEFT(TRIM(C290),FIND(" ",TRIM(C290)&amp;" ")-1),",","."),FIND("/",SUBSTITUTE(LEFT(TRIM(C290),FIND(" ",TRIM(C290)&amp;" ")-1),",","."))-1)/MID(SUBSTITUTE(LEFT(TRIM(C290),FIND(" ",TRIM(C290)&amp;" ")-1),",","."),FIND("/",SUBSTITUTE(LEFT(TRIM(C290),FIND(" ",TRIM(C290)&amp;" ")-1),",","."))+1,9))*12/52,IF(ISNUMBER(SEARCH("month",C290)),IFERROR(_xlfn.NUMBERVALUE(SUBSTITUTE(LEFT(TRIM(C290),FIND(" ",TRIM(C290)&amp;" ")-1),",","."),"."),LEFT(SUBSTITUTE(LEFT(TRIM(C290),FIND(" ",TRIM(C290)&amp;" ")-1),",","."),FIND("/",SUBSTITUTE(LEFT(TRIM(C290),FIND(" ",TRIM(C290)&amp;" ")-1),",","."))-1)/MID(SUBSTITUTE(LEFT(TRIM(C290),FIND(" ",TRIM(C290)&amp;" ")-1),",","."),FIND("/",SUBSTITUTE(LEFT(TRIM(C290),FIND(" ",TRIM(C290)&amp;" ")-1),",","."))+1,9)),IF(ISNUMBER(SEARCH("yea",C290)),IFERROR(_xlfn.NUMBERVALUE(SUBSTITUTE(LEFT(TRIM(C290),FIND(" ",TRIM(C290)&amp;" ")-1),",","."),"."),LEFT(SUBSTITUTE(LEFT(TRIM(C290),FIND(" ",TRIM(C290)&amp;" ")-1),",","."),FIND("/",SUBSTITUTE(LEFT(TRIM(C290),FIND(" ",TRIM(C290)&amp;" ")-1),",","."))-1)/MID(SUBSTITUTE(LEFT(TRIM(C290),FIND(" ",TRIM(C290)&amp;" ")-1),",","."),FIND("/",SUBSTITUTE(LEFT(TRIM(C290),FIND(" ",TRIM(C290)&amp;" ")-1),",","."))+1,9))*12,NA()))),0),30)*'Aturan &amp; Tarif'!$B$4,2)</f>
        <v>1703.4</v>
      </c>
      <c r="K290" s="42" t="n">
        <f aca="false">'Aturan &amp; Tarif'!$B$5</f>
        <v>2050</v>
      </c>
      <c r="L290" s="42" t="n">
        <f aca="false">'Aturan &amp; Tarif'!$B$6</f>
        <v>350</v>
      </c>
      <c r="M290" s="35" t="n">
        <f aca="false">I290+J290+K290+L290</f>
        <v>9453.4</v>
      </c>
      <c r="N290" s="44" t="s">
        <v>1008</v>
      </c>
    </row>
    <row r="291" customFormat="false" ht="37.5" hidden="false" customHeight="true" outlineLevel="0" collapsed="false">
      <c r="A291" s="29" t="s">
        <v>1020</v>
      </c>
      <c r="B291" s="30" t="s">
        <v>1021</v>
      </c>
      <c r="C291" s="31" t="s">
        <v>107</v>
      </c>
      <c r="D291" s="31" t="s">
        <v>108</v>
      </c>
      <c r="E291" s="32" t="n">
        <v>2150</v>
      </c>
      <c r="F291" s="32" t="n">
        <v>1500</v>
      </c>
      <c r="G291" s="32"/>
      <c r="H291" s="33" t="n">
        <v>2</v>
      </c>
      <c r="I291" s="34" t="n">
        <f aca="false">E291*H291+N(F291)+N(G291)</f>
        <v>5800</v>
      </c>
      <c r="J291" s="32" t="n">
        <f aca="false">ROUND(IFERROR(ROUND(IF(OR(ISNUMBER(SEARCH("week",C291)),ISNUMBER(SEARCH("minggu",C291))),IFERROR(_xlfn.NUMBERVALUE(SUBSTITUTE(LEFT(TRIM(C291),FIND(" ",TRIM(C291)&amp;" ")-1),",","."),"."),LEFT(SUBSTITUTE(LEFT(TRIM(C291),FIND(" ",TRIM(C291)&amp;" ")-1),",","."),FIND("/",SUBSTITUTE(LEFT(TRIM(C291),FIND(" ",TRIM(C291)&amp;" ")-1),",","."))-1)/MID(SUBSTITUTE(LEFT(TRIM(C291),FIND(" ",TRIM(C291)&amp;" ")-1),",","."),FIND("/",SUBSTITUTE(LEFT(TRIM(C291),FIND(" ",TRIM(C291)&amp;" ")-1),",","."))+1,9))*12/52,IF(ISNUMBER(SEARCH("month",C291)),IFERROR(_xlfn.NUMBERVALUE(SUBSTITUTE(LEFT(TRIM(C291),FIND(" ",TRIM(C291)&amp;" ")-1),",","."),"."),LEFT(SUBSTITUTE(LEFT(TRIM(C291),FIND(" ",TRIM(C291)&amp;" ")-1),",","."),FIND("/",SUBSTITUTE(LEFT(TRIM(C291),FIND(" ",TRIM(C291)&amp;" ")-1),",","."))-1)/MID(SUBSTITUTE(LEFT(TRIM(C291),FIND(" ",TRIM(C291)&amp;" ")-1),",","."),FIND("/",SUBSTITUTE(LEFT(TRIM(C291),FIND(" ",TRIM(C291)&amp;" ")-1),",","."))+1,9)),IF(ISNUMBER(SEARCH("yea",C291)),IFERROR(_xlfn.NUMBERVALUE(SUBSTITUTE(LEFT(TRIM(C291),FIND(" ",TRIM(C291)&amp;" ")-1),",","."),"."),LEFT(SUBSTITUTE(LEFT(TRIM(C291),FIND(" ",TRIM(C291)&amp;" ")-1),",","."),FIND("/",SUBSTITUTE(LEFT(TRIM(C291),FIND(" ",TRIM(C291)&amp;" ")-1),",","."))-1)/MID(SUBSTITUTE(LEFT(TRIM(C291),FIND(" ",TRIM(C291)&amp;" ")-1),",","."),FIND("/",SUBSTITUTE(LEFT(TRIM(C291),FIND(" ",TRIM(C291)&amp;" ")-1),",","."))+1,9))*12,NA()))),0),24)*'Aturan &amp; Tarif'!$B$4,2)</f>
        <v>1362.72</v>
      </c>
      <c r="K291" s="32" t="n">
        <f aca="false">'Aturan &amp; Tarif'!$B$5</f>
        <v>2050</v>
      </c>
      <c r="L291" s="32" t="n">
        <f aca="false">'Aturan &amp; Tarif'!$B$6</f>
        <v>350</v>
      </c>
      <c r="M291" s="35" t="n">
        <f aca="false">I291+J291+K291+L291</f>
        <v>9562.72</v>
      </c>
      <c r="N291" s="37" t="s">
        <v>1022</v>
      </c>
    </row>
    <row r="292" customFormat="false" ht="25.5" hidden="false" customHeight="true" outlineLevel="0" collapsed="false">
      <c r="A292" s="29"/>
      <c r="B292" s="30" t="s">
        <v>881</v>
      </c>
      <c r="C292" s="31" t="s">
        <v>107</v>
      </c>
      <c r="D292" s="31" t="s">
        <v>108</v>
      </c>
      <c r="E292" s="32" t="n">
        <v>1800</v>
      </c>
      <c r="F292" s="32" t="n">
        <v>200</v>
      </c>
      <c r="G292" s="32"/>
      <c r="H292" s="33" t="n">
        <v>2</v>
      </c>
      <c r="I292" s="34" t="n">
        <f aca="false">E292*H292+N(F292)+N(G292)</f>
        <v>3800</v>
      </c>
      <c r="J292" s="32" t="n">
        <f aca="false">ROUND(IFERROR(ROUND(IF(OR(ISNUMBER(SEARCH("week",C292)),ISNUMBER(SEARCH("minggu",C292))),IFERROR(_xlfn.NUMBERVALUE(SUBSTITUTE(LEFT(TRIM(C292),FIND(" ",TRIM(C292)&amp;" ")-1),",","."),"."),LEFT(SUBSTITUTE(LEFT(TRIM(C292),FIND(" ",TRIM(C292)&amp;" ")-1),",","."),FIND("/",SUBSTITUTE(LEFT(TRIM(C292),FIND(" ",TRIM(C292)&amp;" ")-1),",","."))-1)/MID(SUBSTITUTE(LEFT(TRIM(C292),FIND(" ",TRIM(C292)&amp;" ")-1),",","."),FIND("/",SUBSTITUTE(LEFT(TRIM(C292),FIND(" ",TRIM(C292)&amp;" ")-1),",","."))+1,9))*12/52,IF(ISNUMBER(SEARCH("month",C292)),IFERROR(_xlfn.NUMBERVALUE(SUBSTITUTE(LEFT(TRIM(C292),FIND(" ",TRIM(C292)&amp;" ")-1),",","."),"."),LEFT(SUBSTITUTE(LEFT(TRIM(C292),FIND(" ",TRIM(C292)&amp;" ")-1),",","."),FIND("/",SUBSTITUTE(LEFT(TRIM(C292),FIND(" ",TRIM(C292)&amp;" ")-1),",","."))-1)/MID(SUBSTITUTE(LEFT(TRIM(C292),FIND(" ",TRIM(C292)&amp;" ")-1),",","."),FIND("/",SUBSTITUTE(LEFT(TRIM(C292),FIND(" ",TRIM(C292)&amp;" ")-1),",","."))+1,9)),IF(ISNUMBER(SEARCH("yea",C292)),IFERROR(_xlfn.NUMBERVALUE(SUBSTITUTE(LEFT(TRIM(C292),FIND(" ",TRIM(C292)&amp;" ")-1),",","."),"."),LEFT(SUBSTITUTE(LEFT(TRIM(C292),FIND(" ",TRIM(C292)&amp;" ")-1),",","."),FIND("/",SUBSTITUTE(LEFT(TRIM(C292),FIND(" ",TRIM(C292)&amp;" ")-1),",","."))-1)/MID(SUBSTITUTE(LEFT(TRIM(C292),FIND(" ",TRIM(C292)&amp;" ")-1),",","."),FIND("/",SUBSTITUTE(LEFT(TRIM(C292),FIND(" ",TRIM(C292)&amp;" ")-1),",","."))+1,9))*12,NA()))),0),24)*'Aturan &amp; Tarif'!$B$4,2)</f>
        <v>1362.72</v>
      </c>
      <c r="K292" s="32" t="n">
        <f aca="false">'Aturan &amp; Tarif'!$B$5</f>
        <v>2050</v>
      </c>
      <c r="L292" s="32" t="n">
        <f aca="false">'Aturan &amp; Tarif'!$B$6</f>
        <v>350</v>
      </c>
      <c r="M292" s="35" t="n">
        <f aca="false">I292+J292+K292+L292</f>
        <v>7562.72</v>
      </c>
      <c r="N292" s="37" t="s">
        <v>1022</v>
      </c>
    </row>
    <row r="293" customFormat="false" ht="37.5" hidden="false" customHeight="true" outlineLevel="0" collapsed="false">
      <c r="A293" s="29"/>
      <c r="B293" s="30" t="s">
        <v>1023</v>
      </c>
      <c r="C293" s="31" t="s">
        <v>878</v>
      </c>
      <c r="D293" s="31" t="s">
        <v>108</v>
      </c>
      <c r="E293" s="32" t="n">
        <v>2200</v>
      </c>
      <c r="F293" s="32" t="n">
        <v>200</v>
      </c>
      <c r="G293" s="32"/>
      <c r="H293" s="33" t="n">
        <v>2</v>
      </c>
      <c r="I293" s="34" t="n">
        <f aca="false">E293*H293+N(F293)+N(G293)</f>
        <v>4600</v>
      </c>
      <c r="J293" s="32" t="n">
        <f aca="false">ROUND(IFERROR(ROUND(IF(OR(ISNUMBER(SEARCH("week",C293)),ISNUMBER(SEARCH("minggu",C293))),IFERROR(_xlfn.NUMBERVALUE(SUBSTITUTE(LEFT(TRIM(C293),FIND(" ",TRIM(C293)&amp;" ")-1),",","."),"."),LEFT(SUBSTITUTE(LEFT(TRIM(C293),FIND(" ",TRIM(C293)&amp;" ")-1),",","."),FIND("/",SUBSTITUTE(LEFT(TRIM(C293),FIND(" ",TRIM(C293)&amp;" ")-1),",","."))-1)/MID(SUBSTITUTE(LEFT(TRIM(C293),FIND(" ",TRIM(C293)&amp;" ")-1),",","."),FIND("/",SUBSTITUTE(LEFT(TRIM(C293),FIND(" ",TRIM(C293)&amp;" ")-1),",","."))+1,9))*12/52,IF(ISNUMBER(SEARCH("month",C293)),IFERROR(_xlfn.NUMBERVALUE(SUBSTITUTE(LEFT(TRIM(C293),FIND(" ",TRIM(C293)&amp;" ")-1),",","."),"."),LEFT(SUBSTITUTE(LEFT(TRIM(C293),FIND(" ",TRIM(C293)&amp;" ")-1),",","."),FIND("/",SUBSTITUTE(LEFT(TRIM(C293),FIND(" ",TRIM(C293)&amp;" ")-1),",","."))-1)/MID(SUBSTITUTE(LEFT(TRIM(C293),FIND(" ",TRIM(C293)&amp;" ")-1),",","."),FIND("/",SUBSTITUTE(LEFT(TRIM(C293),FIND(" ",TRIM(C293)&amp;" ")-1),",","."))+1,9)),IF(ISNUMBER(SEARCH("yea",C293)),IFERROR(_xlfn.NUMBERVALUE(SUBSTITUTE(LEFT(TRIM(C293),FIND(" ",TRIM(C293)&amp;" ")-1),",","."),"."),LEFT(SUBSTITUTE(LEFT(TRIM(C293),FIND(" ",TRIM(C293)&amp;" ")-1),",","."),FIND("/",SUBSTITUTE(LEFT(TRIM(C293),FIND(" ",TRIM(C293)&amp;" ")-1),",","."))-1)/MID(SUBSTITUTE(LEFT(TRIM(C293),FIND(" ",TRIM(C293)&amp;" ")-1),",","."),FIND("/",SUBSTITUTE(LEFT(TRIM(C293),FIND(" ",TRIM(C293)&amp;" ")-1),",","."))+1,9))*12,NA()))),0),20)*'Aturan &amp; Tarif'!$B$4,2)</f>
        <v>1135.6</v>
      </c>
      <c r="K293" s="32" t="n">
        <f aca="false">'Aturan &amp; Tarif'!$B$5</f>
        <v>2050</v>
      </c>
      <c r="L293" s="32" t="n">
        <f aca="false">'Aturan &amp; Tarif'!$B$6</f>
        <v>350</v>
      </c>
      <c r="M293" s="35" t="n">
        <f aca="false">I293+J293+K293+L293</f>
        <v>8135.6</v>
      </c>
      <c r="N293" s="36" t="s">
        <v>1024</v>
      </c>
    </row>
    <row r="294" customFormat="false" ht="25.5" hidden="false" customHeight="true" outlineLevel="0" collapsed="false">
      <c r="A294" s="29"/>
      <c r="B294" s="30" t="s">
        <v>1025</v>
      </c>
      <c r="C294" s="31" t="s">
        <v>107</v>
      </c>
      <c r="D294" s="31" t="s">
        <v>108</v>
      </c>
      <c r="E294" s="32" t="n">
        <v>1700</v>
      </c>
      <c r="F294" s="32" t="n">
        <v>200</v>
      </c>
      <c r="G294" s="32"/>
      <c r="H294" s="33" t="n">
        <v>2</v>
      </c>
      <c r="I294" s="34" t="n">
        <f aca="false">E294*H294+N(F294)+N(G294)</f>
        <v>3600</v>
      </c>
      <c r="J294" s="32" t="n">
        <f aca="false">ROUND(IFERROR(ROUND(IF(OR(ISNUMBER(SEARCH("week",C294)),ISNUMBER(SEARCH("minggu",C294))),IFERROR(_xlfn.NUMBERVALUE(SUBSTITUTE(LEFT(TRIM(C294),FIND(" ",TRIM(C294)&amp;" ")-1),",","."),"."),LEFT(SUBSTITUTE(LEFT(TRIM(C294),FIND(" ",TRIM(C294)&amp;" ")-1),",","."),FIND("/",SUBSTITUTE(LEFT(TRIM(C294),FIND(" ",TRIM(C294)&amp;" ")-1),",","."))-1)/MID(SUBSTITUTE(LEFT(TRIM(C294),FIND(" ",TRIM(C294)&amp;" ")-1),",","."),FIND("/",SUBSTITUTE(LEFT(TRIM(C294),FIND(" ",TRIM(C294)&amp;" ")-1),",","."))+1,9))*12/52,IF(ISNUMBER(SEARCH("month",C294)),IFERROR(_xlfn.NUMBERVALUE(SUBSTITUTE(LEFT(TRIM(C294),FIND(" ",TRIM(C294)&amp;" ")-1),",","."),"."),LEFT(SUBSTITUTE(LEFT(TRIM(C294),FIND(" ",TRIM(C294)&amp;" ")-1),",","."),FIND("/",SUBSTITUTE(LEFT(TRIM(C294),FIND(" ",TRIM(C294)&amp;" ")-1),",","."))-1)/MID(SUBSTITUTE(LEFT(TRIM(C294),FIND(" ",TRIM(C294)&amp;" ")-1),",","."),FIND("/",SUBSTITUTE(LEFT(TRIM(C294),FIND(" ",TRIM(C294)&amp;" ")-1),",","."))+1,9)),IF(ISNUMBER(SEARCH("yea",C294)),IFERROR(_xlfn.NUMBERVALUE(SUBSTITUTE(LEFT(TRIM(C294),FIND(" ",TRIM(C294)&amp;" ")-1),",","."),"."),LEFT(SUBSTITUTE(LEFT(TRIM(C294),FIND(" ",TRIM(C294)&amp;" ")-1),",","."),FIND("/",SUBSTITUTE(LEFT(TRIM(C294),FIND(" ",TRIM(C294)&amp;" ")-1),",","."))-1)/MID(SUBSTITUTE(LEFT(TRIM(C294),FIND(" ",TRIM(C294)&amp;" ")-1),",","."),FIND("/",SUBSTITUTE(LEFT(TRIM(C294),FIND(" ",TRIM(C294)&amp;" ")-1),",","."))+1,9))*12,NA()))),0),24)*'Aturan &amp; Tarif'!$B$4,2)</f>
        <v>1362.72</v>
      </c>
      <c r="K294" s="32" t="n">
        <f aca="false">'Aturan &amp; Tarif'!$B$5</f>
        <v>2050</v>
      </c>
      <c r="L294" s="32" t="n">
        <f aca="false">'Aturan &amp; Tarif'!$B$6</f>
        <v>350</v>
      </c>
      <c r="M294" s="35" t="n">
        <f aca="false">I294+J294+K294+L294</f>
        <v>7362.72</v>
      </c>
      <c r="N294" s="37" t="s">
        <v>1022</v>
      </c>
    </row>
    <row r="295" customFormat="false" ht="25.5" hidden="false" customHeight="true" outlineLevel="0" collapsed="false">
      <c r="A295" s="29"/>
      <c r="B295" s="30" t="s">
        <v>1026</v>
      </c>
      <c r="C295" s="31" t="s">
        <v>107</v>
      </c>
      <c r="D295" s="31" t="s">
        <v>108</v>
      </c>
      <c r="E295" s="32" t="n">
        <v>1625</v>
      </c>
      <c r="F295" s="32" t="n">
        <v>200</v>
      </c>
      <c r="G295" s="32" t="n">
        <v>260</v>
      </c>
      <c r="H295" s="33" t="n">
        <v>2</v>
      </c>
      <c r="I295" s="34" t="n">
        <f aca="false">E295*H295+N(F295)+N(G295)</f>
        <v>3710</v>
      </c>
      <c r="J295" s="32" t="n">
        <f aca="false">ROUND(IFERROR(ROUND(IF(OR(ISNUMBER(SEARCH("week",C295)),ISNUMBER(SEARCH("minggu",C295))),IFERROR(_xlfn.NUMBERVALUE(SUBSTITUTE(LEFT(TRIM(C295),FIND(" ",TRIM(C295)&amp;" ")-1),",","."),"."),LEFT(SUBSTITUTE(LEFT(TRIM(C295),FIND(" ",TRIM(C295)&amp;" ")-1),",","."),FIND("/",SUBSTITUTE(LEFT(TRIM(C295),FIND(" ",TRIM(C295)&amp;" ")-1),",","."))-1)/MID(SUBSTITUTE(LEFT(TRIM(C295),FIND(" ",TRIM(C295)&amp;" ")-1),",","."),FIND("/",SUBSTITUTE(LEFT(TRIM(C295),FIND(" ",TRIM(C295)&amp;" ")-1),",","."))+1,9))*12/52,IF(ISNUMBER(SEARCH("month",C295)),IFERROR(_xlfn.NUMBERVALUE(SUBSTITUTE(LEFT(TRIM(C295),FIND(" ",TRIM(C295)&amp;" ")-1),",","."),"."),LEFT(SUBSTITUTE(LEFT(TRIM(C295),FIND(" ",TRIM(C295)&amp;" ")-1),",","."),FIND("/",SUBSTITUTE(LEFT(TRIM(C295),FIND(" ",TRIM(C295)&amp;" ")-1),",","."))-1)/MID(SUBSTITUTE(LEFT(TRIM(C295),FIND(" ",TRIM(C295)&amp;" ")-1),",","."),FIND("/",SUBSTITUTE(LEFT(TRIM(C295),FIND(" ",TRIM(C295)&amp;" ")-1),",","."))+1,9)),IF(ISNUMBER(SEARCH("yea",C295)),IFERROR(_xlfn.NUMBERVALUE(SUBSTITUTE(LEFT(TRIM(C295),FIND(" ",TRIM(C295)&amp;" ")-1),",","."),"."),LEFT(SUBSTITUTE(LEFT(TRIM(C295),FIND(" ",TRIM(C295)&amp;" ")-1),",","."),FIND("/",SUBSTITUTE(LEFT(TRIM(C295),FIND(" ",TRIM(C295)&amp;" ")-1),",","."))-1)/MID(SUBSTITUTE(LEFT(TRIM(C295),FIND(" ",TRIM(C295)&amp;" ")-1),",","."),FIND("/",SUBSTITUTE(LEFT(TRIM(C295),FIND(" ",TRIM(C295)&amp;" ")-1),",","."))+1,9))*12,NA()))),0),24)*'Aturan &amp; Tarif'!$B$4,2)</f>
        <v>1362.72</v>
      </c>
      <c r="K295" s="32" t="n">
        <f aca="false">'Aturan &amp; Tarif'!$B$5</f>
        <v>2050</v>
      </c>
      <c r="L295" s="32" t="n">
        <f aca="false">'Aturan &amp; Tarif'!$B$6</f>
        <v>350</v>
      </c>
      <c r="M295" s="35" t="n">
        <f aca="false">I295+J295+K295+L295</f>
        <v>7472.72</v>
      </c>
      <c r="N295" s="37" t="s">
        <v>1027</v>
      </c>
    </row>
    <row r="296" customFormat="false" ht="25.5" hidden="false" customHeight="true" outlineLevel="0" collapsed="false">
      <c r="A296" s="29"/>
      <c r="B296" s="30" t="s">
        <v>1028</v>
      </c>
      <c r="C296" s="31" t="s">
        <v>107</v>
      </c>
      <c r="D296" s="31" t="s">
        <v>108</v>
      </c>
      <c r="E296" s="32" t="n">
        <v>1625</v>
      </c>
      <c r="F296" s="32" t="n">
        <v>200</v>
      </c>
      <c r="G296" s="32" t="n">
        <v>260</v>
      </c>
      <c r="H296" s="33" t="n">
        <v>2</v>
      </c>
      <c r="I296" s="34" t="n">
        <f aca="false">E296*H296+N(F296)+N(G296)</f>
        <v>3710</v>
      </c>
      <c r="J296" s="32" t="n">
        <f aca="false">ROUND(IFERROR(ROUND(IF(OR(ISNUMBER(SEARCH("week",C296)),ISNUMBER(SEARCH("minggu",C296))),IFERROR(_xlfn.NUMBERVALUE(SUBSTITUTE(LEFT(TRIM(C296),FIND(" ",TRIM(C296)&amp;" ")-1),",","."),"."),LEFT(SUBSTITUTE(LEFT(TRIM(C296),FIND(" ",TRIM(C296)&amp;" ")-1),",","."),FIND("/",SUBSTITUTE(LEFT(TRIM(C296),FIND(" ",TRIM(C296)&amp;" ")-1),",","."))-1)/MID(SUBSTITUTE(LEFT(TRIM(C296),FIND(" ",TRIM(C296)&amp;" ")-1),",","."),FIND("/",SUBSTITUTE(LEFT(TRIM(C296),FIND(" ",TRIM(C296)&amp;" ")-1),",","."))+1,9))*12/52,IF(ISNUMBER(SEARCH("month",C296)),IFERROR(_xlfn.NUMBERVALUE(SUBSTITUTE(LEFT(TRIM(C296),FIND(" ",TRIM(C296)&amp;" ")-1),",","."),"."),LEFT(SUBSTITUTE(LEFT(TRIM(C296),FIND(" ",TRIM(C296)&amp;" ")-1),",","."),FIND("/",SUBSTITUTE(LEFT(TRIM(C296),FIND(" ",TRIM(C296)&amp;" ")-1),",","."))-1)/MID(SUBSTITUTE(LEFT(TRIM(C296),FIND(" ",TRIM(C296)&amp;" ")-1),",","."),FIND("/",SUBSTITUTE(LEFT(TRIM(C296),FIND(" ",TRIM(C296)&amp;" ")-1),",","."))+1,9)),IF(ISNUMBER(SEARCH("yea",C296)),IFERROR(_xlfn.NUMBERVALUE(SUBSTITUTE(LEFT(TRIM(C296),FIND(" ",TRIM(C296)&amp;" ")-1),",","."),"."),LEFT(SUBSTITUTE(LEFT(TRIM(C296),FIND(" ",TRIM(C296)&amp;" ")-1),",","."),FIND("/",SUBSTITUTE(LEFT(TRIM(C296),FIND(" ",TRIM(C296)&amp;" ")-1),",","."))-1)/MID(SUBSTITUTE(LEFT(TRIM(C296),FIND(" ",TRIM(C296)&amp;" ")-1),",","."),FIND("/",SUBSTITUTE(LEFT(TRIM(C296),FIND(" ",TRIM(C296)&amp;" ")-1),",","."))+1,9))*12,NA()))),0),24)*'Aturan &amp; Tarif'!$B$4,2)</f>
        <v>1362.72</v>
      </c>
      <c r="K296" s="32" t="n">
        <f aca="false">'Aturan &amp; Tarif'!$B$5</f>
        <v>2050</v>
      </c>
      <c r="L296" s="32" t="n">
        <f aca="false">'Aturan &amp; Tarif'!$B$6</f>
        <v>350</v>
      </c>
      <c r="M296" s="35" t="n">
        <f aca="false">I296+J296+K296+L296</f>
        <v>7472.72</v>
      </c>
      <c r="N296" s="37" t="s">
        <v>1027</v>
      </c>
    </row>
    <row r="297" customFormat="false" ht="37.5" hidden="false" customHeight="true" outlineLevel="0" collapsed="false">
      <c r="A297" s="39" t="s">
        <v>1029</v>
      </c>
      <c r="B297" s="40" t="s">
        <v>148</v>
      </c>
      <c r="C297" s="41" t="s">
        <v>107</v>
      </c>
      <c r="D297" s="41" t="s">
        <v>108</v>
      </c>
      <c r="E297" s="42" t="n">
        <v>3300</v>
      </c>
      <c r="F297" s="42" t="n">
        <v>1000</v>
      </c>
      <c r="G297" s="42" t="n">
        <v>200</v>
      </c>
      <c r="H297" s="43" t="n">
        <v>1</v>
      </c>
      <c r="I297" s="34" t="n">
        <f aca="false">E297*H297+N(F297)+N(G297)</f>
        <v>4500</v>
      </c>
      <c r="J297" s="42" t="n">
        <f aca="false">ROUND(IFERROR(ROUND(IF(OR(ISNUMBER(SEARCH("week",C297)),ISNUMBER(SEARCH("minggu",C297))),IFERROR(_xlfn.NUMBERVALUE(SUBSTITUTE(LEFT(TRIM(C297),FIND(" ",TRIM(C297)&amp;" ")-1),",","."),"."),LEFT(SUBSTITUTE(LEFT(TRIM(C297),FIND(" ",TRIM(C297)&amp;" ")-1),",","."),FIND("/",SUBSTITUTE(LEFT(TRIM(C297),FIND(" ",TRIM(C297)&amp;" ")-1),",","."))-1)/MID(SUBSTITUTE(LEFT(TRIM(C297),FIND(" ",TRIM(C297)&amp;" ")-1),",","."),FIND("/",SUBSTITUTE(LEFT(TRIM(C297),FIND(" ",TRIM(C297)&amp;" ")-1),",","."))+1,9))*12/52,IF(ISNUMBER(SEARCH("month",C297)),IFERROR(_xlfn.NUMBERVALUE(SUBSTITUTE(LEFT(TRIM(C297),FIND(" ",TRIM(C297)&amp;" ")-1),",","."),"."),LEFT(SUBSTITUTE(LEFT(TRIM(C297),FIND(" ",TRIM(C297)&amp;" ")-1),",","."),FIND("/",SUBSTITUTE(LEFT(TRIM(C297),FIND(" ",TRIM(C297)&amp;" ")-1),",","."))-1)/MID(SUBSTITUTE(LEFT(TRIM(C297),FIND(" ",TRIM(C297)&amp;" ")-1),",","."),FIND("/",SUBSTITUTE(LEFT(TRIM(C297),FIND(" ",TRIM(C297)&amp;" ")-1),",","."))+1,9)),IF(ISNUMBER(SEARCH("yea",C297)),IFERROR(_xlfn.NUMBERVALUE(SUBSTITUTE(LEFT(TRIM(C297),FIND(" ",TRIM(C297)&amp;" ")-1),",","."),"."),LEFT(SUBSTITUTE(LEFT(TRIM(C297),FIND(" ",TRIM(C297)&amp;" ")-1),",","."),FIND("/",SUBSTITUTE(LEFT(TRIM(C297),FIND(" ",TRIM(C297)&amp;" ")-1),",","."))-1)/MID(SUBSTITUTE(LEFT(TRIM(C297),FIND(" ",TRIM(C297)&amp;" ")-1),",","."),FIND("/",SUBSTITUTE(LEFT(TRIM(C297),FIND(" ",TRIM(C297)&amp;" ")-1),",","."))+1,9))*12,NA()))),0),24)*'Aturan &amp; Tarif'!$B$4,2)</f>
        <v>1362.72</v>
      </c>
      <c r="K297" s="42" t="n">
        <f aca="false">'Aturan &amp; Tarif'!$B$5</f>
        <v>2050</v>
      </c>
      <c r="L297" s="42" t="n">
        <f aca="false">'Aturan &amp; Tarif'!$B$6</f>
        <v>350</v>
      </c>
      <c r="M297" s="35" t="n">
        <f aca="false">I297+J297+K297+L297</f>
        <v>8262.72</v>
      </c>
      <c r="N297" s="45" t="s">
        <v>134</v>
      </c>
    </row>
    <row r="298" customFormat="false" ht="25.5" hidden="false" customHeight="true" outlineLevel="0" collapsed="false">
      <c r="A298" s="39"/>
      <c r="B298" s="40" t="s">
        <v>806</v>
      </c>
      <c r="C298" s="41" t="s">
        <v>127</v>
      </c>
      <c r="D298" s="41" t="s">
        <v>108</v>
      </c>
      <c r="E298" s="42" t="n">
        <v>3300</v>
      </c>
      <c r="F298" s="42" t="n">
        <v>1000</v>
      </c>
      <c r="G298" s="42" t="n">
        <v>200</v>
      </c>
      <c r="H298" s="43" t="n">
        <v>1</v>
      </c>
      <c r="I298" s="34" t="n">
        <f aca="false">E298*H298+N(F298)+N(G298)</f>
        <v>4500</v>
      </c>
      <c r="J298" s="42" t="n">
        <f aca="false">ROUND(IFERROR(ROUND(IF(OR(ISNUMBER(SEARCH("week",C298)),ISNUMBER(SEARCH("minggu",C298))),IFERROR(_xlfn.NUMBERVALUE(SUBSTITUTE(LEFT(TRIM(C298),FIND(" ",TRIM(C298)&amp;" ")-1),",","."),"."),LEFT(SUBSTITUTE(LEFT(TRIM(C298),FIND(" ",TRIM(C298)&amp;" ")-1),",","."),FIND("/",SUBSTITUTE(LEFT(TRIM(C298),FIND(" ",TRIM(C298)&amp;" ")-1),",","."))-1)/MID(SUBSTITUTE(LEFT(TRIM(C298),FIND(" ",TRIM(C298)&amp;" ")-1),",","."),FIND("/",SUBSTITUTE(LEFT(TRIM(C298),FIND(" ",TRIM(C298)&amp;" ")-1),",","."))+1,9))*12/52,IF(ISNUMBER(SEARCH("month",C298)),IFERROR(_xlfn.NUMBERVALUE(SUBSTITUTE(LEFT(TRIM(C298),FIND(" ",TRIM(C298)&amp;" ")-1),",","."),"."),LEFT(SUBSTITUTE(LEFT(TRIM(C298),FIND(" ",TRIM(C298)&amp;" ")-1),",","."),FIND("/",SUBSTITUTE(LEFT(TRIM(C298),FIND(" ",TRIM(C298)&amp;" ")-1),",","."))-1)/MID(SUBSTITUTE(LEFT(TRIM(C298),FIND(" ",TRIM(C298)&amp;" ")-1),",","."),FIND("/",SUBSTITUTE(LEFT(TRIM(C298),FIND(" ",TRIM(C298)&amp;" ")-1),",","."))+1,9)),IF(ISNUMBER(SEARCH("yea",C298)),IFERROR(_xlfn.NUMBERVALUE(SUBSTITUTE(LEFT(TRIM(C298),FIND(" ",TRIM(C298)&amp;" ")-1),",","."),"."),LEFT(SUBSTITUTE(LEFT(TRIM(C298),FIND(" ",TRIM(C298)&amp;" ")-1),",","."),FIND("/",SUBSTITUTE(LEFT(TRIM(C298),FIND(" ",TRIM(C298)&amp;" ")-1),",","."))-1)/MID(SUBSTITUTE(LEFT(TRIM(C298),FIND(" ",TRIM(C298)&amp;" ")-1),",","."),FIND("/",SUBSTITUTE(LEFT(TRIM(C298),FIND(" ",TRIM(C298)&amp;" ")-1),",","."))+1,9))*12,NA()))),0),36)*'Aturan &amp; Tarif'!$B$4,2)</f>
        <v>2044.08</v>
      </c>
      <c r="K298" s="42" t="n">
        <f aca="false">'Aturan &amp; Tarif'!$B$5</f>
        <v>2050</v>
      </c>
      <c r="L298" s="42" t="n">
        <f aca="false">'Aturan &amp; Tarif'!$B$6</f>
        <v>350</v>
      </c>
      <c r="M298" s="35" t="n">
        <f aca="false">I298+J298+K298+L298</f>
        <v>8944.08</v>
      </c>
      <c r="N298" s="45" t="s">
        <v>134</v>
      </c>
    </row>
    <row r="299" customFormat="false" ht="14.25" hidden="false" customHeight="true" outlineLevel="0" collapsed="false">
      <c r="A299" s="39"/>
      <c r="B299" s="40" t="s">
        <v>126</v>
      </c>
      <c r="C299" s="41" t="s">
        <v>138</v>
      </c>
      <c r="D299" s="41" t="s">
        <v>108</v>
      </c>
      <c r="E299" s="42" t="n">
        <v>3500</v>
      </c>
      <c r="F299" s="42" t="n">
        <v>800</v>
      </c>
      <c r="G299" s="42" t="n">
        <v>200</v>
      </c>
      <c r="H299" s="43" t="n">
        <v>1</v>
      </c>
      <c r="I299" s="34" t="n">
        <f aca="false">E299*H299+N(F299)+N(G299)</f>
        <v>4500</v>
      </c>
      <c r="J299" s="42" t="n">
        <f aca="false">ROUND(IFERROR(ROUND(IF(OR(ISNUMBER(SEARCH("week",C299)),ISNUMBER(SEARCH("minggu",C299))),IFERROR(_xlfn.NUMBERVALUE(SUBSTITUTE(LEFT(TRIM(C299),FIND(" ",TRIM(C299)&amp;" ")-1),",","."),"."),LEFT(SUBSTITUTE(LEFT(TRIM(C299),FIND(" ",TRIM(C299)&amp;" ")-1),",","."),FIND("/",SUBSTITUTE(LEFT(TRIM(C299),FIND(" ",TRIM(C299)&amp;" ")-1),",","."))-1)/MID(SUBSTITUTE(LEFT(TRIM(C299),FIND(" ",TRIM(C299)&amp;" ")-1),",","."),FIND("/",SUBSTITUTE(LEFT(TRIM(C299),FIND(" ",TRIM(C299)&amp;" ")-1),",","."))+1,9))*12/52,IF(ISNUMBER(SEARCH("month",C299)),IFERROR(_xlfn.NUMBERVALUE(SUBSTITUTE(LEFT(TRIM(C299),FIND(" ",TRIM(C299)&amp;" ")-1),",","."),"."),LEFT(SUBSTITUTE(LEFT(TRIM(C299),FIND(" ",TRIM(C299)&amp;" ")-1),",","."),FIND("/",SUBSTITUTE(LEFT(TRIM(C299),FIND(" ",TRIM(C299)&amp;" ")-1),",","."))-1)/MID(SUBSTITUTE(LEFT(TRIM(C299),FIND(" ",TRIM(C299)&amp;" ")-1),",","."),FIND("/",SUBSTITUTE(LEFT(TRIM(C299),FIND(" ",TRIM(C299)&amp;" ")-1),",","."))+1,9)),IF(ISNUMBER(SEARCH("yea",C299)),IFERROR(_xlfn.NUMBERVALUE(SUBSTITUTE(LEFT(TRIM(C299),FIND(" ",TRIM(C299)&amp;" ")-1),",","."),"."),LEFT(SUBSTITUTE(LEFT(TRIM(C299),FIND(" ",TRIM(C299)&amp;" ")-1),",","."),FIND("/",SUBSTITUTE(LEFT(TRIM(C299),FIND(" ",TRIM(C299)&amp;" ")-1),",","."))-1)/MID(SUBSTITUTE(LEFT(TRIM(C299),FIND(" ",TRIM(C299)&amp;" ")-1),",","."),FIND("/",SUBSTITUTE(LEFT(TRIM(C299),FIND(" ",TRIM(C299)&amp;" ")-1),",","."))+1,9))*12,NA()))),0),30)*'Aturan &amp; Tarif'!$B$4,2)</f>
        <v>1703.4</v>
      </c>
      <c r="K299" s="42" t="n">
        <f aca="false">'Aturan &amp; Tarif'!$B$5</f>
        <v>2050</v>
      </c>
      <c r="L299" s="42" t="n">
        <f aca="false">'Aturan &amp; Tarif'!$B$6</f>
        <v>350</v>
      </c>
      <c r="M299" s="35" t="n">
        <f aca="false">I299+J299+K299+L299</f>
        <v>8603.4</v>
      </c>
      <c r="N299" s="45" t="s">
        <v>134</v>
      </c>
    </row>
    <row r="300" customFormat="false" ht="37.5" hidden="false" customHeight="true" outlineLevel="0" collapsed="false">
      <c r="A300" s="39"/>
      <c r="B300" s="40" t="s">
        <v>807</v>
      </c>
      <c r="C300" s="41" t="s">
        <v>138</v>
      </c>
      <c r="D300" s="41" t="s">
        <v>108</v>
      </c>
      <c r="E300" s="42" t="n">
        <v>3650</v>
      </c>
      <c r="F300" s="42" t="n">
        <v>800</v>
      </c>
      <c r="G300" s="42" t="n">
        <v>200</v>
      </c>
      <c r="H300" s="43" t="n">
        <v>1</v>
      </c>
      <c r="I300" s="34" t="n">
        <f aca="false">E300*H300+N(F300)+N(G300)</f>
        <v>4650</v>
      </c>
      <c r="J300" s="42" t="n">
        <f aca="false">ROUND(IFERROR(ROUND(IF(OR(ISNUMBER(SEARCH("week",C300)),ISNUMBER(SEARCH("minggu",C300))),IFERROR(_xlfn.NUMBERVALUE(SUBSTITUTE(LEFT(TRIM(C300),FIND(" ",TRIM(C300)&amp;" ")-1),",","."),"."),LEFT(SUBSTITUTE(LEFT(TRIM(C300),FIND(" ",TRIM(C300)&amp;" ")-1),",","."),FIND("/",SUBSTITUTE(LEFT(TRIM(C300),FIND(" ",TRIM(C300)&amp;" ")-1),",","."))-1)/MID(SUBSTITUTE(LEFT(TRIM(C300),FIND(" ",TRIM(C300)&amp;" ")-1),",","."),FIND("/",SUBSTITUTE(LEFT(TRIM(C300),FIND(" ",TRIM(C300)&amp;" ")-1),",","."))+1,9))*12/52,IF(ISNUMBER(SEARCH("month",C300)),IFERROR(_xlfn.NUMBERVALUE(SUBSTITUTE(LEFT(TRIM(C300),FIND(" ",TRIM(C300)&amp;" ")-1),",","."),"."),LEFT(SUBSTITUTE(LEFT(TRIM(C300),FIND(" ",TRIM(C300)&amp;" ")-1),",","."),FIND("/",SUBSTITUTE(LEFT(TRIM(C300),FIND(" ",TRIM(C300)&amp;" ")-1),",","."))-1)/MID(SUBSTITUTE(LEFT(TRIM(C300),FIND(" ",TRIM(C300)&amp;" ")-1),",","."),FIND("/",SUBSTITUTE(LEFT(TRIM(C300),FIND(" ",TRIM(C300)&amp;" ")-1),",","."))+1,9)),IF(ISNUMBER(SEARCH("yea",C300)),IFERROR(_xlfn.NUMBERVALUE(SUBSTITUTE(LEFT(TRIM(C300),FIND(" ",TRIM(C300)&amp;" ")-1),",","."),"."),LEFT(SUBSTITUTE(LEFT(TRIM(C300),FIND(" ",TRIM(C300)&amp;" ")-1),",","."),FIND("/",SUBSTITUTE(LEFT(TRIM(C300),FIND(" ",TRIM(C300)&amp;" ")-1),",","."))-1)/MID(SUBSTITUTE(LEFT(TRIM(C300),FIND(" ",TRIM(C300)&amp;" ")-1),",","."),FIND("/",SUBSTITUTE(LEFT(TRIM(C300),FIND(" ",TRIM(C300)&amp;" ")-1),",","."))+1,9))*12,NA()))),0),30)*'Aturan &amp; Tarif'!$B$4,2)</f>
        <v>1703.4</v>
      </c>
      <c r="K300" s="42" t="n">
        <f aca="false">'Aturan &amp; Tarif'!$B$5</f>
        <v>2050</v>
      </c>
      <c r="L300" s="42" t="n">
        <f aca="false">'Aturan &amp; Tarif'!$B$6</f>
        <v>350</v>
      </c>
      <c r="M300" s="35" t="n">
        <f aca="false">I300+J300+K300+L300</f>
        <v>8753.4</v>
      </c>
      <c r="N300" s="45" t="s">
        <v>134</v>
      </c>
    </row>
    <row r="301" customFormat="false" ht="37.5" hidden="false" customHeight="true" outlineLevel="0" collapsed="false">
      <c r="A301" s="39"/>
      <c r="B301" s="40" t="s">
        <v>808</v>
      </c>
      <c r="C301" s="41" t="s">
        <v>138</v>
      </c>
      <c r="D301" s="41" t="s">
        <v>108</v>
      </c>
      <c r="E301" s="42" t="n">
        <v>3650</v>
      </c>
      <c r="F301" s="42" t="n">
        <v>800</v>
      </c>
      <c r="G301" s="42" t="n">
        <v>200</v>
      </c>
      <c r="H301" s="43" t="n">
        <v>1</v>
      </c>
      <c r="I301" s="34" t="n">
        <f aca="false">E301*H301+N(F301)+N(G301)</f>
        <v>4650</v>
      </c>
      <c r="J301" s="42" t="n">
        <f aca="false">ROUND(IFERROR(ROUND(IF(OR(ISNUMBER(SEARCH("week",C301)),ISNUMBER(SEARCH("minggu",C301))),IFERROR(_xlfn.NUMBERVALUE(SUBSTITUTE(LEFT(TRIM(C301),FIND(" ",TRIM(C301)&amp;" ")-1),",","."),"."),LEFT(SUBSTITUTE(LEFT(TRIM(C301),FIND(" ",TRIM(C301)&amp;" ")-1),",","."),FIND("/",SUBSTITUTE(LEFT(TRIM(C301),FIND(" ",TRIM(C301)&amp;" ")-1),",","."))-1)/MID(SUBSTITUTE(LEFT(TRIM(C301),FIND(" ",TRIM(C301)&amp;" ")-1),",","."),FIND("/",SUBSTITUTE(LEFT(TRIM(C301),FIND(" ",TRIM(C301)&amp;" ")-1),",","."))+1,9))*12/52,IF(ISNUMBER(SEARCH("month",C301)),IFERROR(_xlfn.NUMBERVALUE(SUBSTITUTE(LEFT(TRIM(C301),FIND(" ",TRIM(C301)&amp;" ")-1),",","."),"."),LEFT(SUBSTITUTE(LEFT(TRIM(C301),FIND(" ",TRIM(C301)&amp;" ")-1),",","."),FIND("/",SUBSTITUTE(LEFT(TRIM(C301),FIND(" ",TRIM(C301)&amp;" ")-1),",","."))-1)/MID(SUBSTITUTE(LEFT(TRIM(C301),FIND(" ",TRIM(C301)&amp;" ")-1),",","."),FIND("/",SUBSTITUTE(LEFT(TRIM(C301),FIND(" ",TRIM(C301)&amp;" ")-1),",","."))+1,9)),IF(ISNUMBER(SEARCH("yea",C301)),IFERROR(_xlfn.NUMBERVALUE(SUBSTITUTE(LEFT(TRIM(C301),FIND(" ",TRIM(C301)&amp;" ")-1),",","."),"."),LEFT(SUBSTITUTE(LEFT(TRIM(C301),FIND(" ",TRIM(C301)&amp;" ")-1),",","."),FIND("/",SUBSTITUTE(LEFT(TRIM(C301),FIND(" ",TRIM(C301)&amp;" ")-1),",","."))-1)/MID(SUBSTITUTE(LEFT(TRIM(C301),FIND(" ",TRIM(C301)&amp;" ")-1),",","."),FIND("/",SUBSTITUTE(LEFT(TRIM(C301),FIND(" ",TRIM(C301)&amp;" ")-1),",","."))+1,9))*12,NA()))),0),30)*'Aturan &amp; Tarif'!$B$4,2)</f>
        <v>1703.4</v>
      </c>
      <c r="K301" s="42" t="n">
        <f aca="false">'Aturan &amp; Tarif'!$B$5</f>
        <v>2050</v>
      </c>
      <c r="L301" s="42" t="n">
        <f aca="false">'Aturan &amp; Tarif'!$B$6</f>
        <v>350</v>
      </c>
      <c r="M301" s="35" t="n">
        <f aca="false">I301+J301+K301+L301</f>
        <v>8753.4</v>
      </c>
      <c r="N301" s="45" t="s">
        <v>134</v>
      </c>
    </row>
    <row r="302" customFormat="false" ht="25.5" hidden="false" customHeight="true" outlineLevel="0" collapsed="false">
      <c r="A302" s="39"/>
      <c r="B302" s="40" t="s">
        <v>144</v>
      </c>
      <c r="C302" s="41" t="s">
        <v>127</v>
      </c>
      <c r="D302" s="41" t="s">
        <v>108</v>
      </c>
      <c r="E302" s="42" t="n">
        <v>3125</v>
      </c>
      <c r="F302" s="42" t="n">
        <v>4000</v>
      </c>
      <c r="G302" s="42" t="n">
        <v>200</v>
      </c>
      <c r="H302" s="43" t="n">
        <v>1</v>
      </c>
      <c r="I302" s="34" t="n">
        <f aca="false">E302*H302+N(F302)+N(G302)</f>
        <v>7325</v>
      </c>
      <c r="J302" s="42" t="n">
        <f aca="false">ROUND(IFERROR(ROUND(IF(OR(ISNUMBER(SEARCH("week",C302)),ISNUMBER(SEARCH("minggu",C302))),IFERROR(_xlfn.NUMBERVALUE(SUBSTITUTE(LEFT(TRIM(C302),FIND(" ",TRIM(C302)&amp;" ")-1),",","."),"."),LEFT(SUBSTITUTE(LEFT(TRIM(C302),FIND(" ",TRIM(C302)&amp;" ")-1),",","."),FIND("/",SUBSTITUTE(LEFT(TRIM(C302),FIND(" ",TRIM(C302)&amp;" ")-1),",","."))-1)/MID(SUBSTITUTE(LEFT(TRIM(C302),FIND(" ",TRIM(C302)&amp;" ")-1),",","."),FIND("/",SUBSTITUTE(LEFT(TRIM(C302),FIND(" ",TRIM(C302)&amp;" ")-1),",","."))+1,9))*12/52,IF(ISNUMBER(SEARCH("month",C302)),IFERROR(_xlfn.NUMBERVALUE(SUBSTITUTE(LEFT(TRIM(C302),FIND(" ",TRIM(C302)&amp;" ")-1),",","."),"."),LEFT(SUBSTITUTE(LEFT(TRIM(C302),FIND(" ",TRIM(C302)&amp;" ")-1),",","."),FIND("/",SUBSTITUTE(LEFT(TRIM(C302),FIND(" ",TRIM(C302)&amp;" ")-1),",","."))-1)/MID(SUBSTITUTE(LEFT(TRIM(C302),FIND(" ",TRIM(C302)&amp;" ")-1),",","."),FIND("/",SUBSTITUTE(LEFT(TRIM(C302),FIND(" ",TRIM(C302)&amp;" ")-1),",","."))+1,9)),IF(ISNUMBER(SEARCH("yea",C302)),IFERROR(_xlfn.NUMBERVALUE(SUBSTITUTE(LEFT(TRIM(C302),FIND(" ",TRIM(C302)&amp;" ")-1),",","."),"."),LEFT(SUBSTITUTE(LEFT(TRIM(C302),FIND(" ",TRIM(C302)&amp;" ")-1),",","."),FIND("/",SUBSTITUTE(LEFT(TRIM(C302),FIND(" ",TRIM(C302)&amp;" ")-1),",","."))-1)/MID(SUBSTITUTE(LEFT(TRIM(C302),FIND(" ",TRIM(C302)&amp;" ")-1),",","."),FIND("/",SUBSTITUTE(LEFT(TRIM(C302),FIND(" ",TRIM(C302)&amp;" ")-1),",","."))+1,9))*12,NA()))),0),36)*'Aturan &amp; Tarif'!$B$4,2)</f>
        <v>2044.08</v>
      </c>
      <c r="K302" s="42" t="n">
        <f aca="false">'Aturan &amp; Tarif'!$B$5</f>
        <v>2050</v>
      </c>
      <c r="L302" s="42" t="n">
        <f aca="false">'Aturan &amp; Tarif'!$B$6</f>
        <v>350</v>
      </c>
      <c r="M302" s="35" t="n">
        <f aca="false">I302+J302+K302+L302</f>
        <v>11769.08</v>
      </c>
      <c r="N302" s="45" t="s">
        <v>134</v>
      </c>
    </row>
    <row r="303" customFormat="false" ht="25.5" hidden="false" customHeight="true" outlineLevel="0" collapsed="false">
      <c r="A303" s="39"/>
      <c r="B303" s="40" t="s">
        <v>809</v>
      </c>
      <c r="C303" s="41" t="s">
        <v>127</v>
      </c>
      <c r="D303" s="41" t="s">
        <v>108</v>
      </c>
      <c r="E303" s="42" t="n">
        <v>3125</v>
      </c>
      <c r="F303" s="42" t="n">
        <v>4000</v>
      </c>
      <c r="G303" s="42" t="n">
        <v>200</v>
      </c>
      <c r="H303" s="43" t="n">
        <v>1</v>
      </c>
      <c r="I303" s="34" t="n">
        <f aca="false">E303*H303+N(F303)+N(G303)</f>
        <v>7325</v>
      </c>
      <c r="J303" s="42" t="n">
        <f aca="false">ROUND(IFERROR(ROUND(IF(OR(ISNUMBER(SEARCH("week",C303)),ISNUMBER(SEARCH("minggu",C303))),IFERROR(_xlfn.NUMBERVALUE(SUBSTITUTE(LEFT(TRIM(C303),FIND(" ",TRIM(C303)&amp;" ")-1),",","."),"."),LEFT(SUBSTITUTE(LEFT(TRIM(C303),FIND(" ",TRIM(C303)&amp;" ")-1),",","."),FIND("/",SUBSTITUTE(LEFT(TRIM(C303),FIND(" ",TRIM(C303)&amp;" ")-1),",","."))-1)/MID(SUBSTITUTE(LEFT(TRIM(C303),FIND(" ",TRIM(C303)&amp;" ")-1),",","."),FIND("/",SUBSTITUTE(LEFT(TRIM(C303),FIND(" ",TRIM(C303)&amp;" ")-1),",","."))+1,9))*12/52,IF(ISNUMBER(SEARCH("month",C303)),IFERROR(_xlfn.NUMBERVALUE(SUBSTITUTE(LEFT(TRIM(C303),FIND(" ",TRIM(C303)&amp;" ")-1),",","."),"."),LEFT(SUBSTITUTE(LEFT(TRIM(C303),FIND(" ",TRIM(C303)&amp;" ")-1),",","."),FIND("/",SUBSTITUTE(LEFT(TRIM(C303),FIND(" ",TRIM(C303)&amp;" ")-1),",","."))-1)/MID(SUBSTITUTE(LEFT(TRIM(C303),FIND(" ",TRIM(C303)&amp;" ")-1),",","."),FIND("/",SUBSTITUTE(LEFT(TRIM(C303),FIND(" ",TRIM(C303)&amp;" ")-1),",","."))+1,9)),IF(ISNUMBER(SEARCH("yea",C303)),IFERROR(_xlfn.NUMBERVALUE(SUBSTITUTE(LEFT(TRIM(C303),FIND(" ",TRIM(C303)&amp;" ")-1),",","."),"."),LEFT(SUBSTITUTE(LEFT(TRIM(C303),FIND(" ",TRIM(C303)&amp;" ")-1),",","."),FIND("/",SUBSTITUTE(LEFT(TRIM(C303),FIND(" ",TRIM(C303)&amp;" ")-1),",","."))-1)/MID(SUBSTITUTE(LEFT(TRIM(C303),FIND(" ",TRIM(C303)&amp;" ")-1),",","."),FIND("/",SUBSTITUTE(LEFT(TRIM(C303),FIND(" ",TRIM(C303)&amp;" ")-1),",","."))+1,9))*12,NA()))),0),36)*'Aturan &amp; Tarif'!$B$4,2)</f>
        <v>2044.08</v>
      </c>
      <c r="K303" s="42" t="n">
        <f aca="false">'Aturan &amp; Tarif'!$B$5</f>
        <v>2050</v>
      </c>
      <c r="L303" s="42" t="n">
        <f aca="false">'Aturan &amp; Tarif'!$B$6</f>
        <v>350</v>
      </c>
      <c r="M303" s="35" t="n">
        <f aca="false">I303+J303+K303+L303</f>
        <v>11769.08</v>
      </c>
      <c r="N303" s="45" t="s">
        <v>134</v>
      </c>
    </row>
    <row r="304" customFormat="false" ht="25.5" hidden="false" customHeight="true" outlineLevel="0" collapsed="false">
      <c r="A304" s="39"/>
      <c r="B304" s="40" t="s">
        <v>810</v>
      </c>
      <c r="C304" s="41" t="s">
        <v>127</v>
      </c>
      <c r="D304" s="41" t="s">
        <v>108</v>
      </c>
      <c r="E304" s="42" t="n">
        <v>3125</v>
      </c>
      <c r="F304" s="42" t="n">
        <v>4000</v>
      </c>
      <c r="G304" s="42" t="n">
        <v>200</v>
      </c>
      <c r="H304" s="43" t="n">
        <v>1</v>
      </c>
      <c r="I304" s="34" t="n">
        <f aca="false">E304*H304+N(F304)+N(G304)</f>
        <v>7325</v>
      </c>
      <c r="J304" s="42" t="n">
        <f aca="false">ROUND(IFERROR(ROUND(IF(OR(ISNUMBER(SEARCH("week",C304)),ISNUMBER(SEARCH("minggu",C304))),IFERROR(_xlfn.NUMBERVALUE(SUBSTITUTE(LEFT(TRIM(C304),FIND(" ",TRIM(C304)&amp;" ")-1),",","."),"."),LEFT(SUBSTITUTE(LEFT(TRIM(C304),FIND(" ",TRIM(C304)&amp;" ")-1),",","."),FIND("/",SUBSTITUTE(LEFT(TRIM(C304),FIND(" ",TRIM(C304)&amp;" ")-1),",","."))-1)/MID(SUBSTITUTE(LEFT(TRIM(C304),FIND(" ",TRIM(C304)&amp;" ")-1),",","."),FIND("/",SUBSTITUTE(LEFT(TRIM(C304),FIND(" ",TRIM(C304)&amp;" ")-1),",","."))+1,9))*12/52,IF(ISNUMBER(SEARCH("month",C304)),IFERROR(_xlfn.NUMBERVALUE(SUBSTITUTE(LEFT(TRIM(C304),FIND(" ",TRIM(C304)&amp;" ")-1),",","."),"."),LEFT(SUBSTITUTE(LEFT(TRIM(C304),FIND(" ",TRIM(C304)&amp;" ")-1),",","."),FIND("/",SUBSTITUTE(LEFT(TRIM(C304),FIND(" ",TRIM(C304)&amp;" ")-1),",","."))-1)/MID(SUBSTITUTE(LEFT(TRIM(C304),FIND(" ",TRIM(C304)&amp;" ")-1),",","."),FIND("/",SUBSTITUTE(LEFT(TRIM(C304),FIND(" ",TRIM(C304)&amp;" ")-1),",","."))+1,9)),IF(ISNUMBER(SEARCH("yea",C304)),IFERROR(_xlfn.NUMBERVALUE(SUBSTITUTE(LEFT(TRIM(C304),FIND(" ",TRIM(C304)&amp;" ")-1),",","."),"."),LEFT(SUBSTITUTE(LEFT(TRIM(C304),FIND(" ",TRIM(C304)&amp;" ")-1),",","."),FIND("/",SUBSTITUTE(LEFT(TRIM(C304),FIND(" ",TRIM(C304)&amp;" ")-1),",","."))-1)/MID(SUBSTITUTE(LEFT(TRIM(C304),FIND(" ",TRIM(C304)&amp;" ")-1),",","."),FIND("/",SUBSTITUTE(LEFT(TRIM(C304),FIND(" ",TRIM(C304)&amp;" ")-1),",","."))+1,9))*12,NA()))),0),36)*'Aturan &amp; Tarif'!$B$4,2)</f>
        <v>2044.08</v>
      </c>
      <c r="K304" s="42" t="n">
        <f aca="false">'Aturan &amp; Tarif'!$B$5</f>
        <v>2050</v>
      </c>
      <c r="L304" s="42" t="n">
        <f aca="false">'Aturan &amp; Tarif'!$B$6</f>
        <v>350</v>
      </c>
      <c r="M304" s="35" t="n">
        <f aca="false">I304+J304+K304+L304</f>
        <v>11769.08</v>
      </c>
      <c r="N304" s="45" t="s">
        <v>134</v>
      </c>
    </row>
    <row r="305" customFormat="false" ht="14.25" hidden="false" customHeight="true" outlineLevel="0" collapsed="false">
      <c r="A305" s="39"/>
      <c r="B305" s="40" t="s">
        <v>811</v>
      </c>
      <c r="C305" s="41" t="s">
        <v>107</v>
      </c>
      <c r="D305" s="41" t="s">
        <v>108</v>
      </c>
      <c r="E305" s="42" t="n">
        <v>3000</v>
      </c>
      <c r="F305" s="42" t="n">
        <v>2000</v>
      </c>
      <c r="G305" s="42" t="n">
        <v>200</v>
      </c>
      <c r="H305" s="43" t="n">
        <v>1</v>
      </c>
      <c r="I305" s="34" t="n">
        <f aca="false">E305*H305+N(F305)+N(G305)</f>
        <v>5200</v>
      </c>
      <c r="J305" s="42" t="n">
        <f aca="false">ROUND(IFERROR(ROUND(IF(OR(ISNUMBER(SEARCH("week",C305)),ISNUMBER(SEARCH("minggu",C305))),IFERROR(_xlfn.NUMBERVALUE(SUBSTITUTE(LEFT(TRIM(C305),FIND(" ",TRIM(C305)&amp;" ")-1),",","."),"."),LEFT(SUBSTITUTE(LEFT(TRIM(C305),FIND(" ",TRIM(C305)&amp;" ")-1),",","."),FIND("/",SUBSTITUTE(LEFT(TRIM(C305),FIND(" ",TRIM(C305)&amp;" ")-1),",","."))-1)/MID(SUBSTITUTE(LEFT(TRIM(C305),FIND(" ",TRIM(C305)&amp;" ")-1),",","."),FIND("/",SUBSTITUTE(LEFT(TRIM(C305),FIND(" ",TRIM(C305)&amp;" ")-1),",","."))+1,9))*12/52,IF(ISNUMBER(SEARCH("month",C305)),IFERROR(_xlfn.NUMBERVALUE(SUBSTITUTE(LEFT(TRIM(C305),FIND(" ",TRIM(C305)&amp;" ")-1),",","."),"."),LEFT(SUBSTITUTE(LEFT(TRIM(C305),FIND(" ",TRIM(C305)&amp;" ")-1),",","."),FIND("/",SUBSTITUTE(LEFT(TRIM(C305),FIND(" ",TRIM(C305)&amp;" ")-1),",","."))-1)/MID(SUBSTITUTE(LEFT(TRIM(C305),FIND(" ",TRIM(C305)&amp;" ")-1),",","."),FIND("/",SUBSTITUTE(LEFT(TRIM(C305),FIND(" ",TRIM(C305)&amp;" ")-1),",","."))+1,9)),IF(ISNUMBER(SEARCH("yea",C305)),IFERROR(_xlfn.NUMBERVALUE(SUBSTITUTE(LEFT(TRIM(C305),FIND(" ",TRIM(C305)&amp;" ")-1),",","."),"."),LEFT(SUBSTITUTE(LEFT(TRIM(C305),FIND(" ",TRIM(C305)&amp;" ")-1),",","."),FIND("/",SUBSTITUTE(LEFT(TRIM(C305),FIND(" ",TRIM(C305)&amp;" ")-1),",","."))-1)/MID(SUBSTITUTE(LEFT(TRIM(C305),FIND(" ",TRIM(C305)&amp;" ")-1),",","."),FIND("/",SUBSTITUTE(LEFT(TRIM(C305),FIND(" ",TRIM(C305)&amp;" ")-1),",","."))+1,9))*12,NA()))),0),24)*'Aturan &amp; Tarif'!$B$4,2)</f>
        <v>1362.72</v>
      </c>
      <c r="K305" s="42" t="n">
        <f aca="false">'Aturan &amp; Tarif'!$B$5</f>
        <v>2050</v>
      </c>
      <c r="L305" s="42" t="n">
        <f aca="false">'Aturan &amp; Tarif'!$B$6</f>
        <v>350</v>
      </c>
      <c r="M305" s="35" t="n">
        <f aca="false">I305+J305+K305+L305</f>
        <v>8962.72</v>
      </c>
      <c r="N305" s="45" t="s">
        <v>134</v>
      </c>
    </row>
    <row r="306" customFormat="false" ht="25.5" hidden="false" customHeight="true" outlineLevel="0" collapsed="false">
      <c r="A306" s="39"/>
      <c r="B306" s="40" t="s">
        <v>812</v>
      </c>
      <c r="C306" s="41" t="s">
        <v>107</v>
      </c>
      <c r="D306" s="41" t="s">
        <v>108</v>
      </c>
      <c r="E306" s="42" t="n">
        <v>2600</v>
      </c>
      <c r="F306" s="42" t="n">
        <v>800</v>
      </c>
      <c r="G306" s="42" t="n">
        <v>200</v>
      </c>
      <c r="H306" s="43" t="n">
        <v>1</v>
      </c>
      <c r="I306" s="34" t="n">
        <f aca="false">E306*H306+N(F306)+N(G306)</f>
        <v>3600</v>
      </c>
      <c r="J306" s="42" t="n">
        <f aca="false">ROUND(IFERROR(ROUND(IF(OR(ISNUMBER(SEARCH("week",C306)),ISNUMBER(SEARCH("minggu",C306))),IFERROR(_xlfn.NUMBERVALUE(SUBSTITUTE(LEFT(TRIM(C306),FIND(" ",TRIM(C306)&amp;" ")-1),",","."),"."),LEFT(SUBSTITUTE(LEFT(TRIM(C306),FIND(" ",TRIM(C306)&amp;" ")-1),",","."),FIND("/",SUBSTITUTE(LEFT(TRIM(C306),FIND(" ",TRIM(C306)&amp;" ")-1),",","."))-1)/MID(SUBSTITUTE(LEFT(TRIM(C306),FIND(" ",TRIM(C306)&amp;" ")-1),",","."),FIND("/",SUBSTITUTE(LEFT(TRIM(C306),FIND(" ",TRIM(C306)&amp;" ")-1),",","."))+1,9))*12/52,IF(ISNUMBER(SEARCH("month",C306)),IFERROR(_xlfn.NUMBERVALUE(SUBSTITUTE(LEFT(TRIM(C306),FIND(" ",TRIM(C306)&amp;" ")-1),",","."),"."),LEFT(SUBSTITUTE(LEFT(TRIM(C306),FIND(" ",TRIM(C306)&amp;" ")-1),",","."),FIND("/",SUBSTITUTE(LEFT(TRIM(C306),FIND(" ",TRIM(C306)&amp;" ")-1),",","."))-1)/MID(SUBSTITUTE(LEFT(TRIM(C306),FIND(" ",TRIM(C306)&amp;" ")-1),",","."),FIND("/",SUBSTITUTE(LEFT(TRIM(C306),FIND(" ",TRIM(C306)&amp;" ")-1),",","."))+1,9)),IF(ISNUMBER(SEARCH("yea",C306)),IFERROR(_xlfn.NUMBERVALUE(SUBSTITUTE(LEFT(TRIM(C306),FIND(" ",TRIM(C306)&amp;" ")-1),",","."),"."),LEFT(SUBSTITUTE(LEFT(TRIM(C306),FIND(" ",TRIM(C306)&amp;" ")-1),",","."),FIND("/",SUBSTITUTE(LEFT(TRIM(C306),FIND(" ",TRIM(C306)&amp;" ")-1),",","."))-1)/MID(SUBSTITUTE(LEFT(TRIM(C306),FIND(" ",TRIM(C306)&amp;" ")-1),",","."),FIND("/",SUBSTITUTE(LEFT(TRIM(C306),FIND(" ",TRIM(C306)&amp;" ")-1),",","."))+1,9))*12,NA()))),0),24)*'Aturan &amp; Tarif'!$B$4,2)</f>
        <v>1362.72</v>
      </c>
      <c r="K306" s="42" t="n">
        <f aca="false">'Aturan &amp; Tarif'!$B$5</f>
        <v>2050</v>
      </c>
      <c r="L306" s="42" t="n">
        <f aca="false">'Aturan &amp; Tarif'!$B$6</f>
        <v>350</v>
      </c>
      <c r="M306" s="35" t="n">
        <f aca="false">I306+J306+K306+L306</f>
        <v>7362.72</v>
      </c>
      <c r="N306" s="45" t="s">
        <v>134</v>
      </c>
    </row>
    <row r="307" customFormat="false" ht="25.5" hidden="false" customHeight="true" outlineLevel="0" collapsed="false">
      <c r="A307" s="39"/>
      <c r="B307" s="40" t="s">
        <v>1030</v>
      </c>
      <c r="C307" s="41" t="s">
        <v>107</v>
      </c>
      <c r="D307" s="41" t="s">
        <v>108</v>
      </c>
      <c r="E307" s="42" t="n">
        <v>3250</v>
      </c>
      <c r="F307" s="42" t="n">
        <v>1000</v>
      </c>
      <c r="G307" s="42" t="n">
        <v>200</v>
      </c>
      <c r="H307" s="43" t="n">
        <v>1</v>
      </c>
      <c r="I307" s="34" t="n">
        <f aca="false">E307*H307+N(F307)+N(G307)</f>
        <v>4450</v>
      </c>
      <c r="J307" s="42" t="n">
        <f aca="false">ROUND(IFERROR(ROUND(IF(OR(ISNUMBER(SEARCH("week",C307)),ISNUMBER(SEARCH("minggu",C307))),IFERROR(_xlfn.NUMBERVALUE(SUBSTITUTE(LEFT(TRIM(C307),FIND(" ",TRIM(C307)&amp;" ")-1),",","."),"."),LEFT(SUBSTITUTE(LEFT(TRIM(C307),FIND(" ",TRIM(C307)&amp;" ")-1),",","."),FIND("/",SUBSTITUTE(LEFT(TRIM(C307),FIND(" ",TRIM(C307)&amp;" ")-1),",","."))-1)/MID(SUBSTITUTE(LEFT(TRIM(C307),FIND(" ",TRIM(C307)&amp;" ")-1),",","."),FIND("/",SUBSTITUTE(LEFT(TRIM(C307),FIND(" ",TRIM(C307)&amp;" ")-1),",","."))+1,9))*12/52,IF(ISNUMBER(SEARCH("month",C307)),IFERROR(_xlfn.NUMBERVALUE(SUBSTITUTE(LEFT(TRIM(C307),FIND(" ",TRIM(C307)&amp;" ")-1),",","."),"."),LEFT(SUBSTITUTE(LEFT(TRIM(C307),FIND(" ",TRIM(C307)&amp;" ")-1),",","."),FIND("/",SUBSTITUTE(LEFT(TRIM(C307),FIND(" ",TRIM(C307)&amp;" ")-1),",","."))-1)/MID(SUBSTITUTE(LEFT(TRIM(C307),FIND(" ",TRIM(C307)&amp;" ")-1),",","."),FIND("/",SUBSTITUTE(LEFT(TRIM(C307),FIND(" ",TRIM(C307)&amp;" ")-1),",","."))+1,9)),IF(ISNUMBER(SEARCH("yea",C307)),IFERROR(_xlfn.NUMBERVALUE(SUBSTITUTE(LEFT(TRIM(C307),FIND(" ",TRIM(C307)&amp;" ")-1),",","."),"."),LEFT(SUBSTITUTE(LEFT(TRIM(C307),FIND(" ",TRIM(C307)&amp;" ")-1),",","."),FIND("/",SUBSTITUTE(LEFT(TRIM(C307),FIND(" ",TRIM(C307)&amp;" ")-1),",","."))-1)/MID(SUBSTITUTE(LEFT(TRIM(C307),FIND(" ",TRIM(C307)&amp;" ")-1),",","."),FIND("/",SUBSTITUTE(LEFT(TRIM(C307),FIND(" ",TRIM(C307)&amp;" ")-1),",","."))+1,9))*12,NA()))),0),24)*'Aturan &amp; Tarif'!$B$4,2)</f>
        <v>1362.72</v>
      </c>
      <c r="K307" s="42" t="n">
        <f aca="false">'Aturan &amp; Tarif'!$B$5</f>
        <v>2050</v>
      </c>
      <c r="L307" s="42" t="n">
        <f aca="false">'Aturan &amp; Tarif'!$B$6</f>
        <v>350</v>
      </c>
      <c r="M307" s="35" t="n">
        <f aca="false">I307+J307+K307+L307</f>
        <v>8212.72</v>
      </c>
      <c r="N307" s="45" t="s">
        <v>134</v>
      </c>
    </row>
    <row r="308" customFormat="false" ht="60" hidden="false" customHeight="true" outlineLevel="0" collapsed="false">
      <c r="A308" s="39" t="s">
        <v>1031</v>
      </c>
      <c r="B308" s="40" t="s">
        <v>1032</v>
      </c>
      <c r="C308" s="41" t="s">
        <v>130</v>
      </c>
      <c r="D308" s="41" t="s">
        <v>108</v>
      </c>
      <c r="E308" s="42" t="n">
        <v>7900</v>
      </c>
      <c r="F308" s="42"/>
      <c r="G308" s="42"/>
      <c r="H308" s="43" t="n">
        <v>2</v>
      </c>
      <c r="I308" s="34" t="n">
        <f aca="false">E308*H308+N(F308)+N(G308)</f>
        <v>15800</v>
      </c>
      <c r="J308" s="42" t="n">
        <f aca="false">ROUND(IFERROR(ROUND(IF(OR(ISNUMBER(SEARCH("week",C308)),ISNUMBER(SEARCH("minggu",C308))),IFERROR(_xlfn.NUMBERVALUE(SUBSTITUTE(LEFT(TRIM(C308),FIND(" ",TRIM(C308)&amp;" ")-1),",","."),"."),LEFT(SUBSTITUTE(LEFT(TRIM(C308),FIND(" ",TRIM(C308)&amp;" ")-1),",","."),FIND("/",SUBSTITUTE(LEFT(TRIM(C308),FIND(" ",TRIM(C308)&amp;" ")-1),",","."))-1)/MID(SUBSTITUTE(LEFT(TRIM(C308),FIND(" ",TRIM(C308)&amp;" ")-1),",","."),FIND("/",SUBSTITUTE(LEFT(TRIM(C308),FIND(" ",TRIM(C308)&amp;" ")-1),",","."))+1,9))*12/52,IF(ISNUMBER(SEARCH("month",C308)),IFERROR(_xlfn.NUMBERVALUE(SUBSTITUTE(LEFT(TRIM(C308),FIND(" ",TRIM(C308)&amp;" ")-1),",","."),"."),LEFT(SUBSTITUTE(LEFT(TRIM(C308),FIND(" ",TRIM(C308)&amp;" ")-1),",","."),FIND("/",SUBSTITUTE(LEFT(TRIM(C308),FIND(" ",TRIM(C308)&amp;" ")-1),",","."))-1)/MID(SUBSTITUTE(LEFT(TRIM(C308),FIND(" ",TRIM(C308)&amp;" ")-1),",","."),FIND("/",SUBSTITUTE(LEFT(TRIM(C308),FIND(" ",TRIM(C308)&amp;" ")-1),",","."))+1,9)),IF(ISNUMBER(SEARCH("yea",C308)),IFERROR(_xlfn.NUMBERVALUE(SUBSTITUTE(LEFT(TRIM(C308),FIND(" ",TRIM(C308)&amp;" ")-1),",","."),"."),LEFT(SUBSTITUTE(LEFT(TRIM(C308),FIND(" ",TRIM(C308)&amp;" ")-1),",","."),FIND("/",SUBSTITUTE(LEFT(TRIM(C308),FIND(" ",TRIM(C308)&amp;" ")-1),",","."))-1)/MID(SUBSTITUTE(LEFT(TRIM(C308),FIND(" ",TRIM(C308)&amp;" ")-1),",","."),FIND("/",SUBSTITUTE(LEFT(TRIM(C308),FIND(" ",TRIM(C308)&amp;" ")-1),",","."))+1,9))*12,NA()))),0),12)*'Aturan &amp; Tarif'!$B$4,2)</f>
        <v>681.36</v>
      </c>
      <c r="K308" s="42" t="n">
        <f aca="false">'Aturan &amp; Tarif'!$B$5</f>
        <v>2050</v>
      </c>
      <c r="L308" s="42" t="n">
        <f aca="false">'Aturan &amp; Tarif'!$B$6</f>
        <v>350</v>
      </c>
      <c r="M308" s="35" t="n">
        <f aca="false">I308+J308+K308+L308</f>
        <v>18881.36</v>
      </c>
      <c r="N308" s="44" t="s">
        <v>1033</v>
      </c>
    </row>
    <row r="309" customFormat="false" ht="60" hidden="false" customHeight="true" outlineLevel="0" collapsed="false">
      <c r="A309" s="39"/>
      <c r="B309" s="40" t="s">
        <v>321</v>
      </c>
      <c r="C309" s="41" t="s">
        <v>127</v>
      </c>
      <c r="D309" s="41" t="s">
        <v>108</v>
      </c>
      <c r="E309" s="42" t="n">
        <v>7900</v>
      </c>
      <c r="F309" s="42"/>
      <c r="G309" s="42"/>
      <c r="H309" s="43" t="n">
        <v>2</v>
      </c>
      <c r="I309" s="34" t="n">
        <f aca="false">E309*H309+N(F309)+N(G309)</f>
        <v>15800</v>
      </c>
      <c r="J309" s="42" t="n">
        <f aca="false">ROUND(IFERROR(ROUND(IF(OR(ISNUMBER(SEARCH("week",C309)),ISNUMBER(SEARCH("minggu",C309))),IFERROR(_xlfn.NUMBERVALUE(SUBSTITUTE(LEFT(TRIM(C309),FIND(" ",TRIM(C309)&amp;" ")-1),",","."),"."),LEFT(SUBSTITUTE(LEFT(TRIM(C309),FIND(" ",TRIM(C309)&amp;" ")-1),",","."),FIND("/",SUBSTITUTE(LEFT(TRIM(C309),FIND(" ",TRIM(C309)&amp;" ")-1),",","."))-1)/MID(SUBSTITUTE(LEFT(TRIM(C309),FIND(" ",TRIM(C309)&amp;" ")-1),",","."),FIND("/",SUBSTITUTE(LEFT(TRIM(C309),FIND(" ",TRIM(C309)&amp;" ")-1),",","."))+1,9))*12/52,IF(ISNUMBER(SEARCH("month",C309)),IFERROR(_xlfn.NUMBERVALUE(SUBSTITUTE(LEFT(TRIM(C309),FIND(" ",TRIM(C309)&amp;" ")-1),",","."),"."),LEFT(SUBSTITUTE(LEFT(TRIM(C309),FIND(" ",TRIM(C309)&amp;" ")-1),",","."),FIND("/",SUBSTITUTE(LEFT(TRIM(C309),FIND(" ",TRIM(C309)&amp;" ")-1),",","."))-1)/MID(SUBSTITUTE(LEFT(TRIM(C309),FIND(" ",TRIM(C309)&amp;" ")-1),",","."),FIND("/",SUBSTITUTE(LEFT(TRIM(C309),FIND(" ",TRIM(C309)&amp;" ")-1),",","."))+1,9)),IF(ISNUMBER(SEARCH("yea",C309)),IFERROR(_xlfn.NUMBERVALUE(SUBSTITUTE(LEFT(TRIM(C309),FIND(" ",TRIM(C309)&amp;" ")-1),",","."),"."),LEFT(SUBSTITUTE(LEFT(TRIM(C309),FIND(" ",TRIM(C309)&amp;" ")-1),",","."),FIND("/",SUBSTITUTE(LEFT(TRIM(C309),FIND(" ",TRIM(C309)&amp;" ")-1),",","."))-1)/MID(SUBSTITUTE(LEFT(TRIM(C309),FIND(" ",TRIM(C309)&amp;" ")-1),",","."),FIND("/",SUBSTITUTE(LEFT(TRIM(C309),FIND(" ",TRIM(C309)&amp;" ")-1),",","."))+1,9))*12,NA()))),0),36)*'Aturan &amp; Tarif'!$B$4,2)</f>
        <v>2044.08</v>
      </c>
      <c r="K309" s="42" t="n">
        <f aca="false">'Aturan &amp; Tarif'!$B$5</f>
        <v>2050</v>
      </c>
      <c r="L309" s="42" t="n">
        <f aca="false">'Aturan &amp; Tarif'!$B$6</f>
        <v>350</v>
      </c>
      <c r="M309" s="35" t="n">
        <f aca="false">I309+J309+K309+L309</f>
        <v>20244.08</v>
      </c>
      <c r="N309" s="44" t="s">
        <v>1034</v>
      </c>
    </row>
    <row r="310" customFormat="false" ht="60" hidden="false" customHeight="true" outlineLevel="0" collapsed="false">
      <c r="A310" s="39"/>
      <c r="B310" s="40" t="s">
        <v>1035</v>
      </c>
      <c r="C310" s="41" t="s">
        <v>130</v>
      </c>
      <c r="D310" s="41" t="s">
        <v>108</v>
      </c>
      <c r="E310" s="42" t="n">
        <v>7900</v>
      </c>
      <c r="F310" s="42"/>
      <c r="G310" s="42"/>
      <c r="H310" s="43" t="n">
        <v>2</v>
      </c>
      <c r="I310" s="34" t="n">
        <f aca="false">E310*H310+N(F310)+N(G310)</f>
        <v>15800</v>
      </c>
      <c r="J310" s="42" t="n">
        <f aca="false">ROUND(IFERROR(ROUND(IF(OR(ISNUMBER(SEARCH("week",C310)),ISNUMBER(SEARCH("minggu",C310))),IFERROR(_xlfn.NUMBERVALUE(SUBSTITUTE(LEFT(TRIM(C310),FIND(" ",TRIM(C310)&amp;" ")-1),",","."),"."),LEFT(SUBSTITUTE(LEFT(TRIM(C310),FIND(" ",TRIM(C310)&amp;" ")-1),",","."),FIND("/",SUBSTITUTE(LEFT(TRIM(C310),FIND(" ",TRIM(C310)&amp;" ")-1),",","."))-1)/MID(SUBSTITUTE(LEFT(TRIM(C310),FIND(" ",TRIM(C310)&amp;" ")-1),",","."),FIND("/",SUBSTITUTE(LEFT(TRIM(C310),FIND(" ",TRIM(C310)&amp;" ")-1),",","."))+1,9))*12/52,IF(ISNUMBER(SEARCH("month",C310)),IFERROR(_xlfn.NUMBERVALUE(SUBSTITUTE(LEFT(TRIM(C310),FIND(" ",TRIM(C310)&amp;" ")-1),",","."),"."),LEFT(SUBSTITUTE(LEFT(TRIM(C310),FIND(" ",TRIM(C310)&amp;" ")-1),",","."),FIND("/",SUBSTITUTE(LEFT(TRIM(C310),FIND(" ",TRIM(C310)&amp;" ")-1),",","."))-1)/MID(SUBSTITUTE(LEFT(TRIM(C310),FIND(" ",TRIM(C310)&amp;" ")-1),",","."),FIND("/",SUBSTITUTE(LEFT(TRIM(C310),FIND(" ",TRIM(C310)&amp;" ")-1),",","."))+1,9)),IF(ISNUMBER(SEARCH("yea",C310)),IFERROR(_xlfn.NUMBERVALUE(SUBSTITUTE(LEFT(TRIM(C310),FIND(" ",TRIM(C310)&amp;" ")-1),",","."),"."),LEFT(SUBSTITUTE(LEFT(TRIM(C310),FIND(" ",TRIM(C310)&amp;" ")-1),",","."),FIND("/",SUBSTITUTE(LEFT(TRIM(C310),FIND(" ",TRIM(C310)&amp;" ")-1),",","."))-1)/MID(SUBSTITUTE(LEFT(TRIM(C310),FIND(" ",TRIM(C310)&amp;" ")-1),",","."),FIND("/",SUBSTITUTE(LEFT(TRIM(C310),FIND(" ",TRIM(C310)&amp;" ")-1),",","."))+1,9))*12,NA()))),0),12)*'Aturan &amp; Tarif'!$B$4,2)</f>
        <v>681.36</v>
      </c>
      <c r="K310" s="42" t="n">
        <f aca="false">'Aturan &amp; Tarif'!$B$5</f>
        <v>2050</v>
      </c>
      <c r="L310" s="42" t="n">
        <f aca="false">'Aturan &amp; Tarif'!$B$6</f>
        <v>350</v>
      </c>
      <c r="M310" s="35" t="n">
        <f aca="false">I310+J310+K310+L310</f>
        <v>18881.36</v>
      </c>
      <c r="N310" s="44" t="s">
        <v>1036</v>
      </c>
    </row>
    <row r="311" customFormat="false" ht="60" hidden="false" customHeight="true" outlineLevel="0" collapsed="false">
      <c r="A311" s="39"/>
      <c r="B311" s="40" t="s">
        <v>1037</v>
      </c>
      <c r="C311" s="41" t="s">
        <v>127</v>
      </c>
      <c r="D311" s="41" t="s">
        <v>108</v>
      </c>
      <c r="E311" s="42" t="n">
        <v>7900</v>
      </c>
      <c r="F311" s="42"/>
      <c r="G311" s="42"/>
      <c r="H311" s="43" t="n">
        <v>2</v>
      </c>
      <c r="I311" s="34" t="n">
        <f aca="false">E311*H311+N(F311)+N(G311)</f>
        <v>15800</v>
      </c>
      <c r="J311" s="42" t="n">
        <f aca="false">ROUND(IFERROR(ROUND(IF(OR(ISNUMBER(SEARCH("week",C311)),ISNUMBER(SEARCH("minggu",C311))),IFERROR(_xlfn.NUMBERVALUE(SUBSTITUTE(LEFT(TRIM(C311),FIND(" ",TRIM(C311)&amp;" ")-1),",","."),"."),LEFT(SUBSTITUTE(LEFT(TRIM(C311),FIND(" ",TRIM(C311)&amp;" ")-1),",","."),FIND("/",SUBSTITUTE(LEFT(TRIM(C311),FIND(" ",TRIM(C311)&amp;" ")-1),",","."))-1)/MID(SUBSTITUTE(LEFT(TRIM(C311),FIND(" ",TRIM(C311)&amp;" ")-1),",","."),FIND("/",SUBSTITUTE(LEFT(TRIM(C311),FIND(" ",TRIM(C311)&amp;" ")-1),",","."))+1,9))*12/52,IF(ISNUMBER(SEARCH("month",C311)),IFERROR(_xlfn.NUMBERVALUE(SUBSTITUTE(LEFT(TRIM(C311),FIND(" ",TRIM(C311)&amp;" ")-1),",","."),"."),LEFT(SUBSTITUTE(LEFT(TRIM(C311),FIND(" ",TRIM(C311)&amp;" ")-1),",","."),FIND("/",SUBSTITUTE(LEFT(TRIM(C311),FIND(" ",TRIM(C311)&amp;" ")-1),",","."))-1)/MID(SUBSTITUTE(LEFT(TRIM(C311),FIND(" ",TRIM(C311)&amp;" ")-1),",","."),FIND("/",SUBSTITUTE(LEFT(TRIM(C311),FIND(" ",TRIM(C311)&amp;" ")-1),",","."))+1,9)),IF(ISNUMBER(SEARCH("yea",C311)),IFERROR(_xlfn.NUMBERVALUE(SUBSTITUTE(LEFT(TRIM(C311),FIND(" ",TRIM(C311)&amp;" ")-1),",","."),"."),LEFT(SUBSTITUTE(LEFT(TRIM(C311),FIND(" ",TRIM(C311)&amp;" ")-1),",","."),FIND("/",SUBSTITUTE(LEFT(TRIM(C311),FIND(" ",TRIM(C311)&amp;" ")-1),",","."))-1)/MID(SUBSTITUTE(LEFT(TRIM(C311),FIND(" ",TRIM(C311)&amp;" ")-1),",","."),FIND("/",SUBSTITUTE(LEFT(TRIM(C311),FIND(" ",TRIM(C311)&amp;" ")-1),",","."))+1,9))*12,NA()))),0),36)*'Aturan &amp; Tarif'!$B$4,2)</f>
        <v>2044.08</v>
      </c>
      <c r="K311" s="42" t="n">
        <f aca="false">'Aturan &amp; Tarif'!$B$5</f>
        <v>2050</v>
      </c>
      <c r="L311" s="42" t="n">
        <f aca="false">'Aturan &amp; Tarif'!$B$6</f>
        <v>350</v>
      </c>
      <c r="M311" s="35" t="n">
        <f aca="false">I311+J311+K311+L311</f>
        <v>20244.08</v>
      </c>
      <c r="N311" s="44" t="s">
        <v>1036</v>
      </c>
    </row>
    <row r="312" customFormat="false" ht="60" hidden="false" customHeight="true" outlineLevel="0" collapsed="false">
      <c r="A312" s="39"/>
      <c r="B312" s="40" t="s">
        <v>1038</v>
      </c>
      <c r="C312" s="41" t="s">
        <v>127</v>
      </c>
      <c r="D312" s="41" t="s">
        <v>108</v>
      </c>
      <c r="E312" s="42" t="n">
        <v>7900</v>
      </c>
      <c r="F312" s="42"/>
      <c r="G312" s="42"/>
      <c r="H312" s="43" t="n">
        <v>2</v>
      </c>
      <c r="I312" s="34" t="n">
        <f aca="false">E312*H312+N(F312)+N(G312)</f>
        <v>15800</v>
      </c>
      <c r="J312" s="42" t="n">
        <f aca="false">ROUND(IFERROR(ROUND(IF(OR(ISNUMBER(SEARCH("week",C312)),ISNUMBER(SEARCH("minggu",C312))),IFERROR(_xlfn.NUMBERVALUE(SUBSTITUTE(LEFT(TRIM(C312),FIND(" ",TRIM(C312)&amp;" ")-1),",","."),"."),LEFT(SUBSTITUTE(LEFT(TRIM(C312),FIND(" ",TRIM(C312)&amp;" ")-1),",","."),FIND("/",SUBSTITUTE(LEFT(TRIM(C312),FIND(" ",TRIM(C312)&amp;" ")-1),",","."))-1)/MID(SUBSTITUTE(LEFT(TRIM(C312),FIND(" ",TRIM(C312)&amp;" ")-1),",","."),FIND("/",SUBSTITUTE(LEFT(TRIM(C312),FIND(" ",TRIM(C312)&amp;" ")-1),",","."))+1,9))*12/52,IF(ISNUMBER(SEARCH("month",C312)),IFERROR(_xlfn.NUMBERVALUE(SUBSTITUTE(LEFT(TRIM(C312),FIND(" ",TRIM(C312)&amp;" ")-1),",","."),"."),LEFT(SUBSTITUTE(LEFT(TRIM(C312),FIND(" ",TRIM(C312)&amp;" ")-1),",","."),FIND("/",SUBSTITUTE(LEFT(TRIM(C312),FIND(" ",TRIM(C312)&amp;" ")-1),",","."))-1)/MID(SUBSTITUTE(LEFT(TRIM(C312),FIND(" ",TRIM(C312)&amp;" ")-1),",","."),FIND("/",SUBSTITUTE(LEFT(TRIM(C312),FIND(" ",TRIM(C312)&amp;" ")-1),",","."))+1,9)),IF(ISNUMBER(SEARCH("yea",C312)),IFERROR(_xlfn.NUMBERVALUE(SUBSTITUTE(LEFT(TRIM(C312),FIND(" ",TRIM(C312)&amp;" ")-1),",","."),"."),LEFT(SUBSTITUTE(LEFT(TRIM(C312),FIND(" ",TRIM(C312)&amp;" ")-1),",","."),FIND("/",SUBSTITUTE(LEFT(TRIM(C312),FIND(" ",TRIM(C312)&amp;" ")-1),",","."))-1)/MID(SUBSTITUTE(LEFT(TRIM(C312),FIND(" ",TRIM(C312)&amp;" ")-1),",","."),FIND("/",SUBSTITUTE(LEFT(TRIM(C312),FIND(" ",TRIM(C312)&amp;" ")-1),",","."))+1,9))*12,NA()))),0),36)*'Aturan &amp; Tarif'!$B$4,2)</f>
        <v>2044.08</v>
      </c>
      <c r="K312" s="42" t="n">
        <f aca="false">'Aturan &amp; Tarif'!$B$5</f>
        <v>2050</v>
      </c>
      <c r="L312" s="42" t="n">
        <f aca="false">'Aturan &amp; Tarif'!$B$6</f>
        <v>350</v>
      </c>
      <c r="M312" s="35" t="n">
        <f aca="false">I312+J312+K312+L312</f>
        <v>20244.08</v>
      </c>
      <c r="N312" s="44" t="s">
        <v>1039</v>
      </c>
    </row>
    <row r="313" customFormat="false" ht="60" hidden="false" customHeight="true" outlineLevel="0" collapsed="false">
      <c r="A313" s="39"/>
      <c r="B313" s="40" t="s">
        <v>1040</v>
      </c>
      <c r="C313" s="41" t="s">
        <v>127</v>
      </c>
      <c r="D313" s="41" t="s">
        <v>108</v>
      </c>
      <c r="E313" s="42" t="n">
        <v>7900</v>
      </c>
      <c r="F313" s="42"/>
      <c r="G313" s="42"/>
      <c r="H313" s="43" t="n">
        <v>2</v>
      </c>
      <c r="I313" s="34" t="n">
        <f aca="false">E313*H313+N(F313)+N(G313)</f>
        <v>15800</v>
      </c>
      <c r="J313" s="42" t="n">
        <f aca="false">ROUND(IFERROR(ROUND(IF(OR(ISNUMBER(SEARCH("week",C313)),ISNUMBER(SEARCH("minggu",C313))),IFERROR(_xlfn.NUMBERVALUE(SUBSTITUTE(LEFT(TRIM(C313),FIND(" ",TRIM(C313)&amp;" ")-1),",","."),"."),LEFT(SUBSTITUTE(LEFT(TRIM(C313),FIND(" ",TRIM(C313)&amp;" ")-1),",","."),FIND("/",SUBSTITUTE(LEFT(TRIM(C313),FIND(" ",TRIM(C313)&amp;" ")-1),",","."))-1)/MID(SUBSTITUTE(LEFT(TRIM(C313),FIND(" ",TRIM(C313)&amp;" ")-1),",","."),FIND("/",SUBSTITUTE(LEFT(TRIM(C313),FIND(" ",TRIM(C313)&amp;" ")-1),",","."))+1,9))*12/52,IF(ISNUMBER(SEARCH("month",C313)),IFERROR(_xlfn.NUMBERVALUE(SUBSTITUTE(LEFT(TRIM(C313),FIND(" ",TRIM(C313)&amp;" ")-1),",","."),"."),LEFT(SUBSTITUTE(LEFT(TRIM(C313),FIND(" ",TRIM(C313)&amp;" ")-1),",","."),FIND("/",SUBSTITUTE(LEFT(TRIM(C313),FIND(" ",TRIM(C313)&amp;" ")-1),",","."))-1)/MID(SUBSTITUTE(LEFT(TRIM(C313),FIND(" ",TRIM(C313)&amp;" ")-1),",","."),FIND("/",SUBSTITUTE(LEFT(TRIM(C313),FIND(" ",TRIM(C313)&amp;" ")-1),",","."))+1,9)),IF(ISNUMBER(SEARCH("yea",C313)),IFERROR(_xlfn.NUMBERVALUE(SUBSTITUTE(LEFT(TRIM(C313),FIND(" ",TRIM(C313)&amp;" ")-1),",","."),"."),LEFT(SUBSTITUTE(LEFT(TRIM(C313),FIND(" ",TRIM(C313)&amp;" ")-1),",","."),FIND("/",SUBSTITUTE(LEFT(TRIM(C313),FIND(" ",TRIM(C313)&amp;" ")-1),",","."))-1)/MID(SUBSTITUTE(LEFT(TRIM(C313),FIND(" ",TRIM(C313)&amp;" ")-1),",","."),FIND("/",SUBSTITUTE(LEFT(TRIM(C313),FIND(" ",TRIM(C313)&amp;" ")-1),",","."))+1,9))*12,NA()))),0),36)*'Aturan &amp; Tarif'!$B$4,2)</f>
        <v>2044.08</v>
      </c>
      <c r="K313" s="42" t="n">
        <f aca="false">'Aturan &amp; Tarif'!$B$5</f>
        <v>2050</v>
      </c>
      <c r="L313" s="42" t="n">
        <f aca="false">'Aturan &amp; Tarif'!$B$6</f>
        <v>350</v>
      </c>
      <c r="M313" s="35" t="n">
        <f aca="false">I313+J313+K313+L313</f>
        <v>20244.08</v>
      </c>
      <c r="N313" s="44" t="s">
        <v>1041</v>
      </c>
    </row>
    <row r="314" customFormat="false" ht="60" hidden="false" customHeight="true" outlineLevel="0" collapsed="false">
      <c r="A314" s="39"/>
      <c r="B314" s="40" t="s">
        <v>1042</v>
      </c>
      <c r="C314" s="41" t="s">
        <v>130</v>
      </c>
      <c r="D314" s="41" t="s">
        <v>108</v>
      </c>
      <c r="E314" s="42" t="n">
        <v>7900</v>
      </c>
      <c r="F314" s="42"/>
      <c r="G314" s="42"/>
      <c r="H314" s="43" t="n">
        <v>2</v>
      </c>
      <c r="I314" s="34" t="n">
        <f aca="false">E314*H314+N(F314)+N(G314)</f>
        <v>15800</v>
      </c>
      <c r="J314" s="42" t="n">
        <f aca="false">ROUND(IFERROR(ROUND(IF(OR(ISNUMBER(SEARCH("week",C314)),ISNUMBER(SEARCH("minggu",C314))),IFERROR(_xlfn.NUMBERVALUE(SUBSTITUTE(LEFT(TRIM(C314),FIND(" ",TRIM(C314)&amp;" ")-1),",","."),"."),LEFT(SUBSTITUTE(LEFT(TRIM(C314),FIND(" ",TRIM(C314)&amp;" ")-1),",","."),FIND("/",SUBSTITUTE(LEFT(TRIM(C314),FIND(" ",TRIM(C314)&amp;" ")-1),",","."))-1)/MID(SUBSTITUTE(LEFT(TRIM(C314),FIND(" ",TRIM(C314)&amp;" ")-1),",","."),FIND("/",SUBSTITUTE(LEFT(TRIM(C314),FIND(" ",TRIM(C314)&amp;" ")-1),",","."))+1,9))*12/52,IF(ISNUMBER(SEARCH("month",C314)),IFERROR(_xlfn.NUMBERVALUE(SUBSTITUTE(LEFT(TRIM(C314),FIND(" ",TRIM(C314)&amp;" ")-1),",","."),"."),LEFT(SUBSTITUTE(LEFT(TRIM(C314),FIND(" ",TRIM(C314)&amp;" ")-1),",","."),FIND("/",SUBSTITUTE(LEFT(TRIM(C314),FIND(" ",TRIM(C314)&amp;" ")-1),",","."))-1)/MID(SUBSTITUTE(LEFT(TRIM(C314),FIND(" ",TRIM(C314)&amp;" ")-1),",","."),FIND("/",SUBSTITUTE(LEFT(TRIM(C314),FIND(" ",TRIM(C314)&amp;" ")-1),",","."))+1,9)),IF(ISNUMBER(SEARCH("yea",C314)),IFERROR(_xlfn.NUMBERVALUE(SUBSTITUTE(LEFT(TRIM(C314),FIND(" ",TRIM(C314)&amp;" ")-1),",","."),"."),LEFT(SUBSTITUTE(LEFT(TRIM(C314),FIND(" ",TRIM(C314)&amp;" ")-1),",","."),FIND("/",SUBSTITUTE(LEFT(TRIM(C314),FIND(" ",TRIM(C314)&amp;" ")-1),",","."))-1)/MID(SUBSTITUTE(LEFT(TRIM(C314),FIND(" ",TRIM(C314)&amp;" ")-1),",","."),FIND("/",SUBSTITUTE(LEFT(TRIM(C314),FIND(" ",TRIM(C314)&amp;" ")-1),",","."))+1,9))*12,NA()))),0),12)*'Aturan &amp; Tarif'!$B$4,2)</f>
        <v>681.36</v>
      </c>
      <c r="K314" s="42" t="n">
        <f aca="false">'Aturan &amp; Tarif'!$B$5</f>
        <v>2050</v>
      </c>
      <c r="L314" s="42" t="n">
        <f aca="false">'Aturan &amp; Tarif'!$B$6</f>
        <v>350</v>
      </c>
      <c r="M314" s="35" t="n">
        <f aca="false">I314+J314+K314+L314</f>
        <v>18881.36</v>
      </c>
      <c r="N314" s="44" t="s">
        <v>1043</v>
      </c>
    </row>
    <row r="315" customFormat="false" ht="60" hidden="false" customHeight="true" outlineLevel="0" collapsed="false">
      <c r="A315" s="39"/>
      <c r="B315" s="40" t="s">
        <v>1044</v>
      </c>
      <c r="C315" s="41" t="s">
        <v>127</v>
      </c>
      <c r="D315" s="41" t="s">
        <v>108</v>
      </c>
      <c r="E315" s="42" t="n">
        <v>7900</v>
      </c>
      <c r="F315" s="42"/>
      <c r="G315" s="42"/>
      <c r="H315" s="43" t="n">
        <v>2</v>
      </c>
      <c r="I315" s="34" t="n">
        <f aca="false">E315*H315+N(F315)+N(G315)</f>
        <v>15800</v>
      </c>
      <c r="J315" s="42" t="n">
        <f aca="false">ROUND(IFERROR(ROUND(IF(OR(ISNUMBER(SEARCH("week",C315)),ISNUMBER(SEARCH("minggu",C315))),IFERROR(_xlfn.NUMBERVALUE(SUBSTITUTE(LEFT(TRIM(C315),FIND(" ",TRIM(C315)&amp;" ")-1),",","."),"."),LEFT(SUBSTITUTE(LEFT(TRIM(C315),FIND(" ",TRIM(C315)&amp;" ")-1),",","."),FIND("/",SUBSTITUTE(LEFT(TRIM(C315),FIND(" ",TRIM(C315)&amp;" ")-1),",","."))-1)/MID(SUBSTITUTE(LEFT(TRIM(C315),FIND(" ",TRIM(C315)&amp;" ")-1),",","."),FIND("/",SUBSTITUTE(LEFT(TRIM(C315),FIND(" ",TRIM(C315)&amp;" ")-1),",","."))+1,9))*12/52,IF(ISNUMBER(SEARCH("month",C315)),IFERROR(_xlfn.NUMBERVALUE(SUBSTITUTE(LEFT(TRIM(C315),FIND(" ",TRIM(C315)&amp;" ")-1),",","."),"."),LEFT(SUBSTITUTE(LEFT(TRIM(C315),FIND(" ",TRIM(C315)&amp;" ")-1),",","."),FIND("/",SUBSTITUTE(LEFT(TRIM(C315),FIND(" ",TRIM(C315)&amp;" ")-1),",","."))-1)/MID(SUBSTITUTE(LEFT(TRIM(C315),FIND(" ",TRIM(C315)&amp;" ")-1),",","."),FIND("/",SUBSTITUTE(LEFT(TRIM(C315),FIND(" ",TRIM(C315)&amp;" ")-1),",","."))+1,9)),IF(ISNUMBER(SEARCH("yea",C315)),IFERROR(_xlfn.NUMBERVALUE(SUBSTITUTE(LEFT(TRIM(C315),FIND(" ",TRIM(C315)&amp;" ")-1),",","."),"."),LEFT(SUBSTITUTE(LEFT(TRIM(C315),FIND(" ",TRIM(C315)&amp;" ")-1),",","."),FIND("/",SUBSTITUTE(LEFT(TRIM(C315),FIND(" ",TRIM(C315)&amp;" ")-1),",","."))-1)/MID(SUBSTITUTE(LEFT(TRIM(C315),FIND(" ",TRIM(C315)&amp;" ")-1),",","."),FIND("/",SUBSTITUTE(LEFT(TRIM(C315),FIND(" ",TRIM(C315)&amp;" ")-1),",","."))+1,9))*12,NA()))),0),36)*'Aturan &amp; Tarif'!$B$4,2)</f>
        <v>2044.08</v>
      </c>
      <c r="K315" s="42" t="n">
        <f aca="false">'Aturan &amp; Tarif'!$B$5</f>
        <v>2050</v>
      </c>
      <c r="L315" s="42" t="n">
        <f aca="false">'Aturan &amp; Tarif'!$B$6</f>
        <v>350</v>
      </c>
      <c r="M315" s="35" t="n">
        <f aca="false">I315+J315+K315+L315</f>
        <v>20244.08</v>
      </c>
      <c r="N315" s="44" t="s">
        <v>1045</v>
      </c>
    </row>
    <row r="316" customFormat="false" ht="60" hidden="false" customHeight="true" outlineLevel="0" collapsed="false">
      <c r="A316" s="39"/>
      <c r="B316" s="40" t="s">
        <v>1046</v>
      </c>
      <c r="C316" s="41" t="s">
        <v>127</v>
      </c>
      <c r="D316" s="41" t="s">
        <v>108</v>
      </c>
      <c r="E316" s="42" t="n">
        <v>7900</v>
      </c>
      <c r="F316" s="42"/>
      <c r="G316" s="42"/>
      <c r="H316" s="43" t="n">
        <v>2</v>
      </c>
      <c r="I316" s="34" t="n">
        <f aca="false">E316*H316+N(F316)+N(G316)</f>
        <v>15800</v>
      </c>
      <c r="J316" s="42" t="n">
        <f aca="false">ROUND(IFERROR(ROUND(IF(OR(ISNUMBER(SEARCH("week",C316)),ISNUMBER(SEARCH("minggu",C316))),IFERROR(_xlfn.NUMBERVALUE(SUBSTITUTE(LEFT(TRIM(C316),FIND(" ",TRIM(C316)&amp;" ")-1),",","."),"."),LEFT(SUBSTITUTE(LEFT(TRIM(C316),FIND(" ",TRIM(C316)&amp;" ")-1),",","."),FIND("/",SUBSTITUTE(LEFT(TRIM(C316),FIND(" ",TRIM(C316)&amp;" ")-1),",","."))-1)/MID(SUBSTITUTE(LEFT(TRIM(C316),FIND(" ",TRIM(C316)&amp;" ")-1),",","."),FIND("/",SUBSTITUTE(LEFT(TRIM(C316),FIND(" ",TRIM(C316)&amp;" ")-1),",","."))+1,9))*12/52,IF(ISNUMBER(SEARCH("month",C316)),IFERROR(_xlfn.NUMBERVALUE(SUBSTITUTE(LEFT(TRIM(C316),FIND(" ",TRIM(C316)&amp;" ")-1),",","."),"."),LEFT(SUBSTITUTE(LEFT(TRIM(C316),FIND(" ",TRIM(C316)&amp;" ")-1),",","."),FIND("/",SUBSTITUTE(LEFT(TRIM(C316),FIND(" ",TRIM(C316)&amp;" ")-1),",","."))-1)/MID(SUBSTITUTE(LEFT(TRIM(C316),FIND(" ",TRIM(C316)&amp;" ")-1),",","."),FIND("/",SUBSTITUTE(LEFT(TRIM(C316),FIND(" ",TRIM(C316)&amp;" ")-1),",","."))+1,9)),IF(ISNUMBER(SEARCH("yea",C316)),IFERROR(_xlfn.NUMBERVALUE(SUBSTITUTE(LEFT(TRIM(C316),FIND(" ",TRIM(C316)&amp;" ")-1),",","."),"."),LEFT(SUBSTITUTE(LEFT(TRIM(C316),FIND(" ",TRIM(C316)&amp;" ")-1),",","."),FIND("/",SUBSTITUTE(LEFT(TRIM(C316),FIND(" ",TRIM(C316)&amp;" ")-1),",","."))-1)/MID(SUBSTITUTE(LEFT(TRIM(C316),FIND(" ",TRIM(C316)&amp;" ")-1),",","."),FIND("/",SUBSTITUTE(LEFT(TRIM(C316),FIND(" ",TRIM(C316)&amp;" ")-1),",","."))+1,9))*12,NA()))),0),36)*'Aturan &amp; Tarif'!$B$4,2)</f>
        <v>2044.08</v>
      </c>
      <c r="K316" s="42" t="n">
        <f aca="false">'Aturan &amp; Tarif'!$B$5</f>
        <v>2050</v>
      </c>
      <c r="L316" s="42" t="n">
        <f aca="false">'Aturan &amp; Tarif'!$B$6</f>
        <v>350</v>
      </c>
      <c r="M316" s="35" t="n">
        <f aca="false">I316+J316+K316+L316</f>
        <v>20244.08</v>
      </c>
      <c r="N316" s="44" t="s">
        <v>1047</v>
      </c>
    </row>
    <row r="317" customFormat="false" ht="60" hidden="false" customHeight="true" outlineLevel="0" collapsed="false">
      <c r="A317" s="39"/>
      <c r="B317" s="40" t="s">
        <v>1048</v>
      </c>
      <c r="C317" s="41" t="s">
        <v>344</v>
      </c>
      <c r="D317" s="41" t="s">
        <v>108</v>
      </c>
      <c r="E317" s="42" t="n">
        <v>4500</v>
      </c>
      <c r="F317" s="42"/>
      <c r="G317" s="42"/>
      <c r="H317" s="43" t="n">
        <v>2</v>
      </c>
      <c r="I317" s="34" t="n">
        <f aca="false">E317*H317+N(F317)+N(G317)</f>
        <v>9000</v>
      </c>
      <c r="J317" s="42" t="n">
        <f aca="false">ROUND(IFERROR(ROUND(IF(OR(ISNUMBER(SEARCH("week",C317)),ISNUMBER(SEARCH("minggu",C317))),IFERROR(_xlfn.NUMBERVALUE(SUBSTITUTE(LEFT(TRIM(C317),FIND(" ",TRIM(C317)&amp;" ")-1),",","."),"."),LEFT(SUBSTITUTE(LEFT(TRIM(C317),FIND(" ",TRIM(C317)&amp;" ")-1),",","."),FIND("/",SUBSTITUTE(LEFT(TRIM(C317),FIND(" ",TRIM(C317)&amp;" ")-1),",","."))-1)/MID(SUBSTITUTE(LEFT(TRIM(C317),FIND(" ",TRIM(C317)&amp;" ")-1),",","."),FIND("/",SUBSTITUTE(LEFT(TRIM(C317),FIND(" ",TRIM(C317)&amp;" ")-1),",","."))+1,9))*12/52,IF(ISNUMBER(SEARCH("month",C317)),IFERROR(_xlfn.NUMBERVALUE(SUBSTITUTE(LEFT(TRIM(C317),FIND(" ",TRIM(C317)&amp;" ")-1),",","."),"."),LEFT(SUBSTITUTE(LEFT(TRIM(C317),FIND(" ",TRIM(C317)&amp;" ")-1),",","."),FIND("/",SUBSTITUTE(LEFT(TRIM(C317),FIND(" ",TRIM(C317)&amp;" ")-1),",","."))-1)/MID(SUBSTITUTE(LEFT(TRIM(C317),FIND(" ",TRIM(C317)&amp;" ")-1),",","."),FIND("/",SUBSTITUTE(LEFT(TRIM(C317),FIND(" ",TRIM(C317)&amp;" ")-1),",","."))+1,9)),IF(ISNUMBER(SEARCH("yea",C317)),IFERROR(_xlfn.NUMBERVALUE(SUBSTITUTE(LEFT(TRIM(C317),FIND(" ",TRIM(C317)&amp;" ")-1),",","."),"."),LEFT(SUBSTITUTE(LEFT(TRIM(C317),FIND(" ",TRIM(C317)&amp;" ")-1),",","."),FIND("/",SUBSTITUTE(LEFT(TRIM(C317),FIND(" ",TRIM(C317)&amp;" ")-1),",","."))-1)/MID(SUBSTITUTE(LEFT(TRIM(C317),FIND(" ",TRIM(C317)&amp;" ")-1),",","."),FIND("/",SUBSTITUTE(LEFT(TRIM(C317),FIND(" ",TRIM(C317)&amp;" ")-1),",","."))+1,9))*12,NA()))),0),6)*'Aturan &amp; Tarif'!$B$4,2)</f>
        <v>340.68</v>
      </c>
      <c r="K317" s="42" t="n">
        <f aca="false">'Aturan &amp; Tarif'!$B$5</f>
        <v>2050</v>
      </c>
      <c r="L317" s="42" t="n">
        <f aca="false">'Aturan &amp; Tarif'!$B$6</f>
        <v>350</v>
      </c>
      <c r="M317" s="35" t="n">
        <f aca="false">I317+J317+K317+L317</f>
        <v>11740.68</v>
      </c>
      <c r="N317" s="44" t="s">
        <v>1049</v>
      </c>
    </row>
    <row r="318" customFormat="false" ht="60" hidden="false" customHeight="true" outlineLevel="0" collapsed="false">
      <c r="A318" s="39"/>
      <c r="B318" s="40" t="s">
        <v>1050</v>
      </c>
      <c r="C318" s="41" t="s">
        <v>130</v>
      </c>
      <c r="D318" s="41" t="s">
        <v>108</v>
      </c>
      <c r="E318" s="42" t="n">
        <v>9000</v>
      </c>
      <c r="F318" s="42"/>
      <c r="G318" s="42"/>
      <c r="H318" s="43" t="n">
        <v>2</v>
      </c>
      <c r="I318" s="34" t="n">
        <f aca="false">E318*H318+N(F318)+N(G318)</f>
        <v>18000</v>
      </c>
      <c r="J318" s="42" t="n">
        <f aca="false">ROUND(IFERROR(ROUND(IF(OR(ISNUMBER(SEARCH("week",C318)),ISNUMBER(SEARCH("minggu",C318))),IFERROR(_xlfn.NUMBERVALUE(SUBSTITUTE(LEFT(TRIM(C318),FIND(" ",TRIM(C318)&amp;" ")-1),",","."),"."),LEFT(SUBSTITUTE(LEFT(TRIM(C318),FIND(" ",TRIM(C318)&amp;" ")-1),",","."),FIND("/",SUBSTITUTE(LEFT(TRIM(C318),FIND(" ",TRIM(C318)&amp;" ")-1),",","."))-1)/MID(SUBSTITUTE(LEFT(TRIM(C318),FIND(" ",TRIM(C318)&amp;" ")-1),",","."),FIND("/",SUBSTITUTE(LEFT(TRIM(C318),FIND(" ",TRIM(C318)&amp;" ")-1),",","."))+1,9))*12/52,IF(ISNUMBER(SEARCH("month",C318)),IFERROR(_xlfn.NUMBERVALUE(SUBSTITUTE(LEFT(TRIM(C318),FIND(" ",TRIM(C318)&amp;" ")-1),",","."),"."),LEFT(SUBSTITUTE(LEFT(TRIM(C318),FIND(" ",TRIM(C318)&amp;" ")-1),",","."),FIND("/",SUBSTITUTE(LEFT(TRIM(C318),FIND(" ",TRIM(C318)&amp;" ")-1),",","."))-1)/MID(SUBSTITUTE(LEFT(TRIM(C318),FIND(" ",TRIM(C318)&amp;" ")-1),",","."),FIND("/",SUBSTITUTE(LEFT(TRIM(C318),FIND(" ",TRIM(C318)&amp;" ")-1),",","."))+1,9)),IF(ISNUMBER(SEARCH("yea",C318)),IFERROR(_xlfn.NUMBERVALUE(SUBSTITUTE(LEFT(TRIM(C318),FIND(" ",TRIM(C318)&amp;" ")-1),",","."),"."),LEFT(SUBSTITUTE(LEFT(TRIM(C318),FIND(" ",TRIM(C318)&amp;" ")-1),",","."),FIND("/",SUBSTITUTE(LEFT(TRIM(C318),FIND(" ",TRIM(C318)&amp;" ")-1),",","."))-1)/MID(SUBSTITUTE(LEFT(TRIM(C318),FIND(" ",TRIM(C318)&amp;" ")-1),",","."),FIND("/",SUBSTITUTE(LEFT(TRIM(C318),FIND(" ",TRIM(C318)&amp;" ")-1),",","."))+1,9))*12,NA()))),0),12)*'Aturan &amp; Tarif'!$B$4,2)</f>
        <v>681.36</v>
      </c>
      <c r="K318" s="42" t="n">
        <f aca="false">'Aturan &amp; Tarif'!$B$5</f>
        <v>2050</v>
      </c>
      <c r="L318" s="42" t="n">
        <f aca="false">'Aturan &amp; Tarif'!$B$6</f>
        <v>350</v>
      </c>
      <c r="M318" s="35" t="n">
        <f aca="false">I318+J318+K318+L318</f>
        <v>21081.36</v>
      </c>
      <c r="N318" s="44" t="s">
        <v>1051</v>
      </c>
    </row>
    <row r="319" customFormat="false" ht="60" hidden="false" customHeight="true" outlineLevel="0" collapsed="false">
      <c r="A319" s="39"/>
      <c r="B319" s="40" t="s">
        <v>348</v>
      </c>
      <c r="C319" s="41" t="s">
        <v>113</v>
      </c>
      <c r="D319" s="41" t="s">
        <v>108</v>
      </c>
      <c r="E319" s="42" t="n">
        <v>9000</v>
      </c>
      <c r="F319" s="42"/>
      <c r="G319" s="42"/>
      <c r="H319" s="43" t="n">
        <v>2</v>
      </c>
      <c r="I319" s="34" t="n">
        <f aca="false">E319*H319+N(F319)+N(G319)</f>
        <v>18000</v>
      </c>
      <c r="J319" s="42" t="n">
        <f aca="false">ROUND(IFERROR(ROUND(IF(OR(ISNUMBER(SEARCH("week",C319)),ISNUMBER(SEARCH("minggu",C319))),IFERROR(_xlfn.NUMBERVALUE(SUBSTITUTE(LEFT(TRIM(C319),FIND(" ",TRIM(C319)&amp;" ")-1),",","."),"."),LEFT(SUBSTITUTE(LEFT(TRIM(C319),FIND(" ",TRIM(C319)&amp;" ")-1),",","."),FIND("/",SUBSTITUTE(LEFT(TRIM(C319),FIND(" ",TRIM(C319)&amp;" ")-1),",","."))-1)/MID(SUBSTITUTE(LEFT(TRIM(C319),FIND(" ",TRIM(C319)&amp;" ")-1),",","."),FIND("/",SUBSTITUTE(LEFT(TRIM(C319),FIND(" ",TRIM(C319)&amp;" ")-1),",","."))+1,9))*12/52,IF(ISNUMBER(SEARCH("month",C319)),IFERROR(_xlfn.NUMBERVALUE(SUBSTITUTE(LEFT(TRIM(C319),FIND(" ",TRIM(C319)&amp;" ")-1),",","."),"."),LEFT(SUBSTITUTE(LEFT(TRIM(C319),FIND(" ",TRIM(C319)&amp;" ")-1),",","."),FIND("/",SUBSTITUTE(LEFT(TRIM(C319),FIND(" ",TRIM(C319)&amp;" ")-1),",","."))-1)/MID(SUBSTITUTE(LEFT(TRIM(C319),FIND(" ",TRIM(C319)&amp;" ")-1),",","."),FIND("/",SUBSTITUTE(LEFT(TRIM(C319),FIND(" ",TRIM(C319)&amp;" ")-1),",","."))+1,9)),IF(ISNUMBER(SEARCH("yea",C319)),IFERROR(_xlfn.NUMBERVALUE(SUBSTITUTE(LEFT(TRIM(C319),FIND(" ",TRIM(C319)&amp;" ")-1),",","."),"."),LEFT(SUBSTITUTE(LEFT(TRIM(C319),FIND(" ",TRIM(C319)&amp;" ")-1),",","."),FIND("/",SUBSTITUTE(LEFT(TRIM(C319),FIND(" ",TRIM(C319)&amp;" ")-1),",","."))-1)/MID(SUBSTITUTE(LEFT(TRIM(C319),FIND(" ",TRIM(C319)&amp;" ")-1),",","."),FIND("/",SUBSTITUTE(LEFT(TRIM(C319),FIND(" ",TRIM(C319)&amp;" ")-1),",","."))+1,9))*12,NA()))),0),18)*'Aturan &amp; Tarif'!$B$4,2)</f>
        <v>1022.04</v>
      </c>
      <c r="K319" s="42" t="n">
        <f aca="false">'Aturan &amp; Tarif'!$B$5</f>
        <v>2050</v>
      </c>
      <c r="L319" s="42" t="n">
        <f aca="false">'Aturan &amp; Tarif'!$B$6</f>
        <v>350</v>
      </c>
      <c r="M319" s="35" t="n">
        <f aca="false">I319+J319+K319+L319</f>
        <v>21422.04</v>
      </c>
      <c r="N319" s="44" t="s">
        <v>1052</v>
      </c>
    </row>
    <row r="320" customFormat="false" ht="60" hidden="false" customHeight="true" outlineLevel="0" collapsed="false">
      <c r="A320" s="39"/>
      <c r="B320" s="40" t="s">
        <v>1053</v>
      </c>
      <c r="C320" s="41" t="s">
        <v>107</v>
      </c>
      <c r="D320" s="41" t="s">
        <v>108</v>
      </c>
      <c r="E320" s="42" t="n">
        <v>9000</v>
      </c>
      <c r="F320" s="42"/>
      <c r="G320" s="42"/>
      <c r="H320" s="43" t="n">
        <v>2</v>
      </c>
      <c r="I320" s="34" t="n">
        <f aca="false">E320*H320+N(F320)+N(G320)</f>
        <v>18000</v>
      </c>
      <c r="J320" s="42" t="n">
        <f aca="false">ROUND(IFERROR(ROUND(IF(OR(ISNUMBER(SEARCH("week",C320)),ISNUMBER(SEARCH("minggu",C320))),IFERROR(_xlfn.NUMBERVALUE(SUBSTITUTE(LEFT(TRIM(C320),FIND(" ",TRIM(C320)&amp;" ")-1),",","."),"."),LEFT(SUBSTITUTE(LEFT(TRIM(C320),FIND(" ",TRIM(C320)&amp;" ")-1),",","."),FIND("/",SUBSTITUTE(LEFT(TRIM(C320),FIND(" ",TRIM(C320)&amp;" ")-1),",","."))-1)/MID(SUBSTITUTE(LEFT(TRIM(C320),FIND(" ",TRIM(C320)&amp;" ")-1),",","."),FIND("/",SUBSTITUTE(LEFT(TRIM(C320),FIND(" ",TRIM(C320)&amp;" ")-1),",","."))+1,9))*12/52,IF(ISNUMBER(SEARCH("month",C320)),IFERROR(_xlfn.NUMBERVALUE(SUBSTITUTE(LEFT(TRIM(C320),FIND(" ",TRIM(C320)&amp;" ")-1),",","."),"."),LEFT(SUBSTITUTE(LEFT(TRIM(C320),FIND(" ",TRIM(C320)&amp;" ")-1),",","."),FIND("/",SUBSTITUTE(LEFT(TRIM(C320),FIND(" ",TRIM(C320)&amp;" ")-1),",","."))-1)/MID(SUBSTITUTE(LEFT(TRIM(C320),FIND(" ",TRIM(C320)&amp;" ")-1),",","."),FIND("/",SUBSTITUTE(LEFT(TRIM(C320),FIND(" ",TRIM(C320)&amp;" ")-1),",","."))+1,9)),IF(ISNUMBER(SEARCH("yea",C320)),IFERROR(_xlfn.NUMBERVALUE(SUBSTITUTE(LEFT(TRIM(C320),FIND(" ",TRIM(C320)&amp;" ")-1),",","."),"."),LEFT(SUBSTITUTE(LEFT(TRIM(C320),FIND(" ",TRIM(C320)&amp;" ")-1),",","."),FIND("/",SUBSTITUTE(LEFT(TRIM(C320),FIND(" ",TRIM(C320)&amp;" ")-1),",","."))-1)/MID(SUBSTITUTE(LEFT(TRIM(C320),FIND(" ",TRIM(C320)&amp;" ")-1),",","."),FIND("/",SUBSTITUTE(LEFT(TRIM(C320),FIND(" ",TRIM(C320)&amp;" ")-1),",","."))+1,9))*12,NA()))),0),24)*'Aturan &amp; Tarif'!$B$4,2)</f>
        <v>1362.72</v>
      </c>
      <c r="K320" s="42" t="n">
        <f aca="false">'Aturan &amp; Tarif'!$B$5</f>
        <v>2050</v>
      </c>
      <c r="L320" s="42" t="n">
        <f aca="false">'Aturan &amp; Tarif'!$B$6</f>
        <v>350</v>
      </c>
      <c r="M320" s="35" t="n">
        <f aca="false">I320+J320+K320+L320</f>
        <v>21762.72</v>
      </c>
      <c r="N320" s="44" t="s">
        <v>1054</v>
      </c>
    </row>
    <row r="321" customFormat="false" ht="60" hidden="false" customHeight="true" outlineLevel="0" collapsed="false">
      <c r="A321" s="39"/>
      <c r="B321" s="40" t="s">
        <v>1055</v>
      </c>
      <c r="C321" s="41" t="s">
        <v>107</v>
      </c>
      <c r="D321" s="41" t="s">
        <v>108</v>
      </c>
      <c r="E321" s="42" t="n">
        <v>9000</v>
      </c>
      <c r="F321" s="42"/>
      <c r="G321" s="42"/>
      <c r="H321" s="43" t="n">
        <v>2</v>
      </c>
      <c r="I321" s="34" t="n">
        <f aca="false">E321*H321+N(F321)+N(G321)</f>
        <v>18000</v>
      </c>
      <c r="J321" s="42" t="n">
        <f aca="false">ROUND(IFERROR(ROUND(IF(OR(ISNUMBER(SEARCH("week",C321)),ISNUMBER(SEARCH("minggu",C321))),IFERROR(_xlfn.NUMBERVALUE(SUBSTITUTE(LEFT(TRIM(C321),FIND(" ",TRIM(C321)&amp;" ")-1),",","."),"."),LEFT(SUBSTITUTE(LEFT(TRIM(C321),FIND(" ",TRIM(C321)&amp;" ")-1),",","."),FIND("/",SUBSTITUTE(LEFT(TRIM(C321),FIND(" ",TRIM(C321)&amp;" ")-1),",","."))-1)/MID(SUBSTITUTE(LEFT(TRIM(C321),FIND(" ",TRIM(C321)&amp;" ")-1),",","."),FIND("/",SUBSTITUTE(LEFT(TRIM(C321),FIND(" ",TRIM(C321)&amp;" ")-1),",","."))+1,9))*12/52,IF(ISNUMBER(SEARCH("month",C321)),IFERROR(_xlfn.NUMBERVALUE(SUBSTITUTE(LEFT(TRIM(C321),FIND(" ",TRIM(C321)&amp;" ")-1),",","."),"."),LEFT(SUBSTITUTE(LEFT(TRIM(C321),FIND(" ",TRIM(C321)&amp;" ")-1),",","."),FIND("/",SUBSTITUTE(LEFT(TRIM(C321),FIND(" ",TRIM(C321)&amp;" ")-1),",","."))-1)/MID(SUBSTITUTE(LEFT(TRIM(C321),FIND(" ",TRIM(C321)&amp;" ")-1),",","."),FIND("/",SUBSTITUTE(LEFT(TRIM(C321),FIND(" ",TRIM(C321)&amp;" ")-1),",","."))+1,9)),IF(ISNUMBER(SEARCH("yea",C321)),IFERROR(_xlfn.NUMBERVALUE(SUBSTITUTE(LEFT(TRIM(C321),FIND(" ",TRIM(C321)&amp;" ")-1),",","."),"."),LEFT(SUBSTITUTE(LEFT(TRIM(C321),FIND(" ",TRIM(C321)&amp;" ")-1),",","."),FIND("/",SUBSTITUTE(LEFT(TRIM(C321),FIND(" ",TRIM(C321)&amp;" ")-1),",","."))-1)/MID(SUBSTITUTE(LEFT(TRIM(C321),FIND(" ",TRIM(C321)&amp;" ")-1),",","."),FIND("/",SUBSTITUTE(LEFT(TRIM(C321),FIND(" ",TRIM(C321)&amp;" ")-1),",","."))+1,9))*12,NA()))),0),24)*'Aturan &amp; Tarif'!$B$4,2)</f>
        <v>1362.72</v>
      </c>
      <c r="K321" s="42" t="n">
        <f aca="false">'Aturan &amp; Tarif'!$B$5</f>
        <v>2050</v>
      </c>
      <c r="L321" s="42" t="n">
        <f aca="false">'Aturan &amp; Tarif'!$B$6</f>
        <v>350</v>
      </c>
      <c r="M321" s="35" t="n">
        <f aca="false">I321+J321+K321+L321</f>
        <v>21762.72</v>
      </c>
      <c r="N321" s="44" t="s">
        <v>1056</v>
      </c>
    </row>
    <row r="322" customFormat="false" ht="60" hidden="false" customHeight="true" outlineLevel="0" collapsed="false">
      <c r="A322" s="39"/>
      <c r="B322" s="40" t="s">
        <v>1057</v>
      </c>
      <c r="C322" s="41" t="s">
        <v>107</v>
      </c>
      <c r="D322" s="41" t="s">
        <v>108</v>
      </c>
      <c r="E322" s="42" t="n">
        <v>7950</v>
      </c>
      <c r="F322" s="42"/>
      <c r="G322" s="42"/>
      <c r="H322" s="43" t="n">
        <v>2</v>
      </c>
      <c r="I322" s="34" t="n">
        <f aca="false">E322*H322+N(F322)+N(G322)</f>
        <v>15900</v>
      </c>
      <c r="J322" s="42" t="n">
        <f aca="false">ROUND(IFERROR(ROUND(IF(OR(ISNUMBER(SEARCH("week",C322)),ISNUMBER(SEARCH("minggu",C322))),IFERROR(_xlfn.NUMBERVALUE(SUBSTITUTE(LEFT(TRIM(C322),FIND(" ",TRIM(C322)&amp;" ")-1),",","."),"."),LEFT(SUBSTITUTE(LEFT(TRIM(C322),FIND(" ",TRIM(C322)&amp;" ")-1),",","."),FIND("/",SUBSTITUTE(LEFT(TRIM(C322),FIND(" ",TRIM(C322)&amp;" ")-1),",","."))-1)/MID(SUBSTITUTE(LEFT(TRIM(C322),FIND(" ",TRIM(C322)&amp;" ")-1),",","."),FIND("/",SUBSTITUTE(LEFT(TRIM(C322),FIND(" ",TRIM(C322)&amp;" ")-1),",","."))+1,9))*12/52,IF(ISNUMBER(SEARCH("month",C322)),IFERROR(_xlfn.NUMBERVALUE(SUBSTITUTE(LEFT(TRIM(C322),FIND(" ",TRIM(C322)&amp;" ")-1),",","."),"."),LEFT(SUBSTITUTE(LEFT(TRIM(C322),FIND(" ",TRIM(C322)&amp;" ")-1),",","."),FIND("/",SUBSTITUTE(LEFT(TRIM(C322),FIND(" ",TRIM(C322)&amp;" ")-1),",","."))-1)/MID(SUBSTITUTE(LEFT(TRIM(C322),FIND(" ",TRIM(C322)&amp;" ")-1),",","."),FIND("/",SUBSTITUTE(LEFT(TRIM(C322),FIND(" ",TRIM(C322)&amp;" ")-1),",","."))+1,9)),IF(ISNUMBER(SEARCH("yea",C322)),IFERROR(_xlfn.NUMBERVALUE(SUBSTITUTE(LEFT(TRIM(C322),FIND(" ",TRIM(C322)&amp;" ")-1),",","."),"."),LEFT(SUBSTITUTE(LEFT(TRIM(C322),FIND(" ",TRIM(C322)&amp;" ")-1),",","."),FIND("/",SUBSTITUTE(LEFT(TRIM(C322),FIND(" ",TRIM(C322)&amp;" ")-1),",","."))-1)/MID(SUBSTITUTE(LEFT(TRIM(C322),FIND(" ",TRIM(C322)&amp;" ")-1),",","."),FIND("/",SUBSTITUTE(LEFT(TRIM(C322),FIND(" ",TRIM(C322)&amp;" ")-1),",","."))+1,9))*12,NA()))),0),24)*'Aturan &amp; Tarif'!$B$4,2)</f>
        <v>1362.72</v>
      </c>
      <c r="K322" s="42" t="n">
        <f aca="false">'Aturan &amp; Tarif'!$B$5</f>
        <v>2050</v>
      </c>
      <c r="L322" s="42" t="n">
        <f aca="false">'Aturan &amp; Tarif'!$B$6</f>
        <v>350</v>
      </c>
      <c r="M322" s="35" t="n">
        <f aca="false">I322+J322+K322+L322</f>
        <v>19662.72</v>
      </c>
      <c r="N322" s="44" t="s">
        <v>1058</v>
      </c>
    </row>
    <row r="323" customFormat="false" ht="60" hidden="false" customHeight="true" outlineLevel="0" collapsed="false">
      <c r="A323" s="39"/>
      <c r="B323" s="40" t="s">
        <v>1059</v>
      </c>
      <c r="C323" s="41" t="s">
        <v>113</v>
      </c>
      <c r="D323" s="41" t="s">
        <v>108</v>
      </c>
      <c r="E323" s="42" t="n">
        <v>9000</v>
      </c>
      <c r="F323" s="42"/>
      <c r="G323" s="42"/>
      <c r="H323" s="43" t="n">
        <v>2</v>
      </c>
      <c r="I323" s="34" t="n">
        <f aca="false">E323*H323+N(F323)+N(G323)</f>
        <v>18000</v>
      </c>
      <c r="J323" s="42" t="n">
        <f aca="false">ROUND(IFERROR(ROUND(IF(OR(ISNUMBER(SEARCH("week",C323)),ISNUMBER(SEARCH("minggu",C323))),IFERROR(_xlfn.NUMBERVALUE(SUBSTITUTE(LEFT(TRIM(C323),FIND(" ",TRIM(C323)&amp;" ")-1),",","."),"."),LEFT(SUBSTITUTE(LEFT(TRIM(C323),FIND(" ",TRIM(C323)&amp;" ")-1),",","."),FIND("/",SUBSTITUTE(LEFT(TRIM(C323),FIND(" ",TRIM(C323)&amp;" ")-1),",","."))-1)/MID(SUBSTITUTE(LEFT(TRIM(C323),FIND(" ",TRIM(C323)&amp;" ")-1),",","."),FIND("/",SUBSTITUTE(LEFT(TRIM(C323),FIND(" ",TRIM(C323)&amp;" ")-1),",","."))+1,9))*12/52,IF(ISNUMBER(SEARCH("month",C323)),IFERROR(_xlfn.NUMBERVALUE(SUBSTITUTE(LEFT(TRIM(C323),FIND(" ",TRIM(C323)&amp;" ")-1),",","."),"."),LEFT(SUBSTITUTE(LEFT(TRIM(C323),FIND(" ",TRIM(C323)&amp;" ")-1),",","."),FIND("/",SUBSTITUTE(LEFT(TRIM(C323),FIND(" ",TRIM(C323)&amp;" ")-1),",","."))-1)/MID(SUBSTITUTE(LEFT(TRIM(C323),FIND(" ",TRIM(C323)&amp;" ")-1),",","."),FIND("/",SUBSTITUTE(LEFT(TRIM(C323),FIND(" ",TRIM(C323)&amp;" ")-1),",","."))+1,9)),IF(ISNUMBER(SEARCH("yea",C323)),IFERROR(_xlfn.NUMBERVALUE(SUBSTITUTE(LEFT(TRIM(C323),FIND(" ",TRIM(C323)&amp;" ")-1),",","."),"."),LEFT(SUBSTITUTE(LEFT(TRIM(C323),FIND(" ",TRIM(C323)&amp;" ")-1),",","."),FIND("/",SUBSTITUTE(LEFT(TRIM(C323),FIND(" ",TRIM(C323)&amp;" ")-1),",","."))-1)/MID(SUBSTITUTE(LEFT(TRIM(C323),FIND(" ",TRIM(C323)&amp;" ")-1),",","."),FIND("/",SUBSTITUTE(LEFT(TRIM(C323),FIND(" ",TRIM(C323)&amp;" ")-1),",","."))+1,9))*12,NA()))),0),18)*'Aturan &amp; Tarif'!$B$4,2)</f>
        <v>1022.04</v>
      </c>
      <c r="K323" s="42" t="n">
        <f aca="false">'Aturan &amp; Tarif'!$B$5</f>
        <v>2050</v>
      </c>
      <c r="L323" s="42" t="n">
        <f aca="false">'Aturan &amp; Tarif'!$B$6</f>
        <v>350</v>
      </c>
      <c r="M323" s="35" t="n">
        <f aca="false">I323+J323+K323+L323</f>
        <v>21422.04</v>
      </c>
      <c r="N323" s="44" t="s">
        <v>1060</v>
      </c>
    </row>
    <row r="324" customFormat="false" ht="60" hidden="false" customHeight="true" outlineLevel="0" collapsed="false">
      <c r="A324" s="39"/>
      <c r="B324" s="40" t="s">
        <v>1061</v>
      </c>
      <c r="C324" s="41" t="s">
        <v>107</v>
      </c>
      <c r="D324" s="41" t="s">
        <v>108</v>
      </c>
      <c r="E324" s="42" t="n">
        <v>9000</v>
      </c>
      <c r="F324" s="42"/>
      <c r="G324" s="42"/>
      <c r="H324" s="43" t="n">
        <v>2</v>
      </c>
      <c r="I324" s="34" t="n">
        <f aca="false">E324*H324+N(F324)+N(G324)</f>
        <v>18000</v>
      </c>
      <c r="J324" s="42" t="n">
        <f aca="false">ROUND(IFERROR(ROUND(IF(OR(ISNUMBER(SEARCH("week",C324)),ISNUMBER(SEARCH("minggu",C324))),IFERROR(_xlfn.NUMBERVALUE(SUBSTITUTE(LEFT(TRIM(C324),FIND(" ",TRIM(C324)&amp;" ")-1),",","."),"."),LEFT(SUBSTITUTE(LEFT(TRIM(C324),FIND(" ",TRIM(C324)&amp;" ")-1),",","."),FIND("/",SUBSTITUTE(LEFT(TRIM(C324),FIND(" ",TRIM(C324)&amp;" ")-1),",","."))-1)/MID(SUBSTITUTE(LEFT(TRIM(C324),FIND(" ",TRIM(C324)&amp;" ")-1),",","."),FIND("/",SUBSTITUTE(LEFT(TRIM(C324),FIND(" ",TRIM(C324)&amp;" ")-1),",","."))+1,9))*12/52,IF(ISNUMBER(SEARCH("month",C324)),IFERROR(_xlfn.NUMBERVALUE(SUBSTITUTE(LEFT(TRIM(C324),FIND(" ",TRIM(C324)&amp;" ")-1),",","."),"."),LEFT(SUBSTITUTE(LEFT(TRIM(C324),FIND(" ",TRIM(C324)&amp;" ")-1),",","."),FIND("/",SUBSTITUTE(LEFT(TRIM(C324),FIND(" ",TRIM(C324)&amp;" ")-1),",","."))-1)/MID(SUBSTITUTE(LEFT(TRIM(C324),FIND(" ",TRIM(C324)&amp;" ")-1),",","."),FIND("/",SUBSTITUTE(LEFT(TRIM(C324),FIND(" ",TRIM(C324)&amp;" ")-1),",","."))+1,9)),IF(ISNUMBER(SEARCH("yea",C324)),IFERROR(_xlfn.NUMBERVALUE(SUBSTITUTE(LEFT(TRIM(C324),FIND(" ",TRIM(C324)&amp;" ")-1),",","."),"."),LEFT(SUBSTITUTE(LEFT(TRIM(C324),FIND(" ",TRIM(C324)&amp;" ")-1),",","."),FIND("/",SUBSTITUTE(LEFT(TRIM(C324),FIND(" ",TRIM(C324)&amp;" ")-1),",","."))-1)/MID(SUBSTITUTE(LEFT(TRIM(C324),FIND(" ",TRIM(C324)&amp;" ")-1),",","."),FIND("/",SUBSTITUTE(LEFT(TRIM(C324),FIND(" ",TRIM(C324)&amp;" ")-1),",","."))+1,9))*12,NA()))),0),24)*'Aturan &amp; Tarif'!$B$4,2)</f>
        <v>1362.72</v>
      </c>
      <c r="K324" s="42" t="n">
        <f aca="false">'Aturan &amp; Tarif'!$B$5</f>
        <v>2050</v>
      </c>
      <c r="L324" s="42" t="n">
        <f aca="false">'Aturan &amp; Tarif'!$B$6</f>
        <v>350</v>
      </c>
      <c r="M324" s="35" t="n">
        <f aca="false">I324+J324+K324+L324</f>
        <v>21762.72</v>
      </c>
      <c r="N324" s="44" t="s">
        <v>1062</v>
      </c>
    </row>
    <row r="325" customFormat="false" ht="14.25" hidden="false" customHeight="true" outlineLevel="0" collapsed="false">
      <c r="A325" s="39"/>
      <c r="B325" s="40" t="s">
        <v>1063</v>
      </c>
      <c r="C325" s="41" t="s">
        <v>130</v>
      </c>
      <c r="D325" s="41" t="s">
        <v>108</v>
      </c>
      <c r="E325" s="42" t="n">
        <v>4500</v>
      </c>
      <c r="F325" s="42"/>
      <c r="G325" s="42"/>
      <c r="H325" s="43" t="n">
        <v>2</v>
      </c>
      <c r="I325" s="34" t="n">
        <f aca="false">E325*H325+N(F325)+N(G325)</f>
        <v>9000</v>
      </c>
      <c r="J325" s="42" t="n">
        <f aca="false">ROUND(IFERROR(ROUND(IF(OR(ISNUMBER(SEARCH("week",C325)),ISNUMBER(SEARCH("minggu",C325))),IFERROR(_xlfn.NUMBERVALUE(SUBSTITUTE(LEFT(TRIM(C325),FIND(" ",TRIM(C325)&amp;" ")-1),",","."),"."),LEFT(SUBSTITUTE(LEFT(TRIM(C325),FIND(" ",TRIM(C325)&amp;" ")-1),",","."),FIND("/",SUBSTITUTE(LEFT(TRIM(C325),FIND(" ",TRIM(C325)&amp;" ")-1),",","."))-1)/MID(SUBSTITUTE(LEFT(TRIM(C325),FIND(" ",TRIM(C325)&amp;" ")-1),",","."),FIND("/",SUBSTITUTE(LEFT(TRIM(C325),FIND(" ",TRIM(C325)&amp;" ")-1),",","."))+1,9))*12/52,IF(ISNUMBER(SEARCH("month",C325)),IFERROR(_xlfn.NUMBERVALUE(SUBSTITUTE(LEFT(TRIM(C325),FIND(" ",TRIM(C325)&amp;" ")-1),",","."),"."),LEFT(SUBSTITUTE(LEFT(TRIM(C325),FIND(" ",TRIM(C325)&amp;" ")-1),",","."),FIND("/",SUBSTITUTE(LEFT(TRIM(C325),FIND(" ",TRIM(C325)&amp;" ")-1),",","."))-1)/MID(SUBSTITUTE(LEFT(TRIM(C325),FIND(" ",TRIM(C325)&amp;" ")-1),",","."),FIND("/",SUBSTITUTE(LEFT(TRIM(C325),FIND(" ",TRIM(C325)&amp;" ")-1),",","."))+1,9)),IF(ISNUMBER(SEARCH("yea",C325)),IFERROR(_xlfn.NUMBERVALUE(SUBSTITUTE(LEFT(TRIM(C325),FIND(" ",TRIM(C325)&amp;" ")-1),",","."),"."),LEFT(SUBSTITUTE(LEFT(TRIM(C325),FIND(" ",TRIM(C325)&amp;" ")-1),",","."),FIND("/",SUBSTITUTE(LEFT(TRIM(C325),FIND(" ",TRIM(C325)&amp;" ")-1),",","."))-1)/MID(SUBSTITUTE(LEFT(TRIM(C325),FIND(" ",TRIM(C325)&amp;" ")-1),",","."),FIND("/",SUBSTITUTE(LEFT(TRIM(C325),FIND(" ",TRIM(C325)&amp;" ")-1),",","."))+1,9))*12,NA()))),0),12)*'Aturan &amp; Tarif'!$B$4,2)</f>
        <v>681.36</v>
      </c>
      <c r="K325" s="42" t="n">
        <f aca="false">'Aturan &amp; Tarif'!$B$5</f>
        <v>2050</v>
      </c>
      <c r="L325" s="42" t="n">
        <f aca="false">'Aturan &amp; Tarif'!$B$6</f>
        <v>350</v>
      </c>
      <c r="M325" s="35" t="n">
        <f aca="false">I325+J325+K325+L325</f>
        <v>12081.36</v>
      </c>
      <c r="N325" s="45" t="s">
        <v>1064</v>
      </c>
    </row>
    <row r="326" customFormat="false" ht="25.5" hidden="false" customHeight="true" outlineLevel="0" collapsed="false">
      <c r="A326" s="39"/>
      <c r="B326" s="40" t="s">
        <v>1065</v>
      </c>
      <c r="C326" s="41" t="s">
        <v>130</v>
      </c>
      <c r="D326" s="41" t="s">
        <v>108</v>
      </c>
      <c r="E326" s="42" t="n">
        <v>4500</v>
      </c>
      <c r="F326" s="42"/>
      <c r="G326" s="42"/>
      <c r="H326" s="43" t="n">
        <v>2</v>
      </c>
      <c r="I326" s="34" t="n">
        <f aca="false">E326*H326+N(F326)+N(G326)</f>
        <v>9000</v>
      </c>
      <c r="J326" s="42" t="n">
        <f aca="false">ROUND(IFERROR(ROUND(IF(OR(ISNUMBER(SEARCH("week",C326)),ISNUMBER(SEARCH("minggu",C326))),IFERROR(_xlfn.NUMBERVALUE(SUBSTITUTE(LEFT(TRIM(C326),FIND(" ",TRIM(C326)&amp;" ")-1),",","."),"."),LEFT(SUBSTITUTE(LEFT(TRIM(C326),FIND(" ",TRIM(C326)&amp;" ")-1),",","."),FIND("/",SUBSTITUTE(LEFT(TRIM(C326),FIND(" ",TRIM(C326)&amp;" ")-1),",","."))-1)/MID(SUBSTITUTE(LEFT(TRIM(C326),FIND(" ",TRIM(C326)&amp;" ")-1),",","."),FIND("/",SUBSTITUTE(LEFT(TRIM(C326),FIND(" ",TRIM(C326)&amp;" ")-1),",","."))+1,9))*12/52,IF(ISNUMBER(SEARCH("month",C326)),IFERROR(_xlfn.NUMBERVALUE(SUBSTITUTE(LEFT(TRIM(C326),FIND(" ",TRIM(C326)&amp;" ")-1),",","."),"."),LEFT(SUBSTITUTE(LEFT(TRIM(C326),FIND(" ",TRIM(C326)&amp;" ")-1),",","."),FIND("/",SUBSTITUTE(LEFT(TRIM(C326),FIND(" ",TRIM(C326)&amp;" ")-1),",","."))-1)/MID(SUBSTITUTE(LEFT(TRIM(C326),FIND(" ",TRIM(C326)&amp;" ")-1),",","."),FIND("/",SUBSTITUTE(LEFT(TRIM(C326),FIND(" ",TRIM(C326)&amp;" ")-1),",","."))+1,9)),IF(ISNUMBER(SEARCH("yea",C326)),IFERROR(_xlfn.NUMBERVALUE(SUBSTITUTE(LEFT(TRIM(C326),FIND(" ",TRIM(C326)&amp;" ")-1),",","."),"."),LEFT(SUBSTITUTE(LEFT(TRIM(C326),FIND(" ",TRIM(C326)&amp;" ")-1),",","."),FIND("/",SUBSTITUTE(LEFT(TRIM(C326),FIND(" ",TRIM(C326)&amp;" ")-1),",","."))-1)/MID(SUBSTITUTE(LEFT(TRIM(C326),FIND(" ",TRIM(C326)&amp;" ")-1),",","."),FIND("/",SUBSTITUTE(LEFT(TRIM(C326),FIND(" ",TRIM(C326)&amp;" ")-1),",","."))+1,9))*12,NA()))),0),12)*'Aturan &amp; Tarif'!$B$4,2)</f>
        <v>681.36</v>
      </c>
      <c r="K326" s="42" t="n">
        <f aca="false">'Aturan &amp; Tarif'!$B$5</f>
        <v>2050</v>
      </c>
      <c r="L326" s="42" t="n">
        <f aca="false">'Aturan &amp; Tarif'!$B$6</f>
        <v>350</v>
      </c>
      <c r="M326" s="35" t="n">
        <f aca="false">I326+J326+K326+L326</f>
        <v>12081.36</v>
      </c>
      <c r="N326" s="45" t="s">
        <v>1066</v>
      </c>
    </row>
    <row r="327" customFormat="false" ht="14.25" hidden="false" customHeight="true" outlineLevel="0" collapsed="false">
      <c r="A327" s="39"/>
      <c r="B327" s="40" t="s">
        <v>1067</v>
      </c>
      <c r="C327" s="41" t="s">
        <v>130</v>
      </c>
      <c r="D327" s="41" t="s">
        <v>108</v>
      </c>
      <c r="E327" s="42" t="n">
        <v>9000</v>
      </c>
      <c r="F327" s="42"/>
      <c r="G327" s="42"/>
      <c r="H327" s="43" t="n">
        <v>2</v>
      </c>
      <c r="I327" s="34" t="n">
        <f aca="false">E327*H327+N(F327)+N(G327)</f>
        <v>18000</v>
      </c>
      <c r="J327" s="42" t="n">
        <f aca="false">ROUND(IFERROR(ROUND(IF(OR(ISNUMBER(SEARCH("week",C327)),ISNUMBER(SEARCH("minggu",C327))),IFERROR(_xlfn.NUMBERVALUE(SUBSTITUTE(LEFT(TRIM(C327),FIND(" ",TRIM(C327)&amp;" ")-1),",","."),"."),LEFT(SUBSTITUTE(LEFT(TRIM(C327),FIND(" ",TRIM(C327)&amp;" ")-1),",","."),FIND("/",SUBSTITUTE(LEFT(TRIM(C327),FIND(" ",TRIM(C327)&amp;" ")-1),",","."))-1)/MID(SUBSTITUTE(LEFT(TRIM(C327),FIND(" ",TRIM(C327)&amp;" ")-1),",","."),FIND("/",SUBSTITUTE(LEFT(TRIM(C327),FIND(" ",TRIM(C327)&amp;" ")-1),",","."))+1,9))*12/52,IF(ISNUMBER(SEARCH("month",C327)),IFERROR(_xlfn.NUMBERVALUE(SUBSTITUTE(LEFT(TRIM(C327),FIND(" ",TRIM(C327)&amp;" ")-1),",","."),"."),LEFT(SUBSTITUTE(LEFT(TRIM(C327),FIND(" ",TRIM(C327)&amp;" ")-1),",","."),FIND("/",SUBSTITUTE(LEFT(TRIM(C327),FIND(" ",TRIM(C327)&amp;" ")-1),",","."))-1)/MID(SUBSTITUTE(LEFT(TRIM(C327),FIND(" ",TRIM(C327)&amp;" ")-1),",","."),FIND("/",SUBSTITUTE(LEFT(TRIM(C327),FIND(" ",TRIM(C327)&amp;" ")-1),",","."))+1,9)),IF(ISNUMBER(SEARCH("yea",C327)),IFERROR(_xlfn.NUMBERVALUE(SUBSTITUTE(LEFT(TRIM(C327),FIND(" ",TRIM(C327)&amp;" ")-1),",","."),"."),LEFT(SUBSTITUTE(LEFT(TRIM(C327),FIND(" ",TRIM(C327)&amp;" ")-1),",","."),FIND("/",SUBSTITUTE(LEFT(TRIM(C327),FIND(" ",TRIM(C327)&amp;" ")-1),",","."))-1)/MID(SUBSTITUTE(LEFT(TRIM(C327),FIND(" ",TRIM(C327)&amp;" ")-1),",","."),FIND("/",SUBSTITUTE(LEFT(TRIM(C327),FIND(" ",TRIM(C327)&amp;" ")-1),",","."))+1,9))*12,NA()))),0),12)*'Aturan &amp; Tarif'!$B$4,2)</f>
        <v>681.36</v>
      </c>
      <c r="K327" s="42" t="n">
        <f aca="false">'Aturan &amp; Tarif'!$B$5</f>
        <v>2050</v>
      </c>
      <c r="L327" s="42" t="n">
        <f aca="false">'Aturan &amp; Tarif'!$B$6</f>
        <v>350</v>
      </c>
      <c r="M327" s="35" t="n">
        <f aca="false">I327+J327+K327+L327</f>
        <v>21081.36</v>
      </c>
      <c r="N327" s="45" t="s">
        <v>1068</v>
      </c>
    </row>
    <row r="328" customFormat="false" ht="60" hidden="false" customHeight="true" outlineLevel="0" collapsed="false">
      <c r="A328" s="39"/>
      <c r="B328" s="40" t="s">
        <v>1069</v>
      </c>
      <c r="C328" s="41" t="s">
        <v>130</v>
      </c>
      <c r="D328" s="41" t="s">
        <v>108</v>
      </c>
      <c r="E328" s="42" t="n">
        <v>9000</v>
      </c>
      <c r="F328" s="42"/>
      <c r="G328" s="42"/>
      <c r="H328" s="43" t="n">
        <v>2</v>
      </c>
      <c r="I328" s="34" t="n">
        <f aca="false">E328*H328+N(F328)+N(G328)</f>
        <v>18000</v>
      </c>
      <c r="J328" s="42" t="n">
        <f aca="false">ROUND(IFERROR(ROUND(IF(OR(ISNUMBER(SEARCH("week",C328)),ISNUMBER(SEARCH("minggu",C328))),IFERROR(_xlfn.NUMBERVALUE(SUBSTITUTE(LEFT(TRIM(C328),FIND(" ",TRIM(C328)&amp;" ")-1),",","."),"."),LEFT(SUBSTITUTE(LEFT(TRIM(C328),FIND(" ",TRIM(C328)&amp;" ")-1),",","."),FIND("/",SUBSTITUTE(LEFT(TRIM(C328),FIND(" ",TRIM(C328)&amp;" ")-1),",","."))-1)/MID(SUBSTITUTE(LEFT(TRIM(C328),FIND(" ",TRIM(C328)&amp;" ")-1),",","."),FIND("/",SUBSTITUTE(LEFT(TRIM(C328),FIND(" ",TRIM(C328)&amp;" ")-1),",","."))+1,9))*12/52,IF(ISNUMBER(SEARCH("month",C328)),IFERROR(_xlfn.NUMBERVALUE(SUBSTITUTE(LEFT(TRIM(C328),FIND(" ",TRIM(C328)&amp;" ")-1),",","."),"."),LEFT(SUBSTITUTE(LEFT(TRIM(C328),FIND(" ",TRIM(C328)&amp;" ")-1),",","."),FIND("/",SUBSTITUTE(LEFT(TRIM(C328),FIND(" ",TRIM(C328)&amp;" ")-1),",","."))-1)/MID(SUBSTITUTE(LEFT(TRIM(C328),FIND(" ",TRIM(C328)&amp;" ")-1),",","."),FIND("/",SUBSTITUTE(LEFT(TRIM(C328),FIND(" ",TRIM(C328)&amp;" ")-1),",","."))+1,9)),IF(ISNUMBER(SEARCH("yea",C328)),IFERROR(_xlfn.NUMBERVALUE(SUBSTITUTE(LEFT(TRIM(C328),FIND(" ",TRIM(C328)&amp;" ")-1),",","."),"."),LEFT(SUBSTITUTE(LEFT(TRIM(C328),FIND(" ",TRIM(C328)&amp;" ")-1),",","."),FIND("/",SUBSTITUTE(LEFT(TRIM(C328),FIND(" ",TRIM(C328)&amp;" ")-1),",","."))-1)/MID(SUBSTITUTE(LEFT(TRIM(C328),FIND(" ",TRIM(C328)&amp;" ")-1),",","."),FIND("/",SUBSTITUTE(LEFT(TRIM(C328),FIND(" ",TRIM(C328)&amp;" ")-1),",","."))+1,9))*12,NA()))),0),12)*'Aturan &amp; Tarif'!$B$4,2)</f>
        <v>681.36</v>
      </c>
      <c r="K328" s="42" t="n">
        <f aca="false">'Aturan &amp; Tarif'!$B$5</f>
        <v>2050</v>
      </c>
      <c r="L328" s="42" t="n">
        <f aca="false">'Aturan &amp; Tarif'!$B$6</f>
        <v>350</v>
      </c>
      <c r="M328" s="35" t="n">
        <f aca="false">I328+J328+K328+L328</f>
        <v>21081.36</v>
      </c>
      <c r="N328" s="44" t="s">
        <v>1036</v>
      </c>
    </row>
    <row r="329" customFormat="false" ht="60" hidden="false" customHeight="true" outlineLevel="0" collapsed="false">
      <c r="A329" s="39"/>
      <c r="B329" s="40" t="s">
        <v>1070</v>
      </c>
      <c r="C329" s="41" t="s">
        <v>107</v>
      </c>
      <c r="D329" s="41" t="s">
        <v>108</v>
      </c>
      <c r="E329" s="42" t="n">
        <v>9000</v>
      </c>
      <c r="F329" s="42"/>
      <c r="G329" s="42"/>
      <c r="H329" s="43" t="n">
        <v>2</v>
      </c>
      <c r="I329" s="34" t="n">
        <f aca="false">E329*H329+N(F329)+N(G329)</f>
        <v>18000</v>
      </c>
      <c r="J329" s="42" t="n">
        <f aca="false">ROUND(IFERROR(ROUND(IF(OR(ISNUMBER(SEARCH("week",C329)),ISNUMBER(SEARCH("minggu",C329))),IFERROR(_xlfn.NUMBERVALUE(SUBSTITUTE(LEFT(TRIM(C329),FIND(" ",TRIM(C329)&amp;" ")-1),",","."),"."),LEFT(SUBSTITUTE(LEFT(TRIM(C329),FIND(" ",TRIM(C329)&amp;" ")-1),",","."),FIND("/",SUBSTITUTE(LEFT(TRIM(C329),FIND(" ",TRIM(C329)&amp;" ")-1),",","."))-1)/MID(SUBSTITUTE(LEFT(TRIM(C329),FIND(" ",TRIM(C329)&amp;" ")-1),",","."),FIND("/",SUBSTITUTE(LEFT(TRIM(C329),FIND(" ",TRIM(C329)&amp;" ")-1),",","."))+1,9))*12/52,IF(ISNUMBER(SEARCH("month",C329)),IFERROR(_xlfn.NUMBERVALUE(SUBSTITUTE(LEFT(TRIM(C329),FIND(" ",TRIM(C329)&amp;" ")-1),",","."),"."),LEFT(SUBSTITUTE(LEFT(TRIM(C329),FIND(" ",TRIM(C329)&amp;" ")-1),",","."),FIND("/",SUBSTITUTE(LEFT(TRIM(C329),FIND(" ",TRIM(C329)&amp;" ")-1),",","."))-1)/MID(SUBSTITUTE(LEFT(TRIM(C329),FIND(" ",TRIM(C329)&amp;" ")-1),",","."),FIND("/",SUBSTITUTE(LEFT(TRIM(C329),FIND(" ",TRIM(C329)&amp;" ")-1),",","."))+1,9)),IF(ISNUMBER(SEARCH("yea",C329)),IFERROR(_xlfn.NUMBERVALUE(SUBSTITUTE(LEFT(TRIM(C329),FIND(" ",TRIM(C329)&amp;" ")-1),",","."),"."),LEFT(SUBSTITUTE(LEFT(TRIM(C329),FIND(" ",TRIM(C329)&amp;" ")-1),",","."),FIND("/",SUBSTITUTE(LEFT(TRIM(C329),FIND(" ",TRIM(C329)&amp;" ")-1),",","."))-1)/MID(SUBSTITUTE(LEFT(TRIM(C329),FIND(" ",TRIM(C329)&amp;" ")-1),",","."),FIND("/",SUBSTITUTE(LEFT(TRIM(C329),FIND(" ",TRIM(C329)&amp;" ")-1),",","."))+1,9))*12,NA()))),0),24)*'Aturan &amp; Tarif'!$B$4,2)</f>
        <v>1362.72</v>
      </c>
      <c r="K329" s="42" t="n">
        <f aca="false">'Aturan &amp; Tarif'!$B$5</f>
        <v>2050</v>
      </c>
      <c r="L329" s="42" t="n">
        <f aca="false">'Aturan &amp; Tarif'!$B$6</f>
        <v>350</v>
      </c>
      <c r="M329" s="35" t="n">
        <f aca="false">I329+J329+K329+L329</f>
        <v>21762.72</v>
      </c>
      <c r="N329" s="44" t="s">
        <v>1036</v>
      </c>
    </row>
    <row r="330" customFormat="false" ht="60" hidden="false" customHeight="true" outlineLevel="0" collapsed="false">
      <c r="A330" s="39"/>
      <c r="B330" s="40" t="s">
        <v>1071</v>
      </c>
      <c r="C330" s="41" t="s">
        <v>107</v>
      </c>
      <c r="D330" s="41" t="s">
        <v>108</v>
      </c>
      <c r="E330" s="42" t="n">
        <v>9000</v>
      </c>
      <c r="F330" s="42"/>
      <c r="G330" s="42"/>
      <c r="H330" s="43" t="n">
        <v>2</v>
      </c>
      <c r="I330" s="34" t="n">
        <f aca="false">E330*H330+N(F330)+N(G330)</f>
        <v>18000</v>
      </c>
      <c r="J330" s="42" t="n">
        <f aca="false">ROUND(IFERROR(ROUND(IF(OR(ISNUMBER(SEARCH("week",C330)),ISNUMBER(SEARCH("minggu",C330))),IFERROR(_xlfn.NUMBERVALUE(SUBSTITUTE(LEFT(TRIM(C330),FIND(" ",TRIM(C330)&amp;" ")-1),",","."),"."),LEFT(SUBSTITUTE(LEFT(TRIM(C330),FIND(" ",TRIM(C330)&amp;" ")-1),",","."),FIND("/",SUBSTITUTE(LEFT(TRIM(C330),FIND(" ",TRIM(C330)&amp;" ")-1),",","."))-1)/MID(SUBSTITUTE(LEFT(TRIM(C330),FIND(" ",TRIM(C330)&amp;" ")-1),",","."),FIND("/",SUBSTITUTE(LEFT(TRIM(C330),FIND(" ",TRIM(C330)&amp;" ")-1),",","."))+1,9))*12/52,IF(ISNUMBER(SEARCH("month",C330)),IFERROR(_xlfn.NUMBERVALUE(SUBSTITUTE(LEFT(TRIM(C330),FIND(" ",TRIM(C330)&amp;" ")-1),",","."),"."),LEFT(SUBSTITUTE(LEFT(TRIM(C330),FIND(" ",TRIM(C330)&amp;" ")-1),",","."),FIND("/",SUBSTITUTE(LEFT(TRIM(C330),FIND(" ",TRIM(C330)&amp;" ")-1),",","."))-1)/MID(SUBSTITUTE(LEFT(TRIM(C330),FIND(" ",TRIM(C330)&amp;" ")-1),",","."),FIND("/",SUBSTITUTE(LEFT(TRIM(C330),FIND(" ",TRIM(C330)&amp;" ")-1),",","."))+1,9)),IF(ISNUMBER(SEARCH("yea",C330)),IFERROR(_xlfn.NUMBERVALUE(SUBSTITUTE(LEFT(TRIM(C330),FIND(" ",TRIM(C330)&amp;" ")-1),",","."),"."),LEFT(SUBSTITUTE(LEFT(TRIM(C330),FIND(" ",TRIM(C330)&amp;" ")-1),",","."),FIND("/",SUBSTITUTE(LEFT(TRIM(C330),FIND(" ",TRIM(C330)&amp;" ")-1),",","."))-1)/MID(SUBSTITUTE(LEFT(TRIM(C330),FIND(" ",TRIM(C330)&amp;" ")-1),",","."),FIND("/",SUBSTITUTE(LEFT(TRIM(C330),FIND(" ",TRIM(C330)&amp;" ")-1),",","."))+1,9))*12,NA()))),0),24)*'Aturan &amp; Tarif'!$B$4,2)</f>
        <v>1362.72</v>
      </c>
      <c r="K330" s="42" t="n">
        <f aca="false">'Aturan &amp; Tarif'!$B$5</f>
        <v>2050</v>
      </c>
      <c r="L330" s="42" t="n">
        <f aca="false">'Aturan &amp; Tarif'!$B$6</f>
        <v>350</v>
      </c>
      <c r="M330" s="35" t="n">
        <f aca="false">I330+J330+K330+L330</f>
        <v>21762.72</v>
      </c>
      <c r="N330" s="44" t="s">
        <v>1072</v>
      </c>
    </row>
    <row r="331" customFormat="false" ht="60" hidden="false" customHeight="true" outlineLevel="0" collapsed="false">
      <c r="A331" s="39"/>
      <c r="B331" s="40" t="s">
        <v>1073</v>
      </c>
      <c r="C331" s="41" t="s">
        <v>344</v>
      </c>
      <c r="D331" s="41" t="s">
        <v>108</v>
      </c>
      <c r="E331" s="42" t="n">
        <v>4500</v>
      </c>
      <c r="F331" s="42"/>
      <c r="G331" s="42"/>
      <c r="H331" s="43" t="n">
        <v>2</v>
      </c>
      <c r="I331" s="34" t="n">
        <f aca="false">E331*H331+N(F331)+N(G331)</f>
        <v>9000</v>
      </c>
      <c r="J331" s="42" t="n">
        <f aca="false">ROUND(IFERROR(ROUND(IF(OR(ISNUMBER(SEARCH("week",C331)),ISNUMBER(SEARCH("minggu",C331))),IFERROR(_xlfn.NUMBERVALUE(SUBSTITUTE(LEFT(TRIM(C331),FIND(" ",TRIM(C331)&amp;" ")-1),",","."),"."),LEFT(SUBSTITUTE(LEFT(TRIM(C331),FIND(" ",TRIM(C331)&amp;" ")-1),",","."),FIND("/",SUBSTITUTE(LEFT(TRIM(C331),FIND(" ",TRIM(C331)&amp;" ")-1),",","."))-1)/MID(SUBSTITUTE(LEFT(TRIM(C331),FIND(" ",TRIM(C331)&amp;" ")-1),",","."),FIND("/",SUBSTITUTE(LEFT(TRIM(C331),FIND(" ",TRIM(C331)&amp;" ")-1),",","."))+1,9))*12/52,IF(ISNUMBER(SEARCH("month",C331)),IFERROR(_xlfn.NUMBERVALUE(SUBSTITUTE(LEFT(TRIM(C331),FIND(" ",TRIM(C331)&amp;" ")-1),",","."),"."),LEFT(SUBSTITUTE(LEFT(TRIM(C331),FIND(" ",TRIM(C331)&amp;" ")-1),",","."),FIND("/",SUBSTITUTE(LEFT(TRIM(C331),FIND(" ",TRIM(C331)&amp;" ")-1),",","."))-1)/MID(SUBSTITUTE(LEFT(TRIM(C331),FIND(" ",TRIM(C331)&amp;" ")-1),",","."),FIND("/",SUBSTITUTE(LEFT(TRIM(C331),FIND(" ",TRIM(C331)&amp;" ")-1),",","."))+1,9)),IF(ISNUMBER(SEARCH("yea",C331)),IFERROR(_xlfn.NUMBERVALUE(SUBSTITUTE(LEFT(TRIM(C331),FIND(" ",TRIM(C331)&amp;" ")-1),",","."),"."),LEFT(SUBSTITUTE(LEFT(TRIM(C331),FIND(" ",TRIM(C331)&amp;" ")-1),",","."),FIND("/",SUBSTITUTE(LEFT(TRIM(C331),FIND(" ",TRIM(C331)&amp;" ")-1),",","."))-1)/MID(SUBSTITUTE(LEFT(TRIM(C331),FIND(" ",TRIM(C331)&amp;" ")-1),",","."),FIND("/",SUBSTITUTE(LEFT(TRIM(C331),FIND(" ",TRIM(C331)&amp;" ")-1),",","."))+1,9))*12,NA()))),0),6)*'Aturan &amp; Tarif'!$B$4,2)</f>
        <v>340.68</v>
      </c>
      <c r="K331" s="42" t="n">
        <f aca="false">'Aturan &amp; Tarif'!$B$5</f>
        <v>2050</v>
      </c>
      <c r="L331" s="42" t="n">
        <f aca="false">'Aturan &amp; Tarif'!$B$6</f>
        <v>350</v>
      </c>
      <c r="M331" s="35" t="n">
        <f aca="false">I331+J331+K331+L331</f>
        <v>11740.68</v>
      </c>
      <c r="N331" s="44" t="s">
        <v>1036</v>
      </c>
    </row>
    <row r="332" customFormat="false" ht="60" hidden="false" customHeight="true" outlineLevel="0" collapsed="false">
      <c r="A332" s="39"/>
      <c r="B332" s="40" t="s">
        <v>1074</v>
      </c>
      <c r="C332" s="41" t="s">
        <v>130</v>
      </c>
      <c r="D332" s="41" t="s">
        <v>108</v>
      </c>
      <c r="E332" s="42" t="n">
        <v>9000</v>
      </c>
      <c r="F332" s="42"/>
      <c r="G332" s="42"/>
      <c r="H332" s="43" t="n">
        <v>2</v>
      </c>
      <c r="I332" s="34" t="n">
        <f aca="false">E332*H332+N(F332)+N(G332)</f>
        <v>18000</v>
      </c>
      <c r="J332" s="42" t="n">
        <f aca="false">ROUND(IFERROR(ROUND(IF(OR(ISNUMBER(SEARCH("week",C332)),ISNUMBER(SEARCH("minggu",C332))),IFERROR(_xlfn.NUMBERVALUE(SUBSTITUTE(LEFT(TRIM(C332),FIND(" ",TRIM(C332)&amp;" ")-1),",","."),"."),LEFT(SUBSTITUTE(LEFT(TRIM(C332),FIND(" ",TRIM(C332)&amp;" ")-1),",","."),FIND("/",SUBSTITUTE(LEFT(TRIM(C332),FIND(" ",TRIM(C332)&amp;" ")-1),",","."))-1)/MID(SUBSTITUTE(LEFT(TRIM(C332),FIND(" ",TRIM(C332)&amp;" ")-1),",","."),FIND("/",SUBSTITUTE(LEFT(TRIM(C332),FIND(" ",TRIM(C332)&amp;" ")-1),",","."))+1,9))*12/52,IF(ISNUMBER(SEARCH("month",C332)),IFERROR(_xlfn.NUMBERVALUE(SUBSTITUTE(LEFT(TRIM(C332),FIND(" ",TRIM(C332)&amp;" ")-1),",","."),"."),LEFT(SUBSTITUTE(LEFT(TRIM(C332),FIND(" ",TRIM(C332)&amp;" ")-1),",","."),FIND("/",SUBSTITUTE(LEFT(TRIM(C332),FIND(" ",TRIM(C332)&amp;" ")-1),",","."))-1)/MID(SUBSTITUTE(LEFT(TRIM(C332),FIND(" ",TRIM(C332)&amp;" ")-1),",","."),FIND("/",SUBSTITUTE(LEFT(TRIM(C332),FIND(" ",TRIM(C332)&amp;" ")-1),",","."))+1,9)),IF(ISNUMBER(SEARCH("yea",C332)),IFERROR(_xlfn.NUMBERVALUE(SUBSTITUTE(LEFT(TRIM(C332),FIND(" ",TRIM(C332)&amp;" ")-1),",","."),"."),LEFT(SUBSTITUTE(LEFT(TRIM(C332),FIND(" ",TRIM(C332)&amp;" ")-1),",","."),FIND("/",SUBSTITUTE(LEFT(TRIM(C332),FIND(" ",TRIM(C332)&amp;" ")-1),",","."))-1)/MID(SUBSTITUTE(LEFT(TRIM(C332),FIND(" ",TRIM(C332)&amp;" ")-1),",","."),FIND("/",SUBSTITUTE(LEFT(TRIM(C332),FIND(" ",TRIM(C332)&amp;" ")-1),",","."))+1,9))*12,NA()))),0),12)*'Aturan &amp; Tarif'!$B$4,2)</f>
        <v>681.36</v>
      </c>
      <c r="K332" s="42" t="n">
        <f aca="false">'Aturan &amp; Tarif'!$B$5</f>
        <v>2050</v>
      </c>
      <c r="L332" s="42" t="n">
        <f aca="false">'Aturan &amp; Tarif'!$B$6</f>
        <v>350</v>
      </c>
      <c r="M332" s="35" t="n">
        <f aca="false">I332+J332+K332+L332</f>
        <v>21081.36</v>
      </c>
      <c r="N332" s="44" t="s">
        <v>1036</v>
      </c>
    </row>
    <row r="333" customFormat="false" ht="60" hidden="false" customHeight="true" outlineLevel="0" collapsed="false">
      <c r="A333" s="39"/>
      <c r="B333" s="40" t="s">
        <v>1075</v>
      </c>
      <c r="C333" s="41" t="s">
        <v>113</v>
      </c>
      <c r="D333" s="41" t="s">
        <v>108</v>
      </c>
      <c r="E333" s="42" t="n">
        <v>9000</v>
      </c>
      <c r="F333" s="42"/>
      <c r="G333" s="42"/>
      <c r="H333" s="43" t="n">
        <v>2</v>
      </c>
      <c r="I333" s="34" t="n">
        <f aca="false">E333*H333+N(F333)+N(G333)</f>
        <v>18000</v>
      </c>
      <c r="J333" s="42" t="n">
        <f aca="false">ROUND(IFERROR(ROUND(IF(OR(ISNUMBER(SEARCH("week",C333)),ISNUMBER(SEARCH("minggu",C333))),IFERROR(_xlfn.NUMBERVALUE(SUBSTITUTE(LEFT(TRIM(C333),FIND(" ",TRIM(C333)&amp;" ")-1),",","."),"."),LEFT(SUBSTITUTE(LEFT(TRIM(C333),FIND(" ",TRIM(C333)&amp;" ")-1),",","."),FIND("/",SUBSTITUTE(LEFT(TRIM(C333),FIND(" ",TRIM(C333)&amp;" ")-1),",","."))-1)/MID(SUBSTITUTE(LEFT(TRIM(C333),FIND(" ",TRIM(C333)&amp;" ")-1),",","."),FIND("/",SUBSTITUTE(LEFT(TRIM(C333),FIND(" ",TRIM(C333)&amp;" ")-1),",","."))+1,9))*12/52,IF(ISNUMBER(SEARCH("month",C333)),IFERROR(_xlfn.NUMBERVALUE(SUBSTITUTE(LEFT(TRIM(C333),FIND(" ",TRIM(C333)&amp;" ")-1),",","."),"."),LEFT(SUBSTITUTE(LEFT(TRIM(C333),FIND(" ",TRIM(C333)&amp;" ")-1),",","."),FIND("/",SUBSTITUTE(LEFT(TRIM(C333),FIND(" ",TRIM(C333)&amp;" ")-1),",","."))-1)/MID(SUBSTITUTE(LEFT(TRIM(C333),FIND(" ",TRIM(C333)&amp;" ")-1),",","."),FIND("/",SUBSTITUTE(LEFT(TRIM(C333),FIND(" ",TRIM(C333)&amp;" ")-1),",","."))+1,9)),IF(ISNUMBER(SEARCH("yea",C333)),IFERROR(_xlfn.NUMBERVALUE(SUBSTITUTE(LEFT(TRIM(C333),FIND(" ",TRIM(C333)&amp;" ")-1),",","."),"."),LEFT(SUBSTITUTE(LEFT(TRIM(C333),FIND(" ",TRIM(C333)&amp;" ")-1),",","."),FIND("/",SUBSTITUTE(LEFT(TRIM(C333),FIND(" ",TRIM(C333)&amp;" ")-1),",","."))-1)/MID(SUBSTITUTE(LEFT(TRIM(C333),FIND(" ",TRIM(C333)&amp;" ")-1),",","."),FIND("/",SUBSTITUTE(LEFT(TRIM(C333),FIND(" ",TRIM(C333)&amp;" ")-1),",","."))+1,9))*12,NA()))),0),18)*'Aturan &amp; Tarif'!$B$4,2)</f>
        <v>1022.04</v>
      </c>
      <c r="K333" s="42" t="n">
        <f aca="false">'Aturan &amp; Tarif'!$B$5</f>
        <v>2050</v>
      </c>
      <c r="L333" s="42" t="n">
        <f aca="false">'Aturan &amp; Tarif'!$B$6</f>
        <v>350</v>
      </c>
      <c r="M333" s="35" t="n">
        <f aca="false">I333+J333+K333+L333</f>
        <v>21422.04</v>
      </c>
      <c r="N333" s="44" t="s">
        <v>1036</v>
      </c>
    </row>
    <row r="334" customFormat="false" ht="60" hidden="false" customHeight="true" outlineLevel="0" collapsed="false">
      <c r="A334" s="39"/>
      <c r="B334" s="40" t="s">
        <v>1076</v>
      </c>
      <c r="C334" s="41" t="s">
        <v>107</v>
      </c>
      <c r="D334" s="41" t="s">
        <v>108</v>
      </c>
      <c r="E334" s="42" t="n">
        <v>9000</v>
      </c>
      <c r="F334" s="42"/>
      <c r="G334" s="42"/>
      <c r="H334" s="43" t="n">
        <v>2</v>
      </c>
      <c r="I334" s="34" t="n">
        <f aca="false">E334*H334+N(F334)+N(G334)</f>
        <v>18000</v>
      </c>
      <c r="J334" s="42" t="n">
        <f aca="false">ROUND(IFERROR(ROUND(IF(OR(ISNUMBER(SEARCH("week",C334)),ISNUMBER(SEARCH("minggu",C334))),IFERROR(_xlfn.NUMBERVALUE(SUBSTITUTE(LEFT(TRIM(C334),FIND(" ",TRIM(C334)&amp;" ")-1),",","."),"."),LEFT(SUBSTITUTE(LEFT(TRIM(C334),FIND(" ",TRIM(C334)&amp;" ")-1),",","."),FIND("/",SUBSTITUTE(LEFT(TRIM(C334),FIND(" ",TRIM(C334)&amp;" ")-1),",","."))-1)/MID(SUBSTITUTE(LEFT(TRIM(C334),FIND(" ",TRIM(C334)&amp;" ")-1),",","."),FIND("/",SUBSTITUTE(LEFT(TRIM(C334),FIND(" ",TRIM(C334)&amp;" ")-1),",","."))+1,9))*12/52,IF(ISNUMBER(SEARCH("month",C334)),IFERROR(_xlfn.NUMBERVALUE(SUBSTITUTE(LEFT(TRIM(C334),FIND(" ",TRIM(C334)&amp;" ")-1),",","."),"."),LEFT(SUBSTITUTE(LEFT(TRIM(C334),FIND(" ",TRIM(C334)&amp;" ")-1),",","."),FIND("/",SUBSTITUTE(LEFT(TRIM(C334),FIND(" ",TRIM(C334)&amp;" ")-1),",","."))-1)/MID(SUBSTITUTE(LEFT(TRIM(C334),FIND(" ",TRIM(C334)&amp;" ")-1),",","."),FIND("/",SUBSTITUTE(LEFT(TRIM(C334),FIND(" ",TRIM(C334)&amp;" ")-1),",","."))+1,9)),IF(ISNUMBER(SEARCH("yea",C334)),IFERROR(_xlfn.NUMBERVALUE(SUBSTITUTE(LEFT(TRIM(C334),FIND(" ",TRIM(C334)&amp;" ")-1),",","."),"."),LEFT(SUBSTITUTE(LEFT(TRIM(C334),FIND(" ",TRIM(C334)&amp;" ")-1),",","."),FIND("/",SUBSTITUTE(LEFT(TRIM(C334),FIND(" ",TRIM(C334)&amp;" ")-1),",","."))-1)/MID(SUBSTITUTE(LEFT(TRIM(C334),FIND(" ",TRIM(C334)&amp;" ")-1),",","."),FIND("/",SUBSTITUTE(LEFT(TRIM(C334),FIND(" ",TRIM(C334)&amp;" ")-1),",","."))+1,9))*12,NA()))),0),24)*'Aturan &amp; Tarif'!$B$4,2)</f>
        <v>1362.72</v>
      </c>
      <c r="K334" s="42" t="n">
        <f aca="false">'Aturan &amp; Tarif'!$B$5</f>
        <v>2050</v>
      </c>
      <c r="L334" s="42" t="n">
        <f aca="false">'Aturan &amp; Tarif'!$B$6</f>
        <v>350</v>
      </c>
      <c r="M334" s="35" t="n">
        <f aca="false">I334+J334+K334+L334</f>
        <v>21762.72</v>
      </c>
      <c r="N334" s="44" t="s">
        <v>1036</v>
      </c>
    </row>
    <row r="335" customFormat="false" ht="60" hidden="false" customHeight="true" outlineLevel="0" collapsed="false">
      <c r="A335" s="39"/>
      <c r="B335" s="40" t="s">
        <v>1055</v>
      </c>
      <c r="C335" s="41" t="s">
        <v>107</v>
      </c>
      <c r="D335" s="41" t="s">
        <v>108</v>
      </c>
      <c r="E335" s="42" t="n">
        <v>9000</v>
      </c>
      <c r="F335" s="42"/>
      <c r="G335" s="42"/>
      <c r="H335" s="43" t="n">
        <v>2</v>
      </c>
      <c r="I335" s="34" t="n">
        <f aca="false">E335*H335+N(F335)+N(G335)</f>
        <v>18000</v>
      </c>
      <c r="J335" s="42" t="n">
        <f aca="false">ROUND(IFERROR(ROUND(IF(OR(ISNUMBER(SEARCH("week",C335)),ISNUMBER(SEARCH("minggu",C335))),IFERROR(_xlfn.NUMBERVALUE(SUBSTITUTE(LEFT(TRIM(C335),FIND(" ",TRIM(C335)&amp;" ")-1),",","."),"."),LEFT(SUBSTITUTE(LEFT(TRIM(C335),FIND(" ",TRIM(C335)&amp;" ")-1),",","."),FIND("/",SUBSTITUTE(LEFT(TRIM(C335),FIND(" ",TRIM(C335)&amp;" ")-1),",","."))-1)/MID(SUBSTITUTE(LEFT(TRIM(C335),FIND(" ",TRIM(C335)&amp;" ")-1),",","."),FIND("/",SUBSTITUTE(LEFT(TRIM(C335),FIND(" ",TRIM(C335)&amp;" ")-1),",","."))+1,9))*12/52,IF(ISNUMBER(SEARCH("month",C335)),IFERROR(_xlfn.NUMBERVALUE(SUBSTITUTE(LEFT(TRIM(C335),FIND(" ",TRIM(C335)&amp;" ")-1),",","."),"."),LEFT(SUBSTITUTE(LEFT(TRIM(C335),FIND(" ",TRIM(C335)&amp;" ")-1),",","."),FIND("/",SUBSTITUTE(LEFT(TRIM(C335),FIND(" ",TRIM(C335)&amp;" ")-1),",","."))-1)/MID(SUBSTITUTE(LEFT(TRIM(C335),FIND(" ",TRIM(C335)&amp;" ")-1),",","."),FIND("/",SUBSTITUTE(LEFT(TRIM(C335),FIND(" ",TRIM(C335)&amp;" ")-1),",","."))+1,9)),IF(ISNUMBER(SEARCH("yea",C335)),IFERROR(_xlfn.NUMBERVALUE(SUBSTITUTE(LEFT(TRIM(C335),FIND(" ",TRIM(C335)&amp;" ")-1),",","."),"."),LEFT(SUBSTITUTE(LEFT(TRIM(C335),FIND(" ",TRIM(C335)&amp;" ")-1),",","."),FIND("/",SUBSTITUTE(LEFT(TRIM(C335),FIND(" ",TRIM(C335)&amp;" ")-1),",","."))-1)/MID(SUBSTITUTE(LEFT(TRIM(C335),FIND(" ",TRIM(C335)&amp;" ")-1),",","."),FIND("/",SUBSTITUTE(LEFT(TRIM(C335),FIND(" ",TRIM(C335)&amp;" ")-1),",","."))+1,9))*12,NA()))),0),24)*'Aturan &amp; Tarif'!$B$4,2)</f>
        <v>1362.72</v>
      </c>
      <c r="K335" s="42" t="n">
        <f aca="false">'Aturan &amp; Tarif'!$B$5</f>
        <v>2050</v>
      </c>
      <c r="L335" s="42" t="n">
        <f aca="false">'Aturan &amp; Tarif'!$B$6</f>
        <v>350</v>
      </c>
      <c r="M335" s="35" t="n">
        <f aca="false">I335+J335+K335+L335</f>
        <v>21762.72</v>
      </c>
      <c r="N335" s="44" t="s">
        <v>1056</v>
      </c>
    </row>
    <row r="336" customFormat="false" ht="60" hidden="false" customHeight="true" outlineLevel="0" collapsed="false">
      <c r="A336" s="39"/>
      <c r="B336" s="40" t="s">
        <v>1077</v>
      </c>
      <c r="C336" s="41" t="s">
        <v>107</v>
      </c>
      <c r="D336" s="41" t="s">
        <v>108</v>
      </c>
      <c r="E336" s="42" t="n">
        <v>7950</v>
      </c>
      <c r="F336" s="42"/>
      <c r="G336" s="42"/>
      <c r="H336" s="43" t="n">
        <v>2</v>
      </c>
      <c r="I336" s="34" t="n">
        <f aca="false">E336*H336+N(F336)+N(G336)</f>
        <v>15900</v>
      </c>
      <c r="J336" s="42" t="n">
        <f aca="false">ROUND(IFERROR(ROUND(IF(OR(ISNUMBER(SEARCH("week",C336)),ISNUMBER(SEARCH("minggu",C336))),IFERROR(_xlfn.NUMBERVALUE(SUBSTITUTE(LEFT(TRIM(C336),FIND(" ",TRIM(C336)&amp;" ")-1),",","."),"."),LEFT(SUBSTITUTE(LEFT(TRIM(C336),FIND(" ",TRIM(C336)&amp;" ")-1),",","."),FIND("/",SUBSTITUTE(LEFT(TRIM(C336),FIND(" ",TRIM(C336)&amp;" ")-1),",","."))-1)/MID(SUBSTITUTE(LEFT(TRIM(C336),FIND(" ",TRIM(C336)&amp;" ")-1),",","."),FIND("/",SUBSTITUTE(LEFT(TRIM(C336),FIND(" ",TRIM(C336)&amp;" ")-1),",","."))+1,9))*12/52,IF(ISNUMBER(SEARCH("month",C336)),IFERROR(_xlfn.NUMBERVALUE(SUBSTITUTE(LEFT(TRIM(C336),FIND(" ",TRIM(C336)&amp;" ")-1),",","."),"."),LEFT(SUBSTITUTE(LEFT(TRIM(C336),FIND(" ",TRIM(C336)&amp;" ")-1),",","."),FIND("/",SUBSTITUTE(LEFT(TRIM(C336),FIND(" ",TRIM(C336)&amp;" ")-1),",","."))-1)/MID(SUBSTITUTE(LEFT(TRIM(C336),FIND(" ",TRIM(C336)&amp;" ")-1),",","."),FIND("/",SUBSTITUTE(LEFT(TRIM(C336),FIND(" ",TRIM(C336)&amp;" ")-1),",","."))+1,9)),IF(ISNUMBER(SEARCH("yea",C336)),IFERROR(_xlfn.NUMBERVALUE(SUBSTITUTE(LEFT(TRIM(C336),FIND(" ",TRIM(C336)&amp;" ")-1),",","."),"."),LEFT(SUBSTITUTE(LEFT(TRIM(C336),FIND(" ",TRIM(C336)&amp;" ")-1),",","."),FIND("/",SUBSTITUTE(LEFT(TRIM(C336),FIND(" ",TRIM(C336)&amp;" ")-1),",","."))-1)/MID(SUBSTITUTE(LEFT(TRIM(C336),FIND(" ",TRIM(C336)&amp;" ")-1),",","."),FIND("/",SUBSTITUTE(LEFT(TRIM(C336),FIND(" ",TRIM(C336)&amp;" ")-1),",","."))+1,9))*12,NA()))),0),24)*'Aturan &amp; Tarif'!$B$4,2)</f>
        <v>1362.72</v>
      </c>
      <c r="K336" s="42" t="n">
        <f aca="false">'Aturan &amp; Tarif'!$B$5</f>
        <v>2050</v>
      </c>
      <c r="L336" s="42" t="n">
        <f aca="false">'Aturan &amp; Tarif'!$B$6</f>
        <v>350</v>
      </c>
      <c r="M336" s="35" t="n">
        <f aca="false">I336+J336+K336+L336</f>
        <v>19662.72</v>
      </c>
      <c r="N336" s="44" t="s">
        <v>1036</v>
      </c>
    </row>
    <row r="337" customFormat="false" ht="25.5" hidden="false" customHeight="true" outlineLevel="0" collapsed="false">
      <c r="A337" s="39"/>
      <c r="B337" s="40" t="s">
        <v>1078</v>
      </c>
      <c r="C337" s="41" t="s">
        <v>107</v>
      </c>
      <c r="D337" s="41" t="s">
        <v>108</v>
      </c>
      <c r="E337" s="42" t="n">
        <v>20635</v>
      </c>
      <c r="F337" s="42"/>
      <c r="G337" s="42"/>
      <c r="H337" s="43" t="n">
        <v>2</v>
      </c>
      <c r="I337" s="34" t="n">
        <f aca="false">E337*H337+N(F337)+N(G337)</f>
        <v>41270</v>
      </c>
      <c r="J337" s="42" t="n">
        <f aca="false">ROUND(IFERROR(ROUND(IF(OR(ISNUMBER(SEARCH("week",C337)),ISNUMBER(SEARCH("minggu",C337))),IFERROR(_xlfn.NUMBERVALUE(SUBSTITUTE(LEFT(TRIM(C337),FIND(" ",TRIM(C337)&amp;" ")-1),",","."),"."),LEFT(SUBSTITUTE(LEFT(TRIM(C337),FIND(" ",TRIM(C337)&amp;" ")-1),",","."),FIND("/",SUBSTITUTE(LEFT(TRIM(C337),FIND(" ",TRIM(C337)&amp;" ")-1),",","."))-1)/MID(SUBSTITUTE(LEFT(TRIM(C337),FIND(" ",TRIM(C337)&amp;" ")-1),",","."),FIND("/",SUBSTITUTE(LEFT(TRIM(C337),FIND(" ",TRIM(C337)&amp;" ")-1),",","."))+1,9))*12/52,IF(ISNUMBER(SEARCH("month",C337)),IFERROR(_xlfn.NUMBERVALUE(SUBSTITUTE(LEFT(TRIM(C337),FIND(" ",TRIM(C337)&amp;" ")-1),",","."),"."),LEFT(SUBSTITUTE(LEFT(TRIM(C337),FIND(" ",TRIM(C337)&amp;" ")-1),",","."),FIND("/",SUBSTITUTE(LEFT(TRIM(C337),FIND(" ",TRIM(C337)&amp;" ")-1),",","."))-1)/MID(SUBSTITUTE(LEFT(TRIM(C337),FIND(" ",TRIM(C337)&amp;" ")-1),",","."),FIND("/",SUBSTITUTE(LEFT(TRIM(C337),FIND(" ",TRIM(C337)&amp;" ")-1),",","."))+1,9)),IF(ISNUMBER(SEARCH("yea",C337)),IFERROR(_xlfn.NUMBERVALUE(SUBSTITUTE(LEFT(TRIM(C337),FIND(" ",TRIM(C337)&amp;" ")-1),",","."),"."),LEFT(SUBSTITUTE(LEFT(TRIM(C337),FIND(" ",TRIM(C337)&amp;" ")-1),",","."),FIND("/",SUBSTITUTE(LEFT(TRIM(C337),FIND(" ",TRIM(C337)&amp;" ")-1),",","."))-1)/MID(SUBSTITUTE(LEFT(TRIM(C337),FIND(" ",TRIM(C337)&amp;" ")-1),",","."),FIND("/",SUBSTITUTE(LEFT(TRIM(C337),FIND(" ",TRIM(C337)&amp;" ")-1),",","."))+1,9))*12,NA()))),0),24)*'Aturan &amp; Tarif'!$B$4,2)</f>
        <v>1362.72</v>
      </c>
      <c r="K337" s="42" t="n">
        <f aca="false">'Aturan &amp; Tarif'!$B$5</f>
        <v>2050</v>
      </c>
      <c r="L337" s="42" t="n">
        <f aca="false">'Aturan &amp; Tarif'!$B$6</f>
        <v>350</v>
      </c>
      <c r="M337" s="35" t="n">
        <f aca="false">I337+J337+K337+L337</f>
        <v>45032.72</v>
      </c>
      <c r="N337" s="45" t="s">
        <v>1079</v>
      </c>
    </row>
    <row r="338" customFormat="false" ht="60" hidden="false" customHeight="true" outlineLevel="0" collapsed="false">
      <c r="A338" s="39"/>
      <c r="B338" s="40" t="s">
        <v>1080</v>
      </c>
      <c r="C338" s="41" t="s">
        <v>113</v>
      </c>
      <c r="D338" s="41" t="s">
        <v>108</v>
      </c>
      <c r="E338" s="42" t="n">
        <v>6250</v>
      </c>
      <c r="F338" s="42"/>
      <c r="G338" s="42"/>
      <c r="H338" s="43" t="n">
        <v>2</v>
      </c>
      <c r="I338" s="34" t="n">
        <f aca="false">E338*H338+N(F338)+N(G338)</f>
        <v>12500</v>
      </c>
      <c r="J338" s="42" t="n">
        <f aca="false">ROUND(IFERROR(ROUND(IF(OR(ISNUMBER(SEARCH("week",C338)),ISNUMBER(SEARCH("minggu",C338))),IFERROR(_xlfn.NUMBERVALUE(SUBSTITUTE(LEFT(TRIM(C338),FIND(" ",TRIM(C338)&amp;" ")-1),",","."),"."),LEFT(SUBSTITUTE(LEFT(TRIM(C338),FIND(" ",TRIM(C338)&amp;" ")-1),",","."),FIND("/",SUBSTITUTE(LEFT(TRIM(C338),FIND(" ",TRIM(C338)&amp;" ")-1),",","."))-1)/MID(SUBSTITUTE(LEFT(TRIM(C338),FIND(" ",TRIM(C338)&amp;" ")-1),",","."),FIND("/",SUBSTITUTE(LEFT(TRIM(C338),FIND(" ",TRIM(C338)&amp;" ")-1),",","."))+1,9))*12/52,IF(ISNUMBER(SEARCH("month",C338)),IFERROR(_xlfn.NUMBERVALUE(SUBSTITUTE(LEFT(TRIM(C338),FIND(" ",TRIM(C338)&amp;" ")-1),",","."),"."),LEFT(SUBSTITUTE(LEFT(TRIM(C338),FIND(" ",TRIM(C338)&amp;" ")-1),",","."),FIND("/",SUBSTITUTE(LEFT(TRIM(C338),FIND(" ",TRIM(C338)&amp;" ")-1),",","."))-1)/MID(SUBSTITUTE(LEFT(TRIM(C338),FIND(" ",TRIM(C338)&amp;" ")-1),",","."),FIND("/",SUBSTITUTE(LEFT(TRIM(C338),FIND(" ",TRIM(C338)&amp;" ")-1),",","."))+1,9)),IF(ISNUMBER(SEARCH("yea",C338)),IFERROR(_xlfn.NUMBERVALUE(SUBSTITUTE(LEFT(TRIM(C338),FIND(" ",TRIM(C338)&amp;" ")-1),",","."),"."),LEFT(SUBSTITUTE(LEFT(TRIM(C338),FIND(" ",TRIM(C338)&amp;" ")-1),",","."),FIND("/",SUBSTITUTE(LEFT(TRIM(C338),FIND(" ",TRIM(C338)&amp;" ")-1),",","."))-1)/MID(SUBSTITUTE(LEFT(TRIM(C338),FIND(" ",TRIM(C338)&amp;" ")-1),",","."),FIND("/",SUBSTITUTE(LEFT(TRIM(C338),FIND(" ",TRIM(C338)&amp;" ")-1),",","."))+1,9))*12,NA()))),0),18)*'Aturan &amp; Tarif'!$B$4,2)</f>
        <v>1022.04</v>
      </c>
      <c r="K338" s="42" t="n">
        <f aca="false">'Aturan &amp; Tarif'!$B$5</f>
        <v>2050</v>
      </c>
      <c r="L338" s="42" t="n">
        <f aca="false">'Aturan &amp; Tarif'!$B$6</f>
        <v>350</v>
      </c>
      <c r="M338" s="35" t="n">
        <f aca="false">I338+J338+K338+L338</f>
        <v>15922.04</v>
      </c>
      <c r="N338" s="44" t="s">
        <v>1081</v>
      </c>
    </row>
    <row r="339" customFormat="false" ht="60" hidden="false" customHeight="true" outlineLevel="0" collapsed="false">
      <c r="A339" s="39"/>
      <c r="B339" s="40" t="s">
        <v>1082</v>
      </c>
      <c r="C339" s="41" t="s">
        <v>127</v>
      </c>
      <c r="D339" s="41" t="s">
        <v>108</v>
      </c>
      <c r="E339" s="42" t="n">
        <v>9375</v>
      </c>
      <c r="F339" s="42"/>
      <c r="G339" s="42"/>
      <c r="H339" s="43" t="n">
        <v>2</v>
      </c>
      <c r="I339" s="34" t="n">
        <f aca="false">E339*H339+N(F339)+N(G339)</f>
        <v>18750</v>
      </c>
      <c r="J339" s="42" t="n">
        <f aca="false">ROUND(IFERROR(ROUND(IF(OR(ISNUMBER(SEARCH("week",C339)),ISNUMBER(SEARCH("minggu",C339))),IFERROR(_xlfn.NUMBERVALUE(SUBSTITUTE(LEFT(TRIM(C339),FIND(" ",TRIM(C339)&amp;" ")-1),",","."),"."),LEFT(SUBSTITUTE(LEFT(TRIM(C339),FIND(" ",TRIM(C339)&amp;" ")-1),",","."),FIND("/",SUBSTITUTE(LEFT(TRIM(C339),FIND(" ",TRIM(C339)&amp;" ")-1),",","."))-1)/MID(SUBSTITUTE(LEFT(TRIM(C339),FIND(" ",TRIM(C339)&amp;" ")-1),",","."),FIND("/",SUBSTITUTE(LEFT(TRIM(C339),FIND(" ",TRIM(C339)&amp;" ")-1),",","."))+1,9))*12/52,IF(ISNUMBER(SEARCH("month",C339)),IFERROR(_xlfn.NUMBERVALUE(SUBSTITUTE(LEFT(TRIM(C339),FIND(" ",TRIM(C339)&amp;" ")-1),",","."),"."),LEFT(SUBSTITUTE(LEFT(TRIM(C339),FIND(" ",TRIM(C339)&amp;" ")-1),",","."),FIND("/",SUBSTITUTE(LEFT(TRIM(C339),FIND(" ",TRIM(C339)&amp;" ")-1),",","."))-1)/MID(SUBSTITUTE(LEFT(TRIM(C339),FIND(" ",TRIM(C339)&amp;" ")-1),",","."),FIND("/",SUBSTITUTE(LEFT(TRIM(C339),FIND(" ",TRIM(C339)&amp;" ")-1),",","."))+1,9)),IF(ISNUMBER(SEARCH("yea",C339)),IFERROR(_xlfn.NUMBERVALUE(SUBSTITUTE(LEFT(TRIM(C339),FIND(" ",TRIM(C339)&amp;" ")-1),",","."),"."),LEFT(SUBSTITUTE(LEFT(TRIM(C339),FIND(" ",TRIM(C339)&amp;" ")-1),",","."),FIND("/",SUBSTITUTE(LEFT(TRIM(C339),FIND(" ",TRIM(C339)&amp;" ")-1),",","."))-1)/MID(SUBSTITUTE(LEFT(TRIM(C339),FIND(" ",TRIM(C339)&amp;" ")-1),",","."),FIND("/",SUBSTITUTE(LEFT(TRIM(C339),FIND(" ",TRIM(C339)&amp;" ")-1),",","."))+1,9))*12,NA()))),0),36)*'Aturan &amp; Tarif'!$B$4,2)</f>
        <v>2044.08</v>
      </c>
      <c r="K339" s="42" t="n">
        <f aca="false">'Aturan &amp; Tarif'!$B$5</f>
        <v>2050</v>
      </c>
      <c r="L339" s="42" t="n">
        <f aca="false">'Aturan &amp; Tarif'!$B$6</f>
        <v>350</v>
      </c>
      <c r="M339" s="35" t="n">
        <f aca="false">I339+J339+K339+L339</f>
        <v>23194.08</v>
      </c>
      <c r="N339" s="44" t="s">
        <v>1083</v>
      </c>
    </row>
    <row r="340" customFormat="false" ht="60" hidden="false" customHeight="true" outlineLevel="0" collapsed="false">
      <c r="A340" s="39"/>
      <c r="B340" s="40" t="s">
        <v>1084</v>
      </c>
      <c r="C340" s="41" t="s">
        <v>130</v>
      </c>
      <c r="D340" s="41" t="s">
        <v>108</v>
      </c>
      <c r="E340" s="42" t="n">
        <v>9375</v>
      </c>
      <c r="F340" s="42"/>
      <c r="G340" s="42"/>
      <c r="H340" s="43" t="n">
        <v>2</v>
      </c>
      <c r="I340" s="34" t="n">
        <f aca="false">E340*H340+N(F340)+N(G340)</f>
        <v>18750</v>
      </c>
      <c r="J340" s="42" t="n">
        <f aca="false">ROUND(IFERROR(ROUND(IF(OR(ISNUMBER(SEARCH("week",C340)),ISNUMBER(SEARCH("minggu",C340))),IFERROR(_xlfn.NUMBERVALUE(SUBSTITUTE(LEFT(TRIM(C340),FIND(" ",TRIM(C340)&amp;" ")-1),",","."),"."),LEFT(SUBSTITUTE(LEFT(TRIM(C340),FIND(" ",TRIM(C340)&amp;" ")-1),",","."),FIND("/",SUBSTITUTE(LEFT(TRIM(C340),FIND(" ",TRIM(C340)&amp;" ")-1),",","."))-1)/MID(SUBSTITUTE(LEFT(TRIM(C340),FIND(" ",TRIM(C340)&amp;" ")-1),",","."),FIND("/",SUBSTITUTE(LEFT(TRIM(C340),FIND(" ",TRIM(C340)&amp;" ")-1),",","."))+1,9))*12/52,IF(ISNUMBER(SEARCH("month",C340)),IFERROR(_xlfn.NUMBERVALUE(SUBSTITUTE(LEFT(TRIM(C340),FIND(" ",TRIM(C340)&amp;" ")-1),",","."),"."),LEFT(SUBSTITUTE(LEFT(TRIM(C340),FIND(" ",TRIM(C340)&amp;" ")-1),",","."),FIND("/",SUBSTITUTE(LEFT(TRIM(C340),FIND(" ",TRIM(C340)&amp;" ")-1),",","."))-1)/MID(SUBSTITUTE(LEFT(TRIM(C340),FIND(" ",TRIM(C340)&amp;" ")-1),",","."),FIND("/",SUBSTITUTE(LEFT(TRIM(C340),FIND(" ",TRIM(C340)&amp;" ")-1),",","."))+1,9)),IF(ISNUMBER(SEARCH("yea",C340)),IFERROR(_xlfn.NUMBERVALUE(SUBSTITUTE(LEFT(TRIM(C340),FIND(" ",TRIM(C340)&amp;" ")-1),",","."),"."),LEFT(SUBSTITUTE(LEFT(TRIM(C340),FIND(" ",TRIM(C340)&amp;" ")-1),",","."),FIND("/",SUBSTITUTE(LEFT(TRIM(C340),FIND(" ",TRIM(C340)&amp;" ")-1),",","."))-1)/MID(SUBSTITUTE(LEFT(TRIM(C340),FIND(" ",TRIM(C340)&amp;" ")-1),",","."),FIND("/",SUBSTITUTE(LEFT(TRIM(C340),FIND(" ",TRIM(C340)&amp;" ")-1),",","."))+1,9))*12,NA()))),0),12)*'Aturan &amp; Tarif'!$B$4,2)</f>
        <v>681.36</v>
      </c>
      <c r="K340" s="42" t="n">
        <f aca="false">'Aturan &amp; Tarif'!$B$5</f>
        <v>2050</v>
      </c>
      <c r="L340" s="42" t="n">
        <f aca="false">'Aturan &amp; Tarif'!$B$6</f>
        <v>350</v>
      </c>
      <c r="M340" s="35" t="n">
        <f aca="false">I340+J340+K340+L340</f>
        <v>21831.36</v>
      </c>
      <c r="N340" s="44" t="s">
        <v>1085</v>
      </c>
    </row>
    <row r="341" customFormat="false" ht="60" hidden="false" customHeight="true" outlineLevel="0" collapsed="false">
      <c r="A341" s="39"/>
      <c r="B341" s="40" t="s">
        <v>1086</v>
      </c>
      <c r="C341" s="41" t="s">
        <v>130</v>
      </c>
      <c r="D341" s="41" t="s">
        <v>108</v>
      </c>
      <c r="E341" s="42" t="n">
        <v>9375</v>
      </c>
      <c r="F341" s="42"/>
      <c r="G341" s="42"/>
      <c r="H341" s="43" t="n">
        <v>2</v>
      </c>
      <c r="I341" s="34" t="n">
        <f aca="false">E341*H341+N(F341)+N(G341)</f>
        <v>18750</v>
      </c>
      <c r="J341" s="42" t="n">
        <f aca="false">ROUND(IFERROR(ROUND(IF(OR(ISNUMBER(SEARCH("week",C341)),ISNUMBER(SEARCH("minggu",C341))),IFERROR(_xlfn.NUMBERVALUE(SUBSTITUTE(LEFT(TRIM(C341),FIND(" ",TRIM(C341)&amp;" ")-1),",","."),"."),LEFT(SUBSTITUTE(LEFT(TRIM(C341),FIND(" ",TRIM(C341)&amp;" ")-1),",","."),FIND("/",SUBSTITUTE(LEFT(TRIM(C341),FIND(" ",TRIM(C341)&amp;" ")-1),",","."))-1)/MID(SUBSTITUTE(LEFT(TRIM(C341),FIND(" ",TRIM(C341)&amp;" ")-1),",","."),FIND("/",SUBSTITUTE(LEFT(TRIM(C341),FIND(" ",TRIM(C341)&amp;" ")-1),",","."))+1,9))*12/52,IF(ISNUMBER(SEARCH("month",C341)),IFERROR(_xlfn.NUMBERVALUE(SUBSTITUTE(LEFT(TRIM(C341),FIND(" ",TRIM(C341)&amp;" ")-1),",","."),"."),LEFT(SUBSTITUTE(LEFT(TRIM(C341),FIND(" ",TRIM(C341)&amp;" ")-1),",","."),FIND("/",SUBSTITUTE(LEFT(TRIM(C341),FIND(" ",TRIM(C341)&amp;" ")-1),",","."))-1)/MID(SUBSTITUTE(LEFT(TRIM(C341),FIND(" ",TRIM(C341)&amp;" ")-1),",","."),FIND("/",SUBSTITUTE(LEFT(TRIM(C341),FIND(" ",TRIM(C341)&amp;" ")-1),",","."))+1,9)),IF(ISNUMBER(SEARCH("yea",C341)),IFERROR(_xlfn.NUMBERVALUE(SUBSTITUTE(LEFT(TRIM(C341),FIND(" ",TRIM(C341)&amp;" ")-1),",","."),"."),LEFT(SUBSTITUTE(LEFT(TRIM(C341),FIND(" ",TRIM(C341)&amp;" ")-1),",","."),FIND("/",SUBSTITUTE(LEFT(TRIM(C341),FIND(" ",TRIM(C341)&amp;" ")-1),",","."))-1)/MID(SUBSTITUTE(LEFT(TRIM(C341),FIND(" ",TRIM(C341)&amp;" ")-1),",","."),FIND("/",SUBSTITUTE(LEFT(TRIM(C341),FIND(" ",TRIM(C341)&amp;" ")-1),",","."))+1,9))*12,NA()))),0),12)*'Aturan &amp; Tarif'!$B$4,2)</f>
        <v>681.36</v>
      </c>
      <c r="K341" s="42" t="n">
        <f aca="false">'Aturan &amp; Tarif'!$B$5</f>
        <v>2050</v>
      </c>
      <c r="L341" s="42" t="n">
        <f aca="false">'Aturan &amp; Tarif'!$B$6</f>
        <v>350</v>
      </c>
      <c r="M341" s="35" t="n">
        <f aca="false">I341+J341+K341+L341</f>
        <v>21831.36</v>
      </c>
      <c r="N341" s="44" t="s">
        <v>1087</v>
      </c>
    </row>
    <row r="342" customFormat="false" ht="60" hidden="false" customHeight="true" outlineLevel="0" collapsed="false">
      <c r="A342" s="39"/>
      <c r="B342" s="40" t="s">
        <v>1088</v>
      </c>
      <c r="C342" s="41" t="s">
        <v>127</v>
      </c>
      <c r="D342" s="41" t="s">
        <v>108</v>
      </c>
      <c r="E342" s="42" t="n">
        <v>9375</v>
      </c>
      <c r="F342" s="42"/>
      <c r="G342" s="42"/>
      <c r="H342" s="43" t="n">
        <v>2</v>
      </c>
      <c r="I342" s="34" t="n">
        <f aca="false">E342*H342+N(F342)+N(G342)</f>
        <v>18750</v>
      </c>
      <c r="J342" s="42" t="n">
        <f aca="false">ROUND(IFERROR(ROUND(IF(OR(ISNUMBER(SEARCH("week",C342)),ISNUMBER(SEARCH("minggu",C342))),IFERROR(_xlfn.NUMBERVALUE(SUBSTITUTE(LEFT(TRIM(C342),FIND(" ",TRIM(C342)&amp;" ")-1),",","."),"."),LEFT(SUBSTITUTE(LEFT(TRIM(C342),FIND(" ",TRIM(C342)&amp;" ")-1),",","."),FIND("/",SUBSTITUTE(LEFT(TRIM(C342),FIND(" ",TRIM(C342)&amp;" ")-1),",","."))-1)/MID(SUBSTITUTE(LEFT(TRIM(C342),FIND(" ",TRIM(C342)&amp;" ")-1),",","."),FIND("/",SUBSTITUTE(LEFT(TRIM(C342),FIND(" ",TRIM(C342)&amp;" ")-1),",","."))+1,9))*12/52,IF(ISNUMBER(SEARCH("month",C342)),IFERROR(_xlfn.NUMBERVALUE(SUBSTITUTE(LEFT(TRIM(C342),FIND(" ",TRIM(C342)&amp;" ")-1),",","."),"."),LEFT(SUBSTITUTE(LEFT(TRIM(C342),FIND(" ",TRIM(C342)&amp;" ")-1),",","."),FIND("/",SUBSTITUTE(LEFT(TRIM(C342),FIND(" ",TRIM(C342)&amp;" ")-1),",","."))-1)/MID(SUBSTITUTE(LEFT(TRIM(C342),FIND(" ",TRIM(C342)&amp;" ")-1),",","."),FIND("/",SUBSTITUTE(LEFT(TRIM(C342),FIND(" ",TRIM(C342)&amp;" ")-1),",","."))+1,9)),IF(ISNUMBER(SEARCH("yea",C342)),IFERROR(_xlfn.NUMBERVALUE(SUBSTITUTE(LEFT(TRIM(C342),FIND(" ",TRIM(C342)&amp;" ")-1),",","."),"."),LEFT(SUBSTITUTE(LEFT(TRIM(C342),FIND(" ",TRIM(C342)&amp;" ")-1),",","."),FIND("/",SUBSTITUTE(LEFT(TRIM(C342),FIND(" ",TRIM(C342)&amp;" ")-1),",","."))-1)/MID(SUBSTITUTE(LEFT(TRIM(C342),FIND(" ",TRIM(C342)&amp;" ")-1),",","."),FIND("/",SUBSTITUTE(LEFT(TRIM(C342),FIND(" ",TRIM(C342)&amp;" ")-1),",","."))+1,9))*12,NA()))),0),36)*'Aturan &amp; Tarif'!$B$4,2)</f>
        <v>2044.08</v>
      </c>
      <c r="K342" s="42" t="n">
        <f aca="false">'Aturan &amp; Tarif'!$B$5</f>
        <v>2050</v>
      </c>
      <c r="L342" s="42" t="n">
        <f aca="false">'Aturan &amp; Tarif'!$B$6</f>
        <v>350</v>
      </c>
      <c r="M342" s="35" t="n">
        <f aca="false">I342+J342+K342+L342</f>
        <v>23194.08</v>
      </c>
      <c r="N342" s="44" t="s">
        <v>1089</v>
      </c>
    </row>
    <row r="343" customFormat="false" ht="60" hidden="false" customHeight="true" outlineLevel="0" collapsed="false">
      <c r="A343" s="39"/>
      <c r="B343" s="40" t="s">
        <v>1090</v>
      </c>
      <c r="C343" s="41" t="s">
        <v>127</v>
      </c>
      <c r="D343" s="41" t="s">
        <v>108</v>
      </c>
      <c r="E343" s="42" t="n">
        <v>9375</v>
      </c>
      <c r="F343" s="42"/>
      <c r="G343" s="42"/>
      <c r="H343" s="43" t="n">
        <v>2</v>
      </c>
      <c r="I343" s="34" t="n">
        <f aca="false">E343*H343+N(F343)+N(G343)</f>
        <v>18750</v>
      </c>
      <c r="J343" s="42" t="n">
        <f aca="false">ROUND(IFERROR(ROUND(IF(OR(ISNUMBER(SEARCH("week",C343)),ISNUMBER(SEARCH("minggu",C343))),IFERROR(_xlfn.NUMBERVALUE(SUBSTITUTE(LEFT(TRIM(C343),FIND(" ",TRIM(C343)&amp;" ")-1),",","."),"."),LEFT(SUBSTITUTE(LEFT(TRIM(C343),FIND(" ",TRIM(C343)&amp;" ")-1),",","."),FIND("/",SUBSTITUTE(LEFT(TRIM(C343),FIND(" ",TRIM(C343)&amp;" ")-1),",","."))-1)/MID(SUBSTITUTE(LEFT(TRIM(C343),FIND(" ",TRIM(C343)&amp;" ")-1),",","."),FIND("/",SUBSTITUTE(LEFT(TRIM(C343),FIND(" ",TRIM(C343)&amp;" ")-1),",","."))+1,9))*12/52,IF(ISNUMBER(SEARCH("month",C343)),IFERROR(_xlfn.NUMBERVALUE(SUBSTITUTE(LEFT(TRIM(C343),FIND(" ",TRIM(C343)&amp;" ")-1),",","."),"."),LEFT(SUBSTITUTE(LEFT(TRIM(C343),FIND(" ",TRIM(C343)&amp;" ")-1),",","."),FIND("/",SUBSTITUTE(LEFT(TRIM(C343),FIND(" ",TRIM(C343)&amp;" ")-1),",","."))-1)/MID(SUBSTITUTE(LEFT(TRIM(C343),FIND(" ",TRIM(C343)&amp;" ")-1),",","."),FIND("/",SUBSTITUTE(LEFT(TRIM(C343),FIND(" ",TRIM(C343)&amp;" ")-1),",","."))+1,9)),IF(ISNUMBER(SEARCH("yea",C343)),IFERROR(_xlfn.NUMBERVALUE(SUBSTITUTE(LEFT(TRIM(C343),FIND(" ",TRIM(C343)&amp;" ")-1),",","."),"."),LEFT(SUBSTITUTE(LEFT(TRIM(C343),FIND(" ",TRIM(C343)&amp;" ")-1),",","."),FIND("/",SUBSTITUTE(LEFT(TRIM(C343),FIND(" ",TRIM(C343)&amp;" ")-1),",","."))-1)/MID(SUBSTITUTE(LEFT(TRIM(C343),FIND(" ",TRIM(C343)&amp;" ")-1),",","."),FIND("/",SUBSTITUTE(LEFT(TRIM(C343),FIND(" ",TRIM(C343)&amp;" ")-1),",","."))+1,9))*12,NA()))),0),36)*'Aturan &amp; Tarif'!$B$4,2)</f>
        <v>2044.08</v>
      </c>
      <c r="K343" s="42" t="n">
        <f aca="false">'Aturan &amp; Tarif'!$B$5</f>
        <v>2050</v>
      </c>
      <c r="L343" s="42" t="n">
        <f aca="false">'Aturan &amp; Tarif'!$B$6</f>
        <v>350</v>
      </c>
      <c r="M343" s="35" t="n">
        <f aca="false">I343+J343+K343+L343</f>
        <v>23194.08</v>
      </c>
      <c r="N343" s="44" t="s">
        <v>1091</v>
      </c>
    </row>
    <row r="344" customFormat="false" ht="60" hidden="false" customHeight="true" outlineLevel="0" collapsed="false">
      <c r="A344" s="39"/>
      <c r="B344" s="40" t="s">
        <v>1092</v>
      </c>
      <c r="C344" s="41" t="s">
        <v>107</v>
      </c>
      <c r="D344" s="41" t="s">
        <v>108</v>
      </c>
      <c r="E344" s="42" t="n">
        <v>6250</v>
      </c>
      <c r="F344" s="42"/>
      <c r="G344" s="42"/>
      <c r="H344" s="43" t="n">
        <v>2</v>
      </c>
      <c r="I344" s="34" t="n">
        <f aca="false">E344*H344+N(F344)+N(G344)</f>
        <v>12500</v>
      </c>
      <c r="J344" s="42" t="n">
        <f aca="false">ROUND(IFERROR(ROUND(IF(OR(ISNUMBER(SEARCH("week",C344)),ISNUMBER(SEARCH("minggu",C344))),IFERROR(_xlfn.NUMBERVALUE(SUBSTITUTE(LEFT(TRIM(C344),FIND(" ",TRIM(C344)&amp;" ")-1),",","."),"."),LEFT(SUBSTITUTE(LEFT(TRIM(C344),FIND(" ",TRIM(C344)&amp;" ")-1),",","."),FIND("/",SUBSTITUTE(LEFT(TRIM(C344),FIND(" ",TRIM(C344)&amp;" ")-1),",","."))-1)/MID(SUBSTITUTE(LEFT(TRIM(C344),FIND(" ",TRIM(C344)&amp;" ")-1),",","."),FIND("/",SUBSTITUTE(LEFT(TRIM(C344),FIND(" ",TRIM(C344)&amp;" ")-1),",","."))+1,9))*12/52,IF(ISNUMBER(SEARCH("month",C344)),IFERROR(_xlfn.NUMBERVALUE(SUBSTITUTE(LEFT(TRIM(C344),FIND(" ",TRIM(C344)&amp;" ")-1),",","."),"."),LEFT(SUBSTITUTE(LEFT(TRIM(C344),FIND(" ",TRIM(C344)&amp;" ")-1),",","."),FIND("/",SUBSTITUTE(LEFT(TRIM(C344),FIND(" ",TRIM(C344)&amp;" ")-1),",","."))-1)/MID(SUBSTITUTE(LEFT(TRIM(C344),FIND(" ",TRIM(C344)&amp;" ")-1),",","."),FIND("/",SUBSTITUTE(LEFT(TRIM(C344),FIND(" ",TRIM(C344)&amp;" ")-1),",","."))+1,9)),IF(ISNUMBER(SEARCH("yea",C344)),IFERROR(_xlfn.NUMBERVALUE(SUBSTITUTE(LEFT(TRIM(C344),FIND(" ",TRIM(C344)&amp;" ")-1),",","."),"."),LEFT(SUBSTITUTE(LEFT(TRIM(C344),FIND(" ",TRIM(C344)&amp;" ")-1),",","."),FIND("/",SUBSTITUTE(LEFT(TRIM(C344),FIND(" ",TRIM(C344)&amp;" ")-1),",","."))-1)/MID(SUBSTITUTE(LEFT(TRIM(C344),FIND(" ",TRIM(C344)&amp;" ")-1),",","."),FIND("/",SUBSTITUTE(LEFT(TRIM(C344),FIND(" ",TRIM(C344)&amp;" ")-1),",","."))+1,9))*12,NA()))),0),24)*'Aturan &amp; Tarif'!$B$4,2)</f>
        <v>1362.72</v>
      </c>
      <c r="K344" s="42" t="n">
        <f aca="false">'Aturan &amp; Tarif'!$B$5</f>
        <v>2050</v>
      </c>
      <c r="L344" s="42" t="n">
        <f aca="false">'Aturan &amp; Tarif'!$B$6</f>
        <v>350</v>
      </c>
      <c r="M344" s="35" t="n">
        <f aca="false">I344+J344+K344+L344</f>
        <v>16262.72</v>
      </c>
      <c r="N344" s="44" t="s">
        <v>1093</v>
      </c>
    </row>
    <row r="345" customFormat="false" ht="60" hidden="false" customHeight="true" outlineLevel="0" collapsed="false">
      <c r="A345" s="39"/>
      <c r="B345" s="40" t="s">
        <v>1094</v>
      </c>
      <c r="C345" s="41" t="s">
        <v>130</v>
      </c>
      <c r="D345" s="41" t="s">
        <v>108</v>
      </c>
      <c r="E345" s="42" t="n">
        <v>6250</v>
      </c>
      <c r="F345" s="42"/>
      <c r="G345" s="42"/>
      <c r="H345" s="43" t="n">
        <v>2</v>
      </c>
      <c r="I345" s="34" t="n">
        <f aca="false">E345*H345+N(F345)+N(G345)</f>
        <v>12500</v>
      </c>
      <c r="J345" s="42" t="n">
        <f aca="false">ROUND(IFERROR(ROUND(IF(OR(ISNUMBER(SEARCH("week",C345)),ISNUMBER(SEARCH("minggu",C345))),IFERROR(_xlfn.NUMBERVALUE(SUBSTITUTE(LEFT(TRIM(C345),FIND(" ",TRIM(C345)&amp;" ")-1),",","."),"."),LEFT(SUBSTITUTE(LEFT(TRIM(C345),FIND(" ",TRIM(C345)&amp;" ")-1),",","."),FIND("/",SUBSTITUTE(LEFT(TRIM(C345),FIND(" ",TRIM(C345)&amp;" ")-1),",","."))-1)/MID(SUBSTITUTE(LEFT(TRIM(C345),FIND(" ",TRIM(C345)&amp;" ")-1),",","."),FIND("/",SUBSTITUTE(LEFT(TRIM(C345),FIND(" ",TRIM(C345)&amp;" ")-1),",","."))+1,9))*12/52,IF(ISNUMBER(SEARCH("month",C345)),IFERROR(_xlfn.NUMBERVALUE(SUBSTITUTE(LEFT(TRIM(C345),FIND(" ",TRIM(C345)&amp;" ")-1),",","."),"."),LEFT(SUBSTITUTE(LEFT(TRIM(C345),FIND(" ",TRIM(C345)&amp;" ")-1),",","."),FIND("/",SUBSTITUTE(LEFT(TRIM(C345),FIND(" ",TRIM(C345)&amp;" ")-1),",","."))-1)/MID(SUBSTITUTE(LEFT(TRIM(C345),FIND(" ",TRIM(C345)&amp;" ")-1),",","."),FIND("/",SUBSTITUTE(LEFT(TRIM(C345),FIND(" ",TRIM(C345)&amp;" ")-1),",","."))+1,9)),IF(ISNUMBER(SEARCH("yea",C345)),IFERROR(_xlfn.NUMBERVALUE(SUBSTITUTE(LEFT(TRIM(C345),FIND(" ",TRIM(C345)&amp;" ")-1),",","."),"."),LEFT(SUBSTITUTE(LEFT(TRIM(C345),FIND(" ",TRIM(C345)&amp;" ")-1),",","."),FIND("/",SUBSTITUTE(LEFT(TRIM(C345),FIND(" ",TRIM(C345)&amp;" ")-1),",","."))-1)/MID(SUBSTITUTE(LEFT(TRIM(C345),FIND(" ",TRIM(C345)&amp;" ")-1),",","."),FIND("/",SUBSTITUTE(LEFT(TRIM(C345),FIND(" ",TRIM(C345)&amp;" ")-1),",","."))+1,9))*12,NA()))),0),12)*'Aturan &amp; Tarif'!$B$4,2)</f>
        <v>681.36</v>
      </c>
      <c r="K345" s="42" t="n">
        <f aca="false">'Aturan &amp; Tarif'!$B$5</f>
        <v>2050</v>
      </c>
      <c r="L345" s="42" t="n">
        <f aca="false">'Aturan &amp; Tarif'!$B$6</f>
        <v>350</v>
      </c>
      <c r="M345" s="35" t="n">
        <f aca="false">I345+J345+K345+L345</f>
        <v>15581.36</v>
      </c>
      <c r="N345" s="44" t="s">
        <v>1095</v>
      </c>
    </row>
    <row r="346" customFormat="false" ht="60" hidden="false" customHeight="true" outlineLevel="0" collapsed="false">
      <c r="A346" s="39"/>
      <c r="B346" s="40" t="s">
        <v>1096</v>
      </c>
      <c r="C346" s="41" t="s">
        <v>130</v>
      </c>
      <c r="D346" s="41" t="s">
        <v>108</v>
      </c>
      <c r="E346" s="42" t="n">
        <v>9375</v>
      </c>
      <c r="F346" s="42"/>
      <c r="G346" s="42"/>
      <c r="H346" s="43" t="n">
        <v>2</v>
      </c>
      <c r="I346" s="34" t="n">
        <f aca="false">E346*H346+N(F346)+N(G346)</f>
        <v>18750</v>
      </c>
      <c r="J346" s="42" t="n">
        <f aca="false">ROUND(IFERROR(ROUND(IF(OR(ISNUMBER(SEARCH("week",C346)),ISNUMBER(SEARCH("minggu",C346))),IFERROR(_xlfn.NUMBERVALUE(SUBSTITUTE(LEFT(TRIM(C346),FIND(" ",TRIM(C346)&amp;" ")-1),",","."),"."),LEFT(SUBSTITUTE(LEFT(TRIM(C346),FIND(" ",TRIM(C346)&amp;" ")-1),",","."),FIND("/",SUBSTITUTE(LEFT(TRIM(C346),FIND(" ",TRIM(C346)&amp;" ")-1),",","."))-1)/MID(SUBSTITUTE(LEFT(TRIM(C346),FIND(" ",TRIM(C346)&amp;" ")-1),",","."),FIND("/",SUBSTITUTE(LEFT(TRIM(C346),FIND(" ",TRIM(C346)&amp;" ")-1),",","."))+1,9))*12/52,IF(ISNUMBER(SEARCH("month",C346)),IFERROR(_xlfn.NUMBERVALUE(SUBSTITUTE(LEFT(TRIM(C346),FIND(" ",TRIM(C346)&amp;" ")-1),",","."),"."),LEFT(SUBSTITUTE(LEFT(TRIM(C346),FIND(" ",TRIM(C346)&amp;" ")-1),",","."),FIND("/",SUBSTITUTE(LEFT(TRIM(C346),FIND(" ",TRIM(C346)&amp;" ")-1),",","."))-1)/MID(SUBSTITUTE(LEFT(TRIM(C346),FIND(" ",TRIM(C346)&amp;" ")-1),",","."),FIND("/",SUBSTITUTE(LEFT(TRIM(C346),FIND(" ",TRIM(C346)&amp;" ")-1),",","."))+1,9)),IF(ISNUMBER(SEARCH("yea",C346)),IFERROR(_xlfn.NUMBERVALUE(SUBSTITUTE(LEFT(TRIM(C346),FIND(" ",TRIM(C346)&amp;" ")-1),",","."),"."),LEFT(SUBSTITUTE(LEFT(TRIM(C346),FIND(" ",TRIM(C346)&amp;" ")-1),",","."),FIND("/",SUBSTITUTE(LEFT(TRIM(C346),FIND(" ",TRIM(C346)&amp;" ")-1),",","."))-1)/MID(SUBSTITUTE(LEFT(TRIM(C346),FIND(" ",TRIM(C346)&amp;" ")-1),",","."),FIND("/",SUBSTITUTE(LEFT(TRIM(C346),FIND(" ",TRIM(C346)&amp;" ")-1),",","."))+1,9))*12,NA()))),0),12)*'Aturan &amp; Tarif'!$B$4,2)</f>
        <v>681.36</v>
      </c>
      <c r="K346" s="42" t="n">
        <f aca="false">'Aturan &amp; Tarif'!$B$5</f>
        <v>2050</v>
      </c>
      <c r="L346" s="42" t="n">
        <f aca="false">'Aturan &amp; Tarif'!$B$6</f>
        <v>350</v>
      </c>
      <c r="M346" s="35" t="n">
        <f aca="false">I346+J346+K346+L346</f>
        <v>21831.36</v>
      </c>
      <c r="N346" s="44" t="s">
        <v>1097</v>
      </c>
    </row>
    <row r="347" customFormat="false" ht="60" hidden="false" customHeight="true" outlineLevel="0" collapsed="false">
      <c r="A347" s="39"/>
      <c r="B347" s="40" t="s">
        <v>1098</v>
      </c>
      <c r="C347" s="41" t="s">
        <v>127</v>
      </c>
      <c r="D347" s="41" t="s">
        <v>108</v>
      </c>
      <c r="E347" s="42" t="n">
        <v>9375</v>
      </c>
      <c r="F347" s="42"/>
      <c r="G347" s="42"/>
      <c r="H347" s="43" t="n">
        <v>2</v>
      </c>
      <c r="I347" s="34" t="n">
        <f aca="false">E347*H347+N(F347)+N(G347)</f>
        <v>18750</v>
      </c>
      <c r="J347" s="42" t="n">
        <f aca="false">ROUND(IFERROR(ROUND(IF(OR(ISNUMBER(SEARCH("week",C347)),ISNUMBER(SEARCH("minggu",C347))),IFERROR(_xlfn.NUMBERVALUE(SUBSTITUTE(LEFT(TRIM(C347),FIND(" ",TRIM(C347)&amp;" ")-1),",","."),"."),LEFT(SUBSTITUTE(LEFT(TRIM(C347),FIND(" ",TRIM(C347)&amp;" ")-1),",","."),FIND("/",SUBSTITUTE(LEFT(TRIM(C347),FIND(" ",TRIM(C347)&amp;" ")-1),",","."))-1)/MID(SUBSTITUTE(LEFT(TRIM(C347),FIND(" ",TRIM(C347)&amp;" ")-1),",","."),FIND("/",SUBSTITUTE(LEFT(TRIM(C347),FIND(" ",TRIM(C347)&amp;" ")-1),",","."))+1,9))*12/52,IF(ISNUMBER(SEARCH("month",C347)),IFERROR(_xlfn.NUMBERVALUE(SUBSTITUTE(LEFT(TRIM(C347),FIND(" ",TRIM(C347)&amp;" ")-1),",","."),"."),LEFT(SUBSTITUTE(LEFT(TRIM(C347),FIND(" ",TRIM(C347)&amp;" ")-1),",","."),FIND("/",SUBSTITUTE(LEFT(TRIM(C347),FIND(" ",TRIM(C347)&amp;" ")-1),",","."))-1)/MID(SUBSTITUTE(LEFT(TRIM(C347),FIND(" ",TRIM(C347)&amp;" ")-1),",","."),FIND("/",SUBSTITUTE(LEFT(TRIM(C347),FIND(" ",TRIM(C347)&amp;" ")-1),",","."))+1,9)),IF(ISNUMBER(SEARCH("yea",C347)),IFERROR(_xlfn.NUMBERVALUE(SUBSTITUTE(LEFT(TRIM(C347),FIND(" ",TRIM(C347)&amp;" ")-1),",","."),"."),LEFT(SUBSTITUTE(LEFT(TRIM(C347),FIND(" ",TRIM(C347)&amp;" ")-1),",","."),FIND("/",SUBSTITUTE(LEFT(TRIM(C347),FIND(" ",TRIM(C347)&amp;" ")-1),",","."))-1)/MID(SUBSTITUTE(LEFT(TRIM(C347),FIND(" ",TRIM(C347)&amp;" ")-1),",","."),FIND("/",SUBSTITUTE(LEFT(TRIM(C347),FIND(" ",TRIM(C347)&amp;" ")-1),",","."))+1,9))*12,NA()))),0),36)*'Aturan &amp; Tarif'!$B$4,2)</f>
        <v>2044.08</v>
      </c>
      <c r="K347" s="42" t="n">
        <f aca="false">'Aturan &amp; Tarif'!$B$5</f>
        <v>2050</v>
      </c>
      <c r="L347" s="42" t="n">
        <f aca="false">'Aturan &amp; Tarif'!$B$6</f>
        <v>350</v>
      </c>
      <c r="M347" s="35" t="n">
        <f aca="false">I347+J347+K347+L347</f>
        <v>23194.08</v>
      </c>
      <c r="N347" s="44" t="s">
        <v>1099</v>
      </c>
    </row>
    <row r="348" customFormat="false" ht="60" hidden="false" customHeight="true" outlineLevel="0" collapsed="false">
      <c r="A348" s="39"/>
      <c r="B348" s="40" t="s">
        <v>1100</v>
      </c>
      <c r="C348" s="41" t="s">
        <v>127</v>
      </c>
      <c r="D348" s="41" t="s">
        <v>108</v>
      </c>
      <c r="E348" s="42" t="n">
        <v>9375</v>
      </c>
      <c r="F348" s="42"/>
      <c r="G348" s="42"/>
      <c r="H348" s="43" t="n">
        <v>2</v>
      </c>
      <c r="I348" s="34" t="n">
        <f aca="false">E348*H348+N(F348)+N(G348)</f>
        <v>18750</v>
      </c>
      <c r="J348" s="42" t="n">
        <f aca="false">ROUND(IFERROR(ROUND(IF(OR(ISNUMBER(SEARCH("week",C348)),ISNUMBER(SEARCH("minggu",C348))),IFERROR(_xlfn.NUMBERVALUE(SUBSTITUTE(LEFT(TRIM(C348),FIND(" ",TRIM(C348)&amp;" ")-1),",","."),"."),LEFT(SUBSTITUTE(LEFT(TRIM(C348),FIND(" ",TRIM(C348)&amp;" ")-1),",","."),FIND("/",SUBSTITUTE(LEFT(TRIM(C348),FIND(" ",TRIM(C348)&amp;" ")-1),",","."))-1)/MID(SUBSTITUTE(LEFT(TRIM(C348),FIND(" ",TRIM(C348)&amp;" ")-1),",","."),FIND("/",SUBSTITUTE(LEFT(TRIM(C348),FIND(" ",TRIM(C348)&amp;" ")-1),",","."))+1,9))*12/52,IF(ISNUMBER(SEARCH("month",C348)),IFERROR(_xlfn.NUMBERVALUE(SUBSTITUTE(LEFT(TRIM(C348),FIND(" ",TRIM(C348)&amp;" ")-1),",","."),"."),LEFT(SUBSTITUTE(LEFT(TRIM(C348),FIND(" ",TRIM(C348)&amp;" ")-1),",","."),FIND("/",SUBSTITUTE(LEFT(TRIM(C348),FIND(" ",TRIM(C348)&amp;" ")-1),",","."))-1)/MID(SUBSTITUTE(LEFT(TRIM(C348),FIND(" ",TRIM(C348)&amp;" ")-1),",","."),FIND("/",SUBSTITUTE(LEFT(TRIM(C348),FIND(" ",TRIM(C348)&amp;" ")-1),",","."))+1,9)),IF(ISNUMBER(SEARCH("yea",C348)),IFERROR(_xlfn.NUMBERVALUE(SUBSTITUTE(LEFT(TRIM(C348),FIND(" ",TRIM(C348)&amp;" ")-1),",","."),"."),LEFT(SUBSTITUTE(LEFT(TRIM(C348),FIND(" ",TRIM(C348)&amp;" ")-1),",","."),FIND("/",SUBSTITUTE(LEFT(TRIM(C348),FIND(" ",TRIM(C348)&amp;" ")-1),",","."))-1)/MID(SUBSTITUTE(LEFT(TRIM(C348),FIND(" ",TRIM(C348)&amp;" ")-1),",","."),FIND("/",SUBSTITUTE(LEFT(TRIM(C348),FIND(" ",TRIM(C348)&amp;" ")-1),",","."))+1,9))*12,NA()))),0),36)*'Aturan &amp; Tarif'!$B$4,2)</f>
        <v>2044.08</v>
      </c>
      <c r="K348" s="42" t="n">
        <f aca="false">'Aturan &amp; Tarif'!$B$5</f>
        <v>2050</v>
      </c>
      <c r="L348" s="42" t="n">
        <f aca="false">'Aturan &amp; Tarif'!$B$6</f>
        <v>350</v>
      </c>
      <c r="M348" s="35" t="n">
        <f aca="false">I348+J348+K348+L348</f>
        <v>23194.08</v>
      </c>
      <c r="N348" s="44" t="s">
        <v>1101</v>
      </c>
    </row>
    <row r="349" customFormat="false" ht="60" hidden="false" customHeight="true" outlineLevel="0" collapsed="false">
      <c r="A349" s="39"/>
      <c r="B349" s="40" t="s">
        <v>1035</v>
      </c>
      <c r="C349" s="41" t="s">
        <v>130</v>
      </c>
      <c r="D349" s="41" t="s">
        <v>108</v>
      </c>
      <c r="E349" s="42" t="n">
        <v>7900</v>
      </c>
      <c r="F349" s="42"/>
      <c r="G349" s="42"/>
      <c r="H349" s="43" t="n">
        <v>2</v>
      </c>
      <c r="I349" s="34" t="n">
        <f aca="false">E349*H349+N(F349)+N(G349)</f>
        <v>15800</v>
      </c>
      <c r="J349" s="42" t="n">
        <f aca="false">ROUND(IFERROR(ROUND(IF(OR(ISNUMBER(SEARCH("week",C349)),ISNUMBER(SEARCH("minggu",C349))),IFERROR(_xlfn.NUMBERVALUE(SUBSTITUTE(LEFT(TRIM(C349),FIND(" ",TRIM(C349)&amp;" ")-1),",","."),"."),LEFT(SUBSTITUTE(LEFT(TRIM(C349),FIND(" ",TRIM(C349)&amp;" ")-1),",","."),FIND("/",SUBSTITUTE(LEFT(TRIM(C349),FIND(" ",TRIM(C349)&amp;" ")-1),",","."))-1)/MID(SUBSTITUTE(LEFT(TRIM(C349),FIND(" ",TRIM(C349)&amp;" ")-1),",","."),FIND("/",SUBSTITUTE(LEFT(TRIM(C349),FIND(" ",TRIM(C349)&amp;" ")-1),",","."))+1,9))*12/52,IF(ISNUMBER(SEARCH("month",C349)),IFERROR(_xlfn.NUMBERVALUE(SUBSTITUTE(LEFT(TRIM(C349),FIND(" ",TRIM(C349)&amp;" ")-1),",","."),"."),LEFT(SUBSTITUTE(LEFT(TRIM(C349),FIND(" ",TRIM(C349)&amp;" ")-1),",","."),FIND("/",SUBSTITUTE(LEFT(TRIM(C349),FIND(" ",TRIM(C349)&amp;" ")-1),",","."))-1)/MID(SUBSTITUTE(LEFT(TRIM(C349),FIND(" ",TRIM(C349)&amp;" ")-1),",","."),FIND("/",SUBSTITUTE(LEFT(TRIM(C349),FIND(" ",TRIM(C349)&amp;" ")-1),",","."))+1,9)),IF(ISNUMBER(SEARCH("yea",C349)),IFERROR(_xlfn.NUMBERVALUE(SUBSTITUTE(LEFT(TRIM(C349),FIND(" ",TRIM(C349)&amp;" ")-1),",","."),"."),LEFT(SUBSTITUTE(LEFT(TRIM(C349),FIND(" ",TRIM(C349)&amp;" ")-1),",","."),FIND("/",SUBSTITUTE(LEFT(TRIM(C349),FIND(" ",TRIM(C349)&amp;" ")-1),",","."))-1)/MID(SUBSTITUTE(LEFT(TRIM(C349),FIND(" ",TRIM(C349)&amp;" ")-1),",","."),FIND("/",SUBSTITUTE(LEFT(TRIM(C349),FIND(" ",TRIM(C349)&amp;" ")-1),",","."))+1,9))*12,NA()))),0),12)*'Aturan &amp; Tarif'!$B$4,2)</f>
        <v>681.36</v>
      </c>
      <c r="K349" s="42" t="n">
        <f aca="false">'Aturan &amp; Tarif'!$B$5</f>
        <v>2050</v>
      </c>
      <c r="L349" s="42" t="n">
        <f aca="false">'Aturan &amp; Tarif'!$B$6</f>
        <v>350</v>
      </c>
      <c r="M349" s="35" t="n">
        <f aca="false">I349+J349+K349+L349</f>
        <v>18881.36</v>
      </c>
      <c r="N349" s="44" t="s">
        <v>1036</v>
      </c>
    </row>
    <row r="350" customFormat="false" ht="60" hidden="false" customHeight="true" outlineLevel="0" collapsed="false">
      <c r="A350" s="39"/>
      <c r="B350" s="40" t="s">
        <v>1037</v>
      </c>
      <c r="C350" s="41" t="s">
        <v>127</v>
      </c>
      <c r="D350" s="41" t="s">
        <v>108</v>
      </c>
      <c r="E350" s="42" t="n">
        <v>7900</v>
      </c>
      <c r="F350" s="42"/>
      <c r="G350" s="42"/>
      <c r="H350" s="43" t="n">
        <v>2</v>
      </c>
      <c r="I350" s="34" t="n">
        <f aca="false">E350*H350+N(F350)+N(G350)</f>
        <v>15800</v>
      </c>
      <c r="J350" s="42" t="n">
        <f aca="false">ROUND(IFERROR(ROUND(IF(OR(ISNUMBER(SEARCH("week",C350)),ISNUMBER(SEARCH("minggu",C350))),IFERROR(_xlfn.NUMBERVALUE(SUBSTITUTE(LEFT(TRIM(C350),FIND(" ",TRIM(C350)&amp;" ")-1),",","."),"."),LEFT(SUBSTITUTE(LEFT(TRIM(C350),FIND(" ",TRIM(C350)&amp;" ")-1),",","."),FIND("/",SUBSTITUTE(LEFT(TRIM(C350),FIND(" ",TRIM(C350)&amp;" ")-1),",","."))-1)/MID(SUBSTITUTE(LEFT(TRIM(C350),FIND(" ",TRIM(C350)&amp;" ")-1),",","."),FIND("/",SUBSTITUTE(LEFT(TRIM(C350),FIND(" ",TRIM(C350)&amp;" ")-1),",","."))+1,9))*12/52,IF(ISNUMBER(SEARCH("month",C350)),IFERROR(_xlfn.NUMBERVALUE(SUBSTITUTE(LEFT(TRIM(C350),FIND(" ",TRIM(C350)&amp;" ")-1),",","."),"."),LEFT(SUBSTITUTE(LEFT(TRIM(C350),FIND(" ",TRIM(C350)&amp;" ")-1),",","."),FIND("/",SUBSTITUTE(LEFT(TRIM(C350),FIND(" ",TRIM(C350)&amp;" ")-1),",","."))-1)/MID(SUBSTITUTE(LEFT(TRIM(C350),FIND(" ",TRIM(C350)&amp;" ")-1),",","."),FIND("/",SUBSTITUTE(LEFT(TRIM(C350),FIND(" ",TRIM(C350)&amp;" ")-1),",","."))+1,9)),IF(ISNUMBER(SEARCH("yea",C350)),IFERROR(_xlfn.NUMBERVALUE(SUBSTITUTE(LEFT(TRIM(C350),FIND(" ",TRIM(C350)&amp;" ")-1),",","."),"."),LEFT(SUBSTITUTE(LEFT(TRIM(C350),FIND(" ",TRIM(C350)&amp;" ")-1),",","."),FIND("/",SUBSTITUTE(LEFT(TRIM(C350),FIND(" ",TRIM(C350)&amp;" ")-1),",","."))-1)/MID(SUBSTITUTE(LEFT(TRIM(C350),FIND(" ",TRIM(C350)&amp;" ")-1),",","."),FIND("/",SUBSTITUTE(LEFT(TRIM(C350),FIND(" ",TRIM(C350)&amp;" ")-1),",","."))+1,9))*12,NA()))),0),36)*'Aturan &amp; Tarif'!$B$4,2)</f>
        <v>2044.08</v>
      </c>
      <c r="K350" s="42" t="n">
        <f aca="false">'Aturan &amp; Tarif'!$B$5</f>
        <v>2050</v>
      </c>
      <c r="L350" s="42" t="n">
        <f aca="false">'Aturan &amp; Tarif'!$B$6</f>
        <v>350</v>
      </c>
      <c r="M350" s="35" t="n">
        <f aca="false">I350+J350+K350+L350</f>
        <v>20244.08</v>
      </c>
      <c r="N350" s="44" t="s">
        <v>1036</v>
      </c>
    </row>
    <row r="351" customFormat="false" ht="60" hidden="false" customHeight="true" outlineLevel="0" collapsed="false">
      <c r="A351" s="39"/>
      <c r="B351" s="40" t="s">
        <v>1102</v>
      </c>
      <c r="C351" s="41" t="s">
        <v>130</v>
      </c>
      <c r="D351" s="41" t="s">
        <v>108</v>
      </c>
      <c r="E351" s="42" t="n">
        <v>9375</v>
      </c>
      <c r="F351" s="42"/>
      <c r="G351" s="42"/>
      <c r="H351" s="43" t="n">
        <v>2</v>
      </c>
      <c r="I351" s="34" t="n">
        <f aca="false">E351*H351+N(F351)+N(G351)</f>
        <v>18750</v>
      </c>
      <c r="J351" s="42" t="n">
        <f aca="false">ROUND(IFERROR(ROUND(IF(OR(ISNUMBER(SEARCH("week",C351)),ISNUMBER(SEARCH("minggu",C351))),IFERROR(_xlfn.NUMBERVALUE(SUBSTITUTE(LEFT(TRIM(C351),FIND(" ",TRIM(C351)&amp;" ")-1),",","."),"."),LEFT(SUBSTITUTE(LEFT(TRIM(C351),FIND(" ",TRIM(C351)&amp;" ")-1),",","."),FIND("/",SUBSTITUTE(LEFT(TRIM(C351),FIND(" ",TRIM(C351)&amp;" ")-1),",","."))-1)/MID(SUBSTITUTE(LEFT(TRIM(C351),FIND(" ",TRIM(C351)&amp;" ")-1),",","."),FIND("/",SUBSTITUTE(LEFT(TRIM(C351),FIND(" ",TRIM(C351)&amp;" ")-1),",","."))+1,9))*12/52,IF(ISNUMBER(SEARCH("month",C351)),IFERROR(_xlfn.NUMBERVALUE(SUBSTITUTE(LEFT(TRIM(C351),FIND(" ",TRIM(C351)&amp;" ")-1),",","."),"."),LEFT(SUBSTITUTE(LEFT(TRIM(C351),FIND(" ",TRIM(C351)&amp;" ")-1),",","."),FIND("/",SUBSTITUTE(LEFT(TRIM(C351),FIND(" ",TRIM(C351)&amp;" ")-1),",","."))-1)/MID(SUBSTITUTE(LEFT(TRIM(C351),FIND(" ",TRIM(C351)&amp;" ")-1),",","."),FIND("/",SUBSTITUTE(LEFT(TRIM(C351),FIND(" ",TRIM(C351)&amp;" ")-1),",","."))+1,9)),IF(ISNUMBER(SEARCH("yea",C351)),IFERROR(_xlfn.NUMBERVALUE(SUBSTITUTE(LEFT(TRIM(C351),FIND(" ",TRIM(C351)&amp;" ")-1),",","."),"."),LEFT(SUBSTITUTE(LEFT(TRIM(C351),FIND(" ",TRIM(C351)&amp;" ")-1),",","."),FIND("/",SUBSTITUTE(LEFT(TRIM(C351),FIND(" ",TRIM(C351)&amp;" ")-1),",","."))-1)/MID(SUBSTITUTE(LEFT(TRIM(C351),FIND(" ",TRIM(C351)&amp;" ")-1),",","."),FIND("/",SUBSTITUTE(LEFT(TRIM(C351),FIND(" ",TRIM(C351)&amp;" ")-1),",","."))+1,9))*12,NA()))),0),12)*'Aturan &amp; Tarif'!$B$4,2)</f>
        <v>681.36</v>
      </c>
      <c r="K351" s="42" t="n">
        <f aca="false">'Aturan &amp; Tarif'!$B$5</f>
        <v>2050</v>
      </c>
      <c r="L351" s="42" t="n">
        <f aca="false">'Aturan &amp; Tarif'!$B$6</f>
        <v>350</v>
      </c>
      <c r="M351" s="35" t="n">
        <f aca="false">I351+J351+K351+L351</f>
        <v>21831.36</v>
      </c>
      <c r="N351" s="44" t="s">
        <v>1103</v>
      </c>
    </row>
    <row r="352" customFormat="false" ht="60" hidden="false" customHeight="true" outlineLevel="0" collapsed="false">
      <c r="A352" s="39"/>
      <c r="B352" s="40" t="s">
        <v>1104</v>
      </c>
      <c r="C352" s="41" t="s">
        <v>130</v>
      </c>
      <c r="D352" s="41" t="s">
        <v>108</v>
      </c>
      <c r="E352" s="42" t="n">
        <v>7900</v>
      </c>
      <c r="F352" s="42"/>
      <c r="G352" s="42"/>
      <c r="H352" s="43" t="n">
        <v>2</v>
      </c>
      <c r="I352" s="34" t="n">
        <f aca="false">E352*H352+N(F352)+N(G352)</f>
        <v>15800</v>
      </c>
      <c r="J352" s="42" t="n">
        <f aca="false">ROUND(IFERROR(ROUND(IF(OR(ISNUMBER(SEARCH("week",C352)),ISNUMBER(SEARCH("minggu",C352))),IFERROR(_xlfn.NUMBERVALUE(SUBSTITUTE(LEFT(TRIM(C352),FIND(" ",TRIM(C352)&amp;" ")-1),",","."),"."),LEFT(SUBSTITUTE(LEFT(TRIM(C352),FIND(" ",TRIM(C352)&amp;" ")-1),",","."),FIND("/",SUBSTITUTE(LEFT(TRIM(C352),FIND(" ",TRIM(C352)&amp;" ")-1),",","."))-1)/MID(SUBSTITUTE(LEFT(TRIM(C352),FIND(" ",TRIM(C352)&amp;" ")-1),",","."),FIND("/",SUBSTITUTE(LEFT(TRIM(C352),FIND(" ",TRIM(C352)&amp;" ")-1),",","."))+1,9))*12/52,IF(ISNUMBER(SEARCH("month",C352)),IFERROR(_xlfn.NUMBERVALUE(SUBSTITUTE(LEFT(TRIM(C352),FIND(" ",TRIM(C352)&amp;" ")-1),",","."),"."),LEFT(SUBSTITUTE(LEFT(TRIM(C352),FIND(" ",TRIM(C352)&amp;" ")-1),",","."),FIND("/",SUBSTITUTE(LEFT(TRIM(C352),FIND(" ",TRIM(C352)&amp;" ")-1),",","."))-1)/MID(SUBSTITUTE(LEFT(TRIM(C352),FIND(" ",TRIM(C352)&amp;" ")-1),",","."),FIND("/",SUBSTITUTE(LEFT(TRIM(C352),FIND(" ",TRIM(C352)&amp;" ")-1),",","."))+1,9)),IF(ISNUMBER(SEARCH("yea",C352)),IFERROR(_xlfn.NUMBERVALUE(SUBSTITUTE(LEFT(TRIM(C352),FIND(" ",TRIM(C352)&amp;" ")-1),",","."),"."),LEFT(SUBSTITUTE(LEFT(TRIM(C352),FIND(" ",TRIM(C352)&amp;" ")-1),",","."),FIND("/",SUBSTITUTE(LEFT(TRIM(C352),FIND(" ",TRIM(C352)&amp;" ")-1),",","."))-1)/MID(SUBSTITUTE(LEFT(TRIM(C352),FIND(" ",TRIM(C352)&amp;" ")-1),",","."),FIND("/",SUBSTITUTE(LEFT(TRIM(C352),FIND(" ",TRIM(C352)&amp;" ")-1),",","."))+1,9))*12,NA()))),0),12)*'Aturan &amp; Tarif'!$B$4,2)</f>
        <v>681.36</v>
      </c>
      <c r="K352" s="42" t="n">
        <f aca="false">'Aturan &amp; Tarif'!$B$5</f>
        <v>2050</v>
      </c>
      <c r="L352" s="42" t="n">
        <f aca="false">'Aturan &amp; Tarif'!$B$6</f>
        <v>350</v>
      </c>
      <c r="M352" s="35" t="n">
        <f aca="false">I352+J352+K352+L352</f>
        <v>18881.36</v>
      </c>
      <c r="N352" s="44" t="s">
        <v>1105</v>
      </c>
    </row>
    <row r="353" customFormat="false" ht="60" hidden="false" customHeight="true" outlineLevel="0" collapsed="false">
      <c r="A353" s="39"/>
      <c r="B353" s="40" t="s">
        <v>335</v>
      </c>
      <c r="C353" s="41" t="s">
        <v>127</v>
      </c>
      <c r="D353" s="41" t="s">
        <v>108</v>
      </c>
      <c r="E353" s="42" t="n">
        <v>7900</v>
      </c>
      <c r="F353" s="42"/>
      <c r="G353" s="42"/>
      <c r="H353" s="43" t="n">
        <v>2</v>
      </c>
      <c r="I353" s="34" t="n">
        <f aca="false">E353*H353+N(F353)+N(G353)</f>
        <v>15800</v>
      </c>
      <c r="J353" s="42" t="n">
        <f aca="false">ROUND(IFERROR(ROUND(IF(OR(ISNUMBER(SEARCH("week",C353)),ISNUMBER(SEARCH("minggu",C353))),IFERROR(_xlfn.NUMBERVALUE(SUBSTITUTE(LEFT(TRIM(C353),FIND(" ",TRIM(C353)&amp;" ")-1),",","."),"."),LEFT(SUBSTITUTE(LEFT(TRIM(C353),FIND(" ",TRIM(C353)&amp;" ")-1),",","."),FIND("/",SUBSTITUTE(LEFT(TRIM(C353),FIND(" ",TRIM(C353)&amp;" ")-1),",","."))-1)/MID(SUBSTITUTE(LEFT(TRIM(C353),FIND(" ",TRIM(C353)&amp;" ")-1),",","."),FIND("/",SUBSTITUTE(LEFT(TRIM(C353),FIND(" ",TRIM(C353)&amp;" ")-1),",","."))+1,9))*12/52,IF(ISNUMBER(SEARCH("month",C353)),IFERROR(_xlfn.NUMBERVALUE(SUBSTITUTE(LEFT(TRIM(C353),FIND(" ",TRIM(C353)&amp;" ")-1),",","."),"."),LEFT(SUBSTITUTE(LEFT(TRIM(C353),FIND(" ",TRIM(C353)&amp;" ")-1),",","."),FIND("/",SUBSTITUTE(LEFT(TRIM(C353),FIND(" ",TRIM(C353)&amp;" ")-1),",","."))-1)/MID(SUBSTITUTE(LEFT(TRIM(C353),FIND(" ",TRIM(C353)&amp;" ")-1),",","."),FIND("/",SUBSTITUTE(LEFT(TRIM(C353),FIND(" ",TRIM(C353)&amp;" ")-1),",","."))+1,9)),IF(ISNUMBER(SEARCH("yea",C353)),IFERROR(_xlfn.NUMBERVALUE(SUBSTITUTE(LEFT(TRIM(C353),FIND(" ",TRIM(C353)&amp;" ")-1),",","."),"."),LEFT(SUBSTITUTE(LEFT(TRIM(C353),FIND(" ",TRIM(C353)&amp;" ")-1),",","."),FIND("/",SUBSTITUTE(LEFT(TRIM(C353),FIND(" ",TRIM(C353)&amp;" ")-1),",","."))-1)/MID(SUBSTITUTE(LEFT(TRIM(C353),FIND(" ",TRIM(C353)&amp;" ")-1),",","."),FIND("/",SUBSTITUTE(LEFT(TRIM(C353),FIND(" ",TRIM(C353)&amp;" ")-1),",","."))+1,9))*12,NA()))),0),36)*'Aturan &amp; Tarif'!$B$4,2)</f>
        <v>2044.08</v>
      </c>
      <c r="K353" s="42" t="n">
        <f aca="false">'Aturan &amp; Tarif'!$B$5</f>
        <v>2050</v>
      </c>
      <c r="L353" s="42" t="n">
        <f aca="false">'Aturan &amp; Tarif'!$B$6</f>
        <v>350</v>
      </c>
      <c r="M353" s="35" t="n">
        <f aca="false">I353+J353+K353+L353</f>
        <v>20244.08</v>
      </c>
      <c r="N353" s="44" t="s">
        <v>1106</v>
      </c>
    </row>
    <row r="354" customFormat="false" ht="60" hidden="false" customHeight="true" outlineLevel="0" collapsed="false">
      <c r="A354" s="39"/>
      <c r="B354" s="40" t="s">
        <v>1069</v>
      </c>
      <c r="C354" s="41" t="s">
        <v>130</v>
      </c>
      <c r="D354" s="41" t="s">
        <v>108</v>
      </c>
      <c r="E354" s="42" t="n">
        <v>9000</v>
      </c>
      <c r="F354" s="42"/>
      <c r="G354" s="42"/>
      <c r="H354" s="43" t="n">
        <v>2</v>
      </c>
      <c r="I354" s="34" t="n">
        <f aca="false">E354*H354+N(F354)+N(G354)</f>
        <v>18000</v>
      </c>
      <c r="J354" s="42" t="n">
        <f aca="false">ROUND(IFERROR(ROUND(IF(OR(ISNUMBER(SEARCH("week",C354)),ISNUMBER(SEARCH("minggu",C354))),IFERROR(_xlfn.NUMBERVALUE(SUBSTITUTE(LEFT(TRIM(C354),FIND(" ",TRIM(C354)&amp;" ")-1),",","."),"."),LEFT(SUBSTITUTE(LEFT(TRIM(C354),FIND(" ",TRIM(C354)&amp;" ")-1),",","."),FIND("/",SUBSTITUTE(LEFT(TRIM(C354),FIND(" ",TRIM(C354)&amp;" ")-1),",","."))-1)/MID(SUBSTITUTE(LEFT(TRIM(C354),FIND(" ",TRIM(C354)&amp;" ")-1),",","."),FIND("/",SUBSTITUTE(LEFT(TRIM(C354),FIND(" ",TRIM(C354)&amp;" ")-1),",","."))+1,9))*12/52,IF(ISNUMBER(SEARCH("month",C354)),IFERROR(_xlfn.NUMBERVALUE(SUBSTITUTE(LEFT(TRIM(C354),FIND(" ",TRIM(C354)&amp;" ")-1),",","."),"."),LEFT(SUBSTITUTE(LEFT(TRIM(C354),FIND(" ",TRIM(C354)&amp;" ")-1),",","."),FIND("/",SUBSTITUTE(LEFT(TRIM(C354),FIND(" ",TRIM(C354)&amp;" ")-1),",","."))-1)/MID(SUBSTITUTE(LEFT(TRIM(C354),FIND(" ",TRIM(C354)&amp;" ")-1),",","."),FIND("/",SUBSTITUTE(LEFT(TRIM(C354),FIND(" ",TRIM(C354)&amp;" ")-1),",","."))+1,9)),IF(ISNUMBER(SEARCH("yea",C354)),IFERROR(_xlfn.NUMBERVALUE(SUBSTITUTE(LEFT(TRIM(C354),FIND(" ",TRIM(C354)&amp;" ")-1),",","."),"."),LEFT(SUBSTITUTE(LEFT(TRIM(C354),FIND(" ",TRIM(C354)&amp;" ")-1),",","."),FIND("/",SUBSTITUTE(LEFT(TRIM(C354),FIND(" ",TRIM(C354)&amp;" ")-1),",","."))-1)/MID(SUBSTITUTE(LEFT(TRIM(C354),FIND(" ",TRIM(C354)&amp;" ")-1),",","."),FIND("/",SUBSTITUTE(LEFT(TRIM(C354),FIND(" ",TRIM(C354)&amp;" ")-1),",","."))+1,9))*12,NA()))),0),12)*'Aturan &amp; Tarif'!$B$4,2)</f>
        <v>681.36</v>
      </c>
      <c r="K354" s="42" t="n">
        <f aca="false">'Aturan &amp; Tarif'!$B$5</f>
        <v>2050</v>
      </c>
      <c r="L354" s="42" t="n">
        <f aca="false">'Aturan &amp; Tarif'!$B$6</f>
        <v>350</v>
      </c>
      <c r="M354" s="35" t="n">
        <f aca="false">I354+J354+K354+L354</f>
        <v>21081.36</v>
      </c>
      <c r="N354" s="44" t="s">
        <v>1036</v>
      </c>
    </row>
    <row r="355" customFormat="false" ht="60" hidden="false" customHeight="true" outlineLevel="0" collapsed="false">
      <c r="A355" s="39"/>
      <c r="B355" s="40" t="s">
        <v>1070</v>
      </c>
      <c r="C355" s="41" t="s">
        <v>107</v>
      </c>
      <c r="D355" s="41" t="s">
        <v>108</v>
      </c>
      <c r="E355" s="42" t="n">
        <v>9000</v>
      </c>
      <c r="F355" s="42"/>
      <c r="G355" s="42"/>
      <c r="H355" s="43" t="n">
        <v>2</v>
      </c>
      <c r="I355" s="34" t="n">
        <f aca="false">E355*H355+N(F355)+N(G355)</f>
        <v>18000</v>
      </c>
      <c r="J355" s="42" t="n">
        <f aca="false">ROUND(IFERROR(ROUND(IF(OR(ISNUMBER(SEARCH("week",C355)),ISNUMBER(SEARCH("minggu",C355))),IFERROR(_xlfn.NUMBERVALUE(SUBSTITUTE(LEFT(TRIM(C355),FIND(" ",TRIM(C355)&amp;" ")-1),",","."),"."),LEFT(SUBSTITUTE(LEFT(TRIM(C355),FIND(" ",TRIM(C355)&amp;" ")-1),",","."),FIND("/",SUBSTITUTE(LEFT(TRIM(C355),FIND(" ",TRIM(C355)&amp;" ")-1),",","."))-1)/MID(SUBSTITUTE(LEFT(TRIM(C355),FIND(" ",TRIM(C355)&amp;" ")-1),",","."),FIND("/",SUBSTITUTE(LEFT(TRIM(C355),FIND(" ",TRIM(C355)&amp;" ")-1),",","."))+1,9))*12/52,IF(ISNUMBER(SEARCH("month",C355)),IFERROR(_xlfn.NUMBERVALUE(SUBSTITUTE(LEFT(TRIM(C355),FIND(" ",TRIM(C355)&amp;" ")-1),",","."),"."),LEFT(SUBSTITUTE(LEFT(TRIM(C355),FIND(" ",TRIM(C355)&amp;" ")-1),",","."),FIND("/",SUBSTITUTE(LEFT(TRIM(C355),FIND(" ",TRIM(C355)&amp;" ")-1),",","."))-1)/MID(SUBSTITUTE(LEFT(TRIM(C355),FIND(" ",TRIM(C355)&amp;" ")-1),",","."),FIND("/",SUBSTITUTE(LEFT(TRIM(C355),FIND(" ",TRIM(C355)&amp;" ")-1),",","."))+1,9)),IF(ISNUMBER(SEARCH("yea",C355)),IFERROR(_xlfn.NUMBERVALUE(SUBSTITUTE(LEFT(TRIM(C355),FIND(" ",TRIM(C355)&amp;" ")-1),",","."),"."),LEFT(SUBSTITUTE(LEFT(TRIM(C355),FIND(" ",TRIM(C355)&amp;" ")-1),",","."),FIND("/",SUBSTITUTE(LEFT(TRIM(C355),FIND(" ",TRIM(C355)&amp;" ")-1),",","."))-1)/MID(SUBSTITUTE(LEFT(TRIM(C355),FIND(" ",TRIM(C355)&amp;" ")-1),",","."),FIND("/",SUBSTITUTE(LEFT(TRIM(C355),FIND(" ",TRIM(C355)&amp;" ")-1),",","."))+1,9))*12,NA()))),0),24)*'Aturan &amp; Tarif'!$B$4,2)</f>
        <v>1362.72</v>
      </c>
      <c r="K355" s="42" t="n">
        <f aca="false">'Aturan &amp; Tarif'!$B$5</f>
        <v>2050</v>
      </c>
      <c r="L355" s="42" t="n">
        <f aca="false">'Aturan &amp; Tarif'!$B$6</f>
        <v>350</v>
      </c>
      <c r="M355" s="35" t="n">
        <f aca="false">I355+J355+K355+L355</f>
        <v>21762.72</v>
      </c>
      <c r="N355" s="44" t="s">
        <v>1036</v>
      </c>
    </row>
    <row r="356" customFormat="false" ht="60" hidden="false" customHeight="true" outlineLevel="0" collapsed="false">
      <c r="A356" s="39"/>
      <c r="B356" s="40" t="s">
        <v>1107</v>
      </c>
      <c r="C356" s="41" t="s">
        <v>130</v>
      </c>
      <c r="D356" s="41" t="s">
        <v>108</v>
      </c>
      <c r="E356" s="42" t="n">
        <v>4975</v>
      </c>
      <c r="F356" s="42"/>
      <c r="G356" s="42"/>
      <c r="H356" s="43" t="n">
        <v>2</v>
      </c>
      <c r="I356" s="34" t="n">
        <f aca="false">E356*H356+N(F356)+N(G356)</f>
        <v>9950</v>
      </c>
      <c r="J356" s="42" t="n">
        <f aca="false">ROUND(IFERROR(ROUND(IF(OR(ISNUMBER(SEARCH("week",C356)),ISNUMBER(SEARCH("minggu",C356))),IFERROR(_xlfn.NUMBERVALUE(SUBSTITUTE(LEFT(TRIM(C356),FIND(" ",TRIM(C356)&amp;" ")-1),",","."),"."),LEFT(SUBSTITUTE(LEFT(TRIM(C356),FIND(" ",TRIM(C356)&amp;" ")-1),",","."),FIND("/",SUBSTITUTE(LEFT(TRIM(C356),FIND(" ",TRIM(C356)&amp;" ")-1),",","."))-1)/MID(SUBSTITUTE(LEFT(TRIM(C356),FIND(" ",TRIM(C356)&amp;" ")-1),",","."),FIND("/",SUBSTITUTE(LEFT(TRIM(C356),FIND(" ",TRIM(C356)&amp;" ")-1),",","."))+1,9))*12/52,IF(ISNUMBER(SEARCH("month",C356)),IFERROR(_xlfn.NUMBERVALUE(SUBSTITUTE(LEFT(TRIM(C356),FIND(" ",TRIM(C356)&amp;" ")-1),",","."),"."),LEFT(SUBSTITUTE(LEFT(TRIM(C356),FIND(" ",TRIM(C356)&amp;" ")-1),",","."),FIND("/",SUBSTITUTE(LEFT(TRIM(C356),FIND(" ",TRIM(C356)&amp;" ")-1),",","."))-1)/MID(SUBSTITUTE(LEFT(TRIM(C356),FIND(" ",TRIM(C356)&amp;" ")-1),",","."),FIND("/",SUBSTITUTE(LEFT(TRIM(C356),FIND(" ",TRIM(C356)&amp;" ")-1),",","."))+1,9)),IF(ISNUMBER(SEARCH("yea",C356)),IFERROR(_xlfn.NUMBERVALUE(SUBSTITUTE(LEFT(TRIM(C356),FIND(" ",TRIM(C356)&amp;" ")-1),",","."),"."),LEFT(SUBSTITUTE(LEFT(TRIM(C356),FIND(" ",TRIM(C356)&amp;" ")-1),",","."),FIND("/",SUBSTITUTE(LEFT(TRIM(C356),FIND(" ",TRIM(C356)&amp;" ")-1),",","."))-1)/MID(SUBSTITUTE(LEFT(TRIM(C356),FIND(" ",TRIM(C356)&amp;" ")-1),",","."),FIND("/",SUBSTITUTE(LEFT(TRIM(C356),FIND(" ",TRIM(C356)&amp;" ")-1),",","."))+1,9))*12,NA()))),0),12)*'Aturan &amp; Tarif'!$B$4,2)</f>
        <v>681.36</v>
      </c>
      <c r="K356" s="42" t="n">
        <f aca="false">'Aturan &amp; Tarif'!$B$5</f>
        <v>2050</v>
      </c>
      <c r="L356" s="42" t="n">
        <f aca="false">'Aturan &amp; Tarif'!$B$6</f>
        <v>350</v>
      </c>
      <c r="M356" s="35" t="n">
        <f aca="false">I356+J356+K356+L356</f>
        <v>13031.36</v>
      </c>
      <c r="N356" s="44" t="s">
        <v>1108</v>
      </c>
    </row>
    <row r="357" customFormat="false" ht="60" hidden="false" customHeight="true" outlineLevel="0" collapsed="false">
      <c r="A357" s="39"/>
      <c r="B357" s="40" t="s">
        <v>1109</v>
      </c>
      <c r="C357" s="41" t="s">
        <v>130</v>
      </c>
      <c r="D357" s="41" t="s">
        <v>108</v>
      </c>
      <c r="E357" s="42" t="n">
        <v>9950</v>
      </c>
      <c r="F357" s="42"/>
      <c r="G357" s="42"/>
      <c r="H357" s="43" t="n">
        <v>2</v>
      </c>
      <c r="I357" s="34" t="n">
        <f aca="false">E357*H357+N(F357)+N(G357)</f>
        <v>19900</v>
      </c>
      <c r="J357" s="42" t="n">
        <f aca="false">ROUND(IFERROR(ROUND(IF(OR(ISNUMBER(SEARCH("week",C357)),ISNUMBER(SEARCH("minggu",C357))),IFERROR(_xlfn.NUMBERVALUE(SUBSTITUTE(LEFT(TRIM(C357),FIND(" ",TRIM(C357)&amp;" ")-1),",","."),"."),LEFT(SUBSTITUTE(LEFT(TRIM(C357),FIND(" ",TRIM(C357)&amp;" ")-1),",","."),FIND("/",SUBSTITUTE(LEFT(TRIM(C357),FIND(" ",TRIM(C357)&amp;" ")-1),",","."))-1)/MID(SUBSTITUTE(LEFT(TRIM(C357),FIND(" ",TRIM(C357)&amp;" ")-1),",","."),FIND("/",SUBSTITUTE(LEFT(TRIM(C357),FIND(" ",TRIM(C357)&amp;" ")-1),",","."))+1,9))*12/52,IF(ISNUMBER(SEARCH("month",C357)),IFERROR(_xlfn.NUMBERVALUE(SUBSTITUTE(LEFT(TRIM(C357),FIND(" ",TRIM(C357)&amp;" ")-1),",","."),"."),LEFT(SUBSTITUTE(LEFT(TRIM(C357),FIND(" ",TRIM(C357)&amp;" ")-1),",","."),FIND("/",SUBSTITUTE(LEFT(TRIM(C357),FIND(" ",TRIM(C357)&amp;" ")-1),",","."))-1)/MID(SUBSTITUTE(LEFT(TRIM(C357),FIND(" ",TRIM(C357)&amp;" ")-1),",","."),FIND("/",SUBSTITUTE(LEFT(TRIM(C357),FIND(" ",TRIM(C357)&amp;" ")-1),",","."))+1,9)),IF(ISNUMBER(SEARCH("yea",C357)),IFERROR(_xlfn.NUMBERVALUE(SUBSTITUTE(LEFT(TRIM(C357),FIND(" ",TRIM(C357)&amp;" ")-1),",","."),"."),LEFT(SUBSTITUTE(LEFT(TRIM(C357),FIND(" ",TRIM(C357)&amp;" ")-1),",","."),FIND("/",SUBSTITUTE(LEFT(TRIM(C357),FIND(" ",TRIM(C357)&amp;" ")-1),",","."))-1)/MID(SUBSTITUTE(LEFT(TRIM(C357),FIND(" ",TRIM(C357)&amp;" ")-1),",","."),FIND("/",SUBSTITUTE(LEFT(TRIM(C357),FIND(" ",TRIM(C357)&amp;" ")-1),",","."))+1,9))*12,NA()))),0),12)*'Aturan &amp; Tarif'!$B$4,2)</f>
        <v>681.36</v>
      </c>
      <c r="K357" s="42" t="n">
        <f aca="false">'Aturan &amp; Tarif'!$B$5</f>
        <v>2050</v>
      </c>
      <c r="L357" s="42" t="n">
        <f aca="false">'Aturan &amp; Tarif'!$B$6</f>
        <v>350</v>
      </c>
      <c r="M357" s="35" t="n">
        <f aca="false">I357+J357+K357+L357</f>
        <v>22981.36</v>
      </c>
      <c r="N357" s="44" t="s">
        <v>1110</v>
      </c>
    </row>
    <row r="358" customFormat="false" ht="60" hidden="false" customHeight="true" outlineLevel="0" collapsed="false">
      <c r="A358" s="39"/>
      <c r="B358" s="40" t="s">
        <v>1111</v>
      </c>
      <c r="C358" s="41" t="s">
        <v>107</v>
      </c>
      <c r="D358" s="41" t="s">
        <v>108</v>
      </c>
      <c r="E358" s="42" t="n">
        <v>9950</v>
      </c>
      <c r="F358" s="42"/>
      <c r="G358" s="42"/>
      <c r="H358" s="43" t="n">
        <v>2</v>
      </c>
      <c r="I358" s="34" t="n">
        <f aca="false">E358*H358+N(F358)+N(G358)</f>
        <v>19900</v>
      </c>
      <c r="J358" s="42" t="n">
        <f aca="false">ROUND(IFERROR(ROUND(IF(OR(ISNUMBER(SEARCH("week",C358)),ISNUMBER(SEARCH("minggu",C358))),IFERROR(_xlfn.NUMBERVALUE(SUBSTITUTE(LEFT(TRIM(C358),FIND(" ",TRIM(C358)&amp;" ")-1),",","."),"."),LEFT(SUBSTITUTE(LEFT(TRIM(C358),FIND(" ",TRIM(C358)&amp;" ")-1),",","."),FIND("/",SUBSTITUTE(LEFT(TRIM(C358),FIND(" ",TRIM(C358)&amp;" ")-1),",","."))-1)/MID(SUBSTITUTE(LEFT(TRIM(C358),FIND(" ",TRIM(C358)&amp;" ")-1),",","."),FIND("/",SUBSTITUTE(LEFT(TRIM(C358),FIND(" ",TRIM(C358)&amp;" ")-1),",","."))+1,9))*12/52,IF(ISNUMBER(SEARCH("month",C358)),IFERROR(_xlfn.NUMBERVALUE(SUBSTITUTE(LEFT(TRIM(C358),FIND(" ",TRIM(C358)&amp;" ")-1),",","."),"."),LEFT(SUBSTITUTE(LEFT(TRIM(C358),FIND(" ",TRIM(C358)&amp;" ")-1),",","."),FIND("/",SUBSTITUTE(LEFT(TRIM(C358),FIND(" ",TRIM(C358)&amp;" ")-1),",","."))-1)/MID(SUBSTITUTE(LEFT(TRIM(C358),FIND(" ",TRIM(C358)&amp;" ")-1),",","."),FIND("/",SUBSTITUTE(LEFT(TRIM(C358),FIND(" ",TRIM(C358)&amp;" ")-1),",","."))+1,9)),IF(ISNUMBER(SEARCH("yea",C358)),IFERROR(_xlfn.NUMBERVALUE(SUBSTITUTE(LEFT(TRIM(C358),FIND(" ",TRIM(C358)&amp;" ")-1),",","."),"."),LEFT(SUBSTITUTE(LEFT(TRIM(C358),FIND(" ",TRIM(C358)&amp;" ")-1),",","."),FIND("/",SUBSTITUTE(LEFT(TRIM(C358),FIND(" ",TRIM(C358)&amp;" ")-1),",","."))-1)/MID(SUBSTITUTE(LEFT(TRIM(C358),FIND(" ",TRIM(C358)&amp;" ")-1),",","."),FIND("/",SUBSTITUTE(LEFT(TRIM(C358),FIND(" ",TRIM(C358)&amp;" ")-1),",","."))+1,9))*12,NA()))),0),24)*'Aturan &amp; Tarif'!$B$4,2)</f>
        <v>1362.72</v>
      </c>
      <c r="K358" s="42" t="n">
        <f aca="false">'Aturan &amp; Tarif'!$B$5</f>
        <v>2050</v>
      </c>
      <c r="L358" s="42" t="n">
        <f aca="false">'Aturan &amp; Tarif'!$B$6</f>
        <v>350</v>
      </c>
      <c r="M358" s="35" t="n">
        <f aca="false">I358+J358+K358+L358</f>
        <v>23662.72</v>
      </c>
      <c r="N358" s="44" t="s">
        <v>1112</v>
      </c>
    </row>
    <row r="359" customFormat="false" ht="60" hidden="false" customHeight="true" outlineLevel="0" collapsed="false">
      <c r="A359" s="39"/>
      <c r="B359" s="40" t="s">
        <v>1113</v>
      </c>
      <c r="C359" s="41" t="s">
        <v>107</v>
      </c>
      <c r="D359" s="41" t="s">
        <v>108</v>
      </c>
      <c r="E359" s="42" t="n">
        <v>9950</v>
      </c>
      <c r="F359" s="42"/>
      <c r="G359" s="42"/>
      <c r="H359" s="43" t="n">
        <v>2</v>
      </c>
      <c r="I359" s="34" t="n">
        <f aca="false">E359*H359+N(F359)+N(G359)</f>
        <v>19900</v>
      </c>
      <c r="J359" s="42" t="n">
        <f aca="false">ROUND(IFERROR(ROUND(IF(OR(ISNUMBER(SEARCH("week",C359)),ISNUMBER(SEARCH("minggu",C359))),IFERROR(_xlfn.NUMBERVALUE(SUBSTITUTE(LEFT(TRIM(C359),FIND(" ",TRIM(C359)&amp;" ")-1),",","."),"."),LEFT(SUBSTITUTE(LEFT(TRIM(C359),FIND(" ",TRIM(C359)&amp;" ")-1),",","."),FIND("/",SUBSTITUTE(LEFT(TRIM(C359),FIND(" ",TRIM(C359)&amp;" ")-1),",","."))-1)/MID(SUBSTITUTE(LEFT(TRIM(C359),FIND(" ",TRIM(C359)&amp;" ")-1),",","."),FIND("/",SUBSTITUTE(LEFT(TRIM(C359),FIND(" ",TRIM(C359)&amp;" ")-1),",","."))+1,9))*12/52,IF(ISNUMBER(SEARCH("month",C359)),IFERROR(_xlfn.NUMBERVALUE(SUBSTITUTE(LEFT(TRIM(C359),FIND(" ",TRIM(C359)&amp;" ")-1),",","."),"."),LEFT(SUBSTITUTE(LEFT(TRIM(C359),FIND(" ",TRIM(C359)&amp;" ")-1),",","."),FIND("/",SUBSTITUTE(LEFT(TRIM(C359),FIND(" ",TRIM(C359)&amp;" ")-1),",","."))-1)/MID(SUBSTITUTE(LEFT(TRIM(C359),FIND(" ",TRIM(C359)&amp;" ")-1),",","."),FIND("/",SUBSTITUTE(LEFT(TRIM(C359),FIND(" ",TRIM(C359)&amp;" ")-1),",","."))+1,9)),IF(ISNUMBER(SEARCH("yea",C359)),IFERROR(_xlfn.NUMBERVALUE(SUBSTITUTE(LEFT(TRIM(C359),FIND(" ",TRIM(C359)&amp;" ")-1),",","."),"."),LEFT(SUBSTITUTE(LEFT(TRIM(C359),FIND(" ",TRIM(C359)&amp;" ")-1),",","."),FIND("/",SUBSTITUTE(LEFT(TRIM(C359),FIND(" ",TRIM(C359)&amp;" ")-1),",","."))-1)/MID(SUBSTITUTE(LEFT(TRIM(C359),FIND(" ",TRIM(C359)&amp;" ")-1),",","."),FIND("/",SUBSTITUTE(LEFT(TRIM(C359),FIND(" ",TRIM(C359)&amp;" ")-1),",","."))+1,9))*12,NA()))),0),24)*'Aturan &amp; Tarif'!$B$4,2)</f>
        <v>1362.72</v>
      </c>
      <c r="K359" s="42" t="n">
        <f aca="false">'Aturan &amp; Tarif'!$B$5</f>
        <v>2050</v>
      </c>
      <c r="L359" s="42" t="n">
        <f aca="false">'Aturan &amp; Tarif'!$B$6</f>
        <v>350</v>
      </c>
      <c r="M359" s="35" t="n">
        <f aca="false">I359+J359+K359+L359</f>
        <v>23662.72</v>
      </c>
      <c r="N359" s="44" t="s">
        <v>1114</v>
      </c>
    </row>
    <row r="360" customFormat="false" ht="60" hidden="false" customHeight="true" outlineLevel="0" collapsed="false">
      <c r="A360" s="39"/>
      <c r="B360" s="40" t="s">
        <v>1115</v>
      </c>
      <c r="C360" s="41" t="s">
        <v>130</v>
      </c>
      <c r="D360" s="41" t="s">
        <v>108</v>
      </c>
      <c r="E360" s="42" t="n">
        <v>4500</v>
      </c>
      <c r="F360" s="42"/>
      <c r="G360" s="42"/>
      <c r="H360" s="43" t="n">
        <v>2</v>
      </c>
      <c r="I360" s="34" t="n">
        <f aca="false">E360*H360+N(F360)+N(G360)</f>
        <v>9000</v>
      </c>
      <c r="J360" s="42" t="n">
        <f aca="false">ROUND(IFERROR(ROUND(IF(OR(ISNUMBER(SEARCH("week",C360)),ISNUMBER(SEARCH("minggu",C360))),IFERROR(_xlfn.NUMBERVALUE(SUBSTITUTE(LEFT(TRIM(C360),FIND(" ",TRIM(C360)&amp;" ")-1),",","."),"."),LEFT(SUBSTITUTE(LEFT(TRIM(C360),FIND(" ",TRIM(C360)&amp;" ")-1),",","."),FIND("/",SUBSTITUTE(LEFT(TRIM(C360),FIND(" ",TRIM(C360)&amp;" ")-1),",","."))-1)/MID(SUBSTITUTE(LEFT(TRIM(C360),FIND(" ",TRIM(C360)&amp;" ")-1),",","."),FIND("/",SUBSTITUTE(LEFT(TRIM(C360),FIND(" ",TRIM(C360)&amp;" ")-1),",","."))+1,9))*12/52,IF(ISNUMBER(SEARCH("month",C360)),IFERROR(_xlfn.NUMBERVALUE(SUBSTITUTE(LEFT(TRIM(C360),FIND(" ",TRIM(C360)&amp;" ")-1),",","."),"."),LEFT(SUBSTITUTE(LEFT(TRIM(C360),FIND(" ",TRIM(C360)&amp;" ")-1),",","."),FIND("/",SUBSTITUTE(LEFT(TRIM(C360),FIND(" ",TRIM(C360)&amp;" ")-1),",","."))-1)/MID(SUBSTITUTE(LEFT(TRIM(C360),FIND(" ",TRIM(C360)&amp;" ")-1),",","."),FIND("/",SUBSTITUTE(LEFT(TRIM(C360),FIND(" ",TRIM(C360)&amp;" ")-1),",","."))+1,9)),IF(ISNUMBER(SEARCH("yea",C360)),IFERROR(_xlfn.NUMBERVALUE(SUBSTITUTE(LEFT(TRIM(C360),FIND(" ",TRIM(C360)&amp;" ")-1),",","."),"."),LEFT(SUBSTITUTE(LEFT(TRIM(C360),FIND(" ",TRIM(C360)&amp;" ")-1),",","."),FIND("/",SUBSTITUTE(LEFT(TRIM(C360),FIND(" ",TRIM(C360)&amp;" ")-1),",","."))-1)/MID(SUBSTITUTE(LEFT(TRIM(C360),FIND(" ",TRIM(C360)&amp;" ")-1),",","."),FIND("/",SUBSTITUTE(LEFT(TRIM(C360),FIND(" ",TRIM(C360)&amp;" ")-1),",","."))+1,9))*12,NA()))),0),12)*'Aturan &amp; Tarif'!$B$4,2)</f>
        <v>681.36</v>
      </c>
      <c r="K360" s="42" t="n">
        <f aca="false">'Aturan &amp; Tarif'!$B$5</f>
        <v>2050</v>
      </c>
      <c r="L360" s="42" t="n">
        <f aca="false">'Aturan &amp; Tarif'!$B$6</f>
        <v>350</v>
      </c>
      <c r="M360" s="35" t="n">
        <f aca="false">I360+J360+K360+L360</f>
        <v>12081.36</v>
      </c>
      <c r="N360" s="44" t="s">
        <v>1116</v>
      </c>
    </row>
    <row r="361" customFormat="false" ht="60" hidden="false" customHeight="true" outlineLevel="0" collapsed="false">
      <c r="A361" s="39"/>
      <c r="B361" s="40" t="s">
        <v>1117</v>
      </c>
      <c r="C361" s="41" t="s">
        <v>130</v>
      </c>
      <c r="D361" s="41" t="s">
        <v>108</v>
      </c>
      <c r="E361" s="42" t="n">
        <v>9000</v>
      </c>
      <c r="F361" s="42"/>
      <c r="G361" s="42"/>
      <c r="H361" s="43" t="n">
        <v>2</v>
      </c>
      <c r="I361" s="34" t="n">
        <f aca="false">E361*H361+N(F361)+N(G361)</f>
        <v>18000</v>
      </c>
      <c r="J361" s="42" t="n">
        <f aca="false">ROUND(IFERROR(ROUND(IF(OR(ISNUMBER(SEARCH("week",C361)),ISNUMBER(SEARCH("minggu",C361))),IFERROR(_xlfn.NUMBERVALUE(SUBSTITUTE(LEFT(TRIM(C361),FIND(" ",TRIM(C361)&amp;" ")-1),",","."),"."),LEFT(SUBSTITUTE(LEFT(TRIM(C361),FIND(" ",TRIM(C361)&amp;" ")-1),",","."),FIND("/",SUBSTITUTE(LEFT(TRIM(C361),FIND(" ",TRIM(C361)&amp;" ")-1),",","."))-1)/MID(SUBSTITUTE(LEFT(TRIM(C361),FIND(" ",TRIM(C361)&amp;" ")-1),",","."),FIND("/",SUBSTITUTE(LEFT(TRIM(C361),FIND(" ",TRIM(C361)&amp;" ")-1),",","."))+1,9))*12/52,IF(ISNUMBER(SEARCH("month",C361)),IFERROR(_xlfn.NUMBERVALUE(SUBSTITUTE(LEFT(TRIM(C361),FIND(" ",TRIM(C361)&amp;" ")-1),",","."),"."),LEFT(SUBSTITUTE(LEFT(TRIM(C361),FIND(" ",TRIM(C361)&amp;" ")-1),",","."),FIND("/",SUBSTITUTE(LEFT(TRIM(C361),FIND(" ",TRIM(C361)&amp;" ")-1),",","."))-1)/MID(SUBSTITUTE(LEFT(TRIM(C361),FIND(" ",TRIM(C361)&amp;" ")-1),",","."),FIND("/",SUBSTITUTE(LEFT(TRIM(C361),FIND(" ",TRIM(C361)&amp;" ")-1),",","."))+1,9)),IF(ISNUMBER(SEARCH("yea",C361)),IFERROR(_xlfn.NUMBERVALUE(SUBSTITUTE(LEFT(TRIM(C361),FIND(" ",TRIM(C361)&amp;" ")-1),",","."),"."),LEFT(SUBSTITUTE(LEFT(TRIM(C361),FIND(" ",TRIM(C361)&amp;" ")-1),",","."),FIND("/",SUBSTITUTE(LEFT(TRIM(C361),FIND(" ",TRIM(C361)&amp;" ")-1),",","."))-1)/MID(SUBSTITUTE(LEFT(TRIM(C361),FIND(" ",TRIM(C361)&amp;" ")-1),",","."),FIND("/",SUBSTITUTE(LEFT(TRIM(C361),FIND(" ",TRIM(C361)&amp;" ")-1),",","."))+1,9))*12,NA()))),0),12)*'Aturan &amp; Tarif'!$B$4,2)</f>
        <v>681.36</v>
      </c>
      <c r="K361" s="42" t="n">
        <f aca="false">'Aturan &amp; Tarif'!$B$5</f>
        <v>2050</v>
      </c>
      <c r="L361" s="42" t="n">
        <f aca="false">'Aturan &amp; Tarif'!$B$6</f>
        <v>350</v>
      </c>
      <c r="M361" s="35" t="n">
        <f aca="false">I361+J361+K361+L361</f>
        <v>21081.36</v>
      </c>
      <c r="N361" s="44" t="s">
        <v>1118</v>
      </c>
    </row>
    <row r="362" customFormat="false" ht="60" hidden="false" customHeight="true" outlineLevel="0" collapsed="false">
      <c r="A362" s="39"/>
      <c r="B362" s="40" t="s">
        <v>349</v>
      </c>
      <c r="C362" s="41" t="s">
        <v>107</v>
      </c>
      <c r="D362" s="41" t="s">
        <v>108</v>
      </c>
      <c r="E362" s="42" t="n">
        <v>9000</v>
      </c>
      <c r="F362" s="42"/>
      <c r="G362" s="42"/>
      <c r="H362" s="43" t="n">
        <v>2</v>
      </c>
      <c r="I362" s="34" t="n">
        <f aca="false">E362*H362+N(F362)+N(G362)</f>
        <v>18000</v>
      </c>
      <c r="J362" s="42" t="n">
        <f aca="false">ROUND(IFERROR(ROUND(IF(OR(ISNUMBER(SEARCH("week",C362)),ISNUMBER(SEARCH("minggu",C362))),IFERROR(_xlfn.NUMBERVALUE(SUBSTITUTE(LEFT(TRIM(C362),FIND(" ",TRIM(C362)&amp;" ")-1),",","."),"."),LEFT(SUBSTITUTE(LEFT(TRIM(C362),FIND(" ",TRIM(C362)&amp;" ")-1),",","."),FIND("/",SUBSTITUTE(LEFT(TRIM(C362),FIND(" ",TRIM(C362)&amp;" ")-1),",","."))-1)/MID(SUBSTITUTE(LEFT(TRIM(C362),FIND(" ",TRIM(C362)&amp;" ")-1),",","."),FIND("/",SUBSTITUTE(LEFT(TRIM(C362),FIND(" ",TRIM(C362)&amp;" ")-1),",","."))+1,9))*12/52,IF(ISNUMBER(SEARCH("month",C362)),IFERROR(_xlfn.NUMBERVALUE(SUBSTITUTE(LEFT(TRIM(C362),FIND(" ",TRIM(C362)&amp;" ")-1),",","."),"."),LEFT(SUBSTITUTE(LEFT(TRIM(C362),FIND(" ",TRIM(C362)&amp;" ")-1),",","."),FIND("/",SUBSTITUTE(LEFT(TRIM(C362),FIND(" ",TRIM(C362)&amp;" ")-1),",","."))-1)/MID(SUBSTITUTE(LEFT(TRIM(C362),FIND(" ",TRIM(C362)&amp;" ")-1),",","."),FIND("/",SUBSTITUTE(LEFT(TRIM(C362),FIND(" ",TRIM(C362)&amp;" ")-1),",","."))+1,9)),IF(ISNUMBER(SEARCH("yea",C362)),IFERROR(_xlfn.NUMBERVALUE(SUBSTITUTE(LEFT(TRIM(C362),FIND(" ",TRIM(C362)&amp;" ")-1),",","."),"."),LEFT(SUBSTITUTE(LEFT(TRIM(C362),FIND(" ",TRIM(C362)&amp;" ")-1),",","."),FIND("/",SUBSTITUTE(LEFT(TRIM(C362),FIND(" ",TRIM(C362)&amp;" ")-1),",","."))-1)/MID(SUBSTITUTE(LEFT(TRIM(C362),FIND(" ",TRIM(C362)&amp;" ")-1),",","."),FIND("/",SUBSTITUTE(LEFT(TRIM(C362),FIND(" ",TRIM(C362)&amp;" ")-1),",","."))+1,9))*12,NA()))),0),24)*'Aturan &amp; Tarif'!$B$4,2)</f>
        <v>1362.72</v>
      </c>
      <c r="K362" s="42" t="n">
        <f aca="false">'Aturan &amp; Tarif'!$B$5</f>
        <v>2050</v>
      </c>
      <c r="L362" s="42" t="n">
        <f aca="false">'Aturan &amp; Tarif'!$B$6</f>
        <v>350</v>
      </c>
      <c r="M362" s="35" t="n">
        <f aca="false">I362+J362+K362+L362</f>
        <v>21762.72</v>
      </c>
      <c r="N362" s="44" t="s">
        <v>1119</v>
      </c>
    </row>
    <row r="363" customFormat="false" ht="60" hidden="false" customHeight="true" outlineLevel="0" collapsed="false">
      <c r="A363" s="39"/>
      <c r="B363" s="40" t="s">
        <v>1120</v>
      </c>
      <c r="C363" s="41" t="s">
        <v>107</v>
      </c>
      <c r="D363" s="41" t="s">
        <v>108</v>
      </c>
      <c r="E363" s="42" t="n">
        <v>9000</v>
      </c>
      <c r="F363" s="42"/>
      <c r="G363" s="42"/>
      <c r="H363" s="43" t="n">
        <v>2</v>
      </c>
      <c r="I363" s="34" t="n">
        <f aca="false">E363*H363+N(F363)+N(G363)</f>
        <v>18000</v>
      </c>
      <c r="J363" s="42" t="n">
        <f aca="false">ROUND(IFERROR(ROUND(IF(OR(ISNUMBER(SEARCH("week",C363)),ISNUMBER(SEARCH("minggu",C363))),IFERROR(_xlfn.NUMBERVALUE(SUBSTITUTE(LEFT(TRIM(C363),FIND(" ",TRIM(C363)&amp;" ")-1),",","."),"."),LEFT(SUBSTITUTE(LEFT(TRIM(C363),FIND(" ",TRIM(C363)&amp;" ")-1),",","."),FIND("/",SUBSTITUTE(LEFT(TRIM(C363),FIND(" ",TRIM(C363)&amp;" ")-1),",","."))-1)/MID(SUBSTITUTE(LEFT(TRIM(C363),FIND(" ",TRIM(C363)&amp;" ")-1),",","."),FIND("/",SUBSTITUTE(LEFT(TRIM(C363),FIND(" ",TRIM(C363)&amp;" ")-1),",","."))+1,9))*12/52,IF(ISNUMBER(SEARCH("month",C363)),IFERROR(_xlfn.NUMBERVALUE(SUBSTITUTE(LEFT(TRIM(C363),FIND(" ",TRIM(C363)&amp;" ")-1),",","."),"."),LEFT(SUBSTITUTE(LEFT(TRIM(C363),FIND(" ",TRIM(C363)&amp;" ")-1),",","."),FIND("/",SUBSTITUTE(LEFT(TRIM(C363),FIND(" ",TRIM(C363)&amp;" ")-1),",","."))-1)/MID(SUBSTITUTE(LEFT(TRIM(C363),FIND(" ",TRIM(C363)&amp;" ")-1),",","."),FIND("/",SUBSTITUTE(LEFT(TRIM(C363),FIND(" ",TRIM(C363)&amp;" ")-1),",","."))+1,9)),IF(ISNUMBER(SEARCH("yea",C363)),IFERROR(_xlfn.NUMBERVALUE(SUBSTITUTE(LEFT(TRIM(C363),FIND(" ",TRIM(C363)&amp;" ")-1),",","."),"."),LEFT(SUBSTITUTE(LEFT(TRIM(C363),FIND(" ",TRIM(C363)&amp;" ")-1),",","."),FIND("/",SUBSTITUTE(LEFT(TRIM(C363),FIND(" ",TRIM(C363)&amp;" ")-1),",","."))-1)/MID(SUBSTITUTE(LEFT(TRIM(C363),FIND(" ",TRIM(C363)&amp;" ")-1),",","."),FIND("/",SUBSTITUTE(LEFT(TRIM(C363),FIND(" ",TRIM(C363)&amp;" ")-1),",","."))+1,9))*12,NA()))),0),24)*'Aturan &amp; Tarif'!$B$4,2)</f>
        <v>1362.72</v>
      </c>
      <c r="K363" s="42" t="n">
        <f aca="false">'Aturan &amp; Tarif'!$B$5</f>
        <v>2050</v>
      </c>
      <c r="L363" s="42" t="n">
        <f aca="false">'Aturan &amp; Tarif'!$B$6</f>
        <v>350</v>
      </c>
      <c r="M363" s="35" t="n">
        <f aca="false">I363+J363+K363+L363</f>
        <v>21762.72</v>
      </c>
      <c r="N363" s="44" t="s">
        <v>1121</v>
      </c>
    </row>
    <row r="364" customFormat="false" ht="60" hidden="false" customHeight="true" outlineLevel="0" collapsed="false">
      <c r="A364" s="39"/>
      <c r="B364" s="40" t="s">
        <v>1122</v>
      </c>
      <c r="C364" s="41" t="s">
        <v>130</v>
      </c>
      <c r="D364" s="41" t="s">
        <v>108</v>
      </c>
      <c r="E364" s="42" t="n">
        <v>7332.5</v>
      </c>
      <c r="F364" s="42"/>
      <c r="G364" s="42"/>
      <c r="H364" s="43" t="n">
        <v>2</v>
      </c>
      <c r="I364" s="34" t="n">
        <f aca="false">E364*H364+N(F364)+N(G364)</f>
        <v>14665</v>
      </c>
      <c r="J364" s="42" t="n">
        <f aca="false">ROUND(IFERROR(ROUND(IF(OR(ISNUMBER(SEARCH("week",C364)),ISNUMBER(SEARCH("minggu",C364))),IFERROR(_xlfn.NUMBERVALUE(SUBSTITUTE(LEFT(TRIM(C364),FIND(" ",TRIM(C364)&amp;" ")-1),",","."),"."),LEFT(SUBSTITUTE(LEFT(TRIM(C364),FIND(" ",TRIM(C364)&amp;" ")-1),",","."),FIND("/",SUBSTITUTE(LEFT(TRIM(C364),FIND(" ",TRIM(C364)&amp;" ")-1),",","."))-1)/MID(SUBSTITUTE(LEFT(TRIM(C364),FIND(" ",TRIM(C364)&amp;" ")-1),",","."),FIND("/",SUBSTITUTE(LEFT(TRIM(C364),FIND(" ",TRIM(C364)&amp;" ")-1),",","."))+1,9))*12/52,IF(ISNUMBER(SEARCH("month",C364)),IFERROR(_xlfn.NUMBERVALUE(SUBSTITUTE(LEFT(TRIM(C364),FIND(" ",TRIM(C364)&amp;" ")-1),",","."),"."),LEFT(SUBSTITUTE(LEFT(TRIM(C364),FIND(" ",TRIM(C364)&amp;" ")-1),",","."),FIND("/",SUBSTITUTE(LEFT(TRIM(C364),FIND(" ",TRIM(C364)&amp;" ")-1),",","."))-1)/MID(SUBSTITUTE(LEFT(TRIM(C364),FIND(" ",TRIM(C364)&amp;" ")-1),",","."),FIND("/",SUBSTITUTE(LEFT(TRIM(C364),FIND(" ",TRIM(C364)&amp;" ")-1),",","."))+1,9)),IF(ISNUMBER(SEARCH("yea",C364)),IFERROR(_xlfn.NUMBERVALUE(SUBSTITUTE(LEFT(TRIM(C364),FIND(" ",TRIM(C364)&amp;" ")-1),",","."),"."),LEFT(SUBSTITUTE(LEFT(TRIM(C364),FIND(" ",TRIM(C364)&amp;" ")-1),",","."),FIND("/",SUBSTITUTE(LEFT(TRIM(C364),FIND(" ",TRIM(C364)&amp;" ")-1),",","."))-1)/MID(SUBSTITUTE(LEFT(TRIM(C364),FIND(" ",TRIM(C364)&amp;" ")-1),",","."),FIND("/",SUBSTITUTE(LEFT(TRIM(C364),FIND(" ",TRIM(C364)&amp;" ")-1),",","."))+1,9))*12,NA()))),0),12)*'Aturan &amp; Tarif'!$B$4,2)</f>
        <v>681.36</v>
      </c>
      <c r="K364" s="42" t="n">
        <f aca="false">'Aturan &amp; Tarif'!$B$5</f>
        <v>2050</v>
      </c>
      <c r="L364" s="42" t="n">
        <f aca="false">'Aturan &amp; Tarif'!$B$6</f>
        <v>350</v>
      </c>
      <c r="M364" s="35" t="n">
        <f aca="false">I364+J364+K364+L364</f>
        <v>17746.36</v>
      </c>
      <c r="N364" s="44" t="s">
        <v>1123</v>
      </c>
    </row>
    <row r="365" customFormat="false" ht="60" hidden="false" customHeight="true" outlineLevel="0" collapsed="false">
      <c r="A365" s="39"/>
      <c r="B365" s="40" t="s">
        <v>1124</v>
      </c>
      <c r="C365" s="41" t="s">
        <v>127</v>
      </c>
      <c r="D365" s="41" t="s">
        <v>108</v>
      </c>
      <c r="E365" s="42" t="n">
        <v>7332.5</v>
      </c>
      <c r="F365" s="42"/>
      <c r="G365" s="42"/>
      <c r="H365" s="43" t="n">
        <v>2</v>
      </c>
      <c r="I365" s="34" t="n">
        <f aca="false">E365*H365+N(F365)+N(G365)</f>
        <v>14665</v>
      </c>
      <c r="J365" s="42" t="n">
        <f aca="false">ROUND(IFERROR(ROUND(IF(OR(ISNUMBER(SEARCH("week",C365)),ISNUMBER(SEARCH("minggu",C365))),IFERROR(_xlfn.NUMBERVALUE(SUBSTITUTE(LEFT(TRIM(C365),FIND(" ",TRIM(C365)&amp;" ")-1),",","."),"."),LEFT(SUBSTITUTE(LEFT(TRIM(C365),FIND(" ",TRIM(C365)&amp;" ")-1),",","."),FIND("/",SUBSTITUTE(LEFT(TRIM(C365),FIND(" ",TRIM(C365)&amp;" ")-1),",","."))-1)/MID(SUBSTITUTE(LEFT(TRIM(C365),FIND(" ",TRIM(C365)&amp;" ")-1),",","."),FIND("/",SUBSTITUTE(LEFT(TRIM(C365),FIND(" ",TRIM(C365)&amp;" ")-1),",","."))+1,9))*12/52,IF(ISNUMBER(SEARCH("month",C365)),IFERROR(_xlfn.NUMBERVALUE(SUBSTITUTE(LEFT(TRIM(C365),FIND(" ",TRIM(C365)&amp;" ")-1),",","."),"."),LEFT(SUBSTITUTE(LEFT(TRIM(C365),FIND(" ",TRIM(C365)&amp;" ")-1),",","."),FIND("/",SUBSTITUTE(LEFT(TRIM(C365),FIND(" ",TRIM(C365)&amp;" ")-1),",","."))-1)/MID(SUBSTITUTE(LEFT(TRIM(C365),FIND(" ",TRIM(C365)&amp;" ")-1),",","."),FIND("/",SUBSTITUTE(LEFT(TRIM(C365),FIND(" ",TRIM(C365)&amp;" ")-1),",","."))+1,9)),IF(ISNUMBER(SEARCH("yea",C365)),IFERROR(_xlfn.NUMBERVALUE(SUBSTITUTE(LEFT(TRIM(C365),FIND(" ",TRIM(C365)&amp;" ")-1),",","."),"."),LEFT(SUBSTITUTE(LEFT(TRIM(C365),FIND(" ",TRIM(C365)&amp;" ")-1),",","."),FIND("/",SUBSTITUTE(LEFT(TRIM(C365),FIND(" ",TRIM(C365)&amp;" ")-1),",","."))-1)/MID(SUBSTITUTE(LEFT(TRIM(C365),FIND(" ",TRIM(C365)&amp;" ")-1),",","."),FIND("/",SUBSTITUTE(LEFT(TRIM(C365),FIND(" ",TRIM(C365)&amp;" ")-1),",","."))+1,9))*12,NA()))),0),36)*'Aturan &amp; Tarif'!$B$4,2)</f>
        <v>2044.08</v>
      </c>
      <c r="K365" s="42" t="n">
        <f aca="false">'Aturan &amp; Tarif'!$B$5</f>
        <v>2050</v>
      </c>
      <c r="L365" s="42" t="n">
        <f aca="false">'Aturan &amp; Tarif'!$B$6</f>
        <v>350</v>
      </c>
      <c r="M365" s="35" t="n">
        <f aca="false">I365+J365+K365+L365</f>
        <v>19109.08</v>
      </c>
      <c r="N365" s="44" t="s">
        <v>1125</v>
      </c>
    </row>
    <row r="366" customFormat="false" ht="60" hidden="false" customHeight="true" outlineLevel="0" collapsed="false">
      <c r="A366" s="39"/>
      <c r="B366" s="40" t="s">
        <v>1126</v>
      </c>
      <c r="C366" s="41" t="s">
        <v>130</v>
      </c>
      <c r="D366" s="41" t="s">
        <v>108</v>
      </c>
      <c r="E366" s="42" t="n">
        <v>7333</v>
      </c>
      <c r="F366" s="42"/>
      <c r="G366" s="42"/>
      <c r="H366" s="43" t="n">
        <v>2</v>
      </c>
      <c r="I366" s="34" t="n">
        <f aca="false">E366*H366+N(F366)+N(G366)</f>
        <v>14666</v>
      </c>
      <c r="J366" s="42" t="n">
        <f aca="false">ROUND(IFERROR(ROUND(IF(OR(ISNUMBER(SEARCH("week",C366)),ISNUMBER(SEARCH("minggu",C366))),IFERROR(_xlfn.NUMBERVALUE(SUBSTITUTE(LEFT(TRIM(C366),FIND(" ",TRIM(C366)&amp;" ")-1),",","."),"."),LEFT(SUBSTITUTE(LEFT(TRIM(C366),FIND(" ",TRIM(C366)&amp;" ")-1),",","."),FIND("/",SUBSTITUTE(LEFT(TRIM(C366),FIND(" ",TRIM(C366)&amp;" ")-1),",","."))-1)/MID(SUBSTITUTE(LEFT(TRIM(C366),FIND(" ",TRIM(C366)&amp;" ")-1),",","."),FIND("/",SUBSTITUTE(LEFT(TRIM(C366),FIND(" ",TRIM(C366)&amp;" ")-1),",","."))+1,9))*12/52,IF(ISNUMBER(SEARCH("month",C366)),IFERROR(_xlfn.NUMBERVALUE(SUBSTITUTE(LEFT(TRIM(C366),FIND(" ",TRIM(C366)&amp;" ")-1),",","."),"."),LEFT(SUBSTITUTE(LEFT(TRIM(C366),FIND(" ",TRIM(C366)&amp;" ")-1),",","."),FIND("/",SUBSTITUTE(LEFT(TRIM(C366),FIND(" ",TRIM(C366)&amp;" ")-1),",","."))-1)/MID(SUBSTITUTE(LEFT(TRIM(C366),FIND(" ",TRIM(C366)&amp;" ")-1),",","."),FIND("/",SUBSTITUTE(LEFT(TRIM(C366),FIND(" ",TRIM(C366)&amp;" ")-1),",","."))+1,9)),IF(ISNUMBER(SEARCH("yea",C366)),IFERROR(_xlfn.NUMBERVALUE(SUBSTITUTE(LEFT(TRIM(C366),FIND(" ",TRIM(C366)&amp;" ")-1),",","."),"."),LEFT(SUBSTITUTE(LEFT(TRIM(C366),FIND(" ",TRIM(C366)&amp;" ")-1),",","."),FIND("/",SUBSTITUTE(LEFT(TRIM(C366),FIND(" ",TRIM(C366)&amp;" ")-1),",","."))-1)/MID(SUBSTITUTE(LEFT(TRIM(C366),FIND(" ",TRIM(C366)&amp;" ")-1),",","."),FIND("/",SUBSTITUTE(LEFT(TRIM(C366),FIND(" ",TRIM(C366)&amp;" ")-1),",","."))+1,9))*12,NA()))),0),12)*'Aturan &amp; Tarif'!$B$4,2)</f>
        <v>681.36</v>
      </c>
      <c r="K366" s="42" t="n">
        <f aca="false">'Aturan &amp; Tarif'!$B$5</f>
        <v>2050</v>
      </c>
      <c r="L366" s="42" t="n">
        <f aca="false">'Aturan &amp; Tarif'!$B$6</f>
        <v>350</v>
      </c>
      <c r="M366" s="35" t="n">
        <f aca="false">I366+J366+K366+L366</f>
        <v>17747.36</v>
      </c>
      <c r="N366" s="44" t="s">
        <v>1127</v>
      </c>
    </row>
    <row r="367" customFormat="false" ht="60" hidden="false" customHeight="true" outlineLevel="0" collapsed="false">
      <c r="A367" s="39"/>
      <c r="B367" s="40" t="s">
        <v>1128</v>
      </c>
      <c r="C367" s="41" t="s">
        <v>191</v>
      </c>
      <c r="D367" s="41" t="s">
        <v>108</v>
      </c>
      <c r="E367" s="42" t="n">
        <v>7333</v>
      </c>
      <c r="F367" s="42"/>
      <c r="G367" s="42"/>
      <c r="H367" s="43" t="n">
        <v>2</v>
      </c>
      <c r="I367" s="34" t="n">
        <f aca="false">E367*H367+N(F367)+N(G367)</f>
        <v>14666</v>
      </c>
      <c r="J367" s="42" t="n">
        <f aca="false">ROUND(IFERROR(ROUND(IF(OR(ISNUMBER(SEARCH("week",C367)),ISNUMBER(SEARCH("minggu",C367))),IFERROR(_xlfn.NUMBERVALUE(SUBSTITUTE(LEFT(TRIM(C367),FIND(" ",TRIM(C367)&amp;" ")-1),",","."),"."),LEFT(SUBSTITUTE(LEFT(TRIM(C367),FIND(" ",TRIM(C367)&amp;" ")-1),",","."),FIND("/",SUBSTITUTE(LEFT(TRIM(C367),FIND(" ",TRIM(C367)&amp;" ")-1),",","."))-1)/MID(SUBSTITUTE(LEFT(TRIM(C367),FIND(" ",TRIM(C367)&amp;" ")-1),",","."),FIND("/",SUBSTITUTE(LEFT(TRIM(C367),FIND(" ",TRIM(C367)&amp;" ")-1),",","."))+1,9))*12/52,IF(ISNUMBER(SEARCH("month",C367)),IFERROR(_xlfn.NUMBERVALUE(SUBSTITUTE(LEFT(TRIM(C367),FIND(" ",TRIM(C367)&amp;" ")-1),",","."),"."),LEFT(SUBSTITUTE(LEFT(TRIM(C367),FIND(" ",TRIM(C367)&amp;" ")-1),",","."),FIND("/",SUBSTITUTE(LEFT(TRIM(C367),FIND(" ",TRIM(C367)&amp;" ")-1),",","."))-1)/MID(SUBSTITUTE(LEFT(TRIM(C367),FIND(" ",TRIM(C367)&amp;" ")-1),",","."),FIND("/",SUBSTITUTE(LEFT(TRIM(C367),FIND(" ",TRIM(C367)&amp;" ")-1),",","."))+1,9)),IF(ISNUMBER(SEARCH("yea",C367)),IFERROR(_xlfn.NUMBERVALUE(SUBSTITUTE(LEFT(TRIM(C367),FIND(" ",TRIM(C367)&amp;" ")-1),",","."),"."),LEFT(SUBSTITUTE(LEFT(TRIM(C367),FIND(" ",TRIM(C367)&amp;" ")-1),",","."),FIND("/",SUBSTITUTE(LEFT(TRIM(C367),FIND(" ",TRIM(C367)&amp;" ")-1),",","."))-1)/MID(SUBSTITUTE(LEFT(TRIM(C367),FIND(" ",TRIM(C367)&amp;" ")-1),",","."),FIND("/",SUBSTITUTE(LEFT(TRIM(C367),FIND(" ",TRIM(C367)&amp;" ")-1),",","."))+1,9))*12,NA()))),0),48)*'Aturan &amp; Tarif'!$B$4,2)</f>
        <v>2725.44</v>
      </c>
      <c r="K367" s="42" t="n">
        <f aca="false">'Aturan &amp; Tarif'!$B$5</f>
        <v>2050</v>
      </c>
      <c r="L367" s="42" t="n">
        <f aca="false">'Aturan &amp; Tarif'!$B$6</f>
        <v>350</v>
      </c>
      <c r="M367" s="35" t="n">
        <f aca="false">I367+J367+K367+L367</f>
        <v>19791.44</v>
      </c>
      <c r="N367" s="44" t="s">
        <v>1129</v>
      </c>
    </row>
    <row r="368" customFormat="false" ht="60" hidden="false" customHeight="true" outlineLevel="0" collapsed="false">
      <c r="A368" s="39"/>
      <c r="B368" s="40" t="s">
        <v>1130</v>
      </c>
      <c r="C368" s="41" t="s">
        <v>191</v>
      </c>
      <c r="D368" s="41" t="s">
        <v>108</v>
      </c>
      <c r="E368" s="42" t="n">
        <v>7333</v>
      </c>
      <c r="F368" s="42"/>
      <c r="G368" s="42"/>
      <c r="H368" s="43" t="n">
        <v>2</v>
      </c>
      <c r="I368" s="34" t="n">
        <f aca="false">E368*H368+N(F368)+N(G368)</f>
        <v>14666</v>
      </c>
      <c r="J368" s="42" t="n">
        <f aca="false">ROUND(IFERROR(ROUND(IF(OR(ISNUMBER(SEARCH("week",C368)),ISNUMBER(SEARCH("minggu",C368))),IFERROR(_xlfn.NUMBERVALUE(SUBSTITUTE(LEFT(TRIM(C368),FIND(" ",TRIM(C368)&amp;" ")-1),",","."),"."),LEFT(SUBSTITUTE(LEFT(TRIM(C368),FIND(" ",TRIM(C368)&amp;" ")-1),",","."),FIND("/",SUBSTITUTE(LEFT(TRIM(C368),FIND(" ",TRIM(C368)&amp;" ")-1),",","."))-1)/MID(SUBSTITUTE(LEFT(TRIM(C368),FIND(" ",TRIM(C368)&amp;" ")-1),",","."),FIND("/",SUBSTITUTE(LEFT(TRIM(C368),FIND(" ",TRIM(C368)&amp;" ")-1),",","."))+1,9))*12/52,IF(ISNUMBER(SEARCH("month",C368)),IFERROR(_xlfn.NUMBERVALUE(SUBSTITUTE(LEFT(TRIM(C368),FIND(" ",TRIM(C368)&amp;" ")-1),",","."),"."),LEFT(SUBSTITUTE(LEFT(TRIM(C368),FIND(" ",TRIM(C368)&amp;" ")-1),",","."),FIND("/",SUBSTITUTE(LEFT(TRIM(C368),FIND(" ",TRIM(C368)&amp;" ")-1),",","."))-1)/MID(SUBSTITUTE(LEFT(TRIM(C368),FIND(" ",TRIM(C368)&amp;" ")-1),",","."),FIND("/",SUBSTITUTE(LEFT(TRIM(C368),FIND(" ",TRIM(C368)&amp;" ")-1),",","."))+1,9)),IF(ISNUMBER(SEARCH("yea",C368)),IFERROR(_xlfn.NUMBERVALUE(SUBSTITUTE(LEFT(TRIM(C368),FIND(" ",TRIM(C368)&amp;" ")-1),",","."),"."),LEFT(SUBSTITUTE(LEFT(TRIM(C368),FIND(" ",TRIM(C368)&amp;" ")-1),",","."),FIND("/",SUBSTITUTE(LEFT(TRIM(C368),FIND(" ",TRIM(C368)&amp;" ")-1),",","."))-1)/MID(SUBSTITUTE(LEFT(TRIM(C368),FIND(" ",TRIM(C368)&amp;" ")-1),",","."),FIND("/",SUBSTITUTE(LEFT(TRIM(C368),FIND(" ",TRIM(C368)&amp;" ")-1),",","."))+1,9))*12,NA()))),0),48)*'Aturan &amp; Tarif'!$B$4,2)</f>
        <v>2725.44</v>
      </c>
      <c r="K368" s="42" t="n">
        <f aca="false">'Aturan &amp; Tarif'!$B$5</f>
        <v>2050</v>
      </c>
      <c r="L368" s="42" t="n">
        <f aca="false">'Aturan &amp; Tarif'!$B$6</f>
        <v>350</v>
      </c>
      <c r="M368" s="35" t="n">
        <f aca="false">I368+J368+K368+L368</f>
        <v>19791.44</v>
      </c>
      <c r="N368" s="44" t="s">
        <v>1131</v>
      </c>
    </row>
    <row r="369" customFormat="false" ht="60" hidden="false" customHeight="true" outlineLevel="0" collapsed="false">
      <c r="A369" s="39"/>
      <c r="B369" s="40" t="s">
        <v>1132</v>
      </c>
      <c r="C369" s="41" t="s">
        <v>127</v>
      </c>
      <c r="D369" s="41" t="s">
        <v>108</v>
      </c>
      <c r="E369" s="42" t="n">
        <v>7333</v>
      </c>
      <c r="F369" s="42"/>
      <c r="G369" s="42"/>
      <c r="H369" s="43" t="n">
        <v>2</v>
      </c>
      <c r="I369" s="34" t="n">
        <f aca="false">E369*H369+N(F369)+N(G369)</f>
        <v>14666</v>
      </c>
      <c r="J369" s="42" t="n">
        <f aca="false">ROUND(IFERROR(ROUND(IF(OR(ISNUMBER(SEARCH("week",C369)),ISNUMBER(SEARCH("minggu",C369))),IFERROR(_xlfn.NUMBERVALUE(SUBSTITUTE(LEFT(TRIM(C369),FIND(" ",TRIM(C369)&amp;" ")-1),",","."),"."),LEFT(SUBSTITUTE(LEFT(TRIM(C369),FIND(" ",TRIM(C369)&amp;" ")-1),",","."),FIND("/",SUBSTITUTE(LEFT(TRIM(C369),FIND(" ",TRIM(C369)&amp;" ")-1),",","."))-1)/MID(SUBSTITUTE(LEFT(TRIM(C369),FIND(" ",TRIM(C369)&amp;" ")-1),",","."),FIND("/",SUBSTITUTE(LEFT(TRIM(C369),FIND(" ",TRIM(C369)&amp;" ")-1),",","."))+1,9))*12/52,IF(ISNUMBER(SEARCH("month",C369)),IFERROR(_xlfn.NUMBERVALUE(SUBSTITUTE(LEFT(TRIM(C369),FIND(" ",TRIM(C369)&amp;" ")-1),",","."),"."),LEFT(SUBSTITUTE(LEFT(TRIM(C369),FIND(" ",TRIM(C369)&amp;" ")-1),",","."),FIND("/",SUBSTITUTE(LEFT(TRIM(C369),FIND(" ",TRIM(C369)&amp;" ")-1),",","."))-1)/MID(SUBSTITUTE(LEFT(TRIM(C369),FIND(" ",TRIM(C369)&amp;" ")-1),",","."),FIND("/",SUBSTITUTE(LEFT(TRIM(C369),FIND(" ",TRIM(C369)&amp;" ")-1),",","."))+1,9)),IF(ISNUMBER(SEARCH("yea",C369)),IFERROR(_xlfn.NUMBERVALUE(SUBSTITUTE(LEFT(TRIM(C369),FIND(" ",TRIM(C369)&amp;" ")-1),",","."),"."),LEFT(SUBSTITUTE(LEFT(TRIM(C369),FIND(" ",TRIM(C369)&amp;" ")-1),",","."),FIND("/",SUBSTITUTE(LEFT(TRIM(C369),FIND(" ",TRIM(C369)&amp;" ")-1),",","."))-1)/MID(SUBSTITUTE(LEFT(TRIM(C369),FIND(" ",TRIM(C369)&amp;" ")-1),",","."),FIND("/",SUBSTITUTE(LEFT(TRIM(C369),FIND(" ",TRIM(C369)&amp;" ")-1),",","."))+1,9))*12,NA()))),0),36)*'Aturan &amp; Tarif'!$B$4,2)</f>
        <v>2044.08</v>
      </c>
      <c r="K369" s="42" t="n">
        <f aca="false">'Aturan &amp; Tarif'!$B$5</f>
        <v>2050</v>
      </c>
      <c r="L369" s="42" t="n">
        <f aca="false">'Aturan &amp; Tarif'!$B$6</f>
        <v>350</v>
      </c>
      <c r="M369" s="35" t="n">
        <f aca="false">I369+J369+K369+L369</f>
        <v>19110.08</v>
      </c>
      <c r="N369" s="44" t="s">
        <v>1133</v>
      </c>
    </row>
    <row r="370" customFormat="false" ht="60" hidden="false" customHeight="true" outlineLevel="0" collapsed="false">
      <c r="A370" s="39"/>
      <c r="B370" s="40" t="s">
        <v>1134</v>
      </c>
      <c r="C370" s="41" t="s">
        <v>127</v>
      </c>
      <c r="D370" s="41" t="s">
        <v>108</v>
      </c>
      <c r="E370" s="42" t="n">
        <v>7333</v>
      </c>
      <c r="F370" s="42"/>
      <c r="G370" s="42"/>
      <c r="H370" s="43" t="n">
        <v>2</v>
      </c>
      <c r="I370" s="34" t="n">
        <f aca="false">E370*H370+N(F370)+N(G370)</f>
        <v>14666</v>
      </c>
      <c r="J370" s="42" t="n">
        <f aca="false">ROUND(IFERROR(ROUND(IF(OR(ISNUMBER(SEARCH("week",C370)),ISNUMBER(SEARCH("minggu",C370))),IFERROR(_xlfn.NUMBERVALUE(SUBSTITUTE(LEFT(TRIM(C370),FIND(" ",TRIM(C370)&amp;" ")-1),",","."),"."),LEFT(SUBSTITUTE(LEFT(TRIM(C370),FIND(" ",TRIM(C370)&amp;" ")-1),",","."),FIND("/",SUBSTITUTE(LEFT(TRIM(C370),FIND(" ",TRIM(C370)&amp;" ")-1),",","."))-1)/MID(SUBSTITUTE(LEFT(TRIM(C370),FIND(" ",TRIM(C370)&amp;" ")-1),",","."),FIND("/",SUBSTITUTE(LEFT(TRIM(C370),FIND(" ",TRIM(C370)&amp;" ")-1),",","."))+1,9))*12/52,IF(ISNUMBER(SEARCH("month",C370)),IFERROR(_xlfn.NUMBERVALUE(SUBSTITUTE(LEFT(TRIM(C370),FIND(" ",TRIM(C370)&amp;" ")-1),",","."),"."),LEFT(SUBSTITUTE(LEFT(TRIM(C370),FIND(" ",TRIM(C370)&amp;" ")-1),",","."),FIND("/",SUBSTITUTE(LEFT(TRIM(C370),FIND(" ",TRIM(C370)&amp;" ")-1),",","."))-1)/MID(SUBSTITUTE(LEFT(TRIM(C370),FIND(" ",TRIM(C370)&amp;" ")-1),",","."),FIND("/",SUBSTITUTE(LEFT(TRIM(C370),FIND(" ",TRIM(C370)&amp;" ")-1),",","."))+1,9)),IF(ISNUMBER(SEARCH("yea",C370)),IFERROR(_xlfn.NUMBERVALUE(SUBSTITUTE(LEFT(TRIM(C370),FIND(" ",TRIM(C370)&amp;" ")-1),",","."),"."),LEFT(SUBSTITUTE(LEFT(TRIM(C370),FIND(" ",TRIM(C370)&amp;" ")-1),",","."),FIND("/",SUBSTITUTE(LEFT(TRIM(C370),FIND(" ",TRIM(C370)&amp;" ")-1),",","."))-1)/MID(SUBSTITUTE(LEFT(TRIM(C370),FIND(" ",TRIM(C370)&amp;" ")-1),",","."),FIND("/",SUBSTITUTE(LEFT(TRIM(C370),FIND(" ",TRIM(C370)&amp;" ")-1),",","."))+1,9))*12,NA()))),0),36)*'Aturan &amp; Tarif'!$B$4,2)</f>
        <v>2044.08</v>
      </c>
      <c r="K370" s="42" t="n">
        <f aca="false">'Aturan &amp; Tarif'!$B$5</f>
        <v>2050</v>
      </c>
      <c r="L370" s="42" t="n">
        <f aca="false">'Aturan &amp; Tarif'!$B$6</f>
        <v>350</v>
      </c>
      <c r="M370" s="35" t="n">
        <f aca="false">I370+J370+K370+L370</f>
        <v>19110.08</v>
      </c>
      <c r="N370" s="44" t="s">
        <v>1135</v>
      </c>
    </row>
    <row r="371" customFormat="false" ht="60" hidden="false" customHeight="true" outlineLevel="0" collapsed="false">
      <c r="A371" s="39"/>
      <c r="B371" s="40" t="s">
        <v>265</v>
      </c>
      <c r="C371" s="41" t="s">
        <v>127</v>
      </c>
      <c r="D371" s="41" t="s">
        <v>108</v>
      </c>
      <c r="E371" s="42" t="n">
        <v>8750</v>
      </c>
      <c r="F371" s="42"/>
      <c r="G371" s="42"/>
      <c r="H371" s="43" t="n">
        <v>2</v>
      </c>
      <c r="I371" s="34" t="n">
        <f aca="false">E371*H371+N(F371)+N(G371)</f>
        <v>17500</v>
      </c>
      <c r="J371" s="42" t="n">
        <f aca="false">ROUND(IFERROR(ROUND(IF(OR(ISNUMBER(SEARCH("week",C371)),ISNUMBER(SEARCH("minggu",C371))),IFERROR(_xlfn.NUMBERVALUE(SUBSTITUTE(LEFT(TRIM(C371),FIND(" ",TRIM(C371)&amp;" ")-1),",","."),"."),LEFT(SUBSTITUTE(LEFT(TRIM(C371),FIND(" ",TRIM(C371)&amp;" ")-1),",","."),FIND("/",SUBSTITUTE(LEFT(TRIM(C371),FIND(" ",TRIM(C371)&amp;" ")-1),",","."))-1)/MID(SUBSTITUTE(LEFT(TRIM(C371),FIND(" ",TRIM(C371)&amp;" ")-1),",","."),FIND("/",SUBSTITUTE(LEFT(TRIM(C371),FIND(" ",TRIM(C371)&amp;" ")-1),",","."))+1,9))*12/52,IF(ISNUMBER(SEARCH("month",C371)),IFERROR(_xlfn.NUMBERVALUE(SUBSTITUTE(LEFT(TRIM(C371),FIND(" ",TRIM(C371)&amp;" ")-1),",","."),"."),LEFT(SUBSTITUTE(LEFT(TRIM(C371),FIND(" ",TRIM(C371)&amp;" ")-1),",","."),FIND("/",SUBSTITUTE(LEFT(TRIM(C371),FIND(" ",TRIM(C371)&amp;" ")-1),",","."))-1)/MID(SUBSTITUTE(LEFT(TRIM(C371),FIND(" ",TRIM(C371)&amp;" ")-1),",","."),FIND("/",SUBSTITUTE(LEFT(TRIM(C371),FIND(" ",TRIM(C371)&amp;" ")-1),",","."))+1,9)),IF(ISNUMBER(SEARCH("yea",C371)),IFERROR(_xlfn.NUMBERVALUE(SUBSTITUTE(LEFT(TRIM(C371),FIND(" ",TRIM(C371)&amp;" ")-1),",","."),"."),LEFT(SUBSTITUTE(LEFT(TRIM(C371),FIND(" ",TRIM(C371)&amp;" ")-1),",","."),FIND("/",SUBSTITUTE(LEFT(TRIM(C371),FIND(" ",TRIM(C371)&amp;" ")-1),",","."))-1)/MID(SUBSTITUTE(LEFT(TRIM(C371),FIND(" ",TRIM(C371)&amp;" ")-1),",","."),FIND("/",SUBSTITUTE(LEFT(TRIM(C371),FIND(" ",TRIM(C371)&amp;" ")-1),",","."))+1,9))*12,NA()))),0),36)*'Aturan &amp; Tarif'!$B$4,2)</f>
        <v>2044.08</v>
      </c>
      <c r="K371" s="42" t="n">
        <f aca="false">'Aturan &amp; Tarif'!$B$5</f>
        <v>2050</v>
      </c>
      <c r="L371" s="42" t="n">
        <f aca="false">'Aturan &amp; Tarif'!$B$6</f>
        <v>350</v>
      </c>
      <c r="M371" s="35" t="n">
        <f aca="false">I371+J371+K371+L371</f>
        <v>21944.08</v>
      </c>
      <c r="N371" s="44" t="s">
        <v>1136</v>
      </c>
    </row>
    <row r="372" customFormat="false" ht="60" hidden="false" customHeight="true" outlineLevel="0" collapsed="false">
      <c r="A372" s="39"/>
      <c r="B372" s="40" t="s">
        <v>1137</v>
      </c>
      <c r="C372" s="41" t="s">
        <v>127</v>
      </c>
      <c r="D372" s="41" t="s">
        <v>108</v>
      </c>
      <c r="E372" s="42" t="n">
        <v>7333</v>
      </c>
      <c r="F372" s="42"/>
      <c r="G372" s="42"/>
      <c r="H372" s="43" t="n">
        <v>2</v>
      </c>
      <c r="I372" s="34" t="n">
        <f aca="false">E372*H372+N(F372)+N(G372)</f>
        <v>14666</v>
      </c>
      <c r="J372" s="42" t="n">
        <f aca="false">ROUND(IFERROR(ROUND(IF(OR(ISNUMBER(SEARCH("week",C372)),ISNUMBER(SEARCH("minggu",C372))),IFERROR(_xlfn.NUMBERVALUE(SUBSTITUTE(LEFT(TRIM(C372),FIND(" ",TRIM(C372)&amp;" ")-1),",","."),"."),LEFT(SUBSTITUTE(LEFT(TRIM(C372),FIND(" ",TRIM(C372)&amp;" ")-1),",","."),FIND("/",SUBSTITUTE(LEFT(TRIM(C372),FIND(" ",TRIM(C372)&amp;" ")-1),",","."))-1)/MID(SUBSTITUTE(LEFT(TRIM(C372),FIND(" ",TRIM(C372)&amp;" ")-1),",","."),FIND("/",SUBSTITUTE(LEFT(TRIM(C372),FIND(" ",TRIM(C372)&amp;" ")-1),",","."))+1,9))*12/52,IF(ISNUMBER(SEARCH("month",C372)),IFERROR(_xlfn.NUMBERVALUE(SUBSTITUTE(LEFT(TRIM(C372),FIND(" ",TRIM(C372)&amp;" ")-1),",","."),"."),LEFT(SUBSTITUTE(LEFT(TRIM(C372),FIND(" ",TRIM(C372)&amp;" ")-1),",","."),FIND("/",SUBSTITUTE(LEFT(TRIM(C372),FIND(" ",TRIM(C372)&amp;" ")-1),",","."))-1)/MID(SUBSTITUTE(LEFT(TRIM(C372),FIND(" ",TRIM(C372)&amp;" ")-1),",","."),FIND("/",SUBSTITUTE(LEFT(TRIM(C372),FIND(" ",TRIM(C372)&amp;" ")-1),",","."))+1,9)),IF(ISNUMBER(SEARCH("yea",C372)),IFERROR(_xlfn.NUMBERVALUE(SUBSTITUTE(LEFT(TRIM(C372),FIND(" ",TRIM(C372)&amp;" ")-1),",","."),"."),LEFT(SUBSTITUTE(LEFT(TRIM(C372),FIND(" ",TRIM(C372)&amp;" ")-1),",","."),FIND("/",SUBSTITUTE(LEFT(TRIM(C372),FIND(" ",TRIM(C372)&amp;" ")-1),",","."))-1)/MID(SUBSTITUTE(LEFT(TRIM(C372),FIND(" ",TRIM(C372)&amp;" ")-1),",","."),FIND("/",SUBSTITUTE(LEFT(TRIM(C372),FIND(" ",TRIM(C372)&amp;" ")-1),",","."))+1,9))*12,NA()))),0),36)*'Aturan &amp; Tarif'!$B$4,2)</f>
        <v>2044.08</v>
      </c>
      <c r="K372" s="42" t="n">
        <f aca="false">'Aturan &amp; Tarif'!$B$5</f>
        <v>2050</v>
      </c>
      <c r="L372" s="42" t="n">
        <f aca="false">'Aturan &amp; Tarif'!$B$6</f>
        <v>350</v>
      </c>
      <c r="M372" s="35" t="n">
        <f aca="false">I372+J372+K372+L372</f>
        <v>19110.08</v>
      </c>
      <c r="N372" s="44" t="s">
        <v>1138</v>
      </c>
    </row>
    <row r="373" customFormat="false" ht="14.25" hidden="false" customHeight="true" outlineLevel="0" collapsed="false">
      <c r="A373" s="39"/>
      <c r="B373" s="40" t="s">
        <v>575</v>
      </c>
      <c r="C373" s="41" t="s">
        <v>127</v>
      </c>
      <c r="D373" s="41" t="s">
        <v>108</v>
      </c>
      <c r="E373" s="42" t="n">
        <v>8637</v>
      </c>
      <c r="F373" s="42"/>
      <c r="G373" s="42"/>
      <c r="H373" s="43" t="n">
        <v>2</v>
      </c>
      <c r="I373" s="34" t="n">
        <f aca="false">E373*H373+N(F373)+N(G373)</f>
        <v>17274</v>
      </c>
      <c r="J373" s="42" t="n">
        <f aca="false">ROUND(IFERROR(ROUND(IF(OR(ISNUMBER(SEARCH("week",C373)),ISNUMBER(SEARCH("minggu",C373))),IFERROR(_xlfn.NUMBERVALUE(SUBSTITUTE(LEFT(TRIM(C373),FIND(" ",TRIM(C373)&amp;" ")-1),",","."),"."),LEFT(SUBSTITUTE(LEFT(TRIM(C373),FIND(" ",TRIM(C373)&amp;" ")-1),",","."),FIND("/",SUBSTITUTE(LEFT(TRIM(C373),FIND(" ",TRIM(C373)&amp;" ")-1),",","."))-1)/MID(SUBSTITUTE(LEFT(TRIM(C373),FIND(" ",TRIM(C373)&amp;" ")-1),",","."),FIND("/",SUBSTITUTE(LEFT(TRIM(C373),FIND(" ",TRIM(C373)&amp;" ")-1),",","."))+1,9))*12/52,IF(ISNUMBER(SEARCH("month",C373)),IFERROR(_xlfn.NUMBERVALUE(SUBSTITUTE(LEFT(TRIM(C373),FIND(" ",TRIM(C373)&amp;" ")-1),",","."),"."),LEFT(SUBSTITUTE(LEFT(TRIM(C373),FIND(" ",TRIM(C373)&amp;" ")-1),",","."),FIND("/",SUBSTITUTE(LEFT(TRIM(C373),FIND(" ",TRIM(C373)&amp;" ")-1),",","."))-1)/MID(SUBSTITUTE(LEFT(TRIM(C373),FIND(" ",TRIM(C373)&amp;" ")-1),",","."),FIND("/",SUBSTITUTE(LEFT(TRIM(C373),FIND(" ",TRIM(C373)&amp;" ")-1),",","."))+1,9)),IF(ISNUMBER(SEARCH("yea",C373)),IFERROR(_xlfn.NUMBERVALUE(SUBSTITUTE(LEFT(TRIM(C373),FIND(" ",TRIM(C373)&amp;" ")-1),",","."),"."),LEFT(SUBSTITUTE(LEFT(TRIM(C373),FIND(" ",TRIM(C373)&amp;" ")-1),",","."),FIND("/",SUBSTITUTE(LEFT(TRIM(C373),FIND(" ",TRIM(C373)&amp;" ")-1),",","."))-1)/MID(SUBSTITUTE(LEFT(TRIM(C373),FIND(" ",TRIM(C373)&amp;" ")-1),",","."),FIND("/",SUBSTITUTE(LEFT(TRIM(C373),FIND(" ",TRIM(C373)&amp;" ")-1),",","."))+1,9))*12,NA()))),0),36)*'Aturan &amp; Tarif'!$B$4,2)</f>
        <v>2044.08</v>
      </c>
      <c r="K373" s="42" t="n">
        <f aca="false">'Aturan &amp; Tarif'!$B$5</f>
        <v>2050</v>
      </c>
      <c r="L373" s="42" t="n">
        <f aca="false">'Aturan &amp; Tarif'!$B$6</f>
        <v>350</v>
      </c>
      <c r="M373" s="35" t="n">
        <f aca="false">I373+J373+K373+L373</f>
        <v>21718.08</v>
      </c>
      <c r="N373" s="45" t="s">
        <v>1139</v>
      </c>
    </row>
    <row r="374" customFormat="false" ht="60" hidden="false" customHeight="true" outlineLevel="0" collapsed="false">
      <c r="A374" s="39"/>
      <c r="B374" s="40" t="s">
        <v>560</v>
      </c>
      <c r="C374" s="41" t="s">
        <v>344</v>
      </c>
      <c r="D374" s="41" t="s">
        <v>108</v>
      </c>
      <c r="E374" s="42" t="n">
        <v>3975</v>
      </c>
      <c r="F374" s="42"/>
      <c r="G374" s="42"/>
      <c r="H374" s="43" t="n">
        <v>2</v>
      </c>
      <c r="I374" s="34" t="n">
        <f aca="false">E374*H374+N(F374)+N(G374)</f>
        <v>7950</v>
      </c>
      <c r="J374" s="42" t="n">
        <f aca="false">ROUND(IFERROR(ROUND(IF(OR(ISNUMBER(SEARCH("week",C374)),ISNUMBER(SEARCH("minggu",C374))),IFERROR(_xlfn.NUMBERVALUE(SUBSTITUTE(LEFT(TRIM(C374),FIND(" ",TRIM(C374)&amp;" ")-1),",","."),"."),LEFT(SUBSTITUTE(LEFT(TRIM(C374),FIND(" ",TRIM(C374)&amp;" ")-1),",","."),FIND("/",SUBSTITUTE(LEFT(TRIM(C374),FIND(" ",TRIM(C374)&amp;" ")-1),",","."))-1)/MID(SUBSTITUTE(LEFT(TRIM(C374),FIND(" ",TRIM(C374)&amp;" ")-1),",","."),FIND("/",SUBSTITUTE(LEFT(TRIM(C374),FIND(" ",TRIM(C374)&amp;" ")-1),",","."))+1,9))*12/52,IF(ISNUMBER(SEARCH("month",C374)),IFERROR(_xlfn.NUMBERVALUE(SUBSTITUTE(LEFT(TRIM(C374),FIND(" ",TRIM(C374)&amp;" ")-1),",","."),"."),LEFT(SUBSTITUTE(LEFT(TRIM(C374),FIND(" ",TRIM(C374)&amp;" ")-1),",","."),FIND("/",SUBSTITUTE(LEFT(TRIM(C374),FIND(" ",TRIM(C374)&amp;" ")-1),",","."))-1)/MID(SUBSTITUTE(LEFT(TRIM(C374),FIND(" ",TRIM(C374)&amp;" ")-1),",","."),FIND("/",SUBSTITUTE(LEFT(TRIM(C374),FIND(" ",TRIM(C374)&amp;" ")-1),",","."))+1,9)),IF(ISNUMBER(SEARCH("yea",C374)),IFERROR(_xlfn.NUMBERVALUE(SUBSTITUTE(LEFT(TRIM(C374),FIND(" ",TRIM(C374)&amp;" ")-1),",","."),"."),LEFT(SUBSTITUTE(LEFT(TRIM(C374),FIND(" ",TRIM(C374)&amp;" ")-1),",","."),FIND("/",SUBSTITUTE(LEFT(TRIM(C374),FIND(" ",TRIM(C374)&amp;" ")-1),",","."))-1)/MID(SUBSTITUTE(LEFT(TRIM(C374),FIND(" ",TRIM(C374)&amp;" ")-1),",","."),FIND("/",SUBSTITUTE(LEFT(TRIM(C374),FIND(" ",TRIM(C374)&amp;" ")-1),",","."))+1,9))*12,NA()))),0),6)*'Aturan &amp; Tarif'!$B$4,2)</f>
        <v>340.68</v>
      </c>
      <c r="K374" s="42" t="n">
        <f aca="false">'Aturan &amp; Tarif'!$B$5</f>
        <v>2050</v>
      </c>
      <c r="L374" s="42" t="n">
        <f aca="false">'Aturan &amp; Tarif'!$B$6</f>
        <v>350</v>
      </c>
      <c r="M374" s="35" t="n">
        <f aca="false">I374+J374+K374+L374</f>
        <v>10690.68</v>
      </c>
      <c r="N374" s="44" t="s">
        <v>1140</v>
      </c>
    </row>
    <row r="375" customFormat="false" ht="60" hidden="false" customHeight="true" outlineLevel="0" collapsed="false">
      <c r="A375" s="39"/>
      <c r="B375" s="40" t="s">
        <v>559</v>
      </c>
      <c r="C375" s="41" t="s">
        <v>130</v>
      </c>
      <c r="D375" s="41" t="s">
        <v>108</v>
      </c>
      <c r="E375" s="42" t="n">
        <v>7950</v>
      </c>
      <c r="F375" s="42"/>
      <c r="G375" s="42"/>
      <c r="H375" s="43" t="n">
        <v>2</v>
      </c>
      <c r="I375" s="34" t="n">
        <f aca="false">E375*H375+N(F375)+N(G375)</f>
        <v>15900</v>
      </c>
      <c r="J375" s="42" t="n">
        <f aca="false">ROUND(IFERROR(ROUND(IF(OR(ISNUMBER(SEARCH("week",C375)),ISNUMBER(SEARCH("minggu",C375))),IFERROR(_xlfn.NUMBERVALUE(SUBSTITUTE(LEFT(TRIM(C375),FIND(" ",TRIM(C375)&amp;" ")-1),",","."),"."),LEFT(SUBSTITUTE(LEFT(TRIM(C375),FIND(" ",TRIM(C375)&amp;" ")-1),",","."),FIND("/",SUBSTITUTE(LEFT(TRIM(C375),FIND(" ",TRIM(C375)&amp;" ")-1),",","."))-1)/MID(SUBSTITUTE(LEFT(TRIM(C375),FIND(" ",TRIM(C375)&amp;" ")-1),",","."),FIND("/",SUBSTITUTE(LEFT(TRIM(C375),FIND(" ",TRIM(C375)&amp;" ")-1),",","."))+1,9))*12/52,IF(ISNUMBER(SEARCH("month",C375)),IFERROR(_xlfn.NUMBERVALUE(SUBSTITUTE(LEFT(TRIM(C375),FIND(" ",TRIM(C375)&amp;" ")-1),",","."),"."),LEFT(SUBSTITUTE(LEFT(TRIM(C375),FIND(" ",TRIM(C375)&amp;" ")-1),",","."),FIND("/",SUBSTITUTE(LEFT(TRIM(C375),FIND(" ",TRIM(C375)&amp;" ")-1),",","."))-1)/MID(SUBSTITUTE(LEFT(TRIM(C375),FIND(" ",TRIM(C375)&amp;" ")-1),",","."),FIND("/",SUBSTITUTE(LEFT(TRIM(C375),FIND(" ",TRIM(C375)&amp;" ")-1),",","."))+1,9)),IF(ISNUMBER(SEARCH("yea",C375)),IFERROR(_xlfn.NUMBERVALUE(SUBSTITUTE(LEFT(TRIM(C375),FIND(" ",TRIM(C375)&amp;" ")-1),",","."),"."),LEFT(SUBSTITUTE(LEFT(TRIM(C375),FIND(" ",TRIM(C375)&amp;" ")-1),",","."),FIND("/",SUBSTITUTE(LEFT(TRIM(C375),FIND(" ",TRIM(C375)&amp;" ")-1),",","."))-1)/MID(SUBSTITUTE(LEFT(TRIM(C375),FIND(" ",TRIM(C375)&amp;" ")-1),",","."),FIND("/",SUBSTITUTE(LEFT(TRIM(C375),FIND(" ",TRIM(C375)&amp;" ")-1),",","."))+1,9))*12,NA()))),0),12)*'Aturan &amp; Tarif'!$B$4,2)</f>
        <v>681.36</v>
      </c>
      <c r="K375" s="42" t="n">
        <f aca="false">'Aturan &amp; Tarif'!$B$5</f>
        <v>2050</v>
      </c>
      <c r="L375" s="42" t="n">
        <f aca="false">'Aturan &amp; Tarif'!$B$6</f>
        <v>350</v>
      </c>
      <c r="M375" s="35" t="n">
        <f aca="false">I375+J375+K375+L375</f>
        <v>18981.36</v>
      </c>
      <c r="N375" s="44" t="s">
        <v>1141</v>
      </c>
    </row>
    <row r="376" customFormat="false" ht="60" hidden="false" customHeight="true" outlineLevel="0" collapsed="false">
      <c r="A376" s="39"/>
      <c r="B376" s="40" t="s">
        <v>283</v>
      </c>
      <c r="C376" s="41" t="s">
        <v>113</v>
      </c>
      <c r="D376" s="41" t="s">
        <v>108</v>
      </c>
      <c r="E376" s="42" t="n">
        <v>7950</v>
      </c>
      <c r="F376" s="42"/>
      <c r="G376" s="42"/>
      <c r="H376" s="43" t="n">
        <v>2</v>
      </c>
      <c r="I376" s="34" t="n">
        <f aca="false">E376*H376+N(F376)+N(G376)</f>
        <v>15900</v>
      </c>
      <c r="J376" s="42" t="n">
        <f aca="false">ROUND(IFERROR(ROUND(IF(OR(ISNUMBER(SEARCH("week",C376)),ISNUMBER(SEARCH("minggu",C376))),IFERROR(_xlfn.NUMBERVALUE(SUBSTITUTE(LEFT(TRIM(C376),FIND(" ",TRIM(C376)&amp;" ")-1),",","."),"."),LEFT(SUBSTITUTE(LEFT(TRIM(C376),FIND(" ",TRIM(C376)&amp;" ")-1),",","."),FIND("/",SUBSTITUTE(LEFT(TRIM(C376),FIND(" ",TRIM(C376)&amp;" ")-1),",","."))-1)/MID(SUBSTITUTE(LEFT(TRIM(C376),FIND(" ",TRIM(C376)&amp;" ")-1),",","."),FIND("/",SUBSTITUTE(LEFT(TRIM(C376),FIND(" ",TRIM(C376)&amp;" ")-1),",","."))+1,9))*12/52,IF(ISNUMBER(SEARCH("month",C376)),IFERROR(_xlfn.NUMBERVALUE(SUBSTITUTE(LEFT(TRIM(C376),FIND(" ",TRIM(C376)&amp;" ")-1),",","."),"."),LEFT(SUBSTITUTE(LEFT(TRIM(C376),FIND(" ",TRIM(C376)&amp;" ")-1),",","."),FIND("/",SUBSTITUTE(LEFT(TRIM(C376),FIND(" ",TRIM(C376)&amp;" ")-1),",","."))-1)/MID(SUBSTITUTE(LEFT(TRIM(C376),FIND(" ",TRIM(C376)&amp;" ")-1),",","."),FIND("/",SUBSTITUTE(LEFT(TRIM(C376),FIND(" ",TRIM(C376)&amp;" ")-1),",","."))+1,9)),IF(ISNUMBER(SEARCH("yea",C376)),IFERROR(_xlfn.NUMBERVALUE(SUBSTITUTE(LEFT(TRIM(C376),FIND(" ",TRIM(C376)&amp;" ")-1),",","."),"."),LEFT(SUBSTITUTE(LEFT(TRIM(C376),FIND(" ",TRIM(C376)&amp;" ")-1),",","."),FIND("/",SUBSTITUTE(LEFT(TRIM(C376),FIND(" ",TRIM(C376)&amp;" ")-1),",","."))-1)/MID(SUBSTITUTE(LEFT(TRIM(C376),FIND(" ",TRIM(C376)&amp;" ")-1),",","."),FIND("/",SUBSTITUTE(LEFT(TRIM(C376),FIND(" ",TRIM(C376)&amp;" ")-1),",","."))+1,9))*12,NA()))),0),18)*'Aturan &amp; Tarif'!$B$4,2)</f>
        <v>1022.04</v>
      </c>
      <c r="K376" s="42" t="n">
        <f aca="false">'Aturan &amp; Tarif'!$B$5</f>
        <v>2050</v>
      </c>
      <c r="L376" s="42" t="n">
        <f aca="false">'Aturan &amp; Tarif'!$B$6</f>
        <v>350</v>
      </c>
      <c r="M376" s="35" t="n">
        <f aca="false">I376+J376+K376+L376</f>
        <v>19322.04</v>
      </c>
      <c r="N376" s="44" t="s">
        <v>1142</v>
      </c>
    </row>
    <row r="377" customFormat="false" ht="60" hidden="false" customHeight="true" outlineLevel="0" collapsed="false">
      <c r="A377" s="39"/>
      <c r="B377" s="40" t="s">
        <v>1143</v>
      </c>
      <c r="C377" s="41" t="s">
        <v>107</v>
      </c>
      <c r="D377" s="41" t="s">
        <v>108</v>
      </c>
      <c r="E377" s="42" t="n">
        <v>7950</v>
      </c>
      <c r="F377" s="42"/>
      <c r="G377" s="42"/>
      <c r="H377" s="43" t="n">
        <v>2</v>
      </c>
      <c r="I377" s="34" t="n">
        <f aca="false">E377*H377+N(F377)+N(G377)</f>
        <v>15900</v>
      </c>
      <c r="J377" s="42" t="n">
        <f aca="false">ROUND(IFERROR(ROUND(IF(OR(ISNUMBER(SEARCH("week",C377)),ISNUMBER(SEARCH("minggu",C377))),IFERROR(_xlfn.NUMBERVALUE(SUBSTITUTE(LEFT(TRIM(C377),FIND(" ",TRIM(C377)&amp;" ")-1),",","."),"."),LEFT(SUBSTITUTE(LEFT(TRIM(C377),FIND(" ",TRIM(C377)&amp;" ")-1),",","."),FIND("/",SUBSTITUTE(LEFT(TRIM(C377),FIND(" ",TRIM(C377)&amp;" ")-1),",","."))-1)/MID(SUBSTITUTE(LEFT(TRIM(C377),FIND(" ",TRIM(C377)&amp;" ")-1),",","."),FIND("/",SUBSTITUTE(LEFT(TRIM(C377),FIND(" ",TRIM(C377)&amp;" ")-1),",","."))+1,9))*12/52,IF(ISNUMBER(SEARCH("month",C377)),IFERROR(_xlfn.NUMBERVALUE(SUBSTITUTE(LEFT(TRIM(C377),FIND(" ",TRIM(C377)&amp;" ")-1),",","."),"."),LEFT(SUBSTITUTE(LEFT(TRIM(C377),FIND(" ",TRIM(C377)&amp;" ")-1),",","."),FIND("/",SUBSTITUTE(LEFT(TRIM(C377),FIND(" ",TRIM(C377)&amp;" ")-1),",","."))-1)/MID(SUBSTITUTE(LEFT(TRIM(C377),FIND(" ",TRIM(C377)&amp;" ")-1),",","."),FIND("/",SUBSTITUTE(LEFT(TRIM(C377),FIND(" ",TRIM(C377)&amp;" ")-1),",","."))+1,9)),IF(ISNUMBER(SEARCH("yea",C377)),IFERROR(_xlfn.NUMBERVALUE(SUBSTITUTE(LEFT(TRIM(C377),FIND(" ",TRIM(C377)&amp;" ")-1),",","."),"."),LEFT(SUBSTITUTE(LEFT(TRIM(C377),FIND(" ",TRIM(C377)&amp;" ")-1),",","."),FIND("/",SUBSTITUTE(LEFT(TRIM(C377),FIND(" ",TRIM(C377)&amp;" ")-1),",","."))-1)/MID(SUBSTITUTE(LEFT(TRIM(C377),FIND(" ",TRIM(C377)&amp;" ")-1),",","."),FIND("/",SUBSTITUTE(LEFT(TRIM(C377),FIND(" ",TRIM(C377)&amp;" ")-1),",","."))+1,9))*12,NA()))),0),24)*'Aturan &amp; Tarif'!$B$4,2)</f>
        <v>1362.72</v>
      </c>
      <c r="K377" s="42" t="n">
        <f aca="false">'Aturan &amp; Tarif'!$B$5</f>
        <v>2050</v>
      </c>
      <c r="L377" s="42" t="n">
        <f aca="false">'Aturan &amp; Tarif'!$B$6</f>
        <v>350</v>
      </c>
      <c r="M377" s="35" t="n">
        <f aca="false">I377+J377+K377+L377</f>
        <v>19662.72</v>
      </c>
      <c r="N377" s="44" t="s">
        <v>1144</v>
      </c>
    </row>
    <row r="378" customFormat="false" ht="60" hidden="false" customHeight="true" outlineLevel="0" collapsed="false">
      <c r="A378" s="39"/>
      <c r="B378" s="40" t="s">
        <v>1057</v>
      </c>
      <c r="C378" s="41" t="s">
        <v>107</v>
      </c>
      <c r="D378" s="41" t="s">
        <v>108</v>
      </c>
      <c r="E378" s="42" t="n">
        <v>7950</v>
      </c>
      <c r="F378" s="42"/>
      <c r="G378" s="42"/>
      <c r="H378" s="43" t="n">
        <v>2</v>
      </c>
      <c r="I378" s="34" t="n">
        <f aca="false">E378*H378+N(F378)+N(G378)</f>
        <v>15900</v>
      </c>
      <c r="J378" s="42" t="n">
        <f aca="false">ROUND(IFERROR(ROUND(IF(OR(ISNUMBER(SEARCH("week",C378)),ISNUMBER(SEARCH("minggu",C378))),IFERROR(_xlfn.NUMBERVALUE(SUBSTITUTE(LEFT(TRIM(C378),FIND(" ",TRIM(C378)&amp;" ")-1),",","."),"."),LEFT(SUBSTITUTE(LEFT(TRIM(C378),FIND(" ",TRIM(C378)&amp;" ")-1),",","."),FIND("/",SUBSTITUTE(LEFT(TRIM(C378),FIND(" ",TRIM(C378)&amp;" ")-1),",","."))-1)/MID(SUBSTITUTE(LEFT(TRIM(C378),FIND(" ",TRIM(C378)&amp;" ")-1),",","."),FIND("/",SUBSTITUTE(LEFT(TRIM(C378),FIND(" ",TRIM(C378)&amp;" ")-1),",","."))+1,9))*12/52,IF(ISNUMBER(SEARCH("month",C378)),IFERROR(_xlfn.NUMBERVALUE(SUBSTITUTE(LEFT(TRIM(C378),FIND(" ",TRIM(C378)&amp;" ")-1),",","."),"."),LEFT(SUBSTITUTE(LEFT(TRIM(C378),FIND(" ",TRIM(C378)&amp;" ")-1),",","."),FIND("/",SUBSTITUTE(LEFT(TRIM(C378),FIND(" ",TRIM(C378)&amp;" ")-1),",","."))-1)/MID(SUBSTITUTE(LEFT(TRIM(C378),FIND(" ",TRIM(C378)&amp;" ")-1),",","."),FIND("/",SUBSTITUTE(LEFT(TRIM(C378),FIND(" ",TRIM(C378)&amp;" ")-1),",","."))+1,9)),IF(ISNUMBER(SEARCH("yea",C378)),IFERROR(_xlfn.NUMBERVALUE(SUBSTITUTE(LEFT(TRIM(C378),FIND(" ",TRIM(C378)&amp;" ")-1),",","."),"."),LEFT(SUBSTITUTE(LEFT(TRIM(C378),FIND(" ",TRIM(C378)&amp;" ")-1),",","."),FIND("/",SUBSTITUTE(LEFT(TRIM(C378),FIND(" ",TRIM(C378)&amp;" ")-1),",","."))-1)/MID(SUBSTITUTE(LEFT(TRIM(C378),FIND(" ",TRIM(C378)&amp;" ")-1),",","."),FIND("/",SUBSTITUTE(LEFT(TRIM(C378),FIND(" ",TRIM(C378)&amp;" ")-1),",","."))+1,9))*12,NA()))),0),24)*'Aturan &amp; Tarif'!$B$4,2)</f>
        <v>1362.72</v>
      </c>
      <c r="K378" s="42" t="n">
        <f aca="false">'Aturan &amp; Tarif'!$B$5</f>
        <v>2050</v>
      </c>
      <c r="L378" s="42" t="n">
        <f aca="false">'Aturan &amp; Tarif'!$B$6</f>
        <v>350</v>
      </c>
      <c r="M378" s="35" t="n">
        <f aca="false">I378+J378+K378+L378</f>
        <v>19662.72</v>
      </c>
      <c r="N378" s="44" t="s">
        <v>1058</v>
      </c>
    </row>
    <row r="379" customFormat="false" ht="60" hidden="false" customHeight="true" outlineLevel="0" collapsed="false">
      <c r="A379" s="39"/>
      <c r="B379" s="40" t="s">
        <v>1077</v>
      </c>
      <c r="C379" s="41" t="s">
        <v>107</v>
      </c>
      <c r="D379" s="41" t="s">
        <v>108</v>
      </c>
      <c r="E379" s="42" t="n">
        <v>7950</v>
      </c>
      <c r="F379" s="42"/>
      <c r="G379" s="42"/>
      <c r="H379" s="43" t="n">
        <v>2</v>
      </c>
      <c r="I379" s="34" t="n">
        <f aca="false">E379*H379+N(F379)+N(G379)</f>
        <v>15900</v>
      </c>
      <c r="J379" s="42" t="n">
        <f aca="false">ROUND(IFERROR(ROUND(IF(OR(ISNUMBER(SEARCH("week",C379)),ISNUMBER(SEARCH("minggu",C379))),IFERROR(_xlfn.NUMBERVALUE(SUBSTITUTE(LEFT(TRIM(C379),FIND(" ",TRIM(C379)&amp;" ")-1),",","."),"."),LEFT(SUBSTITUTE(LEFT(TRIM(C379),FIND(" ",TRIM(C379)&amp;" ")-1),",","."),FIND("/",SUBSTITUTE(LEFT(TRIM(C379),FIND(" ",TRIM(C379)&amp;" ")-1),",","."))-1)/MID(SUBSTITUTE(LEFT(TRIM(C379),FIND(" ",TRIM(C379)&amp;" ")-1),",","."),FIND("/",SUBSTITUTE(LEFT(TRIM(C379),FIND(" ",TRIM(C379)&amp;" ")-1),",","."))+1,9))*12/52,IF(ISNUMBER(SEARCH("month",C379)),IFERROR(_xlfn.NUMBERVALUE(SUBSTITUTE(LEFT(TRIM(C379),FIND(" ",TRIM(C379)&amp;" ")-1),",","."),"."),LEFT(SUBSTITUTE(LEFT(TRIM(C379),FIND(" ",TRIM(C379)&amp;" ")-1),",","."),FIND("/",SUBSTITUTE(LEFT(TRIM(C379),FIND(" ",TRIM(C379)&amp;" ")-1),",","."))-1)/MID(SUBSTITUTE(LEFT(TRIM(C379),FIND(" ",TRIM(C379)&amp;" ")-1),",","."),FIND("/",SUBSTITUTE(LEFT(TRIM(C379),FIND(" ",TRIM(C379)&amp;" ")-1),",","."))+1,9)),IF(ISNUMBER(SEARCH("yea",C379)),IFERROR(_xlfn.NUMBERVALUE(SUBSTITUTE(LEFT(TRIM(C379),FIND(" ",TRIM(C379)&amp;" ")-1),",","."),"."),LEFT(SUBSTITUTE(LEFT(TRIM(C379),FIND(" ",TRIM(C379)&amp;" ")-1),",","."),FIND("/",SUBSTITUTE(LEFT(TRIM(C379),FIND(" ",TRIM(C379)&amp;" ")-1),",","."))-1)/MID(SUBSTITUTE(LEFT(TRIM(C379),FIND(" ",TRIM(C379)&amp;" ")-1),",","."),FIND("/",SUBSTITUTE(LEFT(TRIM(C379),FIND(" ",TRIM(C379)&amp;" ")-1),",","."))+1,9))*12,NA()))),0),24)*'Aturan &amp; Tarif'!$B$4,2)</f>
        <v>1362.72</v>
      </c>
      <c r="K379" s="42" t="n">
        <f aca="false">'Aturan &amp; Tarif'!$B$5</f>
        <v>2050</v>
      </c>
      <c r="L379" s="42" t="n">
        <f aca="false">'Aturan &amp; Tarif'!$B$6</f>
        <v>350</v>
      </c>
      <c r="M379" s="35" t="n">
        <f aca="false">I379+J379+K379+L379</f>
        <v>19662.72</v>
      </c>
      <c r="N379" s="44" t="s">
        <v>1036</v>
      </c>
    </row>
    <row r="380" customFormat="false" ht="60" hidden="false" customHeight="true" outlineLevel="0" collapsed="false">
      <c r="A380" s="39"/>
      <c r="B380" s="40" t="s">
        <v>1145</v>
      </c>
      <c r="C380" s="41" t="s">
        <v>113</v>
      </c>
      <c r="D380" s="41" t="s">
        <v>108</v>
      </c>
      <c r="E380" s="42" t="n">
        <v>6563</v>
      </c>
      <c r="F380" s="42"/>
      <c r="G380" s="42"/>
      <c r="H380" s="43" t="n">
        <v>2</v>
      </c>
      <c r="I380" s="34" t="n">
        <f aca="false">E380*H380+N(F380)+N(G380)</f>
        <v>13126</v>
      </c>
      <c r="J380" s="42" t="n">
        <f aca="false">ROUND(IFERROR(ROUND(IF(OR(ISNUMBER(SEARCH("week",C380)),ISNUMBER(SEARCH("minggu",C380))),IFERROR(_xlfn.NUMBERVALUE(SUBSTITUTE(LEFT(TRIM(C380),FIND(" ",TRIM(C380)&amp;" ")-1),",","."),"."),LEFT(SUBSTITUTE(LEFT(TRIM(C380),FIND(" ",TRIM(C380)&amp;" ")-1),",","."),FIND("/",SUBSTITUTE(LEFT(TRIM(C380),FIND(" ",TRIM(C380)&amp;" ")-1),",","."))-1)/MID(SUBSTITUTE(LEFT(TRIM(C380),FIND(" ",TRIM(C380)&amp;" ")-1),",","."),FIND("/",SUBSTITUTE(LEFT(TRIM(C380),FIND(" ",TRIM(C380)&amp;" ")-1),",","."))+1,9))*12/52,IF(ISNUMBER(SEARCH("month",C380)),IFERROR(_xlfn.NUMBERVALUE(SUBSTITUTE(LEFT(TRIM(C380),FIND(" ",TRIM(C380)&amp;" ")-1),",","."),"."),LEFT(SUBSTITUTE(LEFT(TRIM(C380),FIND(" ",TRIM(C380)&amp;" ")-1),",","."),FIND("/",SUBSTITUTE(LEFT(TRIM(C380),FIND(" ",TRIM(C380)&amp;" ")-1),",","."))-1)/MID(SUBSTITUTE(LEFT(TRIM(C380),FIND(" ",TRIM(C380)&amp;" ")-1),",","."),FIND("/",SUBSTITUTE(LEFT(TRIM(C380),FIND(" ",TRIM(C380)&amp;" ")-1),",","."))+1,9)),IF(ISNUMBER(SEARCH("yea",C380)),IFERROR(_xlfn.NUMBERVALUE(SUBSTITUTE(LEFT(TRIM(C380),FIND(" ",TRIM(C380)&amp;" ")-1),",","."),"."),LEFT(SUBSTITUTE(LEFT(TRIM(C380),FIND(" ",TRIM(C380)&amp;" ")-1),",","."),FIND("/",SUBSTITUTE(LEFT(TRIM(C380),FIND(" ",TRIM(C380)&amp;" ")-1),",","."))-1)/MID(SUBSTITUTE(LEFT(TRIM(C380),FIND(" ",TRIM(C380)&amp;" ")-1),",","."),FIND("/",SUBSTITUTE(LEFT(TRIM(C380),FIND(" ",TRIM(C380)&amp;" ")-1),",","."))+1,9))*12,NA()))),0),18)*'Aturan &amp; Tarif'!$B$4,2)</f>
        <v>1022.04</v>
      </c>
      <c r="K380" s="42" t="n">
        <f aca="false">'Aturan &amp; Tarif'!$B$5</f>
        <v>2050</v>
      </c>
      <c r="L380" s="42" t="n">
        <f aca="false">'Aturan &amp; Tarif'!$B$6</f>
        <v>350</v>
      </c>
      <c r="M380" s="35" t="n">
        <f aca="false">I380+J380+K380+L380</f>
        <v>16548.04</v>
      </c>
      <c r="N380" s="44" t="s">
        <v>1146</v>
      </c>
    </row>
    <row r="381" customFormat="false" ht="60" hidden="false" customHeight="true" outlineLevel="0" collapsed="false">
      <c r="A381" s="39"/>
      <c r="B381" s="40" t="s">
        <v>1147</v>
      </c>
      <c r="C381" s="41" t="s">
        <v>127</v>
      </c>
      <c r="D381" s="41" t="s">
        <v>108</v>
      </c>
      <c r="E381" s="42" t="n">
        <v>7900</v>
      </c>
      <c r="F381" s="42"/>
      <c r="G381" s="42"/>
      <c r="H381" s="43" t="n">
        <v>2</v>
      </c>
      <c r="I381" s="34" t="n">
        <f aca="false">E381*H381+N(F381)+N(G381)</f>
        <v>15800</v>
      </c>
      <c r="J381" s="42" t="n">
        <f aca="false">ROUND(IFERROR(ROUND(IF(OR(ISNUMBER(SEARCH("week",C381)),ISNUMBER(SEARCH("minggu",C381))),IFERROR(_xlfn.NUMBERVALUE(SUBSTITUTE(LEFT(TRIM(C381),FIND(" ",TRIM(C381)&amp;" ")-1),",","."),"."),LEFT(SUBSTITUTE(LEFT(TRIM(C381),FIND(" ",TRIM(C381)&amp;" ")-1),",","."),FIND("/",SUBSTITUTE(LEFT(TRIM(C381),FIND(" ",TRIM(C381)&amp;" ")-1),",","."))-1)/MID(SUBSTITUTE(LEFT(TRIM(C381),FIND(" ",TRIM(C381)&amp;" ")-1),",","."),FIND("/",SUBSTITUTE(LEFT(TRIM(C381),FIND(" ",TRIM(C381)&amp;" ")-1),",","."))+1,9))*12/52,IF(ISNUMBER(SEARCH("month",C381)),IFERROR(_xlfn.NUMBERVALUE(SUBSTITUTE(LEFT(TRIM(C381),FIND(" ",TRIM(C381)&amp;" ")-1),",","."),"."),LEFT(SUBSTITUTE(LEFT(TRIM(C381),FIND(" ",TRIM(C381)&amp;" ")-1),",","."),FIND("/",SUBSTITUTE(LEFT(TRIM(C381),FIND(" ",TRIM(C381)&amp;" ")-1),",","."))-1)/MID(SUBSTITUTE(LEFT(TRIM(C381),FIND(" ",TRIM(C381)&amp;" ")-1),",","."),FIND("/",SUBSTITUTE(LEFT(TRIM(C381),FIND(" ",TRIM(C381)&amp;" ")-1),",","."))+1,9)),IF(ISNUMBER(SEARCH("yea",C381)),IFERROR(_xlfn.NUMBERVALUE(SUBSTITUTE(LEFT(TRIM(C381),FIND(" ",TRIM(C381)&amp;" ")-1),",","."),"."),LEFT(SUBSTITUTE(LEFT(TRIM(C381),FIND(" ",TRIM(C381)&amp;" ")-1),",","."),FIND("/",SUBSTITUTE(LEFT(TRIM(C381),FIND(" ",TRIM(C381)&amp;" ")-1),",","."))-1)/MID(SUBSTITUTE(LEFT(TRIM(C381),FIND(" ",TRIM(C381)&amp;" ")-1),",","."),FIND("/",SUBSTITUTE(LEFT(TRIM(C381),FIND(" ",TRIM(C381)&amp;" ")-1),",","."))+1,9))*12,NA()))),0),36)*'Aturan &amp; Tarif'!$B$4,2)</f>
        <v>2044.08</v>
      </c>
      <c r="K381" s="42" t="n">
        <f aca="false">'Aturan &amp; Tarif'!$B$5</f>
        <v>2050</v>
      </c>
      <c r="L381" s="42" t="n">
        <f aca="false">'Aturan &amp; Tarif'!$B$6</f>
        <v>350</v>
      </c>
      <c r="M381" s="35" t="n">
        <f aca="false">I381+J381+K381+L381</f>
        <v>20244.08</v>
      </c>
      <c r="N381" s="44" t="s">
        <v>1148</v>
      </c>
    </row>
    <row r="382" customFormat="false" ht="60" hidden="false" customHeight="true" outlineLevel="0" collapsed="false">
      <c r="A382" s="39"/>
      <c r="B382" s="40" t="s">
        <v>1040</v>
      </c>
      <c r="C382" s="41" t="s">
        <v>127</v>
      </c>
      <c r="D382" s="41" t="s">
        <v>108</v>
      </c>
      <c r="E382" s="42" t="n">
        <v>7900</v>
      </c>
      <c r="F382" s="42"/>
      <c r="G382" s="42"/>
      <c r="H382" s="43" t="n">
        <v>2</v>
      </c>
      <c r="I382" s="34" t="n">
        <f aca="false">E382*H382+N(F382)+N(G382)</f>
        <v>15800</v>
      </c>
      <c r="J382" s="42" t="n">
        <f aca="false">ROUND(IFERROR(ROUND(IF(OR(ISNUMBER(SEARCH("week",C382)),ISNUMBER(SEARCH("minggu",C382))),IFERROR(_xlfn.NUMBERVALUE(SUBSTITUTE(LEFT(TRIM(C382),FIND(" ",TRIM(C382)&amp;" ")-1),",","."),"."),LEFT(SUBSTITUTE(LEFT(TRIM(C382),FIND(" ",TRIM(C382)&amp;" ")-1),",","."),FIND("/",SUBSTITUTE(LEFT(TRIM(C382),FIND(" ",TRIM(C382)&amp;" ")-1),",","."))-1)/MID(SUBSTITUTE(LEFT(TRIM(C382),FIND(" ",TRIM(C382)&amp;" ")-1),",","."),FIND("/",SUBSTITUTE(LEFT(TRIM(C382),FIND(" ",TRIM(C382)&amp;" ")-1),",","."))+1,9))*12/52,IF(ISNUMBER(SEARCH("month",C382)),IFERROR(_xlfn.NUMBERVALUE(SUBSTITUTE(LEFT(TRIM(C382),FIND(" ",TRIM(C382)&amp;" ")-1),",","."),"."),LEFT(SUBSTITUTE(LEFT(TRIM(C382),FIND(" ",TRIM(C382)&amp;" ")-1),",","."),FIND("/",SUBSTITUTE(LEFT(TRIM(C382),FIND(" ",TRIM(C382)&amp;" ")-1),",","."))-1)/MID(SUBSTITUTE(LEFT(TRIM(C382),FIND(" ",TRIM(C382)&amp;" ")-1),",","."),FIND("/",SUBSTITUTE(LEFT(TRIM(C382),FIND(" ",TRIM(C382)&amp;" ")-1),",","."))+1,9)),IF(ISNUMBER(SEARCH("yea",C382)),IFERROR(_xlfn.NUMBERVALUE(SUBSTITUTE(LEFT(TRIM(C382),FIND(" ",TRIM(C382)&amp;" ")-1),",","."),"."),LEFT(SUBSTITUTE(LEFT(TRIM(C382),FIND(" ",TRIM(C382)&amp;" ")-1),",","."),FIND("/",SUBSTITUTE(LEFT(TRIM(C382),FIND(" ",TRIM(C382)&amp;" ")-1),",","."))-1)/MID(SUBSTITUTE(LEFT(TRIM(C382),FIND(" ",TRIM(C382)&amp;" ")-1),",","."),FIND("/",SUBSTITUTE(LEFT(TRIM(C382),FIND(" ",TRIM(C382)&amp;" ")-1),",","."))+1,9))*12,NA()))),0),36)*'Aturan &amp; Tarif'!$B$4,2)</f>
        <v>2044.08</v>
      </c>
      <c r="K382" s="42" t="n">
        <f aca="false">'Aturan &amp; Tarif'!$B$5</f>
        <v>2050</v>
      </c>
      <c r="L382" s="42" t="n">
        <f aca="false">'Aturan &amp; Tarif'!$B$6</f>
        <v>350</v>
      </c>
      <c r="M382" s="35" t="n">
        <f aca="false">I382+J382+K382+L382</f>
        <v>20244.08</v>
      </c>
      <c r="N382" s="44" t="s">
        <v>1041</v>
      </c>
    </row>
    <row r="383" customFormat="false" ht="25.5" hidden="false" customHeight="true" outlineLevel="0" collapsed="false">
      <c r="A383" s="39"/>
      <c r="B383" s="40" t="s">
        <v>1149</v>
      </c>
      <c r="C383" s="41" t="s">
        <v>130</v>
      </c>
      <c r="D383" s="41" t="s">
        <v>108</v>
      </c>
      <c r="E383" s="42" t="n">
        <v>9372</v>
      </c>
      <c r="F383" s="42"/>
      <c r="G383" s="42"/>
      <c r="H383" s="43" t="n">
        <v>2</v>
      </c>
      <c r="I383" s="34" t="n">
        <f aca="false">E383*H383+N(F383)+N(G383)</f>
        <v>18744</v>
      </c>
      <c r="J383" s="42" t="n">
        <f aca="false">ROUND(IFERROR(ROUND(IF(OR(ISNUMBER(SEARCH("week",C383)),ISNUMBER(SEARCH("minggu",C383))),IFERROR(_xlfn.NUMBERVALUE(SUBSTITUTE(LEFT(TRIM(C383),FIND(" ",TRIM(C383)&amp;" ")-1),",","."),"."),LEFT(SUBSTITUTE(LEFT(TRIM(C383),FIND(" ",TRIM(C383)&amp;" ")-1),",","."),FIND("/",SUBSTITUTE(LEFT(TRIM(C383),FIND(" ",TRIM(C383)&amp;" ")-1),",","."))-1)/MID(SUBSTITUTE(LEFT(TRIM(C383),FIND(" ",TRIM(C383)&amp;" ")-1),",","."),FIND("/",SUBSTITUTE(LEFT(TRIM(C383),FIND(" ",TRIM(C383)&amp;" ")-1),",","."))+1,9))*12/52,IF(ISNUMBER(SEARCH("month",C383)),IFERROR(_xlfn.NUMBERVALUE(SUBSTITUTE(LEFT(TRIM(C383),FIND(" ",TRIM(C383)&amp;" ")-1),",","."),"."),LEFT(SUBSTITUTE(LEFT(TRIM(C383),FIND(" ",TRIM(C383)&amp;" ")-1),",","."),FIND("/",SUBSTITUTE(LEFT(TRIM(C383),FIND(" ",TRIM(C383)&amp;" ")-1),",","."))-1)/MID(SUBSTITUTE(LEFT(TRIM(C383),FIND(" ",TRIM(C383)&amp;" ")-1),",","."),FIND("/",SUBSTITUTE(LEFT(TRIM(C383),FIND(" ",TRIM(C383)&amp;" ")-1),",","."))+1,9)),IF(ISNUMBER(SEARCH("yea",C383)),IFERROR(_xlfn.NUMBERVALUE(SUBSTITUTE(LEFT(TRIM(C383),FIND(" ",TRIM(C383)&amp;" ")-1),",","."),"."),LEFT(SUBSTITUTE(LEFT(TRIM(C383),FIND(" ",TRIM(C383)&amp;" ")-1),",","."),FIND("/",SUBSTITUTE(LEFT(TRIM(C383),FIND(" ",TRIM(C383)&amp;" ")-1),",","."))-1)/MID(SUBSTITUTE(LEFT(TRIM(C383),FIND(" ",TRIM(C383)&amp;" ")-1),",","."),FIND("/",SUBSTITUTE(LEFT(TRIM(C383),FIND(" ",TRIM(C383)&amp;" ")-1),",","."))+1,9))*12,NA()))),0),12)*'Aturan &amp; Tarif'!$B$4,2)</f>
        <v>681.36</v>
      </c>
      <c r="K383" s="42" t="n">
        <f aca="false">'Aturan &amp; Tarif'!$B$5</f>
        <v>2050</v>
      </c>
      <c r="L383" s="42" t="n">
        <f aca="false">'Aturan &amp; Tarif'!$B$6</f>
        <v>350</v>
      </c>
      <c r="M383" s="35" t="n">
        <f aca="false">I383+J383+K383+L383</f>
        <v>21825.36</v>
      </c>
      <c r="N383" s="45" t="s">
        <v>1150</v>
      </c>
    </row>
    <row r="384" customFormat="false" ht="60" hidden="false" customHeight="true" outlineLevel="0" collapsed="false">
      <c r="A384" s="39"/>
      <c r="B384" s="40" t="s">
        <v>1151</v>
      </c>
      <c r="C384" s="41" t="s">
        <v>344</v>
      </c>
      <c r="D384" s="41" t="s">
        <v>108</v>
      </c>
      <c r="E384" s="42" t="n">
        <v>3688</v>
      </c>
      <c r="F384" s="42"/>
      <c r="G384" s="42"/>
      <c r="H384" s="43" t="n">
        <v>2</v>
      </c>
      <c r="I384" s="34" t="n">
        <f aca="false">E384*H384+N(F384)+N(G384)</f>
        <v>7376</v>
      </c>
      <c r="J384" s="42" t="n">
        <f aca="false">ROUND(IFERROR(ROUND(IF(OR(ISNUMBER(SEARCH("week",C384)),ISNUMBER(SEARCH("minggu",C384))),IFERROR(_xlfn.NUMBERVALUE(SUBSTITUTE(LEFT(TRIM(C384),FIND(" ",TRIM(C384)&amp;" ")-1),",","."),"."),LEFT(SUBSTITUTE(LEFT(TRIM(C384),FIND(" ",TRIM(C384)&amp;" ")-1),",","."),FIND("/",SUBSTITUTE(LEFT(TRIM(C384),FIND(" ",TRIM(C384)&amp;" ")-1),",","."))-1)/MID(SUBSTITUTE(LEFT(TRIM(C384),FIND(" ",TRIM(C384)&amp;" ")-1),",","."),FIND("/",SUBSTITUTE(LEFT(TRIM(C384),FIND(" ",TRIM(C384)&amp;" ")-1),",","."))+1,9))*12/52,IF(ISNUMBER(SEARCH("month",C384)),IFERROR(_xlfn.NUMBERVALUE(SUBSTITUTE(LEFT(TRIM(C384),FIND(" ",TRIM(C384)&amp;" ")-1),",","."),"."),LEFT(SUBSTITUTE(LEFT(TRIM(C384),FIND(" ",TRIM(C384)&amp;" ")-1),",","."),FIND("/",SUBSTITUTE(LEFT(TRIM(C384),FIND(" ",TRIM(C384)&amp;" ")-1),",","."))-1)/MID(SUBSTITUTE(LEFT(TRIM(C384),FIND(" ",TRIM(C384)&amp;" ")-1),",","."),FIND("/",SUBSTITUTE(LEFT(TRIM(C384),FIND(" ",TRIM(C384)&amp;" ")-1),",","."))+1,9)),IF(ISNUMBER(SEARCH("yea",C384)),IFERROR(_xlfn.NUMBERVALUE(SUBSTITUTE(LEFT(TRIM(C384),FIND(" ",TRIM(C384)&amp;" ")-1),",","."),"."),LEFT(SUBSTITUTE(LEFT(TRIM(C384),FIND(" ",TRIM(C384)&amp;" ")-1),",","."),FIND("/",SUBSTITUTE(LEFT(TRIM(C384),FIND(" ",TRIM(C384)&amp;" ")-1),",","."))-1)/MID(SUBSTITUTE(LEFT(TRIM(C384),FIND(" ",TRIM(C384)&amp;" ")-1),",","."),FIND("/",SUBSTITUTE(LEFT(TRIM(C384),FIND(" ",TRIM(C384)&amp;" ")-1),",","."))+1,9))*12,NA()))),0),6)*'Aturan &amp; Tarif'!$B$4,2)</f>
        <v>340.68</v>
      </c>
      <c r="K384" s="42" t="n">
        <f aca="false">'Aturan &amp; Tarif'!$B$5</f>
        <v>2050</v>
      </c>
      <c r="L384" s="42" t="n">
        <f aca="false">'Aturan &amp; Tarif'!$B$6</f>
        <v>350</v>
      </c>
      <c r="M384" s="35" t="n">
        <f aca="false">I384+J384+K384+L384</f>
        <v>10116.68</v>
      </c>
      <c r="N384" s="44" t="s">
        <v>1152</v>
      </c>
    </row>
    <row r="385" customFormat="false" ht="60" hidden="false" customHeight="true" outlineLevel="0" collapsed="false">
      <c r="A385" s="39"/>
      <c r="B385" s="40" t="s">
        <v>1153</v>
      </c>
      <c r="C385" s="41" t="s">
        <v>130</v>
      </c>
      <c r="D385" s="41" t="s">
        <v>108</v>
      </c>
      <c r="E385" s="42" t="n">
        <v>7375</v>
      </c>
      <c r="F385" s="42"/>
      <c r="G385" s="42"/>
      <c r="H385" s="43" t="n">
        <v>2</v>
      </c>
      <c r="I385" s="34" t="n">
        <f aca="false">E385*H385+N(F385)+N(G385)</f>
        <v>14750</v>
      </c>
      <c r="J385" s="42" t="n">
        <f aca="false">ROUND(IFERROR(ROUND(IF(OR(ISNUMBER(SEARCH("week",C385)),ISNUMBER(SEARCH("minggu",C385))),IFERROR(_xlfn.NUMBERVALUE(SUBSTITUTE(LEFT(TRIM(C385),FIND(" ",TRIM(C385)&amp;" ")-1),",","."),"."),LEFT(SUBSTITUTE(LEFT(TRIM(C385),FIND(" ",TRIM(C385)&amp;" ")-1),",","."),FIND("/",SUBSTITUTE(LEFT(TRIM(C385),FIND(" ",TRIM(C385)&amp;" ")-1),",","."))-1)/MID(SUBSTITUTE(LEFT(TRIM(C385),FIND(" ",TRIM(C385)&amp;" ")-1),",","."),FIND("/",SUBSTITUTE(LEFT(TRIM(C385),FIND(" ",TRIM(C385)&amp;" ")-1),",","."))+1,9))*12/52,IF(ISNUMBER(SEARCH("month",C385)),IFERROR(_xlfn.NUMBERVALUE(SUBSTITUTE(LEFT(TRIM(C385),FIND(" ",TRIM(C385)&amp;" ")-1),",","."),"."),LEFT(SUBSTITUTE(LEFT(TRIM(C385),FIND(" ",TRIM(C385)&amp;" ")-1),",","."),FIND("/",SUBSTITUTE(LEFT(TRIM(C385),FIND(" ",TRIM(C385)&amp;" ")-1),",","."))-1)/MID(SUBSTITUTE(LEFT(TRIM(C385),FIND(" ",TRIM(C385)&amp;" ")-1),",","."),FIND("/",SUBSTITUTE(LEFT(TRIM(C385),FIND(" ",TRIM(C385)&amp;" ")-1),",","."))+1,9)),IF(ISNUMBER(SEARCH("yea",C385)),IFERROR(_xlfn.NUMBERVALUE(SUBSTITUTE(LEFT(TRIM(C385),FIND(" ",TRIM(C385)&amp;" ")-1),",","."),"."),LEFT(SUBSTITUTE(LEFT(TRIM(C385),FIND(" ",TRIM(C385)&amp;" ")-1),",","."),FIND("/",SUBSTITUTE(LEFT(TRIM(C385),FIND(" ",TRIM(C385)&amp;" ")-1),",","."))-1)/MID(SUBSTITUTE(LEFT(TRIM(C385),FIND(" ",TRIM(C385)&amp;" ")-1),",","."),FIND("/",SUBSTITUTE(LEFT(TRIM(C385),FIND(" ",TRIM(C385)&amp;" ")-1),",","."))+1,9))*12,NA()))),0),12)*'Aturan &amp; Tarif'!$B$4,2)</f>
        <v>681.36</v>
      </c>
      <c r="K385" s="42" t="n">
        <f aca="false">'Aturan &amp; Tarif'!$B$5</f>
        <v>2050</v>
      </c>
      <c r="L385" s="42" t="n">
        <f aca="false">'Aturan &amp; Tarif'!$B$6</f>
        <v>350</v>
      </c>
      <c r="M385" s="35" t="n">
        <f aca="false">I385+J385+K385+L385</f>
        <v>17831.36</v>
      </c>
      <c r="N385" s="44" t="s">
        <v>1154</v>
      </c>
    </row>
    <row r="386" customFormat="false" ht="60" hidden="false" customHeight="true" outlineLevel="0" collapsed="false">
      <c r="A386" s="39"/>
      <c r="B386" s="40" t="s">
        <v>1155</v>
      </c>
      <c r="C386" s="41" t="s">
        <v>107</v>
      </c>
      <c r="D386" s="41" t="s">
        <v>108</v>
      </c>
      <c r="E386" s="42" t="n">
        <v>7375</v>
      </c>
      <c r="F386" s="42"/>
      <c r="G386" s="42"/>
      <c r="H386" s="43" t="n">
        <v>2</v>
      </c>
      <c r="I386" s="34" t="n">
        <f aca="false">E386*H386+N(F386)+N(G386)</f>
        <v>14750</v>
      </c>
      <c r="J386" s="42" t="n">
        <f aca="false">ROUND(IFERROR(ROUND(IF(OR(ISNUMBER(SEARCH("week",C386)),ISNUMBER(SEARCH("minggu",C386))),IFERROR(_xlfn.NUMBERVALUE(SUBSTITUTE(LEFT(TRIM(C386),FIND(" ",TRIM(C386)&amp;" ")-1),",","."),"."),LEFT(SUBSTITUTE(LEFT(TRIM(C386),FIND(" ",TRIM(C386)&amp;" ")-1),",","."),FIND("/",SUBSTITUTE(LEFT(TRIM(C386),FIND(" ",TRIM(C386)&amp;" ")-1),",","."))-1)/MID(SUBSTITUTE(LEFT(TRIM(C386),FIND(" ",TRIM(C386)&amp;" ")-1),",","."),FIND("/",SUBSTITUTE(LEFT(TRIM(C386),FIND(" ",TRIM(C386)&amp;" ")-1),",","."))+1,9))*12/52,IF(ISNUMBER(SEARCH("month",C386)),IFERROR(_xlfn.NUMBERVALUE(SUBSTITUTE(LEFT(TRIM(C386),FIND(" ",TRIM(C386)&amp;" ")-1),",","."),"."),LEFT(SUBSTITUTE(LEFT(TRIM(C386),FIND(" ",TRIM(C386)&amp;" ")-1),",","."),FIND("/",SUBSTITUTE(LEFT(TRIM(C386),FIND(" ",TRIM(C386)&amp;" ")-1),",","."))-1)/MID(SUBSTITUTE(LEFT(TRIM(C386),FIND(" ",TRIM(C386)&amp;" ")-1),",","."),FIND("/",SUBSTITUTE(LEFT(TRIM(C386),FIND(" ",TRIM(C386)&amp;" ")-1),",","."))+1,9)),IF(ISNUMBER(SEARCH("yea",C386)),IFERROR(_xlfn.NUMBERVALUE(SUBSTITUTE(LEFT(TRIM(C386),FIND(" ",TRIM(C386)&amp;" ")-1),",","."),"."),LEFT(SUBSTITUTE(LEFT(TRIM(C386),FIND(" ",TRIM(C386)&amp;" ")-1),",","."),FIND("/",SUBSTITUTE(LEFT(TRIM(C386),FIND(" ",TRIM(C386)&amp;" ")-1),",","."))-1)/MID(SUBSTITUTE(LEFT(TRIM(C386),FIND(" ",TRIM(C386)&amp;" ")-1),",","."),FIND("/",SUBSTITUTE(LEFT(TRIM(C386),FIND(" ",TRIM(C386)&amp;" ")-1),",","."))+1,9))*12,NA()))),0),24)*'Aturan &amp; Tarif'!$B$4,2)</f>
        <v>1362.72</v>
      </c>
      <c r="K386" s="42" t="n">
        <f aca="false">'Aturan &amp; Tarif'!$B$5</f>
        <v>2050</v>
      </c>
      <c r="L386" s="42" t="n">
        <f aca="false">'Aturan &amp; Tarif'!$B$6</f>
        <v>350</v>
      </c>
      <c r="M386" s="35" t="n">
        <f aca="false">I386+J386+K386+L386</f>
        <v>18512.72</v>
      </c>
      <c r="N386" s="44" t="s">
        <v>1156</v>
      </c>
    </row>
    <row r="387" customFormat="false" ht="60" hidden="false" customHeight="true" outlineLevel="0" collapsed="false">
      <c r="A387" s="39"/>
      <c r="B387" s="40" t="s">
        <v>407</v>
      </c>
      <c r="C387" s="41" t="s">
        <v>107</v>
      </c>
      <c r="D387" s="41" t="s">
        <v>108</v>
      </c>
      <c r="E387" s="42" t="n">
        <v>7375</v>
      </c>
      <c r="F387" s="42"/>
      <c r="G387" s="42"/>
      <c r="H387" s="43" t="n">
        <v>2</v>
      </c>
      <c r="I387" s="34" t="n">
        <f aca="false">E387*H387+N(F387)+N(G387)</f>
        <v>14750</v>
      </c>
      <c r="J387" s="42" t="n">
        <f aca="false">ROUND(IFERROR(ROUND(IF(OR(ISNUMBER(SEARCH("week",C387)),ISNUMBER(SEARCH("minggu",C387))),IFERROR(_xlfn.NUMBERVALUE(SUBSTITUTE(LEFT(TRIM(C387),FIND(" ",TRIM(C387)&amp;" ")-1),",","."),"."),LEFT(SUBSTITUTE(LEFT(TRIM(C387),FIND(" ",TRIM(C387)&amp;" ")-1),",","."),FIND("/",SUBSTITUTE(LEFT(TRIM(C387),FIND(" ",TRIM(C387)&amp;" ")-1),",","."))-1)/MID(SUBSTITUTE(LEFT(TRIM(C387),FIND(" ",TRIM(C387)&amp;" ")-1),",","."),FIND("/",SUBSTITUTE(LEFT(TRIM(C387),FIND(" ",TRIM(C387)&amp;" ")-1),",","."))+1,9))*12/52,IF(ISNUMBER(SEARCH("month",C387)),IFERROR(_xlfn.NUMBERVALUE(SUBSTITUTE(LEFT(TRIM(C387),FIND(" ",TRIM(C387)&amp;" ")-1),",","."),"."),LEFT(SUBSTITUTE(LEFT(TRIM(C387),FIND(" ",TRIM(C387)&amp;" ")-1),",","."),FIND("/",SUBSTITUTE(LEFT(TRIM(C387),FIND(" ",TRIM(C387)&amp;" ")-1),",","."))-1)/MID(SUBSTITUTE(LEFT(TRIM(C387),FIND(" ",TRIM(C387)&amp;" ")-1),",","."),FIND("/",SUBSTITUTE(LEFT(TRIM(C387),FIND(" ",TRIM(C387)&amp;" ")-1),",","."))+1,9)),IF(ISNUMBER(SEARCH("yea",C387)),IFERROR(_xlfn.NUMBERVALUE(SUBSTITUTE(LEFT(TRIM(C387),FIND(" ",TRIM(C387)&amp;" ")-1),",","."),"."),LEFT(SUBSTITUTE(LEFT(TRIM(C387),FIND(" ",TRIM(C387)&amp;" ")-1),",","."),FIND("/",SUBSTITUTE(LEFT(TRIM(C387),FIND(" ",TRIM(C387)&amp;" ")-1),",","."))-1)/MID(SUBSTITUTE(LEFT(TRIM(C387),FIND(" ",TRIM(C387)&amp;" ")-1),",","."),FIND("/",SUBSTITUTE(LEFT(TRIM(C387),FIND(" ",TRIM(C387)&amp;" ")-1),",","."))+1,9))*12,NA()))),0),24)*'Aturan &amp; Tarif'!$B$4,2)</f>
        <v>1362.72</v>
      </c>
      <c r="K387" s="42" t="n">
        <f aca="false">'Aturan &amp; Tarif'!$B$5</f>
        <v>2050</v>
      </c>
      <c r="L387" s="42" t="n">
        <f aca="false">'Aturan &amp; Tarif'!$B$6</f>
        <v>350</v>
      </c>
      <c r="M387" s="35" t="n">
        <f aca="false">I387+J387+K387+L387</f>
        <v>18512.72</v>
      </c>
      <c r="N387" s="44" t="s">
        <v>1157</v>
      </c>
    </row>
    <row r="388" customFormat="false" ht="60" hidden="false" customHeight="true" outlineLevel="0" collapsed="false">
      <c r="A388" s="39"/>
      <c r="B388" s="40" t="s">
        <v>406</v>
      </c>
      <c r="C388" s="41" t="s">
        <v>127</v>
      </c>
      <c r="D388" s="41" t="s">
        <v>108</v>
      </c>
      <c r="E388" s="42" t="n">
        <v>7375</v>
      </c>
      <c r="F388" s="42"/>
      <c r="G388" s="42"/>
      <c r="H388" s="43" t="n">
        <v>2</v>
      </c>
      <c r="I388" s="34" t="n">
        <f aca="false">E388*H388+N(F388)+N(G388)</f>
        <v>14750</v>
      </c>
      <c r="J388" s="42" t="n">
        <f aca="false">ROUND(IFERROR(ROUND(IF(OR(ISNUMBER(SEARCH("week",C388)),ISNUMBER(SEARCH("minggu",C388))),IFERROR(_xlfn.NUMBERVALUE(SUBSTITUTE(LEFT(TRIM(C388),FIND(" ",TRIM(C388)&amp;" ")-1),",","."),"."),LEFT(SUBSTITUTE(LEFT(TRIM(C388),FIND(" ",TRIM(C388)&amp;" ")-1),",","."),FIND("/",SUBSTITUTE(LEFT(TRIM(C388),FIND(" ",TRIM(C388)&amp;" ")-1),",","."))-1)/MID(SUBSTITUTE(LEFT(TRIM(C388),FIND(" ",TRIM(C388)&amp;" ")-1),",","."),FIND("/",SUBSTITUTE(LEFT(TRIM(C388),FIND(" ",TRIM(C388)&amp;" ")-1),",","."))+1,9))*12/52,IF(ISNUMBER(SEARCH("month",C388)),IFERROR(_xlfn.NUMBERVALUE(SUBSTITUTE(LEFT(TRIM(C388),FIND(" ",TRIM(C388)&amp;" ")-1),",","."),"."),LEFT(SUBSTITUTE(LEFT(TRIM(C388),FIND(" ",TRIM(C388)&amp;" ")-1),",","."),FIND("/",SUBSTITUTE(LEFT(TRIM(C388),FIND(" ",TRIM(C388)&amp;" ")-1),",","."))-1)/MID(SUBSTITUTE(LEFT(TRIM(C388),FIND(" ",TRIM(C388)&amp;" ")-1),",","."),FIND("/",SUBSTITUTE(LEFT(TRIM(C388),FIND(" ",TRIM(C388)&amp;" ")-1),",","."))+1,9)),IF(ISNUMBER(SEARCH("yea",C388)),IFERROR(_xlfn.NUMBERVALUE(SUBSTITUTE(LEFT(TRIM(C388),FIND(" ",TRIM(C388)&amp;" ")-1),",","."),"."),LEFT(SUBSTITUTE(LEFT(TRIM(C388),FIND(" ",TRIM(C388)&amp;" ")-1),",","."),FIND("/",SUBSTITUTE(LEFT(TRIM(C388),FIND(" ",TRIM(C388)&amp;" ")-1),",","."))-1)/MID(SUBSTITUTE(LEFT(TRIM(C388),FIND(" ",TRIM(C388)&amp;" ")-1),",","."),FIND("/",SUBSTITUTE(LEFT(TRIM(C388),FIND(" ",TRIM(C388)&amp;" ")-1),",","."))+1,9))*12,NA()))),0),36)*'Aturan &amp; Tarif'!$B$4,2)</f>
        <v>2044.08</v>
      </c>
      <c r="K388" s="42" t="n">
        <f aca="false">'Aturan &amp; Tarif'!$B$5</f>
        <v>2050</v>
      </c>
      <c r="L388" s="42" t="n">
        <f aca="false">'Aturan &amp; Tarif'!$B$6</f>
        <v>350</v>
      </c>
      <c r="M388" s="35" t="n">
        <f aca="false">I388+J388+K388+L388</f>
        <v>19194.08</v>
      </c>
      <c r="N388" s="44" t="s">
        <v>1158</v>
      </c>
    </row>
    <row r="389" customFormat="false" ht="60" hidden="false" customHeight="true" outlineLevel="0" collapsed="false">
      <c r="A389" s="39"/>
      <c r="B389" s="40" t="s">
        <v>1159</v>
      </c>
      <c r="C389" s="41" t="s">
        <v>127</v>
      </c>
      <c r="D389" s="41" t="s">
        <v>108</v>
      </c>
      <c r="E389" s="42" t="n">
        <v>7375</v>
      </c>
      <c r="F389" s="42"/>
      <c r="G389" s="42"/>
      <c r="H389" s="43" t="n">
        <v>2</v>
      </c>
      <c r="I389" s="34" t="n">
        <f aca="false">E389*H389+N(F389)+N(G389)</f>
        <v>14750</v>
      </c>
      <c r="J389" s="42" t="n">
        <f aca="false">ROUND(IFERROR(ROUND(IF(OR(ISNUMBER(SEARCH("week",C389)),ISNUMBER(SEARCH("minggu",C389))),IFERROR(_xlfn.NUMBERVALUE(SUBSTITUTE(LEFT(TRIM(C389),FIND(" ",TRIM(C389)&amp;" ")-1),",","."),"."),LEFT(SUBSTITUTE(LEFT(TRIM(C389),FIND(" ",TRIM(C389)&amp;" ")-1),",","."),FIND("/",SUBSTITUTE(LEFT(TRIM(C389),FIND(" ",TRIM(C389)&amp;" ")-1),",","."))-1)/MID(SUBSTITUTE(LEFT(TRIM(C389),FIND(" ",TRIM(C389)&amp;" ")-1),",","."),FIND("/",SUBSTITUTE(LEFT(TRIM(C389),FIND(" ",TRIM(C389)&amp;" ")-1),",","."))+1,9))*12/52,IF(ISNUMBER(SEARCH("month",C389)),IFERROR(_xlfn.NUMBERVALUE(SUBSTITUTE(LEFT(TRIM(C389),FIND(" ",TRIM(C389)&amp;" ")-1),",","."),"."),LEFT(SUBSTITUTE(LEFT(TRIM(C389),FIND(" ",TRIM(C389)&amp;" ")-1),",","."),FIND("/",SUBSTITUTE(LEFT(TRIM(C389),FIND(" ",TRIM(C389)&amp;" ")-1),",","."))-1)/MID(SUBSTITUTE(LEFT(TRIM(C389),FIND(" ",TRIM(C389)&amp;" ")-1),",","."),FIND("/",SUBSTITUTE(LEFT(TRIM(C389),FIND(" ",TRIM(C389)&amp;" ")-1),",","."))+1,9)),IF(ISNUMBER(SEARCH("yea",C389)),IFERROR(_xlfn.NUMBERVALUE(SUBSTITUTE(LEFT(TRIM(C389),FIND(" ",TRIM(C389)&amp;" ")-1),",","."),"."),LEFT(SUBSTITUTE(LEFT(TRIM(C389),FIND(" ",TRIM(C389)&amp;" ")-1),",","."),FIND("/",SUBSTITUTE(LEFT(TRIM(C389),FIND(" ",TRIM(C389)&amp;" ")-1),",","."))-1)/MID(SUBSTITUTE(LEFT(TRIM(C389),FIND(" ",TRIM(C389)&amp;" ")-1),",","."),FIND("/",SUBSTITUTE(LEFT(TRIM(C389),FIND(" ",TRIM(C389)&amp;" ")-1),",","."))+1,9))*12,NA()))),0),36)*'Aturan &amp; Tarif'!$B$4,2)</f>
        <v>2044.08</v>
      </c>
      <c r="K389" s="42" t="n">
        <f aca="false">'Aturan &amp; Tarif'!$B$5</f>
        <v>2050</v>
      </c>
      <c r="L389" s="42" t="n">
        <f aca="false">'Aturan &amp; Tarif'!$B$6</f>
        <v>350</v>
      </c>
      <c r="M389" s="35" t="n">
        <f aca="false">I389+J389+K389+L389</f>
        <v>19194.08</v>
      </c>
      <c r="N389" s="44" t="s">
        <v>1160</v>
      </c>
    </row>
    <row r="390" customFormat="false" ht="14.25" hidden="false" customHeight="true" outlineLevel="0" collapsed="false">
      <c r="A390" s="39"/>
      <c r="B390" s="40" t="s">
        <v>1161</v>
      </c>
      <c r="C390" s="41" t="s">
        <v>127</v>
      </c>
      <c r="D390" s="41" t="s">
        <v>108</v>
      </c>
      <c r="E390" s="42" t="n">
        <v>7375</v>
      </c>
      <c r="F390" s="42"/>
      <c r="G390" s="42"/>
      <c r="H390" s="43" t="n">
        <v>2</v>
      </c>
      <c r="I390" s="34" t="n">
        <f aca="false">E390*H390+N(F390)+N(G390)</f>
        <v>14750</v>
      </c>
      <c r="J390" s="42" t="n">
        <f aca="false">ROUND(IFERROR(ROUND(IF(OR(ISNUMBER(SEARCH("week",C390)),ISNUMBER(SEARCH("minggu",C390))),IFERROR(_xlfn.NUMBERVALUE(SUBSTITUTE(LEFT(TRIM(C390),FIND(" ",TRIM(C390)&amp;" ")-1),",","."),"."),LEFT(SUBSTITUTE(LEFT(TRIM(C390),FIND(" ",TRIM(C390)&amp;" ")-1),",","."),FIND("/",SUBSTITUTE(LEFT(TRIM(C390),FIND(" ",TRIM(C390)&amp;" ")-1),",","."))-1)/MID(SUBSTITUTE(LEFT(TRIM(C390),FIND(" ",TRIM(C390)&amp;" ")-1),",","."),FIND("/",SUBSTITUTE(LEFT(TRIM(C390),FIND(" ",TRIM(C390)&amp;" ")-1),",","."))+1,9))*12/52,IF(ISNUMBER(SEARCH("month",C390)),IFERROR(_xlfn.NUMBERVALUE(SUBSTITUTE(LEFT(TRIM(C390),FIND(" ",TRIM(C390)&amp;" ")-1),",","."),"."),LEFT(SUBSTITUTE(LEFT(TRIM(C390),FIND(" ",TRIM(C390)&amp;" ")-1),",","."),FIND("/",SUBSTITUTE(LEFT(TRIM(C390),FIND(" ",TRIM(C390)&amp;" ")-1),",","."))-1)/MID(SUBSTITUTE(LEFT(TRIM(C390),FIND(" ",TRIM(C390)&amp;" ")-1),",","."),FIND("/",SUBSTITUTE(LEFT(TRIM(C390),FIND(" ",TRIM(C390)&amp;" ")-1),",","."))+1,9)),IF(ISNUMBER(SEARCH("yea",C390)),IFERROR(_xlfn.NUMBERVALUE(SUBSTITUTE(LEFT(TRIM(C390),FIND(" ",TRIM(C390)&amp;" ")-1),",","."),"."),LEFT(SUBSTITUTE(LEFT(TRIM(C390),FIND(" ",TRIM(C390)&amp;" ")-1),",","."),FIND("/",SUBSTITUTE(LEFT(TRIM(C390),FIND(" ",TRIM(C390)&amp;" ")-1),",","."))-1)/MID(SUBSTITUTE(LEFT(TRIM(C390),FIND(" ",TRIM(C390)&amp;" ")-1),",","."),FIND("/",SUBSTITUTE(LEFT(TRIM(C390),FIND(" ",TRIM(C390)&amp;" ")-1),",","."))+1,9))*12,NA()))),0),36)*'Aturan &amp; Tarif'!$B$4,2)</f>
        <v>2044.08</v>
      </c>
      <c r="K390" s="42" t="n">
        <f aca="false">'Aturan &amp; Tarif'!$B$5</f>
        <v>2050</v>
      </c>
      <c r="L390" s="42" t="n">
        <f aca="false">'Aturan &amp; Tarif'!$B$6</f>
        <v>350</v>
      </c>
      <c r="M390" s="35" t="n">
        <f aca="false">I390+J390+K390+L390</f>
        <v>19194.08</v>
      </c>
      <c r="N390" s="45" t="s">
        <v>1162</v>
      </c>
    </row>
    <row r="392" customFormat="false" ht="12.75" hidden="false" customHeight="true" outlineLevel="0" collapsed="false">
      <c r="A392" s="38" t="s">
        <v>117</v>
      </c>
    </row>
    <row r="393" customFormat="false" ht="12.75" hidden="false" customHeight="true" outlineLevel="0" collapsed="false">
      <c r="A393" s="38" t="s">
        <v>118</v>
      </c>
    </row>
    <row r="394" customFormat="false" ht="12.75" hidden="false" customHeight="true" outlineLevel="0" collapsed="false">
      <c r="A394" s="38" t="s">
        <v>119</v>
      </c>
    </row>
    <row r="395" customFormat="false" ht="12.75" hidden="false" customHeight="true" outlineLevel="0" collapsed="false">
      <c r="A395" s="38" t="s">
        <v>120</v>
      </c>
    </row>
    <row r="396" customFormat="false" ht="12.75" hidden="false" customHeight="true" outlineLevel="0" collapsed="false">
      <c r="A396" s="38" t="s">
        <v>121</v>
      </c>
    </row>
    <row r="397" customFormat="false" ht="12.75" hidden="false" customHeight="true" outlineLevel="0" collapsed="false">
      <c r="A397" s="38" t="s">
        <v>1163</v>
      </c>
    </row>
    <row r="398" customFormat="false" ht="12.75" hidden="false" customHeight="true" outlineLevel="0" collapsed="false">
      <c r="A398" s="38" t="s">
        <v>1164</v>
      </c>
    </row>
    <row r="399" customFormat="false" ht="12.75" hidden="false" customHeight="true" outlineLevel="0" collapsed="false">
      <c r="A399" s="38" t="s">
        <v>122</v>
      </c>
    </row>
    <row r="400" customFormat="false" ht="12.75" hidden="false" customHeight="true" outlineLevel="0" collapsed="false">
      <c r="A400" s="38" t="s">
        <v>123</v>
      </c>
    </row>
  </sheetData>
  <autoFilter ref="A5:N390"/>
  <conditionalFormatting sqref="J6:J390">
    <cfRule type="expression" priority="2" aboveAverage="0" equalAverage="0" bottom="0" percent="0" rank="0" text="" dxfId="6">
      <formula>AND($E6&lt;&gt;"",OR(ISERROR(ROUND(IF(OR(ISNUMBER(SEARCH("week",C6)),ISNUMBER(SEARCH("minggu",C6))),IFERROR(_xlfn.NUMBERVALUE(SUBSTITUTE(LEFT(TRIM(C6),FIND("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")-1),",","."))+1,9))*12,NA()))),0)&lt;1,1),IFERROR(ROUND(IF(OR(ISNUMBER(SEARCH("week",C6)),ISNUMBER(SEARCH("minggu",C6))),IFERROR(_xlfn.NUMBERVALUE(SUBSTITUTE(LEFT(TRIM(C6),FIND("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")-1),",","."))+1,9))*12,NA()))),0)&gt;96,1)))</formula>
    </cfRule>
  </conditionalFormatting>
  <printOptions headings="false" gridLines="false" gridLinesSet="true" horizontalCentered="true" verticalCentered="false"/>
  <pageMargins left="0.3" right="0.3" top="0.5" bottom="0.5" header="0.2" footer="0.2"/>
  <pageSetup paperSize="9" scale="100" fitToWidth="1" fitToHeight="0" pageOrder="downThenOver" orientation="landscape" blackAndWhite="false" draft="false" cellComments="none" horizontalDpi="300" verticalDpi="300" copies="1"/>
  <headerFooter differentFirst="false" differentOddEven="false">
    <oddHeader>&amp;R&amp;8 OFFSHORE - BRISBANE</oddHeader>
    <oddFooter>&amp;L&amp;8 TEG Pricelist - harga bisa berubah sewaktu-waktu&amp;R&amp;8 Halaman &amp;P dari &amp;N</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625"/>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2" min="2" style="1" width="55"/>
    <col collapsed="false" customWidth="true" hidden="false" outlineLevel="0" max="3" min="3" style="1" width="14"/>
    <col collapsed="false" customWidth="true" hidden="false" outlineLevel="0" max="4" min="4" style="1" width="11"/>
    <col collapsed="false" customWidth="true" hidden="false" outlineLevel="0" max="5" min="5" style="1" width="12"/>
    <col collapsed="false" customWidth="true" hidden="false" outlineLevel="0" max="8" min="6" style="1" width="11"/>
    <col collapsed="false" customWidth="true" hidden="false" outlineLevel="0" max="9" min="9" style="1" width="15"/>
    <col collapsed="false" customWidth="true" hidden="false" outlineLevel="0" max="10" min="10" style="1" width="12"/>
    <col collapsed="false" customWidth="true" hidden="false" outlineLevel="0" max="12" min="11" style="1" width="10"/>
    <col collapsed="false" customWidth="true" hidden="false" outlineLevel="0" max="13" min="13" style="1" width="15"/>
    <col collapsed="false" customWidth="true" hidden="false" outlineLevel="0" max="14" min="14" style="1" width="110"/>
    <col collapsed="false" customWidth="true" hidden="false" outlineLevel="0" max="44" min="15" style="1" width="9"/>
  </cols>
  <sheetData>
    <row r="1" customFormat="false" ht="17.25" hidden="false" customHeight="true" outlineLevel="0" collapsed="false">
      <c r="A1" s="14" t="s">
        <v>1165</v>
      </c>
    </row>
    <row r="2" customFormat="false" ht="15" hidden="false" customHeight="true" outlineLevel="0" collapsed="false">
      <c r="A2" s="25" t="s">
        <v>91</v>
      </c>
    </row>
    <row r="3" customFormat="false" ht="15" hidden="false" customHeight="true" outlineLevel="0" collapsed="false">
      <c r="A3" s="26" t="s">
        <v>92</v>
      </c>
    </row>
    <row r="5" customFormat="false" ht="36" hidden="false" customHeight="true" outlineLevel="0" collapsed="false">
      <c r="A5" s="27" t="s">
        <v>93</v>
      </c>
      <c r="B5" s="27" t="s">
        <v>94</v>
      </c>
      <c r="C5" s="27" t="s">
        <v>95</v>
      </c>
      <c r="D5" s="27" t="s">
        <v>96</v>
      </c>
      <c r="E5" s="27" t="s">
        <v>97</v>
      </c>
      <c r="F5" s="27" t="s">
        <v>98</v>
      </c>
      <c r="G5" s="27" t="s">
        <v>99</v>
      </c>
      <c r="H5" s="27" t="s">
        <v>100</v>
      </c>
      <c r="I5" s="27" t="s">
        <v>101</v>
      </c>
      <c r="J5" s="27" t="s">
        <v>10</v>
      </c>
      <c r="K5" s="27" t="s">
        <v>102</v>
      </c>
      <c r="L5" s="27" t="s">
        <v>103</v>
      </c>
      <c r="M5" s="27" t="s">
        <v>104</v>
      </c>
      <c r="N5" s="28" t="s">
        <v>14</v>
      </c>
    </row>
    <row r="6" customFormat="false" ht="37.5" hidden="false" customHeight="true" outlineLevel="0" collapsed="false">
      <c r="A6" s="29" t="s">
        <v>1166</v>
      </c>
      <c r="B6" s="30" t="s">
        <v>1167</v>
      </c>
      <c r="C6" s="31" t="s">
        <v>191</v>
      </c>
      <c r="D6" s="31" t="s">
        <v>108</v>
      </c>
      <c r="E6" s="32" t="n">
        <v>2000</v>
      </c>
      <c r="F6" s="32" t="n">
        <v>50</v>
      </c>
      <c r="G6" s="32" t="n">
        <v>250</v>
      </c>
      <c r="H6" s="33" t="n">
        <v>1</v>
      </c>
      <c r="I6" s="34" t="n">
        <f aca="false">E6*H6+N(F6)+N(G6)</f>
        <v>2300</v>
      </c>
      <c r="J6" s="32" t="n">
        <f aca="false">ROUND(IFERROR(ROUND(IF(OR(ISNUMBER(SEARCH("week",C6)),ISNUMBER(SEARCH("minggu",C6))),IFERROR(_xlfn.NUMBERVALUE(SUBSTITUTE(LEFT(TRIM(C6),FIND("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")-1),",","."))+1,9))*12,NA()))),0),48)*'Aturan &amp; Tarif'!$B$4,2)</f>
        <v>2725.44</v>
      </c>
      <c r="K6" s="32" t="n">
        <f aca="false">'Aturan &amp; Tarif'!$B$5</f>
        <v>2050</v>
      </c>
      <c r="L6" s="32" t="n">
        <f aca="false">'Aturan &amp; Tarif'!$B$6</f>
        <v>350</v>
      </c>
      <c r="M6" s="35" t="n">
        <f aca="false">I6+J6+K6+L6</f>
        <v>7425.44</v>
      </c>
      <c r="N6" s="36" t="s">
        <v>131</v>
      </c>
    </row>
    <row r="7" customFormat="false" ht="25.5" hidden="false" customHeight="true" outlineLevel="0" collapsed="false">
      <c r="A7" s="29"/>
      <c r="B7" s="30" t="s">
        <v>1168</v>
      </c>
      <c r="C7" s="31" t="s">
        <v>136</v>
      </c>
      <c r="D7" s="31" t="s">
        <v>108</v>
      </c>
      <c r="E7" s="32" t="n">
        <v>2250</v>
      </c>
      <c r="F7" s="32" t="n">
        <v>50</v>
      </c>
      <c r="G7" s="32" t="n">
        <v>250</v>
      </c>
      <c r="H7" s="33" t="n">
        <v>1</v>
      </c>
      <c r="I7" s="34" t="n">
        <f aca="false">E7*H7+N(F7)+N(G7)</f>
        <v>2550</v>
      </c>
      <c r="J7" s="32" t="n">
        <f aca="false">ROUND(IFERROR(ROUND(IF(OR(ISNUMBER(SEARCH("week",C7)),ISNUMBER(SEARCH("minggu",C7))),IFERROR(_xlfn.NUMBERVALUE(SUBSTITUTE(LEFT(TRIM(C7),FIND(" ",TRIM(C7)&amp;" ")-1),",","."),"."),LEFT(SUBSTITUTE(LEFT(TRIM(C7),FIND(" ",TRIM(C7)&amp;" ")-1),",","."),FIND("/",SUBSTITUTE(LEFT(TRIM(C7),FIND(" ",TRIM(C7)&amp;" ")-1),",","."))-1)/MID(SUBSTITUTE(LEFT(TRIM(C7),FIND(" ",TRIM(C7)&amp;" ")-1),",","."),FIND("/",SUBSTITUTE(LEFT(TRIM(C7),FIND(" ",TRIM(C7)&amp;" ")-1),",","."))+1,9))*12/52,IF(ISNUMBER(SEARCH("month",C7)),IFERROR(_xlfn.NUMBERVALUE(SUBSTITUTE(LEFT(TRIM(C7),FIND(" ",TRIM(C7)&amp;" ")-1),",","."),"."),LEFT(SUBSTITUTE(LEFT(TRIM(C7),FIND(" ",TRIM(C7)&amp;" ")-1),",","."),FIND("/",SUBSTITUTE(LEFT(TRIM(C7),FIND(" ",TRIM(C7)&amp;" ")-1),",","."))-1)/MID(SUBSTITUTE(LEFT(TRIM(C7),FIND(" ",TRIM(C7)&amp;" ")-1),",","."),FIND("/",SUBSTITUTE(LEFT(TRIM(C7),FIND(" ",TRIM(C7)&amp;" ")-1),",","."))+1,9)),IF(ISNUMBER(SEARCH("yea",C7)),IFERROR(_xlfn.NUMBERVALUE(SUBSTITUTE(LEFT(TRIM(C7),FIND(" ",TRIM(C7)&amp;" ")-1),",","."),"."),LEFT(SUBSTITUTE(LEFT(TRIM(C7),FIND(" ",TRIM(C7)&amp;" ")-1),",","."),FIND("/",SUBSTITUTE(LEFT(TRIM(C7),FIND(" ",TRIM(C7)&amp;" ")-1),",","."))-1)/MID(SUBSTITUTE(LEFT(TRIM(C7),FIND(" ",TRIM(C7)&amp;" ")-1),",","."),FIND("/",SUBSTITUTE(LEFT(TRIM(C7),FIND(" ",TRIM(C7)&amp;" ")-1),",","."))+1,9))*12,NA()))),0),42)*'Aturan &amp; Tarif'!$B$4,2)</f>
        <v>2384.76</v>
      </c>
      <c r="K7" s="32" t="n">
        <f aca="false">'Aturan &amp; Tarif'!$B$5</f>
        <v>2050</v>
      </c>
      <c r="L7" s="32" t="n">
        <f aca="false">'Aturan &amp; Tarif'!$B$6</f>
        <v>350</v>
      </c>
      <c r="M7" s="35" t="n">
        <f aca="false">I7+J7+K7+L7</f>
        <v>7334.76</v>
      </c>
      <c r="N7" s="37" t="s">
        <v>134</v>
      </c>
    </row>
    <row r="8" customFormat="false" ht="25.5" hidden="false" customHeight="true" outlineLevel="0" collapsed="false">
      <c r="A8" s="29"/>
      <c r="B8" s="30" t="s">
        <v>1169</v>
      </c>
      <c r="C8" s="31" t="s">
        <v>138</v>
      </c>
      <c r="D8" s="31" t="s">
        <v>108</v>
      </c>
      <c r="E8" s="32" t="n">
        <v>1500</v>
      </c>
      <c r="F8" s="32" t="n">
        <v>50</v>
      </c>
      <c r="G8" s="32" t="n">
        <v>250</v>
      </c>
      <c r="H8" s="33" t="n">
        <v>1</v>
      </c>
      <c r="I8" s="34" t="n">
        <f aca="false">E8*H8+N(F8)+N(G8)</f>
        <v>1800</v>
      </c>
      <c r="J8" s="32" t="n">
        <f aca="false">ROUND(IFERROR(ROUND(IF(OR(ISNUMBER(SEARCH("week",C8)),ISNUMBER(SEARCH("minggu",C8))),IFERROR(_xlfn.NUMBERVALUE(SUBSTITUTE(LEFT(TRIM(C8),FIND(" ",TRIM(C8)&amp;" ")-1),",","."),"."),LEFT(SUBSTITUTE(LEFT(TRIM(C8),FIND(" ",TRIM(C8)&amp;" ")-1),",","."),FIND("/",SUBSTITUTE(LEFT(TRIM(C8),FIND(" ",TRIM(C8)&amp;" ")-1),",","."))-1)/MID(SUBSTITUTE(LEFT(TRIM(C8),FIND(" ",TRIM(C8)&amp;" ")-1),",","."),FIND("/",SUBSTITUTE(LEFT(TRIM(C8),FIND(" ",TRIM(C8)&amp;" ")-1),",","."))+1,9))*12/52,IF(ISNUMBER(SEARCH("month",C8)),IFERROR(_xlfn.NUMBERVALUE(SUBSTITUTE(LEFT(TRIM(C8),FIND(" ",TRIM(C8)&amp;" ")-1),",","."),"."),LEFT(SUBSTITUTE(LEFT(TRIM(C8),FIND(" ",TRIM(C8)&amp;" ")-1),",","."),FIND("/",SUBSTITUTE(LEFT(TRIM(C8),FIND(" ",TRIM(C8)&amp;" ")-1),",","."))-1)/MID(SUBSTITUTE(LEFT(TRIM(C8),FIND(" ",TRIM(C8)&amp;" ")-1),",","."),FIND("/",SUBSTITUTE(LEFT(TRIM(C8),FIND(" ",TRIM(C8)&amp;" ")-1),",","."))+1,9)),IF(ISNUMBER(SEARCH("yea",C8)),IFERROR(_xlfn.NUMBERVALUE(SUBSTITUTE(LEFT(TRIM(C8),FIND(" ",TRIM(C8)&amp;" ")-1),",","."),"."),LEFT(SUBSTITUTE(LEFT(TRIM(C8),FIND(" ",TRIM(C8)&amp;" ")-1),",","."),FIND("/",SUBSTITUTE(LEFT(TRIM(C8),FIND(" ",TRIM(C8)&amp;" ")-1),",","."))-1)/MID(SUBSTITUTE(LEFT(TRIM(C8),FIND(" ",TRIM(C8)&amp;" ")-1),",","."),FIND("/",SUBSTITUTE(LEFT(TRIM(C8),FIND(" ",TRIM(C8)&amp;" ")-1),",","."))+1,9))*12,NA()))),0),30)*'Aturan &amp; Tarif'!$B$4,2)</f>
        <v>1703.4</v>
      </c>
      <c r="K8" s="32" t="n">
        <f aca="false">'Aturan &amp; Tarif'!$B$5</f>
        <v>2050</v>
      </c>
      <c r="L8" s="32" t="n">
        <f aca="false">'Aturan &amp; Tarif'!$B$6</f>
        <v>350</v>
      </c>
      <c r="M8" s="35" t="n">
        <f aca="false">I8+J8+K8+L8</f>
        <v>5903.4</v>
      </c>
      <c r="N8" s="37" t="s">
        <v>134</v>
      </c>
    </row>
    <row r="9" customFormat="false" ht="14.25" hidden="false" customHeight="true" outlineLevel="0" collapsed="false">
      <c r="A9" s="29"/>
      <c r="B9" s="30" t="s">
        <v>1170</v>
      </c>
      <c r="C9" s="31" t="s">
        <v>138</v>
      </c>
      <c r="D9" s="31" t="s">
        <v>108</v>
      </c>
      <c r="E9" s="32" t="n">
        <v>1500</v>
      </c>
      <c r="F9" s="32" t="n">
        <v>50</v>
      </c>
      <c r="G9" s="32" t="n">
        <v>250</v>
      </c>
      <c r="H9" s="33" t="n">
        <v>1</v>
      </c>
      <c r="I9" s="34" t="n">
        <f aca="false">E9*H9+N(F9)+N(G9)</f>
        <v>1800</v>
      </c>
      <c r="J9" s="32" t="n">
        <f aca="false">ROUND(IFERROR(ROUND(IF(OR(ISNUMBER(SEARCH("week",C9)),ISNUMBER(SEARCH("minggu",C9))),IFERROR(_xlfn.NUMBERVALUE(SUBSTITUTE(LEFT(TRIM(C9),FIND(" ",TRIM(C9)&amp;" ")-1),",","."),"."),LEFT(SUBSTITUTE(LEFT(TRIM(C9),FIND(" ",TRIM(C9)&amp;" ")-1),",","."),FIND("/",SUBSTITUTE(LEFT(TRIM(C9),FIND(" ",TRIM(C9)&amp;" ")-1),",","."))-1)/MID(SUBSTITUTE(LEFT(TRIM(C9),FIND(" ",TRIM(C9)&amp;" ")-1),",","."),FIND("/",SUBSTITUTE(LEFT(TRIM(C9),FIND(" ",TRIM(C9)&amp;" ")-1),",","."))+1,9))*12/52,IF(ISNUMBER(SEARCH("month",C9)),IFERROR(_xlfn.NUMBERVALUE(SUBSTITUTE(LEFT(TRIM(C9),FIND(" ",TRIM(C9)&amp;" ")-1),",","."),"."),LEFT(SUBSTITUTE(LEFT(TRIM(C9),FIND(" ",TRIM(C9)&amp;" ")-1),",","."),FIND("/",SUBSTITUTE(LEFT(TRIM(C9),FIND(" ",TRIM(C9)&amp;" ")-1),",","."))-1)/MID(SUBSTITUTE(LEFT(TRIM(C9),FIND(" ",TRIM(C9)&amp;" ")-1),",","."),FIND("/",SUBSTITUTE(LEFT(TRIM(C9),FIND(" ",TRIM(C9)&amp;" ")-1),",","."))+1,9)),IF(ISNUMBER(SEARCH("yea",C9)),IFERROR(_xlfn.NUMBERVALUE(SUBSTITUTE(LEFT(TRIM(C9),FIND(" ",TRIM(C9)&amp;" ")-1),",","."),"."),LEFT(SUBSTITUTE(LEFT(TRIM(C9),FIND(" ",TRIM(C9)&amp;" ")-1),",","."),FIND("/",SUBSTITUTE(LEFT(TRIM(C9),FIND(" ",TRIM(C9)&amp;" ")-1),",","."))-1)/MID(SUBSTITUTE(LEFT(TRIM(C9),FIND(" ",TRIM(C9)&amp;" ")-1),",","."),FIND("/",SUBSTITUTE(LEFT(TRIM(C9),FIND(" ",TRIM(C9)&amp;" ")-1),",","."))+1,9))*12,NA()))),0),30)*'Aturan &amp; Tarif'!$B$4,2)</f>
        <v>1703.4</v>
      </c>
      <c r="K9" s="32" t="n">
        <f aca="false">'Aturan &amp; Tarif'!$B$5</f>
        <v>2050</v>
      </c>
      <c r="L9" s="32" t="n">
        <f aca="false">'Aturan &amp; Tarif'!$B$6</f>
        <v>350</v>
      </c>
      <c r="M9" s="35" t="n">
        <f aca="false">I9+J9+K9+L9</f>
        <v>5903.4</v>
      </c>
      <c r="N9" s="37" t="s">
        <v>134</v>
      </c>
    </row>
    <row r="10" customFormat="false" ht="25.5" hidden="false" customHeight="true" outlineLevel="0" collapsed="false">
      <c r="A10" s="29"/>
      <c r="B10" s="30" t="s">
        <v>1171</v>
      </c>
      <c r="C10" s="31" t="s">
        <v>191</v>
      </c>
      <c r="D10" s="31" t="s">
        <v>108</v>
      </c>
      <c r="E10" s="32" t="n">
        <v>1500</v>
      </c>
      <c r="F10" s="32" t="n">
        <v>50</v>
      </c>
      <c r="G10" s="32" t="n">
        <v>250</v>
      </c>
      <c r="H10" s="33" t="n">
        <v>1</v>
      </c>
      <c r="I10" s="34" t="n">
        <f aca="false">E10*H10+N(F10)+N(G10)</f>
        <v>1800</v>
      </c>
      <c r="J10" s="32" t="n">
        <f aca="false">ROUND(IFERROR(ROUND(IF(OR(ISNUMBER(SEARCH("week",C10)),ISNUMBER(SEARCH("minggu",C10))),IFERROR(_xlfn.NUMBERVALUE(SUBSTITUTE(LEFT(TRIM(C10),FIND(" ",TRIM(C10)&amp;" ")-1),",","."),"."),LEFT(SUBSTITUTE(LEFT(TRIM(C10),FIND(" ",TRIM(C10)&amp;" ")-1),",","."),FIND("/",SUBSTITUTE(LEFT(TRIM(C10),FIND(" ",TRIM(C10)&amp;" ")-1),",","."))-1)/MID(SUBSTITUTE(LEFT(TRIM(C10),FIND(" ",TRIM(C10)&amp;" ")-1),",","."),FIND("/",SUBSTITUTE(LEFT(TRIM(C10),FIND(" ",TRIM(C10)&amp;" ")-1),",","."))+1,9))*12/52,IF(ISNUMBER(SEARCH("month",C10)),IFERROR(_xlfn.NUMBERVALUE(SUBSTITUTE(LEFT(TRIM(C10),FIND(" ",TRIM(C10)&amp;" ")-1),",","."),"."),LEFT(SUBSTITUTE(LEFT(TRIM(C10),FIND(" ",TRIM(C10)&amp;" ")-1),",","."),FIND("/",SUBSTITUTE(LEFT(TRIM(C10),FIND(" ",TRIM(C10)&amp;" ")-1),",","."))-1)/MID(SUBSTITUTE(LEFT(TRIM(C10),FIND(" ",TRIM(C10)&amp;" ")-1),",","."),FIND("/",SUBSTITUTE(LEFT(TRIM(C10),FIND(" ",TRIM(C10)&amp;" ")-1),",","."))+1,9)),IF(ISNUMBER(SEARCH("yea",C10)),IFERROR(_xlfn.NUMBERVALUE(SUBSTITUTE(LEFT(TRIM(C10),FIND(" ",TRIM(C10)&amp;" ")-1),",","."),"."),LEFT(SUBSTITUTE(LEFT(TRIM(C10),FIND(" ",TRIM(C10)&amp;" ")-1),",","."),FIND("/",SUBSTITUTE(LEFT(TRIM(C10),FIND(" ",TRIM(C10)&amp;" ")-1),",","."))-1)/MID(SUBSTITUTE(LEFT(TRIM(C10),FIND(" ",TRIM(C10)&amp;" ")-1),",","."),FIND("/",SUBSTITUTE(LEFT(TRIM(C10),FIND(" ",TRIM(C10)&amp;" ")-1),",","."))+1,9))*12,NA()))),0),48)*'Aturan &amp; Tarif'!$B$4,2)</f>
        <v>2725.44</v>
      </c>
      <c r="K10" s="32" t="n">
        <f aca="false">'Aturan &amp; Tarif'!$B$5</f>
        <v>2050</v>
      </c>
      <c r="L10" s="32" t="n">
        <f aca="false">'Aturan &amp; Tarif'!$B$6</f>
        <v>350</v>
      </c>
      <c r="M10" s="35" t="n">
        <f aca="false">I10+J10+K10+L10</f>
        <v>6925.44</v>
      </c>
      <c r="N10" s="37" t="s">
        <v>134</v>
      </c>
    </row>
    <row r="11" customFormat="false" ht="25.5" hidden="false" customHeight="true" outlineLevel="0" collapsed="false">
      <c r="A11" s="29"/>
      <c r="B11" s="30" t="s">
        <v>837</v>
      </c>
      <c r="C11" s="31" t="s">
        <v>107</v>
      </c>
      <c r="D11" s="31" t="s">
        <v>108</v>
      </c>
      <c r="E11" s="32" t="n">
        <v>3000</v>
      </c>
      <c r="F11" s="32" t="n">
        <v>50</v>
      </c>
      <c r="G11" s="32" t="n">
        <v>250</v>
      </c>
      <c r="H11" s="33" t="n">
        <v>1</v>
      </c>
      <c r="I11" s="34" t="n">
        <f aca="false">E11*H11+N(F11)+N(G11)</f>
        <v>3300</v>
      </c>
      <c r="J11" s="32" t="n">
        <f aca="false">ROUND(IFERROR(ROUND(IF(OR(ISNUMBER(SEARCH("week",C11)),ISNUMBER(SEARCH("minggu",C11))),IFERROR(_xlfn.NUMBERVALUE(SUBSTITUTE(LEFT(TRIM(C11),FIND(" ",TRIM(C11)&amp;" ")-1),",","."),"."),LEFT(SUBSTITUTE(LEFT(TRIM(C11),FIND(" ",TRIM(C11)&amp;" ")-1),",","."),FIND("/",SUBSTITUTE(LEFT(TRIM(C11),FIND(" ",TRIM(C11)&amp;" ")-1),",","."))-1)/MID(SUBSTITUTE(LEFT(TRIM(C11),FIND(" ",TRIM(C11)&amp;" ")-1),",","."),FIND("/",SUBSTITUTE(LEFT(TRIM(C11),FIND(" ",TRIM(C11)&amp;" ")-1),",","."))+1,9))*12/52,IF(ISNUMBER(SEARCH("month",C11)),IFERROR(_xlfn.NUMBERVALUE(SUBSTITUTE(LEFT(TRIM(C11),FIND(" ",TRIM(C11)&amp;" ")-1),",","."),"."),LEFT(SUBSTITUTE(LEFT(TRIM(C11),FIND(" ",TRIM(C11)&amp;" ")-1),",","."),FIND("/",SUBSTITUTE(LEFT(TRIM(C11),FIND(" ",TRIM(C11)&amp;" ")-1),",","."))-1)/MID(SUBSTITUTE(LEFT(TRIM(C11),FIND(" ",TRIM(C11)&amp;" ")-1),",","."),FIND("/",SUBSTITUTE(LEFT(TRIM(C11),FIND(" ",TRIM(C11)&amp;" ")-1),",","."))+1,9)),IF(ISNUMBER(SEARCH("yea",C11)),IFERROR(_xlfn.NUMBERVALUE(SUBSTITUTE(LEFT(TRIM(C11),FIND(" ",TRIM(C11)&amp;" ")-1),",","."),"."),LEFT(SUBSTITUTE(LEFT(TRIM(C11),FIND(" ",TRIM(C11)&amp;" ")-1),",","."),FIND("/",SUBSTITUTE(LEFT(TRIM(C11),FIND(" ",TRIM(C11)&amp;" ")-1),",","."))-1)/MID(SUBSTITUTE(LEFT(TRIM(C11),FIND(" ",TRIM(C11)&amp;" ")-1),",","."),FIND("/",SUBSTITUTE(LEFT(TRIM(C11),FIND(" ",TRIM(C11)&amp;" ")-1),",","."))+1,9))*12,NA()))),0),24)*'Aturan &amp; Tarif'!$B$4,2)</f>
        <v>1362.72</v>
      </c>
      <c r="K11" s="32" t="n">
        <f aca="false">'Aturan &amp; Tarif'!$B$5</f>
        <v>2050</v>
      </c>
      <c r="L11" s="32" t="n">
        <f aca="false">'Aturan &amp; Tarif'!$B$6</f>
        <v>350</v>
      </c>
      <c r="M11" s="35" t="n">
        <f aca="false">I11+J11+K11+L11</f>
        <v>7062.72</v>
      </c>
      <c r="N11" s="37" t="s">
        <v>134</v>
      </c>
    </row>
    <row r="12" customFormat="false" ht="14.25" hidden="false" customHeight="true" outlineLevel="0" collapsed="false">
      <c r="A12" s="29"/>
      <c r="B12" s="30" t="s">
        <v>1172</v>
      </c>
      <c r="C12" s="31" t="s">
        <v>107</v>
      </c>
      <c r="D12" s="31" t="s">
        <v>108</v>
      </c>
      <c r="E12" s="32" t="n">
        <v>1600</v>
      </c>
      <c r="F12" s="32" t="n">
        <v>50</v>
      </c>
      <c r="G12" s="32" t="n">
        <v>250</v>
      </c>
      <c r="H12" s="33" t="n">
        <v>1</v>
      </c>
      <c r="I12" s="34" t="n">
        <f aca="false">E12*H12+N(F12)+N(G12)</f>
        <v>1900</v>
      </c>
      <c r="J12" s="32" t="n">
        <f aca="false">ROUND(IFERROR(ROUND(IF(OR(ISNUMBER(SEARCH("week",C12)),ISNUMBER(SEARCH("minggu",C12))),IFERROR(_xlfn.NUMBERVALUE(SUBSTITUTE(LEFT(TRIM(C12),FIND(" ",TRIM(C12)&amp;" ")-1),",","."),"."),LEFT(SUBSTITUTE(LEFT(TRIM(C12),FIND(" ",TRIM(C12)&amp;" ")-1),",","."),FIND("/",SUBSTITUTE(LEFT(TRIM(C12),FIND(" ",TRIM(C12)&amp;" ")-1),",","."))-1)/MID(SUBSTITUTE(LEFT(TRIM(C12),FIND(" ",TRIM(C12)&amp;" ")-1),",","."),FIND("/",SUBSTITUTE(LEFT(TRIM(C12),FIND(" ",TRIM(C12)&amp;" ")-1),",","."))+1,9))*12/52,IF(ISNUMBER(SEARCH("month",C12)),IFERROR(_xlfn.NUMBERVALUE(SUBSTITUTE(LEFT(TRIM(C12),FIND(" ",TRIM(C12)&amp;" ")-1),",","."),"."),LEFT(SUBSTITUTE(LEFT(TRIM(C12),FIND(" ",TRIM(C12)&amp;" ")-1),",","."),FIND("/",SUBSTITUTE(LEFT(TRIM(C12),FIND(" ",TRIM(C12)&amp;" ")-1),",","."))-1)/MID(SUBSTITUTE(LEFT(TRIM(C12),FIND(" ",TRIM(C12)&amp;" ")-1),",","."),FIND("/",SUBSTITUTE(LEFT(TRIM(C12),FIND(" ",TRIM(C12)&amp;" ")-1),",","."))+1,9)),IF(ISNUMBER(SEARCH("yea",C12)),IFERROR(_xlfn.NUMBERVALUE(SUBSTITUTE(LEFT(TRIM(C12),FIND(" ",TRIM(C12)&amp;" ")-1),",","."),"."),LEFT(SUBSTITUTE(LEFT(TRIM(C12),FIND(" ",TRIM(C12)&amp;" ")-1),",","."),FIND("/",SUBSTITUTE(LEFT(TRIM(C12),FIND(" ",TRIM(C12)&amp;" ")-1),",","."))-1)/MID(SUBSTITUTE(LEFT(TRIM(C12),FIND(" ",TRIM(C12)&amp;" ")-1),",","."),FIND("/",SUBSTITUTE(LEFT(TRIM(C12),FIND(" ",TRIM(C12)&amp;" ")-1),",","."))+1,9))*12,NA()))),0),24)*'Aturan &amp; Tarif'!$B$4,2)</f>
        <v>1362.72</v>
      </c>
      <c r="K12" s="32" t="n">
        <f aca="false">'Aturan &amp; Tarif'!$B$5</f>
        <v>2050</v>
      </c>
      <c r="L12" s="32" t="n">
        <f aca="false">'Aturan &amp; Tarif'!$B$6</f>
        <v>350</v>
      </c>
      <c r="M12" s="35" t="n">
        <f aca="false">I12+J12+K12+L12</f>
        <v>5662.72</v>
      </c>
      <c r="N12" s="37" t="s">
        <v>134</v>
      </c>
    </row>
    <row r="13" customFormat="false" ht="370.5" hidden="false" customHeight="true" outlineLevel="0" collapsed="false">
      <c r="A13" s="29" t="s">
        <v>1173</v>
      </c>
      <c r="B13" s="30" t="s">
        <v>1174</v>
      </c>
      <c r="C13" s="31" t="s">
        <v>127</v>
      </c>
      <c r="D13" s="31" t="s">
        <v>108</v>
      </c>
      <c r="E13" s="32" t="n">
        <v>13050</v>
      </c>
      <c r="F13" s="32"/>
      <c r="G13" s="32" t="n">
        <v>150</v>
      </c>
      <c r="H13" s="33" t="n">
        <v>2</v>
      </c>
      <c r="I13" s="34" t="n">
        <f aca="false">E13*H13+N(F13)+N(G13)</f>
        <v>26250</v>
      </c>
      <c r="J13" s="32" t="n">
        <f aca="false">ROUND(IFERROR(ROUND(IF(OR(ISNUMBER(SEARCH("week",C13)),ISNUMBER(SEARCH("minggu",C13))),IFERROR(_xlfn.NUMBERVALUE(SUBSTITUTE(LEFT(TRIM(C13),FIND(" ",TRIM(C13)&amp;" ")-1),",","."),"."),LEFT(SUBSTITUTE(LEFT(TRIM(C13),FIND(" ",TRIM(C13)&amp;" ")-1),",","."),FIND("/",SUBSTITUTE(LEFT(TRIM(C13),FIND(" ",TRIM(C13)&amp;" ")-1),",","."))-1)/MID(SUBSTITUTE(LEFT(TRIM(C13),FIND(" ",TRIM(C13)&amp;" ")-1),",","."),FIND("/",SUBSTITUTE(LEFT(TRIM(C13),FIND(" ",TRIM(C13)&amp;" ")-1),",","."))+1,9))*12/52,IF(ISNUMBER(SEARCH("month",C13)),IFERROR(_xlfn.NUMBERVALUE(SUBSTITUTE(LEFT(TRIM(C13),FIND(" ",TRIM(C13)&amp;" ")-1),",","."),"."),LEFT(SUBSTITUTE(LEFT(TRIM(C13),FIND(" ",TRIM(C13)&amp;" ")-1),",","."),FIND("/",SUBSTITUTE(LEFT(TRIM(C13),FIND(" ",TRIM(C13)&amp;" ")-1),",","."))-1)/MID(SUBSTITUTE(LEFT(TRIM(C13),FIND(" ",TRIM(C13)&amp;" ")-1),",","."),FIND("/",SUBSTITUTE(LEFT(TRIM(C13),FIND(" ",TRIM(C13)&amp;" ")-1),",","."))+1,9)),IF(ISNUMBER(SEARCH("yea",C13)),IFERROR(_xlfn.NUMBERVALUE(SUBSTITUTE(LEFT(TRIM(C13),FIND(" ",TRIM(C13)&amp;" ")-1),",","."),"."),LEFT(SUBSTITUTE(LEFT(TRIM(C13),FIND(" ",TRIM(C13)&amp;" ")-1),",","."),FIND("/",SUBSTITUTE(LEFT(TRIM(C13),FIND(" ",TRIM(C13)&amp;" ")-1),",","."))-1)/MID(SUBSTITUTE(LEFT(TRIM(C13),FIND(" ",TRIM(C13)&amp;" ")-1),",","."),FIND("/",SUBSTITUTE(LEFT(TRIM(C13),FIND(" ",TRIM(C13)&amp;" ")-1),",","."))+1,9))*12,NA()))),0),36)*'Aturan &amp; Tarif'!$B$4,2)</f>
        <v>2044.08</v>
      </c>
      <c r="K13" s="32" t="n">
        <f aca="false">'Aturan &amp; Tarif'!$B$5</f>
        <v>2050</v>
      </c>
      <c r="L13" s="32" t="n">
        <f aca="false">'Aturan &amp; Tarif'!$B$6</f>
        <v>350</v>
      </c>
      <c r="M13" s="35" t="n">
        <f aca="false">I13+J13+K13+L13</f>
        <v>30694.08</v>
      </c>
      <c r="N13" s="37" t="s">
        <v>1175</v>
      </c>
    </row>
    <row r="14" customFormat="false" ht="25.5" hidden="false" customHeight="true" outlineLevel="0" collapsed="false">
      <c r="A14" s="29"/>
      <c r="B14" s="30" t="s">
        <v>1176</v>
      </c>
      <c r="C14" s="31" t="s">
        <v>127</v>
      </c>
      <c r="D14" s="31" t="s">
        <v>108</v>
      </c>
      <c r="E14" s="32" t="n">
        <v>13050</v>
      </c>
      <c r="F14" s="32"/>
      <c r="G14" s="32" t="n">
        <v>150</v>
      </c>
      <c r="H14" s="33" t="n">
        <v>2</v>
      </c>
      <c r="I14" s="34" t="n">
        <f aca="false">E14*H14+N(F14)+N(G14)</f>
        <v>26250</v>
      </c>
      <c r="J14" s="32" t="n">
        <f aca="false">ROUND(IFERROR(ROUND(IF(OR(ISNUMBER(SEARCH("week",C14)),ISNUMBER(SEARCH("minggu",C14))),IFERROR(_xlfn.NUMBERVALUE(SUBSTITUTE(LEFT(TRIM(C14),FIND(" ",TRIM(C14)&amp;" ")-1),",","."),"."),LEFT(SUBSTITUTE(LEFT(TRIM(C14),FIND(" ",TRIM(C14)&amp;" ")-1),",","."),FIND("/",SUBSTITUTE(LEFT(TRIM(C14),FIND(" ",TRIM(C14)&amp;" ")-1),",","."))-1)/MID(SUBSTITUTE(LEFT(TRIM(C14),FIND(" ",TRIM(C14)&amp;" ")-1),",","."),FIND("/",SUBSTITUTE(LEFT(TRIM(C14),FIND(" ",TRIM(C14)&amp;" ")-1),",","."))+1,9))*12/52,IF(ISNUMBER(SEARCH("month",C14)),IFERROR(_xlfn.NUMBERVALUE(SUBSTITUTE(LEFT(TRIM(C14),FIND(" ",TRIM(C14)&amp;" ")-1),",","."),"."),LEFT(SUBSTITUTE(LEFT(TRIM(C14),FIND(" ",TRIM(C14)&amp;" ")-1),",","."),FIND("/",SUBSTITUTE(LEFT(TRIM(C14),FIND(" ",TRIM(C14)&amp;" ")-1),",","."))-1)/MID(SUBSTITUTE(LEFT(TRIM(C14),FIND(" ",TRIM(C14)&amp;" ")-1),",","."),FIND("/",SUBSTITUTE(LEFT(TRIM(C14),FIND(" ",TRIM(C14)&amp;" ")-1),",","."))+1,9)),IF(ISNUMBER(SEARCH("yea",C14)),IFERROR(_xlfn.NUMBERVALUE(SUBSTITUTE(LEFT(TRIM(C14),FIND(" ",TRIM(C14)&amp;" ")-1),",","."),"."),LEFT(SUBSTITUTE(LEFT(TRIM(C14),FIND(" ",TRIM(C14)&amp;" ")-1),",","."),FIND("/",SUBSTITUTE(LEFT(TRIM(C14),FIND(" ",TRIM(C14)&amp;" ")-1),",","."))-1)/MID(SUBSTITUTE(LEFT(TRIM(C14),FIND(" ",TRIM(C14)&amp;" ")-1),",","."),FIND("/",SUBSTITUTE(LEFT(TRIM(C14),FIND(" ",TRIM(C14)&amp;" ")-1),",","."))+1,9))*12,NA()))),0),36)*'Aturan &amp; Tarif'!$B$4,2)</f>
        <v>2044.08</v>
      </c>
      <c r="K14" s="32" t="n">
        <f aca="false">'Aturan &amp; Tarif'!$B$5</f>
        <v>2050</v>
      </c>
      <c r="L14" s="32" t="n">
        <f aca="false">'Aturan &amp; Tarif'!$B$6</f>
        <v>350</v>
      </c>
      <c r="M14" s="35" t="n">
        <f aca="false">I14+J14+K14+L14</f>
        <v>30694.08</v>
      </c>
      <c r="N14" s="37" t="s">
        <v>1175</v>
      </c>
    </row>
    <row r="15" customFormat="false" ht="25.5" hidden="false" customHeight="true" outlineLevel="0" collapsed="false">
      <c r="A15" s="29"/>
      <c r="B15" s="30" t="s">
        <v>1177</v>
      </c>
      <c r="C15" s="31" t="s">
        <v>127</v>
      </c>
      <c r="D15" s="31" t="s">
        <v>108</v>
      </c>
      <c r="E15" s="32" t="n">
        <v>13050</v>
      </c>
      <c r="F15" s="32"/>
      <c r="G15" s="32" t="n">
        <v>150</v>
      </c>
      <c r="H15" s="33" t="n">
        <v>2</v>
      </c>
      <c r="I15" s="34" t="n">
        <f aca="false">E15*H15+N(F15)+N(G15)</f>
        <v>26250</v>
      </c>
      <c r="J15" s="32" t="n">
        <f aca="false">ROUND(IFERROR(ROUND(IF(OR(ISNUMBER(SEARCH("week",C15)),ISNUMBER(SEARCH("minggu",C15))),IFERROR(_xlfn.NUMBERVALUE(SUBSTITUTE(LEFT(TRIM(C15),FIND(" ",TRIM(C15)&amp;" ")-1),",","."),"."),LEFT(SUBSTITUTE(LEFT(TRIM(C15),FIND(" ",TRIM(C15)&amp;" ")-1),",","."),FIND("/",SUBSTITUTE(LEFT(TRIM(C15),FIND(" ",TRIM(C15)&amp;" ")-1),",","."))-1)/MID(SUBSTITUTE(LEFT(TRIM(C15),FIND(" ",TRIM(C15)&amp;" ")-1),",","."),FIND("/",SUBSTITUTE(LEFT(TRIM(C15),FIND(" ",TRIM(C15)&amp;" ")-1),",","."))+1,9))*12/52,IF(ISNUMBER(SEARCH("month",C15)),IFERROR(_xlfn.NUMBERVALUE(SUBSTITUTE(LEFT(TRIM(C15),FIND(" ",TRIM(C15)&amp;" ")-1),",","."),"."),LEFT(SUBSTITUTE(LEFT(TRIM(C15),FIND(" ",TRIM(C15)&amp;" ")-1),",","."),FIND("/",SUBSTITUTE(LEFT(TRIM(C15),FIND(" ",TRIM(C15)&amp;" ")-1),",","."))-1)/MID(SUBSTITUTE(LEFT(TRIM(C15),FIND(" ",TRIM(C15)&amp;" ")-1),",","."),FIND("/",SUBSTITUTE(LEFT(TRIM(C15),FIND(" ",TRIM(C15)&amp;" ")-1),",","."))+1,9)),IF(ISNUMBER(SEARCH("yea",C15)),IFERROR(_xlfn.NUMBERVALUE(SUBSTITUTE(LEFT(TRIM(C15),FIND(" ",TRIM(C15)&amp;" ")-1),",","."),"."),LEFT(SUBSTITUTE(LEFT(TRIM(C15),FIND(" ",TRIM(C15)&amp;" ")-1),",","."),FIND("/",SUBSTITUTE(LEFT(TRIM(C15),FIND(" ",TRIM(C15)&amp;" ")-1),",","."))-1)/MID(SUBSTITUTE(LEFT(TRIM(C15),FIND(" ",TRIM(C15)&amp;" ")-1),",","."),FIND("/",SUBSTITUTE(LEFT(TRIM(C15),FIND(" ",TRIM(C15)&amp;" ")-1),",","."))+1,9))*12,NA()))),0),36)*'Aturan &amp; Tarif'!$B$4,2)</f>
        <v>2044.08</v>
      </c>
      <c r="K15" s="32" t="n">
        <f aca="false">'Aturan &amp; Tarif'!$B$5</f>
        <v>2050</v>
      </c>
      <c r="L15" s="32" t="n">
        <f aca="false">'Aturan &amp; Tarif'!$B$6</f>
        <v>350</v>
      </c>
      <c r="M15" s="35" t="n">
        <f aca="false">I15+J15+K15+L15</f>
        <v>30694.08</v>
      </c>
      <c r="N15" s="37" t="s">
        <v>1175</v>
      </c>
    </row>
    <row r="16" customFormat="false" ht="25.5" hidden="false" customHeight="true" outlineLevel="0" collapsed="false">
      <c r="A16" s="29"/>
      <c r="B16" s="30" t="s">
        <v>1178</v>
      </c>
      <c r="C16" s="31" t="s">
        <v>127</v>
      </c>
      <c r="D16" s="31" t="s">
        <v>108</v>
      </c>
      <c r="E16" s="32" t="n">
        <v>13050</v>
      </c>
      <c r="F16" s="32"/>
      <c r="G16" s="32" t="n">
        <v>150</v>
      </c>
      <c r="H16" s="33" t="n">
        <v>2</v>
      </c>
      <c r="I16" s="34" t="n">
        <f aca="false">E16*H16+N(F16)+N(G16)</f>
        <v>26250</v>
      </c>
      <c r="J16" s="32" t="n">
        <f aca="false">ROUND(IFERROR(ROUND(IF(OR(ISNUMBER(SEARCH("week",C16)),ISNUMBER(SEARCH("minggu",C16))),IFERROR(_xlfn.NUMBERVALUE(SUBSTITUTE(LEFT(TRIM(C16),FIND(" ",TRIM(C16)&amp;" ")-1),",","."),"."),LEFT(SUBSTITUTE(LEFT(TRIM(C16),FIND(" ",TRIM(C16)&amp;" ")-1),",","."),FIND("/",SUBSTITUTE(LEFT(TRIM(C16),FIND(" ",TRIM(C16)&amp;" ")-1),",","."))-1)/MID(SUBSTITUTE(LEFT(TRIM(C16),FIND(" ",TRIM(C16)&amp;" ")-1),",","."),FIND("/",SUBSTITUTE(LEFT(TRIM(C16),FIND(" ",TRIM(C16)&amp;" ")-1),",","."))+1,9))*12/52,IF(ISNUMBER(SEARCH("month",C16)),IFERROR(_xlfn.NUMBERVALUE(SUBSTITUTE(LEFT(TRIM(C16),FIND(" ",TRIM(C16)&amp;" ")-1),",","."),"."),LEFT(SUBSTITUTE(LEFT(TRIM(C16),FIND(" ",TRIM(C16)&amp;" ")-1),",","."),FIND("/",SUBSTITUTE(LEFT(TRIM(C16),FIND(" ",TRIM(C16)&amp;" ")-1),",","."))-1)/MID(SUBSTITUTE(LEFT(TRIM(C16),FIND(" ",TRIM(C16)&amp;" ")-1),",","."),FIND("/",SUBSTITUTE(LEFT(TRIM(C16),FIND(" ",TRIM(C16)&amp;" ")-1),",","."))+1,9)),IF(ISNUMBER(SEARCH("yea",C16)),IFERROR(_xlfn.NUMBERVALUE(SUBSTITUTE(LEFT(TRIM(C16),FIND(" ",TRIM(C16)&amp;" ")-1),",","."),"."),LEFT(SUBSTITUTE(LEFT(TRIM(C16),FIND(" ",TRIM(C16)&amp;" ")-1),",","."),FIND("/",SUBSTITUTE(LEFT(TRIM(C16),FIND(" ",TRIM(C16)&amp;" ")-1),",","."))-1)/MID(SUBSTITUTE(LEFT(TRIM(C16),FIND(" ",TRIM(C16)&amp;" ")-1),",","."),FIND("/",SUBSTITUTE(LEFT(TRIM(C16),FIND(" ",TRIM(C16)&amp;" ")-1),",","."))+1,9))*12,NA()))),0),36)*'Aturan &amp; Tarif'!$B$4,2)</f>
        <v>2044.08</v>
      </c>
      <c r="K16" s="32" t="n">
        <f aca="false">'Aturan &amp; Tarif'!$B$5</f>
        <v>2050</v>
      </c>
      <c r="L16" s="32" t="n">
        <f aca="false">'Aturan &amp; Tarif'!$B$6</f>
        <v>350</v>
      </c>
      <c r="M16" s="35" t="n">
        <f aca="false">I16+J16+K16+L16</f>
        <v>30694.08</v>
      </c>
      <c r="N16" s="37" t="s">
        <v>1175</v>
      </c>
    </row>
    <row r="17" customFormat="false" ht="14.25" hidden="false" customHeight="true" outlineLevel="0" collapsed="false">
      <c r="A17" s="29"/>
      <c r="B17" s="30" t="s">
        <v>1179</v>
      </c>
      <c r="C17" s="31" t="s">
        <v>127</v>
      </c>
      <c r="D17" s="31" t="s">
        <v>108</v>
      </c>
      <c r="E17" s="32" t="n">
        <v>13575</v>
      </c>
      <c r="F17" s="32"/>
      <c r="G17" s="32" t="n">
        <v>150</v>
      </c>
      <c r="H17" s="33" t="n">
        <v>2</v>
      </c>
      <c r="I17" s="34" t="n">
        <f aca="false">E17*H17+N(F17)+N(G17)</f>
        <v>27300</v>
      </c>
      <c r="J17" s="32" t="n">
        <f aca="false">ROUND(IFERROR(ROUND(IF(OR(ISNUMBER(SEARCH("week",C17)),ISNUMBER(SEARCH("minggu",C17))),IFERROR(_xlfn.NUMBERVALUE(SUBSTITUTE(LEFT(TRIM(C17),FIND(" ",TRIM(C17)&amp;" ")-1),",","."),"."),LEFT(SUBSTITUTE(LEFT(TRIM(C17),FIND(" ",TRIM(C17)&amp;" ")-1),",","."),FIND("/",SUBSTITUTE(LEFT(TRIM(C17),FIND(" ",TRIM(C17)&amp;" ")-1),",","."))-1)/MID(SUBSTITUTE(LEFT(TRIM(C17),FIND(" ",TRIM(C17)&amp;" ")-1),",","."),FIND("/",SUBSTITUTE(LEFT(TRIM(C17),FIND(" ",TRIM(C17)&amp;" ")-1),",","."))+1,9))*12/52,IF(ISNUMBER(SEARCH("month",C17)),IFERROR(_xlfn.NUMBERVALUE(SUBSTITUTE(LEFT(TRIM(C17),FIND(" ",TRIM(C17)&amp;" ")-1),",","."),"."),LEFT(SUBSTITUTE(LEFT(TRIM(C17),FIND(" ",TRIM(C17)&amp;" ")-1),",","."),FIND("/",SUBSTITUTE(LEFT(TRIM(C17),FIND(" ",TRIM(C17)&amp;" ")-1),",","."))-1)/MID(SUBSTITUTE(LEFT(TRIM(C17),FIND(" ",TRIM(C17)&amp;" ")-1),",","."),FIND("/",SUBSTITUTE(LEFT(TRIM(C17),FIND(" ",TRIM(C17)&amp;" ")-1),",","."))+1,9)),IF(ISNUMBER(SEARCH("yea",C17)),IFERROR(_xlfn.NUMBERVALUE(SUBSTITUTE(LEFT(TRIM(C17),FIND(" ",TRIM(C17)&amp;" ")-1),",","."),"."),LEFT(SUBSTITUTE(LEFT(TRIM(C17),FIND(" ",TRIM(C17)&amp;" ")-1),",","."),FIND("/",SUBSTITUTE(LEFT(TRIM(C17),FIND(" ",TRIM(C17)&amp;" ")-1),",","."))-1)/MID(SUBSTITUTE(LEFT(TRIM(C17),FIND(" ",TRIM(C17)&amp;" ")-1),",","."),FIND("/",SUBSTITUTE(LEFT(TRIM(C17),FIND(" ",TRIM(C17)&amp;" ")-1),",","."))+1,9))*12,NA()))),0),36)*'Aturan &amp; Tarif'!$B$4,2)</f>
        <v>2044.08</v>
      </c>
      <c r="K17" s="32" t="n">
        <f aca="false">'Aturan &amp; Tarif'!$B$5</f>
        <v>2050</v>
      </c>
      <c r="L17" s="32" t="n">
        <f aca="false">'Aturan &amp; Tarif'!$B$6</f>
        <v>350</v>
      </c>
      <c r="M17" s="35" t="n">
        <f aca="false">I17+J17+K17+L17</f>
        <v>31744.08</v>
      </c>
      <c r="N17" s="37" t="s">
        <v>1180</v>
      </c>
    </row>
    <row r="18" customFormat="false" ht="25.5" hidden="false" customHeight="true" outlineLevel="0" collapsed="false">
      <c r="A18" s="29"/>
      <c r="B18" s="30" t="s">
        <v>1181</v>
      </c>
      <c r="C18" s="31" t="s">
        <v>127</v>
      </c>
      <c r="D18" s="31" t="s">
        <v>108</v>
      </c>
      <c r="E18" s="32" t="n">
        <v>13575</v>
      </c>
      <c r="F18" s="32"/>
      <c r="G18" s="32" t="n">
        <v>150</v>
      </c>
      <c r="H18" s="33" t="n">
        <v>2</v>
      </c>
      <c r="I18" s="34" t="n">
        <f aca="false">E18*H18+N(F18)+N(G18)</f>
        <v>27300</v>
      </c>
      <c r="J18" s="32" t="n">
        <f aca="false">ROUND(IFERROR(ROUND(IF(OR(ISNUMBER(SEARCH("week",C18)),ISNUMBER(SEARCH("minggu",C18))),IFERROR(_xlfn.NUMBERVALUE(SUBSTITUTE(LEFT(TRIM(C18),FIND(" ",TRIM(C18)&amp;" ")-1),",","."),"."),LEFT(SUBSTITUTE(LEFT(TRIM(C18),FIND(" ",TRIM(C18)&amp;" ")-1),",","."),FIND("/",SUBSTITUTE(LEFT(TRIM(C18),FIND(" ",TRIM(C18)&amp;" ")-1),",","."))-1)/MID(SUBSTITUTE(LEFT(TRIM(C18),FIND(" ",TRIM(C18)&amp;" ")-1),",","."),FIND("/",SUBSTITUTE(LEFT(TRIM(C18),FIND(" ",TRIM(C18)&amp;" ")-1),",","."))+1,9))*12/52,IF(ISNUMBER(SEARCH("month",C18)),IFERROR(_xlfn.NUMBERVALUE(SUBSTITUTE(LEFT(TRIM(C18),FIND(" ",TRIM(C18)&amp;" ")-1),",","."),"."),LEFT(SUBSTITUTE(LEFT(TRIM(C18),FIND(" ",TRIM(C18)&amp;" ")-1),",","."),FIND("/",SUBSTITUTE(LEFT(TRIM(C18),FIND(" ",TRIM(C18)&amp;" ")-1),",","."))-1)/MID(SUBSTITUTE(LEFT(TRIM(C18),FIND(" ",TRIM(C18)&amp;" ")-1),",","."),FIND("/",SUBSTITUTE(LEFT(TRIM(C18),FIND(" ",TRIM(C18)&amp;" ")-1),",","."))+1,9)),IF(ISNUMBER(SEARCH("yea",C18)),IFERROR(_xlfn.NUMBERVALUE(SUBSTITUTE(LEFT(TRIM(C18),FIND(" ",TRIM(C18)&amp;" ")-1),",","."),"."),LEFT(SUBSTITUTE(LEFT(TRIM(C18),FIND(" ",TRIM(C18)&amp;" ")-1),",","."),FIND("/",SUBSTITUTE(LEFT(TRIM(C18),FIND(" ",TRIM(C18)&amp;" ")-1),",","."))-1)/MID(SUBSTITUTE(LEFT(TRIM(C18),FIND(" ",TRIM(C18)&amp;" ")-1),",","."),FIND("/",SUBSTITUTE(LEFT(TRIM(C18),FIND(" ",TRIM(C18)&amp;" ")-1),",","."))+1,9))*12,NA()))),0),36)*'Aturan &amp; Tarif'!$B$4,2)</f>
        <v>2044.08</v>
      </c>
      <c r="K18" s="32" t="n">
        <f aca="false">'Aturan &amp; Tarif'!$B$5</f>
        <v>2050</v>
      </c>
      <c r="L18" s="32" t="n">
        <f aca="false">'Aturan &amp; Tarif'!$B$6</f>
        <v>350</v>
      </c>
      <c r="M18" s="35" t="n">
        <f aca="false">I18+J18+K18+L18</f>
        <v>31744.08</v>
      </c>
      <c r="N18" s="37" t="s">
        <v>1180</v>
      </c>
    </row>
    <row r="19" customFormat="false" ht="14.25" hidden="false" customHeight="true" outlineLevel="0" collapsed="false">
      <c r="A19" s="29"/>
      <c r="B19" s="30" t="s">
        <v>1182</v>
      </c>
      <c r="C19" s="31" t="s">
        <v>191</v>
      </c>
      <c r="D19" s="31" t="s">
        <v>108</v>
      </c>
      <c r="E19" s="32" t="n">
        <v>13575</v>
      </c>
      <c r="F19" s="32"/>
      <c r="G19" s="32" t="n">
        <v>150</v>
      </c>
      <c r="H19" s="33" t="n">
        <v>2</v>
      </c>
      <c r="I19" s="34" t="n">
        <f aca="false">E19*H19+N(F19)+N(G19)</f>
        <v>27300</v>
      </c>
      <c r="J19" s="32" t="n">
        <f aca="false">ROUND(IFERROR(ROUND(IF(OR(ISNUMBER(SEARCH("week",C19)),ISNUMBER(SEARCH("minggu",C19))),IFERROR(_xlfn.NUMBERVALUE(SUBSTITUTE(LEFT(TRIM(C19),FIND(" ",TRIM(C19)&amp;" ")-1),",","."),"."),LEFT(SUBSTITUTE(LEFT(TRIM(C19),FIND(" ",TRIM(C19)&amp;" ")-1),",","."),FIND("/",SUBSTITUTE(LEFT(TRIM(C19),FIND(" ",TRIM(C19)&amp;" ")-1),",","."))-1)/MID(SUBSTITUTE(LEFT(TRIM(C19),FIND(" ",TRIM(C19)&amp;" ")-1),",","."),FIND("/",SUBSTITUTE(LEFT(TRIM(C19),FIND(" ",TRIM(C19)&amp;" ")-1),",","."))+1,9))*12/52,IF(ISNUMBER(SEARCH("month",C19)),IFERROR(_xlfn.NUMBERVALUE(SUBSTITUTE(LEFT(TRIM(C19),FIND(" ",TRIM(C19)&amp;" ")-1),",","."),"."),LEFT(SUBSTITUTE(LEFT(TRIM(C19),FIND(" ",TRIM(C19)&amp;" ")-1),",","."),FIND("/",SUBSTITUTE(LEFT(TRIM(C19),FIND(" ",TRIM(C19)&amp;" ")-1),",","."))-1)/MID(SUBSTITUTE(LEFT(TRIM(C19),FIND(" ",TRIM(C19)&amp;" ")-1),",","."),FIND("/",SUBSTITUTE(LEFT(TRIM(C19),FIND(" ",TRIM(C19)&amp;" ")-1),",","."))+1,9)),IF(ISNUMBER(SEARCH("yea",C19)),IFERROR(_xlfn.NUMBERVALUE(SUBSTITUTE(LEFT(TRIM(C19),FIND(" ",TRIM(C19)&amp;" ")-1),",","."),"."),LEFT(SUBSTITUTE(LEFT(TRIM(C19),FIND(" ",TRIM(C19)&amp;" ")-1),",","."),FIND("/",SUBSTITUTE(LEFT(TRIM(C19),FIND(" ",TRIM(C19)&amp;" ")-1),",","."))-1)/MID(SUBSTITUTE(LEFT(TRIM(C19),FIND(" ",TRIM(C19)&amp;" ")-1),",","."),FIND("/",SUBSTITUTE(LEFT(TRIM(C19),FIND(" ",TRIM(C19)&amp;" ")-1),",","."))+1,9))*12,NA()))),0),48)*'Aturan &amp; Tarif'!$B$4,2)</f>
        <v>2725.44</v>
      </c>
      <c r="K19" s="32" t="n">
        <f aca="false">'Aturan &amp; Tarif'!$B$5</f>
        <v>2050</v>
      </c>
      <c r="L19" s="32" t="n">
        <f aca="false">'Aturan &amp; Tarif'!$B$6</f>
        <v>350</v>
      </c>
      <c r="M19" s="35" t="n">
        <f aca="false">I19+J19+K19+L19</f>
        <v>32425.44</v>
      </c>
      <c r="N19" s="37" t="s">
        <v>846</v>
      </c>
    </row>
    <row r="20" customFormat="false" ht="25.5" hidden="false" customHeight="true" outlineLevel="0" collapsed="false">
      <c r="A20" s="29"/>
      <c r="B20" s="30" t="s">
        <v>1183</v>
      </c>
      <c r="C20" s="31" t="s">
        <v>127</v>
      </c>
      <c r="D20" s="31" t="s">
        <v>108</v>
      </c>
      <c r="E20" s="32" t="n">
        <v>11275</v>
      </c>
      <c r="F20" s="32"/>
      <c r="G20" s="32" t="n">
        <v>150</v>
      </c>
      <c r="H20" s="33" t="n">
        <v>2</v>
      </c>
      <c r="I20" s="34" t="n">
        <f aca="false">E20*H20+N(F20)+N(G20)</f>
        <v>22700</v>
      </c>
      <c r="J20" s="32" t="n">
        <f aca="false">ROUND(IFERROR(ROUND(IF(OR(ISNUMBER(SEARCH("week",C20)),ISNUMBER(SEARCH("minggu",C20))),IFERROR(_xlfn.NUMBERVALUE(SUBSTITUTE(LEFT(TRIM(C20),FIND(" ",TRIM(C20)&amp;" ")-1),",","."),"."),LEFT(SUBSTITUTE(LEFT(TRIM(C20),FIND(" ",TRIM(C20)&amp;" ")-1),",","."),FIND("/",SUBSTITUTE(LEFT(TRIM(C20),FIND(" ",TRIM(C20)&amp;" ")-1),",","."))-1)/MID(SUBSTITUTE(LEFT(TRIM(C20),FIND(" ",TRIM(C20)&amp;" ")-1),",","."),FIND("/",SUBSTITUTE(LEFT(TRIM(C20),FIND(" ",TRIM(C20)&amp;" ")-1),",","."))+1,9))*12/52,IF(ISNUMBER(SEARCH("month",C20)),IFERROR(_xlfn.NUMBERVALUE(SUBSTITUTE(LEFT(TRIM(C20),FIND(" ",TRIM(C20)&amp;" ")-1),",","."),"."),LEFT(SUBSTITUTE(LEFT(TRIM(C20),FIND(" ",TRIM(C20)&amp;" ")-1),",","."),FIND("/",SUBSTITUTE(LEFT(TRIM(C20),FIND(" ",TRIM(C20)&amp;" ")-1),",","."))-1)/MID(SUBSTITUTE(LEFT(TRIM(C20),FIND(" ",TRIM(C20)&amp;" ")-1),",","."),FIND("/",SUBSTITUTE(LEFT(TRIM(C20),FIND(" ",TRIM(C20)&amp;" ")-1),",","."))+1,9)),IF(ISNUMBER(SEARCH("yea",C20)),IFERROR(_xlfn.NUMBERVALUE(SUBSTITUTE(LEFT(TRIM(C20),FIND(" ",TRIM(C20)&amp;" ")-1),",","."),"."),LEFT(SUBSTITUTE(LEFT(TRIM(C20),FIND(" ",TRIM(C20)&amp;" ")-1),",","."),FIND("/",SUBSTITUTE(LEFT(TRIM(C20),FIND(" ",TRIM(C20)&amp;" ")-1),",","."))-1)/MID(SUBSTITUTE(LEFT(TRIM(C20),FIND(" ",TRIM(C20)&amp;" ")-1),",","."),FIND("/",SUBSTITUTE(LEFT(TRIM(C20),FIND(" ",TRIM(C20)&amp;" ")-1),",","."))+1,9))*12,NA()))),0),36)*'Aturan &amp; Tarif'!$B$4,2)</f>
        <v>2044.08</v>
      </c>
      <c r="K20" s="32" t="n">
        <f aca="false">'Aturan &amp; Tarif'!$B$5</f>
        <v>2050</v>
      </c>
      <c r="L20" s="32" t="n">
        <f aca="false">'Aturan &amp; Tarif'!$B$6</f>
        <v>350</v>
      </c>
      <c r="M20" s="35" t="n">
        <f aca="false">I20+J20+K20+L20</f>
        <v>27144.08</v>
      </c>
      <c r="N20" s="37" t="s">
        <v>846</v>
      </c>
    </row>
    <row r="21" customFormat="false" ht="14.25" hidden="false" customHeight="true" outlineLevel="0" collapsed="false">
      <c r="A21" s="29"/>
      <c r="B21" s="30" t="s">
        <v>1184</v>
      </c>
      <c r="C21" s="31" t="s">
        <v>127</v>
      </c>
      <c r="D21" s="31" t="s">
        <v>108</v>
      </c>
      <c r="E21" s="32" t="n">
        <v>14275</v>
      </c>
      <c r="F21" s="32"/>
      <c r="G21" s="32" t="n">
        <v>150</v>
      </c>
      <c r="H21" s="33" t="n">
        <v>2</v>
      </c>
      <c r="I21" s="34" t="n">
        <f aca="false">E21*H21+N(F21)+N(G21)</f>
        <v>28700</v>
      </c>
      <c r="J21" s="32" t="n">
        <f aca="false">ROUND(IFERROR(ROUND(IF(OR(ISNUMBER(SEARCH("week",C21)),ISNUMBER(SEARCH("minggu",C21))),IFERROR(_xlfn.NUMBERVALUE(SUBSTITUTE(LEFT(TRIM(C21),FIND(" ",TRIM(C21)&amp;" ")-1),",","."),"."),LEFT(SUBSTITUTE(LEFT(TRIM(C21),FIND(" ",TRIM(C21)&amp;" ")-1),",","."),FIND("/",SUBSTITUTE(LEFT(TRIM(C21),FIND(" ",TRIM(C21)&amp;" ")-1),",","."))-1)/MID(SUBSTITUTE(LEFT(TRIM(C21),FIND(" ",TRIM(C21)&amp;" ")-1),",","."),FIND("/",SUBSTITUTE(LEFT(TRIM(C21),FIND(" ",TRIM(C21)&amp;" ")-1),",","."))+1,9))*12/52,IF(ISNUMBER(SEARCH("month",C21)),IFERROR(_xlfn.NUMBERVALUE(SUBSTITUTE(LEFT(TRIM(C21),FIND(" ",TRIM(C21)&amp;" ")-1),",","."),"."),LEFT(SUBSTITUTE(LEFT(TRIM(C21),FIND(" ",TRIM(C21)&amp;" ")-1),",","."),FIND("/",SUBSTITUTE(LEFT(TRIM(C21),FIND(" ",TRIM(C21)&amp;" ")-1),",","."))-1)/MID(SUBSTITUTE(LEFT(TRIM(C21),FIND(" ",TRIM(C21)&amp;" ")-1),",","."),FIND("/",SUBSTITUTE(LEFT(TRIM(C21),FIND(" ",TRIM(C21)&amp;" ")-1),",","."))+1,9)),IF(ISNUMBER(SEARCH("yea",C21)),IFERROR(_xlfn.NUMBERVALUE(SUBSTITUTE(LEFT(TRIM(C21),FIND(" ",TRIM(C21)&amp;" ")-1),",","."),"."),LEFT(SUBSTITUTE(LEFT(TRIM(C21),FIND(" ",TRIM(C21)&amp;" ")-1),",","."),FIND("/",SUBSTITUTE(LEFT(TRIM(C21),FIND(" ",TRIM(C21)&amp;" ")-1),",","."))-1)/MID(SUBSTITUTE(LEFT(TRIM(C21),FIND(" ",TRIM(C21)&amp;" ")-1),",","."),FIND("/",SUBSTITUTE(LEFT(TRIM(C21),FIND(" ",TRIM(C21)&amp;" ")-1),",","."))+1,9))*12,NA()))),0),36)*'Aturan &amp; Tarif'!$B$4,2)</f>
        <v>2044.08</v>
      </c>
      <c r="K21" s="32" t="n">
        <f aca="false">'Aturan &amp; Tarif'!$B$5</f>
        <v>2050</v>
      </c>
      <c r="L21" s="32" t="n">
        <f aca="false">'Aturan &amp; Tarif'!$B$6</f>
        <v>350</v>
      </c>
      <c r="M21" s="35" t="n">
        <f aca="false">I21+J21+K21+L21</f>
        <v>33144.08</v>
      </c>
      <c r="N21" s="37" t="s">
        <v>1185</v>
      </c>
    </row>
    <row r="22" customFormat="false" ht="25.5" hidden="false" customHeight="true" outlineLevel="0" collapsed="false">
      <c r="A22" s="29"/>
      <c r="B22" s="30" t="s">
        <v>1186</v>
      </c>
      <c r="C22" s="31" t="s">
        <v>127</v>
      </c>
      <c r="D22" s="31" t="s">
        <v>108</v>
      </c>
      <c r="E22" s="32" t="n">
        <v>13850</v>
      </c>
      <c r="F22" s="32"/>
      <c r="G22" s="32" t="n">
        <v>150</v>
      </c>
      <c r="H22" s="33" t="n">
        <v>2</v>
      </c>
      <c r="I22" s="34" t="n">
        <f aca="false">E22*H22+N(F22)+N(G22)</f>
        <v>27850</v>
      </c>
      <c r="J22" s="32" t="n">
        <f aca="false">ROUND(IFERROR(ROUND(IF(OR(ISNUMBER(SEARCH("week",C22)),ISNUMBER(SEARCH("minggu",C22))),IFERROR(_xlfn.NUMBERVALUE(SUBSTITUTE(LEFT(TRIM(C22),FIND(" ",TRIM(C22)&amp;" ")-1),",","."),"."),LEFT(SUBSTITUTE(LEFT(TRIM(C22),FIND(" ",TRIM(C22)&amp;" ")-1),",","."),FIND("/",SUBSTITUTE(LEFT(TRIM(C22),FIND(" ",TRIM(C22)&amp;" ")-1),",","."))-1)/MID(SUBSTITUTE(LEFT(TRIM(C22),FIND(" ",TRIM(C22)&amp;" ")-1),",","."),FIND("/",SUBSTITUTE(LEFT(TRIM(C22),FIND(" ",TRIM(C22)&amp;" ")-1),",","."))+1,9))*12/52,IF(ISNUMBER(SEARCH("month",C22)),IFERROR(_xlfn.NUMBERVALUE(SUBSTITUTE(LEFT(TRIM(C22),FIND(" ",TRIM(C22)&amp;" ")-1),",","."),"."),LEFT(SUBSTITUTE(LEFT(TRIM(C22),FIND(" ",TRIM(C22)&amp;" ")-1),",","."),FIND("/",SUBSTITUTE(LEFT(TRIM(C22),FIND(" ",TRIM(C22)&amp;" ")-1),",","."))-1)/MID(SUBSTITUTE(LEFT(TRIM(C22),FIND(" ",TRIM(C22)&amp;" ")-1),",","."),FIND("/",SUBSTITUTE(LEFT(TRIM(C22),FIND(" ",TRIM(C22)&amp;" ")-1),",","."))+1,9)),IF(ISNUMBER(SEARCH("yea",C22)),IFERROR(_xlfn.NUMBERVALUE(SUBSTITUTE(LEFT(TRIM(C22),FIND(" ",TRIM(C22)&amp;" ")-1),",","."),"."),LEFT(SUBSTITUTE(LEFT(TRIM(C22),FIND(" ",TRIM(C22)&amp;" ")-1),",","."),FIND("/",SUBSTITUTE(LEFT(TRIM(C22),FIND(" ",TRIM(C22)&amp;" ")-1),",","."))-1)/MID(SUBSTITUTE(LEFT(TRIM(C22),FIND(" ",TRIM(C22)&amp;" ")-1),",","."),FIND("/",SUBSTITUTE(LEFT(TRIM(C22),FIND(" ",TRIM(C22)&amp;" ")-1),",","."))+1,9))*12,NA()))),0),36)*'Aturan &amp; Tarif'!$B$4,2)</f>
        <v>2044.08</v>
      </c>
      <c r="K22" s="32" t="n">
        <f aca="false">'Aturan &amp; Tarif'!$B$5</f>
        <v>2050</v>
      </c>
      <c r="L22" s="32" t="n">
        <f aca="false">'Aturan &amp; Tarif'!$B$6</f>
        <v>350</v>
      </c>
      <c r="M22" s="35" t="n">
        <f aca="false">I22+J22+K22+L22</f>
        <v>32294.08</v>
      </c>
      <c r="N22" s="37" t="s">
        <v>1187</v>
      </c>
    </row>
    <row r="23" customFormat="false" ht="25.5" hidden="false" customHeight="true" outlineLevel="0" collapsed="false">
      <c r="A23" s="29"/>
      <c r="B23" s="30" t="s">
        <v>1188</v>
      </c>
      <c r="C23" s="31" t="s">
        <v>127</v>
      </c>
      <c r="D23" s="31" t="s">
        <v>108</v>
      </c>
      <c r="E23" s="32" t="n">
        <v>13850</v>
      </c>
      <c r="F23" s="32"/>
      <c r="G23" s="32" t="n">
        <v>150</v>
      </c>
      <c r="H23" s="33" t="n">
        <v>2</v>
      </c>
      <c r="I23" s="34" t="n">
        <f aca="false">E23*H23+N(F23)+N(G23)</f>
        <v>27850</v>
      </c>
      <c r="J23" s="32" t="n">
        <f aca="false">ROUND(IFERROR(ROUND(IF(OR(ISNUMBER(SEARCH("week",C23)),ISNUMBER(SEARCH("minggu",C23))),IFERROR(_xlfn.NUMBERVALUE(SUBSTITUTE(LEFT(TRIM(C23),FIND(" ",TRIM(C23)&amp;" ")-1),",","."),"."),LEFT(SUBSTITUTE(LEFT(TRIM(C23),FIND(" ",TRIM(C23)&amp;" ")-1),",","."),FIND("/",SUBSTITUTE(LEFT(TRIM(C23),FIND(" ",TRIM(C23)&amp;" ")-1),",","."))-1)/MID(SUBSTITUTE(LEFT(TRIM(C23),FIND(" ",TRIM(C23)&amp;" ")-1),",","."),FIND("/",SUBSTITUTE(LEFT(TRIM(C23),FIND(" ",TRIM(C23)&amp;" ")-1),",","."))+1,9))*12/52,IF(ISNUMBER(SEARCH("month",C23)),IFERROR(_xlfn.NUMBERVALUE(SUBSTITUTE(LEFT(TRIM(C23),FIND(" ",TRIM(C23)&amp;" ")-1),",","."),"."),LEFT(SUBSTITUTE(LEFT(TRIM(C23),FIND(" ",TRIM(C23)&amp;" ")-1),",","."),FIND("/",SUBSTITUTE(LEFT(TRIM(C23),FIND(" ",TRIM(C23)&amp;" ")-1),",","."))-1)/MID(SUBSTITUTE(LEFT(TRIM(C23),FIND(" ",TRIM(C23)&amp;" ")-1),",","."),FIND("/",SUBSTITUTE(LEFT(TRIM(C23),FIND(" ",TRIM(C23)&amp;" ")-1),",","."))+1,9)),IF(ISNUMBER(SEARCH("yea",C23)),IFERROR(_xlfn.NUMBERVALUE(SUBSTITUTE(LEFT(TRIM(C23),FIND(" ",TRIM(C23)&amp;" ")-1),",","."),"."),LEFT(SUBSTITUTE(LEFT(TRIM(C23),FIND(" ",TRIM(C23)&amp;" ")-1),",","."),FIND("/",SUBSTITUTE(LEFT(TRIM(C23),FIND(" ",TRIM(C23)&amp;" ")-1),",","."))-1)/MID(SUBSTITUTE(LEFT(TRIM(C23),FIND(" ",TRIM(C23)&amp;" ")-1),",","."),FIND("/",SUBSTITUTE(LEFT(TRIM(C23),FIND(" ",TRIM(C23)&amp;" ")-1),",","."))+1,9))*12,NA()))),0),36)*'Aturan &amp; Tarif'!$B$4,2)</f>
        <v>2044.08</v>
      </c>
      <c r="K23" s="32" t="n">
        <f aca="false">'Aturan &amp; Tarif'!$B$5</f>
        <v>2050</v>
      </c>
      <c r="L23" s="32" t="n">
        <f aca="false">'Aturan &amp; Tarif'!$B$6</f>
        <v>350</v>
      </c>
      <c r="M23" s="35" t="n">
        <f aca="false">I23+J23+K23+L23</f>
        <v>32294.08</v>
      </c>
      <c r="N23" s="37" t="s">
        <v>1187</v>
      </c>
    </row>
    <row r="24" customFormat="false" ht="25.5" hidden="false" customHeight="true" outlineLevel="0" collapsed="false">
      <c r="A24" s="29"/>
      <c r="B24" s="30" t="s">
        <v>1189</v>
      </c>
      <c r="C24" s="31" t="s">
        <v>127</v>
      </c>
      <c r="D24" s="31" t="s">
        <v>108</v>
      </c>
      <c r="E24" s="32" t="n">
        <v>15425</v>
      </c>
      <c r="F24" s="32"/>
      <c r="G24" s="32" t="n">
        <v>150</v>
      </c>
      <c r="H24" s="33" t="n">
        <v>2</v>
      </c>
      <c r="I24" s="34" t="n">
        <f aca="false">E24*H24+N(F24)+N(G24)</f>
        <v>31000</v>
      </c>
      <c r="J24" s="32" t="n">
        <f aca="false">ROUND(IFERROR(ROUND(IF(OR(ISNUMBER(SEARCH("week",C24)),ISNUMBER(SEARCH("minggu",C24))),IFERROR(_xlfn.NUMBERVALUE(SUBSTITUTE(LEFT(TRIM(C24),FIND(" ",TRIM(C24)&amp;" ")-1),",","."),"."),LEFT(SUBSTITUTE(LEFT(TRIM(C24),FIND(" ",TRIM(C24)&amp;" ")-1),",","."),FIND("/",SUBSTITUTE(LEFT(TRIM(C24),FIND(" ",TRIM(C24)&amp;" ")-1),",","."))-1)/MID(SUBSTITUTE(LEFT(TRIM(C24),FIND(" ",TRIM(C24)&amp;" ")-1),",","."),FIND("/",SUBSTITUTE(LEFT(TRIM(C24),FIND(" ",TRIM(C24)&amp;" ")-1),",","."))+1,9))*12/52,IF(ISNUMBER(SEARCH("month",C24)),IFERROR(_xlfn.NUMBERVALUE(SUBSTITUTE(LEFT(TRIM(C24),FIND(" ",TRIM(C24)&amp;" ")-1),",","."),"."),LEFT(SUBSTITUTE(LEFT(TRIM(C24),FIND(" ",TRIM(C24)&amp;" ")-1),",","."),FIND("/",SUBSTITUTE(LEFT(TRIM(C24),FIND(" ",TRIM(C24)&amp;" ")-1),",","."))-1)/MID(SUBSTITUTE(LEFT(TRIM(C24),FIND(" ",TRIM(C24)&amp;" ")-1),",","."),FIND("/",SUBSTITUTE(LEFT(TRIM(C24),FIND(" ",TRIM(C24)&amp;" ")-1),",","."))+1,9)),IF(ISNUMBER(SEARCH("yea",C24)),IFERROR(_xlfn.NUMBERVALUE(SUBSTITUTE(LEFT(TRIM(C24),FIND(" ",TRIM(C24)&amp;" ")-1),",","."),"."),LEFT(SUBSTITUTE(LEFT(TRIM(C24),FIND(" ",TRIM(C24)&amp;" ")-1),",","."),FIND("/",SUBSTITUTE(LEFT(TRIM(C24),FIND(" ",TRIM(C24)&amp;" ")-1),",","."))-1)/MID(SUBSTITUTE(LEFT(TRIM(C24),FIND(" ",TRIM(C24)&amp;" ")-1),",","."),FIND("/",SUBSTITUTE(LEFT(TRIM(C24),FIND(" ",TRIM(C24)&amp;" ")-1),",","."))+1,9))*12,NA()))),0),36)*'Aturan &amp; Tarif'!$B$4,2)</f>
        <v>2044.08</v>
      </c>
      <c r="K24" s="32" t="n">
        <f aca="false">'Aturan &amp; Tarif'!$B$5</f>
        <v>2050</v>
      </c>
      <c r="L24" s="32" t="n">
        <f aca="false">'Aturan &amp; Tarif'!$B$6</f>
        <v>350</v>
      </c>
      <c r="M24" s="35" t="n">
        <f aca="false">I24+J24+K24+L24</f>
        <v>35444.08</v>
      </c>
      <c r="N24" s="37" t="s">
        <v>846</v>
      </c>
    </row>
    <row r="25" customFormat="false" ht="14.25" hidden="false" customHeight="true" outlineLevel="0" collapsed="false">
      <c r="A25" s="29"/>
      <c r="B25" s="30" t="s">
        <v>1190</v>
      </c>
      <c r="C25" s="31" t="s">
        <v>127</v>
      </c>
      <c r="D25" s="31" t="s">
        <v>108</v>
      </c>
      <c r="E25" s="32" t="n">
        <v>14725</v>
      </c>
      <c r="F25" s="32"/>
      <c r="G25" s="32" t="n">
        <v>150</v>
      </c>
      <c r="H25" s="33" t="n">
        <v>2</v>
      </c>
      <c r="I25" s="34" t="n">
        <f aca="false">E25*H25+N(F25)+N(G25)</f>
        <v>29600</v>
      </c>
      <c r="J25" s="32" t="n">
        <f aca="false">ROUND(IFERROR(ROUND(IF(OR(ISNUMBER(SEARCH("week",C25)),ISNUMBER(SEARCH("minggu",C25))),IFERROR(_xlfn.NUMBERVALUE(SUBSTITUTE(LEFT(TRIM(C25),FIND(" ",TRIM(C25)&amp;" ")-1),",","."),"."),LEFT(SUBSTITUTE(LEFT(TRIM(C25),FIND(" ",TRIM(C25)&amp;" ")-1),",","."),FIND("/",SUBSTITUTE(LEFT(TRIM(C25),FIND(" ",TRIM(C25)&amp;" ")-1),",","."))-1)/MID(SUBSTITUTE(LEFT(TRIM(C25),FIND(" ",TRIM(C25)&amp;" ")-1),",","."),FIND("/",SUBSTITUTE(LEFT(TRIM(C25),FIND(" ",TRIM(C25)&amp;" ")-1),",","."))+1,9))*12/52,IF(ISNUMBER(SEARCH("month",C25)),IFERROR(_xlfn.NUMBERVALUE(SUBSTITUTE(LEFT(TRIM(C25),FIND(" ",TRIM(C25)&amp;" ")-1),",","."),"."),LEFT(SUBSTITUTE(LEFT(TRIM(C25),FIND(" ",TRIM(C25)&amp;" ")-1),",","."),FIND("/",SUBSTITUTE(LEFT(TRIM(C25),FIND(" ",TRIM(C25)&amp;" ")-1),",","."))-1)/MID(SUBSTITUTE(LEFT(TRIM(C25),FIND(" ",TRIM(C25)&amp;" ")-1),",","."),FIND("/",SUBSTITUTE(LEFT(TRIM(C25),FIND(" ",TRIM(C25)&amp;" ")-1),",","."))+1,9)),IF(ISNUMBER(SEARCH("yea",C25)),IFERROR(_xlfn.NUMBERVALUE(SUBSTITUTE(LEFT(TRIM(C25),FIND(" ",TRIM(C25)&amp;" ")-1),",","."),"."),LEFT(SUBSTITUTE(LEFT(TRIM(C25),FIND(" ",TRIM(C25)&amp;" ")-1),",","."),FIND("/",SUBSTITUTE(LEFT(TRIM(C25),FIND(" ",TRIM(C25)&amp;" ")-1),",","."))-1)/MID(SUBSTITUTE(LEFT(TRIM(C25),FIND(" ",TRIM(C25)&amp;" ")-1),",","."),FIND("/",SUBSTITUTE(LEFT(TRIM(C25),FIND(" ",TRIM(C25)&amp;" ")-1),",","."))+1,9))*12,NA()))),0),36)*'Aturan &amp; Tarif'!$B$4,2)</f>
        <v>2044.08</v>
      </c>
      <c r="K25" s="32" t="n">
        <f aca="false">'Aturan &amp; Tarif'!$B$5</f>
        <v>2050</v>
      </c>
      <c r="L25" s="32" t="n">
        <f aca="false">'Aturan &amp; Tarif'!$B$6</f>
        <v>350</v>
      </c>
      <c r="M25" s="35" t="n">
        <f aca="false">I25+J25+K25+L25</f>
        <v>34044.08</v>
      </c>
      <c r="N25" s="37" t="s">
        <v>846</v>
      </c>
    </row>
    <row r="26" customFormat="false" ht="14.25" hidden="false" customHeight="true" outlineLevel="0" collapsed="false">
      <c r="A26" s="29"/>
      <c r="B26" s="30" t="s">
        <v>1191</v>
      </c>
      <c r="C26" s="31" t="s">
        <v>191</v>
      </c>
      <c r="D26" s="31" t="s">
        <v>108</v>
      </c>
      <c r="E26" s="32" t="n">
        <v>14275</v>
      </c>
      <c r="F26" s="32"/>
      <c r="G26" s="32" t="n">
        <v>150</v>
      </c>
      <c r="H26" s="33" t="n">
        <v>2</v>
      </c>
      <c r="I26" s="34" t="n">
        <f aca="false">E26*H26+N(F26)+N(G26)</f>
        <v>28700</v>
      </c>
      <c r="J26" s="32" t="n">
        <f aca="false">ROUND(IFERROR(ROUND(IF(OR(ISNUMBER(SEARCH("week",C26)),ISNUMBER(SEARCH("minggu",C26))),IFERROR(_xlfn.NUMBERVALUE(SUBSTITUTE(LEFT(TRIM(C26),FIND(" ",TRIM(C26)&amp;" ")-1),",","."),"."),LEFT(SUBSTITUTE(LEFT(TRIM(C26),FIND(" ",TRIM(C26)&amp;" ")-1),",","."),FIND("/",SUBSTITUTE(LEFT(TRIM(C26),FIND(" ",TRIM(C26)&amp;" ")-1),",","."))-1)/MID(SUBSTITUTE(LEFT(TRIM(C26),FIND(" ",TRIM(C26)&amp;" ")-1),",","."),FIND("/",SUBSTITUTE(LEFT(TRIM(C26),FIND(" ",TRIM(C26)&amp;" ")-1),",","."))+1,9))*12/52,IF(ISNUMBER(SEARCH("month",C26)),IFERROR(_xlfn.NUMBERVALUE(SUBSTITUTE(LEFT(TRIM(C26),FIND(" ",TRIM(C26)&amp;" ")-1),",","."),"."),LEFT(SUBSTITUTE(LEFT(TRIM(C26),FIND(" ",TRIM(C26)&amp;" ")-1),",","."),FIND("/",SUBSTITUTE(LEFT(TRIM(C26),FIND(" ",TRIM(C26)&amp;" ")-1),",","."))-1)/MID(SUBSTITUTE(LEFT(TRIM(C26),FIND(" ",TRIM(C26)&amp;" ")-1),",","."),FIND("/",SUBSTITUTE(LEFT(TRIM(C26),FIND(" ",TRIM(C26)&amp;" ")-1),",","."))+1,9)),IF(ISNUMBER(SEARCH("yea",C26)),IFERROR(_xlfn.NUMBERVALUE(SUBSTITUTE(LEFT(TRIM(C26),FIND(" ",TRIM(C26)&amp;" ")-1),",","."),"."),LEFT(SUBSTITUTE(LEFT(TRIM(C26),FIND(" ",TRIM(C26)&amp;" ")-1),",","."),FIND("/",SUBSTITUTE(LEFT(TRIM(C26),FIND(" ",TRIM(C26)&amp;" ")-1),",","."))-1)/MID(SUBSTITUTE(LEFT(TRIM(C26),FIND(" ",TRIM(C26)&amp;" ")-1),",","."),FIND("/",SUBSTITUTE(LEFT(TRIM(C26),FIND(" ",TRIM(C26)&amp;" ")-1),",","."))+1,9))*12,NA()))),0),48)*'Aturan &amp; Tarif'!$B$4,2)</f>
        <v>2725.44</v>
      </c>
      <c r="K26" s="32" t="n">
        <f aca="false">'Aturan &amp; Tarif'!$B$5</f>
        <v>2050</v>
      </c>
      <c r="L26" s="32" t="n">
        <f aca="false">'Aturan &amp; Tarif'!$B$6</f>
        <v>350</v>
      </c>
      <c r="M26" s="35" t="n">
        <f aca="false">I26+J26+K26+L26</f>
        <v>33825.44</v>
      </c>
      <c r="N26" s="37" t="s">
        <v>846</v>
      </c>
    </row>
    <row r="27" customFormat="false" ht="25.5" hidden="false" customHeight="true" outlineLevel="0" collapsed="false">
      <c r="A27" s="29"/>
      <c r="B27" s="30" t="s">
        <v>1192</v>
      </c>
      <c r="C27" s="31" t="s">
        <v>191</v>
      </c>
      <c r="D27" s="31" t="s">
        <v>108</v>
      </c>
      <c r="E27" s="32" t="n">
        <v>14275</v>
      </c>
      <c r="F27" s="32"/>
      <c r="G27" s="32" t="n">
        <v>150</v>
      </c>
      <c r="H27" s="33" t="n">
        <v>2</v>
      </c>
      <c r="I27" s="34" t="n">
        <f aca="false">E27*H27+N(F27)+N(G27)</f>
        <v>28700</v>
      </c>
      <c r="J27" s="32" t="n">
        <f aca="false">ROUND(IFERROR(ROUND(IF(OR(ISNUMBER(SEARCH("week",C27)),ISNUMBER(SEARCH("minggu",C27))),IFERROR(_xlfn.NUMBERVALUE(SUBSTITUTE(LEFT(TRIM(C27),FIND(" ",TRIM(C27)&amp;" ")-1),",","."),"."),LEFT(SUBSTITUTE(LEFT(TRIM(C27),FIND(" ",TRIM(C27)&amp;" ")-1),",","."),FIND("/",SUBSTITUTE(LEFT(TRIM(C27),FIND(" ",TRIM(C27)&amp;" ")-1),",","."))-1)/MID(SUBSTITUTE(LEFT(TRIM(C27),FIND(" ",TRIM(C27)&amp;" ")-1),",","."),FIND("/",SUBSTITUTE(LEFT(TRIM(C27),FIND(" ",TRIM(C27)&amp;" ")-1),",","."))+1,9))*12/52,IF(ISNUMBER(SEARCH("month",C27)),IFERROR(_xlfn.NUMBERVALUE(SUBSTITUTE(LEFT(TRIM(C27),FIND(" ",TRIM(C27)&amp;" ")-1),",","."),"."),LEFT(SUBSTITUTE(LEFT(TRIM(C27),FIND(" ",TRIM(C27)&amp;" ")-1),",","."),FIND("/",SUBSTITUTE(LEFT(TRIM(C27),FIND(" ",TRIM(C27)&amp;" ")-1),",","."))-1)/MID(SUBSTITUTE(LEFT(TRIM(C27),FIND(" ",TRIM(C27)&amp;" ")-1),",","."),FIND("/",SUBSTITUTE(LEFT(TRIM(C27),FIND(" ",TRIM(C27)&amp;" ")-1),",","."))+1,9)),IF(ISNUMBER(SEARCH("yea",C27)),IFERROR(_xlfn.NUMBERVALUE(SUBSTITUTE(LEFT(TRIM(C27),FIND(" ",TRIM(C27)&amp;" ")-1),",","."),"."),LEFT(SUBSTITUTE(LEFT(TRIM(C27),FIND(" ",TRIM(C27)&amp;" ")-1),",","."),FIND("/",SUBSTITUTE(LEFT(TRIM(C27),FIND(" ",TRIM(C27)&amp;" ")-1),",","."))-1)/MID(SUBSTITUTE(LEFT(TRIM(C27),FIND(" ",TRIM(C27)&amp;" ")-1),",","."),FIND("/",SUBSTITUTE(LEFT(TRIM(C27),FIND(" ",TRIM(C27)&amp;" ")-1),",","."))+1,9))*12,NA()))),0),48)*'Aturan &amp; Tarif'!$B$4,2)</f>
        <v>2725.44</v>
      </c>
      <c r="K27" s="32" t="n">
        <f aca="false">'Aturan &amp; Tarif'!$B$5</f>
        <v>2050</v>
      </c>
      <c r="L27" s="32" t="n">
        <f aca="false">'Aturan &amp; Tarif'!$B$6</f>
        <v>350</v>
      </c>
      <c r="M27" s="35" t="n">
        <f aca="false">I27+J27+K27+L27</f>
        <v>33825.44</v>
      </c>
      <c r="N27" s="37" t="s">
        <v>846</v>
      </c>
    </row>
    <row r="28" customFormat="false" ht="14.25" hidden="false" customHeight="true" outlineLevel="0" collapsed="false">
      <c r="A28" s="29"/>
      <c r="B28" s="30" t="s">
        <v>261</v>
      </c>
      <c r="C28" s="31" t="s">
        <v>127</v>
      </c>
      <c r="D28" s="31" t="s">
        <v>108</v>
      </c>
      <c r="E28" s="32" t="n">
        <v>13125</v>
      </c>
      <c r="F28" s="32"/>
      <c r="G28" s="32" t="n">
        <v>150</v>
      </c>
      <c r="H28" s="33" t="n">
        <v>2</v>
      </c>
      <c r="I28" s="34" t="n">
        <f aca="false">E28*H28+N(F28)+N(G28)</f>
        <v>26400</v>
      </c>
      <c r="J28" s="32" t="n">
        <f aca="false">ROUND(IFERROR(ROUND(IF(OR(ISNUMBER(SEARCH("week",C28)),ISNUMBER(SEARCH("minggu",C28))),IFERROR(_xlfn.NUMBERVALUE(SUBSTITUTE(LEFT(TRIM(C28),FIND(" ",TRIM(C28)&amp;" ")-1),",","."),"."),LEFT(SUBSTITUTE(LEFT(TRIM(C28),FIND(" ",TRIM(C28)&amp;" ")-1),",","."),FIND("/",SUBSTITUTE(LEFT(TRIM(C28),FIND(" ",TRIM(C28)&amp;" ")-1),",","."))-1)/MID(SUBSTITUTE(LEFT(TRIM(C28),FIND(" ",TRIM(C28)&amp;" ")-1),",","."),FIND("/",SUBSTITUTE(LEFT(TRIM(C28),FIND(" ",TRIM(C28)&amp;" ")-1),",","."))+1,9))*12/52,IF(ISNUMBER(SEARCH("month",C28)),IFERROR(_xlfn.NUMBERVALUE(SUBSTITUTE(LEFT(TRIM(C28),FIND(" ",TRIM(C28)&amp;" ")-1),",","."),"."),LEFT(SUBSTITUTE(LEFT(TRIM(C28),FIND(" ",TRIM(C28)&amp;" ")-1),",","."),FIND("/",SUBSTITUTE(LEFT(TRIM(C28),FIND(" ",TRIM(C28)&amp;" ")-1),",","."))-1)/MID(SUBSTITUTE(LEFT(TRIM(C28),FIND(" ",TRIM(C28)&amp;" ")-1),",","."),FIND("/",SUBSTITUTE(LEFT(TRIM(C28),FIND(" ",TRIM(C28)&amp;" ")-1),",","."))+1,9)),IF(ISNUMBER(SEARCH("yea",C28)),IFERROR(_xlfn.NUMBERVALUE(SUBSTITUTE(LEFT(TRIM(C28),FIND(" ",TRIM(C28)&amp;" ")-1),",","."),"."),LEFT(SUBSTITUTE(LEFT(TRIM(C28),FIND(" ",TRIM(C28)&amp;" ")-1),",","."),FIND("/",SUBSTITUTE(LEFT(TRIM(C28),FIND(" ",TRIM(C28)&amp;" ")-1),",","."))-1)/MID(SUBSTITUTE(LEFT(TRIM(C28),FIND(" ",TRIM(C28)&amp;" ")-1),",","."),FIND("/",SUBSTITUTE(LEFT(TRIM(C28),FIND(" ",TRIM(C28)&amp;" ")-1),",","."))+1,9))*12,NA()))),0),36)*'Aturan &amp; Tarif'!$B$4,2)</f>
        <v>2044.08</v>
      </c>
      <c r="K28" s="32" t="n">
        <f aca="false">'Aturan &amp; Tarif'!$B$5</f>
        <v>2050</v>
      </c>
      <c r="L28" s="32" t="n">
        <f aca="false">'Aturan &amp; Tarif'!$B$6</f>
        <v>350</v>
      </c>
      <c r="M28" s="35" t="n">
        <f aca="false">I28+J28+K28+L28</f>
        <v>30844.08</v>
      </c>
      <c r="N28" s="37" t="s">
        <v>846</v>
      </c>
    </row>
    <row r="29" customFormat="false" ht="25.5" hidden="false" customHeight="true" outlineLevel="0" collapsed="false">
      <c r="A29" s="29"/>
      <c r="B29" s="30" t="s">
        <v>1193</v>
      </c>
      <c r="C29" s="31" t="s">
        <v>127</v>
      </c>
      <c r="D29" s="31" t="s">
        <v>108</v>
      </c>
      <c r="E29" s="32" t="n">
        <v>13125</v>
      </c>
      <c r="F29" s="32"/>
      <c r="G29" s="32" t="n">
        <v>150</v>
      </c>
      <c r="H29" s="33" t="n">
        <v>2</v>
      </c>
      <c r="I29" s="34" t="n">
        <f aca="false">E29*H29+N(F29)+N(G29)</f>
        <v>26400</v>
      </c>
      <c r="J29" s="32" t="n">
        <f aca="false">ROUND(IFERROR(ROUND(IF(OR(ISNUMBER(SEARCH("week",C29)),ISNUMBER(SEARCH("minggu",C29))),IFERROR(_xlfn.NUMBERVALUE(SUBSTITUTE(LEFT(TRIM(C29),FIND(" ",TRIM(C29)&amp;" ")-1),",","."),"."),LEFT(SUBSTITUTE(LEFT(TRIM(C29),FIND(" ",TRIM(C29)&amp;" ")-1),",","."),FIND("/",SUBSTITUTE(LEFT(TRIM(C29),FIND(" ",TRIM(C29)&amp;" ")-1),",","."))-1)/MID(SUBSTITUTE(LEFT(TRIM(C29),FIND(" ",TRIM(C29)&amp;" ")-1),",","."),FIND("/",SUBSTITUTE(LEFT(TRIM(C29),FIND(" ",TRIM(C29)&amp;" ")-1),",","."))+1,9))*12/52,IF(ISNUMBER(SEARCH("month",C29)),IFERROR(_xlfn.NUMBERVALUE(SUBSTITUTE(LEFT(TRIM(C29),FIND(" ",TRIM(C29)&amp;" ")-1),",","."),"."),LEFT(SUBSTITUTE(LEFT(TRIM(C29),FIND(" ",TRIM(C29)&amp;" ")-1),",","."),FIND("/",SUBSTITUTE(LEFT(TRIM(C29),FIND(" ",TRIM(C29)&amp;" ")-1),",","."))-1)/MID(SUBSTITUTE(LEFT(TRIM(C29),FIND(" ",TRIM(C29)&amp;" ")-1),",","."),FIND("/",SUBSTITUTE(LEFT(TRIM(C29),FIND(" ",TRIM(C29)&amp;" ")-1),",","."))+1,9)),IF(ISNUMBER(SEARCH("yea",C29)),IFERROR(_xlfn.NUMBERVALUE(SUBSTITUTE(LEFT(TRIM(C29),FIND(" ",TRIM(C29)&amp;" ")-1),",","."),"."),LEFT(SUBSTITUTE(LEFT(TRIM(C29),FIND(" ",TRIM(C29)&amp;" ")-1),",","."),FIND("/",SUBSTITUTE(LEFT(TRIM(C29),FIND(" ",TRIM(C29)&amp;" ")-1),",","."))-1)/MID(SUBSTITUTE(LEFT(TRIM(C29),FIND(" ",TRIM(C29)&amp;" ")-1),",","."),FIND("/",SUBSTITUTE(LEFT(TRIM(C29),FIND(" ",TRIM(C29)&amp;" ")-1),",","."))+1,9))*12,NA()))),0),36)*'Aturan &amp; Tarif'!$B$4,2)</f>
        <v>2044.08</v>
      </c>
      <c r="K29" s="32" t="n">
        <f aca="false">'Aturan &amp; Tarif'!$B$5</f>
        <v>2050</v>
      </c>
      <c r="L29" s="32" t="n">
        <f aca="false">'Aturan &amp; Tarif'!$B$6</f>
        <v>350</v>
      </c>
      <c r="M29" s="35" t="n">
        <f aca="false">I29+J29+K29+L29</f>
        <v>30844.08</v>
      </c>
      <c r="N29" s="37" t="s">
        <v>846</v>
      </c>
    </row>
    <row r="30" customFormat="false" ht="25.5" hidden="false" customHeight="true" outlineLevel="0" collapsed="false">
      <c r="A30" s="29"/>
      <c r="B30" s="30" t="s">
        <v>1194</v>
      </c>
      <c r="C30" s="31" t="s">
        <v>127</v>
      </c>
      <c r="D30" s="31" t="s">
        <v>108</v>
      </c>
      <c r="E30" s="32" t="n">
        <v>13125</v>
      </c>
      <c r="F30" s="32"/>
      <c r="G30" s="32" t="n">
        <v>150</v>
      </c>
      <c r="H30" s="33" t="n">
        <v>2</v>
      </c>
      <c r="I30" s="34" t="n">
        <f aca="false">E30*H30+N(F30)+N(G30)</f>
        <v>26400</v>
      </c>
      <c r="J30" s="32" t="n">
        <f aca="false">ROUND(IFERROR(ROUND(IF(OR(ISNUMBER(SEARCH("week",C30)),ISNUMBER(SEARCH("minggu",C30))),IFERROR(_xlfn.NUMBERVALUE(SUBSTITUTE(LEFT(TRIM(C30),FIND(" ",TRIM(C30)&amp;" ")-1),",","."),"."),LEFT(SUBSTITUTE(LEFT(TRIM(C30),FIND(" ",TRIM(C30)&amp;" ")-1),",","."),FIND("/",SUBSTITUTE(LEFT(TRIM(C30),FIND(" ",TRIM(C30)&amp;" ")-1),",","."))-1)/MID(SUBSTITUTE(LEFT(TRIM(C30),FIND(" ",TRIM(C30)&amp;" ")-1),",","."),FIND("/",SUBSTITUTE(LEFT(TRIM(C30),FIND(" ",TRIM(C30)&amp;" ")-1),",","."))+1,9))*12/52,IF(ISNUMBER(SEARCH("month",C30)),IFERROR(_xlfn.NUMBERVALUE(SUBSTITUTE(LEFT(TRIM(C30),FIND(" ",TRIM(C30)&amp;" ")-1),",","."),"."),LEFT(SUBSTITUTE(LEFT(TRIM(C30),FIND(" ",TRIM(C30)&amp;" ")-1),",","."),FIND("/",SUBSTITUTE(LEFT(TRIM(C30),FIND(" ",TRIM(C30)&amp;" ")-1),",","."))-1)/MID(SUBSTITUTE(LEFT(TRIM(C30),FIND(" ",TRIM(C30)&amp;" ")-1),",","."),FIND("/",SUBSTITUTE(LEFT(TRIM(C30),FIND(" ",TRIM(C30)&amp;" ")-1),",","."))+1,9)),IF(ISNUMBER(SEARCH("yea",C30)),IFERROR(_xlfn.NUMBERVALUE(SUBSTITUTE(LEFT(TRIM(C30),FIND(" ",TRIM(C30)&amp;" ")-1),",","."),"."),LEFT(SUBSTITUTE(LEFT(TRIM(C30),FIND(" ",TRIM(C30)&amp;" ")-1),",","."),FIND("/",SUBSTITUTE(LEFT(TRIM(C30),FIND(" ",TRIM(C30)&amp;" ")-1),",","."))-1)/MID(SUBSTITUTE(LEFT(TRIM(C30),FIND(" ",TRIM(C30)&amp;" ")-1),",","."),FIND("/",SUBSTITUTE(LEFT(TRIM(C30),FIND(" ",TRIM(C30)&amp;" ")-1),",","."))+1,9))*12,NA()))),0),36)*'Aturan &amp; Tarif'!$B$4,2)</f>
        <v>2044.08</v>
      </c>
      <c r="K30" s="32" t="n">
        <f aca="false">'Aturan &amp; Tarif'!$B$5</f>
        <v>2050</v>
      </c>
      <c r="L30" s="32" t="n">
        <f aca="false">'Aturan &amp; Tarif'!$B$6</f>
        <v>350</v>
      </c>
      <c r="M30" s="35" t="n">
        <f aca="false">I30+J30+K30+L30</f>
        <v>30844.08</v>
      </c>
      <c r="N30" s="37" t="s">
        <v>846</v>
      </c>
    </row>
    <row r="31" customFormat="false" ht="25.5" hidden="false" customHeight="true" outlineLevel="0" collapsed="false">
      <c r="A31" s="29"/>
      <c r="B31" s="30" t="s">
        <v>1195</v>
      </c>
      <c r="C31" s="31" t="s">
        <v>127</v>
      </c>
      <c r="D31" s="31" t="s">
        <v>108</v>
      </c>
      <c r="E31" s="32" t="n">
        <v>13125</v>
      </c>
      <c r="F31" s="32"/>
      <c r="G31" s="32" t="n">
        <v>150</v>
      </c>
      <c r="H31" s="33" t="n">
        <v>2</v>
      </c>
      <c r="I31" s="34" t="n">
        <f aca="false">E31*H31+N(F31)+N(G31)</f>
        <v>26400</v>
      </c>
      <c r="J31" s="32" t="n">
        <f aca="false">ROUND(IFERROR(ROUND(IF(OR(ISNUMBER(SEARCH("week",C31)),ISNUMBER(SEARCH("minggu",C31))),IFERROR(_xlfn.NUMBERVALUE(SUBSTITUTE(LEFT(TRIM(C31),FIND(" ",TRIM(C31)&amp;" ")-1),",","."),"."),LEFT(SUBSTITUTE(LEFT(TRIM(C31),FIND(" ",TRIM(C31)&amp;" ")-1),",","."),FIND("/",SUBSTITUTE(LEFT(TRIM(C31),FIND(" ",TRIM(C31)&amp;" ")-1),",","."))-1)/MID(SUBSTITUTE(LEFT(TRIM(C31),FIND(" ",TRIM(C31)&amp;" ")-1),",","."),FIND("/",SUBSTITUTE(LEFT(TRIM(C31),FIND(" ",TRIM(C31)&amp;" ")-1),",","."))+1,9))*12/52,IF(ISNUMBER(SEARCH("month",C31)),IFERROR(_xlfn.NUMBERVALUE(SUBSTITUTE(LEFT(TRIM(C31),FIND(" ",TRIM(C31)&amp;" ")-1),",","."),"."),LEFT(SUBSTITUTE(LEFT(TRIM(C31),FIND(" ",TRIM(C31)&amp;" ")-1),",","."),FIND("/",SUBSTITUTE(LEFT(TRIM(C31),FIND(" ",TRIM(C31)&amp;" ")-1),",","."))-1)/MID(SUBSTITUTE(LEFT(TRIM(C31),FIND(" ",TRIM(C31)&amp;" ")-1),",","."),FIND("/",SUBSTITUTE(LEFT(TRIM(C31),FIND(" ",TRIM(C31)&amp;" ")-1),",","."))+1,9)),IF(ISNUMBER(SEARCH("yea",C31)),IFERROR(_xlfn.NUMBERVALUE(SUBSTITUTE(LEFT(TRIM(C31),FIND(" ",TRIM(C31)&amp;" ")-1),",","."),"."),LEFT(SUBSTITUTE(LEFT(TRIM(C31),FIND(" ",TRIM(C31)&amp;" ")-1),",","."),FIND("/",SUBSTITUTE(LEFT(TRIM(C31),FIND(" ",TRIM(C31)&amp;" ")-1),",","."))-1)/MID(SUBSTITUTE(LEFT(TRIM(C31),FIND(" ",TRIM(C31)&amp;" ")-1),",","."),FIND("/",SUBSTITUTE(LEFT(TRIM(C31),FIND(" ",TRIM(C31)&amp;" ")-1),",","."))+1,9))*12,NA()))),0),36)*'Aturan &amp; Tarif'!$B$4,2)</f>
        <v>2044.08</v>
      </c>
      <c r="K31" s="32" t="n">
        <f aca="false">'Aturan &amp; Tarif'!$B$5</f>
        <v>2050</v>
      </c>
      <c r="L31" s="32" t="n">
        <f aca="false">'Aturan &amp; Tarif'!$B$6</f>
        <v>350</v>
      </c>
      <c r="M31" s="35" t="n">
        <f aca="false">I31+J31+K31+L31</f>
        <v>30844.08</v>
      </c>
      <c r="N31" s="37" t="s">
        <v>846</v>
      </c>
    </row>
    <row r="32" customFormat="false" ht="25.5" hidden="false" customHeight="true" outlineLevel="0" collapsed="false">
      <c r="A32" s="29"/>
      <c r="B32" s="30" t="s">
        <v>1196</v>
      </c>
      <c r="C32" s="31" t="s">
        <v>191</v>
      </c>
      <c r="D32" s="31" t="s">
        <v>108</v>
      </c>
      <c r="E32" s="32" t="n">
        <v>14275</v>
      </c>
      <c r="F32" s="32"/>
      <c r="G32" s="32" t="n">
        <v>150</v>
      </c>
      <c r="H32" s="33" t="n">
        <v>2</v>
      </c>
      <c r="I32" s="34" t="n">
        <f aca="false">E32*H32+N(F32)+N(G32)</f>
        <v>28700</v>
      </c>
      <c r="J32" s="32" t="n">
        <f aca="false">ROUND(IFERROR(ROUND(IF(OR(ISNUMBER(SEARCH("week",C32)),ISNUMBER(SEARCH("minggu",C32))),IFERROR(_xlfn.NUMBERVALUE(SUBSTITUTE(LEFT(TRIM(C32),FIND(" ",TRIM(C32)&amp;" ")-1),",","."),"."),LEFT(SUBSTITUTE(LEFT(TRIM(C32),FIND(" ",TRIM(C32)&amp;" ")-1),",","."),FIND("/",SUBSTITUTE(LEFT(TRIM(C32),FIND(" ",TRIM(C32)&amp;" ")-1),",","."))-1)/MID(SUBSTITUTE(LEFT(TRIM(C32),FIND(" ",TRIM(C32)&amp;" ")-1),",","."),FIND("/",SUBSTITUTE(LEFT(TRIM(C32),FIND(" ",TRIM(C32)&amp;" ")-1),",","."))+1,9))*12/52,IF(ISNUMBER(SEARCH("month",C32)),IFERROR(_xlfn.NUMBERVALUE(SUBSTITUTE(LEFT(TRIM(C32),FIND(" ",TRIM(C32)&amp;" ")-1),",","."),"."),LEFT(SUBSTITUTE(LEFT(TRIM(C32),FIND(" ",TRIM(C32)&amp;" ")-1),",","."),FIND("/",SUBSTITUTE(LEFT(TRIM(C32),FIND(" ",TRIM(C32)&amp;" ")-1),",","."))-1)/MID(SUBSTITUTE(LEFT(TRIM(C32),FIND(" ",TRIM(C32)&amp;" ")-1),",","."),FIND("/",SUBSTITUTE(LEFT(TRIM(C32),FIND(" ",TRIM(C32)&amp;" ")-1),",","."))+1,9)),IF(ISNUMBER(SEARCH("yea",C32)),IFERROR(_xlfn.NUMBERVALUE(SUBSTITUTE(LEFT(TRIM(C32),FIND(" ",TRIM(C32)&amp;" ")-1),",","."),"."),LEFT(SUBSTITUTE(LEFT(TRIM(C32),FIND(" ",TRIM(C32)&amp;" ")-1),",","."),FIND("/",SUBSTITUTE(LEFT(TRIM(C32),FIND(" ",TRIM(C32)&amp;" ")-1),",","."))-1)/MID(SUBSTITUTE(LEFT(TRIM(C32),FIND(" ",TRIM(C32)&amp;" ")-1),",","."),FIND("/",SUBSTITUTE(LEFT(TRIM(C32),FIND(" ",TRIM(C32)&amp;" ")-1),",","."))+1,9))*12,NA()))),0),48)*'Aturan &amp; Tarif'!$B$4,2)</f>
        <v>2725.44</v>
      </c>
      <c r="K32" s="32" t="n">
        <f aca="false">'Aturan &amp; Tarif'!$B$5</f>
        <v>2050</v>
      </c>
      <c r="L32" s="32" t="n">
        <f aca="false">'Aturan &amp; Tarif'!$B$6</f>
        <v>350</v>
      </c>
      <c r="M32" s="35" t="n">
        <f aca="false">I32+J32+K32+L32</f>
        <v>33825.44</v>
      </c>
      <c r="N32" s="37" t="s">
        <v>846</v>
      </c>
    </row>
    <row r="33" customFormat="false" ht="25.5" hidden="false" customHeight="true" outlineLevel="0" collapsed="false">
      <c r="A33" s="29"/>
      <c r="B33" s="30" t="s">
        <v>1197</v>
      </c>
      <c r="C33" s="31" t="s">
        <v>191</v>
      </c>
      <c r="D33" s="31" t="s">
        <v>108</v>
      </c>
      <c r="E33" s="32" t="n">
        <v>14275</v>
      </c>
      <c r="F33" s="32"/>
      <c r="G33" s="32" t="n">
        <v>150</v>
      </c>
      <c r="H33" s="33" t="n">
        <v>2</v>
      </c>
      <c r="I33" s="34" t="n">
        <f aca="false">E33*H33+N(F33)+N(G33)</f>
        <v>28700</v>
      </c>
      <c r="J33" s="32" t="n">
        <f aca="false">ROUND(IFERROR(ROUND(IF(OR(ISNUMBER(SEARCH("week",C33)),ISNUMBER(SEARCH("minggu",C33))),IFERROR(_xlfn.NUMBERVALUE(SUBSTITUTE(LEFT(TRIM(C33),FIND(" ",TRIM(C33)&amp;" ")-1),",","."),"."),LEFT(SUBSTITUTE(LEFT(TRIM(C33),FIND(" ",TRIM(C33)&amp;" ")-1),",","."),FIND("/",SUBSTITUTE(LEFT(TRIM(C33),FIND(" ",TRIM(C33)&amp;" ")-1),",","."))-1)/MID(SUBSTITUTE(LEFT(TRIM(C33),FIND(" ",TRIM(C33)&amp;" ")-1),",","."),FIND("/",SUBSTITUTE(LEFT(TRIM(C33),FIND(" ",TRIM(C33)&amp;" ")-1),",","."))+1,9))*12/52,IF(ISNUMBER(SEARCH("month",C33)),IFERROR(_xlfn.NUMBERVALUE(SUBSTITUTE(LEFT(TRIM(C33),FIND(" ",TRIM(C33)&amp;" ")-1),",","."),"."),LEFT(SUBSTITUTE(LEFT(TRIM(C33),FIND(" ",TRIM(C33)&amp;" ")-1),",","."),FIND("/",SUBSTITUTE(LEFT(TRIM(C33),FIND(" ",TRIM(C33)&amp;" ")-1),",","."))-1)/MID(SUBSTITUTE(LEFT(TRIM(C33),FIND(" ",TRIM(C33)&amp;" ")-1),",","."),FIND("/",SUBSTITUTE(LEFT(TRIM(C33),FIND(" ",TRIM(C33)&amp;" ")-1),",","."))+1,9)),IF(ISNUMBER(SEARCH("yea",C33)),IFERROR(_xlfn.NUMBERVALUE(SUBSTITUTE(LEFT(TRIM(C33),FIND(" ",TRIM(C33)&amp;" ")-1),",","."),"."),LEFT(SUBSTITUTE(LEFT(TRIM(C33),FIND(" ",TRIM(C33)&amp;" ")-1),",","."),FIND("/",SUBSTITUTE(LEFT(TRIM(C33),FIND(" ",TRIM(C33)&amp;" ")-1),",","."))-1)/MID(SUBSTITUTE(LEFT(TRIM(C33),FIND(" ",TRIM(C33)&amp;" ")-1),",","."),FIND("/",SUBSTITUTE(LEFT(TRIM(C33),FIND(" ",TRIM(C33)&amp;" ")-1),",","."))+1,9))*12,NA()))),0),48)*'Aturan &amp; Tarif'!$B$4,2)</f>
        <v>2725.44</v>
      </c>
      <c r="K33" s="32" t="n">
        <f aca="false">'Aturan &amp; Tarif'!$B$5</f>
        <v>2050</v>
      </c>
      <c r="L33" s="32" t="n">
        <f aca="false">'Aturan &amp; Tarif'!$B$6</f>
        <v>350</v>
      </c>
      <c r="M33" s="35" t="n">
        <f aca="false">I33+J33+K33+L33</f>
        <v>33825.44</v>
      </c>
      <c r="N33" s="37" t="s">
        <v>846</v>
      </c>
    </row>
    <row r="34" customFormat="false" ht="25.5" hidden="false" customHeight="true" outlineLevel="0" collapsed="false">
      <c r="A34" s="29"/>
      <c r="B34" s="30" t="s">
        <v>1198</v>
      </c>
      <c r="C34" s="31" t="s">
        <v>191</v>
      </c>
      <c r="D34" s="31" t="s">
        <v>108</v>
      </c>
      <c r="E34" s="32" t="n">
        <v>14275</v>
      </c>
      <c r="F34" s="32"/>
      <c r="G34" s="32" t="n">
        <v>150</v>
      </c>
      <c r="H34" s="33" t="n">
        <v>2</v>
      </c>
      <c r="I34" s="34" t="n">
        <f aca="false">E34*H34+N(F34)+N(G34)</f>
        <v>28700</v>
      </c>
      <c r="J34" s="32" t="n">
        <f aca="false">ROUND(IFERROR(ROUND(IF(OR(ISNUMBER(SEARCH("week",C34)),ISNUMBER(SEARCH("minggu",C34))),IFERROR(_xlfn.NUMBERVALUE(SUBSTITUTE(LEFT(TRIM(C34),FIND(" ",TRIM(C34)&amp;" ")-1),",","."),"."),LEFT(SUBSTITUTE(LEFT(TRIM(C34),FIND(" ",TRIM(C34)&amp;" ")-1),",","."),FIND("/",SUBSTITUTE(LEFT(TRIM(C34),FIND(" ",TRIM(C34)&amp;" ")-1),",","."))-1)/MID(SUBSTITUTE(LEFT(TRIM(C34),FIND(" ",TRIM(C34)&amp;" ")-1),",","."),FIND("/",SUBSTITUTE(LEFT(TRIM(C34),FIND(" ",TRIM(C34)&amp;" ")-1),",","."))+1,9))*12/52,IF(ISNUMBER(SEARCH("month",C34)),IFERROR(_xlfn.NUMBERVALUE(SUBSTITUTE(LEFT(TRIM(C34),FIND(" ",TRIM(C34)&amp;" ")-1),",","."),"."),LEFT(SUBSTITUTE(LEFT(TRIM(C34),FIND(" ",TRIM(C34)&amp;" ")-1),",","."),FIND("/",SUBSTITUTE(LEFT(TRIM(C34),FIND(" ",TRIM(C34)&amp;" ")-1),",","."))-1)/MID(SUBSTITUTE(LEFT(TRIM(C34),FIND(" ",TRIM(C34)&amp;" ")-1),",","."),FIND("/",SUBSTITUTE(LEFT(TRIM(C34),FIND(" ",TRIM(C34)&amp;" ")-1),",","."))+1,9)),IF(ISNUMBER(SEARCH("yea",C34)),IFERROR(_xlfn.NUMBERVALUE(SUBSTITUTE(LEFT(TRIM(C34),FIND(" ",TRIM(C34)&amp;" ")-1),",","."),"."),LEFT(SUBSTITUTE(LEFT(TRIM(C34),FIND(" ",TRIM(C34)&amp;" ")-1),",","."),FIND("/",SUBSTITUTE(LEFT(TRIM(C34),FIND(" ",TRIM(C34)&amp;" ")-1),",","."))-1)/MID(SUBSTITUTE(LEFT(TRIM(C34),FIND(" ",TRIM(C34)&amp;" ")-1),",","."),FIND("/",SUBSTITUTE(LEFT(TRIM(C34),FIND(" ",TRIM(C34)&amp;" ")-1),",","."))+1,9))*12,NA()))),0),48)*'Aturan &amp; Tarif'!$B$4,2)</f>
        <v>2725.44</v>
      </c>
      <c r="K34" s="32" t="n">
        <f aca="false">'Aturan &amp; Tarif'!$B$5</f>
        <v>2050</v>
      </c>
      <c r="L34" s="32" t="n">
        <f aca="false">'Aturan &amp; Tarif'!$B$6</f>
        <v>350</v>
      </c>
      <c r="M34" s="35" t="n">
        <f aca="false">I34+J34+K34+L34</f>
        <v>33825.44</v>
      </c>
      <c r="N34" s="37" t="s">
        <v>846</v>
      </c>
    </row>
    <row r="35" customFormat="false" ht="25.5" hidden="false" customHeight="true" outlineLevel="0" collapsed="false">
      <c r="A35" s="29"/>
      <c r="B35" s="30" t="s">
        <v>1199</v>
      </c>
      <c r="C35" s="31" t="s">
        <v>191</v>
      </c>
      <c r="D35" s="31" t="s">
        <v>108</v>
      </c>
      <c r="E35" s="32" t="n">
        <v>14275</v>
      </c>
      <c r="F35" s="32"/>
      <c r="G35" s="32" t="n">
        <v>150</v>
      </c>
      <c r="H35" s="33" t="n">
        <v>2</v>
      </c>
      <c r="I35" s="34" t="n">
        <f aca="false">E35*H35+N(F35)+N(G35)</f>
        <v>28700</v>
      </c>
      <c r="J35" s="32" t="n">
        <f aca="false">ROUND(IFERROR(ROUND(IF(OR(ISNUMBER(SEARCH("week",C35)),ISNUMBER(SEARCH("minggu",C35))),IFERROR(_xlfn.NUMBERVALUE(SUBSTITUTE(LEFT(TRIM(C35),FIND(" ",TRIM(C35)&amp;" ")-1),",","."),"."),LEFT(SUBSTITUTE(LEFT(TRIM(C35),FIND(" ",TRIM(C35)&amp;" ")-1),",","."),FIND("/",SUBSTITUTE(LEFT(TRIM(C35),FIND(" ",TRIM(C35)&amp;" ")-1),",","."))-1)/MID(SUBSTITUTE(LEFT(TRIM(C35),FIND(" ",TRIM(C35)&amp;" ")-1),",","."),FIND("/",SUBSTITUTE(LEFT(TRIM(C35),FIND(" ",TRIM(C35)&amp;" ")-1),",","."))+1,9))*12/52,IF(ISNUMBER(SEARCH("month",C35)),IFERROR(_xlfn.NUMBERVALUE(SUBSTITUTE(LEFT(TRIM(C35),FIND(" ",TRIM(C35)&amp;" ")-1),",","."),"."),LEFT(SUBSTITUTE(LEFT(TRIM(C35),FIND(" ",TRIM(C35)&amp;" ")-1),",","."),FIND("/",SUBSTITUTE(LEFT(TRIM(C35),FIND(" ",TRIM(C35)&amp;" ")-1),",","."))-1)/MID(SUBSTITUTE(LEFT(TRIM(C35),FIND(" ",TRIM(C35)&amp;" ")-1),",","."),FIND("/",SUBSTITUTE(LEFT(TRIM(C35),FIND(" ",TRIM(C35)&amp;" ")-1),",","."))+1,9)),IF(ISNUMBER(SEARCH("yea",C35)),IFERROR(_xlfn.NUMBERVALUE(SUBSTITUTE(LEFT(TRIM(C35),FIND(" ",TRIM(C35)&amp;" ")-1),",","."),"."),LEFT(SUBSTITUTE(LEFT(TRIM(C35),FIND(" ",TRIM(C35)&amp;" ")-1),",","."),FIND("/",SUBSTITUTE(LEFT(TRIM(C35),FIND(" ",TRIM(C35)&amp;" ")-1),",","."))-1)/MID(SUBSTITUTE(LEFT(TRIM(C35),FIND(" ",TRIM(C35)&amp;" ")-1),",","."),FIND("/",SUBSTITUTE(LEFT(TRIM(C35),FIND(" ",TRIM(C35)&amp;" ")-1),",","."))+1,9))*12,NA()))),0),48)*'Aturan &amp; Tarif'!$B$4,2)</f>
        <v>2725.44</v>
      </c>
      <c r="K35" s="32" t="n">
        <f aca="false">'Aturan &amp; Tarif'!$B$5</f>
        <v>2050</v>
      </c>
      <c r="L35" s="32" t="n">
        <f aca="false">'Aturan &amp; Tarif'!$B$6</f>
        <v>350</v>
      </c>
      <c r="M35" s="35" t="n">
        <f aca="false">I35+J35+K35+L35</f>
        <v>33825.44</v>
      </c>
      <c r="N35" s="37" t="s">
        <v>846</v>
      </c>
    </row>
    <row r="36" customFormat="false" ht="25.5" hidden="false" customHeight="true" outlineLevel="0" collapsed="false">
      <c r="A36" s="29"/>
      <c r="B36" s="30" t="s">
        <v>1200</v>
      </c>
      <c r="C36" s="31" t="s">
        <v>127</v>
      </c>
      <c r="D36" s="31" t="s">
        <v>108</v>
      </c>
      <c r="E36" s="32" t="n">
        <v>13125</v>
      </c>
      <c r="F36" s="32"/>
      <c r="G36" s="32" t="n">
        <v>150</v>
      </c>
      <c r="H36" s="33" t="n">
        <v>2</v>
      </c>
      <c r="I36" s="34" t="n">
        <f aca="false">E36*H36+N(F36)+N(G36)</f>
        <v>26400</v>
      </c>
      <c r="J36" s="32" t="n">
        <f aca="false">ROUND(IFERROR(ROUND(IF(OR(ISNUMBER(SEARCH("week",C36)),ISNUMBER(SEARCH("minggu",C36))),IFERROR(_xlfn.NUMBERVALUE(SUBSTITUTE(LEFT(TRIM(C36),FIND(" ",TRIM(C36)&amp;" ")-1),",","."),"."),LEFT(SUBSTITUTE(LEFT(TRIM(C36),FIND(" ",TRIM(C36)&amp;" ")-1),",","."),FIND("/",SUBSTITUTE(LEFT(TRIM(C36),FIND(" ",TRIM(C36)&amp;" ")-1),",","."))-1)/MID(SUBSTITUTE(LEFT(TRIM(C36),FIND(" ",TRIM(C36)&amp;" ")-1),",","."),FIND("/",SUBSTITUTE(LEFT(TRIM(C36),FIND(" ",TRIM(C36)&amp;" ")-1),",","."))+1,9))*12/52,IF(ISNUMBER(SEARCH("month",C36)),IFERROR(_xlfn.NUMBERVALUE(SUBSTITUTE(LEFT(TRIM(C36),FIND(" ",TRIM(C36)&amp;" ")-1),",","."),"."),LEFT(SUBSTITUTE(LEFT(TRIM(C36),FIND(" ",TRIM(C36)&amp;" ")-1),",","."),FIND("/",SUBSTITUTE(LEFT(TRIM(C36),FIND(" ",TRIM(C36)&amp;" ")-1),",","."))-1)/MID(SUBSTITUTE(LEFT(TRIM(C36),FIND(" ",TRIM(C36)&amp;" ")-1),",","."),FIND("/",SUBSTITUTE(LEFT(TRIM(C36),FIND(" ",TRIM(C36)&amp;" ")-1),",","."))+1,9)),IF(ISNUMBER(SEARCH("yea",C36)),IFERROR(_xlfn.NUMBERVALUE(SUBSTITUTE(LEFT(TRIM(C36),FIND(" ",TRIM(C36)&amp;" ")-1),",","."),"."),LEFT(SUBSTITUTE(LEFT(TRIM(C36),FIND(" ",TRIM(C36)&amp;" ")-1),",","."),FIND("/",SUBSTITUTE(LEFT(TRIM(C36),FIND(" ",TRIM(C36)&amp;" ")-1),",","."))-1)/MID(SUBSTITUTE(LEFT(TRIM(C36),FIND(" ",TRIM(C36)&amp;" ")-1),",","."),FIND("/",SUBSTITUTE(LEFT(TRIM(C36),FIND(" ",TRIM(C36)&amp;" ")-1),",","."))+1,9))*12,NA()))),0),36)*'Aturan &amp; Tarif'!$B$4,2)</f>
        <v>2044.08</v>
      </c>
      <c r="K36" s="32" t="n">
        <f aca="false">'Aturan &amp; Tarif'!$B$5</f>
        <v>2050</v>
      </c>
      <c r="L36" s="32" t="n">
        <f aca="false">'Aturan &amp; Tarif'!$B$6</f>
        <v>350</v>
      </c>
      <c r="M36" s="35" t="n">
        <f aca="false">I36+J36+K36+L36</f>
        <v>30844.08</v>
      </c>
      <c r="N36" s="37" t="s">
        <v>846</v>
      </c>
    </row>
    <row r="37" customFormat="false" ht="14.25" hidden="false" customHeight="true" outlineLevel="0" collapsed="false">
      <c r="A37" s="29"/>
      <c r="B37" s="30" t="s">
        <v>1201</v>
      </c>
      <c r="C37" s="31" t="s">
        <v>127</v>
      </c>
      <c r="D37" s="31" t="s">
        <v>108</v>
      </c>
      <c r="E37" s="32" t="n">
        <v>13125</v>
      </c>
      <c r="F37" s="32"/>
      <c r="G37" s="32" t="n">
        <v>150</v>
      </c>
      <c r="H37" s="33" t="n">
        <v>2</v>
      </c>
      <c r="I37" s="34" t="n">
        <f aca="false">E37*H37+N(F37)+N(G37)</f>
        <v>26400</v>
      </c>
      <c r="J37" s="32" t="n">
        <f aca="false">ROUND(IFERROR(ROUND(IF(OR(ISNUMBER(SEARCH("week",C37)),ISNUMBER(SEARCH("minggu",C37))),IFERROR(_xlfn.NUMBERVALUE(SUBSTITUTE(LEFT(TRIM(C37),FIND(" ",TRIM(C37)&amp;" ")-1),",","."),"."),LEFT(SUBSTITUTE(LEFT(TRIM(C37),FIND(" ",TRIM(C37)&amp;" ")-1),",","."),FIND("/",SUBSTITUTE(LEFT(TRIM(C37),FIND(" ",TRIM(C37)&amp;" ")-1),",","."))-1)/MID(SUBSTITUTE(LEFT(TRIM(C37),FIND(" ",TRIM(C37)&amp;" ")-1),",","."),FIND("/",SUBSTITUTE(LEFT(TRIM(C37),FIND(" ",TRIM(C37)&amp;" ")-1),",","."))+1,9))*12/52,IF(ISNUMBER(SEARCH("month",C37)),IFERROR(_xlfn.NUMBERVALUE(SUBSTITUTE(LEFT(TRIM(C37),FIND(" ",TRIM(C37)&amp;" ")-1),",","."),"."),LEFT(SUBSTITUTE(LEFT(TRIM(C37),FIND(" ",TRIM(C37)&amp;" ")-1),",","."),FIND("/",SUBSTITUTE(LEFT(TRIM(C37),FIND(" ",TRIM(C37)&amp;" ")-1),",","."))-1)/MID(SUBSTITUTE(LEFT(TRIM(C37),FIND(" ",TRIM(C37)&amp;" ")-1),",","."),FIND("/",SUBSTITUTE(LEFT(TRIM(C37),FIND(" ",TRIM(C37)&amp;" ")-1),",","."))+1,9)),IF(ISNUMBER(SEARCH("yea",C37)),IFERROR(_xlfn.NUMBERVALUE(SUBSTITUTE(LEFT(TRIM(C37),FIND(" ",TRIM(C37)&amp;" ")-1),",","."),"."),LEFT(SUBSTITUTE(LEFT(TRIM(C37),FIND(" ",TRIM(C37)&amp;" ")-1),",","."),FIND("/",SUBSTITUTE(LEFT(TRIM(C37),FIND(" ",TRIM(C37)&amp;" ")-1),",","."))-1)/MID(SUBSTITUTE(LEFT(TRIM(C37),FIND(" ",TRIM(C37)&amp;" ")-1),",","."),FIND("/",SUBSTITUTE(LEFT(TRIM(C37),FIND(" ",TRIM(C37)&amp;" ")-1),",","."))+1,9))*12,NA()))),0),36)*'Aturan &amp; Tarif'!$B$4,2)</f>
        <v>2044.08</v>
      </c>
      <c r="K37" s="32" t="n">
        <f aca="false">'Aturan &amp; Tarif'!$B$5</f>
        <v>2050</v>
      </c>
      <c r="L37" s="32" t="n">
        <f aca="false">'Aturan &amp; Tarif'!$B$6</f>
        <v>350</v>
      </c>
      <c r="M37" s="35" t="n">
        <f aca="false">I37+J37+K37+L37</f>
        <v>30844.08</v>
      </c>
      <c r="N37" s="37" t="s">
        <v>846</v>
      </c>
    </row>
    <row r="38" customFormat="false" ht="14.25" hidden="false" customHeight="true" outlineLevel="0" collapsed="false">
      <c r="A38" s="29"/>
      <c r="B38" s="30" t="s">
        <v>1202</v>
      </c>
      <c r="C38" s="31" t="s">
        <v>191</v>
      </c>
      <c r="D38" s="31" t="s">
        <v>108</v>
      </c>
      <c r="E38" s="32" t="n">
        <v>13575</v>
      </c>
      <c r="F38" s="32"/>
      <c r="G38" s="32" t="n">
        <v>150</v>
      </c>
      <c r="H38" s="33" t="n">
        <v>2</v>
      </c>
      <c r="I38" s="34" t="n">
        <f aca="false">E38*H38+N(F38)+N(G38)</f>
        <v>27300</v>
      </c>
      <c r="J38" s="32" t="n">
        <f aca="false">ROUND(IFERROR(ROUND(IF(OR(ISNUMBER(SEARCH("week",C38)),ISNUMBER(SEARCH("minggu",C38))),IFERROR(_xlfn.NUMBERVALUE(SUBSTITUTE(LEFT(TRIM(C38),FIND(" ",TRIM(C38)&amp;" ")-1),",","."),"."),LEFT(SUBSTITUTE(LEFT(TRIM(C38),FIND(" ",TRIM(C38)&amp;" ")-1),",","."),FIND("/",SUBSTITUTE(LEFT(TRIM(C38),FIND(" ",TRIM(C38)&amp;" ")-1),",","."))-1)/MID(SUBSTITUTE(LEFT(TRIM(C38),FIND(" ",TRIM(C38)&amp;" ")-1),",","."),FIND("/",SUBSTITUTE(LEFT(TRIM(C38),FIND(" ",TRIM(C38)&amp;" ")-1),",","."))+1,9))*12/52,IF(ISNUMBER(SEARCH("month",C38)),IFERROR(_xlfn.NUMBERVALUE(SUBSTITUTE(LEFT(TRIM(C38),FIND(" ",TRIM(C38)&amp;" ")-1),",","."),"."),LEFT(SUBSTITUTE(LEFT(TRIM(C38),FIND(" ",TRIM(C38)&amp;" ")-1),",","."),FIND("/",SUBSTITUTE(LEFT(TRIM(C38),FIND(" ",TRIM(C38)&amp;" ")-1),",","."))-1)/MID(SUBSTITUTE(LEFT(TRIM(C38),FIND(" ",TRIM(C38)&amp;" ")-1),",","."),FIND("/",SUBSTITUTE(LEFT(TRIM(C38),FIND(" ",TRIM(C38)&amp;" ")-1),",","."))+1,9)),IF(ISNUMBER(SEARCH("yea",C38)),IFERROR(_xlfn.NUMBERVALUE(SUBSTITUTE(LEFT(TRIM(C38),FIND(" ",TRIM(C38)&amp;" ")-1),",","."),"."),LEFT(SUBSTITUTE(LEFT(TRIM(C38),FIND(" ",TRIM(C38)&amp;" ")-1),",","."),FIND("/",SUBSTITUTE(LEFT(TRIM(C38),FIND(" ",TRIM(C38)&amp;" ")-1),",","."))-1)/MID(SUBSTITUTE(LEFT(TRIM(C38),FIND(" ",TRIM(C38)&amp;" ")-1),",","."),FIND("/",SUBSTITUTE(LEFT(TRIM(C38),FIND(" ",TRIM(C38)&amp;" ")-1),",","."))+1,9))*12,NA()))),0),48)*'Aturan &amp; Tarif'!$B$4,2)</f>
        <v>2725.44</v>
      </c>
      <c r="K38" s="32" t="n">
        <f aca="false">'Aturan &amp; Tarif'!$B$5</f>
        <v>2050</v>
      </c>
      <c r="L38" s="32" t="n">
        <f aca="false">'Aturan &amp; Tarif'!$B$6</f>
        <v>350</v>
      </c>
      <c r="M38" s="35" t="n">
        <f aca="false">I38+J38+K38+L38</f>
        <v>32425.44</v>
      </c>
      <c r="N38" s="37" t="s">
        <v>1203</v>
      </c>
    </row>
    <row r="39" customFormat="false" ht="14.25" hidden="false" customHeight="true" outlineLevel="0" collapsed="false">
      <c r="A39" s="29"/>
      <c r="B39" s="30" t="s">
        <v>1204</v>
      </c>
      <c r="C39" s="31" t="s">
        <v>191</v>
      </c>
      <c r="D39" s="31" t="s">
        <v>108</v>
      </c>
      <c r="E39" s="32" t="n">
        <v>13575</v>
      </c>
      <c r="F39" s="32"/>
      <c r="G39" s="32" t="n">
        <v>150</v>
      </c>
      <c r="H39" s="33" t="n">
        <v>2</v>
      </c>
      <c r="I39" s="34" t="n">
        <f aca="false">E39*H39+N(F39)+N(G39)</f>
        <v>27300</v>
      </c>
      <c r="J39" s="32" t="n">
        <f aca="false">ROUND(IFERROR(ROUND(IF(OR(ISNUMBER(SEARCH("week",C39)),ISNUMBER(SEARCH("minggu",C39))),IFERROR(_xlfn.NUMBERVALUE(SUBSTITUTE(LEFT(TRIM(C39),FIND(" ",TRIM(C39)&amp;" ")-1),",","."),"."),LEFT(SUBSTITUTE(LEFT(TRIM(C39),FIND(" ",TRIM(C39)&amp;" ")-1),",","."),FIND("/",SUBSTITUTE(LEFT(TRIM(C39),FIND(" ",TRIM(C39)&amp;" ")-1),",","."))-1)/MID(SUBSTITUTE(LEFT(TRIM(C39),FIND(" ",TRIM(C39)&amp;" ")-1),",","."),FIND("/",SUBSTITUTE(LEFT(TRIM(C39),FIND(" ",TRIM(C39)&amp;" ")-1),",","."))+1,9))*12/52,IF(ISNUMBER(SEARCH("month",C39)),IFERROR(_xlfn.NUMBERVALUE(SUBSTITUTE(LEFT(TRIM(C39),FIND(" ",TRIM(C39)&amp;" ")-1),",","."),"."),LEFT(SUBSTITUTE(LEFT(TRIM(C39),FIND(" ",TRIM(C39)&amp;" ")-1),",","."),FIND("/",SUBSTITUTE(LEFT(TRIM(C39),FIND(" ",TRIM(C39)&amp;" ")-1),",","."))-1)/MID(SUBSTITUTE(LEFT(TRIM(C39),FIND(" ",TRIM(C39)&amp;" ")-1),",","."),FIND("/",SUBSTITUTE(LEFT(TRIM(C39),FIND(" ",TRIM(C39)&amp;" ")-1),",","."))+1,9)),IF(ISNUMBER(SEARCH("yea",C39)),IFERROR(_xlfn.NUMBERVALUE(SUBSTITUTE(LEFT(TRIM(C39),FIND(" ",TRIM(C39)&amp;" ")-1),",","."),"."),LEFT(SUBSTITUTE(LEFT(TRIM(C39),FIND(" ",TRIM(C39)&amp;" ")-1),",","."),FIND("/",SUBSTITUTE(LEFT(TRIM(C39),FIND(" ",TRIM(C39)&amp;" ")-1),",","."))-1)/MID(SUBSTITUTE(LEFT(TRIM(C39),FIND(" ",TRIM(C39)&amp;" ")-1),",","."),FIND("/",SUBSTITUTE(LEFT(TRIM(C39),FIND(" ",TRIM(C39)&amp;" ")-1),",","."))+1,9))*12,NA()))),0),48)*'Aturan &amp; Tarif'!$B$4,2)</f>
        <v>2725.44</v>
      </c>
      <c r="K39" s="32" t="n">
        <f aca="false">'Aturan &amp; Tarif'!$B$5</f>
        <v>2050</v>
      </c>
      <c r="L39" s="32" t="n">
        <f aca="false">'Aturan &amp; Tarif'!$B$6</f>
        <v>350</v>
      </c>
      <c r="M39" s="35" t="n">
        <f aca="false">I39+J39+K39+L39</f>
        <v>32425.44</v>
      </c>
      <c r="N39" s="37" t="s">
        <v>1205</v>
      </c>
    </row>
    <row r="40" customFormat="false" ht="14.25" hidden="false" customHeight="true" outlineLevel="0" collapsed="false">
      <c r="A40" s="29"/>
      <c r="B40" s="30" t="s">
        <v>1206</v>
      </c>
      <c r="C40" s="31" t="s">
        <v>191</v>
      </c>
      <c r="D40" s="31" t="s">
        <v>108</v>
      </c>
      <c r="E40" s="32" t="n">
        <v>14275</v>
      </c>
      <c r="F40" s="32"/>
      <c r="G40" s="32" t="n">
        <v>150</v>
      </c>
      <c r="H40" s="33" t="n">
        <v>2</v>
      </c>
      <c r="I40" s="34" t="n">
        <f aca="false">E40*H40+N(F40)+N(G40)</f>
        <v>28700</v>
      </c>
      <c r="J40" s="32" t="n">
        <f aca="false">ROUND(IFERROR(ROUND(IF(OR(ISNUMBER(SEARCH("week",C40)),ISNUMBER(SEARCH("minggu",C40))),IFERROR(_xlfn.NUMBERVALUE(SUBSTITUTE(LEFT(TRIM(C40),FIND(" ",TRIM(C40)&amp;" ")-1),",","."),"."),LEFT(SUBSTITUTE(LEFT(TRIM(C40),FIND(" ",TRIM(C40)&amp;" ")-1),",","."),FIND("/",SUBSTITUTE(LEFT(TRIM(C40),FIND(" ",TRIM(C40)&amp;" ")-1),",","."))-1)/MID(SUBSTITUTE(LEFT(TRIM(C40),FIND(" ",TRIM(C40)&amp;" ")-1),",","."),FIND("/",SUBSTITUTE(LEFT(TRIM(C40),FIND(" ",TRIM(C40)&amp;" ")-1),",","."))+1,9))*12/52,IF(ISNUMBER(SEARCH("month",C40)),IFERROR(_xlfn.NUMBERVALUE(SUBSTITUTE(LEFT(TRIM(C40),FIND(" ",TRIM(C40)&amp;" ")-1),",","."),"."),LEFT(SUBSTITUTE(LEFT(TRIM(C40),FIND(" ",TRIM(C40)&amp;" ")-1),",","."),FIND("/",SUBSTITUTE(LEFT(TRIM(C40),FIND(" ",TRIM(C40)&amp;" ")-1),",","."))-1)/MID(SUBSTITUTE(LEFT(TRIM(C40),FIND(" ",TRIM(C40)&amp;" ")-1),",","."),FIND("/",SUBSTITUTE(LEFT(TRIM(C40),FIND(" ",TRIM(C40)&amp;" ")-1),",","."))+1,9)),IF(ISNUMBER(SEARCH("yea",C40)),IFERROR(_xlfn.NUMBERVALUE(SUBSTITUTE(LEFT(TRIM(C40),FIND(" ",TRIM(C40)&amp;" ")-1),",","."),"."),LEFT(SUBSTITUTE(LEFT(TRIM(C40),FIND(" ",TRIM(C40)&amp;" ")-1),",","."),FIND("/",SUBSTITUTE(LEFT(TRIM(C40),FIND(" ",TRIM(C40)&amp;" ")-1),",","."))-1)/MID(SUBSTITUTE(LEFT(TRIM(C40),FIND(" ",TRIM(C40)&amp;" ")-1),",","."),FIND("/",SUBSTITUTE(LEFT(TRIM(C40),FIND(" ",TRIM(C40)&amp;" ")-1),",","."))+1,9))*12,NA()))),0),48)*'Aturan &amp; Tarif'!$B$4,2)</f>
        <v>2725.44</v>
      </c>
      <c r="K40" s="32" t="n">
        <f aca="false">'Aturan &amp; Tarif'!$B$5</f>
        <v>2050</v>
      </c>
      <c r="L40" s="32" t="n">
        <f aca="false">'Aturan &amp; Tarif'!$B$6</f>
        <v>350</v>
      </c>
      <c r="M40" s="35" t="n">
        <f aca="false">I40+J40+K40+L40</f>
        <v>33825.44</v>
      </c>
      <c r="N40" s="37" t="s">
        <v>846</v>
      </c>
    </row>
    <row r="41" customFormat="false" ht="14.25" hidden="false" customHeight="true" outlineLevel="0" collapsed="false">
      <c r="A41" s="29"/>
      <c r="B41" s="30" t="s">
        <v>578</v>
      </c>
      <c r="C41" s="31" t="s">
        <v>127</v>
      </c>
      <c r="D41" s="31" t="s">
        <v>108</v>
      </c>
      <c r="E41" s="32" t="n">
        <v>12625</v>
      </c>
      <c r="F41" s="32"/>
      <c r="G41" s="32" t="n">
        <v>150</v>
      </c>
      <c r="H41" s="33" t="n">
        <v>2</v>
      </c>
      <c r="I41" s="34" t="n">
        <f aca="false">E41*H41+N(F41)+N(G41)</f>
        <v>25400</v>
      </c>
      <c r="J41" s="32" t="n">
        <f aca="false">ROUND(IFERROR(ROUND(IF(OR(ISNUMBER(SEARCH("week",C41)),ISNUMBER(SEARCH("minggu",C41))),IFERROR(_xlfn.NUMBERVALUE(SUBSTITUTE(LEFT(TRIM(C41),FIND(" ",TRIM(C41)&amp;" ")-1),",","."),"."),LEFT(SUBSTITUTE(LEFT(TRIM(C41),FIND(" ",TRIM(C41)&amp;" ")-1),",","."),FIND("/",SUBSTITUTE(LEFT(TRIM(C41),FIND(" ",TRIM(C41)&amp;" ")-1),",","."))-1)/MID(SUBSTITUTE(LEFT(TRIM(C41),FIND(" ",TRIM(C41)&amp;" ")-1),",","."),FIND("/",SUBSTITUTE(LEFT(TRIM(C41),FIND(" ",TRIM(C41)&amp;" ")-1),",","."))+1,9))*12/52,IF(ISNUMBER(SEARCH("month",C41)),IFERROR(_xlfn.NUMBERVALUE(SUBSTITUTE(LEFT(TRIM(C41),FIND(" ",TRIM(C41)&amp;" ")-1),",","."),"."),LEFT(SUBSTITUTE(LEFT(TRIM(C41),FIND(" ",TRIM(C41)&amp;" ")-1),",","."),FIND("/",SUBSTITUTE(LEFT(TRIM(C41),FIND(" ",TRIM(C41)&amp;" ")-1),",","."))-1)/MID(SUBSTITUTE(LEFT(TRIM(C41),FIND(" ",TRIM(C41)&amp;" ")-1),",","."),FIND("/",SUBSTITUTE(LEFT(TRIM(C41),FIND(" ",TRIM(C41)&amp;" ")-1),",","."))+1,9)),IF(ISNUMBER(SEARCH("yea",C41)),IFERROR(_xlfn.NUMBERVALUE(SUBSTITUTE(LEFT(TRIM(C41),FIND(" ",TRIM(C41)&amp;" ")-1),",","."),"."),LEFT(SUBSTITUTE(LEFT(TRIM(C41),FIND(" ",TRIM(C41)&amp;" ")-1),",","."),FIND("/",SUBSTITUTE(LEFT(TRIM(C41),FIND(" ",TRIM(C41)&amp;" ")-1),",","."))-1)/MID(SUBSTITUTE(LEFT(TRIM(C41),FIND(" ",TRIM(C41)&amp;" ")-1),",","."),FIND("/",SUBSTITUTE(LEFT(TRIM(C41),FIND(" ",TRIM(C41)&amp;" ")-1),",","."))+1,9))*12,NA()))),0),36)*'Aturan &amp; Tarif'!$B$4,2)</f>
        <v>2044.08</v>
      </c>
      <c r="K41" s="32" t="n">
        <f aca="false">'Aturan &amp; Tarif'!$B$5</f>
        <v>2050</v>
      </c>
      <c r="L41" s="32" t="n">
        <f aca="false">'Aturan &amp; Tarif'!$B$6</f>
        <v>350</v>
      </c>
      <c r="M41" s="35" t="n">
        <f aca="false">I41+J41+K41+L41</f>
        <v>29844.08</v>
      </c>
      <c r="N41" s="37" t="s">
        <v>846</v>
      </c>
    </row>
    <row r="42" customFormat="false" ht="14.25" hidden="false" customHeight="true" outlineLevel="0" collapsed="false">
      <c r="A42" s="29"/>
      <c r="B42" s="30" t="s">
        <v>1207</v>
      </c>
      <c r="C42" s="31" t="s">
        <v>191</v>
      </c>
      <c r="D42" s="31" t="s">
        <v>108</v>
      </c>
      <c r="E42" s="32" t="n">
        <v>13575</v>
      </c>
      <c r="F42" s="32"/>
      <c r="G42" s="32" t="n">
        <v>150</v>
      </c>
      <c r="H42" s="33" t="n">
        <v>2</v>
      </c>
      <c r="I42" s="34" t="n">
        <f aca="false">E42*H42+N(F42)+N(G42)</f>
        <v>27300</v>
      </c>
      <c r="J42" s="32" t="n">
        <f aca="false">ROUND(IFERROR(ROUND(IF(OR(ISNUMBER(SEARCH("week",C42)),ISNUMBER(SEARCH("minggu",C42))),IFERROR(_xlfn.NUMBERVALUE(SUBSTITUTE(LEFT(TRIM(C42),FIND(" ",TRIM(C42)&amp;" ")-1),",","."),"."),LEFT(SUBSTITUTE(LEFT(TRIM(C42),FIND(" ",TRIM(C42)&amp;" ")-1),",","."),FIND("/",SUBSTITUTE(LEFT(TRIM(C42),FIND(" ",TRIM(C42)&amp;" ")-1),",","."))-1)/MID(SUBSTITUTE(LEFT(TRIM(C42),FIND(" ",TRIM(C42)&amp;" ")-1),",","."),FIND("/",SUBSTITUTE(LEFT(TRIM(C42),FIND(" ",TRIM(C42)&amp;" ")-1),",","."))+1,9))*12/52,IF(ISNUMBER(SEARCH("month",C42)),IFERROR(_xlfn.NUMBERVALUE(SUBSTITUTE(LEFT(TRIM(C42),FIND(" ",TRIM(C42)&amp;" ")-1),",","."),"."),LEFT(SUBSTITUTE(LEFT(TRIM(C42),FIND(" ",TRIM(C42)&amp;" ")-1),",","."),FIND("/",SUBSTITUTE(LEFT(TRIM(C42),FIND(" ",TRIM(C42)&amp;" ")-1),",","."))-1)/MID(SUBSTITUTE(LEFT(TRIM(C42),FIND(" ",TRIM(C42)&amp;" ")-1),",","."),FIND("/",SUBSTITUTE(LEFT(TRIM(C42),FIND(" ",TRIM(C42)&amp;" ")-1),",","."))+1,9)),IF(ISNUMBER(SEARCH("yea",C42)),IFERROR(_xlfn.NUMBERVALUE(SUBSTITUTE(LEFT(TRIM(C42),FIND(" ",TRIM(C42)&amp;" ")-1),",","."),"."),LEFT(SUBSTITUTE(LEFT(TRIM(C42),FIND(" ",TRIM(C42)&amp;" ")-1),",","."),FIND("/",SUBSTITUTE(LEFT(TRIM(C42),FIND(" ",TRIM(C42)&amp;" ")-1),",","."))-1)/MID(SUBSTITUTE(LEFT(TRIM(C42),FIND(" ",TRIM(C42)&amp;" ")-1),",","."),FIND("/",SUBSTITUTE(LEFT(TRIM(C42),FIND(" ",TRIM(C42)&amp;" ")-1),",","."))+1,9))*12,NA()))),0),48)*'Aturan &amp; Tarif'!$B$4,2)</f>
        <v>2725.44</v>
      </c>
      <c r="K42" s="32" t="n">
        <f aca="false">'Aturan &amp; Tarif'!$B$5</f>
        <v>2050</v>
      </c>
      <c r="L42" s="32" t="n">
        <f aca="false">'Aturan &amp; Tarif'!$B$6</f>
        <v>350</v>
      </c>
      <c r="M42" s="35" t="n">
        <f aca="false">I42+J42+K42+L42</f>
        <v>32425.44</v>
      </c>
      <c r="N42" s="37" t="s">
        <v>846</v>
      </c>
    </row>
    <row r="43" customFormat="false" ht="14.25" hidden="false" customHeight="true" outlineLevel="0" collapsed="false">
      <c r="A43" s="29"/>
      <c r="B43" s="30" t="s">
        <v>514</v>
      </c>
      <c r="C43" s="31" t="s">
        <v>127</v>
      </c>
      <c r="D43" s="31" t="s">
        <v>108</v>
      </c>
      <c r="E43" s="32" t="n">
        <v>12625</v>
      </c>
      <c r="F43" s="32"/>
      <c r="G43" s="32" t="n">
        <v>150</v>
      </c>
      <c r="H43" s="33" t="n">
        <v>2</v>
      </c>
      <c r="I43" s="34" t="n">
        <f aca="false">E43*H43+N(F43)+N(G43)</f>
        <v>25400</v>
      </c>
      <c r="J43" s="32" t="n">
        <f aca="false">ROUND(IFERROR(ROUND(IF(OR(ISNUMBER(SEARCH("week",C43)),ISNUMBER(SEARCH("minggu",C43))),IFERROR(_xlfn.NUMBERVALUE(SUBSTITUTE(LEFT(TRIM(C43),FIND(" ",TRIM(C43)&amp;" ")-1),",","."),"."),LEFT(SUBSTITUTE(LEFT(TRIM(C43),FIND(" ",TRIM(C43)&amp;" ")-1),",","."),FIND("/",SUBSTITUTE(LEFT(TRIM(C43),FIND(" ",TRIM(C43)&amp;" ")-1),",","."))-1)/MID(SUBSTITUTE(LEFT(TRIM(C43),FIND(" ",TRIM(C43)&amp;" ")-1),",","."),FIND("/",SUBSTITUTE(LEFT(TRIM(C43),FIND(" ",TRIM(C43)&amp;" ")-1),",","."))+1,9))*12/52,IF(ISNUMBER(SEARCH("month",C43)),IFERROR(_xlfn.NUMBERVALUE(SUBSTITUTE(LEFT(TRIM(C43),FIND(" ",TRIM(C43)&amp;" ")-1),",","."),"."),LEFT(SUBSTITUTE(LEFT(TRIM(C43),FIND(" ",TRIM(C43)&amp;" ")-1),",","."),FIND("/",SUBSTITUTE(LEFT(TRIM(C43),FIND(" ",TRIM(C43)&amp;" ")-1),",","."))-1)/MID(SUBSTITUTE(LEFT(TRIM(C43),FIND(" ",TRIM(C43)&amp;" ")-1),",","."),FIND("/",SUBSTITUTE(LEFT(TRIM(C43),FIND(" ",TRIM(C43)&amp;" ")-1),",","."))+1,9)),IF(ISNUMBER(SEARCH("yea",C43)),IFERROR(_xlfn.NUMBERVALUE(SUBSTITUTE(LEFT(TRIM(C43),FIND(" ",TRIM(C43)&amp;" ")-1),",","."),"."),LEFT(SUBSTITUTE(LEFT(TRIM(C43),FIND(" ",TRIM(C43)&amp;" ")-1),",","."),FIND("/",SUBSTITUTE(LEFT(TRIM(C43),FIND(" ",TRIM(C43)&amp;" ")-1),",","."))-1)/MID(SUBSTITUTE(LEFT(TRIM(C43),FIND(" ",TRIM(C43)&amp;" ")-1),",","."),FIND("/",SUBSTITUTE(LEFT(TRIM(C43),FIND(" ",TRIM(C43)&amp;" ")-1),",","."))+1,9))*12,NA()))),0),36)*'Aturan &amp; Tarif'!$B$4,2)</f>
        <v>2044.08</v>
      </c>
      <c r="K43" s="32" t="n">
        <f aca="false">'Aturan &amp; Tarif'!$B$5</f>
        <v>2050</v>
      </c>
      <c r="L43" s="32" t="n">
        <f aca="false">'Aturan &amp; Tarif'!$B$6</f>
        <v>350</v>
      </c>
      <c r="M43" s="35" t="n">
        <f aca="false">I43+J43+K43+L43</f>
        <v>29844.08</v>
      </c>
      <c r="N43" s="37" t="s">
        <v>846</v>
      </c>
    </row>
    <row r="44" customFormat="false" ht="25.5" hidden="false" customHeight="true" outlineLevel="0" collapsed="false">
      <c r="A44" s="29"/>
      <c r="B44" s="30" t="s">
        <v>1208</v>
      </c>
      <c r="C44" s="31" t="s">
        <v>127</v>
      </c>
      <c r="D44" s="31" t="s">
        <v>108</v>
      </c>
      <c r="E44" s="32" t="n">
        <v>12625</v>
      </c>
      <c r="F44" s="32"/>
      <c r="G44" s="32" t="n">
        <v>150</v>
      </c>
      <c r="H44" s="33" t="n">
        <v>2</v>
      </c>
      <c r="I44" s="34" t="n">
        <f aca="false">E44*H44+N(F44)+N(G44)</f>
        <v>25400</v>
      </c>
      <c r="J44" s="32" t="n">
        <f aca="false">ROUND(IFERROR(ROUND(IF(OR(ISNUMBER(SEARCH("week",C44)),ISNUMBER(SEARCH("minggu",C44))),IFERROR(_xlfn.NUMBERVALUE(SUBSTITUTE(LEFT(TRIM(C44),FIND(" ",TRIM(C44)&amp;" ")-1),",","."),"."),LEFT(SUBSTITUTE(LEFT(TRIM(C44),FIND(" ",TRIM(C44)&amp;" ")-1),",","."),FIND("/",SUBSTITUTE(LEFT(TRIM(C44),FIND(" ",TRIM(C44)&amp;" ")-1),",","."))-1)/MID(SUBSTITUTE(LEFT(TRIM(C44),FIND(" ",TRIM(C44)&amp;" ")-1),",","."),FIND("/",SUBSTITUTE(LEFT(TRIM(C44),FIND(" ",TRIM(C44)&amp;" ")-1),",","."))+1,9))*12/52,IF(ISNUMBER(SEARCH("month",C44)),IFERROR(_xlfn.NUMBERVALUE(SUBSTITUTE(LEFT(TRIM(C44),FIND(" ",TRIM(C44)&amp;" ")-1),",","."),"."),LEFT(SUBSTITUTE(LEFT(TRIM(C44),FIND(" ",TRIM(C44)&amp;" ")-1),",","."),FIND("/",SUBSTITUTE(LEFT(TRIM(C44),FIND(" ",TRIM(C44)&amp;" ")-1),",","."))-1)/MID(SUBSTITUTE(LEFT(TRIM(C44),FIND(" ",TRIM(C44)&amp;" ")-1),",","."),FIND("/",SUBSTITUTE(LEFT(TRIM(C44),FIND(" ",TRIM(C44)&amp;" ")-1),",","."))+1,9)),IF(ISNUMBER(SEARCH("yea",C44)),IFERROR(_xlfn.NUMBERVALUE(SUBSTITUTE(LEFT(TRIM(C44),FIND(" ",TRIM(C44)&amp;" ")-1),",","."),"."),LEFT(SUBSTITUTE(LEFT(TRIM(C44),FIND(" ",TRIM(C44)&amp;" ")-1),",","."),FIND("/",SUBSTITUTE(LEFT(TRIM(C44),FIND(" ",TRIM(C44)&amp;" ")-1),",","."))-1)/MID(SUBSTITUTE(LEFT(TRIM(C44),FIND(" ",TRIM(C44)&amp;" ")-1),",","."),FIND("/",SUBSTITUTE(LEFT(TRIM(C44),FIND(" ",TRIM(C44)&amp;" ")-1),",","."))+1,9))*12,NA()))),0),36)*'Aturan &amp; Tarif'!$B$4,2)</f>
        <v>2044.08</v>
      </c>
      <c r="K44" s="32" t="n">
        <f aca="false">'Aturan &amp; Tarif'!$B$5</f>
        <v>2050</v>
      </c>
      <c r="L44" s="32" t="n">
        <f aca="false">'Aturan &amp; Tarif'!$B$6</f>
        <v>350</v>
      </c>
      <c r="M44" s="35" t="n">
        <f aca="false">I44+J44+K44+L44</f>
        <v>29844.08</v>
      </c>
      <c r="N44" s="37" t="s">
        <v>846</v>
      </c>
    </row>
    <row r="45" customFormat="false" ht="14.25" hidden="false" customHeight="true" outlineLevel="0" collapsed="false">
      <c r="A45" s="29"/>
      <c r="B45" s="30" t="s">
        <v>1209</v>
      </c>
      <c r="C45" s="31" t="s">
        <v>127</v>
      </c>
      <c r="D45" s="31" t="s">
        <v>108</v>
      </c>
      <c r="E45" s="32" t="n">
        <v>11275</v>
      </c>
      <c r="F45" s="32"/>
      <c r="G45" s="32" t="n">
        <v>150</v>
      </c>
      <c r="H45" s="33" t="n">
        <v>2</v>
      </c>
      <c r="I45" s="34" t="n">
        <f aca="false">E45*H45+N(F45)+N(G45)</f>
        <v>22700</v>
      </c>
      <c r="J45" s="32" t="n">
        <f aca="false">ROUND(IFERROR(ROUND(IF(OR(ISNUMBER(SEARCH("week",C45)),ISNUMBER(SEARCH("minggu",C45))),IFERROR(_xlfn.NUMBERVALUE(SUBSTITUTE(LEFT(TRIM(C45),FIND(" ",TRIM(C45)&amp;" ")-1),",","."),"."),LEFT(SUBSTITUTE(LEFT(TRIM(C45),FIND(" ",TRIM(C45)&amp;" ")-1),",","."),FIND("/",SUBSTITUTE(LEFT(TRIM(C45),FIND(" ",TRIM(C45)&amp;" ")-1),",","."))-1)/MID(SUBSTITUTE(LEFT(TRIM(C45),FIND(" ",TRIM(C45)&amp;" ")-1),",","."),FIND("/",SUBSTITUTE(LEFT(TRIM(C45),FIND(" ",TRIM(C45)&amp;" ")-1),",","."))+1,9))*12/52,IF(ISNUMBER(SEARCH("month",C45)),IFERROR(_xlfn.NUMBERVALUE(SUBSTITUTE(LEFT(TRIM(C45),FIND(" ",TRIM(C45)&amp;" ")-1),",","."),"."),LEFT(SUBSTITUTE(LEFT(TRIM(C45),FIND(" ",TRIM(C45)&amp;" ")-1),",","."),FIND("/",SUBSTITUTE(LEFT(TRIM(C45),FIND(" ",TRIM(C45)&amp;" ")-1),",","."))-1)/MID(SUBSTITUTE(LEFT(TRIM(C45),FIND(" ",TRIM(C45)&amp;" ")-1),",","."),FIND("/",SUBSTITUTE(LEFT(TRIM(C45),FIND(" ",TRIM(C45)&amp;" ")-1),",","."))+1,9)),IF(ISNUMBER(SEARCH("yea",C45)),IFERROR(_xlfn.NUMBERVALUE(SUBSTITUTE(LEFT(TRIM(C45),FIND(" ",TRIM(C45)&amp;" ")-1),",","."),"."),LEFT(SUBSTITUTE(LEFT(TRIM(C45),FIND(" ",TRIM(C45)&amp;" ")-1),",","."),FIND("/",SUBSTITUTE(LEFT(TRIM(C45),FIND(" ",TRIM(C45)&amp;" ")-1),",","."))-1)/MID(SUBSTITUTE(LEFT(TRIM(C45),FIND(" ",TRIM(C45)&amp;" ")-1),",","."),FIND("/",SUBSTITUTE(LEFT(TRIM(C45),FIND(" ",TRIM(C45)&amp;" ")-1),",","."))+1,9))*12,NA()))),0),36)*'Aturan &amp; Tarif'!$B$4,2)</f>
        <v>2044.08</v>
      </c>
      <c r="K45" s="32" t="n">
        <f aca="false">'Aturan &amp; Tarif'!$B$5</f>
        <v>2050</v>
      </c>
      <c r="L45" s="32" t="n">
        <f aca="false">'Aturan &amp; Tarif'!$B$6</f>
        <v>350</v>
      </c>
      <c r="M45" s="35" t="n">
        <f aca="false">I45+J45+K45+L45</f>
        <v>27144.08</v>
      </c>
      <c r="N45" s="37" t="s">
        <v>846</v>
      </c>
    </row>
    <row r="46" customFormat="false" ht="25.5" hidden="false" customHeight="true" outlineLevel="0" collapsed="false">
      <c r="A46" s="29"/>
      <c r="B46" s="30" t="s">
        <v>1210</v>
      </c>
      <c r="C46" s="31" t="s">
        <v>191</v>
      </c>
      <c r="D46" s="31" t="s">
        <v>108</v>
      </c>
      <c r="E46" s="32" t="n">
        <v>12150</v>
      </c>
      <c r="F46" s="32"/>
      <c r="G46" s="32" t="n">
        <v>150</v>
      </c>
      <c r="H46" s="33" t="n">
        <v>2</v>
      </c>
      <c r="I46" s="34" t="n">
        <f aca="false">E46*H46+N(F46)+N(G46)</f>
        <v>24450</v>
      </c>
      <c r="J46" s="32" t="n">
        <f aca="false">ROUND(IFERROR(ROUND(IF(OR(ISNUMBER(SEARCH("week",C46)),ISNUMBER(SEARCH("minggu",C46))),IFERROR(_xlfn.NUMBERVALUE(SUBSTITUTE(LEFT(TRIM(C46),FIND(" ",TRIM(C46)&amp;" ")-1),",","."),"."),LEFT(SUBSTITUTE(LEFT(TRIM(C46),FIND(" ",TRIM(C46)&amp;" ")-1),",","."),FIND("/",SUBSTITUTE(LEFT(TRIM(C46),FIND(" ",TRIM(C46)&amp;" ")-1),",","."))-1)/MID(SUBSTITUTE(LEFT(TRIM(C46),FIND(" ",TRIM(C46)&amp;" ")-1),",","."),FIND("/",SUBSTITUTE(LEFT(TRIM(C46),FIND(" ",TRIM(C46)&amp;" ")-1),",","."))+1,9))*12/52,IF(ISNUMBER(SEARCH("month",C46)),IFERROR(_xlfn.NUMBERVALUE(SUBSTITUTE(LEFT(TRIM(C46),FIND(" ",TRIM(C46)&amp;" ")-1),",","."),"."),LEFT(SUBSTITUTE(LEFT(TRIM(C46),FIND(" ",TRIM(C46)&amp;" ")-1),",","."),FIND("/",SUBSTITUTE(LEFT(TRIM(C46),FIND(" ",TRIM(C46)&amp;" ")-1),",","."))-1)/MID(SUBSTITUTE(LEFT(TRIM(C46),FIND(" ",TRIM(C46)&amp;" ")-1),",","."),FIND("/",SUBSTITUTE(LEFT(TRIM(C46),FIND(" ",TRIM(C46)&amp;" ")-1),",","."))+1,9)),IF(ISNUMBER(SEARCH("yea",C46)),IFERROR(_xlfn.NUMBERVALUE(SUBSTITUTE(LEFT(TRIM(C46),FIND(" ",TRIM(C46)&amp;" ")-1),",","."),"."),LEFT(SUBSTITUTE(LEFT(TRIM(C46),FIND(" ",TRIM(C46)&amp;" ")-1),",","."),FIND("/",SUBSTITUTE(LEFT(TRIM(C46),FIND(" ",TRIM(C46)&amp;" ")-1),",","."))-1)/MID(SUBSTITUTE(LEFT(TRIM(C46),FIND(" ",TRIM(C46)&amp;" ")-1),",","."),FIND("/",SUBSTITUTE(LEFT(TRIM(C46),FIND(" ",TRIM(C46)&amp;" ")-1),",","."))+1,9))*12,NA()))),0),48)*'Aturan &amp; Tarif'!$B$4,2)</f>
        <v>2725.44</v>
      </c>
      <c r="K46" s="32" t="n">
        <f aca="false">'Aturan &amp; Tarif'!$B$5</f>
        <v>2050</v>
      </c>
      <c r="L46" s="32" t="n">
        <f aca="false">'Aturan &amp; Tarif'!$B$6</f>
        <v>350</v>
      </c>
      <c r="M46" s="35" t="n">
        <f aca="false">I46+J46+K46+L46</f>
        <v>29575.44</v>
      </c>
      <c r="N46" s="37" t="s">
        <v>846</v>
      </c>
    </row>
    <row r="47" customFormat="false" ht="14.25" hidden="false" customHeight="true" outlineLevel="0" collapsed="false">
      <c r="A47" s="29"/>
      <c r="B47" s="30" t="s">
        <v>236</v>
      </c>
      <c r="C47" s="31" t="s">
        <v>127</v>
      </c>
      <c r="D47" s="31" t="s">
        <v>108</v>
      </c>
      <c r="E47" s="32" t="n">
        <v>11275</v>
      </c>
      <c r="F47" s="32"/>
      <c r="G47" s="32" t="n">
        <v>150</v>
      </c>
      <c r="H47" s="33" t="n">
        <v>2</v>
      </c>
      <c r="I47" s="34" t="n">
        <f aca="false">E47*H47+N(F47)+N(G47)</f>
        <v>22700</v>
      </c>
      <c r="J47" s="32" t="n">
        <f aca="false">ROUND(IFERROR(ROUND(IF(OR(ISNUMBER(SEARCH("week",C47)),ISNUMBER(SEARCH("minggu",C47))),IFERROR(_xlfn.NUMBERVALUE(SUBSTITUTE(LEFT(TRIM(C47),FIND(" ",TRIM(C47)&amp;" ")-1),",","."),"."),LEFT(SUBSTITUTE(LEFT(TRIM(C47),FIND(" ",TRIM(C47)&amp;" ")-1),",","."),FIND("/",SUBSTITUTE(LEFT(TRIM(C47),FIND(" ",TRIM(C47)&amp;" ")-1),",","."))-1)/MID(SUBSTITUTE(LEFT(TRIM(C47),FIND(" ",TRIM(C47)&amp;" ")-1),",","."),FIND("/",SUBSTITUTE(LEFT(TRIM(C47),FIND(" ",TRIM(C47)&amp;" ")-1),",","."))+1,9))*12/52,IF(ISNUMBER(SEARCH("month",C47)),IFERROR(_xlfn.NUMBERVALUE(SUBSTITUTE(LEFT(TRIM(C47),FIND(" ",TRIM(C47)&amp;" ")-1),",","."),"."),LEFT(SUBSTITUTE(LEFT(TRIM(C47),FIND(" ",TRIM(C47)&amp;" ")-1),",","."),FIND("/",SUBSTITUTE(LEFT(TRIM(C47),FIND(" ",TRIM(C47)&amp;" ")-1),",","."))-1)/MID(SUBSTITUTE(LEFT(TRIM(C47),FIND(" ",TRIM(C47)&amp;" ")-1),",","."),FIND("/",SUBSTITUTE(LEFT(TRIM(C47),FIND(" ",TRIM(C47)&amp;" ")-1),",","."))+1,9)),IF(ISNUMBER(SEARCH("yea",C47)),IFERROR(_xlfn.NUMBERVALUE(SUBSTITUTE(LEFT(TRIM(C47),FIND(" ",TRIM(C47)&amp;" ")-1),",","."),"."),LEFT(SUBSTITUTE(LEFT(TRIM(C47),FIND(" ",TRIM(C47)&amp;" ")-1),",","."),FIND("/",SUBSTITUTE(LEFT(TRIM(C47),FIND(" ",TRIM(C47)&amp;" ")-1),",","."))-1)/MID(SUBSTITUTE(LEFT(TRIM(C47),FIND(" ",TRIM(C47)&amp;" ")-1),",","."),FIND("/",SUBSTITUTE(LEFT(TRIM(C47),FIND(" ",TRIM(C47)&amp;" ")-1),",","."))+1,9))*12,NA()))),0),36)*'Aturan &amp; Tarif'!$B$4,2)</f>
        <v>2044.08</v>
      </c>
      <c r="K47" s="32" t="n">
        <f aca="false">'Aturan &amp; Tarif'!$B$5</f>
        <v>2050</v>
      </c>
      <c r="L47" s="32" t="n">
        <f aca="false">'Aturan &amp; Tarif'!$B$6</f>
        <v>350</v>
      </c>
      <c r="M47" s="35" t="n">
        <f aca="false">I47+J47+K47+L47</f>
        <v>27144.08</v>
      </c>
      <c r="N47" s="37" t="s">
        <v>1211</v>
      </c>
    </row>
    <row r="48" customFormat="false" ht="25.5" hidden="false" customHeight="true" outlineLevel="0" collapsed="false">
      <c r="A48" s="29"/>
      <c r="B48" s="30" t="s">
        <v>1212</v>
      </c>
      <c r="C48" s="31" t="s">
        <v>127</v>
      </c>
      <c r="D48" s="31" t="s">
        <v>108</v>
      </c>
      <c r="E48" s="32" t="n">
        <v>11275</v>
      </c>
      <c r="F48" s="32"/>
      <c r="G48" s="32" t="n">
        <v>150</v>
      </c>
      <c r="H48" s="33" t="n">
        <v>2</v>
      </c>
      <c r="I48" s="34" t="n">
        <f aca="false">E48*H48+N(F48)+N(G48)</f>
        <v>22700</v>
      </c>
      <c r="J48" s="32" t="n">
        <f aca="false">ROUND(IFERROR(ROUND(IF(OR(ISNUMBER(SEARCH("week",C48)),ISNUMBER(SEARCH("minggu",C48))),IFERROR(_xlfn.NUMBERVALUE(SUBSTITUTE(LEFT(TRIM(C48),FIND(" ",TRIM(C48)&amp;" ")-1),",","."),"."),LEFT(SUBSTITUTE(LEFT(TRIM(C48),FIND(" ",TRIM(C48)&amp;" ")-1),",","."),FIND("/",SUBSTITUTE(LEFT(TRIM(C48),FIND(" ",TRIM(C48)&amp;" ")-1),",","."))-1)/MID(SUBSTITUTE(LEFT(TRIM(C48),FIND(" ",TRIM(C48)&amp;" ")-1),",","."),FIND("/",SUBSTITUTE(LEFT(TRIM(C48),FIND(" ",TRIM(C48)&amp;" ")-1),",","."))+1,9))*12/52,IF(ISNUMBER(SEARCH("month",C48)),IFERROR(_xlfn.NUMBERVALUE(SUBSTITUTE(LEFT(TRIM(C48),FIND(" ",TRIM(C48)&amp;" ")-1),",","."),"."),LEFT(SUBSTITUTE(LEFT(TRIM(C48),FIND(" ",TRIM(C48)&amp;" ")-1),",","."),FIND("/",SUBSTITUTE(LEFT(TRIM(C48),FIND(" ",TRIM(C48)&amp;" ")-1),",","."))-1)/MID(SUBSTITUTE(LEFT(TRIM(C48),FIND(" ",TRIM(C48)&amp;" ")-1),",","."),FIND("/",SUBSTITUTE(LEFT(TRIM(C48),FIND(" ",TRIM(C48)&amp;" ")-1),",","."))+1,9)),IF(ISNUMBER(SEARCH("yea",C48)),IFERROR(_xlfn.NUMBERVALUE(SUBSTITUTE(LEFT(TRIM(C48),FIND(" ",TRIM(C48)&amp;" ")-1),",","."),"."),LEFT(SUBSTITUTE(LEFT(TRIM(C48),FIND(" ",TRIM(C48)&amp;" ")-1),",","."),FIND("/",SUBSTITUTE(LEFT(TRIM(C48),FIND(" ",TRIM(C48)&amp;" ")-1),",","."))-1)/MID(SUBSTITUTE(LEFT(TRIM(C48),FIND(" ",TRIM(C48)&amp;" ")-1),",","."),FIND("/",SUBSTITUTE(LEFT(TRIM(C48),FIND(" ",TRIM(C48)&amp;" ")-1),",","."))+1,9))*12,NA()))),0),36)*'Aturan &amp; Tarif'!$B$4,2)</f>
        <v>2044.08</v>
      </c>
      <c r="K48" s="32" t="n">
        <f aca="false">'Aturan &amp; Tarif'!$B$5</f>
        <v>2050</v>
      </c>
      <c r="L48" s="32" t="n">
        <f aca="false">'Aturan &amp; Tarif'!$B$6</f>
        <v>350</v>
      </c>
      <c r="M48" s="35" t="n">
        <f aca="false">I48+J48+K48+L48</f>
        <v>27144.08</v>
      </c>
      <c r="N48" s="37" t="s">
        <v>1211</v>
      </c>
    </row>
    <row r="49" customFormat="false" ht="14.25" hidden="false" customHeight="true" outlineLevel="0" collapsed="false">
      <c r="A49" s="29"/>
      <c r="B49" s="30" t="s">
        <v>1213</v>
      </c>
      <c r="C49" s="31" t="s">
        <v>127</v>
      </c>
      <c r="D49" s="31" t="s">
        <v>108</v>
      </c>
      <c r="E49" s="32" t="n">
        <v>11275</v>
      </c>
      <c r="F49" s="32"/>
      <c r="G49" s="32" t="n">
        <v>150</v>
      </c>
      <c r="H49" s="33" t="n">
        <v>2</v>
      </c>
      <c r="I49" s="34" t="n">
        <f aca="false">E49*H49+N(F49)+N(G49)</f>
        <v>22700</v>
      </c>
      <c r="J49" s="32" t="n">
        <f aca="false">ROUND(IFERROR(ROUND(IF(OR(ISNUMBER(SEARCH("week",C49)),ISNUMBER(SEARCH("minggu",C49))),IFERROR(_xlfn.NUMBERVALUE(SUBSTITUTE(LEFT(TRIM(C49),FIND(" ",TRIM(C49)&amp;" ")-1),",","."),"."),LEFT(SUBSTITUTE(LEFT(TRIM(C49),FIND(" ",TRIM(C49)&amp;" ")-1),",","."),FIND("/",SUBSTITUTE(LEFT(TRIM(C49),FIND(" ",TRIM(C49)&amp;" ")-1),",","."))-1)/MID(SUBSTITUTE(LEFT(TRIM(C49),FIND(" ",TRIM(C49)&amp;" ")-1),",","."),FIND("/",SUBSTITUTE(LEFT(TRIM(C49),FIND(" ",TRIM(C49)&amp;" ")-1),",","."))+1,9))*12/52,IF(ISNUMBER(SEARCH("month",C49)),IFERROR(_xlfn.NUMBERVALUE(SUBSTITUTE(LEFT(TRIM(C49),FIND(" ",TRIM(C49)&amp;" ")-1),",","."),"."),LEFT(SUBSTITUTE(LEFT(TRIM(C49),FIND(" ",TRIM(C49)&amp;" ")-1),",","."),FIND("/",SUBSTITUTE(LEFT(TRIM(C49),FIND(" ",TRIM(C49)&amp;" ")-1),",","."))-1)/MID(SUBSTITUTE(LEFT(TRIM(C49),FIND(" ",TRIM(C49)&amp;" ")-1),",","."),FIND("/",SUBSTITUTE(LEFT(TRIM(C49),FIND(" ",TRIM(C49)&amp;" ")-1),",","."))+1,9)),IF(ISNUMBER(SEARCH("yea",C49)),IFERROR(_xlfn.NUMBERVALUE(SUBSTITUTE(LEFT(TRIM(C49),FIND(" ",TRIM(C49)&amp;" ")-1),",","."),"."),LEFT(SUBSTITUTE(LEFT(TRIM(C49),FIND(" ",TRIM(C49)&amp;" ")-1),",","."),FIND("/",SUBSTITUTE(LEFT(TRIM(C49),FIND(" ",TRIM(C49)&amp;" ")-1),",","."))-1)/MID(SUBSTITUTE(LEFT(TRIM(C49),FIND(" ",TRIM(C49)&amp;" ")-1),",","."),FIND("/",SUBSTITUTE(LEFT(TRIM(C49),FIND(" ",TRIM(C49)&amp;" ")-1),",","."))+1,9))*12,NA()))),0),36)*'Aturan &amp; Tarif'!$B$4,2)</f>
        <v>2044.08</v>
      </c>
      <c r="K49" s="32" t="n">
        <f aca="false">'Aturan &amp; Tarif'!$B$5</f>
        <v>2050</v>
      </c>
      <c r="L49" s="32" t="n">
        <f aca="false">'Aturan &amp; Tarif'!$B$6</f>
        <v>350</v>
      </c>
      <c r="M49" s="35" t="n">
        <f aca="false">I49+J49+K49+L49</f>
        <v>27144.08</v>
      </c>
      <c r="N49" s="37" t="s">
        <v>1211</v>
      </c>
    </row>
    <row r="50" customFormat="false" ht="25.5" hidden="false" customHeight="true" outlineLevel="0" collapsed="false">
      <c r="A50" s="29"/>
      <c r="B50" s="30" t="s">
        <v>1214</v>
      </c>
      <c r="C50" s="31" t="s">
        <v>127</v>
      </c>
      <c r="D50" s="31" t="s">
        <v>108</v>
      </c>
      <c r="E50" s="32" t="n">
        <v>11275</v>
      </c>
      <c r="F50" s="32"/>
      <c r="G50" s="32" t="n">
        <v>150</v>
      </c>
      <c r="H50" s="33" t="n">
        <v>2</v>
      </c>
      <c r="I50" s="34" t="n">
        <f aca="false">E50*H50+N(F50)+N(G50)</f>
        <v>22700</v>
      </c>
      <c r="J50" s="32" t="n">
        <f aca="false">ROUND(IFERROR(ROUND(IF(OR(ISNUMBER(SEARCH("week",C50)),ISNUMBER(SEARCH("minggu",C50))),IFERROR(_xlfn.NUMBERVALUE(SUBSTITUTE(LEFT(TRIM(C50),FIND(" ",TRIM(C50)&amp;" ")-1),",","."),"."),LEFT(SUBSTITUTE(LEFT(TRIM(C50),FIND(" ",TRIM(C50)&amp;" ")-1),",","."),FIND("/",SUBSTITUTE(LEFT(TRIM(C50),FIND(" ",TRIM(C50)&amp;" ")-1),",","."))-1)/MID(SUBSTITUTE(LEFT(TRIM(C50),FIND(" ",TRIM(C50)&amp;" ")-1),",","."),FIND("/",SUBSTITUTE(LEFT(TRIM(C50),FIND(" ",TRIM(C50)&amp;" ")-1),",","."))+1,9))*12/52,IF(ISNUMBER(SEARCH("month",C50)),IFERROR(_xlfn.NUMBERVALUE(SUBSTITUTE(LEFT(TRIM(C50),FIND(" ",TRIM(C50)&amp;" ")-1),",","."),"."),LEFT(SUBSTITUTE(LEFT(TRIM(C50),FIND(" ",TRIM(C50)&amp;" ")-1),",","."),FIND("/",SUBSTITUTE(LEFT(TRIM(C50),FIND(" ",TRIM(C50)&amp;" ")-1),",","."))-1)/MID(SUBSTITUTE(LEFT(TRIM(C50),FIND(" ",TRIM(C50)&amp;" ")-1),",","."),FIND("/",SUBSTITUTE(LEFT(TRIM(C50),FIND(" ",TRIM(C50)&amp;" ")-1),",","."))+1,9)),IF(ISNUMBER(SEARCH("yea",C50)),IFERROR(_xlfn.NUMBERVALUE(SUBSTITUTE(LEFT(TRIM(C50),FIND(" ",TRIM(C50)&amp;" ")-1),",","."),"."),LEFT(SUBSTITUTE(LEFT(TRIM(C50),FIND(" ",TRIM(C50)&amp;" ")-1),",","."),FIND("/",SUBSTITUTE(LEFT(TRIM(C50),FIND(" ",TRIM(C50)&amp;" ")-1),",","."))-1)/MID(SUBSTITUTE(LEFT(TRIM(C50),FIND(" ",TRIM(C50)&amp;" ")-1),",","."),FIND("/",SUBSTITUTE(LEFT(TRIM(C50),FIND(" ",TRIM(C50)&amp;" ")-1),",","."))+1,9))*12,NA()))),0),36)*'Aturan &amp; Tarif'!$B$4,2)</f>
        <v>2044.08</v>
      </c>
      <c r="K50" s="32" t="n">
        <f aca="false">'Aturan &amp; Tarif'!$B$5</f>
        <v>2050</v>
      </c>
      <c r="L50" s="32" t="n">
        <f aca="false">'Aturan &amp; Tarif'!$B$6</f>
        <v>350</v>
      </c>
      <c r="M50" s="35" t="n">
        <f aca="false">I50+J50+K50+L50</f>
        <v>27144.08</v>
      </c>
      <c r="N50" s="37" t="s">
        <v>1211</v>
      </c>
    </row>
    <row r="51" customFormat="false" ht="25.5" hidden="false" customHeight="true" outlineLevel="0" collapsed="false">
      <c r="A51" s="29"/>
      <c r="B51" s="30" t="s">
        <v>1215</v>
      </c>
      <c r="C51" s="31" t="s">
        <v>127</v>
      </c>
      <c r="D51" s="31" t="s">
        <v>108</v>
      </c>
      <c r="E51" s="32" t="n">
        <v>11275</v>
      </c>
      <c r="F51" s="32"/>
      <c r="G51" s="32" t="n">
        <v>150</v>
      </c>
      <c r="H51" s="33" t="n">
        <v>2</v>
      </c>
      <c r="I51" s="34" t="n">
        <f aca="false">E51*H51+N(F51)+N(G51)</f>
        <v>22700</v>
      </c>
      <c r="J51" s="32" t="n">
        <f aca="false">ROUND(IFERROR(ROUND(IF(OR(ISNUMBER(SEARCH("week",C51)),ISNUMBER(SEARCH("minggu",C51))),IFERROR(_xlfn.NUMBERVALUE(SUBSTITUTE(LEFT(TRIM(C51),FIND(" ",TRIM(C51)&amp;" ")-1),",","."),"."),LEFT(SUBSTITUTE(LEFT(TRIM(C51),FIND(" ",TRIM(C51)&amp;" ")-1),",","."),FIND("/",SUBSTITUTE(LEFT(TRIM(C51),FIND(" ",TRIM(C51)&amp;" ")-1),",","."))-1)/MID(SUBSTITUTE(LEFT(TRIM(C51),FIND(" ",TRIM(C51)&amp;" ")-1),",","."),FIND("/",SUBSTITUTE(LEFT(TRIM(C51),FIND(" ",TRIM(C51)&amp;" ")-1),",","."))+1,9))*12/52,IF(ISNUMBER(SEARCH("month",C51)),IFERROR(_xlfn.NUMBERVALUE(SUBSTITUTE(LEFT(TRIM(C51),FIND(" ",TRIM(C51)&amp;" ")-1),",","."),"."),LEFT(SUBSTITUTE(LEFT(TRIM(C51),FIND(" ",TRIM(C51)&amp;" ")-1),",","."),FIND("/",SUBSTITUTE(LEFT(TRIM(C51),FIND(" ",TRIM(C51)&amp;" ")-1),",","."))-1)/MID(SUBSTITUTE(LEFT(TRIM(C51),FIND(" ",TRIM(C51)&amp;" ")-1),",","."),FIND("/",SUBSTITUTE(LEFT(TRIM(C51),FIND(" ",TRIM(C51)&amp;" ")-1),",","."))+1,9)),IF(ISNUMBER(SEARCH("yea",C51)),IFERROR(_xlfn.NUMBERVALUE(SUBSTITUTE(LEFT(TRIM(C51),FIND(" ",TRIM(C51)&amp;" ")-1),",","."),"."),LEFT(SUBSTITUTE(LEFT(TRIM(C51),FIND(" ",TRIM(C51)&amp;" ")-1),",","."),FIND("/",SUBSTITUTE(LEFT(TRIM(C51),FIND(" ",TRIM(C51)&amp;" ")-1),",","."))-1)/MID(SUBSTITUTE(LEFT(TRIM(C51),FIND(" ",TRIM(C51)&amp;" ")-1),",","."),FIND("/",SUBSTITUTE(LEFT(TRIM(C51),FIND(" ",TRIM(C51)&amp;" ")-1),",","."))+1,9))*12,NA()))),0),36)*'Aturan &amp; Tarif'!$B$4,2)</f>
        <v>2044.08</v>
      </c>
      <c r="K51" s="32" t="n">
        <f aca="false">'Aturan &amp; Tarif'!$B$5</f>
        <v>2050</v>
      </c>
      <c r="L51" s="32" t="n">
        <f aca="false">'Aturan &amp; Tarif'!$B$6</f>
        <v>350</v>
      </c>
      <c r="M51" s="35" t="n">
        <f aca="false">I51+J51+K51+L51</f>
        <v>27144.08</v>
      </c>
      <c r="N51" s="37" t="s">
        <v>1211</v>
      </c>
    </row>
    <row r="52" customFormat="false" ht="25.5" hidden="false" customHeight="true" outlineLevel="0" collapsed="false">
      <c r="A52" s="29"/>
      <c r="B52" s="30" t="s">
        <v>1216</v>
      </c>
      <c r="C52" s="31" t="s">
        <v>127</v>
      </c>
      <c r="D52" s="31" t="s">
        <v>108</v>
      </c>
      <c r="E52" s="32" t="n">
        <v>11275</v>
      </c>
      <c r="F52" s="32"/>
      <c r="G52" s="32" t="n">
        <v>150</v>
      </c>
      <c r="H52" s="33" t="n">
        <v>2</v>
      </c>
      <c r="I52" s="34" t="n">
        <f aca="false">E52*H52+N(F52)+N(G52)</f>
        <v>22700</v>
      </c>
      <c r="J52" s="32" t="n">
        <f aca="false">ROUND(IFERROR(ROUND(IF(OR(ISNUMBER(SEARCH("week",C52)),ISNUMBER(SEARCH("minggu",C52))),IFERROR(_xlfn.NUMBERVALUE(SUBSTITUTE(LEFT(TRIM(C52),FIND(" ",TRIM(C52)&amp;" ")-1),",","."),"."),LEFT(SUBSTITUTE(LEFT(TRIM(C52),FIND(" ",TRIM(C52)&amp;" ")-1),",","."),FIND("/",SUBSTITUTE(LEFT(TRIM(C52),FIND(" ",TRIM(C52)&amp;" ")-1),",","."))-1)/MID(SUBSTITUTE(LEFT(TRIM(C52),FIND(" ",TRIM(C52)&amp;" ")-1),",","."),FIND("/",SUBSTITUTE(LEFT(TRIM(C52),FIND(" ",TRIM(C52)&amp;" ")-1),",","."))+1,9))*12/52,IF(ISNUMBER(SEARCH("month",C52)),IFERROR(_xlfn.NUMBERVALUE(SUBSTITUTE(LEFT(TRIM(C52),FIND(" ",TRIM(C52)&amp;" ")-1),",","."),"."),LEFT(SUBSTITUTE(LEFT(TRIM(C52),FIND(" ",TRIM(C52)&amp;" ")-1),",","."),FIND("/",SUBSTITUTE(LEFT(TRIM(C52),FIND(" ",TRIM(C52)&amp;" ")-1),",","."))-1)/MID(SUBSTITUTE(LEFT(TRIM(C52),FIND(" ",TRIM(C52)&amp;" ")-1),",","."),FIND("/",SUBSTITUTE(LEFT(TRIM(C52),FIND(" ",TRIM(C52)&amp;" ")-1),",","."))+1,9)),IF(ISNUMBER(SEARCH("yea",C52)),IFERROR(_xlfn.NUMBERVALUE(SUBSTITUTE(LEFT(TRIM(C52),FIND(" ",TRIM(C52)&amp;" ")-1),",","."),"."),LEFT(SUBSTITUTE(LEFT(TRIM(C52),FIND(" ",TRIM(C52)&amp;" ")-1),",","."),FIND("/",SUBSTITUTE(LEFT(TRIM(C52),FIND(" ",TRIM(C52)&amp;" ")-1),",","."))-1)/MID(SUBSTITUTE(LEFT(TRIM(C52),FIND(" ",TRIM(C52)&amp;" ")-1),",","."),FIND("/",SUBSTITUTE(LEFT(TRIM(C52),FIND(" ",TRIM(C52)&amp;" ")-1),",","."))+1,9))*12,NA()))),0),36)*'Aturan &amp; Tarif'!$B$4,2)</f>
        <v>2044.08</v>
      </c>
      <c r="K52" s="32" t="n">
        <f aca="false">'Aturan &amp; Tarif'!$B$5</f>
        <v>2050</v>
      </c>
      <c r="L52" s="32" t="n">
        <f aca="false">'Aturan &amp; Tarif'!$B$6</f>
        <v>350</v>
      </c>
      <c r="M52" s="35" t="n">
        <f aca="false">I52+J52+K52+L52</f>
        <v>27144.08</v>
      </c>
      <c r="N52" s="37" t="s">
        <v>1211</v>
      </c>
    </row>
    <row r="53" customFormat="false" ht="25.5" hidden="false" customHeight="true" outlineLevel="0" collapsed="false">
      <c r="A53" s="29"/>
      <c r="B53" s="30" t="s">
        <v>1217</v>
      </c>
      <c r="C53" s="31" t="s">
        <v>127</v>
      </c>
      <c r="D53" s="31" t="s">
        <v>108</v>
      </c>
      <c r="E53" s="32" t="n">
        <v>11275</v>
      </c>
      <c r="F53" s="32"/>
      <c r="G53" s="32" t="n">
        <v>150</v>
      </c>
      <c r="H53" s="33" t="n">
        <v>2</v>
      </c>
      <c r="I53" s="34" t="n">
        <f aca="false">E53*H53+N(F53)+N(G53)</f>
        <v>22700</v>
      </c>
      <c r="J53" s="32" t="n">
        <f aca="false">ROUND(IFERROR(ROUND(IF(OR(ISNUMBER(SEARCH("week",C53)),ISNUMBER(SEARCH("minggu",C53))),IFERROR(_xlfn.NUMBERVALUE(SUBSTITUTE(LEFT(TRIM(C53),FIND(" ",TRIM(C53)&amp;" ")-1),",","."),"."),LEFT(SUBSTITUTE(LEFT(TRIM(C53),FIND(" ",TRIM(C53)&amp;" ")-1),",","."),FIND("/",SUBSTITUTE(LEFT(TRIM(C53),FIND(" ",TRIM(C53)&amp;" ")-1),",","."))-1)/MID(SUBSTITUTE(LEFT(TRIM(C53),FIND(" ",TRIM(C53)&amp;" ")-1),",","."),FIND("/",SUBSTITUTE(LEFT(TRIM(C53),FIND(" ",TRIM(C53)&amp;" ")-1),",","."))+1,9))*12/52,IF(ISNUMBER(SEARCH("month",C53)),IFERROR(_xlfn.NUMBERVALUE(SUBSTITUTE(LEFT(TRIM(C53),FIND(" ",TRIM(C53)&amp;" ")-1),",","."),"."),LEFT(SUBSTITUTE(LEFT(TRIM(C53),FIND(" ",TRIM(C53)&amp;" ")-1),",","."),FIND("/",SUBSTITUTE(LEFT(TRIM(C53),FIND(" ",TRIM(C53)&amp;" ")-1),",","."))-1)/MID(SUBSTITUTE(LEFT(TRIM(C53),FIND(" ",TRIM(C53)&amp;" ")-1),",","."),FIND("/",SUBSTITUTE(LEFT(TRIM(C53),FIND(" ",TRIM(C53)&amp;" ")-1),",","."))+1,9)),IF(ISNUMBER(SEARCH("yea",C53)),IFERROR(_xlfn.NUMBERVALUE(SUBSTITUTE(LEFT(TRIM(C53),FIND(" ",TRIM(C53)&amp;" ")-1),",","."),"."),LEFT(SUBSTITUTE(LEFT(TRIM(C53),FIND(" ",TRIM(C53)&amp;" ")-1),",","."),FIND("/",SUBSTITUTE(LEFT(TRIM(C53),FIND(" ",TRIM(C53)&amp;" ")-1),",","."))-1)/MID(SUBSTITUTE(LEFT(TRIM(C53),FIND(" ",TRIM(C53)&amp;" ")-1),",","."),FIND("/",SUBSTITUTE(LEFT(TRIM(C53),FIND(" ",TRIM(C53)&amp;" ")-1),",","."))+1,9))*12,NA()))),0),36)*'Aturan &amp; Tarif'!$B$4,2)</f>
        <v>2044.08</v>
      </c>
      <c r="K53" s="32" t="n">
        <f aca="false">'Aturan &amp; Tarif'!$B$5</f>
        <v>2050</v>
      </c>
      <c r="L53" s="32" t="n">
        <f aca="false">'Aturan &amp; Tarif'!$B$6</f>
        <v>350</v>
      </c>
      <c r="M53" s="35" t="n">
        <f aca="false">I53+J53+K53+L53</f>
        <v>27144.08</v>
      </c>
      <c r="N53" s="37" t="s">
        <v>1211</v>
      </c>
    </row>
    <row r="54" customFormat="false" ht="25.5" hidden="false" customHeight="true" outlineLevel="0" collapsed="false">
      <c r="A54" s="29"/>
      <c r="B54" s="30" t="s">
        <v>1218</v>
      </c>
      <c r="C54" s="31" t="s">
        <v>127</v>
      </c>
      <c r="D54" s="31" t="s">
        <v>108</v>
      </c>
      <c r="E54" s="32" t="n">
        <v>11275</v>
      </c>
      <c r="F54" s="32"/>
      <c r="G54" s="32" t="n">
        <v>150</v>
      </c>
      <c r="H54" s="33" t="n">
        <v>2</v>
      </c>
      <c r="I54" s="34" t="n">
        <f aca="false">E54*H54+N(F54)+N(G54)</f>
        <v>22700</v>
      </c>
      <c r="J54" s="32" t="n">
        <f aca="false">ROUND(IFERROR(ROUND(IF(OR(ISNUMBER(SEARCH("week",C54)),ISNUMBER(SEARCH("minggu",C54))),IFERROR(_xlfn.NUMBERVALUE(SUBSTITUTE(LEFT(TRIM(C54),FIND(" ",TRIM(C54)&amp;" ")-1),",","."),"."),LEFT(SUBSTITUTE(LEFT(TRIM(C54),FIND(" ",TRIM(C54)&amp;" ")-1),",","."),FIND("/",SUBSTITUTE(LEFT(TRIM(C54),FIND(" ",TRIM(C54)&amp;" ")-1),",","."))-1)/MID(SUBSTITUTE(LEFT(TRIM(C54),FIND(" ",TRIM(C54)&amp;" ")-1),",","."),FIND("/",SUBSTITUTE(LEFT(TRIM(C54),FIND(" ",TRIM(C54)&amp;" ")-1),",","."))+1,9))*12/52,IF(ISNUMBER(SEARCH("month",C54)),IFERROR(_xlfn.NUMBERVALUE(SUBSTITUTE(LEFT(TRIM(C54),FIND(" ",TRIM(C54)&amp;" ")-1),",","."),"."),LEFT(SUBSTITUTE(LEFT(TRIM(C54),FIND(" ",TRIM(C54)&amp;" ")-1),",","."),FIND("/",SUBSTITUTE(LEFT(TRIM(C54),FIND(" ",TRIM(C54)&amp;" ")-1),",","."))-1)/MID(SUBSTITUTE(LEFT(TRIM(C54),FIND(" ",TRIM(C54)&amp;" ")-1),",","."),FIND("/",SUBSTITUTE(LEFT(TRIM(C54),FIND(" ",TRIM(C54)&amp;" ")-1),",","."))+1,9)),IF(ISNUMBER(SEARCH("yea",C54)),IFERROR(_xlfn.NUMBERVALUE(SUBSTITUTE(LEFT(TRIM(C54),FIND(" ",TRIM(C54)&amp;" ")-1),",","."),"."),LEFT(SUBSTITUTE(LEFT(TRIM(C54),FIND(" ",TRIM(C54)&amp;" ")-1),",","."),FIND("/",SUBSTITUTE(LEFT(TRIM(C54),FIND(" ",TRIM(C54)&amp;" ")-1),",","."))-1)/MID(SUBSTITUTE(LEFT(TRIM(C54),FIND(" ",TRIM(C54)&amp;" ")-1),",","."),FIND("/",SUBSTITUTE(LEFT(TRIM(C54),FIND(" ",TRIM(C54)&amp;" ")-1),",","."))+1,9))*12,NA()))),0),36)*'Aturan &amp; Tarif'!$B$4,2)</f>
        <v>2044.08</v>
      </c>
      <c r="K54" s="32" t="n">
        <f aca="false">'Aturan &amp; Tarif'!$B$5</f>
        <v>2050</v>
      </c>
      <c r="L54" s="32" t="n">
        <f aca="false">'Aturan &amp; Tarif'!$B$6</f>
        <v>350</v>
      </c>
      <c r="M54" s="35" t="n">
        <f aca="false">I54+J54+K54+L54</f>
        <v>27144.08</v>
      </c>
      <c r="N54" s="37" t="s">
        <v>1211</v>
      </c>
    </row>
    <row r="55" customFormat="false" ht="25.5" hidden="false" customHeight="true" outlineLevel="0" collapsed="false">
      <c r="A55" s="29"/>
      <c r="B55" s="30" t="s">
        <v>1219</v>
      </c>
      <c r="C55" s="31" t="s">
        <v>127</v>
      </c>
      <c r="D55" s="31" t="s">
        <v>108</v>
      </c>
      <c r="E55" s="32" t="n">
        <v>11275</v>
      </c>
      <c r="F55" s="32"/>
      <c r="G55" s="32" t="n">
        <v>150</v>
      </c>
      <c r="H55" s="33" t="n">
        <v>2</v>
      </c>
      <c r="I55" s="34" t="n">
        <f aca="false">E55*H55+N(F55)+N(G55)</f>
        <v>22700</v>
      </c>
      <c r="J55" s="32" t="n">
        <f aca="false">ROUND(IFERROR(ROUND(IF(OR(ISNUMBER(SEARCH("week",C55)),ISNUMBER(SEARCH("minggu",C55))),IFERROR(_xlfn.NUMBERVALUE(SUBSTITUTE(LEFT(TRIM(C55),FIND(" ",TRIM(C55)&amp;" ")-1),",","."),"."),LEFT(SUBSTITUTE(LEFT(TRIM(C55),FIND(" ",TRIM(C55)&amp;" ")-1),",","."),FIND("/",SUBSTITUTE(LEFT(TRIM(C55),FIND(" ",TRIM(C55)&amp;" ")-1),",","."))-1)/MID(SUBSTITUTE(LEFT(TRIM(C55),FIND(" ",TRIM(C55)&amp;" ")-1),",","."),FIND("/",SUBSTITUTE(LEFT(TRIM(C55),FIND(" ",TRIM(C55)&amp;" ")-1),",","."))+1,9))*12/52,IF(ISNUMBER(SEARCH("month",C55)),IFERROR(_xlfn.NUMBERVALUE(SUBSTITUTE(LEFT(TRIM(C55),FIND(" ",TRIM(C55)&amp;" ")-1),",","."),"."),LEFT(SUBSTITUTE(LEFT(TRIM(C55),FIND(" ",TRIM(C55)&amp;" ")-1),",","."),FIND("/",SUBSTITUTE(LEFT(TRIM(C55),FIND(" ",TRIM(C55)&amp;" ")-1),",","."))-1)/MID(SUBSTITUTE(LEFT(TRIM(C55),FIND(" ",TRIM(C55)&amp;" ")-1),",","."),FIND("/",SUBSTITUTE(LEFT(TRIM(C55),FIND(" ",TRIM(C55)&amp;" ")-1),",","."))+1,9)),IF(ISNUMBER(SEARCH("yea",C55)),IFERROR(_xlfn.NUMBERVALUE(SUBSTITUTE(LEFT(TRIM(C55),FIND(" ",TRIM(C55)&amp;" ")-1),",","."),"."),LEFT(SUBSTITUTE(LEFT(TRIM(C55),FIND(" ",TRIM(C55)&amp;" ")-1),",","."),FIND("/",SUBSTITUTE(LEFT(TRIM(C55),FIND(" ",TRIM(C55)&amp;" ")-1),",","."))-1)/MID(SUBSTITUTE(LEFT(TRIM(C55),FIND(" ",TRIM(C55)&amp;" ")-1),",","."),FIND("/",SUBSTITUTE(LEFT(TRIM(C55),FIND(" ",TRIM(C55)&amp;" ")-1),",","."))+1,9))*12,NA()))),0),36)*'Aturan &amp; Tarif'!$B$4,2)</f>
        <v>2044.08</v>
      </c>
      <c r="K55" s="32" t="n">
        <f aca="false">'Aturan &amp; Tarif'!$B$5</f>
        <v>2050</v>
      </c>
      <c r="L55" s="32" t="n">
        <f aca="false">'Aturan &amp; Tarif'!$B$6</f>
        <v>350</v>
      </c>
      <c r="M55" s="35" t="n">
        <f aca="false">I55+J55+K55+L55</f>
        <v>27144.08</v>
      </c>
      <c r="N55" s="37" t="s">
        <v>1211</v>
      </c>
    </row>
    <row r="56" customFormat="false" ht="25.5" hidden="false" customHeight="true" outlineLevel="0" collapsed="false">
      <c r="A56" s="29"/>
      <c r="B56" s="30" t="s">
        <v>1220</v>
      </c>
      <c r="C56" s="31" t="s">
        <v>127</v>
      </c>
      <c r="D56" s="31" t="s">
        <v>108</v>
      </c>
      <c r="E56" s="32" t="n">
        <v>11275</v>
      </c>
      <c r="F56" s="32"/>
      <c r="G56" s="32" t="n">
        <v>150</v>
      </c>
      <c r="H56" s="33" t="n">
        <v>2</v>
      </c>
      <c r="I56" s="34" t="n">
        <f aca="false">E56*H56+N(F56)+N(G56)</f>
        <v>22700</v>
      </c>
      <c r="J56" s="32" t="n">
        <f aca="false">ROUND(IFERROR(ROUND(IF(OR(ISNUMBER(SEARCH("week",C56)),ISNUMBER(SEARCH("minggu",C56))),IFERROR(_xlfn.NUMBERVALUE(SUBSTITUTE(LEFT(TRIM(C56),FIND(" ",TRIM(C56)&amp;" ")-1),",","."),"."),LEFT(SUBSTITUTE(LEFT(TRIM(C56),FIND(" ",TRIM(C56)&amp;" ")-1),",","."),FIND("/",SUBSTITUTE(LEFT(TRIM(C56),FIND(" ",TRIM(C56)&amp;" ")-1),",","."))-1)/MID(SUBSTITUTE(LEFT(TRIM(C56),FIND(" ",TRIM(C56)&amp;" ")-1),",","."),FIND("/",SUBSTITUTE(LEFT(TRIM(C56),FIND(" ",TRIM(C56)&amp;" ")-1),",","."))+1,9))*12/52,IF(ISNUMBER(SEARCH("month",C56)),IFERROR(_xlfn.NUMBERVALUE(SUBSTITUTE(LEFT(TRIM(C56),FIND(" ",TRIM(C56)&amp;" ")-1),",","."),"."),LEFT(SUBSTITUTE(LEFT(TRIM(C56),FIND(" ",TRIM(C56)&amp;" ")-1),",","."),FIND("/",SUBSTITUTE(LEFT(TRIM(C56),FIND(" ",TRIM(C56)&amp;" ")-1),",","."))-1)/MID(SUBSTITUTE(LEFT(TRIM(C56),FIND(" ",TRIM(C56)&amp;" ")-1),",","."),FIND("/",SUBSTITUTE(LEFT(TRIM(C56),FIND(" ",TRIM(C56)&amp;" ")-1),",","."))+1,9)),IF(ISNUMBER(SEARCH("yea",C56)),IFERROR(_xlfn.NUMBERVALUE(SUBSTITUTE(LEFT(TRIM(C56),FIND(" ",TRIM(C56)&amp;" ")-1),",","."),"."),LEFT(SUBSTITUTE(LEFT(TRIM(C56),FIND(" ",TRIM(C56)&amp;" ")-1),",","."),FIND("/",SUBSTITUTE(LEFT(TRIM(C56),FIND(" ",TRIM(C56)&amp;" ")-1),",","."))-1)/MID(SUBSTITUTE(LEFT(TRIM(C56),FIND(" ",TRIM(C56)&amp;" ")-1),",","."),FIND("/",SUBSTITUTE(LEFT(TRIM(C56),FIND(" ",TRIM(C56)&amp;" ")-1),",","."))+1,9))*12,NA()))),0),36)*'Aturan &amp; Tarif'!$B$4,2)</f>
        <v>2044.08</v>
      </c>
      <c r="K56" s="32" t="n">
        <f aca="false">'Aturan &amp; Tarif'!$B$5</f>
        <v>2050</v>
      </c>
      <c r="L56" s="32" t="n">
        <f aca="false">'Aturan &amp; Tarif'!$B$6</f>
        <v>350</v>
      </c>
      <c r="M56" s="35" t="n">
        <f aca="false">I56+J56+K56+L56</f>
        <v>27144.08</v>
      </c>
      <c r="N56" s="37" t="s">
        <v>1211</v>
      </c>
    </row>
    <row r="57" customFormat="false" ht="25.5" hidden="false" customHeight="true" outlineLevel="0" collapsed="false">
      <c r="A57" s="29"/>
      <c r="B57" s="30" t="s">
        <v>1221</v>
      </c>
      <c r="C57" s="31" t="s">
        <v>127</v>
      </c>
      <c r="D57" s="31" t="s">
        <v>108</v>
      </c>
      <c r="E57" s="32" t="n">
        <v>11275</v>
      </c>
      <c r="F57" s="32"/>
      <c r="G57" s="32" t="n">
        <v>150</v>
      </c>
      <c r="H57" s="33" t="n">
        <v>2</v>
      </c>
      <c r="I57" s="34" t="n">
        <f aca="false">E57*H57+N(F57)+N(G57)</f>
        <v>22700</v>
      </c>
      <c r="J57" s="32" t="n">
        <f aca="false">ROUND(IFERROR(ROUND(IF(OR(ISNUMBER(SEARCH("week",C57)),ISNUMBER(SEARCH("minggu",C57))),IFERROR(_xlfn.NUMBERVALUE(SUBSTITUTE(LEFT(TRIM(C57),FIND(" ",TRIM(C57)&amp;" ")-1),",","."),"."),LEFT(SUBSTITUTE(LEFT(TRIM(C57),FIND(" ",TRIM(C57)&amp;" ")-1),",","."),FIND("/",SUBSTITUTE(LEFT(TRIM(C57),FIND(" ",TRIM(C57)&amp;" ")-1),",","."))-1)/MID(SUBSTITUTE(LEFT(TRIM(C57),FIND(" ",TRIM(C57)&amp;" ")-1),",","."),FIND("/",SUBSTITUTE(LEFT(TRIM(C57),FIND(" ",TRIM(C57)&amp;" ")-1),",","."))+1,9))*12/52,IF(ISNUMBER(SEARCH("month",C57)),IFERROR(_xlfn.NUMBERVALUE(SUBSTITUTE(LEFT(TRIM(C57),FIND(" ",TRIM(C57)&amp;" ")-1),",","."),"."),LEFT(SUBSTITUTE(LEFT(TRIM(C57),FIND(" ",TRIM(C57)&amp;" ")-1),",","."),FIND("/",SUBSTITUTE(LEFT(TRIM(C57),FIND(" ",TRIM(C57)&amp;" ")-1),",","."))-1)/MID(SUBSTITUTE(LEFT(TRIM(C57),FIND(" ",TRIM(C57)&amp;" ")-1),",","."),FIND("/",SUBSTITUTE(LEFT(TRIM(C57),FIND(" ",TRIM(C57)&amp;" ")-1),",","."))+1,9)),IF(ISNUMBER(SEARCH("yea",C57)),IFERROR(_xlfn.NUMBERVALUE(SUBSTITUTE(LEFT(TRIM(C57),FIND(" ",TRIM(C57)&amp;" ")-1),",","."),"."),LEFT(SUBSTITUTE(LEFT(TRIM(C57),FIND(" ",TRIM(C57)&amp;" ")-1),",","."),FIND("/",SUBSTITUTE(LEFT(TRIM(C57),FIND(" ",TRIM(C57)&amp;" ")-1),",","."))-1)/MID(SUBSTITUTE(LEFT(TRIM(C57),FIND(" ",TRIM(C57)&amp;" ")-1),",","."),FIND("/",SUBSTITUTE(LEFT(TRIM(C57),FIND(" ",TRIM(C57)&amp;" ")-1),",","."))+1,9))*12,NA()))),0),36)*'Aturan &amp; Tarif'!$B$4,2)</f>
        <v>2044.08</v>
      </c>
      <c r="K57" s="32" t="n">
        <f aca="false">'Aturan &amp; Tarif'!$B$5</f>
        <v>2050</v>
      </c>
      <c r="L57" s="32" t="n">
        <f aca="false">'Aturan &amp; Tarif'!$B$6</f>
        <v>350</v>
      </c>
      <c r="M57" s="35" t="n">
        <f aca="false">I57+J57+K57+L57</f>
        <v>27144.08</v>
      </c>
      <c r="N57" s="37" t="s">
        <v>1211</v>
      </c>
    </row>
    <row r="58" customFormat="false" ht="25.5" hidden="false" customHeight="true" outlineLevel="0" collapsed="false">
      <c r="A58" s="29"/>
      <c r="B58" s="30" t="s">
        <v>1222</v>
      </c>
      <c r="C58" s="31" t="s">
        <v>127</v>
      </c>
      <c r="D58" s="31" t="s">
        <v>108</v>
      </c>
      <c r="E58" s="32" t="n">
        <v>11275</v>
      </c>
      <c r="F58" s="32"/>
      <c r="G58" s="32" t="n">
        <v>150</v>
      </c>
      <c r="H58" s="33" t="n">
        <v>2</v>
      </c>
      <c r="I58" s="34" t="n">
        <f aca="false">E58*H58+N(F58)+N(G58)</f>
        <v>22700</v>
      </c>
      <c r="J58" s="32" t="n">
        <f aca="false">ROUND(IFERROR(ROUND(IF(OR(ISNUMBER(SEARCH("week",C58)),ISNUMBER(SEARCH("minggu",C58))),IFERROR(_xlfn.NUMBERVALUE(SUBSTITUTE(LEFT(TRIM(C58),FIND(" ",TRIM(C58)&amp;" ")-1),",","."),"."),LEFT(SUBSTITUTE(LEFT(TRIM(C58),FIND(" ",TRIM(C58)&amp;" ")-1),",","."),FIND("/",SUBSTITUTE(LEFT(TRIM(C58),FIND(" ",TRIM(C58)&amp;" ")-1),",","."))-1)/MID(SUBSTITUTE(LEFT(TRIM(C58),FIND(" ",TRIM(C58)&amp;" ")-1),",","."),FIND("/",SUBSTITUTE(LEFT(TRIM(C58),FIND(" ",TRIM(C58)&amp;" ")-1),",","."))+1,9))*12/52,IF(ISNUMBER(SEARCH("month",C58)),IFERROR(_xlfn.NUMBERVALUE(SUBSTITUTE(LEFT(TRIM(C58),FIND(" ",TRIM(C58)&amp;" ")-1),",","."),"."),LEFT(SUBSTITUTE(LEFT(TRIM(C58),FIND(" ",TRIM(C58)&amp;" ")-1),",","."),FIND("/",SUBSTITUTE(LEFT(TRIM(C58),FIND(" ",TRIM(C58)&amp;" ")-1),",","."))-1)/MID(SUBSTITUTE(LEFT(TRIM(C58),FIND(" ",TRIM(C58)&amp;" ")-1),",","."),FIND("/",SUBSTITUTE(LEFT(TRIM(C58),FIND(" ",TRIM(C58)&amp;" ")-1),",","."))+1,9)),IF(ISNUMBER(SEARCH("yea",C58)),IFERROR(_xlfn.NUMBERVALUE(SUBSTITUTE(LEFT(TRIM(C58),FIND(" ",TRIM(C58)&amp;" ")-1),",","."),"."),LEFT(SUBSTITUTE(LEFT(TRIM(C58),FIND(" ",TRIM(C58)&amp;" ")-1),",","."),FIND("/",SUBSTITUTE(LEFT(TRIM(C58),FIND(" ",TRIM(C58)&amp;" ")-1),",","."))-1)/MID(SUBSTITUTE(LEFT(TRIM(C58),FIND(" ",TRIM(C58)&amp;" ")-1),",","."),FIND("/",SUBSTITUTE(LEFT(TRIM(C58),FIND(" ",TRIM(C58)&amp;" ")-1),",","."))+1,9))*12,NA()))),0),36)*'Aturan &amp; Tarif'!$B$4,2)</f>
        <v>2044.08</v>
      </c>
      <c r="K58" s="32" t="n">
        <f aca="false">'Aturan &amp; Tarif'!$B$5</f>
        <v>2050</v>
      </c>
      <c r="L58" s="32" t="n">
        <f aca="false">'Aturan &amp; Tarif'!$B$6</f>
        <v>350</v>
      </c>
      <c r="M58" s="35" t="n">
        <f aca="false">I58+J58+K58+L58</f>
        <v>27144.08</v>
      </c>
      <c r="N58" s="37" t="s">
        <v>1211</v>
      </c>
    </row>
    <row r="59" customFormat="false" ht="14.25" hidden="false" customHeight="true" outlineLevel="0" collapsed="false">
      <c r="A59" s="29"/>
      <c r="B59" s="30" t="s">
        <v>1223</v>
      </c>
      <c r="C59" s="31" t="s">
        <v>127</v>
      </c>
      <c r="D59" s="31" t="s">
        <v>108</v>
      </c>
      <c r="E59" s="32" t="n">
        <v>11275</v>
      </c>
      <c r="F59" s="32"/>
      <c r="G59" s="32" t="n">
        <v>150</v>
      </c>
      <c r="H59" s="33" t="n">
        <v>2</v>
      </c>
      <c r="I59" s="34" t="n">
        <f aca="false">E59*H59+N(F59)+N(G59)</f>
        <v>22700</v>
      </c>
      <c r="J59" s="32" t="n">
        <f aca="false">ROUND(IFERROR(ROUND(IF(OR(ISNUMBER(SEARCH("week",C59)),ISNUMBER(SEARCH("minggu",C59))),IFERROR(_xlfn.NUMBERVALUE(SUBSTITUTE(LEFT(TRIM(C59),FIND(" ",TRIM(C59)&amp;" ")-1),",","."),"."),LEFT(SUBSTITUTE(LEFT(TRIM(C59),FIND(" ",TRIM(C59)&amp;" ")-1),",","."),FIND("/",SUBSTITUTE(LEFT(TRIM(C59),FIND(" ",TRIM(C59)&amp;" ")-1),",","."))-1)/MID(SUBSTITUTE(LEFT(TRIM(C59),FIND(" ",TRIM(C59)&amp;" ")-1),",","."),FIND("/",SUBSTITUTE(LEFT(TRIM(C59),FIND(" ",TRIM(C59)&amp;" ")-1),",","."))+1,9))*12/52,IF(ISNUMBER(SEARCH("month",C59)),IFERROR(_xlfn.NUMBERVALUE(SUBSTITUTE(LEFT(TRIM(C59),FIND(" ",TRIM(C59)&amp;" ")-1),",","."),"."),LEFT(SUBSTITUTE(LEFT(TRIM(C59),FIND(" ",TRIM(C59)&amp;" ")-1),",","."),FIND("/",SUBSTITUTE(LEFT(TRIM(C59),FIND(" ",TRIM(C59)&amp;" ")-1),",","."))-1)/MID(SUBSTITUTE(LEFT(TRIM(C59),FIND(" ",TRIM(C59)&amp;" ")-1),",","."),FIND("/",SUBSTITUTE(LEFT(TRIM(C59),FIND(" ",TRIM(C59)&amp;" ")-1),",","."))+1,9)),IF(ISNUMBER(SEARCH("yea",C59)),IFERROR(_xlfn.NUMBERVALUE(SUBSTITUTE(LEFT(TRIM(C59),FIND(" ",TRIM(C59)&amp;" ")-1),",","."),"."),LEFT(SUBSTITUTE(LEFT(TRIM(C59),FIND(" ",TRIM(C59)&amp;" ")-1),",","."),FIND("/",SUBSTITUTE(LEFT(TRIM(C59),FIND(" ",TRIM(C59)&amp;" ")-1),",","."))-1)/MID(SUBSTITUTE(LEFT(TRIM(C59),FIND(" ",TRIM(C59)&amp;" ")-1),",","."),FIND("/",SUBSTITUTE(LEFT(TRIM(C59),FIND(" ",TRIM(C59)&amp;" ")-1),",","."))+1,9))*12,NA()))),0),36)*'Aturan &amp; Tarif'!$B$4,2)</f>
        <v>2044.08</v>
      </c>
      <c r="K59" s="32" t="n">
        <f aca="false">'Aturan &amp; Tarif'!$B$5</f>
        <v>2050</v>
      </c>
      <c r="L59" s="32" t="n">
        <f aca="false">'Aturan &amp; Tarif'!$B$6</f>
        <v>350</v>
      </c>
      <c r="M59" s="35" t="n">
        <f aca="false">I59+J59+K59+L59</f>
        <v>27144.08</v>
      </c>
      <c r="N59" s="37" t="s">
        <v>1211</v>
      </c>
    </row>
    <row r="60" customFormat="false" ht="25.5" hidden="false" customHeight="true" outlineLevel="0" collapsed="false">
      <c r="A60" s="29"/>
      <c r="B60" s="30" t="s">
        <v>1224</v>
      </c>
      <c r="C60" s="31" t="s">
        <v>127</v>
      </c>
      <c r="D60" s="31" t="s">
        <v>108</v>
      </c>
      <c r="E60" s="32" t="n">
        <v>11275</v>
      </c>
      <c r="F60" s="32"/>
      <c r="G60" s="32" t="n">
        <v>150</v>
      </c>
      <c r="H60" s="33" t="n">
        <v>2</v>
      </c>
      <c r="I60" s="34" t="n">
        <f aca="false">E60*H60+N(F60)+N(G60)</f>
        <v>22700</v>
      </c>
      <c r="J60" s="32" t="n">
        <f aca="false">ROUND(IFERROR(ROUND(IF(OR(ISNUMBER(SEARCH("week",C60)),ISNUMBER(SEARCH("minggu",C60))),IFERROR(_xlfn.NUMBERVALUE(SUBSTITUTE(LEFT(TRIM(C60),FIND(" ",TRIM(C60)&amp;" ")-1),",","."),"."),LEFT(SUBSTITUTE(LEFT(TRIM(C60),FIND(" ",TRIM(C60)&amp;" ")-1),",","."),FIND("/",SUBSTITUTE(LEFT(TRIM(C60),FIND(" ",TRIM(C60)&amp;" ")-1),",","."))-1)/MID(SUBSTITUTE(LEFT(TRIM(C60),FIND(" ",TRIM(C60)&amp;" ")-1),",","."),FIND("/",SUBSTITUTE(LEFT(TRIM(C60),FIND(" ",TRIM(C60)&amp;" ")-1),",","."))+1,9))*12/52,IF(ISNUMBER(SEARCH("month",C60)),IFERROR(_xlfn.NUMBERVALUE(SUBSTITUTE(LEFT(TRIM(C60),FIND(" ",TRIM(C60)&amp;" ")-1),",","."),"."),LEFT(SUBSTITUTE(LEFT(TRIM(C60),FIND(" ",TRIM(C60)&amp;" ")-1),",","."),FIND("/",SUBSTITUTE(LEFT(TRIM(C60),FIND(" ",TRIM(C60)&amp;" ")-1),",","."))-1)/MID(SUBSTITUTE(LEFT(TRIM(C60),FIND(" ",TRIM(C60)&amp;" ")-1),",","."),FIND("/",SUBSTITUTE(LEFT(TRIM(C60),FIND(" ",TRIM(C60)&amp;" ")-1),",","."))+1,9)),IF(ISNUMBER(SEARCH("yea",C60)),IFERROR(_xlfn.NUMBERVALUE(SUBSTITUTE(LEFT(TRIM(C60),FIND(" ",TRIM(C60)&amp;" ")-1),",","."),"."),LEFT(SUBSTITUTE(LEFT(TRIM(C60),FIND(" ",TRIM(C60)&amp;" ")-1),",","."),FIND("/",SUBSTITUTE(LEFT(TRIM(C60),FIND(" ",TRIM(C60)&amp;" ")-1),",","."))-1)/MID(SUBSTITUTE(LEFT(TRIM(C60),FIND(" ",TRIM(C60)&amp;" ")-1),",","."),FIND("/",SUBSTITUTE(LEFT(TRIM(C60),FIND(" ",TRIM(C60)&amp;" ")-1),",","."))+1,9))*12,NA()))),0),36)*'Aturan &amp; Tarif'!$B$4,2)</f>
        <v>2044.08</v>
      </c>
      <c r="K60" s="32" t="n">
        <f aca="false">'Aturan &amp; Tarif'!$B$5</f>
        <v>2050</v>
      </c>
      <c r="L60" s="32" t="n">
        <f aca="false">'Aturan &amp; Tarif'!$B$6</f>
        <v>350</v>
      </c>
      <c r="M60" s="35" t="n">
        <f aca="false">I60+J60+K60+L60</f>
        <v>27144.08</v>
      </c>
      <c r="N60" s="37" t="s">
        <v>1211</v>
      </c>
    </row>
    <row r="61" customFormat="false" ht="14.25" hidden="false" customHeight="true" outlineLevel="0" collapsed="false">
      <c r="A61" s="29"/>
      <c r="B61" s="30" t="s">
        <v>1225</v>
      </c>
      <c r="C61" s="31" t="s">
        <v>127</v>
      </c>
      <c r="D61" s="31" t="s">
        <v>108</v>
      </c>
      <c r="E61" s="32" t="n">
        <v>11275</v>
      </c>
      <c r="F61" s="32"/>
      <c r="G61" s="32" t="n">
        <v>150</v>
      </c>
      <c r="H61" s="33" t="n">
        <v>2</v>
      </c>
      <c r="I61" s="34" t="n">
        <f aca="false">E61*H61+N(F61)+N(G61)</f>
        <v>22700</v>
      </c>
      <c r="J61" s="32" t="n">
        <f aca="false">ROUND(IFERROR(ROUND(IF(OR(ISNUMBER(SEARCH("week",C61)),ISNUMBER(SEARCH("minggu",C61))),IFERROR(_xlfn.NUMBERVALUE(SUBSTITUTE(LEFT(TRIM(C61),FIND(" ",TRIM(C61)&amp;" ")-1),",","."),"."),LEFT(SUBSTITUTE(LEFT(TRIM(C61),FIND(" ",TRIM(C61)&amp;" ")-1),",","."),FIND("/",SUBSTITUTE(LEFT(TRIM(C61),FIND(" ",TRIM(C61)&amp;" ")-1),",","."))-1)/MID(SUBSTITUTE(LEFT(TRIM(C61),FIND(" ",TRIM(C61)&amp;" ")-1),",","."),FIND("/",SUBSTITUTE(LEFT(TRIM(C61),FIND(" ",TRIM(C61)&amp;" ")-1),",","."))+1,9))*12/52,IF(ISNUMBER(SEARCH("month",C61)),IFERROR(_xlfn.NUMBERVALUE(SUBSTITUTE(LEFT(TRIM(C61),FIND(" ",TRIM(C61)&amp;" ")-1),",","."),"."),LEFT(SUBSTITUTE(LEFT(TRIM(C61),FIND(" ",TRIM(C61)&amp;" ")-1),",","."),FIND("/",SUBSTITUTE(LEFT(TRIM(C61),FIND(" ",TRIM(C61)&amp;" ")-1),",","."))-1)/MID(SUBSTITUTE(LEFT(TRIM(C61),FIND(" ",TRIM(C61)&amp;" ")-1),",","."),FIND("/",SUBSTITUTE(LEFT(TRIM(C61),FIND(" ",TRIM(C61)&amp;" ")-1),",","."))+1,9)),IF(ISNUMBER(SEARCH("yea",C61)),IFERROR(_xlfn.NUMBERVALUE(SUBSTITUTE(LEFT(TRIM(C61),FIND(" ",TRIM(C61)&amp;" ")-1),",","."),"."),LEFT(SUBSTITUTE(LEFT(TRIM(C61),FIND(" ",TRIM(C61)&amp;" ")-1),",","."),FIND("/",SUBSTITUTE(LEFT(TRIM(C61),FIND(" ",TRIM(C61)&amp;" ")-1),",","."))-1)/MID(SUBSTITUTE(LEFT(TRIM(C61),FIND(" ",TRIM(C61)&amp;" ")-1),",","."),FIND("/",SUBSTITUTE(LEFT(TRIM(C61),FIND(" ",TRIM(C61)&amp;" ")-1),",","."))+1,9))*12,NA()))),0),36)*'Aturan &amp; Tarif'!$B$4,2)</f>
        <v>2044.08</v>
      </c>
      <c r="K61" s="32" t="n">
        <f aca="false">'Aturan &amp; Tarif'!$B$5</f>
        <v>2050</v>
      </c>
      <c r="L61" s="32" t="n">
        <f aca="false">'Aturan &amp; Tarif'!$B$6</f>
        <v>350</v>
      </c>
      <c r="M61" s="35" t="n">
        <f aca="false">I61+J61+K61+L61</f>
        <v>27144.08</v>
      </c>
      <c r="N61" s="37" t="s">
        <v>1211</v>
      </c>
    </row>
    <row r="62" customFormat="false" ht="25.5" hidden="false" customHeight="true" outlineLevel="0" collapsed="false">
      <c r="A62" s="29"/>
      <c r="B62" s="30" t="s">
        <v>1226</v>
      </c>
      <c r="C62" s="31" t="s">
        <v>127</v>
      </c>
      <c r="D62" s="31" t="s">
        <v>108</v>
      </c>
      <c r="E62" s="32" t="n">
        <v>11275</v>
      </c>
      <c r="F62" s="32"/>
      <c r="G62" s="32" t="n">
        <v>150</v>
      </c>
      <c r="H62" s="33" t="n">
        <v>2</v>
      </c>
      <c r="I62" s="34" t="n">
        <f aca="false">E62*H62+N(F62)+N(G62)</f>
        <v>22700</v>
      </c>
      <c r="J62" s="32" t="n">
        <f aca="false">ROUND(IFERROR(ROUND(IF(OR(ISNUMBER(SEARCH("week",C62)),ISNUMBER(SEARCH("minggu",C62))),IFERROR(_xlfn.NUMBERVALUE(SUBSTITUTE(LEFT(TRIM(C62),FIND(" ",TRIM(C62)&amp;" ")-1),",","."),"."),LEFT(SUBSTITUTE(LEFT(TRIM(C62),FIND(" ",TRIM(C62)&amp;" ")-1),",","."),FIND("/",SUBSTITUTE(LEFT(TRIM(C62),FIND(" ",TRIM(C62)&amp;" ")-1),",","."))-1)/MID(SUBSTITUTE(LEFT(TRIM(C62),FIND(" ",TRIM(C62)&amp;" ")-1),",","."),FIND("/",SUBSTITUTE(LEFT(TRIM(C62),FIND(" ",TRIM(C62)&amp;" ")-1),",","."))+1,9))*12/52,IF(ISNUMBER(SEARCH("month",C62)),IFERROR(_xlfn.NUMBERVALUE(SUBSTITUTE(LEFT(TRIM(C62),FIND(" ",TRIM(C62)&amp;" ")-1),",","."),"."),LEFT(SUBSTITUTE(LEFT(TRIM(C62),FIND(" ",TRIM(C62)&amp;" ")-1),",","."),FIND("/",SUBSTITUTE(LEFT(TRIM(C62),FIND(" ",TRIM(C62)&amp;" ")-1),",","."))-1)/MID(SUBSTITUTE(LEFT(TRIM(C62),FIND(" ",TRIM(C62)&amp;" ")-1),",","."),FIND("/",SUBSTITUTE(LEFT(TRIM(C62),FIND(" ",TRIM(C62)&amp;" ")-1),",","."))+1,9)),IF(ISNUMBER(SEARCH("yea",C62)),IFERROR(_xlfn.NUMBERVALUE(SUBSTITUTE(LEFT(TRIM(C62),FIND(" ",TRIM(C62)&amp;" ")-1),",","."),"."),LEFT(SUBSTITUTE(LEFT(TRIM(C62),FIND(" ",TRIM(C62)&amp;" ")-1),",","."),FIND("/",SUBSTITUTE(LEFT(TRIM(C62),FIND(" ",TRIM(C62)&amp;" ")-1),",","."))-1)/MID(SUBSTITUTE(LEFT(TRIM(C62),FIND(" ",TRIM(C62)&amp;" ")-1),",","."),FIND("/",SUBSTITUTE(LEFT(TRIM(C62),FIND(" ",TRIM(C62)&amp;" ")-1),",","."))+1,9))*12,NA()))),0),36)*'Aturan &amp; Tarif'!$B$4,2)</f>
        <v>2044.08</v>
      </c>
      <c r="K62" s="32" t="n">
        <f aca="false">'Aturan &amp; Tarif'!$B$5</f>
        <v>2050</v>
      </c>
      <c r="L62" s="32" t="n">
        <f aca="false">'Aturan &amp; Tarif'!$B$6</f>
        <v>350</v>
      </c>
      <c r="M62" s="35" t="n">
        <f aca="false">I62+J62+K62+L62</f>
        <v>27144.08</v>
      </c>
      <c r="N62" s="37" t="s">
        <v>1211</v>
      </c>
    </row>
    <row r="63" customFormat="false" ht="25.5" hidden="false" customHeight="true" outlineLevel="0" collapsed="false">
      <c r="A63" s="29"/>
      <c r="B63" s="30" t="s">
        <v>1227</v>
      </c>
      <c r="C63" s="31" t="s">
        <v>127</v>
      </c>
      <c r="D63" s="31" t="s">
        <v>108</v>
      </c>
      <c r="E63" s="32" t="n">
        <v>11275</v>
      </c>
      <c r="F63" s="32"/>
      <c r="G63" s="32" t="n">
        <v>150</v>
      </c>
      <c r="H63" s="33" t="n">
        <v>2</v>
      </c>
      <c r="I63" s="34" t="n">
        <f aca="false">E63*H63+N(F63)+N(G63)</f>
        <v>22700</v>
      </c>
      <c r="J63" s="32" t="n">
        <f aca="false">ROUND(IFERROR(ROUND(IF(OR(ISNUMBER(SEARCH("week",C63)),ISNUMBER(SEARCH("minggu",C63))),IFERROR(_xlfn.NUMBERVALUE(SUBSTITUTE(LEFT(TRIM(C63),FIND(" ",TRIM(C63)&amp;" ")-1),",","."),"."),LEFT(SUBSTITUTE(LEFT(TRIM(C63),FIND(" ",TRIM(C63)&amp;" ")-1),",","."),FIND("/",SUBSTITUTE(LEFT(TRIM(C63),FIND(" ",TRIM(C63)&amp;" ")-1),",","."))-1)/MID(SUBSTITUTE(LEFT(TRIM(C63),FIND(" ",TRIM(C63)&amp;" ")-1),",","."),FIND("/",SUBSTITUTE(LEFT(TRIM(C63),FIND(" ",TRIM(C63)&amp;" ")-1),",","."))+1,9))*12/52,IF(ISNUMBER(SEARCH("month",C63)),IFERROR(_xlfn.NUMBERVALUE(SUBSTITUTE(LEFT(TRIM(C63),FIND(" ",TRIM(C63)&amp;" ")-1),",","."),"."),LEFT(SUBSTITUTE(LEFT(TRIM(C63),FIND(" ",TRIM(C63)&amp;" ")-1),",","."),FIND("/",SUBSTITUTE(LEFT(TRIM(C63),FIND(" ",TRIM(C63)&amp;" ")-1),",","."))-1)/MID(SUBSTITUTE(LEFT(TRIM(C63),FIND(" ",TRIM(C63)&amp;" ")-1),",","."),FIND("/",SUBSTITUTE(LEFT(TRIM(C63),FIND(" ",TRIM(C63)&amp;" ")-1),",","."))+1,9)),IF(ISNUMBER(SEARCH("yea",C63)),IFERROR(_xlfn.NUMBERVALUE(SUBSTITUTE(LEFT(TRIM(C63),FIND(" ",TRIM(C63)&amp;" ")-1),",","."),"."),LEFT(SUBSTITUTE(LEFT(TRIM(C63),FIND(" ",TRIM(C63)&amp;" ")-1),",","."),FIND("/",SUBSTITUTE(LEFT(TRIM(C63),FIND(" ",TRIM(C63)&amp;" ")-1),",","."))-1)/MID(SUBSTITUTE(LEFT(TRIM(C63),FIND(" ",TRIM(C63)&amp;" ")-1),",","."),FIND("/",SUBSTITUTE(LEFT(TRIM(C63),FIND(" ",TRIM(C63)&amp;" ")-1),",","."))+1,9))*12,NA()))),0),36)*'Aturan &amp; Tarif'!$B$4,2)</f>
        <v>2044.08</v>
      </c>
      <c r="K63" s="32" t="n">
        <f aca="false">'Aturan &amp; Tarif'!$B$5</f>
        <v>2050</v>
      </c>
      <c r="L63" s="32" t="n">
        <f aca="false">'Aturan &amp; Tarif'!$B$6</f>
        <v>350</v>
      </c>
      <c r="M63" s="35" t="n">
        <f aca="false">I63+J63+K63+L63</f>
        <v>27144.08</v>
      </c>
      <c r="N63" s="37" t="s">
        <v>1211</v>
      </c>
    </row>
    <row r="64" customFormat="false" ht="25.5" hidden="false" customHeight="true" outlineLevel="0" collapsed="false">
      <c r="A64" s="29"/>
      <c r="B64" s="30" t="s">
        <v>1228</v>
      </c>
      <c r="C64" s="31" t="s">
        <v>127</v>
      </c>
      <c r="D64" s="31" t="s">
        <v>108</v>
      </c>
      <c r="E64" s="32" t="n">
        <v>11275</v>
      </c>
      <c r="F64" s="32"/>
      <c r="G64" s="32" t="n">
        <v>150</v>
      </c>
      <c r="H64" s="33" t="n">
        <v>2</v>
      </c>
      <c r="I64" s="34" t="n">
        <f aca="false">E64*H64+N(F64)+N(G64)</f>
        <v>22700</v>
      </c>
      <c r="J64" s="32" t="n">
        <f aca="false">ROUND(IFERROR(ROUND(IF(OR(ISNUMBER(SEARCH("week",C64)),ISNUMBER(SEARCH("minggu",C64))),IFERROR(_xlfn.NUMBERVALUE(SUBSTITUTE(LEFT(TRIM(C64),FIND(" ",TRIM(C64)&amp;" ")-1),",","."),"."),LEFT(SUBSTITUTE(LEFT(TRIM(C64),FIND(" ",TRIM(C64)&amp;" ")-1),",","."),FIND("/",SUBSTITUTE(LEFT(TRIM(C64),FIND(" ",TRIM(C64)&amp;" ")-1),",","."))-1)/MID(SUBSTITUTE(LEFT(TRIM(C64),FIND(" ",TRIM(C64)&amp;" ")-1),",","."),FIND("/",SUBSTITUTE(LEFT(TRIM(C64),FIND(" ",TRIM(C64)&amp;" ")-1),",","."))+1,9))*12/52,IF(ISNUMBER(SEARCH("month",C64)),IFERROR(_xlfn.NUMBERVALUE(SUBSTITUTE(LEFT(TRIM(C64),FIND(" ",TRIM(C64)&amp;" ")-1),",","."),"."),LEFT(SUBSTITUTE(LEFT(TRIM(C64),FIND(" ",TRIM(C64)&amp;" ")-1),",","."),FIND("/",SUBSTITUTE(LEFT(TRIM(C64),FIND(" ",TRIM(C64)&amp;" ")-1),",","."))-1)/MID(SUBSTITUTE(LEFT(TRIM(C64),FIND(" ",TRIM(C64)&amp;" ")-1),",","."),FIND("/",SUBSTITUTE(LEFT(TRIM(C64),FIND(" ",TRIM(C64)&amp;" ")-1),",","."))+1,9)),IF(ISNUMBER(SEARCH("yea",C64)),IFERROR(_xlfn.NUMBERVALUE(SUBSTITUTE(LEFT(TRIM(C64),FIND(" ",TRIM(C64)&amp;" ")-1),",","."),"."),LEFT(SUBSTITUTE(LEFT(TRIM(C64),FIND(" ",TRIM(C64)&amp;" ")-1),",","."),FIND("/",SUBSTITUTE(LEFT(TRIM(C64),FIND(" ",TRIM(C64)&amp;" ")-1),",","."))-1)/MID(SUBSTITUTE(LEFT(TRIM(C64),FIND(" ",TRIM(C64)&amp;" ")-1),",","."),FIND("/",SUBSTITUTE(LEFT(TRIM(C64),FIND(" ",TRIM(C64)&amp;" ")-1),",","."))+1,9))*12,NA()))),0),36)*'Aturan &amp; Tarif'!$B$4,2)</f>
        <v>2044.08</v>
      </c>
      <c r="K64" s="32" t="n">
        <f aca="false">'Aturan &amp; Tarif'!$B$5</f>
        <v>2050</v>
      </c>
      <c r="L64" s="32" t="n">
        <f aca="false">'Aturan &amp; Tarif'!$B$6</f>
        <v>350</v>
      </c>
      <c r="M64" s="35" t="n">
        <f aca="false">I64+J64+K64+L64</f>
        <v>27144.08</v>
      </c>
      <c r="N64" s="37" t="s">
        <v>1211</v>
      </c>
    </row>
    <row r="65" customFormat="false" ht="25.5" hidden="false" customHeight="true" outlineLevel="0" collapsed="false">
      <c r="A65" s="29"/>
      <c r="B65" s="30" t="s">
        <v>1229</v>
      </c>
      <c r="C65" s="31" t="s">
        <v>127</v>
      </c>
      <c r="D65" s="31" t="s">
        <v>108</v>
      </c>
      <c r="E65" s="32" t="n">
        <v>11275</v>
      </c>
      <c r="F65" s="32"/>
      <c r="G65" s="32" t="n">
        <v>150</v>
      </c>
      <c r="H65" s="33" t="n">
        <v>2</v>
      </c>
      <c r="I65" s="34" t="n">
        <f aca="false">E65*H65+N(F65)+N(G65)</f>
        <v>22700</v>
      </c>
      <c r="J65" s="32" t="n">
        <f aca="false">ROUND(IFERROR(ROUND(IF(OR(ISNUMBER(SEARCH("week",C65)),ISNUMBER(SEARCH("minggu",C65))),IFERROR(_xlfn.NUMBERVALUE(SUBSTITUTE(LEFT(TRIM(C65),FIND(" ",TRIM(C65)&amp;" ")-1),",","."),"."),LEFT(SUBSTITUTE(LEFT(TRIM(C65),FIND(" ",TRIM(C65)&amp;" ")-1),",","."),FIND("/",SUBSTITUTE(LEFT(TRIM(C65),FIND(" ",TRIM(C65)&amp;" ")-1),",","."))-1)/MID(SUBSTITUTE(LEFT(TRIM(C65),FIND(" ",TRIM(C65)&amp;" ")-1),",","."),FIND("/",SUBSTITUTE(LEFT(TRIM(C65),FIND(" ",TRIM(C65)&amp;" ")-1),",","."))+1,9))*12/52,IF(ISNUMBER(SEARCH("month",C65)),IFERROR(_xlfn.NUMBERVALUE(SUBSTITUTE(LEFT(TRIM(C65),FIND(" ",TRIM(C65)&amp;" ")-1),",","."),"."),LEFT(SUBSTITUTE(LEFT(TRIM(C65),FIND(" ",TRIM(C65)&amp;" ")-1),",","."),FIND("/",SUBSTITUTE(LEFT(TRIM(C65),FIND(" ",TRIM(C65)&amp;" ")-1),",","."))-1)/MID(SUBSTITUTE(LEFT(TRIM(C65),FIND(" ",TRIM(C65)&amp;" ")-1),",","."),FIND("/",SUBSTITUTE(LEFT(TRIM(C65),FIND(" ",TRIM(C65)&amp;" ")-1),",","."))+1,9)),IF(ISNUMBER(SEARCH("yea",C65)),IFERROR(_xlfn.NUMBERVALUE(SUBSTITUTE(LEFT(TRIM(C65),FIND(" ",TRIM(C65)&amp;" ")-1),",","."),"."),LEFT(SUBSTITUTE(LEFT(TRIM(C65),FIND(" ",TRIM(C65)&amp;" ")-1),",","."),FIND("/",SUBSTITUTE(LEFT(TRIM(C65),FIND(" ",TRIM(C65)&amp;" ")-1),",","."))-1)/MID(SUBSTITUTE(LEFT(TRIM(C65),FIND(" ",TRIM(C65)&amp;" ")-1),",","."),FIND("/",SUBSTITUTE(LEFT(TRIM(C65),FIND(" ",TRIM(C65)&amp;" ")-1),",","."))+1,9))*12,NA()))),0),36)*'Aturan &amp; Tarif'!$B$4,2)</f>
        <v>2044.08</v>
      </c>
      <c r="K65" s="32" t="n">
        <f aca="false">'Aturan &amp; Tarif'!$B$5</f>
        <v>2050</v>
      </c>
      <c r="L65" s="32" t="n">
        <f aca="false">'Aturan &amp; Tarif'!$B$6</f>
        <v>350</v>
      </c>
      <c r="M65" s="35" t="n">
        <f aca="false">I65+J65+K65+L65</f>
        <v>27144.08</v>
      </c>
      <c r="N65" s="37" t="s">
        <v>1211</v>
      </c>
    </row>
    <row r="66" customFormat="false" ht="25.5" hidden="false" customHeight="true" outlineLevel="0" collapsed="false">
      <c r="A66" s="29"/>
      <c r="B66" s="30" t="s">
        <v>1230</v>
      </c>
      <c r="C66" s="31" t="s">
        <v>127</v>
      </c>
      <c r="D66" s="31" t="s">
        <v>108</v>
      </c>
      <c r="E66" s="32" t="n">
        <v>11275</v>
      </c>
      <c r="F66" s="32"/>
      <c r="G66" s="32" t="n">
        <v>150</v>
      </c>
      <c r="H66" s="33" t="n">
        <v>2</v>
      </c>
      <c r="I66" s="34" t="n">
        <f aca="false">E66*H66+N(F66)+N(G66)</f>
        <v>22700</v>
      </c>
      <c r="J66" s="32" t="n">
        <f aca="false">ROUND(IFERROR(ROUND(IF(OR(ISNUMBER(SEARCH("week",C66)),ISNUMBER(SEARCH("minggu",C66))),IFERROR(_xlfn.NUMBERVALUE(SUBSTITUTE(LEFT(TRIM(C66),FIND(" ",TRIM(C66)&amp;" ")-1),",","."),"."),LEFT(SUBSTITUTE(LEFT(TRIM(C66),FIND(" ",TRIM(C66)&amp;" ")-1),",","."),FIND("/",SUBSTITUTE(LEFT(TRIM(C66),FIND(" ",TRIM(C66)&amp;" ")-1),",","."))-1)/MID(SUBSTITUTE(LEFT(TRIM(C66),FIND(" ",TRIM(C66)&amp;" ")-1),",","."),FIND("/",SUBSTITUTE(LEFT(TRIM(C66),FIND(" ",TRIM(C66)&amp;" ")-1),",","."))+1,9))*12/52,IF(ISNUMBER(SEARCH("month",C66)),IFERROR(_xlfn.NUMBERVALUE(SUBSTITUTE(LEFT(TRIM(C66),FIND(" ",TRIM(C66)&amp;" ")-1),",","."),"."),LEFT(SUBSTITUTE(LEFT(TRIM(C66),FIND(" ",TRIM(C66)&amp;" ")-1),",","."),FIND("/",SUBSTITUTE(LEFT(TRIM(C66),FIND(" ",TRIM(C66)&amp;" ")-1),",","."))-1)/MID(SUBSTITUTE(LEFT(TRIM(C66),FIND(" ",TRIM(C66)&amp;" ")-1),",","."),FIND("/",SUBSTITUTE(LEFT(TRIM(C66),FIND(" ",TRIM(C66)&amp;" ")-1),",","."))+1,9)),IF(ISNUMBER(SEARCH("yea",C66)),IFERROR(_xlfn.NUMBERVALUE(SUBSTITUTE(LEFT(TRIM(C66),FIND(" ",TRIM(C66)&amp;" ")-1),",","."),"."),LEFT(SUBSTITUTE(LEFT(TRIM(C66),FIND(" ",TRIM(C66)&amp;" ")-1),",","."),FIND("/",SUBSTITUTE(LEFT(TRIM(C66),FIND(" ",TRIM(C66)&amp;" ")-1),",","."))-1)/MID(SUBSTITUTE(LEFT(TRIM(C66),FIND(" ",TRIM(C66)&amp;" ")-1),",","."),FIND("/",SUBSTITUTE(LEFT(TRIM(C66),FIND(" ",TRIM(C66)&amp;" ")-1),",","."))+1,9))*12,NA()))),0),36)*'Aturan &amp; Tarif'!$B$4,2)</f>
        <v>2044.08</v>
      </c>
      <c r="K66" s="32" t="n">
        <f aca="false">'Aturan &amp; Tarif'!$B$5</f>
        <v>2050</v>
      </c>
      <c r="L66" s="32" t="n">
        <f aca="false">'Aturan &amp; Tarif'!$B$6</f>
        <v>350</v>
      </c>
      <c r="M66" s="35" t="n">
        <f aca="false">I66+J66+K66+L66</f>
        <v>27144.08</v>
      </c>
      <c r="N66" s="37" t="s">
        <v>1211</v>
      </c>
    </row>
    <row r="67" customFormat="false" ht="14.25" hidden="false" customHeight="true" outlineLevel="0" collapsed="false">
      <c r="A67" s="29"/>
      <c r="B67" s="30" t="s">
        <v>1231</v>
      </c>
      <c r="C67" s="31" t="s">
        <v>127</v>
      </c>
      <c r="D67" s="31" t="s">
        <v>108</v>
      </c>
      <c r="E67" s="32" t="n">
        <v>11275</v>
      </c>
      <c r="F67" s="32"/>
      <c r="G67" s="32" t="n">
        <v>150</v>
      </c>
      <c r="H67" s="33" t="n">
        <v>2</v>
      </c>
      <c r="I67" s="34" t="n">
        <f aca="false">E67*H67+N(F67)+N(G67)</f>
        <v>22700</v>
      </c>
      <c r="J67" s="32" t="n">
        <f aca="false">ROUND(IFERROR(ROUND(IF(OR(ISNUMBER(SEARCH("week",C67)),ISNUMBER(SEARCH("minggu",C67))),IFERROR(_xlfn.NUMBERVALUE(SUBSTITUTE(LEFT(TRIM(C67),FIND(" ",TRIM(C67)&amp;" ")-1),",","."),"."),LEFT(SUBSTITUTE(LEFT(TRIM(C67),FIND(" ",TRIM(C67)&amp;" ")-1),",","."),FIND("/",SUBSTITUTE(LEFT(TRIM(C67),FIND(" ",TRIM(C67)&amp;" ")-1),",","."))-1)/MID(SUBSTITUTE(LEFT(TRIM(C67),FIND(" ",TRIM(C67)&amp;" ")-1),",","."),FIND("/",SUBSTITUTE(LEFT(TRIM(C67),FIND(" ",TRIM(C67)&amp;" ")-1),",","."))+1,9))*12/52,IF(ISNUMBER(SEARCH("month",C67)),IFERROR(_xlfn.NUMBERVALUE(SUBSTITUTE(LEFT(TRIM(C67),FIND(" ",TRIM(C67)&amp;" ")-1),",","."),"."),LEFT(SUBSTITUTE(LEFT(TRIM(C67),FIND(" ",TRIM(C67)&amp;" ")-1),",","."),FIND("/",SUBSTITUTE(LEFT(TRIM(C67),FIND(" ",TRIM(C67)&amp;" ")-1),",","."))-1)/MID(SUBSTITUTE(LEFT(TRIM(C67),FIND(" ",TRIM(C67)&amp;" ")-1),",","."),FIND("/",SUBSTITUTE(LEFT(TRIM(C67),FIND(" ",TRIM(C67)&amp;" ")-1),",","."))+1,9)),IF(ISNUMBER(SEARCH("yea",C67)),IFERROR(_xlfn.NUMBERVALUE(SUBSTITUTE(LEFT(TRIM(C67),FIND(" ",TRIM(C67)&amp;" ")-1),",","."),"."),LEFT(SUBSTITUTE(LEFT(TRIM(C67),FIND(" ",TRIM(C67)&amp;" ")-1),",","."),FIND("/",SUBSTITUTE(LEFT(TRIM(C67),FIND(" ",TRIM(C67)&amp;" ")-1),",","."))-1)/MID(SUBSTITUTE(LEFT(TRIM(C67),FIND(" ",TRIM(C67)&amp;" ")-1),",","."),FIND("/",SUBSTITUTE(LEFT(TRIM(C67),FIND(" ",TRIM(C67)&amp;" ")-1),",","."))+1,9))*12,NA()))),0),36)*'Aturan &amp; Tarif'!$B$4,2)</f>
        <v>2044.08</v>
      </c>
      <c r="K67" s="32" t="n">
        <f aca="false">'Aturan &amp; Tarif'!$B$5</f>
        <v>2050</v>
      </c>
      <c r="L67" s="32" t="n">
        <f aca="false">'Aturan &amp; Tarif'!$B$6</f>
        <v>350</v>
      </c>
      <c r="M67" s="35" t="n">
        <f aca="false">I67+J67+K67+L67</f>
        <v>27144.08</v>
      </c>
      <c r="N67" s="37" t="s">
        <v>1211</v>
      </c>
    </row>
    <row r="68" customFormat="false" ht="14.25" hidden="false" customHeight="true" outlineLevel="0" collapsed="false">
      <c r="A68" s="29"/>
      <c r="B68" s="30" t="s">
        <v>1232</v>
      </c>
      <c r="C68" s="31" t="s">
        <v>127</v>
      </c>
      <c r="D68" s="31" t="s">
        <v>108</v>
      </c>
      <c r="E68" s="32" t="n">
        <v>11275</v>
      </c>
      <c r="F68" s="32"/>
      <c r="G68" s="32" t="n">
        <v>150</v>
      </c>
      <c r="H68" s="33" t="n">
        <v>2</v>
      </c>
      <c r="I68" s="34" t="n">
        <f aca="false">E68*H68+N(F68)+N(G68)</f>
        <v>22700</v>
      </c>
      <c r="J68" s="32" t="n">
        <f aca="false">ROUND(IFERROR(ROUND(IF(OR(ISNUMBER(SEARCH("week",C68)),ISNUMBER(SEARCH("minggu",C68))),IFERROR(_xlfn.NUMBERVALUE(SUBSTITUTE(LEFT(TRIM(C68),FIND(" ",TRIM(C68)&amp;" ")-1),",","."),"."),LEFT(SUBSTITUTE(LEFT(TRIM(C68),FIND(" ",TRIM(C68)&amp;" ")-1),",","."),FIND("/",SUBSTITUTE(LEFT(TRIM(C68),FIND(" ",TRIM(C68)&amp;" ")-1),",","."))-1)/MID(SUBSTITUTE(LEFT(TRIM(C68),FIND(" ",TRIM(C68)&amp;" ")-1),",","."),FIND("/",SUBSTITUTE(LEFT(TRIM(C68),FIND(" ",TRIM(C68)&amp;" ")-1),",","."))+1,9))*12/52,IF(ISNUMBER(SEARCH("month",C68)),IFERROR(_xlfn.NUMBERVALUE(SUBSTITUTE(LEFT(TRIM(C68),FIND(" ",TRIM(C68)&amp;" ")-1),",","."),"."),LEFT(SUBSTITUTE(LEFT(TRIM(C68),FIND(" ",TRIM(C68)&amp;" ")-1),",","."),FIND("/",SUBSTITUTE(LEFT(TRIM(C68),FIND(" ",TRIM(C68)&amp;" ")-1),",","."))-1)/MID(SUBSTITUTE(LEFT(TRIM(C68),FIND(" ",TRIM(C68)&amp;" ")-1),",","."),FIND("/",SUBSTITUTE(LEFT(TRIM(C68),FIND(" ",TRIM(C68)&amp;" ")-1),",","."))+1,9)),IF(ISNUMBER(SEARCH("yea",C68)),IFERROR(_xlfn.NUMBERVALUE(SUBSTITUTE(LEFT(TRIM(C68),FIND(" ",TRIM(C68)&amp;" ")-1),",","."),"."),LEFT(SUBSTITUTE(LEFT(TRIM(C68),FIND(" ",TRIM(C68)&amp;" ")-1),",","."),FIND("/",SUBSTITUTE(LEFT(TRIM(C68),FIND(" ",TRIM(C68)&amp;" ")-1),",","."))-1)/MID(SUBSTITUTE(LEFT(TRIM(C68),FIND(" ",TRIM(C68)&amp;" ")-1),",","."),FIND("/",SUBSTITUTE(LEFT(TRIM(C68),FIND(" ",TRIM(C68)&amp;" ")-1),",","."))+1,9))*12,NA()))),0),36)*'Aturan &amp; Tarif'!$B$4,2)</f>
        <v>2044.08</v>
      </c>
      <c r="K68" s="32" t="n">
        <f aca="false">'Aturan &amp; Tarif'!$B$5</f>
        <v>2050</v>
      </c>
      <c r="L68" s="32" t="n">
        <f aca="false">'Aturan &amp; Tarif'!$B$6</f>
        <v>350</v>
      </c>
      <c r="M68" s="35" t="n">
        <f aca="false">I68+J68+K68+L68</f>
        <v>27144.08</v>
      </c>
      <c r="N68" s="37" t="s">
        <v>1211</v>
      </c>
    </row>
    <row r="69" customFormat="false" ht="25.5" hidden="false" customHeight="true" outlineLevel="0" collapsed="false">
      <c r="A69" s="29"/>
      <c r="B69" s="30" t="s">
        <v>1233</v>
      </c>
      <c r="C69" s="31" t="s">
        <v>127</v>
      </c>
      <c r="D69" s="31" t="s">
        <v>108</v>
      </c>
      <c r="E69" s="32" t="n">
        <v>11275</v>
      </c>
      <c r="F69" s="32"/>
      <c r="G69" s="32" t="n">
        <v>150</v>
      </c>
      <c r="H69" s="33" t="n">
        <v>2</v>
      </c>
      <c r="I69" s="34" t="n">
        <f aca="false">E69*H69+N(F69)+N(G69)</f>
        <v>22700</v>
      </c>
      <c r="J69" s="32" t="n">
        <f aca="false">ROUND(IFERROR(ROUND(IF(OR(ISNUMBER(SEARCH("week",C69)),ISNUMBER(SEARCH("minggu",C69))),IFERROR(_xlfn.NUMBERVALUE(SUBSTITUTE(LEFT(TRIM(C69),FIND(" ",TRIM(C69)&amp;" ")-1),",","."),"."),LEFT(SUBSTITUTE(LEFT(TRIM(C69),FIND(" ",TRIM(C69)&amp;" ")-1),",","."),FIND("/",SUBSTITUTE(LEFT(TRIM(C69),FIND(" ",TRIM(C69)&amp;" ")-1),",","."))-1)/MID(SUBSTITUTE(LEFT(TRIM(C69),FIND(" ",TRIM(C69)&amp;" ")-1),",","."),FIND("/",SUBSTITUTE(LEFT(TRIM(C69),FIND(" ",TRIM(C69)&amp;" ")-1),",","."))+1,9))*12/52,IF(ISNUMBER(SEARCH("month",C69)),IFERROR(_xlfn.NUMBERVALUE(SUBSTITUTE(LEFT(TRIM(C69),FIND(" ",TRIM(C69)&amp;" ")-1),",","."),"."),LEFT(SUBSTITUTE(LEFT(TRIM(C69),FIND(" ",TRIM(C69)&amp;" ")-1),",","."),FIND("/",SUBSTITUTE(LEFT(TRIM(C69),FIND(" ",TRIM(C69)&amp;" ")-1),",","."))-1)/MID(SUBSTITUTE(LEFT(TRIM(C69),FIND(" ",TRIM(C69)&amp;" ")-1),",","."),FIND("/",SUBSTITUTE(LEFT(TRIM(C69),FIND(" ",TRIM(C69)&amp;" ")-1),",","."))+1,9)),IF(ISNUMBER(SEARCH("yea",C69)),IFERROR(_xlfn.NUMBERVALUE(SUBSTITUTE(LEFT(TRIM(C69),FIND(" ",TRIM(C69)&amp;" ")-1),",","."),"."),LEFT(SUBSTITUTE(LEFT(TRIM(C69),FIND(" ",TRIM(C69)&amp;" ")-1),",","."),FIND("/",SUBSTITUTE(LEFT(TRIM(C69),FIND(" ",TRIM(C69)&amp;" ")-1),",","."))-1)/MID(SUBSTITUTE(LEFT(TRIM(C69),FIND(" ",TRIM(C69)&amp;" ")-1),",","."),FIND("/",SUBSTITUTE(LEFT(TRIM(C69),FIND(" ",TRIM(C69)&amp;" ")-1),",","."))+1,9))*12,NA()))),0),36)*'Aturan &amp; Tarif'!$B$4,2)</f>
        <v>2044.08</v>
      </c>
      <c r="K69" s="32" t="n">
        <f aca="false">'Aturan &amp; Tarif'!$B$5</f>
        <v>2050</v>
      </c>
      <c r="L69" s="32" t="n">
        <f aca="false">'Aturan &amp; Tarif'!$B$6</f>
        <v>350</v>
      </c>
      <c r="M69" s="35" t="n">
        <f aca="false">I69+J69+K69+L69</f>
        <v>27144.08</v>
      </c>
      <c r="N69" s="37" t="s">
        <v>1211</v>
      </c>
    </row>
    <row r="70" customFormat="false" ht="25.5" hidden="false" customHeight="true" outlineLevel="0" collapsed="false">
      <c r="A70" s="29"/>
      <c r="B70" s="30" t="s">
        <v>1234</v>
      </c>
      <c r="C70" s="31" t="s">
        <v>127</v>
      </c>
      <c r="D70" s="31" t="s">
        <v>108</v>
      </c>
      <c r="E70" s="32" t="n">
        <v>11275</v>
      </c>
      <c r="F70" s="32"/>
      <c r="G70" s="32" t="n">
        <v>150</v>
      </c>
      <c r="H70" s="33" t="n">
        <v>2</v>
      </c>
      <c r="I70" s="34" t="n">
        <f aca="false">E70*H70+N(F70)+N(G70)</f>
        <v>22700</v>
      </c>
      <c r="J70" s="32" t="n">
        <f aca="false">ROUND(IFERROR(ROUND(IF(OR(ISNUMBER(SEARCH("week",C70)),ISNUMBER(SEARCH("minggu",C70))),IFERROR(_xlfn.NUMBERVALUE(SUBSTITUTE(LEFT(TRIM(C70),FIND(" ",TRIM(C70)&amp;" ")-1),",","."),"."),LEFT(SUBSTITUTE(LEFT(TRIM(C70),FIND(" ",TRIM(C70)&amp;" ")-1),",","."),FIND("/",SUBSTITUTE(LEFT(TRIM(C70),FIND(" ",TRIM(C70)&amp;" ")-1),",","."))-1)/MID(SUBSTITUTE(LEFT(TRIM(C70),FIND(" ",TRIM(C70)&amp;" ")-1),",","."),FIND("/",SUBSTITUTE(LEFT(TRIM(C70),FIND(" ",TRIM(C70)&amp;" ")-1),",","."))+1,9))*12/52,IF(ISNUMBER(SEARCH("month",C70)),IFERROR(_xlfn.NUMBERVALUE(SUBSTITUTE(LEFT(TRIM(C70),FIND(" ",TRIM(C70)&amp;" ")-1),",","."),"."),LEFT(SUBSTITUTE(LEFT(TRIM(C70),FIND(" ",TRIM(C70)&amp;" ")-1),",","."),FIND("/",SUBSTITUTE(LEFT(TRIM(C70),FIND(" ",TRIM(C70)&amp;" ")-1),",","."))-1)/MID(SUBSTITUTE(LEFT(TRIM(C70),FIND(" ",TRIM(C70)&amp;" ")-1),",","."),FIND("/",SUBSTITUTE(LEFT(TRIM(C70),FIND(" ",TRIM(C70)&amp;" ")-1),",","."))+1,9)),IF(ISNUMBER(SEARCH("yea",C70)),IFERROR(_xlfn.NUMBERVALUE(SUBSTITUTE(LEFT(TRIM(C70),FIND(" ",TRIM(C70)&amp;" ")-1),",","."),"."),LEFT(SUBSTITUTE(LEFT(TRIM(C70),FIND(" ",TRIM(C70)&amp;" ")-1),",","."),FIND("/",SUBSTITUTE(LEFT(TRIM(C70),FIND(" ",TRIM(C70)&amp;" ")-1),",","."))-1)/MID(SUBSTITUTE(LEFT(TRIM(C70),FIND(" ",TRIM(C70)&amp;" ")-1),",","."),FIND("/",SUBSTITUTE(LEFT(TRIM(C70),FIND(" ",TRIM(C70)&amp;" ")-1),",","."))+1,9))*12,NA()))),0),36)*'Aturan &amp; Tarif'!$B$4,2)</f>
        <v>2044.08</v>
      </c>
      <c r="K70" s="32" t="n">
        <f aca="false">'Aturan &amp; Tarif'!$B$5</f>
        <v>2050</v>
      </c>
      <c r="L70" s="32" t="n">
        <f aca="false">'Aturan &amp; Tarif'!$B$6</f>
        <v>350</v>
      </c>
      <c r="M70" s="35" t="n">
        <f aca="false">I70+J70+K70+L70</f>
        <v>27144.08</v>
      </c>
      <c r="N70" s="37" t="s">
        <v>1211</v>
      </c>
    </row>
    <row r="71" customFormat="false" ht="25.5" hidden="false" customHeight="true" outlineLevel="0" collapsed="false">
      <c r="A71" s="29"/>
      <c r="B71" s="30" t="s">
        <v>1235</v>
      </c>
      <c r="C71" s="31" t="s">
        <v>127</v>
      </c>
      <c r="D71" s="31" t="s">
        <v>108</v>
      </c>
      <c r="E71" s="32" t="n">
        <v>11275</v>
      </c>
      <c r="F71" s="32"/>
      <c r="G71" s="32" t="n">
        <v>150</v>
      </c>
      <c r="H71" s="33" t="n">
        <v>2</v>
      </c>
      <c r="I71" s="34" t="n">
        <f aca="false">E71*H71+N(F71)+N(G71)</f>
        <v>22700</v>
      </c>
      <c r="J71" s="32" t="n">
        <f aca="false">ROUND(IFERROR(ROUND(IF(OR(ISNUMBER(SEARCH("week",C71)),ISNUMBER(SEARCH("minggu",C71))),IFERROR(_xlfn.NUMBERVALUE(SUBSTITUTE(LEFT(TRIM(C71),FIND(" ",TRIM(C71)&amp;" ")-1),",","."),"."),LEFT(SUBSTITUTE(LEFT(TRIM(C71),FIND(" ",TRIM(C71)&amp;" ")-1),",","."),FIND("/",SUBSTITUTE(LEFT(TRIM(C71),FIND(" ",TRIM(C71)&amp;" ")-1),",","."))-1)/MID(SUBSTITUTE(LEFT(TRIM(C71),FIND(" ",TRIM(C71)&amp;" ")-1),",","."),FIND("/",SUBSTITUTE(LEFT(TRIM(C71),FIND(" ",TRIM(C71)&amp;" ")-1),",","."))+1,9))*12/52,IF(ISNUMBER(SEARCH("month",C71)),IFERROR(_xlfn.NUMBERVALUE(SUBSTITUTE(LEFT(TRIM(C71),FIND(" ",TRIM(C71)&amp;" ")-1),",","."),"."),LEFT(SUBSTITUTE(LEFT(TRIM(C71),FIND(" ",TRIM(C71)&amp;" ")-1),",","."),FIND("/",SUBSTITUTE(LEFT(TRIM(C71),FIND(" ",TRIM(C71)&amp;" ")-1),",","."))-1)/MID(SUBSTITUTE(LEFT(TRIM(C71),FIND(" ",TRIM(C71)&amp;" ")-1),",","."),FIND("/",SUBSTITUTE(LEFT(TRIM(C71),FIND(" ",TRIM(C71)&amp;" ")-1),",","."))+1,9)),IF(ISNUMBER(SEARCH("yea",C71)),IFERROR(_xlfn.NUMBERVALUE(SUBSTITUTE(LEFT(TRIM(C71),FIND(" ",TRIM(C71)&amp;" ")-1),",","."),"."),LEFT(SUBSTITUTE(LEFT(TRIM(C71),FIND(" ",TRIM(C71)&amp;" ")-1),",","."),FIND("/",SUBSTITUTE(LEFT(TRIM(C71),FIND(" ",TRIM(C71)&amp;" ")-1),",","."))-1)/MID(SUBSTITUTE(LEFT(TRIM(C71),FIND(" ",TRIM(C71)&amp;" ")-1),",","."),FIND("/",SUBSTITUTE(LEFT(TRIM(C71),FIND(" ",TRIM(C71)&amp;" ")-1),",","."))+1,9))*12,NA()))),0),36)*'Aturan &amp; Tarif'!$B$4,2)</f>
        <v>2044.08</v>
      </c>
      <c r="K71" s="32" t="n">
        <f aca="false">'Aturan &amp; Tarif'!$B$5</f>
        <v>2050</v>
      </c>
      <c r="L71" s="32" t="n">
        <f aca="false">'Aturan &amp; Tarif'!$B$6</f>
        <v>350</v>
      </c>
      <c r="M71" s="35" t="n">
        <f aca="false">I71+J71+K71+L71</f>
        <v>27144.08</v>
      </c>
      <c r="N71" s="37" t="s">
        <v>1211</v>
      </c>
    </row>
    <row r="72" customFormat="false" ht="14.25" hidden="false" customHeight="true" outlineLevel="0" collapsed="false">
      <c r="A72" s="29"/>
      <c r="B72" s="30" t="s">
        <v>1236</v>
      </c>
      <c r="C72" s="31" t="s">
        <v>127</v>
      </c>
      <c r="D72" s="31" t="s">
        <v>108</v>
      </c>
      <c r="E72" s="32" t="n">
        <v>11275</v>
      </c>
      <c r="F72" s="32"/>
      <c r="G72" s="32" t="n">
        <v>150</v>
      </c>
      <c r="H72" s="33" t="n">
        <v>2</v>
      </c>
      <c r="I72" s="34" t="n">
        <f aca="false">E72*H72+N(F72)+N(G72)</f>
        <v>22700</v>
      </c>
      <c r="J72" s="32" t="n">
        <f aca="false">ROUND(IFERROR(ROUND(IF(OR(ISNUMBER(SEARCH("week",C72)),ISNUMBER(SEARCH("minggu",C72))),IFERROR(_xlfn.NUMBERVALUE(SUBSTITUTE(LEFT(TRIM(C72),FIND(" ",TRIM(C72)&amp;" ")-1),",","."),"."),LEFT(SUBSTITUTE(LEFT(TRIM(C72),FIND(" ",TRIM(C72)&amp;" ")-1),",","."),FIND("/",SUBSTITUTE(LEFT(TRIM(C72),FIND(" ",TRIM(C72)&amp;" ")-1),",","."))-1)/MID(SUBSTITUTE(LEFT(TRIM(C72),FIND(" ",TRIM(C72)&amp;" ")-1),",","."),FIND("/",SUBSTITUTE(LEFT(TRIM(C72),FIND(" ",TRIM(C72)&amp;" ")-1),",","."))+1,9))*12/52,IF(ISNUMBER(SEARCH("month",C72)),IFERROR(_xlfn.NUMBERVALUE(SUBSTITUTE(LEFT(TRIM(C72),FIND(" ",TRIM(C72)&amp;" ")-1),",","."),"."),LEFT(SUBSTITUTE(LEFT(TRIM(C72),FIND(" ",TRIM(C72)&amp;" ")-1),",","."),FIND("/",SUBSTITUTE(LEFT(TRIM(C72),FIND(" ",TRIM(C72)&amp;" ")-1),",","."))-1)/MID(SUBSTITUTE(LEFT(TRIM(C72),FIND(" ",TRIM(C72)&amp;" ")-1),",","."),FIND("/",SUBSTITUTE(LEFT(TRIM(C72),FIND(" ",TRIM(C72)&amp;" ")-1),",","."))+1,9)),IF(ISNUMBER(SEARCH("yea",C72)),IFERROR(_xlfn.NUMBERVALUE(SUBSTITUTE(LEFT(TRIM(C72),FIND(" ",TRIM(C72)&amp;" ")-1),",","."),"."),LEFT(SUBSTITUTE(LEFT(TRIM(C72),FIND(" ",TRIM(C72)&amp;" ")-1),",","."),FIND("/",SUBSTITUTE(LEFT(TRIM(C72),FIND(" ",TRIM(C72)&amp;" ")-1),",","."))-1)/MID(SUBSTITUTE(LEFT(TRIM(C72),FIND(" ",TRIM(C72)&amp;" ")-1),",","."),FIND("/",SUBSTITUTE(LEFT(TRIM(C72),FIND(" ",TRIM(C72)&amp;" ")-1),",","."))+1,9))*12,NA()))),0),36)*'Aturan &amp; Tarif'!$B$4,2)</f>
        <v>2044.08</v>
      </c>
      <c r="K72" s="32" t="n">
        <f aca="false">'Aturan &amp; Tarif'!$B$5</f>
        <v>2050</v>
      </c>
      <c r="L72" s="32" t="n">
        <f aca="false">'Aturan &amp; Tarif'!$B$6</f>
        <v>350</v>
      </c>
      <c r="M72" s="35" t="n">
        <f aca="false">I72+J72+K72+L72</f>
        <v>27144.08</v>
      </c>
      <c r="N72" s="37" t="s">
        <v>1211</v>
      </c>
    </row>
    <row r="73" customFormat="false" ht="25.5" hidden="false" customHeight="true" outlineLevel="0" collapsed="false">
      <c r="A73" s="29"/>
      <c r="B73" s="30" t="s">
        <v>1237</v>
      </c>
      <c r="C73" s="31" t="s">
        <v>127</v>
      </c>
      <c r="D73" s="31" t="s">
        <v>108</v>
      </c>
      <c r="E73" s="32" t="n">
        <v>11275</v>
      </c>
      <c r="F73" s="32"/>
      <c r="G73" s="32" t="n">
        <v>150</v>
      </c>
      <c r="H73" s="33" t="n">
        <v>2</v>
      </c>
      <c r="I73" s="34" t="n">
        <f aca="false">E73*H73+N(F73)+N(G73)</f>
        <v>22700</v>
      </c>
      <c r="J73" s="32" t="n">
        <f aca="false">ROUND(IFERROR(ROUND(IF(OR(ISNUMBER(SEARCH("week",C73)),ISNUMBER(SEARCH("minggu",C73))),IFERROR(_xlfn.NUMBERVALUE(SUBSTITUTE(LEFT(TRIM(C73),FIND(" ",TRIM(C73)&amp;" ")-1),",","."),"."),LEFT(SUBSTITUTE(LEFT(TRIM(C73),FIND(" ",TRIM(C73)&amp;" ")-1),",","."),FIND("/",SUBSTITUTE(LEFT(TRIM(C73),FIND(" ",TRIM(C73)&amp;" ")-1),",","."))-1)/MID(SUBSTITUTE(LEFT(TRIM(C73),FIND(" ",TRIM(C73)&amp;" ")-1),",","."),FIND("/",SUBSTITUTE(LEFT(TRIM(C73),FIND(" ",TRIM(C73)&amp;" ")-1),",","."))+1,9))*12/52,IF(ISNUMBER(SEARCH("month",C73)),IFERROR(_xlfn.NUMBERVALUE(SUBSTITUTE(LEFT(TRIM(C73),FIND(" ",TRIM(C73)&amp;" ")-1),",","."),"."),LEFT(SUBSTITUTE(LEFT(TRIM(C73),FIND(" ",TRIM(C73)&amp;" ")-1),",","."),FIND("/",SUBSTITUTE(LEFT(TRIM(C73),FIND(" ",TRIM(C73)&amp;" ")-1),",","."))-1)/MID(SUBSTITUTE(LEFT(TRIM(C73),FIND(" ",TRIM(C73)&amp;" ")-1),",","."),FIND("/",SUBSTITUTE(LEFT(TRIM(C73),FIND(" ",TRIM(C73)&amp;" ")-1),",","."))+1,9)),IF(ISNUMBER(SEARCH("yea",C73)),IFERROR(_xlfn.NUMBERVALUE(SUBSTITUTE(LEFT(TRIM(C73),FIND(" ",TRIM(C73)&amp;" ")-1),",","."),"."),LEFT(SUBSTITUTE(LEFT(TRIM(C73),FIND(" ",TRIM(C73)&amp;" ")-1),",","."),FIND("/",SUBSTITUTE(LEFT(TRIM(C73),FIND(" ",TRIM(C73)&amp;" ")-1),",","."))-1)/MID(SUBSTITUTE(LEFT(TRIM(C73),FIND(" ",TRIM(C73)&amp;" ")-1),",","."),FIND("/",SUBSTITUTE(LEFT(TRIM(C73),FIND(" ",TRIM(C73)&amp;" ")-1),",","."))+1,9))*12,NA()))),0),36)*'Aturan &amp; Tarif'!$B$4,2)</f>
        <v>2044.08</v>
      </c>
      <c r="K73" s="32" t="n">
        <f aca="false">'Aturan &amp; Tarif'!$B$5</f>
        <v>2050</v>
      </c>
      <c r="L73" s="32" t="n">
        <f aca="false">'Aturan &amp; Tarif'!$B$6</f>
        <v>350</v>
      </c>
      <c r="M73" s="35" t="n">
        <f aca="false">I73+J73+K73+L73</f>
        <v>27144.08</v>
      </c>
      <c r="N73" s="37" t="s">
        <v>1211</v>
      </c>
    </row>
    <row r="74" customFormat="false" ht="14.25" hidden="false" customHeight="true" outlineLevel="0" collapsed="false">
      <c r="A74" s="29"/>
      <c r="B74" s="30" t="s">
        <v>1238</v>
      </c>
      <c r="C74" s="31" t="s">
        <v>127</v>
      </c>
      <c r="D74" s="31" t="s">
        <v>108</v>
      </c>
      <c r="E74" s="32" t="n">
        <v>11275</v>
      </c>
      <c r="F74" s="32"/>
      <c r="G74" s="32" t="n">
        <v>150</v>
      </c>
      <c r="H74" s="33" t="n">
        <v>2</v>
      </c>
      <c r="I74" s="34" t="n">
        <f aca="false">E74*H74+N(F74)+N(G74)</f>
        <v>22700</v>
      </c>
      <c r="J74" s="32" t="n">
        <f aca="false">ROUND(IFERROR(ROUND(IF(OR(ISNUMBER(SEARCH("week",C74)),ISNUMBER(SEARCH("minggu",C74))),IFERROR(_xlfn.NUMBERVALUE(SUBSTITUTE(LEFT(TRIM(C74),FIND(" ",TRIM(C74)&amp;" ")-1),",","."),"."),LEFT(SUBSTITUTE(LEFT(TRIM(C74),FIND(" ",TRIM(C74)&amp;" ")-1),",","."),FIND("/",SUBSTITUTE(LEFT(TRIM(C74),FIND(" ",TRIM(C74)&amp;" ")-1),",","."))-1)/MID(SUBSTITUTE(LEFT(TRIM(C74),FIND(" ",TRIM(C74)&amp;" ")-1),",","."),FIND("/",SUBSTITUTE(LEFT(TRIM(C74),FIND(" ",TRIM(C74)&amp;" ")-1),",","."))+1,9))*12/52,IF(ISNUMBER(SEARCH("month",C74)),IFERROR(_xlfn.NUMBERVALUE(SUBSTITUTE(LEFT(TRIM(C74),FIND(" ",TRIM(C74)&amp;" ")-1),",","."),"."),LEFT(SUBSTITUTE(LEFT(TRIM(C74),FIND(" ",TRIM(C74)&amp;" ")-1),",","."),FIND("/",SUBSTITUTE(LEFT(TRIM(C74),FIND(" ",TRIM(C74)&amp;" ")-1),",","."))-1)/MID(SUBSTITUTE(LEFT(TRIM(C74),FIND(" ",TRIM(C74)&amp;" ")-1),",","."),FIND("/",SUBSTITUTE(LEFT(TRIM(C74),FIND(" ",TRIM(C74)&amp;" ")-1),",","."))+1,9)),IF(ISNUMBER(SEARCH("yea",C74)),IFERROR(_xlfn.NUMBERVALUE(SUBSTITUTE(LEFT(TRIM(C74),FIND(" ",TRIM(C74)&amp;" ")-1),",","."),"."),LEFT(SUBSTITUTE(LEFT(TRIM(C74),FIND(" ",TRIM(C74)&amp;" ")-1),",","."),FIND("/",SUBSTITUTE(LEFT(TRIM(C74),FIND(" ",TRIM(C74)&amp;" ")-1),",","."))-1)/MID(SUBSTITUTE(LEFT(TRIM(C74),FIND(" ",TRIM(C74)&amp;" ")-1),",","."),FIND("/",SUBSTITUTE(LEFT(TRIM(C74),FIND(" ",TRIM(C74)&amp;" ")-1),",","."))+1,9))*12,NA()))),0),36)*'Aturan &amp; Tarif'!$B$4,2)</f>
        <v>2044.08</v>
      </c>
      <c r="K74" s="32" t="n">
        <f aca="false">'Aturan &amp; Tarif'!$B$5</f>
        <v>2050</v>
      </c>
      <c r="L74" s="32" t="n">
        <f aca="false">'Aturan &amp; Tarif'!$B$6</f>
        <v>350</v>
      </c>
      <c r="M74" s="35" t="n">
        <f aca="false">I74+J74+K74+L74</f>
        <v>27144.08</v>
      </c>
      <c r="N74" s="37" t="s">
        <v>1239</v>
      </c>
    </row>
    <row r="75" customFormat="false" ht="25.5" hidden="false" customHeight="true" outlineLevel="0" collapsed="false">
      <c r="A75" s="29"/>
      <c r="B75" s="30" t="s">
        <v>1240</v>
      </c>
      <c r="C75" s="31" t="s">
        <v>127</v>
      </c>
      <c r="D75" s="31" t="s">
        <v>108</v>
      </c>
      <c r="E75" s="32" t="n">
        <v>11275</v>
      </c>
      <c r="F75" s="32"/>
      <c r="G75" s="32" t="n">
        <v>150</v>
      </c>
      <c r="H75" s="33" t="n">
        <v>2</v>
      </c>
      <c r="I75" s="34" t="n">
        <f aca="false">E75*H75+N(F75)+N(G75)</f>
        <v>22700</v>
      </c>
      <c r="J75" s="32" t="n">
        <f aca="false">ROUND(IFERROR(ROUND(IF(OR(ISNUMBER(SEARCH("week",C75)),ISNUMBER(SEARCH("minggu",C75))),IFERROR(_xlfn.NUMBERVALUE(SUBSTITUTE(LEFT(TRIM(C75),FIND(" ",TRIM(C75)&amp;" ")-1),",","."),"."),LEFT(SUBSTITUTE(LEFT(TRIM(C75),FIND(" ",TRIM(C75)&amp;" ")-1),",","."),FIND("/",SUBSTITUTE(LEFT(TRIM(C75),FIND(" ",TRIM(C75)&amp;" ")-1),",","."))-1)/MID(SUBSTITUTE(LEFT(TRIM(C75),FIND(" ",TRIM(C75)&amp;" ")-1),",","."),FIND("/",SUBSTITUTE(LEFT(TRIM(C75),FIND(" ",TRIM(C75)&amp;" ")-1),",","."))+1,9))*12/52,IF(ISNUMBER(SEARCH("month",C75)),IFERROR(_xlfn.NUMBERVALUE(SUBSTITUTE(LEFT(TRIM(C75),FIND(" ",TRIM(C75)&amp;" ")-1),",","."),"."),LEFT(SUBSTITUTE(LEFT(TRIM(C75),FIND(" ",TRIM(C75)&amp;" ")-1),",","."),FIND("/",SUBSTITUTE(LEFT(TRIM(C75),FIND(" ",TRIM(C75)&amp;" ")-1),",","."))-1)/MID(SUBSTITUTE(LEFT(TRIM(C75),FIND(" ",TRIM(C75)&amp;" ")-1),",","."),FIND("/",SUBSTITUTE(LEFT(TRIM(C75),FIND(" ",TRIM(C75)&amp;" ")-1),",","."))+1,9)),IF(ISNUMBER(SEARCH("yea",C75)),IFERROR(_xlfn.NUMBERVALUE(SUBSTITUTE(LEFT(TRIM(C75),FIND(" ",TRIM(C75)&amp;" ")-1),",","."),"."),LEFT(SUBSTITUTE(LEFT(TRIM(C75),FIND(" ",TRIM(C75)&amp;" ")-1),",","."),FIND("/",SUBSTITUTE(LEFT(TRIM(C75),FIND(" ",TRIM(C75)&amp;" ")-1),",","."))-1)/MID(SUBSTITUTE(LEFT(TRIM(C75),FIND(" ",TRIM(C75)&amp;" ")-1),",","."),FIND("/",SUBSTITUTE(LEFT(TRIM(C75),FIND(" ",TRIM(C75)&amp;" ")-1),",","."))+1,9))*12,NA()))),0),36)*'Aturan &amp; Tarif'!$B$4,2)</f>
        <v>2044.08</v>
      </c>
      <c r="K75" s="32" t="n">
        <f aca="false">'Aturan &amp; Tarif'!$B$5</f>
        <v>2050</v>
      </c>
      <c r="L75" s="32" t="n">
        <f aca="false">'Aturan &amp; Tarif'!$B$6</f>
        <v>350</v>
      </c>
      <c r="M75" s="35" t="n">
        <f aca="false">I75+J75+K75+L75</f>
        <v>27144.08</v>
      </c>
      <c r="N75" s="37" t="s">
        <v>1239</v>
      </c>
    </row>
    <row r="76" customFormat="false" ht="25.5" hidden="false" customHeight="true" outlineLevel="0" collapsed="false">
      <c r="A76" s="29"/>
      <c r="B76" s="30" t="s">
        <v>1241</v>
      </c>
      <c r="C76" s="31" t="s">
        <v>127</v>
      </c>
      <c r="D76" s="31" t="s">
        <v>108</v>
      </c>
      <c r="E76" s="32" t="n">
        <v>11275</v>
      </c>
      <c r="F76" s="32"/>
      <c r="G76" s="32" t="n">
        <v>150</v>
      </c>
      <c r="H76" s="33" t="n">
        <v>2</v>
      </c>
      <c r="I76" s="34" t="n">
        <f aca="false">E76*H76+N(F76)+N(G76)</f>
        <v>22700</v>
      </c>
      <c r="J76" s="32" t="n">
        <f aca="false">ROUND(IFERROR(ROUND(IF(OR(ISNUMBER(SEARCH("week",C76)),ISNUMBER(SEARCH("minggu",C76))),IFERROR(_xlfn.NUMBERVALUE(SUBSTITUTE(LEFT(TRIM(C76),FIND(" ",TRIM(C76)&amp;" ")-1),",","."),"."),LEFT(SUBSTITUTE(LEFT(TRIM(C76),FIND(" ",TRIM(C76)&amp;" ")-1),",","."),FIND("/",SUBSTITUTE(LEFT(TRIM(C76),FIND(" ",TRIM(C76)&amp;" ")-1),",","."))-1)/MID(SUBSTITUTE(LEFT(TRIM(C76),FIND(" ",TRIM(C76)&amp;" ")-1),",","."),FIND("/",SUBSTITUTE(LEFT(TRIM(C76),FIND(" ",TRIM(C76)&amp;" ")-1),",","."))+1,9))*12/52,IF(ISNUMBER(SEARCH("month",C76)),IFERROR(_xlfn.NUMBERVALUE(SUBSTITUTE(LEFT(TRIM(C76),FIND(" ",TRIM(C76)&amp;" ")-1),",","."),"."),LEFT(SUBSTITUTE(LEFT(TRIM(C76),FIND(" ",TRIM(C76)&amp;" ")-1),",","."),FIND("/",SUBSTITUTE(LEFT(TRIM(C76),FIND(" ",TRIM(C76)&amp;" ")-1),",","."))-1)/MID(SUBSTITUTE(LEFT(TRIM(C76),FIND(" ",TRIM(C76)&amp;" ")-1),",","."),FIND("/",SUBSTITUTE(LEFT(TRIM(C76),FIND(" ",TRIM(C76)&amp;" ")-1),",","."))+1,9)),IF(ISNUMBER(SEARCH("yea",C76)),IFERROR(_xlfn.NUMBERVALUE(SUBSTITUTE(LEFT(TRIM(C76),FIND(" ",TRIM(C76)&amp;" ")-1),",","."),"."),LEFT(SUBSTITUTE(LEFT(TRIM(C76),FIND(" ",TRIM(C76)&amp;" ")-1),",","."),FIND("/",SUBSTITUTE(LEFT(TRIM(C76),FIND(" ",TRIM(C76)&amp;" ")-1),",","."))-1)/MID(SUBSTITUTE(LEFT(TRIM(C76),FIND(" ",TRIM(C76)&amp;" ")-1),",","."),FIND("/",SUBSTITUTE(LEFT(TRIM(C76),FIND(" ",TRIM(C76)&amp;" ")-1),",","."))+1,9))*12,NA()))),0),36)*'Aturan &amp; Tarif'!$B$4,2)</f>
        <v>2044.08</v>
      </c>
      <c r="K76" s="32" t="n">
        <f aca="false">'Aturan &amp; Tarif'!$B$5</f>
        <v>2050</v>
      </c>
      <c r="L76" s="32" t="n">
        <f aca="false">'Aturan &amp; Tarif'!$B$6</f>
        <v>350</v>
      </c>
      <c r="M76" s="35" t="n">
        <f aca="false">I76+J76+K76+L76</f>
        <v>27144.08</v>
      </c>
      <c r="N76" s="37" t="s">
        <v>1239</v>
      </c>
    </row>
    <row r="77" customFormat="false" ht="25.5" hidden="false" customHeight="true" outlineLevel="0" collapsed="false">
      <c r="A77" s="29"/>
      <c r="B77" s="30" t="s">
        <v>1242</v>
      </c>
      <c r="C77" s="31" t="s">
        <v>127</v>
      </c>
      <c r="D77" s="31" t="s">
        <v>108</v>
      </c>
      <c r="E77" s="32" t="n">
        <v>11275</v>
      </c>
      <c r="F77" s="32"/>
      <c r="G77" s="32" t="n">
        <v>150</v>
      </c>
      <c r="H77" s="33" t="n">
        <v>2</v>
      </c>
      <c r="I77" s="34" t="n">
        <f aca="false">E77*H77+N(F77)+N(G77)</f>
        <v>22700</v>
      </c>
      <c r="J77" s="32" t="n">
        <f aca="false">ROUND(IFERROR(ROUND(IF(OR(ISNUMBER(SEARCH("week",C77)),ISNUMBER(SEARCH("minggu",C77))),IFERROR(_xlfn.NUMBERVALUE(SUBSTITUTE(LEFT(TRIM(C77),FIND(" ",TRIM(C77)&amp;" ")-1),",","."),"."),LEFT(SUBSTITUTE(LEFT(TRIM(C77),FIND(" ",TRIM(C77)&amp;" ")-1),",","."),FIND("/",SUBSTITUTE(LEFT(TRIM(C77),FIND(" ",TRIM(C77)&amp;" ")-1),",","."))-1)/MID(SUBSTITUTE(LEFT(TRIM(C77),FIND(" ",TRIM(C77)&amp;" ")-1),",","."),FIND("/",SUBSTITUTE(LEFT(TRIM(C77),FIND(" ",TRIM(C77)&amp;" ")-1),",","."))+1,9))*12/52,IF(ISNUMBER(SEARCH("month",C77)),IFERROR(_xlfn.NUMBERVALUE(SUBSTITUTE(LEFT(TRIM(C77),FIND(" ",TRIM(C77)&amp;" ")-1),",","."),"."),LEFT(SUBSTITUTE(LEFT(TRIM(C77),FIND(" ",TRIM(C77)&amp;" ")-1),",","."),FIND("/",SUBSTITUTE(LEFT(TRIM(C77),FIND(" ",TRIM(C77)&amp;" ")-1),",","."))-1)/MID(SUBSTITUTE(LEFT(TRIM(C77),FIND(" ",TRIM(C77)&amp;" ")-1),",","."),FIND("/",SUBSTITUTE(LEFT(TRIM(C77),FIND(" ",TRIM(C77)&amp;" ")-1),",","."))+1,9)),IF(ISNUMBER(SEARCH("yea",C77)),IFERROR(_xlfn.NUMBERVALUE(SUBSTITUTE(LEFT(TRIM(C77),FIND(" ",TRIM(C77)&amp;" ")-1),",","."),"."),LEFT(SUBSTITUTE(LEFT(TRIM(C77),FIND(" ",TRIM(C77)&amp;" ")-1),",","."),FIND("/",SUBSTITUTE(LEFT(TRIM(C77),FIND(" ",TRIM(C77)&amp;" ")-1),",","."))-1)/MID(SUBSTITUTE(LEFT(TRIM(C77),FIND(" ",TRIM(C77)&amp;" ")-1),",","."),FIND("/",SUBSTITUTE(LEFT(TRIM(C77),FIND(" ",TRIM(C77)&amp;" ")-1),",","."))+1,9))*12,NA()))),0),36)*'Aturan &amp; Tarif'!$B$4,2)</f>
        <v>2044.08</v>
      </c>
      <c r="K77" s="32" t="n">
        <f aca="false">'Aturan &amp; Tarif'!$B$5</f>
        <v>2050</v>
      </c>
      <c r="L77" s="32" t="n">
        <f aca="false">'Aturan &amp; Tarif'!$B$6</f>
        <v>350</v>
      </c>
      <c r="M77" s="35" t="n">
        <f aca="false">I77+J77+K77+L77</f>
        <v>27144.08</v>
      </c>
      <c r="N77" s="37" t="s">
        <v>1239</v>
      </c>
    </row>
    <row r="78" customFormat="false" ht="25.5" hidden="false" customHeight="true" outlineLevel="0" collapsed="false">
      <c r="A78" s="29"/>
      <c r="B78" s="30" t="s">
        <v>1243</v>
      </c>
      <c r="C78" s="31" t="s">
        <v>127</v>
      </c>
      <c r="D78" s="31" t="s">
        <v>108</v>
      </c>
      <c r="E78" s="32" t="n">
        <v>11275</v>
      </c>
      <c r="F78" s="32"/>
      <c r="G78" s="32" t="n">
        <v>150</v>
      </c>
      <c r="H78" s="33" t="n">
        <v>2</v>
      </c>
      <c r="I78" s="34" t="n">
        <f aca="false">E78*H78+N(F78)+N(G78)</f>
        <v>22700</v>
      </c>
      <c r="J78" s="32" t="n">
        <f aca="false">ROUND(IFERROR(ROUND(IF(OR(ISNUMBER(SEARCH("week",C78)),ISNUMBER(SEARCH("minggu",C78))),IFERROR(_xlfn.NUMBERVALUE(SUBSTITUTE(LEFT(TRIM(C78),FIND(" ",TRIM(C78)&amp;" ")-1),",","."),"."),LEFT(SUBSTITUTE(LEFT(TRIM(C78),FIND(" ",TRIM(C78)&amp;" ")-1),",","."),FIND("/",SUBSTITUTE(LEFT(TRIM(C78),FIND(" ",TRIM(C78)&amp;" ")-1),",","."))-1)/MID(SUBSTITUTE(LEFT(TRIM(C78),FIND(" ",TRIM(C78)&amp;" ")-1),",","."),FIND("/",SUBSTITUTE(LEFT(TRIM(C78),FIND(" ",TRIM(C78)&amp;" ")-1),",","."))+1,9))*12/52,IF(ISNUMBER(SEARCH("month",C78)),IFERROR(_xlfn.NUMBERVALUE(SUBSTITUTE(LEFT(TRIM(C78),FIND(" ",TRIM(C78)&amp;" ")-1),",","."),"."),LEFT(SUBSTITUTE(LEFT(TRIM(C78),FIND(" ",TRIM(C78)&amp;" ")-1),",","."),FIND("/",SUBSTITUTE(LEFT(TRIM(C78),FIND(" ",TRIM(C78)&amp;" ")-1),",","."))-1)/MID(SUBSTITUTE(LEFT(TRIM(C78),FIND(" ",TRIM(C78)&amp;" ")-1),",","."),FIND("/",SUBSTITUTE(LEFT(TRIM(C78),FIND(" ",TRIM(C78)&amp;" ")-1),",","."))+1,9)),IF(ISNUMBER(SEARCH("yea",C78)),IFERROR(_xlfn.NUMBERVALUE(SUBSTITUTE(LEFT(TRIM(C78),FIND(" ",TRIM(C78)&amp;" ")-1),",","."),"."),LEFT(SUBSTITUTE(LEFT(TRIM(C78),FIND(" ",TRIM(C78)&amp;" ")-1),",","."),FIND("/",SUBSTITUTE(LEFT(TRIM(C78),FIND(" ",TRIM(C78)&amp;" ")-1),",","."))-1)/MID(SUBSTITUTE(LEFT(TRIM(C78),FIND(" ",TRIM(C78)&amp;" ")-1),",","."),FIND("/",SUBSTITUTE(LEFT(TRIM(C78),FIND(" ",TRIM(C78)&amp;" ")-1),",","."))+1,9))*12,NA()))),0),36)*'Aturan &amp; Tarif'!$B$4,2)</f>
        <v>2044.08</v>
      </c>
      <c r="K78" s="32" t="n">
        <f aca="false">'Aturan &amp; Tarif'!$B$5</f>
        <v>2050</v>
      </c>
      <c r="L78" s="32" t="n">
        <f aca="false">'Aturan &amp; Tarif'!$B$6</f>
        <v>350</v>
      </c>
      <c r="M78" s="35" t="n">
        <f aca="false">I78+J78+K78+L78</f>
        <v>27144.08</v>
      </c>
      <c r="N78" s="37" t="s">
        <v>1239</v>
      </c>
    </row>
    <row r="79" customFormat="false" ht="25.5" hidden="false" customHeight="true" outlineLevel="0" collapsed="false">
      <c r="A79" s="29"/>
      <c r="B79" s="30" t="s">
        <v>1244</v>
      </c>
      <c r="C79" s="31" t="s">
        <v>127</v>
      </c>
      <c r="D79" s="31" t="s">
        <v>108</v>
      </c>
      <c r="E79" s="32" t="n">
        <v>11275</v>
      </c>
      <c r="F79" s="32"/>
      <c r="G79" s="32" t="n">
        <v>150</v>
      </c>
      <c r="H79" s="33" t="n">
        <v>2</v>
      </c>
      <c r="I79" s="34" t="n">
        <f aca="false">E79*H79+N(F79)+N(G79)</f>
        <v>22700</v>
      </c>
      <c r="J79" s="32" t="n">
        <f aca="false">ROUND(IFERROR(ROUND(IF(OR(ISNUMBER(SEARCH("week",C79)),ISNUMBER(SEARCH("minggu",C79))),IFERROR(_xlfn.NUMBERVALUE(SUBSTITUTE(LEFT(TRIM(C79),FIND(" ",TRIM(C79)&amp;" ")-1),",","."),"."),LEFT(SUBSTITUTE(LEFT(TRIM(C79),FIND(" ",TRIM(C79)&amp;" ")-1),",","."),FIND("/",SUBSTITUTE(LEFT(TRIM(C79),FIND(" ",TRIM(C79)&amp;" ")-1),",","."))-1)/MID(SUBSTITUTE(LEFT(TRIM(C79),FIND(" ",TRIM(C79)&amp;" ")-1),",","."),FIND("/",SUBSTITUTE(LEFT(TRIM(C79),FIND(" ",TRIM(C79)&amp;" ")-1),",","."))+1,9))*12/52,IF(ISNUMBER(SEARCH("month",C79)),IFERROR(_xlfn.NUMBERVALUE(SUBSTITUTE(LEFT(TRIM(C79),FIND(" ",TRIM(C79)&amp;" ")-1),",","."),"."),LEFT(SUBSTITUTE(LEFT(TRIM(C79),FIND(" ",TRIM(C79)&amp;" ")-1),",","."),FIND("/",SUBSTITUTE(LEFT(TRIM(C79),FIND(" ",TRIM(C79)&amp;" ")-1),",","."))-1)/MID(SUBSTITUTE(LEFT(TRIM(C79),FIND(" ",TRIM(C79)&amp;" ")-1),",","."),FIND("/",SUBSTITUTE(LEFT(TRIM(C79),FIND(" ",TRIM(C79)&amp;" ")-1),",","."))+1,9)),IF(ISNUMBER(SEARCH("yea",C79)),IFERROR(_xlfn.NUMBERVALUE(SUBSTITUTE(LEFT(TRIM(C79),FIND(" ",TRIM(C79)&amp;" ")-1),",","."),"."),LEFT(SUBSTITUTE(LEFT(TRIM(C79),FIND(" ",TRIM(C79)&amp;" ")-1),",","."),FIND("/",SUBSTITUTE(LEFT(TRIM(C79),FIND(" ",TRIM(C79)&amp;" ")-1),",","."))-1)/MID(SUBSTITUTE(LEFT(TRIM(C79),FIND(" ",TRIM(C79)&amp;" ")-1),",","."),FIND("/",SUBSTITUTE(LEFT(TRIM(C79),FIND(" ",TRIM(C79)&amp;" ")-1),",","."))+1,9))*12,NA()))),0),36)*'Aturan &amp; Tarif'!$B$4,2)</f>
        <v>2044.08</v>
      </c>
      <c r="K79" s="32" t="n">
        <f aca="false">'Aturan &amp; Tarif'!$B$5</f>
        <v>2050</v>
      </c>
      <c r="L79" s="32" t="n">
        <f aca="false">'Aturan &amp; Tarif'!$B$6</f>
        <v>350</v>
      </c>
      <c r="M79" s="35" t="n">
        <f aca="false">I79+J79+K79+L79</f>
        <v>27144.08</v>
      </c>
      <c r="N79" s="37" t="s">
        <v>1239</v>
      </c>
    </row>
    <row r="80" customFormat="false" ht="25.5" hidden="false" customHeight="true" outlineLevel="0" collapsed="false">
      <c r="A80" s="29"/>
      <c r="B80" s="30" t="s">
        <v>1245</v>
      </c>
      <c r="C80" s="31" t="s">
        <v>127</v>
      </c>
      <c r="D80" s="31" t="s">
        <v>108</v>
      </c>
      <c r="E80" s="32" t="n">
        <v>11275</v>
      </c>
      <c r="F80" s="32"/>
      <c r="G80" s="32" t="n">
        <v>150</v>
      </c>
      <c r="H80" s="33" t="n">
        <v>2</v>
      </c>
      <c r="I80" s="34" t="n">
        <f aca="false">E80*H80+N(F80)+N(G80)</f>
        <v>22700</v>
      </c>
      <c r="J80" s="32" t="n">
        <f aca="false">ROUND(IFERROR(ROUND(IF(OR(ISNUMBER(SEARCH("week",C80)),ISNUMBER(SEARCH("minggu",C80))),IFERROR(_xlfn.NUMBERVALUE(SUBSTITUTE(LEFT(TRIM(C80),FIND(" ",TRIM(C80)&amp;" ")-1),",","."),"."),LEFT(SUBSTITUTE(LEFT(TRIM(C80),FIND(" ",TRIM(C80)&amp;" ")-1),",","."),FIND("/",SUBSTITUTE(LEFT(TRIM(C80),FIND(" ",TRIM(C80)&amp;" ")-1),",","."))-1)/MID(SUBSTITUTE(LEFT(TRIM(C80),FIND(" ",TRIM(C80)&amp;" ")-1),",","."),FIND("/",SUBSTITUTE(LEFT(TRIM(C80),FIND(" ",TRIM(C80)&amp;" ")-1),",","."))+1,9))*12/52,IF(ISNUMBER(SEARCH("month",C80)),IFERROR(_xlfn.NUMBERVALUE(SUBSTITUTE(LEFT(TRIM(C80),FIND(" ",TRIM(C80)&amp;" ")-1),",","."),"."),LEFT(SUBSTITUTE(LEFT(TRIM(C80),FIND(" ",TRIM(C80)&amp;" ")-1),",","."),FIND("/",SUBSTITUTE(LEFT(TRIM(C80),FIND(" ",TRIM(C80)&amp;" ")-1),",","."))-1)/MID(SUBSTITUTE(LEFT(TRIM(C80),FIND(" ",TRIM(C80)&amp;" ")-1),",","."),FIND("/",SUBSTITUTE(LEFT(TRIM(C80),FIND(" ",TRIM(C80)&amp;" ")-1),",","."))+1,9)),IF(ISNUMBER(SEARCH("yea",C80)),IFERROR(_xlfn.NUMBERVALUE(SUBSTITUTE(LEFT(TRIM(C80),FIND(" ",TRIM(C80)&amp;" ")-1),",","."),"."),LEFT(SUBSTITUTE(LEFT(TRIM(C80),FIND(" ",TRIM(C80)&amp;" ")-1),",","."),FIND("/",SUBSTITUTE(LEFT(TRIM(C80),FIND(" ",TRIM(C80)&amp;" ")-1),",","."))-1)/MID(SUBSTITUTE(LEFT(TRIM(C80),FIND(" ",TRIM(C80)&amp;" ")-1),",","."),FIND("/",SUBSTITUTE(LEFT(TRIM(C80),FIND(" ",TRIM(C80)&amp;" ")-1),",","."))+1,9))*12,NA()))),0),36)*'Aturan &amp; Tarif'!$B$4,2)</f>
        <v>2044.08</v>
      </c>
      <c r="K80" s="32" t="n">
        <f aca="false">'Aturan &amp; Tarif'!$B$5</f>
        <v>2050</v>
      </c>
      <c r="L80" s="32" t="n">
        <f aca="false">'Aturan &amp; Tarif'!$B$6</f>
        <v>350</v>
      </c>
      <c r="M80" s="35" t="n">
        <f aca="false">I80+J80+K80+L80</f>
        <v>27144.08</v>
      </c>
      <c r="N80" s="37" t="s">
        <v>1239</v>
      </c>
    </row>
    <row r="81" customFormat="false" ht="25.5" hidden="false" customHeight="true" outlineLevel="0" collapsed="false">
      <c r="A81" s="29"/>
      <c r="B81" s="30" t="s">
        <v>1246</v>
      </c>
      <c r="C81" s="31" t="s">
        <v>127</v>
      </c>
      <c r="D81" s="31" t="s">
        <v>108</v>
      </c>
      <c r="E81" s="32" t="n">
        <v>11275</v>
      </c>
      <c r="F81" s="32"/>
      <c r="G81" s="32" t="n">
        <v>150</v>
      </c>
      <c r="H81" s="33" t="n">
        <v>2</v>
      </c>
      <c r="I81" s="34" t="n">
        <f aca="false">E81*H81+N(F81)+N(G81)</f>
        <v>22700</v>
      </c>
      <c r="J81" s="32" t="n">
        <f aca="false">ROUND(IFERROR(ROUND(IF(OR(ISNUMBER(SEARCH("week",C81)),ISNUMBER(SEARCH("minggu",C81))),IFERROR(_xlfn.NUMBERVALUE(SUBSTITUTE(LEFT(TRIM(C81),FIND(" ",TRIM(C81)&amp;" ")-1),",","."),"."),LEFT(SUBSTITUTE(LEFT(TRIM(C81),FIND(" ",TRIM(C81)&amp;" ")-1),",","."),FIND("/",SUBSTITUTE(LEFT(TRIM(C81),FIND(" ",TRIM(C81)&amp;" ")-1),",","."))-1)/MID(SUBSTITUTE(LEFT(TRIM(C81),FIND(" ",TRIM(C81)&amp;" ")-1),",","."),FIND("/",SUBSTITUTE(LEFT(TRIM(C81),FIND(" ",TRIM(C81)&amp;" ")-1),",","."))+1,9))*12/52,IF(ISNUMBER(SEARCH("month",C81)),IFERROR(_xlfn.NUMBERVALUE(SUBSTITUTE(LEFT(TRIM(C81),FIND(" ",TRIM(C81)&amp;" ")-1),",","."),"."),LEFT(SUBSTITUTE(LEFT(TRIM(C81),FIND(" ",TRIM(C81)&amp;" ")-1),",","."),FIND("/",SUBSTITUTE(LEFT(TRIM(C81),FIND(" ",TRIM(C81)&amp;" ")-1),",","."))-1)/MID(SUBSTITUTE(LEFT(TRIM(C81),FIND(" ",TRIM(C81)&amp;" ")-1),",","."),FIND("/",SUBSTITUTE(LEFT(TRIM(C81),FIND(" ",TRIM(C81)&amp;" ")-1),",","."))+1,9)),IF(ISNUMBER(SEARCH("yea",C81)),IFERROR(_xlfn.NUMBERVALUE(SUBSTITUTE(LEFT(TRIM(C81),FIND(" ",TRIM(C81)&amp;" ")-1),",","."),"."),LEFT(SUBSTITUTE(LEFT(TRIM(C81),FIND(" ",TRIM(C81)&amp;" ")-1),",","."),FIND("/",SUBSTITUTE(LEFT(TRIM(C81),FIND(" ",TRIM(C81)&amp;" ")-1),",","."))-1)/MID(SUBSTITUTE(LEFT(TRIM(C81),FIND(" ",TRIM(C81)&amp;" ")-1),",","."),FIND("/",SUBSTITUTE(LEFT(TRIM(C81),FIND(" ",TRIM(C81)&amp;" ")-1),",","."))+1,9))*12,NA()))),0),36)*'Aturan &amp; Tarif'!$B$4,2)</f>
        <v>2044.08</v>
      </c>
      <c r="K81" s="32" t="n">
        <f aca="false">'Aturan &amp; Tarif'!$B$5</f>
        <v>2050</v>
      </c>
      <c r="L81" s="32" t="n">
        <f aca="false">'Aturan &amp; Tarif'!$B$6</f>
        <v>350</v>
      </c>
      <c r="M81" s="35" t="n">
        <f aca="false">I81+J81+K81+L81</f>
        <v>27144.08</v>
      </c>
      <c r="N81" s="37" t="s">
        <v>1239</v>
      </c>
    </row>
    <row r="82" customFormat="false" ht="25.5" hidden="false" customHeight="true" outlineLevel="0" collapsed="false">
      <c r="A82" s="29"/>
      <c r="B82" s="30" t="s">
        <v>1247</v>
      </c>
      <c r="C82" s="31" t="s">
        <v>127</v>
      </c>
      <c r="D82" s="31" t="s">
        <v>108</v>
      </c>
      <c r="E82" s="32" t="n">
        <v>11275</v>
      </c>
      <c r="F82" s="32"/>
      <c r="G82" s="32" t="n">
        <v>150</v>
      </c>
      <c r="H82" s="33" t="n">
        <v>2</v>
      </c>
      <c r="I82" s="34" t="n">
        <f aca="false">E82*H82+N(F82)+N(G82)</f>
        <v>22700</v>
      </c>
      <c r="J82" s="32" t="n">
        <f aca="false">ROUND(IFERROR(ROUND(IF(OR(ISNUMBER(SEARCH("week",C82)),ISNUMBER(SEARCH("minggu",C82))),IFERROR(_xlfn.NUMBERVALUE(SUBSTITUTE(LEFT(TRIM(C82),FIND(" ",TRIM(C82)&amp;" ")-1),",","."),"."),LEFT(SUBSTITUTE(LEFT(TRIM(C82),FIND(" ",TRIM(C82)&amp;" ")-1),",","."),FIND("/",SUBSTITUTE(LEFT(TRIM(C82),FIND(" ",TRIM(C82)&amp;" ")-1),",","."))-1)/MID(SUBSTITUTE(LEFT(TRIM(C82),FIND(" ",TRIM(C82)&amp;" ")-1),",","."),FIND("/",SUBSTITUTE(LEFT(TRIM(C82),FIND(" ",TRIM(C82)&amp;" ")-1),",","."))+1,9))*12/52,IF(ISNUMBER(SEARCH("month",C82)),IFERROR(_xlfn.NUMBERVALUE(SUBSTITUTE(LEFT(TRIM(C82),FIND(" ",TRIM(C82)&amp;" ")-1),",","."),"."),LEFT(SUBSTITUTE(LEFT(TRIM(C82),FIND(" ",TRIM(C82)&amp;" ")-1),",","."),FIND("/",SUBSTITUTE(LEFT(TRIM(C82),FIND(" ",TRIM(C82)&amp;" ")-1),",","."))-1)/MID(SUBSTITUTE(LEFT(TRIM(C82),FIND(" ",TRIM(C82)&amp;" ")-1),",","."),FIND("/",SUBSTITUTE(LEFT(TRIM(C82),FIND(" ",TRIM(C82)&amp;" ")-1),",","."))+1,9)),IF(ISNUMBER(SEARCH("yea",C82)),IFERROR(_xlfn.NUMBERVALUE(SUBSTITUTE(LEFT(TRIM(C82),FIND(" ",TRIM(C82)&amp;" ")-1),",","."),"."),LEFT(SUBSTITUTE(LEFT(TRIM(C82),FIND(" ",TRIM(C82)&amp;" ")-1),",","."),FIND("/",SUBSTITUTE(LEFT(TRIM(C82),FIND(" ",TRIM(C82)&amp;" ")-1),",","."))-1)/MID(SUBSTITUTE(LEFT(TRIM(C82),FIND(" ",TRIM(C82)&amp;" ")-1),",","."),FIND("/",SUBSTITUTE(LEFT(TRIM(C82),FIND(" ",TRIM(C82)&amp;" ")-1),",","."))+1,9))*12,NA()))),0),36)*'Aturan &amp; Tarif'!$B$4,2)</f>
        <v>2044.08</v>
      </c>
      <c r="K82" s="32" t="n">
        <f aca="false">'Aturan &amp; Tarif'!$B$5</f>
        <v>2050</v>
      </c>
      <c r="L82" s="32" t="n">
        <f aca="false">'Aturan &amp; Tarif'!$B$6</f>
        <v>350</v>
      </c>
      <c r="M82" s="35" t="n">
        <f aca="false">I82+J82+K82+L82</f>
        <v>27144.08</v>
      </c>
      <c r="N82" s="37" t="s">
        <v>1239</v>
      </c>
    </row>
    <row r="83" customFormat="false" ht="25.5" hidden="false" customHeight="true" outlineLevel="0" collapsed="false">
      <c r="A83" s="29"/>
      <c r="B83" s="30" t="s">
        <v>1248</v>
      </c>
      <c r="C83" s="31" t="s">
        <v>127</v>
      </c>
      <c r="D83" s="31" t="s">
        <v>108</v>
      </c>
      <c r="E83" s="32" t="n">
        <v>11275</v>
      </c>
      <c r="F83" s="32"/>
      <c r="G83" s="32" t="n">
        <v>150</v>
      </c>
      <c r="H83" s="33" t="n">
        <v>2</v>
      </c>
      <c r="I83" s="34" t="n">
        <f aca="false">E83*H83+N(F83)+N(G83)</f>
        <v>22700</v>
      </c>
      <c r="J83" s="32" t="n">
        <f aca="false">ROUND(IFERROR(ROUND(IF(OR(ISNUMBER(SEARCH("week",C83)),ISNUMBER(SEARCH("minggu",C83))),IFERROR(_xlfn.NUMBERVALUE(SUBSTITUTE(LEFT(TRIM(C83),FIND(" ",TRIM(C83)&amp;" ")-1),",","."),"."),LEFT(SUBSTITUTE(LEFT(TRIM(C83),FIND(" ",TRIM(C83)&amp;" ")-1),",","."),FIND("/",SUBSTITUTE(LEFT(TRIM(C83),FIND(" ",TRIM(C83)&amp;" ")-1),",","."))-1)/MID(SUBSTITUTE(LEFT(TRIM(C83),FIND(" ",TRIM(C83)&amp;" ")-1),",","."),FIND("/",SUBSTITUTE(LEFT(TRIM(C83),FIND(" ",TRIM(C83)&amp;" ")-1),",","."))+1,9))*12/52,IF(ISNUMBER(SEARCH("month",C83)),IFERROR(_xlfn.NUMBERVALUE(SUBSTITUTE(LEFT(TRIM(C83),FIND(" ",TRIM(C83)&amp;" ")-1),",","."),"."),LEFT(SUBSTITUTE(LEFT(TRIM(C83),FIND(" ",TRIM(C83)&amp;" ")-1),",","."),FIND("/",SUBSTITUTE(LEFT(TRIM(C83),FIND(" ",TRIM(C83)&amp;" ")-1),",","."))-1)/MID(SUBSTITUTE(LEFT(TRIM(C83),FIND(" ",TRIM(C83)&amp;" ")-1),",","."),FIND("/",SUBSTITUTE(LEFT(TRIM(C83),FIND(" ",TRIM(C83)&amp;" ")-1),",","."))+1,9)),IF(ISNUMBER(SEARCH("yea",C83)),IFERROR(_xlfn.NUMBERVALUE(SUBSTITUTE(LEFT(TRIM(C83),FIND(" ",TRIM(C83)&amp;" ")-1),",","."),"."),LEFT(SUBSTITUTE(LEFT(TRIM(C83),FIND(" ",TRIM(C83)&amp;" ")-1),",","."),FIND("/",SUBSTITUTE(LEFT(TRIM(C83),FIND(" ",TRIM(C83)&amp;" ")-1),",","."))-1)/MID(SUBSTITUTE(LEFT(TRIM(C83),FIND(" ",TRIM(C83)&amp;" ")-1),",","."),FIND("/",SUBSTITUTE(LEFT(TRIM(C83),FIND(" ",TRIM(C83)&amp;" ")-1),",","."))+1,9))*12,NA()))),0),36)*'Aturan &amp; Tarif'!$B$4,2)</f>
        <v>2044.08</v>
      </c>
      <c r="K83" s="32" t="n">
        <f aca="false">'Aturan &amp; Tarif'!$B$5</f>
        <v>2050</v>
      </c>
      <c r="L83" s="32" t="n">
        <f aca="false">'Aturan &amp; Tarif'!$B$6</f>
        <v>350</v>
      </c>
      <c r="M83" s="35" t="n">
        <f aca="false">I83+J83+K83+L83</f>
        <v>27144.08</v>
      </c>
      <c r="N83" s="37" t="s">
        <v>1239</v>
      </c>
    </row>
    <row r="84" customFormat="false" ht="25.5" hidden="false" customHeight="true" outlineLevel="0" collapsed="false">
      <c r="A84" s="29"/>
      <c r="B84" s="30" t="s">
        <v>1249</v>
      </c>
      <c r="C84" s="31" t="s">
        <v>127</v>
      </c>
      <c r="D84" s="31" t="s">
        <v>108</v>
      </c>
      <c r="E84" s="32" t="n">
        <v>11275</v>
      </c>
      <c r="F84" s="32"/>
      <c r="G84" s="32" t="n">
        <v>150</v>
      </c>
      <c r="H84" s="33" t="n">
        <v>2</v>
      </c>
      <c r="I84" s="34" t="n">
        <f aca="false">E84*H84+N(F84)+N(G84)</f>
        <v>22700</v>
      </c>
      <c r="J84" s="32" t="n">
        <f aca="false">ROUND(IFERROR(ROUND(IF(OR(ISNUMBER(SEARCH("week",C84)),ISNUMBER(SEARCH("minggu",C84))),IFERROR(_xlfn.NUMBERVALUE(SUBSTITUTE(LEFT(TRIM(C84),FIND(" ",TRIM(C84)&amp;" ")-1),",","."),"."),LEFT(SUBSTITUTE(LEFT(TRIM(C84),FIND(" ",TRIM(C84)&amp;" ")-1),",","."),FIND("/",SUBSTITUTE(LEFT(TRIM(C84),FIND(" ",TRIM(C84)&amp;" ")-1),",","."))-1)/MID(SUBSTITUTE(LEFT(TRIM(C84),FIND(" ",TRIM(C84)&amp;" ")-1),",","."),FIND("/",SUBSTITUTE(LEFT(TRIM(C84),FIND(" ",TRIM(C84)&amp;" ")-1),",","."))+1,9))*12/52,IF(ISNUMBER(SEARCH("month",C84)),IFERROR(_xlfn.NUMBERVALUE(SUBSTITUTE(LEFT(TRIM(C84),FIND(" ",TRIM(C84)&amp;" ")-1),",","."),"."),LEFT(SUBSTITUTE(LEFT(TRIM(C84),FIND(" ",TRIM(C84)&amp;" ")-1),",","."),FIND("/",SUBSTITUTE(LEFT(TRIM(C84),FIND(" ",TRIM(C84)&amp;" ")-1),",","."))-1)/MID(SUBSTITUTE(LEFT(TRIM(C84),FIND(" ",TRIM(C84)&amp;" ")-1),",","."),FIND("/",SUBSTITUTE(LEFT(TRIM(C84),FIND(" ",TRIM(C84)&amp;" ")-1),",","."))+1,9)),IF(ISNUMBER(SEARCH("yea",C84)),IFERROR(_xlfn.NUMBERVALUE(SUBSTITUTE(LEFT(TRIM(C84),FIND(" ",TRIM(C84)&amp;" ")-1),",","."),"."),LEFT(SUBSTITUTE(LEFT(TRIM(C84),FIND(" ",TRIM(C84)&amp;" ")-1),",","."),FIND("/",SUBSTITUTE(LEFT(TRIM(C84),FIND(" ",TRIM(C84)&amp;" ")-1),",","."))-1)/MID(SUBSTITUTE(LEFT(TRIM(C84),FIND(" ",TRIM(C84)&amp;" ")-1),",","."),FIND("/",SUBSTITUTE(LEFT(TRIM(C84),FIND(" ",TRIM(C84)&amp;" ")-1),",","."))+1,9))*12,NA()))),0),36)*'Aturan &amp; Tarif'!$B$4,2)</f>
        <v>2044.08</v>
      </c>
      <c r="K84" s="32" t="n">
        <f aca="false">'Aturan &amp; Tarif'!$B$5</f>
        <v>2050</v>
      </c>
      <c r="L84" s="32" t="n">
        <f aca="false">'Aturan &amp; Tarif'!$B$6</f>
        <v>350</v>
      </c>
      <c r="M84" s="35" t="n">
        <f aca="false">I84+J84+K84+L84</f>
        <v>27144.08</v>
      </c>
      <c r="N84" s="37" t="s">
        <v>1239</v>
      </c>
    </row>
    <row r="85" customFormat="false" ht="25.5" hidden="false" customHeight="true" outlineLevel="0" collapsed="false">
      <c r="A85" s="29"/>
      <c r="B85" s="30" t="s">
        <v>1250</v>
      </c>
      <c r="C85" s="31" t="s">
        <v>127</v>
      </c>
      <c r="D85" s="31" t="s">
        <v>108</v>
      </c>
      <c r="E85" s="32" t="n">
        <v>11275</v>
      </c>
      <c r="F85" s="32"/>
      <c r="G85" s="32" t="n">
        <v>150</v>
      </c>
      <c r="H85" s="33" t="n">
        <v>2</v>
      </c>
      <c r="I85" s="34" t="n">
        <f aca="false">E85*H85+N(F85)+N(G85)</f>
        <v>22700</v>
      </c>
      <c r="J85" s="32" t="n">
        <f aca="false">ROUND(IFERROR(ROUND(IF(OR(ISNUMBER(SEARCH("week",C85)),ISNUMBER(SEARCH("minggu",C85))),IFERROR(_xlfn.NUMBERVALUE(SUBSTITUTE(LEFT(TRIM(C85),FIND(" ",TRIM(C85)&amp;" ")-1),",","."),"."),LEFT(SUBSTITUTE(LEFT(TRIM(C85),FIND(" ",TRIM(C85)&amp;" ")-1),",","."),FIND("/",SUBSTITUTE(LEFT(TRIM(C85),FIND(" ",TRIM(C85)&amp;" ")-1),",","."))-1)/MID(SUBSTITUTE(LEFT(TRIM(C85),FIND(" ",TRIM(C85)&amp;" ")-1),",","."),FIND("/",SUBSTITUTE(LEFT(TRIM(C85),FIND(" ",TRIM(C85)&amp;" ")-1),",","."))+1,9))*12/52,IF(ISNUMBER(SEARCH("month",C85)),IFERROR(_xlfn.NUMBERVALUE(SUBSTITUTE(LEFT(TRIM(C85),FIND(" ",TRIM(C85)&amp;" ")-1),",","."),"."),LEFT(SUBSTITUTE(LEFT(TRIM(C85),FIND(" ",TRIM(C85)&amp;" ")-1),",","."),FIND("/",SUBSTITUTE(LEFT(TRIM(C85),FIND(" ",TRIM(C85)&amp;" ")-1),",","."))-1)/MID(SUBSTITUTE(LEFT(TRIM(C85),FIND(" ",TRIM(C85)&amp;" ")-1),",","."),FIND("/",SUBSTITUTE(LEFT(TRIM(C85),FIND(" ",TRIM(C85)&amp;" ")-1),",","."))+1,9)),IF(ISNUMBER(SEARCH("yea",C85)),IFERROR(_xlfn.NUMBERVALUE(SUBSTITUTE(LEFT(TRIM(C85),FIND(" ",TRIM(C85)&amp;" ")-1),",","."),"."),LEFT(SUBSTITUTE(LEFT(TRIM(C85),FIND(" ",TRIM(C85)&amp;" ")-1),",","."),FIND("/",SUBSTITUTE(LEFT(TRIM(C85),FIND(" ",TRIM(C85)&amp;" ")-1),",","."))-1)/MID(SUBSTITUTE(LEFT(TRIM(C85),FIND(" ",TRIM(C85)&amp;" ")-1),",","."),FIND("/",SUBSTITUTE(LEFT(TRIM(C85),FIND(" ",TRIM(C85)&amp;" ")-1),",","."))+1,9))*12,NA()))),0),36)*'Aturan &amp; Tarif'!$B$4,2)</f>
        <v>2044.08</v>
      </c>
      <c r="K85" s="32" t="n">
        <f aca="false">'Aturan &amp; Tarif'!$B$5</f>
        <v>2050</v>
      </c>
      <c r="L85" s="32" t="n">
        <f aca="false">'Aturan &amp; Tarif'!$B$6</f>
        <v>350</v>
      </c>
      <c r="M85" s="35" t="n">
        <f aca="false">I85+J85+K85+L85</f>
        <v>27144.08</v>
      </c>
      <c r="N85" s="37" t="s">
        <v>1239</v>
      </c>
    </row>
    <row r="86" customFormat="false" ht="25.5" hidden="false" customHeight="true" outlineLevel="0" collapsed="false">
      <c r="A86" s="29"/>
      <c r="B86" s="30" t="s">
        <v>1251</v>
      </c>
      <c r="C86" s="31" t="s">
        <v>127</v>
      </c>
      <c r="D86" s="31" t="s">
        <v>108</v>
      </c>
      <c r="E86" s="32" t="n">
        <v>11275</v>
      </c>
      <c r="F86" s="32"/>
      <c r="G86" s="32" t="n">
        <v>150</v>
      </c>
      <c r="H86" s="33" t="n">
        <v>2</v>
      </c>
      <c r="I86" s="34" t="n">
        <f aca="false">E86*H86+N(F86)+N(G86)</f>
        <v>22700</v>
      </c>
      <c r="J86" s="32" t="n">
        <f aca="false">ROUND(IFERROR(ROUND(IF(OR(ISNUMBER(SEARCH("week",C86)),ISNUMBER(SEARCH("minggu",C86))),IFERROR(_xlfn.NUMBERVALUE(SUBSTITUTE(LEFT(TRIM(C86),FIND(" ",TRIM(C86)&amp;" ")-1),",","."),"."),LEFT(SUBSTITUTE(LEFT(TRIM(C86),FIND(" ",TRIM(C86)&amp;" ")-1),",","."),FIND("/",SUBSTITUTE(LEFT(TRIM(C86),FIND(" ",TRIM(C86)&amp;" ")-1),",","."))-1)/MID(SUBSTITUTE(LEFT(TRIM(C86),FIND(" ",TRIM(C86)&amp;" ")-1),",","."),FIND("/",SUBSTITUTE(LEFT(TRIM(C86),FIND(" ",TRIM(C86)&amp;" ")-1),",","."))+1,9))*12/52,IF(ISNUMBER(SEARCH("month",C86)),IFERROR(_xlfn.NUMBERVALUE(SUBSTITUTE(LEFT(TRIM(C86),FIND(" ",TRIM(C86)&amp;" ")-1),",","."),"."),LEFT(SUBSTITUTE(LEFT(TRIM(C86),FIND(" ",TRIM(C86)&amp;" ")-1),",","."),FIND("/",SUBSTITUTE(LEFT(TRIM(C86),FIND(" ",TRIM(C86)&amp;" ")-1),",","."))-1)/MID(SUBSTITUTE(LEFT(TRIM(C86),FIND(" ",TRIM(C86)&amp;" ")-1),",","."),FIND("/",SUBSTITUTE(LEFT(TRIM(C86),FIND(" ",TRIM(C86)&amp;" ")-1),",","."))+1,9)),IF(ISNUMBER(SEARCH("yea",C86)),IFERROR(_xlfn.NUMBERVALUE(SUBSTITUTE(LEFT(TRIM(C86),FIND(" ",TRIM(C86)&amp;" ")-1),",","."),"."),LEFT(SUBSTITUTE(LEFT(TRIM(C86),FIND(" ",TRIM(C86)&amp;" ")-1),",","."),FIND("/",SUBSTITUTE(LEFT(TRIM(C86),FIND(" ",TRIM(C86)&amp;" ")-1),",","."))-1)/MID(SUBSTITUTE(LEFT(TRIM(C86),FIND(" ",TRIM(C86)&amp;" ")-1),",","."),FIND("/",SUBSTITUTE(LEFT(TRIM(C86),FIND(" ",TRIM(C86)&amp;" ")-1),",","."))+1,9))*12,NA()))),0),36)*'Aturan &amp; Tarif'!$B$4,2)</f>
        <v>2044.08</v>
      </c>
      <c r="K86" s="32" t="n">
        <f aca="false">'Aturan &amp; Tarif'!$B$5</f>
        <v>2050</v>
      </c>
      <c r="L86" s="32" t="n">
        <f aca="false">'Aturan &amp; Tarif'!$B$6</f>
        <v>350</v>
      </c>
      <c r="M86" s="35" t="n">
        <f aca="false">I86+J86+K86+L86</f>
        <v>27144.08</v>
      </c>
      <c r="N86" s="37" t="s">
        <v>1239</v>
      </c>
    </row>
    <row r="87" customFormat="false" ht="25.5" hidden="false" customHeight="true" outlineLevel="0" collapsed="false">
      <c r="A87" s="29"/>
      <c r="B87" s="30" t="s">
        <v>1252</v>
      </c>
      <c r="C87" s="31" t="s">
        <v>127</v>
      </c>
      <c r="D87" s="31" t="s">
        <v>108</v>
      </c>
      <c r="E87" s="32" t="n">
        <v>10850</v>
      </c>
      <c r="F87" s="32"/>
      <c r="G87" s="32" t="n">
        <v>150</v>
      </c>
      <c r="H87" s="33" t="n">
        <v>2</v>
      </c>
      <c r="I87" s="34" t="n">
        <f aca="false">E87*H87+N(F87)+N(G87)</f>
        <v>21850</v>
      </c>
      <c r="J87" s="32" t="n">
        <f aca="false">ROUND(IFERROR(ROUND(IF(OR(ISNUMBER(SEARCH("week",C87)),ISNUMBER(SEARCH("minggu",C87))),IFERROR(_xlfn.NUMBERVALUE(SUBSTITUTE(LEFT(TRIM(C87),FIND(" ",TRIM(C87)&amp;" ")-1),",","."),"."),LEFT(SUBSTITUTE(LEFT(TRIM(C87),FIND(" ",TRIM(C87)&amp;" ")-1),",","."),FIND("/",SUBSTITUTE(LEFT(TRIM(C87),FIND(" ",TRIM(C87)&amp;" ")-1),",","."))-1)/MID(SUBSTITUTE(LEFT(TRIM(C87),FIND(" ",TRIM(C87)&amp;" ")-1),",","."),FIND("/",SUBSTITUTE(LEFT(TRIM(C87),FIND(" ",TRIM(C87)&amp;" ")-1),",","."))+1,9))*12/52,IF(ISNUMBER(SEARCH("month",C87)),IFERROR(_xlfn.NUMBERVALUE(SUBSTITUTE(LEFT(TRIM(C87),FIND(" ",TRIM(C87)&amp;" ")-1),",","."),"."),LEFT(SUBSTITUTE(LEFT(TRIM(C87),FIND(" ",TRIM(C87)&amp;" ")-1),",","."),FIND("/",SUBSTITUTE(LEFT(TRIM(C87),FIND(" ",TRIM(C87)&amp;" ")-1),",","."))-1)/MID(SUBSTITUTE(LEFT(TRIM(C87),FIND(" ",TRIM(C87)&amp;" ")-1),",","."),FIND("/",SUBSTITUTE(LEFT(TRIM(C87),FIND(" ",TRIM(C87)&amp;" ")-1),",","."))+1,9)),IF(ISNUMBER(SEARCH("yea",C87)),IFERROR(_xlfn.NUMBERVALUE(SUBSTITUTE(LEFT(TRIM(C87),FIND(" ",TRIM(C87)&amp;" ")-1),",","."),"."),LEFT(SUBSTITUTE(LEFT(TRIM(C87),FIND(" ",TRIM(C87)&amp;" ")-1),",","."),FIND("/",SUBSTITUTE(LEFT(TRIM(C87),FIND(" ",TRIM(C87)&amp;" ")-1),",","."))-1)/MID(SUBSTITUTE(LEFT(TRIM(C87),FIND(" ",TRIM(C87)&amp;" ")-1),",","."),FIND("/",SUBSTITUTE(LEFT(TRIM(C87),FIND(" ",TRIM(C87)&amp;" ")-1),",","."))+1,9))*12,NA()))),0),36)*'Aturan &amp; Tarif'!$B$4,2)</f>
        <v>2044.08</v>
      </c>
      <c r="K87" s="32" t="n">
        <f aca="false">'Aturan &amp; Tarif'!$B$5</f>
        <v>2050</v>
      </c>
      <c r="L87" s="32" t="n">
        <f aca="false">'Aturan &amp; Tarif'!$B$6</f>
        <v>350</v>
      </c>
      <c r="M87" s="35" t="n">
        <f aca="false">I87+J87+K87+L87</f>
        <v>26294.08</v>
      </c>
      <c r="N87" s="37" t="s">
        <v>846</v>
      </c>
    </row>
    <row r="88" customFormat="false" ht="25.5" hidden="false" customHeight="true" outlineLevel="0" collapsed="false">
      <c r="A88" s="29"/>
      <c r="B88" s="30" t="s">
        <v>1253</v>
      </c>
      <c r="C88" s="31" t="s">
        <v>127</v>
      </c>
      <c r="D88" s="31" t="s">
        <v>108</v>
      </c>
      <c r="E88" s="32" t="n">
        <v>10850</v>
      </c>
      <c r="F88" s="32"/>
      <c r="G88" s="32" t="n">
        <v>150</v>
      </c>
      <c r="H88" s="33" t="n">
        <v>2</v>
      </c>
      <c r="I88" s="34" t="n">
        <f aca="false">E88*H88+N(F88)+N(G88)</f>
        <v>21850</v>
      </c>
      <c r="J88" s="32" t="n">
        <f aca="false">ROUND(IFERROR(ROUND(IF(OR(ISNUMBER(SEARCH("week",C88)),ISNUMBER(SEARCH("minggu",C88))),IFERROR(_xlfn.NUMBERVALUE(SUBSTITUTE(LEFT(TRIM(C88),FIND(" ",TRIM(C88)&amp;" ")-1),",","."),"."),LEFT(SUBSTITUTE(LEFT(TRIM(C88),FIND(" ",TRIM(C88)&amp;" ")-1),",","."),FIND("/",SUBSTITUTE(LEFT(TRIM(C88),FIND(" ",TRIM(C88)&amp;" ")-1),",","."))-1)/MID(SUBSTITUTE(LEFT(TRIM(C88),FIND(" ",TRIM(C88)&amp;" ")-1),",","."),FIND("/",SUBSTITUTE(LEFT(TRIM(C88),FIND(" ",TRIM(C88)&amp;" ")-1),",","."))+1,9))*12/52,IF(ISNUMBER(SEARCH("month",C88)),IFERROR(_xlfn.NUMBERVALUE(SUBSTITUTE(LEFT(TRIM(C88),FIND(" ",TRIM(C88)&amp;" ")-1),",","."),"."),LEFT(SUBSTITUTE(LEFT(TRIM(C88),FIND(" ",TRIM(C88)&amp;" ")-1),",","."),FIND("/",SUBSTITUTE(LEFT(TRIM(C88),FIND(" ",TRIM(C88)&amp;" ")-1),",","."))-1)/MID(SUBSTITUTE(LEFT(TRIM(C88),FIND(" ",TRIM(C88)&amp;" ")-1),",","."),FIND("/",SUBSTITUTE(LEFT(TRIM(C88),FIND(" ",TRIM(C88)&amp;" ")-1),",","."))+1,9)),IF(ISNUMBER(SEARCH("yea",C88)),IFERROR(_xlfn.NUMBERVALUE(SUBSTITUTE(LEFT(TRIM(C88),FIND(" ",TRIM(C88)&amp;" ")-1),",","."),"."),LEFT(SUBSTITUTE(LEFT(TRIM(C88),FIND(" ",TRIM(C88)&amp;" ")-1),",","."),FIND("/",SUBSTITUTE(LEFT(TRIM(C88),FIND(" ",TRIM(C88)&amp;" ")-1),",","."))-1)/MID(SUBSTITUTE(LEFT(TRIM(C88),FIND(" ",TRIM(C88)&amp;" ")-1),",","."),FIND("/",SUBSTITUTE(LEFT(TRIM(C88),FIND(" ",TRIM(C88)&amp;" ")-1),",","."))+1,9))*12,NA()))),0),36)*'Aturan &amp; Tarif'!$B$4,2)</f>
        <v>2044.08</v>
      </c>
      <c r="K88" s="32" t="n">
        <f aca="false">'Aturan &amp; Tarif'!$B$5</f>
        <v>2050</v>
      </c>
      <c r="L88" s="32" t="n">
        <f aca="false">'Aturan &amp; Tarif'!$B$6</f>
        <v>350</v>
      </c>
      <c r="M88" s="35" t="n">
        <f aca="false">I88+J88+K88+L88</f>
        <v>26294.08</v>
      </c>
      <c r="N88" s="37" t="s">
        <v>846</v>
      </c>
    </row>
    <row r="89" customFormat="false" ht="25.5" hidden="false" customHeight="true" outlineLevel="0" collapsed="false">
      <c r="A89" s="29"/>
      <c r="B89" s="30" t="s">
        <v>1254</v>
      </c>
      <c r="C89" s="31" t="s">
        <v>127</v>
      </c>
      <c r="D89" s="31" t="s">
        <v>108</v>
      </c>
      <c r="E89" s="32" t="n">
        <v>12150</v>
      </c>
      <c r="F89" s="32"/>
      <c r="G89" s="32" t="n">
        <v>150</v>
      </c>
      <c r="H89" s="33" t="n">
        <v>2</v>
      </c>
      <c r="I89" s="34" t="n">
        <f aca="false">E89*H89+N(F89)+N(G89)</f>
        <v>24450</v>
      </c>
      <c r="J89" s="32" t="n">
        <f aca="false">ROUND(IFERROR(ROUND(IF(OR(ISNUMBER(SEARCH("week",C89)),ISNUMBER(SEARCH("minggu",C89))),IFERROR(_xlfn.NUMBERVALUE(SUBSTITUTE(LEFT(TRIM(C89),FIND(" ",TRIM(C89)&amp;" ")-1),",","."),"."),LEFT(SUBSTITUTE(LEFT(TRIM(C89),FIND(" ",TRIM(C89)&amp;" ")-1),",","."),FIND("/",SUBSTITUTE(LEFT(TRIM(C89),FIND(" ",TRIM(C89)&amp;" ")-1),",","."))-1)/MID(SUBSTITUTE(LEFT(TRIM(C89),FIND(" ",TRIM(C89)&amp;" ")-1),",","."),FIND("/",SUBSTITUTE(LEFT(TRIM(C89),FIND(" ",TRIM(C89)&amp;" ")-1),",","."))+1,9))*12/52,IF(ISNUMBER(SEARCH("month",C89)),IFERROR(_xlfn.NUMBERVALUE(SUBSTITUTE(LEFT(TRIM(C89),FIND(" ",TRIM(C89)&amp;" ")-1),",","."),"."),LEFT(SUBSTITUTE(LEFT(TRIM(C89),FIND(" ",TRIM(C89)&amp;" ")-1),",","."),FIND("/",SUBSTITUTE(LEFT(TRIM(C89),FIND(" ",TRIM(C89)&amp;" ")-1),",","."))-1)/MID(SUBSTITUTE(LEFT(TRIM(C89),FIND(" ",TRIM(C89)&amp;" ")-1),",","."),FIND("/",SUBSTITUTE(LEFT(TRIM(C89),FIND(" ",TRIM(C89)&amp;" ")-1),",","."))+1,9)),IF(ISNUMBER(SEARCH("yea",C89)),IFERROR(_xlfn.NUMBERVALUE(SUBSTITUTE(LEFT(TRIM(C89),FIND(" ",TRIM(C89)&amp;" ")-1),",","."),"."),LEFT(SUBSTITUTE(LEFT(TRIM(C89),FIND(" ",TRIM(C89)&amp;" ")-1),",","."),FIND("/",SUBSTITUTE(LEFT(TRIM(C89),FIND(" ",TRIM(C89)&amp;" ")-1),",","."))-1)/MID(SUBSTITUTE(LEFT(TRIM(C89),FIND(" ",TRIM(C89)&amp;" ")-1),",","."),FIND("/",SUBSTITUTE(LEFT(TRIM(C89),FIND(" ",TRIM(C89)&amp;" ")-1),",","."))+1,9))*12,NA()))),0),36)*'Aturan &amp; Tarif'!$B$4,2)</f>
        <v>2044.08</v>
      </c>
      <c r="K89" s="32" t="n">
        <f aca="false">'Aturan &amp; Tarif'!$B$5</f>
        <v>2050</v>
      </c>
      <c r="L89" s="32" t="n">
        <f aca="false">'Aturan &amp; Tarif'!$B$6</f>
        <v>350</v>
      </c>
      <c r="M89" s="35" t="n">
        <f aca="false">I89+J89+K89+L89</f>
        <v>28894.08</v>
      </c>
      <c r="N89" s="37" t="s">
        <v>846</v>
      </c>
    </row>
    <row r="90" customFormat="false" ht="14.25" hidden="false" customHeight="true" outlineLevel="0" collapsed="false">
      <c r="A90" s="29"/>
      <c r="B90" s="30" t="s">
        <v>1255</v>
      </c>
      <c r="C90" s="31" t="s">
        <v>127</v>
      </c>
      <c r="D90" s="31" t="s">
        <v>108</v>
      </c>
      <c r="E90" s="32" t="n">
        <v>12150</v>
      </c>
      <c r="F90" s="32"/>
      <c r="G90" s="32" t="n">
        <v>150</v>
      </c>
      <c r="H90" s="33" t="n">
        <v>2</v>
      </c>
      <c r="I90" s="34" t="n">
        <f aca="false">E90*H90+N(F90)+N(G90)</f>
        <v>24450</v>
      </c>
      <c r="J90" s="32" t="n">
        <f aca="false">ROUND(IFERROR(ROUND(IF(OR(ISNUMBER(SEARCH("week",C90)),ISNUMBER(SEARCH("minggu",C90))),IFERROR(_xlfn.NUMBERVALUE(SUBSTITUTE(LEFT(TRIM(C90),FIND(" ",TRIM(C90)&amp;" ")-1),",","."),"."),LEFT(SUBSTITUTE(LEFT(TRIM(C90),FIND(" ",TRIM(C90)&amp;" ")-1),",","."),FIND("/",SUBSTITUTE(LEFT(TRIM(C90),FIND(" ",TRIM(C90)&amp;" ")-1),",","."))-1)/MID(SUBSTITUTE(LEFT(TRIM(C90),FIND(" ",TRIM(C90)&amp;" ")-1),",","."),FIND("/",SUBSTITUTE(LEFT(TRIM(C90),FIND(" ",TRIM(C90)&amp;" ")-1),",","."))+1,9))*12/52,IF(ISNUMBER(SEARCH("month",C90)),IFERROR(_xlfn.NUMBERVALUE(SUBSTITUTE(LEFT(TRIM(C90),FIND(" ",TRIM(C90)&amp;" ")-1),",","."),"."),LEFT(SUBSTITUTE(LEFT(TRIM(C90),FIND(" ",TRIM(C90)&amp;" ")-1),",","."),FIND("/",SUBSTITUTE(LEFT(TRIM(C90),FIND(" ",TRIM(C90)&amp;" ")-1),",","."))-1)/MID(SUBSTITUTE(LEFT(TRIM(C90),FIND(" ",TRIM(C90)&amp;" ")-1),",","."),FIND("/",SUBSTITUTE(LEFT(TRIM(C90),FIND(" ",TRIM(C90)&amp;" ")-1),",","."))+1,9)),IF(ISNUMBER(SEARCH("yea",C90)),IFERROR(_xlfn.NUMBERVALUE(SUBSTITUTE(LEFT(TRIM(C90),FIND(" ",TRIM(C90)&amp;" ")-1),",","."),"."),LEFT(SUBSTITUTE(LEFT(TRIM(C90),FIND(" ",TRIM(C90)&amp;" ")-1),",","."),FIND("/",SUBSTITUTE(LEFT(TRIM(C90),FIND(" ",TRIM(C90)&amp;" ")-1),",","."))-1)/MID(SUBSTITUTE(LEFT(TRIM(C90),FIND(" ",TRIM(C90)&amp;" ")-1),",","."),FIND("/",SUBSTITUTE(LEFT(TRIM(C90),FIND(" ",TRIM(C90)&amp;" ")-1),",","."))+1,9))*12,NA()))),0),36)*'Aturan &amp; Tarif'!$B$4,2)</f>
        <v>2044.08</v>
      </c>
      <c r="K90" s="32" t="n">
        <f aca="false">'Aturan &amp; Tarif'!$B$5</f>
        <v>2050</v>
      </c>
      <c r="L90" s="32" t="n">
        <f aca="false">'Aturan &amp; Tarif'!$B$6</f>
        <v>350</v>
      </c>
      <c r="M90" s="35" t="n">
        <f aca="false">I90+J90+K90+L90</f>
        <v>28894.08</v>
      </c>
      <c r="N90" s="37" t="s">
        <v>846</v>
      </c>
    </row>
    <row r="91" customFormat="false" ht="14.25" hidden="false" customHeight="true" outlineLevel="0" collapsed="false">
      <c r="A91" s="29"/>
      <c r="B91" s="30" t="s">
        <v>321</v>
      </c>
      <c r="C91" s="31" t="s">
        <v>127</v>
      </c>
      <c r="D91" s="31" t="s">
        <v>108</v>
      </c>
      <c r="E91" s="32" t="n">
        <v>12625</v>
      </c>
      <c r="F91" s="32"/>
      <c r="G91" s="32" t="n">
        <v>150</v>
      </c>
      <c r="H91" s="33" t="n">
        <v>2</v>
      </c>
      <c r="I91" s="34" t="n">
        <f aca="false">E91*H91+N(F91)+N(G91)</f>
        <v>25400</v>
      </c>
      <c r="J91" s="32" t="n">
        <f aca="false">ROUND(IFERROR(ROUND(IF(OR(ISNUMBER(SEARCH("week",C91)),ISNUMBER(SEARCH("minggu",C91))),IFERROR(_xlfn.NUMBERVALUE(SUBSTITUTE(LEFT(TRIM(C91),FIND(" ",TRIM(C91)&amp;" ")-1),",","."),"."),LEFT(SUBSTITUTE(LEFT(TRIM(C91),FIND(" ",TRIM(C91)&amp;" ")-1),",","."),FIND("/",SUBSTITUTE(LEFT(TRIM(C91),FIND(" ",TRIM(C91)&amp;" ")-1),",","."))-1)/MID(SUBSTITUTE(LEFT(TRIM(C91),FIND(" ",TRIM(C91)&amp;" ")-1),",","."),FIND("/",SUBSTITUTE(LEFT(TRIM(C91),FIND(" ",TRIM(C91)&amp;" ")-1),",","."))+1,9))*12/52,IF(ISNUMBER(SEARCH("month",C91)),IFERROR(_xlfn.NUMBERVALUE(SUBSTITUTE(LEFT(TRIM(C91),FIND(" ",TRIM(C91)&amp;" ")-1),",","."),"."),LEFT(SUBSTITUTE(LEFT(TRIM(C91),FIND(" ",TRIM(C91)&amp;" ")-1),",","."),FIND("/",SUBSTITUTE(LEFT(TRIM(C91),FIND(" ",TRIM(C91)&amp;" ")-1),",","."))-1)/MID(SUBSTITUTE(LEFT(TRIM(C91),FIND(" ",TRIM(C91)&amp;" ")-1),",","."),FIND("/",SUBSTITUTE(LEFT(TRIM(C91),FIND(" ",TRIM(C91)&amp;" ")-1),",","."))+1,9)),IF(ISNUMBER(SEARCH("yea",C91)),IFERROR(_xlfn.NUMBERVALUE(SUBSTITUTE(LEFT(TRIM(C91),FIND(" ",TRIM(C91)&amp;" ")-1),",","."),"."),LEFT(SUBSTITUTE(LEFT(TRIM(C91),FIND(" ",TRIM(C91)&amp;" ")-1),",","."),FIND("/",SUBSTITUTE(LEFT(TRIM(C91),FIND(" ",TRIM(C91)&amp;" ")-1),",","."))-1)/MID(SUBSTITUTE(LEFT(TRIM(C91),FIND(" ",TRIM(C91)&amp;" ")-1),",","."),FIND("/",SUBSTITUTE(LEFT(TRIM(C91),FIND(" ",TRIM(C91)&amp;" ")-1),",","."))+1,9))*12,NA()))),0),36)*'Aturan &amp; Tarif'!$B$4,2)</f>
        <v>2044.08</v>
      </c>
      <c r="K91" s="32" t="n">
        <f aca="false">'Aturan &amp; Tarif'!$B$5</f>
        <v>2050</v>
      </c>
      <c r="L91" s="32" t="n">
        <f aca="false">'Aturan &amp; Tarif'!$B$6</f>
        <v>350</v>
      </c>
      <c r="M91" s="35" t="n">
        <f aca="false">I91+J91+K91+L91</f>
        <v>29844.08</v>
      </c>
      <c r="N91" s="37" t="s">
        <v>1256</v>
      </c>
    </row>
    <row r="92" customFormat="false" ht="25.5" hidden="false" customHeight="true" outlineLevel="0" collapsed="false">
      <c r="A92" s="29"/>
      <c r="B92" s="30" t="s">
        <v>1257</v>
      </c>
      <c r="C92" s="31" t="s">
        <v>127</v>
      </c>
      <c r="D92" s="31" t="s">
        <v>108</v>
      </c>
      <c r="E92" s="32" t="n">
        <v>12625</v>
      </c>
      <c r="F92" s="32"/>
      <c r="G92" s="32" t="n">
        <v>150</v>
      </c>
      <c r="H92" s="33" t="n">
        <v>2</v>
      </c>
      <c r="I92" s="34" t="n">
        <f aca="false">E92*H92+N(F92)+N(G92)</f>
        <v>25400</v>
      </c>
      <c r="J92" s="32" t="n">
        <f aca="false">ROUND(IFERROR(ROUND(IF(OR(ISNUMBER(SEARCH("week",C92)),ISNUMBER(SEARCH("minggu",C92))),IFERROR(_xlfn.NUMBERVALUE(SUBSTITUTE(LEFT(TRIM(C92),FIND(" ",TRIM(C92)&amp;" ")-1),",","."),"."),LEFT(SUBSTITUTE(LEFT(TRIM(C92),FIND(" ",TRIM(C92)&amp;" ")-1),",","."),FIND("/",SUBSTITUTE(LEFT(TRIM(C92),FIND(" ",TRIM(C92)&amp;" ")-1),",","."))-1)/MID(SUBSTITUTE(LEFT(TRIM(C92),FIND(" ",TRIM(C92)&amp;" ")-1),",","."),FIND("/",SUBSTITUTE(LEFT(TRIM(C92),FIND(" ",TRIM(C92)&amp;" ")-1),",","."))+1,9))*12/52,IF(ISNUMBER(SEARCH("month",C92)),IFERROR(_xlfn.NUMBERVALUE(SUBSTITUTE(LEFT(TRIM(C92),FIND(" ",TRIM(C92)&amp;" ")-1),",","."),"."),LEFT(SUBSTITUTE(LEFT(TRIM(C92),FIND(" ",TRIM(C92)&amp;" ")-1),",","."),FIND("/",SUBSTITUTE(LEFT(TRIM(C92),FIND(" ",TRIM(C92)&amp;" ")-1),",","."))-1)/MID(SUBSTITUTE(LEFT(TRIM(C92),FIND(" ",TRIM(C92)&amp;" ")-1),",","."),FIND("/",SUBSTITUTE(LEFT(TRIM(C92),FIND(" ",TRIM(C92)&amp;" ")-1),",","."))+1,9)),IF(ISNUMBER(SEARCH("yea",C92)),IFERROR(_xlfn.NUMBERVALUE(SUBSTITUTE(LEFT(TRIM(C92),FIND(" ",TRIM(C92)&amp;" ")-1),",","."),"."),LEFT(SUBSTITUTE(LEFT(TRIM(C92),FIND(" ",TRIM(C92)&amp;" ")-1),",","."),FIND("/",SUBSTITUTE(LEFT(TRIM(C92),FIND(" ",TRIM(C92)&amp;" ")-1),",","."))-1)/MID(SUBSTITUTE(LEFT(TRIM(C92),FIND(" ",TRIM(C92)&amp;" ")-1),",","."),FIND("/",SUBSTITUTE(LEFT(TRIM(C92),FIND(" ",TRIM(C92)&amp;" ")-1),",","."))+1,9))*12,NA()))),0),36)*'Aturan &amp; Tarif'!$B$4,2)</f>
        <v>2044.08</v>
      </c>
      <c r="K92" s="32" t="n">
        <f aca="false">'Aturan &amp; Tarif'!$B$5</f>
        <v>2050</v>
      </c>
      <c r="L92" s="32" t="n">
        <f aca="false">'Aturan &amp; Tarif'!$B$6</f>
        <v>350</v>
      </c>
      <c r="M92" s="35" t="n">
        <f aca="false">I92+J92+K92+L92</f>
        <v>29844.08</v>
      </c>
      <c r="N92" s="37" t="s">
        <v>1256</v>
      </c>
    </row>
    <row r="93" customFormat="false" ht="25.5" hidden="false" customHeight="true" outlineLevel="0" collapsed="false">
      <c r="A93" s="29"/>
      <c r="B93" s="30" t="s">
        <v>1258</v>
      </c>
      <c r="C93" s="31" t="s">
        <v>127</v>
      </c>
      <c r="D93" s="31" t="s">
        <v>108</v>
      </c>
      <c r="E93" s="32" t="n">
        <v>12625</v>
      </c>
      <c r="F93" s="32"/>
      <c r="G93" s="32" t="n">
        <v>150</v>
      </c>
      <c r="H93" s="33" t="n">
        <v>2</v>
      </c>
      <c r="I93" s="34" t="n">
        <f aca="false">E93*H93+N(F93)+N(G93)</f>
        <v>25400</v>
      </c>
      <c r="J93" s="32" t="n">
        <f aca="false">ROUND(IFERROR(ROUND(IF(OR(ISNUMBER(SEARCH("week",C93)),ISNUMBER(SEARCH("minggu",C93))),IFERROR(_xlfn.NUMBERVALUE(SUBSTITUTE(LEFT(TRIM(C93),FIND(" ",TRIM(C93)&amp;" ")-1),",","."),"."),LEFT(SUBSTITUTE(LEFT(TRIM(C93),FIND(" ",TRIM(C93)&amp;" ")-1),",","."),FIND("/",SUBSTITUTE(LEFT(TRIM(C93),FIND(" ",TRIM(C93)&amp;" ")-1),",","."))-1)/MID(SUBSTITUTE(LEFT(TRIM(C93),FIND(" ",TRIM(C93)&amp;" ")-1),",","."),FIND("/",SUBSTITUTE(LEFT(TRIM(C93),FIND(" ",TRIM(C93)&amp;" ")-1),",","."))+1,9))*12/52,IF(ISNUMBER(SEARCH("month",C93)),IFERROR(_xlfn.NUMBERVALUE(SUBSTITUTE(LEFT(TRIM(C93),FIND(" ",TRIM(C93)&amp;" ")-1),",","."),"."),LEFT(SUBSTITUTE(LEFT(TRIM(C93),FIND(" ",TRIM(C93)&amp;" ")-1),",","."),FIND("/",SUBSTITUTE(LEFT(TRIM(C93),FIND(" ",TRIM(C93)&amp;" ")-1),",","."))-1)/MID(SUBSTITUTE(LEFT(TRIM(C93),FIND(" ",TRIM(C93)&amp;" ")-1),",","."),FIND("/",SUBSTITUTE(LEFT(TRIM(C93),FIND(" ",TRIM(C93)&amp;" ")-1),",","."))+1,9)),IF(ISNUMBER(SEARCH("yea",C93)),IFERROR(_xlfn.NUMBERVALUE(SUBSTITUTE(LEFT(TRIM(C93),FIND(" ",TRIM(C93)&amp;" ")-1),",","."),"."),LEFT(SUBSTITUTE(LEFT(TRIM(C93),FIND(" ",TRIM(C93)&amp;" ")-1),",","."),FIND("/",SUBSTITUTE(LEFT(TRIM(C93),FIND(" ",TRIM(C93)&amp;" ")-1),",","."))-1)/MID(SUBSTITUTE(LEFT(TRIM(C93),FIND(" ",TRIM(C93)&amp;" ")-1),",","."),FIND("/",SUBSTITUTE(LEFT(TRIM(C93),FIND(" ",TRIM(C93)&amp;" ")-1),",","."))+1,9))*12,NA()))),0),36)*'Aturan &amp; Tarif'!$B$4,2)</f>
        <v>2044.08</v>
      </c>
      <c r="K93" s="32" t="n">
        <f aca="false">'Aturan &amp; Tarif'!$B$5</f>
        <v>2050</v>
      </c>
      <c r="L93" s="32" t="n">
        <f aca="false">'Aturan &amp; Tarif'!$B$6</f>
        <v>350</v>
      </c>
      <c r="M93" s="35" t="n">
        <f aca="false">I93+J93+K93+L93</f>
        <v>29844.08</v>
      </c>
      <c r="N93" s="37" t="s">
        <v>1256</v>
      </c>
    </row>
    <row r="94" customFormat="false" ht="25.5" hidden="false" customHeight="true" outlineLevel="0" collapsed="false">
      <c r="A94" s="29"/>
      <c r="B94" s="30" t="s">
        <v>1259</v>
      </c>
      <c r="C94" s="31" t="s">
        <v>127</v>
      </c>
      <c r="D94" s="31" t="s">
        <v>108</v>
      </c>
      <c r="E94" s="32" t="n">
        <v>12625</v>
      </c>
      <c r="F94" s="32"/>
      <c r="G94" s="32" t="n">
        <v>150</v>
      </c>
      <c r="H94" s="33" t="n">
        <v>2</v>
      </c>
      <c r="I94" s="34" t="n">
        <f aca="false">E94*H94+N(F94)+N(G94)</f>
        <v>25400</v>
      </c>
      <c r="J94" s="32" t="n">
        <f aca="false">ROUND(IFERROR(ROUND(IF(OR(ISNUMBER(SEARCH("week",C94)),ISNUMBER(SEARCH("minggu",C94))),IFERROR(_xlfn.NUMBERVALUE(SUBSTITUTE(LEFT(TRIM(C94),FIND(" ",TRIM(C94)&amp;" ")-1),",","."),"."),LEFT(SUBSTITUTE(LEFT(TRIM(C94),FIND(" ",TRIM(C94)&amp;" ")-1),",","."),FIND("/",SUBSTITUTE(LEFT(TRIM(C94),FIND(" ",TRIM(C94)&amp;" ")-1),",","."))-1)/MID(SUBSTITUTE(LEFT(TRIM(C94),FIND(" ",TRIM(C94)&amp;" ")-1),",","."),FIND("/",SUBSTITUTE(LEFT(TRIM(C94),FIND(" ",TRIM(C94)&amp;" ")-1),",","."))+1,9))*12/52,IF(ISNUMBER(SEARCH("month",C94)),IFERROR(_xlfn.NUMBERVALUE(SUBSTITUTE(LEFT(TRIM(C94),FIND(" ",TRIM(C94)&amp;" ")-1),",","."),"."),LEFT(SUBSTITUTE(LEFT(TRIM(C94),FIND(" ",TRIM(C94)&amp;" ")-1),",","."),FIND("/",SUBSTITUTE(LEFT(TRIM(C94),FIND(" ",TRIM(C94)&amp;" ")-1),",","."))-1)/MID(SUBSTITUTE(LEFT(TRIM(C94),FIND(" ",TRIM(C94)&amp;" ")-1),",","."),FIND("/",SUBSTITUTE(LEFT(TRIM(C94),FIND(" ",TRIM(C94)&amp;" ")-1),",","."))+1,9)),IF(ISNUMBER(SEARCH("yea",C94)),IFERROR(_xlfn.NUMBERVALUE(SUBSTITUTE(LEFT(TRIM(C94),FIND(" ",TRIM(C94)&amp;" ")-1),",","."),"."),LEFT(SUBSTITUTE(LEFT(TRIM(C94),FIND(" ",TRIM(C94)&amp;" ")-1),",","."),FIND("/",SUBSTITUTE(LEFT(TRIM(C94),FIND(" ",TRIM(C94)&amp;" ")-1),",","."))-1)/MID(SUBSTITUTE(LEFT(TRIM(C94),FIND(" ",TRIM(C94)&amp;" ")-1),",","."),FIND("/",SUBSTITUTE(LEFT(TRIM(C94),FIND(" ",TRIM(C94)&amp;" ")-1),",","."))+1,9))*12,NA()))),0),36)*'Aturan &amp; Tarif'!$B$4,2)</f>
        <v>2044.08</v>
      </c>
      <c r="K94" s="32" t="n">
        <f aca="false">'Aturan &amp; Tarif'!$B$5</f>
        <v>2050</v>
      </c>
      <c r="L94" s="32" t="n">
        <f aca="false">'Aturan &amp; Tarif'!$B$6</f>
        <v>350</v>
      </c>
      <c r="M94" s="35" t="n">
        <f aca="false">I94+J94+K94+L94</f>
        <v>29844.08</v>
      </c>
      <c r="N94" s="37" t="s">
        <v>1256</v>
      </c>
    </row>
    <row r="95" customFormat="false" ht="25.5" hidden="false" customHeight="true" outlineLevel="0" collapsed="false">
      <c r="A95" s="29"/>
      <c r="B95" s="30" t="s">
        <v>1260</v>
      </c>
      <c r="C95" s="31" t="s">
        <v>127</v>
      </c>
      <c r="D95" s="31" t="s">
        <v>108</v>
      </c>
      <c r="E95" s="32" t="n">
        <v>12625</v>
      </c>
      <c r="F95" s="32"/>
      <c r="G95" s="32" t="n">
        <v>150</v>
      </c>
      <c r="H95" s="33" t="n">
        <v>2</v>
      </c>
      <c r="I95" s="34" t="n">
        <f aca="false">E95*H95+N(F95)+N(G95)</f>
        <v>25400</v>
      </c>
      <c r="J95" s="32" t="n">
        <f aca="false">ROUND(IFERROR(ROUND(IF(OR(ISNUMBER(SEARCH("week",C95)),ISNUMBER(SEARCH("minggu",C95))),IFERROR(_xlfn.NUMBERVALUE(SUBSTITUTE(LEFT(TRIM(C95),FIND(" ",TRIM(C95)&amp;" ")-1),",","."),"."),LEFT(SUBSTITUTE(LEFT(TRIM(C95),FIND(" ",TRIM(C95)&amp;" ")-1),",","."),FIND("/",SUBSTITUTE(LEFT(TRIM(C95),FIND(" ",TRIM(C95)&amp;" ")-1),",","."))-1)/MID(SUBSTITUTE(LEFT(TRIM(C95),FIND(" ",TRIM(C95)&amp;" ")-1),",","."),FIND("/",SUBSTITUTE(LEFT(TRIM(C95),FIND(" ",TRIM(C95)&amp;" ")-1),",","."))+1,9))*12/52,IF(ISNUMBER(SEARCH("month",C95)),IFERROR(_xlfn.NUMBERVALUE(SUBSTITUTE(LEFT(TRIM(C95),FIND(" ",TRIM(C95)&amp;" ")-1),",","."),"."),LEFT(SUBSTITUTE(LEFT(TRIM(C95),FIND(" ",TRIM(C95)&amp;" ")-1),",","."),FIND("/",SUBSTITUTE(LEFT(TRIM(C95),FIND(" ",TRIM(C95)&amp;" ")-1),",","."))-1)/MID(SUBSTITUTE(LEFT(TRIM(C95),FIND(" ",TRIM(C95)&amp;" ")-1),",","."),FIND("/",SUBSTITUTE(LEFT(TRIM(C95),FIND(" ",TRIM(C95)&amp;" ")-1),",","."))+1,9)),IF(ISNUMBER(SEARCH("yea",C95)),IFERROR(_xlfn.NUMBERVALUE(SUBSTITUTE(LEFT(TRIM(C95),FIND(" ",TRIM(C95)&amp;" ")-1),",","."),"."),LEFT(SUBSTITUTE(LEFT(TRIM(C95),FIND(" ",TRIM(C95)&amp;" ")-1),",","."),FIND("/",SUBSTITUTE(LEFT(TRIM(C95),FIND(" ",TRIM(C95)&amp;" ")-1),",","."))-1)/MID(SUBSTITUTE(LEFT(TRIM(C95),FIND(" ",TRIM(C95)&amp;" ")-1),",","."),FIND("/",SUBSTITUTE(LEFT(TRIM(C95),FIND(" ",TRIM(C95)&amp;" ")-1),",","."))+1,9))*12,NA()))),0),36)*'Aturan &amp; Tarif'!$B$4,2)</f>
        <v>2044.08</v>
      </c>
      <c r="K95" s="32" t="n">
        <f aca="false">'Aturan &amp; Tarif'!$B$5</f>
        <v>2050</v>
      </c>
      <c r="L95" s="32" t="n">
        <f aca="false">'Aturan &amp; Tarif'!$B$6</f>
        <v>350</v>
      </c>
      <c r="M95" s="35" t="n">
        <f aca="false">I95+J95+K95+L95</f>
        <v>29844.08</v>
      </c>
      <c r="N95" s="37" t="s">
        <v>1256</v>
      </c>
    </row>
    <row r="96" customFormat="false" ht="25.5" hidden="false" customHeight="true" outlineLevel="0" collapsed="false">
      <c r="A96" s="29"/>
      <c r="B96" s="30" t="s">
        <v>1261</v>
      </c>
      <c r="C96" s="31" t="s">
        <v>127</v>
      </c>
      <c r="D96" s="31" t="s">
        <v>108</v>
      </c>
      <c r="E96" s="32" t="n">
        <v>12625</v>
      </c>
      <c r="F96" s="32"/>
      <c r="G96" s="32" t="n">
        <v>150</v>
      </c>
      <c r="H96" s="33" t="n">
        <v>2</v>
      </c>
      <c r="I96" s="34" t="n">
        <f aca="false">E96*H96+N(F96)+N(G96)</f>
        <v>25400</v>
      </c>
      <c r="J96" s="32" t="n">
        <f aca="false">ROUND(IFERROR(ROUND(IF(OR(ISNUMBER(SEARCH("week",C96)),ISNUMBER(SEARCH("minggu",C96))),IFERROR(_xlfn.NUMBERVALUE(SUBSTITUTE(LEFT(TRIM(C96),FIND(" ",TRIM(C96)&amp;" ")-1),",","."),"."),LEFT(SUBSTITUTE(LEFT(TRIM(C96),FIND(" ",TRIM(C96)&amp;" ")-1),",","."),FIND("/",SUBSTITUTE(LEFT(TRIM(C96),FIND(" ",TRIM(C96)&amp;" ")-1),",","."))-1)/MID(SUBSTITUTE(LEFT(TRIM(C96),FIND(" ",TRIM(C96)&amp;" ")-1),",","."),FIND("/",SUBSTITUTE(LEFT(TRIM(C96),FIND(" ",TRIM(C96)&amp;" ")-1),",","."))+1,9))*12/52,IF(ISNUMBER(SEARCH("month",C96)),IFERROR(_xlfn.NUMBERVALUE(SUBSTITUTE(LEFT(TRIM(C96),FIND(" ",TRIM(C96)&amp;" ")-1),",","."),"."),LEFT(SUBSTITUTE(LEFT(TRIM(C96),FIND(" ",TRIM(C96)&amp;" ")-1),",","."),FIND("/",SUBSTITUTE(LEFT(TRIM(C96),FIND(" ",TRIM(C96)&amp;" ")-1),",","."))-1)/MID(SUBSTITUTE(LEFT(TRIM(C96),FIND(" ",TRIM(C96)&amp;" ")-1),",","."),FIND("/",SUBSTITUTE(LEFT(TRIM(C96),FIND(" ",TRIM(C96)&amp;" ")-1),",","."))+1,9)),IF(ISNUMBER(SEARCH("yea",C96)),IFERROR(_xlfn.NUMBERVALUE(SUBSTITUTE(LEFT(TRIM(C96),FIND(" ",TRIM(C96)&amp;" ")-1),",","."),"."),LEFT(SUBSTITUTE(LEFT(TRIM(C96),FIND(" ",TRIM(C96)&amp;" ")-1),",","."),FIND("/",SUBSTITUTE(LEFT(TRIM(C96),FIND(" ",TRIM(C96)&amp;" ")-1),",","."))-1)/MID(SUBSTITUTE(LEFT(TRIM(C96),FIND(" ",TRIM(C96)&amp;" ")-1),",","."),FIND("/",SUBSTITUTE(LEFT(TRIM(C96),FIND(" ",TRIM(C96)&amp;" ")-1),",","."))+1,9))*12,NA()))),0),36)*'Aturan &amp; Tarif'!$B$4,2)</f>
        <v>2044.08</v>
      </c>
      <c r="K96" s="32" t="n">
        <f aca="false">'Aturan &amp; Tarif'!$B$5</f>
        <v>2050</v>
      </c>
      <c r="L96" s="32" t="n">
        <f aca="false">'Aturan &amp; Tarif'!$B$6</f>
        <v>350</v>
      </c>
      <c r="M96" s="35" t="n">
        <f aca="false">I96+J96+K96+L96</f>
        <v>29844.08</v>
      </c>
      <c r="N96" s="37" t="s">
        <v>1256</v>
      </c>
    </row>
    <row r="97" customFormat="false" ht="25.5" hidden="false" customHeight="true" outlineLevel="0" collapsed="false">
      <c r="A97" s="29"/>
      <c r="B97" s="30" t="s">
        <v>1262</v>
      </c>
      <c r="C97" s="31" t="s">
        <v>127</v>
      </c>
      <c r="D97" s="31" t="s">
        <v>108</v>
      </c>
      <c r="E97" s="32" t="n">
        <v>12625</v>
      </c>
      <c r="F97" s="32"/>
      <c r="G97" s="32" t="n">
        <v>150</v>
      </c>
      <c r="H97" s="33" t="n">
        <v>2</v>
      </c>
      <c r="I97" s="34" t="n">
        <f aca="false">E97*H97+N(F97)+N(G97)</f>
        <v>25400</v>
      </c>
      <c r="J97" s="32" t="n">
        <f aca="false">ROUND(IFERROR(ROUND(IF(OR(ISNUMBER(SEARCH("week",C97)),ISNUMBER(SEARCH("minggu",C97))),IFERROR(_xlfn.NUMBERVALUE(SUBSTITUTE(LEFT(TRIM(C97),FIND(" ",TRIM(C97)&amp;" ")-1),",","."),"."),LEFT(SUBSTITUTE(LEFT(TRIM(C97),FIND(" ",TRIM(C97)&amp;" ")-1),",","."),FIND("/",SUBSTITUTE(LEFT(TRIM(C97),FIND(" ",TRIM(C97)&amp;" ")-1),",","."))-1)/MID(SUBSTITUTE(LEFT(TRIM(C97),FIND(" ",TRIM(C97)&amp;" ")-1),",","."),FIND("/",SUBSTITUTE(LEFT(TRIM(C97),FIND(" ",TRIM(C97)&amp;" ")-1),",","."))+1,9))*12/52,IF(ISNUMBER(SEARCH("month",C97)),IFERROR(_xlfn.NUMBERVALUE(SUBSTITUTE(LEFT(TRIM(C97),FIND(" ",TRIM(C97)&amp;" ")-1),",","."),"."),LEFT(SUBSTITUTE(LEFT(TRIM(C97),FIND(" ",TRIM(C97)&amp;" ")-1),",","."),FIND("/",SUBSTITUTE(LEFT(TRIM(C97),FIND(" ",TRIM(C97)&amp;" ")-1),",","."))-1)/MID(SUBSTITUTE(LEFT(TRIM(C97),FIND(" ",TRIM(C97)&amp;" ")-1),",","."),FIND("/",SUBSTITUTE(LEFT(TRIM(C97),FIND(" ",TRIM(C97)&amp;" ")-1),",","."))+1,9)),IF(ISNUMBER(SEARCH("yea",C97)),IFERROR(_xlfn.NUMBERVALUE(SUBSTITUTE(LEFT(TRIM(C97),FIND(" ",TRIM(C97)&amp;" ")-1),",","."),"."),LEFT(SUBSTITUTE(LEFT(TRIM(C97),FIND(" ",TRIM(C97)&amp;" ")-1),",","."),FIND("/",SUBSTITUTE(LEFT(TRIM(C97),FIND(" ",TRIM(C97)&amp;" ")-1),",","."))-1)/MID(SUBSTITUTE(LEFT(TRIM(C97),FIND(" ",TRIM(C97)&amp;" ")-1),",","."),FIND("/",SUBSTITUTE(LEFT(TRIM(C97),FIND(" ",TRIM(C97)&amp;" ")-1),",","."))+1,9))*12,NA()))),0),36)*'Aturan &amp; Tarif'!$B$4,2)</f>
        <v>2044.08</v>
      </c>
      <c r="K97" s="32" t="n">
        <f aca="false">'Aturan &amp; Tarif'!$B$5</f>
        <v>2050</v>
      </c>
      <c r="L97" s="32" t="n">
        <f aca="false">'Aturan &amp; Tarif'!$B$6</f>
        <v>350</v>
      </c>
      <c r="M97" s="35" t="n">
        <f aca="false">I97+J97+K97+L97</f>
        <v>29844.08</v>
      </c>
      <c r="N97" s="37" t="s">
        <v>1256</v>
      </c>
    </row>
    <row r="98" customFormat="false" ht="25.5" hidden="false" customHeight="true" outlineLevel="0" collapsed="false">
      <c r="A98" s="29"/>
      <c r="B98" s="30" t="s">
        <v>1263</v>
      </c>
      <c r="C98" s="31" t="s">
        <v>127</v>
      </c>
      <c r="D98" s="31" t="s">
        <v>108</v>
      </c>
      <c r="E98" s="32" t="n">
        <v>12625</v>
      </c>
      <c r="F98" s="32"/>
      <c r="G98" s="32" t="n">
        <v>150</v>
      </c>
      <c r="H98" s="33" t="n">
        <v>2</v>
      </c>
      <c r="I98" s="34" t="n">
        <f aca="false">E98*H98+N(F98)+N(G98)</f>
        <v>25400</v>
      </c>
      <c r="J98" s="32" t="n">
        <f aca="false">ROUND(IFERROR(ROUND(IF(OR(ISNUMBER(SEARCH("week",C98)),ISNUMBER(SEARCH("minggu",C98))),IFERROR(_xlfn.NUMBERVALUE(SUBSTITUTE(LEFT(TRIM(C98),FIND(" ",TRIM(C98)&amp;" ")-1),",","."),"."),LEFT(SUBSTITUTE(LEFT(TRIM(C98),FIND(" ",TRIM(C98)&amp;" ")-1),",","."),FIND("/",SUBSTITUTE(LEFT(TRIM(C98),FIND(" ",TRIM(C98)&amp;" ")-1),",","."))-1)/MID(SUBSTITUTE(LEFT(TRIM(C98),FIND(" ",TRIM(C98)&amp;" ")-1),",","."),FIND("/",SUBSTITUTE(LEFT(TRIM(C98),FIND(" ",TRIM(C98)&amp;" ")-1),",","."))+1,9))*12/52,IF(ISNUMBER(SEARCH("month",C98)),IFERROR(_xlfn.NUMBERVALUE(SUBSTITUTE(LEFT(TRIM(C98),FIND(" ",TRIM(C98)&amp;" ")-1),",","."),"."),LEFT(SUBSTITUTE(LEFT(TRIM(C98),FIND(" ",TRIM(C98)&amp;" ")-1),",","."),FIND("/",SUBSTITUTE(LEFT(TRIM(C98),FIND(" ",TRIM(C98)&amp;" ")-1),",","."))-1)/MID(SUBSTITUTE(LEFT(TRIM(C98),FIND(" ",TRIM(C98)&amp;" ")-1),",","."),FIND("/",SUBSTITUTE(LEFT(TRIM(C98),FIND(" ",TRIM(C98)&amp;" ")-1),",","."))+1,9)),IF(ISNUMBER(SEARCH("yea",C98)),IFERROR(_xlfn.NUMBERVALUE(SUBSTITUTE(LEFT(TRIM(C98),FIND(" ",TRIM(C98)&amp;" ")-1),",","."),"."),LEFT(SUBSTITUTE(LEFT(TRIM(C98),FIND(" ",TRIM(C98)&amp;" ")-1),",","."),FIND("/",SUBSTITUTE(LEFT(TRIM(C98),FIND(" ",TRIM(C98)&amp;" ")-1),",","."))-1)/MID(SUBSTITUTE(LEFT(TRIM(C98),FIND(" ",TRIM(C98)&amp;" ")-1),",","."),FIND("/",SUBSTITUTE(LEFT(TRIM(C98),FIND(" ",TRIM(C98)&amp;" ")-1),",","."))+1,9))*12,NA()))),0),36)*'Aturan &amp; Tarif'!$B$4,2)</f>
        <v>2044.08</v>
      </c>
      <c r="K98" s="32" t="n">
        <f aca="false">'Aturan &amp; Tarif'!$B$5</f>
        <v>2050</v>
      </c>
      <c r="L98" s="32" t="n">
        <f aca="false">'Aturan &amp; Tarif'!$B$6</f>
        <v>350</v>
      </c>
      <c r="M98" s="35" t="n">
        <f aca="false">I98+J98+K98+L98</f>
        <v>29844.08</v>
      </c>
      <c r="N98" s="37" t="s">
        <v>1256</v>
      </c>
    </row>
    <row r="99" customFormat="false" ht="25.5" hidden="false" customHeight="true" outlineLevel="0" collapsed="false">
      <c r="A99" s="29"/>
      <c r="B99" s="30" t="s">
        <v>1264</v>
      </c>
      <c r="C99" s="31" t="s">
        <v>127</v>
      </c>
      <c r="D99" s="31" t="s">
        <v>108</v>
      </c>
      <c r="E99" s="32" t="n">
        <v>12625</v>
      </c>
      <c r="F99" s="32"/>
      <c r="G99" s="32" t="n">
        <v>150</v>
      </c>
      <c r="H99" s="33" t="n">
        <v>2</v>
      </c>
      <c r="I99" s="34" t="n">
        <f aca="false">E99*H99+N(F99)+N(G99)</f>
        <v>25400</v>
      </c>
      <c r="J99" s="32" t="n">
        <f aca="false">ROUND(IFERROR(ROUND(IF(OR(ISNUMBER(SEARCH("week",C99)),ISNUMBER(SEARCH("minggu",C99))),IFERROR(_xlfn.NUMBERVALUE(SUBSTITUTE(LEFT(TRIM(C99),FIND(" ",TRIM(C99)&amp;" ")-1),",","."),"."),LEFT(SUBSTITUTE(LEFT(TRIM(C99),FIND(" ",TRIM(C99)&amp;" ")-1),",","."),FIND("/",SUBSTITUTE(LEFT(TRIM(C99),FIND(" ",TRIM(C99)&amp;" ")-1),",","."))-1)/MID(SUBSTITUTE(LEFT(TRIM(C99),FIND(" ",TRIM(C99)&amp;" ")-1),",","."),FIND("/",SUBSTITUTE(LEFT(TRIM(C99),FIND(" ",TRIM(C99)&amp;" ")-1),",","."))+1,9))*12/52,IF(ISNUMBER(SEARCH("month",C99)),IFERROR(_xlfn.NUMBERVALUE(SUBSTITUTE(LEFT(TRIM(C99),FIND(" ",TRIM(C99)&amp;" ")-1),",","."),"."),LEFT(SUBSTITUTE(LEFT(TRIM(C99),FIND(" ",TRIM(C99)&amp;" ")-1),",","."),FIND("/",SUBSTITUTE(LEFT(TRIM(C99),FIND(" ",TRIM(C99)&amp;" ")-1),",","."))-1)/MID(SUBSTITUTE(LEFT(TRIM(C99),FIND(" ",TRIM(C99)&amp;" ")-1),",","."),FIND("/",SUBSTITUTE(LEFT(TRIM(C99),FIND(" ",TRIM(C99)&amp;" ")-1),",","."))+1,9)),IF(ISNUMBER(SEARCH("yea",C99)),IFERROR(_xlfn.NUMBERVALUE(SUBSTITUTE(LEFT(TRIM(C99),FIND(" ",TRIM(C99)&amp;" ")-1),",","."),"."),LEFT(SUBSTITUTE(LEFT(TRIM(C99),FIND(" ",TRIM(C99)&amp;" ")-1),",","."),FIND("/",SUBSTITUTE(LEFT(TRIM(C99),FIND(" ",TRIM(C99)&amp;" ")-1),",","."))-1)/MID(SUBSTITUTE(LEFT(TRIM(C99),FIND(" ",TRIM(C99)&amp;" ")-1),",","."),FIND("/",SUBSTITUTE(LEFT(TRIM(C99),FIND(" ",TRIM(C99)&amp;" ")-1),",","."))+1,9))*12,NA()))),0),36)*'Aturan &amp; Tarif'!$B$4,2)</f>
        <v>2044.08</v>
      </c>
      <c r="K99" s="32" t="n">
        <f aca="false">'Aturan &amp; Tarif'!$B$5</f>
        <v>2050</v>
      </c>
      <c r="L99" s="32" t="n">
        <f aca="false">'Aturan &amp; Tarif'!$B$6</f>
        <v>350</v>
      </c>
      <c r="M99" s="35" t="n">
        <f aca="false">I99+J99+K99+L99</f>
        <v>29844.08</v>
      </c>
      <c r="N99" s="37" t="s">
        <v>1256</v>
      </c>
    </row>
    <row r="100" customFormat="false" ht="25.5" hidden="false" customHeight="true" outlineLevel="0" collapsed="false">
      <c r="A100" s="29"/>
      <c r="B100" s="30" t="s">
        <v>1265</v>
      </c>
      <c r="C100" s="31" t="s">
        <v>127</v>
      </c>
      <c r="D100" s="31" t="s">
        <v>108</v>
      </c>
      <c r="E100" s="32" t="n">
        <v>12625</v>
      </c>
      <c r="F100" s="32"/>
      <c r="G100" s="32" t="n">
        <v>150</v>
      </c>
      <c r="H100" s="33" t="n">
        <v>2</v>
      </c>
      <c r="I100" s="34" t="n">
        <f aca="false">E100*H100+N(F100)+N(G100)</f>
        <v>25400</v>
      </c>
      <c r="J100" s="32" t="n">
        <f aca="false">ROUND(IFERROR(ROUND(IF(OR(ISNUMBER(SEARCH("week",C100)),ISNUMBER(SEARCH("minggu",C100))),IFERROR(_xlfn.NUMBERVALUE(SUBSTITUTE(LEFT(TRIM(C100),FIND(" ",TRIM(C100)&amp;" ")-1),",","."),"."),LEFT(SUBSTITUTE(LEFT(TRIM(C100),FIND(" ",TRIM(C100)&amp;" ")-1),",","."),FIND("/",SUBSTITUTE(LEFT(TRIM(C100),FIND(" ",TRIM(C100)&amp;" ")-1),",","."))-1)/MID(SUBSTITUTE(LEFT(TRIM(C100),FIND(" ",TRIM(C100)&amp;" ")-1),",","."),FIND("/",SUBSTITUTE(LEFT(TRIM(C100),FIND(" ",TRIM(C100)&amp;" ")-1),",","."))+1,9))*12/52,IF(ISNUMBER(SEARCH("month",C100)),IFERROR(_xlfn.NUMBERVALUE(SUBSTITUTE(LEFT(TRIM(C100),FIND(" ",TRIM(C100)&amp;" ")-1),",","."),"."),LEFT(SUBSTITUTE(LEFT(TRIM(C100),FIND(" ",TRIM(C100)&amp;" ")-1),",","."),FIND("/",SUBSTITUTE(LEFT(TRIM(C100),FIND(" ",TRIM(C100)&amp;" ")-1),",","."))-1)/MID(SUBSTITUTE(LEFT(TRIM(C100),FIND(" ",TRIM(C100)&amp;" ")-1),",","."),FIND("/",SUBSTITUTE(LEFT(TRIM(C100),FIND(" ",TRIM(C100)&amp;" ")-1),",","."))+1,9)),IF(ISNUMBER(SEARCH("yea",C100)),IFERROR(_xlfn.NUMBERVALUE(SUBSTITUTE(LEFT(TRIM(C100),FIND(" ",TRIM(C100)&amp;" ")-1),",","."),"."),LEFT(SUBSTITUTE(LEFT(TRIM(C100),FIND(" ",TRIM(C100)&amp;" ")-1),",","."),FIND("/",SUBSTITUTE(LEFT(TRIM(C100),FIND(" ",TRIM(C100)&amp;" ")-1),",","."))-1)/MID(SUBSTITUTE(LEFT(TRIM(C100),FIND(" ",TRIM(C100)&amp;" ")-1),",","."),FIND("/",SUBSTITUTE(LEFT(TRIM(C100),FIND(" ",TRIM(C100)&amp;" ")-1),",","."))+1,9))*12,NA()))),0),36)*'Aturan &amp; Tarif'!$B$4,2)</f>
        <v>2044.08</v>
      </c>
      <c r="K100" s="32" t="n">
        <f aca="false">'Aturan &amp; Tarif'!$B$5</f>
        <v>2050</v>
      </c>
      <c r="L100" s="32" t="n">
        <f aca="false">'Aturan &amp; Tarif'!$B$6</f>
        <v>350</v>
      </c>
      <c r="M100" s="35" t="n">
        <f aca="false">I100+J100+K100+L100</f>
        <v>29844.08</v>
      </c>
      <c r="N100" s="37" t="s">
        <v>1256</v>
      </c>
    </row>
    <row r="101" customFormat="false" ht="25.5" hidden="false" customHeight="true" outlineLevel="0" collapsed="false">
      <c r="A101" s="29"/>
      <c r="B101" s="30" t="s">
        <v>1266</v>
      </c>
      <c r="C101" s="31" t="s">
        <v>127</v>
      </c>
      <c r="D101" s="31" t="s">
        <v>108</v>
      </c>
      <c r="E101" s="32" t="n">
        <v>12625</v>
      </c>
      <c r="F101" s="32"/>
      <c r="G101" s="32" t="n">
        <v>150</v>
      </c>
      <c r="H101" s="33" t="n">
        <v>2</v>
      </c>
      <c r="I101" s="34" t="n">
        <f aca="false">E101*H101+N(F101)+N(G101)</f>
        <v>25400</v>
      </c>
      <c r="J101" s="32" t="n">
        <f aca="false">ROUND(IFERROR(ROUND(IF(OR(ISNUMBER(SEARCH("week",C101)),ISNUMBER(SEARCH("minggu",C101))),IFERROR(_xlfn.NUMBERVALUE(SUBSTITUTE(LEFT(TRIM(C101),FIND(" ",TRIM(C101)&amp;" ")-1),",","."),"."),LEFT(SUBSTITUTE(LEFT(TRIM(C101),FIND(" ",TRIM(C101)&amp;" ")-1),",","."),FIND("/",SUBSTITUTE(LEFT(TRIM(C101),FIND(" ",TRIM(C101)&amp;" ")-1),",","."))-1)/MID(SUBSTITUTE(LEFT(TRIM(C101),FIND(" ",TRIM(C101)&amp;" ")-1),",","."),FIND("/",SUBSTITUTE(LEFT(TRIM(C101),FIND(" ",TRIM(C101)&amp;" ")-1),",","."))+1,9))*12/52,IF(ISNUMBER(SEARCH("month",C101)),IFERROR(_xlfn.NUMBERVALUE(SUBSTITUTE(LEFT(TRIM(C101),FIND(" ",TRIM(C101)&amp;" ")-1),",","."),"."),LEFT(SUBSTITUTE(LEFT(TRIM(C101),FIND(" ",TRIM(C101)&amp;" ")-1),",","."),FIND("/",SUBSTITUTE(LEFT(TRIM(C101),FIND(" ",TRIM(C101)&amp;" ")-1),",","."))-1)/MID(SUBSTITUTE(LEFT(TRIM(C101),FIND(" ",TRIM(C101)&amp;" ")-1),",","."),FIND("/",SUBSTITUTE(LEFT(TRIM(C101),FIND(" ",TRIM(C101)&amp;" ")-1),",","."))+1,9)),IF(ISNUMBER(SEARCH("yea",C101)),IFERROR(_xlfn.NUMBERVALUE(SUBSTITUTE(LEFT(TRIM(C101),FIND(" ",TRIM(C101)&amp;" ")-1),",","."),"."),LEFT(SUBSTITUTE(LEFT(TRIM(C101),FIND(" ",TRIM(C101)&amp;" ")-1),",","."),FIND("/",SUBSTITUTE(LEFT(TRIM(C101),FIND(" ",TRIM(C101)&amp;" ")-1),",","."))-1)/MID(SUBSTITUTE(LEFT(TRIM(C101),FIND(" ",TRIM(C101)&amp;" ")-1),",","."),FIND("/",SUBSTITUTE(LEFT(TRIM(C101),FIND(" ",TRIM(C101)&amp;" ")-1),",","."))+1,9))*12,NA()))),0),36)*'Aturan &amp; Tarif'!$B$4,2)</f>
        <v>2044.08</v>
      </c>
      <c r="K101" s="32" t="n">
        <f aca="false">'Aturan &amp; Tarif'!$B$5</f>
        <v>2050</v>
      </c>
      <c r="L101" s="32" t="n">
        <f aca="false">'Aturan &amp; Tarif'!$B$6</f>
        <v>350</v>
      </c>
      <c r="M101" s="35" t="n">
        <f aca="false">I101+J101+K101+L101</f>
        <v>29844.08</v>
      </c>
      <c r="N101" s="37" t="s">
        <v>1256</v>
      </c>
    </row>
    <row r="102" customFormat="false" ht="14.25" hidden="false" customHeight="true" outlineLevel="0" collapsed="false">
      <c r="A102" s="29"/>
      <c r="B102" s="30" t="s">
        <v>327</v>
      </c>
      <c r="C102" s="31" t="s">
        <v>127</v>
      </c>
      <c r="D102" s="31" t="s">
        <v>108</v>
      </c>
      <c r="E102" s="32" t="n">
        <v>13850</v>
      </c>
      <c r="F102" s="32"/>
      <c r="G102" s="32" t="n">
        <v>150</v>
      </c>
      <c r="H102" s="33" t="n">
        <v>2</v>
      </c>
      <c r="I102" s="34" t="n">
        <f aca="false">E102*H102+N(F102)+N(G102)</f>
        <v>27850</v>
      </c>
      <c r="J102" s="32" t="n">
        <f aca="false">ROUND(IFERROR(ROUND(IF(OR(ISNUMBER(SEARCH("week",C102)),ISNUMBER(SEARCH("minggu",C102))),IFERROR(_xlfn.NUMBERVALUE(SUBSTITUTE(LEFT(TRIM(C102),FIND(" ",TRIM(C102)&amp;" ")-1),",","."),"."),LEFT(SUBSTITUTE(LEFT(TRIM(C102),FIND(" ",TRIM(C102)&amp;" ")-1),",","."),FIND("/",SUBSTITUTE(LEFT(TRIM(C102),FIND(" ",TRIM(C102)&amp;" ")-1),",","."))-1)/MID(SUBSTITUTE(LEFT(TRIM(C102),FIND(" ",TRIM(C102)&amp;" ")-1),",","."),FIND("/",SUBSTITUTE(LEFT(TRIM(C102),FIND(" ",TRIM(C102)&amp;" ")-1),",","."))+1,9))*12/52,IF(ISNUMBER(SEARCH("month",C102)),IFERROR(_xlfn.NUMBERVALUE(SUBSTITUTE(LEFT(TRIM(C102),FIND(" ",TRIM(C102)&amp;" ")-1),",","."),"."),LEFT(SUBSTITUTE(LEFT(TRIM(C102),FIND(" ",TRIM(C102)&amp;" ")-1),",","."),FIND("/",SUBSTITUTE(LEFT(TRIM(C102),FIND(" ",TRIM(C102)&amp;" ")-1),",","."))-1)/MID(SUBSTITUTE(LEFT(TRIM(C102),FIND(" ",TRIM(C102)&amp;" ")-1),",","."),FIND("/",SUBSTITUTE(LEFT(TRIM(C102),FIND(" ",TRIM(C102)&amp;" ")-1),",","."))+1,9)),IF(ISNUMBER(SEARCH("yea",C102)),IFERROR(_xlfn.NUMBERVALUE(SUBSTITUTE(LEFT(TRIM(C102),FIND(" ",TRIM(C102)&amp;" ")-1),",","."),"."),LEFT(SUBSTITUTE(LEFT(TRIM(C102),FIND(" ",TRIM(C102)&amp;" ")-1),",","."),FIND("/",SUBSTITUTE(LEFT(TRIM(C102),FIND(" ",TRIM(C102)&amp;" ")-1),",","."))-1)/MID(SUBSTITUTE(LEFT(TRIM(C102),FIND(" ",TRIM(C102)&amp;" ")-1),",","."),FIND("/",SUBSTITUTE(LEFT(TRIM(C102),FIND(" ",TRIM(C102)&amp;" ")-1),",","."))+1,9))*12,NA()))),0),36)*'Aturan &amp; Tarif'!$B$4,2)</f>
        <v>2044.08</v>
      </c>
      <c r="K102" s="32" t="n">
        <f aca="false">'Aturan &amp; Tarif'!$B$5</f>
        <v>2050</v>
      </c>
      <c r="L102" s="32" t="n">
        <f aca="false">'Aturan &amp; Tarif'!$B$6</f>
        <v>350</v>
      </c>
      <c r="M102" s="35" t="n">
        <f aca="false">I102+J102+K102+L102</f>
        <v>32294.08</v>
      </c>
      <c r="N102" s="37" t="s">
        <v>1267</v>
      </c>
    </row>
    <row r="103" customFormat="false" ht="37.5" hidden="false" customHeight="true" outlineLevel="0" collapsed="false">
      <c r="A103" s="29"/>
      <c r="B103" s="30" t="s">
        <v>1268</v>
      </c>
      <c r="C103" s="31" t="s">
        <v>127</v>
      </c>
      <c r="D103" s="31" t="s">
        <v>108</v>
      </c>
      <c r="E103" s="32" t="n">
        <v>13850</v>
      </c>
      <c r="F103" s="32"/>
      <c r="G103" s="32" t="n">
        <v>150</v>
      </c>
      <c r="H103" s="33" t="n">
        <v>2</v>
      </c>
      <c r="I103" s="34" t="n">
        <f aca="false">E103*H103+N(F103)+N(G103)</f>
        <v>27850</v>
      </c>
      <c r="J103" s="32" t="n">
        <f aca="false">ROUND(IFERROR(ROUND(IF(OR(ISNUMBER(SEARCH("week",C103)),ISNUMBER(SEARCH("minggu",C103))),IFERROR(_xlfn.NUMBERVALUE(SUBSTITUTE(LEFT(TRIM(C103),FIND(" ",TRIM(C103)&amp;" ")-1),",","."),"."),LEFT(SUBSTITUTE(LEFT(TRIM(C103),FIND(" ",TRIM(C103)&amp;" ")-1),",","."),FIND("/",SUBSTITUTE(LEFT(TRIM(C103),FIND(" ",TRIM(C103)&amp;" ")-1),",","."))-1)/MID(SUBSTITUTE(LEFT(TRIM(C103),FIND(" ",TRIM(C103)&amp;" ")-1),",","."),FIND("/",SUBSTITUTE(LEFT(TRIM(C103),FIND(" ",TRIM(C103)&amp;" ")-1),",","."))+1,9))*12/52,IF(ISNUMBER(SEARCH("month",C103)),IFERROR(_xlfn.NUMBERVALUE(SUBSTITUTE(LEFT(TRIM(C103),FIND(" ",TRIM(C103)&amp;" ")-1),",","."),"."),LEFT(SUBSTITUTE(LEFT(TRIM(C103),FIND(" ",TRIM(C103)&amp;" ")-1),",","."),FIND("/",SUBSTITUTE(LEFT(TRIM(C103),FIND(" ",TRIM(C103)&amp;" ")-1),",","."))-1)/MID(SUBSTITUTE(LEFT(TRIM(C103),FIND(" ",TRIM(C103)&amp;" ")-1),",","."),FIND("/",SUBSTITUTE(LEFT(TRIM(C103),FIND(" ",TRIM(C103)&amp;" ")-1),",","."))+1,9)),IF(ISNUMBER(SEARCH("yea",C103)),IFERROR(_xlfn.NUMBERVALUE(SUBSTITUTE(LEFT(TRIM(C103),FIND(" ",TRIM(C103)&amp;" ")-1),",","."),"."),LEFT(SUBSTITUTE(LEFT(TRIM(C103),FIND(" ",TRIM(C103)&amp;" ")-1),",","."),FIND("/",SUBSTITUTE(LEFT(TRIM(C103),FIND(" ",TRIM(C103)&amp;" ")-1),",","."))-1)/MID(SUBSTITUTE(LEFT(TRIM(C103),FIND(" ",TRIM(C103)&amp;" ")-1),",","."),FIND("/",SUBSTITUTE(LEFT(TRIM(C103),FIND(" ",TRIM(C103)&amp;" ")-1),",","."))+1,9))*12,NA()))),0),36)*'Aturan &amp; Tarif'!$B$4,2)</f>
        <v>2044.08</v>
      </c>
      <c r="K103" s="32" t="n">
        <f aca="false">'Aturan &amp; Tarif'!$B$5</f>
        <v>2050</v>
      </c>
      <c r="L103" s="32" t="n">
        <f aca="false">'Aturan &amp; Tarif'!$B$6</f>
        <v>350</v>
      </c>
      <c r="M103" s="35" t="n">
        <f aca="false">I103+J103+K103+L103</f>
        <v>32294.08</v>
      </c>
      <c r="N103" s="37" t="s">
        <v>1267</v>
      </c>
    </row>
    <row r="104" customFormat="false" ht="25.5" hidden="false" customHeight="true" outlineLevel="0" collapsed="false">
      <c r="A104" s="29"/>
      <c r="B104" s="30" t="s">
        <v>1269</v>
      </c>
      <c r="C104" s="31" t="s">
        <v>127</v>
      </c>
      <c r="D104" s="31" t="s">
        <v>108</v>
      </c>
      <c r="E104" s="32" t="n">
        <v>13850</v>
      </c>
      <c r="F104" s="32"/>
      <c r="G104" s="32" t="n">
        <v>150</v>
      </c>
      <c r="H104" s="33" t="n">
        <v>2</v>
      </c>
      <c r="I104" s="34" t="n">
        <f aca="false">E104*H104+N(F104)+N(G104)</f>
        <v>27850</v>
      </c>
      <c r="J104" s="32" t="n">
        <f aca="false">ROUND(IFERROR(ROUND(IF(OR(ISNUMBER(SEARCH("week",C104)),ISNUMBER(SEARCH("minggu",C104))),IFERROR(_xlfn.NUMBERVALUE(SUBSTITUTE(LEFT(TRIM(C104),FIND(" ",TRIM(C104)&amp;" ")-1),",","."),"."),LEFT(SUBSTITUTE(LEFT(TRIM(C104),FIND(" ",TRIM(C104)&amp;" ")-1),",","."),FIND("/",SUBSTITUTE(LEFT(TRIM(C104),FIND(" ",TRIM(C104)&amp;" ")-1),",","."))-1)/MID(SUBSTITUTE(LEFT(TRIM(C104),FIND(" ",TRIM(C104)&amp;" ")-1),",","."),FIND("/",SUBSTITUTE(LEFT(TRIM(C104),FIND(" ",TRIM(C104)&amp;" ")-1),",","."))+1,9))*12/52,IF(ISNUMBER(SEARCH("month",C104)),IFERROR(_xlfn.NUMBERVALUE(SUBSTITUTE(LEFT(TRIM(C104),FIND(" ",TRIM(C104)&amp;" ")-1),",","."),"."),LEFT(SUBSTITUTE(LEFT(TRIM(C104),FIND(" ",TRIM(C104)&amp;" ")-1),",","."),FIND("/",SUBSTITUTE(LEFT(TRIM(C104),FIND(" ",TRIM(C104)&amp;" ")-1),",","."))-1)/MID(SUBSTITUTE(LEFT(TRIM(C104),FIND(" ",TRIM(C104)&amp;" ")-1),",","."),FIND("/",SUBSTITUTE(LEFT(TRIM(C104),FIND(" ",TRIM(C104)&amp;" ")-1),",","."))+1,9)),IF(ISNUMBER(SEARCH("yea",C104)),IFERROR(_xlfn.NUMBERVALUE(SUBSTITUTE(LEFT(TRIM(C104),FIND(" ",TRIM(C104)&amp;" ")-1),",","."),"."),LEFT(SUBSTITUTE(LEFT(TRIM(C104),FIND(" ",TRIM(C104)&amp;" ")-1),",","."),FIND("/",SUBSTITUTE(LEFT(TRIM(C104),FIND(" ",TRIM(C104)&amp;" ")-1),",","."))-1)/MID(SUBSTITUTE(LEFT(TRIM(C104),FIND(" ",TRIM(C104)&amp;" ")-1),",","."),FIND("/",SUBSTITUTE(LEFT(TRIM(C104),FIND(" ",TRIM(C104)&amp;" ")-1),",","."))+1,9))*12,NA()))),0),36)*'Aturan &amp; Tarif'!$B$4,2)</f>
        <v>2044.08</v>
      </c>
      <c r="K104" s="32" t="n">
        <f aca="false">'Aturan &amp; Tarif'!$B$5</f>
        <v>2050</v>
      </c>
      <c r="L104" s="32" t="n">
        <f aca="false">'Aturan &amp; Tarif'!$B$6</f>
        <v>350</v>
      </c>
      <c r="M104" s="35" t="n">
        <f aca="false">I104+J104+K104+L104</f>
        <v>32294.08</v>
      </c>
      <c r="N104" s="37" t="s">
        <v>1267</v>
      </c>
    </row>
    <row r="105" customFormat="false" ht="25.5" hidden="false" customHeight="true" outlineLevel="0" collapsed="false">
      <c r="A105" s="29"/>
      <c r="B105" s="30" t="s">
        <v>1270</v>
      </c>
      <c r="C105" s="31" t="s">
        <v>127</v>
      </c>
      <c r="D105" s="31" t="s">
        <v>108</v>
      </c>
      <c r="E105" s="32" t="n">
        <v>13850</v>
      </c>
      <c r="F105" s="32"/>
      <c r="G105" s="32" t="n">
        <v>150</v>
      </c>
      <c r="H105" s="33" t="n">
        <v>2</v>
      </c>
      <c r="I105" s="34" t="n">
        <f aca="false">E105*H105+N(F105)+N(G105)</f>
        <v>27850</v>
      </c>
      <c r="J105" s="32" t="n">
        <f aca="false">ROUND(IFERROR(ROUND(IF(OR(ISNUMBER(SEARCH("week",C105)),ISNUMBER(SEARCH("minggu",C105))),IFERROR(_xlfn.NUMBERVALUE(SUBSTITUTE(LEFT(TRIM(C105),FIND(" ",TRIM(C105)&amp;" ")-1),",","."),"."),LEFT(SUBSTITUTE(LEFT(TRIM(C105),FIND(" ",TRIM(C105)&amp;" ")-1),",","."),FIND("/",SUBSTITUTE(LEFT(TRIM(C105),FIND(" ",TRIM(C105)&amp;" ")-1),",","."))-1)/MID(SUBSTITUTE(LEFT(TRIM(C105),FIND(" ",TRIM(C105)&amp;" ")-1),",","."),FIND("/",SUBSTITUTE(LEFT(TRIM(C105),FIND(" ",TRIM(C105)&amp;" ")-1),",","."))+1,9))*12/52,IF(ISNUMBER(SEARCH("month",C105)),IFERROR(_xlfn.NUMBERVALUE(SUBSTITUTE(LEFT(TRIM(C105),FIND(" ",TRIM(C105)&amp;" ")-1),",","."),"."),LEFT(SUBSTITUTE(LEFT(TRIM(C105),FIND(" ",TRIM(C105)&amp;" ")-1),",","."),FIND("/",SUBSTITUTE(LEFT(TRIM(C105),FIND(" ",TRIM(C105)&amp;" ")-1),",","."))-1)/MID(SUBSTITUTE(LEFT(TRIM(C105),FIND(" ",TRIM(C105)&amp;" ")-1),",","."),FIND("/",SUBSTITUTE(LEFT(TRIM(C105),FIND(" ",TRIM(C105)&amp;" ")-1),",","."))+1,9)),IF(ISNUMBER(SEARCH("yea",C105)),IFERROR(_xlfn.NUMBERVALUE(SUBSTITUTE(LEFT(TRIM(C105),FIND(" ",TRIM(C105)&amp;" ")-1),",","."),"."),LEFT(SUBSTITUTE(LEFT(TRIM(C105),FIND(" ",TRIM(C105)&amp;" ")-1),",","."),FIND("/",SUBSTITUTE(LEFT(TRIM(C105),FIND(" ",TRIM(C105)&amp;" ")-1),",","."))-1)/MID(SUBSTITUTE(LEFT(TRIM(C105),FIND(" ",TRIM(C105)&amp;" ")-1),",","."),FIND("/",SUBSTITUTE(LEFT(TRIM(C105),FIND(" ",TRIM(C105)&amp;" ")-1),",","."))+1,9))*12,NA()))),0),36)*'Aturan &amp; Tarif'!$B$4,2)</f>
        <v>2044.08</v>
      </c>
      <c r="K105" s="32" t="n">
        <f aca="false">'Aturan &amp; Tarif'!$B$5</f>
        <v>2050</v>
      </c>
      <c r="L105" s="32" t="n">
        <f aca="false">'Aturan &amp; Tarif'!$B$6</f>
        <v>350</v>
      </c>
      <c r="M105" s="35" t="n">
        <f aca="false">I105+J105+K105+L105</f>
        <v>32294.08</v>
      </c>
      <c r="N105" s="37" t="s">
        <v>1267</v>
      </c>
    </row>
    <row r="106" customFormat="false" ht="14.25" hidden="false" customHeight="true" outlineLevel="0" collapsed="false">
      <c r="A106" s="29"/>
      <c r="B106" s="30" t="s">
        <v>1271</v>
      </c>
      <c r="C106" s="31" t="s">
        <v>191</v>
      </c>
      <c r="D106" s="31" t="s">
        <v>108</v>
      </c>
      <c r="E106" s="32" t="n">
        <v>13850</v>
      </c>
      <c r="F106" s="32"/>
      <c r="G106" s="32" t="n">
        <v>150</v>
      </c>
      <c r="H106" s="33" t="n">
        <v>2</v>
      </c>
      <c r="I106" s="34" t="n">
        <f aca="false">E106*H106+N(F106)+N(G106)</f>
        <v>27850</v>
      </c>
      <c r="J106" s="32" t="n">
        <f aca="false">ROUND(IFERROR(ROUND(IF(OR(ISNUMBER(SEARCH("week",C106)),ISNUMBER(SEARCH("minggu",C106))),IFERROR(_xlfn.NUMBERVALUE(SUBSTITUTE(LEFT(TRIM(C106),FIND(" ",TRIM(C106)&amp;" ")-1),",","."),"."),LEFT(SUBSTITUTE(LEFT(TRIM(C106),FIND(" ",TRIM(C106)&amp;" ")-1),",","."),FIND("/",SUBSTITUTE(LEFT(TRIM(C106),FIND(" ",TRIM(C106)&amp;" ")-1),",","."))-1)/MID(SUBSTITUTE(LEFT(TRIM(C106),FIND(" ",TRIM(C106)&amp;" ")-1),",","."),FIND("/",SUBSTITUTE(LEFT(TRIM(C106),FIND(" ",TRIM(C106)&amp;" ")-1),",","."))+1,9))*12/52,IF(ISNUMBER(SEARCH("month",C106)),IFERROR(_xlfn.NUMBERVALUE(SUBSTITUTE(LEFT(TRIM(C106),FIND(" ",TRIM(C106)&amp;" ")-1),",","."),"."),LEFT(SUBSTITUTE(LEFT(TRIM(C106),FIND(" ",TRIM(C106)&amp;" ")-1),",","."),FIND("/",SUBSTITUTE(LEFT(TRIM(C106),FIND(" ",TRIM(C106)&amp;" ")-1),",","."))-1)/MID(SUBSTITUTE(LEFT(TRIM(C106),FIND(" ",TRIM(C106)&amp;" ")-1),",","."),FIND("/",SUBSTITUTE(LEFT(TRIM(C106),FIND(" ",TRIM(C106)&amp;" ")-1),",","."))+1,9)),IF(ISNUMBER(SEARCH("yea",C106)),IFERROR(_xlfn.NUMBERVALUE(SUBSTITUTE(LEFT(TRIM(C106),FIND(" ",TRIM(C106)&amp;" ")-1),",","."),"."),LEFT(SUBSTITUTE(LEFT(TRIM(C106),FIND(" ",TRIM(C106)&amp;" ")-1),",","."),FIND("/",SUBSTITUTE(LEFT(TRIM(C106),FIND(" ",TRIM(C106)&amp;" ")-1),",","."))-1)/MID(SUBSTITUTE(LEFT(TRIM(C106),FIND(" ",TRIM(C106)&amp;" ")-1),",","."),FIND("/",SUBSTITUTE(LEFT(TRIM(C106),FIND(" ",TRIM(C106)&amp;" ")-1),",","."))+1,9))*12,NA()))),0),48)*'Aturan &amp; Tarif'!$B$4,2)</f>
        <v>2725.44</v>
      </c>
      <c r="K106" s="32" t="n">
        <f aca="false">'Aturan &amp; Tarif'!$B$5</f>
        <v>2050</v>
      </c>
      <c r="L106" s="32" t="n">
        <f aca="false">'Aturan &amp; Tarif'!$B$6</f>
        <v>350</v>
      </c>
      <c r="M106" s="35" t="n">
        <f aca="false">I106+J106+K106+L106</f>
        <v>32975.44</v>
      </c>
      <c r="N106" s="37" t="s">
        <v>1272</v>
      </c>
    </row>
    <row r="107" customFormat="false" ht="37.5" hidden="false" customHeight="true" outlineLevel="0" collapsed="false">
      <c r="A107" s="29"/>
      <c r="B107" s="30" t="s">
        <v>1273</v>
      </c>
      <c r="C107" s="31" t="s">
        <v>191</v>
      </c>
      <c r="D107" s="31" t="s">
        <v>108</v>
      </c>
      <c r="E107" s="32" t="n">
        <v>13850</v>
      </c>
      <c r="F107" s="32"/>
      <c r="G107" s="32" t="n">
        <v>150</v>
      </c>
      <c r="H107" s="33" t="n">
        <v>2</v>
      </c>
      <c r="I107" s="34" t="n">
        <f aca="false">E107*H107+N(F107)+N(G107)</f>
        <v>27850</v>
      </c>
      <c r="J107" s="32" t="n">
        <f aca="false">ROUND(IFERROR(ROUND(IF(OR(ISNUMBER(SEARCH("week",C107)),ISNUMBER(SEARCH("minggu",C107))),IFERROR(_xlfn.NUMBERVALUE(SUBSTITUTE(LEFT(TRIM(C107),FIND(" ",TRIM(C107)&amp;" ")-1),",","."),"."),LEFT(SUBSTITUTE(LEFT(TRIM(C107),FIND(" ",TRIM(C107)&amp;" ")-1),",","."),FIND("/",SUBSTITUTE(LEFT(TRIM(C107),FIND(" ",TRIM(C107)&amp;" ")-1),",","."))-1)/MID(SUBSTITUTE(LEFT(TRIM(C107),FIND(" ",TRIM(C107)&amp;" ")-1),",","."),FIND("/",SUBSTITUTE(LEFT(TRIM(C107),FIND(" ",TRIM(C107)&amp;" ")-1),",","."))+1,9))*12/52,IF(ISNUMBER(SEARCH("month",C107)),IFERROR(_xlfn.NUMBERVALUE(SUBSTITUTE(LEFT(TRIM(C107),FIND(" ",TRIM(C107)&amp;" ")-1),",","."),"."),LEFT(SUBSTITUTE(LEFT(TRIM(C107),FIND(" ",TRIM(C107)&amp;" ")-1),",","."),FIND("/",SUBSTITUTE(LEFT(TRIM(C107),FIND(" ",TRIM(C107)&amp;" ")-1),",","."))-1)/MID(SUBSTITUTE(LEFT(TRIM(C107),FIND(" ",TRIM(C107)&amp;" ")-1),",","."),FIND("/",SUBSTITUTE(LEFT(TRIM(C107),FIND(" ",TRIM(C107)&amp;" ")-1),",","."))+1,9)),IF(ISNUMBER(SEARCH("yea",C107)),IFERROR(_xlfn.NUMBERVALUE(SUBSTITUTE(LEFT(TRIM(C107),FIND(" ",TRIM(C107)&amp;" ")-1),",","."),"."),LEFT(SUBSTITUTE(LEFT(TRIM(C107),FIND(" ",TRIM(C107)&amp;" ")-1),",","."),FIND("/",SUBSTITUTE(LEFT(TRIM(C107),FIND(" ",TRIM(C107)&amp;" ")-1),",","."))-1)/MID(SUBSTITUTE(LEFT(TRIM(C107),FIND(" ",TRIM(C107)&amp;" ")-1),",","."),FIND("/",SUBSTITUTE(LEFT(TRIM(C107),FIND(" ",TRIM(C107)&amp;" ")-1),",","."))+1,9))*12,NA()))),0),48)*'Aturan &amp; Tarif'!$B$4,2)</f>
        <v>2725.44</v>
      </c>
      <c r="K107" s="32" t="n">
        <f aca="false">'Aturan &amp; Tarif'!$B$5</f>
        <v>2050</v>
      </c>
      <c r="L107" s="32" t="n">
        <f aca="false">'Aturan &amp; Tarif'!$B$6</f>
        <v>350</v>
      </c>
      <c r="M107" s="35" t="n">
        <f aca="false">I107+J107+K107+L107</f>
        <v>32975.44</v>
      </c>
      <c r="N107" s="37" t="s">
        <v>1272</v>
      </c>
    </row>
    <row r="108" customFormat="false" ht="25.5" hidden="false" customHeight="true" outlineLevel="0" collapsed="false">
      <c r="A108" s="29"/>
      <c r="B108" s="30" t="s">
        <v>1274</v>
      </c>
      <c r="C108" s="31" t="s">
        <v>191</v>
      </c>
      <c r="D108" s="31" t="s">
        <v>108</v>
      </c>
      <c r="E108" s="32" t="n">
        <v>13850</v>
      </c>
      <c r="F108" s="32"/>
      <c r="G108" s="32" t="n">
        <v>150</v>
      </c>
      <c r="H108" s="33" t="n">
        <v>2</v>
      </c>
      <c r="I108" s="34" t="n">
        <f aca="false">E108*H108+N(F108)+N(G108)</f>
        <v>27850</v>
      </c>
      <c r="J108" s="32" t="n">
        <f aca="false">ROUND(IFERROR(ROUND(IF(OR(ISNUMBER(SEARCH("week",C108)),ISNUMBER(SEARCH("minggu",C108))),IFERROR(_xlfn.NUMBERVALUE(SUBSTITUTE(LEFT(TRIM(C108),FIND(" ",TRIM(C108)&amp;" ")-1),",","."),"."),LEFT(SUBSTITUTE(LEFT(TRIM(C108),FIND(" ",TRIM(C108)&amp;" ")-1),",","."),FIND("/",SUBSTITUTE(LEFT(TRIM(C108),FIND(" ",TRIM(C108)&amp;" ")-1),",","."))-1)/MID(SUBSTITUTE(LEFT(TRIM(C108),FIND(" ",TRIM(C108)&amp;" ")-1),",","."),FIND("/",SUBSTITUTE(LEFT(TRIM(C108),FIND(" ",TRIM(C108)&amp;" ")-1),",","."))+1,9))*12/52,IF(ISNUMBER(SEARCH("month",C108)),IFERROR(_xlfn.NUMBERVALUE(SUBSTITUTE(LEFT(TRIM(C108),FIND(" ",TRIM(C108)&amp;" ")-1),",","."),"."),LEFT(SUBSTITUTE(LEFT(TRIM(C108),FIND(" ",TRIM(C108)&amp;" ")-1),",","."),FIND("/",SUBSTITUTE(LEFT(TRIM(C108),FIND(" ",TRIM(C108)&amp;" ")-1),",","."))-1)/MID(SUBSTITUTE(LEFT(TRIM(C108),FIND(" ",TRIM(C108)&amp;" ")-1),",","."),FIND("/",SUBSTITUTE(LEFT(TRIM(C108),FIND(" ",TRIM(C108)&amp;" ")-1),",","."))+1,9)),IF(ISNUMBER(SEARCH("yea",C108)),IFERROR(_xlfn.NUMBERVALUE(SUBSTITUTE(LEFT(TRIM(C108),FIND(" ",TRIM(C108)&amp;" ")-1),",","."),"."),LEFT(SUBSTITUTE(LEFT(TRIM(C108),FIND(" ",TRIM(C108)&amp;" ")-1),",","."),FIND("/",SUBSTITUTE(LEFT(TRIM(C108),FIND(" ",TRIM(C108)&amp;" ")-1),",","."))-1)/MID(SUBSTITUTE(LEFT(TRIM(C108),FIND(" ",TRIM(C108)&amp;" ")-1),",","."),FIND("/",SUBSTITUTE(LEFT(TRIM(C108),FIND(" ",TRIM(C108)&amp;" ")-1),",","."))+1,9))*12,NA()))),0),48)*'Aturan &amp; Tarif'!$B$4,2)</f>
        <v>2725.44</v>
      </c>
      <c r="K108" s="32" t="n">
        <f aca="false">'Aturan &amp; Tarif'!$B$5</f>
        <v>2050</v>
      </c>
      <c r="L108" s="32" t="n">
        <f aca="false">'Aturan &amp; Tarif'!$B$6</f>
        <v>350</v>
      </c>
      <c r="M108" s="35" t="n">
        <f aca="false">I108+J108+K108+L108</f>
        <v>32975.44</v>
      </c>
      <c r="N108" s="37" t="s">
        <v>1272</v>
      </c>
    </row>
    <row r="109" customFormat="false" ht="25.5" hidden="false" customHeight="true" outlineLevel="0" collapsed="false">
      <c r="A109" s="29"/>
      <c r="B109" s="30" t="s">
        <v>1275</v>
      </c>
      <c r="C109" s="31" t="s">
        <v>191</v>
      </c>
      <c r="D109" s="31" t="s">
        <v>108</v>
      </c>
      <c r="E109" s="32" t="n">
        <v>13850</v>
      </c>
      <c r="F109" s="32"/>
      <c r="G109" s="32" t="n">
        <v>150</v>
      </c>
      <c r="H109" s="33" t="n">
        <v>2</v>
      </c>
      <c r="I109" s="34" t="n">
        <f aca="false">E109*H109+N(F109)+N(G109)</f>
        <v>27850</v>
      </c>
      <c r="J109" s="32" t="n">
        <f aca="false">ROUND(IFERROR(ROUND(IF(OR(ISNUMBER(SEARCH("week",C109)),ISNUMBER(SEARCH("minggu",C109))),IFERROR(_xlfn.NUMBERVALUE(SUBSTITUTE(LEFT(TRIM(C109),FIND(" ",TRIM(C109)&amp;" ")-1),",","."),"."),LEFT(SUBSTITUTE(LEFT(TRIM(C109),FIND(" ",TRIM(C109)&amp;" ")-1),",","."),FIND("/",SUBSTITUTE(LEFT(TRIM(C109),FIND(" ",TRIM(C109)&amp;" ")-1),",","."))-1)/MID(SUBSTITUTE(LEFT(TRIM(C109),FIND(" ",TRIM(C109)&amp;" ")-1),",","."),FIND("/",SUBSTITUTE(LEFT(TRIM(C109),FIND(" ",TRIM(C109)&amp;" ")-1),",","."))+1,9))*12/52,IF(ISNUMBER(SEARCH("month",C109)),IFERROR(_xlfn.NUMBERVALUE(SUBSTITUTE(LEFT(TRIM(C109),FIND(" ",TRIM(C109)&amp;" ")-1),",","."),"."),LEFT(SUBSTITUTE(LEFT(TRIM(C109),FIND(" ",TRIM(C109)&amp;" ")-1),",","."),FIND("/",SUBSTITUTE(LEFT(TRIM(C109),FIND(" ",TRIM(C109)&amp;" ")-1),",","."))-1)/MID(SUBSTITUTE(LEFT(TRIM(C109),FIND(" ",TRIM(C109)&amp;" ")-1),",","."),FIND("/",SUBSTITUTE(LEFT(TRIM(C109),FIND(" ",TRIM(C109)&amp;" ")-1),",","."))+1,9)),IF(ISNUMBER(SEARCH("yea",C109)),IFERROR(_xlfn.NUMBERVALUE(SUBSTITUTE(LEFT(TRIM(C109),FIND(" ",TRIM(C109)&amp;" ")-1),",","."),"."),LEFT(SUBSTITUTE(LEFT(TRIM(C109),FIND(" ",TRIM(C109)&amp;" ")-1),",","."),FIND("/",SUBSTITUTE(LEFT(TRIM(C109),FIND(" ",TRIM(C109)&amp;" ")-1),",","."))-1)/MID(SUBSTITUTE(LEFT(TRIM(C109),FIND(" ",TRIM(C109)&amp;" ")-1),",","."),FIND("/",SUBSTITUTE(LEFT(TRIM(C109),FIND(" ",TRIM(C109)&amp;" ")-1),",","."))+1,9))*12,NA()))),0),48)*'Aturan &amp; Tarif'!$B$4,2)</f>
        <v>2725.44</v>
      </c>
      <c r="K109" s="32" t="n">
        <f aca="false">'Aturan &amp; Tarif'!$B$5</f>
        <v>2050</v>
      </c>
      <c r="L109" s="32" t="n">
        <f aca="false">'Aturan &amp; Tarif'!$B$6</f>
        <v>350</v>
      </c>
      <c r="M109" s="35" t="n">
        <f aca="false">I109+J109+K109+L109</f>
        <v>32975.44</v>
      </c>
      <c r="N109" s="37" t="s">
        <v>1272</v>
      </c>
    </row>
    <row r="110" customFormat="false" ht="14.25" hidden="false" customHeight="true" outlineLevel="0" collapsed="false">
      <c r="A110" s="29"/>
      <c r="B110" s="30" t="s">
        <v>1276</v>
      </c>
      <c r="C110" s="31" t="s">
        <v>127</v>
      </c>
      <c r="D110" s="31" t="s">
        <v>108</v>
      </c>
      <c r="E110" s="32" t="n">
        <v>13850</v>
      </c>
      <c r="F110" s="32"/>
      <c r="G110" s="32" t="n">
        <v>150</v>
      </c>
      <c r="H110" s="33" t="n">
        <v>2</v>
      </c>
      <c r="I110" s="34" t="n">
        <f aca="false">E110*H110+N(F110)+N(G110)</f>
        <v>27850</v>
      </c>
      <c r="J110" s="32" t="n">
        <f aca="false">ROUND(IFERROR(ROUND(IF(OR(ISNUMBER(SEARCH("week",C110)),ISNUMBER(SEARCH("minggu",C110))),IFERROR(_xlfn.NUMBERVALUE(SUBSTITUTE(LEFT(TRIM(C110),FIND(" ",TRIM(C110)&amp;" ")-1),",","."),"."),LEFT(SUBSTITUTE(LEFT(TRIM(C110),FIND(" ",TRIM(C110)&amp;" ")-1),",","."),FIND("/",SUBSTITUTE(LEFT(TRIM(C110),FIND(" ",TRIM(C110)&amp;" ")-1),",","."))-1)/MID(SUBSTITUTE(LEFT(TRIM(C110),FIND(" ",TRIM(C110)&amp;" ")-1),",","."),FIND("/",SUBSTITUTE(LEFT(TRIM(C110),FIND(" ",TRIM(C110)&amp;" ")-1),",","."))+1,9))*12/52,IF(ISNUMBER(SEARCH("month",C110)),IFERROR(_xlfn.NUMBERVALUE(SUBSTITUTE(LEFT(TRIM(C110),FIND(" ",TRIM(C110)&amp;" ")-1),",","."),"."),LEFT(SUBSTITUTE(LEFT(TRIM(C110),FIND(" ",TRIM(C110)&amp;" ")-1),",","."),FIND("/",SUBSTITUTE(LEFT(TRIM(C110),FIND(" ",TRIM(C110)&amp;" ")-1),",","."))-1)/MID(SUBSTITUTE(LEFT(TRIM(C110),FIND(" ",TRIM(C110)&amp;" ")-1),",","."),FIND("/",SUBSTITUTE(LEFT(TRIM(C110),FIND(" ",TRIM(C110)&amp;" ")-1),",","."))+1,9)),IF(ISNUMBER(SEARCH("yea",C110)),IFERROR(_xlfn.NUMBERVALUE(SUBSTITUTE(LEFT(TRIM(C110),FIND(" ",TRIM(C110)&amp;" ")-1),",","."),"."),LEFT(SUBSTITUTE(LEFT(TRIM(C110),FIND(" ",TRIM(C110)&amp;" ")-1),",","."),FIND("/",SUBSTITUTE(LEFT(TRIM(C110),FIND(" ",TRIM(C110)&amp;" ")-1),",","."))-1)/MID(SUBSTITUTE(LEFT(TRIM(C110),FIND(" ",TRIM(C110)&amp;" ")-1),",","."),FIND("/",SUBSTITUTE(LEFT(TRIM(C110),FIND(" ",TRIM(C110)&amp;" ")-1),",","."))+1,9))*12,NA()))),0),36)*'Aturan &amp; Tarif'!$B$4,2)</f>
        <v>2044.08</v>
      </c>
      <c r="K110" s="32" t="n">
        <f aca="false">'Aturan &amp; Tarif'!$B$5</f>
        <v>2050</v>
      </c>
      <c r="L110" s="32" t="n">
        <f aca="false">'Aturan &amp; Tarif'!$B$6</f>
        <v>350</v>
      </c>
      <c r="M110" s="35" t="n">
        <f aca="false">I110+J110+K110+L110</f>
        <v>32294.08</v>
      </c>
      <c r="N110" s="37" t="s">
        <v>1277</v>
      </c>
    </row>
    <row r="111" customFormat="false" ht="25.5" hidden="false" customHeight="true" outlineLevel="0" collapsed="false">
      <c r="A111" s="29"/>
      <c r="B111" s="30" t="s">
        <v>1278</v>
      </c>
      <c r="C111" s="31" t="s">
        <v>127</v>
      </c>
      <c r="D111" s="31" t="s">
        <v>108</v>
      </c>
      <c r="E111" s="32" t="n">
        <v>13850</v>
      </c>
      <c r="F111" s="32"/>
      <c r="G111" s="32" t="n">
        <v>150</v>
      </c>
      <c r="H111" s="33" t="n">
        <v>2</v>
      </c>
      <c r="I111" s="34" t="n">
        <f aca="false">E111*H111+N(F111)+N(G111)</f>
        <v>27850</v>
      </c>
      <c r="J111" s="32" t="n">
        <f aca="false">ROUND(IFERROR(ROUND(IF(OR(ISNUMBER(SEARCH("week",C111)),ISNUMBER(SEARCH("minggu",C111))),IFERROR(_xlfn.NUMBERVALUE(SUBSTITUTE(LEFT(TRIM(C111),FIND(" ",TRIM(C111)&amp;" ")-1),",","."),"."),LEFT(SUBSTITUTE(LEFT(TRIM(C111),FIND(" ",TRIM(C111)&amp;" ")-1),",","."),FIND("/",SUBSTITUTE(LEFT(TRIM(C111),FIND(" ",TRIM(C111)&amp;" ")-1),",","."))-1)/MID(SUBSTITUTE(LEFT(TRIM(C111),FIND(" ",TRIM(C111)&amp;" ")-1),",","."),FIND("/",SUBSTITUTE(LEFT(TRIM(C111),FIND(" ",TRIM(C111)&amp;" ")-1),",","."))+1,9))*12/52,IF(ISNUMBER(SEARCH("month",C111)),IFERROR(_xlfn.NUMBERVALUE(SUBSTITUTE(LEFT(TRIM(C111),FIND(" ",TRIM(C111)&amp;" ")-1),",","."),"."),LEFT(SUBSTITUTE(LEFT(TRIM(C111),FIND(" ",TRIM(C111)&amp;" ")-1),",","."),FIND("/",SUBSTITUTE(LEFT(TRIM(C111),FIND(" ",TRIM(C111)&amp;" ")-1),",","."))-1)/MID(SUBSTITUTE(LEFT(TRIM(C111),FIND(" ",TRIM(C111)&amp;" ")-1),",","."),FIND("/",SUBSTITUTE(LEFT(TRIM(C111),FIND(" ",TRIM(C111)&amp;" ")-1),",","."))+1,9)),IF(ISNUMBER(SEARCH("yea",C111)),IFERROR(_xlfn.NUMBERVALUE(SUBSTITUTE(LEFT(TRIM(C111),FIND(" ",TRIM(C111)&amp;" ")-1),",","."),"."),LEFT(SUBSTITUTE(LEFT(TRIM(C111),FIND(" ",TRIM(C111)&amp;" ")-1),",","."),FIND("/",SUBSTITUTE(LEFT(TRIM(C111),FIND(" ",TRIM(C111)&amp;" ")-1),",","."))-1)/MID(SUBSTITUTE(LEFT(TRIM(C111),FIND(" ",TRIM(C111)&amp;" ")-1),",","."),FIND("/",SUBSTITUTE(LEFT(TRIM(C111),FIND(" ",TRIM(C111)&amp;" ")-1),",","."))+1,9))*12,NA()))),0),36)*'Aturan &amp; Tarif'!$B$4,2)</f>
        <v>2044.08</v>
      </c>
      <c r="K111" s="32" t="n">
        <f aca="false">'Aturan &amp; Tarif'!$B$5</f>
        <v>2050</v>
      </c>
      <c r="L111" s="32" t="n">
        <f aca="false">'Aturan &amp; Tarif'!$B$6</f>
        <v>350</v>
      </c>
      <c r="M111" s="35" t="n">
        <f aca="false">I111+J111+K111+L111</f>
        <v>32294.08</v>
      </c>
      <c r="N111" s="37" t="s">
        <v>1277</v>
      </c>
    </row>
    <row r="112" customFormat="false" ht="25.5" hidden="false" customHeight="true" outlineLevel="0" collapsed="false">
      <c r="A112" s="29"/>
      <c r="B112" s="30" t="s">
        <v>1279</v>
      </c>
      <c r="C112" s="31" t="s">
        <v>127</v>
      </c>
      <c r="D112" s="31" t="s">
        <v>108</v>
      </c>
      <c r="E112" s="32" t="n">
        <v>13850</v>
      </c>
      <c r="F112" s="32"/>
      <c r="G112" s="32" t="n">
        <v>150</v>
      </c>
      <c r="H112" s="33" t="n">
        <v>2</v>
      </c>
      <c r="I112" s="34" t="n">
        <f aca="false">E112*H112+N(F112)+N(G112)</f>
        <v>27850</v>
      </c>
      <c r="J112" s="32" t="n">
        <f aca="false">ROUND(IFERROR(ROUND(IF(OR(ISNUMBER(SEARCH("week",C112)),ISNUMBER(SEARCH("minggu",C112))),IFERROR(_xlfn.NUMBERVALUE(SUBSTITUTE(LEFT(TRIM(C112),FIND(" ",TRIM(C112)&amp;" ")-1),",","."),"."),LEFT(SUBSTITUTE(LEFT(TRIM(C112),FIND(" ",TRIM(C112)&amp;" ")-1),",","."),FIND("/",SUBSTITUTE(LEFT(TRIM(C112),FIND(" ",TRIM(C112)&amp;" ")-1),",","."))-1)/MID(SUBSTITUTE(LEFT(TRIM(C112),FIND(" ",TRIM(C112)&amp;" ")-1),",","."),FIND("/",SUBSTITUTE(LEFT(TRIM(C112),FIND(" ",TRIM(C112)&amp;" ")-1),",","."))+1,9))*12/52,IF(ISNUMBER(SEARCH("month",C112)),IFERROR(_xlfn.NUMBERVALUE(SUBSTITUTE(LEFT(TRIM(C112),FIND(" ",TRIM(C112)&amp;" ")-1),",","."),"."),LEFT(SUBSTITUTE(LEFT(TRIM(C112),FIND(" ",TRIM(C112)&amp;" ")-1),",","."),FIND("/",SUBSTITUTE(LEFT(TRIM(C112),FIND(" ",TRIM(C112)&amp;" ")-1),",","."))-1)/MID(SUBSTITUTE(LEFT(TRIM(C112),FIND(" ",TRIM(C112)&amp;" ")-1),",","."),FIND("/",SUBSTITUTE(LEFT(TRIM(C112),FIND(" ",TRIM(C112)&amp;" ")-1),",","."))+1,9)),IF(ISNUMBER(SEARCH("yea",C112)),IFERROR(_xlfn.NUMBERVALUE(SUBSTITUTE(LEFT(TRIM(C112),FIND(" ",TRIM(C112)&amp;" ")-1),",","."),"."),LEFT(SUBSTITUTE(LEFT(TRIM(C112),FIND(" ",TRIM(C112)&amp;" ")-1),",","."),FIND("/",SUBSTITUTE(LEFT(TRIM(C112),FIND(" ",TRIM(C112)&amp;" ")-1),",","."))-1)/MID(SUBSTITUTE(LEFT(TRIM(C112),FIND(" ",TRIM(C112)&amp;" ")-1),",","."),FIND("/",SUBSTITUTE(LEFT(TRIM(C112),FIND(" ",TRIM(C112)&amp;" ")-1),",","."))+1,9))*12,NA()))),0),36)*'Aturan &amp; Tarif'!$B$4,2)</f>
        <v>2044.08</v>
      </c>
      <c r="K112" s="32" t="n">
        <f aca="false">'Aturan &amp; Tarif'!$B$5</f>
        <v>2050</v>
      </c>
      <c r="L112" s="32" t="n">
        <f aca="false">'Aturan &amp; Tarif'!$B$6</f>
        <v>350</v>
      </c>
      <c r="M112" s="35" t="n">
        <f aca="false">I112+J112+K112+L112</f>
        <v>32294.08</v>
      </c>
      <c r="N112" s="37" t="s">
        <v>1277</v>
      </c>
    </row>
    <row r="113" customFormat="false" ht="14.25" hidden="false" customHeight="true" outlineLevel="0" collapsed="false">
      <c r="A113" s="29"/>
      <c r="B113" s="30" t="s">
        <v>335</v>
      </c>
      <c r="C113" s="31" t="s">
        <v>127</v>
      </c>
      <c r="D113" s="31" t="s">
        <v>108</v>
      </c>
      <c r="E113" s="32" t="n">
        <v>13125</v>
      </c>
      <c r="F113" s="32"/>
      <c r="G113" s="32" t="n">
        <v>150</v>
      </c>
      <c r="H113" s="33" t="n">
        <v>2</v>
      </c>
      <c r="I113" s="34" t="n">
        <f aca="false">E113*H113+N(F113)+N(G113)</f>
        <v>26400</v>
      </c>
      <c r="J113" s="32" t="n">
        <f aca="false">ROUND(IFERROR(ROUND(IF(OR(ISNUMBER(SEARCH("week",C113)),ISNUMBER(SEARCH("minggu",C113))),IFERROR(_xlfn.NUMBERVALUE(SUBSTITUTE(LEFT(TRIM(C113),FIND(" ",TRIM(C113)&amp;" ")-1),",","."),"."),LEFT(SUBSTITUTE(LEFT(TRIM(C113),FIND(" ",TRIM(C113)&amp;" ")-1),",","."),FIND("/",SUBSTITUTE(LEFT(TRIM(C113),FIND(" ",TRIM(C113)&amp;" ")-1),",","."))-1)/MID(SUBSTITUTE(LEFT(TRIM(C113),FIND(" ",TRIM(C113)&amp;" ")-1),",","."),FIND("/",SUBSTITUTE(LEFT(TRIM(C113),FIND(" ",TRIM(C113)&amp;" ")-1),",","."))+1,9))*12/52,IF(ISNUMBER(SEARCH("month",C113)),IFERROR(_xlfn.NUMBERVALUE(SUBSTITUTE(LEFT(TRIM(C113),FIND(" ",TRIM(C113)&amp;" ")-1),",","."),"."),LEFT(SUBSTITUTE(LEFT(TRIM(C113),FIND(" ",TRIM(C113)&amp;" ")-1),",","."),FIND("/",SUBSTITUTE(LEFT(TRIM(C113),FIND(" ",TRIM(C113)&amp;" ")-1),",","."))-1)/MID(SUBSTITUTE(LEFT(TRIM(C113),FIND(" ",TRIM(C113)&amp;" ")-1),",","."),FIND("/",SUBSTITUTE(LEFT(TRIM(C113),FIND(" ",TRIM(C113)&amp;" ")-1),",","."))+1,9)),IF(ISNUMBER(SEARCH("yea",C113)),IFERROR(_xlfn.NUMBERVALUE(SUBSTITUTE(LEFT(TRIM(C113),FIND(" ",TRIM(C113)&amp;" ")-1),",","."),"."),LEFT(SUBSTITUTE(LEFT(TRIM(C113),FIND(" ",TRIM(C113)&amp;" ")-1),",","."),FIND("/",SUBSTITUTE(LEFT(TRIM(C113),FIND(" ",TRIM(C113)&amp;" ")-1),",","."))-1)/MID(SUBSTITUTE(LEFT(TRIM(C113),FIND(" ",TRIM(C113)&amp;" ")-1),",","."),FIND("/",SUBSTITUTE(LEFT(TRIM(C113),FIND(" ",TRIM(C113)&amp;" ")-1),",","."))+1,9))*12,NA()))),0),36)*'Aturan &amp; Tarif'!$B$4,2)</f>
        <v>2044.08</v>
      </c>
      <c r="K113" s="32" t="n">
        <f aca="false">'Aturan &amp; Tarif'!$B$5</f>
        <v>2050</v>
      </c>
      <c r="L113" s="32" t="n">
        <f aca="false">'Aturan &amp; Tarif'!$B$6</f>
        <v>350</v>
      </c>
      <c r="M113" s="35" t="n">
        <f aca="false">I113+J113+K113+L113</f>
        <v>30844.08</v>
      </c>
      <c r="N113" s="37" t="s">
        <v>1280</v>
      </c>
    </row>
    <row r="114" customFormat="false" ht="25.5" hidden="false" customHeight="true" outlineLevel="0" collapsed="false">
      <c r="A114" s="29"/>
      <c r="B114" s="30" t="s">
        <v>1281</v>
      </c>
      <c r="C114" s="31" t="s">
        <v>127</v>
      </c>
      <c r="D114" s="31" t="s">
        <v>108</v>
      </c>
      <c r="E114" s="32" t="n">
        <v>13125</v>
      </c>
      <c r="F114" s="32"/>
      <c r="G114" s="32" t="n">
        <v>150</v>
      </c>
      <c r="H114" s="33" t="n">
        <v>2</v>
      </c>
      <c r="I114" s="34" t="n">
        <f aca="false">E114*H114+N(F114)+N(G114)</f>
        <v>26400</v>
      </c>
      <c r="J114" s="32" t="n">
        <f aca="false">ROUND(IFERROR(ROUND(IF(OR(ISNUMBER(SEARCH("week",C114)),ISNUMBER(SEARCH("minggu",C114))),IFERROR(_xlfn.NUMBERVALUE(SUBSTITUTE(LEFT(TRIM(C114),FIND(" ",TRIM(C114)&amp;" ")-1),",","."),"."),LEFT(SUBSTITUTE(LEFT(TRIM(C114),FIND(" ",TRIM(C114)&amp;" ")-1),",","."),FIND("/",SUBSTITUTE(LEFT(TRIM(C114),FIND(" ",TRIM(C114)&amp;" ")-1),",","."))-1)/MID(SUBSTITUTE(LEFT(TRIM(C114),FIND(" ",TRIM(C114)&amp;" ")-1),",","."),FIND("/",SUBSTITUTE(LEFT(TRIM(C114),FIND(" ",TRIM(C114)&amp;" ")-1),",","."))+1,9))*12/52,IF(ISNUMBER(SEARCH("month",C114)),IFERROR(_xlfn.NUMBERVALUE(SUBSTITUTE(LEFT(TRIM(C114),FIND(" ",TRIM(C114)&amp;" ")-1),",","."),"."),LEFT(SUBSTITUTE(LEFT(TRIM(C114),FIND(" ",TRIM(C114)&amp;" ")-1),",","."),FIND("/",SUBSTITUTE(LEFT(TRIM(C114),FIND(" ",TRIM(C114)&amp;" ")-1),",","."))-1)/MID(SUBSTITUTE(LEFT(TRIM(C114),FIND(" ",TRIM(C114)&amp;" ")-1),",","."),FIND("/",SUBSTITUTE(LEFT(TRIM(C114),FIND(" ",TRIM(C114)&amp;" ")-1),",","."))+1,9)),IF(ISNUMBER(SEARCH("yea",C114)),IFERROR(_xlfn.NUMBERVALUE(SUBSTITUTE(LEFT(TRIM(C114),FIND(" ",TRIM(C114)&amp;" ")-1),",","."),"."),LEFT(SUBSTITUTE(LEFT(TRIM(C114),FIND(" ",TRIM(C114)&amp;" ")-1),",","."),FIND("/",SUBSTITUTE(LEFT(TRIM(C114),FIND(" ",TRIM(C114)&amp;" ")-1),",","."))-1)/MID(SUBSTITUTE(LEFT(TRIM(C114),FIND(" ",TRIM(C114)&amp;" ")-1),",","."),FIND("/",SUBSTITUTE(LEFT(TRIM(C114),FIND(" ",TRIM(C114)&amp;" ")-1),",","."))+1,9))*12,NA()))),0),36)*'Aturan &amp; Tarif'!$B$4,2)</f>
        <v>2044.08</v>
      </c>
      <c r="K114" s="32" t="n">
        <f aca="false">'Aturan &amp; Tarif'!$B$5</f>
        <v>2050</v>
      </c>
      <c r="L114" s="32" t="n">
        <f aca="false">'Aturan &amp; Tarif'!$B$6</f>
        <v>350</v>
      </c>
      <c r="M114" s="35" t="n">
        <f aca="false">I114+J114+K114+L114</f>
        <v>30844.08</v>
      </c>
      <c r="N114" s="37" t="s">
        <v>1280</v>
      </c>
    </row>
    <row r="115" customFormat="false" ht="25.5" hidden="false" customHeight="true" outlineLevel="0" collapsed="false">
      <c r="A115" s="29"/>
      <c r="B115" s="30" t="s">
        <v>1282</v>
      </c>
      <c r="C115" s="31" t="s">
        <v>127</v>
      </c>
      <c r="D115" s="31" t="s">
        <v>108</v>
      </c>
      <c r="E115" s="32" t="n">
        <v>13125</v>
      </c>
      <c r="F115" s="32"/>
      <c r="G115" s="32" t="n">
        <v>150</v>
      </c>
      <c r="H115" s="33" t="n">
        <v>2</v>
      </c>
      <c r="I115" s="34" t="n">
        <f aca="false">E115*H115+N(F115)+N(G115)</f>
        <v>26400</v>
      </c>
      <c r="J115" s="32" t="n">
        <f aca="false">ROUND(IFERROR(ROUND(IF(OR(ISNUMBER(SEARCH("week",C115)),ISNUMBER(SEARCH("minggu",C115))),IFERROR(_xlfn.NUMBERVALUE(SUBSTITUTE(LEFT(TRIM(C115),FIND(" ",TRIM(C115)&amp;" ")-1),",","."),"."),LEFT(SUBSTITUTE(LEFT(TRIM(C115),FIND(" ",TRIM(C115)&amp;" ")-1),",","."),FIND("/",SUBSTITUTE(LEFT(TRIM(C115),FIND(" ",TRIM(C115)&amp;" ")-1),",","."))-1)/MID(SUBSTITUTE(LEFT(TRIM(C115),FIND(" ",TRIM(C115)&amp;" ")-1),",","."),FIND("/",SUBSTITUTE(LEFT(TRIM(C115),FIND(" ",TRIM(C115)&amp;" ")-1),",","."))+1,9))*12/52,IF(ISNUMBER(SEARCH("month",C115)),IFERROR(_xlfn.NUMBERVALUE(SUBSTITUTE(LEFT(TRIM(C115),FIND(" ",TRIM(C115)&amp;" ")-1),",","."),"."),LEFT(SUBSTITUTE(LEFT(TRIM(C115),FIND(" ",TRIM(C115)&amp;" ")-1),",","."),FIND("/",SUBSTITUTE(LEFT(TRIM(C115),FIND(" ",TRIM(C115)&amp;" ")-1),",","."))-1)/MID(SUBSTITUTE(LEFT(TRIM(C115),FIND(" ",TRIM(C115)&amp;" ")-1),",","."),FIND("/",SUBSTITUTE(LEFT(TRIM(C115),FIND(" ",TRIM(C115)&amp;" ")-1),",","."))+1,9)),IF(ISNUMBER(SEARCH("yea",C115)),IFERROR(_xlfn.NUMBERVALUE(SUBSTITUTE(LEFT(TRIM(C115),FIND(" ",TRIM(C115)&amp;" ")-1),",","."),"."),LEFT(SUBSTITUTE(LEFT(TRIM(C115),FIND(" ",TRIM(C115)&amp;" ")-1),",","."),FIND("/",SUBSTITUTE(LEFT(TRIM(C115),FIND(" ",TRIM(C115)&amp;" ")-1),",","."))-1)/MID(SUBSTITUTE(LEFT(TRIM(C115),FIND(" ",TRIM(C115)&amp;" ")-1),",","."),FIND("/",SUBSTITUTE(LEFT(TRIM(C115),FIND(" ",TRIM(C115)&amp;" ")-1),",","."))+1,9))*12,NA()))),0),36)*'Aturan &amp; Tarif'!$B$4,2)</f>
        <v>2044.08</v>
      </c>
      <c r="K115" s="32" t="n">
        <f aca="false">'Aturan &amp; Tarif'!$B$5</f>
        <v>2050</v>
      </c>
      <c r="L115" s="32" t="n">
        <f aca="false">'Aturan &amp; Tarif'!$B$6</f>
        <v>350</v>
      </c>
      <c r="M115" s="35" t="n">
        <f aca="false">I115+J115+K115+L115</f>
        <v>30844.08</v>
      </c>
      <c r="N115" s="37" t="s">
        <v>1280</v>
      </c>
    </row>
    <row r="116" customFormat="false" ht="25.5" hidden="false" customHeight="true" outlineLevel="0" collapsed="false">
      <c r="A116" s="29"/>
      <c r="B116" s="30" t="s">
        <v>1283</v>
      </c>
      <c r="C116" s="31" t="s">
        <v>127</v>
      </c>
      <c r="D116" s="31" t="s">
        <v>108</v>
      </c>
      <c r="E116" s="32" t="n">
        <v>13125</v>
      </c>
      <c r="F116" s="32"/>
      <c r="G116" s="32" t="n">
        <v>150</v>
      </c>
      <c r="H116" s="33" t="n">
        <v>2</v>
      </c>
      <c r="I116" s="34" t="n">
        <f aca="false">E116*H116+N(F116)+N(G116)</f>
        <v>26400</v>
      </c>
      <c r="J116" s="32" t="n">
        <f aca="false">ROUND(IFERROR(ROUND(IF(OR(ISNUMBER(SEARCH("week",C116)),ISNUMBER(SEARCH("minggu",C116))),IFERROR(_xlfn.NUMBERVALUE(SUBSTITUTE(LEFT(TRIM(C116),FIND(" ",TRIM(C116)&amp;" ")-1),",","."),"."),LEFT(SUBSTITUTE(LEFT(TRIM(C116),FIND(" ",TRIM(C116)&amp;" ")-1),",","."),FIND("/",SUBSTITUTE(LEFT(TRIM(C116),FIND(" ",TRIM(C116)&amp;" ")-1),",","."))-1)/MID(SUBSTITUTE(LEFT(TRIM(C116),FIND(" ",TRIM(C116)&amp;" ")-1),",","."),FIND("/",SUBSTITUTE(LEFT(TRIM(C116),FIND(" ",TRIM(C116)&amp;" ")-1),",","."))+1,9))*12/52,IF(ISNUMBER(SEARCH("month",C116)),IFERROR(_xlfn.NUMBERVALUE(SUBSTITUTE(LEFT(TRIM(C116),FIND(" ",TRIM(C116)&amp;" ")-1),",","."),"."),LEFT(SUBSTITUTE(LEFT(TRIM(C116),FIND(" ",TRIM(C116)&amp;" ")-1),",","."),FIND("/",SUBSTITUTE(LEFT(TRIM(C116),FIND(" ",TRIM(C116)&amp;" ")-1),",","."))-1)/MID(SUBSTITUTE(LEFT(TRIM(C116),FIND(" ",TRIM(C116)&amp;" ")-1),",","."),FIND("/",SUBSTITUTE(LEFT(TRIM(C116),FIND(" ",TRIM(C116)&amp;" ")-1),",","."))+1,9)),IF(ISNUMBER(SEARCH("yea",C116)),IFERROR(_xlfn.NUMBERVALUE(SUBSTITUTE(LEFT(TRIM(C116),FIND(" ",TRIM(C116)&amp;" ")-1),",","."),"."),LEFT(SUBSTITUTE(LEFT(TRIM(C116),FIND(" ",TRIM(C116)&amp;" ")-1),",","."),FIND("/",SUBSTITUTE(LEFT(TRIM(C116),FIND(" ",TRIM(C116)&amp;" ")-1),",","."))-1)/MID(SUBSTITUTE(LEFT(TRIM(C116),FIND(" ",TRIM(C116)&amp;" ")-1),",","."),FIND("/",SUBSTITUTE(LEFT(TRIM(C116),FIND(" ",TRIM(C116)&amp;" ")-1),",","."))+1,9))*12,NA()))),0),36)*'Aturan &amp; Tarif'!$B$4,2)</f>
        <v>2044.08</v>
      </c>
      <c r="K116" s="32" t="n">
        <f aca="false">'Aturan &amp; Tarif'!$B$5</f>
        <v>2050</v>
      </c>
      <c r="L116" s="32" t="n">
        <f aca="false">'Aturan &amp; Tarif'!$B$6</f>
        <v>350</v>
      </c>
      <c r="M116" s="35" t="n">
        <f aca="false">I116+J116+K116+L116</f>
        <v>30844.08</v>
      </c>
      <c r="N116" s="37" t="s">
        <v>1280</v>
      </c>
    </row>
    <row r="117" customFormat="false" ht="25.5" hidden="false" customHeight="true" outlineLevel="0" collapsed="false">
      <c r="A117" s="29"/>
      <c r="B117" s="30" t="s">
        <v>1284</v>
      </c>
      <c r="C117" s="31" t="s">
        <v>127</v>
      </c>
      <c r="D117" s="31" t="s">
        <v>108</v>
      </c>
      <c r="E117" s="32" t="n">
        <v>13125</v>
      </c>
      <c r="F117" s="32"/>
      <c r="G117" s="32" t="n">
        <v>150</v>
      </c>
      <c r="H117" s="33" t="n">
        <v>2</v>
      </c>
      <c r="I117" s="34" t="n">
        <f aca="false">E117*H117+N(F117)+N(G117)</f>
        <v>26400</v>
      </c>
      <c r="J117" s="32" t="n">
        <f aca="false">ROUND(IFERROR(ROUND(IF(OR(ISNUMBER(SEARCH("week",C117)),ISNUMBER(SEARCH("minggu",C117))),IFERROR(_xlfn.NUMBERVALUE(SUBSTITUTE(LEFT(TRIM(C117),FIND(" ",TRIM(C117)&amp;" ")-1),",","."),"."),LEFT(SUBSTITUTE(LEFT(TRIM(C117),FIND(" ",TRIM(C117)&amp;" ")-1),",","."),FIND("/",SUBSTITUTE(LEFT(TRIM(C117),FIND(" ",TRIM(C117)&amp;" ")-1),",","."))-1)/MID(SUBSTITUTE(LEFT(TRIM(C117),FIND(" ",TRIM(C117)&amp;" ")-1),",","."),FIND("/",SUBSTITUTE(LEFT(TRIM(C117),FIND(" ",TRIM(C117)&amp;" ")-1),",","."))+1,9))*12/52,IF(ISNUMBER(SEARCH("month",C117)),IFERROR(_xlfn.NUMBERVALUE(SUBSTITUTE(LEFT(TRIM(C117),FIND(" ",TRIM(C117)&amp;" ")-1),",","."),"."),LEFT(SUBSTITUTE(LEFT(TRIM(C117),FIND(" ",TRIM(C117)&amp;" ")-1),",","."),FIND("/",SUBSTITUTE(LEFT(TRIM(C117),FIND(" ",TRIM(C117)&amp;" ")-1),",","."))-1)/MID(SUBSTITUTE(LEFT(TRIM(C117),FIND(" ",TRIM(C117)&amp;" ")-1),",","."),FIND("/",SUBSTITUTE(LEFT(TRIM(C117),FIND(" ",TRIM(C117)&amp;" ")-1),",","."))+1,9)),IF(ISNUMBER(SEARCH("yea",C117)),IFERROR(_xlfn.NUMBERVALUE(SUBSTITUTE(LEFT(TRIM(C117),FIND(" ",TRIM(C117)&amp;" ")-1),",","."),"."),LEFT(SUBSTITUTE(LEFT(TRIM(C117),FIND(" ",TRIM(C117)&amp;" ")-1),",","."),FIND("/",SUBSTITUTE(LEFT(TRIM(C117),FIND(" ",TRIM(C117)&amp;" ")-1),",","."))-1)/MID(SUBSTITUTE(LEFT(TRIM(C117),FIND(" ",TRIM(C117)&amp;" ")-1),",","."),FIND("/",SUBSTITUTE(LEFT(TRIM(C117),FIND(" ",TRIM(C117)&amp;" ")-1),",","."))+1,9))*12,NA()))),0),36)*'Aturan &amp; Tarif'!$B$4,2)</f>
        <v>2044.08</v>
      </c>
      <c r="K117" s="32" t="n">
        <f aca="false">'Aturan &amp; Tarif'!$B$5</f>
        <v>2050</v>
      </c>
      <c r="L117" s="32" t="n">
        <f aca="false">'Aturan &amp; Tarif'!$B$6</f>
        <v>350</v>
      </c>
      <c r="M117" s="35" t="n">
        <f aca="false">I117+J117+K117+L117</f>
        <v>30844.08</v>
      </c>
      <c r="N117" s="37" t="s">
        <v>1280</v>
      </c>
    </row>
    <row r="118" customFormat="false" ht="25.5" hidden="false" customHeight="true" outlineLevel="0" collapsed="false">
      <c r="A118" s="29"/>
      <c r="B118" s="30" t="s">
        <v>1285</v>
      </c>
      <c r="C118" s="31" t="s">
        <v>191</v>
      </c>
      <c r="D118" s="31" t="s">
        <v>108</v>
      </c>
      <c r="E118" s="32" t="n">
        <v>14275</v>
      </c>
      <c r="F118" s="32"/>
      <c r="G118" s="32" t="n">
        <v>150</v>
      </c>
      <c r="H118" s="33" t="n">
        <v>2</v>
      </c>
      <c r="I118" s="34" t="n">
        <f aca="false">E118*H118+N(F118)+N(G118)</f>
        <v>28700</v>
      </c>
      <c r="J118" s="32" t="n">
        <f aca="false">ROUND(IFERROR(ROUND(IF(OR(ISNUMBER(SEARCH("week",C118)),ISNUMBER(SEARCH("minggu",C118))),IFERROR(_xlfn.NUMBERVALUE(SUBSTITUTE(LEFT(TRIM(C118),FIND(" ",TRIM(C118)&amp;" ")-1),",","."),"."),LEFT(SUBSTITUTE(LEFT(TRIM(C118),FIND(" ",TRIM(C118)&amp;" ")-1),",","."),FIND("/",SUBSTITUTE(LEFT(TRIM(C118),FIND(" ",TRIM(C118)&amp;" ")-1),",","."))-1)/MID(SUBSTITUTE(LEFT(TRIM(C118),FIND(" ",TRIM(C118)&amp;" ")-1),",","."),FIND("/",SUBSTITUTE(LEFT(TRIM(C118),FIND(" ",TRIM(C118)&amp;" ")-1),",","."))+1,9))*12/52,IF(ISNUMBER(SEARCH("month",C118)),IFERROR(_xlfn.NUMBERVALUE(SUBSTITUTE(LEFT(TRIM(C118),FIND(" ",TRIM(C118)&amp;" ")-1),",","."),"."),LEFT(SUBSTITUTE(LEFT(TRIM(C118),FIND(" ",TRIM(C118)&amp;" ")-1),",","."),FIND("/",SUBSTITUTE(LEFT(TRIM(C118),FIND(" ",TRIM(C118)&amp;" ")-1),",","."))-1)/MID(SUBSTITUTE(LEFT(TRIM(C118),FIND(" ",TRIM(C118)&amp;" ")-1),",","."),FIND("/",SUBSTITUTE(LEFT(TRIM(C118),FIND(" ",TRIM(C118)&amp;" ")-1),",","."))+1,9)),IF(ISNUMBER(SEARCH("yea",C118)),IFERROR(_xlfn.NUMBERVALUE(SUBSTITUTE(LEFT(TRIM(C118),FIND(" ",TRIM(C118)&amp;" ")-1),",","."),"."),LEFT(SUBSTITUTE(LEFT(TRIM(C118),FIND(" ",TRIM(C118)&amp;" ")-1),",","."),FIND("/",SUBSTITUTE(LEFT(TRIM(C118),FIND(" ",TRIM(C118)&amp;" ")-1),",","."))-1)/MID(SUBSTITUTE(LEFT(TRIM(C118),FIND(" ",TRIM(C118)&amp;" ")-1),",","."),FIND("/",SUBSTITUTE(LEFT(TRIM(C118),FIND(" ",TRIM(C118)&amp;" ")-1),",","."))+1,9))*12,NA()))),0),48)*'Aturan &amp; Tarif'!$B$4,2)</f>
        <v>2725.44</v>
      </c>
      <c r="K118" s="32" t="n">
        <f aca="false">'Aturan &amp; Tarif'!$B$5</f>
        <v>2050</v>
      </c>
      <c r="L118" s="32" t="n">
        <f aca="false">'Aturan &amp; Tarif'!$B$6</f>
        <v>350</v>
      </c>
      <c r="M118" s="35" t="n">
        <f aca="false">I118+J118+K118+L118</f>
        <v>33825.44</v>
      </c>
      <c r="N118" s="37" t="s">
        <v>846</v>
      </c>
    </row>
    <row r="119" customFormat="false" ht="14.25" hidden="false" customHeight="true" outlineLevel="0" collapsed="false">
      <c r="A119" s="29"/>
      <c r="B119" s="30" t="s">
        <v>355</v>
      </c>
      <c r="C119" s="31" t="s">
        <v>127</v>
      </c>
      <c r="D119" s="31" t="s">
        <v>108</v>
      </c>
      <c r="E119" s="32" t="n">
        <v>10850</v>
      </c>
      <c r="F119" s="32"/>
      <c r="G119" s="32" t="n">
        <v>150</v>
      </c>
      <c r="H119" s="33" t="n">
        <v>2</v>
      </c>
      <c r="I119" s="34" t="n">
        <f aca="false">E119*H119+N(F119)+N(G119)</f>
        <v>21850</v>
      </c>
      <c r="J119" s="32" t="n">
        <f aca="false">ROUND(IFERROR(ROUND(IF(OR(ISNUMBER(SEARCH("week",C119)),ISNUMBER(SEARCH("minggu",C119))),IFERROR(_xlfn.NUMBERVALUE(SUBSTITUTE(LEFT(TRIM(C119),FIND(" ",TRIM(C119)&amp;" ")-1),",","."),"."),LEFT(SUBSTITUTE(LEFT(TRIM(C119),FIND(" ",TRIM(C119)&amp;" ")-1),",","."),FIND("/",SUBSTITUTE(LEFT(TRIM(C119),FIND(" ",TRIM(C119)&amp;" ")-1),",","."))-1)/MID(SUBSTITUTE(LEFT(TRIM(C119),FIND(" ",TRIM(C119)&amp;" ")-1),",","."),FIND("/",SUBSTITUTE(LEFT(TRIM(C119),FIND(" ",TRIM(C119)&amp;" ")-1),",","."))+1,9))*12/52,IF(ISNUMBER(SEARCH("month",C119)),IFERROR(_xlfn.NUMBERVALUE(SUBSTITUTE(LEFT(TRIM(C119),FIND(" ",TRIM(C119)&amp;" ")-1),",","."),"."),LEFT(SUBSTITUTE(LEFT(TRIM(C119),FIND(" ",TRIM(C119)&amp;" ")-1),",","."),FIND("/",SUBSTITUTE(LEFT(TRIM(C119),FIND(" ",TRIM(C119)&amp;" ")-1),",","."))-1)/MID(SUBSTITUTE(LEFT(TRIM(C119),FIND(" ",TRIM(C119)&amp;" ")-1),",","."),FIND("/",SUBSTITUTE(LEFT(TRIM(C119),FIND(" ",TRIM(C119)&amp;" ")-1),",","."))+1,9)),IF(ISNUMBER(SEARCH("yea",C119)),IFERROR(_xlfn.NUMBERVALUE(SUBSTITUTE(LEFT(TRIM(C119),FIND(" ",TRIM(C119)&amp;" ")-1),",","."),"."),LEFT(SUBSTITUTE(LEFT(TRIM(C119),FIND(" ",TRIM(C119)&amp;" ")-1),",","."),FIND("/",SUBSTITUTE(LEFT(TRIM(C119),FIND(" ",TRIM(C119)&amp;" ")-1),",","."))-1)/MID(SUBSTITUTE(LEFT(TRIM(C119),FIND(" ",TRIM(C119)&amp;" ")-1),",","."),FIND("/",SUBSTITUTE(LEFT(TRIM(C119),FIND(" ",TRIM(C119)&amp;" ")-1),",","."))+1,9))*12,NA()))),0),36)*'Aturan &amp; Tarif'!$B$4,2)</f>
        <v>2044.08</v>
      </c>
      <c r="K119" s="32" t="n">
        <f aca="false">'Aturan &amp; Tarif'!$B$5</f>
        <v>2050</v>
      </c>
      <c r="L119" s="32" t="n">
        <f aca="false">'Aturan &amp; Tarif'!$B$6</f>
        <v>350</v>
      </c>
      <c r="M119" s="35" t="n">
        <f aca="false">I119+J119+K119+L119</f>
        <v>26294.08</v>
      </c>
      <c r="N119" s="37" t="s">
        <v>1286</v>
      </c>
    </row>
    <row r="120" customFormat="false" ht="25.5" hidden="false" customHeight="true" outlineLevel="0" collapsed="false">
      <c r="A120" s="29"/>
      <c r="B120" s="30" t="s">
        <v>1287</v>
      </c>
      <c r="C120" s="31" t="s">
        <v>127</v>
      </c>
      <c r="D120" s="31" t="s">
        <v>108</v>
      </c>
      <c r="E120" s="32" t="n">
        <v>10850</v>
      </c>
      <c r="F120" s="32"/>
      <c r="G120" s="32" t="n">
        <v>150</v>
      </c>
      <c r="H120" s="33" t="n">
        <v>2</v>
      </c>
      <c r="I120" s="34" t="n">
        <f aca="false">E120*H120+N(F120)+N(G120)</f>
        <v>21850</v>
      </c>
      <c r="J120" s="32" t="n">
        <f aca="false">ROUND(IFERROR(ROUND(IF(OR(ISNUMBER(SEARCH("week",C120)),ISNUMBER(SEARCH("minggu",C120))),IFERROR(_xlfn.NUMBERVALUE(SUBSTITUTE(LEFT(TRIM(C120),FIND(" ",TRIM(C120)&amp;" ")-1),",","."),"."),LEFT(SUBSTITUTE(LEFT(TRIM(C120),FIND(" ",TRIM(C120)&amp;" ")-1),",","."),FIND("/",SUBSTITUTE(LEFT(TRIM(C120),FIND(" ",TRIM(C120)&amp;" ")-1),",","."))-1)/MID(SUBSTITUTE(LEFT(TRIM(C120),FIND(" ",TRIM(C120)&amp;" ")-1),",","."),FIND("/",SUBSTITUTE(LEFT(TRIM(C120),FIND(" ",TRIM(C120)&amp;" ")-1),",","."))+1,9))*12/52,IF(ISNUMBER(SEARCH("month",C120)),IFERROR(_xlfn.NUMBERVALUE(SUBSTITUTE(LEFT(TRIM(C120),FIND(" ",TRIM(C120)&amp;" ")-1),",","."),"."),LEFT(SUBSTITUTE(LEFT(TRIM(C120),FIND(" ",TRIM(C120)&amp;" ")-1),",","."),FIND("/",SUBSTITUTE(LEFT(TRIM(C120),FIND(" ",TRIM(C120)&amp;" ")-1),",","."))-1)/MID(SUBSTITUTE(LEFT(TRIM(C120),FIND(" ",TRIM(C120)&amp;" ")-1),",","."),FIND("/",SUBSTITUTE(LEFT(TRIM(C120),FIND(" ",TRIM(C120)&amp;" ")-1),",","."))+1,9)),IF(ISNUMBER(SEARCH("yea",C120)),IFERROR(_xlfn.NUMBERVALUE(SUBSTITUTE(LEFT(TRIM(C120),FIND(" ",TRIM(C120)&amp;" ")-1),",","."),"."),LEFT(SUBSTITUTE(LEFT(TRIM(C120),FIND(" ",TRIM(C120)&amp;" ")-1),",","."),FIND("/",SUBSTITUTE(LEFT(TRIM(C120),FIND(" ",TRIM(C120)&amp;" ")-1),",","."))-1)/MID(SUBSTITUTE(LEFT(TRIM(C120),FIND(" ",TRIM(C120)&amp;" ")-1),",","."),FIND("/",SUBSTITUTE(LEFT(TRIM(C120),FIND(" ",TRIM(C120)&amp;" ")-1),",","."))+1,9))*12,NA()))),0),36)*'Aturan &amp; Tarif'!$B$4,2)</f>
        <v>2044.08</v>
      </c>
      <c r="K120" s="32" t="n">
        <f aca="false">'Aturan &amp; Tarif'!$B$5</f>
        <v>2050</v>
      </c>
      <c r="L120" s="32" t="n">
        <f aca="false">'Aturan &amp; Tarif'!$B$6</f>
        <v>350</v>
      </c>
      <c r="M120" s="35" t="n">
        <f aca="false">I120+J120+K120+L120</f>
        <v>26294.08</v>
      </c>
      <c r="N120" s="37" t="s">
        <v>1286</v>
      </c>
    </row>
    <row r="121" customFormat="false" ht="25.5" hidden="false" customHeight="true" outlineLevel="0" collapsed="false">
      <c r="A121" s="29"/>
      <c r="B121" s="30" t="s">
        <v>1288</v>
      </c>
      <c r="C121" s="31" t="s">
        <v>127</v>
      </c>
      <c r="D121" s="31" t="s">
        <v>108</v>
      </c>
      <c r="E121" s="32" t="n">
        <v>10850</v>
      </c>
      <c r="F121" s="32"/>
      <c r="G121" s="32" t="n">
        <v>150</v>
      </c>
      <c r="H121" s="33" t="n">
        <v>2</v>
      </c>
      <c r="I121" s="34" t="n">
        <f aca="false">E121*H121+N(F121)+N(G121)</f>
        <v>21850</v>
      </c>
      <c r="J121" s="32" t="n">
        <f aca="false">ROUND(IFERROR(ROUND(IF(OR(ISNUMBER(SEARCH("week",C121)),ISNUMBER(SEARCH("minggu",C121))),IFERROR(_xlfn.NUMBERVALUE(SUBSTITUTE(LEFT(TRIM(C121),FIND(" ",TRIM(C121)&amp;" ")-1),",","."),"."),LEFT(SUBSTITUTE(LEFT(TRIM(C121),FIND(" ",TRIM(C121)&amp;" ")-1),",","."),FIND("/",SUBSTITUTE(LEFT(TRIM(C121),FIND(" ",TRIM(C121)&amp;" ")-1),",","."))-1)/MID(SUBSTITUTE(LEFT(TRIM(C121),FIND(" ",TRIM(C121)&amp;" ")-1),",","."),FIND("/",SUBSTITUTE(LEFT(TRIM(C121),FIND(" ",TRIM(C121)&amp;" ")-1),",","."))+1,9))*12/52,IF(ISNUMBER(SEARCH("month",C121)),IFERROR(_xlfn.NUMBERVALUE(SUBSTITUTE(LEFT(TRIM(C121),FIND(" ",TRIM(C121)&amp;" ")-1),",","."),"."),LEFT(SUBSTITUTE(LEFT(TRIM(C121),FIND(" ",TRIM(C121)&amp;" ")-1),",","."),FIND("/",SUBSTITUTE(LEFT(TRIM(C121),FIND(" ",TRIM(C121)&amp;" ")-1),",","."))-1)/MID(SUBSTITUTE(LEFT(TRIM(C121),FIND(" ",TRIM(C121)&amp;" ")-1),",","."),FIND("/",SUBSTITUTE(LEFT(TRIM(C121),FIND(" ",TRIM(C121)&amp;" ")-1),",","."))+1,9)),IF(ISNUMBER(SEARCH("yea",C121)),IFERROR(_xlfn.NUMBERVALUE(SUBSTITUTE(LEFT(TRIM(C121),FIND(" ",TRIM(C121)&amp;" ")-1),",","."),"."),LEFT(SUBSTITUTE(LEFT(TRIM(C121),FIND(" ",TRIM(C121)&amp;" ")-1),",","."),FIND("/",SUBSTITUTE(LEFT(TRIM(C121),FIND(" ",TRIM(C121)&amp;" ")-1),",","."))-1)/MID(SUBSTITUTE(LEFT(TRIM(C121),FIND(" ",TRIM(C121)&amp;" ")-1),",","."),FIND("/",SUBSTITUTE(LEFT(TRIM(C121),FIND(" ",TRIM(C121)&amp;" ")-1),",","."))+1,9))*12,NA()))),0),36)*'Aturan &amp; Tarif'!$B$4,2)</f>
        <v>2044.08</v>
      </c>
      <c r="K121" s="32" t="n">
        <f aca="false">'Aturan &amp; Tarif'!$B$5</f>
        <v>2050</v>
      </c>
      <c r="L121" s="32" t="n">
        <f aca="false">'Aturan &amp; Tarif'!$B$6</f>
        <v>350</v>
      </c>
      <c r="M121" s="35" t="n">
        <f aca="false">I121+J121+K121+L121</f>
        <v>26294.08</v>
      </c>
      <c r="N121" s="37" t="s">
        <v>1286</v>
      </c>
    </row>
    <row r="122" customFormat="false" ht="25.5" hidden="false" customHeight="true" outlineLevel="0" collapsed="false">
      <c r="A122" s="29"/>
      <c r="B122" s="30" t="s">
        <v>1289</v>
      </c>
      <c r="C122" s="31" t="s">
        <v>127</v>
      </c>
      <c r="D122" s="31" t="s">
        <v>108</v>
      </c>
      <c r="E122" s="32" t="n">
        <v>10850</v>
      </c>
      <c r="F122" s="32"/>
      <c r="G122" s="32" t="n">
        <v>150</v>
      </c>
      <c r="H122" s="33" t="n">
        <v>2</v>
      </c>
      <c r="I122" s="34" t="n">
        <f aca="false">E122*H122+N(F122)+N(G122)</f>
        <v>21850</v>
      </c>
      <c r="J122" s="32" t="n">
        <f aca="false">ROUND(IFERROR(ROUND(IF(OR(ISNUMBER(SEARCH("week",C122)),ISNUMBER(SEARCH("minggu",C122))),IFERROR(_xlfn.NUMBERVALUE(SUBSTITUTE(LEFT(TRIM(C122),FIND(" ",TRIM(C122)&amp;" ")-1),",","."),"."),LEFT(SUBSTITUTE(LEFT(TRIM(C122),FIND(" ",TRIM(C122)&amp;" ")-1),",","."),FIND("/",SUBSTITUTE(LEFT(TRIM(C122),FIND(" ",TRIM(C122)&amp;" ")-1),",","."))-1)/MID(SUBSTITUTE(LEFT(TRIM(C122),FIND(" ",TRIM(C122)&amp;" ")-1),",","."),FIND("/",SUBSTITUTE(LEFT(TRIM(C122),FIND(" ",TRIM(C122)&amp;" ")-1),",","."))+1,9))*12/52,IF(ISNUMBER(SEARCH("month",C122)),IFERROR(_xlfn.NUMBERVALUE(SUBSTITUTE(LEFT(TRIM(C122),FIND(" ",TRIM(C122)&amp;" ")-1),",","."),"."),LEFT(SUBSTITUTE(LEFT(TRIM(C122),FIND(" ",TRIM(C122)&amp;" ")-1),",","."),FIND("/",SUBSTITUTE(LEFT(TRIM(C122),FIND(" ",TRIM(C122)&amp;" ")-1),",","."))-1)/MID(SUBSTITUTE(LEFT(TRIM(C122),FIND(" ",TRIM(C122)&amp;" ")-1),",","."),FIND("/",SUBSTITUTE(LEFT(TRIM(C122),FIND(" ",TRIM(C122)&amp;" ")-1),",","."))+1,9)),IF(ISNUMBER(SEARCH("yea",C122)),IFERROR(_xlfn.NUMBERVALUE(SUBSTITUTE(LEFT(TRIM(C122),FIND(" ",TRIM(C122)&amp;" ")-1),",","."),"."),LEFT(SUBSTITUTE(LEFT(TRIM(C122),FIND(" ",TRIM(C122)&amp;" ")-1),",","."),FIND("/",SUBSTITUTE(LEFT(TRIM(C122),FIND(" ",TRIM(C122)&amp;" ")-1),",","."))-1)/MID(SUBSTITUTE(LEFT(TRIM(C122),FIND(" ",TRIM(C122)&amp;" ")-1),",","."),FIND("/",SUBSTITUTE(LEFT(TRIM(C122),FIND(" ",TRIM(C122)&amp;" ")-1),",","."))+1,9))*12,NA()))),0),36)*'Aturan &amp; Tarif'!$B$4,2)</f>
        <v>2044.08</v>
      </c>
      <c r="K122" s="32" t="n">
        <f aca="false">'Aturan &amp; Tarif'!$B$5</f>
        <v>2050</v>
      </c>
      <c r="L122" s="32" t="n">
        <f aca="false">'Aturan &amp; Tarif'!$B$6</f>
        <v>350</v>
      </c>
      <c r="M122" s="35" t="n">
        <f aca="false">I122+J122+K122+L122</f>
        <v>26294.08</v>
      </c>
      <c r="N122" s="37" t="s">
        <v>1286</v>
      </c>
    </row>
    <row r="123" customFormat="false" ht="25.5" hidden="false" customHeight="true" outlineLevel="0" collapsed="false">
      <c r="A123" s="29"/>
      <c r="B123" s="30" t="s">
        <v>1290</v>
      </c>
      <c r="C123" s="31" t="s">
        <v>127</v>
      </c>
      <c r="D123" s="31" t="s">
        <v>108</v>
      </c>
      <c r="E123" s="32" t="n">
        <v>10850</v>
      </c>
      <c r="F123" s="32"/>
      <c r="G123" s="32" t="n">
        <v>150</v>
      </c>
      <c r="H123" s="33" t="n">
        <v>2</v>
      </c>
      <c r="I123" s="34" t="n">
        <f aca="false">E123*H123+N(F123)+N(G123)</f>
        <v>21850</v>
      </c>
      <c r="J123" s="32" t="n">
        <f aca="false">ROUND(IFERROR(ROUND(IF(OR(ISNUMBER(SEARCH("week",C123)),ISNUMBER(SEARCH("minggu",C123))),IFERROR(_xlfn.NUMBERVALUE(SUBSTITUTE(LEFT(TRIM(C123),FIND(" ",TRIM(C123)&amp;" ")-1),",","."),"."),LEFT(SUBSTITUTE(LEFT(TRIM(C123),FIND(" ",TRIM(C123)&amp;" ")-1),",","."),FIND("/",SUBSTITUTE(LEFT(TRIM(C123),FIND(" ",TRIM(C123)&amp;" ")-1),",","."))-1)/MID(SUBSTITUTE(LEFT(TRIM(C123),FIND(" ",TRIM(C123)&amp;" ")-1),",","."),FIND("/",SUBSTITUTE(LEFT(TRIM(C123),FIND(" ",TRIM(C123)&amp;" ")-1),",","."))+1,9))*12/52,IF(ISNUMBER(SEARCH("month",C123)),IFERROR(_xlfn.NUMBERVALUE(SUBSTITUTE(LEFT(TRIM(C123),FIND(" ",TRIM(C123)&amp;" ")-1),",","."),"."),LEFT(SUBSTITUTE(LEFT(TRIM(C123),FIND(" ",TRIM(C123)&amp;" ")-1),",","."),FIND("/",SUBSTITUTE(LEFT(TRIM(C123),FIND(" ",TRIM(C123)&amp;" ")-1),",","."))-1)/MID(SUBSTITUTE(LEFT(TRIM(C123),FIND(" ",TRIM(C123)&amp;" ")-1),",","."),FIND("/",SUBSTITUTE(LEFT(TRIM(C123),FIND(" ",TRIM(C123)&amp;" ")-1),",","."))+1,9)),IF(ISNUMBER(SEARCH("yea",C123)),IFERROR(_xlfn.NUMBERVALUE(SUBSTITUTE(LEFT(TRIM(C123),FIND(" ",TRIM(C123)&amp;" ")-1),",","."),"."),LEFT(SUBSTITUTE(LEFT(TRIM(C123),FIND(" ",TRIM(C123)&amp;" ")-1),",","."),FIND("/",SUBSTITUTE(LEFT(TRIM(C123),FIND(" ",TRIM(C123)&amp;" ")-1),",","."))-1)/MID(SUBSTITUTE(LEFT(TRIM(C123),FIND(" ",TRIM(C123)&amp;" ")-1),",","."),FIND("/",SUBSTITUTE(LEFT(TRIM(C123),FIND(" ",TRIM(C123)&amp;" ")-1),",","."))+1,9))*12,NA()))),0),36)*'Aturan &amp; Tarif'!$B$4,2)</f>
        <v>2044.08</v>
      </c>
      <c r="K123" s="32" t="n">
        <f aca="false">'Aturan &amp; Tarif'!$B$5</f>
        <v>2050</v>
      </c>
      <c r="L123" s="32" t="n">
        <f aca="false">'Aturan &amp; Tarif'!$B$6</f>
        <v>350</v>
      </c>
      <c r="M123" s="35" t="n">
        <f aca="false">I123+J123+K123+L123</f>
        <v>26294.08</v>
      </c>
      <c r="N123" s="37" t="s">
        <v>1286</v>
      </c>
    </row>
    <row r="124" customFormat="false" ht="25.5" hidden="false" customHeight="true" outlineLevel="0" collapsed="false">
      <c r="A124" s="29"/>
      <c r="B124" s="30" t="s">
        <v>1291</v>
      </c>
      <c r="C124" s="31" t="s">
        <v>127</v>
      </c>
      <c r="D124" s="31" t="s">
        <v>108</v>
      </c>
      <c r="E124" s="32" t="n">
        <v>10850</v>
      </c>
      <c r="F124" s="32"/>
      <c r="G124" s="32" t="n">
        <v>150</v>
      </c>
      <c r="H124" s="33" t="n">
        <v>2</v>
      </c>
      <c r="I124" s="34" t="n">
        <f aca="false">E124*H124+N(F124)+N(G124)</f>
        <v>21850</v>
      </c>
      <c r="J124" s="32" t="n">
        <f aca="false">ROUND(IFERROR(ROUND(IF(OR(ISNUMBER(SEARCH("week",C124)),ISNUMBER(SEARCH("minggu",C124))),IFERROR(_xlfn.NUMBERVALUE(SUBSTITUTE(LEFT(TRIM(C124),FIND(" ",TRIM(C124)&amp;" ")-1),",","."),"."),LEFT(SUBSTITUTE(LEFT(TRIM(C124),FIND(" ",TRIM(C124)&amp;" ")-1),",","."),FIND("/",SUBSTITUTE(LEFT(TRIM(C124),FIND(" ",TRIM(C124)&amp;" ")-1),",","."))-1)/MID(SUBSTITUTE(LEFT(TRIM(C124),FIND(" ",TRIM(C124)&amp;" ")-1),",","."),FIND("/",SUBSTITUTE(LEFT(TRIM(C124),FIND(" ",TRIM(C124)&amp;" ")-1),",","."))+1,9))*12/52,IF(ISNUMBER(SEARCH("month",C124)),IFERROR(_xlfn.NUMBERVALUE(SUBSTITUTE(LEFT(TRIM(C124),FIND(" ",TRIM(C124)&amp;" ")-1),",","."),"."),LEFT(SUBSTITUTE(LEFT(TRIM(C124),FIND(" ",TRIM(C124)&amp;" ")-1),",","."),FIND("/",SUBSTITUTE(LEFT(TRIM(C124),FIND(" ",TRIM(C124)&amp;" ")-1),",","."))-1)/MID(SUBSTITUTE(LEFT(TRIM(C124),FIND(" ",TRIM(C124)&amp;" ")-1),",","."),FIND("/",SUBSTITUTE(LEFT(TRIM(C124),FIND(" ",TRIM(C124)&amp;" ")-1),",","."))+1,9)),IF(ISNUMBER(SEARCH("yea",C124)),IFERROR(_xlfn.NUMBERVALUE(SUBSTITUTE(LEFT(TRIM(C124),FIND(" ",TRIM(C124)&amp;" ")-1),",","."),"."),LEFT(SUBSTITUTE(LEFT(TRIM(C124),FIND(" ",TRIM(C124)&amp;" ")-1),",","."),FIND("/",SUBSTITUTE(LEFT(TRIM(C124),FIND(" ",TRIM(C124)&amp;" ")-1),",","."))-1)/MID(SUBSTITUTE(LEFT(TRIM(C124),FIND(" ",TRIM(C124)&amp;" ")-1),",","."),FIND("/",SUBSTITUTE(LEFT(TRIM(C124),FIND(" ",TRIM(C124)&amp;" ")-1),",","."))+1,9))*12,NA()))),0),36)*'Aturan &amp; Tarif'!$B$4,2)</f>
        <v>2044.08</v>
      </c>
      <c r="K124" s="32" t="n">
        <f aca="false">'Aturan &amp; Tarif'!$B$5</f>
        <v>2050</v>
      </c>
      <c r="L124" s="32" t="n">
        <f aca="false">'Aturan &amp; Tarif'!$B$6</f>
        <v>350</v>
      </c>
      <c r="M124" s="35" t="n">
        <f aca="false">I124+J124+K124+L124</f>
        <v>26294.08</v>
      </c>
      <c r="N124" s="37" t="s">
        <v>1286</v>
      </c>
    </row>
    <row r="125" customFormat="false" ht="25.5" hidden="false" customHeight="true" outlineLevel="0" collapsed="false">
      <c r="A125" s="29"/>
      <c r="B125" s="30" t="s">
        <v>1292</v>
      </c>
      <c r="C125" s="31" t="s">
        <v>127</v>
      </c>
      <c r="D125" s="31" t="s">
        <v>108</v>
      </c>
      <c r="E125" s="32" t="n">
        <v>10850</v>
      </c>
      <c r="F125" s="32"/>
      <c r="G125" s="32" t="n">
        <v>150</v>
      </c>
      <c r="H125" s="33" t="n">
        <v>2</v>
      </c>
      <c r="I125" s="34" t="n">
        <f aca="false">E125*H125+N(F125)+N(G125)</f>
        <v>21850</v>
      </c>
      <c r="J125" s="32" t="n">
        <f aca="false">ROUND(IFERROR(ROUND(IF(OR(ISNUMBER(SEARCH("week",C125)),ISNUMBER(SEARCH("minggu",C125))),IFERROR(_xlfn.NUMBERVALUE(SUBSTITUTE(LEFT(TRIM(C125),FIND(" ",TRIM(C125)&amp;" ")-1),",","."),"."),LEFT(SUBSTITUTE(LEFT(TRIM(C125),FIND(" ",TRIM(C125)&amp;" ")-1),",","."),FIND("/",SUBSTITUTE(LEFT(TRIM(C125),FIND(" ",TRIM(C125)&amp;" ")-1),",","."))-1)/MID(SUBSTITUTE(LEFT(TRIM(C125),FIND(" ",TRIM(C125)&amp;" ")-1),",","."),FIND("/",SUBSTITUTE(LEFT(TRIM(C125),FIND(" ",TRIM(C125)&amp;" ")-1),",","."))+1,9))*12/52,IF(ISNUMBER(SEARCH("month",C125)),IFERROR(_xlfn.NUMBERVALUE(SUBSTITUTE(LEFT(TRIM(C125),FIND(" ",TRIM(C125)&amp;" ")-1),",","."),"."),LEFT(SUBSTITUTE(LEFT(TRIM(C125),FIND(" ",TRIM(C125)&amp;" ")-1),",","."),FIND("/",SUBSTITUTE(LEFT(TRIM(C125),FIND(" ",TRIM(C125)&amp;" ")-1),",","."))-1)/MID(SUBSTITUTE(LEFT(TRIM(C125),FIND(" ",TRIM(C125)&amp;" ")-1),",","."),FIND("/",SUBSTITUTE(LEFT(TRIM(C125),FIND(" ",TRIM(C125)&amp;" ")-1),",","."))+1,9)),IF(ISNUMBER(SEARCH("yea",C125)),IFERROR(_xlfn.NUMBERVALUE(SUBSTITUTE(LEFT(TRIM(C125),FIND(" ",TRIM(C125)&amp;" ")-1),",","."),"."),LEFT(SUBSTITUTE(LEFT(TRIM(C125),FIND(" ",TRIM(C125)&amp;" ")-1),",","."),FIND("/",SUBSTITUTE(LEFT(TRIM(C125),FIND(" ",TRIM(C125)&amp;" ")-1),",","."))-1)/MID(SUBSTITUTE(LEFT(TRIM(C125),FIND(" ",TRIM(C125)&amp;" ")-1),",","."),FIND("/",SUBSTITUTE(LEFT(TRIM(C125),FIND(" ",TRIM(C125)&amp;" ")-1),",","."))+1,9))*12,NA()))),0),36)*'Aturan &amp; Tarif'!$B$4,2)</f>
        <v>2044.08</v>
      </c>
      <c r="K125" s="32" t="n">
        <f aca="false">'Aturan &amp; Tarif'!$B$5</f>
        <v>2050</v>
      </c>
      <c r="L125" s="32" t="n">
        <f aca="false">'Aturan &amp; Tarif'!$B$6</f>
        <v>350</v>
      </c>
      <c r="M125" s="35" t="n">
        <f aca="false">I125+J125+K125+L125</f>
        <v>26294.08</v>
      </c>
      <c r="N125" s="37" t="s">
        <v>1286</v>
      </c>
    </row>
    <row r="126" customFormat="false" ht="25.5" hidden="false" customHeight="true" outlineLevel="0" collapsed="false">
      <c r="A126" s="29"/>
      <c r="B126" s="30" t="s">
        <v>1293</v>
      </c>
      <c r="C126" s="31" t="s">
        <v>127</v>
      </c>
      <c r="D126" s="31" t="s">
        <v>108</v>
      </c>
      <c r="E126" s="32" t="n">
        <v>10850</v>
      </c>
      <c r="F126" s="32"/>
      <c r="G126" s="32" t="n">
        <v>150</v>
      </c>
      <c r="H126" s="33" t="n">
        <v>2</v>
      </c>
      <c r="I126" s="34" t="n">
        <f aca="false">E126*H126+N(F126)+N(G126)</f>
        <v>21850</v>
      </c>
      <c r="J126" s="32" t="n">
        <f aca="false">ROUND(IFERROR(ROUND(IF(OR(ISNUMBER(SEARCH("week",C126)),ISNUMBER(SEARCH("minggu",C126))),IFERROR(_xlfn.NUMBERVALUE(SUBSTITUTE(LEFT(TRIM(C126),FIND(" ",TRIM(C126)&amp;" ")-1),",","."),"."),LEFT(SUBSTITUTE(LEFT(TRIM(C126),FIND(" ",TRIM(C126)&amp;" ")-1),",","."),FIND("/",SUBSTITUTE(LEFT(TRIM(C126),FIND(" ",TRIM(C126)&amp;" ")-1),",","."))-1)/MID(SUBSTITUTE(LEFT(TRIM(C126),FIND(" ",TRIM(C126)&amp;" ")-1),",","."),FIND("/",SUBSTITUTE(LEFT(TRIM(C126),FIND(" ",TRIM(C126)&amp;" ")-1),",","."))+1,9))*12/52,IF(ISNUMBER(SEARCH("month",C126)),IFERROR(_xlfn.NUMBERVALUE(SUBSTITUTE(LEFT(TRIM(C126),FIND(" ",TRIM(C126)&amp;" ")-1),",","."),"."),LEFT(SUBSTITUTE(LEFT(TRIM(C126),FIND(" ",TRIM(C126)&amp;" ")-1),",","."),FIND("/",SUBSTITUTE(LEFT(TRIM(C126),FIND(" ",TRIM(C126)&amp;" ")-1),",","."))-1)/MID(SUBSTITUTE(LEFT(TRIM(C126),FIND(" ",TRIM(C126)&amp;" ")-1),",","."),FIND("/",SUBSTITUTE(LEFT(TRIM(C126),FIND(" ",TRIM(C126)&amp;" ")-1),",","."))+1,9)),IF(ISNUMBER(SEARCH("yea",C126)),IFERROR(_xlfn.NUMBERVALUE(SUBSTITUTE(LEFT(TRIM(C126),FIND(" ",TRIM(C126)&amp;" ")-1),",","."),"."),LEFT(SUBSTITUTE(LEFT(TRIM(C126),FIND(" ",TRIM(C126)&amp;" ")-1),",","."),FIND("/",SUBSTITUTE(LEFT(TRIM(C126),FIND(" ",TRIM(C126)&amp;" ")-1),",","."))-1)/MID(SUBSTITUTE(LEFT(TRIM(C126),FIND(" ",TRIM(C126)&amp;" ")-1),",","."),FIND("/",SUBSTITUTE(LEFT(TRIM(C126),FIND(" ",TRIM(C126)&amp;" ")-1),",","."))+1,9))*12,NA()))),0),36)*'Aturan &amp; Tarif'!$B$4,2)</f>
        <v>2044.08</v>
      </c>
      <c r="K126" s="32" t="n">
        <f aca="false">'Aturan &amp; Tarif'!$B$5</f>
        <v>2050</v>
      </c>
      <c r="L126" s="32" t="n">
        <f aca="false">'Aturan &amp; Tarif'!$B$6</f>
        <v>350</v>
      </c>
      <c r="M126" s="35" t="n">
        <f aca="false">I126+J126+K126+L126</f>
        <v>26294.08</v>
      </c>
      <c r="N126" s="37" t="s">
        <v>1286</v>
      </c>
    </row>
    <row r="127" customFormat="false" ht="25.5" hidden="false" customHeight="true" outlineLevel="0" collapsed="false">
      <c r="A127" s="29"/>
      <c r="B127" s="30" t="s">
        <v>1294</v>
      </c>
      <c r="C127" s="31" t="s">
        <v>127</v>
      </c>
      <c r="D127" s="31" t="s">
        <v>108</v>
      </c>
      <c r="E127" s="32" t="n">
        <v>10850</v>
      </c>
      <c r="F127" s="32"/>
      <c r="G127" s="32" t="n">
        <v>150</v>
      </c>
      <c r="H127" s="33" t="n">
        <v>2</v>
      </c>
      <c r="I127" s="34" t="n">
        <f aca="false">E127*H127+N(F127)+N(G127)</f>
        <v>21850</v>
      </c>
      <c r="J127" s="32" t="n">
        <f aca="false">ROUND(IFERROR(ROUND(IF(OR(ISNUMBER(SEARCH("week",C127)),ISNUMBER(SEARCH("minggu",C127))),IFERROR(_xlfn.NUMBERVALUE(SUBSTITUTE(LEFT(TRIM(C127),FIND(" ",TRIM(C127)&amp;" ")-1),",","."),"."),LEFT(SUBSTITUTE(LEFT(TRIM(C127),FIND(" ",TRIM(C127)&amp;" ")-1),",","."),FIND("/",SUBSTITUTE(LEFT(TRIM(C127),FIND(" ",TRIM(C127)&amp;" ")-1),",","."))-1)/MID(SUBSTITUTE(LEFT(TRIM(C127),FIND(" ",TRIM(C127)&amp;" ")-1),",","."),FIND("/",SUBSTITUTE(LEFT(TRIM(C127),FIND(" ",TRIM(C127)&amp;" ")-1),",","."))+1,9))*12/52,IF(ISNUMBER(SEARCH("month",C127)),IFERROR(_xlfn.NUMBERVALUE(SUBSTITUTE(LEFT(TRIM(C127),FIND(" ",TRIM(C127)&amp;" ")-1),",","."),"."),LEFT(SUBSTITUTE(LEFT(TRIM(C127),FIND(" ",TRIM(C127)&amp;" ")-1),",","."),FIND("/",SUBSTITUTE(LEFT(TRIM(C127),FIND(" ",TRIM(C127)&amp;" ")-1),",","."))-1)/MID(SUBSTITUTE(LEFT(TRIM(C127),FIND(" ",TRIM(C127)&amp;" ")-1),",","."),FIND("/",SUBSTITUTE(LEFT(TRIM(C127),FIND(" ",TRIM(C127)&amp;" ")-1),",","."))+1,9)),IF(ISNUMBER(SEARCH("yea",C127)),IFERROR(_xlfn.NUMBERVALUE(SUBSTITUTE(LEFT(TRIM(C127),FIND(" ",TRIM(C127)&amp;" ")-1),",","."),"."),LEFT(SUBSTITUTE(LEFT(TRIM(C127),FIND(" ",TRIM(C127)&amp;" ")-1),",","."),FIND("/",SUBSTITUTE(LEFT(TRIM(C127),FIND(" ",TRIM(C127)&amp;" ")-1),",","."))-1)/MID(SUBSTITUTE(LEFT(TRIM(C127),FIND(" ",TRIM(C127)&amp;" ")-1),",","."),FIND("/",SUBSTITUTE(LEFT(TRIM(C127),FIND(" ",TRIM(C127)&amp;" ")-1),",","."))+1,9))*12,NA()))),0),36)*'Aturan &amp; Tarif'!$B$4,2)</f>
        <v>2044.08</v>
      </c>
      <c r="K127" s="32" t="n">
        <f aca="false">'Aturan &amp; Tarif'!$B$5</f>
        <v>2050</v>
      </c>
      <c r="L127" s="32" t="n">
        <f aca="false">'Aturan &amp; Tarif'!$B$6</f>
        <v>350</v>
      </c>
      <c r="M127" s="35" t="n">
        <f aca="false">I127+J127+K127+L127</f>
        <v>26294.08</v>
      </c>
      <c r="N127" s="37" t="s">
        <v>1286</v>
      </c>
    </row>
    <row r="128" customFormat="false" ht="25.5" hidden="false" customHeight="true" outlineLevel="0" collapsed="false">
      <c r="A128" s="29"/>
      <c r="B128" s="30" t="s">
        <v>1295</v>
      </c>
      <c r="C128" s="31" t="s">
        <v>127</v>
      </c>
      <c r="D128" s="31" t="s">
        <v>108</v>
      </c>
      <c r="E128" s="32" t="n">
        <v>10850</v>
      </c>
      <c r="F128" s="32"/>
      <c r="G128" s="32" t="n">
        <v>150</v>
      </c>
      <c r="H128" s="33" t="n">
        <v>2</v>
      </c>
      <c r="I128" s="34" t="n">
        <f aca="false">E128*H128+N(F128)+N(G128)</f>
        <v>21850</v>
      </c>
      <c r="J128" s="32" t="n">
        <f aca="false">ROUND(IFERROR(ROUND(IF(OR(ISNUMBER(SEARCH("week",C128)),ISNUMBER(SEARCH("minggu",C128))),IFERROR(_xlfn.NUMBERVALUE(SUBSTITUTE(LEFT(TRIM(C128),FIND(" ",TRIM(C128)&amp;" ")-1),",","."),"."),LEFT(SUBSTITUTE(LEFT(TRIM(C128),FIND(" ",TRIM(C128)&amp;" ")-1),",","."),FIND("/",SUBSTITUTE(LEFT(TRIM(C128),FIND(" ",TRIM(C128)&amp;" ")-1),",","."))-1)/MID(SUBSTITUTE(LEFT(TRIM(C128),FIND(" ",TRIM(C128)&amp;" ")-1),",","."),FIND("/",SUBSTITUTE(LEFT(TRIM(C128),FIND(" ",TRIM(C128)&amp;" ")-1),",","."))+1,9))*12/52,IF(ISNUMBER(SEARCH("month",C128)),IFERROR(_xlfn.NUMBERVALUE(SUBSTITUTE(LEFT(TRIM(C128),FIND(" ",TRIM(C128)&amp;" ")-1),",","."),"."),LEFT(SUBSTITUTE(LEFT(TRIM(C128),FIND(" ",TRIM(C128)&amp;" ")-1),",","."),FIND("/",SUBSTITUTE(LEFT(TRIM(C128),FIND(" ",TRIM(C128)&amp;" ")-1),",","."))-1)/MID(SUBSTITUTE(LEFT(TRIM(C128),FIND(" ",TRIM(C128)&amp;" ")-1),",","."),FIND("/",SUBSTITUTE(LEFT(TRIM(C128),FIND(" ",TRIM(C128)&amp;" ")-1),",","."))+1,9)),IF(ISNUMBER(SEARCH("yea",C128)),IFERROR(_xlfn.NUMBERVALUE(SUBSTITUTE(LEFT(TRIM(C128),FIND(" ",TRIM(C128)&amp;" ")-1),",","."),"."),LEFT(SUBSTITUTE(LEFT(TRIM(C128),FIND(" ",TRIM(C128)&amp;" ")-1),",","."),FIND("/",SUBSTITUTE(LEFT(TRIM(C128),FIND(" ",TRIM(C128)&amp;" ")-1),",","."))-1)/MID(SUBSTITUTE(LEFT(TRIM(C128),FIND(" ",TRIM(C128)&amp;" ")-1),",","."),FIND("/",SUBSTITUTE(LEFT(TRIM(C128),FIND(" ",TRIM(C128)&amp;" ")-1),",","."))+1,9))*12,NA()))),0),36)*'Aturan &amp; Tarif'!$B$4,2)</f>
        <v>2044.08</v>
      </c>
      <c r="K128" s="32" t="n">
        <f aca="false">'Aturan &amp; Tarif'!$B$5</f>
        <v>2050</v>
      </c>
      <c r="L128" s="32" t="n">
        <f aca="false">'Aturan &amp; Tarif'!$B$6</f>
        <v>350</v>
      </c>
      <c r="M128" s="35" t="n">
        <f aca="false">I128+J128+K128+L128</f>
        <v>26294.08</v>
      </c>
      <c r="N128" s="37" t="s">
        <v>1286</v>
      </c>
    </row>
    <row r="129" customFormat="false" ht="14.25" hidden="false" customHeight="true" outlineLevel="0" collapsed="false">
      <c r="A129" s="29"/>
      <c r="B129" s="30" t="s">
        <v>1296</v>
      </c>
      <c r="C129" s="31" t="s">
        <v>127</v>
      </c>
      <c r="D129" s="31" t="s">
        <v>108</v>
      </c>
      <c r="E129" s="32" t="n">
        <v>11850</v>
      </c>
      <c r="F129" s="32"/>
      <c r="G129" s="32" t="n">
        <v>150</v>
      </c>
      <c r="H129" s="33" t="n">
        <v>2</v>
      </c>
      <c r="I129" s="34" t="n">
        <f aca="false">E129*H129+N(F129)+N(G129)</f>
        <v>23850</v>
      </c>
      <c r="J129" s="32" t="n">
        <f aca="false">ROUND(IFERROR(ROUND(IF(OR(ISNUMBER(SEARCH("week",C129)),ISNUMBER(SEARCH("minggu",C129))),IFERROR(_xlfn.NUMBERVALUE(SUBSTITUTE(LEFT(TRIM(C129),FIND(" ",TRIM(C129)&amp;" ")-1),",","."),"."),LEFT(SUBSTITUTE(LEFT(TRIM(C129),FIND(" ",TRIM(C129)&amp;" ")-1),",","."),FIND("/",SUBSTITUTE(LEFT(TRIM(C129),FIND(" ",TRIM(C129)&amp;" ")-1),",","."))-1)/MID(SUBSTITUTE(LEFT(TRIM(C129),FIND(" ",TRIM(C129)&amp;" ")-1),",","."),FIND("/",SUBSTITUTE(LEFT(TRIM(C129),FIND(" ",TRIM(C129)&amp;" ")-1),",","."))+1,9))*12/52,IF(ISNUMBER(SEARCH("month",C129)),IFERROR(_xlfn.NUMBERVALUE(SUBSTITUTE(LEFT(TRIM(C129),FIND(" ",TRIM(C129)&amp;" ")-1),",","."),"."),LEFT(SUBSTITUTE(LEFT(TRIM(C129),FIND(" ",TRIM(C129)&amp;" ")-1),",","."),FIND("/",SUBSTITUTE(LEFT(TRIM(C129),FIND(" ",TRIM(C129)&amp;" ")-1),",","."))-1)/MID(SUBSTITUTE(LEFT(TRIM(C129),FIND(" ",TRIM(C129)&amp;" ")-1),",","."),FIND("/",SUBSTITUTE(LEFT(TRIM(C129),FIND(" ",TRIM(C129)&amp;" ")-1),",","."))+1,9)),IF(ISNUMBER(SEARCH("yea",C129)),IFERROR(_xlfn.NUMBERVALUE(SUBSTITUTE(LEFT(TRIM(C129),FIND(" ",TRIM(C129)&amp;" ")-1),",","."),"."),LEFT(SUBSTITUTE(LEFT(TRIM(C129),FIND(" ",TRIM(C129)&amp;" ")-1),",","."),FIND("/",SUBSTITUTE(LEFT(TRIM(C129),FIND(" ",TRIM(C129)&amp;" ")-1),",","."))-1)/MID(SUBSTITUTE(LEFT(TRIM(C129),FIND(" ",TRIM(C129)&amp;" ")-1),",","."),FIND("/",SUBSTITUTE(LEFT(TRIM(C129),FIND(" ",TRIM(C129)&amp;" ")-1),",","."))+1,9))*12,NA()))),0),36)*'Aturan &amp; Tarif'!$B$4,2)</f>
        <v>2044.08</v>
      </c>
      <c r="K129" s="32" t="n">
        <f aca="false">'Aturan &amp; Tarif'!$B$5</f>
        <v>2050</v>
      </c>
      <c r="L129" s="32" t="n">
        <f aca="false">'Aturan &amp; Tarif'!$B$6</f>
        <v>350</v>
      </c>
      <c r="M129" s="35" t="n">
        <f aca="false">I129+J129+K129+L129</f>
        <v>28294.08</v>
      </c>
      <c r="N129" s="37" t="s">
        <v>1297</v>
      </c>
    </row>
    <row r="130" customFormat="false" ht="14.25" hidden="false" customHeight="true" outlineLevel="0" collapsed="false">
      <c r="A130" s="29"/>
      <c r="B130" s="30" t="s">
        <v>177</v>
      </c>
      <c r="C130" s="31" t="s">
        <v>127</v>
      </c>
      <c r="D130" s="31" t="s">
        <v>108</v>
      </c>
      <c r="E130" s="32" t="n">
        <v>11275</v>
      </c>
      <c r="F130" s="32"/>
      <c r="G130" s="32" t="n">
        <v>150</v>
      </c>
      <c r="H130" s="33" t="n">
        <v>2</v>
      </c>
      <c r="I130" s="34" t="n">
        <f aca="false">E130*H130+N(F130)+N(G130)</f>
        <v>22700</v>
      </c>
      <c r="J130" s="32" t="n">
        <f aca="false">ROUND(IFERROR(ROUND(IF(OR(ISNUMBER(SEARCH("week",C130)),ISNUMBER(SEARCH("minggu",C130))),IFERROR(_xlfn.NUMBERVALUE(SUBSTITUTE(LEFT(TRIM(C130),FIND(" ",TRIM(C130)&amp;" ")-1),",","."),"."),LEFT(SUBSTITUTE(LEFT(TRIM(C130),FIND(" ",TRIM(C130)&amp;" ")-1),",","."),FIND("/",SUBSTITUTE(LEFT(TRIM(C130),FIND(" ",TRIM(C130)&amp;" ")-1),",","."))-1)/MID(SUBSTITUTE(LEFT(TRIM(C130),FIND(" ",TRIM(C130)&amp;" ")-1),",","."),FIND("/",SUBSTITUTE(LEFT(TRIM(C130),FIND(" ",TRIM(C130)&amp;" ")-1),",","."))+1,9))*12/52,IF(ISNUMBER(SEARCH("month",C130)),IFERROR(_xlfn.NUMBERVALUE(SUBSTITUTE(LEFT(TRIM(C130),FIND(" ",TRIM(C130)&amp;" ")-1),",","."),"."),LEFT(SUBSTITUTE(LEFT(TRIM(C130),FIND(" ",TRIM(C130)&amp;" ")-1),",","."),FIND("/",SUBSTITUTE(LEFT(TRIM(C130),FIND(" ",TRIM(C130)&amp;" ")-1),",","."))-1)/MID(SUBSTITUTE(LEFT(TRIM(C130),FIND(" ",TRIM(C130)&amp;" ")-1),",","."),FIND("/",SUBSTITUTE(LEFT(TRIM(C130),FIND(" ",TRIM(C130)&amp;" ")-1),",","."))+1,9)),IF(ISNUMBER(SEARCH("yea",C130)),IFERROR(_xlfn.NUMBERVALUE(SUBSTITUTE(LEFT(TRIM(C130),FIND(" ",TRIM(C130)&amp;" ")-1),",","."),"."),LEFT(SUBSTITUTE(LEFT(TRIM(C130),FIND(" ",TRIM(C130)&amp;" ")-1),",","."),FIND("/",SUBSTITUTE(LEFT(TRIM(C130),FIND(" ",TRIM(C130)&amp;" ")-1),",","."))-1)/MID(SUBSTITUTE(LEFT(TRIM(C130),FIND(" ",TRIM(C130)&amp;" ")-1),",","."),FIND("/",SUBSTITUTE(LEFT(TRIM(C130),FIND(" ",TRIM(C130)&amp;" ")-1),",","."))+1,9))*12,NA()))),0),36)*'Aturan &amp; Tarif'!$B$4,2)</f>
        <v>2044.08</v>
      </c>
      <c r="K130" s="32" t="n">
        <f aca="false">'Aturan &amp; Tarif'!$B$5</f>
        <v>2050</v>
      </c>
      <c r="L130" s="32" t="n">
        <f aca="false">'Aturan &amp; Tarif'!$B$6</f>
        <v>350</v>
      </c>
      <c r="M130" s="35" t="n">
        <f aca="false">I130+J130+K130+L130</f>
        <v>27144.08</v>
      </c>
      <c r="N130" s="37" t="s">
        <v>846</v>
      </c>
    </row>
    <row r="131" customFormat="false" ht="14.25" hidden="false" customHeight="true" outlineLevel="0" collapsed="false">
      <c r="A131" s="29"/>
      <c r="B131" s="30" t="s">
        <v>1298</v>
      </c>
      <c r="C131" s="31" t="s">
        <v>127</v>
      </c>
      <c r="D131" s="31" t="s">
        <v>108</v>
      </c>
      <c r="E131" s="32" t="n">
        <v>11275</v>
      </c>
      <c r="F131" s="32"/>
      <c r="G131" s="32" t="n">
        <v>150</v>
      </c>
      <c r="H131" s="33" t="n">
        <v>2</v>
      </c>
      <c r="I131" s="34" t="n">
        <f aca="false">E131*H131+N(F131)+N(G131)</f>
        <v>22700</v>
      </c>
      <c r="J131" s="32" t="n">
        <f aca="false">ROUND(IFERROR(ROUND(IF(OR(ISNUMBER(SEARCH("week",C131)),ISNUMBER(SEARCH("minggu",C131))),IFERROR(_xlfn.NUMBERVALUE(SUBSTITUTE(LEFT(TRIM(C131),FIND(" ",TRIM(C131)&amp;" ")-1),",","."),"."),LEFT(SUBSTITUTE(LEFT(TRIM(C131),FIND(" ",TRIM(C131)&amp;" ")-1),",","."),FIND("/",SUBSTITUTE(LEFT(TRIM(C131),FIND(" ",TRIM(C131)&amp;" ")-1),",","."))-1)/MID(SUBSTITUTE(LEFT(TRIM(C131),FIND(" ",TRIM(C131)&amp;" ")-1),",","."),FIND("/",SUBSTITUTE(LEFT(TRIM(C131),FIND(" ",TRIM(C131)&amp;" ")-1),",","."))+1,9))*12/52,IF(ISNUMBER(SEARCH("month",C131)),IFERROR(_xlfn.NUMBERVALUE(SUBSTITUTE(LEFT(TRIM(C131),FIND(" ",TRIM(C131)&amp;" ")-1),",","."),"."),LEFT(SUBSTITUTE(LEFT(TRIM(C131),FIND(" ",TRIM(C131)&amp;" ")-1),",","."),FIND("/",SUBSTITUTE(LEFT(TRIM(C131),FIND(" ",TRIM(C131)&amp;" ")-1),",","."))-1)/MID(SUBSTITUTE(LEFT(TRIM(C131),FIND(" ",TRIM(C131)&amp;" ")-1),",","."),FIND("/",SUBSTITUTE(LEFT(TRIM(C131),FIND(" ",TRIM(C131)&amp;" ")-1),",","."))+1,9)),IF(ISNUMBER(SEARCH("yea",C131)),IFERROR(_xlfn.NUMBERVALUE(SUBSTITUTE(LEFT(TRIM(C131),FIND(" ",TRIM(C131)&amp;" ")-1),",","."),"."),LEFT(SUBSTITUTE(LEFT(TRIM(C131),FIND(" ",TRIM(C131)&amp;" ")-1),",","."),FIND("/",SUBSTITUTE(LEFT(TRIM(C131),FIND(" ",TRIM(C131)&amp;" ")-1),",","."))-1)/MID(SUBSTITUTE(LEFT(TRIM(C131),FIND(" ",TRIM(C131)&amp;" ")-1),",","."),FIND("/",SUBSTITUTE(LEFT(TRIM(C131),FIND(" ",TRIM(C131)&amp;" ")-1),",","."))+1,9))*12,NA()))),0),36)*'Aturan &amp; Tarif'!$B$4,2)</f>
        <v>2044.08</v>
      </c>
      <c r="K131" s="32" t="n">
        <f aca="false">'Aturan &amp; Tarif'!$B$5</f>
        <v>2050</v>
      </c>
      <c r="L131" s="32" t="n">
        <f aca="false">'Aturan &amp; Tarif'!$B$6</f>
        <v>350</v>
      </c>
      <c r="M131" s="35" t="n">
        <f aca="false">I131+J131+K131+L131</f>
        <v>27144.08</v>
      </c>
      <c r="N131" s="37" t="s">
        <v>846</v>
      </c>
    </row>
    <row r="132" customFormat="false" ht="14.25" hidden="false" customHeight="true" outlineLevel="0" collapsed="false">
      <c r="A132" s="29"/>
      <c r="B132" s="30" t="s">
        <v>1299</v>
      </c>
      <c r="C132" s="31" t="s">
        <v>127</v>
      </c>
      <c r="D132" s="31" t="s">
        <v>108</v>
      </c>
      <c r="E132" s="32" t="n">
        <v>11850</v>
      </c>
      <c r="F132" s="32"/>
      <c r="G132" s="32" t="n">
        <v>150</v>
      </c>
      <c r="H132" s="33" t="n">
        <v>2</v>
      </c>
      <c r="I132" s="34" t="n">
        <f aca="false">E132*H132+N(F132)+N(G132)</f>
        <v>23850</v>
      </c>
      <c r="J132" s="32" t="n">
        <f aca="false">ROUND(IFERROR(ROUND(IF(OR(ISNUMBER(SEARCH("week",C132)),ISNUMBER(SEARCH("minggu",C132))),IFERROR(_xlfn.NUMBERVALUE(SUBSTITUTE(LEFT(TRIM(C132),FIND(" ",TRIM(C132)&amp;" ")-1),",","."),"."),LEFT(SUBSTITUTE(LEFT(TRIM(C132),FIND(" ",TRIM(C132)&amp;" ")-1),",","."),FIND("/",SUBSTITUTE(LEFT(TRIM(C132),FIND(" ",TRIM(C132)&amp;" ")-1),",","."))-1)/MID(SUBSTITUTE(LEFT(TRIM(C132),FIND(" ",TRIM(C132)&amp;" ")-1),",","."),FIND("/",SUBSTITUTE(LEFT(TRIM(C132),FIND(" ",TRIM(C132)&amp;" ")-1),",","."))+1,9))*12/52,IF(ISNUMBER(SEARCH("month",C132)),IFERROR(_xlfn.NUMBERVALUE(SUBSTITUTE(LEFT(TRIM(C132),FIND(" ",TRIM(C132)&amp;" ")-1),",","."),"."),LEFT(SUBSTITUTE(LEFT(TRIM(C132),FIND(" ",TRIM(C132)&amp;" ")-1),",","."),FIND("/",SUBSTITUTE(LEFT(TRIM(C132),FIND(" ",TRIM(C132)&amp;" ")-1),",","."))-1)/MID(SUBSTITUTE(LEFT(TRIM(C132),FIND(" ",TRIM(C132)&amp;" ")-1),",","."),FIND("/",SUBSTITUTE(LEFT(TRIM(C132),FIND(" ",TRIM(C132)&amp;" ")-1),",","."))+1,9)),IF(ISNUMBER(SEARCH("yea",C132)),IFERROR(_xlfn.NUMBERVALUE(SUBSTITUTE(LEFT(TRIM(C132),FIND(" ",TRIM(C132)&amp;" ")-1),",","."),"."),LEFT(SUBSTITUTE(LEFT(TRIM(C132),FIND(" ",TRIM(C132)&amp;" ")-1),",","."),FIND("/",SUBSTITUTE(LEFT(TRIM(C132),FIND(" ",TRIM(C132)&amp;" ")-1),",","."))-1)/MID(SUBSTITUTE(LEFT(TRIM(C132),FIND(" ",TRIM(C132)&amp;" ")-1),",","."),FIND("/",SUBSTITUTE(LEFT(TRIM(C132),FIND(" ",TRIM(C132)&amp;" ")-1),",","."))+1,9))*12,NA()))),0),36)*'Aturan &amp; Tarif'!$B$4,2)</f>
        <v>2044.08</v>
      </c>
      <c r="K132" s="32" t="n">
        <f aca="false">'Aturan &amp; Tarif'!$B$5</f>
        <v>2050</v>
      </c>
      <c r="L132" s="32" t="n">
        <f aca="false">'Aturan &amp; Tarif'!$B$6</f>
        <v>350</v>
      </c>
      <c r="M132" s="35" t="n">
        <f aca="false">I132+J132+K132+L132</f>
        <v>28294.08</v>
      </c>
      <c r="N132" s="37" t="s">
        <v>846</v>
      </c>
    </row>
    <row r="133" customFormat="false" ht="14.25" hidden="false" customHeight="true" outlineLevel="0" collapsed="false">
      <c r="A133" s="29"/>
      <c r="B133" s="30" t="s">
        <v>1300</v>
      </c>
      <c r="C133" s="31" t="s">
        <v>127</v>
      </c>
      <c r="D133" s="31" t="s">
        <v>108</v>
      </c>
      <c r="E133" s="32" t="n">
        <v>11275</v>
      </c>
      <c r="F133" s="32"/>
      <c r="G133" s="32" t="n">
        <v>150</v>
      </c>
      <c r="H133" s="33" t="n">
        <v>2</v>
      </c>
      <c r="I133" s="34" t="n">
        <f aca="false">E133*H133+N(F133)+N(G133)</f>
        <v>22700</v>
      </c>
      <c r="J133" s="32" t="n">
        <f aca="false">ROUND(IFERROR(ROUND(IF(OR(ISNUMBER(SEARCH("week",C133)),ISNUMBER(SEARCH("minggu",C133))),IFERROR(_xlfn.NUMBERVALUE(SUBSTITUTE(LEFT(TRIM(C133),FIND(" ",TRIM(C133)&amp;" ")-1),",","."),"."),LEFT(SUBSTITUTE(LEFT(TRIM(C133),FIND(" ",TRIM(C133)&amp;" ")-1),",","."),FIND("/",SUBSTITUTE(LEFT(TRIM(C133),FIND(" ",TRIM(C133)&amp;" ")-1),",","."))-1)/MID(SUBSTITUTE(LEFT(TRIM(C133),FIND(" ",TRIM(C133)&amp;" ")-1),",","."),FIND("/",SUBSTITUTE(LEFT(TRIM(C133),FIND(" ",TRIM(C133)&amp;" ")-1),",","."))+1,9))*12/52,IF(ISNUMBER(SEARCH("month",C133)),IFERROR(_xlfn.NUMBERVALUE(SUBSTITUTE(LEFT(TRIM(C133),FIND(" ",TRIM(C133)&amp;" ")-1),",","."),"."),LEFT(SUBSTITUTE(LEFT(TRIM(C133),FIND(" ",TRIM(C133)&amp;" ")-1),",","."),FIND("/",SUBSTITUTE(LEFT(TRIM(C133),FIND(" ",TRIM(C133)&amp;" ")-1),",","."))-1)/MID(SUBSTITUTE(LEFT(TRIM(C133),FIND(" ",TRIM(C133)&amp;" ")-1),",","."),FIND("/",SUBSTITUTE(LEFT(TRIM(C133),FIND(" ",TRIM(C133)&amp;" ")-1),",","."))+1,9)),IF(ISNUMBER(SEARCH("yea",C133)),IFERROR(_xlfn.NUMBERVALUE(SUBSTITUTE(LEFT(TRIM(C133),FIND(" ",TRIM(C133)&amp;" ")-1),",","."),"."),LEFT(SUBSTITUTE(LEFT(TRIM(C133),FIND(" ",TRIM(C133)&amp;" ")-1),",","."),FIND("/",SUBSTITUTE(LEFT(TRIM(C133),FIND(" ",TRIM(C133)&amp;" ")-1),",","."))-1)/MID(SUBSTITUTE(LEFT(TRIM(C133),FIND(" ",TRIM(C133)&amp;" ")-1),",","."),FIND("/",SUBSTITUTE(LEFT(TRIM(C133),FIND(" ",TRIM(C133)&amp;" ")-1),",","."))+1,9))*12,NA()))),0),36)*'Aturan &amp; Tarif'!$B$4,2)</f>
        <v>2044.08</v>
      </c>
      <c r="K133" s="32" t="n">
        <f aca="false">'Aturan &amp; Tarif'!$B$5</f>
        <v>2050</v>
      </c>
      <c r="L133" s="32" t="n">
        <f aca="false">'Aturan &amp; Tarif'!$B$6</f>
        <v>350</v>
      </c>
      <c r="M133" s="35" t="n">
        <f aca="false">I133+J133+K133+L133</f>
        <v>27144.08</v>
      </c>
      <c r="N133" s="37" t="s">
        <v>1301</v>
      </c>
    </row>
    <row r="134" customFormat="false" ht="25.5" hidden="false" customHeight="true" outlineLevel="0" collapsed="false">
      <c r="A134" s="29"/>
      <c r="B134" s="30" t="s">
        <v>1302</v>
      </c>
      <c r="C134" s="31" t="s">
        <v>127</v>
      </c>
      <c r="D134" s="31" t="s">
        <v>108</v>
      </c>
      <c r="E134" s="32" t="n">
        <v>11275</v>
      </c>
      <c r="F134" s="32"/>
      <c r="G134" s="32" t="n">
        <v>150</v>
      </c>
      <c r="H134" s="33" t="n">
        <v>2</v>
      </c>
      <c r="I134" s="34" t="n">
        <f aca="false">E134*H134+N(F134)+N(G134)</f>
        <v>22700</v>
      </c>
      <c r="J134" s="32" t="n">
        <f aca="false">ROUND(IFERROR(ROUND(IF(OR(ISNUMBER(SEARCH("week",C134)),ISNUMBER(SEARCH("minggu",C134))),IFERROR(_xlfn.NUMBERVALUE(SUBSTITUTE(LEFT(TRIM(C134),FIND(" ",TRIM(C134)&amp;" ")-1),",","."),"."),LEFT(SUBSTITUTE(LEFT(TRIM(C134),FIND(" ",TRIM(C134)&amp;" ")-1),",","."),FIND("/",SUBSTITUTE(LEFT(TRIM(C134),FIND(" ",TRIM(C134)&amp;" ")-1),",","."))-1)/MID(SUBSTITUTE(LEFT(TRIM(C134),FIND(" ",TRIM(C134)&amp;" ")-1),",","."),FIND("/",SUBSTITUTE(LEFT(TRIM(C134),FIND(" ",TRIM(C134)&amp;" ")-1),",","."))+1,9))*12/52,IF(ISNUMBER(SEARCH("month",C134)),IFERROR(_xlfn.NUMBERVALUE(SUBSTITUTE(LEFT(TRIM(C134),FIND(" ",TRIM(C134)&amp;" ")-1),",","."),"."),LEFT(SUBSTITUTE(LEFT(TRIM(C134),FIND(" ",TRIM(C134)&amp;" ")-1),",","."),FIND("/",SUBSTITUTE(LEFT(TRIM(C134),FIND(" ",TRIM(C134)&amp;" ")-1),",","."))-1)/MID(SUBSTITUTE(LEFT(TRIM(C134),FIND(" ",TRIM(C134)&amp;" ")-1),",","."),FIND("/",SUBSTITUTE(LEFT(TRIM(C134),FIND(" ",TRIM(C134)&amp;" ")-1),",","."))+1,9)),IF(ISNUMBER(SEARCH("yea",C134)),IFERROR(_xlfn.NUMBERVALUE(SUBSTITUTE(LEFT(TRIM(C134),FIND(" ",TRIM(C134)&amp;" ")-1),",","."),"."),LEFT(SUBSTITUTE(LEFT(TRIM(C134),FIND(" ",TRIM(C134)&amp;" ")-1),",","."),FIND("/",SUBSTITUTE(LEFT(TRIM(C134),FIND(" ",TRIM(C134)&amp;" ")-1),",","."))-1)/MID(SUBSTITUTE(LEFT(TRIM(C134),FIND(" ",TRIM(C134)&amp;" ")-1),",","."),FIND("/",SUBSTITUTE(LEFT(TRIM(C134),FIND(" ",TRIM(C134)&amp;" ")-1),",","."))+1,9))*12,NA()))),0),36)*'Aturan &amp; Tarif'!$B$4,2)</f>
        <v>2044.08</v>
      </c>
      <c r="K134" s="32" t="n">
        <f aca="false">'Aturan &amp; Tarif'!$B$5</f>
        <v>2050</v>
      </c>
      <c r="L134" s="32" t="n">
        <f aca="false">'Aturan &amp; Tarif'!$B$6</f>
        <v>350</v>
      </c>
      <c r="M134" s="35" t="n">
        <f aca="false">I134+J134+K134+L134</f>
        <v>27144.08</v>
      </c>
      <c r="N134" s="37" t="s">
        <v>1301</v>
      </c>
    </row>
    <row r="135" customFormat="false" ht="25.5" hidden="false" customHeight="true" outlineLevel="0" collapsed="false">
      <c r="A135" s="29"/>
      <c r="B135" s="30" t="s">
        <v>1303</v>
      </c>
      <c r="C135" s="31" t="s">
        <v>127</v>
      </c>
      <c r="D135" s="31" t="s">
        <v>108</v>
      </c>
      <c r="E135" s="32" t="n">
        <v>11275</v>
      </c>
      <c r="F135" s="32"/>
      <c r="G135" s="32" t="n">
        <v>150</v>
      </c>
      <c r="H135" s="33" t="n">
        <v>2</v>
      </c>
      <c r="I135" s="34" t="n">
        <f aca="false">E135*H135+N(F135)+N(G135)</f>
        <v>22700</v>
      </c>
      <c r="J135" s="32" t="n">
        <f aca="false">ROUND(IFERROR(ROUND(IF(OR(ISNUMBER(SEARCH("week",C135)),ISNUMBER(SEARCH("minggu",C135))),IFERROR(_xlfn.NUMBERVALUE(SUBSTITUTE(LEFT(TRIM(C135),FIND(" ",TRIM(C135)&amp;" ")-1),",","."),"."),LEFT(SUBSTITUTE(LEFT(TRIM(C135),FIND(" ",TRIM(C135)&amp;" ")-1),",","."),FIND("/",SUBSTITUTE(LEFT(TRIM(C135),FIND(" ",TRIM(C135)&amp;" ")-1),",","."))-1)/MID(SUBSTITUTE(LEFT(TRIM(C135),FIND(" ",TRIM(C135)&amp;" ")-1),",","."),FIND("/",SUBSTITUTE(LEFT(TRIM(C135),FIND(" ",TRIM(C135)&amp;" ")-1),",","."))+1,9))*12/52,IF(ISNUMBER(SEARCH("month",C135)),IFERROR(_xlfn.NUMBERVALUE(SUBSTITUTE(LEFT(TRIM(C135),FIND(" ",TRIM(C135)&amp;" ")-1),",","."),"."),LEFT(SUBSTITUTE(LEFT(TRIM(C135),FIND(" ",TRIM(C135)&amp;" ")-1),",","."),FIND("/",SUBSTITUTE(LEFT(TRIM(C135),FIND(" ",TRIM(C135)&amp;" ")-1),",","."))-1)/MID(SUBSTITUTE(LEFT(TRIM(C135),FIND(" ",TRIM(C135)&amp;" ")-1),",","."),FIND("/",SUBSTITUTE(LEFT(TRIM(C135),FIND(" ",TRIM(C135)&amp;" ")-1),",","."))+1,9)),IF(ISNUMBER(SEARCH("yea",C135)),IFERROR(_xlfn.NUMBERVALUE(SUBSTITUTE(LEFT(TRIM(C135),FIND(" ",TRIM(C135)&amp;" ")-1),",","."),"."),LEFT(SUBSTITUTE(LEFT(TRIM(C135),FIND(" ",TRIM(C135)&amp;" ")-1),",","."),FIND("/",SUBSTITUTE(LEFT(TRIM(C135),FIND(" ",TRIM(C135)&amp;" ")-1),",","."))-1)/MID(SUBSTITUTE(LEFT(TRIM(C135),FIND(" ",TRIM(C135)&amp;" ")-1),",","."),FIND("/",SUBSTITUTE(LEFT(TRIM(C135),FIND(" ",TRIM(C135)&amp;" ")-1),",","."))+1,9))*12,NA()))),0),36)*'Aturan &amp; Tarif'!$B$4,2)</f>
        <v>2044.08</v>
      </c>
      <c r="K135" s="32" t="n">
        <f aca="false">'Aturan &amp; Tarif'!$B$5</f>
        <v>2050</v>
      </c>
      <c r="L135" s="32" t="n">
        <f aca="false">'Aturan &amp; Tarif'!$B$6</f>
        <v>350</v>
      </c>
      <c r="M135" s="35" t="n">
        <f aca="false">I135+J135+K135+L135</f>
        <v>27144.08</v>
      </c>
      <c r="N135" s="37" t="s">
        <v>1301</v>
      </c>
    </row>
    <row r="136" customFormat="false" ht="25.5" hidden="false" customHeight="true" outlineLevel="0" collapsed="false">
      <c r="A136" s="29"/>
      <c r="B136" s="30" t="s">
        <v>1304</v>
      </c>
      <c r="C136" s="31" t="s">
        <v>127</v>
      </c>
      <c r="D136" s="31" t="s">
        <v>108</v>
      </c>
      <c r="E136" s="32" t="n">
        <v>11275</v>
      </c>
      <c r="F136" s="32"/>
      <c r="G136" s="32" t="n">
        <v>150</v>
      </c>
      <c r="H136" s="33" t="n">
        <v>2</v>
      </c>
      <c r="I136" s="34" t="n">
        <f aca="false">E136*H136+N(F136)+N(G136)</f>
        <v>22700</v>
      </c>
      <c r="J136" s="32" t="n">
        <f aca="false">ROUND(IFERROR(ROUND(IF(OR(ISNUMBER(SEARCH("week",C136)),ISNUMBER(SEARCH("minggu",C136))),IFERROR(_xlfn.NUMBERVALUE(SUBSTITUTE(LEFT(TRIM(C136),FIND(" ",TRIM(C136)&amp;" ")-1),",","."),"."),LEFT(SUBSTITUTE(LEFT(TRIM(C136),FIND(" ",TRIM(C136)&amp;" ")-1),",","."),FIND("/",SUBSTITUTE(LEFT(TRIM(C136),FIND(" ",TRIM(C136)&amp;" ")-1),",","."))-1)/MID(SUBSTITUTE(LEFT(TRIM(C136),FIND(" ",TRIM(C136)&amp;" ")-1),",","."),FIND("/",SUBSTITUTE(LEFT(TRIM(C136),FIND(" ",TRIM(C136)&amp;" ")-1),",","."))+1,9))*12/52,IF(ISNUMBER(SEARCH("month",C136)),IFERROR(_xlfn.NUMBERVALUE(SUBSTITUTE(LEFT(TRIM(C136),FIND(" ",TRIM(C136)&amp;" ")-1),",","."),"."),LEFT(SUBSTITUTE(LEFT(TRIM(C136),FIND(" ",TRIM(C136)&amp;" ")-1),",","."),FIND("/",SUBSTITUTE(LEFT(TRIM(C136),FIND(" ",TRIM(C136)&amp;" ")-1),",","."))-1)/MID(SUBSTITUTE(LEFT(TRIM(C136),FIND(" ",TRIM(C136)&amp;" ")-1),",","."),FIND("/",SUBSTITUTE(LEFT(TRIM(C136),FIND(" ",TRIM(C136)&amp;" ")-1),",","."))+1,9)),IF(ISNUMBER(SEARCH("yea",C136)),IFERROR(_xlfn.NUMBERVALUE(SUBSTITUTE(LEFT(TRIM(C136),FIND(" ",TRIM(C136)&amp;" ")-1),",","."),"."),LEFT(SUBSTITUTE(LEFT(TRIM(C136),FIND(" ",TRIM(C136)&amp;" ")-1),",","."),FIND("/",SUBSTITUTE(LEFT(TRIM(C136),FIND(" ",TRIM(C136)&amp;" ")-1),",","."))-1)/MID(SUBSTITUTE(LEFT(TRIM(C136),FIND(" ",TRIM(C136)&amp;" ")-1),",","."),FIND("/",SUBSTITUTE(LEFT(TRIM(C136),FIND(" ",TRIM(C136)&amp;" ")-1),",","."))+1,9))*12,NA()))),0),36)*'Aturan &amp; Tarif'!$B$4,2)</f>
        <v>2044.08</v>
      </c>
      <c r="K136" s="32" t="n">
        <f aca="false">'Aturan &amp; Tarif'!$B$5</f>
        <v>2050</v>
      </c>
      <c r="L136" s="32" t="n">
        <f aca="false">'Aturan &amp; Tarif'!$B$6</f>
        <v>350</v>
      </c>
      <c r="M136" s="35" t="n">
        <f aca="false">I136+J136+K136+L136</f>
        <v>27144.08</v>
      </c>
      <c r="N136" s="37" t="s">
        <v>1301</v>
      </c>
    </row>
    <row r="137" customFormat="false" ht="25.5" hidden="false" customHeight="true" outlineLevel="0" collapsed="false">
      <c r="A137" s="29"/>
      <c r="B137" s="30" t="s">
        <v>1305</v>
      </c>
      <c r="C137" s="31" t="s">
        <v>127</v>
      </c>
      <c r="D137" s="31" t="s">
        <v>108</v>
      </c>
      <c r="E137" s="32" t="n">
        <v>11275</v>
      </c>
      <c r="F137" s="32"/>
      <c r="G137" s="32" t="n">
        <v>150</v>
      </c>
      <c r="H137" s="33" t="n">
        <v>2</v>
      </c>
      <c r="I137" s="34" t="n">
        <f aca="false">E137*H137+N(F137)+N(G137)</f>
        <v>22700</v>
      </c>
      <c r="J137" s="32" t="n">
        <f aca="false">ROUND(IFERROR(ROUND(IF(OR(ISNUMBER(SEARCH("week",C137)),ISNUMBER(SEARCH("minggu",C137))),IFERROR(_xlfn.NUMBERVALUE(SUBSTITUTE(LEFT(TRIM(C137),FIND(" ",TRIM(C137)&amp;" ")-1),",","."),"."),LEFT(SUBSTITUTE(LEFT(TRIM(C137),FIND(" ",TRIM(C137)&amp;" ")-1),",","."),FIND("/",SUBSTITUTE(LEFT(TRIM(C137),FIND(" ",TRIM(C137)&amp;" ")-1),",","."))-1)/MID(SUBSTITUTE(LEFT(TRIM(C137),FIND(" ",TRIM(C137)&amp;" ")-1),",","."),FIND("/",SUBSTITUTE(LEFT(TRIM(C137),FIND(" ",TRIM(C137)&amp;" ")-1),",","."))+1,9))*12/52,IF(ISNUMBER(SEARCH("month",C137)),IFERROR(_xlfn.NUMBERVALUE(SUBSTITUTE(LEFT(TRIM(C137),FIND(" ",TRIM(C137)&amp;" ")-1),",","."),"."),LEFT(SUBSTITUTE(LEFT(TRIM(C137),FIND(" ",TRIM(C137)&amp;" ")-1),",","."),FIND("/",SUBSTITUTE(LEFT(TRIM(C137),FIND(" ",TRIM(C137)&amp;" ")-1),",","."))-1)/MID(SUBSTITUTE(LEFT(TRIM(C137),FIND(" ",TRIM(C137)&amp;" ")-1),",","."),FIND("/",SUBSTITUTE(LEFT(TRIM(C137),FIND(" ",TRIM(C137)&amp;" ")-1),",","."))+1,9)),IF(ISNUMBER(SEARCH("yea",C137)),IFERROR(_xlfn.NUMBERVALUE(SUBSTITUTE(LEFT(TRIM(C137),FIND(" ",TRIM(C137)&amp;" ")-1),",","."),"."),LEFT(SUBSTITUTE(LEFT(TRIM(C137),FIND(" ",TRIM(C137)&amp;" ")-1),",","."),FIND("/",SUBSTITUTE(LEFT(TRIM(C137),FIND(" ",TRIM(C137)&amp;" ")-1),",","."))-1)/MID(SUBSTITUTE(LEFT(TRIM(C137),FIND(" ",TRIM(C137)&amp;" ")-1),",","."),FIND("/",SUBSTITUTE(LEFT(TRIM(C137),FIND(" ",TRIM(C137)&amp;" ")-1),",","."))+1,9))*12,NA()))),0),36)*'Aturan &amp; Tarif'!$B$4,2)</f>
        <v>2044.08</v>
      </c>
      <c r="K137" s="32" t="n">
        <f aca="false">'Aturan &amp; Tarif'!$B$5</f>
        <v>2050</v>
      </c>
      <c r="L137" s="32" t="n">
        <f aca="false">'Aturan &amp; Tarif'!$B$6</f>
        <v>350</v>
      </c>
      <c r="M137" s="35" t="n">
        <f aca="false">I137+J137+K137+L137</f>
        <v>27144.08</v>
      </c>
      <c r="N137" s="37" t="s">
        <v>1301</v>
      </c>
    </row>
    <row r="138" customFormat="false" ht="25.5" hidden="false" customHeight="true" outlineLevel="0" collapsed="false">
      <c r="A138" s="29"/>
      <c r="B138" s="30" t="s">
        <v>1306</v>
      </c>
      <c r="C138" s="31" t="s">
        <v>127</v>
      </c>
      <c r="D138" s="31" t="s">
        <v>108</v>
      </c>
      <c r="E138" s="32" t="n">
        <v>11275</v>
      </c>
      <c r="F138" s="32"/>
      <c r="G138" s="32" t="n">
        <v>150</v>
      </c>
      <c r="H138" s="33" t="n">
        <v>2</v>
      </c>
      <c r="I138" s="34" t="n">
        <f aca="false">E138*H138+N(F138)+N(G138)</f>
        <v>22700</v>
      </c>
      <c r="J138" s="32" t="n">
        <f aca="false">ROUND(IFERROR(ROUND(IF(OR(ISNUMBER(SEARCH("week",C138)),ISNUMBER(SEARCH("minggu",C138))),IFERROR(_xlfn.NUMBERVALUE(SUBSTITUTE(LEFT(TRIM(C138),FIND(" ",TRIM(C138)&amp;" ")-1),",","."),"."),LEFT(SUBSTITUTE(LEFT(TRIM(C138),FIND(" ",TRIM(C138)&amp;" ")-1),",","."),FIND("/",SUBSTITUTE(LEFT(TRIM(C138),FIND(" ",TRIM(C138)&amp;" ")-1),",","."))-1)/MID(SUBSTITUTE(LEFT(TRIM(C138),FIND(" ",TRIM(C138)&amp;" ")-1),",","."),FIND("/",SUBSTITUTE(LEFT(TRIM(C138),FIND(" ",TRIM(C138)&amp;" ")-1),",","."))+1,9))*12/52,IF(ISNUMBER(SEARCH("month",C138)),IFERROR(_xlfn.NUMBERVALUE(SUBSTITUTE(LEFT(TRIM(C138),FIND(" ",TRIM(C138)&amp;" ")-1),",","."),"."),LEFT(SUBSTITUTE(LEFT(TRIM(C138),FIND(" ",TRIM(C138)&amp;" ")-1),",","."),FIND("/",SUBSTITUTE(LEFT(TRIM(C138),FIND(" ",TRIM(C138)&amp;" ")-1),",","."))-1)/MID(SUBSTITUTE(LEFT(TRIM(C138),FIND(" ",TRIM(C138)&amp;" ")-1),",","."),FIND("/",SUBSTITUTE(LEFT(TRIM(C138),FIND(" ",TRIM(C138)&amp;" ")-1),",","."))+1,9)),IF(ISNUMBER(SEARCH("yea",C138)),IFERROR(_xlfn.NUMBERVALUE(SUBSTITUTE(LEFT(TRIM(C138),FIND(" ",TRIM(C138)&amp;" ")-1),",","."),"."),LEFT(SUBSTITUTE(LEFT(TRIM(C138),FIND(" ",TRIM(C138)&amp;" ")-1),",","."),FIND("/",SUBSTITUTE(LEFT(TRIM(C138),FIND(" ",TRIM(C138)&amp;" ")-1),",","."))-1)/MID(SUBSTITUTE(LEFT(TRIM(C138),FIND(" ",TRIM(C138)&amp;" ")-1),",","."),FIND("/",SUBSTITUTE(LEFT(TRIM(C138),FIND(" ",TRIM(C138)&amp;" ")-1),",","."))+1,9))*12,NA()))),0),36)*'Aturan &amp; Tarif'!$B$4,2)</f>
        <v>2044.08</v>
      </c>
      <c r="K138" s="32" t="n">
        <f aca="false">'Aturan &amp; Tarif'!$B$5</f>
        <v>2050</v>
      </c>
      <c r="L138" s="32" t="n">
        <f aca="false">'Aturan &amp; Tarif'!$B$6</f>
        <v>350</v>
      </c>
      <c r="M138" s="35" t="n">
        <f aca="false">I138+J138+K138+L138</f>
        <v>27144.08</v>
      </c>
      <c r="N138" s="37" t="s">
        <v>1301</v>
      </c>
    </row>
    <row r="139" customFormat="false" ht="14.25" hidden="false" customHeight="true" outlineLevel="0" collapsed="false">
      <c r="A139" s="29"/>
      <c r="B139" s="30" t="s">
        <v>173</v>
      </c>
      <c r="C139" s="31" t="s">
        <v>127</v>
      </c>
      <c r="D139" s="31" t="s">
        <v>108</v>
      </c>
      <c r="E139" s="32" t="n">
        <v>10850</v>
      </c>
      <c r="F139" s="32"/>
      <c r="G139" s="32" t="n">
        <v>150</v>
      </c>
      <c r="H139" s="33" t="n">
        <v>2</v>
      </c>
      <c r="I139" s="34" t="n">
        <f aca="false">E139*H139+N(F139)+N(G139)</f>
        <v>21850</v>
      </c>
      <c r="J139" s="32" t="n">
        <f aca="false">ROUND(IFERROR(ROUND(IF(OR(ISNUMBER(SEARCH("week",C139)),ISNUMBER(SEARCH("minggu",C139))),IFERROR(_xlfn.NUMBERVALUE(SUBSTITUTE(LEFT(TRIM(C139),FIND(" ",TRIM(C139)&amp;" ")-1),",","."),"."),LEFT(SUBSTITUTE(LEFT(TRIM(C139),FIND(" ",TRIM(C139)&amp;" ")-1),",","."),FIND("/",SUBSTITUTE(LEFT(TRIM(C139),FIND(" ",TRIM(C139)&amp;" ")-1),",","."))-1)/MID(SUBSTITUTE(LEFT(TRIM(C139),FIND(" ",TRIM(C139)&amp;" ")-1),",","."),FIND("/",SUBSTITUTE(LEFT(TRIM(C139),FIND(" ",TRIM(C139)&amp;" ")-1),",","."))+1,9))*12/52,IF(ISNUMBER(SEARCH("month",C139)),IFERROR(_xlfn.NUMBERVALUE(SUBSTITUTE(LEFT(TRIM(C139),FIND(" ",TRIM(C139)&amp;" ")-1),",","."),"."),LEFT(SUBSTITUTE(LEFT(TRIM(C139),FIND(" ",TRIM(C139)&amp;" ")-1),",","."),FIND("/",SUBSTITUTE(LEFT(TRIM(C139),FIND(" ",TRIM(C139)&amp;" ")-1),",","."))-1)/MID(SUBSTITUTE(LEFT(TRIM(C139),FIND(" ",TRIM(C139)&amp;" ")-1),",","."),FIND("/",SUBSTITUTE(LEFT(TRIM(C139),FIND(" ",TRIM(C139)&amp;" ")-1),",","."))+1,9)),IF(ISNUMBER(SEARCH("yea",C139)),IFERROR(_xlfn.NUMBERVALUE(SUBSTITUTE(LEFT(TRIM(C139),FIND(" ",TRIM(C139)&amp;" ")-1),",","."),"."),LEFT(SUBSTITUTE(LEFT(TRIM(C139),FIND(" ",TRIM(C139)&amp;" ")-1),",","."),FIND("/",SUBSTITUTE(LEFT(TRIM(C139),FIND(" ",TRIM(C139)&amp;" ")-1),",","."))-1)/MID(SUBSTITUTE(LEFT(TRIM(C139),FIND(" ",TRIM(C139)&amp;" ")-1),",","."),FIND("/",SUBSTITUTE(LEFT(TRIM(C139),FIND(" ",TRIM(C139)&amp;" ")-1),",","."))+1,9))*12,NA()))),0),36)*'Aturan &amp; Tarif'!$B$4,2)</f>
        <v>2044.08</v>
      </c>
      <c r="K139" s="32" t="n">
        <f aca="false">'Aturan &amp; Tarif'!$B$5</f>
        <v>2050</v>
      </c>
      <c r="L139" s="32" t="n">
        <f aca="false">'Aturan &amp; Tarif'!$B$6</f>
        <v>350</v>
      </c>
      <c r="M139" s="35" t="n">
        <f aca="false">I139+J139+K139+L139</f>
        <v>26294.08</v>
      </c>
      <c r="N139" s="37" t="s">
        <v>1307</v>
      </c>
    </row>
    <row r="140" customFormat="false" ht="37.5" hidden="false" customHeight="true" outlineLevel="0" collapsed="false">
      <c r="A140" s="29"/>
      <c r="B140" s="30" t="s">
        <v>1308</v>
      </c>
      <c r="C140" s="31" t="s">
        <v>127</v>
      </c>
      <c r="D140" s="31" t="s">
        <v>108</v>
      </c>
      <c r="E140" s="32" t="n">
        <v>10850</v>
      </c>
      <c r="F140" s="32"/>
      <c r="G140" s="32" t="n">
        <v>150</v>
      </c>
      <c r="H140" s="33" t="n">
        <v>2</v>
      </c>
      <c r="I140" s="34" t="n">
        <f aca="false">E140*H140+N(F140)+N(G140)</f>
        <v>21850</v>
      </c>
      <c r="J140" s="32" t="n">
        <f aca="false">ROUND(IFERROR(ROUND(IF(OR(ISNUMBER(SEARCH("week",C140)),ISNUMBER(SEARCH("minggu",C140))),IFERROR(_xlfn.NUMBERVALUE(SUBSTITUTE(LEFT(TRIM(C140),FIND(" ",TRIM(C140)&amp;" ")-1),",","."),"."),LEFT(SUBSTITUTE(LEFT(TRIM(C140),FIND(" ",TRIM(C140)&amp;" ")-1),",","."),FIND("/",SUBSTITUTE(LEFT(TRIM(C140),FIND(" ",TRIM(C140)&amp;" ")-1),",","."))-1)/MID(SUBSTITUTE(LEFT(TRIM(C140),FIND(" ",TRIM(C140)&amp;" ")-1),",","."),FIND("/",SUBSTITUTE(LEFT(TRIM(C140),FIND(" ",TRIM(C140)&amp;" ")-1),",","."))+1,9))*12/52,IF(ISNUMBER(SEARCH("month",C140)),IFERROR(_xlfn.NUMBERVALUE(SUBSTITUTE(LEFT(TRIM(C140),FIND(" ",TRIM(C140)&amp;" ")-1),",","."),"."),LEFT(SUBSTITUTE(LEFT(TRIM(C140),FIND(" ",TRIM(C140)&amp;" ")-1),",","."),FIND("/",SUBSTITUTE(LEFT(TRIM(C140),FIND(" ",TRIM(C140)&amp;" ")-1),",","."))-1)/MID(SUBSTITUTE(LEFT(TRIM(C140),FIND(" ",TRIM(C140)&amp;" ")-1),",","."),FIND("/",SUBSTITUTE(LEFT(TRIM(C140),FIND(" ",TRIM(C140)&amp;" ")-1),",","."))+1,9)),IF(ISNUMBER(SEARCH("yea",C140)),IFERROR(_xlfn.NUMBERVALUE(SUBSTITUTE(LEFT(TRIM(C140),FIND(" ",TRIM(C140)&amp;" ")-1),",","."),"."),LEFT(SUBSTITUTE(LEFT(TRIM(C140),FIND(" ",TRIM(C140)&amp;" ")-1),",","."),FIND("/",SUBSTITUTE(LEFT(TRIM(C140),FIND(" ",TRIM(C140)&amp;" ")-1),",","."))-1)/MID(SUBSTITUTE(LEFT(TRIM(C140),FIND(" ",TRIM(C140)&amp;" ")-1),",","."),FIND("/",SUBSTITUTE(LEFT(TRIM(C140),FIND(" ",TRIM(C140)&amp;" ")-1),",","."))+1,9))*12,NA()))),0),36)*'Aturan &amp; Tarif'!$B$4,2)</f>
        <v>2044.08</v>
      </c>
      <c r="K140" s="32" t="n">
        <f aca="false">'Aturan &amp; Tarif'!$B$5</f>
        <v>2050</v>
      </c>
      <c r="L140" s="32" t="n">
        <f aca="false">'Aturan &amp; Tarif'!$B$6</f>
        <v>350</v>
      </c>
      <c r="M140" s="35" t="n">
        <f aca="false">I140+J140+K140+L140</f>
        <v>26294.08</v>
      </c>
      <c r="N140" s="37" t="s">
        <v>1307</v>
      </c>
    </row>
    <row r="141" customFormat="false" ht="25.5" hidden="false" customHeight="true" outlineLevel="0" collapsed="false">
      <c r="A141" s="29"/>
      <c r="B141" s="30" t="s">
        <v>1309</v>
      </c>
      <c r="C141" s="31" t="s">
        <v>127</v>
      </c>
      <c r="D141" s="31" t="s">
        <v>108</v>
      </c>
      <c r="E141" s="32" t="n">
        <v>10850</v>
      </c>
      <c r="F141" s="32"/>
      <c r="G141" s="32" t="n">
        <v>150</v>
      </c>
      <c r="H141" s="33" t="n">
        <v>2</v>
      </c>
      <c r="I141" s="34" t="n">
        <f aca="false">E141*H141+N(F141)+N(G141)</f>
        <v>21850</v>
      </c>
      <c r="J141" s="32" t="n">
        <f aca="false">ROUND(IFERROR(ROUND(IF(OR(ISNUMBER(SEARCH("week",C141)),ISNUMBER(SEARCH("minggu",C141))),IFERROR(_xlfn.NUMBERVALUE(SUBSTITUTE(LEFT(TRIM(C141),FIND(" ",TRIM(C141)&amp;" ")-1),",","."),"."),LEFT(SUBSTITUTE(LEFT(TRIM(C141),FIND(" ",TRIM(C141)&amp;" ")-1),",","."),FIND("/",SUBSTITUTE(LEFT(TRIM(C141),FIND(" ",TRIM(C141)&amp;" ")-1),",","."))-1)/MID(SUBSTITUTE(LEFT(TRIM(C141),FIND(" ",TRIM(C141)&amp;" ")-1),",","."),FIND("/",SUBSTITUTE(LEFT(TRIM(C141),FIND(" ",TRIM(C141)&amp;" ")-1),",","."))+1,9))*12/52,IF(ISNUMBER(SEARCH("month",C141)),IFERROR(_xlfn.NUMBERVALUE(SUBSTITUTE(LEFT(TRIM(C141),FIND(" ",TRIM(C141)&amp;" ")-1),",","."),"."),LEFT(SUBSTITUTE(LEFT(TRIM(C141),FIND(" ",TRIM(C141)&amp;" ")-1),",","."),FIND("/",SUBSTITUTE(LEFT(TRIM(C141),FIND(" ",TRIM(C141)&amp;" ")-1),",","."))-1)/MID(SUBSTITUTE(LEFT(TRIM(C141),FIND(" ",TRIM(C141)&amp;" ")-1),",","."),FIND("/",SUBSTITUTE(LEFT(TRIM(C141),FIND(" ",TRIM(C141)&amp;" ")-1),",","."))+1,9)),IF(ISNUMBER(SEARCH("yea",C141)),IFERROR(_xlfn.NUMBERVALUE(SUBSTITUTE(LEFT(TRIM(C141),FIND(" ",TRIM(C141)&amp;" ")-1),",","."),"."),LEFT(SUBSTITUTE(LEFT(TRIM(C141),FIND(" ",TRIM(C141)&amp;" ")-1),",","."),FIND("/",SUBSTITUTE(LEFT(TRIM(C141),FIND(" ",TRIM(C141)&amp;" ")-1),",","."))-1)/MID(SUBSTITUTE(LEFT(TRIM(C141),FIND(" ",TRIM(C141)&amp;" ")-1),",","."),FIND("/",SUBSTITUTE(LEFT(TRIM(C141),FIND(" ",TRIM(C141)&amp;" ")-1),",","."))+1,9))*12,NA()))),0),36)*'Aturan &amp; Tarif'!$B$4,2)</f>
        <v>2044.08</v>
      </c>
      <c r="K141" s="32" t="n">
        <f aca="false">'Aturan &amp; Tarif'!$B$5</f>
        <v>2050</v>
      </c>
      <c r="L141" s="32" t="n">
        <f aca="false">'Aturan &amp; Tarif'!$B$6</f>
        <v>350</v>
      </c>
      <c r="M141" s="35" t="n">
        <f aca="false">I141+J141+K141+L141</f>
        <v>26294.08</v>
      </c>
      <c r="N141" s="37" t="s">
        <v>1307</v>
      </c>
    </row>
    <row r="142" customFormat="false" ht="25.5" hidden="false" customHeight="true" outlineLevel="0" collapsed="false">
      <c r="A142" s="29"/>
      <c r="B142" s="30" t="s">
        <v>1310</v>
      </c>
      <c r="C142" s="31" t="s">
        <v>127</v>
      </c>
      <c r="D142" s="31" t="s">
        <v>108</v>
      </c>
      <c r="E142" s="32" t="n">
        <v>10850</v>
      </c>
      <c r="F142" s="32"/>
      <c r="G142" s="32" t="n">
        <v>150</v>
      </c>
      <c r="H142" s="33" t="n">
        <v>2</v>
      </c>
      <c r="I142" s="34" t="n">
        <f aca="false">E142*H142+N(F142)+N(G142)</f>
        <v>21850</v>
      </c>
      <c r="J142" s="32" t="n">
        <f aca="false">ROUND(IFERROR(ROUND(IF(OR(ISNUMBER(SEARCH("week",C142)),ISNUMBER(SEARCH("minggu",C142))),IFERROR(_xlfn.NUMBERVALUE(SUBSTITUTE(LEFT(TRIM(C142),FIND(" ",TRIM(C142)&amp;" ")-1),",","."),"."),LEFT(SUBSTITUTE(LEFT(TRIM(C142),FIND(" ",TRIM(C142)&amp;" ")-1),",","."),FIND("/",SUBSTITUTE(LEFT(TRIM(C142),FIND(" ",TRIM(C142)&amp;" ")-1),",","."))-1)/MID(SUBSTITUTE(LEFT(TRIM(C142),FIND(" ",TRIM(C142)&amp;" ")-1),",","."),FIND("/",SUBSTITUTE(LEFT(TRIM(C142),FIND(" ",TRIM(C142)&amp;" ")-1),",","."))+1,9))*12/52,IF(ISNUMBER(SEARCH("month",C142)),IFERROR(_xlfn.NUMBERVALUE(SUBSTITUTE(LEFT(TRIM(C142),FIND(" ",TRIM(C142)&amp;" ")-1),",","."),"."),LEFT(SUBSTITUTE(LEFT(TRIM(C142),FIND(" ",TRIM(C142)&amp;" ")-1),",","."),FIND("/",SUBSTITUTE(LEFT(TRIM(C142),FIND(" ",TRIM(C142)&amp;" ")-1),",","."))-1)/MID(SUBSTITUTE(LEFT(TRIM(C142),FIND(" ",TRIM(C142)&amp;" ")-1),",","."),FIND("/",SUBSTITUTE(LEFT(TRIM(C142),FIND(" ",TRIM(C142)&amp;" ")-1),",","."))+1,9)),IF(ISNUMBER(SEARCH("yea",C142)),IFERROR(_xlfn.NUMBERVALUE(SUBSTITUTE(LEFT(TRIM(C142),FIND(" ",TRIM(C142)&amp;" ")-1),",","."),"."),LEFT(SUBSTITUTE(LEFT(TRIM(C142),FIND(" ",TRIM(C142)&amp;" ")-1),",","."),FIND("/",SUBSTITUTE(LEFT(TRIM(C142),FIND(" ",TRIM(C142)&amp;" ")-1),",","."))-1)/MID(SUBSTITUTE(LEFT(TRIM(C142),FIND(" ",TRIM(C142)&amp;" ")-1),",","."),FIND("/",SUBSTITUTE(LEFT(TRIM(C142),FIND(" ",TRIM(C142)&amp;" ")-1),",","."))+1,9))*12,NA()))),0),36)*'Aturan &amp; Tarif'!$B$4,2)</f>
        <v>2044.08</v>
      </c>
      <c r="K142" s="32" t="n">
        <f aca="false">'Aturan &amp; Tarif'!$B$5</f>
        <v>2050</v>
      </c>
      <c r="L142" s="32" t="n">
        <f aca="false">'Aturan &amp; Tarif'!$B$6</f>
        <v>350</v>
      </c>
      <c r="M142" s="35" t="n">
        <f aca="false">I142+J142+K142+L142</f>
        <v>26294.08</v>
      </c>
      <c r="N142" s="37" t="s">
        <v>1307</v>
      </c>
    </row>
    <row r="143" customFormat="false" ht="25.5" hidden="false" customHeight="true" outlineLevel="0" collapsed="false">
      <c r="A143" s="29"/>
      <c r="B143" s="30" t="s">
        <v>1311</v>
      </c>
      <c r="C143" s="31" t="s">
        <v>127</v>
      </c>
      <c r="D143" s="31" t="s">
        <v>108</v>
      </c>
      <c r="E143" s="32" t="n">
        <v>10850</v>
      </c>
      <c r="F143" s="32"/>
      <c r="G143" s="32" t="n">
        <v>150</v>
      </c>
      <c r="H143" s="33" t="n">
        <v>2</v>
      </c>
      <c r="I143" s="34" t="n">
        <f aca="false">E143*H143+N(F143)+N(G143)</f>
        <v>21850</v>
      </c>
      <c r="J143" s="32" t="n">
        <f aca="false">ROUND(IFERROR(ROUND(IF(OR(ISNUMBER(SEARCH("week",C143)),ISNUMBER(SEARCH("minggu",C143))),IFERROR(_xlfn.NUMBERVALUE(SUBSTITUTE(LEFT(TRIM(C143),FIND(" ",TRIM(C143)&amp;" ")-1),",","."),"."),LEFT(SUBSTITUTE(LEFT(TRIM(C143),FIND(" ",TRIM(C143)&amp;" ")-1),",","."),FIND("/",SUBSTITUTE(LEFT(TRIM(C143),FIND(" ",TRIM(C143)&amp;" ")-1),",","."))-1)/MID(SUBSTITUTE(LEFT(TRIM(C143),FIND(" ",TRIM(C143)&amp;" ")-1),",","."),FIND("/",SUBSTITUTE(LEFT(TRIM(C143),FIND(" ",TRIM(C143)&amp;" ")-1),",","."))+1,9))*12/52,IF(ISNUMBER(SEARCH("month",C143)),IFERROR(_xlfn.NUMBERVALUE(SUBSTITUTE(LEFT(TRIM(C143),FIND(" ",TRIM(C143)&amp;" ")-1),",","."),"."),LEFT(SUBSTITUTE(LEFT(TRIM(C143),FIND(" ",TRIM(C143)&amp;" ")-1),",","."),FIND("/",SUBSTITUTE(LEFT(TRIM(C143),FIND(" ",TRIM(C143)&amp;" ")-1),",","."))-1)/MID(SUBSTITUTE(LEFT(TRIM(C143),FIND(" ",TRIM(C143)&amp;" ")-1),",","."),FIND("/",SUBSTITUTE(LEFT(TRIM(C143),FIND(" ",TRIM(C143)&amp;" ")-1),",","."))+1,9)),IF(ISNUMBER(SEARCH("yea",C143)),IFERROR(_xlfn.NUMBERVALUE(SUBSTITUTE(LEFT(TRIM(C143),FIND(" ",TRIM(C143)&amp;" ")-1),",","."),"."),LEFT(SUBSTITUTE(LEFT(TRIM(C143),FIND(" ",TRIM(C143)&amp;" ")-1),",","."),FIND("/",SUBSTITUTE(LEFT(TRIM(C143),FIND(" ",TRIM(C143)&amp;" ")-1),",","."))-1)/MID(SUBSTITUTE(LEFT(TRIM(C143),FIND(" ",TRIM(C143)&amp;" ")-1),",","."),FIND("/",SUBSTITUTE(LEFT(TRIM(C143),FIND(" ",TRIM(C143)&amp;" ")-1),",","."))+1,9))*12,NA()))),0),36)*'Aturan &amp; Tarif'!$B$4,2)</f>
        <v>2044.08</v>
      </c>
      <c r="K143" s="32" t="n">
        <f aca="false">'Aturan &amp; Tarif'!$B$5</f>
        <v>2050</v>
      </c>
      <c r="L143" s="32" t="n">
        <f aca="false">'Aturan &amp; Tarif'!$B$6</f>
        <v>350</v>
      </c>
      <c r="M143" s="35" t="n">
        <f aca="false">I143+J143+K143+L143</f>
        <v>26294.08</v>
      </c>
      <c r="N143" s="37" t="s">
        <v>1307</v>
      </c>
    </row>
    <row r="144" customFormat="false" ht="25.5" hidden="false" customHeight="true" outlineLevel="0" collapsed="false">
      <c r="A144" s="29"/>
      <c r="B144" s="30" t="s">
        <v>1312</v>
      </c>
      <c r="C144" s="31" t="s">
        <v>127</v>
      </c>
      <c r="D144" s="31" t="s">
        <v>108</v>
      </c>
      <c r="E144" s="32" t="n">
        <v>10850</v>
      </c>
      <c r="F144" s="32"/>
      <c r="G144" s="32" t="n">
        <v>150</v>
      </c>
      <c r="H144" s="33" t="n">
        <v>2</v>
      </c>
      <c r="I144" s="34" t="n">
        <f aca="false">E144*H144+N(F144)+N(G144)</f>
        <v>21850</v>
      </c>
      <c r="J144" s="32" t="n">
        <f aca="false">ROUND(IFERROR(ROUND(IF(OR(ISNUMBER(SEARCH("week",C144)),ISNUMBER(SEARCH("minggu",C144))),IFERROR(_xlfn.NUMBERVALUE(SUBSTITUTE(LEFT(TRIM(C144),FIND(" ",TRIM(C144)&amp;" ")-1),",","."),"."),LEFT(SUBSTITUTE(LEFT(TRIM(C144),FIND(" ",TRIM(C144)&amp;" ")-1),",","."),FIND("/",SUBSTITUTE(LEFT(TRIM(C144),FIND(" ",TRIM(C144)&amp;" ")-1),",","."))-1)/MID(SUBSTITUTE(LEFT(TRIM(C144),FIND(" ",TRIM(C144)&amp;" ")-1),",","."),FIND("/",SUBSTITUTE(LEFT(TRIM(C144),FIND(" ",TRIM(C144)&amp;" ")-1),",","."))+1,9))*12/52,IF(ISNUMBER(SEARCH("month",C144)),IFERROR(_xlfn.NUMBERVALUE(SUBSTITUTE(LEFT(TRIM(C144),FIND(" ",TRIM(C144)&amp;" ")-1),",","."),"."),LEFT(SUBSTITUTE(LEFT(TRIM(C144),FIND(" ",TRIM(C144)&amp;" ")-1),",","."),FIND("/",SUBSTITUTE(LEFT(TRIM(C144),FIND(" ",TRIM(C144)&amp;" ")-1),",","."))-1)/MID(SUBSTITUTE(LEFT(TRIM(C144),FIND(" ",TRIM(C144)&amp;" ")-1),",","."),FIND("/",SUBSTITUTE(LEFT(TRIM(C144),FIND(" ",TRIM(C144)&amp;" ")-1),",","."))+1,9)),IF(ISNUMBER(SEARCH("yea",C144)),IFERROR(_xlfn.NUMBERVALUE(SUBSTITUTE(LEFT(TRIM(C144),FIND(" ",TRIM(C144)&amp;" ")-1),",","."),"."),LEFT(SUBSTITUTE(LEFT(TRIM(C144),FIND(" ",TRIM(C144)&amp;" ")-1),",","."),FIND("/",SUBSTITUTE(LEFT(TRIM(C144),FIND(" ",TRIM(C144)&amp;" ")-1),",","."))-1)/MID(SUBSTITUTE(LEFT(TRIM(C144),FIND(" ",TRIM(C144)&amp;" ")-1),",","."),FIND("/",SUBSTITUTE(LEFT(TRIM(C144),FIND(" ",TRIM(C144)&amp;" ")-1),",","."))+1,9))*12,NA()))),0),36)*'Aturan &amp; Tarif'!$B$4,2)</f>
        <v>2044.08</v>
      </c>
      <c r="K144" s="32" t="n">
        <f aca="false">'Aturan &amp; Tarif'!$B$5</f>
        <v>2050</v>
      </c>
      <c r="L144" s="32" t="n">
        <f aca="false">'Aturan &amp; Tarif'!$B$6</f>
        <v>350</v>
      </c>
      <c r="M144" s="35" t="n">
        <f aca="false">I144+J144+K144+L144</f>
        <v>26294.08</v>
      </c>
      <c r="N144" s="37" t="s">
        <v>1307</v>
      </c>
    </row>
    <row r="145" customFormat="false" ht="25.5" hidden="false" customHeight="true" outlineLevel="0" collapsed="false">
      <c r="A145" s="29"/>
      <c r="B145" s="30" t="s">
        <v>1313</v>
      </c>
      <c r="C145" s="31" t="s">
        <v>127</v>
      </c>
      <c r="D145" s="31" t="s">
        <v>108</v>
      </c>
      <c r="E145" s="32" t="n">
        <v>10850</v>
      </c>
      <c r="F145" s="32"/>
      <c r="G145" s="32" t="n">
        <v>150</v>
      </c>
      <c r="H145" s="33" t="n">
        <v>2</v>
      </c>
      <c r="I145" s="34" t="n">
        <f aca="false">E145*H145+N(F145)+N(G145)</f>
        <v>21850</v>
      </c>
      <c r="J145" s="32" t="n">
        <f aca="false">ROUND(IFERROR(ROUND(IF(OR(ISNUMBER(SEARCH("week",C145)),ISNUMBER(SEARCH("minggu",C145))),IFERROR(_xlfn.NUMBERVALUE(SUBSTITUTE(LEFT(TRIM(C145),FIND(" ",TRIM(C145)&amp;" ")-1),",","."),"."),LEFT(SUBSTITUTE(LEFT(TRIM(C145),FIND(" ",TRIM(C145)&amp;" ")-1),",","."),FIND("/",SUBSTITUTE(LEFT(TRIM(C145),FIND(" ",TRIM(C145)&amp;" ")-1),",","."))-1)/MID(SUBSTITUTE(LEFT(TRIM(C145),FIND(" ",TRIM(C145)&amp;" ")-1),",","."),FIND("/",SUBSTITUTE(LEFT(TRIM(C145),FIND(" ",TRIM(C145)&amp;" ")-1),",","."))+1,9))*12/52,IF(ISNUMBER(SEARCH("month",C145)),IFERROR(_xlfn.NUMBERVALUE(SUBSTITUTE(LEFT(TRIM(C145),FIND(" ",TRIM(C145)&amp;" ")-1),",","."),"."),LEFT(SUBSTITUTE(LEFT(TRIM(C145),FIND(" ",TRIM(C145)&amp;" ")-1),",","."),FIND("/",SUBSTITUTE(LEFT(TRIM(C145),FIND(" ",TRIM(C145)&amp;" ")-1),",","."))-1)/MID(SUBSTITUTE(LEFT(TRIM(C145),FIND(" ",TRIM(C145)&amp;" ")-1),",","."),FIND("/",SUBSTITUTE(LEFT(TRIM(C145),FIND(" ",TRIM(C145)&amp;" ")-1),",","."))+1,9)),IF(ISNUMBER(SEARCH("yea",C145)),IFERROR(_xlfn.NUMBERVALUE(SUBSTITUTE(LEFT(TRIM(C145),FIND(" ",TRIM(C145)&amp;" ")-1),",","."),"."),LEFT(SUBSTITUTE(LEFT(TRIM(C145),FIND(" ",TRIM(C145)&amp;" ")-1),",","."),FIND("/",SUBSTITUTE(LEFT(TRIM(C145),FIND(" ",TRIM(C145)&amp;" ")-1),",","."))-1)/MID(SUBSTITUTE(LEFT(TRIM(C145),FIND(" ",TRIM(C145)&amp;" ")-1),",","."),FIND("/",SUBSTITUTE(LEFT(TRIM(C145),FIND(" ",TRIM(C145)&amp;" ")-1),",","."))+1,9))*12,NA()))),0),36)*'Aturan &amp; Tarif'!$B$4,2)</f>
        <v>2044.08</v>
      </c>
      <c r="K145" s="32" t="n">
        <f aca="false">'Aturan &amp; Tarif'!$B$5</f>
        <v>2050</v>
      </c>
      <c r="L145" s="32" t="n">
        <f aca="false">'Aturan &amp; Tarif'!$B$6</f>
        <v>350</v>
      </c>
      <c r="M145" s="35" t="n">
        <f aca="false">I145+J145+K145+L145</f>
        <v>26294.08</v>
      </c>
      <c r="N145" s="37" t="s">
        <v>1307</v>
      </c>
    </row>
    <row r="146" customFormat="false" ht="25.5" hidden="false" customHeight="true" outlineLevel="0" collapsed="false">
      <c r="A146" s="29"/>
      <c r="B146" s="30" t="s">
        <v>1314</v>
      </c>
      <c r="C146" s="31" t="s">
        <v>127</v>
      </c>
      <c r="D146" s="31" t="s">
        <v>108</v>
      </c>
      <c r="E146" s="32" t="n">
        <v>10850</v>
      </c>
      <c r="F146" s="32"/>
      <c r="G146" s="32" t="n">
        <v>150</v>
      </c>
      <c r="H146" s="33" t="n">
        <v>2</v>
      </c>
      <c r="I146" s="34" t="n">
        <f aca="false">E146*H146+N(F146)+N(G146)</f>
        <v>21850</v>
      </c>
      <c r="J146" s="32" t="n">
        <f aca="false">ROUND(IFERROR(ROUND(IF(OR(ISNUMBER(SEARCH("week",C146)),ISNUMBER(SEARCH("minggu",C146))),IFERROR(_xlfn.NUMBERVALUE(SUBSTITUTE(LEFT(TRIM(C146),FIND(" ",TRIM(C146)&amp;" ")-1),",","."),"."),LEFT(SUBSTITUTE(LEFT(TRIM(C146),FIND(" ",TRIM(C146)&amp;" ")-1),",","."),FIND("/",SUBSTITUTE(LEFT(TRIM(C146),FIND(" ",TRIM(C146)&amp;" ")-1),",","."))-1)/MID(SUBSTITUTE(LEFT(TRIM(C146),FIND(" ",TRIM(C146)&amp;" ")-1),",","."),FIND("/",SUBSTITUTE(LEFT(TRIM(C146),FIND(" ",TRIM(C146)&amp;" ")-1),",","."))+1,9))*12/52,IF(ISNUMBER(SEARCH("month",C146)),IFERROR(_xlfn.NUMBERVALUE(SUBSTITUTE(LEFT(TRIM(C146),FIND(" ",TRIM(C146)&amp;" ")-1),",","."),"."),LEFT(SUBSTITUTE(LEFT(TRIM(C146),FIND(" ",TRIM(C146)&amp;" ")-1),",","."),FIND("/",SUBSTITUTE(LEFT(TRIM(C146),FIND(" ",TRIM(C146)&amp;" ")-1),",","."))-1)/MID(SUBSTITUTE(LEFT(TRIM(C146),FIND(" ",TRIM(C146)&amp;" ")-1),",","."),FIND("/",SUBSTITUTE(LEFT(TRIM(C146),FIND(" ",TRIM(C146)&amp;" ")-1),",","."))+1,9)),IF(ISNUMBER(SEARCH("yea",C146)),IFERROR(_xlfn.NUMBERVALUE(SUBSTITUTE(LEFT(TRIM(C146),FIND(" ",TRIM(C146)&amp;" ")-1),",","."),"."),LEFT(SUBSTITUTE(LEFT(TRIM(C146),FIND(" ",TRIM(C146)&amp;" ")-1),",","."),FIND("/",SUBSTITUTE(LEFT(TRIM(C146),FIND(" ",TRIM(C146)&amp;" ")-1),",","."))-1)/MID(SUBSTITUTE(LEFT(TRIM(C146),FIND(" ",TRIM(C146)&amp;" ")-1),",","."),FIND("/",SUBSTITUTE(LEFT(TRIM(C146),FIND(" ",TRIM(C146)&amp;" ")-1),",","."))+1,9))*12,NA()))),0),36)*'Aturan &amp; Tarif'!$B$4,2)</f>
        <v>2044.08</v>
      </c>
      <c r="K146" s="32" t="n">
        <f aca="false">'Aturan &amp; Tarif'!$B$5</f>
        <v>2050</v>
      </c>
      <c r="L146" s="32" t="n">
        <f aca="false">'Aturan &amp; Tarif'!$B$6</f>
        <v>350</v>
      </c>
      <c r="M146" s="35" t="n">
        <f aca="false">I146+J146+K146+L146</f>
        <v>26294.08</v>
      </c>
      <c r="N146" s="37" t="s">
        <v>1307</v>
      </c>
    </row>
    <row r="147" customFormat="false" ht="25.5" hidden="false" customHeight="true" outlineLevel="0" collapsed="false">
      <c r="A147" s="29"/>
      <c r="B147" s="30" t="s">
        <v>1315</v>
      </c>
      <c r="C147" s="31" t="s">
        <v>127</v>
      </c>
      <c r="D147" s="31" t="s">
        <v>108</v>
      </c>
      <c r="E147" s="32" t="n">
        <v>10850</v>
      </c>
      <c r="F147" s="32"/>
      <c r="G147" s="32" t="n">
        <v>150</v>
      </c>
      <c r="H147" s="33" t="n">
        <v>2</v>
      </c>
      <c r="I147" s="34" t="n">
        <f aca="false">E147*H147+N(F147)+N(G147)</f>
        <v>21850</v>
      </c>
      <c r="J147" s="32" t="n">
        <f aca="false">ROUND(IFERROR(ROUND(IF(OR(ISNUMBER(SEARCH("week",C147)),ISNUMBER(SEARCH("minggu",C147))),IFERROR(_xlfn.NUMBERVALUE(SUBSTITUTE(LEFT(TRIM(C147),FIND(" ",TRIM(C147)&amp;" ")-1),",","."),"."),LEFT(SUBSTITUTE(LEFT(TRIM(C147),FIND(" ",TRIM(C147)&amp;" ")-1),",","."),FIND("/",SUBSTITUTE(LEFT(TRIM(C147),FIND(" ",TRIM(C147)&amp;" ")-1),",","."))-1)/MID(SUBSTITUTE(LEFT(TRIM(C147),FIND(" ",TRIM(C147)&amp;" ")-1),",","."),FIND("/",SUBSTITUTE(LEFT(TRIM(C147),FIND(" ",TRIM(C147)&amp;" ")-1),",","."))+1,9))*12/52,IF(ISNUMBER(SEARCH("month",C147)),IFERROR(_xlfn.NUMBERVALUE(SUBSTITUTE(LEFT(TRIM(C147),FIND(" ",TRIM(C147)&amp;" ")-1),",","."),"."),LEFT(SUBSTITUTE(LEFT(TRIM(C147),FIND(" ",TRIM(C147)&amp;" ")-1),",","."),FIND("/",SUBSTITUTE(LEFT(TRIM(C147),FIND(" ",TRIM(C147)&amp;" ")-1),",","."))-1)/MID(SUBSTITUTE(LEFT(TRIM(C147),FIND(" ",TRIM(C147)&amp;" ")-1),",","."),FIND("/",SUBSTITUTE(LEFT(TRIM(C147),FIND(" ",TRIM(C147)&amp;" ")-1),",","."))+1,9)),IF(ISNUMBER(SEARCH("yea",C147)),IFERROR(_xlfn.NUMBERVALUE(SUBSTITUTE(LEFT(TRIM(C147),FIND(" ",TRIM(C147)&amp;" ")-1),",","."),"."),LEFT(SUBSTITUTE(LEFT(TRIM(C147),FIND(" ",TRIM(C147)&amp;" ")-1),",","."),FIND("/",SUBSTITUTE(LEFT(TRIM(C147),FIND(" ",TRIM(C147)&amp;" ")-1),",","."))-1)/MID(SUBSTITUTE(LEFT(TRIM(C147),FIND(" ",TRIM(C147)&amp;" ")-1),",","."),FIND("/",SUBSTITUTE(LEFT(TRIM(C147),FIND(" ",TRIM(C147)&amp;" ")-1),",","."))+1,9))*12,NA()))),0),36)*'Aturan &amp; Tarif'!$B$4,2)</f>
        <v>2044.08</v>
      </c>
      <c r="K147" s="32" t="n">
        <f aca="false">'Aturan &amp; Tarif'!$B$5</f>
        <v>2050</v>
      </c>
      <c r="L147" s="32" t="n">
        <f aca="false">'Aturan &amp; Tarif'!$B$6</f>
        <v>350</v>
      </c>
      <c r="M147" s="35" t="n">
        <f aca="false">I147+J147+K147+L147</f>
        <v>26294.08</v>
      </c>
      <c r="N147" s="37" t="s">
        <v>1307</v>
      </c>
    </row>
    <row r="148" customFormat="false" ht="14.25" hidden="false" customHeight="true" outlineLevel="0" collapsed="false">
      <c r="A148" s="29"/>
      <c r="B148" s="30" t="s">
        <v>1316</v>
      </c>
      <c r="C148" s="31" t="s">
        <v>127</v>
      </c>
      <c r="D148" s="31" t="s">
        <v>108</v>
      </c>
      <c r="E148" s="32" t="n">
        <v>11850</v>
      </c>
      <c r="F148" s="32"/>
      <c r="G148" s="32" t="n">
        <v>150</v>
      </c>
      <c r="H148" s="33" t="n">
        <v>2</v>
      </c>
      <c r="I148" s="34" t="n">
        <f aca="false">E148*H148+N(F148)+N(G148)</f>
        <v>23850</v>
      </c>
      <c r="J148" s="32" t="n">
        <f aca="false">ROUND(IFERROR(ROUND(IF(OR(ISNUMBER(SEARCH("week",C148)),ISNUMBER(SEARCH("minggu",C148))),IFERROR(_xlfn.NUMBERVALUE(SUBSTITUTE(LEFT(TRIM(C148),FIND(" ",TRIM(C148)&amp;" ")-1),",","."),"."),LEFT(SUBSTITUTE(LEFT(TRIM(C148),FIND(" ",TRIM(C148)&amp;" ")-1),",","."),FIND("/",SUBSTITUTE(LEFT(TRIM(C148),FIND(" ",TRIM(C148)&amp;" ")-1),",","."))-1)/MID(SUBSTITUTE(LEFT(TRIM(C148),FIND(" ",TRIM(C148)&amp;" ")-1),",","."),FIND("/",SUBSTITUTE(LEFT(TRIM(C148),FIND(" ",TRIM(C148)&amp;" ")-1),",","."))+1,9))*12/52,IF(ISNUMBER(SEARCH("month",C148)),IFERROR(_xlfn.NUMBERVALUE(SUBSTITUTE(LEFT(TRIM(C148),FIND(" ",TRIM(C148)&amp;" ")-1),",","."),"."),LEFT(SUBSTITUTE(LEFT(TRIM(C148),FIND(" ",TRIM(C148)&amp;" ")-1),",","."),FIND("/",SUBSTITUTE(LEFT(TRIM(C148),FIND(" ",TRIM(C148)&amp;" ")-1),",","."))-1)/MID(SUBSTITUTE(LEFT(TRIM(C148),FIND(" ",TRIM(C148)&amp;" ")-1),",","."),FIND("/",SUBSTITUTE(LEFT(TRIM(C148),FIND(" ",TRIM(C148)&amp;" ")-1),",","."))+1,9)),IF(ISNUMBER(SEARCH("yea",C148)),IFERROR(_xlfn.NUMBERVALUE(SUBSTITUTE(LEFT(TRIM(C148),FIND(" ",TRIM(C148)&amp;" ")-1),",","."),"."),LEFT(SUBSTITUTE(LEFT(TRIM(C148),FIND(" ",TRIM(C148)&amp;" ")-1),",","."),FIND("/",SUBSTITUTE(LEFT(TRIM(C148),FIND(" ",TRIM(C148)&amp;" ")-1),",","."))-1)/MID(SUBSTITUTE(LEFT(TRIM(C148),FIND(" ",TRIM(C148)&amp;" ")-1),",","."),FIND("/",SUBSTITUTE(LEFT(TRIM(C148),FIND(" ",TRIM(C148)&amp;" ")-1),",","."))+1,9))*12,NA()))),0),36)*'Aturan &amp; Tarif'!$B$4,2)</f>
        <v>2044.08</v>
      </c>
      <c r="K148" s="32" t="n">
        <f aca="false">'Aturan &amp; Tarif'!$B$5</f>
        <v>2050</v>
      </c>
      <c r="L148" s="32" t="n">
        <f aca="false">'Aturan &amp; Tarif'!$B$6</f>
        <v>350</v>
      </c>
      <c r="M148" s="35" t="n">
        <f aca="false">I148+J148+K148+L148</f>
        <v>28294.08</v>
      </c>
      <c r="N148" s="37" t="s">
        <v>846</v>
      </c>
    </row>
    <row r="149" customFormat="false" ht="25.5" hidden="false" customHeight="true" outlineLevel="0" collapsed="false">
      <c r="A149" s="29"/>
      <c r="B149" s="30" t="s">
        <v>1317</v>
      </c>
      <c r="C149" s="31" t="s">
        <v>191</v>
      </c>
      <c r="D149" s="31" t="s">
        <v>108</v>
      </c>
      <c r="E149" s="32" t="n">
        <v>14275</v>
      </c>
      <c r="F149" s="32"/>
      <c r="G149" s="32" t="n">
        <v>150</v>
      </c>
      <c r="H149" s="33" t="n">
        <v>2</v>
      </c>
      <c r="I149" s="34" t="n">
        <f aca="false">E149*H149+N(F149)+N(G149)</f>
        <v>28700</v>
      </c>
      <c r="J149" s="32" t="n">
        <f aca="false">ROUND(IFERROR(ROUND(IF(OR(ISNUMBER(SEARCH("week",C149)),ISNUMBER(SEARCH("minggu",C149))),IFERROR(_xlfn.NUMBERVALUE(SUBSTITUTE(LEFT(TRIM(C149),FIND(" ",TRIM(C149)&amp;" ")-1),",","."),"."),LEFT(SUBSTITUTE(LEFT(TRIM(C149),FIND(" ",TRIM(C149)&amp;" ")-1),",","."),FIND("/",SUBSTITUTE(LEFT(TRIM(C149),FIND(" ",TRIM(C149)&amp;" ")-1),",","."))-1)/MID(SUBSTITUTE(LEFT(TRIM(C149),FIND(" ",TRIM(C149)&amp;" ")-1),",","."),FIND("/",SUBSTITUTE(LEFT(TRIM(C149),FIND(" ",TRIM(C149)&amp;" ")-1),",","."))+1,9))*12/52,IF(ISNUMBER(SEARCH("month",C149)),IFERROR(_xlfn.NUMBERVALUE(SUBSTITUTE(LEFT(TRIM(C149),FIND(" ",TRIM(C149)&amp;" ")-1),",","."),"."),LEFT(SUBSTITUTE(LEFT(TRIM(C149),FIND(" ",TRIM(C149)&amp;" ")-1),",","."),FIND("/",SUBSTITUTE(LEFT(TRIM(C149),FIND(" ",TRIM(C149)&amp;" ")-1),",","."))-1)/MID(SUBSTITUTE(LEFT(TRIM(C149),FIND(" ",TRIM(C149)&amp;" ")-1),",","."),FIND("/",SUBSTITUTE(LEFT(TRIM(C149),FIND(" ",TRIM(C149)&amp;" ")-1),",","."))+1,9)),IF(ISNUMBER(SEARCH("yea",C149)),IFERROR(_xlfn.NUMBERVALUE(SUBSTITUTE(LEFT(TRIM(C149),FIND(" ",TRIM(C149)&amp;" ")-1),",","."),"."),LEFT(SUBSTITUTE(LEFT(TRIM(C149),FIND(" ",TRIM(C149)&amp;" ")-1),",","."),FIND("/",SUBSTITUTE(LEFT(TRIM(C149),FIND(" ",TRIM(C149)&amp;" ")-1),",","."))-1)/MID(SUBSTITUTE(LEFT(TRIM(C149),FIND(" ",TRIM(C149)&amp;" ")-1),",","."),FIND("/",SUBSTITUTE(LEFT(TRIM(C149),FIND(" ",TRIM(C149)&amp;" ")-1),",","."))+1,9))*12,NA()))),0),48)*'Aturan &amp; Tarif'!$B$4,2)</f>
        <v>2725.44</v>
      </c>
      <c r="K149" s="32" t="n">
        <f aca="false">'Aturan &amp; Tarif'!$B$5</f>
        <v>2050</v>
      </c>
      <c r="L149" s="32" t="n">
        <f aca="false">'Aturan &amp; Tarif'!$B$6</f>
        <v>350</v>
      </c>
      <c r="M149" s="35" t="n">
        <f aca="false">I149+J149+K149+L149</f>
        <v>33825.44</v>
      </c>
      <c r="N149" s="37" t="s">
        <v>846</v>
      </c>
    </row>
    <row r="150" customFormat="false" ht="14.25" hidden="false" customHeight="true" outlineLevel="0" collapsed="false">
      <c r="A150" s="29"/>
      <c r="B150" s="30" t="s">
        <v>1318</v>
      </c>
      <c r="C150" s="31" t="s">
        <v>191</v>
      </c>
      <c r="D150" s="31" t="s">
        <v>108</v>
      </c>
      <c r="E150" s="32" t="n">
        <v>14275</v>
      </c>
      <c r="F150" s="32"/>
      <c r="G150" s="32" t="n">
        <v>150</v>
      </c>
      <c r="H150" s="33" t="n">
        <v>2</v>
      </c>
      <c r="I150" s="34" t="n">
        <f aca="false">E150*H150+N(F150)+N(G150)</f>
        <v>28700</v>
      </c>
      <c r="J150" s="32" t="n">
        <f aca="false">ROUND(IFERROR(ROUND(IF(OR(ISNUMBER(SEARCH("week",C150)),ISNUMBER(SEARCH("minggu",C150))),IFERROR(_xlfn.NUMBERVALUE(SUBSTITUTE(LEFT(TRIM(C150),FIND(" ",TRIM(C150)&amp;" ")-1),",","."),"."),LEFT(SUBSTITUTE(LEFT(TRIM(C150),FIND(" ",TRIM(C150)&amp;" ")-1),",","."),FIND("/",SUBSTITUTE(LEFT(TRIM(C150),FIND(" ",TRIM(C150)&amp;" ")-1),",","."))-1)/MID(SUBSTITUTE(LEFT(TRIM(C150),FIND(" ",TRIM(C150)&amp;" ")-1),",","."),FIND("/",SUBSTITUTE(LEFT(TRIM(C150),FIND(" ",TRIM(C150)&amp;" ")-1),",","."))+1,9))*12/52,IF(ISNUMBER(SEARCH("month",C150)),IFERROR(_xlfn.NUMBERVALUE(SUBSTITUTE(LEFT(TRIM(C150),FIND(" ",TRIM(C150)&amp;" ")-1),",","."),"."),LEFT(SUBSTITUTE(LEFT(TRIM(C150),FIND(" ",TRIM(C150)&amp;" ")-1),",","."),FIND("/",SUBSTITUTE(LEFT(TRIM(C150),FIND(" ",TRIM(C150)&amp;" ")-1),",","."))-1)/MID(SUBSTITUTE(LEFT(TRIM(C150),FIND(" ",TRIM(C150)&amp;" ")-1),",","."),FIND("/",SUBSTITUTE(LEFT(TRIM(C150),FIND(" ",TRIM(C150)&amp;" ")-1),",","."))+1,9)),IF(ISNUMBER(SEARCH("yea",C150)),IFERROR(_xlfn.NUMBERVALUE(SUBSTITUTE(LEFT(TRIM(C150),FIND(" ",TRIM(C150)&amp;" ")-1),",","."),"."),LEFT(SUBSTITUTE(LEFT(TRIM(C150),FIND(" ",TRIM(C150)&amp;" ")-1),",","."),FIND("/",SUBSTITUTE(LEFT(TRIM(C150),FIND(" ",TRIM(C150)&amp;" ")-1),",","."))-1)/MID(SUBSTITUTE(LEFT(TRIM(C150),FIND(" ",TRIM(C150)&amp;" ")-1),",","."),FIND("/",SUBSTITUTE(LEFT(TRIM(C150),FIND(" ",TRIM(C150)&amp;" ")-1),",","."))+1,9))*12,NA()))),0),48)*'Aturan &amp; Tarif'!$B$4,2)</f>
        <v>2725.44</v>
      </c>
      <c r="K150" s="32" t="n">
        <f aca="false">'Aturan &amp; Tarif'!$B$5</f>
        <v>2050</v>
      </c>
      <c r="L150" s="32" t="n">
        <f aca="false">'Aturan &amp; Tarif'!$B$6</f>
        <v>350</v>
      </c>
      <c r="M150" s="35" t="n">
        <f aca="false">I150+J150+K150+L150</f>
        <v>33825.44</v>
      </c>
      <c r="N150" s="37" t="s">
        <v>1319</v>
      </c>
    </row>
    <row r="151" customFormat="false" ht="25.5" hidden="false" customHeight="true" outlineLevel="0" collapsed="false">
      <c r="A151" s="29"/>
      <c r="B151" s="30" t="s">
        <v>1320</v>
      </c>
      <c r="C151" s="31" t="s">
        <v>191</v>
      </c>
      <c r="D151" s="31" t="s">
        <v>108</v>
      </c>
      <c r="E151" s="32" t="n">
        <v>14275</v>
      </c>
      <c r="F151" s="32"/>
      <c r="G151" s="32" t="n">
        <v>150</v>
      </c>
      <c r="H151" s="33" t="n">
        <v>2</v>
      </c>
      <c r="I151" s="34" t="n">
        <f aca="false">E151*H151+N(F151)+N(G151)</f>
        <v>28700</v>
      </c>
      <c r="J151" s="32" t="n">
        <f aca="false">ROUND(IFERROR(ROUND(IF(OR(ISNUMBER(SEARCH("week",C151)),ISNUMBER(SEARCH("minggu",C151))),IFERROR(_xlfn.NUMBERVALUE(SUBSTITUTE(LEFT(TRIM(C151),FIND(" ",TRIM(C151)&amp;" ")-1),",","."),"."),LEFT(SUBSTITUTE(LEFT(TRIM(C151),FIND(" ",TRIM(C151)&amp;" ")-1),",","."),FIND("/",SUBSTITUTE(LEFT(TRIM(C151),FIND(" ",TRIM(C151)&amp;" ")-1),",","."))-1)/MID(SUBSTITUTE(LEFT(TRIM(C151),FIND(" ",TRIM(C151)&amp;" ")-1),",","."),FIND("/",SUBSTITUTE(LEFT(TRIM(C151),FIND(" ",TRIM(C151)&amp;" ")-1),",","."))+1,9))*12/52,IF(ISNUMBER(SEARCH("month",C151)),IFERROR(_xlfn.NUMBERVALUE(SUBSTITUTE(LEFT(TRIM(C151),FIND(" ",TRIM(C151)&amp;" ")-1),",","."),"."),LEFT(SUBSTITUTE(LEFT(TRIM(C151),FIND(" ",TRIM(C151)&amp;" ")-1),",","."),FIND("/",SUBSTITUTE(LEFT(TRIM(C151),FIND(" ",TRIM(C151)&amp;" ")-1),",","."))-1)/MID(SUBSTITUTE(LEFT(TRIM(C151),FIND(" ",TRIM(C151)&amp;" ")-1),",","."),FIND("/",SUBSTITUTE(LEFT(TRIM(C151),FIND(" ",TRIM(C151)&amp;" ")-1),",","."))+1,9)),IF(ISNUMBER(SEARCH("yea",C151)),IFERROR(_xlfn.NUMBERVALUE(SUBSTITUTE(LEFT(TRIM(C151),FIND(" ",TRIM(C151)&amp;" ")-1),",","."),"."),LEFT(SUBSTITUTE(LEFT(TRIM(C151),FIND(" ",TRIM(C151)&amp;" ")-1),",","."),FIND("/",SUBSTITUTE(LEFT(TRIM(C151),FIND(" ",TRIM(C151)&amp;" ")-1),",","."))-1)/MID(SUBSTITUTE(LEFT(TRIM(C151),FIND(" ",TRIM(C151)&amp;" ")-1),",","."),FIND("/",SUBSTITUTE(LEFT(TRIM(C151),FIND(" ",TRIM(C151)&amp;" ")-1),",","."))+1,9))*12,NA()))),0),48)*'Aturan &amp; Tarif'!$B$4,2)</f>
        <v>2725.44</v>
      </c>
      <c r="K151" s="32" t="n">
        <f aca="false">'Aturan &amp; Tarif'!$B$5</f>
        <v>2050</v>
      </c>
      <c r="L151" s="32" t="n">
        <f aca="false">'Aturan &amp; Tarif'!$B$6</f>
        <v>350</v>
      </c>
      <c r="M151" s="35" t="n">
        <f aca="false">I151+J151+K151+L151</f>
        <v>33825.44</v>
      </c>
      <c r="N151" s="37" t="s">
        <v>846</v>
      </c>
    </row>
    <row r="152" customFormat="false" ht="25.5" hidden="false" customHeight="true" outlineLevel="0" collapsed="false">
      <c r="A152" s="29"/>
      <c r="B152" s="30" t="s">
        <v>1321</v>
      </c>
      <c r="C152" s="31" t="s">
        <v>191</v>
      </c>
      <c r="D152" s="31" t="s">
        <v>108</v>
      </c>
      <c r="E152" s="32" t="n">
        <v>14275</v>
      </c>
      <c r="F152" s="32"/>
      <c r="G152" s="32" t="n">
        <v>150</v>
      </c>
      <c r="H152" s="33" t="n">
        <v>2</v>
      </c>
      <c r="I152" s="34" t="n">
        <f aca="false">E152*H152+N(F152)+N(G152)</f>
        <v>28700</v>
      </c>
      <c r="J152" s="32" t="n">
        <f aca="false">ROUND(IFERROR(ROUND(IF(OR(ISNUMBER(SEARCH("week",C152)),ISNUMBER(SEARCH("minggu",C152))),IFERROR(_xlfn.NUMBERVALUE(SUBSTITUTE(LEFT(TRIM(C152),FIND(" ",TRIM(C152)&amp;" ")-1),",","."),"."),LEFT(SUBSTITUTE(LEFT(TRIM(C152),FIND(" ",TRIM(C152)&amp;" ")-1),",","."),FIND("/",SUBSTITUTE(LEFT(TRIM(C152),FIND(" ",TRIM(C152)&amp;" ")-1),",","."))-1)/MID(SUBSTITUTE(LEFT(TRIM(C152),FIND(" ",TRIM(C152)&amp;" ")-1),",","."),FIND("/",SUBSTITUTE(LEFT(TRIM(C152),FIND(" ",TRIM(C152)&amp;" ")-1),",","."))+1,9))*12/52,IF(ISNUMBER(SEARCH("month",C152)),IFERROR(_xlfn.NUMBERVALUE(SUBSTITUTE(LEFT(TRIM(C152),FIND(" ",TRIM(C152)&amp;" ")-1),",","."),"."),LEFT(SUBSTITUTE(LEFT(TRIM(C152),FIND(" ",TRIM(C152)&amp;" ")-1),",","."),FIND("/",SUBSTITUTE(LEFT(TRIM(C152),FIND(" ",TRIM(C152)&amp;" ")-1),",","."))-1)/MID(SUBSTITUTE(LEFT(TRIM(C152),FIND(" ",TRIM(C152)&amp;" ")-1),",","."),FIND("/",SUBSTITUTE(LEFT(TRIM(C152),FIND(" ",TRIM(C152)&amp;" ")-1),",","."))+1,9)),IF(ISNUMBER(SEARCH("yea",C152)),IFERROR(_xlfn.NUMBERVALUE(SUBSTITUTE(LEFT(TRIM(C152),FIND(" ",TRIM(C152)&amp;" ")-1),",","."),"."),LEFT(SUBSTITUTE(LEFT(TRIM(C152),FIND(" ",TRIM(C152)&amp;" ")-1),",","."),FIND("/",SUBSTITUTE(LEFT(TRIM(C152),FIND(" ",TRIM(C152)&amp;" ")-1),",","."))-1)/MID(SUBSTITUTE(LEFT(TRIM(C152),FIND(" ",TRIM(C152)&amp;" ")-1),",","."),FIND("/",SUBSTITUTE(LEFT(TRIM(C152),FIND(" ",TRIM(C152)&amp;" ")-1),",","."))+1,9))*12,NA()))),0),48)*'Aturan &amp; Tarif'!$B$4,2)</f>
        <v>2725.44</v>
      </c>
      <c r="K152" s="32" t="n">
        <f aca="false">'Aturan &amp; Tarif'!$B$5</f>
        <v>2050</v>
      </c>
      <c r="L152" s="32" t="n">
        <f aca="false">'Aturan &amp; Tarif'!$B$6</f>
        <v>350</v>
      </c>
      <c r="M152" s="35" t="n">
        <f aca="false">I152+J152+K152+L152</f>
        <v>33825.44</v>
      </c>
      <c r="N152" s="37" t="s">
        <v>846</v>
      </c>
    </row>
    <row r="153" customFormat="false" ht="25.5" hidden="false" customHeight="true" outlineLevel="0" collapsed="false">
      <c r="A153" s="29"/>
      <c r="B153" s="30" t="s">
        <v>1322</v>
      </c>
      <c r="C153" s="31" t="s">
        <v>191</v>
      </c>
      <c r="D153" s="31" t="s">
        <v>108</v>
      </c>
      <c r="E153" s="32" t="n">
        <v>14275</v>
      </c>
      <c r="F153" s="32"/>
      <c r="G153" s="32" t="n">
        <v>150</v>
      </c>
      <c r="H153" s="33" t="n">
        <v>2</v>
      </c>
      <c r="I153" s="34" t="n">
        <f aca="false">E153*H153+N(F153)+N(G153)</f>
        <v>28700</v>
      </c>
      <c r="J153" s="32" t="n">
        <f aca="false">ROUND(IFERROR(ROUND(IF(OR(ISNUMBER(SEARCH("week",C153)),ISNUMBER(SEARCH("minggu",C153))),IFERROR(_xlfn.NUMBERVALUE(SUBSTITUTE(LEFT(TRIM(C153),FIND(" ",TRIM(C153)&amp;" ")-1),",","."),"."),LEFT(SUBSTITUTE(LEFT(TRIM(C153),FIND(" ",TRIM(C153)&amp;" ")-1),",","."),FIND("/",SUBSTITUTE(LEFT(TRIM(C153),FIND(" ",TRIM(C153)&amp;" ")-1),",","."))-1)/MID(SUBSTITUTE(LEFT(TRIM(C153),FIND(" ",TRIM(C153)&amp;" ")-1),",","."),FIND("/",SUBSTITUTE(LEFT(TRIM(C153),FIND(" ",TRIM(C153)&amp;" ")-1),",","."))+1,9))*12/52,IF(ISNUMBER(SEARCH("month",C153)),IFERROR(_xlfn.NUMBERVALUE(SUBSTITUTE(LEFT(TRIM(C153),FIND(" ",TRIM(C153)&amp;" ")-1),",","."),"."),LEFT(SUBSTITUTE(LEFT(TRIM(C153),FIND(" ",TRIM(C153)&amp;" ")-1),",","."),FIND("/",SUBSTITUTE(LEFT(TRIM(C153),FIND(" ",TRIM(C153)&amp;" ")-1),",","."))-1)/MID(SUBSTITUTE(LEFT(TRIM(C153),FIND(" ",TRIM(C153)&amp;" ")-1),",","."),FIND("/",SUBSTITUTE(LEFT(TRIM(C153),FIND(" ",TRIM(C153)&amp;" ")-1),",","."))+1,9)),IF(ISNUMBER(SEARCH("yea",C153)),IFERROR(_xlfn.NUMBERVALUE(SUBSTITUTE(LEFT(TRIM(C153),FIND(" ",TRIM(C153)&amp;" ")-1),",","."),"."),LEFT(SUBSTITUTE(LEFT(TRIM(C153),FIND(" ",TRIM(C153)&amp;" ")-1),",","."),FIND("/",SUBSTITUTE(LEFT(TRIM(C153),FIND(" ",TRIM(C153)&amp;" ")-1),",","."))-1)/MID(SUBSTITUTE(LEFT(TRIM(C153),FIND(" ",TRIM(C153)&amp;" ")-1),",","."),FIND("/",SUBSTITUTE(LEFT(TRIM(C153),FIND(" ",TRIM(C153)&amp;" ")-1),",","."))+1,9))*12,NA()))),0),48)*'Aturan &amp; Tarif'!$B$4,2)</f>
        <v>2725.44</v>
      </c>
      <c r="K153" s="32" t="n">
        <f aca="false">'Aturan &amp; Tarif'!$B$5</f>
        <v>2050</v>
      </c>
      <c r="L153" s="32" t="n">
        <f aca="false">'Aturan &amp; Tarif'!$B$6</f>
        <v>350</v>
      </c>
      <c r="M153" s="35" t="n">
        <f aca="false">I153+J153+K153+L153</f>
        <v>33825.44</v>
      </c>
      <c r="N153" s="37" t="s">
        <v>846</v>
      </c>
    </row>
    <row r="154" customFormat="false" ht="25.5" hidden="false" customHeight="true" outlineLevel="0" collapsed="false">
      <c r="A154" s="29"/>
      <c r="B154" s="30" t="s">
        <v>1323</v>
      </c>
      <c r="C154" s="31" t="s">
        <v>127</v>
      </c>
      <c r="D154" s="31" t="s">
        <v>108</v>
      </c>
      <c r="E154" s="32" t="n">
        <v>12625</v>
      </c>
      <c r="F154" s="32"/>
      <c r="G154" s="32" t="n">
        <v>150</v>
      </c>
      <c r="H154" s="33" t="n">
        <v>2</v>
      </c>
      <c r="I154" s="34" t="n">
        <f aca="false">E154*H154+N(F154)+N(G154)</f>
        <v>25400</v>
      </c>
      <c r="J154" s="32" t="n">
        <f aca="false">ROUND(IFERROR(ROUND(IF(OR(ISNUMBER(SEARCH("week",C154)),ISNUMBER(SEARCH("minggu",C154))),IFERROR(_xlfn.NUMBERVALUE(SUBSTITUTE(LEFT(TRIM(C154),FIND(" ",TRIM(C154)&amp;" ")-1),",","."),"."),LEFT(SUBSTITUTE(LEFT(TRIM(C154),FIND(" ",TRIM(C154)&amp;" ")-1),",","."),FIND("/",SUBSTITUTE(LEFT(TRIM(C154),FIND(" ",TRIM(C154)&amp;" ")-1),",","."))-1)/MID(SUBSTITUTE(LEFT(TRIM(C154),FIND(" ",TRIM(C154)&amp;" ")-1),",","."),FIND("/",SUBSTITUTE(LEFT(TRIM(C154),FIND(" ",TRIM(C154)&amp;" ")-1),",","."))+1,9))*12/52,IF(ISNUMBER(SEARCH("month",C154)),IFERROR(_xlfn.NUMBERVALUE(SUBSTITUTE(LEFT(TRIM(C154),FIND(" ",TRIM(C154)&amp;" ")-1),",","."),"."),LEFT(SUBSTITUTE(LEFT(TRIM(C154),FIND(" ",TRIM(C154)&amp;" ")-1),",","."),FIND("/",SUBSTITUTE(LEFT(TRIM(C154),FIND(" ",TRIM(C154)&amp;" ")-1),",","."))-1)/MID(SUBSTITUTE(LEFT(TRIM(C154),FIND(" ",TRIM(C154)&amp;" ")-1),",","."),FIND("/",SUBSTITUTE(LEFT(TRIM(C154),FIND(" ",TRIM(C154)&amp;" ")-1),",","."))+1,9)),IF(ISNUMBER(SEARCH("yea",C154)),IFERROR(_xlfn.NUMBERVALUE(SUBSTITUTE(LEFT(TRIM(C154),FIND(" ",TRIM(C154)&amp;" ")-1),",","."),"."),LEFT(SUBSTITUTE(LEFT(TRIM(C154),FIND(" ",TRIM(C154)&amp;" ")-1),",","."),FIND("/",SUBSTITUTE(LEFT(TRIM(C154),FIND(" ",TRIM(C154)&amp;" ")-1),",","."))-1)/MID(SUBSTITUTE(LEFT(TRIM(C154),FIND(" ",TRIM(C154)&amp;" ")-1),",","."),FIND("/",SUBSTITUTE(LEFT(TRIM(C154),FIND(" ",TRIM(C154)&amp;" ")-1),",","."))+1,9))*12,NA()))),0),36)*'Aturan &amp; Tarif'!$B$4,2)</f>
        <v>2044.08</v>
      </c>
      <c r="K154" s="32" t="n">
        <f aca="false">'Aturan &amp; Tarif'!$B$5</f>
        <v>2050</v>
      </c>
      <c r="L154" s="32" t="n">
        <f aca="false">'Aturan &amp; Tarif'!$B$6</f>
        <v>350</v>
      </c>
      <c r="M154" s="35" t="n">
        <f aca="false">I154+J154+K154+L154</f>
        <v>29844.08</v>
      </c>
      <c r="N154" s="37" t="s">
        <v>1324</v>
      </c>
    </row>
    <row r="155" customFormat="false" ht="25.5" hidden="false" customHeight="true" outlineLevel="0" collapsed="false">
      <c r="A155" s="29"/>
      <c r="B155" s="30" t="s">
        <v>1325</v>
      </c>
      <c r="C155" s="31" t="s">
        <v>127</v>
      </c>
      <c r="D155" s="31" t="s">
        <v>108</v>
      </c>
      <c r="E155" s="32" t="n">
        <v>12625</v>
      </c>
      <c r="F155" s="32"/>
      <c r="G155" s="32" t="n">
        <v>150</v>
      </c>
      <c r="H155" s="33" t="n">
        <v>2</v>
      </c>
      <c r="I155" s="34" t="n">
        <f aca="false">E155*H155+N(F155)+N(G155)</f>
        <v>25400</v>
      </c>
      <c r="J155" s="32" t="n">
        <f aca="false">ROUND(IFERROR(ROUND(IF(OR(ISNUMBER(SEARCH("week",C155)),ISNUMBER(SEARCH("minggu",C155))),IFERROR(_xlfn.NUMBERVALUE(SUBSTITUTE(LEFT(TRIM(C155),FIND(" ",TRIM(C155)&amp;" ")-1),",","."),"."),LEFT(SUBSTITUTE(LEFT(TRIM(C155),FIND(" ",TRIM(C155)&amp;" ")-1),",","."),FIND("/",SUBSTITUTE(LEFT(TRIM(C155),FIND(" ",TRIM(C155)&amp;" ")-1),",","."))-1)/MID(SUBSTITUTE(LEFT(TRIM(C155),FIND(" ",TRIM(C155)&amp;" ")-1),",","."),FIND("/",SUBSTITUTE(LEFT(TRIM(C155),FIND(" ",TRIM(C155)&amp;" ")-1),",","."))+1,9))*12/52,IF(ISNUMBER(SEARCH("month",C155)),IFERROR(_xlfn.NUMBERVALUE(SUBSTITUTE(LEFT(TRIM(C155),FIND(" ",TRIM(C155)&amp;" ")-1),",","."),"."),LEFT(SUBSTITUTE(LEFT(TRIM(C155),FIND(" ",TRIM(C155)&amp;" ")-1),",","."),FIND("/",SUBSTITUTE(LEFT(TRIM(C155),FIND(" ",TRIM(C155)&amp;" ")-1),",","."))-1)/MID(SUBSTITUTE(LEFT(TRIM(C155),FIND(" ",TRIM(C155)&amp;" ")-1),",","."),FIND("/",SUBSTITUTE(LEFT(TRIM(C155),FIND(" ",TRIM(C155)&amp;" ")-1),",","."))+1,9)),IF(ISNUMBER(SEARCH("yea",C155)),IFERROR(_xlfn.NUMBERVALUE(SUBSTITUTE(LEFT(TRIM(C155),FIND(" ",TRIM(C155)&amp;" ")-1),",","."),"."),LEFT(SUBSTITUTE(LEFT(TRIM(C155),FIND(" ",TRIM(C155)&amp;" ")-1),",","."),FIND("/",SUBSTITUTE(LEFT(TRIM(C155),FIND(" ",TRIM(C155)&amp;" ")-1),",","."))-1)/MID(SUBSTITUTE(LEFT(TRIM(C155),FIND(" ",TRIM(C155)&amp;" ")-1),",","."),FIND("/",SUBSTITUTE(LEFT(TRIM(C155),FIND(" ",TRIM(C155)&amp;" ")-1),",","."))+1,9))*12,NA()))),0),36)*'Aturan &amp; Tarif'!$B$4,2)</f>
        <v>2044.08</v>
      </c>
      <c r="K155" s="32" t="n">
        <f aca="false">'Aturan &amp; Tarif'!$B$5</f>
        <v>2050</v>
      </c>
      <c r="L155" s="32" t="n">
        <f aca="false">'Aturan &amp; Tarif'!$B$6</f>
        <v>350</v>
      </c>
      <c r="M155" s="35" t="n">
        <f aca="false">I155+J155+K155+L155</f>
        <v>29844.08</v>
      </c>
      <c r="N155" s="37" t="s">
        <v>1324</v>
      </c>
    </row>
    <row r="156" customFormat="false" ht="25.5" hidden="false" customHeight="true" outlineLevel="0" collapsed="false">
      <c r="A156" s="29"/>
      <c r="B156" s="30" t="s">
        <v>1326</v>
      </c>
      <c r="C156" s="31" t="s">
        <v>127</v>
      </c>
      <c r="D156" s="31" t="s">
        <v>108</v>
      </c>
      <c r="E156" s="32" t="n">
        <v>12625</v>
      </c>
      <c r="F156" s="32"/>
      <c r="G156" s="32" t="n">
        <v>150</v>
      </c>
      <c r="H156" s="33" t="n">
        <v>2</v>
      </c>
      <c r="I156" s="34" t="n">
        <f aca="false">E156*H156+N(F156)+N(G156)</f>
        <v>25400</v>
      </c>
      <c r="J156" s="32" t="n">
        <f aca="false">ROUND(IFERROR(ROUND(IF(OR(ISNUMBER(SEARCH("week",C156)),ISNUMBER(SEARCH("minggu",C156))),IFERROR(_xlfn.NUMBERVALUE(SUBSTITUTE(LEFT(TRIM(C156),FIND(" ",TRIM(C156)&amp;" ")-1),",","."),"."),LEFT(SUBSTITUTE(LEFT(TRIM(C156),FIND(" ",TRIM(C156)&amp;" ")-1),",","."),FIND("/",SUBSTITUTE(LEFT(TRIM(C156),FIND(" ",TRIM(C156)&amp;" ")-1),",","."))-1)/MID(SUBSTITUTE(LEFT(TRIM(C156),FIND(" ",TRIM(C156)&amp;" ")-1),",","."),FIND("/",SUBSTITUTE(LEFT(TRIM(C156),FIND(" ",TRIM(C156)&amp;" ")-1),",","."))+1,9))*12/52,IF(ISNUMBER(SEARCH("month",C156)),IFERROR(_xlfn.NUMBERVALUE(SUBSTITUTE(LEFT(TRIM(C156),FIND(" ",TRIM(C156)&amp;" ")-1),",","."),"."),LEFT(SUBSTITUTE(LEFT(TRIM(C156),FIND(" ",TRIM(C156)&amp;" ")-1),",","."),FIND("/",SUBSTITUTE(LEFT(TRIM(C156),FIND(" ",TRIM(C156)&amp;" ")-1),",","."))-1)/MID(SUBSTITUTE(LEFT(TRIM(C156),FIND(" ",TRIM(C156)&amp;" ")-1),",","."),FIND("/",SUBSTITUTE(LEFT(TRIM(C156),FIND(" ",TRIM(C156)&amp;" ")-1),",","."))+1,9)),IF(ISNUMBER(SEARCH("yea",C156)),IFERROR(_xlfn.NUMBERVALUE(SUBSTITUTE(LEFT(TRIM(C156),FIND(" ",TRIM(C156)&amp;" ")-1),",","."),"."),LEFT(SUBSTITUTE(LEFT(TRIM(C156),FIND(" ",TRIM(C156)&amp;" ")-1),",","."),FIND("/",SUBSTITUTE(LEFT(TRIM(C156),FIND(" ",TRIM(C156)&amp;" ")-1),",","."))-1)/MID(SUBSTITUTE(LEFT(TRIM(C156),FIND(" ",TRIM(C156)&amp;" ")-1),",","."),FIND("/",SUBSTITUTE(LEFT(TRIM(C156),FIND(" ",TRIM(C156)&amp;" ")-1),",","."))+1,9))*12,NA()))),0),36)*'Aturan &amp; Tarif'!$B$4,2)</f>
        <v>2044.08</v>
      </c>
      <c r="K156" s="32" t="n">
        <f aca="false">'Aturan &amp; Tarif'!$B$5</f>
        <v>2050</v>
      </c>
      <c r="L156" s="32" t="n">
        <f aca="false">'Aturan &amp; Tarif'!$B$6</f>
        <v>350</v>
      </c>
      <c r="M156" s="35" t="n">
        <f aca="false">I156+J156+K156+L156</f>
        <v>29844.08</v>
      </c>
      <c r="N156" s="37" t="s">
        <v>1324</v>
      </c>
    </row>
    <row r="157" customFormat="false" ht="25.5" hidden="false" customHeight="true" outlineLevel="0" collapsed="false">
      <c r="A157" s="29"/>
      <c r="B157" s="30" t="s">
        <v>1327</v>
      </c>
      <c r="C157" s="31" t="s">
        <v>127</v>
      </c>
      <c r="D157" s="31" t="s">
        <v>108</v>
      </c>
      <c r="E157" s="32" t="n">
        <v>12625</v>
      </c>
      <c r="F157" s="32"/>
      <c r="G157" s="32" t="n">
        <v>150</v>
      </c>
      <c r="H157" s="33" t="n">
        <v>2</v>
      </c>
      <c r="I157" s="34" t="n">
        <f aca="false">E157*H157+N(F157)+N(G157)</f>
        <v>25400</v>
      </c>
      <c r="J157" s="32" t="n">
        <f aca="false">ROUND(IFERROR(ROUND(IF(OR(ISNUMBER(SEARCH("week",C157)),ISNUMBER(SEARCH("minggu",C157))),IFERROR(_xlfn.NUMBERVALUE(SUBSTITUTE(LEFT(TRIM(C157),FIND(" ",TRIM(C157)&amp;" ")-1),",","."),"."),LEFT(SUBSTITUTE(LEFT(TRIM(C157),FIND(" ",TRIM(C157)&amp;" ")-1),",","."),FIND("/",SUBSTITUTE(LEFT(TRIM(C157),FIND(" ",TRIM(C157)&amp;" ")-1),",","."))-1)/MID(SUBSTITUTE(LEFT(TRIM(C157),FIND(" ",TRIM(C157)&amp;" ")-1),",","."),FIND("/",SUBSTITUTE(LEFT(TRIM(C157),FIND(" ",TRIM(C157)&amp;" ")-1),",","."))+1,9))*12/52,IF(ISNUMBER(SEARCH("month",C157)),IFERROR(_xlfn.NUMBERVALUE(SUBSTITUTE(LEFT(TRIM(C157),FIND(" ",TRIM(C157)&amp;" ")-1),",","."),"."),LEFT(SUBSTITUTE(LEFT(TRIM(C157),FIND(" ",TRIM(C157)&amp;" ")-1),",","."),FIND("/",SUBSTITUTE(LEFT(TRIM(C157),FIND(" ",TRIM(C157)&amp;" ")-1),",","."))-1)/MID(SUBSTITUTE(LEFT(TRIM(C157),FIND(" ",TRIM(C157)&amp;" ")-1),",","."),FIND("/",SUBSTITUTE(LEFT(TRIM(C157),FIND(" ",TRIM(C157)&amp;" ")-1),",","."))+1,9)),IF(ISNUMBER(SEARCH("yea",C157)),IFERROR(_xlfn.NUMBERVALUE(SUBSTITUTE(LEFT(TRIM(C157),FIND(" ",TRIM(C157)&amp;" ")-1),",","."),"."),LEFT(SUBSTITUTE(LEFT(TRIM(C157),FIND(" ",TRIM(C157)&amp;" ")-1),",","."),FIND("/",SUBSTITUTE(LEFT(TRIM(C157),FIND(" ",TRIM(C157)&amp;" ")-1),",","."))-1)/MID(SUBSTITUTE(LEFT(TRIM(C157),FIND(" ",TRIM(C157)&amp;" ")-1),",","."),FIND("/",SUBSTITUTE(LEFT(TRIM(C157),FIND(" ",TRIM(C157)&amp;" ")-1),",","."))+1,9))*12,NA()))),0),36)*'Aturan &amp; Tarif'!$B$4,2)</f>
        <v>2044.08</v>
      </c>
      <c r="K157" s="32" t="n">
        <f aca="false">'Aturan &amp; Tarif'!$B$5</f>
        <v>2050</v>
      </c>
      <c r="L157" s="32" t="n">
        <f aca="false">'Aturan &amp; Tarif'!$B$6</f>
        <v>350</v>
      </c>
      <c r="M157" s="35" t="n">
        <f aca="false">I157+J157+K157+L157</f>
        <v>29844.08</v>
      </c>
      <c r="N157" s="37" t="s">
        <v>1324</v>
      </c>
    </row>
    <row r="158" customFormat="false" ht="25.5" hidden="false" customHeight="true" outlineLevel="0" collapsed="false">
      <c r="A158" s="29"/>
      <c r="B158" s="30" t="s">
        <v>1328</v>
      </c>
      <c r="C158" s="31" t="s">
        <v>127</v>
      </c>
      <c r="D158" s="31" t="s">
        <v>108</v>
      </c>
      <c r="E158" s="32" t="n">
        <v>12625</v>
      </c>
      <c r="F158" s="32"/>
      <c r="G158" s="32" t="n">
        <v>150</v>
      </c>
      <c r="H158" s="33" t="n">
        <v>2</v>
      </c>
      <c r="I158" s="34" t="n">
        <f aca="false">E158*H158+N(F158)+N(G158)</f>
        <v>25400</v>
      </c>
      <c r="J158" s="32" t="n">
        <f aca="false">ROUND(IFERROR(ROUND(IF(OR(ISNUMBER(SEARCH("week",C158)),ISNUMBER(SEARCH("minggu",C158))),IFERROR(_xlfn.NUMBERVALUE(SUBSTITUTE(LEFT(TRIM(C158),FIND(" ",TRIM(C158)&amp;" ")-1),",","."),"."),LEFT(SUBSTITUTE(LEFT(TRIM(C158),FIND(" ",TRIM(C158)&amp;" ")-1),",","."),FIND("/",SUBSTITUTE(LEFT(TRIM(C158),FIND(" ",TRIM(C158)&amp;" ")-1),",","."))-1)/MID(SUBSTITUTE(LEFT(TRIM(C158),FIND(" ",TRIM(C158)&amp;" ")-1),",","."),FIND("/",SUBSTITUTE(LEFT(TRIM(C158),FIND(" ",TRIM(C158)&amp;" ")-1),",","."))+1,9))*12/52,IF(ISNUMBER(SEARCH("month",C158)),IFERROR(_xlfn.NUMBERVALUE(SUBSTITUTE(LEFT(TRIM(C158),FIND(" ",TRIM(C158)&amp;" ")-1),",","."),"."),LEFT(SUBSTITUTE(LEFT(TRIM(C158),FIND(" ",TRIM(C158)&amp;" ")-1),",","."),FIND("/",SUBSTITUTE(LEFT(TRIM(C158),FIND(" ",TRIM(C158)&amp;" ")-1),",","."))-1)/MID(SUBSTITUTE(LEFT(TRIM(C158),FIND(" ",TRIM(C158)&amp;" ")-1),",","."),FIND("/",SUBSTITUTE(LEFT(TRIM(C158),FIND(" ",TRIM(C158)&amp;" ")-1),",","."))+1,9)),IF(ISNUMBER(SEARCH("yea",C158)),IFERROR(_xlfn.NUMBERVALUE(SUBSTITUTE(LEFT(TRIM(C158),FIND(" ",TRIM(C158)&amp;" ")-1),",","."),"."),LEFT(SUBSTITUTE(LEFT(TRIM(C158),FIND(" ",TRIM(C158)&amp;" ")-1),",","."),FIND("/",SUBSTITUTE(LEFT(TRIM(C158),FIND(" ",TRIM(C158)&amp;" ")-1),",","."))-1)/MID(SUBSTITUTE(LEFT(TRIM(C158),FIND(" ",TRIM(C158)&amp;" ")-1),",","."),FIND("/",SUBSTITUTE(LEFT(TRIM(C158),FIND(" ",TRIM(C158)&amp;" ")-1),",","."))+1,9))*12,NA()))),0),36)*'Aturan &amp; Tarif'!$B$4,2)</f>
        <v>2044.08</v>
      </c>
      <c r="K158" s="32" t="n">
        <f aca="false">'Aturan &amp; Tarif'!$B$5</f>
        <v>2050</v>
      </c>
      <c r="L158" s="32" t="n">
        <f aca="false">'Aturan &amp; Tarif'!$B$6</f>
        <v>350</v>
      </c>
      <c r="M158" s="35" t="n">
        <f aca="false">I158+J158+K158+L158</f>
        <v>29844.08</v>
      </c>
      <c r="N158" s="37" t="s">
        <v>1324</v>
      </c>
    </row>
    <row r="159" customFormat="false" ht="25.5" hidden="false" customHeight="true" outlineLevel="0" collapsed="false">
      <c r="A159" s="29"/>
      <c r="B159" s="30" t="s">
        <v>1329</v>
      </c>
      <c r="C159" s="31" t="s">
        <v>127</v>
      </c>
      <c r="D159" s="31" t="s">
        <v>108</v>
      </c>
      <c r="E159" s="32" t="n">
        <v>12625</v>
      </c>
      <c r="F159" s="32"/>
      <c r="G159" s="32" t="n">
        <v>150</v>
      </c>
      <c r="H159" s="33" t="n">
        <v>2</v>
      </c>
      <c r="I159" s="34" t="n">
        <f aca="false">E159*H159+N(F159)+N(G159)</f>
        <v>25400</v>
      </c>
      <c r="J159" s="32" t="n">
        <f aca="false">ROUND(IFERROR(ROUND(IF(OR(ISNUMBER(SEARCH("week",C159)),ISNUMBER(SEARCH("minggu",C159))),IFERROR(_xlfn.NUMBERVALUE(SUBSTITUTE(LEFT(TRIM(C159),FIND(" ",TRIM(C159)&amp;" ")-1),",","."),"."),LEFT(SUBSTITUTE(LEFT(TRIM(C159),FIND(" ",TRIM(C159)&amp;" ")-1),",","."),FIND("/",SUBSTITUTE(LEFT(TRIM(C159),FIND(" ",TRIM(C159)&amp;" ")-1),",","."))-1)/MID(SUBSTITUTE(LEFT(TRIM(C159),FIND(" ",TRIM(C159)&amp;" ")-1),",","."),FIND("/",SUBSTITUTE(LEFT(TRIM(C159),FIND(" ",TRIM(C159)&amp;" ")-1),",","."))+1,9))*12/52,IF(ISNUMBER(SEARCH("month",C159)),IFERROR(_xlfn.NUMBERVALUE(SUBSTITUTE(LEFT(TRIM(C159),FIND(" ",TRIM(C159)&amp;" ")-1),",","."),"."),LEFT(SUBSTITUTE(LEFT(TRIM(C159),FIND(" ",TRIM(C159)&amp;" ")-1),",","."),FIND("/",SUBSTITUTE(LEFT(TRIM(C159),FIND(" ",TRIM(C159)&amp;" ")-1),",","."))-1)/MID(SUBSTITUTE(LEFT(TRIM(C159),FIND(" ",TRIM(C159)&amp;" ")-1),",","."),FIND("/",SUBSTITUTE(LEFT(TRIM(C159),FIND(" ",TRIM(C159)&amp;" ")-1),",","."))+1,9)),IF(ISNUMBER(SEARCH("yea",C159)),IFERROR(_xlfn.NUMBERVALUE(SUBSTITUTE(LEFT(TRIM(C159),FIND(" ",TRIM(C159)&amp;" ")-1),",","."),"."),LEFT(SUBSTITUTE(LEFT(TRIM(C159),FIND(" ",TRIM(C159)&amp;" ")-1),",","."),FIND("/",SUBSTITUTE(LEFT(TRIM(C159),FIND(" ",TRIM(C159)&amp;" ")-1),",","."))-1)/MID(SUBSTITUTE(LEFT(TRIM(C159),FIND(" ",TRIM(C159)&amp;" ")-1),",","."),FIND("/",SUBSTITUTE(LEFT(TRIM(C159),FIND(" ",TRIM(C159)&amp;" ")-1),",","."))+1,9))*12,NA()))),0),36)*'Aturan &amp; Tarif'!$B$4,2)</f>
        <v>2044.08</v>
      </c>
      <c r="K159" s="32" t="n">
        <f aca="false">'Aturan &amp; Tarif'!$B$5</f>
        <v>2050</v>
      </c>
      <c r="L159" s="32" t="n">
        <f aca="false">'Aturan &amp; Tarif'!$B$6</f>
        <v>350</v>
      </c>
      <c r="M159" s="35" t="n">
        <f aca="false">I159+J159+K159+L159</f>
        <v>29844.08</v>
      </c>
      <c r="N159" s="37" t="s">
        <v>1324</v>
      </c>
    </row>
    <row r="160" customFormat="false" ht="25.5" hidden="false" customHeight="true" outlineLevel="0" collapsed="false">
      <c r="A160" s="29"/>
      <c r="B160" s="30" t="s">
        <v>1330</v>
      </c>
      <c r="C160" s="31" t="s">
        <v>127</v>
      </c>
      <c r="D160" s="31" t="s">
        <v>108</v>
      </c>
      <c r="E160" s="32" t="n">
        <v>12625</v>
      </c>
      <c r="F160" s="32"/>
      <c r="G160" s="32" t="n">
        <v>150</v>
      </c>
      <c r="H160" s="33" t="n">
        <v>2</v>
      </c>
      <c r="I160" s="34" t="n">
        <f aca="false">E160*H160+N(F160)+N(G160)</f>
        <v>25400</v>
      </c>
      <c r="J160" s="32" t="n">
        <f aca="false">ROUND(IFERROR(ROUND(IF(OR(ISNUMBER(SEARCH("week",C160)),ISNUMBER(SEARCH("minggu",C160))),IFERROR(_xlfn.NUMBERVALUE(SUBSTITUTE(LEFT(TRIM(C160),FIND(" ",TRIM(C160)&amp;" ")-1),",","."),"."),LEFT(SUBSTITUTE(LEFT(TRIM(C160),FIND(" ",TRIM(C160)&amp;" ")-1),",","."),FIND("/",SUBSTITUTE(LEFT(TRIM(C160),FIND(" ",TRIM(C160)&amp;" ")-1),",","."))-1)/MID(SUBSTITUTE(LEFT(TRIM(C160),FIND(" ",TRIM(C160)&amp;" ")-1),",","."),FIND("/",SUBSTITUTE(LEFT(TRIM(C160),FIND(" ",TRIM(C160)&amp;" ")-1),",","."))+1,9))*12/52,IF(ISNUMBER(SEARCH("month",C160)),IFERROR(_xlfn.NUMBERVALUE(SUBSTITUTE(LEFT(TRIM(C160),FIND(" ",TRIM(C160)&amp;" ")-1),",","."),"."),LEFT(SUBSTITUTE(LEFT(TRIM(C160),FIND(" ",TRIM(C160)&amp;" ")-1),",","."),FIND("/",SUBSTITUTE(LEFT(TRIM(C160),FIND(" ",TRIM(C160)&amp;" ")-1),",","."))-1)/MID(SUBSTITUTE(LEFT(TRIM(C160),FIND(" ",TRIM(C160)&amp;" ")-1),",","."),FIND("/",SUBSTITUTE(LEFT(TRIM(C160),FIND(" ",TRIM(C160)&amp;" ")-1),",","."))+1,9)),IF(ISNUMBER(SEARCH("yea",C160)),IFERROR(_xlfn.NUMBERVALUE(SUBSTITUTE(LEFT(TRIM(C160),FIND(" ",TRIM(C160)&amp;" ")-1),",","."),"."),LEFT(SUBSTITUTE(LEFT(TRIM(C160),FIND(" ",TRIM(C160)&amp;" ")-1),",","."),FIND("/",SUBSTITUTE(LEFT(TRIM(C160),FIND(" ",TRIM(C160)&amp;" ")-1),",","."))-1)/MID(SUBSTITUTE(LEFT(TRIM(C160),FIND(" ",TRIM(C160)&amp;" ")-1),",","."),FIND("/",SUBSTITUTE(LEFT(TRIM(C160),FIND(" ",TRIM(C160)&amp;" ")-1),",","."))+1,9))*12,NA()))),0),36)*'Aturan &amp; Tarif'!$B$4,2)</f>
        <v>2044.08</v>
      </c>
      <c r="K160" s="32" t="n">
        <f aca="false">'Aturan &amp; Tarif'!$B$5</f>
        <v>2050</v>
      </c>
      <c r="L160" s="32" t="n">
        <f aca="false">'Aturan &amp; Tarif'!$B$6</f>
        <v>350</v>
      </c>
      <c r="M160" s="35" t="n">
        <f aca="false">I160+J160+K160+L160</f>
        <v>29844.08</v>
      </c>
      <c r="N160" s="37" t="s">
        <v>1324</v>
      </c>
    </row>
    <row r="161" customFormat="false" ht="25.5" hidden="false" customHeight="true" outlineLevel="0" collapsed="false">
      <c r="A161" s="29"/>
      <c r="B161" s="30" t="s">
        <v>1331</v>
      </c>
      <c r="C161" s="31" t="s">
        <v>127</v>
      </c>
      <c r="D161" s="31" t="s">
        <v>108</v>
      </c>
      <c r="E161" s="32" t="n">
        <v>12625</v>
      </c>
      <c r="F161" s="32"/>
      <c r="G161" s="32" t="n">
        <v>150</v>
      </c>
      <c r="H161" s="33" t="n">
        <v>2</v>
      </c>
      <c r="I161" s="34" t="n">
        <f aca="false">E161*H161+N(F161)+N(G161)</f>
        <v>25400</v>
      </c>
      <c r="J161" s="32" t="n">
        <f aca="false">ROUND(IFERROR(ROUND(IF(OR(ISNUMBER(SEARCH("week",C161)),ISNUMBER(SEARCH("minggu",C161))),IFERROR(_xlfn.NUMBERVALUE(SUBSTITUTE(LEFT(TRIM(C161),FIND(" ",TRIM(C161)&amp;" ")-1),",","."),"."),LEFT(SUBSTITUTE(LEFT(TRIM(C161),FIND(" ",TRIM(C161)&amp;" ")-1),",","."),FIND("/",SUBSTITUTE(LEFT(TRIM(C161),FIND(" ",TRIM(C161)&amp;" ")-1),",","."))-1)/MID(SUBSTITUTE(LEFT(TRIM(C161),FIND(" ",TRIM(C161)&amp;" ")-1),",","."),FIND("/",SUBSTITUTE(LEFT(TRIM(C161),FIND(" ",TRIM(C161)&amp;" ")-1),",","."))+1,9))*12/52,IF(ISNUMBER(SEARCH("month",C161)),IFERROR(_xlfn.NUMBERVALUE(SUBSTITUTE(LEFT(TRIM(C161),FIND(" ",TRIM(C161)&amp;" ")-1),",","."),"."),LEFT(SUBSTITUTE(LEFT(TRIM(C161),FIND(" ",TRIM(C161)&amp;" ")-1),",","."),FIND("/",SUBSTITUTE(LEFT(TRIM(C161),FIND(" ",TRIM(C161)&amp;" ")-1),",","."))-1)/MID(SUBSTITUTE(LEFT(TRIM(C161),FIND(" ",TRIM(C161)&amp;" ")-1),",","."),FIND("/",SUBSTITUTE(LEFT(TRIM(C161),FIND(" ",TRIM(C161)&amp;" ")-1),",","."))+1,9)),IF(ISNUMBER(SEARCH("yea",C161)),IFERROR(_xlfn.NUMBERVALUE(SUBSTITUTE(LEFT(TRIM(C161),FIND(" ",TRIM(C161)&amp;" ")-1),",","."),"."),LEFT(SUBSTITUTE(LEFT(TRIM(C161),FIND(" ",TRIM(C161)&amp;" ")-1),",","."),FIND("/",SUBSTITUTE(LEFT(TRIM(C161),FIND(" ",TRIM(C161)&amp;" ")-1),",","."))-1)/MID(SUBSTITUTE(LEFT(TRIM(C161),FIND(" ",TRIM(C161)&amp;" ")-1),",","."),FIND("/",SUBSTITUTE(LEFT(TRIM(C161),FIND(" ",TRIM(C161)&amp;" ")-1),",","."))+1,9))*12,NA()))),0),36)*'Aturan &amp; Tarif'!$B$4,2)</f>
        <v>2044.08</v>
      </c>
      <c r="K161" s="32" t="n">
        <f aca="false">'Aturan &amp; Tarif'!$B$5</f>
        <v>2050</v>
      </c>
      <c r="L161" s="32" t="n">
        <f aca="false">'Aturan &amp; Tarif'!$B$6</f>
        <v>350</v>
      </c>
      <c r="M161" s="35" t="n">
        <f aca="false">I161+J161+K161+L161</f>
        <v>29844.08</v>
      </c>
      <c r="N161" s="37" t="s">
        <v>1324</v>
      </c>
    </row>
    <row r="162" customFormat="false" ht="37.5" hidden="false" customHeight="true" outlineLevel="0" collapsed="false">
      <c r="A162" s="29"/>
      <c r="B162" s="30" t="s">
        <v>1332</v>
      </c>
      <c r="C162" s="31" t="s">
        <v>127</v>
      </c>
      <c r="D162" s="31" t="s">
        <v>108</v>
      </c>
      <c r="E162" s="32" t="n">
        <v>12625</v>
      </c>
      <c r="F162" s="32"/>
      <c r="G162" s="32" t="n">
        <v>150</v>
      </c>
      <c r="H162" s="33" t="n">
        <v>2</v>
      </c>
      <c r="I162" s="34" t="n">
        <f aca="false">E162*H162+N(F162)+N(G162)</f>
        <v>25400</v>
      </c>
      <c r="J162" s="32" t="n">
        <f aca="false">ROUND(IFERROR(ROUND(IF(OR(ISNUMBER(SEARCH("week",C162)),ISNUMBER(SEARCH("minggu",C162))),IFERROR(_xlfn.NUMBERVALUE(SUBSTITUTE(LEFT(TRIM(C162),FIND(" ",TRIM(C162)&amp;" ")-1),",","."),"."),LEFT(SUBSTITUTE(LEFT(TRIM(C162),FIND(" ",TRIM(C162)&amp;" ")-1),",","."),FIND("/",SUBSTITUTE(LEFT(TRIM(C162),FIND(" ",TRIM(C162)&amp;" ")-1),",","."))-1)/MID(SUBSTITUTE(LEFT(TRIM(C162),FIND(" ",TRIM(C162)&amp;" ")-1),",","."),FIND("/",SUBSTITUTE(LEFT(TRIM(C162),FIND(" ",TRIM(C162)&amp;" ")-1),",","."))+1,9))*12/52,IF(ISNUMBER(SEARCH("month",C162)),IFERROR(_xlfn.NUMBERVALUE(SUBSTITUTE(LEFT(TRIM(C162),FIND(" ",TRIM(C162)&amp;" ")-1),",","."),"."),LEFT(SUBSTITUTE(LEFT(TRIM(C162),FIND(" ",TRIM(C162)&amp;" ")-1),",","."),FIND("/",SUBSTITUTE(LEFT(TRIM(C162),FIND(" ",TRIM(C162)&amp;" ")-1),",","."))-1)/MID(SUBSTITUTE(LEFT(TRIM(C162),FIND(" ",TRIM(C162)&amp;" ")-1),",","."),FIND("/",SUBSTITUTE(LEFT(TRIM(C162),FIND(" ",TRIM(C162)&amp;" ")-1),",","."))+1,9)),IF(ISNUMBER(SEARCH("yea",C162)),IFERROR(_xlfn.NUMBERVALUE(SUBSTITUTE(LEFT(TRIM(C162),FIND(" ",TRIM(C162)&amp;" ")-1),",","."),"."),LEFT(SUBSTITUTE(LEFT(TRIM(C162),FIND(" ",TRIM(C162)&amp;" ")-1),",","."),FIND("/",SUBSTITUTE(LEFT(TRIM(C162),FIND(" ",TRIM(C162)&amp;" ")-1),",","."))-1)/MID(SUBSTITUTE(LEFT(TRIM(C162),FIND(" ",TRIM(C162)&amp;" ")-1),",","."),FIND("/",SUBSTITUTE(LEFT(TRIM(C162),FIND(" ",TRIM(C162)&amp;" ")-1),",","."))+1,9))*12,NA()))),0),36)*'Aturan &amp; Tarif'!$B$4,2)</f>
        <v>2044.08</v>
      </c>
      <c r="K162" s="32" t="n">
        <f aca="false">'Aturan &amp; Tarif'!$B$5</f>
        <v>2050</v>
      </c>
      <c r="L162" s="32" t="n">
        <f aca="false">'Aturan &amp; Tarif'!$B$6</f>
        <v>350</v>
      </c>
      <c r="M162" s="35" t="n">
        <f aca="false">I162+J162+K162+L162</f>
        <v>29844.08</v>
      </c>
      <c r="N162" s="37" t="s">
        <v>1324</v>
      </c>
    </row>
    <row r="163" customFormat="false" ht="25.5" hidden="false" customHeight="true" outlineLevel="0" collapsed="false">
      <c r="A163" s="29"/>
      <c r="B163" s="30" t="s">
        <v>330</v>
      </c>
      <c r="C163" s="31" t="s">
        <v>127</v>
      </c>
      <c r="D163" s="31" t="s">
        <v>108</v>
      </c>
      <c r="E163" s="32" t="n">
        <v>11275</v>
      </c>
      <c r="F163" s="32"/>
      <c r="G163" s="32" t="n">
        <v>150</v>
      </c>
      <c r="H163" s="33" t="n">
        <v>2</v>
      </c>
      <c r="I163" s="34" t="n">
        <f aca="false">E163*H163+N(F163)+N(G163)</f>
        <v>22700</v>
      </c>
      <c r="J163" s="32" t="n">
        <f aca="false">ROUND(IFERROR(ROUND(IF(OR(ISNUMBER(SEARCH("week",C163)),ISNUMBER(SEARCH("minggu",C163))),IFERROR(_xlfn.NUMBERVALUE(SUBSTITUTE(LEFT(TRIM(C163),FIND(" ",TRIM(C163)&amp;" ")-1),",","."),"."),LEFT(SUBSTITUTE(LEFT(TRIM(C163),FIND(" ",TRIM(C163)&amp;" ")-1),",","."),FIND("/",SUBSTITUTE(LEFT(TRIM(C163),FIND(" ",TRIM(C163)&amp;" ")-1),",","."))-1)/MID(SUBSTITUTE(LEFT(TRIM(C163),FIND(" ",TRIM(C163)&amp;" ")-1),",","."),FIND("/",SUBSTITUTE(LEFT(TRIM(C163),FIND(" ",TRIM(C163)&amp;" ")-1),",","."))+1,9))*12/52,IF(ISNUMBER(SEARCH("month",C163)),IFERROR(_xlfn.NUMBERVALUE(SUBSTITUTE(LEFT(TRIM(C163),FIND(" ",TRIM(C163)&amp;" ")-1),",","."),"."),LEFT(SUBSTITUTE(LEFT(TRIM(C163),FIND(" ",TRIM(C163)&amp;" ")-1),",","."),FIND("/",SUBSTITUTE(LEFT(TRIM(C163),FIND(" ",TRIM(C163)&amp;" ")-1),",","."))-1)/MID(SUBSTITUTE(LEFT(TRIM(C163),FIND(" ",TRIM(C163)&amp;" ")-1),",","."),FIND("/",SUBSTITUTE(LEFT(TRIM(C163),FIND(" ",TRIM(C163)&amp;" ")-1),",","."))+1,9)),IF(ISNUMBER(SEARCH("yea",C163)),IFERROR(_xlfn.NUMBERVALUE(SUBSTITUTE(LEFT(TRIM(C163),FIND(" ",TRIM(C163)&amp;" ")-1),",","."),"."),LEFT(SUBSTITUTE(LEFT(TRIM(C163),FIND(" ",TRIM(C163)&amp;" ")-1),",","."),FIND("/",SUBSTITUTE(LEFT(TRIM(C163),FIND(" ",TRIM(C163)&amp;" ")-1),",","."))-1)/MID(SUBSTITUTE(LEFT(TRIM(C163),FIND(" ",TRIM(C163)&amp;" ")-1),",","."),FIND("/",SUBSTITUTE(LEFT(TRIM(C163),FIND(" ",TRIM(C163)&amp;" ")-1),",","."))+1,9))*12,NA()))),0),36)*'Aturan &amp; Tarif'!$B$4,2)</f>
        <v>2044.08</v>
      </c>
      <c r="K163" s="32" t="n">
        <f aca="false">'Aturan &amp; Tarif'!$B$5</f>
        <v>2050</v>
      </c>
      <c r="L163" s="32" t="n">
        <f aca="false">'Aturan &amp; Tarif'!$B$6</f>
        <v>350</v>
      </c>
      <c r="M163" s="35" t="n">
        <f aca="false">I163+J163+K163+L163</f>
        <v>27144.08</v>
      </c>
      <c r="N163" s="37" t="s">
        <v>1333</v>
      </c>
    </row>
    <row r="164" customFormat="false" ht="25.5" hidden="false" customHeight="true" outlineLevel="0" collapsed="false">
      <c r="A164" s="29"/>
      <c r="B164" s="30" t="s">
        <v>1334</v>
      </c>
      <c r="C164" s="31" t="s">
        <v>127</v>
      </c>
      <c r="D164" s="31" t="s">
        <v>108</v>
      </c>
      <c r="E164" s="32" t="n">
        <v>11275</v>
      </c>
      <c r="F164" s="32"/>
      <c r="G164" s="32" t="n">
        <v>150</v>
      </c>
      <c r="H164" s="33" t="n">
        <v>2</v>
      </c>
      <c r="I164" s="34" t="n">
        <f aca="false">E164*H164+N(F164)+N(G164)</f>
        <v>22700</v>
      </c>
      <c r="J164" s="32" t="n">
        <f aca="false">ROUND(IFERROR(ROUND(IF(OR(ISNUMBER(SEARCH("week",C164)),ISNUMBER(SEARCH("minggu",C164))),IFERROR(_xlfn.NUMBERVALUE(SUBSTITUTE(LEFT(TRIM(C164),FIND(" ",TRIM(C164)&amp;" ")-1),",","."),"."),LEFT(SUBSTITUTE(LEFT(TRIM(C164),FIND(" ",TRIM(C164)&amp;" ")-1),",","."),FIND("/",SUBSTITUTE(LEFT(TRIM(C164),FIND(" ",TRIM(C164)&amp;" ")-1),",","."))-1)/MID(SUBSTITUTE(LEFT(TRIM(C164),FIND(" ",TRIM(C164)&amp;" ")-1),",","."),FIND("/",SUBSTITUTE(LEFT(TRIM(C164),FIND(" ",TRIM(C164)&amp;" ")-1),",","."))+1,9))*12/52,IF(ISNUMBER(SEARCH("month",C164)),IFERROR(_xlfn.NUMBERVALUE(SUBSTITUTE(LEFT(TRIM(C164),FIND(" ",TRIM(C164)&amp;" ")-1),",","."),"."),LEFT(SUBSTITUTE(LEFT(TRIM(C164),FIND(" ",TRIM(C164)&amp;" ")-1),",","."),FIND("/",SUBSTITUTE(LEFT(TRIM(C164),FIND(" ",TRIM(C164)&amp;" ")-1),",","."))-1)/MID(SUBSTITUTE(LEFT(TRIM(C164),FIND(" ",TRIM(C164)&amp;" ")-1),",","."),FIND("/",SUBSTITUTE(LEFT(TRIM(C164),FIND(" ",TRIM(C164)&amp;" ")-1),",","."))+1,9)),IF(ISNUMBER(SEARCH("yea",C164)),IFERROR(_xlfn.NUMBERVALUE(SUBSTITUTE(LEFT(TRIM(C164),FIND(" ",TRIM(C164)&amp;" ")-1),",","."),"."),LEFT(SUBSTITUTE(LEFT(TRIM(C164),FIND(" ",TRIM(C164)&amp;" ")-1),",","."),FIND("/",SUBSTITUTE(LEFT(TRIM(C164),FIND(" ",TRIM(C164)&amp;" ")-1),",","."))-1)/MID(SUBSTITUTE(LEFT(TRIM(C164),FIND(" ",TRIM(C164)&amp;" ")-1),",","."),FIND("/",SUBSTITUTE(LEFT(TRIM(C164),FIND(" ",TRIM(C164)&amp;" ")-1),",","."))+1,9))*12,NA()))),0),36)*'Aturan &amp; Tarif'!$B$4,2)</f>
        <v>2044.08</v>
      </c>
      <c r="K164" s="32" t="n">
        <f aca="false">'Aturan &amp; Tarif'!$B$5</f>
        <v>2050</v>
      </c>
      <c r="L164" s="32" t="n">
        <f aca="false">'Aturan &amp; Tarif'!$B$6</f>
        <v>350</v>
      </c>
      <c r="M164" s="35" t="n">
        <f aca="false">I164+J164+K164+L164</f>
        <v>27144.08</v>
      </c>
      <c r="N164" s="37" t="s">
        <v>1333</v>
      </c>
    </row>
    <row r="165" customFormat="false" ht="25.5" hidden="false" customHeight="true" outlineLevel="0" collapsed="false">
      <c r="A165" s="29"/>
      <c r="B165" s="30" t="s">
        <v>1335</v>
      </c>
      <c r="C165" s="31" t="s">
        <v>127</v>
      </c>
      <c r="D165" s="31" t="s">
        <v>108</v>
      </c>
      <c r="E165" s="32" t="n">
        <v>11275</v>
      </c>
      <c r="F165" s="32"/>
      <c r="G165" s="32" t="n">
        <v>150</v>
      </c>
      <c r="H165" s="33" t="n">
        <v>2</v>
      </c>
      <c r="I165" s="34" t="n">
        <f aca="false">E165*H165+N(F165)+N(G165)</f>
        <v>22700</v>
      </c>
      <c r="J165" s="32" t="n">
        <f aca="false">ROUND(IFERROR(ROUND(IF(OR(ISNUMBER(SEARCH("week",C165)),ISNUMBER(SEARCH("minggu",C165))),IFERROR(_xlfn.NUMBERVALUE(SUBSTITUTE(LEFT(TRIM(C165),FIND(" ",TRIM(C165)&amp;" ")-1),",","."),"."),LEFT(SUBSTITUTE(LEFT(TRIM(C165),FIND(" ",TRIM(C165)&amp;" ")-1),",","."),FIND("/",SUBSTITUTE(LEFT(TRIM(C165),FIND(" ",TRIM(C165)&amp;" ")-1),",","."))-1)/MID(SUBSTITUTE(LEFT(TRIM(C165),FIND(" ",TRIM(C165)&amp;" ")-1),",","."),FIND("/",SUBSTITUTE(LEFT(TRIM(C165),FIND(" ",TRIM(C165)&amp;" ")-1),",","."))+1,9))*12/52,IF(ISNUMBER(SEARCH("month",C165)),IFERROR(_xlfn.NUMBERVALUE(SUBSTITUTE(LEFT(TRIM(C165),FIND(" ",TRIM(C165)&amp;" ")-1),",","."),"."),LEFT(SUBSTITUTE(LEFT(TRIM(C165),FIND(" ",TRIM(C165)&amp;" ")-1),",","."),FIND("/",SUBSTITUTE(LEFT(TRIM(C165),FIND(" ",TRIM(C165)&amp;" ")-1),",","."))-1)/MID(SUBSTITUTE(LEFT(TRIM(C165),FIND(" ",TRIM(C165)&amp;" ")-1),",","."),FIND("/",SUBSTITUTE(LEFT(TRIM(C165),FIND(" ",TRIM(C165)&amp;" ")-1),",","."))+1,9)),IF(ISNUMBER(SEARCH("yea",C165)),IFERROR(_xlfn.NUMBERVALUE(SUBSTITUTE(LEFT(TRIM(C165),FIND(" ",TRIM(C165)&amp;" ")-1),",","."),"."),LEFT(SUBSTITUTE(LEFT(TRIM(C165),FIND(" ",TRIM(C165)&amp;" ")-1),",","."),FIND("/",SUBSTITUTE(LEFT(TRIM(C165),FIND(" ",TRIM(C165)&amp;" ")-1),",","."))-1)/MID(SUBSTITUTE(LEFT(TRIM(C165),FIND(" ",TRIM(C165)&amp;" ")-1),",","."),FIND("/",SUBSTITUTE(LEFT(TRIM(C165),FIND(" ",TRIM(C165)&amp;" ")-1),",","."))+1,9))*12,NA()))),0),36)*'Aturan &amp; Tarif'!$B$4,2)</f>
        <v>2044.08</v>
      </c>
      <c r="K165" s="32" t="n">
        <f aca="false">'Aturan &amp; Tarif'!$B$5</f>
        <v>2050</v>
      </c>
      <c r="L165" s="32" t="n">
        <f aca="false">'Aturan &amp; Tarif'!$B$6</f>
        <v>350</v>
      </c>
      <c r="M165" s="35" t="n">
        <f aca="false">I165+J165+K165+L165</f>
        <v>27144.08</v>
      </c>
      <c r="N165" s="37" t="s">
        <v>1333</v>
      </c>
    </row>
    <row r="166" customFormat="false" ht="37.5" hidden="false" customHeight="true" outlineLevel="0" collapsed="false">
      <c r="A166" s="29"/>
      <c r="B166" s="30" t="s">
        <v>1336</v>
      </c>
      <c r="C166" s="31" t="s">
        <v>127</v>
      </c>
      <c r="D166" s="31" t="s">
        <v>108</v>
      </c>
      <c r="E166" s="32" t="n">
        <v>11275</v>
      </c>
      <c r="F166" s="32"/>
      <c r="G166" s="32" t="n">
        <v>150</v>
      </c>
      <c r="H166" s="33" t="n">
        <v>2</v>
      </c>
      <c r="I166" s="34" t="n">
        <f aca="false">E166*H166+N(F166)+N(G166)</f>
        <v>22700</v>
      </c>
      <c r="J166" s="32" t="n">
        <f aca="false">ROUND(IFERROR(ROUND(IF(OR(ISNUMBER(SEARCH("week",C166)),ISNUMBER(SEARCH("minggu",C166))),IFERROR(_xlfn.NUMBERVALUE(SUBSTITUTE(LEFT(TRIM(C166),FIND(" ",TRIM(C166)&amp;" ")-1),",","."),"."),LEFT(SUBSTITUTE(LEFT(TRIM(C166),FIND(" ",TRIM(C166)&amp;" ")-1),",","."),FIND("/",SUBSTITUTE(LEFT(TRIM(C166),FIND(" ",TRIM(C166)&amp;" ")-1),",","."))-1)/MID(SUBSTITUTE(LEFT(TRIM(C166),FIND(" ",TRIM(C166)&amp;" ")-1),",","."),FIND("/",SUBSTITUTE(LEFT(TRIM(C166),FIND(" ",TRIM(C166)&amp;" ")-1),",","."))+1,9))*12/52,IF(ISNUMBER(SEARCH("month",C166)),IFERROR(_xlfn.NUMBERVALUE(SUBSTITUTE(LEFT(TRIM(C166),FIND(" ",TRIM(C166)&amp;" ")-1),",","."),"."),LEFT(SUBSTITUTE(LEFT(TRIM(C166),FIND(" ",TRIM(C166)&amp;" ")-1),",","."),FIND("/",SUBSTITUTE(LEFT(TRIM(C166),FIND(" ",TRIM(C166)&amp;" ")-1),",","."))-1)/MID(SUBSTITUTE(LEFT(TRIM(C166),FIND(" ",TRIM(C166)&amp;" ")-1),",","."),FIND("/",SUBSTITUTE(LEFT(TRIM(C166),FIND(" ",TRIM(C166)&amp;" ")-1),",","."))+1,9)),IF(ISNUMBER(SEARCH("yea",C166)),IFERROR(_xlfn.NUMBERVALUE(SUBSTITUTE(LEFT(TRIM(C166),FIND(" ",TRIM(C166)&amp;" ")-1),",","."),"."),LEFT(SUBSTITUTE(LEFT(TRIM(C166),FIND(" ",TRIM(C166)&amp;" ")-1),",","."),FIND("/",SUBSTITUTE(LEFT(TRIM(C166),FIND(" ",TRIM(C166)&amp;" ")-1),",","."))-1)/MID(SUBSTITUTE(LEFT(TRIM(C166),FIND(" ",TRIM(C166)&amp;" ")-1),",","."),FIND("/",SUBSTITUTE(LEFT(TRIM(C166),FIND(" ",TRIM(C166)&amp;" ")-1),",","."))+1,9))*12,NA()))),0),36)*'Aturan &amp; Tarif'!$B$4,2)</f>
        <v>2044.08</v>
      </c>
      <c r="K166" s="32" t="n">
        <f aca="false">'Aturan &amp; Tarif'!$B$5</f>
        <v>2050</v>
      </c>
      <c r="L166" s="32" t="n">
        <f aca="false">'Aturan &amp; Tarif'!$B$6</f>
        <v>350</v>
      </c>
      <c r="M166" s="35" t="n">
        <f aca="false">I166+J166+K166+L166</f>
        <v>27144.08</v>
      </c>
      <c r="N166" s="37" t="s">
        <v>1333</v>
      </c>
    </row>
    <row r="167" customFormat="false" ht="25.5" hidden="false" customHeight="true" outlineLevel="0" collapsed="false">
      <c r="A167" s="29"/>
      <c r="B167" s="30" t="s">
        <v>1337</v>
      </c>
      <c r="C167" s="31" t="s">
        <v>127</v>
      </c>
      <c r="D167" s="31" t="s">
        <v>108</v>
      </c>
      <c r="E167" s="32" t="n">
        <v>11275</v>
      </c>
      <c r="F167" s="32"/>
      <c r="G167" s="32" t="n">
        <v>150</v>
      </c>
      <c r="H167" s="33" t="n">
        <v>2</v>
      </c>
      <c r="I167" s="34" t="n">
        <f aca="false">E167*H167+N(F167)+N(G167)</f>
        <v>22700</v>
      </c>
      <c r="J167" s="32" t="n">
        <f aca="false">ROUND(IFERROR(ROUND(IF(OR(ISNUMBER(SEARCH("week",C167)),ISNUMBER(SEARCH("minggu",C167))),IFERROR(_xlfn.NUMBERVALUE(SUBSTITUTE(LEFT(TRIM(C167),FIND(" ",TRIM(C167)&amp;" ")-1),",","."),"."),LEFT(SUBSTITUTE(LEFT(TRIM(C167),FIND(" ",TRIM(C167)&amp;" ")-1),",","."),FIND("/",SUBSTITUTE(LEFT(TRIM(C167),FIND(" ",TRIM(C167)&amp;" ")-1),",","."))-1)/MID(SUBSTITUTE(LEFT(TRIM(C167),FIND(" ",TRIM(C167)&amp;" ")-1),",","."),FIND("/",SUBSTITUTE(LEFT(TRIM(C167),FIND(" ",TRIM(C167)&amp;" ")-1),",","."))+1,9))*12/52,IF(ISNUMBER(SEARCH("month",C167)),IFERROR(_xlfn.NUMBERVALUE(SUBSTITUTE(LEFT(TRIM(C167),FIND(" ",TRIM(C167)&amp;" ")-1),",","."),"."),LEFT(SUBSTITUTE(LEFT(TRIM(C167),FIND(" ",TRIM(C167)&amp;" ")-1),",","."),FIND("/",SUBSTITUTE(LEFT(TRIM(C167),FIND(" ",TRIM(C167)&amp;" ")-1),",","."))-1)/MID(SUBSTITUTE(LEFT(TRIM(C167),FIND(" ",TRIM(C167)&amp;" ")-1),",","."),FIND("/",SUBSTITUTE(LEFT(TRIM(C167),FIND(" ",TRIM(C167)&amp;" ")-1),",","."))+1,9)),IF(ISNUMBER(SEARCH("yea",C167)),IFERROR(_xlfn.NUMBERVALUE(SUBSTITUTE(LEFT(TRIM(C167),FIND(" ",TRIM(C167)&amp;" ")-1),",","."),"."),LEFT(SUBSTITUTE(LEFT(TRIM(C167),FIND(" ",TRIM(C167)&amp;" ")-1),",","."),FIND("/",SUBSTITUTE(LEFT(TRIM(C167),FIND(" ",TRIM(C167)&amp;" ")-1),",","."))-1)/MID(SUBSTITUTE(LEFT(TRIM(C167),FIND(" ",TRIM(C167)&amp;" ")-1),",","."),FIND("/",SUBSTITUTE(LEFT(TRIM(C167),FIND(" ",TRIM(C167)&amp;" ")-1),",","."))+1,9))*12,NA()))),0),36)*'Aturan &amp; Tarif'!$B$4,2)</f>
        <v>2044.08</v>
      </c>
      <c r="K167" s="32" t="n">
        <f aca="false">'Aturan &amp; Tarif'!$B$5</f>
        <v>2050</v>
      </c>
      <c r="L167" s="32" t="n">
        <f aca="false">'Aturan &amp; Tarif'!$B$6</f>
        <v>350</v>
      </c>
      <c r="M167" s="35" t="n">
        <f aca="false">I167+J167+K167+L167</f>
        <v>27144.08</v>
      </c>
      <c r="N167" s="37" t="s">
        <v>1333</v>
      </c>
    </row>
    <row r="168" customFormat="false" ht="25.5" hidden="false" customHeight="true" outlineLevel="0" collapsed="false">
      <c r="A168" s="29"/>
      <c r="B168" s="30" t="s">
        <v>1338</v>
      </c>
      <c r="C168" s="31" t="s">
        <v>127</v>
      </c>
      <c r="D168" s="31" t="s">
        <v>108</v>
      </c>
      <c r="E168" s="32" t="n">
        <v>11275</v>
      </c>
      <c r="F168" s="32"/>
      <c r="G168" s="32" t="n">
        <v>150</v>
      </c>
      <c r="H168" s="33" t="n">
        <v>2</v>
      </c>
      <c r="I168" s="34" t="n">
        <f aca="false">E168*H168+N(F168)+N(G168)</f>
        <v>22700</v>
      </c>
      <c r="J168" s="32" t="n">
        <f aca="false">ROUND(IFERROR(ROUND(IF(OR(ISNUMBER(SEARCH("week",C168)),ISNUMBER(SEARCH("minggu",C168))),IFERROR(_xlfn.NUMBERVALUE(SUBSTITUTE(LEFT(TRIM(C168),FIND(" ",TRIM(C168)&amp;" ")-1),",","."),"."),LEFT(SUBSTITUTE(LEFT(TRIM(C168),FIND(" ",TRIM(C168)&amp;" ")-1),",","."),FIND("/",SUBSTITUTE(LEFT(TRIM(C168),FIND(" ",TRIM(C168)&amp;" ")-1),",","."))-1)/MID(SUBSTITUTE(LEFT(TRIM(C168),FIND(" ",TRIM(C168)&amp;" ")-1),",","."),FIND("/",SUBSTITUTE(LEFT(TRIM(C168),FIND(" ",TRIM(C168)&amp;" ")-1),",","."))+1,9))*12/52,IF(ISNUMBER(SEARCH("month",C168)),IFERROR(_xlfn.NUMBERVALUE(SUBSTITUTE(LEFT(TRIM(C168),FIND(" ",TRIM(C168)&amp;" ")-1),",","."),"."),LEFT(SUBSTITUTE(LEFT(TRIM(C168),FIND(" ",TRIM(C168)&amp;" ")-1),",","."),FIND("/",SUBSTITUTE(LEFT(TRIM(C168),FIND(" ",TRIM(C168)&amp;" ")-1),",","."))-1)/MID(SUBSTITUTE(LEFT(TRIM(C168),FIND(" ",TRIM(C168)&amp;" ")-1),",","."),FIND("/",SUBSTITUTE(LEFT(TRIM(C168),FIND(" ",TRIM(C168)&amp;" ")-1),",","."))+1,9)),IF(ISNUMBER(SEARCH("yea",C168)),IFERROR(_xlfn.NUMBERVALUE(SUBSTITUTE(LEFT(TRIM(C168),FIND(" ",TRIM(C168)&amp;" ")-1),",","."),"."),LEFT(SUBSTITUTE(LEFT(TRIM(C168),FIND(" ",TRIM(C168)&amp;" ")-1),",","."),FIND("/",SUBSTITUTE(LEFT(TRIM(C168),FIND(" ",TRIM(C168)&amp;" ")-1),",","."))-1)/MID(SUBSTITUTE(LEFT(TRIM(C168),FIND(" ",TRIM(C168)&amp;" ")-1),",","."),FIND("/",SUBSTITUTE(LEFT(TRIM(C168),FIND(" ",TRIM(C168)&amp;" ")-1),",","."))+1,9))*12,NA()))),0),36)*'Aturan &amp; Tarif'!$B$4,2)</f>
        <v>2044.08</v>
      </c>
      <c r="K168" s="32" t="n">
        <f aca="false">'Aturan &amp; Tarif'!$B$5</f>
        <v>2050</v>
      </c>
      <c r="L168" s="32" t="n">
        <f aca="false">'Aturan &amp; Tarif'!$B$6</f>
        <v>350</v>
      </c>
      <c r="M168" s="35" t="n">
        <f aca="false">I168+J168+K168+L168</f>
        <v>27144.08</v>
      </c>
      <c r="N168" s="37" t="s">
        <v>1333</v>
      </c>
    </row>
    <row r="169" customFormat="false" ht="25.5" hidden="false" customHeight="true" outlineLevel="0" collapsed="false">
      <c r="A169" s="29"/>
      <c r="B169" s="30" t="s">
        <v>1339</v>
      </c>
      <c r="C169" s="31" t="s">
        <v>127</v>
      </c>
      <c r="D169" s="31" t="s">
        <v>108</v>
      </c>
      <c r="E169" s="32" t="n">
        <v>11275</v>
      </c>
      <c r="F169" s="32"/>
      <c r="G169" s="32" t="n">
        <v>150</v>
      </c>
      <c r="H169" s="33" t="n">
        <v>2</v>
      </c>
      <c r="I169" s="34" t="n">
        <f aca="false">E169*H169+N(F169)+N(G169)</f>
        <v>22700</v>
      </c>
      <c r="J169" s="32" t="n">
        <f aca="false">ROUND(IFERROR(ROUND(IF(OR(ISNUMBER(SEARCH("week",C169)),ISNUMBER(SEARCH("minggu",C169))),IFERROR(_xlfn.NUMBERVALUE(SUBSTITUTE(LEFT(TRIM(C169),FIND(" ",TRIM(C169)&amp;" ")-1),",","."),"."),LEFT(SUBSTITUTE(LEFT(TRIM(C169),FIND(" ",TRIM(C169)&amp;" ")-1),",","."),FIND("/",SUBSTITUTE(LEFT(TRIM(C169),FIND(" ",TRIM(C169)&amp;" ")-1),",","."))-1)/MID(SUBSTITUTE(LEFT(TRIM(C169),FIND(" ",TRIM(C169)&amp;" ")-1),",","."),FIND("/",SUBSTITUTE(LEFT(TRIM(C169),FIND(" ",TRIM(C169)&amp;" ")-1),",","."))+1,9))*12/52,IF(ISNUMBER(SEARCH("month",C169)),IFERROR(_xlfn.NUMBERVALUE(SUBSTITUTE(LEFT(TRIM(C169),FIND(" ",TRIM(C169)&amp;" ")-1),",","."),"."),LEFT(SUBSTITUTE(LEFT(TRIM(C169),FIND(" ",TRIM(C169)&amp;" ")-1),",","."),FIND("/",SUBSTITUTE(LEFT(TRIM(C169),FIND(" ",TRIM(C169)&amp;" ")-1),",","."))-1)/MID(SUBSTITUTE(LEFT(TRIM(C169),FIND(" ",TRIM(C169)&amp;" ")-1),",","."),FIND("/",SUBSTITUTE(LEFT(TRIM(C169),FIND(" ",TRIM(C169)&amp;" ")-1),",","."))+1,9)),IF(ISNUMBER(SEARCH("yea",C169)),IFERROR(_xlfn.NUMBERVALUE(SUBSTITUTE(LEFT(TRIM(C169),FIND(" ",TRIM(C169)&amp;" ")-1),",","."),"."),LEFT(SUBSTITUTE(LEFT(TRIM(C169),FIND(" ",TRIM(C169)&amp;" ")-1),",","."),FIND("/",SUBSTITUTE(LEFT(TRIM(C169),FIND(" ",TRIM(C169)&amp;" ")-1),",","."))-1)/MID(SUBSTITUTE(LEFT(TRIM(C169),FIND(" ",TRIM(C169)&amp;" ")-1),",","."),FIND("/",SUBSTITUTE(LEFT(TRIM(C169),FIND(" ",TRIM(C169)&amp;" ")-1),",","."))+1,9))*12,NA()))),0),36)*'Aturan &amp; Tarif'!$B$4,2)</f>
        <v>2044.08</v>
      </c>
      <c r="K169" s="32" t="n">
        <f aca="false">'Aturan &amp; Tarif'!$B$5</f>
        <v>2050</v>
      </c>
      <c r="L169" s="32" t="n">
        <f aca="false">'Aturan &amp; Tarif'!$B$6</f>
        <v>350</v>
      </c>
      <c r="M169" s="35" t="n">
        <f aca="false">I169+J169+K169+L169</f>
        <v>27144.08</v>
      </c>
      <c r="N169" s="37" t="s">
        <v>1333</v>
      </c>
    </row>
    <row r="170" customFormat="false" ht="37.5" hidden="false" customHeight="true" outlineLevel="0" collapsed="false">
      <c r="A170" s="29"/>
      <c r="B170" s="30" t="s">
        <v>1340</v>
      </c>
      <c r="C170" s="31" t="s">
        <v>127</v>
      </c>
      <c r="D170" s="31" t="s">
        <v>108</v>
      </c>
      <c r="E170" s="32" t="n">
        <v>11275</v>
      </c>
      <c r="F170" s="32"/>
      <c r="G170" s="32" t="n">
        <v>150</v>
      </c>
      <c r="H170" s="33" t="n">
        <v>2</v>
      </c>
      <c r="I170" s="34" t="n">
        <f aca="false">E170*H170+N(F170)+N(G170)</f>
        <v>22700</v>
      </c>
      <c r="J170" s="32" t="n">
        <f aca="false">ROUND(IFERROR(ROUND(IF(OR(ISNUMBER(SEARCH("week",C170)),ISNUMBER(SEARCH("minggu",C170))),IFERROR(_xlfn.NUMBERVALUE(SUBSTITUTE(LEFT(TRIM(C170),FIND(" ",TRIM(C170)&amp;" ")-1),",","."),"."),LEFT(SUBSTITUTE(LEFT(TRIM(C170),FIND(" ",TRIM(C170)&amp;" ")-1),",","."),FIND("/",SUBSTITUTE(LEFT(TRIM(C170),FIND(" ",TRIM(C170)&amp;" ")-1),",","."))-1)/MID(SUBSTITUTE(LEFT(TRIM(C170),FIND(" ",TRIM(C170)&amp;" ")-1),",","."),FIND("/",SUBSTITUTE(LEFT(TRIM(C170),FIND(" ",TRIM(C170)&amp;" ")-1),",","."))+1,9))*12/52,IF(ISNUMBER(SEARCH("month",C170)),IFERROR(_xlfn.NUMBERVALUE(SUBSTITUTE(LEFT(TRIM(C170),FIND(" ",TRIM(C170)&amp;" ")-1),",","."),"."),LEFT(SUBSTITUTE(LEFT(TRIM(C170),FIND(" ",TRIM(C170)&amp;" ")-1),",","."),FIND("/",SUBSTITUTE(LEFT(TRIM(C170),FIND(" ",TRIM(C170)&amp;" ")-1),",","."))-1)/MID(SUBSTITUTE(LEFT(TRIM(C170),FIND(" ",TRIM(C170)&amp;" ")-1),",","."),FIND("/",SUBSTITUTE(LEFT(TRIM(C170),FIND(" ",TRIM(C170)&amp;" ")-1),",","."))+1,9)),IF(ISNUMBER(SEARCH("yea",C170)),IFERROR(_xlfn.NUMBERVALUE(SUBSTITUTE(LEFT(TRIM(C170),FIND(" ",TRIM(C170)&amp;" ")-1),",","."),"."),LEFT(SUBSTITUTE(LEFT(TRIM(C170),FIND(" ",TRIM(C170)&amp;" ")-1),",","."),FIND("/",SUBSTITUTE(LEFT(TRIM(C170),FIND(" ",TRIM(C170)&amp;" ")-1),",","."))-1)/MID(SUBSTITUTE(LEFT(TRIM(C170),FIND(" ",TRIM(C170)&amp;" ")-1),",","."),FIND("/",SUBSTITUTE(LEFT(TRIM(C170),FIND(" ",TRIM(C170)&amp;" ")-1),",","."))+1,9))*12,NA()))),0),36)*'Aturan &amp; Tarif'!$B$4,2)</f>
        <v>2044.08</v>
      </c>
      <c r="K170" s="32" t="n">
        <f aca="false">'Aturan &amp; Tarif'!$B$5</f>
        <v>2050</v>
      </c>
      <c r="L170" s="32" t="n">
        <f aca="false">'Aturan &amp; Tarif'!$B$6</f>
        <v>350</v>
      </c>
      <c r="M170" s="35" t="n">
        <f aca="false">I170+J170+K170+L170</f>
        <v>27144.08</v>
      </c>
      <c r="N170" s="37" t="s">
        <v>1333</v>
      </c>
    </row>
    <row r="171" customFormat="false" ht="37.5" hidden="false" customHeight="true" outlineLevel="0" collapsed="false">
      <c r="A171" s="29"/>
      <c r="B171" s="30" t="s">
        <v>1341</v>
      </c>
      <c r="C171" s="31" t="s">
        <v>127</v>
      </c>
      <c r="D171" s="31" t="s">
        <v>108</v>
      </c>
      <c r="E171" s="32" t="n">
        <v>11275</v>
      </c>
      <c r="F171" s="32"/>
      <c r="G171" s="32" t="n">
        <v>150</v>
      </c>
      <c r="H171" s="33" t="n">
        <v>2</v>
      </c>
      <c r="I171" s="34" t="n">
        <f aca="false">E171*H171+N(F171)+N(G171)</f>
        <v>22700</v>
      </c>
      <c r="J171" s="32" t="n">
        <f aca="false">ROUND(IFERROR(ROUND(IF(OR(ISNUMBER(SEARCH("week",C171)),ISNUMBER(SEARCH("minggu",C171))),IFERROR(_xlfn.NUMBERVALUE(SUBSTITUTE(LEFT(TRIM(C171),FIND(" ",TRIM(C171)&amp;" ")-1),",","."),"."),LEFT(SUBSTITUTE(LEFT(TRIM(C171),FIND(" ",TRIM(C171)&amp;" ")-1),",","."),FIND("/",SUBSTITUTE(LEFT(TRIM(C171),FIND(" ",TRIM(C171)&amp;" ")-1),",","."))-1)/MID(SUBSTITUTE(LEFT(TRIM(C171),FIND(" ",TRIM(C171)&amp;" ")-1),",","."),FIND("/",SUBSTITUTE(LEFT(TRIM(C171),FIND(" ",TRIM(C171)&amp;" ")-1),",","."))+1,9))*12/52,IF(ISNUMBER(SEARCH("month",C171)),IFERROR(_xlfn.NUMBERVALUE(SUBSTITUTE(LEFT(TRIM(C171),FIND(" ",TRIM(C171)&amp;" ")-1),",","."),"."),LEFT(SUBSTITUTE(LEFT(TRIM(C171),FIND(" ",TRIM(C171)&amp;" ")-1),",","."),FIND("/",SUBSTITUTE(LEFT(TRIM(C171),FIND(" ",TRIM(C171)&amp;" ")-1),",","."))-1)/MID(SUBSTITUTE(LEFT(TRIM(C171),FIND(" ",TRIM(C171)&amp;" ")-1),",","."),FIND("/",SUBSTITUTE(LEFT(TRIM(C171),FIND(" ",TRIM(C171)&amp;" ")-1),",","."))+1,9)),IF(ISNUMBER(SEARCH("yea",C171)),IFERROR(_xlfn.NUMBERVALUE(SUBSTITUTE(LEFT(TRIM(C171),FIND(" ",TRIM(C171)&amp;" ")-1),",","."),"."),LEFT(SUBSTITUTE(LEFT(TRIM(C171),FIND(" ",TRIM(C171)&amp;" ")-1),",","."),FIND("/",SUBSTITUTE(LEFT(TRIM(C171),FIND(" ",TRIM(C171)&amp;" ")-1),",","."))-1)/MID(SUBSTITUTE(LEFT(TRIM(C171),FIND(" ",TRIM(C171)&amp;" ")-1),",","."),FIND("/",SUBSTITUTE(LEFT(TRIM(C171),FIND(" ",TRIM(C171)&amp;" ")-1),",","."))+1,9))*12,NA()))),0),36)*'Aturan &amp; Tarif'!$B$4,2)</f>
        <v>2044.08</v>
      </c>
      <c r="K171" s="32" t="n">
        <f aca="false">'Aturan &amp; Tarif'!$B$5</f>
        <v>2050</v>
      </c>
      <c r="L171" s="32" t="n">
        <f aca="false">'Aturan &amp; Tarif'!$B$6</f>
        <v>350</v>
      </c>
      <c r="M171" s="35" t="n">
        <f aca="false">I171+J171+K171+L171</f>
        <v>27144.08</v>
      </c>
      <c r="N171" s="37" t="s">
        <v>1333</v>
      </c>
    </row>
    <row r="172" customFormat="false" ht="25.5" hidden="false" customHeight="true" outlineLevel="0" collapsed="false">
      <c r="A172" s="29"/>
      <c r="B172" s="30" t="s">
        <v>1342</v>
      </c>
      <c r="C172" s="31" t="s">
        <v>127</v>
      </c>
      <c r="D172" s="31" t="s">
        <v>108</v>
      </c>
      <c r="E172" s="32" t="n">
        <v>11275</v>
      </c>
      <c r="F172" s="32"/>
      <c r="G172" s="32" t="n">
        <v>150</v>
      </c>
      <c r="H172" s="33" t="n">
        <v>2</v>
      </c>
      <c r="I172" s="34" t="n">
        <f aca="false">E172*H172+N(F172)+N(G172)</f>
        <v>22700</v>
      </c>
      <c r="J172" s="32" t="n">
        <f aca="false">ROUND(IFERROR(ROUND(IF(OR(ISNUMBER(SEARCH("week",C172)),ISNUMBER(SEARCH("minggu",C172))),IFERROR(_xlfn.NUMBERVALUE(SUBSTITUTE(LEFT(TRIM(C172),FIND(" ",TRIM(C172)&amp;" ")-1),",","."),"."),LEFT(SUBSTITUTE(LEFT(TRIM(C172),FIND(" ",TRIM(C172)&amp;" ")-1),",","."),FIND("/",SUBSTITUTE(LEFT(TRIM(C172),FIND(" ",TRIM(C172)&amp;" ")-1),",","."))-1)/MID(SUBSTITUTE(LEFT(TRIM(C172),FIND(" ",TRIM(C172)&amp;" ")-1),",","."),FIND("/",SUBSTITUTE(LEFT(TRIM(C172),FIND(" ",TRIM(C172)&amp;" ")-1),",","."))+1,9))*12/52,IF(ISNUMBER(SEARCH("month",C172)),IFERROR(_xlfn.NUMBERVALUE(SUBSTITUTE(LEFT(TRIM(C172),FIND(" ",TRIM(C172)&amp;" ")-1),",","."),"."),LEFT(SUBSTITUTE(LEFT(TRIM(C172),FIND(" ",TRIM(C172)&amp;" ")-1),",","."),FIND("/",SUBSTITUTE(LEFT(TRIM(C172),FIND(" ",TRIM(C172)&amp;" ")-1),",","."))-1)/MID(SUBSTITUTE(LEFT(TRIM(C172),FIND(" ",TRIM(C172)&amp;" ")-1),",","."),FIND("/",SUBSTITUTE(LEFT(TRIM(C172),FIND(" ",TRIM(C172)&amp;" ")-1),",","."))+1,9)),IF(ISNUMBER(SEARCH("yea",C172)),IFERROR(_xlfn.NUMBERVALUE(SUBSTITUTE(LEFT(TRIM(C172),FIND(" ",TRIM(C172)&amp;" ")-1),",","."),"."),LEFT(SUBSTITUTE(LEFT(TRIM(C172),FIND(" ",TRIM(C172)&amp;" ")-1),",","."),FIND("/",SUBSTITUTE(LEFT(TRIM(C172),FIND(" ",TRIM(C172)&amp;" ")-1),",","."))-1)/MID(SUBSTITUTE(LEFT(TRIM(C172),FIND(" ",TRIM(C172)&amp;" ")-1),",","."),FIND("/",SUBSTITUTE(LEFT(TRIM(C172),FIND(" ",TRIM(C172)&amp;" ")-1),",","."))+1,9))*12,NA()))),0),36)*'Aturan &amp; Tarif'!$B$4,2)</f>
        <v>2044.08</v>
      </c>
      <c r="K172" s="32" t="n">
        <f aca="false">'Aturan &amp; Tarif'!$B$5</f>
        <v>2050</v>
      </c>
      <c r="L172" s="32" t="n">
        <f aca="false">'Aturan &amp; Tarif'!$B$6</f>
        <v>350</v>
      </c>
      <c r="M172" s="35" t="n">
        <f aca="false">I172+J172+K172+L172</f>
        <v>27144.08</v>
      </c>
      <c r="N172" s="37" t="s">
        <v>1333</v>
      </c>
    </row>
    <row r="173" customFormat="false" ht="14.25" hidden="false" customHeight="true" outlineLevel="0" collapsed="false">
      <c r="A173" s="29"/>
      <c r="B173" s="30" t="s">
        <v>1343</v>
      </c>
      <c r="C173" s="31" t="s">
        <v>191</v>
      </c>
      <c r="D173" s="31" t="s">
        <v>108</v>
      </c>
      <c r="E173" s="32" t="n">
        <v>13725</v>
      </c>
      <c r="F173" s="32"/>
      <c r="G173" s="32" t="n">
        <v>150</v>
      </c>
      <c r="H173" s="33" t="n">
        <v>2</v>
      </c>
      <c r="I173" s="34" t="n">
        <f aca="false">E173*H173+N(F173)+N(G173)</f>
        <v>27600</v>
      </c>
      <c r="J173" s="32" t="n">
        <f aca="false">ROUND(IFERROR(ROUND(IF(OR(ISNUMBER(SEARCH("week",C173)),ISNUMBER(SEARCH("minggu",C173))),IFERROR(_xlfn.NUMBERVALUE(SUBSTITUTE(LEFT(TRIM(C173),FIND(" ",TRIM(C173)&amp;" ")-1),",","."),"."),LEFT(SUBSTITUTE(LEFT(TRIM(C173),FIND(" ",TRIM(C173)&amp;" ")-1),",","."),FIND("/",SUBSTITUTE(LEFT(TRIM(C173),FIND(" ",TRIM(C173)&amp;" ")-1),",","."))-1)/MID(SUBSTITUTE(LEFT(TRIM(C173),FIND(" ",TRIM(C173)&amp;" ")-1),",","."),FIND("/",SUBSTITUTE(LEFT(TRIM(C173),FIND(" ",TRIM(C173)&amp;" ")-1),",","."))+1,9))*12/52,IF(ISNUMBER(SEARCH("month",C173)),IFERROR(_xlfn.NUMBERVALUE(SUBSTITUTE(LEFT(TRIM(C173),FIND(" ",TRIM(C173)&amp;" ")-1),",","."),"."),LEFT(SUBSTITUTE(LEFT(TRIM(C173),FIND(" ",TRIM(C173)&amp;" ")-1),",","."),FIND("/",SUBSTITUTE(LEFT(TRIM(C173),FIND(" ",TRIM(C173)&amp;" ")-1),",","."))-1)/MID(SUBSTITUTE(LEFT(TRIM(C173),FIND(" ",TRIM(C173)&amp;" ")-1),",","."),FIND("/",SUBSTITUTE(LEFT(TRIM(C173),FIND(" ",TRIM(C173)&amp;" ")-1),",","."))+1,9)),IF(ISNUMBER(SEARCH("yea",C173)),IFERROR(_xlfn.NUMBERVALUE(SUBSTITUTE(LEFT(TRIM(C173),FIND(" ",TRIM(C173)&amp;" ")-1),",","."),"."),LEFT(SUBSTITUTE(LEFT(TRIM(C173),FIND(" ",TRIM(C173)&amp;" ")-1),",","."),FIND("/",SUBSTITUTE(LEFT(TRIM(C173),FIND(" ",TRIM(C173)&amp;" ")-1),",","."))-1)/MID(SUBSTITUTE(LEFT(TRIM(C173),FIND(" ",TRIM(C173)&amp;" ")-1),",","."),FIND("/",SUBSTITUTE(LEFT(TRIM(C173),FIND(" ",TRIM(C173)&amp;" ")-1),",","."))+1,9))*12,NA()))),0),48)*'Aturan &amp; Tarif'!$B$4,2)</f>
        <v>2725.44</v>
      </c>
      <c r="K173" s="32" t="n">
        <f aca="false">'Aturan &amp; Tarif'!$B$5</f>
        <v>2050</v>
      </c>
      <c r="L173" s="32" t="n">
        <f aca="false">'Aturan &amp; Tarif'!$B$6</f>
        <v>350</v>
      </c>
      <c r="M173" s="35" t="n">
        <f aca="false">I173+J173+K173+L173</f>
        <v>32725.44</v>
      </c>
      <c r="N173" s="37" t="s">
        <v>1344</v>
      </c>
    </row>
    <row r="174" customFormat="false" ht="25.5" hidden="false" customHeight="true" outlineLevel="0" collapsed="false">
      <c r="A174" s="29"/>
      <c r="B174" s="30" t="s">
        <v>1345</v>
      </c>
      <c r="C174" s="31" t="s">
        <v>245</v>
      </c>
      <c r="D174" s="31" t="s">
        <v>108</v>
      </c>
      <c r="E174" s="32" t="n">
        <v>14275</v>
      </c>
      <c r="F174" s="32"/>
      <c r="G174" s="32" t="n">
        <v>150</v>
      </c>
      <c r="H174" s="33" t="n">
        <v>2</v>
      </c>
      <c r="I174" s="34" t="n">
        <f aca="false">E174*H174+N(F174)+N(G174)</f>
        <v>28700</v>
      </c>
      <c r="J174" s="32" t="n">
        <f aca="false">ROUND(IFERROR(ROUND(IF(OR(ISNUMBER(SEARCH("week",C174)),ISNUMBER(SEARCH("minggu",C174))),IFERROR(_xlfn.NUMBERVALUE(SUBSTITUTE(LEFT(TRIM(C174),FIND(" ",TRIM(C174)&amp;" ")-1),",","."),"."),LEFT(SUBSTITUTE(LEFT(TRIM(C174),FIND(" ",TRIM(C174)&amp;" ")-1),",","."),FIND("/",SUBSTITUTE(LEFT(TRIM(C174),FIND(" ",TRIM(C174)&amp;" ")-1),",","."))-1)/MID(SUBSTITUTE(LEFT(TRIM(C174),FIND(" ",TRIM(C174)&amp;" ")-1),",","."),FIND("/",SUBSTITUTE(LEFT(TRIM(C174),FIND(" ",TRIM(C174)&amp;" ")-1),",","."))+1,9))*12/52,IF(ISNUMBER(SEARCH("month",C174)),IFERROR(_xlfn.NUMBERVALUE(SUBSTITUTE(LEFT(TRIM(C174),FIND(" ",TRIM(C174)&amp;" ")-1),",","."),"."),LEFT(SUBSTITUTE(LEFT(TRIM(C174),FIND(" ",TRIM(C174)&amp;" ")-1),",","."),FIND("/",SUBSTITUTE(LEFT(TRIM(C174),FIND(" ",TRIM(C174)&amp;" ")-1),",","."))-1)/MID(SUBSTITUTE(LEFT(TRIM(C174),FIND(" ",TRIM(C174)&amp;" ")-1),",","."),FIND("/",SUBSTITUTE(LEFT(TRIM(C174),FIND(" ",TRIM(C174)&amp;" ")-1),",","."))+1,9)),IF(ISNUMBER(SEARCH("yea",C174)),IFERROR(_xlfn.NUMBERVALUE(SUBSTITUTE(LEFT(TRIM(C174),FIND(" ",TRIM(C174)&amp;" ")-1),",","."),"."),LEFT(SUBSTITUTE(LEFT(TRIM(C174),FIND(" ",TRIM(C174)&amp;" ")-1),",","."),FIND("/",SUBSTITUTE(LEFT(TRIM(C174),FIND(" ",TRIM(C174)&amp;" ")-1),",","."))-1)/MID(SUBSTITUTE(LEFT(TRIM(C174),FIND(" ",TRIM(C174)&amp;" ")-1),",","."),FIND("/",SUBSTITUTE(LEFT(TRIM(C174),FIND(" ",TRIM(C174)&amp;" ")-1),",","."))+1,9))*12,NA()))),0),60)*'Aturan &amp; Tarif'!$B$4,2)</f>
        <v>3406.8</v>
      </c>
      <c r="K174" s="32" t="n">
        <f aca="false">'Aturan &amp; Tarif'!$B$5</f>
        <v>2050</v>
      </c>
      <c r="L174" s="32" t="n">
        <f aca="false">'Aturan &amp; Tarif'!$B$6</f>
        <v>350</v>
      </c>
      <c r="M174" s="35" t="n">
        <f aca="false">I174+J174+K174+L174</f>
        <v>34506.8</v>
      </c>
      <c r="N174" s="37" t="s">
        <v>846</v>
      </c>
    </row>
    <row r="175" customFormat="false" ht="25.5" hidden="false" customHeight="true" outlineLevel="0" collapsed="false">
      <c r="A175" s="29"/>
      <c r="B175" s="30" t="s">
        <v>1346</v>
      </c>
      <c r="C175" s="31" t="s">
        <v>245</v>
      </c>
      <c r="D175" s="31" t="s">
        <v>108</v>
      </c>
      <c r="E175" s="32" t="n">
        <v>14275</v>
      </c>
      <c r="F175" s="32"/>
      <c r="G175" s="32" t="n">
        <v>150</v>
      </c>
      <c r="H175" s="33" t="n">
        <v>2</v>
      </c>
      <c r="I175" s="34" t="n">
        <f aca="false">E175*H175+N(F175)+N(G175)</f>
        <v>28700</v>
      </c>
      <c r="J175" s="32" t="n">
        <f aca="false">ROUND(IFERROR(ROUND(IF(OR(ISNUMBER(SEARCH("week",C175)),ISNUMBER(SEARCH("minggu",C175))),IFERROR(_xlfn.NUMBERVALUE(SUBSTITUTE(LEFT(TRIM(C175),FIND(" ",TRIM(C175)&amp;" ")-1),",","."),"."),LEFT(SUBSTITUTE(LEFT(TRIM(C175),FIND(" ",TRIM(C175)&amp;" ")-1),",","."),FIND("/",SUBSTITUTE(LEFT(TRIM(C175),FIND(" ",TRIM(C175)&amp;" ")-1),",","."))-1)/MID(SUBSTITUTE(LEFT(TRIM(C175),FIND(" ",TRIM(C175)&amp;" ")-1),",","."),FIND("/",SUBSTITUTE(LEFT(TRIM(C175),FIND(" ",TRIM(C175)&amp;" ")-1),",","."))+1,9))*12/52,IF(ISNUMBER(SEARCH("month",C175)),IFERROR(_xlfn.NUMBERVALUE(SUBSTITUTE(LEFT(TRIM(C175),FIND(" ",TRIM(C175)&amp;" ")-1),",","."),"."),LEFT(SUBSTITUTE(LEFT(TRIM(C175),FIND(" ",TRIM(C175)&amp;" ")-1),",","."),FIND("/",SUBSTITUTE(LEFT(TRIM(C175),FIND(" ",TRIM(C175)&amp;" ")-1),",","."))-1)/MID(SUBSTITUTE(LEFT(TRIM(C175),FIND(" ",TRIM(C175)&amp;" ")-1),",","."),FIND("/",SUBSTITUTE(LEFT(TRIM(C175),FIND(" ",TRIM(C175)&amp;" ")-1),",","."))+1,9)),IF(ISNUMBER(SEARCH("yea",C175)),IFERROR(_xlfn.NUMBERVALUE(SUBSTITUTE(LEFT(TRIM(C175),FIND(" ",TRIM(C175)&amp;" ")-1),",","."),"."),LEFT(SUBSTITUTE(LEFT(TRIM(C175),FIND(" ",TRIM(C175)&amp;" ")-1),",","."),FIND("/",SUBSTITUTE(LEFT(TRIM(C175),FIND(" ",TRIM(C175)&amp;" ")-1),",","."))-1)/MID(SUBSTITUTE(LEFT(TRIM(C175),FIND(" ",TRIM(C175)&amp;" ")-1),",","."),FIND("/",SUBSTITUTE(LEFT(TRIM(C175),FIND(" ",TRIM(C175)&amp;" ")-1),",","."))+1,9))*12,NA()))),0),60)*'Aturan &amp; Tarif'!$B$4,2)</f>
        <v>3406.8</v>
      </c>
      <c r="K175" s="32" t="n">
        <f aca="false">'Aturan &amp; Tarif'!$B$5</f>
        <v>2050</v>
      </c>
      <c r="L175" s="32" t="n">
        <f aca="false">'Aturan &amp; Tarif'!$B$6</f>
        <v>350</v>
      </c>
      <c r="M175" s="35" t="n">
        <f aca="false">I175+J175+K175+L175</f>
        <v>34506.8</v>
      </c>
      <c r="N175" s="37" t="s">
        <v>846</v>
      </c>
    </row>
    <row r="176" customFormat="false" ht="25.5" hidden="false" customHeight="true" outlineLevel="0" collapsed="false">
      <c r="A176" s="29"/>
      <c r="B176" s="30" t="s">
        <v>1347</v>
      </c>
      <c r="C176" s="31" t="s">
        <v>245</v>
      </c>
      <c r="D176" s="31" t="s">
        <v>108</v>
      </c>
      <c r="E176" s="32" t="n">
        <v>14275</v>
      </c>
      <c r="F176" s="32"/>
      <c r="G176" s="32" t="n">
        <v>150</v>
      </c>
      <c r="H176" s="33" t="n">
        <v>2</v>
      </c>
      <c r="I176" s="34" t="n">
        <f aca="false">E176*H176+N(F176)+N(G176)</f>
        <v>28700</v>
      </c>
      <c r="J176" s="32" t="n">
        <f aca="false">ROUND(IFERROR(ROUND(IF(OR(ISNUMBER(SEARCH("week",C176)),ISNUMBER(SEARCH("minggu",C176))),IFERROR(_xlfn.NUMBERVALUE(SUBSTITUTE(LEFT(TRIM(C176),FIND(" ",TRIM(C176)&amp;" ")-1),",","."),"."),LEFT(SUBSTITUTE(LEFT(TRIM(C176),FIND(" ",TRIM(C176)&amp;" ")-1),",","."),FIND("/",SUBSTITUTE(LEFT(TRIM(C176),FIND(" ",TRIM(C176)&amp;" ")-1),",","."))-1)/MID(SUBSTITUTE(LEFT(TRIM(C176),FIND(" ",TRIM(C176)&amp;" ")-1),",","."),FIND("/",SUBSTITUTE(LEFT(TRIM(C176),FIND(" ",TRIM(C176)&amp;" ")-1),",","."))+1,9))*12/52,IF(ISNUMBER(SEARCH("month",C176)),IFERROR(_xlfn.NUMBERVALUE(SUBSTITUTE(LEFT(TRIM(C176),FIND(" ",TRIM(C176)&amp;" ")-1),",","."),"."),LEFT(SUBSTITUTE(LEFT(TRIM(C176),FIND(" ",TRIM(C176)&amp;" ")-1),",","."),FIND("/",SUBSTITUTE(LEFT(TRIM(C176),FIND(" ",TRIM(C176)&amp;" ")-1),",","."))-1)/MID(SUBSTITUTE(LEFT(TRIM(C176),FIND(" ",TRIM(C176)&amp;" ")-1),",","."),FIND("/",SUBSTITUTE(LEFT(TRIM(C176),FIND(" ",TRIM(C176)&amp;" ")-1),",","."))+1,9)),IF(ISNUMBER(SEARCH("yea",C176)),IFERROR(_xlfn.NUMBERVALUE(SUBSTITUTE(LEFT(TRIM(C176),FIND(" ",TRIM(C176)&amp;" ")-1),",","."),"."),LEFT(SUBSTITUTE(LEFT(TRIM(C176),FIND(" ",TRIM(C176)&amp;" ")-1),",","."),FIND("/",SUBSTITUTE(LEFT(TRIM(C176),FIND(" ",TRIM(C176)&amp;" ")-1),",","."))-1)/MID(SUBSTITUTE(LEFT(TRIM(C176),FIND(" ",TRIM(C176)&amp;" ")-1),",","."),FIND("/",SUBSTITUTE(LEFT(TRIM(C176),FIND(" ",TRIM(C176)&amp;" ")-1),",","."))+1,9))*12,NA()))),0),60)*'Aturan &amp; Tarif'!$B$4,2)</f>
        <v>3406.8</v>
      </c>
      <c r="K176" s="32" t="n">
        <f aca="false">'Aturan &amp; Tarif'!$B$5</f>
        <v>2050</v>
      </c>
      <c r="L176" s="32" t="n">
        <f aca="false">'Aturan &amp; Tarif'!$B$6</f>
        <v>350</v>
      </c>
      <c r="M176" s="35" t="n">
        <f aca="false">I176+J176+K176+L176</f>
        <v>34506.8</v>
      </c>
      <c r="N176" s="37" t="s">
        <v>846</v>
      </c>
    </row>
    <row r="177" customFormat="false" ht="25.5" hidden="false" customHeight="true" outlineLevel="0" collapsed="false">
      <c r="A177" s="29"/>
      <c r="B177" s="30" t="s">
        <v>1348</v>
      </c>
      <c r="C177" s="31" t="s">
        <v>245</v>
      </c>
      <c r="D177" s="31" t="s">
        <v>108</v>
      </c>
      <c r="E177" s="32" t="n">
        <v>14275</v>
      </c>
      <c r="F177" s="32"/>
      <c r="G177" s="32" t="n">
        <v>150</v>
      </c>
      <c r="H177" s="33" t="n">
        <v>2</v>
      </c>
      <c r="I177" s="34" t="n">
        <f aca="false">E177*H177+N(F177)+N(G177)</f>
        <v>28700</v>
      </c>
      <c r="J177" s="32" t="n">
        <f aca="false">ROUND(IFERROR(ROUND(IF(OR(ISNUMBER(SEARCH("week",C177)),ISNUMBER(SEARCH("minggu",C177))),IFERROR(_xlfn.NUMBERVALUE(SUBSTITUTE(LEFT(TRIM(C177),FIND(" ",TRIM(C177)&amp;" ")-1),",","."),"."),LEFT(SUBSTITUTE(LEFT(TRIM(C177),FIND(" ",TRIM(C177)&amp;" ")-1),",","."),FIND("/",SUBSTITUTE(LEFT(TRIM(C177),FIND(" ",TRIM(C177)&amp;" ")-1),",","."))-1)/MID(SUBSTITUTE(LEFT(TRIM(C177),FIND(" ",TRIM(C177)&amp;" ")-1),",","."),FIND("/",SUBSTITUTE(LEFT(TRIM(C177),FIND(" ",TRIM(C177)&amp;" ")-1),",","."))+1,9))*12/52,IF(ISNUMBER(SEARCH("month",C177)),IFERROR(_xlfn.NUMBERVALUE(SUBSTITUTE(LEFT(TRIM(C177),FIND(" ",TRIM(C177)&amp;" ")-1),",","."),"."),LEFT(SUBSTITUTE(LEFT(TRIM(C177),FIND(" ",TRIM(C177)&amp;" ")-1),",","."),FIND("/",SUBSTITUTE(LEFT(TRIM(C177),FIND(" ",TRIM(C177)&amp;" ")-1),",","."))-1)/MID(SUBSTITUTE(LEFT(TRIM(C177),FIND(" ",TRIM(C177)&amp;" ")-1),",","."),FIND("/",SUBSTITUTE(LEFT(TRIM(C177),FIND(" ",TRIM(C177)&amp;" ")-1),",","."))+1,9)),IF(ISNUMBER(SEARCH("yea",C177)),IFERROR(_xlfn.NUMBERVALUE(SUBSTITUTE(LEFT(TRIM(C177),FIND(" ",TRIM(C177)&amp;" ")-1),",","."),"."),LEFT(SUBSTITUTE(LEFT(TRIM(C177),FIND(" ",TRIM(C177)&amp;" ")-1),",","."),FIND("/",SUBSTITUTE(LEFT(TRIM(C177),FIND(" ",TRIM(C177)&amp;" ")-1),",","."))-1)/MID(SUBSTITUTE(LEFT(TRIM(C177),FIND(" ",TRIM(C177)&amp;" ")-1),",","."),FIND("/",SUBSTITUTE(LEFT(TRIM(C177),FIND(" ",TRIM(C177)&amp;" ")-1),",","."))+1,9))*12,NA()))),0),60)*'Aturan &amp; Tarif'!$B$4,2)</f>
        <v>3406.8</v>
      </c>
      <c r="K177" s="32" t="n">
        <f aca="false">'Aturan &amp; Tarif'!$B$5</f>
        <v>2050</v>
      </c>
      <c r="L177" s="32" t="n">
        <f aca="false">'Aturan &amp; Tarif'!$B$6</f>
        <v>350</v>
      </c>
      <c r="M177" s="35" t="n">
        <f aca="false">I177+J177+K177+L177</f>
        <v>34506.8</v>
      </c>
      <c r="N177" s="37" t="s">
        <v>846</v>
      </c>
    </row>
    <row r="178" customFormat="false" ht="25.5" hidden="false" customHeight="true" outlineLevel="0" collapsed="false">
      <c r="A178" s="29"/>
      <c r="B178" s="30" t="s">
        <v>1349</v>
      </c>
      <c r="C178" s="31" t="s">
        <v>245</v>
      </c>
      <c r="D178" s="31" t="s">
        <v>108</v>
      </c>
      <c r="E178" s="32" t="n">
        <v>14275</v>
      </c>
      <c r="F178" s="32"/>
      <c r="G178" s="32" t="n">
        <v>150</v>
      </c>
      <c r="H178" s="33" t="n">
        <v>2</v>
      </c>
      <c r="I178" s="34" t="n">
        <f aca="false">E178*H178+N(F178)+N(G178)</f>
        <v>28700</v>
      </c>
      <c r="J178" s="32" t="n">
        <f aca="false">ROUND(IFERROR(ROUND(IF(OR(ISNUMBER(SEARCH("week",C178)),ISNUMBER(SEARCH("minggu",C178))),IFERROR(_xlfn.NUMBERVALUE(SUBSTITUTE(LEFT(TRIM(C178),FIND(" ",TRIM(C178)&amp;" ")-1),",","."),"."),LEFT(SUBSTITUTE(LEFT(TRIM(C178),FIND(" ",TRIM(C178)&amp;" ")-1),",","."),FIND("/",SUBSTITUTE(LEFT(TRIM(C178),FIND(" ",TRIM(C178)&amp;" ")-1),",","."))-1)/MID(SUBSTITUTE(LEFT(TRIM(C178),FIND(" ",TRIM(C178)&amp;" ")-1),",","."),FIND("/",SUBSTITUTE(LEFT(TRIM(C178),FIND(" ",TRIM(C178)&amp;" ")-1),",","."))+1,9))*12/52,IF(ISNUMBER(SEARCH("month",C178)),IFERROR(_xlfn.NUMBERVALUE(SUBSTITUTE(LEFT(TRIM(C178),FIND(" ",TRIM(C178)&amp;" ")-1),",","."),"."),LEFT(SUBSTITUTE(LEFT(TRIM(C178),FIND(" ",TRIM(C178)&amp;" ")-1),",","."),FIND("/",SUBSTITUTE(LEFT(TRIM(C178),FIND(" ",TRIM(C178)&amp;" ")-1),",","."))-1)/MID(SUBSTITUTE(LEFT(TRIM(C178),FIND(" ",TRIM(C178)&amp;" ")-1),",","."),FIND("/",SUBSTITUTE(LEFT(TRIM(C178),FIND(" ",TRIM(C178)&amp;" ")-1),",","."))+1,9)),IF(ISNUMBER(SEARCH("yea",C178)),IFERROR(_xlfn.NUMBERVALUE(SUBSTITUTE(LEFT(TRIM(C178),FIND(" ",TRIM(C178)&amp;" ")-1),",","."),"."),LEFT(SUBSTITUTE(LEFT(TRIM(C178),FIND(" ",TRIM(C178)&amp;" ")-1),",","."),FIND("/",SUBSTITUTE(LEFT(TRIM(C178),FIND(" ",TRIM(C178)&amp;" ")-1),",","."))-1)/MID(SUBSTITUTE(LEFT(TRIM(C178),FIND(" ",TRIM(C178)&amp;" ")-1),",","."),FIND("/",SUBSTITUTE(LEFT(TRIM(C178),FIND(" ",TRIM(C178)&amp;" ")-1),",","."))+1,9))*12,NA()))),0),60)*'Aturan &amp; Tarif'!$B$4,2)</f>
        <v>3406.8</v>
      </c>
      <c r="K178" s="32" t="n">
        <f aca="false">'Aturan &amp; Tarif'!$B$5</f>
        <v>2050</v>
      </c>
      <c r="L178" s="32" t="n">
        <f aca="false">'Aturan &amp; Tarif'!$B$6</f>
        <v>350</v>
      </c>
      <c r="M178" s="35" t="n">
        <f aca="false">I178+J178+K178+L178</f>
        <v>34506.8</v>
      </c>
      <c r="N178" s="37" t="s">
        <v>846</v>
      </c>
    </row>
    <row r="179" customFormat="false" ht="25.5" hidden="false" customHeight="true" outlineLevel="0" collapsed="false">
      <c r="A179" s="29"/>
      <c r="B179" s="30" t="s">
        <v>1350</v>
      </c>
      <c r="C179" s="31" t="s">
        <v>1351</v>
      </c>
      <c r="D179" s="31" t="s">
        <v>108</v>
      </c>
      <c r="E179" s="32" t="n">
        <v>14275</v>
      </c>
      <c r="F179" s="32"/>
      <c r="G179" s="32" t="n">
        <v>150</v>
      </c>
      <c r="H179" s="33" t="n">
        <v>2</v>
      </c>
      <c r="I179" s="34" t="n">
        <f aca="false">E179*H179+N(F179)+N(G179)</f>
        <v>28700</v>
      </c>
      <c r="J179" s="32" t="n">
        <f aca="false">ROUND(IFERROR(ROUND(IF(OR(ISNUMBER(SEARCH("week",C179)),ISNUMBER(SEARCH("minggu",C179))),IFERROR(_xlfn.NUMBERVALUE(SUBSTITUTE(LEFT(TRIM(C179),FIND(" ",TRIM(C179)&amp;" ")-1),",","."),"."),LEFT(SUBSTITUTE(LEFT(TRIM(C179),FIND(" ",TRIM(C179)&amp;" ")-1),",","."),FIND("/",SUBSTITUTE(LEFT(TRIM(C179),FIND(" ",TRIM(C179)&amp;" ")-1),",","."))-1)/MID(SUBSTITUTE(LEFT(TRIM(C179),FIND(" ",TRIM(C179)&amp;" ")-1),",","."),FIND("/",SUBSTITUTE(LEFT(TRIM(C179),FIND(" ",TRIM(C179)&amp;" ")-1),",","."))+1,9))*12/52,IF(ISNUMBER(SEARCH("month",C179)),IFERROR(_xlfn.NUMBERVALUE(SUBSTITUTE(LEFT(TRIM(C179),FIND(" ",TRIM(C179)&amp;" ")-1),",","."),"."),LEFT(SUBSTITUTE(LEFT(TRIM(C179),FIND(" ",TRIM(C179)&amp;" ")-1),",","."),FIND("/",SUBSTITUTE(LEFT(TRIM(C179),FIND(" ",TRIM(C179)&amp;" ")-1),",","."))-1)/MID(SUBSTITUTE(LEFT(TRIM(C179),FIND(" ",TRIM(C179)&amp;" ")-1),",","."),FIND("/",SUBSTITUTE(LEFT(TRIM(C179),FIND(" ",TRIM(C179)&amp;" ")-1),",","."))+1,9)),IF(ISNUMBER(SEARCH("yea",C179)),IFERROR(_xlfn.NUMBERVALUE(SUBSTITUTE(LEFT(TRIM(C179),FIND(" ",TRIM(C179)&amp;" ")-1),",","."),"."),LEFT(SUBSTITUTE(LEFT(TRIM(C179),FIND(" ",TRIM(C179)&amp;" ")-1),",","."),FIND("/",SUBSTITUTE(LEFT(TRIM(C179),FIND(" ",TRIM(C179)&amp;" ")-1),",","."))-1)/MID(SUBSTITUTE(LEFT(TRIM(C179),FIND(" ",TRIM(C179)&amp;" ")-1),",","."),FIND("/",SUBSTITUTE(LEFT(TRIM(C179),FIND(" ",TRIM(C179)&amp;" ")-1),",","."))+1,9))*12,NA()))),0),72)*'Aturan &amp; Tarif'!$B$4,2)</f>
        <v>4088.16</v>
      </c>
      <c r="K179" s="32" t="n">
        <f aca="false">'Aturan &amp; Tarif'!$B$5</f>
        <v>2050</v>
      </c>
      <c r="L179" s="32" t="n">
        <f aca="false">'Aturan &amp; Tarif'!$B$6</f>
        <v>350</v>
      </c>
      <c r="M179" s="35" t="n">
        <f aca="false">I179+J179+K179+L179</f>
        <v>35188.16</v>
      </c>
      <c r="N179" s="37" t="s">
        <v>846</v>
      </c>
    </row>
    <row r="180" customFormat="false" ht="25.5" hidden="false" customHeight="true" outlineLevel="0" collapsed="false">
      <c r="A180" s="29"/>
      <c r="B180" s="30" t="s">
        <v>1352</v>
      </c>
      <c r="C180" s="31" t="s">
        <v>245</v>
      </c>
      <c r="D180" s="31" t="s">
        <v>108</v>
      </c>
      <c r="E180" s="32" t="n">
        <v>14275</v>
      </c>
      <c r="F180" s="32"/>
      <c r="G180" s="32" t="n">
        <v>150</v>
      </c>
      <c r="H180" s="33" t="n">
        <v>2</v>
      </c>
      <c r="I180" s="34" t="n">
        <f aca="false">E180*H180+N(F180)+N(G180)</f>
        <v>28700</v>
      </c>
      <c r="J180" s="32" t="n">
        <f aca="false">ROUND(IFERROR(ROUND(IF(OR(ISNUMBER(SEARCH("week",C180)),ISNUMBER(SEARCH("minggu",C180))),IFERROR(_xlfn.NUMBERVALUE(SUBSTITUTE(LEFT(TRIM(C180),FIND(" ",TRIM(C180)&amp;" ")-1),",","."),"."),LEFT(SUBSTITUTE(LEFT(TRIM(C180),FIND(" ",TRIM(C180)&amp;" ")-1),",","."),FIND("/",SUBSTITUTE(LEFT(TRIM(C180),FIND(" ",TRIM(C180)&amp;" ")-1),",","."))-1)/MID(SUBSTITUTE(LEFT(TRIM(C180),FIND(" ",TRIM(C180)&amp;" ")-1),",","."),FIND("/",SUBSTITUTE(LEFT(TRIM(C180),FIND(" ",TRIM(C180)&amp;" ")-1),",","."))+1,9))*12/52,IF(ISNUMBER(SEARCH("month",C180)),IFERROR(_xlfn.NUMBERVALUE(SUBSTITUTE(LEFT(TRIM(C180),FIND(" ",TRIM(C180)&amp;" ")-1),",","."),"."),LEFT(SUBSTITUTE(LEFT(TRIM(C180),FIND(" ",TRIM(C180)&amp;" ")-1),",","."),FIND("/",SUBSTITUTE(LEFT(TRIM(C180),FIND(" ",TRIM(C180)&amp;" ")-1),",","."))-1)/MID(SUBSTITUTE(LEFT(TRIM(C180),FIND(" ",TRIM(C180)&amp;" ")-1),",","."),FIND("/",SUBSTITUTE(LEFT(TRIM(C180),FIND(" ",TRIM(C180)&amp;" ")-1),",","."))+1,9)),IF(ISNUMBER(SEARCH("yea",C180)),IFERROR(_xlfn.NUMBERVALUE(SUBSTITUTE(LEFT(TRIM(C180),FIND(" ",TRIM(C180)&amp;" ")-1),",","."),"."),LEFT(SUBSTITUTE(LEFT(TRIM(C180),FIND(" ",TRIM(C180)&amp;" ")-1),",","."),FIND("/",SUBSTITUTE(LEFT(TRIM(C180),FIND(" ",TRIM(C180)&amp;" ")-1),",","."))-1)/MID(SUBSTITUTE(LEFT(TRIM(C180),FIND(" ",TRIM(C180)&amp;" ")-1),",","."),FIND("/",SUBSTITUTE(LEFT(TRIM(C180),FIND(" ",TRIM(C180)&amp;" ")-1),",","."))+1,9))*12,NA()))),0),60)*'Aturan &amp; Tarif'!$B$4,2)</f>
        <v>3406.8</v>
      </c>
      <c r="K180" s="32" t="n">
        <f aca="false">'Aturan &amp; Tarif'!$B$5</f>
        <v>2050</v>
      </c>
      <c r="L180" s="32" t="n">
        <f aca="false">'Aturan &amp; Tarif'!$B$6</f>
        <v>350</v>
      </c>
      <c r="M180" s="35" t="n">
        <f aca="false">I180+J180+K180+L180</f>
        <v>34506.8</v>
      </c>
      <c r="N180" s="37" t="s">
        <v>846</v>
      </c>
    </row>
    <row r="181" customFormat="false" ht="25.5" hidden="false" customHeight="true" outlineLevel="0" collapsed="false">
      <c r="A181" s="29"/>
      <c r="B181" s="30" t="s">
        <v>1353</v>
      </c>
      <c r="C181" s="31" t="s">
        <v>245</v>
      </c>
      <c r="D181" s="31" t="s">
        <v>108</v>
      </c>
      <c r="E181" s="32" t="n">
        <v>14275</v>
      </c>
      <c r="F181" s="32"/>
      <c r="G181" s="32" t="n">
        <v>150</v>
      </c>
      <c r="H181" s="33" t="n">
        <v>2</v>
      </c>
      <c r="I181" s="34" t="n">
        <f aca="false">E181*H181+N(F181)+N(G181)</f>
        <v>28700</v>
      </c>
      <c r="J181" s="32" t="n">
        <f aca="false">ROUND(IFERROR(ROUND(IF(OR(ISNUMBER(SEARCH("week",C181)),ISNUMBER(SEARCH("minggu",C181))),IFERROR(_xlfn.NUMBERVALUE(SUBSTITUTE(LEFT(TRIM(C181),FIND(" ",TRIM(C181)&amp;" ")-1),",","."),"."),LEFT(SUBSTITUTE(LEFT(TRIM(C181),FIND(" ",TRIM(C181)&amp;" ")-1),",","."),FIND("/",SUBSTITUTE(LEFT(TRIM(C181),FIND(" ",TRIM(C181)&amp;" ")-1),",","."))-1)/MID(SUBSTITUTE(LEFT(TRIM(C181),FIND(" ",TRIM(C181)&amp;" ")-1),",","."),FIND("/",SUBSTITUTE(LEFT(TRIM(C181),FIND(" ",TRIM(C181)&amp;" ")-1),",","."))+1,9))*12/52,IF(ISNUMBER(SEARCH("month",C181)),IFERROR(_xlfn.NUMBERVALUE(SUBSTITUTE(LEFT(TRIM(C181),FIND(" ",TRIM(C181)&amp;" ")-1),",","."),"."),LEFT(SUBSTITUTE(LEFT(TRIM(C181),FIND(" ",TRIM(C181)&amp;" ")-1),",","."),FIND("/",SUBSTITUTE(LEFT(TRIM(C181),FIND(" ",TRIM(C181)&amp;" ")-1),",","."))-1)/MID(SUBSTITUTE(LEFT(TRIM(C181),FIND(" ",TRIM(C181)&amp;" ")-1),",","."),FIND("/",SUBSTITUTE(LEFT(TRIM(C181),FIND(" ",TRIM(C181)&amp;" ")-1),",","."))+1,9)),IF(ISNUMBER(SEARCH("yea",C181)),IFERROR(_xlfn.NUMBERVALUE(SUBSTITUTE(LEFT(TRIM(C181),FIND(" ",TRIM(C181)&amp;" ")-1),",","."),"."),LEFT(SUBSTITUTE(LEFT(TRIM(C181),FIND(" ",TRIM(C181)&amp;" ")-1),",","."),FIND("/",SUBSTITUTE(LEFT(TRIM(C181),FIND(" ",TRIM(C181)&amp;" ")-1),",","."))-1)/MID(SUBSTITUTE(LEFT(TRIM(C181),FIND(" ",TRIM(C181)&amp;" ")-1),",","."),FIND("/",SUBSTITUTE(LEFT(TRIM(C181),FIND(" ",TRIM(C181)&amp;" ")-1),",","."))+1,9))*12,NA()))),0),60)*'Aturan &amp; Tarif'!$B$4,2)</f>
        <v>3406.8</v>
      </c>
      <c r="K181" s="32" t="n">
        <f aca="false">'Aturan &amp; Tarif'!$B$5</f>
        <v>2050</v>
      </c>
      <c r="L181" s="32" t="n">
        <f aca="false">'Aturan &amp; Tarif'!$B$6</f>
        <v>350</v>
      </c>
      <c r="M181" s="35" t="n">
        <f aca="false">I181+J181+K181+L181</f>
        <v>34506.8</v>
      </c>
      <c r="N181" s="37" t="s">
        <v>846</v>
      </c>
    </row>
    <row r="182" customFormat="false" ht="25.5" hidden="false" customHeight="true" outlineLevel="0" collapsed="false">
      <c r="A182" s="29"/>
      <c r="B182" s="30" t="s">
        <v>1354</v>
      </c>
      <c r="C182" s="31" t="s">
        <v>245</v>
      </c>
      <c r="D182" s="31" t="s">
        <v>108</v>
      </c>
      <c r="E182" s="32" t="n">
        <v>14275</v>
      </c>
      <c r="F182" s="32"/>
      <c r="G182" s="32" t="n">
        <v>150</v>
      </c>
      <c r="H182" s="33" t="n">
        <v>2</v>
      </c>
      <c r="I182" s="34" t="n">
        <f aca="false">E182*H182+N(F182)+N(G182)</f>
        <v>28700</v>
      </c>
      <c r="J182" s="32" t="n">
        <f aca="false">ROUND(IFERROR(ROUND(IF(OR(ISNUMBER(SEARCH("week",C182)),ISNUMBER(SEARCH("minggu",C182))),IFERROR(_xlfn.NUMBERVALUE(SUBSTITUTE(LEFT(TRIM(C182),FIND(" ",TRIM(C182)&amp;" ")-1),",","."),"."),LEFT(SUBSTITUTE(LEFT(TRIM(C182),FIND(" ",TRIM(C182)&amp;" ")-1),",","."),FIND("/",SUBSTITUTE(LEFT(TRIM(C182),FIND(" ",TRIM(C182)&amp;" ")-1),",","."))-1)/MID(SUBSTITUTE(LEFT(TRIM(C182),FIND(" ",TRIM(C182)&amp;" ")-1),",","."),FIND("/",SUBSTITUTE(LEFT(TRIM(C182),FIND(" ",TRIM(C182)&amp;" ")-1),",","."))+1,9))*12/52,IF(ISNUMBER(SEARCH("month",C182)),IFERROR(_xlfn.NUMBERVALUE(SUBSTITUTE(LEFT(TRIM(C182),FIND(" ",TRIM(C182)&amp;" ")-1),",","."),"."),LEFT(SUBSTITUTE(LEFT(TRIM(C182),FIND(" ",TRIM(C182)&amp;" ")-1),",","."),FIND("/",SUBSTITUTE(LEFT(TRIM(C182),FIND(" ",TRIM(C182)&amp;" ")-1),",","."))-1)/MID(SUBSTITUTE(LEFT(TRIM(C182),FIND(" ",TRIM(C182)&amp;" ")-1),",","."),FIND("/",SUBSTITUTE(LEFT(TRIM(C182),FIND(" ",TRIM(C182)&amp;" ")-1),",","."))+1,9)),IF(ISNUMBER(SEARCH("yea",C182)),IFERROR(_xlfn.NUMBERVALUE(SUBSTITUTE(LEFT(TRIM(C182),FIND(" ",TRIM(C182)&amp;" ")-1),",","."),"."),LEFT(SUBSTITUTE(LEFT(TRIM(C182),FIND(" ",TRIM(C182)&amp;" ")-1),",","."),FIND("/",SUBSTITUTE(LEFT(TRIM(C182),FIND(" ",TRIM(C182)&amp;" ")-1),",","."))-1)/MID(SUBSTITUTE(LEFT(TRIM(C182),FIND(" ",TRIM(C182)&amp;" ")-1),",","."),FIND("/",SUBSTITUTE(LEFT(TRIM(C182),FIND(" ",TRIM(C182)&amp;" ")-1),",","."))+1,9))*12,NA()))),0),60)*'Aturan &amp; Tarif'!$B$4,2)</f>
        <v>3406.8</v>
      </c>
      <c r="K182" s="32" t="n">
        <f aca="false">'Aturan &amp; Tarif'!$B$5</f>
        <v>2050</v>
      </c>
      <c r="L182" s="32" t="n">
        <f aca="false">'Aturan &amp; Tarif'!$B$6</f>
        <v>350</v>
      </c>
      <c r="M182" s="35" t="n">
        <f aca="false">I182+J182+K182+L182</f>
        <v>34506.8</v>
      </c>
      <c r="N182" s="37" t="s">
        <v>846</v>
      </c>
    </row>
    <row r="183" customFormat="false" ht="25.5" hidden="false" customHeight="true" outlineLevel="0" collapsed="false">
      <c r="A183" s="29"/>
      <c r="B183" s="30" t="s">
        <v>1355</v>
      </c>
      <c r="C183" s="31" t="s">
        <v>245</v>
      </c>
      <c r="D183" s="31" t="s">
        <v>108</v>
      </c>
      <c r="E183" s="32" t="n">
        <v>14275</v>
      </c>
      <c r="F183" s="32"/>
      <c r="G183" s="32" t="n">
        <v>150</v>
      </c>
      <c r="H183" s="33" t="n">
        <v>2</v>
      </c>
      <c r="I183" s="34" t="n">
        <f aca="false">E183*H183+N(F183)+N(G183)</f>
        <v>28700</v>
      </c>
      <c r="J183" s="32" t="n">
        <f aca="false">ROUND(IFERROR(ROUND(IF(OR(ISNUMBER(SEARCH("week",C183)),ISNUMBER(SEARCH("minggu",C183))),IFERROR(_xlfn.NUMBERVALUE(SUBSTITUTE(LEFT(TRIM(C183),FIND(" ",TRIM(C183)&amp;" ")-1),",","."),"."),LEFT(SUBSTITUTE(LEFT(TRIM(C183),FIND(" ",TRIM(C183)&amp;" ")-1),",","."),FIND("/",SUBSTITUTE(LEFT(TRIM(C183),FIND(" ",TRIM(C183)&amp;" ")-1),",","."))-1)/MID(SUBSTITUTE(LEFT(TRIM(C183),FIND(" ",TRIM(C183)&amp;" ")-1),",","."),FIND("/",SUBSTITUTE(LEFT(TRIM(C183),FIND(" ",TRIM(C183)&amp;" ")-1),",","."))+1,9))*12/52,IF(ISNUMBER(SEARCH("month",C183)),IFERROR(_xlfn.NUMBERVALUE(SUBSTITUTE(LEFT(TRIM(C183),FIND(" ",TRIM(C183)&amp;" ")-1),",","."),"."),LEFT(SUBSTITUTE(LEFT(TRIM(C183),FIND(" ",TRIM(C183)&amp;" ")-1),",","."),FIND("/",SUBSTITUTE(LEFT(TRIM(C183),FIND(" ",TRIM(C183)&amp;" ")-1),",","."))-1)/MID(SUBSTITUTE(LEFT(TRIM(C183),FIND(" ",TRIM(C183)&amp;" ")-1),",","."),FIND("/",SUBSTITUTE(LEFT(TRIM(C183),FIND(" ",TRIM(C183)&amp;" ")-1),",","."))+1,9)),IF(ISNUMBER(SEARCH("yea",C183)),IFERROR(_xlfn.NUMBERVALUE(SUBSTITUTE(LEFT(TRIM(C183),FIND(" ",TRIM(C183)&amp;" ")-1),",","."),"."),LEFT(SUBSTITUTE(LEFT(TRIM(C183),FIND(" ",TRIM(C183)&amp;" ")-1),",","."),FIND("/",SUBSTITUTE(LEFT(TRIM(C183),FIND(" ",TRIM(C183)&amp;" ")-1),",","."))-1)/MID(SUBSTITUTE(LEFT(TRIM(C183),FIND(" ",TRIM(C183)&amp;" ")-1),",","."),FIND("/",SUBSTITUTE(LEFT(TRIM(C183),FIND(" ",TRIM(C183)&amp;" ")-1),",","."))+1,9))*12,NA()))),0),60)*'Aturan &amp; Tarif'!$B$4,2)</f>
        <v>3406.8</v>
      </c>
      <c r="K183" s="32" t="n">
        <f aca="false">'Aturan &amp; Tarif'!$B$5</f>
        <v>2050</v>
      </c>
      <c r="L183" s="32" t="n">
        <f aca="false">'Aturan &amp; Tarif'!$B$6</f>
        <v>350</v>
      </c>
      <c r="M183" s="35" t="n">
        <f aca="false">I183+J183+K183+L183</f>
        <v>34506.8</v>
      </c>
      <c r="N183" s="37" t="s">
        <v>846</v>
      </c>
    </row>
    <row r="184" customFormat="false" ht="14.25" hidden="false" customHeight="true" outlineLevel="0" collapsed="false">
      <c r="A184" s="29"/>
      <c r="B184" s="30" t="s">
        <v>1356</v>
      </c>
      <c r="C184" s="31" t="s">
        <v>127</v>
      </c>
      <c r="D184" s="31" t="s">
        <v>108</v>
      </c>
      <c r="E184" s="32" t="n">
        <v>13725</v>
      </c>
      <c r="F184" s="32"/>
      <c r="G184" s="32" t="n">
        <v>150</v>
      </c>
      <c r="H184" s="33" t="n">
        <v>2</v>
      </c>
      <c r="I184" s="34" t="n">
        <f aca="false">E184*H184+N(F184)+N(G184)</f>
        <v>27600</v>
      </c>
      <c r="J184" s="32" t="n">
        <f aca="false">ROUND(IFERROR(ROUND(IF(OR(ISNUMBER(SEARCH("week",C184)),ISNUMBER(SEARCH("minggu",C184))),IFERROR(_xlfn.NUMBERVALUE(SUBSTITUTE(LEFT(TRIM(C184),FIND(" ",TRIM(C184)&amp;" ")-1),",","."),"."),LEFT(SUBSTITUTE(LEFT(TRIM(C184),FIND(" ",TRIM(C184)&amp;" ")-1),",","."),FIND("/",SUBSTITUTE(LEFT(TRIM(C184),FIND(" ",TRIM(C184)&amp;" ")-1),",","."))-1)/MID(SUBSTITUTE(LEFT(TRIM(C184),FIND(" ",TRIM(C184)&amp;" ")-1),",","."),FIND("/",SUBSTITUTE(LEFT(TRIM(C184),FIND(" ",TRIM(C184)&amp;" ")-1),",","."))+1,9))*12/52,IF(ISNUMBER(SEARCH("month",C184)),IFERROR(_xlfn.NUMBERVALUE(SUBSTITUTE(LEFT(TRIM(C184),FIND(" ",TRIM(C184)&amp;" ")-1),",","."),"."),LEFT(SUBSTITUTE(LEFT(TRIM(C184),FIND(" ",TRIM(C184)&amp;" ")-1),",","."),FIND("/",SUBSTITUTE(LEFT(TRIM(C184),FIND(" ",TRIM(C184)&amp;" ")-1),",","."))-1)/MID(SUBSTITUTE(LEFT(TRIM(C184),FIND(" ",TRIM(C184)&amp;" ")-1),",","."),FIND("/",SUBSTITUTE(LEFT(TRIM(C184),FIND(" ",TRIM(C184)&amp;" ")-1),",","."))+1,9)),IF(ISNUMBER(SEARCH("yea",C184)),IFERROR(_xlfn.NUMBERVALUE(SUBSTITUTE(LEFT(TRIM(C184),FIND(" ",TRIM(C184)&amp;" ")-1),",","."),"."),LEFT(SUBSTITUTE(LEFT(TRIM(C184),FIND(" ",TRIM(C184)&amp;" ")-1),",","."),FIND("/",SUBSTITUTE(LEFT(TRIM(C184),FIND(" ",TRIM(C184)&amp;" ")-1),",","."))-1)/MID(SUBSTITUTE(LEFT(TRIM(C184),FIND(" ",TRIM(C184)&amp;" ")-1),",","."),FIND("/",SUBSTITUTE(LEFT(TRIM(C184),FIND(" ",TRIM(C184)&amp;" ")-1),",","."))+1,9))*12,NA()))),0),36)*'Aturan &amp; Tarif'!$B$4,2)</f>
        <v>2044.08</v>
      </c>
      <c r="K184" s="32" t="n">
        <f aca="false">'Aturan &amp; Tarif'!$B$5</f>
        <v>2050</v>
      </c>
      <c r="L184" s="32" t="n">
        <f aca="false">'Aturan &amp; Tarif'!$B$6</f>
        <v>350</v>
      </c>
      <c r="M184" s="35" t="n">
        <f aca="false">I184+J184+K184+L184</f>
        <v>32044.08</v>
      </c>
      <c r="N184" s="37" t="s">
        <v>1357</v>
      </c>
    </row>
    <row r="185" customFormat="false" ht="25.5" hidden="false" customHeight="true" outlineLevel="0" collapsed="false">
      <c r="A185" s="29"/>
      <c r="B185" s="30" t="s">
        <v>1358</v>
      </c>
      <c r="C185" s="31" t="s">
        <v>127</v>
      </c>
      <c r="D185" s="31" t="s">
        <v>108</v>
      </c>
      <c r="E185" s="32" t="n">
        <v>13725</v>
      </c>
      <c r="F185" s="32"/>
      <c r="G185" s="32" t="n">
        <v>150</v>
      </c>
      <c r="H185" s="33" t="n">
        <v>2</v>
      </c>
      <c r="I185" s="34" t="n">
        <f aca="false">E185*H185+N(F185)+N(G185)</f>
        <v>27600</v>
      </c>
      <c r="J185" s="32" t="n">
        <f aca="false">ROUND(IFERROR(ROUND(IF(OR(ISNUMBER(SEARCH("week",C185)),ISNUMBER(SEARCH("minggu",C185))),IFERROR(_xlfn.NUMBERVALUE(SUBSTITUTE(LEFT(TRIM(C185),FIND(" ",TRIM(C185)&amp;" ")-1),",","."),"."),LEFT(SUBSTITUTE(LEFT(TRIM(C185),FIND(" ",TRIM(C185)&amp;" ")-1),",","."),FIND("/",SUBSTITUTE(LEFT(TRIM(C185),FIND(" ",TRIM(C185)&amp;" ")-1),",","."))-1)/MID(SUBSTITUTE(LEFT(TRIM(C185),FIND(" ",TRIM(C185)&amp;" ")-1),",","."),FIND("/",SUBSTITUTE(LEFT(TRIM(C185),FIND(" ",TRIM(C185)&amp;" ")-1),",","."))+1,9))*12/52,IF(ISNUMBER(SEARCH("month",C185)),IFERROR(_xlfn.NUMBERVALUE(SUBSTITUTE(LEFT(TRIM(C185),FIND(" ",TRIM(C185)&amp;" ")-1),",","."),"."),LEFT(SUBSTITUTE(LEFT(TRIM(C185),FIND(" ",TRIM(C185)&amp;" ")-1),",","."),FIND("/",SUBSTITUTE(LEFT(TRIM(C185),FIND(" ",TRIM(C185)&amp;" ")-1),",","."))-1)/MID(SUBSTITUTE(LEFT(TRIM(C185),FIND(" ",TRIM(C185)&amp;" ")-1),",","."),FIND("/",SUBSTITUTE(LEFT(TRIM(C185),FIND(" ",TRIM(C185)&amp;" ")-1),",","."))+1,9)),IF(ISNUMBER(SEARCH("yea",C185)),IFERROR(_xlfn.NUMBERVALUE(SUBSTITUTE(LEFT(TRIM(C185),FIND(" ",TRIM(C185)&amp;" ")-1),",","."),"."),LEFT(SUBSTITUTE(LEFT(TRIM(C185),FIND(" ",TRIM(C185)&amp;" ")-1),",","."),FIND("/",SUBSTITUTE(LEFT(TRIM(C185),FIND(" ",TRIM(C185)&amp;" ")-1),",","."))-1)/MID(SUBSTITUTE(LEFT(TRIM(C185),FIND(" ",TRIM(C185)&amp;" ")-1),",","."),FIND("/",SUBSTITUTE(LEFT(TRIM(C185),FIND(" ",TRIM(C185)&amp;" ")-1),",","."))+1,9))*12,NA()))),0),36)*'Aturan &amp; Tarif'!$B$4,2)</f>
        <v>2044.08</v>
      </c>
      <c r="K185" s="32" t="n">
        <f aca="false">'Aturan &amp; Tarif'!$B$5</f>
        <v>2050</v>
      </c>
      <c r="L185" s="32" t="n">
        <f aca="false">'Aturan &amp; Tarif'!$B$6</f>
        <v>350</v>
      </c>
      <c r="M185" s="35" t="n">
        <f aca="false">I185+J185+K185+L185</f>
        <v>32044.08</v>
      </c>
      <c r="N185" s="37" t="s">
        <v>1357</v>
      </c>
    </row>
    <row r="186" customFormat="false" ht="25.5" hidden="false" customHeight="true" outlineLevel="0" collapsed="false">
      <c r="A186" s="29"/>
      <c r="B186" s="30" t="s">
        <v>1359</v>
      </c>
      <c r="C186" s="31" t="s">
        <v>127</v>
      </c>
      <c r="D186" s="31" t="s">
        <v>108</v>
      </c>
      <c r="E186" s="32" t="n">
        <v>13725</v>
      </c>
      <c r="F186" s="32"/>
      <c r="G186" s="32" t="n">
        <v>150</v>
      </c>
      <c r="H186" s="33" t="n">
        <v>2</v>
      </c>
      <c r="I186" s="34" t="n">
        <f aca="false">E186*H186+N(F186)+N(G186)</f>
        <v>27600</v>
      </c>
      <c r="J186" s="32" t="n">
        <f aca="false">ROUND(IFERROR(ROUND(IF(OR(ISNUMBER(SEARCH("week",C186)),ISNUMBER(SEARCH("minggu",C186))),IFERROR(_xlfn.NUMBERVALUE(SUBSTITUTE(LEFT(TRIM(C186),FIND(" ",TRIM(C186)&amp;" ")-1),",","."),"."),LEFT(SUBSTITUTE(LEFT(TRIM(C186),FIND(" ",TRIM(C186)&amp;" ")-1),",","."),FIND("/",SUBSTITUTE(LEFT(TRIM(C186),FIND(" ",TRIM(C186)&amp;" ")-1),",","."))-1)/MID(SUBSTITUTE(LEFT(TRIM(C186),FIND(" ",TRIM(C186)&amp;" ")-1),",","."),FIND("/",SUBSTITUTE(LEFT(TRIM(C186),FIND(" ",TRIM(C186)&amp;" ")-1),",","."))+1,9))*12/52,IF(ISNUMBER(SEARCH("month",C186)),IFERROR(_xlfn.NUMBERVALUE(SUBSTITUTE(LEFT(TRIM(C186),FIND(" ",TRIM(C186)&amp;" ")-1),",","."),"."),LEFT(SUBSTITUTE(LEFT(TRIM(C186),FIND(" ",TRIM(C186)&amp;" ")-1),",","."),FIND("/",SUBSTITUTE(LEFT(TRIM(C186),FIND(" ",TRIM(C186)&amp;" ")-1),",","."))-1)/MID(SUBSTITUTE(LEFT(TRIM(C186),FIND(" ",TRIM(C186)&amp;" ")-1),",","."),FIND("/",SUBSTITUTE(LEFT(TRIM(C186),FIND(" ",TRIM(C186)&amp;" ")-1),",","."))+1,9)),IF(ISNUMBER(SEARCH("yea",C186)),IFERROR(_xlfn.NUMBERVALUE(SUBSTITUTE(LEFT(TRIM(C186),FIND(" ",TRIM(C186)&amp;" ")-1),",","."),"."),LEFT(SUBSTITUTE(LEFT(TRIM(C186),FIND(" ",TRIM(C186)&amp;" ")-1),",","."),FIND("/",SUBSTITUTE(LEFT(TRIM(C186),FIND(" ",TRIM(C186)&amp;" ")-1),",","."))-1)/MID(SUBSTITUTE(LEFT(TRIM(C186),FIND(" ",TRIM(C186)&amp;" ")-1),",","."),FIND("/",SUBSTITUTE(LEFT(TRIM(C186),FIND(" ",TRIM(C186)&amp;" ")-1),",","."))+1,9))*12,NA()))),0),36)*'Aturan &amp; Tarif'!$B$4,2)</f>
        <v>2044.08</v>
      </c>
      <c r="K186" s="32" t="n">
        <f aca="false">'Aturan &amp; Tarif'!$B$5</f>
        <v>2050</v>
      </c>
      <c r="L186" s="32" t="n">
        <f aca="false">'Aturan &amp; Tarif'!$B$6</f>
        <v>350</v>
      </c>
      <c r="M186" s="35" t="n">
        <f aca="false">I186+J186+K186+L186</f>
        <v>32044.08</v>
      </c>
      <c r="N186" s="37" t="s">
        <v>1357</v>
      </c>
    </row>
    <row r="187" customFormat="false" ht="25.5" hidden="false" customHeight="true" outlineLevel="0" collapsed="false">
      <c r="A187" s="29"/>
      <c r="B187" s="30" t="s">
        <v>1360</v>
      </c>
      <c r="C187" s="31" t="s">
        <v>127</v>
      </c>
      <c r="D187" s="31" t="s">
        <v>108</v>
      </c>
      <c r="E187" s="32" t="n">
        <v>13725</v>
      </c>
      <c r="F187" s="32"/>
      <c r="G187" s="32" t="n">
        <v>150</v>
      </c>
      <c r="H187" s="33" t="n">
        <v>2</v>
      </c>
      <c r="I187" s="34" t="n">
        <f aca="false">E187*H187+N(F187)+N(G187)</f>
        <v>27600</v>
      </c>
      <c r="J187" s="32" t="n">
        <f aca="false">ROUND(IFERROR(ROUND(IF(OR(ISNUMBER(SEARCH("week",C187)),ISNUMBER(SEARCH("minggu",C187))),IFERROR(_xlfn.NUMBERVALUE(SUBSTITUTE(LEFT(TRIM(C187),FIND(" ",TRIM(C187)&amp;" ")-1),",","."),"."),LEFT(SUBSTITUTE(LEFT(TRIM(C187),FIND(" ",TRIM(C187)&amp;" ")-1),",","."),FIND("/",SUBSTITUTE(LEFT(TRIM(C187),FIND(" ",TRIM(C187)&amp;" ")-1),",","."))-1)/MID(SUBSTITUTE(LEFT(TRIM(C187),FIND(" ",TRIM(C187)&amp;" ")-1),",","."),FIND("/",SUBSTITUTE(LEFT(TRIM(C187),FIND(" ",TRIM(C187)&amp;" ")-1),",","."))+1,9))*12/52,IF(ISNUMBER(SEARCH("month",C187)),IFERROR(_xlfn.NUMBERVALUE(SUBSTITUTE(LEFT(TRIM(C187),FIND(" ",TRIM(C187)&amp;" ")-1),",","."),"."),LEFT(SUBSTITUTE(LEFT(TRIM(C187),FIND(" ",TRIM(C187)&amp;" ")-1),",","."),FIND("/",SUBSTITUTE(LEFT(TRIM(C187),FIND(" ",TRIM(C187)&amp;" ")-1),",","."))-1)/MID(SUBSTITUTE(LEFT(TRIM(C187),FIND(" ",TRIM(C187)&amp;" ")-1),",","."),FIND("/",SUBSTITUTE(LEFT(TRIM(C187),FIND(" ",TRIM(C187)&amp;" ")-1),",","."))+1,9)),IF(ISNUMBER(SEARCH("yea",C187)),IFERROR(_xlfn.NUMBERVALUE(SUBSTITUTE(LEFT(TRIM(C187),FIND(" ",TRIM(C187)&amp;" ")-1),",","."),"."),LEFT(SUBSTITUTE(LEFT(TRIM(C187),FIND(" ",TRIM(C187)&amp;" ")-1),",","."),FIND("/",SUBSTITUTE(LEFT(TRIM(C187),FIND(" ",TRIM(C187)&amp;" ")-1),",","."))-1)/MID(SUBSTITUTE(LEFT(TRIM(C187),FIND(" ",TRIM(C187)&amp;" ")-1),",","."),FIND("/",SUBSTITUTE(LEFT(TRIM(C187),FIND(" ",TRIM(C187)&amp;" ")-1),",","."))+1,9))*12,NA()))),0),36)*'Aturan &amp; Tarif'!$B$4,2)</f>
        <v>2044.08</v>
      </c>
      <c r="K187" s="32" t="n">
        <f aca="false">'Aturan &amp; Tarif'!$B$5</f>
        <v>2050</v>
      </c>
      <c r="L187" s="32" t="n">
        <f aca="false">'Aturan &amp; Tarif'!$B$6</f>
        <v>350</v>
      </c>
      <c r="M187" s="35" t="n">
        <f aca="false">I187+J187+K187+L187</f>
        <v>32044.08</v>
      </c>
      <c r="N187" s="37" t="s">
        <v>1357</v>
      </c>
    </row>
    <row r="188" customFormat="false" ht="25.5" hidden="false" customHeight="true" outlineLevel="0" collapsed="false">
      <c r="A188" s="29"/>
      <c r="B188" s="30" t="s">
        <v>1361</v>
      </c>
      <c r="C188" s="31" t="s">
        <v>127</v>
      </c>
      <c r="D188" s="31" t="s">
        <v>108</v>
      </c>
      <c r="E188" s="32" t="n">
        <v>13725</v>
      </c>
      <c r="F188" s="32"/>
      <c r="G188" s="32" t="n">
        <v>150</v>
      </c>
      <c r="H188" s="33" t="n">
        <v>2</v>
      </c>
      <c r="I188" s="34" t="n">
        <f aca="false">E188*H188+N(F188)+N(G188)</f>
        <v>27600</v>
      </c>
      <c r="J188" s="32" t="n">
        <f aca="false">ROUND(IFERROR(ROUND(IF(OR(ISNUMBER(SEARCH("week",C188)),ISNUMBER(SEARCH("minggu",C188))),IFERROR(_xlfn.NUMBERVALUE(SUBSTITUTE(LEFT(TRIM(C188),FIND(" ",TRIM(C188)&amp;" ")-1),",","."),"."),LEFT(SUBSTITUTE(LEFT(TRIM(C188),FIND(" ",TRIM(C188)&amp;" ")-1),",","."),FIND("/",SUBSTITUTE(LEFT(TRIM(C188),FIND(" ",TRIM(C188)&amp;" ")-1),",","."))-1)/MID(SUBSTITUTE(LEFT(TRIM(C188),FIND(" ",TRIM(C188)&amp;" ")-1),",","."),FIND("/",SUBSTITUTE(LEFT(TRIM(C188),FIND(" ",TRIM(C188)&amp;" ")-1),",","."))+1,9))*12/52,IF(ISNUMBER(SEARCH("month",C188)),IFERROR(_xlfn.NUMBERVALUE(SUBSTITUTE(LEFT(TRIM(C188),FIND(" ",TRIM(C188)&amp;" ")-1),",","."),"."),LEFT(SUBSTITUTE(LEFT(TRIM(C188),FIND(" ",TRIM(C188)&amp;" ")-1),",","."),FIND("/",SUBSTITUTE(LEFT(TRIM(C188),FIND(" ",TRIM(C188)&amp;" ")-1),",","."))-1)/MID(SUBSTITUTE(LEFT(TRIM(C188),FIND(" ",TRIM(C188)&amp;" ")-1),",","."),FIND("/",SUBSTITUTE(LEFT(TRIM(C188),FIND(" ",TRIM(C188)&amp;" ")-1),",","."))+1,9)),IF(ISNUMBER(SEARCH("yea",C188)),IFERROR(_xlfn.NUMBERVALUE(SUBSTITUTE(LEFT(TRIM(C188),FIND(" ",TRIM(C188)&amp;" ")-1),",","."),"."),LEFT(SUBSTITUTE(LEFT(TRIM(C188),FIND(" ",TRIM(C188)&amp;" ")-1),",","."),FIND("/",SUBSTITUTE(LEFT(TRIM(C188),FIND(" ",TRIM(C188)&amp;" ")-1),",","."))-1)/MID(SUBSTITUTE(LEFT(TRIM(C188),FIND(" ",TRIM(C188)&amp;" ")-1),",","."),FIND("/",SUBSTITUTE(LEFT(TRIM(C188),FIND(" ",TRIM(C188)&amp;" ")-1),",","."))+1,9))*12,NA()))),0),36)*'Aturan &amp; Tarif'!$B$4,2)</f>
        <v>2044.08</v>
      </c>
      <c r="K188" s="32" t="n">
        <f aca="false">'Aturan &amp; Tarif'!$B$5</f>
        <v>2050</v>
      </c>
      <c r="L188" s="32" t="n">
        <f aca="false">'Aturan &amp; Tarif'!$B$6</f>
        <v>350</v>
      </c>
      <c r="M188" s="35" t="n">
        <f aca="false">I188+J188+K188+L188</f>
        <v>32044.08</v>
      </c>
      <c r="N188" s="37" t="s">
        <v>1357</v>
      </c>
    </row>
    <row r="189" customFormat="false" ht="14.25" hidden="false" customHeight="true" outlineLevel="0" collapsed="false">
      <c r="A189" s="29"/>
      <c r="B189" s="30" t="s">
        <v>1362</v>
      </c>
      <c r="C189" s="31" t="s">
        <v>191</v>
      </c>
      <c r="D189" s="31" t="s">
        <v>108</v>
      </c>
      <c r="E189" s="32" t="n">
        <v>14275</v>
      </c>
      <c r="F189" s="32"/>
      <c r="G189" s="32" t="n">
        <v>150</v>
      </c>
      <c r="H189" s="33" t="n">
        <v>2</v>
      </c>
      <c r="I189" s="34" t="n">
        <f aca="false">E189*H189+N(F189)+N(G189)</f>
        <v>28700</v>
      </c>
      <c r="J189" s="32" t="n">
        <f aca="false">ROUND(IFERROR(ROUND(IF(OR(ISNUMBER(SEARCH("week",C189)),ISNUMBER(SEARCH("minggu",C189))),IFERROR(_xlfn.NUMBERVALUE(SUBSTITUTE(LEFT(TRIM(C189),FIND(" ",TRIM(C189)&amp;" ")-1),",","."),"."),LEFT(SUBSTITUTE(LEFT(TRIM(C189),FIND(" ",TRIM(C189)&amp;" ")-1),",","."),FIND("/",SUBSTITUTE(LEFT(TRIM(C189),FIND(" ",TRIM(C189)&amp;" ")-1),",","."))-1)/MID(SUBSTITUTE(LEFT(TRIM(C189),FIND(" ",TRIM(C189)&amp;" ")-1),",","."),FIND("/",SUBSTITUTE(LEFT(TRIM(C189),FIND(" ",TRIM(C189)&amp;" ")-1),",","."))+1,9))*12/52,IF(ISNUMBER(SEARCH("month",C189)),IFERROR(_xlfn.NUMBERVALUE(SUBSTITUTE(LEFT(TRIM(C189),FIND(" ",TRIM(C189)&amp;" ")-1),",","."),"."),LEFT(SUBSTITUTE(LEFT(TRIM(C189),FIND(" ",TRIM(C189)&amp;" ")-1),",","."),FIND("/",SUBSTITUTE(LEFT(TRIM(C189),FIND(" ",TRIM(C189)&amp;" ")-1),",","."))-1)/MID(SUBSTITUTE(LEFT(TRIM(C189),FIND(" ",TRIM(C189)&amp;" ")-1),",","."),FIND("/",SUBSTITUTE(LEFT(TRIM(C189),FIND(" ",TRIM(C189)&amp;" ")-1),",","."))+1,9)),IF(ISNUMBER(SEARCH("yea",C189)),IFERROR(_xlfn.NUMBERVALUE(SUBSTITUTE(LEFT(TRIM(C189),FIND(" ",TRIM(C189)&amp;" ")-1),",","."),"."),LEFT(SUBSTITUTE(LEFT(TRIM(C189),FIND(" ",TRIM(C189)&amp;" ")-1),",","."),FIND("/",SUBSTITUTE(LEFT(TRIM(C189),FIND(" ",TRIM(C189)&amp;" ")-1),",","."))-1)/MID(SUBSTITUTE(LEFT(TRIM(C189),FIND(" ",TRIM(C189)&amp;" ")-1),",","."),FIND("/",SUBSTITUTE(LEFT(TRIM(C189),FIND(" ",TRIM(C189)&amp;" ")-1),",","."))+1,9))*12,NA()))),0),48)*'Aturan &amp; Tarif'!$B$4,2)</f>
        <v>2725.44</v>
      </c>
      <c r="K189" s="32" t="n">
        <f aca="false">'Aturan &amp; Tarif'!$B$5</f>
        <v>2050</v>
      </c>
      <c r="L189" s="32" t="n">
        <f aca="false">'Aturan &amp; Tarif'!$B$6</f>
        <v>350</v>
      </c>
      <c r="M189" s="35" t="n">
        <f aca="false">I189+J189+K189+L189</f>
        <v>33825.44</v>
      </c>
      <c r="N189" s="37" t="s">
        <v>1363</v>
      </c>
    </row>
    <row r="190" customFormat="false" ht="25.5" hidden="false" customHeight="true" outlineLevel="0" collapsed="false">
      <c r="A190" s="29"/>
      <c r="B190" s="30" t="s">
        <v>1364</v>
      </c>
      <c r="C190" s="31" t="s">
        <v>191</v>
      </c>
      <c r="D190" s="31" t="s">
        <v>108</v>
      </c>
      <c r="E190" s="32" t="n">
        <v>14275</v>
      </c>
      <c r="F190" s="32"/>
      <c r="G190" s="32" t="n">
        <v>150</v>
      </c>
      <c r="H190" s="33" t="n">
        <v>2</v>
      </c>
      <c r="I190" s="34" t="n">
        <f aca="false">E190*H190+N(F190)+N(G190)</f>
        <v>28700</v>
      </c>
      <c r="J190" s="32" t="n">
        <f aca="false">ROUND(IFERROR(ROUND(IF(OR(ISNUMBER(SEARCH("week",C190)),ISNUMBER(SEARCH("minggu",C190))),IFERROR(_xlfn.NUMBERVALUE(SUBSTITUTE(LEFT(TRIM(C190),FIND(" ",TRIM(C190)&amp;" ")-1),",","."),"."),LEFT(SUBSTITUTE(LEFT(TRIM(C190),FIND(" ",TRIM(C190)&amp;" ")-1),",","."),FIND("/",SUBSTITUTE(LEFT(TRIM(C190),FIND(" ",TRIM(C190)&amp;" ")-1),",","."))-1)/MID(SUBSTITUTE(LEFT(TRIM(C190),FIND(" ",TRIM(C190)&amp;" ")-1),",","."),FIND("/",SUBSTITUTE(LEFT(TRIM(C190),FIND(" ",TRIM(C190)&amp;" ")-1),",","."))+1,9))*12/52,IF(ISNUMBER(SEARCH("month",C190)),IFERROR(_xlfn.NUMBERVALUE(SUBSTITUTE(LEFT(TRIM(C190),FIND(" ",TRIM(C190)&amp;" ")-1),",","."),"."),LEFT(SUBSTITUTE(LEFT(TRIM(C190),FIND(" ",TRIM(C190)&amp;" ")-1),",","."),FIND("/",SUBSTITUTE(LEFT(TRIM(C190),FIND(" ",TRIM(C190)&amp;" ")-1),",","."))-1)/MID(SUBSTITUTE(LEFT(TRIM(C190),FIND(" ",TRIM(C190)&amp;" ")-1),",","."),FIND("/",SUBSTITUTE(LEFT(TRIM(C190),FIND(" ",TRIM(C190)&amp;" ")-1),",","."))+1,9)),IF(ISNUMBER(SEARCH("yea",C190)),IFERROR(_xlfn.NUMBERVALUE(SUBSTITUTE(LEFT(TRIM(C190),FIND(" ",TRIM(C190)&amp;" ")-1),",","."),"."),LEFT(SUBSTITUTE(LEFT(TRIM(C190),FIND(" ",TRIM(C190)&amp;" ")-1),",","."),FIND("/",SUBSTITUTE(LEFT(TRIM(C190),FIND(" ",TRIM(C190)&amp;" ")-1),",","."))-1)/MID(SUBSTITUTE(LEFT(TRIM(C190),FIND(" ",TRIM(C190)&amp;" ")-1),",","."),FIND("/",SUBSTITUTE(LEFT(TRIM(C190),FIND(" ",TRIM(C190)&amp;" ")-1),",","."))+1,9))*12,NA()))),0),48)*'Aturan &amp; Tarif'!$B$4,2)</f>
        <v>2725.44</v>
      </c>
      <c r="K190" s="32" t="n">
        <f aca="false">'Aturan &amp; Tarif'!$B$5</f>
        <v>2050</v>
      </c>
      <c r="L190" s="32" t="n">
        <f aca="false">'Aturan &amp; Tarif'!$B$6</f>
        <v>350</v>
      </c>
      <c r="M190" s="35" t="n">
        <f aca="false">I190+J190+K190+L190</f>
        <v>33825.44</v>
      </c>
      <c r="N190" s="37" t="s">
        <v>1363</v>
      </c>
    </row>
    <row r="191" customFormat="false" ht="25.5" hidden="false" customHeight="true" outlineLevel="0" collapsed="false">
      <c r="A191" s="29"/>
      <c r="B191" s="30" t="s">
        <v>1365</v>
      </c>
      <c r="C191" s="31" t="s">
        <v>191</v>
      </c>
      <c r="D191" s="31" t="s">
        <v>108</v>
      </c>
      <c r="E191" s="32" t="n">
        <v>14275</v>
      </c>
      <c r="F191" s="32"/>
      <c r="G191" s="32" t="n">
        <v>150</v>
      </c>
      <c r="H191" s="33" t="n">
        <v>2</v>
      </c>
      <c r="I191" s="34" t="n">
        <f aca="false">E191*H191+N(F191)+N(G191)</f>
        <v>28700</v>
      </c>
      <c r="J191" s="32" t="n">
        <f aca="false">ROUND(IFERROR(ROUND(IF(OR(ISNUMBER(SEARCH("week",C191)),ISNUMBER(SEARCH("minggu",C191))),IFERROR(_xlfn.NUMBERVALUE(SUBSTITUTE(LEFT(TRIM(C191),FIND(" ",TRIM(C191)&amp;" ")-1),",","."),"."),LEFT(SUBSTITUTE(LEFT(TRIM(C191),FIND(" ",TRIM(C191)&amp;" ")-1),",","."),FIND("/",SUBSTITUTE(LEFT(TRIM(C191),FIND(" ",TRIM(C191)&amp;" ")-1),",","."))-1)/MID(SUBSTITUTE(LEFT(TRIM(C191),FIND(" ",TRIM(C191)&amp;" ")-1),",","."),FIND("/",SUBSTITUTE(LEFT(TRIM(C191),FIND(" ",TRIM(C191)&amp;" ")-1),",","."))+1,9))*12/52,IF(ISNUMBER(SEARCH("month",C191)),IFERROR(_xlfn.NUMBERVALUE(SUBSTITUTE(LEFT(TRIM(C191),FIND(" ",TRIM(C191)&amp;" ")-1),",","."),"."),LEFT(SUBSTITUTE(LEFT(TRIM(C191),FIND(" ",TRIM(C191)&amp;" ")-1),",","."),FIND("/",SUBSTITUTE(LEFT(TRIM(C191),FIND(" ",TRIM(C191)&amp;" ")-1),",","."))-1)/MID(SUBSTITUTE(LEFT(TRIM(C191),FIND(" ",TRIM(C191)&amp;" ")-1),",","."),FIND("/",SUBSTITUTE(LEFT(TRIM(C191),FIND(" ",TRIM(C191)&amp;" ")-1),",","."))+1,9)),IF(ISNUMBER(SEARCH("yea",C191)),IFERROR(_xlfn.NUMBERVALUE(SUBSTITUTE(LEFT(TRIM(C191),FIND(" ",TRIM(C191)&amp;" ")-1),",","."),"."),LEFT(SUBSTITUTE(LEFT(TRIM(C191),FIND(" ",TRIM(C191)&amp;" ")-1),",","."),FIND("/",SUBSTITUTE(LEFT(TRIM(C191),FIND(" ",TRIM(C191)&amp;" ")-1),",","."))-1)/MID(SUBSTITUTE(LEFT(TRIM(C191),FIND(" ",TRIM(C191)&amp;" ")-1),",","."),FIND("/",SUBSTITUTE(LEFT(TRIM(C191),FIND(" ",TRIM(C191)&amp;" ")-1),",","."))+1,9))*12,NA()))),0),48)*'Aturan &amp; Tarif'!$B$4,2)</f>
        <v>2725.44</v>
      </c>
      <c r="K191" s="32" t="n">
        <f aca="false">'Aturan &amp; Tarif'!$B$5</f>
        <v>2050</v>
      </c>
      <c r="L191" s="32" t="n">
        <f aca="false">'Aturan &amp; Tarif'!$B$6</f>
        <v>350</v>
      </c>
      <c r="M191" s="35" t="n">
        <f aca="false">I191+J191+K191+L191</f>
        <v>33825.44</v>
      </c>
      <c r="N191" s="37" t="s">
        <v>1363</v>
      </c>
    </row>
    <row r="192" customFormat="false" ht="25.5" hidden="false" customHeight="true" outlineLevel="0" collapsed="false">
      <c r="A192" s="29"/>
      <c r="B192" s="30" t="s">
        <v>1366</v>
      </c>
      <c r="C192" s="31" t="s">
        <v>191</v>
      </c>
      <c r="D192" s="31" t="s">
        <v>108</v>
      </c>
      <c r="E192" s="32" t="n">
        <v>14275</v>
      </c>
      <c r="F192" s="32"/>
      <c r="G192" s="32" t="n">
        <v>150</v>
      </c>
      <c r="H192" s="33" t="n">
        <v>2</v>
      </c>
      <c r="I192" s="34" t="n">
        <f aca="false">E192*H192+N(F192)+N(G192)</f>
        <v>28700</v>
      </c>
      <c r="J192" s="32" t="n">
        <f aca="false">ROUND(IFERROR(ROUND(IF(OR(ISNUMBER(SEARCH("week",C192)),ISNUMBER(SEARCH("minggu",C192))),IFERROR(_xlfn.NUMBERVALUE(SUBSTITUTE(LEFT(TRIM(C192),FIND(" ",TRIM(C192)&amp;" ")-1),",","."),"."),LEFT(SUBSTITUTE(LEFT(TRIM(C192),FIND(" ",TRIM(C192)&amp;" ")-1),",","."),FIND("/",SUBSTITUTE(LEFT(TRIM(C192),FIND(" ",TRIM(C192)&amp;" ")-1),",","."))-1)/MID(SUBSTITUTE(LEFT(TRIM(C192),FIND(" ",TRIM(C192)&amp;" ")-1),",","."),FIND("/",SUBSTITUTE(LEFT(TRIM(C192),FIND(" ",TRIM(C192)&amp;" ")-1),",","."))+1,9))*12/52,IF(ISNUMBER(SEARCH("month",C192)),IFERROR(_xlfn.NUMBERVALUE(SUBSTITUTE(LEFT(TRIM(C192),FIND(" ",TRIM(C192)&amp;" ")-1),",","."),"."),LEFT(SUBSTITUTE(LEFT(TRIM(C192),FIND(" ",TRIM(C192)&amp;" ")-1),",","."),FIND("/",SUBSTITUTE(LEFT(TRIM(C192),FIND(" ",TRIM(C192)&amp;" ")-1),",","."))-1)/MID(SUBSTITUTE(LEFT(TRIM(C192),FIND(" ",TRIM(C192)&amp;" ")-1),",","."),FIND("/",SUBSTITUTE(LEFT(TRIM(C192),FIND(" ",TRIM(C192)&amp;" ")-1),",","."))+1,9)),IF(ISNUMBER(SEARCH("yea",C192)),IFERROR(_xlfn.NUMBERVALUE(SUBSTITUTE(LEFT(TRIM(C192),FIND(" ",TRIM(C192)&amp;" ")-1),",","."),"."),LEFT(SUBSTITUTE(LEFT(TRIM(C192),FIND(" ",TRIM(C192)&amp;" ")-1),",","."),FIND("/",SUBSTITUTE(LEFT(TRIM(C192),FIND(" ",TRIM(C192)&amp;" ")-1),",","."))-1)/MID(SUBSTITUTE(LEFT(TRIM(C192),FIND(" ",TRIM(C192)&amp;" ")-1),",","."),FIND("/",SUBSTITUTE(LEFT(TRIM(C192),FIND(" ",TRIM(C192)&amp;" ")-1),",","."))+1,9))*12,NA()))),0),48)*'Aturan &amp; Tarif'!$B$4,2)</f>
        <v>2725.44</v>
      </c>
      <c r="K192" s="32" t="n">
        <f aca="false">'Aturan &amp; Tarif'!$B$5</f>
        <v>2050</v>
      </c>
      <c r="L192" s="32" t="n">
        <f aca="false">'Aturan &amp; Tarif'!$B$6</f>
        <v>350</v>
      </c>
      <c r="M192" s="35" t="n">
        <f aca="false">I192+J192+K192+L192</f>
        <v>33825.44</v>
      </c>
      <c r="N192" s="37" t="s">
        <v>1363</v>
      </c>
    </row>
    <row r="193" customFormat="false" ht="25.5" hidden="false" customHeight="true" outlineLevel="0" collapsed="false">
      <c r="A193" s="29"/>
      <c r="B193" s="30" t="s">
        <v>1367</v>
      </c>
      <c r="C193" s="31" t="s">
        <v>191</v>
      </c>
      <c r="D193" s="31" t="s">
        <v>108</v>
      </c>
      <c r="E193" s="32" t="n">
        <v>14275</v>
      </c>
      <c r="F193" s="32"/>
      <c r="G193" s="32" t="n">
        <v>150</v>
      </c>
      <c r="H193" s="33" t="n">
        <v>2</v>
      </c>
      <c r="I193" s="34" t="n">
        <f aca="false">E193*H193+N(F193)+N(G193)</f>
        <v>28700</v>
      </c>
      <c r="J193" s="32" t="n">
        <f aca="false">ROUND(IFERROR(ROUND(IF(OR(ISNUMBER(SEARCH("week",C193)),ISNUMBER(SEARCH("minggu",C193))),IFERROR(_xlfn.NUMBERVALUE(SUBSTITUTE(LEFT(TRIM(C193),FIND(" ",TRIM(C193)&amp;" ")-1),",","."),"."),LEFT(SUBSTITUTE(LEFT(TRIM(C193),FIND(" ",TRIM(C193)&amp;" ")-1),",","."),FIND("/",SUBSTITUTE(LEFT(TRIM(C193),FIND(" ",TRIM(C193)&amp;" ")-1),",","."))-1)/MID(SUBSTITUTE(LEFT(TRIM(C193),FIND(" ",TRIM(C193)&amp;" ")-1),",","."),FIND("/",SUBSTITUTE(LEFT(TRIM(C193),FIND(" ",TRIM(C193)&amp;" ")-1),",","."))+1,9))*12/52,IF(ISNUMBER(SEARCH("month",C193)),IFERROR(_xlfn.NUMBERVALUE(SUBSTITUTE(LEFT(TRIM(C193),FIND(" ",TRIM(C193)&amp;" ")-1),",","."),"."),LEFT(SUBSTITUTE(LEFT(TRIM(C193),FIND(" ",TRIM(C193)&amp;" ")-1),",","."),FIND("/",SUBSTITUTE(LEFT(TRIM(C193),FIND(" ",TRIM(C193)&amp;" ")-1),",","."))-1)/MID(SUBSTITUTE(LEFT(TRIM(C193),FIND(" ",TRIM(C193)&amp;" ")-1),",","."),FIND("/",SUBSTITUTE(LEFT(TRIM(C193),FIND(" ",TRIM(C193)&amp;" ")-1),",","."))+1,9)),IF(ISNUMBER(SEARCH("yea",C193)),IFERROR(_xlfn.NUMBERVALUE(SUBSTITUTE(LEFT(TRIM(C193),FIND(" ",TRIM(C193)&amp;" ")-1),",","."),"."),LEFT(SUBSTITUTE(LEFT(TRIM(C193),FIND(" ",TRIM(C193)&amp;" ")-1),",","."),FIND("/",SUBSTITUTE(LEFT(TRIM(C193),FIND(" ",TRIM(C193)&amp;" ")-1),",","."))-1)/MID(SUBSTITUTE(LEFT(TRIM(C193),FIND(" ",TRIM(C193)&amp;" ")-1),",","."),FIND("/",SUBSTITUTE(LEFT(TRIM(C193),FIND(" ",TRIM(C193)&amp;" ")-1),",","."))+1,9))*12,NA()))),0),48)*'Aturan &amp; Tarif'!$B$4,2)</f>
        <v>2725.44</v>
      </c>
      <c r="K193" s="32" t="n">
        <f aca="false">'Aturan &amp; Tarif'!$B$5</f>
        <v>2050</v>
      </c>
      <c r="L193" s="32" t="n">
        <f aca="false">'Aturan &amp; Tarif'!$B$6</f>
        <v>350</v>
      </c>
      <c r="M193" s="35" t="n">
        <f aca="false">I193+J193+K193+L193</f>
        <v>33825.44</v>
      </c>
      <c r="N193" s="37" t="s">
        <v>1363</v>
      </c>
    </row>
    <row r="194" customFormat="false" ht="14.25" hidden="false" customHeight="true" outlineLevel="0" collapsed="false">
      <c r="A194" s="29"/>
      <c r="B194" s="30" t="s">
        <v>1368</v>
      </c>
      <c r="C194" s="31" t="s">
        <v>245</v>
      </c>
      <c r="D194" s="31" t="s">
        <v>108</v>
      </c>
      <c r="E194" s="32" t="n">
        <v>27075</v>
      </c>
      <c r="F194" s="32"/>
      <c r="G194" s="32" t="n">
        <v>150</v>
      </c>
      <c r="H194" s="33" t="n">
        <v>2</v>
      </c>
      <c r="I194" s="34" t="n">
        <f aca="false">E194*H194+N(F194)+N(G194)</f>
        <v>54300</v>
      </c>
      <c r="J194" s="32" t="n">
        <f aca="false">ROUND(IFERROR(ROUND(IF(OR(ISNUMBER(SEARCH("week",C194)),ISNUMBER(SEARCH("minggu",C194))),IFERROR(_xlfn.NUMBERVALUE(SUBSTITUTE(LEFT(TRIM(C194),FIND(" ",TRIM(C194)&amp;" ")-1),",","."),"."),LEFT(SUBSTITUTE(LEFT(TRIM(C194),FIND(" ",TRIM(C194)&amp;" ")-1),",","."),FIND("/",SUBSTITUTE(LEFT(TRIM(C194),FIND(" ",TRIM(C194)&amp;" ")-1),",","."))-1)/MID(SUBSTITUTE(LEFT(TRIM(C194),FIND(" ",TRIM(C194)&amp;" ")-1),",","."),FIND("/",SUBSTITUTE(LEFT(TRIM(C194),FIND(" ",TRIM(C194)&amp;" ")-1),",","."))+1,9))*12/52,IF(ISNUMBER(SEARCH("month",C194)),IFERROR(_xlfn.NUMBERVALUE(SUBSTITUTE(LEFT(TRIM(C194),FIND(" ",TRIM(C194)&amp;" ")-1),",","."),"."),LEFT(SUBSTITUTE(LEFT(TRIM(C194),FIND(" ",TRIM(C194)&amp;" ")-1),",","."),FIND("/",SUBSTITUTE(LEFT(TRIM(C194),FIND(" ",TRIM(C194)&amp;" ")-1),",","."))-1)/MID(SUBSTITUTE(LEFT(TRIM(C194),FIND(" ",TRIM(C194)&amp;" ")-1),",","."),FIND("/",SUBSTITUTE(LEFT(TRIM(C194),FIND(" ",TRIM(C194)&amp;" ")-1),",","."))+1,9)),IF(ISNUMBER(SEARCH("yea",C194)),IFERROR(_xlfn.NUMBERVALUE(SUBSTITUTE(LEFT(TRIM(C194),FIND(" ",TRIM(C194)&amp;" ")-1),",","."),"."),LEFT(SUBSTITUTE(LEFT(TRIM(C194),FIND(" ",TRIM(C194)&amp;" ")-1),",","."),FIND("/",SUBSTITUTE(LEFT(TRIM(C194),FIND(" ",TRIM(C194)&amp;" ")-1),",","."))-1)/MID(SUBSTITUTE(LEFT(TRIM(C194),FIND(" ",TRIM(C194)&amp;" ")-1),",","."),FIND("/",SUBSTITUTE(LEFT(TRIM(C194),FIND(" ",TRIM(C194)&amp;" ")-1),",","."))+1,9))*12,NA()))),0),60)*'Aturan &amp; Tarif'!$B$4,2)</f>
        <v>3406.8</v>
      </c>
      <c r="K194" s="32" t="n">
        <f aca="false">'Aturan &amp; Tarif'!$B$5</f>
        <v>2050</v>
      </c>
      <c r="L194" s="32" t="n">
        <f aca="false">'Aturan &amp; Tarif'!$B$6</f>
        <v>350</v>
      </c>
      <c r="M194" s="35" t="n">
        <f aca="false">I194+J194+K194+L194</f>
        <v>60106.8</v>
      </c>
      <c r="N194" s="37" t="s">
        <v>1369</v>
      </c>
    </row>
    <row r="195" customFormat="false" ht="14.25" hidden="false" customHeight="true" outlineLevel="0" collapsed="false">
      <c r="A195" s="29"/>
      <c r="B195" s="30" t="s">
        <v>1370</v>
      </c>
      <c r="C195" s="31" t="s">
        <v>191</v>
      </c>
      <c r="D195" s="31" t="s">
        <v>108</v>
      </c>
      <c r="E195" s="32" t="n">
        <v>13125</v>
      </c>
      <c r="F195" s="32"/>
      <c r="G195" s="32" t="n">
        <v>150</v>
      </c>
      <c r="H195" s="33" t="n">
        <v>2</v>
      </c>
      <c r="I195" s="34" t="n">
        <f aca="false">E195*H195+N(F195)+N(G195)</f>
        <v>26400</v>
      </c>
      <c r="J195" s="32" t="n">
        <f aca="false">ROUND(IFERROR(ROUND(IF(OR(ISNUMBER(SEARCH("week",C195)),ISNUMBER(SEARCH("minggu",C195))),IFERROR(_xlfn.NUMBERVALUE(SUBSTITUTE(LEFT(TRIM(C195),FIND(" ",TRIM(C195)&amp;" ")-1),",","."),"."),LEFT(SUBSTITUTE(LEFT(TRIM(C195),FIND(" ",TRIM(C195)&amp;" ")-1),",","."),FIND("/",SUBSTITUTE(LEFT(TRIM(C195),FIND(" ",TRIM(C195)&amp;" ")-1),",","."))-1)/MID(SUBSTITUTE(LEFT(TRIM(C195),FIND(" ",TRIM(C195)&amp;" ")-1),",","."),FIND("/",SUBSTITUTE(LEFT(TRIM(C195),FIND(" ",TRIM(C195)&amp;" ")-1),",","."))+1,9))*12/52,IF(ISNUMBER(SEARCH("month",C195)),IFERROR(_xlfn.NUMBERVALUE(SUBSTITUTE(LEFT(TRIM(C195),FIND(" ",TRIM(C195)&amp;" ")-1),",","."),"."),LEFT(SUBSTITUTE(LEFT(TRIM(C195),FIND(" ",TRIM(C195)&amp;" ")-1),",","."),FIND("/",SUBSTITUTE(LEFT(TRIM(C195),FIND(" ",TRIM(C195)&amp;" ")-1),",","."))-1)/MID(SUBSTITUTE(LEFT(TRIM(C195),FIND(" ",TRIM(C195)&amp;" ")-1),",","."),FIND("/",SUBSTITUTE(LEFT(TRIM(C195),FIND(" ",TRIM(C195)&amp;" ")-1),",","."))+1,9)),IF(ISNUMBER(SEARCH("yea",C195)),IFERROR(_xlfn.NUMBERVALUE(SUBSTITUTE(LEFT(TRIM(C195),FIND(" ",TRIM(C195)&amp;" ")-1),",","."),"."),LEFT(SUBSTITUTE(LEFT(TRIM(C195),FIND(" ",TRIM(C195)&amp;" ")-1),",","."),FIND("/",SUBSTITUTE(LEFT(TRIM(C195),FIND(" ",TRIM(C195)&amp;" ")-1),",","."))-1)/MID(SUBSTITUTE(LEFT(TRIM(C195),FIND(" ",TRIM(C195)&amp;" ")-1),",","."),FIND("/",SUBSTITUTE(LEFT(TRIM(C195),FIND(" ",TRIM(C195)&amp;" ")-1),",","."))+1,9))*12,NA()))),0),48)*'Aturan &amp; Tarif'!$B$4,2)</f>
        <v>2725.44</v>
      </c>
      <c r="K195" s="32" t="n">
        <f aca="false">'Aturan &amp; Tarif'!$B$5</f>
        <v>2050</v>
      </c>
      <c r="L195" s="32" t="n">
        <f aca="false">'Aturan &amp; Tarif'!$B$6</f>
        <v>350</v>
      </c>
      <c r="M195" s="35" t="n">
        <f aca="false">I195+J195+K195+L195</f>
        <v>31525.44</v>
      </c>
      <c r="N195" s="37" t="s">
        <v>846</v>
      </c>
    </row>
    <row r="196" customFormat="false" ht="14.25" hidden="false" customHeight="true" outlineLevel="0" collapsed="false">
      <c r="A196" s="29"/>
      <c r="B196" s="30" t="s">
        <v>1371</v>
      </c>
      <c r="C196" s="31" t="s">
        <v>127</v>
      </c>
      <c r="D196" s="31" t="s">
        <v>108</v>
      </c>
      <c r="E196" s="32" t="n">
        <v>25750</v>
      </c>
      <c r="F196" s="32"/>
      <c r="G196" s="32" t="n">
        <v>150</v>
      </c>
      <c r="H196" s="33" t="n">
        <v>2</v>
      </c>
      <c r="I196" s="34" t="n">
        <f aca="false">E196*H196+N(F196)+N(G196)</f>
        <v>51650</v>
      </c>
      <c r="J196" s="32" t="n">
        <f aca="false">ROUND(IFERROR(ROUND(IF(OR(ISNUMBER(SEARCH("week",C196)),ISNUMBER(SEARCH("minggu",C196))),IFERROR(_xlfn.NUMBERVALUE(SUBSTITUTE(LEFT(TRIM(C196),FIND(" ",TRIM(C196)&amp;" ")-1),",","."),"."),LEFT(SUBSTITUTE(LEFT(TRIM(C196),FIND(" ",TRIM(C196)&amp;" ")-1),",","."),FIND("/",SUBSTITUTE(LEFT(TRIM(C196),FIND(" ",TRIM(C196)&amp;" ")-1),",","."))-1)/MID(SUBSTITUTE(LEFT(TRIM(C196),FIND(" ",TRIM(C196)&amp;" ")-1),",","."),FIND("/",SUBSTITUTE(LEFT(TRIM(C196),FIND(" ",TRIM(C196)&amp;" ")-1),",","."))+1,9))*12/52,IF(ISNUMBER(SEARCH("month",C196)),IFERROR(_xlfn.NUMBERVALUE(SUBSTITUTE(LEFT(TRIM(C196),FIND(" ",TRIM(C196)&amp;" ")-1),",","."),"."),LEFT(SUBSTITUTE(LEFT(TRIM(C196),FIND(" ",TRIM(C196)&amp;" ")-1),",","."),FIND("/",SUBSTITUTE(LEFT(TRIM(C196),FIND(" ",TRIM(C196)&amp;" ")-1),",","."))-1)/MID(SUBSTITUTE(LEFT(TRIM(C196),FIND(" ",TRIM(C196)&amp;" ")-1),",","."),FIND("/",SUBSTITUTE(LEFT(TRIM(C196),FIND(" ",TRIM(C196)&amp;" ")-1),",","."))+1,9)),IF(ISNUMBER(SEARCH("yea",C196)),IFERROR(_xlfn.NUMBERVALUE(SUBSTITUTE(LEFT(TRIM(C196),FIND(" ",TRIM(C196)&amp;" ")-1),",","."),"."),LEFT(SUBSTITUTE(LEFT(TRIM(C196),FIND(" ",TRIM(C196)&amp;" ")-1),",","."),FIND("/",SUBSTITUTE(LEFT(TRIM(C196),FIND(" ",TRIM(C196)&amp;" ")-1),",","."))-1)/MID(SUBSTITUTE(LEFT(TRIM(C196),FIND(" ",TRIM(C196)&amp;" ")-1),",","."),FIND("/",SUBSTITUTE(LEFT(TRIM(C196),FIND(" ",TRIM(C196)&amp;" ")-1),",","."))+1,9))*12,NA()))),0),36)*'Aturan &amp; Tarif'!$B$4,2)</f>
        <v>2044.08</v>
      </c>
      <c r="K196" s="32" t="n">
        <f aca="false">'Aturan &amp; Tarif'!$B$5</f>
        <v>2050</v>
      </c>
      <c r="L196" s="32" t="n">
        <f aca="false">'Aturan &amp; Tarif'!$B$6</f>
        <v>350</v>
      </c>
      <c r="M196" s="35" t="n">
        <f aca="false">I196+J196+K196+L196</f>
        <v>56094.08</v>
      </c>
      <c r="N196" s="37" t="s">
        <v>1372</v>
      </c>
    </row>
    <row r="197" customFormat="false" ht="14.25" hidden="false" customHeight="true" outlineLevel="0" collapsed="false">
      <c r="A197" s="29"/>
      <c r="B197" s="30" t="s">
        <v>1373</v>
      </c>
      <c r="C197" s="31" t="s">
        <v>127</v>
      </c>
      <c r="D197" s="31" t="s">
        <v>108</v>
      </c>
      <c r="E197" s="32" t="n">
        <v>18150</v>
      </c>
      <c r="F197" s="32"/>
      <c r="G197" s="32" t="n">
        <v>150</v>
      </c>
      <c r="H197" s="33" t="n">
        <v>2</v>
      </c>
      <c r="I197" s="34" t="n">
        <f aca="false">E197*H197+N(F197)+N(G197)</f>
        <v>36450</v>
      </c>
      <c r="J197" s="32" t="n">
        <f aca="false">ROUND(IFERROR(ROUND(IF(OR(ISNUMBER(SEARCH("week",C197)),ISNUMBER(SEARCH("minggu",C197))),IFERROR(_xlfn.NUMBERVALUE(SUBSTITUTE(LEFT(TRIM(C197),FIND(" ",TRIM(C197)&amp;" ")-1),",","."),"."),LEFT(SUBSTITUTE(LEFT(TRIM(C197),FIND(" ",TRIM(C197)&amp;" ")-1),",","."),FIND("/",SUBSTITUTE(LEFT(TRIM(C197),FIND(" ",TRIM(C197)&amp;" ")-1),",","."))-1)/MID(SUBSTITUTE(LEFT(TRIM(C197),FIND(" ",TRIM(C197)&amp;" ")-1),",","."),FIND("/",SUBSTITUTE(LEFT(TRIM(C197),FIND(" ",TRIM(C197)&amp;" ")-1),",","."))+1,9))*12/52,IF(ISNUMBER(SEARCH("month",C197)),IFERROR(_xlfn.NUMBERVALUE(SUBSTITUTE(LEFT(TRIM(C197),FIND(" ",TRIM(C197)&amp;" ")-1),",","."),"."),LEFT(SUBSTITUTE(LEFT(TRIM(C197),FIND(" ",TRIM(C197)&amp;" ")-1),",","."),FIND("/",SUBSTITUTE(LEFT(TRIM(C197),FIND(" ",TRIM(C197)&amp;" ")-1),",","."))-1)/MID(SUBSTITUTE(LEFT(TRIM(C197),FIND(" ",TRIM(C197)&amp;" ")-1),",","."),FIND("/",SUBSTITUTE(LEFT(TRIM(C197),FIND(" ",TRIM(C197)&amp;" ")-1),",","."))+1,9)),IF(ISNUMBER(SEARCH("yea",C197)),IFERROR(_xlfn.NUMBERVALUE(SUBSTITUTE(LEFT(TRIM(C197),FIND(" ",TRIM(C197)&amp;" ")-1),",","."),"."),LEFT(SUBSTITUTE(LEFT(TRIM(C197),FIND(" ",TRIM(C197)&amp;" ")-1),",","."),FIND("/",SUBSTITUTE(LEFT(TRIM(C197),FIND(" ",TRIM(C197)&amp;" ")-1),",","."))-1)/MID(SUBSTITUTE(LEFT(TRIM(C197),FIND(" ",TRIM(C197)&amp;" ")-1),",","."),FIND("/",SUBSTITUTE(LEFT(TRIM(C197),FIND(" ",TRIM(C197)&amp;" ")-1),",","."))+1,9))*12,NA()))),0),36)*'Aturan &amp; Tarif'!$B$4,2)</f>
        <v>2044.08</v>
      </c>
      <c r="K197" s="32" t="n">
        <f aca="false">'Aturan &amp; Tarif'!$B$5</f>
        <v>2050</v>
      </c>
      <c r="L197" s="32" t="n">
        <f aca="false">'Aturan &amp; Tarif'!$B$6</f>
        <v>350</v>
      </c>
      <c r="M197" s="35" t="n">
        <f aca="false">I197+J197+K197+L197</f>
        <v>40894.08</v>
      </c>
      <c r="N197" s="37" t="s">
        <v>846</v>
      </c>
    </row>
    <row r="198" customFormat="false" ht="25.5" hidden="false" customHeight="true" outlineLevel="0" collapsed="false">
      <c r="A198" s="29"/>
      <c r="B198" s="30" t="s">
        <v>1374</v>
      </c>
      <c r="C198" s="31" t="s">
        <v>127</v>
      </c>
      <c r="D198" s="31" t="s">
        <v>108</v>
      </c>
      <c r="E198" s="32" t="n">
        <v>11850</v>
      </c>
      <c r="F198" s="32"/>
      <c r="G198" s="32" t="n">
        <v>150</v>
      </c>
      <c r="H198" s="33" t="n">
        <v>2</v>
      </c>
      <c r="I198" s="34" t="n">
        <f aca="false">E198*H198+N(F198)+N(G198)</f>
        <v>23850</v>
      </c>
      <c r="J198" s="32" t="n">
        <f aca="false">ROUND(IFERROR(ROUND(IF(OR(ISNUMBER(SEARCH("week",C198)),ISNUMBER(SEARCH("minggu",C198))),IFERROR(_xlfn.NUMBERVALUE(SUBSTITUTE(LEFT(TRIM(C198),FIND(" ",TRIM(C198)&amp;" ")-1),",","."),"."),LEFT(SUBSTITUTE(LEFT(TRIM(C198),FIND(" ",TRIM(C198)&amp;" ")-1),",","."),FIND("/",SUBSTITUTE(LEFT(TRIM(C198),FIND(" ",TRIM(C198)&amp;" ")-1),",","."))-1)/MID(SUBSTITUTE(LEFT(TRIM(C198),FIND(" ",TRIM(C198)&amp;" ")-1),",","."),FIND("/",SUBSTITUTE(LEFT(TRIM(C198),FIND(" ",TRIM(C198)&amp;" ")-1),",","."))+1,9))*12/52,IF(ISNUMBER(SEARCH("month",C198)),IFERROR(_xlfn.NUMBERVALUE(SUBSTITUTE(LEFT(TRIM(C198),FIND(" ",TRIM(C198)&amp;" ")-1),",","."),"."),LEFT(SUBSTITUTE(LEFT(TRIM(C198),FIND(" ",TRIM(C198)&amp;" ")-1),",","."),FIND("/",SUBSTITUTE(LEFT(TRIM(C198),FIND(" ",TRIM(C198)&amp;" ")-1),",","."))-1)/MID(SUBSTITUTE(LEFT(TRIM(C198),FIND(" ",TRIM(C198)&amp;" ")-1),",","."),FIND("/",SUBSTITUTE(LEFT(TRIM(C198),FIND(" ",TRIM(C198)&amp;" ")-1),",","."))+1,9)),IF(ISNUMBER(SEARCH("yea",C198)),IFERROR(_xlfn.NUMBERVALUE(SUBSTITUTE(LEFT(TRIM(C198),FIND(" ",TRIM(C198)&amp;" ")-1),",","."),"."),LEFT(SUBSTITUTE(LEFT(TRIM(C198),FIND(" ",TRIM(C198)&amp;" ")-1),",","."),FIND("/",SUBSTITUTE(LEFT(TRIM(C198),FIND(" ",TRIM(C198)&amp;" ")-1),",","."))-1)/MID(SUBSTITUTE(LEFT(TRIM(C198),FIND(" ",TRIM(C198)&amp;" ")-1),",","."),FIND("/",SUBSTITUTE(LEFT(TRIM(C198),FIND(" ",TRIM(C198)&amp;" ")-1),",","."))+1,9))*12,NA()))),0),36)*'Aturan &amp; Tarif'!$B$4,2)</f>
        <v>2044.08</v>
      </c>
      <c r="K198" s="32" t="n">
        <f aca="false">'Aturan &amp; Tarif'!$B$5</f>
        <v>2050</v>
      </c>
      <c r="L198" s="32" t="n">
        <f aca="false">'Aturan &amp; Tarif'!$B$6</f>
        <v>350</v>
      </c>
      <c r="M198" s="35" t="n">
        <f aca="false">I198+J198+K198+L198</f>
        <v>28294.08</v>
      </c>
      <c r="N198" s="37" t="s">
        <v>846</v>
      </c>
    </row>
    <row r="199" customFormat="false" ht="25.5" hidden="false" customHeight="true" outlineLevel="0" collapsed="false">
      <c r="A199" s="29"/>
      <c r="B199" s="30" t="s">
        <v>1375</v>
      </c>
      <c r="C199" s="31" t="s">
        <v>127</v>
      </c>
      <c r="D199" s="31" t="s">
        <v>108</v>
      </c>
      <c r="E199" s="32" t="n">
        <v>11850</v>
      </c>
      <c r="F199" s="32"/>
      <c r="G199" s="32" t="n">
        <v>150</v>
      </c>
      <c r="H199" s="33" t="n">
        <v>2</v>
      </c>
      <c r="I199" s="34" t="n">
        <f aca="false">E199*H199+N(F199)+N(G199)</f>
        <v>23850</v>
      </c>
      <c r="J199" s="32" t="n">
        <f aca="false">ROUND(IFERROR(ROUND(IF(OR(ISNUMBER(SEARCH("week",C199)),ISNUMBER(SEARCH("minggu",C199))),IFERROR(_xlfn.NUMBERVALUE(SUBSTITUTE(LEFT(TRIM(C199),FIND(" ",TRIM(C199)&amp;" ")-1),",","."),"."),LEFT(SUBSTITUTE(LEFT(TRIM(C199),FIND(" ",TRIM(C199)&amp;" ")-1),",","."),FIND("/",SUBSTITUTE(LEFT(TRIM(C199),FIND(" ",TRIM(C199)&amp;" ")-1),",","."))-1)/MID(SUBSTITUTE(LEFT(TRIM(C199),FIND(" ",TRIM(C199)&amp;" ")-1),",","."),FIND("/",SUBSTITUTE(LEFT(TRIM(C199),FIND(" ",TRIM(C199)&amp;" ")-1),",","."))+1,9))*12/52,IF(ISNUMBER(SEARCH("month",C199)),IFERROR(_xlfn.NUMBERVALUE(SUBSTITUTE(LEFT(TRIM(C199),FIND(" ",TRIM(C199)&amp;" ")-1),",","."),"."),LEFT(SUBSTITUTE(LEFT(TRIM(C199),FIND(" ",TRIM(C199)&amp;" ")-1),",","."),FIND("/",SUBSTITUTE(LEFT(TRIM(C199),FIND(" ",TRIM(C199)&amp;" ")-1),",","."))-1)/MID(SUBSTITUTE(LEFT(TRIM(C199),FIND(" ",TRIM(C199)&amp;" ")-1),",","."),FIND("/",SUBSTITUTE(LEFT(TRIM(C199),FIND(" ",TRIM(C199)&amp;" ")-1),",","."))+1,9)),IF(ISNUMBER(SEARCH("yea",C199)),IFERROR(_xlfn.NUMBERVALUE(SUBSTITUTE(LEFT(TRIM(C199),FIND(" ",TRIM(C199)&amp;" ")-1),",","."),"."),LEFT(SUBSTITUTE(LEFT(TRIM(C199),FIND(" ",TRIM(C199)&amp;" ")-1),",","."),FIND("/",SUBSTITUTE(LEFT(TRIM(C199),FIND(" ",TRIM(C199)&amp;" ")-1),",","."))-1)/MID(SUBSTITUTE(LEFT(TRIM(C199),FIND(" ",TRIM(C199)&amp;" ")-1),",","."),FIND("/",SUBSTITUTE(LEFT(TRIM(C199),FIND(" ",TRIM(C199)&amp;" ")-1),",","."))+1,9))*12,NA()))),0),36)*'Aturan &amp; Tarif'!$B$4,2)</f>
        <v>2044.08</v>
      </c>
      <c r="K199" s="32" t="n">
        <f aca="false">'Aturan &amp; Tarif'!$B$5</f>
        <v>2050</v>
      </c>
      <c r="L199" s="32" t="n">
        <f aca="false">'Aturan &amp; Tarif'!$B$6</f>
        <v>350</v>
      </c>
      <c r="M199" s="35" t="n">
        <f aca="false">I199+J199+K199+L199</f>
        <v>28294.08</v>
      </c>
      <c r="N199" s="37" t="s">
        <v>846</v>
      </c>
    </row>
    <row r="200" customFormat="false" ht="25.5" hidden="false" customHeight="true" outlineLevel="0" collapsed="false">
      <c r="A200" s="29"/>
      <c r="B200" s="30" t="s">
        <v>1376</v>
      </c>
      <c r="C200" s="31" t="s">
        <v>127</v>
      </c>
      <c r="D200" s="31" t="s">
        <v>108</v>
      </c>
      <c r="E200" s="32" t="n">
        <v>11850</v>
      </c>
      <c r="F200" s="32"/>
      <c r="G200" s="32" t="n">
        <v>150</v>
      </c>
      <c r="H200" s="33" t="n">
        <v>2</v>
      </c>
      <c r="I200" s="34" t="n">
        <f aca="false">E200*H200+N(F200)+N(G200)</f>
        <v>23850</v>
      </c>
      <c r="J200" s="32" t="n">
        <f aca="false">ROUND(IFERROR(ROUND(IF(OR(ISNUMBER(SEARCH("week",C200)),ISNUMBER(SEARCH("minggu",C200))),IFERROR(_xlfn.NUMBERVALUE(SUBSTITUTE(LEFT(TRIM(C200),FIND(" ",TRIM(C200)&amp;" ")-1),",","."),"."),LEFT(SUBSTITUTE(LEFT(TRIM(C200),FIND(" ",TRIM(C200)&amp;" ")-1),",","."),FIND("/",SUBSTITUTE(LEFT(TRIM(C200),FIND(" ",TRIM(C200)&amp;" ")-1),",","."))-1)/MID(SUBSTITUTE(LEFT(TRIM(C200),FIND(" ",TRIM(C200)&amp;" ")-1),",","."),FIND("/",SUBSTITUTE(LEFT(TRIM(C200),FIND(" ",TRIM(C200)&amp;" ")-1),",","."))+1,9))*12/52,IF(ISNUMBER(SEARCH("month",C200)),IFERROR(_xlfn.NUMBERVALUE(SUBSTITUTE(LEFT(TRIM(C200),FIND(" ",TRIM(C200)&amp;" ")-1),",","."),"."),LEFT(SUBSTITUTE(LEFT(TRIM(C200),FIND(" ",TRIM(C200)&amp;" ")-1),",","."),FIND("/",SUBSTITUTE(LEFT(TRIM(C200),FIND(" ",TRIM(C200)&amp;" ")-1),",","."))-1)/MID(SUBSTITUTE(LEFT(TRIM(C200),FIND(" ",TRIM(C200)&amp;" ")-1),",","."),FIND("/",SUBSTITUTE(LEFT(TRIM(C200),FIND(" ",TRIM(C200)&amp;" ")-1),",","."))+1,9)),IF(ISNUMBER(SEARCH("yea",C200)),IFERROR(_xlfn.NUMBERVALUE(SUBSTITUTE(LEFT(TRIM(C200),FIND(" ",TRIM(C200)&amp;" ")-1),",","."),"."),LEFT(SUBSTITUTE(LEFT(TRIM(C200),FIND(" ",TRIM(C200)&amp;" ")-1),",","."),FIND("/",SUBSTITUTE(LEFT(TRIM(C200),FIND(" ",TRIM(C200)&amp;" ")-1),",","."))-1)/MID(SUBSTITUTE(LEFT(TRIM(C200),FIND(" ",TRIM(C200)&amp;" ")-1),",","."),FIND("/",SUBSTITUTE(LEFT(TRIM(C200),FIND(" ",TRIM(C200)&amp;" ")-1),",","."))+1,9))*12,NA()))),0),36)*'Aturan &amp; Tarif'!$B$4,2)</f>
        <v>2044.08</v>
      </c>
      <c r="K200" s="32" t="n">
        <f aca="false">'Aturan &amp; Tarif'!$B$5</f>
        <v>2050</v>
      </c>
      <c r="L200" s="32" t="n">
        <f aca="false">'Aturan &amp; Tarif'!$B$6</f>
        <v>350</v>
      </c>
      <c r="M200" s="35" t="n">
        <f aca="false">I200+J200+K200+L200</f>
        <v>28294.08</v>
      </c>
      <c r="N200" s="37" t="s">
        <v>846</v>
      </c>
    </row>
    <row r="201" customFormat="false" ht="25.5" hidden="false" customHeight="true" outlineLevel="0" collapsed="false">
      <c r="A201" s="29"/>
      <c r="B201" s="30" t="s">
        <v>1377</v>
      </c>
      <c r="C201" s="31" t="s">
        <v>127</v>
      </c>
      <c r="D201" s="31" t="s">
        <v>108</v>
      </c>
      <c r="E201" s="32" t="n">
        <v>11850</v>
      </c>
      <c r="F201" s="32"/>
      <c r="G201" s="32" t="n">
        <v>150</v>
      </c>
      <c r="H201" s="33" t="n">
        <v>2</v>
      </c>
      <c r="I201" s="34" t="n">
        <f aca="false">E201*H201+N(F201)+N(G201)</f>
        <v>23850</v>
      </c>
      <c r="J201" s="32" t="n">
        <f aca="false">ROUND(IFERROR(ROUND(IF(OR(ISNUMBER(SEARCH("week",C201)),ISNUMBER(SEARCH("minggu",C201))),IFERROR(_xlfn.NUMBERVALUE(SUBSTITUTE(LEFT(TRIM(C201),FIND(" ",TRIM(C201)&amp;" ")-1),",","."),"."),LEFT(SUBSTITUTE(LEFT(TRIM(C201),FIND(" ",TRIM(C201)&amp;" ")-1),",","."),FIND("/",SUBSTITUTE(LEFT(TRIM(C201),FIND(" ",TRIM(C201)&amp;" ")-1),",","."))-1)/MID(SUBSTITUTE(LEFT(TRIM(C201),FIND(" ",TRIM(C201)&amp;" ")-1),",","."),FIND("/",SUBSTITUTE(LEFT(TRIM(C201),FIND(" ",TRIM(C201)&amp;" ")-1),",","."))+1,9))*12/52,IF(ISNUMBER(SEARCH("month",C201)),IFERROR(_xlfn.NUMBERVALUE(SUBSTITUTE(LEFT(TRIM(C201),FIND(" ",TRIM(C201)&amp;" ")-1),",","."),"."),LEFT(SUBSTITUTE(LEFT(TRIM(C201),FIND(" ",TRIM(C201)&amp;" ")-1),",","."),FIND("/",SUBSTITUTE(LEFT(TRIM(C201),FIND(" ",TRIM(C201)&amp;" ")-1),",","."))-1)/MID(SUBSTITUTE(LEFT(TRIM(C201),FIND(" ",TRIM(C201)&amp;" ")-1),",","."),FIND("/",SUBSTITUTE(LEFT(TRIM(C201),FIND(" ",TRIM(C201)&amp;" ")-1),",","."))+1,9)),IF(ISNUMBER(SEARCH("yea",C201)),IFERROR(_xlfn.NUMBERVALUE(SUBSTITUTE(LEFT(TRIM(C201),FIND(" ",TRIM(C201)&amp;" ")-1),",","."),"."),LEFT(SUBSTITUTE(LEFT(TRIM(C201),FIND(" ",TRIM(C201)&amp;" ")-1),",","."),FIND("/",SUBSTITUTE(LEFT(TRIM(C201),FIND(" ",TRIM(C201)&amp;" ")-1),",","."))-1)/MID(SUBSTITUTE(LEFT(TRIM(C201),FIND(" ",TRIM(C201)&amp;" ")-1),",","."),FIND("/",SUBSTITUTE(LEFT(TRIM(C201),FIND(" ",TRIM(C201)&amp;" ")-1),",","."))+1,9))*12,NA()))),0),36)*'Aturan &amp; Tarif'!$B$4,2)</f>
        <v>2044.08</v>
      </c>
      <c r="K201" s="32" t="n">
        <f aca="false">'Aturan &amp; Tarif'!$B$5</f>
        <v>2050</v>
      </c>
      <c r="L201" s="32" t="n">
        <f aca="false">'Aturan &amp; Tarif'!$B$6</f>
        <v>350</v>
      </c>
      <c r="M201" s="35" t="n">
        <f aca="false">I201+J201+K201+L201</f>
        <v>28294.08</v>
      </c>
      <c r="N201" s="37" t="s">
        <v>846</v>
      </c>
    </row>
    <row r="202" customFormat="false" ht="25.5" hidden="false" customHeight="true" outlineLevel="0" collapsed="false">
      <c r="A202" s="29"/>
      <c r="B202" s="30" t="s">
        <v>1378</v>
      </c>
      <c r="C202" s="31" t="s">
        <v>191</v>
      </c>
      <c r="D202" s="31" t="s">
        <v>108</v>
      </c>
      <c r="E202" s="32" t="n">
        <v>11850</v>
      </c>
      <c r="F202" s="32"/>
      <c r="G202" s="32" t="n">
        <v>150</v>
      </c>
      <c r="H202" s="33" t="n">
        <v>2</v>
      </c>
      <c r="I202" s="34" t="n">
        <f aca="false">E202*H202+N(F202)+N(G202)</f>
        <v>23850</v>
      </c>
      <c r="J202" s="32" t="n">
        <f aca="false">ROUND(IFERROR(ROUND(IF(OR(ISNUMBER(SEARCH("week",C202)),ISNUMBER(SEARCH("minggu",C202))),IFERROR(_xlfn.NUMBERVALUE(SUBSTITUTE(LEFT(TRIM(C202),FIND(" ",TRIM(C202)&amp;" ")-1),",","."),"."),LEFT(SUBSTITUTE(LEFT(TRIM(C202),FIND(" ",TRIM(C202)&amp;" ")-1),",","."),FIND("/",SUBSTITUTE(LEFT(TRIM(C202),FIND(" ",TRIM(C202)&amp;" ")-1),",","."))-1)/MID(SUBSTITUTE(LEFT(TRIM(C202),FIND(" ",TRIM(C202)&amp;" ")-1),",","."),FIND("/",SUBSTITUTE(LEFT(TRIM(C202),FIND(" ",TRIM(C202)&amp;" ")-1),",","."))+1,9))*12/52,IF(ISNUMBER(SEARCH("month",C202)),IFERROR(_xlfn.NUMBERVALUE(SUBSTITUTE(LEFT(TRIM(C202),FIND(" ",TRIM(C202)&amp;" ")-1),",","."),"."),LEFT(SUBSTITUTE(LEFT(TRIM(C202),FIND(" ",TRIM(C202)&amp;" ")-1),",","."),FIND("/",SUBSTITUTE(LEFT(TRIM(C202),FIND(" ",TRIM(C202)&amp;" ")-1),",","."))-1)/MID(SUBSTITUTE(LEFT(TRIM(C202),FIND(" ",TRIM(C202)&amp;" ")-1),",","."),FIND("/",SUBSTITUTE(LEFT(TRIM(C202),FIND(" ",TRIM(C202)&amp;" ")-1),",","."))+1,9)),IF(ISNUMBER(SEARCH("yea",C202)),IFERROR(_xlfn.NUMBERVALUE(SUBSTITUTE(LEFT(TRIM(C202),FIND(" ",TRIM(C202)&amp;" ")-1),",","."),"."),LEFT(SUBSTITUTE(LEFT(TRIM(C202),FIND(" ",TRIM(C202)&amp;" ")-1),",","."),FIND("/",SUBSTITUTE(LEFT(TRIM(C202),FIND(" ",TRIM(C202)&amp;" ")-1),",","."))-1)/MID(SUBSTITUTE(LEFT(TRIM(C202),FIND(" ",TRIM(C202)&amp;" ")-1),",","."),FIND("/",SUBSTITUTE(LEFT(TRIM(C202),FIND(" ",TRIM(C202)&amp;" ")-1),",","."))+1,9))*12,NA()))),0),48)*'Aturan &amp; Tarif'!$B$4,2)</f>
        <v>2725.44</v>
      </c>
      <c r="K202" s="32" t="n">
        <f aca="false">'Aturan &amp; Tarif'!$B$5</f>
        <v>2050</v>
      </c>
      <c r="L202" s="32" t="n">
        <f aca="false">'Aturan &amp; Tarif'!$B$6</f>
        <v>350</v>
      </c>
      <c r="M202" s="35" t="n">
        <f aca="false">I202+J202+K202+L202</f>
        <v>28975.44</v>
      </c>
      <c r="N202" s="37" t="s">
        <v>846</v>
      </c>
    </row>
    <row r="203" customFormat="false" ht="25.5" hidden="false" customHeight="true" outlineLevel="0" collapsed="false">
      <c r="A203" s="29"/>
      <c r="B203" s="30" t="s">
        <v>1379</v>
      </c>
      <c r="C203" s="31" t="s">
        <v>191</v>
      </c>
      <c r="D203" s="31" t="s">
        <v>108</v>
      </c>
      <c r="E203" s="32" t="n">
        <v>11850</v>
      </c>
      <c r="F203" s="32"/>
      <c r="G203" s="32" t="n">
        <v>150</v>
      </c>
      <c r="H203" s="33" t="n">
        <v>2</v>
      </c>
      <c r="I203" s="34" t="n">
        <f aca="false">E203*H203+N(F203)+N(G203)</f>
        <v>23850</v>
      </c>
      <c r="J203" s="32" t="n">
        <f aca="false">ROUND(IFERROR(ROUND(IF(OR(ISNUMBER(SEARCH("week",C203)),ISNUMBER(SEARCH("minggu",C203))),IFERROR(_xlfn.NUMBERVALUE(SUBSTITUTE(LEFT(TRIM(C203),FIND(" ",TRIM(C203)&amp;" ")-1),",","."),"."),LEFT(SUBSTITUTE(LEFT(TRIM(C203),FIND(" ",TRIM(C203)&amp;" ")-1),",","."),FIND("/",SUBSTITUTE(LEFT(TRIM(C203),FIND(" ",TRIM(C203)&amp;" ")-1),",","."))-1)/MID(SUBSTITUTE(LEFT(TRIM(C203),FIND(" ",TRIM(C203)&amp;" ")-1),",","."),FIND("/",SUBSTITUTE(LEFT(TRIM(C203),FIND(" ",TRIM(C203)&amp;" ")-1),",","."))+1,9))*12/52,IF(ISNUMBER(SEARCH("month",C203)),IFERROR(_xlfn.NUMBERVALUE(SUBSTITUTE(LEFT(TRIM(C203),FIND(" ",TRIM(C203)&amp;" ")-1),",","."),"."),LEFT(SUBSTITUTE(LEFT(TRIM(C203),FIND(" ",TRIM(C203)&amp;" ")-1),",","."),FIND("/",SUBSTITUTE(LEFT(TRIM(C203),FIND(" ",TRIM(C203)&amp;" ")-1),",","."))-1)/MID(SUBSTITUTE(LEFT(TRIM(C203),FIND(" ",TRIM(C203)&amp;" ")-1),",","."),FIND("/",SUBSTITUTE(LEFT(TRIM(C203),FIND(" ",TRIM(C203)&amp;" ")-1),",","."))+1,9)),IF(ISNUMBER(SEARCH("yea",C203)),IFERROR(_xlfn.NUMBERVALUE(SUBSTITUTE(LEFT(TRIM(C203),FIND(" ",TRIM(C203)&amp;" ")-1),",","."),"."),LEFT(SUBSTITUTE(LEFT(TRIM(C203),FIND(" ",TRIM(C203)&amp;" ")-1),",","."),FIND("/",SUBSTITUTE(LEFT(TRIM(C203),FIND(" ",TRIM(C203)&amp;" ")-1),",","."))-1)/MID(SUBSTITUTE(LEFT(TRIM(C203),FIND(" ",TRIM(C203)&amp;" ")-1),",","."),FIND("/",SUBSTITUTE(LEFT(TRIM(C203),FIND(" ",TRIM(C203)&amp;" ")-1),",","."))+1,9))*12,NA()))),0),48)*'Aturan &amp; Tarif'!$B$4,2)</f>
        <v>2725.44</v>
      </c>
      <c r="K203" s="32" t="n">
        <f aca="false">'Aturan &amp; Tarif'!$B$5</f>
        <v>2050</v>
      </c>
      <c r="L203" s="32" t="n">
        <f aca="false">'Aturan &amp; Tarif'!$B$6</f>
        <v>350</v>
      </c>
      <c r="M203" s="35" t="n">
        <f aca="false">I203+J203+K203+L203</f>
        <v>28975.44</v>
      </c>
      <c r="N203" s="37" t="s">
        <v>846</v>
      </c>
    </row>
    <row r="204" customFormat="false" ht="25.5" hidden="false" customHeight="true" outlineLevel="0" collapsed="false">
      <c r="A204" s="29"/>
      <c r="B204" s="30" t="s">
        <v>1380</v>
      </c>
      <c r="C204" s="31" t="s">
        <v>191</v>
      </c>
      <c r="D204" s="31" t="s">
        <v>108</v>
      </c>
      <c r="E204" s="32" t="n">
        <v>11850</v>
      </c>
      <c r="F204" s="32"/>
      <c r="G204" s="32" t="n">
        <v>150</v>
      </c>
      <c r="H204" s="33" t="n">
        <v>2</v>
      </c>
      <c r="I204" s="34" t="n">
        <f aca="false">E204*H204+N(F204)+N(G204)</f>
        <v>23850</v>
      </c>
      <c r="J204" s="32" t="n">
        <f aca="false">ROUND(IFERROR(ROUND(IF(OR(ISNUMBER(SEARCH("week",C204)),ISNUMBER(SEARCH("minggu",C204))),IFERROR(_xlfn.NUMBERVALUE(SUBSTITUTE(LEFT(TRIM(C204),FIND(" ",TRIM(C204)&amp;" ")-1),",","."),"."),LEFT(SUBSTITUTE(LEFT(TRIM(C204),FIND(" ",TRIM(C204)&amp;" ")-1),",","."),FIND("/",SUBSTITUTE(LEFT(TRIM(C204),FIND(" ",TRIM(C204)&amp;" ")-1),",","."))-1)/MID(SUBSTITUTE(LEFT(TRIM(C204),FIND(" ",TRIM(C204)&amp;" ")-1),",","."),FIND("/",SUBSTITUTE(LEFT(TRIM(C204),FIND(" ",TRIM(C204)&amp;" ")-1),",","."))+1,9))*12/52,IF(ISNUMBER(SEARCH("month",C204)),IFERROR(_xlfn.NUMBERVALUE(SUBSTITUTE(LEFT(TRIM(C204),FIND(" ",TRIM(C204)&amp;" ")-1),",","."),"."),LEFT(SUBSTITUTE(LEFT(TRIM(C204),FIND(" ",TRIM(C204)&amp;" ")-1),",","."),FIND("/",SUBSTITUTE(LEFT(TRIM(C204),FIND(" ",TRIM(C204)&amp;" ")-1),",","."))-1)/MID(SUBSTITUTE(LEFT(TRIM(C204),FIND(" ",TRIM(C204)&amp;" ")-1),",","."),FIND("/",SUBSTITUTE(LEFT(TRIM(C204),FIND(" ",TRIM(C204)&amp;" ")-1),",","."))+1,9)),IF(ISNUMBER(SEARCH("yea",C204)),IFERROR(_xlfn.NUMBERVALUE(SUBSTITUTE(LEFT(TRIM(C204),FIND(" ",TRIM(C204)&amp;" ")-1),",","."),"."),LEFT(SUBSTITUTE(LEFT(TRIM(C204),FIND(" ",TRIM(C204)&amp;" ")-1),",","."),FIND("/",SUBSTITUTE(LEFT(TRIM(C204),FIND(" ",TRIM(C204)&amp;" ")-1),",","."))-1)/MID(SUBSTITUTE(LEFT(TRIM(C204),FIND(" ",TRIM(C204)&amp;" ")-1),",","."),FIND("/",SUBSTITUTE(LEFT(TRIM(C204),FIND(" ",TRIM(C204)&amp;" ")-1),",","."))+1,9))*12,NA()))),0),48)*'Aturan &amp; Tarif'!$B$4,2)</f>
        <v>2725.44</v>
      </c>
      <c r="K204" s="32" t="n">
        <f aca="false">'Aturan &amp; Tarif'!$B$5</f>
        <v>2050</v>
      </c>
      <c r="L204" s="32" t="n">
        <f aca="false">'Aturan &amp; Tarif'!$B$6</f>
        <v>350</v>
      </c>
      <c r="M204" s="35" t="n">
        <f aca="false">I204+J204+K204+L204</f>
        <v>28975.44</v>
      </c>
      <c r="N204" s="37" t="s">
        <v>846</v>
      </c>
    </row>
    <row r="205" customFormat="false" ht="25.5" hidden="false" customHeight="true" outlineLevel="0" collapsed="false">
      <c r="A205" s="29"/>
      <c r="B205" s="30" t="s">
        <v>1381</v>
      </c>
      <c r="C205" s="31" t="s">
        <v>191</v>
      </c>
      <c r="D205" s="31" t="s">
        <v>108</v>
      </c>
      <c r="E205" s="32" t="n">
        <v>11850</v>
      </c>
      <c r="F205" s="32"/>
      <c r="G205" s="32" t="n">
        <v>150</v>
      </c>
      <c r="H205" s="33" t="n">
        <v>2</v>
      </c>
      <c r="I205" s="34" t="n">
        <f aca="false">E205*H205+N(F205)+N(G205)</f>
        <v>23850</v>
      </c>
      <c r="J205" s="32" t="n">
        <f aca="false">ROUND(IFERROR(ROUND(IF(OR(ISNUMBER(SEARCH("week",C205)),ISNUMBER(SEARCH("minggu",C205))),IFERROR(_xlfn.NUMBERVALUE(SUBSTITUTE(LEFT(TRIM(C205),FIND(" ",TRIM(C205)&amp;" ")-1),",","."),"."),LEFT(SUBSTITUTE(LEFT(TRIM(C205),FIND(" ",TRIM(C205)&amp;" ")-1),",","."),FIND("/",SUBSTITUTE(LEFT(TRIM(C205),FIND(" ",TRIM(C205)&amp;" ")-1),",","."))-1)/MID(SUBSTITUTE(LEFT(TRIM(C205),FIND(" ",TRIM(C205)&amp;" ")-1),",","."),FIND("/",SUBSTITUTE(LEFT(TRIM(C205),FIND(" ",TRIM(C205)&amp;" ")-1),",","."))+1,9))*12/52,IF(ISNUMBER(SEARCH("month",C205)),IFERROR(_xlfn.NUMBERVALUE(SUBSTITUTE(LEFT(TRIM(C205),FIND(" ",TRIM(C205)&amp;" ")-1),",","."),"."),LEFT(SUBSTITUTE(LEFT(TRIM(C205),FIND(" ",TRIM(C205)&amp;" ")-1),",","."),FIND("/",SUBSTITUTE(LEFT(TRIM(C205),FIND(" ",TRIM(C205)&amp;" ")-1),",","."))-1)/MID(SUBSTITUTE(LEFT(TRIM(C205),FIND(" ",TRIM(C205)&amp;" ")-1),",","."),FIND("/",SUBSTITUTE(LEFT(TRIM(C205),FIND(" ",TRIM(C205)&amp;" ")-1),",","."))+1,9)),IF(ISNUMBER(SEARCH("yea",C205)),IFERROR(_xlfn.NUMBERVALUE(SUBSTITUTE(LEFT(TRIM(C205),FIND(" ",TRIM(C205)&amp;" ")-1),",","."),"."),LEFT(SUBSTITUTE(LEFT(TRIM(C205),FIND(" ",TRIM(C205)&amp;" ")-1),",","."),FIND("/",SUBSTITUTE(LEFT(TRIM(C205),FIND(" ",TRIM(C205)&amp;" ")-1),",","."))-1)/MID(SUBSTITUTE(LEFT(TRIM(C205),FIND(" ",TRIM(C205)&amp;" ")-1),",","."),FIND("/",SUBSTITUTE(LEFT(TRIM(C205),FIND(" ",TRIM(C205)&amp;" ")-1),",","."))+1,9))*12,NA()))),0),48)*'Aturan &amp; Tarif'!$B$4,2)</f>
        <v>2725.44</v>
      </c>
      <c r="K205" s="32" t="n">
        <f aca="false">'Aturan &amp; Tarif'!$B$5</f>
        <v>2050</v>
      </c>
      <c r="L205" s="32" t="n">
        <f aca="false">'Aturan &amp; Tarif'!$B$6</f>
        <v>350</v>
      </c>
      <c r="M205" s="35" t="n">
        <f aca="false">I205+J205+K205+L205</f>
        <v>28975.44</v>
      </c>
      <c r="N205" s="37" t="s">
        <v>846</v>
      </c>
    </row>
    <row r="206" customFormat="false" ht="14.25" hidden="false" customHeight="true" outlineLevel="0" collapsed="false">
      <c r="A206" s="29"/>
      <c r="B206" s="30" t="s">
        <v>1382</v>
      </c>
      <c r="C206" s="31" t="s">
        <v>127</v>
      </c>
      <c r="D206" s="31" t="s">
        <v>108</v>
      </c>
      <c r="E206" s="32" t="n">
        <v>11400</v>
      </c>
      <c r="F206" s="32"/>
      <c r="G206" s="32" t="n">
        <v>150</v>
      </c>
      <c r="H206" s="33" t="n">
        <v>2</v>
      </c>
      <c r="I206" s="34" t="n">
        <f aca="false">E206*H206+N(F206)+N(G206)</f>
        <v>22950</v>
      </c>
      <c r="J206" s="32" t="n">
        <f aca="false">ROUND(IFERROR(ROUND(IF(OR(ISNUMBER(SEARCH("week",C206)),ISNUMBER(SEARCH("minggu",C206))),IFERROR(_xlfn.NUMBERVALUE(SUBSTITUTE(LEFT(TRIM(C206),FIND(" ",TRIM(C206)&amp;" ")-1),",","."),"."),LEFT(SUBSTITUTE(LEFT(TRIM(C206),FIND(" ",TRIM(C206)&amp;" ")-1),",","."),FIND("/",SUBSTITUTE(LEFT(TRIM(C206),FIND(" ",TRIM(C206)&amp;" ")-1),",","."))-1)/MID(SUBSTITUTE(LEFT(TRIM(C206),FIND(" ",TRIM(C206)&amp;" ")-1),",","."),FIND("/",SUBSTITUTE(LEFT(TRIM(C206),FIND(" ",TRIM(C206)&amp;" ")-1),",","."))+1,9))*12/52,IF(ISNUMBER(SEARCH("month",C206)),IFERROR(_xlfn.NUMBERVALUE(SUBSTITUTE(LEFT(TRIM(C206),FIND(" ",TRIM(C206)&amp;" ")-1),",","."),"."),LEFT(SUBSTITUTE(LEFT(TRIM(C206),FIND(" ",TRIM(C206)&amp;" ")-1),",","."),FIND("/",SUBSTITUTE(LEFT(TRIM(C206),FIND(" ",TRIM(C206)&amp;" ")-1),",","."))-1)/MID(SUBSTITUTE(LEFT(TRIM(C206),FIND(" ",TRIM(C206)&amp;" ")-1),",","."),FIND("/",SUBSTITUTE(LEFT(TRIM(C206),FIND(" ",TRIM(C206)&amp;" ")-1),",","."))+1,9)),IF(ISNUMBER(SEARCH("yea",C206)),IFERROR(_xlfn.NUMBERVALUE(SUBSTITUTE(LEFT(TRIM(C206),FIND(" ",TRIM(C206)&amp;" ")-1),",","."),"."),LEFT(SUBSTITUTE(LEFT(TRIM(C206),FIND(" ",TRIM(C206)&amp;" ")-1),",","."),FIND("/",SUBSTITUTE(LEFT(TRIM(C206),FIND(" ",TRIM(C206)&amp;" ")-1),",","."))-1)/MID(SUBSTITUTE(LEFT(TRIM(C206),FIND(" ",TRIM(C206)&amp;" ")-1),",","."),FIND("/",SUBSTITUTE(LEFT(TRIM(C206),FIND(" ",TRIM(C206)&amp;" ")-1),",","."))+1,9))*12,NA()))),0),36)*'Aturan &amp; Tarif'!$B$4,2)</f>
        <v>2044.08</v>
      </c>
      <c r="K206" s="32" t="n">
        <f aca="false">'Aturan &amp; Tarif'!$B$5</f>
        <v>2050</v>
      </c>
      <c r="L206" s="32" t="n">
        <f aca="false">'Aturan &amp; Tarif'!$B$6</f>
        <v>350</v>
      </c>
      <c r="M206" s="35" t="n">
        <f aca="false">I206+J206+K206+L206</f>
        <v>27394.08</v>
      </c>
      <c r="N206" s="37" t="s">
        <v>1383</v>
      </c>
    </row>
    <row r="207" customFormat="false" ht="14.25" hidden="false" customHeight="true" outlineLevel="0" collapsed="false">
      <c r="A207" s="29"/>
      <c r="B207" s="30" t="s">
        <v>1384</v>
      </c>
      <c r="C207" s="31" t="s">
        <v>127</v>
      </c>
      <c r="D207" s="31" t="s">
        <v>108</v>
      </c>
      <c r="E207" s="32" t="n">
        <v>12150</v>
      </c>
      <c r="F207" s="32"/>
      <c r="G207" s="32" t="n">
        <v>150</v>
      </c>
      <c r="H207" s="33" t="n">
        <v>2</v>
      </c>
      <c r="I207" s="34" t="n">
        <f aca="false">E207*H207+N(F207)+N(G207)</f>
        <v>24450</v>
      </c>
      <c r="J207" s="32" t="n">
        <f aca="false">ROUND(IFERROR(ROUND(IF(OR(ISNUMBER(SEARCH("week",C207)),ISNUMBER(SEARCH("minggu",C207))),IFERROR(_xlfn.NUMBERVALUE(SUBSTITUTE(LEFT(TRIM(C207),FIND(" ",TRIM(C207)&amp;" ")-1),",","."),"."),LEFT(SUBSTITUTE(LEFT(TRIM(C207),FIND(" ",TRIM(C207)&amp;" ")-1),",","."),FIND("/",SUBSTITUTE(LEFT(TRIM(C207),FIND(" ",TRIM(C207)&amp;" ")-1),",","."))-1)/MID(SUBSTITUTE(LEFT(TRIM(C207),FIND(" ",TRIM(C207)&amp;" ")-1),",","."),FIND("/",SUBSTITUTE(LEFT(TRIM(C207),FIND(" ",TRIM(C207)&amp;" ")-1),",","."))+1,9))*12/52,IF(ISNUMBER(SEARCH("month",C207)),IFERROR(_xlfn.NUMBERVALUE(SUBSTITUTE(LEFT(TRIM(C207),FIND(" ",TRIM(C207)&amp;" ")-1),",","."),"."),LEFT(SUBSTITUTE(LEFT(TRIM(C207),FIND(" ",TRIM(C207)&amp;" ")-1),",","."),FIND("/",SUBSTITUTE(LEFT(TRIM(C207),FIND(" ",TRIM(C207)&amp;" ")-1),",","."))-1)/MID(SUBSTITUTE(LEFT(TRIM(C207),FIND(" ",TRIM(C207)&amp;" ")-1),",","."),FIND("/",SUBSTITUTE(LEFT(TRIM(C207),FIND(" ",TRIM(C207)&amp;" ")-1),",","."))+1,9)),IF(ISNUMBER(SEARCH("yea",C207)),IFERROR(_xlfn.NUMBERVALUE(SUBSTITUTE(LEFT(TRIM(C207),FIND(" ",TRIM(C207)&amp;" ")-1),",","."),"."),LEFT(SUBSTITUTE(LEFT(TRIM(C207),FIND(" ",TRIM(C207)&amp;" ")-1),",","."),FIND("/",SUBSTITUTE(LEFT(TRIM(C207),FIND(" ",TRIM(C207)&amp;" ")-1),",","."))-1)/MID(SUBSTITUTE(LEFT(TRIM(C207),FIND(" ",TRIM(C207)&amp;" ")-1),",","."),FIND("/",SUBSTITUTE(LEFT(TRIM(C207),FIND(" ",TRIM(C207)&amp;" ")-1),",","."))+1,9))*12,NA()))),0),36)*'Aturan &amp; Tarif'!$B$4,2)</f>
        <v>2044.08</v>
      </c>
      <c r="K207" s="32" t="n">
        <f aca="false">'Aturan &amp; Tarif'!$B$5</f>
        <v>2050</v>
      </c>
      <c r="L207" s="32" t="n">
        <f aca="false">'Aturan &amp; Tarif'!$B$6</f>
        <v>350</v>
      </c>
      <c r="M207" s="35" t="n">
        <f aca="false">I207+J207+K207+L207</f>
        <v>28894.08</v>
      </c>
      <c r="N207" s="37" t="s">
        <v>846</v>
      </c>
    </row>
    <row r="208" customFormat="false" ht="14.25" hidden="false" customHeight="true" outlineLevel="0" collapsed="false">
      <c r="A208" s="29"/>
      <c r="B208" s="30" t="s">
        <v>1385</v>
      </c>
      <c r="C208" s="31" t="s">
        <v>127</v>
      </c>
      <c r="D208" s="31" t="s">
        <v>108</v>
      </c>
      <c r="E208" s="32" t="n">
        <v>12150</v>
      </c>
      <c r="F208" s="32"/>
      <c r="G208" s="32" t="n">
        <v>150</v>
      </c>
      <c r="H208" s="33" t="n">
        <v>2</v>
      </c>
      <c r="I208" s="34" t="n">
        <f aca="false">E208*H208+N(F208)+N(G208)</f>
        <v>24450</v>
      </c>
      <c r="J208" s="32" t="n">
        <f aca="false">ROUND(IFERROR(ROUND(IF(OR(ISNUMBER(SEARCH("week",C208)),ISNUMBER(SEARCH("minggu",C208))),IFERROR(_xlfn.NUMBERVALUE(SUBSTITUTE(LEFT(TRIM(C208),FIND(" ",TRIM(C208)&amp;" ")-1),",","."),"."),LEFT(SUBSTITUTE(LEFT(TRIM(C208),FIND(" ",TRIM(C208)&amp;" ")-1),",","."),FIND("/",SUBSTITUTE(LEFT(TRIM(C208),FIND(" ",TRIM(C208)&amp;" ")-1),",","."))-1)/MID(SUBSTITUTE(LEFT(TRIM(C208),FIND(" ",TRIM(C208)&amp;" ")-1),",","."),FIND("/",SUBSTITUTE(LEFT(TRIM(C208),FIND(" ",TRIM(C208)&amp;" ")-1),",","."))+1,9))*12/52,IF(ISNUMBER(SEARCH("month",C208)),IFERROR(_xlfn.NUMBERVALUE(SUBSTITUTE(LEFT(TRIM(C208),FIND(" ",TRIM(C208)&amp;" ")-1),",","."),"."),LEFT(SUBSTITUTE(LEFT(TRIM(C208),FIND(" ",TRIM(C208)&amp;" ")-1),",","."),FIND("/",SUBSTITUTE(LEFT(TRIM(C208),FIND(" ",TRIM(C208)&amp;" ")-1),",","."))-1)/MID(SUBSTITUTE(LEFT(TRIM(C208),FIND(" ",TRIM(C208)&amp;" ")-1),",","."),FIND("/",SUBSTITUTE(LEFT(TRIM(C208),FIND(" ",TRIM(C208)&amp;" ")-1),",","."))+1,9)),IF(ISNUMBER(SEARCH("yea",C208)),IFERROR(_xlfn.NUMBERVALUE(SUBSTITUTE(LEFT(TRIM(C208),FIND(" ",TRIM(C208)&amp;" ")-1),",","."),"."),LEFT(SUBSTITUTE(LEFT(TRIM(C208),FIND(" ",TRIM(C208)&amp;" ")-1),",","."),FIND("/",SUBSTITUTE(LEFT(TRIM(C208),FIND(" ",TRIM(C208)&amp;" ")-1),",","."))-1)/MID(SUBSTITUTE(LEFT(TRIM(C208),FIND(" ",TRIM(C208)&amp;" ")-1),",","."),FIND("/",SUBSTITUTE(LEFT(TRIM(C208),FIND(" ",TRIM(C208)&amp;" ")-1),",","."))+1,9))*12,NA()))),0),36)*'Aturan &amp; Tarif'!$B$4,2)</f>
        <v>2044.08</v>
      </c>
      <c r="K208" s="32" t="n">
        <f aca="false">'Aturan &amp; Tarif'!$B$5</f>
        <v>2050</v>
      </c>
      <c r="L208" s="32" t="n">
        <f aca="false">'Aturan &amp; Tarif'!$B$6</f>
        <v>350</v>
      </c>
      <c r="M208" s="35" t="n">
        <f aca="false">I208+J208+K208+L208</f>
        <v>28894.08</v>
      </c>
      <c r="N208" s="37" t="s">
        <v>1386</v>
      </c>
    </row>
    <row r="209" customFormat="false" ht="14.25" hidden="false" customHeight="true" outlineLevel="0" collapsed="false">
      <c r="A209" s="29"/>
      <c r="B209" s="30" t="s">
        <v>1387</v>
      </c>
      <c r="C209" s="31" t="s">
        <v>127</v>
      </c>
      <c r="D209" s="31" t="s">
        <v>108</v>
      </c>
      <c r="E209" s="32" t="n">
        <v>14275</v>
      </c>
      <c r="F209" s="32"/>
      <c r="G209" s="32" t="n">
        <v>150</v>
      </c>
      <c r="H209" s="33" t="n">
        <v>2</v>
      </c>
      <c r="I209" s="34" t="n">
        <f aca="false">E209*H209+N(F209)+N(G209)</f>
        <v>28700</v>
      </c>
      <c r="J209" s="32" t="n">
        <f aca="false">ROUND(IFERROR(ROUND(IF(OR(ISNUMBER(SEARCH("week",C209)),ISNUMBER(SEARCH("minggu",C209))),IFERROR(_xlfn.NUMBERVALUE(SUBSTITUTE(LEFT(TRIM(C209),FIND(" ",TRIM(C209)&amp;" ")-1),",","."),"."),LEFT(SUBSTITUTE(LEFT(TRIM(C209),FIND(" ",TRIM(C209)&amp;" ")-1),",","."),FIND("/",SUBSTITUTE(LEFT(TRIM(C209),FIND(" ",TRIM(C209)&amp;" ")-1),",","."))-1)/MID(SUBSTITUTE(LEFT(TRIM(C209),FIND(" ",TRIM(C209)&amp;" ")-1),",","."),FIND("/",SUBSTITUTE(LEFT(TRIM(C209),FIND(" ",TRIM(C209)&amp;" ")-1),",","."))+1,9))*12/52,IF(ISNUMBER(SEARCH("month",C209)),IFERROR(_xlfn.NUMBERVALUE(SUBSTITUTE(LEFT(TRIM(C209),FIND(" ",TRIM(C209)&amp;" ")-1),",","."),"."),LEFT(SUBSTITUTE(LEFT(TRIM(C209),FIND(" ",TRIM(C209)&amp;" ")-1),",","."),FIND("/",SUBSTITUTE(LEFT(TRIM(C209),FIND(" ",TRIM(C209)&amp;" ")-1),",","."))-1)/MID(SUBSTITUTE(LEFT(TRIM(C209),FIND(" ",TRIM(C209)&amp;" ")-1),",","."),FIND("/",SUBSTITUTE(LEFT(TRIM(C209),FIND(" ",TRIM(C209)&amp;" ")-1),",","."))+1,9)),IF(ISNUMBER(SEARCH("yea",C209)),IFERROR(_xlfn.NUMBERVALUE(SUBSTITUTE(LEFT(TRIM(C209),FIND(" ",TRIM(C209)&amp;" ")-1),",","."),"."),LEFT(SUBSTITUTE(LEFT(TRIM(C209),FIND(" ",TRIM(C209)&amp;" ")-1),",","."),FIND("/",SUBSTITUTE(LEFT(TRIM(C209),FIND(" ",TRIM(C209)&amp;" ")-1),",","."))-1)/MID(SUBSTITUTE(LEFT(TRIM(C209),FIND(" ",TRIM(C209)&amp;" ")-1),",","."),FIND("/",SUBSTITUTE(LEFT(TRIM(C209),FIND(" ",TRIM(C209)&amp;" ")-1),",","."))+1,9))*12,NA()))),0),36)*'Aturan &amp; Tarif'!$B$4,2)</f>
        <v>2044.08</v>
      </c>
      <c r="K209" s="32" t="n">
        <f aca="false">'Aturan &amp; Tarif'!$B$5</f>
        <v>2050</v>
      </c>
      <c r="L209" s="32" t="n">
        <f aca="false">'Aturan &amp; Tarif'!$B$6</f>
        <v>350</v>
      </c>
      <c r="M209" s="35" t="n">
        <f aca="false">I209+J209+K209+L209</f>
        <v>33144.08</v>
      </c>
      <c r="N209" s="37" t="s">
        <v>846</v>
      </c>
    </row>
    <row r="210" customFormat="false" ht="25.5" hidden="false" customHeight="true" outlineLevel="0" collapsed="false">
      <c r="A210" s="29"/>
      <c r="B210" s="30" t="s">
        <v>1388</v>
      </c>
      <c r="C210" s="31" t="s">
        <v>127</v>
      </c>
      <c r="D210" s="31" t="s">
        <v>108</v>
      </c>
      <c r="E210" s="32" t="n">
        <v>13850</v>
      </c>
      <c r="F210" s="32"/>
      <c r="G210" s="32" t="n">
        <v>150</v>
      </c>
      <c r="H210" s="33" t="n">
        <v>2</v>
      </c>
      <c r="I210" s="34" t="n">
        <f aca="false">E210*H210+N(F210)+N(G210)</f>
        <v>27850</v>
      </c>
      <c r="J210" s="32" t="n">
        <f aca="false">ROUND(IFERROR(ROUND(IF(OR(ISNUMBER(SEARCH("week",C210)),ISNUMBER(SEARCH("minggu",C210))),IFERROR(_xlfn.NUMBERVALUE(SUBSTITUTE(LEFT(TRIM(C210),FIND(" ",TRIM(C210)&amp;" ")-1),",","."),"."),LEFT(SUBSTITUTE(LEFT(TRIM(C210),FIND(" ",TRIM(C210)&amp;" ")-1),",","."),FIND("/",SUBSTITUTE(LEFT(TRIM(C210),FIND(" ",TRIM(C210)&amp;" ")-1),",","."))-1)/MID(SUBSTITUTE(LEFT(TRIM(C210),FIND(" ",TRIM(C210)&amp;" ")-1),",","."),FIND("/",SUBSTITUTE(LEFT(TRIM(C210),FIND(" ",TRIM(C210)&amp;" ")-1),",","."))+1,9))*12/52,IF(ISNUMBER(SEARCH("month",C210)),IFERROR(_xlfn.NUMBERVALUE(SUBSTITUTE(LEFT(TRIM(C210),FIND(" ",TRIM(C210)&amp;" ")-1),",","."),"."),LEFT(SUBSTITUTE(LEFT(TRIM(C210),FIND(" ",TRIM(C210)&amp;" ")-1),",","."),FIND("/",SUBSTITUTE(LEFT(TRIM(C210),FIND(" ",TRIM(C210)&amp;" ")-1),",","."))-1)/MID(SUBSTITUTE(LEFT(TRIM(C210),FIND(" ",TRIM(C210)&amp;" ")-1),",","."),FIND("/",SUBSTITUTE(LEFT(TRIM(C210),FIND(" ",TRIM(C210)&amp;" ")-1),",","."))+1,9)),IF(ISNUMBER(SEARCH("yea",C210)),IFERROR(_xlfn.NUMBERVALUE(SUBSTITUTE(LEFT(TRIM(C210),FIND(" ",TRIM(C210)&amp;" ")-1),",","."),"."),LEFT(SUBSTITUTE(LEFT(TRIM(C210),FIND(" ",TRIM(C210)&amp;" ")-1),",","."),FIND("/",SUBSTITUTE(LEFT(TRIM(C210),FIND(" ",TRIM(C210)&amp;" ")-1),",","."))-1)/MID(SUBSTITUTE(LEFT(TRIM(C210),FIND(" ",TRIM(C210)&amp;" ")-1),",","."),FIND("/",SUBSTITUTE(LEFT(TRIM(C210),FIND(" ",TRIM(C210)&amp;" ")-1),",","."))+1,9))*12,NA()))),0),36)*'Aturan &amp; Tarif'!$B$4,2)</f>
        <v>2044.08</v>
      </c>
      <c r="K210" s="32" t="n">
        <f aca="false">'Aturan &amp; Tarif'!$B$5</f>
        <v>2050</v>
      </c>
      <c r="L210" s="32" t="n">
        <f aca="false">'Aturan &amp; Tarif'!$B$6</f>
        <v>350</v>
      </c>
      <c r="M210" s="35" t="n">
        <f aca="false">I210+J210+K210+L210</f>
        <v>32294.08</v>
      </c>
      <c r="N210" s="37" t="s">
        <v>1389</v>
      </c>
    </row>
    <row r="211" customFormat="false" ht="25.5" hidden="false" customHeight="true" outlineLevel="0" collapsed="false">
      <c r="A211" s="29"/>
      <c r="B211" s="30" t="s">
        <v>1390</v>
      </c>
      <c r="C211" s="31" t="s">
        <v>127</v>
      </c>
      <c r="D211" s="31" t="s">
        <v>108</v>
      </c>
      <c r="E211" s="32" t="n">
        <v>12625</v>
      </c>
      <c r="F211" s="32"/>
      <c r="G211" s="32" t="n">
        <v>150</v>
      </c>
      <c r="H211" s="33" t="n">
        <v>2</v>
      </c>
      <c r="I211" s="34" t="n">
        <f aca="false">E211*H211+N(F211)+N(G211)</f>
        <v>25400</v>
      </c>
      <c r="J211" s="32" t="n">
        <f aca="false">ROUND(IFERROR(ROUND(IF(OR(ISNUMBER(SEARCH("week",C211)),ISNUMBER(SEARCH("minggu",C211))),IFERROR(_xlfn.NUMBERVALUE(SUBSTITUTE(LEFT(TRIM(C211),FIND(" ",TRIM(C211)&amp;" ")-1),",","."),"."),LEFT(SUBSTITUTE(LEFT(TRIM(C211),FIND(" ",TRIM(C211)&amp;" ")-1),",","."),FIND("/",SUBSTITUTE(LEFT(TRIM(C211),FIND(" ",TRIM(C211)&amp;" ")-1),",","."))-1)/MID(SUBSTITUTE(LEFT(TRIM(C211),FIND(" ",TRIM(C211)&amp;" ")-1),",","."),FIND("/",SUBSTITUTE(LEFT(TRIM(C211),FIND(" ",TRIM(C211)&amp;" ")-1),",","."))+1,9))*12/52,IF(ISNUMBER(SEARCH("month",C211)),IFERROR(_xlfn.NUMBERVALUE(SUBSTITUTE(LEFT(TRIM(C211),FIND(" ",TRIM(C211)&amp;" ")-1),",","."),"."),LEFT(SUBSTITUTE(LEFT(TRIM(C211),FIND(" ",TRIM(C211)&amp;" ")-1),",","."),FIND("/",SUBSTITUTE(LEFT(TRIM(C211),FIND(" ",TRIM(C211)&amp;" ")-1),",","."))-1)/MID(SUBSTITUTE(LEFT(TRIM(C211),FIND(" ",TRIM(C211)&amp;" ")-1),",","."),FIND("/",SUBSTITUTE(LEFT(TRIM(C211),FIND(" ",TRIM(C211)&amp;" ")-1),",","."))+1,9)),IF(ISNUMBER(SEARCH("yea",C211)),IFERROR(_xlfn.NUMBERVALUE(SUBSTITUTE(LEFT(TRIM(C211),FIND(" ",TRIM(C211)&amp;" ")-1),",","."),"."),LEFT(SUBSTITUTE(LEFT(TRIM(C211),FIND(" ",TRIM(C211)&amp;" ")-1),",","."),FIND("/",SUBSTITUTE(LEFT(TRIM(C211),FIND(" ",TRIM(C211)&amp;" ")-1),",","."))-1)/MID(SUBSTITUTE(LEFT(TRIM(C211),FIND(" ",TRIM(C211)&amp;" ")-1),",","."),FIND("/",SUBSTITUTE(LEFT(TRIM(C211),FIND(" ",TRIM(C211)&amp;" ")-1),",","."))+1,9))*12,NA()))),0),36)*'Aturan &amp; Tarif'!$B$4,2)</f>
        <v>2044.08</v>
      </c>
      <c r="K211" s="32" t="n">
        <f aca="false">'Aturan &amp; Tarif'!$B$5</f>
        <v>2050</v>
      </c>
      <c r="L211" s="32" t="n">
        <f aca="false">'Aturan &amp; Tarif'!$B$6</f>
        <v>350</v>
      </c>
      <c r="M211" s="35" t="n">
        <f aca="false">I211+J211+K211+L211</f>
        <v>29844.08</v>
      </c>
      <c r="N211" s="37" t="s">
        <v>1256</v>
      </c>
    </row>
    <row r="212" customFormat="false" ht="14.25" hidden="false" customHeight="true" outlineLevel="0" collapsed="false">
      <c r="A212" s="29"/>
      <c r="B212" s="30" t="s">
        <v>1391</v>
      </c>
      <c r="C212" s="31" t="s">
        <v>127</v>
      </c>
      <c r="D212" s="31" t="s">
        <v>108</v>
      </c>
      <c r="E212" s="32" t="n">
        <v>13050</v>
      </c>
      <c r="F212" s="32"/>
      <c r="G212" s="32" t="n">
        <v>150</v>
      </c>
      <c r="H212" s="33" t="n">
        <v>2</v>
      </c>
      <c r="I212" s="34" t="n">
        <f aca="false">E212*H212+N(F212)+N(G212)</f>
        <v>26250</v>
      </c>
      <c r="J212" s="32" t="n">
        <f aca="false">ROUND(IFERROR(ROUND(IF(OR(ISNUMBER(SEARCH("week",C212)),ISNUMBER(SEARCH("minggu",C212))),IFERROR(_xlfn.NUMBERVALUE(SUBSTITUTE(LEFT(TRIM(C212),FIND(" ",TRIM(C212)&amp;" ")-1),",","."),"."),LEFT(SUBSTITUTE(LEFT(TRIM(C212),FIND(" ",TRIM(C212)&amp;" ")-1),",","."),FIND("/",SUBSTITUTE(LEFT(TRIM(C212),FIND(" ",TRIM(C212)&amp;" ")-1),",","."))-1)/MID(SUBSTITUTE(LEFT(TRIM(C212),FIND(" ",TRIM(C212)&amp;" ")-1),",","."),FIND("/",SUBSTITUTE(LEFT(TRIM(C212),FIND(" ",TRIM(C212)&amp;" ")-1),",","."))+1,9))*12/52,IF(ISNUMBER(SEARCH("month",C212)),IFERROR(_xlfn.NUMBERVALUE(SUBSTITUTE(LEFT(TRIM(C212),FIND(" ",TRIM(C212)&amp;" ")-1),",","."),"."),LEFT(SUBSTITUTE(LEFT(TRIM(C212),FIND(" ",TRIM(C212)&amp;" ")-1),",","."),FIND("/",SUBSTITUTE(LEFT(TRIM(C212),FIND(" ",TRIM(C212)&amp;" ")-1),",","."))-1)/MID(SUBSTITUTE(LEFT(TRIM(C212),FIND(" ",TRIM(C212)&amp;" ")-1),",","."),FIND("/",SUBSTITUTE(LEFT(TRIM(C212),FIND(" ",TRIM(C212)&amp;" ")-1),",","."))+1,9)),IF(ISNUMBER(SEARCH("yea",C212)),IFERROR(_xlfn.NUMBERVALUE(SUBSTITUTE(LEFT(TRIM(C212),FIND(" ",TRIM(C212)&amp;" ")-1),",","."),"."),LEFT(SUBSTITUTE(LEFT(TRIM(C212),FIND(" ",TRIM(C212)&amp;" ")-1),",","."),FIND("/",SUBSTITUTE(LEFT(TRIM(C212),FIND(" ",TRIM(C212)&amp;" ")-1),",","."))-1)/MID(SUBSTITUTE(LEFT(TRIM(C212),FIND(" ",TRIM(C212)&amp;" ")-1),",","."),FIND("/",SUBSTITUTE(LEFT(TRIM(C212),FIND(" ",TRIM(C212)&amp;" ")-1),",","."))+1,9))*12,NA()))),0),36)*'Aturan &amp; Tarif'!$B$4,2)</f>
        <v>2044.08</v>
      </c>
      <c r="K212" s="32" t="n">
        <f aca="false">'Aturan &amp; Tarif'!$B$5</f>
        <v>2050</v>
      </c>
      <c r="L212" s="32" t="n">
        <f aca="false">'Aturan &amp; Tarif'!$B$6</f>
        <v>350</v>
      </c>
      <c r="M212" s="35" t="n">
        <f aca="false">I212+J212+K212+L212</f>
        <v>30694.08</v>
      </c>
      <c r="N212" s="37" t="s">
        <v>1175</v>
      </c>
    </row>
    <row r="213" customFormat="false" ht="14.25" hidden="false" customHeight="true" outlineLevel="0" collapsed="false">
      <c r="A213" s="29"/>
      <c r="B213" s="30" t="s">
        <v>1392</v>
      </c>
      <c r="C213" s="31" t="s">
        <v>127</v>
      </c>
      <c r="D213" s="31" t="s">
        <v>108</v>
      </c>
      <c r="E213" s="32" t="n">
        <v>12625</v>
      </c>
      <c r="F213" s="32"/>
      <c r="G213" s="32" t="n">
        <v>150</v>
      </c>
      <c r="H213" s="33" t="n">
        <v>2</v>
      </c>
      <c r="I213" s="34" t="n">
        <f aca="false">E213*H213+N(F213)+N(G213)</f>
        <v>25400</v>
      </c>
      <c r="J213" s="32" t="n">
        <f aca="false">ROUND(IFERROR(ROUND(IF(OR(ISNUMBER(SEARCH("week",C213)),ISNUMBER(SEARCH("minggu",C213))),IFERROR(_xlfn.NUMBERVALUE(SUBSTITUTE(LEFT(TRIM(C213),FIND(" ",TRIM(C213)&amp;" ")-1),",","."),"."),LEFT(SUBSTITUTE(LEFT(TRIM(C213),FIND(" ",TRIM(C213)&amp;" ")-1),",","."),FIND("/",SUBSTITUTE(LEFT(TRIM(C213),FIND(" ",TRIM(C213)&amp;" ")-1),",","."))-1)/MID(SUBSTITUTE(LEFT(TRIM(C213),FIND(" ",TRIM(C213)&amp;" ")-1),",","."),FIND("/",SUBSTITUTE(LEFT(TRIM(C213),FIND(" ",TRIM(C213)&amp;" ")-1),",","."))+1,9))*12/52,IF(ISNUMBER(SEARCH("month",C213)),IFERROR(_xlfn.NUMBERVALUE(SUBSTITUTE(LEFT(TRIM(C213),FIND(" ",TRIM(C213)&amp;" ")-1),",","."),"."),LEFT(SUBSTITUTE(LEFT(TRIM(C213),FIND(" ",TRIM(C213)&amp;" ")-1),",","."),FIND("/",SUBSTITUTE(LEFT(TRIM(C213),FIND(" ",TRIM(C213)&amp;" ")-1),",","."))-1)/MID(SUBSTITUTE(LEFT(TRIM(C213),FIND(" ",TRIM(C213)&amp;" ")-1),",","."),FIND("/",SUBSTITUTE(LEFT(TRIM(C213),FIND(" ",TRIM(C213)&amp;" ")-1),",","."))+1,9)),IF(ISNUMBER(SEARCH("yea",C213)),IFERROR(_xlfn.NUMBERVALUE(SUBSTITUTE(LEFT(TRIM(C213),FIND(" ",TRIM(C213)&amp;" ")-1),",","."),"."),LEFT(SUBSTITUTE(LEFT(TRIM(C213),FIND(" ",TRIM(C213)&amp;" ")-1),",","."),FIND("/",SUBSTITUTE(LEFT(TRIM(C213),FIND(" ",TRIM(C213)&amp;" ")-1),",","."))-1)/MID(SUBSTITUTE(LEFT(TRIM(C213),FIND(" ",TRIM(C213)&amp;" ")-1),",","."),FIND("/",SUBSTITUTE(LEFT(TRIM(C213),FIND(" ",TRIM(C213)&amp;" ")-1),",","."))+1,9))*12,NA()))),0),36)*'Aturan &amp; Tarif'!$B$4,2)</f>
        <v>2044.08</v>
      </c>
      <c r="K213" s="32" t="n">
        <f aca="false">'Aturan &amp; Tarif'!$B$5</f>
        <v>2050</v>
      </c>
      <c r="L213" s="32" t="n">
        <f aca="false">'Aturan &amp; Tarif'!$B$6</f>
        <v>350</v>
      </c>
      <c r="M213" s="35" t="n">
        <f aca="false">I213+J213+K213+L213</f>
        <v>29844.08</v>
      </c>
      <c r="N213" s="37" t="s">
        <v>846</v>
      </c>
    </row>
    <row r="214" customFormat="false" ht="25.5" hidden="false" customHeight="true" outlineLevel="0" collapsed="false">
      <c r="A214" s="29"/>
      <c r="B214" s="30" t="s">
        <v>1393</v>
      </c>
      <c r="C214" s="31" t="s">
        <v>191</v>
      </c>
      <c r="D214" s="31" t="s">
        <v>108</v>
      </c>
      <c r="E214" s="32" t="n">
        <v>12625</v>
      </c>
      <c r="F214" s="32"/>
      <c r="G214" s="32" t="n">
        <v>150</v>
      </c>
      <c r="H214" s="33" t="n">
        <v>2</v>
      </c>
      <c r="I214" s="34" t="n">
        <f aca="false">E214*H214+N(F214)+N(G214)</f>
        <v>25400</v>
      </c>
      <c r="J214" s="32" t="n">
        <f aca="false">ROUND(IFERROR(ROUND(IF(OR(ISNUMBER(SEARCH("week",C214)),ISNUMBER(SEARCH("minggu",C214))),IFERROR(_xlfn.NUMBERVALUE(SUBSTITUTE(LEFT(TRIM(C214),FIND(" ",TRIM(C214)&amp;" ")-1),",","."),"."),LEFT(SUBSTITUTE(LEFT(TRIM(C214),FIND(" ",TRIM(C214)&amp;" ")-1),",","."),FIND("/",SUBSTITUTE(LEFT(TRIM(C214),FIND(" ",TRIM(C214)&amp;" ")-1),",","."))-1)/MID(SUBSTITUTE(LEFT(TRIM(C214),FIND(" ",TRIM(C214)&amp;" ")-1),",","."),FIND("/",SUBSTITUTE(LEFT(TRIM(C214),FIND(" ",TRIM(C214)&amp;" ")-1),",","."))+1,9))*12/52,IF(ISNUMBER(SEARCH("month",C214)),IFERROR(_xlfn.NUMBERVALUE(SUBSTITUTE(LEFT(TRIM(C214),FIND(" ",TRIM(C214)&amp;" ")-1),",","."),"."),LEFT(SUBSTITUTE(LEFT(TRIM(C214),FIND(" ",TRIM(C214)&amp;" ")-1),",","."),FIND("/",SUBSTITUTE(LEFT(TRIM(C214),FIND(" ",TRIM(C214)&amp;" ")-1),",","."))-1)/MID(SUBSTITUTE(LEFT(TRIM(C214),FIND(" ",TRIM(C214)&amp;" ")-1),",","."),FIND("/",SUBSTITUTE(LEFT(TRIM(C214),FIND(" ",TRIM(C214)&amp;" ")-1),",","."))+1,9)),IF(ISNUMBER(SEARCH("yea",C214)),IFERROR(_xlfn.NUMBERVALUE(SUBSTITUTE(LEFT(TRIM(C214),FIND(" ",TRIM(C214)&amp;" ")-1),",","."),"."),LEFT(SUBSTITUTE(LEFT(TRIM(C214),FIND(" ",TRIM(C214)&amp;" ")-1),",","."),FIND("/",SUBSTITUTE(LEFT(TRIM(C214),FIND(" ",TRIM(C214)&amp;" ")-1),",","."))-1)/MID(SUBSTITUTE(LEFT(TRIM(C214),FIND(" ",TRIM(C214)&amp;" ")-1),",","."),FIND("/",SUBSTITUTE(LEFT(TRIM(C214),FIND(" ",TRIM(C214)&amp;" ")-1),",","."))+1,9))*12,NA()))),0),48)*'Aturan &amp; Tarif'!$B$4,2)</f>
        <v>2725.44</v>
      </c>
      <c r="K214" s="32" t="n">
        <f aca="false">'Aturan &amp; Tarif'!$B$5</f>
        <v>2050</v>
      </c>
      <c r="L214" s="32" t="n">
        <f aca="false">'Aturan &amp; Tarif'!$B$6</f>
        <v>350</v>
      </c>
      <c r="M214" s="35" t="n">
        <f aca="false">I214+J214+K214+L214</f>
        <v>30525.44</v>
      </c>
      <c r="N214" s="37" t="s">
        <v>846</v>
      </c>
    </row>
    <row r="215" customFormat="false" ht="14.25" hidden="false" customHeight="true" outlineLevel="0" collapsed="false">
      <c r="A215" s="29"/>
      <c r="B215" s="30" t="s">
        <v>1394</v>
      </c>
      <c r="C215" s="31" t="s">
        <v>127</v>
      </c>
      <c r="D215" s="31" t="s">
        <v>108</v>
      </c>
      <c r="E215" s="32" t="n">
        <v>12150</v>
      </c>
      <c r="F215" s="32"/>
      <c r="G215" s="32" t="n">
        <v>150</v>
      </c>
      <c r="H215" s="33" t="n">
        <v>2</v>
      </c>
      <c r="I215" s="34" t="n">
        <f aca="false">E215*H215+N(F215)+N(G215)</f>
        <v>24450</v>
      </c>
      <c r="J215" s="32" t="n">
        <f aca="false">ROUND(IFERROR(ROUND(IF(OR(ISNUMBER(SEARCH("week",C215)),ISNUMBER(SEARCH("minggu",C215))),IFERROR(_xlfn.NUMBERVALUE(SUBSTITUTE(LEFT(TRIM(C215),FIND(" ",TRIM(C215)&amp;" ")-1),",","."),"."),LEFT(SUBSTITUTE(LEFT(TRIM(C215),FIND(" ",TRIM(C215)&amp;" ")-1),",","."),FIND("/",SUBSTITUTE(LEFT(TRIM(C215),FIND(" ",TRIM(C215)&amp;" ")-1),",","."))-1)/MID(SUBSTITUTE(LEFT(TRIM(C215),FIND(" ",TRIM(C215)&amp;" ")-1),",","."),FIND("/",SUBSTITUTE(LEFT(TRIM(C215),FIND(" ",TRIM(C215)&amp;" ")-1),",","."))+1,9))*12/52,IF(ISNUMBER(SEARCH("month",C215)),IFERROR(_xlfn.NUMBERVALUE(SUBSTITUTE(LEFT(TRIM(C215),FIND(" ",TRIM(C215)&amp;" ")-1),",","."),"."),LEFT(SUBSTITUTE(LEFT(TRIM(C215),FIND(" ",TRIM(C215)&amp;" ")-1),",","."),FIND("/",SUBSTITUTE(LEFT(TRIM(C215),FIND(" ",TRIM(C215)&amp;" ")-1),",","."))-1)/MID(SUBSTITUTE(LEFT(TRIM(C215),FIND(" ",TRIM(C215)&amp;" ")-1),",","."),FIND("/",SUBSTITUTE(LEFT(TRIM(C215),FIND(" ",TRIM(C215)&amp;" ")-1),",","."))+1,9)),IF(ISNUMBER(SEARCH("yea",C215)),IFERROR(_xlfn.NUMBERVALUE(SUBSTITUTE(LEFT(TRIM(C215),FIND(" ",TRIM(C215)&amp;" ")-1),",","."),"."),LEFT(SUBSTITUTE(LEFT(TRIM(C215),FIND(" ",TRIM(C215)&amp;" ")-1),",","."),FIND("/",SUBSTITUTE(LEFT(TRIM(C215),FIND(" ",TRIM(C215)&amp;" ")-1),",","."))-1)/MID(SUBSTITUTE(LEFT(TRIM(C215),FIND(" ",TRIM(C215)&amp;" ")-1),",","."),FIND("/",SUBSTITUTE(LEFT(TRIM(C215),FIND(" ",TRIM(C215)&amp;" ")-1),",","."))+1,9))*12,NA()))),0),36)*'Aturan &amp; Tarif'!$B$4,2)</f>
        <v>2044.08</v>
      </c>
      <c r="K215" s="32" t="n">
        <f aca="false">'Aturan &amp; Tarif'!$B$5</f>
        <v>2050</v>
      </c>
      <c r="L215" s="32" t="n">
        <f aca="false">'Aturan &amp; Tarif'!$B$6</f>
        <v>350</v>
      </c>
      <c r="M215" s="35" t="n">
        <f aca="false">I215+J215+K215+L215</f>
        <v>28894.08</v>
      </c>
      <c r="N215" s="37" t="s">
        <v>1395</v>
      </c>
    </row>
    <row r="216" customFormat="false" ht="25.5" hidden="false" customHeight="true" outlineLevel="0" collapsed="false">
      <c r="A216" s="29"/>
      <c r="B216" s="30" t="s">
        <v>1396</v>
      </c>
      <c r="C216" s="31" t="s">
        <v>127</v>
      </c>
      <c r="D216" s="31" t="s">
        <v>108</v>
      </c>
      <c r="E216" s="32" t="n">
        <v>12150</v>
      </c>
      <c r="F216" s="32"/>
      <c r="G216" s="32" t="n">
        <v>150</v>
      </c>
      <c r="H216" s="33" t="n">
        <v>2</v>
      </c>
      <c r="I216" s="34" t="n">
        <f aca="false">E216*H216+N(F216)+N(G216)</f>
        <v>24450</v>
      </c>
      <c r="J216" s="32" t="n">
        <f aca="false">ROUND(IFERROR(ROUND(IF(OR(ISNUMBER(SEARCH("week",C216)),ISNUMBER(SEARCH("minggu",C216))),IFERROR(_xlfn.NUMBERVALUE(SUBSTITUTE(LEFT(TRIM(C216),FIND(" ",TRIM(C216)&amp;" ")-1),",","."),"."),LEFT(SUBSTITUTE(LEFT(TRIM(C216),FIND(" ",TRIM(C216)&amp;" ")-1),",","."),FIND("/",SUBSTITUTE(LEFT(TRIM(C216),FIND(" ",TRIM(C216)&amp;" ")-1),",","."))-1)/MID(SUBSTITUTE(LEFT(TRIM(C216),FIND(" ",TRIM(C216)&amp;" ")-1),",","."),FIND("/",SUBSTITUTE(LEFT(TRIM(C216),FIND(" ",TRIM(C216)&amp;" ")-1),",","."))+1,9))*12/52,IF(ISNUMBER(SEARCH("month",C216)),IFERROR(_xlfn.NUMBERVALUE(SUBSTITUTE(LEFT(TRIM(C216),FIND(" ",TRIM(C216)&amp;" ")-1),",","."),"."),LEFT(SUBSTITUTE(LEFT(TRIM(C216),FIND(" ",TRIM(C216)&amp;" ")-1),",","."),FIND("/",SUBSTITUTE(LEFT(TRIM(C216),FIND(" ",TRIM(C216)&amp;" ")-1),",","."))-1)/MID(SUBSTITUTE(LEFT(TRIM(C216),FIND(" ",TRIM(C216)&amp;" ")-1),",","."),FIND("/",SUBSTITUTE(LEFT(TRIM(C216),FIND(" ",TRIM(C216)&amp;" ")-1),",","."))+1,9)),IF(ISNUMBER(SEARCH("yea",C216)),IFERROR(_xlfn.NUMBERVALUE(SUBSTITUTE(LEFT(TRIM(C216),FIND(" ",TRIM(C216)&amp;" ")-1),",","."),"."),LEFT(SUBSTITUTE(LEFT(TRIM(C216),FIND(" ",TRIM(C216)&amp;" ")-1),",","."),FIND("/",SUBSTITUTE(LEFT(TRIM(C216),FIND(" ",TRIM(C216)&amp;" ")-1),",","."))-1)/MID(SUBSTITUTE(LEFT(TRIM(C216),FIND(" ",TRIM(C216)&amp;" ")-1),",","."),FIND("/",SUBSTITUTE(LEFT(TRIM(C216),FIND(" ",TRIM(C216)&amp;" ")-1),",","."))+1,9))*12,NA()))),0),36)*'Aturan &amp; Tarif'!$B$4,2)</f>
        <v>2044.08</v>
      </c>
      <c r="K216" s="32" t="n">
        <f aca="false">'Aturan &amp; Tarif'!$B$5</f>
        <v>2050</v>
      </c>
      <c r="L216" s="32" t="n">
        <f aca="false">'Aturan &amp; Tarif'!$B$6</f>
        <v>350</v>
      </c>
      <c r="M216" s="35" t="n">
        <f aca="false">I216+J216+K216+L216</f>
        <v>28894.08</v>
      </c>
      <c r="N216" s="37" t="s">
        <v>1395</v>
      </c>
    </row>
    <row r="217" customFormat="false" ht="25.5" hidden="false" customHeight="true" outlineLevel="0" collapsed="false">
      <c r="A217" s="29"/>
      <c r="B217" s="30" t="s">
        <v>1397</v>
      </c>
      <c r="C217" s="31" t="s">
        <v>127</v>
      </c>
      <c r="D217" s="31" t="s">
        <v>108</v>
      </c>
      <c r="E217" s="32" t="n">
        <v>12150</v>
      </c>
      <c r="F217" s="32"/>
      <c r="G217" s="32" t="n">
        <v>150</v>
      </c>
      <c r="H217" s="33" t="n">
        <v>2</v>
      </c>
      <c r="I217" s="34" t="n">
        <f aca="false">E217*H217+N(F217)+N(G217)</f>
        <v>24450</v>
      </c>
      <c r="J217" s="32" t="n">
        <f aca="false">ROUND(IFERROR(ROUND(IF(OR(ISNUMBER(SEARCH("week",C217)),ISNUMBER(SEARCH("minggu",C217))),IFERROR(_xlfn.NUMBERVALUE(SUBSTITUTE(LEFT(TRIM(C217),FIND(" ",TRIM(C217)&amp;" ")-1),",","."),"."),LEFT(SUBSTITUTE(LEFT(TRIM(C217),FIND(" ",TRIM(C217)&amp;" ")-1),",","."),FIND("/",SUBSTITUTE(LEFT(TRIM(C217),FIND(" ",TRIM(C217)&amp;" ")-1),",","."))-1)/MID(SUBSTITUTE(LEFT(TRIM(C217),FIND(" ",TRIM(C217)&amp;" ")-1),",","."),FIND("/",SUBSTITUTE(LEFT(TRIM(C217),FIND(" ",TRIM(C217)&amp;" ")-1),",","."))+1,9))*12/52,IF(ISNUMBER(SEARCH("month",C217)),IFERROR(_xlfn.NUMBERVALUE(SUBSTITUTE(LEFT(TRIM(C217),FIND(" ",TRIM(C217)&amp;" ")-1),",","."),"."),LEFT(SUBSTITUTE(LEFT(TRIM(C217),FIND(" ",TRIM(C217)&amp;" ")-1),",","."),FIND("/",SUBSTITUTE(LEFT(TRIM(C217),FIND(" ",TRIM(C217)&amp;" ")-1),",","."))-1)/MID(SUBSTITUTE(LEFT(TRIM(C217),FIND(" ",TRIM(C217)&amp;" ")-1),",","."),FIND("/",SUBSTITUTE(LEFT(TRIM(C217),FIND(" ",TRIM(C217)&amp;" ")-1),",","."))+1,9)),IF(ISNUMBER(SEARCH("yea",C217)),IFERROR(_xlfn.NUMBERVALUE(SUBSTITUTE(LEFT(TRIM(C217),FIND(" ",TRIM(C217)&amp;" ")-1),",","."),"."),LEFT(SUBSTITUTE(LEFT(TRIM(C217),FIND(" ",TRIM(C217)&amp;" ")-1),",","."),FIND("/",SUBSTITUTE(LEFT(TRIM(C217),FIND(" ",TRIM(C217)&amp;" ")-1),",","."))-1)/MID(SUBSTITUTE(LEFT(TRIM(C217),FIND(" ",TRIM(C217)&amp;" ")-1),",","."),FIND("/",SUBSTITUTE(LEFT(TRIM(C217),FIND(" ",TRIM(C217)&amp;" ")-1),",","."))+1,9))*12,NA()))),0),36)*'Aturan &amp; Tarif'!$B$4,2)</f>
        <v>2044.08</v>
      </c>
      <c r="K217" s="32" t="n">
        <f aca="false">'Aturan &amp; Tarif'!$B$5</f>
        <v>2050</v>
      </c>
      <c r="L217" s="32" t="n">
        <f aca="false">'Aturan &amp; Tarif'!$B$6</f>
        <v>350</v>
      </c>
      <c r="M217" s="35" t="n">
        <f aca="false">I217+J217+K217+L217</f>
        <v>28894.08</v>
      </c>
      <c r="N217" s="37" t="s">
        <v>1395</v>
      </c>
    </row>
    <row r="218" customFormat="false" ht="14.25" hidden="false" customHeight="true" outlineLevel="0" collapsed="false">
      <c r="A218" s="29"/>
      <c r="B218" s="30" t="s">
        <v>1398</v>
      </c>
      <c r="C218" s="31" t="s">
        <v>191</v>
      </c>
      <c r="D218" s="31" t="s">
        <v>108</v>
      </c>
      <c r="E218" s="32" t="n">
        <v>12150</v>
      </c>
      <c r="F218" s="32"/>
      <c r="G218" s="32" t="n">
        <v>150</v>
      </c>
      <c r="H218" s="33" t="n">
        <v>2</v>
      </c>
      <c r="I218" s="34" t="n">
        <f aca="false">E218*H218+N(F218)+N(G218)</f>
        <v>24450</v>
      </c>
      <c r="J218" s="32" t="n">
        <f aca="false">ROUND(IFERROR(ROUND(IF(OR(ISNUMBER(SEARCH("week",C218)),ISNUMBER(SEARCH("minggu",C218))),IFERROR(_xlfn.NUMBERVALUE(SUBSTITUTE(LEFT(TRIM(C218),FIND(" ",TRIM(C218)&amp;" ")-1),",","."),"."),LEFT(SUBSTITUTE(LEFT(TRIM(C218),FIND(" ",TRIM(C218)&amp;" ")-1),",","."),FIND("/",SUBSTITUTE(LEFT(TRIM(C218),FIND(" ",TRIM(C218)&amp;" ")-1),",","."))-1)/MID(SUBSTITUTE(LEFT(TRIM(C218),FIND(" ",TRIM(C218)&amp;" ")-1),",","."),FIND("/",SUBSTITUTE(LEFT(TRIM(C218),FIND(" ",TRIM(C218)&amp;" ")-1),",","."))+1,9))*12/52,IF(ISNUMBER(SEARCH("month",C218)),IFERROR(_xlfn.NUMBERVALUE(SUBSTITUTE(LEFT(TRIM(C218),FIND(" ",TRIM(C218)&amp;" ")-1),",","."),"."),LEFT(SUBSTITUTE(LEFT(TRIM(C218),FIND(" ",TRIM(C218)&amp;" ")-1),",","."),FIND("/",SUBSTITUTE(LEFT(TRIM(C218),FIND(" ",TRIM(C218)&amp;" ")-1),",","."))-1)/MID(SUBSTITUTE(LEFT(TRIM(C218),FIND(" ",TRIM(C218)&amp;" ")-1),",","."),FIND("/",SUBSTITUTE(LEFT(TRIM(C218),FIND(" ",TRIM(C218)&amp;" ")-1),",","."))+1,9)),IF(ISNUMBER(SEARCH("yea",C218)),IFERROR(_xlfn.NUMBERVALUE(SUBSTITUTE(LEFT(TRIM(C218),FIND(" ",TRIM(C218)&amp;" ")-1),",","."),"."),LEFT(SUBSTITUTE(LEFT(TRIM(C218),FIND(" ",TRIM(C218)&amp;" ")-1),",","."),FIND("/",SUBSTITUTE(LEFT(TRIM(C218),FIND(" ",TRIM(C218)&amp;" ")-1),",","."))-1)/MID(SUBSTITUTE(LEFT(TRIM(C218),FIND(" ",TRIM(C218)&amp;" ")-1),",","."),FIND("/",SUBSTITUTE(LEFT(TRIM(C218),FIND(" ",TRIM(C218)&amp;" ")-1),",","."))+1,9))*12,NA()))),0),48)*'Aturan &amp; Tarif'!$B$4,2)</f>
        <v>2725.44</v>
      </c>
      <c r="K218" s="32" t="n">
        <f aca="false">'Aturan &amp; Tarif'!$B$5</f>
        <v>2050</v>
      </c>
      <c r="L218" s="32" t="n">
        <f aca="false">'Aturan &amp; Tarif'!$B$6</f>
        <v>350</v>
      </c>
      <c r="M218" s="35" t="n">
        <f aca="false">I218+J218+K218+L218</f>
        <v>29575.44</v>
      </c>
      <c r="N218" s="37" t="s">
        <v>846</v>
      </c>
    </row>
    <row r="219" customFormat="false" ht="25.5" hidden="false" customHeight="true" outlineLevel="0" collapsed="false">
      <c r="A219" s="29"/>
      <c r="B219" s="30" t="s">
        <v>1399</v>
      </c>
      <c r="C219" s="31" t="s">
        <v>191</v>
      </c>
      <c r="D219" s="31" t="s">
        <v>108</v>
      </c>
      <c r="E219" s="32" t="n">
        <v>12150</v>
      </c>
      <c r="F219" s="32"/>
      <c r="G219" s="32" t="n">
        <v>150</v>
      </c>
      <c r="H219" s="33" t="n">
        <v>2</v>
      </c>
      <c r="I219" s="34" t="n">
        <f aca="false">E219*H219+N(F219)+N(G219)</f>
        <v>24450</v>
      </c>
      <c r="J219" s="32" t="n">
        <f aca="false">ROUND(IFERROR(ROUND(IF(OR(ISNUMBER(SEARCH("week",C219)),ISNUMBER(SEARCH("minggu",C219))),IFERROR(_xlfn.NUMBERVALUE(SUBSTITUTE(LEFT(TRIM(C219),FIND(" ",TRIM(C219)&amp;" ")-1),",","."),"."),LEFT(SUBSTITUTE(LEFT(TRIM(C219),FIND(" ",TRIM(C219)&amp;" ")-1),",","."),FIND("/",SUBSTITUTE(LEFT(TRIM(C219),FIND(" ",TRIM(C219)&amp;" ")-1),",","."))-1)/MID(SUBSTITUTE(LEFT(TRIM(C219),FIND(" ",TRIM(C219)&amp;" ")-1),",","."),FIND("/",SUBSTITUTE(LEFT(TRIM(C219),FIND(" ",TRIM(C219)&amp;" ")-1),",","."))+1,9))*12/52,IF(ISNUMBER(SEARCH("month",C219)),IFERROR(_xlfn.NUMBERVALUE(SUBSTITUTE(LEFT(TRIM(C219),FIND(" ",TRIM(C219)&amp;" ")-1),",","."),"."),LEFT(SUBSTITUTE(LEFT(TRIM(C219),FIND(" ",TRIM(C219)&amp;" ")-1),",","."),FIND("/",SUBSTITUTE(LEFT(TRIM(C219),FIND(" ",TRIM(C219)&amp;" ")-1),",","."))-1)/MID(SUBSTITUTE(LEFT(TRIM(C219),FIND(" ",TRIM(C219)&amp;" ")-1),",","."),FIND("/",SUBSTITUTE(LEFT(TRIM(C219),FIND(" ",TRIM(C219)&amp;" ")-1),",","."))+1,9)),IF(ISNUMBER(SEARCH("yea",C219)),IFERROR(_xlfn.NUMBERVALUE(SUBSTITUTE(LEFT(TRIM(C219),FIND(" ",TRIM(C219)&amp;" ")-1),",","."),"."),LEFT(SUBSTITUTE(LEFT(TRIM(C219),FIND(" ",TRIM(C219)&amp;" ")-1),",","."),FIND("/",SUBSTITUTE(LEFT(TRIM(C219),FIND(" ",TRIM(C219)&amp;" ")-1),",","."))-1)/MID(SUBSTITUTE(LEFT(TRIM(C219),FIND(" ",TRIM(C219)&amp;" ")-1),",","."),FIND("/",SUBSTITUTE(LEFT(TRIM(C219),FIND(" ",TRIM(C219)&amp;" ")-1),",","."))+1,9))*12,NA()))),0),48)*'Aturan &amp; Tarif'!$B$4,2)</f>
        <v>2725.44</v>
      </c>
      <c r="K219" s="32" t="n">
        <f aca="false">'Aturan &amp; Tarif'!$B$5</f>
        <v>2050</v>
      </c>
      <c r="L219" s="32" t="n">
        <f aca="false">'Aturan &amp; Tarif'!$B$6</f>
        <v>350</v>
      </c>
      <c r="M219" s="35" t="n">
        <f aca="false">I219+J219+K219+L219</f>
        <v>29575.44</v>
      </c>
      <c r="N219" s="37" t="s">
        <v>846</v>
      </c>
    </row>
    <row r="220" customFormat="false" ht="25.5" hidden="false" customHeight="true" outlineLevel="0" collapsed="false">
      <c r="A220" s="29"/>
      <c r="B220" s="30" t="s">
        <v>1400</v>
      </c>
      <c r="C220" s="31" t="s">
        <v>191</v>
      </c>
      <c r="D220" s="31" t="s">
        <v>108</v>
      </c>
      <c r="E220" s="32" t="n">
        <v>12150</v>
      </c>
      <c r="F220" s="32"/>
      <c r="G220" s="32" t="n">
        <v>150</v>
      </c>
      <c r="H220" s="33" t="n">
        <v>2</v>
      </c>
      <c r="I220" s="34" t="n">
        <f aca="false">E220*H220+N(F220)+N(G220)</f>
        <v>24450</v>
      </c>
      <c r="J220" s="32" t="n">
        <f aca="false">ROUND(IFERROR(ROUND(IF(OR(ISNUMBER(SEARCH("week",C220)),ISNUMBER(SEARCH("minggu",C220))),IFERROR(_xlfn.NUMBERVALUE(SUBSTITUTE(LEFT(TRIM(C220),FIND(" ",TRIM(C220)&amp;" ")-1),",","."),"."),LEFT(SUBSTITUTE(LEFT(TRIM(C220),FIND(" ",TRIM(C220)&amp;" ")-1),",","."),FIND("/",SUBSTITUTE(LEFT(TRIM(C220),FIND(" ",TRIM(C220)&amp;" ")-1),",","."))-1)/MID(SUBSTITUTE(LEFT(TRIM(C220),FIND(" ",TRIM(C220)&amp;" ")-1),",","."),FIND("/",SUBSTITUTE(LEFT(TRIM(C220),FIND(" ",TRIM(C220)&amp;" ")-1),",","."))+1,9))*12/52,IF(ISNUMBER(SEARCH("month",C220)),IFERROR(_xlfn.NUMBERVALUE(SUBSTITUTE(LEFT(TRIM(C220),FIND(" ",TRIM(C220)&amp;" ")-1),",","."),"."),LEFT(SUBSTITUTE(LEFT(TRIM(C220),FIND(" ",TRIM(C220)&amp;" ")-1),",","."),FIND("/",SUBSTITUTE(LEFT(TRIM(C220),FIND(" ",TRIM(C220)&amp;" ")-1),",","."))-1)/MID(SUBSTITUTE(LEFT(TRIM(C220),FIND(" ",TRIM(C220)&amp;" ")-1),",","."),FIND("/",SUBSTITUTE(LEFT(TRIM(C220),FIND(" ",TRIM(C220)&amp;" ")-1),",","."))+1,9)),IF(ISNUMBER(SEARCH("yea",C220)),IFERROR(_xlfn.NUMBERVALUE(SUBSTITUTE(LEFT(TRIM(C220),FIND(" ",TRIM(C220)&amp;" ")-1),",","."),"."),LEFT(SUBSTITUTE(LEFT(TRIM(C220),FIND(" ",TRIM(C220)&amp;" ")-1),",","."),FIND("/",SUBSTITUTE(LEFT(TRIM(C220),FIND(" ",TRIM(C220)&amp;" ")-1),",","."))-1)/MID(SUBSTITUTE(LEFT(TRIM(C220),FIND(" ",TRIM(C220)&amp;" ")-1),",","."),FIND("/",SUBSTITUTE(LEFT(TRIM(C220),FIND(" ",TRIM(C220)&amp;" ")-1),",","."))+1,9))*12,NA()))),0),48)*'Aturan &amp; Tarif'!$B$4,2)</f>
        <v>2725.44</v>
      </c>
      <c r="K220" s="32" t="n">
        <f aca="false">'Aturan &amp; Tarif'!$B$5</f>
        <v>2050</v>
      </c>
      <c r="L220" s="32" t="n">
        <f aca="false">'Aturan &amp; Tarif'!$B$6</f>
        <v>350</v>
      </c>
      <c r="M220" s="35" t="n">
        <f aca="false">I220+J220+K220+L220</f>
        <v>29575.44</v>
      </c>
      <c r="N220" s="37" t="s">
        <v>846</v>
      </c>
    </row>
    <row r="221" customFormat="false" ht="14.25" hidden="false" customHeight="true" outlineLevel="0" collapsed="false">
      <c r="A221" s="29"/>
      <c r="B221" s="30" t="s">
        <v>1401</v>
      </c>
      <c r="C221" s="31" t="s">
        <v>130</v>
      </c>
      <c r="D221" s="31" t="s">
        <v>108</v>
      </c>
      <c r="E221" s="32" t="n">
        <v>12150</v>
      </c>
      <c r="F221" s="32"/>
      <c r="G221" s="32" t="n">
        <v>150</v>
      </c>
      <c r="H221" s="33" t="n">
        <v>2</v>
      </c>
      <c r="I221" s="34" t="n">
        <f aca="false">E221*H221+N(F221)+N(G221)</f>
        <v>24450</v>
      </c>
      <c r="J221" s="32" t="n">
        <f aca="false">ROUND(IFERROR(ROUND(IF(OR(ISNUMBER(SEARCH("week",C221)),ISNUMBER(SEARCH("minggu",C221))),IFERROR(_xlfn.NUMBERVALUE(SUBSTITUTE(LEFT(TRIM(C221),FIND(" ",TRIM(C221)&amp;" ")-1),",","."),"."),LEFT(SUBSTITUTE(LEFT(TRIM(C221),FIND(" ",TRIM(C221)&amp;" ")-1),",","."),FIND("/",SUBSTITUTE(LEFT(TRIM(C221),FIND(" ",TRIM(C221)&amp;" ")-1),",","."))-1)/MID(SUBSTITUTE(LEFT(TRIM(C221),FIND(" ",TRIM(C221)&amp;" ")-1),",","."),FIND("/",SUBSTITUTE(LEFT(TRIM(C221),FIND(" ",TRIM(C221)&amp;" ")-1),",","."))+1,9))*12/52,IF(ISNUMBER(SEARCH("month",C221)),IFERROR(_xlfn.NUMBERVALUE(SUBSTITUTE(LEFT(TRIM(C221),FIND(" ",TRIM(C221)&amp;" ")-1),",","."),"."),LEFT(SUBSTITUTE(LEFT(TRIM(C221),FIND(" ",TRIM(C221)&amp;" ")-1),",","."),FIND("/",SUBSTITUTE(LEFT(TRIM(C221),FIND(" ",TRIM(C221)&amp;" ")-1),",","."))-1)/MID(SUBSTITUTE(LEFT(TRIM(C221),FIND(" ",TRIM(C221)&amp;" ")-1),",","."),FIND("/",SUBSTITUTE(LEFT(TRIM(C221),FIND(" ",TRIM(C221)&amp;" ")-1),",","."))+1,9)),IF(ISNUMBER(SEARCH("yea",C221)),IFERROR(_xlfn.NUMBERVALUE(SUBSTITUTE(LEFT(TRIM(C221),FIND(" ",TRIM(C221)&amp;" ")-1),",","."),"."),LEFT(SUBSTITUTE(LEFT(TRIM(C221),FIND(" ",TRIM(C221)&amp;" ")-1),",","."),FIND("/",SUBSTITUTE(LEFT(TRIM(C221),FIND(" ",TRIM(C221)&amp;" ")-1),",","."))-1)/MID(SUBSTITUTE(LEFT(TRIM(C221),FIND(" ",TRIM(C221)&amp;" ")-1),",","."),FIND("/",SUBSTITUTE(LEFT(TRIM(C221),FIND(" ",TRIM(C221)&amp;" ")-1),",","."))+1,9))*12,NA()))),0),12)*'Aturan &amp; Tarif'!$B$4,2)</f>
        <v>681.36</v>
      </c>
      <c r="K221" s="32" t="n">
        <f aca="false">'Aturan &amp; Tarif'!$B$5</f>
        <v>2050</v>
      </c>
      <c r="L221" s="32" t="n">
        <f aca="false">'Aturan &amp; Tarif'!$B$6</f>
        <v>350</v>
      </c>
      <c r="M221" s="35" t="n">
        <f aca="false">I221+J221+K221+L221</f>
        <v>27531.36</v>
      </c>
      <c r="N221" s="37" t="s">
        <v>846</v>
      </c>
    </row>
    <row r="222" customFormat="false" ht="14.25" hidden="false" customHeight="true" outlineLevel="0" collapsed="false">
      <c r="A222" s="29"/>
      <c r="B222" s="30" t="s">
        <v>395</v>
      </c>
      <c r="C222" s="31" t="s">
        <v>191</v>
      </c>
      <c r="D222" s="31" t="s">
        <v>108</v>
      </c>
      <c r="E222" s="32" t="n">
        <v>10850</v>
      </c>
      <c r="F222" s="32"/>
      <c r="G222" s="32" t="n">
        <v>150</v>
      </c>
      <c r="H222" s="33" t="n">
        <v>2</v>
      </c>
      <c r="I222" s="34" t="n">
        <f aca="false">E222*H222+N(F222)+N(G222)</f>
        <v>21850</v>
      </c>
      <c r="J222" s="32" t="n">
        <f aca="false">ROUND(IFERROR(ROUND(IF(OR(ISNUMBER(SEARCH("week",C222)),ISNUMBER(SEARCH("minggu",C222))),IFERROR(_xlfn.NUMBERVALUE(SUBSTITUTE(LEFT(TRIM(C222),FIND(" ",TRIM(C222)&amp;" ")-1),",","."),"."),LEFT(SUBSTITUTE(LEFT(TRIM(C222),FIND(" ",TRIM(C222)&amp;" ")-1),",","."),FIND("/",SUBSTITUTE(LEFT(TRIM(C222),FIND(" ",TRIM(C222)&amp;" ")-1),",","."))-1)/MID(SUBSTITUTE(LEFT(TRIM(C222),FIND(" ",TRIM(C222)&amp;" ")-1),",","."),FIND("/",SUBSTITUTE(LEFT(TRIM(C222),FIND(" ",TRIM(C222)&amp;" ")-1),",","."))+1,9))*12/52,IF(ISNUMBER(SEARCH("month",C222)),IFERROR(_xlfn.NUMBERVALUE(SUBSTITUTE(LEFT(TRIM(C222),FIND(" ",TRIM(C222)&amp;" ")-1),",","."),"."),LEFT(SUBSTITUTE(LEFT(TRIM(C222),FIND(" ",TRIM(C222)&amp;" ")-1),",","."),FIND("/",SUBSTITUTE(LEFT(TRIM(C222),FIND(" ",TRIM(C222)&amp;" ")-1),",","."))-1)/MID(SUBSTITUTE(LEFT(TRIM(C222),FIND(" ",TRIM(C222)&amp;" ")-1),",","."),FIND("/",SUBSTITUTE(LEFT(TRIM(C222),FIND(" ",TRIM(C222)&amp;" ")-1),",","."))+1,9)),IF(ISNUMBER(SEARCH("yea",C222)),IFERROR(_xlfn.NUMBERVALUE(SUBSTITUTE(LEFT(TRIM(C222),FIND(" ",TRIM(C222)&amp;" ")-1),",","."),"."),LEFT(SUBSTITUTE(LEFT(TRIM(C222),FIND(" ",TRIM(C222)&amp;" ")-1),",","."),FIND("/",SUBSTITUTE(LEFT(TRIM(C222),FIND(" ",TRIM(C222)&amp;" ")-1),",","."))-1)/MID(SUBSTITUTE(LEFT(TRIM(C222),FIND(" ",TRIM(C222)&amp;" ")-1),",","."),FIND("/",SUBSTITUTE(LEFT(TRIM(C222),FIND(" ",TRIM(C222)&amp;" ")-1),",","."))+1,9))*12,NA()))),0),48)*'Aturan &amp; Tarif'!$B$4,2)</f>
        <v>2725.44</v>
      </c>
      <c r="K222" s="32" t="n">
        <f aca="false">'Aturan &amp; Tarif'!$B$5</f>
        <v>2050</v>
      </c>
      <c r="L222" s="32" t="n">
        <f aca="false">'Aturan &amp; Tarif'!$B$6</f>
        <v>350</v>
      </c>
      <c r="M222" s="35" t="n">
        <f aca="false">I222+J222+K222+L222</f>
        <v>26975.44</v>
      </c>
      <c r="N222" s="37" t="s">
        <v>1402</v>
      </c>
    </row>
    <row r="223" customFormat="false" ht="14.25" hidden="false" customHeight="true" outlineLevel="0" collapsed="false">
      <c r="A223" s="29"/>
      <c r="B223" s="30" t="s">
        <v>1403</v>
      </c>
      <c r="C223" s="31" t="s">
        <v>191</v>
      </c>
      <c r="D223" s="31" t="s">
        <v>108</v>
      </c>
      <c r="E223" s="32" t="n">
        <v>10850</v>
      </c>
      <c r="F223" s="32"/>
      <c r="G223" s="32" t="n">
        <v>150</v>
      </c>
      <c r="H223" s="33" t="n">
        <v>2</v>
      </c>
      <c r="I223" s="34" t="n">
        <f aca="false">E223*H223+N(F223)+N(G223)</f>
        <v>21850</v>
      </c>
      <c r="J223" s="32" t="n">
        <f aca="false">ROUND(IFERROR(ROUND(IF(OR(ISNUMBER(SEARCH("week",C223)),ISNUMBER(SEARCH("minggu",C223))),IFERROR(_xlfn.NUMBERVALUE(SUBSTITUTE(LEFT(TRIM(C223),FIND(" ",TRIM(C223)&amp;" ")-1),",","."),"."),LEFT(SUBSTITUTE(LEFT(TRIM(C223),FIND(" ",TRIM(C223)&amp;" ")-1),",","."),FIND("/",SUBSTITUTE(LEFT(TRIM(C223),FIND(" ",TRIM(C223)&amp;" ")-1),",","."))-1)/MID(SUBSTITUTE(LEFT(TRIM(C223),FIND(" ",TRIM(C223)&amp;" ")-1),",","."),FIND("/",SUBSTITUTE(LEFT(TRIM(C223),FIND(" ",TRIM(C223)&amp;" ")-1),",","."))+1,9))*12/52,IF(ISNUMBER(SEARCH("month",C223)),IFERROR(_xlfn.NUMBERVALUE(SUBSTITUTE(LEFT(TRIM(C223),FIND(" ",TRIM(C223)&amp;" ")-1),",","."),"."),LEFT(SUBSTITUTE(LEFT(TRIM(C223),FIND(" ",TRIM(C223)&amp;" ")-1),",","."),FIND("/",SUBSTITUTE(LEFT(TRIM(C223),FIND(" ",TRIM(C223)&amp;" ")-1),",","."))-1)/MID(SUBSTITUTE(LEFT(TRIM(C223),FIND(" ",TRIM(C223)&amp;" ")-1),",","."),FIND("/",SUBSTITUTE(LEFT(TRIM(C223),FIND(" ",TRIM(C223)&amp;" ")-1),",","."))+1,9)),IF(ISNUMBER(SEARCH("yea",C223)),IFERROR(_xlfn.NUMBERVALUE(SUBSTITUTE(LEFT(TRIM(C223),FIND(" ",TRIM(C223)&amp;" ")-1),",","."),"."),LEFT(SUBSTITUTE(LEFT(TRIM(C223),FIND(" ",TRIM(C223)&amp;" ")-1),",","."),FIND("/",SUBSTITUTE(LEFT(TRIM(C223),FIND(" ",TRIM(C223)&amp;" ")-1),",","."))-1)/MID(SUBSTITUTE(LEFT(TRIM(C223),FIND(" ",TRIM(C223)&amp;" ")-1),",","."),FIND("/",SUBSTITUTE(LEFT(TRIM(C223),FIND(" ",TRIM(C223)&amp;" ")-1),",","."))+1,9))*12,NA()))),0),48)*'Aturan &amp; Tarif'!$B$4,2)</f>
        <v>2725.44</v>
      </c>
      <c r="K223" s="32" t="n">
        <f aca="false">'Aturan &amp; Tarif'!$B$5</f>
        <v>2050</v>
      </c>
      <c r="L223" s="32" t="n">
        <f aca="false">'Aturan &amp; Tarif'!$B$6</f>
        <v>350</v>
      </c>
      <c r="M223" s="35" t="n">
        <f aca="false">I223+J223+K223+L223</f>
        <v>26975.44</v>
      </c>
      <c r="N223" s="37" t="s">
        <v>846</v>
      </c>
    </row>
    <row r="224" customFormat="false" ht="14.25" hidden="false" customHeight="true" outlineLevel="0" collapsed="false">
      <c r="A224" s="29"/>
      <c r="B224" s="30" t="s">
        <v>251</v>
      </c>
      <c r="C224" s="31" t="s">
        <v>127</v>
      </c>
      <c r="D224" s="31" t="s">
        <v>108</v>
      </c>
      <c r="E224" s="32" t="n">
        <v>13850</v>
      </c>
      <c r="F224" s="32"/>
      <c r="G224" s="32" t="n">
        <v>150</v>
      </c>
      <c r="H224" s="33" t="n">
        <v>2</v>
      </c>
      <c r="I224" s="34" t="n">
        <f aca="false">E224*H224+N(F224)+N(G224)</f>
        <v>27850</v>
      </c>
      <c r="J224" s="32" t="n">
        <f aca="false">ROUND(IFERROR(ROUND(IF(OR(ISNUMBER(SEARCH("week",C224)),ISNUMBER(SEARCH("minggu",C224))),IFERROR(_xlfn.NUMBERVALUE(SUBSTITUTE(LEFT(TRIM(C224),FIND(" ",TRIM(C224)&amp;" ")-1),",","."),"."),LEFT(SUBSTITUTE(LEFT(TRIM(C224),FIND(" ",TRIM(C224)&amp;" ")-1),",","."),FIND("/",SUBSTITUTE(LEFT(TRIM(C224),FIND(" ",TRIM(C224)&amp;" ")-1),",","."))-1)/MID(SUBSTITUTE(LEFT(TRIM(C224),FIND(" ",TRIM(C224)&amp;" ")-1),",","."),FIND("/",SUBSTITUTE(LEFT(TRIM(C224),FIND(" ",TRIM(C224)&amp;" ")-1),",","."))+1,9))*12/52,IF(ISNUMBER(SEARCH("month",C224)),IFERROR(_xlfn.NUMBERVALUE(SUBSTITUTE(LEFT(TRIM(C224),FIND(" ",TRIM(C224)&amp;" ")-1),",","."),"."),LEFT(SUBSTITUTE(LEFT(TRIM(C224),FIND(" ",TRIM(C224)&amp;" ")-1),",","."),FIND("/",SUBSTITUTE(LEFT(TRIM(C224),FIND(" ",TRIM(C224)&amp;" ")-1),",","."))-1)/MID(SUBSTITUTE(LEFT(TRIM(C224),FIND(" ",TRIM(C224)&amp;" ")-1),",","."),FIND("/",SUBSTITUTE(LEFT(TRIM(C224),FIND(" ",TRIM(C224)&amp;" ")-1),",","."))+1,9)),IF(ISNUMBER(SEARCH("yea",C224)),IFERROR(_xlfn.NUMBERVALUE(SUBSTITUTE(LEFT(TRIM(C224),FIND(" ",TRIM(C224)&amp;" ")-1),",","."),"."),LEFT(SUBSTITUTE(LEFT(TRIM(C224),FIND(" ",TRIM(C224)&amp;" ")-1),",","."),FIND("/",SUBSTITUTE(LEFT(TRIM(C224),FIND(" ",TRIM(C224)&amp;" ")-1),",","."))-1)/MID(SUBSTITUTE(LEFT(TRIM(C224),FIND(" ",TRIM(C224)&amp;" ")-1),",","."),FIND("/",SUBSTITUTE(LEFT(TRIM(C224),FIND(" ",TRIM(C224)&amp;" ")-1),",","."))+1,9))*12,NA()))),0),36)*'Aturan &amp; Tarif'!$B$4,2)</f>
        <v>2044.08</v>
      </c>
      <c r="K224" s="32" t="n">
        <f aca="false">'Aturan &amp; Tarif'!$B$5</f>
        <v>2050</v>
      </c>
      <c r="L224" s="32" t="n">
        <f aca="false">'Aturan &amp; Tarif'!$B$6</f>
        <v>350</v>
      </c>
      <c r="M224" s="35" t="n">
        <f aca="false">I224+J224+K224+L224</f>
        <v>32294.08</v>
      </c>
      <c r="N224" s="37" t="s">
        <v>1187</v>
      </c>
    </row>
    <row r="225" customFormat="false" ht="25.5" hidden="false" customHeight="true" outlineLevel="0" collapsed="false">
      <c r="A225" s="29"/>
      <c r="B225" s="30" t="s">
        <v>1404</v>
      </c>
      <c r="C225" s="31" t="s">
        <v>127</v>
      </c>
      <c r="D225" s="31" t="s">
        <v>108</v>
      </c>
      <c r="E225" s="32" t="n">
        <v>13850</v>
      </c>
      <c r="F225" s="32"/>
      <c r="G225" s="32" t="n">
        <v>150</v>
      </c>
      <c r="H225" s="33" t="n">
        <v>2</v>
      </c>
      <c r="I225" s="34" t="n">
        <f aca="false">E225*H225+N(F225)+N(G225)</f>
        <v>27850</v>
      </c>
      <c r="J225" s="32" t="n">
        <f aca="false">ROUND(IFERROR(ROUND(IF(OR(ISNUMBER(SEARCH("week",C225)),ISNUMBER(SEARCH("minggu",C225))),IFERROR(_xlfn.NUMBERVALUE(SUBSTITUTE(LEFT(TRIM(C225),FIND(" ",TRIM(C225)&amp;" ")-1),",","."),"."),LEFT(SUBSTITUTE(LEFT(TRIM(C225),FIND(" ",TRIM(C225)&amp;" ")-1),",","."),FIND("/",SUBSTITUTE(LEFT(TRIM(C225),FIND(" ",TRIM(C225)&amp;" ")-1),",","."))-1)/MID(SUBSTITUTE(LEFT(TRIM(C225),FIND(" ",TRIM(C225)&amp;" ")-1),",","."),FIND("/",SUBSTITUTE(LEFT(TRIM(C225),FIND(" ",TRIM(C225)&amp;" ")-1),",","."))+1,9))*12/52,IF(ISNUMBER(SEARCH("month",C225)),IFERROR(_xlfn.NUMBERVALUE(SUBSTITUTE(LEFT(TRIM(C225),FIND(" ",TRIM(C225)&amp;" ")-1),",","."),"."),LEFT(SUBSTITUTE(LEFT(TRIM(C225),FIND(" ",TRIM(C225)&amp;" ")-1),",","."),FIND("/",SUBSTITUTE(LEFT(TRIM(C225),FIND(" ",TRIM(C225)&amp;" ")-1),",","."))-1)/MID(SUBSTITUTE(LEFT(TRIM(C225),FIND(" ",TRIM(C225)&amp;" ")-1),",","."),FIND("/",SUBSTITUTE(LEFT(TRIM(C225),FIND(" ",TRIM(C225)&amp;" ")-1),",","."))+1,9)),IF(ISNUMBER(SEARCH("yea",C225)),IFERROR(_xlfn.NUMBERVALUE(SUBSTITUTE(LEFT(TRIM(C225),FIND(" ",TRIM(C225)&amp;" ")-1),",","."),"."),LEFT(SUBSTITUTE(LEFT(TRIM(C225),FIND(" ",TRIM(C225)&amp;" ")-1),",","."),FIND("/",SUBSTITUTE(LEFT(TRIM(C225),FIND(" ",TRIM(C225)&amp;" ")-1),",","."))-1)/MID(SUBSTITUTE(LEFT(TRIM(C225),FIND(" ",TRIM(C225)&amp;" ")-1),",","."),FIND("/",SUBSTITUTE(LEFT(TRIM(C225),FIND(" ",TRIM(C225)&amp;" ")-1),",","."))+1,9))*12,NA()))),0),36)*'Aturan &amp; Tarif'!$B$4,2)</f>
        <v>2044.08</v>
      </c>
      <c r="K225" s="32" t="n">
        <f aca="false">'Aturan &amp; Tarif'!$B$5</f>
        <v>2050</v>
      </c>
      <c r="L225" s="32" t="n">
        <f aca="false">'Aturan &amp; Tarif'!$B$6</f>
        <v>350</v>
      </c>
      <c r="M225" s="35" t="n">
        <f aca="false">I225+J225+K225+L225</f>
        <v>32294.08</v>
      </c>
      <c r="N225" s="37" t="s">
        <v>1187</v>
      </c>
    </row>
    <row r="226" customFormat="false" ht="25.5" hidden="false" customHeight="true" outlineLevel="0" collapsed="false">
      <c r="A226" s="29"/>
      <c r="B226" s="30" t="s">
        <v>1405</v>
      </c>
      <c r="C226" s="31" t="s">
        <v>127</v>
      </c>
      <c r="D226" s="31" t="s">
        <v>108</v>
      </c>
      <c r="E226" s="32" t="n">
        <v>13850</v>
      </c>
      <c r="F226" s="32"/>
      <c r="G226" s="32" t="n">
        <v>150</v>
      </c>
      <c r="H226" s="33" t="n">
        <v>2</v>
      </c>
      <c r="I226" s="34" t="n">
        <f aca="false">E226*H226+N(F226)+N(G226)</f>
        <v>27850</v>
      </c>
      <c r="J226" s="32" t="n">
        <f aca="false">ROUND(IFERROR(ROUND(IF(OR(ISNUMBER(SEARCH("week",C226)),ISNUMBER(SEARCH("minggu",C226))),IFERROR(_xlfn.NUMBERVALUE(SUBSTITUTE(LEFT(TRIM(C226),FIND(" ",TRIM(C226)&amp;" ")-1),",","."),"."),LEFT(SUBSTITUTE(LEFT(TRIM(C226),FIND(" ",TRIM(C226)&amp;" ")-1),",","."),FIND("/",SUBSTITUTE(LEFT(TRIM(C226),FIND(" ",TRIM(C226)&amp;" ")-1),",","."))-1)/MID(SUBSTITUTE(LEFT(TRIM(C226),FIND(" ",TRIM(C226)&amp;" ")-1),",","."),FIND("/",SUBSTITUTE(LEFT(TRIM(C226),FIND(" ",TRIM(C226)&amp;" ")-1),",","."))+1,9))*12/52,IF(ISNUMBER(SEARCH("month",C226)),IFERROR(_xlfn.NUMBERVALUE(SUBSTITUTE(LEFT(TRIM(C226),FIND(" ",TRIM(C226)&amp;" ")-1),",","."),"."),LEFT(SUBSTITUTE(LEFT(TRIM(C226),FIND(" ",TRIM(C226)&amp;" ")-1),",","."),FIND("/",SUBSTITUTE(LEFT(TRIM(C226),FIND(" ",TRIM(C226)&amp;" ")-1),",","."))-1)/MID(SUBSTITUTE(LEFT(TRIM(C226),FIND(" ",TRIM(C226)&amp;" ")-1),",","."),FIND("/",SUBSTITUTE(LEFT(TRIM(C226),FIND(" ",TRIM(C226)&amp;" ")-1),",","."))+1,9)),IF(ISNUMBER(SEARCH("yea",C226)),IFERROR(_xlfn.NUMBERVALUE(SUBSTITUTE(LEFT(TRIM(C226),FIND(" ",TRIM(C226)&amp;" ")-1),",","."),"."),LEFT(SUBSTITUTE(LEFT(TRIM(C226),FIND(" ",TRIM(C226)&amp;" ")-1),",","."),FIND("/",SUBSTITUTE(LEFT(TRIM(C226),FIND(" ",TRIM(C226)&amp;" ")-1),",","."))-1)/MID(SUBSTITUTE(LEFT(TRIM(C226),FIND(" ",TRIM(C226)&amp;" ")-1),",","."),FIND("/",SUBSTITUTE(LEFT(TRIM(C226),FIND(" ",TRIM(C226)&amp;" ")-1),",","."))+1,9))*12,NA()))),0),36)*'Aturan &amp; Tarif'!$B$4,2)</f>
        <v>2044.08</v>
      </c>
      <c r="K226" s="32" t="n">
        <f aca="false">'Aturan &amp; Tarif'!$B$5</f>
        <v>2050</v>
      </c>
      <c r="L226" s="32" t="n">
        <f aca="false">'Aturan &amp; Tarif'!$B$6</f>
        <v>350</v>
      </c>
      <c r="M226" s="35" t="n">
        <f aca="false">I226+J226+K226+L226</f>
        <v>32294.08</v>
      </c>
      <c r="N226" s="37" t="s">
        <v>1187</v>
      </c>
    </row>
    <row r="227" customFormat="false" ht="25.5" hidden="false" customHeight="true" outlineLevel="0" collapsed="false">
      <c r="A227" s="29"/>
      <c r="B227" s="30" t="s">
        <v>1406</v>
      </c>
      <c r="C227" s="31" t="s">
        <v>127</v>
      </c>
      <c r="D227" s="31" t="s">
        <v>108</v>
      </c>
      <c r="E227" s="32" t="n">
        <v>13850</v>
      </c>
      <c r="F227" s="32"/>
      <c r="G227" s="32" t="n">
        <v>150</v>
      </c>
      <c r="H227" s="33" t="n">
        <v>2</v>
      </c>
      <c r="I227" s="34" t="n">
        <f aca="false">E227*H227+N(F227)+N(G227)</f>
        <v>27850</v>
      </c>
      <c r="J227" s="32" t="n">
        <f aca="false">ROUND(IFERROR(ROUND(IF(OR(ISNUMBER(SEARCH("week",C227)),ISNUMBER(SEARCH("minggu",C227))),IFERROR(_xlfn.NUMBERVALUE(SUBSTITUTE(LEFT(TRIM(C227),FIND(" ",TRIM(C227)&amp;" ")-1),",","."),"."),LEFT(SUBSTITUTE(LEFT(TRIM(C227),FIND(" ",TRIM(C227)&amp;" ")-1),",","."),FIND("/",SUBSTITUTE(LEFT(TRIM(C227),FIND(" ",TRIM(C227)&amp;" ")-1),",","."))-1)/MID(SUBSTITUTE(LEFT(TRIM(C227),FIND(" ",TRIM(C227)&amp;" ")-1),",","."),FIND("/",SUBSTITUTE(LEFT(TRIM(C227),FIND(" ",TRIM(C227)&amp;" ")-1),",","."))+1,9))*12/52,IF(ISNUMBER(SEARCH("month",C227)),IFERROR(_xlfn.NUMBERVALUE(SUBSTITUTE(LEFT(TRIM(C227),FIND(" ",TRIM(C227)&amp;" ")-1),",","."),"."),LEFT(SUBSTITUTE(LEFT(TRIM(C227),FIND(" ",TRIM(C227)&amp;" ")-1),",","."),FIND("/",SUBSTITUTE(LEFT(TRIM(C227),FIND(" ",TRIM(C227)&amp;" ")-1),",","."))-1)/MID(SUBSTITUTE(LEFT(TRIM(C227),FIND(" ",TRIM(C227)&amp;" ")-1),",","."),FIND("/",SUBSTITUTE(LEFT(TRIM(C227),FIND(" ",TRIM(C227)&amp;" ")-1),",","."))+1,9)),IF(ISNUMBER(SEARCH("yea",C227)),IFERROR(_xlfn.NUMBERVALUE(SUBSTITUTE(LEFT(TRIM(C227),FIND(" ",TRIM(C227)&amp;" ")-1),",","."),"."),LEFT(SUBSTITUTE(LEFT(TRIM(C227),FIND(" ",TRIM(C227)&amp;" ")-1),",","."),FIND("/",SUBSTITUTE(LEFT(TRIM(C227),FIND(" ",TRIM(C227)&amp;" ")-1),",","."))-1)/MID(SUBSTITUTE(LEFT(TRIM(C227),FIND(" ",TRIM(C227)&amp;" ")-1),",","."),FIND("/",SUBSTITUTE(LEFT(TRIM(C227),FIND(" ",TRIM(C227)&amp;" ")-1),",","."))+1,9))*12,NA()))),0),36)*'Aturan &amp; Tarif'!$B$4,2)</f>
        <v>2044.08</v>
      </c>
      <c r="K227" s="32" t="n">
        <f aca="false">'Aturan &amp; Tarif'!$B$5</f>
        <v>2050</v>
      </c>
      <c r="L227" s="32" t="n">
        <f aca="false">'Aturan &amp; Tarif'!$B$6</f>
        <v>350</v>
      </c>
      <c r="M227" s="35" t="n">
        <f aca="false">I227+J227+K227+L227</f>
        <v>32294.08</v>
      </c>
      <c r="N227" s="37" t="s">
        <v>1187</v>
      </c>
    </row>
    <row r="228" customFormat="false" ht="14.25" hidden="false" customHeight="true" outlineLevel="0" collapsed="false">
      <c r="A228" s="29"/>
      <c r="B228" s="30" t="s">
        <v>1407</v>
      </c>
      <c r="C228" s="31" t="s">
        <v>127</v>
      </c>
      <c r="D228" s="31" t="s">
        <v>108</v>
      </c>
      <c r="E228" s="32" t="n">
        <v>13850</v>
      </c>
      <c r="F228" s="32"/>
      <c r="G228" s="32" t="n">
        <v>150</v>
      </c>
      <c r="H228" s="33" t="n">
        <v>2</v>
      </c>
      <c r="I228" s="34" t="n">
        <f aca="false">E228*H228+N(F228)+N(G228)</f>
        <v>27850</v>
      </c>
      <c r="J228" s="32" t="n">
        <f aca="false">ROUND(IFERROR(ROUND(IF(OR(ISNUMBER(SEARCH("week",C228)),ISNUMBER(SEARCH("minggu",C228))),IFERROR(_xlfn.NUMBERVALUE(SUBSTITUTE(LEFT(TRIM(C228),FIND(" ",TRIM(C228)&amp;" ")-1),",","."),"."),LEFT(SUBSTITUTE(LEFT(TRIM(C228),FIND(" ",TRIM(C228)&amp;" ")-1),",","."),FIND("/",SUBSTITUTE(LEFT(TRIM(C228),FIND(" ",TRIM(C228)&amp;" ")-1),",","."))-1)/MID(SUBSTITUTE(LEFT(TRIM(C228),FIND(" ",TRIM(C228)&amp;" ")-1),",","."),FIND("/",SUBSTITUTE(LEFT(TRIM(C228),FIND(" ",TRIM(C228)&amp;" ")-1),",","."))+1,9))*12/52,IF(ISNUMBER(SEARCH("month",C228)),IFERROR(_xlfn.NUMBERVALUE(SUBSTITUTE(LEFT(TRIM(C228),FIND(" ",TRIM(C228)&amp;" ")-1),",","."),"."),LEFT(SUBSTITUTE(LEFT(TRIM(C228),FIND(" ",TRIM(C228)&amp;" ")-1),",","."),FIND("/",SUBSTITUTE(LEFT(TRIM(C228),FIND(" ",TRIM(C228)&amp;" ")-1),",","."))-1)/MID(SUBSTITUTE(LEFT(TRIM(C228),FIND(" ",TRIM(C228)&amp;" ")-1),",","."),FIND("/",SUBSTITUTE(LEFT(TRIM(C228),FIND(" ",TRIM(C228)&amp;" ")-1),",","."))+1,9)),IF(ISNUMBER(SEARCH("yea",C228)),IFERROR(_xlfn.NUMBERVALUE(SUBSTITUTE(LEFT(TRIM(C228),FIND(" ",TRIM(C228)&amp;" ")-1),",","."),"."),LEFT(SUBSTITUTE(LEFT(TRIM(C228),FIND(" ",TRIM(C228)&amp;" ")-1),",","."),FIND("/",SUBSTITUTE(LEFT(TRIM(C228),FIND(" ",TRIM(C228)&amp;" ")-1),",","."))-1)/MID(SUBSTITUTE(LEFT(TRIM(C228),FIND(" ",TRIM(C228)&amp;" ")-1),",","."),FIND("/",SUBSTITUTE(LEFT(TRIM(C228),FIND(" ",TRIM(C228)&amp;" ")-1),",","."))+1,9))*12,NA()))),0),36)*'Aturan &amp; Tarif'!$B$4,2)</f>
        <v>2044.08</v>
      </c>
      <c r="K228" s="32" t="n">
        <f aca="false">'Aturan &amp; Tarif'!$B$5</f>
        <v>2050</v>
      </c>
      <c r="L228" s="32" t="n">
        <f aca="false">'Aturan &amp; Tarif'!$B$6</f>
        <v>350</v>
      </c>
      <c r="M228" s="35" t="n">
        <f aca="false">I228+J228+K228+L228</f>
        <v>32294.08</v>
      </c>
      <c r="N228" s="37" t="s">
        <v>1187</v>
      </c>
    </row>
    <row r="229" customFormat="false" ht="25.5" hidden="false" customHeight="true" outlineLevel="0" collapsed="false">
      <c r="A229" s="29"/>
      <c r="B229" s="30" t="s">
        <v>1408</v>
      </c>
      <c r="C229" s="31" t="s">
        <v>127</v>
      </c>
      <c r="D229" s="31" t="s">
        <v>108</v>
      </c>
      <c r="E229" s="32" t="n">
        <v>13850</v>
      </c>
      <c r="F229" s="32"/>
      <c r="G229" s="32" t="n">
        <v>150</v>
      </c>
      <c r="H229" s="33" t="n">
        <v>2</v>
      </c>
      <c r="I229" s="34" t="n">
        <f aca="false">E229*H229+N(F229)+N(G229)</f>
        <v>27850</v>
      </c>
      <c r="J229" s="32" t="n">
        <f aca="false">ROUND(IFERROR(ROUND(IF(OR(ISNUMBER(SEARCH("week",C229)),ISNUMBER(SEARCH("minggu",C229))),IFERROR(_xlfn.NUMBERVALUE(SUBSTITUTE(LEFT(TRIM(C229),FIND(" ",TRIM(C229)&amp;" ")-1),",","."),"."),LEFT(SUBSTITUTE(LEFT(TRIM(C229),FIND(" ",TRIM(C229)&amp;" ")-1),",","."),FIND("/",SUBSTITUTE(LEFT(TRIM(C229),FIND(" ",TRIM(C229)&amp;" ")-1),",","."))-1)/MID(SUBSTITUTE(LEFT(TRIM(C229),FIND(" ",TRIM(C229)&amp;" ")-1),",","."),FIND("/",SUBSTITUTE(LEFT(TRIM(C229),FIND(" ",TRIM(C229)&amp;" ")-1),",","."))+1,9))*12/52,IF(ISNUMBER(SEARCH("month",C229)),IFERROR(_xlfn.NUMBERVALUE(SUBSTITUTE(LEFT(TRIM(C229),FIND(" ",TRIM(C229)&amp;" ")-1),",","."),"."),LEFT(SUBSTITUTE(LEFT(TRIM(C229),FIND(" ",TRIM(C229)&amp;" ")-1),",","."),FIND("/",SUBSTITUTE(LEFT(TRIM(C229),FIND(" ",TRIM(C229)&amp;" ")-1),",","."))-1)/MID(SUBSTITUTE(LEFT(TRIM(C229),FIND(" ",TRIM(C229)&amp;" ")-1),",","."),FIND("/",SUBSTITUTE(LEFT(TRIM(C229),FIND(" ",TRIM(C229)&amp;" ")-1),",","."))+1,9)),IF(ISNUMBER(SEARCH("yea",C229)),IFERROR(_xlfn.NUMBERVALUE(SUBSTITUTE(LEFT(TRIM(C229),FIND(" ",TRIM(C229)&amp;" ")-1),",","."),"."),LEFT(SUBSTITUTE(LEFT(TRIM(C229),FIND(" ",TRIM(C229)&amp;" ")-1),",","."),FIND("/",SUBSTITUTE(LEFT(TRIM(C229),FIND(" ",TRIM(C229)&amp;" ")-1),",","."))-1)/MID(SUBSTITUTE(LEFT(TRIM(C229),FIND(" ",TRIM(C229)&amp;" ")-1),",","."),FIND("/",SUBSTITUTE(LEFT(TRIM(C229),FIND(" ",TRIM(C229)&amp;" ")-1),",","."))+1,9))*12,NA()))),0),36)*'Aturan &amp; Tarif'!$B$4,2)</f>
        <v>2044.08</v>
      </c>
      <c r="K229" s="32" t="n">
        <f aca="false">'Aturan &amp; Tarif'!$B$5</f>
        <v>2050</v>
      </c>
      <c r="L229" s="32" t="n">
        <f aca="false">'Aturan &amp; Tarif'!$B$6</f>
        <v>350</v>
      </c>
      <c r="M229" s="35" t="n">
        <f aca="false">I229+J229+K229+L229</f>
        <v>32294.08</v>
      </c>
      <c r="N229" s="37" t="s">
        <v>1187</v>
      </c>
    </row>
    <row r="230" customFormat="false" ht="14.25" hidden="false" customHeight="true" outlineLevel="0" collapsed="false">
      <c r="A230" s="29"/>
      <c r="B230" s="30" t="s">
        <v>1409</v>
      </c>
      <c r="C230" s="31" t="s">
        <v>127</v>
      </c>
      <c r="D230" s="31" t="s">
        <v>108</v>
      </c>
      <c r="E230" s="32" t="n">
        <v>13850</v>
      </c>
      <c r="F230" s="32"/>
      <c r="G230" s="32" t="n">
        <v>150</v>
      </c>
      <c r="H230" s="33" t="n">
        <v>2</v>
      </c>
      <c r="I230" s="34" t="n">
        <f aca="false">E230*H230+N(F230)+N(G230)</f>
        <v>27850</v>
      </c>
      <c r="J230" s="32" t="n">
        <f aca="false">ROUND(IFERROR(ROUND(IF(OR(ISNUMBER(SEARCH("week",C230)),ISNUMBER(SEARCH("minggu",C230))),IFERROR(_xlfn.NUMBERVALUE(SUBSTITUTE(LEFT(TRIM(C230),FIND(" ",TRIM(C230)&amp;" ")-1),",","."),"."),LEFT(SUBSTITUTE(LEFT(TRIM(C230),FIND(" ",TRIM(C230)&amp;" ")-1),",","."),FIND("/",SUBSTITUTE(LEFT(TRIM(C230),FIND(" ",TRIM(C230)&amp;" ")-1),",","."))-1)/MID(SUBSTITUTE(LEFT(TRIM(C230),FIND(" ",TRIM(C230)&amp;" ")-1),",","."),FIND("/",SUBSTITUTE(LEFT(TRIM(C230),FIND(" ",TRIM(C230)&amp;" ")-1),",","."))+1,9))*12/52,IF(ISNUMBER(SEARCH("month",C230)),IFERROR(_xlfn.NUMBERVALUE(SUBSTITUTE(LEFT(TRIM(C230),FIND(" ",TRIM(C230)&amp;" ")-1),",","."),"."),LEFT(SUBSTITUTE(LEFT(TRIM(C230),FIND(" ",TRIM(C230)&amp;" ")-1),",","."),FIND("/",SUBSTITUTE(LEFT(TRIM(C230),FIND(" ",TRIM(C230)&amp;" ")-1),",","."))-1)/MID(SUBSTITUTE(LEFT(TRIM(C230),FIND(" ",TRIM(C230)&amp;" ")-1),",","."),FIND("/",SUBSTITUTE(LEFT(TRIM(C230),FIND(" ",TRIM(C230)&amp;" ")-1),",","."))+1,9)),IF(ISNUMBER(SEARCH("yea",C230)),IFERROR(_xlfn.NUMBERVALUE(SUBSTITUTE(LEFT(TRIM(C230),FIND(" ",TRIM(C230)&amp;" ")-1),",","."),"."),LEFT(SUBSTITUTE(LEFT(TRIM(C230),FIND(" ",TRIM(C230)&amp;" ")-1),",","."),FIND("/",SUBSTITUTE(LEFT(TRIM(C230),FIND(" ",TRIM(C230)&amp;" ")-1),",","."))-1)/MID(SUBSTITUTE(LEFT(TRIM(C230),FIND(" ",TRIM(C230)&amp;" ")-1),",","."),FIND("/",SUBSTITUTE(LEFT(TRIM(C230),FIND(" ",TRIM(C230)&amp;" ")-1),",","."))+1,9))*12,NA()))),0),36)*'Aturan &amp; Tarif'!$B$4,2)</f>
        <v>2044.08</v>
      </c>
      <c r="K230" s="32" t="n">
        <f aca="false">'Aturan &amp; Tarif'!$B$5</f>
        <v>2050</v>
      </c>
      <c r="L230" s="32" t="n">
        <f aca="false">'Aturan &amp; Tarif'!$B$6</f>
        <v>350</v>
      </c>
      <c r="M230" s="35" t="n">
        <f aca="false">I230+J230+K230+L230</f>
        <v>32294.08</v>
      </c>
      <c r="N230" s="37" t="s">
        <v>1187</v>
      </c>
    </row>
    <row r="231" customFormat="false" ht="25.5" hidden="false" customHeight="true" outlineLevel="0" collapsed="false">
      <c r="A231" s="29"/>
      <c r="B231" s="30" t="s">
        <v>1410</v>
      </c>
      <c r="C231" s="31" t="s">
        <v>127</v>
      </c>
      <c r="D231" s="31" t="s">
        <v>108</v>
      </c>
      <c r="E231" s="32" t="n">
        <v>13850</v>
      </c>
      <c r="F231" s="32"/>
      <c r="G231" s="32" t="n">
        <v>150</v>
      </c>
      <c r="H231" s="33" t="n">
        <v>2</v>
      </c>
      <c r="I231" s="34" t="n">
        <f aca="false">E231*H231+N(F231)+N(G231)</f>
        <v>27850</v>
      </c>
      <c r="J231" s="32" t="n">
        <f aca="false">ROUND(IFERROR(ROUND(IF(OR(ISNUMBER(SEARCH("week",C231)),ISNUMBER(SEARCH("minggu",C231))),IFERROR(_xlfn.NUMBERVALUE(SUBSTITUTE(LEFT(TRIM(C231),FIND(" ",TRIM(C231)&amp;" ")-1),",","."),"."),LEFT(SUBSTITUTE(LEFT(TRIM(C231),FIND(" ",TRIM(C231)&amp;" ")-1),",","."),FIND("/",SUBSTITUTE(LEFT(TRIM(C231),FIND(" ",TRIM(C231)&amp;" ")-1),",","."))-1)/MID(SUBSTITUTE(LEFT(TRIM(C231),FIND(" ",TRIM(C231)&amp;" ")-1),",","."),FIND("/",SUBSTITUTE(LEFT(TRIM(C231),FIND(" ",TRIM(C231)&amp;" ")-1),",","."))+1,9))*12/52,IF(ISNUMBER(SEARCH("month",C231)),IFERROR(_xlfn.NUMBERVALUE(SUBSTITUTE(LEFT(TRIM(C231),FIND(" ",TRIM(C231)&amp;" ")-1),",","."),"."),LEFT(SUBSTITUTE(LEFT(TRIM(C231),FIND(" ",TRIM(C231)&amp;" ")-1),",","."),FIND("/",SUBSTITUTE(LEFT(TRIM(C231),FIND(" ",TRIM(C231)&amp;" ")-1),",","."))-1)/MID(SUBSTITUTE(LEFT(TRIM(C231),FIND(" ",TRIM(C231)&amp;" ")-1),",","."),FIND("/",SUBSTITUTE(LEFT(TRIM(C231),FIND(" ",TRIM(C231)&amp;" ")-1),",","."))+1,9)),IF(ISNUMBER(SEARCH("yea",C231)),IFERROR(_xlfn.NUMBERVALUE(SUBSTITUTE(LEFT(TRIM(C231),FIND(" ",TRIM(C231)&amp;" ")-1),",","."),"."),LEFT(SUBSTITUTE(LEFT(TRIM(C231),FIND(" ",TRIM(C231)&amp;" ")-1),",","."),FIND("/",SUBSTITUTE(LEFT(TRIM(C231),FIND(" ",TRIM(C231)&amp;" ")-1),",","."))-1)/MID(SUBSTITUTE(LEFT(TRIM(C231),FIND(" ",TRIM(C231)&amp;" ")-1),",","."),FIND("/",SUBSTITUTE(LEFT(TRIM(C231),FIND(" ",TRIM(C231)&amp;" ")-1),",","."))+1,9))*12,NA()))),0),36)*'Aturan &amp; Tarif'!$B$4,2)</f>
        <v>2044.08</v>
      </c>
      <c r="K231" s="32" t="n">
        <f aca="false">'Aturan &amp; Tarif'!$B$5</f>
        <v>2050</v>
      </c>
      <c r="L231" s="32" t="n">
        <f aca="false">'Aturan &amp; Tarif'!$B$6</f>
        <v>350</v>
      </c>
      <c r="M231" s="35" t="n">
        <f aca="false">I231+J231+K231+L231</f>
        <v>32294.08</v>
      </c>
      <c r="N231" s="37" t="s">
        <v>1187</v>
      </c>
    </row>
    <row r="232" customFormat="false" ht="25.5" hidden="false" customHeight="true" outlineLevel="0" collapsed="false">
      <c r="A232" s="29"/>
      <c r="B232" s="30" t="s">
        <v>1411</v>
      </c>
      <c r="C232" s="31" t="s">
        <v>127</v>
      </c>
      <c r="D232" s="31" t="s">
        <v>108</v>
      </c>
      <c r="E232" s="32" t="n">
        <v>13850</v>
      </c>
      <c r="F232" s="32"/>
      <c r="G232" s="32" t="n">
        <v>150</v>
      </c>
      <c r="H232" s="33" t="n">
        <v>2</v>
      </c>
      <c r="I232" s="34" t="n">
        <f aca="false">E232*H232+N(F232)+N(G232)</f>
        <v>27850</v>
      </c>
      <c r="J232" s="32" t="n">
        <f aca="false">ROUND(IFERROR(ROUND(IF(OR(ISNUMBER(SEARCH("week",C232)),ISNUMBER(SEARCH("minggu",C232))),IFERROR(_xlfn.NUMBERVALUE(SUBSTITUTE(LEFT(TRIM(C232),FIND(" ",TRIM(C232)&amp;" ")-1),",","."),"."),LEFT(SUBSTITUTE(LEFT(TRIM(C232),FIND(" ",TRIM(C232)&amp;" ")-1),",","."),FIND("/",SUBSTITUTE(LEFT(TRIM(C232),FIND(" ",TRIM(C232)&amp;" ")-1),",","."))-1)/MID(SUBSTITUTE(LEFT(TRIM(C232),FIND(" ",TRIM(C232)&amp;" ")-1),",","."),FIND("/",SUBSTITUTE(LEFT(TRIM(C232),FIND(" ",TRIM(C232)&amp;" ")-1),",","."))+1,9))*12/52,IF(ISNUMBER(SEARCH("month",C232)),IFERROR(_xlfn.NUMBERVALUE(SUBSTITUTE(LEFT(TRIM(C232),FIND(" ",TRIM(C232)&amp;" ")-1),",","."),"."),LEFT(SUBSTITUTE(LEFT(TRIM(C232),FIND(" ",TRIM(C232)&amp;" ")-1),",","."),FIND("/",SUBSTITUTE(LEFT(TRIM(C232),FIND(" ",TRIM(C232)&amp;" ")-1),",","."))-1)/MID(SUBSTITUTE(LEFT(TRIM(C232),FIND(" ",TRIM(C232)&amp;" ")-1),",","."),FIND("/",SUBSTITUTE(LEFT(TRIM(C232),FIND(" ",TRIM(C232)&amp;" ")-1),",","."))+1,9)),IF(ISNUMBER(SEARCH("yea",C232)),IFERROR(_xlfn.NUMBERVALUE(SUBSTITUTE(LEFT(TRIM(C232),FIND(" ",TRIM(C232)&amp;" ")-1),",","."),"."),LEFT(SUBSTITUTE(LEFT(TRIM(C232),FIND(" ",TRIM(C232)&amp;" ")-1),",","."),FIND("/",SUBSTITUTE(LEFT(TRIM(C232),FIND(" ",TRIM(C232)&amp;" ")-1),",","."))-1)/MID(SUBSTITUTE(LEFT(TRIM(C232),FIND(" ",TRIM(C232)&amp;" ")-1),",","."),FIND("/",SUBSTITUTE(LEFT(TRIM(C232),FIND(" ",TRIM(C232)&amp;" ")-1),",","."))+1,9))*12,NA()))),0),36)*'Aturan &amp; Tarif'!$B$4,2)</f>
        <v>2044.08</v>
      </c>
      <c r="K232" s="32" t="n">
        <f aca="false">'Aturan &amp; Tarif'!$B$5</f>
        <v>2050</v>
      </c>
      <c r="L232" s="32" t="n">
        <f aca="false">'Aturan &amp; Tarif'!$B$6</f>
        <v>350</v>
      </c>
      <c r="M232" s="35" t="n">
        <f aca="false">I232+J232+K232+L232</f>
        <v>32294.08</v>
      </c>
      <c r="N232" s="37" t="s">
        <v>1187</v>
      </c>
    </row>
    <row r="233" customFormat="false" ht="25.5" hidden="false" customHeight="true" outlineLevel="0" collapsed="false">
      <c r="A233" s="29"/>
      <c r="B233" s="30" t="s">
        <v>1412</v>
      </c>
      <c r="C233" s="31" t="s">
        <v>127</v>
      </c>
      <c r="D233" s="31" t="s">
        <v>108</v>
      </c>
      <c r="E233" s="32" t="n">
        <v>13850</v>
      </c>
      <c r="F233" s="32"/>
      <c r="G233" s="32" t="n">
        <v>150</v>
      </c>
      <c r="H233" s="33" t="n">
        <v>2</v>
      </c>
      <c r="I233" s="34" t="n">
        <f aca="false">E233*H233+N(F233)+N(G233)</f>
        <v>27850</v>
      </c>
      <c r="J233" s="32" t="n">
        <f aca="false">ROUND(IFERROR(ROUND(IF(OR(ISNUMBER(SEARCH("week",C233)),ISNUMBER(SEARCH("minggu",C233))),IFERROR(_xlfn.NUMBERVALUE(SUBSTITUTE(LEFT(TRIM(C233),FIND(" ",TRIM(C233)&amp;" ")-1),",","."),"."),LEFT(SUBSTITUTE(LEFT(TRIM(C233),FIND(" ",TRIM(C233)&amp;" ")-1),",","."),FIND("/",SUBSTITUTE(LEFT(TRIM(C233),FIND(" ",TRIM(C233)&amp;" ")-1),",","."))-1)/MID(SUBSTITUTE(LEFT(TRIM(C233),FIND(" ",TRIM(C233)&amp;" ")-1),",","."),FIND("/",SUBSTITUTE(LEFT(TRIM(C233),FIND(" ",TRIM(C233)&amp;" ")-1),",","."))+1,9))*12/52,IF(ISNUMBER(SEARCH("month",C233)),IFERROR(_xlfn.NUMBERVALUE(SUBSTITUTE(LEFT(TRIM(C233),FIND(" ",TRIM(C233)&amp;" ")-1),",","."),"."),LEFT(SUBSTITUTE(LEFT(TRIM(C233),FIND(" ",TRIM(C233)&amp;" ")-1),",","."),FIND("/",SUBSTITUTE(LEFT(TRIM(C233),FIND(" ",TRIM(C233)&amp;" ")-1),",","."))-1)/MID(SUBSTITUTE(LEFT(TRIM(C233),FIND(" ",TRIM(C233)&amp;" ")-1),",","."),FIND("/",SUBSTITUTE(LEFT(TRIM(C233),FIND(" ",TRIM(C233)&amp;" ")-1),",","."))+1,9)),IF(ISNUMBER(SEARCH("yea",C233)),IFERROR(_xlfn.NUMBERVALUE(SUBSTITUTE(LEFT(TRIM(C233),FIND(" ",TRIM(C233)&amp;" ")-1),",","."),"."),LEFT(SUBSTITUTE(LEFT(TRIM(C233),FIND(" ",TRIM(C233)&amp;" ")-1),",","."),FIND("/",SUBSTITUTE(LEFT(TRIM(C233),FIND(" ",TRIM(C233)&amp;" ")-1),",","."))-1)/MID(SUBSTITUTE(LEFT(TRIM(C233),FIND(" ",TRIM(C233)&amp;" ")-1),",","."),FIND("/",SUBSTITUTE(LEFT(TRIM(C233),FIND(" ",TRIM(C233)&amp;" ")-1),",","."))+1,9))*12,NA()))),0),36)*'Aturan &amp; Tarif'!$B$4,2)</f>
        <v>2044.08</v>
      </c>
      <c r="K233" s="32" t="n">
        <f aca="false">'Aturan &amp; Tarif'!$B$5</f>
        <v>2050</v>
      </c>
      <c r="L233" s="32" t="n">
        <f aca="false">'Aturan &amp; Tarif'!$B$6</f>
        <v>350</v>
      </c>
      <c r="M233" s="35" t="n">
        <f aca="false">I233+J233+K233+L233</f>
        <v>32294.08</v>
      </c>
      <c r="N233" s="37" t="s">
        <v>1187</v>
      </c>
    </row>
    <row r="234" customFormat="false" ht="25.5" hidden="false" customHeight="true" outlineLevel="0" collapsed="false">
      <c r="A234" s="29"/>
      <c r="B234" s="30" t="s">
        <v>1413</v>
      </c>
      <c r="C234" s="31" t="s">
        <v>127</v>
      </c>
      <c r="D234" s="31" t="s">
        <v>108</v>
      </c>
      <c r="E234" s="32" t="n">
        <v>13850</v>
      </c>
      <c r="F234" s="32"/>
      <c r="G234" s="32" t="n">
        <v>150</v>
      </c>
      <c r="H234" s="33" t="n">
        <v>2</v>
      </c>
      <c r="I234" s="34" t="n">
        <f aca="false">E234*H234+N(F234)+N(G234)</f>
        <v>27850</v>
      </c>
      <c r="J234" s="32" t="n">
        <f aca="false">ROUND(IFERROR(ROUND(IF(OR(ISNUMBER(SEARCH("week",C234)),ISNUMBER(SEARCH("minggu",C234))),IFERROR(_xlfn.NUMBERVALUE(SUBSTITUTE(LEFT(TRIM(C234),FIND(" ",TRIM(C234)&amp;" ")-1),",","."),"."),LEFT(SUBSTITUTE(LEFT(TRIM(C234),FIND(" ",TRIM(C234)&amp;" ")-1),",","."),FIND("/",SUBSTITUTE(LEFT(TRIM(C234),FIND(" ",TRIM(C234)&amp;" ")-1),",","."))-1)/MID(SUBSTITUTE(LEFT(TRIM(C234),FIND(" ",TRIM(C234)&amp;" ")-1),",","."),FIND("/",SUBSTITUTE(LEFT(TRIM(C234),FIND(" ",TRIM(C234)&amp;" ")-1),",","."))+1,9))*12/52,IF(ISNUMBER(SEARCH("month",C234)),IFERROR(_xlfn.NUMBERVALUE(SUBSTITUTE(LEFT(TRIM(C234),FIND(" ",TRIM(C234)&amp;" ")-1),",","."),"."),LEFT(SUBSTITUTE(LEFT(TRIM(C234),FIND(" ",TRIM(C234)&amp;" ")-1),",","."),FIND("/",SUBSTITUTE(LEFT(TRIM(C234),FIND(" ",TRIM(C234)&amp;" ")-1),",","."))-1)/MID(SUBSTITUTE(LEFT(TRIM(C234),FIND(" ",TRIM(C234)&amp;" ")-1),",","."),FIND("/",SUBSTITUTE(LEFT(TRIM(C234),FIND(" ",TRIM(C234)&amp;" ")-1),",","."))+1,9)),IF(ISNUMBER(SEARCH("yea",C234)),IFERROR(_xlfn.NUMBERVALUE(SUBSTITUTE(LEFT(TRIM(C234),FIND(" ",TRIM(C234)&amp;" ")-1),",","."),"."),LEFT(SUBSTITUTE(LEFT(TRIM(C234),FIND(" ",TRIM(C234)&amp;" ")-1),",","."),FIND("/",SUBSTITUTE(LEFT(TRIM(C234),FIND(" ",TRIM(C234)&amp;" ")-1),",","."))-1)/MID(SUBSTITUTE(LEFT(TRIM(C234),FIND(" ",TRIM(C234)&amp;" ")-1),",","."),FIND("/",SUBSTITUTE(LEFT(TRIM(C234),FIND(" ",TRIM(C234)&amp;" ")-1),",","."))+1,9))*12,NA()))),0),36)*'Aturan &amp; Tarif'!$B$4,2)</f>
        <v>2044.08</v>
      </c>
      <c r="K234" s="32" t="n">
        <f aca="false">'Aturan &amp; Tarif'!$B$5</f>
        <v>2050</v>
      </c>
      <c r="L234" s="32" t="n">
        <f aca="false">'Aturan &amp; Tarif'!$B$6</f>
        <v>350</v>
      </c>
      <c r="M234" s="35" t="n">
        <f aca="false">I234+J234+K234+L234</f>
        <v>32294.08</v>
      </c>
      <c r="N234" s="37" t="s">
        <v>1187</v>
      </c>
    </row>
    <row r="235" customFormat="false" ht="25.5" hidden="false" customHeight="true" outlineLevel="0" collapsed="false">
      <c r="A235" s="29"/>
      <c r="B235" s="30" t="s">
        <v>1414</v>
      </c>
      <c r="C235" s="31" t="s">
        <v>127</v>
      </c>
      <c r="D235" s="31" t="s">
        <v>108</v>
      </c>
      <c r="E235" s="32" t="n">
        <v>13850</v>
      </c>
      <c r="F235" s="32"/>
      <c r="G235" s="32" t="n">
        <v>150</v>
      </c>
      <c r="H235" s="33" t="n">
        <v>2</v>
      </c>
      <c r="I235" s="34" t="n">
        <f aca="false">E235*H235+N(F235)+N(G235)</f>
        <v>27850</v>
      </c>
      <c r="J235" s="32" t="n">
        <f aca="false">ROUND(IFERROR(ROUND(IF(OR(ISNUMBER(SEARCH("week",C235)),ISNUMBER(SEARCH("minggu",C235))),IFERROR(_xlfn.NUMBERVALUE(SUBSTITUTE(LEFT(TRIM(C235),FIND(" ",TRIM(C235)&amp;" ")-1),",","."),"."),LEFT(SUBSTITUTE(LEFT(TRIM(C235),FIND(" ",TRIM(C235)&amp;" ")-1),",","."),FIND("/",SUBSTITUTE(LEFT(TRIM(C235),FIND(" ",TRIM(C235)&amp;" ")-1),",","."))-1)/MID(SUBSTITUTE(LEFT(TRIM(C235),FIND(" ",TRIM(C235)&amp;" ")-1),",","."),FIND("/",SUBSTITUTE(LEFT(TRIM(C235),FIND(" ",TRIM(C235)&amp;" ")-1),",","."))+1,9))*12/52,IF(ISNUMBER(SEARCH("month",C235)),IFERROR(_xlfn.NUMBERVALUE(SUBSTITUTE(LEFT(TRIM(C235),FIND(" ",TRIM(C235)&amp;" ")-1),",","."),"."),LEFT(SUBSTITUTE(LEFT(TRIM(C235),FIND(" ",TRIM(C235)&amp;" ")-1),",","."),FIND("/",SUBSTITUTE(LEFT(TRIM(C235),FIND(" ",TRIM(C235)&amp;" ")-1),",","."))-1)/MID(SUBSTITUTE(LEFT(TRIM(C235),FIND(" ",TRIM(C235)&amp;" ")-1),",","."),FIND("/",SUBSTITUTE(LEFT(TRIM(C235),FIND(" ",TRIM(C235)&amp;" ")-1),",","."))+1,9)),IF(ISNUMBER(SEARCH("yea",C235)),IFERROR(_xlfn.NUMBERVALUE(SUBSTITUTE(LEFT(TRIM(C235),FIND(" ",TRIM(C235)&amp;" ")-1),",","."),"."),LEFT(SUBSTITUTE(LEFT(TRIM(C235),FIND(" ",TRIM(C235)&amp;" ")-1),",","."),FIND("/",SUBSTITUTE(LEFT(TRIM(C235),FIND(" ",TRIM(C235)&amp;" ")-1),",","."))-1)/MID(SUBSTITUTE(LEFT(TRIM(C235),FIND(" ",TRIM(C235)&amp;" ")-1),",","."),FIND("/",SUBSTITUTE(LEFT(TRIM(C235),FIND(" ",TRIM(C235)&amp;" ")-1),",","."))+1,9))*12,NA()))),0),36)*'Aturan &amp; Tarif'!$B$4,2)</f>
        <v>2044.08</v>
      </c>
      <c r="K235" s="32" t="n">
        <f aca="false">'Aturan &amp; Tarif'!$B$5</f>
        <v>2050</v>
      </c>
      <c r="L235" s="32" t="n">
        <f aca="false">'Aturan &amp; Tarif'!$B$6</f>
        <v>350</v>
      </c>
      <c r="M235" s="35" t="n">
        <f aca="false">I235+J235+K235+L235</f>
        <v>32294.08</v>
      </c>
      <c r="N235" s="37" t="s">
        <v>1187</v>
      </c>
    </row>
    <row r="236" customFormat="false" ht="14.25" hidden="false" customHeight="true" outlineLevel="0" collapsed="false">
      <c r="A236" s="29"/>
      <c r="B236" s="30" t="s">
        <v>1415</v>
      </c>
      <c r="C236" s="31" t="s">
        <v>127</v>
      </c>
      <c r="D236" s="31" t="s">
        <v>108</v>
      </c>
      <c r="E236" s="32" t="n">
        <v>13850</v>
      </c>
      <c r="F236" s="32"/>
      <c r="G236" s="32" t="n">
        <v>150</v>
      </c>
      <c r="H236" s="33" t="n">
        <v>2</v>
      </c>
      <c r="I236" s="34" t="n">
        <f aca="false">E236*H236+N(F236)+N(G236)</f>
        <v>27850</v>
      </c>
      <c r="J236" s="32" t="n">
        <f aca="false">ROUND(IFERROR(ROUND(IF(OR(ISNUMBER(SEARCH("week",C236)),ISNUMBER(SEARCH("minggu",C236))),IFERROR(_xlfn.NUMBERVALUE(SUBSTITUTE(LEFT(TRIM(C236),FIND(" ",TRIM(C236)&amp;" ")-1),",","."),"."),LEFT(SUBSTITUTE(LEFT(TRIM(C236),FIND(" ",TRIM(C236)&amp;" ")-1),",","."),FIND("/",SUBSTITUTE(LEFT(TRIM(C236),FIND(" ",TRIM(C236)&amp;" ")-1),",","."))-1)/MID(SUBSTITUTE(LEFT(TRIM(C236),FIND(" ",TRIM(C236)&amp;" ")-1),",","."),FIND("/",SUBSTITUTE(LEFT(TRIM(C236),FIND(" ",TRIM(C236)&amp;" ")-1),",","."))+1,9))*12/52,IF(ISNUMBER(SEARCH("month",C236)),IFERROR(_xlfn.NUMBERVALUE(SUBSTITUTE(LEFT(TRIM(C236),FIND(" ",TRIM(C236)&amp;" ")-1),",","."),"."),LEFT(SUBSTITUTE(LEFT(TRIM(C236),FIND(" ",TRIM(C236)&amp;" ")-1),",","."),FIND("/",SUBSTITUTE(LEFT(TRIM(C236),FIND(" ",TRIM(C236)&amp;" ")-1),",","."))-1)/MID(SUBSTITUTE(LEFT(TRIM(C236),FIND(" ",TRIM(C236)&amp;" ")-1),",","."),FIND("/",SUBSTITUTE(LEFT(TRIM(C236),FIND(" ",TRIM(C236)&amp;" ")-1),",","."))+1,9)),IF(ISNUMBER(SEARCH("yea",C236)),IFERROR(_xlfn.NUMBERVALUE(SUBSTITUTE(LEFT(TRIM(C236),FIND(" ",TRIM(C236)&amp;" ")-1),",","."),"."),LEFT(SUBSTITUTE(LEFT(TRIM(C236),FIND(" ",TRIM(C236)&amp;" ")-1),",","."),FIND("/",SUBSTITUTE(LEFT(TRIM(C236),FIND(" ",TRIM(C236)&amp;" ")-1),",","."))-1)/MID(SUBSTITUTE(LEFT(TRIM(C236),FIND(" ",TRIM(C236)&amp;" ")-1),",","."),FIND("/",SUBSTITUTE(LEFT(TRIM(C236),FIND(" ",TRIM(C236)&amp;" ")-1),",","."))+1,9))*12,NA()))),0),36)*'Aturan &amp; Tarif'!$B$4,2)</f>
        <v>2044.08</v>
      </c>
      <c r="K236" s="32" t="n">
        <f aca="false">'Aturan &amp; Tarif'!$B$5</f>
        <v>2050</v>
      </c>
      <c r="L236" s="32" t="n">
        <f aca="false">'Aturan &amp; Tarif'!$B$6</f>
        <v>350</v>
      </c>
      <c r="M236" s="35" t="n">
        <f aca="false">I236+J236+K236+L236</f>
        <v>32294.08</v>
      </c>
      <c r="N236" s="37" t="s">
        <v>1187</v>
      </c>
    </row>
    <row r="237" customFormat="false" ht="14.25" hidden="false" customHeight="true" outlineLevel="0" collapsed="false">
      <c r="A237" s="29"/>
      <c r="B237" s="30" t="s">
        <v>1416</v>
      </c>
      <c r="C237" s="31" t="s">
        <v>127</v>
      </c>
      <c r="D237" s="31" t="s">
        <v>108</v>
      </c>
      <c r="E237" s="32" t="n">
        <v>13850</v>
      </c>
      <c r="F237" s="32"/>
      <c r="G237" s="32" t="n">
        <v>150</v>
      </c>
      <c r="H237" s="33" t="n">
        <v>2</v>
      </c>
      <c r="I237" s="34" t="n">
        <f aca="false">E237*H237+N(F237)+N(G237)</f>
        <v>27850</v>
      </c>
      <c r="J237" s="32" t="n">
        <f aca="false">ROUND(IFERROR(ROUND(IF(OR(ISNUMBER(SEARCH("week",C237)),ISNUMBER(SEARCH("minggu",C237))),IFERROR(_xlfn.NUMBERVALUE(SUBSTITUTE(LEFT(TRIM(C237),FIND(" ",TRIM(C237)&amp;" ")-1),",","."),"."),LEFT(SUBSTITUTE(LEFT(TRIM(C237),FIND(" ",TRIM(C237)&amp;" ")-1),",","."),FIND("/",SUBSTITUTE(LEFT(TRIM(C237),FIND(" ",TRIM(C237)&amp;" ")-1),",","."))-1)/MID(SUBSTITUTE(LEFT(TRIM(C237),FIND(" ",TRIM(C237)&amp;" ")-1),",","."),FIND("/",SUBSTITUTE(LEFT(TRIM(C237),FIND(" ",TRIM(C237)&amp;" ")-1),",","."))+1,9))*12/52,IF(ISNUMBER(SEARCH("month",C237)),IFERROR(_xlfn.NUMBERVALUE(SUBSTITUTE(LEFT(TRIM(C237),FIND(" ",TRIM(C237)&amp;" ")-1),",","."),"."),LEFT(SUBSTITUTE(LEFT(TRIM(C237),FIND(" ",TRIM(C237)&amp;" ")-1),",","."),FIND("/",SUBSTITUTE(LEFT(TRIM(C237),FIND(" ",TRIM(C237)&amp;" ")-1),",","."))-1)/MID(SUBSTITUTE(LEFT(TRIM(C237),FIND(" ",TRIM(C237)&amp;" ")-1),",","."),FIND("/",SUBSTITUTE(LEFT(TRIM(C237),FIND(" ",TRIM(C237)&amp;" ")-1),",","."))+1,9)),IF(ISNUMBER(SEARCH("yea",C237)),IFERROR(_xlfn.NUMBERVALUE(SUBSTITUTE(LEFT(TRIM(C237),FIND(" ",TRIM(C237)&amp;" ")-1),",","."),"."),LEFT(SUBSTITUTE(LEFT(TRIM(C237),FIND(" ",TRIM(C237)&amp;" ")-1),",","."),FIND("/",SUBSTITUTE(LEFT(TRIM(C237),FIND(" ",TRIM(C237)&amp;" ")-1),",","."))-1)/MID(SUBSTITUTE(LEFT(TRIM(C237),FIND(" ",TRIM(C237)&amp;" ")-1),",","."),FIND("/",SUBSTITUTE(LEFT(TRIM(C237),FIND(" ",TRIM(C237)&amp;" ")-1),",","."))+1,9))*12,NA()))),0),36)*'Aturan &amp; Tarif'!$B$4,2)</f>
        <v>2044.08</v>
      </c>
      <c r="K237" s="32" t="n">
        <f aca="false">'Aturan &amp; Tarif'!$B$5</f>
        <v>2050</v>
      </c>
      <c r="L237" s="32" t="n">
        <f aca="false">'Aturan &amp; Tarif'!$B$6</f>
        <v>350</v>
      </c>
      <c r="M237" s="35" t="n">
        <f aca="false">I237+J237+K237+L237</f>
        <v>32294.08</v>
      </c>
      <c r="N237" s="37" t="s">
        <v>1187</v>
      </c>
    </row>
    <row r="238" customFormat="false" ht="25.5" hidden="false" customHeight="true" outlineLevel="0" collapsed="false">
      <c r="A238" s="29"/>
      <c r="B238" s="30" t="s">
        <v>1417</v>
      </c>
      <c r="C238" s="31" t="s">
        <v>127</v>
      </c>
      <c r="D238" s="31" t="s">
        <v>108</v>
      </c>
      <c r="E238" s="32" t="n">
        <v>13850</v>
      </c>
      <c r="F238" s="32"/>
      <c r="G238" s="32" t="n">
        <v>150</v>
      </c>
      <c r="H238" s="33" t="n">
        <v>2</v>
      </c>
      <c r="I238" s="34" t="n">
        <f aca="false">E238*H238+N(F238)+N(G238)</f>
        <v>27850</v>
      </c>
      <c r="J238" s="32" t="n">
        <f aca="false">ROUND(IFERROR(ROUND(IF(OR(ISNUMBER(SEARCH("week",C238)),ISNUMBER(SEARCH("minggu",C238))),IFERROR(_xlfn.NUMBERVALUE(SUBSTITUTE(LEFT(TRIM(C238),FIND(" ",TRIM(C238)&amp;" ")-1),",","."),"."),LEFT(SUBSTITUTE(LEFT(TRIM(C238),FIND(" ",TRIM(C238)&amp;" ")-1),",","."),FIND("/",SUBSTITUTE(LEFT(TRIM(C238),FIND(" ",TRIM(C238)&amp;" ")-1),",","."))-1)/MID(SUBSTITUTE(LEFT(TRIM(C238),FIND(" ",TRIM(C238)&amp;" ")-1),",","."),FIND("/",SUBSTITUTE(LEFT(TRIM(C238),FIND(" ",TRIM(C238)&amp;" ")-1),",","."))+1,9))*12/52,IF(ISNUMBER(SEARCH("month",C238)),IFERROR(_xlfn.NUMBERVALUE(SUBSTITUTE(LEFT(TRIM(C238),FIND(" ",TRIM(C238)&amp;" ")-1),",","."),"."),LEFT(SUBSTITUTE(LEFT(TRIM(C238),FIND(" ",TRIM(C238)&amp;" ")-1),",","."),FIND("/",SUBSTITUTE(LEFT(TRIM(C238),FIND(" ",TRIM(C238)&amp;" ")-1),",","."))-1)/MID(SUBSTITUTE(LEFT(TRIM(C238),FIND(" ",TRIM(C238)&amp;" ")-1),",","."),FIND("/",SUBSTITUTE(LEFT(TRIM(C238),FIND(" ",TRIM(C238)&amp;" ")-1),",","."))+1,9)),IF(ISNUMBER(SEARCH("yea",C238)),IFERROR(_xlfn.NUMBERVALUE(SUBSTITUTE(LEFT(TRIM(C238),FIND(" ",TRIM(C238)&amp;" ")-1),",","."),"."),LEFT(SUBSTITUTE(LEFT(TRIM(C238),FIND(" ",TRIM(C238)&amp;" ")-1),",","."),FIND("/",SUBSTITUTE(LEFT(TRIM(C238),FIND(" ",TRIM(C238)&amp;" ")-1),",","."))-1)/MID(SUBSTITUTE(LEFT(TRIM(C238),FIND(" ",TRIM(C238)&amp;" ")-1),",","."),FIND("/",SUBSTITUTE(LEFT(TRIM(C238),FIND(" ",TRIM(C238)&amp;" ")-1),",","."))+1,9))*12,NA()))),0),36)*'Aturan &amp; Tarif'!$B$4,2)</f>
        <v>2044.08</v>
      </c>
      <c r="K238" s="32" t="n">
        <f aca="false">'Aturan &amp; Tarif'!$B$5</f>
        <v>2050</v>
      </c>
      <c r="L238" s="32" t="n">
        <f aca="false">'Aturan &amp; Tarif'!$B$6</f>
        <v>350</v>
      </c>
      <c r="M238" s="35" t="n">
        <f aca="false">I238+J238+K238+L238</f>
        <v>32294.08</v>
      </c>
      <c r="N238" s="37" t="s">
        <v>1187</v>
      </c>
    </row>
    <row r="239" customFormat="false" ht="25.5" hidden="false" customHeight="true" outlineLevel="0" collapsed="false">
      <c r="A239" s="29"/>
      <c r="B239" s="30" t="s">
        <v>1418</v>
      </c>
      <c r="C239" s="31" t="s">
        <v>127</v>
      </c>
      <c r="D239" s="31" t="s">
        <v>108</v>
      </c>
      <c r="E239" s="32" t="n">
        <v>13850</v>
      </c>
      <c r="F239" s="32"/>
      <c r="G239" s="32" t="n">
        <v>150</v>
      </c>
      <c r="H239" s="33" t="n">
        <v>2</v>
      </c>
      <c r="I239" s="34" t="n">
        <f aca="false">E239*H239+N(F239)+N(G239)</f>
        <v>27850</v>
      </c>
      <c r="J239" s="32" t="n">
        <f aca="false">ROUND(IFERROR(ROUND(IF(OR(ISNUMBER(SEARCH("week",C239)),ISNUMBER(SEARCH("minggu",C239))),IFERROR(_xlfn.NUMBERVALUE(SUBSTITUTE(LEFT(TRIM(C239),FIND(" ",TRIM(C239)&amp;" ")-1),",","."),"."),LEFT(SUBSTITUTE(LEFT(TRIM(C239),FIND(" ",TRIM(C239)&amp;" ")-1),",","."),FIND("/",SUBSTITUTE(LEFT(TRIM(C239),FIND(" ",TRIM(C239)&amp;" ")-1),",","."))-1)/MID(SUBSTITUTE(LEFT(TRIM(C239),FIND(" ",TRIM(C239)&amp;" ")-1),",","."),FIND("/",SUBSTITUTE(LEFT(TRIM(C239),FIND(" ",TRIM(C239)&amp;" ")-1),",","."))+1,9))*12/52,IF(ISNUMBER(SEARCH("month",C239)),IFERROR(_xlfn.NUMBERVALUE(SUBSTITUTE(LEFT(TRIM(C239),FIND(" ",TRIM(C239)&amp;" ")-1),",","."),"."),LEFT(SUBSTITUTE(LEFT(TRIM(C239),FIND(" ",TRIM(C239)&amp;" ")-1),",","."),FIND("/",SUBSTITUTE(LEFT(TRIM(C239),FIND(" ",TRIM(C239)&amp;" ")-1),",","."))-1)/MID(SUBSTITUTE(LEFT(TRIM(C239),FIND(" ",TRIM(C239)&amp;" ")-1),",","."),FIND("/",SUBSTITUTE(LEFT(TRIM(C239),FIND(" ",TRIM(C239)&amp;" ")-1),",","."))+1,9)),IF(ISNUMBER(SEARCH("yea",C239)),IFERROR(_xlfn.NUMBERVALUE(SUBSTITUTE(LEFT(TRIM(C239),FIND(" ",TRIM(C239)&amp;" ")-1),",","."),"."),LEFT(SUBSTITUTE(LEFT(TRIM(C239),FIND(" ",TRIM(C239)&amp;" ")-1),",","."),FIND("/",SUBSTITUTE(LEFT(TRIM(C239),FIND(" ",TRIM(C239)&amp;" ")-1),",","."))-1)/MID(SUBSTITUTE(LEFT(TRIM(C239),FIND(" ",TRIM(C239)&amp;" ")-1),",","."),FIND("/",SUBSTITUTE(LEFT(TRIM(C239),FIND(" ",TRIM(C239)&amp;" ")-1),",","."))+1,9))*12,NA()))),0),36)*'Aturan &amp; Tarif'!$B$4,2)</f>
        <v>2044.08</v>
      </c>
      <c r="K239" s="32" t="n">
        <f aca="false">'Aturan &amp; Tarif'!$B$5</f>
        <v>2050</v>
      </c>
      <c r="L239" s="32" t="n">
        <f aca="false">'Aturan &amp; Tarif'!$B$6</f>
        <v>350</v>
      </c>
      <c r="M239" s="35" t="n">
        <f aca="false">I239+J239+K239+L239</f>
        <v>32294.08</v>
      </c>
      <c r="N239" s="37" t="s">
        <v>1187</v>
      </c>
    </row>
    <row r="240" customFormat="false" ht="25.5" hidden="false" customHeight="true" outlineLevel="0" collapsed="false">
      <c r="A240" s="29"/>
      <c r="B240" s="30" t="s">
        <v>1419</v>
      </c>
      <c r="C240" s="31" t="s">
        <v>127</v>
      </c>
      <c r="D240" s="31" t="s">
        <v>108</v>
      </c>
      <c r="E240" s="32" t="n">
        <v>13850</v>
      </c>
      <c r="F240" s="32"/>
      <c r="G240" s="32" t="n">
        <v>150</v>
      </c>
      <c r="H240" s="33" t="n">
        <v>2</v>
      </c>
      <c r="I240" s="34" t="n">
        <f aca="false">E240*H240+N(F240)+N(G240)</f>
        <v>27850</v>
      </c>
      <c r="J240" s="32" t="n">
        <f aca="false">ROUND(IFERROR(ROUND(IF(OR(ISNUMBER(SEARCH("week",C240)),ISNUMBER(SEARCH("minggu",C240))),IFERROR(_xlfn.NUMBERVALUE(SUBSTITUTE(LEFT(TRIM(C240),FIND(" ",TRIM(C240)&amp;" ")-1),",","."),"."),LEFT(SUBSTITUTE(LEFT(TRIM(C240),FIND(" ",TRIM(C240)&amp;" ")-1),",","."),FIND("/",SUBSTITUTE(LEFT(TRIM(C240),FIND(" ",TRIM(C240)&amp;" ")-1),",","."))-1)/MID(SUBSTITUTE(LEFT(TRIM(C240),FIND(" ",TRIM(C240)&amp;" ")-1),",","."),FIND("/",SUBSTITUTE(LEFT(TRIM(C240),FIND(" ",TRIM(C240)&amp;" ")-1),",","."))+1,9))*12/52,IF(ISNUMBER(SEARCH("month",C240)),IFERROR(_xlfn.NUMBERVALUE(SUBSTITUTE(LEFT(TRIM(C240),FIND(" ",TRIM(C240)&amp;" ")-1),",","."),"."),LEFT(SUBSTITUTE(LEFT(TRIM(C240),FIND(" ",TRIM(C240)&amp;" ")-1),",","."),FIND("/",SUBSTITUTE(LEFT(TRIM(C240),FIND(" ",TRIM(C240)&amp;" ")-1),",","."))-1)/MID(SUBSTITUTE(LEFT(TRIM(C240),FIND(" ",TRIM(C240)&amp;" ")-1),",","."),FIND("/",SUBSTITUTE(LEFT(TRIM(C240),FIND(" ",TRIM(C240)&amp;" ")-1),",","."))+1,9)),IF(ISNUMBER(SEARCH("yea",C240)),IFERROR(_xlfn.NUMBERVALUE(SUBSTITUTE(LEFT(TRIM(C240),FIND(" ",TRIM(C240)&amp;" ")-1),",","."),"."),LEFT(SUBSTITUTE(LEFT(TRIM(C240),FIND(" ",TRIM(C240)&amp;" ")-1),",","."),FIND("/",SUBSTITUTE(LEFT(TRIM(C240),FIND(" ",TRIM(C240)&amp;" ")-1),",","."))-1)/MID(SUBSTITUTE(LEFT(TRIM(C240),FIND(" ",TRIM(C240)&amp;" ")-1),",","."),FIND("/",SUBSTITUTE(LEFT(TRIM(C240),FIND(" ",TRIM(C240)&amp;" ")-1),",","."))+1,9))*12,NA()))),0),36)*'Aturan &amp; Tarif'!$B$4,2)</f>
        <v>2044.08</v>
      </c>
      <c r="K240" s="32" t="n">
        <f aca="false">'Aturan &amp; Tarif'!$B$5</f>
        <v>2050</v>
      </c>
      <c r="L240" s="32" t="n">
        <f aca="false">'Aturan &amp; Tarif'!$B$6</f>
        <v>350</v>
      </c>
      <c r="M240" s="35" t="n">
        <f aca="false">I240+J240+K240+L240</f>
        <v>32294.08</v>
      </c>
      <c r="N240" s="37" t="s">
        <v>1187</v>
      </c>
    </row>
    <row r="241" customFormat="false" ht="25.5" hidden="false" customHeight="true" outlineLevel="0" collapsed="false">
      <c r="A241" s="29"/>
      <c r="B241" s="30" t="s">
        <v>1420</v>
      </c>
      <c r="C241" s="31" t="s">
        <v>127</v>
      </c>
      <c r="D241" s="31" t="s">
        <v>108</v>
      </c>
      <c r="E241" s="32" t="n">
        <v>13850</v>
      </c>
      <c r="F241" s="32"/>
      <c r="G241" s="32" t="n">
        <v>150</v>
      </c>
      <c r="H241" s="33" t="n">
        <v>2</v>
      </c>
      <c r="I241" s="34" t="n">
        <f aca="false">E241*H241+N(F241)+N(G241)</f>
        <v>27850</v>
      </c>
      <c r="J241" s="32" t="n">
        <f aca="false">ROUND(IFERROR(ROUND(IF(OR(ISNUMBER(SEARCH("week",C241)),ISNUMBER(SEARCH("minggu",C241))),IFERROR(_xlfn.NUMBERVALUE(SUBSTITUTE(LEFT(TRIM(C241),FIND(" ",TRIM(C241)&amp;" ")-1),",","."),"."),LEFT(SUBSTITUTE(LEFT(TRIM(C241),FIND(" ",TRIM(C241)&amp;" ")-1),",","."),FIND("/",SUBSTITUTE(LEFT(TRIM(C241),FIND(" ",TRIM(C241)&amp;" ")-1),",","."))-1)/MID(SUBSTITUTE(LEFT(TRIM(C241),FIND(" ",TRIM(C241)&amp;" ")-1),",","."),FIND("/",SUBSTITUTE(LEFT(TRIM(C241),FIND(" ",TRIM(C241)&amp;" ")-1),",","."))+1,9))*12/52,IF(ISNUMBER(SEARCH("month",C241)),IFERROR(_xlfn.NUMBERVALUE(SUBSTITUTE(LEFT(TRIM(C241),FIND(" ",TRIM(C241)&amp;" ")-1),",","."),"."),LEFT(SUBSTITUTE(LEFT(TRIM(C241),FIND(" ",TRIM(C241)&amp;" ")-1),",","."),FIND("/",SUBSTITUTE(LEFT(TRIM(C241),FIND(" ",TRIM(C241)&amp;" ")-1),",","."))-1)/MID(SUBSTITUTE(LEFT(TRIM(C241),FIND(" ",TRIM(C241)&amp;" ")-1),",","."),FIND("/",SUBSTITUTE(LEFT(TRIM(C241),FIND(" ",TRIM(C241)&amp;" ")-1),",","."))+1,9)),IF(ISNUMBER(SEARCH("yea",C241)),IFERROR(_xlfn.NUMBERVALUE(SUBSTITUTE(LEFT(TRIM(C241),FIND(" ",TRIM(C241)&amp;" ")-1),",","."),"."),LEFT(SUBSTITUTE(LEFT(TRIM(C241),FIND(" ",TRIM(C241)&amp;" ")-1),",","."),FIND("/",SUBSTITUTE(LEFT(TRIM(C241),FIND(" ",TRIM(C241)&amp;" ")-1),",","."))-1)/MID(SUBSTITUTE(LEFT(TRIM(C241),FIND(" ",TRIM(C241)&amp;" ")-1),",","."),FIND("/",SUBSTITUTE(LEFT(TRIM(C241),FIND(" ",TRIM(C241)&amp;" ")-1),",","."))+1,9))*12,NA()))),0),36)*'Aturan &amp; Tarif'!$B$4,2)</f>
        <v>2044.08</v>
      </c>
      <c r="K241" s="32" t="n">
        <f aca="false">'Aturan &amp; Tarif'!$B$5</f>
        <v>2050</v>
      </c>
      <c r="L241" s="32" t="n">
        <f aca="false">'Aturan &amp; Tarif'!$B$6</f>
        <v>350</v>
      </c>
      <c r="M241" s="35" t="n">
        <f aca="false">I241+J241+K241+L241</f>
        <v>32294.08</v>
      </c>
      <c r="N241" s="37" t="s">
        <v>1187</v>
      </c>
    </row>
    <row r="242" customFormat="false" ht="25.5" hidden="false" customHeight="true" outlineLevel="0" collapsed="false">
      <c r="A242" s="29"/>
      <c r="B242" s="30" t="s">
        <v>1421</v>
      </c>
      <c r="C242" s="31" t="s">
        <v>127</v>
      </c>
      <c r="D242" s="31" t="s">
        <v>108</v>
      </c>
      <c r="E242" s="32" t="n">
        <v>13850</v>
      </c>
      <c r="F242" s="32"/>
      <c r="G242" s="32" t="n">
        <v>150</v>
      </c>
      <c r="H242" s="33" t="n">
        <v>2</v>
      </c>
      <c r="I242" s="34" t="n">
        <f aca="false">E242*H242+N(F242)+N(G242)</f>
        <v>27850</v>
      </c>
      <c r="J242" s="32" t="n">
        <f aca="false">ROUND(IFERROR(ROUND(IF(OR(ISNUMBER(SEARCH("week",C242)),ISNUMBER(SEARCH("minggu",C242))),IFERROR(_xlfn.NUMBERVALUE(SUBSTITUTE(LEFT(TRIM(C242),FIND(" ",TRIM(C242)&amp;" ")-1),",","."),"."),LEFT(SUBSTITUTE(LEFT(TRIM(C242),FIND(" ",TRIM(C242)&amp;" ")-1),",","."),FIND("/",SUBSTITUTE(LEFT(TRIM(C242),FIND(" ",TRIM(C242)&amp;" ")-1),",","."))-1)/MID(SUBSTITUTE(LEFT(TRIM(C242),FIND(" ",TRIM(C242)&amp;" ")-1),",","."),FIND("/",SUBSTITUTE(LEFT(TRIM(C242),FIND(" ",TRIM(C242)&amp;" ")-1),",","."))+1,9))*12/52,IF(ISNUMBER(SEARCH("month",C242)),IFERROR(_xlfn.NUMBERVALUE(SUBSTITUTE(LEFT(TRIM(C242),FIND(" ",TRIM(C242)&amp;" ")-1),",","."),"."),LEFT(SUBSTITUTE(LEFT(TRIM(C242),FIND(" ",TRIM(C242)&amp;" ")-1),",","."),FIND("/",SUBSTITUTE(LEFT(TRIM(C242),FIND(" ",TRIM(C242)&amp;" ")-1),",","."))-1)/MID(SUBSTITUTE(LEFT(TRIM(C242),FIND(" ",TRIM(C242)&amp;" ")-1),",","."),FIND("/",SUBSTITUTE(LEFT(TRIM(C242),FIND(" ",TRIM(C242)&amp;" ")-1),",","."))+1,9)),IF(ISNUMBER(SEARCH("yea",C242)),IFERROR(_xlfn.NUMBERVALUE(SUBSTITUTE(LEFT(TRIM(C242),FIND(" ",TRIM(C242)&amp;" ")-1),",","."),"."),LEFT(SUBSTITUTE(LEFT(TRIM(C242),FIND(" ",TRIM(C242)&amp;" ")-1),",","."),FIND("/",SUBSTITUTE(LEFT(TRIM(C242),FIND(" ",TRIM(C242)&amp;" ")-1),",","."))-1)/MID(SUBSTITUTE(LEFT(TRIM(C242),FIND(" ",TRIM(C242)&amp;" ")-1),",","."),FIND("/",SUBSTITUTE(LEFT(TRIM(C242),FIND(" ",TRIM(C242)&amp;" ")-1),",","."))+1,9))*12,NA()))),0),36)*'Aturan &amp; Tarif'!$B$4,2)</f>
        <v>2044.08</v>
      </c>
      <c r="K242" s="32" t="n">
        <f aca="false">'Aturan &amp; Tarif'!$B$5</f>
        <v>2050</v>
      </c>
      <c r="L242" s="32" t="n">
        <f aca="false">'Aturan &amp; Tarif'!$B$6</f>
        <v>350</v>
      </c>
      <c r="M242" s="35" t="n">
        <f aca="false">I242+J242+K242+L242</f>
        <v>32294.08</v>
      </c>
      <c r="N242" s="37" t="s">
        <v>1187</v>
      </c>
    </row>
    <row r="243" customFormat="false" ht="25.5" hidden="false" customHeight="true" outlineLevel="0" collapsed="false">
      <c r="A243" s="29"/>
      <c r="B243" s="30" t="s">
        <v>1422</v>
      </c>
      <c r="C243" s="31" t="s">
        <v>127</v>
      </c>
      <c r="D243" s="31" t="s">
        <v>108</v>
      </c>
      <c r="E243" s="32" t="n">
        <v>13850</v>
      </c>
      <c r="F243" s="32"/>
      <c r="G243" s="32" t="n">
        <v>150</v>
      </c>
      <c r="H243" s="33" t="n">
        <v>2</v>
      </c>
      <c r="I243" s="34" t="n">
        <f aca="false">E243*H243+N(F243)+N(G243)</f>
        <v>27850</v>
      </c>
      <c r="J243" s="32" t="n">
        <f aca="false">ROUND(IFERROR(ROUND(IF(OR(ISNUMBER(SEARCH("week",C243)),ISNUMBER(SEARCH("minggu",C243))),IFERROR(_xlfn.NUMBERVALUE(SUBSTITUTE(LEFT(TRIM(C243),FIND(" ",TRIM(C243)&amp;" ")-1),",","."),"."),LEFT(SUBSTITUTE(LEFT(TRIM(C243),FIND(" ",TRIM(C243)&amp;" ")-1),",","."),FIND("/",SUBSTITUTE(LEFT(TRIM(C243),FIND(" ",TRIM(C243)&amp;" ")-1),",","."))-1)/MID(SUBSTITUTE(LEFT(TRIM(C243),FIND(" ",TRIM(C243)&amp;" ")-1),",","."),FIND("/",SUBSTITUTE(LEFT(TRIM(C243),FIND(" ",TRIM(C243)&amp;" ")-1),",","."))+1,9))*12/52,IF(ISNUMBER(SEARCH("month",C243)),IFERROR(_xlfn.NUMBERVALUE(SUBSTITUTE(LEFT(TRIM(C243),FIND(" ",TRIM(C243)&amp;" ")-1),",","."),"."),LEFT(SUBSTITUTE(LEFT(TRIM(C243),FIND(" ",TRIM(C243)&amp;" ")-1),",","."),FIND("/",SUBSTITUTE(LEFT(TRIM(C243),FIND(" ",TRIM(C243)&amp;" ")-1),",","."))-1)/MID(SUBSTITUTE(LEFT(TRIM(C243),FIND(" ",TRIM(C243)&amp;" ")-1),",","."),FIND("/",SUBSTITUTE(LEFT(TRIM(C243),FIND(" ",TRIM(C243)&amp;" ")-1),",","."))+1,9)),IF(ISNUMBER(SEARCH("yea",C243)),IFERROR(_xlfn.NUMBERVALUE(SUBSTITUTE(LEFT(TRIM(C243),FIND(" ",TRIM(C243)&amp;" ")-1),",","."),"."),LEFT(SUBSTITUTE(LEFT(TRIM(C243),FIND(" ",TRIM(C243)&amp;" ")-1),",","."),FIND("/",SUBSTITUTE(LEFT(TRIM(C243),FIND(" ",TRIM(C243)&amp;" ")-1),",","."))-1)/MID(SUBSTITUTE(LEFT(TRIM(C243),FIND(" ",TRIM(C243)&amp;" ")-1),",","."),FIND("/",SUBSTITUTE(LEFT(TRIM(C243),FIND(" ",TRIM(C243)&amp;" ")-1),",","."))+1,9))*12,NA()))),0),36)*'Aturan &amp; Tarif'!$B$4,2)</f>
        <v>2044.08</v>
      </c>
      <c r="K243" s="32" t="n">
        <f aca="false">'Aturan &amp; Tarif'!$B$5</f>
        <v>2050</v>
      </c>
      <c r="L243" s="32" t="n">
        <f aca="false">'Aturan &amp; Tarif'!$B$6</f>
        <v>350</v>
      </c>
      <c r="M243" s="35" t="n">
        <f aca="false">I243+J243+K243+L243</f>
        <v>32294.08</v>
      </c>
      <c r="N243" s="37" t="s">
        <v>1187</v>
      </c>
    </row>
    <row r="244" customFormat="false" ht="25.5" hidden="false" customHeight="true" outlineLevel="0" collapsed="false">
      <c r="A244" s="29"/>
      <c r="B244" s="30" t="s">
        <v>1423</v>
      </c>
      <c r="C244" s="31" t="s">
        <v>127</v>
      </c>
      <c r="D244" s="31" t="s">
        <v>108</v>
      </c>
      <c r="E244" s="32" t="n">
        <v>13850</v>
      </c>
      <c r="F244" s="32"/>
      <c r="G244" s="32" t="n">
        <v>150</v>
      </c>
      <c r="H244" s="33" t="n">
        <v>2</v>
      </c>
      <c r="I244" s="34" t="n">
        <f aca="false">E244*H244+N(F244)+N(G244)</f>
        <v>27850</v>
      </c>
      <c r="J244" s="32" t="n">
        <f aca="false">ROUND(IFERROR(ROUND(IF(OR(ISNUMBER(SEARCH("week",C244)),ISNUMBER(SEARCH("minggu",C244))),IFERROR(_xlfn.NUMBERVALUE(SUBSTITUTE(LEFT(TRIM(C244),FIND(" ",TRIM(C244)&amp;" ")-1),",","."),"."),LEFT(SUBSTITUTE(LEFT(TRIM(C244),FIND(" ",TRIM(C244)&amp;" ")-1),",","."),FIND("/",SUBSTITUTE(LEFT(TRIM(C244),FIND(" ",TRIM(C244)&amp;" ")-1),",","."))-1)/MID(SUBSTITUTE(LEFT(TRIM(C244),FIND(" ",TRIM(C244)&amp;" ")-1),",","."),FIND("/",SUBSTITUTE(LEFT(TRIM(C244),FIND(" ",TRIM(C244)&amp;" ")-1),",","."))+1,9))*12/52,IF(ISNUMBER(SEARCH("month",C244)),IFERROR(_xlfn.NUMBERVALUE(SUBSTITUTE(LEFT(TRIM(C244),FIND(" ",TRIM(C244)&amp;" ")-1),",","."),"."),LEFT(SUBSTITUTE(LEFT(TRIM(C244),FIND(" ",TRIM(C244)&amp;" ")-1),",","."),FIND("/",SUBSTITUTE(LEFT(TRIM(C244),FIND(" ",TRIM(C244)&amp;" ")-1),",","."))-1)/MID(SUBSTITUTE(LEFT(TRIM(C244),FIND(" ",TRIM(C244)&amp;" ")-1),",","."),FIND("/",SUBSTITUTE(LEFT(TRIM(C244),FIND(" ",TRIM(C244)&amp;" ")-1),",","."))+1,9)),IF(ISNUMBER(SEARCH("yea",C244)),IFERROR(_xlfn.NUMBERVALUE(SUBSTITUTE(LEFT(TRIM(C244),FIND(" ",TRIM(C244)&amp;" ")-1),",","."),"."),LEFT(SUBSTITUTE(LEFT(TRIM(C244),FIND(" ",TRIM(C244)&amp;" ")-1),",","."),FIND("/",SUBSTITUTE(LEFT(TRIM(C244),FIND(" ",TRIM(C244)&amp;" ")-1),",","."))-1)/MID(SUBSTITUTE(LEFT(TRIM(C244),FIND(" ",TRIM(C244)&amp;" ")-1),",","."),FIND("/",SUBSTITUTE(LEFT(TRIM(C244),FIND(" ",TRIM(C244)&amp;" ")-1),",","."))+1,9))*12,NA()))),0),36)*'Aturan &amp; Tarif'!$B$4,2)</f>
        <v>2044.08</v>
      </c>
      <c r="K244" s="32" t="n">
        <f aca="false">'Aturan &amp; Tarif'!$B$5</f>
        <v>2050</v>
      </c>
      <c r="L244" s="32" t="n">
        <f aca="false">'Aturan &amp; Tarif'!$B$6</f>
        <v>350</v>
      </c>
      <c r="M244" s="35" t="n">
        <f aca="false">I244+J244+K244+L244</f>
        <v>32294.08</v>
      </c>
      <c r="N244" s="37" t="s">
        <v>1187</v>
      </c>
    </row>
    <row r="245" customFormat="false" ht="25.5" hidden="false" customHeight="true" outlineLevel="0" collapsed="false">
      <c r="A245" s="29"/>
      <c r="B245" s="30" t="s">
        <v>1424</v>
      </c>
      <c r="C245" s="31" t="s">
        <v>127</v>
      </c>
      <c r="D245" s="31" t="s">
        <v>108</v>
      </c>
      <c r="E245" s="32" t="n">
        <v>13850</v>
      </c>
      <c r="F245" s="32"/>
      <c r="G245" s="32" t="n">
        <v>150</v>
      </c>
      <c r="H245" s="33" t="n">
        <v>2</v>
      </c>
      <c r="I245" s="34" t="n">
        <f aca="false">E245*H245+N(F245)+N(G245)</f>
        <v>27850</v>
      </c>
      <c r="J245" s="32" t="n">
        <f aca="false">ROUND(IFERROR(ROUND(IF(OR(ISNUMBER(SEARCH("week",C245)),ISNUMBER(SEARCH("minggu",C245))),IFERROR(_xlfn.NUMBERVALUE(SUBSTITUTE(LEFT(TRIM(C245),FIND(" ",TRIM(C245)&amp;" ")-1),",","."),"."),LEFT(SUBSTITUTE(LEFT(TRIM(C245),FIND(" ",TRIM(C245)&amp;" ")-1),",","."),FIND("/",SUBSTITUTE(LEFT(TRIM(C245),FIND(" ",TRIM(C245)&amp;" ")-1),",","."))-1)/MID(SUBSTITUTE(LEFT(TRIM(C245),FIND(" ",TRIM(C245)&amp;" ")-1),",","."),FIND("/",SUBSTITUTE(LEFT(TRIM(C245),FIND(" ",TRIM(C245)&amp;" ")-1),",","."))+1,9))*12/52,IF(ISNUMBER(SEARCH("month",C245)),IFERROR(_xlfn.NUMBERVALUE(SUBSTITUTE(LEFT(TRIM(C245),FIND(" ",TRIM(C245)&amp;" ")-1),",","."),"."),LEFT(SUBSTITUTE(LEFT(TRIM(C245),FIND(" ",TRIM(C245)&amp;" ")-1),",","."),FIND("/",SUBSTITUTE(LEFT(TRIM(C245),FIND(" ",TRIM(C245)&amp;" ")-1),",","."))-1)/MID(SUBSTITUTE(LEFT(TRIM(C245),FIND(" ",TRIM(C245)&amp;" ")-1),",","."),FIND("/",SUBSTITUTE(LEFT(TRIM(C245),FIND(" ",TRIM(C245)&amp;" ")-1),",","."))+1,9)),IF(ISNUMBER(SEARCH("yea",C245)),IFERROR(_xlfn.NUMBERVALUE(SUBSTITUTE(LEFT(TRIM(C245),FIND(" ",TRIM(C245)&amp;" ")-1),",","."),"."),LEFT(SUBSTITUTE(LEFT(TRIM(C245),FIND(" ",TRIM(C245)&amp;" ")-1),",","."),FIND("/",SUBSTITUTE(LEFT(TRIM(C245),FIND(" ",TRIM(C245)&amp;" ")-1),",","."))-1)/MID(SUBSTITUTE(LEFT(TRIM(C245),FIND(" ",TRIM(C245)&amp;" ")-1),",","."),FIND("/",SUBSTITUTE(LEFT(TRIM(C245),FIND(" ",TRIM(C245)&amp;" ")-1),",","."))+1,9))*12,NA()))),0),36)*'Aturan &amp; Tarif'!$B$4,2)</f>
        <v>2044.08</v>
      </c>
      <c r="K245" s="32" t="n">
        <f aca="false">'Aturan &amp; Tarif'!$B$5</f>
        <v>2050</v>
      </c>
      <c r="L245" s="32" t="n">
        <f aca="false">'Aturan &amp; Tarif'!$B$6</f>
        <v>350</v>
      </c>
      <c r="M245" s="35" t="n">
        <f aca="false">I245+J245+K245+L245</f>
        <v>32294.08</v>
      </c>
      <c r="N245" s="37" t="s">
        <v>1187</v>
      </c>
    </row>
    <row r="246" customFormat="false" ht="25.5" hidden="false" customHeight="true" outlineLevel="0" collapsed="false">
      <c r="A246" s="29"/>
      <c r="B246" s="30" t="s">
        <v>1425</v>
      </c>
      <c r="C246" s="31" t="s">
        <v>127</v>
      </c>
      <c r="D246" s="31" t="s">
        <v>108</v>
      </c>
      <c r="E246" s="32" t="n">
        <v>13850</v>
      </c>
      <c r="F246" s="32"/>
      <c r="G246" s="32" t="n">
        <v>150</v>
      </c>
      <c r="H246" s="33" t="n">
        <v>2</v>
      </c>
      <c r="I246" s="34" t="n">
        <f aca="false">E246*H246+N(F246)+N(G246)</f>
        <v>27850</v>
      </c>
      <c r="J246" s="32" t="n">
        <f aca="false">ROUND(IFERROR(ROUND(IF(OR(ISNUMBER(SEARCH("week",C246)),ISNUMBER(SEARCH("minggu",C246))),IFERROR(_xlfn.NUMBERVALUE(SUBSTITUTE(LEFT(TRIM(C246),FIND(" ",TRIM(C246)&amp;" ")-1),",","."),"."),LEFT(SUBSTITUTE(LEFT(TRIM(C246),FIND(" ",TRIM(C246)&amp;" ")-1),",","."),FIND("/",SUBSTITUTE(LEFT(TRIM(C246),FIND(" ",TRIM(C246)&amp;" ")-1),",","."))-1)/MID(SUBSTITUTE(LEFT(TRIM(C246),FIND(" ",TRIM(C246)&amp;" ")-1),",","."),FIND("/",SUBSTITUTE(LEFT(TRIM(C246),FIND(" ",TRIM(C246)&amp;" ")-1),",","."))+1,9))*12/52,IF(ISNUMBER(SEARCH("month",C246)),IFERROR(_xlfn.NUMBERVALUE(SUBSTITUTE(LEFT(TRIM(C246),FIND(" ",TRIM(C246)&amp;" ")-1),",","."),"."),LEFT(SUBSTITUTE(LEFT(TRIM(C246),FIND(" ",TRIM(C246)&amp;" ")-1),",","."),FIND("/",SUBSTITUTE(LEFT(TRIM(C246),FIND(" ",TRIM(C246)&amp;" ")-1),",","."))-1)/MID(SUBSTITUTE(LEFT(TRIM(C246),FIND(" ",TRIM(C246)&amp;" ")-1),",","."),FIND("/",SUBSTITUTE(LEFT(TRIM(C246),FIND(" ",TRIM(C246)&amp;" ")-1),",","."))+1,9)),IF(ISNUMBER(SEARCH("yea",C246)),IFERROR(_xlfn.NUMBERVALUE(SUBSTITUTE(LEFT(TRIM(C246),FIND(" ",TRIM(C246)&amp;" ")-1),",","."),"."),LEFT(SUBSTITUTE(LEFT(TRIM(C246),FIND(" ",TRIM(C246)&amp;" ")-1),",","."),FIND("/",SUBSTITUTE(LEFT(TRIM(C246),FIND(" ",TRIM(C246)&amp;" ")-1),",","."))-1)/MID(SUBSTITUTE(LEFT(TRIM(C246),FIND(" ",TRIM(C246)&amp;" ")-1),",","."),FIND("/",SUBSTITUTE(LEFT(TRIM(C246),FIND(" ",TRIM(C246)&amp;" ")-1),",","."))+1,9))*12,NA()))),0),36)*'Aturan &amp; Tarif'!$B$4,2)</f>
        <v>2044.08</v>
      </c>
      <c r="K246" s="32" t="n">
        <f aca="false">'Aturan &amp; Tarif'!$B$5</f>
        <v>2050</v>
      </c>
      <c r="L246" s="32" t="n">
        <f aca="false">'Aturan &amp; Tarif'!$B$6</f>
        <v>350</v>
      </c>
      <c r="M246" s="35" t="n">
        <f aca="false">I246+J246+K246+L246</f>
        <v>32294.08</v>
      </c>
      <c r="N246" s="37" t="s">
        <v>1187</v>
      </c>
    </row>
    <row r="247" customFormat="false" ht="25.5" hidden="false" customHeight="true" outlineLevel="0" collapsed="false">
      <c r="A247" s="29"/>
      <c r="B247" s="30" t="s">
        <v>1426</v>
      </c>
      <c r="C247" s="31" t="s">
        <v>127</v>
      </c>
      <c r="D247" s="31" t="s">
        <v>108</v>
      </c>
      <c r="E247" s="32" t="n">
        <v>13850</v>
      </c>
      <c r="F247" s="32"/>
      <c r="G247" s="32" t="n">
        <v>150</v>
      </c>
      <c r="H247" s="33" t="n">
        <v>2</v>
      </c>
      <c r="I247" s="34" t="n">
        <f aca="false">E247*H247+N(F247)+N(G247)</f>
        <v>27850</v>
      </c>
      <c r="J247" s="32" t="n">
        <f aca="false">ROUND(IFERROR(ROUND(IF(OR(ISNUMBER(SEARCH("week",C247)),ISNUMBER(SEARCH("minggu",C247))),IFERROR(_xlfn.NUMBERVALUE(SUBSTITUTE(LEFT(TRIM(C247),FIND(" ",TRIM(C247)&amp;" ")-1),",","."),"."),LEFT(SUBSTITUTE(LEFT(TRIM(C247),FIND(" ",TRIM(C247)&amp;" ")-1),",","."),FIND("/",SUBSTITUTE(LEFT(TRIM(C247),FIND(" ",TRIM(C247)&amp;" ")-1),",","."))-1)/MID(SUBSTITUTE(LEFT(TRIM(C247),FIND(" ",TRIM(C247)&amp;" ")-1),",","."),FIND("/",SUBSTITUTE(LEFT(TRIM(C247),FIND(" ",TRIM(C247)&amp;" ")-1),",","."))+1,9))*12/52,IF(ISNUMBER(SEARCH("month",C247)),IFERROR(_xlfn.NUMBERVALUE(SUBSTITUTE(LEFT(TRIM(C247),FIND(" ",TRIM(C247)&amp;" ")-1),",","."),"."),LEFT(SUBSTITUTE(LEFT(TRIM(C247),FIND(" ",TRIM(C247)&amp;" ")-1),",","."),FIND("/",SUBSTITUTE(LEFT(TRIM(C247),FIND(" ",TRIM(C247)&amp;" ")-1),",","."))-1)/MID(SUBSTITUTE(LEFT(TRIM(C247),FIND(" ",TRIM(C247)&amp;" ")-1),",","."),FIND("/",SUBSTITUTE(LEFT(TRIM(C247),FIND(" ",TRIM(C247)&amp;" ")-1),",","."))+1,9)),IF(ISNUMBER(SEARCH("yea",C247)),IFERROR(_xlfn.NUMBERVALUE(SUBSTITUTE(LEFT(TRIM(C247),FIND(" ",TRIM(C247)&amp;" ")-1),",","."),"."),LEFT(SUBSTITUTE(LEFT(TRIM(C247),FIND(" ",TRIM(C247)&amp;" ")-1),",","."),FIND("/",SUBSTITUTE(LEFT(TRIM(C247),FIND(" ",TRIM(C247)&amp;" ")-1),",","."))-1)/MID(SUBSTITUTE(LEFT(TRIM(C247),FIND(" ",TRIM(C247)&amp;" ")-1),",","."),FIND("/",SUBSTITUTE(LEFT(TRIM(C247),FIND(" ",TRIM(C247)&amp;" ")-1),",","."))+1,9))*12,NA()))),0),36)*'Aturan &amp; Tarif'!$B$4,2)</f>
        <v>2044.08</v>
      </c>
      <c r="K247" s="32" t="n">
        <f aca="false">'Aturan &amp; Tarif'!$B$5</f>
        <v>2050</v>
      </c>
      <c r="L247" s="32" t="n">
        <f aca="false">'Aturan &amp; Tarif'!$B$6</f>
        <v>350</v>
      </c>
      <c r="M247" s="35" t="n">
        <f aca="false">I247+J247+K247+L247</f>
        <v>32294.08</v>
      </c>
      <c r="N247" s="37" t="s">
        <v>1187</v>
      </c>
    </row>
    <row r="248" customFormat="false" ht="25.5" hidden="false" customHeight="true" outlineLevel="0" collapsed="false">
      <c r="A248" s="29"/>
      <c r="B248" s="30" t="s">
        <v>1427</v>
      </c>
      <c r="C248" s="31" t="s">
        <v>127</v>
      </c>
      <c r="D248" s="31" t="s">
        <v>108</v>
      </c>
      <c r="E248" s="32" t="n">
        <v>13850</v>
      </c>
      <c r="F248" s="32"/>
      <c r="G248" s="32" t="n">
        <v>150</v>
      </c>
      <c r="H248" s="33" t="n">
        <v>2</v>
      </c>
      <c r="I248" s="34" t="n">
        <f aca="false">E248*H248+N(F248)+N(G248)</f>
        <v>27850</v>
      </c>
      <c r="J248" s="32" t="n">
        <f aca="false">ROUND(IFERROR(ROUND(IF(OR(ISNUMBER(SEARCH("week",C248)),ISNUMBER(SEARCH("minggu",C248))),IFERROR(_xlfn.NUMBERVALUE(SUBSTITUTE(LEFT(TRIM(C248),FIND(" ",TRIM(C248)&amp;" ")-1),",","."),"."),LEFT(SUBSTITUTE(LEFT(TRIM(C248),FIND(" ",TRIM(C248)&amp;" ")-1),",","."),FIND("/",SUBSTITUTE(LEFT(TRIM(C248),FIND(" ",TRIM(C248)&amp;" ")-1),",","."))-1)/MID(SUBSTITUTE(LEFT(TRIM(C248),FIND(" ",TRIM(C248)&amp;" ")-1),",","."),FIND("/",SUBSTITUTE(LEFT(TRIM(C248),FIND(" ",TRIM(C248)&amp;" ")-1),",","."))+1,9))*12/52,IF(ISNUMBER(SEARCH("month",C248)),IFERROR(_xlfn.NUMBERVALUE(SUBSTITUTE(LEFT(TRIM(C248),FIND(" ",TRIM(C248)&amp;" ")-1),",","."),"."),LEFT(SUBSTITUTE(LEFT(TRIM(C248),FIND(" ",TRIM(C248)&amp;" ")-1),",","."),FIND("/",SUBSTITUTE(LEFT(TRIM(C248),FIND(" ",TRIM(C248)&amp;" ")-1),",","."))-1)/MID(SUBSTITUTE(LEFT(TRIM(C248),FIND(" ",TRIM(C248)&amp;" ")-1),",","."),FIND("/",SUBSTITUTE(LEFT(TRIM(C248),FIND(" ",TRIM(C248)&amp;" ")-1),",","."))+1,9)),IF(ISNUMBER(SEARCH("yea",C248)),IFERROR(_xlfn.NUMBERVALUE(SUBSTITUTE(LEFT(TRIM(C248),FIND(" ",TRIM(C248)&amp;" ")-1),",","."),"."),LEFT(SUBSTITUTE(LEFT(TRIM(C248),FIND(" ",TRIM(C248)&amp;" ")-1),",","."),FIND("/",SUBSTITUTE(LEFT(TRIM(C248),FIND(" ",TRIM(C248)&amp;" ")-1),",","."))-1)/MID(SUBSTITUTE(LEFT(TRIM(C248),FIND(" ",TRIM(C248)&amp;" ")-1),",","."),FIND("/",SUBSTITUTE(LEFT(TRIM(C248),FIND(" ",TRIM(C248)&amp;" ")-1),",","."))+1,9))*12,NA()))),0),36)*'Aturan &amp; Tarif'!$B$4,2)</f>
        <v>2044.08</v>
      </c>
      <c r="K248" s="32" t="n">
        <f aca="false">'Aturan &amp; Tarif'!$B$5</f>
        <v>2050</v>
      </c>
      <c r="L248" s="32" t="n">
        <f aca="false">'Aturan &amp; Tarif'!$B$6</f>
        <v>350</v>
      </c>
      <c r="M248" s="35" t="n">
        <f aca="false">I248+J248+K248+L248</f>
        <v>32294.08</v>
      </c>
      <c r="N248" s="37" t="s">
        <v>1187</v>
      </c>
    </row>
    <row r="249" customFormat="false" ht="25.5" hidden="false" customHeight="true" outlineLevel="0" collapsed="false">
      <c r="A249" s="29"/>
      <c r="B249" s="30" t="s">
        <v>1428</v>
      </c>
      <c r="C249" s="31" t="s">
        <v>127</v>
      </c>
      <c r="D249" s="31" t="s">
        <v>108</v>
      </c>
      <c r="E249" s="32" t="n">
        <v>13850</v>
      </c>
      <c r="F249" s="32"/>
      <c r="G249" s="32" t="n">
        <v>150</v>
      </c>
      <c r="H249" s="33" t="n">
        <v>2</v>
      </c>
      <c r="I249" s="34" t="n">
        <f aca="false">E249*H249+N(F249)+N(G249)</f>
        <v>27850</v>
      </c>
      <c r="J249" s="32" t="n">
        <f aca="false">ROUND(IFERROR(ROUND(IF(OR(ISNUMBER(SEARCH("week",C249)),ISNUMBER(SEARCH("minggu",C249))),IFERROR(_xlfn.NUMBERVALUE(SUBSTITUTE(LEFT(TRIM(C249),FIND(" ",TRIM(C249)&amp;" ")-1),",","."),"."),LEFT(SUBSTITUTE(LEFT(TRIM(C249),FIND(" ",TRIM(C249)&amp;" ")-1),",","."),FIND("/",SUBSTITUTE(LEFT(TRIM(C249),FIND(" ",TRIM(C249)&amp;" ")-1),",","."))-1)/MID(SUBSTITUTE(LEFT(TRIM(C249),FIND(" ",TRIM(C249)&amp;" ")-1),",","."),FIND("/",SUBSTITUTE(LEFT(TRIM(C249),FIND(" ",TRIM(C249)&amp;" ")-1),",","."))+1,9))*12/52,IF(ISNUMBER(SEARCH("month",C249)),IFERROR(_xlfn.NUMBERVALUE(SUBSTITUTE(LEFT(TRIM(C249),FIND(" ",TRIM(C249)&amp;" ")-1),",","."),"."),LEFT(SUBSTITUTE(LEFT(TRIM(C249),FIND(" ",TRIM(C249)&amp;" ")-1),",","."),FIND("/",SUBSTITUTE(LEFT(TRIM(C249),FIND(" ",TRIM(C249)&amp;" ")-1),",","."))-1)/MID(SUBSTITUTE(LEFT(TRIM(C249),FIND(" ",TRIM(C249)&amp;" ")-1),",","."),FIND("/",SUBSTITUTE(LEFT(TRIM(C249),FIND(" ",TRIM(C249)&amp;" ")-1),",","."))+1,9)),IF(ISNUMBER(SEARCH("yea",C249)),IFERROR(_xlfn.NUMBERVALUE(SUBSTITUTE(LEFT(TRIM(C249),FIND(" ",TRIM(C249)&amp;" ")-1),",","."),"."),LEFT(SUBSTITUTE(LEFT(TRIM(C249),FIND(" ",TRIM(C249)&amp;" ")-1),",","."),FIND("/",SUBSTITUTE(LEFT(TRIM(C249),FIND(" ",TRIM(C249)&amp;" ")-1),",","."))-1)/MID(SUBSTITUTE(LEFT(TRIM(C249),FIND(" ",TRIM(C249)&amp;" ")-1),",","."),FIND("/",SUBSTITUTE(LEFT(TRIM(C249),FIND(" ",TRIM(C249)&amp;" ")-1),",","."))+1,9))*12,NA()))),0),36)*'Aturan &amp; Tarif'!$B$4,2)</f>
        <v>2044.08</v>
      </c>
      <c r="K249" s="32" t="n">
        <f aca="false">'Aturan &amp; Tarif'!$B$5</f>
        <v>2050</v>
      </c>
      <c r="L249" s="32" t="n">
        <f aca="false">'Aturan &amp; Tarif'!$B$6</f>
        <v>350</v>
      </c>
      <c r="M249" s="35" t="n">
        <f aca="false">I249+J249+K249+L249</f>
        <v>32294.08</v>
      </c>
      <c r="N249" s="37" t="s">
        <v>1187</v>
      </c>
    </row>
    <row r="250" customFormat="false" ht="25.5" hidden="false" customHeight="true" outlineLevel="0" collapsed="false">
      <c r="A250" s="29"/>
      <c r="B250" s="30" t="s">
        <v>1429</v>
      </c>
      <c r="C250" s="31" t="s">
        <v>127</v>
      </c>
      <c r="D250" s="31" t="s">
        <v>108</v>
      </c>
      <c r="E250" s="32" t="n">
        <v>13850</v>
      </c>
      <c r="F250" s="32"/>
      <c r="G250" s="32" t="n">
        <v>150</v>
      </c>
      <c r="H250" s="33" t="n">
        <v>2</v>
      </c>
      <c r="I250" s="34" t="n">
        <f aca="false">E250*H250+N(F250)+N(G250)</f>
        <v>27850</v>
      </c>
      <c r="J250" s="32" t="n">
        <f aca="false">ROUND(IFERROR(ROUND(IF(OR(ISNUMBER(SEARCH("week",C250)),ISNUMBER(SEARCH("minggu",C250))),IFERROR(_xlfn.NUMBERVALUE(SUBSTITUTE(LEFT(TRIM(C250),FIND(" ",TRIM(C250)&amp;" ")-1),",","."),"."),LEFT(SUBSTITUTE(LEFT(TRIM(C250),FIND(" ",TRIM(C250)&amp;" ")-1),",","."),FIND("/",SUBSTITUTE(LEFT(TRIM(C250),FIND(" ",TRIM(C250)&amp;" ")-1),",","."))-1)/MID(SUBSTITUTE(LEFT(TRIM(C250),FIND(" ",TRIM(C250)&amp;" ")-1),",","."),FIND("/",SUBSTITUTE(LEFT(TRIM(C250),FIND(" ",TRIM(C250)&amp;" ")-1),",","."))+1,9))*12/52,IF(ISNUMBER(SEARCH("month",C250)),IFERROR(_xlfn.NUMBERVALUE(SUBSTITUTE(LEFT(TRIM(C250),FIND(" ",TRIM(C250)&amp;" ")-1),",","."),"."),LEFT(SUBSTITUTE(LEFT(TRIM(C250),FIND(" ",TRIM(C250)&amp;" ")-1),",","."),FIND("/",SUBSTITUTE(LEFT(TRIM(C250),FIND(" ",TRIM(C250)&amp;" ")-1),",","."))-1)/MID(SUBSTITUTE(LEFT(TRIM(C250),FIND(" ",TRIM(C250)&amp;" ")-1),",","."),FIND("/",SUBSTITUTE(LEFT(TRIM(C250),FIND(" ",TRIM(C250)&amp;" ")-1),",","."))+1,9)),IF(ISNUMBER(SEARCH("yea",C250)),IFERROR(_xlfn.NUMBERVALUE(SUBSTITUTE(LEFT(TRIM(C250),FIND(" ",TRIM(C250)&amp;" ")-1),",","."),"."),LEFT(SUBSTITUTE(LEFT(TRIM(C250),FIND(" ",TRIM(C250)&amp;" ")-1),",","."),FIND("/",SUBSTITUTE(LEFT(TRIM(C250),FIND(" ",TRIM(C250)&amp;" ")-1),",","."))-1)/MID(SUBSTITUTE(LEFT(TRIM(C250),FIND(" ",TRIM(C250)&amp;" ")-1),",","."),FIND("/",SUBSTITUTE(LEFT(TRIM(C250),FIND(" ",TRIM(C250)&amp;" ")-1),",","."))+1,9))*12,NA()))),0),36)*'Aturan &amp; Tarif'!$B$4,2)</f>
        <v>2044.08</v>
      </c>
      <c r="K250" s="32" t="n">
        <f aca="false">'Aturan &amp; Tarif'!$B$5</f>
        <v>2050</v>
      </c>
      <c r="L250" s="32" t="n">
        <f aca="false">'Aturan &amp; Tarif'!$B$6</f>
        <v>350</v>
      </c>
      <c r="M250" s="35" t="n">
        <f aca="false">I250+J250+K250+L250</f>
        <v>32294.08</v>
      </c>
      <c r="N250" s="37" t="s">
        <v>1187</v>
      </c>
    </row>
    <row r="251" customFormat="false" ht="25.5" hidden="false" customHeight="true" outlineLevel="0" collapsed="false">
      <c r="A251" s="29"/>
      <c r="B251" s="30" t="s">
        <v>1430</v>
      </c>
      <c r="C251" s="31" t="s">
        <v>127</v>
      </c>
      <c r="D251" s="31" t="s">
        <v>108</v>
      </c>
      <c r="E251" s="32" t="n">
        <v>13850</v>
      </c>
      <c r="F251" s="32"/>
      <c r="G251" s="32" t="n">
        <v>150</v>
      </c>
      <c r="H251" s="33" t="n">
        <v>2</v>
      </c>
      <c r="I251" s="34" t="n">
        <f aca="false">E251*H251+N(F251)+N(G251)</f>
        <v>27850</v>
      </c>
      <c r="J251" s="32" t="n">
        <f aca="false">ROUND(IFERROR(ROUND(IF(OR(ISNUMBER(SEARCH("week",C251)),ISNUMBER(SEARCH("minggu",C251))),IFERROR(_xlfn.NUMBERVALUE(SUBSTITUTE(LEFT(TRIM(C251),FIND(" ",TRIM(C251)&amp;" ")-1),",","."),"."),LEFT(SUBSTITUTE(LEFT(TRIM(C251),FIND(" ",TRIM(C251)&amp;" ")-1),",","."),FIND("/",SUBSTITUTE(LEFT(TRIM(C251),FIND(" ",TRIM(C251)&amp;" ")-1),",","."))-1)/MID(SUBSTITUTE(LEFT(TRIM(C251),FIND(" ",TRIM(C251)&amp;" ")-1),",","."),FIND("/",SUBSTITUTE(LEFT(TRIM(C251),FIND(" ",TRIM(C251)&amp;" ")-1),",","."))+1,9))*12/52,IF(ISNUMBER(SEARCH("month",C251)),IFERROR(_xlfn.NUMBERVALUE(SUBSTITUTE(LEFT(TRIM(C251),FIND(" ",TRIM(C251)&amp;" ")-1),",","."),"."),LEFT(SUBSTITUTE(LEFT(TRIM(C251),FIND(" ",TRIM(C251)&amp;" ")-1),",","."),FIND("/",SUBSTITUTE(LEFT(TRIM(C251),FIND(" ",TRIM(C251)&amp;" ")-1),",","."))-1)/MID(SUBSTITUTE(LEFT(TRIM(C251),FIND(" ",TRIM(C251)&amp;" ")-1),",","."),FIND("/",SUBSTITUTE(LEFT(TRIM(C251),FIND(" ",TRIM(C251)&amp;" ")-1),",","."))+1,9)),IF(ISNUMBER(SEARCH("yea",C251)),IFERROR(_xlfn.NUMBERVALUE(SUBSTITUTE(LEFT(TRIM(C251),FIND(" ",TRIM(C251)&amp;" ")-1),",","."),"."),LEFT(SUBSTITUTE(LEFT(TRIM(C251),FIND(" ",TRIM(C251)&amp;" ")-1),",","."),FIND("/",SUBSTITUTE(LEFT(TRIM(C251),FIND(" ",TRIM(C251)&amp;" ")-1),",","."))-1)/MID(SUBSTITUTE(LEFT(TRIM(C251),FIND(" ",TRIM(C251)&amp;" ")-1),",","."),FIND("/",SUBSTITUTE(LEFT(TRIM(C251),FIND(" ",TRIM(C251)&amp;" ")-1),",","."))+1,9))*12,NA()))),0),36)*'Aturan &amp; Tarif'!$B$4,2)</f>
        <v>2044.08</v>
      </c>
      <c r="K251" s="32" t="n">
        <f aca="false">'Aturan &amp; Tarif'!$B$5</f>
        <v>2050</v>
      </c>
      <c r="L251" s="32" t="n">
        <f aca="false">'Aturan &amp; Tarif'!$B$6</f>
        <v>350</v>
      </c>
      <c r="M251" s="35" t="n">
        <f aca="false">I251+J251+K251+L251</f>
        <v>32294.08</v>
      </c>
      <c r="N251" s="37" t="s">
        <v>1187</v>
      </c>
    </row>
    <row r="252" customFormat="false" ht="14.25" hidden="false" customHeight="true" outlineLevel="0" collapsed="false">
      <c r="A252" s="29"/>
      <c r="B252" s="30" t="s">
        <v>1431</v>
      </c>
      <c r="C252" s="31" t="s">
        <v>191</v>
      </c>
      <c r="D252" s="31" t="s">
        <v>108</v>
      </c>
      <c r="E252" s="32" t="n">
        <v>13850</v>
      </c>
      <c r="F252" s="32"/>
      <c r="G252" s="32" t="n">
        <v>150</v>
      </c>
      <c r="H252" s="33" t="n">
        <v>2</v>
      </c>
      <c r="I252" s="34" t="n">
        <f aca="false">E252*H252+N(F252)+N(G252)</f>
        <v>27850</v>
      </c>
      <c r="J252" s="32" t="n">
        <f aca="false">ROUND(IFERROR(ROUND(IF(OR(ISNUMBER(SEARCH("week",C252)),ISNUMBER(SEARCH("minggu",C252))),IFERROR(_xlfn.NUMBERVALUE(SUBSTITUTE(LEFT(TRIM(C252),FIND(" ",TRIM(C252)&amp;" ")-1),",","."),"."),LEFT(SUBSTITUTE(LEFT(TRIM(C252),FIND(" ",TRIM(C252)&amp;" ")-1),",","."),FIND("/",SUBSTITUTE(LEFT(TRIM(C252),FIND(" ",TRIM(C252)&amp;" ")-1),",","."))-1)/MID(SUBSTITUTE(LEFT(TRIM(C252),FIND(" ",TRIM(C252)&amp;" ")-1),",","."),FIND("/",SUBSTITUTE(LEFT(TRIM(C252),FIND(" ",TRIM(C252)&amp;" ")-1),",","."))+1,9))*12/52,IF(ISNUMBER(SEARCH("month",C252)),IFERROR(_xlfn.NUMBERVALUE(SUBSTITUTE(LEFT(TRIM(C252),FIND(" ",TRIM(C252)&amp;" ")-1),",","."),"."),LEFT(SUBSTITUTE(LEFT(TRIM(C252),FIND(" ",TRIM(C252)&amp;" ")-1),",","."),FIND("/",SUBSTITUTE(LEFT(TRIM(C252),FIND(" ",TRIM(C252)&amp;" ")-1),",","."))-1)/MID(SUBSTITUTE(LEFT(TRIM(C252),FIND(" ",TRIM(C252)&amp;" ")-1),",","."),FIND("/",SUBSTITUTE(LEFT(TRIM(C252),FIND(" ",TRIM(C252)&amp;" ")-1),",","."))+1,9)),IF(ISNUMBER(SEARCH("yea",C252)),IFERROR(_xlfn.NUMBERVALUE(SUBSTITUTE(LEFT(TRIM(C252),FIND(" ",TRIM(C252)&amp;" ")-1),",","."),"."),LEFT(SUBSTITUTE(LEFT(TRIM(C252),FIND(" ",TRIM(C252)&amp;" ")-1),",","."),FIND("/",SUBSTITUTE(LEFT(TRIM(C252),FIND(" ",TRIM(C252)&amp;" ")-1),",","."))-1)/MID(SUBSTITUTE(LEFT(TRIM(C252),FIND(" ",TRIM(C252)&amp;" ")-1),",","."),FIND("/",SUBSTITUTE(LEFT(TRIM(C252),FIND(" ",TRIM(C252)&amp;" ")-1),",","."))+1,9))*12,NA()))),0),48)*'Aturan &amp; Tarif'!$B$4,2)</f>
        <v>2725.44</v>
      </c>
      <c r="K252" s="32" t="n">
        <f aca="false">'Aturan &amp; Tarif'!$B$5</f>
        <v>2050</v>
      </c>
      <c r="L252" s="32" t="n">
        <f aca="false">'Aturan &amp; Tarif'!$B$6</f>
        <v>350</v>
      </c>
      <c r="M252" s="35" t="n">
        <f aca="false">I252+J252+K252+L252</f>
        <v>32975.44</v>
      </c>
      <c r="N252" s="37" t="s">
        <v>846</v>
      </c>
    </row>
    <row r="253" customFormat="false" ht="25.5" hidden="false" customHeight="true" outlineLevel="0" collapsed="false">
      <c r="A253" s="29"/>
      <c r="B253" s="30" t="s">
        <v>1432</v>
      </c>
      <c r="C253" s="31" t="s">
        <v>127</v>
      </c>
      <c r="D253" s="31" t="s">
        <v>108</v>
      </c>
      <c r="E253" s="32" t="n">
        <v>14275</v>
      </c>
      <c r="F253" s="32"/>
      <c r="G253" s="32" t="n">
        <v>150</v>
      </c>
      <c r="H253" s="33" t="n">
        <v>2</v>
      </c>
      <c r="I253" s="34" t="n">
        <f aca="false">E253*H253+N(F253)+N(G253)</f>
        <v>28700</v>
      </c>
      <c r="J253" s="32" t="n">
        <f aca="false">ROUND(IFERROR(ROUND(IF(OR(ISNUMBER(SEARCH("week",C253)),ISNUMBER(SEARCH("minggu",C253))),IFERROR(_xlfn.NUMBERVALUE(SUBSTITUTE(LEFT(TRIM(C253),FIND(" ",TRIM(C253)&amp;" ")-1),",","."),"."),LEFT(SUBSTITUTE(LEFT(TRIM(C253),FIND(" ",TRIM(C253)&amp;" ")-1),",","."),FIND("/",SUBSTITUTE(LEFT(TRIM(C253),FIND(" ",TRIM(C253)&amp;" ")-1),",","."))-1)/MID(SUBSTITUTE(LEFT(TRIM(C253),FIND(" ",TRIM(C253)&amp;" ")-1),",","."),FIND("/",SUBSTITUTE(LEFT(TRIM(C253),FIND(" ",TRIM(C253)&amp;" ")-1),",","."))+1,9))*12/52,IF(ISNUMBER(SEARCH("month",C253)),IFERROR(_xlfn.NUMBERVALUE(SUBSTITUTE(LEFT(TRIM(C253),FIND(" ",TRIM(C253)&amp;" ")-1),",","."),"."),LEFT(SUBSTITUTE(LEFT(TRIM(C253),FIND(" ",TRIM(C253)&amp;" ")-1),",","."),FIND("/",SUBSTITUTE(LEFT(TRIM(C253),FIND(" ",TRIM(C253)&amp;" ")-1),",","."))-1)/MID(SUBSTITUTE(LEFT(TRIM(C253),FIND(" ",TRIM(C253)&amp;" ")-1),",","."),FIND("/",SUBSTITUTE(LEFT(TRIM(C253),FIND(" ",TRIM(C253)&amp;" ")-1),",","."))+1,9)),IF(ISNUMBER(SEARCH("yea",C253)),IFERROR(_xlfn.NUMBERVALUE(SUBSTITUTE(LEFT(TRIM(C253),FIND(" ",TRIM(C253)&amp;" ")-1),",","."),"."),LEFT(SUBSTITUTE(LEFT(TRIM(C253),FIND(" ",TRIM(C253)&amp;" ")-1),",","."),FIND("/",SUBSTITUTE(LEFT(TRIM(C253),FIND(" ",TRIM(C253)&amp;" ")-1),",","."))-1)/MID(SUBSTITUTE(LEFT(TRIM(C253),FIND(" ",TRIM(C253)&amp;" ")-1),",","."),FIND("/",SUBSTITUTE(LEFT(TRIM(C253),FIND(" ",TRIM(C253)&amp;" ")-1),",","."))+1,9))*12,NA()))),0),36)*'Aturan &amp; Tarif'!$B$4,2)</f>
        <v>2044.08</v>
      </c>
      <c r="K253" s="32" t="n">
        <f aca="false">'Aturan &amp; Tarif'!$B$5</f>
        <v>2050</v>
      </c>
      <c r="L253" s="32" t="n">
        <f aca="false">'Aturan &amp; Tarif'!$B$6</f>
        <v>350</v>
      </c>
      <c r="M253" s="35" t="n">
        <f aca="false">I253+J253+K253+L253</f>
        <v>33144.08</v>
      </c>
      <c r="N253" s="37" t="s">
        <v>1433</v>
      </c>
    </row>
    <row r="254" customFormat="false" ht="25.5" hidden="false" customHeight="true" outlineLevel="0" collapsed="false">
      <c r="A254" s="29"/>
      <c r="B254" s="30" t="s">
        <v>1434</v>
      </c>
      <c r="C254" s="31" t="s">
        <v>127</v>
      </c>
      <c r="D254" s="31" t="s">
        <v>108</v>
      </c>
      <c r="E254" s="32" t="n">
        <v>14275</v>
      </c>
      <c r="F254" s="32"/>
      <c r="G254" s="32" t="n">
        <v>150</v>
      </c>
      <c r="H254" s="33" t="n">
        <v>2</v>
      </c>
      <c r="I254" s="34" t="n">
        <f aca="false">E254*H254+N(F254)+N(G254)</f>
        <v>28700</v>
      </c>
      <c r="J254" s="32" t="n">
        <f aca="false">ROUND(IFERROR(ROUND(IF(OR(ISNUMBER(SEARCH("week",C254)),ISNUMBER(SEARCH("minggu",C254))),IFERROR(_xlfn.NUMBERVALUE(SUBSTITUTE(LEFT(TRIM(C254),FIND(" ",TRIM(C254)&amp;" ")-1),",","."),"."),LEFT(SUBSTITUTE(LEFT(TRIM(C254),FIND(" ",TRIM(C254)&amp;" ")-1),",","."),FIND("/",SUBSTITUTE(LEFT(TRIM(C254),FIND(" ",TRIM(C254)&amp;" ")-1),",","."))-1)/MID(SUBSTITUTE(LEFT(TRIM(C254),FIND(" ",TRIM(C254)&amp;" ")-1),",","."),FIND("/",SUBSTITUTE(LEFT(TRIM(C254),FIND(" ",TRIM(C254)&amp;" ")-1),",","."))+1,9))*12/52,IF(ISNUMBER(SEARCH("month",C254)),IFERROR(_xlfn.NUMBERVALUE(SUBSTITUTE(LEFT(TRIM(C254),FIND(" ",TRIM(C254)&amp;" ")-1),",","."),"."),LEFT(SUBSTITUTE(LEFT(TRIM(C254),FIND(" ",TRIM(C254)&amp;" ")-1),",","."),FIND("/",SUBSTITUTE(LEFT(TRIM(C254),FIND(" ",TRIM(C254)&amp;" ")-1),",","."))-1)/MID(SUBSTITUTE(LEFT(TRIM(C254),FIND(" ",TRIM(C254)&amp;" ")-1),",","."),FIND("/",SUBSTITUTE(LEFT(TRIM(C254),FIND(" ",TRIM(C254)&amp;" ")-1),",","."))+1,9)),IF(ISNUMBER(SEARCH("yea",C254)),IFERROR(_xlfn.NUMBERVALUE(SUBSTITUTE(LEFT(TRIM(C254),FIND(" ",TRIM(C254)&amp;" ")-1),",","."),"."),LEFT(SUBSTITUTE(LEFT(TRIM(C254),FIND(" ",TRIM(C254)&amp;" ")-1),",","."),FIND("/",SUBSTITUTE(LEFT(TRIM(C254),FIND(" ",TRIM(C254)&amp;" ")-1),",","."))-1)/MID(SUBSTITUTE(LEFT(TRIM(C254),FIND(" ",TRIM(C254)&amp;" ")-1),",","."),FIND("/",SUBSTITUTE(LEFT(TRIM(C254),FIND(" ",TRIM(C254)&amp;" ")-1),",","."))+1,9))*12,NA()))),0),36)*'Aturan &amp; Tarif'!$B$4,2)</f>
        <v>2044.08</v>
      </c>
      <c r="K254" s="32" t="n">
        <f aca="false">'Aturan &amp; Tarif'!$B$5</f>
        <v>2050</v>
      </c>
      <c r="L254" s="32" t="n">
        <f aca="false">'Aturan &amp; Tarif'!$B$6</f>
        <v>350</v>
      </c>
      <c r="M254" s="35" t="n">
        <f aca="false">I254+J254+K254+L254</f>
        <v>33144.08</v>
      </c>
      <c r="N254" s="37" t="s">
        <v>1433</v>
      </c>
    </row>
    <row r="255" customFormat="false" ht="25.5" hidden="false" customHeight="true" outlineLevel="0" collapsed="false">
      <c r="A255" s="29"/>
      <c r="B255" s="30" t="s">
        <v>1435</v>
      </c>
      <c r="C255" s="31" t="s">
        <v>127</v>
      </c>
      <c r="D255" s="31" t="s">
        <v>108</v>
      </c>
      <c r="E255" s="32" t="n">
        <v>14275</v>
      </c>
      <c r="F255" s="32"/>
      <c r="G255" s="32" t="n">
        <v>150</v>
      </c>
      <c r="H255" s="33" t="n">
        <v>2</v>
      </c>
      <c r="I255" s="34" t="n">
        <f aca="false">E255*H255+N(F255)+N(G255)</f>
        <v>28700</v>
      </c>
      <c r="J255" s="32" t="n">
        <f aca="false">ROUND(IFERROR(ROUND(IF(OR(ISNUMBER(SEARCH("week",C255)),ISNUMBER(SEARCH("minggu",C255))),IFERROR(_xlfn.NUMBERVALUE(SUBSTITUTE(LEFT(TRIM(C255),FIND(" ",TRIM(C255)&amp;" ")-1),",","."),"."),LEFT(SUBSTITUTE(LEFT(TRIM(C255),FIND(" ",TRIM(C255)&amp;" ")-1),",","."),FIND("/",SUBSTITUTE(LEFT(TRIM(C255),FIND(" ",TRIM(C255)&amp;" ")-1),",","."))-1)/MID(SUBSTITUTE(LEFT(TRIM(C255),FIND(" ",TRIM(C255)&amp;" ")-1),",","."),FIND("/",SUBSTITUTE(LEFT(TRIM(C255),FIND(" ",TRIM(C255)&amp;" ")-1),",","."))+1,9))*12/52,IF(ISNUMBER(SEARCH("month",C255)),IFERROR(_xlfn.NUMBERVALUE(SUBSTITUTE(LEFT(TRIM(C255),FIND(" ",TRIM(C255)&amp;" ")-1),",","."),"."),LEFT(SUBSTITUTE(LEFT(TRIM(C255),FIND(" ",TRIM(C255)&amp;" ")-1),",","."),FIND("/",SUBSTITUTE(LEFT(TRIM(C255),FIND(" ",TRIM(C255)&amp;" ")-1),",","."))-1)/MID(SUBSTITUTE(LEFT(TRIM(C255),FIND(" ",TRIM(C255)&amp;" ")-1),",","."),FIND("/",SUBSTITUTE(LEFT(TRIM(C255),FIND(" ",TRIM(C255)&amp;" ")-1),",","."))+1,9)),IF(ISNUMBER(SEARCH("yea",C255)),IFERROR(_xlfn.NUMBERVALUE(SUBSTITUTE(LEFT(TRIM(C255),FIND(" ",TRIM(C255)&amp;" ")-1),",","."),"."),LEFT(SUBSTITUTE(LEFT(TRIM(C255),FIND(" ",TRIM(C255)&amp;" ")-1),",","."),FIND("/",SUBSTITUTE(LEFT(TRIM(C255),FIND(" ",TRIM(C255)&amp;" ")-1),",","."))-1)/MID(SUBSTITUTE(LEFT(TRIM(C255),FIND(" ",TRIM(C255)&amp;" ")-1),",","."),FIND("/",SUBSTITUTE(LEFT(TRIM(C255),FIND(" ",TRIM(C255)&amp;" ")-1),",","."))+1,9))*12,NA()))),0),36)*'Aturan &amp; Tarif'!$B$4,2)</f>
        <v>2044.08</v>
      </c>
      <c r="K255" s="32" t="n">
        <f aca="false">'Aturan &amp; Tarif'!$B$5</f>
        <v>2050</v>
      </c>
      <c r="L255" s="32" t="n">
        <f aca="false">'Aturan &amp; Tarif'!$B$6</f>
        <v>350</v>
      </c>
      <c r="M255" s="35" t="n">
        <f aca="false">I255+J255+K255+L255</f>
        <v>33144.08</v>
      </c>
      <c r="N255" s="37" t="s">
        <v>1433</v>
      </c>
    </row>
    <row r="256" customFormat="false" ht="25.5" hidden="false" customHeight="true" outlineLevel="0" collapsed="false">
      <c r="A256" s="29"/>
      <c r="B256" s="30" t="s">
        <v>1436</v>
      </c>
      <c r="C256" s="31" t="s">
        <v>127</v>
      </c>
      <c r="D256" s="31" t="s">
        <v>108</v>
      </c>
      <c r="E256" s="32" t="n">
        <v>14275</v>
      </c>
      <c r="F256" s="32"/>
      <c r="G256" s="32" t="n">
        <v>150</v>
      </c>
      <c r="H256" s="33" t="n">
        <v>2</v>
      </c>
      <c r="I256" s="34" t="n">
        <f aca="false">E256*H256+N(F256)+N(G256)</f>
        <v>28700</v>
      </c>
      <c r="J256" s="32" t="n">
        <f aca="false">ROUND(IFERROR(ROUND(IF(OR(ISNUMBER(SEARCH("week",C256)),ISNUMBER(SEARCH("minggu",C256))),IFERROR(_xlfn.NUMBERVALUE(SUBSTITUTE(LEFT(TRIM(C256),FIND(" ",TRIM(C256)&amp;" ")-1),",","."),"."),LEFT(SUBSTITUTE(LEFT(TRIM(C256),FIND(" ",TRIM(C256)&amp;" ")-1),",","."),FIND("/",SUBSTITUTE(LEFT(TRIM(C256),FIND(" ",TRIM(C256)&amp;" ")-1),",","."))-1)/MID(SUBSTITUTE(LEFT(TRIM(C256),FIND(" ",TRIM(C256)&amp;" ")-1),",","."),FIND("/",SUBSTITUTE(LEFT(TRIM(C256),FIND(" ",TRIM(C256)&amp;" ")-1),",","."))+1,9))*12/52,IF(ISNUMBER(SEARCH("month",C256)),IFERROR(_xlfn.NUMBERVALUE(SUBSTITUTE(LEFT(TRIM(C256),FIND(" ",TRIM(C256)&amp;" ")-1),",","."),"."),LEFT(SUBSTITUTE(LEFT(TRIM(C256),FIND(" ",TRIM(C256)&amp;" ")-1),",","."),FIND("/",SUBSTITUTE(LEFT(TRIM(C256),FIND(" ",TRIM(C256)&amp;" ")-1),",","."))-1)/MID(SUBSTITUTE(LEFT(TRIM(C256),FIND(" ",TRIM(C256)&amp;" ")-1),",","."),FIND("/",SUBSTITUTE(LEFT(TRIM(C256),FIND(" ",TRIM(C256)&amp;" ")-1),",","."))+1,9)),IF(ISNUMBER(SEARCH("yea",C256)),IFERROR(_xlfn.NUMBERVALUE(SUBSTITUTE(LEFT(TRIM(C256),FIND(" ",TRIM(C256)&amp;" ")-1),",","."),"."),LEFT(SUBSTITUTE(LEFT(TRIM(C256),FIND(" ",TRIM(C256)&amp;" ")-1),",","."),FIND("/",SUBSTITUTE(LEFT(TRIM(C256),FIND(" ",TRIM(C256)&amp;" ")-1),",","."))-1)/MID(SUBSTITUTE(LEFT(TRIM(C256),FIND(" ",TRIM(C256)&amp;" ")-1),",","."),FIND("/",SUBSTITUTE(LEFT(TRIM(C256),FIND(" ",TRIM(C256)&amp;" ")-1),",","."))+1,9))*12,NA()))),0),36)*'Aturan &amp; Tarif'!$B$4,2)</f>
        <v>2044.08</v>
      </c>
      <c r="K256" s="32" t="n">
        <f aca="false">'Aturan &amp; Tarif'!$B$5</f>
        <v>2050</v>
      </c>
      <c r="L256" s="32" t="n">
        <f aca="false">'Aturan &amp; Tarif'!$B$6</f>
        <v>350</v>
      </c>
      <c r="M256" s="35" t="n">
        <f aca="false">I256+J256+K256+L256</f>
        <v>33144.08</v>
      </c>
      <c r="N256" s="37" t="s">
        <v>1433</v>
      </c>
    </row>
    <row r="257" customFormat="false" ht="25.5" hidden="false" customHeight="true" outlineLevel="0" collapsed="false">
      <c r="A257" s="29"/>
      <c r="B257" s="30" t="s">
        <v>1437</v>
      </c>
      <c r="C257" s="31" t="s">
        <v>127</v>
      </c>
      <c r="D257" s="31" t="s">
        <v>108</v>
      </c>
      <c r="E257" s="32" t="n">
        <v>14275</v>
      </c>
      <c r="F257" s="32"/>
      <c r="G257" s="32" t="n">
        <v>150</v>
      </c>
      <c r="H257" s="33" t="n">
        <v>2</v>
      </c>
      <c r="I257" s="34" t="n">
        <f aca="false">E257*H257+N(F257)+N(G257)</f>
        <v>28700</v>
      </c>
      <c r="J257" s="32" t="n">
        <f aca="false">ROUND(IFERROR(ROUND(IF(OR(ISNUMBER(SEARCH("week",C257)),ISNUMBER(SEARCH("minggu",C257))),IFERROR(_xlfn.NUMBERVALUE(SUBSTITUTE(LEFT(TRIM(C257),FIND(" ",TRIM(C257)&amp;" ")-1),",","."),"."),LEFT(SUBSTITUTE(LEFT(TRIM(C257),FIND(" ",TRIM(C257)&amp;" ")-1),",","."),FIND("/",SUBSTITUTE(LEFT(TRIM(C257),FIND(" ",TRIM(C257)&amp;" ")-1),",","."))-1)/MID(SUBSTITUTE(LEFT(TRIM(C257),FIND(" ",TRIM(C257)&amp;" ")-1),",","."),FIND("/",SUBSTITUTE(LEFT(TRIM(C257),FIND(" ",TRIM(C257)&amp;" ")-1),",","."))+1,9))*12/52,IF(ISNUMBER(SEARCH("month",C257)),IFERROR(_xlfn.NUMBERVALUE(SUBSTITUTE(LEFT(TRIM(C257),FIND(" ",TRIM(C257)&amp;" ")-1),",","."),"."),LEFT(SUBSTITUTE(LEFT(TRIM(C257),FIND(" ",TRIM(C257)&amp;" ")-1),",","."),FIND("/",SUBSTITUTE(LEFT(TRIM(C257),FIND(" ",TRIM(C257)&amp;" ")-1),",","."))-1)/MID(SUBSTITUTE(LEFT(TRIM(C257),FIND(" ",TRIM(C257)&amp;" ")-1),",","."),FIND("/",SUBSTITUTE(LEFT(TRIM(C257),FIND(" ",TRIM(C257)&amp;" ")-1),",","."))+1,9)),IF(ISNUMBER(SEARCH("yea",C257)),IFERROR(_xlfn.NUMBERVALUE(SUBSTITUTE(LEFT(TRIM(C257),FIND(" ",TRIM(C257)&amp;" ")-1),",","."),"."),LEFT(SUBSTITUTE(LEFT(TRIM(C257),FIND(" ",TRIM(C257)&amp;" ")-1),",","."),FIND("/",SUBSTITUTE(LEFT(TRIM(C257),FIND(" ",TRIM(C257)&amp;" ")-1),",","."))-1)/MID(SUBSTITUTE(LEFT(TRIM(C257),FIND(" ",TRIM(C257)&amp;" ")-1),",","."),FIND("/",SUBSTITUTE(LEFT(TRIM(C257),FIND(" ",TRIM(C257)&amp;" ")-1),",","."))+1,9))*12,NA()))),0),36)*'Aturan &amp; Tarif'!$B$4,2)</f>
        <v>2044.08</v>
      </c>
      <c r="K257" s="32" t="n">
        <f aca="false">'Aturan &amp; Tarif'!$B$5</f>
        <v>2050</v>
      </c>
      <c r="L257" s="32" t="n">
        <f aca="false">'Aturan &amp; Tarif'!$B$6</f>
        <v>350</v>
      </c>
      <c r="M257" s="35" t="n">
        <f aca="false">I257+J257+K257+L257</f>
        <v>33144.08</v>
      </c>
      <c r="N257" s="37" t="s">
        <v>1433</v>
      </c>
    </row>
    <row r="258" customFormat="false" ht="37.5" hidden="false" customHeight="true" outlineLevel="0" collapsed="false">
      <c r="A258" s="29"/>
      <c r="B258" s="30" t="s">
        <v>1438</v>
      </c>
      <c r="C258" s="31" t="s">
        <v>127</v>
      </c>
      <c r="D258" s="31" t="s">
        <v>108</v>
      </c>
      <c r="E258" s="32" t="n">
        <v>14275</v>
      </c>
      <c r="F258" s="32"/>
      <c r="G258" s="32" t="n">
        <v>150</v>
      </c>
      <c r="H258" s="33" t="n">
        <v>2</v>
      </c>
      <c r="I258" s="34" t="n">
        <f aca="false">E258*H258+N(F258)+N(G258)</f>
        <v>28700</v>
      </c>
      <c r="J258" s="32" t="n">
        <f aca="false">ROUND(IFERROR(ROUND(IF(OR(ISNUMBER(SEARCH("week",C258)),ISNUMBER(SEARCH("minggu",C258))),IFERROR(_xlfn.NUMBERVALUE(SUBSTITUTE(LEFT(TRIM(C258),FIND(" ",TRIM(C258)&amp;" ")-1),",","."),"."),LEFT(SUBSTITUTE(LEFT(TRIM(C258),FIND(" ",TRIM(C258)&amp;" ")-1),",","."),FIND("/",SUBSTITUTE(LEFT(TRIM(C258),FIND(" ",TRIM(C258)&amp;" ")-1),",","."))-1)/MID(SUBSTITUTE(LEFT(TRIM(C258),FIND(" ",TRIM(C258)&amp;" ")-1),",","."),FIND("/",SUBSTITUTE(LEFT(TRIM(C258),FIND(" ",TRIM(C258)&amp;" ")-1),",","."))+1,9))*12/52,IF(ISNUMBER(SEARCH("month",C258)),IFERROR(_xlfn.NUMBERVALUE(SUBSTITUTE(LEFT(TRIM(C258),FIND(" ",TRIM(C258)&amp;" ")-1),",","."),"."),LEFT(SUBSTITUTE(LEFT(TRIM(C258),FIND(" ",TRIM(C258)&amp;" ")-1),",","."),FIND("/",SUBSTITUTE(LEFT(TRIM(C258),FIND(" ",TRIM(C258)&amp;" ")-1),",","."))-1)/MID(SUBSTITUTE(LEFT(TRIM(C258),FIND(" ",TRIM(C258)&amp;" ")-1),",","."),FIND("/",SUBSTITUTE(LEFT(TRIM(C258),FIND(" ",TRIM(C258)&amp;" ")-1),",","."))+1,9)),IF(ISNUMBER(SEARCH("yea",C258)),IFERROR(_xlfn.NUMBERVALUE(SUBSTITUTE(LEFT(TRIM(C258),FIND(" ",TRIM(C258)&amp;" ")-1),",","."),"."),LEFT(SUBSTITUTE(LEFT(TRIM(C258),FIND(" ",TRIM(C258)&amp;" ")-1),",","."),FIND("/",SUBSTITUTE(LEFT(TRIM(C258),FIND(" ",TRIM(C258)&amp;" ")-1),",","."))-1)/MID(SUBSTITUTE(LEFT(TRIM(C258),FIND(" ",TRIM(C258)&amp;" ")-1),",","."),FIND("/",SUBSTITUTE(LEFT(TRIM(C258),FIND(" ",TRIM(C258)&amp;" ")-1),",","."))+1,9))*12,NA()))),0),36)*'Aturan &amp; Tarif'!$B$4,2)</f>
        <v>2044.08</v>
      </c>
      <c r="K258" s="32" t="n">
        <f aca="false">'Aturan &amp; Tarif'!$B$5</f>
        <v>2050</v>
      </c>
      <c r="L258" s="32" t="n">
        <f aca="false">'Aturan &amp; Tarif'!$B$6</f>
        <v>350</v>
      </c>
      <c r="M258" s="35" t="n">
        <f aca="false">I258+J258+K258+L258</f>
        <v>33144.08</v>
      </c>
      <c r="N258" s="37" t="s">
        <v>1433</v>
      </c>
    </row>
    <row r="259" customFormat="false" ht="25.5" hidden="false" customHeight="true" outlineLevel="0" collapsed="false">
      <c r="A259" s="29"/>
      <c r="B259" s="30" t="s">
        <v>1439</v>
      </c>
      <c r="C259" s="31" t="s">
        <v>127</v>
      </c>
      <c r="D259" s="31" t="s">
        <v>108</v>
      </c>
      <c r="E259" s="32" t="n">
        <v>14275</v>
      </c>
      <c r="F259" s="32"/>
      <c r="G259" s="32" t="n">
        <v>150</v>
      </c>
      <c r="H259" s="33" t="n">
        <v>2</v>
      </c>
      <c r="I259" s="34" t="n">
        <f aca="false">E259*H259+N(F259)+N(G259)</f>
        <v>28700</v>
      </c>
      <c r="J259" s="32" t="n">
        <f aca="false">ROUND(IFERROR(ROUND(IF(OR(ISNUMBER(SEARCH("week",C259)),ISNUMBER(SEARCH("minggu",C259))),IFERROR(_xlfn.NUMBERVALUE(SUBSTITUTE(LEFT(TRIM(C259),FIND(" ",TRIM(C259)&amp;" ")-1),",","."),"."),LEFT(SUBSTITUTE(LEFT(TRIM(C259),FIND(" ",TRIM(C259)&amp;" ")-1),",","."),FIND("/",SUBSTITUTE(LEFT(TRIM(C259),FIND(" ",TRIM(C259)&amp;" ")-1),",","."))-1)/MID(SUBSTITUTE(LEFT(TRIM(C259),FIND(" ",TRIM(C259)&amp;" ")-1),",","."),FIND("/",SUBSTITUTE(LEFT(TRIM(C259),FIND(" ",TRIM(C259)&amp;" ")-1),",","."))+1,9))*12/52,IF(ISNUMBER(SEARCH("month",C259)),IFERROR(_xlfn.NUMBERVALUE(SUBSTITUTE(LEFT(TRIM(C259),FIND(" ",TRIM(C259)&amp;" ")-1),",","."),"."),LEFT(SUBSTITUTE(LEFT(TRIM(C259),FIND(" ",TRIM(C259)&amp;" ")-1),",","."),FIND("/",SUBSTITUTE(LEFT(TRIM(C259),FIND(" ",TRIM(C259)&amp;" ")-1),",","."))-1)/MID(SUBSTITUTE(LEFT(TRIM(C259),FIND(" ",TRIM(C259)&amp;" ")-1),",","."),FIND("/",SUBSTITUTE(LEFT(TRIM(C259),FIND(" ",TRIM(C259)&amp;" ")-1),",","."))+1,9)),IF(ISNUMBER(SEARCH("yea",C259)),IFERROR(_xlfn.NUMBERVALUE(SUBSTITUTE(LEFT(TRIM(C259),FIND(" ",TRIM(C259)&amp;" ")-1),",","."),"."),LEFT(SUBSTITUTE(LEFT(TRIM(C259),FIND(" ",TRIM(C259)&amp;" ")-1),",","."),FIND("/",SUBSTITUTE(LEFT(TRIM(C259),FIND(" ",TRIM(C259)&amp;" ")-1),",","."))-1)/MID(SUBSTITUTE(LEFT(TRIM(C259),FIND(" ",TRIM(C259)&amp;" ")-1),",","."),FIND("/",SUBSTITUTE(LEFT(TRIM(C259),FIND(" ",TRIM(C259)&amp;" ")-1),",","."))+1,9))*12,NA()))),0),36)*'Aturan &amp; Tarif'!$B$4,2)</f>
        <v>2044.08</v>
      </c>
      <c r="K259" s="32" t="n">
        <f aca="false">'Aturan &amp; Tarif'!$B$5</f>
        <v>2050</v>
      </c>
      <c r="L259" s="32" t="n">
        <f aca="false">'Aturan &amp; Tarif'!$B$6</f>
        <v>350</v>
      </c>
      <c r="M259" s="35" t="n">
        <f aca="false">I259+J259+K259+L259</f>
        <v>33144.08</v>
      </c>
      <c r="N259" s="37" t="s">
        <v>1433</v>
      </c>
    </row>
    <row r="260" customFormat="false" ht="25.5" hidden="false" customHeight="true" outlineLevel="0" collapsed="false">
      <c r="A260" s="29"/>
      <c r="B260" s="30" t="s">
        <v>1440</v>
      </c>
      <c r="C260" s="31" t="s">
        <v>127</v>
      </c>
      <c r="D260" s="31" t="s">
        <v>108</v>
      </c>
      <c r="E260" s="32" t="n">
        <v>14275</v>
      </c>
      <c r="F260" s="32"/>
      <c r="G260" s="32" t="n">
        <v>150</v>
      </c>
      <c r="H260" s="33" t="n">
        <v>2</v>
      </c>
      <c r="I260" s="34" t="n">
        <f aca="false">E260*H260+N(F260)+N(G260)</f>
        <v>28700</v>
      </c>
      <c r="J260" s="32" t="n">
        <f aca="false">ROUND(IFERROR(ROUND(IF(OR(ISNUMBER(SEARCH("week",C260)),ISNUMBER(SEARCH("minggu",C260))),IFERROR(_xlfn.NUMBERVALUE(SUBSTITUTE(LEFT(TRIM(C260),FIND(" ",TRIM(C260)&amp;" ")-1),",","."),"."),LEFT(SUBSTITUTE(LEFT(TRIM(C260),FIND(" ",TRIM(C260)&amp;" ")-1),",","."),FIND("/",SUBSTITUTE(LEFT(TRIM(C260),FIND(" ",TRIM(C260)&amp;" ")-1),",","."))-1)/MID(SUBSTITUTE(LEFT(TRIM(C260),FIND(" ",TRIM(C260)&amp;" ")-1),",","."),FIND("/",SUBSTITUTE(LEFT(TRIM(C260),FIND(" ",TRIM(C260)&amp;" ")-1),",","."))+1,9))*12/52,IF(ISNUMBER(SEARCH("month",C260)),IFERROR(_xlfn.NUMBERVALUE(SUBSTITUTE(LEFT(TRIM(C260),FIND(" ",TRIM(C260)&amp;" ")-1),",","."),"."),LEFT(SUBSTITUTE(LEFT(TRIM(C260),FIND(" ",TRIM(C260)&amp;" ")-1),",","."),FIND("/",SUBSTITUTE(LEFT(TRIM(C260),FIND(" ",TRIM(C260)&amp;" ")-1),",","."))-1)/MID(SUBSTITUTE(LEFT(TRIM(C260),FIND(" ",TRIM(C260)&amp;" ")-1),",","."),FIND("/",SUBSTITUTE(LEFT(TRIM(C260),FIND(" ",TRIM(C260)&amp;" ")-1),",","."))+1,9)),IF(ISNUMBER(SEARCH("yea",C260)),IFERROR(_xlfn.NUMBERVALUE(SUBSTITUTE(LEFT(TRIM(C260),FIND(" ",TRIM(C260)&amp;" ")-1),",","."),"."),LEFT(SUBSTITUTE(LEFT(TRIM(C260),FIND(" ",TRIM(C260)&amp;" ")-1),",","."),FIND("/",SUBSTITUTE(LEFT(TRIM(C260),FIND(" ",TRIM(C260)&amp;" ")-1),",","."))-1)/MID(SUBSTITUTE(LEFT(TRIM(C260),FIND(" ",TRIM(C260)&amp;" ")-1),",","."),FIND("/",SUBSTITUTE(LEFT(TRIM(C260),FIND(" ",TRIM(C260)&amp;" ")-1),",","."))+1,9))*12,NA()))),0),36)*'Aturan &amp; Tarif'!$B$4,2)</f>
        <v>2044.08</v>
      </c>
      <c r="K260" s="32" t="n">
        <f aca="false">'Aturan &amp; Tarif'!$B$5</f>
        <v>2050</v>
      </c>
      <c r="L260" s="32" t="n">
        <f aca="false">'Aturan &amp; Tarif'!$B$6</f>
        <v>350</v>
      </c>
      <c r="M260" s="35" t="n">
        <f aca="false">I260+J260+K260+L260</f>
        <v>33144.08</v>
      </c>
      <c r="N260" s="37" t="s">
        <v>1433</v>
      </c>
    </row>
    <row r="261" customFormat="false" ht="37.5" hidden="false" customHeight="true" outlineLevel="0" collapsed="false">
      <c r="A261" s="29"/>
      <c r="B261" s="30" t="s">
        <v>1441</v>
      </c>
      <c r="C261" s="31" t="s">
        <v>127</v>
      </c>
      <c r="D261" s="31" t="s">
        <v>108</v>
      </c>
      <c r="E261" s="32" t="n">
        <v>14275</v>
      </c>
      <c r="F261" s="32"/>
      <c r="G261" s="32" t="n">
        <v>150</v>
      </c>
      <c r="H261" s="33" t="n">
        <v>2</v>
      </c>
      <c r="I261" s="34" t="n">
        <f aca="false">E261*H261+N(F261)+N(G261)</f>
        <v>28700</v>
      </c>
      <c r="J261" s="32" t="n">
        <f aca="false">ROUND(IFERROR(ROUND(IF(OR(ISNUMBER(SEARCH("week",C261)),ISNUMBER(SEARCH("minggu",C261))),IFERROR(_xlfn.NUMBERVALUE(SUBSTITUTE(LEFT(TRIM(C261),FIND(" ",TRIM(C261)&amp;" ")-1),",","."),"."),LEFT(SUBSTITUTE(LEFT(TRIM(C261),FIND(" ",TRIM(C261)&amp;" ")-1),",","."),FIND("/",SUBSTITUTE(LEFT(TRIM(C261),FIND(" ",TRIM(C261)&amp;" ")-1),",","."))-1)/MID(SUBSTITUTE(LEFT(TRIM(C261),FIND(" ",TRIM(C261)&amp;" ")-1),",","."),FIND("/",SUBSTITUTE(LEFT(TRIM(C261),FIND(" ",TRIM(C261)&amp;" ")-1),",","."))+1,9))*12/52,IF(ISNUMBER(SEARCH("month",C261)),IFERROR(_xlfn.NUMBERVALUE(SUBSTITUTE(LEFT(TRIM(C261),FIND(" ",TRIM(C261)&amp;" ")-1),",","."),"."),LEFT(SUBSTITUTE(LEFT(TRIM(C261),FIND(" ",TRIM(C261)&amp;" ")-1),",","."),FIND("/",SUBSTITUTE(LEFT(TRIM(C261),FIND(" ",TRIM(C261)&amp;" ")-1),",","."))-1)/MID(SUBSTITUTE(LEFT(TRIM(C261),FIND(" ",TRIM(C261)&amp;" ")-1),",","."),FIND("/",SUBSTITUTE(LEFT(TRIM(C261),FIND(" ",TRIM(C261)&amp;" ")-1),",","."))+1,9)),IF(ISNUMBER(SEARCH("yea",C261)),IFERROR(_xlfn.NUMBERVALUE(SUBSTITUTE(LEFT(TRIM(C261),FIND(" ",TRIM(C261)&amp;" ")-1),",","."),"."),LEFT(SUBSTITUTE(LEFT(TRIM(C261),FIND(" ",TRIM(C261)&amp;" ")-1),",","."),FIND("/",SUBSTITUTE(LEFT(TRIM(C261),FIND(" ",TRIM(C261)&amp;" ")-1),",","."))-1)/MID(SUBSTITUTE(LEFT(TRIM(C261),FIND(" ",TRIM(C261)&amp;" ")-1),",","."),FIND("/",SUBSTITUTE(LEFT(TRIM(C261),FIND(" ",TRIM(C261)&amp;" ")-1),",","."))+1,9))*12,NA()))),0),36)*'Aturan &amp; Tarif'!$B$4,2)</f>
        <v>2044.08</v>
      </c>
      <c r="K261" s="32" t="n">
        <f aca="false">'Aturan &amp; Tarif'!$B$5</f>
        <v>2050</v>
      </c>
      <c r="L261" s="32" t="n">
        <f aca="false">'Aturan &amp; Tarif'!$B$6</f>
        <v>350</v>
      </c>
      <c r="M261" s="35" t="n">
        <f aca="false">I261+J261+K261+L261</f>
        <v>33144.08</v>
      </c>
      <c r="N261" s="37" t="s">
        <v>1433</v>
      </c>
    </row>
    <row r="262" customFormat="false" ht="25.5" hidden="false" customHeight="true" outlineLevel="0" collapsed="false">
      <c r="A262" s="29"/>
      <c r="B262" s="30" t="s">
        <v>1442</v>
      </c>
      <c r="C262" s="31" t="s">
        <v>127</v>
      </c>
      <c r="D262" s="31" t="s">
        <v>108</v>
      </c>
      <c r="E262" s="32" t="n">
        <v>14275</v>
      </c>
      <c r="F262" s="32"/>
      <c r="G262" s="32" t="n">
        <v>150</v>
      </c>
      <c r="H262" s="33" t="n">
        <v>2</v>
      </c>
      <c r="I262" s="34" t="n">
        <f aca="false">E262*H262+N(F262)+N(G262)</f>
        <v>28700</v>
      </c>
      <c r="J262" s="32" t="n">
        <f aca="false">ROUND(IFERROR(ROUND(IF(OR(ISNUMBER(SEARCH("week",C262)),ISNUMBER(SEARCH("minggu",C262))),IFERROR(_xlfn.NUMBERVALUE(SUBSTITUTE(LEFT(TRIM(C262),FIND(" ",TRIM(C262)&amp;" ")-1),",","."),"."),LEFT(SUBSTITUTE(LEFT(TRIM(C262),FIND(" ",TRIM(C262)&amp;" ")-1),",","."),FIND("/",SUBSTITUTE(LEFT(TRIM(C262),FIND(" ",TRIM(C262)&amp;" ")-1),",","."))-1)/MID(SUBSTITUTE(LEFT(TRIM(C262),FIND(" ",TRIM(C262)&amp;" ")-1),",","."),FIND("/",SUBSTITUTE(LEFT(TRIM(C262),FIND(" ",TRIM(C262)&amp;" ")-1),",","."))+1,9))*12/52,IF(ISNUMBER(SEARCH("month",C262)),IFERROR(_xlfn.NUMBERVALUE(SUBSTITUTE(LEFT(TRIM(C262),FIND(" ",TRIM(C262)&amp;" ")-1),",","."),"."),LEFT(SUBSTITUTE(LEFT(TRIM(C262),FIND(" ",TRIM(C262)&amp;" ")-1),",","."),FIND("/",SUBSTITUTE(LEFT(TRIM(C262),FIND(" ",TRIM(C262)&amp;" ")-1),",","."))-1)/MID(SUBSTITUTE(LEFT(TRIM(C262),FIND(" ",TRIM(C262)&amp;" ")-1),",","."),FIND("/",SUBSTITUTE(LEFT(TRIM(C262),FIND(" ",TRIM(C262)&amp;" ")-1),",","."))+1,9)),IF(ISNUMBER(SEARCH("yea",C262)),IFERROR(_xlfn.NUMBERVALUE(SUBSTITUTE(LEFT(TRIM(C262),FIND(" ",TRIM(C262)&amp;" ")-1),",","."),"."),LEFT(SUBSTITUTE(LEFT(TRIM(C262),FIND(" ",TRIM(C262)&amp;" ")-1),",","."),FIND("/",SUBSTITUTE(LEFT(TRIM(C262),FIND(" ",TRIM(C262)&amp;" ")-1),",","."))-1)/MID(SUBSTITUTE(LEFT(TRIM(C262),FIND(" ",TRIM(C262)&amp;" ")-1),",","."),FIND("/",SUBSTITUTE(LEFT(TRIM(C262),FIND(" ",TRIM(C262)&amp;" ")-1),",","."))+1,9))*12,NA()))),0),36)*'Aturan &amp; Tarif'!$B$4,2)</f>
        <v>2044.08</v>
      </c>
      <c r="K262" s="32" t="n">
        <f aca="false">'Aturan &amp; Tarif'!$B$5</f>
        <v>2050</v>
      </c>
      <c r="L262" s="32" t="n">
        <f aca="false">'Aturan &amp; Tarif'!$B$6</f>
        <v>350</v>
      </c>
      <c r="M262" s="35" t="n">
        <f aca="false">I262+J262+K262+L262</f>
        <v>33144.08</v>
      </c>
      <c r="N262" s="37" t="s">
        <v>1433</v>
      </c>
    </row>
    <row r="263" customFormat="false" ht="25.5" hidden="false" customHeight="true" outlineLevel="0" collapsed="false">
      <c r="A263" s="29"/>
      <c r="B263" s="30" t="s">
        <v>1443</v>
      </c>
      <c r="C263" s="31" t="s">
        <v>127</v>
      </c>
      <c r="D263" s="31" t="s">
        <v>108</v>
      </c>
      <c r="E263" s="32" t="n">
        <v>10850</v>
      </c>
      <c r="F263" s="32"/>
      <c r="G263" s="32" t="n">
        <v>150</v>
      </c>
      <c r="H263" s="33" t="n">
        <v>2</v>
      </c>
      <c r="I263" s="34" t="n">
        <f aca="false">E263*H263+N(F263)+N(G263)</f>
        <v>21850</v>
      </c>
      <c r="J263" s="32" t="n">
        <f aca="false">ROUND(IFERROR(ROUND(IF(OR(ISNUMBER(SEARCH("week",C263)),ISNUMBER(SEARCH("minggu",C263))),IFERROR(_xlfn.NUMBERVALUE(SUBSTITUTE(LEFT(TRIM(C263),FIND(" ",TRIM(C263)&amp;" ")-1),",","."),"."),LEFT(SUBSTITUTE(LEFT(TRIM(C263),FIND(" ",TRIM(C263)&amp;" ")-1),",","."),FIND("/",SUBSTITUTE(LEFT(TRIM(C263),FIND(" ",TRIM(C263)&amp;" ")-1),",","."))-1)/MID(SUBSTITUTE(LEFT(TRIM(C263),FIND(" ",TRIM(C263)&amp;" ")-1),",","."),FIND("/",SUBSTITUTE(LEFT(TRIM(C263),FIND(" ",TRIM(C263)&amp;" ")-1),",","."))+1,9))*12/52,IF(ISNUMBER(SEARCH("month",C263)),IFERROR(_xlfn.NUMBERVALUE(SUBSTITUTE(LEFT(TRIM(C263),FIND(" ",TRIM(C263)&amp;" ")-1),",","."),"."),LEFT(SUBSTITUTE(LEFT(TRIM(C263),FIND(" ",TRIM(C263)&amp;" ")-1),",","."),FIND("/",SUBSTITUTE(LEFT(TRIM(C263),FIND(" ",TRIM(C263)&amp;" ")-1),",","."))-1)/MID(SUBSTITUTE(LEFT(TRIM(C263),FIND(" ",TRIM(C263)&amp;" ")-1),",","."),FIND("/",SUBSTITUTE(LEFT(TRIM(C263),FIND(" ",TRIM(C263)&amp;" ")-1),",","."))+1,9)),IF(ISNUMBER(SEARCH("yea",C263)),IFERROR(_xlfn.NUMBERVALUE(SUBSTITUTE(LEFT(TRIM(C263),FIND(" ",TRIM(C263)&amp;" ")-1),",","."),"."),LEFT(SUBSTITUTE(LEFT(TRIM(C263),FIND(" ",TRIM(C263)&amp;" ")-1),",","."),FIND("/",SUBSTITUTE(LEFT(TRIM(C263),FIND(" ",TRIM(C263)&amp;" ")-1),",","."))-1)/MID(SUBSTITUTE(LEFT(TRIM(C263),FIND(" ",TRIM(C263)&amp;" ")-1),",","."),FIND("/",SUBSTITUTE(LEFT(TRIM(C263),FIND(" ",TRIM(C263)&amp;" ")-1),",","."))+1,9))*12,NA()))),0),36)*'Aturan &amp; Tarif'!$B$4,2)</f>
        <v>2044.08</v>
      </c>
      <c r="K263" s="32" t="n">
        <f aca="false">'Aturan &amp; Tarif'!$B$5</f>
        <v>2050</v>
      </c>
      <c r="L263" s="32" t="n">
        <f aca="false">'Aturan &amp; Tarif'!$B$6</f>
        <v>350</v>
      </c>
      <c r="M263" s="35" t="n">
        <f aca="false">I263+J263+K263+L263</f>
        <v>26294.08</v>
      </c>
      <c r="N263" s="37" t="s">
        <v>1444</v>
      </c>
    </row>
    <row r="264" customFormat="false" ht="14.25" hidden="false" customHeight="true" outlineLevel="0" collapsed="false">
      <c r="A264" s="29"/>
      <c r="B264" s="30" t="s">
        <v>1445</v>
      </c>
      <c r="C264" s="31" t="s">
        <v>191</v>
      </c>
      <c r="D264" s="31" t="s">
        <v>108</v>
      </c>
      <c r="E264" s="32" t="n">
        <v>11275</v>
      </c>
      <c r="F264" s="32"/>
      <c r="G264" s="32" t="n">
        <v>150</v>
      </c>
      <c r="H264" s="33" t="n">
        <v>2</v>
      </c>
      <c r="I264" s="34" t="n">
        <f aca="false">E264*H264+N(F264)+N(G264)</f>
        <v>22700</v>
      </c>
      <c r="J264" s="32" t="n">
        <f aca="false">ROUND(IFERROR(ROUND(IF(OR(ISNUMBER(SEARCH("week",C264)),ISNUMBER(SEARCH("minggu",C264))),IFERROR(_xlfn.NUMBERVALUE(SUBSTITUTE(LEFT(TRIM(C264),FIND(" ",TRIM(C264)&amp;" ")-1),",","."),"."),LEFT(SUBSTITUTE(LEFT(TRIM(C264),FIND(" ",TRIM(C264)&amp;" ")-1),",","."),FIND("/",SUBSTITUTE(LEFT(TRIM(C264),FIND(" ",TRIM(C264)&amp;" ")-1),",","."))-1)/MID(SUBSTITUTE(LEFT(TRIM(C264),FIND(" ",TRIM(C264)&amp;" ")-1),",","."),FIND("/",SUBSTITUTE(LEFT(TRIM(C264),FIND(" ",TRIM(C264)&amp;" ")-1),",","."))+1,9))*12/52,IF(ISNUMBER(SEARCH("month",C264)),IFERROR(_xlfn.NUMBERVALUE(SUBSTITUTE(LEFT(TRIM(C264),FIND(" ",TRIM(C264)&amp;" ")-1),",","."),"."),LEFT(SUBSTITUTE(LEFT(TRIM(C264),FIND(" ",TRIM(C264)&amp;" ")-1),",","."),FIND("/",SUBSTITUTE(LEFT(TRIM(C264),FIND(" ",TRIM(C264)&amp;" ")-1),",","."))-1)/MID(SUBSTITUTE(LEFT(TRIM(C264),FIND(" ",TRIM(C264)&amp;" ")-1),",","."),FIND("/",SUBSTITUTE(LEFT(TRIM(C264),FIND(" ",TRIM(C264)&amp;" ")-1),",","."))+1,9)),IF(ISNUMBER(SEARCH("yea",C264)),IFERROR(_xlfn.NUMBERVALUE(SUBSTITUTE(LEFT(TRIM(C264),FIND(" ",TRIM(C264)&amp;" ")-1),",","."),"."),LEFT(SUBSTITUTE(LEFT(TRIM(C264),FIND(" ",TRIM(C264)&amp;" ")-1),",","."),FIND("/",SUBSTITUTE(LEFT(TRIM(C264),FIND(" ",TRIM(C264)&amp;" ")-1),",","."))-1)/MID(SUBSTITUTE(LEFT(TRIM(C264),FIND(" ",TRIM(C264)&amp;" ")-1),",","."),FIND("/",SUBSTITUTE(LEFT(TRIM(C264),FIND(" ",TRIM(C264)&amp;" ")-1),",","."))+1,9))*12,NA()))),0),48)*'Aturan &amp; Tarif'!$B$4,2)</f>
        <v>2725.44</v>
      </c>
      <c r="K264" s="32" t="n">
        <f aca="false">'Aturan &amp; Tarif'!$B$5</f>
        <v>2050</v>
      </c>
      <c r="L264" s="32" t="n">
        <f aca="false">'Aturan &amp; Tarif'!$B$6</f>
        <v>350</v>
      </c>
      <c r="M264" s="35" t="n">
        <f aca="false">I264+J264+K264+L264</f>
        <v>27825.44</v>
      </c>
      <c r="N264" s="37" t="s">
        <v>1446</v>
      </c>
    </row>
    <row r="265" customFormat="false" ht="25.5" hidden="false" customHeight="true" outlineLevel="0" collapsed="false">
      <c r="A265" s="29"/>
      <c r="B265" s="30" t="s">
        <v>1447</v>
      </c>
      <c r="C265" s="31" t="s">
        <v>191</v>
      </c>
      <c r="D265" s="31" t="s">
        <v>108</v>
      </c>
      <c r="E265" s="32" t="n">
        <v>11275</v>
      </c>
      <c r="F265" s="32"/>
      <c r="G265" s="32" t="n">
        <v>150</v>
      </c>
      <c r="H265" s="33" t="n">
        <v>2</v>
      </c>
      <c r="I265" s="34" t="n">
        <f aca="false">E265*H265+N(F265)+N(G265)</f>
        <v>22700</v>
      </c>
      <c r="J265" s="32" t="n">
        <f aca="false">ROUND(IFERROR(ROUND(IF(OR(ISNUMBER(SEARCH("week",C265)),ISNUMBER(SEARCH("minggu",C265))),IFERROR(_xlfn.NUMBERVALUE(SUBSTITUTE(LEFT(TRIM(C265),FIND(" ",TRIM(C265)&amp;" ")-1),",","."),"."),LEFT(SUBSTITUTE(LEFT(TRIM(C265),FIND(" ",TRIM(C265)&amp;" ")-1),",","."),FIND("/",SUBSTITUTE(LEFT(TRIM(C265),FIND(" ",TRIM(C265)&amp;" ")-1),",","."))-1)/MID(SUBSTITUTE(LEFT(TRIM(C265),FIND(" ",TRIM(C265)&amp;" ")-1),",","."),FIND("/",SUBSTITUTE(LEFT(TRIM(C265),FIND(" ",TRIM(C265)&amp;" ")-1),",","."))+1,9))*12/52,IF(ISNUMBER(SEARCH("month",C265)),IFERROR(_xlfn.NUMBERVALUE(SUBSTITUTE(LEFT(TRIM(C265),FIND(" ",TRIM(C265)&amp;" ")-1),",","."),"."),LEFT(SUBSTITUTE(LEFT(TRIM(C265),FIND(" ",TRIM(C265)&amp;" ")-1),",","."),FIND("/",SUBSTITUTE(LEFT(TRIM(C265),FIND(" ",TRIM(C265)&amp;" ")-1),",","."))-1)/MID(SUBSTITUTE(LEFT(TRIM(C265),FIND(" ",TRIM(C265)&amp;" ")-1),",","."),FIND("/",SUBSTITUTE(LEFT(TRIM(C265),FIND(" ",TRIM(C265)&amp;" ")-1),",","."))+1,9)),IF(ISNUMBER(SEARCH("yea",C265)),IFERROR(_xlfn.NUMBERVALUE(SUBSTITUTE(LEFT(TRIM(C265),FIND(" ",TRIM(C265)&amp;" ")-1),",","."),"."),LEFT(SUBSTITUTE(LEFT(TRIM(C265),FIND(" ",TRIM(C265)&amp;" ")-1),",","."),FIND("/",SUBSTITUTE(LEFT(TRIM(C265),FIND(" ",TRIM(C265)&amp;" ")-1),",","."))-1)/MID(SUBSTITUTE(LEFT(TRIM(C265),FIND(" ",TRIM(C265)&amp;" ")-1),",","."),FIND("/",SUBSTITUTE(LEFT(TRIM(C265),FIND(" ",TRIM(C265)&amp;" ")-1),",","."))+1,9))*12,NA()))),0),48)*'Aturan &amp; Tarif'!$B$4,2)</f>
        <v>2725.44</v>
      </c>
      <c r="K265" s="32" t="n">
        <f aca="false">'Aturan &amp; Tarif'!$B$5</f>
        <v>2050</v>
      </c>
      <c r="L265" s="32" t="n">
        <f aca="false">'Aturan &amp; Tarif'!$B$6</f>
        <v>350</v>
      </c>
      <c r="M265" s="35" t="n">
        <f aca="false">I265+J265+K265+L265</f>
        <v>27825.44</v>
      </c>
      <c r="N265" s="37" t="s">
        <v>846</v>
      </c>
    </row>
    <row r="266" customFormat="false" ht="25.5" hidden="false" customHeight="true" outlineLevel="0" collapsed="false">
      <c r="A266" s="29"/>
      <c r="B266" s="30" t="s">
        <v>1448</v>
      </c>
      <c r="C266" s="31" t="s">
        <v>127</v>
      </c>
      <c r="D266" s="31" t="s">
        <v>108</v>
      </c>
      <c r="E266" s="32" t="n">
        <v>12625</v>
      </c>
      <c r="F266" s="32"/>
      <c r="G266" s="32" t="n">
        <v>150</v>
      </c>
      <c r="H266" s="33" t="n">
        <v>2</v>
      </c>
      <c r="I266" s="34" t="n">
        <f aca="false">E266*H266+N(F266)+N(G266)</f>
        <v>25400</v>
      </c>
      <c r="J266" s="32" t="n">
        <f aca="false">ROUND(IFERROR(ROUND(IF(OR(ISNUMBER(SEARCH("week",C266)),ISNUMBER(SEARCH("minggu",C266))),IFERROR(_xlfn.NUMBERVALUE(SUBSTITUTE(LEFT(TRIM(C266),FIND(" ",TRIM(C266)&amp;" ")-1),",","."),"."),LEFT(SUBSTITUTE(LEFT(TRIM(C266),FIND(" ",TRIM(C266)&amp;" ")-1),",","."),FIND("/",SUBSTITUTE(LEFT(TRIM(C266),FIND(" ",TRIM(C266)&amp;" ")-1),",","."))-1)/MID(SUBSTITUTE(LEFT(TRIM(C266),FIND(" ",TRIM(C266)&amp;" ")-1),",","."),FIND("/",SUBSTITUTE(LEFT(TRIM(C266),FIND(" ",TRIM(C266)&amp;" ")-1),",","."))+1,9))*12/52,IF(ISNUMBER(SEARCH("month",C266)),IFERROR(_xlfn.NUMBERVALUE(SUBSTITUTE(LEFT(TRIM(C266),FIND(" ",TRIM(C266)&amp;" ")-1),",","."),"."),LEFT(SUBSTITUTE(LEFT(TRIM(C266),FIND(" ",TRIM(C266)&amp;" ")-1),",","."),FIND("/",SUBSTITUTE(LEFT(TRIM(C266),FIND(" ",TRIM(C266)&amp;" ")-1),",","."))-1)/MID(SUBSTITUTE(LEFT(TRIM(C266),FIND(" ",TRIM(C266)&amp;" ")-1),",","."),FIND("/",SUBSTITUTE(LEFT(TRIM(C266),FIND(" ",TRIM(C266)&amp;" ")-1),",","."))+1,9)),IF(ISNUMBER(SEARCH("yea",C266)),IFERROR(_xlfn.NUMBERVALUE(SUBSTITUTE(LEFT(TRIM(C266),FIND(" ",TRIM(C266)&amp;" ")-1),",","."),"."),LEFT(SUBSTITUTE(LEFT(TRIM(C266),FIND(" ",TRIM(C266)&amp;" ")-1),",","."),FIND("/",SUBSTITUTE(LEFT(TRIM(C266),FIND(" ",TRIM(C266)&amp;" ")-1),",","."))-1)/MID(SUBSTITUTE(LEFT(TRIM(C266),FIND(" ",TRIM(C266)&amp;" ")-1),",","."),FIND("/",SUBSTITUTE(LEFT(TRIM(C266),FIND(" ",TRIM(C266)&amp;" ")-1),",","."))+1,9))*12,NA()))),0),36)*'Aturan &amp; Tarif'!$B$4,2)</f>
        <v>2044.08</v>
      </c>
      <c r="K266" s="32" t="n">
        <f aca="false">'Aturan &amp; Tarif'!$B$5</f>
        <v>2050</v>
      </c>
      <c r="L266" s="32" t="n">
        <f aca="false">'Aturan &amp; Tarif'!$B$6</f>
        <v>350</v>
      </c>
      <c r="M266" s="35" t="n">
        <f aca="false">I266+J266+K266+L266</f>
        <v>29844.08</v>
      </c>
      <c r="N266" s="37" t="s">
        <v>1256</v>
      </c>
    </row>
    <row r="267" customFormat="false" ht="25.5" hidden="false" customHeight="true" outlineLevel="0" collapsed="false">
      <c r="A267" s="29"/>
      <c r="B267" s="30" t="s">
        <v>1449</v>
      </c>
      <c r="C267" s="31" t="s">
        <v>127</v>
      </c>
      <c r="D267" s="31" t="s">
        <v>108</v>
      </c>
      <c r="E267" s="32" t="n">
        <v>12625</v>
      </c>
      <c r="F267" s="32"/>
      <c r="G267" s="32" t="n">
        <v>150</v>
      </c>
      <c r="H267" s="33" t="n">
        <v>2</v>
      </c>
      <c r="I267" s="34" t="n">
        <f aca="false">E267*H267+N(F267)+N(G267)</f>
        <v>25400</v>
      </c>
      <c r="J267" s="32" t="n">
        <f aca="false">ROUND(IFERROR(ROUND(IF(OR(ISNUMBER(SEARCH("week",C267)),ISNUMBER(SEARCH("minggu",C267))),IFERROR(_xlfn.NUMBERVALUE(SUBSTITUTE(LEFT(TRIM(C267),FIND(" ",TRIM(C267)&amp;" ")-1),",","."),"."),LEFT(SUBSTITUTE(LEFT(TRIM(C267),FIND(" ",TRIM(C267)&amp;" ")-1),",","."),FIND("/",SUBSTITUTE(LEFT(TRIM(C267),FIND(" ",TRIM(C267)&amp;" ")-1),",","."))-1)/MID(SUBSTITUTE(LEFT(TRIM(C267),FIND(" ",TRIM(C267)&amp;" ")-1),",","."),FIND("/",SUBSTITUTE(LEFT(TRIM(C267),FIND(" ",TRIM(C267)&amp;" ")-1),",","."))+1,9))*12/52,IF(ISNUMBER(SEARCH("month",C267)),IFERROR(_xlfn.NUMBERVALUE(SUBSTITUTE(LEFT(TRIM(C267),FIND(" ",TRIM(C267)&amp;" ")-1),",","."),"."),LEFT(SUBSTITUTE(LEFT(TRIM(C267),FIND(" ",TRIM(C267)&amp;" ")-1),",","."),FIND("/",SUBSTITUTE(LEFT(TRIM(C267),FIND(" ",TRIM(C267)&amp;" ")-1),",","."))-1)/MID(SUBSTITUTE(LEFT(TRIM(C267),FIND(" ",TRIM(C267)&amp;" ")-1),",","."),FIND("/",SUBSTITUTE(LEFT(TRIM(C267),FIND(" ",TRIM(C267)&amp;" ")-1),",","."))+1,9)),IF(ISNUMBER(SEARCH("yea",C267)),IFERROR(_xlfn.NUMBERVALUE(SUBSTITUTE(LEFT(TRIM(C267),FIND(" ",TRIM(C267)&amp;" ")-1),",","."),"."),LEFT(SUBSTITUTE(LEFT(TRIM(C267),FIND(" ",TRIM(C267)&amp;" ")-1),",","."),FIND("/",SUBSTITUTE(LEFT(TRIM(C267),FIND(" ",TRIM(C267)&amp;" ")-1),",","."))-1)/MID(SUBSTITUTE(LEFT(TRIM(C267),FIND(" ",TRIM(C267)&amp;" ")-1),",","."),FIND("/",SUBSTITUTE(LEFT(TRIM(C267),FIND(" ",TRIM(C267)&amp;" ")-1),",","."))+1,9))*12,NA()))),0),36)*'Aturan &amp; Tarif'!$B$4,2)</f>
        <v>2044.08</v>
      </c>
      <c r="K267" s="32" t="n">
        <f aca="false">'Aturan &amp; Tarif'!$B$5</f>
        <v>2050</v>
      </c>
      <c r="L267" s="32" t="n">
        <f aca="false">'Aturan &amp; Tarif'!$B$6</f>
        <v>350</v>
      </c>
      <c r="M267" s="35" t="n">
        <f aca="false">I267+J267+K267+L267</f>
        <v>29844.08</v>
      </c>
      <c r="N267" s="37" t="s">
        <v>1256</v>
      </c>
    </row>
    <row r="268" customFormat="false" ht="14.25" hidden="false" customHeight="true" outlineLevel="0" collapsed="false">
      <c r="A268" s="29"/>
      <c r="B268" s="30" t="s">
        <v>1450</v>
      </c>
      <c r="C268" s="31" t="s">
        <v>107</v>
      </c>
      <c r="D268" s="31" t="s">
        <v>108</v>
      </c>
      <c r="E268" s="32" t="n">
        <v>13575</v>
      </c>
      <c r="F268" s="32"/>
      <c r="G268" s="32" t="n">
        <v>150</v>
      </c>
      <c r="H268" s="33" t="n">
        <v>2</v>
      </c>
      <c r="I268" s="34" t="n">
        <f aca="false">E268*H268+N(F268)+N(G268)</f>
        <v>27300</v>
      </c>
      <c r="J268" s="32" t="n">
        <f aca="false">ROUND(IFERROR(ROUND(IF(OR(ISNUMBER(SEARCH("week",C268)),ISNUMBER(SEARCH("minggu",C268))),IFERROR(_xlfn.NUMBERVALUE(SUBSTITUTE(LEFT(TRIM(C268),FIND(" ",TRIM(C268)&amp;" ")-1),",","."),"."),LEFT(SUBSTITUTE(LEFT(TRIM(C268),FIND(" ",TRIM(C268)&amp;" ")-1),",","."),FIND("/",SUBSTITUTE(LEFT(TRIM(C268),FIND(" ",TRIM(C268)&amp;" ")-1),",","."))-1)/MID(SUBSTITUTE(LEFT(TRIM(C268),FIND(" ",TRIM(C268)&amp;" ")-1),",","."),FIND("/",SUBSTITUTE(LEFT(TRIM(C268),FIND(" ",TRIM(C268)&amp;" ")-1),",","."))+1,9))*12/52,IF(ISNUMBER(SEARCH("month",C268)),IFERROR(_xlfn.NUMBERVALUE(SUBSTITUTE(LEFT(TRIM(C268),FIND(" ",TRIM(C268)&amp;" ")-1),",","."),"."),LEFT(SUBSTITUTE(LEFT(TRIM(C268),FIND(" ",TRIM(C268)&amp;" ")-1),",","."),FIND("/",SUBSTITUTE(LEFT(TRIM(C268),FIND(" ",TRIM(C268)&amp;" ")-1),",","."))-1)/MID(SUBSTITUTE(LEFT(TRIM(C268),FIND(" ",TRIM(C268)&amp;" ")-1),",","."),FIND("/",SUBSTITUTE(LEFT(TRIM(C268),FIND(" ",TRIM(C268)&amp;" ")-1),",","."))+1,9)),IF(ISNUMBER(SEARCH("yea",C268)),IFERROR(_xlfn.NUMBERVALUE(SUBSTITUTE(LEFT(TRIM(C268),FIND(" ",TRIM(C268)&amp;" ")-1),",","."),"."),LEFT(SUBSTITUTE(LEFT(TRIM(C268),FIND(" ",TRIM(C268)&amp;" ")-1),",","."),FIND("/",SUBSTITUTE(LEFT(TRIM(C268),FIND(" ",TRIM(C268)&amp;" ")-1),",","."))-1)/MID(SUBSTITUTE(LEFT(TRIM(C268),FIND(" ",TRIM(C268)&amp;" ")-1),",","."),FIND("/",SUBSTITUTE(LEFT(TRIM(C268),FIND(" ",TRIM(C268)&amp;" ")-1),",","."))+1,9))*12,NA()))),0),24)*'Aturan &amp; Tarif'!$B$4,2)</f>
        <v>1362.72</v>
      </c>
      <c r="K268" s="32" t="n">
        <f aca="false">'Aturan &amp; Tarif'!$B$5</f>
        <v>2050</v>
      </c>
      <c r="L268" s="32" t="n">
        <f aca="false">'Aturan &amp; Tarif'!$B$6</f>
        <v>350</v>
      </c>
      <c r="M268" s="35" t="n">
        <f aca="false">I268+J268+K268+L268</f>
        <v>31062.72</v>
      </c>
      <c r="N268" s="37" t="s">
        <v>1451</v>
      </c>
    </row>
    <row r="269" customFormat="false" ht="25.5" hidden="false" customHeight="true" outlineLevel="0" collapsed="false">
      <c r="A269" s="29"/>
      <c r="B269" s="30" t="s">
        <v>1452</v>
      </c>
      <c r="C269" s="31" t="s">
        <v>107</v>
      </c>
      <c r="D269" s="31" t="s">
        <v>108</v>
      </c>
      <c r="E269" s="32" t="n">
        <v>13575</v>
      </c>
      <c r="F269" s="32"/>
      <c r="G269" s="32" t="n">
        <v>150</v>
      </c>
      <c r="H269" s="33" t="n">
        <v>2</v>
      </c>
      <c r="I269" s="34" t="n">
        <f aca="false">E269*H269+N(F269)+N(G269)</f>
        <v>27300</v>
      </c>
      <c r="J269" s="32" t="n">
        <f aca="false">ROUND(IFERROR(ROUND(IF(OR(ISNUMBER(SEARCH("week",C269)),ISNUMBER(SEARCH("minggu",C269))),IFERROR(_xlfn.NUMBERVALUE(SUBSTITUTE(LEFT(TRIM(C269),FIND(" ",TRIM(C269)&amp;" ")-1),",","."),"."),LEFT(SUBSTITUTE(LEFT(TRIM(C269),FIND(" ",TRIM(C269)&amp;" ")-1),",","."),FIND("/",SUBSTITUTE(LEFT(TRIM(C269),FIND(" ",TRIM(C269)&amp;" ")-1),",","."))-1)/MID(SUBSTITUTE(LEFT(TRIM(C269),FIND(" ",TRIM(C269)&amp;" ")-1),",","."),FIND("/",SUBSTITUTE(LEFT(TRIM(C269),FIND(" ",TRIM(C269)&amp;" ")-1),",","."))+1,9))*12/52,IF(ISNUMBER(SEARCH("month",C269)),IFERROR(_xlfn.NUMBERVALUE(SUBSTITUTE(LEFT(TRIM(C269),FIND(" ",TRIM(C269)&amp;" ")-1),",","."),"."),LEFT(SUBSTITUTE(LEFT(TRIM(C269),FIND(" ",TRIM(C269)&amp;" ")-1),",","."),FIND("/",SUBSTITUTE(LEFT(TRIM(C269),FIND(" ",TRIM(C269)&amp;" ")-1),",","."))-1)/MID(SUBSTITUTE(LEFT(TRIM(C269),FIND(" ",TRIM(C269)&amp;" ")-1),",","."),FIND("/",SUBSTITUTE(LEFT(TRIM(C269),FIND(" ",TRIM(C269)&amp;" ")-1),",","."))+1,9)),IF(ISNUMBER(SEARCH("yea",C269)),IFERROR(_xlfn.NUMBERVALUE(SUBSTITUTE(LEFT(TRIM(C269),FIND(" ",TRIM(C269)&amp;" ")-1),",","."),"."),LEFT(SUBSTITUTE(LEFT(TRIM(C269),FIND(" ",TRIM(C269)&amp;" ")-1),",","."),FIND("/",SUBSTITUTE(LEFT(TRIM(C269),FIND(" ",TRIM(C269)&amp;" ")-1),",","."))-1)/MID(SUBSTITUTE(LEFT(TRIM(C269),FIND(" ",TRIM(C269)&amp;" ")-1),",","."),FIND("/",SUBSTITUTE(LEFT(TRIM(C269),FIND(" ",TRIM(C269)&amp;" ")-1),",","."))+1,9))*12,NA()))),0),24)*'Aturan &amp; Tarif'!$B$4,2)</f>
        <v>1362.72</v>
      </c>
      <c r="K269" s="32" t="n">
        <f aca="false">'Aturan &amp; Tarif'!$B$5</f>
        <v>2050</v>
      </c>
      <c r="L269" s="32" t="n">
        <f aca="false">'Aturan &amp; Tarif'!$B$6</f>
        <v>350</v>
      </c>
      <c r="M269" s="35" t="n">
        <f aca="false">I269+J269+K269+L269</f>
        <v>31062.72</v>
      </c>
      <c r="N269" s="37" t="s">
        <v>846</v>
      </c>
    </row>
    <row r="270" customFormat="false" ht="14.25" hidden="false" customHeight="true" outlineLevel="0" collapsed="false">
      <c r="A270" s="29"/>
      <c r="B270" s="30" t="s">
        <v>1453</v>
      </c>
      <c r="C270" s="31" t="s">
        <v>107</v>
      </c>
      <c r="D270" s="31" t="s">
        <v>108</v>
      </c>
      <c r="E270" s="32" t="n">
        <v>13575</v>
      </c>
      <c r="F270" s="32"/>
      <c r="G270" s="32" t="n">
        <v>150</v>
      </c>
      <c r="H270" s="33" t="n">
        <v>2</v>
      </c>
      <c r="I270" s="34" t="n">
        <f aca="false">E270*H270+N(F270)+N(G270)</f>
        <v>27300</v>
      </c>
      <c r="J270" s="32" t="n">
        <f aca="false">ROUND(IFERROR(ROUND(IF(OR(ISNUMBER(SEARCH("week",C270)),ISNUMBER(SEARCH("minggu",C270))),IFERROR(_xlfn.NUMBERVALUE(SUBSTITUTE(LEFT(TRIM(C270),FIND(" ",TRIM(C270)&amp;" ")-1),",","."),"."),LEFT(SUBSTITUTE(LEFT(TRIM(C270),FIND(" ",TRIM(C270)&amp;" ")-1),",","."),FIND("/",SUBSTITUTE(LEFT(TRIM(C270),FIND(" ",TRIM(C270)&amp;" ")-1),",","."))-1)/MID(SUBSTITUTE(LEFT(TRIM(C270),FIND(" ",TRIM(C270)&amp;" ")-1),",","."),FIND("/",SUBSTITUTE(LEFT(TRIM(C270),FIND(" ",TRIM(C270)&amp;" ")-1),",","."))+1,9))*12/52,IF(ISNUMBER(SEARCH("month",C270)),IFERROR(_xlfn.NUMBERVALUE(SUBSTITUTE(LEFT(TRIM(C270),FIND(" ",TRIM(C270)&amp;" ")-1),",","."),"."),LEFT(SUBSTITUTE(LEFT(TRIM(C270),FIND(" ",TRIM(C270)&amp;" ")-1),",","."),FIND("/",SUBSTITUTE(LEFT(TRIM(C270),FIND(" ",TRIM(C270)&amp;" ")-1),",","."))-1)/MID(SUBSTITUTE(LEFT(TRIM(C270),FIND(" ",TRIM(C270)&amp;" ")-1),",","."),FIND("/",SUBSTITUTE(LEFT(TRIM(C270),FIND(" ",TRIM(C270)&amp;" ")-1),",","."))+1,9)),IF(ISNUMBER(SEARCH("yea",C270)),IFERROR(_xlfn.NUMBERVALUE(SUBSTITUTE(LEFT(TRIM(C270),FIND(" ",TRIM(C270)&amp;" ")-1),",","."),"."),LEFT(SUBSTITUTE(LEFT(TRIM(C270),FIND(" ",TRIM(C270)&amp;" ")-1),",","."),FIND("/",SUBSTITUTE(LEFT(TRIM(C270),FIND(" ",TRIM(C270)&amp;" ")-1),",","."))-1)/MID(SUBSTITUTE(LEFT(TRIM(C270),FIND(" ",TRIM(C270)&amp;" ")-1),",","."),FIND("/",SUBSTITUTE(LEFT(TRIM(C270),FIND(" ",TRIM(C270)&amp;" ")-1),",","."))+1,9))*12,NA()))),0),24)*'Aturan &amp; Tarif'!$B$4,2)</f>
        <v>1362.72</v>
      </c>
      <c r="K270" s="32" t="n">
        <f aca="false">'Aturan &amp; Tarif'!$B$5</f>
        <v>2050</v>
      </c>
      <c r="L270" s="32" t="n">
        <f aca="false">'Aturan &amp; Tarif'!$B$6</f>
        <v>350</v>
      </c>
      <c r="M270" s="35" t="n">
        <f aca="false">I270+J270+K270+L270</f>
        <v>31062.72</v>
      </c>
      <c r="N270" s="37" t="s">
        <v>846</v>
      </c>
    </row>
    <row r="271" customFormat="false" ht="14.25" hidden="false" customHeight="true" outlineLevel="0" collapsed="false">
      <c r="A271" s="29"/>
      <c r="B271" s="30" t="s">
        <v>1454</v>
      </c>
      <c r="C271" s="31" t="s">
        <v>113</v>
      </c>
      <c r="D271" s="31" t="s">
        <v>108</v>
      </c>
      <c r="E271" s="32" t="n">
        <v>13575</v>
      </c>
      <c r="F271" s="32"/>
      <c r="G271" s="32" t="n">
        <v>150</v>
      </c>
      <c r="H271" s="33" t="n">
        <v>2</v>
      </c>
      <c r="I271" s="34" t="n">
        <f aca="false">E271*H271+N(F271)+N(G271)</f>
        <v>27300</v>
      </c>
      <c r="J271" s="32" t="n">
        <f aca="false">ROUND(IFERROR(ROUND(IF(OR(ISNUMBER(SEARCH("week",C271)),ISNUMBER(SEARCH("minggu",C271))),IFERROR(_xlfn.NUMBERVALUE(SUBSTITUTE(LEFT(TRIM(C271),FIND(" ",TRIM(C271)&amp;" ")-1),",","."),"."),LEFT(SUBSTITUTE(LEFT(TRIM(C271),FIND(" ",TRIM(C271)&amp;" ")-1),",","."),FIND("/",SUBSTITUTE(LEFT(TRIM(C271),FIND(" ",TRIM(C271)&amp;" ")-1),",","."))-1)/MID(SUBSTITUTE(LEFT(TRIM(C271),FIND(" ",TRIM(C271)&amp;" ")-1),",","."),FIND("/",SUBSTITUTE(LEFT(TRIM(C271),FIND(" ",TRIM(C271)&amp;" ")-1),",","."))+1,9))*12/52,IF(ISNUMBER(SEARCH("month",C271)),IFERROR(_xlfn.NUMBERVALUE(SUBSTITUTE(LEFT(TRIM(C271),FIND(" ",TRIM(C271)&amp;" ")-1),",","."),"."),LEFT(SUBSTITUTE(LEFT(TRIM(C271),FIND(" ",TRIM(C271)&amp;" ")-1),",","."),FIND("/",SUBSTITUTE(LEFT(TRIM(C271),FIND(" ",TRIM(C271)&amp;" ")-1),",","."))-1)/MID(SUBSTITUTE(LEFT(TRIM(C271),FIND(" ",TRIM(C271)&amp;" ")-1),",","."),FIND("/",SUBSTITUTE(LEFT(TRIM(C271),FIND(" ",TRIM(C271)&amp;" ")-1),",","."))+1,9)),IF(ISNUMBER(SEARCH("yea",C271)),IFERROR(_xlfn.NUMBERVALUE(SUBSTITUTE(LEFT(TRIM(C271),FIND(" ",TRIM(C271)&amp;" ")-1),",","."),"."),LEFT(SUBSTITUTE(LEFT(TRIM(C271),FIND(" ",TRIM(C271)&amp;" ")-1),",","."),FIND("/",SUBSTITUTE(LEFT(TRIM(C271),FIND(" ",TRIM(C271)&amp;" ")-1),",","."))-1)/MID(SUBSTITUTE(LEFT(TRIM(C271),FIND(" ",TRIM(C271)&amp;" ")-1),",","."),FIND("/",SUBSTITUTE(LEFT(TRIM(C271),FIND(" ",TRIM(C271)&amp;" ")-1),",","."))+1,9))*12,NA()))),0),18)*'Aturan &amp; Tarif'!$B$4,2)</f>
        <v>1022.04</v>
      </c>
      <c r="K271" s="32" t="n">
        <f aca="false">'Aturan &amp; Tarif'!$B$5</f>
        <v>2050</v>
      </c>
      <c r="L271" s="32" t="n">
        <f aca="false">'Aturan &amp; Tarif'!$B$6</f>
        <v>350</v>
      </c>
      <c r="M271" s="35" t="n">
        <f aca="false">I271+J271+K271+L271</f>
        <v>30722.04</v>
      </c>
      <c r="N271" s="37" t="s">
        <v>846</v>
      </c>
    </row>
    <row r="272" customFormat="false" ht="14.25" hidden="false" customHeight="true" outlineLevel="0" collapsed="false">
      <c r="A272" s="29"/>
      <c r="B272" s="30" t="s">
        <v>1455</v>
      </c>
      <c r="C272" s="31" t="s">
        <v>107</v>
      </c>
      <c r="D272" s="31" t="s">
        <v>108</v>
      </c>
      <c r="E272" s="32" t="n">
        <v>13575</v>
      </c>
      <c r="F272" s="32"/>
      <c r="G272" s="32" t="n">
        <v>150</v>
      </c>
      <c r="H272" s="33" t="n">
        <v>2</v>
      </c>
      <c r="I272" s="34" t="n">
        <f aca="false">E272*H272+N(F272)+N(G272)</f>
        <v>27300</v>
      </c>
      <c r="J272" s="32" t="n">
        <f aca="false">ROUND(IFERROR(ROUND(IF(OR(ISNUMBER(SEARCH("week",C272)),ISNUMBER(SEARCH("minggu",C272))),IFERROR(_xlfn.NUMBERVALUE(SUBSTITUTE(LEFT(TRIM(C272),FIND(" ",TRIM(C272)&amp;" ")-1),",","."),"."),LEFT(SUBSTITUTE(LEFT(TRIM(C272),FIND(" ",TRIM(C272)&amp;" ")-1),",","."),FIND("/",SUBSTITUTE(LEFT(TRIM(C272),FIND(" ",TRIM(C272)&amp;" ")-1),",","."))-1)/MID(SUBSTITUTE(LEFT(TRIM(C272),FIND(" ",TRIM(C272)&amp;" ")-1),",","."),FIND("/",SUBSTITUTE(LEFT(TRIM(C272),FIND(" ",TRIM(C272)&amp;" ")-1),",","."))+1,9))*12/52,IF(ISNUMBER(SEARCH("month",C272)),IFERROR(_xlfn.NUMBERVALUE(SUBSTITUTE(LEFT(TRIM(C272),FIND(" ",TRIM(C272)&amp;" ")-1),",","."),"."),LEFT(SUBSTITUTE(LEFT(TRIM(C272),FIND(" ",TRIM(C272)&amp;" ")-1),",","."),FIND("/",SUBSTITUTE(LEFT(TRIM(C272),FIND(" ",TRIM(C272)&amp;" ")-1),",","."))-1)/MID(SUBSTITUTE(LEFT(TRIM(C272),FIND(" ",TRIM(C272)&amp;" ")-1),",","."),FIND("/",SUBSTITUTE(LEFT(TRIM(C272),FIND(" ",TRIM(C272)&amp;" ")-1),",","."))+1,9)),IF(ISNUMBER(SEARCH("yea",C272)),IFERROR(_xlfn.NUMBERVALUE(SUBSTITUTE(LEFT(TRIM(C272),FIND(" ",TRIM(C272)&amp;" ")-1),",","."),"."),LEFT(SUBSTITUTE(LEFT(TRIM(C272),FIND(" ",TRIM(C272)&amp;" ")-1),",","."),FIND("/",SUBSTITUTE(LEFT(TRIM(C272),FIND(" ",TRIM(C272)&amp;" ")-1),",","."))-1)/MID(SUBSTITUTE(LEFT(TRIM(C272),FIND(" ",TRIM(C272)&amp;" ")-1),",","."),FIND("/",SUBSTITUTE(LEFT(TRIM(C272),FIND(" ",TRIM(C272)&amp;" ")-1),",","."))+1,9))*12,NA()))),0),24)*'Aturan &amp; Tarif'!$B$4,2)</f>
        <v>1362.72</v>
      </c>
      <c r="K272" s="32" t="n">
        <f aca="false">'Aturan &amp; Tarif'!$B$5</f>
        <v>2050</v>
      </c>
      <c r="L272" s="32" t="n">
        <f aca="false">'Aturan &amp; Tarif'!$B$6</f>
        <v>350</v>
      </c>
      <c r="M272" s="35" t="n">
        <f aca="false">I272+J272+K272+L272</f>
        <v>31062.72</v>
      </c>
      <c r="N272" s="37" t="s">
        <v>846</v>
      </c>
    </row>
    <row r="273" customFormat="false" ht="25.5" hidden="false" customHeight="true" outlineLevel="0" collapsed="false">
      <c r="A273" s="29"/>
      <c r="B273" s="30" t="s">
        <v>1456</v>
      </c>
      <c r="C273" s="31" t="s">
        <v>107</v>
      </c>
      <c r="D273" s="31" t="s">
        <v>108</v>
      </c>
      <c r="E273" s="32" t="n">
        <v>13575</v>
      </c>
      <c r="F273" s="32"/>
      <c r="G273" s="32" t="n">
        <v>150</v>
      </c>
      <c r="H273" s="33" t="n">
        <v>2</v>
      </c>
      <c r="I273" s="34" t="n">
        <f aca="false">E273*H273+N(F273)+N(G273)</f>
        <v>27300</v>
      </c>
      <c r="J273" s="32" t="n">
        <f aca="false">ROUND(IFERROR(ROUND(IF(OR(ISNUMBER(SEARCH("week",C273)),ISNUMBER(SEARCH("minggu",C273))),IFERROR(_xlfn.NUMBERVALUE(SUBSTITUTE(LEFT(TRIM(C273),FIND(" ",TRIM(C273)&amp;" ")-1),",","."),"."),LEFT(SUBSTITUTE(LEFT(TRIM(C273),FIND(" ",TRIM(C273)&amp;" ")-1),",","."),FIND("/",SUBSTITUTE(LEFT(TRIM(C273),FIND(" ",TRIM(C273)&amp;" ")-1),",","."))-1)/MID(SUBSTITUTE(LEFT(TRIM(C273),FIND(" ",TRIM(C273)&amp;" ")-1),",","."),FIND("/",SUBSTITUTE(LEFT(TRIM(C273),FIND(" ",TRIM(C273)&amp;" ")-1),",","."))+1,9))*12/52,IF(ISNUMBER(SEARCH("month",C273)),IFERROR(_xlfn.NUMBERVALUE(SUBSTITUTE(LEFT(TRIM(C273),FIND(" ",TRIM(C273)&amp;" ")-1),",","."),"."),LEFT(SUBSTITUTE(LEFT(TRIM(C273),FIND(" ",TRIM(C273)&amp;" ")-1),",","."),FIND("/",SUBSTITUTE(LEFT(TRIM(C273),FIND(" ",TRIM(C273)&amp;" ")-1),",","."))-1)/MID(SUBSTITUTE(LEFT(TRIM(C273),FIND(" ",TRIM(C273)&amp;" ")-1),",","."),FIND("/",SUBSTITUTE(LEFT(TRIM(C273),FIND(" ",TRIM(C273)&amp;" ")-1),",","."))+1,9)),IF(ISNUMBER(SEARCH("yea",C273)),IFERROR(_xlfn.NUMBERVALUE(SUBSTITUTE(LEFT(TRIM(C273),FIND(" ",TRIM(C273)&amp;" ")-1),",","."),"."),LEFT(SUBSTITUTE(LEFT(TRIM(C273),FIND(" ",TRIM(C273)&amp;" ")-1),",","."),FIND("/",SUBSTITUTE(LEFT(TRIM(C273),FIND(" ",TRIM(C273)&amp;" ")-1),",","."))-1)/MID(SUBSTITUTE(LEFT(TRIM(C273),FIND(" ",TRIM(C273)&amp;" ")-1),",","."),FIND("/",SUBSTITUTE(LEFT(TRIM(C273),FIND(" ",TRIM(C273)&amp;" ")-1),",","."))+1,9))*12,NA()))),0),24)*'Aturan &amp; Tarif'!$B$4,2)</f>
        <v>1362.72</v>
      </c>
      <c r="K273" s="32" t="n">
        <f aca="false">'Aturan &amp; Tarif'!$B$5</f>
        <v>2050</v>
      </c>
      <c r="L273" s="32" t="n">
        <f aca="false">'Aturan &amp; Tarif'!$B$6</f>
        <v>350</v>
      </c>
      <c r="M273" s="35" t="n">
        <f aca="false">I273+J273+K273+L273</f>
        <v>31062.72</v>
      </c>
      <c r="N273" s="37" t="s">
        <v>846</v>
      </c>
    </row>
    <row r="274" customFormat="false" ht="37.5" hidden="false" customHeight="true" outlineLevel="0" collapsed="false">
      <c r="A274" s="29"/>
      <c r="B274" s="30" t="s">
        <v>1457</v>
      </c>
      <c r="C274" s="31" t="s">
        <v>107</v>
      </c>
      <c r="D274" s="31" t="s">
        <v>108</v>
      </c>
      <c r="E274" s="32" t="n">
        <v>13575</v>
      </c>
      <c r="F274" s="32"/>
      <c r="G274" s="32" t="n">
        <v>150</v>
      </c>
      <c r="H274" s="33" t="n">
        <v>2</v>
      </c>
      <c r="I274" s="34" t="n">
        <f aca="false">E274*H274+N(F274)+N(G274)</f>
        <v>27300</v>
      </c>
      <c r="J274" s="32" t="n">
        <f aca="false">ROUND(IFERROR(ROUND(IF(OR(ISNUMBER(SEARCH("week",C274)),ISNUMBER(SEARCH("minggu",C274))),IFERROR(_xlfn.NUMBERVALUE(SUBSTITUTE(LEFT(TRIM(C274),FIND(" ",TRIM(C274)&amp;" ")-1),",","."),"."),LEFT(SUBSTITUTE(LEFT(TRIM(C274),FIND(" ",TRIM(C274)&amp;" ")-1),",","."),FIND("/",SUBSTITUTE(LEFT(TRIM(C274),FIND(" ",TRIM(C274)&amp;" ")-1),",","."))-1)/MID(SUBSTITUTE(LEFT(TRIM(C274),FIND(" ",TRIM(C274)&amp;" ")-1),",","."),FIND("/",SUBSTITUTE(LEFT(TRIM(C274),FIND(" ",TRIM(C274)&amp;" ")-1),",","."))+1,9))*12/52,IF(ISNUMBER(SEARCH("month",C274)),IFERROR(_xlfn.NUMBERVALUE(SUBSTITUTE(LEFT(TRIM(C274),FIND(" ",TRIM(C274)&amp;" ")-1),",","."),"."),LEFT(SUBSTITUTE(LEFT(TRIM(C274),FIND(" ",TRIM(C274)&amp;" ")-1),",","."),FIND("/",SUBSTITUTE(LEFT(TRIM(C274),FIND(" ",TRIM(C274)&amp;" ")-1),",","."))-1)/MID(SUBSTITUTE(LEFT(TRIM(C274),FIND(" ",TRIM(C274)&amp;" ")-1),",","."),FIND("/",SUBSTITUTE(LEFT(TRIM(C274),FIND(" ",TRIM(C274)&amp;" ")-1),",","."))+1,9)),IF(ISNUMBER(SEARCH("yea",C274)),IFERROR(_xlfn.NUMBERVALUE(SUBSTITUTE(LEFT(TRIM(C274),FIND(" ",TRIM(C274)&amp;" ")-1),",","."),"."),LEFT(SUBSTITUTE(LEFT(TRIM(C274),FIND(" ",TRIM(C274)&amp;" ")-1),",","."),FIND("/",SUBSTITUTE(LEFT(TRIM(C274),FIND(" ",TRIM(C274)&amp;" ")-1),",","."))-1)/MID(SUBSTITUTE(LEFT(TRIM(C274),FIND(" ",TRIM(C274)&amp;" ")-1),",","."),FIND("/",SUBSTITUTE(LEFT(TRIM(C274),FIND(" ",TRIM(C274)&amp;" ")-1),",","."))+1,9))*12,NA()))),0),24)*'Aturan &amp; Tarif'!$B$4,2)</f>
        <v>1362.72</v>
      </c>
      <c r="K274" s="32" t="n">
        <f aca="false">'Aturan &amp; Tarif'!$B$5</f>
        <v>2050</v>
      </c>
      <c r="L274" s="32" t="n">
        <f aca="false">'Aturan &amp; Tarif'!$B$6</f>
        <v>350</v>
      </c>
      <c r="M274" s="35" t="n">
        <f aca="false">I274+J274+K274+L274</f>
        <v>31062.72</v>
      </c>
      <c r="N274" s="37" t="s">
        <v>846</v>
      </c>
    </row>
    <row r="275" customFormat="false" ht="25.5" hidden="false" customHeight="true" outlineLevel="0" collapsed="false">
      <c r="A275" s="29"/>
      <c r="B275" s="30" t="s">
        <v>1458</v>
      </c>
      <c r="C275" s="31" t="s">
        <v>107</v>
      </c>
      <c r="D275" s="31" t="s">
        <v>108</v>
      </c>
      <c r="E275" s="32" t="n">
        <v>13575</v>
      </c>
      <c r="F275" s="32"/>
      <c r="G275" s="32" t="n">
        <v>150</v>
      </c>
      <c r="H275" s="33" t="n">
        <v>2</v>
      </c>
      <c r="I275" s="34" t="n">
        <f aca="false">E275*H275+N(F275)+N(G275)</f>
        <v>27300</v>
      </c>
      <c r="J275" s="32" t="n">
        <f aca="false">ROUND(IFERROR(ROUND(IF(OR(ISNUMBER(SEARCH("week",C275)),ISNUMBER(SEARCH("minggu",C275))),IFERROR(_xlfn.NUMBERVALUE(SUBSTITUTE(LEFT(TRIM(C275),FIND(" ",TRIM(C275)&amp;" ")-1),",","."),"."),LEFT(SUBSTITUTE(LEFT(TRIM(C275),FIND(" ",TRIM(C275)&amp;" ")-1),",","."),FIND("/",SUBSTITUTE(LEFT(TRIM(C275),FIND(" ",TRIM(C275)&amp;" ")-1),",","."))-1)/MID(SUBSTITUTE(LEFT(TRIM(C275),FIND(" ",TRIM(C275)&amp;" ")-1),",","."),FIND("/",SUBSTITUTE(LEFT(TRIM(C275),FIND(" ",TRIM(C275)&amp;" ")-1),",","."))+1,9))*12/52,IF(ISNUMBER(SEARCH("month",C275)),IFERROR(_xlfn.NUMBERVALUE(SUBSTITUTE(LEFT(TRIM(C275),FIND(" ",TRIM(C275)&amp;" ")-1),",","."),"."),LEFT(SUBSTITUTE(LEFT(TRIM(C275),FIND(" ",TRIM(C275)&amp;" ")-1),",","."),FIND("/",SUBSTITUTE(LEFT(TRIM(C275),FIND(" ",TRIM(C275)&amp;" ")-1),",","."))-1)/MID(SUBSTITUTE(LEFT(TRIM(C275),FIND(" ",TRIM(C275)&amp;" ")-1),",","."),FIND("/",SUBSTITUTE(LEFT(TRIM(C275),FIND(" ",TRIM(C275)&amp;" ")-1),",","."))+1,9)),IF(ISNUMBER(SEARCH("yea",C275)),IFERROR(_xlfn.NUMBERVALUE(SUBSTITUTE(LEFT(TRIM(C275),FIND(" ",TRIM(C275)&amp;" ")-1),",","."),"."),LEFT(SUBSTITUTE(LEFT(TRIM(C275),FIND(" ",TRIM(C275)&amp;" ")-1),",","."),FIND("/",SUBSTITUTE(LEFT(TRIM(C275),FIND(" ",TRIM(C275)&amp;" ")-1),",","."))-1)/MID(SUBSTITUTE(LEFT(TRIM(C275),FIND(" ",TRIM(C275)&amp;" ")-1),",","."),FIND("/",SUBSTITUTE(LEFT(TRIM(C275),FIND(" ",TRIM(C275)&amp;" ")-1),",","."))+1,9))*12,NA()))),0),24)*'Aturan &amp; Tarif'!$B$4,2)</f>
        <v>1362.72</v>
      </c>
      <c r="K275" s="32" t="n">
        <f aca="false">'Aturan &amp; Tarif'!$B$5</f>
        <v>2050</v>
      </c>
      <c r="L275" s="32" t="n">
        <f aca="false">'Aturan &amp; Tarif'!$B$6</f>
        <v>350</v>
      </c>
      <c r="M275" s="35" t="n">
        <f aca="false">I275+J275+K275+L275</f>
        <v>31062.72</v>
      </c>
      <c r="N275" s="37" t="s">
        <v>846</v>
      </c>
    </row>
    <row r="276" customFormat="false" ht="37.5" hidden="false" customHeight="true" outlineLevel="0" collapsed="false">
      <c r="A276" s="29"/>
      <c r="B276" s="30" t="s">
        <v>1459</v>
      </c>
      <c r="C276" s="31" t="s">
        <v>107</v>
      </c>
      <c r="D276" s="31" t="s">
        <v>108</v>
      </c>
      <c r="E276" s="32" t="n">
        <v>13575</v>
      </c>
      <c r="F276" s="32"/>
      <c r="G276" s="32" t="n">
        <v>150</v>
      </c>
      <c r="H276" s="33" t="n">
        <v>2</v>
      </c>
      <c r="I276" s="34" t="n">
        <f aca="false">E276*H276+N(F276)+N(G276)</f>
        <v>27300</v>
      </c>
      <c r="J276" s="32" t="n">
        <f aca="false">ROUND(IFERROR(ROUND(IF(OR(ISNUMBER(SEARCH("week",C276)),ISNUMBER(SEARCH("minggu",C276))),IFERROR(_xlfn.NUMBERVALUE(SUBSTITUTE(LEFT(TRIM(C276),FIND(" ",TRIM(C276)&amp;" ")-1),",","."),"."),LEFT(SUBSTITUTE(LEFT(TRIM(C276),FIND(" ",TRIM(C276)&amp;" ")-1),",","."),FIND("/",SUBSTITUTE(LEFT(TRIM(C276),FIND(" ",TRIM(C276)&amp;" ")-1),",","."))-1)/MID(SUBSTITUTE(LEFT(TRIM(C276),FIND(" ",TRIM(C276)&amp;" ")-1),",","."),FIND("/",SUBSTITUTE(LEFT(TRIM(C276),FIND(" ",TRIM(C276)&amp;" ")-1),",","."))+1,9))*12/52,IF(ISNUMBER(SEARCH("month",C276)),IFERROR(_xlfn.NUMBERVALUE(SUBSTITUTE(LEFT(TRIM(C276),FIND(" ",TRIM(C276)&amp;" ")-1),",","."),"."),LEFT(SUBSTITUTE(LEFT(TRIM(C276),FIND(" ",TRIM(C276)&amp;" ")-1),",","."),FIND("/",SUBSTITUTE(LEFT(TRIM(C276),FIND(" ",TRIM(C276)&amp;" ")-1),",","."))-1)/MID(SUBSTITUTE(LEFT(TRIM(C276),FIND(" ",TRIM(C276)&amp;" ")-1),",","."),FIND("/",SUBSTITUTE(LEFT(TRIM(C276),FIND(" ",TRIM(C276)&amp;" ")-1),",","."))+1,9)),IF(ISNUMBER(SEARCH("yea",C276)),IFERROR(_xlfn.NUMBERVALUE(SUBSTITUTE(LEFT(TRIM(C276),FIND(" ",TRIM(C276)&amp;" ")-1),",","."),"."),LEFT(SUBSTITUTE(LEFT(TRIM(C276),FIND(" ",TRIM(C276)&amp;" ")-1),",","."),FIND("/",SUBSTITUTE(LEFT(TRIM(C276),FIND(" ",TRIM(C276)&amp;" ")-1),",","."))-1)/MID(SUBSTITUTE(LEFT(TRIM(C276),FIND(" ",TRIM(C276)&amp;" ")-1),",","."),FIND("/",SUBSTITUTE(LEFT(TRIM(C276),FIND(" ",TRIM(C276)&amp;" ")-1),",","."))+1,9))*12,NA()))),0),24)*'Aturan &amp; Tarif'!$B$4,2)</f>
        <v>1362.72</v>
      </c>
      <c r="K276" s="32" t="n">
        <f aca="false">'Aturan &amp; Tarif'!$B$5</f>
        <v>2050</v>
      </c>
      <c r="L276" s="32" t="n">
        <f aca="false">'Aturan &amp; Tarif'!$B$6</f>
        <v>350</v>
      </c>
      <c r="M276" s="35" t="n">
        <f aca="false">I276+J276+K276+L276</f>
        <v>31062.72</v>
      </c>
      <c r="N276" s="37" t="s">
        <v>846</v>
      </c>
    </row>
    <row r="277" customFormat="false" ht="14.25" hidden="false" customHeight="true" outlineLevel="0" collapsed="false">
      <c r="A277" s="29"/>
      <c r="B277" s="30" t="s">
        <v>1460</v>
      </c>
      <c r="C277" s="31" t="s">
        <v>107</v>
      </c>
      <c r="D277" s="31" t="s">
        <v>108</v>
      </c>
      <c r="E277" s="32" t="n">
        <v>13575</v>
      </c>
      <c r="F277" s="32"/>
      <c r="G277" s="32" t="n">
        <v>150</v>
      </c>
      <c r="H277" s="33" t="n">
        <v>2</v>
      </c>
      <c r="I277" s="34" t="n">
        <f aca="false">E277*H277+N(F277)+N(G277)</f>
        <v>27300</v>
      </c>
      <c r="J277" s="32" t="n">
        <f aca="false">ROUND(IFERROR(ROUND(IF(OR(ISNUMBER(SEARCH("week",C277)),ISNUMBER(SEARCH("minggu",C277))),IFERROR(_xlfn.NUMBERVALUE(SUBSTITUTE(LEFT(TRIM(C277),FIND(" ",TRIM(C277)&amp;" ")-1),",","."),"."),LEFT(SUBSTITUTE(LEFT(TRIM(C277),FIND(" ",TRIM(C277)&amp;" ")-1),",","."),FIND("/",SUBSTITUTE(LEFT(TRIM(C277),FIND(" ",TRIM(C277)&amp;" ")-1),",","."))-1)/MID(SUBSTITUTE(LEFT(TRIM(C277),FIND(" ",TRIM(C277)&amp;" ")-1),",","."),FIND("/",SUBSTITUTE(LEFT(TRIM(C277),FIND(" ",TRIM(C277)&amp;" ")-1),",","."))+1,9))*12/52,IF(ISNUMBER(SEARCH("month",C277)),IFERROR(_xlfn.NUMBERVALUE(SUBSTITUTE(LEFT(TRIM(C277),FIND(" ",TRIM(C277)&amp;" ")-1),",","."),"."),LEFT(SUBSTITUTE(LEFT(TRIM(C277),FIND(" ",TRIM(C277)&amp;" ")-1),",","."),FIND("/",SUBSTITUTE(LEFT(TRIM(C277),FIND(" ",TRIM(C277)&amp;" ")-1),",","."))-1)/MID(SUBSTITUTE(LEFT(TRIM(C277),FIND(" ",TRIM(C277)&amp;" ")-1),",","."),FIND("/",SUBSTITUTE(LEFT(TRIM(C277),FIND(" ",TRIM(C277)&amp;" ")-1),",","."))+1,9)),IF(ISNUMBER(SEARCH("yea",C277)),IFERROR(_xlfn.NUMBERVALUE(SUBSTITUTE(LEFT(TRIM(C277),FIND(" ",TRIM(C277)&amp;" ")-1),",","."),"."),LEFT(SUBSTITUTE(LEFT(TRIM(C277),FIND(" ",TRIM(C277)&amp;" ")-1),",","."),FIND("/",SUBSTITUTE(LEFT(TRIM(C277),FIND(" ",TRIM(C277)&amp;" ")-1),",","."))-1)/MID(SUBSTITUTE(LEFT(TRIM(C277),FIND(" ",TRIM(C277)&amp;" ")-1),",","."),FIND("/",SUBSTITUTE(LEFT(TRIM(C277),FIND(" ",TRIM(C277)&amp;" ")-1),",","."))+1,9))*12,NA()))),0),24)*'Aturan &amp; Tarif'!$B$4,2)</f>
        <v>1362.72</v>
      </c>
      <c r="K277" s="32" t="n">
        <f aca="false">'Aturan &amp; Tarif'!$B$5</f>
        <v>2050</v>
      </c>
      <c r="L277" s="32" t="n">
        <f aca="false">'Aturan &amp; Tarif'!$B$6</f>
        <v>350</v>
      </c>
      <c r="M277" s="35" t="n">
        <f aca="false">I277+J277+K277+L277</f>
        <v>31062.72</v>
      </c>
      <c r="N277" s="37" t="s">
        <v>846</v>
      </c>
    </row>
    <row r="278" customFormat="false" ht="14.25" hidden="false" customHeight="true" outlineLevel="0" collapsed="false">
      <c r="A278" s="29"/>
      <c r="B278" s="30" t="s">
        <v>1461</v>
      </c>
      <c r="C278" s="31" t="s">
        <v>107</v>
      </c>
      <c r="D278" s="31" t="s">
        <v>108</v>
      </c>
      <c r="E278" s="32" t="n">
        <v>13575</v>
      </c>
      <c r="F278" s="32"/>
      <c r="G278" s="32" t="n">
        <v>150</v>
      </c>
      <c r="H278" s="33" t="n">
        <v>2</v>
      </c>
      <c r="I278" s="34" t="n">
        <f aca="false">E278*H278+N(F278)+N(G278)</f>
        <v>27300</v>
      </c>
      <c r="J278" s="32" t="n">
        <f aca="false">ROUND(IFERROR(ROUND(IF(OR(ISNUMBER(SEARCH("week",C278)),ISNUMBER(SEARCH("minggu",C278))),IFERROR(_xlfn.NUMBERVALUE(SUBSTITUTE(LEFT(TRIM(C278),FIND(" ",TRIM(C278)&amp;" ")-1),",","."),"."),LEFT(SUBSTITUTE(LEFT(TRIM(C278),FIND(" ",TRIM(C278)&amp;" ")-1),",","."),FIND("/",SUBSTITUTE(LEFT(TRIM(C278),FIND(" ",TRIM(C278)&amp;" ")-1),",","."))-1)/MID(SUBSTITUTE(LEFT(TRIM(C278),FIND(" ",TRIM(C278)&amp;" ")-1),",","."),FIND("/",SUBSTITUTE(LEFT(TRIM(C278),FIND(" ",TRIM(C278)&amp;" ")-1),",","."))+1,9))*12/52,IF(ISNUMBER(SEARCH("month",C278)),IFERROR(_xlfn.NUMBERVALUE(SUBSTITUTE(LEFT(TRIM(C278),FIND(" ",TRIM(C278)&amp;" ")-1),",","."),"."),LEFT(SUBSTITUTE(LEFT(TRIM(C278),FIND(" ",TRIM(C278)&amp;" ")-1),",","."),FIND("/",SUBSTITUTE(LEFT(TRIM(C278),FIND(" ",TRIM(C278)&amp;" ")-1),",","."))-1)/MID(SUBSTITUTE(LEFT(TRIM(C278),FIND(" ",TRIM(C278)&amp;" ")-1),",","."),FIND("/",SUBSTITUTE(LEFT(TRIM(C278),FIND(" ",TRIM(C278)&amp;" ")-1),",","."))+1,9)),IF(ISNUMBER(SEARCH("yea",C278)),IFERROR(_xlfn.NUMBERVALUE(SUBSTITUTE(LEFT(TRIM(C278),FIND(" ",TRIM(C278)&amp;" ")-1),",","."),"."),LEFT(SUBSTITUTE(LEFT(TRIM(C278),FIND(" ",TRIM(C278)&amp;" ")-1),",","."),FIND("/",SUBSTITUTE(LEFT(TRIM(C278),FIND(" ",TRIM(C278)&amp;" ")-1),",","."))-1)/MID(SUBSTITUTE(LEFT(TRIM(C278),FIND(" ",TRIM(C278)&amp;" ")-1),",","."),FIND("/",SUBSTITUTE(LEFT(TRIM(C278),FIND(" ",TRIM(C278)&amp;" ")-1),",","."))+1,9))*12,NA()))),0),24)*'Aturan &amp; Tarif'!$B$4,2)</f>
        <v>1362.72</v>
      </c>
      <c r="K278" s="32" t="n">
        <f aca="false">'Aturan &amp; Tarif'!$B$5</f>
        <v>2050</v>
      </c>
      <c r="L278" s="32" t="n">
        <f aca="false">'Aturan &amp; Tarif'!$B$6</f>
        <v>350</v>
      </c>
      <c r="M278" s="35" t="n">
        <f aca="false">I278+J278+K278+L278</f>
        <v>31062.72</v>
      </c>
      <c r="N278" s="37" t="s">
        <v>846</v>
      </c>
    </row>
    <row r="279" customFormat="false" ht="14.25" hidden="false" customHeight="true" outlineLevel="0" collapsed="false">
      <c r="A279" s="29"/>
      <c r="B279" s="30" t="s">
        <v>1462</v>
      </c>
      <c r="C279" s="31" t="s">
        <v>107</v>
      </c>
      <c r="D279" s="31" t="s">
        <v>108</v>
      </c>
      <c r="E279" s="32" t="n">
        <v>13575</v>
      </c>
      <c r="F279" s="32"/>
      <c r="G279" s="32" t="n">
        <v>150</v>
      </c>
      <c r="H279" s="33" t="n">
        <v>2</v>
      </c>
      <c r="I279" s="34" t="n">
        <f aca="false">E279*H279+N(F279)+N(G279)</f>
        <v>27300</v>
      </c>
      <c r="J279" s="32" t="n">
        <f aca="false">ROUND(IFERROR(ROUND(IF(OR(ISNUMBER(SEARCH("week",C279)),ISNUMBER(SEARCH("minggu",C279))),IFERROR(_xlfn.NUMBERVALUE(SUBSTITUTE(LEFT(TRIM(C279),FIND(" ",TRIM(C279)&amp;" ")-1),",","."),"."),LEFT(SUBSTITUTE(LEFT(TRIM(C279),FIND(" ",TRIM(C279)&amp;" ")-1),",","."),FIND("/",SUBSTITUTE(LEFT(TRIM(C279),FIND(" ",TRIM(C279)&amp;" ")-1),",","."))-1)/MID(SUBSTITUTE(LEFT(TRIM(C279),FIND(" ",TRIM(C279)&amp;" ")-1),",","."),FIND("/",SUBSTITUTE(LEFT(TRIM(C279),FIND(" ",TRIM(C279)&amp;" ")-1),",","."))+1,9))*12/52,IF(ISNUMBER(SEARCH("month",C279)),IFERROR(_xlfn.NUMBERVALUE(SUBSTITUTE(LEFT(TRIM(C279),FIND(" ",TRIM(C279)&amp;" ")-1),",","."),"."),LEFT(SUBSTITUTE(LEFT(TRIM(C279),FIND(" ",TRIM(C279)&amp;" ")-1),",","."),FIND("/",SUBSTITUTE(LEFT(TRIM(C279),FIND(" ",TRIM(C279)&amp;" ")-1),",","."))-1)/MID(SUBSTITUTE(LEFT(TRIM(C279),FIND(" ",TRIM(C279)&amp;" ")-1),",","."),FIND("/",SUBSTITUTE(LEFT(TRIM(C279),FIND(" ",TRIM(C279)&amp;" ")-1),",","."))+1,9)),IF(ISNUMBER(SEARCH("yea",C279)),IFERROR(_xlfn.NUMBERVALUE(SUBSTITUTE(LEFT(TRIM(C279),FIND(" ",TRIM(C279)&amp;" ")-1),",","."),"."),LEFT(SUBSTITUTE(LEFT(TRIM(C279),FIND(" ",TRIM(C279)&amp;" ")-1),",","."),FIND("/",SUBSTITUTE(LEFT(TRIM(C279),FIND(" ",TRIM(C279)&amp;" ")-1),",","."))-1)/MID(SUBSTITUTE(LEFT(TRIM(C279),FIND(" ",TRIM(C279)&amp;" ")-1),",","."),FIND("/",SUBSTITUTE(LEFT(TRIM(C279),FIND(" ",TRIM(C279)&amp;" ")-1),",","."))+1,9))*12,NA()))),0),24)*'Aturan &amp; Tarif'!$B$4,2)</f>
        <v>1362.72</v>
      </c>
      <c r="K279" s="32" t="n">
        <f aca="false">'Aturan &amp; Tarif'!$B$5</f>
        <v>2050</v>
      </c>
      <c r="L279" s="32" t="n">
        <f aca="false">'Aturan &amp; Tarif'!$B$6</f>
        <v>350</v>
      </c>
      <c r="M279" s="35" t="n">
        <f aca="false">I279+J279+K279+L279</f>
        <v>31062.72</v>
      </c>
      <c r="N279" s="37" t="s">
        <v>846</v>
      </c>
    </row>
    <row r="280" customFormat="false" ht="14.25" hidden="false" customHeight="true" outlineLevel="0" collapsed="false">
      <c r="A280" s="29"/>
      <c r="B280" s="30" t="s">
        <v>167</v>
      </c>
      <c r="C280" s="31" t="s">
        <v>113</v>
      </c>
      <c r="D280" s="31" t="s">
        <v>108</v>
      </c>
      <c r="E280" s="32" t="n">
        <v>13575</v>
      </c>
      <c r="F280" s="32"/>
      <c r="G280" s="32" t="n">
        <v>150</v>
      </c>
      <c r="H280" s="33" t="n">
        <v>2</v>
      </c>
      <c r="I280" s="34" t="n">
        <f aca="false">E280*H280+N(F280)+N(G280)</f>
        <v>27300</v>
      </c>
      <c r="J280" s="32" t="n">
        <f aca="false">ROUND(IFERROR(ROUND(IF(OR(ISNUMBER(SEARCH("week",C280)),ISNUMBER(SEARCH("minggu",C280))),IFERROR(_xlfn.NUMBERVALUE(SUBSTITUTE(LEFT(TRIM(C280),FIND(" ",TRIM(C280)&amp;" ")-1),",","."),"."),LEFT(SUBSTITUTE(LEFT(TRIM(C280),FIND(" ",TRIM(C280)&amp;" ")-1),",","."),FIND("/",SUBSTITUTE(LEFT(TRIM(C280),FIND(" ",TRIM(C280)&amp;" ")-1),",","."))-1)/MID(SUBSTITUTE(LEFT(TRIM(C280),FIND(" ",TRIM(C280)&amp;" ")-1),",","."),FIND("/",SUBSTITUTE(LEFT(TRIM(C280),FIND(" ",TRIM(C280)&amp;" ")-1),",","."))+1,9))*12/52,IF(ISNUMBER(SEARCH("month",C280)),IFERROR(_xlfn.NUMBERVALUE(SUBSTITUTE(LEFT(TRIM(C280),FIND(" ",TRIM(C280)&amp;" ")-1),",","."),"."),LEFT(SUBSTITUTE(LEFT(TRIM(C280),FIND(" ",TRIM(C280)&amp;" ")-1),",","."),FIND("/",SUBSTITUTE(LEFT(TRIM(C280),FIND(" ",TRIM(C280)&amp;" ")-1),",","."))-1)/MID(SUBSTITUTE(LEFT(TRIM(C280),FIND(" ",TRIM(C280)&amp;" ")-1),",","."),FIND("/",SUBSTITUTE(LEFT(TRIM(C280),FIND(" ",TRIM(C280)&amp;" ")-1),",","."))+1,9)),IF(ISNUMBER(SEARCH("yea",C280)),IFERROR(_xlfn.NUMBERVALUE(SUBSTITUTE(LEFT(TRIM(C280),FIND(" ",TRIM(C280)&amp;" ")-1),",","."),"."),LEFT(SUBSTITUTE(LEFT(TRIM(C280),FIND(" ",TRIM(C280)&amp;" ")-1),",","."),FIND("/",SUBSTITUTE(LEFT(TRIM(C280),FIND(" ",TRIM(C280)&amp;" ")-1),",","."))-1)/MID(SUBSTITUTE(LEFT(TRIM(C280),FIND(" ",TRIM(C280)&amp;" ")-1),",","."),FIND("/",SUBSTITUTE(LEFT(TRIM(C280),FIND(" ",TRIM(C280)&amp;" ")-1),",","."))+1,9))*12,NA()))),0),18)*'Aturan &amp; Tarif'!$B$4,2)</f>
        <v>1022.04</v>
      </c>
      <c r="K280" s="32" t="n">
        <f aca="false">'Aturan &amp; Tarif'!$B$5</f>
        <v>2050</v>
      </c>
      <c r="L280" s="32" t="n">
        <f aca="false">'Aturan &amp; Tarif'!$B$6</f>
        <v>350</v>
      </c>
      <c r="M280" s="35" t="n">
        <f aca="false">I280+J280+K280+L280</f>
        <v>30722.04</v>
      </c>
      <c r="N280" s="37" t="s">
        <v>846</v>
      </c>
    </row>
    <row r="281" customFormat="false" ht="14.25" hidden="false" customHeight="true" outlineLevel="0" collapsed="false">
      <c r="A281" s="29"/>
      <c r="B281" s="30" t="s">
        <v>1463</v>
      </c>
      <c r="C281" s="31" t="s">
        <v>127</v>
      </c>
      <c r="D281" s="31" t="s">
        <v>108</v>
      </c>
      <c r="E281" s="32" t="n">
        <v>21175</v>
      </c>
      <c r="F281" s="32"/>
      <c r="G281" s="32" t="n">
        <v>150</v>
      </c>
      <c r="H281" s="33" t="n">
        <v>2</v>
      </c>
      <c r="I281" s="34" t="n">
        <f aca="false">E281*H281+N(F281)+N(G281)</f>
        <v>42500</v>
      </c>
      <c r="J281" s="32" t="n">
        <f aca="false">ROUND(IFERROR(ROUND(IF(OR(ISNUMBER(SEARCH("week",C281)),ISNUMBER(SEARCH("minggu",C281))),IFERROR(_xlfn.NUMBERVALUE(SUBSTITUTE(LEFT(TRIM(C281),FIND(" ",TRIM(C281)&amp;" ")-1),",","."),"."),LEFT(SUBSTITUTE(LEFT(TRIM(C281),FIND(" ",TRIM(C281)&amp;" ")-1),",","."),FIND("/",SUBSTITUTE(LEFT(TRIM(C281),FIND(" ",TRIM(C281)&amp;" ")-1),",","."))-1)/MID(SUBSTITUTE(LEFT(TRIM(C281),FIND(" ",TRIM(C281)&amp;" ")-1),",","."),FIND("/",SUBSTITUTE(LEFT(TRIM(C281),FIND(" ",TRIM(C281)&amp;" ")-1),",","."))+1,9))*12/52,IF(ISNUMBER(SEARCH("month",C281)),IFERROR(_xlfn.NUMBERVALUE(SUBSTITUTE(LEFT(TRIM(C281),FIND(" ",TRIM(C281)&amp;" ")-1),",","."),"."),LEFT(SUBSTITUTE(LEFT(TRIM(C281),FIND(" ",TRIM(C281)&amp;" ")-1),",","."),FIND("/",SUBSTITUTE(LEFT(TRIM(C281),FIND(" ",TRIM(C281)&amp;" ")-1),",","."))-1)/MID(SUBSTITUTE(LEFT(TRIM(C281),FIND(" ",TRIM(C281)&amp;" ")-1),",","."),FIND("/",SUBSTITUTE(LEFT(TRIM(C281),FIND(" ",TRIM(C281)&amp;" ")-1),",","."))+1,9)),IF(ISNUMBER(SEARCH("yea",C281)),IFERROR(_xlfn.NUMBERVALUE(SUBSTITUTE(LEFT(TRIM(C281),FIND(" ",TRIM(C281)&amp;" ")-1),",","."),"."),LEFT(SUBSTITUTE(LEFT(TRIM(C281),FIND(" ",TRIM(C281)&amp;" ")-1),",","."),FIND("/",SUBSTITUTE(LEFT(TRIM(C281),FIND(" ",TRIM(C281)&amp;" ")-1),",","."))-1)/MID(SUBSTITUTE(LEFT(TRIM(C281),FIND(" ",TRIM(C281)&amp;" ")-1),",","."),FIND("/",SUBSTITUTE(LEFT(TRIM(C281),FIND(" ",TRIM(C281)&amp;" ")-1),",","."))+1,9))*12,NA()))),0),36)*'Aturan &amp; Tarif'!$B$4,2)</f>
        <v>2044.08</v>
      </c>
      <c r="K281" s="32" t="n">
        <f aca="false">'Aturan &amp; Tarif'!$B$5</f>
        <v>2050</v>
      </c>
      <c r="L281" s="32" t="n">
        <f aca="false">'Aturan &amp; Tarif'!$B$6</f>
        <v>350</v>
      </c>
      <c r="M281" s="35" t="n">
        <f aca="false">I281+J281+K281+L281</f>
        <v>46944.08</v>
      </c>
      <c r="N281" s="37" t="s">
        <v>1464</v>
      </c>
    </row>
    <row r="282" customFormat="false" ht="14.25" hidden="false" customHeight="true" outlineLevel="0" collapsed="false">
      <c r="A282" s="29"/>
      <c r="B282" s="30" t="s">
        <v>1465</v>
      </c>
      <c r="C282" s="31" t="s">
        <v>107</v>
      </c>
      <c r="D282" s="31" t="s">
        <v>108</v>
      </c>
      <c r="E282" s="32" t="n">
        <v>15425</v>
      </c>
      <c r="F282" s="32"/>
      <c r="G282" s="32" t="n">
        <v>150</v>
      </c>
      <c r="H282" s="33" t="n">
        <v>2</v>
      </c>
      <c r="I282" s="34" t="n">
        <f aca="false">E282*H282+N(F282)+N(G282)</f>
        <v>31000</v>
      </c>
      <c r="J282" s="32" t="n">
        <f aca="false">ROUND(IFERROR(ROUND(IF(OR(ISNUMBER(SEARCH("week",C282)),ISNUMBER(SEARCH("minggu",C282))),IFERROR(_xlfn.NUMBERVALUE(SUBSTITUTE(LEFT(TRIM(C282),FIND(" ",TRIM(C282)&amp;" ")-1),",","."),"."),LEFT(SUBSTITUTE(LEFT(TRIM(C282),FIND(" ",TRIM(C282)&amp;" ")-1),",","."),FIND("/",SUBSTITUTE(LEFT(TRIM(C282),FIND(" ",TRIM(C282)&amp;" ")-1),",","."))-1)/MID(SUBSTITUTE(LEFT(TRIM(C282),FIND(" ",TRIM(C282)&amp;" ")-1),",","."),FIND("/",SUBSTITUTE(LEFT(TRIM(C282),FIND(" ",TRIM(C282)&amp;" ")-1),",","."))+1,9))*12/52,IF(ISNUMBER(SEARCH("month",C282)),IFERROR(_xlfn.NUMBERVALUE(SUBSTITUTE(LEFT(TRIM(C282),FIND(" ",TRIM(C282)&amp;" ")-1),",","."),"."),LEFT(SUBSTITUTE(LEFT(TRIM(C282),FIND(" ",TRIM(C282)&amp;" ")-1),",","."),FIND("/",SUBSTITUTE(LEFT(TRIM(C282),FIND(" ",TRIM(C282)&amp;" ")-1),",","."))-1)/MID(SUBSTITUTE(LEFT(TRIM(C282),FIND(" ",TRIM(C282)&amp;" ")-1),",","."),FIND("/",SUBSTITUTE(LEFT(TRIM(C282),FIND(" ",TRIM(C282)&amp;" ")-1),",","."))+1,9)),IF(ISNUMBER(SEARCH("yea",C282)),IFERROR(_xlfn.NUMBERVALUE(SUBSTITUTE(LEFT(TRIM(C282),FIND(" ",TRIM(C282)&amp;" ")-1),",","."),"."),LEFT(SUBSTITUTE(LEFT(TRIM(C282),FIND(" ",TRIM(C282)&amp;" ")-1),",","."),FIND("/",SUBSTITUTE(LEFT(TRIM(C282),FIND(" ",TRIM(C282)&amp;" ")-1),",","."))-1)/MID(SUBSTITUTE(LEFT(TRIM(C282),FIND(" ",TRIM(C282)&amp;" ")-1),",","."),FIND("/",SUBSTITUTE(LEFT(TRIM(C282),FIND(" ",TRIM(C282)&amp;" ")-1),",","."))+1,9))*12,NA()))),0),24)*'Aturan &amp; Tarif'!$B$4,2)</f>
        <v>1362.72</v>
      </c>
      <c r="K282" s="32" t="n">
        <f aca="false">'Aturan &amp; Tarif'!$B$5</f>
        <v>2050</v>
      </c>
      <c r="L282" s="32" t="n">
        <f aca="false">'Aturan &amp; Tarif'!$B$6</f>
        <v>350</v>
      </c>
      <c r="M282" s="35" t="n">
        <f aca="false">I282+J282+K282+L282</f>
        <v>34762.72</v>
      </c>
      <c r="N282" s="37" t="s">
        <v>846</v>
      </c>
    </row>
    <row r="283" customFormat="false" ht="25.5" hidden="false" customHeight="true" outlineLevel="0" collapsed="false">
      <c r="A283" s="29"/>
      <c r="B283" s="30" t="s">
        <v>1466</v>
      </c>
      <c r="C283" s="31" t="s">
        <v>130</v>
      </c>
      <c r="D283" s="31" t="s">
        <v>108</v>
      </c>
      <c r="E283" s="32" t="n">
        <v>13575</v>
      </c>
      <c r="F283" s="32"/>
      <c r="G283" s="32" t="n">
        <v>150</v>
      </c>
      <c r="H283" s="33" t="n">
        <v>2</v>
      </c>
      <c r="I283" s="34" t="n">
        <f aca="false">E283*H283+N(F283)+N(G283)</f>
        <v>27300</v>
      </c>
      <c r="J283" s="32" t="n">
        <f aca="false">ROUND(IFERROR(ROUND(IF(OR(ISNUMBER(SEARCH("week",C283)),ISNUMBER(SEARCH("minggu",C283))),IFERROR(_xlfn.NUMBERVALUE(SUBSTITUTE(LEFT(TRIM(C283),FIND(" ",TRIM(C283)&amp;" ")-1),",","."),"."),LEFT(SUBSTITUTE(LEFT(TRIM(C283),FIND(" ",TRIM(C283)&amp;" ")-1),",","."),FIND("/",SUBSTITUTE(LEFT(TRIM(C283),FIND(" ",TRIM(C283)&amp;" ")-1),",","."))-1)/MID(SUBSTITUTE(LEFT(TRIM(C283),FIND(" ",TRIM(C283)&amp;" ")-1),",","."),FIND("/",SUBSTITUTE(LEFT(TRIM(C283),FIND(" ",TRIM(C283)&amp;" ")-1),",","."))+1,9))*12/52,IF(ISNUMBER(SEARCH("month",C283)),IFERROR(_xlfn.NUMBERVALUE(SUBSTITUTE(LEFT(TRIM(C283),FIND(" ",TRIM(C283)&amp;" ")-1),",","."),"."),LEFT(SUBSTITUTE(LEFT(TRIM(C283),FIND(" ",TRIM(C283)&amp;" ")-1),",","."),FIND("/",SUBSTITUTE(LEFT(TRIM(C283),FIND(" ",TRIM(C283)&amp;" ")-1),",","."))-1)/MID(SUBSTITUTE(LEFT(TRIM(C283),FIND(" ",TRIM(C283)&amp;" ")-1),",","."),FIND("/",SUBSTITUTE(LEFT(TRIM(C283),FIND(" ",TRIM(C283)&amp;" ")-1),",","."))+1,9)),IF(ISNUMBER(SEARCH("yea",C283)),IFERROR(_xlfn.NUMBERVALUE(SUBSTITUTE(LEFT(TRIM(C283),FIND(" ",TRIM(C283)&amp;" ")-1),",","."),"."),LEFT(SUBSTITUTE(LEFT(TRIM(C283),FIND(" ",TRIM(C283)&amp;" ")-1),",","."),FIND("/",SUBSTITUTE(LEFT(TRIM(C283),FIND(" ",TRIM(C283)&amp;" ")-1),",","."))-1)/MID(SUBSTITUTE(LEFT(TRIM(C283),FIND(" ",TRIM(C283)&amp;" ")-1),",","."),FIND("/",SUBSTITUTE(LEFT(TRIM(C283),FIND(" ",TRIM(C283)&amp;" ")-1),",","."))+1,9))*12,NA()))),0),12)*'Aturan &amp; Tarif'!$B$4,2)</f>
        <v>681.36</v>
      </c>
      <c r="K283" s="32" t="n">
        <f aca="false">'Aturan &amp; Tarif'!$B$5</f>
        <v>2050</v>
      </c>
      <c r="L283" s="32" t="n">
        <f aca="false">'Aturan &amp; Tarif'!$B$6</f>
        <v>350</v>
      </c>
      <c r="M283" s="35" t="n">
        <f aca="false">I283+J283+K283+L283</f>
        <v>30381.36</v>
      </c>
      <c r="N283" s="37" t="s">
        <v>846</v>
      </c>
    </row>
    <row r="284" customFormat="false" ht="25.5" hidden="false" customHeight="true" outlineLevel="0" collapsed="false">
      <c r="A284" s="29"/>
      <c r="B284" s="30" t="s">
        <v>1467</v>
      </c>
      <c r="C284" s="31" t="s">
        <v>130</v>
      </c>
      <c r="D284" s="31" t="s">
        <v>108</v>
      </c>
      <c r="E284" s="32" t="n">
        <v>13575</v>
      </c>
      <c r="F284" s="32"/>
      <c r="G284" s="32" t="n">
        <v>150</v>
      </c>
      <c r="H284" s="33" t="n">
        <v>2</v>
      </c>
      <c r="I284" s="34" t="n">
        <f aca="false">E284*H284+N(F284)+N(G284)</f>
        <v>27300</v>
      </c>
      <c r="J284" s="32" t="n">
        <f aca="false">ROUND(IFERROR(ROUND(IF(OR(ISNUMBER(SEARCH("week",C284)),ISNUMBER(SEARCH("minggu",C284))),IFERROR(_xlfn.NUMBERVALUE(SUBSTITUTE(LEFT(TRIM(C284),FIND(" ",TRIM(C284)&amp;" ")-1),",","."),"."),LEFT(SUBSTITUTE(LEFT(TRIM(C284),FIND(" ",TRIM(C284)&amp;" ")-1),",","."),FIND("/",SUBSTITUTE(LEFT(TRIM(C284),FIND(" ",TRIM(C284)&amp;" ")-1),",","."))-1)/MID(SUBSTITUTE(LEFT(TRIM(C284),FIND(" ",TRIM(C284)&amp;" ")-1),",","."),FIND("/",SUBSTITUTE(LEFT(TRIM(C284),FIND(" ",TRIM(C284)&amp;" ")-1),",","."))+1,9))*12/52,IF(ISNUMBER(SEARCH("month",C284)),IFERROR(_xlfn.NUMBERVALUE(SUBSTITUTE(LEFT(TRIM(C284),FIND(" ",TRIM(C284)&amp;" ")-1),",","."),"."),LEFT(SUBSTITUTE(LEFT(TRIM(C284),FIND(" ",TRIM(C284)&amp;" ")-1),",","."),FIND("/",SUBSTITUTE(LEFT(TRIM(C284),FIND(" ",TRIM(C284)&amp;" ")-1),",","."))-1)/MID(SUBSTITUTE(LEFT(TRIM(C284),FIND(" ",TRIM(C284)&amp;" ")-1),",","."),FIND("/",SUBSTITUTE(LEFT(TRIM(C284),FIND(" ",TRIM(C284)&amp;" ")-1),",","."))+1,9)),IF(ISNUMBER(SEARCH("yea",C284)),IFERROR(_xlfn.NUMBERVALUE(SUBSTITUTE(LEFT(TRIM(C284),FIND(" ",TRIM(C284)&amp;" ")-1),",","."),"."),LEFT(SUBSTITUTE(LEFT(TRIM(C284),FIND(" ",TRIM(C284)&amp;" ")-1),",","."),FIND("/",SUBSTITUTE(LEFT(TRIM(C284),FIND(" ",TRIM(C284)&amp;" ")-1),",","."))-1)/MID(SUBSTITUTE(LEFT(TRIM(C284),FIND(" ",TRIM(C284)&amp;" ")-1),",","."),FIND("/",SUBSTITUTE(LEFT(TRIM(C284),FIND(" ",TRIM(C284)&amp;" ")-1),",","."))+1,9))*12,NA()))),0),12)*'Aturan &amp; Tarif'!$B$4,2)</f>
        <v>681.36</v>
      </c>
      <c r="K284" s="32" t="n">
        <f aca="false">'Aturan &amp; Tarif'!$B$5</f>
        <v>2050</v>
      </c>
      <c r="L284" s="32" t="n">
        <f aca="false">'Aturan &amp; Tarif'!$B$6</f>
        <v>350</v>
      </c>
      <c r="M284" s="35" t="n">
        <f aca="false">I284+J284+K284+L284</f>
        <v>30381.36</v>
      </c>
      <c r="N284" s="37" t="s">
        <v>846</v>
      </c>
    </row>
    <row r="285" customFormat="false" ht="25.5" hidden="false" customHeight="true" outlineLevel="0" collapsed="false">
      <c r="A285" s="29"/>
      <c r="B285" s="30" t="s">
        <v>1468</v>
      </c>
      <c r="C285" s="31" t="s">
        <v>107</v>
      </c>
      <c r="D285" s="31" t="s">
        <v>108</v>
      </c>
      <c r="E285" s="32" t="n">
        <v>13575</v>
      </c>
      <c r="F285" s="32"/>
      <c r="G285" s="32" t="n">
        <v>150</v>
      </c>
      <c r="H285" s="33" t="n">
        <v>2</v>
      </c>
      <c r="I285" s="34" t="n">
        <f aca="false">E285*H285+N(F285)+N(G285)</f>
        <v>27300</v>
      </c>
      <c r="J285" s="32" t="n">
        <f aca="false">ROUND(IFERROR(ROUND(IF(OR(ISNUMBER(SEARCH("week",C285)),ISNUMBER(SEARCH("minggu",C285))),IFERROR(_xlfn.NUMBERVALUE(SUBSTITUTE(LEFT(TRIM(C285),FIND(" ",TRIM(C285)&amp;" ")-1),",","."),"."),LEFT(SUBSTITUTE(LEFT(TRIM(C285),FIND(" ",TRIM(C285)&amp;" ")-1),",","."),FIND("/",SUBSTITUTE(LEFT(TRIM(C285),FIND(" ",TRIM(C285)&amp;" ")-1),",","."))-1)/MID(SUBSTITUTE(LEFT(TRIM(C285),FIND(" ",TRIM(C285)&amp;" ")-1),",","."),FIND("/",SUBSTITUTE(LEFT(TRIM(C285),FIND(" ",TRIM(C285)&amp;" ")-1),",","."))+1,9))*12/52,IF(ISNUMBER(SEARCH("month",C285)),IFERROR(_xlfn.NUMBERVALUE(SUBSTITUTE(LEFT(TRIM(C285),FIND(" ",TRIM(C285)&amp;" ")-1),",","."),"."),LEFT(SUBSTITUTE(LEFT(TRIM(C285),FIND(" ",TRIM(C285)&amp;" ")-1),",","."),FIND("/",SUBSTITUTE(LEFT(TRIM(C285),FIND(" ",TRIM(C285)&amp;" ")-1),",","."))-1)/MID(SUBSTITUTE(LEFT(TRIM(C285),FIND(" ",TRIM(C285)&amp;" ")-1),",","."),FIND("/",SUBSTITUTE(LEFT(TRIM(C285),FIND(" ",TRIM(C285)&amp;" ")-1),",","."))+1,9)),IF(ISNUMBER(SEARCH("yea",C285)),IFERROR(_xlfn.NUMBERVALUE(SUBSTITUTE(LEFT(TRIM(C285),FIND(" ",TRIM(C285)&amp;" ")-1),",","."),"."),LEFT(SUBSTITUTE(LEFT(TRIM(C285),FIND(" ",TRIM(C285)&amp;" ")-1),",","."),FIND("/",SUBSTITUTE(LEFT(TRIM(C285),FIND(" ",TRIM(C285)&amp;" ")-1),",","."))-1)/MID(SUBSTITUTE(LEFT(TRIM(C285),FIND(" ",TRIM(C285)&amp;" ")-1),",","."),FIND("/",SUBSTITUTE(LEFT(TRIM(C285),FIND(" ",TRIM(C285)&amp;" ")-1),",","."))+1,9))*12,NA()))),0),24)*'Aturan &amp; Tarif'!$B$4,2)</f>
        <v>1362.72</v>
      </c>
      <c r="K285" s="32" t="n">
        <f aca="false">'Aturan &amp; Tarif'!$B$5</f>
        <v>2050</v>
      </c>
      <c r="L285" s="32" t="n">
        <f aca="false">'Aturan &amp; Tarif'!$B$6</f>
        <v>350</v>
      </c>
      <c r="M285" s="35" t="n">
        <f aca="false">I285+J285+K285+L285</f>
        <v>31062.72</v>
      </c>
      <c r="N285" s="37" t="s">
        <v>846</v>
      </c>
    </row>
    <row r="286" customFormat="false" ht="25.5" hidden="false" customHeight="true" outlineLevel="0" collapsed="false">
      <c r="A286" s="29"/>
      <c r="B286" s="30" t="s">
        <v>1469</v>
      </c>
      <c r="C286" s="31" t="s">
        <v>107</v>
      </c>
      <c r="D286" s="31" t="s">
        <v>108</v>
      </c>
      <c r="E286" s="32" t="n">
        <v>14275</v>
      </c>
      <c r="F286" s="32"/>
      <c r="G286" s="32" t="n">
        <v>150</v>
      </c>
      <c r="H286" s="33" t="n">
        <v>2</v>
      </c>
      <c r="I286" s="34" t="n">
        <f aca="false">E286*H286+N(F286)+N(G286)</f>
        <v>28700</v>
      </c>
      <c r="J286" s="32" t="n">
        <f aca="false">ROUND(IFERROR(ROUND(IF(OR(ISNUMBER(SEARCH("week",C286)),ISNUMBER(SEARCH("minggu",C286))),IFERROR(_xlfn.NUMBERVALUE(SUBSTITUTE(LEFT(TRIM(C286),FIND(" ",TRIM(C286)&amp;" ")-1),",","."),"."),LEFT(SUBSTITUTE(LEFT(TRIM(C286),FIND(" ",TRIM(C286)&amp;" ")-1),",","."),FIND("/",SUBSTITUTE(LEFT(TRIM(C286),FIND(" ",TRIM(C286)&amp;" ")-1),",","."))-1)/MID(SUBSTITUTE(LEFT(TRIM(C286),FIND(" ",TRIM(C286)&amp;" ")-1),",","."),FIND("/",SUBSTITUTE(LEFT(TRIM(C286),FIND(" ",TRIM(C286)&amp;" ")-1),",","."))+1,9))*12/52,IF(ISNUMBER(SEARCH("month",C286)),IFERROR(_xlfn.NUMBERVALUE(SUBSTITUTE(LEFT(TRIM(C286),FIND(" ",TRIM(C286)&amp;" ")-1),",","."),"."),LEFT(SUBSTITUTE(LEFT(TRIM(C286),FIND(" ",TRIM(C286)&amp;" ")-1),",","."),FIND("/",SUBSTITUTE(LEFT(TRIM(C286),FIND(" ",TRIM(C286)&amp;" ")-1),",","."))-1)/MID(SUBSTITUTE(LEFT(TRIM(C286),FIND(" ",TRIM(C286)&amp;" ")-1),",","."),FIND("/",SUBSTITUTE(LEFT(TRIM(C286),FIND(" ",TRIM(C286)&amp;" ")-1),",","."))+1,9)),IF(ISNUMBER(SEARCH("yea",C286)),IFERROR(_xlfn.NUMBERVALUE(SUBSTITUTE(LEFT(TRIM(C286),FIND(" ",TRIM(C286)&amp;" ")-1),",","."),"."),LEFT(SUBSTITUTE(LEFT(TRIM(C286),FIND(" ",TRIM(C286)&amp;" ")-1),",","."),FIND("/",SUBSTITUTE(LEFT(TRIM(C286),FIND(" ",TRIM(C286)&amp;" ")-1),",","."))-1)/MID(SUBSTITUTE(LEFT(TRIM(C286),FIND(" ",TRIM(C286)&amp;" ")-1),",","."),FIND("/",SUBSTITUTE(LEFT(TRIM(C286),FIND(" ",TRIM(C286)&amp;" ")-1),",","."))+1,9))*12,NA()))),0),24)*'Aturan &amp; Tarif'!$B$4,2)</f>
        <v>1362.72</v>
      </c>
      <c r="K286" s="32" t="n">
        <f aca="false">'Aturan &amp; Tarif'!$B$5</f>
        <v>2050</v>
      </c>
      <c r="L286" s="32" t="n">
        <f aca="false">'Aturan &amp; Tarif'!$B$6</f>
        <v>350</v>
      </c>
      <c r="M286" s="35" t="n">
        <f aca="false">I286+J286+K286+L286</f>
        <v>32462.72</v>
      </c>
      <c r="N286" s="37" t="s">
        <v>846</v>
      </c>
    </row>
    <row r="287" customFormat="false" ht="14.25" hidden="false" customHeight="true" outlineLevel="0" collapsed="false">
      <c r="A287" s="29"/>
      <c r="B287" s="30" t="s">
        <v>283</v>
      </c>
      <c r="C287" s="31" t="s">
        <v>107</v>
      </c>
      <c r="D287" s="31" t="s">
        <v>108</v>
      </c>
      <c r="E287" s="32" t="n">
        <v>13125</v>
      </c>
      <c r="F287" s="32"/>
      <c r="G287" s="32" t="n">
        <v>150</v>
      </c>
      <c r="H287" s="33" t="n">
        <v>2</v>
      </c>
      <c r="I287" s="34" t="n">
        <f aca="false">E287*H287+N(F287)+N(G287)</f>
        <v>26400</v>
      </c>
      <c r="J287" s="32" t="n">
        <f aca="false">ROUND(IFERROR(ROUND(IF(OR(ISNUMBER(SEARCH("week",C287)),ISNUMBER(SEARCH("minggu",C287))),IFERROR(_xlfn.NUMBERVALUE(SUBSTITUTE(LEFT(TRIM(C287),FIND(" ",TRIM(C287)&amp;" ")-1),",","."),"."),LEFT(SUBSTITUTE(LEFT(TRIM(C287),FIND(" ",TRIM(C287)&amp;" ")-1),",","."),FIND("/",SUBSTITUTE(LEFT(TRIM(C287),FIND(" ",TRIM(C287)&amp;" ")-1),",","."))-1)/MID(SUBSTITUTE(LEFT(TRIM(C287),FIND(" ",TRIM(C287)&amp;" ")-1),",","."),FIND("/",SUBSTITUTE(LEFT(TRIM(C287),FIND(" ",TRIM(C287)&amp;" ")-1),",","."))+1,9))*12/52,IF(ISNUMBER(SEARCH("month",C287)),IFERROR(_xlfn.NUMBERVALUE(SUBSTITUTE(LEFT(TRIM(C287),FIND(" ",TRIM(C287)&amp;" ")-1),",","."),"."),LEFT(SUBSTITUTE(LEFT(TRIM(C287),FIND(" ",TRIM(C287)&amp;" ")-1),",","."),FIND("/",SUBSTITUTE(LEFT(TRIM(C287),FIND(" ",TRIM(C287)&amp;" ")-1),",","."))-1)/MID(SUBSTITUTE(LEFT(TRIM(C287),FIND(" ",TRIM(C287)&amp;" ")-1),",","."),FIND("/",SUBSTITUTE(LEFT(TRIM(C287),FIND(" ",TRIM(C287)&amp;" ")-1),",","."))+1,9)),IF(ISNUMBER(SEARCH("yea",C287)),IFERROR(_xlfn.NUMBERVALUE(SUBSTITUTE(LEFT(TRIM(C287),FIND(" ",TRIM(C287)&amp;" ")-1),",","."),"."),LEFT(SUBSTITUTE(LEFT(TRIM(C287),FIND(" ",TRIM(C287)&amp;" ")-1),",","."),FIND("/",SUBSTITUTE(LEFT(TRIM(C287),FIND(" ",TRIM(C287)&amp;" ")-1),",","."))-1)/MID(SUBSTITUTE(LEFT(TRIM(C287),FIND(" ",TRIM(C287)&amp;" ")-1),",","."),FIND("/",SUBSTITUTE(LEFT(TRIM(C287),FIND(" ",TRIM(C287)&amp;" ")-1),",","."))+1,9))*12,NA()))),0),24)*'Aturan &amp; Tarif'!$B$4,2)</f>
        <v>1362.72</v>
      </c>
      <c r="K287" s="32" t="n">
        <f aca="false">'Aturan &amp; Tarif'!$B$5</f>
        <v>2050</v>
      </c>
      <c r="L287" s="32" t="n">
        <f aca="false">'Aturan &amp; Tarif'!$B$6</f>
        <v>350</v>
      </c>
      <c r="M287" s="35" t="n">
        <f aca="false">I287+J287+K287+L287</f>
        <v>30162.72</v>
      </c>
      <c r="N287" s="37" t="s">
        <v>846</v>
      </c>
    </row>
    <row r="288" customFormat="false" ht="14.25" hidden="false" customHeight="true" outlineLevel="0" collapsed="false">
      <c r="A288" s="29"/>
      <c r="B288" s="30" t="s">
        <v>181</v>
      </c>
      <c r="C288" s="31" t="s">
        <v>107</v>
      </c>
      <c r="D288" s="31" t="s">
        <v>108</v>
      </c>
      <c r="E288" s="32" t="n">
        <v>12625</v>
      </c>
      <c r="F288" s="32"/>
      <c r="G288" s="32" t="n">
        <v>150</v>
      </c>
      <c r="H288" s="33" t="n">
        <v>2</v>
      </c>
      <c r="I288" s="34" t="n">
        <f aca="false">E288*H288+N(F288)+N(G288)</f>
        <v>25400</v>
      </c>
      <c r="J288" s="32" t="n">
        <f aca="false">ROUND(IFERROR(ROUND(IF(OR(ISNUMBER(SEARCH("week",C288)),ISNUMBER(SEARCH("minggu",C288))),IFERROR(_xlfn.NUMBERVALUE(SUBSTITUTE(LEFT(TRIM(C288),FIND(" ",TRIM(C288)&amp;" ")-1),",","."),"."),LEFT(SUBSTITUTE(LEFT(TRIM(C288),FIND(" ",TRIM(C288)&amp;" ")-1),",","."),FIND("/",SUBSTITUTE(LEFT(TRIM(C288),FIND(" ",TRIM(C288)&amp;" ")-1),",","."))-1)/MID(SUBSTITUTE(LEFT(TRIM(C288),FIND(" ",TRIM(C288)&amp;" ")-1),",","."),FIND("/",SUBSTITUTE(LEFT(TRIM(C288),FIND(" ",TRIM(C288)&amp;" ")-1),",","."))+1,9))*12/52,IF(ISNUMBER(SEARCH("month",C288)),IFERROR(_xlfn.NUMBERVALUE(SUBSTITUTE(LEFT(TRIM(C288),FIND(" ",TRIM(C288)&amp;" ")-1),",","."),"."),LEFT(SUBSTITUTE(LEFT(TRIM(C288),FIND(" ",TRIM(C288)&amp;" ")-1),",","."),FIND("/",SUBSTITUTE(LEFT(TRIM(C288),FIND(" ",TRIM(C288)&amp;" ")-1),",","."))-1)/MID(SUBSTITUTE(LEFT(TRIM(C288),FIND(" ",TRIM(C288)&amp;" ")-1),",","."),FIND("/",SUBSTITUTE(LEFT(TRIM(C288),FIND(" ",TRIM(C288)&amp;" ")-1),",","."))+1,9)),IF(ISNUMBER(SEARCH("yea",C288)),IFERROR(_xlfn.NUMBERVALUE(SUBSTITUTE(LEFT(TRIM(C288),FIND(" ",TRIM(C288)&amp;" ")-1),",","."),"."),LEFT(SUBSTITUTE(LEFT(TRIM(C288),FIND(" ",TRIM(C288)&amp;" ")-1),",","."),FIND("/",SUBSTITUTE(LEFT(TRIM(C288),FIND(" ",TRIM(C288)&amp;" ")-1),",","."))-1)/MID(SUBSTITUTE(LEFT(TRIM(C288),FIND(" ",TRIM(C288)&amp;" ")-1),",","."),FIND("/",SUBSTITUTE(LEFT(TRIM(C288),FIND(" ",TRIM(C288)&amp;" ")-1),",","."))+1,9))*12,NA()))),0),24)*'Aturan &amp; Tarif'!$B$4,2)</f>
        <v>1362.72</v>
      </c>
      <c r="K288" s="32" t="n">
        <f aca="false">'Aturan &amp; Tarif'!$B$5</f>
        <v>2050</v>
      </c>
      <c r="L288" s="32" t="n">
        <f aca="false">'Aturan &amp; Tarif'!$B$6</f>
        <v>350</v>
      </c>
      <c r="M288" s="35" t="n">
        <f aca="false">I288+J288+K288+L288</f>
        <v>29162.72</v>
      </c>
      <c r="N288" s="37" t="s">
        <v>846</v>
      </c>
    </row>
    <row r="289" customFormat="false" ht="25.5" hidden="false" customHeight="true" outlineLevel="0" collapsed="false">
      <c r="A289" s="29"/>
      <c r="B289" s="30" t="s">
        <v>1470</v>
      </c>
      <c r="C289" s="31" t="s">
        <v>107</v>
      </c>
      <c r="D289" s="31" t="s">
        <v>108</v>
      </c>
      <c r="E289" s="32" t="n">
        <v>12150</v>
      </c>
      <c r="F289" s="32"/>
      <c r="G289" s="32" t="n">
        <v>150</v>
      </c>
      <c r="H289" s="33" t="n">
        <v>2</v>
      </c>
      <c r="I289" s="34" t="n">
        <f aca="false">E289*H289+N(F289)+N(G289)</f>
        <v>24450</v>
      </c>
      <c r="J289" s="32" t="n">
        <f aca="false">ROUND(IFERROR(ROUND(IF(OR(ISNUMBER(SEARCH("week",C289)),ISNUMBER(SEARCH("minggu",C289))),IFERROR(_xlfn.NUMBERVALUE(SUBSTITUTE(LEFT(TRIM(C289),FIND(" ",TRIM(C289)&amp;" ")-1),",","."),"."),LEFT(SUBSTITUTE(LEFT(TRIM(C289),FIND(" ",TRIM(C289)&amp;" ")-1),",","."),FIND("/",SUBSTITUTE(LEFT(TRIM(C289),FIND(" ",TRIM(C289)&amp;" ")-1),",","."))-1)/MID(SUBSTITUTE(LEFT(TRIM(C289),FIND(" ",TRIM(C289)&amp;" ")-1),",","."),FIND("/",SUBSTITUTE(LEFT(TRIM(C289),FIND(" ",TRIM(C289)&amp;" ")-1),",","."))+1,9))*12/52,IF(ISNUMBER(SEARCH("month",C289)),IFERROR(_xlfn.NUMBERVALUE(SUBSTITUTE(LEFT(TRIM(C289),FIND(" ",TRIM(C289)&amp;" ")-1),",","."),"."),LEFT(SUBSTITUTE(LEFT(TRIM(C289),FIND(" ",TRIM(C289)&amp;" ")-1),",","."),FIND("/",SUBSTITUTE(LEFT(TRIM(C289),FIND(" ",TRIM(C289)&amp;" ")-1),",","."))-1)/MID(SUBSTITUTE(LEFT(TRIM(C289),FIND(" ",TRIM(C289)&amp;" ")-1),",","."),FIND("/",SUBSTITUTE(LEFT(TRIM(C289),FIND(" ",TRIM(C289)&amp;" ")-1),",","."))+1,9)),IF(ISNUMBER(SEARCH("yea",C289)),IFERROR(_xlfn.NUMBERVALUE(SUBSTITUTE(LEFT(TRIM(C289),FIND(" ",TRIM(C289)&amp;" ")-1),",","."),"."),LEFT(SUBSTITUTE(LEFT(TRIM(C289),FIND(" ",TRIM(C289)&amp;" ")-1),",","."),FIND("/",SUBSTITUTE(LEFT(TRIM(C289),FIND(" ",TRIM(C289)&amp;" ")-1),",","."))-1)/MID(SUBSTITUTE(LEFT(TRIM(C289),FIND(" ",TRIM(C289)&amp;" ")-1),",","."),FIND("/",SUBSTITUTE(LEFT(TRIM(C289),FIND(" ",TRIM(C289)&amp;" ")-1),",","."))+1,9))*12,NA()))),0),24)*'Aturan &amp; Tarif'!$B$4,2)</f>
        <v>1362.72</v>
      </c>
      <c r="K289" s="32" t="n">
        <f aca="false">'Aturan &amp; Tarif'!$B$5</f>
        <v>2050</v>
      </c>
      <c r="L289" s="32" t="n">
        <f aca="false">'Aturan &amp; Tarif'!$B$6</f>
        <v>350</v>
      </c>
      <c r="M289" s="35" t="n">
        <f aca="false">I289+J289+K289+L289</f>
        <v>28212.72</v>
      </c>
      <c r="N289" s="37" t="s">
        <v>1471</v>
      </c>
    </row>
    <row r="290" customFormat="false" ht="25.5" hidden="false" customHeight="true" outlineLevel="0" collapsed="false">
      <c r="A290" s="29"/>
      <c r="B290" s="30" t="s">
        <v>1472</v>
      </c>
      <c r="C290" s="31" t="s">
        <v>107</v>
      </c>
      <c r="D290" s="31" t="s">
        <v>108</v>
      </c>
      <c r="E290" s="32" t="n">
        <v>12150</v>
      </c>
      <c r="F290" s="32"/>
      <c r="G290" s="32" t="n">
        <v>150</v>
      </c>
      <c r="H290" s="33" t="n">
        <v>2</v>
      </c>
      <c r="I290" s="34" t="n">
        <f aca="false">E290*H290+N(F290)+N(G290)</f>
        <v>24450</v>
      </c>
      <c r="J290" s="32" t="n">
        <f aca="false">ROUND(IFERROR(ROUND(IF(OR(ISNUMBER(SEARCH("week",C290)),ISNUMBER(SEARCH("minggu",C290))),IFERROR(_xlfn.NUMBERVALUE(SUBSTITUTE(LEFT(TRIM(C290),FIND(" ",TRIM(C290)&amp;" ")-1),",","."),"."),LEFT(SUBSTITUTE(LEFT(TRIM(C290),FIND(" ",TRIM(C290)&amp;" ")-1),",","."),FIND("/",SUBSTITUTE(LEFT(TRIM(C290),FIND(" ",TRIM(C290)&amp;" ")-1),",","."))-1)/MID(SUBSTITUTE(LEFT(TRIM(C290),FIND(" ",TRIM(C290)&amp;" ")-1),",","."),FIND("/",SUBSTITUTE(LEFT(TRIM(C290),FIND(" ",TRIM(C290)&amp;" ")-1),",","."))+1,9))*12/52,IF(ISNUMBER(SEARCH("month",C290)),IFERROR(_xlfn.NUMBERVALUE(SUBSTITUTE(LEFT(TRIM(C290),FIND(" ",TRIM(C290)&amp;" ")-1),",","."),"."),LEFT(SUBSTITUTE(LEFT(TRIM(C290),FIND(" ",TRIM(C290)&amp;" ")-1),",","."),FIND("/",SUBSTITUTE(LEFT(TRIM(C290),FIND(" ",TRIM(C290)&amp;" ")-1),",","."))-1)/MID(SUBSTITUTE(LEFT(TRIM(C290),FIND(" ",TRIM(C290)&amp;" ")-1),",","."),FIND("/",SUBSTITUTE(LEFT(TRIM(C290),FIND(" ",TRIM(C290)&amp;" ")-1),",","."))+1,9)),IF(ISNUMBER(SEARCH("yea",C290)),IFERROR(_xlfn.NUMBERVALUE(SUBSTITUTE(LEFT(TRIM(C290),FIND(" ",TRIM(C290)&amp;" ")-1),",","."),"."),LEFT(SUBSTITUTE(LEFT(TRIM(C290),FIND(" ",TRIM(C290)&amp;" ")-1),",","."),FIND("/",SUBSTITUTE(LEFT(TRIM(C290),FIND(" ",TRIM(C290)&amp;" ")-1),",","."))-1)/MID(SUBSTITUTE(LEFT(TRIM(C290),FIND(" ",TRIM(C290)&amp;" ")-1),",","."),FIND("/",SUBSTITUTE(LEFT(TRIM(C290),FIND(" ",TRIM(C290)&amp;" ")-1),",","."))+1,9))*12,NA()))),0),24)*'Aturan &amp; Tarif'!$B$4,2)</f>
        <v>1362.72</v>
      </c>
      <c r="K290" s="32" t="n">
        <f aca="false">'Aturan &amp; Tarif'!$B$5</f>
        <v>2050</v>
      </c>
      <c r="L290" s="32" t="n">
        <f aca="false">'Aturan &amp; Tarif'!$B$6</f>
        <v>350</v>
      </c>
      <c r="M290" s="35" t="n">
        <f aca="false">I290+J290+K290+L290</f>
        <v>28212.72</v>
      </c>
      <c r="N290" s="37" t="s">
        <v>1471</v>
      </c>
    </row>
    <row r="291" customFormat="false" ht="14.25" hidden="false" customHeight="true" outlineLevel="0" collapsed="false">
      <c r="A291" s="29"/>
      <c r="B291" s="30" t="s">
        <v>1473</v>
      </c>
      <c r="C291" s="31" t="s">
        <v>107</v>
      </c>
      <c r="D291" s="31" t="s">
        <v>108</v>
      </c>
      <c r="E291" s="32" t="n">
        <v>13125</v>
      </c>
      <c r="F291" s="32"/>
      <c r="G291" s="32" t="n">
        <v>150</v>
      </c>
      <c r="H291" s="33" t="n">
        <v>2</v>
      </c>
      <c r="I291" s="34" t="n">
        <f aca="false">E291*H291+N(F291)+N(G291)</f>
        <v>26400</v>
      </c>
      <c r="J291" s="32" t="n">
        <f aca="false">ROUND(IFERROR(ROUND(IF(OR(ISNUMBER(SEARCH("week",C291)),ISNUMBER(SEARCH("minggu",C291))),IFERROR(_xlfn.NUMBERVALUE(SUBSTITUTE(LEFT(TRIM(C291),FIND(" ",TRIM(C291)&amp;" ")-1),",","."),"."),LEFT(SUBSTITUTE(LEFT(TRIM(C291),FIND(" ",TRIM(C291)&amp;" ")-1),",","."),FIND("/",SUBSTITUTE(LEFT(TRIM(C291),FIND(" ",TRIM(C291)&amp;" ")-1),",","."))-1)/MID(SUBSTITUTE(LEFT(TRIM(C291),FIND(" ",TRIM(C291)&amp;" ")-1),",","."),FIND("/",SUBSTITUTE(LEFT(TRIM(C291),FIND(" ",TRIM(C291)&amp;" ")-1),",","."))+1,9))*12/52,IF(ISNUMBER(SEARCH("month",C291)),IFERROR(_xlfn.NUMBERVALUE(SUBSTITUTE(LEFT(TRIM(C291),FIND(" ",TRIM(C291)&amp;" ")-1),",","."),"."),LEFT(SUBSTITUTE(LEFT(TRIM(C291),FIND(" ",TRIM(C291)&amp;" ")-1),",","."),FIND("/",SUBSTITUTE(LEFT(TRIM(C291),FIND(" ",TRIM(C291)&amp;" ")-1),",","."))-1)/MID(SUBSTITUTE(LEFT(TRIM(C291),FIND(" ",TRIM(C291)&amp;" ")-1),",","."),FIND("/",SUBSTITUTE(LEFT(TRIM(C291),FIND(" ",TRIM(C291)&amp;" ")-1),",","."))+1,9)),IF(ISNUMBER(SEARCH("yea",C291)),IFERROR(_xlfn.NUMBERVALUE(SUBSTITUTE(LEFT(TRIM(C291),FIND(" ",TRIM(C291)&amp;" ")-1),",","."),"."),LEFT(SUBSTITUTE(LEFT(TRIM(C291),FIND(" ",TRIM(C291)&amp;" ")-1),",","."),FIND("/",SUBSTITUTE(LEFT(TRIM(C291),FIND(" ",TRIM(C291)&amp;" ")-1),",","."))-1)/MID(SUBSTITUTE(LEFT(TRIM(C291),FIND(" ",TRIM(C291)&amp;" ")-1),",","."),FIND("/",SUBSTITUTE(LEFT(TRIM(C291),FIND(" ",TRIM(C291)&amp;" ")-1),",","."))+1,9))*12,NA()))),0),24)*'Aturan &amp; Tarif'!$B$4,2)</f>
        <v>1362.72</v>
      </c>
      <c r="K291" s="32" t="n">
        <f aca="false">'Aturan &amp; Tarif'!$B$5</f>
        <v>2050</v>
      </c>
      <c r="L291" s="32" t="n">
        <f aca="false">'Aturan &amp; Tarif'!$B$6</f>
        <v>350</v>
      </c>
      <c r="M291" s="35" t="n">
        <f aca="false">I291+J291+K291+L291</f>
        <v>30162.72</v>
      </c>
      <c r="N291" s="37" t="s">
        <v>846</v>
      </c>
    </row>
    <row r="292" customFormat="false" ht="14.25" hidden="false" customHeight="true" outlineLevel="0" collapsed="false">
      <c r="A292" s="29"/>
      <c r="B292" s="30" t="s">
        <v>1474</v>
      </c>
      <c r="C292" s="31" t="s">
        <v>107</v>
      </c>
      <c r="D292" s="31" t="s">
        <v>108</v>
      </c>
      <c r="E292" s="32" t="n">
        <v>11275</v>
      </c>
      <c r="F292" s="32"/>
      <c r="G292" s="32" t="n">
        <v>150</v>
      </c>
      <c r="H292" s="33" t="n">
        <v>2</v>
      </c>
      <c r="I292" s="34" t="n">
        <f aca="false">E292*H292+N(F292)+N(G292)</f>
        <v>22700</v>
      </c>
      <c r="J292" s="32" t="n">
        <f aca="false">ROUND(IFERROR(ROUND(IF(OR(ISNUMBER(SEARCH("week",C292)),ISNUMBER(SEARCH("minggu",C292))),IFERROR(_xlfn.NUMBERVALUE(SUBSTITUTE(LEFT(TRIM(C292),FIND(" ",TRIM(C292)&amp;" ")-1),",","."),"."),LEFT(SUBSTITUTE(LEFT(TRIM(C292),FIND(" ",TRIM(C292)&amp;" ")-1),",","."),FIND("/",SUBSTITUTE(LEFT(TRIM(C292),FIND(" ",TRIM(C292)&amp;" ")-1),",","."))-1)/MID(SUBSTITUTE(LEFT(TRIM(C292),FIND(" ",TRIM(C292)&amp;" ")-1),",","."),FIND("/",SUBSTITUTE(LEFT(TRIM(C292),FIND(" ",TRIM(C292)&amp;" ")-1),",","."))+1,9))*12/52,IF(ISNUMBER(SEARCH("month",C292)),IFERROR(_xlfn.NUMBERVALUE(SUBSTITUTE(LEFT(TRIM(C292),FIND(" ",TRIM(C292)&amp;" ")-1),",","."),"."),LEFT(SUBSTITUTE(LEFT(TRIM(C292),FIND(" ",TRIM(C292)&amp;" ")-1),",","."),FIND("/",SUBSTITUTE(LEFT(TRIM(C292),FIND(" ",TRIM(C292)&amp;" ")-1),",","."))-1)/MID(SUBSTITUTE(LEFT(TRIM(C292),FIND(" ",TRIM(C292)&amp;" ")-1),",","."),FIND("/",SUBSTITUTE(LEFT(TRIM(C292),FIND(" ",TRIM(C292)&amp;" ")-1),",","."))+1,9)),IF(ISNUMBER(SEARCH("yea",C292)),IFERROR(_xlfn.NUMBERVALUE(SUBSTITUTE(LEFT(TRIM(C292),FIND(" ",TRIM(C292)&amp;" ")-1),",","."),"."),LEFT(SUBSTITUTE(LEFT(TRIM(C292),FIND(" ",TRIM(C292)&amp;" ")-1),",","."),FIND("/",SUBSTITUTE(LEFT(TRIM(C292),FIND(" ",TRIM(C292)&amp;" ")-1),",","."))-1)/MID(SUBSTITUTE(LEFT(TRIM(C292),FIND(" ",TRIM(C292)&amp;" ")-1),",","."),FIND("/",SUBSTITUTE(LEFT(TRIM(C292),FIND(" ",TRIM(C292)&amp;" ")-1),",","."))+1,9))*12,NA()))),0),24)*'Aturan &amp; Tarif'!$B$4,2)</f>
        <v>1362.72</v>
      </c>
      <c r="K292" s="32" t="n">
        <f aca="false">'Aturan &amp; Tarif'!$B$5</f>
        <v>2050</v>
      </c>
      <c r="L292" s="32" t="n">
        <f aca="false">'Aturan &amp; Tarif'!$B$6</f>
        <v>350</v>
      </c>
      <c r="M292" s="35" t="n">
        <f aca="false">I292+J292+K292+L292</f>
        <v>26462.72</v>
      </c>
      <c r="N292" s="37" t="s">
        <v>846</v>
      </c>
    </row>
    <row r="293" customFormat="false" ht="14.25" hidden="false" customHeight="true" outlineLevel="0" collapsed="false">
      <c r="A293" s="29"/>
      <c r="B293" s="30" t="s">
        <v>1475</v>
      </c>
      <c r="C293" s="31" t="s">
        <v>107</v>
      </c>
      <c r="D293" s="31" t="s">
        <v>108</v>
      </c>
      <c r="E293" s="32" t="n">
        <v>12425</v>
      </c>
      <c r="F293" s="32"/>
      <c r="G293" s="32" t="n">
        <v>150</v>
      </c>
      <c r="H293" s="33" t="n">
        <v>2</v>
      </c>
      <c r="I293" s="34" t="n">
        <f aca="false">E293*H293+N(F293)+N(G293)</f>
        <v>25000</v>
      </c>
      <c r="J293" s="32" t="n">
        <f aca="false">ROUND(IFERROR(ROUND(IF(OR(ISNUMBER(SEARCH("week",C293)),ISNUMBER(SEARCH("minggu",C293))),IFERROR(_xlfn.NUMBERVALUE(SUBSTITUTE(LEFT(TRIM(C293),FIND(" ",TRIM(C293)&amp;" ")-1),",","."),"."),LEFT(SUBSTITUTE(LEFT(TRIM(C293),FIND(" ",TRIM(C293)&amp;" ")-1),",","."),FIND("/",SUBSTITUTE(LEFT(TRIM(C293),FIND(" ",TRIM(C293)&amp;" ")-1),",","."))-1)/MID(SUBSTITUTE(LEFT(TRIM(C293),FIND(" ",TRIM(C293)&amp;" ")-1),",","."),FIND("/",SUBSTITUTE(LEFT(TRIM(C293),FIND(" ",TRIM(C293)&amp;" ")-1),",","."))+1,9))*12/52,IF(ISNUMBER(SEARCH("month",C293)),IFERROR(_xlfn.NUMBERVALUE(SUBSTITUTE(LEFT(TRIM(C293),FIND(" ",TRIM(C293)&amp;" ")-1),",","."),"."),LEFT(SUBSTITUTE(LEFT(TRIM(C293),FIND(" ",TRIM(C293)&amp;" ")-1),",","."),FIND("/",SUBSTITUTE(LEFT(TRIM(C293),FIND(" ",TRIM(C293)&amp;" ")-1),",","."))-1)/MID(SUBSTITUTE(LEFT(TRIM(C293),FIND(" ",TRIM(C293)&amp;" ")-1),",","."),FIND("/",SUBSTITUTE(LEFT(TRIM(C293),FIND(" ",TRIM(C293)&amp;" ")-1),",","."))+1,9)),IF(ISNUMBER(SEARCH("yea",C293)),IFERROR(_xlfn.NUMBERVALUE(SUBSTITUTE(LEFT(TRIM(C293),FIND(" ",TRIM(C293)&amp;" ")-1),",","."),"."),LEFT(SUBSTITUTE(LEFT(TRIM(C293),FIND(" ",TRIM(C293)&amp;" ")-1),",","."),FIND("/",SUBSTITUTE(LEFT(TRIM(C293),FIND(" ",TRIM(C293)&amp;" ")-1),",","."))-1)/MID(SUBSTITUTE(LEFT(TRIM(C293),FIND(" ",TRIM(C293)&amp;" ")-1),",","."),FIND("/",SUBSTITUTE(LEFT(TRIM(C293),FIND(" ",TRIM(C293)&amp;" ")-1),",","."))+1,9))*12,NA()))),0),24)*'Aturan &amp; Tarif'!$B$4,2)</f>
        <v>1362.72</v>
      </c>
      <c r="K293" s="32" t="n">
        <f aca="false">'Aturan &amp; Tarif'!$B$5</f>
        <v>2050</v>
      </c>
      <c r="L293" s="32" t="n">
        <f aca="false">'Aturan &amp; Tarif'!$B$6</f>
        <v>350</v>
      </c>
      <c r="M293" s="35" t="n">
        <f aca="false">I293+J293+K293+L293</f>
        <v>28762.72</v>
      </c>
      <c r="N293" s="37" t="s">
        <v>846</v>
      </c>
    </row>
    <row r="294" customFormat="false" ht="14.25" hidden="false" customHeight="true" outlineLevel="0" collapsed="false">
      <c r="A294" s="29"/>
      <c r="B294" s="30" t="s">
        <v>1476</v>
      </c>
      <c r="C294" s="31" t="s">
        <v>130</v>
      </c>
      <c r="D294" s="31" t="s">
        <v>108</v>
      </c>
      <c r="E294" s="32" t="n">
        <v>32425</v>
      </c>
      <c r="F294" s="32"/>
      <c r="G294" s="32" t="n">
        <v>150</v>
      </c>
      <c r="H294" s="33" t="n">
        <v>2</v>
      </c>
      <c r="I294" s="34" t="n">
        <f aca="false">E294*H294+N(F294)+N(G294)</f>
        <v>65000</v>
      </c>
      <c r="J294" s="32" t="n">
        <f aca="false">ROUND(IFERROR(ROUND(IF(OR(ISNUMBER(SEARCH("week",C294)),ISNUMBER(SEARCH("minggu",C294))),IFERROR(_xlfn.NUMBERVALUE(SUBSTITUTE(LEFT(TRIM(C294),FIND(" ",TRIM(C294)&amp;" ")-1),",","."),"."),LEFT(SUBSTITUTE(LEFT(TRIM(C294),FIND(" ",TRIM(C294)&amp;" ")-1),",","."),FIND("/",SUBSTITUTE(LEFT(TRIM(C294),FIND(" ",TRIM(C294)&amp;" ")-1),",","."))-1)/MID(SUBSTITUTE(LEFT(TRIM(C294),FIND(" ",TRIM(C294)&amp;" ")-1),",","."),FIND("/",SUBSTITUTE(LEFT(TRIM(C294),FIND(" ",TRIM(C294)&amp;" ")-1),",","."))+1,9))*12/52,IF(ISNUMBER(SEARCH("month",C294)),IFERROR(_xlfn.NUMBERVALUE(SUBSTITUTE(LEFT(TRIM(C294),FIND(" ",TRIM(C294)&amp;" ")-1),",","."),"."),LEFT(SUBSTITUTE(LEFT(TRIM(C294),FIND(" ",TRIM(C294)&amp;" ")-1),",","."),FIND("/",SUBSTITUTE(LEFT(TRIM(C294),FIND(" ",TRIM(C294)&amp;" ")-1),",","."))-1)/MID(SUBSTITUTE(LEFT(TRIM(C294),FIND(" ",TRIM(C294)&amp;" ")-1),",","."),FIND("/",SUBSTITUTE(LEFT(TRIM(C294),FIND(" ",TRIM(C294)&amp;" ")-1),",","."))+1,9)),IF(ISNUMBER(SEARCH("yea",C294)),IFERROR(_xlfn.NUMBERVALUE(SUBSTITUTE(LEFT(TRIM(C294),FIND(" ",TRIM(C294)&amp;" ")-1),",","."),"."),LEFT(SUBSTITUTE(LEFT(TRIM(C294),FIND(" ",TRIM(C294)&amp;" ")-1),",","."),FIND("/",SUBSTITUTE(LEFT(TRIM(C294),FIND(" ",TRIM(C294)&amp;" ")-1),",","."))-1)/MID(SUBSTITUTE(LEFT(TRIM(C294),FIND(" ",TRIM(C294)&amp;" ")-1),",","."),FIND("/",SUBSTITUTE(LEFT(TRIM(C294),FIND(" ",TRIM(C294)&amp;" ")-1),",","."))+1,9))*12,NA()))),0),12)*'Aturan &amp; Tarif'!$B$4,2)</f>
        <v>681.36</v>
      </c>
      <c r="K294" s="32" t="n">
        <f aca="false">'Aturan &amp; Tarif'!$B$5</f>
        <v>2050</v>
      </c>
      <c r="L294" s="32" t="n">
        <f aca="false">'Aturan &amp; Tarif'!$B$6</f>
        <v>350</v>
      </c>
      <c r="M294" s="35" t="n">
        <f aca="false">I294+J294+K294+L294</f>
        <v>68081.36</v>
      </c>
      <c r="N294" s="37" t="s">
        <v>1477</v>
      </c>
    </row>
    <row r="295" customFormat="false" ht="25.5" hidden="false" customHeight="true" outlineLevel="0" collapsed="false">
      <c r="A295" s="29"/>
      <c r="B295" s="30" t="s">
        <v>1478</v>
      </c>
      <c r="C295" s="31" t="s">
        <v>107</v>
      </c>
      <c r="D295" s="31" t="s">
        <v>108</v>
      </c>
      <c r="E295" s="32" t="n">
        <v>13125</v>
      </c>
      <c r="F295" s="32"/>
      <c r="G295" s="32" t="n">
        <v>150</v>
      </c>
      <c r="H295" s="33" t="n">
        <v>2</v>
      </c>
      <c r="I295" s="34" t="n">
        <f aca="false">E295*H295+N(F295)+N(G295)</f>
        <v>26400</v>
      </c>
      <c r="J295" s="32" t="n">
        <f aca="false">ROUND(IFERROR(ROUND(IF(OR(ISNUMBER(SEARCH("week",C295)),ISNUMBER(SEARCH("minggu",C295))),IFERROR(_xlfn.NUMBERVALUE(SUBSTITUTE(LEFT(TRIM(C295),FIND(" ",TRIM(C295)&amp;" ")-1),",","."),"."),LEFT(SUBSTITUTE(LEFT(TRIM(C295),FIND(" ",TRIM(C295)&amp;" ")-1),",","."),FIND("/",SUBSTITUTE(LEFT(TRIM(C295),FIND(" ",TRIM(C295)&amp;" ")-1),",","."))-1)/MID(SUBSTITUTE(LEFT(TRIM(C295),FIND(" ",TRIM(C295)&amp;" ")-1),",","."),FIND("/",SUBSTITUTE(LEFT(TRIM(C295),FIND(" ",TRIM(C295)&amp;" ")-1),",","."))+1,9))*12/52,IF(ISNUMBER(SEARCH("month",C295)),IFERROR(_xlfn.NUMBERVALUE(SUBSTITUTE(LEFT(TRIM(C295),FIND(" ",TRIM(C295)&amp;" ")-1),",","."),"."),LEFT(SUBSTITUTE(LEFT(TRIM(C295),FIND(" ",TRIM(C295)&amp;" ")-1),",","."),FIND("/",SUBSTITUTE(LEFT(TRIM(C295),FIND(" ",TRIM(C295)&amp;" ")-1),",","."))-1)/MID(SUBSTITUTE(LEFT(TRIM(C295),FIND(" ",TRIM(C295)&amp;" ")-1),",","."),FIND("/",SUBSTITUTE(LEFT(TRIM(C295),FIND(" ",TRIM(C295)&amp;" ")-1),",","."))+1,9)),IF(ISNUMBER(SEARCH("yea",C295)),IFERROR(_xlfn.NUMBERVALUE(SUBSTITUTE(LEFT(TRIM(C295),FIND(" ",TRIM(C295)&amp;" ")-1),",","."),"."),LEFT(SUBSTITUTE(LEFT(TRIM(C295),FIND(" ",TRIM(C295)&amp;" ")-1),",","."),FIND("/",SUBSTITUTE(LEFT(TRIM(C295),FIND(" ",TRIM(C295)&amp;" ")-1),",","."))-1)/MID(SUBSTITUTE(LEFT(TRIM(C295),FIND(" ",TRIM(C295)&amp;" ")-1),",","."),FIND("/",SUBSTITUTE(LEFT(TRIM(C295),FIND(" ",TRIM(C295)&amp;" ")-1),",","."))+1,9))*12,NA()))),0),24)*'Aturan &amp; Tarif'!$B$4,2)</f>
        <v>1362.72</v>
      </c>
      <c r="K295" s="32" t="n">
        <f aca="false">'Aturan &amp; Tarif'!$B$5</f>
        <v>2050</v>
      </c>
      <c r="L295" s="32" t="n">
        <f aca="false">'Aturan &amp; Tarif'!$B$6</f>
        <v>350</v>
      </c>
      <c r="M295" s="35" t="n">
        <f aca="false">I295+J295+K295+L295</f>
        <v>30162.72</v>
      </c>
      <c r="N295" s="37" t="s">
        <v>1479</v>
      </c>
    </row>
    <row r="296" customFormat="false" ht="25.5" hidden="false" customHeight="true" outlineLevel="0" collapsed="false">
      <c r="A296" s="29"/>
      <c r="B296" s="30" t="s">
        <v>1480</v>
      </c>
      <c r="C296" s="31" t="s">
        <v>107</v>
      </c>
      <c r="D296" s="31" t="s">
        <v>108</v>
      </c>
      <c r="E296" s="32" t="n">
        <v>13125</v>
      </c>
      <c r="F296" s="32"/>
      <c r="G296" s="32" t="n">
        <v>150</v>
      </c>
      <c r="H296" s="33" t="n">
        <v>2</v>
      </c>
      <c r="I296" s="34" t="n">
        <f aca="false">E296*H296+N(F296)+N(G296)</f>
        <v>26400</v>
      </c>
      <c r="J296" s="32" t="n">
        <f aca="false">ROUND(IFERROR(ROUND(IF(OR(ISNUMBER(SEARCH("week",C296)),ISNUMBER(SEARCH("minggu",C296))),IFERROR(_xlfn.NUMBERVALUE(SUBSTITUTE(LEFT(TRIM(C296),FIND(" ",TRIM(C296)&amp;" ")-1),",","."),"."),LEFT(SUBSTITUTE(LEFT(TRIM(C296),FIND(" ",TRIM(C296)&amp;" ")-1),",","."),FIND("/",SUBSTITUTE(LEFT(TRIM(C296),FIND(" ",TRIM(C296)&amp;" ")-1),",","."))-1)/MID(SUBSTITUTE(LEFT(TRIM(C296),FIND(" ",TRIM(C296)&amp;" ")-1),",","."),FIND("/",SUBSTITUTE(LEFT(TRIM(C296),FIND(" ",TRIM(C296)&amp;" ")-1),",","."))+1,9))*12/52,IF(ISNUMBER(SEARCH("month",C296)),IFERROR(_xlfn.NUMBERVALUE(SUBSTITUTE(LEFT(TRIM(C296),FIND(" ",TRIM(C296)&amp;" ")-1),",","."),"."),LEFT(SUBSTITUTE(LEFT(TRIM(C296),FIND(" ",TRIM(C296)&amp;" ")-1),",","."),FIND("/",SUBSTITUTE(LEFT(TRIM(C296),FIND(" ",TRIM(C296)&amp;" ")-1),",","."))-1)/MID(SUBSTITUTE(LEFT(TRIM(C296),FIND(" ",TRIM(C296)&amp;" ")-1),",","."),FIND("/",SUBSTITUTE(LEFT(TRIM(C296),FIND(" ",TRIM(C296)&amp;" ")-1),",","."))+1,9)),IF(ISNUMBER(SEARCH("yea",C296)),IFERROR(_xlfn.NUMBERVALUE(SUBSTITUTE(LEFT(TRIM(C296),FIND(" ",TRIM(C296)&amp;" ")-1),",","."),"."),LEFT(SUBSTITUTE(LEFT(TRIM(C296),FIND(" ",TRIM(C296)&amp;" ")-1),",","."),FIND("/",SUBSTITUTE(LEFT(TRIM(C296),FIND(" ",TRIM(C296)&amp;" ")-1),",","."))-1)/MID(SUBSTITUTE(LEFT(TRIM(C296),FIND(" ",TRIM(C296)&amp;" ")-1),",","."),FIND("/",SUBSTITUTE(LEFT(TRIM(C296),FIND(" ",TRIM(C296)&amp;" ")-1),",","."))+1,9))*12,NA()))),0),24)*'Aturan &amp; Tarif'!$B$4,2)</f>
        <v>1362.72</v>
      </c>
      <c r="K296" s="32" t="n">
        <f aca="false">'Aturan &amp; Tarif'!$B$5</f>
        <v>2050</v>
      </c>
      <c r="L296" s="32" t="n">
        <f aca="false">'Aturan &amp; Tarif'!$B$6</f>
        <v>350</v>
      </c>
      <c r="M296" s="35" t="n">
        <f aca="false">I296+J296+K296+L296</f>
        <v>30162.72</v>
      </c>
      <c r="N296" s="37" t="s">
        <v>1479</v>
      </c>
    </row>
    <row r="297" customFormat="false" ht="25.5" hidden="false" customHeight="true" outlineLevel="0" collapsed="false">
      <c r="A297" s="29"/>
      <c r="B297" s="30" t="s">
        <v>1481</v>
      </c>
      <c r="C297" s="31" t="s">
        <v>107</v>
      </c>
      <c r="D297" s="31" t="s">
        <v>108</v>
      </c>
      <c r="E297" s="32" t="n">
        <v>13125</v>
      </c>
      <c r="F297" s="32"/>
      <c r="G297" s="32" t="n">
        <v>150</v>
      </c>
      <c r="H297" s="33" t="n">
        <v>2</v>
      </c>
      <c r="I297" s="34" t="n">
        <f aca="false">E297*H297+N(F297)+N(G297)</f>
        <v>26400</v>
      </c>
      <c r="J297" s="32" t="n">
        <f aca="false">ROUND(IFERROR(ROUND(IF(OR(ISNUMBER(SEARCH("week",C297)),ISNUMBER(SEARCH("minggu",C297))),IFERROR(_xlfn.NUMBERVALUE(SUBSTITUTE(LEFT(TRIM(C297),FIND(" ",TRIM(C297)&amp;" ")-1),",","."),"."),LEFT(SUBSTITUTE(LEFT(TRIM(C297),FIND(" ",TRIM(C297)&amp;" ")-1),",","."),FIND("/",SUBSTITUTE(LEFT(TRIM(C297),FIND(" ",TRIM(C297)&amp;" ")-1),",","."))-1)/MID(SUBSTITUTE(LEFT(TRIM(C297),FIND(" ",TRIM(C297)&amp;" ")-1),",","."),FIND("/",SUBSTITUTE(LEFT(TRIM(C297),FIND(" ",TRIM(C297)&amp;" ")-1),",","."))+1,9))*12/52,IF(ISNUMBER(SEARCH("month",C297)),IFERROR(_xlfn.NUMBERVALUE(SUBSTITUTE(LEFT(TRIM(C297),FIND(" ",TRIM(C297)&amp;" ")-1),",","."),"."),LEFT(SUBSTITUTE(LEFT(TRIM(C297),FIND(" ",TRIM(C297)&amp;" ")-1),",","."),FIND("/",SUBSTITUTE(LEFT(TRIM(C297),FIND(" ",TRIM(C297)&amp;" ")-1),",","."))-1)/MID(SUBSTITUTE(LEFT(TRIM(C297),FIND(" ",TRIM(C297)&amp;" ")-1),",","."),FIND("/",SUBSTITUTE(LEFT(TRIM(C297),FIND(" ",TRIM(C297)&amp;" ")-1),",","."))+1,9)),IF(ISNUMBER(SEARCH("yea",C297)),IFERROR(_xlfn.NUMBERVALUE(SUBSTITUTE(LEFT(TRIM(C297),FIND(" ",TRIM(C297)&amp;" ")-1),",","."),"."),LEFT(SUBSTITUTE(LEFT(TRIM(C297),FIND(" ",TRIM(C297)&amp;" ")-1),",","."),FIND("/",SUBSTITUTE(LEFT(TRIM(C297),FIND(" ",TRIM(C297)&amp;" ")-1),",","."))-1)/MID(SUBSTITUTE(LEFT(TRIM(C297),FIND(" ",TRIM(C297)&amp;" ")-1),",","."),FIND("/",SUBSTITUTE(LEFT(TRIM(C297),FIND(" ",TRIM(C297)&amp;" ")-1),",","."))+1,9))*12,NA()))),0),24)*'Aturan &amp; Tarif'!$B$4,2)</f>
        <v>1362.72</v>
      </c>
      <c r="K297" s="32" t="n">
        <f aca="false">'Aturan &amp; Tarif'!$B$5</f>
        <v>2050</v>
      </c>
      <c r="L297" s="32" t="n">
        <f aca="false">'Aturan &amp; Tarif'!$B$6</f>
        <v>350</v>
      </c>
      <c r="M297" s="35" t="n">
        <f aca="false">I297+J297+K297+L297</f>
        <v>30162.72</v>
      </c>
      <c r="N297" s="37" t="s">
        <v>1479</v>
      </c>
    </row>
    <row r="298" customFormat="false" ht="37.5" hidden="false" customHeight="true" outlineLevel="0" collapsed="false">
      <c r="A298" s="29"/>
      <c r="B298" s="30" t="s">
        <v>1482</v>
      </c>
      <c r="C298" s="31" t="s">
        <v>107</v>
      </c>
      <c r="D298" s="31" t="s">
        <v>108</v>
      </c>
      <c r="E298" s="32" t="n">
        <v>13125</v>
      </c>
      <c r="F298" s="32"/>
      <c r="G298" s="32" t="n">
        <v>150</v>
      </c>
      <c r="H298" s="33" t="n">
        <v>2</v>
      </c>
      <c r="I298" s="34" t="n">
        <f aca="false">E298*H298+N(F298)+N(G298)</f>
        <v>26400</v>
      </c>
      <c r="J298" s="32" t="n">
        <f aca="false">ROUND(IFERROR(ROUND(IF(OR(ISNUMBER(SEARCH("week",C298)),ISNUMBER(SEARCH("minggu",C298))),IFERROR(_xlfn.NUMBERVALUE(SUBSTITUTE(LEFT(TRIM(C298),FIND(" ",TRIM(C298)&amp;" ")-1),",","."),"."),LEFT(SUBSTITUTE(LEFT(TRIM(C298),FIND(" ",TRIM(C298)&amp;" ")-1),",","."),FIND("/",SUBSTITUTE(LEFT(TRIM(C298),FIND(" ",TRIM(C298)&amp;" ")-1),",","."))-1)/MID(SUBSTITUTE(LEFT(TRIM(C298),FIND(" ",TRIM(C298)&amp;" ")-1),",","."),FIND("/",SUBSTITUTE(LEFT(TRIM(C298),FIND(" ",TRIM(C298)&amp;" ")-1),",","."))+1,9))*12/52,IF(ISNUMBER(SEARCH("month",C298)),IFERROR(_xlfn.NUMBERVALUE(SUBSTITUTE(LEFT(TRIM(C298),FIND(" ",TRIM(C298)&amp;" ")-1),",","."),"."),LEFT(SUBSTITUTE(LEFT(TRIM(C298),FIND(" ",TRIM(C298)&amp;" ")-1),",","."),FIND("/",SUBSTITUTE(LEFT(TRIM(C298),FIND(" ",TRIM(C298)&amp;" ")-1),",","."))-1)/MID(SUBSTITUTE(LEFT(TRIM(C298),FIND(" ",TRIM(C298)&amp;" ")-1),",","."),FIND("/",SUBSTITUTE(LEFT(TRIM(C298),FIND(" ",TRIM(C298)&amp;" ")-1),",","."))+1,9)),IF(ISNUMBER(SEARCH("yea",C298)),IFERROR(_xlfn.NUMBERVALUE(SUBSTITUTE(LEFT(TRIM(C298),FIND(" ",TRIM(C298)&amp;" ")-1),",","."),"."),LEFT(SUBSTITUTE(LEFT(TRIM(C298),FIND(" ",TRIM(C298)&amp;" ")-1),",","."),FIND("/",SUBSTITUTE(LEFT(TRIM(C298),FIND(" ",TRIM(C298)&amp;" ")-1),",","."))-1)/MID(SUBSTITUTE(LEFT(TRIM(C298),FIND(" ",TRIM(C298)&amp;" ")-1),",","."),FIND("/",SUBSTITUTE(LEFT(TRIM(C298),FIND(" ",TRIM(C298)&amp;" ")-1),",","."))+1,9))*12,NA()))),0),24)*'Aturan &amp; Tarif'!$B$4,2)</f>
        <v>1362.72</v>
      </c>
      <c r="K298" s="32" t="n">
        <f aca="false">'Aturan &amp; Tarif'!$B$5</f>
        <v>2050</v>
      </c>
      <c r="L298" s="32" t="n">
        <f aca="false">'Aturan &amp; Tarif'!$B$6</f>
        <v>350</v>
      </c>
      <c r="M298" s="35" t="n">
        <f aca="false">I298+J298+K298+L298</f>
        <v>30162.72</v>
      </c>
      <c r="N298" s="37" t="s">
        <v>1479</v>
      </c>
    </row>
    <row r="299" customFormat="false" ht="25.5" hidden="false" customHeight="true" outlineLevel="0" collapsed="false">
      <c r="A299" s="29"/>
      <c r="B299" s="30" t="s">
        <v>1483</v>
      </c>
      <c r="C299" s="31" t="s">
        <v>107</v>
      </c>
      <c r="D299" s="31" t="s">
        <v>108</v>
      </c>
      <c r="E299" s="32" t="n">
        <v>13125</v>
      </c>
      <c r="F299" s="32"/>
      <c r="G299" s="32" t="n">
        <v>150</v>
      </c>
      <c r="H299" s="33" t="n">
        <v>2</v>
      </c>
      <c r="I299" s="34" t="n">
        <f aca="false">E299*H299+N(F299)+N(G299)</f>
        <v>26400</v>
      </c>
      <c r="J299" s="32" t="n">
        <f aca="false">ROUND(IFERROR(ROUND(IF(OR(ISNUMBER(SEARCH("week",C299)),ISNUMBER(SEARCH("minggu",C299))),IFERROR(_xlfn.NUMBERVALUE(SUBSTITUTE(LEFT(TRIM(C299),FIND(" ",TRIM(C299)&amp;" ")-1),",","."),"."),LEFT(SUBSTITUTE(LEFT(TRIM(C299),FIND(" ",TRIM(C299)&amp;" ")-1),",","."),FIND("/",SUBSTITUTE(LEFT(TRIM(C299),FIND(" ",TRIM(C299)&amp;" ")-1),",","."))-1)/MID(SUBSTITUTE(LEFT(TRIM(C299),FIND(" ",TRIM(C299)&amp;" ")-1),",","."),FIND("/",SUBSTITUTE(LEFT(TRIM(C299),FIND(" ",TRIM(C299)&amp;" ")-1),",","."))+1,9))*12/52,IF(ISNUMBER(SEARCH("month",C299)),IFERROR(_xlfn.NUMBERVALUE(SUBSTITUTE(LEFT(TRIM(C299),FIND(" ",TRIM(C299)&amp;" ")-1),",","."),"."),LEFT(SUBSTITUTE(LEFT(TRIM(C299),FIND(" ",TRIM(C299)&amp;" ")-1),",","."),FIND("/",SUBSTITUTE(LEFT(TRIM(C299),FIND(" ",TRIM(C299)&amp;" ")-1),",","."))-1)/MID(SUBSTITUTE(LEFT(TRIM(C299),FIND(" ",TRIM(C299)&amp;" ")-1),",","."),FIND("/",SUBSTITUTE(LEFT(TRIM(C299),FIND(" ",TRIM(C299)&amp;" ")-1),",","."))+1,9)),IF(ISNUMBER(SEARCH("yea",C299)),IFERROR(_xlfn.NUMBERVALUE(SUBSTITUTE(LEFT(TRIM(C299),FIND(" ",TRIM(C299)&amp;" ")-1),",","."),"."),LEFT(SUBSTITUTE(LEFT(TRIM(C299),FIND(" ",TRIM(C299)&amp;" ")-1),",","."),FIND("/",SUBSTITUTE(LEFT(TRIM(C299),FIND(" ",TRIM(C299)&amp;" ")-1),",","."))-1)/MID(SUBSTITUTE(LEFT(TRIM(C299),FIND(" ",TRIM(C299)&amp;" ")-1),",","."),FIND("/",SUBSTITUTE(LEFT(TRIM(C299),FIND(" ",TRIM(C299)&amp;" ")-1),",","."))+1,9))*12,NA()))),0),24)*'Aturan &amp; Tarif'!$B$4,2)</f>
        <v>1362.72</v>
      </c>
      <c r="K299" s="32" t="n">
        <f aca="false">'Aturan &amp; Tarif'!$B$5</f>
        <v>2050</v>
      </c>
      <c r="L299" s="32" t="n">
        <f aca="false">'Aturan &amp; Tarif'!$B$6</f>
        <v>350</v>
      </c>
      <c r="M299" s="35" t="n">
        <f aca="false">I299+J299+K299+L299</f>
        <v>30162.72</v>
      </c>
      <c r="N299" s="37" t="s">
        <v>1479</v>
      </c>
    </row>
    <row r="300" customFormat="false" ht="37.5" hidden="false" customHeight="true" outlineLevel="0" collapsed="false">
      <c r="A300" s="29"/>
      <c r="B300" s="30" t="s">
        <v>1484</v>
      </c>
      <c r="C300" s="31" t="s">
        <v>107</v>
      </c>
      <c r="D300" s="31" t="s">
        <v>108</v>
      </c>
      <c r="E300" s="32" t="n">
        <v>13125</v>
      </c>
      <c r="F300" s="32"/>
      <c r="G300" s="32" t="n">
        <v>150</v>
      </c>
      <c r="H300" s="33" t="n">
        <v>2</v>
      </c>
      <c r="I300" s="34" t="n">
        <f aca="false">E300*H300+N(F300)+N(G300)</f>
        <v>26400</v>
      </c>
      <c r="J300" s="32" t="n">
        <f aca="false">ROUND(IFERROR(ROUND(IF(OR(ISNUMBER(SEARCH("week",C300)),ISNUMBER(SEARCH("minggu",C300))),IFERROR(_xlfn.NUMBERVALUE(SUBSTITUTE(LEFT(TRIM(C300),FIND(" ",TRIM(C300)&amp;" ")-1),",","."),"."),LEFT(SUBSTITUTE(LEFT(TRIM(C300),FIND(" ",TRIM(C300)&amp;" ")-1),",","."),FIND("/",SUBSTITUTE(LEFT(TRIM(C300),FIND(" ",TRIM(C300)&amp;" ")-1),",","."))-1)/MID(SUBSTITUTE(LEFT(TRIM(C300),FIND(" ",TRIM(C300)&amp;" ")-1),",","."),FIND("/",SUBSTITUTE(LEFT(TRIM(C300),FIND(" ",TRIM(C300)&amp;" ")-1),",","."))+1,9))*12/52,IF(ISNUMBER(SEARCH("month",C300)),IFERROR(_xlfn.NUMBERVALUE(SUBSTITUTE(LEFT(TRIM(C300),FIND(" ",TRIM(C300)&amp;" ")-1),",","."),"."),LEFT(SUBSTITUTE(LEFT(TRIM(C300),FIND(" ",TRIM(C300)&amp;" ")-1),",","."),FIND("/",SUBSTITUTE(LEFT(TRIM(C300),FIND(" ",TRIM(C300)&amp;" ")-1),",","."))-1)/MID(SUBSTITUTE(LEFT(TRIM(C300),FIND(" ",TRIM(C300)&amp;" ")-1),",","."),FIND("/",SUBSTITUTE(LEFT(TRIM(C300),FIND(" ",TRIM(C300)&amp;" ")-1),",","."))+1,9)),IF(ISNUMBER(SEARCH("yea",C300)),IFERROR(_xlfn.NUMBERVALUE(SUBSTITUTE(LEFT(TRIM(C300),FIND(" ",TRIM(C300)&amp;" ")-1),",","."),"."),LEFT(SUBSTITUTE(LEFT(TRIM(C300),FIND(" ",TRIM(C300)&amp;" ")-1),",","."),FIND("/",SUBSTITUTE(LEFT(TRIM(C300),FIND(" ",TRIM(C300)&amp;" ")-1),",","."))-1)/MID(SUBSTITUTE(LEFT(TRIM(C300),FIND(" ",TRIM(C300)&amp;" ")-1),",","."),FIND("/",SUBSTITUTE(LEFT(TRIM(C300),FIND(" ",TRIM(C300)&amp;" ")-1),",","."))+1,9))*12,NA()))),0),24)*'Aturan &amp; Tarif'!$B$4,2)</f>
        <v>1362.72</v>
      </c>
      <c r="K300" s="32" t="n">
        <f aca="false">'Aturan &amp; Tarif'!$B$5</f>
        <v>2050</v>
      </c>
      <c r="L300" s="32" t="n">
        <f aca="false">'Aturan &amp; Tarif'!$B$6</f>
        <v>350</v>
      </c>
      <c r="M300" s="35" t="n">
        <f aca="false">I300+J300+K300+L300</f>
        <v>30162.72</v>
      </c>
      <c r="N300" s="37" t="s">
        <v>1479</v>
      </c>
    </row>
    <row r="301" customFormat="false" ht="25.5" hidden="false" customHeight="true" outlineLevel="0" collapsed="false">
      <c r="A301" s="29"/>
      <c r="B301" s="30" t="s">
        <v>1485</v>
      </c>
      <c r="C301" s="31" t="s">
        <v>107</v>
      </c>
      <c r="D301" s="31" t="s">
        <v>108</v>
      </c>
      <c r="E301" s="32" t="n">
        <v>13125</v>
      </c>
      <c r="F301" s="32"/>
      <c r="G301" s="32" t="n">
        <v>150</v>
      </c>
      <c r="H301" s="33" t="n">
        <v>2</v>
      </c>
      <c r="I301" s="34" t="n">
        <f aca="false">E301*H301+N(F301)+N(G301)</f>
        <v>26400</v>
      </c>
      <c r="J301" s="32" t="n">
        <f aca="false">ROUND(IFERROR(ROUND(IF(OR(ISNUMBER(SEARCH("week",C301)),ISNUMBER(SEARCH("minggu",C301))),IFERROR(_xlfn.NUMBERVALUE(SUBSTITUTE(LEFT(TRIM(C301),FIND(" ",TRIM(C301)&amp;" ")-1),",","."),"."),LEFT(SUBSTITUTE(LEFT(TRIM(C301),FIND(" ",TRIM(C301)&amp;" ")-1),",","."),FIND("/",SUBSTITUTE(LEFT(TRIM(C301),FIND(" ",TRIM(C301)&amp;" ")-1),",","."))-1)/MID(SUBSTITUTE(LEFT(TRIM(C301),FIND(" ",TRIM(C301)&amp;" ")-1),",","."),FIND("/",SUBSTITUTE(LEFT(TRIM(C301),FIND(" ",TRIM(C301)&amp;" ")-1),",","."))+1,9))*12/52,IF(ISNUMBER(SEARCH("month",C301)),IFERROR(_xlfn.NUMBERVALUE(SUBSTITUTE(LEFT(TRIM(C301),FIND(" ",TRIM(C301)&amp;" ")-1),",","."),"."),LEFT(SUBSTITUTE(LEFT(TRIM(C301),FIND(" ",TRIM(C301)&amp;" ")-1),",","."),FIND("/",SUBSTITUTE(LEFT(TRIM(C301),FIND(" ",TRIM(C301)&amp;" ")-1),",","."))-1)/MID(SUBSTITUTE(LEFT(TRIM(C301),FIND(" ",TRIM(C301)&amp;" ")-1),",","."),FIND("/",SUBSTITUTE(LEFT(TRIM(C301),FIND(" ",TRIM(C301)&amp;" ")-1),",","."))+1,9)),IF(ISNUMBER(SEARCH("yea",C301)),IFERROR(_xlfn.NUMBERVALUE(SUBSTITUTE(LEFT(TRIM(C301),FIND(" ",TRIM(C301)&amp;" ")-1),",","."),"."),LEFT(SUBSTITUTE(LEFT(TRIM(C301),FIND(" ",TRIM(C301)&amp;" ")-1),",","."),FIND("/",SUBSTITUTE(LEFT(TRIM(C301),FIND(" ",TRIM(C301)&amp;" ")-1),",","."))-1)/MID(SUBSTITUTE(LEFT(TRIM(C301),FIND(" ",TRIM(C301)&amp;" ")-1),",","."),FIND("/",SUBSTITUTE(LEFT(TRIM(C301),FIND(" ",TRIM(C301)&amp;" ")-1),",","."))+1,9))*12,NA()))),0),24)*'Aturan &amp; Tarif'!$B$4,2)</f>
        <v>1362.72</v>
      </c>
      <c r="K301" s="32" t="n">
        <f aca="false">'Aturan &amp; Tarif'!$B$5</f>
        <v>2050</v>
      </c>
      <c r="L301" s="32" t="n">
        <f aca="false">'Aturan &amp; Tarif'!$B$6</f>
        <v>350</v>
      </c>
      <c r="M301" s="35" t="n">
        <f aca="false">I301+J301+K301+L301</f>
        <v>30162.72</v>
      </c>
      <c r="N301" s="37" t="s">
        <v>1479</v>
      </c>
    </row>
    <row r="302" customFormat="false" ht="14.25" hidden="false" customHeight="true" outlineLevel="0" collapsed="false">
      <c r="A302" s="29"/>
      <c r="B302" s="30" t="s">
        <v>348</v>
      </c>
      <c r="C302" s="31" t="s">
        <v>113</v>
      </c>
      <c r="D302" s="31" t="s">
        <v>108</v>
      </c>
      <c r="E302" s="32" t="n">
        <v>14275</v>
      </c>
      <c r="F302" s="32"/>
      <c r="G302" s="32" t="n">
        <v>150</v>
      </c>
      <c r="H302" s="33" t="n">
        <v>2</v>
      </c>
      <c r="I302" s="34" t="n">
        <f aca="false">E302*H302+N(F302)+N(G302)</f>
        <v>28700</v>
      </c>
      <c r="J302" s="32" t="n">
        <f aca="false">ROUND(IFERROR(ROUND(IF(OR(ISNUMBER(SEARCH("week",C302)),ISNUMBER(SEARCH("minggu",C302))),IFERROR(_xlfn.NUMBERVALUE(SUBSTITUTE(LEFT(TRIM(C302),FIND(" ",TRIM(C302)&amp;" ")-1),",","."),"."),LEFT(SUBSTITUTE(LEFT(TRIM(C302),FIND(" ",TRIM(C302)&amp;" ")-1),",","."),FIND("/",SUBSTITUTE(LEFT(TRIM(C302),FIND(" ",TRIM(C302)&amp;" ")-1),",","."))-1)/MID(SUBSTITUTE(LEFT(TRIM(C302),FIND(" ",TRIM(C302)&amp;" ")-1),",","."),FIND("/",SUBSTITUTE(LEFT(TRIM(C302),FIND(" ",TRIM(C302)&amp;" ")-1),",","."))+1,9))*12/52,IF(ISNUMBER(SEARCH("month",C302)),IFERROR(_xlfn.NUMBERVALUE(SUBSTITUTE(LEFT(TRIM(C302),FIND(" ",TRIM(C302)&amp;" ")-1),",","."),"."),LEFT(SUBSTITUTE(LEFT(TRIM(C302),FIND(" ",TRIM(C302)&amp;" ")-1),",","."),FIND("/",SUBSTITUTE(LEFT(TRIM(C302),FIND(" ",TRIM(C302)&amp;" ")-1),",","."))-1)/MID(SUBSTITUTE(LEFT(TRIM(C302),FIND(" ",TRIM(C302)&amp;" ")-1),",","."),FIND("/",SUBSTITUTE(LEFT(TRIM(C302),FIND(" ",TRIM(C302)&amp;" ")-1),",","."))+1,9)),IF(ISNUMBER(SEARCH("yea",C302)),IFERROR(_xlfn.NUMBERVALUE(SUBSTITUTE(LEFT(TRIM(C302),FIND(" ",TRIM(C302)&amp;" ")-1),",","."),"."),LEFT(SUBSTITUTE(LEFT(TRIM(C302),FIND(" ",TRIM(C302)&amp;" ")-1),",","."),FIND("/",SUBSTITUTE(LEFT(TRIM(C302),FIND(" ",TRIM(C302)&amp;" ")-1),",","."))-1)/MID(SUBSTITUTE(LEFT(TRIM(C302),FIND(" ",TRIM(C302)&amp;" ")-1),",","."),FIND("/",SUBSTITUTE(LEFT(TRIM(C302),FIND(" ",TRIM(C302)&amp;" ")-1),",","."))+1,9))*12,NA()))),0),18)*'Aturan &amp; Tarif'!$B$4,2)</f>
        <v>1022.04</v>
      </c>
      <c r="K302" s="32" t="n">
        <f aca="false">'Aturan &amp; Tarif'!$B$5</f>
        <v>2050</v>
      </c>
      <c r="L302" s="32" t="n">
        <f aca="false">'Aturan &amp; Tarif'!$B$6</f>
        <v>350</v>
      </c>
      <c r="M302" s="35" t="n">
        <f aca="false">I302+J302+K302+L302</f>
        <v>32122.04</v>
      </c>
      <c r="N302" s="37" t="s">
        <v>1486</v>
      </c>
    </row>
    <row r="303" customFormat="false" ht="25.5" hidden="false" customHeight="true" outlineLevel="0" collapsed="false">
      <c r="A303" s="29"/>
      <c r="B303" s="30" t="s">
        <v>1487</v>
      </c>
      <c r="C303" s="31" t="s">
        <v>113</v>
      </c>
      <c r="D303" s="31" t="s">
        <v>108</v>
      </c>
      <c r="E303" s="32" t="n">
        <v>14275</v>
      </c>
      <c r="F303" s="32"/>
      <c r="G303" s="32" t="n">
        <v>150</v>
      </c>
      <c r="H303" s="33" t="n">
        <v>2</v>
      </c>
      <c r="I303" s="34" t="n">
        <f aca="false">E303*H303+N(F303)+N(G303)</f>
        <v>28700</v>
      </c>
      <c r="J303" s="32" t="n">
        <f aca="false">ROUND(IFERROR(ROUND(IF(OR(ISNUMBER(SEARCH("week",C303)),ISNUMBER(SEARCH("minggu",C303))),IFERROR(_xlfn.NUMBERVALUE(SUBSTITUTE(LEFT(TRIM(C303),FIND(" ",TRIM(C303)&amp;" ")-1),",","."),"."),LEFT(SUBSTITUTE(LEFT(TRIM(C303),FIND(" ",TRIM(C303)&amp;" ")-1),",","."),FIND("/",SUBSTITUTE(LEFT(TRIM(C303),FIND(" ",TRIM(C303)&amp;" ")-1),",","."))-1)/MID(SUBSTITUTE(LEFT(TRIM(C303),FIND(" ",TRIM(C303)&amp;" ")-1),",","."),FIND("/",SUBSTITUTE(LEFT(TRIM(C303),FIND(" ",TRIM(C303)&amp;" ")-1),",","."))+1,9))*12/52,IF(ISNUMBER(SEARCH("month",C303)),IFERROR(_xlfn.NUMBERVALUE(SUBSTITUTE(LEFT(TRIM(C303),FIND(" ",TRIM(C303)&amp;" ")-1),",","."),"."),LEFT(SUBSTITUTE(LEFT(TRIM(C303),FIND(" ",TRIM(C303)&amp;" ")-1),",","."),FIND("/",SUBSTITUTE(LEFT(TRIM(C303),FIND(" ",TRIM(C303)&amp;" ")-1),",","."))-1)/MID(SUBSTITUTE(LEFT(TRIM(C303),FIND(" ",TRIM(C303)&amp;" ")-1),",","."),FIND("/",SUBSTITUTE(LEFT(TRIM(C303),FIND(" ",TRIM(C303)&amp;" ")-1),",","."))+1,9)),IF(ISNUMBER(SEARCH("yea",C303)),IFERROR(_xlfn.NUMBERVALUE(SUBSTITUTE(LEFT(TRIM(C303),FIND(" ",TRIM(C303)&amp;" ")-1),",","."),"."),LEFT(SUBSTITUTE(LEFT(TRIM(C303),FIND(" ",TRIM(C303)&amp;" ")-1),",","."),FIND("/",SUBSTITUTE(LEFT(TRIM(C303),FIND(" ",TRIM(C303)&amp;" ")-1),",","."))-1)/MID(SUBSTITUTE(LEFT(TRIM(C303),FIND(" ",TRIM(C303)&amp;" ")-1),",","."),FIND("/",SUBSTITUTE(LEFT(TRIM(C303),FIND(" ",TRIM(C303)&amp;" ")-1),",","."))+1,9))*12,NA()))),0),18)*'Aturan &amp; Tarif'!$B$4,2)</f>
        <v>1022.04</v>
      </c>
      <c r="K303" s="32" t="n">
        <f aca="false">'Aturan &amp; Tarif'!$B$5</f>
        <v>2050</v>
      </c>
      <c r="L303" s="32" t="n">
        <f aca="false">'Aturan &amp; Tarif'!$B$6</f>
        <v>350</v>
      </c>
      <c r="M303" s="35" t="n">
        <f aca="false">I303+J303+K303+L303</f>
        <v>32122.04</v>
      </c>
      <c r="N303" s="37" t="s">
        <v>1486</v>
      </c>
    </row>
    <row r="304" customFormat="false" ht="25.5" hidden="false" customHeight="true" outlineLevel="0" collapsed="false">
      <c r="A304" s="29"/>
      <c r="B304" s="30" t="s">
        <v>1488</v>
      </c>
      <c r="C304" s="31" t="s">
        <v>113</v>
      </c>
      <c r="D304" s="31" t="s">
        <v>108</v>
      </c>
      <c r="E304" s="32" t="n">
        <v>14275</v>
      </c>
      <c r="F304" s="32"/>
      <c r="G304" s="32" t="n">
        <v>150</v>
      </c>
      <c r="H304" s="33" t="n">
        <v>2</v>
      </c>
      <c r="I304" s="34" t="n">
        <f aca="false">E304*H304+N(F304)+N(G304)</f>
        <v>28700</v>
      </c>
      <c r="J304" s="32" t="n">
        <f aca="false">ROUND(IFERROR(ROUND(IF(OR(ISNUMBER(SEARCH("week",C304)),ISNUMBER(SEARCH("minggu",C304))),IFERROR(_xlfn.NUMBERVALUE(SUBSTITUTE(LEFT(TRIM(C304),FIND(" ",TRIM(C304)&amp;" ")-1),",","."),"."),LEFT(SUBSTITUTE(LEFT(TRIM(C304),FIND(" ",TRIM(C304)&amp;" ")-1),",","."),FIND("/",SUBSTITUTE(LEFT(TRIM(C304),FIND(" ",TRIM(C304)&amp;" ")-1),",","."))-1)/MID(SUBSTITUTE(LEFT(TRIM(C304),FIND(" ",TRIM(C304)&amp;" ")-1),",","."),FIND("/",SUBSTITUTE(LEFT(TRIM(C304),FIND(" ",TRIM(C304)&amp;" ")-1),",","."))+1,9))*12/52,IF(ISNUMBER(SEARCH("month",C304)),IFERROR(_xlfn.NUMBERVALUE(SUBSTITUTE(LEFT(TRIM(C304),FIND(" ",TRIM(C304)&amp;" ")-1),",","."),"."),LEFT(SUBSTITUTE(LEFT(TRIM(C304),FIND(" ",TRIM(C304)&amp;" ")-1),",","."),FIND("/",SUBSTITUTE(LEFT(TRIM(C304),FIND(" ",TRIM(C304)&amp;" ")-1),",","."))-1)/MID(SUBSTITUTE(LEFT(TRIM(C304),FIND(" ",TRIM(C304)&amp;" ")-1),",","."),FIND("/",SUBSTITUTE(LEFT(TRIM(C304),FIND(" ",TRIM(C304)&amp;" ")-1),",","."))+1,9)),IF(ISNUMBER(SEARCH("yea",C304)),IFERROR(_xlfn.NUMBERVALUE(SUBSTITUTE(LEFT(TRIM(C304),FIND(" ",TRIM(C304)&amp;" ")-1),",","."),"."),LEFT(SUBSTITUTE(LEFT(TRIM(C304),FIND(" ",TRIM(C304)&amp;" ")-1),",","."),FIND("/",SUBSTITUTE(LEFT(TRIM(C304),FIND(" ",TRIM(C304)&amp;" ")-1),",","."))-1)/MID(SUBSTITUTE(LEFT(TRIM(C304),FIND(" ",TRIM(C304)&amp;" ")-1),",","."),FIND("/",SUBSTITUTE(LEFT(TRIM(C304),FIND(" ",TRIM(C304)&amp;" ")-1),",","."))+1,9))*12,NA()))),0),18)*'Aturan &amp; Tarif'!$B$4,2)</f>
        <v>1022.04</v>
      </c>
      <c r="K304" s="32" t="n">
        <f aca="false">'Aturan &amp; Tarif'!$B$5</f>
        <v>2050</v>
      </c>
      <c r="L304" s="32" t="n">
        <f aca="false">'Aturan &amp; Tarif'!$B$6</f>
        <v>350</v>
      </c>
      <c r="M304" s="35" t="n">
        <f aca="false">I304+J304+K304+L304</f>
        <v>32122.04</v>
      </c>
      <c r="N304" s="37" t="s">
        <v>1486</v>
      </c>
    </row>
    <row r="305" customFormat="false" ht="25.5" hidden="false" customHeight="true" outlineLevel="0" collapsed="false">
      <c r="A305" s="29"/>
      <c r="B305" s="30" t="s">
        <v>1489</v>
      </c>
      <c r="C305" s="31" t="s">
        <v>113</v>
      </c>
      <c r="D305" s="31" t="s">
        <v>108</v>
      </c>
      <c r="E305" s="32" t="n">
        <v>14275</v>
      </c>
      <c r="F305" s="32"/>
      <c r="G305" s="32" t="n">
        <v>150</v>
      </c>
      <c r="H305" s="33" t="n">
        <v>2</v>
      </c>
      <c r="I305" s="34" t="n">
        <f aca="false">E305*H305+N(F305)+N(G305)</f>
        <v>28700</v>
      </c>
      <c r="J305" s="32" t="n">
        <f aca="false">ROUND(IFERROR(ROUND(IF(OR(ISNUMBER(SEARCH("week",C305)),ISNUMBER(SEARCH("minggu",C305))),IFERROR(_xlfn.NUMBERVALUE(SUBSTITUTE(LEFT(TRIM(C305),FIND(" ",TRIM(C305)&amp;" ")-1),",","."),"."),LEFT(SUBSTITUTE(LEFT(TRIM(C305),FIND(" ",TRIM(C305)&amp;" ")-1),",","."),FIND("/",SUBSTITUTE(LEFT(TRIM(C305),FIND(" ",TRIM(C305)&amp;" ")-1),",","."))-1)/MID(SUBSTITUTE(LEFT(TRIM(C305),FIND(" ",TRIM(C305)&amp;" ")-1),",","."),FIND("/",SUBSTITUTE(LEFT(TRIM(C305),FIND(" ",TRIM(C305)&amp;" ")-1),",","."))+1,9))*12/52,IF(ISNUMBER(SEARCH("month",C305)),IFERROR(_xlfn.NUMBERVALUE(SUBSTITUTE(LEFT(TRIM(C305),FIND(" ",TRIM(C305)&amp;" ")-1),",","."),"."),LEFT(SUBSTITUTE(LEFT(TRIM(C305),FIND(" ",TRIM(C305)&amp;" ")-1),",","."),FIND("/",SUBSTITUTE(LEFT(TRIM(C305),FIND(" ",TRIM(C305)&amp;" ")-1),",","."))-1)/MID(SUBSTITUTE(LEFT(TRIM(C305),FIND(" ",TRIM(C305)&amp;" ")-1),",","."),FIND("/",SUBSTITUTE(LEFT(TRIM(C305),FIND(" ",TRIM(C305)&amp;" ")-1),",","."))+1,9)),IF(ISNUMBER(SEARCH("yea",C305)),IFERROR(_xlfn.NUMBERVALUE(SUBSTITUTE(LEFT(TRIM(C305),FIND(" ",TRIM(C305)&amp;" ")-1),",","."),"."),LEFT(SUBSTITUTE(LEFT(TRIM(C305),FIND(" ",TRIM(C305)&amp;" ")-1),",","."),FIND("/",SUBSTITUTE(LEFT(TRIM(C305),FIND(" ",TRIM(C305)&amp;" ")-1),",","."))-1)/MID(SUBSTITUTE(LEFT(TRIM(C305),FIND(" ",TRIM(C305)&amp;" ")-1),",","."),FIND("/",SUBSTITUTE(LEFT(TRIM(C305),FIND(" ",TRIM(C305)&amp;" ")-1),",","."))+1,9))*12,NA()))),0),18)*'Aturan &amp; Tarif'!$B$4,2)</f>
        <v>1022.04</v>
      </c>
      <c r="K305" s="32" t="n">
        <f aca="false">'Aturan &amp; Tarif'!$B$5</f>
        <v>2050</v>
      </c>
      <c r="L305" s="32" t="n">
        <f aca="false">'Aturan &amp; Tarif'!$B$6</f>
        <v>350</v>
      </c>
      <c r="M305" s="35" t="n">
        <f aca="false">I305+J305+K305+L305</f>
        <v>32122.04</v>
      </c>
      <c r="N305" s="37" t="s">
        <v>1486</v>
      </c>
    </row>
    <row r="306" customFormat="false" ht="25.5" hidden="false" customHeight="true" outlineLevel="0" collapsed="false">
      <c r="A306" s="29"/>
      <c r="B306" s="30" t="s">
        <v>1490</v>
      </c>
      <c r="C306" s="31" t="s">
        <v>113</v>
      </c>
      <c r="D306" s="31" t="s">
        <v>108</v>
      </c>
      <c r="E306" s="32" t="n">
        <v>14275</v>
      </c>
      <c r="F306" s="32"/>
      <c r="G306" s="32" t="n">
        <v>150</v>
      </c>
      <c r="H306" s="33" t="n">
        <v>2</v>
      </c>
      <c r="I306" s="34" t="n">
        <f aca="false">E306*H306+N(F306)+N(G306)</f>
        <v>28700</v>
      </c>
      <c r="J306" s="32" t="n">
        <f aca="false">ROUND(IFERROR(ROUND(IF(OR(ISNUMBER(SEARCH("week",C306)),ISNUMBER(SEARCH("minggu",C306))),IFERROR(_xlfn.NUMBERVALUE(SUBSTITUTE(LEFT(TRIM(C306),FIND(" ",TRIM(C306)&amp;" ")-1),",","."),"."),LEFT(SUBSTITUTE(LEFT(TRIM(C306),FIND(" ",TRIM(C306)&amp;" ")-1),",","."),FIND("/",SUBSTITUTE(LEFT(TRIM(C306),FIND(" ",TRIM(C306)&amp;" ")-1),",","."))-1)/MID(SUBSTITUTE(LEFT(TRIM(C306),FIND(" ",TRIM(C306)&amp;" ")-1),",","."),FIND("/",SUBSTITUTE(LEFT(TRIM(C306),FIND(" ",TRIM(C306)&amp;" ")-1),",","."))+1,9))*12/52,IF(ISNUMBER(SEARCH("month",C306)),IFERROR(_xlfn.NUMBERVALUE(SUBSTITUTE(LEFT(TRIM(C306),FIND(" ",TRIM(C306)&amp;" ")-1),",","."),"."),LEFT(SUBSTITUTE(LEFT(TRIM(C306),FIND(" ",TRIM(C306)&amp;" ")-1),",","."),FIND("/",SUBSTITUTE(LEFT(TRIM(C306),FIND(" ",TRIM(C306)&amp;" ")-1),",","."))-1)/MID(SUBSTITUTE(LEFT(TRIM(C306),FIND(" ",TRIM(C306)&amp;" ")-1),",","."),FIND("/",SUBSTITUTE(LEFT(TRIM(C306),FIND(" ",TRIM(C306)&amp;" ")-1),",","."))+1,9)),IF(ISNUMBER(SEARCH("yea",C306)),IFERROR(_xlfn.NUMBERVALUE(SUBSTITUTE(LEFT(TRIM(C306),FIND(" ",TRIM(C306)&amp;" ")-1),",","."),"."),LEFT(SUBSTITUTE(LEFT(TRIM(C306),FIND(" ",TRIM(C306)&amp;" ")-1),",","."),FIND("/",SUBSTITUTE(LEFT(TRIM(C306),FIND(" ",TRIM(C306)&amp;" ")-1),",","."))-1)/MID(SUBSTITUTE(LEFT(TRIM(C306),FIND(" ",TRIM(C306)&amp;" ")-1),",","."),FIND("/",SUBSTITUTE(LEFT(TRIM(C306),FIND(" ",TRIM(C306)&amp;" ")-1),",","."))+1,9))*12,NA()))),0),18)*'Aturan &amp; Tarif'!$B$4,2)</f>
        <v>1022.04</v>
      </c>
      <c r="K306" s="32" t="n">
        <f aca="false">'Aturan &amp; Tarif'!$B$5</f>
        <v>2050</v>
      </c>
      <c r="L306" s="32" t="n">
        <f aca="false">'Aturan &amp; Tarif'!$B$6</f>
        <v>350</v>
      </c>
      <c r="M306" s="35" t="n">
        <f aca="false">I306+J306+K306+L306</f>
        <v>32122.04</v>
      </c>
      <c r="N306" s="37" t="s">
        <v>1486</v>
      </c>
    </row>
    <row r="307" customFormat="false" ht="14.25" hidden="false" customHeight="true" outlineLevel="0" collapsed="false">
      <c r="A307" s="29"/>
      <c r="B307" s="30" t="s">
        <v>1059</v>
      </c>
      <c r="C307" s="31" t="s">
        <v>107</v>
      </c>
      <c r="D307" s="31" t="s">
        <v>108</v>
      </c>
      <c r="E307" s="32" t="n">
        <v>14275</v>
      </c>
      <c r="F307" s="32"/>
      <c r="G307" s="32" t="n">
        <v>150</v>
      </c>
      <c r="H307" s="33" t="n">
        <v>2</v>
      </c>
      <c r="I307" s="34" t="n">
        <f aca="false">E307*H307+N(F307)+N(G307)</f>
        <v>28700</v>
      </c>
      <c r="J307" s="32" t="n">
        <f aca="false">ROUND(IFERROR(ROUND(IF(OR(ISNUMBER(SEARCH("week",C307)),ISNUMBER(SEARCH("minggu",C307))),IFERROR(_xlfn.NUMBERVALUE(SUBSTITUTE(LEFT(TRIM(C307),FIND(" ",TRIM(C307)&amp;" ")-1),",","."),"."),LEFT(SUBSTITUTE(LEFT(TRIM(C307),FIND(" ",TRIM(C307)&amp;" ")-1),",","."),FIND("/",SUBSTITUTE(LEFT(TRIM(C307),FIND(" ",TRIM(C307)&amp;" ")-1),",","."))-1)/MID(SUBSTITUTE(LEFT(TRIM(C307),FIND(" ",TRIM(C307)&amp;" ")-1),",","."),FIND("/",SUBSTITUTE(LEFT(TRIM(C307),FIND(" ",TRIM(C307)&amp;" ")-1),",","."))+1,9))*12/52,IF(ISNUMBER(SEARCH("month",C307)),IFERROR(_xlfn.NUMBERVALUE(SUBSTITUTE(LEFT(TRIM(C307),FIND(" ",TRIM(C307)&amp;" ")-1),",","."),"."),LEFT(SUBSTITUTE(LEFT(TRIM(C307),FIND(" ",TRIM(C307)&amp;" ")-1),",","."),FIND("/",SUBSTITUTE(LEFT(TRIM(C307),FIND(" ",TRIM(C307)&amp;" ")-1),",","."))-1)/MID(SUBSTITUTE(LEFT(TRIM(C307),FIND(" ",TRIM(C307)&amp;" ")-1),",","."),FIND("/",SUBSTITUTE(LEFT(TRIM(C307),FIND(" ",TRIM(C307)&amp;" ")-1),",","."))+1,9)),IF(ISNUMBER(SEARCH("yea",C307)),IFERROR(_xlfn.NUMBERVALUE(SUBSTITUTE(LEFT(TRIM(C307),FIND(" ",TRIM(C307)&amp;" ")-1),",","."),"."),LEFT(SUBSTITUTE(LEFT(TRIM(C307),FIND(" ",TRIM(C307)&amp;" ")-1),",","."),FIND("/",SUBSTITUTE(LEFT(TRIM(C307),FIND(" ",TRIM(C307)&amp;" ")-1),",","."))-1)/MID(SUBSTITUTE(LEFT(TRIM(C307),FIND(" ",TRIM(C307)&amp;" ")-1),",","."),FIND("/",SUBSTITUTE(LEFT(TRIM(C307),FIND(" ",TRIM(C307)&amp;" ")-1),",","."))+1,9))*12,NA()))),0),24)*'Aturan &amp; Tarif'!$B$4,2)</f>
        <v>1362.72</v>
      </c>
      <c r="K307" s="32" t="n">
        <f aca="false">'Aturan &amp; Tarif'!$B$5</f>
        <v>2050</v>
      </c>
      <c r="L307" s="32" t="n">
        <f aca="false">'Aturan &amp; Tarif'!$B$6</f>
        <v>350</v>
      </c>
      <c r="M307" s="35" t="n">
        <f aca="false">I307+J307+K307+L307</f>
        <v>32462.72</v>
      </c>
      <c r="N307" s="37" t="s">
        <v>846</v>
      </c>
    </row>
    <row r="308" customFormat="false" ht="25.5" hidden="false" customHeight="true" outlineLevel="0" collapsed="false">
      <c r="A308" s="29"/>
      <c r="B308" s="30" t="s">
        <v>1491</v>
      </c>
      <c r="C308" s="31" t="s">
        <v>107</v>
      </c>
      <c r="D308" s="31" t="s">
        <v>108</v>
      </c>
      <c r="E308" s="32" t="n">
        <v>12425</v>
      </c>
      <c r="F308" s="32"/>
      <c r="G308" s="32" t="n">
        <v>150</v>
      </c>
      <c r="H308" s="33" t="n">
        <v>2</v>
      </c>
      <c r="I308" s="34" t="n">
        <f aca="false">E308*H308+N(F308)+N(G308)</f>
        <v>25000</v>
      </c>
      <c r="J308" s="32" t="n">
        <f aca="false">ROUND(IFERROR(ROUND(IF(OR(ISNUMBER(SEARCH("week",C308)),ISNUMBER(SEARCH("minggu",C308))),IFERROR(_xlfn.NUMBERVALUE(SUBSTITUTE(LEFT(TRIM(C308),FIND(" ",TRIM(C308)&amp;" ")-1),",","."),"."),LEFT(SUBSTITUTE(LEFT(TRIM(C308),FIND(" ",TRIM(C308)&amp;" ")-1),",","."),FIND("/",SUBSTITUTE(LEFT(TRIM(C308),FIND(" ",TRIM(C308)&amp;" ")-1),",","."))-1)/MID(SUBSTITUTE(LEFT(TRIM(C308),FIND(" ",TRIM(C308)&amp;" ")-1),",","."),FIND("/",SUBSTITUTE(LEFT(TRIM(C308),FIND(" ",TRIM(C308)&amp;" ")-1),",","."))+1,9))*12/52,IF(ISNUMBER(SEARCH("month",C308)),IFERROR(_xlfn.NUMBERVALUE(SUBSTITUTE(LEFT(TRIM(C308),FIND(" ",TRIM(C308)&amp;" ")-1),",","."),"."),LEFT(SUBSTITUTE(LEFT(TRIM(C308),FIND(" ",TRIM(C308)&amp;" ")-1),",","."),FIND("/",SUBSTITUTE(LEFT(TRIM(C308),FIND(" ",TRIM(C308)&amp;" ")-1),",","."))-1)/MID(SUBSTITUTE(LEFT(TRIM(C308),FIND(" ",TRIM(C308)&amp;" ")-1),",","."),FIND("/",SUBSTITUTE(LEFT(TRIM(C308),FIND(" ",TRIM(C308)&amp;" ")-1),",","."))+1,9)),IF(ISNUMBER(SEARCH("yea",C308)),IFERROR(_xlfn.NUMBERVALUE(SUBSTITUTE(LEFT(TRIM(C308),FIND(" ",TRIM(C308)&amp;" ")-1),",","."),"."),LEFT(SUBSTITUTE(LEFT(TRIM(C308),FIND(" ",TRIM(C308)&amp;" ")-1),",","."),FIND("/",SUBSTITUTE(LEFT(TRIM(C308),FIND(" ",TRIM(C308)&amp;" ")-1),",","."))-1)/MID(SUBSTITUTE(LEFT(TRIM(C308),FIND(" ",TRIM(C308)&amp;" ")-1),",","."),FIND("/",SUBSTITUTE(LEFT(TRIM(C308),FIND(" ",TRIM(C308)&amp;" ")-1),",","."))+1,9))*12,NA()))),0),24)*'Aturan &amp; Tarif'!$B$4,2)</f>
        <v>1362.72</v>
      </c>
      <c r="K308" s="32" t="n">
        <f aca="false">'Aturan &amp; Tarif'!$B$5</f>
        <v>2050</v>
      </c>
      <c r="L308" s="32" t="n">
        <f aca="false">'Aturan &amp; Tarif'!$B$6</f>
        <v>350</v>
      </c>
      <c r="M308" s="35" t="n">
        <f aca="false">I308+J308+K308+L308</f>
        <v>28762.72</v>
      </c>
      <c r="N308" s="37" t="s">
        <v>846</v>
      </c>
    </row>
    <row r="309" customFormat="false" ht="14.25" hidden="false" customHeight="true" outlineLevel="0" collapsed="false">
      <c r="A309" s="29"/>
      <c r="B309" s="30" t="s">
        <v>1492</v>
      </c>
      <c r="C309" s="31" t="s">
        <v>107</v>
      </c>
      <c r="D309" s="31" t="s">
        <v>108</v>
      </c>
      <c r="E309" s="32" t="n">
        <v>13125</v>
      </c>
      <c r="F309" s="32"/>
      <c r="G309" s="32" t="n">
        <v>150</v>
      </c>
      <c r="H309" s="33" t="n">
        <v>2</v>
      </c>
      <c r="I309" s="34" t="n">
        <f aca="false">E309*H309+N(F309)+N(G309)</f>
        <v>26400</v>
      </c>
      <c r="J309" s="32" t="n">
        <f aca="false">ROUND(IFERROR(ROUND(IF(OR(ISNUMBER(SEARCH("week",C309)),ISNUMBER(SEARCH("minggu",C309))),IFERROR(_xlfn.NUMBERVALUE(SUBSTITUTE(LEFT(TRIM(C309),FIND(" ",TRIM(C309)&amp;" ")-1),",","."),"."),LEFT(SUBSTITUTE(LEFT(TRIM(C309),FIND(" ",TRIM(C309)&amp;" ")-1),",","."),FIND("/",SUBSTITUTE(LEFT(TRIM(C309),FIND(" ",TRIM(C309)&amp;" ")-1),",","."))-1)/MID(SUBSTITUTE(LEFT(TRIM(C309),FIND(" ",TRIM(C309)&amp;" ")-1),",","."),FIND("/",SUBSTITUTE(LEFT(TRIM(C309),FIND(" ",TRIM(C309)&amp;" ")-1),",","."))+1,9))*12/52,IF(ISNUMBER(SEARCH("month",C309)),IFERROR(_xlfn.NUMBERVALUE(SUBSTITUTE(LEFT(TRIM(C309),FIND(" ",TRIM(C309)&amp;" ")-1),",","."),"."),LEFT(SUBSTITUTE(LEFT(TRIM(C309),FIND(" ",TRIM(C309)&amp;" ")-1),",","."),FIND("/",SUBSTITUTE(LEFT(TRIM(C309),FIND(" ",TRIM(C309)&amp;" ")-1),",","."))-1)/MID(SUBSTITUTE(LEFT(TRIM(C309),FIND(" ",TRIM(C309)&amp;" ")-1),",","."),FIND("/",SUBSTITUTE(LEFT(TRIM(C309),FIND(" ",TRIM(C309)&amp;" ")-1),",","."))+1,9)),IF(ISNUMBER(SEARCH("yea",C309)),IFERROR(_xlfn.NUMBERVALUE(SUBSTITUTE(LEFT(TRIM(C309),FIND(" ",TRIM(C309)&amp;" ")-1),",","."),"."),LEFT(SUBSTITUTE(LEFT(TRIM(C309),FIND(" ",TRIM(C309)&amp;" ")-1),",","."),FIND("/",SUBSTITUTE(LEFT(TRIM(C309),FIND(" ",TRIM(C309)&amp;" ")-1),",","."))-1)/MID(SUBSTITUTE(LEFT(TRIM(C309),FIND(" ",TRIM(C309)&amp;" ")-1),",","."),FIND("/",SUBSTITUTE(LEFT(TRIM(C309),FIND(" ",TRIM(C309)&amp;" ")-1),",","."))+1,9))*12,NA()))),0),24)*'Aturan &amp; Tarif'!$B$4,2)</f>
        <v>1362.72</v>
      </c>
      <c r="K309" s="32" t="n">
        <f aca="false">'Aturan &amp; Tarif'!$B$5</f>
        <v>2050</v>
      </c>
      <c r="L309" s="32" t="n">
        <f aca="false">'Aturan &amp; Tarif'!$B$6</f>
        <v>350</v>
      </c>
      <c r="M309" s="35" t="n">
        <f aca="false">I309+J309+K309+L309</f>
        <v>30162.72</v>
      </c>
      <c r="N309" s="37" t="s">
        <v>846</v>
      </c>
    </row>
    <row r="310" customFormat="false" ht="14.25" hidden="false" customHeight="true" outlineLevel="0" collapsed="false">
      <c r="A310" s="29"/>
      <c r="B310" s="30" t="s">
        <v>1493</v>
      </c>
      <c r="C310" s="31" t="s">
        <v>107</v>
      </c>
      <c r="D310" s="31" t="s">
        <v>108</v>
      </c>
      <c r="E310" s="32" t="n">
        <v>14275</v>
      </c>
      <c r="F310" s="32"/>
      <c r="G310" s="32" t="n">
        <v>150</v>
      </c>
      <c r="H310" s="33" t="n">
        <v>2</v>
      </c>
      <c r="I310" s="34" t="n">
        <f aca="false">E310*H310+N(F310)+N(G310)</f>
        <v>28700</v>
      </c>
      <c r="J310" s="32" t="n">
        <f aca="false">ROUND(IFERROR(ROUND(IF(OR(ISNUMBER(SEARCH("week",C310)),ISNUMBER(SEARCH("minggu",C310))),IFERROR(_xlfn.NUMBERVALUE(SUBSTITUTE(LEFT(TRIM(C310),FIND(" ",TRIM(C310)&amp;" ")-1),",","."),"."),LEFT(SUBSTITUTE(LEFT(TRIM(C310),FIND(" ",TRIM(C310)&amp;" ")-1),",","."),FIND("/",SUBSTITUTE(LEFT(TRIM(C310),FIND(" ",TRIM(C310)&amp;" ")-1),",","."))-1)/MID(SUBSTITUTE(LEFT(TRIM(C310),FIND(" ",TRIM(C310)&amp;" ")-1),",","."),FIND("/",SUBSTITUTE(LEFT(TRIM(C310),FIND(" ",TRIM(C310)&amp;" ")-1),",","."))+1,9))*12/52,IF(ISNUMBER(SEARCH("month",C310)),IFERROR(_xlfn.NUMBERVALUE(SUBSTITUTE(LEFT(TRIM(C310),FIND(" ",TRIM(C310)&amp;" ")-1),",","."),"."),LEFT(SUBSTITUTE(LEFT(TRIM(C310),FIND(" ",TRIM(C310)&amp;" ")-1),",","."),FIND("/",SUBSTITUTE(LEFT(TRIM(C310),FIND(" ",TRIM(C310)&amp;" ")-1),",","."))-1)/MID(SUBSTITUTE(LEFT(TRIM(C310),FIND(" ",TRIM(C310)&amp;" ")-1),",","."),FIND("/",SUBSTITUTE(LEFT(TRIM(C310),FIND(" ",TRIM(C310)&amp;" ")-1),",","."))+1,9)),IF(ISNUMBER(SEARCH("yea",C310)),IFERROR(_xlfn.NUMBERVALUE(SUBSTITUTE(LEFT(TRIM(C310),FIND(" ",TRIM(C310)&amp;" ")-1),",","."),"."),LEFT(SUBSTITUTE(LEFT(TRIM(C310),FIND(" ",TRIM(C310)&amp;" ")-1),",","."),FIND("/",SUBSTITUTE(LEFT(TRIM(C310),FIND(" ",TRIM(C310)&amp;" ")-1),",","."))-1)/MID(SUBSTITUTE(LEFT(TRIM(C310),FIND(" ",TRIM(C310)&amp;" ")-1),",","."),FIND("/",SUBSTITUTE(LEFT(TRIM(C310),FIND(" ",TRIM(C310)&amp;" ")-1),",","."))+1,9))*12,NA()))),0),24)*'Aturan &amp; Tarif'!$B$4,2)</f>
        <v>1362.72</v>
      </c>
      <c r="K310" s="32" t="n">
        <f aca="false">'Aturan &amp; Tarif'!$B$5</f>
        <v>2050</v>
      </c>
      <c r="L310" s="32" t="n">
        <f aca="false">'Aturan &amp; Tarif'!$B$6</f>
        <v>350</v>
      </c>
      <c r="M310" s="35" t="n">
        <f aca="false">I310+J310+K310+L310</f>
        <v>32462.72</v>
      </c>
      <c r="N310" s="37" t="s">
        <v>846</v>
      </c>
    </row>
    <row r="311" customFormat="false" ht="14.25" hidden="false" customHeight="true" outlineLevel="0" collapsed="false">
      <c r="A311" s="29"/>
      <c r="B311" s="30" t="s">
        <v>1494</v>
      </c>
      <c r="C311" s="31" t="s">
        <v>107</v>
      </c>
      <c r="D311" s="31" t="s">
        <v>108</v>
      </c>
      <c r="E311" s="32" t="n">
        <v>13125</v>
      </c>
      <c r="F311" s="32"/>
      <c r="G311" s="32" t="n">
        <v>150</v>
      </c>
      <c r="H311" s="33" t="n">
        <v>2</v>
      </c>
      <c r="I311" s="34" t="n">
        <f aca="false">E311*H311+N(F311)+N(G311)</f>
        <v>26400</v>
      </c>
      <c r="J311" s="32" t="n">
        <f aca="false">ROUND(IFERROR(ROUND(IF(OR(ISNUMBER(SEARCH("week",C311)),ISNUMBER(SEARCH("minggu",C311))),IFERROR(_xlfn.NUMBERVALUE(SUBSTITUTE(LEFT(TRIM(C311),FIND(" ",TRIM(C311)&amp;" ")-1),",","."),"."),LEFT(SUBSTITUTE(LEFT(TRIM(C311),FIND(" ",TRIM(C311)&amp;" ")-1),",","."),FIND("/",SUBSTITUTE(LEFT(TRIM(C311),FIND(" ",TRIM(C311)&amp;" ")-1),",","."))-1)/MID(SUBSTITUTE(LEFT(TRIM(C311),FIND(" ",TRIM(C311)&amp;" ")-1),",","."),FIND("/",SUBSTITUTE(LEFT(TRIM(C311),FIND(" ",TRIM(C311)&amp;" ")-1),",","."))+1,9))*12/52,IF(ISNUMBER(SEARCH("month",C311)),IFERROR(_xlfn.NUMBERVALUE(SUBSTITUTE(LEFT(TRIM(C311),FIND(" ",TRIM(C311)&amp;" ")-1),",","."),"."),LEFT(SUBSTITUTE(LEFT(TRIM(C311),FIND(" ",TRIM(C311)&amp;" ")-1),",","."),FIND("/",SUBSTITUTE(LEFT(TRIM(C311),FIND(" ",TRIM(C311)&amp;" ")-1),",","."))-1)/MID(SUBSTITUTE(LEFT(TRIM(C311),FIND(" ",TRIM(C311)&amp;" ")-1),",","."),FIND("/",SUBSTITUTE(LEFT(TRIM(C311),FIND(" ",TRIM(C311)&amp;" ")-1),",","."))+1,9)),IF(ISNUMBER(SEARCH("yea",C311)),IFERROR(_xlfn.NUMBERVALUE(SUBSTITUTE(LEFT(TRIM(C311),FIND(" ",TRIM(C311)&amp;" ")-1),",","."),"."),LEFT(SUBSTITUTE(LEFT(TRIM(C311),FIND(" ",TRIM(C311)&amp;" ")-1),",","."),FIND("/",SUBSTITUTE(LEFT(TRIM(C311),FIND(" ",TRIM(C311)&amp;" ")-1),",","."))-1)/MID(SUBSTITUTE(LEFT(TRIM(C311),FIND(" ",TRIM(C311)&amp;" ")-1),",","."),FIND("/",SUBSTITUTE(LEFT(TRIM(C311),FIND(" ",TRIM(C311)&amp;" ")-1),",","."))+1,9))*12,NA()))),0),24)*'Aturan &amp; Tarif'!$B$4,2)</f>
        <v>1362.72</v>
      </c>
      <c r="K311" s="32" t="n">
        <f aca="false">'Aturan &amp; Tarif'!$B$5</f>
        <v>2050</v>
      </c>
      <c r="L311" s="32" t="n">
        <f aca="false">'Aturan &amp; Tarif'!$B$6</f>
        <v>350</v>
      </c>
      <c r="M311" s="35" t="n">
        <f aca="false">I311+J311+K311+L311</f>
        <v>30162.72</v>
      </c>
      <c r="N311" s="37" t="s">
        <v>846</v>
      </c>
    </row>
    <row r="312" customFormat="false" ht="14.25" hidden="false" customHeight="true" outlineLevel="0" collapsed="false">
      <c r="A312" s="29"/>
      <c r="B312" s="30" t="s">
        <v>1495</v>
      </c>
      <c r="C312" s="31" t="s">
        <v>107</v>
      </c>
      <c r="D312" s="31" t="s">
        <v>108</v>
      </c>
      <c r="E312" s="32" t="n">
        <v>13125</v>
      </c>
      <c r="F312" s="32"/>
      <c r="G312" s="32" t="n">
        <v>150</v>
      </c>
      <c r="H312" s="33" t="n">
        <v>2</v>
      </c>
      <c r="I312" s="34" t="n">
        <f aca="false">E312*H312+N(F312)+N(G312)</f>
        <v>26400</v>
      </c>
      <c r="J312" s="32" t="n">
        <f aca="false">ROUND(IFERROR(ROUND(IF(OR(ISNUMBER(SEARCH("week",C312)),ISNUMBER(SEARCH("minggu",C312))),IFERROR(_xlfn.NUMBERVALUE(SUBSTITUTE(LEFT(TRIM(C312),FIND(" ",TRIM(C312)&amp;" ")-1),",","."),"."),LEFT(SUBSTITUTE(LEFT(TRIM(C312),FIND(" ",TRIM(C312)&amp;" ")-1),",","."),FIND("/",SUBSTITUTE(LEFT(TRIM(C312),FIND(" ",TRIM(C312)&amp;" ")-1),",","."))-1)/MID(SUBSTITUTE(LEFT(TRIM(C312),FIND(" ",TRIM(C312)&amp;" ")-1),",","."),FIND("/",SUBSTITUTE(LEFT(TRIM(C312),FIND(" ",TRIM(C312)&amp;" ")-1),",","."))+1,9))*12/52,IF(ISNUMBER(SEARCH("month",C312)),IFERROR(_xlfn.NUMBERVALUE(SUBSTITUTE(LEFT(TRIM(C312),FIND(" ",TRIM(C312)&amp;" ")-1),",","."),"."),LEFT(SUBSTITUTE(LEFT(TRIM(C312),FIND(" ",TRIM(C312)&amp;" ")-1),",","."),FIND("/",SUBSTITUTE(LEFT(TRIM(C312),FIND(" ",TRIM(C312)&amp;" ")-1),",","."))-1)/MID(SUBSTITUTE(LEFT(TRIM(C312),FIND(" ",TRIM(C312)&amp;" ")-1),",","."),FIND("/",SUBSTITUTE(LEFT(TRIM(C312),FIND(" ",TRIM(C312)&amp;" ")-1),",","."))+1,9)),IF(ISNUMBER(SEARCH("yea",C312)),IFERROR(_xlfn.NUMBERVALUE(SUBSTITUTE(LEFT(TRIM(C312),FIND(" ",TRIM(C312)&amp;" ")-1),",","."),"."),LEFT(SUBSTITUTE(LEFT(TRIM(C312),FIND(" ",TRIM(C312)&amp;" ")-1),",","."),FIND("/",SUBSTITUTE(LEFT(TRIM(C312),FIND(" ",TRIM(C312)&amp;" ")-1),",","."))-1)/MID(SUBSTITUTE(LEFT(TRIM(C312),FIND(" ",TRIM(C312)&amp;" ")-1),",","."),FIND("/",SUBSTITUTE(LEFT(TRIM(C312),FIND(" ",TRIM(C312)&amp;" ")-1),",","."))+1,9))*12,NA()))),0),24)*'Aturan &amp; Tarif'!$B$4,2)</f>
        <v>1362.72</v>
      </c>
      <c r="K312" s="32" t="n">
        <f aca="false">'Aturan &amp; Tarif'!$B$5</f>
        <v>2050</v>
      </c>
      <c r="L312" s="32" t="n">
        <f aca="false">'Aturan &amp; Tarif'!$B$6</f>
        <v>350</v>
      </c>
      <c r="M312" s="35" t="n">
        <f aca="false">I312+J312+K312+L312</f>
        <v>30162.72</v>
      </c>
      <c r="N312" s="37" t="s">
        <v>846</v>
      </c>
    </row>
    <row r="313" customFormat="false" ht="25.5" hidden="false" customHeight="true" outlineLevel="0" collapsed="false">
      <c r="A313" s="29"/>
      <c r="B313" s="30" t="s">
        <v>1496</v>
      </c>
      <c r="C313" s="31" t="s">
        <v>107</v>
      </c>
      <c r="D313" s="31" t="s">
        <v>108</v>
      </c>
      <c r="E313" s="32" t="n">
        <v>13125</v>
      </c>
      <c r="F313" s="32"/>
      <c r="G313" s="32" t="n">
        <v>150</v>
      </c>
      <c r="H313" s="33" t="n">
        <v>2</v>
      </c>
      <c r="I313" s="34" t="n">
        <f aca="false">E313*H313+N(F313)+N(G313)</f>
        <v>26400</v>
      </c>
      <c r="J313" s="32" t="n">
        <f aca="false">ROUND(IFERROR(ROUND(IF(OR(ISNUMBER(SEARCH("week",C313)),ISNUMBER(SEARCH("minggu",C313))),IFERROR(_xlfn.NUMBERVALUE(SUBSTITUTE(LEFT(TRIM(C313),FIND(" ",TRIM(C313)&amp;" ")-1),",","."),"."),LEFT(SUBSTITUTE(LEFT(TRIM(C313),FIND(" ",TRIM(C313)&amp;" ")-1),",","."),FIND("/",SUBSTITUTE(LEFT(TRIM(C313),FIND(" ",TRIM(C313)&amp;" ")-1),",","."))-1)/MID(SUBSTITUTE(LEFT(TRIM(C313),FIND(" ",TRIM(C313)&amp;" ")-1),",","."),FIND("/",SUBSTITUTE(LEFT(TRIM(C313),FIND(" ",TRIM(C313)&amp;" ")-1),",","."))+1,9))*12/52,IF(ISNUMBER(SEARCH("month",C313)),IFERROR(_xlfn.NUMBERVALUE(SUBSTITUTE(LEFT(TRIM(C313),FIND(" ",TRIM(C313)&amp;" ")-1),",","."),"."),LEFT(SUBSTITUTE(LEFT(TRIM(C313),FIND(" ",TRIM(C313)&amp;" ")-1),",","."),FIND("/",SUBSTITUTE(LEFT(TRIM(C313),FIND(" ",TRIM(C313)&amp;" ")-1),",","."))-1)/MID(SUBSTITUTE(LEFT(TRIM(C313),FIND(" ",TRIM(C313)&amp;" ")-1),",","."),FIND("/",SUBSTITUTE(LEFT(TRIM(C313),FIND(" ",TRIM(C313)&amp;" ")-1),",","."))+1,9)),IF(ISNUMBER(SEARCH("yea",C313)),IFERROR(_xlfn.NUMBERVALUE(SUBSTITUTE(LEFT(TRIM(C313),FIND(" ",TRIM(C313)&amp;" ")-1),",","."),"."),LEFT(SUBSTITUTE(LEFT(TRIM(C313),FIND(" ",TRIM(C313)&amp;" ")-1),",","."),FIND("/",SUBSTITUTE(LEFT(TRIM(C313),FIND(" ",TRIM(C313)&amp;" ")-1),",","."))-1)/MID(SUBSTITUTE(LEFT(TRIM(C313),FIND(" ",TRIM(C313)&amp;" ")-1),",","."),FIND("/",SUBSTITUTE(LEFT(TRIM(C313),FIND(" ",TRIM(C313)&amp;" ")-1),",","."))+1,9))*12,NA()))),0),24)*'Aturan &amp; Tarif'!$B$4,2)</f>
        <v>1362.72</v>
      </c>
      <c r="K313" s="32" t="n">
        <f aca="false">'Aturan &amp; Tarif'!$B$5</f>
        <v>2050</v>
      </c>
      <c r="L313" s="32" t="n">
        <f aca="false">'Aturan &amp; Tarif'!$B$6</f>
        <v>350</v>
      </c>
      <c r="M313" s="35" t="n">
        <f aca="false">I313+J313+K313+L313</f>
        <v>30162.72</v>
      </c>
      <c r="N313" s="37" t="s">
        <v>846</v>
      </c>
    </row>
    <row r="314" customFormat="false" ht="14.25" hidden="false" customHeight="true" outlineLevel="0" collapsed="false">
      <c r="A314" s="29"/>
      <c r="B314" s="30" t="s">
        <v>859</v>
      </c>
      <c r="C314" s="31" t="s">
        <v>107</v>
      </c>
      <c r="D314" s="31" t="s">
        <v>108</v>
      </c>
      <c r="E314" s="32" t="n">
        <v>13125</v>
      </c>
      <c r="F314" s="32"/>
      <c r="G314" s="32" t="n">
        <v>150</v>
      </c>
      <c r="H314" s="33" t="n">
        <v>2</v>
      </c>
      <c r="I314" s="34" t="n">
        <f aca="false">E314*H314+N(F314)+N(G314)</f>
        <v>26400</v>
      </c>
      <c r="J314" s="32" t="n">
        <f aca="false">ROUND(IFERROR(ROUND(IF(OR(ISNUMBER(SEARCH("week",C314)),ISNUMBER(SEARCH("minggu",C314))),IFERROR(_xlfn.NUMBERVALUE(SUBSTITUTE(LEFT(TRIM(C314),FIND(" ",TRIM(C314)&amp;" ")-1),",","."),"."),LEFT(SUBSTITUTE(LEFT(TRIM(C314),FIND(" ",TRIM(C314)&amp;" ")-1),",","."),FIND("/",SUBSTITUTE(LEFT(TRIM(C314),FIND(" ",TRIM(C314)&amp;" ")-1),",","."))-1)/MID(SUBSTITUTE(LEFT(TRIM(C314),FIND(" ",TRIM(C314)&amp;" ")-1),",","."),FIND("/",SUBSTITUTE(LEFT(TRIM(C314),FIND(" ",TRIM(C314)&amp;" ")-1),",","."))+1,9))*12/52,IF(ISNUMBER(SEARCH("month",C314)),IFERROR(_xlfn.NUMBERVALUE(SUBSTITUTE(LEFT(TRIM(C314),FIND(" ",TRIM(C314)&amp;" ")-1),",","."),"."),LEFT(SUBSTITUTE(LEFT(TRIM(C314),FIND(" ",TRIM(C314)&amp;" ")-1),",","."),FIND("/",SUBSTITUTE(LEFT(TRIM(C314),FIND(" ",TRIM(C314)&amp;" ")-1),",","."))-1)/MID(SUBSTITUTE(LEFT(TRIM(C314),FIND(" ",TRIM(C314)&amp;" ")-1),",","."),FIND("/",SUBSTITUTE(LEFT(TRIM(C314),FIND(" ",TRIM(C314)&amp;" ")-1),",","."))+1,9)),IF(ISNUMBER(SEARCH("yea",C314)),IFERROR(_xlfn.NUMBERVALUE(SUBSTITUTE(LEFT(TRIM(C314),FIND(" ",TRIM(C314)&amp;" ")-1),",","."),"."),LEFT(SUBSTITUTE(LEFT(TRIM(C314),FIND(" ",TRIM(C314)&amp;" ")-1),",","."),FIND("/",SUBSTITUTE(LEFT(TRIM(C314),FIND(" ",TRIM(C314)&amp;" ")-1),",","."))-1)/MID(SUBSTITUTE(LEFT(TRIM(C314),FIND(" ",TRIM(C314)&amp;" ")-1),",","."),FIND("/",SUBSTITUTE(LEFT(TRIM(C314),FIND(" ",TRIM(C314)&amp;" ")-1),",","."))+1,9))*12,NA()))),0),24)*'Aturan &amp; Tarif'!$B$4,2)</f>
        <v>1362.72</v>
      </c>
      <c r="K314" s="32" t="n">
        <f aca="false">'Aturan &amp; Tarif'!$B$5</f>
        <v>2050</v>
      </c>
      <c r="L314" s="32" t="n">
        <f aca="false">'Aturan &amp; Tarif'!$B$6</f>
        <v>350</v>
      </c>
      <c r="M314" s="35" t="n">
        <f aca="false">I314+J314+K314+L314</f>
        <v>30162.72</v>
      </c>
      <c r="N314" s="37" t="s">
        <v>846</v>
      </c>
    </row>
    <row r="315" customFormat="false" ht="25.5" hidden="false" customHeight="true" outlineLevel="0" collapsed="false">
      <c r="A315" s="29"/>
      <c r="B315" s="30" t="s">
        <v>1497</v>
      </c>
      <c r="C315" s="31" t="s">
        <v>107</v>
      </c>
      <c r="D315" s="31" t="s">
        <v>108</v>
      </c>
      <c r="E315" s="32" t="n">
        <v>13125</v>
      </c>
      <c r="F315" s="32"/>
      <c r="G315" s="32" t="n">
        <v>150</v>
      </c>
      <c r="H315" s="33" t="n">
        <v>2</v>
      </c>
      <c r="I315" s="34" t="n">
        <f aca="false">E315*H315+N(F315)+N(G315)</f>
        <v>26400</v>
      </c>
      <c r="J315" s="32" t="n">
        <f aca="false">ROUND(IFERROR(ROUND(IF(OR(ISNUMBER(SEARCH("week",C315)),ISNUMBER(SEARCH("minggu",C315))),IFERROR(_xlfn.NUMBERVALUE(SUBSTITUTE(LEFT(TRIM(C315),FIND(" ",TRIM(C315)&amp;" ")-1),",","."),"."),LEFT(SUBSTITUTE(LEFT(TRIM(C315),FIND(" ",TRIM(C315)&amp;" ")-1),",","."),FIND("/",SUBSTITUTE(LEFT(TRIM(C315),FIND(" ",TRIM(C315)&amp;" ")-1),",","."))-1)/MID(SUBSTITUTE(LEFT(TRIM(C315),FIND(" ",TRIM(C315)&amp;" ")-1),",","."),FIND("/",SUBSTITUTE(LEFT(TRIM(C315),FIND(" ",TRIM(C315)&amp;" ")-1),",","."))+1,9))*12/52,IF(ISNUMBER(SEARCH("month",C315)),IFERROR(_xlfn.NUMBERVALUE(SUBSTITUTE(LEFT(TRIM(C315),FIND(" ",TRIM(C315)&amp;" ")-1),",","."),"."),LEFT(SUBSTITUTE(LEFT(TRIM(C315),FIND(" ",TRIM(C315)&amp;" ")-1),",","."),FIND("/",SUBSTITUTE(LEFT(TRIM(C315),FIND(" ",TRIM(C315)&amp;" ")-1),",","."))-1)/MID(SUBSTITUTE(LEFT(TRIM(C315),FIND(" ",TRIM(C315)&amp;" ")-1),",","."),FIND("/",SUBSTITUTE(LEFT(TRIM(C315),FIND(" ",TRIM(C315)&amp;" ")-1),",","."))+1,9)),IF(ISNUMBER(SEARCH("yea",C315)),IFERROR(_xlfn.NUMBERVALUE(SUBSTITUTE(LEFT(TRIM(C315),FIND(" ",TRIM(C315)&amp;" ")-1),",","."),"."),LEFT(SUBSTITUTE(LEFT(TRIM(C315),FIND(" ",TRIM(C315)&amp;" ")-1),",","."),FIND("/",SUBSTITUTE(LEFT(TRIM(C315),FIND(" ",TRIM(C315)&amp;" ")-1),",","."))-1)/MID(SUBSTITUTE(LEFT(TRIM(C315),FIND(" ",TRIM(C315)&amp;" ")-1),",","."),FIND("/",SUBSTITUTE(LEFT(TRIM(C315),FIND(" ",TRIM(C315)&amp;" ")-1),",","."))+1,9))*12,NA()))),0),24)*'Aturan &amp; Tarif'!$B$4,2)</f>
        <v>1362.72</v>
      </c>
      <c r="K315" s="32" t="n">
        <f aca="false">'Aturan &amp; Tarif'!$B$5</f>
        <v>2050</v>
      </c>
      <c r="L315" s="32" t="n">
        <f aca="false">'Aturan &amp; Tarif'!$B$6</f>
        <v>350</v>
      </c>
      <c r="M315" s="35" t="n">
        <f aca="false">I315+J315+K315+L315</f>
        <v>30162.72</v>
      </c>
      <c r="N315" s="37" t="s">
        <v>846</v>
      </c>
    </row>
    <row r="316" customFormat="false" ht="14.25" hidden="false" customHeight="true" outlineLevel="0" collapsed="false">
      <c r="A316" s="29"/>
      <c r="B316" s="30" t="s">
        <v>1498</v>
      </c>
      <c r="C316" s="31" t="s">
        <v>107</v>
      </c>
      <c r="D316" s="31" t="s">
        <v>108</v>
      </c>
      <c r="E316" s="32" t="n">
        <v>13575</v>
      </c>
      <c r="F316" s="32"/>
      <c r="G316" s="32" t="n">
        <v>150</v>
      </c>
      <c r="H316" s="33" t="n">
        <v>2</v>
      </c>
      <c r="I316" s="34" t="n">
        <f aca="false">E316*H316+N(F316)+N(G316)</f>
        <v>27300</v>
      </c>
      <c r="J316" s="32" t="n">
        <f aca="false">ROUND(IFERROR(ROUND(IF(OR(ISNUMBER(SEARCH("week",C316)),ISNUMBER(SEARCH("minggu",C316))),IFERROR(_xlfn.NUMBERVALUE(SUBSTITUTE(LEFT(TRIM(C316),FIND(" ",TRIM(C316)&amp;" ")-1),",","."),"."),LEFT(SUBSTITUTE(LEFT(TRIM(C316),FIND(" ",TRIM(C316)&amp;" ")-1),",","."),FIND("/",SUBSTITUTE(LEFT(TRIM(C316),FIND(" ",TRIM(C316)&amp;" ")-1),",","."))-1)/MID(SUBSTITUTE(LEFT(TRIM(C316),FIND(" ",TRIM(C316)&amp;" ")-1),",","."),FIND("/",SUBSTITUTE(LEFT(TRIM(C316),FIND(" ",TRIM(C316)&amp;" ")-1),",","."))+1,9))*12/52,IF(ISNUMBER(SEARCH("month",C316)),IFERROR(_xlfn.NUMBERVALUE(SUBSTITUTE(LEFT(TRIM(C316),FIND(" ",TRIM(C316)&amp;" ")-1),",","."),"."),LEFT(SUBSTITUTE(LEFT(TRIM(C316),FIND(" ",TRIM(C316)&amp;" ")-1),",","."),FIND("/",SUBSTITUTE(LEFT(TRIM(C316),FIND(" ",TRIM(C316)&amp;" ")-1),",","."))-1)/MID(SUBSTITUTE(LEFT(TRIM(C316),FIND(" ",TRIM(C316)&amp;" ")-1),",","."),FIND("/",SUBSTITUTE(LEFT(TRIM(C316),FIND(" ",TRIM(C316)&amp;" ")-1),",","."))+1,9)),IF(ISNUMBER(SEARCH("yea",C316)),IFERROR(_xlfn.NUMBERVALUE(SUBSTITUTE(LEFT(TRIM(C316),FIND(" ",TRIM(C316)&amp;" ")-1),",","."),"."),LEFT(SUBSTITUTE(LEFT(TRIM(C316),FIND(" ",TRIM(C316)&amp;" ")-1),",","."),FIND("/",SUBSTITUTE(LEFT(TRIM(C316),FIND(" ",TRIM(C316)&amp;" ")-1),",","."))-1)/MID(SUBSTITUTE(LEFT(TRIM(C316),FIND(" ",TRIM(C316)&amp;" ")-1),",","."),FIND("/",SUBSTITUTE(LEFT(TRIM(C316),FIND(" ",TRIM(C316)&amp;" ")-1),",","."))+1,9))*12,NA()))),0),24)*'Aturan &amp; Tarif'!$B$4,2)</f>
        <v>1362.72</v>
      </c>
      <c r="K316" s="32" t="n">
        <f aca="false">'Aturan &amp; Tarif'!$B$5</f>
        <v>2050</v>
      </c>
      <c r="L316" s="32" t="n">
        <f aca="false">'Aturan &amp; Tarif'!$B$6</f>
        <v>350</v>
      </c>
      <c r="M316" s="35" t="n">
        <f aca="false">I316+J316+K316+L316</f>
        <v>31062.72</v>
      </c>
      <c r="N316" s="37" t="s">
        <v>846</v>
      </c>
    </row>
    <row r="317" customFormat="false" ht="25.5" hidden="false" customHeight="true" outlineLevel="0" collapsed="false">
      <c r="A317" s="29"/>
      <c r="B317" s="30" t="s">
        <v>1499</v>
      </c>
      <c r="C317" s="31" t="s">
        <v>107</v>
      </c>
      <c r="D317" s="31" t="s">
        <v>108</v>
      </c>
      <c r="E317" s="32" t="n">
        <v>14275</v>
      </c>
      <c r="F317" s="32"/>
      <c r="G317" s="32" t="n">
        <v>150</v>
      </c>
      <c r="H317" s="33" t="n">
        <v>2</v>
      </c>
      <c r="I317" s="34" t="n">
        <f aca="false">E317*H317+N(F317)+N(G317)</f>
        <v>28700</v>
      </c>
      <c r="J317" s="32" t="n">
        <f aca="false">ROUND(IFERROR(ROUND(IF(OR(ISNUMBER(SEARCH("week",C317)),ISNUMBER(SEARCH("minggu",C317))),IFERROR(_xlfn.NUMBERVALUE(SUBSTITUTE(LEFT(TRIM(C317),FIND(" ",TRIM(C317)&amp;" ")-1),",","."),"."),LEFT(SUBSTITUTE(LEFT(TRIM(C317),FIND(" ",TRIM(C317)&amp;" ")-1),",","."),FIND("/",SUBSTITUTE(LEFT(TRIM(C317),FIND(" ",TRIM(C317)&amp;" ")-1),",","."))-1)/MID(SUBSTITUTE(LEFT(TRIM(C317),FIND(" ",TRIM(C317)&amp;" ")-1),",","."),FIND("/",SUBSTITUTE(LEFT(TRIM(C317),FIND(" ",TRIM(C317)&amp;" ")-1),",","."))+1,9))*12/52,IF(ISNUMBER(SEARCH("month",C317)),IFERROR(_xlfn.NUMBERVALUE(SUBSTITUTE(LEFT(TRIM(C317),FIND(" ",TRIM(C317)&amp;" ")-1),",","."),"."),LEFT(SUBSTITUTE(LEFT(TRIM(C317),FIND(" ",TRIM(C317)&amp;" ")-1),",","."),FIND("/",SUBSTITUTE(LEFT(TRIM(C317),FIND(" ",TRIM(C317)&amp;" ")-1),",","."))-1)/MID(SUBSTITUTE(LEFT(TRIM(C317),FIND(" ",TRIM(C317)&amp;" ")-1),",","."),FIND("/",SUBSTITUTE(LEFT(TRIM(C317),FIND(" ",TRIM(C317)&amp;" ")-1),",","."))+1,9)),IF(ISNUMBER(SEARCH("yea",C317)),IFERROR(_xlfn.NUMBERVALUE(SUBSTITUTE(LEFT(TRIM(C317),FIND(" ",TRIM(C317)&amp;" ")-1),",","."),"."),LEFT(SUBSTITUTE(LEFT(TRIM(C317),FIND(" ",TRIM(C317)&amp;" ")-1),",","."),FIND("/",SUBSTITUTE(LEFT(TRIM(C317),FIND(" ",TRIM(C317)&amp;" ")-1),",","."))-1)/MID(SUBSTITUTE(LEFT(TRIM(C317),FIND(" ",TRIM(C317)&amp;" ")-1),",","."),FIND("/",SUBSTITUTE(LEFT(TRIM(C317),FIND(" ",TRIM(C317)&amp;" ")-1),",","."))+1,9))*12,NA()))),0),24)*'Aturan &amp; Tarif'!$B$4,2)</f>
        <v>1362.72</v>
      </c>
      <c r="K317" s="32" t="n">
        <f aca="false">'Aturan &amp; Tarif'!$B$5</f>
        <v>2050</v>
      </c>
      <c r="L317" s="32" t="n">
        <f aca="false">'Aturan &amp; Tarif'!$B$6</f>
        <v>350</v>
      </c>
      <c r="M317" s="35" t="n">
        <f aca="false">I317+J317+K317+L317</f>
        <v>32462.72</v>
      </c>
      <c r="N317" s="37" t="s">
        <v>846</v>
      </c>
    </row>
    <row r="318" customFormat="false" ht="14.25" hidden="false" customHeight="true" outlineLevel="0" collapsed="false">
      <c r="A318" s="29"/>
      <c r="B318" s="30" t="s">
        <v>1500</v>
      </c>
      <c r="C318" s="31" t="s">
        <v>107</v>
      </c>
      <c r="D318" s="31" t="s">
        <v>108</v>
      </c>
      <c r="E318" s="32" t="n">
        <v>14275</v>
      </c>
      <c r="F318" s="32"/>
      <c r="G318" s="32" t="n">
        <v>150</v>
      </c>
      <c r="H318" s="33" t="n">
        <v>2</v>
      </c>
      <c r="I318" s="34" t="n">
        <f aca="false">E318*H318+N(F318)+N(G318)</f>
        <v>28700</v>
      </c>
      <c r="J318" s="32" t="n">
        <f aca="false">ROUND(IFERROR(ROUND(IF(OR(ISNUMBER(SEARCH("week",C318)),ISNUMBER(SEARCH("minggu",C318))),IFERROR(_xlfn.NUMBERVALUE(SUBSTITUTE(LEFT(TRIM(C318),FIND(" ",TRIM(C318)&amp;" ")-1),",","."),"."),LEFT(SUBSTITUTE(LEFT(TRIM(C318),FIND(" ",TRIM(C318)&amp;" ")-1),",","."),FIND("/",SUBSTITUTE(LEFT(TRIM(C318),FIND(" ",TRIM(C318)&amp;" ")-1),",","."))-1)/MID(SUBSTITUTE(LEFT(TRIM(C318),FIND(" ",TRIM(C318)&amp;" ")-1),",","."),FIND("/",SUBSTITUTE(LEFT(TRIM(C318),FIND(" ",TRIM(C318)&amp;" ")-1),",","."))+1,9))*12/52,IF(ISNUMBER(SEARCH("month",C318)),IFERROR(_xlfn.NUMBERVALUE(SUBSTITUTE(LEFT(TRIM(C318),FIND(" ",TRIM(C318)&amp;" ")-1),",","."),"."),LEFT(SUBSTITUTE(LEFT(TRIM(C318),FIND(" ",TRIM(C318)&amp;" ")-1),",","."),FIND("/",SUBSTITUTE(LEFT(TRIM(C318),FIND(" ",TRIM(C318)&amp;" ")-1),",","."))-1)/MID(SUBSTITUTE(LEFT(TRIM(C318),FIND(" ",TRIM(C318)&amp;" ")-1),",","."),FIND("/",SUBSTITUTE(LEFT(TRIM(C318),FIND(" ",TRIM(C318)&amp;" ")-1),",","."))+1,9)),IF(ISNUMBER(SEARCH("yea",C318)),IFERROR(_xlfn.NUMBERVALUE(SUBSTITUTE(LEFT(TRIM(C318),FIND(" ",TRIM(C318)&amp;" ")-1),",","."),"."),LEFT(SUBSTITUTE(LEFT(TRIM(C318),FIND(" ",TRIM(C318)&amp;" ")-1),",","."),FIND("/",SUBSTITUTE(LEFT(TRIM(C318),FIND(" ",TRIM(C318)&amp;" ")-1),",","."))-1)/MID(SUBSTITUTE(LEFT(TRIM(C318),FIND(" ",TRIM(C318)&amp;" ")-1),",","."),FIND("/",SUBSTITUTE(LEFT(TRIM(C318),FIND(" ",TRIM(C318)&amp;" ")-1),",","."))+1,9))*12,NA()))),0),24)*'Aturan &amp; Tarif'!$B$4,2)</f>
        <v>1362.72</v>
      </c>
      <c r="K318" s="32" t="n">
        <f aca="false">'Aturan &amp; Tarif'!$B$5</f>
        <v>2050</v>
      </c>
      <c r="L318" s="32" t="n">
        <f aca="false">'Aturan &amp; Tarif'!$B$6</f>
        <v>350</v>
      </c>
      <c r="M318" s="35" t="n">
        <f aca="false">I318+J318+K318+L318</f>
        <v>32462.72</v>
      </c>
      <c r="N318" s="37" t="s">
        <v>846</v>
      </c>
    </row>
    <row r="319" customFormat="false" ht="25.5" hidden="false" customHeight="true" outlineLevel="0" collapsed="false">
      <c r="A319" s="29"/>
      <c r="B319" s="30" t="s">
        <v>1501</v>
      </c>
      <c r="C319" s="31" t="s">
        <v>107</v>
      </c>
      <c r="D319" s="31" t="s">
        <v>108</v>
      </c>
      <c r="E319" s="32" t="n">
        <v>13850</v>
      </c>
      <c r="F319" s="32"/>
      <c r="G319" s="32" t="n">
        <v>150</v>
      </c>
      <c r="H319" s="33" t="n">
        <v>2</v>
      </c>
      <c r="I319" s="34" t="n">
        <f aca="false">E319*H319+N(F319)+N(G319)</f>
        <v>27850</v>
      </c>
      <c r="J319" s="32" t="n">
        <f aca="false">ROUND(IFERROR(ROUND(IF(OR(ISNUMBER(SEARCH("week",C319)),ISNUMBER(SEARCH("minggu",C319))),IFERROR(_xlfn.NUMBERVALUE(SUBSTITUTE(LEFT(TRIM(C319),FIND(" ",TRIM(C319)&amp;" ")-1),",","."),"."),LEFT(SUBSTITUTE(LEFT(TRIM(C319),FIND(" ",TRIM(C319)&amp;" ")-1),",","."),FIND("/",SUBSTITUTE(LEFT(TRIM(C319),FIND(" ",TRIM(C319)&amp;" ")-1),",","."))-1)/MID(SUBSTITUTE(LEFT(TRIM(C319),FIND(" ",TRIM(C319)&amp;" ")-1),",","."),FIND("/",SUBSTITUTE(LEFT(TRIM(C319),FIND(" ",TRIM(C319)&amp;" ")-1),",","."))+1,9))*12/52,IF(ISNUMBER(SEARCH("month",C319)),IFERROR(_xlfn.NUMBERVALUE(SUBSTITUTE(LEFT(TRIM(C319),FIND(" ",TRIM(C319)&amp;" ")-1),",","."),"."),LEFT(SUBSTITUTE(LEFT(TRIM(C319),FIND(" ",TRIM(C319)&amp;" ")-1),",","."),FIND("/",SUBSTITUTE(LEFT(TRIM(C319),FIND(" ",TRIM(C319)&amp;" ")-1),",","."))-1)/MID(SUBSTITUTE(LEFT(TRIM(C319),FIND(" ",TRIM(C319)&amp;" ")-1),",","."),FIND("/",SUBSTITUTE(LEFT(TRIM(C319),FIND(" ",TRIM(C319)&amp;" ")-1),",","."))+1,9)),IF(ISNUMBER(SEARCH("yea",C319)),IFERROR(_xlfn.NUMBERVALUE(SUBSTITUTE(LEFT(TRIM(C319),FIND(" ",TRIM(C319)&amp;" ")-1),",","."),"."),LEFT(SUBSTITUTE(LEFT(TRIM(C319),FIND(" ",TRIM(C319)&amp;" ")-1),",","."),FIND("/",SUBSTITUTE(LEFT(TRIM(C319),FIND(" ",TRIM(C319)&amp;" ")-1),",","."))-1)/MID(SUBSTITUTE(LEFT(TRIM(C319),FIND(" ",TRIM(C319)&amp;" ")-1),",","."),FIND("/",SUBSTITUTE(LEFT(TRIM(C319),FIND(" ",TRIM(C319)&amp;" ")-1),",","."))+1,9))*12,NA()))),0),24)*'Aturan &amp; Tarif'!$B$4,2)</f>
        <v>1362.72</v>
      </c>
      <c r="K319" s="32" t="n">
        <f aca="false">'Aturan &amp; Tarif'!$B$5</f>
        <v>2050</v>
      </c>
      <c r="L319" s="32" t="n">
        <f aca="false">'Aturan &amp; Tarif'!$B$6</f>
        <v>350</v>
      </c>
      <c r="M319" s="35" t="n">
        <f aca="false">I319+J319+K319+L319</f>
        <v>31612.72</v>
      </c>
      <c r="N319" s="37" t="s">
        <v>1502</v>
      </c>
    </row>
    <row r="320" customFormat="false" ht="25.5" hidden="false" customHeight="true" outlineLevel="0" collapsed="false">
      <c r="A320" s="29"/>
      <c r="B320" s="30" t="s">
        <v>1503</v>
      </c>
      <c r="C320" s="31" t="s">
        <v>107</v>
      </c>
      <c r="D320" s="31" t="s">
        <v>108</v>
      </c>
      <c r="E320" s="32" t="n">
        <v>13850</v>
      </c>
      <c r="F320" s="32"/>
      <c r="G320" s="32" t="n">
        <v>150</v>
      </c>
      <c r="H320" s="33" t="n">
        <v>2</v>
      </c>
      <c r="I320" s="34" t="n">
        <f aca="false">E320*H320+N(F320)+N(G320)</f>
        <v>27850</v>
      </c>
      <c r="J320" s="32" t="n">
        <f aca="false">ROUND(IFERROR(ROUND(IF(OR(ISNUMBER(SEARCH("week",C320)),ISNUMBER(SEARCH("minggu",C320))),IFERROR(_xlfn.NUMBERVALUE(SUBSTITUTE(LEFT(TRIM(C320),FIND(" ",TRIM(C320)&amp;" ")-1),",","."),"."),LEFT(SUBSTITUTE(LEFT(TRIM(C320),FIND(" ",TRIM(C320)&amp;" ")-1),",","."),FIND("/",SUBSTITUTE(LEFT(TRIM(C320),FIND(" ",TRIM(C320)&amp;" ")-1),",","."))-1)/MID(SUBSTITUTE(LEFT(TRIM(C320),FIND(" ",TRIM(C320)&amp;" ")-1),",","."),FIND("/",SUBSTITUTE(LEFT(TRIM(C320),FIND(" ",TRIM(C320)&amp;" ")-1),",","."))+1,9))*12/52,IF(ISNUMBER(SEARCH("month",C320)),IFERROR(_xlfn.NUMBERVALUE(SUBSTITUTE(LEFT(TRIM(C320),FIND(" ",TRIM(C320)&amp;" ")-1),",","."),"."),LEFT(SUBSTITUTE(LEFT(TRIM(C320),FIND(" ",TRIM(C320)&amp;" ")-1),",","."),FIND("/",SUBSTITUTE(LEFT(TRIM(C320),FIND(" ",TRIM(C320)&amp;" ")-1),",","."))-1)/MID(SUBSTITUTE(LEFT(TRIM(C320),FIND(" ",TRIM(C320)&amp;" ")-1),",","."),FIND("/",SUBSTITUTE(LEFT(TRIM(C320),FIND(" ",TRIM(C320)&amp;" ")-1),",","."))+1,9)),IF(ISNUMBER(SEARCH("yea",C320)),IFERROR(_xlfn.NUMBERVALUE(SUBSTITUTE(LEFT(TRIM(C320),FIND(" ",TRIM(C320)&amp;" ")-1),",","."),"."),LEFT(SUBSTITUTE(LEFT(TRIM(C320),FIND(" ",TRIM(C320)&amp;" ")-1),",","."),FIND("/",SUBSTITUTE(LEFT(TRIM(C320),FIND(" ",TRIM(C320)&amp;" ")-1),",","."))-1)/MID(SUBSTITUTE(LEFT(TRIM(C320),FIND(" ",TRIM(C320)&amp;" ")-1),",","."),FIND("/",SUBSTITUTE(LEFT(TRIM(C320),FIND(" ",TRIM(C320)&amp;" ")-1),",","."))+1,9))*12,NA()))),0),24)*'Aturan &amp; Tarif'!$B$4,2)</f>
        <v>1362.72</v>
      </c>
      <c r="K320" s="32" t="n">
        <f aca="false">'Aturan &amp; Tarif'!$B$5</f>
        <v>2050</v>
      </c>
      <c r="L320" s="32" t="n">
        <f aca="false">'Aturan &amp; Tarif'!$B$6</f>
        <v>350</v>
      </c>
      <c r="M320" s="35" t="n">
        <f aca="false">I320+J320+K320+L320</f>
        <v>31612.72</v>
      </c>
      <c r="N320" s="37" t="s">
        <v>846</v>
      </c>
    </row>
    <row r="321" customFormat="false" ht="25.5" hidden="false" customHeight="true" outlineLevel="0" collapsed="false">
      <c r="A321" s="29"/>
      <c r="B321" s="30" t="s">
        <v>1504</v>
      </c>
      <c r="C321" s="31" t="s">
        <v>107</v>
      </c>
      <c r="D321" s="31" t="s">
        <v>108</v>
      </c>
      <c r="E321" s="32" t="n">
        <v>13850</v>
      </c>
      <c r="F321" s="32"/>
      <c r="G321" s="32" t="n">
        <v>150</v>
      </c>
      <c r="H321" s="33" t="n">
        <v>2</v>
      </c>
      <c r="I321" s="34" t="n">
        <f aca="false">E321*H321+N(F321)+N(G321)</f>
        <v>27850</v>
      </c>
      <c r="J321" s="32" t="n">
        <f aca="false">ROUND(IFERROR(ROUND(IF(OR(ISNUMBER(SEARCH("week",C321)),ISNUMBER(SEARCH("minggu",C321))),IFERROR(_xlfn.NUMBERVALUE(SUBSTITUTE(LEFT(TRIM(C321),FIND(" ",TRIM(C321)&amp;" ")-1),",","."),"."),LEFT(SUBSTITUTE(LEFT(TRIM(C321),FIND(" ",TRIM(C321)&amp;" ")-1),",","."),FIND("/",SUBSTITUTE(LEFT(TRIM(C321),FIND(" ",TRIM(C321)&amp;" ")-1),",","."))-1)/MID(SUBSTITUTE(LEFT(TRIM(C321),FIND(" ",TRIM(C321)&amp;" ")-1),",","."),FIND("/",SUBSTITUTE(LEFT(TRIM(C321),FIND(" ",TRIM(C321)&amp;" ")-1),",","."))+1,9))*12/52,IF(ISNUMBER(SEARCH("month",C321)),IFERROR(_xlfn.NUMBERVALUE(SUBSTITUTE(LEFT(TRIM(C321),FIND(" ",TRIM(C321)&amp;" ")-1),",","."),"."),LEFT(SUBSTITUTE(LEFT(TRIM(C321),FIND(" ",TRIM(C321)&amp;" ")-1),",","."),FIND("/",SUBSTITUTE(LEFT(TRIM(C321),FIND(" ",TRIM(C321)&amp;" ")-1),",","."))-1)/MID(SUBSTITUTE(LEFT(TRIM(C321),FIND(" ",TRIM(C321)&amp;" ")-1),",","."),FIND("/",SUBSTITUTE(LEFT(TRIM(C321),FIND(" ",TRIM(C321)&amp;" ")-1),",","."))+1,9)),IF(ISNUMBER(SEARCH("yea",C321)),IFERROR(_xlfn.NUMBERVALUE(SUBSTITUTE(LEFT(TRIM(C321),FIND(" ",TRIM(C321)&amp;" ")-1),",","."),"."),LEFT(SUBSTITUTE(LEFT(TRIM(C321),FIND(" ",TRIM(C321)&amp;" ")-1),",","."),FIND("/",SUBSTITUTE(LEFT(TRIM(C321),FIND(" ",TRIM(C321)&amp;" ")-1),",","."))-1)/MID(SUBSTITUTE(LEFT(TRIM(C321),FIND(" ",TRIM(C321)&amp;" ")-1),",","."),FIND("/",SUBSTITUTE(LEFT(TRIM(C321),FIND(" ",TRIM(C321)&amp;" ")-1),",","."))+1,9))*12,NA()))),0),24)*'Aturan &amp; Tarif'!$B$4,2)</f>
        <v>1362.72</v>
      </c>
      <c r="K321" s="32" t="n">
        <f aca="false">'Aturan &amp; Tarif'!$B$5</f>
        <v>2050</v>
      </c>
      <c r="L321" s="32" t="n">
        <f aca="false">'Aturan &amp; Tarif'!$B$6</f>
        <v>350</v>
      </c>
      <c r="M321" s="35" t="n">
        <f aca="false">I321+J321+K321+L321</f>
        <v>31612.72</v>
      </c>
      <c r="N321" s="37" t="s">
        <v>846</v>
      </c>
    </row>
    <row r="322" customFormat="false" ht="25.5" hidden="false" customHeight="true" outlineLevel="0" collapsed="false">
      <c r="A322" s="29"/>
      <c r="B322" s="30" t="s">
        <v>1505</v>
      </c>
      <c r="C322" s="31" t="s">
        <v>107</v>
      </c>
      <c r="D322" s="31" t="s">
        <v>108</v>
      </c>
      <c r="E322" s="32" t="n">
        <v>13850</v>
      </c>
      <c r="F322" s="32"/>
      <c r="G322" s="32" t="n">
        <v>150</v>
      </c>
      <c r="H322" s="33" t="n">
        <v>2</v>
      </c>
      <c r="I322" s="34" t="n">
        <f aca="false">E322*H322+N(F322)+N(G322)</f>
        <v>27850</v>
      </c>
      <c r="J322" s="32" t="n">
        <f aca="false">ROUND(IFERROR(ROUND(IF(OR(ISNUMBER(SEARCH("week",C322)),ISNUMBER(SEARCH("minggu",C322))),IFERROR(_xlfn.NUMBERVALUE(SUBSTITUTE(LEFT(TRIM(C322),FIND(" ",TRIM(C322)&amp;" ")-1),",","."),"."),LEFT(SUBSTITUTE(LEFT(TRIM(C322),FIND(" ",TRIM(C322)&amp;" ")-1),",","."),FIND("/",SUBSTITUTE(LEFT(TRIM(C322),FIND(" ",TRIM(C322)&amp;" ")-1),",","."))-1)/MID(SUBSTITUTE(LEFT(TRIM(C322),FIND(" ",TRIM(C322)&amp;" ")-1),",","."),FIND("/",SUBSTITUTE(LEFT(TRIM(C322),FIND(" ",TRIM(C322)&amp;" ")-1),",","."))+1,9))*12/52,IF(ISNUMBER(SEARCH("month",C322)),IFERROR(_xlfn.NUMBERVALUE(SUBSTITUTE(LEFT(TRIM(C322),FIND(" ",TRIM(C322)&amp;" ")-1),",","."),"."),LEFT(SUBSTITUTE(LEFT(TRIM(C322),FIND(" ",TRIM(C322)&amp;" ")-1),",","."),FIND("/",SUBSTITUTE(LEFT(TRIM(C322),FIND(" ",TRIM(C322)&amp;" ")-1),",","."))-1)/MID(SUBSTITUTE(LEFT(TRIM(C322),FIND(" ",TRIM(C322)&amp;" ")-1),",","."),FIND("/",SUBSTITUTE(LEFT(TRIM(C322),FIND(" ",TRIM(C322)&amp;" ")-1),",","."))+1,9)),IF(ISNUMBER(SEARCH("yea",C322)),IFERROR(_xlfn.NUMBERVALUE(SUBSTITUTE(LEFT(TRIM(C322),FIND(" ",TRIM(C322)&amp;" ")-1),",","."),"."),LEFT(SUBSTITUTE(LEFT(TRIM(C322),FIND(" ",TRIM(C322)&amp;" ")-1),",","."),FIND("/",SUBSTITUTE(LEFT(TRIM(C322),FIND(" ",TRIM(C322)&amp;" ")-1),",","."))-1)/MID(SUBSTITUTE(LEFT(TRIM(C322),FIND(" ",TRIM(C322)&amp;" ")-1),",","."),FIND("/",SUBSTITUTE(LEFT(TRIM(C322),FIND(" ",TRIM(C322)&amp;" ")-1),",","."))+1,9))*12,NA()))),0),24)*'Aturan &amp; Tarif'!$B$4,2)</f>
        <v>1362.72</v>
      </c>
      <c r="K322" s="32" t="n">
        <f aca="false">'Aturan &amp; Tarif'!$B$5</f>
        <v>2050</v>
      </c>
      <c r="L322" s="32" t="n">
        <f aca="false">'Aturan &amp; Tarif'!$B$6</f>
        <v>350</v>
      </c>
      <c r="M322" s="35" t="n">
        <f aca="false">I322+J322+K322+L322</f>
        <v>31612.72</v>
      </c>
      <c r="N322" s="37" t="s">
        <v>846</v>
      </c>
    </row>
    <row r="323" customFormat="false" ht="14.25" hidden="false" customHeight="true" outlineLevel="0" collapsed="false">
      <c r="A323" s="29"/>
      <c r="B323" s="30" t="s">
        <v>1506</v>
      </c>
      <c r="C323" s="31" t="s">
        <v>344</v>
      </c>
      <c r="D323" s="31" t="s">
        <v>108</v>
      </c>
      <c r="E323" s="32" t="n">
        <v>11275</v>
      </c>
      <c r="F323" s="32"/>
      <c r="G323" s="32" t="n">
        <v>150</v>
      </c>
      <c r="H323" s="33" t="n">
        <v>2</v>
      </c>
      <c r="I323" s="34" t="n">
        <f aca="false">E323*H323+N(F323)+N(G323)</f>
        <v>22700</v>
      </c>
      <c r="J323" s="32" t="n">
        <f aca="false">ROUND(IFERROR(ROUND(IF(OR(ISNUMBER(SEARCH("week",C323)),ISNUMBER(SEARCH("minggu",C323))),IFERROR(_xlfn.NUMBERVALUE(SUBSTITUTE(LEFT(TRIM(C323),FIND(" ",TRIM(C323)&amp;" ")-1),",","."),"."),LEFT(SUBSTITUTE(LEFT(TRIM(C323),FIND(" ",TRIM(C323)&amp;" ")-1),",","."),FIND("/",SUBSTITUTE(LEFT(TRIM(C323),FIND(" ",TRIM(C323)&amp;" ")-1),",","."))-1)/MID(SUBSTITUTE(LEFT(TRIM(C323),FIND(" ",TRIM(C323)&amp;" ")-1),",","."),FIND("/",SUBSTITUTE(LEFT(TRIM(C323),FIND(" ",TRIM(C323)&amp;" ")-1),",","."))+1,9))*12/52,IF(ISNUMBER(SEARCH("month",C323)),IFERROR(_xlfn.NUMBERVALUE(SUBSTITUTE(LEFT(TRIM(C323),FIND(" ",TRIM(C323)&amp;" ")-1),",","."),"."),LEFT(SUBSTITUTE(LEFT(TRIM(C323),FIND(" ",TRIM(C323)&amp;" ")-1),",","."),FIND("/",SUBSTITUTE(LEFT(TRIM(C323),FIND(" ",TRIM(C323)&amp;" ")-1),",","."))-1)/MID(SUBSTITUTE(LEFT(TRIM(C323),FIND(" ",TRIM(C323)&amp;" ")-1),",","."),FIND("/",SUBSTITUTE(LEFT(TRIM(C323),FIND(" ",TRIM(C323)&amp;" ")-1),",","."))+1,9)),IF(ISNUMBER(SEARCH("yea",C323)),IFERROR(_xlfn.NUMBERVALUE(SUBSTITUTE(LEFT(TRIM(C323),FIND(" ",TRIM(C323)&amp;" ")-1),",","."),"."),LEFT(SUBSTITUTE(LEFT(TRIM(C323),FIND(" ",TRIM(C323)&amp;" ")-1),",","."),FIND("/",SUBSTITUTE(LEFT(TRIM(C323),FIND(" ",TRIM(C323)&amp;" ")-1),",","."))-1)/MID(SUBSTITUTE(LEFT(TRIM(C323),FIND(" ",TRIM(C323)&amp;" ")-1),",","."),FIND("/",SUBSTITUTE(LEFT(TRIM(C323),FIND(" ",TRIM(C323)&amp;" ")-1),",","."))+1,9))*12,NA()))),0),6)*'Aturan &amp; Tarif'!$B$4,2)</f>
        <v>340.68</v>
      </c>
      <c r="K323" s="32" t="n">
        <f aca="false">'Aturan &amp; Tarif'!$B$5</f>
        <v>2050</v>
      </c>
      <c r="L323" s="32" t="n">
        <f aca="false">'Aturan &amp; Tarif'!$B$6</f>
        <v>350</v>
      </c>
      <c r="M323" s="35" t="n">
        <f aca="false">I323+J323+K323+L323</f>
        <v>25440.68</v>
      </c>
      <c r="N323" s="37" t="s">
        <v>846</v>
      </c>
    </row>
    <row r="324" customFormat="false" ht="25.5" hidden="false" customHeight="true" outlineLevel="0" collapsed="false">
      <c r="A324" s="29"/>
      <c r="B324" s="30" t="s">
        <v>1507</v>
      </c>
      <c r="C324" s="31" t="s">
        <v>344</v>
      </c>
      <c r="D324" s="31" t="s">
        <v>108</v>
      </c>
      <c r="E324" s="32" t="n">
        <v>11275</v>
      </c>
      <c r="F324" s="32"/>
      <c r="G324" s="32" t="n">
        <v>150</v>
      </c>
      <c r="H324" s="33" t="n">
        <v>2</v>
      </c>
      <c r="I324" s="34" t="n">
        <f aca="false">E324*H324+N(F324)+N(G324)</f>
        <v>22700</v>
      </c>
      <c r="J324" s="32" t="n">
        <f aca="false">ROUND(IFERROR(ROUND(IF(OR(ISNUMBER(SEARCH("week",C324)),ISNUMBER(SEARCH("minggu",C324))),IFERROR(_xlfn.NUMBERVALUE(SUBSTITUTE(LEFT(TRIM(C324),FIND(" ",TRIM(C324)&amp;" ")-1),",","."),"."),LEFT(SUBSTITUTE(LEFT(TRIM(C324),FIND(" ",TRIM(C324)&amp;" ")-1),",","."),FIND("/",SUBSTITUTE(LEFT(TRIM(C324),FIND(" ",TRIM(C324)&amp;" ")-1),",","."))-1)/MID(SUBSTITUTE(LEFT(TRIM(C324),FIND(" ",TRIM(C324)&amp;" ")-1),",","."),FIND("/",SUBSTITUTE(LEFT(TRIM(C324),FIND(" ",TRIM(C324)&amp;" ")-1),",","."))+1,9))*12/52,IF(ISNUMBER(SEARCH("month",C324)),IFERROR(_xlfn.NUMBERVALUE(SUBSTITUTE(LEFT(TRIM(C324),FIND(" ",TRIM(C324)&amp;" ")-1),",","."),"."),LEFT(SUBSTITUTE(LEFT(TRIM(C324),FIND(" ",TRIM(C324)&amp;" ")-1),",","."),FIND("/",SUBSTITUTE(LEFT(TRIM(C324),FIND(" ",TRIM(C324)&amp;" ")-1),",","."))-1)/MID(SUBSTITUTE(LEFT(TRIM(C324),FIND(" ",TRIM(C324)&amp;" ")-1),",","."),FIND("/",SUBSTITUTE(LEFT(TRIM(C324),FIND(" ",TRIM(C324)&amp;" ")-1),",","."))+1,9)),IF(ISNUMBER(SEARCH("yea",C324)),IFERROR(_xlfn.NUMBERVALUE(SUBSTITUTE(LEFT(TRIM(C324),FIND(" ",TRIM(C324)&amp;" ")-1),",","."),"."),LEFT(SUBSTITUTE(LEFT(TRIM(C324),FIND(" ",TRIM(C324)&amp;" ")-1),",","."),FIND("/",SUBSTITUTE(LEFT(TRIM(C324),FIND(" ",TRIM(C324)&amp;" ")-1),",","."))-1)/MID(SUBSTITUTE(LEFT(TRIM(C324),FIND(" ",TRIM(C324)&amp;" ")-1),",","."),FIND("/",SUBSTITUTE(LEFT(TRIM(C324),FIND(" ",TRIM(C324)&amp;" ")-1),",","."))+1,9))*12,NA()))),0),6)*'Aturan &amp; Tarif'!$B$4,2)</f>
        <v>340.68</v>
      </c>
      <c r="K324" s="32" t="n">
        <f aca="false">'Aturan &amp; Tarif'!$B$5</f>
        <v>2050</v>
      </c>
      <c r="L324" s="32" t="n">
        <f aca="false">'Aturan &amp; Tarif'!$B$6</f>
        <v>350</v>
      </c>
      <c r="M324" s="35" t="n">
        <f aca="false">I324+J324+K324+L324</f>
        <v>25440.68</v>
      </c>
      <c r="N324" s="37" t="s">
        <v>846</v>
      </c>
    </row>
    <row r="325" customFormat="false" ht="14.25" hidden="false" customHeight="true" outlineLevel="0" collapsed="false">
      <c r="A325" s="29"/>
      <c r="B325" s="30" t="s">
        <v>1508</v>
      </c>
      <c r="C325" s="31" t="s">
        <v>344</v>
      </c>
      <c r="D325" s="31" t="s">
        <v>108</v>
      </c>
      <c r="E325" s="32" t="n">
        <v>11275</v>
      </c>
      <c r="F325" s="32"/>
      <c r="G325" s="32" t="n">
        <v>150</v>
      </c>
      <c r="H325" s="33" t="n">
        <v>2</v>
      </c>
      <c r="I325" s="34" t="n">
        <f aca="false">E325*H325+N(F325)+N(G325)</f>
        <v>22700</v>
      </c>
      <c r="J325" s="32" t="n">
        <f aca="false">ROUND(IFERROR(ROUND(IF(OR(ISNUMBER(SEARCH("week",C325)),ISNUMBER(SEARCH("minggu",C325))),IFERROR(_xlfn.NUMBERVALUE(SUBSTITUTE(LEFT(TRIM(C325),FIND(" ",TRIM(C325)&amp;" ")-1),",","."),"."),LEFT(SUBSTITUTE(LEFT(TRIM(C325),FIND(" ",TRIM(C325)&amp;" ")-1),",","."),FIND("/",SUBSTITUTE(LEFT(TRIM(C325),FIND(" ",TRIM(C325)&amp;" ")-1),",","."))-1)/MID(SUBSTITUTE(LEFT(TRIM(C325),FIND(" ",TRIM(C325)&amp;" ")-1),",","."),FIND("/",SUBSTITUTE(LEFT(TRIM(C325),FIND(" ",TRIM(C325)&amp;" ")-1),",","."))+1,9))*12/52,IF(ISNUMBER(SEARCH("month",C325)),IFERROR(_xlfn.NUMBERVALUE(SUBSTITUTE(LEFT(TRIM(C325),FIND(" ",TRIM(C325)&amp;" ")-1),",","."),"."),LEFT(SUBSTITUTE(LEFT(TRIM(C325),FIND(" ",TRIM(C325)&amp;" ")-1),",","."),FIND("/",SUBSTITUTE(LEFT(TRIM(C325),FIND(" ",TRIM(C325)&amp;" ")-1),",","."))-1)/MID(SUBSTITUTE(LEFT(TRIM(C325),FIND(" ",TRIM(C325)&amp;" ")-1),",","."),FIND("/",SUBSTITUTE(LEFT(TRIM(C325),FIND(" ",TRIM(C325)&amp;" ")-1),",","."))+1,9)),IF(ISNUMBER(SEARCH("yea",C325)),IFERROR(_xlfn.NUMBERVALUE(SUBSTITUTE(LEFT(TRIM(C325),FIND(" ",TRIM(C325)&amp;" ")-1),",","."),"."),LEFT(SUBSTITUTE(LEFT(TRIM(C325),FIND(" ",TRIM(C325)&amp;" ")-1),",","."),FIND("/",SUBSTITUTE(LEFT(TRIM(C325),FIND(" ",TRIM(C325)&amp;" ")-1),",","."))-1)/MID(SUBSTITUTE(LEFT(TRIM(C325),FIND(" ",TRIM(C325)&amp;" ")-1),",","."),FIND("/",SUBSTITUTE(LEFT(TRIM(C325),FIND(" ",TRIM(C325)&amp;" ")-1),",","."))+1,9))*12,NA()))),0),6)*'Aturan &amp; Tarif'!$B$4,2)</f>
        <v>340.68</v>
      </c>
      <c r="K325" s="32" t="n">
        <f aca="false">'Aturan &amp; Tarif'!$B$5</f>
        <v>2050</v>
      </c>
      <c r="L325" s="32" t="n">
        <f aca="false">'Aturan &amp; Tarif'!$B$6</f>
        <v>350</v>
      </c>
      <c r="M325" s="35" t="n">
        <f aca="false">I325+J325+K325+L325</f>
        <v>25440.68</v>
      </c>
      <c r="N325" s="37" t="s">
        <v>846</v>
      </c>
    </row>
    <row r="326" customFormat="false" ht="14.25" hidden="false" customHeight="true" outlineLevel="0" collapsed="false">
      <c r="A326" s="29"/>
      <c r="B326" s="30" t="s">
        <v>1509</v>
      </c>
      <c r="C326" s="31" t="s">
        <v>107</v>
      </c>
      <c r="D326" s="31" t="s">
        <v>108</v>
      </c>
      <c r="E326" s="32" t="n">
        <v>12150</v>
      </c>
      <c r="F326" s="32"/>
      <c r="G326" s="32" t="n">
        <v>150</v>
      </c>
      <c r="H326" s="33" t="n">
        <v>2</v>
      </c>
      <c r="I326" s="34" t="n">
        <f aca="false">E326*H326+N(F326)+N(G326)</f>
        <v>24450</v>
      </c>
      <c r="J326" s="32" t="n">
        <f aca="false">ROUND(IFERROR(ROUND(IF(OR(ISNUMBER(SEARCH("week",C326)),ISNUMBER(SEARCH("minggu",C326))),IFERROR(_xlfn.NUMBERVALUE(SUBSTITUTE(LEFT(TRIM(C326),FIND(" ",TRIM(C326)&amp;" ")-1),",","."),"."),LEFT(SUBSTITUTE(LEFT(TRIM(C326),FIND(" ",TRIM(C326)&amp;" ")-1),",","."),FIND("/",SUBSTITUTE(LEFT(TRIM(C326),FIND(" ",TRIM(C326)&amp;" ")-1),",","."))-1)/MID(SUBSTITUTE(LEFT(TRIM(C326),FIND(" ",TRIM(C326)&amp;" ")-1),",","."),FIND("/",SUBSTITUTE(LEFT(TRIM(C326),FIND(" ",TRIM(C326)&amp;" ")-1),",","."))+1,9))*12/52,IF(ISNUMBER(SEARCH("month",C326)),IFERROR(_xlfn.NUMBERVALUE(SUBSTITUTE(LEFT(TRIM(C326),FIND(" ",TRIM(C326)&amp;" ")-1),",","."),"."),LEFT(SUBSTITUTE(LEFT(TRIM(C326),FIND(" ",TRIM(C326)&amp;" ")-1),",","."),FIND("/",SUBSTITUTE(LEFT(TRIM(C326),FIND(" ",TRIM(C326)&amp;" ")-1),",","."))-1)/MID(SUBSTITUTE(LEFT(TRIM(C326),FIND(" ",TRIM(C326)&amp;" ")-1),",","."),FIND("/",SUBSTITUTE(LEFT(TRIM(C326),FIND(" ",TRIM(C326)&amp;" ")-1),",","."))+1,9)),IF(ISNUMBER(SEARCH("yea",C326)),IFERROR(_xlfn.NUMBERVALUE(SUBSTITUTE(LEFT(TRIM(C326),FIND(" ",TRIM(C326)&amp;" ")-1),",","."),"."),LEFT(SUBSTITUTE(LEFT(TRIM(C326),FIND(" ",TRIM(C326)&amp;" ")-1),",","."),FIND("/",SUBSTITUTE(LEFT(TRIM(C326),FIND(" ",TRIM(C326)&amp;" ")-1),",","."))-1)/MID(SUBSTITUTE(LEFT(TRIM(C326),FIND(" ",TRIM(C326)&amp;" ")-1),",","."),FIND("/",SUBSTITUTE(LEFT(TRIM(C326),FIND(" ",TRIM(C326)&amp;" ")-1),",","."))+1,9))*12,NA()))),0),24)*'Aturan &amp; Tarif'!$B$4,2)</f>
        <v>1362.72</v>
      </c>
      <c r="K326" s="32" t="n">
        <f aca="false">'Aturan &amp; Tarif'!$B$5</f>
        <v>2050</v>
      </c>
      <c r="L326" s="32" t="n">
        <f aca="false">'Aturan &amp; Tarif'!$B$6</f>
        <v>350</v>
      </c>
      <c r="M326" s="35" t="n">
        <f aca="false">I326+J326+K326+L326</f>
        <v>28212.72</v>
      </c>
      <c r="N326" s="37" t="s">
        <v>1471</v>
      </c>
    </row>
    <row r="327" customFormat="false" ht="25.5" hidden="false" customHeight="true" outlineLevel="0" collapsed="false">
      <c r="A327" s="29"/>
      <c r="B327" s="30" t="s">
        <v>1510</v>
      </c>
      <c r="C327" s="31" t="s">
        <v>107</v>
      </c>
      <c r="D327" s="31" t="s">
        <v>108</v>
      </c>
      <c r="E327" s="32" t="n">
        <v>12150</v>
      </c>
      <c r="F327" s="32"/>
      <c r="G327" s="32" t="n">
        <v>150</v>
      </c>
      <c r="H327" s="33" t="n">
        <v>2</v>
      </c>
      <c r="I327" s="34" t="n">
        <f aca="false">E327*H327+N(F327)+N(G327)</f>
        <v>24450</v>
      </c>
      <c r="J327" s="32" t="n">
        <f aca="false">ROUND(IFERROR(ROUND(IF(OR(ISNUMBER(SEARCH("week",C327)),ISNUMBER(SEARCH("minggu",C327))),IFERROR(_xlfn.NUMBERVALUE(SUBSTITUTE(LEFT(TRIM(C327),FIND(" ",TRIM(C327)&amp;" ")-1),",","."),"."),LEFT(SUBSTITUTE(LEFT(TRIM(C327),FIND(" ",TRIM(C327)&amp;" ")-1),",","."),FIND("/",SUBSTITUTE(LEFT(TRIM(C327),FIND(" ",TRIM(C327)&amp;" ")-1),",","."))-1)/MID(SUBSTITUTE(LEFT(TRIM(C327),FIND(" ",TRIM(C327)&amp;" ")-1),",","."),FIND("/",SUBSTITUTE(LEFT(TRIM(C327),FIND(" ",TRIM(C327)&amp;" ")-1),",","."))+1,9))*12/52,IF(ISNUMBER(SEARCH("month",C327)),IFERROR(_xlfn.NUMBERVALUE(SUBSTITUTE(LEFT(TRIM(C327),FIND(" ",TRIM(C327)&amp;" ")-1),",","."),"."),LEFT(SUBSTITUTE(LEFT(TRIM(C327),FIND(" ",TRIM(C327)&amp;" ")-1),",","."),FIND("/",SUBSTITUTE(LEFT(TRIM(C327),FIND(" ",TRIM(C327)&amp;" ")-1),",","."))-1)/MID(SUBSTITUTE(LEFT(TRIM(C327),FIND(" ",TRIM(C327)&amp;" ")-1),",","."),FIND("/",SUBSTITUTE(LEFT(TRIM(C327),FIND(" ",TRIM(C327)&amp;" ")-1),",","."))+1,9)),IF(ISNUMBER(SEARCH("yea",C327)),IFERROR(_xlfn.NUMBERVALUE(SUBSTITUTE(LEFT(TRIM(C327),FIND(" ",TRIM(C327)&amp;" ")-1),",","."),"."),LEFT(SUBSTITUTE(LEFT(TRIM(C327),FIND(" ",TRIM(C327)&amp;" ")-1),",","."),FIND("/",SUBSTITUTE(LEFT(TRIM(C327),FIND(" ",TRIM(C327)&amp;" ")-1),",","."))-1)/MID(SUBSTITUTE(LEFT(TRIM(C327),FIND(" ",TRIM(C327)&amp;" ")-1),",","."),FIND("/",SUBSTITUTE(LEFT(TRIM(C327),FIND(" ",TRIM(C327)&amp;" ")-1),",","."))+1,9))*12,NA()))),0),24)*'Aturan &amp; Tarif'!$B$4,2)</f>
        <v>1362.72</v>
      </c>
      <c r="K327" s="32" t="n">
        <f aca="false">'Aturan &amp; Tarif'!$B$5</f>
        <v>2050</v>
      </c>
      <c r="L327" s="32" t="n">
        <f aca="false">'Aturan &amp; Tarif'!$B$6</f>
        <v>350</v>
      </c>
      <c r="M327" s="35" t="n">
        <f aca="false">I327+J327+K327+L327</f>
        <v>28212.72</v>
      </c>
      <c r="N327" s="37" t="s">
        <v>1471</v>
      </c>
    </row>
    <row r="328" customFormat="false" ht="25.5" hidden="false" customHeight="true" outlineLevel="0" collapsed="false">
      <c r="A328" s="29"/>
      <c r="B328" s="30" t="s">
        <v>1511</v>
      </c>
      <c r="C328" s="31" t="s">
        <v>107</v>
      </c>
      <c r="D328" s="31" t="s">
        <v>108</v>
      </c>
      <c r="E328" s="32" t="n">
        <v>12150</v>
      </c>
      <c r="F328" s="32"/>
      <c r="G328" s="32" t="n">
        <v>150</v>
      </c>
      <c r="H328" s="33" t="n">
        <v>2</v>
      </c>
      <c r="I328" s="34" t="n">
        <f aca="false">E328*H328+N(F328)+N(G328)</f>
        <v>24450</v>
      </c>
      <c r="J328" s="32" t="n">
        <f aca="false">ROUND(IFERROR(ROUND(IF(OR(ISNUMBER(SEARCH("week",C328)),ISNUMBER(SEARCH("minggu",C328))),IFERROR(_xlfn.NUMBERVALUE(SUBSTITUTE(LEFT(TRIM(C328),FIND(" ",TRIM(C328)&amp;" ")-1),",","."),"."),LEFT(SUBSTITUTE(LEFT(TRIM(C328),FIND(" ",TRIM(C328)&amp;" ")-1),",","."),FIND("/",SUBSTITUTE(LEFT(TRIM(C328),FIND(" ",TRIM(C328)&amp;" ")-1),",","."))-1)/MID(SUBSTITUTE(LEFT(TRIM(C328),FIND(" ",TRIM(C328)&amp;" ")-1),",","."),FIND("/",SUBSTITUTE(LEFT(TRIM(C328),FIND(" ",TRIM(C328)&amp;" ")-1),",","."))+1,9))*12/52,IF(ISNUMBER(SEARCH("month",C328)),IFERROR(_xlfn.NUMBERVALUE(SUBSTITUTE(LEFT(TRIM(C328),FIND(" ",TRIM(C328)&amp;" ")-1),",","."),"."),LEFT(SUBSTITUTE(LEFT(TRIM(C328),FIND(" ",TRIM(C328)&amp;" ")-1),",","."),FIND("/",SUBSTITUTE(LEFT(TRIM(C328),FIND(" ",TRIM(C328)&amp;" ")-1),",","."))-1)/MID(SUBSTITUTE(LEFT(TRIM(C328),FIND(" ",TRIM(C328)&amp;" ")-1),",","."),FIND("/",SUBSTITUTE(LEFT(TRIM(C328),FIND(" ",TRIM(C328)&amp;" ")-1),",","."))+1,9)),IF(ISNUMBER(SEARCH("yea",C328)),IFERROR(_xlfn.NUMBERVALUE(SUBSTITUTE(LEFT(TRIM(C328),FIND(" ",TRIM(C328)&amp;" ")-1),",","."),"."),LEFT(SUBSTITUTE(LEFT(TRIM(C328),FIND(" ",TRIM(C328)&amp;" ")-1),",","."),FIND("/",SUBSTITUTE(LEFT(TRIM(C328),FIND(" ",TRIM(C328)&amp;" ")-1),",","."))-1)/MID(SUBSTITUTE(LEFT(TRIM(C328),FIND(" ",TRIM(C328)&amp;" ")-1),",","."),FIND("/",SUBSTITUTE(LEFT(TRIM(C328),FIND(" ",TRIM(C328)&amp;" ")-1),",","."))+1,9))*12,NA()))),0),24)*'Aturan &amp; Tarif'!$B$4,2)</f>
        <v>1362.72</v>
      </c>
      <c r="K328" s="32" t="n">
        <f aca="false">'Aturan &amp; Tarif'!$B$5</f>
        <v>2050</v>
      </c>
      <c r="L328" s="32" t="n">
        <f aca="false">'Aturan &amp; Tarif'!$B$6</f>
        <v>350</v>
      </c>
      <c r="M328" s="35" t="n">
        <f aca="false">I328+J328+K328+L328</f>
        <v>28212.72</v>
      </c>
      <c r="N328" s="37" t="s">
        <v>1471</v>
      </c>
    </row>
    <row r="329" customFormat="false" ht="25.5" hidden="false" customHeight="true" outlineLevel="0" collapsed="false">
      <c r="A329" s="29"/>
      <c r="B329" s="30" t="s">
        <v>1512</v>
      </c>
      <c r="C329" s="31" t="s">
        <v>107</v>
      </c>
      <c r="D329" s="31" t="s">
        <v>108</v>
      </c>
      <c r="E329" s="32" t="n">
        <v>12150</v>
      </c>
      <c r="F329" s="32"/>
      <c r="G329" s="32" t="n">
        <v>150</v>
      </c>
      <c r="H329" s="33" t="n">
        <v>2</v>
      </c>
      <c r="I329" s="34" t="n">
        <f aca="false">E329*H329+N(F329)+N(G329)</f>
        <v>24450</v>
      </c>
      <c r="J329" s="32" t="n">
        <f aca="false">ROUND(IFERROR(ROUND(IF(OR(ISNUMBER(SEARCH("week",C329)),ISNUMBER(SEARCH("minggu",C329))),IFERROR(_xlfn.NUMBERVALUE(SUBSTITUTE(LEFT(TRIM(C329),FIND(" ",TRIM(C329)&amp;" ")-1),",","."),"."),LEFT(SUBSTITUTE(LEFT(TRIM(C329),FIND(" ",TRIM(C329)&amp;" ")-1),",","."),FIND("/",SUBSTITUTE(LEFT(TRIM(C329),FIND(" ",TRIM(C329)&amp;" ")-1),",","."))-1)/MID(SUBSTITUTE(LEFT(TRIM(C329),FIND(" ",TRIM(C329)&amp;" ")-1),",","."),FIND("/",SUBSTITUTE(LEFT(TRIM(C329),FIND(" ",TRIM(C329)&amp;" ")-1),",","."))+1,9))*12/52,IF(ISNUMBER(SEARCH("month",C329)),IFERROR(_xlfn.NUMBERVALUE(SUBSTITUTE(LEFT(TRIM(C329),FIND(" ",TRIM(C329)&amp;" ")-1),",","."),"."),LEFT(SUBSTITUTE(LEFT(TRIM(C329),FIND(" ",TRIM(C329)&amp;" ")-1),",","."),FIND("/",SUBSTITUTE(LEFT(TRIM(C329),FIND(" ",TRIM(C329)&amp;" ")-1),",","."))-1)/MID(SUBSTITUTE(LEFT(TRIM(C329),FIND(" ",TRIM(C329)&amp;" ")-1),",","."),FIND("/",SUBSTITUTE(LEFT(TRIM(C329),FIND(" ",TRIM(C329)&amp;" ")-1),",","."))+1,9)),IF(ISNUMBER(SEARCH("yea",C329)),IFERROR(_xlfn.NUMBERVALUE(SUBSTITUTE(LEFT(TRIM(C329),FIND(" ",TRIM(C329)&amp;" ")-1),",","."),"."),LEFT(SUBSTITUTE(LEFT(TRIM(C329),FIND(" ",TRIM(C329)&amp;" ")-1),",","."),FIND("/",SUBSTITUTE(LEFT(TRIM(C329),FIND(" ",TRIM(C329)&amp;" ")-1),",","."))-1)/MID(SUBSTITUTE(LEFT(TRIM(C329),FIND(" ",TRIM(C329)&amp;" ")-1),",","."),FIND("/",SUBSTITUTE(LEFT(TRIM(C329),FIND(" ",TRIM(C329)&amp;" ")-1),",","."))+1,9))*12,NA()))),0),24)*'Aturan &amp; Tarif'!$B$4,2)</f>
        <v>1362.72</v>
      </c>
      <c r="K329" s="32" t="n">
        <f aca="false">'Aturan &amp; Tarif'!$B$5</f>
        <v>2050</v>
      </c>
      <c r="L329" s="32" t="n">
        <f aca="false">'Aturan &amp; Tarif'!$B$6</f>
        <v>350</v>
      </c>
      <c r="M329" s="35" t="n">
        <f aca="false">I329+J329+K329+L329</f>
        <v>28212.72</v>
      </c>
      <c r="N329" s="37" t="s">
        <v>1471</v>
      </c>
    </row>
    <row r="330" customFormat="false" ht="14.25" hidden="false" customHeight="true" outlineLevel="0" collapsed="false">
      <c r="A330" s="29"/>
      <c r="B330" s="30" t="s">
        <v>1513</v>
      </c>
      <c r="C330" s="31" t="s">
        <v>107</v>
      </c>
      <c r="D330" s="31" t="s">
        <v>108</v>
      </c>
      <c r="E330" s="32" t="n">
        <v>12425</v>
      </c>
      <c r="F330" s="32"/>
      <c r="G330" s="32" t="n">
        <v>150</v>
      </c>
      <c r="H330" s="33" t="n">
        <v>2</v>
      </c>
      <c r="I330" s="34" t="n">
        <f aca="false">E330*H330+N(F330)+N(G330)</f>
        <v>25000</v>
      </c>
      <c r="J330" s="32" t="n">
        <f aca="false">ROUND(IFERROR(ROUND(IF(OR(ISNUMBER(SEARCH("week",C330)),ISNUMBER(SEARCH("minggu",C330))),IFERROR(_xlfn.NUMBERVALUE(SUBSTITUTE(LEFT(TRIM(C330),FIND(" ",TRIM(C330)&amp;" ")-1),",","."),"."),LEFT(SUBSTITUTE(LEFT(TRIM(C330),FIND(" ",TRIM(C330)&amp;" ")-1),",","."),FIND("/",SUBSTITUTE(LEFT(TRIM(C330),FIND(" ",TRIM(C330)&amp;" ")-1),",","."))-1)/MID(SUBSTITUTE(LEFT(TRIM(C330),FIND(" ",TRIM(C330)&amp;" ")-1),",","."),FIND("/",SUBSTITUTE(LEFT(TRIM(C330),FIND(" ",TRIM(C330)&amp;" ")-1),",","."))+1,9))*12/52,IF(ISNUMBER(SEARCH("month",C330)),IFERROR(_xlfn.NUMBERVALUE(SUBSTITUTE(LEFT(TRIM(C330),FIND(" ",TRIM(C330)&amp;" ")-1),",","."),"."),LEFT(SUBSTITUTE(LEFT(TRIM(C330),FIND(" ",TRIM(C330)&amp;" ")-1),",","."),FIND("/",SUBSTITUTE(LEFT(TRIM(C330),FIND(" ",TRIM(C330)&amp;" ")-1),",","."))-1)/MID(SUBSTITUTE(LEFT(TRIM(C330),FIND(" ",TRIM(C330)&amp;" ")-1),",","."),FIND("/",SUBSTITUTE(LEFT(TRIM(C330),FIND(" ",TRIM(C330)&amp;" ")-1),",","."))+1,9)),IF(ISNUMBER(SEARCH("yea",C330)),IFERROR(_xlfn.NUMBERVALUE(SUBSTITUTE(LEFT(TRIM(C330),FIND(" ",TRIM(C330)&amp;" ")-1),",","."),"."),LEFT(SUBSTITUTE(LEFT(TRIM(C330),FIND(" ",TRIM(C330)&amp;" ")-1),",","."),FIND("/",SUBSTITUTE(LEFT(TRIM(C330),FIND(" ",TRIM(C330)&amp;" ")-1),",","."))-1)/MID(SUBSTITUTE(LEFT(TRIM(C330),FIND(" ",TRIM(C330)&amp;" ")-1),",","."),FIND("/",SUBSTITUTE(LEFT(TRIM(C330),FIND(" ",TRIM(C330)&amp;" ")-1),",","."))+1,9))*12,NA()))),0),24)*'Aturan &amp; Tarif'!$B$4,2)</f>
        <v>1362.72</v>
      </c>
      <c r="K330" s="32" t="n">
        <f aca="false">'Aturan &amp; Tarif'!$B$5</f>
        <v>2050</v>
      </c>
      <c r="L330" s="32" t="n">
        <f aca="false">'Aturan &amp; Tarif'!$B$6</f>
        <v>350</v>
      </c>
      <c r="M330" s="35" t="n">
        <f aca="false">I330+J330+K330+L330</f>
        <v>28762.72</v>
      </c>
      <c r="N330" s="37" t="s">
        <v>846</v>
      </c>
    </row>
    <row r="331" customFormat="false" ht="14.25" hidden="false" customHeight="true" outlineLevel="0" collapsed="false">
      <c r="A331" s="29"/>
      <c r="B331" s="30" t="s">
        <v>1514</v>
      </c>
      <c r="C331" s="31" t="s">
        <v>107</v>
      </c>
      <c r="D331" s="31" t="s">
        <v>108</v>
      </c>
      <c r="E331" s="32" t="n">
        <v>11950</v>
      </c>
      <c r="F331" s="32"/>
      <c r="G331" s="32" t="n">
        <v>150</v>
      </c>
      <c r="H331" s="33" t="n">
        <v>2</v>
      </c>
      <c r="I331" s="34" t="n">
        <f aca="false">E331*H331+N(F331)+N(G331)</f>
        <v>24050</v>
      </c>
      <c r="J331" s="32" t="n">
        <f aca="false">ROUND(IFERROR(ROUND(IF(OR(ISNUMBER(SEARCH("week",C331)),ISNUMBER(SEARCH("minggu",C331))),IFERROR(_xlfn.NUMBERVALUE(SUBSTITUTE(LEFT(TRIM(C331),FIND(" ",TRIM(C331)&amp;" ")-1),",","."),"."),LEFT(SUBSTITUTE(LEFT(TRIM(C331),FIND(" ",TRIM(C331)&amp;" ")-1),",","."),FIND("/",SUBSTITUTE(LEFT(TRIM(C331),FIND(" ",TRIM(C331)&amp;" ")-1),",","."))-1)/MID(SUBSTITUTE(LEFT(TRIM(C331),FIND(" ",TRIM(C331)&amp;" ")-1),",","."),FIND("/",SUBSTITUTE(LEFT(TRIM(C331),FIND(" ",TRIM(C331)&amp;" ")-1),",","."))+1,9))*12/52,IF(ISNUMBER(SEARCH("month",C331)),IFERROR(_xlfn.NUMBERVALUE(SUBSTITUTE(LEFT(TRIM(C331),FIND(" ",TRIM(C331)&amp;" ")-1),",","."),"."),LEFT(SUBSTITUTE(LEFT(TRIM(C331),FIND(" ",TRIM(C331)&amp;" ")-1),",","."),FIND("/",SUBSTITUTE(LEFT(TRIM(C331),FIND(" ",TRIM(C331)&amp;" ")-1),",","."))-1)/MID(SUBSTITUTE(LEFT(TRIM(C331),FIND(" ",TRIM(C331)&amp;" ")-1),",","."),FIND("/",SUBSTITUTE(LEFT(TRIM(C331),FIND(" ",TRIM(C331)&amp;" ")-1),",","."))+1,9)),IF(ISNUMBER(SEARCH("yea",C331)),IFERROR(_xlfn.NUMBERVALUE(SUBSTITUTE(LEFT(TRIM(C331),FIND(" ",TRIM(C331)&amp;" ")-1),",","."),"."),LEFT(SUBSTITUTE(LEFT(TRIM(C331),FIND(" ",TRIM(C331)&amp;" ")-1),",","."),FIND("/",SUBSTITUTE(LEFT(TRIM(C331),FIND(" ",TRIM(C331)&amp;" ")-1),",","."))-1)/MID(SUBSTITUTE(LEFT(TRIM(C331),FIND(" ",TRIM(C331)&amp;" ")-1),",","."),FIND("/",SUBSTITUTE(LEFT(TRIM(C331),FIND(" ",TRIM(C331)&amp;" ")-1),",","."))+1,9))*12,NA()))),0),24)*'Aturan &amp; Tarif'!$B$4,2)</f>
        <v>1362.72</v>
      </c>
      <c r="K331" s="32" t="n">
        <f aca="false">'Aturan &amp; Tarif'!$B$5</f>
        <v>2050</v>
      </c>
      <c r="L331" s="32" t="n">
        <f aca="false">'Aturan &amp; Tarif'!$B$6</f>
        <v>350</v>
      </c>
      <c r="M331" s="35" t="n">
        <f aca="false">I331+J331+K331+L331</f>
        <v>27812.72</v>
      </c>
      <c r="N331" s="37" t="s">
        <v>846</v>
      </c>
    </row>
    <row r="332" customFormat="false" ht="14.25" hidden="false" customHeight="true" outlineLevel="0" collapsed="false">
      <c r="A332" s="29"/>
      <c r="B332" s="30" t="s">
        <v>1515</v>
      </c>
      <c r="C332" s="31" t="s">
        <v>107</v>
      </c>
      <c r="D332" s="31" t="s">
        <v>108</v>
      </c>
      <c r="E332" s="32" t="n">
        <v>14275</v>
      </c>
      <c r="F332" s="32"/>
      <c r="G332" s="32" t="n">
        <v>150</v>
      </c>
      <c r="H332" s="33" t="n">
        <v>2</v>
      </c>
      <c r="I332" s="34" t="n">
        <f aca="false">E332*H332+N(F332)+N(G332)</f>
        <v>28700</v>
      </c>
      <c r="J332" s="32" t="n">
        <f aca="false">ROUND(IFERROR(ROUND(IF(OR(ISNUMBER(SEARCH("week",C332)),ISNUMBER(SEARCH("minggu",C332))),IFERROR(_xlfn.NUMBERVALUE(SUBSTITUTE(LEFT(TRIM(C332),FIND(" ",TRIM(C332)&amp;" ")-1),",","."),"."),LEFT(SUBSTITUTE(LEFT(TRIM(C332),FIND(" ",TRIM(C332)&amp;" ")-1),",","."),FIND("/",SUBSTITUTE(LEFT(TRIM(C332),FIND(" ",TRIM(C332)&amp;" ")-1),",","."))-1)/MID(SUBSTITUTE(LEFT(TRIM(C332),FIND(" ",TRIM(C332)&amp;" ")-1),",","."),FIND("/",SUBSTITUTE(LEFT(TRIM(C332),FIND(" ",TRIM(C332)&amp;" ")-1),",","."))+1,9))*12/52,IF(ISNUMBER(SEARCH("month",C332)),IFERROR(_xlfn.NUMBERVALUE(SUBSTITUTE(LEFT(TRIM(C332),FIND(" ",TRIM(C332)&amp;" ")-1),",","."),"."),LEFT(SUBSTITUTE(LEFT(TRIM(C332),FIND(" ",TRIM(C332)&amp;" ")-1),",","."),FIND("/",SUBSTITUTE(LEFT(TRIM(C332),FIND(" ",TRIM(C332)&amp;" ")-1),",","."))-1)/MID(SUBSTITUTE(LEFT(TRIM(C332),FIND(" ",TRIM(C332)&amp;" ")-1),",","."),FIND("/",SUBSTITUTE(LEFT(TRIM(C332),FIND(" ",TRIM(C332)&amp;" ")-1),",","."))+1,9)),IF(ISNUMBER(SEARCH("yea",C332)),IFERROR(_xlfn.NUMBERVALUE(SUBSTITUTE(LEFT(TRIM(C332),FIND(" ",TRIM(C332)&amp;" ")-1),",","."),"."),LEFT(SUBSTITUTE(LEFT(TRIM(C332),FIND(" ",TRIM(C332)&amp;" ")-1),",","."),FIND("/",SUBSTITUTE(LEFT(TRIM(C332),FIND(" ",TRIM(C332)&amp;" ")-1),",","."))-1)/MID(SUBSTITUTE(LEFT(TRIM(C332),FIND(" ",TRIM(C332)&amp;" ")-1),",","."),FIND("/",SUBSTITUTE(LEFT(TRIM(C332),FIND(" ",TRIM(C332)&amp;" ")-1),",","."))+1,9))*12,NA()))),0),24)*'Aturan &amp; Tarif'!$B$4,2)</f>
        <v>1362.72</v>
      </c>
      <c r="K332" s="32" t="n">
        <f aca="false">'Aturan &amp; Tarif'!$B$5</f>
        <v>2050</v>
      </c>
      <c r="L332" s="32" t="n">
        <f aca="false">'Aturan &amp; Tarif'!$B$6</f>
        <v>350</v>
      </c>
      <c r="M332" s="35" t="n">
        <f aca="false">I332+J332+K332+L332</f>
        <v>32462.72</v>
      </c>
      <c r="N332" s="37" t="s">
        <v>846</v>
      </c>
    </row>
    <row r="333" customFormat="false" ht="25.5" hidden="false" customHeight="true" outlineLevel="0" collapsed="false">
      <c r="A333" s="29"/>
      <c r="B333" s="30" t="s">
        <v>1516</v>
      </c>
      <c r="C333" s="31" t="s">
        <v>107</v>
      </c>
      <c r="D333" s="31" t="s">
        <v>108</v>
      </c>
      <c r="E333" s="32" t="n">
        <v>13125</v>
      </c>
      <c r="F333" s="32"/>
      <c r="G333" s="32" t="n">
        <v>150</v>
      </c>
      <c r="H333" s="33" t="n">
        <v>2</v>
      </c>
      <c r="I333" s="34" t="n">
        <f aca="false">E333*H333+N(F333)+N(G333)</f>
        <v>26400</v>
      </c>
      <c r="J333" s="32" t="n">
        <f aca="false">ROUND(IFERROR(ROUND(IF(OR(ISNUMBER(SEARCH("week",C333)),ISNUMBER(SEARCH("minggu",C333))),IFERROR(_xlfn.NUMBERVALUE(SUBSTITUTE(LEFT(TRIM(C333),FIND(" ",TRIM(C333)&amp;" ")-1),",","."),"."),LEFT(SUBSTITUTE(LEFT(TRIM(C333),FIND(" ",TRIM(C333)&amp;" ")-1),",","."),FIND("/",SUBSTITUTE(LEFT(TRIM(C333),FIND(" ",TRIM(C333)&amp;" ")-1),",","."))-1)/MID(SUBSTITUTE(LEFT(TRIM(C333),FIND(" ",TRIM(C333)&amp;" ")-1),",","."),FIND("/",SUBSTITUTE(LEFT(TRIM(C333),FIND(" ",TRIM(C333)&amp;" ")-1),",","."))+1,9))*12/52,IF(ISNUMBER(SEARCH("month",C333)),IFERROR(_xlfn.NUMBERVALUE(SUBSTITUTE(LEFT(TRIM(C333),FIND(" ",TRIM(C333)&amp;" ")-1),",","."),"."),LEFT(SUBSTITUTE(LEFT(TRIM(C333),FIND(" ",TRIM(C333)&amp;" ")-1),",","."),FIND("/",SUBSTITUTE(LEFT(TRIM(C333),FIND(" ",TRIM(C333)&amp;" ")-1),",","."))-1)/MID(SUBSTITUTE(LEFT(TRIM(C333),FIND(" ",TRIM(C333)&amp;" ")-1),",","."),FIND("/",SUBSTITUTE(LEFT(TRIM(C333),FIND(" ",TRIM(C333)&amp;" ")-1),",","."))+1,9)),IF(ISNUMBER(SEARCH("yea",C333)),IFERROR(_xlfn.NUMBERVALUE(SUBSTITUTE(LEFT(TRIM(C333),FIND(" ",TRIM(C333)&amp;" ")-1),",","."),"."),LEFT(SUBSTITUTE(LEFT(TRIM(C333),FIND(" ",TRIM(C333)&amp;" ")-1),",","."),FIND("/",SUBSTITUTE(LEFT(TRIM(C333),FIND(" ",TRIM(C333)&amp;" ")-1),",","."))-1)/MID(SUBSTITUTE(LEFT(TRIM(C333),FIND(" ",TRIM(C333)&amp;" ")-1),",","."),FIND("/",SUBSTITUTE(LEFT(TRIM(C333),FIND(" ",TRIM(C333)&amp;" ")-1),",","."))+1,9))*12,NA()))),0),24)*'Aturan &amp; Tarif'!$B$4,2)</f>
        <v>1362.72</v>
      </c>
      <c r="K333" s="32" t="n">
        <f aca="false">'Aturan &amp; Tarif'!$B$5</f>
        <v>2050</v>
      </c>
      <c r="L333" s="32" t="n">
        <f aca="false">'Aturan &amp; Tarif'!$B$6</f>
        <v>350</v>
      </c>
      <c r="M333" s="35" t="n">
        <f aca="false">I333+J333+K333+L333</f>
        <v>30162.72</v>
      </c>
      <c r="N333" s="37" t="s">
        <v>846</v>
      </c>
    </row>
    <row r="334" customFormat="false" ht="14.25" hidden="false" customHeight="true" outlineLevel="0" collapsed="false">
      <c r="A334" s="29"/>
      <c r="B334" s="30" t="s">
        <v>1517</v>
      </c>
      <c r="C334" s="31" t="s">
        <v>107</v>
      </c>
      <c r="D334" s="31" t="s">
        <v>108</v>
      </c>
      <c r="E334" s="32" t="n">
        <v>14275</v>
      </c>
      <c r="F334" s="32"/>
      <c r="G334" s="32" t="n">
        <v>150</v>
      </c>
      <c r="H334" s="33" t="n">
        <v>2</v>
      </c>
      <c r="I334" s="34" t="n">
        <f aca="false">E334*H334+N(F334)+N(G334)</f>
        <v>28700</v>
      </c>
      <c r="J334" s="32" t="n">
        <f aca="false">ROUND(IFERROR(ROUND(IF(OR(ISNUMBER(SEARCH("week",C334)),ISNUMBER(SEARCH("minggu",C334))),IFERROR(_xlfn.NUMBERVALUE(SUBSTITUTE(LEFT(TRIM(C334),FIND(" ",TRIM(C334)&amp;" ")-1),",","."),"."),LEFT(SUBSTITUTE(LEFT(TRIM(C334),FIND(" ",TRIM(C334)&amp;" ")-1),",","."),FIND("/",SUBSTITUTE(LEFT(TRIM(C334),FIND(" ",TRIM(C334)&amp;" ")-1),",","."))-1)/MID(SUBSTITUTE(LEFT(TRIM(C334),FIND(" ",TRIM(C334)&amp;" ")-1),",","."),FIND("/",SUBSTITUTE(LEFT(TRIM(C334),FIND(" ",TRIM(C334)&amp;" ")-1),",","."))+1,9))*12/52,IF(ISNUMBER(SEARCH("month",C334)),IFERROR(_xlfn.NUMBERVALUE(SUBSTITUTE(LEFT(TRIM(C334),FIND(" ",TRIM(C334)&amp;" ")-1),",","."),"."),LEFT(SUBSTITUTE(LEFT(TRIM(C334),FIND(" ",TRIM(C334)&amp;" ")-1),",","."),FIND("/",SUBSTITUTE(LEFT(TRIM(C334),FIND(" ",TRIM(C334)&amp;" ")-1),",","."))-1)/MID(SUBSTITUTE(LEFT(TRIM(C334),FIND(" ",TRIM(C334)&amp;" ")-1),",","."),FIND("/",SUBSTITUTE(LEFT(TRIM(C334),FIND(" ",TRIM(C334)&amp;" ")-1),",","."))+1,9)),IF(ISNUMBER(SEARCH("yea",C334)),IFERROR(_xlfn.NUMBERVALUE(SUBSTITUTE(LEFT(TRIM(C334),FIND(" ",TRIM(C334)&amp;" ")-1),",","."),"."),LEFT(SUBSTITUTE(LEFT(TRIM(C334),FIND(" ",TRIM(C334)&amp;" ")-1),",","."),FIND("/",SUBSTITUTE(LEFT(TRIM(C334),FIND(" ",TRIM(C334)&amp;" ")-1),",","."))-1)/MID(SUBSTITUTE(LEFT(TRIM(C334),FIND(" ",TRIM(C334)&amp;" ")-1),",","."),FIND("/",SUBSTITUTE(LEFT(TRIM(C334),FIND(" ",TRIM(C334)&amp;" ")-1),",","."))+1,9))*12,NA()))),0),24)*'Aturan &amp; Tarif'!$B$4,2)</f>
        <v>1362.72</v>
      </c>
      <c r="K334" s="32" t="n">
        <f aca="false">'Aturan &amp; Tarif'!$B$5</f>
        <v>2050</v>
      </c>
      <c r="L334" s="32" t="n">
        <f aca="false">'Aturan &amp; Tarif'!$B$6</f>
        <v>350</v>
      </c>
      <c r="M334" s="35" t="n">
        <f aca="false">I334+J334+K334+L334</f>
        <v>32462.72</v>
      </c>
      <c r="N334" s="37" t="s">
        <v>846</v>
      </c>
    </row>
    <row r="335" customFormat="false" ht="14.25" hidden="false" customHeight="true" outlineLevel="0" collapsed="false">
      <c r="A335" s="29"/>
      <c r="B335" s="30" t="s">
        <v>1518</v>
      </c>
      <c r="C335" s="31" t="s">
        <v>107</v>
      </c>
      <c r="D335" s="31" t="s">
        <v>108</v>
      </c>
      <c r="E335" s="32" t="n">
        <v>14275</v>
      </c>
      <c r="F335" s="32"/>
      <c r="G335" s="32" t="n">
        <v>150</v>
      </c>
      <c r="H335" s="33" t="n">
        <v>2</v>
      </c>
      <c r="I335" s="34" t="n">
        <f aca="false">E335*H335+N(F335)+N(G335)</f>
        <v>28700</v>
      </c>
      <c r="J335" s="32" t="n">
        <f aca="false">ROUND(IFERROR(ROUND(IF(OR(ISNUMBER(SEARCH("week",C335)),ISNUMBER(SEARCH("minggu",C335))),IFERROR(_xlfn.NUMBERVALUE(SUBSTITUTE(LEFT(TRIM(C335),FIND(" ",TRIM(C335)&amp;" ")-1),",","."),"."),LEFT(SUBSTITUTE(LEFT(TRIM(C335),FIND(" ",TRIM(C335)&amp;" ")-1),",","."),FIND("/",SUBSTITUTE(LEFT(TRIM(C335),FIND(" ",TRIM(C335)&amp;" ")-1),",","."))-1)/MID(SUBSTITUTE(LEFT(TRIM(C335),FIND(" ",TRIM(C335)&amp;" ")-1),",","."),FIND("/",SUBSTITUTE(LEFT(TRIM(C335),FIND(" ",TRIM(C335)&amp;" ")-1),",","."))+1,9))*12/52,IF(ISNUMBER(SEARCH("month",C335)),IFERROR(_xlfn.NUMBERVALUE(SUBSTITUTE(LEFT(TRIM(C335),FIND(" ",TRIM(C335)&amp;" ")-1),",","."),"."),LEFT(SUBSTITUTE(LEFT(TRIM(C335),FIND(" ",TRIM(C335)&amp;" ")-1),",","."),FIND("/",SUBSTITUTE(LEFT(TRIM(C335),FIND(" ",TRIM(C335)&amp;" ")-1),",","."))-1)/MID(SUBSTITUTE(LEFT(TRIM(C335),FIND(" ",TRIM(C335)&amp;" ")-1),",","."),FIND("/",SUBSTITUTE(LEFT(TRIM(C335),FIND(" ",TRIM(C335)&amp;" ")-1),",","."))+1,9)),IF(ISNUMBER(SEARCH("yea",C335)),IFERROR(_xlfn.NUMBERVALUE(SUBSTITUTE(LEFT(TRIM(C335),FIND(" ",TRIM(C335)&amp;" ")-1),",","."),"."),LEFT(SUBSTITUTE(LEFT(TRIM(C335),FIND(" ",TRIM(C335)&amp;" ")-1),",","."),FIND("/",SUBSTITUTE(LEFT(TRIM(C335),FIND(" ",TRIM(C335)&amp;" ")-1),",","."))-1)/MID(SUBSTITUTE(LEFT(TRIM(C335),FIND(" ",TRIM(C335)&amp;" ")-1),",","."),FIND("/",SUBSTITUTE(LEFT(TRIM(C335),FIND(" ",TRIM(C335)&amp;" ")-1),",","."))+1,9))*12,NA()))),0),24)*'Aturan &amp; Tarif'!$B$4,2)</f>
        <v>1362.72</v>
      </c>
      <c r="K335" s="32" t="n">
        <f aca="false">'Aturan &amp; Tarif'!$B$5</f>
        <v>2050</v>
      </c>
      <c r="L335" s="32" t="n">
        <f aca="false">'Aturan &amp; Tarif'!$B$6</f>
        <v>350</v>
      </c>
      <c r="M335" s="35" t="n">
        <f aca="false">I335+J335+K335+L335</f>
        <v>32462.72</v>
      </c>
      <c r="N335" s="37" t="s">
        <v>846</v>
      </c>
    </row>
    <row r="336" customFormat="false" ht="25.5" hidden="false" customHeight="true" outlineLevel="0" collapsed="false">
      <c r="A336" s="29"/>
      <c r="B336" s="30" t="s">
        <v>1519</v>
      </c>
      <c r="C336" s="31" t="s">
        <v>107</v>
      </c>
      <c r="D336" s="31" t="s">
        <v>108</v>
      </c>
      <c r="E336" s="32" t="n">
        <v>14275</v>
      </c>
      <c r="F336" s="32"/>
      <c r="G336" s="32" t="n">
        <v>150</v>
      </c>
      <c r="H336" s="33" t="n">
        <v>2</v>
      </c>
      <c r="I336" s="34" t="n">
        <f aca="false">E336*H336+N(F336)+N(G336)</f>
        <v>28700</v>
      </c>
      <c r="J336" s="32" t="n">
        <f aca="false">ROUND(IFERROR(ROUND(IF(OR(ISNUMBER(SEARCH("week",C336)),ISNUMBER(SEARCH("minggu",C336))),IFERROR(_xlfn.NUMBERVALUE(SUBSTITUTE(LEFT(TRIM(C336),FIND(" ",TRIM(C336)&amp;" ")-1),",","."),"."),LEFT(SUBSTITUTE(LEFT(TRIM(C336),FIND(" ",TRIM(C336)&amp;" ")-1),",","."),FIND("/",SUBSTITUTE(LEFT(TRIM(C336),FIND(" ",TRIM(C336)&amp;" ")-1),",","."))-1)/MID(SUBSTITUTE(LEFT(TRIM(C336),FIND(" ",TRIM(C336)&amp;" ")-1),",","."),FIND("/",SUBSTITUTE(LEFT(TRIM(C336),FIND(" ",TRIM(C336)&amp;" ")-1),",","."))+1,9))*12/52,IF(ISNUMBER(SEARCH("month",C336)),IFERROR(_xlfn.NUMBERVALUE(SUBSTITUTE(LEFT(TRIM(C336),FIND(" ",TRIM(C336)&amp;" ")-1),",","."),"."),LEFT(SUBSTITUTE(LEFT(TRIM(C336),FIND(" ",TRIM(C336)&amp;" ")-1),",","."),FIND("/",SUBSTITUTE(LEFT(TRIM(C336),FIND(" ",TRIM(C336)&amp;" ")-1),",","."))-1)/MID(SUBSTITUTE(LEFT(TRIM(C336),FIND(" ",TRIM(C336)&amp;" ")-1),",","."),FIND("/",SUBSTITUTE(LEFT(TRIM(C336),FIND(" ",TRIM(C336)&amp;" ")-1),",","."))+1,9)),IF(ISNUMBER(SEARCH("yea",C336)),IFERROR(_xlfn.NUMBERVALUE(SUBSTITUTE(LEFT(TRIM(C336),FIND(" ",TRIM(C336)&amp;" ")-1),",","."),"."),LEFT(SUBSTITUTE(LEFT(TRIM(C336),FIND(" ",TRIM(C336)&amp;" ")-1),",","."),FIND("/",SUBSTITUTE(LEFT(TRIM(C336),FIND(" ",TRIM(C336)&amp;" ")-1),",","."))-1)/MID(SUBSTITUTE(LEFT(TRIM(C336),FIND(" ",TRIM(C336)&amp;" ")-1),",","."),FIND("/",SUBSTITUTE(LEFT(TRIM(C336),FIND(" ",TRIM(C336)&amp;" ")-1),",","."))+1,9))*12,NA()))),0),24)*'Aturan &amp; Tarif'!$B$4,2)</f>
        <v>1362.72</v>
      </c>
      <c r="K336" s="32" t="n">
        <f aca="false">'Aturan &amp; Tarif'!$B$5</f>
        <v>2050</v>
      </c>
      <c r="L336" s="32" t="n">
        <f aca="false">'Aturan &amp; Tarif'!$B$6</f>
        <v>350</v>
      </c>
      <c r="M336" s="35" t="n">
        <f aca="false">I336+J336+K336+L336</f>
        <v>32462.72</v>
      </c>
      <c r="N336" s="37" t="s">
        <v>846</v>
      </c>
    </row>
    <row r="337" customFormat="false" ht="25.5" hidden="false" customHeight="true" outlineLevel="0" collapsed="false">
      <c r="A337" s="29"/>
      <c r="B337" s="30" t="s">
        <v>1520</v>
      </c>
      <c r="C337" s="31" t="s">
        <v>107</v>
      </c>
      <c r="D337" s="31" t="s">
        <v>108</v>
      </c>
      <c r="E337" s="32" t="n">
        <v>14275</v>
      </c>
      <c r="F337" s="32"/>
      <c r="G337" s="32" t="n">
        <v>150</v>
      </c>
      <c r="H337" s="33" t="n">
        <v>2</v>
      </c>
      <c r="I337" s="34" t="n">
        <f aca="false">E337*H337+N(F337)+N(G337)</f>
        <v>28700</v>
      </c>
      <c r="J337" s="32" t="n">
        <f aca="false">ROUND(IFERROR(ROUND(IF(OR(ISNUMBER(SEARCH("week",C337)),ISNUMBER(SEARCH("minggu",C337))),IFERROR(_xlfn.NUMBERVALUE(SUBSTITUTE(LEFT(TRIM(C337),FIND(" ",TRIM(C337)&amp;" ")-1),",","."),"."),LEFT(SUBSTITUTE(LEFT(TRIM(C337),FIND(" ",TRIM(C337)&amp;" ")-1),",","."),FIND("/",SUBSTITUTE(LEFT(TRIM(C337),FIND(" ",TRIM(C337)&amp;" ")-1),",","."))-1)/MID(SUBSTITUTE(LEFT(TRIM(C337),FIND(" ",TRIM(C337)&amp;" ")-1),",","."),FIND("/",SUBSTITUTE(LEFT(TRIM(C337),FIND(" ",TRIM(C337)&amp;" ")-1),",","."))+1,9))*12/52,IF(ISNUMBER(SEARCH("month",C337)),IFERROR(_xlfn.NUMBERVALUE(SUBSTITUTE(LEFT(TRIM(C337),FIND(" ",TRIM(C337)&amp;" ")-1),",","."),"."),LEFT(SUBSTITUTE(LEFT(TRIM(C337),FIND(" ",TRIM(C337)&amp;" ")-1),",","."),FIND("/",SUBSTITUTE(LEFT(TRIM(C337),FIND(" ",TRIM(C337)&amp;" ")-1),",","."))-1)/MID(SUBSTITUTE(LEFT(TRIM(C337),FIND(" ",TRIM(C337)&amp;" ")-1),",","."),FIND("/",SUBSTITUTE(LEFT(TRIM(C337),FIND(" ",TRIM(C337)&amp;" ")-1),",","."))+1,9)),IF(ISNUMBER(SEARCH("yea",C337)),IFERROR(_xlfn.NUMBERVALUE(SUBSTITUTE(LEFT(TRIM(C337),FIND(" ",TRIM(C337)&amp;" ")-1),",","."),"."),LEFT(SUBSTITUTE(LEFT(TRIM(C337),FIND(" ",TRIM(C337)&amp;" ")-1),",","."),FIND("/",SUBSTITUTE(LEFT(TRIM(C337),FIND(" ",TRIM(C337)&amp;" ")-1),",","."))-1)/MID(SUBSTITUTE(LEFT(TRIM(C337),FIND(" ",TRIM(C337)&amp;" ")-1),",","."),FIND("/",SUBSTITUTE(LEFT(TRIM(C337),FIND(" ",TRIM(C337)&amp;" ")-1),",","."))+1,9))*12,NA()))),0),24)*'Aturan &amp; Tarif'!$B$4,2)</f>
        <v>1362.72</v>
      </c>
      <c r="K337" s="32" t="n">
        <f aca="false">'Aturan &amp; Tarif'!$B$5</f>
        <v>2050</v>
      </c>
      <c r="L337" s="32" t="n">
        <f aca="false">'Aturan &amp; Tarif'!$B$6</f>
        <v>350</v>
      </c>
      <c r="M337" s="35" t="n">
        <f aca="false">I337+J337+K337+L337</f>
        <v>32462.72</v>
      </c>
      <c r="N337" s="37" t="s">
        <v>1521</v>
      </c>
    </row>
    <row r="338" customFormat="false" ht="25.5" hidden="false" customHeight="true" outlineLevel="0" collapsed="false">
      <c r="A338" s="29"/>
      <c r="B338" s="30" t="s">
        <v>1522</v>
      </c>
      <c r="C338" s="31" t="s">
        <v>107</v>
      </c>
      <c r="D338" s="31" t="s">
        <v>108</v>
      </c>
      <c r="E338" s="32" t="n">
        <v>14275</v>
      </c>
      <c r="F338" s="32"/>
      <c r="G338" s="32" t="n">
        <v>150</v>
      </c>
      <c r="H338" s="33" t="n">
        <v>2</v>
      </c>
      <c r="I338" s="34" t="n">
        <f aca="false">E338*H338+N(F338)+N(G338)</f>
        <v>28700</v>
      </c>
      <c r="J338" s="32" t="n">
        <f aca="false">ROUND(IFERROR(ROUND(IF(OR(ISNUMBER(SEARCH("week",C338)),ISNUMBER(SEARCH("minggu",C338))),IFERROR(_xlfn.NUMBERVALUE(SUBSTITUTE(LEFT(TRIM(C338),FIND(" ",TRIM(C338)&amp;" ")-1),",","."),"."),LEFT(SUBSTITUTE(LEFT(TRIM(C338),FIND(" ",TRIM(C338)&amp;" ")-1),",","."),FIND("/",SUBSTITUTE(LEFT(TRIM(C338),FIND(" ",TRIM(C338)&amp;" ")-1),",","."))-1)/MID(SUBSTITUTE(LEFT(TRIM(C338),FIND(" ",TRIM(C338)&amp;" ")-1),",","."),FIND("/",SUBSTITUTE(LEFT(TRIM(C338),FIND(" ",TRIM(C338)&amp;" ")-1),",","."))+1,9))*12/52,IF(ISNUMBER(SEARCH("month",C338)),IFERROR(_xlfn.NUMBERVALUE(SUBSTITUTE(LEFT(TRIM(C338),FIND(" ",TRIM(C338)&amp;" ")-1),",","."),"."),LEFT(SUBSTITUTE(LEFT(TRIM(C338),FIND(" ",TRIM(C338)&amp;" ")-1),",","."),FIND("/",SUBSTITUTE(LEFT(TRIM(C338),FIND(" ",TRIM(C338)&amp;" ")-1),",","."))-1)/MID(SUBSTITUTE(LEFT(TRIM(C338),FIND(" ",TRIM(C338)&amp;" ")-1),",","."),FIND("/",SUBSTITUTE(LEFT(TRIM(C338),FIND(" ",TRIM(C338)&amp;" ")-1),",","."))+1,9)),IF(ISNUMBER(SEARCH("yea",C338)),IFERROR(_xlfn.NUMBERVALUE(SUBSTITUTE(LEFT(TRIM(C338),FIND(" ",TRIM(C338)&amp;" ")-1),",","."),"."),LEFT(SUBSTITUTE(LEFT(TRIM(C338),FIND(" ",TRIM(C338)&amp;" ")-1),",","."),FIND("/",SUBSTITUTE(LEFT(TRIM(C338),FIND(" ",TRIM(C338)&amp;" ")-1),",","."))-1)/MID(SUBSTITUTE(LEFT(TRIM(C338),FIND(" ",TRIM(C338)&amp;" ")-1),",","."),FIND("/",SUBSTITUTE(LEFT(TRIM(C338),FIND(" ",TRIM(C338)&amp;" ")-1),",","."))+1,9))*12,NA()))),0),24)*'Aturan &amp; Tarif'!$B$4,2)</f>
        <v>1362.72</v>
      </c>
      <c r="K338" s="32" t="n">
        <f aca="false">'Aturan &amp; Tarif'!$B$5</f>
        <v>2050</v>
      </c>
      <c r="L338" s="32" t="n">
        <f aca="false">'Aturan &amp; Tarif'!$B$6</f>
        <v>350</v>
      </c>
      <c r="M338" s="35" t="n">
        <f aca="false">I338+J338+K338+L338</f>
        <v>32462.72</v>
      </c>
      <c r="N338" s="37" t="s">
        <v>846</v>
      </c>
    </row>
    <row r="339" customFormat="false" ht="25.5" hidden="false" customHeight="true" outlineLevel="0" collapsed="false">
      <c r="A339" s="29"/>
      <c r="B339" s="30" t="s">
        <v>1523</v>
      </c>
      <c r="C339" s="31" t="s">
        <v>107</v>
      </c>
      <c r="D339" s="31" t="s">
        <v>108</v>
      </c>
      <c r="E339" s="32" t="n">
        <v>14275</v>
      </c>
      <c r="F339" s="32"/>
      <c r="G339" s="32" t="n">
        <v>150</v>
      </c>
      <c r="H339" s="33" t="n">
        <v>2</v>
      </c>
      <c r="I339" s="34" t="n">
        <f aca="false">E339*H339+N(F339)+N(G339)</f>
        <v>28700</v>
      </c>
      <c r="J339" s="32" t="n">
        <f aca="false">ROUND(IFERROR(ROUND(IF(OR(ISNUMBER(SEARCH("week",C339)),ISNUMBER(SEARCH("minggu",C339))),IFERROR(_xlfn.NUMBERVALUE(SUBSTITUTE(LEFT(TRIM(C339),FIND(" ",TRIM(C339)&amp;" ")-1),",","."),"."),LEFT(SUBSTITUTE(LEFT(TRIM(C339),FIND(" ",TRIM(C339)&amp;" ")-1),",","."),FIND("/",SUBSTITUTE(LEFT(TRIM(C339),FIND(" ",TRIM(C339)&amp;" ")-1),",","."))-1)/MID(SUBSTITUTE(LEFT(TRIM(C339),FIND(" ",TRIM(C339)&amp;" ")-1),",","."),FIND("/",SUBSTITUTE(LEFT(TRIM(C339),FIND(" ",TRIM(C339)&amp;" ")-1),",","."))+1,9))*12/52,IF(ISNUMBER(SEARCH("month",C339)),IFERROR(_xlfn.NUMBERVALUE(SUBSTITUTE(LEFT(TRIM(C339),FIND(" ",TRIM(C339)&amp;" ")-1),",","."),"."),LEFT(SUBSTITUTE(LEFT(TRIM(C339),FIND(" ",TRIM(C339)&amp;" ")-1),",","."),FIND("/",SUBSTITUTE(LEFT(TRIM(C339),FIND(" ",TRIM(C339)&amp;" ")-1),",","."))-1)/MID(SUBSTITUTE(LEFT(TRIM(C339),FIND(" ",TRIM(C339)&amp;" ")-1),",","."),FIND("/",SUBSTITUTE(LEFT(TRIM(C339),FIND(" ",TRIM(C339)&amp;" ")-1),",","."))+1,9)),IF(ISNUMBER(SEARCH("yea",C339)),IFERROR(_xlfn.NUMBERVALUE(SUBSTITUTE(LEFT(TRIM(C339),FIND(" ",TRIM(C339)&amp;" ")-1),",","."),"."),LEFT(SUBSTITUTE(LEFT(TRIM(C339),FIND(" ",TRIM(C339)&amp;" ")-1),",","."),FIND("/",SUBSTITUTE(LEFT(TRIM(C339),FIND(" ",TRIM(C339)&amp;" ")-1),",","."))-1)/MID(SUBSTITUTE(LEFT(TRIM(C339),FIND(" ",TRIM(C339)&amp;" ")-1),",","."),FIND("/",SUBSTITUTE(LEFT(TRIM(C339),FIND(" ",TRIM(C339)&amp;" ")-1),",","."))+1,9))*12,NA()))),0),24)*'Aturan &amp; Tarif'!$B$4,2)</f>
        <v>1362.72</v>
      </c>
      <c r="K339" s="32" t="n">
        <f aca="false">'Aturan &amp; Tarif'!$B$5</f>
        <v>2050</v>
      </c>
      <c r="L339" s="32" t="n">
        <f aca="false">'Aturan &amp; Tarif'!$B$6</f>
        <v>350</v>
      </c>
      <c r="M339" s="35" t="n">
        <f aca="false">I339+J339+K339+L339</f>
        <v>32462.72</v>
      </c>
      <c r="N339" s="37" t="s">
        <v>846</v>
      </c>
    </row>
    <row r="340" customFormat="false" ht="25.5" hidden="false" customHeight="true" outlineLevel="0" collapsed="false">
      <c r="A340" s="29"/>
      <c r="B340" s="30" t="s">
        <v>1524</v>
      </c>
      <c r="C340" s="31" t="s">
        <v>107</v>
      </c>
      <c r="D340" s="31" t="s">
        <v>108</v>
      </c>
      <c r="E340" s="32" t="n">
        <v>14275</v>
      </c>
      <c r="F340" s="32"/>
      <c r="G340" s="32" t="n">
        <v>150</v>
      </c>
      <c r="H340" s="33" t="n">
        <v>2</v>
      </c>
      <c r="I340" s="34" t="n">
        <f aca="false">E340*H340+N(F340)+N(G340)</f>
        <v>28700</v>
      </c>
      <c r="J340" s="32" t="n">
        <f aca="false">ROUND(IFERROR(ROUND(IF(OR(ISNUMBER(SEARCH("week",C340)),ISNUMBER(SEARCH("minggu",C340))),IFERROR(_xlfn.NUMBERVALUE(SUBSTITUTE(LEFT(TRIM(C340),FIND(" ",TRIM(C340)&amp;" ")-1),",","."),"."),LEFT(SUBSTITUTE(LEFT(TRIM(C340),FIND(" ",TRIM(C340)&amp;" ")-1),",","."),FIND("/",SUBSTITUTE(LEFT(TRIM(C340),FIND(" ",TRIM(C340)&amp;" ")-1),",","."))-1)/MID(SUBSTITUTE(LEFT(TRIM(C340),FIND(" ",TRIM(C340)&amp;" ")-1),",","."),FIND("/",SUBSTITUTE(LEFT(TRIM(C340),FIND(" ",TRIM(C340)&amp;" ")-1),",","."))+1,9))*12/52,IF(ISNUMBER(SEARCH("month",C340)),IFERROR(_xlfn.NUMBERVALUE(SUBSTITUTE(LEFT(TRIM(C340),FIND(" ",TRIM(C340)&amp;" ")-1),",","."),"."),LEFT(SUBSTITUTE(LEFT(TRIM(C340),FIND(" ",TRIM(C340)&amp;" ")-1),",","."),FIND("/",SUBSTITUTE(LEFT(TRIM(C340),FIND(" ",TRIM(C340)&amp;" ")-1),",","."))-1)/MID(SUBSTITUTE(LEFT(TRIM(C340),FIND(" ",TRIM(C340)&amp;" ")-1),",","."),FIND("/",SUBSTITUTE(LEFT(TRIM(C340),FIND(" ",TRIM(C340)&amp;" ")-1),",","."))+1,9)),IF(ISNUMBER(SEARCH("yea",C340)),IFERROR(_xlfn.NUMBERVALUE(SUBSTITUTE(LEFT(TRIM(C340),FIND(" ",TRIM(C340)&amp;" ")-1),",","."),"."),LEFT(SUBSTITUTE(LEFT(TRIM(C340),FIND(" ",TRIM(C340)&amp;" ")-1),",","."),FIND("/",SUBSTITUTE(LEFT(TRIM(C340),FIND(" ",TRIM(C340)&amp;" ")-1),",","."))-1)/MID(SUBSTITUTE(LEFT(TRIM(C340),FIND(" ",TRIM(C340)&amp;" ")-1),",","."),FIND("/",SUBSTITUTE(LEFT(TRIM(C340),FIND(" ",TRIM(C340)&amp;" ")-1),",","."))+1,9))*12,NA()))),0),24)*'Aturan &amp; Tarif'!$B$4,2)</f>
        <v>1362.72</v>
      </c>
      <c r="K340" s="32" t="n">
        <f aca="false">'Aturan &amp; Tarif'!$B$5</f>
        <v>2050</v>
      </c>
      <c r="L340" s="32" t="n">
        <f aca="false">'Aturan &amp; Tarif'!$B$6</f>
        <v>350</v>
      </c>
      <c r="M340" s="35" t="n">
        <f aca="false">I340+J340+K340+L340</f>
        <v>32462.72</v>
      </c>
      <c r="N340" s="37" t="s">
        <v>846</v>
      </c>
    </row>
    <row r="341" customFormat="false" ht="25.5" hidden="false" customHeight="true" outlineLevel="0" collapsed="false">
      <c r="A341" s="29"/>
      <c r="B341" s="30" t="s">
        <v>1525</v>
      </c>
      <c r="C341" s="31" t="s">
        <v>107</v>
      </c>
      <c r="D341" s="31" t="s">
        <v>108</v>
      </c>
      <c r="E341" s="32" t="n">
        <v>14275</v>
      </c>
      <c r="F341" s="32"/>
      <c r="G341" s="32" t="n">
        <v>150</v>
      </c>
      <c r="H341" s="33" t="n">
        <v>2</v>
      </c>
      <c r="I341" s="34" t="n">
        <f aca="false">E341*H341+N(F341)+N(G341)</f>
        <v>28700</v>
      </c>
      <c r="J341" s="32" t="n">
        <f aca="false">ROUND(IFERROR(ROUND(IF(OR(ISNUMBER(SEARCH("week",C341)),ISNUMBER(SEARCH("minggu",C341))),IFERROR(_xlfn.NUMBERVALUE(SUBSTITUTE(LEFT(TRIM(C341),FIND(" ",TRIM(C341)&amp;" ")-1),",","."),"."),LEFT(SUBSTITUTE(LEFT(TRIM(C341),FIND(" ",TRIM(C341)&amp;" ")-1),",","."),FIND("/",SUBSTITUTE(LEFT(TRIM(C341),FIND(" ",TRIM(C341)&amp;" ")-1),",","."))-1)/MID(SUBSTITUTE(LEFT(TRIM(C341),FIND(" ",TRIM(C341)&amp;" ")-1),",","."),FIND("/",SUBSTITUTE(LEFT(TRIM(C341),FIND(" ",TRIM(C341)&amp;" ")-1),",","."))+1,9))*12/52,IF(ISNUMBER(SEARCH("month",C341)),IFERROR(_xlfn.NUMBERVALUE(SUBSTITUTE(LEFT(TRIM(C341),FIND(" ",TRIM(C341)&amp;" ")-1),",","."),"."),LEFT(SUBSTITUTE(LEFT(TRIM(C341),FIND(" ",TRIM(C341)&amp;" ")-1),",","."),FIND("/",SUBSTITUTE(LEFT(TRIM(C341),FIND(" ",TRIM(C341)&amp;" ")-1),",","."))-1)/MID(SUBSTITUTE(LEFT(TRIM(C341),FIND(" ",TRIM(C341)&amp;" ")-1),",","."),FIND("/",SUBSTITUTE(LEFT(TRIM(C341),FIND(" ",TRIM(C341)&amp;" ")-1),",","."))+1,9)),IF(ISNUMBER(SEARCH("yea",C341)),IFERROR(_xlfn.NUMBERVALUE(SUBSTITUTE(LEFT(TRIM(C341),FIND(" ",TRIM(C341)&amp;" ")-1),",","."),"."),LEFT(SUBSTITUTE(LEFT(TRIM(C341),FIND(" ",TRIM(C341)&amp;" ")-1),",","."),FIND("/",SUBSTITUTE(LEFT(TRIM(C341),FIND(" ",TRIM(C341)&amp;" ")-1),",","."))-1)/MID(SUBSTITUTE(LEFT(TRIM(C341),FIND(" ",TRIM(C341)&amp;" ")-1),",","."),FIND("/",SUBSTITUTE(LEFT(TRIM(C341),FIND(" ",TRIM(C341)&amp;" ")-1),",","."))+1,9))*12,NA()))),0),24)*'Aturan &amp; Tarif'!$B$4,2)</f>
        <v>1362.72</v>
      </c>
      <c r="K341" s="32" t="n">
        <f aca="false">'Aturan &amp; Tarif'!$B$5</f>
        <v>2050</v>
      </c>
      <c r="L341" s="32" t="n">
        <f aca="false">'Aturan &amp; Tarif'!$B$6</f>
        <v>350</v>
      </c>
      <c r="M341" s="35" t="n">
        <f aca="false">I341+J341+K341+L341</f>
        <v>32462.72</v>
      </c>
      <c r="N341" s="37" t="s">
        <v>846</v>
      </c>
    </row>
    <row r="342" customFormat="false" ht="25.5" hidden="false" customHeight="true" outlineLevel="0" collapsed="false">
      <c r="A342" s="29"/>
      <c r="B342" s="30" t="s">
        <v>1526</v>
      </c>
      <c r="C342" s="31" t="s">
        <v>107</v>
      </c>
      <c r="D342" s="31" t="s">
        <v>108</v>
      </c>
      <c r="E342" s="32" t="n">
        <v>14275</v>
      </c>
      <c r="F342" s="32"/>
      <c r="G342" s="32" t="n">
        <v>150</v>
      </c>
      <c r="H342" s="33" t="n">
        <v>2</v>
      </c>
      <c r="I342" s="34" t="n">
        <f aca="false">E342*H342+N(F342)+N(G342)</f>
        <v>28700</v>
      </c>
      <c r="J342" s="32" t="n">
        <f aca="false">ROUND(IFERROR(ROUND(IF(OR(ISNUMBER(SEARCH("week",C342)),ISNUMBER(SEARCH("minggu",C342))),IFERROR(_xlfn.NUMBERVALUE(SUBSTITUTE(LEFT(TRIM(C342),FIND(" ",TRIM(C342)&amp;" ")-1),",","."),"."),LEFT(SUBSTITUTE(LEFT(TRIM(C342),FIND(" ",TRIM(C342)&amp;" ")-1),",","."),FIND("/",SUBSTITUTE(LEFT(TRIM(C342),FIND(" ",TRIM(C342)&amp;" ")-1),",","."))-1)/MID(SUBSTITUTE(LEFT(TRIM(C342),FIND(" ",TRIM(C342)&amp;" ")-1),",","."),FIND("/",SUBSTITUTE(LEFT(TRIM(C342),FIND(" ",TRIM(C342)&amp;" ")-1),",","."))+1,9))*12/52,IF(ISNUMBER(SEARCH("month",C342)),IFERROR(_xlfn.NUMBERVALUE(SUBSTITUTE(LEFT(TRIM(C342),FIND(" ",TRIM(C342)&amp;" ")-1),",","."),"."),LEFT(SUBSTITUTE(LEFT(TRIM(C342),FIND(" ",TRIM(C342)&amp;" ")-1),",","."),FIND("/",SUBSTITUTE(LEFT(TRIM(C342),FIND(" ",TRIM(C342)&amp;" ")-1),",","."))-1)/MID(SUBSTITUTE(LEFT(TRIM(C342),FIND(" ",TRIM(C342)&amp;" ")-1),",","."),FIND("/",SUBSTITUTE(LEFT(TRIM(C342),FIND(" ",TRIM(C342)&amp;" ")-1),",","."))+1,9)),IF(ISNUMBER(SEARCH("yea",C342)),IFERROR(_xlfn.NUMBERVALUE(SUBSTITUTE(LEFT(TRIM(C342),FIND(" ",TRIM(C342)&amp;" ")-1),",","."),"."),LEFT(SUBSTITUTE(LEFT(TRIM(C342),FIND(" ",TRIM(C342)&amp;" ")-1),",","."),FIND("/",SUBSTITUTE(LEFT(TRIM(C342),FIND(" ",TRIM(C342)&amp;" ")-1),",","."))-1)/MID(SUBSTITUTE(LEFT(TRIM(C342),FIND(" ",TRIM(C342)&amp;" ")-1),",","."),FIND("/",SUBSTITUTE(LEFT(TRIM(C342),FIND(" ",TRIM(C342)&amp;" ")-1),",","."))+1,9))*12,NA()))),0),24)*'Aturan &amp; Tarif'!$B$4,2)</f>
        <v>1362.72</v>
      </c>
      <c r="K342" s="32" t="n">
        <f aca="false">'Aturan &amp; Tarif'!$B$5</f>
        <v>2050</v>
      </c>
      <c r="L342" s="32" t="n">
        <f aca="false">'Aturan &amp; Tarif'!$B$6</f>
        <v>350</v>
      </c>
      <c r="M342" s="35" t="n">
        <f aca="false">I342+J342+K342+L342</f>
        <v>32462.72</v>
      </c>
      <c r="N342" s="37" t="s">
        <v>846</v>
      </c>
    </row>
    <row r="343" customFormat="false" ht="25.5" hidden="false" customHeight="true" outlineLevel="0" collapsed="false">
      <c r="A343" s="29"/>
      <c r="B343" s="30" t="s">
        <v>1527</v>
      </c>
      <c r="C343" s="31" t="s">
        <v>107</v>
      </c>
      <c r="D343" s="31" t="s">
        <v>108</v>
      </c>
      <c r="E343" s="32" t="n">
        <v>14275</v>
      </c>
      <c r="F343" s="32"/>
      <c r="G343" s="32" t="n">
        <v>150</v>
      </c>
      <c r="H343" s="33" t="n">
        <v>2</v>
      </c>
      <c r="I343" s="34" t="n">
        <f aca="false">E343*H343+N(F343)+N(G343)</f>
        <v>28700</v>
      </c>
      <c r="J343" s="32" t="n">
        <f aca="false">ROUND(IFERROR(ROUND(IF(OR(ISNUMBER(SEARCH("week",C343)),ISNUMBER(SEARCH("minggu",C343))),IFERROR(_xlfn.NUMBERVALUE(SUBSTITUTE(LEFT(TRIM(C343),FIND(" ",TRIM(C343)&amp;" ")-1),",","."),"."),LEFT(SUBSTITUTE(LEFT(TRIM(C343),FIND(" ",TRIM(C343)&amp;" ")-1),",","."),FIND("/",SUBSTITUTE(LEFT(TRIM(C343),FIND(" ",TRIM(C343)&amp;" ")-1),",","."))-1)/MID(SUBSTITUTE(LEFT(TRIM(C343),FIND(" ",TRIM(C343)&amp;" ")-1),",","."),FIND("/",SUBSTITUTE(LEFT(TRIM(C343),FIND(" ",TRIM(C343)&amp;" ")-1),",","."))+1,9))*12/52,IF(ISNUMBER(SEARCH("month",C343)),IFERROR(_xlfn.NUMBERVALUE(SUBSTITUTE(LEFT(TRIM(C343),FIND(" ",TRIM(C343)&amp;" ")-1),",","."),"."),LEFT(SUBSTITUTE(LEFT(TRIM(C343),FIND(" ",TRIM(C343)&amp;" ")-1),",","."),FIND("/",SUBSTITUTE(LEFT(TRIM(C343),FIND(" ",TRIM(C343)&amp;" ")-1),",","."))-1)/MID(SUBSTITUTE(LEFT(TRIM(C343),FIND(" ",TRIM(C343)&amp;" ")-1),",","."),FIND("/",SUBSTITUTE(LEFT(TRIM(C343),FIND(" ",TRIM(C343)&amp;" ")-1),",","."))+1,9)),IF(ISNUMBER(SEARCH("yea",C343)),IFERROR(_xlfn.NUMBERVALUE(SUBSTITUTE(LEFT(TRIM(C343),FIND(" ",TRIM(C343)&amp;" ")-1),",","."),"."),LEFT(SUBSTITUTE(LEFT(TRIM(C343),FIND(" ",TRIM(C343)&amp;" ")-1),",","."),FIND("/",SUBSTITUTE(LEFT(TRIM(C343),FIND(" ",TRIM(C343)&amp;" ")-1),",","."))-1)/MID(SUBSTITUTE(LEFT(TRIM(C343),FIND(" ",TRIM(C343)&amp;" ")-1),",","."),FIND("/",SUBSTITUTE(LEFT(TRIM(C343),FIND(" ",TRIM(C343)&amp;" ")-1),",","."))+1,9))*12,NA()))),0),24)*'Aturan &amp; Tarif'!$B$4,2)</f>
        <v>1362.72</v>
      </c>
      <c r="K343" s="32" t="n">
        <f aca="false">'Aturan &amp; Tarif'!$B$5</f>
        <v>2050</v>
      </c>
      <c r="L343" s="32" t="n">
        <f aca="false">'Aturan &amp; Tarif'!$B$6</f>
        <v>350</v>
      </c>
      <c r="M343" s="35" t="n">
        <f aca="false">I343+J343+K343+L343</f>
        <v>32462.72</v>
      </c>
      <c r="N343" s="37" t="s">
        <v>846</v>
      </c>
    </row>
    <row r="344" customFormat="false" ht="25.5" hidden="false" customHeight="true" outlineLevel="0" collapsed="false">
      <c r="A344" s="29"/>
      <c r="B344" s="30" t="s">
        <v>1528</v>
      </c>
      <c r="C344" s="31" t="s">
        <v>107</v>
      </c>
      <c r="D344" s="31" t="s">
        <v>108</v>
      </c>
      <c r="E344" s="32" t="n">
        <v>14275</v>
      </c>
      <c r="F344" s="32"/>
      <c r="G344" s="32" t="n">
        <v>150</v>
      </c>
      <c r="H344" s="33" t="n">
        <v>2</v>
      </c>
      <c r="I344" s="34" t="n">
        <f aca="false">E344*H344+N(F344)+N(G344)</f>
        <v>28700</v>
      </c>
      <c r="J344" s="32" t="n">
        <f aca="false">ROUND(IFERROR(ROUND(IF(OR(ISNUMBER(SEARCH("week",C344)),ISNUMBER(SEARCH("minggu",C344))),IFERROR(_xlfn.NUMBERVALUE(SUBSTITUTE(LEFT(TRIM(C344),FIND(" ",TRIM(C344)&amp;" ")-1),",","."),"."),LEFT(SUBSTITUTE(LEFT(TRIM(C344),FIND(" ",TRIM(C344)&amp;" ")-1),",","."),FIND("/",SUBSTITUTE(LEFT(TRIM(C344),FIND(" ",TRIM(C344)&amp;" ")-1),",","."))-1)/MID(SUBSTITUTE(LEFT(TRIM(C344),FIND(" ",TRIM(C344)&amp;" ")-1),",","."),FIND("/",SUBSTITUTE(LEFT(TRIM(C344),FIND(" ",TRIM(C344)&amp;" ")-1),",","."))+1,9))*12/52,IF(ISNUMBER(SEARCH("month",C344)),IFERROR(_xlfn.NUMBERVALUE(SUBSTITUTE(LEFT(TRIM(C344),FIND(" ",TRIM(C344)&amp;" ")-1),",","."),"."),LEFT(SUBSTITUTE(LEFT(TRIM(C344),FIND(" ",TRIM(C344)&amp;" ")-1),",","."),FIND("/",SUBSTITUTE(LEFT(TRIM(C344),FIND(" ",TRIM(C344)&amp;" ")-1),",","."))-1)/MID(SUBSTITUTE(LEFT(TRIM(C344),FIND(" ",TRIM(C344)&amp;" ")-1),",","."),FIND("/",SUBSTITUTE(LEFT(TRIM(C344),FIND(" ",TRIM(C344)&amp;" ")-1),",","."))+1,9)),IF(ISNUMBER(SEARCH("yea",C344)),IFERROR(_xlfn.NUMBERVALUE(SUBSTITUTE(LEFT(TRIM(C344),FIND(" ",TRIM(C344)&amp;" ")-1),",","."),"."),LEFT(SUBSTITUTE(LEFT(TRIM(C344),FIND(" ",TRIM(C344)&amp;" ")-1),",","."),FIND("/",SUBSTITUTE(LEFT(TRIM(C344),FIND(" ",TRIM(C344)&amp;" ")-1),",","."))-1)/MID(SUBSTITUTE(LEFT(TRIM(C344),FIND(" ",TRIM(C344)&amp;" ")-1),",","."),FIND("/",SUBSTITUTE(LEFT(TRIM(C344),FIND(" ",TRIM(C344)&amp;" ")-1),",","."))+1,9))*12,NA()))),0),24)*'Aturan &amp; Tarif'!$B$4,2)</f>
        <v>1362.72</v>
      </c>
      <c r="K344" s="32" t="n">
        <f aca="false">'Aturan &amp; Tarif'!$B$5</f>
        <v>2050</v>
      </c>
      <c r="L344" s="32" t="n">
        <f aca="false">'Aturan &amp; Tarif'!$B$6</f>
        <v>350</v>
      </c>
      <c r="M344" s="35" t="n">
        <f aca="false">I344+J344+K344+L344</f>
        <v>32462.72</v>
      </c>
      <c r="N344" s="37" t="s">
        <v>846</v>
      </c>
    </row>
    <row r="345" customFormat="false" ht="25.5" hidden="false" customHeight="true" outlineLevel="0" collapsed="false">
      <c r="A345" s="29"/>
      <c r="B345" s="30" t="s">
        <v>1529</v>
      </c>
      <c r="C345" s="31" t="s">
        <v>107</v>
      </c>
      <c r="D345" s="31" t="s">
        <v>108</v>
      </c>
      <c r="E345" s="32" t="n">
        <v>14275</v>
      </c>
      <c r="F345" s="32"/>
      <c r="G345" s="32" t="n">
        <v>150</v>
      </c>
      <c r="H345" s="33" t="n">
        <v>2</v>
      </c>
      <c r="I345" s="34" t="n">
        <f aca="false">E345*H345+N(F345)+N(G345)</f>
        <v>28700</v>
      </c>
      <c r="J345" s="32" t="n">
        <f aca="false">ROUND(IFERROR(ROUND(IF(OR(ISNUMBER(SEARCH("week",C345)),ISNUMBER(SEARCH("minggu",C345))),IFERROR(_xlfn.NUMBERVALUE(SUBSTITUTE(LEFT(TRIM(C345),FIND(" ",TRIM(C345)&amp;" ")-1),",","."),"."),LEFT(SUBSTITUTE(LEFT(TRIM(C345),FIND(" ",TRIM(C345)&amp;" ")-1),",","."),FIND("/",SUBSTITUTE(LEFT(TRIM(C345),FIND(" ",TRIM(C345)&amp;" ")-1),",","."))-1)/MID(SUBSTITUTE(LEFT(TRIM(C345),FIND(" ",TRIM(C345)&amp;" ")-1),",","."),FIND("/",SUBSTITUTE(LEFT(TRIM(C345),FIND(" ",TRIM(C345)&amp;" ")-1),",","."))+1,9))*12/52,IF(ISNUMBER(SEARCH("month",C345)),IFERROR(_xlfn.NUMBERVALUE(SUBSTITUTE(LEFT(TRIM(C345),FIND(" ",TRIM(C345)&amp;" ")-1),",","."),"."),LEFT(SUBSTITUTE(LEFT(TRIM(C345),FIND(" ",TRIM(C345)&amp;" ")-1),",","."),FIND("/",SUBSTITUTE(LEFT(TRIM(C345),FIND(" ",TRIM(C345)&amp;" ")-1),",","."))-1)/MID(SUBSTITUTE(LEFT(TRIM(C345),FIND(" ",TRIM(C345)&amp;" ")-1),",","."),FIND("/",SUBSTITUTE(LEFT(TRIM(C345),FIND(" ",TRIM(C345)&amp;" ")-1),",","."))+1,9)),IF(ISNUMBER(SEARCH("yea",C345)),IFERROR(_xlfn.NUMBERVALUE(SUBSTITUTE(LEFT(TRIM(C345),FIND(" ",TRIM(C345)&amp;" ")-1),",","."),"."),LEFT(SUBSTITUTE(LEFT(TRIM(C345),FIND(" ",TRIM(C345)&amp;" ")-1),",","."),FIND("/",SUBSTITUTE(LEFT(TRIM(C345),FIND(" ",TRIM(C345)&amp;" ")-1),",","."))-1)/MID(SUBSTITUTE(LEFT(TRIM(C345),FIND(" ",TRIM(C345)&amp;" ")-1),",","."),FIND("/",SUBSTITUTE(LEFT(TRIM(C345),FIND(" ",TRIM(C345)&amp;" ")-1),",","."))+1,9))*12,NA()))),0),24)*'Aturan &amp; Tarif'!$B$4,2)</f>
        <v>1362.72</v>
      </c>
      <c r="K345" s="32" t="n">
        <f aca="false">'Aturan &amp; Tarif'!$B$5</f>
        <v>2050</v>
      </c>
      <c r="L345" s="32" t="n">
        <f aca="false">'Aturan &amp; Tarif'!$B$6</f>
        <v>350</v>
      </c>
      <c r="M345" s="35" t="n">
        <f aca="false">I345+J345+K345+L345</f>
        <v>32462.72</v>
      </c>
      <c r="N345" s="37" t="s">
        <v>846</v>
      </c>
    </row>
    <row r="346" customFormat="false" ht="14.25" hidden="false" customHeight="true" outlineLevel="0" collapsed="false">
      <c r="A346" s="29"/>
      <c r="B346" s="30" t="s">
        <v>1530</v>
      </c>
      <c r="C346" s="31" t="s">
        <v>107</v>
      </c>
      <c r="D346" s="31" t="s">
        <v>108</v>
      </c>
      <c r="E346" s="32" t="n">
        <v>14275</v>
      </c>
      <c r="F346" s="32"/>
      <c r="G346" s="32" t="n">
        <v>150</v>
      </c>
      <c r="H346" s="33" t="n">
        <v>2</v>
      </c>
      <c r="I346" s="34" t="n">
        <f aca="false">E346*H346+N(F346)+N(G346)</f>
        <v>28700</v>
      </c>
      <c r="J346" s="32" t="n">
        <f aca="false">ROUND(IFERROR(ROUND(IF(OR(ISNUMBER(SEARCH("week",C346)),ISNUMBER(SEARCH("minggu",C346))),IFERROR(_xlfn.NUMBERVALUE(SUBSTITUTE(LEFT(TRIM(C346),FIND(" ",TRIM(C346)&amp;" ")-1),",","."),"."),LEFT(SUBSTITUTE(LEFT(TRIM(C346),FIND(" ",TRIM(C346)&amp;" ")-1),",","."),FIND("/",SUBSTITUTE(LEFT(TRIM(C346),FIND(" ",TRIM(C346)&amp;" ")-1),",","."))-1)/MID(SUBSTITUTE(LEFT(TRIM(C346),FIND(" ",TRIM(C346)&amp;" ")-1),",","."),FIND("/",SUBSTITUTE(LEFT(TRIM(C346),FIND(" ",TRIM(C346)&amp;" ")-1),",","."))+1,9))*12/52,IF(ISNUMBER(SEARCH("month",C346)),IFERROR(_xlfn.NUMBERVALUE(SUBSTITUTE(LEFT(TRIM(C346),FIND(" ",TRIM(C346)&amp;" ")-1),",","."),"."),LEFT(SUBSTITUTE(LEFT(TRIM(C346),FIND(" ",TRIM(C346)&amp;" ")-1),",","."),FIND("/",SUBSTITUTE(LEFT(TRIM(C346),FIND(" ",TRIM(C346)&amp;" ")-1),",","."))-1)/MID(SUBSTITUTE(LEFT(TRIM(C346),FIND(" ",TRIM(C346)&amp;" ")-1),",","."),FIND("/",SUBSTITUTE(LEFT(TRIM(C346),FIND(" ",TRIM(C346)&amp;" ")-1),",","."))+1,9)),IF(ISNUMBER(SEARCH("yea",C346)),IFERROR(_xlfn.NUMBERVALUE(SUBSTITUTE(LEFT(TRIM(C346),FIND(" ",TRIM(C346)&amp;" ")-1),",","."),"."),LEFT(SUBSTITUTE(LEFT(TRIM(C346),FIND(" ",TRIM(C346)&amp;" ")-1),",","."),FIND("/",SUBSTITUTE(LEFT(TRIM(C346),FIND(" ",TRIM(C346)&amp;" ")-1),",","."))-1)/MID(SUBSTITUTE(LEFT(TRIM(C346),FIND(" ",TRIM(C346)&amp;" ")-1),",","."),FIND("/",SUBSTITUTE(LEFT(TRIM(C346),FIND(" ",TRIM(C346)&amp;" ")-1),",","."))+1,9))*12,NA()))),0),24)*'Aturan &amp; Tarif'!$B$4,2)</f>
        <v>1362.72</v>
      </c>
      <c r="K346" s="32" t="n">
        <f aca="false">'Aturan &amp; Tarif'!$B$5</f>
        <v>2050</v>
      </c>
      <c r="L346" s="32" t="n">
        <f aca="false">'Aturan &amp; Tarif'!$B$6</f>
        <v>350</v>
      </c>
      <c r="M346" s="35" t="n">
        <f aca="false">I346+J346+K346+L346</f>
        <v>32462.72</v>
      </c>
      <c r="N346" s="37" t="s">
        <v>846</v>
      </c>
    </row>
    <row r="347" customFormat="false" ht="14.25" hidden="false" customHeight="true" outlineLevel="0" collapsed="false">
      <c r="A347" s="29"/>
      <c r="B347" s="30" t="s">
        <v>1531</v>
      </c>
      <c r="C347" s="31" t="s">
        <v>107</v>
      </c>
      <c r="D347" s="31" t="s">
        <v>108</v>
      </c>
      <c r="E347" s="32" t="n">
        <v>14275</v>
      </c>
      <c r="F347" s="32"/>
      <c r="G347" s="32" t="n">
        <v>150</v>
      </c>
      <c r="H347" s="33" t="n">
        <v>2</v>
      </c>
      <c r="I347" s="34" t="n">
        <f aca="false">E347*H347+N(F347)+N(G347)</f>
        <v>28700</v>
      </c>
      <c r="J347" s="32" t="n">
        <f aca="false">ROUND(IFERROR(ROUND(IF(OR(ISNUMBER(SEARCH("week",C347)),ISNUMBER(SEARCH("minggu",C347))),IFERROR(_xlfn.NUMBERVALUE(SUBSTITUTE(LEFT(TRIM(C347),FIND(" ",TRIM(C347)&amp;" ")-1),",","."),"."),LEFT(SUBSTITUTE(LEFT(TRIM(C347),FIND(" ",TRIM(C347)&amp;" ")-1),",","."),FIND("/",SUBSTITUTE(LEFT(TRIM(C347),FIND(" ",TRIM(C347)&amp;" ")-1),",","."))-1)/MID(SUBSTITUTE(LEFT(TRIM(C347),FIND(" ",TRIM(C347)&amp;" ")-1),",","."),FIND("/",SUBSTITUTE(LEFT(TRIM(C347),FIND(" ",TRIM(C347)&amp;" ")-1),",","."))+1,9))*12/52,IF(ISNUMBER(SEARCH("month",C347)),IFERROR(_xlfn.NUMBERVALUE(SUBSTITUTE(LEFT(TRIM(C347),FIND(" ",TRIM(C347)&amp;" ")-1),",","."),"."),LEFT(SUBSTITUTE(LEFT(TRIM(C347),FIND(" ",TRIM(C347)&amp;" ")-1),",","."),FIND("/",SUBSTITUTE(LEFT(TRIM(C347),FIND(" ",TRIM(C347)&amp;" ")-1),",","."))-1)/MID(SUBSTITUTE(LEFT(TRIM(C347),FIND(" ",TRIM(C347)&amp;" ")-1),",","."),FIND("/",SUBSTITUTE(LEFT(TRIM(C347),FIND(" ",TRIM(C347)&amp;" ")-1),",","."))+1,9)),IF(ISNUMBER(SEARCH("yea",C347)),IFERROR(_xlfn.NUMBERVALUE(SUBSTITUTE(LEFT(TRIM(C347),FIND(" ",TRIM(C347)&amp;" ")-1),",","."),"."),LEFT(SUBSTITUTE(LEFT(TRIM(C347),FIND(" ",TRIM(C347)&amp;" ")-1),",","."),FIND("/",SUBSTITUTE(LEFT(TRIM(C347),FIND(" ",TRIM(C347)&amp;" ")-1),",","."))-1)/MID(SUBSTITUTE(LEFT(TRIM(C347),FIND(" ",TRIM(C347)&amp;" ")-1),",","."),FIND("/",SUBSTITUTE(LEFT(TRIM(C347),FIND(" ",TRIM(C347)&amp;" ")-1),",","."))+1,9))*12,NA()))),0),24)*'Aturan &amp; Tarif'!$B$4,2)</f>
        <v>1362.72</v>
      </c>
      <c r="K347" s="32" t="n">
        <f aca="false">'Aturan &amp; Tarif'!$B$5</f>
        <v>2050</v>
      </c>
      <c r="L347" s="32" t="n">
        <f aca="false">'Aturan &amp; Tarif'!$B$6</f>
        <v>350</v>
      </c>
      <c r="M347" s="35" t="n">
        <f aca="false">I347+J347+K347+L347</f>
        <v>32462.72</v>
      </c>
      <c r="N347" s="37" t="s">
        <v>846</v>
      </c>
    </row>
    <row r="348" customFormat="false" ht="14.25" hidden="false" customHeight="true" outlineLevel="0" collapsed="false">
      <c r="A348" s="29"/>
      <c r="B348" s="30" t="s">
        <v>597</v>
      </c>
      <c r="C348" s="31" t="s">
        <v>107</v>
      </c>
      <c r="D348" s="31" t="s">
        <v>108</v>
      </c>
      <c r="E348" s="32" t="n">
        <v>14275</v>
      </c>
      <c r="F348" s="32"/>
      <c r="G348" s="32" t="n">
        <v>150</v>
      </c>
      <c r="H348" s="33" t="n">
        <v>2</v>
      </c>
      <c r="I348" s="34" t="n">
        <f aca="false">E348*H348+N(F348)+N(G348)</f>
        <v>28700</v>
      </c>
      <c r="J348" s="32" t="n">
        <f aca="false">ROUND(IFERROR(ROUND(IF(OR(ISNUMBER(SEARCH("week",C348)),ISNUMBER(SEARCH("minggu",C348))),IFERROR(_xlfn.NUMBERVALUE(SUBSTITUTE(LEFT(TRIM(C348),FIND(" ",TRIM(C348)&amp;" ")-1),",","."),"."),LEFT(SUBSTITUTE(LEFT(TRIM(C348),FIND(" ",TRIM(C348)&amp;" ")-1),",","."),FIND("/",SUBSTITUTE(LEFT(TRIM(C348),FIND(" ",TRIM(C348)&amp;" ")-1),",","."))-1)/MID(SUBSTITUTE(LEFT(TRIM(C348),FIND(" ",TRIM(C348)&amp;" ")-1),",","."),FIND("/",SUBSTITUTE(LEFT(TRIM(C348),FIND(" ",TRIM(C348)&amp;" ")-1),",","."))+1,9))*12/52,IF(ISNUMBER(SEARCH("month",C348)),IFERROR(_xlfn.NUMBERVALUE(SUBSTITUTE(LEFT(TRIM(C348),FIND(" ",TRIM(C348)&amp;" ")-1),",","."),"."),LEFT(SUBSTITUTE(LEFT(TRIM(C348),FIND(" ",TRIM(C348)&amp;" ")-1),",","."),FIND("/",SUBSTITUTE(LEFT(TRIM(C348),FIND(" ",TRIM(C348)&amp;" ")-1),",","."))-1)/MID(SUBSTITUTE(LEFT(TRIM(C348),FIND(" ",TRIM(C348)&amp;" ")-1),",","."),FIND("/",SUBSTITUTE(LEFT(TRIM(C348),FIND(" ",TRIM(C348)&amp;" ")-1),",","."))+1,9)),IF(ISNUMBER(SEARCH("yea",C348)),IFERROR(_xlfn.NUMBERVALUE(SUBSTITUTE(LEFT(TRIM(C348),FIND(" ",TRIM(C348)&amp;" ")-1),",","."),"."),LEFT(SUBSTITUTE(LEFT(TRIM(C348),FIND(" ",TRIM(C348)&amp;" ")-1),",","."),FIND("/",SUBSTITUTE(LEFT(TRIM(C348),FIND(" ",TRIM(C348)&amp;" ")-1),",","."))-1)/MID(SUBSTITUTE(LEFT(TRIM(C348),FIND(" ",TRIM(C348)&amp;" ")-1),",","."),FIND("/",SUBSTITUTE(LEFT(TRIM(C348),FIND(" ",TRIM(C348)&amp;" ")-1),",","."))+1,9))*12,NA()))),0),24)*'Aturan &amp; Tarif'!$B$4,2)</f>
        <v>1362.72</v>
      </c>
      <c r="K348" s="32" t="n">
        <f aca="false">'Aturan &amp; Tarif'!$B$5</f>
        <v>2050</v>
      </c>
      <c r="L348" s="32" t="n">
        <f aca="false">'Aturan &amp; Tarif'!$B$6</f>
        <v>350</v>
      </c>
      <c r="M348" s="35" t="n">
        <f aca="false">I348+J348+K348+L348</f>
        <v>32462.72</v>
      </c>
      <c r="N348" s="37" t="s">
        <v>1532</v>
      </c>
    </row>
    <row r="349" customFormat="false" ht="25.5" hidden="false" customHeight="true" outlineLevel="0" collapsed="false">
      <c r="A349" s="29"/>
      <c r="B349" s="30" t="s">
        <v>1533</v>
      </c>
      <c r="C349" s="31" t="s">
        <v>107</v>
      </c>
      <c r="D349" s="31" t="s">
        <v>108</v>
      </c>
      <c r="E349" s="32" t="n">
        <v>14275</v>
      </c>
      <c r="F349" s="32"/>
      <c r="G349" s="32" t="n">
        <v>150</v>
      </c>
      <c r="H349" s="33" t="n">
        <v>2</v>
      </c>
      <c r="I349" s="34" t="n">
        <f aca="false">E349*H349+N(F349)+N(G349)</f>
        <v>28700</v>
      </c>
      <c r="J349" s="32" t="n">
        <f aca="false">ROUND(IFERROR(ROUND(IF(OR(ISNUMBER(SEARCH("week",C349)),ISNUMBER(SEARCH("minggu",C349))),IFERROR(_xlfn.NUMBERVALUE(SUBSTITUTE(LEFT(TRIM(C349),FIND(" ",TRIM(C349)&amp;" ")-1),",","."),"."),LEFT(SUBSTITUTE(LEFT(TRIM(C349),FIND(" ",TRIM(C349)&amp;" ")-1),",","."),FIND("/",SUBSTITUTE(LEFT(TRIM(C349),FIND(" ",TRIM(C349)&amp;" ")-1),",","."))-1)/MID(SUBSTITUTE(LEFT(TRIM(C349),FIND(" ",TRIM(C349)&amp;" ")-1),",","."),FIND("/",SUBSTITUTE(LEFT(TRIM(C349),FIND(" ",TRIM(C349)&amp;" ")-1),",","."))+1,9))*12/52,IF(ISNUMBER(SEARCH("month",C349)),IFERROR(_xlfn.NUMBERVALUE(SUBSTITUTE(LEFT(TRIM(C349),FIND(" ",TRIM(C349)&amp;" ")-1),",","."),"."),LEFT(SUBSTITUTE(LEFT(TRIM(C349),FIND(" ",TRIM(C349)&amp;" ")-1),",","."),FIND("/",SUBSTITUTE(LEFT(TRIM(C349),FIND(" ",TRIM(C349)&amp;" ")-1),",","."))-1)/MID(SUBSTITUTE(LEFT(TRIM(C349),FIND(" ",TRIM(C349)&amp;" ")-1),",","."),FIND("/",SUBSTITUTE(LEFT(TRIM(C349),FIND(" ",TRIM(C349)&amp;" ")-1),",","."))+1,9)),IF(ISNUMBER(SEARCH("yea",C349)),IFERROR(_xlfn.NUMBERVALUE(SUBSTITUTE(LEFT(TRIM(C349),FIND(" ",TRIM(C349)&amp;" ")-1),",","."),"."),LEFT(SUBSTITUTE(LEFT(TRIM(C349),FIND(" ",TRIM(C349)&amp;" ")-1),",","."),FIND("/",SUBSTITUTE(LEFT(TRIM(C349),FIND(" ",TRIM(C349)&amp;" ")-1),",","."))-1)/MID(SUBSTITUTE(LEFT(TRIM(C349),FIND(" ",TRIM(C349)&amp;" ")-1),",","."),FIND("/",SUBSTITUTE(LEFT(TRIM(C349),FIND(" ",TRIM(C349)&amp;" ")-1),",","."))+1,9))*12,NA()))),0),24)*'Aturan &amp; Tarif'!$B$4,2)</f>
        <v>1362.72</v>
      </c>
      <c r="K349" s="32" t="n">
        <f aca="false">'Aturan &amp; Tarif'!$B$5</f>
        <v>2050</v>
      </c>
      <c r="L349" s="32" t="n">
        <f aca="false">'Aturan &amp; Tarif'!$B$6</f>
        <v>350</v>
      </c>
      <c r="M349" s="35" t="n">
        <f aca="false">I349+J349+K349+L349</f>
        <v>32462.72</v>
      </c>
      <c r="N349" s="37" t="s">
        <v>846</v>
      </c>
    </row>
    <row r="350" customFormat="false" ht="14.25" hidden="false" customHeight="true" outlineLevel="0" collapsed="false">
      <c r="A350" s="29"/>
      <c r="B350" s="30" t="s">
        <v>1534</v>
      </c>
      <c r="C350" s="31" t="s">
        <v>107</v>
      </c>
      <c r="D350" s="31" t="s">
        <v>108</v>
      </c>
      <c r="E350" s="32" t="n">
        <v>25750</v>
      </c>
      <c r="F350" s="32"/>
      <c r="G350" s="32" t="n">
        <v>150</v>
      </c>
      <c r="H350" s="33" t="n">
        <v>2</v>
      </c>
      <c r="I350" s="34" t="n">
        <f aca="false">E350*H350+N(F350)+N(G350)</f>
        <v>51650</v>
      </c>
      <c r="J350" s="32" t="n">
        <f aca="false">ROUND(IFERROR(ROUND(IF(OR(ISNUMBER(SEARCH("week",C350)),ISNUMBER(SEARCH("minggu",C350))),IFERROR(_xlfn.NUMBERVALUE(SUBSTITUTE(LEFT(TRIM(C350),FIND(" ",TRIM(C350)&amp;" ")-1),",","."),"."),LEFT(SUBSTITUTE(LEFT(TRIM(C350),FIND(" ",TRIM(C350)&amp;" ")-1),",","."),FIND("/",SUBSTITUTE(LEFT(TRIM(C350),FIND(" ",TRIM(C350)&amp;" ")-1),",","."))-1)/MID(SUBSTITUTE(LEFT(TRIM(C350),FIND(" ",TRIM(C350)&amp;" ")-1),",","."),FIND("/",SUBSTITUTE(LEFT(TRIM(C350),FIND(" ",TRIM(C350)&amp;" ")-1),",","."))+1,9))*12/52,IF(ISNUMBER(SEARCH("month",C350)),IFERROR(_xlfn.NUMBERVALUE(SUBSTITUTE(LEFT(TRIM(C350),FIND(" ",TRIM(C350)&amp;" ")-1),",","."),"."),LEFT(SUBSTITUTE(LEFT(TRIM(C350),FIND(" ",TRIM(C350)&amp;" ")-1),",","."),FIND("/",SUBSTITUTE(LEFT(TRIM(C350),FIND(" ",TRIM(C350)&amp;" ")-1),",","."))-1)/MID(SUBSTITUTE(LEFT(TRIM(C350),FIND(" ",TRIM(C350)&amp;" ")-1),",","."),FIND("/",SUBSTITUTE(LEFT(TRIM(C350),FIND(" ",TRIM(C350)&amp;" ")-1),",","."))+1,9)),IF(ISNUMBER(SEARCH("yea",C350)),IFERROR(_xlfn.NUMBERVALUE(SUBSTITUTE(LEFT(TRIM(C350),FIND(" ",TRIM(C350)&amp;" ")-1),",","."),"."),LEFT(SUBSTITUTE(LEFT(TRIM(C350),FIND(" ",TRIM(C350)&amp;" ")-1),",","."),FIND("/",SUBSTITUTE(LEFT(TRIM(C350),FIND(" ",TRIM(C350)&amp;" ")-1),",","."))-1)/MID(SUBSTITUTE(LEFT(TRIM(C350),FIND(" ",TRIM(C350)&amp;" ")-1),",","."),FIND("/",SUBSTITUTE(LEFT(TRIM(C350),FIND(" ",TRIM(C350)&amp;" ")-1),",","."))+1,9))*12,NA()))),0),24)*'Aturan &amp; Tarif'!$B$4,2)</f>
        <v>1362.72</v>
      </c>
      <c r="K350" s="32" t="n">
        <f aca="false">'Aturan &amp; Tarif'!$B$5</f>
        <v>2050</v>
      </c>
      <c r="L350" s="32" t="n">
        <f aca="false">'Aturan &amp; Tarif'!$B$6</f>
        <v>350</v>
      </c>
      <c r="M350" s="35" t="n">
        <f aca="false">I350+J350+K350+L350</f>
        <v>55412.72</v>
      </c>
      <c r="N350" s="37" t="s">
        <v>1535</v>
      </c>
    </row>
    <row r="351" customFormat="false" ht="25.5" hidden="false" customHeight="true" outlineLevel="0" collapsed="false">
      <c r="A351" s="29"/>
      <c r="B351" s="30" t="s">
        <v>1536</v>
      </c>
      <c r="C351" s="31" t="s">
        <v>107</v>
      </c>
      <c r="D351" s="31" t="s">
        <v>108</v>
      </c>
      <c r="E351" s="32" t="n">
        <v>12425</v>
      </c>
      <c r="F351" s="32"/>
      <c r="G351" s="32" t="n">
        <v>150</v>
      </c>
      <c r="H351" s="33" t="n">
        <v>2</v>
      </c>
      <c r="I351" s="34" t="n">
        <f aca="false">E351*H351+N(F351)+N(G351)</f>
        <v>25000</v>
      </c>
      <c r="J351" s="32" t="n">
        <f aca="false">ROUND(IFERROR(ROUND(IF(OR(ISNUMBER(SEARCH("week",C351)),ISNUMBER(SEARCH("minggu",C351))),IFERROR(_xlfn.NUMBERVALUE(SUBSTITUTE(LEFT(TRIM(C351),FIND(" ",TRIM(C351)&amp;" ")-1),",","."),"."),LEFT(SUBSTITUTE(LEFT(TRIM(C351),FIND(" ",TRIM(C351)&amp;" ")-1),",","."),FIND("/",SUBSTITUTE(LEFT(TRIM(C351),FIND(" ",TRIM(C351)&amp;" ")-1),",","."))-1)/MID(SUBSTITUTE(LEFT(TRIM(C351),FIND(" ",TRIM(C351)&amp;" ")-1),",","."),FIND("/",SUBSTITUTE(LEFT(TRIM(C351),FIND(" ",TRIM(C351)&amp;" ")-1),",","."))+1,9))*12/52,IF(ISNUMBER(SEARCH("month",C351)),IFERROR(_xlfn.NUMBERVALUE(SUBSTITUTE(LEFT(TRIM(C351),FIND(" ",TRIM(C351)&amp;" ")-1),",","."),"."),LEFT(SUBSTITUTE(LEFT(TRIM(C351),FIND(" ",TRIM(C351)&amp;" ")-1),",","."),FIND("/",SUBSTITUTE(LEFT(TRIM(C351),FIND(" ",TRIM(C351)&amp;" ")-1),",","."))-1)/MID(SUBSTITUTE(LEFT(TRIM(C351),FIND(" ",TRIM(C351)&amp;" ")-1),",","."),FIND("/",SUBSTITUTE(LEFT(TRIM(C351),FIND(" ",TRIM(C351)&amp;" ")-1),",","."))+1,9)),IF(ISNUMBER(SEARCH("yea",C351)),IFERROR(_xlfn.NUMBERVALUE(SUBSTITUTE(LEFT(TRIM(C351),FIND(" ",TRIM(C351)&amp;" ")-1),",","."),"."),LEFT(SUBSTITUTE(LEFT(TRIM(C351),FIND(" ",TRIM(C351)&amp;" ")-1),",","."),FIND("/",SUBSTITUTE(LEFT(TRIM(C351),FIND(" ",TRIM(C351)&amp;" ")-1),",","."))-1)/MID(SUBSTITUTE(LEFT(TRIM(C351),FIND(" ",TRIM(C351)&amp;" ")-1),",","."),FIND("/",SUBSTITUTE(LEFT(TRIM(C351),FIND(" ",TRIM(C351)&amp;" ")-1),",","."))+1,9))*12,NA()))),0),24)*'Aturan &amp; Tarif'!$B$4,2)</f>
        <v>1362.72</v>
      </c>
      <c r="K351" s="32" t="n">
        <f aca="false">'Aturan &amp; Tarif'!$B$5</f>
        <v>2050</v>
      </c>
      <c r="L351" s="32" t="n">
        <f aca="false">'Aturan &amp; Tarif'!$B$6</f>
        <v>350</v>
      </c>
      <c r="M351" s="35" t="n">
        <f aca="false">I351+J351+K351+L351</f>
        <v>28762.72</v>
      </c>
      <c r="N351" s="37" t="s">
        <v>846</v>
      </c>
    </row>
    <row r="352" customFormat="false" ht="14.25" hidden="false" customHeight="true" outlineLevel="0" collapsed="false">
      <c r="A352" s="29"/>
      <c r="B352" s="30" t="s">
        <v>1537</v>
      </c>
      <c r="C352" s="31" t="s">
        <v>107</v>
      </c>
      <c r="D352" s="31" t="s">
        <v>108</v>
      </c>
      <c r="E352" s="32" t="n">
        <v>12425</v>
      </c>
      <c r="F352" s="32"/>
      <c r="G352" s="32" t="n">
        <v>150</v>
      </c>
      <c r="H352" s="33" t="n">
        <v>2</v>
      </c>
      <c r="I352" s="34" t="n">
        <f aca="false">E352*H352+N(F352)+N(G352)</f>
        <v>25000</v>
      </c>
      <c r="J352" s="32" t="n">
        <f aca="false">ROUND(IFERROR(ROUND(IF(OR(ISNUMBER(SEARCH("week",C352)),ISNUMBER(SEARCH("minggu",C352))),IFERROR(_xlfn.NUMBERVALUE(SUBSTITUTE(LEFT(TRIM(C352),FIND(" ",TRIM(C352)&amp;" ")-1),",","."),"."),LEFT(SUBSTITUTE(LEFT(TRIM(C352),FIND(" ",TRIM(C352)&amp;" ")-1),",","."),FIND("/",SUBSTITUTE(LEFT(TRIM(C352),FIND(" ",TRIM(C352)&amp;" ")-1),",","."))-1)/MID(SUBSTITUTE(LEFT(TRIM(C352),FIND(" ",TRIM(C352)&amp;" ")-1),",","."),FIND("/",SUBSTITUTE(LEFT(TRIM(C352),FIND(" ",TRIM(C352)&amp;" ")-1),",","."))+1,9))*12/52,IF(ISNUMBER(SEARCH("month",C352)),IFERROR(_xlfn.NUMBERVALUE(SUBSTITUTE(LEFT(TRIM(C352),FIND(" ",TRIM(C352)&amp;" ")-1),",","."),"."),LEFT(SUBSTITUTE(LEFT(TRIM(C352),FIND(" ",TRIM(C352)&amp;" ")-1),",","."),FIND("/",SUBSTITUTE(LEFT(TRIM(C352),FIND(" ",TRIM(C352)&amp;" ")-1),",","."))-1)/MID(SUBSTITUTE(LEFT(TRIM(C352),FIND(" ",TRIM(C352)&amp;" ")-1),",","."),FIND("/",SUBSTITUTE(LEFT(TRIM(C352),FIND(" ",TRIM(C352)&amp;" ")-1),",","."))+1,9)),IF(ISNUMBER(SEARCH("yea",C352)),IFERROR(_xlfn.NUMBERVALUE(SUBSTITUTE(LEFT(TRIM(C352),FIND(" ",TRIM(C352)&amp;" ")-1),",","."),"."),LEFT(SUBSTITUTE(LEFT(TRIM(C352),FIND(" ",TRIM(C352)&amp;" ")-1),",","."),FIND("/",SUBSTITUTE(LEFT(TRIM(C352),FIND(" ",TRIM(C352)&amp;" ")-1),",","."))-1)/MID(SUBSTITUTE(LEFT(TRIM(C352),FIND(" ",TRIM(C352)&amp;" ")-1),",","."),FIND("/",SUBSTITUTE(LEFT(TRIM(C352),FIND(" ",TRIM(C352)&amp;" ")-1),",","."))+1,9))*12,NA()))),0),24)*'Aturan &amp; Tarif'!$B$4,2)</f>
        <v>1362.72</v>
      </c>
      <c r="K352" s="32" t="n">
        <f aca="false">'Aturan &amp; Tarif'!$B$5</f>
        <v>2050</v>
      </c>
      <c r="L352" s="32" t="n">
        <f aca="false">'Aturan &amp; Tarif'!$B$6</f>
        <v>350</v>
      </c>
      <c r="M352" s="35" t="n">
        <f aca="false">I352+J352+K352+L352</f>
        <v>28762.72</v>
      </c>
      <c r="N352" s="37" t="s">
        <v>846</v>
      </c>
    </row>
    <row r="353" customFormat="false" ht="14.25" hidden="false" customHeight="true" outlineLevel="0" collapsed="false">
      <c r="A353" s="29"/>
      <c r="B353" s="30" t="s">
        <v>1538</v>
      </c>
      <c r="C353" s="31" t="s">
        <v>107</v>
      </c>
      <c r="D353" s="31" t="s">
        <v>108</v>
      </c>
      <c r="E353" s="32" t="n">
        <v>12150</v>
      </c>
      <c r="F353" s="32"/>
      <c r="G353" s="32" t="n">
        <v>150</v>
      </c>
      <c r="H353" s="33" t="n">
        <v>2</v>
      </c>
      <c r="I353" s="34" t="n">
        <f aca="false">E353*H353+N(F353)+N(G353)</f>
        <v>24450</v>
      </c>
      <c r="J353" s="32" t="n">
        <f aca="false">ROUND(IFERROR(ROUND(IF(OR(ISNUMBER(SEARCH("week",C353)),ISNUMBER(SEARCH("minggu",C353))),IFERROR(_xlfn.NUMBERVALUE(SUBSTITUTE(LEFT(TRIM(C353),FIND(" ",TRIM(C353)&amp;" ")-1),",","."),"."),LEFT(SUBSTITUTE(LEFT(TRIM(C353),FIND(" ",TRIM(C353)&amp;" ")-1),",","."),FIND("/",SUBSTITUTE(LEFT(TRIM(C353),FIND(" ",TRIM(C353)&amp;" ")-1),",","."))-1)/MID(SUBSTITUTE(LEFT(TRIM(C353),FIND(" ",TRIM(C353)&amp;" ")-1),",","."),FIND("/",SUBSTITUTE(LEFT(TRIM(C353),FIND(" ",TRIM(C353)&amp;" ")-1),",","."))+1,9))*12/52,IF(ISNUMBER(SEARCH("month",C353)),IFERROR(_xlfn.NUMBERVALUE(SUBSTITUTE(LEFT(TRIM(C353),FIND(" ",TRIM(C353)&amp;" ")-1),",","."),"."),LEFT(SUBSTITUTE(LEFT(TRIM(C353),FIND(" ",TRIM(C353)&amp;" ")-1),",","."),FIND("/",SUBSTITUTE(LEFT(TRIM(C353),FIND(" ",TRIM(C353)&amp;" ")-1),",","."))-1)/MID(SUBSTITUTE(LEFT(TRIM(C353),FIND(" ",TRIM(C353)&amp;" ")-1),",","."),FIND("/",SUBSTITUTE(LEFT(TRIM(C353),FIND(" ",TRIM(C353)&amp;" ")-1),",","."))+1,9)),IF(ISNUMBER(SEARCH("yea",C353)),IFERROR(_xlfn.NUMBERVALUE(SUBSTITUTE(LEFT(TRIM(C353),FIND(" ",TRIM(C353)&amp;" ")-1),",","."),"."),LEFT(SUBSTITUTE(LEFT(TRIM(C353),FIND(" ",TRIM(C353)&amp;" ")-1),",","."),FIND("/",SUBSTITUTE(LEFT(TRIM(C353),FIND(" ",TRIM(C353)&amp;" ")-1),",","."))-1)/MID(SUBSTITUTE(LEFT(TRIM(C353),FIND(" ",TRIM(C353)&amp;" ")-1),",","."),FIND("/",SUBSTITUTE(LEFT(TRIM(C353),FIND(" ",TRIM(C353)&amp;" ")-1),",","."))+1,9))*12,NA()))),0),24)*'Aturan &amp; Tarif'!$B$4,2)</f>
        <v>1362.72</v>
      </c>
      <c r="K353" s="32" t="n">
        <f aca="false">'Aturan &amp; Tarif'!$B$5</f>
        <v>2050</v>
      </c>
      <c r="L353" s="32" t="n">
        <f aca="false">'Aturan &amp; Tarif'!$B$6</f>
        <v>350</v>
      </c>
      <c r="M353" s="35" t="n">
        <f aca="false">I353+J353+K353+L353</f>
        <v>28212.72</v>
      </c>
      <c r="N353" s="37" t="s">
        <v>846</v>
      </c>
    </row>
    <row r="354" customFormat="false" ht="14.25" hidden="false" customHeight="true" outlineLevel="0" collapsed="false">
      <c r="A354" s="29"/>
      <c r="B354" s="30" t="s">
        <v>1539</v>
      </c>
      <c r="C354" s="31" t="s">
        <v>107</v>
      </c>
      <c r="D354" s="31" t="s">
        <v>108</v>
      </c>
      <c r="E354" s="32" t="n">
        <v>12150</v>
      </c>
      <c r="F354" s="32"/>
      <c r="G354" s="32" t="n">
        <v>150</v>
      </c>
      <c r="H354" s="33" t="n">
        <v>2</v>
      </c>
      <c r="I354" s="34" t="n">
        <f aca="false">E354*H354+N(F354)+N(G354)</f>
        <v>24450</v>
      </c>
      <c r="J354" s="32" t="n">
        <f aca="false">ROUND(IFERROR(ROUND(IF(OR(ISNUMBER(SEARCH("week",C354)),ISNUMBER(SEARCH("minggu",C354))),IFERROR(_xlfn.NUMBERVALUE(SUBSTITUTE(LEFT(TRIM(C354),FIND(" ",TRIM(C354)&amp;" ")-1),",","."),"."),LEFT(SUBSTITUTE(LEFT(TRIM(C354),FIND(" ",TRIM(C354)&amp;" ")-1),",","."),FIND("/",SUBSTITUTE(LEFT(TRIM(C354),FIND(" ",TRIM(C354)&amp;" ")-1),",","."))-1)/MID(SUBSTITUTE(LEFT(TRIM(C354),FIND(" ",TRIM(C354)&amp;" ")-1),",","."),FIND("/",SUBSTITUTE(LEFT(TRIM(C354),FIND(" ",TRIM(C354)&amp;" ")-1),",","."))+1,9))*12/52,IF(ISNUMBER(SEARCH("month",C354)),IFERROR(_xlfn.NUMBERVALUE(SUBSTITUTE(LEFT(TRIM(C354),FIND(" ",TRIM(C354)&amp;" ")-1),",","."),"."),LEFT(SUBSTITUTE(LEFT(TRIM(C354),FIND(" ",TRIM(C354)&amp;" ")-1),",","."),FIND("/",SUBSTITUTE(LEFT(TRIM(C354),FIND(" ",TRIM(C354)&amp;" ")-1),",","."))-1)/MID(SUBSTITUTE(LEFT(TRIM(C354),FIND(" ",TRIM(C354)&amp;" ")-1),",","."),FIND("/",SUBSTITUTE(LEFT(TRIM(C354),FIND(" ",TRIM(C354)&amp;" ")-1),",","."))+1,9)),IF(ISNUMBER(SEARCH("yea",C354)),IFERROR(_xlfn.NUMBERVALUE(SUBSTITUTE(LEFT(TRIM(C354),FIND(" ",TRIM(C354)&amp;" ")-1),",","."),"."),LEFT(SUBSTITUTE(LEFT(TRIM(C354),FIND(" ",TRIM(C354)&amp;" ")-1),",","."),FIND("/",SUBSTITUTE(LEFT(TRIM(C354),FIND(" ",TRIM(C354)&amp;" ")-1),",","."))-1)/MID(SUBSTITUTE(LEFT(TRIM(C354),FIND(" ",TRIM(C354)&amp;" ")-1),",","."),FIND("/",SUBSTITUTE(LEFT(TRIM(C354),FIND(" ",TRIM(C354)&amp;" ")-1),",","."))+1,9))*12,NA()))),0),24)*'Aturan &amp; Tarif'!$B$4,2)</f>
        <v>1362.72</v>
      </c>
      <c r="K354" s="32" t="n">
        <f aca="false">'Aturan &amp; Tarif'!$B$5</f>
        <v>2050</v>
      </c>
      <c r="L354" s="32" t="n">
        <f aca="false">'Aturan &amp; Tarif'!$B$6</f>
        <v>350</v>
      </c>
      <c r="M354" s="35" t="n">
        <f aca="false">I354+J354+K354+L354</f>
        <v>28212.72</v>
      </c>
      <c r="N354" s="37" t="s">
        <v>846</v>
      </c>
    </row>
    <row r="355" customFormat="false" ht="14.25" hidden="false" customHeight="true" outlineLevel="0" collapsed="false">
      <c r="A355" s="29"/>
      <c r="B355" s="30" t="s">
        <v>1540</v>
      </c>
      <c r="C355" s="31" t="s">
        <v>107</v>
      </c>
      <c r="D355" s="31" t="s">
        <v>108</v>
      </c>
      <c r="E355" s="32" t="n">
        <v>13725</v>
      </c>
      <c r="F355" s="32"/>
      <c r="G355" s="32" t="n">
        <v>150</v>
      </c>
      <c r="H355" s="33" t="n">
        <v>2</v>
      </c>
      <c r="I355" s="34" t="n">
        <f aca="false">E355*H355+N(F355)+N(G355)</f>
        <v>27600</v>
      </c>
      <c r="J355" s="32" t="n">
        <f aca="false">ROUND(IFERROR(ROUND(IF(OR(ISNUMBER(SEARCH("week",C355)),ISNUMBER(SEARCH("minggu",C355))),IFERROR(_xlfn.NUMBERVALUE(SUBSTITUTE(LEFT(TRIM(C355),FIND(" ",TRIM(C355)&amp;" ")-1),",","."),"."),LEFT(SUBSTITUTE(LEFT(TRIM(C355),FIND(" ",TRIM(C355)&amp;" ")-1),",","."),FIND("/",SUBSTITUTE(LEFT(TRIM(C355),FIND(" ",TRIM(C355)&amp;" ")-1),",","."))-1)/MID(SUBSTITUTE(LEFT(TRIM(C355),FIND(" ",TRIM(C355)&amp;" ")-1),",","."),FIND("/",SUBSTITUTE(LEFT(TRIM(C355),FIND(" ",TRIM(C355)&amp;" ")-1),",","."))+1,9))*12/52,IF(ISNUMBER(SEARCH("month",C355)),IFERROR(_xlfn.NUMBERVALUE(SUBSTITUTE(LEFT(TRIM(C355),FIND(" ",TRIM(C355)&amp;" ")-1),",","."),"."),LEFT(SUBSTITUTE(LEFT(TRIM(C355),FIND(" ",TRIM(C355)&amp;" ")-1),",","."),FIND("/",SUBSTITUTE(LEFT(TRIM(C355),FIND(" ",TRIM(C355)&amp;" ")-1),",","."))-1)/MID(SUBSTITUTE(LEFT(TRIM(C355),FIND(" ",TRIM(C355)&amp;" ")-1),",","."),FIND("/",SUBSTITUTE(LEFT(TRIM(C355),FIND(" ",TRIM(C355)&amp;" ")-1),",","."))+1,9)),IF(ISNUMBER(SEARCH("yea",C355)),IFERROR(_xlfn.NUMBERVALUE(SUBSTITUTE(LEFT(TRIM(C355),FIND(" ",TRIM(C355)&amp;" ")-1),",","."),"."),LEFT(SUBSTITUTE(LEFT(TRIM(C355),FIND(" ",TRIM(C355)&amp;" ")-1),",","."),FIND("/",SUBSTITUTE(LEFT(TRIM(C355),FIND(" ",TRIM(C355)&amp;" ")-1),",","."))-1)/MID(SUBSTITUTE(LEFT(TRIM(C355),FIND(" ",TRIM(C355)&amp;" ")-1),",","."),FIND("/",SUBSTITUTE(LEFT(TRIM(C355),FIND(" ",TRIM(C355)&amp;" ")-1),",","."))+1,9))*12,NA()))),0),24)*'Aturan &amp; Tarif'!$B$4,2)</f>
        <v>1362.72</v>
      </c>
      <c r="K355" s="32" t="n">
        <f aca="false">'Aturan &amp; Tarif'!$B$5</f>
        <v>2050</v>
      </c>
      <c r="L355" s="32" t="n">
        <f aca="false">'Aturan &amp; Tarif'!$B$6</f>
        <v>350</v>
      </c>
      <c r="M355" s="35" t="n">
        <f aca="false">I355+J355+K355+L355</f>
        <v>31362.72</v>
      </c>
      <c r="N355" s="37" t="s">
        <v>1541</v>
      </c>
    </row>
    <row r="356" customFormat="false" ht="14.25" hidden="false" customHeight="true" outlineLevel="0" collapsed="false">
      <c r="A356" s="29"/>
      <c r="B356" s="30" t="s">
        <v>1542</v>
      </c>
      <c r="C356" s="31" t="s">
        <v>107</v>
      </c>
      <c r="D356" s="31" t="s">
        <v>108</v>
      </c>
      <c r="E356" s="32" t="n">
        <v>13725</v>
      </c>
      <c r="F356" s="32"/>
      <c r="G356" s="32" t="n">
        <v>150</v>
      </c>
      <c r="H356" s="33" t="n">
        <v>2</v>
      </c>
      <c r="I356" s="34" t="n">
        <f aca="false">E356*H356+N(F356)+N(G356)</f>
        <v>27600</v>
      </c>
      <c r="J356" s="32" t="n">
        <f aca="false">ROUND(IFERROR(ROUND(IF(OR(ISNUMBER(SEARCH("week",C356)),ISNUMBER(SEARCH("minggu",C356))),IFERROR(_xlfn.NUMBERVALUE(SUBSTITUTE(LEFT(TRIM(C356),FIND(" ",TRIM(C356)&amp;" ")-1),",","."),"."),LEFT(SUBSTITUTE(LEFT(TRIM(C356),FIND(" ",TRIM(C356)&amp;" ")-1),",","."),FIND("/",SUBSTITUTE(LEFT(TRIM(C356),FIND(" ",TRIM(C356)&amp;" ")-1),",","."))-1)/MID(SUBSTITUTE(LEFT(TRIM(C356),FIND(" ",TRIM(C356)&amp;" ")-1),",","."),FIND("/",SUBSTITUTE(LEFT(TRIM(C356),FIND(" ",TRIM(C356)&amp;" ")-1),",","."))+1,9))*12/52,IF(ISNUMBER(SEARCH("month",C356)),IFERROR(_xlfn.NUMBERVALUE(SUBSTITUTE(LEFT(TRIM(C356),FIND(" ",TRIM(C356)&amp;" ")-1),",","."),"."),LEFT(SUBSTITUTE(LEFT(TRIM(C356),FIND(" ",TRIM(C356)&amp;" ")-1),",","."),FIND("/",SUBSTITUTE(LEFT(TRIM(C356),FIND(" ",TRIM(C356)&amp;" ")-1),",","."))-1)/MID(SUBSTITUTE(LEFT(TRIM(C356),FIND(" ",TRIM(C356)&amp;" ")-1),",","."),FIND("/",SUBSTITUTE(LEFT(TRIM(C356),FIND(" ",TRIM(C356)&amp;" ")-1),",","."))+1,9)),IF(ISNUMBER(SEARCH("yea",C356)),IFERROR(_xlfn.NUMBERVALUE(SUBSTITUTE(LEFT(TRIM(C356),FIND(" ",TRIM(C356)&amp;" ")-1),",","."),"."),LEFT(SUBSTITUTE(LEFT(TRIM(C356),FIND(" ",TRIM(C356)&amp;" ")-1),",","."),FIND("/",SUBSTITUTE(LEFT(TRIM(C356),FIND(" ",TRIM(C356)&amp;" ")-1),",","."))-1)/MID(SUBSTITUTE(LEFT(TRIM(C356),FIND(" ",TRIM(C356)&amp;" ")-1),",","."),FIND("/",SUBSTITUTE(LEFT(TRIM(C356),FIND(" ",TRIM(C356)&amp;" ")-1),",","."))+1,9))*12,NA()))),0),24)*'Aturan &amp; Tarif'!$B$4,2)</f>
        <v>1362.72</v>
      </c>
      <c r="K356" s="32" t="n">
        <f aca="false">'Aturan &amp; Tarif'!$B$5</f>
        <v>2050</v>
      </c>
      <c r="L356" s="32" t="n">
        <f aca="false">'Aturan &amp; Tarif'!$B$6</f>
        <v>350</v>
      </c>
      <c r="M356" s="35" t="n">
        <f aca="false">I356+J356+K356+L356</f>
        <v>31362.72</v>
      </c>
      <c r="N356" s="37" t="s">
        <v>846</v>
      </c>
    </row>
    <row r="357" customFormat="false" ht="14.25" hidden="false" customHeight="true" outlineLevel="0" collapsed="false">
      <c r="A357" s="29"/>
      <c r="B357" s="30" t="s">
        <v>1543</v>
      </c>
      <c r="C357" s="31" t="s">
        <v>107</v>
      </c>
      <c r="D357" s="31" t="s">
        <v>108</v>
      </c>
      <c r="E357" s="32" t="n">
        <v>13125</v>
      </c>
      <c r="F357" s="32"/>
      <c r="G357" s="32" t="n">
        <v>150</v>
      </c>
      <c r="H357" s="33" t="n">
        <v>2</v>
      </c>
      <c r="I357" s="34" t="n">
        <f aca="false">E357*H357+N(F357)+N(G357)</f>
        <v>26400</v>
      </c>
      <c r="J357" s="32" t="n">
        <f aca="false">ROUND(IFERROR(ROUND(IF(OR(ISNUMBER(SEARCH("week",C357)),ISNUMBER(SEARCH("minggu",C357))),IFERROR(_xlfn.NUMBERVALUE(SUBSTITUTE(LEFT(TRIM(C357),FIND(" ",TRIM(C357)&amp;" ")-1),",","."),"."),LEFT(SUBSTITUTE(LEFT(TRIM(C357),FIND(" ",TRIM(C357)&amp;" ")-1),",","."),FIND("/",SUBSTITUTE(LEFT(TRIM(C357),FIND(" ",TRIM(C357)&amp;" ")-1),",","."))-1)/MID(SUBSTITUTE(LEFT(TRIM(C357),FIND(" ",TRIM(C357)&amp;" ")-1),",","."),FIND("/",SUBSTITUTE(LEFT(TRIM(C357),FIND(" ",TRIM(C357)&amp;" ")-1),",","."))+1,9))*12/52,IF(ISNUMBER(SEARCH("month",C357)),IFERROR(_xlfn.NUMBERVALUE(SUBSTITUTE(LEFT(TRIM(C357),FIND(" ",TRIM(C357)&amp;" ")-1),",","."),"."),LEFT(SUBSTITUTE(LEFT(TRIM(C357),FIND(" ",TRIM(C357)&amp;" ")-1),",","."),FIND("/",SUBSTITUTE(LEFT(TRIM(C357),FIND(" ",TRIM(C357)&amp;" ")-1),",","."))-1)/MID(SUBSTITUTE(LEFT(TRIM(C357),FIND(" ",TRIM(C357)&amp;" ")-1),",","."),FIND("/",SUBSTITUTE(LEFT(TRIM(C357),FIND(" ",TRIM(C357)&amp;" ")-1),",","."))+1,9)),IF(ISNUMBER(SEARCH("yea",C357)),IFERROR(_xlfn.NUMBERVALUE(SUBSTITUTE(LEFT(TRIM(C357),FIND(" ",TRIM(C357)&amp;" ")-1),",","."),"."),LEFT(SUBSTITUTE(LEFT(TRIM(C357),FIND(" ",TRIM(C357)&amp;" ")-1),",","."),FIND("/",SUBSTITUTE(LEFT(TRIM(C357),FIND(" ",TRIM(C357)&amp;" ")-1),",","."))-1)/MID(SUBSTITUTE(LEFT(TRIM(C357),FIND(" ",TRIM(C357)&amp;" ")-1),",","."),FIND("/",SUBSTITUTE(LEFT(TRIM(C357),FIND(" ",TRIM(C357)&amp;" ")-1),",","."))+1,9))*12,NA()))),0),24)*'Aturan &amp; Tarif'!$B$4,2)</f>
        <v>1362.72</v>
      </c>
      <c r="K357" s="32" t="n">
        <f aca="false">'Aturan &amp; Tarif'!$B$5</f>
        <v>2050</v>
      </c>
      <c r="L357" s="32" t="n">
        <f aca="false">'Aturan &amp; Tarif'!$B$6</f>
        <v>350</v>
      </c>
      <c r="M357" s="35" t="n">
        <f aca="false">I357+J357+K357+L357</f>
        <v>30162.72</v>
      </c>
      <c r="N357" s="37" t="s">
        <v>846</v>
      </c>
    </row>
    <row r="358" customFormat="false" ht="14.25" hidden="false" customHeight="true" outlineLevel="0" collapsed="false">
      <c r="A358" s="29"/>
      <c r="B358" s="30" t="s">
        <v>1544</v>
      </c>
      <c r="C358" s="31" t="s">
        <v>107</v>
      </c>
      <c r="D358" s="31" t="s">
        <v>108</v>
      </c>
      <c r="E358" s="32" t="n">
        <v>13125</v>
      </c>
      <c r="F358" s="32"/>
      <c r="G358" s="32" t="n">
        <v>150</v>
      </c>
      <c r="H358" s="33" t="n">
        <v>2</v>
      </c>
      <c r="I358" s="34" t="n">
        <f aca="false">E358*H358+N(F358)+N(G358)</f>
        <v>26400</v>
      </c>
      <c r="J358" s="32" t="n">
        <f aca="false">ROUND(IFERROR(ROUND(IF(OR(ISNUMBER(SEARCH("week",C358)),ISNUMBER(SEARCH("minggu",C358))),IFERROR(_xlfn.NUMBERVALUE(SUBSTITUTE(LEFT(TRIM(C358),FIND(" ",TRIM(C358)&amp;" ")-1),",","."),"."),LEFT(SUBSTITUTE(LEFT(TRIM(C358),FIND(" ",TRIM(C358)&amp;" ")-1),",","."),FIND("/",SUBSTITUTE(LEFT(TRIM(C358),FIND(" ",TRIM(C358)&amp;" ")-1),",","."))-1)/MID(SUBSTITUTE(LEFT(TRIM(C358),FIND(" ",TRIM(C358)&amp;" ")-1),",","."),FIND("/",SUBSTITUTE(LEFT(TRIM(C358),FIND(" ",TRIM(C358)&amp;" ")-1),",","."))+1,9))*12/52,IF(ISNUMBER(SEARCH("month",C358)),IFERROR(_xlfn.NUMBERVALUE(SUBSTITUTE(LEFT(TRIM(C358),FIND(" ",TRIM(C358)&amp;" ")-1),",","."),"."),LEFT(SUBSTITUTE(LEFT(TRIM(C358),FIND(" ",TRIM(C358)&amp;" ")-1),",","."),FIND("/",SUBSTITUTE(LEFT(TRIM(C358),FIND(" ",TRIM(C358)&amp;" ")-1),",","."))-1)/MID(SUBSTITUTE(LEFT(TRIM(C358),FIND(" ",TRIM(C358)&amp;" ")-1),",","."),FIND("/",SUBSTITUTE(LEFT(TRIM(C358),FIND(" ",TRIM(C358)&amp;" ")-1),",","."))+1,9)),IF(ISNUMBER(SEARCH("yea",C358)),IFERROR(_xlfn.NUMBERVALUE(SUBSTITUTE(LEFT(TRIM(C358),FIND(" ",TRIM(C358)&amp;" ")-1),",","."),"."),LEFT(SUBSTITUTE(LEFT(TRIM(C358),FIND(" ",TRIM(C358)&amp;" ")-1),",","."),FIND("/",SUBSTITUTE(LEFT(TRIM(C358),FIND(" ",TRIM(C358)&amp;" ")-1),",","."))-1)/MID(SUBSTITUTE(LEFT(TRIM(C358),FIND(" ",TRIM(C358)&amp;" ")-1),",","."),FIND("/",SUBSTITUTE(LEFT(TRIM(C358),FIND(" ",TRIM(C358)&amp;" ")-1),",","."))+1,9))*12,NA()))),0),24)*'Aturan &amp; Tarif'!$B$4,2)</f>
        <v>1362.72</v>
      </c>
      <c r="K358" s="32" t="n">
        <f aca="false">'Aturan &amp; Tarif'!$B$5</f>
        <v>2050</v>
      </c>
      <c r="L358" s="32" t="n">
        <f aca="false">'Aturan &amp; Tarif'!$B$6</f>
        <v>350</v>
      </c>
      <c r="M358" s="35" t="n">
        <f aca="false">I358+J358+K358+L358</f>
        <v>30162.72</v>
      </c>
      <c r="N358" s="37" t="s">
        <v>846</v>
      </c>
    </row>
    <row r="359" customFormat="false" ht="14.25" hidden="false" customHeight="true" outlineLevel="0" collapsed="false">
      <c r="A359" s="29"/>
      <c r="B359" s="30" t="s">
        <v>1545</v>
      </c>
      <c r="C359" s="31" t="s">
        <v>107</v>
      </c>
      <c r="D359" s="31" t="s">
        <v>108</v>
      </c>
      <c r="E359" s="32" t="n">
        <v>12150</v>
      </c>
      <c r="F359" s="32"/>
      <c r="G359" s="32" t="n">
        <v>150</v>
      </c>
      <c r="H359" s="33" t="n">
        <v>2</v>
      </c>
      <c r="I359" s="34" t="n">
        <f aca="false">E359*H359+N(F359)+N(G359)</f>
        <v>24450</v>
      </c>
      <c r="J359" s="32" t="n">
        <f aca="false">ROUND(IFERROR(ROUND(IF(OR(ISNUMBER(SEARCH("week",C359)),ISNUMBER(SEARCH("minggu",C359))),IFERROR(_xlfn.NUMBERVALUE(SUBSTITUTE(LEFT(TRIM(C359),FIND(" ",TRIM(C359)&amp;" ")-1),",","."),"."),LEFT(SUBSTITUTE(LEFT(TRIM(C359),FIND(" ",TRIM(C359)&amp;" ")-1),",","."),FIND("/",SUBSTITUTE(LEFT(TRIM(C359),FIND(" ",TRIM(C359)&amp;" ")-1),",","."))-1)/MID(SUBSTITUTE(LEFT(TRIM(C359),FIND(" ",TRIM(C359)&amp;" ")-1),",","."),FIND("/",SUBSTITUTE(LEFT(TRIM(C359),FIND(" ",TRIM(C359)&amp;" ")-1),",","."))+1,9))*12/52,IF(ISNUMBER(SEARCH("month",C359)),IFERROR(_xlfn.NUMBERVALUE(SUBSTITUTE(LEFT(TRIM(C359),FIND(" ",TRIM(C359)&amp;" ")-1),",","."),"."),LEFT(SUBSTITUTE(LEFT(TRIM(C359),FIND(" ",TRIM(C359)&amp;" ")-1),",","."),FIND("/",SUBSTITUTE(LEFT(TRIM(C359),FIND(" ",TRIM(C359)&amp;" ")-1),",","."))-1)/MID(SUBSTITUTE(LEFT(TRIM(C359),FIND(" ",TRIM(C359)&amp;" ")-1),",","."),FIND("/",SUBSTITUTE(LEFT(TRIM(C359),FIND(" ",TRIM(C359)&amp;" ")-1),",","."))+1,9)),IF(ISNUMBER(SEARCH("yea",C359)),IFERROR(_xlfn.NUMBERVALUE(SUBSTITUTE(LEFT(TRIM(C359),FIND(" ",TRIM(C359)&amp;" ")-1),",","."),"."),LEFT(SUBSTITUTE(LEFT(TRIM(C359),FIND(" ",TRIM(C359)&amp;" ")-1),",","."),FIND("/",SUBSTITUTE(LEFT(TRIM(C359),FIND(" ",TRIM(C359)&amp;" ")-1),",","."))-1)/MID(SUBSTITUTE(LEFT(TRIM(C359),FIND(" ",TRIM(C359)&amp;" ")-1),",","."),FIND("/",SUBSTITUTE(LEFT(TRIM(C359),FIND(" ",TRIM(C359)&amp;" ")-1),",","."))+1,9))*12,NA()))),0),24)*'Aturan &amp; Tarif'!$B$4,2)</f>
        <v>1362.72</v>
      </c>
      <c r="K359" s="32" t="n">
        <f aca="false">'Aturan &amp; Tarif'!$B$5</f>
        <v>2050</v>
      </c>
      <c r="L359" s="32" t="n">
        <f aca="false">'Aturan &amp; Tarif'!$B$6</f>
        <v>350</v>
      </c>
      <c r="M359" s="35" t="n">
        <f aca="false">I359+J359+K359+L359</f>
        <v>28212.72</v>
      </c>
      <c r="N359" s="37" t="s">
        <v>846</v>
      </c>
    </row>
    <row r="360" customFormat="false" ht="14.25" hidden="false" customHeight="true" outlineLevel="0" collapsed="false">
      <c r="A360" s="29"/>
      <c r="B360" s="30" t="s">
        <v>1546</v>
      </c>
      <c r="C360" s="31" t="s">
        <v>107</v>
      </c>
      <c r="D360" s="31" t="s">
        <v>108</v>
      </c>
      <c r="E360" s="32" t="n">
        <v>13575</v>
      </c>
      <c r="F360" s="32"/>
      <c r="G360" s="32" t="n">
        <v>150</v>
      </c>
      <c r="H360" s="33" t="n">
        <v>2</v>
      </c>
      <c r="I360" s="34" t="n">
        <f aca="false">E360*H360+N(F360)+N(G360)</f>
        <v>27300</v>
      </c>
      <c r="J360" s="32" t="n">
        <f aca="false">ROUND(IFERROR(ROUND(IF(OR(ISNUMBER(SEARCH("week",C360)),ISNUMBER(SEARCH("minggu",C360))),IFERROR(_xlfn.NUMBERVALUE(SUBSTITUTE(LEFT(TRIM(C360),FIND(" ",TRIM(C360)&amp;" ")-1),",","."),"."),LEFT(SUBSTITUTE(LEFT(TRIM(C360),FIND(" ",TRIM(C360)&amp;" ")-1),",","."),FIND("/",SUBSTITUTE(LEFT(TRIM(C360),FIND(" ",TRIM(C360)&amp;" ")-1),",","."))-1)/MID(SUBSTITUTE(LEFT(TRIM(C360),FIND(" ",TRIM(C360)&amp;" ")-1),",","."),FIND("/",SUBSTITUTE(LEFT(TRIM(C360),FIND(" ",TRIM(C360)&amp;" ")-1),",","."))+1,9))*12/52,IF(ISNUMBER(SEARCH("month",C360)),IFERROR(_xlfn.NUMBERVALUE(SUBSTITUTE(LEFT(TRIM(C360),FIND(" ",TRIM(C360)&amp;" ")-1),",","."),"."),LEFT(SUBSTITUTE(LEFT(TRIM(C360),FIND(" ",TRIM(C360)&amp;" ")-1),",","."),FIND("/",SUBSTITUTE(LEFT(TRIM(C360),FIND(" ",TRIM(C360)&amp;" ")-1),",","."))-1)/MID(SUBSTITUTE(LEFT(TRIM(C360),FIND(" ",TRIM(C360)&amp;" ")-1),",","."),FIND("/",SUBSTITUTE(LEFT(TRIM(C360),FIND(" ",TRIM(C360)&amp;" ")-1),",","."))+1,9)),IF(ISNUMBER(SEARCH("yea",C360)),IFERROR(_xlfn.NUMBERVALUE(SUBSTITUTE(LEFT(TRIM(C360),FIND(" ",TRIM(C360)&amp;" ")-1),",","."),"."),LEFT(SUBSTITUTE(LEFT(TRIM(C360),FIND(" ",TRIM(C360)&amp;" ")-1),",","."),FIND("/",SUBSTITUTE(LEFT(TRIM(C360),FIND(" ",TRIM(C360)&amp;" ")-1),",","."))-1)/MID(SUBSTITUTE(LEFT(TRIM(C360),FIND(" ",TRIM(C360)&amp;" ")-1),",","."),FIND("/",SUBSTITUTE(LEFT(TRIM(C360),FIND(" ",TRIM(C360)&amp;" ")-1),",","."))+1,9))*12,NA()))),0),24)*'Aturan &amp; Tarif'!$B$4,2)</f>
        <v>1362.72</v>
      </c>
      <c r="K360" s="32" t="n">
        <f aca="false">'Aturan &amp; Tarif'!$B$5</f>
        <v>2050</v>
      </c>
      <c r="L360" s="32" t="n">
        <f aca="false">'Aturan &amp; Tarif'!$B$6</f>
        <v>350</v>
      </c>
      <c r="M360" s="35" t="n">
        <f aca="false">I360+J360+K360+L360</f>
        <v>31062.72</v>
      </c>
      <c r="N360" s="37" t="s">
        <v>1547</v>
      </c>
    </row>
    <row r="361" customFormat="false" ht="14.25" hidden="false" customHeight="true" outlineLevel="0" collapsed="false">
      <c r="A361" s="29"/>
      <c r="B361" s="30" t="s">
        <v>1548</v>
      </c>
      <c r="C361" s="31" t="s">
        <v>107</v>
      </c>
      <c r="D361" s="31" t="s">
        <v>108</v>
      </c>
      <c r="E361" s="32" t="n">
        <v>13575</v>
      </c>
      <c r="F361" s="32"/>
      <c r="G361" s="32" t="n">
        <v>150</v>
      </c>
      <c r="H361" s="33" t="n">
        <v>2</v>
      </c>
      <c r="I361" s="34" t="n">
        <f aca="false">E361*H361+N(F361)+N(G361)</f>
        <v>27300</v>
      </c>
      <c r="J361" s="32" t="n">
        <f aca="false">ROUND(IFERROR(ROUND(IF(OR(ISNUMBER(SEARCH("week",C361)),ISNUMBER(SEARCH("minggu",C361))),IFERROR(_xlfn.NUMBERVALUE(SUBSTITUTE(LEFT(TRIM(C361),FIND(" ",TRIM(C361)&amp;" ")-1),",","."),"."),LEFT(SUBSTITUTE(LEFT(TRIM(C361),FIND(" ",TRIM(C361)&amp;" ")-1),",","."),FIND("/",SUBSTITUTE(LEFT(TRIM(C361),FIND(" ",TRIM(C361)&amp;" ")-1),",","."))-1)/MID(SUBSTITUTE(LEFT(TRIM(C361),FIND(" ",TRIM(C361)&amp;" ")-1),",","."),FIND("/",SUBSTITUTE(LEFT(TRIM(C361),FIND(" ",TRIM(C361)&amp;" ")-1),",","."))+1,9))*12/52,IF(ISNUMBER(SEARCH("month",C361)),IFERROR(_xlfn.NUMBERVALUE(SUBSTITUTE(LEFT(TRIM(C361),FIND(" ",TRIM(C361)&amp;" ")-1),",","."),"."),LEFT(SUBSTITUTE(LEFT(TRIM(C361),FIND(" ",TRIM(C361)&amp;" ")-1),",","."),FIND("/",SUBSTITUTE(LEFT(TRIM(C361),FIND(" ",TRIM(C361)&amp;" ")-1),",","."))-1)/MID(SUBSTITUTE(LEFT(TRIM(C361),FIND(" ",TRIM(C361)&amp;" ")-1),",","."),FIND("/",SUBSTITUTE(LEFT(TRIM(C361),FIND(" ",TRIM(C361)&amp;" ")-1),",","."))+1,9)),IF(ISNUMBER(SEARCH("yea",C361)),IFERROR(_xlfn.NUMBERVALUE(SUBSTITUTE(LEFT(TRIM(C361),FIND(" ",TRIM(C361)&amp;" ")-1),",","."),"."),LEFT(SUBSTITUTE(LEFT(TRIM(C361),FIND(" ",TRIM(C361)&amp;" ")-1),",","."),FIND("/",SUBSTITUTE(LEFT(TRIM(C361),FIND(" ",TRIM(C361)&amp;" ")-1),",","."))-1)/MID(SUBSTITUTE(LEFT(TRIM(C361),FIND(" ",TRIM(C361)&amp;" ")-1),",","."),FIND("/",SUBSTITUTE(LEFT(TRIM(C361),FIND(" ",TRIM(C361)&amp;" ")-1),",","."))+1,9))*12,NA()))),0),24)*'Aturan &amp; Tarif'!$B$4,2)</f>
        <v>1362.72</v>
      </c>
      <c r="K361" s="32" t="n">
        <f aca="false">'Aturan &amp; Tarif'!$B$5</f>
        <v>2050</v>
      </c>
      <c r="L361" s="32" t="n">
        <f aca="false">'Aturan &amp; Tarif'!$B$6</f>
        <v>350</v>
      </c>
      <c r="M361" s="35" t="n">
        <f aca="false">I361+J361+K361+L361</f>
        <v>31062.72</v>
      </c>
      <c r="N361" s="37" t="s">
        <v>846</v>
      </c>
    </row>
    <row r="362" customFormat="false" ht="25.5" hidden="false" customHeight="true" outlineLevel="0" collapsed="false">
      <c r="A362" s="29"/>
      <c r="B362" s="30" t="s">
        <v>1549</v>
      </c>
      <c r="C362" s="31" t="s">
        <v>107</v>
      </c>
      <c r="D362" s="31" t="s">
        <v>108</v>
      </c>
      <c r="E362" s="32" t="n">
        <v>13575</v>
      </c>
      <c r="F362" s="32"/>
      <c r="G362" s="32" t="n">
        <v>150</v>
      </c>
      <c r="H362" s="33" t="n">
        <v>2</v>
      </c>
      <c r="I362" s="34" t="n">
        <f aca="false">E362*H362+N(F362)+N(G362)</f>
        <v>27300</v>
      </c>
      <c r="J362" s="32" t="n">
        <f aca="false">ROUND(IFERROR(ROUND(IF(OR(ISNUMBER(SEARCH("week",C362)),ISNUMBER(SEARCH("minggu",C362))),IFERROR(_xlfn.NUMBERVALUE(SUBSTITUTE(LEFT(TRIM(C362),FIND(" ",TRIM(C362)&amp;" ")-1),",","."),"."),LEFT(SUBSTITUTE(LEFT(TRIM(C362),FIND(" ",TRIM(C362)&amp;" ")-1),",","."),FIND("/",SUBSTITUTE(LEFT(TRIM(C362),FIND(" ",TRIM(C362)&amp;" ")-1),",","."))-1)/MID(SUBSTITUTE(LEFT(TRIM(C362),FIND(" ",TRIM(C362)&amp;" ")-1),",","."),FIND("/",SUBSTITUTE(LEFT(TRIM(C362),FIND(" ",TRIM(C362)&amp;" ")-1),",","."))+1,9))*12/52,IF(ISNUMBER(SEARCH("month",C362)),IFERROR(_xlfn.NUMBERVALUE(SUBSTITUTE(LEFT(TRIM(C362),FIND(" ",TRIM(C362)&amp;" ")-1),",","."),"."),LEFT(SUBSTITUTE(LEFT(TRIM(C362),FIND(" ",TRIM(C362)&amp;" ")-1),",","."),FIND("/",SUBSTITUTE(LEFT(TRIM(C362),FIND(" ",TRIM(C362)&amp;" ")-1),",","."))-1)/MID(SUBSTITUTE(LEFT(TRIM(C362),FIND(" ",TRIM(C362)&amp;" ")-1),",","."),FIND("/",SUBSTITUTE(LEFT(TRIM(C362),FIND(" ",TRIM(C362)&amp;" ")-1),",","."))+1,9)),IF(ISNUMBER(SEARCH("yea",C362)),IFERROR(_xlfn.NUMBERVALUE(SUBSTITUTE(LEFT(TRIM(C362),FIND(" ",TRIM(C362)&amp;" ")-1),",","."),"."),LEFT(SUBSTITUTE(LEFT(TRIM(C362),FIND(" ",TRIM(C362)&amp;" ")-1),",","."),FIND("/",SUBSTITUTE(LEFT(TRIM(C362),FIND(" ",TRIM(C362)&amp;" ")-1),",","."))-1)/MID(SUBSTITUTE(LEFT(TRIM(C362),FIND(" ",TRIM(C362)&amp;" ")-1),",","."),FIND("/",SUBSTITUTE(LEFT(TRIM(C362),FIND(" ",TRIM(C362)&amp;" ")-1),",","."))+1,9))*12,NA()))),0),24)*'Aturan &amp; Tarif'!$B$4,2)</f>
        <v>1362.72</v>
      </c>
      <c r="K362" s="32" t="n">
        <f aca="false">'Aturan &amp; Tarif'!$B$5</f>
        <v>2050</v>
      </c>
      <c r="L362" s="32" t="n">
        <f aca="false">'Aturan &amp; Tarif'!$B$6</f>
        <v>350</v>
      </c>
      <c r="M362" s="35" t="n">
        <f aca="false">I362+J362+K362+L362</f>
        <v>31062.72</v>
      </c>
      <c r="N362" s="37" t="s">
        <v>846</v>
      </c>
    </row>
    <row r="363" customFormat="false" ht="14.25" hidden="false" customHeight="true" outlineLevel="0" collapsed="false">
      <c r="A363" s="29"/>
      <c r="B363" s="30" t="s">
        <v>1550</v>
      </c>
      <c r="C363" s="31" t="s">
        <v>107</v>
      </c>
      <c r="D363" s="31" t="s">
        <v>108</v>
      </c>
      <c r="E363" s="32" t="n">
        <v>10850</v>
      </c>
      <c r="F363" s="32"/>
      <c r="G363" s="32" t="n">
        <v>150</v>
      </c>
      <c r="H363" s="33" t="n">
        <v>2</v>
      </c>
      <c r="I363" s="34" t="n">
        <f aca="false">E363*H363+N(F363)+N(G363)</f>
        <v>21850</v>
      </c>
      <c r="J363" s="32" t="n">
        <f aca="false">ROUND(IFERROR(ROUND(IF(OR(ISNUMBER(SEARCH("week",C363)),ISNUMBER(SEARCH("minggu",C363))),IFERROR(_xlfn.NUMBERVALUE(SUBSTITUTE(LEFT(TRIM(C363),FIND(" ",TRIM(C363)&amp;" ")-1),",","."),"."),LEFT(SUBSTITUTE(LEFT(TRIM(C363),FIND(" ",TRIM(C363)&amp;" ")-1),",","."),FIND("/",SUBSTITUTE(LEFT(TRIM(C363),FIND(" ",TRIM(C363)&amp;" ")-1),",","."))-1)/MID(SUBSTITUTE(LEFT(TRIM(C363),FIND(" ",TRIM(C363)&amp;" ")-1),",","."),FIND("/",SUBSTITUTE(LEFT(TRIM(C363),FIND(" ",TRIM(C363)&amp;" ")-1),",","."))+1,9))*12/52,IF(ISNUMBER(SEARCH("month",C363)),IFERROR(_xlfn.NUMBERVALUE(SUBSTITUTE(LEFT(TRIM(C363),FIND(" ",TRIM(C363)&amp;" ")-1),",","."),"."),LEFT(SUBSTITUTE(LEFT(TRIM(C363),FIND(" ",TRIM(C363)&amp;" ")-1),",","."),FIND("/",SUBSTITUTE(LEFT(TRIM(C363),FIND(" ",TRIM(C363)&amp;" ")-1),",","."))-1)/MID(SUBSTITUTE(LEFT(TRIM(C363),FIND(" ",TRIM(C363)&amp;" ")-1),",","."),FIND("/",SUBSTITUTE(LEFT(TRIM(C363),FIND(" ",TRIM(C363)&amp;" ")-1),",","."))+1,9)),IF(ISNUMBER(SEARCH("yea",C363)),IFERROR(_xlfn.NUMBERVALUE(SUBSTITUTE(LEFT(TRIM(C363),FIND(" ",TRIM(C363)&amp;" ")-1),",","."),"."),LEFT(SUBSTITUTE(LEFT(TRIM(C363),FIND(" ",TRIM(C363)&amp;" ")-1),",","."),FIND("/",SUBSTITUTE(LEFT(TRIM(C363),FIND(" ",TRIM(C363)&amp;" ")-1),",","."))-1)/MID(SUBSTITUTE(LEFT(TRIM(C363),FIND(" ",TRIM(C363)&amp;" ")-1),",","."),FIND("/",SUBSTITUTE(LEFT(TRIM(C363),FIND(" ",TRIM(C363)&amp;" ")-1),",","."))+1,9))*12,NA()))),0),24)*'Aturan &amp; Tarif'!$B$4,2)</f>
        <v>1362.72</v>
      </c>
      <c r="K363" s="32" t="n">
        <f aca="false">'Aturan &amp; Tarif'!$B$5</f>
        <v>2050</v>
      </c>
      <c r="L363" s="32" t="n">
        <f aca="false">'Aturan &amp; Tarif'!$B$6</f>
        <v>350</v>
      </c>
      <c r="M363" s="35" t="n">
        <f aca="false">I363+J363+K363+L363</f>
        <v>25612.72</v>
      </c>
      <c r="N363" s="37" t="s">
        <v>1551</v>
      </c>
    </row>
    <row r="364" customFormat="false" ht="25.5" hidden="false" customHeight="true" outlineLevel="0" collapsed="false">
      <c r="A364" s="29"/>
      <c r="B364" s="30" t="s">
        <v>1552</v>
      </c>
      <c r="C364" s="31" t="s">
        <v>107</v>
      </c>
      <c r="D364" s="31" t="s">
        <v>108</v>
      </c>
      <c r="E364" s="32" t="n">
        <v>14150</v>
      </c>
      <c r="F364" s="32"/>
      <c r="G364" s="32" t="n">
        <v>150</v>
      </c>
      <c r="H364" s="33" t="n">
        <v>2</v>
      </c>
      <c r="I364" s="34" t="n">
        <f aca="false">E364*H364+N(F364)+N(G364)</f>
        <v>28450</v>
      </c>
      <c r="J364" s="32" t="n">
        <f aca="false">ROUND(IFERROR(ROUND(IF(OR(ISNUMBER(SEARCH("week",C364)),ISNUMBER(SEARCH("minggu",C364))),IFERROR(_xlfn.NUMBERVALUE(SUBSTITUTE(LEFT(TRIM(C364),FIND(" ",TRIM(C364)&amp;" ")-1),",","."),"."),LEFT(SUBSTITUTE(LEFT(TRIM(C364),FIND(" ",TRIM(C364)&amp;" ")-1),",","."),FIND("/",SUBSTITUTE(LEFT(TRIM(C364),FIND(" ",TRIM(C364)&amp;" ")-1),",","."))-1)/MID(SUBSTITUTE(LEFT(TRIM(C364),FIND(" ",TRIM(C364)&amp;" ")-1),",","."),FIND("/",SUBSTITUTE(LEFT(TRIM(C364),FIND(" ",TRIM(C364)&amp;" ")-1),",","."))+1,9))*12/52,IF(ISNUMBER(SEARCH("month",C364)),IFERROR(_xlfn.NUMBERVALUE(SUBSTITUTE(LEFT(TRIM(C364),FIND(" ",TRIM(C364)&amp;" ")-1),",","."),"."),LEFT(SUBSTITUTE(LEFT(TRIM(C364),FIND(" ",TRIM(C364)&amp;" ")-1),",","."),FIND("/",SUBSTITUTE(LEFT(TRIM(C364),FIND(" ",TRIM(C364)&amp;" ")-1),",","."))-1)/MID(SUBSTITUTE(LEFT(TRIM(C364),FIND(" ",TRIM(C364)&amp;" ")-1),",","."),FIND("/",SUBSTITUTE(LEFT(TRIM(C364),FIND(" ",TRIM(C364)&amp;" ")-1),",","."))+1,9)),IF(ISNUMBER(SEARCH("yea",C364)),IFERROR(_xlfn.NUMBERVALUE(SUBSTITUTE(LEFT(TRIM(C364),FIND(" ",TRIM(C364)&amp;" ")-1),",","."),"."),LEFT(SUBSTITUTE(LEFT(TRIM(C364),FIND(" ",TRIM(C364)&amp;" ")-1),",","."),FIND("/",SUBSTITUTE(LEFT(TRIM(C364),FIND(" ",TRIM(C364)&amp;" ")-1),",","."))-1)/MID(SUBSTITUTE(LEFT(TRIM(C364),FIND(" ",TRIM(C364)&amp;" ")-1),",","."),FIND("/",SUBSTITUTE(LEFT(TRIM(C364),FIND(" ",TRIM(C364)&amp;" ")-1),",","."))+1,9))*12,NA()))),0),24)*'Aturan &amp; Tarif'!$B$4,2)</f>
        <v>1362.72</v>
      </c>
      <c r="K364" s="32" t="n">
        <f aca="false">'Aturan &amp; Tarif'!$B$5</f>
        <v>2050</v>
      </c>
      <c r="L364" s="32" t="n">
        <f aca="false">'Aturan &amp; Tarif'!$B$6</f>
        <v>350</v>
      </c>
      <c r="M364" s="35" t="n">
        <f aca="false">I364+J364+K364+L364</f>
        <v>32212.72</v>
      </c>
      <c r="N364" s="37" t="s">
        <v>1553</v>
      </c>
    </row>
    <row r="365" customFormat="false" ht="25.5" hidden="false" customHeight="true" outlineLevel="0" collapsed="false">
      <c r="A365" s="29"/>
      <c r="B365" s="30" t="s">
        <v>1554</v>
      </c>
      <c r="C365" s="31" t="s">
        <v>107</v>
      </c>
      <c r="D365" s="31" t="s">
        <v>108</v>
      </c>
      <c r="E365" s="32" t="n">
        <v>14150</v>
      </c>
      <c r="F365" s="32"/>
      <c r="G365" s="32" t="n">
        <v>150</v>
      </c>
      <c r="H365" s="33" t="n">
        <v>2</v>
      </c>
      <c r="I365" s="34" t="n">
        <f aca="false">E365*H365+N(F365)+N(G365)</f>
        <v>28450</v>
      </c>
      <c r="J365" s="32" t="n">
        <f aca="false">ROUND(IFERROR(ROUND(IF(OR(ISNUMBER(SEARCH("week",C365)),ISNUMBER(SEARCH("minggu",C365))),IFERROR(_xlfn.NUMBERVALUE(SUBSTITUTE(LEFT(TRIM(C365),FIND(" ",TRIM(C365)&amp;" ")-1),",","."),"."),LEFT(SUBSTITUTE(LEFT(TRIM(C365),FIND(" ",TRIM(C365)&amp;" ")-1),",","."),FIND("/",SUBSTITUTE(LEFT(TRIM(C365),FIND(" ",TRIM(C365)&amp;" ")-1),",","."))-1)/MID(SUBSTITUTE(LEFT(TRIM(C365),FIND(" ",TRIM(C365)&amp;" ")-1),",","."),FIND("/",SUBSTITUTE(LEFT(TRIM(C365),FIND(" ",TRIM(C365)&amp;" ")-1),",","."))+1,9))*12/52,IF(ISNUMBER(SEARCH("month",C365)),IFERROR(_xlfn.NUMBERVALUE(SUBSTITUTE(LEFT(TRIM(C365),FIND(" ",TRIM(C365)&amp;" ")-1),",","."),"."),LEFT(SUBSTITUTE(LEFT(TRIM(C365),FIND(" ",TRIM(C365)&amp;" ")-1),",","."),FIND("/",SUBSTITUTE(LEFT(TRIM(C365),FIND(" ",TRIM(C365)&amp;" ")-1),",","."))-1)/MID(SUBSTITUTE(LEFT(TRIM(C365),FIND(" ",TRIM(C365)&amp;" ")-1),",","."),FIND("/",SUBSTITUTE(LEFT(TRIM(C365),FIND(" ",TRIM(C365)&amp;" ")-1),",","."))+1,9)),IF(ISNUMBER(SEARCH("yea",C365)),IFERROR(_xlfn.NUMBERVALUE(SUBSTITUTE(LEFT(TRIM(C365),FIND(" ",TRIM(C365)&amp;" ")-1),",","."),"."),LEFT(SUBSTITUTE(LEFT(TRIM(C365),FIND(" ",TRIM(C365)&amp;" ")-1),",","."),FIND("/",SUBSTITUTE(LEFT(TRIM(C365),FIND(" ",TRIM(C365)&amp;" ")-1),",","."))-1)/MID(SUBSTITUTE(LEFT(TRIM(C365),FIND(" ",TRIM(C365)&amp;" ")-1),",","."),FIND("/",SUBSTITUTE(LEFT(TRIM(C365),FIND(" ",TRIM(C365)&amp;" ")-1),",","."))+1,9))*12,NA()))),0),24)*'Aturan &amp; Tarif'!$B$4,2)</f>
        <v>1362.72</v>
      </c>
      <c r="K365" s="32" t="n">
        <f aca="false">'Aturan &amp; Tarif'!$B$5</f>
        <v>2050</v>
      </c>
      <c r="L365" s="32" t="n">
        <f aca="false">'Aturan &amp; Tarif'!$B$6</f>
        <v>350</v>
      </c>
      <c r="M365" s="35" t="n">
        <f aca="false">I365+J365+K365+L365</f>
        <v>32212.72</v>
      </c>
      <c r="N365" s="37" t="s">
        <v>1553</v>
      </c>
    </row>
    <row r="366" customFormat="false" ht="25.5" hidden="false" customHeight="true" outlineLevel="0" collapsed="false">
      <c r="A366" s="29"/>
      <c r="B366" s="30" t="s">
        <v>1555</v>
      </c>
      <c r="C366" s="31" t="s">
        <v>107</v>
      </c>
      <c r="D366" s="31" t="s">
        <v>108</v>
      </c>
      <c r="E366" s="32" t="n">
        <v>14150</v>
      </c>
      <c r="F366" s="32"/>
      <c r="G366" s="32" t="n">
        <v>150</v>
      </c>
      <c r="H366" s="33" t="n">
        <v>2</v>
      </c>
      <c r="I366" s="34" t="n">
        <f aca="false">E366*H366+N(F366)+N(G366)</f>
        <v>28450</v>
      </c>
      <c r="J366" s="32" t="n">
        <f aca="false">ROUND(IFERROR(ROUND(IF(OR(ISNUMBER(SEARCH("week",C366)),ISNUMBER(SEARCH("minggu",C366))),IFERROR(_xlfn.NUMBERVALUE(SUBSTITUTE(LEFT(TRIM(C366),FIND(" ",TRIM(C366)&amp;" ")-1),",","."),"."),LEFT(SUBSTITUTE(LEFT(TRIM(C366),FIND(" ",TRIM(C366)&amp;" ")-1),",","."),FIND("/",SUBSTITUTE(LEFT(TRIM(C366),FIND(" ",TRIM(C366)&amp;" ")-1),",","."))-1)/MID(SUBSTITUTE(LEFT(TRIM(C366),FIND(" ",TRIM(C366)&amp;" ")-1),",","."),FIND("/",SUBSTITUTE(LEFT(TRIM(C366),FIND(" ",TRIM(C366)&amp;" ")-1),",","."))+1,9))*12/52,IF(ISNUMBER(SEARCH("month",C366)),IFERROR(_xlfn.NUMBERVALUE(SUBSTITUTE(LEFT(TRIM(C366),FIND(" ",TRIM(C366)&amp;" ")-1),",","."),"."),LEFT(SUBSTITUTE(LEFT(TRIM(C366),FIND(" ",TRIM(C366)&amp;" ")-1),",","."),FIND("/",SUBSTITUTE(LEFT(TRIM(C366),FIND(" ",TRIM(C366)&amp;" ")-1),",","."))-1)/MID(SUBSTITUTE(LEFT(TRIM(C366),FIND(" ",TRIM(C366)&amp;" ")-1),",","."),FIND("/",SUBSTITUTE(LEFT(TRIM(C366),FIND(" ",TRIM(C366)&amp;" ")-1),",","."))+1,9)),IF(ISNUMBER(SEARCH("yea",C366)),IFERROR(_xlfn.NUMBERVALUE(SUBSTITUTE(LEFT(TRIM(C366),FIND(" ",TRIM(C366)&amp;" ")-1),",","."),"."),LEFT(SUBSTITUTE(LEFT(TRIM(C366),FIND(" ",TRIM(C366)&amp;" ")-1),",","."),FIND("/",SUBSTITUTE(LEFT(TRIM(C366),FIND(" ",TRIM(C366)&amp;" ")-1),",","."))-1)/MID(SUBSTITUTE(LEFT(TRIM(C366),FIND(" ",TRIM(C366)&amp;" ")-1),",","."),FIND("/",SUBSTITUTE(LEFT(TRIM(C366),FIND(" ",TRIM(C366)&amp;" ")-1),",","."))+1,9))*12,NA()))),0),24)*'Aturan &amp; Tarif'!$B$4,2)</f>
        <v>1362.72</v>
      </c>
      <c r="K366" s="32" t="n">
        <f aca="false">'Aturan &amp; Tarif'!$B$5</f>
        <v>2050</v>
      </c>
      <c r="L366" s="32" t="n">
        <f aca="false">'Aturan &amp; Tarif'!$B$6</f>
        <v>350</v>
      </c>
      <c r="M366" s="35" t="n">
        <f aca="false">I366+J366+K366+L366</f>
        <v>32212.72</v>
      </c>
      <c r="N366" s="37" t="s">
        <v>1553</v>
      </c>
    </row>
    <row r="367" customFormat="false" ht="25.5" hidden="false" customHeight="true" outlineLevel="0" collapsed="false">
      <c r="A367" s="29"/>
      <c r="B367" s="30" t="s">
        <v>1556</v>
      </c>
      <c r="C367" s="31" t="s">
        <v>107</v>
      </c>
      <c r="D367" s="31" t="s">
        <v>108</v>
      </c>
      <c r="E367" s="32" t="n">
        <v>14150</v>
      </c>
      <c r="F367" s="32"/>
      <c r="G367" s="32" t="n">
        <v>150</v>
      </c>
      <c r="H367" s="33" t="n">
        <v>2</v>
      </c>
      <c r="I367" s="34" t="n">
        <f aca="false">E367*H367+N(F367)+N(G367)</f>
        <v>28450</v>
      </c>
      <c r="J367" s="32" t="n">
        <f aca="false">ROUND(IFERROR(ROUND(IF(OR(ISNUMBER(SEARCH("week",C367)),ISNUMBER(SEARCH("minggu",C367))),IFERROR(_xlfn.NUMBERVALUE(SUBSTITUTE(LEFT(TRIM(C367),FIND(" ",TRIM(C367)&amp;" ")-1),",","."),"."),LEFT(SUBSTITUTE(LEFT(TRIM(C367),FIND(" ",TRIM(C367)&amp;" ")-1),",","."),FIND("/",SUBSTITUTE(LEFT(TRIM(C367),FIND(" ",TRIM(C367)&amp;" ")-1),",","."))-1)/MID(SUBSTITUTE(LEFT(TRIM(C367),FIND(" ",TRIM(C367)&amp;" ")-1),",","."),FIND("/",SUBSTITUTE(LEFT(TRIM(C367),FIND(" ",TRIM(C367)&amp;" ")-1),",","."))+1,9))*12/52,IF(ISNUMBER(SEARCH("month",C367)),IFERROR(_xlfn.NUMBERVALUE(SUBSTITUTE(LEFT(TRIM(C367),FIND(" ",TRIM(C367)&amp;" ")-1),",","."),"."),LEFT(SUBSTITUTE(LEFT(TRIM(C367),FIND(" ",TRIM(C367)&amp;" ")-1),",","."),FIND("/",SUBSTITUTE(LEFT(TRIM(C367),FIND(" ",TRIM(C367)&amp;" ")-1),",","."))-1)/MID(SUBSTITUTE(LEFT(TRIM(C367),FIND(" ",TRIM(C367)&amp;" ")-1),",","."),FIND("/",SUBSTITUTE(LEFT(TRIM(C367),FIND(" ",TRIM(C367)&amp;" ")-1),",","."))+1,9)),IF(ISNUMBER(SEARCH("yea",C367)),IFERROR(_xlfn.NUMBERVALUE(SUBSTITUTE(LEFT(TRIM(C367),FIND(" ",TRIM(C367)&amp;" ")-1),",","."),"."),LEFT(SUBSTITUTE(LEFT(TRIM(C367),FIND(" ",TRIM(C367)&amp;" ")-1),",","."),FIND("/",SUBSTITUTE(LEFT(TRIM(C367),FIND(" ",TRIM(C367)&amp;" ")-1),",","."))-1)/MID(SUBSTITUTE(LEFT(TRIM(C367),FIND(" ",TRIM(C367)&amp;" ")-1),",","."),FIND("/",SUBSTITUTE(LEFT(TRIM(C367),FIND(" ",TRIM(C367)&amp;" ")-1),",","."))+1,9))*12,NA()))),0),24)*'Aturan &amp; Tarif'!$B$4,2)</f>
        <v>1362.72</v>
      </c>
      <c r="K367" s="32" t="n">
        <f aca="false">'Aturan &amp; Tarif'!$B$5</f>
        <v>2050</v>
      </c>
      <c r="L367" s="32" t="n">
        <f aca="false">'Aturan &amp; Tarif'!$B$6</f>
        <v>350</v>
      </c>
      <c r="M367" s="35" t="n">
        <f aca="false">I367+J367+K367+L367</f>
        <v>32212.72</v>
      </c>
      <c r="N367" s="37" t="s">
        <v>1553</v>
      </c>
    </row>
    <row r="368" customFormat="false" ht="25.5" hidden="false" customHeight="true" outlineLevel="0" collapsed="false">
      <c r="A368" s="29"/>
      <c r="B368" s="30" t="s">
        <v>1557</v>
      </c>
      <c r="C368" s="31" t="s">
        <v>107</v>
      </c>
      <c r="D368" s="31" t="s">
        <v>108</v>
      </c>
      <c r="E368" s="32" t="n">
        <v>14150</v>
      </c>
      <c r="F368" s="32"/>
      <c r="G368" s="32" t="n">
        <v>150</v>
      </c>
      <c r="H368" s="33" t="n">
        <v>2</v>
      </c>
      <c r="I368" s="34" t="n">
        <f aca="false">E368*H368+N(F368)+N(G368)</f>
        <v>28450</v>
      </c>
      <c r="J368" s="32" t="n">
        <f aca="false">ROUND(IFERROR(ROUND(IF(OR(ISNUMBER(SEARCH("week",C368)),ISNUMBER(SEARCH("minggu",C368))),IFERROR(_xlfn.NUMBERVALUE(SUBSTITUTE(LEFT(TRIM(C368),FIND(" ",TRIM(C368)&amp;" ")-1),",","."),"."),LEFT(SUBSTITUTE(LEFT(TRIM(C368),FIND(" ",TRIM(C368)&amp;" ")-1),",","."),FIND("/",SUBSTITUTE(LEFT(TRIM(C368),FIND(" ",TRIM(C368)&amp;" ")-1),",","."))-1)/MID(SUBSTITUTE(LEFT(TRIM(C368),FIND(" ",TRIM(C368)&amp;" ")-1),",","."),FIND("/",SUBSTITUTE(LEFT(TRIM(C368),FIND(" ",TRIM(C368)&amp;" ")-1),",","."))+1,9))*12/52,IF(ISNUMBER(SEARCH("month",C368)),IFERROR(_xlfn.NUMBERVALUE(SUBSTITUTE(LEFT(TRIM(C368),FIND(" ",TRIM(C368)&amp;" ")-1),",","."),"."),LEFT(SUBSTITUTE(LEFT(TRIM(C368),FIND(" ",TRIM(C368)&amp;" ")-1),",","."),FIND("/",SUBSTITUTE(LEFT(TRIM(C368),FIND(" ",TRIM(C368)&amp;" ")-1),",","."))-1)/MID(SUBSTITUTE(LEFT(TRIM(C368),FIND(" ",TRIM(C368)&amp;" ")-1),",","."),FIND("/",SUBSTITUTE(LEFT(TRIM(C368),FIND(" ",TRIM(C368)&amp;" ")-1),",","."))+1,9)),IF(ISNUMBER(SEARCH("yea",C368)),IFERROR(_xlfn.NUMBERVALUE(SUBSTITUTE(LEFT(TRIM(C368),FIND(" ",TRIM(C368)&amp;" ")-1),",","."),"."),LEFT(SUBSTITUTE(LEFT(TRIM(C368),FIND(" ",TRIM(C368)&amp;" ")-1),",","."),FIND("/",SUBSTITUTE(LEFT(TRIM(C368),FIND(" ",TRIM(C368)&amp;" ")-1),",","."))-1)/MID(SUBSTITUTE(LEFT(TRIM(C368),FIND(" ",TRIM(C368)&amp;" ")-1),",","."),FIND("/",SUBSTITUTE(LEFT(TRIM(C368),FIND(" ",TRIM(C368)&amp;" ")-1),",","."))+1,9))*12,NA()))),0),24)*'Aturan &amp; Tarif'!$B$4,2)</f>
        <v>1362.72</v>
      </c>
      <c r="K368" s="32" t="n">
        <f aca="false">'Aturan &amp; Tarif'!$B$5</f>
        <v>2050</v>
      </c>
      <c r="L368" s="32" t="n">
        <f aca="false">'Aturan &amp; Tarif'!$B$6</f>
        <v>350</v>
      </c>
      <c r="M368" s="35" t="n">
        <f aca="false">I368+J368+K368+L368</f>
        <v>32212.72</v>
      </c>
      <c r="N368" s="37" t="s">
        <v>1553</v>
      </c>
    </row>
    <row r="369" customFormat="false" ht="14.25" hidden="false" customHeight="true" outlineLevel="0" collapsed="false">
      <c r="A369" s="29"/>
      <c r="B369" s="30" t="s">
        <v>373</v>
      </c>
      <c r="C369" s="31" t="s">
        <v>107</v>
      </c>
      <c r="D369" s="31" t="s">
        <v>108</v>
      </c>
      <c r="E369" s="32" t="n">
        <v>11275</v>
      </c>
      <c r="F369" s="32"/>
      <c r="G369" s="32" t="n">
        <v>150</v>
      </c>
      <c r="H369" s="33" t="n">
        <v>2</v>
      </c>
      <c r="I369" s="34" t="n">
        <f aca="false">E369*H369+N(F369)+N(G369)</f>
        <v>22700</v>
      </c>
      <c r="J369" s="32" t="n">
        <f aca="false">ROUND(IFERROR(ROUND(IF(OR(ISNUMBER(SEARCH("week",C369)),ISNUMBER(SEARCH("minggu",C369))),IFERROR(_xlfn.NUMBERVALUE(SUBSTITUTE(LEFT(TRIM(C369),FIND(" ",TRIM(C369)&amp;" ")-1),",","."),"."),LEFT(SUBSTITUTE(LEFT(TRIM(C369),FIND(" ",TRIM(C369)&amp;" ")-1),",","."),FIND("/",SUBSTITUTE(LEFT(TRIM(C369),FIND(" ",TRIM(C369)&amp;" ")-1),",","."))-1)/MID(SUBSTITUTE(LEFT(TRIM(C369),FIND(" ",TRIM(C369)&amp;" ")-1),",","."),FIND("/",SUBSTITUTE(LEFT(TRIM(C369),FIND(" ",TRIM(C369)&amp;" ")-1),",","."))+1,9))*12/52,IF(ISNUMBER(SEARCH("month",C369)),IFERROR(_xlfn.NUMBERVALUE(SUBSTITUTE(LEFT(TRIM(C369),FIND(" ",TRIM(C369)&amp;" ")-1),",","."),"."),LEFT(SUBSTITUTE(LEFT(TRIM(C369),FIND(" ",TRIM(C369)&amp;" ")-1),",","."),FIND("/",SUBSTITUTE(LEFT(TRIM(C369),FIND(" ",TRIM(C369)&amp;" ")-1),",","."))-1)/MID(SUBSTITUTE(LEFT(TRIM(C369),FIND(" ",TRIM(C369)&amp;" ")-1),",","."),FIND("/",SUBSTITUTE(LEFT(TRIM(C369),FIND(" ",TRIM(C369)&amp;" ")-1),",","."))+1,9)),IF(ISNUMBER(SEARCH("yea",C369)),IFERROR(_xlfn.NUMBERVALUE(SUBSTITUTE(LEFT(TRIM(C369),FIND(" ",TRIM(C369)&amp;" ")-1),",","."),"."),LEFT(SUBSTITUTE(LEFT(TRIM(C369),FIND(" ",TRIM(C369)&amp;" ")-1),",","."),FIND("/",SUBSTITUTE(LEFT(TRIM(C369),FIND(" ",TRIM(C369)&amp;" ")-1),",","."))-1)/MID(SUBSTITUTE(LEFT(TRIM(C369),FIND(" ",TRIM(C369)&amp;" ")-1),",","."),FIND("/",SUBSTITUTE(LEFT(TRIM(C369),FIND(" ",TRIM(C369)&amp;" ")-1),",","."))+1,9))*12,NA()))),0),24)*'Aturan &amp; Tarif'!$B$4,2)</f>
        <v>1362.72</v>
      </c>
      <c r="K369" s="32" t="n">
        <f aca="false">'Aturan &amp; Tarif'!$B$5</f>
        <v>2050</v>
      </c>
      <c r="L369" s="32" t="n">
        <f aca="false">'Aturan &amp; Tarif'!$B$6</f>
        <v>350</v>
      </c>
      <c r="M369" s="35" t="n">
        <f aca="false">I369+J369+K369+L369</f>
        <v>26462.72</v>
      </c>
      <c r="N369" s="37" t="s">
        <v>846</v>
      </c>
    </row>
    <row r="370" customFormat="false" ht="25.5" hidden="false" customHeight="true" outlineLevel="0" collapsed="false">
      <c r="A370" s="29"/>
      <c r="B370" s="30" t="s">
        <v>450</v>
      </c>
      <c r="C370" s="31" t="s">
        <v>107</v>
      </c>
      <c r="D370" s="31" t="s">
        <v>108</v>
      </c>
      <c r="E370" s="32" t="n">
        <v>11275</v>
      </c>
      <c r="F370" s="32"/>
      <c r="G370" s="32" t="n">
        <v>150</v>
      </c>
      <c r="H370" s="33" t="n">
        <v>2</v>
      </c>
      <c r="I370" s="34" t="n">
        <f aca="false">E370*H370+N(F370)+N(G370)</f>
        <v>22700</v>
      </c>
      <c r="J370" s="32" t="n">
        <f aca="false">ROUND(IFERROR(ROUND(IF(OR(ISNUMBER(SEARCH("week",C370)),ISNUMBER(SEARCH("minggu",C370))),IFERROR(_xlfn.NUMBERVALUE(SUBSTITUTE(LEFT(TRIM(C370),FIND(" ",TRIM(C370)&amp;" ")-1),",","."),"."),LEFT(SUBSTITUTE(LEFT(TRIM(C370),FIND(" ",TRIM(C370)&amp;" ")-1),",","."),FIND("/",SUBSTITUTE(LEFT(TRIM(C370),FIND(" ",TRIM(C370)&amp;" ")-1),",","."))-1)/MID(SUBSTITUTE(LEFT(TRIM(C370),FIND(" ",TRIM(C370)&amp;" ")-1),",","."),FIND("/",SUBSTITUTE(LEFT(TRIM(C370),FIND(" ",TRIM(C370)&amp;" ")-1),",","."))+1,9))*12/52,IF(ISNUMBER(SEARCH("month",C370)),IFERROR(_xlfn.NUMBERVALUE(SUBSTITUTE(LEFT(TRIM(C370),FIND(" ",TRIM(C370)&amp;" ")-1),",","."),"."),LEFT(SUBSTITUTE(LEFT(TRIM(C370),FIND(" ",TRIM(C370)&amp;" ")-1),",","."),FIND("/",SUBSTITUTE(LEFT(TRIM(C370),FIND(" ",TRIM(C370)&amp;" ")-1),",","."))-1)/MID(SUBSTITUTE(LEFT(TRIM(C370),FIND(" ",TRIM(C370)&amp;" ")-1),",","."),FIND("/",SUBSTITUTE(LEFT(TRIM(C370),FIND(" ",TRIM(C370)&amp;" ")-1),",","."))+1,9)),IF(ISNUMBER(SEARCH("yea",C370)),IFERROR(_xlfn.NUMBERVALUE(SUBSTITUTE(LEFT(TRIM(C370),FIND(" ",TRIM(C370)&amp;" ")-1),",","."),"."),LEFT(SUBSTITUTE(LEFT(TRIM(C370),FIND(" ",TRIM(C370)&amp;" ")-1),",","."),FIND("/",SUBSTITUTE(LEFT(TRIM(C370),FIND(" ",TRIM(C370)&amp;" ")-1),",","."))-1)/MID(SUBSTITUTE(LEFT(TRIM(C370),FIND(" ",TRIM(C370)&amp;" ")-1),",","."),FIND("/",SUBSTITUTE(LEFT(TRIM(C370),FIND(" ",TRIM(C370)&amp;" ")-1),",","."))+1,9))*12,NA()))),0),24)*'Aturan &amp; Tarif'!$B$4,2)</f>
        <v>1362.72</v>
      </c>
      <c r="K370" s="32" t="n">
        <f aca="false">'Aturan &amp; Tarif'!$B$5</f>
        <v>2050</v>
      </c>
      <c r="L370" s="32" t="n">
        <f aca="false">'Aturan &amp; Tarif'!$B$6</f>
        <v>350</v>
      </c>
      <c r="M370" s="35" t="n">
        <f aca="false">I370+J370+K370+L370</f>
        <v>26462.72</v>
      </c>
      <c r="N370" s="37" t="s">
        <v>846</v>
      </c>
    </row>
    <row r="371" customFormat="false" ht="14.25" hidden="false" customHeight="true" outlineLevel="0" collapsed="false">
      <c r="A371" s="29"/>
      <c r="B371" s="30" t="s">
        <v>376</v>
      </c>
      <c r="C371" s="31" t="s">
        <v>107</v>
      </c>
      <c r="D371" s="31" t="s">
        <v>108</v>
      </c>
      <c r="E371" s="32" t="n">
        <v>11275</v>
      </c>
      <c r="F371" s="32"/>
      <c r="G371" s="32" t="n">
        <v>150</v>
      </c>
      <c r="H371" s="33" t="n">
        <v>2</v>
      </c>
      <c r="I371" s="34" t="n">
        <f aca="false">E371*H371+N(F371)+N(G371)</f>
        <v>22700</v>
      </c>
      <c r="J371" s="32" t="n">
        <f aca="false">ROUND(IFERROR(ROUND(IF(OR(ISNUMBER(SEARCH("week",C371)),ISNUMBER(SEARCH("minggu",C371))),IFERROR(_xlfn.NUMBERVALUE(SUBSTITUTE(LEFT(TRIM(C371),FIND(" ",TRIM(C371)&amp;" ")-1),",","."),"."),LEFT(SUBSTITUTE(LEFT(TRIM(C371),FIND(" ",TRIM(C371)&amp;" ")-1),",","."),FIND("/",SUBSTITUTE(LEFT(TRIM(C371),FIND(" ",TRIM(C371)&amp;" ")-1),",","."))-1)/MID(SUBSTITUTE(LEFT(TRIM(C371),FIND(" ",TRIM(C371)&amp;" ")-1),",","."),FIND("/",SUBSTITUTE(LEFT(TRIM(C371),FIND(" ",TRIM(C371)&amp;" ")-1),",","."))+1,9))*12/52,IF(ISNUMBER(SEARCH("month",C371)),IFERROR(_xlfn.NUMBERVALUE(SUBSTITUTE(LEFT(TRIM(C371),FIND(" ",TRIM(C371)&amp;" ")-1),",","."),"."),LEFT(SUBSTITUTE(LEFT(TRIM(C371),FIND(" ",TRIM(C371)&amp;" ")-1),",","."),FIND("/",SUBSTITUTE(LEFT(TRIM(C371),FIND(" ",TRIM(C371)&amp;" ")-1),",","."))-1)/MID(SUBSTITUTE(LEFT(TRIM(C371),FIND(" ",TRIM(C371)&amp;" ")-1),",","."),FIND("/",SUBSTITUTE(LEFT(TRIM(C371),FIND(" ",TRIM(C371)&amp;" ")-1),",","."))+1,9)),IF(ISNUMBER(SEARCH("yea",C371)),IFERROR(_xlfn.NUMBERVALUE(SUBSTITUTE(LEFT(TRIM(C371),FIND(" ",TRIM(C371)&amp;" ")-1),",","."),"."),LEFT(SUBSTITUTE(LEFT(TRIM(C371),FIND(" ",TRIM(C371)&amp;" ")-1),",","."),FIND("/",SUBSTITUTE(LEFT(TRIM(C371),FIND(" ",TRIM(C371)&amp;" ")-1),",","."))-1)/MID(SUBSTITUTE(LEFT(TRIM(C371),FIND(" ",TRIM(C371)&amp;" ")-1),",","."),FIND("/",SUBSTITUTE(LEFT(TRIM(C371),FIND(" ",TRIM(C371)&amp;" ")-1),",","."))+1,9))*12,NA()))),0),24)*'Aturan &amp; Tarif'!$B$4,2)</f>
        <v>1362.72</v>
      </c>
      <c r="K371" s="32" t="n">
        <f aca="false">'Aturan &amp; Tarif'!$B$5</f>
        <v>2050</v>
      </c>
      <c r="L371" s="32" t="n">
        <f aca="false">'Aturan &amp; Tarif'!$B$6</f>
        <v>350</v>
      </c>
      <c r="M371" s="35" t="n">
        <f aca="false">I371+J371+K371+L371</f>
        <v>26462.72</v>
      </c>
      <c r="N371" s="37" t="s">
        <v>846</v>
      </c>
    </row>
    <row r="372" customFormat="false" ht="14.25" hidden="false" customHeight="true" outlineLevel="0" collapsed="false">
      <c r="A372" s="29"/>
      <c r="B372" s="30" t="s">
        <v>377</v>
      </c>
      <c r="C372" s="31" t="s">
        <v>107</v>
      </c>
      <c r="D372" s="31" t="s">
        <v>108</v>
      </c>
      <c r="E372" s="32" t="n">
        <v>11275</v>
      </c>
      <c r="F372" s="32"/>
      <c r="G372" s="32" t="n">
        <v>150</v>
      </c>
      <c r="H372" s="33" t="n">
        <v>2</v>
      </c>
      <c r="I372" s="34" t="n">
        <f aca="false">E372*H372+N(F372)+N(G372)</f>
        <v>22700</v>
      </c>
      <c r="J372" s="32" t="n">
        <f aca="false">ROUND(IFERROR(ROUND(IF(OR(ISNUMBER(SEARCH("week",C372)),ISNUMBER(SEARCH("minggu",C372))),IFERROR(_xlfn.NUMBERVALUE(SUBSTITUTE(LEFT(TRIM(C372),FIND(" ",TRIM(C372)&amp;" ")-1),",","."),"."),LEFT(SUBSTITUTE(LEFT(TRIM(C372),FIND(" ",TRIM(C372)&amp;" ")-1),",","."),FIND("/",SUBSTITUTE(LEFT(TRIM(C372),FIND(" ",TRIM(C372)&amp;" ")-1),",","."))-1)/MID(SUBSTITUTE(LEFT(TRIM(C372),FIND(" ",TRIM(C372)&amp;" ")-1),",","."),FIND("/",SUBSTITUTE(LEFT(TRIM(C372),FIND(" ",TRIM(C372)&amp;" ")-1),",","."))+1,9))*12/52,IF(ISNUMBER(SEARCH("month",C372)),IFERROR(_xlfn.NUMBERVALUE(SUBSTITUTE(LEFT(TRIM(C372),FIND(" ",TRIM(C372)&amp;" ")-1),",","."),"."),LEFT(SUBSTITUTE(LEFT(TRIM(C372),FIND(" ",TRIM(C372)&amp;" ")-1),",","."),FIND("/",SUBSTITUTE(LEFT(TRIM(C372),FIND(" ",TRIM(C372)&amp;" ")-1),",","."))-1)/MID(SUBSTITUTE(LEFT(TRIM(C372),FIND(" ",TRIM(C372)&amp;" ")-1),",","."),FIND("/",SUBSTITUTE(LEFT(TRIM(C372),FIND(" ",TRIM(C372)&amp;" ")-1),",","."))+1,9)),IF(ISNUMBER(SEARCH("yea",C372)),IFERROR(_xlfn.NUMBERVALUE(SUBSTITUTE(LEFT(TRIM(C372),FIND(" ",TRIM(C372)&amp;" ")-1),",","."),"."),LEFT(SUBSTITUTE(LEFT(TRIM(C372),FIND(" ",TRIM(C372)&amp;" ")-1),",","."),FIND("/",SUBSTITUTE(LEFT(TRIM(C372),FIND(" ",TRIM(C372)&amp;" ")-1),",","."))-1)/MID(SUBSTITUTE(LEFT(TRIM(C372),FIND(" ",TRIM(C372)&amp;" ")-1),",","."),FIND("/",SUBSTITUTE(LEFT(TRIM(C372),FIND(" ",TRIM(C372)&amp;" ")-1),",","."))+1,9))*12,NA()))),0),24)*'Aturan &amp; Tarif'!$B$4,2)</f>
        <v>1362.72</v>
      </c>
      <c r="K372" s="32" t="n">
        <f aca="false">'Aturan &amp; Tarif'!$B$5</f>
        <v>2050</v>
      </c>
      <c r="L372" s="32" t="n">
        <f aca="false">'Aturan &amp; Tarif'!$B$6</f>
        <v>350</v>
      </c>
      <c r="M372" s="35" t="n">
        <f aca="false">I372+J372+K372+L372</f>
        <v>26462.72</v>
      </c>
      <c r="N372" s="37" t="s">
        <v>1558</v>
      </c>
    </row>
    <row r="373" customFormat="false" ht="25.5" hidden="false" customHeight="true" outlineLevel="0" collapsed="false">
      <c r="A373" s="29"/>
      <c r="B373" s="30" t="s">
        <v>1559</v>
      </c>
      <c r="C373" s="31" t="s">
        <v>107</v>
      </c>
      <c r="D373" s="31" t="s">
        <v>108</v>
      </c>
      <c r="E373" s="32" t="n">
        <v>13125</v>
      </c>
      <c r="F373" s="32"/>
      <c r="G373" s="32" t="n">
        <v>150</v>
      </c>
      <c r="H373" s="33" t="n">
        <v>2</v>
      </c>
      <c r="I373" s="34" t="n">
        <f aca="false">E373*H373+N(F373)+N(G373)</f>
        <v>26400</v>
      </c>
      <c r="J373" s="32" t="n">
        <f aca="false">ROUND(IFERROR(ROUND(IF(OR(ISNUMBER(SEARCH("week",C373)),ISNUMBER(SEARCH("minggu",C373))),IFERROR(_xlfn.NUMBERVALUE(SUBSTITUTE(LEFT(TRIM(C373),FIND(" ",TRIM(C373)&amp;" ")-1),",","."),"."),LEFT(SUBSTITUTE(LEFT(TRIM(C373),FIND(" ",TRIM(C373)&amp;" ")-1),",","."),FIND("/",SUBSTITUTE(LEFT(TRIM(C373),FIND(" ",TRIM(C373)&amp;" ")-1),",","."))-1)/MID(SUBSTITUTE(LEFT(TRIM(C373),FIND(" ",TRIM(C373)&amp;" ")-1),",","."),FIND("/",SUBSTITUTE(LEFT(TRIM(C373),FIND(" ",TRIM(C373)&amp;" ")-1),",","."))+1,9))*12/52,IF(ISNUMBER(SEARCH("month",C373)),IFERROR(_xlfn.NUMBERVALUE(SUBSTITUTE(LEFT(TRIM(C373),FIND(" ",TRIM(C373)&amp;" ")-1),",","."),"."),LEFT(SUBSTITUTE(LEFT(TRIM(C373),FIND(" ",TRIM(C373)&amp;" ")-1),",","."),FIND("/",SUBSTITUTE(LEFT(TRIM(C373),FIND(" ",TRIM(C373)&amp;" ")-1),",","."))-1)/MID(SUBSTITUTE(LEFT(TRIM(C373),FIND(" ",TRIM(C373)&amp;" ")-1),",","."),FIND("/",SUBSTITUTE(LEFT(TRIM(C373),FIND(" ",TRIM(C373)&amp;" ")-1),",","."))+1,9)),IF(ISNUMBER(SEARCH("yea",C373)),IFERROR(_xlfn.NUMBERVALUE(SUBSTITUTE(LEFT(TRIM(C373),FIND(" ",TRIM(C373)&amp;" ")-1),",","."),"."),LEFT(SUBSTITUTE(LEFT(TRIM(C373),FIND(" ",TRIM(C373)&amp;" ")-1),",","."),FIND("/",SUBSTITUTE(LEFT(TRIM(C373),FIND(" ",TRIM(C373)&amp;" ")-1),",","."))-1)/MID(SUBSTITUTE(LEFT(TRIM(C373),FIND(" ",TRIM(C373)&amp;" ")-1),",","."),FIND("/",SUBSTITUTE(LEFT(TRIM(C373),FIND(" ",TRIM(C373)&amp;" ")-1),",","."))+1,9))*12,NA()))),0),24)*'Aturan &amp; Tarif'!$B$4,2)</f>
        <v>1362.72</v>
      </c>
      <c r="K373" s="32" t="n">
        <f aca="false">'Aturan &amp; Tarif'!$B$5</f>
        <v>2050</v>
      </c>
      <c r="L373" s="32" t="n">
        <f aca="false">'Aturan &amp; Tarif'!$B$6</f>
        <v>350</v>
      </c>
      <c r="M373" s="35" t="n">
        <f aca="false">I373+J373+K373+L373</f>
        <v>30162.72</v>
      </c>
      <c r="N373" s="37" t="s">
        <v>846</v>
      </c>
    </row>
    <row r="374" customFormat="false" ht="48.75" hidden="false" customHeight="true" outlineLevel="0" collapsed="false">
      <c r="A374" s="39" t="s">
        <v>1560</v>
      </c>
      <c r="B374" s="40" t="s">
        <v>833</v>
      </c>
      <c r="C374" s="41" t="s">
        <v>107</v>
      </c>
      <c r="D374" s="41" t="s">
        <v>108</v>
      </c>
      <c r="E374" s="42" t="n">
        <v>2000</v>
      </c>
      <c r="F374" s="42" t="n">
        <v>0</v>
      </c>
      <c r="G374" s="42" t="n">
        <v>300</v>
      </c>
      <c r="H374" s="43" t="n">
        <v>2</v>
      </c>
      <c r="I374" s="34" t="n">
        <f aca="false">E374*H374+N(F374)+N(G374)</f>
        <v>4300</v>
      </c>
      <c r="J374" s="42" t="n">
        <f aca="false">ROUND(IFERROR(ROUND(IF(OR(ISNUMBER(SEARCH("week",C374)),ISNUMBER(SEARCH("minggu",C374))),IFERROR(_xlfn.NUMBERVALUE(SUBSTITUTE(LEFT(TRIM(C374),FIND(" ",TRIM(C374)&amp;" ")-1),",","."),"."),LEFT(SUBSTITUTE(LEFT(TRIM(C374),FIND(" ",TRIM(C374)&amp;" ")-1),",","."),FIND("/",SUBSTITUTE(LEFT(TRIM(C374),FIND(" ",TRIM(C374)&amp;" ")-1),",","."))-1)/MID(SUBSTITUTE(LEFT(TRIM(C374),FIND(" ",TRIM(C374)&amp;" ")-1),",","."),FIND("/",SUBSTITUTE(LEFT(TRIM(C374),FIND(" ",TRIM(C374)&amp;" ")-1),",","."))+1,9))*12/52,IF(ISNUMBER(SEARCH("month",C374)),IFERROR(_xlfn.NUMBERVALUE(SUBSTITUTE(LEFT(TRIM(C374),FIND(" ",TRIM(C374)&amp;" ")-1),",","."),"."),LEFT(SUBSTITUTE(LEFT(TRIM(C374),FIND(" ",TRIM(C374)&amp;" ")-1),",","."),FIND("/",SUBSTITUTE(LEFT(TRIM(C374),FIND(" ",TRIM(C374)&amp;" ")-1),",","."))-1)/MID(SUBSTITUTE(LEFT(TRIM(C374),FIND(" ",TRIM(C374)&amp;" ")-1),",","."),FIND("/",SUBSTITUTE(LEFT(TRIM(C374),FIND(" ",TRIM(C374)&amp;" ")-1),",","."))+1,9)),IF(ISNUMBER(SEARCH("yea",C374)),IFERROR(_xlfn.NUMBERVALUE(SUBSTITUTE(LEFT(TRIM(C374),FIND(" ",TRIM(C374)&amp;" ")-1),",","."),"."),LEFT(SUBSTITUTE(LEFT(TRIM(C374),FIND(" ",TRIM(C374)&amp;" ")-1),",","."),FIND("/",SUBSTITUTE(LEFT(TRIM(C374),FIND(" ",TRIM(C374)&amp;" ")-1),",","."))-1)/MID(SUBSTITUTE(LEFT(TRIM(C374),FIND(" ",TRIM(C374)&amp;" ")-1),",","."),FIND("/",SUBSTITUTE(LEFT(TRIM(C374),FIND(" ",TRIM(C374)&amp;" ")-1),",","."))+1,9))*12,NA()))),0),24)*'Aturan &amp; Tarif'!$B$4,2)</f>
        <v>1362.72</v>
      </c>
      <c r="K374" s="42" t="n">
        <f aca="false">'Aturan &amp; Tarif'!$B$5</f>
        <v>2050</v>
      </c>
      <c r="L374" s="42" t="n">
        <f aca="false">'Aturan &amp; Tarif'!$B$6</f>
        <v>350</v>
      </c>
      <c r="M374" s="35" t="n">
        <f aca="false">I374+J374+K374+L374</f>
        <v>8062.72</v>
      </c>
      <c r="N374" s="45" t="s">
        <v>834</v>
      </c>
    </row>
    <row r="375" customFormat="false" ht="14.25" hidden="false" customHeight="true" outlineLevel="0" collapsed="false">
      <c r="A375" s="39"/>
      <c r="B375" s="40" t="s">
        <v>835</v>
      </c>
      <c r="C375" s="41" t="s">
        <v>107</v>
      </c>
      <c r="D375" s="41" t="s">
        <v>108</v>
      </c>
      <c r="E375" s="42" t="n">
        <v>2315</v>
      </c>
      <c r="F375" s="42" t="n">
        <v>1000</v>
      </c>
      <c r="G375" s="42" t="n">
        <v>300</v>
      </c>
      <c r="H375" s="43" t="n">
        <v>2</v>
      </c>
      <c r="I375" s="34" t="n">
        <f aca="false">E375*H375+N(F375)+N(G375)</f>
        <v>5930</v>
      </c>
      <c r="J375" s="42" t="n">
        <f aca="false">ROUND(IFERROR(ROUND(IF(OR(ISNUMBER(SEARCH("week",C375)),ISNUMBER(SEARCH("minggu",C375))),IFERROR(_xlfn.NUMBERVALUE(SUBSTITUTE(LEFT(TRIM(C375),FIND(" ",TRIM(C375)&amp;" ")-1),",","."),"."),LEFT(SUBSTITUTE(LEFT(TRIM(C375),FIND(" ",TRIM(C375)&amp;" ")-1),",","."),FIND("/",SUBSTITUTE(LEFT(TRIM(C375),FIND(" ",TRIM(C375)&amp;" ")-1),",","."))-1)/MID(SUBSTITUTE(LEFT(TRIM(C375),FIND(" ",TRIM(C375)&amp;" ")-1),",","."),FIND("/",SUBSTITUTE(LEFT(TRIM(C375),FIND(" ",TRIM(C375)&amp;" ")-1),",","."))+1,9))*12/52,IF(ISNUMBER(SEARCH("month",C375)),IFERROR(_xlfn.NUMBERVALUE(SUBSTITUTE(LEFT(TRIM(C375),FIND(" ",TRIM(C375)&amp;" ")-1),",","."),"."),LEFT(SUBSTITUTE(LEFT(TRIM(C375),FIND(" ",TRIM(C375)&amp;" ")-1),",","."),FIND("/",SUBSTITUTE(LEFT(TRIM(C375),FIND(" ",TRIM(C375)&amp;" ")-1),",","."))-1)/MID(SUBSTITUTE(LEFT(TRIM(C375),FIND(" ",TRIM(C375)&amp;" ")-1),",","."),FIND("/",SUBSTITUTE(LEFT(TRIM(C375),FIND(" ",TRIM(C375)&amp;" ")-1),",","."))+1,9)),IF(ISNUMBER(SEARCH("yea",C375)),IFERROR(_xlfn.NUMBERVALUE(SUBSTITUTE(LEFT(TRIM(C375),FIND(" ",TRIM(C375)&amp;" ")-1),",","."),"."),LEFT(SUBSTITUTE(LEFT(TRIM(C375),FIND(" ",TRIM(C375)&amp;" ")-1),",","."),FIND("/",SUBSTITUTE(LEFT(TRIM(C375),FIND(" ",TRIM(C375)&amp;" ")-1),",","."))-1)/MID(SUBSTITUTE(LEFT(TRIM(C375),FIND(" ",TRIM(C375)&amp;" ")-1),",","."),FIND("/",SUBSTITUTE(LEFT(TRIM(C375),FIND(" ",TRIM(C375)&amp;" ")-1),",","."))+1,9))*12,NA()))),0),24)*'Aturan &amp; Tarif'!$B$4,2)</f>
        <v>1362.72</v>
      </c>
      <c r="K375" s="42" t="n">
        <f aca="false">'Aturan &amp; Tarif'!$B$5</f>
        <v>2050</v>
      </c>
      <c r="L375" s="42" t="n">
        <f aca="false">'Aturan &amp; Tarif'!$B$6</f>
        <v>350</v>
      </c>
      <c r="M375" s="35" t="n">
        <f aca="false">I375+J375+K375+L375</f>
        <v>9692.72</v>
      </c>
      <c r="N375" s="45" t="s">
        <v>836</v>
      </c>
    </row>
    <row r="376" customFormat="false" ht="25.5" hidden="false" customHeight="true" outlineLevel="0" collapsed="false">
      <c r="A376" s="39"/>
      <c r="B376" s="40" t="s">
        <v>837</v>
      </c>
      <c r="C376" s="41" t="s">
        <v>107</v>
      </c>
      <c r="D376" s="41" t="s">
        <v>108</v>
      </c>
      <c r="E376" s="42" t="n">
        <v>2375</v>
      </c>
      <c r="F376" s="42" t="n">
        <v>500</v>
      </c>
      <c r="G376" s="42" t="n">
        <v>300</v>
      </c>
      <c r="H376" s="43" t="n">
        <v>2</v>
      </c>
      <c r="I376" s="34" t="n">
        <f aca="false">E376*H376+N(F376)+N(G376)</f>
        <v>5550</v>
      </c>
      <c r="J376" s="42" t="n">
        <f aca="false">ROUND(IFERROR(ROUND(IF(OR(ISNUMBER(SEARCH("week",C376)),ISNUMBER(SEARCH("minggu",C376))),IFERROR(_xlfn.NUMBERVALUE(SUBSTITUTE(LEFT(TRIM(C376),FIND(" ",TRIM(C376)&amp;" ")-1),",","."),"."),LEFT(SUBSTITUTE(LEFT(TRIM(C376),FIND(" ",TRIM(C376)&amp;" ")-1),",","."),FIND("/",SUBSTITUTE(LEFT(TRIM(C376),FIND(" ",TRIM(C376)&amp;" ")-1),",","."))-1)/MID(SUBSTITUTE(LEFT(TRIM(C376),FIND(" ",TRIM(C376)&amp;" ")-1),",","."),FIND("/",SUBSTITUTE(LEFT(TRIM(C376),FIND(" ",TRIM(C376)&amp;" ")-1),",","."))+1,9))*12/52,IF(ISNUMBER(SEARCH("month",C376)),IFERROR(_xlfn.NUMBERVALUE(SUBSTITUTE(LEFT(TRIM(C376),FIND(" ",TRIM(C376)&amp;" ")-1),",","."),"."),LEFT(SUBSTITUTE(LEFT(TRIM(C376),FIND(" ",TRIM(C376)&amp;" ")-1),",","."),FIND("/",SUBSTITUTE(LEFT(TRIM(C376),FIND(" ",TRIM(C376)&amp;" ")-1),",","."))-1)/MID(SUBSTITUTE(LEFT(TRIM(C376),FIND(" ",TRIM(C376)&amp;" ")-1),",","."),FIND("/",SUBSTITUTE(LEFT(TRIM(C376),FIND(" ",TRIM(C376)&amp;" ")-1),",","."))+1,9)),IF(ISNUMBER(SEARCH("yea",C376)),IFERROR(_xlfn.NUMBERVALUE(SUBSTITUTE(LEFT(TRIM(C376),FIND(" ",TRIM(C376)&amp;" ")-1),",","."),"."),LEFT(SUBSTITUTE(LEFT(TRIM(C376),FIND(" ",TRIM(C376)&amp;" ")-1),",","."),FIND("/",SUBSTITUTE(LEFT(TRIM(C376),FIND(" ",TRIM(C376)&amp;" ")-1),",","."))-1)/MID(SUBSTITUTE(LEFT(TRIM(C376),FIND(" ",TRIM(C376)&amp;" ")-1),",","."),FIND("/",SUBSTITUTE(LEFT(TRIM(C376),FIND(" ",TRIM(C376)&amp;" ")-1),",","."))+1,9))*12,NA()))),0),24)*'Aturan &amp; Tarif'!$B$4,2)</f>
        <v>1362.72</v>
      </c>
      <c r="K376" s="42" t="n">
        <f aca="false">'Aturan &amp; Tarif'!$B$5</f>
        <v>2050</v>
      </c>
      <c r="L376" s="42" t="n">
        <f aca="false">'Aturan &amp; Tarif'!$B$6</f>
        <v>350</v>
      </c>
      <c r="M376" s="35" t="n">
        <f aca="false">I376+J376+K376+L376</f>
        <v>9312.72</v>
      </c>
      <c r="N376" s="45" t="s">
        <v>836</v>
      </c>
    </row>
    <row r="377" customFormat="false" ht="37.5" hidden="false" customHeight="true" outlineLevel="0" collapsed="false">
      <c r="A377" s="39"/>
      <c r="B377" s="40" t="s">
        <v>1561</v>
      </c>
      <c r="C377" s="41" t="s">
        <v>107</v>
      </c>
      <c r="D377" s="41" t="s">
        <v>108</v>
      </c>
      <c r="E377" s="42" t="n">
        <v>2250</v>
      </c>
      <c r="F377" s="42" t="n">
        <v>1500</v>
      </c>
      <c r="G377" s="42" t="n">
        <v>300</v>
      </c>
      <c r="H377" s="43" t="n">
        <v>2</v>
      </c>
      <c r="I377" s="34" t="n">
        <f aca="false">E377*H377+N(F377)+N(G377)</f>
        <v>6300</v>
      </c>
      <c r="J377" s="42" t="n">
        <f aca="false">ROUND(IFERROR(ROUND(IF(OR(ISNUMBER(SEARCH("week",C377)),ISNUMBER(SEARCH("minggu",C377))),IFERROR(_xlfn.NUMBERVALUE(SUBSTITUTE(LEFT(TRIM(C377),FIND(" ",TRIM(C377)&amp;" ")-1),",","."),"."),LEFT(SUBSTITUTE(LEFT(TRIM(C377),FIND(" ",TRIM(C377)&amp;" ")-1),",","."),FIND("/",SUBSTITUTE(LEFT(TRIM(C377),FIND(" ",TRIM(C377)&amp;" ")-1),",","."))-1)/MID(SUBSTITUTE(LEFT(TRIM(C377),FIND(" ",TRIM(C377)&amp;" ")-1),",","."),FIND("/",SUBSTITUTE(LEFT(TRIM(C377),FIND(" ",TRIM(C377)&amp;" ")-1),",","."))+1,9))*12/52,IF(ISNUMBER(SEARCH("month",C377)),IFERROR(_xlfn.NUMBERVALUE(SUBSTITUTE(LEFT(TRIM(C377),FIND(" ",TRIM(C377)&amp;" ")-1),",","."),"."),LEFT(SUBSTITUTE(LEFT(TRIM(C377),FIND(" ",TRIM(C377)&amp;" ")-1),",","."),FIND("/",SUBSTITUTE(LEFT(TRIM(C377),FIND(" ",TRIM(C377)&amp;" ")-1),",","."))-1)/MID(SUBSTITUTE(LEFT(TRIM(C377),FIND(" ",TRIM(C377)&amp;" ")-1),",","."),FIND("/",SUBSTITUTE(LEFT(TRIM(C377),FIND(" ",TRIM(C377)&amp;" ")-1),",","."))+1,9)),IF(ISNUMBER(SEARCH("yea",C377)),IFERROR(_xlfn.NUMBERVALUE(SUBSTITUTE(LEFT(TRIM(C377),FIND(" ",TRIM(C377)&amp;" ")-1),",","."),"."),LEFT(SUBSTITUTE(LEFT(TRIM(C377),FIND(" ",TRIM(C377)&amp;" ")-1),",","."),FIND("/",SUBSTITUTE(LEFT(TRIM(C377),FIND(" ",TRIM(C377)&amp;" ")-1),",","."))-1)/MID(SUBSTITUTE(LEFT(TRIM(C377),FIND(" ",TRIM(C377)&amp;" ")-1),",","."),FIND("/",SUBSTITUTE(LEFT(TRIM(C377),FIND(" ",TRIM(C377)&amp;" ")-1),",","."))+1,9))*12,NA()))),0),24)*'Aturan &amp; Tarif'!$B$4,2)</f>
        <v>1362.72</v>
      </c>
      <c r="K377" s="42" t="n">
        <f aca="false">'Aturan &amp; Tarif'!$B$5</f>
        <v>2050</v>
      </c>
      <c r="L377" s="42" t="n">
        <f aca="false">'Aturan &amp; Tarif'!$B$6</f>
        <v>350</v>
      </c>
      <c r="M377" s="35" t="n">
        <f aca="false">I377+J377+K377+L377</f>
        <v>10062.72</v>
      </c>
      <c r="N377" s="45" t="s">
        <v>836</v>
      </c>
    </row>
    <row r="378" customFormat="false" ht="25.5" hidden="false" customHeight="true" outlineLevel="0" collapsed="false">
      <c r="A378" s="39"/>
      <c r="B378" s="40" t="s">
        <v>1562</v>
      </c>
      <c r="C378" s="41" t="s">
        <v>107</v>
      </c>
      <c r="D378" s="41" t="s">
        <v>108</v>
      </c>
      <c r="E378" s="42" t="n">
        <v>2250</v>
      </c>
      <c r="F378" s="42" t="n">
        <v>0</v>
      </c>
      <c r="G378" s="42" t="n">
        <v>300</v>
      </c>
      <c r="H378" s="43" t="n">
        <v>2</v>
      </c>
      <c r="I378" s="34" t="n">
        <f aca="false">E378*H378+N(F378)+N(G378)</f>
        <v>4800</v>
      </c>
      <c r="J378" s="42" t="n">
        <f aca="false">ROUND(IFERROR(ROUND(IF(OR(ISNUMBER(SEARCH("week",C378)),ISNUMBER(SEARCH("minggu",C378))),IFERROR(_xlfn.NUMBERVALUE(SUBSTITUTE(LEFT(TRIM(C378),FIND(" ",TRIM(C378)&amp;" ")-1),",","."),"."),LEFT(SUBSTITUTE(LEFT(TRIM(C378),FIND(" ",TRIM(C378)&amp;" ")-1),",","."),FIND("/",SUBSTITUTE(LEFT(TRIM(C378),FIND(" ",TRIM(C378)&amp;" ")-1),",","."))-1)/MID(SUBSTITUTE(LEFT(TRIM(C378),FIND(" ",TRIM(C378)&amp;" ")-1),",","."),FIND("/",SUBSTITUTE(LEFT(TRIM(C378),FIND(" ",TRIM(C378)&amp;" ")-1),",","."))+1,9))*12/52,IF(ISNUMBER(SEARCH("month",C378)),IFERROR(_xlfn.NUMBERVALUE(SUBSTITUTE(LEFT(TRIM(C378),FIND(" ",TRIM(C378)&amp;" ")-1),",","."),"."),LEFT(SUBSTITUTE(LEFT(TRIM(C378),FIND(" ",TRIM(C378)&amp;" ")-1),",","."),FIND("/",SUBSTITUTE(LEFT(TRIM(C378),FIND(" ",TRIM(C378)&amp;" ")-1),",","."))-1)/MID(SUBSTITUTE(LEFT(TRIM(C378),FIND(" ",TRIM(C378)&amp;" ")-1),",","."),FIND("/",SUBSTITUTE(LEFT(TRIM(C378),FIND(" ",TRIM(C378)&amp;" ")-1),",","."))+1,9)),IF(ISNUMBER(SEARCH("yea",C378)),IFERROR(_xlfn.NUMBERVALUE(SUBSTITUTE(LEFT(TRIM(C378),FIND(" ",TRIM(C378)&amp;" ")-1),",","."),"."),LEFT(SUBSTITUTE(LEFT(TRIM(C378),FIND(" ",TRIM(C378)&amp;" ")-1),",","."),FIND("/",SUBSTITUTE(LEFT(TRIM(C378),FIND(" ",TRIM(C378)&amp;" ")-1),",","."))-1)/MID(SUBSTITUTE(LEFT(TRIM(C378),FIND(" ",TRIM(C378)&amp;" ")-1),",","."),FIND("/",SUBSTITUTE(LEFT(TRIM(C378),FIND(" ",TRIM(C378)&amp;" ")-1),",","."))+1,9))*12,NA()))),0),24)*'Aturan &amp; Tarif'!$B$4,2)</f>
        <v>1362.72</v>
      </c>
      <c r="K378" s="42" t="n">
        <f aca="false">'Aturan &amp; Tarif'!$B$5</f>
        <v>2050</v>
      </c>
      <c r="L378" s="42" t="n">
        <f aca="false">'Aturan &amp; Tarif'!$B$6</f>
        <v>350</v>
      </c>
      <c r="M378" s="35" t="n">
        <f aca="false">I378+J378+K378+L378</f>
        <v>8562.72</v>
      </c>
      <c r="N378" s="45" t="s">
        <v>834</v>
      </c>
    </row>
    <row r="379" customFormat="false" ht="37.5" hidden="false" customHeight="true" outlineLevel="0" collapsed="false">
      <c r="A379" s="39" t="s">
        <v>1563</v>
      </c>
      <c r="B379" s="40" t="s">
        <v>1561</v>
      </c>
      <c r="C379" s="41" t="s">
        <v>107</v>
      </c>
      <c r="D379" s="41" t="s">
        <v>108</v>
      </c>
      <c r="E379" s="42" t="n">
        <v>3560</v>
      </c>
      <c r="F379" s="42" t="n">
        <v>1600</v>
      </c>
      <c r="G379" s="42" t="n">
        <v>300</v>
      </c>
      <c r="H379" s="43" t="n">
        <v>1</v>
      </c>
      <c r="I379" s="34" t="n">
        <f aca="false">E379*H379+N(F379)+N(G379)</f>
        <v>5460</v>
      </c>
      <c r="J379" s="42" t="n">
        <f aca="false">ROUND(IFERROR(ROUND(IF(OR(ISNUMBER(SEARCH("week",C379)),ISNUMBER(SEARCH("minggu",C379))),IFERROR(_xlfn.NUMBERVALUE(SUBSTITUTE(LEFT(TRIM(C379),FIND(" ",TRIM(C379)&amp;" ")-1),",","."),"."),LEFT(SUBSTITUTE(LEFT(TRIM(C379),FIND(" ",TRIM(C379)&amp;" ")-1),",","."),FIND("/",SUBSTITUTE(LEFT(TRIM(C379),FIND(" ",TRIM(C379)&amp;" ")-1),",","."))-1)/MID(SUBSTITUTE(LEFT(TRIM(C379),FIND(" ",TRIM(C379)&amp;" ")-1),",","."),FIND("/",SUBSTITUTE(LEFT(TRIM(C379),FIND(" ",TRIM(C379)&amp;" ")-1),",","."))+1,9))*12/52,IF(ISNUMBER(SEARCH("month",C379)),IFERROR(_xlfn.NUMBERVALUE(SUBSTITUTE(LEFT(TRIM(C379),FIND(" ",TRIM(C379)&amp;" ")-1),",","."),"."),LEFT(SUBSTITUTE(LEFT(TRIM(C379),FIND(" ",TRIM(C379)&amp;" ")-1),",","."),FIND("/",SUBSTITUTE(LEFT(TRIM(C379),FIND(" ",TRIM(C379)&amp;" ")-1),",","."))-1)/MID(SUBSTITUTE(LEFT(TRIM(C379),FIND(" ",TRIM(C379)&amp;" ")-1),",","."),FIND("/",SUBSTITUTE(LEFT(TRIM(C379),FIND(" ",TRIM(C379)&amp;" ")-1),",","."))+1,9)),IF(ISNUMBER(SEARCH("yea",C379)),IFERROR(_xlfn.NUMBERVALUE(SUBSTITUTE(LEFT(TRIM(C379),FIND(" ",TRIM(C379)&amp;" ")-1),",","."),"."),LEFT(SUBSTITUTE(LEFT(TRIM(C379),FIND(" ",TRIM(C379)&amp;" ")-1),",","."),FIND("/",SUBSTITUTE(LEFT(TRIM(C379),FIND(" ",TRIM(C379)&amp;" ")-1),",","."))-1)/MID(SUBSTITUTE(LEFT(TRIM(C379),FIND(" ",TRIM(C379)&amp;" ")-1),",","."),FIND("/",SUBSTITUTE(LEFT(TRIM(C379),FIND(" ",TRIM(C379)&amp;" ")-1),",","."))+1,9))*12,NA()))),0),24)*'Aturan &amp; Tarif'!$B$4,2)</f>
        <v>1362.72</v>
      </c>
      <c r="K379" s="42" t="n">
        <f aca="false">'Aturan &amp; Tarif'!$B$5</f>
        <v>2050</v>
      </c>
      <c r="L379" s="42" t="n">
        <f aca="false">'Aturan &amp; Tarif'!$B$6</f>
        <v>350</v>
      </c>
      <c r="M379" s="35" t="n">
        <f aca="false">I379+J379+K379+L379</f>
        <v>9222.72</v>
      </c>
      <c r="N379" s="45" t="s">
        <v>1564</v>
      </c>
    </row>
    <row r="380" customFormat="false" ht="37.5" hidden="false" customHeight="true" outlineLevel="0" collapsed="false">
      <c r="A380" s="39"/>
      <c r="B380" s="40" t="s">
        <v>1565</v>
      </c>
      <c r="C380" s="41" t="s">
        <v>138</v>
      </c>
      <c r="D380" s="41" t="s">
        <v>108</v>
      </c>
      <c r="E380" s="42" t="n">
        <v>3385</v>
      </c>
      <c r="F380" s="42" t="n">
        <v>1600</v>
      </c>
      <c r="G380" s="42" t="n">
        <v>300</v>
      </c>
      <c r="H380" s="43" t="n">
        <v>1</v>
      </c>
      <c r="I380" s="34" t="n">
        <f aca="false">E380*H380+N(F380)+N(G380)</f>
        <v>5285</v>
      </c>
      <c r="J380" s="42" t="n">
        <f aca="false">ROUND(IFERROR(ROUND(IF(OR(ISNUMBER(SEARCH("week",C380)),ISNUMBER(SEARCH("minggu",C380))),IFERROR(_xlfn.NUMBERVALUE(SUBSTITUTE(LEFT(TRIM(C380),FIND(" ",TRIM(C380)&amp;" ")-1),",","."),"."),LEFT(SUBSTITUTE(LEFT(TRIM(C380),FIND(" ",TRIM(C380)&amp;" ")-1),",","."),FIND("/",SUBSTITUTE(LEFT(TRIM(C380),FIND(" ",TRIM(C380)&amp;" ")-1),",","."))-1)/MID(SUBSTITUTE(LEFT(TRIM(C380),FIND(" ",TRIM(C380)&amp;" ")-1),",","."),FIND("/",SUBSTITUTE(LEFT(TRIM(C380),FIND(" ",TRIM(C380)&amp;" ")-1),",","."))+1,9))*12/52,IF(ISNUMBER(SEARCH("month",C380)),IFERROR(_xlfn.NUMBERVALUE(SUBSTITUTE(LEFT(TRIM(C380),FIND(" ",TRIM(C380)&amp;" ")-1),",","."),"."),LEFT(SUBSTITUTE(LEFT(TRIM(C380),FIND(" ",TRIM(C380)&amp;" ")-1),",","."),FIND("/",SUBSTITUTE(LEFT(TRIM(C380),FIND(" ",TRIM(C380)&amp;" ")-1),",","."))-1)/MID(SUBSTITUTE(LEFT(TRIM(C380),FIND(" ",TRIM(C380)&amp;" ")-1),",","."),FIND("/",SUBSTITUTE(LEFT(TRIM(C380),FIND(" ",TRIM(C380)&amp;" ")-1),",","."))+1,9)),IF(ISNUMBER(SEARCH("yea",C380)),IFERROR(_xlfn.NUMBERVALUE(SUBSTITUTE(LEFT(TRIM(C380),FIND(" ",TRIM(C380)&amp;" ")-1),",","."),"."),LEFT(SUBSTITUTE(LEFT(TRIM(C380),FIND(" ",TRIM(C380)&amp;" ")-1),",","."),FIND("/",SUBSTITUTE(LEFT(TRIM(C380),FIND(" ",TRIM(C380)&amp;" ")-1),",","."))-1)/MID(SUBSTITUTE(LEFT(TRIM(C380),FIND(" ",TRIM(C380)&amp;" ")-1),",","."),FIND("/",SUBSTITUTE(LEFT(TRIM(C380),FIND(" ",TRIM(C380)&amp;" ")-1),",","."))+1,9))*12,NA()))),0),30)*'Aturan &amp; Tarif'!$B$4,2)</f>
        <v>1703.4</v>
      </c>
      <c r="K380" s="42" t="n">
        <f aca="false">'Aturan &amp; Tarif'!$B$5</f>
        <v>2050</v>
      </c>
      <c r="L380" s="42" t="n">
        <f aca="false">'Aturan &amp; Tarif'!$B$6</f>
        <v>350</v>
      </c>
      <c r="M380" s="35" t="n">
        <f aca="false">I380+J380+K380+L380</f>
        <v>9388.4</v>
      </c>
      <c r="N380" s="45" t="s">
        <v>1564</v>
      </c>
    </row>
    <row r="381" customFormat="false" ht="25.5" hidden="false" customHeight="true" outlineLevel="0" collapsed="false">
      <c r="A381" s="39"/>
      <c r="B381" s="40" t="s">
        <v>1566</v>
      </c>
      <c r="C381" s="41" t="s">
        <v>107</v>
      </c>
      <c r="D381" s="41" t="s">
        <v>108</v>
      </c>
      <c r="E381" s="42" t="n">
        <v>3850</v>
      </c>
      <c r="F381" s="42" t="n">
        <v>1300</v>
      </c>
      <c r="G381" s="42" t="n">
        <v>300</v>
      </c>
      <c r="H381" s="43" t="n">
        <v>1</v>
      </c>
      <c r="I381" s="34" t="n">
        <f aca="false">E381*H381+N(F381)+N(G381)</f>
        <v>5450</v>
      </c>
      <c r="J381" s="42" t="n">
        <f aca="false">ROUND(IFERROR(ROUND(IF(OR(ISNUMBER(SEARCH("week",C381)),ISNUMBER(SEARCH("minggu",C381))),IFERROR(_xlfn.NUMBERVALUE(SUBSTITUTE(LEFT(TRIM(C381),FIND(" ",TRIM(C381)&amp;" ")-1),",","."),"."),LEFT(SUBSTITUTE(LEFT(TRIM(C381),FIND(" ",TRIM(C381)&amp;" ")-1),",","."),FIND("/",SUBSTITUTE(LEFT(TRIM(C381),FIND(" ",TRIM(C381)&amp;" ")-1),",","."))-1)/MID(SUBSTITUTE(LEFT(TRIM(C381),FIND(" ",TRIM(C381)&amp;" ")-1),",","."),FIND("/",SUBSTITUTE(LEFT(TRIM(C381),FIND(" ",TRIM(C381)&amp;" ")-1),",","."))+1,9))*12/52,IF(ISNUMBER(SEARCH("month",C381)),IFERROR(_xlfn.NUMBERVALUE(SUBSTITUTE(LEFT(TRIM(C381),FIND(" ",TRIM(C381)&amp;" ")-1),",","."),"."),LEFT(SUBSTITUTE(LEFT(TRIM(C381),FIND(" ",TRIM(C381)&amp;" ")-1),",","."),FIND("/",SUBSTITUTE(LEFT(TRIM(C381),FIND(" ",TRIM(C381)&amp;" ")-1),",","."))-1)/MID(SUBSTITUTE(LEFT(TRIM(C381),FIND(" ",TRIM(C381)&amp;" ")-1),",","."),FIND("/",SUBSTITUTE(LEFT(TRIM(C381),FIND(" ",TRIM(C381)&amp;" ")-1),",","."))+1,9)),IF(ISNUMBER(SEARCH("yea",C381)),IFERROR(_xlfn.NUMBERVALUE(SUBSTITUTE(LEFT(TRIM(C381),FIND(" ",TRIM(C381)&amp;" ")-1),",","."),"."),LEFT(SUBSTITUTE(LEFT(TRIM(C381),FIND(" ",TRIM(C381)&amp;" ")-1),",","."),FIND("/",SUBSTITUTE(LEFT(TRIM(C381),FIND(" ",TRIM(C381)&amp;" ")-1),",","."))-1)/MID(SUBSTITUTE(LEFT(TRIM(C381),FIND(" ",TRIM(C381)&amp;" ")-1),",","."),FIND("/",SUBSTITUTE(LEFT(TRIM(C381),FIND(" ",TRIM(C381)&amp;" ")-1),",","."))+1,9))*12,NA()))),0),24)*'Aturan &amp; Tarif'!$B$4,2)</f>
        <v>1362.72</v>
      </c>
      <c r="K381" s="42" t="n">
        <f aca="false">'Aturan &amp; Tarif'!$B$5</f>
        <v>2050</v>
      </c>
      <c r="L381" s="42" t="n">
        <f aca="false">'Aturan &amp; Tarif'!$B$6</f>
        <v>350</v>
      </c>
      <c r="M381" s="35" t="n">
        <f aca="false">I381+J381+K381+L381</f>
        <v>9212.72</v>
      </c>
      <c r="N381" s="45" t="s">
        <v>1564</v>
      </c>
    </row>
    <row r="382" customFormat="false" ht="37.5" hidden="false" customHeight="true" outlineLevel="0" collapsed="false">
      <c r="A382" s="39"/>
      <c r="B382" s="40" t="s">
        <v>1567</v>
      </c>
      <c r="C382" s="41" t="s">
        <v>138</v>
      </c>
      <c r="D382" s="41" t="s">
        <v>108</v>
      </c>
      <c r="E382" s="42" t="n">
        <v>3610</v>
      </c>
      <c r="F382" s="42" t="n">
        <v>1300</v>
      </c>
      <c r="G382" s="42" t="n">
        <v>300</v>
      </c>
      <c r="H382" s="43" t="n">
        <v>1</v>
      </c>
      <c r="I382" s="34" t="n">
        <f aca="false">E382*H382+N(F382)+N(G382)</f>
        <v>5210</v>
      </c>
      <c r="J382" s="42" t="n">
        <f aca="false">ROUND(IFERROR(ROUND(IF(OR(ISNUMBER(SEARCH("week",C382)),ISNUMBER(SEARCH("minggu",C382))),IFERROR(_xlfn.NUMBERVALUE(SUBSTITUTE(LEFT(TRIM(C382),FIND(" ",TRIM(C382)&amp;" ")-1),",","."),"."),LEFT(SUBSTITUTE(LEFT(TRIM(C382),FIND(" ",TRIM(C382)&amp;" ")-1),",","."),FIND("/",SUBSTITUTE(LEFT(TRIM(C382),FIND(" ",TRIM(C382)&amp;" ")-1),",","."))-1)/MID(SUBSTITUTE(LEFT(TRIM(C382),FIND(" ",TRIM(C382)&amp;" ")-1),",","."),FIND("/",SUBSTITUTE(LEFT(TRIM(C382),FIND(" ",TRIM(C382)&amp;" ")-1),",","."))+1,9))*12/52,IF(ISNUMBER(SEARCH("month",C382)),IFERROR(_xlfn.NUMBERVALUE(SUBSTITUTE(LEFT(TRIM(C382),FIND(" ",TRIM(C382)&amp;" ")-1),",","."),"."),LEFT(SUBSTITUTE(LEFT(TRIM(C382),FIND(" ",TRIM(C382)&amp;" ")-1),",","."),FIND("/",SUBSTITUTE(LEFT(TRIM(C382),FIND(" ",TRIM(C382)&amp;" ")-1),",","."))-1)/MID(SUBSTITUTE(LEFT(TRIM(C382),FIND(" ",TRIM(C382)&amp;" ")-1),",","."),FIND("/",SUBSTITUTE(LEFT(TRIM(C382),FIND(" ",TRIM(C382)&amp;" ")-1),",","."))+1,9)),IF(ISNUMBER(SEARCH("yea",C382)),IFERROR(_xlfn.NUMBERVALUE(SUBSTITUTE(LEFT(TRIM(C382),FIND(" ",TRIM(C382)&amp;" ")-1),",","."),"."),LEFT(SUBSTITUTE(LEFT(TRIM(C382),FIND(" ",TRIM(C382)&amp;" ")-1),",","."),FIND("/",SUBSTITUTE(LEFT(TRIM(C382),FIND(" ",TRIM(C382)&amp;" ")-1),",","."))-1)/MID(SUBSTITUTE(LEFT(TRIM(C382),FIND(" ",TRIM(C382)&amp;" ")-1),",","."),FIND("/",SUBSTITUTE(LEFT(TRIM(C382),FIND(" ",TRIM(C382)&amp;" ")-1),",","."))+1,9))*12,NA()))),0),30)*'Aturan &amp; Tarif'!$B$4,2)</f>
        <v>1703.4</v>
      </c>
      <c r="K382" s="42" t="n">
        <f aca="false">'Aturan &amp; Tarif'!$B$5</f>
        <v>2050</v>
      </c>
      <c r="L382" s="42" t="n">
        <f aca="false">'Aturan &amp; Tarif'!$B$6</f>
        <v>350</v>
      </c>
      <c r="M382" s="35" t="n">
        <f aca="false">I382+J382+K382+L382</f>
        <v>9313.4</v>
      </c>
      <c r="N382" s="45" t="s">
        <v>1564</v>
      </c>
    </row>
    <row r="383" customFormat="false" ht="37.5" hidden="false" customHeight="true" outlineLevel="0" collapsed="false">
      <c r="A383" s="39"/>
      <c r="B383" s="40" t="s">
        <v>1568</v>
      </c>
      <c r="C383" s="41" t="s">
        <v>127</v>
      </c>
      <c r="D383" s="41" t="s">
        <v>108</v>
      </c>
      <c r="E383" s="42" t="n">
        <v>3455</v>
      </c>
      <c r="F383" s="42" t="n">
        <v>1300</v>
      </c>
      <c r="G383" s="42" t="n">
        <v>300</v>
      </c>
      <c r="H383" s="43" t="n">
        <v>1</v>
      </c>
      <c r="I383" s="34" t="n">
        <f aca="false">E383*H383+N(F383)+N(G383)</f>
        <v>5055</v>
      </c>
      <c r="J383" s="42" t="n">
        <f aca="false">ROUND(IFERROR(ROUND(IF(OR(ISNUMBER(SEARCH("week",C383)),ISNUMBER(SEARCH("minggu",C383))),IFERROR(_xlfn.NUMBERVALUE(SUBSTITUTE(LEFT(TRIM(C383),FIND(" ",TRIM(C383)&amp;" ")-1),",","."),"."),LEFT(SUBSTITUTE(LEFT(TRIM(C383),FIND(" ",TRIM(C383)&amp;" ")-1),",","."),FIND("/",SUBSTITUTE(LEFT(TRIM(C383),FIND(" ",TRIM(C383)&amp;" ")-1),",","."))-1)/MID(SUBSTITUTE(LEFT(TRIM(C383),FIND(" ",TRIM(C383)&amp;" ")-1),",","."),FIND("/",SUBSTITUTE(LEFT(TRIM(C383),FIND(" ",TRIM(C383)&amp;" ")-1),",","."))+1,9))*12/52,IF(ISNUMBER(SEARCH("month",C383)),IFERROR(_xlfn.NUMBERVALUE(SUBSTITUTE(LEFT(TRIM(C383),FIND(" ",TRIM(C383)&amp;" ")-1),",","."),"."),LEFT(SUBSTITUTE(LEFT(TRIM(C383),FIND(" ",TRIM(C383)&amp;" ")-1),",","."),FIND("/",SUBSTITUTE(LEFT(TRIM(C383),FIND(" ",TRIM(C383)&amp;" ")-1),",","."))-1)/MID(SUBSTITUTE(LEFT(TRIM(C383),FIND(" ",TRIM(C383)&amp;" ")-1),",","."),FIND("/",SUBSTITUTE(LEFT(TRIM(C383),FIND(" ",TRIM(C383)&amp;" ")-1),",","."))+1,9)),IF(ISNUMBER(SEARCH("yea",C383)),IFERROR(_xlfn.NUMBERVALUE(SUBSTITUTE(LEFT(TRIM(C383),FIND(" ",TRIM(C383)&amp;" ")-1),",","."),"."),LEFT(SUBSTITUTE(LEFT(TRIM(C383),FIND(" ",TRIM(C383)&amp;" ")-1),",","."),FIND("/",SUBSTITUTE(LEFT(TRIM(C383),FIND(" ",TRIM(C383)&amp;" ")-1),",","."))-1)/MID(SUBSTITUTE(LEFT(TRIM(C383),FIND(" ",TRIM(C383)&amp;" ")-1),",","."),FIND("/",SUBSTITUTE(LEFT(TRIM(C383),FIND(" ",TRIM(C383)&amp;" ")-1),",","."))+1,9))*12,NA()))),0),36)*'Aturan &amp; Tarif'!$B$4,2)</f>
        <v>2044.08</v>
      </c>
      <c r="K383" s="42" t="n">
        <f aca="false">'Aturan &amp; Tarif'!$B$5</f>
        <v>2050</v>
      </c>
      <c r="L383" s="42" t="n">
        <f aca="false">'Aturan &amp; Tarif'!$B$6</f>
        <v>350</v>
      </c>
      <c r="M383" s="35" t="n">
        <f aca="false">I383+J383+K383+L383</f>
        <v>9499.08</v>
      </c>
      <c r="N383" s="45" t="s">
        <v>1564</v>
      </c>
    </row>
    <row r="384" customFormat="false" ht="14.25" hidden="false" customHeight="true" outlineLevel="0" collapsed="false">
      <c r="A384" s="39"/>
      <c r="B384" s="40" t="s">
        <v>1569</v>
      </c>
      <c r="C384" s="41" t="s">
        <v>107</v>
      </c>
      <c r="D384" s="41" t="s">
        <v>108</v>
      </c>
      <c r="E384" s="42" t="n">
        <v>2220</v>
      </c>
      <c r="F384" s="42" t="n">
        <v>950</v>
      </c>
      <c r="G384" s="42" t="n">
        <v>300</v>
      </c>
      <c r="H384" s="43" t="n">
        <v>1</v>
      </c>
      <c r="I384" s="34" t="n">
        <f aca="false">E384*H384+N(F384)+N(G384)</f>
        <v>3470</v>
      </c>
      <c r="J384" s="42" t="n">
        <f aca="false">ROUND(IFERROR(ROUND(IF(OR(ISNUMBER(SEARCH("week",C384)),ISNUMBER(SEARCH("minggu",C384))),IFERROR(_xlfn.NUMBERVALUE(SUBSTITUTE(LEFT(TRIM(C384),FIND(" ",TRIM(C384)&amp;" ")-1),",","."),"."),LEFT(SUBSTITUTE(LEFT(TRIM(C384),FIND(" ",TRIM(C384)&amp;" ")-1),",","."),FIND("/",SUBSTITUTE(LEFT(TRIM(C384),FIND(" ",TRIM(C384)&amp;" ")-1),",","."))-1)/MID(SUBSTITUTE(LEFT(TRIM(C384),FIND(" ",TRIM(C384)&amp;" ")-1),",","."),FIND("/",SUBSTITUTE(LEFT(TRIM(C384),FIND(" ",TRIM(C384)&amp;" ")-1),",","."))+1,9))*12/52,IF(ISNUMBER(SEARCH("month",C384)),IFERROR(_xlfn.NUMBERVALUE(SUBSTITUTE(LEFT(TRIM(C384),FIND(" ",TRIM(C384)&amp;" ")-1),",","."),"."),LEFT(SUBSTITUTE(LEFT(TRIM(C384),FIND(" ",TRIM(C384)&amp;" ")-1),",","."),FIND("/",SUBSTITUTE(LEFT(TRIM(C384),FIND(" ",TRIM(C384)&amp;" ")-1),",","."))-1)/MID(SUBSTITUTE(LEFT(TRIM(C384),FIND(" ",TRIM(C384)&amp;" ")-1),",","."),FIND("/",SUBSTITUTE(LEFT(TRIM(C384),FIND(" ",TRIM(C384)&amp;" ")-1),",","."))+1,9)),IF(ISNUMBER(SEARCH("yea",C384)),IFERROR(_xlfn.NUMBERVALUE(SUBSTITUTE(LEFT(TRIM(C384),FIND(" ",TRIM(C384)&amp;" ")-1),",","."),"."),LEFT(SUBSTITUTE(LEFT(TRIM(C384),FIND(" ",TRIM(C384)&amp;" ")-1),",","."),FIND("/",SUBSTITUTE(LEFT(TRIM(C384),FIND(" ",TRIM(C384)&amp;" ")-1),",","."))-1)/MID(SUBSTITUTE(LEFT(TRIM(C384),FIND(" ",TRIM(C384)&amp;" ")-1),",","."),FIND("/",SUBSTITUTE(LEFT(TRIM(C384),FIND(" ",TRIM(C384)&amp;" ")-1),",","."))+1,9))*12,NA()))),0),24)*'Aturan &amp; Tarif'!$B$4,2)</f>
        <v>1362.72</v>
      </c>
      <c r="K384" s="42" t="n">
        <f aca="false">'Aturan &amp; Tarif'!$B$5</f>
        <v>2050</v>
      </c>
      <c r="L384" s="42" t="n">
        <f aca="false">'Aturan &amp; Tarif'!$B$6</f>
        <v>350</v>
      </c>
      <c r="M384" s="35" t="n">
        <f aca="false">I384+J384+K384+L384</f>
        <v>7232.72</v>
      </c>
      <c r="N384" s="45" t="s">
        <v>1564</v>
      </c>
    </row>
    <row r="385" customFormat="false" ht="37.5" hidden="false" customHeight="true" outlineLevel="0" collapsed="false">
      <c r="A385" s="39"/>
      <c r="B385" s="40" t="s">
        <v>1570</v>
      </c>
      <c r="C385" s="41" t="s">
        <v>107</v>
      </c>
      <c r="D385" s="41" t="s">
        <v>108</v>
      </c>
      <c r="E385" s="42" t="n">
        <v>3600</v>
      </c>
      <c r="F385" s="42" t="n">
        <v>2100</v>
      </c>
      <c r="G385" s="42" t="n">
        <v>300</v>
      </c>
      <c r="H385" s="43" t="n">
        <v>1</v>
      </c>
      <c r="I385" s="34" t="n">
        <f aca="false">E385*H385+N(F385)+N(G385)</f>
        <v>6000</v>
      </c>
      <c r="J385" s="42" t="n">
        <f aca="false">ROUND(IFERROR(ROUND(IF(OR(ISNUMBER(SEARCH("week",C385)),ISNUMBER(SEARCH("minggu",C385))),IFERROR(_xlfn.NUMBERVALUE(SUBSTITUTE(LEFT(TRIM(C385),FIND(" ",TRIM(C385)&amp;" ")-1),",","."),"."),LEFT(SUBSTITUTE(LEFT(TRIM(C385),FIND(" ",TRIM(C385)&amp;" ")-1),",","."),FIND("/",SUBSTITUTE(LEFT(TRIM(C385),FIND(" ",TRIM(C385)&amp;" ")-1),",","."))-1)/MID(SUBSTITUTE(LEFT(TRIM(C385),FIND(" ",TRIM(C385)&amp;" ")-1),",","."),FIND("/",SUBSTITUTE(LEFT(TRIM(C385),FIND(" ",TRIM(C385)&amp;" ")-1),",","."))+1,9))*12/52,IF(ISNUMBER(SEARCH("month",C385)),IFERROR(_xlfn.NUMBERVALUE(SUBSTITUTE(LEFT(TRIM(C385),FIND(" ",TRIM(C385)&amp;" ")-1),",","."),"."),LEFT(SUBSTITUTE(LEFT(TRIM(C385),FIND(" ",TRIM(C385)&amp;" ")-1),",","."),FIND("/",SUBSTITUTE(LEFT(TRIM(C385),FIND(" ",TRIM(C385)&amp;" ")-1),",","."))-1)/MID(SUBSTITUTE(LEFT(TRIM(C385),FIND(" ",TRIM(C385)&amp;" ")-1),",","."),FIND("/",SUBSTITUTE(LEFT(TRIM(C385),FIND(" ",TRIM(C385)&amp;" ")-1),",","."))+1,9)),IF(ISNUMBER(SEARCH("yea",C385)),IFERROR(_xlfn.NUMBERVALUE(SUBSTITUTE(LEFT(TRIM(C385),FIND(" ",TRIM(C385)&amp;" ")-1),",","."),"."),LEFT(SUBSTITUTE(LEFT(TRIM(C385),FIND(" ",TRIM(C385)&amp;" ")-1),",","."),FIND("/",SUBSTITUTE(LEFT(TRIM(C385),FIND(" ",TRIM(C385)&amp;" ")-1),",","."))-1)/MID(SUBSTITUTE(LEFT(TRIM(C385),FIND(" ",TRIM(C385)&amp;" ")-1),",","."),FIND("/",SUBSTITUTE(LEFT(TRIM(C385),FIND(" ",TRIM(C385)&amp;" ")-1),",","."))+1,9))*12,NA()))),0),24)*'Aturan &amp; Tarif'!$B$4,2)</f>
        <v>1362.72</v>
      </c>
      <c r="K385" s="42" t="n">
        <f aca="false">'Aturan &amp; Tarif'!$B$5</f>
        <v>2050</v>
      </c>
      <c r="L385" s="42" t="n">
        <f aca="false">'Aturan &amp; Tarif'!$B$6</f>
        <v>350</v>
      </c>
      <c r="M385" s="35" t="n">
        <f aca="false">I385+J385+K385+L385</f>
        <v>9762.72</v>
      </c>
      <c r="N385" s="45" t="s">
        <v>1564</v>
      </c>
    </row>
    <row r="386" customFormat="false" ht="37.5" hidden="false" customHeight="true" outlineLevel="0" collapsed="false">
      <c r="A386" s="39"/>
      <c r="B386" s="40" t="s">
        <v>1571</v>
      </c>
      <c r="C386" s="41" t="s">
        <v>138</v>
      </c>
      <c r="D386" s="41" t="s">
        <v>108</v>
      </c>
      <c r="E386" s="42" t="n">
        <v>3480</v>
      </c>
      <c r="F386" s="42" t="n">
        <v>2100</v>
      </c>
      <c r="G386" s="42" t="n">
        <v>300</v>
      </c>
      <c r="H386" s="43" t="n">
        <v>1</v>
      </c>
      <c r="I386" s="34" t="n">
        <f aca="false">E386*H386+N(F386)+N(G386)</f>
        <v>5880</v>
      </c>
      <c r="J386" s="42" t="n">
        <f aca="false">ROUND(IFERROR(ROUND(IF(OR(ISNUMBER(SEARCH("week",C386)),ISNUMBER(SEARCH("minggu",C386))),IFERROR(_xlfn.NUMBERVALUE(SUBSTITUTE(LEFT(TRIM(C386),FIND(" ",TRIM(C386)&amp;" ")-1),",","."),"."),LEFT(SUBSTITUTE(LEFT(TRIM(C386),FIND(" ",TRIM(C386)&amp;" ")-1),",","."),FIND("/",SUBSTITUTE(LEFT(TRIM(C386),FIND(" ",TRIM(C386)&amp;" ")-1),",","."))-1)/MID(SUBSTITUTE(LEFT(TRIM(C386),FIND(" ",TRIM(C386)&amp;" ")-1),",","."),FIND("/",SUBSTITUTE(LEFT(TRIM(C386),FIND(" ",TRIM(C386)&amp;" ")-1),",","."))+1,9))*12/52,IF(ISNUMBER(SEARCH("month",C386)),IFERROR(_xlfn.NUMBERVALUE(SUBSTITUTE(LEFT(TRIM(C386),FIND(" ",TRIM(C386)&amp;" ")-1),",","."),"."),LEFT(SUBSTITUTE(LEFT(TRIM(C386),FIND(" ",TRIM(C386)&amp;" ")-1),",","."),FIND("/",SUBSTITUTE(LEFT(TRIM(C386),FIND(" ",TRIM(C386)&amp;" ")-1),",","."))-1)/MID(SUBSTITUTE(LEFT(TRIM(C386),FIND(" ",TRIM(C386)&amp;" ")-1),",","."),FIND("/",SUBSTITUTE(LEFT(TRIM(C386),FIND(" ",TRIM(C386)&amp;" ")-1),",","."))+1,9)),IF(ISNUMBER(SEARCH("yea",C386)),IFERROR(_xlfn.NUMBERVALUE(SUBSTITUTE(LEFT(TRIM(C386),FIND(" ",TRIM(C386)&amp;" ")-1),",","."),"."),LEFT(SUBSTITUTE(LEFT(TRIM(C386),FIND(" ",TRIM(C386)&amp;" ")-1),",","."),FIND("/",SUBSTITUTE(LEFT(TRIM(C386),FIND(" ",TRIM(C386)&amp;" ")-1),",","."))-1)/MID(SUBSTITUTE(LEFT(TRIM(C386),FIND(" ",TRIM(C386)&amp;" ")-1),",","."),FIND("/",SUBSTITUTE(LEFT(TRIM(C386),FIND(" ",TRIM(C386)&amp;" ")-1),",","."))+1,9))*12,NA()))),0),30)*'Aturan &amp; Tarif'!$B$4,2)</f>
        <v>1703.4</v>
      </c>
      <c r="K386" s="42" t="n">
        <f aca="false">'Aturan &amp; Tarif'!$B$5</f>
        <v>2050</v>
      </c>
      <c r="L386" s="42" t="n">
        <f aca="false">'Aturan &amp; Tarif'!$B$6</f>
        <v>350</v>
      </c>
      <c r="M386" s="35" t="n">
        <f aca="false">I386+J386+K386+L386</f>
        <v>9983.4</v>
      </c>
      <c r="N386" s="45" t="s">
        <v>1564</v>
      </c>
    </row>
    <row r="387" customFormat="false" ht="37.5" hidden="false" customHeight="true" outlineLevel="0" collapsed="false">
      <c r="A387" s="39"/>
      <c r="B387" s="40" t="s">
        <v>1572</v>
      </c>
      <c r="C387" s="41" t="s">
        <v>107</v>
      </c>
      <c r="D387" s="41" t="s">
        <v>108</v>
      </c>
      <c r="E387" s="42" t="n">
        <v>3600</v>
      </c>
      <c r="F387" s="42" t="n">
        <v>2100</v>
      </c>
      <c r="G387" s="42" t="n">
        <v>300</v>
      </c>
      <c r="H387" s="43" t="n">
        <v>1</v>
      </c>
      <c r="I387" s="34" t="n">
        <f aca="false">E387*H387+N(F387)+N(G387)</f>
        <v>6000</v>
      </c>
      <c r="J387" s="42" t="n">
        <f aca="false">ROUND(IFERROR(ROUND(IF(OR(ISNUMBER(SEARCH("week",C387)),ISNUMBER(SEARCH("minggu",C387))),IFERROR(_xlfn.NUMBERVALUE(SUBSTITUTE(LEFT(TRIM(C387),FIND(" ",TRIM(C387)&amp;" ")-1),",","."),"."),LEFT(SUBSTITUTE(LEFT(TRIM(C387),FIND(" ",TRIM(C387)&amp;" ")-1),",","."),FIND("/",SUBSTITUTE(LEFT(TRIM(C387),FIND(" ",TRIM(C387)&amp;" ")-1),",","."))-1)/MID(SUBSTITUTE(LEFT(TRIM(C387),FIND(" ",TRIM(C387)&amp;" ")-1),",","."),FIND("/",SUBSTITUTE(LEFT(TRIM(C387),FIND(" ",TRIM(C387)&amp;" ")-1),",","."))+1,9))*12/52,IF(ISNUMBER(SEARCH("month",C387)),IFERROR(_xlfn.NUMBERVALUE(SUBSTITUTE(LEFT(TRIM(C387),FIND(" ",TRIM(C387)&amp;" ")-1),",","."),"."),LEFT(SUBSTITUTE(LEFT(TRIM(C387),FIND(" ",TRIM(C387)&amp;" ")-1),",","."),FIND("/",SUBSTITUTE(LEFT(TRIM(C387),FIND(" ",TRIM(C387)&amp;" ")-1),",","."))-1)/MID(SUBSTITUTE(LEFT(TRIM(C387),FIND(" ",TRIM(C387)&amp;" ")-1),",","."),FIND("/",SUBSTITUTE(LEFT(TRIM(C387),FIND(" ",TRIM(C387)&amp;" ")-1),",","."))+1,9)),IF(ISNUMBER(SEARCH("yea",C387)),IFERROR(_xlfn.NUMBERVALUE(SUBSTITUTE(LEFT(TRIM(C387),FIND(" ",TRIM(C387)&amp;" ")-1),",","."),"."),LEFT(SUBSTITUTE(LEFT(TRIM(C387),FIND(" ",TRIM(C387)&amp;" ")-1),",","."),FIND("/",SUBSTITUTE(LEFT(TRIM(C387),FIND(" ",TRIM(C387)&amp;" ")-1),",","."))-1)/MID(SUBSTITUTE(LEFT(TRIM(C387),FIND(" ",TRIM(C387)&amp;" ")-1),",","."),FIND("/",SUBSTITUTE(LEFT(TRIM(C387),FIND(" ",TRIM(C387)&amp;" ")-1),",","."))+1,9))*12,NA()))),0),24)*'Aturan &amp; Tarif'!$B$4,2)</f>
        <v>1362.72</v>
      </c>
      <c r="K387" s="42" t="n">
        <f aca="false">'Aturan &amp; Tarif'!$B$5</f>
        <v>2050</v>
      </c>
      <c r="L387" s="42" t="n">
        <f aca="false">'Aturan &amp; Tarif'!$B$6</f>
        <v>350</v>
      </c>
      <c r="M387" s="35" t="n">
        <f aca="false">I387+J387+K387+L387</f>
        <v>9762.72</v>
      </c>
      <c r="N387" s="45" t="s">
        <v>1564</v>
      </c>
    </row>
    <row r="388" customFormat="false" ht="37.5" hidden="false" customHeight="true" outlineLevel="0" collapsed="false">
      <c r="A388" s="39"/>
      <c r="B388" s="40" t="s">
        <v>1573</v>
      </c>
      <c r="C388" s="41" t="s">
        <v>138</v>
      </c>
      <c r="D388" s="41" t="s">
        <v>108</v>
      </c>
      <c r="E388" s="42" t="n">
        <v>3480</v>
      </c>
      <c r="F388" s="42" t="n">
        <v>2100</v>
      </c>
      <c r="G388" s="42" t="n">
        <v>300</v>
      </c>
      <c r="H388" s="43" t="n">
        <v>1</v>
      </c>
      <c r="I388" s="34" t="n">
        <f aca="false">E388*H388+N(F388)+N(G388)</f>
        <v>5880</v>
      </c>
      <c r="J388" s="42" t="n">
        <f aca="false">ROUND(IFERROR(ROUND(IF(OR(ISNUMBER(SEARCH("week",C388)),ISNUMBER(SEARCH("minggu",C388))),IFERROR(_xlfn.NUMBERVALUE(SUBSTITUTE(LEFT(TRIM(C388),FIND(" ",TRIM(C388)&amp;" ")-1),",","."),"."),LEFT(SUBSTITUTE(LEFT(TRIM(C388),FIND(" ",TRIM(C388)&amp;" ")-1),",","."),FIND("/",SUBSTITUTE(LEFT(TRIM(C388),FIND(" ",TRIM(C388)&amp;" ")-1),",","."))-1)/MID(SUBSTITUTE(LEFT(TRIM(C388),FIND(" ",TRIM(C388)&amp;" ")-1),",","."),FIND("/",SUBSTITUTE(LEFT(TRIM(C388),FIND(" ",TRIM(C388)&amp;" ")-1),",","."))+1,9))*12/52,IF(ISNUMBER(SEARCH("month",C388)),IFERROR(_xlfn.NUMBERVALUE(SUBSTITUTE(LEFT(TRIM(C388),FIND(" ",TRIM(C388)&amp;" ")-1),",","."),"."),LEFT(SUBSTITUTE(LEFT(TRIM(C388),FIND(" ",TRIM(C388)&amp;" ")-1),",","."),FIND("/",SUBSTITUTE(LEFT(TRIM(C388),FIND(" ",TRIM(C388)&amp;" ")-1),",","."))-1)/MID(SUBSTITUTE(LEFT(TRIM(C388),FIND(" ",TRIM(C388)&amp;" ")-1),",","."),FIND("/",SUBSTITUTE(LEFT(TRIM(C388),FIND(" ",TRIM(C388)&amp;" ")-1),",","."))+1,9)),IF(ISNUMBER(SEARCH("yea",C388)),IFERROR(_xlfn.NUMBERVALUE(SUBSTITUTE(LEFT(TRIM(C388),FIND(" ",TRIM(C388)&amp;" ")-1),",","."),"."),LEFT(SUBSTITUTE(LEFT(TRIM(C388),FIND(" ",TRIM(C388)&amp;" ")-1),",","."),FIND("/",SUBSTITUTE(LEFT(TRIM(C388),FIND(" ",TRIM(C388)&amp;" ")-1),",","."))-1)/MID(SUBSTITUTE(LEFT(TRIM(C388),FIND(" ",TRIM(C388)&amp;" ")-1),",","."),FIND("/",SUBSTITUTE(LEFT(TRIM(C388),FIND(" ",TRIM(C388)&amp;" ")-1),",","."))+1,9))*12,NA()))),0),30)*'Aturan &amp; Tarif'!$B$4,2)</f>
        <v>1703.4</v>
      </c>
      <c r="K388" s="42" t="n">
        <f aca="false">'Aturan &amp; Tarif'!$B$5</f>
        <v>2050</v>
      </c>
      <c r="L388" s="42" t="n">
        <f aca="false">'Aturan &amp; Tarif'!$B$6</f>
        <v>350</v>
      </c>
      <c r="M388" s="35" t="n">
        <f aca="false">I388+J388+K388+L388</f>
        <v>9983.4</v>
      </c>
      <c r="N388" s="45" t="s">
        <v>1564</v>
      </c>
    </row>
    <row r="389" customFormat="false" ht="14.25" hidden="false" customHeight="true" outlineLevel="0" collapsed="false">
      <c r="A389" s="39"/>
      <c r="B389" s="40" t="s">
        <v>471</v>
      </c>
      <c r="C389" s="41" t="s">
        <v>107</v>
      </c>
      <c r="D389" s="41" t="s">
        <v>108</v>
      </c>
      <c r="E389" s="42" t="n">
        <v>3575</v>
      </c>
      <c r="F389" s="42" t="n">
        <v>3300</v>
      </c>
      <c r="G389" s="42" t="n">
        <v>300</v>
      </c>
      <c r="H389" s="43" t="n">
        <v>1</v>
      </c>
      <c r="I389" s="34" t="n">
        <f aca="false">E389*H389+N(F389)+N(G389)</f>
        <v>7175</v>
      </c>
      <c r="J389" s="42" t="n">
        <f aca="false">ROUND(IFERROR(ROUND(IF(OR(ISNUMBER(SEARCH("week",C389)),ISNUMBER(SEARCH("minggu",C389))),IFERROR(_xlfn.NUMBERVALUE(SUBSTITUTE(LEFT(TRIM(C389),FIND(" ",TRIM(C389)&amp;" ")-1),",","."),"."),LEFT(SUBSTITUTE(LEFT(TRIM(C389),FIND(" ",TRIM(C389)&amp;" ")-1),",","."),FIND("/",SUBSTITUTE(LEFT(TRIM(C389),FIND(" ",TRIM(C389)&amp;" ")-1),",","."))-1)/MID(SUBSTITUTE(LEFT(TRIM(C389),FIND(" ",TRIM(C389)&amp;" ")-1),",","."),FIND("/",SUBSTITUTE(LEFT(TRIM(C389),FIND(" ",TRIM(C389)&amp;" ")-1),",","."))+1,9))*12/52,IF(ISNUMBER(SEARCH("month",C389)),IFERROR(_xlfn.NUMBERVALUE(SUBSTITUTE(LEFT(TRIM(C389),FIND(" ",TRIM(C389)&amp;" ")-1),",","."),"."),LEFT(SUBSTITUTE(LEFT(TRIM(C389),FIND(" ",TRIM(C389)&amp;" ")-1),",","."),FIND("/",SUBSTITUTE(LEFT(TRIM(C389),FIND(" ",TRIM(C389)&amp;" ")-1),",","."))-1)/MID(SUBSTITUTE(LEFT(TRIM(C389),FIND(" ",TRIM(C389)&amp;" ")-1),",","."),FIND("/",SUBSTITUTE(LEFT(TRIM(C389),FIND(" ",TRIM(C389)&amp;" ")-1),",","."))+1,9)),IF(ISNUMBER(SEARCH("yea",C389)),IFERROR(_xlfn.NUMBERVALUE(SUBSTITUTE(LEFT(TRIM(C389),FIND(" ",TRIM(C389)&amp;" ")-1),",","."),"."),LEFT(SUBSTITUTE(LEFT(TRIM(C389),FIND(" ",TRIM(C389)&amp;" ")-1),",","."),FIND("/",SUBSTITUTE(LEFT(TRIM(C389),FIND(" ",TRIM(C389)&amp;" ")-1),",","."))-1)/MID(SUBSTITUTE(LEFT(TRIM(C389),FIND(" ",TRIM(C389)&amp;" ")-1),",","."),FIND("/",SUBSTITUTE(LEFT(TRIM(C389),FIND(" ",TRIM(C389)&amp;" ")-1),",","."))+1,9))*12,NA()))),0),24)*'Aturan &amp; Tarif'!$B$4,2)</f>
        <v>1362.72</v>
      </c>
      <c r="K389" s="42" t="n">
        <f aca="false">'Aturan &amp; Tarif'!$B$5</f>
        <v>2050</v>
      </c>
      <c r="L389" s="42" t="n">
        <f aca="false">'Aturan &amp; Tarif'!$B$6</f>
        <v>350</v>
      </c>
      <c r="M389" s="35" t="n">
        <f aca="false">I389+J389+K389+L389</f>
        <v>10937.72</v>
      </c>
      <c r="N389" s="45" t="s">
        <v>1564</v>
      </c>
    </row>
    <row r="390" customFormat="false" ht="25.5" hidden="false" customHeight="true" outlineLevel="0" collapsed="false">
      <c r="A390" s="39"/>
      <c r="B390" s="40" t="s">
        <v>1574</v>
      </c>
      <c r="C390" s="41" t="s">
        <v>107</v>
      </c>
      <c r="D390" s="41" t="s">
        <v>108</v>
      </c>
      <c r="E390" s="42" t="n">
        <v>4075</v>
      </c>
      <c r="F390" s="42" t="n">
        <v>3300</v>
      </c>
      <c r="G390" s="42" t="n">
        <v>300</v>
      </c>
      <c r="H390" s="43" t="n">
        <v>1</v>
      </c>
      <c r="I390" s="34" t="n">
        <f aca="false">E390*H390+N(F390)+N(G390)</f>
        <v>7675</v>
      </c>
      <c r="J390" s="42" t="n">
        <f aca="false">ROUND(IFERROR(ROUND(IF(OR(ISNUMBER(SEARCH("week",C390)),ISNUMBER(SEARCH("minggu",C390))),IFERROR(_xlfn.NUMBERVALUE(SUBSTITUTE(LEFT(TRIM(C390),FIND(" ",TRIM(C390)&amp;" ")-1),",","."),"."),LEFT(SUBSTITUTE(LEFT(TRIM(C390),FIND(" ",TRIM(C390)&amp;" ")-1),",","."),FIND("/",SUBSTITUTE(LEFT(TRIM(C390),FIND(" ",TRIM(C390)&amp;" ")-1),",","."))-1)/MID(SUBSTITUTE(LEFT(TRIM(C390),FIND(" ",TRIM(C390)&amp;" ")-1),",","."),FIND("/",SUBSTITUTE(LEFT(TRIM(C390),FIND(" ",TRIM(C390)&amp;" ")-1),",","."))+1,9))*12/52,IF(ISNUMBER(SEARCH("month",C390)),IFERROR(_xlfn.NUMBERVALUE(SUBSTITUTE(LEFT(TRIM(C390),FIND(" ",TRIM(C390)&amp;" ")-1),",","."),"."),LEFT(SUBSTITUTE(LEFT(TRIM(C390),FIND(" ",TRIM(C390)&amp;" ")-1),",","."),FIND("/",SUBSTITUTE(LEFT(TRIM(C390),FIND(" ",TRIM(C390)&amp;" ")-1),",","."))-1)/MID(SUBSTITUTE(LEFT(TRIM(C390),FIND(" ",TRIM(C390)&amp;" ")-1),",","."),FIND("/",SUBSTITUTE(LEFT(TRIM(C390),FIND(" ",TRIM(C390)&amp;" ")-1),",","."))+1,9)),IF(ISNUMBER(SEARCH("yea",C390)),IFERROR(_xlfn.NUMBERVALUE(SUBSTITUTE(LEFT(TRIM(C390),FIND(" ",TRIM(C390)&amp;" ")-1),",","."),"."),LEFT(SUBSTITUTE(LEFT(TRIM(C390),FIND(" ",TRIM(C390)&amp;" ")-1),",","."),FIND("/",SUBSTITUTE(LEFT(TRIM(C390),FIND(" ",TRIM(C390)&amp;" ")-1),",","."))-1)/MID(SUBSTITUTE(LEFT(TRIM(C390),FIND(" ",TRIM(C390)&amp;" ")-1),",","."),FIND("/",SUBSTITUTE(LEFT(TRIM(C390),FIND(" ",TRIM(C390)&amp;" ")-1),",","."))+1,9))*12,NA()))),0),24)*'Aturan &amp; Tarif'!$B$4,2)</f>
        <v>1362.72</v>
      </c>
      <c r="K390" s="42" t="n">
        <f aca="false">'Aturan &amp; Tarif'!$B$5</f>
        <v>2050</v>
      </c>
      <c r="L390" s="42" t="n">
        <f aca="false">'Aturan &amp; Tarif'!$B$6</f>
        <v>350</v>
      </c>
      <c r="M390" s="35" t="n">
        <f aca="false">I390+J390+K390+L390</f>
        <v>11437.72</v>
      </c>
      <c r="N390" s="45" t="s">
        <v>1564</v>
      </c>
    </row>
    <row r="391" customFormat="false" ht="14.25" hidden="false" customHeight="true" outlineLevel="0" collapsed="false">
      <c r="A391" s="39"/>
      <c r="B391" s="40" t="s">
        <v>1575</v>
      </c>
      <c r="C391" s="41" t="s">
        <v>107</v>
      </c>
      <c r="D391" s="41" t="s">
        <v>108</v>
      </c>
      <c r="E391" s="42" t="n">
        <v>3640</v>
      </c>
      <c r="F391" s="42" t="n">
        <v>1000</v>
      </c>
      <c r="G391" s="42" t="n">
        <v>300</v>
      </c>
      <c r="H391" s="43" t="n">
        <v>1</v>
      </c>
      <c r="I391" s="34" t="n">
        <f aca="false">E391*H391+N(F391)+N(G391)</f>
        <v>4940</v>
      </c>
      <c r="J391" s="42" t="n">
        <f aca="false">ROUND(IFERROR(ROUND(IF(OR(ISNUMBER(SEARCH("week",C391)),ISNUMBER(SEARCH("minggu",C391))),IFERROR(_xlfn.NUMBERVALUE(SUBSTITUTE(LEFT(TRIM(C391),FIND(" ",TRIM(C391)&amp;" ")-1),",","."),"."),LEFT(SUBSTITUTE(LEFT(TRIM(C391),FIND(" ",TRIM(C391)&amp;" ")-1),",","."),FIND("/",SUBSTITUTE(LEFT(TRIM(C391),FIND(" ",TRIM(C391)&amp;" ")-1),",","."))-1)/MID(SUBSTITUTE(LEFT(TRIM(C391),FIND(" ",TRIM(C391)&amp;" ")-1),",","."),FIND("/",SUBSTITUTE(LEFT(TRIM(C391),FIND(" ",TRIM(C391)&amp;" ")-1),",","."))+1,9))*12/52,IF(ISNUMBER(SEARCH("month",C391)),IFERROR(_xlfn.NUMBERVALUE(SUBSTITUTE(LEFT(TRIM(C391),FIND(" ",TRIM(C391)&amp;" ")-1),",","."),"."),LEFT(SUBSTITUTE(LEFT(TRIM(C391),FIND(" ",TRIM(C391)&amp;" ")-1),",","."),FIND("/",SUBSTITUTE(LEFT(TRIM(C391),FIND(" ",TRIM(C391)&amp;" ")-1),",","."))-1)/MID(SUBSTITUTE(LEFT(TRIM(C391),FIND(" ",TRIM(C391)&amp;" ")-1),",","."),FIND("/",SUBSTITUTE(LEFT(TRIM(C391),FIND(" ",TRIM(C391)&amp;" ")-1),",","."))+1,9)),IF(ISNUMBER(SEARCH("yea",C391)),IFERROR(_xlfn.NUMBERVALUE(SUBSTITUTE(LEFT(TRIM(C391),FIND(" ",TRIM(C391)&amp;" ")-1),",","."),"."),LEFT(SUBSTITUTE(LEFT(TRIM(C391),FIND(" ",TRIM(C391)&amp;" ")-1),",","."),FIND("/",SUBSTITUTE(LEFT(TRIM(C391),FIND(" ",TRIM(C391)&amp;" ")-1),",","."))-1)/MID(SUBSTITUTE(LEFT(TRIM(C391),FIND(" ",TRIM(C391)&amp;" ")-1),",","."),FIND("/",SUBSTITUTE(LEFT(TRIM(C391),FIND(" ",TRIM(C391)&amp;" ")-1),",","."))+1,9))*12,NA()))),0),24)*'Aturan &amp; Tarif'!$B$4,2)</f>
        <v>1362.72</v>
      </c>
      <c r="K391" s="42" t="n">
        <f aca="false">'Aturan &amp; Tarif'!$B$5</f>
        <v>2050</v>
      </c>
      <c r="L391" s="42" t="n">
        <f aca="false">'Aturan &amp; Tarif'!$B$6</f>
        <v>350</v>
      </c>
      <c r="M391" s="35" t="n">
        <f aca="false">I391+J391+K391+L391</f>
        <v>8702.72</v>
      </c>
      <c r="N391" s="45" t="s">
        <v>1564</v>
      </c>
    </row>
    <row r="392" customFormat="false" ht="37.5" hidden="false" customHeight="true" outlineLevel="0" collapsed="false">
      <c r="A392" s="39"/>
      <c r="B392" s="40" t="s">
        <v>1576</v>
      </c>
      <c r="C392" s="41" t="s">
        <v>127</v>
      </c>
      <c r="D392" s="41" t="s">
        <v>108</v>
      </c>
      <c r="E392" s="42" t="n">
        <v>4010</v>
      </c>
      <c r="F392" s="42" t="n">
        <v>3300</v>
      </c>
      <c r="G392" s="42" t="n">
        <v>300</v>
      </c>
      <c r="H392" s="43" t="n">
        <v>1</v>
      </c>
      <c r="I392" s="34" t="n">
        <f aca="false">E392*H392+N(F392)+N(G392)</f>
        <v>7610</v>
      </c>
      <c r="J392" s="42" t="n">
        <f aca="false">ROUND(IFERROR(ROUND(IF(OR(ISNUMBER(SEARCH("week",C392)),ISNUMBER(SEARCH("minggu",C392))),IFERROR(_xlfn.NUMBERVALUE(SUBSTITUTE(LEFT(TRIM(C392),FIND(" ",TRIM(C392)&amp;" ")-1),",","."),"."),LEFT(SUBSTITUTE(LEFT(TRIM(C392),FIND(" ",TRIM(C392)&amp;" ")-1),",","."),FIND("/",SUBSTITUTE(LEFT(TRIM(C392),FIND(" ",TRIM(C392)&amp;" ")-1),",","."))-1)/MID(SUBSTITUTE(LEFT(TRIM(C392),FIND(" ",TRIM(C392)&amp;" ")-1),",","."),FIND("/",SUBSTITUTE(LEFT(TRIM(C392),FIND(" ",TRIM(C392)&amp;" ")-1),",","."))+1,9))*12/52,IF(ISNUMBER(SEARCH("month",C392)),IFERROR(_xlfn.NUMBERVALUE(SUBSTITUTE(LEFT(TRIM(C392),FIND(" ",TRIM(C392)&amp;" ")-1),",","."),"."),LEFT(SUBSTITUTE(LEFT(TRIM(C392),FIND(" ",TRIM(C392)&amp;" ")-1),",","."),FIND("/",SUBSTITUTE(LEFT(TRIM(C392),FIND(" ",TRIM(C392)&amp;" ")-1),",","."))-1)/MID(SUBSTITUTE(LEFT(TRIM(C392),FIND(" ",TRIM(C392)&amp;" ")-1),",","."),FIND("/",SUBSTITUTE(LEFT(TRIM(C392),FIND(" ",TRIM(C392)&amp;" ")-1),",","."))+1,9)),IF(ISNUMBER(SEARCH("yea",C392)),IFERROR(_xlfn.NUMBERVALUE(SUBSTITUTE(LEFT(TRIM(C392),FIND(" ",TRIM(C392)&amp;" ")-1),",","."),"."),LEFT(SUBSTITUTE(LEFT(TRIM(C392),FIND(" ",TRIM(C392)&amp;" ")-1),",","."),FIND("/",SUBSTITUTE(LEFT(TRIM(C392),FIND(" ",TRIM(C392)&amp;" ")-1),",","."))-1)/MID(SUBSTITUTE(LEFT(TRIM(C392),FIND(" ",TRIM(C392)&amp;" ")-1),",","."),FIND("/",SUBSTITUTE(LEFT(TRIM(C392),FIND(" ",TRIM(C392)&amp;" ")-1),",","."))+1,9))*12,NA()))),0),36)*'Aturan &amp; Tarif'!$B$4,2)</f>
        <v>2044.08</v>
      </c>
      <c r="K392" s="42" t="n">
        <f aca="false">'Aturan &amp; Tarif'!$B$5</f>
        <v>2050</v>
      </c>
      <c r="L392" s="42" t="n">
        <f aca="false">'Aturan &amp; Tarif'!$B$6</f>
        <v>350</v>
      </c>
      <c r="M392" s="35" t="n">
        <f aca="false">I392+J392+K392+L392</f>
        <v>12054.08</v>
      </c>
      <c r="N392" s="45" t="s">
        <v>1564</v>
      </c>
    </row>
    <row r="393" customFormat="false" ht="37.5" hidden="false" customHeight="true" outlineLevel="0" collapsed="false">
      <c r="A393" s="39"/>
      <c r="B393" s="40" t="s">
        <v>1577</v>
      </c>
      <c r="C393" s="41" t="s">
        <v>191</v>
      </c>
      <c r="D393" s="41" t="s">
        <v>108</v>
      </c>
      <c r="E393" s="42" t="n">
        <v>3850</v>
      </c>
      <c r="F393" s="42" t="n">
        <v>3300</v>
      </c>
      <c r="G393" s="42" t="n">
        <v>300</v>
      </c>
      <c r="H393" s="43" t="n">
        <v>1</v>
      </c>
      <c r="I393" s="34" t="n">
        <f aca="false">E393*H393+N(F393)+N(G393)</f>
        <v>7450</v>
      </c>
      <c r="J393" s="42" t="n">
        <f aca="false">ROUND(IFERROR(ROUND(IF(OR(ISNUMBER(SEARCH("week",C393)),ISNUMBER(SEARCH("minggu",C393))),IFERROR(_xlfn.NUMBERVALUE(SUBSTITUTE(LEFT(TRIM(C393),FIND(" ",TRIM(C393)&amp;" ")-1),",","."),"."),LEFT(SUBSTITUTE(LEFT(TRIM(C393),FIND(" ",TRIM(C393)&amp;" ")-1),",","."),FIND("/",SUBSTITUTE(LEFT(TRIM(C393),FIND(" ",TRIM(C393)&amp;" ")-1),",","."))-1)/MID(SUBSTITUTE(LEFT(TRIM(C393),FIND(" ",TRIM(C393)&amp;" ")-1),",","."),FIND("/",SUBSTITUTE(LEFT(TRIM(C393),FIND(" ",TRIM(C393)&amp;" ")-1),",","."))+1,9))*12/52,IF(ISNUMBER(SEARCH("month",C393)),IFERROR(_xlfn.NUMBERVALUE(SUBSTITUTE(LEFT(TRIM(C393),FIND(" ",TRIM(C393)&amp;" ")-1),",","."),"."),LEFT(SUBSTITUTE(LEFT(TRIM(C393),FIND(" ",TRIM(C393)&amp;" ")-1),",","."),FIND("/",SUBSTITUTE(LEFT(TRIM(C393),FIND(" ",TRIM(C393)&amp;" ")-1),",","."))-1)/MID(SUBSTITUTE(LEFT(TRIM(C393),FIND(" ",TRIM(C393)&amp;" ")-1),",","."),FIND("/",SUBSTITUTE(LEFT(TRIM(C393),FIND(" ",TRIM(C393)&amp;" ")-1),",","."))+1,9)),IF(ISNUMBER(SEARCH("yea",C393)),IFERROR(_xlfn.NUMBERVALUE(SUBSTITUTE(LEFT(TRIM(C393),FIND(" ",TRIM(C393)&amp;" ")-1),",","."),"."),LEFT(SUBSTITUTE(LEFT(TRIM(C393),FIND(" ",TRIM(C393)&amp;" ")-1),",","."),FIND("/",SUBSTITUTE(LEFT(TRIM(C393),FIND(" ",TRIM(C393)&amp;" ")-1),",","."))-1)/MID(SUBSTITUTE(LEFT(TRIM(C393),FIND(" ",TRIM(C393)&amp;" ")-1),",","."),FIND("/",SUBSTITUTE(LEFT(TRIM(C393),FIND(" ",TRIM(C393)&amp;" ")-1),",","."))+1,9))*12,NA()))),0),48)*'Aturan &amp; Tarif'!$B$4,2)</f>
        <v>2725.44</v>
      </c>
      <c r="K393" s="42" t="n">
        <f aca="false">'Aturan &amp; Tarif'!$B$5</f>
        <v>2050</v>
      </c>
      <c r="L393" s="42" t="n">
        <f aca="false">'Aturan &amp; Tarif'!$B$6</f>
        <v>350</v>
      </c>
      <c r="M393" s="35" t="n">
        <f aca="false">I393+J393+K393+L393</f>
        <v>12575.44</v>
      </c>
      <c r="N393" s="45" t="s">
        <v>1564</v>
      </c>
    </row>
    <row r="394" customFormat="false" ht="14.25" hidden="false" customHeight="true" outlineLevel="0" collapsed="false">
      <c r="A394" s="39"/>
      <c r="B394" s="40" t="s">
        <v>1170</v>
      </c>
      <c r="C394" s="41" t="s">
        <v>107</v>
      </c>
      <c r="D394" s="41" t="s">
        <v>108</v>
      </c>
      <c r="E394" s="42" t="n">
        <v>1540</v>
      </c>
      <c r="F394" s="42"/>
      <c r="G394" s="42" t="n">
        <v>300</v>
      </c>
      <c r="H394" s="43" t="n">
        <v>1</v>
      </c>
      <c r="I394" s="34" t="n">
        <f aca="false">E394*H394+N(F394)+N(G394)</f>
        <v>1840</v>
      </c>
      <c r="J394" s="42" t="n">
        <f aca="false">ROUND(IFERROR(ROUND(IF(OR(ISNUMBER(SEARCH("week",C394)),ISNUMBER(SEARCH("minggu",C394))),IFERROR(_xlfn.NUMBERVALUE(SUBSTITUTE(LEFT(TRIM(C394),FIND(" ",TRIM(C394)&amp;" ")-1),",","."),"."),LEFT(SUBSTITUTE(LEFT(TRIM(C394),FIND(" ",TRIM(C394)&amp;" ")-1),",","."),FIND("/",SUBSTITUTE(LEFT(TRIM(C394),FIND(" ",TRIM(C394)&amp;" ")-1),",","."))-1)/MID(SUBSTITUTE(LEFT(TRIM(C394),FIND(" ",TRIM(C394)&amp;" ")-1),",","."),FIND("/",SUBSTITUTE(LEFT(TRIM(C394),FIND(" ",TRIM(C394)&amp;" ")-1),",","."))+1,9))*12/52,IF(ISNUMBER(SEARCH("month",C394)),IFERROR(_xlfn.NUMBERVALUE(SUBSTITUTE(LEFT(TRIM(C394),FIND(" ",TRIM(C394)&amp;" ")-1),",","."),"."),LEFT(SUBSTITUTE(LEFT(TRIM(C394),FIND(" ",TRIM(C394)&amp;" ")-1),",","."),FIND("/",SUBSTITUTE(LEFT(TRIM(C394),FIND(" ",TRIM(C394)&amp;" ")-1),",","."))-1)/MID(SUBSTITUTE(LEFT(TRIM(C394),FIND(" ",TRIM(C394)&amp;" ")-1),",","."),FIND("/",SUBSTITUTE(LEFT(TRIM(C394),FIND(" ",TRIM(C394)&amp;" ")-1),",","."))+1,9)),IF(ISNUMBER(SEARCH("yea",C394)),IFERROR(_xlfn.NUMBERVALUE(SUBSTITUTE(LEFT(TRIM(C394),FIND(" ",TRIM(C394)&amp;" ")-1),",","."),"."),LEFT(SUBSTITUTE(LEFT(TRIM(C394),FIND(" ",TRIM(C394)&amp;" ")-1),",","."),FIND("/",SUBSTITUTE(LEFT(TRIM(C394),FIND(" ",TRIM(C394)&amp;" ")-1),",","."))-1)/MID(SUBSTITUTE(LEFT(TRIM(C394),FIND(" ",TRIM(C394)&amp;" ")-1),",","."),FIND("/",SUBSTITUTE(LEFT(TRIM(C394),FIND(" ",TRIM(C394)&amp;" ")-1),",","."))+1,9))*12,NA()))),0),24)*'Aturan &amp; Tarif'!$B$4,2)</f>
        <v>1362.72</v>
      </c>
      <c r="K394" s="42" t="n">
        <f aca="false">'Aturan &amp; Tarif'!$B$5</f>
        <v>2050</v>
      </c>
      <c r="L394" s="42" t="n">
        <f aca="false">'Aturan &amp; Tarif'!$B$6</f>
        <v>350</v>
      </c>
      <c r="M394" s="35" t="n">
        <f aca="false">I394+J394+K394+L394</f>
        <v>5602.72</v>
      </c>
      <c r="N394" s="45" t="s">
        <v>1578</v>
      </c>
    </row>
    <row r="395" customFormat="false" ht="48.75" hidden="false" customHeight="true" outlineLevel="0" collapsed="false">
      <c r="A395" s="39" t="s">
        <v>1579</v>
      </c>
      <c r="B395" s="40" t="s">
        <v>909</v>
      </c>
      <c r="C395" s="41" t="s">
        <v>107</v>
      </c>
      <c r="D395" s="41" t="s">
        <v>108</v>
      </c>
      <c r="E395" s="42" t="n">
        <v>2906.25</v>
      </c>
      <c r="F395" s="42" t="n">
        <v>1500</v>
      </c>
      <c r="G395" s="42" t="n">
        <v>250</v>
      </c>
      <c r="H395" s="43" t="n">
        <v>1</v>
      </c>
      <c r="I395" s="34" t="n">
        <f aca="false">E395*H395+N(F395)+N(G395)</f>
        <v>4656.25</v>
      </c>
      <c r="J395" s="42" t="n">
        <f aca="false">ROUND(IFERROR(ROUND(IF(OR(ISNUMBER(SEARCH("week",C395)),ISNUMBER(SEARCH("minggu",C395))),IFERROR(_xlfn.NUMBERVALUE(SUBSTITUTE(LEFT(TRIM(C395),FIND(" ",TRIM(C395)&amp;" ")-1),",","."),"."),LEFT(SUBSTITUTE(LEFT(TRIM(C395),FIND(" ",TRIM(C395)&amp;" ")-1),",","."),FIND("/",SUBSTITUTE(LEFT(TRIM(C395),FIND(" ",TRIM(C395)&amp;" ")-1),",","."))-1)/MID(SUBSTITUTE(LEFT(TRIM(C395),FIND(" ",TRIM(C395)&amp;" ")-1),",","."),FIND("/",SUBSTITUTE(LEFT(TRIM(C395),FIND(" ",TRIM(C395)&amp;" ")-1),",","."))+1,9))*12/52,IF(ISNUMBER(SEARCH("month",C395)),IFERROR(_xlfn.NUMBERVALUE(SUBSTITUTE(LEFT(TRIM(C395),FIND(" ",TRIM(C395)&amp;" ")-1),",","."),"."),LEFT(SUBSTITUTE(LEFT(TRIM(C395),FIND(" ",TRIM(C395)&amp;" ")-1),",","."),FIND("/",SUBSTITUTE(LEFT(TRIM(C395),FIND(" ",TRIM(C395)&amp;" ")-1),",","."))-1)/MID(SUBSTITUTE(LEFT(TRIM(C395),FIND(" ",TRIM(C395)&amp;" ")-1),",","."),FIND("/",SUBSTITUTE(LEFT(TRIM(C395),FIND(" ",TRIM(C395)&amp;" ")-1),",","."))+1,9)),IF(ISNUMBER(SEARCH("yea",C395)),IFERROR(_xlfn.NUMBERVALUE(SUBSTITUTE(LEFT(TRIM(C395),FIND(" ",TRIM(C395)&amp;" ")-1),",","."),"."),LEFT(SUBSTITUTE(LEFT(TRIM(C395),FIND(" ",TRIM(C395)&amp;" ")-1),",","."),FIND("/",SUBSTITUTE(LEFT(TRIM(C395),FIND(" ",TRIM(C395)&amp;" ")-1),",","."))-1)/MID(SUBSTITUTE(LEFT(TRIM(C395),FIND(" ",TRIM(C395)&amp;" ")-1),",","."),FIND("/",SUBSTITUTE(LEFT(TRIM(C395),FIND(" ",TRIM(C395)&amp;" ")-1),",","."))+1,9))*12,NA()))),0),24)*'Aturan &amp; Tarif'!$B$4,2)</f>
        <v>1362.72</v>
      </c>
      <c r="K395" s="42" t="n">
        <f aca="false">'Aturan &amp; Tarif'!$B$5</f>
        <v>2050</v>
      </c>
      <c r="L395" s="42" t="n">
        <f aca="false">'Aturan &amp; Tarif'!$B$6</f>
        <v>350</v>
      </c>
      <c r="M395" s="35" t="n">
        <f aca="false">I395+J395+K395+L395</f>
        <v>8418.97</v>
      </c>
      <c r="N395" s="45" t="s">
        <v>134</v>
      </c>
    </row>
    <row r="396" customFormat="false" ht="25.5" hidden="false" customHeight="true" outlineLevel="0" collapsed="false">
      <c r="A396" s="39"/>
      <c r="B396" s="40" t="s">
        <v>1580</v>
      </c>
      <c r="C396" s="41" t="s">
        <v>113</v>
      </c>
      <c r="D396" s="41" t="s">
        <v>108</v>
      </c>
      <c r="E396" s="42" t="n">
        <v>2833.33</v>
      </c>
      <c r="F396" s="42" t="n">
        <v>1500</v>
      </c>
      <c r="G396" s="42" t="n">
        <v>250</v>
      </c>
      <c r="H396" s="43" t="n">
        <v>1</v>
      </c>
      <c r="I396" s="34" t="n">
        <f aca="false">E396*H396+N(F396)+N(G396)</f>
        <v>4583.33</v>
      </c>
      <c r="J396" s="42" t="n">
        <f aca="false">ROUND(IFERROR(ROUND(IF(OR(ISNUMBER(SEARCH("week",C396)),ISNUMBER(SEARCH("minggu",C396))),IFERROR(_xlfn.NUMBERVALUE(SUBSTITUTE(LEFT(TRIM(C396),FIND(" ",TRIM(C396)&amp;" ")-1),",","."),"."),LEFT(SUBSTITUTE(LEFT(TRIM(C396),FIND(" ",TRIM(C396)&amp;" ")-1),",","."),FIND("/",SUBSTITUTE(LEFT(TRIM(C396),FIND(" ",TRIM(C396)&amp;" ")-1),",","."))-1)/MID(SUBSTITUTE(LEFT(TRIM(C396),FIND(" ",TRIM(C396)&amp;" ")-1),",","."),FIND("/",SUBSTITUTE(LEFT(TRIM(C396),FIND(" ",TRIM(C396)&amp;" ")-1),",","."))+1,9))*12/52,IF(ISNUMBER(SEARCH("month",C396)),IFERROR(_xlfn.NUMBERVALUE(SUBSTITUTE(LEFT(TRIM(C396),FIND(" ",TRIM(C396)&amp;" ")-1),",","."),"."),LEFT(SUBSTITUTE(LEFT(TRIM(C396),FIND(" ",TRIM(C396)&amp;" ")-1),",","."),FIND("/",SUBSTITUTE(LEFT(TRIM(C396),FIND(" ",TRIM(C396)&amp;" ")-1),",","."))-1)/MID(SUBSTITUTE(LEFT(TRIM(C396),FIND(" ",TRIM(C396)&amp;" ")-1),",","."),FIND("/",SUBSTITUTE(LEFT(TRIM(C396),FIND(" ",TRIM(C396)&amp;" ")-1),",","."))+1,9)),IF(ISNUMBER(SEARCH("yea",C396)),IFERROR(_xlfn.NUMBERVALUE(SUBSTITUTE(LEFT(TRIM(C396),FIND(" ",TRIM(C396)&amp;" ")-1),",","."),"."),LEFT(SUBSTITUTE(LEFT(TRIM(C396),FIND(" ",TRIM(C396)&amp;" ")-1),",","."),FIND("/",SUBSTITUTE(LEFT(TRIM(C396),FIND(" ",TRIM(C396)&amp;" ")-1),",","."))-1)/MID(SUBSTITUTE(LEFT(TRIM(C396),FIND(" ",TRIM(C396)&amp;" ")-1),",","."),FIND("/",SUBSTITUTE(LEFT(TRIM(C396),FIND(" ",TRIM(C396)&amp;" ")-1),",","."))+1,9))*12,NA()))),0),18)*'Aturan &amp; Tarif'!$B$4,2)</f>
        <v>1022.04</v>
      </c>
      <c r="K396" s="42" t="n">
        <f aca="false">'Aturan &amp; Tarif'!$B$5</f>
        <v>2050</v>
      </c>
      <c r="L396" s="42" t="n">
        <f aca="false">'Aturan &amp; Tarif'!$B$6</f>
        <v>350</v>
      </c>
      <c r="M396" s="35" t="n">
        <f aca="false">I396+J396+K396+L396</f>
        <v>8005.37</v>
      </c>
      <c r="N396" s="45" t="s">
        <v>134</v>
      </c>
    </row>
    <row r="397" customFormat="false" ht="37.5" hidden="false" customHeight="true" outlineLevel="0" collapsed="false">
      <c r="A397" s="39"/>
      <c r="B397" s="40" t="s">
        <v>1581</v>
      </c>
      <c r="C397" s="41" t="s">
        <v>107</v>
      </c>
      <c r="D397" s="41" t="s">
        <v>108</v>
      </c>
      <c r="E397" s="42" t="n">
        <v>2631.25</v>
      </c>
      <c r="F397" s="42" t="n">
        <v>2500</v>
      </c>
      <c r="G397" s="42" t="n">
        <v>250</v>
      </c>
      <c r="H397" s="43" t="n">
        <v>1</v>
      </c>
      <c r="I397" s="34" t="n">
        <f aca="false">E397*H397+N(F397)+N(G397)</f>
        <v>5381.25</v>
      </c>
      <c r="J397" s="42" t="n">
        <f aca="false">ROUND(IFERROR(ROUND(IF(OR(ISNUMBER(SEARCH("week",C397)),ISNUMBER(SEARCH("minggu",C397))),IFERROR(_xlfn.NUMBERVALUE(SUBSTITUTE(LEFT(TRIM(C397),FIND(" ",TRIM(C397)&amp;" ")-1),",","."),"."),LEFT(SUBSTITUTE(LEFT(TRIM(C397),FIND(" ",TRIM(C397)&amp;" ")-1),",","."),FIND("/",SUBSTITUTE(LEFT(TRIM(C397),FIND(" ",TRIM(C397)&amp;" ")-1),",","."))-1)/MID(SUBSTITUTE(LEFT(TRIM(C397),FIND(" ",TRIM(C397)&amp;" ")-1),",","."),FIND("/",SUBSTITUTE(LEFT(TRIM(C397),FIND(" ",TRIM(C397)&amp;" ")-1),",","."))+1,9))*12/52,IF(ISNUMBER(SEARCH("month",C397)),IFERROR(_xlfn.NUMBERVALUE(SUBSTITUTE(LEFT(TRIM(C397),FIND(" ",TRIM(C397)&amp;" ")-1),",","."),"."),LEFT(SUBSTITUTE(LEFT(TRIM(C397),FIND(" ",TRIM(C397)&amp;" ")-1),",","."),FIND("/",SUBSTITUTE(LEFT(TRIM(C397),FIND(" ",TRIM(C397)&amp;" ")-1),",","."))-1)/MID(SUBSTITUTE(LEFT(TRIM(C397),FIND(" ",TRIM(C397)&amp;" ")-1),",","."),FIND("/",SUBSTITUTE(LEFT(TRIM(C397),FIND(" ",TRIM(C397)&amp;" ")-1),",","."))+1,9)),IF(ISNUMBER(SEARCH("yea",C397)),IFERROR(_xlfn.NUMBERVALUE(SUBSTITUTE(LEFT(TRIM(C397),FIND(" ",TRIM(C397)&amp;" ")-1),",","."),"."),LEFT(SUBSTITUTE(LEFT(TRIM(C397),FIND(" ",TRIM(C397)&amp;" ")-1),",","."),FIND("/",SUBSTITUTE(LEFT(TRIM(C397),FIND(" ",TRIM(C397)&amp;" ")-1),",","."))-1)/MID(SUBSTITUTE(LEFT(TRIM(C397),FIND(" ",TRIM(C397)&amp;" ")-1),",","."),FIND("/",SUBSTITUTE(LEFT(TRIM(C397),FIND(" ",TRIM(C397)&amp;" ")-1),",","."))+1,9))*12,NA()))),0),24)*'Aturan &amp; Tarif'!$B$4,2)</f>
        <v>1362.72</v>
      </c>
      <c r="K397" s="42" t="n">
        <f aca="false">'Aturan &amp; Tarif'!$B$5</f>
        <v>2050</v>
      </c>
      <c r="L397" s="42" t="n">
        <f aca="false">'Aturan &amp; Tarif'!$B$6</f>
        <v>350</v>
      </c>
      <c r="M397" s="35" t="n">
        <f aca="false">I397+J397+K397+L397</f>
        <v>9143.97</v>
      </c>
      <c r="N397" s="45" t="s">
        <v>134</v>
      </c>
    </row>
    <row r="398" customFormat="false" ht="37.5" hidden="false" customHeight="true" outlineLevel="0" collapsed="false">
      <c r="A398" s="39"/>
      <c r="B398" s="40" t="s">
        <v>1582</v>
      </c>
      <c r="C398" s="41" t="s">
        <v>138</v>
      </c>
      <c r="D398" s="41" t="s">
        <v>108</v>
      </c>
      <c r="E398" s="42" t="n">
        <v>2325</v>
      </c>
      <c r="F398" s="42" t="n">
        <v>2500</v>
      </c>
      <c r="G398" s="42" t="n">
        <v>250</v>
      </c>
      <c r="H398" s="43" t="n">
        <v>1</v>
      </c>
      <c r="I398" s="34" t="n">
        <f aca="false">E398*H398+N(F398)+N(G398)</f>
        <v>5075</v>
      </c>
      <c r="J398" s="42" t="n">
        <f aca="false">ROUND(IFERROR(ROUND(IF(OR(ISNUMBER(SEARCH("week",C398)),ISNUMBER(SEARCH("minggu",C398))),IFERROR(_xlfn.NUMBERVALUE(SUBSTITUTE(LEFT(TRIM(C398),FIND(" ",TRIM(C398)&amp;" ")-1),",","."),"."),LEFT(SUBSTITUTE(LEFT(TRIM(C398),FIND(" ",TRIM(C398)&amp;" ")-1),",","."),FIND("/",SUBSTITUTE(LEFT(TRIM(C398),FIND(" ",TRIM(C398)&amp;" ")-1),",","."))-1)/MID(SUBSTITUTE(LEFT(TRIM(C398),FIND(" ",TRIM(C398)&amp;" ")-1),",","."),FIND("/",SUBSTITUTE(LEFT(TRIM(C398),FIND(" ",TRIM(C398)&amp;" ")-1),",","."))+1,9))*12/52,IF(ISNUMBER(SEARCH("month",C398)),IFERROR(_xlfn.NUMBERVALUE(SUBSTITUTE(LEFT(TRIM(C398),FIND(" ",TRIM(C398)&amp;" ")-1),",","."),"."),LEFT(SUBSTITUTE(LEFT(TRIM(C398),FIND(" ",TRIM(C398)&amp;" ")-1),",","."),FIND("/",SUBSTITUTE(LEFT(TRIM(C398),FIND(" ",TRIM(C398)&amp;" ")-1),",","."))-1)/MID(SUBSTITUTE(LEFT(TRIM(C398),FIND(" ",TRIM(C398)&amp;" ")-1),",","."),FIND("/",SUBSTITUTE(LEFT(TRIM(C398),FIND(" ",TRIM(C398)&amp;" ")-1),",","."))+1,9)),IF(ISNUMBER(SEARCH("yea",C398)),IFERROR(_xlfn.NUMBERVALUE(SUBSTITUTE(LEFT(TRIM(C398),FIND(" ",TRIM(C398)&amp;" ")-1),",","."),"."),LEFT(SUBSTITUTE(LEFT(TRIM(C398),FIND(" ",TRIM(C398)&amp;" ")-1),",","."),FIND("/",SUBSTITUTE(LEFT(TRIM(C398),FIND(" ",TRIM(C398)&amp;" ")-1),",","."))-1)/MID(SUBSTITUTE(LEFT(TRIM(C398),FIND(" ",TRIM(C398)&amp;" ")-1),",","."),FIND("/",SUBSTITUTE(LEFT(TRIM(C398),FIND(" ",TRIM(C398)&amp;" ")-1),",","."))+1,9))*12,NA()))),0),30)*'Aturan &amp; Tarif'!$B$4,2)</f>
        <v>1703.4</v>
      </c>
      <c r="K398" s="42" t="n">
        <f aca="false">'Aturan &amp; Tarif'!$B$5</f>
        <v>2050</v>
      </c>
      <c r="L398" s="42" t="n">
        <f aca="false">'Aturan &amp; Tarif'!$B$6</f>
        <v>350</v>
      </c>
      <c r="M398" s="35" t="n">
        <f aca="false">I398+J398+K398+L398</f>
        <v>9178.4</v>
      </c>
      <c r="N398" s="45" t="s">
        <v>134</v>
      </c>
    </row>
    <row r="399" customFormat="false" ht="48.75" hidden="false" customHeight="true" outlineLevel="0" collapsed="false">
      <c r="A399" s="29" t="s">
        <v>1583</v>
      </c>
      <c r="B399" s="30" t="s">
        <v>1584</v>
      </c>
      <c r="C399" s="31" t="s">
        <v>113</v>
      </c>
      <c r="D399" s="31" t="s">
        <v>108</v>
      </c>
      <c r="E399" s="32" t="n">
        <v>1500</v>
      </c>
      <c r="F399" s="32" t="n">
        <v>100</v>
      </c>
      <c r="G399" s="32" t="n">
        <v>200</v>
      </c>
      <c r="H399" s="33" t="n">
        <v>1</v>
      </c>
      <c r="I399" s="34" t="n">
        <f aca="false">E399*H399+N(F399)+N(G399)</f>
        <v>1800</v>
      </c>
      <c r="J399" s="32" t="n">
        <f aca="false">ROUND(IFERROR(ROUND(IF(OR(ISNUMBER(SEARCH("week",C399)),ISNUMBER(SEARCH("minggu",C399))),IFERROR(_xlfn.NUMBERVALUE(SUBSTITUTE(LEFT(TRIM(C399),FIND(" ",TRIM(C399)&amp;" ")-1),",","."),"."),LEFT(SUBSTITUTE(LEFT(TRIM(C399),FIND(" ",TRIM(C399)&amp;" ")-1),",","."),FIND("/",SUBSTITUTE(LEFT(TRIM(C399),FIND(" ",TRIM(C399)&amp;" ")-1),",","."))-1)/MID(SUBSTITUTE(LEFT(TRIM(C399),FIND(" ",TRIM(C399)&amp;" ")-1),",","."),FIND("/",SUBSTITUTE(LEFT(TRIM(C399),FIND(" ",TRIM(C399)&amp;" ")-1),",","."))+1,9))*12/52,IF(ISNUMBER(SEARCH("month",C399)),IFERROR(_xlfn.NUMBERVALUE(SUBSTITUTE(LEFT(TRIM(C399),FIND(" ",TRIM(C399)&amp;" ")-1),",","."),"."),LEFT(SUBSTITUTE(LEFT(TRIM(C399),FIND(" ",TRIM(C399)&amp;" ")-1),",","."),FIND("/",SUBSTITUTE(LEFT(TRIM(C399),FIND(" ",TRIM(C399)&amp;" ")-1),",","."))-1)/MID(SUBSTITUTE(LEFT(TRIM(C399),FIND(" ",TRIM(C399)&amp;" ")-1),",","."),FIND("/",SUBSTITUTE(LEFT(TRIM(C399),FIND(" ",TRIM(C399)&amp;" ")-1),",","."))+1,9)),IF(ISNUMBER(SEARCH("yea",C399)),IFERROR(_xlfn.NUMBERVALUE(SUBSTITUTE(LEFT(TRIM(C399),FIND(" ",TRIM(C399)&amp;" ")-1),",","."),"."),LEFT(SUBSTITUTE(LEFT(TRIM(C399),FIND(" ",TRIM(C399)&amp;" ")-1),",","."),FIND("/",SUBSTITUTE(LEFT(TRIM(C399),FIND(" ",TRIM(C399)&amp;" ")-1),",","."))-1)/MID(SUBSTITUTE(LEFT(TRIM(C399),FIND(" ",TRIM(C399)&amp;" ")-1),",","."),FIND("/",SUBSTITUTE(LEFT(TRIM(C399),FIND(" ",TRIM(C399)&amp;" ")-1),",","."))+1,9))*12,NA()))),0),18)*'Aturan &amp; Tarif'!$B$4,2)</f>
        <v>1022.04</v>
      </c>
      <c r="K399" s="32" t="n">
        <f aca="false">'Aturan &amp; Tarif'!$B$5</f>
        <v>2050</v>
      </c>
      <c r="L399" s="32" t="n">
        <f aca="false">'Aturan &amp; Tarif'!$B$6</f>
        <v>350</v>
      </c>
      <c r="M399" s="35" t="n">
        <f aca="false">I399+J399+K399+L399</f>
        <v>5222.04</v>
      </c>
      <c r="N399" s="36" t="s">
        <v>1585</v>
      </c>
    </row>
    <row r="400" customFormat="false" ht="25.5" hidden="false" customHeight="true" outlineLevel="0" collapsed="false">
      <c r="A400" s="29"/>
      <c r="B400" s="30" t="s">
        <v>1586</v>
      </c>
      <c r="C400" s="31" t="s">
        <v>138</v>
      </c>
      <c r="D400" s="31" t="s">
        <v>108</v>
      </c>
      <c r="E400" s="32" t="n">
        <v>1500</v>
      </c>
      <c r="F400" s="32" t="n">
        <v>100</v>
      </c>
      <c r="G400" s="32" t="n">
        <v>200</v>
      </c>
      <c r="H400" s="33" t="n">
        <v>1</v>
      </c>
      <c r="I400" s="34" t="n">
        <f aca="false">E400*H400+N(F400)+N(G400)</f>
        <v>1800</v>
      </c>
      <c r="J400" s="32" t="n">
        <f aca="false">ROUND(IFERROR(ROUND(IF(OR(ISNUMBER(SEARCH("week",C400)),ISNUMBER(SEARCH("minggu",C400))),IFERROR(_xlfn.NUMBERVALUE(SUBSTITUTE(LEFT(TRIM(C400),FIND(" ",TRIM(C400)&amp;" ")-1),",","."),"."),LEFT(SUBSTITUTE(LEFT(TRIM(C400),FIND(" ",TRIM(C400)&amp;" ")-1),",","."),FIND("/",SUBSTITUTE(LEFT(TRIM(C400),FIND(" ",TRIM(C400)&amp;" ")-1),",","."))-1)/MID(SUBSTITUTE(LEFT(TRIM(C400),FIND(" ",TRIM(C400)&amp;" ")-1),",","."),FIND("/",SUBSTITUTE(LEFT(TRIM(C400),FIND(" ",TRIM(C400)&amp;" ")-1),",","."))+1,9))*12/52,IF(ISNUMBER(SEARCH("month",C400)),IFERROR(_xlfn.NUMBERVALUE(SUBSTITUTE(LEFT(TRIM(C400),FIND(" ",TRIM(C400)&amp;" ")-1),",","."),"."),LEFT(SUBSTITUTE(LEFT(TRIM(C400),FIND(" ",TRIM(C400)&amp;" ")-1),",","."),FIND("/",SUBSTITUTE(LEFT(TRIM(C400),FIND(" ",TRIM(C400)&amp;" ")-1),",","."))-1)/MID(SUBSTITUTE(LEFT(TRIM(C400),FIND(" ",TRIM(C400)&amp;" ")-1),",","."),FIND("/",SUBSTITUTE(LEFT(TRIM(C400),FIND(" ",TRIM(C400)&amp;" ")-1),",","."))+1,9)),IF(ISNUMBER(SEARCH("yea",C400)),IFERROR(_xlfn.NUMBERVALUE(SUBSTITUTE(LEFT(TRIM(C400),FIND(" ",TRIM(C400)&amp;" ")-1),",","."),"."),LEFT(SUBSTITUTE(LEFT(TRIM(C400),FIND(" ",TRIM(C400)&amp;" ")-1),",","."),FIND("/",SUBSTITUTE(LEFT(TRIM(C400),FIND(" ",TRIM(C400)&amp;" ")-1),",","."))-1)/MID(SUBSTITUTE(LEFT(TRIM(C400),FIND(" ",TRIM(C400)&amp;" ")-1),",","."),FIND("/",SUBSTITUTE(LEFT(TRIM(C400),FIND(" ",TRIM(C400)&amp;" ")-1),",","."))+1,9))*12,NA()))),0),30)*'Aturan &amp; Tarif'!$B$4,2)</f>
        <v>1703.4</v>
      </c>
      <c r="K400" s="32" t="n">
        <f aca="false">'Aturan &amp; Tarif'!$B$5</f>
        <v>2050</v>
      </c>
      <c r="L400" s="32" t="n">
        <f aca="false">'Aturan &amp; Tarif'!$B$6</f>
        <v>350</v>
      </c>
      <c r="M400" s="35" t="n">
        <f aca="false">I400+J400+K400+L400</f>
        <v>5903.4</v>
      </c>
      <c r="N400" s="37" t="s">
        <v>134</v>
      </c>
    </row>
    <row r="401" customFormat="false" ht="60" hidden="false" customHeight="true" outlineLevel="0" collapsed="false">
      <c r="A401" s="29"/>
      <c r="B401" s="30" t="s">
        <v>1587</v>
      </c>
      <c r="C401" s="31" t="s">
        <v>136</v>
      </c>
      <c r="D401" s="31" t="s">
        <v>108</v>
      </c>
      <c r="E401" s="32" t="n">
        <v>1500</v>
      </c>
      <c r="F401" s="32" t="n">
        <v>100</v>
      </c>
      <c r="G401" s="32" t="n">
        <v>200</v>
      </c>
      <c r="H401" s="33" t="n">
        <v>1</v>
      </c>
      <c r="I401" s="34" t="n">
        <f aca="false">E401*H401+N(F401)+N(G401)</f>
        <v>1800</v>
      </c>
      <c r="J401" s="32" t="n">
        <f aca="false">ROUND(IFERROR(ROUND(IF(OR(ISNUMBER(SEARCH("week",C401)),ISNUMBER(SEARCH("minggu",C401))),IFERROR(_xlfn.NUMBERVALUE(SUBSTITUTE(LEFT(TRIM(C401),FIND(" ",TRIM(C401)&amp;" ")-1),",","."),"."),LEFT(SUBSTITUTE(LEFT(TRIM(C401),FIND(" ",TRIM(C401)&amp;" ")-1),",","."),FIND("/",SUBSTITUTE(LEFT(TRIM(C401),FIND(" ",TRIM(C401)&amp;" ")-1),",","."))-1)/MID(SUBSTITUTE(LEFT(TRIM(C401),FIND(" ",TRIM(C401)&amp;" ")-1),",","."),FIND("/",SUBSTITUTE(LEFT(TRIM(C401),FIND(" ",TRIM(C401)&amp;" ")-1),",","."))+1,9))*12/52,IF(ISNUMBER(SEARCH("month",C401)),IFERROR(_xlfn.NUMBERVALUE(SUBSTITUTE(LEFT(TRIM(C401),FIND(" ",TRIM(C401)&amp;" ")-1),",","."),"."),LEFT(SUBSTITUTE(LEFT(TRIM(C401),FIND(" ",TRIM(C401)&amp;" ")-1),",","."),FIND("/",SUBSTITUTE(LEFT(TRIM(C401),FIND(" ",TRIM(C401)&amp;" ")-1),",","."))-1)/MID(SUBSTITUTE(LEFT(TRIM(C401),FIND(" ",TRIM(C401)&amp;" ")-1),",","."),FIND("/",SUBSTITUTE(LEFT(TRIM(C401),FIND(" ",TRIM(C401)&amp;" ")-1),",","."))+1,9)),IF(ISNUMBER(SEARCH("yea",C401)),IFERROR(_xlfn.NUMBERVALUE(SUBSTITUTE(LEFT(TRIM(C401),FIND(" ",TRIM(C401)&amp;" ")-1),",","."),"."),LEFT(SUBSTITUTE(LEFT(TRIM(C401),FIND(" ",TRIM(C401)&amp;" ")-1),",","."),FIND("/",SUBSTITUTE(LEFT(TRIM(C401),FIND(" ",TRIM(C401)&amp;" ")-1),",","."))-1)/MID(SUBSTITUTE(LEFT(TRIM(C401),FIND(" ",TRIM(C401)&amp;" ")-1),",","."),FIND("/",SUBSTITUTE(LEFT(TRIM(C401),FIND(" ",TRIM(C401)&amp;" ")-1),",","."))+1,9))*12,NA()))),0),42)*'Aturan &amp; Tarif'!$B$4,2)</f>
        <v>2384.76</v>
      </c>
      <c r="K401" s="32" t="n">
        <f aca="false">'Aturan &amp; Tarif'!$B$5</f>
        <v>2050</v>
      </c>
      <c r="L401" s="32" t="n">
        <f aca="false">'Aturan &amp; Tarif'!$B$6</f>
        <v>350</v>
      </c>
      <c r="M401" s="35" t="n">
        <f aca="false">I401+J401+K401+L401</f>
        <v>6584.76</v>
      </c>
      <c r="N401" s="36" t="s">
        <v>1588</v>
      </c>
    </row>
    <row r="402" customFormat="false" ht="14.25" hidden="false" customHeight="true" outlineLevel="0" collapsed="false">
      <c r="A402" s="29"/>
      <c r="B402" s="30" t="s">
        <v>1589</v>
      </c>
      <c r="C402" s="31" t="s">
        <v>113</v>
      </c>
      <c r="D402" s="31" t="s">
        <v>108</v>
      </c>
      <c r="E402" s="32" t="n">
        <v>1500</v>
      </c>
      <c r="F402" s="32" t="n">
        <v>100</v>
      </c>
      <c r="G402" s="32" t="n">
        <v>200</v>
      </c>
      <c r="H402" s="33" t="n">
        <v>1</v>
      </c>
      <c r="I402" s="34" t="n">
        <f aca="false">E402*H402+N(F402)+N(G402)</f>
        <v>1800</v>
      </c>
      <c r="J402" s="32" t="n">
        <f aca="false">ROUND(IFERROR(ROUND(IF(OR(ISNUMBER(SEARCH("week",C402)),ISNUMBER(SEARCH("minggu",C402))),IFERROR(_xlfn.NUMBERVALUE(SUBSTITUTE(LEFT(TRIM(C402),FIND(" ",TRIM(C402)&amp;" ")-1),",","."),"."),LEFT(SUBSTITUTE(LEFT(TRIM(C402),FIND(" ",TRIM(C402)&amp;" ")-1),",","."),FIND("/",SUBSTITUTE(LEFT(TRIM(C402),FIND(" ",TRIM(C402)&amp;" ")-1),",","."))-1)/MID(SUBSTITUTE(LEFT(TRIM(C402),FIND(" ",TRIM(C402)&amp;" ")-1),",","."),FIND("/",SUBSTITUTE(LEFT(TRIM(C402),FIND(" ",TRIM(C402)&amp;" ")-1),",","."))+1,9))*12/52,IF(ISNUMBER(SEARCH("month",C402)),IFERROR(_xlfn.NUMBERVALUE(SUBSTITUTE(LEFT(TRIM(C402),FIND(" ",TRIM(C402)&amp;" ")-1),",","."),"."),LEFT(SUBSTITUTE(LEFT(TRIM(C402),FIND(" ",TRIM(C402)&amp;" ")-1),",","."),FIND("/",SUBSTITUTE(LEFT(TRIM(C402),FIND(" ",TRIM(C402)&amp;" ")-1),",","."))-1)/MID(SUBSTITUTE(LEFT(TRIM(C402),FIND(" ",TRIM(C402)&amp;" ")-1),",","."),FIND("/",SUBSTITUTE(LEFT(TRIM(C402),FIND(" ",TRIM(C402)&amp;" ")-1),",","."))+1,9)),IF(ISNUMBER(SEARCH("yea",C402)),IFERROR(_xlfn.NUMBERVALUE(SUBSTITUTE(LEFT(TRIM(C402),FIND(" ",TRIM(C402)&amp;" ")-1),",","."),"."),LEFT(SUBSTITUTE(LEFT(TRIM(C402),FIND(" ",TRIM(C402)&amp;" ")-1),",","."),FIND("/",SUBSTITUTE(LEFT(TRIM(C402),FIND(" ",TRIM(C402)&amp;" ")-1),",","."))-1)/MID(SUBSTITUTE(LEFT(TRIM(C402),FIND(" ",TRIM(C402)&amp;" ")-1),",","."),FIND("/",SUBSTITUTE(LEFT(TRIM(C402),FIND(" ",TRIM(C402)&amp;" ")-1),",","."))+1,9))*12,NA()))),0),18)*'Aturan &amp; Tarif'!$B$4,2)</f>
        <v>1022.04</v>
      </c>
      <c r="K402" s="32" t="n">
        <f aca="false">'Aturan &amp; Tarif'!$B$5</f>
        <v>2050</v>
      </c>
      <c r="L402" s="32" t="n">
        <f aca="false">'Aturan &amp; Tarif'!$B$6</f>
        <v>350</v>
      </c>
      <c r="M402" s="35" t="n">
        <f aca="false">I402+J402+K402+L402</f>
        <v>5222.04</v>
      </c>
      <c r="N402" s="37" t="s">
        <v>1590</v>
      </c>
    </row>
    <row r="403" customFormat="false" ht="25.5" hidden="false" customHeight="true" outlineLevel="0" collapsed="false">
      <c r="A403" s="29"/>
      <c r="B403" s="30" t="s">
        <v>1591</v>
      </c>
      <c r="C403" s="31" t="s">
        <v>113</v>
      </c>
      <c r="D403" s="31" t="s">
        <v>108</v>
      </c>
      <c r="E403" s="32" t="n">
        <v>1500</v>
      </c>
      <c r="F403" s="32" t="n">
        <v>100</v>
      </c>
      <c r="G403" s="32" t="n">
        <v>200</v>
      </c>
      <c r="H403" s="33" t="n">
        <v>1</v>
      </c>
      <c r="I403" s="34" t="n">
        <f aca="false">E403*H403+N(F403)+N(G403)</f>
        <v>1800</v>
      </c>
      <c r="J403" s="32" t="n">
        <f aca="false">ROUND(IFERROR(ROUND(IF(OR(ISNUMBER(SEARCH("week",C403)),ISNUMBER(SEARCH("minggu",C403))),IFERROR(_xlfn.NUMBERVALUE(SUBSTITUTE(LEFT(TRIM(C403),FIND(" ",TRIM(C403)&amp;" ")-1),",","."),"."),LEFT(SUBSTITUTE(LEFT(TRIM(C403),FIND(" ",TRIM(C403)&amp;" ")-1),",","."),FIND("/",SUBSTITUTE(LEFT(TRIM(C403),FIND(" ",TRIM(C403)&amp;" ")-1),",","."))-1)/MID(SUBSTITUTE(LEFT(TRIM(C403),FIND(" ",TRIM(C403)&amp;" ")-1),",","."),FIND("/",SUBSTITUTE(LEFT(TRIM(C403),FIND(" ",TRIM(C403)&amp;" ")-1),",","."))+1,9))*12/52,IF(ISNUMBER(SEARCH("month",C403)),IFERROR(_xlfn.NUMBERVALUE(SUBSTITUTE(LEFT(TRIM(C403),FIND(" ",TRIM(C403)&amp;" ")-1),",","."),"."),LEFT(SUBSTITUTE(LEFT(TRIM(C403),FIND(" ",TRIM(C403)&amp;" ")-1),",","."),FIND("/",SUBSTITUTE(LEFT(TRIM(C403),FIND(" ",TRIM(C403)&amp;" ")-1),",","."))-1)/MID(SUBSTITUTE(LEFT(TRIM(C403),FIND(" ",TRIM(C403)&amp;" ")-1),",","."),FIND("/",SUBSTITUTE(LEFT(TRIM(C403),FIND(" ",TRIM(C403)&amp;" ")-1),",","."))+1,9)),IF(ISNUMBER(SEARCH("yea",C403)),IFERROR(_xlfn.NUMBERVALUE(SUBSTITUTE(LEFT(TRIM(C403),FIND(" ",TRIM(C403)&amp;" ")-1),",","."),"."),LEFT(SUBSTITUTE(LEFT(TRIM(C403),FIND(" ",TRIM(C403)&amp;" ")-1),",","."),FIND("/",SUBSTITUTE(LEFT(TRIM(C403),FIND(" ",TRIM(C403)&amp;" ")-1),",","."))-1)/MID(SUBSTITUTE(LEFT(TRIM(C403),FIND(" ",TRIM(C403)&amp;" ")-1),",","."),FIND("/",SUBSTITUTE(LEFT(TRIM(C403),FIND(" ",TRIM(C403)&amp;" ")-1),",","."))+1,9))*12,NA()))),0),18)*'Aturan &amp; Tarif'!$B$4,2)</f>
        <v>1022.04</v>
      </c>
      <c r="K403" s="32" t="n">
        <f aca="false">'Aturan &amp; Tarif'!$B$5</f>
        <v>2050</v>
      </c>
      <c r="L403" s="32" t="n">
        <f aca="false">'Aturan &amp; Tarif'!$B$6</f>
        <v>350</v>
      </c>
      <c r="M403" s="35" t="n">
        <f aca="false">I403+J403+K403+L403</f>
        <v>5222.04</v>
      </c>
      <c r="N403" s="37" t="s">
        <v>134</v>
      </c>
    </row>
    <row r="404" customFormat="false" ht="37.5" hidden="false" customHeight="true" outlineLevel="0" collapsed="false">
      <c r="A404" s="29"/>
      <c r="B404" s="30" t="s">
        <v>1592</v>
      </c>
      <c r="C404" s="31" t="s">
        <v>138</v>
      </c>
      <c r="D404" s="31" t="s">
        <v>108</v>
      </c>
      <c r="E404" s="32" t="n">
        <v>1500</v>
      </c>
      <c r="F404" s="32" t="n">
        <v>100</v>
      </c>
      <c r="G404" s="32" t="n">
        <v>200</v>
      </c>
      <c r="H404" s="33" t="n">
        <v>1</v>
      </c>
      <c r="I404" s="34" t="n">
        <f aca="false">E404*H404+N(F404)+N(G404)</f>
        <v>1800</v>
      </c>
      <c r="J404" s="32" t="n">
        <f aca="false">ROUND(IFERROR(ROUND(IF(OR(ISNUMBER(SEARCH("week",C404)),ISNUMBER(SEARCH("minggu",C404))),IFERROR(_xlfn.NUMBERVALUE(SUBSTITUTE(LEFT(TRIM(C404),FIND(" ",TRIM(C404)&amp;" ")-1),",","."),"."),LEFT(SUBSTITUTE(LEFT(TRIM(C404),FIND(" ",TRIM(C404)&amp;" ")-1),",","."),FIND("/",SUBSTITUTE(LEFT(TRIM(C404),FIND(" ",TRIM(C404)&amp;" ")-1),",","."))-1)/MID(SUBSTITUTE(LEFT(TRIM(C404),FIND(" ",TRIM(C404)&amp;" ")-1),",","."),FIND("/",SUBSTITUTE(LEFT(TRIM(C404),FIND(" ",TRIM(C404)&amp;" ")-1),",","."))+1,9))*12/52,IF(ISNUMBER(SEARCH("month",C404)),IFERROR(_xlfn.NUMBERVALUE(SUBSTITUTE(LEFT(TRIM(C404),FIND(" ",TRIM(C404)&amp;" ")-1),",","."),"."),LEFT(SUBSTITUTE(LEFT(TRIM(C404),FIND(" ",TRIM(C404)&amp;" ")-1),",","."),FIND("/",SUBSTITUTE(LEFT(TRIM(C404),FIND(" ",TRIM(C404)&amp;" ")-1),",","."))-1)/MID(SUBSTITUTE(LEFT(TRIM(C404),FIND(" ",TRIM(C404)&amp;" ")-1),",","."),FIND("/",SUBSTITUTE(LEFT(TRIM(C404),FIND(" ",TRIM(C404)&amp;" ")-1),",","."))+1,9)),IF(ISNUMBER(SEARCH("yea",C404)),IFERROR(_xlfn.NUMBERVALUE(SUBSTITUTE(LEFT(TRIM(C404),FIND(" ",TRIM(C404)&amp;" ")-1),",","."),"."),LEFT(SUBSTITUTE(LEFT(TRIM(C404),FIND(" ",TRIM(C404)&amp;" ")-1),",","."),FIND("/",SUBSTITUTE(LEFT(TRIM(C404),FIND(" ",TRIM(C404)&amp;" ")-1),",","."))-1)/MID(SUBSTITUTE(LEFT(TRIM(C404),FIND(" ",TRIM(C404)&amp;" ")-1),",","."),FIND("/",SUBSTITUTE(LEFT(TRIM(C404),FIND(" ",TRIM(C404)&amp;" ")-1),",","."))+1,9))*12,NA()))),0),30)*'Aturan &amp; Tarif'!$B$4,2)</f>
        <v>1703.4</v>
      </c>
      <c r="K404" s="32" t="n">
        <f aca="false">'Aturan &amp; Tarif'!$B$5</f>
        <v>2050</v>
      </c>
      <c r="L404" s="32" t="n">
        <f aca="false">'Aturan &amp; Tarif'!$B$6</f>
        <v>350</v>
      </c>
      <c r="M404" s="35" t="n">
        <f aca="false">I404+J404+K404+L404</f>
        <v>5903.4</v>
      </c>
      <c r="N404" s="37" t="s">
        <v>134</v>
      </c>
    </row>
    <row r="405" customFormat="false" ht="60" hidden="false" customHeight="true" outlineLevel="0" collapsed="false">
      <c r="A405" s="29"/>
      <c r="B405" s="30" t="s">
        <v>1593</v>
      </c>
      <c r="C405" s="31" t="s">
        <v>136</v>
      </c>
      <c r="D405" s="31" t="s">
        <v>108</v>
      </c>
      <c r="E405" s="32" t="n">
        <v>1500</v>
      </c>
      <c r="F405" s="32" t="n">
        <v>100</v>
      </c>
      <c r="G405" s="32" t="n">
        <v>200</v>
      </c>
      <c r="H405" s="33" t="n">
        <v>1</v>
      </c>
      <c r="I405" s="34" t="n">
        <f aca="false">E405*H405+N(F405)+N(G405)</f>
        <v>1800</v>
      </c>
      <c r="J405" s="32" t="n">
        <f aca="false">ROUND(IFERROR(ROUND(IF(OR(ISNUMBER(SEARCH("week",C405)),ISNUMBER(SEARCH("minggu",C405))),IFERROR(_xlfn.NUMBERVALUE(SUBSTITUTE(LEFT(TRIM(C405),FIND(" ",TRIM(C405)&amp;" ")-1),",","."),"."),LEFT(SUBSTITUTE(LEFT(TRIM(C405),FIND(" ",TRIM(C405)&amp;" ")-1),",","."),FIND("/",SUBSTITUTE(LEFT(TRIM(C405),FIND(" ",TRIM(C405)&amp;" ")-1),",","."))-1)/MID(SUBSTITUTE(LEFT(TRIM(C405),FIND(" ",TRIM(C405)&amp;" ")-1),",","."),FIND("/",SUBSTITUTE(LEFT(TRIM(C405),FIND(" ",TRIM(C405)&amp;" ")-1),",","."))+1,9))*12/52,IF(ISNUMBER(SEARCH("month",C405)),IFERROR(_xlfn.NUMBERVALUE(SUBSTITUTE(LEFT(TRIM(C405),FIND(" ",TRIM(C405)&amp;" ")-1),",","."),"."),LEFT(SUBSTITUTE(LEFT(TRIM(C405),FIND(" ",TRIM(C405)&amp;" ")-1),",","."),FIND("/",SUBSTITUTE(LEFT(TRIM(C405),FIND(" ",TRIM(C405)&amp;" ")-1),",","."))-1)/MID(SUBSTITUTE(LEFT(TRIM(C405),FIND(" ",TRIM(C405)&amp;" ")-1),",","."),FIND("/",SUBSTITUTE(LEFT(TRIM(C405),FIND(" ",TRIM(C405)&amp;" ")-1),",","."))+1,9)),IF(ISNUMBER(SEARCH("yea",C405)),IFERROR(_xlfn.NUMBERVALUE(SUBSTITUTE(LEFT(TRIM(C405),FIND(" ",TRIM(C405)&amp;" ")-1),",","."),"."),LEFT(SUBSTITUTE(LEFT(TRIM(C405),FIND(" ",TRIM(C405)&amp;" ")-1),",","."),FIND("/",SUBSTITUTE(LEFT(TRIM(C405),FIND(" ",TRIM(C405)&amp;" ")-1),",","."))-1)/MID(SUBSTITUTE(LEFT(TRIM(C405),FIND(" ",TRIM(C405)&amp;" ")-1),",","."),FIND("/",SUBSTITUTE(LEFT(TRIM(C405),FIND(" ",TRIM(C405)&amp;" ")-1),",","."))+1,9))*12,NA()))),0),42)*'Aturan &amp; Tarif'!$B$4,2)</f>
        <v>2384.76</v>
      </c>
      <c r="K405" s="32" t="n">
        <f aca="false">'Aturan &amp; Tarif'!$B$5</f>
        <v>2050</v>
      </c>
      <c r="L405" s="32" t="n">
        <f aca="false">'Aturan &amp; Tarif'!$B$6</f>
        <v>350</v>
      </c>
      <c r="M405" s="35" t="n">
        <f aca="false">I405+J405+K405+L405</f>
        <v>6584.76</v>
      </c>
      <c r="N405" s="36" t="s">
        <v>1594</v>
      </c>
    </row>
    <row r="406" customFormat="false" ht="14.25" hidden="false" customHeight="true" outlineLevel="0" collapsed="false">
      <c r="A406" s="29"/>
      <c r="B406" s="30" t="s">
        <v>1595</v>
      </c>
      <c r="C406" s="31" t="s">
        <v>130</v>
      </c>
      <c r="D406" s="31" t="s">
        <v>108</v>
      </c>
      <c r="E406" s="32" t="n">
        <v>1500</v>
      </c>
      <c r="F406" s="32" t="n">
        <v>100</v>
      </c>
      <c r="G406" s="32" t="n">
        <v>200</v>
      </c>
      <c r="H406" s="33" t="n">
        <v>1</v>
      </c>
      <c r="I406" s="34" t="n">
        <f aca="false">E406*H406+N(F406)+N(G406)</f>
        <v>1800</v>
      </c>
      <c r="J406" s="32" t="n">
        <f aca="false">ROUND(IFERROR(ROUND(IF(OR(ISNUMBER(SEARCH("week",C406)),ISNUMBER(SEARCH("minggu",C406))),IFERROR(_xlfn.NUMBERVALUE(SUBSTITUTE(LEFT(TRIM(C406),FIND(" ",TRIM(C406)&amp;" ")-1),",","."),"."),LEFT(SUBSTITUTE(LEFT(TRIM(C406),FIND(" ",TRIM(C406)&amp;" ")-1),",","."),FIND("/",SUBSTITUTE(LEFT(TRIM(C406),FIND(" ",TRIM(C406)&amp;" ")-1),",","."))-1)/MID(SUBSTITUTE(LEFT(TRIM(C406),FIND(" ",TRIM(C406)&amp;" ")-1),",","."),FIND("/",SUBSTITUTE(LEFT(TRIM(C406),FIND(" ",TRIM(C406)&amp;" ")-1),",","."))+1,9))*12/52,IF(ISNUMBER(SEARCH("month",C406)),IFERROR(_xlfn.NUMBERVALUE(SUBSTITUTE(LEFT(TRIM(C406),FIND(" ",TRIM(C406)&amp;" ")-1),",","."),"."),LEFT(SUBSTITUTE(LEFT(TRIM(C406),FIND(" ",TRIM(C406)&amp;" ")-1),",","."),FIND("/",SUBSTITUTE(LEFT(TRIM(C406),FIND(" ",TRIM(C406)&amp;" ")-1),",","."))-1)/MID(SUBSTITUTE(LEFT(TRIM(C406),FIND(" ",TRIM(C406)&amp;" ")-1),",","."),FIND("/",SUBSTITUTE(LEFT(TRIM(C406),FIND(" ",TRIM(C406)&amp;" ")-1),",","."))+1,9)),IF(ISNUMBER(SEARCH("yea",C406)),IFERROR(_xlfn.NUMBERVALUE(SUBSTITUTE(LEFT(TRIM(C406),FIND(" ",TRIM(C406)&amp;" ")-1),",","."),"."),LEFT(SUBSTITUTE(LEFT(TRIM(C406),FIND(" ",TRIM(C406)&amp;" ")-1),",","."),FIND("/",SUBSTITUTE(LEFT(TRIM(C406),FIND(" ",TRIM(C406)&amp;" ")-1),",","."))-1)/MID(SUBSTITUTE(LEFT(TRIM(C406),FIND(" ",TRIM(C406)&amp;" ")-1),",","."),FIND("/",SUBSTITUTE(LEFT(TRIM(C406),FIND(" ",TRIM(C406)&amp;" ")-1),",","."))+1,9))*12,NA()))),0),12)*'Aturan &amp; Tarif'!$B$4,2)</f>
        <v>681.36</v>
      </c>
      <c r="K406" s="32" t="n">
        <f aca="false">'Aturan &amp; Tarif'!$B$5</f>
        <v>2050</v>
      </c>
      <c r="L406" s="32" t="n">
        <f aca="false">'Aturan &amp; Tarif'!$B$6</f>
        <v>350</v>
      </c>
      <c r="M406" s="35" t="n">
        <f aca="false">I406+J406+K406+L406</f>
        <v>4881.36</v>
      </c>
      <c r="N406" s="37" t="s">
        <v>1590</v>
      </c>
    </row>
    <row r="407" customFormat="false" ht="14.25" hidden="false" customHeight="true" outlineLevel="0" collapsed="false">
      <c r="A407" s="29"/>
      <c r="B407" s="30" t="s">
        <v>1596</v>
      </c>
      <c r="C407" s="31" t="s">
        <v>107</v>
      </c>
      <c r="D407" s="31" t="s">
        <v>108</v>
      </c>
      <c r="E407" s="32" t="n">
        <v>1500</v>
      </c>
      <c r="F407" s="32" t="n">
        <v>100</v>
      </c>
      <c r="G407" s="32" t="n">
        <v>200</v>
      </c>
      <c r="H407" s="33" t="n">
        <v>1</v>
      </c>
      <c r="I407" s="34" t="n">
        <f aca="false">E407*H407+N(F407)+N(G407)</f>
        <v>1800</v>
      </c>
      <c r="J407" s="32" t="n">
        <f aca="false">ROUND(IFERROR(ROUND(IF(OR(ISNUMBER(SEARCH("week",C407)),ISNUMBER(SEARCH("minggu",C407))),IFERROR(_xlfn.NUMBERVALUE(SUBSTITUTE(LEFT(TRIM(C407),FIND(" ",TRIM(C407)&amp;" ")-1),",","."),"."),LEFT(SUBSTITUTE(LEFT(TRIM(C407),FIND(" ",TRIM(C407)&amp;" ")-1),",","."),FIND("/",SUBSTITUTE(LEFT(TRIM(C407),FIND(" ",TRIM(C407)&amp;" ")-1),",","."))-1)/MID(SUBSTITUTE(LEFT(TRIM(C407),FIND(" ",TRIM(C407)&amp;" ")-1),",","."),FIND("/",SUBSTITUTE(LEFT(TRIM(C407),FIND(" ",TRIM(C407)&amp;" ")-1),",","."))+1,9))*12/52,IF(ISNUMBER(SEARCH("month",C407)),IFERROR(_xlfn.NUMBERVALUE(SUBSTITUTE(LEFT(TRIM(C407),FIND(" ",TRIM(C407)&amp;" ")-1),",","."),"."),LEFT(SUBSTITUTE(LEFT(TRIM(C407),FIND(" ",TRIM(C407)&amp;" ")-1),",","."),FIND("/",SUBSTITUTE(LEFT(TRIM(C407),FIND(" ",TRIM(C407)&amp;" ")-1),",","."))-1)/MID(SUBSTITUTE(LEFT(TRIM(C407),FIND(" ",TRIM(C407)&amp;" ")-1),",","."),FIND("/",SUBSTITUTE(LEFT(TRIM(C407),FIND(" ",TRIM(C407)&amp;" ")-1),",","."))+1,9)),IF(ISNUMBER(SEARCH("yea",C407)),IFERROR(_xlfn.NUMBERVALUE(SUBSTITUTE(LEFT(TRIM(C407),FIND(" ",TRIM(C407)&amp;" ")-1),",","."),"."),LEFT(SUBSTITUTE(LEFT(TRIM(C407),FIND(" ",TRIM(C407)&amp;" ")-1),",","."),FIND("/",SUBSTITUTE(LEFT(TRIM(C407),FIND(" ",TRIM(C407)&amp;" ")-1),",","."))-1)/MID(SUBSTITUTE(LEFT(TRIM(C407),FIND(" ",TRIM(C407)&amp;" ")-1),",","."),FIND("/",SUBSTITUTE(LEFT(TRIM(C407),FIND(" ",TRIM(C407)&amp;" ")-1),",","."))+1,9))*12,NA()))),0),24)*'Aturan &amp; Tarif'!$B$4,2)</f>
        <v>1362.72</v>
      </c>
      <c r="K407" s="32" t="n">
        <f aca="false">'Aturan &amp; Tarif'!$B$5</f>
        <v>2050</v>
      </c>
      <c r="L407" s="32" t="n">
        <f aca="false">'Aturan &amp; Tarif'!$B$6</f>
        <v>350</v>
      </c>
      <c r="M407" s="35" t="n">
        <f aca="false">I407+J407+K407+L407</f>
        <v>5562.72</v>
      </c>
      <c r="N407" s="37" t="s">
        <v>134</v>
      </c>
    </row>
    <row r="408" customFormat="false" ht="25.5" hidden="false" customHeight="true" outlineLevel="0" collapsed="false">
      <c r="A408" s="29"/>
      <c r="B408" s="30" t="s">
        <v>1597</v>
      </c>
      <c r="C408" s="31" t="s">
        <v>127</v>
      </c>
      <c r="D408" s="31" t="s">
        <v>108</v>
      </c>
      <c r="E408" s="32" t="n">
        <v>1750</v>
      </c>
      <c r="F408" s="32" t="n">
        <v>200</v>
      </c>
      <c r="G408" s="32" t="n">
        <v>200</v>
      </c>
      <c r="H408" s="33" t="n">
        <v>1</v>
      </c>
      <c r="I408" s="34" t="n">
        <f aca="false">E408*H408+N(F408)+N(G408)</f>
        <v>2150</v>
      </c>
      <c r="J408" s="32" t="n">
        <f aca="false">ROUND(IFERROR(ROUND(IF(OR(ISNUMBER(SEARCH("week",C408)),ISNUMBER(SEARCH("minggu",C408))),IFERROR(_xlfn.NUMBERVALUE(SUBSTITUTE(LEFT(TRIM(C408),FIND(" ",TRIM(C408)&amp;" ")-1),",","."),"."),LEFT(SUBSTITUTE(LEFT(TRIM(C408),FIND(" ",TRIM(C408)&amp;" ")-1),",","."),FIND("/",SUBSTITUTE(LEFT(TRIM(C408),FIND(" ",TRIM(C408)&amp;" ")-1),",","."))-1)/MID(SUBSTITUTE(LEFT(TRIM(C408),FIND(" ",TRIM(C408)&amp;" ")-1),",","."),FIND("/",SUBSTITUTE(LEFT(TRIM(C408),FIND(" ",TRIM(C408)&amp;" ")-1),",","."))+1,9))*12/52,IF(ISNUMBER(SEARCH("month",C408)),IFERROR(_xlfn.NUMBERVALUE(SUBSTITUTE(LEFT(TRIM(C408),FIND(" ",TRIM(C408)&amp;" ")-1),",","."),"."),LEFT(SUBSTITUTE(LEFT(TRIM(C408),FIND(" ",TRIM(C408)&amp;" ")-1),",","."),FIND("/",SUBSTITUTE(LEFT(TRIM(C408),FIND(" ",TRIM(C408)&amp;" ")-1),",","."))-1)/MID(SUBSTITUTE(LEFT(TRIM(C408),FIND(" ",TRIM(C408)&amp;" ")-1),",","."),FIND("/",SUBSTITUTE(LEFT(TRIM(C408),FIND(" ",TRIM(C408)&amp;" ")-1),",","."))+1,9)),IF(ISNUMBER(SEARCH("yea",C408)),IFERROR(_xlfn.NUMBERVALUE(SUBSTITUTE(LEFT(TRIM(C408),FIND(" ",TRIM(C408)&amp;" ")-1),",","."),"."),LEFT(SUBSTITUTE(LEFT(TRIM(C408),FIND(" ",TRIM(C408)&amp;" ")-1),",","."),FIND("/",SUBSTITUTE(LEFT(TRIM(C408),FIND(" ",TRIM(C408)&amp;" ")-1),",","."))-1)/MID(SUBSTITUTE(LEFT(TRIM(C408),FIND(" ",TRIM(C408)&amp;" ")-1),",","."),FIND("/",SUBSTITUTE(LEFT(TRIM(C408),FIND(" ",TRIM(C408)&amp;" ")-1),",","."))+1,9))*12,NA()))),0),36)*'Aturan &amp; Tarif'!$B$4,2)</f>
        <v>2044.08</v>
      </c>
      <c r="K408" s="32" t="n">
        <f aca="false">'Aturan &amp; Tarif'!$B$5</f>
        <v>2050</v>
      </c>
      <c r="L408" s="32" t="n">
        <f aca="false">'Aturan &amp; Tarif'!$B$6</f>
        <v>350</v>
      </c>
      <c r="M408" s="35" t="n">
        <f aca="false">I408+J408+K408+L408</f>
        <v>6594.08</v>
      </c>
      <c r="N408" s="37" t="s">
        <v>134</v>
      </c>
    </row>
    <row r="409" customFormat="false" ht="14.25" hidden="false" customHeight="true" outlineLevel="0" collapsed="false">
      <c r="A409" s="29"/>
      <c r="B409" s="30" t="s">
        <v>1598</v>
      </c>
      <c r="C409" s="31" t="s">
        <v>107</v>
      </c>
      <c r="D409" s="31" t="s">
        <v>108</v>
      </c>
      <c r="E409" s="32" t="n">
        <v>1750</v>
      </c>
      <c r="F409" s="32" t="n">
        <v>200</v>
      </c>
      <c r="G409" s="32" t="n">
        <v>200</v>
      </c>
      <c r="H409" s="33" t="n">
        <v>1</v>
      </c>
      <c r="I409" s="34" t="n">
        <f aca="false">E409*H409+N(F409)+N(G409)</f>
        <v>2150</v>
      </c>
      <c r="J409" s="32" t="n">
        <f aca="false">ROUND(IFERROR(ROUND(IF(OR(ISNUMBER(SEARCH("week",C409)),ISNUMBER(SEARCH("minggu",C409))),IFERROR(_xlfn.NUMBERVALUE(SUBSTITUTE(LEFT(TRIM(C409),FIND(" ",TRIM(C409)&amp;" ")-1),",","."),"."),LEFT(SUBSTITUTE(LEFT(TRIM(C409),FIND(" ",TRIM(C409)&amp;" ")-1),",","."),FIND("/",SUBSTITUTE(LEFT(TRIM(C409),FIND(" ",TRIM(C409)&amp;" ")-1),",","."))-1)/MID(SUBSTITUTE(LEFT(TRIM(C409),FIND(" ",TRIM(C409)&amp;" ")-1),",","."),FIND("/",SUBSTITUTE(LEFT(TRIM(C409),FIND(" ",TRIM(C409)&amp;" ")-1),",","."))+1,9))*12/52,IF(ISNUMBER(SEARCH("month",C409)),IFERROR(_xlfn.NUMBERVALUE(SUBSTITUTE(LEFT(TRIM(C409),FIND(" ",TRIM(C409)&amp;" ")-1),",","."),"."),LEFT(SUBSTITUTE(LEFT(TRIM(C409),FIND(" ",TRIM(C409)&amp;" ")-1),",","."),FIND("/",SUBSTITUTE(LEFT(TRIM(C409),FIND(" ",TRIM(C409)&amp;" ")-1),",","."))-1)/MID(SUBSTITUTE(LEFT(TRIM(C409),FIND(" ",TRIM(C409)&amp;" ")-1),",","."),FIND("/",SUBSTITUTE(LEFT(TRIM(C409),FIND(" ",TRIM(C409)&amp;" ")-1),",","."))+1,9)),IF(ISNUMBER(SEARCH("yea",C409)),IFERROR(_xlfn.NUMBERVALUE(SUBSTITUTE(LEFT(TRIM(C409),FIND(" ",TRIM(C409)&amp;" ")-1),",","."),"."),LEFT(SUBSTITUTE(LEFT(TRIM(C409),FIND(" ",TRIM(C409)&amp;" ")-1),",","."),FIND("/",SUBSTITUTE(LEFT(TRIM(C409),FIND(" ",TRIM(C409)&amp;" ")-1),",","."))-1)/MID(SUBSTITUTE(LEFT(TRIM(C409),FIND(" ",TRIM(C409)&amp;" ")-1),",","."),FIND("/",SUBSTITUTE(LEFT(TRIM(C409),FIND(" ",TRIM(C409)&amp;" ")-1),",","."))+1,9))*12,NA()))),0),24)*'Aturan &amp; Tarif'!$B$4,2)</f>
        <v>1362.72</v>
      </c>
      <c r="K409" s="32" t="n">
        <f aca="false">'Aturan &amp; Tarif'!$B$5</f>
        <v>2050</v>
      </c>
      <c r="L409" s="32" t="n">
        <f aca="false">'Aturan &amp; Tarif'!$B$6</f>
        <v>350</v>
      </c>
      <c r="M409" s="35" t="n">
        <f aca="false">I409+J409+K409+L409</f>
        <v>5912.72</v>
      </c>
      <c r="N409" s="37" t="s">
        <v>134</v>
      </c>
    </row>
    <row r="410" customFormat="false" ht="60" hidden="false" customHeight="true" outlineLevel="0" collapsed="false">
      <c r="A410" s="29"/>
      <c r="B410" s="30" t="s">
        <v>126</v>
      </c>
      <c r="C410" s="31" t="s">
        <v>127</v>
      </c>
      <c r="D410" s="31" t="s">
        <v>108</v>
      </c>
      <c r="E410" s="32" t="n">
        <v>1750</v>
      </c>
      <c r="F410" s="32" t="n">
        <v>200</v>
      </c>
      <c r="G410" s="32" t="n">
        <v>200</v>
      </c>
      <c r="H410" s="33" t="n">
        <v>1</v>
      </c>
      <c r="I410" s="34" t="n">
        <f aca="false">E410*H410+N(F410)+N(G410)</f>
        <v>2150</v>
      </c>
      <c r="J410" s="32" t="n">
        <f aca="false">ROUND(IFERROR(ROUND(IF(OR(ISNUMBER(SEARCH("week",C410)),ISNUMBER(SEARCH("minggu",C410))),IFERROR(_xlfn.NUMBERVALUE(SUBSTITUTE(LEFT(TRIM(C410),FIND(" ",TRIM(C410)&amp;" ")-1),",","."),"."),LEFT(SUBSTITUTE(LEFT(TRIM(C410),FIND(" ",TRIM(C410)&amp;" ")-1),",","."),FIND("/",SUBSTITUTE(LEFT(TRIM(C410),FIND(" ",TRIM(C410)&amp;" ")-1),",","."))-1)/MID(SUBSTITUTE(LEFT(TRIM(C410),FIND(" ",TRIM(C410)&amp;" ")-1),",","."),FIND("/",SUBSTITUTE(LEFT(TRIM(C410),FIND(" ",TRIM(C410)&amp;" ")-1),",","."))+1,9))*12/52,IF(ISNUMBER(SEARCH("month",C410)),IFERROR(_xlfn.NUMBERVALUE(SUBSTITUTE(LEFT(TRIM(C410),FIND(" ",TRIM(C410)&amp;" ")-1),",","."),"."),LEFT(SUBSTITUTE(LEFT(TRIM(C410),FIND(" ",TRIM(C410)&amp;" ")-1),",","."),FIND("/",SUBSTITUTE(LEFT(TRIM(C410),FIND(" ",TRIM(C410)&amp;" ")-1),",","."))-1)/MID(SUBSTITUTE(LEFT(TRIM(C410),FIND(" ",TRIM(C410)&amp;" ")-1),",","."),FIND("/",SUBSTITUTE(LEFT(TRIM(C410),FIND(" ",TRIM(C410)&amp;" ")-1),",","."))+1,9)),IF(ISNUMBER(SEARCH("yea",C410)),IFERROR(_xlfn.NUMBERVALUE(SUBSTITUTE(LEFT(TRIM(C410),FIND(" ",TRIM(C410)&amp;" ")-1),",","."),"."),LEFT(SUBSTITUTE(LEFT(TRIM(C410),FIND(" ",TRIM(C410)&amp;" ")-1),",","."),FIND("/",SUBSTITUTE(LEFT(TRIM(C410),FIND(" ",TRIM(C410)&amp;" ")-1),",","."))-1)/MID(SUBSTITUTE(LEFT(TRIM(C410),FIND(" ",TRIM(C410)&amp;" ")-1),",","."),FIND("/",SUBSTITUTE(LEFT(TRIM(C410),FIND(" ",TRIM(C410)&amp;" ")-1),",","."))+1,9))*12,NA()))),0),36)*'Aturan &amp; Tarif'!$B$4,2)</f>
        <v>2044.08</v>
      </c>
      <c r="K410" s="32" t="n">
        <f aca="false">'Aturan &amp; Tarif'!$B$5</f>
        <v>2050</v>
      </c>
      <c r="L410" s="32" t="n">
        <f aca="false">'Aturan &amp; Tarif'!$B$6</f>
        <v>350</v>
      </c>
      <c r="M410" s="35" t="n">
        <f aca="false">I410+J410+K410+L410</f>
        <v>6594.08</v>
      </c>
      <c r="N410" s="36" t="s">
        <v>1599</v>
      </c>
    </row>
    <row r="411" customFormat="false" ht="14.25" hidden="false" customHeight="true" outlineLevel="0" collapsed="false">
      <c r="A411" s="29"/>
      <c r="B411" s="30" t="s">
        <v>1600</v>
      </c>
      <c r="C411" s="31" t="s">
        <v>107</v>
      </c>
      <c r="D411" s="31" t="s">
        <v>108</v>
      </c>
      <c r="E411" s="32" t="n">
        <v>1750</v>
      </c>
      <c r="F411" s="32" t="n">
        <v>200</v>
      </c>
      <c r="G411" s="32" t="n">
        <v>200</v>
      </c>
      <c r="H411" s="33" t="n">
        <v>1</v>
      </c>
      <c r="I411" s="34" t="n">
        <f aca="false">E411*H411+N(F411)+N(G411)</f>
        <v>2150</v>
      </c>
      <c r="J411" s="32" t="n">
        <f aca="false">ROUND(IFERROR(ROUND(IF(OR(ISNUMBER(SEARCH("week",C411)),ISNUMBER(SEARCH("minggu",C411))),IFERROR(_xlfn.NUMBERVALUE(SUBSTITUTE(LEFT(TRIM(C411),FIND(" ",TRIM(C411)&amp;" ")-1),",","."),"."),LEFT(SUBSTITUTE(LEFT(TRIM(C411),FIND(" ",TRIM(C411)&amp;" ")-1),",","."),FIND("/",SUBSTITUTE(LEFT(TRIM(C411),FIND(" ",TRIM(C411)&amp;" ")-1),",","."))-1)/MID(SUBSTITUTE(LEFT(TRIM(C411),FIND(" ",TRIM(C411)&amp;" ")-1),",","."),FIND("/",SUBSTITUTE(LEFT(TRIM(C411),FIND(" ",TRIM(C411)&amp;" ")-1),",","."))+1,9))*12/52,IF(ISNUMBER(SEARCH("month",C411)),IFERROR(_xlfn.NUMBERVALUE(SUBSTITUTE(LEFT(TRIM(C411),FIND(" ",TRIM(C411)&amp;" ")-1),",","."),"."),LEFT(SUBSTITUTE(LEFT(TRIM(C411),FIND(" ",TRIM(C411)&amp;" ")-1),",","."),FIND("/",SUBSTITUTE(LEFT(TRIM(C411),FIND(" ",TRIM(C411)&amp;" ")-1),",","."))-1)/MID(SUBSTITUTE(LEFT(TRIM(C411),FIND(" ",TRIM(C411)&amp;" ")-1),",","."),FIND("/",SUBSTITUTE(LEFT(TRIM(C411),FIND(" ",TRIM(C411)&amp;" ")-1),",","."))+1,9)),IF(ISNUMBER(SEARCH("yea",C411)),IFERROR(_xlfn.NUMBERVALUE(SUBSTITUTE(LEFT(TRIM(C411),FIND(" ",TRIM(C411)&amp;" ")-1),",","."),"."),LEFT(SUBSTITUTE(LEFT(TRIM(C411),FIND(" ",TRIM(C411)&amp;" ")-1),",","."),FIND("/",SUBSTITUTE(LEFT(TRIM(C411),FIND(" ",TRIM(C411)&amp;" ")-1),",","."))-1)/MID(SUBSTITUTE(LEFT(TRIM(C411),FIND(" ",TRIM(C411)&amp;" ")-1),",","."),FIND("/",SUBSTITUTE(LEFT(TRIM(C411),FIND(" ",TRIM(C411)&amp;" ")-1),",","."))+1,9))*12,NA()))),0),24)*'Aturan &amp; Tarif'!$B$4,2)</f>
        <v>1362.72</v>
      </c>
      <c r="K411" s="32" t="n">
        <f aca="false">'Aturan &amp; Tarif'!$B$5</f>
        <v>2050</v>
      </c>
      <c r="L411" s="32" t="n">
        <f aca="false">'Aturan &amp; Tarif'!$B$6</f>
        <v>350</v>
      </c>
      <c r="M411" s="35" t="n">
        <f aca="false">I411+J411+K411+L411</f>
        <v>5912.72</v>
      </c>
      <c r="N411" s="37" t="s">
        <v>1601</v>
      </c>
    </row>
    <row r="412" customFormat="false" ht="25.5" hidden="false" customHeight="true" outlineLevel="0" collapsed="false">
      <c r="A412" s="29"/>
      <c r="B412" s="30" t="s">
        <v>1602</v>
      </c>
      <c r="C412" s="31" t="s">
        <v>107</v>
      </c>
      <c r="D412" s="31" t="s">
        <v>108</v>
      </c>
      <c r="E412" s="32" t="n">
        <v>1500</v>
      </c>
      <c r="F412" s="32" t="n">
        <v>200</v>
      </c>
      <c r="G412" s="32" t="n">
        <v>200</v>
      </c>
      <c r="H412" s="33" t="n">
        <v>1</v>
      </c>
      <c r="I412" s="34" t="n">
        <f aca="false">E412*H412+N(F412)+N(G412)</f>
        <v>1900</v>
      </c>
      <c r="J412" s="32" t="n">
        <f aca="false">ROUND(IFERROR(ROUND(IF(OR(ISNUMBER(SEARCH("week",C412)),ISNUMBER(SEARCH("minggu",C412))),IFERROR(_xlfn.NUMBERVALUE(SUBSTITUTE(LEFT(TRIM(C412),FIND(" ",TRIM(C412)&amp;" ")-1),",","."),"."),LEFT(SUBSTITUTE(LEFT(TRIM(C412),FIND(" ",TRIM(C412)&amp;" ")-1),",","."),FIND("/",SUBSTITUTE(LEFT(TRIM(C412),FIND(" ",TRIM(C412)&amp;" ")-1),",","."))-1)/MID(SUBSTITUTE(LEFT(TRIM(C412),FIND(" ",TRIM(C412)&amp;" ")-1),",","."),FIND("/",SUBSTITUTE(LEFT(TRIM(C412),FIND(" ",TRIM(C412)&amp;" ")-1),",","."))+1,9))*12/52,IF(ISNUMBER(SEARCH("month",C412)),IFERROR(_xlfn.NUMBERVALUE(SUBSTITUTE(LEFT(TRIM(C412),FIND(" ",TRIM(C412)&amp;" ")-1),",","."),"."),LEFT(SUBSTITUTE(LEFT(TRIM(C412),FIND(" ",TRIM(C412)&amp;" ")-1),",","."),FIND("/",SUBSTITUTE(LEFT(TRIM(C412),FIND(" ",TRIM(C412)&amp;" ")-1),",","."))-1)/MID(SUBSTITUTE(LEFT(TRIM(C412),FIND(" ",TRIM(C412)&amp;" ")-1),",","."),FIND("/",SUBSTITUTE(LEFT(TRIM(C412),FIND(" ",TRIM(C412)&amp;" ")-1),",","."))+1,9)),IF(ISNUMBER(SEARCH("yea",C412)),IFERROR(_xlfn.NUMBERVALUE(SUBSTITUTE(LEFT(TRIM(C412),FIND(" ",TRIM(C412)&amp;" ")-1),",","."),"."),LEFT(SUBSTITUTE(LEFT(TRIM(C412),FIND(" ",TRIM(C412)&amp;" ")-1),",","."),FIND("/",SUBSTITUTE(LEFT(TRIM(C412),FIND(" ",TRIM(C412)&amp;" ")-1),",","."))-1)/MID(SUBSTITUTE(LEFT(TRIM(C412),FIND(" ",TRIM(C412)&amp;" ")-1),",","."),FIND("/",SUBSTITUTE(LEFT(TRIM(C412),FIND(" ",TRIM(C412)&amp;" ")-1),",","."))+1,9))*12,NA()))),0),24)*'Aturan &amp; Tarif'!$B$4,2)</f>
        <v>1362.72</v>
      </c>
      <c r="K412" s="32" t="n">
        <f aca="false">'Aturan &amp; Tarif'!$B$5</f>
        <v>2050</v>
      </c>
      <c r="L412" s="32" t="n">
        <f aca="false">'Aturan &amp; Tarif'!$B$6</f>
        <v>350</v>
      </c>
      <c r="M412" s="35" t="n">
        <f aca="false">I412+J412+K412+L412</f>
        <v>5662.72</v>
      </c>
      <c r="N412" s="37" t="s">
        <v>134</v>
      </c>
    </row>
    <row r="413" customFormat="false" ht="25.5" hidden="false" customHeight="true" outlineLevel="0" collapsed="false">
      <c r="A413" s="29"/>
      <c r="B413" s="30" t="s">
        <v>1603</v>
      </c>
      <c r="C413" s="31" t="s">
        <v>127</v>
      </c>
      <c r="D413" s="31" t="s">
        <v>108</v>
      </c>
      <c r="E413" s="32" t="n">
        <v>1500</v>
      </c>
      <c r="F413" s="32" t="n">
        <v>200</v>
      </c>
      <c r="G413" s="32" t="n">
        <v>200</v>
      </c>
      <c r="H413" s="33" t="n">
        <v>1</v>
      </c>
      <c r="I413" s="34" t="n">
        <f aca="false">E413*H413+N(F413)+N(G413)</f>
        <v>1900</v>
      </c>
      <c r="J413" s="32" t="n">
        <f aca="false">ROUND(IFERROR(ROUND(IF(OR(ISNUMBER(SEARCH("week",C413)),ISNUMBER(SEARCH("minggu",C413))),IFERROR(_xlfn.NUMBERVALUE(SUBSTITUTE(LEFT(TRIM(C413),FIND(" ",TRIM(C413)&amp;" ")-1),",","."),"."),LEFT(SUBSTITUTE(LEFT(TRIM(C413),FIND(" ",TRIM(C413)&amp;" ")-1),",","."),FIND("/",SUBSTITUTE(LEFT(TRIM(C413),FIND(" ",TRIM(C413)&amp;" ")-1),",","."))-1)/MID(SUBSTITUTE(LEFT(TRIM(C413),FIND(" ",TRIM(C413)&amp;" ")-1),",","."),FIND("/",SUBSTITUTE(LEFT(TRIM(C413),FIND(" ",TRIM(C413)&amp;" ")-1),",","."))+1,9))*12/52,IF(ISNUMBER(SEARCH("month",C413)),IFERROR(_xlfn.NUMBERVALUE(SUBSTITUTE(LEFT(TRIM(C413),FIND(" ",TRIM(C413)&amp;" ")-1),",","."),"."),LEFT(SUBSTITUTE(LEFT(TRIM(C413),FIND(" ",TRIM(C413)&amp;" ")-1),",","."),FIND("/",SUBSTITUTE(LEFT(TRIM(C413),FIND(" ",TRIM(C413)&amp;" ")-1),",","."))-1)/MID(SUBSTITUTE(LEFT(TRIM(C413),FIND(" ",TRIM(C413)&amp;" ")-1),",","."),FIND("/",SUBSTITUTE(LEFT(TRIM(C413),FIND(" ",TRIM(C413)&amp;" ")-1),",","."))+1,9)),IF(ISNUMBER(SEARCH("yea",C413)),IFERROR(_xlfn.NUMBERVALUE(SUBSTITUTE(LEFT(TRIM(C413),FIND(" ",TRIM(C413)&amp;" ")-1),",","."),"."),LEFT(SUBSTITUTE(LEFT(TRIM(C413),FIND(" ",TRIM(C413)&amp;" ")-1),",","."),FIND("/",SUBSTITUTE(LEFT(TRIM(C413),FIND(" ",TRIM(C413)&amp;" ")-1),",","."))-1)/MID(SUBSTITUTE(LEFT(TRIM(C413),FIND(" ",TRIM(C413)&amp;" ")-1),",","."),FIND("/",SUBSTITUTE(LEFT(TRIM(C413),FIND(" ",TRIM(C413)&amp;" ")-1),",","."))+1,9))*12,NA()))),0),36)*'Aturan &amp; Tarif'!$B$4,2)</f>
        <v>2044.08</v>
      </c>
      <c r="K413" s="32" t="n">
        <f aca="false">'Aturan &amp; Tarif'!$B$5</f>
        <v>2050</v>
      </c>
      <c r="L413" s="32" t="n">
        <f aca="false">'Aturan &amp; Tarif'!$B$6</f>
        <v>350</v>
      </c>
      <c r="M413" s="35" t="n">
        <f aca="false">I413+J413+K413+L413</f>
        <v>6344.08</v>
      </c>
      <c r="N413" s="37" t="s">
        <v>134</v>
      </c>
    </row>
    <row r="414" customFormat="false" ht="25.5" hidden="false" customHeight="true" outlineLevel="0" collapsed="false">
      <c r="A414" s="29"/>
      <c r="B414" s="30" t="s">
        <v>711</v>
      </c>
      <c r="C414" s="31" t="s">
        <v>138</v>
      </c>
      <c r="D414" s="31" t="s">
        <v>108</v>
      </c>
      <c r="E414" s="32" t="n">
        <v>2250</v>
      </c>
      <c r="F414" s="32" t="n">
        <v>500</v>
      </c>
      <c r="G414" s="32" t="n">
        <v>200</v>
      </c>
      <c r="H414" s="33" t="n">
        <v>1</v>
      </c>
      <c r="I414" s="34" t="n">
        <f aca="false">E414*H414+N(F414)+N(G414)</f>
        <v>2950</v>
      </c>
      <c r="J414" s="32" t="n">
        <f aca="false">ROUND(IFERROR(ROUND(IF(OR(ISNUMBER(SEARCH("week",C414)),ISNUMBER(SEARCH("minggu",C414))),IFERROR(_xlfn.NUMBERVALUE(SUBSTITUTE(LEFT(TRIM(C414),FIND(" ",TRIM(C414)&amp;" ")-1),",","."),"."),LEFT(SUBSTITUTE(LEFT(TRIM(C414),FIND(" ",TRIM(C414)&amp;" ")-1),",","."),FIND("/",SUBSTITUTE(LEFT(TRIM(C414),FIND(" ",TRIM(C414)&amp;" ")-1),",","."))-1)/MID(SUBSTITUTE(LEFT(TRIM(C414),FIND(" ",TRIM(C414)&amp;" ")-1),",","."),FIND("/",SUBSTITUTE(LEFT(TRIM(C414),FIND(" ",TRIM(C414)&amp;" ")-1),",","."))+1,9))*12/52,IF(ISNUMBER(SEARCH("month",C414)),IFERROR(_xlfn.NUMBERVALUE(SUBSTITUTE(LEFT(TRIM(C414),FIND(" ",TRIM(C414)&amp;" ")-1),",","."),"."),LEFT(SUBSTITUTE(LEFT(TRIM(C414),FIND(" ",TRIM(C414)&amp;" ")-1),",","."),FIND("/",SUBSTITUTE(LEFT(TRIM(C414),FIND(" ",TRIM(C414)&amp;" ")-1),",","."))-1)/MID(SUBSTITUTE(LEFT(TRIM(C414),FIND(" ",TRIM(C414)&amp;" ")-1),",","."),FIND("/",SUBSTITUTE(LEFT(TRIM(C414),FIND(" ",TRIM(C414)&amp;" ")-1),",","."))+1,9)),IF(ISNUMBER(SEARCH("yea",C414)),IFERROR(_xlfn.NUMBERVALUE(SUBSTITUTE(LEFT(TRIM(C414),FIND(" ",TRIM(C414)&amp;" ")-1),",","."),"."),LEFT(SUBSTITUTE(LEFT(TRIM(C414),FIND(" ",TRIM(C414)&amp;" ")-1),",","."),FIND("/",SUBSTITUTE(LEFT(TRIM(C414),FIND(" ",TRIM(C414)&amp;" ")-1),",","."))-1)/MID(SUBSTITUTE(LEFT(TRIM(C414),FIND(" ",TRIM(C414)&amp;" ")-1),",","."),FIND("/",SUBSTITUTE(LEFT(TRIM(C414),FIND(" ",TRIM(C414)&amp;" ")-1),",","."))+1,9))*12,NA()))),0),30)*'Aturan &amp; Tarif'!$B$4,2)</f>
        <v>1703.4</v>
      </c>
      <c r="K414" s="32" t="n">
        <f aca="false">'Aturan &amp; Tarif'!$B$5</f>
        <v>2050</v>
      </c>
      <c r="L414" s="32" t="n">
        <f aca="false">'Aturan &amp; Tarif'!$B$6</f>
        <v>350</v>
      </c>
      <c r="M414" s="35" t="n">
        <f aca="false">I414+J414+K414+L414</f>
        <v>7053.4</v>
      </c>
      <c r="N414" s="37" t="s">
        <v>134</v>
      </c>
    </row>
    <row r="415" customFormat="false" ht="37.5" hidden="false" customHeight="true" outlineLevel="0" collapsed="false">
      <c r="A415" s="29"/>
      <c r="B415" s="30" t="s">
        <v>1604</v>
      </c>
      <c r="C415" s="31" t="s">
        <v>130</v>
      </c>
      <c r="D415" s="31" t="s">
        <v>108</v>
      </c>
      <c r="E415" s="32" t="n">
        <v>3000</v>
      </c>
      <c r="F415" s="32" t="n">
        <v>300</v>
      </c>
      <c r="G415" s="32" t="n">
        <v>200</v>
      </c>
      <c r="H415" s="33" t="n">
        <v>1</v>
      </c>
      <c r="I415" s="34" t="n">
        <f aca="false">E415*H415+N(F415)+N(G415)</f>
        <v>3500</v>
      </c>
      <c r="J415" s="32" t="n">
        <f aca="false">ROUND(IFERROR(ROUND(IF(OR(ISNUMBER(SEARCH("week",C415)),ISNUMBER(SEARCH("minggu",C415))),IFERROR(_xlfn.NUMBERVALUE(SUBSTITUTE(LEFT(TRIM(C415),FIND(" ",TRIM(C415)&amp;" ")-1),",","."),"."),LEFT(SUBSTITUTE(LEFT(TRIM(C415),FIND(" ",TRIM(C415)&amp;" ")-1),",","."),FIND("/",SUBSTITUTE(LEFT(TRIM(C415),FIND(" ",TRIM(C415)&amp;" ")-1),",","."))-1)/MID(SUBSTITUTE(LEFT(TRIM(C415),FIND(" ",TRIM(C415)&amp;" ")-1),",","."),FIND("/",SUBSTITUTE(LEFT(TRIM(C415),FIND(" ",TRIM(C415)&amp;" ")-1),",","."))+1,9))*12/52,IF(ISNUMBER(SEARCH("month",C415)),IFERROR(_xlfn.NUMBERVALUE(SUBSTITUTE(LEFT(TRIM(C415),FIND(" ",TRIM(C415)&amp;" ")-1),",","."),"."),LEFT(SUBSTITUTE(LEFT(TRIM(C415),FIND(" ",TRIM(C415)&amp;" ")-1),",","."),FIND("/",SUBSTITUTE(LEFT(TRIM(C415),FIND(" ",TRIM(C415)&amp;" ")-1),",","."))-1)/MID(SUBSTITUTE(LEFT(TRIM(C415),FIND(" ",TRIM(C415)&amp;" ")-1),",","."),FIND("/",SUBSTITUTE(LEFT(TRIM(C415),FIND(" ",TRIM(C415)&amp;" ")-1),",","."))+1,9)),IF(ISNUMBER(SEARCH("yea",C415)),IFERROR(_xlfn.NUMBERVALUE(SUBSTITUTE(LEFT(TRIM(C415),FIND(" ",TRIM(C415)&amp;" ")-1),",","."),"."),LEFT(SUBSTITUTE(LEFT(TRIM(C415),FIND(" ",TRIM(C415)&amp;" ")-1),",","."),FIND("/",SUBSTITUTE(LEFT(TRIM(C415),FIND(" ",TRIM(C415)&amp;" ")-1),",","."))-1)/MID(SUBSTITUTE(LEFT(TRIM(C415),FIND(" ",TRIM(C415)&amp;" ")-1),",","."),FIND("/",SUBSTITUTE(LEFT(TRIM(C415),FIND(" ",TRIM(C415)&amp;" ")-1),",","."))+1,9))*12,NA()))),0),12)*'Aturan &amp; Tarif'!$B$4,2)</f>
        <v>681.36</v>
      </c>
      <c r="K415" s="32" t="n">
        <f aca="false">'Aturan &amp; Tarif'!$B$5</f>
        <v>2050</v>
      </c>
      <c r="L415" s="32" t="n">
        <f aca="false">'Aturan &amp; Tarif'!$B$6</f>
        <v>350</v>
      </c>
      <c r="M415" s="35" t="n">
        <f aca="false">I415+J415+K415+L415</f>
        <v>6581.36</v>
      </c>
      <c r="N415" s="36" t="s">
        <v>131</v>
      </c>
    </row>
    <row r="416" customFormat="false" ht="48.75" hidden="false" customHeight="true" outlineLevel="0" collapsed="false">
      <c r="A416" s="39" t="s">
        <v>1605</v>
      </c>
      <c r="B416" s="40" t="s">
        <v>1606</v>
      </c>
      <c r="C416" s="41" t="s">
        <v>107</v>
      </c>
      <c r="D416" s="41" t="s">
        <v>108</v>
      </c>
      <c r="E416" s="42" t="n">
        <v>3750</v>
      </c>
      <c r="F416" s="42"/>
      <c r="G416" s="42" t="n">
        <v>250</v>
      </c>
      <c r="H416" s="43" t="n">
        <v>2</v>
      </c>
      <c r="I416" s="34" t="n">
        <f aca="false">E416*H416+N(F416)+N(G416)</f>
        <v>7750</v>
      </c>
      <c r="J416" s="42" t="n">
        <f aca="false">ROUND(IFERROR(ROUND(IF(OR(ISNUMBER(SEARCH("week",C416)),ISNUMBER(SEARCH("minggu",C416))),IFERROR(_xlfn.NUMBERVALUE(SUBSTITUTE(LEFT(TRIM(C416),FIND(" ",TRIM(C416)&amp;" ")-1),",","."),"."),LEFT(SUBSTITUTE(LEFT(TRIM(C416),FIND(" ",TRIM(C416)&amp;" ")-1),",","."),FIND("/",SUBSTITUTE(LEFT(TRIM(C416),FIND(" ",TRIM(C416)&amp;" ")-1),",","."))-1)/MID(SUBSTITUTE(LEFT(TRIM(C416),FIND(" ",TRIM(C416)&amp;" ")-1),",","."),FIND("/",SUBSTITUTE(LEFT(TRIM(C416),FIND(" ",TRIM(C416)&amp;" ")-1),",","."))+1,9))*12/52,IF(ISNUMBER(SEARCH("month",C416)),IFERROR(_xlfn.NUMBERVALUE(SUBSTITUTE(LEFT(TRIM(C416),FIND(" ",TRIM(C416)&amp;" ")-1),",","."),"."),LEFT(SUBSTITUTE(LEFT(TRIM(C416),FIND(" ",TRIM(C416)&amp;" ")-1),",","."),FIND("/",SUBSTITUTE(LEFT(TRIM(C416),FIND(" ",TRIM(C416)&amp;" ")-1),",","."))-1)/MID(SUBSTITUTE(LEFT(TRIM(C416),FIND(" ",TRIM(C416)&amp;" ")-1),",","."),FIND("/",SUBSTITUTE(LEFT(TRIM(C416),FIND(" ",TRIM(C416)&amp;" ")-1),",","."))+1,9)),IF(ISNUMBER(SEARCH("yea",C416)),IFERROR(_xlfn.NUMBERVALUE(SUBSTITUTE(LEFT(TRIM(C416),FIND(" ",TRIM(C416)&amp;" ")-1),",","."),"."),LEFT(SUBSTITUTE(LEFT(TRIM(C416),FIND(" ",TRIM(C416)&amp;" ")-1),",","."),FIND("/",SUBSTITUTE(LEFT(TRIM(C416),FIND(" ",TRIM(C416)&amp;" ")-1),",","."))-1)/MID(SUBSTITUTE(LEFT(TRIM(C416),FIND(" ",TRIM(C416)&amp;" ")-1),",","."),FIND("/",SUBSTITUTE(LEFT(TRIM(C416),FIND(" ",TRIM(C416)&amp;" ")-1),",","."))+1,9))*12,NA()))),0),24)*'Aturan &amp; Tarif'!$B$4,2)</f>
        <v>1362.72</v>
      </c>
      <c r="K416" s="42" t="n">
        <f aca="false">'Aturan &amp; Tarif'!$B$5</f>
        <v>2050</v>
      </c>
      <c r="L416" s="42" t="n">
        <f aca="false">'Aturan &amp; Tarif'!$B$6</f>
        <v>350</v>
      </c>
      <c r="M416" s="35" t="n">
        <f aca="false">I416+J416+K416+L416</f>
        <v>11512.72</v>
      </c>
      <c r="N416" s="45" t="s">
        <v>1607</v>
      </c>
    </row>
    <row r="417" customFormat="false" ht="25.5" hidden="false" customHeight="true" outlineLevel="0" collapsed="false">
      <c r="A417" s="39"/>
      <c r="B417" s="40" t="s">
        <v>1608</v>
      </c>
      <c r="C417" s="41" t="s">
        <v>107</v>
      </c>
      <c r="D417" s="41" t="s">
        <v>108</v>
      </c>
      <c r="E417" s="42" t="n">
        <v>3862.5</v>
      </c>
      <c r="F417" s="42"/>
      <c r="G417" s="42" t="n">
        <v>250</v>
      </c>
      <c r="H417" s="43" t="n">
        <v>2</v>
      </c>
      <c r="I417" s="34" t="n">
        <f aca="false">E417*H417+N(F417)+N(G417)</f>
        <v>7975</v>
      </c>
      <c r="J417" s="42" t="n">
        <f aca="false">ROUND(IFERROR(ROUND(IF(OR(ISNUMBER(SEARCH("week",C417)),ISNUMBER(SEARCH("minggu",C417))),IFERROR(_xlfn.NUMBERVALUE(SUBSTITUTE(LEFT(TRIM(C417),FIND(" ",TRIM(C417)&amp;" ")-1),",","."),"."),LEFT(SUBSTITUTE(LEFT(TRIM(C417),FIND(" ",TRIM(C417)&amp;" ")-1),",","."),FIND("/",SUBSTITUTE(LEFT(TRIM(C417),FIND(" ",TRIM(C417)&amp;" ")-1),",","."))-1)/MID(SUBSTITUTE(LEFT(TRIM(C417),FIND(" ",TRIM(C417)&amp;" ")-1),",","."),FIND("/",SUBSTITUTE(LEFT(TRIM(C417),FIND(" ",TRIM(C417)&amp;" ")-1),",","."))+1,9))*12/52,IF(ISNUMBER(SEARCH("month",C417)),IFERROR(_xlfn.NUMBERVALUE(SUBSTITUTE(LEFT(TRIM(C417),FIND(" ",TRIM(C417)&amp;" ")-1),",","."),"."),LEFT(SUBSTITUTE(LEFT(TRIM(C417),FIND(" ",TRIM(C417)&amp;" ")-1),",","."),FIND("/",SUBSTITUTE(LEFT(TRIM(C417),FIND(" ",TRIM(C417)&amp;" ")-1),",","."))-1)/MID(SUBSTITUTE(LEFT(TRIM(C417),FIND(" ",TRIM(C417)&amp;" ")-1),",","."),FIND("/",SUBSTITUTE(LEFT(TRIM(C417),FIND(" ",TRIM(C417)&amp;" ")-1),",","."))+1,9)),IF(ISNUMBER(SEARCH("yea",C417)),IFERROR(_xlfn.NUMBERVALUE(SUBSTITUTE(LEFT(TRIM(C417),FIND(" ",TRIM(C417)&amp;" ")-1),",","."),"."),LEFT(SUBSTITUTE(LEFT(TRIM(C417),FIND(" ",TRIM(C417)&amp;" ")-1),",","."),FIND("/",SUBSTITUTE(LEFT(TRIM(C417),FIND(" ",TRIM(C417)&amp;" ")-1),",","."))-1)/MID(SUBSTITUTE(LEFT(TRIM(C417),FIND(" ",TRIM(C417)&amp;" ")-1),",","."),FIND("/",SUBSTITUTE(LEFT(TRIM(C417),FIND(" ",TRIM(C417)&amp;" ")-1),",","."))+1,9))*12,NA()))),0),24)*'Aturan &amp; Tarif'!$B$4,2)</f>
        <v>1362.72</v>
      </c>
      <c r="K417" s="42" t="n">
        <f aca="false">'Aturan &amp; Tarif'!$B$5</f>
        <v>2050</v>
      </c>
      <c r="L417" s="42" t="n">
        <f aca="false">'Aturan &amp; Tarif'!$B$6</f>
        <v>350</v>
      </c>
      <c r="M417" s="35" t="n">
        <f aca="false">I417+J417+K417+L417</f>
        <v>11737.72</v>
      </c>
      <c r="N417" s="45" t="s">
        <v>1609</v>
      </c>
    </row>
    <row r="418" customFormat="false" ht="25.5" hidden="false" customHeight="true" outlineLevel="0" collapsed="false">
      <c r="A418" s="39"/>
      <c r="B418" s="40" t="s">
        <v>1610</v>
      </c>
      <c r="C418" s="41" t="s">
        <v>107</v>
      </c>
      <c r="D418" s="41" t="s">
        <v>108</v>
      </c>
      <c r="E418" s="42" t="n">
        <v>3862.5</v>
      </c>
      <c r="F418" s="42"/>
      <c r="G418" s="42" t="n">
        <v>250</v>
      </c>
      <c r="H418" s="43" t="n">
        <v>2</v>
      </c>
      <c r="I418" s="34" t="n">
        <f aca="false">E418*H418+N(F418)+N(G418)</f>
        <v>7975</v>
      </c>
      <c r="J418" s="42" t="n">
        <f aca="false">ROUND(IFERROR(ROUND(IF(OR(ISNUMBER(SEARCH("week",C418)),ISNUMBER(SEARCH("minggu",C418))),IFERROR(_xlfn.NUMBERVALUE(SUBSTITUTE(LEFT(TRIM(C418),FIND(" ",TRIM(C418)&amp;" ")-1),",","."),"."),LEFT(SUBSTITUTE(LEFT(TRIM(C418),FIND(" ",TRIM(C418)&amp;" ")-1),",","."),FIND("/",SUBSTITUTE(LEFT(TRIM(C418),FIND(" ",TRIM(C418)&amp;" ")-1),",","."))-1)/MID(SUBSTITUTE(LEFT(TRIM(C418),FIND(" ",TRIM(C418)&amp;" ")-1),",","."),FIND("/",SUBSTITUTE(LEFT(TRIM(C418),FIND(" ",TRIM(C418)&amp;" ")-1),",","."))+1,9))*12/52,IF(ISNUMBER(SEARCH("month",C418)),IFERROR(_xlfn.NUMBERVALUE(SUBSTITUTE(LEFT(TRIM(C418),FIND(" ",TRIM(C418)&amp;" ")-1),",","."),"."),LEFT(SUBSTITUTE(LEFT(TRIM(C418),FIND(" ",TRIM(C418)&amp;" ")-1),",","."),FIND("/",SUBSTITUTE(LEFT(TRIM(C418),FIND(" ",TRIM(C418)&amp;" ")-1),",","."))-1)/MID(SUBSTITUTE(LEFT(TRIM(C418),FIND(" ",TRIM(C418)&amp;" ")-1),",","."),FIND("/",SUBSTITUTE(LEFT(TRIM(C418),FIND(" ",TRIM(C418)&amp;" ")-1),",","."))+1,9)),IF(ISNUMBER(SEARCH("yea",C418)),IFERROR(_xlfn.NUMBERVALUE(SUBSTITUTE(LEFT(TRIM(C418),FIND(" ",TRIM(C418)&amp;" ")-1),",","."),"."),LEFT(SUBSTITUTE(LEFT(TRIM(C418),FIND(" ",TRIM(C418)&amp;" ")-1),",","."),FIND("/",SUBSTITUTE(LEFT(TRIM(C418),FIND(" ",TRIM(C418)&amp;" ")-1),",","."))-1)/MID(SUBSTITUTE(LEFT(TRIM(C418),FIND(" ",TRIM(C418)&amp;" ")-1),",","."),FIND("/",SUBSTITUTE(LEFT(TRIM(C418),FIND(" ",TRIM(C418)&amp;" ")-1),",","."))+1,9))*12,NA()))),0),24)*'Aturan &amp; Tarif'!$B$4,2)</f>
        <v>1362.72</v>
      </c>
      <c r="K418" s="42" t="n">
        <f aca="false">'Aturan &amp; Tarif'!$B$5</f>
        <v>2050</v>
      </c>
      <c r="L418" s="42" t="n">
        <f aca="false">'Aturan &amp; Tarif'!$B$6</f>
        <v>350</v>
      </c>
      <c r="M418" s="35" t="n">
        <f aca="false">I418+J418+K418+L418</f>
        <v>11737.72</v>
      </c>
      <c r="N418" s="45" t="s">
        <v>1609</v>
      </c>
    </row>
    <row r="419" customFormat="false" ht="37.5" hidden="false" customHeight="true" outlineLevel="0" collapsed="false">
      <c r="A419" s="39"/>
      <c r="B419" s="40" t="s">
        <v>1611</v>
      </c>
      <c r="C419" s="41" t="s">
        <v>107</v>
      </c>
      <c r="D419" s="41" t="s">
        <v>108</v>
      </c>
      <c r="E419" s="42" t="n">
        <v>3862.5</v>
      </c>
      <c r="F419" s="42"/>
      <c r="G419" s="42" t="n">
        <v>250</v>
      </c>
      <c r="H419" s="43" t="n">
        <v>2</v>
      </c>
      <c r="I419" s="34" t="n">
        <f aca="false">E419*H419+N(F419)+N(G419)</f>
        <v>7975</v>
      </c>
      <c r="J419" s="42" t="n">
        <f aca="false">ROUND(IFERROR(ROUND(IF(OR(ISNUMBER(SEARCH("week",C419)),ISNUMBER(SEARCH("minggu",C419))),IFERROR(_xlfn.NUMBERVALUE(SUBSTITUTE(LEFT(TRIM(C419),FIND(" ",TRIM(C419)&amp;" ")-1),",","."),"."),LEFT(SUBSTITUTE(LEFT(TRIM(C419),FIND(" ",TRIM(C419)&amp;" ")-1),",","."),FIND("/",SUBSTITUTE(LEFT(TRIM(C419),FIND(" ",TRIM(C419)&amp;" ")-1),",","."))-1)/MID(SUBSTITUTE(LEFT(TRIM(C419),FIND(" ",TRIM(C419)&amp;" ")-1),",","."),FIND("/",SUBSTITUTE(LEFT(TRIM(C419),FIND(" ",TRIM(C419)&amp;" ")-1),",","."))+1,9))*12/52,IF(ISNUMBER(SEARCH("month",C419)),IFERROR(_xlfn.NUMBERVALUE(SUBSTITUTE(LEFT(TRIM(C419),FIND(" ",TRIM(C419)&amp;" ")-1),",","."),"."),LEFT(SUBSTITUTE(LEFT(TRIM(C419),FIND(" ",TRIM(C419)&amp;" ")-1),",","."),FIND("/",SUBSTITUTE(LEFT(TRIM(C419),FIND(" ",TRIM(C419)&amp;" ")-1),",","."))-1)/MID(SUBSTITUTE(LEFT(TRIM(C419),FIND(" ",TRIM(C419)&amp;" ")-1),",","."),FIND("/",SUBSTITUTE(LEFT(TRIM(C419),FIND(" ",TRIM(C419)&amp;" ")-1),",","."))+1,9)),IF(ISNUMBER(SEARCH("yea",C419)),IFERROR(_xlfn.NUMBERVALUE(SUBSTITUTE(LEFT(TRIM(C419),FIND(" ",TRIM(C419)&amp;" ")-1),",","."),"."),LEFT(SUBSTITUTE(LEFT(TRIM(C419),FIND(" ",TRIM(C419)&amp;" ")-1),",","."),FIND("/",SUBSTITUTE(LEFT(TRIM(C419),FIND(" ",TRIM(C419)&amp;" ")-1),",","."))-1)/MID(SUBSTITUTE(LEFT(TRIM(C419),FIND(" ",TRIM(C419)&amp;" ")-1),",","."),FIND("/",SUBSTITUTE(LEFT(TRIM(C419),FIND(" ",TRIM(C419)&amp;" ")-1),",","."))+1,9))*12,NA()))),0),24)*'Aturan &amp; Tarif'!$B$4,2)</f>
        <v>1362.72</v>
      </c>
      <c r="K419" s="42" t="n">
        <f aca="false">'Aturan &amp; Tarif'!$B$5</f>
        <v>2050</v>
      </c>
      <c r="L419" s="42" t="n">
        <f aca="false">'Aturan &amp; Tarif'!$B$6</f>
        <v>350</v>
      </c>
      <c r="M419" s="35" t="n">
        <f aca="false">I419+J419+K419+L419</f>
        <v>11737.72</v>
      </c>
      <c r="N419" s="45" t="s">
        <v>1609</v>
      </c>
    </row>
    <row r="420" customFormat="false" ht="14.25" hidden="false" customHeight="true" outlineLevel="0" collapsed="false">
      <c r="A420" s="39"/>
      <c r="B420" s="40" t="s">
        <v>335</v>
      </c>
      <c r="C420" s="41" t="s">
        <v>127</v>
      </c>
      <c r="D420" s="41" t="s">
        <v>108</v>
      </c>
      <c r="E420" s="42" t="n">
        <v>3000</v>
      </c>
      <c r="F420" s="42"/>
      <c r="G420" s="42" t="n">
        <v>250</v>
      </c>
      <c r="H420" s="43" t="n">
        <v>2</v>
      </c>
      <c r="I420" s="34" t="n">
        <f aca="false">E420*H420+N(F420)+N(G420)</f>
        <v>6250</v>
      </c>
      <c r="J420" s="42" t="n">
        <f aca="false">ROUND(IFERROR(ROUND(IF(OR(ISNUMBER(SEARCH("week",C420)),ISNUMBER(SEARCH("minggu",C420))),IFERROR(_xlfn.NUMBERVALUE(SUBSTITUTE(LEFT(TRIM(C420),FIND(" ",TRIM(C420)&amp;" ")-1),",","."),"."),LEFT(SUBSTITUTE(LEFT(TRIM(C420),FIND(" ",TRIM(C420)&amp;" ")-1),",","."),FIND("/",SUBSTITUTE(LEFT(TRIM(C420),FIND(" ",TRIM(C420)&amp;" ")-1),",","."))-1)/MID(SUBSTITUTE(LEFT(TRIM(C420),FIND(" ",TRIM(C420)&amp;" ")-1),",","."),FIND("/",SUBSTITUTE(LEFT(TRIM(C420),FIND(" ",TRIM(C420)&amp;" ")-1),",","."))+1,9))*12/52,IF(ISNUMBER(SEARCH("month",C420)),IFERROR(_xlfn.NUMBERVALUE(SUBSTITUTE(LEFT(TRIM(C420),FIND(" ",TRIM(C420)&amp;" ")-1),",","."),"."),LEFT(SUBSTITUTE(LEFT(TRIM(C420),FIND(" ",TRIM(C420)&amp;" ")-1),",","."),FIND("/",SUBSTITUTE(LEFT(TRIM(C420),FIND(" ",TRIM(C420)&amp;" ")-1),",","."))-1)/MID(SUBSTITUTE(LEFT(TRIM(C420),FIND(" ",TRIM(C420)&amp;" ")-1),",","."),FIND("/",SUBSTITUTE(LEFT(TRIM(C420),FIND(" ",TRIM(C420)&amp;" ")-1),",","."))+1,9)),IF(ISNUMBER(SEARCH("yea",C420)),IFERROR(_xlfn.NUMBERVALUE(SUBSTITUTE(LEFT(TRIM(C420),FIND(" ",TRIM(C420)&amp;" ")-1),",","."),"."),LEFT(SUBSTITUTE(LEFT(TRIM(C420),FIND(" ",TRIM(C420)&amp;" ")-1),",","."),FIND("/",SUBSTITUTE(LEFT(TRIM(C420),FIND(" ",TRIM(C420)&amp;" ")-1),",","."))-1)/MID(SUBSTITUTE(LEFT(TRIM(C420),FIND(" ",TRIM(C420)&amp;" ")-1),",","."),FIND("/",SUBSTITUTE(LEFT(TRIM(C420),FIND(" ",TRIM(C420)&amp;" ")-1),",","."))+1,9))*12,NA()))),0),36)*'Aturan &amp; Tarif'!$B$4,2)</f>
        <v>2044.08</v>
      </c>
      <c r="K420" s="42" t="n">
        <f aca="false">'Aturan &amp; Tarif'!$B$5</f>
        <v>2050</v>
      </c>
      <c r="L420" s="42" t="n">
        <f aca="false">'Aturan &amp; Tarif'!$B$6</f>
        <v>350</v>
      </c>
      <c r="M420" s="35" t="n">
        <f aca="false">I420+J420+K420+L420</f>
        <v>10694.08</v>
      </c>
      <c r="N420" s="45" t="s">
        <v>1612</v>
      </c>
    </row>
    <row r="421" customFormat="false" ht="48.75" hidden="false" customHeight="true" outlineLevel="0" collapsed="false">
      <c r="A421" s="29" t="s">
        <v>1613</v>
      </c>
      <c r="B421" s="30" t="s">
        <v>1606</v>
      </c>
      <c r="C421" s="31" t="s">
        <v>107</v>
      </c>
      <c r="D421" s="31" t="s">
        <v>108</v>
      </c>
      <c r="E421" s="32" t="n">
        <v>3750</v>
      </c>
      <c r="F421" s="32"/>
      <c r="G421" s="32" t="n">
        <v>250</v>
      </c>
      <c r="H421" s="33" t="n">
        <v>2</v>
      </c>
      <c r="I421" s="34" t="n">
        <f aca="false">E421*H421+N(F421)+N(G421)</f>
        <v>7750</v>
      </c>
      <c r="J421" s="32" t="n">
        <f aca="false">ROUND(IFERROR(ROUND(IF(OR(ISNUMBER(SEARCH("week",C421)),ISNUMBER(SEARCH("minggu",C421))),IFERROR(_xlfn.NUMBERVALUE(SUBSTITUTE(LEFT(TRIM(C421),FIND(" ",TRIM(C421)&amp;" ")-1),",","."),"."),LEFT(SUBSTITUTE(LEFT(TRIM(C421),FIND(" ",TRIM(C421)&amp;" ")-1),",","."),FIND("/",SUBSTITUTE(LEFT(TRIM(C421),FIND(" ",TRIM(C421)&amp;" ")-1),",","."))-1)/MID(SUBSTITUTE(LEFT(TRIM(C421),FIND(" ",TRIM(C421)&amp;" ")-1),",","."),FIND("/",SUBSTITUTE(LEFT(TRIM(C421),FIND(" ",TRIM(C421)&amp;" ")-1),",","."))+1,9))*12/52,IF(ISNUMBER(SEARCH("month",C421)),IFERROR(_xlfn.NUMBERVALUE(SUBSTITUTE(LEFT(TRIM(C421),FIND(" ",TRIM(C421)&amp;" ")-1),",","."),"."),LEFT(SUBSTITUTE(LEFT(TRIM(C421),FIND(" ",TRIM(C421)&amp;" ")-1),",","."),FIND("/",SUBSTITUTE(LEFT(TRIM(C421),FIND(" ",TRIM(C421)&amp;" ")-1),",","."))-1)/MID(SUBSTITUTE(LEFT(TRIM(C421),FIND(" ",TRIM(C421)&amp;" ")-1),",","."),FIND("/",SUBSTITUTE(LEFT(TRIM(C421),FIND(" ",TRIM(C421)&amp;" ")-1),",","."))+1,9)),IF(ISNUMBER(SEARCH("yea",C421)),IFERROR(_xlfn.NUMBERVALUE(SUBSTITUTE(LEFT(TRIM(C421),FIND(" ",TRIM(C421)&amp;" ")-1),",","."),"."),LEFT(SUBSTITUTE(LEFT(TRIM(C421),FIND(" ",TRIM(C421)&amp;" ")-1),",","."),FIND("/",SUBSTITUTE(LEFT(TRIM(C421),FIND(" ",TRIM(C421)&amp;" ")-1),",","."))-1)/MID(SUBSTITUTE(LEFT(TRIM(C421),FIND(" ",TRIM(C421)&amp;" ")-1),",","."),FIND("/",SUBSTITUTE(LEFT(TRIM(C421),FIND(" ",TRIM(C421)&amp;" ")-1),",","."))+1,9))*12,NA()))),0),24)*'Aturan &amp; Tarif'!$B$4,2)</f>
        <v>1362.72</v>
      </c>
      <c r="K421" s="32" t="n">
        <f aca="false">'Aturan &amp; Tarif'!$B$5</f>
        <v>2050</v>
      </c>
      <c r="L421" s="32" t="n">
        <f aca="false">'Aturan &amp; Tarif'!$B$6</f>
        <v>350</v>
      </c>
      <c r="M421" s="35" t="n">
        <f aca="false">I421+J421+K421+L421</f>
        <v>11512.72</v>
      </c>
      <c r="N421" s="37" t="s">
        <v>1614</v>
      </c>
    </row>
    <row r="422" customFormat="false" ht="25.5" hidden="false" customHeight="true" outlineLevel="0" collapsed="false">
      <c r="A422" s="29"/>
      <c r="B422" s="30" t="s">
        <v>343</v>
      </c>
      <c r="C422" s="31" t="s">
        <v>344</v>
      </c>
      <c r="D422" s="31" t="s">
        <v>108</v>
      </c>
      <c r="E422" s="32" t="n">
        <v>3500</v>
      </c>
      <c r="F422" s="32"/>
      <c r="G422" s="32" t="n">
        <v>250</v>
      </c>
      <c r="H422" s="33" t="n">
        <v>2</v>
      </c>
      <c r="I422" s="34" t="n">
        <f aca="false">E422*H422+N(F422)+N(G422)</f>
        <v>7250</v>
      </c>
      <c r="J422" s="32" t="n">
        <f aca="false">ROUND(IFERROR(ROUND(IF(OR(ISNUMBER(SEARCH("week",C422)),ISNUMBER(SEARCH("minggu",C422))),IFERROR(_xlfn.NUMBERVALUE(SUBSTITUTE(LEFT(TRIM(C422),FIND(" ",TRIM(C422)&amp;" ")-1),",","."),"."),LEFT(SUBSTITUTE(LEFT(TRIM(C422),FIND(" ",TRIM(C422)&amp;" ")-1),",","."),FIND("/",SUBSTITUTE(LEFT(TRIM(C422),FIND(" ",TRIM(C422)&amp;" ")-1),",","."))-1)/MID(SUBSTITUTE(LEFT(TRIM(C422),FIND(" ",TRIM(C422)&amp;" ")-1),",","."),FIND("/",SUBSTITUTE(LEFT(TRIM(C422),FIND(" ",TRIM(C422)&amp;" ")-1),",","."))+1,9))*12/52,IF(ISNUMBER(SEARCH("month",C422)),IFERROR(_xlfn.NUMBERVALUE(SUBSTITUTE(LEFT(TRIM(C422),FIND(" ",TRIM(C422)&amp;" ")-1),",","."),"."),LEFT(SUBSTITUTE(LEFT(TRIM(C422),FIND(" ",TRIM(C422)&amp;" ")-1),",","."),FIND("/",SUBSTITUTE(LEFT(TRIM(C422),FIND(" ",TRIM(C422)&amp;" ")-1),",","."))-1)/MID(SUBSTITUTE(LEFT(TRIM(C422),FIND(" ",TRIM(C422)&amp;" ")-1),",","."),FIND("/",SUBSTITUTE(LEFT(TRIM(C422),FIND(" ",TRIM(C422)&amp;" ")-1),",","."))+1,9)),IF(ISNUMBER(SEARCH("yea",C422)),IFERROR(_xlfn.NUMBERVALUE(SUBSTITUTE(LEFT(TRIM(C422),FIND(" ",TRIM(C422)&amp;" ")-1),",","."),"."),LEFT(SUBSTITUTE(LEFT(TRIM(C422),FIND(" ",TRIM(C422)&amp;" ")-1),",","."),FIND("/",SUBSTITUTE(LEFT(TRIM(C422),FIND(" ",TRIM(C422)&amp;" ")-1),",","."))-1)/MID(SUBSTITUTE(LEFT(TRIM(C422),FIND(" ",TRIM(C422)&amp;" ")-1),",","."),FIND("/",SUBSTITUTE(LEFT(TRIM(C422),FIND(" ",TRIM(C422)&amp;" ")-1),",","."))+1,9))*12,NA()))),0),6)*'Aturan &amp; Tarif'!$B$4,2)</f>
        <v>340.68</v>
      </c>
      <c r="K422" s="32" t="n">
        <f aca="false">'Aturan &amp; Tarif'!$B$5</f>
        <v>2050</v>
      </c>
      <c r="L422" s="32" t="n">
        <f aca="false">'Aturan &amp; Tarif'!$B$6</f>
        <v>350</v>
      </c>
      <c r="M422" s="35" t="n">
        <f aca="false">I422+J422+K422+L422</f>
        <v>9990.68</v>
      </c>
      <c r="N422" s="37" t="s">
        <v>1615</v>
      </c>
    </row>
    <row r="423" customFormat="false" ht="25.5" hidden="false" customHeight="true" outlineLevel="0" collapsed="false">
      <c r="A423" s="29"/>
      <c r="B423" s="30" t="s">
        <v>1608</v>
      </c>
      <c r="C423" s="31" t="s">
        <v>107</v>
      </c>
      <c r="D423" s="31" t="s">
        <v>108</v>
      </c>
      <c r="E423" s="32" t="n">
        <v>3862.5</v>
      </c>
      <c r="F423" s="32"/>
      <c r="G423" s="32" t="n">
        <v>250</v>
      </c>
      <c r="H423" s="33" t="n">
        <v>2</v>
      </c>
      <c r="I423" s="34" t="n">
        <f aca="false">E423*H423+N(F423)+N(G423)</f>
        <v>7975</v>
      </c>
      <c r="J423" s="32" t="n">
        <f aca="false">ROUND(IFERROR(ROUND(IF(OR(ISNUMBER(SEARCH("week",C423)),ISNUMBER(SEARCH("minggu",C423))),IFERROR(_xlfn.NUMBERVALUE(SUBSTITUTE(LEFT(TRIM(C423),FIND(" ",TRIM(C423)&amp;" ")-1),",","."),"."),LEFT(SUBSTITUTE(LEFT(TRIM(C423),FIND(" ",TRIM(C423)&amp;" ")-1),",","."),FIND("/",SUBSTITUTE(LEFT(TRIM(C423),FIND(" ",TRIM(C423)&amp;" ")-1),",","."))-1)/MID(SUBSTITUTE(LEFT(TRIM(C423),FIND(" ",TRIM(C423)&amp;" ")-1),",","."),FIND("/",SUBSTITUTE(LEFT(TRIM(C423),FIND(" ",TRIM(C423)&amp;" ")-1),",","."))+1,9))*12/52,IF(ISNUMBER(SEARCH("month",C423)),IFERROR(_xlfn.NUMBERVALUE(SUBSTITUTE(LEFT(TRIM(C423),FIND(" ",TRIM(C423)&amp;" ")-1),",","."),"."),LEFT(SUBSTITUTE(LEFT(TRIM(C423),FIND(" ",TRIM(C423)&amp;" ")-1),",","."),FIND("/",SUBSTITUTE(LEFT(TRIM(C423),FIND(" ",TRIM(C423)&amp;" ")-1),",","."))-1)/MID(SUBSTITUTE(LEFT(TRIM(C423),FIND(" ",TRIM(C423)&amp;" ")-1),",","."),FIND("/",SUBSTITUTE(LEFT(TRIM(C423),FIND(" ",TRIM(C423)&amp;" ")-1),",","."))+1,9)),IF(ISNUMBER(SEARCH("yea",C423)),IFERROR(_xlfn.NUMBERVALUE(SUBSTITUTE(LEFT(TRIM(C423),FIND(" ",TRIM(C423)&amp;" ")-1),",","."),"."),LEFT(SUBSTITUTE(LEFT(TRIM(C423),FIND(" ",TRIM(C423)&amp;" ")-1),",","."),FIND("/",SUBSTITUTE(LEFT(TRIM(C423),FIND(" ",TRIM(C423)&amp;" ")-1),",","."))-1)/MID(SUBSTITUTE(LEFT(TRIM(C423),FIND(" ",TRIM(C423)&amp;" ")-1),",","."),FIND("/",SUBSTITUTE(LEFT(TRIM(C423),FIND(" ",TRIM(C423)&amp;" ")-1),",","."))+1,9))*12,NA()))),0),24)*'Aturan &amp; Tarif'!$B$4,2)</f>
        <v>1362.72</v>
      </c>
      <c r="K423" s="32" t="n">
        <f aca="false">'Aturan &amp; Tarif'!$B$5</f>
        <v>2050</v>
      </c>
      <c r="L423" s="32" t="n">
        <f aca="false">'Aturan &amp; Tarif'!$B$6</f>
        <v>350</v>
      </c>
      <c r="M423" s="35" t="n">
        <f aca="false">I423+J423+K423+L423</f>
        <v>11737.72</v>
      </c>
      <c r="N423" s="37" t="s">
        <v>1616</v>
      </c>
    </row>
    <row r="424" customFormat="false" ht="25.5" hidden="false" customHeight="true" outlineLevel="0" collapsed="false">
      <c r="A424" s="29"/>
      <c r="B424" s="30" t="s">
        <v>1610</v>
      </c>
      <c r="C424" s="31" t="s">
        <v>107</v>
      </c>
      <c r="D424" s="31" t="s">
        <v>108</v>
      </c>
      <c r="E424" s="32" t="n">
        <v>3862.5</v>
      </c>
      <c r="F424" s="32"/>
      <c r="G424" s="32" t="n">
        <v>250</v>
      </c>
      <c r="H424" s="33" t="n">
        <v>2</v>
      </c>
      <c r="I424" s="34" t="n">
        <f aca="false">E424*H424+N(F424)+N(G424)</f>
        <v>7975</v>
      </c>
      <c r="J424" s="32" t="n">
        <f aca="false">ROUND(IFERROR(ROUND(IF(OR(ISNUMBER(SEARCH("week",C424)),ISNUMBER(SEARCH("minggu",C424))),IFERROR(_xlfn.NUMBERVALUE(SUBSTITUTE(LEFT(TRIM(C424),FIND(" ",TRIM(C424)&amp;" ")-1),",","."),"."),LEFT(SUBSTITUTE(LEFT(TRIM(C424),FIND(" ",TRIM(C424)&amp;" ")-1),",","."),FIND("/",SUBSTITUTE(LEFT(TRIM(C424),FIND(" ",TRIM(C424)&amp;" ")-1),",","."))-1)/MID(SUBSTITUTE(LEFT(TRIM(C424),FIND(" ",TRIM(C424)&amp;" ")-1),",","."),FIND("/",SUBSTITUTE(LEFT(TRIM(C424),FIND(" ",TRIM(C424)&amp;" ")-1),",","."))+1,9))*12/52,IF(ISNUMBER(SEARCH("month",C424)),IFERROR(_xlfn.NUMBERVALUE(SUBSTITUTE(LEFT(TRIM(C424),FIND(" ",TRIM(C424)&amp;" ")-1),",","."),"."),LEFT(SUBSTITUTE(LEFT(TRIM(C424),FIND(" ",TRIM(C424)&amp;" ")-1),",","."),FIND("/",SUBSTITUTE(LEFT(TRIM(C424),FIND(" ",TRIM(C424)&amp;" ")-1),",","."))-1)/MID(SUBSTITUTE(LEFT(TRIM(C424),FIND(" ",TRIM(C424)&amp;" ")-1),",","."),FIND("/",SUBSTITUTE(LEFT(TRIM(C424),FIND(" ",TRIM(C424)&amp;" ")-1),",","."))+1,9)),IF(ISNUMBER(SEARCH("yea",C424)),IFERROR(_xlfn.NUMBERVALUE(SUBSTITUTE(LEFT(TRIM(C424),FIND(" ",TRIM(C424)&amp;" ")-1),",","."),"."),LEFT(SUBSTITUTE(LEFT(TRIM(C424),FIND(" ",TRIM(C424)&amp;" ")-1),",","."),FIND("/",SUBSTITUTE(LEFT(TRIM(C424),FIND(" ",TRIM(C424)&amp;" ")-1),",","."))-1)/MID(SUBSTITUTE(LEFT(TRIM(C424),FIND(" ",TRIM(C424)&amp;" ")-1),",","."),FIND("/",SUBSTITUTE(LEFT(TRIM(C424),FIND(" ",TRIM(C424)&amp;" ")-1),",","."))+1,9))*12,NA()))),0),24)*'Aturan &amp; Tarif'!$B$4,2)</f>
        <v>1362.72</v>
      </c>
      <c r="K424" s="32" t="n">
        <f aca="false">'Aturan &amp; Tarif'!$B$5</f>
        <v>2050</v>
      </c>
      <c r="L424" s="32" t="n">
        <f aca="false">'Aturan &amp; Tarif'!$B$6</f>
        <v>350</v>
      </c>
      <c r="M424" s="35" t="n">
        <f aca="false">I424+J424+K424+L424</f>
        <v>11737.72</v>
      </c>
      <c r="N424" s="37" t="s">
        <v>1616</v>
      </c>
    </row>
    <row r="425" customFormat="false" ht="37.5" hidden="false" customHeight="true" outlineLevel="0" collapsed="false">
      <c r="A425" s="29"/>
      <c r="B425" s="30" t="s">
        <v>1611</v>
      </c>
      <c r="C425" s="31" t="s">
        <v>107</v>
      </c>
      <c r="D425" s="31" t="s">
        <v>108</v>
      </c>
      <c r="E425" s="32" t="n">
        <v>3862.5</v>
      </c>
      <c r="F425" s="32"/>
      <c r="G425" s="32" t="n">
        <v>250</v>
      </c>
      <c r="H425" s="33" t="n">
        <v>2</v>
      </c>
      <c r="I425" s="34" t="n">
        <f aca="false">E425*H425+N(F425)+N(G425)</f>
        <v>7975</v>
      </c>
      <c r="J425" s="32" t="n">
        <f aca="false">ROUND(IFERROR(ROUND(IF(OR(ISNUMBER(SEARCH("week",C425)),ISNUMBER(SEARCH("minggu",C425))),IFERROR(_xlfn.NUMBERVALUE(SUBSTITUTE(LEFT(TRIM(C425),FIND(" ",TRIM(C425)&amp;" ")-1),",","."),"."),LEFT(SUBSTITUTE(LEFT(TRIM(C425),FIND(" ",TRIM(C425)&amp;" ")-1),",","."),FIND("/",SUBSTITUTE(LEFT(TRIM(C425),FIND(" ",TRIM(C425)&amp;" ")-1),",","."))-1)/MID(SUBSTITUTE(LEFT(TRIM(C425),FIND(" ",TRIM(C425)&amp;" ")-1),",","."),FIND("/",SUBSTITUTE(LEFT(TRIM(C425),FIND(" ",TRIM(C425)&amp;" ")-1),",","."))+1,9))*12/52,IF(ISNUMBER(SEARCH("month",C425)),IFERROR(_xlfn.NUMBERVALUE(SUBSTITUTE(LEFT(TRIM(C425),FIND(" ",TRIM(C425)&amp;" ")-1),",","."),"."),LEFT(SUBSTITUTE(LEFT(TRIM(C425),FIND(" ",TRIM(C425)&amp;" ")-1),",","."),FIND("/",SUBSTITUTE(LEFT(TRIM(C425),FIND(" ",TRIM(C425)&amp;" ")-1),",","."))-1)/MID(SUBSTITUTE(LEFT(TRIM(C425),FIND(" ",TRIM(C425)&amp;" ")-1),",","."),FIND("/",SUBSTITUTE(LEFT(TRIM(C425),FIND(" ",TRIM(C425)&amp;" ")-1),",","."))+1,9)),IF(ISNUMBER(SEARCH("yea",C425)),IFERROR(_xlfn.NUMBERVALUE(SUBSTITUTE(LEFT(TRIM(C425),FIND(" ",TRIM(C425)&amp;" ")-1),",","."),"."),LEFT(SUBSTITUTE(LEFT(TRIM(C425),FIND(" ",TRIM(C425)&amp;" ")-1),",","."),FIND("/",SUBSTITUTE(LEFT(TRIM(C425),FIND(" ",TRIM(C425)&amp;" ")-1),",","."))-1)/MID(SUBSTITUTE(LEFT(TRIM(C425),FIND(" ",TRIM(C425)&amp;" ")-1),",","."),FIND("/",SUBSTITUTE(LEFT(TRIM(C425),FIND(" ",TRIM(C425)&amp;" ")-1),",","."))+1,9))*12,NA()))),0),24)*'Aturan &amp; Tarif'!$B$4,2)</f>
        <v>1362.72</v>
      </c>
      <c r="K425" s="32" t="n">
        <f aca="false">'Aturan &amp; Tarif'!$B$5</f>
        <v>2050</v>
      </c>
      <c r="L425" s="32" t="n">
        <f aca="false">'Aturan &amp; Tarif'!$B$6</f>
        <v>350</v>
      </c>
      <c r="M425" s="35" t="n">
        <f aca="false">I425+J425+K425+L425</f>
        <v>11737.72</v>
      </c>
      <c r="N425" s="37" t="s">
        <v>1616</v>
      </c>
    </row>
    <row r="426" customFormat="false" ht="14.25" hidden="false" customHeight="true" outlineLevel="0" collapsed="false">
      <c r="A426" s="29"/>
      <c r="B426" s="30" t="s">
        <v>335</v>
      </c>
      <c r="C426" s="31" t="s">
        <v>127</v>
      </c>
      <c r="D426" s="31" t="s">
        <v>108</v>
      </c>
      <c r="E426" s="32" t="n">
        <v>3000</v>
      </c>
      <c r="F426" s="32"/>
      <c r="G426" s="32" t="n">
        <v>250</v>
      </c>
      <c r="H426" s="33" t="n">
        <v>2</v>
      </c>
      <c r="I426" s="34" t="n">
        <f aca="false">E426*H426+N(F426)+N(G426)</f>
        <v>6250</v>
      </c>
      <c r="J426" s="32" t="n">
        <f aca="false">ROUND(IFERROR(ROUND(IF(OR(ISNUMBER(SEARCH("week",C426)),ISNUMBER(SEARCH("minggu",C426))),IFERROR(_xlfn.NUMBERVALUE(SUBSTITUTE(LEFT(TRIM(C426),FIND(" ",TRIM(C426)&amp;" ")-1),",","."),"."),LEFT(SUBSTITUTE(LEFT(TRIM(C426),FIND(" ",TRIM(C426)&amp;" ")-1),",","."),FIND("/",SUBSTITUTE(LEFT(TRIM(C426),FIND(" ",TRIM(C426)&amp;" ")-1),",","."))-1)/MID(SUBSTITUTE(LEFT(TRIM(C426),FIND(" ",TRIM(C426)&amp;" ")-1),",","."),FIND("/",SUBSTITUTE(LEFT(TRIM(C426),FIND(" ",TRIM(C426)&amp;" ")-1),",","."))+1,9))*12/52,IF(ISNUMBER(SEARCH("month",C426)),IFERROR(_xlfn.NUMBERVALUE(SUBSTITUTE(LEFT(TRIM(C426),FIND(" ",TRIM(C426)&amp;" ")-1),",","."),"."),LEFT(SUBSTITUTE(LEFT(TRIM(C426),FIND(" ",TRIM(C426)&amp;" ")-1),",","."),FIND("/",SUBSTITUTE(LEFT(TRIM(C426),FIND(" ",TRIM(C426)&amp;" ")-1),",","."))-1)/MID(SUBSTITUTE(LEFT(TRIM(C426),FIND(" ",TRIM(C426)&amp;" ")-1),",","."),FIND("/",SUBSTITUTE(LEFT(TRIM(C426),FIND(" ",TRIM(C426)&amp;" ")-1),",","."))+1,9)),IF(ISNUMBER(SEARCH("yea",C426)),IFERROR(_xlfn.NUMBERVALUE(SUBSTITUTE(LEFT(TRIM(C426),FIND(" ",TRIM(C426)&amp;" ")-1),",","."),"."),LEFT(SUBSTITUTE(LEFT(TRIM(C426),FIND(" ",TRIM(C426)&amp;" ")-1),",","."),FIND("/",SUBSTITUTE(LEFT(TRIM(C426),FIND(" ",TRIM(C426)&amp;" ")-1),",","."))-1)/MID(SUBSTITUTE(LEFT(TRIM(C426),FIND(" ",TRIM(C426)&amp;" ")-1),",","."),FIND("/",SUBSTITUTE(LEFT(TRIM(C426),FIND(" ",TRIM(C426)&amp;" ")-1),",","."))+1,9))*12,NA()))),0),36)*'Aturan &amp; Tarif'!$B$4,2)</f>
        <v>2044.08</v>
      </c>
      <c r="K426" s="32" t="n">
        <f aca="false">'Aturan &amp; Tarif'!$B$5</f>
        <v>2050</v>
      </c>
      <c r="L426" s="32" t="n">
        <f aca="false">'Aturan &amp; Tarif'!$B$6</f>
        <v>350</v>
      </c>
      <c r="M426" s="35" t="n">
        <f aca="false">I426+J426+K426+L426</f>
        <v>10694.08</v>
      </c>
      <c r="N426" s="37" t="s">
        <v>1617</v>
      </c>
    </row>
    <row r="427" customFormat="false" ht="37.5" hidden="false" customHeight="true" outlineLevel="0" collapsed="false">
      <c r="A427" s="29" t="s">
        <v>1618</v>
      </c>
      <c r="B427" s="30" t="s">
        <v>1619</v>
      </c>
      <c r="C427" s="31" t="s">
        <v>138</v>
      </c>
      <c r="D427" s="31" t="s">
        <v>108</v>
      </c>
      <c r="E427" s="32" t="n">
        <v>2900</v>
      </c>
      <c r="F427" s="32" t="n">
        <v>800</v>
      </c>
      <c r="G427" s="32" t="n">
        <v>300</v>
      </c>
      <c r="H427" s="33" t="n">
        <v>1</v>
      </c>
      <c r="I427" s="34" t="n">
        <f aca="false">E427*H427+N(F427)+N(G427)</f>
        <v>4000</v>
      </c>
      <c r="J427" s="32" t="n">
        <f aca="false">ROUND(IFERROR(ROUND(IF(OR(ISNUMBER(SEARCH("week",C427)),ISNUMBER(SEARCH("minggu",C427))),IFERROR(_xlfn.NUMBERVALUE(SUBSTITUTE(LEFT(TRIM(C427),FIND(" ",TRIM(C427)&amp;" ")-1),",","."),"."),LEFT(SUBSTITUTE(LEFT(TRIM(C427),FIND(" ",TRIM(C427)&amp;" ")-1),",","."),FIND("/",SUBSTITUTE(LEFT(TRIM(C427),FIND(" ",TRIM(C427)&amp;" ")-1),",","."))-1)/MID(SUBSTITUTE(LEFT(TRIM(C427),FIND(" ",TRIM(C427)&amp;" ")-1),",","."),FIND("/",SUBSTITUTE(LEFT(TRIM(C427),FIND(" ",TRIM(C427)&amp;" ")-1),",","."))+1,9))*12/52,IF(ISNUMBER(SEARCH("month",C427)),IFERROR(_xlfn.NUMBERVALUE(SUBSTITUTE(LEFT(TRIM(C427),FIND(" ",TRIM(C427)&amp;" ")-1),",","."),"."),LEFT(SUBSTITUTE(LEFT(TRIM(C427),FIND(" ",TRIM(C427)&amp;" ")-1),",","."),FIND("/",SUBSTITUTE(LEFT(TRIM(C427),FIND(" ",TRIM(C427)&amp;" ")-1),",","."))-1)/MID(SUBSTITUTE(LEFT(TRIM(C427),FIND(" ",TRIM(C427)&amp;" ")-1),",","."),FIND("/",SUBSTITUTE(LEFT(TRIM(C427),FIND(" ",TRIM(C427)&amp;" ")-1),",","."))+1,9)),IF(ISNUMBER(SEARCH("yea",C427)),IFERROR(_xlfn.NUMBERVALUE(SUBSTITUTE(LEFT(TRIM(C427),FIND(" ",TRIM(C427)&amp;" ")-1),",","."),"."),LEFT(SUBSTITUTE(LEFT(TRIM(C427),FIND(" ",TRIM(C427)&amp;" ")-1),",","."),FIND("/",SUBSTITUTE(LEFT(TRIM(C427),FIND(" ",TRIM(C427)&amp;" ")-1),",","."))-1)/MID(SUBSTITUTE(LEFT(TRIM(C427),FIND(" ",TRIM(C427)&amp;" ")-1),",","."),FIND("/",SUBSTITUTE(LEFT(TRIM(C427),FIND(" ",TRIM(C427)&amp;" ")-1),",","."))+1,9))*12,NA()))),0),30)*'Aturan &amp; Tarif'!$B$4,2)</f>
        <v>1703.4</v>
      </c>
      <c r="K427" s="32" t="n">
        <f aca="false">'Aturan &amp; Tarif'!$B$5</f>
        <v>2050</v>
      </c>
      <c r="L427" s="32" t="n">
        <f aca="false">'Aturan &amp; Tarif'!$B$6</f>
        <v>350</v>
      </c>
      <c r="M427" s="35" t="n">
        <f aca="false">I427+J427+K427+L427</f>
        <v>8103.4</v>
      </c>
      <c r="N427" s="36" t="s">
        <v>1620</v>
      </c>
    </row>
    <row r="428" customFormat="false" ht="37.5" hidden="false" customHeight="true" outlineLevel="0" collapsed="false">
      <c r="A428" s="29"/>
      <c r="B428" s="30" t="s">
        <v>1621</v>
      </c>
      <c r="C428" s="31" t="s">
        <v>138</v>
      </c>
      <c r="D428" s="31" t="s">
        <v>108</v>
      </c>
      <c r="E428" s="32" t="n">
        <v>2900</v>
      </c>
      <c r="F428" s="32" t="n">
        <v>800</v>
      </c>
      <c r="G428" s="32" t="n">
        <v>300</v>
      </c>
      <c r="H428" s="33" t="n">
        <v>1</v>
      </c>
      <c r="I428" s="34" t="n">
        <f aca="false">E428*H428+N(F428)+N(G428)</f>
        <v>4000</v>
      </c>
      <c r="J428" s="32" t="n">
        <f aca="false">ROUND(IFERROR(ROUND(IF(OR(ISNUMBER(SEARCH("week",C428)),ISNUMBER(SEARCH("minggu",C428))),IFERROR(_xlfn.NUMBERVALUE(SUBSTITUTE(LEFT(TRIM(C428),FIND(" ",TRIM(C428)&amp;" ")-1),",","."),"."),LEFT(SUBSTITUTE(LEFT(TRIM(C428),FIND(" ",TRIM(C428)&amp;" ")-1),",","."),FIND("/",SUBSTITUTE(LEFT(TRIM(C428),FIND(" ",TRIM(C428)&amp;" ")-1),",","."))-1)/MID(SUBSTITUTE(LEFT(TRIM(C428),FIND(" ",TRIM(C428)&amp;" ")-1),",","."),FIND("/",SUBSTITUTE(LEFT(TRIM(C428),FIND(" ",TRIM(C428)&amp;" ")-1),",","."))+1,9))*12/52,IF(ISNUMBER(SEARCH("month",C428)),IFERROR(_xlfn.NUMBERVALUE(SUBSTITUTE(LEFT(TRIM(C428),FIND(" ",TRIM(C428)&amp;" ")-1),",","."),"."),LEFT(SUBSTITUTE(LEFT(TRIM(C428),FIND(" ",TRIM(C428)&amp;" ")-1),",","."),FIND("/",SUBSTITUTE(LEFT(TRIM(C428),FIND(" ",TRIM(C428)&amp;" ")-1),",","."))-1)/MID(SUBSTITUTE(LEFT(TRIM(C428),FIND(" ",TRIM(C428)&amp;" ")-1),",","."),FIND("/",SUBSTITUTE(LEFT(TRIM(C428),FIND(" ",TRIM(C428)&amp;" ")-1),",","."))+1,9)),IF(ISNUMBER(SEARCH("yea",C428)),IFERROR(_xlfn.NUMBERVALUE(SUBSTITUTE(LEFT(TRIM(C428),FIND(" ",TRIM(C428)&amp;" ")-1),",","."),"."),LEFT(SUBSTITUTE(LEFT(TRIM(C428),FIND(" ",TRIM(C428)&amp;" ")-1),",","."),FIND("/",SUBSTITUTE(LEFT(TRIM(C428),FIND(" ",TRIM(C428)&amp;" ")-1),",","."))-1)/MID(SUBSTITUTE(LEFT(TRIM(C428),FIND(" ",TRIM(C428)&amp;" ")-1),",","."),FIND("/",SUBSTITUTE(LEFT(TRIM(C428),FIND(" ",TRIM(C428)&amp;" ")-1),",","."))+1,9))*12,NA()))),0),30)*'Aturan &amp; Tarif'!$B$4,2)</f>
        <v>1703.4</v>
      </c>
      <c r="K428" s="32" t="n">
        <f aca="false">'Aturan &amp; Tarif'!$B$5</f>
        <v>2050</v>
      </c>
      <c r="L428" s="32" t="n">
        <f aca="false">'Aturan &amp; Tarif'!$B$6</f>
        <v>350</v>
      </c>
      <c r="M428" s="35" t="n">
        <f aca="false">I428+J428+K428+L428</f>
        <v>8103.4</v>
      </c>
      <c r="N428" s="36" t="s">
        <v>1620</v>
      </c>
    </row>
    <row r="429" customFormat="false" ht="37.5" hidden="false" customHeight="true" outlineLevel="0" collapsed="false">
      <c r="A429" s="29"/>
      <c r="B429" s="30" t="s">
        <v>1622</v>
      </c>
      <c r="C429" s="31" t="s">
        <v>138</v>
      </c>
      <c r="D429" s="31" t="s">
        <v>108</v>
      </c>
      <c r="E429" s="32" t="n">
        <v>3950</v>
      </c>
      <c r="F429" s="32" t="n">
        <v>800</v>
      </c>
      <c r="G429" s="32" t="n">
        <v>300</v>
      </c>
      <c r="H429" s="33" t="n">
        <v>1</v>
      </c>
      <c r="I429" s="34" t="n">
        <f aca="false">E429*H429+N(F429)+N(G429)</f>
        <v>5050</v>
      </c>
      <c r="J429" s="32" t="n">
        <f aca="false">ROUND(IFERROR(ROUND(IF(OR(ISNUMBER(SEARCH("week",C429)),ISNUMBER(SEARCH("minggu",C429))),IFERROR(_xlfn.NUMBERVALUE(SUBSTITUTE(LEFT(TRIM(C429),FIND(" ",TRIM(C429)&amp;" ")-1),",","."),"."),LEFT(SUBSTITUTE(LEFT(TRIM(C429),FIND(" ",TRIM(C429)&amp;" ")-1),",","."),FIND("/",SUBSTITUTE(LEFT(TRIM(C429),FIND(" ",TRIM(C429)&amp;" ")-1),",","."))-1)/MID(SUBSTITUTE(LEFT(TRIM(C429),FIND(" ",TRIM(C429)&amp;" ")-1),",","."),FIND("/",SUBSTITUTE(LEFT(TRIM(C429),FIND(" ",TRIM(C429)&amp;" ")-1),",","."))+1,9))*12/52,IF(ISNUMBER(SEARCH("month",C429)),IFERROR(_xlfn.NUMBERVALUE(SUBSTITUTE(LEFT(TRIM(C429),FIND(" ",TRIM(C429)&amp;" ")-1),",","."),"."),LEFT(SUBSTITUTE(LEFT(TRIM(C429),FIND(" ",TRIM(C429)&amp;" ")-1),",","."),FIND("/",SUBSTITUTE(LEFT(TRIM(C429),FIND(" ",TRIM(C429)&amp;" ")-1),",","."))-1)/MID(SUBSTITUTE(LEFT(TRIM(C429),FIND(" ",TRIM(C429)&amp;" ")-1),",","."),FIND("/",SUBSTITUTE(LEFT(TRIM(C429),FIND(" ",TRIM(C429)&amp;" ")-1),",","."))+1,9)),IF(ISNUMBER(SEARCH("yea",C429)),IFERROR(_xlfn.NUMBERVALUE(SUBSTITUTE(LEFT(TRIM(C429),FIND(" ",TRIM(C429)&amp;" ")-1),",","."),"."),LEFT(SUBSTITUTE(LEFT(TRIM(C429),FIND(" ",TRIM(C429)&amp;" ")-1),",","."),FIND("/",SUBSTITUTE(LEFT(TRIM(C429),FIND(" ",TRIM(C429)&amp;" ")-1),",","."))-1)/MID(SUBSTITUTE(LEFT(TRIM(C429),FIND(" ",TRIM(C429)&amp;" ")-1),",","."),FIND("/",SUBSTITUTE(LEFT(TRIM(C429),FIND(" ",TRIM(C429)&amp;" ")-1),",","."))+1,9))*12,NA()))),0),30)*'Aturan &amp; Tarif'!$B$4,2)</f>
        <v>1703.4</v>
      </c>
      <c r="K429" s="32" t="n">
        <f aca="false">'Aturan &amp; Tarif'!$B$5</f>
        <v>2050</v>
      </c>
      <c r="L429" s="32" t="n">
        <f aca="false">'Aturan &amp; Tarif'!$B$6</f>
        <v>350</v>
      </c>
      <c r="M429" s="35" t="n">
        <f aca="false">I429+J429+K429+L429</f>
        <v>9153.4</v>
      </c>
      <c r="N429" s="36" t="s">
        <v>1620</v>
      </c>
    </row>
    <row r="430" customFormat="false" ht="14.25" hidden="false" customHeight="true" outlineLevel="0" collapsed="false">
      <c r="A430" s="29"/>
      <c r="B430" s="30" t="s">
        <v>1623</v>
      </c>
      <c r="C430" s="31" t="s">
        <v>107</v>
      </c>
      <c r="D430" s="31" t="s">
        <v>108</v>
      </c>
      <c r="E430" s="32" t="n">
        <v>2200</v>
      </c>
      <c r="F430" s="32" t="n">
        <v>350</v>
      </c>
      <c r="G430" s="32" t="n">
        <v>300</v>
      </c>
      <c r="H430" s="33" t="n">
        <v>1</v>
      </c>
      <c r="I430" s="34" t="n">
        <f aca="false">E430*H430+N(F430)+N(G430)</f>
        <v>2850</v>
      </c>
      <c r="J430" s="32" t="n">
        <f aca="false">ROUND(IFERROR(ROUND(IF(OR(ISNUMBER(SEARCH("week",C430)),ISNUMBER(SEARCH("minggu",C430))),IFERROR(_xlfn.NUMBERVALUE(SUBSTITUTE(LEFT(TRIM(C430),FIND(" ",TRIM(C430)&amp;" ")-1),",","."),"."),LEFT(SUBSTITUTE(LEFT(TRIM(C430),FIND(" ",TRIM(C430)&amp;" ")-1),",","."),FIND("/",SUBSTITUTE(LEFT(TRIM(C430),FIND(" ",TRIM(C430)&amp;" ")-1),",","."))-1)/MID(SUBSTITUTE(LEFT(TRIM(C430),FIND(" ",TRIM(C430)&amp;" ")-1),",","."),FIND("/",SUBSTITUTE(LEFT(TRIM(C430),FIND(" ",TRIM(C430)&amp;" ")-1),",","."))+1,9))*12/52,IF(ISNUMBER(SEARCH("month",C430)),IFERROR(_xlfn.NUMBERVALUE(SUBSTITUTE(LEFT(TRIM(C430),FIND(" ",TRIM(C430)&amp;" ")-1),",","."),"."),LEFT(SUBSTITUTE(LEFT(TRIM(C430),FIND(" ",TRIM(C430)&amp;" ")-1),",","."),FIND("/",SUBSTITUTE(LEFT(TRIM(C430),FIND(" ",TRIM(C430)&amp;" ")-1),",","."))-1)/MID(SUBSTITUTE(LEFT(TRIM(C430),FIND(" ",TRIM(C430)&amp;" ")-1),",","."),FIND("/",SUBSTITUTE(LEFT(TRIM(C430),FIND(" ",TRIM(C430)&amp;" ")-1),",","."))+1,9)),IF(ISNUMBER(SEARCH("yea",C430)),IFERROR(_xlfn.NUMBERVALUE(SUBSTITUTE(LEFT(TRIM(C430),FIND(" ",TRIM(C430)&amp;" ")-1),",","."),"."),LEFT(SUBSTITUTE(LEFT(TRIM(C430),FIND(" ",TRIM(C430)&amp;" ")-1),",","."),FIND("/",SUBSTITUTE(LEFT(TRIM(C430),FIND(" ",TRIM(C430)&amp;" ")-1),",","."))-1)/MID(SUBSTITUTE(LEFT(TRIM(C430),FIND(" ",TRIM(C430)&amp;" ")-1),",","."),FIND("/",SUBSTITUTE(LEFT(TRIM(C430),FIND(" ",TRIM(C430)&amp;" ")-1),",","."))+1,9))*12,NA()))),0),24)*'Aturan &amp; Tarif'!$B$4,2)</f>
        <v>1362.72</v>
      </c>
      <c r="K430" s="32" t="n">
        <f aca="false">'Aturan &amp; Tarif'!$B$5</f>
        <v>2050</v>
      </c>
      <c r="L430" s="32" t="n">
        <f aca="false">'Aturan &amp; Tarif'!$B$6</f>
        <v>350</v>
      </c>
      <c r="M430" s="35" t="n">
        <f aca="false">I430+J430+K430+L430</f>
        <v>6612.72</v>
      </c>
      <c r="N430" s="37" t="s">
        <v>1624</v>
      </c>
    </row>
    <row r="431" customFormat="false" ht="37.5" hidden="false" customHeight="true" outlineLevel="0" collapsed="false">
      <c r="A431" s="39" t="s">
        <v>1625</v>
      </c>
      <c r="B431" s="40" t="s">
        <v>1626</v>
      </c>
      <c r="C431" s="41" t="s">
        <v>486</v>
      </c>
      <c r="D431" s="41" t="s">
        <v>108</v>
      </c>
      <c r="E431" s="42" t="n">
        <v>1250</v>
      </c>
      <c r="F431" s="42" t="n">
        <v>120</v>
      </c>
      <c r="G431" s="42" t="n">
        <v>260</v>
      </c>
      <c r="H431" s="43" t="n">
        <v>2</v>
      </c>
      <c r="I431" s="34" t="n">
        <f aca="false">E431*H431+N(F431)+N(G431)</f>
        <v>2880</v>
      </c>
      <c r="J431" s="42" t="n">
        <f aca="false">ROUND(IFERROR(ROUND(IF(OR(ISNUMBER(SEARCH("week",C431)),ISNUMBER(SEARCH("minggu",C431))),IFERROR(_xlfn.NUMBERVALUE(SUBSTITUTE(LEFT(TRIM(C431),FIND(" ",TRIM(C431)&amp;" ")-1),",","."),"."),LEFT(SUBSTITUTE(LEFT(TRIM(C431),FIND(" ",TRIM(C431)&amp;" ")-1),",","."),FIND("/",SUBSTITUTE(LEFT(TRIM(C431),FIND(" ",TRIM(C431)&amp;" ")-1),",","."))-1)/MID(SUBSTITUTE(LEFT(TRIM(C431),FIND(" ",TRIM(C431)&amp;" ")-1),",","."),FIND("/",SUBSTITUTE(LEFT(TRIM(C431),FIND(" ",TRIM(C431)&amp;" ")-1),",","."))+1,9))*12/52,IF(ISNUMBER(SEARCH("month",C431)),IFERROR(_xlfn.NUMBERVALUE(SUBSTITUTE(LEFT(TRIM(C431),FIND(" ",TRIM(C431)&amp;" ")-1),",","."),"."),LEFT(SUBSTITUTE(LEFT(TRIM(C431),FIND(" ",TRIM(C431)&amp;" ")-1),",","."),FIND("/",SUBSTITUTE(LEFT(TRIM(C431),FIND(" ",TRIM(C431)&amp;" ")-1),",","."))-1)/MID(SUBSTITUTE(LEFT(TRIM(C431),FIND(" ",TRIM(C431)&amp;" ")-1),",","."),FIND("/",SUBSTITUTE(LEFT(TRIM(C431),FIND(" ",TRIM(C431)&amp;" ")-1),",","."))+1,9)),IF(ISNUMBER(SEARCH("yea",C431)),IFERROR(_xlfn.NUMBERVALUE(SUBSTITUTE(LEFT(TRIM(C431),FIND(" ",TRIM(C431)&amp;" ")-1),",","."),"."),LEFT(SUBSTITUTE(LEFT(TRIM(C431),FIND(" ",TRIM(C431)&amp;" ")-1),",","."),FIND("/",SUBSTITUTE(LEFT(TRIM(C431),FIND(" ",TRIM(C431)&amp;" ")-1),",","."))-1)/MID(SUBSTITUTE(LEFT(TRIM(C431),FIND(" ",TRIM(C431)&amp;" ")-1),",","."),FIND("/",SUBSTITUTE(LEFT(TRIM(C431),FIND(" ",TRIM(C431)&amp;" ")-1),",","."))+1,9))*12,NA()))),0),12)*'Aturan &amp; Tarif'!$B$4,2)</f>
        <v>681.36</v>
      </c>
      <c r="K431" s="42" t="n">
        <f aca="false">'Aturan &amp; Tarif'!$B$5</f>
        <v>2050</v>
      </c>
      <c r="L431" s="42" t="n">
        <f aca="false">'Aturan &amp; Tarif'!$B$6</f>
        <v>350</v>
      </c>
      <c r="M431" s="35" t="n">
        <f aca="false">I431+J431+K431+L431</f>
        <v>5961.36</v>
      </c>
      <c r="N431" s="45" t="s">
        <v>923</v>
      </c>
    </row>
    <row r="432" customFormat="false" ht="37.5" hidden="false" customHeight="true" outlineLevel="0" collapsed="false">
      <c r="A432" s="39"/>
      <c r="B432" s="40" t="s">
        <v>1627</v>
      </c>
      <c r="C432" s="41" t="s">
        <v>1628</v>
      </c>
      <c r="D432" s="41" t="s">
        <v>108</v>
      </c>
      <c r="E432" s="42" t="n">
        <v>1250</v>
      </c>
      <c r="F432" s="42" t="n">
        <v>120</v>
      </c>
      <c r="G432" s="42" t="n">
        <v>260</v>
      </c>
      <c r="H432" s="43" t="n">
        <v>2</v>
      </c>
      <c r="I432" s="34" t="n">
        <f aca="false">E432*H432+N(F432)+N(G432)</f>
        <v>2880</v>
      </c>
      <c r="J432" s="42" t="n">
        <f aca="false">ROUND(IFERROR(ROUND(IF(OR(ISNUMBER(SEARCH("week",C432)),ISNUMBER(SEARCH("minggu",C432))),IFERROR(_xlfn.NUMBERVALUE(SUBSTITUTE(LEFT(TRIM(C432),FIND(" ",TRIM(C432)&amp;" ")-1),",","."),"."),LEFT(SUBSTITUTE(LEFT(TRIM(C432),FIND(" ",TRIM(C432)&amp;" ")-1),",","."),FIND("/",SUBSTITUTE(LEFT(TRIM(C432),FIND(" ",TRIM(C432)&amp;" ")-1),",","."))-1)/MID(SUBSTITUTE(LEFT(TRIM(C432),FIND(" ",TRIM(C432)&amp;" ")-1),",","."),FIND("/",SUBSTITUTE(LEFT(TRIM(C432),FIND(" ",TRIM(C432)&amp;" ")-1),",","."))+1,9))*12/52,IF(ISNUMBER(SEARCH("month",C432)),IFERROR(_xlfn.NUMBERVALUE(SUBSTITUTE(LEFT(TRIM(C432),FIND(" ",TRIM(C432)&amp;" ")-1),",","."),"."),LEFT(SUBSTITUTE(LEFT(TRIM(C432),FIND(" ",TRIM(C432)&amp;" ")-1),",","."),FIND("/",SUBSTITUTE(LEFT(TRIM(C432),FIND(" ",TRIM(C432)&amp;" ")-1),",","."))-1)/MID(SUBSTITUTE(LEFT(TRIM(C432),FIND(" ",TRIM(C432)&amp;" ")-1),",","."),FIND("/",SUBSTITUTE(LEFT(TRIM(C432),FIND(" ",TRIM(C432)&amp;" ")-1),",","."))+1,9)),IF(ISNUMBER(SEARCH("yea",C432)),IFERROR(_xlfn.NUMBERVALUE(SUBSTITUTE(LEFT(TRIM(C432),FIND(" ",TRIM(C432)&amp;" ")-1),",","."),"."),LEFT(SUBSTITUTE(LEFT(TRIM(C432),FIND(" ",TRIM(C432)&amp;" ")-1),",","."),FIND("/",SUBSTITUTE(LEFT(TRIM(C432),FIND(" ",TRIM(C432)&amp;" ")-1),",","."))-1)/MID(SUBSTITUTE(LEFT(TRIM(C432),FIND(" ",TRIM(C432)&amp;" ")-1),",","."),FIND("/",SUBSTITUTE(LEFT(TRIM(C432),FIND(" ",TRIM(C432)&amp;" ")-1),",","."))+1,9))*12,NA()))),0),28)*'Aturan &amp; Tarif'!$B$4,2)</f>
        <v>1589.84</v>
      </c>
      <c r="K432" s="42" t="n">
        <f aca="false">'Aturan &amp; Tarif'!$B$5</f>
        <v>2050</v>
      </c>
      <c r="L432" s="42" t="n">
        <f aca="false">'Aturan &amp; Tarif'!$B$6</f>
        <v>350</v>
      </c>
      <c r="M432" s="35" t="n">
        <f aca="false">I432+J432+K432+L432</f>
        <v>6869.84</v>
      </c>
      <c r="N432" s="44" t="s">
        <v>1629</v>
      </c>
    </row>
    <row r="433" customFormat="false" ht="25.5" hidden="false" customHeight="true" outlineLevel="0" collapsed="false">
      <c r="A433" s="39"/>
      <c r="B433" s="40" t="s">
        <v>711</v>
      </c>
      <c r="C433" s="41" t="s">
        <v>712</v>
      </c>
      <c r="D433" s="41" t="s">
        <v>108</v>
      </c>
      <c r="E433" s="42" t="n">
        <v>1600</v>
      </c>
      <c r="F433" s="42" t="n">
        <v>500</v>
      </c>
      <c r="G433" s="42" t="n">
        <v>260</v>
      </c>
      <c r="H433" s="43" t="n">
        <v>2</v>
      </c>
      <c r="I433" s="34" t="n">
        <f aca="false">E433*H433+N(F433)+N(G433)</f>
        <v>3960</v>
      </c>
      <c r="J433" s="42" t="n">
        <f aca="false">ROUND(IFERROR(ROUND(IF(OR(ISNUMBER(SEARCH("week",C433)),ISNUMBER(SEARCH("minggu",C433))),IFERROR(_xlfn.NUMBERVALUE(SUBSTITUTE(LEFT(TRIM(C433),FIND(" ",TRIM(C433)&amp;" ")-1),",","."),"."),LEFT(SUBSTITUTE(LEFT(TRIM(C433),FIND(" ",TRIM(C433)&amp;" ")-1),",","."),FIND("/",SUBSTITUTE(LEFT(TRIM(C433),FIND(" ",TRIM(C433)&amp;" ")-1),",","."))-1)/MID(SUBSTITUTE(LEFT(TRIM(C433),FIND(" ",TRIM(C433)&amp;" ")-1),",","."),FIND("/",SUBSTITUTE(LEFT(TRIM(C433),FIND(" ",TRIM(C433)&amp;" ")-1),",","."))+1,9))*12/52,IF(ISNUMBER(SEARCH("month",C433)),IFERROR(_xlfn.NUMBERVALUE(SUBSTITUTE(LEFT(TRIM(C433),FIND(" ",TRIM(C433)&amp;" ")-1),",","."),"."),LEFT(SUBSTITUTE(LEFT(TRIM(C433),FIND(" ",TRIM(C433)&amp;" ")-1),",","."),FIND("/",SUBSTITUTE(LEFT(TRIM(C433),FIND(" ",TRIM(C433)&amp;" ")-1),",","."))-1)/MID(SUBSTITUTE(LEFT(TRIM(C433),FIND(" ",TRIM(C433)&amp;" ")-1),",","."),FIND("/",SUBSTITUTE(LEFT(TRIM(C433),FIND(" ",TRIM(C433)&amp;" ")-1),",","."))+1,9)),IF(ISNUMBER(SEARCH("yea",C433)),IFERROR(_xlfn.NUMBERVALUE(SUBSTITUTE(LEFT(TRIM(C433),FIND(" ",TRIM(C433)&amp;" ")-1),",","."),"."),LEFT(SUBSTITUTE(LEFT(TRIM(C433),FIND(" ",TRIM(C433)&amp;" ")-1),",","."),FIND("/",SUBSTITUTE(LEFT(TRIM(C433),FIND(" ",TRIM(C433)&amp;" ")-1),",","."))-1)/MID(SUBSTITUTE(LEFT(TRIM(C433),FIND(" ",TRIM(C433)&amp;" ")-1),",","."),FIND("/",SUBSTITUTE(LEFT(TRIM(C433),FIND(" ",TRIM(C433)&amp;" ")-1),",","."))+1,9))*12,NA()))),0),30)*'Aturan &amp; Tarif'!$B$4,2)</f>
        <v>1703.4</v>
      </c>
      <c r="K433" s="42" t="n">
        <f aca="false">'Aturan &amp; Tarif'!$B$5</f>
        <v>2050</v>
      </c>
      <c r="L433" s="42" t="n">
        <f aca="false">'Aturan &amp; Tarif'!$B$6</f>
        <v>350</v>
      </c>
      <c r="M433" s="35" t="n">
        <f aca="false">I433+J433+K433+L433</f>
        <v>8063.4</v>
      </c>
      <c r="N433" s="45" t="s">
        <v>713</v>
      </c>
    </row>
    <row r="434" customFormat="false" ht="25.5" hidden="false" customHeight="true" outlineLevel="0" collapsed="false">
      <c r="A434" s="39"/>
      <c r="B434" s="40" t="s">
        <v>720</v>
      </c>
      <c r="C434" s="41" t="s">
        <v>721</v>
      </c>
      <c r="D434" s="41" t="s">
        <v>108</v>
      </c>
      <c r="E434" s="42" t="n">
        <v>1600</v>
      </c>
      <c r="F434" s="42" t="n">
        <v>500</v>
      </c>
      <c r="G434" s="42" t="n">
        <v>260</v>
      </c>
      <c r="H434" s="43" t="n">
        <v>2</v>
      </c>
      <c r="I434" s="34" t="n">
        <f aca="false">E434*H434+N(F434)+N(G434)</f>
        <v>3960</v>
      </c>
      <c r="J434" s="42" t="n">
        <f aca="false">ROUND(IFERROR(ROUND(IF(OR(ISNUMBER(SEARCH("week",C434)),ISNUMBER(SEARCH("minggu",C434))),IFERROR(_xlfn.NUMBERVALUE(SUBSTITUTE(LEFT(TRIM(C434),FIND(" ",TRIM(C434)&amp;" ")-1),",","."),"."),LEFT(SUBSTITUTE(LEFT(TRIM(C434),FIND(" ",TRIM(C434)&amp;" ")-1),",","."),FIND("/",SUBSTITUTE(LEFT(TRIM(C434),FIND(" ",TRIM(C434)&amp;" ")-1),",","."))-1)/MID(SUBSTITUTE(LEFT(TRIM(C434),FIND(" ",TRIM(C434)&amp;" ")-1),",","."),FIND("/",SUBSTITUTE(LEFT(TRIM(C434),FIND(" ",TRIM(C434)&amp;" ")-1),",","."))+1,9))*12/52,IF(ISNUMBER(SEARCH("month",C434)),IFERROR(_xlfn.NUMBERVALUE(SUBSTITUTE(LEFT(TRIM(C434),FIND(" ",TRIM(C434)&amp;" ")-1),",","."),"."),LEFT(SUBSTITUTE(LEFT(TRIM(C434),FIND(" ",TRIM(C434)&amp;" ")-1),",","."),FIND("/",SUBSTITUTE(LEFT(TRIM(C434),FIND(" ",TRIM(C434)&amp;" ")-1),",","."))-1)/MID(SUBSTITUTE(LEFT(TRIM(C434),FIND(" ",TRIM(C434)&amp;" ")-1),",","."),FIND("/",SUBSTITUTE(LEFT(TRIM(C434),FIND(" ",TRIM(C434)&amp;" ")-1),",","."))+1,9)),IF(ISNUMBER(SEARCH("yea",C434)),IFERROR(_xlfn.NUMBERVALUE(SUBSTITUTE(LEFT(TRIM(C434),FIND(" ",TRIM(C434)&amp;" ")-1),",","."),"."),LEFT(SUBSTITUTE(LEFT(TRIM(C434),FIND(" ",TRIM(C434)&amp;" ")-1),",","."),FIND("/",SUBSTITUTE(LEFT(TRIM(C434),FIND(" ",TRIM(C434)&amp;" ")-1),",","."))-1)/MID(SUBSTITUTE(LEFT(TRIM(C434),FIND(" ",TRIM(C434)&amp;" ")-1),",","."),FIND("/",SUBSTITUTE(LEFT(TRIM(C434),FIND(" ",TRIM(C434)&amp;" ")-1),",","."))+1,9))*12,NA()))),0),19)*'Aturan &amp; Tarif'!$B$4,2)</f>
        <v>1078.82</v>
      </c>
      <c r="K434" s="42" t="n">
        <f aca="false">'Aturan &amp; Tarif'!$B$5</f>
        <v>2050</v>
      </c>
      <c r="L434" s="42" t="n">
        <f aca="false">'Aturan &amp; Tarif'!$B$6</f>
        <v>350</v>
      </c>
      <c r="M434" s="35" t="n">
        <f aca="false">I434+J434+K434+L434</f>
        <v>7438.82</v>
      </c>
      <c r="N434" s="45" t="s">
        <v>1630</v>
      </c>
    </row>
    <row r="435" customFormat="false" ht="48.75" hidden="false" customHeight="true" outlineLevel="0" collapsed="false">
      <c r="A435" s="39"/>
      <c r="B435" s="40" t="s">
        <v>1631</v>
      </c>
      <c r="C435" s="41" t="s">
        <v>724</v>
      </c>
      <c r="D435" s="41" t="s">
        <v>108</v>
      </c>
      <c r="E435" s="42" t="n">
        <v>1600</v>
      </c>
      <c r="F435" s="42" t="n">
        <v>500</v>
      </c>
      <c r="G435" s="42" t="n">
        <v>260</v>
      </c>
      <c r="H435" s="43" t="n">
        <v>2</v>
      </c>
      <c r="I435" s="34" t="n">
        <f aca="false">E435*H435+N(F435)+N(G435)</f>
        <v>3960</v>
      </c>
      <c r="J435" s="42" t="n">
        <f aca="false">ROUND(IFERROR(ROUND(IF(OR(ISNUMBER(SEARCH("week",C435)),ISNUMBER(SEARCH("minggu",C435))),IFERROR(_xlfn.NUMBERVALUE(SUBSTITUTE(LEFT(TRIM(C435),FIND(" ",TRIM(C435)&amp;" ")-1),",","."),"."),LEFT(SUBSTITUTE(LEFT(TRIM(C435),FIND(" ",TRIM(C435)&amp;" ")-1),",","."),FIND("/",SUBSTITUTE(LEFT(TRIM(C435),FIND(" ",TRIM(C435)&amp;" ")-1),",","."))-1)/MID(SUBSTITUTE(LEFT(TRIM(C435),FIND(" ",TRIM(C435)&amp;" ")-1),",","."),FIND("/",SUBSTITUTE(LEFT(TRIM(C435),FIND(" ",TRIM(C435)&amp;" ")-1),",","."))+1,9))*12/52,IF(ISNUMBER(SEARCH("month",C435)),IFERROR(_xlfn.NUMBERVALUE(SUBSTITUTE(LEFT(TRIM(C435),FIND(" ",TRIM(C435)&amp;" ")-1),",","."),"."),LEFT(SUBSTITUTE(LEFT(TRIM(C435),FIND(" ",TRIM(C435)&amp;" ")-1),",","."),FIND("/",SUBSTITUTE(LEFT(TRIM(C435),FIND(" ",TRIM(C435)&amp;" ")-1),",","."))-1)/MID(SUBSTITUTE(LEFT(TRIM(C435),FIND(" ",TRIM(C435)&amp;" ")-1),",","."),FIND("/",SUBSTITUTE(LEFT(TRIM(C435),FIND(" ",TRIM(C435)&amp;" ")-1),",","."))+1,9)),IF(ISNUMBER(SEARCH("yea",C435)),IFERROR(_xlfn.NUMBERVALUE(SUBSTITUTE(LEFT(TRIM(C435),FIND(" ",TRIM(C435)&amp;" ")-1),",","."),"."),LEFT(SUBSTITUTE(LEFT(TRIM(C435),FIND(" ",TRIM(C435)&amp;" ")-1),",","."),FIND("/",SUBSTITUTE(LEFT(TRIM(C435),FIND(" ",TRIM(C435)&amp;" ")-1),",","."))-1)/MID(SUBSTITUTE(LEFT(TRIM(C435),FIND(" ",TRIM(C435)&amp;" ")-1),",","."),FIND("/",SUBSTITUTE(LEFT(TRIM(C435),FIND(" ",TRIM(C435)&amp;" ")-1),",","."))+1,9))*12,NA()))),0),37)*'Aturan &amp; Tarif'!$B$4,2)</f>
        <v>2100.86</v>
      </c>
      <c r="K435" s="42" t="n">
        <f aca="false">'Aturan &amp; Tarif'!$B$5</f>
        <v>2050</v>
      </c>
      <c r="L435" s="42" t="n">
        <f aca="false">'Aturan &amp; Tarif'!$B$6</f>
        <v>350</v>
      </c>
      <c r="M435" s="35" t="n">
        <f aca="false">I435+J435+K435+L435</f>
        <v>8460.86</v>
      </c>
      <c r="N435" s="44" t="s">
        <v>1632</v>
      </c>
    </row>
    <row r="436" customFormat="false" ht="37.5" hidden="false" customHeight="true" outlineLevel="0" collapsed="false">
      <c r="A436" s="39"/>
      <c r="B436" s="40" t="s">
        <v>932</v>
      </c>
      <c r="C436" s="41" t="s">
        <v>107</v>
      </c>
      <c r="D436" s="41" t="s">
        <v>108</v>
      </c>
      <c r="E436" s="42" t="n">
        <v>1350</v>
      </c>
      <c r="F436" s="42" t="n">
        <v>500</v>
      </c>
      <c r="G436" s="42" t="n">
        <v>250</v>
      </c>
      <c r="H436" s="43" t="n">
        <v>2</v>
      </c>
      <c r="I436" s="34" t="n">
        <f aca="false">E436*H436+N(F436)+N(G436)</f>
        <v>3450</v>
      </c>
      <c r="J436" s="42" t="n">
        <f aca="false">ROUND(IFERROR(ROUND(IF(OR(ISNUMBER(SEARCH("week",C436)),ISNUMBER(SEARCH("minggu",C436))),IFERROR(_xlfn.NUMBERVALUE(SUBSTITUTE(LEFT(TRIM(C436),FIND(" ",TRIM(C436)&amp;" ")-1),",","."),"."),LEFT(SUBSTITUTE(LEFT(TRIM(C436),FIND(" ",TRIM(C436)&amp;" ")-1),",","."),FIND("/",SUBSTITUTE(LEFT(TRIM(C436),FIND(" ",TRIM(C436)&amp;" ")-1),",","."))-1)/MID(SUBSTITUTE(LEFT(TRIM(C436),FIND(" ",TRIM(C436)&amp;" ")-1),",","."),FIND("/",SUBSTITUTE(LEFT(TRIM(C436),FIND(" ",TRIM(C436)&amp;" ")-1),",","."))+1,9))*12/52,IF(ISNUMBER(SEARCH("month",C436)),IFERROR(_xlfn.NUMBERVALUE(SUBSTITUTE(LEFT(TRIM(C436),FIND(" ",TRIM(C436)&amp;" ")-1),",","."),"."),LEFT(SUBSTITUTE(LEFT(TRIM(C436),FIND(" ",TRIM(C436)&amp;" ")-1),",","."),FIND("/",SUBSTITUTE(LEFT(TRIM(C436),FIND(" ",TRIM(C436)&amp;" ")-1),",","."))-1)/MID(SUBSTITUTE(LEFT(TRIM(C436),FIND(" ",TRIM(C436)&amp;" ")-1),",","."),FIND("/",SUBSTITUTE(LEFT(TRIM(C436),FIND(" ",TRIM(C436)&amp;" ")-1),",","."))+1,9)),IF(ISNUMBER(SEARCH("yea",C436)),IFERROR(_xlfn.NUMBERVALUE(SUBSTITUTE(LEFT(TRIM(C436),FIND(" ",TRIM(C436)&amp;" ")-1),",","."),"."),LEFT(SUBSTITUTE(LEFT(TRIM(C436),FIND(" ",TRIM(C436)&amp;" ")-1),",","."),FIND("/",SUBSTITUTE(LEFT(TRIM(C436),FIND(" ",TRIM(C436)&amp;" ")-1),",","."))-1)/MID(SUBSTITUTE(LEFT(TRIM(C436),FIND(" ",TRIM(C436)&amp;" ")-1),",","."),FIND("/",SUBSTITUTE(LEFT(TRIM(C436),FIND(" ",TRIM(C436)&amp;" ")-1),",","."))+1,9))*12,NA()))),0),24)*'Aturan &amp; Tarif'!$B$4,2)</f>
        <v>1362.72</v>
      </c>
      <c r="K436" s="42" t="n">
        <f aca="false">'Aturan &amp; Tarif'!$B$5</f>
        <v>2050</v>
      </c>
      <c r="L436" s="42" t="n">
        <f aca="false">'Aturan &amp; Tarif'!$B$6</f>
        <v>350</v>
      </c>
      <c r="M436" s="35" t="n">
        <f aca="false">I436+J436+K436+L436</f>
        <v>7212.72</v>
      </c>
      <c r="N436" s="44" t="s">
        <v>1633</v>
      </c>
    </row>
    <row r="437" customFormat="false" ht="25.5" hidden="false" customHeight="true" outlineLevel="0" collapsed="false">
      <c r="A437" s="39"/>
      <c r="B437" s="40" t="s">
        <v>948</v>
      </c>
      <c r="C437" s="41" t="s">
        <v>107</v>
      </c>
      <c r="D437" s="41" t="s">
        <v>108</v>
      </c>
      <c r="E437" s="42" t="n">
        <v>1250</v>
      </c>
      <c r="F437" s="42" t="n">
        <v>240</v>
      </c>
      <c r="G437" s="42" t="n">
        <v>260</v>
      </c>
      <c r="H437" s="43" t="n">
        <v>2</v>
      </c>
      <c r="I437" s="34" t="n">
        <f aca="false">E437*H437+N(F437)+N(G437)</f>
        <v>3000</v>
      </c>
      <c r="J437" s="42" t="n">
        <f aca="false">ROUND(IFERROR(ROUND(IF(OR(ISNUMBER(SEARCH("week",C437)),ISNUMBER(SEARCH("minggu",C437))),IFERROR(_xlfn.NUMBERVALUE(SUBSTITUTE(LEFT(TRIM(C437),FIND(" ",TRIM(C437)&amp;" ")-1),",","."),"."),LEFT(SUBSTITUTE(LEFT(TRIM(C437),FIND(" ",TRIM(C437)&amp;" ")-1),",","."),FIND("/",SUBSTITUTE(LEFT(TRIM(C437),FIND(" ",TRIM(C437)&amp;" ")-1),",","."))-1)/MID(SUBSTITUTE(LEFT(TRIM(C437),FIND(" ",TRIM(C437)&amp;" ")-1),",","."),FIND("/",SUBSTITUTE(LEFT(TRIM(C437),FIND(" ",TRIM(C437)&amp;" ")-1),",","."))+1,9))*12/52,IF(ISNUMBER(SEARCH("month",C437)),IFERROR(_xlfn.NUMBERVALUE(SUBSTITUTE(LEFT(TRIM(C437),FIND(" ",TRIM(C437)&amp;" ")-1),",","."),"."),LEFT(SUBSTITUTE(LEFT(TRIM(C437),FIND(" ",TRIM(C437)&amp;" ")-1),",","."),FIND("/",SUBSTITUTE(LEFT(TRIM(C437),FIND(" ",TRIM(C437)&amp;" ")-1),",","."))-1)/MID(SUBSTITUTE(LEFT(TRIM(C437),FIND(" ",TRIM(C437)&amp;" ")-1),",","."),FIND("/",SUBSTITUTE(LEFT(TRIM(C437),FIND(" ",TRIM(C437)&amp;" ")-1),",","."))+1,9)),IF(ISNUMBER(SEARCH("yea",C437)),IFERROR(_xlfn.NUMBERVALUE(SUBSTITUTE(LEFT(TRIM(C437),FIND(" ",TRIM(C437)&amp;" ")-1),",","."),"."),LEFT(SUBSTITUTE(LEFT(TRIM(C437),FIND(" ",TRIM(C437)&amp;" ")-1),",","."),FIND("/",SUBSTITUTE(LEFT(TRIM(C437),FIND(" ",TRIM(C437)&amp;" ")-1),",","."))-1)/MID(SUBSTITUTE(LEFT(TRIM(C437),FIND(" ",TRIM(C437)&amp;" ")-1),",","."),FIND("/",SUBSTITUTE(LEFT(TRIM(C437),FIND(" ",TRIM(C437)&amp;" ")-1),",","."))+1,9))*12,NA()))),0),24)*'Aturan &amp; Tarif'!$B$4,2)</f>
        <v>1362.72</v>
      </c>
      <c r="K437" s="42" t="n">
        <f aca="false">'Aturan &amp; Tarif'!$B$5</f>
        <v>2050</v>
      </c>
      <c r="L437" s="42" t="n">
        <f aca="false">'Aturan &amp; Tarif'!$B$6</f>
        <v>350</v>
      </c>
      <c r="M437" s="35" t="n">
        <f aca="false">I437+J437+K437+L437</f>
        <v>6762.72</v>
      </c>
      <c r="N437" s="44" t="s">
        <v>1634</v>
      </c>
    </row>
    <row r="438" customFormat="false" ht="60" hidden="false" customHeight="true" outlineLevel="0" collapsed="false">
      <c r="A438" s="47" t="s">
        <v>1635</v>
      </c>
      <c r="B438" s="40" t="s">
        <v>727</v>
      </c>
      <c r="C438" s="41" t="s">
        <v>127</v>
      </c>
      <c r="D438" s="41" t="s">
        <v>108</v>
      </c>
      <c r="E438" s="42" t="n">
        <v>4025</v>
      </c>
      <c r="F438" s="42" t="n">
        <v>200</v>
      </c>
      <c r="G438" s="42" t="n">
        <v>250</v>
      </c>
      <c r="H438" s="43" t="n">
        <v>2</v>
      </c>
      <c r="I438" s="34" t="n">
        <f aca="false">E438*H438+N(F438)+N(G438)</f>
        <v>8500</v>
      </c>
      <c r="J438" s="42" t="n">
        <f aca="false">ROUND(IFERROR(ROUND(IF(OR(ISNUMBER(SEARCH("week",C438)),ISNUMBER(SEARCH("minggu",C438))),IFERROR(_xlfn.NUMBERVALUE(SUBSTITUTE(LEFT(TRIM(C438),FIND(" ",TRIM(C438)&amp;" ")-1),",","."),"."),LEFT(SUBSTITUTE(LEFT(TRIM(C438),FIND(" ",TRIM(C438)&amp;" ")-1),",","."),FIND("/",SUBSTITUTE(LEFT(TRIM(C438),FIND(" ",TRIM(C438)&amp;" ")-1),",","."))-1)/MID(SUBSTITUTE(LEFT(TRIM(C438),FIND(" ",TRIM(C438)&amp;" ")-1),",","."),FIND("/",SUBSTITUTE(LEFT(TRIM(C438),FIND(" ",TRIM(C438)&amp;" ")-1),",","."))+1,9))*12/52,IF(ISNUMBER(SEARCH("month",C438)),IFERROR(_xlfn.NUMBERVALUE(SUBSTITUTE(LEFT(TRIM(C438),FIND(" ",TRIM(C438)&amp;" ")-1),",","."),"."),LEFT(SUBSTITUTE(LEFT(TRIM(C438),FIND(" ",TRIM(C438)&amp;" ")-1),",","."),FIND("/",SUBSTITUTE(LEFT(TRIM(C438),FIND(" ",TRIM(C438)&amp;" ")-1),",","."))-1)/MID(SUBSTITUTE(LEFT(TRIM(C438),FIND(" ",TRIM(C438)&amp;" ")-1),",","."),FIND("/",SUBSTITUTE(LEFT(TRIM(C438),FIND(" ",TRIM(C438)&amp;" ")-1),",","."))+1,9)),IF(ISNUMBER(SEARCH("yea",C438)),IFERROR(_xlfn.NUMBERVALUE(SUBSTITUTE(LEFT(TRIM(C438),FIND(" ",TRIM(C438)&amp;" ")-1),",","."),"."),LEFT(SUBSTITUTE(LEFT(TRIM(C438),FIND(" ",TRIM(C438)&amp;" ")-1),",","."),FIND("/",SUBSTITUTE(LEFT(TRIM(C438),FIND(" ",TRIM(C438)&amp;" ")-1),",","."))-1)/MID(SUBSTITUTE(LEFT(TRIM(C438),FIND(" ",TRIM(C438)&amp;" ")-1),",","."),FIND("/",SUBSTITUTE(LEFT(TRIM(C438),FIND(" ",TRIM(C438)&amp;" ")-1),",","."))+1,9))*12,NA()))),0),36)*'Aturan &amp; Tarif'!$B$4,2)</f>
        <v>2044.08</v>
      </c>
      <c r="K438" s="42" t="n">
        <f aca="false">'Aturan &amp; Tarif'!$B$5</f>
        <v>2050</v>
      </c>
      <c r="L438" s="42" t="n">
        <f aca="false">'Aturan &amp; Tarif'!$B$6</f>
        <v>350</v>
      </c>
      <c r="M438" s="35" t="n">
        <f aca="false">I438+J438+K438+L438</f>
        <v>12944.08</v>
      </c>
      <c r="N438" s="44" t="s">
        <v>1636</v>
      </c>
    </row>
    <row r="439" customFormat="false" ht="60" hidden="false" customHeight="true" outlineLevel="0" collapsed="false">
      <c r="A439" s="39"/>
      <c r="B439" s="40" t="s">
        <v>729</v>
      </c>
      <c r="C439" s="41" t="s">
        <v>127</v>
      </c>
      <c r="D439" s="41" t="s">
        <v>108</v>
      </c>
      <c r="E439" s="42" t="n">
        <v>4025</v>
      </c>
      <c r="F439" s="42" t="n">
        <v>200</v>
      </c>
      <c r="G439" s="42" t="n">
        <v>250</v>
      </c>
      <c r="H439" s="43" t="n">
        <v>2</v>
      </c>
      <c r="I439" s="34" t="n">
        <f aca="false">E439*H439+N(F439)+N(G439)</f>
        <v>8500</v>
      </c>
      <c r="J439" s="42" t="n">
        <f aca="false">ROUND(IFERROR(ROUND(IF(OR(ISNUMBER(SEARCH("week",C439)),ISNUMBER(SEARCH("minggu",C439))),IFERROR(_xlfn.NUMBERVALUE(SUBSTITUTE(LEFT(TRIM(C439),FIND(" ",TRIM(C439)&amp;" ")-1),",","."),"."),LEFT(SUBSTITUTE(LEFT(TRIM(C439),FIND(" ",TRIM(C439)&amp;" ")-1),",","."),FIND("/",SUBSTITUTE(LEFT(TRIM(C439),FIND(" ",TRIM(C439)&amp;" ")-1),",","."))-1)/MID(SUBSTITUTE(LEFT(TRIM(C439),FIND(" ",TRIM(C439)&amp;" ")-1),",","."),FIND("/",SUBSTITUTE(LEFT(TRIM(C439),FIND(" ",TRIM(C439)&amp;" ")-1),",","."))+1,9))*12/52,IF(ISNUMBER(SEARCH("month",C439)),IFERROR(_xlfn.NUMBERVALUE(SUBSTITUTE(LEFT(TRIM(C439),FIND(" ",TRIM(C439)&amp;" ")-1),",","."),"."),LEFT(SUBSTITUTE(LEFT(TRIM(C439),FIND(" ",TRIM(C439)&amp;" ")-1),",","."),FIND("/",SUBSTITUTE(LEFT(TRIM(C439),FIND(" ",TRIM(C439)&amp;" ")-1),",","."))-1)/MID(SUBSTITUTE(LEFT(TRIM(C439),FIND(" ",TRIM(C439)&amp;" ")-1),",","."),FIND("/",SUBSTITUTE(LEFT(TRIM(C439),FIND(" ",TRIM(C439)&amp;" ")-1),",","."))+1,9)),IF(ISNUMBER(SEARCH("yea",C439)),IFERROR(_xlfn.NUMBERVALUE(SUBSTITUTE(LEFT(TRIM(C439),FIND(" ",TRIM(C439)&amp;" ")-1),",","."),"."),LEFT(SUBSTITUTE(LEFT(TRIM(C439),FIND(" ",TRIM(C439)&amp;" ")-1),",","."),FIND("/",SUBSTITUTE(LEFT(TRIM(C439),FIND(" ",TRIM(C439)&amp;" ")-1),",","."))-1)/MID(SUBSTITUTE(LEFT(TRIM(C439),FIND(" ",TRIM(C439)&amp;" ")-1),",","."),FIND("/",SUBSTITUTE(LEFT(TRIM(C439),FIND(" ",TRIM(C439)&amp;" ")-1),",","."))+1,9))*12,NA()))),0),36)*'Aturan &amp; Tarif'!$B$4,2)</f>
        <v>2044.08</v>
      </c>
      <c r="K439" s="42" t="n">
        <f aca="false">'Aturan &amp; Tarif'!$B$5</f>
        <v>2050</v>
      </c>
      <c r="L439" s="42" t="n">
        <f aca="false">'Aturan &amp; Tarif'!$B$6</f>
        <v>350</v>
      </c>
      <c r="M439" s="35" t="n">
        <f aca="false">I439+J439+K439+L439</f>
        <v>12944.08</v>
      </c>
      <c r="N439" s="44" t="s">
        <v>1636</v>
      </c>
    </row>
    <row r="440" customFormat="false" ht="60" hidden="false" customHeight="true" outlineLevel="0" collapsed="false">
      <c r="A440" s="39"/>
      <c r="B440" s="40" t="s">
        <v>730</v>
      </c>
      <c r="C440" s="41" t="s">
        <v>127</v>
      </c>
      <c r="D440" s="41" t="s">
        <v>108</v>
      </c>
      <c r="E440" s="42" t="n">
        <v>4025</v>
      </c>
      <c r="F440" s="42" t="n">
        <v>200</v>
      </c>
      <c r="G440" s="42" t="n">
        <v>250</v>
      </c>
      <c r="H440" s="43" t="n">
        <v>2</v>
      </c>
      <c r="I440" s="34" t="n">
        <f aca="false">E440*H440+N(F440)+N(G440)</f>
        <v>8500</v>
      </c>
      <c r="J440" s="42" t="n">
        <f aca="false">ROUND(IFERROR(ROUND(IF(OR(ISNUMBER(SEARCH("week",C440)),ISNUMBER(SEARCH("minggu",C440))),IFERROR(_xlfn.NUMBERVALUE(SUBSTITUTE(LEFT(TRIM(C440),FIND(" ",TRIM(C440)&amp;" ")-1),",","."),"."),LEFT(SUBSTITUTE(LEFT(TRIM(C440),FIND(" ",TRIM(C440)&amp;" ")-1),",","."),FIND("/",SUBSTITUTE(LEFT(TRIM(C440),FIND(" ",TRIM(C440)&amp;" ")-1),",","."))-1)/MID(SUBSTITUTE(LEFT(TRIM(C440),FIND(" ",TRIM(C440)&amp;" ")-1),",","."),FIND("/",SUBSTITUTE(LEFT(TRIM(C440),FIND(" ",TRIM(C440)&amp;" ")-1),",","."))+1,9))*12/52,IF(ISNUMBER(SEARCH("month",C440)),IFERROR(_xlfn.NUMBERVALUE(SUBSTITUTE(LEFT(TRIM(C440),FIND(" ",TRIM(C440)&amp;" ")-1),",","."),"."),LEFT(SUBSTITUTE(LEFT(TRIM(C440),FIND(" ",TRIM(C440)&amp;" ")-1),",","."),FIND("/",SUBSTITUTE(LEFT(TRIM(C440),FIND(" ",TRIM(C440)&amp;" ")-1),",","."))-1)/MID(SUBSTITUTE(LEFT(TRIM(C440),FIND(" ",TRIM(C440)&amp;" ")-1),",","."),FIND("/",SUBSTITUTE(LEFT(TRIM(C440),FIND(" ",TRIM(C440)&amp;" ")-1),",","."))+1,9)),IF(ISNUMBER(SEARCH("yea",C440)),IFERROR(_xlfn.NUMBERVALUE(SUBSTITUTE(LEFT(TRIM(C440),FIND(" ",TRIM(C440)&amp;" ")-1),",","."),"."),LEFT(SUBSTITUTE(LEFT(TRIM(C440),FIND(" ",TRIM(C440)&amp;" ")-1),",","."),FIND("/",SUBSTITUTE(LEFT(TRIM(C440),FIND(" ",TRIM(C440)&amp;" ")-1),",","."))-1)/MID(SUBSTITUTE(LEFT(TRIM(C440),FIND(" ",TRIM(C440)&amp;" ")-1),",","."),FIND("/",SUBSTITUTE(LEFT(TRIM(C440),FIND(" ",TRIM(C440)&amp;" ")-1),",","."))+1,9))*12,NA()))),0),36)*'Aturan &amp; Tarif'!$B$4,2)</f>
        <v>2044.08</v>
      </c>
      <c r="K440" s="42" t="n">
        <f aca="false">'Aturan &amp; Tarif'!$B$5</f>
        <v>2050</v>
      </c>
      <c r="L440" s="42" t="n">
        <f aca="false">'Aturan &amp; Tarif'!$B$6</f>
        <v>350</v>
      </c>
      <c r="M440" s="35" t="n">
        <f aca="false">I440+J440+K440+L440</f>
        <v>12944.08</v>
      </c>
      <c r="N440" s="44" t="s">
        <v>1636</v>
      </c>
    </row>
    <row r="441" customFormat="false" ht="37.5" hidden="false" customHeight="true" outlineLevel="0" collapsed="false">
      <c r="A441" s="29" t="s">
        <v>1637</v>
      </c>
      <c r="B441" s="30" t="s">
        <v>967</v>
      </c>
      <c r="C441" s="31" t="s">
        <v>130</v>
      </c>
      <c r="D441" s="31" t="s">
        <v>737</v>
      </c>
      <c r="E441" s="32" t="n">
        <v>11520</v>
      </c>
      <c r="F441" s="32" t="n">
        <v>0</v>
      </c>
      <c r="G441" s="32" t="n">
        <v>300</v>
      </c>
      <c r="H441" s="33" t="n">
        <v>1</v>
      </c>
      <c r="I441" s="34" t="n">
        <f aca="false">E441*H441+N(F441)+N(G441)</f>
        <v>11820</v>
      </c>
      <c r="J441" s="32" t="n">
        <f aca="false">ROUND(IFERROR(ROUND(IF(OR(ISNUMBER(SEARCH("week",C441)),ISNUMBER(SEARCH("minggu",C441))),IFERROR(_xlfn.NUMBERVALUE(SUBSTITUTE(LEFT(TRIM(C441),FIND(" ",TRIM(C441)&amp;" ")-1),",","."),"."),LEFT(SUBSTITUTE(LEFT(TRIM(C441),FIND(" ",TRIM(C441)&amp;" ")-1),",","."),FIND("/",SUBSTITUTE(LEFT(TRIM(C441),FIND(" ",TRIM(C441)&amp;" ")-1),",","."))-1)/MID(SUBSTITUTE(LEFT(TRIM(C441),FIND(" ",TRIM(C441)&amp;" ")-1),",","."),FIND("/",SUBSTITUTE(LEFT(TRIM(C441),FIND(" ",TRIM(C441)&amp;" ")-1),",","."))+1,9))*12/52,IF(ISNUMBER(SEARCH("month",C441)),IFERROR(_xlfn.NUMBERVALUE(SUBSTITUTE(LEFT(TRIM(C441),FIND(" ",TRIM(C441)&amp;" ")-1),",","."),"."),LEFT(SUBSTITUTE(LEFT(TRIM(C441),FIND(" ",TRIM(C441)&amp;" ")-1),",","."),FIND("/",SUBSTITUTE(LEFT(TRIM(C441),FIND(" ",TRIM(C441)&amp;" ")-1),",","."))-1)/MID(SUBSTITUTE(LEFT(TRIM(C441),FIND(" ",TRIM(C441)&amp;" ")-1),",","."),FIND("/",SUBSTITUTE(LEFT(TRIM(C441),FIND(" ",TRIM(C441)&amp;" ")-1),",","."))+1,9)),IF(ISNUMBER(SEARCH("yea",C441)),IFERROR(_xlfn.NUMBERVALUE(SUBSTITUTE(LEFT(TRIM(C441),FIND(" ",TRIM(C441)&amp;" ")-1),",","."),"."),LEFT(SUBSTITUTE(LEFT(TRIM(C441),FIND(" ",TRIM(C441)&amp;" ")-1),",","."),FIND("/",SUBSTITUTE(LEFT(TRIM(C441),FIND(" ",TRIM(C441)&amp;" ")-1),",","."))-1)/MID(SUBSTITUTE(LEFT(TRIM(C441),FIND(" ",TRIM(C441)&amp;" ")-1),",","."),FIND("/",SUBSTITUTE(LEFT(TRIM(C441),FIND(" ",TRIM(C441)&amp;" ")-1),",","."))+1,9))*12,NA()))),0),12)*'Aturan &amp; Tarif'!$B$4,2)</f>
        <v>681.36</v>
      </c>
      <c r="K441" s="32" t="n">
        <f aca="false">'Aturan &amp; Tarif'!$B$5</f>
        <v>2050</v>
      </c>
      <c r="L441" s="32" t="n">
        <f aca="false">'Aturan &amp; Tarif'!$B$6</f>
        <v>350</v>
      </c>
      <c r="M441" s="35" t="n">
        <f aca="false">I441+J441+K441+L441</f>
        <v>14901.36</v>
      </c>
      <c r="N441" s="37" t="s">
        <v>738</v>
      </c>
    </row>
    <row r="442" customFormat="false" ht="25.5" hidden="false" customHeight="true" outlineLevel="0" collapsed="false">
      <c r="A442" s="29"/>
      <c r="B442" s="30" t="s">
        <v>968</v>
      </c>
      <c r="C442" s="31" t="s">
        <v>127</v>
      </c>
      <c r="D442" s="31" t="s">
        <v>737</v>
      </c>
      <c r="E442" s="32" t="n">
        <v>11520</v>
      </c>
      <c r="F442" s="32" t="n">
        <v>0</v>
      </c>
      <c r="G442" s="32" t="n">
        <v>300</v>
      </c>
      <c r="H442" s="33" t="n">
        <v>1</v>
      </c>
      <c r="I442" s="34" t="n">
        <f aca="false">E442*H442+N(F442)+N(G442)</f>
        <v>11820</v>
      </c>
      <c r="J442" s="32" t="n">
        <f aca="false">ROUND(IFERROR(ROUND(IF(OR(ISNUMBER(SEARCH("week",C442)),ISNUMBER(SEARCH("minggu",C442))),IFERROR(_xlfn.NUMBERVALUE(SUBSTITUTE(LEFT(TRIM(C442),FIND(" ",TRIM(C442)&amp;" ")-1),",","."),"."),LEFT(SUBSTITUTE(LEFT(TRIM(C442),FIND(" ",TRIM(C442)&amp;" ")-1),",","."),FIND("/",SUBSTITUTE(LEFT(TRIM(C442),FIND(" ",TRIM(C442)&amp;" ")-1),",","."))-1)/MID(SUBSTITUTE(LEFT(TRIM(C442),FIND(" ",TRIM(C442)&amp;" ")-1),",","."),FIND("/",SUBSTITUTE(LEFT(TRIM(C442),FIND(" ",TRIM(C442)&amp;" ")-1),",","."))+1,9))*12/52,IF(ISNUMBER(SEARCH("month",C442)),IFERROR(_xlfn.NUMBERVALUE(SUBSTITUTE(LEFT(TRIM(C442),FIND(" ",TRIM(C442)&amp;" ")-1),",","."),"."),LEFT(SUBSTITUTE(LEFT(TRIM(C442),FIND(" ",TRIM(C442)&amp;" ")-1),",","."),FIND("/",SUBSTITUTE(LEFT(TRIM(C442),FIND(" ",TRIM(C442)&amp;" ")-1),",","."))-1)/MID(SUBSTITUTE(LEFT(TRIM(C442),FIND(" ",TRIM(C442)&amp;" ")-1),",","."),FIND("/",SUBSTITUTE(LEFT(TRIM(C442),FIND(" ",TRIM(C442)&amp;" ")-1),",","."))+1,9)),IF(ISNUMBER(SEARCH("yea",C442)),IFERROR(_xlfn.NUMBERVALUE(SUBSTITUTE(LEFT(TRIM(C442),FIND(" ",TRIM(C442)&amp;" ")-1),",","."),"."),LEFT(SUBSTITUTE(LEFT(TRIM(C442),FIND(" ",TRIM(C442)&amp;" ")-1),",","."),FIND("/",SUBSTITUTE(LEFT(TRIM(C442),FIND(" ",TRIM(C442)&amp;" ")-1),",","."))-1)/MID(SUBSTITUTE(LEFT(TRIM(C442),FIND(" ",TRIM(C442)&amp;" ")-1),",","."),FIND("/",SUBSTITUTE(LEFT(TRIM(C442),FIND(" ",TRIM(C442)&amp;" ")-1),",","."))+1,9))*12,NA()))),0),36)*'Aturan &amp; Tarif'!$B$4,2)</f>
        <v>2044.08</v>
      </c>
      <c r="K442" s="32" t="n">
        <f aca="false">'Aturan &amp; Tarif'!$B$5</f>
        <v>2050</v>
      </c>
      <c r="L442" s="32" t="n">
        <f aca="false">'Aturan &amp; Tarif'!$B$6</f>
        <v>350</v>
      </c>
      <c r="M442" s="35" t="n">
        <f aca="false">I442+J442+K442+L442</f>
        <v>16264.08</v>
      </c>
      <c r="N442" s="37" t="s">
        <v>738</v>
      </c>
    </row>
    <row r="443" customFormat="false" ht="25.5" hidden="false" customHeight="true" outlineLevel="0" collapsed="false">
      <c r="A443" s="29"/>
      <c r="B443" s="30" t="s">
        <v>969</v>
      </c>
      <c r="C443" s="31" t="s">
        <v>344</v>
      </c>
      <c r="D443" s="31" t="s">
        <v>737</v>
      </c>
      <c r="E443" s="32" t="n">
        <v>19640</v>
      </c>
      <c r="F443" s="32" t="n">
        <v>0</v>
      </c>
      <c r="G443" s="32" t="n">
        <v>300</v>
      </c>
      <c r="H443" s="33" t="n">
        <v>1</v>
      </c>
      <c r="I443" s="34" t="n">
        <f aca="false">E443*H443+N(F443)+N(G443)</f>
        <v>19940</v>
      </c>
      <c r="J443" s="32" t="n">
        <f aca="false">ROUND(IFERROR(ROUND(IF(OR(ISNUMBER(SEARCH("week",C443)),ISNUMBER(SEARCH("minggu",C443))),IFERROR(_xlfn.NUMBERVALUE(SUBSTITUTE(LEFT(TRIM(C443),FIND(" ",TRIM(C443)&amp;" ")-1),",","."),"."),LEFT(SUBSTITUTE(LEFT(TRIM(C443),FIND(" ",TRIM(C443)&amp;" ")-1),",","."),FIND("/",SUBSTITUTE(LEFT(TRIM(C443),FIND(" ",TRIM(C443)&amp;" ")-1),",","."))-1)/MID(SUBSTITUTE(LEFT(TRIM(C443),FIND(" ",TRIM(C443)&amp;" ")-1),",","."),FIND("/",SUBSTITUTE(LEFT(TRIM(C443),FIND(" ",TRIM(C443)&amp;" ")-1),",","."))+1,9))*12/52,IF(ISNUMBER(SEARCH("month",C443)),IFERROR(_xlfn.NUMBERVALUE(SUBSTITUTE(LEFT(TRIM(C443),FIND(" ",TRIM(C443)&amp;" ")-1),",","."),"."),LEFT(SUBSTITUTE(LEFT(TRIM(C443),FIND(" ",TRIM(C443)&amp;" ")-1),",","."),FIND("/",SUBSTITUTE(LEFT(TRIM(C443),FIND(" ",TRIM(C443)&amp;" ")-1),",","."))-1)/MID(SUBSTITUTE(LEFT(TRIM(C443),FIND(" ",TRIM(C443)&amp;" ")-1),",","."),FIND("/",SUBSTITUTE(LEFT(TRIM(C443),FIND(" ",TRIM(C443)&amp;" ")-1),",","."))+1,9)),IF(ISNUMBER(SEARCH("yea",C443)),IFERROR(_xlfn.NUMBERVALUE(SUBSTITUTE(LEFT(TRIM(C443),FIND(" ",TRIM(C443)&amp;" ")-1),",","."),"."),LEFT(SUBSTITUTE(LEFT(TRIM(C443),FIND(" ",TRIM(C443)&amp;" ")-1),",","."),FIND("/",SUBSTITUTE(LEFT(TRIM(C443),FIND(" ",TRIM(C443)&amp;" ")-1),",","."))-1)/MID(SUBSTITUTE(LEFT(TRIM(C443),FIND(" ",TRIM(C443)&amp;" ")-1),",","."),FIND("/",SUBSTITUTE(LEFT(TRIM(C443),FIND(" ",TRIM(C443)&amp;" ")-1),",","."))+1,9))*12,NA()))),0),6)*'Aturan &amp; Tarif'!$B$4,2)</f>
        <v>340.68</v>
      </c>
      <c r="K443" s="32" t="n">
        <f aca="false">'Aturan &amp; Tarif'!$B$5</f>
        <v>2050</v>
      </c>
      <c r="L443" s="32" t="n">
        <f aca="false">'Aturan &amp; Tarif'!$B$6</f>
        <v>350</v>
      </c>
      <c r="M443" s="35" t="n">
        <f aca="false">I443+J443+K443+L443</f>
        <v>22680.68</v>
      </c>
      <c r="N443" s="37" t="s">
        <v>738</v>
      </c>
    </row>
    <row r="444" customFormat="false" ht="25.5" hidden="false" customHeight="true" outlineLevel="0" collapsed="false">
      <c r="A444" s="29"/>
      <c r="B444" s="30" t="s">
        <v>970</v>
      </c>
      <c r="C444" s="31" t="s">
        <v>130</v>
      </c>
      <c r="D444" s="31" t="s">
        <v>737</v>
      </c>
      <c r="E444" s="32" t="n">
        <v>19640</v>
      </c>
      <c r="F444" s="32" t="n">
        <v>0</v>
      </c>
      <c r="G444" s="32" t="n">
        <v>300</v>
      </c>
      <c r="H444" s="33" t="n">
        <v>1</v>
      </c>
      <c r="I444" s="34" t="n">
        <f aca="false">E444*H444+N(F444)+N(G444)</f>
        <v>19940</v>
      </c>
      <c r="J444" s="32" t="n">
        <f aca="false">ROUND(IFERROR(ROUND(IF(OR(ISNUMBER(SEARCH("week",C444)),ISNUMBER(SEARCH("minggu",C444))),IFERROR(_xlfn.NUMBERVALUE(SUBSTITUTE(LEFT(TRIM(C444),FIND(" ",TRIM(C444)&amp;" ")-1),",","."),"."),LEFT(SUBSTITUTE(LEFT(TRIM(C444),FIND(" ",TRIM(C444)&amp;" ")-1),",","."),FIND("/",SUBSTITUTE(LEFT(TRIM(C444),FIND(" ",TRIM(C444)&amp;" ")-1),",","."))-1)/MID(SUBSTITUTE(LEFT(TRIM(C444),FIND(" ",TRIM(C444)&amp;" ")-1),",","."),FIND("/",SUBSTITUTE(LEFT(TRIM(C444),FIND(" ",TRIM(C444)&amp;" ")-1),",","."))+1,9))*12/52,IF(ISNUMBER(SEARCH("month",C444)),IFERROR(_xlfn.NUMBERVALUE(SUBSTITUTE(LEFT(TRIM(C444),FIND(" ",TRIM(C444)&amp;" ")-1),",","."),"."),LEFT(SUBSTITUTE(LEFT(TRIM(C444),FIND(" ",TRIM(C444)&amp;" ")-1),",","."),FIND("/",SUBSTITUTE(LEFT(TRIM(C444),FIND(" ",TRIM(C444)&amp;" ")-1),",","."))-1)/MID(SUBSTITUTE(LEFT(TRIM(C444),FIND(" ",TRIM(C444)&amp;" ")-1),",","."),FIND("/",SUBSTITUTE(LEFT(TRIM(C444),FIND(" ",TRIM(C444)&amp;" ")-1),",","."))+1,9)),IF(ISNUMBER(SEARCH("yea",C444)),IFERROR(_xlfn.NUMBERVALUE(SUBSTITUTE(LEFT(TRIM(C444),FIND(" ",TRIM(C444)&amp;" ")-1),",","."),"."),LEFT(SUBSTITUTE(LEFT(TRIM(C444),FIND(" ",TRIM(C444)&amp;" ")-1),",","."),FIND("/",SUBSTITUTE(LEFT(TRIM(C444),FIND(" ",TRIM(C444)&amp;" ")-1),",","."))-1)/MID(SUBSTITUTE(LEFT(TRIM(C444),FIND(" ",TRIM(C444)&amp;" ")-1),",","."),FIND("/",SUBSTITUTE(LEFT(TRIM(C444),FIND(" ",TRIM(C444)&amp;" ")-1),",","."))+1,9))*12,NA()))),0),12)*'Aturan &amp; Tarif'!$B$4,2)</f>
        <v>681.36</v>
      </c>
      <c r="K444" s="32" t="n">
        <f aca="false">'Aturan &amp; Tarif'!$B$5</f>
        <v>2050</v>
      </c>
      <c r="L444" s="32" t="n">
        <f aca="false">'Aturan &amp; Tarif'!$B$6</f>
        <v>350</v>
      </c>
      <c r="M444" s="35" t="n">
        <f aca="false">I444+J444+K444+L444</f>
        <v>23021.36</v>
      </c>
      <c r="N444" s="37" t="s">
        <v>742</v>
      </c>
    </row>
    <row r="445" customFormat="false" ht="25.5" hidden="false" customHeight="true" outlineLevel="0" collapsed="false">
      <c r="A445" s="29"/>
      <c r="B445" s="30" t="s">
        <v>971</v>
      </c>
      <c r="C445" s="31" t="s">
        <v>113</v>
      </c>
      <c r="D445" s="31" t="s">
        <v>737</v>
      </c>
      <c r="E445" s="32" t="n">
        <v>19640</v>
      </c>
      <c r="F445" s="32" t="n">
        <v>0</v>
      </c>
      <c r="G445" s="32" t="n">
        <v>300</v>
      </c>
      <c r="H445" s="33" t="n">
        <v>1</v>
      </c>
      <c r="I445" s="34" t="n">
        <f aca="false">E445*H445+N(F445)+N(G445)</f>
        <v>19940</v>
      </c>
      <c r="J445" s="32" t="n">
        <f aca="false">ROUND(IFERROR(ROUND(IF(OR(ISNUMBER(SEARCH("week",C445)),ISNUMBER(SEARCH("minggu",C445))),IFERROR(_xlfn.NUMBERVALUE(SUBSTITUTE(LEFT(TRIM(C445),FIND(" ",TRIM(C445)&amp;" ")-1),",","."),"."),LEFT(SUBSTITUTE(LEFT(TRIM(C445),FIND(" ",TRIM(C445)&amp;" ")-1),",","."),FIND("/",SUBSTITUTE(LEFT(TRIM(C445),FIND(" ",TRIM(C445)&amp;" ")-1),",","."))-1)/MID(SUBSTITUTE(LEFT(TRIM(C445),FIND(" ",TRIM(C445)&amp;" ")-1),",","."),FIND("/",SUBSTITUTE(LEFT(TRIM(C445),FIND(" ",TRIM(C445)&amp;" ")-1),",","."))+1,9))*12/52,IF(ISNUMBER(SEARCH("month",C445)),IFERROR(_xlfn.NUMBERVALUE(SUBSTITUTE(LEFT(TRIM(C445),FIND(" ",TRIM(C445)&amp;" ")-1),",","."),"."),LEFT(SUBSTITUTE(LEFT(TRIM(C445),FIND(" ",TRIM(C445)&amp;" ")-1),",","."),FIND("/",SUBSTITUTE(LEFT(TRIM(C445),FIND(" ",TRIM(C445)&amp;" ")-1),",","."))-1)/MID(SUBSTITUTE(LEFT(TRIM(C445),FIND(" ",TRIM(C445)&amp;" ")-1),",","."),FIND("/",SUBSTITUTE(LEFT(TRIM(C445),FIND(" ",TRIM(C445)&amp;" ")-1),",","."))+1,9)),IF(ISNUMBER(SEARCH("yea",C445)),IFERROR(_xlfn.NUMBERVALUE(SUBSTITUTE(LEFT(TRIM(C445),FIND(" ",TRIM(C445)&amp;" ")-1),",","."),"."),LEFT(SUBSTITUTE(LEFT(TRIM(C445),FIND(" ",TRIM(C445)&amp;" ")-1),",","."),FIND("/",SUBSTITUTE(LEFT(TRIM(C445),FIND(" ",TRIM(C445)&amp;" ")-1),",","."))-1)/MID(SUBSTITUTE(LEFT(TRIM(C445),FIND(" ",TRIM(C445)&amp;" ")-1),",","."),FIND("/",SUBSTITUTE(LEFT(TRIM(C445),FIND(" ",TRIM(C445)&amp;" ")-1),",","."))+1,9))*12,NA()))),0),18)*'Aturan &amp; Tarif'!$B$4,2)</f>
        <v>1022.04</v>
      </c>
      <c r="K445" s="32" t="n">
        <f aca="false">'Aturan &amp; Tarif'!$B$5</f>
        <v>2050</v>
      </c>
      <c r="L445" s="32" t="n">
        <f aca="false">'Aturan &amp; Tarif'!$B$6</f>
        <v>350</v>
      </c>
      <c r="M445" s="35" t="n">
        <f aca="false">I445+J445+K445+L445</f>
        <v>23362.04</v>
      </c>
      <c r="N445" s="37" t="s">
        <v>744</v>
      </c>
    </row>
    <row r="446" customFormat="false" ht="25.5" hidden="false" customHeight="true" outlineLevel="0" collapsed="false">
      <c r="A446" s="29"/>
      <c r="B446" s="30" t="s">
        <v>972</v>
      </c>
      <c r="C446" s="31" t="s">
        <v>344</v>
      </c>
      <c r="D446" s="31" t="s">
        <v>737</v>
      </c>
      <c r="E446" s="32" t="n">
        <v>13600</v>
      </c>
      <c r="F446" s="32" t="n">
        <v>0</v>
      </c>
      <c r="G446" s="32" t="n">
        <v>300</v>
      </c>
      <c r="H446" s="33" t="n">
        <v>1</v>
      </c>
      <c r="I446" s="34" t="n">
        <f aca="false">E446*H446+N(F446)+N(G446)</f>
        <v>13900</v>
      </c>
      <c r="J446" s="32" t="n">
        <f aca="false">ROUND(IFERROR(ROUND(IF(OR(ISNUMBER(SEARCH("week",C446)),ISNUMBER(SEARCH("minggu",C446))),IFERROR(_xlfn.NUMBERVALUE(SUBSTITUTE(LEFT(TRIM(C446),FIND(" ",TRIM(C446)&amp;" ")-1),",","."),"."),LEFT(SUBSTITUTE(LEFT(TRIM(C446),FIND(" ",TRIM(C446)&amp;" ")-1),",","."),FIND("/",SUBSTITUTE(LEFT(TRIM(C446),FIND(" ",TRIM(C446)&amp;" ")-1),",","."))-1)/MID(SUBSTITUTE(LEFT(TRIM(C446),FIND(" ",TRIM(C446)&amp;" ")-1),",","."),FIND("/",SUBSTITUTE(LEFT(TRIM(C446),FIND(" ",TRIM(C446)&amp;" ")-1),",","."))+1,9))*12/52,IF(ISNUMBER(SEARCH("month",C446)),IFERROR(_xlfn.NUMBERVALUE(SUBSTITUTE(LEFT(TRIM(C446),FIND(" ",TRIM(C446)&amp;" ")-1),",","."),"."),LEFT(SUBSTITUTE(LEFT(TRIM(C446),FIND(" ",TRIM(C446)&amp;" ")-1),",","."),FIND("/",SUBSTITUTE(LEFT(TRIM(C446),FIND(" ",TRIM(C446)&amp;" ")-1),",","."))-1)/MID(SUBSTITUTE(LEFT(TRIM(C446),FIND(" ",TRIM(C446)&amp;" ")-1),",","."),FIND("/",SUBSTITUTE(LEFT(TRIM(C446),FIND(" ",TRIM(C446)&amp;" ")-1),",","."))+1,9)),IF(ISNUMBER(SEARCH("yea",C446)),IFERROR(_xlfn.NUMBERVALUE(SUBSTITUTE(LEFT(TRIM(C446),FIND(" ",TRIM(C446)&amp;" ")-1),",","."),"."),LEFT(SUBSTITUTE(LEFT(TRIM(C446),FIND(" ",TRIM(C446)&amp;" ")-1),",","."),FIND("/",SUBSTITUTE(LEFT(TRIM(C446),FIND(" ",TRIM(C446)&amp;" ")-1),",","."))-1)/MID(SUBSTITUTE(LEFT(TRIM(C446),FIND(" ",TRIM(C446)&amp;" ")-1),",","."),FIND("/",SUBSTITUTE(LEFT(TRIM(C446),FIND(" ",TRIM(C446)&amp;" ")-1),",","."))+1,9))*12,NA()))),0),6)*'Aturan &amp; Tarif'!$B$4,2)</f>
        <v>340.68</v>
      </c>
      <c r="K446" s="32" t="n">
        <f aca="false">'Aturan &amp; Tarif'!$B$5</f>
        <v>2050</v>
      </c>
      <c r="L446" s="32" t="n">
        <f aca="false">'Aturan &amp; Tarif'!$B$6</f>
        <v>350</v>
      </c>
      <c r="M446" s="35" t="n">
        <f aca="false">I446+J446+K446+L446</f>
        <v>16640.68</v>
      </c>
      <c r="N446" s="37" t="s">
        <v>738</v>
      </c>
    </row>
    <row r="447" customFormat="false" ht="25.5" hidden="false" customHeight="true" outlineLevel="0" collapsed="false">
      <c r="A447" s="29"/>
      <c r="B447" s="30" t="s">
        <v>973</v>
      </c>
      <c r="C447" s="31" t="s">
        <v>107</v>
      </c>
      <c r="D447" s="31" t="s">
        <v>737</v>
      </c>
      <c r="E447" s="32" t="n">
        <v>13600</v>
      </c>
      <c r="F447" s="32" t="n">
        <v>0</v>
      </c>
      <c r="G447" s="32" t="n">
        <v>300</v>
      </c>
      <c r="H447" s="33" t="n">
        <v>1</v>
      </c>
      <c r="I447" s="34" t="n">
        <f aca="false">E447*H447+N(F447)+N(G447)</f>
        <v>13900</v>
      </c>
      <c r="J447" s="32" t="n">
        <f aca="false">ROUND(IFERROR(ROUND(IF(OR(ISNUMBER(SEARCH("week",C447)),ISNUMBER(SEARCH("minggu",C447))),IFERROR(_xlfn.NUMBERVALUE(SUBSTITUTE(LEFT(TRIM(C447),FIND(" ",TRIM(C447)&amp;" ")-1),",","."),"."),LEFT(SUBSTITUTE(LEFT(TRIM(C447),FIND(" ",TRIM(C447)&amp;" ")-1),",","."),FIND("/",SUBSTITUTE(LEFT(TRIM(C447),FIND(" ",TRIM(C447)&amp;" ")-1),",","."))-1)/MID(SUBSTITUTE(LEFT(TRIM(C447),FIND(" ",TRIM(C447)&amp;" ")-1),",","."),FIND("/",SUBSTITUTE(LEFT(TRIM(C447),FIND(" ",TRIM(C447)&amp;" ")-1),",","."))+1,9))*12/52,IF(ISNUMBER(SEARCH("month",C447)),IFERROR(_xlfn.NUMBERVALUE(SUBSTITUTE(LEFT(TRIM(C447),FIND(" ",TRIM(C447)&amp;" ")-1),",","."),"."),LEFT(SUBSTITUTE(LEFT(TRIM(C447),FIND(" ",TRIM(C447)&amp;" ")-1),",","."),FIND("/",SUBSTITUTE(LEFT(TRIM(C447),FIND(" ",TRIM(C447)&amp;" ")-1),",","."))-1)/MID(SUBSTITUTE(LEFT(TRIM(C447),FIND(" ",TRIM(C447)&amp;" ")-1),",","."),FIND("/",SUBSTITUTE(LEFT(TRIM(C447),FIND(" ",TRIM(C447)&amp;" ")-1),",","."))+1,9)),IF(ISNUMBER(SEARCH("yea",C447)),IFERROR(_xlfn.NUMBERVALUE(SUBSTITUTE(LEFT(TRIM(C447),FIND(" ",TRIM(C447)&amp;" ")-1),",","."),"."),LEFT(SUBSTITUTE(LEFT(TRIM(C447),FIND(" ",TRIM(C447)&amp;" ")-1),",","."),FIND("/",SUBSTITUTE(LEFT(TRIM(C447),FIND(" ",TRIM(C447)&amp;" ")-1),",","."))-1)/MID(SUBSTITUTE(LEFT(TRIM(C447),FIND(" ",TRIM(C447)&amp;" ")-1),",","."),FIND("/",SUBSTITUTE(LEFT(TRIM(C447),FIND(" ",TRIM(C447)&amp;" ")-1),",","."))+1,9))*12,NA()))),0),24)*'Aturan &amp; Tarif'!$B$4,2)</f>
        <v>1362.72</v>
      </c>
      <c r="K447" s="32" t="n">
        <f aca="false">'Aturan &amp; Tarif'!$B$5</f>
        <v>2050</v>
      </c>
      <c r="L447" s="32" t="n">
        <f aca="false">'Aturan &amp; Tarif'!$B$6</f>
        <v>350</v>
      </c>
      <c r="M447" s="35" t="n">
        <f aca="false">I447+J447+K447+L447</f>
        <v>17662.72</v>
      </c>
      <c r="N447" s="37" t="s">
        <v>738</v>
      </c>
    </row>
    <row r="448" customFormat="false" ht="25.5" hidden="false" customHeight="true" outlineLevel="0" collapsed="false">
      <c r="A448" s="29"/>
      <c r="B448" s="30" t="s">
        <v>974</v>
      </c>
      <c r="C448" s="31" t="s">
        <v>113</v>
      </c>
      <c r="D448" s="31" t="s">
        <v>737</v>
      </c>
      <c r="E448" s="32" t="n">
        <v>13600</v>
      </c>
      <c r="F448" s="32" t="n">
        <v>0</v>
      </c>
      <c r="G448" s="32" t="n">
        <v>300</v>
      </c>
      <c r="H448" s="33" t="n">
        <v>1</v>
      </c>
      <c r="I448" s="34" t="n">
        <f aca="false">E448*H448+N(F448)+N(G448)</f>
        <v>13900</v>
      </c>
      <c r="J448" s="32" t="n">
        <f aca="false">ROUND(IFERROR(ROUND(IF(OR(ISNUMBER(SEARCH("week",C448)),ISNUMBER(SEARCH("minggu",C448))),IFERROR(_xlfn.NUMBERVALUE(SUBSTITUTE(LEFT(TRIM(C448),FIND(" ",TRIM(C448)&amp;" ")-1),",","."),"."),LEFT(SUBSTITUTE(LEFT(TRIM(C448),FIND(" ",TRIM(C448)&amp;" ")-1),",","."),FIND("/",SUBSTITUTE(LEFT(TRIM(C448),FIND(" ",TRIM(C448)&amp;" ")-1),",","."))-1)/MID(SUBSTITUTE(LEFT(TRIM(C448),FIND(" ",TRIM(C448)&amp;" ")-1),",","."),FIND("/",SUBSTITUTE(LEFT(TRIM(C448),FIND(" ",TRIM(C448)&amp;" ")-1),",","."))+1,9))*12/52,IF(ISNUMBER(SEARCH("month",C448)),IFERROR(_xlfn.NUMBERVALUE(SUBSTITUTE(LEFT(TRIM(C448),FIND(" ",TRIM(C448)&amp;" ")-1),",","."),"."),LEFT(SUBSTITUTE(LEFT(TRIM(C448),FIND(" ",TRIM(C448)&amp;" ")-1),",","."),FIND("/",SUBSTITUTE(LEFT(TRIM(C448),FIND(" ",TRIM(C448)&amp;" ")-1),",","."))-1)/MID(SUBSTITUTE(LEFT(TRIM(C448),FIND(" ",TRIM(C448)&amp;" ")-1),",","."),FIND("/",SUBSTITUTE(LEFT(TRIM(C448),FIND(" ",TRIM(C448)&amp;" ")-1),",","."))+1,9)),IF(ISNUMBER(SEARCH("yea",C448)),IFERROR(_xlfn.NUMBERVALUE(SUBSTITUTE(LEFT(TRIM(C448),FIND(" ",TRIM(C448)&amp;" ")-1),",","."),"."),LEFT(SUBSTITUTE(LEFT(TRIM(C448),FIND(" ",TRIM(C448)&amp;" ")-1),",","."),FIND("/",SUBSTITUTE(LEFT(TRIM(C448),FIND(" ",TRIM(C448)&amp;" ")-1),",","."))-1)/MID(SUBSTITUTE(LEFT(TRIM(C448),FIND(" ",TRIM(C448)&amp;" ")-1),",","."),FIND("/",SUBSTITUTE(LEFT(TRIM(C448),FIND(" ",TRIM(C448)&amp;" ")-1),",","."))+1,9))*12,NA()))),0),18)*'Aturan &amp; Tarif'!$B$4,2)</f>
        <v>1022.04</v>
      </c>
      <c r="K448" s="32" t="n">
        <f aca="false">'Aturan &amp; Tarif'!$B$5</f>
        <v>2050</v>
      </c>
      <c r="L448" s="32" t="n">
        <f aca="false">'Aturan &amp; Tarif'!$B$6</f>
        <v>350</v>
      </c>
      <c r="M448" s="35" t="n">
        <f aca="false">I448+J448+K448+L448</f>
        <v>17322.04</v>
      </c>
      <c r="N448" s="37" t="s">
        <v>738</v>
      </c>
    </row>
    <row r="449" customFormat="false" ht="25.5" hidden="false" customHeight="true" outlineLevel="0" collapsed="false">
      <c r="A449" s="29"/>
      <c r="B449" s="30" t="s">
        <v>975</v>
      </c>
      <c r="C449" s="31" t="s">
        <v>113</v>
      </c>
      <c r="D449" s="31" t="s">
        <v>737</v>
      </c>
      <c r="E449" s="32" t="n">
        <v>13600</v>
      </c>
      <c r="F449" s="32" t="n">
        <v>0</v>
      </c>
      <c r="G449" s="32" t="n">
        <v>300</v>
      </c>
      <c r="H449" s="33" t="n">
        <v>1</v>
      </c>
      <c r="I449" s="34" t="n">
        <f aca="false">E449*H449+N(F449)+N(G449)</f>
        <v>13900</v>
      </c>
      <c r="J449" s="32" t="n">
        <f aca="false">ROUND(IFERROR(ROUND(IF(OR(ISNUMBER(SEARCH("week",C449)),ISNUMBER(SEARCH("minggu",C449))),IFERROR(_xlfn.NUMBERVALUE(SUBSTITUTE(LEFT(TRIM(C449),FIND(" ",TRIM(C449)&amp;" ")-1),",","."),"."),LEFT(SUBSTITUTE(LEFT(TRIM(C449),FIND(" ",TRIM(C449)&amp;" ")-1),",","."),FIND("/",SUBSTITUTE(LEFT(TRIM(C449),FIND(" ",TRIM(C449)&amp;" ")-1),",","."))-1)/MID(SUBSTITUTE(LEFT(TRIM(C449),FIND(" ",TRIM(C449)&amp;" ")-1),",","."),FIND("/",SUBSTITUTE(LEFT(TRIM(C449),FIND(" ",TRIM(C449)&amp;" ")-1),",","."))+1,9))*12/52,IF(ISNUMBER(SEARCH("month",C449)),IFERROR(_xlfn.NUMBERVALUE(SUBSTITUTE(LEFT(TRIM(C449),FIND(" ",TRIM(C449)&amp;" ")-1),",","."),"."),LEFT(SUBSTITUTE(LEFT(TRIM(C449),FIND(" ",TRIM(C449)&amp;" ")-1),",","."),FIND("/",SUBSTITUTE(LEFT(TRIM(C449),FIND(" ",TRIM(C449)&amp;" ")-1),",","."))-1)/MID(SUBSTITUTE(LEFT(TRIM(C449),FIND(" ",TRIM(C449)&amp;" ")-1),",","."),FIND("/",SUBSTITUTE(LEFT(TRIM(C449),FIND(" ",TRIM(C449)&amp;" ")-1),",","."))+1,9)),IF(ISNUMBER(SEARCH("yea",C449)),IFERROR(_xlfn.NUMBERVALUE(SUBSTITUTE(LEFT(TRIM(C449),FIND(" ",TRIM(C449)&amp;" ")-1),",","."),"."),LEFT(SUBSTITUTE(LEFT(TRIM(C449),FIND(" ",TRIM(C449)&amp;" ")-1),",","."),FIND("/",SUBSTITUTE(LEFT(TRIM(C449),FIND(" ",TRIM(C449)&amp;" ")-1),",","."))-1)/MID(SUBSTITUTE(LEFT(TRIM(C449),FIND(" ",TRIM(C449)&amp;" ")-1),",","."),FIND("/",SUBSTITUTE(LEFT(TRIM(C449),FIND(" ",TRIM(C449)&amp;" ")-1),",","."))+1,9))*12,NA()))),0),18)*'Aturan &amp; Tarif'!$B$4,2)</f>
        <v>1022.04</v>
      </c>
      <c r="K449" s="32" t="n">
        <f aca="false">'Aturan &amp; Tarif'!$B$5</f>
        <v>2050</v>
      </c>
      <c r="L449" s="32" t="n">
        <f aca="false">'Aturan &amp; Tarif'!$B$6</f>
        <v>350</v>
      </c>
      <c r="M449" s="35" t="n">
        <f aca="false">I449+J449+K449+L449</f>
        <v>17322.04</v>
      </c>
      <c r="N449" s="37" t="s">
        <v>738</v>
      </c>
    </row>
    <row r="450" customFormat="false" ht="25.5" hidden="false" customHeight="true" outlineLevel="0" collapsed="false">
      <c r="A450" s="29"/>
      <c r="B450" s="30" t="s">
        <v>976</v>
      </c>
      <c r="C450" s="31" t="s">
        <v>107</v>
      </c>
      <c r="D450" s="31" t="s">
        <v>737</v>
      </c>
      <c r="E450" s="32" t="n">
        <v>13600</v>
      </c>
      <c r="F450" s="32" t="n">
        <v>0</v>
      </c>
      <c r="G450" s="32" t="n">
        <v>300</v>
      </c>
      <c r="H450" s="33" t="n">
        <v>1</v>
      </c>
      <c r="I450" s="34" t="n">
        <f aca="false">E450*H450+N(F450)+N(G450)</f>
        <v>13900</v>
      </c>
      <c r="J450" s="32" t="n">
        <f aca="false">ROUND(IFERROR(ROUND(IF(OR(ISNUMBER(SEARCH("week",C450)),ISNUMBER(SEARCH("minggu",C450))),IFERROR(_xlfn.NUMBERVALUE(SUBSTITUTE(LEFT(TRIM(C450),FIND(" ",TRIM(C450)&amp;" ")-1),",","."),"."),LEFT(SUBSTITUTE(LEFT(TRIM(C450),FIND(" ",TRIM(C450)&amp;" ")-1),",","."),FIND("/",SUBSTITUTE(LEFT(TRIM(C450),FIND(" ",TRIM(C450)&amp;" ")-1),",","."))-1)/MID(SUBSTITUTE(LEFT(TRIM(C450),FIND(" ",TRIM(C450)&amp;" ")-1),",","."),FIND("/",SUBSTITUTE(LEFT(TRIM(C450),FIND(" ",TRIM(C450)&amp;" ")-1),",","."))+1,9))*12/52,IF(ISNUMBER(SEARCH("month",C450)),IFERROR(_xlfn.NUMBERVALUE(SUBSTITUTE(LEFT(TRIM(C450),FIND(" ",TRIM(C450)&amp;" ")-1),",","."),"."),LEFT(SUBSTITUTE(LEFT(TRIM(C450),FIND(" ",TRIM(C450)&amp;" ")-1),",","."),FIND("/",SUBSTITUTE(LEFT(TRIM(C450),FIND(" ",TRIM(C450)&amp;" ")-1),",","."))-1)/MID(SUBSTITUTE(LEFT(TRIM(C450),FIND(" ",TRIM(C450)&amp;" ")-1),",","."),FIND("/",SUBSTITUTE(LEFT(TRIM(C450),FIND(" ",TRIM(C450)&amp;" ")-1),",","."))+1,9)),IF(ISNUMBER(SEARCH("yea",C450)),IFERROR(_xlfn.NUMBERVALUE(SUBSTITUTE(LEFT(TRIM(C450),FIND(" ",TRIM(C450)&amp;" ")-1),",","."),"."),LEFT(SUBSTITUTE(LEFT(TRIM(C450),FIND(" ",TRIM(C450)&amp;" ")-1),",","."),FIND("/",SUBSTITUTE(LEFT(TRIM(C450),FIND(" ",TRIM(C450)&amp;" ")-1),",","."))-1)/MID(SUBSTITUTE(LEFT(TRIM(C450),FIND(" ",TRIM(C450)&amp;" ")-1),",","."),FIND("/",SUBSTITUTE(LEFT(TRIM(C450),FIND(" ",TRIM(C450)&amp;" ")-1),",","."))+1,9))*12,NA()))),0),24)*'Aturan &amp; Tarif'!$B$4,2)</f>
        <v>1362.72</v>
      </c>
      <c r="K450" s="32" t="n">
        <f aca="false">'Aturan &amp; Tarif'!$B$5</f>
        <v>2050</v>
      </c>
      <c r="L450" s="32" t="n">
        <f aca="false">'Aturan &amp; Tarif'!$B$6</f>
        <v>350</v>
      </c>
      <c r="M450" s="35" t="n">
        <f aca="false">I450+J450+K450+L450</f>
        <v>17662.72</v>
      </c>
      <c r="N450" s="37" t="s">
        <v>738</v>
      </c>
    </row>
    <row r="451" customFormat="false" ht="37.5" hidden="false" customHeight="true" outlineLevel="0" collapsed="false">
      <c r="A451" s="29"/>
      <c r="B451" s="30" t="s">
        <v>977</v>
      </c>
      <c r="C451" s="31" t="s">
        <v>138</v>
      </c>
      <c r="D451" s="31" t="s">
        <v>737</v>
      </c>
      <c r="E451" s="32" t="n">
        <v>13600</v>
      </c>
      <c r="F451" s="32" t="n">
        <v>0</v>
      </c>
      <c r="G451" s="32" t="n">
        <v>300</v>
      </c>
      <c r="H451" s="33" t="n">
        <v>1</v>
      </c>
      <c r="I451" s="34" t="n">
        <f aca="false">E451*H451+N(F451)+N(G451)</f>
        <v>13900</v>
      </c>
      <c r="J451" s="32" t="n">
        <f aca="false">ROUND(IFERROR(ROUND(IF(OR(ISNUMBER(SEARCH("week",C451)),ISNUMBER(SEARCH("minggu",C451))),IFERROR(_xlfn.NUMBERVALUE(SUBSTITUTE(LEFT(TRIM(C451),FIND(" ",TRIM(C451)&amp;" ")-1),",","."),"."),LEFT(SUBSTITUTE(LEFT(TRIM(C451),FIND(" ",TRIM(C451)&amp;" ")-1),",","."),FIND("/",SUBSTITUTE(LEFT(TRIM(C451),FIND(" ",TRIM(C451)&amp;" ")-1),",","."))-1)/MID(SUBSTITUTE(LEFT(TRIM(C451),FIND(" ",TRIM(C451)&amp;" ")-1),",","."),FIND("/",SUBSTITUTE(LEFT(TRIM(C451),FIND(" ",TRIM(C451)&amp;" ")-1),",","."))+1,9))*12/52,IF(ISNUMBER(SEARCH("month",C451)),IFERROR(_xlfn.NUMBERVALUE(SUBSTITUTE(LEFT(TRIM(C451),FIND(" ",TRIM(C451)&amp;" ")-1),",","."),"."),LEFT(SUBSTITUTE(LEFT(TRIM(C451),FIND(" ",TRIM(C451)&amp;" ")-1),",","."),FIND("/",SUBSTITUTE(LEFT(TRIM(C451),FIND(" ",TRIM(C451)&amp;" ")-1),",","."))-1)/MID(SUBSTITUTE(LEFT(TRIM(C451),FIND(" ",TRIM(C451)&amp;" ")-1),",","."),FIND("/",SUBSTITUTE(LEFT(TRIM(C451),FIND(" ",TRIM(C451)&amp;" ")-1),",","."))+1,9)),IF(ISNUMBER(SEARCH("yea",C451)),IFERROR(_xlfn.NUMBERVALUE(SUBSTITUTE(LEFT(TRIM(C451),FIND(" ",TRIM(C451)&amp;" ")-1),",","."),"."),LEFT(SUBSTITUTE(LEFT(TRIM(C451),FIND(" ",TRIM(C451)&amp;" ")-1),",","."),FIND("/",SUBSTITUTE(LEFT(TRIM(C451),FIND(" ",TRIM(C451)&amp;" ")-1),",","."))-1)/MID(SUBSTITUTE(LEFT(TRIM(C451),FIND(" ",TRIM(C451)&amp;" ")-1),",","."),FIND("/",SUBSTITUTE(LEFT(TRIM(C451),FIND(" ",TRIM(C451)&amp;" ")-1),",","."))+1,9))*12,NA()))),0),30)*'Aturan &amp; Tarif'!$B$4,2)</f>
        <v>1703.4</v>
      </c>
      <c r="K451" s="32" t="n">
        <f aca="false">'Aturan &amp; Tarif'!$B$5</f>
        <v>2050</v>
      </c>
      <c r="L451" s="32" t="n">
        <f aca="false">'Aturan &amp; Tarif'!$B$6</f>
        <v>350</v>
      </c>
      <c r="M451" s="35" t="n">
        <f aca="false">I451+J451+K451+L451</f>
        <v>18003.4</v>
      </c>
      <c r="N451" s="37" t="s">
        <v>738</v>
      </c>
    </row>
    <row r="452" customFormat="false" ht="25.5" hidden="false" customHeight="true" outlineLevel="0" collapsed="false">
      <c r="A452" s="29"/>
      <c r="B452" s="30" t="s">
        <v>1638</v>
      </c>
      <c r="C452" s="31" t="s">
        <v>344</v>
      </c>
      <c r="D452" s="31" t="s">
        <v>737</v>
      </c>
      <c r="E452" s="32" t="n">
        <v>14560</v>
      </c>
      <c r="F452" s="32" t="n">
        <v>0</v>
      </c>
      <c r="G452" s="32" t="n">
        <v>300</v>
      </c>
      <c r="H452" s="33" t="n">
        <v>1</v>
      </c>
      <c r="I452" s="34" t="n">
        <f aca="false">E452*H452+N(F452)+N(G452)</f>
        <v>14860</v>
      </c>
      <c r="J452" s="32" t="n">
        <f aca="false">ROUND(IFERROR(ROUND(IF(OR(ISNUMBER(SEARCH("week",C452)),ISNUMBER(SEARCH("minggu",C452))),IFERROR(_xlfn.NUMBERVALUE(SUBSTITUTE(LEFT(TRIM(C452),FIND(" ",TRIM(C452)&amp;" ")-1),",","."),"."),LEFT(SUBSTITUTE(LEFT(TRIM(C452),FIND(" ",TRIM(C452)&amp;" ")-1),",","."),FIND("/",SUBSTITUTE(LEFT(TRIM(C452),FIND(" ",TRIM(C452)&amp;" ")-1),",","."))-1)/MID(SUBSTITUTE(LEFT(TRIM(C452),FIND(" ",TRIM(C452)&amp;" ")-1),",","."),FIND("/",SUBSTITUTE(LEFT(TRIM(C452),FIND(" ",TRIM(C452)&amp;" ")-1),",","."))+1,9))*12/52,IF(ISNUMBER(SEARCH("month",C452)),IFERROR(_xlfn.NUMBERVALUE(SUBSTITUTE(LEFT(TRIM(C452),FIND(" ",TRIM(C452)&amp;" ")-1),",","."),"."),LEFT(SUBSTITUTE(LEFT(TRIM(C452),FIND(" ",TRIM(C452)&amp;" ")-1),",","."),FIND("/",SUBSTITUTE(LEFT(TRIM(C452),FIND(" ",TRIM(C452)&amp;" ")-1),",","."))-1)/MID(SUBSTITUTE(LEFT(TRIM(C452),FIND(" ",TRIM(C452)&amp;" ")-1),",","."),FIND("/",SUBSTITUTE(LEFT(TRIM(C452),FIND(" ",TRIM(C452)&amp;" ")-1),",","."))+1,9)),IF(ISNUMBER(SEARCH("yea",C452)),IFERROR(_xlfn.NUMBERVALUE(SUBSTITUTE(LEFT(TRIM(C452),FIND(" ",TRIM(C452)&amp;" ")-1),",","."),"."),LEFT(SUBSTITUTE(LEFT(TRIM(C452),FIND(" ",TRIM(C452)&amp;" ")-1),",","."),FIND("/",SUBSTITUTE(LEFT(TRIM(C452),FIND(" ",TRIM(C452)&amp;" ")-1),",","."))-1)/MID(SUBSTITUTE(LEFT(TRIM(C452),FIND(" ",TRIM(C452)&amp;" ")-1),",","."),FIND("/",SUBSTITUTE(LEFT(TRIM(C452),FIND(" ",TRIM(C452)&amp;" ")-1),",","."))+1,9))*12,NA()))),0),6)*'Aturan &amp; Tarif'!$B$4,2)</f>
        <v>340.68</v>
      </c>
      <c r="K452" s="32" t="n">
        <f aca="false">'Aturan &amp; Tarif'!$B$5</f>
        <v>2050</v>
      </c>
      <c r="L452" s="32" t="n">
        <f aca="false">'Aturan &amp; Tarif'!$B$6</f>
        <v>350</v>
      </c>
      <c r="M452" s="35" t="n">
        <f aca="false">I452+J452+K452+L452</f>
        <v>17600.68</v>
      </c>
      <c r="N452" s="37" t="s">
        <v>738</v>
      </c>
    </row>
    <row r="453" customFormat="false" ht="25.5" hidden="false" customHeight="true" outlineLevel="0" collapsed="false">
      <c r="A453" s="29"/>
      <c r="B453" s="30" t="s">
        <v>1639</v>
      </c>
      <c r="C453" s="31" t="s">
        <v>130</v>
      </c>
      <c r="D453" s="31" t="s">
        <v>737</v>
      </c>
      <c r="E453" s="32" t="n">
        <v>14560</v>
      </c>
      <c r="F453" s="32" t="n">
        <v>0</v>
      </c>
      <c r="G453" s="32" t="n">
        <v>300</v>
      </c>
      <c r="H453" s="33" t="n">
        <v>1</v>
      </c>
      <c r="I453" s="34" t="n">
        <f aca="false">E453*H453+N(F453)+N(G453)</f>
        <v>14860</v>
      </c>
      <c r="J453" s="32" t="n">
        <f aca="false">ROUND(IFERROR(ROUND(IF(OR(ISNUMBER(SEARCH("week",C453)),ISNUMBER(SEARCH("minggu",C453))),IFERROR(_xlfn.NUMBERVALUE(SUBSTITUTE(LEFT(TRIM(C453),FIND(" ",TRIM(C453)&amp;" ")-1),",","."),"."),LEFT(SUBSTITUTE(LEFT(TRIM(C453),FIND(" ",TRIM(C453)&amp;" ")-1),",","."),FIND("/",SUBSTITUTE(LEFT(TRIM(C453),FIND(" ",TRIM(C453)&amp;" ")-1),",","."))-1)/MID(SUBSTITUTE(LEFT(TRIM(C453),FIND(" ",TRIM(C453)&amp;" ")-1),",","."),FIND("/",SUBSTITUTE(LEFT(TRIM(C453),FIND(" ",TRIM(C453)&amp;" ")-1),",","."))+1,9))*12/52,IF(ISNUMBER(SEARCH("month",C453)),IFERROR(_xlfn.NUMBERVALUE(SUBSTITUTE(LEFT(TRIM(C453),FIND(" ",TRIM(C453)&amp;" ")-1),",","."),"."),LEFT(SUBSTITUTE(LEFT(TRIM(C453),FIND(" ",TRIM(C453)&amp;" ")-1),",","."),FIND("/",SUBSTITUTE(LEFT(TRIM(C453),FIND(" ",TRIM(C453)&amp;" ")-1),",","."))-1)/MID(SUBSTITUTE(LEFT(TRIM(C453),FIND(" ",TRIM(C453)&amp;" ")-1),",","."),FIND("/",SUBSTITUTE(LEFT(TRIM(C453),FIND(" ",TRIM(C453)&amp;" ")-1),",","."))+1,9)),IF(ISNUMBER(SEARCH("yea",C453)),IFERROR(_xlfn.NUMBERVALUE(SUBSTITUTE(LEFT(TRIM(C453),FIND(" ",TRIM(C453)&amp;" ")-1),",","."),"."),LEFT(SUBSTITUTE(LEFT(TRIM(C453),FIND(" ",TRIM(C453)&amp;" ")-1),",","."),FIND("/",SUBSTITUTE(LEFT(TRIM(C453),FIND(" ",TRIM(C453)&amp;" ")-1),",","."))-1)/MID(SUBSTITUTE(LEFT(TRIM(C453),FIND(" ",TRIM(C453)&amp;" ")-1),",","."),FIND("/",SUBSTITUTE(LEFT(TRIM(C453),FIND(" ",TRIM(C453)&amp;" ")-1),",","."))+1,9))*12,NA()))),0),12)*'Aturan &amp; Tarif'!$B$4,2)</f>
        <v>681.36</v>
      </c>
      <c r="K453" s="32" t="n">
        <f aca="false">'Aturan &amp; Tarif'!$B$5</f>
        <v>2050</v>
      </c>
      <c r="L453" s="32" t="n">
        <f aca="false">'Aturan &amp; Tarif'!$B$6</f>
        <v>350</v>
      </c>
      <c r="M453" s="35" t="n">
        <f aca="false">I453+J453+K453+L453</f>
        <v>17941.36</v>
      </c>
      <c r="N453" s="37" t="s">
        <v>738</v>
      </c>
    </row>
    <row r="454" customFormat="false" ht="14.25" hidden="false" customHeight="true" outlineLevel="0" collapsed="false">
      <c r="A454" s="29"/>
      <c r="B454" s="30" t="s">
        <v>980</v>
      </c>
      <c r="C454" s="31" t="s">
        <v>113</v>
      </c>
      <c r="D454" s="31" t="s">
        <v>737</v>
      </c>
      <c r="E454" s="32" t="n">
        <v>14560</v>
      </c>
      <c r="F454" s="32" t="n">
        <v>0</v>
      </c>
      <c r="G454" s="32" t="n">
        <v>300</v>
      </c>
      <c r="H454" s="33" t="n">
        <v>1</v>
      </c>
      <c r="I454" s="34" t="n">
        <f aca="false">E454*H454+N(F454)+N(G454)</f>
        <v>14860</v>
      </c>
      <c r="J454" s="32" t="n">
        <f aca="false">ROUND(IFERROR(ROUND(IF(OR(ISNUMBER(SEARCH("week",C454)),ISNUMBER(SEARCH("minggu",C454))),IFERROR(_xlfn.NUMBERVALUE(SUBSTITUTE(LEFT(TRIM(C454),FIND(" ",TRIM(C454)&amp;" ")-1),",","."),"."),LEFT(SUBSTITUTE(LEFT(TRIM(C454),FIND(" ",TRIM(C454)&amp;" ")-1),",","."),FIND("/",SUBSTITUTE(LEFT(TRIM(C454),FIND(" ",TRIM(C454)&amp;" ")-1),",","."))-1)/MID(SUBSTITUTE(LEFT(TRIM(C454),FIND(" ",TRIM(C454)&amp;" ")-1),",","."),FIND("/",SUBSTITUTE(LEFT(TRIM(C454),FIND(" ",TRIM(C454)&amp;" ")-1),",","."))+1,9))*12/52,IF(ISNUMBER(SEARCH("month",C454)),IFERROR(_xlfn.NUMBERVALUE(SUBSTITUTE(LEFT(TRIM(C454),FIND(" ",TRIM(C454)&amp;" ")-1),",","."),"."),LEFT(SUBSTITUTE(LEFT(TRIM(C454),FIND(" ",TRIM(C454)&amp;" ")-1),",","."),FIND("/",SUBSTITUTE(LEFT(TRIM(C454),FIND(" ",TRIM(C454)&amp;" ")-1),",","."))-1)/MID(SUBSTITUTE(LEFT(TRIM(C454),FIND(" ",TRIM(C454)&amp;" ")-1),",","."),FIND("/",SUBSTITUTE(LEFT(TRIM(C454),FIND(" ",TRIM(C454)&amp;" ")-1),",","."))+1,9)),IF(ISNUMBER(SEARCH("yea",C454)),IFERROR(_xlfn.NUMBERVALUE(SUBSTITUTE(LEFT(TRIM(C454),FIND(" ",TRIM(C454)&amp;" ")-1),",","."),"."),LEFT(SUBSTITUTE(LEFT(TRIM(C454),FIND(" ",TRIM(C454)&amp;" ")-1),",","."),FIND("/",SUBSTITUTE(LEFT(TRIM(C454),FIND(" ",TRIM(C454)&amp;" ")-1),",","."))-1)/MID(SUBSTITUTE(LEFT(TRIM(C454),FIND(" ",TRIM(C454)&amp;" ")-1),",","."),FIND("/",SUBSTITUTE(LEFT(TRIM(C454),FIND(" ",TRIM(C454)&amp;" ")-1),",","."))+1,9))*12,NA()))),0),18)*'Aturan &amp; Tarif'!$B$4,2)</f>
        <v>1022.04</v>
      </c>
      <c r="K454" s="32" t="n">
        <f aca="false">'Aturan &amp; Tarif'!$B$5</f>
        <v>2050</v>
      </c>
      <c r="L454" s="32" t="n">
        <f aca="false">'Aturan &amp; Tarif'!$B$6</f>
        <v>350</v>
      </c>
      <c r="M454" s="35" t="n">
        <f aca="false">I454+J454+K454+L454</f>
        <v>18282.04</v>
      </c>
      <c r="N454" s="37" t="s">
        <v>738</v>
      </c>
    </row>
    <row r="455" customFormat="false" ht="25.5" hidden="false" customHeight="true" outlineLevel="0" collapsed="false">
      <c r="A455" s="29"/>
      <c r="B455" s="30" t="s">
        <v>981</v>
      </c>
      <c r="C455" s="31" t="s">
        <v>107</v>
      </c>
      <c r="D455" s="31" t="s">
        <v>737</v>
      </c>
      <c r="E455" s="32" t="n">
        <v>14560</v>
      </c>
      <c r="F455" s="32" t="n">
        <v>0</v>
      </c>
      <c r="G455" s="32" t="n">
        <v>300</v>
      </c>
      <c r="H455" s="33" t="n">
        <v>1</v>
      </c>
      <c r="I455" s="34" t="n">
        <f aca="false">E455*H455+N(F455)+N(G455)</f>
        <v>14860</v>
      </c>
      <c r="J455" s="32" t="n">
        <f aca="false">ROUND(IFERROR(ROUND(IF(OR(ISNUMBER(SEARCH("week",C455)),ISNUMBER(SEARCH("minggu",C455))),IFERROR(_xlfn.NUMBERVALUE(SUBSTITUTE(LEFT(TRIM(C455),FIND(" ",TRIM(C455)&amp;" ")-1),",","."),"."),LEFT(SUBSTITUTE(LEFT(TRIM(C455),FIND(" ",TRIM(C455)&amp;" ")-1),",","."),FIND("/",SUBSTITUTE(LEFT(TRIM(C455),FIND(" ",TRIM(C455)&amp;" ")-1),",","."))-1)/MID(SUBSTITUTE(LEFT(TRIM(C455),FIND(" ",TRIM(C455)&amp;" ")-1),",","."),FIND("/",SUBSTITUTE(LEFT(TRIM(C455),FIND(" ",TRIM(C455)&amp;" ")-1),",","."))+1,9))*12/52,IF(ISNUMBER(SEARCH("month",C455)),IFERROR(_xlfn.NUMBERVALUE(SUBSTITUTE(LEFT(TRIM(C455),FIND(" ",TRIM(C455)&amp;" ")-1),",","."),"."),LEFT(SUBSTITUTE(LEFT(TRIM(C455),FIND(" ",TRIM(C455)&amp;" ")-1),",","."),FIND("/",SUBSTITUTE(LEFT(TRIM(C455),FIND(" ",TRIM(C455)&amp;" ")-1),",","."))-1)/MID(SUBSTITUTE(LEFT(TRIM(C455),FIND(" ",TRIM(C455)&amp;" ")-1),",","."),FIND("/",SUBSTITUTE(LEFT(TRIM(C455),FIND(" ",TRIM(C455)&amp;" ")-1),",","."))+1,9)),IF(ISNUMBER(SEARCH("yea",C455)),IFERROR(_xlfn.NUMBERVALUE(SUBSTITUTE(LEFT(TRIM(C455),FIND(" ",TRIM(C455)&amp;" ")-1),",","."),"."),LEFT(SUBSTITUTE(LEFT(TRIM(C455),FIND(" ",TRIM(C455)&amp;" ")-1),",","."),FIND("/",SUBSTITUTE(LEFT(TRIM(C455),FIND(" ",TRIM(C455)&amp;" ")-1),",","."))-1)/MID(SUBSTITUTE(LEFT(TRIM(C455),FIND(" ",TRIM(C455)&amp;" ")-1),",","."),FIND("/",SUBSTITUTE(LEFT(TRIM(C455),FIND(" ",TRIM(C455)&amp;" ")-1),",","."))+1,9))*12,NA()))),0),24)*'Aturan &amp; Tarif'!$B$4,2)</f>
        <v>1362.72</v>
      </c>
      <c r="K455" s="32" t="n">
        <f aca="false">'Aturan &amp; Tarif'!$B$5</f>
        <v>2050</v>
      </c>
      <c r="L455" s="32" t="n">
        <f aca="false">'Aturan &amp; Tarif'!$B$6</f>
        <v>350</v>
      </c>
      <c r="M455" s="35" t="n">
        <f aca="false">I455+J455+K455+L455</f>
        <v>18622.72</v>
      </c>
      <c r="N455" s="37" t="s">
        <v>738</v>
      </c>
    </row>
    <row r="456" customFormat="false" ht="60" hidden="false" customHeight="true" outlineLevel="0" collapsed="false">
      <c r="A456" s="39" t="s">
        <v>1640</v>
      </c>
      <c r="B456" s="40" t="s">
        <v>765</v>
      </c>
      <c r="C456" s="41" t="s">
        <v>107</v>
      </c>
      <c r="D456" s="41" t="s">
        <v>108</v>
      </c>
      <c r="E456" s="42" t="n">
        <v>2775</v>
      </c>
      <c r="F456" s="42" t="n">
        <v>2050</v>
      </c>
      <c r="G456" s="42" t="n">
        <v>250</v>
      </c>
      <c r="H456" s="43" t="n">
        <v>1</v>
      </c>
      <c r="I456" s="34" t="n">
        <f aca="false">E456*H456+N(F456)+N(G456)</f>
        <v>5075</v>
      </c>
      <c r="J456" s="42" t="n">
        <f aca="false">ROUND(IFERROR(ROUND(IF(OR(ISNUMBER(SEARCH("week",C456)),ISNUMBER(SEARCH("minggu",C456))),IFERROR(_xlfn.NUMBERVALUE(SUBSTITUTE(LEFT(TRIM(C456),FIND(" ",TRIM(C456)&amp;" ")-1),",","."),"."),LEFT(SUBSTITUTE(LEFT(TRIM(C456),FIND(" ",TRIM(C456)&amp;" ")-1),",","."),FIND("/",SUBSTITUTE(LEFT(TRIM(C456),FIND(" ",TRIM(C456)&amp;" ")-1),",","."))-1)/MID(SUBSTITUTE(LEFT(TRIM(C456),FIND(" ",TRIM(C456)&amp;" ")-1),",","."),FIND("/",SUBSTITUTE(LEFT(TRIM(C456),FIND(" ",TRIM(C456)&amp;" ")-1),",","."))+1,9))*12/52,IF(ISNUMBER(SEARCH("month",C456)),IFERROR(_xlfn.NUMBERVALUE(SUBSTITUTE(LEFT(TRIM(C456),FIND(" ",TRIM(C456)&amp;" ")-1),",","."),"."),LEFT(SUBSTITUTE(LEFT(TRIM(C456),FIND(" ",TRIM(C456)&amp;" ")-1),",","."),FIND("/",SUBSTITUTE(LEFT(TRIM(C456),FIND(" ",TRIM(C456)&amp;" ")-1),",","."))-1)/MID(SUBSTITUTE(LEFT(TRIM(C456),FIND(" ",TRIM(C456)&amp;" ")-1),",","."),FIND("/",SUBSTITUTE(LEFT(TRIM(C456),FIND(" ",TRIM(C456)&amp;" ")-1),",","."))+1,9)),IF(ISNUMBER(SEARCH("yea",C456)),IFERROR(_xlfn.NUMBERVALUE(SUBSTITUTE(LEFT(TRIM(C456),FIND(" ",TRIM(C456)&amp;" ")-1),",","."),"."),LEFT(SUBSTITUTE(LEFT(TRIM(C456),FIND(" ",TRIM(C456)&amp;" ")-1),",","."),FIND("/",SUBSTITUTE(LEFT(TRIM(C456),FIND(" ",TRIM(C456)&amp;" ")-1),",","."))-1)/MID(SUBSTITUTE(LEFT(TRIM(C456),FIND(" ",TRIM(C456)&amp;" ")-1),",","."),FIND("/",SUBSTITUTE(LEFT(TRIM(C456),FIND(" ",TRIM(C456)&amp;" ")-1),",","."))+1,9))*12,NA()))),0),24)*'Aturan &amp; Tarif'!$B$4,2)</f>
        <v>1362.72</v>
      </c>
      <c r="K456" s="42" t="n">
        <f aca="false">'Aturan &amp; Tarif'!$B$5</f>
        <v>2050</v>
      </c>
      <c r="L456" s="42" t="n">
        <f aca="false">'Aturan &amp; Tarif'!$B$6</f>
        <v>350</v>
      </c>
      <c r="M456" s="35" t="n">
        <f aca="false">I456+J456+K456+L456</f>
        <v>8837.72</v>
      </c>
      <c r="N456" s="44" t="s">
        <v>766</v>
      </c>
    </row>
    <row r="457" customFormat="false" ht="60" hidden="false" customHeight="true" outlineLevel="0" collapsed="false">
      <c r="A457" s="39"/>
      <c r="B457" s="40" t="s">
        <v>767</v>
      </c>
      <c r="C457" s="41" t="s">
        <v>113</v>
      </c>
      <c r="D457" s="41" t="s">
        <v>108</v>
      </c>
      <c r="E457" s="42" t="n">
        <v>2900</v>
      </c>
      <c r="F457" s="42" t="n">
        <v>1500</v>
      </c>
      <c r="G457" s="42" t="n">
        <v>250</v>
      </c>
      <c r="H457" s="43" t="n">
        <v>1</v>
      </c>
      <c r="I457" s="34" t="n">
        <f aca="false">E457*H457+N(F457)+N(G457)</f>
        <v>4650</v>
      </c>
      <c r="J457" s="42" t="n">
        <f aca="false">ROUND(IFERROR(ROUND(IF(OR(ISNUMBER(SEARCH("week",C457)),ISNUMBER(SEARCH("minggu",C457))),IFERROR(_xlfn.NUMBERVALUE(SUBSTITUTE(LEFT(TRIM(C457),FIND(" ",TRIM(C457)&amp;" ")-1),",","."),"."),LEFT(SUBSTITUTE(LEFT(TRIM(C457),FIND(" ",TRIM(C457)&amp;" ")-1),",","."),FIND("/",SUBSTITUTE(LEFT(TRIM(C457),FIND(" ",TRIM(C457)&amp;" ")-1),",","."))-1)/MID(SUBSTITUTE(LEFT(TRIM(C457),FIND(" ",TRIM(C457)&amp;" ")-1),",","."),FIND("/",SUBSTITUTE(LEFT(TRIM(C457),FIND(" ",TRIM(C457)&amp;" ")-1),",","."))+1,9))*12/52,IF(ISNUMBER(SEARCH("month",C457)),IFERROR(_xlfn.NUMBERVALUE(SUBSTITUTE(LEFT(TRIM(C457),FIND(" ",TRIM(C457)&amp;" ")-1),",","."),"."),LEFT(SUBSTITUTE(LEFT(TRIM(C457),FIND(" ",TRIM(C457)&amp;" ")-1),",","."),FIND("/",SUBSTITUTE(LEFT(TRIM(C457),FIND(" ",TRIM(C457)&amp;" ")-1),",","."))-1)/MID(SUBSTITUTE(LEFT(TRIM(C457),FIND(" ",TRIM(C457)&amp;" ")-1),",","."),FIND("/",SUBSTITUTE(LEFT(TRIM(C457),FIND(" ",TRIM(C457)&amp;" ")-1),",","."))+1,9)),IF(ISNUMBER(SEARCH("yea",C457)),IFERROR(_xlfn.NUMBERVALUE(SUBSTITUTE(LEFT(TRIM(C457),FIND(" ",TRIM(C457)&amp;" ")-1),",","."),"."),LEFT(SUBSTITUTE(LEFT(TRIM(C457),FIND(" ",TRIM(C457)&amp;" ")-1),",","."),FIND("/",SUBSTITUTE(LEFT(TRIM(C457),FIND(" ",TRIM(C457)&amp;" ")-1),",","."))-1)/MID(SUBSTITUTE(LEFT(TRIM(C457),FIND(" ",TRIM(C457)&amp;" ")-1),",","."),FIND("/",SUBSTITUTE(LEFT(TRIM(C457),FIND(" ",TRIM(C457)&amp;" ")-1),",","."))+1,9))*12,NA()))),0),18)*'Aturan &amp; Tarif'!$B$4,2)</f>
        <v>1022.04</v>
      </c>
      <c r="K457" s="42" t="n">
        <f aca="false">'Aturan &amp; Tarif'!$B$5</f>
        <v>2050</v>
      </c>
      <c r="L457" s="42" t="n">
        <f aca="false">'Aturan &amp; Tarif'!$B$6</f>
        <v>350</v>
      </c>
      <c r="M457" s="35" t="n">
        <f aca="false">I457+J457+K457+L457</f>
        <v>8072.04</v>
      </c>
      <c r="N457" s="44" t="s">
        <v>768</v>
      </c>
    </row>
    <row r="458" customFormat="false" ht="37.5" hidden="false" customHeight="true" outlineLevel="0" collapsed="false">
      <c r="A458" s="39"/>
      <c r="B458" s="40" t="s">
        <v>1641</v>
      </c>
      <c r="C458" s="41" t="s">
        <v>107</v>
      </c>
      <c r="D458" s="41" t="s">
        <v>108</v>
      </c>
      <c r="E458" s="42" t="n">
        <v>2442</v>
      </c>
      <c r="F458" s="42" t="n">
        <v>1500</v>
      </c>
      <c r="G458" s="42" t="n">
        <v>250</v>
      </c>
      <c r="H458" s="43" t="n">
        <v>1</v>
      </c>
      <c r="I458" s="34" t="n">
        <f aca="false">E458*H458+N(F458)+N(G458)</f>
        <v>4192</v>
      </c>
      <c r="J458" s="42" t="n">
        <f aca="false">ROUND(IFERROR(ROUND(IF(OR(ISNUMBER(SEARCH("week",C458)),ISNUMBER(SEARCH("minggu",C458))),IFERROR(_xlfn.NUMBERVALUE(SUBSTITUTE(LEFT(TRIM(C458),FIND(" ",TRIM(C458)&amp;" ")-1),",","."),"."),LEFT(SUBSTITUTE(LEFT(TRIM(C458),FIND(" ",TRIM(C458)&amp;" ")-1),",","."),FIND("/",SUBSTITUTE(LEFT(TRIM(C458),FIND(" ",TRIM(C458)&amp;" ")-1),",","."))-1)/MID(SUBSTITUTE(LEFT(TRIM(C458),FIND(" ",TRIM(C458)&amp;" ")-1),",","."),FIND("/",SUBSTITUTE(LEFT(TRIM(C458),FIND(" ",TRIM(C458)&amp;" ")-1),",","."))+1,9))*12/52,IF(ISNUMBER(SEARCH("month",C458)),IFERROR(_xlfn.NUMBERVALUE(SUBSTITUTE(LEFT(TRIM(C458),FIND(" ",TRIM(C458)&amp;" ")-1),",","."),"."),LEFT(SUBSTITUTE(LEFT(TRIM(C458),FIND(" ",TRIM(C458)&amp;" ")-1),",","."),FIND("/",SUBSTITUTE(LEFT(TRIM(C458),FIND(" ",TRIM(C458)&amp;" ")-1),",","."))-1)/MID(SUBSTITUTE(LEFT(TRIM(C458),FIND(" ",TRIM(C458)&amp;" ")-1),",","."),FIND("/",SUBSTITUTE(LEFT(TRIM(C458),FIND(" ",TRIM(C458)&amp;" ")-1),",","."))+1,9)),IF(ISNUMBER(SEARCH("yea",C458)),IFERROR(_xlfn.NUMBERVALUE(SUBSTITUTE(LEFT(TRIM(C458),FIND(" ",TRIM(C458)&amp;" ")-1),",","."),"."),LEFT(SUBSTITUTE(LEFT(TRIM(C458),FIND(" ",TRIM(C458)&amp;" ")-1),",","."),FIND("/",SUBSTITUTE(LEFT(TRIM(C458),FIND(" ",TRIM(C458)&amp;" ")-1),",","."))-1)/MID(SUBSTITUTE(LEFT(TRIM(C458),FIND(" ",TRIM(C458)&amp;" ")-1),",","."),FIND("/",SUBSTITUTE(LEFT(TRIM(C458),FIND(" ",TRIM(C458)&amp;" ")-1),",","."))+1,9))*12,NA()))),0),24)*'Aturan &amp; Tarif'!$B$4,2)</f>
        <v>1362.72</v>
      </c>
      <c r="K458" s="42" t="n">
        <f aca="false">'Aturan &amp; Tarif'!$B$5</f>
        <v>2050</v>
      </c>
      <c r="L458" s="42" t="n">
        <f aca="false">'Aturan &amp; Tarif'!$B$6</f>
        <v>350</v>
      </c>
      <c r="M458" s="35" t="n">
        <f aca="false">I458+J458+K458+L458</f>
        <v>7954.72</v>
      </c>
      <c r="N458" s="44" t="s">
        <v>761</v>
      </c>
    </row>
    <row r="459" customFormat="false" ht="37.5" hidden="false" customHeight="true" outlineLevel="0" collapsed="false">
      <c r="A459" s="29" t="s">
        <v>1642</v>
      </c>
      <c r="B459" s="30" t="s">
        <v>983</v>
      </c>
      <c r="C459" s="31" t="s">
        <v>113</v>
      </c>
      <c r="D459" s="31" t="s">
        <v>108</v>
      </c>
      <c r="E459" s="32" t="n">
        <v>6997.5</v>
      </c>
      <c r="F459" s="32"/>
      <c r="G459" s="32" t="n">
        <v>250</v>
      </c>
      <c r="H459" s="33" t="n">
        <v>2</v>
      </c>
      <c r="I459" s="34" t="n">
        <f aca="false">E459*H459+N(F459)+N(G459)</f>
        <v>14245</v>
      </c>
      <c r="J459" s="32" t="n">
        <f aca="false">ROUND(IFERROR(ROUND(IF(OR(ISNUMBER(SEARCH("week",C459)),ISNUMBER(SEARCH("minggu",C459))),IFERROR(_xlfn.NUMBERVALUE(SUBSTITUTE(LEFT(TRIM(C459),FIND(" ",TRIM(C459)&amp;" ")-1),",","."),"."),LEFT(SUBSTITUTE(LEFT(TRIM(C459),FIND(" ",TRIM(C459)&amp;" ")-1),",","."),FIND("/",SUBSTITUTE(LEFT(TRIM(C459),FIND(" ",TRIM(C459)&amp;" ")-1),",","."))-1)/MID(SUBSTITUTE(LEFT(TRIM(C459),FIND(" ",TRIM(C459)&amp;" ")-1),",","."),FIND("/",SUBSTITUTE(LEFT(TRIM(C459),FIND(" ",TRIM(C459)&amp;" ")-1),",","."))+1,9))*12/52,IF(ISNUMBER(SEARCH("month",C459)),IFERROR(_xlfn.NUMBERVALUE(SUBSTITUTE(LEFT(TRIM(C459),FIND(" ",TRIM(C459)&amp;" ")-1),",","."),"."),LEFT(SUBSTITUTE(LEFT(TRIM(C459),FIND(" ",TRIM(C459)&amp;" ")-1),",","."),FIND("/",SUBSTITUTE(LEFT(TRIM(C459),FIND(" ",TRIM(C459)&amp;" ")-1),",","."))-1)/MID(SUBSTITUTE(LEFT(TRIM(C459),FIND(" ",TRIM(C459)&amp;" ")-1),",","."),FIND("/",SUBSTITUTE(LEFT(TRIM(C459),FIND(" ",TRIM(C459)&amp;" ")-1),",","."))+1,9)),IF(ISNUMBER(SEARCH("yea",C459)),IFERROR(_xlfn.NUMBERVALUE(SUBSTITUTE(LEFT(TRIM(C459),FIND(" ",TRIM(C459)&amp;" ")-1),",","."),"."),LEFT(SUBSTITUTE(LEFT(TRIM(C459),FIND(" ",TRIM(C459)&amp;" ")-1),",","."),FIND("/",SUBSTITUTE(LEFT(TRIM(C459),FIND(" ",TRIM(C459)&amp;" ")-1),",","."))-1)/MID(SUBSTITUTE(LEFT(TRIM(C459),FIND(" ",TRIM(C459)&amp;" ")-1),",","."),FIND("/",SUBSTITUTE(LEFT(TRIM(C459),FIND(" ",TRIM(C459)&amp;" ")-1),",","."))+1,9))*12,NA()))),0),18)*'Aturan &amp; Tarif'!$B$4,2)</f>
        <v>1022.04</v>
      </c>
      <c r="K459" s="32" t="n">
        <f aca="false">'Aturan &amp; Tarif'!$B$5</f>
        <v>2050</v>
      </c>
      <c r="L459" s="32" t="n">
        <f aca="false">'Aturan &amp; Tarif'!$B$6</f>
        <v>350</v>
      </c>
      <c r="M459" s="35" t="n">
        <f aca="false">I459+J459+K459+L459</f>
        <v>17667.04</v>
      </c>
      <c r="N459" s="37" t="s">
        <v>1643</v>
      </c>
    </row>
    <row r="460" customFormat="false" ht="14.25" hidden="false" customHeight="true" outlineLevel="0" collapsed="false">
      <c r="A460" s="29"/>
      <c r="B460" s="30" t="s">
        <v>985</v>
      </c>
      <c r="C460" s="31" t="s">
        <v>344</v>
      </c>
      <c r="D460" s="31" t="s">
        <v>108</v>
      </c>
      <c r="E460" s="32" t="n">
        <v>6737</v>
      </c>
      <c r="F460" s="32"/>
      <c r="G460" s="32" t="n">
        <v>250</v>
      </c>
      <c r="H460" s="33" t="n">
        <v>2</v>
      </c>
      <c r="I460" s="34" t="n">
        <f aca="false">E460*H460+N(F460)+N(G460)</f>
        <v>13724</v>
      </c>
      <c r="J460" s="32" t="n">
        <f aca="false">ROUND(IFERROR(ROUND(IF(OR(ISNUMBER(SEARCH("week",C460)),ISNUMBER(SEARCH("minggu",C460))),IFERROR(_xlfn.NUMBERVALUE(SUBSTITUTE(LEFT(TRIM(C460),FIND(" ",TRIM(C460)&amp;" ")-1),",","."),"."),LEFT(SUBSTITUTE(LEFT(TRIM(C460),FIND(" ",TRIM(C460)&amp;" ")-1),",","."),FIND("/",SUBSTITUTE(LEFT(TRIM(C460),FIND(" ",TRIM(C460)&amp;" ")-1),",","."))-1)/MID(SUBSTITUTE(LEFT(TRIM(C460),FIND(" ",TRIM(C460)&amp;" ")-1),",","."),FIND("/",SUBSTITUTE(LEFT(TRIM(C460),FIND(" ",TRIM(C460)&amp;" ")-1),",","."))+1,9))*12/52,IF(ISNUMBER(SEARCH("month",C460)),IFERROR(_xlfn.NUMBERVALUE(SUBSTITUTE(LEFT(TRIM(C460),FIND(" ",TRIM(C460)&amp;" ")-1),",","."),"."),LEFT(SUBSTITUTE(LEFT(TRIM(C460),FIND(" ",TRIM(C460)&amp;" ")-1),",","."),FIND("/",SUBSTITUTE(LEFT(TRIM(C460),FIND(" ",TRIM(C460)&amp;" ")-1),",","."))-1)/MID(SUBSTITUTE(LEFT(TRIM(C460),FIND(" ",TRIM(C460)&amp;" ")-1),",","."),FIND("/",SUBSTITUTE(LEFT(TRIM(C460),FIND(" ",TRIM(C460)&amp;" ")-1),",","."))+1,9)),IF(ISNUMBER(SEARCH("yea",C460)),IFERROR(_xlfn.NUMBERVALUE(SUBSTITUTE(LEFT(TRIM(C460),FIND(" ",TRIM(C460)&amp;" ")-1),",","."),"."),LEFT(SUBSTITUTE(LEFT(TRIM(C460),FIND(" ",TRIM(C460)&amp;" ")-1),",","."),FIND("/",SUBSTITUTE(LEFT(TRIM(C460),FIND(" ",TRIM(C460)&amp;" ")-1),",","."))-1)/MID(SUBSTITUTE(LEFT(TRIM(C460),FIND(" ",TRIM(C460)&amp;" ")-1),",","."),FIND("/",SUBSTITUTE(LEFT(TRIM(C460),FIND(" ",TRIM(C460)&amp;" ")-1),",","."))+1,9))*12,NA()))),0),6)*'Aturan &amp; Tarif'!$B$4,2)</f>
        <v>340.68</v>
      </c>
      <c r="K460" s="32" t="n">
        <f aca="false">'Aturan &amp; Tarif'!$B$5</f>
        <v>2050</v>
      </c>
      <c r="L460" s="32" t="n">
        <f aca="false">'Aturan &amp; Tarif'!$B$6</f>
        <v>350</v>
      </c>
      <c r="M460" s="35" t="n">
        <f aca="false">I460+J460+K460+L460</f>
        <v>16464.68</v>
      </c>
      <c r="N460" s="37" t="s">
        <v>1644</v>
      </c>
    </row>
    <row r="461" customFormat="false" ht="25.5" hidden="false" customHeight="true" outlineLevel="0" collapsed="false">
      <c r="A461" s="29"/>
      <c r="B461" s="30" t="s">
        <v>987</v>
      </c>
      <c r="C461" s="31" t="s">
        <v>344</v>
      </c>
      <c r="D461" s="31" t="s">
        <v>108</v>
      </c>
      <c r="E461" s="32" t="n">
        <v>7298.5</v>
      </c>
      <c r="F461" s="32"/>
      <c r="G461" s="32" t="n">
        <v>250</v>
      </c>
      <c r="H461" s="33" t="n">
        <v>2</v>
      </c>
      <c r="I461" s="34" t="n">
        <f aca="false">E461*H461+N(F461)+N(G461)</f>
        <v>14847</v>
      </c>
      <c r="J461" s="32" t="n">
        <f aca="false">ROUND(IFERROR(ROUND(IF(OR(ISNUMBER(SEARCH("week",C461)),ISNUMBER(SEARCH("minggu",C461))),IFERROR(_xlfn.NUMBERVALUE(SUBSTITUTE(LEFT(TRIM(C461),FIND(" ",TRIM(C461)&amp;" ")-1),",","."),"."),LEFT(SUBSTITUTE(LEFT(TRIM(C461),FIND(" ",TRIM(C461)&amp;" ")-1),",","."),FIND("/",SUBSTITUTE(LEFT(TRIM(C461),FIND(" ",TRIM(C461)&amp;" ")-1),",","."))-1)/MID(SUBSTITUTE(LEFT(TRIM(C461),FIND(" ",TRIM(C461)&amp;" ")-1),",","."),FIND("/",SUBSTITUTE(LEFT(TRIM(C461),FIND(" ",TRIM(C461)&amp;" ")-1),",","."))+1,9))*12/52,IF(ISNUMBER(SEARCH("month",C461)),IFERROR(_xlfn.NUMBERVALUE(SUBSTITUTE(LEFT(TRIM(C461),FIND(" ",TRIM(C461)&amp;" ")-1),",","."),"."),LEFT(SUBSTITUTE(LEFT(TRIM(C461),FIND(" ",TRIM(C461)&amp;" ")-1),",","."),FIND("/",SUBSTITUTE(LEFT(TRIM(C461),FIND(" ",TRIM(C461)&amp;" ")-1),",","."))-1)/MID(SUBSTITUTE(LEFT(TRIM(C461),FIND(" ",TRIM(C461)&amp;" ")-1),",","."),FIND("/",SUBSTITUTE(LEFT(TRIM(C461),FIND(" ",TRIM(C461)&amp;" ")-1),",","."))+1,9)),IF(ISNUMBER(SEARCH("yea",C461)),IFERROR(_xlfn.NUMBERVALUE(SUBSTITUTE(LEFT(TRIM(C461),FIND(" ",TRIM(C461)&amp;" ")-1),",","."),"."),LEFT(SUBSTITUTE(LEFT(TRIM(C461),FIND(" ",TRIM(C461)&amp;" ")-1),",","."),FIND("/",SUBSTITUTE(LEFT(TRIM(C461),FIND(" ",TRIM(C461)&amp;" ")-1),",","."))-1)/MID(SUBSTITUTE(LEFT(TRIM(C461),FIND(" ",TRIM(C461)&amp;" ")-1),",","."),FIND("/",SUBSTITUTE(LEFT(TRIM(C461),FIND(" ",TRIM(C461)&amp;" ")-1),",","."))+1,9))*12,NA()))),0),6)*'Aturan &amp; Tarif'!$B$4,2)</f>
        <v>340.68</v>
      </c>
      <c r="K461" s="32" t="n">
        <f aca="false">'Aturan &amp; Tarif'!$B$5</f>
        <v>2050</v>
      </c>
      <c r="L461" s="32" t="n">
        <f aca="false">'Aturan &amp; Tarif'!$B$6</f>
        <v>350</v>
      </c>
      <c r="M461" s="35" t="n">
        <f aca="false">I461+J461+K461+L461</f>
        <v>17587.68</v>
      </c>
      <c r="N461" s="37" t="s">
        <v>1644</v>
      </c>
    </row>
    <row r="462" customFormat="false" ht="60" hidden="false" customHeight="true" outlineLevel="0" collapsed="false">
      <c r="A462" s="29"/>
      <c r="B462" s="30" t="s">
        <v>988</v>
      </c>
      <c r="C462" s="31" t="s">
        <v>138</v>
      </c>
      <c r="D462" s="31" t="s">
        <v>108</v>
      </c>
      <c r="E462" s="32" t="n">
        <v>7005.6</v>
      </c>
      <c r="F462" s="32"/>
      <c r="G462" s="32" t="n">
        <v>250</v>
      </c>
      <c r="H462" s="33" t="n">
        <v>2</v>
      </c>
      <c r="I462" s="34" t="n">
        <f aca="false">E462*H462+N(F462)+N(G462)</f>
        <v>14261.2</v>
      </c>
      <c r="J462" s="32" t="n">
        <f aca="false">ROUND(IFERROR(ROUND(IF(OR(ISNUMBER(SEARCH("week",C462)),ISNUMBER(SEARCH("minggu",C462))),IFERROR(_xlfn.NUMBERVALUE(SUBSTITUTE(LEFT(TRIM(C462),FIND(" ",TRIM(C462)&amp;" ")-1),",","."),"."),LEFT(SUBSTITUTE(LEFT(TRIM(C462),FIND(" ",TRIM(C462)&amp;" ")-1),",","."),FIND("/",SUBSTITUTE(LEFT(TRIM(C462),FIND(" ",TRIM(C462)&amp;" ")-1),",","."))-1)/MID(SUBSTITUTE(LEFT(TRIM(C462),FIND(" ",TRIM(C462)&amp;" ")-1),",","."),FIND("/",SUBSTITUTE(LEFT(TRIM(C462),FIND(" ",TRIM(C462)&amp;" ")-1),",","."))+1,9))*12/52,IF(ISNUMBER(SEARCH("month",C462)),IFERROR(_xlfn.NUMBERVALUE(SUBSTITUTE(LEFT(TRIM(C462),FIND(" ",TRIM(C462)&amp;" ")-1),",","."),"."),LEFT(SUBSTITUTE(LEFT(TRIM(C462),FIND(" ",TRIM(C462)&amp;" ")-1),",","."),FIND("/",SUBSTITUTE(LEFT(TRIM(C462),FIND(" ",TRIM(C462)&amp;" ")-1),",","."))-1)/MID(SUBSTITUTE(LEFT(TRIM(C462),FIND(" ",TRIM(C462)&amp;" ")-1),",","."),FIND("/",SUBSTITUTE(LEFT(TRIM(C462),FIND(" ",TRIM(C462)&amp;" ")-1),",","."))+1,9)),IF(ISNUMBER(SEARCH("yea",C462)),IFERROR(_xlfn.NUMBERVALUE(SUBSTITUTE(LEFT(TRIM(C462),FIND(" ",TRIM(C462)&amp;" ")-1),",","."),"."),LEFT(SUBSTITUTE(LEFT(TRIM(C462),FIND(" ",TRIM(C462)&amp;" ")-1),",","."),FIND("/",SUBSTITUTE(LEFT(TRIM(C462),FIND(" ",TRIM(C462)&amp;" ")-1),",","."))-1)/MID(SUBSTITUTE(LEFT(TRIM(C462),FIND(" ",TRIM(C462)&amp;" ")-1),",","."),FIND("/",SUBSTITUTE(LEFT(TRIM(C462),FIND(" ",TRIM(C462)&amp;" ")-1),",","."))+1,9))*12,NA()))),0),30)*'Aturan &amp; Tarif'!$B$4,2)</f>
        <v>1703.4</v>
      </c>
      <c r="K462" s="32" t="n">
        <f aca="false">'Aturan &amp; Tarif'!$B$5</f>
        <v>2050</v>
      </c>
      <c r="L462" s="32" t="n">
        <f aca="false">'Aturan &amp; Tarif'!$B$6</f>
        <v>350</v>
      </c>
      <c r="M462" s="35" t="n">
        <f aca="false">I462+J462+K462+L462</f>
        <v>18364.6</v>
      </c>
      <c r="N462" s="36" t="s">
        <v>1645</v>
      </c>
    </row>
    <row r="463" customFormat="false" ht="14.25" hidden="false" customHeight="true" outlineLevel="0" collapsed="false">
      <c r="A463" s="29"/>
      <c r="B463" s="30" t="s">
        <v>990</v>
      </c>
      <c r="C463" s="31" t="s">
        <v>113</v>
      </c>
      <c r="D463" s="31" t="s">
        <v>108</v>
      </c>
      <c r="E463" s="32" t="n">
        <v>6997.5</v>
      </c>
      <c r="F463" s="32"/>
      <c r="G463" s="32" t="n">
        <v>250</v>
      </c>
      <c r="H463" s="33" t="n">
        <v>2</v>
      </c>
      <c r="I463" s="34" t="n">
        <f aca="false">E463*H463+N(F463)+N(G463)</f>
        <v>14245</v>
      </c>
      <c r="J463" s="32" t="n">
        <f aca="false">ROUND(IFERROR(ROUND(IF(OR(ISNUMBER(SEARCH("week",C463)),ISNUMBER(SEARCH("minggu",C463))),IFERROR(_xlfn.NUMBERVALUE(SUBSTITUTE(LEFT(TRIM(C463),FIND(" ",TRIM(C463)&amp;" ")-1),",","."),"."),LEFT(SUBSTITUTE(LEFT(TRIM(C463),FIND(" ",TRIM(C463)&amp;" ")-1),",","."),FIND("/",SUBSTITUTE(LEFT(TRIM(C463),FIND(" ",TRIM(C463)&amp;" ")-1),",","."))-1)/MID(SUBSTITUTE(LEFT(TRIM(C463),FIND(" ",TRIM(C463)&amp;" ")-1),",","."),FIND("/",SUBSTITUTE(LEFT(TRIM(C463),FIND(" ",TRIM(C463)&amp;" ")-1),",","."))+1,9))*12/52,IF(ISNUMBER(SEARCH("month",C463)),IFERROR(_xlfn.NUMBERVALUE(SUBSTITUTE(LEFT(TRIM(C463),FIND(" ",TRIM(C463)&amp;" ")-1),",","."),"."),LEFT(SUBSTITUTE(LEFT(TRIM(C463),FIND(" ",TRIM(C463)&amp;" ")-1),",","."),FIND("/",SUBSTITUTE(LEFT(TRIM(C463),FIND(" ",TRIM(C463)&amp;" ")-1),",","."))-1)/MID(SUBSTITUTE(LEFT(TRIM(C463),FIND(" ",TRIM(C463)&amp;" ")-1),",","."),FIND("/",SUBSTITUTE(LEFT(TRIM(C463),FIND(" ",TRIM(C463)&amp;" ")-1),",","."))+1,9)),IF(ISNUMBER(SEARCH("yea",C463)),IFERROR(_xlfn.NUMBERVALUE(SUBSTITUTE(LEFT(TRIM(C463),FIND(" ",TRIM(C463)&amp;" ")-1),",","."),"."),LEFT(SUBSTITUTE(LEFT(TRIM(C463),FIND(" ",TRIM(C463)&amp;" ")-1),",","."),FIND("/",SUBSTITUTE(LEFT(TRIM(C463),FIND(" ",TRIM(C463)&amp;" ")-1),",","."))-1)/MID(SUBSTITUTE(LEFT(TRIM(C463),FIND(" ",TRIM(C463)&amp;" ")-1),",","."),FIND("/",SUBSTITUTE(LEFT(TRIM(C463),FIND(" ",TRIM(C463)&amp;" ")-1),",","."))+1,9))*12,NA()))),0),18)*'Aturan &amp; Tarif'!$B$4,2)</f>
        <v>1022.04</v>
      </c>
      <c r="K463" s="32" t="n">
        <f aca="false">'Aturan &amp; Tarif'!$B$5</f>
        <v>2050</v>
      </c>
      <c r="L463" s="32" t="n">
        <f aca="false">'Aturan &amp; Tarif'!$B$6</f>
        <v>350</v>
      </c>
      <c r="M463" s="35" t="n">
        <f aca="false">I463+J463+K463+L463</f>
        <v>17667.04</v>
      </c>
      <c r="N463" s="37" t="s">
        <v>1646</v>
      </c>
    </row>
    <row r="464" customFormat="false" ht="14.25" hidden="false" customHeight="true" outlineLevel="0" collapsed="false">
      <c r="A464" s="29"/>
      <c r="B464" s="30" t="s">
        <v>992</v>
      </c>
      <c r="C464" s="31" t="s">
        <v>344</v>
      </c>
      <c r="D464" s="31" t="s">
        <v>108</v>
      </c>
      <c r="E464" s="32" t="n">
        <v>6737</v>
      </c>
      <c r="F464" s="32"/>
      <c r="G464" s="32" t="n">
        <v>250</v>
      </c>
      <c r="H464" s="33" t="n">
        <v>2</v>
      </c>
      <c r="I464" s="34" t="n">
        <f aca="false">E464*H464+N(F464)+N(G464)</f>
        <v>13724</v>
      </c>
      <c r="J464" s="32" t="n">
        <f aca="false">ROUND(IFERROR(ROUND(IF(OR(ISNUMBER(SEARCH("week",C464)),ISNUMBER(SEARCH("minggu",C464))),IFERROR(_xlfn.NUMBERVALUE(SUBSTITUTE(LEFT(TRIM(C464),FIND(" ",TRIM(C464)&amp;" ")-1),",","."),"."),LEFT(SUBSTITUTE(LEFT(TRIM(C464),FIND(" ",TRIM(C464)&amp;" ")-1),",","."),FIND("/",SUBSTITUTE(LEFT(TRIM(C464),FIND(" ",TRIM(C464)&amp;" ")-1),",","."))-1)/MID(SUBSTITUTE(LEFT(TRIM(C464),FIND(" ",TRIM(C464)&amp;" ")-1),",","."),FIND("/",SUBSTITUTE(LEFT(TRIM(C464),FIND(" ",TRIM(C464)&amp;" ")-1),",","."))+1,9))*12/52,IF(ISNUMBER(SEARCH("month",C464)),IFERROR(_xlfn.NUMBERVALUE(SUBSTITUTE(LEFT(TRIM(C464),FIND(" ",TRIM(C464)&amp;" ")-1),",","."),"."),LEFT(SUBSTITUTE(LEFT(TRIM(C464),FIND(" ",TRIM(C464)&amp;" ")-1),",","."),FIND("/",SUBSTITUTE(LEFT(TRIM(C464),FIND(" ",TRIM(C464)&amp;" ")-1),",","."))-1)/MID(SUBSTITUTE(LEFT(TRIM(C464),FIND(" ",TRIM(C464)&amp;" ")-1),",","."),FIND("/",SUBSTITUTE(LEFT(TRIM(C464),FIND(" ",TRIM(C464)&amp;" ")-1),",","."))+1,9)),IF(ISNUMBER(SEARCH("yea",C464)),IFERROR(_xlfn.NUMBERVALUE(SUBSTITUTE(LEFT(TRIM(C464),FIND(" ",TRIM(C464)&amp;" ")-1),",","."),"."),LEFT(SUBSTITUTE(LEFT(TRIM(C464),FIND(" ",TRIM(C464)&amp;" ")-1),",","."),FIND("/",SUBSTITUTE(LEFT(TRIM(C464),FIND(" ",TRIM(C464)&amp;" ")-1),",","."))-1)/MID(SUBSTITUTE(LEFT(TRIM(C464),FIND(" ",TRIM(C464)&amp;" ")-1),",","."),FIND("/",SUBSTITUTE(LEFT(TRIM(C464),FIND(" ",TRIM(C464)&amp;" ")-1),",","."))+1,9))*12,NA()))),0),6)*'Aturan &amp; Tarif'!$B$4,2)</f>
        <v>340.68</v>
      </c>
      <c r="K464" s="32" t="n">
        <f aca="false">'Aturan &amp; Tarif'!$B$5</f>
        <v>2050</v>
      </c>
      <c r="L464" s="32" t="n">
        <f aca="false">'Aturan &amp; Tarif'!$B$6</f>
        <v>350</v>
      </c>
      <c r="M464" s="35" t="n">
        <f aca="false">I464+J464+K464+L464</f>
        <v>16464.68</v>
      </c>
      <c r="N464" s="37" t="s">
        <v>1644</v>
      </c>
    </row>
    <row r="465" customFormat="false" ht="25.5" hidden="false" customHeight="true" outlineLevel="0" collapsed="false">
      <c r="A465" s="29"/>
      <c r="B465" s="30" t="s">
        <v>987</v>
      </c>
      <c r="C465" s="31" t="s">
        <v>344</v>
      </c>
      <c r="D465" s="31" t="s">
        <v>108</v>
      </c>
      <c r="E465" s="32" t="n">
        <v>7298.5</v>
      </c>
      <c r="F465" s="32"/>
      <c r="G465" s="32" t="n">
        <v>250</v>
      </c>
      <c r="H465" s="33" t="n">
        <v>2</v>
      </c>
      <c r="I465" s="34" t="n">
        <f aca="false">E465*H465+N(F465)+N(G465)</f>
        <v>14847</v>
      </c>
      <c r="J465" s="32" t="n">
        <f aca="false">ROUND(IFERROR(ROUND(IF(OR(ISNUMBER(SEARCH("week",C465)),ISNUMBER(SEARCH("minggu",C465))),IFERROR(_xlfn.NUMBERVALUE(SUBSTITUTE(LEFT(TRIM(C465),FIND(" ",TRIM(C465)&amp;" ")-1),",","."),"."),LEFT(SUBSTITUTE(LEFT(TRIM(C465),FIND(" ",TRIM(C465)&amp;" ")-1),",","."),FIND("/",SUBSTITUTE(LEFT(TRIM(C465),FIND(" ",TRIM(C465)&amp;" ")-1),",","."))-1)/MID(SUBSTITUTE(LEFT(TRIM(C465),FIND(" ",TRIM(C465)&amp;" ")-1),",","."),FIND("/",SUBSTITUTE(LEFT(TRIM(C465),FIND(" ",TRIM(C465)&amp;" ")-1),",","."))+1,9))*12/52,IF(ISNUMBER(SEARCH("month",C465)),IFERROR(_xlfn.NUMBERVALUE(SUBSTITUTE(LEFT(TRIM(C465),FIND(" ",TRIM(C465)&amp;" ")-1),",","."),"."),LEFT(SUBSTITUTE(LEFT(TRIM(C465),FIND(" ",TRIM(C465)&amp;" ")-1),",","."),FIND("/",SUBSTITUTE(LEFT(TRIM(C465),FIND(" ",TRIM(C465)&amp;" ")-1),",","."))-1)/MID(SUBSTITUTE(LEFT(TRIM(C465),FIND(" ",TRIM(C465)&amp;" ")-1),",","."),FIND("/",SUBSTITUTE(LEFT(TRIM(C465),FIND(" ",TRIM(C465)&amp;" ")-1),",","."))+1,9)),IF(ISNUMBER(SEARCH("yea",C465)),IFERROR(_xlfn.NUMBERVALUE(SUBSTITUTE(LEFT(TRIM(C465),FIND(" ",TRIM(C465)&amp;" ")-1),",","."),"."),LEFT(SUBSTITUTE(LEFT(TRIM(C465),FIND(" ",TRIM(C465)&amp;" ")-1),",","."),FIND("/",SUBSTITUTE(LEFT(TRIM(C465),FIND(" ",TRIM(C465)&amp;" ")-1),",","."))-1)/MID(SUBSTITUTE(LEFT(TRIM(C465),FIND(" ",TRIM(C465)&amp;" ")-1),",","."),FIND("/",SUBSTITUTE(LEFT(TRIM(C465),FIND(" ",TRIM(C465)&amp;" ")-1),",","."))+1,9))*12,NA()))),0),6)*'Aturan &amp; Tarif'!$B$4,2)</f>
        <v>340.68</v>
      </c>
      <c r="K465" s="32" t="n">
        <f aca="false">'Aturan &amp; Tarif'!$B$5</f>
        <v>2050</v>
      </c>
      <c r="L465" s="32" t="n">
        <f aca="false">'Aturan &amp; Tarif'!$B$6</f>
        <v>350</v>
      </c>
      <c r="M465" s="35" t="n">
        <f aca="false">I465+J465+K465+L465</f>
        <v>17587.68</v>
      </c>
      <c r="N465" s="37" t="s">
        <v>1644</v>
      </c>
    </row>
    <row r="466" customFormat="false" ht="60" hidden="false" customHeight="true" outlineLevel="0" collapsed="false">
      <c r="A466" s="29"/>
      <c r="B466" s="30" t="s">
        <v>993</v>
      </c>
      <c r="C466" s="31" t="s">
        <v>138</v>
      </c>
      <c r="D466" s="31" t="s">
        <v>108</v>
      </c>
      <c r="E466" s="32" t="n">
        <v>7005.6</v>
      </c>
      <c r="F466" s="32"/>
      <c r="G466" s="32" t="n">
        <v>250</v>
      </c>
      <c r="H466" s="33" t="n">
        <v>2</v>
      </c>
      <c r="I466" s="34" t="n">
        <f aca="false">E466*H466+N(F466)+N(G466)</f>
        <v>14261.2</v>
      </c>
      <c r="J466" s="32" t="n">
        <f aca="false">ROUND(IFERROR(ROUND(IF(OR(ISNUMBER(SEARCH("week",C466)),ISNUMBER(SEARCH("minggu",C466))),IFERROR(_xlfn.NUMBERVALUE(SUBSTITUTE(LEFT(TRIM(C466),FIND(" ",TRIM(C466)&amp;" ")-1),",","."),"."),LEFT(SUBSTITUTE(LEFT(TRIM(C466),FIND(" ",TRIM(C466)&amp;" ")-1),",","."),FIND("/",SUBSTITUTE(LEFT(TRIM(C466),FIND(" ",TRIM(C466)&amp;" ")-1),",","."))-1)/MID(SUBSTITUTE(LEFT(TRIM(C466),FIND(" ",TRIM(C466)&amp;" ")-1),",","."),FIND("/",SUBSTITUTE(LEFT(TRIM(C466),FIND(" ",TRIM(C466)&amp;" ")-1),",","."))+1,9))*12/52,IF(ISNUMBER(SEARCH("month",C466)),IFERROR(_xlfn.NUMBERVALUE(SUBSTITUTE(LEFT(TRIM(C466),FIND(" ",TRIM(C466)&amp;" ")-1),",","."),"."),LEFT(SUBSTITUTE(LEFT(TRIM(C466),FIND(" ",TRIM(C466)&amp;" ")-1),",","."),FIND("/",SUBSTITUTE(LEFT(TRIM(C466),FIND(" ",TRIM(C466)&amp;" ")-1),",","."))-1)/MID(SUBSTITUTE(LEFT(TRIM(C466),FIND(" ",TRIM(C466)&amp;" ")-1),",","."),FIND("/",SUBSTITUTE(LEFT(TRIM(C466),FIND(" ",TRIM(C466)&amp;" ")-1),",","."))+1,9)),IF(ISNUMBER(SEARCH("yea",C466)),IFERROR(_xlfn.NUMBERVALUE(SUBSTITUTE(LEFT(TRIM(C466),FIND(" ",TRIM(C466)&amp;" ")-1),",","."),"."),LEFT(SUBSTITUTE(LEFT(TRIM(C466),FIND(" ",TRIM(C466)&amp;" ")-1),",","."),FIND("/",SUBSTITUTE(LEFT(TRIM(C466),FIND(" ",TRIM(C466)&amp;" ")-1),",","."))-1)/MID(SUBSTITUTE(LEFT(TRIM(C466),FIND(" ",TRIM(C466)&amp;" ")-1),",","."),FIND("/",SUBSTITUTE(LEFT(TRIM(C466),FIND(" ",TRIM(C466)&amp;" ")-1),",","."))+1,9))*12,NA()))),0),30)*'Aturan &amp; Tarif'!$B$4,2)</f>
        <v>1703.4</v>
      </c>
      <c r="K466" s="32" t="n">
        <f aca="false">'Aturan &amp; Tarif'!$B$5</f>
        <v>2050</v>
      </c>
      <c r="L466" s="32" t="n">
        <f aca="false">'Aturan &amp; Tarif'!$B$6</f>
        <v>350</v>
      </c>
      <c r="M466" s="35" t="n">
        <f aca="false">I466+J466+K466+L466</f>
        <v>18364.6</v>
      </c>
      <c r="N466" s="36" t="s">
        <v>1645</v>
      </c>
    </row>
    <row r="467" customFormat="false" ht="25.5" hidden="false" customHeight="true" outlineLevel="0" collapsed="false">
      <c r="A467" s="29"/>
      <c r="B467" s="30" t="s">
        <v>994</v>
      </c>
      <c r="C467" s="31" t="s">
        <v>127</v>
      </c>
      <c r="D467" s="31" t="s">
        <v>108</v>
      </c>
      <c r="E467" s="32" t="n">
        <v>5688.58</v>
      </c>
      <c r="F467" s="32"/>
      <c r="G467" s="32" t="n">
        <v>250</v>
      </c>
      <c r="H467" s="33" t="n">
        <v>2</v>
      </c>
      <c r="I467" s="34" t="n">
        <f aca="false">E467*H467+N(F467)+N(G467)</f>
        <v>11627.16</v>
      </c>
      <c r="J467" s="32" t="n">
        <f aca="false">ROUND(IFERROR(ROUND(IF(OR(ISNUMBER(SEARCH("week",C467)),ISNUMBER(SEARCH("minggu",C467))),IFERROR(_xlfn.NUMBERVALUE(SUBSTITUTE(LEFT(TRIM(C467),FIND(" ",TRIM(C467)&amp;" ")-1),",","."),"."),LEFT(SUBSTITUTE(LEFT(TRIM(C467),FIND(" ",TRIM(C467)&amp;" ")-1),",","."),FIND("/",SUBSTITUTE(LEFT(TRIM(C467),FIND(" ",TRIM(C467)&amp;" ")-1),",","."))-1)/MID(SUBSTITUTE(LEFT(TRIM(C467),FIND(" ",TRIM(C467)&amp;" ")-1),",","."),FIND("/",SUBSTITUTE(LEFT(TRIM(C467),FIND(" ",TRIM(C467)&amp;" ")-1),",","."))+1,9))*12/52,IF(ISNUMBER(SEARCH("month",C467)),IFERROR(_xlfn.NUMBERVALUE(SUBSTITUTE(LEFT(TRIM(C467),FIND(" ",TRIM(C467)&amp;" ")-1),",","."),"."),LEFT(SUBSTITUTE(LEFT(TRIM(C467),FIND(" ",TRIM(C467)&amp;" ")-1),",","."),FIND("/",SUBSTITUTE(LEFT(TRIM(C467),FIND(" ",TRIM(C467)&amp;" ")-1),",","."))-1)/MID(SUBSTITUTE(LEFT(TRIM(C467),FIND(" ",TRIM(C467)&amp;" ")-1),",","."),FIND("/",SUBSTITUTE(LEFT(TRIM(C467),FIND(" ",TRIM(C467)&amp;" ")-1),",","."))+1,9)),IF(ISNUMBER(SEARCH("yea",C467)),IFERROR(_xlfn.NUMBERVALUE(SUBSTITUTE(LEFT(TRIM(C467),FIND(" ",TRIM(C467)&amp;" ")-1),",","."),"."),LEFT(SUBSTITUTE(LEFT(TRIM(C467),FIND(" ",TRIM(C467)&amp;" ")-1),",","."),FIND("/",SUBSTITUTE(LEFT(TRIM(C467),FIND(" ",TRIM(C467)&amp;" ")-1),",","."))-1)/MID(SUBSTITUTE(LEFT(TRIM(C467),FIND(" ",TRIM(C467)&amp;" ")-1),",","."),FIND("/",SUBSTITUTE(LEFT(TRIM(C467),FIND(" ",TRIM(C467)&amp;" ")-1),",","."))+1,9))*12,NA()))),0),36)*'Aturan &amp; Tarif'!$B$4,2)</f>
        <v>2044.08</v>
      </c>
      <c r="K467" s="32" t="n">
        <f aca="false">'Aturan &amp; Tarif'!$B$5</f>
        <v>2050</v>
      </c>
      <c r="L467" s="32" t="n">
        <f aca="false">'Aturan &amp; Tarif'!$B$6</f>
        <v>350</v>
      </c>
      <c r="M467" s="35" t="n">
        <f aca="false">I467+J467+K467+L467</f>
        <v>16071.24</v>
      </c>
      <c r="N467" s="37" t="s">
        <v>1647</v>
      </c>
    </row>
    <row r="468" customFormat="false" ht="25.5" hidden="false" customHeight="true" outlineLevel="0" collapsed="false">
      <c r="A468" s="29"/>
      <c r="B468" s="30" t="s">
        <v>996</v>
      </c>
      <c r="C468" s="31" t="s">
        <v>127</v>
      </c>
      <c r="D468" s="31" t="s">
        <v>108</v>
      </c>
      <c r="E468" s="32" t="n">
        <v>5821.66</v>
      </c>
      <c r="F468" s="32"/>
      <c r="G468" s="32" t="n">
        <v>250</v>
      </c>
      <c r="H468" s="33" t="n">
        <v>2</v>
      </c>
      <c r="I468" s="34" t="n">
        <f aca="false">E468*H468+N(F468)+N(G468)</f>
        <v>11893.32</v>
      </c>
      <c r="J468" s="32" t="n">
        <f aca="false">ROUND(IFERROR(ROUND(IF(OR(ISNUMBER(SEARCH("week",C468)),ISNUMBER(SEARCH("minggu",C468))),IFERROR(_xlfn.NUMBERVALUE(SUBSTITUTE(LEFT(TRIM(C468),FIND(" ",TRIM(C468)&amp;" ")-1),",","."),"."),LEFT(SUBSTITUTE(LEFT(TRIM(C468),FIND(" ",TRIM(C468)&amp;" ")-1),",","."),FIND("/",SUBSTITUTE(LEFT(TRIM(C468),FIND(" ",TRIM(C468)&amp;" ")-1),",","."))-1)/MID(SUBSTITUTE(LEFT(TRIM(C468),FIND(" ",TRIM(C468)&amp;" ")-1),",","."),FIND("/",SUBSTITUTE(LEFT(TRIM(C468),FIND(" ",TRIM(C468)&amp;" ")-1),",","."))+1,9))*12/52,IF(ISNUMBER(SEARCH("month",C468)),IFERROR(_xlfn.NUMBERVALUE(SUBSTITUTE(LEFT(TRIM(C468),FIND(" ",TRIM(C468)&amp;" ")-1),",","."),"."),LEFT(SUBSTITUTE(LEFT(TRIM(C468),FIND(" ",TRIM(C468)&amp;" ")-1),",","."),FIND("/",SUBSTITUTE(LEFT(TRIM(C468),FIND(" ",TRIM(C468)&amp;" ")-1),",","."))-1)/MID(SUBSTITUTE(LEFT(TRIM(C468),FIND(" ",TRIM(C468)&amp;" ")-1),",","."),FIND("/",SUBSTITUTE(LEFT(TRIM(C468),FIND(" ",TRIM(C468)&amp;" ")-1),",","."))+1,9)),IF(ISNUMBER(SEARCH("yea",C468)),IFERROR(_xlfn.NUMBERVALUE(SUBSTITUTE(LEFT(TRIM(C468),FIND(" ",TRIM(C468)&amp;" ")-1),",","."),"."),LEFT(SUBSTITUTE(LEFT(TRIM(C468),FIND(" ",TRIM(C468)&amp;" ")-1),",","."),FIND("/",SUBSTITUTE(LEFT(TRIM(C468),FIND(" ",TRIM(C468)&amp;" ")-1),",","."))-1)/MID(SUBSTITUTE(LEFT(TRIM(C468),FIND(" ",TRIM(C468)&amp;" ")-1),",","."),FIND("/",SUBSTITUTE(LEFT(TRIM(C468),FIND(" ",TRIM(C468)&amp;" ")-1),",","."))+1,9))*12,NA()))),0),36)*'Aturan &amp; Tarif'!$B$4,2)</f>
        <v>2044.08</v>
      </c>
      <c r="K468" s="32" t="n">
        <f aca="false">'Aturan &amp; Tarif'!$B$5</f>
        <v>2050</v>
      </c>
      <c r="L468" s="32" t="n">
        <f aca="false">'Aturan &amp; Tarif'!$B$6</f>
        <v>350</v>
      </c>
      <c r="M468" s="35" t="n">
        <f aca="false">I468+J468+K468+L468</f>
        <v>16337.4</v>
      </c>
      <c r="N468" s="37" t="s">
        <v>1644</v>
      </c>
    </row>
    <row r="469" customFormat="false" ht="14.25" hidden="false" customHeight="true" outlineLevel="0" collapsed="false">
      <c r="A469" s="29"/>
      <c r="B469" s="30" t="s">
        <v>997</v>
      </c>
      <c r="C469" s="31" t="s">
        <v>107</v>
      </c>
      <c r="D469" s="31" t="s">
        <v>108</v>
      </c>
      <c r="E469" s="32" t="n">
        <v>6818.75</v>
      </c>
      <c r="F469" s="32"/>
      <c r="G469" s="32" t="n">
        <v>250</v>
      </c>
      <c r="H469" s="33" t="n">
        <v>2</v>
      </c>
      <c r="I469" s="34" t="n">
        <f aca="false">E469*H469+N(F469)+N(G469)</f>
        <v>13887.5</v>
      </c>
      <c r="J469" s="32" t="n">
        <f aca="false">ROUND(IFERROR(ROUND(IF(OR(ISNUMBER(SEARCH("week",C469)),ISNUMBER(SEARCH("minggu",C469))),IFERROR(_xlfn.NUMBERVALUE(SUBSTITUTE(LEFT(TRIM(C469),FIND(" ",TRIM(C469)&amp;" ")-1),",","."),"."),LEFT(SUBSTITUTE(LEFT(TRIM(C469),FIND(" ",TRIM(C469)&amp;" ")-1),",","."),FIND("/",SUBSTITUTE(LEFT(TRIM(C469),FIND(" ",TRIM(C469)&amp;" ")-1),",","."))-1)/MID(SUBSTITUTE(LEFT(TRIM(C469),FIND(" ",TRIM(C469)&amp;" ")-1),",","."),FIND("/",SUBSTITUTE(LEFT(TRIM(C469),FIND(" ",TRIM(C469)&amp;" ")-1),",","."))+1,9))*12/52,IF(ISNUMBER(SEARCH("month",C469)),IFERROR(_xlfn.NUMBERVALUE(SUBSTITUTE(LEFT(TRIM(C469),FIND(" ",TRIM(C469)&amp;" ")-1),",","."),"."),LEFT(SUBSTITUTE(LEFT(TRIM(C469),FIND(" ",TRIM(C469)&amp;" ")-1),",","."),FIND("/",SUBSTITUTE(LEFT(TRIM(C469),FIND(" ",TRIM(C469)&amp;" ")-1),",","."))-1)/MID(SUBSTITUTE(LEFT(TRIM(C469),FIND(" ",TRIM(C469)&amp;" ")-1),",","."),FIND("/",SUBSTITUTE(LEFT(TRIM(C469),FIND(" ",TRIM(C469)&amp;" ")-1),",","."))+1,9)),IF(ISNUMBER(SEARCH("yea",C469)),IFERROR(_xlfn.NUMBERVALUE(SUBSTITUTE(LEFT(TRIM(C469),FIND(" ",TRIM(C469)&amp;" ")-1),",","."),"."),LEFT(SUBSTITUTE(LEFT(TRIM(C469),FIND(" ",TRIM(C469)&amp;" ")-1),",","."),FIND("/",SUBSTITUTE(LEFT(TRIM(C469),FIND(" ",TRIM(C469)&amp;" ")-1),",","."))-1)/MID(SUBSTITUTE(LEFT(TRIM(C469),FIND(" ",TRIM(C469)&amp;" ")-1),",","."),FIND("/",SUBSTITUTE(LEFT(TRIM(C469),FIND(" ",TRIM(C469)&amp;" ")-1),",","."))+1,9))*12,NA()))),0),24)*'Aturan &amp; Tarif'!$B$4,2)</f>
        <v>1362.72</v>
      </c>
      <c r="K469" s="32" t="n">
        <f aca="false">'Aturan &amp; Tarif'!$B$5</f>
        <v>2050</v>
      </c>
      <c r="L469" s="32" t="n">
        <f aca="false">'Aturan &amp; Tarif'!$B$6</f>
        <v>350</v>
      </c>
      <c r="M469" s="35" t="n">
        <f aca="false">I469+J469+K469+L469</f>
        <v>17650.22</v>
      </c>
      <c r="N469" s="37" t="s">
        <v>1648</v>
      </c>
    </row>
    <row r="470" customFormat="false" ht="14.25" hidden="false" customHeight="true" outlineLevel="0" collapsed="false">
      <c r="A470" s="29"/>
      <c r="B470" s="30" t="s">
        <v>999</v>
      </c>
      <c r="C470" s="31" t="s">
        <v>107</v>
      </c>
      <c r="D470" s="31" t="s">
        <v>108</v>
      </c>
      <c r="E470" s="32" t="n">
        <v>6760</v>
      </c>
      <c r="F470" s="32"/>
      <c r="G470" s="32" t="n">
        <v>250</v>
      </c>
      <c r="H470" s="33" t="n">
        <v>2</v>
      </c>
      <c r="I470" s="34" t="n">
        <f aca="false">E470*H470+N(F470)+N(G470)</f>
        <v>13770</v>
      </c>
      <c r="J470" s="32" t="n">
        <f aca="false">ROUND(IFERROR(ROUND(IF(OR(ISNUMBER(SEARCH("week",C470)),ISNUMBER(SEARCH("minggu",C470))),IFERROR(_xlfn.NUMBERVALUE(SUBSTITUTE(LEFT(TRIM(C470),FIND(" ",TRIM(C470)&amp;" ")-1),",","."),"."),LEFT(SUBSTITUTE(LEFT(TRIM(C470),FIND(" ",TRIM(C470)&amp;" ")-1),",","."),FIND("/",SUBSTITUTE(LEFT(TRIM(C470),FIND(" ",TRIM(C470)&amp;" ")-1),",","."))-1)/MID(SUBSTITUTE(LEFT(TRIM(C470),FIND(" ",TRIM(C470)&amp;" ")-1),",","."),FIND("/",SUBSTITUTE(LEFT(TRIM(C470),FIND(" ",TRIM(C470)&amp;" ")-1),",","."))+1,9))*12/52,IF(ISNUMBER(SEARCH("month",C470)),IFERROR(_xlfn.NUMBERVALUE(SUBSTITUTE(LEFT(TRIM(C470),FIND(" ",TRIM(C470)&amp;" ")-1),",","."),"."),LEFT(SUBSTITUTE(LEFT(TRIM(C470),FIND(" ",TRIM(C470)&amp;" ")-1),",","."),FIND("/",SUBSTITUTE(LEFT(TRIM(C470),FIND(" ",TRIM(C470)&amp;" ")-1),",","."))-1)/MID(SUBSTITUTE(LEFT(TRIM(C470),FIND(" ",TRIM(C470)&amp;" ")-1),",","."),FIND("/",SUBSTITUTE(LEFT(TRIM(C470),FIND(" ",TRIM(C470)&amp;" ")-1),",","."))+1,9)),IF(ISNUMBER(SEARCH("yea",C470)),IFERROR(_xlfn.NUMBERVALUE(SUBSTITUTE(LEFT(TRIM(C470),FIND(" ",TRIM(C470)&amp;" ")-1),",","."),"."),LEFT(SUBSTITUTE(LEFT(TRIM(C470),FIND(" ",TRIM(C470)&amp;" ")-1),",","."),FIND("/",SUBSTITUTE(LEFT(TRIM(C470),FIND(" ",TRIM(C470)&amp;" ")-1),",","."))-1)/MID(SUBSTITUTE(LEFT(TRIM(C470),FIND(" ",TRIM(C470)&amp;" ")-1),",","."),FIND("/",SUBSTITUTE(LEFT(TRIM(C470),FIND(" ",TRIM(C470)&amp;" ")-1),",","."))+1,9))*12,NA()))),0),24)*'Aturan &amp; Tarif'!$B$4,2)</f>
        <v>1362.72</v>
      </c>
      <c r="K470" s="32" t="n">
        <f aca="false">'Aturan &amp; Tarif'!$B$5</f>
        <v>2050</v>
      </c>
      <c r="L470" s="32" t="n">
        <f aca="false">'Aturan &amp; Tarif'!$B$6</f>
        <v>350</v>
      </c>
      <c r="M470" s="35" t="n">
        <f aca="false">I470+J470+K470+L470</f>
        <v>17532.72</v>
      </c>
      <c r="N470" s="37" t="s">
        <v>1649</v>
      </c>
    </row>
    <row r="471" customFormat="false" ht="37.5" hidden="false" customHeight="true" outlineLevel="0" collapsed="false">
      <c r="A471" s="29" t="s">
        <v>1650</v>
      </c>
      <c r="B471" s="30" t="s">
        <v>1651</v>
      </c>
      <c r="C471" s="31" t="s">
        <v>107</v>
      </c>
      <c r="D471" s="31" t="s">
        <v>108</v>
      </c>
      <c r="E471" s="32" t="n">
        <v>3650</v>
      </c>
      <c r="F471" s="32" t="n">
        <v>2500</v>
      </c>
      <c r="G471" s="32" t="n">
        <v>300</v>
      </c>
      <c r="H471" s="33" t="n">
        <v>1</v>
      </c>
      <c r="I471" s="34" t="n">
        <f aca="false">E471*H471+N(F471)+N(G471)</f>
        <v>6450</v>
      </c>
      <c r="J471" s="32" t="n">
        <f aca="false">ROUND(IFERROR(ROUND(IF(OR(ISNUMBER(SEARCH("week",C471)),ISNUMBER(SEARCH("minggu",C471))),IFERROR(_xlfn.NUMBERVALUE(SUBSTITUTE(LEFT(TRIM(C471),FIND(" ",TRIM(C471)&amp;" ")-1),",","."),"."),LEFT(SUBSTITUTE(LEFT(TRIM(C471),FIND(" ",TRIM(C471)&amp;" ")-1),",","."),FIND("/",SUBSTITUTE(LEFT(TRIM(C471),FIND(" ",TRIM(C471)&amp;" ")-1),",","."))-1)/MID(SUBSTITUTE(LEFT(TRIM(C471),FIND(" ",TRIM(C471)&amp;" ")-1),",","."),FIND("/",SUBSTITUTE(LEFT(TRIM(C471),FIND(" ",TRIM(C471)&amp;" ")-1),",","."))+1,9))*12/52,IF(ISNUMBER(SEARCH("month",C471)),IFERROR(_xlfn.NUMBERVALUE(SUBSTITUTE(LEFT(TRIM(C471),FIND(" ",TRIM(C471)&amp;" ")-1),",","."),"."),LEFT(SUBSTITUTE(LEFT(TRIM(C471),FIND(" ",TRIM(C471)&amp;" ")-1),",","."),FIND("/",SUBSTITUTE(LEFT(TRIM(C471),FIND(" ",TRIM(C471)&amp;" ")-1),",","."))-1)/MID(SUBSTITUTE(LEFT(TRIM(C471),FIND(" ",TRIM(C471)&amp;" ")-1),",","."),FIND("/",SUBSTITUTE(LEFT(TRIM(C471),FIND(" ",TRIM(C471)&amp;" ")-1),",","."))+1,9)),IF(ISNUMBER(SEARCH("yea",C471)),IFERROR(_xlfn.NUMBERVALUE(SUBSTITUTE(LEFT(TRIM(C471),FIND(" ",TRIM(C471)&amp;" ")-1),",","."),"."),LEFT(SUBSTITUTE(LEFT(TRIM(C471),FIND(" ",TRIM(C471)&amp;" ")-1),",","."),FIND("/",SUBSTITUTE(LEFT(TRIM(C471),FIND(" ",TRIM(C471)&amp;" ")-1),",","."))-1)/MID(SUBSTITUTE(LEFT(TRIM(C471),FIND(" ",TRIM(C471)&amp;" ")-1),",","."),FIND("/",SUBSTITUTE(LEFT(TRIM(C471),FIND(" ",TRIM(C471)&amp;" ")-1),",","."))+1,9))*12,NA()))),0),24)*'Aturan &amp; Tarif'!$B$4,2)</f>
        <v>1362.72</v>
      </c>
      <c r="K471" s="32" t="n">
        <f aca="false">'Aturan &amp; Tarif'!$B$5</f>
        <v>2050</v>
      </c>
      <c r="L471" s="32" t="n">
        <f aca="false">'Aturan &amp; Tarif'!$B$6</f>
        <v>350</v>
      </c>
      <c r="M471" s="35" t="n">
        <f aca="false">I471+J471+K471+L471</f>
        <v>10212.72</v>
      </c>
      <c r="N471" s="37" t="s">
        <v>134</v>
      </c>
    </row>
    <row r="472" customFormat="false" ht="60" hidden="false" customHeight="true" outlineLevel="0" collapsed="false">
      <c r="A472" s="29"/>
      <c r="B472" s="30" t="s">
        <v>465</v>
      </c>
      <c r="C472" s="31" t="s">
        <v>107</v>
      </c>
      <c r="D472" s="31" t="s">
        <v>108</v>
      </c>
      <c r="E472" s="32" t="n">
        <v>1875</v>
      </c>
      <c r="F472" s="32" t="n">
        <v>500</v>
      </c>
      <c r="G472" s="32" t="n">
        <v>300</v>
      </c>
      <c r="H472" s="33" t="n">
        <v>1</v>
      </c>
      <c r="I472" s="34" t="n">
        <f aca="false">E472*H472+N(F472)+N(G472)</f>
        <v>2675</v>
      </c>
      <c r="J472" s="32" t="n">
        <f aca="false">ROUND(IFERROR(ROUND(IF(OR(ISNUMBER(SEARCH("week",C472)),ISNUMBER(SEARCH("minggu",C472))),IFERROR(_xlfn.NUMBERVALUE(SUBSTITUTE(LEFT(TRIM(C472),FIND(" ",TRIM(C472)&amp;" ")-1),",","."),"."),LEFT(SUBSTITUTE(LEFT(TRIM(C472),FIND(" ",TRIM(C472)&amp;" ")-1),",","."),FIND("/",SUBSTITUTE(LEFT(TRIM(C472),FIND(" ",TRIM(C472)&amp;" ")-1),",","."))-1)/MID(SUBSTITUTE(LEFT(TRIM(C472),FIND(" ",TRIM(C472)&amp;" ")-1),",","."),FIND("/",SUBSTITUTE(LEFT(TRIM(C472),FIND(" ",TRIM(C472)&amp;" ")-1),",","."))+1,9))*12/52,IF(ISNUMBER(SEARCH("month",C472)),IFERROR(_xlfn.NUMBERVALUE(SUBSTITUTE(LEFT(TRIM(C472),FIND(" ",TRIM(C472)&amp;" ")-1),",","."),"."),LEFT(SUBSTITUTE(LEFT(TRIM(C472),FIND(" ",TRIM(C472)&amp;" ")-1),",","."),FIND("/",SUBSTITUTE(LEFT(TRIM(C472),FIND(" ",TRIM(C472)&amp;" ")-1),",","."))-1)/MID(SUBSTITUTE(LEFT(TRIM(C472),FIND(" ",TRIM(C472)&amp;" ")-1),",","."),FIND("/",SUBSTITUTE(LEFT(TRIM(C472),FIND(" ",TRIM(C472)&amp;" ")-1),",","."))+1,9)),IF(ISNUMBER(SEARCH("yea",C472)),IFERROR(_xlfn.NUMBERVALUE(SUBSTITUTE(LEFT(TRIM(C472),FIND(" ",TRIM(C472)&amp;" ")-1),",","."),"."),LEFT(SUBSTITUTE(LEFT(TRIM(C472),FIND(" ",TRIM(C472)&amp;" ")-1),",","."),FIND("/",SUBSTITUTE(LEFT(TRIM(C472),FIND(" ",TRIM(C472)&amp;" ")-1),",","."))-1)/MID(SUBSTITUTE(LEFT(TRIM(C472),FIND(" ",TRIM(C472)&amp;" ")-1),",","."),FIND("/",SUBSTITUTE(LEFT(TRIM(C472),FIND(" ",TRIM(C472)&amp;" ")-1),",","."))+1,9))*12,NA()))),0),24)*'Aturan &amp; Tarif'!$B$4,2)</f>
        <v>1362.72</v>
      </c>
      <c r="K472" s="32" t="n">
        <f aca="false">'Aturan &amp; Tarif'!$B$5</f>
        <v>2050</v>
      </c>
      <c r="L472" s="32" t="n">
        <f aca="false">'Aturan &amp; Tarif'!$B$6</f>
        <v>350</v>
      </c>
      <c r="M472" s="35" t="n">
        <f aca="false">I472+J472+K472+L472</f>
        <v>6437.72</v>
      </c>
      <c r="N472" s="36" t="s">
        <v>1652</v>
      </c>
    </row>
    <row r="473" customFormat="false" ht="37.5" hidden="false" customHeight="true" outlineLevel="0" collapsed="false">
      <c r="A473" s="29"/>
      <c r="B473" s="30" t="s">
        <v>470</v>
      </c>
      <c r="C473" s="31" t="s">
        <v>107</v>
      </c>
      <c r="D473" s="31" t="s">
        <v>108</v>
      </c>
      <c r="E473" s="32" t="n">
        <v>2750</v>
      </c>
      <c r="F473" s="32"/>
      <c r="G473" s="32" t="n">
        <v>300</v>
      </c>
      <c r="H473" s="33" t="n">
        <v>1</v>
      </c>
      <c r="I473" s="34" t="n">
        <f aca="false">E473*H473+N(F473)+N(G473)</f>
        <v>3050</v>
      </c>
      <c r="J473" s="32" t="n">
        <f aca="false">ROUND(IFERROR(ROUND(IF(OR(ISNUMBER(SEARCH("week",C473)),ISNUMBER(SEARCH("minggu",C473))),IFERROR(_xlfn.NUMBERVALUE(SUBSTITUTE(LEFT(TRIM(C473),FIND(" ",TRIM(C473)&amp;" ")-1),",","."),"."),LEFT(SUBSTITUTE(LEFT(TRIM(C473),FIND(" ",TRIM(C473)&amp;" ")-1),",","."),FIND("/",SUBSTITUTE(LEFT(TRIM(C473),FIND(" ",TRIM(C473)&amp;" ")-1),",","."))-1)/MID(SUBSTITUTE(LEFT(TRIM(C473),FIND(" ",TRIM(C473)&amp;" ")-1),",","."),FIND("/",SUBSTITUTE(LEFT(TRIM(C473),FIND(" ",TRIM(C473)&amp;" ")-1),",","."))+1,9))*12/52,IF(ISNUMBER(SEARCH("month",C473)),IFERROR(_xlfn.NUMBERVALUE(SUBSTITUTE(LEFT(TRIM(C473),FIND(" ",TRIM(C473)&amp;" ")-1),",","."),"."),LEFT(SUBSTITUTE(LEFT(TRIM(C473),FIND(" ",TRIM(C473)&amp;" ")-1),",","."),FIND("/",SUBSTITUTE(LEFT(TRIM(C473),FIND(" ",TRIM(C473)&amp;" ")-1),",","."))-1)/MID(SUBSTITUTE(LEFT(TRIM(C473),FIND(" ",TRIM(C473)&amp;" ")-1),",","."),FIND("/",SUBSTITUTE(LEFT(TRIM(C473),FIND(" ",TRIM(C473)&amp;" ")-1),",","."))+1,9)),IF(ISNUMBER(SEARCH("yea",C473)),IFERROR(_xlfn.NUMBERVALUE(SUBSTITUTE(LEFT(TRIM(C473),FIND(" ",TRIM(C473)&amp;" ")-1),",","."),"."),LEFT(SUBSTITUTE(LEFT(TRIM(C473),FIND(" ",TRIM(C473)&amp;" ")-1),",","."),FIND("/",SUBSTITUTE(LEFT(TRIM(C473),FIND(" ",TRIM(C473)&amp;" ")-1),",","."))-1)/MID(SUBSTITUTE(LEFT(TRIM(C473),FIND(" ",TRIM(C473)&amp;" ")-1),",","."),FIND("/",SUBSTITUTE(LEFT(TRIM(C473),FIND(" ",TRIM(C473)&amp;" ")-1),",","."))+1,9))*12,NA()))),0),24)*'Aturan &amp; Tarif'!$B$4,2)</f>
        <v>1362.72</v>
      </c>
      <c r="K473" s="32" t="n">
        <f aca="false">'Aturan &amp; Tarif'!$B$5</f>
        <v>2050</v>
      </c>
      <c r="L473" s="32" t="n">
        <f aca="false">'Aturan &amp; Tarif'!$B$6</f>
        <v>350</v>
      </c>
      <c r="M473" s="35" t="n">
        <f aca="false">I473+J473+K473+L473</f>
        <v>6812.72</v>
      </c>
      <c r="N473" s="37" t="s">
        <v>1653</v>
      </c>
    </row>
    <row r="474" customFormat="false" ht="72" hidden="false" customHeight="true" outlineLevel="0" collapsed="false">
      <c r="A474" s="29"/>
      <c r="B474" s="30" t="s">
        <v>1654</v>
      </c>
      <c r="C474" s="31" t="s">
        <v>138</v>
      </c>
      <c r="D474" s="31" t="s">
        <v>108</v>
      </c>
      <c r="E474" s="32" t="n">
        <v>2300</v>
      </c>
      <c r="F474" s="32" t="n">
        <v>2250</v>
      </c>
      <c r="G474" s="32" t="n">
        <v>300</v>
      </c>
      <c r="H474" s="33" t="n">
        <v>1</v>
      </c>
      <c r="I474" s="34" t="n">
        <f aca="false">E474*H474+N(F474)+N(G474)</f>
        <v>4850</v>
      </c>
      <c r="J474" s="32" t="n">
        <f aca="false">ROUND(IFERROR(ROUND(IF(OR(ISNUMBER(SEARCH("week",C474)),ISNUMBER(SEARCH("minggu",C474))),IFERROR(_xlfn.NUMBERVALUE(SUBSTITUTE(LEFT(TRIM(C474),FIND(" ",TRIM(C474)&amp;" ")-1),",","."),"."),LEFT(SUBSTITUTE(LEFT(TRIM(C474),FIND(" ",TRIM(C474)&amp;" ")-1),",","."),FIND("/",SUBSTITUTE(LEFT(TRIM(C474),FIND(" ",TRIM(C474)&amp;" ")-1),",","."))-1)/MID(SUBSTITUTE(LEFT(TRIM(C474),FIND(" ",TRIM(C474)&amp;" ")-1),",","."),FIND("/",SUBSTITUTE(LEFT(TRIM(C474),FIND(" ",TRIM(C474)&amp;" ")-1),",","."))+1,9))*12/52,IF(ISNUMBER(SEARCH("month",C474)),IFERROR(_xlfn.NUMBERVALUE(SUBSTITUTE(LEFT(TRIM(C474),FIND(" ",TRIM(C474)&amp;" ")-1),",","."),"."),LEFT(SUBSTITUTE(LEFT(TRIM(C474),FIND(" ",TRIM(C474)&amp;" ")-1),",","."),FIND("/",SUBSTITUTE(LEFT(TRIM(C474),FIND(" ",TRIM(C474)&amp;" ")-1),",","."))-1)/MID(SUBSTITUTE(LEFT(TRIM(C474),FIND(" ",TRIM(C474)&amp;" ")-1),",","."),FIND("/",SUBSTITUTE(LEFT(TRIM(C474),FIND(" ",TRIM(C474)&amp;" ")-1),",","."))+1,9)),IF(ISNUMBER(SEARCH("yea",C474)),IFERROR(_xlfn.NUMBERVALUE(SUBSTITUTE(LEFT(TRIM(C474),FIND(" ",TRIM(C474)&amp;" ")-1),",","."),"."),LEFT(SUBSTITUTE(LEFT(TRIM(C474),FIND(" ",TRIM(C474)&amp;" ")-1),",","."),FIND("/",SUBSTITUTE(LEFT(TRIM(C474),FIND(" ",TRIM(C474)&amp;" ")-1),",","."))-1)/MID(SUBSTITUTE(LEFT(TRIM(C474),FIND(" ",TRIM(C474)&amp;" ")-1),",","."),FIND("/",SUBSTITUTE(LEFT(TRIM(C474),FIND(" ",TRIM(C474)&amp;" ")-1),",","."))+1,9))*12,NA()))),0),30)*'Aturan &amp; Tarif'!$B$4,2)</f>
        <v>1703.4</v>
      </c>
      <c r="K474" s="32" t="n">
        <f aca="false">'Aturan &amp; Tarif'!$B$5</f>
        <v>2050</v>
      </c>
      <c r="L474" s="32" t="n">
        <f aca="false">'Aturan &amp; Tarif'!$B$6</f>
        <v>350</v>
      </c>
      <c r="M474" s="35" t="n">
        <f aca="false">I474+J474+K474+L474</f>
        <v>8953.4</v>
      </c>
      <c r="N474" s="36" t="s">
        <v>1655</v>
      </c>
    </row>
    <row r="475" customFormat="false" ht="25.5" hidden="false" customHeight="true" outlineLevel="0" collapsed="false">
      <c r="A475" s="29"/>
      <c r="B475" s="30" t="s">
        <v>1656</v>
      </c>
      <c r="C475" s="31" t="s">
        <v>191</v>
      </c>
      <c r="D475" s="31" t="s">
        <v>108</v>
      </c>
      <c r="E475" s="32" t="n">
        <v>3800</v>
      </c>
      <c r="F475" s="32"/>
      <c r="G475" s="32" t="n">
        <v>300</v>
      </c>
      <c r="H475" s="33" t="n">
        <v>1</v>
      </c>
      <c r="I475" s="34" t="n">
        <f aca="false">E475*H475+N(F475)+N(G475)</f>
        <v>4100</v>
      </c>
      <c r="J475" s="32" t="n">
        <f aca="false">ROUND(IFERROR(ROUND(IF(OR(ISNUMBER(SEARCH("week",C475)),ISNUMBER(SEARCH("minggu",C475))),IFERROR(_xlfn.NUMBERVALUE(SUBSTITUTE(LEFT(TRIM(C475),FIND(" ",TRIM(C475)&amp;" ")-1),",","."),"."),LEFT(SUBSTITUTE(LEFT(TRIM(C475),FIND(" ",TRIM(C475)&amp;" ")-1),",","."),FIND("/",SUBSTITUTE(LEFT(TRIM(C475),FIND(" ",TRIM(C475)&amp;" ")-1),",","."))-1)/MID(SUBSTITUTE(LEFT(TRIM(C475),FIND(" ",TRIM(C475)&amp;" ")-1),",","."),FIND("/",SUBSTITUTE(LEFT(TRIM(C475),FIND(" ",TRIM(C475)&amp;" ")-1),",","."))+1,9))*12/52,IF(ISNUMBER(SEARCH("month",C475)),IFERROR(_xlfn.NUMBERVALUE(SUBSTITUTE(LEFT(TRIM(C475),FIND(" ",TRIM(C475)&amp;" ")-1),",","."),"."),LEFT(SUBSTITUTE(LEFT(TRIM(C475),FIND(" ",TRIM(C475)&amp;" ")-1),",","."),FIND("/",SUBSTITUTE(LEFT(TRIM(C475),FIND(" ",TRIM(C475)&amp;" ")-1),",","."))-1)/MID(SUBSTITUTE(LEFT(TRIM(C475),FIND(" ",TRIM(C475)&amp;" ")-1),",","."),FIND("/",SUBSTITUTE(LEFT(TRIM(C475),FIND(" ",TRIM(C475)&amp;" ")-1),",","."))+1,9)),IF(ISNUMBER(SEARCH("yea",C475)),IFERROR(_xlfn.NUMBERVALUE(SUBSTITUTE(LEFT(TRIM(C475),FIND(" ",TRIM(C475)&amp;" ")-1),",","."),"."),LEFT(SUBSTITUTE(LEFT(TRIM(C475),FIND(" ",TRIM(C475)&amp;" ")-1),",","."),FIND("/",SUBSTITUTE(LEFT(TRIM(C475),FIND(" ",TRIM(C475)&amp;" ")-1),",","."))-1)/MID(SUBSTITUTE(LEFT(TRIM(C475),FIND(" ",TRIM(C475)&amp;" ")-1),",","."),FIND("/",SUBSTITUTE(LEFT(TRIM(C475),FIND(" ",TRIM(C475)&amp;" ")-1),",","."))+1,9))*12,NA()))),0),48)*'Aturan &amp; Tarif'!$B$4,2)</f>
        <v>2725.44</v>
      </c>
      <c r="K475" s="32" t="n">
        <f aca="false">'Aturan &amp; Tarif'!$B$5</f>
        <v>2050</v>
      </c>
      <c r="L475" s="32" t="n">
        <f aca="false">'Aturan &amp; Tarif'!$B$6</f>
        <v>350</v>
      </c>
      <c r="M475" s="35" t="n">
        <f aca="false">I475+J475+K475+L475</f>
        <v>9225.44</v>
      </c>
      <c r="N475" s="37" t="s">
        <v>1653</v>
      </c>
    </row>
    <row r="476" customFormat="false" ht="37.5" hidden="false" customHeight="true" outlineLevel="0" collapsed="false">
      <c r="A476" s="29"/>
      <c r="B476" s="30" t="s">
        <v>1657</v>
      </c>
      <c r="C476" s="31" t="s">
        <v>245</v>
      </c>
      <c r="D476" s="31" t="s">
        <v>108</v>
      </c>
      <c r="E476" s="32" t="n">
        <v>3800</v>
      </c>
      <c r="F476" s="32"/>
      <c r="G476" s="32" t="n">
        <v>300</v>
      </c>
      <c r="H476" s="33" t="n">
        <v>1</v>
      </c>
      <c r="I476" s="34" t="n">
        <f aca="false">E476*H476+N(F476)+N(G476)</f>
        <v>4100</v>
      </c>
      <c r="J476" s="32" t="n">
        <f aca="false">ROUND(IFERROR(ROUND(IF(OR(ISNUMBER(SEARCH("week",C476)),ISNUMBER(SEARCH("minggu",C476))),IFERROR(_xlfn.NUMBERVALUE(SUBSTITUTE(LEFT(TRIM(C476),FIND(" ",TRIM(C476)&amp;" ")-1),",","."),"."),LEFT(SUBSTITUTE(LEFT(TRIM(C476),FIND(" ",TRIM(C476)&amp;" ")-1),",","."),FIND("/",SUBSTITUTE(LEFT(TRIM(C476),FIND(" ",TRIM(C476)&amp;" ")-1),",","."))-1)/MID(SUBSTITUTE(LEFT(TRIM(C476),FIND(" ",TRIM(C476)&amp;" ")-1),",","."),FIND("/",SUBSTITUTE(LEFT(TRIM(C476),FIND(" ",TRIM(C476)&amp;" ")-1),",","."))+1,9))*12/52,IF(ISNUMBER(SEARCH("month",C476)),IFERROR(_xlfn.NUMBERVALUE(SUBSTITUTE(LEFT(TRIM(C476),FIND(" ",TRIM(C476)&amp;" ")-1),",","."),"."),LEFT(SUBSTITUTE(LEFT(TRIM(C476),FIND(" ",TRIM(C476)&amp;" ")-1),",","."),FIND("/",SUBSTITUTE(LEFT(TRIM(C476),FIND(" ",TRIM(C476)&amp;" ")-1),",","."))-1)/MID(SUBSTITUTE(LEFT(TRIM(C476),FIND(" ",TRIM(C476)&amp;" ")-1),",","."),FIND("/",SUBSTITUTE(LEFT(TRIM(C476),FIND(" ",TRIM(C476)&amp;" ")-1),",","."))+1,9)),IF(ISNUMBER(SEARCH("yea",C476)),IFERROR(_xlfn.NUMBERVALUE(SUBSTITUTE(LEFT(TRIM(C476),FIND(" ",TRIM(C476)&amp;" ")-1),",","."),"."),LEFT(SUBSTITUTE(LEFT(TRIM(C476),FIND(" ",TRIM(C476)&amp;" ")-1),",","."),FIND("/",SUBSTITUTE(LEFT(TRIM(C476),FIND(" ",TRIM(C476)&amp;" ")-1),",","."))-1)/MID(SUBSTITUTE(LEFT(TRIM(C476),FIND(" ",TRIM(C476)&amp;" ")-1),",","."),FIND("/",SUBSTITUTE(LEFT(TRIM(C476),FIND(" ",TRIM(C476)&amp;" ")-1),",","."))+1,9))*12,NA()))),0),60)*'Aturan &amp; Tarif'!$B$4,2)</f>
        <v>3406.8</v>
      </c>
      <c r="K476" s="32" t="n">
        <f aca="false">'Aturan &amp; Tarif'!$B$5</f>
        <v>2050</v>
      </c>
      <c r="L476" s="32" t="n">
        <f aca="false">'Aturan &amp; Tarif'!$B$6</f>
        <v>350</v>
      </c>
      <c r="M476" s="35" t="n">
        <f aca="false">I476+J476+K476+L476</f>
        <v>9906.8</v>
      </c>
      <c r="N476" s="37" t="s">
        <v>1658</v>
      </c>
    </row>
    <row r="477" customFormat="false" ht="25.5" hidden="false" customHeight="true" outlineLevel="0" collapsed="false">
      <c r="A477" s="29"/>
      <c r="B477" s="30" t="s">
        <v>1656</v>
      </c>
      <c r="C477" s="31" t="s">
        <v>191</v>
      </c>
      <c r="D477" s="31" t="s">
        <v>108</v>
      </c>
      <c r="E477" s="32" t="n">
        <v>3800</v>
      </c>
      <c r="F477" s="32"/>
      <c r="G477" s="32" t="n">
        <v>300</v>
      </c>
      <c r="H477" s="33" t="n">
        <v>1</v>
      </c>
      <c r="I477" s="34" t="n">
        <f aca="false">E477*H477+N(F477)+N(G477)</f>
        <v>4100</v>
      </c>
      <c r="J477" s="32" t="n">
        <f aca="false">ROUND(IFERROR(ROUND(IF(OR(ISNUMBER(SEARCH("week",C477)),ISNUMBER(SEARCH("minggu",C477))),IFERROR(_xlfn.NUMBERVALUE(SUBSTITUTE(LEFT(TRIM(C477),FIND(" ",TRIM(C477)&amp;" ")-1),",","."),"."),LEFT(SUBSTITUTE(LEFT(TRIM(C477),FIND(" ",TRIM(C477)&amp;" ")-1),",","."),FIND("/",SUBSTITUTE(LEFT(TRIM(C477),FIND(" ",TRIM(C477)&amp;" ")-1),",","."))-1)/MID(SUBSTITUTE(LEFT(TRIM(C477),FIND(" ",TRIM(C477)&amp;" ")-1),",","."),FIND("/",SUBSTITUTE(LEFT(TRIM(C477),FIND(" ",TRIM(C477)&amp;" ")-1),",","."))+1,9))*12/52,IF(ISNUMBER(SEARCH("month",C477)),IFERROR(_xlfn.NUMBERVALUE(SUBSTITUTE(LEFT(TRIM(C477),FIND(" ",TRIM(C477)&amp;" ")-1),",","."),"."),LEFT(SUBSTITUTE(LEFT(TRIM(C477),FIND(" ",TRIM(C477)&amp;" ")-1),",","."),FIND("/",SUBSTITUTE(LEFT(TRIM(C477),FIND(" ",TRIM(C477)&amp;" ")-1),",","."))-1)/MID(SUBSTITUTE(LEFT(TRIM(C477),FIND(" ",TRIM(C477)&amp;" ")-1),",","."),FIND("/",SUBSTITUTE(LEFT(TRIM(C477),FIND(" ",TRIM(C477)&amp;" ")-1),",","."))+1,9)),IF(ISNUMBER(SEARCH("yea",C477)),IFERROR(_xlfn.NUMBERVALUE(SUBSTITUTE(LEFT(TRIM(C477),FIND(" ",TRIM(C477)&amp;" ")-1),",","."),"."),LEFT(SUBSTITUTE(LEFT(TRIM(C477),FIND(" ",TRIM(C477)&amp;" ")-1),",","."),FIND("/",SUBSTITUTE(LEFT(TRIM(C477),FIND(" ",TRIM(C477)&amp;" ")-1),",","."))-1)/MID(SUBSTITUTE(LEFT(TRIM(C477),FIND(" ",TRIM(C477)&amp;" ")-1),",","."),FIND("/",SUBSTITUTE(LEFT(TRIM(C477),FIND(" ",TRIM(C477)&amp;" ")-1),",","."))+1,9))*12,NA()))),0),48)*'Aturan &amp; Tarif'!$B$4,2)</f>
        <v>2725.44</v>
      </c>
      <c r="K477" s="32" t="n">
        <f aca="false">'Aturan &amp; Tarif'!$B$5</f>
        <v>2050</v>
      </c>
      <c r="L477" s="32" t="n">
        <f aca="false">'Aturan &amp; Tarif'!$B$6</f>
        <v>350</v>
      </c>
      <c r="M477" s="35" t="n">
        <f aca="false">I477+J477+K477+L477</f>
        <v>9225.44</v>
      </c>
      <c r="N477" s="37" t="s">
        <v>1653</v>
      </c>
    </row>
    <row r="478" customFormat="false" ht="37.5" hidden="false" customHeight="true" outlineLevel="0" collapsed="false">
      <c r="A478" s="29"/>
      <c r="B478" s="30" t="s">
        <v>1659</v>
      </c>
      <c r="C478" s="31" t="s">
        <v>245</v>
      </c>
      <c r="D478" s="31" t="s">
        <v>108</v>
      </c>
      <c r="E478" s="32" t="n">
        <v>3800</v>
      </c>
      <c r="F478" s="32"/>
      <c r="G478" s="32" t="n">
        <v>300</v>
      </c>
      <c r="H478" s="33" t="n">
        <v>1</v>
      </c>
      <c r="I478" s="34" t="n">
        <f aca="false">E478*H478+N(F478)+N(G478)</f>
        <v>4100</v>
      </c>
      <c r="J478" s="32" t="n">
        <f aca="false">ROUND(IFERROR(ROUND(IF(OR(ISNUMBER(SEARCH("week",C478)),ISNUMBER(SEARCH("minggu",C478))),IFERROR(_xlfn.NUMBERVALUE(SUBSTITUTE(LEFT(TRIM(C478),FIND(" ",TRIM(C478)&amp;" ")-1),",","."),"."),LEFT(SUBSTITUTE(LEFT(TRIM(C478),FIND(" ",TRIM(C478)&amp;" ")-1),",","."),FIND("/",SUBSTITUTE(LEFT(TRIM(C478),FIND(" ",TRIM(C478)&amp;" ")-1),",","."))-1)/MID(SUBSTITUTE(LEFT(TRIM(C478),FIND(" ",TRIM(C478)&amp;" ")-1),",","."),FIND("/",SUBSTITUTE(LEFT(TRIM(C478),FIND(" ",TRIM(C478)&amp;" ")-1),",","."))+1,9))*12/52,IF(ISNUMBER(SEARCH("month",C478)),IFERROR(_xlfn.NUMBERVALUE(SUBSTITUTE(LEFT(TRIM(C478),FIND(" ",TRIM(C478)&amp;" ")-1),",","."),"."),LEFT(SUBSTITUTE(LEFT(TRIM(C478),FIND(" ",TRIM(C478)&amp;" ")-1),",","."),FIND("/",SUBSTITUTE(LEFT(TRIM(C478),FIND(" ",TRIM(C478)&amp;" ")-1),",","."))-1)/MID(SUBSTITUTE(LEFT(TRIM(C478),FIND(" ",TRIM(C478)&amp;" ")-1),",","."),FIND("/",SUBSTITUTE(LEFT(TRIM(C478),FIND(" ",TRIM(C478)&amp;" ")-1),",","."))+1,9)),IF(ISNUMBER(SEARCH("yea",C478)),IFERROR(_xlfn.NUMBERVALUE(SUBSTITUTE(LEFT(TRIM(C478),FIND(" ",TRIM(C478)&amp;" ")-1),",","."),"."),LEFT(SUBSTITUTE(LEFT(TRIM(C478),FIND(" ",TRIM(C478)&amp;" ")-1),",","."),FIND("/",SUBSTITUTE(LEFT(TRIM(C478),FIND(" ",TRIM(C478)&amp;" ")-1),",","."))-1)/MID(SUBSTITUTE(LEFT(TRIM(C478),FIND(" ",TRIM(C478)&amp;" ")-1),",","."),FIND("/",SUBSTITUTE(LEFT(TRIM(C478),FIND(" ",TRIM(C478)&amp;" ")-1),",","."))+1,9))*12,NA()))),0),60)*'Aturan &amp; Tarif'!$B$4,2)</f>
        <v>3406.8</v>
      </c>
      <c r="K478" s="32" t="n">
        <f aca="false">'Aturan &amp; Tarif'!$B$5</f>
        <v>2050</v>
      </c>
      <c r="L478" s="32" t="n">
        <f aca="false">'Aturan &amp; Tarif'!$B$6</f>
        <v>350</v>
      </c>
      <c r="M478" s="35" t="n">
        <f aca="false">I478+J478+K478+L478</f>
        <v>9906.8</v>
      </c>
      <c r="N478" s="37" t="s">
        <v>1658</v>
      </c>
    </row>
    <row r="479" customFormat="false" ht="25.5" hidden="false" customHeight="true" outlineLevel="0" collapsed="false">
      <c r="A479" s="29"/>
      <c r="B479" s="30" t="s">
        <v>711</v>
      </c>
      <c r="C479" s="31" t="s">
        <v>127</v>
      </c>
      <c r="D479" s="31" t="s">
        <v>108</v>
      </c>
      <c r="E479" s="32" t="n">
        <v>1800</v>
      </c>
      <c r="F479" s="32" t="n">
        <v>250</v>
      </c>
      <c r="G479" s="32" t="n">
        <v>300</v>
      </c>
      <c r="H479" s="33" t="n">
        <v>1</v>
      </c>
      <c r="I479" s="34" t="n">
        <f aca="false">E479*H479+N(F479)+N(G479)</f>
        <v>2350</v>
      </c>
      <c r="J479" s="32" t="n">
        <f aca="false">ROUND(IFERROR(ROUND(IF(OR(ISNUMBER(SEARCH("week",C479)),ISNUMBER(SEARCH("minggu",C479))),IFERROR(_xlfn.NUMBERVALUE(SUBSTITUTE(LEFT(TRIM(C479),FIND(" ",TRIM(C479)&amp;" ")-1),",","."),"."),LEFT(SUBSTITUTE(LEFT(TRIM(C479),FIND(" ",TRIM(C479)&amp;" ")-1),",","."),FIND("/",SUBSTITUTE(LEFT(TRIM(C479),FIND(" ",TRIM(C479)&amp;" ")-1),",","."))-1)/MID(SUBSTITUTE(LEFT(TRIM(C479),FIND(" ",TRIM(C479)&amp;" ")-1),",","."),FIND("/",SUBSTITUTE(LEFT(TRIM(C479),FIND(" ",TRIM(C479)&amp;" ")-1),",","."))+1,9))*12/52,IF(ISNUMBER(SEARCH("month",C479)),IFERROR(_xlfn.NUMBERVALUE(SUBSTITUTE(LEFT(TRIM(C479),FIND(" ",TRIM(C479)&amp;" ")-1),",","."),"."),LEFT(SUBSTITUTE(LEFT(TRIM(C479),FIND(" ",TRIM(C479)&amp;" ")-1),",","."),FIND("/",SUBSTITUTE(LEFT(TRIM(C479),FIND(" ",TRIM(C479)&amp;" ")-1),",","."))-1)/MID(SUBSTITUTE(LEFT(TRIM(C479),FIND(" ",TRIM(C479)&amp;" ")-1),",","."),FIND("/",SUBSTITUTE(LEFT(TRIM(C479),FIND(" ",TRIM(C479)&amp;" ")-1),",","."))+1,9)),IF(ISNUMBER(SEARCH("yea",C479)),IFERROR(_xlfn.NUMBERVALUE(SUBSTITUTE(LEFT(TRIM(C479),FIND(" ",TRIM(C479)&amp;" ")-1),",","."),"."),LEFT(SUBSTITUTE(LEFT(TRIM(C479),FIND(" ",TRIM(C479)&amp;" ")-1),",","."),FIND("/",SUBSTITUTE(LEFT(TRIM(C479),FIND(" ",TRIM(C479)&amp;" ")-1),",","."))-1)/MID(SUBSTITUTE(LEFT(TRIM(C479),FIND(" ",TRIM(C479)&amp;" ")-1),",","."),FIND("/",SUBSTITUTE(LEFT(TRIM(C479),FIND(" ",TRIM(C479)&amp;" ")-1),",","."))+1,9))*12,NA()))),0),36)*'Aturan &amp; Tarif'!$B$4,2)</f>
        <v>2044.08</v>
      </c>
      <c r="K479" s="32" t="n">
        <f aca="false">'Aturan &amp; Tarif'!$B$5</f>
        <v>2050</v>
      </c>
      <c r="L479" s="32" t="n">
        <f aca="false">'Aturan &amp; Tarif'!$B$6</f>
        <v>350</v>
      </c>
      <c r="M479" s="35" t="n">
        <f aca="false">I479+J479+K479+L479</f>
        <v>6794.08</v>
      </c>
      <c r="N479" s="37" t="s">
        <v>134</v>
      </c>
    </row>
    <row r="480" customFormat="false" ht="48.75" hidden="false" customHeight="true" outlineLevel="0" collapsed="false">
      <c r="A480" s="39" t="s">
        <v>1660</v>
      </c>
      <c r="B480" s="40" t="s">
        <v>465</v>
      </c>
      <c r="C480" s="41" t="s">
        <v>107</v>
      </c>
      <c r="D480" s="41" t="s">
        <v>108</v>
      </c>
      <c r="E480" s="42" t="n">
        <v>2700</v>
      </c>
      <c r="F480" s="42" t="n">
        <v>500</v>
      </c>
      <c r="G480" s="42" t="n">
        <v>250</v>
      </c>
      <c r="H480" s="43" t="n">
        <v>1</v>
      </c>
      <c r="I480" s="34" t="n">
        <f aca="false">E480*H480+N(F480)+N(G480)</f>
        <v>3450</v>
      </c>
      <c r="J480" s="42" t="n">
        <f aca="false">ROUND(IFERROR(ROUND(IF(OR(ISNUMBER(SEARCH("week",C480)),ISNUMBER(SEARCH("minggu",C480))),IFERROR(_xlfn.NUMBERVALUE(SUBSTITUTE(LEFT(TRIM(C480),FIND(" ",TRIM(C480)&amp;" ")-1),",","."),"."),LEFT(SUBSTITUTE(LEFT(TRIM(C480),FIND(" ",TRIM(C480)&amp;" ")-1),",","."),FIND("/",SUBSTITUTE(LEFT(TRIM(C480),FIND(" ",TRIM(C480)&amp;" ")-1),",","."))-1)/MID(SUBSTITUTE(LEFT(TRIM(C480),FIND(" ",TRIM(C480)&amp;" ")-1),",","."),FIND("/",SUBSTITUTE(LEFT(TRIM(C480),FIND(" ",TRIM(C480)&amp;" ")-1),",","."))+1,9))*12/52,IF(ISNUMBER(SEARCH("month",C480)),IFERROR(_xlfn.NUMBERVALUE(SUBSTITUTE(LEFT(TRIM(C480),FIND(" ",TRIM(C480)&amp;" ")-1),",","."),"."),LEFT(SUBSTITUTE(LEFT(TRIM(C480),FIND(" ",TRIM(C480)&amp;" ")-1),",","."),FIND("/",SUBSTITUTE(LEFT(TRIM(C480),FIND(" ",TRIM(C480)&amp;" ")-1),",","."))-1)/MID(SUBSTITUTE(LEFT(TRIM(C480),FIND(" ",TRIM(C480)&amp;" ")-1),",","."),FIND("/",SUBSTITUTE(LEFT(TRIM(C480),FIND(" ",TRIM(C480)&amp;" ")-1),",","."))+1,9)),IF(ISNUMBER(SEARCH("yea",C480)),IFERROR(_xlfn.NUMBERVALUE(SUBSTITUTE(LEFT(TRIM(C480),FIND(" ",TRIM(C480)&amp;" ")-1),",","."),"."),LEFT(SUBSTITUTE(LEFT(TRIM(C480),FIND(" ",TRIM(C480)&amp;" ")-1),",","."),FIND("/",SUBSTITUTE(LEFT(TRIM(C480),FIND(" ",TRIM(C480)&amp;" ")-1),",","."))-1)/MID(SUBSTITUTE(LEFT(TRIM(C480),FIND(" ",TRIM(C480)&amp;" ")-1),",","."),FIND("/",SUBSTITUTE(LEFT(TRIM(C480),FIND(" ",TRIM(C480)&amp;" ")-1),",","."))+1,9))*12,NA()))),0),24)*'Aturan &amp; Tarif'!$B$4,2)</f>
        <v>1362.72</v>
      </c>
      <c r="K480" s="42" t="n">
        <f aca="false">'Aturan &amp; Tarif'!$B$5</f>
        <v>2050</v>
      </c>
      <c r="L480" s="42" t="n">
        <f aca="false">'Aturan &amp; Tarif'!$B$6</f>
        <v>350</v>
      </c>
      <c r="M480" s="35" t="n">
        <f aca="false">I480+J480+K480+L480</f>
        <v>7212.72</v>
      </c>
      <c r="N480" s="45" t="s">
        <v>1564</v>
      </c>
    </row>
    <row r="481" customFormat="false" ht="25.5" hidden="false" customHeight="true" outlineLevel="0" collapsed="false">
      <c r="A481" s="39"/>
      <c r="B481" s="40" t="s">
        <v>1661</v>
      </c>
      <c r="C481" s="41" t="s">
        <v>138</v>
      </c>
      <c r="D481" s="41" t="s">
        <v>108</v>
      </c>
      <c r="E481" s="42" t="n">
        <v>3000</v>
      </c>
      <c r="F481" s="42" t="n">
        <v>750</v>
      </c>
      <c r="G481" s="42" t="n">
        <v>250</v>
      </c>
      <c r="H481" s="43" t="n">
        <v>1</v>
      </c>
      <c r="I481" s="34" t="n">
        <f aca="false">E481*H481+N(F481)+N(G481)</f>
        <v>4000</v>
      </c>
      <c r="J481" s="42" t="n">
        <f aca="false">ROUND(IFERROR(ROUND(IF(OR(ISNUMBER(SEARCH("week",C481)),ISNUMBER(SEARCH("minggu",C481))),IFERROR(_xlfn.NUMBERVALUE(SUBSTITUTE(LEFT(TRIM(C481),FIND(" ",TRIM(C481)&amp;" ")-1),",","."),"."),LEFT(SUBSTITUTE(LEFT(TRIM(C481),FIND(" ",TRIM(C481)&amp;" ")-1),",","."),FIND("/",SUBSTITUTE(LEFT(TRIM(C481),FIND(" ",TRIM(C481)&amp;" ")-1),",","."))-1)/MID(SUBSTITUTE(LEFT(TRIM(C481),FIND(" ",TRIM(C481)&amp;" ")-1),",","."),FIND("/",SUBSTITUTE(LEFT(TRIM(C481),FIND(" ",TRIM(C481)&amp;" ")-1),",","."))+1,9))*12/52,IF(ISNUMBER(SEARCH("month",C481)),IFERROR(_xlfn.NUMBERVALUE(SUBSTITUTE(LEFT(TRIM(C481),FIND(" ",TRIM(C481)&amp;" ")-1),",","."),"."),LEFT(SUBSTITUTE(LEFT(TRIM(C481),FIND(" ",TRIM(C481)&amp;" ")-1),",","."),FIND("/",SUBSTITUTE(LEFT(TRIM(C481),FIND(" ",TRIM(C481)&amp;" ")-1),",","."))-1)/MID(SUBSTITUTE(LEFT(TRIM(C481),FIND(" ",TRIM(C481)&amp;" ")-1),",","."),FIND("/",SUBSTITUTE(LEFT(TRIM(C481),FIND(" ",TRIM(C481)&amp;" ")-1),",","."))+1,9)),IF(ISNUMBER(SEARCH("yea",C481)),IFERROR(_xlfn.NUMBERVALUE(SUBSTITUTE(LEFT(TRIM(C481),FIND(" ",TRIM(C481)&amp;" ")-1),",","."),"."),LEFT(SUBSTITUTE(LEFT(TRIM(C481),FIND(" ",TRIM(C481)&amp;" ")-1),",","."),FIND("/",SUBSTITUTE(LEFT(TRIM(C481),FIND(" ",TRIM(C481)&amp;" ")-1),",","."))-1)/MID(SUBSTITUTE(LEFT(TRIM(C481),FIND(" ",TRIM(C481)&amp;" ")-1),",","."),FIND("/",SUBSTITUTE(LEFT(TRIM(C481),FIND(" ",TRIM(C481)&amp;" ")-1),",","."))+1,9))*12,NA()))),0),30)*'Aturan &amp; Tarif'!$B$4,2)</f>
        <v>1703.4</v>
      </c>
      <c r="K481" s="42" t="n">
        <f aca="false">'Aturan &amp; Tarif'!$B$5</f>
        <v>2050</v>
      </c>
      <c r="L481" s="42" t="n">
        <f aca="false">'Aturan &amp; Tarif'!$B$6</f>
        <v>350</v>
      </c>
      <c r="M481" s="35" t="n">
        <f aca="false">I481+J481+K481+L481</f>
        <v>8103.4</v>
      </c>
      <c r="N481" s="45" t="s">
        <v>1564</v>
      </c>
    </row>
    <row r="482" customFormat="false" ht="14.25" hidden="false" customHeight="true" outlineLevel="0" collapsed="false">
      <c r="A482" s="39"/>
      <c r="B482" s="40" t="s">
        <v>616</v>
      </c>
      <c r="C482" s="41" t="s">
        <v>107</v>
      </c>
      <c r="D482" s="41" t="s">
        <v>108</v>
      </c>
      <c r="E482" s="42" t="n">
        <v>3125</v>
      </c>
      <c r="F482" s="42" t="n">
        <v>2000</v>
      </c>
      <c r="G482" s="42" t="n">
        <v>250</v>
      </c>
      <c r="H482" s="43" t="n">
        <v>1</v>
      </c>
      <c r="I482" s="34" t="n">
        <f aca="false">E482*H482+N(F482)+N(G482)</f>
        <v>5375</v>
      </c>
      <c r="J482" s="42" t="n">
        <f aca="false">ROUND(IFERROR(ROUND(IF(OR(ISNUMBER(SEARCH("week",C482)),ISNUMBER(SEARCH("minggu",C482))),IFERROR(_xlfn.NUMBERVALUE(SUBSTITUTE(LEFT(TRIM(C482),FIND(" ",TRIM(C482)&amp;" ")-1),",","."),"."),LEFT(SUBSTITUTE(LEFT(TRIM(C482),FIND(" ",TRIM(C482)&amp;" ")-1),",","."),FIND("/",SUBSTITUTE(LEFT(TRIM(C482),FIND(" ",TRIM(C482)&amp;" ")-1),",","."))-1)/MID(SUBSTITUTE(LEFT(TRIM(C482),FIND(" ",TRIM(C482)&amp;" ")-1),",","."),FIND("/",SUBSTITUTE(LEFT(TRIM(C482),FIND(" ",TRIM(C482)&amp;" ")-1),",","."))+1,9))*12/52,IF(ISNUMBER(SEARCH("month",C482)),IFERROR(_xlfn.NUMBERVALUE(SUBSTITUTE(LEFT(TRIM(C482),FIND(" ",TRIM(C482)&amp;" ")-1),",","."),"."),LEFT(SUBSTITUTE(LEFT(TRIM(C482),FIND(" ",TRIM(C482)&amp;" ")-1),",","."),FIND("/",SUBSTITUTE(LEFT(TRIM(C482),FIND(" ",TRIM(C482)&amp;" ")-1),",","."))-1)/MID(SUBSTITUTE(LEFT(TRIM(C482),FIND(" ",TRIM(C482)&amp;" ")-1),",","."),FIND("/",SUBSTITUTE(LEFT(TRIM(C482),FIND(" ",TRIM(C482)&amp;" ")-1),",","."))+1,9)),IF(ISNUMBER(SEARCH("yea",C482)),IFERROR(_xlfn.NUMBERVALUE(SUBSTITUTE(LEFT(TRIM(C482),FIND(" ",TRIM(C482)&amp;" ")-1),",","."),"."),LEFT(SUBSTITUTE(LEFT(TRIM(C482),FIND(" ",TRIM(C482)&amp;" ")-1),",","."),FIND("/",SUBSTITUTE(LEFT(TRIM(C482),FIND(" ",TRIM(C482)&amp;" ")-1),",","."))-1)/MID(SUBSTITUTE(LEFT(TRIM(C482),FIND(" ",TRIM(C482)&amp;" ")-1),",","."),FIND("/",SUBSTITUTE(LEFT(TRIM(C482),FIND(" ",TRIM(C482)&amp;" ")-1),",","."))+1,9))*12,NA()))),0),24)*'Aturan &amp; Tarif'!$B$4,2)</f>
        <v>1362.72</v>
      </c>
      <c r="K482" s="42" t="n">
        <f aca="false">'Aturan &amp; Tarif'!$B$5</f>
        <v>2050</v>
      </c>
      <c r="L482" s="42" t="n">
        <f aca="false">'Aturan &amp; Tarif'!$B$6</f>
        <v>350</v>
      </c>
      <c r="M482" s="35" t="n">
        <f aca="false">I482+J482+K482+L482</f>
        <v>9137.72</v>
      </c>
      <c r="N482" s="45" t="s">
        <v>1662</v>
      </c>
    </row>
    <row r="483" customFormat="false" ht="25.5" hidden="false" customHeight="true" outlineLevel="0" collapsed="false">
      <c r="A483" s="39"/>
      <c r="B483" s="40" t="s">
        <v>618</v>
      </c>
      <c r="C483" s="41" t="s">
        <v>138</v>
      </c>
      <c r="D483" s="41" t="s">
        <v>108</v>
      </c>
      <c r="E483" s="42" t="n">
        <v>4300</v>
      </c>
      <c r="F483" s="42" t="n">
        <v>2000</v>
      </c>
      <c r="G483" s="42" t="n">
        <v>250</v>
      </c>
      <c r="H483" s="43" t="n">
        <v>1</v>
      </c>
      <c r="I483" s="34" t="n">
        <f aca="false">E483*H483+N(F483)+N(G483)</f>
        <v>6550</v>
      </c>
      <c r="J483" s="42" t="n">
        <f aca="false">ROUND(IFERROR(ROUND(IF(OR(ISNUMBER(SEARCH("week",C483)),ISNUMBER(SEARCH("minggu",C483))),IFERROR(_xlfn.NUMBERVALUE(SUBSTITUTE(LEFT(TRIM(C483),FIND(" ",TRIM(C483)&amp;" ")-1),",","."),"."),LEFT(SUBSTITUTE(LEFT(TRIM(C483),FIND(" ",TRIM(C483)&amp;" ")-1),",","."),FIND("/",SUBSTITUTE(LEFT(TRIM(C483),FIND(" ",TRIM(C483)&amp;" ")-1),",","."))-1)/MID(SUBSTITUTE(LEFT(TRIM(C483),FIND(" ",TRIM(C483)&amp;" ")-1),",","."),FIND("/",SUBSTITUTE(LEFT(TRIM(C483),FIND(" ",TRIM(C483)&amp;" ")-1),",","."))+1,9))*12/52,IF(ISNUMBER(SEARCH("month",C483)),IFERROR(_xlfn.NUMBERVALUE(SUBSTITUTE(LEFT(TRIM(C483),FIND(" ",TRIM(C483)&amp;" ")-1),",","."),"."),LEFT(SUBSTITUTE(LEFT(TRIM(C483),FIND(" ",TRIM(C483)&amp;" ")-1),",","."),FIND("/",SUBSTITUTE(LEFT(TRIM(C483),FIND(" ",TRIM(C483)&amp;" ")-1),",","."))-1)/MID(SUBSTITUTE(LEFT(TRIM(C483),FIND(" ",TRIM(C483)&amp;" ")-1),",","."),FIND("/",SUBSTITUTE(LEFT(TRIM(C483),FIND(" ",TRIM(C483)&amp;" ")-1),",","."))+1,9)),IF(ISNUMBER(SEARCH("yea",C483)),IFERROR(_xlfn.NUMBERVALUE(SUBSTITUTE(LEFT(TRIM(C483),FIND(" ",TRIM(C483)&amp;" ")-1),",","."),"."),LEFT(SUBSTITUTE(LEFT(TRIM(C483),FIND(" ",TRIM(C483)&amp;" ")-1),",","."),FIND("/",SUBSTITUTE(LEFT(TRIM(C483),FIND(" ",TRIM(C483)&amp;" ")-1),",","."))-1)/MID(SUBSTITUTE(LEFT(TRIM(C483),FIND(" ",TRIM(C483)&amp;" ")-1),",","."),FIND("/",SUBSTITUTE(LEFT(TRIM(C483),FIND(" ",TRIM(C483)&amp;" ")-1),",","."))+1,9))*12,NA()))),0),30)*'Aturan &amp; Tarif'!$B$4,2)</f>
        <v>1703.4</v>
      </c>
      <c r="K483" s="42" t="n">
        <f aca="false">'Aturan &amp; Tarif'!$B$5</f>
        <v>2050</v>
      </c>
      <c r="L483" s="42" t="n">
        <f aca="false">'Aturan &amp; Tarif'!$B$6</f>
        <v>350</v>
      </c>
      <c r="M483" s="35" t="n">
        <f aca="false">I483+J483+K483+L483</f>
        <v>10653.4</v>
      </c>
      <c r="N483" s="45" t="s">
        <v>1564</v>
      </c>
    </row>
    <row r="484" customFormat="false" ht="244.5" hidden="false" customHeight="true" outlineLevel="0" collapsed="false">
      <c r="A484" s="39" t="s">
        <v>1663</v>
      </c>
      <c r="B484" s="40" t="s">
        <v>1664</v>
      </c>
      <c r="C484" s="41" t="s">
        <v>130</v>
      </c>
      <c r="D484" s="41" t="s">
        <v>439</v>
      </c>
      <c r="E484" s="42" t="n">
        <v>9275</v>
      </c>
      <c r="F484" s="42" t="n">
        <v>700</v>
      </c>
      <c r="G484" s="42"/>
      <c r="H484" s="43" t="n">
        <v>1</v>
      </c>
      <c r="I484" s="34" t="n">
        <f aca="false">E484*H484+N(F484)+N(G484)</f>
        <v>9975</v>
      </c>
      <c r="J484" s="42" t="n">
        <f aca="false">ROUND(IFERROR(ROUND(IF(OR(ISNUMBER(SEARCH("week",C484)),ISNUMBER(SEARCH("minggu",C484))),IFERROR(_xlfn.NUMBERVALUE(SUBSTITUTE(LEFT(TRIM(C484),FIND(" ",TRIM(C484)&amp;" ")-1),",","."),"."),LEFT(SUBSTITUTE(LEFT(TRIM(C484),FIND(" ",TRIM(C484)&amp;" ")-1),",","."),FIND("/",SUBSTITUTE(LEFT(TRIM(C484),FIND(" ",TRIM(C484)&amp;" ")-1),",","."))-1)/MID(SUBSTITUTE(LEFT(TRIM(C484),FIND(" ",TRIM(C484)&amp;" ")-1),",","."),FIND("/",SUBSTITUTE(LEFT(TRIM(C484),FIND(" ",TRIM(C484)&amp;" ")-1),",","."))+1,9))*12/52,IF(ISNUMBER(SEARCH("month",C484)),IFERROR(_xlfn.NUMBERVALUE(SUBSTITUTE(LEFT(TRIM(C484),FIND(" ",TRIM(C484)&amp;" ")-1),",","."),"."),LEFT(SUBSTITUTE(LEFT(TRIM(C484),FIND(" ",TRIM(C484)&amp;" ")-1),",","."),FIND("/",SUBSTITUTE(LEFT(TRIM(C484),FIND(" ",TRIM(C484)&amp;" ")-1),",","."))-1)/MID(SUBSTITUTE(LEFT(TRIM(C484),FIND(" ",TRIM(C484)&amp;" ")-1),",","."),FIND("/",SUBSTITUTE(LEFT(TRIM(C484),FIND(" ",TRIM(C484)&amp;" ")-1),",","."))+1,9)),IF(ISNUMBER(SEARCH("yea",C484)),IFERROR(_xlfn.NUMBERVALUE(SUBSTITUTE(LEFT(TRIM(C484),FIND(" ",TRIM(C484)&amp;" ")-1),",","."),"."),LEFT(SUBSTITUTE(LEFT(TRIM(C484),FIND(" ",TRIM(C484)&amp;" ")-1),",","."),FIND("/",SUBSTITUTE(LEFT(TRIM(C484),FIND(" ",TRIM(C484)&amp;" ")-1),",","."))-1)/MID(SUBSTITUTE(LEFT(TRIM(C484),FIND(" ",TRIM(C484)&amp;" ")-1),",","."),FIND("/",SUBSTITUTE(LEFT(TRIM(C484),FIND(" ",TRIM(C484)&amp;" ")-1),",","."))+1,9))*12,NA()))),0),12)*'Aturan &amp; Tarif'!$B$4,2)</f>
        <v>681.36</v>
      </c>
      <c r="K484" s="42" t="n">
        <f aca="false">'Aturan &amp; Tarif'!$B$5</f>
        <v>2050</v>
      </c>
      <c r="L484" s="42" t="n">
        <f aca="false">'Aturan &amp; Tarif'!$B$6</f>
        <v>350</v>
      </c>
      <c r="M484" s="35" t="n">
        <f aca="false">I484+J484+K484+L484</f>
        <v>13056.36</v>
      </c>
      <c r="N484" s="45" t="s">
        <v>1665</v>
      </c>
    </row>
    <row r="485" customFormat="false" ht="25.5" hidden="false" customHeight="true" outlineLevel="0" collapsed="false">
      <c r="A485" s="39"/>
      <c r="B485" s="40" t="s">
        <v>1666</v>
      </c>
      <c r="C485" s="41" t="s">
        <v>130</v>
      </c>
      <c r="D485" s="41" t="s">
        <v>439</v>
      </c>
      <c r="E485" s="42" t="n">
        <v>11030</v>
      </c>
      <c r="F485" s="42"/>
      <c r="G485" s="42"/>
      <c r="H485" s="43" t="n">
        <v>1</v>
      </c>
      <c r="I485" s="34" t="n">
        <f aca="false">E485*H485+N(F485)+N(G485)</f>
        <v>11030</v>
      </c>
      <c r="J485" s="42" t="n">
        <f aca="false">ROUND(IFERROR(ROUND(IF(OR(ISNUMBER(SEARCH("week",C485)),ISNUMBER(SEARCH("minggu",C485))),IFERROR(_xlfn.NUMBERVALUE(SUBSTITUTE(LEFT(TRIM(C485),FIND(" ",TRIM(C485)&amp;" ")-1),",","."),"."),LEFT(SUBSTITUTE(LEFT(TRIM(C485),FIND(" ",TRIM(C485)&amp;" ")-1),",","."),FIND("/",SUBSTITUTE(LEFT(TRIM(C485),FIND(" ",TRIM(C485)&amp;" ")-1),",","."))-1)/MID(SUBSTITUTE(LEFT(TRIM(C485),FIND(" ",TRIM(C485)&amp;" ")-1),",","."),FIND("/",SUBSTITUTE(LEFT(TRIM(C485),FIND(" ",TRIM(C485)&amp;" ")-1),",","."))+1,9))*12/52,IF(ISNUMBER(SEARCH("month",C485)),IFERROR(_xlfn.NUMBERVALUE(SUBSTITUTE(LEFT(TRIM(C485),FIND(" ",TRIM(C485)&amp;" ")-1),",","."),"."),LEFT(SUBSTITUTE(LEFT(TRIM(C485),FIND(" ",TRIM(C485)&amp;" ")-1),",","."),FIND("/",SUBSTITUTE(LEFT(TRIM(C485),FIND(" ",TRIM(C485)&amp;" ")-1),",","."))-1)/MID(SUBSTITUTE(LEFT(TRIM(C485),FIND(" ",TRIM(C485)&amp;" ")-1),",","."),FIND("/",SUBSTITUTE(LEFT(TRIM(C485),FIND(" ",TRIM(C485)&amp;" ")-1),",","."))+1,9)),IF(ISNUMBER(SEARCH("yea",C485)),IFERROR(_xlfn.NUMBERVALUE(SUBSTITUTE(LEFT(TRIM(C485),FIND(" ",TRIM(C485)&amp;" ")-1),",","."),"."),LEFT(SUBSTITUTE(LEFT(TRIM(C485),FIND(" ",TRIM(C485)&amp;" ")-1),",","."),FIND("/",SUBSTITUTE(LEFT(TRIM(C485),FIND(" ",TRIM(C485)&amp;" ")-1),",","."))-1)/MID(SUBSTITUTE(LEFT(TRIM(C485),FIND(" ",TRIM(C485)&amp;" ")-1),",","."),FIND("/",SUBSTITUTE(LEFT(TRIM(C485),FIND(" ",TRIM(C485)&amp;" ")-1),",","."))+1,9))*12,NA()))),0),12)*'Aturan &amp; Tarif'!$B$4,2)</f>
        <v>681.36</v>
      </c>
      <c r="K485" s="42" t="n">
        <f aca="false">'Aturan &amp; Tarif'!$B$5</f>
        <v>2050</v>
      </c>
      <c r="L485" s="42" t="n">
        <f aca="false">'Aturan &amp; Tarif'!$B$6</f>
        <v>350</v>
      </c>
      <c r="M485" s="35" t="n">
        <f aca="false">I485+J485+K485+L485</f>
        <v>14111.36</v>
      </c>
      <c r="N485" s="45" t="s">
        <v>1667</v>
      </c>
    </row>
    <row r="486" customFormat="false" ht="14.25" hidden="false" customHeight="true" outlineLevel="0" collapsed="false">
      <c r="A486" s="39"/>
      <c r="B486" s="40" t="s">
        <v>1080</v>
      </c>
      <c r="C486" s="41" t="s">
        <v>130</v>
      </c>
      <c r="D486" s="41" t="s">
        <v>439</v>
      </c>
      <c r="E486" s="42" t="n">
        <v>10225</v>
      </c>
      <c r="F486" s="42" t="n">
        <v>0</v>
      </c>
      <c r="G486" s="42"/>
      <c r="H486" s="43" t="n">
        <v>1</v>
      </c>
      <c r="I486" s="34" t="n">
        <f aca="false">E486*H486+N(F486)+N(G486)</f>
        <v>10225</v>
      </c>
      <c r="J486" s="42" t="n">
        <f aca="false">ROUND(IFERROR(ROUND(IF(OR(ISNUMBER(SEARCH("week",C486)),ISNUMBER(SEARCH("minggu",C486))),IFERROR(_xlfn.NUMBERVALUE(SUBSTITUTE(LEFT(TRIM(C486),FIND(" ",TRIM(C486)&amp;" ")-1),",","."),"."),LEFT(SUBSTITUTE(LEFT(TRIM(C486),FIND(" ",TRIM(C486)&amp;" ")-1),",","."),FIND("/",SUBSTITUTE(LEFT(TRIM(C486),FIND(" ",TRIM(C486)&amp;" ")-1),",","."))-1)/MID(SUBSTITUTE(LEFT(TRIM(C486),FIND(" ",TRIM(C486)&amp;" ")-1),",","."),FIND("/",SUBSTITUTE(LEFT(TRIM(C486),FIND(" ",TRIM(C486)&amp;" ")-1),",","."))+1,9))*12/52,IF(ISNUMBER(SEARCH("month",C486)),IFERROR(_xlfn.NUMBERVALUE(SUBSTITUTE(LEFT(TRIM(C486),FIND(" ",TRIM(C486)&amp;" ")-1),",","."),"."),LEFT(SUBSTITUTE(LEFT(TRIM(C486),FIND(" ",TRIM(C486)&amp;" ")-1),",","."),FIND("/",SUBSTITUTE(LEFT(TRIM(C486),FIND(" ",TRIM(C486)&amp;" ")-1),",","."))-1)/MID(SUBSTITUTE(LEFT(TRIM(C486),FIND(" ",TRIM(C486)&amp;" ")-1),",","."),FIND("/",SUBSTITUTE(LEFT(TRIM(C486),FIND(" ",TRIM(C486)&amp;" ")-1),",","."))+1,9)),IF(ISNUMBER(SEARCH("yea",C486)),IFERROR(_xlfn.NUMBERVALUE(SUBSTITUTE(LEFT(TRIM(C486),FIND(" ",TRIM(C486)&amp;" ")-1),",","."),"."),LEFT(SUBSTITUTE(LEFT(TRIM(C486),FIND(" ",TRIM(C486)&amp;" ")-1),",","."),FIND("/",SUBSTITUTE(LEFT(TRIM(C486),FIND(" ",TRIM(C486)&amp;" ")-1),",","."))-1)/MID(SUBSTITUTE(LEFT(TRIM(C486),FIND(" ",TRIM(C486)&amp;" ")-1),",","."),FIND("/",SUBSTITUTE(LEFT(TRIM(C486),FIND(" ",TRIM(C486)&amp;" ")-1),",","."))+1,9))*12,NA()))),0),12)*'Aturan &amp; Tarif'!$B$4,2)</f>
        <v>681.36</v>
      </c>
      <c r="K486" s="42" t="n">
        <f aca="false">'Aturan &amp; Tarif'!$B$5</f>
        <v>2050</v>
      </c>
      <c r="L486" s="42" t="n">
        <f aca="false">'Aturan &amp; Tarif'!$B$6</f>
        <v>350</v>
      </c>
      <c r="M486" s="35" t="n">
        <f aca="false">I486+J486+K486+L486</f>
        <v>13306.36</v>
      </c>
      <c r="N486" s="45" t="s">
        <v>1668</v>
      </c>
    </row>
    <row r="487" customFormat="false" ht="48.75" hidden="false" customHeight="true" outlineLevel="0" collapsed="false">
      <c r="A487" s="39"/>
      <c r="B487" s="40" t="s">
        <v>1669</v>
      </c>
      <c r="C487" s="41" t="s">
        <v>130</v>
      </c>
      <c r="D487" s="41" t="s">
        <v>439</v>
      </c>
      <c r="E487" s="42" t="n">
        <v>11030</v>
      </c>
      <c r="F487" s="42"/>
      <c r="G487" s="42"/>
      <c r="H487" s="43" t="n">
        <v>1</v>
      </c>
      <c r="I487" s="34" t="n">
        <f aca="false">E487*H487+N(F487)+N(G487)</f>
        <v>11030</v>
      </c>
      <c r="J487" s="42" t="n">
        <f aca="false">ROUND(IFERROR(ROUND(IF(OR(ISNUMBER(SEARCH("week",C487)),ISNUMBER(SEARCH("minggu",C487))),IFERROR(_xlfn.NUMBERVALUE(SUBSTITUTE(LEFT(TRIM(C487),FIND(" ",TRIM(C487)&amp;" ")-1),",","."),"."),LEFT(SUBSTITUTE(LEFT(TRIM(C487),FIND(" ",TRIM(C487)&amp;" ")-1),",","."),FIND("/",SUBSTITUTE(LEFT(TRIM(C487),FIND(" ",TRIM(C487)&amp;" ")-1),",","."))-1)/MID(SUBSTITUTE(LEFT(TRIM(C487),FIND(" ",TRIM(C487)&amp;" ")-1),",","."),FIND("/",SUBSTITUTE(LEFT(TRIM(C487),FIND(" ",TRIM(C487)&amp;" ")-1),",","."))+1,9))*12/52,IF(ISNUMBER(SEARCH("month",C487)),IFERROR(_xlfn.NUMBERVALUE(SUBSTITUTE(LEFT(TRIM(C487),FIND(" ",TRIM(C487)&amp;" ")-1),",","."),"."),LEFT(SUBSTITUTE(LEFT(TRIM(C487),FIND(" ",TRIM(C487)&amp;" ")-1),",","."),FIND("/",SUBSTITUTE(LEFT(TRIM(C487),FIND(" ",TRIM(C487)&amp;" ")-1),",","."))-1)/MID(SUBSTITUTE(LEFT(TRIM(C487),FIND(" ",TRIM(C487)&amp;" ")-1),",","."),FIND("/",SUBSTITUTE(LEFT(TRIM(C487),FIND(" ",TRIM(C487)&amp;" ")-1),",","."))+1,9)),IF(ISNUMBER(SEARCH("yea",C487)),IFERROR(_xlfn.NUMBERVALUE(SUBSTITUTE(LEFT(TRIM(C487),FIND(" ",TRIM(C487)&amp;" ")-1),",","."),"."),LEFT(SUBSTITUTE(LEFT(TRIM(C487),FIND(" ",TRIM(C487)&amp;" ")-1),",","."),FIND("/",SUBSTITUTE(LEFT(TRIM(C487),FIND(" ",TRIM(C487)&amp;" ")-1),",","."))-1)/MID(SUBSTITUTE(LEFT(TRIM(C487),FIND(" ",TRIM(C487)&amp;" ")-1),",","."),FIND("/",SUBSTITUTE(LEFT(TRIM(C487),FIND(" ",TRIM(C487)&amp;" ")-1),",","."))+1,9))*12,NA()))),0),12)*'Aturan &amp; Tarif'!$B$4,2)</f>
        <v>681.36</v>
      </c>
      <c r="K487" s="42" t="n">
        <f aca="false">'Aturan &amp; Tarif'!$B$5</f>
        <v>2050</v>
      </c>
      <c r="L487" s="42" t="n">
        <f aca="false">'Aturan &amp; Tarif'!$B$6</f>
        <v>350</v>
      </c>
      <c r="M487" s="35" t="n">
        <f aca="false">I487+J487+K487+L487</f>
        <v>14111.36</v>
      </c>
      <c r="N487" s="44" t="s">
        <v>1670</v>
      </c>
    </row>
    <row r="488" customFormat="false" ht="60" hidden="false" customHeight="true" outlineLevel="0" collapsed="false">
      <c r="A488" s="39"/>
      <c r="B488" s="40" t="s">
        <v>1671</v>
      </c>
      <c r="C488" s="41" t="s">
        <v>107</v>
      </c>
      <c r="D488" s="41" t="s">
        <v>439</v>
      </c>
      <c r="E488" s="42" t="n">
        <v>9720</v>
      </c>
      <c r="F488" s="42"/>
      <c r="G488" s="42"/>
      <c r="H488" s="43" t="n">
        <v>1</v>
      </c>
      <c r="I488" s="34" t="n">
        <f aca="false">E488*H488+N(F488)+N(G488)</f>
        <v>9720</v>
      </c>
      <c r="J488" s="42" t="n">
        <f aca="false">ROUND(IFERROR(ROUND(IF(OR(ISNUMBER(SEARCH("week",C488)),ISNUMBER(SEARCH("minggu",C488))),IFERROR(_xlfn.NUMBERVALUE(SUBSTITUTE(LEFT(TRIM(C488),FIND(" ",TRIM(C488)&amp;" ")-1),",","."),"."),LEFT(SUBSTITUTE(LEFT(TRIM(C488),FIND(" ",TRIM(C488)&amp;" ")-1),",","."),FIND("/",SUBSTITUTE(LEFT(TRIM(C488),FIND(" ",TRIM(C488)&amp;" ")-1),",","."))-1)/MID(SUBSTITUTE(LEFT(TRIM(C488),FIND(" ",TRIM(C488)&amp;" ")-1),",","."),FIND("/",SUBSTITUTE(LEFT(TRIM(C488),FIND(" ",TRIM(C488)&amp;" ")-1),",","."))+1,9))*12/52,IF(ISNUMBER(SEARCH("month",C488)),IFERROR(_xlfn.NUMBERVALUE(SUBSTITUTE(LEFT(TRIM(C488),FIND(" ",TRIM(C488)&amp;" ")-1),",","."),"."),LEFT(SUBSTITUTE(LEFT(TRIM(C488),FIND(" ",TRIM(C488)&amp;" ")-1),",","."),FIND("/",SUBSTITUTE(LEFT(TRIM(C488),FIND(" ",TRIM(C488)&amp;" ")-1),",","."))-1)/MID(SUBSTITUTE(LEFT(TRIM(C488),FIND(" ",TRIM(C488)&amp;" ")-1),",","."),FIND("/",SUBSTITUTE(LEFT(TRIM(C488),FIND(" ",TRIM(C488)&amp;" ")-1),",","."))+1,9)),IF(ISNUMBER(SEARCH("yea",C488)),IFERROR(_xlfn.NUMBERVALUE(SUBSTITUTE(LEFT(TRIM(C488),FIND(" ",TRIM(C488)&amp;" ")-1),",","."),"."),LEFT(SUBSTITUTE(LEFT(TRIM(C488),FIND(" ",TRIM(C488)&amp;" ")-1),",","."),FIND("/",SUBSTITUTE(LEFT(TRIM(C488),FIND(" ",TRIM(C488)&amp;" ")-1),",","."))-1)/MID(SUBSTITUTE(LEFT(TRIM(C488),FIND(" ",TRIM(C488)&amp;" ")-1),",","."),FIND("/",SUBSTITUTE(LEFT(TRIM(C488),FIND(" ",TRIM(C488)&amp;" ")-1),",","."))+1,9))*12,NA()))),0),24)*'Aturan &amp; Tarif'!$B$4,2)</f>
        <v>1362.72</v>
      </c>
      <c r="K488" s="42" t="n">
        <f aca="false">'Aturan &amp; Tarif'!$B$5</f>
        <v>2050</v>
      </c>
      <c r="L488" s="42" t="n">
        <f aca="false">'Aturan &amp; Tarif'!$B$6</f>
        <v>350</v>
      </c>
      <c r="M488" s="35" t="n">
        <f aca="false">I488+J488+K488+L488</f>
        <v>13482.72</v>
      </c>
      <c r="N488" s="44" t="s">
        <v>1672</v>
      </c>
    </row>
    <row r="489" customFormat="false" ht="25.5" hidden="false" customHeight="true" outlineLevel="0" collapsed="false">
      <c r="A489" s="39"/>
      <c r="B489" s="40" t="s">
        <v>1673</v>
      </c>
      <c r="C489" s="41" t="s">
        <v>130</v>
      </c>
      <c r="D489" s="41" t="s">
        <v>439</v>
      </c>
      <c r="E489" s="42" t="n">
        <v>11035</v>
      </c>
      <c r="F489" s="42"/>
      <c r="G489" s="42"/>
      <c r="H489" s="43" t="n">
        <v>1</v>
      </c>
      <c r="I489" s="34" t="n">
        <f aca="false">E489*H489+N(F489)+N(G489)</f>
        <v>11035</v>
      </c>
      <c r="J489" s="42" t="n">
        <f aca="false">ROUND(IFERROR(ROUND(IF(OR(ISNUMBER(SEARCH("week",C489)),ISNUMBER(SEARCH("minggu",C489))),IFERROR(_xlfn.NUMBERVALUE(SUBSTITUTE(LEFT(TRIM(C489),FIND(" ",TRIM(C489)&amp;" ")-1),",","."),"."),LEFT(SUBSTITUTE(LEFT(TRIM(C489),FIND(" ",TRIM(C489)&amp;" ")-1),",","."),FIND("/",SUBSTITUTE(LEFT(TRIM(C489),FIND(" ",TRIM(C489)&amp;" ")-1),",","."))-1)/MID(SUBSTITUTE(LEFT(TRIM(C489),FIND(" ",TRIM(C489)&amp;" ")-1),",","."),FIND("/",SUBSTITUTE(LEFT(TRIM(C489),FIND(" ",TRIM(C489)&amp;" ")-1),",","."))+1,9))*12/52,IF(ISNUMBER(SEARCH("month",C489)),IFERROR(_xlfn.NUMBERVALUE(SUBSTITUTE(LEFT(TRIM(C489),FIND(" ",TRIM(C489)&amp;" ")-1),",","."),"."),LEFT(SUBSTITUTE(LEFT(TRIM(C489),FIND(" ",TRIM(C489)&amp;" ")-1),",","."),FIND("/",SUBSTITUTE(LEFT(TRIM(C489),FIND(" ",TRIM(C489)&amp;" ")-1),",","."))-1)/MID(SUBSTITUTE(LEFT(TRIM(C489),FIND(" ",TRIM(C489)&amp;" ")-1),",","."),FIND("/",SUBSTITUTE(LEFT(TRIM(C489),FIND(" ",TRIM(C489)&amp;" ")-1),",","."))+1,9)),IF(ISNUMBER(SEARCH("yea",C489)),IFERROR(_xlfn.NUMBERVALUE(SUBSTITUTE(LEFT(TRIM(C489),FIND(" ",TRIM(C489)&amp;" ")-1),",","."),"."),LEFT(SUBSTITUTE(LEFT(TRIM(C489),FIND(" ",TRIM(C489)&amp;" ")-1),",","."),FIND("/",SUBSTITUTE(LEFT(TRIM(C489),FIND(" ",TRIM(C489)&amp;" ")-1),",","."))-1)/MID(SUBSTITUTE(LEFT(TRIM(C489),FIND(" ",TRIM(C489)&amp;" ")-1),",","."),FIND("/",SUBSTITUTE(LEFT(TRIM(C489),FIND(" ",TRIM(C489)&amp;" ")-1),",","."))+1,9))*12,NA()))),0),12)*'Aturan &amp; Tarif'!$B$4,2)</f>
        <v>681.36</v>
      </c>
      <c r="K489" s="42" t="n">
        <f aca="false">'Aturan &amp; Tarif'!$B$5</f>
        <v>2050</v>
      </c>
      <c r="L489" s="42" t="n">
        <f aca="false">'Aturan &amp; Tarif'!$B$6</f>
        <v>350</v>
      </c>
      <c r="M489" s="35" t="n">
        <f aca="false">I489+J489+K489+L489</f>
        <v>14116.36</v>
      </c>
      <c r="N489" s="45" t="s">
        <v>1674</v>
      </c>
    </row>
    <row r="490" customFormat="false" ht="14.25" hidden="false" customHeight="true" outlineLevel="0" collapsed="false">
      <c r="A490" s="39"/>
      <c r="B490" s="40" t="s">
        <v>1675</v>
      </c>
      <c r="C490" s="41" t="s">
        <v>130</v>
      </c>
      <c r="D490" s="41" t="s">
        <v>439</v>
      </c>
      <c r="E490" s="42" t="n">
        <v>10225</v>
      </c>
      <c r="F490" s="42" t="n">
        <v>0</v>
      </c>
      <c r="G490" s="42"/>
      <c r="H490" s="43" t="n">
        <v>1</v>
      </c>
      <c r="I490" s="34" t="n">
        <f aca="false">E490*H490+N(F490)+N(G490)</f>
        <v>10225</v>
      </c>
      <c r="J490" s="42" t="n">
        <f aca="false">ROUND(IFERROR(ROUND(IF(OR(ISNUMBER(SEARCH("week",C490)),ISNUMBER(SEARCH("minggu",C490))),IFERROR(_xlfn.NUMBERVALUE(SUBSTITUTE(LEFT(TRIM(C490),FIND(" ",TRIM(C490)&amp;" ")-1),",","."),"."),LEFT(SUBSTITUTE(LEFT(TRIM(C490),FIND(" ",TRIM(C490)&amp;" ")-1),",","."),FIND("/",SUBSTITUTE(LEFT(TRIM(C490),FIND(" ",TRIM(C490)&amp;" ")-1),",","."))-1)/MID(SUBSTITUTE(LEFT(TRIM(C490),FIND(" ",TRIM(C490)&amp;" ")-1),",","."),FIND("/",SUBSTITUTE(LEFT(TRIM(C490),FIND(" ",TRIM(C490)&amp;" ")-1),",","."))+1,9))*12/52,IF(ISNUMBER(SEARCH("month",C490)),IFERROR(_xlfn.NUMBERVALUE(SUBSTITUTE(LEFT(TRIM(C490),FIND(" ",TRIM(C490)&amp;" ")-1),",","."),"."),LEFT(SUBSTITUTE(LEFT(TRIM(C490),FIND(" ",TRIM(C490)&amp;" ")-1),",","."),FIND("/",SUBSTITUTE(LEFT(TRIM(C490),FIND(" ",TRIM(C490)&amp;" ")-1),",","."))-1)/MID(SUBSTITUTE(LEFT(TRIM(C490),FIND(" ",TRIM(C490)&amp;" ")-1),",","."),FIND("/",SUBSTITUTE(LEFT(TRIM(C490),FIND(" ",TRIM(C490)&amp;" ")-1),",","."))+1,9)),IF(ISNUMBER(SEARCH("yea",C490)),IFERROR(_xlfn.NUMBERVALUE(SUBSTITUTE(LEFT(TRIM(C490),FIND(" ",TRIM(C490)&amp;" ")-1),",","."),"."),LEFT(SUBSTITUTE(LEFT(TRIM(C490),FIND(" ",TRIM(C490)&amp;" ")-1),",","."),FIND("/",SUBSTITUTE(LEFT(TRIM(C490),FIND(" ",TRIM(C490)&amp;" ")-1),",","."))-1)/MID(SUBSTITUTE(LEFT(TRIM(C490),FIND(" ",TRIM(C490)&amp;" ")-1),",","."),FIND("/",SUBSTITUTE(LEFT(TRIM(C490),FIND(" ",TRIM(C490)&amp;" ")-1),",","."))+1,9))*12,NA()))),0),12)*'Aturan &amp; Tarif'!$B$4,2)</f>
        <v>681.36</v>
      </c>
      <c r="K490" s="42" t="n">
        <f aca="false">'Aturan &amp; Tarif'!$B$5</f>
        <v>2050</v>
      </c>
      <c r="L490" s="42" t="n">
        <f aca="false">'Aturan &amp; Tarif'!$B$6</f>
        <v>350</v>
      </c>
      <c r="M490" s="35" t="n">
        <f aca="false">I490+J490+K490+L490</f>
        <v>13306.36</v>
      </c>
      <c r="N490" s="45" t="s">
        <v>1676</v>
      </c>
    </row>
    <row r="491" customFormat="false" ht="14.25" hidden="false" customHeight="true" outlineLevel="0" collapsed="false">
      <c r="A491" s="39"/>
      <c r="B491" s="40" t="s">
        <v>1677</v>
      </c>
      <c r="C491" s="41" t="s">
        <v>130</v>
      </c>
      <c r="D491" s="41" t="s">
        <v>439</v>
      </c>
      <c r="E491" s="42" t="n">
        <v>11035</v>
      </c>
      <c r="F491" s="42"/>
      <c r="G491" s="42"/>
      <c r="H491" s="43" t="n">
        <v>1</v>
      </c>
      <c r="I491" s="34" t="n">
        <f aca="false">E491*H491+N(F491)+N(G491)</f>
        <v>11035</v>
      </c>
      <c r="J491" s="42" t="n">
        <f aca="false">ROUND(IFERROR(ROUND(IF(OR(ISNUMBER(SEARCH("week",C491)),ISNUMBER(SEARCH("minggu",C491))),IFERROR(_xlfn.NUMBERVALUE(SUBSTITUTE(LEFT(TRIM(C491),FIND(" ",TRIM(C491)&amp;" ")-1),",","."),"."),LEFT(SUBSTITUTE(LEFT(TRIM(C491),FIND(" ",TRIM(C491)&amp;" ")-1),",","."),FIND("/",SUBSTITUTE(LEFT(TRIM(C491),FIND(" ",TRIM(C491)&amp;" ")-1),",","."))-1)/MID(SUBSTITUTE(LEFT(TRIM(C491),FIND(" ",TRIM(C491)&amp;" ")-1),",","."),FIND("/",SUBSTITUTE(LEFT(TRIM(C491),FIND(" ",TRIM(C491)&amp;" ")-1),",","."))+1,9))*12/52,IF(ISNUMBER(SEARCH("month",C491)),IFERROR(_xlfn.NUMBERVALUE(SUBSTITUTE(LEFT(TRIM(C491),FIND(" ",TRIM(C491)&amp;" ")-1),",","."),"."),LEFT(SUBSTITUTE(LEFT(TRIM(C491),FIND(" ",TRIM(C491)&amp;" ")-1),",","."),FIND("/",SUBSTITUTE(LEFT(TRIM(C491),FIND(" ",TRIM(C491)&amp;" ")-1),",","."))-1)/MID(SUBSTITUTE(LEFT(TRIM(C491),FIND(" ",TRIM(C491)&amp;" ")-1),",","."),FIND("/",SUBSTITUTE(LEFT(TRIM(C491),FIND(" ",TRIM(C491)&amp;" ")-1),",","."))+1,9)),IF(ISNUMBER(SEARCH("yea",C491)),IFERROR(_xlfn.NUMBERVALUE(SUBSTITUTE(LEFT(TRIM(C491),FIND(" ",TRIM(C491)&amp;" ")-1),",","."),"."),LEFT(SUBSTITUTE(LEFT(TRIM(C491),FIND(" ",TRIM(C491)&amp;" ")-1),",","."),FIND("/",SUBSTITUTE(LEFT(TRIM(C491),FIND(" ",TRIM(C491)&amp;" ")-1),",","."))-1)/MID(SUBSTITUTE(LEFT(TRIM(C491),FIND(" ",TRIM(C491)&amp;" ")-1),",","."),FIND("/",SUBSTITUTE(LEFT(TRIM(C491),FIND(" ",TRIM(C491)&amp;" ")-1),",","."))+1,9))*12,NA()))),0),12)*'Aturan &amp; Tarif'!$B$4,2)</f>
        <v>681.36</v>
      </c>
      <c r="K491" s="42" t="n">
        <f aca="false">'Aturan &amp; Tarif'!$B$5</f>
        <v>2050</v>
      </c>
      <c r="L491" s="42" t="n">
        <f aca="false">'Aturan &amp; Tarif'!$B$6</f>
        <v>350</v>
      </c>
      <c r="M491" s="35" t="n">
        <f aca="false">I491+J491+K491+L491</f>
        <v>14116.36</v>
      </c>
      <c r="N491" s="45" t="s">
        <v>1678</v>
      </c>
    </row>
    <row r="492" customFormat="false" ht="14.25" hidden="false" customHeight="true" outlineLevel="0" collapsed="false">
      <c r="A492" s="39"/>
      <c r="B492" s="40" t="s">
        <v>1679</v>
      </c>
      <c r="C492" s="41" t="s">
        <v>130</v>
      </c>
      <c r="D492" s="41" t="s">
        <v>439</v>
      </c>
      <c r="E492" s="42" t="n">
        <v>9660</v>
      </c>
      <c r="F492" s="42"/>
      <c r="G492" s="42"/>
      <c r="H492" s="43" t="n">
        <v>1</v>
      </c>
      <c r="I492" s="34" t="n">
        <f aca="false">E492*H492+N(F492)+N(G492)</f>
        <v>9660</v>
      </c>
      <c r="J492" s="42" t="n">
        <f aca="false">ROUND(IFERROR(ROUND(IF(OR(ISNUMBER(SEARCH("week",C492)),ISNUMBER(SEARCH("minggu",C492))),IFERROR(_xlfn.NUMBERVALUE(SUBSTITUTE(LEFT(TRIM(C492),FIND(" ",TRIM(C492)&amp;" ")-1),",","."),"."),LEFT(SUBSTITUTE(LEFT(TRIM(C492),FIND(" ",TRIM(C492)&amp;" ")-1),",","."),FIND("/",SUBSTITUTE(LEFT(TRIM(C492),FIND(" ",TRIM(C492)&amp;" ")-1),",","."))-1)/MID(SUBSTITUTE(LEFT(TRIM(C492),FIND(" ",TRIM(C492)&amp;" ")-1),",","."),FIND("/",SUBSTITUTE(LEFT(TRIM(C492),FIND(" ",TRIM(C492)&amp;" ")-1),",","."))+1,9))*12/52,IF(ISNUMBER(SEARCH("month",C492)),IFERROR(_xlfn.NUMBERVALUE(SUBSTITUTE(LEFT(TRIM(C492),FIND(" ",TRIM(C492)&amp;" ")-1),",","."),"."),LEFT(SUBSTITUTE(LEFT(TRIM(C492),FIND(" ",TRIM(C492)&amp;" ")-1),",","."),FIND("/",SUBSTITUTE(LEFT(TRIM(C492),FIND(" ",TRIM(C492)&amp;" ")-1),",","."))-1)/MID(SUBSTITUTE(LEFT(TRIM(C492),FIND(" ",TRIM(C492)&amp;" ")-1),",","."),FIND("/",SUBSTITUTE(LEFT(TRIM(C492),FIND(" ",TRIM(C492)&amp;" ")-1),",","."))+1,9)),IF(ISNUMBER(SEARCH("yea",C492)),IFERROR(_xlfn.NUMBERVALUE(SUBSTITUTE(LEFT(TRIM(C492),FIND(" ",TRIM(C492)&amp;" ")-1),",","."),"."),LEFT(SUBSTITUTE(LEFT(TRIM(C492),FIND(" ",TRIM(C492)&amp;" ")-1),",","."),FIND("/",SUBSTITUTE(LEFT(TRIM(C492),FIND(" ",TRIM(C492)&amp;" ")-1),",","."))-1)/MID(SUBSTITUTE(LEFT(TRIM(C492),FIND(" ",TRIM(C492)&amp;" ")-1),",","."),FIND("/",SUBSTITUTE(LEFT(TRIM(C492),FIND(" ",TRIM(C492)&amp;" ")-1),",","."))+1,9))*12,NA()))),0),12)*'Aturan &amp; Tarif'!$B$4,2)</f>
        <v>681.36</v>
      </c>
      <c r="K492" s="42" t="n">
        <f aca="false">'Aturan &amp; Tarif'!$B$5</f>
        <v>2050</v>
      </c>
      <c r="L492" s="42" t="n">
        <f aca="false">'Aturan &amp; Tarif'!$B$6</f>
        <v>350</v>
      </c>
      <c r="M492" s="35" t="n">
        <f aca="false">I492+J492+K492+L492</f>
        <v>12741.36</v>
      </c>
      <c r="N492" s="45" t="s">
        <v>1680</v>
      </c>
    </row>
    <row r="493" customFormat="false" ht="72" hidden="false" customHeight="true" outlineLevel="0" collapsed="false">
      <c r="A493" s="39"/>
      <c r="B493" s="40" t="s">
        <v>1681</v>
      </c>
      <c r="C493" s="41" t="s">
        <v>113</v>
      </c>
      <c r="D493" s="41" t="s">
        <v>108</v>
      </c>
      <c r="E493" s="42" t="n">
        <v>5553.75</v>
      </c>
      <c r="F493" s="42"/>
      <c r="G493" s="42"/>
      <c r="H493" s="43" t="n">
        <v>2</v>
      </c>
      <c r="I493" s="34" t="n">
        <f aca="false">E493*H493+N(F493)+N(G493)</f>
        <v>11107.5</v>
      </c>
      <c r="J493" s="42" t="n">
        <f aca="false">ROUND(IFERROR(ROUND(IF(OR(ISNUMBER(SEARCH("week",C493)),ISNUMBER(SEARCH("minggu",C493))),IFERROR(_xlfn.NUMBERVALUE(SUBSTITUTE(LEFT(TRIM(C493),FIND(" ",TRIM(C493)&amp;" ")-1),",","."),"."),LEFT(SUBSTITUTE(LEFT(TRIM(C493),FIND(" ",TRIM(C493)&amp;" ")-1),",","."),FIND("/",SUBSTITUTE(LEFT(TRIM(C493),FIND(" ",TRIM(C493)&amp;" ")-1),",","."))-1)/MID(SUBSTITUTE(LEFT(TRIM(C493),FIND(" ",TRIM(C493)&amp;" ")-1),",","."),FIND("/",SUBSTITUTE(LEFT(TRIM(C493),FIND(" ",TRIM(C493)&amp;" ")-1),",","."))+1,9))*12/52,IF(ISNUMBER(SEARCH("month",C493)),IFERROR(_xlfn.NUMBERVALUE(SUBSTITUTE(LEFT(TRIM(C493),FIND(" ",TRIM(C493)&amp;" ")-1),",","."),"."),LEFT(SUBSTITUTE(LEFT(TRIM(C493),FIND(" ",TRIM(C493)&amp;" ")-1),",","."),FIND("/",SUBSTITUTE(LEFT(TRIM(C493),FIND(" ",TRIM(C493)&amp;" ")-1),",","."))-1)/MID(SUBSTITUTE(LEFT(TRIM(C493),FIND(" ",TRIM(C493)&amp;" ")-1),",","."),FIND("/",SUBSTITUTE(LEFT(TRIM(C493),FIND(" ",TRIM(C493)&amp;" ")-1),",","."))+1,9)),IF(ISNUMBER(SEARCH("yea",C493)),IFERROR(_xlfn.NUMBERVALUE(SUBSTITUTE(LEFT(TRIM(C493),FIND(" ",TRIM(C493)&amp;" ")-1),",","."),"."),LEFT(SUBSTITUTE(LEFT(TRIM(C493),FIND(" ",TRIM(C493)&amp;" ")-1),",","."),FIND("/",SUBSTITUTE(LEFT(TRIM(C493),FIND(" ",TRIM(C493)&amp;" ")-1),",","."))-1)/MID(SUBSTITUTE(LEFT(TRIM(C493),FIND(" ",TRIM(C493)&amp;" ")-1),",","."),FIND("/",SUBSTITUTE(LEFT(TRIM(C493),FIND(" ",TRIM(C493)&amp;" ")-1),",","."))+1,9))*12,NA()))),0),18)*'Aturan &amp; Tarif'!$B$4,2)</f>
        <v>1022.04</v>
      </c>
      <c r="K493" s="42" t="n">
        <f aca="false">'Aturan &amp; Tarif'!$B$5</f>
        <v>2050</v>
      </c>
      <c r="L493" s="42" t="n">
        <f aca="false">'Aturan &amp; Tarif'!$B$6</f>
        <v>350</v>
      </c>
      <c r="M493" s="35" t="n">
        <f aca="false">I493+J493+K493+L493</f>
        <v>14529.54</v>
      </c>
      <c r="N493" s="44" t="s">
        <v>1682</v>
      </c>
    </row>
    <row r="494" customFormat="false" ht="25.5" hidden="false" customHeight="true" outlineLevel="0" collapsed="false">
      <c r="A494" s="39"/>
      <c r="B494" s="40" t="s">
        <v>1683</v>
      </c>
      <c r="C494" s="41" t="s">
        <v>130</v>
      </c>
      <c r="D494" s="41" t="s">
        <v>439</v>
      </c>
      <c r="E494" s="42" t="n">
        <v>11107</v>
      </c>
      <c r="F494" s="42"/>
      <c r="G494" s="42"/>
      <c r="H494" s="43" t="n">
        <v>1</v>
      </c>
      <c r="I494" s="34" t="n">
        <f aca="false">E494*H494+N(F494)+N(G494)</f>
        <v>11107</v>
      </c>
      <c r="J494" s="42" t="n">
        <f aca="false">ROUND(IFERROR(ROUND(IF(OR(ISNUMBER(SEARCH("week",C494)),ISNUMBER(SEARCH("minggu",C494))),IFERROR(_xlfn.NUMBERVALUE(SUBSTITUTE(LEFT(TRIM(C494),FIND(" ",TRIM(C494)&amp;" ")-1),",","."),"."),LEFT(SUBSTITUTE(LEFT(TRIM(C494),FIND(" ",TRIM(C494)&amp;" ")-1),",","."),FIND("/",SUBSTITUTE(LEFT(TRIM(C494),FIND(" ",TRIM(C494)&amp;" ")-1),",","."))-1)/MID(SUBSTITUTE(LEFT(TRIM(C494),FIND(" ",TRIM(C494)&amp;" ")-1),",","."),FIND("/",SUBSTITUTE(LEFT(TRIM(C494),FIND(" ",TRIM(C494)&amp;" ")-1),",","."))+1,9))*12/52,IF(ISNUMBER(SEARCH("month",C494)),IFERROR(_xlfn.NUMBERVALUE(SUBSTITUTE(LEFT(TRIM(C494),FIND(" ",TRIM(C494)&amp;" ")-1),",","."),"."),LEFT(SUBSTITUTE(LEFT(TRIM(C494),FIND(" ",TRIM(C494)&amp;" ")-1),",","."),FIND("/",SUBSTITUTE(LEFT(TRIM(C494),FIND(" ",TRIM(C494)&amp;" ")-1),",","."))-1)/MID(SUBSTITUTE(LEFT(TRIM(C494),FIND(" ",TRIM(C494)&amp;" ")-1),",","."),FIND("/",SUBSTITUTE(LEFT(TRIM(C494),FIND(" ",TRIM(C494)&amp;" ")-1),",","."))+1,9)),IF(ISNUMBER(SEARCH("yea",C494)),IFERROR(_xlfn.NUMBERVALUE(SUBSTITUTE(LEFT(TRIM(C494),FIND(" ",TRIM(C494)&amp;" ")-1),",","."),"."),LEFT(SUBSTITUTE(LEFT(TRIM(C494),FIND(" ",TRIM(C494)&amp;" ")-1),",","."),FIND("/",SUBSTITUTE(LEFT(TRIM(C494),FIND(" ",TRIM(C494)&amp;" ")-1),",","."))-1)/MID(SUBSTITUTE(LEFT(TRIM(C494),FIND(" ",TRIM(C494)&amp;" ")-1),",","."),FIND("/",SUBSTITUTE(LEFT(TRIM(C494),FIND(" ",TRIM(C494)&amp;" ")-1),",","."))+1,9))*12,NA()))),0),12)*'Aturan &amp; Tarif'!$B$4,2)</f>
        <v>681.36</v>
      </c>
      <c r="K494" s="42" t="n">
        <f aca="false">'Aturan &amp; Tarif'!$B$5</f>
        <v>2050</v>
      </c>
      <c r="L494" s="42" t="n">
        <f aca="false">'Aturan &amp; Tarif'!$B$6</f>
        <v>350</v>
      </c>
      <c r="M494" s="35" t="n">
        <f aca="false">I494+J494+K494+L494</f>
        <v>14188.36</v>
      </c>
      <c r="N494" s="45" t="s">
        <v>1684</v>
      </c>
    </row>
    <row r="495" customFormat="false" ht="60" hidden="false" customHeight="true" outlineLevel="0" collapsed="false">
      <c r="A495" s="39"/>
      <c r="B495" s="40" t="s">
        <v>1685</v>
      </c>
      <c r="C495" s="41" t="s">
        <v>107</v>
      </c>
      <c r="D495" s="41" t="s">
        <v>439</v>
      </c>
      <c r="E495" s="42" t="n">
        <v>10720</v>
      </c>
      <c r="F495" s="42" t="n">
        <v>2000</v>
      </c>
      <c r="G495" s="42"/>
      <c r="H495" s="43" t="n">
        <v>1</v>
      </c>
      <c r="I495" s="34" t="n">
        <f aca="false">E495*H495+N(F495)+N(G495)</f>
        <v>12720</v>
      </c>
      <c r="J495" s="42" t="n">
        <f aca="false">ROUND(IFERROR(ROUND(IF(OR(ISNUMBER(SEARCH("week",C495)),ISNUMBER(SEARCH("minggu",C495))),IFERROR(_xlfn.NUMBERVALUE(SUBSTITUTE(LEFT(TRIM(C495),FIND(" ",TRIM(C495)&amp;" ")-1),",","."),"."),LEFT(SUBSTITUTE(LEFT(TRIM(C495),FIND(" ",TRIM(C495)&amp;" ")-1),",","."),FIND("/",SUBSTITUTE(LEFT(TRIM(C495),FIND(" ",TRIM(C495)&amp;" ")-1),",","."))-1)/MID(SUBSTITUTE(LEFT(TRIM(C495),FIND(" ",TRIM(C495)&amp;" ")-1),",","."),FIND("/",SUBSTITUTE(LEFT(TRIM(C495),FIND(" ",TRIM(C495)&amp;" ")-1),",","."))+1,9))*12/52,IF(ISNUMBER(SEARCH("month",C495)),IFERROR(_xlfn.NUMBERVALUE(SUBSTITUTE(LEFT(TRIM(C495),FIND(" ",TRIM(C495)&amp;" ")-1),",","."),"."),LEFT(SUBSTITUTE(LEFT(TRIM(C495),FIND(" ",TRIM(C495)&amp;" ")-1),",","."),FIND("/",SUBSTITUTE(LEFT(TRIM(C495),FIND(" ",TRIM(C495)&amp;" ")-1),",","."))-1)/MID(SUBSTITUTE(LEFT(TRIM(C495),FIND(" ",TRIM(C495)&amp;" ")-1),",","."),FIND("/",SUBSTITUTE(LEFT(TRIM(C495),FIND(" ",TRIM(C495)&amp;" ")-1),",","."))+1,9)),IF(ISNUMBER(SEARCH("yea",C495)),IFERROR(_xlfn.NUMBERVALUE(SUBSTITUTE(LEFT(TRIM(C495),FIND(" ",TRIM(C495)&amp;" ")-1),",","."),"."),LEFT(SUBSTITUTE(LEFT(TRIM(C495),FIND(" ",TRIM(C495)&amp;" ")-1),",","."),FIND("/",SUBSTITUTE(LEFT(TRIM(C495),FIND(" ",TRIM(C495)&amp;" ")-1),",","."))-1)/MID(SUBSTITUTE(LEFT(TRIM(C495),FIND(" ",TRIM(C495)&amp;" ")-1),",","."),FIND("/",SUBSTITUTE(LEFT(TRIM(C495),FIND(" ",TRIM(C495)&amp;" ")-1),",","."))+1,9))*12,NA()))),0),24)*'Aturan &amp; Tarif'!$B$4,2)</f>
        <v>1362.72</v>
      </c>
      <c r="K495" s="42" t="n">
        <f aca="false">'Aturan &amp; Tarif'!$B$5</f>
        <v>2050</v>
      </c>
      <c r="L495" s="42" t="n">
        <f aca="false">'Aturan &amp; Tarif'!$B$6</f>
        <v>350</v>
      </c>
      <c r="M495" s="35" t="n">
        <f aca="false">I495+J495+K495+L495</f>
        <v>16482.72</v>
      </c>
      <c r="N495" s="44" t="s">
        <v>1686</v>
      </c>
    </row>
    <row r="496" customFormat="false" ht="14.25" hidden="false" customHeight="true" outlineLevel="0" collapsed="false">
      <c r="A496" s="39"/>
      <c r="B496" s="40" t="s">
        <v>1687</v>
      </c>
      <c r="C496" s="41" t="s">
        <v>130</v>
      </c>
      <c r="D496" s="41" t="s">
        <v>439</v>
      </c>
      <c r="E496" s="42" t="n">
        <v>8135</v>
      </c>
      <c r="F496" s="42"/>
      <c r="G496" s="42"/>
      <c r="H496" s="43" t="n">
        <v>1</v>
      </c>
      <c r="I496" s="34" t="n">
        <f aca="false">E496*H496+N(F496)+N(G496)</f>
        <v>8135</v>
      </c>
      <c r="J496" s="42" t="n">
        <f aca="false">ROUND(IFERROR(ROUND(IF(OR(ISNUMBER(SEARCH("week",C496)),ISNUMBER(SEARCH("minggu",C496))),IFERROR(_xlfn.NUMBERVALUE(SUBSTITUTE(LEFT(TRIM(C496),FIND(" ",TRIM(C496)&amp;" ")-1),",","."),"."),LEFT(SUBSTITUTE(LEFT(TRIM(C496),FIND(" ",TRIM(C496)&amp;" ")-1),",","."),FIND("/",SUBSTITUTE(LEFT(TRIM(C496),FIND(" ",TRIM(C496)&amp;" ")-1),",","."))-1)/MID(SUBSTITUTE(LEFT(TRIM(C496),FIND(" ",TRIM(C496)&amp;" ")-1),",","."),FIND("/",SUBSTITUTE(LEFT(TRIM(C496),FIND(" ",TRIM(C496)&amp;" ")-1),",","."))+1,9))*12/52,IF(ISNUMBER(SEARCH("month",C496)),IFERROR(_xlfn.NUMBERVALUE(SUBSTITUTE(LEFT(TRIM(C496),FIND(" ",TRIM(C496)&amp;" ")-1),",","."),"."),LEFT(SUBSTITUTE(LEFT(TRIM(C496),FIND(" ",TRIM(C496)&amp;" ")-1),",","."),FIND("/",SUBSTITUTE(LEFT(TRIM(C496),FIND(" ",TRIM(C496)&amp;" ")-1),",","."))-1)/MID(SUBSTITUTE(LEFT(TRIM(C496),FIND(" ",TRIM(C496)&amp;" ")-1),",","."),FIND("/",SUBSTITUTE(LEFT(TRIM(C496),FIND(" ",TRIM(C496)&amp;" ")-1),",","."))+1,9)),IF(ISNUMBER(SEARCH("yea",C496)),IFERROR(_xlfn.NUMBERVALUE(SUBSTITUTE(LEFT(TRIM(C496),FIND(" ",TRIM(C496)&amp;" ")-1),",","."),"."),LEFT(SUBSTITUTE(LEFT(TRIM(C496),FIND(" ",TRIM(C496)&amp;" ")-1),",","."),FIND("/",SUBSTITUTE(LEFT(TRIM(C496),FIND(" ",TRIM(C496)&amp;" ")-1),",","."))-1)/MID(SUBSTITUTE(LEFT(TRIM(C496),FIND(" ",TRIM(C496)&amp;" ")-1),",","."),FIND("/",SUBSTITUTE(LEFT(TRIM(C496),FIND(" ",TRIM(C496)&amp;" ")-1),",","."))+1,9))*12,NA()))),0),12)*'Aturan &amp; Tarif'!$B$4,2)</f>
        <v>681.36</v>
      </c>
      <c r="K496" s="42" t="n">
        <f aca="false">'Aturan &amp; Tarif'!$B$5</f>
        <v>2050</v>
      </c>
      <c r="L496" s="42" t="n">
        <f aca="false">'Aturan &amp; Tarif'!$B$6</f>
        <v>350</v>
      </c>
      <c r="M496" s="35" t="n">
        <f aca="false">I496+J496+K496+L496</f>
        <v>11216.36</v>
      </c>
      <c r="N496" s="45" t="s">
        <v>1688</v>
      </c>
    </row>
    <row r="497" customFormat="false" ht="25.5" hidden="false" customHeight="true" outlineLevel="0" collapsed="false">
      <c r="A497" s="39"/>
      <c r="B497" s="40" t="s">
        <v>1689</v>
      </c>
      <c r="C497" s="41" t="s">
        <v>344</v>
      </c>
      <c r="D497" s="41" t="s">
        <v>439</v>
      </c>
      <c r="E497" s="42" t="n">
        <v>8130</v>
      </c>
      <c r="F497" s="42" t="n">
        <v>800</v>
      </c>
      <c r="G497" s="42"/>
      <c r="H497" s="43" t="n">
        <v>1</v>
      </c>
      <c r="I497" s="34" t="n">
        <f aca="false">E497*H497+N(F497)+N(G497)</f>
        <v>8930</v>
      </c>
      <c r="J497" s="42" t="n">
        <f aca="false">ROUND(IFERROR(ROUND(IF(OR(ISNUMBER(SEARCH("week",C497)),ISNUMBER(SEARCH("minggu",C497))),IFERROR(_xlfn.NUMBERVALUE(SUBSTITUTE(LEFT(TRIM(C497),FIND(" ",TRIM(C497)&amp;" ")-1),",","."),"."),LEFT(SUBSTITUTE(LEFT(TRIM(C497),FIND(" ",TRIM(C497)&amp;" ")-1),",","."),FIND("/",SUBSTITUTE(LEFT(TRIM(C497),FIND(" ",TRIM(C497)&amp;" ")-1),",","."))-1)/MID(SUBSTITUTE(LEFT(TRIM(C497),FIND(" ",TRIM(C497)&amp;" ")-1),",","."),FIND("/",SUBSTITUTE(LEFT(TRIM(C497),FIND(" ",TRIM(C497)&amp;" ")-1),",","."))+1,9))*12/52,IF(ISNUMBER(SEARCH("month",C497)),IFERROR(_xlfn.NUMBERVALUE(SUBSTITUTE(LEFT(TRIM(C497),FIND(" ",TRIM(C497)&amp;" ")-1),",","."),"."),LEFT(SUBSTITUTE(LEFT(TRIM(C497),FIND(" ",TRIM(C497)&amp;" ")-1),",","."),FIND("/",SUBSTITUTE(LEFT(TRIM(C497),FIND(" ",TRIM(C497)&amp;" ")-1),",","."))-1)/MID(SUBSTITUTE(LEFT(TRIM(C497),FIND(" ",TRIM(C497)&amp;" ")-1),",","."),FIND("/",SUBSTITUTE(LEFT(TRIM(C497),FIND(" ",TRIM(C497)&amp;" ")-1),",","."))+1,9)),IF(ISNUMBER(SEARCH("yea",C497)),IFERROR(_xlfn.NUMBERVALUE(SUBSTITUTE(LEFT(TRIM(C497),FIND(" ",TRIM(C497)&amp;" ")-1),",","."),"."),LEFT(SUBSTITUTE(LEFT(TRIM(C497),FIND(" ",TRIM(C497)&amp;" ")-1),",","."),FIND("/",SUBSTITUTE(LEFT(TRIM(C497),FIND(" ",TRIM(C497)&amp;" ")-1),",","."))-1)/MID(SUBSTITUTE(LEFT(TRIM(C497),FIND(" ",TRIM(C497)&amp;" ")-1),",","."),FIND("/",SUBSTITUTE(LEFT(TRIM(C497),FIND(" ",TRIM(C497)&amp;" ")-1),",","."))+1,9))*12,NA()))),0),6)*'Aturan &amp; Tarif'!$B$4,2)</f>
        <v>340.68</v>
      </c>
      <c r="K497" s="42" t="n">
        <f aca="false">'Aturan &amp; Tarif'!$B$5</f>
        <v>2050</v>
      </c>
      <c r="L497" s="42" t="n">
        <f aca="false">'Aturan &amp; Tarif'!$B$6</f>
        <v>350</v>
      </c>
      <c r="M497" s="35" t="n">
        <f aca="false">I497+J497+K497+L497</f>
        <v>11670.68</v>
      </c>
      <c r="N497" s="45" t="s">
        <v>1690</v>
      </c>
    </row>
    <row r="498" customFormat="false" ht="14.25" hidden="false" customHeight="true" outlineLevel="0" collapsed="false">
      <c r="A498" s="39"/>
      <c r="B498" s="40" t="s">
        <v>1691</v>
      </c>
      <c r="C498" s="41" t="s">
        <v>130</v>
      </c>
      <c r="D498" s="41" t="s">
        <v>108</v>
      </c>
      <c r="E498" s="42" t="n">
        <v>4126.6</v>
      </c>
      <c r="F498" s="42"/>
      <c r="G498" s="42"/>
      <c r="H498" s="43" t="n">
        <v>2</v>
      </c>
      <c r="I498" s="34" t="n">
        <f aca="false">E498*H498+N(F498)+N(G498)</f>
        <v>8253.2</v>
      </c>
      <c r="J498" s="42" t="n">
        <f aca="false">ROUND(IFERROR(ROUND(IF(OR(ISNUMBER(SEARCH("week",C498)),ISNUMBER(SEARCH("minggu",C498))),IFERROR(_xlfn.NUMBERVALUE(SUBSTITUTE(LEFT(TRIM(C498),FIND(" ",TRIM(C498)&amp;" ")-1),",","."),"."),LEFT(SUBSTITUTE(LEFT(TRIM(C498),FIND(" ",TRIM(C498)&amp;" ")-1),",","."),FIND("/",SUBSTITUTE(LEFT(TRIM(C498),FIND(" ",TRIM(C498)&amp;" ")-1),",","."))-1)/MID(SUBSTITUTE(LEFT(TRIM(C498),FIND(" ",TRIM(C498)&amp;" ")-1),",","."),FIND("/",SUBSTITUTE(LEFT(TRIM(C498),FIND(" ",TRIM(C498)&amp;" ")-1),",","."))+1,9))*12/52,IF(ISNUMBER(SEARCH("month",C498)),IFERROR(_xlfn.NUMBERVALUE(SUBSTITUTE(LEFT(TRIM(C498),FIND(" ",TRIM(C498)&amp;" ")-1),",","."),"."),LEFT(SUBSTITUTE(LEFT(TRIM(C498),FIND(" ",TRIM(C498)&amp;" ")-1),",","."),FIND("/",SUBSTITUTE(LEFT(TRIM(C498),FIND(" ",TRIM(C498)&amp;" ")-1),",","."))-1)/MID(SUBSTITUTE(LEFT(TRIM(C498),FIND(" ",TRIM(C498)&amp;" ")-1),",","."),FIND("/",SUBSTITUTE(LEFT(TRIM(C498),FIND(" ",TRIM(C498)&amp;" ")-1),",","."))+1,9)),IF(ISNUMBER(SEARCH("yea",C498)),IFERROR(_xlfn.NUMBERVALUE(SUBSTITUTE(LEFT(TRIM(C498),FIND(" ",TRIM(C498)&amp;" ")-1),",","."),"."),LEFT(SUBSTITUTE(LEFT(TRIM(C498),FIND(" ",TRIM(C498)&amp;" ")-1),",","."),FIND("/",SUBSTITUTE(LEFT(TRIM(C498),FIND(" ",TRIM(C498)&amp;" ")-1),",","."))-1)/MID(SUBSTITUTE(LEFT(TRIM(C498),FIND(" ",TRIM(C498)&amp;" ")-1),",","."),FIND("/",SUBSTITUTE(LEFT(TRIM(C498),FIND(" ",TRIM(C498)&amp;" ")-1),",","."))+1,9))*12,NA()))),0),12)*'Aturan &amp; Tarif'!$B$4,2)</f>
        <v>681.36</v>
      </c>
      <c r="K498" s="42" t="n">
        <f aca="false">'Aturan &amp; Tarif'!$B$5</f>
        <v>2050</v>
      </c>
      <c r="L498" s="42" t="n">
        <f aca="false">'Aturan &amp; Tarif'!$B$6</f>
        <v>350</v>
      </c>
      <c r="M498" s="35" t="n">
        <f aca="false">I498+J498+K498+L498</f>
        <v>11334.56</v>
      </c>
      <c r="N498" s="45" t="s">
        <v>1692</v>
      </c>
    </row>
    <row r="499" customFormat="false" ht="72" hidden="false" customHeight="true" outlineLevel="0" collapsed="false">
      <c r="A499" s="39"/>
      <c r="B499" s="40" t="s">
        <v>1693</v>
      </c>
      <c r="C499" s="41" t="s">
        <v>113</v>
      </c>
      <c r="D499" s="41" t="s">
        <v>439</v>
      </c>
      <c r="E499" s="42" t="n">
        <v>6360</v>
      </c>
      <c r="F499" s="42" t="n">
        <v>200</v>
      </c>
      <c r="G499" s="42"/>
      <c r="H499" s="43" t="n">
        <v>1</v>
      </c>
      <c r="I499" s="34" t="n">
        <f aca="false">E499*H499+N(F499)+N(G499)</f>
        <v>6560</v>
      </c>
      <c r="J499" s="42" t="n">
        <f aca="false">ROUND(IFERROR(ROUND(IF(OR(ISNUMBER(SEARCH("week",C499)),ISNUMBER(SEARCH("minggu",C499))),IFERROR(_xlfn.NUMBERVALUE(SUBSTITUTE(LEFT(TRIM(C499),FIND(" ",TRIM(C499)&amp;" ")-1),",","."),"."),LEFT(SUBSTITUTE(LEFT(TRIM(C499),FIND(" ",TRIM(C499)&amp;" ")-1),",","."),FIND("/",SUBSTITUTE(LEFT(TRIM(C499),FIND(" ",TRIM(C499)&amp;" ")-1),",","."))-1)/MID(SUBSTITUTE(LEFT(TRIM(C499),FIND(" ",TRIM(C499)&amp;" ")-1),",","."),FIND("/",SUBSTITUTE(LEFT(TRIM(C499),FIND(" ",TRIM(C499)&amp;" ")-1),",","."))+1,9))*12/52,IF(ISNUMBER(SEARCH("month",C499)),IFERROR(_xlfn.NUMBERVALUE(SUBSTITUTE(LEFT(TRIM(C499),FIND(" ",TRIM(C499)&amp;" ")-1),",","."),"."),LEFT(SUBSTITUTE(LEFT(TRIM(C499),FIND(" ",TRIM(C499)&amp;" ")-1),",","."),FIND("/",SUBSTITUTE(LEFT(TRIM(C499),FIND(" ",TRIM(C499)&amp;" ")-1),",","."))-1)/MID(SUBSTITUTE(LEFT(TRIM(C499),FIND(" ",TRIM(C499)&amp;" ")-1),",","."),FIND("/",SUBSTITUTE(LEFT(TRIM(C499),FIND(" ",TRIM(C499)&amp;" ")-1),",","."))+1,9)),IF(ISNUMBER(SEARCH("yea",C499)),IFERROR(_xlfn.NUMBERVALUE(SUBSTITUTE(LEFT(TRIM(C499),FIND(" ",TRIM(C499)&amp;" ")-1),",","."),"."),LEFT(SUBSTITUTE(LEFT(TRIM(C499),FIND(" ",TRIM(C499)&amp;" ")-1),",","."),FIND("/",SUBSTITUTE(LEFT(TRIM(C499),FIND(" ",TRIM(C499)&amp;" ")-1),",","."))-1)/MID(SUBSTITUTE(LEFT(TRIM(C499),FIND(" ",TRIM(C499)&amp;" ")-1),",","."),FIND("/",SUBSTITUTE(LEFT(TRIM(C499),FIND(" ",TRIM(C499)&amp;" ")-1),",","."))+1,9))*12,NA()))),0),18)*'Aturan &amp; Tarif'!$B$4,2)</f>
        <v>1022.04</v>
      </c>
      <c r="K499" s="42" t="n">
        <f aca="false">'Aturan &amp; Tarif'!$B$5</f>
        <v>2050</v>
      </c>
      <c r="L499" s="42" t="n">
        <f aca="false">'Aturan &amp; Tarif'!$B$6</f>
        <v>350</v>
      </c>
      <c r="M499" s="35" t="n">
        <f aca="false">I499+J499+K499+L499</f>
        <v>9982.04</v>
      </c>
      <c r="N499" s="44" t="s">
        <v>1694</v>
      </c>
    </row>
    <row r="500" customFormat="false" ht="25.5" hidden="false" customHeight="true" outlineLevel="0" collapsed="false">
      <c r="A500" s="39"/>
      <c r="B500" s="40" t="s">
        <v>1695</v>
      </c>
      <c r="C500" s="41" t="s">
        <v>1696</v>
      </c>
      <c r="D500" s="48" t="s">
        <v>439</v>
      </c>
      <c r="E500" s="49" t="n">
        <v>8300</v>
      </c>
      <c r="F500" s="42"/>
      <c r="G500" s="42"/>
      <c r="H500" s="50" t="n">
        <v>1</v>
      </c>
      <c r="I500" s="34" t="n">
        <f aca="false">E500*H500+N(F500)+N(G500)</f>
        <v>8300</v>
      </c>
      <c r="J500" s="42" t="n">
        <f aca="false">ROUND(IFERROR(ROUND(IF(OR(ISNUMBER(SEARCH("week",C500)),ISNUMBER(SEARCH("minggu",C500))),IFERROR(_xlfn.NUMBERVALUE(SUBSTITUTE(LEFT(TRIM(C500),FIND(" ",TRIM(C500)&amp;" ")-1),",","."),"."),LEFT(SUBSTITUTE(LEFT(TRIM(C500),FIND(" ",TRIM(C500)&amp;" ")-1),",","."),FIND("/",SUBSTITUTE(LEFT(TRIM(C500),FIND(" ",TRIM(C500)&amp;" ")-1),",","."))-1)/MID(SUBSTITUTE(LEFT(TRIM(C500),FIND(" ",TRIM(C500)&amp;" ")-1),",","."),FIND("/",SUBSTITUTE(LEFT(TRIM(C500),FIND(" ",TRIM(C500)&amp;" ")-1),",","."))+1,9))*12/52,IF(ISNUMBER(SEARCH("month",C500)),IFERROR(_xlfn.NUMBERVALUE(SUBSTITUTE(LEFT(TRIM(C500),FIND(" ",TRIM(C500)&amp;" ")-1),",","."),"."),LEFT(SUBSTITUTE(LEFT(TRIM(C500),FIND(" ",TRIM(C500)&amp;" ")-1),",","."),FIND("/",SUBSTITUTE(LEFT(TRIM(C500),FIND(" ",TRIM(C500)&amp;" ")-1),",","."))-1)/MID(SUBSTITUTE(LEFT(TRIM(C500),FIND(" ",TRIM(C500)&amp;" ")-1),",","."),FIND("/",SUBSTITUTE(LEFT(TRIM(C500),FIND(" ",TRIM(C500)&amp;" ")-1),",","."))+1,9)),IF(ISNUMBER(SEARCH("yea",C500)),IFERROR(_xlfn.NUMBERVALUE(SUBSTITUTE(LEFT(TRIM(C500),FIND(" ",TRIM(C500)&amp;" ")-1),",","."),"."),LEFT(SUBSTITUTE(LEFT(TRIM(C500),FIND(" ",TRIM(C500)&amp;" ")-1),",","."),FIND("/",SUBSTITUTE(LEFT(TRIM(C500),FIND(" ",TRIM(C500)&amp;" ")-1),",","."))-1)/MID(SUBSTITUTE(LEFT(TRIM(C500),FIND(" ",TRIM(C500)&amp;" ")-1),",","."),FIND("/",SUBSTITUTE(LEFT(TRIM(C500),FIND(" ",TRIM(C500)&amp;" ")-1),",","."))+1,9))*12,NA()))),0),9)*'Aturan &amp; Tarif'!$B$4,2)</f>
        <v>511.02</v>
      </c>
      <c r="K500" s="42" t="n">
        <f aca="false">'Aturan &amp; Tarif'!$B$5</f>
        <v>2050</v>
      </c>
      <c r="L500" s="42" t="n">
        <f aca="false">'Aturan &amp; Tarif'!$B$6</f>
        <v>350</v>
      </c>
      <c r="M500" s="35" t="n">
        <f aca="false">I500+J500+K500+L500</f>
        <v>11211.02</v>
      </c>
      <c r="N500" s="44" t="s">
        <v>1697</v>
      </c>
    </row>
    <row r="501" customFormat="false" ht="25.5" hidden="false" customHeight="true" outlineLevel="0" collapsed="false">
      <c r="A501" s="39"/>
      <c r="B501" s="40" t="s">
        <v>1698</v>
      </c>
      <c r="C501" s="41" t="s">
        <v>1699</v>
      </c>
      <c r="D501" s="48" t="s">
        <v>439</v>
      </c>
      <c r="E501" s="49" t="n">
        <v>8300</v>
      </c>
      <c r="F501" s="42" t="n">
        <v>0</v>
      </c>
      <c r="G501" s="42"/>
      <c r="H501" s="50" t="n">
        <v>1</v>
      </c>
      <c r="I501" s="34" t="n">
        <f aca="false">E501*H501+N(F501)+N(G501)</f>
        <v>8300</v>
      </c>
      <c r="J501" s="42" t="n">
        <f aca="false">ROUND(IFERROR(ROUND(IF(OR(ISNUMBER(SEARCH("week",C501)),ISNUMBER(SEARCH("minggu",C501))),IFERROR(_xlfn.NUMBERVALUE(SUBSTITUTE(LEFT(TRIM(C501),FIND(" ",TRIM(C501)&amp;" ")-1),",","."),"."),LEFT(SUBSTITUTE(LEFT(TRIM(C501),FIND(" ",TRIM(C501)&amp;" ")-1),",","."),FIND("/",SUBSTITUTE(LEFT(TRIM(C501),FIND(" ",TRIM(C501)&amp;" ")-1),",","."))-1)/MID(SUBSTITUTE(LEFT(TRIM(C501),FIND(" ",TRIM(C501)&amp;" ")-1),",","."),FIND("/",SUBSTITUTE(LEFT(TRIM(C501),FIND(" ",TRIM(C501)&amp;" ")-1),",","."))+1,9))*12/52,IF(ISNUMBER(SEARCH("month",C501)),IFERROR(_xlfn.NUMBERVALUE(SUBSTITUTE(LEFT(TRIM(C501),FIND(" ",TRIM(C501)&amp;" ")-1),",","."),"."),LEFT(SUBSTITUTE(LEFT(TRIM(C501),FIND(" ",TRIM(C501)&amp;" ")-1),",","."),FIND("/",SUBSTITUTE(LEFT(TRIM(C501),FIND(" ",TRIM(C501)&amp;" ")-1),",","."))-1)/MID(SUBSTITUTE(LEFT(TRIM(C501),FIND(" ",TRIM(C501)&amp;" ")-1),",","."),FIND("/",SUBSTITUTE(LEFT(TRIM(C501),FIND(" ",TRIM(C501)&amp;" ")-1),",","."))+1,9)),IF(ISNUMBER(SEARCH("yea",C501)),IFERROR(_xlfn.NUMBERVALUE(SUBSTITUTE(LEFT(TRIM(C501),FIND(" ",TRIM(C501)&amp;" ")-1),",","."),"."),LEFT(SUBSTITUTE(LEFT(TRIM(C501),FIND(" ",TRIM(C501)&amp;" ")-1),",","."),FIND("/",SUBSTITUTE(LEFT(TRIM(C501),FIND(" ",TRIM(C501)&amp;" ")-1),",","."))-1)/MID(SUBSTITUTE(LEFT(TRIM(C501),FIND(" ",TRIM(C501)&amp;" ")-1),",","."),FIND("/",SUBSTITUTE(LEFT(TRIM(C501),FIND(" ",TRIM(C501)&amp;" ")-1),",","."))+1,9))*12,NA()))),0),6)*'Aturan &amp; Tarif'!$B$4,2)</f>
        <v>340.68</v>
      </c>
      <c r="K501" s="42" t="n">
        <f aca="false">'Aturan &amp; Tarif'!$B$5</f>
        <v>2050</v>
      </c>
      <c r="L501" s="42" t="n">
        <f aca="false">'Aturan &amp; Tarif'!$B$6</f>
        <v>350</v>
      </c>
      <c r="M501" s="35" t="n">
        <f aca="false">I501+J501+K501+L501</f>
        <v>11040.68</v>
      </c>
      <c r="N501" s="44" t="s">
        <v>1700</v>
      </c>
    </row>
    <row r="502" customFormat="false" ht="25.5" hidden="false" customHeight="true" outlineLevel="0" collapsed="false">
      <c r="A502" s="39"/>
      <c r="B502" s="40" t="s">
        <v>1701</v>
      </c>
      <c r="C502" s="41" t="s">
        <v>1699</v>
      </c>
      <c r="D502" s="48" t="s">
        <v>439</v>
      </c>
      <c r="E502" s="49" t="n">
        <v>8300</v>
      </c>
      <c r="F502" s="42" t="n">
        <v>0</v>
      </c>
      <c r="G502" s="42"/>
      <c r="H502" s="50" t="n">
        <v>1</v>
      </c>
      <c r="I502" s="34" t="n">
        <f aca="false">E502*H502+N(F502)+N(G502)</f>
        <v>8300</v>
      </c>
      <c r="J502" s="42" t="n">
        <f aca="false">ROUND(IFERROR(ROUND(IF(OR(ISNUMBER(SEARCH("week",C502)),ISNUMBER(SEARCH("minggu",C502))),IFERROR(_xlfn.NUMBERVALUE(SUBSTITUTE(LEFT(TRIM(C502),FIND(" ",TRIM(C502)&amp;" ")-1),",","."),"."),LEFT(SUBSTITUTE(LEFT(TRIM(C502),FIND(" ",TRIM(C502)&amp;" ")-1),",","."),FIND("/",SUBSTITUTE(LEFT(TRIM(C502),FIND(" ",TRIM(C502)&amp;" ")-1),",","."))-1)/MID(SUBSTITUTE(LEFT(TRIM(C502),FIND(" ",TRIM(C502)&amp;" ")-1),",","."),FIND("/",SUBSTITUTE(LEFT(TRIM(C502),FIND(" ",TRIM(C502)&amp;" ")-1),",","."))+1,9))*12/52,IF(ISNUMBER(SEARCH("month",C502)),IFERROR(_xlfn.NUMBERVALUE(SUBSTITUTE(LEFT(TRIM(C502),FIND(" ",TRIM(C502)&amp;" ")-1),",","."),"."),LEFT(SUBSTITUTE(LEFT(TRIM(C502),FIND(" ",TRIM(C502)&amp;" ")-1),",","."),FIND("/",SUBSTITUTE(LEFT(TRIM(C502),FIND(" ",TRIM(C502)&amp;" ")-1),",","."))-1)/MID(SUBSTITUTE(LEFT(TRIM(C502),FIND(" ",TRIM(C502)&amp;" ")-1),",","."),FIND("/",SUBSTITUTE(LEFT(TRIM(C502),FIND(" ",TRIM(C502)&amp;" ")-1),",","."))+1,9)),IF(ISNUMBER(SEARCH("yea",C502)),IFERROR(_xlfn.NUMBERVALUE(SUBSTITUTE(LEFT(TRIM(C502),FIND(" ",TRIM(C502)&amp;" ")-1),",","."),"."),LEFT(SUBSTITUTE(LEFT(TRIM(C502),FIND(" ",TRIM(C502)&amp;" ")-1),",","."),FIND("/",SUBSTITUTE(LEFT(TRIM(C502),FIND(" ",TRIM(C502)&amp;" ")-1),",","."))-1)/MID(SUBSTITUTE(LEFT(TRIM(C502),FIND(" ",TRIM(C502)&amp;" ")-1),",","."),FIND("/",SUBSTITUTE(LEFT(TRIM(C502),FIND(" ",TRIM(C502)&amp;" ")-1),",","."))+1,9))*12,NA()))),0),6)*'Aturan &amp; Tarif'!$B$4,2)</f>
        <v>340.68</v>
      </c>
      <c r="K502" s="42" t="n">
        <f aca="false">'Aturan &amp; Tarif'!$B$5</f>
        <v>2050</v>
      </c>
      <c r="L502" s="42" t="n">
        <f aca="false">'Aturan &amp; Tarif'!$B$6</f>
        <v>350</v>
      </c>
      <c r="M502" s="35" t="n">
        <f aca="false">I502+J502+K502+L502</f>
        <v>11040.68</v>
      </c>
      <c r="N502" s="44" t="s">
        <v>1702</v>
      </c>
    </row>
    <row r="503" customFormat="false" ht="25.5" hidden="false" customHeight="true" outlineLevel="0" collapsed="false">
      <c r="A503" s="39"/>
      <c r="B503" s="40" t="s">
        <v>1703</v>
      </c>
      <c r="C503" s="41" t="s">
        <v>130</v>
      </c>
      <c r="D503" s="41" t="s">
        <v>439</v>
      </c>
      <c r="E503" s="42" t="n">
        <v>7483</v>
      </c>
      <c r="F503" s="42" t="n">
        <v>126</v>
      </c>
      <c r="G503" s="42"/>
      <c r="H503" s="43" t="n">
        <v>1</v>
      </c>
      <c r="I503" s="34" t="n">
        <f aca="false">E503*H503+N(F503)+N(G503)</f>
        <v>7609</v>
      </c>
      <c r="J503" s="42" t="n">
        <f aca="false">ROUND(IFERROR(ROUND(IF(OR(ISNUMBER(SEARCH("week",C503)),ISNUMBER(SEARCH("minggu",C503))),IFERROR(_xlfn.NUMBERVALUE(SUBSTITUTE(LEFT(TRIM(C503),FIND(" ",TRIM(C503)&amp;" ")-1),",","."),"."),LEFT(SUBSTITUTE(LEFT(TRIM(C503),FIND(" ",TRIM(C503)&amp;" ")-1),",","."),FIND("/",SUBSTITUTE(LEFT(TRIM(C503),FIND(" ",TRIM(C503)&amp;" ")-1),",","."))-1)/MID(SUBSTITUTE(LEFT(TRIM(C503),FIND(" ",TRIM(C503)&amp;" ")-1),",","."),FIND("/",SUBSTITUTE(LEFT(TRIM(C503),FIND(" ",TRIM(C503)&amp;" ")-1),",","."))+1,9))*12/52,IF(ISNUMBER(SEARCH("month",C503)),IFERROR(_xlfn.NUMBERVALUE(SUBSTITUTE(LEFT(TRIM(C503),FIND(" ",TRIM(C503)&amp;" ")-1),",","."),"."),LEFT(SUBSTITUTE(LEFT(TRIM(C503),FIND(" ",TRIM(C503)&amp;" ")-1),",","."),FIND("/",SUBSTITUTE(LEFT(TRIM(C503),FIND(" ",TRIM(C503)&amp;" ")-1),",","."))-1)/MID(SUBSTITUTE(LEFT(TRIM(C503),FIND(" ",TRIM(C503)&amp;" ")-1),",","."),FIND("/",SUBSTITUTE(LEFT(TRIM(C503),FIND(" ",TRIM(C503)&amp;" ")-1),",","."))+1,9)),IF(ISNUMBER(SEARCH("yea",C503)),IFERROR(_xlfn.NUMBERVALUE(SUBSTITUTE(LEFT(TRIM(C503),FIND(" ",TRIM(C503)&amp;" ")-1),",","."),"."),LEFT(SUBSTITUTE(LEFT(TRIM(C503),FIND(" ",TRIM(C503)&amp;" ")-1),",","."),FIND("/",SUBSTITUTE(LEFT(TRIM(C503),FIND(" ",TRIM(C503)&amp;" ")-1),",","."))-1)/MID(SUBSTITUTE(LEFT(TRIM(C503),FIND(" ",TRIM(C503)&amp;" ")-1),",","."),FIND("/",SUBSTITUTE(LEFT(TRIM(C503),FIND(" ",TRIM(C503)&amp;" ")-1),",","."))+1,9))*12,NA()))),0),12)*'Aturan &amp; Tarif'!$B$4,2)</f>
        <v>681.36</v>
      </c>
      <c r="K503" s="42" t="n">
        <f aca="false">'Aturan &amp; Tarif'!$B$5</f>
        <v>2050</v>
      </c>
      <c r="L503" s="42" t="n">
        <f aca="false">'Aturan &amp; Tarif'!$B$6</f>
        <v>350</v>
      </c>
      <c r="M503" s="35" t="n">
        <f aca="false">I503+J503+K503+L503</f>
        <v>10690.36</v>
      </c>
      <c r="N503" s="45" t="s">
        <v>1704</v>
      </c>
    </row>
    <row r="504" customFormat="false" ht="25.5" hidden="false" customHeight="true" outlineLevel="0" collapsed="false">
      <c r="A504" s="39"/>
      <c r="B504" s="40" t="s">
        <v>1705</v>
      </c>
      <c r="C504" s="41" t="s">
        <v>130</v>
      </c>
      <c r="D504" s="41" t="s">
        <v>439</v>
      </c>
      <c r="E504" s="42" t="n">
        <v>7510</v>
      </c>
      <c r="F504" s="42"/>
      <c r="G504" s="42"/>
      <c r="H504" s="43" t="n">
        <v>1</v>
      </c>
      <c r="I504" s="34" t="n">
        <f aca="false">E504*H504+N(F504)+N(G504)</f>
        <v>7510</v>
      </c>
      <c r="J504" s="42" t="n">
        <f aca="false">ROUND(IFERROR(ROUND(IF(OR(ISNUMBER(SEARCH("week",C504)),ISNUMBER(SEARCH("minggu",C504))),IFERROR(_xlfn.NUMBERVALUE(SUBSTITUTE(LEFT(TRIM(C504),FIND(" ",TRIM(C504)&amp;" ")-1),",","."),"."),LEFT(SUBSTITUTE(LEFT(TRIM(C504),FIND(" ",TRIM(C504)&amp;" ")-1),",","."),FIND("/",SUBSTITUTE(LEFT(TRIM(C504),FIND(" ",TRIM(C504)&amp;" ")-1),",","."))-1)/MID(SUBSTITUTE(LEFT(TRIM(C504),FIND(" ",TRIM(C504)&amp;" ")-1),",","."),FIND("/",SUBSTITUTE(LEFT(TRIM(C504),FIND(" ",TRIM(C504)&amp;" ")-1),",","."))+1,9))*12/52,IF(ISNUMBER(SEARCH("month",C504)),IFERROR(_xlfn.NUMBERVALUE(SUBSTITUTE(LEFT(TRIM(C504),FIND(" ",TRIM(C504)&amp;" ")-1),",","."),"."),LEFT(SUBSTITUTE(LEFT(TRIM(C504),FIND(" ",TRIM(C504)&amp;" ")-1),",","."),FIND("/",SUBSTITUTE(LEFT(TRIM(C504),FIND(" ",TRIM(C504)&amp;" ")-1),",","."))-1)/MID(SUBSTITUTE(LEFT(TRIM(C504),FIND(" ",TRIM(C504)&amp;" ")-1),",","."),FIND("/",SUBSTITUTE(LEFT(TRIM(C504),FIND(" ",TRIM(C504)&amp;" ")-1),",","."))+1,9)),IF(ISNUMBER(SEARCH("yea",C504)),IFERROR(_xlfn.NUMBERVALUE(SUBSTITUTE(LEFT(TRIM(C504),FIND(" ",TRIM(C504)&amp;" ")-1),",","."),"."),LEFT(SUBSTITUTE(LEFT(TRIM(C504),FIND(" ",TRIM(C504)&amp;" ")-1),",","."),FIND("/",SUBSTITUTE(LEFT(TRIM(C504),FIND(" ",TRIM(C504)&amp;" ")-1),",","."))-1)/MID(SUBSTITUTE(LEFT(TRIM(C504),FIND(" ",TRIM(C504)&amp;" ")-1),",","."),FIND("/",SUBSTITUTE(LEFT(TRIM(C504),FIND(" ",TRIM(C504)&amp;" ")-1),",","."))+1,9))*12,NA()))),0),12)*'Aturan &amp; Tarif'!$B$4,2)</f>
        <v>681.36</v>
      </c>
      <c r="K504" s="42" t="n">
        <f aca="false">'Aturan &amp; Tarif'!$B$5</f>
        <v>2050</v>
      </c>
      <c r="L504" s="42" t="n">
        <f aca="false">'Aturan &amp; Tarif'!$B$6</f>
        <v>350</v>
      </c>
      <c r="M504" s="35" t="n">
        <f aca="false">I504+J504+K504+L504</f>
        <v>10591.36</v>
      </c>
      <c r="N504" s="45" t="s">
        <v>1706</v>
      </c>
    </row>
    <row r="505" customFormat="false" ht="14.25" hidden="false" customHeight="true" outlineLevel="0" collapsed="false">
      <c r="A505" s="39"/>
      <c r="B505" s="40" t="s">
        <v>1707</v>
      </c>
      <c r="C505" s="41" t="s">
        <v>130</v>
      </c>
      <c r="D505" s="41" t="s">
        <v>439</v>
      </c>
      <c r="E505" s="42" t="n">
        <v>9722</v>
      </c>
      <c r="F505" s="42" t="n">
        <v>400</v>
      </c>
      <c r="G505" s="42"/>
      <c r="H505" s="43" t="n">
        <v>1</v>
      </c>
      <c r="I505" s="34" t="n">
        <f aca="false">E505*H505+N(F505)+N(G505)</f>
        <v>10122</v>
      </c>
      <c r="J505" s="42" t="n">
        <f aca="false">ROUND(IFERROR(ROUND(IF(OR(ISNUMBER(SEARCH("week",C505)),ISNUMBER(SEARCH("minggu",C505))),IFERROR(_xlfn.NUMBERVALUE(SUBSTITUTE(LEFT(TRIM(C505),FIND(" ",TRIM(C505)&amp;" ")-1),",","."),"."),LEFT(SUBSTITUTE(LEFT(TRIM(C505),FIND(" ",TRIM(C505)&amp;" ")-1),",","."),FIND("/",SUBSTITUTE(LEFT(TRIM(C505),FIND(" ",TRIM(C505)&amp;" ")-1),",","."))-1)/MID(SUBSTITUTE(LEFT(TRIM(C505),FIND(" ",TRIM(C505)&amp;" ")-1),",","."),FIND("/",SUBSTITUTE(LEFT(TRIM(C505),FIND(" ",TRIM(C505)&amp;" ")-1),",","."))+1,9))*12/52,IF(ISNUMBER(SEARCH("month",C505)),IFERROR(_xlfn.NUMBERVALUE(SUBSTITUTE(LEFT(TRIM(C505),FIND(" ",TRIM(C505)&amp;" ")-1),",","."),"."),LEFT(SUBSTITUTE(LEFT(TRIM(C505),FIND(" ",TRIM(C505)&amp;" ")-1),",","."),FIND("/",SUBSTITUTE(LEFT(TRIM(C505),FIND(" ",TRIM(C505)&amp;" ")-1),",","."))-1)/MID(SUBSTITUTE(LEFT(TRIM(C505),FIND(" ",TRIM(C505)&amp;" ")-1),",","."),FIND("/",SUBSTITUTE(LEFT(TRIM(C505),FIND(" ",TRIM(C505)&amp;" ")-1),",","."))+1,9)),IF(ISNUMBER(SEARCH("yea",C505)),IFERROR(_xlfn.NUMBERVALUE(SUBSTITUTE(LEFT(TRIM(C505),FIND(" ",TRIM(C505)&amp;" ")-1),",","."),"."),LEFT(SUBSTITUTE(LEFT(TRIM(C505),FIND(" ",TRIM(C505)&amp;" ")-1),",","."),FIND("/",SUBSTITUTE(LEFT(TRIM(C505),FIND(" ",TRIM(C505)&amp;" ")-1),",","."))-1)/MID(SUBSTITUTE(LEFT(TRIM(C505),FIND(" ",TRIM(C505)&amp;" ")-1),",","."),FIND("/",SUBSTITUTE(LEFT(TRIM(C505),FIND(" ",TRIM(C505)&amp;" ")-1),",","."))+1,9))*12,NA()))),0),12)*'Aturan &amp; Tarif'!$B$4,2)</f>
        <v>681.36</v>
      </c>
      <c r="K505" s="42" t="n">
        <f aca="false">'Aturan &amp; Tarif'!$B$5</f>
        <v>2050</v>
      </c>
      <c r="L505" s="42" t="n">
        <f aca="false">'Aturan &amp; Tarif'!$B$6</f>
        <v>350</v>
      </c>
      <c r="M505" s="35" t="n">
        <f aca="false">I505+J505+K505+L505</f>
        <v>13203.36</v>
      </c>
      <c r="N505" s="45" t="s">
        <v>1708</v>
      </c>
    </row>
    <row r="506" customFormat="false" ht="60" hidden="false" customHeight="true" outlineLevel="0" collapsed="false">
      <c r="A506" s="39"/>
      <c r="B506" s="40" t="s">
        <v>1709</v>
      </c>
      <c r="C506" s="41" t="s">
        <v>107</v>
      </c>
      <c r="D506" s="41" t="s">
        <v>439</v>
      </c>
      <c r="E506" s="42" t="n">
        <v>11695</v>
      </c>
      <c r="F506" s="42" t="n">
        <v>2300</v>
      </c>
      <c r="G506" s="42"/>
      <c r="H506" s="43" t="n">
        <v>1</v>
      </c>
      <c r="I506" s="34" t="n">
        <f aca="false">E506*H506+N(F506)+N(G506)</f>
        <v>13995</v>
      </c>
      <c r="J506" s="42" t="n">
        <f aca="false">ROUND(IFERROR(ROUND(IF(OR(ISNUMBER(SEARCH("week",C506)),ISNUMBER(SEARCH("minggu",C506))),IFERROR(_xlfn.NUMBERVALUE(SUBSTITUTE(LEFT(TRIM(C506),FIND(" ",TRIM(C506)&amp;" ")-1),",","."),"."),LEFT(SUBSTITUTE(LEFT(TRIM(C506),FIND(" ",TRIM(C506)&amp;" ")-1),",","."),FIND("/",SUBSTITUTE(LEFT(TRIM(C506),FIND(" ",TRIM(C506)&amp;" ")-1),",","."))-1)/MID(SUBSTITUTE(LEFT(TRIM(C506),FIND(" ",TRIM(C506)&amp;" ")-1),",","."),FIND("/",SUBSTITUTE(LEFT(TRIM(C506),FIND(" ",TRIM(C506)&amp;" ")-1),",","."))+1,9))*12/52,IF(ISNUMBER(SEARCH("month",C506)),IFERROR(_xlfn.NUMBERVALUE(SUBSTITUTE(LEFT(TRIM(C506),FIND(" ",TRIM(C506)&amp;" ")-1),",","."),"."),LEFT(SUBSTITUTE(LEFT(TRIM(C506),FIND(" ",TRIM(C506)&amp;" ")-1),",","."),FIND("/",SUBSTITUTE(LEFT(TRIM(C506),FIND(" ",TRIM(C506)&amp;" ")-1),",","."))-1)/MID(SUBSTITUTE(LEFT(TRIM(C506),FIND(" ",TRIM(C506)&amp;" ")-1),",","."),FIND("/",SUBSTITUTE(LEFT(TRIM(C506),FIND(" ",TRIM(C506)&amp;" ")-1),",","."))+1,9)),IF(ISNUMBER(SEARCH("yea",C506)),IFERROR(_xlfn.NUMBERVALUE(SUBSTITUTE(LEFT(TRIM(C506),FIND(" ",TRIM(C506)&amp;" ")-1),",","."),"."),LEFT(SUBSTITUTE(LEFT(TRIM(C506),FIND(" ",TRIM(C506)&amp;" ")-1),",","."),FIND("/",SUBSTITUTE(LEFT(TRIM(C506),FIND(" ",TRIM(C506)&amp;" ")-1),",","."))-1)/MID(SUBSTITUTE(LEFT(TRIM(C506),FIND(" ",TRIM(C506)&amp;" ")-1),",","."),FIND("/",SUBSTITUTE(LEFT(TRIM(C506),FIND(" ",TRIM(C506)&amp;" ")-1),",","."))+1,9))*12,NA()))),0),24)*'Aturan &amp; Tarif'!$B$4,2)</f>
        <v>1362.72</v>
      </c>
      <c r="K506" s="42" t="n">
        <f aca="false">'Aturan &amp; Tarif'!$B$5</f>
        <v>2050</v>
      </c>
      <c r="L506" s="42" t="n">
        <f aca="false">'Aturan &amp; Tarif'!$B$6</f>
        <v>350</v>
      </c>
      <c r="M506" s="35" t="n">
        <f aca="false">I506+J506+K506+L506</f>
        <v>17757.72</v>
      </c>
      <c r="N506" s="44" t="s">
        <v>1710</v>
      </c>
    </row>
    <row r="507" customFormat="false" ht="72" hidden="false" customHeight="true" outlineLevel="0" collapsed="false">
      <c r="A507" s="39"/>
      <c r="B507" s="40" t="s">
        <v>1145</v>
      </c>
      <c r="C507" s="41" t="s">
        <v>107</v>
      </c>
      <c r="D507" s="41" t="s">
        <v>108</v>
      </c>
      <c r="E507" s="42" t="n">
        <v>9544</v>
      </c>
      <c r="F507" s="42" t="n">
        <v>1500</v>
      </c>
      <c r="G507" s="42"/>
      <c r="H507" s="43" t="n">
        <v>2</v>
      </c>
      <c r="I507" s="34" t="n">
        <f aca="false">E507*H507+N(F507)+N(G507)</f>
        <v>20588</v>
      </c>
      <c r="J507" s="42" t="n">
        <f aca="false">ROUND(IFERROR(ROUND(IF(OR(ISNUMBER(SEARCH("week",C507)),ISNUMBER(SEARCH("minggu",C507))),IFERROR(_xlfn.NUMBERVALUE(SUBSTITUTE(LEFT(TRIM(C507),FIND(" ",TRIM(C507)&amp;" ")-1),",","."),"."),LEFT(SUBSTITUTE(LEFT(TRIM(C507),FIND(" ",TRIM(C507)&amp;" ")-1),",","."),FIND("/",SUBSTITUTE(LEFT(TRIM(C507),FIND(" ",TRIM(C507)&amp;" ")-1),",","."))-1)/MID(SUBSTITUTE(LEFT(TRIM(C507),FIND(" ",TRIM(C507)&amp;" ")-1),",","."),FIND("/",SUBSTITUTE(LEFT(TRIM(C507),FIND(" ",TRIM(C507)&amp;" ")-1),",","."))+1,9))*12/52,IF(ISNUMBER(SEARCH("month",C507)),IFERROR(_xlfn.NUMBERVALUE(SUBSTITUTE(LEFT(TRIM(C507),FIND(" ",TRIM(C507)&amp;" ")-1),",","."),"."),LEFT(SUBSTITUTE(LEFT(TRIM(C507),FIND(" ",TRIM(C507)&amp;" ")-1),",","."),FIND("/",SUBSTITUTE(LEFT(TRIM(C507),FIND(" ",TRIM(C507)&amp;" ")-1),",","."))-1)/MID(SUBSTITUTE(LEFT(TRIM(C507),FIND(" ",TRIM(C507)&amp;" ")-1),",","."),FIND("/",SUBSTITUTE(LEFT(TRIM(C507),FIND(" ",TRIM(C507)&amp;" ")-1),",","."))+1,9)),IF(ISNUMBER(SEARCH("yea",C507)),IFERROR(_xlfn.NUMBERVALUE(SUBSTITUTE(LEFT(TRIM(C507),FIND(" ",TRIM(C507)&amp;" ")-1),",","."),"."),LEFT(SUBSTITUTE(LEFT(TRIM(C507),FIND(" ",TRIM(C507)&amp;" ")-1),",","."),FIND("/",SUBSTITUTE(LEFT(TRIM(C507),FIND(" ",TRIM(C507)&amp;" ")-1),",","."))-1)/MID(SUBSTITUTE(LEFT(TRIM(C507),FIND(" ",TRIM(C507)&amp;" ")-1),",","."),FIND("/",SUBSTITUTE(LEFT(TRIM(C507),FIND(" ",TRIM(C507)&amp;" ")-1),",","."))+1,9))*12,NA()))),0),24)*'Aturan &amp; Tarif'!$B$4,2)</f>
        <v>1362.72</v>
      </c>
      <c r="K507" s="42" t="n">
        <f aca="false">'Aturan &amp; Tarif'!$B$5</f>
        <v>2050</v>
      </c>
      <c r="L507" s="42" t="n">
        <f aca="false">'Aturan &amp; Tarif'!$B$6</f>
        <v>350</v>
      </c>
      <c r="M507" s="35" t="n">
        <f aca="false">I507+J507+K507+L507</f>
        <v>24350.72</v>
      </c>
      <c r="N507" s="44" t="s">
        <v>1711</v>
      </c>
    </row>
    <row r="508" customFormat="false" ht="60" hidden="false" customHeight="true" outlineLevel="0" collapsed="false">
      <c r="A508" s="39"/>
      <c r="B508" s="40" t="s">
        <v>1712</v>
      </c>
      <c r="C508" s="41" t="s">
        <v>107</v>
      </c>
      <c r="D508" s="41" t="s">
        <v>439</v>
      </c>
      <c r="E508" s="42" t="n">
        <v>19631</v>
      </c>
      <c r="F508" s="42" t="n">
        <v>10000</v>
      </c>
      <c r="G508" s="42"/>
      <c r="H508" s="43" t="n">
        <v>1</v>
      </c>
      <c r="I508" s="34" t="n">
        <f aca="false">E508*H508+N(F508)+N(G508)</f>
        <v>29631</v>
      </c>
      <c r="J508" s="42" t="n">
        <f aca="false">ROUND(IFERROR(ROUND(IF(OR(ISNUMBER(SEARCH("week",C508)),ISNUMBER(SEARCH("minggu",C508))),IFERROR(_xlfn.NUMBERVALUE(SUBSTITUTE(LEFT(TRIM(C508),FIND(" ",TRIM(C508)&amp;" ")-1),",","."),"."),LEFT(SUBSTITUTE(LEFT(TRIM(C508),FIND(" ",TRIM(C508)&amp;" ")-1),",","."),FIND("/",SUBSTITUTE(LEFT(TRIM(C508),FIND(" ",TRIM(C508)&amp;" ")-1),",","."))-1)/MID(SUBSTITUTE(LEFT(TRIM(C508),FIND(" ",TRIM(C508)&amp;" ")-1),",","."),FIND("/",SUBSTITUTE(LEFT(TRIM(C508),FIND(" ",TRIM(C508)&amp;" ")-1),",","."))+1,9))*12/52,IF(ISNUMBER(SEARCH("month",C508)),IFERROR(_xlfn.NUMBERVALUE(SUBSTITUTE(LEFT(TRIM(C508),FIND(" ",TRIM(C508)&amp;" ")-1),",","."),"."),LEFT(SUBSTITUTE(LEFT(TRIM(C508),FIND(" ",TRIM(C508)&amp;" ")-1),",","."),FIND("/",SUBSTITUTE(LEFT(TRIM(C508),FIND(" ",TRIM(C508)&amp;" ")-1),",","."))-1)/MID(SUBSTITUTE(LEFT(TRIM(C508),FIND(" ",TRIM(C508)&amp;" ")-1),",","."),FIND("/",SUBSTITUTE(LEFT(TRIM(C508),FIND(" ",TRIM(C508)&amp;" ")-1),",","."))+1,9)),IF(ISNUMBER(SEARCH("yea",C508)),IFERROR(_xlfn.NUMBERVALUE(SUBSTITUTE(LEFT(TRIM(C508),FIND(" ",TRIM(C508)&amp;" ")-1),",","."),"."),LEFT(SUBSTITUTE(LEFT(TRIM(C508),FIND(" ",TRIM(C508)&amp;" ")-1),",","."),FIND("/",SUBSTITUTE(LEFT(TRIM(C508),FIND(" ",TRIM(C508)&amp;" ")-1),",","."))-1)/MID(SUBSTITUTE(LEFT(TRIM(C508),FIND(" ",TRIM(C508)&amp;" ")-1),",","."),FIND("/",SUBSTITUTE(LEFT(TRIM(C508),FIND(" ",TRIM(C508)&amp;" ")-1),",","."))+1,9))*12,NA()))),0),24)*'Aturan &amp; Tarif'!$B$4,2)</f>
        <v>1362.72</v>
      </c>
      <c r="K508" s="42" t="n">
        <f aca="false">'Aturan &amp; Tarif'!$B$5</f>
        <v>2050</v>
      </c>
      <c r="L508" s="42" t="n">
        <f aca="false">'Aturan &amp; Tarif'!$B$6</f>
        <v>350</v>
      </c>
      <c r="M508" s="35" t="n">
        <f aca="false">I508+J508+K508+L508</f>
        <v>33393.72</v>
      </c>
      <c r="N508" s="44" t="s">
        <v>1713</v>
      </c>
    </row>
    <row r="509" customFormat="false" ht="14.25" hidden="false" customHeight="true" outlineLevel="0" collapsed="false">
      <c r="A509" s="39"/>
      <c r="B509" s="40" t="s">
        <v>990</v>
      </c>
      <c r="C509" s="41" t="s">
        <v>130</v>
      </c>
      <c r="D509" s="41" t="s">
        <v>108</v>
      </c>
      <c r="E509" s="42" t="n">
        <v>4375</v>
      </c>
      <c r="F509" s="42" t="n">
        <v>1065</v>
      </c>
      <c r="G509" s="42"/>
      <c r="H509" s="43" t="n">
        <v>2</v>
      </c>
      <c r="I509" s="34" t="n">
        <f aca="false">E509*H509+N(F509)+N(G509)</f>
        <v>9815</v>
      </c>
      <c r="J509" s="42" t="n">
        <f aca="false">ROUND(IFERROR(ROUND(IF(OR(ISNUMBER(SEARCH("week",C509)),ISNUMBER(SEARCH("minggu",C509))),IFERROR(_xlfn.NUMBERVALUE(SUBSTITUTE(LEFT(TRIM(C509),FIND(" ",TRIM(C509)&amp;" ")-1),",","."),"."),LEFT(SUBSTITUTE(LEFT(TRIM(C509),FIND(" ",TRIM(C509)&amp;" ")-1),",","."),FIND("/",SUBSTITUTE(LEFT(TRIM(C509),FIND(" ",TRIM(C509)&amp;" ")-1),",","."))-1)/MID(SUBSTITUTE(LEFT(TRIM(C509),FIND(" ",TRIM(C509)&amp;" ")-1),",","."),FIND("/",SUBSTITUTE(LEFT(TRIM(C509),FIND(" ",TRIM(C509)&amp;" ")-1),",","."))+1,9))*12/52,IF(ISNUMBER(SEARCH("month",C509)),IFERROR(_xlfn.NUMBERVALUE(SUBSTITUTE(LEFT(TRIM(C509),FIND(" ",TRIM(C509)&amp;" ")-1),",","."),"."),LEFT(SUBSTITUTE(LEFT(TRIM(C509),FIND(" ",TRIM(C509)&amp;" ")-1),",","."),FIND("/",SUBSTITUTE(LEFT(TRIM(C509),FIND(" ",TRIM(C509)&amp;" ")-1),",","."))-1)/MID(SUBSTITUTE(LEFT(TRIM(C509),FIND(" ",TRIM(C509)&amp;" ")-1),",","."),FIND("/",SUBSTITUTE(LEFT(TRIM(C509),FIND(" ",TRIM(C509)&amp;" ")-1),",","."))+1,9)),IF(ISNUMBER(SEARCH("yea",C509)),IFERROR(_xlfn.NUMBERVALUE(SUBSTITUTE(LEFT(TRIM(C509),FIND(" ",TRIM(C509)&amp;" ")-1),",","."),"."),LEFT(SUBSTITUTE(LEFT(TRIM(C509),FIND(" ",TRIM(C509)&amp;" ")-1),",","."),FIND("/",SUBSTITUTE(LEFT(TRIM(C509),FIND(" ",TRIM(C509)&amp;" ")-1),",","."))-1)/MID(SUBSTITUTE(LEFT(TRIM(C509),FIND(" ",TRIM(C509)&amp;" ")-1),",","."),FIND("/",SUBSTITUTE(LEFT(TRIM(C509),FIND(" ",TRIM(C509)&amp;" ")-1),",","."))+1,9))*12,NA()))),0),12)*'Aturan &amp; Tarif'!$B$4,2)</f>
        <v>681.36</v>
      </c>
      <c r="K509" s="42" t="n">
        <f aca="false">'Aturan &amp; Tarif'!$B$5</f>
        <v>2050</v>
      </c>
      <c r="L509" s="42" t="n">
        <f aca="false">'Aturan &amp; Tarif'!$B$6</f>
        <v>350</v>
      </c>
      <c r="M509" s="35" t="n">
        <f aca="false">I509+J509+K509+L509</f>
        <v>12896.36</v>
      </c>
      <c r="N509" s="45" t="s">
        <v>1714</v>
      </c>
    </row>
    <row r="510" customFormat="false" ht="14.25" hidden="false" customHeight="true" outlineLevel="0" collapsed="false">
      <c r="A510" s="39"/>
      <c r="B510" s="40" t="s">
        <v>1715</v>
      </c>
      <c r="C510" s="41" t="s">
        <v>344</v>
      </c>
      <c r="D510" s="41" t="s">
        <v>439</v>
      </c>
      <c r="E510" s="42" t="n">
        <v>8130</v>
      </c>
      <c r="F510" s="42" t="n">
        <v>85</v>
      </c>
      <c r="G510" s="42"/>
      <c r="H510" s="43" t="n">
        <v>1</v>
      </c>
      <c r="I510" s="34" t="n">
        <f aca="false">E510*H510+N(F510)+N(G510)</f>
        <v>8215</v>
      </c>
      <c r="J510" s="42" t="n">
        <f aca="false">ROUND(IFERROR(ROUND(IF(OR(ISNUMBER(SEARCH("week",C510)),ISNUMBER(SEARCH("minggu",C510))),IFERROR(_xlfn.NUMBERVALUE(SUBSTITUTE(LEFT(TRIM(C510),FIND(" ",TRIM(C510)&amp;" ")-1),",","."),"."),LEFT(SUBSTITUTE(LEFT(TRIM(C510),FIND(" ",TRIM(C510)&amp;" ")-1),",","."),FIND("/",SUBSTITUTE(LEFT(TRIM(C510),FIND(" ",TRIM(C510)&amp;" ")-1),",","."))-1)/MID(SUBSTITUTE(LEFT(TRIM(C510),FIND(" ",TRIM(C510)&amp;" ")-1),",","."),FIND("/",SUBSTITUTE(LEFT(TRIM(C510),FIND(" ",TRIM(C510)&amp;" ")-1),",","."))+1,9))*12/52,IF(ISNUMBER(SEARCH("month",C510)),IFERROR(_xlfn.NUMBERVALUE(SUBSTITUTE(LEFT(TRIM(C510),FIND(" ",TRIM(C510)&amp;" ")-1),",","."),"."),LEFT(SUBSTITUTE(LEFT(TRIM(C510),FIND(" ",TRIM(C510)&amp;" ")-1),",","."),FIND("/",SUBSTITUTE(LEFT(TRIM(C510),FIND(" ",TRIM(C510)&amp;" ")-1),",","."))-1)/MID(SUBSTITUTE(LEFT(TRIM(C510),FIND(" ",TRIM(C510)&amp;" ")-1),",","."),FIND("/",SUBSTITUTE(LEFT(TRIM(C510),FIND(" ",TRIM(C510)&amp;" ")-1),",","."))+1,9)),IF(ISNUMBER(SEARCH("yea",C510)),IFERROR(_xlfn.NUMBERVALUE(SUBSTITUTE(LEFT(TRIM(C510),FIND(" ",TRIM(C510)&amp;" ")-1),",","."),"."),LEFT(SUBSTITUTE(LEFT(TRIM(C510),FIND(" ",TRIM(C510)&amp;" ")-1),",","."),FIND("/",SUBSTITUTE(LEFT(TRIM(C510),FIND(" ",TRIM(C510)&amp;" ")-1),",","."))-1)/MID(SUBSTITUTE(LEFT(TRIM(C510),FIND(" ",TRIM(C510)&amp;" ")-1),",","."),FIND("/",SUBSTITUTE(LEFT(TRIM(C510),FIND(" ",TRIM(C510)&amp;" ")-1),",","."))+1,9))*12,NA()))),0),6)*'Aturan &amp; Tarif'!$B$4,2)</f>
        <v>340.68</v>
      </c>
      <c r="K510" s="42" t="n">
        <f aca="false">'Aturan &amp; Tarif'!$B$5</f>
        <v>2050</v>
      </c>
      <c r="L510" s="42" t="n">
        <f aca="false">'Aturan &amp; Tarif'!$B$6</f>
        <v>350</v>
      </c>
      <c r="M510" s="35" t="n">
        <f aca="false">I510+J510+K510+L510</f>
        <v>10955.68</v>
      </c>
      <c r="N510" s="45" t="s">
        <v>1716</v>
      </c>
    </row>
    <row r="511" customFormat="false" ht="14.25" hidden="false" customHeight="true" outlineLevel="0" collapsed="false">
      <c r="A511" s="39"/>
      <c r="B511" s="40" t="s">
        <v>1717</v>
      </c>
      <c r="C511" s="41" t="s">
        <v>344</v>
      </c>
      <c r="D511" s="41" t="s">
        <v>108</v>
      </c>
      <c r="E511" s="42" t="n">
        <v>4343</v>
      </c>
      <c r="F511" s="42" t="n">
        <v>235</v>
      </c>
      <c r="G511" s="42"/>
      <c r="H511" s="43" t="n">
        <v>2</v>
      </c>
      <c r="I511" s="34" t="n">
        <f aca="false">E511*H511+N(F511)+N(G511)</f>
        <v>8921</v>
      </c>
      <c r="J511" s="42" t="n">
        <f aca="false">ROUND(IFERROR(ROUND(IF(OR(ISNUMBER(SEARCH("week",C511)),ISNUMBER(SEARCH("minggu",C511))),IFERROR(_xlfn.NUMBERVALUE(SUBSTITUTE(LEFT(TRIM(C511),FIND(" ",TRIM(C511)&amp;" ")-1),",","."),"."),LEFT(SUBSTITUTE(LEFT(TRIM(C511),FIND(" ",TRIM(C511)&amp;" ")-1),",","."),FIND("/",SUBSTITUTE(LEFT(TRIM(C511),FIND(" ",TRIM(C511)&amp;" ")-1),",","."))-1)/MID(SUBSTITUTE(LEFT(TRIM(C511),FIND(" ",TRIM(C511)&amp;" ")-1),",","."),FIND("/",SUBSTITUTE(LEFT(TRIM(C511),FIND(" ",TRIM(C511)&amp;" ")-1),",","."))+1,9))*12/52,IF(ISNUMBER(SEARCH("month",C511)),IFERROR(_xlfn.NUMBERVALUE(SUBSTITUTE(LEFT(TRIM(C511),FIND(" ",TRIM(C511)&amp;" ")-1),",","."),"."),LEFT(SUBSTITUTE(LEFT(TRIM(C511),FIND(" ",TRIM(C511)&amp;" ")-1),",","."),FIND("/",SUBSTITUTE(LEFT(TRIM(C511),FIND(" ",TRIM(C511)&amp;" ")-1),",","."))-1)/MID(SUBSTITUTE(LEFT(TRIM(C511),FIND(" ",TRIM(C511)&amp;" ")-1),",","."),FIND("/",SUBSTITUTE(LEFT(TRIM(C511),FIND(" ",TRIM(C511)&amp;" ")-1),",","."))+1,9)),IF(ISNUMBER(SEARCH("yea",C511)),IFERROR(_xlfn.NUMBERVALUE(SUBSTITUTE(LEFT(TRIM(C511),FIND(" ",TRIM(C511)&amp;" ")-1),",","."),"."),LEFT(SUBSTITUTE(LEFT(TRIM(C511),FIND(" ",TRIM(C511)&amp;" ")-1),",","."),FIND("/",SUBSTITUTE(LEFT(TRIM(C511),FIND(" ",TRIM(C511)&amp;" ")-1),",","."))-1)/MID(SUBSTITUTE(LEFT(TRIM(C511),FIND(" ",TRIM(C511)&amp;" ")-1),",","."),FIND("/",SUBSTITUTE(LEFT(TRIM(C511),FIND(" ",TRIM(C511)&amp;" ")-1),",","."))+1,9))*12,NA()))),0),6)*'Aturan &amp; Tarif'!$B$4,2)</f>
        <v>340.68</v>
      </c>
      <c r="K511" s="42" t="n">
        <f aca="false">'Aturan &amp; Tarif'!$B$5</f>
        <v>2050</v>
      </c>
      <c r="L511" s="42" t="n">
        <f aca="false">'Aturan &amp; Tarif'!$B$6</f>
        <v>350</v>
      </c>
      <c r="M511" s="35" t="n">
        <f aca="false">I511+J511+K511+L511</f>
        <v>11661.68</v>
      </c>
      <c r="N511" s="45" t="s">
        <v>1718</v>
      </c>
    </row>
    <row r="512" customFormat="false" ht="14.25" hidden="false" customHeight="true" outlineLevel="0" collapsed="false">
      <c r="A512" s="39"/>
      <c r="B512" s="40" t="s">
        <v>1719</v>
      </c>
      <c r="C512" s="41" t="s">
        <v>130</v>
      </c>
      <c r="D512" s="41" t="s">
        <v>108</v>
      </c>
      <c r="E512" s="42" t="n">
        <v>3046</v>
      </c>
      <c r="F512" s="42" t="n">
        <v>90</v>
      </c>
      <c r="G512" s="42"/>
      <c r="H512" s="43" t="n">
        <v>2</v>
      </c>
      <c r="I512" s="34" t="n">
        <f aca="false">E512*H512+N(F512)+N(G512)</f>
        <v>6182</v>
      </c>
      <c r="J512" s="42" t="n">
        <f aca="false">ROUND(IFERROR(ROUND(IF(OR(ISNUMBER(SEARCH("week",C512)),ISNUMBER(SEARCH("minggu",C512))),IFERROR(_xlfn.NUMBERVALUE(SUBSTITUTE(LEFT(TRIM(C512),FIND(" ",TRIM(C512)&amp;" ")-1),",","."),"."),LEFT(SUBSTITUTE(LEFT(TRIM(C512),FIND(" ",TRIM(C512)&amp;" ")-1),",","."),FIND("/",SUBSTITUTE(LEFT(TRIM(C512),FIND(" ",TRIM(C512)&amp;" ")-1),",","."))-1)/MID(SUBSTITUTE(LEFT(TRIM(C512),FIND(" ",TRIM(C512)&amp;" ")-1),",","."),FIND("/",SUBSTITUTE(LEFT(TRIM(C512),FIND(" ",TRIM(C512)&amp;" ")-1),",","."))+1,9))*12/52,IF(ISNUMBER(SEARCH("month",C512)),IFERROR(_xlfn.NUMBERVALUE(SUBSTITUTE(LEFT(TRIM(C512),FIND(" ",TRIM(C512)&amp;" ")-1),",","."),"."),LEFT(SUBSTITUTE(LEFT(TRIM(C512),FIND(" ",TRIM(C512)&amp;" ")-1),",","."),FIND("/",SUBSTITUTE(LEFT(TRIM(C512),FIND(" ",TRIM(C512)&amp;" ")-1),",","."))-1)/MID(SUBSTITUTE(LEFT(TRIM(C512),FIND(" ",TRIM(C512)&amp;" ")-1),",","."),FIND("/",SUBSTITUTE(LEFT(TRIM(C512),FIND(" ",TRIM(C512)&amp;" ")-1),",","."))+1,9)),IF(ISNUMBER(SEARCH("yea",C512)),IFERROR(_xlfn.NUMBERVALUE(SUBSTITUTE(LEFT(TRIM(C512),FIND(" ",TRIM(C512)&amp;" ")-1),",","."),"."),LEFT(SUBSTITUTE(LEFT(TRIM(C512),FIND(" ",TRIM(C512)&amp;" ")-1),",","."),FIND("/",SUBSTITUTE(LEFT(TRIM(C512),FIND(" ",TRIM(C512)&amp;" ")-1),",","."))-1)/MID(SUBSTITUTE(LEFT(TRIM(C512),FIND(" ",TRIM(C512)&amp;" ")-1),",","."),FIND("/",SUBSTITUTE(LEFT(TRIM(C512),FIND(" ",TRIM(C512)&amp;" ")-1),",","."))+1,9))*12,NA()))),0),12)*'Aturan &amp; Tarif'!$B$4,2)</f>
        <v>681.36</v>
      </c>
      <c r="K512" s="42" t="n">
        <f aca="false">'Aturan &amp; Tarif'!$B$5</f>
        <v>2050</v>
      </c>
      <c r="L512" s="42" t="n">
        <f aca="false">'Aturan &amp; Tarif'!$B$6</f>
        <v>350</v>
      </c>
      <c r="M512" s="35" t="n">
        <f aca="false">I512+J512+K512+L512</f>
        <v>9263.36</v>
      </c>
      <c r="N512" s="45" t="s">
        <v>1720</v>
      </c>
    </row>
    <row r="513" customFormat="false" ht="14.25" hidden="false" customHeight="true" outlineLevel="0" collapsed="false">
      <c r="A513" s="39"/>
      <c r="B513" s="40" t="s">
        <v>983</v>
      </c>
      <c r="C513" s="41" t="s">
        <v>130</v>
      </c>
      <c r="D513" s="41" t="s">
        <v>439</v>
      </c>
      <c r="E513" s="42" t="n">
        <v>8750</v>
      </c>
      <c r="F513" s="42" t="n">
        <v>1065</v>
      </c>
      <c r="G513" s="42"/>
      <c r="H513" s="43" t="n">
        <v>1</v>
      </c>
      <c r="I513" s="34" t="n">
        <f aca="false">E513*H513+N(F513)+N(G513)</f>
        <v>9815</v>
      </c>
      <c r="J513" s="42" t="n">
        <f aca="false">ROUND(IFERROR(ROUND(IF(OR(ISNUMBER(SEARCH("week",C513)),ISNUMBER(SEARCH("minggu",C513))),IFERROR(_xlfn.NUMBERVALUE(SUBSTITUTE(LEFT(TRIM(C513),FIND(" ",TRIM(C513)&amp;" ")-1),",","."),"."),LEFT(SUBSTITUTE(LEFT(TRIM(C513),FIND(" ",TRIM(C513)&amp;" ")-1),",","."),FIND("/",SUBSTITUTE(LEFT(TRIM(C513),FIND(" ",TRIM(C513)&amp;" ")-1),",","."))-1)/MID(SUBSTITUTE(LEFT(TRIM(C513),FIND(" ",TRIM(C513)&amp;" ")-1),",","."),FIND("/",SUBSTITUTE(LEFT(TRIM(C513),FIND(" ",TRIM(C513)&amp;" ")-1),",","."))+1,9))*12/52,IF(ISNUMBER(SEARCH("month",C513)),IFERROR(_xlfn.NUMBERVALUE(SUBSTITUTE(LEFT(TRIM(C513),FIND(" ",TRIM(C513)&amp;" ")-1),",","."),"."),LEFT(SUBSTITUTE(LEFT(TRIM(C513),FIND(" ",TRIM(C513)&amp;" ")-1),",","."),FIND("/",SUBSTITUTE(LEFT(TRIM(C513),FIND(" ",TRIM(C513)&amp;" ")-1),",","."))-1)/MID(SUBSTITUTE(LEFT(TRIM(C513),FIND(" ",TRIM(C513)&amp;" ")-1),",","."),FIND("/",SUBSTITUTE(LEFT(TRIM(C513),FIND(" ",TRIM(C513)&amp;" ")-1),",","."))+1,9)),IF(ISNUMBER(SEARCH("yea",C513)),IFERROR(_xlfn.NUMBERVALUE(SUBSTITUTE(LEFT(TRIM(C513),FIND(" ",TRIM(C513)&amp;" ")-1),",","."),"."),LEFT(SUBSTITUTE(LEFT(TRIM(C513),FIND(" ",TRIM(C513)&amp;" ")-1),",","."),FIND("/",SUBSTITUTE(LEFT(TRIM(C513),FIND(" ",TRIM(C513)&amp;" ")-1),",","."))-1)/MID(SUBSTITUTE(LEFT(TRIM(C513),FIND(" ",TRIM(C513)&amp;" ")-1),",","."),FIND("/",SUBSTITUTE(LEFT(TRIM(C513),FIND(" ",TRIM(C513)&amp;" ")-1),",","."))+1,9))*12,NA()))),0),12)*'Aturan &amp; Tarif'!$B$4,2)</f>
        <v>681.36</v>
      </c>
      <c r="K513" s="42" t="n">
        <f aca="false">'Aturan &amp; Tarif'!$B$5</f>
        <v>2050</v>
      </c>
      <c r="L513" s="42" t="n">
        <f aca="false">'Aturan &amp; Tarif'!$B$6</f>
        <v>350</v>
      </c>
      <c r="M513" s="35" t="n">
        <f aca="false">I513+J513+K513+L513</f>
        <v>12896.36</v>
      </c>
      <c r="N513" s="45" t="s">
        <v>1721</v>
      </c>
    </row>
    <row r="514" customFormat="false" ht="14.25" hidden="false" customHeight="true" outlineLevel="0" collapsed="false">
      <c r="A514" s="39"/>
      <c r="B514" s="40" t="s">
        <v>992</v>
      </c>
      <c r="C514" s="41" t="s">
        <v>344</v>
      </c>
      <c r="D514" s="41" t="s">
        <v>439</v>
      </c>
      <c r="E514" s="42" t="n">
        <v>13025</v>
      </c>
      <c r="F514" s="42" t="n">
        <v>500</v>
      </c>
      <c r="G514" s="42"/>
      <c r="H514" s="43" t="n">
        <v>1</v>
      </c>
      <c r="I514" s="34" t="n">
        <f aca="false">E514*H514+N(F514)+N(G514)</f>
        <v>13525</v>
      </c>
      <c r="J514" s="42" t="n">
        <f aca="false">ROUND(IFERROR(ROUND(IF(OR(ISNUMBER(SEARCH("week",C514)),ISNUMBER(SEARCH("minggu",C514))),IFERROR(_xlfn.NUMBERVALUE(SUBSTITUTE(LEFT(TRIM(C514),FIND(" ",TRIM(C514)&amp;" ")-1),",","."),"."),LEFT(SUBSTITUTE(LEFT(TRIM(C514),FIND(" ",TRIM(C514)&amp;" ")-1),",","."),FIND("/",SUBSTITUTE(LEFT(TRIM(C514),FIND(" ",TRIM(C514)&amp;" ")-1),",","."))-1)/MID(SUBSTITUTE(LEFT(TRIM(C514),FIND(" ",TRIM(C514)&amp;" ")-1),",","."),FIND("/",SUBSTITUTE(LEFT(TRIM(C514),FIND(" ",TRIM(C514)&amp;" ")-1),",","."))+1,9))*12/52,IF(ISNUMBER(SEARCH("month",C514)),IFERROR(_xlfn.NUMBERVALUE(SUBSTITUTE(LEFT(TRIM(C514),FIND(" ",TRIM(C514)&amp;" ")-1),",","."),"."),LEFT(SUBSTITUTE(LEFT(TRIM(C514),FIND(" ",TRIM(C514)&amp;" ")-1),",","."),FIND("/",SUBSTITUTE(LEFT(TRIM(C514),FIND(" ",TRIM(C514)&amp;" ")-1),",","."))-1)/MID(SUBSTITUTE(LEFT(TRIM(C514),FIND(" ",TRIM(C514)&amp;" ")-1),",","."),FIND("/",SUBSTITUTE(LEFT(TRIM(C514),FIND(" ",TRIM(C514)&amp;" ")-1),",","."))+1,9)),IF(ISNUMBER(SEARCH("yea",C514)),IFERROR(_xlfn.NUMBERVALUE(SUBSTITUTE(LEFT(TRIM(C514),FIND(" ",TRIM(C514)&amp;" ")-1),",","."),"."),LEFT(SUBSTITUTE(LEFT(TRIM(C514),FIND(" ",TRIM(C514)&amp;" ")-1),",","."),FIND("/",SUBSTITUTE(LEFT(TRIM(C514),FIND(" ",TRIM(C514)&amp;" ")-1),",","."))-1)/MID(SUBSTITUTE(LEFT(TRIM(C514),FIND(" ",TRIM(C514)&amp;" ")-1),",","."),FIND("/",SUBSTITUTE(LEFT(TRIM(C514),FIND(" ",TRIM(C514)&amp;" ")-1),",","."))+1,9))*12,NA()))),0),6)*'Aturan &amp; Tarif'!$B$4,2)</f>
        <v>340.68</v>
      </c>
      <c r="K514" s="42" t="n">
        <f aca="false">'Aturan &amp; Tarif'!$B$5</f>
        <v>2050</v>
      </c>
      <c r="L514" s="42" t="n">
        <f aca="false">'Aturan &amp; Tarif'!$B$6</f>
        <v>350</v>
      </c>
      <c r="M514" s="35" t="n">
        <f aca="false">I514+J514+K514+L514</f>
        <v>16265.68</v>
      </c>
      <c r="N514" s="45" t="s">
        <v>1722</v>
      </c>
    </row>
    <row r="515" customFormat="false" ht="14.25" hidden="false" customHeight="true" outlineLevel="0" collapsed="false">
      <c r="A515" s="39"/>
      <c r="B515" s="40" t="s">
        <v>1723</v>
      </c>
      <c r="C515" s="41" t="s">
        <v>344</v>
      </c>
      <c r="D515" s="41" t="s">
        <v>108</v>
      </c>
      <c r="E515" s="42" t="n">
        <v>4895</v>
      </c>
      <c r="F515" s="42" t="n">
        <v>40</v>
      </c>
      <c r="G515" s="42"/>
      <c r="H515" s="43" t="n">
        <v>2</v>
      </c>
      <c r="I515" s="34" t="n">
        <f aca="false">E515*H515+N(F515)+N(G515)</f>
        <v>9830</v>
      </c>
      <c r="J515" s="42" t="n">
        <f aca="false">ROUND(IFERROR(ROUND(IF(OR(ISNUMBER(SEARCH("week",C515)),ISNUMBER(SEARCH("minggu",C515))),IFERROR(_xlfn.NUMBERVALUE(SUBSTITUTE(LEFT(TRIM(C515),FIND(" ",TRIM(C515)&amp;" ")-1),",","."),"."),LEFT(SUBSTITUTE(LEFT(TRIM(C515),FIND(" ",TRIM(C515)&amp;" ")-1),",","."),FIND("/",SUBSTITUTE(LEFT(TRIM(C515),FIND(" ",TRIM(C515)&amp;" ")-1),",","."))-1)/MID(SUBSTITUTE(LEFT(TRIM(C515),FIND(" ",TRIM(C515)&amp;" ")-1),",","."),FIND("/",SUBSTITUTE(LEFT(TRIM(C515),FIND(" ",TRIM(C515)&amp;" ")-1),",","."))+1,9))*12/52,IF(ISNUMBER(SEARCH("month",C515)),IFERROR(_xlfn.NUMBERVALUE(SUBSTITUTE(LEFT(TRIM(C515),FIND(" ",TRIM(C515)&amp;" ")-1),",","."),"."),LEFT(SUBSTITUTE(LEFT(TRIM(C515),FIND(" ",TRIM(C515)&amp;" ")-1),",","."),FIND("/",SUBSTITUTE(LEFT(TRIM(C515),FIND(" ",TRIM(C515)&amp;" ")-1),",","."))-1)/MID(SUBSTITUTE(LEFT(TRIM(C515),FIND(" ",TRIM(C515)&amp;" ")-1),",","."),FIND("/",SUBSTITUTE(LEFT(TRIM(C515),FIND(" ",TRIM(C515)&amp;" ")-1),",","."))+1,9)),IF(ISNUMBER(SEARCH("yea",C515)),IFERROR(_xlfn.NUMBERVALUE(SUBSTITUTE(LEFT(TRIM(C515),FIND(" ",TRIM(C515)&amp;" ")-1),",","."),"."),LEFT(SUBSTITUTE(LEFT(TRIM(C515),FIND(" ",TRIM(C515)&amp;" ")-1),",","."),FIND("/",SUBSTITUTE(LEFT(TRIM(C515),FIND(" ",TRIM(C515)&amp;" ")-1),",","."))-1)/MID(SUBSTITUTE(LEFT(TRIM(C515),FIND(" ",TRIM(C515)&amp;" ")-1),",","."),FIND("/",SUBSTITUTE(LEFT(TRIM(C515),FIND(" ",TRIM(C515)&amp;" ")-1),",","."))+1,9))*12,NA()))),0),6)*'Aturan &amp; Tarif'!$B$4,2)</f>
        <v>340.68</v>
      </c>
      <c r="K515" s="42" t="n">
        <f aca="false">'Aturan &amp; Tarif'!$B$5</f>
        <v>2050</v>
      </c>
      <c r="L515" s="42" t="n">
        <f aca="false">'Aturan &amp; Tarif'!$B$6</f>
        <v>350</v>
      </c>
      <c r="M515" s="35" t="n">
        <f aca="false">I515+J515+K515+L515</f>
        <v>12570.68</v>
      </c>
      <c r="N515" s="45" t="s">
        <v>1724</v>
      </c>
    </row>
    <row r="516" customFormat="false" ht="14.25" hidden="false" customHeight="true" outlineLevel="0" collapsed="false">
      <c r="A516" s="39"/>
      <c r="B516" s="40" t="s">
        <v>985</v>
      </c>
      <c r="C516" s="41" t="s">
        <v>344</v>
      </c>
      <c r="D516" s="41" t="s">
        <v>439</v>
      </c>
      <c r="E516" s="42" t="n">
        <v>12435</v>
      </c>
      <c r="F516" s="42" t="n">
        <v>515</v>
      </c>
      <c r="G516" s="42"/>
      <c r="H516" s="43" t="n">
        <v>1</v>
      </c>
      <c r="I516" s="34" t="n">
        <f aca="false">E516*H516+N(F516)+N(G516)</f>
        <v>12950</v>
      </c>
      <c r="J516" s="42" t="n">
        <f aca="false">ROUND(IFERROR(ROUND(IF(OR(ISNUMBER(SEARCH("week",C516)),ISNUMBER(SEARCH("minggu",C516))),IFERROR(_xlfn.NUMBERVALUE(SUBSTITUTE(LEFT(TRIM(C516),FIND(" ",TRIM(C516)&amp;" ")-1),",","."),"."),LEFT(SUBSTITUTE(LEFT(TRIM(C516),FIND(" ",TRIM(C516)&amp;" ")-1),",","."),FIND("/",SUBSTITUTE(LEFT(TRIM(C516),FIND(" ",TRIM(C516)&amp;" ")-1),",","."))-1)/MID(SUBSTITUTE(LEFT(TRIM(C516),FIND(" ",TRIM(C516)&amp;" ")-1),",","."),FIND("/",SUBSTITUTE(LEFT(TRIM(C516),FIND(" ",TRIM(C516)&amp;" ")-1),",","."))+1,9))*12/52,IF(ISNUMBER(SEARCH("month",C516)),IFERROR(_xlfn.NUMBERVALUE(SUBSTITUTE(LEFT(TRIM(C516),FIND(" ",TRIM(C516)&amp;" ")-1),",","."),"."),LEFT(SUBSTITUTE(LEFT(TRIM(C516),FIND(" ",TRIM(C516)&amp;" ")-1),",","."),FIND("/",SUBSTITUTE(LEFT(TRIM(C516),FIND(" ",TRIM(C516)&amp;" ")-1),",","."))-1)/MID(SUBSTITUTE(LEFT(TRIM(C516),FIND(" ",TRIM(C516)&amp;" ")-1),",","."),FIND("/",SUBSTITUTE(LEFT(TRIM(C516),FIND(" ",TRIM(C516)&amp;" ")-1),",","."))+1,9)),IF(ISNUMBER(SEARCH("yea",C516)),IFERROR(_xlfn.NUMBERVALUE(SUBSTITUTE(LEFT(TRIM(C516),FIND(" ",TRIM(C516)&amp;" ")-1),",","."),"."),LEFT(SUBSTITUTE(LEFT(TRIM(C516),FIND(" ",TRIM(C516)&amp;" ")-1),",","."),FIND("/",SUBSTITUTE(LEFT(TRIM(C516),FIND(" ",TRIM(C516)&amp;" ")-1),",","."))-1)/MID(SUBSTITUTE(LEFT(TRIM(C516),FIND(" ",TRIM(C516)&amp;" ")-1),",","."),FIND("/",SUBSTITUTE(LEFT(TRIM(C516),FIND(" ",TRIM(C516)&amp;" ")-1),",","."))+1,9))*12,NA()))),0),6)*'Aturan &amp; Tarif'!$B$4,2)</f>
        <v>340.68</v>
      </c>
      <c r="K516" s="42" t="n">
        <f aca="false">'Aturan &amp; Tarif'!$B$5</f>
        <v>2050</v>
      </c>
      <c r="L516" s="42" t="n">
        <f aca="false">'Aturan &amp; Tarif'!$B$6</f>
        <v>350</v>
      </c>
      <c r="M516" s="35" t="n">
        <f aca="false">I516+J516+K516+L516</f>
        <v>15690.68</v>
      </c>
      <c r="N516" s="45" t="s">
        <v>1725</v>
      </c>
    </row>
    <row r="517" customFormat="false" ht="14.25" hidden="false" customHeight="true" outlineLevel="0" collapsed="false">
      <c r="A517" s="39"/>
      <c r="B517" s="40" t="s">
        <v>1726</v>
      </c>
      <c r="C517" s="41" t="s">
        <v>130</v>
      </c>
      <c r="D517" s="41" t="s">
        <v>439</v>
      </c>
      <c r="E517" s="42" t="n">
        <v>8127</v>
      </c>
      <c r="F517" s="42"/>
      <c r="G517" s="42"/>
      <c r="H517" s="43" t="n">
        <v>1</v>
      </c>
      <c r="I517" s="34" t="n">
        <f aca="false">E517*H517+N(F517)+N(G517)</f>
        <v>8127</v>
      </c>
      <c r="J517" s="42" t="n">
        <f aca="false">ROUND(IFERROR(ROUND(IF(OR(ISNUMBER(SEARCH("week",C517)),ISNUMBER(SEARCH("minggu",C517))),IFERROR(_xlfn.NUMBERVALUE(SUBSTITUTE(LEFT(TRIM(C517),FIND(" ",TRIM(C517)&amp;" ")-1),",","."),"."),LEFT(SUBSTITUTE(LEFT(TRIM(C517),FIND(" ",TRIM(C517)&amp;" ")-1),",","."),FIND("/",SUBSTITUTE(LEFT(TRIM(C517),FIND(" ",TRIM(C517)&amp;" ")-1),",","."))-1)/MID(SUBSTITUTE(LEFT(TRIM(C517),FIND(" ",TRIM(C517)&amp;" ")-1),",","."),FIND("/",SUBSTITUTE(LEFT(TRIM(C517),FIND(" ",TRIM(C517)&amp;" ")-1),",","."))+1,9))*12/52,IF(ISNUMBER(SEARCH("month",C517)),IFERROR(_xlfn.NUMBERVALUE(SUBSTITUTE(LEFT(TRIM(C517),FIND(" ",TRIM(C517)&amp;" ")-1),",","."),"."),LEFT(SUBSTITUTE(LEFT(TRIM(C517),FIND(" ",TRIM(C517)&amp;" ")-1),",","."),FIND("/",SUBSTITUTE(LEFT(TRIM(C517),FIND(" ",TRIM(C517)&amp;" ")-1),",","."))-1)/MID(SUBSTITUTE(LEFT(TRIM(C517),FIND(" ",TRIM(C517)&amp;" ")-1),",","."),FIND("/",SUBSTITUTE(LEFT(TRIM(C517),FIND(" ",TRIM(C517)&amp;" ")-1),",","."))+1,9)),IF(ISNUMBER(SEARCH("yea",C517)),IFERROR(_xlfn.NUMBERVALUE(SUBSTITUTE(LEFT(TRIM(C517),FIND(" ",TRIM(C517)&amp;" ")-1),",","."),"."),LEFT(SUBSTITUTE(LEFT(TRIM(C517),FIND(" ",TRIM(C517)&amp;" ")-1),",","."),FIND("/",SUBSTITUTE(LEFT(TRIM(C517),FIND(" ",TRIM(C517)&amp;" ")-1),",","."))-1)/MID(SUBSTITUTE(LEFT(TRIM(C517),FIND(" ",TRIM(C517)&amp;" ")-1),",","."),FIND("/",SUBSTITUTE(LEFT(TRIM(C517),FIND(" ",TRIM(C517)&amp;" ")-1),",","."))+1,9))*12,NA()))),0),12)*'Aturan &amp; Tarif'!$B$4,2)</f>
        <v>681.36</v>
      </c>
      <c r="K517" s="42" t="n">
        <f aca="false">'Aturan &amp; Tarif'!$B$5</f>
        <v>2050</v>
      </c>
      <c r="L517" s="42" t="n">
        <f aca="false">'Aturan &amp; Tarif'!$B$6</f>
        <v>350</v>
      </c>
      <c r="M517" s="35" t="n">
        <f aca="false">I517+J517+K517+L517</f>
        <v>11208.36</v>
      </c>
      <c r="N517" s="45" t="s">
        <v>1727</v>
      </c>
    </row>
    <row r="518" customFormat="false" ht="14.25" hidden="false" customHeight="true" outlineLevel="0" collapsed="false">
      <c r="A518" s="39"/>
      <c r="B518" s="40" t="s">
        <v>1728</v>
      </c>
      <c r="C518" s="41" t="s">
        <v>130</v>
      </c>
      <c r="D518" s="41" t="s">
        <v>439</v>
      </c>
      <c r="E518" s="42" t="n">
        <v>8127</v>
      </c>
      <c r="F518" s="42" t="n">
        <v>85</v>
      </c>
      <c r="G518" s="42"/>
      <c r="H518" s="43" t="n">
        <v>1</v>
      </c>
      <c r="I518" s="34" t="n">
        <f aca="false">E518*H518+N(F518)+N(G518)</f>
        <v>8212</v>
      </c>
      <c r="J518" s="42" t="n">
        <f aca="false">ROUND(IFERROR(ROUND(IF(OR(ISNUMBER(SEARCH("week",C518)),ISNUMBER(SEARCH("minggu",C518))),IFERROR(_xlfn.NUMBERVALUE(SUBSTITUTE(LEFT(TRIM(C518),FIND(" ",TRIM(C518)&amp;" ")-1),",","."),"."),LEFT(SUBSTITUTE(LEFT(TRIM(C518),FIND(" ",TRIM(C518)&amp;" ")-1),",","."),FIND("/",SUBSTITUTE(LEFT(TRIM(C518),FIND(" ",TRIM(C518)&amp;" ")-1),",","."))-1)/MID(SUBSTITUTE(LEFT(TRIM(C518),FIND(" ",TRIM(C518)&amp;" ")-1),",","."),FIND("/",SUBSTITUTE(LEFT(TRIM(C518),FIND(" ",TRIM(C518)&amp;" ")-1),",","."))+1,9))*12/52,IF(ISNUMBER(SEARCH("month",C518)),IFERROR(_xlfn.NUMBERVALUE(SUBSTITUTE(LEFT(TRIM(C518),FIND(" ",TRIM(C518)&amp;" ")-1),",","."),"."),LEFT(SUBSTITUTE(LEFT(TRIM(C518),FIND(" ",TRIM(C518)&amp;" ")-1),",","."),FIND("/",SUBSTITUTE(LEFT(TRIM(C518),FIND(" ",TRIM(C518)&amp;" ")-1),",","."))-1)/MID(SUBSTITUTE(LEFT(TRIM(C518),FIND(" ",TRIM(C518)&amp;" ")-1),",","."),FIND("/",SUBSTITUTE(LEFT(TRIM(C518),FIND(" ",TRIM(C518)&amp;" ")-1),",","."))+1,9)),IF(ISNUMBER(SEARCH("yea",C518)),IFERROR(_xlfn.NUMBERVALUE(SUBSTITUTE(LEFT(TRIM(C518),FIND(" ",TRIM(C518)&amp;" ")-1),",","."),"."),LEFT(SUBSTITUTE(LEFT(TRIM(C518),FIND(" ",TRIM(C518)&amp;" ")-1),",","."),FIND("/",SUBSTITUTE(LEFT(TRIM(C518),FIND(" ",TRIM(C518)&amp;" ")-1),",","."))-1)/MID(SUBSTITUTE(LEFT(TRIM(C518),FIND(" ",TRIM(C518)&amp;" ")-1),",","."),FIND("/",SUBSTITUTE(LEFT(TRIM(C518),FIND(" ",TRIM(C518)&amp;" ")-1),",","."))+1,9))*12,NA()))),0),12)*'Aturan &amp; Tarif'!$B$4,2)</f>
        <v>681.36</v>
      </c>
      <c r="K518" s="42" t="n">
        <f aca="false">'Aturan &amp; Tarif'!$B$5</f>
        <v>2050</v>
      </c>
      <c r="L518" s="42" t="n">
        <f aca="false">'Aturan &amp; Tarif'!$B$6</f>
        <v>350</v>
      </c>
      <c r="M518" s="35" t="n">
        <f aca="false">I518+J518+K518+L518</f>
        <v>11293.36</v>
      </c>
      <c r="N518" s="45" t="s">
        <v>1729</v>
      </c>
    </row>
    <row r="519" customFormat="false" ht="14.25" hidden="false" customHeight="true" outlineLevel="0" collapsed="false">
      <c r="A519" s="39"/>
      <c r="B519" s="40" t="s">
        <v>1730</v>
      </c>
      <c r="C519" s="41" t="s">
        <v>130</v>
      </c>
      <c r="D519" s="41" t="s">
        <v>439</v>
      </c>
      <c r="E519" s="42" t="n">
        <v>8495</v>
      </c>
      <c r="F519" s="42" t="n">
        <v>160</v>
      </c>
      <c r="G519" s="42"/>
      <c r="H519" s="43" t="n">
        <v>1</v>
      </c>
      <c r="I519" s="34" t="n">
        <f aca="false">E519*H519+N(F519)+N(G519)</f>
        <v>8655</v>
      </c>
      <c r="J519" s="42" t="n">
        <f aca="false">ROUND(IFERROR(ROUND(IF(OR(ISNUMBER(SEARCH("week",C519)),ISNUMBER(SEARCH("minggu",C519))),IFERROR(_xlfn.NUMBERVALUE(SUBSTITUTE(LEFT(TRIM(C519),FIND(" ",TRIM(C519)&amp;" ")-1),",","."),"."),LEFT(SUBSTITUTE(LEFT(TRIM(C519),FIND(" ",TRIM(C519)&amp;" ")-1),",","."),FIND("/",SUBSTITUTE(LEFT(TRIM(C519),FIND(" ",TRIM(C519)&amp;" ")-1),",","."))-1)/MID(SUBSTITUTE(LEFT(TRIM(C519),FIND(" ",TRIM(C519)&amp;" ")-1),",","."),FIND("/",SUBSTITUTE(LEFT(TRIM(C519),FIND(" ",TRIM(C519)&amp;" ")-1),",","."))+1,9))*12/52,IF(ISNUMBER(SEARCH("month",C519)),IFERROR(_xlfn.NUMBERVALUE(SUBSTITUTE(LEFT(TRIM(C519),FIND(" ",TRIM(C519)&amp;" ")-1),",","."),"."),LEFT(SUBSTITUTE(LEFT(TRIM(C519),FIND(" ",TRIM(C519)&amp;" ")-1),",","."),FIND("/",SUBSTITUTE(LEFT(TRIM(C519),FIND(" ",TRIM(C519)&amp;" ")-1),",","."))-1)/MID(SUBSTITUTE(LEFT(TRIM(C519),FIND(" ",TRIM(C519)&amp;" ")-1),",","."),FIND("/",SUBSTITUTE(LEFT(TRIM(C519),FIND(" ",TRIM(C519)&amp;" ")-1),",","."))+1,9)),IF(ISNUMBER(SEARCH("yea",C519)),IFERROR(_xlfn.NUMBERVALUE(SUBSTITUTE(LEFT(TRIM(C519),FIND(" ",TRIM(C519)&amp;" ")-1),",","."),"."),LEFT(SUBSTITUTE(LEFT(TRIM(C519),FIND(" ",TRIM(C519)&amp;" ")-1),",","."),FIND("/",SUBSTITUTE(LEFT(TRIM(C519),FIND(" ",TRIM(C519)&amp;" ")-1),",","."))-1)/MID(SUBSTITUTE(LEFT(TRIM(C519),FIND(" ",TRIM(C519)&amp;" ")-1),",","."),FIND("/",SUBSTITUTE(LEFT(TRIM(C519),FIND(" ",TRIM(C519)&amp;" ")-1),",","."))+1,9))*12,NA()))),0),12)*'Aturan &amp; Tarif'!$B$4,2)</f>
        <v>681.36</v>
      </c>
      <c r="K519" s="42" t="n">
        <f aca="false">'Aturan &amp; Tarif'!$B$5</f>
        <v>2050</v>
      </c>
      <c r="L519" s="42" t="n">
        <f aca="false">'Aturan &amp; Tarif'!$B$6</f>
        <v>350</v>
      </c>
      <c r="M519" s="35" t="n">
        <f aca="false">I519+J519+K519+L519</f>
        <v>11736.36</v>
      </c>
      <c r="N519" s="45" t="s">
        <v>1731</v>
      </c>
    </row>
    <row r="520" customFormat="false" ht="14.25" hidden="false" customHeight="true" outlineLevel="0" collapsed="false">
      <c r="A520" s="39"/>
      <c r="B520" s="40" t="s">
        <v>1732</v>
      </c>
      <c r="C520" s="41" t="s">
        <v>344</v>
      </c>
      <c r="D520" s="41" t="s">
        <v>439</v>
      </c>
      <c r="E520" s="42" t="n">
        <v>6065</v>
      </c>
      <c r="F520" s="42" t="n">
        <v>0</v>
      </c>
      <c r="G520" s="42"/>
      <c r="H520" s="43" t="n">
        <v>1</v>
      </c>
      <c r="I520" s="34" t="n">
        <f aca="false">E520*H520+N(F520)+N(G520)</f>
        <v>6065</v>
      </c>
      <c r="J520" s="42" t="n">
        <f aca="false">ROUND(IFERROR(ROUND(IF(OR(ISNUMBER(SEARCH("week",C520)),ISNUMBER(SEARCH("minggu",C520))),IFERROR(_xlfn.NUMBERVALUE(SUBSTITUTE(LEFT(TRIM(C520),FIND(" ",TRIM(C520)&amp;" ")-1),",","."),"."),LEFT(SUBSTITUTE(LEFT(TRIM(C520),FIND(" ",TRIM(C520)&amp;" ")-1),",","."),FIND("/",SUBSTITUTE(LEFT(TRIM(C520),FIND(" ",TRIM(C520)&amp;" ")-1),",","."))-1)/MID(SUBSTITUTE(LEFT(TRIM(C520),FIND(" ",TRIM(C520)&amp;" ")-1),",","."),FIND("/",SUBSTITUTE(LEFT(TRIM(C520),FIND(" ",TRIM(C520)&amp;" ")-1),",","."))+1,9))*12/52,IF(ISNUMBER(SEARCH("month",C520)),IFERROR(_xlfn.NUMBERVALUE(SUBSTITUTE(LEFT(TRIM(C520),FIND(" ",TRIM(C520)&amp;" ")-1),",","."),"."),LEFT(SUBSTITUTE(LEFT(TRIM(C520),FIND(" ",TRIM(C520)&amp;" ")-1),",","."),FIND("/",SUBSTITUTE(LEFT(TRIM(C520),FIND(" ",TRIM(C520)&amp;" ")-1),",","."))-1)/MID(SUBSTITUTE(LEFT(TRIM(C520),FIND(" ",TRIM(C520)&amp;" ")-1),",","."),FIND("/",SUBSTITUTE(LEFT(TRIM(C520),FIND(" ",TRIM(C520)&amp;" ")-1),",","."))+1,9)),IF(ISNUMBER(SEARCH("yea",C520)),IFERROR(_xlfn.NUMBERVALUE(SUBSTITUTE(LEFT(TRIM(C520),FIND(" ",TRIM(C520)&amp;" ")-1),",","."),"."),LEFT(SUBSTITUTE(LEFT(TRIM(C520),FIND(" ",TRIM(C520)&amp;" ")-1),",","."),FIND("/",SUBSTITUTE(LEFT(TRIM(C520),FIND(" ",TRIM(C520)&amp;" ")-1),",","."))-1)/MID(SUBSTITUTE(LEFT(TRIM(C520),FIND(" ",TRIM(C520)&amp;" ")-1),",","."),FIND("/",SUBSTITUTE(LEFT(TRIM(C520),FIND(" ",TRIM(C520)&amp;" ")-1),",","."))+1,9))*12,NA()))),0),6)*'Aturan &amp; Tarif'!$B$4,2)</f>
        <v>340.68</v>
      </c>
      <c r="K520" s="42" t="n">
        <f aca="false">'Aturan &amp; Tarif'!$B$5</f>
        <v>2050</v>
      </c>
      <c r="L520" s="42" t="n">
        <f aca="false">'Aturan &amp; Tarif'!$B$6</f>
        <v>350</v>
      </c>
      <c r="M520" s="35" t="n">
        <f aca="false">I520+J520+K520+L520</f>
        <v>8805.68</v>
      </c>
      <c r="N520" s="45" t="s">
        <v>1733</v>
      </c>
    </row>
    <row r="521" customFormat="false" ht="72" hidden="false" customHeight="true" outlineLevel="0" collapsed="false">
      <c r="A521" s="39"/>
      <c r="B521" s="40" t="s">
        <v>1734</v>
      </c>
      <c r="C521" s="41" t="s">
        <v>127</v>
      </c>
      <c r="D521" s="41" t="s">
        <v>108</v>
      </c>
      <c r="E521" s="42" t="n">
        <v>13614</v>
      </c>
      <c r="F521" s="42" t="n">
        <v>2010</v>
      </c>
      <c r="G521" s="42"/>
      <c r="H521" s="43" t="n">
        <v>2</v>
      </c>
      <c r="I521" s="34" t="n">
        <f aca="false">E521*H521+N(F521)+N(G521)</f>
        <v>29238</v>
      </c>
      <c r="J521" s="42" t="n">
        <f aca="false">ROUND(IFERROR(ROUND(IF(OR(ISNUMBER(SEARCH("week",C521)),ISNUMBER(SEARCH("minggu",C521))),IFERROR(_xlfn.NUMBERVALUE(SUBSTITUTE(LEFT(TRIM(C521),FIND(" ",TRIM(C521)&amp;" ")-1),",","."),"."),LEFT(SUBSTITUTE(LEFT(TRIM(C521),FIND(" ",TRIM(C521)&amp;" ")-1),",","."),FIND("/",SUBSTITUTE(LEFT(TRIM(C521),FIND(" ",TRIM(C521)&amp;" ")-1),",","."))-1)/MID(SUBSTITUTE(LEFT(TRIM(C521),FIND(" ",TRIM(C521)&amp;" ")-1),",","."),FIND("/",SUBSTITUTE(LEFT(TRIM(C521),FIND(" ",TRIM(C521)&amp;" ")-1),",","."))+1,9))*12/52,IF(ISNUMBER(SEARCH("month",C521)),IFERROR(_xlfn.NUMBERVALUE(SUBSTITUTE(LEFT(TRIM(C521),FIND(" ",TRIM(C521)&amp;" ")-1),",","."),"."),LEFT(SUBSTITUTE(LEFT(TRIM(C521),FIND(" ",TRIM(C521)&amp;" ")-1),",","."),FIND("/",SUBSTITUTE(LEFT(TRIM(C521),FIND(" ",TRIM(C521)&amp;" ")-1),",","."))-1)/MID(SUBSTITUTE(LEFT(TRIM(C521),FIND(" ",TRIM(C521)&amp;" ")-1),",","."),FIND("/",SUBSTITUTE(LEFT(TRIM(C521),FIND(" ",TRIM(C521)&amp;" ")-1),",","."))+1,9)),IF(ISNUMBER(SEARCH("yea",C521)),IFERROR(_xlfn.NUMBERVALUE(SUBSTITUTE(LEFT(TRIM(C521),FIND(" ",TRIM(C521)&amp;" ")-1),",","."),"."),LEFT(SUBSTITUTE(LEFT(TRIM(C521),FIND(" ",TRIM(C521)&amp;" ")-1),",","."),FIND("/",SUBSTITUTE(LEFT(TRIM(C521),FIND(" ",TRIM(C521)&amp;" ")-1),",","."))-1)/MID(SUBSTITUTE(LEFT(TRIM(C521),FIND(" ",TRIM(C521)&amp;" ")-1),",","."),FIND("/",SUBSTITUTE(LEFT(TRIM(C521),FIND(" ",TRIM(C521)&amp;" ")-1),",","."))+1,9))*12,NA()))),0),36)*'Aturan &amp; Tarif'!$B$4,2)</f>
        <v>2044.08</v>
      </c>
      <c r="K521" s="42" t="n">
        <f aca="false">'Aturan &amp; Tarif'!$B$5</f>
        <v>2050</v>
      </c>
      <c r="L521" s="42" t="n">
        <f aca="false">'Aturan &amp; Tarif'!$B$6</f>
        <v>350</v>
      </c>
      <c r="M521" s="35" t="n">
        <f aca="false">I521+J521+K521+L521</f>
        <v>33682.08</v>
      </c>
      <c r="N521" s="44" t="s">
        <v>1735</v>
      </c>
    </row>
    <row r="522" customFormat="false" ht="25.5" hidden="false" customHeight="true" outlineLevel="0" collapsed="false">
      <c r="A522" s="39"/>
      <c r="B522" s="40" t="s">
        <v>1736</v>
      </c>
      <c r="C522" s="41" t="s">
        <v>344</v>
      </c>
      <c r="D522" s="41" t="s">
        <v>439</v>
      </c>
      <c r="E522" s="42" t="n">
        <v>8130</v>
      </c>
      <c r="F522" s="42" t="n">
        <v>0</v>
      </c>
      <c r="G522" s="42"/>
      <c r="H522" s="43" t="n">
        <v>1</v>
      </c>
      <c r="I522" s="34" t="n">
        <f aca="false">E522*H522+N(F522)+N(G522)</f>
        <v>8130</v>
      </c>
      <c r="J522" s="42" t="n">
        <f aca="false">ROUND(IFERROR(ROUND(IF(OR(ISNUMBER(SEARCH("week",C522)),ISNUMBER(SEARCH("minggu",C522))),IFERROR(_xlfn.NUMBERVALUE(SUBSTITUTE(LEFT(TRIM(C522),FIND(" ",TRIM(C522)&amp;" ")-1),",","."),"."),LEFT(SUBSTITUTE(LEFT(TRIM(C522),FIND(" ",TRIM(C522)&amp;" ")-1),",","."),FIND("/",SUBSTITUTE(LEFT(TRIM(C522),FIND(" ",TRIM(C522)&amp;" ")-1),",","."))-1)/MID(SUBSTITUTE(LEFT(TRIM(C522),FIND(" ",TRIM(C522)&amp;" ")-1),",","."),FIND("/",SUBSTITUTE(LEFT(TRIM(C522),FIND(" ",TRIM(C522)&amp;" ")-1),",","."))+1,9))*12/52,IF(ISNUMBER(SEARCH("month",C522)),IFERROR(_xlfn.NUMBERVALUE(SUBSTITUTE(LEFT(TRIM(C522),FIND(" ",TRIM(C522)&amp;" ")-1),",","."),"."),LEFT(SUBSTITUTE(LEFT(TRIM(C522),FIND(" ",TRIM(C522)&amp;" ")-1),",","."),FIND("/",SUBSTITUTE(LEFT(TRIM(C522),FIND(" ",TRIM(C522)&amp;" ")-1),",","."))-1)/MID(SUBSTITUTE(LEFT(TRIM(C522),FIND(" ",TRIM(C522)&amp;" ")-1),",","."),FIND("/",SUBSTITUTE(LEFT(TRIM(C522),FIND(" ",TRIM(C522)&amp;" ")-1),",","."))+1,9)),IF(ISNUMBER(SEARCH("yea",C522)),IFERROR(_xlfn.NUMBERVALUE(SUBSTITUTE(LEFT(TRIM(C522),FIND(" ",TRIM(C522)&amp;" ")-1),",","."),"."),LEFT(SUBSTITUTE(LEFT(TRIM(C522),FIND(" ",TRIM(C522)&amp;" ")-1),",","."),FIND("/",SUBSTITUTE(LEFT(TRIM(C522),FIND(" ",TRIM(C522)&amp;" ")-1),",","."))-1)/MID(SUBSTITUTE(LEFT(TRIM(C522),FIND(" ",TRIM(C522)&amp;" ")-1),",","."),FIND("/",SUBSTITUTE(LEFT(TRIM(C522),FIND(" ",TRIM(C522)&amp;" ")-1),",","."))+1,9))*12,NA()))),0),6)*'Aturan &amp; Tarif'!$B$4,2)</f>
        <v>340.68</v>
      </c>
      <c r="K522" s="42" t="n">
        <f aca="false">'Aturan &amp; Tarif'!$B$5</f>
        <v>2050</v>
      </c>
      <c r="L522" s="42" t="n">
        <f aca="false">'Aturan &amp; Tarif'!$B$6</f>
        <v>350</v>
      </c>
      <c r="M522" s="35" t="n">
        <f aca="false">I522+J522+K522+L522</f>
        <v>10870.68</v>
      </c>
      <c r="N522" s="45" t="s">
        <v>1737</v>
      </c>
    </row>
    <row r="523" customFormat="false" ht="14.25" hidden="false" customHeight="true" outlineLevel="0" collapsed="false">
      <c r="A523" s="39"/>
      <c r="B523" s="40" t="s">
        <v>1738</v>
      </c>
      <c r="C523" s="41" t="s">
        <v>130</v>
      </c>
      <c r="D523" s="41" t="s">
        <v>439</v>
      </c>
      <c r="E523" s="42" t="n">
        <v>8135</v>
      </c>
      <c r="F523" s="42" t="n">
        <v>3000</v>
      </c>
      <c r="G523" s="42"/>
      <c r="H523" s="43" t="n">
        <v>1</v>
      </c>
      <c r="I523" s="34" t="n">
        <f aca="false">E523*H523+N(F523)+N(G523)</f>
        <v>11135</v>
      </c>
      <c r="J523" s="42" t="n">
        <f aca="false">ROUND(IFERROR(ROUND(IF(OR(ISNUMBER(SEARCH("week",C523)),ISNUMBER(SEARCH("minggu",C523))),IFERROR(_xlfn.NUMBERVALUE(SUBSTITUTE(LEFT(TRIM(C523),FIND(" ",TRIM(C523)&amp;" ")-1),",","."),"."),LEFT(SUBSTITUTE(LEFT(TRIM(C523),FIND(" ",TRIM(C523)&amp;" ")-1),",","."),FIND("/",SUBSTITUTE(LEFT(TRIM(C523),FIND(" ",TRIM(C523)&amp;" ")-1),",","."))-1)/MID(SUBSTITUTE(LEFT(TRIM(C523),FIND(" ",TRIM(C523)&amp;" ")-1),",","."),FIND("/",SUBSTITUTE(LEFT(TRIM(C523),FIND(" ",TRIM(C523)&amp;" ")-1),",","."))+1,9))*12/52,IF(ISNUMBER(SEARCH("month",C523)),IFERROR(_xlfn.NUMBERVALUE(SUBSTITUTE(LEFT(TRIM(C523),FIND(" ",TRIM(C523)&amp;" ")-1),",","."),"."),LEFT(SUBSTITUTE(LEFT(TRIM(C523),FIND(" ",TRIM(C523)&amp;" ")-1),",","."),FIND("/",SUBSTITUTE(LEFT(TRIM(C523),FIND(" ",TRIM(C523)&amp;" ")-1),",","."))-1)/MID(SUBSTITUTE(LEFT(TRIM(C523),FIND(" ",TRIM(C523)&amp;" ")-1),",","."),FIND("/",SUBSTITUTE(LEFT(TRIM(C523),FIND(" ",TRIM(C523)&amp;" ")-1),",","."))+1,9)),IF(ISNUMBER(SEARCH("yea",C523)),IFERROR(_xlfn.NUMBERVALUE(SUBSTITUTE(LEFT(TRIM(C523),FIND(" ",TRIM(C523)&amp;" ")-1),",","."),"."),LEFT(SUBSTITUTE(LEFT(TRIM(C523),FIND(" ",TRIM(C523)&amp;" ")-1),",","."),FIND("/",SUBSTITUTE(LEFT(TRIM(C523),FIND(" ",TRIM(C523)&amp;" ")-1),",","."))-1)/MID(SUBSTITUTE(LEFT(TRIM(C523),FIND(" ",TRIM(C523)&amp;" ")-1),",","."),FIND("/",SUBSTITUTE(LEFT(TRIM(C523),FIND(" ",TRIM(C523)&amp;" ")-1),",","."))+1,9))*12,NA()))),0),12)*'Aturan &amp; Tarif'!$B$4,2)</f>
        <v>681.36</v>
      </c>
      <c r="K523" s="42" t="n">
        <f aca="false">'Aturan &amp; Tarif'!$B$5</f>
        <v>2050</v>
      </c>
      <c r="L523" s="42" t="n">
        <f aca="false">'Aturan &amp; Tarif'!$B$6</f>
        <v>350</v>
      </c>
      <c r="M523" s="35" t="n">
        <f aca="false">I523+J523+K523+L523</f>
        <v>14216.36</v>
      </c>
      <c r="N523" s="45" t="s">
        <v>1739</v>
      </c>
    </row>
    <row r="524" customFormat="false" ht="25.5" hidden="false" customHeight="true" outlineLevel="0" collapsed="false">
      <c r="A524" s="39"/>
      <c r="B524" s="40" t="s">
        <v>1740</v>
      </c>
      <c r="C524" s="41" t="s">
        <v>130</v>
      </c>
      <c r="D524" s="41" t="s">
        <v>439</v>
      </c>
      <c r="E524" s="42" t="n">
        <v>8135</v>
      </c>
      <c r="F524" s="42" t="n">
        <v>300</v>
      </c>
      <c r="G524" s="42"/>
      <c r="H524" s="43" t="n">
        <v>1</v>
      </c>
      <c r="I524" s="34" t="n">
        <f aca="false">E524*H524+N(F524)+N(G524)</f>
        <v>8435</v>
      </c>
      <c r="J524" s="42" t="n">
        <f aca="false">ROUND(IFERROR(ROUND(IF(OR(ISNUMBER(SEARCH("week",C524)),ISNUMBER(SEARCH("minggu",C524))),IFERROR(_xlfn.NUMBERVALUE(SUBSTITUTE(LEFT(TRIM(C524),FIND(" ",TRIM(C524)&amp;" ")-1),",","."),"."),LEFT(SUBSTITUTE(LEFT(TRIM(C524),FIND(" ",TRIM(C524)&amp;" ")-1),",","."),FIND("/",SUBSTITUTE(LEFT(TRIM(C524),FIND(" ",TRIM(C524)&amp;" ")-1),",","."))-1)/MID(SUBSTITUTE(LEFT(TRIM(C524),FIND(" ",TRIM(C524)&amp;" ")-1),",","."),FIND("/",SUBSTITUTE(LEFT(TRIM(C524),FIND(" ",TRIM(C524)&amp;" ")-1),",","."))+1,9))*12/52,IF(ISNUMBER(SEARCH("month",C524)),IFERROR(_xlfn.NUMBERVALUE(SUBSTITUTE(LEFT(TRIM(C524),FIND(" ",TRIM(C524)&amp;" ")-1),",","."),"."),LEFT(SUBSTITUTE(LEFT(TRIM(C524),FIND(" ",TRIM(C524)&amp;" ")-1),",","."),FIND("/",SUBSTITUTE(LEFT(TRIM(C524),FIND(" ",TRIM(C524)&amp;" ")-1),",","."))-1)/MID(SUBSTITUTE(LEFT(TRIM(C524),FIND(" ",TRIM(C524)&amp;" ")-1),",","."),FIND("/",SUBSTITUTE(LEFT(TRIM(C524),FIND(" ",TRIM(C524)&amp;" ")-1),",","."))+1,9)),IF(ISNUMBER(SEARCH("yea",C524)),IFERROR(_xlfn.NUMBERVALUE(SUBSTITUTE(LEFT(TRIM(C524),FIND(" ",TRIM(C524)&amp;" ")-1),",","."),"."),LEFT(SUBSTITUTE(LEFT(TRIM(C524),FIND(" ",TRIM(C524)&amp;" ")-1),",","."),FIND("/",SUBSTITUTE(LEFT(TRIM(C524),FIND(" ",TRIM(C524)&amp;" ")-1),",","."))-1)/MID(SUBSTITUTE(LEFT(TRIM(C524),FIND(" ",TRIM(C524)&amp;" ")-1),",","."),FIND("/",SUBSTITUTE(LEFT(TRIM(C524),FIND(" ",TRIM(C524)&amp;" ")-1),",","."))+1,9))*12,NA()))),0),12)*'Aturan &amp; Tarif'!$B$4,2)</f>
        <v>681.36</v>
      </c>
      <c r="K524" s="42" t="n">
        <f aca="false">'Aturan &amp; Tarif'!$B$5</f>
        <v>2050</v>
      </c>
      <c r="L524" s="42" t="n">
        <f aca="false">'Aturan &amp; Tarif'!$B$6</f>
        <v>350</v>
      </c>
      <c r="M524" s="35" t="n">
        <f aca="false">I524+J524+K524+L524</f>
        <v>11516.36</v>
      </c>
      <c r="N524" s="45" t="s">
        <v>1741</v>
      </c>
    </row>
    <row r="525" customFormat="false" ht="25.5" hidden="false" customHeight="true" outlineLevel="0" collapsed="false">
      <c r="A525" s="39"/>
      <c r="B525" s="40" t="s">
        <v>1742</v>
      </c>
      <c r="C525" s="41" t="s">
        <v>130</v>
      </c>
      <c r="D525" s="41" t="s">
        <v>439</v>
      </c>
      <c r="E525" s="42" t="n">
        <v>8135</v>
      </c>
      <c r="F525" s="42" t="n">
        <v>300</v>
      </c>
      <c r="G525" s="42"/>
      <c r="H525" s="43" t="n">
        <v>1</v>
      </c>
      <c r="I525" s="34" t="n">
        <f aca="false">E525*H525+N(F525)+N(G525)</f>
        <v>8435</v>
      </c>
      <c r="J525" s="42" t="n">
        <f aca="false">ROUND(IFERROR(ROUND(IF(OR(ISNUMBER(SEARCH("week",C525)),ISNUMBER(SEARCH("minggu",C525))),IFERROR(_xlfn.NUMBERVALUE(SUBSTITUTE(LEFT(TRIM(C525),FIND(" ",TRIM(C525)&amp;" ")-1),",","."),"."),LEFT(SUBSTITUTE(LEFT(TRIM(C525),FIND(" ",TRIM(C525)&amp;" ")-1),",","."),FIND("/",SUBSTITUTE(LEFT(TRIM(C525),FIND(" ",TRIM(C525)&amp;" ")-1),",","."))-1)/MID(SUBSTITUTE(LEFT(TRIM(C525),FIND(" ",TRIM(C525)&amp;" ")-1),",","."),FIND("/",SUBSTITUTE(LEFT(TRIM(C525),FIND(" ",TRIM(C525)&amp;" ")-1),",","."))+1,9))*12/52,IF(ISNUMBER(SEARCH("month",C525)),IFERROR(_xlfn.NUMBERVALUE(SUBSTITUTE(LEFT(TRIM(C525),FIND(" ",TRIM(C525)&amp;" ")-1),",","."),"."),LEFT(SUBSTITUTE(LEFT(TRIM(C525),FIND(" ",TRIM(C525)&amp;" ")-1),",","."),FIND("/",SUBSTITUTE(LEFT(TRIM(C525),FIND(" ",TRIM(C525)&amp;" ")-1),",","."))-1)/MID(SUBSTITUTE(LEFT(TRIM(C525),FIND(" ",TRIM(C525)&amp;" ")-1),",","."),FIND("/",SUBSTITUTE(LEFT(TRIM(C525),FIND(" ",TRIM(C525)&amp;" ")-1),",","."))+1,9)),IF(ISNUMBER(SEARCH("yea",C525)),IFERROR(_xlfn.NUMBERVALUE(SUBSTITUTE(LEFT(TRIM(C525),FIND(" ",TRIM(C525)&amp;" ")-1),",","."),"."),LEFT(SUBSTITUTE(LEFT(TRIM(C525),FIND(" ",TRIM(C525)&amp;" ")-1),",","."),FIND("/",SUBSTITUTE(LEFT(TRIM(C525),FIND(" ",TRIM(C525)&amp;" ")-1),",","."))-1)/MID(SUBSTITUTE(LEFT(TRIM(C525),FIND(" ",TRIM(C525)&amp;" ")-1),",","."),FIND("/",SUBSTITUTE(LEFT(TRIM(C525),FIND(" ",TRIM(C525)&amp;" ")-1),",","."))+1,9))*12,NA()))),0),12)*'Aturan &amp; Tarif'!$B$4,2)</f>
        <v>681.36</v>
      </c>
      <c r="K525" s="42" t="n">
        <f aca="false">'Aturan &amp; Tarif'!$B$5</f>
        <v>2050</v>
      </c>
      <c r="L525" s="42" t="n">
        <f aca="false">'Aturan &amp; Tarif'!$B$6</f>
        <v>350</v>
      </c>
      <c r="M525" s="35" t="n">
        <f aca="false">I525+J525+K525+L525</f>
        <v>11516.36</v>
      </c>
      <c r="N525" s="45" t="s">
        <v>1743</v>
      </c>
    </row>
    <row r="526" customFormat="false" ht="25.5" hidden="false" customHeight="true" outlineLevel="0" collapsed="false">
      <c r="A526" s="39"/>
      <c r="B526" s="40" t="s">
        <v>1744</v>
      </c>
      <c r="C526" s="41" t="s">
        <v>130</v>
      </c>
      <c r="D526" s="41" t="s">
        <v>439</v>
      </c>
      <c r="E526" s="42" t="n">
        <v>8135</v>
      </c>
      <c r="F526" s="42" t="n">
        <v>300</v>
      </c>
      <c r="G526" s="42"/>
      <c r="H526" s="43" t="n">
        <v>1</v>
      </c>
      <c r="I526" s="34" t="n">
        <f aca="false">E526*H526+N(F526)+N(G526)</f>
        <v>8435</v>
      </c>
      <c r="J526" s="42" t="n">
        <f aca="false">ROUND(IFERROR(ROUND(IF(OR(ISNUMBER(SEARCH("week",C526)),ISNUMBER(SEARCH("minggu",C526))),IFERROR(_xlfn.NUMBERVALUE(SUBSTITUTE(LEFT(TRIM(C526),FIND(" ",TRIM(C526)&amp;" ")-1),",","."),"."),LEFT(SUBSTITUTE(LEFT(TRIM(C526),FIND(" ",TRIM(C526)&amp;" ")-1),",","."),FIND("/",SUBSTITUTE(LEFT(TRIM(C526),FIND(" ",TRIM(C526)&amp;" ")-1),",","."))-1)/MID(SUBSTITUTE(LEFT(TRIM(C526),FIND(" ",TRIM(C526)&amp;" ")-1),",","."),FIND("/",SUBSTITUTE(LEFT(TRIM(C526),FIND(" ",TRIM(C526)&amp;" ")-1),",","."))+1,9))*12/52,IF(ISNUMBER(SEARCH("month",C526)),IFERROR(_xlfn.NUMBERVALUE(SUBSTITUTE(LEFT(TRIM(C526),FIND(" ",TRIM(C526)&amp;" ")-1),",","."),"."),LEFT(SUBSTITUTE(LEFT(TRIM(C526),FIND(" ",TRIM(C526)&amp;" ")-1),",","."),FIND("/",SUBSTITUTE(LEFT(TRIM(C526),FIND(" ",TRIM(C526)&amp;" ")-1),",","."))-1)/MID(SUBSTITUTE(LEFT(TRIM(C526),FIND(" ",TRIM(C526)&amp;" ")-1),",","."),FIND("/",SUBSTITUTE(LEFT(TRIM(C526),FIND(" ",TRIM(C526)&amp;" ")-1),",","."))+1,9)),IF(ISNUMBER(SEARCH("yea",C526)),IFERROR(_xlfn.NUMBERVALUE(SUBSTITUTE(LEFT(TRIM(C526),FIND(" ",TRIM(C526)&amp;" ")-1),",","."),"."),LEFT(SUBSTITUTE(LEFT(TRIM(C526),FIND(" ",TRIM(C526)&amp;" ")-1),",","."),FIND("/",SUBSTITUTE(LEFT(TRIM(C526),FIND(" ",TRIM(C526)&amp;" ")-1),",","."))-1)/MID(SUBSTITUTE(LEFT(TRIM(C526),FIND(" ",TRIM(C526)&amp;" ")-1),",","."),FIND("/",SUBSTITUTE(LEFT(TRIM(C526),FIND(" ",TRIM(C526)&amp;" ")-1),",","."))+1,9))*12,NA()))),0),12)*'Aturan &amp; Tarif'!$B$4,2)</f>
        <v>681.36</v>
      </c>
      <c r="K526" s="42" t="n">
        <f aca="false">'Aturan &amp; Tarif'!$B$5</f>
        <v>2050</v>
      </c>
      <c r="L526" s="42" t="n">
        <f aca="false">'Aturan &amp; Tarif'!$B$6</f>
        <v>350</v>
      </c>
      <c r="M526" s="35" t="n">
        <f aca="false">I526+J526+K526+L526</f>
        <v>11516.36</v>
      </c>
      <c r="N526" s="45" t="s">
        <v>1745</v>
      </c>
    </row>
    <row r="527" customFormat="false" ht="25.5" hidden="false" customHeight="true" outlineLevel="0" collapsed="false">
      <c r="A527" s="39"/>
      <c r="B527" s="40" t="s">
        <v>1746</v>
      </c>
      <c r="C527" s="41" t="s">
        <v>130</v>
      </c>
      <c r="D527" s="41" t="s">
        <v>439</v>
      </c>
      <c r="E527" s="42" t="n">
        <v>8135</v>
      </c>
      <c r="F527" s="42" t="n">
        <v>300</v>
      </c>
      <c r="G527" s="42"/>
      <c r="H527" s="43" t="n">
        <v>1</v>
      </c>
      <c r="I527" s="34" t="n">
        <f aca="false">E527*H527+N(F527)+N(G527)</f>
        <v>8435</v>
      </c>
      <c r="J527" s="42" t="n">
        <f aca="false">ROUND(IFERROR(ROUND(IF(OR(ISNUMBER(SEARCH("week",C527)),ISNUMBER(SEARCH("minggu",C527))),IFERROR(_xlfn.NUMBERVALUE(SUBSTITUTE(LEFT(TRIM(C527),FIND(" ",TRIM(C527)&amp;" ")-1),",","."),"."),LEFT(SUBSTITUTE(LEFT(TRIM(C527),FIND(" ",TRIM(C527)&amp;" ")-1),",","."),FIND("/",SUBSTITUTE(LEFT(TRIM(C527),FIND(" ",TRIM(C527)&amp;" ")-1),",","."))-1)/MID(SUBSTITUTE(LEFT(TRIM(C527),FIND(" ",TRIM(C527)&amp;" ")-1),",","."),FIND("/",SUBSTITUTE(LEFT(TRIM(C527),FIND(" ",TRIM(C527)&amp;" ")-1),",","."))+1,9))*12/52,IF(ISNUMBER(SEARCH("month",C527)),IFERROR(_xlfn.NUMBERVALUE(SUBSTITUTE(LEFT(TRIM(C527),FIND(" ",TRIM(C527)&amp;" ")-1),",","."),"."),LEFT(SUBSTITUTE(LEFT(TRIM(C527),FIND(" ",TRIM(C527)&amp;" ")-1),",","."),FIND("/",SUBSTITUTE(LEFT(TRIM(C527),FIND(" ",TRIM(C527)&amp;" ")-1),",","."))-1)/MID(SUBSTITUTE(LEFT(TRIM(C527),FIND(" ",TRIM(C527)&amp;" ")-1),",","."),FIND("/",SUBSTITUTE(LEFT(TRIM(C527),FIND(" ",TRIM(C527)&amp;" ")-1),",","."))+1,9)),IF(ISNUMBER(SEARCH("yea",C527)),IFERROR(_xlfn.NUMBERVALUE(SUBSTITUTE(LEFT(TRIM(C527),FIND(" ",TRIM(C527)&amp;" ")-1),",","."),"."),LEFT(SUBSTITUTE(LEFT(TRIM(C527),FIND(" ",TRIM(C527)&amp;" ")-1),",","."),FIND("/",SUBSTITUTE(LEFT(TRIM(C527),FIND(" ",TRIM(C527)&amp;" ")-1),",","."))-1)/MID(SUBSTITUTE(LEFT(TRIM(C527),FIND(" ",TRIM(C527)&amp;" ")-1),",","."),FIND("/",SUBSTITUTE(LEFT(TRIM(C527),FIND(" ",TRIM(C527)&amp;" ")-1),",","."))+1,9))*12,NA()))),0),12)*'Aturan &amp; Tarif'!$B$4,2)</f>
        <v>681.36</v>
      </c>
      <c r="K527" s="42" t="n">
        <f aca="false">'Aturan &amp; Tarif'!$B$5</f>
        <v>2050</v>
      </c>
      <c r="L527" s="42" t="n">
        <f aca="false">'Aturan &amp; Tarif'!$B$6</f>
        <v>350</v>
      </c>
      <c r="M527" s="35" t="n">
        <f aca="false">I527+J527+K527+L527</f>
        <v>11516.36</v>
      </c>
      <c r="N527" s="45" t="s">
        <v>1747</v>
      </c>
    </row>
    <row r="528" customFormat="false" ht="25.5" hidden="false" customHeight="true" outlineLevel="0" collapsed="false">
      <c r="A528" s="39"/>
      <c r="B528" s="40" t="s">
        <v>1748</v>
      </c>
      <c r="C528" s="41" t="s">
        <v>130</v>
      </c>
      <c r="D528" s="41" t="s">
        <v>439</v>
      </c>
      <c r="E528" s="42" t="n">
        <v>8135</v>
      </c>
      <c r="F528" s="42" t="n">
        <v>300</v>
      </c>
      <c r="G528" s="42"/>
      <c r="H528" s="43" t="n">
        <v>1</v>
      </c>
      <c r="I528" s="34" t="n">
        <f aca="false">E528*H528+N(F528)+N(G528)</f>
        <v>8435</v>
      </c>
      <c r="J528" s="42" t="n">
        <f aca="false">ROUND(IFERROR(ROUND(IF(OR(ISNUMBER(SEARCH("week",C528)),ISNUMBER(SEARCH("minggu",C528))),IFERROR(_xlfn.NUMBERVALUE(SUBSTITUTE(LEFT(TRIM(C528),FIND(" ",TRIM(C528)&amp;" ")-1),",","."),"."),LEFT(SUBSTITUTE(LEFT(TRIM(C528),FIND(" ",TRIM(C528)&amp;" ")-1),",","."),FIND("/",SUBSTITUTE(LEFT(TRIM(C528),FIND(" ",TRIM(C528)&amp;" ")-1),",","."))-1)/MID(SUBSTITUTE(LEFT(TRIM(C528),FIND(" ",TRIM(C528)&amp;" ")-1),",","."),FIND("/",SUBSTITUTE(LEFT(TRIM(C528),FIND(" ",TRIM(C528)&amp;" ")-1),",","."))+1,9))*12/52,IF(ISNUMBER(SEARCH("month",C528)),IFERROR(_xlfn.NUMBERVALUE(SUBSTITUTE(LEFT(TRIM(C528),FIND(" ",TRIM(C528)&amp;" ")-1),",","."),"."),LEFT(SUBSTITUTE(LEFT(TRIM(C528),FIND(" ",TRIM(C528)&amp;" ")-1),",","."),FIND("/",SUBSTITUTE(LEFT(TRIM(C528),FIND(" ",TRIM(C528)&amp;" ")-1),",","."))-1)/MID(SUBSTITUTE(LEFT(TRIM(C528),FIND(" ",TRIM(C528)&amp;" ")-1),",","."),FIND("/",SUBSTITUTE(LEFT(TRIM(C528),FIND(" ",TRIM(C528)&amp;" ")-1),",","."))+1,9)),IF(ISNUMBER(SEARCH("yea",C528)),IFERROR(_xlfn.NUMBERVALUE(SUBSTITUTE(LEFT(TRIM(C528),FIND(" ",TRIM(C528)&amp;" ")-1),",","."),"."),LEFT(SUBSTITUTE(LEFT(TRIM(C528),FIND(" ",TRIM(C528)&amp;" ")-1),",","."),FIND("/",SUBSTITUTE(LEFT(TRIM(C528),FIND(" ",TRIM(C528)&amp;" ")-1),",","."))-1)/MID(SUBSTITUTE(LEFT(TRIM(C528),FIND(" ",TRIM(C528)&amp;" ")-1),",","."),FIND("/",SUBSTITUTE(LEFT(TRIM(C528),FIND(" ",TRIM(C528)&amp;" ")-1),",","."))+1,9))*12,NA()))),0),12)*'Aturan &amp; Tarif'!$B$4,2)</f>
        <v>681.36</v>
      </c>
      <c r="K528" s="42" t="n">
        <f aca="false">'Aturan &amp; Tarif'!$B$5</f>
        <v>2050</v>
      </c>
      <c r="L528" s="42" t="n">
        <f aca="false">'Aturan &amp; Tarif'!$B$6</f>
        <v>350</v>
      </c>
      <c r="M528" s="35" t="n">
        <f aca="false">I528+J528+K528+L528</f>
        <v>11516.36</v>
      </c>
      <c r="N528" s="45" t="s">
        <v>1749</v>
      </c>
    </row>
    <row r="529" customFormat="false" ht="25.5" hidden="false" customHeight="true" outlineLevel="0" collapsed="false">
      <c r="A529" s="39"/>
      <c r="B529" s="40" t="s">
        <v>1750</v>
      </c>
      <c r="C529" s="41" t="s">
        <v>130</v>
      </c>
      <c r="D529" s="41" t="s">
        <v>439</v>
      </c>
      <c r="E529" s="42" t="n">
        <v>8135</v>
      </c>
      <c r="F529" s="42" t="n">
        <v>400</v>
      </c>
      <c r="G529" s="42"/>
      <c r="H529" s="43" t="n">
        <v>1</v>
      </c>
      <c r="I529" s="34" t="n">
        <f aca="false">E529*H529+N(F529)+N(G529)</f>
        <v>8535</v>
      </c>
      <c r="J529" s="42" t="n">
        <f aca="false">ROUND(IFERROR(ROUND(IF(OR(ISNUMBER(SEARCH("week",C529)),ISNUMBER(SEARCH("minggu",C529))),IFERROR(_xlfn.NUMBERVALUE(SUBSTITUTE(LEFT(TRIM(C529),FIND(" ",TRIM(C529)&amp;" ")-1),",","."),"."),LEFT(SUBSTITUTE(LEFT(TRIM(C529),FIND(" ",TRIM(C529)&amp;" ")-1),",","."),FIND("/",SUBSTITUTE(LEFT(TRIM(C529),FIND(" ",TRIM(C529)&amp;" ")-1),",","."))-1)/MID(SUBSTITUTE(LEFT(TRIM(C529),FIND(" ",TRIM(C529)&amp;" ")-1),",","."),FIND("/",SUBSTITUTE(LEFT(TRIM(C529),FIND(" ",TRIM(C529)&amp;" ")-1),",","."))+1,9))*12/52,IF(ISNUMBER(SEARCH("month",C529)),IFERROR(_xlfn.NUMBERVALUE(SUBSTITUTE(LEFT(TRIM(C529),FIND(" ",TRIM(C529)&amp;" ")-1),",","."),"."),LEFT(SUBSTITUTE(LEFT(TRIM(C529),FIND(" ",TRIM(C529)&amp;" ")-1),",","."),FIND("/",SUBSTITUTE(LEFT(TRIM(C529),FIND(" ",TRIM(C529)&amp;" ")-1),",","."))-1)/MID(SUBSTITUTE(LEFT(TRIM(C529),FIND(" ",TRIM(C529)&amp;" ")-1),",","."),FIND("/",SUBSTITUTE(LEFT(TRIM(C529),FIND(" ",TRIM(C529)&amp;" ")-1),",","."))+1,9)),IF(ISNUMBER(SEARCH("yea",C529)),IFERROR(_xlfn.NUMBERVALUE(SUBSTITUTE(LEFT(TRIM(C529),FIND(" ",TRIM(C529)&amp;" ")-1),",","."),"."),LEFT(SUBSTITUTE(LEFT(TRIM(C529),FIND(" ",TRIM(C529)&amp;" ")-1),",","."),FIND("/",SUBSTITUTE(LEFT(TRIM(C529),FIND(" ",TRIM(C529)&amp;" ")-1),",","."))-1)/MID(SUBSTITUTE(LEFT(TRIM(C529),FIND(" ",TRIM(C529)&amp;" ")-1),",","."),FIND("/",SUBSTITUTE(LEFT(TRIM(C529),FIND(" ",TRIM(C529)&amp;" ")-1),",","."))+1,9))*12,NA()))),0),12)*'Aturan &amp; Tarif'!$B$4,2)</f>
        <v>681.36</v>
      </c>
      <c r="K529" s="42" t="n">
        <f aca="false">'Aturan &amp; Tarif'!$B$5</f>
        <v>2050</v>
      </c>
      <c r="L529" s="42" t="n">
        <f aca="false">'Aturan &amp; Tarif'!$B$6</f>
        <v>350</v>
      </c>
      <c r="M529" s="35" t="n">
        <f aca="false">I529+J529+K529+L529</f>
        <v>11616.36</v>
      </c>
      <c r="N529" s="45" t="s">
        <v>1751</v>
      </c>
    </row>
    <row r="530" customFormat="false" ht="25.5" hidden="false" customHeight="true" outlineLevel="0" collapsed="false">
      <c r="A530" s="39"/>
      <c r="B530" s="40" t="s">
        <v>1752</v>
      </c>
      <c r="C530" s="41" t="s">
        <v>130</v>
      </c>
      <c r="D530" s="41" t="s">
        <v>439</v>
      </c>
      <c r="E530" s="42" t="n">
        <v>8135</v>
      </c>
      <c r="F530" s="42"/>
      <c r="G530" s="42"/>
      <c r="H530" s="43" t="n">
        <v>1</v>
      </c>
      <c r="I530" s="34" t="n">
        <f aca="false">E530*H530+N(F530)+N(G530)</f>
        <v>8135</v>
      </c>
      <c r="J530" s="42" t="n">
        <f aca="false">ROUND(IFERROR(ROUND(IF(OR(ISNUMBER(SEARCH("week",C530)),ISNUMBER(SEARCH("minggu",C530))),IFERROR(_xlfn.NUMBERVALUE(SUBSTITUTE(LEFT(TRIM(C530),FIND(" ",TRIM(C530)&amp;" ")-1),",","."),"."),LEFT(SUBSTITUTE(LEFT(TRIM(C530),FIND(" ",TRIM(C530)&amp;" ")-1),",","."),FIND("/",SUBSTITUTE(LEFT(TRIM(C530),FIND(" ",TRIM(C530)&amp;" ")-1),",","."))-1)/MID(SUBSTITUTE(LEFT(TRIM(C530),FIND(" ",TRIM(C530)&amp;" ")-1),",","."),FIND("/",SUBSTITUTE(LEFT(TRIM(C530),FIND(" ",TRIM(C530)&amp;" ")-1),",","."))+1,9))*12/52,IF(ISNUMBER(SEARCH("month",C530)),IFERROR(_xlfn.NUMBERVALUE(SUBSTITUTE(LEFT(TRIM(C530),FIND(" ",TRIM(C530)&amp;" ")-1),",","."),"."),LEFT(SUBSTITUTE(LEFT(TRIM(C530),FIND(" ",TRIM(C530)&amp;" ")-1),",","."),FIND("/",SUBSTITUTE(LEFT(TRIM(C530),FIND(" ",TRIM(C530)&amp;" ")-1),",","."))-1)/MID(SUBSTITUTE(LEFT(TRIM(C530),FIND(" ",TRIM(C530)&amp;" ")-1),",","."),FIND("/",SUBSTITUTE(LEFT(TRIM(C530),FIND(" ",TRIM(C530)&amp;" ")-1),",","."))+1,9)),IF(ISNUMBER(SEARCH("yea",C530)),IFERROR(_xlfn.NUMBERVALUE(SUBSTITUTE(LEFT(TRIM(C530),FIND(" ",TRIM(C530)&amp;" ")-1),",","."),"."),LEFT(SUBSTITUTE(LEFT(TRIM(C530),FIND(" ",TRIM(C530)&amp;" ")-1),",","."),FIND("/",SUBSTITUTE(LEFT(TRIM(C530),FIND(" ",TRIM(C530)&amp;" ")-1),",","."))-1)/MID(SUBSTITUTE(LEFT(TRIM(C530),FIND(" ",TRIM(C530)&amp;" ")-1),",","."),FIND("/",SUBSTITUTE(LEFT(TRIM(C530),FIND(" ",TRIM(C530)&amp;" ")-1),",","."))+1,9))*12,NA()))),0),12)*'Aturan &amp; Tarif'!$B$4,2)</f>
        <v>681.36</v>
      </c>
      <c r="K530" s="42" t="n">
        <f aca="false">'Aturan &amp; Tarif'!$B$5</f>
        <v>2050</v>
      </c>
      <c r="L530" s="42" t="n">
        <f aca="false">'Aturan &amp; Tarif'!$B$6</f>
        <v>350</v>
      </c>
      <c r="M530" s="35" t="n">
        <f aca="false">I530+J530+K530+L530</f>
        <v>11216.36</v>
      </c>
      <c r="N530" s="45" t="s">
        <v>1753</v>
      </c>
    </row>
    <row r="531" customFormat="false" ht="25.5" hidden="false" customHeight="true" outlineLevel="0" collapsed="false">
      <c r="A531" s="39"/>
      <c r="B531" s="40" t="s">
        <v>1754</v>
      </c>
      <c r="C531" s="41" t="s">
        <v>130</v>
      </c>
      <c r="D531" s="41" t="s">
        <v>439</v>
      </c>
      <c r="E531" s="42" t="n">
        <v>8135</v>
      </c>
      <c r="F531" s="42" t="n">
        <v>400</v>
      </c>
      <c r="G531" s="42"/>
      <c r="H531" s="43" t="n">
        <v>1</v>
      </c>
      <c r="I531" s="34" t="n">
        <f aca="false">E531*H531+N(F531)+N(G531)</f>
        <v>8535</v>
      </c>
      <c r="J531" s="42" t="n">
        <f aca="false">ROUND(IFERROR(ROUND(IF(OR(ISNUMBER(SEARCH("week",C531)),ISNUMBER(SEARCH("minggu",C531))),IFERROR(_xlfn.NUMBERVALUE(SUBSTITUTE(LEFT(TRIM(C531),FIND(" ",TRIM(C531)&amp;" ")-1),",","."),"."),LEFT(SUBSTITUTE(LEFT(TRIM(C531),FIND(" ",TRIM(C531)&amp;" ")-1),",","."),FIND("/",SUBSTITUTE(LEFT(TRIM(C531),FIND(" ",TRIM(C531)&amp;" ")-1),",","."))-1)/MID(SUBSTITUTE(LEFT(TRIM(C531),FIND(" ",TRIM(C531)&amp;" ")-1),",","."),FIND("/",SUBSTITUTE(LEFT(TRIM(C531),FIND(" ",TRIM(C531)&amp;" ")-1),",","."))+1,9))*12/52,IF(ISNUMBER(SEARCH("month",C531)),IFERROR(_xlfn.NUMBERVALUE(SUBSTITUTE(LEFT(TRIM(C531),FIND(" ",TRIM(C531)&amp;" ")-1),",","."),"."),LEFT(SUBSTITUTE(LEFT(TRIM(C531),FIND(" ",TRIM(C531)&amp;" ")-1),",","."),FIND("/",SUBSTITUTE(LEFT(TRIM(C531),FIND(" ",TRIM(C531)&amp;" ")-1),",","."))-1)/MID(SUBSTITUTE(LEFT(TRIM(C531),FIND(" ",TRIM(C531)&amp;" ")-1),",","."),FIND("/",SUBSTITUTE(LEFT(TRIM(C531),FIND(" ",TRIM(C531)&amp;" ")-1),",","."))+1,9)),IF(ISNUMBER(SEARCH("yea",C531)),IFERROR(_xlfn.NUMBERVALUE(SUBSTITUTE(LEFT(TRIM(C531),FIND(" ",TRIM(C531)&amp;" ")-1),",","."),"."),LEFT(SUBSTITUTE(LEFT(TRIM(C531),FIND(" ",TRIM(C531)&amp;" ")-1),",","."),FIND("/",SUBSTITUTE(LEFT(TRIM(C531),FIND(" ",TRIM(C531)&amp;" ")-1),",","."))-1)/MID(SUBSTITUTE(LEFT(TRIM(C531),FIND(" ",TRIM(C531)&amp;" ")-1),",","."),FIND("/",SUBSTITUTE(LEFT(TRIM(C531),FIND(" ",TRIM(C531)&amp;" ")-1),",","."))+1,9))*12,NA()))),0),12)*'Aturan &amp; Tarif'!$B$4,2)</f>
        <v>681.36</v>
      </c>
      <c r="K531" s="42" t="n">
        <f aca="false">'Aturan &amp; Tarif'!$B$5</f>
        <v>2050</v>
      </c>
      <c r="L531" s="42" t="n">
        <f aca="false">'Aturan &amp; Tarif'!$B$6</f>
        <v>350</v>
      </c>
      <c r="M531" s="35" t="n">
        <f aca="false">I531+J531+K531+L531</f>
        <v>11616.36</v>
      </c>
      <c r="N531" s="45" t="s">
        <v>1755</v>
      </c>
    </row>
    <row r="532" customFormat="false" ht="37.5" hidden="false" customHeight="true" outlineLevel="0" collapsed="false">
      <c r="A532" s="39"/>
      <c r="B532" s="40" t="s">
        <v>1756</v>
      </c>
      <c r="C532" s="41" t="s">
        <v>130</v>
      </c>
      <c r="D532" s="41" t="s">
        <v>439</v>
      </c>
      <c r="E532" s="42" t="n">
        <v>8135</v>
      </c>
      <c r="F532" s="42" t="n">
        <v>300</v>
      </c>
      <c r="G532" s="42"/>
      <c r="H532" s="43" t="n">
        <v>1</v>
      </c>
      <c r="I532" s="34" t="n">
        <f aca="false">E532*H532+N(F532)+N(G532)</f>
        <v>8435</v>
      </c>
      <c r="J532" s="42" t="n">
        <f aca="false">ROUND(IFERROR(ROUND(IF(OR(ISNUMBER(SEARCH("week",C532)),ISNUMBER(SEARCH("minggu",C532))),IFERROR(_xlfn.NUMBERVALUE(SUBSTITUTE(LEFT(TRIM(C532),FIND(" ",TRIM(C532)&amp;" ")-1),",","."),"."),LEFT(SUBSTITUTE(LEFT(TRIM(C532),FIND(" ",TRIM(C532)&amp;" ")-1),",","."),FIND("/",SUBSTITUTE(LEFT(TRIM(C532),FIND(" ",TRIM(C532)&amp;" ")-1),",","."))-1)/MID(SUBSTITUTE(LEFT(TRIM(C532),FIND(" ",TRIM(C532)&amp;" ")-1),",","."),FIND("/",SUBSTITUTE(LEFT(TRIM(C532),FIND(" ",TRIM(C532)&amp;" ")-1),",","."))+1,9))*12/52,IF(ISNUMBER(SEARCH("month",C532)),IFERROR(_xlfn.NUMBERVALUE(SUBSTITUTE(LEFT(TRIM(C532),FIND(" ",TRIM(C532)&amp;" ")-1),",","."),"."),LEFT(SUBSTITUTE(LEFT(TRIM(C532),FIND(" ",TRIM(C532)&amp;" ")-1),",","."),FIND("/",SUBSTITUTE(LEFT(TRIM(C532),FIND(" ",TRIM(C532)&amp;" ")-1),",","."))-1)/MID(SUBSTITUTE(LEFT(TRIM(C532),FIND(" ",TRIM(C532)&amp;" ")-1),",","."),FIND("/",SUBSTITUTE(LEFT(TRIM(C532),FIND(" ",TRIM(C532)&amp;" ")-1),",","."))+1,9)),IF(ISNUMBER(SEARCH("yea",C532)),IFERROR(_xlfn.NUMBERVALUE(SUBSTITUTE(LEFT(TRIM(C532),FIND(" ",TRIM(C532)&amp;" ")-1),",","."),"."),LEFT(SUBSTITUTE(LEFT(TRIM(C532),FIND(" ",TRIM(C532)&amp;" ")-1),",","."),FIND("/",SUBSTITUTE(LEFT(TRIM(C532),FIND(" ",TRIM(C532)&amp;" ")-1),",","."))-1)/MID(SUBSTITUTE(LEFT(TRIM(C532),FIND(" ",TRIM(C532)&amp;" ")-1),",","."),FIND("/",SUBSTITUTE(LEFT(TRIM(C532),FIND(" ",TRIM(C532)&amp;" ")-1),",","."))+1,9))*12,NA()))),0),12)*'Aturan &amp; Tarif'!$B$4,2)</f>
        <v>681.36</v>
      </c>
      <c r="K532" s="42" t="n">
        <f aca="false">'Aturan &amp; Tarif'!$B$5</f>
        <v>2050</v>
      </c>
      <c r="L532" s="42" t="n">
        <f aca="false">'Aturan &amp; Tarif'!$B$6</f>
        <v>350</v>
      </c>
      <c r="M532" s="35" t="n">
        <f aca="false">I532+J532+K532+L532</f>
        <v>11516.36</v>
      </c>
      <c r="N532" s="45" t="s">
        <v>1757</v>
      </c>
    </row>
    <row r="533" customFormat="false" ht="25.5" hidden="false" customHeight="true" outlineLevel="0" collapsed="false">
      <c r="A533" s="39"/>
      <c r="B533" s="40" t="s">
        <v>1758</v>
      </c>
      <c r="C533" s="41" t="s">
        <v>344</v>
      </c>
      <c r="D533" s="41" t="s">
        <v>439</v>
      </c>
      <c r="E533" s="42" t="n">
        <v>8235</v>
      </c>
      <c r="F533" s="42" t="n">
        <v>2500</v>
      </c>
      <c r="G533" s="42"/>
      <c r="H533" s="43" t="n">
        <v>1</v>
      </c>
      <c r="I533" s="34" t="n">
        <f aca="false">E533*H533+N(F533)+N(G533)</f>
        <v>10735</v>
      </c>
      <c r="J533" s="42" t="n">
        <f aca="false">ROUND(IFERROR(ROUND(IF(OR(ISNUMBER(SEARCH("week",C533)),ISNUMBER(SEARCH("minggu",C533))),IFERROR(_xlfn.NUMBERVALUE(SUBSTITUTE(LEFT(TRIM(C533),FIND(" ",TRIM(C533)&amp;" ")-1),",","."),"."),LEFT(SUBSTITUTE(LEFT(TRIM(C533),FIND(" ",TRIM(C533)&amp;" ")-1),",","."),FIND("/",SUBSTITUTE(LEFT(TRIM(C533),FIND(" ",TRIM(C533)&amp;" ")-1),",","."))-1)/MID(SUBSTITUTE(LEFT(TRIM(C533),FIND(" ",TRIM(C533)&amp;" ")-1),",","."),FIND("/",SUBSTITUTE(LEFT(TRIM(C533),FIND(" ",TRIM(C533)&amp;" ")-1),",","."))+1,9))*12/52,IF(ISNUMBER(SEARCH("month",C533)),IFERROR(_xlfn.NUMBERVALUE(SUBSTITUTE(LEFT(TRIM(C533),FIND(" ",TRIM(C533)&amp;" ")-1),",","."),"."),LEFT(SUBSTITUTE(LEFT(TRIM(C533),FIND(" ",TRIM(C533)&amp;" ")-1),",","."),FIND("/",SUBSTITUTE(LEFT(TRIM(C533),FIND(" ",TRIM(C533)&amp;" ")-1),",","."))-1)/MID(SUBSTITUTE(LEFT(TRIM(C533),FIND(" ",TRIM(C533)&amp;" ")-1),",","."),FIND("/",SUBSTITUTE(LEFT(TRIM(C533),FIND(" ",TRIM(C533)&amp;" ")-1),",","."))+1,9)),IF(ISNUMBER(SEARCH("yea",C533)),IFERROR(_xlfn.NUMBERVALUE(SUBSTITUTE(LEFT(TRIM(C533),FIND(" ",TRIM(C533)&amp;" ")-1),",","."),"."),LEFT(SUBSTITUTE(LEFT(TRIM(C533),FIND(" ",TRIM(C533)&amp;" ")-1),",","."),FIND("/",SUBSTITUTE(LEFT(TRIM(C533),FIND(" ",TRIM(C533)&amp;" ")-1),",","."))-1)/MID(SUBSTITUTE(LEFT(TRIM(C533),FIND(" ",TRIM(C533)&amp;" ")-1),",","."),FIND("/",SUBSTITUTE(LEFT(TRIM(C533),FIND(" ",TRIM(C533)&amp;" ")-1),",","."))+1,9))*12,NA()))),0),6)*'Aturan &amp; Tarif'!$B$4,2)</f>
        <v>340.68</v>
      </c>
      <c r="K533" s="42" t="n">
        <f aca="false">'Aturan &amp; Tarif'!$B$5</f>
        <v>2050</v>
      </c>
      <c r="L533" s="42" t="n">
        <f aca="false">'Aturan &amp; Tarif'!$B$6</f>
        <v>350</v>
      </c>
      <c r="M533" s="35" t="n">
        <f aca="false">I533+J533+K533+L533</f>
        <v>13475.68</v>
      </c>
      <c r="N533" s="45" t="s">
        <v>1759</v>
      </c>
    </row>
    <row r="534" customFormat="false" ht="60" hidden="false" customHeight="true" outlineLevel="0" collapsed="false">
      <c r="A534" s="39"/>
      <c r="B534" s="40" t="s">
        <v>1760</v>
      </c>
      <c r="C534" s="41" t="s">
        <v>107</v>
      </c>
      <c r="D534" s="41" t="s">
        <v>439</v>
      </c>
      <c r="E534" s="42" t="n">
        <v>10720</v>
      </c>
      <c r="F534" s="42" t="n">
        <v>2000</v>
      </c>
      <c r="G534" s="42"/>
      <c r="H534" s="43" t="n">
        <v>1</v>
      </c>
      <c r="I534" s="34" t="n">
        <f aca="false">E534*H534+N(F534)+N(G534)</f>
        <v>12720</v>
      </c>
      <c r="J534" s="42" t="n">
        <f aca="false">ROUND(IFERROR(ROUND(IF(OR(ISNUMBER(SEARCH("week",C534)),ISNUMBER(SEARCH("minggu",C534))),IFERROR(_xlfn.NUMBERVALUE(SUBSTITUTE(LEFT(TRIM(C534),FIND(" ",TRIM(C534)&amp;" ")-1),",","."),"."),LEFT(SUBSTITUTE(LEFT(TRIM(C534),FIND(" ",TRIM(C534)&amp;" ")-1),",","."),FIND("/",SUBSTITUTE(LEFT(TRIM(C534),FIND(" ",TRIM(C534)&amp;" ")-1),",","."))-1)/MID(SUBSTITUTE(LEFT(TRIM(C534),FIND(" ",TRIM(C534)&amp;" ")-1),",","."),FIND("/",SUBSTITUTE(LEFT(TRIM(C534),FIND(" ",TRIM(C534)&amp;" ")-1),",","."))+1,9))*12/52,IF(ISNUMBER(SEARCH("month",C534)),IFERROR(_xlfn.NUMBERVALUE(SUBSTITUTE(LEFT(TRIM(C534),FIND(" ",TRIM(C534)&amp;" ")-1),",","."),"."),LEFT(SUBSTITUTE(LEFT(TRIM(C534),FIND(" ",TRIM(C534)&amp;" ")-1),",","."),FIND("/",SUBSTITUTE(LEFT(TRIM(C534),FIND(" ",TRIM(C534)&amp;" ")-1),",","."))-1)/MID(SUBSTITUTE(LEFT(TRIM(C534),FIND(" ",TRIM(C534)&amp;" ")-1),",","."),FIND("/",SUBSTITUTE(LEFT(TRIM(C534),FIND(" ",TRIM(C534)&amp;" ")-1),",","."))+1,9)),IF(ISNUMBER(SEARCH("yea",C534)),IFERROR(_xlfn.NUMBERVALUE(SUBSTITUTE(LEFT(TRIM(C534),FIND(" ",TRIM(C534)&amp;" ")-1),",","."),"."),LEFT(SUBSTITUTE(LEFT(TRIM(C534),FIND(" ",TRIM(C534)&amp;" ")-1),",","."),FIND("/",SUBSTITUTE(LEFT(TRIM(C534),FIND(" ",TRIM(C534)&amp;" ")-1),",","."))-1)/MID(SUBSTITUTE(LEFT(TRIM(C534),FIND(" ",TRIM(C534)&amp;" ")-1),",","."),FIND("/",SUBSTITUTE(LEFT(TRIM(C534),FIND(" ",TRIM(C534)&amp;" ")-1),",","."))+1,9))*12,NA()))),0),24)*'Aturan &amp; Tarif'!$B$4,2)</f>
        <v>1362.72</v>
      </c>
      <c r="K534" s="42" t="n">
        <f aca="false">'Aturan &amp; Tarif'!$B$5</f>
        <v>2050</v>
      </c>
      <c r="L534" s="42" t="n">
        <f aca="false">'Aturan &amp; Tarif'!$B$6</f>
        <v>350</v>
      </c>
      <c r="M534" s="35" t="n">
        <f aca="false">I534+J534+K534+L534</f>
        <v>16482.72</v>
      </c>
      <c r="N534" s="44" t="s">
        <v>1761</v>
      </c>
    </row>
    <row r="535" customFormat="false" ht="60" hidden="false" customHeight="true" outlineLevel="0" collapsed="false">
      <c r="A535" s="39"/>
      <c r="B535" s="40" t="s">
        <v>1762</v>
      </c>
      <c r="C535" s="41" t="s">
        <v>107</v>
      </c>
      <c r="D535" s="41" t="s">
        <v>439</v>
      </c>
      <c r="E535" s="42" t="n">
        <v>10720</v>
      </c>
      <c r="F535" s="42" t="n">
        <v>2000</v>
      </c>
      <c r="G535" s="42"/>
      <c r="H535" s="43" t="n">
        <v>1</v>
      </c>
      <c r="I535" s="34" t="n">
        <f aca="false">E535*H535+N(F535)+N(G535)</f>
        <v>12720</v>
      </c>
      <c r="J535" s="42" t="n">
        <f aca="false">ROUND(IFERROR(ROUND(IF(OR(ISNUMBER(SEARCH("week",C535)),ISNUMBER(SEARCH("minggu",C535))),IFERROR(_xlfn.NUMBERVALUE(SUBSTITUTE(LEFT(TRIM(C535),FIND(" ",TRIM(C535)&amp;" ")-1),",","."),"."),LEFT(SUBSTITUTE(LEFT(TRIM(C535),FIND(" ",TRIM(C535)&amp;" ")-1),",","."),FIND("/",SUBSTITUTE(LEFT(TRIM(C535),FIND(" ",TRIM(C535)&amp;" ")-1),",","."))-1)/MID(SUBSTITUTE(LEFT(TRIM(C535),FIND(" ",TRIM(C535)&amp;" ")-1),",","."),FIND("/",SUBSTITUTE(LEFT(TRIM(C535),FIND(" ",TRIM(C535)&amp;" ")-1),",","."))+1,9))*12/52,IF(ISNUMBER(SEARCH("month",C535)),IFERROR(_xlfn.NUMBERVALUE(SUBSTITUTE(LEFT(TRIM(C535),FIND(" ",TRIM(C535)&amp;" ")-1),",","."),"."),LEFT(SUBSTITUTE(LEFT(TRIM(C535),FIND(" ",TRIM(C535)&amp;" ")-1),",","."),FIND("/",SUBSTITUTE(LEFT(TRIM(C535),FIND(" ",TRIM(C535)&amp;" ")-1),",","."))-1)/MID(SUBSTITUTE(LEFT(TRIM(C535),FIND(" ",TRIM(C535)&amp;" ")-1),",","."),FIND("/",SUBSTITUTE(LEFT(TRIM(C535),FIND(" ",TRIM(C535)&amp;" ")-1),",","."))+1,9)),IF(ISNUMBER(SEARCH("yea",C535)),IFERROR(_xlfn.NUMBERVALUE(SUBSTITUTE(LEFT(TRIM(C535),FIND(" ",TRIM(C535)&amp;" ")-1),",","."),"."),LEFT(SUBSTITUTE(LEFT(TRIM(C535),FIND(" ",TRIM(C535)&amp;" ")-1),",","."),FIND("/",SUBSTITUTE(LEFT(TRIM(C535),FIND(" ",TRIM(C535)&amp;" ")-1),",","."))-1)/MID(SUBSTITUTE(LEFT(TRIM(C535),FIND(" ",TRIM(C535)&amp;" ")-1),",","."),FIND("/",SUBSTITUTE(LEFT(TRIM(C535),FIND(" ",TRIM(C535)&amp;" ")-1),",","."))+1,9))*12,NA()))),0),24)*'Aturan &amp; Tarif'!$B$4,2)</f>
        <v>1362.72</v>
      </c>
      <c r="K535" s="42" t="n">
        <f aca="false">'Aturan &amp; Tarif'!$B$5</f>
        <v>2050</v>
      </c>
      <c r="L535" s="42" t="n">
        <f aca="false">'Aturan &amp; Tarif'!$B$6</f>
        <v>350</v>
      </c>
      <c r="M535" s="35" t="n">
        <f aca="false">I535+J535+K535+L535</f>
        <v>16482.72</v>
      </c>
      <c r="N535" s="44" t="s">
        <v>1763</v>
      </c>
    </row>
    <row r="536" customFormat="false" ht="60" hidden="false" customHeight="true" outlineLevel="0" collapsed="false">
      <c r="A536" s="39"/>
      <c r="B536" s="40" t="s">
        <v>1764</v>
      </c>
      <c r="C536" s="41" t="s">
        <v>107</v>
      </c>
      <c r="D536" s="41" t="s">
        <v>439</v>
      </c>
      <c r="E536" s="42" t="n">
        <v>10720</v>
      </c>
      <c r="F536" s="42" t="n">
        <v>2000</v>
      </c>
      <c r="G536" s="42"/>
      <c r="H536" s="43" t="n">
        <v>1</v>
      </c>
      <c r="I536" s="34" t="n">
        <f aca="false">E536*H536+N(F536)+N(G536)</f>
        <v>12720</v>
      </c>
      <c r="J536" s="42" t="n">
        <f aca="false">ROUND(IFERROR(ROUND(IF(OR(ISNUMBER(SEARCH("week",C536)),ISNUMBER(SEARCH("minggu",C536))),IFERROR(_xlfn.NUMBERVALUE(SUBSTITUTE(LEFT(TRIM(C536),FIND(" ",TRIM(C536)&amp;" ")-1),",","."),"."),LEFT(SUBSTITUTE(LEFT(TRIM(C536),FIND(" ",TRIM(C536)&amp;" ")-1),",","."),FIND("/",SUBSTITUTE(LEFT(TRIM(C536),FIND(" ",TRIM(C536)&amp;" ")-1),",","."))-1)/MID(SUBSTITUTE(LEFT(TRIM(C536),FIND(" ",TRIM(C536)&amp;" ")-1),",","."),FIND("/",SUBSTITUTE(LEFT(TRIM(C536),FIND(" ",TRIM(C536)&amp;" ")-1),",","."))+1,9))*12/52,IF(ISNUMBER(SEARCH("month",C536)),IFERROR(_xlfn.NUMBERVALUE(SUBSTITUTE(LEFT(TRIM(C536),FIND(" ",TRIM(C536)&amp;" ")-1),",","."),"."),LEFT(SUBSTITUTE(LEFT(TRIM(C536),FIND(" ",TRIM(C536)&amp;" ")-1),",","."),FIND("/",SUBSTITUTE(LEFT(TRIM(C536),FIND(" ",TRIM(C536)&amp;" ")-1),",","."))-1)/MID(SUBSTITUTE(LEFT(TRIM(C536),FIND(" ",TRIM(C536)&amp;" ")-1),",","."),FIND("/",SUBSTITUTE(LEFT(TRIM(C536),FIND(" ",TRIM(C536)&amp;" ")-1),",","."))+1,9)),IF(ISNUMBER(SEARCH("yea",C536)),IFERROR(_xlfn.NUMBERVALUE(SUBSTITUTE(LEFT(TRIM(C536),FIND(" ",TRIM(C536)&amp;" ")-1),",","."),"."),LEFT(SUBSTITUTE(LEFT(TRIM(C536),FIND(" ",TRIM(C536)&amp;" ")-1),",","."),FIND("/",SUBSTITUTE(LEFT(TRIM(C536),FIND(" ",TRIM(C536)&amp;" ")-1),",","."))-1)/MID(SUBSTITUTE(LEFT(TRIM(C536),FIND(" ",TRIM(C536)&amp;" ")-1),",","."),FIND("/",SUBSTITUTE(LEFT(TRIM(C536),FIND(" ",TRIM(C536)&amp;" ")-1),",","."))+1,9))*12,NA()))),0),24)*'Aturan &amp; Tarif'!$B$4,2)</f>
        <v>1362.72</v>
      </c>
      <c r="K536" s="42" t="n">
        <f aca="false">'Aturan &amp; Tarif'!$B$5</f>
        <v>2050</v>
      </c>
      <c r="L536" s="42" t="n">
        <f aca="false">'Aturan &amp; Tarif'!$B$6</f>
        <v>350</v>
      </c>
      <c r="M536" s="35" t="n">
        <f aca="false">I536+J536+K536+L536</f>
        <v>16482.72</v>
      </c>
      <c r="N536" s="44" t="s">
        <v>1765</v>
      </c>
    </row>
    <row r="537" customFormat="false" ht="60" hidden="false" customHeight="true" outlineLevel="0" collapsed="false">
      <c r="A537" s="39"/>
      <c r="B537" s="40" t="s">
        <v>1766</v>
      </c>
      <c r="C537" s="41" t="s">
        <v>107</v>
      </c>
      <c r="D537" s="41" t="s">
        <v>439</v>
      </c>
      <c r="E537" s="42" t="n">
        <v>10720</v>
      </c>
      <c r="F537" s="42" t="n">
        <v>2000</v>
      </c>
      <c r="G537" s="42"/>
      <c r="H537" s="43" t="n">
        <v>1</v>
      </c>
      <c r="I537" s="34" t="n">
        <f aca="false">E537*H537+N(F537)+N(G537)</f>
        <v>12720</v>
      </c>
      <c r="J537" s="42" t="n">
        <f aca="false">ROUND(IFERROR(ROUND(IF(OR(ISNUMBER(SEARCH("week",C537)),ISNUMBER(SEARCH("minggu",C537))),IFERROR(_xlfn.NUMBERVALUE(SUBSTITUTE(LEFT(TRIM(C537),FIND(" ",TRIM(C537)&amp;" ")-1),",","."),"."),LEFT(SUBSTITUTE(LEFT(TRIM(C537),FIND(" ",TRIM(C537)&amp;" ")-1),",","."),FIND("/",SUBSTITUTE(LEFT(TRIM(C537),FIND(" ",TRIM(C537)&amp;" ")-1),",","."))-1)/MID(SUBSTITUTE(LEFT(TRIM(C537),FIND(" ",TRIM(C537)&amp;" ")-1),",","."),FIND("/",SUBSTITUTE(LEFT(TRIM(C537),FIND(" ",TRIM(C537)&amp;" ")-1),",","."))+1,9))*12/52,IF(ISNUMBER(SEARCH("month",C537)),IFERROR(_xlfn.NUMBERVALUE(SUBSTITUTE(LEFT(TRIM(C537),FIND(" ",TRIM(C537)&amp;" ")-1),",","."),"."),LEFT(SUBSTITUTE(LEFT(TRIM(C537),FIND(" ",TRIM(C537)&amp;" ")-1),",","."),FIND("/",SUBSTITUTE(LEFT(TRIM(C537),FIND(" ",TRIM(C537)&amp;" ")-1),",","."))-1)/MID(SUBSTITUTE(LEFT(TRIM(C537),FIND(" ",TRIM(C537)&amp;" ")-1),",","."),FIND("/",SUBSTITUTE(LEFT(TRIM(C537),FIND(" ",TRIM(C537)&amp;" ")-1),",","."))+1,9)),IF(ISNUMBER(SEARCH("yea",C537)),IFERROR(_xlfn.NUMBERVALUE(SUBSTITUTE(LEFT(TRIM(C537),FIND(" ",TRIM(C537)&amp;" ")-1),",","."),"."),LEFT(SUBSTITUTE(LEFT(TRIM(C537),FIND(" ",TRIM(C537)&amp;" ")-1),",","."),FIND("/",SUBSTITUTE(LEFT(TRIM(C537),FIND(" ",TRIM(C537)&amp;" ")-1),",","."))-1)/MID(SUBSTITUTE(LEFT(TRIM(C537),FIND(" ",TRIM(C537)&amp;" ")-1),",","."),FIND("/",SUBSTITUTE(LEFT(TRIM(C537),FIND(" ",TRIM(C537)&amp;" ")-1),",","."))+1,9))*12,NA()))),0),24)*'Aturan &amp; Tarif'!$B$4,2)</f>
        <v>1362.72</v>
      </c>
      <c r="K537" s="42" t="n">
        <f aca="false">'Aturan &amp; Tarif'!$B$5</f>
        <v>2050</v>
      </c>
      <c r="L537" s="42" t="n">
        <f aca="false">'Aturan &amp; Tarif'!$B$6</f>
        <v>350</v>
      </c>
      <c r="M537" s="35" t="n">
        <f aca="false">I537+J537+K537+L537</f>
        <v>16482.72</v>
      </c>
      <c r="N537" s="44" t="s">
        <v>1767</v>
      </c>
    </row>
    <row r="538" customFormat="false" ht="14.25" hidden="false" customHeight="true" outlineLevel="0" collapsed="false">
      <c r="A538" s="39"/>
      <c r="B538" s="40" t="s">
        <v>1768</v>
      </c>
      <c r="C538" s="41" t="s">
        <v>130</v>
      </c>
      <c r="D538" s="41" t="s">
        <v>439</v>
      </c>
      <c r="E538" s="42" t="n">
        <v>5942</v>
      </c>
      <c r="F538" s="42" t="n">
        <v>150</v>
      </c>
      <c r="G538" s="42"/>
      <c r="H538" s="43" t="n">
        <v>1</v>
      </c>
      <c r="I538" s="34" t="n">
        <f aca="false">E538*H538+N(F538)+N(G538)</f>
        <v>6092</v>
      </c>
      <c r="J538" s="42" t="n">
        <f aca="false">ROUND(IFERROR(ROUND(IF(OR(ISNUMBER(SEARCH("week",C538)),ISNUMBER(SEARCH("minggu",C538))),IFERROR(_xlfn.NUMBERVALUE(SUBSTITUTE(LEFT(TRIM(C538),FIND(" ",TRIM(C538)&amp;" ")-1),",","."),"."),LEFT(SUBSTITUTE(LEFT(TRIM(C538),FIND(" ",TRIM(C538)&amp;" ")-1),",","."),FIND("/",SUBSTITUTE(LEFT(TRIM(C538),FIND(" ",TRIM(C538)&amp;" ")-1),",","."))-1)/MID(SUBSTITUTE(LEFT(TRIM(C538),FIND(" ",TRIM(C538)&amp;" ")-1),",","."),FIND("/",SUBSTITUTE(LEFT(TRIM(C538),FIND(" ",TRIM(C538)&amp;" ")-1),",","."))+1,9))*12/52,IF(ISNUMBER(SEARCH("month",C538)),IFERROR(_xlfn.NUMBERVALUE(SUBSTITUTE(LEFT(TRIM(C538),FIND(" ",TRIM(C538)&amp;" ")-1),",","."),"."),LEFT(SUBSTITUTE(LEFT(TRIM(C538),FIND(" ",TRIM(C538)&amp;" ")-1),",","."),FIND("/",SUBSTITUTE(LEFT(TRIM(C538),FIND(" ",TRIM(C538)&amp;" ")-1),",","."))-1)/MID(SUBSTITUTE(LEFT(TRIM(C538),FIND(" ",TRIM(C538)&amp;" ")-1),",","."),FIND("/",SUBSTITUTE(LEFT(TRIM(C538),FIND(" ",TRIM(C538)&amp;" ")-1),",","."))+1,9)),IF(ISNUMBER(SEARCH("yea",C538)),IFERROR(_xlfn.NUMBERVALUE(SUBSTITUTE(LEFT(TRIM(C538),FIND(" ",TRIM(C538)&amp;" ")-1),",","."),"."),LEFT(SUBSTITUTE(LEFT(TRIM(C538),FIND(" ",TRIM(C538)&amp;" ")-1),",","."),FIND("/",SUBSTITUTE(LEFT(TRIM(C538),FIND(" ",TRIM(C538)&amp;" ")-1),",","."))-1)/MID(SUBSTITUTE(LEFT(TRIM(C538),FIND(" ",TRIM(C538)&amp;" ")-1),",","."),FIND("/",SUBSTITUTE(LEFT(TRIM(C538),FIND(" ",TRIM(C538)&amp;" ")-1),",","."))+1,9))*12,NA()))),0),12)*'Aturan &amp; Tarif'!$B$4,2)</f>
        <v>681.36</v>
      </c>
      <c r="K538" s="42" t="n">
        <f aca="false">'Aturan &amp; Tarif'!$B$5</f>
        <v>2050</v>
      </c>
      <c r="L538" s="42" t="n">
        <f aca="false">'Aturan &amp; Tarif'!$B$6</f>
        <v>350</v>
      </c>
      <c r="M538" s="35" t="n">
        <f aca="false">I538+J538+K538+L538</f>
        <v>9173.36</v>
      </c>
      <c r="N538" s="45" t="s">
        <v>1769</v>
      </c>
    </row>
    <row r="539" customFormat="false" ht="25.5" hidden="false" customHeight="true" outlineLevel="0" collapsed="false">
      <c r="A539" s="39"/>
      <c r="B539" s="40" t="s">
        <v>1770</v>
      </c>
      <c r="C539" s="41" t="s">
        <v>130</v>
      </c>
      <c r="D539" s="41" t="s">
        <v>439</v>
      </c>
      <c r="E539" s="42" t="n">
        <v>6243</v>
      </c>
      <c r="F539" s="42" t="n">
        <v>200</v>
      </c>
      <c r="G539" s="42"/>
      <c r="H539" s="43" t="n">
        <v>1</v>
      </c>
      <c r="I539" s="34" t="n">
        <f aca="false">E539*H539+N(F539)+N(G539)</f>
        <v>6443</v>
      </c>
      <c r="J539" s="42" t="n">
        <f aca="false">ROUND(IFERROR(ROUND(IF(OR(ISNUMBER(SEARCH("week",C539)),ISNUMBER(SEARCH("minggu",C539))),IFERROR(_xlfn.NUMBERVALUE(SUBSTITUTE(LEFT(TRIM(C539),FIND(" ",TRIM(C539)&amp;" ")-1),",","."),"."),LEFT(SUBSTITUTE(LEFT(TRIM(C539),FIND(" ",TRIM(C539)&amp;" ")-1),",","."),FIND("/",SUBSTITUTE(LEFT(TRIM(C539),FIND(" ",TRIM(C539)&amp;" ")-1),",","."))-1)/MID(SUBSTITUTE(LEFT(TRIM(C539),FIND(" ",TRIM(C539)&amp;" ")-1),",","."),FIND("/",SUBSTITUTE(LEFT(TRIM(C539),FIND(" ",TRIM(C539)&amp;" ")-1),",","."))+1,9))*12/52,IF(ISNUMBER(SEARCH("month",C539)),IFERROR(_xlfn.NUMBERVALUE(SUBSTITUTE(LEFT(TRIM(C539),FIND(" ",TRIM(C539)&amp;" ")-1),",","."),"."),LEFT(SUBSTITUTE(LEFT(TRIM(C539),FIND(" ",TRIM(C539)&amp;" ")-1),",","."),FIND("/",SUBSTITUTE(LEFT(TRIM(C539),FIND(" ",TRIM(C539)&amp;" ")-1),",","."))-1)/MID(SUBSTITUTE(LEFT(TRIM(C539),FIND(" ",TRIM(C539)&amp;" ")-1),",","."),FIND("/",SUBSTITUTE(LEFT(TRIM(C539),FIND(" ",TRIM(C539)&amp;" ")-1),",","."))+1,9)),IF(ISNUMBER(SEARCH("yea",C539)),IFERROR(_xlfn.NUMBERVALUE(SUBSTITUTE(LEFT(TRIM(C539),FIND(" ",TRIM(C539)&amp;" ")-1),",","."),"."),LEFT(SUBSTITUTE(LEFT(TRIM(C539),FIND(" ",TRIM(C539)&amp;" ")-1),",","."),FIND("/",SUBSTITUTE(LEFT(TRIM(C539),FIND(" ",TRIM(C539)&amp;" ")-1),",","."))-1)/MID(SUBSTITUTE(LEFT(TRIM(C539),FIND(" ",TRIM(C539)&amp;" ")-1),",","."),FIND("/",SUBSTITUTE(LEFT(TRIM(C539),FIND(" ",TRIM(C539)&amp;" ")-1),",","."))+1,9))*12,NA()))),0),12)*'Aturan &amp; Tarif'!$B$4,2)</f>
        <v>681.36</v>
      </c>
      <c r="K539" s="42" t="n">
        <f aca="false">'Aturan &amp; Tarif'!$B$5</f>
        <v>2050</v>
      </c>
      <c r="L539" s="42" t="n">
        <f aca="false">'Aturan &amp; Tarif'!$B$6</f>
        <v>350</v>
      </c>
      <c r="M539" s="35" t="n">
        <f aca="false">I539+J539+K539+L539</f>
        <v>9524.36</v>
      </c>
      <c r="N539" s="45" t="s">
        <v>1771</v>
      </c>
    </row>
    <row r="540" customFormat="false" ht="25.5" hidden="false" customHeight="true" outlineLevel="0" collapsed="false">
      <c r="A540" s="39"/>
      <c r="B540" s="40" t="s">
        <v>1772</v>
      </c>
      <c r="C540" s="41" t="s">
        <v>130</v>
      </c>
      <c r="D540" s="41" t="s">
        <v>439</v>
      </c>
      <c r="E540" s="42" t="n">
        <v>9235</v>
      </c>
      <c r="F540" s="42" t="n">
        <v>150</v>
      </c>
      <c r="G540" s="42"/>
      <c r="H540" s="43" t="n">
        <v>1</v>
      </c>
      <c r="I540" s="34" t="n">
        <f aca="false">E540*H540+N(F540)+N(G540)</f>
        <v>9385</v>
      </c>
      <c r="J540" s="42" t="n">
        <f aca="false">ROUND(IFERROR(ROUND(IF(OR(ISNUMBER(SEARCH("week",C540)),ISNUMBER(SEARCH("minggu",C540))),IFERROR(_xlfn.NUMBERVALUE(SUBSTITUTE(LEFT(TRIM(C540),FIND(" ",TRIM(C540)&amp;" ")-1),",","."),"."),LEFT(SUBSTITUTE(LEFT(TRIM(C540),FIND(" ",TRIM(C540)&amp;" ")-1),",","."),FIND("/",SUBSTITUTE(LEFT(TRIM(C540),FIND(" ",TRIM(C540)&amp;" ")-1),",","."))-1)/MID(SUBSTITUTE(LEFT(TRIM(C540),FIND(" ",TRIM(C540)&amp;" ")-1),",","."),FIND("/",SUBSTITUTE(LEFT(TRIM(C540),FIND(" ",TRIM(C540)&amp;" ")-1),",","."))+1,9))*12/52,IF(ISNUMBER(SEARCH("month",C540)),IFERROR(_xlfn.NUMBERVALUE(SUBSTITUTE(LEFT(TRIM(C540),FIND(" ",TRIM(C540)&amp;" ")-1),",","."),"."),LEFT(SUBSTITUTE(LEFT(TRIM(C540),FIND(" ",TRIM(C540)&amp;" ")-1),",","."),FIND("/",SUBSTITUTE(LEFT(TRIM(C540),FIND(" ",TRIM(C540)&amp;" ")-1),",","."))-1)/MID(SUBSTITUTE(LEFT(TRIM(C540),FIND(" ",TRIM(C540)&amp;" ")-1),",","."),FIND("/",SUBSTITUTE(LEFT(TRIM(C540),FIND(" ",TRIM(C540)&amp;" ")-1),",","."))+1,9)),IF(ISNUMBER(SEARCH("yea",C540)),IFERROR(_xlfn.NUMBERVALUE(SUBSTITUTE(LEFT(TRIM(C540),FIND(" ",TRIM(C540)&amp;" ")-1),",","."),"."),LEFT(SUBSTITUTE(LEFT(TRIM(C540),FIND(" ",TRIM(C540)&amp;" ")-1),",","."),FIND("/",SUBSTITUTE(LEFT(TRIM(C540),FIND(" ",TRIM(C540)&amp;" ")-1),",","."))-1)/MID(SUBSTITUTE(LEFT(TRIM(C540),FIND(" ",TRIM(C540)&amp;" ")-1),",","."),FIND("/",SUBSTITUTE(LEFT(TRIM(C540),FIND(" ",TRIM(C540)&amp;" ")-1),",","."))+1,9))*12,NA()))),0),12)*'Aturan &amp; Tarif'!$B$4,2)</f>
        <v>681.36</v>
      </c>
      <c r="K540" s="42" t="n">
        <f aca="false">'Aturan &amp; Tarif'!$B$5</f>
        <v>2050</v>
      </c>
      <c r="L540" s="42" t="n">
        <f aca="false">'Aturan &amp; Tarif'!$B$6</f>
        <v>350</v>
      </c>
      <c r="M540" s="35" t="n">
        <f aca="false">I540+J540+K540+L540</f>
        <v>12466.36</v>
      </c>
      <c r="N540" s="45" t="s">
        <v>1773</v>
      </c>
    </row>
    <row r="541" customFormat="false" ht="72" hidden="false" customHeight="true" outlineLevel="0" collapsed="false">
      <c r="A541" s="39"/>
      <c r="B541" s="40" t="s">
        <v>1774</v>
      </c>
      <c r="C541" s="41" t="s">
        <v>113</v>
      </c>
      <c r="D541" s="41" t="s">
        <v>108</v>
      </c>
      <c r="E541" s="42" t="n">
        <v>5921.25</v>
      </c>
      <c r="F541" s="42" t="n">
        <v>250</v>
      </c>
      <c r="G541" s="42"/>
      <c r="H541" s="43" t="n">
        <v>2</v>
      </c>
      <c r="I541" s="34" t="n">
        <f aca="false">E541*H541+N(F541)+N(G541)</f>
        <v>12092.5</v>
      </c>
      <c r="J541" s="42" t="n">
        <f aca="false">ROUND(IFERROR(ROUND(IF(OR(ISNUMBER(SEARCH("week",C541)),ISNUMBER(SEARCH("minggu",C541))),IFERROR(_xlfn.NUMBERVALUE(SUBSTITUTE(LEFT(TRIM(C541),FIND(" ",TRIM(C541)&amp;" ")-1),",","."),"."),LEFT(SUBSTITUTE(LEFT(TRIM(C541),FIND(" ",TRIM(C541)&amp;" ")-1),",","."),FIND("/",SUBSTITUTE(LEFT(TRIM(C541),FIND(" ",TRIM(C541)&amp;" ")-1),",","."))-1)/MID(SUBSTITUTE(LEFT(TRIM(C541),FIND(" ",TRIM(C541)&amp;" ")-1),",","."),FIND("/",SUBSTITUTE(LEFT(TRIM(C541),FIND(" ",TRIM(C541)&amp;" ")-1),",","."))+1,9))*12/52,IF(ISNUMBER(SEARCH("month",C541)),IFERROR(_xlfn.NUMBERVALUE(SUBSTITUTE(LEFT(TRIM(C541),FIND(" ",TRIM(C541)&amp;" ")-1),",","."),"."),LEFT(SUBSTITUTE(LEFT(TRIM(C541),FIND(" ",TRIM(C541)&amp;" ")-1),",","."),FIND("/",SUBSTITUTE(LEFT(TRIM(C541),FIND(" ",TRIM(C541)&amp;" ")-1),",","."))-1)/MID(SUBSTITUTE(LEFT(TRIM(C541),FIND(" ",TRIM(C541)&amp;" ")-1),",","."),FIND("/",SUBSTITUTE(LEFT(TRIM(C541),FIND(" ",TRIM(C541)&amp;" ")-1),",","."))+1,9)),IF(ISNUMBER(SEARCH("yea",C541)),IFERROR(_xlfn.NUMBERVALUE(SUBSTITUTE(LEFT(TRIM(C541),FIND(" ",TRIM(C541)&amp;" ")-1),",","."),"."),LEFT(SUBSTITUTE(LEFT(TRIM(C541),FIND(" ",TRIM(C541)&amp;" ")-1),",","."),FIND("/",SUBSTITUTE(LEFT(TRIM(C541),FIND(" ",TRIM(C541)&amp;" ")-1),",","."))-1)/MID(SUBSTITUTE(LEFT(TRIM(C541),FIND(" ",TRIM(C541)&amp;" ")-1),",","."),FIND("/",SUBSTITUTE(LEFT(TRIM(C541),FIND(" ",TRIM(C541)&amp;" ")-1),",","."))+1,9))*12,NA()))),0),18)*'Aturan &amp; Tarif'!$B$4,2)</f>
        <v>1022.04</v>
      </c>
      <c r="K541" s="42" t="n">
        <f aca="false">'Aturan &amp; Tarif'!$B$5</f>
        <v>2050</v>
      </c>
      <c r="L541" s="42" t="n">
        <f aca="false">'Aturan &amp; Tarif'!$B$6</f>
        <v>350</v>
      </c>
      <c r="M541" s="35" t="n">
        <f aca="false">I541+J541+K541+L541</f>
        <v>15514.54</v>
      </c>
      <c r="N541" s="44" t="s">
        <v>1775</v>
      </c>
    </row>
    <row r="542" customFormat="false" ht="37.5" hidden="false" customHeight="true" outlineLevel="0" collapsed="false">
      <c r="A542" s="29" t="s">
        <v>1776</v>
      </c>
      <c r="B542" s="30" t="s">
        <v>1777</v>
      </c>
      <c r="C542" s="31" t="s">
        <v>127</v>
      </c>
      <c r="D542" s="31" t="s">
        <v>108</v>
      </c>
      <c r="E542" s="32" t="n">
        <v>2915</v>
      </c>
      <c r="F542" s="32" t="n">
        <v>2700</v>
      </c>
      <c r="G542" s="32" t="n">
        <v>500</v>
      </c>
      <c r="H542" s="33" t="n">
        <v>1</v>
      </c>
      <c r="I542" s="34" t="n">
        <f aca="false">E542*H542+N(F542)+N(G542)</f>
        <v>6115</v>
      </c>
      <c r="J542" s="32" t="n">
        <f aca="false">ROUND(IFERROR(ROUND(IF(OR(ISNUMBER(SEARCH("week",C542)),ISNUMBER(SEARCH("minggu",C542))),IFERROR(_xlfn.NUMBERVALUE(SUBSTITUTE(LEFT(TRIM(C542),FIND(" ",TRIM(C542)&amp;" ")-1),",","."),"."),LEFT(SUBSTITUTE(LEFT(TRIM(C542),FIND(" ",TRIM(C542)&amp;" ")-1),",","."),FIND("/",SUBSTITUTE(LEFT(TRIM(C542),FIND(" ",TRIM(C542)&amp;" ")-1),",","."))-1)/MID(SUBSTITUTE(LEFT(TRIM(C542),FIND(" ",TRIM(C542)&amp;" ")-1),",","."),FIND("/",SUBSTITUTE(LEFT(TRIM(C542),FIND(" ",TRIM(C542)&amp;" ")-1),",","."))+1,9))*12/52,IF(ISNUMBER(SEARCH("month",C542)),IFERROR(_xlfn.NUMBERVALUE(SUBSTITUTE(LEFT(TRIM(C542),FIND(" ",TRIM(C542)&amp;" ")-1),",","."),"."),LEFT(SUBSTITUTE(LEFT(TRIM(C542),FIND(" ",TRIM(C542)&amp;" ")-1),",","."),FIND("/",SUBSTITUTE(LEFT(TRIM(C542),FIND(" ",TRIM(C542)&amp;" ")-1),",","."))-1)/MID(SUBSTITUTE(LEFT(TRIM(C542),FIND(" ",TRIM(C542)&amp;" ")-1),",","."),FIND("/",SUBSTITUTE(LEFT(TRIM(C542),FIND(" ",TRIM(C542)&amp;" ")-1),",","."))+1,9)),IF(ISNUMBER(SEARCH("yea",C542)),IFERROR(_xlfn.NUMBERVALUE(SUBSTITUTE(LEFT(TRIM(C542),FIND(" ",TRIM(C542)&amp;" ")-1),",","."),"."),LEFT(SUBSTITUTE(LEFT(TRIM(C542),FIND(" ",TRIM(C542)&amp;" ")-1),",","."),FIND("/",SUBSTITUTE(LEFT(TRIM(C542),FIND(" ",TRIM(C542)&amp;" ")-1),",","."))-1)/MID(SUBSTITUTE(LEFT(TRIM(C542),FIND(" ",TRIM(C542)&amp;" ")-1),",","."),FIND("/",SUBSTITUTE(LEFT(TRIM(C542),FIND(" ",TRIM(C542)&amp;" ")-1),",","."))+1,9))*12,NA()))),0),36)*'Aturan &amp; Tarif'!$B$4,2)</f>
        <v>2044.08</v>
      </c>
      <c r="K542" s="32" t="n">
        <f aca="false">'Aturan &amp; Tarif'!$B$5</f>
        <v>2050</v>
      </c>
      <c r="L542" s="32" t="n">
        <f aca="false">'Aturan &amp; Tarif'!$B$6</f>
        <v>350</v>
      </c>
      <c r="M542" s="35" t="n">
        <f aca="false">I542+J542+K542+L542</f>
        <v>10559.08</v>
      </c>
      <c r="N542" s="37" t="s">
        <v>134</v>
      </c>
    </row>
    <row r="543" customFormat="false" ht="25.5" hidden="false" customHeight="true" outlineLevel="0" collapsed="false">
      <c r="A543" s="29"/>
      <c r="B543" s="30" t="s">
        <v>837</v>
      </c>
      <c r="C543" s="31" t="s">
        <v>107</v>
      </c>
      <c r="D543" s="31" t="s">
        <v>108</v>
      </c>
      <c r="E543" s="32" t="n">
        <v>2950</v>
      </c>
      <c r="F543" s="32" t="n">
        <v>1250</v>
      </c>
      <c r="G543" s="32" t="n">
        <v>500</v>
      </c>
      <c r="H543" s="33" t="n">
        <v>1</v>
      </c>
      <c r="I543" s="34" t="n">
        <f aca="false">E543*H543+N(F543)+N(G543)</f>
        <v>4700</v>
      </c>
      <c r="J543" s="32" t="n">
        <f aca="false">ROUND(IFERROR(ROUND(IF(OR(ISNUMBER(SEARCH("week",C543)),ISNUMBER(SEARCH("minggu",C543))),IFERROR(_xlfn.NUMBERVALUE(SUBSTITUTE(LEFT(TRIM(C543),FIND(" ",TRIM(C543)&amp;" ")-1),",","."),"."),LEFT(SUBSTITUTE(LEFT(TRIM(C543),FIND(" ",TRIM(C543)&amp;" ")-1),",","."),FIND("/",SUBSTITUTE(LEFT(TRIM(C543),FIND(" ",TRIM(C543)&amp;" ")-1),",","."))-1)/MID(SUBSTITUTE(LEFT(TRIM(C543),FIND(" ",TRIM(C543)&amp;" ")-1),",","."),FIND("/",SUBSTITUTE(LEFT(TRIM(C543),FIND(" ",TRIM(C543)&amp;" ")-1),",","."))+1,9))*12/52,IF(ISNUMBER(SEARCH("month",C543)),IFERROR(_xlfn.NUMBERVALUE(SUBSTITUTE(LEFT(TRIM(C543),FIND(" ",TRIM(C543)&amp;" ")-1),",","."),"."),LEFT(SUBSTITUTE(LEFT(TRIM(C543),FIND(" ",TRIM(C543)&amp;" ")-1),",","."),FIND("/",SUBSTITUTE(LEFT(TRIM(C543),FIND(" ",TRIM(C543)&amp;" ")-1),",","."))-1)/MID(SUBSTITUTE(LEFT(TRIM(C543),FIND(" ",TRIM(C543)&amp;" ")-1),",","."),FIND("/",SUBSTITUTE(LEFT(TRIM(C543),FIND(" ",TRIM(C543)&amp;" ")-1),",","."))+1,9)),IF(ISNUMBER(SEARCH("yea",C543)),IFERROR(_xlfn.NUMBERVALUE(SUBSTITUTE(LEFT(TRIM(C543),FIND(" ",TRIM(C543)&amp;" ")-1),",","."),"."),LEFT(SUBSTITUTE(LEFT(TRIM(C543),FIND(" ",TRIM(C543)&amp;" ")-1),",","."),FIND("/",SUBSTITUTE(LEFT(TRIM(C543),FIND(" ",TRIM(C543)&amp;" ")-1),",","."))-1)/MID(SUBSTITUTE(LEFT(TRIM(C543),FIND(" ",TRIM(C543)&amp;" ")-1),",","."),FIND("/",SUBSTITUTE(LEFT(TRIM(C543),FIND(" ",TRIM(C543)&amp;" ")-1),",","."))+1,9))*12,NA()))),0),24)*'Aturan &amp; Tarif'!$B$4,2)</f>
        <v>1362.72</v>
      </c>
      <c r="K543" s="32" t="n">
        <f aca="false">'Aturan &amp; Tarif'!$B$5</f>
        <v>2050</v>
      </c>
      <c r="L543" s="32" t="n">
        <f aca="false">'Aturan &amp; Tarif'!$B$6</f>
        <v>350</v>
      </c>
      <c r="M543" s="35" t="n">
        <f aca="false">I543+J543+K543+L543</f>
        <v>8462.72</v>
      </c>
      <c r="N543" s="37" t="s">
        <v>134</v>
      </c>
    </row>
    <row r="544" customFormat="false" ht="14.25" hidden="false" customHeight="true" outlineLevel="0" collapsed="false">
      <c r="A544" s="29"/>
      <c r="B544" s="30" t="s">
        <v>1170</v>
      </c>
      <c r="C544" s="31" t="s">
        <v>107</v>
      </c>
      <c r="D544" s="31" t="s">
        <v>108</v>
      </c>
      <c r="E544" s="32" t="n">
        <v>2125</v>
      </c>
      <c r="F544" s="32" t="n">
        <v>800</v>
      </c>
      <c r="G544" s="32" t="n">
        <v>500</v>
      </c>
      <c r="H544" s="33" t="n">
        <v>1</v>
      </c>
      <c r="I544" s="34" t="n">
        <f aca="false">E544*H544+N(F544)+N(G544)</f>
        <v>3425</v>
      </c>
      <c r="J544" s="32" t="n">
        <f aca="false">ROUND(IFERROR(ROUND(IF(OR(ISNUMBER(SEARCH("week",C544)),ISNUMBER(SEARCH("minggu",C544))),IFERROR(_xlfn.NUMBERVALUE(SUBSTITUTE(LEFT(TRIM(C544),FIND(" ",TRIM(C544)&amp;" ")-1),",","."),"."),LEFT(SUBSTITUTE(LEFT(TRIM(C544),FIND(" ",TRIM(C544)&amp;" ")-1),",","."),FIND("/",SUBSTITUTE(LEFT(TRIM(C544),FIND(" ",TRIM(C544)&amp;" ")-1),",","."))-1)/MID(SUBSTITUTE(LEFT(TRIM(C544),FIND(" ",TRIM(C544)&amp;" ")-1),",","."),FIND("/",SUBSTITUTE(LEFT(TRIM(C544),FIND(" ",TRIM(C544)&amp;" ")-1),",","."))+1,9))*12/52,IF(ISNUMBER(SEARCH("month",C544)),IFERROR(_xlfn.NUMBERVALUE(SUBSTITUTE(LEFT(TRIM(C544),FIND(" ",TRIM(C544)&amp;" ")-1),",","."),"."),LEFT(SUBSTITUTE(LEFT(TRIM(C544),FIND(" ",TRIM(C544)&amp;" ")-1),",","."),FIND("/",SUBSTITUTE(LEFT(TRIM(C544),FIND(" ",TRIM(C544)&amp;" ")-1),",","."))-1)/MID(SUBSTITUTE(LEFT(TRIM(C544),FIND(" ",TRIM(C544)&amp;" ")-1),",","."),FIND("/",SUBSTITUTE(LEFT(TRIM(C544),FIND(" ",TRIM(C544)&amp;" ")-1),",","."))+1,9)),IF(ISNUMBER(SEARCH("yea",C544)),IFERROR(_xlfn.NUMBERVALUE(SUBSTITUTE(LEFT(TRIM(C544),FIND(" ",TRIM(C544)&amp;" ")-1),",","."),"."),LEFT(SUBSTITUTE(LEFT(TRIM(C544),FIND(" ",TRIM(C544)&amp;" ")-1),",","."),FIND("/",SUBSTITUTE(LEFT(TRIM(C544),FIND(" ",TRIM(C544)&amp;" ")-1),",","."))-1)/MID(SUBSTITUTE(LEFT(TRIM(C544),FIND(" ",TRIM(C544)&amp;" ")-1),",","."),FIND("/",SUBSTITUTE(LEFT(TRIM(C544),FIND(" ",TRIM(C544)&amp;" ")-1),",","."))+1,9))*12,NA()))),0),24)*'Aturan &amp; Tarif'!$B$4,2)</f>
        <v>1362.72</v>
      </c>
      <c r="K544" s="32" t="n">
        <f aca="false">'Aturan &amp; Tarif'!$B$5</f>
        <v>2050</v>
      </c>
      <c r="L544" s="32" t="n">
        <f aca="false">'Aturan &amp; Tarif'!$B$6</f>
        <v>350</v>
      </c>
      <c r="M544" s="35" t="n">
        <f aca="false">I544+J544+K544+L544</f>
        <v>7187.72</v>
      </c>
      <c r="N544" s="37" t="s">
        <v>134</v>
      </c>
    </row>
    <row r="545" customFormat="false" ht="60" hidden="false" customHeight="true" outlineLevel="0" collapsed="false">
      <c r="A545" s="29" t="s">
        <v>1778</v>
      </c>
      <c r="B545" s="30" t="s">
        <v>1032</v>
      </c>
      <c r="C545" s="31" t="s">
        <v>130</v>
      </c>
      <c r="D545" s="31" t="s">
        <v>108</v>
      </c>
      <c r="E545" s="32" t="n">
        <v>7900</v>
      </c>
      <c r="F545" s="32"/>
      <c r="G545" s="32"/>
      <c r="H545" s="33" t="n">
        <v>2</v>
      </c>
      <c r="I545" s="34" t="n">
        <f aca="false">E545*H545+N(F545)+N(G545)</f>
        <v>15800</v>
      </c>
      <c r="J545" s="32" t="n">
        <f aca="false">ROUND(IFERROR(ROUND(IF(OR(ISNUMBER(SEARCH("week",C545)),ISNUMBER(SEARCH("minggu",C545))),IFERROR(_xlfn.NUMBERVALUE(SUBSTITUTE(LEFT(TRIM(C545),FIND(" ",TRIM(C545)&amp;" ")-1),",","."),"."),LEFT(SUBSTITUTE(LEFT(TRIM(C545),FIND(" ",TRIM(C545)&amp;" ")-1),",","."),FIND("/",SUBSTITUTE(LEFT(TRIM(C545),FIND(" ",TRIM(C545)&amp;" ")-1),",","."))-1)/MID(SUBSTITUTE(LEFT(TRIM(C545),FIND(" ",TRIM(C545)&amp;" ")-1),",","."),FIND("/",SUBSTITUTE(LEFT(TRIM(C545),FIND(" ",TRIM(C545)&amp;" ")-1),",","."))+1,9))*12/52,IF(ISNUMBER(SEARCH("month",C545)),IFERROR(_xlfn.NUMBERVALUE(SUBSTITUTE(LEFT(TRIM(C545),FIND(" ",TRIM(C545)&amp;" ")-1),",","."),"."),LEFT(SUBSTITUTE(LEFT(TRIM(C545),FIND(" ",TRIM(C545)&amp;" ")-1),",","."),FIND("/",SUBSTITUTE(LEFT(TRIM(C545),FIND(" ",TRIM(C545)&amp;" ")-1),",","."))-1)/MID(SUBSTITUTE(LEFT(TRIM(C545),FIND(" ",TRIM(C545)&amp;" ")-1),",","."),FIND("/",SUBSTITUTE(LEFT(TRIM(C545),FIND(" ",TRIM(C545)&amp;" ")-1),",","."))+1,9)),IF(ISNUMBER(SEARCH("yea",C545)),IFERROR(_xlfn.NUMBERVALUE(SUBSTITUTE(LEFT(TRIM(C545),FIND(" ",TRIM(C545)&amp;" ")-1),",","."),"."),LEFT(SUBSTITUTE(LEFT(TRIM(C545),FIND(" ",TRIM(C545)&amp;" ")-1),",","."),FIND("/",SUBSTITUTE(LEFT(TRIM(C545),FIND(" ",TRIM(C545)&amp;" ")-1),",","."))-1)/MID(SUBSTITUTE(LEFT(TRIM(C545),FIND(" ",TRIM(C545)&amp;" ")-1),",","."),FIND("/",SUBSTITUTE(LEFT(TRIM(C545),FIND(" ",TRIM(C545)&amp;" ")-1),",","."))+1,9))*12,NA()))),0),12)*'Aturan &amp; Tarif'!$B$4,2)</f>
        <v>681.36</v>
      </c>
      <c r="K545" s="32" t="n">
        <f aca="false">'Aturan &amp; Tarif'!$B$5</f>
        <v>2050</v>
      </c>
      <c r="L545" s="32" t="n">
        <f aca="false">'Aturan &amp; Tarif'!$B$6</f>
        <v>350</v>
      </c>
      <c r="M545" s="35" t="n">
        <f aca="false">I545+J545+K545+L545</f>
        <v>18881.36</v>
      </c>
      <c r="N545" s="36" t="s">
        <v>1033</v>
      </c>
    </row>
    <row r="546" customFormat="false" ht="60" hidden="false" customHeight="true" outlineLevel="0" collapsed="false">
      <c r="A546" s="29"/>
      <c r="B546" s="30" t="s">
        <v>321</v>
      </c>
      <c r="C546" s="31" t="s">
        <v>127</v>
      </c>
      <c r="D546" s="31" t="s">
        <v>108</v>
      </c>
      <c r="E546" s="32" t="n">
        <v>7900</v>
      </c>
      <c r="F546" s="32"/>
      <c r="G546" s="32"/>
      <c r="H546" s="33" t="n">
        <v>2</v>
      </c>
      <c r="I546" s="34" t="n">
        <f aca="false">E546*H546+N(F546)+N(G546)</f>
        <v>15800</v>
      </c>
      <c r="J546" s="32" t="n">
        <f aca="false">ROUND(IFERROR(ROUND(IF(OR(ISNUMBER(SEARCH("week",C546)),ISNUMBER(SEARCH("minggu",C546))),IFERROR(_xlfn.NUMBERVALUE(SUBSTITUTE(LEFT(TRIM(C546),FIND(" ",TRIM(C546)&amp;" ")-1),",","."),"."),LEFT(SUBSTITUTE(LEFT(TRIM(C546),FIND(" ",TRIM(C546)&amp;" ")-1),",","."),FIND("/",SUBSTITUTE(LEFT(TRIM(C546),FIND(" ",TRIM(C546)&amp;" ")-1),",","."))-1)/MID(SUBSTITUTE(LEFT(TRIM(C546),FIND(" ",TRIM(C546)&amp;" ")-1),",","."),FIND("/",SUBSTITUTE(LEFT(TRIM(C546),FIND(" ",TRIM(C546)&amp;" ")-1),",","."))+1,9))*12/52,IF(ISNUMBER(SEARCH("month",C546)),IFERROR(_xlfn.NUMBERVALUE(SUBSTITUTE(LEFT(TRIM(C546),FIND(" ",TRIM(C546)&amp;" ")-1),",","."),"."),LEFT(SUBSTITUTE(LEFT(TRIM(C546),FIND(" ",TRIM(C546)&amp;" ")-1),",","."),FIND("/",SUBSTITUTE(LEFT(TRIM(C546),FIND(" ",TRIM(C546)&amp;" ")-1),",","."))-1)/MID(SUBSTITUTE(LEFT(TRIM(C546),FIND(" ",TRIM(C546)&amp;" ")-1),",","."),FIND("/",SUBSTITUTE(LEFT(TRIM(C546),FIND(" ",TRIM(C546)&amp;" ")-1),",","."))+1,9)),IF(ISNUMBER(SEARCH("yea",C546)),IFERROR(_xlfn.NUMBERVALUE(SUBSTITUTE(LEFT(TRIM(C546),FIND(" ",TRIM(C546)&amp;" ")-1),",","."),"."),LEFT(SUBSTITUTE(LEFT(TRIM(C546),FIND(" ",TRIM(C546)&amp;" ")-1),",","."),FIND("/",SUBSTITUTE(LEFT(TRIM(C546),FIND(" ",TRIM(C546)&amp;" ")-1),",","."))-1)/MID(SUBSTITUTE(LEFT(TRIM(C546),FIND(" ",TRIM(C546)&amp;" ")-1),",","."),FIND("/",SUBSTITUTE(LEFT(TRIM(C546),FIND(" ",TRIM(C546)&amp;" ")-1),",","."))+1,9))*12,NA()))),0),36)*'Aturan &amp; Tarif'!$B$4,2)</f>
        <v>2044.08</v>
      </c>
      <c r="K546" s="32" t="n">
        <f aca="false">'Aturan &amp; Tarif'!$B$5</f>
        <v>2050</v>
      </c>
      <c r="L546" s="32" t="n">
        <f aca="false">'Aturan &amp; Tarif'!$B$6</f>
        <v>350</v>
      </c>
      <c r="M546" s="35" t="n">
        <f aca="false">I546+J546+K546+L546</f>
        <v>20244.08</v>
      </c>
      <c r="N546" s="36" t="s">
        <v>1034</v>
      </c>
    </row>
    <row r="547" customFormat="false" ht="60" hidden="false" customHeight="true" outlineLevel="0" collapsed="false">
      <c r="A547" s="29"/>
      <c r="B547" s="30" t="s">
        <v>1035</v>
      </c>
      <c r="C547" s="31" t="s">
        <v>130</v>
      </c>
      <c r="D547" s="31" t="s">
        <v>108</v>
      </c>
      <c r="E547" s="32" t="n">
        <v>7900</v>
      </c>
      <c r="F547" s="32"/>
      <c r="G547" s="32"/>
      <c r="H547" s="33" t="n">
        <v>2</v>
      </c>
      <c r="I547" s="34" t="n">
        <f aca="false">E547*H547+N(F547)+N(G547)</f>
        <v>15800</v>
      </c>
      <c r="J547" s="32" t="n">
        <f aca="false">ROUND(IFERROR(ROUND(IF(OR(ISNUMBER(SEARCH("week",C547)),ISNUMBER(SEARCH("minggu",C547))),IFERROR(_xlfn.NUMBERVALUE(SUBSTITUTE(LEFT(TRIM(C547),FIND(" ",TRIM(C547)&amp;" ")-1),",","."),"."),LEFT(SUBSTITUTE(LEFT(TRIM(C547),FIND(" ",TRIM(C547)&amp;" ")-1),",","."),FIND("/",SUBSTITUTE(LEFT(TRIM(C547),FIND(" ",TRIM(C547)&amp;" ")-1),",","."))-1)/MID(SUBSTITUTE(LEFT(TRIM(C547),FIND(" ",TRIM(C547)&amp;" ")-1),",","."),FIND("/",SUBSTITUTE(LEFT(TRIM(C547),FIND(" ",TRIM(C547)&amp;" ")-1),",","."))+1,9))*12/52,IF(ISNUMBER(SEARCH("month",C547)),IFERROR(_xlfn.NUMBERVALUE(SUBSTITUTE(LEFT(TRIM(C547),FIND(" ",TRIM(C547)&amp;" ")-1),",","."),"."),LEFT(SUBSTITUTE(LEFT(TRIM(C547),FIND(" ",TRIM(C547)&amp;" ")-1),",","."),FIND("/",SUBSTITUTE(LEFT(TRIM(C547),FIND(" ",TRIM(C547)&amp;" ")-1),",","."))-1)/MID(SUBSTITUTE(LEFT(TRIM(C547),FIND(" ",TRIM(C547)&amp;" ")-1),",","."),FIND("/",SUBSTITUTE(LEFT(TRIM(C547),FIND(" ",TRIM(C547)&amp;" ")-1),",","."))+1,9)),IF(ISNUMBER(SEARCH("yea",C547)),IFERROR(_xlfn.NUMBERVALUE(SUBSTITUTE(LEFT(TRIM(C547),FIND(" ",TRIM(C547)&amp;" ")-1),",","."),"."),LEFT(SUBSTITUTE(LEFT(TRIM(C547),FIND(" ",TRIM(C547)&amp;" ")-1),",","."),FIND("/",SUBSTITUTE(LEFT(TRIM(C547),FIND(" ",TRIM(C547)&amp;" ")-1),",","."))-1)/MID(SUBSTITUTE(LEFT(TRIM(C547),FIND(" ",TRIM(C547)&amp;" ")-1),",","."),FIND("/",SUBSTITUTE(LEFT(TRIM(C547),FIND(" ",TRIM(C547)&amp;" ")-1),",","."))+1,9))*12,NA()))),0),12)*'Aturan &amp; Tarif'!$B$4,2)</f>
        <v>681.36</v>
      </c>
      <c r="K547" s="32" t="n">
        <f aca="false">'Aturan &amp; Tarif'!$B$5</f>
        <v>2050</v>
      </c>
      <c r="L547" s="32" t="n">
        <f aca="false">'Aturan &amp; Tarif'!$B$6</f>
        <v>350</v>
      </c>
      <c r="M547" s="35" t="n">
        <f aca="false">I547+J547+K547+L547</f>
        <v>18881.36</v>
      </c>
      <c r="N547" s="36" t="s">
        <v>1036</v>
      </c>
    </row>
    <row r="548" customFormat="false" ht="60" hidden="false" customHeight="true" outlineLevel="0" collapsed="false">
      <c r="A548" s="29"/>
      <c r="B548" s="30" t="s">
        <v>1037</v>
      </c>
      <c r="C548" s="31" t="s">
        <v>127</v>
      </c>
      <c r="D548" s="31" t="s">
        <v>108</v>
      </c>
      <c r="E548" s="32" t="n">
        <v>7900</v>
      </c>
      <c r="F548" s="32"/>
      <c r="G548" s="32"/>
      <c r="H548" s="33" t="n">
        <v>2</v>
      </c>
      <c r="I548" s="34" t="n">
        <f aca="false">E548*H548+N(F548)+N(G548)</f>
        <v>15800</v>
      </c>
      <c r="J548" s="32" t="n">
        <f aca="false">ROUND(IFERROR(ROUND(IF(OR(ISNUMBER(SEARCH("week",C548)),ISNUMBER(SEARCH("minggu",C548))),IFERROR(_xlfn.NUMBERVALUE(SUBSTITUTE(LEFT(TRIM(C548),FIND(" ",TRIM(C548)&amp;" ")-1),",","."),"."),LEFT(SUBSTITUTE(LEFT(TRIM(C548),FIND(" ",TRIM(C548)&amp;" ")-1),",","."),FIND("/",SUBSTITUTE(LEFT(TRIM(C548),FIND(" ",TRIM(C548)&amp;" ")-1),",","."))-1)/MID(SUBSTITUTE(LEFT(TRIM(C548),FIND(" ",TRIM(C548)&amp;" ")-1),",","."),FIND("/",SUBSTITUTE(LEFT(TRIM(C548),FIND(" ",TRIM(C548)&amp;" ")-1),",","."))+1,9))*12/52,IF(ISNUMBER(SEARCH("month",C548)),IFERROR(_xlfn.NUMBERVALUE(SUBSTITUTE(LEFT(TRIM(C548),FIND(" ",TRIM(C548)&amp;" ")-1),",","."),"."),LEFT(SUBSTITUTE(LEFT(TRIM(C548),FIND(" ",TRIM(C548)&amp;" ")-1),",","."),FIND("/",SUBSTITUTE(LEFT(TRIM(C548),FIND(" ",TRIM(C548)&amp;" ")-1),",","."))-1)/MID(SUBSTITUTE(LEFT(TRIM(C548),FIND(" ",TRIM(C548)&amp;" ")-1),",","."),FIND("/",SUBSTITUTE(LEFT(TRIM(C548),FIND(" ",TRIM(C548)&amp;" ")-1),",","."))+1,9)),IF(ISNUMBER(SEARCH("yea",C548)),IFERROR(_xlfn.NUMBERVALUE(SUBSTITUTE(LEFT(TRIM(C548),FIND(" ",TRIM(C548)&amp;" ")-1),",","."),"."),LEFT(SUBSTITUTE(LEFT(TRIM(C548),FIND(" ",TRIM(C548)&amp;" ")-1),",","."),FIND("/",SUBSTITUTE(LEFT(TRIM(C548),FIND(" ",TRIM(C548)&amp;" ")-1),",","."))-1)/MID(SUBSTITUTE(LEFT(TRIM(C548),FIND(" ",TRIM(C548)&amp;" ")-1),",","."),FIND("/",SUBSTITUTE(LEFT(TRIM(C548),FIND(" ",TRIM(C548)&amp;" ")-1),",","."))+1,9))*12,NA()))),0),36)*'Aturan &amp; Tarif'!$B$4,2)</f>
        <v>2044.08</v>
      </c>
      <c r="K548" s="32" t="n">
        <f aca="false">'Aturan &amp; Tarif'!$B$5</f>
        <v>2050</v>
      </c>
      <c r="L548" s="32" t="n">
        <f aca="false">'Aturan &amp; Tarif'!$B$6</f>
        <v>350</v>
      </c>
      <c r="M548" s="35" t="n">
        <f aca="false">I548+J548+K548+L548</f>
        <v>20244.08</v>
      </c>
      <c r="N548" s="36" t="s">
        <v>1036</v>
      </c>
    </row>
    <row r="549" customFormat="false" ht="60" hidden="false" customHeight="true" outlineLevel="0" collapsed="false">
      <c r="A549" s="29"/>
      <c r="B549" s="30" t="s">
        <v>1038</v>
      </c>
      <c r="C549" s="31" t="s">
        <v>127</v>
      </c>
      <c r="D549" s="31" t="s">
        <v>108</v>
      </c>
      <c r="E549" s="32" t="n">
        <v>7900</v>
      </c>
      <c r="F549" s="32"/>
      <c r="G549" s="32"/>
      <c r="H549" s="33" t="n">
        <v>2</v>
      </c>
      <c r="I549" s="34" t="n">
        <f aca="false">E549*H549+N(F549)+N(G549)</f>
        <v>15800</v>
      </c>
      <c r="J549" s="32" t="n">
        <f aca="false">ROUND(IFERROR(ROUND(IF(OR(ISNUMBER(SEARCH("week",C549)),ISNUMBER(SEARCH("minggu",C549))),IFERROR(_xlfn.NUMBERVALUE(SUBSTITUTE(LEFT(TRIM(C549),FIND(" ",TRIM(C549)&amp;" ")-1),",","."),"."),LEFT(SUBSTITUTE(LEFT(TRIM(C549),FIND(" ",TRIM(C549)&amp;" ")-1),",","."),FIND("/",SUBSTITUTE(LEFT(TRIM(C549),FIND(" ",TRIM(C549)&amp;" ")-1),",","."))-1)/MID(SUBSTITUTE(LEFT(TRIM(C549),FIND(" ",TRIM(C549)&amp;" ")-1),",","."),FIND("/",SUBSTITUTE(LEFT(TRIM(C549),FIND(" ",TRIM(C549)&amp;" ")-1),",","."))+1,9))*12/52,IF(ISNUMBER(SEARCH("month",C549)),IFERROR(_xlfn.NUMBERVALUE(SUBSTITUTE(LEFT(TRIM(C549),FIND(" ",TRIM(C549)&amp;" ")-1),",","."),"."),LEFT(SUBSTITUTE(LEFT(TRIM(C549),FIND(" ",TRIM(C549)&amp;" ")-1),",","."),FIND("/",SUBSTITUTE(LEFT(TRIM(C549),FIND(" ",TRIM(C549)&amp;" ")-1),",","."))-1)/MID(SUBSTITUTE(LEFT(TRIM(C549),FIND(" ",TRIM(C549)&amp;" ")-1),",","."),FIND("/",SUBSTITUTE(LEFT(TRIM(C549),FIND(" ",TRIM(C549)&amp;" ")-1),",","."))+1,9)),IF(ISNUMBER(SEARCH("yea",C549)),IFERROR(_xlfn.NUMBERVALUE(SUBSTITUTE(LEFT(TRIM(C549),FIND(" ",TRIM(C549)&amp;" ")-1),",","."),"."),LEFT(SUBSTITUTE(LEFT(TRIM(C549),FIND(" ",TRIM(C549)&amp;" ")-1),",","."),FIND("/",SUBSTITUTE(LEFT(TRIM(C549),FIND(" ",TRIM(C549)&amp;" ")-1),",","."))-1)/MID(SUBSTITUTE(LEFT(TRIM(C549),FIND(" ",TRIM(C549)&amp;" ")-1),",","."),FIND("/",SUBSTITUTE(LEFT(TRIM(C549),FIND(" ",TRIM(C549)&amp;" ")-1),",","."))+1,9))*12,NA()))),0),36)*'Aturan &amp; Tarif'!$B$4,2)</f>
        <v>2044.08</v>
      </c>
      <c r="K549" s="32" t="n">
        <f aca="false">'Aturan &amp; Tarif'!$B$5</f>
        <v>2050</v>
      </c>
      <c r="L549" s="32" t="n">
        <f aca="false">'Aturan &amp; Tarif'!$B$6</f>
        <v>350</v>
      </c>
      <c r="M549" s="35" t="n">
        <f aca="false">I549+J549+K549+L549</f>
        <v>20244.08</v>
      </c>
      <c r="N549" s="36" t="s">
        <v>1039</v>
      </c>
    </row>
    <row r="550" customFormat="false" ht="60" hidden="false" customHeight="true" outlineLevel="0" collapsed="false">
      <c r="A550" s="29"/>
      <c r="B550" s="30" t="s">
        <v>1040</v>
      </c>
      <c r="C550" s="31" t="s">
        <v>127</v>
      </c>
      <c r="D550" s="31" t="s">
        <v>108</v>
      </c>
      <c r="E550" s="32" t="n">
        <v>7900</v>
      </c>
      <c r="F550" s="32"/>
      <c r="G550" s="32"/>
      <c r="H550" s="33" t="n">
        <v>2</v>
      </c>
      <c r="I550" s="34" t="n">
        <f aca="false">E550*H550+N(F550)+N(G550)</f>
        <v>15800</v>
      </c>
      <c r="J550" s="32" t="n">
        <f aca="false">ROUND(IFERROR(ROUND(IF(OR(ISNUMBER(SEARCH("week",C550)),ISNUMBER(SEARCH("minggu",C550))),IFERROR(_xlfn.NUMBERVALUE(SUBSTITUTE(LEFT(TRIM(C550),FIND(" ",TRIM(C550)&amp;" ")-1),",","."),"."),LEFT(SUBSTITUTE(LEFT(TRIM(C550),FIND(" ",TRIM(C550)&amp;" ")-1),",","."),FIND("/",SUBSTITUTE(LEFT(TRIM(C550),FIND(" ",TRIM(C550)&amp;" ")-1),",","."))-1)/MID(SUBSTITUTE(LEFT(TRIM(C550),FIND(" ",TRIM(C550)&amp;" ")-1),",","."),FIND("/",SUBSTITUTE(LEFT(TRIM(C550),FIND(" ",TRIM(C550)&amp;" ")-1),",","."))+1,9))*12/52,IF(ISNUMBER(SEARCH("month",C550)),IFERROR(_xlfn.NUMBERVALUE(SUBSTITUTE(LEFT(TRIM(C550),FIND(" ",TRIM(C550)&amp;" ")-1),",","."),"."),LEFT(SUBSTITUTE(LEFT(TRIM(C550),FIND(" ",TRIM(C550)&amp;" ")-1),",","."),FIND("/",SUBSTITUTE(LEFT(TRIM(C550),FIND(" ",TRIM(C550)&amp;" ")-1),",","."))-1)/MID(SUBSTITUTE(LEFT(TRIM(C550),FIND(" ",TRIM(C550)&amp;" ")-1),",","."),FIND("/",SUBSTITUTE(LEFT(TRIM(C550),FIND(" ",TRIM(C550)&amp;" ")-1),",","."))+1,9)),IF(ISNUMBER(SEARCH("yea",C550)),IFERROR(_xlfn.NUMBERVALUE(SUBSTITUTE(LEFT(TRIM(C550),FIND(" ",TRIM(C550)&amp;" ")-1),",","."),"."),LEFT(SUBSTITUTE(LEFT(TRIM(C550),FIND(" ",TRIM(C550)&amp;" ")-1),",","."),FIND("/",SUBSTITUTE(LEFT(TRIM(C550),FIND(" ",TRIM(C550)&amp;" ")-1),",","."))-1)/MID(SUBSTITUTE(LEFT(TRIM(C550),FIND(" ",TRIM(C550)&amp;" ")-1),",","."),FIND("/",SUBSTITUTE(LEFT(TRIM(C550),FIND(" ",TRIM(C550)&amp;" ")-1),",","."))+1,9))*12,NA()))),0),36)*'Aturan &amp; Tarif'!$B$4,2)</f>
        <v>2044.08</v>
      </c>
      <c r="K550" s="32" t="n">
        <f aca="false">'Aturan &amp; Tarif'!$B$5</f>
        <v>2050</v>
      </c>
      <c r="L550" s="32" t="n">
        <f aca="false">'Aturan &amp; Tarif'!$B$6</f>
        <v>350</v>
      </c>
      <c r="M550" s="35" t="n">
        <f aca="false">I550+J550+K550+L550</f>
        <v>20244.08</v>
      </c>
      <c r="N550" s="36" t="s">
        <v>1041</v>
      </c>
    </row>
    <row r="551" customFormat="false" ht="60" hidden="false" customHeight="true" outlineLevel="0" collapsed="false">
      <c r="A551" s="29"/>
      <c r="B551" s="30" t="s">
        <v>1042</v>
      </c>
      <c r="C551" s="31" t="s">
        <v>130</v>
      </c>
      <c r="D551" s="31" t="s">
        <v>108</v>
      </c>
      <c r="E551" s="32" t="n">
        <v>7900</v>
      </c>
      <c r="F551" s="32"/>
      <c r="G551" s="32"/>
      <c r="H551" s="33" t="n">
        <v>2</v>
      </c>
      <c r="I551" s="34" t="n">
        <f aca="false">E551*H551+N(F551)+N(G551)</f>
        <v>15800</v>
      </c>
      <c r="J551" s="32" t="n">
        <f aca="false">ROUND(IFERROR(ROUND(IF(OR(ISNUMBER(SEARCH("week",C551)),ISNUMBER(SEARCH("minggu",C551))),IFERROR(_xlfn.NUMBERVALUE(SUBSTITUTE(LEFT(TRIM(C551),FIND(" ",TRIM(C551)&amp;" ")-1),",","."),"."),LEFT(SUBSTITUTE(LEFT(TRIM(C551),FIND(" ",TRIM(C551)&amp;" ")-1),",","."),FIND("/",SUBSTITUTE(LEFT(TRIM(C551),FIND(" ",TRIM(C551)&amp;" ")-1),",","."))-1)/MID(SUBSTITUTE(LEFT(TRIM(C551),FIND(" ",TRIM(C551)&amp;" ")-1),",","."),FIND("/",SUBSTITUTE(LEFT(TRIM(C551),FIND(" ",TRIM(C551)&amp;" ")-1),",","."))+1,9))*12/52,IF(ISNUMBER(SEARCH("month",C551)),IFERROR(_xlfn.NUMBERVALUE(SUBSTITUTE(LEFT(TRIM(C551),FIND(" ",TRIM(C551)&amp;" ")-1),",","."),"."),LEFT(SUBSTITUTE(LEFT(TRIM(C551),FIND(" ",TRIM(C551)&amp;" ")-1),",","."),FIND("/",SUBSTITUTE(LEFT(TRIM(C551),FIND(" ",TRIM(C551)&amp;" ")-1),",","."))-1)/MID(SUBSTITUTE(LEFT(TRIM(C551),FIND(" ",TRIM(C551)&amp;" ")-1),",","."),FIND("/",SUBSTITUTE(LEFT(TRIM(C551),FIND(" ",TRIM(C551)&amp;" ")-1),",","."))+1,9)),IF(ISNUMBER(SEARCH("yea",C551)),IFERROR(_xlfn.NUMBERVALUE(SUBSTITUTE(LEFT(TRIM(C551),FIND(" ",TRIM(C551)&amp;" ")-1),",","."),"."),LEFT(SUBSTITUTE(LEFT(TRIM(C551),FIND(" ",TRIM(C551)&amp;" ")-1),",","."),FIND("/",SUBSTITUTE(LEFT(TRIM(C551),FIND(" ",TRIM(C551)&amp;" ")-1),",","."))-1)/MID(SUBSTITUTE(LEFT(TRIM(C551),FIND(" ",TRIM(C551)&amp;" ")-1),",","."),FIND("/",SUBSTITUTE(LEFT(TRIM(C551),FIND(" ",TRIM(C551)&amp;" ")-1),",","."))+1,9))*12,NA()))),0),12)*'Aturan &amp; Tarif'!$B$4,2)</f>
        <v>681.36</v>
      </c>
      <c r="K551" s="32" t="n">
        <f aca="false">'Aturan &amp; Tarif'!$B$5</f>
        <v>2050</v>
      </c>
      <c r="L551" s="32" t="n">
        <f aca="false">'Aturan &amp; Tarif'!$B$6</f>
        <v>350</v>
      </c>
      <c r="M551" s="35" t="n">
        <f aca="false">I551+J551+K551+L551</f>
        <v>18881.36</v>
      </c>
      <c r="N551" s="36" t="s">
        <v>1043</v>
      </c>
    </row>
    <row r="552" customFormat="false" ht="60" hidden="false" customHeight="true" outlineLevel="0" collapsed="false">
      <c r="A552" s="29"/>
      <c r="B552" s="30" t="s">
        <v>1044</v>
      </c>
      <c r="C552" s="31" t="s">
        <v>127</v>
      </c>
      <c r="D552" s="31" t="s">
        <v>108</v>
      </c>
      <c r="E552" s="32" t="n">
        <v>7900</v>
      </c>
      <c r="F552" s="32"/>
      <c r="G552" s="32"/>
      <c r="H552" s="33" t="n">
        <v>2</v>
      </c>
      <c r="I552" s="34" t="n">
        <f aca="false">E552*H552+N(F552)+N(G552)</f>
        <v>15800</v>
      </c>
      <c r="J552" s="32" t="n">
        <f aca="false">ROUND(IFERROR(ROUND(IF(OR(ISNUMBER(SEARCH("week",C552)),ISNUMBER(SEARCH("minggu",C552))),IFERROR(_xlfn.NUMBERVALUE(SUBSTITUTE(LEFT(TRIM(C552),FIND(" ",TRIM(C552)&amp;" ")-1),",","."),"."),LEFT(SUBSTITUTE(LEFT(TRIM(C552),FIND(" ",TRIM(C552)&amp;" ")-1),",","."),FIND("/",SUBSTITUTE(LEFT(TRIM(C552),FIND(" ",TRIM(C552)&amp;" ")-1),",","."))-1)/MID(SUBSTITUTE(LEFT(TRIM(C552),FIND(" ",TRIM(C552)&amp;" ")-1),",","."),FIND("/",SUBSTITUTE(LEFT(TRIM(C552),FIND(" ",TRIM(C552)&amp;" ")-1),",","."))+1,9))*12/52,IF(ISNUMBER(SEARCH("month",C552)),IFERROR(_xlfn.NUMBERVALUE(SUBSTITUTE(LEFT(TRIM(C552),FIND(" ",TRIM(C552)&amp;" ")-1),",","."),"."),LEFT(SUBSTITUTE(LEFT(TRIM(C552),FIND(" ",TRIM(C552)&amp;" ")-1),",","."),FIND("/",SUBSTITUTE(LEFT(TRIM(C552),FIND(" ",TRIM(C552)&amp;" ")-1),",","."))-1)/MID(SUBSTITUTE(LEFT(TRIM(C552),FIND(" ",TRIM(C552)&amp;" ")-1),",","."),FIND("/",SUBSTITUTE(LEFT(TRIM(C552),FIND(" ",TRIM(C552)&amp;" ")-1),",","."))+1,9)),IF(ISNUMBER(SEARCH("yea",C552)),IFERROR(_xlfn.NUMBERVALUE(SUBSTITUTE(LEFT(TRIM(C552),FIND(" ",TRIM(C552)&amp;" ")-1),",","."),"."),LEFT(SUBSTITUTE(LEFT(TRIM(C552),FIND(" ",TRIM(C552)&amp;" ")-1),",","."),FIND("/",SUBSTITUTE(LEFT(TRIM(C552),FIND(" ",TRIM(C552)&amp;" ")-1),",","."))-1)/MID(SUBSTITUTE(LEFT(TRIM(C552),FIND(" ",TRIM(C552)&amp;" ")-1),",","."),FIND("/",SUBSTITUTE(LEFT(TRIM(C552),FIND(" ",TRIM(C552)&amp;" ")-1),",","."))+1,9))*12,NA()))),0),36)*'Aturan &amp; Tarif'!$B$4,2)</f>
        <v>2044.08</v>
      </c>
      <c r="K552" s="32" t="n">
        <f aca="false">'Aturan &amp; Tarif'!$B$5</f>
        <v>2050</v>
      </c>
      <c r="L552" s="32" t="n">
        <f aca="false">'Aturan &amp; Tarif'!$B$6</f>
        <v>350</v>
      </c>
      <c r="M552" s="35" t="n">
        <f aca="false">I552+J552+K552+L552</f>
        <v>20244.08</v>
      </c>
      <c r="N552" s="36" t="s">
        <v>1045</v>
      </c>
    </row>
    <row r="553" customFormat="false" ht="60" hidden="false" customHeight="true" outlineLevel="0" collapsed="false">
      <c r="A553" s="29"/>
      <c r="B553" s="30" t="s">
        <v>1046</v>
      </c>
      <c r="C553" s="31" t="s">
        <v>127</v>
      </c>
      <c r="D553" s="31" t="s">
        <v>108</v>
      </c>
      <c r="E553" s="32" t="n">
        <v>7900</v>
      </c>
      <c r="F553" s="32"/>
      <c r="G553" s="32"/>
      <c r="H553" s="33" t="n">
        <v>2</v>
      </c>
      <c r="I553" s="34" t="n">
        <f aca="false">E553*H553+N(F553)+N(G553)</f>
        <v>15800</v>
      </c>
      <c r="J553" s="32" t="n">
        <f aca="false">ROUND(IFERROR(ROUND(IF(OR(ISNUMBER(SEARCH("week",C553)),ISNUMBER(SEARCH("minggu",C553))),IFERROR(_xlfn.NUMBERVALUE(SUBSTITUTE(LEFT(TRIM(C553),FIND(" ",TRIM(C553)&amp;" ")-1),",","."),"."),LEFT(SUBSTITUTE(LEFT(TRIM(C553),FIND(" ",TRIM(C553)&amp;" ")-1),",","."),FIND("/",SUBSTITUTE(LEFT(TRIM(C553),FIND(" ",TRIM(C553)&amp;" ")-1),",","."))-1)/MID(SUBSTITUTE(LEFT(TRIM(C553),FIND(" ",TRIM(C553)&amp;" ")-1),",","."),FIND("/",SUBSTITUTE(LEFT(TRIM(C553),FIND(" ",TRIM(C553)&amp;" ")-1),",","."))+1,9))*12/52,IF(ISNUMBER(SEARCH("month",C553)),IFERROR(_xlfn.NUMBERVALUE(SUBSTITUTE(LEFT(TRIM(C553),FIND(" ",TRIM(C553)&amp;" ")-1),",","."),"."),LEFT(SUBSTITUTE(LEFT(TRIM(C553),FIND(" ",TRIM(C553)&amp;" ")-1),",","."),FIND("/",SUBSTITUTE(LEFT(TRIM(C553),FIND(" ",TRIM(C553)&amp;" ")-1),",","."))-1)/MID(SUBSTITUTE(LEFT(TRIM(C553),FIND(" ",TRIM(C553)&amp;" ")-1),",","."),FIND("/",SUBSTITUTE(LEFT(TRIM(C553),FIND(" ",TRIM(C553)&amp;" ")-1),",","."))+1,9)),IF(ISNUMBER(SEARCH("yea",C553)),IFERROR(_xlfn.NUMBERVALUE(SUBSTITUTE(LEFT(TRIM(C553),FIND(" ",TRIM(C553)&amp;" ")-1),",","."),"."),LEFT(SUBSTITUTE(LEFT(TRIM(C553),FIND(" ",TRIM(C553)&amp;" ")-1),",","."),FIND("/",SUBSTITUTE(LEFT(TRIM(C553),FIND(" ",TRIM(C553)&amp;" ")-1),",","."))-1)/MID(SUBSTITUTE(LEFT(TRIM(C553),FIND(" ",TRIM(C553)&amp;" ")-1),",","."),FIND("/",SUBSTITUTE(LEFT(TRIM(C553),FIND(" ",TRIM(C553)&amp;" ")-1),",","."))+1,9))*12,NA()))),0),36)*'Aturan &amp; Tarif'!$B$4,2)</f>
        <v>2044.08</v>
      </c>
      <c r="K553" s="32" t="n">
        <f aca="false">'Aturan &amp; Tarif'!$B$5</f>
        <v>2050</v>
      </c>
      <c r="L553" s="32" t="n">
        <f aca="false">'Aturan &amp; Tarif'!$B$6</f>
        <v>350</v>
      </c>
      <c r="M553" s="35" t="n">
        <f aca="false">I553+J553+K553+L553</f>
        <v>20244.08</v>
      </c>
      <c r="N553" s="36" t="s">
        <v>1047</v>
      </c>
    </row>
    <row r="554" customFormat="false" ht="60" hidden="false" customHeight="true" outlineLevel="0" collapsed="false">
      <c r="A554" s="29"/>
      <c r="B554" s="30" t="s">
        <v>1048</v>
      </c>
      <c r="C554" s="31" t="s">
        <v>344</v>
      </c>
      <c r="D554" s="31" t="s">
        <v>108</v>
      </c>
      <c r="E554" s="32" t="n">
        <v>4500</v>
      </c>
      <c r="F554" s="32"/>
      <c r="G554" s="32"/>
      <c r="H554" s="33" t="n">
        <v>2</v>
      </c>
      <c r="I554" s="34" t="n">
        <f aca="false">E554*H554+N(F554)+N(G554)</f>
        <v>9000</v>
      </c>
      <c r="J554" s="32" t="n">
        <f aca="false">ROUND(IFERROR(ROUND(IF(OR(ISNUMBER(SEARCH("week",C554)),ISNUMBER(SEARCH("minggu",C554))),IFERROR(_xlfn.NUMBERVALUE(SUBSTITUTE(LEFT(TRIM(C554),FIND(" ",TRIM(C554)&amp;" ")-1),",","."),"."),LEFT(SUBSTITUTE(LEFT(TRIM(C554),FIND(" ",TRIM(C554)&amp;" ")-1),",","."),FIND("/",SUBSTITUTE(LEFT(TRIM(C554),FIND(" ",TRIM(C554)&amp;" ")-1),",","."))-1)/MID(SUBSTITUTE(LEFT(TRIM(C554),FIND(" ",TRIM(C554)&amp;" ")-1),",","."),FIND("/",SUBSTITUTE(LEFT(TRIM(C554),FIND(" ",TRIM(C554)&amp;" ")-1),",","."))+1,9))*12/52,IF(ISNUMBER(SEARCH("month",C554)),IFERROR(_xlfn.NUMBERVALUE(SUBSTITUTE(LEFT(TRIM(C554),FIND(" ",TRIM(C554)&amp;" ")-1),",","."),"."),LEFT(SUBSTITUTE(LEFT(TRIM(C554),FIND(" ",TRIM(C554)&amp;" ")-1),",","."),FIND("/",SUBSTITUTE(LEFT(TRIM(C554),FIND(" ",TRIM(C554)&amp;" ")-1),",","."))-1)/MID(SUBSTITUTE(LEFT(TRIM(C554),FIND(" ",TRIM(C554)&amp;" ")-1),",","."),FIND("/",SUBSTITUTE(LEFT(TRIM(C554),FIND(" ",TRIM(C554)&amp;" ")-1),",","."))+1,9)),IF(ISNUMBER(SEARCH("yea",C554)),IFERROR(_xlfn.NUMBERVALUE(SUBSTITUTE(LEFT(TRIM(C554),FIND(" ",TRIM(C554)&amp;" ")-1),",","."),"."),LEFT(SUBSTITUTE(LEFT(TRIM(C554),FIND(" ",TRIM(C554)&amp;" ")-1),",","."),FIND("/",SUBSTITUTE(LEFT(TRIM(C554),FIND(" ",TRIM(C554)&amp;" ")-1),",","."))-1)/MID(SUBSTITUTE(LEFT(TRIM(C554),FIND(" ",TRIM(C554)&amp;" ")-1),",","."),FIND("/",SUBSTITUTE(LEFT(TRIM(C554),FIND(" ",TRIM(C554)&amp;" ")-1),",","."))+1,9))*12,NA()))),0),6)*'Aturan &amp; Tarif'!$B$4,2)</f>
        <v>340.68</v>
      </c>
      <c r="K554" s="32" t="n">
        <f aca="false">'Aturan &amp; Tarif'!$B$5</f>
        <v>2050</v>
      </c>
      <c r="L554" s="32" t="n">
        <f aca="false">'Aturan &amp; Tarif'!$B$6</f>
        <v>350</v>
      </c>
      <c r="M554" s="35" t="n">
        <f aca="false">I554+J554+K554+L554</f>
        <v>11740.68</v>
      </c>
      <c r="N554" s="36" t="s">
        <v>1049</v>
      </c>
    </row>
    <row r="555" customFormat="false" ht="60" hidden="false" customHeight="true" outlineLevel="0" collapsed="false">
      <c r="A555" s="29"/>
      <c r="B555" s="30" t="s">
        <v>1050</v>
      </c>
      <c r="C555" s="31" t="s">
        <v>130</v>
      </c>
      <c r="D555" s="31" t="s">
        <v>108</v>
      </c>
      <c r="E555" s="32" t="n">
        <v>9000</v>
      </c>
      <c r="F555" s="32"/>
      <c r="G555" s="32"/>
      <c r="H555" s="33" t="n">
        <v>2</v>
      </c>
      <c r="I555" s="34" t="n">
        <f aca="false">E555*H555+N(F555)+N(G555)</f>
        <v>18000</v>
      </c>
      <c r="J555" s="32" t="n">
        <f aca="false">ROUND(IFERROR(ROUND(IF(OR(ISNUMBER(SEARCH("week",C555)),ISNUMBER(SEARCH("minggu",C555))),IFERROR(_xlfn.NUMBERVALUE(SUBSTITUTE(LEFT(TRIM(C555),FIND(" ",TRIM(C555)&amp;" ")-1),",","."),"."),LEFT(SUBSTITUTE(LEFT(TRIM(C555),FIND(" ",TRIM(C555)&amp;" ")-1),",","."),FIND("/",SUBSTITUTE(LEFT(TRIM(C555),FIND(" ",TRIM(C555)&amp;" ")-1),",","."))-1)/MID(SUBSTITUTE(LEFT(TRIM(C555),FIND(" ",TRIM(C555)&amp;" ")-1),",","."),FIND("/",SUBSTITUTE(LEFT(TRIM(C555),FIND(" ",TRIM(C555)&amp;" ")-1),",","."))+1,9))*12/52,IF(ISNUMBER(SEARCH("month",C555)),IFERROR(_xlfn.NUMBERVALUE(SUBSTITUTE(LEFT(TRIM(C555),FIND(" ",TRIM(C555)&amp;" ")-1),",","."),"."),LEFT(SUBSTITUTE(LEFT(TRIM(C555),FIND(" ",TRIM(C555)&amp;" ")-1),",","."),FIND("/",SUBSTITUTE(LEFT(TRIM(C555),FIND(" ",TRIM(C555)&amp;" ")-1),",","."))-1)/MID(SUBSTITUTE(LEFT(TRIM(C555),FIND(" ",TRIM(C555)&amp;" ")-1),",","."),FIND("/",SUBSTITUTE(LEFT(TRIM(C555),FIND(" ",TRIM(C555)&amp;" ")-1),",","."))+1,9)),IF(ISNUMBER(SEARCH("yea",C555)),IFERROR(_xlfn.NUMBERVALUE(SUBSTITUTE(LEFT(TRIM(C555),FIND(" ",TRIM(C555)&amp;" ")-1),",","."),"."),LEFT(SUBSTITUTE(LEFT(TRIM(C555),FIND(" ",TRIM(C555)&amp;" ")-1),",","."),FIND("/",SUBSTITUTE(LEFT(TRIM(C555),FIND(" ",TRIM(C555)&amp;" ")-1),",","."))-1)/MID(SUBSTITUTE(LEFT(TRIM(C555),FIND(" ",TRIM(C555)&amp;" ")-1),",","."),FIND("/",SUBSTITUTE(LEFT(TRIM(C555),FIND(" ",TRIM(C555)&amp;" ")-1),",","."))+1,9))*12,NA()))),0),12)*'Aturan &amp; Tarif'!$B$4,2)</f>
        <v>681.36</v>
      </c>
      <c r="K555" s="32" t="n">
        <f aca="false">'Aturan &amp; Tarif'!$B$5</f>
        <v>2050</v>
      </c>
      <c r="L555" s="32" t="n">
        <f aca="false">'Aturan &amp; Tarif'!$B$6</f>
        <v>350</v>
      </c>
      <c r="M555" s="35" t="n">
        <f aca="false">I555+J555+K555+L555</f>
        <v>21081.36</v>
      </c>
      <c r="N555" s="36" t="s">
        <v>1051</v>
      </c>
    </row>
    <row r="556" customFormat="false" ht="60" hidden="false" customHeight="true" outlineLevel="0" collapsed="false">
      <c r="A556" s="29"/>
      <c r="B556" s="30" t="s">
        <v>348</v>
      </c>
      <c r="C556" s="31" t="s">
        <v>113</v>
      </c>
      <c r="D556" s="31" t="s">
        <v>108</v>
      </c>
      <c r="E556" s="32" t="n">
        <v>9000</v>
      </c>
      <c r="F556" s="32"/>
      <c r="G556" s="32"/>
      <c r="H556" s="33" t="n">
        <v>2</v>
      </c>
      <c r="I556" s="34" t="n">
        <f aca="false">E556*H556+N(F556)+N(G556)</f>
        <v>18000</v>
      </c>
      <c r="J556" s="32" t="n">
        <f aca="false">ROUND(IFERROR(ROUND(IF(OR(ISNUMBER(SEARCH("week",C556)),ISNUMBER(SEARCH("minggu",C556))),IFERROR(_xlfn.NUMBERVALUE(SUBSTITUTE(LEFT(TRIM(C556),FIND(" ",TRIM(C556)&amp;" ")-1),",","."),"."),LEFT(SUBSTITUTE(LEFT(TRIM(C556),FIND(" ",TRIM(C556)&amp;" ")-1),",","."),FIND("/",SUBSTITUTE(LEFT(TRIM(C556),FIND(" ",TRIM(C556)&amp;" ")-1),",","."))-1)/MID(SUBSTITUTE(LEFT(TRIM(C556),FIND(" ",TRIM(C556)&amp;" ")-1),",","."),FIND("/",SUBSTITUTE(LEFT(TRIM(C556),FIND(" ",TRIM(C556)&amp;" ")-1),",","."))+1,9))*12/52,IF(ISNUMBER(SEARCH("month",C556)),IFERROR(_xlfn.NUMBERVALUE(SUBSTITUTE(LEFT(TRIM(C556),FIND(" ",TRIM(C556)&amp;" ")-1),",","."),"."),LEFT(SUBSTITUTE(LEFT(TRIM(C556),FIND(" ",TRIM(C556)&amp;" ")-1),",","."),FIND("/",SUBSTITUTE(LEFT(TRIM(C556),FIND(" ",TRIM(C556)&amp;" ")-1),",","."))-1)/MID(SUBSTITUTE(LEFT(TRIM(C556),FIND(" ",TRIM(C556)&amp;" ")-1),",","."),FIND("/",SUBSTITUTE(LEFT(TRIM(C556),FIND(" ",TRIM(C556)&amp;" ")-1),",","."))+1,9)),IF(ISNUMBER(SEARCH("yea",C556)),IFERROR(_xlfn.NUMBERVALUE(SUBSTITUTE(LEFT(TRIM(C556),FIND(" ",TRIM(C556)&amp;" ")-1),",","."),"."),LEFT(SUBSTITUTE(LEFT(TRIM(C556),FIND(" ",TRIM(C556)&amp;" ")-1),",","."),FIND("/",SUBSTITUTE(LEFT(TRIM(C556),FIND(" ",TRIM(C556)&amp;" ")-1),",","."))-1)/MID(SUBSTITUTE(LEFT(TRIM(C556),FIND(" ",TRIM(C556)&amp;" ")-1),",","."),FIND("/",SUBSTITUTE(LEFT(TRIM(C556),FIND(" ",TRIM(C556)&amp;" ")-1),",","."))+1,9))*12,NA()))),0),18)*'Aturan &amp; Tarif'!$B$4,2)</f>
        <v>1022.04</v>
      </c>
      <c r="K556" s="32" t="n">
        <f aca="false">'Aturan &amp; Tarif'!$B$5</f>
        <v>2050</v>
      </c>
      <c r="L556" s="32" t="n">
        <f aca="false">'Aturan &amp; Tarif'!$B$6</f>
        <v>350</v>
      </c>
      <c r="M556" s="35" t="n">
        <f aca="false">I556+J556+K556+L556</f>
        <v>21422.04</v>
      </c>
      <c r="N556" s="36" t="s">
        <v>1052</v>
      </c>
    </row>
    <row r="557" customFormat="false" ht="60" hidden="false" customHeight="true" outlineLevel="0" collapsed="false">
      <c r="A557" s="29"/>
      <c r="B557" s="30" t="s">
        <v>1053</v>
      </c>
      <c r="C557" s="31" t="s">
        <v>107</v>
      </c>
      <c r="D557" s="31" t="s">
        <v>108</v>
      </c>
      <c r="E557" s="32" t="n">
        <v>9000</v>
      </c>
      <c r="F557" s="32"/>
      <c r="G557" s="32"/>
      <c r="H557" s="33" t="n">
        <v>2</v>
      </c>
      <c r="I557" s="34" t="n">
        <f aca="false">E557*H557+N(F557)+N(G557)</f>
        <v>18000</v>
      </c>
      <c r="J557" s="32" t="n">
        <f aca="false">ROUND(IFERROR(ROUND(IF(OR(ISNUMBER(SEARCH("week",C557)),ISNUMBER(SEARCH("minggu",C557))),IFERROR(_xlfn.NUMBERVALUE(SUBSTITUTE(LEFT(TRIM(C557),FIND(" ",TRIM(C557)&amp;" ")-1),",","."),"."),LEFT(SUBSTITUTE(LEFT(TRIM(C557),FIND(" ",TRIM(C557)&amp;" ")-1),",","."),FIND("/",SUBSTITUTE(LEFT(TRIM(C557),FIND(" ",TRIM(C557)&amp;" ")-1),",","."))-1)/MID(SUBSTITUTE(LEFT(TRIM(C557),FIND(" ",TRIM(C557)&amp;" ")-1),",","."),FIND("/",SUBSTITUTE(LEFT(TRIM(C557),FIND(" ",TRIM(C557)&amp;" ")-1),",","."))+1,9))*12/52,IF(ISNUMBER(SEARCH("month",C557)),IFERROR(_xlfn.NUMBERVALUE(SUBSTITUTE(LEFT(TRIM(C557),FIND(" ",TRIM(C557)&amp;" ")-1),",","."),"."),LEFT(SUBSTITUTE(LEFT(TRIM(C557),FIND(" ",TRIM(C557)&amp;" ")-1),",","."),FIND("/",SUBSTITUTE(LEFT(TRIM(C557),FIND(" ",TRIM(C557)&amp;" ")-1),",","."))-1)/MID(SUBSTITUTE(LEFT(TRIM(C557),FIND(" ",TRIM(C557)&amp;" ")-1),",","."),FIND("/",SUBSTITUTE(LEFT(TRIM(C557),FIND(" ",TRIM(C557)&amp;" ")-1),",","."))+1,9)),IF(ISNUMBER(SEARCH("yea",C557)),IFERROR(_xlfn.NUMBERVALUE(SUBSTITUTE(LEFT(TRIM(C557),FIND(" ",TRIM(C557)&amp;" ")-1),",","."),"."),LEFT(SUBSTITUTE(LEFT(TRIM(C557),FIND(" ",TRIM(C557)&amp;" ")-1),",","."),FIND("/",SUBSTITUTE(LEFT(TRIM(C557),FIND(" ",TRIM(C557)&amp;" ")-1),",","."))-1)/MID(SUBSTITUTE(LEFT(TRIM(C557),FIND(" ",TRIM(C557)&amp;" ")-1),",","."),FIND("/",SUBSTITUTE(LEFT(TRIM(C557),FIND(" ",TRIM(C557)&amp;" ")-1),",","."))+1,9))*12,NA()))),0),24)*'Aturan &amp; Tarif'!$B$4,2)</f>
        <v>1362.72</v>
      </c>
      <c r="K557" s="32" t="n">
        <f aca="false">'Aturan &amp; Tarif'!$B$5</f>
        <v>2050</v>
      </c>
      <c r="L557" s="32" t="n">
        <f aca="false">'Aturan &amp; Tarif'!$B$6</f>
        <v>350</v>
      </c>
      <c r="M557" s="35" t="n">
        <f aca="false">I557+J557+K557+L557</f>
        <v>21762.72</v>
      </c>
      <c r="N557" s="36" t="s">
        <v>1054</v>
      </c>
    </row>
    <row r="558" customFormat="false" ht="60" hidden="false" customHeight="true" outlineLevel="0" collapsed="false">
      <c r="A558" s="29"/>
      <c r="B558" s="30" t="s">
        <v>1055</v>
      </c>
      <c r="C558" s="31" t="s">
        <v>107</v>
      </c>
      <c r="D558" s="31" t="s">
        <v>108</v>
      </c>
      <c r="E558" s="32" t="n">
        <v>9000</v>
      </c>
      <c r="F558" s="32"/>
      <c r="G558" s="32"/>
      <c r="H558" s="33" t="n">
        <v>2</v>
      </c>
      <c r="I558" s="34" t="n">
        <f aca="false">E558*H558+N(F558)+N(G558)</f>
        <v>18000</v>
      </c>
      <c r="J558" s="32" t="n">
        <f aca="false">ROUND(IFERROR(ROUND(IF(OR(ISNUMBER(SEARCH("week",C558)),ISNUMBER(SEARCH("minggu",C558))),IFERROR(_xlfn.NUMBERVALUE(SUBSTITUTE(LEFT(TRIM(C558),FIND(" ",TRIM(C558)&amp;" ")-1),",","."),"."),LEFT(SUBSTITUTE(LEFT(TRIM(C558),FIND(" ",TRIM(C558)&amp;" ")-1),",","."),FIND("/",SUBSTITUTE(LEFT(TRIM(C558),FIND(" ",TRIM(C558)&amp;" ")-1),",","."))-1)/MID(SUBSTITUTE(LEFT(TRIM(C558),FIND(" ",TRIM(C558)&amp;" ")-1),",","."),FIND("/",SUBSTITUTE(LEFT(TRIM(C558),FIND(" ",TRIM(C558)&amp;" ")-1),",","."))+1,9))*12/52,IF(ISNUMBER(SEARCH("month",C558)),IFERROR(_xlfn.NUMBERVALUE(SUBSTITUTE(LEFT(TRIM(C558),FIND(" ",TRIM(C558)&amp;" ")-1),",","."),"."),LEFT(SUBSTITUTE(LEFT(TRIM(C558),FIND(" ",TRIM(C558)&amp;" ")-1),",","."),FIND("/",SUBSTITUTE(LEFT(TRIM(C558),FIND(" ",TRIM(C558)&amp;" ")-1),",","."))-1)/MID(SUBSTITUTE(LEFT(TRIM(C558),FIND(" ",TRIM(C558)&amp;" ")-1),",","."),FIND("/",SUBSTITUTE(LEFT(TRIM(C558),FIND(" ",TRIM(C558)&amp;" ")-1),",","."))+1,9)),IF(ISNUMBER(SEARCH("yea",C558)),IFERROR(_xlfn.NUMBERVALUE(SUBSTITUTE(LEFT(TRIM(C558),FIND(" ",TRIM(C558)&amp;" ")-1),",","."),"."),LEFT(SUBSTITUTE(LEFT(TRIM(C558),FIND(" ",TRIM(C558)&amp;" ")-1),",","."),FIND("/",SUBSTITUTE(LEFT(TRIM(C558),FIND(" ",TRIM(C558)&amp;" ")-1),",","."))-1)/MID(SUBSTITUTE(LEFT(TRIM(C558),FIND(" ",TRIM(C558)&amp;" ")-1),",","."),FIND("/",SUBSTITUTE(LEFT(TRIM(C558),FIND(" ",TRIM(C558)&amp;" ")-1),",","."))+1,9))*12,NA()))),0),24)*'Aturan &amp; Tarif'!$B$4,2)</f>
        <v>1362.72</v>
      </c>
      <c r="K558" s="32" t="n">
        <f aca="false">'Aturan &amp; Tarif'!$B$5</f>
        <v>2050</v>
      </c>
      <c r="L558" s="32" t="n">
        <f aca="false">'Aturan &amp; Tarif'!$B$6</f>
        <v>350</v>
      </c>
      <c r="M558" s="35" t="n">
        <f aca="false">I558+J558+K558+L558</f>
        <v>21762.72</v>
      </c>
      <c r="N558" s="36" t="s">
        <v>1056</v>
      </c>
    </row>
    <row r="559" customFormat="false" ht="60" hidden="false" customHeight="true" outlineLevel="0" collapsed="false">
      <c r="A559" s="29"/>
      <c r="B559" s="30" t="s">
        <v>1057</v>
      </c>
      <c r="C559" s="31" t="s">
        <v>107</v>
      </c>
      <c r="D559" s="31" t="s">
        <v>108</v>
      </c>
      <c r="E559" s="32" t="n">
        <v>7950</v>
      </c>
      <c r="F559" s="32"/>
      <c r="G559" s="32"/>
      <c r="H559" s="33" t="n">
        <v>2</v>
      </c>
      <c r="I559" s="34" t="n">
        <f aca="false">E559*H559+N(F559)+N(G559)</f>
        <v>15900</v>
      </c>
      <c r="J559" s="32" t="n">
        <f aca="false">ROUND(IFERROR(ROUND(IF(OR(ISNUMBER(SEARCH("week",C559)),ISNUMBER(SEARCH("minggu",C559))),IFERROR(_xlfn.NUMBERVALUE(SUBSTITUTE(LEFT(TRIM(C559),FIND(" ",TRIM(C559)&amp;" ")-1),",","."),"."),LEFT(SUBSTITUTE(LEFT(TRIM(C559),FIND(" ",TRIM(C559)&amp;" ")-1),",","."),FIND("/",SUBSTITUTE(LEFT(TRIM(C559),FIND(" ",TRIM(C559)&amp;" ")-1),",","."))-1)/MID(SUBSTITUTE(LEFT(TRIM(C559),FIND(" ",TRIM(C559)&amp;" ")-1),",","."),FIND("/",SUBSTITUTE(LEFT(TRIM(C559),FIND(" ",TRIM(C559)&amp;" ")-1),",","."))+1,9))*12/52,IF(ISNUMBER(SEARCH("month",C559)),IFERROR(_xlfn.NUMBERVALUE(SUBSTITUTE(LEFT(TRIM(C559),FIND(" ",TRIM(C559)&amp;" ")-1),",","."),"."),LEFT(SUBSTITUTE(LEFT(TRIM(C559),FIND(" ",TRIM(C559)&amp;" ")-1),",","."),FIND("/",SUBSTITUTE(LEFT(TRIM(C559),FIND(" ",TRIM(C559)&amp;" ")-1),",","."))-1)/MID(SUBSTITUTE(LEFT(TRIM(C559),FIND(" ",TRIM(C559)&amp;" ")-1),",","."),FIND("/",SUBSTITUTE(LEFT(TRIM(C559),FIND(" ",TRIM(C559)&amp;" ")-1),",","."))+1,9)),IF(ISNUMBER(SEARCH("yea",C559)),IFERROR(_xlfn.NUMBERVALUE(SUBSTITUTE(LEFT(TRIM(C559),FIND(" ",TRIM(C559)&amp;" ")-1),",","."),"."),LEFT(SUBSTITUTE(LEFT(TRIM(C559),FIND(" ",TRIM(C559)&amp;" ")-1),",","."),FIND("/",SUBSTITUTE(LEFT(TRIM(C559),FIND(" ",TRIM(C559)&amp;" ")-1),",","."))-1)/MID(SUBSTITUTE(LEFT(TRIM(C559),FIND(" ",TRIM(C559)&amp;" ")-1),",","."),FIND("/",SUBSTITUTE(LEFT(TRIM(C559),FIND(" ",TRIM(C559)&amp;" ")-1),",","."))+1,9))*12,NA()))),0),24)*'Aturan &amp; Tarif'!$B$4,2)</f>
        <v>1362.72</v>
      </c>
      <c r="K559" s="32" t="n">
        <f aca="false">'Aturan &amp; Tarif'!$B$5</f>
        <v>2050</v>
      </c>
      <c r="L559" s="32" t="n">
        <f aca="false">'Aturan &amp; Tarif'!$B$6</f>
        <v>350</v>
      </c>
      <c r="M559" s="35" t="n">
        <f aca="false">I559+J559+K559+L559</f>
        <v>19662.72</v>
      </c>
      <c r="N559" s="36" t="s">
        <v>1058</v>
      </c>
    </row>
    <row r="560" customFormat="false" ht="60" hidden="false" customHeight="true" outlineLevel="0" collapsed="false">
      <c r="A560" s="29"/>
      <c r="B560" s="30" t="s">
        <v>1059</v>
      </c>
      <c r="C560" s="31" t="s">
        <v>113</v>
      </c>
      <c r="D560" s="31" t="s">
        <v>108</v>
      </c>
      <c r="E560" s="32" t="n">
        <v>9000</v>
      </c>
      <c r="F560" s="32"/>
      <c r="G560" s="32"/>
      <c r="H560" s="33" t="n">
        <v>2</v>
      </c>
      <c r="I560" s="34" t="n">
        <f aca="false">E560*H560+N(F560)+N(G560)</f>
        <v>18000</v>
      </c>
      <c r="J560" s="32" t="n">
        <f aca="false">ROUND(IFERROR(ROUND(IF(OR(ISNUMBER(SEARCH("week",C560)),ISNUMBER(SEARCH("minggu",C560))),IFERROR(_xlfn.NUMBERVALUE(SUBSTITUTE(LEFT(TRIM(C560),FIND(" ",TRIM(C560)&amp;" ")-1),",","."),"."),LEFT(SUBSTITUTE(LEFT(TRIM(C560),FIND(" ",TRIM(C560)&amp;" ")-1),",","."),FIND("/",SUBSTITUTE(LEFT(TRIM(C560),FIND(" ",TRIM(C560)&amp;" ")-1),",","."))-1)/MID(SUBSTITUTE(LEFT(TRIM(C560),FIND(" ",TRIM(C560)&amp;" ")-1),",","."),FIND("/",SUBSTITUTE(LEFT(TRIM(C560),FIND(" ",TRIM(C560)&amp;" ")-1),",","."))+1,9))*12/52,IF(ISNUMBER(SEARCH("month",C560)),IFERROR(_xlfn.NUMBERVALUE(SUBSTITUTE(LEFT(TRIM(C560),FIND(" ",TRIM(C560)&amp;" ")-1),",","."),"."),LEFT(SUBSTITUTE(LEFT(TRIM(C560),FIND(" ",TRIM(C560)&amp;" ")-1),",","."),FIND("/",SUBSTITUTE(LEFT(TRIM(C560),FIND(" ",TRIM(C560)&amp;" ")-1),",","."))-1)/MID(SUBSTITUTE(LEFT(TRIM(C560),FIND(" ",TRIM(C560)&amp;" ")-1),",","."),FIND("/",SUBSTITUTE(LEFT(TRIM(C560),FIND(" ",TRIM(C560)&amp;" ")-1),",","."))+1,9)),IF(ISNUMBER(SEARCH("yea",C560)),IFERROR(_xlfn.NUMBERVALUE(SUBSTITUTE(LEFT(TRIM(C560),FIND(" ",TRIM(C560)&amp;" ")-1),",","."),"."),LEFT(SUBSTITUTE(LEFT(TRIM(C560),FIND(" ",TRIM(C560)&amp;" ")-1),",","."),FIND("/",SUBSTITUTE(LEFT(TRIM(C560),FIND(" ",TRIM(C560)&amp;" ")-1),",","."))-1)/MID(SUBSTITUTE(LEFT(TRIM(C560),FIND(" ",TRIM(C560)&amp;" ")-1),",","."),FIND("/",SUBSTITUTE(LEFT(TRIM(C560),FIND(" ",TRIM(C560)&amp;" ")-1),",","."))+1,9))*12,NA()))),0),18)*'Aturan &amp; Tarif'!$B$4,2)</f>
        <v>1022.04</v>
      </c>
      <c r="K560" s="32" t="n">
        <f aca="false">'Aturan &amp; Tarif'!$B$5</f>
        <v>2050</v>
      </c>
      <c r="L560" s="32" t="n">
        <f aca="false">'Aturan &amp; Tarif'!$B$6</f>
        <v>350</v>
      </c>
      <c r="M560" s="35" t="n">
        <f aca="false">I560+J560+K560+L560</f>
        <v>21422.04</v>
      </c>
      <c r="N560" s="36" t="s">
        <v>1060</v>
      </c>
    </row>
    <row r="561" customFormat="false" ht="60" hidden="false" customHeight="true" outlineLevel="0" collapsed="false">
      <c r="A561" s="29"/>
      <c r="B561" s="30" t="s">
        <v>1061</v>
      </c>
      <c r="C561" s="31" t="s">
        <v>107</v>
      </c>
      <c r="D561" s="31" t="s">
        <v>108</v>
      </c>
      <c r="E561" s="32" t="n">
        <v>9000</v>
      </c>
      <c r="F561" s="32"/>
      <c r="G561" s="32"/>
      <c r="H561" s="33" t="n">
        <v>2</v>
      </c>
      <c r="I561" s="34" t="n">
        <f aca="false">E561*H561+N(F561)+N(G561)</f>
        <v>18000</v>
      </c>
      <c r="J561" s="32" t="n">
        <f aca="false">ROUND(IFERROR(ROUND(IF(OR(ISNUMBER(SEARCH("week",C561)),ISNUMBER(SEARCH("minggu",C561))),IFERROR(_xlfn.NUMBERVALUE(SUBSTITUTE(LEFT(TRIM(C561),FIND(" ",TRIM(C561)&amp;" ")-1),",","."),"."),LEFT(SUBSTITUTE(LEFT(TRIM(C561),FIND(" ",TRIM(C561)&amp;" ")-1),",","."),FIND("/",SUBSTITUTE(LEFT(TRIM(C561),FIND(" ",TRIM(C561)&amp;" ")-1),",","."))-1)/MID(SUBSTITUTE(LEFT(TRIM(C561),FIND(" ",TRIM(C561)&amp;" ")-1),",","."),FIND("/",SUBSTITUTE(LEFT(TRIM(C561),FIND(" ",TRIM(C561)&amp;" ")-1),",","."))+1,9))*12/52,IF(ISNUMBER(SEARCH("month",C561)),IFERROR(_xlfn.NUMBERVALUE(SUBSTITUTE(LEFT(TRIM(C561),FIND(" ",TRIM(C561)&amp;" ")-1),",","."),"."),LEFT(SUBSTITUTE(LEFT(TRIM(C561),FIND(" ",TRIM(C561)&amp;" ")-1),",","."),FIND("/",SUBSTITUTE(LEFT(TRIM(C561),FIND(" ",TRIM(C561)&amp;" ")-1),",","."))-1)/MID(SUBSTITUTE(LEFT(TRIM(C561),FIND(" ",TRIM(C561)&amp;" ")-1),",","."),FIND("/",SUBSTITUTE(LEFT(TRIM(C561),FIND(" ",TRIM(C561)&amp;" ")-1),",","."))+1,9)),IF(ISNUMBER(SEARCH("yea",C561)),IFERROR(_xlfn.NUMBERVALUE(SUBSTITUTE(LEFT(TRIM(C561),FIND(" ",TRIM(C561)&amp;" ")-1),",","."),"."),LEFT(SUBSTITUTE(LEFT(TRIM(C561),FIND(" ",TRIM(C561)&amp;" ")-1),",","."),FIND("/",SUBSTITUTE(LEFT(TRIM(C561),FIND(" ",TRIM(C561)&amp;" ")-1),",","."))-1)/MID(SUBSTITUTE(LEFT(TRIM(C561),FIND(" ",TRIM(C561)&amp;" ")-1),",","."),FIND("/",SUBSTITUTE(LEFT(TRIM(C561),FIND(" ",TRIM(C561)&amp;" ")-1),",","."))+1,9))*12,NA()))),0),24)*'Aturan &amp; Tarif'!$B$4,2)</f>
        <v>1362.72</v>
      </c>
      <c r="K561" s="32" t="n">
        <f aca="false">'Aturan &amp; Tarif'!$B$5</f>
        <v>2050</v>
      </c>
      <c r="L561" s="32" t="n">
        <f aca="false">'Aturan &amp; Tarif'!$B$6</f>
        <v>350</v>
      </c>
      <c r="M561" s="35" t="n">
        <f aca="false">I561+J561+K561+L561</f>
        <v>21762.72</v>
      </c>
      <c r="N561" s="36" t="s">
        <v>1062</v>
      </c>
    </row>
    <row r="562" customFormat="false" ht="14.25" hidden="false" customHeight="true" outlineLevel="0" collapsed="false">
      <c r="A562" s="29"/>
      <c r="B562" s="30" t="s">
        <v>1063</v>
      </c>
      <c r="C562" s="31" t="s">
        <v>130</v>
      </c>
      <c r="D562" s="31" t="s">
        <v>108</v>
      </c>
      <c r="E562" s="32" t="n">
        <v>4500</v>
      </c>
      <c r="F562" s="32"/>
      <c r="G562" s="32"/>
      <c r="H562" s="33" t="n">
        <v>2</v>
      </c>
      <c r="I562" s="34" t="n">
        <f aca="false">E562*H562+N(F562)+N(G562)</f>
        <v>9000</v>
      </c>
      <c r="J562" s="32" t="n">
        <f aca="false">ROUND(IFERROR(ROUND(IF(OR(ISNUMBER(SEARCH("week",C562)),ISNUMBER(SEARCH("minggu",C562))),IFERROR(_xlfn.NUMBERVALUE(SUBSTITUTE(LEFT(TRIM(C562),FIND(" ",TRIM(C562)&amp;" ")-1),",","."),"."),LEFT(SUBSTITUTE(LEFT(TRIM(C562),FIND(" ",TRIM(C562)&amp;" ")-1),",","."),FIND("/",SUBSTITUTE(LEFT(TRIM(C562),FIND(" ",TRIM(C562)&amp;" ")-1),",","."))-1)/MID(SUBSTITUTE(LEFT(TRIM(C562),FIND(" ",TRIM(C562)&amp;" ")-1),",","."),FIND("/",SUBSTITUTE(LEFT(TRIM(C562),FIND(" ",TRIM(C562)&amp;" ")-1),",","."))+1,9))*12/52,IF(ISNUMBER(SEARCH("month",C562)),IFERROR(_xlfn.NUMBERVALUE(SUBSTITUTE(LEFT(TRIM(C562),FIND(" ",TRIM(C562)&amp;" ")-1),",","."),"."),LEFT(SUBSTITUTE(LEFT(TRIM(C562),FIND(" ",TRIM(C562)&amp;" ")-1),",","."),FIND("/",SUBSTITUTE(LEFT(TRIM(C562),FIND(" ",TRIM(C562)&amp;" ")-1),",","."))-1)/MID(SUBSTITUTE(LEFT(TRIM(C562),FIND(" ",TRIM(C562)&amp;" ")-1),",","."),FIND("/",SUBSTITUTE(LEFT(TRIM(C562),FIND(" ",TRIM(C562)&amp;" ")-1),",","."))+1,9)),IF(ISNUMBER(SEARCH("yea",C562)),IFERROR(_xlfn.NUMBERVALUE(SUBSTITUTE(LEFT(TRIM(C562),FIND(" ",TRIM(C562)&amp;" ")-1),",","."),"."),LEFT(SUBSTITUTE(LEFT(TRIM(C562),FIND(" ",TRIM(C562)&amp;" ")-1),",","."),FIND("/",SUBSTITUTE(LEFT(TRIM(C562),FIND(" ",TRIM(C562)&amp;" ")-1),",","."))-1)/MID(SUBSTITUTE(LEFT(TRIM(C562),FIND(" ",TRIM(C562)&amp;" ")-1),",","."),FIND("/",SUBSTITUTE(LEFT(TRIM(C562),FIND(" ",TRIM(C562)&amp;" ")-1),",","."))+1,9))*12,NA()))),0),12)*'Aturan &amp; Tarif'!$B$4,2)</f>
        <v>681.36</v>
      </c>
      <c r="K562" s="32" t="n">
        <f aca="false">'Aturan &amp; Tarif'!$B$5</f>
        <v>2050</v>
      </c>
      <c r="L562" s="32" t="n">
        <f aca="false">'Aturan &amp; Tarif'!$B$6</f>
        <v>350</v>
      </c>
      <c r="M562" s="35" t="n">
        <f aca="false">I562+J562+K562+L562</f>
        <v>12081.36</v>
      </c>
      <c r="N562" s="37" t="s">
        <v>1064</v>
      </c>
    </row>
    <row r="563" customFormat="false" ht="25.5" hidden="false" customHeight="true" outlineLevel="0" collapsed="false">
      <c r="A563" s="29"/>
      <c r="B563" s="30" t="s">
        <v>1065</v>
      </c>
      <c r="C563" s="31" t="s">
        <v>130</v>
      </c>
      <c r="D563" s="31" t="s">
        <v>108</v>
      </c>
      <c r="E563" s="32" t="n">
        <v>4500</v>
      </c>
      <c r="F563" s="32"/>
      <c r="G563" s="32"/>
      <c r="H563" s="33" t="n">
        <v>2</v>
      </c>
      <c r="I563" s="34" t="n">
        <f aca="false">E563*H563+N(F563)+N(G563)</f>
        <v>9000</v>
      </c>
      <c r="J563" s="32" t="n">
        <f aca="false">ROUND(IFERROR(ROUND(IF(OR(ISNUMBER(SEARCH("week",C563)),ISNUMBER(SEARCH("minggu",C563))),IFERROR(_xlfn.NUMBERVALUE(SUBSTITUTE(LEFT(TRIM(C563),FIND(" ",TRIM(C563)&amp;" ")-1),",","."),"."),LEFT(SUBSTITUTE(LEFT(TRIM(C563),FIND(" ",TRIM(C563)&amp;" ")-1),",","."),FIND("/",SUBSTITUTE(LEFT(TRIM(C563),FIND(" ",TRIM(C563)&amp;" ")-1),",","."))-1)/MID(SUBSTITUTE(LEFT(TRIM(C563),FIND(" ",TRIM(C563)&amp;" ")-1),",","."),FIND("/",SUBSTITUTE(LEFT(TRIM(C563),FIND(" ",TRIM(C563)&amp;" ")-1),",","."))+1,9))*12/52,IF(ISNUMBER(SEARCH("month",C563)),IFERROR(_xlfn.NUMBERVALUE(SUBSTITUTE(LEFT(TRIM(C563),FIND(" ",TRIM(C563)&amp;" ")-1),",","."),"."),LEFT(SUBSTITUTE(LEFT(TRIM(C563),FIND(" ",TRIM(C563)&amp;" ")-1),",","."),FIND("/",SUBSTITUTE(LEFT(TRIM(C563),FIND(" ",TRIM(C563)&amp;" ")-1),",","."))-1)/MID(SUBSTITUTE(LEFT(TRIM(C563),FIND(" ",TRIM(C563)&amp;" ")-1),",","."),FIND("/",SUBSTITUTE(LEFT(TRIM(C563),FIND(" ",TRIM(C563)&amp;" ")-1),",","."))+1,9)),IF(ISNUMBER(SEARCH("yea",C563)),IFERROR(_xlfn.NUMBERVALUE(SUBSTITUTE(LEFT(TRIM(C563),FIND(" ",TRIM(C563)&amp;" ")-1),",","."),"."),LEFT(SUBSTITUTE(LEFT(TRIM(C563),FIND(" ",TRIM(C563)&amp;" ")-1),",","."),FIND("/",SUBSTITUTE(LEFT(TRIM(C563),FIND(" ",TRIM(C563)&amp;" ")-1),",","."))-1)/MID(SUBSTITUTE(LEFT(TRIM(C563),FIND(" ",TRIM(C563)&amp;" ")-1),",","."),FIND("/",SUBSTITUTE(LEFT(TRIM(C563),FIND(" ",TRIM(C563)&amp;" ")-1),",","."))+1,9))*12,NA()))),0),12)*'Aturan &amp; Tarif'!$B$4,2)</f>
        <v>681.36</v>
      </c>
      <c r="K563" s="32" t="n">
        <f aca="false">'Aturan &amp; Tarif'!$B$5</f>
        <v>2050</v>
      </c>
      <c r="L563" s="32" t="n">
        <f aca="false">'Aturan &amp; Tarif'!$B$6</f>
        <v>350</v>
      </c>
      <c r="M563" s="35" t="n">
        <f aca="false">I563+J563+K563+L563</f>
        <v>12081.36</v>
      </c>
      <c r="N563" s="37" t="s">
        <v>1066</v>
      </c>
    </row>
    <row r="564" customFormat="false" ht="14.25" hidden="false" customHeight="true" outlineLevel="0" collapsed="false">
      <c r="A564" s="29"/>
      <c r="B564" s="30" t="s">
        <v>1067</v>
      </c>
      <c r="C564" s="31" t="s">
        <v>130</v>
      </c>
      <c r="D564" s="31" t="s">
        <v>108</v>
      </c>
      <c r="E564" s="32" t="n">
        <v>9000</v>
      </c>
      <c r="F564" s="32"/>
      <c r="G564" s="32"/>
      <c r="H564" s="33" t="n">
        <v>2</v>
      </c>
      <c r="I564" s="34" t="n">
        <f aca="false">E564*H564+N(F564)+N(G564)</f>
        <v>18000</v>
      </c>
      <c r="J564" s="32" t="n">
        <f aca="false">ROUND(IFERROR(ROUND(IF(OR(ISNUMBER(SEARCH("week",C564)),ISNUMBER(SEARCH("minggu",C564))),IFERROR(_xlfn.NUMBERVALUE(SUBSTITUTE(LEFT(TRIM(C564),FIND(" ",TRIM(C564)&amp;" ")-1),",","."),"."),LEFT(SUBSTITUTE(LEFT(TRIM(C564),FIND(" ",TRIM(C564)&amp;" ")-1),",","."),FIND("/",SUBSTITUTE(LEFT(TRIM(C564),FIND(" ",TRIM(C564)&amp;" ")-1),",","."))-1)/MID(SUBSTITUTE(LEFT(TRIM(C564),FIND(" ",TRIM(C564)&amp;" ")-1),",","."),FIND("/",SUBSTITUTE(LEFT(TRIM(C564),FIND(" ",TRIM(C564)&amp;" ")-1),",","."))+1,9))*12/52,IF(ISNUMBER(SEARCH("month",C564)),IFERROR(_xlfn.NUMBERVALUE(SUBSTITUTE(LEFT(TRIM(C564),FIND(" ",TRIM(C564)&amp;" ")-1),",","."),"."),LEFT(SUBSTITUTE(LEFT(TRIM(C564),FIND(" ",TRIM(C564)&amp;" ")-1),",","."),FIND("/",SUBSTITUTE(LEFT(TRIM(C564),FIND(" ",TRIM(C564)&amp;" ")-1),",","."))-1)/MID(SUBSTITUTE(LEFT(TRIM(C564),FIND(" ",TRIM(C564)&amp;" ")-1),",","."),FIND("/",SUBSTITUTE(LEFT(TRIM(C564),FIND(" ",TRIM(C564)&amp;" ")-1),",","."))+1,9)),IF(ISNUMBER(SEARCH("yea",C564)),IFERROR(_xlfn.NUMBERVALUE(SUBSTITUTE(LEFT(TRIM(C564),FIND(" ",TRIM(C564)&amp;" ")-1),",","."),"."),LEFT(SUBSTITUTE(LEFT(TRIM(C564),FIND(" ",TRIM(C564)&amp;" ")-1),",","."),FIND("/",SUBSTITUTE(LEFT(TRIM(C564),FIND(" ",TRIM(C564)&amp;" ")-1),",","."))-1)/MID(SUBSTITUTE(LEFT(TRIM(C564),FIND(" ",TRIM(C564)&amp;" ")-1),",","."),FIND("/",SUBSTITUTE(LEFT(TRIM(C564),FIND(" ",TRIM(C564)&amp;" ")-1),",","."))+1,9))*12,NA()))),0),12)*'Aturan &amp; Tarif'!$B$4,2)</f>
        <v>681.36</v>
      </c>
      <c r="K564" s="32" t="n">
        <f aca="false">'Aturan &amp; Tarif'!$B$5</f>
        <v>2050</v>
      </c>
      <c r="L564" s="32" t="n">
        <f aca="false">'Aturan &amp; Tarif'!$B$6</f>
        <v>350</v>
      </c>
      <c r="M564" s="35" t="n">
        <f aca="false">I564+J564+K564+L564</f>
        <v>21081.36</v>
      </c>
      <c r="N564" s="37" t="s">
        <v>1068</v>
      </c>
    </row>
    <row r="565" customFormat="false" ht="60" hidden="false" customHeight="true" outlineLevel="0" collapsed="false">
      <c r="A565" s="29"/>
      <c r="B565" s="30" t="s">
        <v>1069</v>
      </c>
      <c r="C565" s="31" t="s">
        <v>130</v>
      </c>
      <c r="D565" s="31" t="s">
        <v>108</v>
      </c>
      <c r="E565" s="32" t="n">
        <v>9000</v>
      </c>
      <c r="F565" s="32"/>
      <c r="G565" s="32"/>
      <c r="H565" s="33" t="n">
        <v>2</v>
      </c>
      <c r="I565" s="34" t="n">
        <f aca="false">E565*H565+N(F565)+N(G565)</f>
        <v>18000</v>
      </c>
      <c r="J565" s="32" t="n">
        <f aca="false">ROUND(IFERROR(ROUND(IF(OR(ISNUMBER(SEARCH("week",C565)),ISNUMBER(SEARCH("minggu",C565))),IFERROR(_xlfn.NUMBERVALUE(SUBSTITUTE(LEFT(TRIM(C565),FIND(" ",TRIM(C565)&amp;" ")-1),",","."),"."),LEFT(SUBSTITUTE(LEFT(TRIM(C565),FIND(" ",TRIM(C565)&amp;" ")-1),",","."),FIND("/",SUBSTITUTE(LEFT(TRIM(C565),FIND(" ",TRIM(C565)&amp;" ")-1),",","."))-1)/MID(SUBSTITUTE(LEFT(TRIM(C565),FIND(" ",TRIM(C565)&amp;" ")-1),",","."),FIND("/",SUBSTITUTE(LEFT(TRIM(C565),FIND(" ",TRIM(C565)&amp;" ")-1),",","."))+1,9))*12/52,IF(ISNUMBER(SEARCH("month",C565)),IFERROR(_xlfn.NUMBERVALUE(SUBSTITUTE(LEFT(TRIM(C565),FIND(" ",TRIM(C565)&amp;" ")-1),",","."),"."),LEFT(SUBSTITUTE(LEFT(TRIM(C565),FIND(" ",TRIM(C565)&amp;" ")-1),",","."),FIND("/",SUBSTITUTE(LEFT(TRIM(C565),FIND(" ",TRIM(C565)&amp;" ")-1),",","."))-1)/MID(SUBSTITUTE(LEFT(TRIM(C565),FIND(" ",TRIM(C565)&amp;" ")-1),",","."),FIND("/",SUBSTITUTE(LEFT(TRIM(C565),FIND(" ",TRIM(C565)&amp;" ")-1),",","."))+1,9)),IF(ISNUMBER(SEARCH("yea",C565)),IFERROR(_xlfn.NUMBERVALUE(SUBSTITUTE(LEFT(TRIM(C565),FIND(" ",TRIM(C565)&amp;" ")-1),",","."),"."),LEFT(SUBSTITUTE(LEFT(TRIM(C565),FIND(" ",TRIM(C565)&amp;" ")-1),",","."),FIND("/",SUBSTITUTE(LEFT(TRIM(C565),FIND(" ",TRIM(C565)&amp;" ")-1),",","."))-1)/MID(SUBSTITUTE(LEFT(TRIM(C565),FIND(" ",TRIM(C565)&amp;" ")-1),",","."),FIND("/",SUBSTITUTE(LEFT(TRIM(C565),FIND(" ",TRIM(C565)&amp;" ")-1),",","."))+1,9))*12,NA()))),0),12)*'Aturan &amp; Tarif'!$B$4,2)</f>
        <v>681.36</v>
      </c>
      <c r="K565" s="32" t="n">
        <f aca="false">'Aturan &amp; Tarif'!$B$5</f>
        <v>2050</v>
      </c>
      <c r="L565" s="32" t="n">
        <f aca="false">'Aturan &amp; Tarif'!$B$6</f>
        <v>350</v>
      </c>
      <c r="M565" s="35" t="n">
        <f aca="false">I565+J565+K565+L565</f>
        <v>21081.36</v>
      </c>
      <c r="N565" s="36" t="s">
        <v>1036</v>
      </c>
    </row>
    <row r="566" customFormat="false" ht="60" hidden="false" customHeight="true" outlineLevel="0" collapsed="false">
      <c r="A566" s="29"/>
      <c r="B566" s="30" t="s">
        <v>1070</v>
      </c>
      <c r="C566" s="31" t="s">
        <v>107</v>
      </c>
      <c r="D566" s="31" t="s">
        <v>108</v>
      </c>
      <c r="E566" s="32" t="n">
        <v>9000</v>
      </c>
      <c r="F566" s="32"/>
      <c r="G566" s="32"/>
      <c r="H566" s="33" t="n">
        <v>2</v>
      </c>
      <c r="I566" s="34" t="n">
        <f aca="false">E566*H566+N(F566)+N(G566)</f>
        <v>18000</v>
      </c>
      <c r="J566" s="32" t="n">
        <f aca="false">ROUND(IFERROR(ROUND(IF(OR(ISNUMBER(SEARCH("week",C566)),ISNUMBER(SEARCH("minggu",C566))),IFERROR(_xlfn.NUMBERVALUE(SUBSTITUTE(LEFT(TRIM(C566),FIND(" ",TRIM(C566)&amp;" ")-1),",","."),"."),LEFT(SUBSTITUTE(LEFT(TRIM(C566),FIND(" ",TRIM(C566)&amp;" ")-1),",","."),FIND("/",SUBSTITUTE(LEFT(TRIM(C566),FIND(" ",TRIM(C566)&amp;" ")-1),",","."))-1)/MID(SUBSTITUTE(LEFT(TRIM(C566),FIND(" ",TRIM(C566)&amp;" ")-1),",","."),FIND("/",SUBSTITUTE(LEFT(TRIM(C566),FIND(" ",TRIM(C566)&amp;" ")-1),",","."))+1,9))*12/52,IF(ISNUMBER(SEARCH("month",C566)),IFERROR(_xlfn.NUMBERVALUE(SUBSTITUTE(LEFT(TRIM(C566),FIND(" ",TRIM(C566)&amp;" ")-1),",","."),"."),LEFT(SUBSTITUTE(LEFT(TRIM(C566),FIND(" ",TRIM(C566)&amp;" ")-1),",","."),FIND("/",SUBSTITUTE(LEFT(TRIM(C566),FIND(" ",TRIM(C566)&amp;" ")-1),",","."))-1)/MID(SUBSTITUTE(LEFT(TRIM(C566),FIND(" ",TRIM(C566)&amp;" ")-1),",","."),FIND("/",SUBSTITUTE(LEFT(TRIM(C566),FIND(" ",TRIM(C566)&amp;" ")-1),",","."))+1,9)),IF(ISNUMBER(SEARCH("yea",C566)),IFERROR(_xlfn.NUMBERVALUE(SUBSTITUTE(LEFT(TRIM(C566),FIND(" ",TRIM(C566)&amp;" ")-1),",","."),"."),LEFT(SUBSTITUTE(LEFT(TRIM(C566),FIND(" ",TRIM(C566)&amp;" ")-1),",","."),FIND("/",SUBSTITUTE(LEFT(TRIM(C566),FIND(" ",TRIM(C566)&amp;" ")-1),",","."))-1)/MID(SUBSTITUTE(LEFT(TRIM(C566),FIND(" ",TRIM(C566)&amp;" ")-1),",","."),FIND("/",SUBSTITUTE(LEFT(TRIM(C566),FIND(" ",TRIM(C566)&amp;" ")-1),",","."))+1,9))*12,NA()))),0),24)*'Aturan &amp; Tarif'!$B$4,2)</f>
        <v>1362.72</v>
      </c>
      <c r="K566" s="32" t="n">
        <f aca="false">'Aturan &amp; Tarif'!$B$5</f>
        <v>2050</v>
      </c>
      <c r="L566" s="32" t="n">
        <f aca="false">'Aturan &amp; Tarif'!$B$6</f>
        <v>350</v>
      </c>
      <c r="M566" s="35" t="n">
        <f aca="false">I566+J566+K566+L566</f>
        <v>21762.72</v>
      </c>
      <c r="N566" s="36" t="s">
        <v>1036</v>
      </c>
    </row>
    <row r="567" customFormat="false" ht="60" hidden="false" customHeight="true" outlineLevel="0" collapsed="false">
      <c r="A567" s="29"/>
      <c r="B567" s="30" t="s">
        <v>1071</v>
      </c>
      <c r="C567" s="31" t="s">
        <v>107</v>
      </c>
      <c r="D567" s="31" t="s">
        <v>108</v>
      </c>
      <c r="E567" s="32" t="n">
        <v>9000</v>
      </c>
      <c r="F567" s="32"/>
      <c r="G567" s="32"/>
      <c r="H567" s="33" t="n">
        <v>2</v>
      </c>
      <c r="I567" s="34" t="n">
        <f aca="false">E567*H567+N(F567)+N(G567)</f>
        <v>18000</v>
      </c>
      <c r="J567" s="32" t="n">
        <f aca="false">ROUND(IFERROR(ROUND(IF(OR(ISNUMBER(SEARCH("week",C567)),ISNUMBER(SEARCH("minggu",C567))),IFERROR(_xlfn.NUMBERVALUE(SUBSTITUTE(LEFT(TRIM(C567),FIND(" ",TRIM(C567)&amp;" ")-1),",","."),"."),LEFT(SUBSTITUTE(LEFT(TRIM(C567),FIND(" ",TRIM(C567)&amp;" ")-1),",","."),FIND("/",SUBSTITUTE(LEFT(TRIM(C567),FIND(" ",TRIM(C567)&amp;" ")-1),",","."))-1)/MID(SUBSTITUTE(LEFT(TRIM(C567),FIND(" ",TRIM(C567)&amp;" ")-1),",","."),FIND("/",SUBSTITUTE(LEFT(TRIM(C567),FIND(" ",TRIM(C567)&amp;" ")-1),",","."))+1,9))*12/52,IF(ISNUMBER(SEARCH("month",C567)),IFERROR(_xlfn.NUMBERVALUE(SUBSTITUTE(LEFT(TRIM(C567),FIND(" ",TRIM(C567)&amp;" ")-1),",","."),"."),LEFT(SUBSTITUTE(LEFT(TRIM(C567),FIND(" ",TRIM(C567)&amp;" ")-1),",","."),FIND("/",SUBSTITUTE(LEFT(TRIM(C567),FIND(" ",TRIM(C567)&amp;" ")-1),",","."))-1)/MID(SUBSTITUTE(LEFT(TRIM(C567),FIND(" ",TRIM(C567)&amp;" ")-1),",","."),FIND("/",SUBSTITUTE(LEFT(TRIM(C567),FIND(" ",TRIM(C567)&amp;" ")-1),",","."))+1,9)),IF(ISNUMBER(SEARCH("yea",C567)),IFERROR(_xlfn.NUMBERVALUE(SUBSTITUTE(LEFT(TRIM(C567),FIND(" ",TRIM(C567)&amp;" ")-1),",","."),"."),LEFT(SUBSTITUTE(LEFT(TRIM(C567),FIND(" ",TRIM(C567)&amp;" ")-1),",","."),FIND("/",SUBSTITUTE(LEFT(TRIM(C567),FIND(" ",TRIM(C567)&amp;" ")-1),",","."))-1)/MID(SUBSTITUTE(LEFT(TRIM(C567),FIND(" ",TRIM(C567)&amp;" ")-1),",","."),FIND("/",SUBSTITUTE(LEFT(TRIM(C567),FIND(" ",TRIM(C567)&amp;" ")-1),",","."))+1,9))*12,NA()))),0),24)*'Aturan &amp; Tarif'!$B$4,2)</f>
        <v>1362.72</v>
      </c>
      <c r="K567" s="32" t="n">
        <f aca="false">'Aturan &amp; Tarif'!$B$5</f>
        <v>2050</v>
      </c>
      <c r="L567" s="32" t="n">
        <f aca="false">'Aturan &amp; Tarif'!$B$6</f>
        <v>350</v>
      </c>
      <c r="M567" s="35" t="n">
        <f aca="false">I567+J567+K567+L567</f>
        <v>21762.72</v>
      </c>
      <c r="N567" s="36" t="s">
        <v>1072</v>
      </c>
    </row>
    <row r="568" customFormat="false" ht="60" hidden="false" customHeight="true" outlineLevel="0" collapsed="false">
      <c r="A568" s="29"/>
      <c r="B568" s="30" t="s">
        <v>1073</v>
      </c>
      <c r="C568" s="31" t="s">
        <v>344</v>
      </c>
      <c r="D568" s="31" t="s">
        <v>108</v>
      </c>
      <c r="E568" s="32" t="n">
        <v>4500</v>
      </c>
      <c r="F568" s="32"/>
      <c r="G568" s="32"/>
      <c r="H568" s="33" t="n">
        <v>2</v>
      </c>
      <c r="I568" s="34" t="n">
        <f aca="false">E568*H568+N(F568)+N(G568)</f>
        <v>9000</v>
      </c>
      <c r="J568" s="32" t="n">
        <f aca="false">ROUND(IFERROR(ROUND(IF(OR(ISNUMBER(SEARCH("week",C568)),ISNUMBER(SEARCH("minggu",C568))),IFERROR(_xlfn.NUMBERVALUE(SUBSTITUTE(LEFT(TRIM(C568),FIND(" ",TRIM(C568)&amp;" ")-1),",","."),"."),LEFT(SUBSTITUTE(LEFT(TRIM(C568),FIND(" ",TRIM(C568)&amp;" ")-1),",","."),FIND("/",SUBSTITUTE(LEFT(TRIM(C568),FIND(" ",TRIM(C568)&amp;" ")-1),",","."))-1)/MID(SUBSTITUTE(LEFT(TRIM(C568),FIND(" ",TRIM(C568)&amp;" ")-1),",","."),FIND("/",SUBSTITUTE(LEFT(TRIM(C568),FIND(" ",TRIM(C568)&amp;" ")-1),",","."))+1,9))*12/52,IF(ISNUMBER(SEARCH("month",C568)),IFERROR(_xlfn.NUMBERVALUE(SUBSTITUTE(LEFT(TRIM(C568),FIND(" ",TRIM(C568)&amp;" ")-1),",","."),"."),LEFT(SUBSTITUTE(LEFT(TRIM(C568),FIND(" ",TRIM(C568)&amp;" ")-1),",","."),FIND("/",SUBSTITUTE(LEFT(TRIM(C568),FIND(" ",TRIM(C568)&amp;" ")-1),",","."))-1)/MID(SUBSTITUTE(LEFT(TRIM(C568),FIND(" ",TRIM(C568)&amp;" ")-1),",","."),FIND("/",SUBSTITUTE(LEFT(TRIM(C568),FIND(" ",TRIM(C568)&amp;" ")-1),",","."))+1,9)),IF(ISNUMBER(SEARCH("yea",C568)),IFERROR(_xlfn.NUMBERVALUE(SUBSTITUTE(LEFT(TRIM(C568),FIND(" ",TRIM(C568)&amp;" ")-1),",","."),"."),LEFT(SUBSTITUTE(LEFT(TRIM(C568),FIND(" ",TRIM(C568)&amp;" ")-1),",","."),FIND("/",SUBSTITUTE(LEFT(TRIM(C568),FIND(" ",TRIM(C568)&amp;" ")-1),",","."))-1)/MID(SUBSTITUTE(LEFT(TRIM(C568),FIND(" ",TRIM(C568)&amp;" ")-1),",","."),FIND("/",SUBSTITUTE(LEFT(TRIM(C568),FIND(" ",TRIM(C568)&amp;" ")-1),",","."))+1,9))*12,NA()))),0),6)*'Aturan &amp; Tarif'!$B$4,2)</f>
        <v>340.68</v>
      </c>
      <c r="K568" s="32" t="n">
        <f aca="false">'Aturan &amp; Tarif'!$B$5</f>
        <v>2050</v>
      </c>
      <c r="L568" s="32" t="n">
        <f aca="false">'Aturan &amp; Tarif'!$B$6</f>
        <v>350</v>
      </c>
      <c r="M568" s="35" t="n">
        <f aca="false">I568+J568+K568+L568</f>
        <v>11740.68</v>
      </c>
      <c r="N568" s="36" t="s">
        <v>1036</v>
      </c>
    </row>
    <row r="569" customFormat="false" ht="60" hidden="false" customHeight="true" outlineLevel="0" collapsed="false">
      <c r="A569" s="29"/>
      <c r="B569" s="30" t="s">
        <v>1074</v>
      </c>
      <c r="C569" s="31" t="s">
        <v>130</v>
      </c>
      <c r="D569" s="31" t="s">
        <v>108</v>
      </c>
      <c r="E569" s="32" t="n">
        <v>9000</v>
      </c>
      <c r="F569" s="32"/>
      <c r="G569" s="32"/>
      <c r="H569" s="33" t="n">
        <v>2</v>
      </c>
      <c r="I569" s="34" t="n">
        <f aca="false">E569*H569+N(F569)+N(G569)</f>
        <v>18000</v>
      </c>
      <c r="J569" s="32" t="n">
        <f aca="false">ROUND(IFERROR(ROUND(IF(OR(ISNUMBER(SEARCH("week",C569)),ISNUMBER(SEARCH("minggu",C569))),IFERROR(_xlfn.NUMBERVALUE(SUBSTITUTE(LEFT(TRIM(C569),FIND(" ",TRIM(C569)&amp;" ")-1),",","."),"."),LEFT(SUBSTITUTE(LEFT(TRIM(C569),FIND(" ",TRIM(C569)&amp;" ")-1),",","."),FIND("/",SUBSTITUTE(LEFT(TRIM(C569),FIND(" ",TRIM(C569)&amp;" ")-1),",","."))-1)/MID(SUBSTITUTE(LEFT(TRIM(C569),FIND(" ",TRIM(C569)&amp;" ")-1),",","."),FIND("/",SUBSTITUTE(LEFT(TRIM(C569),FIND(" ",TRIM(C569)&amp;" ")-1),",","."))+1,9))*12/52,IF(ISNUMBER(SEARCH("month",C569)),IFERROR(_xlfn.NUMBERVALUE(SUBSTITUTE(LEFT(TRIM(C569),FIND(" ",TRIM(C569)&amp;" ")-1),",","."),"."),LEFT(SUBSTITUTE(LEFT(TRIM(C569),FIND(" ",TRIM(C569)&amp;" ")-1),",","."),FIND("/",SUBSTITUTE(LEFT(TRIM(C569),FIND(" ",TRIM(C569)&amp;" ")-1),",","."))-1)/MID(SUBSTITUTE(LEFT(TRIM(C569),FIND(" ",TRIM(C569)&amp;" ")-1),",","."),FIND("/",SUBSTITUTE(LEFT(TRIM(C569),FIND(" ",TRIM(C569)&amp;" ")-1),",","."))+1,9)),IF(ISNUMBER(SEARCH("yea",C569)),IFERROR(_xlfn.NUMBERVALUE(SUBSTITUTE(LEFT(TRIM(C569),FIND(" ",TRIM(C569)&amp;" ")-1),",","."),"."),LEFT(SUBSTITUTE(LEFT(TRIM(C569),FIND(" ",TRIM(C569)&amp;" ")-1),",","."),FIND("/",SUBSTITUTE(LEFT(TRIM(C569),FIND(" ",TRIM(C569)&amp;" ")-1),",","."))-1)/MID(SUBSTITUTE(LEFT(TRIM(C569),FIND(" ",TRIM(C569)&amp;" ")-1),",","."),FIND("/",SUBSTITUTE(LEFT(TRIM(C569),FIND(" ",TRIM(C569)&amp;" ")-1),",","."))+1,9))*12,NA()))),0),12)*'Aturan &amp; Tarif'!$B$4,2)</f>
        <v>681.36</v>
      </c>
      <c r="K569" s="32" t="n">
        <f aca="false">'Aturan &amp; Tarif'!$B$5</f>
        <v>2050</v>
      </c>
      <c r="L569" s="32" t="n">
        <f aca="false">'Aturan &amp; Tarif'!$B$6</f>
        <v>350</v>
      </c>
      <c r="M569" s="35" t="n">
        <f aca="false">I569+J569+K569+L569</f>
        <v>21081.36</v>
      </c>
      <c r="N569" s="36" t="s">
        <v>1036</v>
      </c>
    </row>
    <row r="570" customFormat="false" ht="60" hidden="false" customHeight="true" outlineLevel="0" collapsed="false">
      <c r="A570" s="29"/>
      <c r="B570" s="30" t="s">
        <v>1075</v>
      </c>
      <c r="C570" s="31" t="s">
        <v>113</v>
      </c>
      <c r="D570" s="31" t="s">
        <v>108</v>
      </c>
      <c r="E570" s="32" t="n">
        <v>9000</v>
      </c>
      <c r="F570" s="32"/>
      <c r="G570" s="32"/>
      <c r="H570" s="33" t="n">
        <v>2</v>
      </c>
      <c r="I570" s="34" t="n">
        <f aca="false">E570*H570+N(F570)+N(G570)</f>
        <v>18000</v>
      </c>
      <c r="J570" s="32" t="n">
        <f aca="false">ROUND(IFERROR(ROUND(IF(OR(ISNUMBER(SEARCH("week",C570)),ISNUMBER(SEARCH("minggu",C570))),IFERROR(_xlfn.NUMBERVALUE(SUBSTITUTE(LEFT(TRIM(C570),FIND(" ",TRIM(C570)&amp;" ")-1),",","."),"."),LEFT(SUBSTITUTE(LEFT(TRIM(C570),FIND(" ",TRIM(C570)&amp;" ")-1),",","."),FIND("/",SUBSTITUTE(LEFT(TRIM(C570),FIND(" ",TRIM(C570)&amp;" ")-1),",","."))-1)/MID(SUBSTITUTE(LEFT(TRIM(C570),FIND(" ",TRIM(C570)&amp;" ")-1),",","."),FIND("/",SUBSTITUTE(LEFT(TRIM(C570),FIND(" ",TRIM(C570)&amp;" ")-1),",","."))+1,9))*12/52,IF(ISNUMBER(SEARCH("month",C570)),IFERROR(_xlfn.NUMBERVALUE(SUBSTITUTE(LEFT(TRIM(C570),FIND(" ",TRIM(C570)&amp;" ")-1),",","."),"."),LEFT(SUBSTITUTE(LEFT(TRIM(C570),FIND(" ",TRIM(C570)&amp;" ")-1),",","."),FIND("/",SUBSTITUTE(LEFT(TRIM(C570),FIND(" ",TRIM(C570)&amp;" ")-1),",","."))-1)/MID(SUBSTITUTE(LEFT(TRIM(C570),FIND(" ",TRIM(C570)&amp;" ")-1),",","."),FIND("/",SUBSTITUTE(LEFT(TRIM(C570),FIND(" ",TRIM(C570)&amp;" ")-1),",","."))+1,9)),IF(ISNUMBER(SEARCH("yea",C570)),IFERROR(_xlfn.NUMBERVALUE(SUBSTITUTE(LEFT(TRIM(C570),FIND(" ",TRIM(C570)&amp;" ")-1),",","."),"."),LEFT(SUBSTITUTE(LEFT(TRIM(C570),FIND(" ",TRIM(C570)&amp;" ")-1),",","."),FIND("/",SUBSTITUTE(LEFT(TRIM(C570),FIND(" ",TRIM(C570)&amp;" ")-1),",","."))-1)/MID(SUBSTITUTE(LEFT(TRIM(C570),FIND(" ",TRIM(C570)&amp;" ")-1),",","."),FIND("/",SUBSTITUTE(LEFT(TRIM(C570),FIND(" ",TRIM(C570)&amp;" ")-1),",","."))+1,9))*12,NA()))),0),18)*'Aturan &amp; Tarif'!$B$4,2)</f>
        <v>1022.04</v>
      </c>
      <c r="K570" s="32" t="n">
        <f aca="false">'Aturan &amp; Tarif'!$B$5</f>
        <v>2050</v>
      </c>
      <c r="L570" s="32" t="n">
        <f aca="false">'Aturan &amp; Tarif'!$B$6</f>
        <v>350</v>
      </c>
      <c r="M570" s="35" t="n">
        <f aca="false">I570+J570+K570+L570</f>
        <v>21422.04</v>
      </c>
      <c r="N570" s="36" t="s">
        <v>1036</v>
      </c>
    </row>
    <row r="571" customFormat="false" ht="60" hidden="false" customHeight="true" outlineLevel="0" collapsed="false">
      <c r="A571" s="29"/>
      <c r="B571" s="30" t="s">
        <v>1076</v>
      </c>
      <c r="C571" s="31" t="s">
        <v>107</v>
      </c>
      <c r="D571" s="31" t="s">
        <v>108</v>
      </c>
      <c r="E571" s="32" t="n">
        <v>9000</v>
      </c>
      <c r="F571" s="32"/>
      <c r="G571" s="32"/>
      <c r="H571" s="33" t="n">
        <v>2</v>
      </c>
      <c r="I571" s="34" t="n">
        <f aca="false">E571*H571+N(F571)+N(G571)</f>
        <v>18000</v>
      </c>
      <c r="J571" s="32" t="n">
        <f aca="false">ROUND(IFERROR(ROUND(IF(OR(ISNUMBER(SEARCH("week",C571)),ISNUMBER(SEARCH("minggu",C571))),IFERROR(_xlfn.NUMBERVALUE(SUBSTITUTE(LEFT(TRIM(C571),FIND(" ",TRIM(C571)&amp;" ")-1),",","."),"."),LEFT(SUBSTITUTE(LEFT(TRIM(C571),FIND(" ",TRIM(C571)&amp;" ")-1),",","."),FIND("/",SUBSTITUTE(LEFT(TRIM(C571),FIND(" ",TRIM(C571)&amp;" ")-1),",","."))-1)/MID(SUBSTITUTE(LEFT(TRIM(C571),FIND(" ",TRIM(C571)&amp;" ")-1),",","."),FIND("/",SUBSTITUTE(LEFT(TRIM(C571),FIND(" ",TRIM(C571)&amp;" ")-1),",","."))+1,9))*12/52,IF(ISNUMBER(SEARCH("month",C571)),IFERROR(_xlfn.NUMBERVALUE(SUBSTITUTE(LEFT(TRIM(C571),FIND(" ",TRIM(C571)&amp;" ")-1),",","."),"."),LEFT(SUBSTITUTE(LEFT(TRIM(C571),FIND(" ",TRIM(C571)&amp;" ")-1),",","."),FIND("/",SUBSTITUTE(LEFT(TRIM(C571),FIND(" ",TRIM(C571)&amp;" ")-1),",","."))-1)/MID(SUBSTITUTE(LEFT(TRIM(C571),FIND(" ",TRIM(C571)&amp;" ")-1),",","."),FIND("/",SUBSTITUTE(LEFT(TRIM(C571),FIND(" ",TRIM(C571)&amp;" ")-1),",","."))+1,9)),IF(ISNUMBER(SEARCH("yea",C571)),IFERROR(_xlfn.NUMBERVALUE(SUBSTITUTE(LEFT(TRIM(C571),FIND(" ",TRIM(C571)&amp;" ")-1),",","."),"."),LEFT(SUBSTITUTE(LEFT(TRIM(C571),FIND(" ",TRIM(C571)&amp;" ")-1),",","."),FIND("/",SUBSTITUTE(LEFT(TRIM(C571),FIND(" ",TRIM(C571)&amp;" ")-1),",","."))-1)/MID(SUBSTITUTE(LEFT(TRIM(C571),FIND(" ",TRIM(C571)&amp;" ")-1),",","."),FIND("/",SUBSTITUTE(LEFT(TRIM(C571),FIND(" ",TRIM(C571)&amp;" ")-1),",","."))+1,9))*12,NA()))),0),24)*'Aturan &amp; Tarif'!$B$4,2)</f>
        <v>1362.72</v>
      </c>
      <c r="K571" s="32" t="n">
        <f aca="false">'Aturan &amp; Tarif'!$B$5</f>
        <v>2050</v>
      </c>
      <c r="L571" s="32" t="n">
        <f aca="false">'Aturan &amp; Tarif'!$B$6</f>
        <v>350</v>
      </c>
      <c r="M571" s="35" t="n">
        <f aca="false">I571+J571+K571+L571</f>
        <v>21762.72</v>
      </c>
      <c r="N571" s="36" t="s">
        <v>1036</v>
      </c>
    </row>
    <row r="572" customFormat="false" ht="60" hidden="false" customHeight="true" outlineLevel="0" collapsed="false">
      <c r="A572" s="29"/>
      <c r="B572" s="30" t="s">
        <v>1055</v>
      </c>
      <c r="C572" s="31" t="s">
        <v>107</v>
      </c>
      <c r="D572" s="31" t="s">
        <v>108</v>
      </c>
      <c r="E572" s="32" t="n">
        <v>9000</v>
      </c>
      <c r="F572" s="32"/>
      <c r="G572" s="32"/>
      <c r="H572" s="33" t="n">
        <v>2</v>
      </c>
      <c r="I572" s="34" t="n">
        <f aca="false">E572*H572+N(F572)+N(G572)</f>
        <v>18000</v>
      </c>
      <c r="J572" s="32" t="n">
        <f aca="false">ROUND(IFERROR(ROUND(IF(OR(ISNUMBER(SEARCH("week",C572)),ISNUMBER(SEARCH("minggu",C572))),IFERROR(_xlfn.NUMBERVALUE(SUBSTITUTE(LEFT(TRIM(C572),FIND(" ",TRIM(C572)&amp;" ")-1),",","."),"."),LEFT(SUBSTITUTE(LEFT(TRIM(C572),FIND(" ",TRIM(C572)&amp;" ")-1),",","."),FIND("/",SUBSTITUTE(LEFT(TRIM(C572),FIND(" ",TRIM(C572)&amp;" ")-1),",","."))-1)/MID(SUBSTITUTE(LEFT(TRIM(C572),FIND(" ",TRIM(C572)&amp;" ")-1),",","."),FIND("/",SUBSTITUTE(LEFT(TRIM(C572),FIND(" ",TRIM(C572)&amp;" ")-1),",","."))+1,9))*12/52,IF(ISNUMBER(SEARCH("month",C572)),IFERROR(_xlfn.NUMBERVALUE(SUBSTITUTE(LEFT(TRIM(C572),FIND(" ",TRIM(C572)&amp;" ")-1),",","."),"."),LEFT(SUBSTITUTE(LEFT(TRIM(C572),FIND(" ",TRIM(C572)&amp;" ")-1),",","."),FIND("/",SUBSTITUTE(LEFT(TRIM(C572),FIND(" ",TRIM(C572)&amp;" ")-1),",","."))-1)/MID(SUBSTITUTE(LEFT(TRIM(C572),FIND(" ",TRIM(C572)&amp;" ")-1),",","."),FIND("/",SUBSTITUTE(LEFT(TRIM(C572),FIND(" ",TRIM(C572)&amp;" ")-1),",","."))+1,9)),IF(ISNUMBER(SEARCH("yea",C572)),IFERROR(_xlfn.NUMBERVALUE(SUBSTITUTE(LEFT(TRIM(C572),FIND(" ",TRIM(C572)&amp;" ")-1),",","."),"."),LEFT(SUBSTITUTE(LEFT(TRIM(C572),FIND(" ",TRIM(C572)&amp;" ")-1),",","."),FIND("/",SUBSTITUTE(LEFT(TRIM(C572),FIND(" ",TRIM(C572)&amp;" ")-1),",","."))-1)/MID(SUBSTITUTE(LEFT(TRIM(C572),FIND(" ",TRIM(C572)&amp;" ")-1),",","."),FIND("/",SUBSTITUTE(LEFT(TRIM(C572),FIND(" ",TRIM(C572)&amp;" ")-1),",","."))+1,9))*12,NA()))),0),24)*'Aturan &amp; Tarif'!$B$4,2)</f>
        <v>1362.72</v>
      </c>
      <c r="K572" s="32" t="n">
        <f aca="false">'Aturan &amp; Tarif'!$B$5</f>
        <v>2050</v>
      </c>
      <c r="L572" s="32" t="n">
        <f aca="false">'Aturan &amp; Tarif'!$B$6</f>
        <v>350</v>
      </c>
      <c r="M572" s="35" t="n">
        <f aca="false">I572+J572+K572+L572</f>
        <v>21762.72</v>
      </c>
      <c r="N572" s="36" t="s">
        <v>1056</v>
      </c>
    </row>
    <row r="573" customFormat="false" ht="60" hidden="false" customHeight="true" outlineLevel="0" collapsed="false">
      <c r="A573" s="29"/>
      <c r="B573" s="30" t="s">
        <v>1077</v>
      </c>
      <c r="C573" s="31" t="s">
        <v>107</v>
      </c>
      <c r="D573" s="31" t="s">
        <v>108</v>
      </c>
      <c r="E573" s="32" t="n">
        <v>7950</v>
      </c>
      <c r="F573" s="32"/>
      <c r="G573" s="32"/>
      <c r="H573" s="33" t="n">
        <v>2</v>
      </c>
      <c r="I573" s="34" t="n">
        <f aca="false">E573*H573+N(F573)+N(G573)</f>
        <v>15900</v>
      </c>
      <c r="J573" s="32" t="n">
        <f aca="false">ROUND(IFERROR(ROUND(IF(OR(ISNUMBER(SEARCH("week",C573)),ISNUMBER(SEARCH("minggu",C573))),IFERROR(_xlfn.NUMBERVALUE(SUBSTITUTE(LEFT(TRIM(C573),FIND(" ",TRIM(C573)&amp;" ")-1),",","."),"."),LEFT(SUBSTITUTE(LEFT(TRIM(C573),FIND(" ",TRIM(C573)&amp;" ")-1),",","."),FIND("/",SUBSTITUTE(LEFT(TRIM(C573),FIND(" ",TRIM(C573)&amp;" ")-1),",","."))-1)/MID(SUBSTITUTE(LEFT(TRIM(C573),FIND(" ",TRIM(C573)&amp;" ")-1),",","."),FIND("/",SUBSTITUTE(LEFT(TRIM(C573),FIND(" ",TRIM(C573)&amp;" ")-1),",","."))+1,9))*12/52,IF(ISNUMBER(SEARCH("month",C573)),IFERROR(_xlfn.NUMBERVALUE(SUBSTITUTE(LEFT(TRIM(C573),FIND(" ",TRIM(C573)&amp;" ")-1),",","."),"."),LEFT(SUBSTITUTE(LEFT(TRIM(C573),FIND(" ",TRIM(C573)&amp;" ")-1),",","."),FIND("/",SUBSTITUTE(LEFT(TRIM(C573),FIND(" ",TRIM(C573)&amp;" ")-1),",","."))-1)/MID(SUBSTITUTE(LEFT(TRIM(C573),FIND(" ",TRIM(C573)&amp;" ")-1),",","."),FIND("/",SUBSTITUTE(LEFT(TRIM(C573),FIND(" ",TRIM(C573)&amp;" ")-1),",","."))+1,9)),IF(ISNUMBER(SEARCH("yea",C573)),IFERROR(_xlfn.NUMBERVALUE(SUBSTITUTE(LEFT(TRIM(C573),FIND(" ",TRIM(C573)&amp;" ")-1),",","."),"."),LEFT(SUBSTITUTE(LEFT(TRIM(C573),FIND(" ",TRIM(C573)&amp;" ")-1),",","."),FIND("/",SUBSTITUTE(LEFT(TRIM(C573),FIND(" ",TRIM(C573)&amp;" ")-1),",","."))-1)/MID(SUBSTITUTE(LEFT(TRIM(C573),FIND(" ",TRIM(C573)&amp;" ")-1),",","."),FIND("/",SUBSTITUTE(LEFT(TRIM(C573),FIND(" ",TRIM(C573)&amp;" ")-1),",","."))+1,9))*12,NA()))),0),24)*'Aturan &amp; Tarif'!$B$4,2)</f>
        <v>1362.72</v>
      </c>
      <c r="K573" s="32" t="n">
        <f aca="false">'Aturan &amp; Tarif'!$B$5</f>
        <v>2050</v>
      </c>
      <c r="L573" s="32" t="n">
        <f aca="false">'Aturan &amp; Tarif'!$B$6</f>
        <v>350</v>
      </c>
      <c r="M573" s="35" t="n">
        <f aca="false">I573+J573+K573+L573</f>
        <v>19662.72</v>
      </c>
      <c r="N573" s="36" t="s">
        <v>1036</v>
      </c>
    </row>
    <row r="574" customFormat="false" ht="25.5" hidden="false" customHeight="true" outlineLevel="0" collapsed="false">
      <c r="A574" s="29"/>
      <c r="B574" s="30" t="s">
        <v>1078</v>
      </c>
      <c r="C574" s="31" t="s">
        <v>107</v>
      </c>
      <c r="D574" s="31" t="s">
        <v>108</v>
      </c>
      <c r="E574" s="32" t="n">
        <v>20635</v>
      </c>
      <c r="F574" s="32"/>
      <c r="G574" s="32"/>
      <c r="H574" s="33" t="n">
        <v>2</v>
      </c>
      <c r="I574" s="34" t="n">
        <f aca="false">E574*H574+N(F574)+N(G574)</f>
        <v>41270</v>
      </c>
      <c r="J574" s="32" t="n">
        <f aca="false">ROUND(IFERROR(ROUND(IF(OR(ISNUMBER(SEARCH("week",C574)),ISNUMBER(SEARCH("minggu",C574))),IFERROR(_xlfn.NUMBERVALUE(SUBSTITUTE(LEFT(TRIM(C574),FIND(" ",TRIM(C574)&amp;" ")-1),",","."),"."),LEFT(SUBSTITUTE(LEFT(TRIM(C574),FIND(" ",TRIM(C574)&amp;" ")-1),",","."),FIND("/",SUBSTITUTE(LEFT(TRIM(C574),FIND(" ",TRIM(C574)&amp;" ")-1),",","."))-1)/MID(SUBSTITUTE(LEFT(TRIM(C574),FIND(" ",TRIM(C574)&amp;" ")-1),",","."),FIND("/",SUBSTITUTE(LEFT(TRIM(C574),FIND(" ",TRIM(C574)&amp;" ")-1),",","."))+1,9))*12/52,IF(ISNUMBER(SEARCH("month",C574)),IFERROR(_xlfn.NUMBERVALUE(SUBSTITUTE(LEFT(TRIM(C574),FIND(" ",TRIM(C574)&amp;" ")-1),",","."),"."),LEFT(SUBSTITUTE(LEFT(TRIM(C574),FIND(" ",TRIM(C574)&amp;" ")-1),",","."),FIND("/",SUBSTITUTE(LEFT(TRIM(C574),FIND(" ",TRIM(C574)&amp;" ")-1),",","."))-1)/MID(SUBSTITUTE(LEFT(TRIM(C574),FIND(" ",TRIM(C574)&amp;" ")-1),",","."),FIND("/",SUBSTITUTE(LEFT(TRIM(C574),FIND(" ",TRIM(C574)&amp;" ")-1),",","."))+1,9)),IF(ISNUMBER(SEARCH("yea",C574)),IFERROR(_xlfn.NUMBERVALUE(SUBSTITUTE(LEFT(TRIM(C574),FIND(" ",TRIM(C574)&amp;" ")-1),",","."),"."),LEFT(SUBSTITUTE(LEFT(TRIM(C574),FIND(" ",TRIM(C574)&amp;" ")-1),",","."),FIND("/",SUBSTITUTE(LEFT(TRIM(C574),FIND(" ",TRIM(C574)&amp;" ")-1),",","."))-1)/MID(SUBSTITUTE(LEFT(TRIM(C574),FIND(" ",TRIM(C574)&amp;" ")-1),",","."),FIND("/",SUBSTITUTE(LEFT(TRIM(C574),FIND(" ",TRIM(C574)&amp;" ")-1),",","."))+1,9))*12,NA()))),0),24)*'Aturan &amp; Tarif'!$B$4,2)</f>
        <v>1362.72</v>
      </c>
      <c r="K574" s="32" t="n">
        <f aca="false">'Aturan &amp; Tarif'!$B$5</f>
        <v>2050</v>
      </c>
      <c r="L574" s="32" t="n">
        <f aca="false">'Aturan &amp; Tarif'!$B$6</f>
        <v>350</v>
      </c>
      <c r="M574" s="35" t="n">
        <f aca="false">I574+J574+K574+L574</f>
        <v>45032.72</v>
      </c>
      <c r="N574" s="37" t="s">
        <v>1079</v>
      </c>
    </row>
    <row r="575" customFormat="false" ht="60" hidden="false" customHeight="true" outlineLevel="0" collapsed="false">
      <c r="A575" s="29"/>
      <c r="B575" s="30" t="s">
        <v>1035</v>
      </c>
      <c r="C575" s="31" t="s">
        <v>130</v>
      </c>
      <c r="D575" s="31" t="s">
        <v>108</v>
      </c>
      <c r="E575" s="32" t="n">
        <v>7900</v>
      </c>
      <c r="F575" s="32"/>
      <c r="G575" s="32"/>
      <c r="H575" s="33" t="n">
        <v>2</v>
      </c>
      <c r="I575" s="34" t="n">
        <f aca="false">E575*H575+N(F575)+N(G575)</f>
        <v>15800</v>
      </c>
      <c r="J575" s="32" t="n">
        <f aca="false">ROUND(IFERROR(ROUND(IF(OR(ISNUMBER(SEARCH("week",C575)),ISNUMBER(SEARCH("minggu",C575))),IFERROR(_xlfn.NUMBERVALUE(SUBSTITUTE(LEFT(TRIM(C575),FIND(" ",TRIM(C575)&amp;" ")-1),",","."),"."),LEFT(SUBSTITUTE(LEFT(TRIM(C575),FIND(" ",TRIM(C575)&amp;" ")-1),",","."),FIND("/",SUBSTITUTE(LEFT(TRIM(C575),FIND(" ",TRIM(C575)&amp;" ")-1),",","."))-1)/MID(SUBSTITUTE(LEFT(TRIM(C575),FIND(" ",TRIM(C575)&amp;" ")-1),",","."),FIND("/",SUBSTITUTE(LEFT(TRIM(C575),FIND(" ",TRIM(C575)&amp;" ")-1),",","."))+1,9))*12/52,IF(ISNUMBER(SEARCH("month",C575)),IFERROR(_xlfn.NUMBERVALUE(SUBSTITUTE(LEFT(TRIM(C575),FIND(" ",TRIM(C575)&amp;" ")-1),",","."),"."),LEFT(SUBSTITUTE(LEFT(TRIM(C575),FIND(" ",TRIM(C575)&amp;" ")-1),",","."),FIND("/",SUBSTITUTE(LEFT(TRIM(C575),FIND(" ",TRIM(C575)&amp;" ")-1),",","."))-1)/MID(SUBSTITUTE(LEFT(TRIM(C575),FIND(" ",TRIM(C575)&amp;" ")-1),",","."),FIND("/",SUBSTITUTE(LEFT(TRIM(C575),FIND(" ",TRIM(C575)&amp;" ")-1),",","."))+1,9)),IF(ISNUMBER(SEARCH("yea",C575)),IFERROR(_xlfn.NUMBERVALUE(SUBSTITUTE(LEFT(TRIM(C575),FIND(" ",TRIM(C575)&amp;" ")-1),",","."),"."),LEFT(SUBSTITUTE(LEFT(TRIM(C575),FIND(" ",TRIM(C575)&amp;" ")-1),",","."),FIND("/",SUBSTITUTE(LEFT(TRIM(C575),FIND(" ",TRIM(C575)&amp;" ")-1),",","."))-1)/MID(SUBSTITUTE(LEFT(TRIM(C575),FIND(" ",TRIM(C575)&amp;" ")-1),",","."),FIND("/",SUBSTITUTE(LEFT(TRIM(C575),FIND(" ",TRIM(C575)&amp;" ")-1),",","."))+1,9))*12,NA()))),0),12)*'Aturan &amp; Tarif'!$B$4,2)</f>
        <v>681.36</v>
      </c>
      <c r="K575" s="32" t="n">
        <f aca="false">'Aturan &amp; Tarif'!$B$5</f>
        <v>2050</v>
      </c>
      <c r="L575" s="32" t="n">
        <f aca="false">'Aturan &amp; Tarif'!$B$6</f>
        <v>350</v>
      </c>
      <c r="M575" s="35" t="n">
        <f aca="false">I575+J575+K575+L575</f>
        <v>18881.36</v>
      </c>
      <c r="N575" s="36" t="s">
        <v>1036</v>
      </c>
    </row>
    <row r="576" customFormat="false" ht="60" hidden="false" customHeight="true" outlineLevel="0" collapsed="false">
      <c r="A576" s="29"/>
      <c r="B576" s="30" t="s">
        <v>1037</v>
      </c>
      <c r="C576" s="31" t="s">
        <v>127</v>
      </c>
      <c r="D576" s="31" t="s">
        <v>108</v>
      </c>
      <c r="E576" s="32" t="n">
        <v>7900</v>
      </c>
      <c r="F576" s="32"/>
      <c r="G576" s="32"/>
      <c r="H576" s="33" t="n">
        <v>2</v>
      </c>
      <c r="I576" s="34" t="n">
        <f aca="false">E576*H576+N(F576)+N(G576)</f>
        <v>15800</v>
      </c>
      <c r="J576" s="32" t="n">
        <f aca="false">ROUND(IFERROR(ROUND(IF(OR(ISNUMBER(SEARCH("week",C576)),ISNUMBER(SEARCH("minggu",C576))),IFERROR(_xlfn.NUMBERVALUE(SUBSTITUTE(LEFT(TRIM(C576),FIND(" ",TRIM(C576)&amp;" ")-1),",","."),"."),LEFT(SUBSTITUTE(LEFT(TRIM(C576),FIND(" ",TRIM(C576)&amp;" ")-1),",","."),FIND("/",SUBSTITUTE(LEFT(TRIM(C576),FIND(" ",TRIM(C576)&amp;" ")-1),",","."))-1)/MID(SUBSTITUTE(LEFT(TRIM(C576),FIND(" ",TRIM(C576)&amp;" ")-1),",","."),FIND("/",SUBSTITUTE(LEFT(TRIM(C576),FIND(" ",TRIM(C576)&amp;" ")-1),",","."))+1,9))*12/52,IF(ISNUMBER(SEARCH("month",C576)),IFERROR(_xlfn.NUMBERVALUE(SUBSTITUTE(LEFT(TRIM(C576),FIND(" ",TRIM(C576)&amp;" ")-1),",","."),"."),LEFT(SUBSTITUTE(LEFT(TRIM(C576),FIND(" ",TRIM(C576)&amp;" ")-1),",","."),FIND("/",SUBSTITUTE(LEFT(TRIM(C576),FIND(" ",TRIM(C576)&amp;" ")-1),",","."))-1)/MID(SUBSTITUTE(LEFT(TRIM(C576),FIND(" ",TRIM(C576)&amp;" ")-1),",","."),FIND("/",SUBSTITUTE(LEFT(TRIM(C576),FIND(" ",TRIM(C576)&amp;" ")-1),",","."))+1,9)),IF(ISNUMBER(SEARCH("yea",C576)),IFERROR(_xlfn.NUMBERVALUE(SUBSTITUTE(LEFT(TRIM(C576),FIND(" ",TRIM(C576)&amp;" ")-1),",","."),"."),LEFT(SUBSTITUTE(LEFT(TRIM(C576),FIND(" ",TRIM(C576)&amp;" ")-1),",","."),FIND("/",SUBSTITUTE(LEFT(TRIM(C576),FIND(" ",TRIM(C576)&amp;" ")-1),",","."))-1)/MID(SUBSTITUTE(LEFT(TRIM(C576),FIND(" ",TRIM(C576)&amp;" ")-1),",","."),FIND("/",SUBSTITUTE(LEFT(TRIM(C576),FIND(" ",TRIM(C576)&amp;" ")-1),",","."))+1,9))*12,NA()))),0),36)*'Aturan &amp; Tarif'!$B$4,2)</f>
        <v>2044.08</v>
      </c>
      <c r="K576" s="32" t="n">
        <f aca="false">'Aturan &amp; Tarif'!$B$5</f>
        <v>2050</v>
      </c>
      <c r="L576" s="32" t="n">
        <f aca="false">'Aturan &amp; Tarif'!$B$6</f>
        <v>350</v>
      </c>
      <c r="M576" s="35" t="n">
        <f aca="false">I576+J576+K576+L576</f>
        <v>20244.08</v>
      </c>
      <c r="N576" s="36" t="s">
        <v>1036</v>
      </c>
    </row>
    <row r="577" customFormat="false" ht="60" hidden="false" customHeight="true" outlineLevel="0" collapsed="false">
      <c r="A577" s="29"/>
      <c r="B577" s="30" t="s">
        <v>1779</v>
      </c>
      <c r="C577" s="31" t="s">
        <v>130</v>
      </c>
      <c r="D577" s="31" t="s">
        <v>108</v>
      </c>
      <c r="E577" s="32" t="n">
        <v>9375</v>
      </c>
      <c r="F577" s="32"/>
      <c r="G577" s="32"/>
      <c r="H577" s="33" t="n">
        <v>2</v>
      </c>
      <c r="I577" s="34" t="n">
        <f aca="false">E577*H577+N(F577)+N(G577)</f>
        <v>18750</v>
      </c>
      <c r="J577" s="32" t="n">
        <f aca="false">ROUND(IFERROR(ROUND(IF(OR(ISNUMBER(SEARCH("week",C577)),ISNUMBER(SEARCH("minggu",C577))),IFERROR(_xlfn.NUMBERVALUE(SUBSTITUTE(LEFT(TRIM(C577),FIND(" ",TRIM(C577)&amp;" ")-1),",","."),"."),LEFT(SUBSTITUTE(LEFT(TRIM(C577),FIND(" ",TRIM(C577)&amp;" ")-1),",","."),FIND("/",SUBSTITUTE(LEFT(TRIM(C577),FIND(" ",TRIM(C577)&amp;" ")-1),",","."))-1)/MID(SUBSTITUTE(LEFT(TRIM(C577),FIND(" ",TRIM(C577)&amp;" ")-1),",","."),FIND("/",SUBSTITUTE(LEFT(TRIM(C577),FIND(" ",TRIM(C577)&amp;" ")-1),",","."))+1,9))*12/52,IF(ISNUMBER(SEARCH("month",C577)),IFERROR(_xlfn.NUMBERVALUE(SUBSTITUTE(LEFT(TRIM(C577),FIND(" ",TRIM(C577)&amp;" ")-1),",","."),"."),LEFT(SUBSTITUTE(LEFT(TRIM(C577),FIND(" ",TRIM(C577)&amp;" ")-1),",","."),FIND("/",SUBSTITUTE(LEFT(TRIM(C577),FIND(" ",TRIM(C577)&amp;" ")-1),",","."))-1)/MID(SUBSTITUTE(LEFT(TRIM(C577),FIND(" ",TRIM(C577)&amp;" ")-1),",","."),FIND("/",SUBSTITUTE(LEFT(TRIM(C577),FIND(" ",TRIM(C577)&amp;" ")-1),",","."))+1,9)),IF(ISNUMBER(SEARCH("yea",C577)),IFERROR(_xlfn.NUMBERVALUE(SUBSTITUTE(LEFT(TRIM(C577),FIND(" ",TRIM(C577)&amp;" ")-1),",","."),"."),LEFT(SUBSTITUTE(LEFT(TRIM(C577),FIND(" ",TRIM(C577)&amp;" ")-1),",","."),FIND("/",SUBSTITUTE(LEFT(TRIM(C577),FIND(" ",TRIM(C577)&amp;" ")-1),",","."))-1)/MID(SUBSTITUTE(LEFT(TRIM(C577),FIND(" ",TRIM(C577)&amp;" ")-1),",","."),FIND("/",SUBSTITUTE(LEFT(TRIM(C577),FIND(" ",TRIM(C577)&amp;" ")-1),",","."))+1,9))*12,NA()))),0),12)*'Aturan &amp; Tarif'!$B$4,2)</f>
        <v>681.36</v>
      </c>
      <c r="K577" s="32" t="n">
        <f aca="false">'Aturan &amp; Tarif'!$B$5</f>
        <v>2050</v>
      </c>
      <c r="L577" s="32" t="n">
        <f aca="false">'Aturan &amp; Tarif'!$B$6</f>
        <v>350</v>
      </c>
      <c r="M577" s="35" t="n">
        <f aca="false">I577+J577+K577+L577</f>
        <v>21831.36</v>
      </c>
      <c r="N577" s="36" t="s">
        <v>1103</v>
      </c>
    </row>
    <row r="578" customFormat="false" ht="60" hidden="false" customHeight="true" outlineLevel="0" collapsed="false">
      <c r="A578" s="29"/>
      <c r="B578" s="30" t="s">
        <v>1276</v>
      </c>
      <c r="C578" s="31" t="s">
        <v>127</v>
      </c>
      <c r="D578" s="31" t="s">
        <v>108</v>
      </c>
      <c r="E578" s="32" t="n">
        <v>9375</v>
      </c>
      <c r="F578" s="32"/>
      <c r="G578" s="32"/>
      <c r="H578" s="33" t="n">
        <v>2</v>
      </c>
      <c r="I578" s="34" t="n">
        <f aca="false">E578*H578+N(F578)+N(G578)</f>
        <v>18750</v>
      </c>
      <c r="J578" s="32" t="n">
        <f aca="false">ROUND(IFERROR(ROUND(IF(OR(ISNUMBER(SEARCH("week",C578)),ISNUMBER(SEARCH("minggu",C578))),IFERROR(_xlfn.NUMBERVALUE(SUBSTITUTE(LEFT(TRIM(C578),FIND(" ",TRIM(C578)&amp;" ")-1),",","."),"."),LEFT(SUBSTITUTE(LEFT(TRIM(C578),FIND(" ",TRIM(C578)&amp;" ")-1),",","."),FIND("/",SUBSTITUTE(LEFT(TRIM(C578),FIND(" ",TRIM(C578)&amp;" ")-1),",","."))-1)/MID(SUBSTITUTE(LEFT(TRIM(C578),FIND(" ",TRIM(C578)&amp;" ")-1),",","."),FIND("/",SUBSTITUTE(LEFT(TRIM(C578),FIND(" ",TRIM(C578)&amp;" ")-1),",","."))+1,9))*12/52,IF(ISNUMBER(SEARCH("month",C578)),IFERROR(_xlfn.NUMBERVALUE(SUBSTITUTE(LEFT(TRIM(C578),FIND(" ",TRIM(C578)&amp;" ")-1),",","."),"."),LEFT(SUBSTITUTE(LEFT(TRIM(C578),FIND(" ",TRIM(C578)&amp;" ")-1),",","."),FIND("/",SUBSTITUTE(LEFT(TRIM(C578),FIND(" ",TRIM(C578)&amp;" ")-1),",","."))-1)/MID(SUBSTITUTE(LEFT(TRIM(C578),FIND(" ",TRIM(C578)&amp;" ")-1),",","."),FIND("/",SUBSTITUTE(LEFT(TRIM(C578),FIND(" ",TRIM(C578)&amp;" ")-1),",","."))+1,9)),IF(ISNUMBER(SEARCH("yea",C578)),IFERROR(_xlfn.NUMBERVALUE(SUBSTITUTE(LEFT(TRIM(C578),FIND(" ",TRIM(C578)&amp;" ")-1),",","."),"."),LEFT(SUBSTITUTE(LEFT(TRIM(C578),FIND(" ",TRIM(C578)&amp;" ")-1),",","."),FIND("/",SUBSTITUTE(LEFT(TRIM(C578),FIND(" ",TRIM(C578)&amp;" ")-1),",","."))-1)/MID(SUBSTITUTE(LEFT(TRIM(C578),FIND(" ",TRIM(C578)&amp;" ")-1),",","."),FIND("/",SUBSTITUTE(LEFT(TRIM(C578),FIND(" ",TRIM(C578)&amp;" ")-1),",","."))+1,9))*12,NA()))),0),36)*'Aturan &amp; Tarif'!$B$4,2)</f>
        <v>2044.08</v>
      </c>
      <c r="K578" s="32" t="n">
        <f aca="false">'Aturan &amp; Tarif'!$B$5</f>
        <v>2050</v>
      </c>
      <c r="L578" s="32" t="n">
        <f aca="false">'Aturan &amp; Tarif'!$B$6</f>
        <v>350</v>
      </c>
      <c r="M578" s="35" t="n">
        <f aca="false">I578+J578+K578+L578</f>
        <v>23194.08</v>
      </c>
      <c r="N578" s="36" t="s">
        <v>1780</v>
      </c>
    </row>
    <row r="579" customFormat="false" ht="60" hidden="false" customHeight="true" outlineLevel="0" collapsed="false">
      <c r="A579" s="29"/>
      <c r="B579" s="30" t="s">
        <v>1104</v>
      </c>
      <c r="C579" s="31" t="s">
        <v>130</v>
      </c>
      <c r="D579" s="31" t="s">
        <v>108</v>
      </c>
      <c r="E579" s="32" t="n">
        <v>7900</v>
      </c>
      <c r="F579" s="32"/>
      <c r="G579" s="32"/>
      <c r="H579" s="33" t="n">
        <v>2</v>
      </c>
      <c r="I579" s="34" t="n">
        <f aca="false">E579*H579+N(F579)+N(G579)</f>
        <v>15800</v>
      </c>
      <c r="J579" s="32" t="n">
        <f aca="false">ROUND(IFERROR(ROUND(IF(OR(ISNUMBER(SEARCH("week",C579)),ISNUMBER(SEARCH("minggu",C579))),IFERROR(_xlfn.NUMBERVALUE(SUBSTITUTE(LEFT(TRIM(C579),FIND(" ",TRIM(C579)&amp;" ")-1),",","."),"."),LEFT(SUBSTITUTE(LEFT(TRIM(C579),FIND(" ",TRIM(C579)&amp;" ")-1),",","."),FIND("/",SUBSTITUTE(LEFT(TRIM(C579),FIND(" ",TRIM(C579)&amp;" ")-1),",","."))-1)/MID(SUBSTITUTE(LEFT(TRIM(C579),FIND(" ",TRIM(C579)&amp;" ")-1),",","."),FIND("/",SUBSTITUTE(LEFT(TRIM(C579),FIND(" ",TRIM(C579)&amp;" ")-1),",","."))+1,9))*12/52,IF(ISNUMBER(SEARCH("month",C579)),IFERROR(_xlfn.NUMBERVALUE(SUBSTITUTE(LEFT(TRIM(C579),FIND(" ",TRIM(C579)&amp;" ")-1),",","."),"."),LEFT(SUBSTITUTE(LEFT(TRIM(C579),FIND(" ",TRIM(C579)&amp;" ")-1),",","."),FIND("/",SUBSTITUTE(LEFT(TRIM(C579),FIND(" ",TRIM(C579)&amp;" ")-1),",","."))-1)/MID(SUBSTITUTE(LEFT(TRIM(C579),FIND(" ",TRIM(C579)&amp;" ")-1),",","."),FIND("/",SUBSTITUTE(LEFT(TRIM(C579),FIND(" ",TRIM(C579)&amp;" ")-1),",","."))+1,9)),IF(ISNUMBER(SEARCH("yea",C579)),IFERROR(_xlfn.NUMBERVALUE(SUBSTITUTE(LEFT(TRIM(C579),FIND(" ",TRIM(C579)&amp;" ")-1),",","."),"."),LEFT(SUBSTITUTE(LEFT(TRIM(C579),FIND(" ",TRIM(C579)&amp;" ")-1),",","."),FIND("/",SUBSTITUTE(LEFT(TRIM(C579),FIND(" ",TRIM(C579)&amp;" ")-1),",","."))-1)/MID(SUBSTITUTE(LEFT(TRIM(C579),FIND(" ",TRIM(C579)&amp;" ")-1),",","."),FIND("/",SUBSTITUTE(LEFT(TRIM(C579),FIND(" ",TRIM(C579)&amp;" ")-1),",","."))+1,9))*12,NA()))),0),12)*'Aturan &amp; Tarif'!$B$4,2)</f>
        <v>681.36</v>
      </c>
      <c r="K579" s="32" t="n">
        <f aca="false">'Aturan &amp; Tarif'!$B$5</f>
        <v>2050</v>
      </c>
      <c r="L579" s="32" t="n">
        <f aca="false">'Aturan &amp; Tarif'!$B$6</f>
        <v>350</v>
      </c>
      <c r="M579" s="35" t="n">
        <f aca="false">I579+J579+K579+L579</f>
        <v>18881.36</v>
      </c>
      <c r="N579" s="36" t="s">
        <v>1105</v>
      </c>
    </row>
    <row r="580" customFormat="false" ht="60" hidden="false" customHeight="true" outlineLevel="0" collapsed="false">
      <c r="A580" s="29"/>
      <c r="B580" s="30" t="s">
        <v>335</v>
      </c>
      <c r="C580" s="31" t="s">
        <v>127</v>
      </c>
      <c r="D580" s="31" t="s">
        <v>108</v>
      </c>
      <c r="E580" s="32" t="n">
        <v>7900</v>
      </c>
      <c r="F580" s="32"/>
      <c r="G580" s="32"/>
      <c r="H580" s="33" t="n">
        <v>2</v>
      </c>
      <c r="I580" s="34" t="n">
        <f aca="false">E580*H580+N(F580)+N(G580)</f>
        <v>15800</v>
      </c>
      <c r="J580" s="32" t="n">
        <f aca="false">ROUND(IFERROR(ROUND(IF(OR(ISNUMBER(SEARCH("week",C580)),ISNUMBER(SEARCH("minggu",C580))),IFERROR(_xlfn.NUMBERVALUE(SUBSTITUTE(LEFT(TRIM(C580),FIND(" ",TRIM(C580)&amp;" ")-1),",","."),"."),LEFT(SUBSTITUTE(LEFT(TRIM(C580),FIND(" ",TRIM(C580)&amp;" ")-1),",","."),FIND("/",SUBSTITUTE(LEFT(TRIM(C580),FIND(" ",TRIM(C580)&amp;" ")-1),",","."))-1)/MID(SUBSTITUTE(LEFT(TRIM(C580),FIND(" ",TRIM(C580)&amp;" ")-1),",","."),FIND("/",SUBSTITUTE(LEFT(TRIM(C580),FIND(" ",TRIM(C580)&amp;" ")-1),",","."))+1,9))*12/52,IF(ISNUMBER(SEARCH("month",C580)),IFERROR(_xlfn.NUMBERVALUE(SUBSTITUTE(LEFT(TRIM(C580),FIND(" ",TRIM(C580)&amp;" ")-1),",","."),"."),LEFT(SUBSTITUTE(LEFT(TRIM(C580),FIND(" ",TRIM(C580)&amp;" ")-1),",","."),FIND("/",SUBSTITUTE(LEFT(TRIM(C580),FIND(" ",TRIM(C580)&amp;" ")-1),",","."))-1)/MID(SUBSTITUTE(LEFT(TRIM(C580),FIND(" ",TRIM(C580)&amp;" ")-1),",","."),FIND("/",SUBSTITUTE(LEFT(TRIM(C580),FIND(" ",TRIM(C580)&amp;" ")-1),",","."))+1,9)),IF(ISNUMBER(SEARCH("yea",C580)),IFERROR(_xlfn.NUMBERVALUE(SUBSTITUTE(LEFT(TRIM(C580),FIND(" ",TRIM(C580)&amp;" ")-1),",","."),"."),LEFT(SUBSTITUTE(LEFT(TRIM(C580),FIND(" ",TRIM(C580)&amp;" ")-1),",","."),FIND("/",SUBSTITUTE(LEFT(TRIM(C580),FIND(" ",TRIM(C580)&amp;" ")-1),",","."))-1)/MID(SUBSTITUTE(LEFT(TRIM(C580),FIND(" ",TRIM(C580)&amp;" ")-1),",","."),FIND("/",SUBSTITUTE(LEFT(TRIM(C580),FIND(" ",TRIM(C580)&amp;" ")-1),",","."))+1,9))*12,NA()))),0),36)*'Aturan &amp; Tarif'!$B$4,2)</f>
        <v>2044.08</v>
      </c>
      <c r="K580" s="32" t="n">
        <f aca="false">'Aturan &amp; Tarif'!$B$5</f>
        <v>2050</v>
      </c>
      <c r="L580" s="32" t="n">
        <f aca="false">'Aturan &amp; Tarif'!$B$6</f>
        <v>350</v>
      </c>
      <c r="M580" s="35" t="n">
        <f aca="false">I580+J580+K580+L580</f>
        <v>20244.08</v>
      </c>
      <c r="N580" s="36" t="s">
        <v>1106</v>
      </c>
    </row>
    <row r="581" customFormat="false" ht="60" hidden="false" customHeight="true" outlineLevel="0" collapsed="false">
      <c r="A581" s="29"/>
      <c r="B581" s="30" t="s">
        <v>1069</v>
      </c>
      <c r="C581" s="31" t="s">
        <v>130</v>
      </c>
      <c r="D581" s="31" t="s">
        <v>108</v>
      </c>
      <c r="E581" s="32" t="n">
        <v>9000</v>
      </c>
      <c r="F581" s="32"/>
      <c r="G581" s="32"/>
      <c r="H581" s="33" t="n">
        <v>2</v>
      </c>
      <c r="I581" s="34" t="n">
        <f aca="false">E581*H581+N(F581)+N(G581)</f>
        <v>18000</v>
      </c>
      <c r="J581" s="32" t="n">
        <f aca="false">ROUND(IFERROR(ROUND(IF(OR(ISNUMBER(SEARCH("week",C581)),ISNUMBER(SEARCH("minggu",C581))),IFERROR(_xlfn.NUMBERVALUE(SUBSTITUTE(LEFT(TRIM(C581),FIND(" ",TRIM(C581)&amp;" ")-1),",","."),"."),LEFT(SUBSTITUTE(LEFT(TRIM(C581),FIND(" ",TRIM(C581)&amp;" ")-1),",","."),FIND("/",SUBSTITUTE(LEFT(TRIM(C581),FIND(" ",TRIM(C581)&amp;" ")-1),",","."))-1)/MID(SUBSTITUTE(LEFT(TRIM(C581),FIND(" ",TRIM(C581)&amp;" ")-1),",","."),FIND("/",SUBSTITUTE(LEFT(TRIM(C581),FIND(" ",TRIM(C581)&amp;" ")-1),",","."))+1,9))*12/52,IF(ISNUMBER(SEARCH("month",C581)),IFERROR(_xlfn.NUMBERVALUE(SUBSTITUTE(LEFT(TRIM(C581),FIND(" ",TRIM(C581)&amp;" ")-1),",","."),"."),LEFT(SUBSTITUTE(LEFT(TRIM(C581),FIND(" ",TRIM(C581)&amp;" ")-1),",","."),FIND("/",SUBSTITUTE(LEFT(TRIM(C581),FIND(" ",TRIM(C581)&amp;" ")-1),",","."))-1)/MID(SUBSTITUTE(LEFT(TRIM(C581),FIND(" ",TRIM(C581)&amp;" ")-1),",","."),FIND("/",SUBSTITUTE(LEFT(TRIM(C581),FIND(" ",TRIM(C581)&amp;" ")-1),",","."))+1,9)),IF(ISNUMBER(SEARCH("yea",C581)),IFERROR(_xlfn.NUMBERVALUE(SUBSTITUTE(LEFT(TRIM(C581),FIND(" ",TRIM(C581)&amp;" ")-1),",","."),"."),LEFT(SUBSTITUTE(LEFT(TRIM(C581),FIND(" ",TRIM(C581)&amp;" ")-1),",","."),FIND("/",SUBSTITUTE(LEFT(TRIM(C581),FIND(" ",TRIM(C581)&amp;" ")-1),",","."))-1)/MID(SUBSTITUTE(LEFT(TRIM(C581),FIND(" ",TRIM(C581)&amp;" ")-1),",","."),FIND("/",SUBSTITUTE(LEFT(TRIM(C581),FIND(" ",TRIM(C581)&amp;" ")-1),",","."))+1,9))*12,NA()))),0),12)*'Aturan &amp; Tarif'!$B$4,2)</f>
        <v>681.36</v>
      </c>
      <c r="K581" s="32" t="n">
        <f aca="false">'Aturan &amp; Tarif'!$B$5</f>
        <v>2050</v>
      </c>
      <c r="L581" s="32" t="n">
        <f aca="false">'Aturan &amp; Tarif'!$B$6</f>
        <v>350</v>
      </c>
      <c r="M581" s="35" t="n">
        <f aca="false">I581+J581+K581+L581</f>
        <v>21081.36</v>
      </c>
      <c r="N581" s="36" t="s">
        <v>1036</v>
      </c>
    </row>
    <row r="582" customFormat="false" ht="60" hidden="false" customHeight="true" outlineLevel="0" collapsed="false">
      <c r="A582" s="29"/>
      <c r="B582" s="30" t="s">
        <v>1070</v>
      </c>
      <c r="C582" s="31" t="s">
        <v>107</v>
      </c>
      <c r="D582" s="31" t="s">
        <v>108</v>
      </c>
      <c r="E582" s="32" t="n">
        <v>9000</v>
      </c>
      <c r="F582" s="32"/>
      <c r="G582" s="32"/>
      <c r="H582" s="33" t="n">
        <v>2</v>
      </c>
      <c r="I582" s="34" t="n">
        <f aca="false">E582*H582+N(F582)+N(G582)</f>
        <v>18000</v>
      </c>
      <c r="J582" s="32" t="n">
        <f aca="false">ROUND(IFERROR(ROUND(IF(OR(ISNUMBER(SEARCH("week",C582)),ISNUMBER(SEARCH("minggu",C582))),IFERROR(_xlfn.NUMBERVALUE(SUBSTITUTE(LEFT(TRIM(C582),FIND(" ",TRIM(C582)&amp;" ")-1),",","."),"."),LEFT(SUBSTITUTE(LEFT(TRIM(C582),FIND(" ",TRIM(C582)&amp;" ")-1),",","."),FIND("/",SUBSTITUTE(LEFT(TRIM(C582),FIND(" ",TRIM(C582)&amp;" ")-1),",","."))-1)/MID(SUBSTITUTE(LEFT(TRIM(C582),FIND(" ",TRIM(C582)&amp;" ")-1),",","."),FIND("/",SUBSTITUTE(LEFT(TRIM(C582),FIND(" ",TRIM(C582)&amp;" ")-1),",","."))+1,9))*12/52,IF(ISNUMBER(SEARCH("month",C582)),IFERROR(_xlfn.NUMBERVALUE(SUBSTITUTE(LEFT(TRIM(C582),FIND(" ",TRIM(C582)&amp;" ")-1),",","."),"."),LEFT(SUBSTITUTE(LEFT(TRIM(C582),FIND(" ",TRIM(C582)&amp;" ")-1),",","."),FIND("/",SUBSTITUTE(LEFT(TRIM(C582),FIND(" ",TRIM(C582)&amp;" ")-1),",","."))-1)/MID(SUBSTITUTE(LEFT(TRIM(C582),FIND(" ",TRIM(C582)&amp;" ")-1),",","."),FIND("/",SUBSTITUTE(LEFT(TRIM(C582),FIND(" ",TRIM(C582)&amp;" ")-1),",","."))+1,9)),IF(ISNUMBER(SEARCH("yea",C582)),IFERROR(_xlfn.NUMBERVALUE(SUBSTITUTE(LEFT(TRIM(C582),FIND(" ",TRIM(C582)&amp;" ")-1),",","."),"."),LEFT(SUBSTITUTE(LEFT(TRIM(C582),FIND(" ",TRIM(C582)&amp;" ")-1),",","."),FIND("/",SUBSTITUTE(LEFT(TRIM(C582),FIND(" ",TRIM(C582)&amp;" ")-1),",","."))-1)/MID(SUBSTITUTE(LEFT(TRIM(C582),FIND(" ",TRIM(C582)&amp;" ")-1),",","."),FIND("/",SUBSTITUTE(LEFT(TRIM(C582),FIND(" ",TRIM(C582)&amp;" ")-1),",","."))+1,9))*12,NA()))),0),24)*'Aturan &amp; Tarif'!$B$4,2)</f>
        <v>1362.72</v>
      </c>
      <c r="K582" s="32" t="n">
        <f aca="false">'Aturan &amp; Tarif'!$B$5</f>
        <v>2050</v>
      </c>
      <c r="L582" s="32" t="n">
        <f aca="false">'Aturan &amp; Tarif'!$B$6</f>
        <v>350</v>
      </c>
      <c r="M582" s="35" t="n">
        <f aca="false">I582+J582+K582+L582</f>
        <v>21762.72</v>
      </c>
      <c r="N582" s="36" t="s">
        <v>1036</v>
      </c>
    </row>
    <row r="583" customFormat="false" ht="60" hidden="false" customHeight="true" outlineLevel="0" collapsed="false">
      <c r="A583" s="29"/>
      <c r="B583" s="30" t="s">
        <v>1107</v>
      </c>
      <c r="C583" s="31" t="s">
        <v>130</v>
      </c>
      <c r="D583" s="31" t="s">
        <v>108</v>
      </c>
      <c r="E583" s="32" t="n">
        <v>4975</v>
      </c>
      <c r="F583" s="32"/>
      <c r="G583" s="32"/>
      <c r="H583" s="33" t="n">
        <v>2</v>
      </c>
      <c r="I583" s="34" t="n">
        <f aca="false">E583*H583+N(F583)+N(G583)</f>
        <v>9950</v>
      </c>
      <c r="J583" s="32" t="n">
        <f aca="false">ROUND(IFERROR(ROUND(IF(OR(ISNUMBER(SEARCH("week",C583)),ISNUMBER(SEARCH("minggu",C583))),IFERROR(_xlfn.NUMBERVALUE(SUBSTITUTE(LEFT(TRIM(C583),FIND(" ",TRIM(C583)&amp;" ")-1),",","."),"."),LEFT(SUBSTITUTE(LEFT(TRIM(C583),FIND(" ",TRIM(C583)&amp;" ")-1),",","."),FIND("/",SUBSTITUTE(LEFT(TRIM(C583),FIND(" ",TRIM(C583)&amp;" ")-1),",","."))-1)/MID(SUBSTITUTE(LEFT(TRIM(C583),FIND(" ",TRIM(C583)&amp;" ")-1),",","."),FIND("/",SUBSTITUTE(LEFT(TRIM(C583),FIND(" ",TRIM(C583)&amp;" ")-1),",","."))+1,9))*12/52,IF(ISNUMBER(SEARCH("month",C583)),IFERROR(_xlfn.NUMBERVALUE(SUBSTITUTE(LEFT(TRIM(C583),FIND(" ",TRIM(C583)&amp;" ")-1),",","."),"."),LEFT(SUBSTITUTE(LEFT(TRIM(C583),FIND(" ",TRIM(C583)&amp;" ")-1),",","."),FIND("/",SUBSTITUTE(LEFT(TRIM(C583),FIND(" ",TRIM(C583)&amp;" ")-1),",","."))-1)/MID(SUBSTITUTE(LEFT(TRIM(C583),FIND(" ",TRIM(C583)&amp;" ")-1),",","."),FIND("/",SUBSTITUTE(LEFT(TRIM(C583),FIND(" ",TRIM(C583)&amp;" ")-1),",","."))+1,9)),IF(ISNUMBER(SEARCH("yea",C583)),IFERROR(_xlfn.NUMBERVALUE(SUBSTITUTE(LEFT(TRIM(C583),FIND(" ",TRIM(C583)&amp;" ")-1),",","."),"."),LEFT(SUBSTITUTE(LEFT(TRIM(C583),FIND(" ",TRIM(C583)&amp;" ")-1),",","."),FIND("/",SUBSTITUTE(LEFT(TRIM(C583),FIND(" ",TRIM(C583)&amp;" ")-1),",","."))-1)/MID(SUBSTITUTE(LEFT(TRIM(C583),FIND(" ",TRIM(C583)&amp;" ")-1),",","."),FIND("/",SUBSTITUTE(LEFT(TRIM(C583),FIND(" ",TRIM(C583)&amp;" ")-1),",","."))+1,9))*12,NA()))),0),12)*'Aturan &amp; Tarif'!$B$4,2)</f>
        <v>681.36</v>
      </c>
      <c r="K583" s="32" t="n">
        <f aca="false">'Aturan &amp; Tarif'!$B$5</f>
        <v>2050</v>
      </c>
      <c r="L583" s="32" t="n">
        <f aca="false">'Aturan &amp; Tarif'!$B$6</f>
        <v>350</v>
      </c>
      <c r="M583" s="35" t="n">
        <f aca="false">I583+J583+K583+L583</f>
        <v>13031.36</v>
      </c>
      <c r="N583" s="36" t="s">
        <v>1108</v>
      </c>
    </row>
    <row r="584" customFormat="false" ht="60" hidden="false" customHeight="true" outlineLevel="0" collapsed="false">
      <c r="A584" s="29"/>
      <c r="B584" s="30" t="s">
        <v>1109</v>
      </c>
      <c r="C584" s="31" t="s">
        <v>130</v>
      </c>
      <c r="D584" s="31" t="s">
        <v>108</v>
      </c>
      <c r="E584" s="32" t="n">
        <v>9950</v>
      </c>
      <c r="F584" s="32"/>
      <c r="G584" s="32"/>
      <c r="H584" s="33" t="n">
        <v>2</v>
      </c>
      <c r="I584" s="34" t="n">
        <f aca="false">E584*H584+N(F584)+N(G584)</f>
        <v>19900</v>
      </c>
      <c r="J584" s="32" t="n">
        <f aca="false">ROUND(IFERROR(ROUND(IF(OR(ISNUMBER(SEARCH("week",C584)),ISNUMBER(SEARCH("minggu",C584))),IFERROR(_xlfn.NUMBERVALUE(SUBSTITUTE(LEFT(TRIM(C584),FIND(" ",TRIM(C584)&amp;" ")-1),",","."),"."),LEFT(SUBSTITUTE(LEFT(TRIM(C584),FIND(" ",TRIM(C584)&amp;" ")-1),",","."),FIND("/",SUBSTITUTE(LEFT(TRIM(C584),FIND(" ",TRIM(C584)&amp;" ")-1),",","."))-1)/MID(SUBSTITUTE(LEFT(TRIM(C584),FIND(" ",TRIM(C584)&amp;" ")-1),",","."),FIND("/",SUBSTITUTE(LEFT(TRIM(C584),FIND(" ",TRIM(C584)&amp;" ")-1),",","."))+1,9))*12/52,IF(ISNUMBER(SEARCH("month",C584)),IFERROR(_xlfn.NUMBERVALUE(SUBSTITUTE(LEFT(TRIM(C584),FIND(" ",TRIM(C584)&amp;" ")-1),",","."),"."),LEFT(SUBSTITUTE(LEFT(TRIM(C584),FIND(" ",TRIM(C584)&amp;" ")-1),",","."),FIND("/",SUBSTITUTE(LEFT(TRIM(C584),FIND(" ",TRIM(C584)&amp;" ")-1),",","."))-1)/MID(SUBSTITUTE(LEFT(TRIM(C584),FIND(" ",TRIM(C584)&amp;" ")-1),",","."),FIND("/",SUBSTITUTE(LEFT(TRIM(C584),FIND(" ",TRIM(C584)&amp;" ")-1),",","."))+1,9)),IF(ISNUMBER(SEARCH("yea",C584)),IFERROR(_xlfn.NUMBERVALUE(SUBSTITUTE(LEFT(TRIM(C584),FIND(" ",TRIM(C584)&amp;" ")-1),",","."),"."),LEFT(SUBSTITUTE(LEFT(TRIM(C584),FIND(" ",TRIM(C584)&amp;" ")-1),",","."),FIND("/",SUBSTITUTE(LEFT(TRIM(C584),FIND(" ",TRIM(C584)&amp;" ")-1),",","."))-1)/MID(SUBSTITUTE(LEFT(TRIM(C584),FIND(" ",TRIM(C584)&amp;" ")-1),",","."),FIND("/",SUBSTITUTE(LEFT(TRIM(C584),FIND(" ",TRIM(C584)&amp;" ")-1),",","."))+1,9))*12,NA()))),0),12)*'Aturan &amp; Tarif'!$B$4,2)</f>
        <v>681.36</v>
      </c>
      <c r="K584" s="32" t="n">
        <f aca="false">'Aturan &amp; Tarif'!$B$5</f>
        <v>2050</v>
      </c>
      <c r="L584" s="32" t="n">
        <f aca="false">'Aturan &amp; Tarif'!$B$6</f>
        <v>350</v>
      </c>
      <c r="M584" s="35" t="n">
        <f aca="false">I584+J584+K584+L584</f>
        <v>22981.36</v>
      </c>
      <c r="N584" s="36" t="s">
        <v>1110</v>
      </c>
    </row>
    <row r="585" customFormat="false" ht="60" hidden="false" customHeight="true" outlineLevel="0" collapsed="false">
      <c r="A585" s="29"/>
      <c r="B585" s="30" t="s">
        <v>1111</v>
      </c>
      <c r="C585" s="31" t="s">
        <v>107</v>
      </c>
      <c r="D585" s="31" t="s">
        <v>108</v>
      </c>
      <c r="E585" s="32" t="n">
        <v>9950</v>
      </c>
      <c r="F585" s="32"/>
      <c r="G585" s="32"/>
      <c r="H585" s="33" t="n">
        <v>2</v>
      </c>
      <c r="I585" s="34" t="n">
        <f aca="false">E585*H585+N(F585)+N(G585)</f>
        <v>19900</v>
      </c>
      <c r="J585" s="32" t="n">
        <f aca="false">ROUND(IFERROR(ROUND(IF(OR(ISNUMBER(SEARCH("week",C585)),ISNUMBER(SEARCH("minggu",C585))),IFERROR(_xlfn.NUMBERVALUE(SUBSTITUTE(LEFT(TRIM(C585),FIND(" ",TRIM(C585)&amp;" ")-1),",","."),"."),LEFT(SUBSTITUTE(LEFT(TRIM(C585),FIND(" ",TRIM(C585)&amp;" ")-1),",","."),FIND("/",SUBSTITUTE(LEFT(TRIM(C585),FIND(" ",TRIM(C585)&amp;" ")-1),",","."))-1)/MID(SUBSTITUTE(LEFT(TRIM(C585),FIND(" ",TRIM(C585)&amp;" ")-1),",","."),FIND("/",SUBSTITUTE(LEFT(TRIM(C585),FIND(" ",TRIM(C585)&amp;" ")-1),",","."))+1,9))*12/52,IF(ISNUMBER(SEARCH("month",C585)),IFERROR(_xlfn.NUMBERVALUE(SUBSTITUTE(LEFT(TRIM(C585),FIND(" ",TRIM(C585)&amp;" ")-1),",","."),"."),LEFT(SUBSTITUTE(LEFT(TRIM(C585),FIND(" ",TRIM(C585)&amp;" ")-1),",","."),FIND("/",SUBSTITUTE(LEFT(TRIM(C585),FIND(" ",TRIM(C585)&amp;" ")-1),",","."))-1)/MID(SUBSTITUTE(LEFT(TRIM(C585),FIND(" ",TRIM(C585)&amp;" ")-1),",","."),FIND("/",SUBSTITUTE(LEFT(TRIM(C585),FIND(" ",TRIM(C585)&amp;" ")-1),",","."))+1,9)),IF(ISNUMBER(SEARCH("yea",C585)),IFERROR(_xlfn.NUMBERVALUE(SUBSTITUTE(LEFT(TRIM(C585),FIND(" ",TRIM(C585)&amp;" ")-1),",","."),"."),LEFT(SUBSTITUTE(LEFT(TRIM(C585),FIND(" ",TRIM(C585)&amp;" ")-1),",","."),FIND("/",SUBSTITUTE(LEFT(TRIM(C585),FIND(" ",TRIM(C585)&amp;" ")-1),",","."))-1)/MID(SUBSTITUTE(LEFT(TRIM(C585),FIND(" ",TRIM(C585)&amp;" ")-1),",","."),FIND("/",SUBSTITUTE(LEFT(TRIM(C585),FIND(" ",TRIM(C585)&amp;" ")-1),",","."))+1,9))*12,NA()))),0),24)*'Aturan &amp; Tarif'!$B$4,2)</f>
        <v>1362.72</v>
      </c>
      <c r="K585" s="32" t="n">
        <f aca="false">'Aturan &amp; Tarif'!$B$5</f>
        <v>2050</v>
      </c>
      <c r="L585" s="32" t="n">
        <f aca="false">'Aturan &amp; Tarif'!$B$6</f>
        <v>350</v>
      </c>
      <c r="M585" s="35" t="n">
        <f aca="false">I585+J585+K585+L585</f>
        <v>23662.72</v>
      </c>
      <c r="N585" s="36" t="s">
        <v>1112</v>
      </c>
    </row>
    <row r="586" customFormat="false" ht="60" hidden="false" customHeight="true" outlineLevel="0" collapsed="false">
      <c r="A586" s="29"/>
      <c r="B586" s="30" t="s">
        <v>1113</v>
      </c>
      <c r="C586" s="31" t="s">
        <v>107</v>
      </c>
      <c r="D586" s="31" t="s">
        <v>108</v>
      </c>
      <c r="E586" s="32" t="n">
        <v>9950</v>
      </c>
      <c r="F586" s="32"/>
      <c r="G586" s="32"/>
      <c r="H586" s="33" t="n">
        <v>2</v>
      </c>
      <c r="I586" s="34" t="n">
        <f aca="false">E586*H586+N(F586)+N(G586)</f>
        <v>19900</v>
      </c>
      <c r="J586" s="32" t="n">
        <f aca="false">ROUND(IFERROR(ROUND(IF(OR(ISNUMBER(SEARCH("week",C586)),ISNUMBER(SEARCH("minggu",C586))),IFERROR(_xlfn.NUMBERVALUE(SUBSTITUTE(LEFT(TRIM(C586),FIND(" ",TRIM(C586)&amp;" ")-1),",","."),"."),LEFT(SUBSTITUTE(LEFT(TRIM(C586),FIND(" ",TRIM(C586)&amp;" ")-1),",","."),FIND("/",SUBSTITUTE(LEFT(TRIM(C586),FIND(" ",TRIM(C586)&amp;" ")-1),",","."))-1)/MID(SUBSTITUTE(LEFT(TRIM(C586),FIND(" ",TRIM(C586)&amp;" ")-1),",","."),FIND("/",SUBSTITUTE(LEFT(TRIM(C586),FIND(" ",TRIM(C586)&amp;" ")-1),",","."))+1,9))*12/52,IF(ISNUMBER(SEARCH("month",C586)),IFERROR(_xlfn.NUMBERVALUE(SUBSTITUTE(LEFT(TRIM(C586),FIND(" ",TRIM(C586)&amp;" ")-1),",","."),"."),LEFT(SUBSTITUTE(LEFT(TRIM(C586),FIND(" ",TRIM(C586)&amp;" ")-1),",","."),FIND("/",SUBSTITUTE(LEFT(TRIM(C586),FIND(" ",TRIM(C586)&amp;" ")-1),",","."))-1)/MID(SUBSTITUTE(LEFT(TRIM(C586),FIND(" ",TRIM(C586)&amp;" ")-1),",","."),FIND("/",SUBSTITUTE(LEFT(TRIM(C586),FIND(" ",TRIM(C586)&amp;" ")-1),",","."))+1,9)),IF(ISNUMBER(SEARCH("yea",C586)),IFERROR(_xlfn.NUMBERVALUE(SUBSTITUTE(LEFT(TRIM(C586),FIND(" ",TRIM(C586)&amp;" ")-1),",","."),"."),LEFT(SUBSTITUTE(LEFT(TRIM(C586),FIND(" ",TRIM(C586)&amp;" ")-1),",","."),FIND("/",SUBSTITUTE(LEFT(TRIM(C586),FIND(" ",TRIM(C586)&amp;" ")-1),",","."))-1)/MID(SUBSTITUTE(LEFT(TRIM(C586),FIND(" ",TRIM(C586)&amp;" ")-1),",","."),FIND("/",SUBSTITUTE(LEFT(TRIM(C586),FIND(" ",TRIM(C586)&amp;" ")-1),",","."))+1,9))*12,NA()))),0),24)*'Aturan &amp; Tarif'!$B$4,2)</f>
        <v>1362.72</v>
      </c>
      <c r="K586" s="32" t="n">
        <f aca="false">'Aturan &amp; Tarif'!$B$5</f>
        <v>2050</v>
      </c>
      <c r="L586" s="32" t="n">
        <f aca="false">'Aturan &amp; Tarif'!$B$6</f>
        <v>350</v>
      </c>
      <c r="M586" s="35" t="n">
        <f aca="false">I586+J586+K586+L586</f>
        <v>23662.72</v>
      </c>
      <c r="N586" s="36" t="s">
        <v>1114</v>
      </c>
    </row>
    <row r="587" customFormat="false" ht="60" hidden="false" customHeight="true" outlineLevel="0" collapsed="false">
      <c r="A587" s="29"/>
      <c r="B587" s="30" t="s">
        <v>1115</v>
      </c>
      <c r="C587" s="31" t="s">
        <v>130</v>
      </c>
      <c r="D587" s="31" t="s">
        <v>108</v>
      </c>
      <c r="E587" s="32" t="n">
        <v>4500</v>
      </c>
      <c r="F587" s="32"/>
      <c r="G587" s="32"/>
      <c r="H587" s="33" t="n">
        <v>2</v>
      </c>
      <c r="I587" s="34" t="n">
        <f aca="false">E587*H587+N(F587)+N(G587)</f>
        <v>9000</v>
      </c>
      <c r="J587" s="32" t="n">
        <f aca="false">ROUND(IFERROR(ROUND(IF(OR(ISNUMBER(SEARCH("week",C587)),ISNUMBER(SEARCH("minggu",C587))),IFERROR(_xlfn.NUMBERVALUE(SUBSTITUTE(LEFT(TRIM(C587),FIND(" ",TRIM(C587)&amp;" ")-1),",","."),"."),LEFT(SUBSTITUTE(LEFT(TRIM(C587),FIND(" ",TRIM(C587)&amp;" ")-1),",","."),FIND("/",SUBSTITUTE(LEFT(TRIM(C587),FIND(" ",TRIM(C587)&amp;" ")-1),",","."))-1)/MID(SUBSTITUTE(LEFT(TRIM(C587),FIND(" ",TRIM(C587)&amp;" ")-1),",","."),FIND("/",SUBSTITUTE(LEFT(TRIM(C587),FIND(" ",TRIM(C587)&amp;" ")-1),",","."))+1,9))*12/52,IF(ISNUMBER(SEARCH("month",C587)),IFERROR(_xlfn.NUMBERVALUE(SUBSTITUTE(LEFT(TRIM(C587),FIND(" ",TRIM(C587)&amp;" ")-1),",","."),"."),LEFT(SUBSTITUTE(LEFT(TRIM(C587),FIND(" ",TRIM(C587)&amp;" ")-1),",","."),FIND("/",SUBSTITUTE(LEFT(TRIM(C587),FIND(" ",TRIM(C587)&amp;" ")-1),",","."))-1)/MID(SUBSTITUTE(LEFT(TRIM(C587),FIND(" ",TRIM(C587)&amp;" ")-1),",","."),FIND("/",SUBSTITUTE(LEFT(TRIM(C587),FIND(" ",TRIM(C587)&amp;" ")-1),",","."))+1,9)),IF(ISNUMBER(SEARCH("yea",C587)),IFERROR(_xlfn.NUMBERVALUE(SUBSTITUTE(LEFT(TRIM(C587),FIND(" ",TRIM(C587)&amp;" ")-1),",","."),"."),LEFT(SUBSTITUTE(LEFT(TRIM(C587),FIND(" ",TRIM(C587)&amp;" ")-1),",","."),FIND("/",SUBSTITUTE(LEFT(TRIM(C587),FIND(" ",TRIM(C587)&amp;" ")-1),",","."))-1)/MID(SUBSTITUTE(LEFT(TRIM(C587),FIND(" ",TRIM(C587)&amp;" ")-1),",","."),FIND("/",SUBSTITUTE(LEFT(TRIM(C587),FIND(" ",TRIM(C587)&amp;" ")-1),",","."))+1,9))*12,NA()))),0),12)*'Aturan &amp; Tarif'!$B$4,2)</f>
        <v>681.36</v>
      </c>
      <c r="K587" s="32" t="n">
        <f aca="false">'Aturan &amp; Tarif'!$B$5</f>
        <v>2050</v>
      </c>
      <c r="L587" s="32" t="n">
        <f aca="false">'Aturan &amp; Tarif'!$B$6</f>
        <v>350</v>
      </c>
      <c r="M587" s="35" t="n">
        <f aca="false">I587+J587+K587+L587</f>
        <v>12081.36</v>
      </c>
      <c r="N587" s="36" t="s">
        <v>1116</v>
      </c>
    </row>
    <row r="588" customFormat="false" ht="60" hidden="false" customHeight="true" outlineLevel="0" collapsed="false">
      <c r="A588" s="29"/>
      <c r="B588" s="30" t="s">
        <v>1117</v>
      </c>
      <c r="C588" s="31" t="s">
        <v>130</v>
      </c>
      <c r="D588" s="31" t="s">
        <v>108</v>
      </c>
      <c r="E588" s="32" t="n">
        <v>9000</v>
      </c>
      <c r="F588" s="32"/>
      <c r="G588" s="32"/>
      <c r="H588" s="33" t="n">
        <v>2</v>
      </c>
      <c r="I588" s="34" t="n">
        <f aca="false">E588*H588+N(F588)+N(G588)</f>
        <v>18000</v>
      </c>
      <c r="J588" s="32" t="n">
        <f aca="false">ROUND(IFERROR(ROUND(IF(OR(ISNUMBER(SEARCH("week",C588)),ISNUMBER(SEARCH("minggu",C588))),IFERROR(_xlfn.NUMBERVALUE(SUBSTITUTE(LEFT(TRIM(C588),FIND(" ",TRIM(C588)&amp;" ")-1),",","."),"."),LEFT(SUBSTITUTE(LEFT(TRIM(C588),FIND(" ",TRIM(C588)&amp;" ")-1),",","."),FIND("/",SUBSTITUTE(LEFT(TRIM(C588),FIND(" ",TRIM(C588)&amp;" ")-1),",","."))-1)/MID(SUBSTITUTE(LEFT(TRIM(C588),FIND(" ",TRIM(C588)&amp;" ")-1),",","."),FIND("/",SUBSTITUTE(LEFT(TRIM(C588),FIND(" ",TRIM(C588)&amp;" ")-1),",","."))+1,9))*12/52,IF(ISNUMBER(SEARCH("month",C588)),IFERROR(_xlfn.NUMBERVALUE(SUBSTITUTE(LEFT(TRIM(C588),FIND(" ",TRIM(C588)&amp;" ")-1),",","."),"."),LEFT(SUBSTITUTE(LEFT(TRIM(C588),FIND(" ",TRIM(C588)&amp;" ")-1),",","."),FIND("/",SUBSTITUTE(LEFT(TRIM(C588),FIND(" ",TRIM(C588)&amp;" ")-1),",","."))-1)/MID(SUBSTITUTE(LEFT(TRIM(C588),FIND(" ",TRIM(C588)&amp;" ")-1),",","."),FIND("/",SUBSTITUTE(LEFT(TRIM(C588),FIND(" ",TRIM(C588)&amp;" ")-1),",","."))+1,9)),IF(ISNUMBER(SEARCH("yea",C588)),IFERROR(_xlfn.NUMBERVALUE(SUBSTITUTE(LEFT(TRIM(C588),FIND(" ",TRIM(C588)&amp;" ")-1),",","."),"."),LEFT(SUBSTITUTE(LEFT(TRIM(C588),FIND(" ",TRIM(C588)&amp;" ")-1),",","."),FIND("/",SUBSTITUTE(LEFT(TRIM(C588),FIND(" ",TRIM(C588)&amp;" ")-1),",","."))-1)/MID(SUBSTITUTE(LEFT(TRIM(C588),FIND(" ",TRIM(C588)&amp;" ")-1),",","."),FIND("/",SUBSTITUTE(LEFT(TRIM(C588),FIND(" ",TRIM(C588)&amp;" ")-1),",","."))+1,9))*12,NA()))),0),12)*'Aturan &amp; Tarif'!$B$4,2)</f>
        <v>681.36</v>
      </c>
      <c r="K588" s="32" t="n">
        <f aca="false">'Aturan &amp; Tarif'!$B$5</f>
        <v>2050</v>
      </c>
      <c r="L588" s="32" t="n">
        <f aca="false">'Aturan &amp; Tarif'!$B$6</f>
        <v>350</v>
      </c>
      <c r="M588" s="35" t="n">
        <f aca="false">I588+J588+K588+L588</f>
        <v>21081.36</v>
      </c>
      <c r="N588" s="36" t="s">
        <v>1118</v>
      </c>
    </row>
    <row r="589" customFormat="false" ht="60" hidden="false" customHeight="true" outlineLevel="0" collapsed="false">
      <c r="A589" s="29"/>
      <c r="B589" s="30" t="s">
        <v>349</v>
      </c>
      <c r="C589" s="31" t="s">
        <v>107</v>
      </c>
      <c r="D589" s="31" t="s">
        <v>108</v>
      </c>
      <c r="E589" s="32" t="n">
        <v>9000</v>
      </c>
      <c r="F589" s="32"/>
      <c r="G589" s="32"/>
      <c r="H589" s="33" t="n">
        <v>2</v>
      </c>
      <c r="I589" s="34" t="n">
        <f aca="false">E589*H589+N(F589)+N(G589)</f>
        <v>18000</v>
      </c>
      <c r="J589" s="32" t="n">
        <f aca="false">ROUND(IFERROR(ROUND(IF(OR(ISNUMBER(SEARCH("week",C589)),ISNUMBER(SEARCH("minggu",C589))),IFERROR(_xlfn.NUMBERVALUE(SUBSTITUTE(LEFT(TRIM(C589),FIND(" ",TRIM(C589)&amp;" ")-1),",","."),"."),LEFT(SUBSTITUTE(LEFT(TRIM(C589),FIND(" ",TRIM(C589)&amp;" ")-1),",","."),FIND("/",SUBSTITUTE(LEFT(TRIM(C589),FIND(" ",TRIM(C589)&amp;" ")-1),",","."))-1)/MID(SUBSTITUTE(LEFT(TRIM(C589),FIND(" ",TRIM(C589)&amp;" ")-1),",","."),FIND("/",SUBSTITUTE(LEFT(TRIM(C589),FIND(" ",TRIM(C589)&amp;" ")-1),",","."))+1,9))*12/52,IF(ISNUMBER(SEARCH("month",C589)),IFERROR(_xlfn.NUMBERVALUE(SUBSTITUTE(LEFT(TRIM(C589),FIND(" ",TRIM(C589)&amp;" ")-1),",","."),"."),LEFT(SUBSTITUTE(LEFT(TRIM(C589),FIND(" ",TRIM(C589)&amp;" ")-1),",","."),FIND("/",SUBSTITUTE(LEFT(TRIM(C589),FIND(" ",TRIM(C589)&amp;" ")-1),",","."))-1)/MID(SUBSTITUTE(LEFT(TRIM(C589),FIND(" ",TRIM(C589)&amp;" ")-1),",","."),FIND("/",SUBSTITUTE(LEFT(TRIM(C589),FIND(" ",TRIM(C589)&amp;" ")-1),",","."))+1,9)),IF(ISNUMBER(SEARCH("yea",C589)),IFERROR(_xlfn.NUMBERVALUE(SUBSTITUTE(LEFT(TRIM(C589),FIND(" ",TRIM(C589)&amp;" ")-1),",","."),"."),LEFT(SUBSTITUTE(LEFT(TRIM(C589),FIND(" ",TRIM(C589)&amp;" ")-1),",","."),FIND("/",SUBSTITUTE(LEFT(TRIM(C589),FIND(" ",TRIM(C589)&amp;" ")-1),",","."))-1)/MID(SUBSTITUTE(LEFT(TRIM(C589),FIND(" ",TRIM(C589)&amp;" ")-1),",","."),FIND("/",SUBSTITUTE(LEFT(TRIM(C589),FIND(" ",TRIM(C589)&amp;" ")-1),",","."))+1,9))*12,NA()))),0),24)*'Aturan &amp; Tarif'!$B$4,2)</f>
        <v>1362.72</v>
      </c>
      <c r="K589" s="32" t="n">
        <f aca="false">'Aturan &amp; Tarif'!$B$5</f>
        <v>2050</v>
      </c>
      <c r="L589" s="32" t="n">
        <f aca="false">'Aturan &amp; Tarif'!$B$6</f>
        <v>350</v>
      </c>
      <c r="M589" s="35" t="n">
        <f aca="false">I589+J589+K589+L589</f>
        <v>21762.72</v>
      </c>
      <c r="N589" s="36" t="s">
        <v>1119</v>
      </c>
    </row>
    <row r="590" customFormat="false" ht="60" hidden="false" customHeight="true" outlineLevel="0" collapsed="false">
      <c r="A590" s="29"/>
      <c r="B590" s="30" t="s">
        <v>1120</v>
      </c>
      <c r="C590" s="31" t="s">
        <v>107</v>
      </c>
      <c r="D590" s="31" t="s">
        <v>108</v>
      </c>
      <c r="E590" s="32" t="n">
        <v>9000</v>
      </c>
      <c r="F590" s="32"/>
      <c r="G590" s="32"/>
      <c r="H590" s="33" t="n">
        <v>2</v>
      </c>
      <c r="I590" s="34" t="n">
        <f aca="false">E590*H590+N(F590)+N(G590)</f>
        <v>18000</v>
      </c>
      <c r="J590" s="32" t="n">
        <f aca="false">ROUND(IFERROR(ROUND(IF(OR(ISNUMBER(SEARCH("week",C590)),ISNUMBER(SEARCH("minggu",C590))),IFERROR(_xlfn.NUMBERVALUE(SUBSTITUTE(LEFT(TRIM(C590),FIND(" ",TRIM(C590)&amp;" ")-1),",","."),"."),LEFT(SUBSTITUTE(LEFT(TRIM(C590),FIND(" ",TRIM(C590)&amp;" ")-1),",","."),FIND("/",SUBSTITUTE(LEFT(TRIM(C590),FIND(" ",TRIM(C590)&amp;" ")-1),",","."))-1)/MID(SUBSTITUTE(LEFT(TRIM(C590),FIND(" ",TRIM(C590)&amp;" ")-1),",","."),FIND("/",SUBSTITUTE(LEFT(TRIM(C590),FIND(" ",TRIM(C590)&amp;" ")-1),",","."))+1,9))*12/52,IF(ISNUMBER(SEARCH("month",C590)),IFERROR(_xlfn.NUMBERVALUE(SUBSTITUTE(LEFT(TRIM(C590),FIND(" ",TRIM(C590)&amp;" ")-1),",","."),"."),LEFT(SUBSTITUTE(LEFT(TRIM(C590),FIND(" ",TRIM(C590)&amp;" ")-1),",","."),FIND("/",SUBSTITUTE(LEFT(TRIM(C590),FIND(" ",TRIM(C590)&amp;" ")-1),",","."))-1)/MID(SUBSTITUTE(LEFT(TRIM(C590),FIND(" ",TRIM(C590)&amp;" ")-1),",","."),FIND("/",SUBSTITUTE(LEFT(TRIM(C590),FIND(" ",TRIM(C590)&amp;" ")-1),",","."))+1,9)),IF(ISNUMBER(SEARCH("yea",C590)),IFERROR(_xlfn.NUMBERVALUE(SUBSTITUTE(LEFT(TRIM(C590),FIND(" ",TRIM(C590)&amp;" ")-1),",","."),"."),LEFT(SUBSTITUTE(LEFT(TRIM(C590),FIND(" ",TRIM(C590)&amp;" ")-1),",","."),FIND("/",SUBSTITUTE(LEFT(TRIM(C590),FIND(" ",TRIM(C590)&amp;" ")-1),",","."))-1)/MID(SUBSTITUTE(LEFT(TRIM(C590),FIND(" ",TRIM(C590)&amp;" ")-1),",","."),FIND("/",SUBSTITUTE(LEFT(TRIM(C590),FIND(" ",TRIM(C590)&amp;" ")-1),",","."))+1,9))*12,NA()))),0),24)*'Aturan &amp; Tarif'!$B$4,2)</f>
        <v>1362.72</v>
      </c>
      <c r="K590" s="32" t="n">
        <f aca="false">'Aturan &amp; Tarif'!$B$5</f>
        <v>2050</v>
      </c>
      <c r="L590" s="32" t="n">
        <f aca="false">'Aturan &amp; Tarif'!$B$6</f>
        <v>350</v>
      </c>
      <c r="M590" s="35" t="n">
        <f aca="false">I590+J590+K590+L590</f>
        <v>21762.72</v>
      </c>
      <c r="N590" s="36" t="s">
        <v>1121</v>
      </c>
    </row>
    <row r="591" customFormat="false" ht="60" hidden="false" customHeight="true" outlineLevel="0" collapsed="false">
      <c r="A591" s="29"/>
      <c r="B591" s="30" t="s">
        <v>1134</v>
      </c>
      <c r="C591" s="31" t="s">
        <v>127</v>
      </c>
      <c r="D591" s="31" t="s">
        <v>108</v>
      </c>
      <c r="E591" s="32" t="n">
        <v>7333</v>
      </c>
      <c r="F591" s="32"/>
      <c r="G591" s="32"/>
      <c r="H591" s="33" t="n">
        <v>2</v>
      </c>
      <c r="I591" s="34" t="n">
        <f aca="false">E591*H591+N(F591)+N(G591)</f>
        <v>14666</v>
      </c>
      <c r="J591" s="32" t="n">
        <f aca="false">ROUND(IFERROR(ROUND(IF(OR(ISNUMBER(SEARCH("week",C591)),ISNUMBER(SEARCH("minggu",C591))),IFERROR(_xlfn.NUMBERVALUE(SUBSTITUTE(LEFT(TRIM(C591),FIND(" ",TRIM(C591)&amp;" ")-1),",","."),"."),LEFT(SUBSTITUTE(LEFT(TRIM(C591),FIND(" ",TRIM(C591)&amp;" ")-1),",","."),FIND("/",SUBSTITUTE(LEFT(TRIM(C591),FIND(" ",TRIM(C591)&amp;" ")-1),",","."))-1)/MID(SUBSTITUTE(LEFT(TRIM(C591),FIND(" ",TRIM(C591)&amp;" ")-1),",","."),FIND("/",SUBSTITUTE(LEFT(TRIM(C591),FIND(" ",TRIM(C591)&amp;" ")-1),",","."))+1,9))*12/52,IF(ISNUMBER(SEARCH("month",C591)),IFERROR(_xlfn.NUMBERVALUE(SUBSTITUTE(LEFT(TRIM(C591),FIND(" ",TRIM(C591)&amp;" ")-1),",","."),"."),LEFT(SUBSTITUTE(LEFT(TRIM(C591),FIND(" ",TRIM(C591)&amp;" ")-1),",","."),FIND("/",SUBSTITUTE(LEFT(TRIM(C591),FIND(" ",TRIM(C591)&amp;" ")-1),",","."))-1)/MID(SUBSTITUTE(LEFT(TRIM(C591),FIND(" ",TRIM(C591)&amp;" ")-1),",","."),FIND("/",SUBSTITUTE(LEFT(TRIM(C591),FIND(" ",TRIM(C591)&amp;" ")-1),",","."))+1,9)),IF(ISNUMBER(SEARCH("yea",C591)),IFERROR(_xlfn.NUMBERVALUE(SUBSTITUTE(LEFT(TRIM(C591),FIND(" ",TRIM(C591)&amp;" ")-1),",","."),"."),LEFT(SUBSTITUTE(LEFT(TRIM(C591),FIND(" ",TRIM(C591)&amp;" ")-1),",","."),FIND("/",SUBSTITUTE(LEFT(TRIM(C591),FIND(" ",TRIM(C591)&amp;" ")-1),",","."))-1)/MID(SUBSTITUTE(LEFT(TRIM(C591),FIND(" ",TRIM(C591)&amp;" ")-1),",","."),FIND("/",SUBSTITUTE(LEFT(TRIM(C591),FIND(" ",TRIM(C591)&amp;" ")-1),",","."))+1,9))*12,NA()))),0),36)*'Aturan &amp; Tarif'!$B$4,2)</f>
        <v>2044.08</v>
      </c>
      <c r="K591" s="32" t="n">
        <f aca="false">'Aturan &amp; Tarif'!$B$5</f>
        <v>2050</v>
      </c>
      <c r="L591" s="32" t="n">
        <f aca="false">'Aturan &amp; Tarif'!$B$6</f>
        <v>350</v>
      </c>
      <c r="M591" s="35" t="n">
        <f aca="false">I591+J591+K591+L591</f>
        <v>19110.08</v>
      </c>
      <c r="N591" s="36" t="s">
        <v>1781</v>
      </c>
    </row>
    <row r="592" customFormat="false" ht="60" hidden="false" customHeight="true" outlineLevel="0" collapsed="false">
      <c r="A592" s="29"/>
      <c r="B592" s="30" t="s">
        <v>265</v>
      </c>
      <c r="C592" s="31" t="s">
        <v>127</v>
      </c>
      <c r="D592" s="31" t="s">
        <v>108</v>
      </c>
      <c r="E592" s="32" t="n">
        <v>8750</v>
      </c>
      <c r="F592" s="32"/>
      <c r="G592" s="32"/>
      <c r="H592" s="33" t="n">
        <v>2</v>
      </c>
      <c r="I592" s="34" t="n">
        <f aca="false">E592*H592+N(F592)+N(G592)</f>
        <v>17500</v>
      </c>
      <c r="J592" s="32" t="n">
        <f aca="false">ROUND(IFERROR(ROUND(IF(OR(ISNUMBER(SEARCH("week",C592)),ISNUMBER(SEARCH("minggu",C592))),IFERROR(_xlfn.NUMBERVALUE(SUBSTITUTE(LEFT(TRIM(C592),FIND(" ",TRIM(C592)&amp;" ")-1),",","."),"."),LEFT(SUBSTITUTE(LEFT(TRIM(C592),FIND(" ",TRIM(C592)&amp;" ")-1),",","."),FIND("/",SUBSTITUTE(LEFT(TRIM(C592),FIND(" ",TRIM(C592)&amp;" ")-1),",","."))-1)/MID(SUBSTITUTE(LEFT(TRIM(C592),FIND(" ",TRIM(C592)&amp;" ")-1),",","."),FIND("/",SUBSTITUTE(LEFT(TRIM(C592),FIND(" ",TRIM(C592)&amp;" ")-1),",","."))+1,9))*12/52,IF(ISNUMBER(SEARCH("month",C592)),IFERROR(_xlfn.NUMBERVALUE(SUBSTITUTE(LEFT(TRIM(C592),FIND(" ",TRIM(C592)&amp;" ")-1),",","."),"."),LEFT(SUBSTITUTE(LEFT(TRIM(C592),FIND(" ",TRIM(C592)&amp;" ")-1),",","."),FIND("/",SUBSTITUTE(LEFT(TRIM(C592),FIND(" ",TRIM(C592)&amp;" ")-1),",","."))-1)/MID(SUBSTITUTE(LEFT(TRIM(C592),FIND(" ",TRIM(C592)&amp;" ")-1),",","."),FIND("/",SUBSTITUTE(LEFT(TRIM(C592),FIND(" ",TRIM(C592)&amp;" ")-1),",","."))+1,9)),IF(ISNUMBER(SEARCH("yea",C592)),IFERROR(_xlfn.NUMBERVALUE(SUBSTITUTE(LEFT(TRIM(C592),FIND(" ",TRIM(C592)&amp;" ")-1),",","."),"."),LEFT(SUBSTITUTE(LEFT(TRIM(C592),FIND(" ",TRIM(C592)&amp;" ")-1),",","."),FIND("/",SUBSTITUTE(LEFT(TRIM(C592),FIND(" ",TRIM(C592)&amp;" ")-1),",","."))-1)/MID(SUBSTITUTE(LEFT(TRIM(C592),FIND(" ",TRIM(C592)&amp;" ")-1),",","."),FIND("/",SUBSTITUTE(LEFT(TRIM(C592),FIND(" ",TRIM(C592)&amp;" ")-1),",","."))+1,9))*12,NA()))),0),36)*'Aturan &amp; Tarif'!$B$4,2)</f>
        <v>2044.08</v>
      </c>
      <c r="K592" s="32" t="n">
        <f aca="false">'Aturan &amp; Tarif'!$B$5</f>
        <v>2050</v>
      </c>
      <c r="L592" s="32" t="n">
        <f aca="false">'Aturan &amp; Tarif'!$B$6</f>
        <v>350</v>
      </c>
      <c r="M592" s="35" t="n">
        <f aca="false">I592+J592+K592+L592</f>
        <v>21944.08</v>
      </c>
      <c r="N592" s="36" t="s">
        <v>1136</v>
      </c>
    </row>
    <row r="593" customFormat="false" ht="60" hidden="false" customHeight="true" outlineLevel="0" collapsed="false">
      <c r="A593" s="29"/>
      <c r="B593" s="30" t="s">
        <v>560</v>
      </c>
      <c r="C593" s="31" t="s">
        <v>344</v>
      </c>
      <c r="D593" s="31" t="s">
        <v>108</v>
      </c>
      <c r="E593" s="32" t="n">
        <v>3975</v>
      </c>
      <c r="F593" s="32"/>
      <c r="G593" s="32"/>
      <c r="H593" s="33" t="n">
        <v>2</v>
      </c>
      <c r="I593" s="34" t="n">
        <f aca="false">E593*H593+N(F593)+N(G593)</f>
        <v>7950</v>
      </c>
      <c r="J593" s="32" t="n">
        <f aca="false">ROUND(IFERROR(ROUND(IF(OR(ISNUMBER(SEARCH("week",C593)),ISNUMBER(SEARCH("minggu",C593))),IFERROR(_xlfn.NUMBERVALUE(SUBSTITUTE(LEFT(TRIM(C593),FIND(" ",TRIM(C593)&amp;" ")-1),",","."),"."),LEFT(SUBSTITUTE(LEFT(TRIM(C593),FIND(" ",TRIM(C593)&amp;" ")-1),",","."),FIND("/",SUBSTITUTE(LEFT(TRIM(C593),FIND(" ",TRIM(C593)&amp;" ")-1),",","."))-1)/MID(SUBSTITUTE(LEFT(TRIM(C593),FIND(" ",TRIM(C593)&amp;" ")-1),",","."),FIND("/",SUBSTITUTE(LEFT(TRIM(C593),FIND(" ",TRIM(C593)&amp;" ")-1),",","."))+1,9))*12/52,IF(ISNUMBER(SEARCH("month",C593)),IFERROR(_xlfn.NUMBERVALUE(SUBSTITUTE(LEFT(TRIM(C593),FIND(" ",TRIM(C593)&amp;" ")-1),",","."),"."),LEFT(SUBSTITUTE(LEFT(TRIM(C593),FIND(" ",TRIM(C593)&amp;" ")-1),",","."),FIND("/",SUBSTITUTE(LEFT(TRIM(C593),FIND(" ",TRIM(C593)&amp;" ")-1),",","."))-1)/MID(SUBSTITUTE(LEFT(TRIM(C593),FIND(" ",TRIM(C593)&amp;" ")-1),",","."),FIND("/",SUBSTITUTE(LEFT(TRIM(C593),FIND(" ",TRIM(C593)&amp;" ")-1),",","."))+1,9)),IF(ISNUMBER(SEARCH("yea",C593)),IFERROR(_xlfn.NUMBERVALUE(SUBSTITUTE(LEFT(TRIM(C593),FIND(" ",TRIM(C593)&amp;" ")-1),",","."),"."),LEFT(SUBSTITUTE(LEFT(TRIM(C593),FIND(" ",TRIM(C593)&amp;" ")-1),",","."),FIND("/",SUBSTITUTE(LEFT(TRIM(C593),FIND(" ",TRIM(C593)&amp;" ")-1),",","."))-1)/MID(SUBSTITUTE(LEFT(TRIM(C593),FIND(" ",TRIM(C593)&amp;" ")-1),",","."),FIND("/",SUBSTITUTE(LEFT(TRIM(C593),FIND(" ",TRIM(C593)&amp;" ")-1),",","."))+1,9))*12,NA()))),0),6)*'Aturan &amp; Tarif'!$B$4,2)</f>
        <v>340.68</v>
      </c>
      <c r="K593" s="32" t="n">
        <f aca="false">'Aturan &amp; Tarif'!$B$5</f>
        <v>2050</v>
      </c>
      <c r="L593" s="32" t="n">
        <f aca="false">'Aturan &amp; Tarif'!$B$6</f>
        <v>350</v>
      </c>
      <c r="M593" s="35" t="n">
        <f aca="false">I593+J593+K593+L593</f>
        <v>10690.68</v>
      </c>
      <c r="N593" s="36" t="s">
        <v>1140</v>
      </c>
    </row>
    <row r="594" customFormat="false" ht="60" hidden="false" customHeight="true" outlineLevel="0" collapsed="false">
      <c r="A594" s="29"/>
      <c r="B594" s="30" t="s">
        <v>559</v>
      </c>
      <c r="C594" s="31" t="s">
        <v>130</v>
      </c>
      <c r="D594" s="31" t="s">
        <v>108</v>
      </c>
      <c r="E594" s="32" t="n">
        <v>7950</v>
      </c>
      <c r="F594" s="32"/>
      <c r="G594" s="32"/>
      <c r="H594" s="33" t="n">
        <v>2</v>
      </c>
      <c r="I594" s="34" t="n">
        <f aca="false">E594*H594+N(F594)+N(G594)</f>
        <v>15900</v>
      </c>
      <c r="J594" s="32" t="n">
        <f aca="false">ROUND(IFERROR(ROUND(IF(OR(ISNUMBER(SEARCH("week",C594)),ISNUMBER(SEARCH("minggu",C594))),IFERROR(_xlfn.NUMBERVALUE(SUBSTITUTE(LEFT(TRIM(C594),FIND(" ",TRIM(C594)&amp;" ")-1),",","."),"."),LEFT(SUBSTITUTE(LEFT(TRIM(C594),FIND(" ",TRIM(C594)&amp;" ")-1),",","."),FIND("/",SUBSTITUTE(LEFT(TRIM(C594),FIND(" ",TRIM(C594)&amp;" ")-1),",","."))-1)/MID(SUBSTITUTE(LEFT(TRIM(C594),FIND(" ",TRIM(C594)&amp;" ")-1),",","."),FIND("/",SUBSTITUTE(LEFT(TRIM(C594),FIND(" ",TRIM(C594)&amp;" ")-1),",","."))+1,9))*12/52,IF(ISNUMBER(SEARCH("month",C594)),IFERROR(_xlfn.NUMBERVALUE(SUBSTITUTE(LEFT(TRIM(C594),FIND(" ",TRIM(C594)&amp;" ")-1),",","."),"."),LEFT(SUBSTITUTE(LEFT(TRIM(C594),FIND(" ",TRIM(C594)&amp;" ")-1),",","."),FIND("/",SUBSTITUTE(LEFT(TRIM(C594),FIND(" ",TRIM(C594)&amp;" ")-1),",","."))-1)/MID(SUBSTITUTE(LEFT(TRIM(C594),FIND(" ",TRIM(C594)&amp;" ")-1),",","."),FIND("/",SUBSTITUTE(LEFT(TRIM(C594),FIND(" ",TRIM(C594)&amp;" ")-1),",","."))+1,9)),IF(ISNUMBER(SEARCH("yea",C594)),IFERROR(_xlfn.NUMBERVALUE(SUBSTITUTE(LEFT(TRIM(C594),FIND(" ",TRIM(C594)&amp;" ")-1),",","."),"."),LEFT(SUBSTITUTE(LEFT(TRIM(C594),FIND(" ",TRIM(C594)&amp;" ")-1),",","."),FIND("/",SUBSTITUTE(LEFT(TRIM(C594),FIND(" ",TRIM(C594)&amp;" ")-1),",","."))-1)/MID(SUBSTITUTE(LEFT(TRIM(C594),FIND(" ",TRIM(C594)&amp;" ")-1),",","."),FIND("/",SUBSTITUTE(LEFT(TRIM(C594),FIND(" ",TRIM(C594)&amp;" ")-1),",","."))+1,9))*12,NA()))),0),12)*'Aturan &amp; Tarif'!$B$4,2)</f>
        <v>681.36</v>
      </c>
      <c r="K594" s="32" t="n">
        <f aca="false">'Aturan &amp; Tarif'!$B$5</f>
        <v>2050</v>
      </c>
      <c r="L594" s="32" t="n">
        <f aca="false">'Aturan &amp; Tarif'!$B$6</f>
        <v>350</v>
      </c>
      <c r="M594" s="35" t="n">
        <f aca="false">I594+J594+K594+L594</f>
        <v>18981.36</v>
      </c>
      <c r="N594" s="36" t="s">
        <v>1141</v>
      </c>
    </row>
    <row r="595" customFormat="false" ht="60" hidden="false" customHeight="true" outlineLevel="0" collapsed="false">
      <c r="A595" s="29"/>
      <c r="B595" s="30" t="s">
        <v>283</v>
      </c>
      <c r="C595" s="31" t="s">
        <v>113</v>
      </c>
      <c r="D595" s="31" t="s">
        <v>108</v>
      </c>
      <c r="E595" s="32" t="n">
        <v>7950</v>
      </c>
      <c r="F595" s="32"/>
      <c r="G595" s="32"/>
      <c r="H595" s="33" t="n">
        <v>2</v>
      </c>
      <c r="I595" s="34" t="n">
        <f aca="false">E595*H595+N(F595)+N(G595)</f>
        <v>15900</v>
      </c>
      <c r="J595" s="32" t="n">
        <f aca="false">ROUND(IFERROR(ROUND(IF(OR(ISNUMBER(SEARCH("week",C595)),ISNUMBER(SEARCH("minggu",C595))),IFERROR(_xlfn.NUMBERVALUE(SUBSTITUTE(LEFT(TRIM(C595),FIND(" ",TRIM(C595)&amp;" ")-1),",","."),"."),LEFT(SUBSTITUTE(LEFT(TRIM(C595),FIND(" ",TRIM(C595)&amp;" ")-1),",","."),FIND("/",SUBSTITUTE(LEFT(TRIM(C595),FIND(" ",TRIM(C595)&amp;" ")-1),",","."))-1)/MID(SUBSTITUTE(LEFT(TRIM(C595),FIND(" ",TRIM(C595)&amp;" ")-1),",","."),FIND("/",SUBSTITUTE(LEFT(TRIM(C595),FIND(" ",TRIM(C595)&amp;" ")-1),",","."))+1,9))*12/52,IF(ISNUMBER(SEARCH("month",C595)),IFERROR(_xlfn.NUMBERVALUE(SUBSTITUTE(LEFT(TRIM(C595),FIND(" ",TRIM(C595)&amp;" ")-1),",","."),"."),LEFT(SUBSTITUTE(LEFT(TRIM(C595),FIND(" ",TRIM(C595)&amp;" ")-1),",","."),FIND("/",SUBSTITUTE(LEFT(TRIM(C595),FIND(" ",TRIM(C595)&amp;" ")-1),",","."))-1)/MID(SUBSTITUTE(LEFT(TRIM(C595),FIND(" ",TRIM(C595)&amp;" ")-1),",","."),FIND("/",SUBSTITUTE(LEFT(TRIM(C595),FIND(" ",TRIM(C595)&amp;" ")-1),",","."))+1,9)),IF(ISNUMBER(SEARCH("yea",C595)),IFERROR(_xlfn.NUMBERVALUE(SUBSTITUTE(LEFT(TRIM(C595),FIND(" ",TRIM(C595)&amp;" ")-1),",","."),"."),LEFT(SUBSTITUTE(LEFT(TRIM(C595),FIND(" ",TRIM(C595)&amp;" ")-1),",","."),FIND("/",SUBSTITUTE(LEFT(TRIM(C595),FIND(" ",TRIM(C595)&amp;" ")-1),",","."))-1)/MID(SUBSTITUTE(LEFT(TRIM(C595),FIND(" ",TRIM(C595)&amp;" ")-1),",","."),FIND("/",SUBSTITUTE(LEFT(TRIM(C595),FIND(" ",TRIM(C595)&amp;" ")-1),",","."))+1,9))*12,NA()))),0),18)*'Aturan &amp; Tarif'!$B$4,2)</f>
        <v>1022.04</v>
      </c>
      <c r="K595" s="32" t="n">
        <f aca="false">'Aturan &amp; Tarif'!$B$5</f>
        <v>2050</v>
      </c>
      <c r="L595" s="32" t="n">
        <f aca="false">'Aturan &amp; Tarif'!$B$6</f>
        <v>350</v>
      </c>
      <c r="M595" s="35" t="n">
        <f aca="false">I595+J595+K595+L595</f>
        <v>19322.04</v>
      </c>
      <c r="N595" s="36" t="s">
        <v>1142</v>
      </c>
    </row>
    <row r="596" customFormat="false" ht="60" hidden="false" customHeight="true" outlineLevel="0" collapsed="false">
      <c r="A596" s="29"/>
      <c r="B596" s="30" t="s">
        <v>1143</v>
      </c>
      <c r="C596" s="31" t="s">
        <v>107</v>
      </c>
      <c r="D596" s="31" t="s">
        <v>108</v>
      </c>
      <c r="E596" s="32" t="n">
        <v>7950</v>
      </c>
      <c r="F596" s="32"/>
      <c r="G596" s="32"/>
      <c r="H596" s="33" t="n">
        <v>2</v>
      </c>
      <c r="I596" s="34" t="n">
        <f aca="false">E596*H596+N(F596)+N(G596)</f>
        <v>15900</v>
      </c>
      <c r="J596" s="32" t="n">
        <f aca="false">ROUND(IFERROR(ROUND(IF(OR(ISNUMBER(SEARCH("week",C596)),ISNUMBER(SEARCH("minggu",C596))),IFERROR(_xlfn.NUMBERVALUE(SUBSTITUTE(LEFT(TRIM(C596),FIND(" ",TRIM(C596)&amp;" ")-1),",","."),"."),LEFT(SUBSTITUTE(LEFT(TRIM(C596),FIND(" ",TRIM(C596)&amp;" ")-1),",","."),FIND("/",SUBSTITUTE(LEFT(TRIM(C596),FIND(" ",TRIM(C596)&amp;" ")-1),",","."))-1)/MID(SUBSTITUTE(LEFT(TRIM(C596),FIND(" ",TRIM(C596)&amp;" ")-1),",","."),FIND("/",SUBSTITUTE(LEFT(TRIM(C596),FIND(" ",TRIM(C596)&amp;" ")-1),",","."))+1,9))*12/52,IF(ISNUMBER(SEARCH("month",C596)),IFERROR(_xlfn.NUMBERVALUE(SUBSTITUTE(LEFT(TRIM(C596),FIND(" ",TRIM(C596)&amp;" ")-1),",","."),"."),LEFT(SUBSTITUTE(LEFT(TRIM(C596),FIND(" ",TRIM(C596)&amp;" ")-1),",","."),FIND("/",SUBSTITUTE(LEFT(TRIM(C596),FIND(" ",TRIM(C596)&amp;" ")-1),",","."))-1)/MID(SUBSTITUTE(LEFT(TRIM(C596),FIND(" ",TRIM(C596)&amp;" ")-1),",","."),FIND("/",SUBSTITUTE(LEFT(TRIM(C596),FIND(" ",TRIM(C596)&amp;" ")-1),",","."))+1,9)),IF(ISNUMBER(SEARCH("yea",C596)),IFERROR(_xlfn.NUMBERVALUE(SUBSTITUTE(LEFT(TRIM(C596),FIND(" ",TRIM(C596)&amp;" ")-1),",","."),"."),LEFT(SUBSTITUTE(LEFT(TRIM(C596),FIND(" ",TRIM(C596)&amp;" ")-1),",","."),FIND("/",SUBSTITUTE(LEFT(TRIM(C596),FIND(" ",TRIM(C596)&amp;" ")-1),",","."))-1)/MID(SUBSTITUTE(LEFT(TRIM(C596),FIND(" ",TRIM(C596)&amp;" ")-1),",","."),FIND("/",SUBSTITUTE(LEFT(TRIM(C596),FIND(" ",TRIM(C596)&amp;" ")-1),",","."))+1,9))*12,NA()))),0),24)*'Aturan &amp; Tarif'!$B$4,2)</f>
        <v>1362.72</v>
      </c>
      <c r="K596" s="32" t="n">
        <f aca="false">'Aturan &amp; Tarif'!$B$5</f>
        <v>2050</v>
      </c>
      <c r="L596" s="32" t="n">
        <f aca="false">'Aturan &amp; Tarif'!$B$6</f>
        <v>350</v>
      </c>
      <c r="M596" s="35" t="n">
        <f aca="false">I596+J596+K596+L596</f>
        <v>19662.72</v>
      </c>
      <c r="N596" s="36" t="s">
        <v>1144</v>
      </c>
    </row>
    <row r="597" customFormat="false" ht="60" hidden="false" customHeight="true" outlineLevel="0" collapsed="false">
      <c r="A597" s="29"/>
      <c r="B597" s="30" t="s">
        <v>1057</v>
      </c>
      <c r="C597" s="31" t="s">
        <v>107</v>
      </c>
      <c r="D597" s="31" t="s">
        <v>108</v>
      </c>
      <c r="E597" s="32" t="n">
        <v>7950</v>
      </c>
      <c r="F597" s="32"/>
      <c r="G597" s="32"/>
      <c r="H597" s="33" t="n">
        <v>2</v>
      </c>
      <c r="I597" s="34" t="n">
        <f aca="false">E597*H597+N(F597)+N(G597)</f>
        <v>15900</v>
      </c>
      <c r="J597" s="32" t="n">
        <f aca="false">ROUND(IFERROR(ROUND(IF(OR(ISNUMBER(SEARCH("week",C597)),ISNUMBER(SEARCH("minggu",C597))),IFERROR(_xlfn.NUMBERVALUE(SUBSTITUTE(LEFT(TRIM(C597),FIND(" ",TRIM(C597)&amp;" ")-1),",","."),"."),LEFT(SUBSTITUTE(LEFT(TRIM(C597),FIND(" ",TRIM(C597)&amp;" ")-1),",","."),FIND("/",SUBSTITUTE(LEFT(TRIM(C597),FIND(" ",TRIM(C597)&amp;" ")-1),",","."))-1)/MID(SUBSTITUTE(LEFT(TRIM(C597),FIND(" ",TRIM(C597)&amp;" ")-1),",","."),FIND("/",SUBSTITUTE(LEFT(TRIM(C597),FIND(" ",TRIM(C597)&amp;" ")-1),",","."))+1,9))*12/52,IF(ISNUMBER(SEARCH("month",C597)),IFERROR(_xlfn.NUMBERVALUE(SUBSTITUTE(LEFT(TRIM(C597),FIND(" ",TRIM(C597)&amp;" ")-1),",","."),"."),LEFT(SUBSTITUTE(LEFT(TRIM(C597),FIND(" ",TRIM(C597)&amp;" ")-1),",","."),FIND("/",SUBSTITUTE(LEFT(TRIM(C597),FIND(" ",TRIM(C597)&amp;" ")-1),",","."))-1)/MID(SUBSTITUTE(LEFT(TRIM(C597),FIND(" ",TRIM(C597)&amp;" ")-1),",","."),FIND("/",SUBSTITUTE(LEFT(TRIM(C597),FIND(" ",TRIM(C597)&amp;" ")-1),",","."))+1,9)),IF(ISNUMBER(SEARCH("yea",C597)),IFERROR(_xlfn.NUMBERVALUE(SUBSTITUTE(LEFT(TRIM(C597),FIND(" ",TRIM(C597)&amp;" ")-1),",","."),"."),LEFT(SUBSTITUTE(LEFT(TRIM(C597),FIND(" ",TRIM(C597)&amp;" ")-1),",","."),FIND("/",SUBSTITUTE(LEFT(TRIM(C597),FIND(" ",TRIM(C597)&amp;" ")-1),",","."))-1)/MID(SUBSTITUTE(LEFT(TRIM(C597),FIND(" ",TRIM(C597)&amp;" ")-1),",","."),FIND("/",SUBSTITUTE(LEFT(TRIM(C597),FIND(" ",TRIM(C597)&amp;" ")-1),",","."))+1,9))*12,NA()))),0),24)*'Aturan &amp; Tarif'!$B$4,2)</f>
        <v>1362.72</v>
      </c>
      <c r="K597" s="32" t="n">
        <f aca="false">'Aturan &amp; Tarif'!$B$5</f>
        <v>2050</v>
      </c>
      <c r="L597" s="32" t="n">
        <f aca="false">'Aturan &amp; Tarif'!$B$6</f>
        <v>350</v>
      </c>
      <c r="M597" s="35" t="n">
        <f aca="false">I597+J597+K597+L597</f>
        <v>19662.72</v>
      </c>
      <c r="N597" s="36" t="s">
        <v>1058</v>
      </c>
    </row>
    <row r="598" customFormat="false" ht="60" hidden="false" customHeight="true" outlineLevel="0" collapsed="false">
      <c r="A598" s="29"/>
      <c r="B598" s="30" t="s">
        <v>1077</v>
      </c>
      <c r="C598" s="31" t="s">
        <v>107</v>
      </c>
      <c r="D598" s="31" t="s">
        <v>108</v>
      </c>
      <c r="E598" s="32" t="n">
        <v>7950</v>
      </c>
      <c r="F598" s="32"/>
      <c r="G598" s="32"/>
      <c r="H598" s="33" t="n">
        <v>2</v>
      </c>
      <c r="I598" s="34" t="n">
        <f aca="false">E598*H598+N(F598)+N(G598)</f>
        <v>15900</v>
      </c>
      <c r="J598" s="32" t="n">
        <f aca="false">ROUND(IFERROR(ROUND(IF(OR(ISNUMBER(SEARCH("week",C598)),ISNUMBER(SEARCH("minggu",C598))),IFERROR(_xlfn.NUMBERVALUE(SUBSTITUTE(LEFT(TRIM(C598),FIND(" ",TRIM(C598)&amp;" ")-1),",","."),"."),LEFT(SUBSTITUTE(LEFT(TRIM(C598),FIND(" ",TRIM(C598)&amp;" ")-1),",","."),FIND("/",SUBSTITUTE(LEFT(TRIM(C598),FIND(" ",TRIM(C598)&amp;" ")-1),",","."))-1)/MID(SUBSTITUTE(LEFT(TRIM(C598),FIND(" ",TRIM(C598)&amp;" ")-1),",","."),FIND("/",SUBSTITUTE(LEFT(TRIM(C598),FIND(" ",TRIM(C598)&amp;" ")-1),",","."))+1,9))*12/52,IF(ISNUMBER(SEARCH("month",C598)),IFERROR(_xlfn.NUMBERVALUE(SUBSTITUTE(LEFT(TRIM(C598),FIND(" ",TRIM(C598)&amp;" ")-1),",","."),"."),LEFT(SUBSTITUTE(LEFT(TRIM(C598),FIND(" ",TRIM(C598)&amp;" ")-1),",","."),FIND("/",SUBSTITUTE(LEFT(TRIM(C598),FIND(" ",TRIM(C598)&amp;" ")-1),",","."))-1)/MID(SUBSTITUTE(LEFT(TRIM(C598),FIND(" ",TRIM(C598)&amp;" ")-1),",","."),FIND("/",SUBSTITUTE(LEFT(TRIM(C598),FIND(" ",TRIM(C598)&amp;" ")-1),",","."))+1,9)),IF(ISNUMBER(SEARCH("yea",C598)),IFERROR(_xlfn.NUMBERVALUE(SUBSTITUTE(LEFT(TRIM(C598),FIND(" ",TRIM(C598)&amp;" ")-1),",","."),"."),LEFT(SUBSTITUTE(LEFT(TRIM(C598),FIND(" ",TRIM(C598)&amp;" ")-1),",","."),FIND("/",SUBSTITUTE(LEFT(TRIM(C598),FIND(" ",TRIM(C598)&amp;" ")-1),",","."))-1)/MID(SUBSTITUTE(LEFT(TRIM(C598),FIND(" ",TRIM(C598)&amp;" ")-1),",","."),FIND("/",SUBSTITUTE(LEFT(TRIM(C598),FIND(" ",TRIM(C598)&amp;" ")-1),",","."))+1,9))*12,NA()))),0),24)*'Aturan &amp; Tarif'!$B$4,2)</f>
        <v>1362.72</v>
      </c>
      <c r="K598" s="32" t="n">
        <f aca="false">'Aturan &amp; Tarif'!$B$5</f>
        <v>2050</v>
      </c>
      <c r="L598" s="32" t="n">
        <f aca="false">'Aturan &amp; Tarif'!$B$6</f>
        <v>350</v>
      </c>
      <c r="M598" s="35" t="n">
        <f aca="false">I598+J598+K598+L598</f>
        <v>19662.72</v>
      </c>
      <c r="N598" s="36" t="s">
        <v>1036</v>
      </c>
    </row>
    <row r="599" customFormat="false" ht="60" hidden="false" customHeight="true" outlineLevel="0" collapsed="false">
      <c r="A599" s="29"/>
      <c r="B599" s="30" t="s">
        <v>1145</v>
      </c>
      <c r="C599" s="31" t="s">
        <v>113</v>
      </c>
      <c r="D599" s="31" t="s">
        <v>108</v>
      </c>
      <c r="E599" s="32" t="n">
        <v>6563</v>
      </c>
      <c r="F599" s="32"/>
      <c r="G599" s="32"/>
      <c r="H599" s="33" t="n">
        <v>2</v>
      </c>
      <c r="I599" s="34" t="n">
        <f aca="false">E599*H599+N(F599)+N(G599)</f>
        <v>13126</v>
      </c>
      <c r="J599" s="32" t="n">
        <f aca="false">ROUND(IFERROR(ROUND(IF(OR(ISNUMBER(SEARCH("week",C599)),ISNUMBER(SEARCH("minggu",C599))),IFERROR(_xlfn.NUMBERVALUE(SUBSTITUTE(LEFT(TRIM(C599),FIND(" ",TRIM(C599)&amp;" ")-1),",","."),"."),LEFT(SUBSTITUTE(LEFT(TRIM(C599),FIND(" ",TRIM(C599)&amp;" ")-1),",","."),FIND("/",SUBSTITUTE(LEFT(TRIM(C599),FIND(" ",TRIM(C599)&amp;" ")-1),",","."))-1)/MID(SUBSTITUTE(LEFT(TRIM(C599),FIND(" ",TRIM(C599)&amp;" ")-1),",","."),FIND("/",SUBSTITUTE(LEFT(TRIM(C599),FIND(" ",TRIM(C599)&amp;" ")-1),",","."))+1,9))*12/52,IF(ISNUMBER(SEARCH("month",C599)),IFERROR(_xlfn.NUMBERVALUE(SUBSTITUTE(LEFT(TRIM(C599),FIND(" ",TRIM(C599)&amp;" ")-1),",","."),"."),LEFT(SUBSTITUTE(LEFT(TRIM(C599),FIND(" ",TRIM(C599)&amp;" ")-1),",","."),FIND("/",SUBSTITUTE(LEFT(TRIM(C599),FIND(" ",TRIM(C599)&amp;" ")-1),",","."))-1)/MID(SUBSTITUTE(LEFT(TRIM(C599),FIND(" ",TRIM(C599)&amp;" ")-1),",","."),FIND("/",SUBSTITUTE(LEFT(TRIM(C599),FIND(" ",TRIM(C599)&amp;" ")-1),",","."))+1,9)),IF(ISNUMBER(SEARCH("yea",C599)),IFERROR(_xlfn.NUMBERVALUE(SUBSTITUTE(LEFT(TRIM(C599),FIND(" ",TRIM(C599)&amp;" ")-1),",","."),"."),LEFT(SUBSTITUTE(LEFT(TRIM(C599),FIND(" ",TRIM(C599)&amp;" ")-1),",","."),FIND("/",SUBSTITUTE(LEFT(TRIM(C599),FIND(" ",TRIM(C599)&amp;" ")-1),",","."))-1)/MID(SUBSTITUTE(LEFT(TRIM(C599),FIND(" ",TRIM(C599)&amp;" ")-1),",","."),FIND("/",SUBSTITUTE(LEFT(TRIM(C599),FIND(" ",TRIM(C599)&amp;" ")-1),",","."))+1,9))*12,NA()))),0),18)*'Aturan &amp; Tarif'!$B$4,2)</f>
        <v>1022.04</v>
      </c>
      <c r="K599" s="32" t="n">
        <f aca="false">'Aturan &amp; Tarif'!$B$5</f>
        <v>2050</v>
      </c>
      <c r="L599" s="32" t="n">
        <f aca="false">'Aturan &amp; Tarif'!$B$6</f>
        <v>350</v>
      </c>
      <c r="M599" s="35" t="n">
        <f aca="false">I599+J599+K599+L599</f>
        <v>16548.04</v>
      </c>
      <c r="N599" s="36" t="s">
        <v>1146</v>
      </c>
    </row>
    <row r="600" customFormat="false" ht="60" hidden="false" customHeight="true" outlineLevel="0" collapsed="false">
      <c r="A600" s="29"/>
      <c r="B600" s="30" t="s">
        <v>1147</v>
      </c>
      <c r="C600" s="31" t="s">
        <v>127</v>
      </c>
      <c r="D600" s="31" t="s">
        <v>108</v>
      </c>
      <c r="E600" s="32" t="n">
        <v>7900</v>
      </c>
      <c r="F600" s="32"/>
      <c r="G600" s="32"/>
      <c r="H600" s="33" t="n">
        <v>2</v>
      </c>
      <c r="I600" s="34" t="n">
        <f aca="false">E600*H600+N(F600)+N(G600)</f>
        <v>15800</v>
      </c>
      <c r="J600" s="32" t="n">
        <f aca="false">ROUND(IFERROR(ROUND(IF(OR(ISNUMBER(SEARCH("week",C600)),ISNUMBER(SEARCH("minggu",C600))),IFERROR(_xlfn.NUMBERVALUE(SUBSTITUTE(LEFT(TRIM(C600),FIND(" ",TRIM(C600)&amp;" ")-1),",","."),"."),LEFT(SUBSTITUTE(LEFT(TRIM(C600),FIND(" ",TRIM(C600)&amp;" ")-1),",","."),FIND("/",SUBSTITUTE(LEFT(TRIM(C600),FIND(" ",TRIM(C600)&amp;" ")-1),",","."))-1)/MID(SUBSTITUTE(LEFT(TRIM(C600),FIND(" ",TRIM(C600)&amp;" ")-1),",","."),FIND("/",SUBSTITUTE(LEFT(TRIM(C600),FIND(" ",TRIM(C600)&amp;" ")-1),",","."))+1,9))*12/52,IF(ISNUMBER(SEARCH("month",C600)),IFERROR(_xlfn.NUMBERVALUE(SUBSTITUTE(LEFT(TRIM(C600),FIND(" ",TRIM(C600)&amp;" ")-1),",","."),"."),LEFT(SUBSTITUTE(LEFT(TRIM(C600),FIND(" ",TRIM(C600)&amp;" ")-1),",","."),FIND("/",SUBSTITUTE(LEFT(TRIM(C600),FIND(" ",TRIM(C600)&amp;" ")-1),",","."))-1)/MID(SUBSTITUTE(LEFT(TRIM(C600),FIND(" ",TRIM(C600)&amp;" ")-1),",","."),FIND("/",SUBSTITUTE(LEFT(TRIM(C600),FIND(" ",TRIM(C600)&amp;" ")-1),",","."))+1,9)),IF(ISNUMBER(SEARCH("yea",C600)),IFERROR(_xlfn.NUMBERVALUE(SUBSTITUTE(LEFT(TRIM(C600),FIND(" ",TRIM(C600)&amp;" ")-1),",","."),"."),LEFT(SUBSTITUTE(LEFT(TRIM(C600),FIND(" ",TRIM(C600)&amp;" ")-1),",","."),FIND("/",SUBSTITUTE(LEFT(TRIM(C600),FIND(" ",TRIM(C600)&amp;" ")-1),",","."))-1)/MID(SUBSTITUTE(LEFT(TRIM(C600),FIND(" ",TRIM(C600)&amp;" ")-1),",","."),FIND("/",SUBSTITUTE(LEFT(TRIM(C600),FIND(" ",TRIM(C600)&amp;" ")-1),",","."))+1,9))*12,NA()))),0),36)*'Aturan &amp; Tarif'!$B$4,2)</f>
        <v>2044.08</v>
      </c>
      <c r="K600" s="32" t="n">
        <f aca="false">'Aturan &amp; Tarif'!$B$5</f>
        <v>2050</v>
      </c>
      <c r="L600" s="32" t="n">
        <f aca="false">'Aturan &amp; Tarif'!$B$6</f>
        <v>350</v>
      </c>
      <c r="M600" s="35" t="n">
        <f aca="false">I600+J600+K600+L600</f>
        <v>20244.08</v>
      </c>
      <c r="N600" s="36" t="s">
        <v>1782</v>
      </c>
    </row>
    <row r="601" customFormat="false" ht="60" hidden="false" customHeight="true" outlineLevel="0" collapsed="false">
      <c r="A601" s="29"/>
      <c r="B601" s="30" t="s">
        <v>1040</v>
      </c>
      <c r="C601" s="31" t="s">
        <v>127</v>
      </c>
      <c r="D601" s="31" t="s">
        <v>108</v>
      </c>
      <c r="E601" s="32" t="n">
        <v>7900</v>
      </c>
      <c r="F601" s="32"/>
      <c r="G601" s="32"/>
      <c r="H601" s="33" t="n">
        <v>2</v>
      </c>
      <c r="I601" s="34" t="n">
        <f aca="false">E601*H601+N(F601)+N(G601)</f>
        <v>15800</v>
      </c>
      <c r="J601" s="32" t="n">
        <f aca="false">ROUND(IFERROR(ROUND(IF(OR(ISNUMBER(SEARCH("week",C601)),ISNUMBER(SEARCH("minggu",C601))),IFERROR(_xlfn.NUMBERVALUE(SUBSTITUTE(LEFT(TRIM(C601),FIND(" ",TRIM(C601)&amp;" ")-1),",","."),"."),LEFT(SUBSTITUTE(LEFT(TRIM(C601),FIND(" ",TRIM(C601)&amp;" ")-1),",","."),FIND("/",SUBSTITUTE(LEFT(TRIM(C601),FIND(" ",TRIM(C601)&amp;" ")-1),",","."))-1)/MID(SUBSTITUTE(LEFT(TRIM(C601),FIND(" ",TRIM(C601)&amp;" ")-1),",","."),FIND("/",SUBSTITUTE(LEFT(TRIM(C601),FIND(" ",TRIM(C601)&amp;" ")-1),",","."))+1,9))*12/52,IF(ISNUMBER(SEARCH("month",C601)),IFERROR(_xlfn.NUMBERVALUE(SUBSTITUTE(LEFT(TRIM(C601),FIND(" ",TRIM(C601)&amp;" ")-1),",","."),"."),LEFT(SUBSTITUTE(LEFT(TRIM(C601),FIND(" ",TRIM(C601)&amp;" ")-1),",","."),FIND("/",SUBSTITUTE(LEFT(TRIM(C601),FIND(" ",TRIM(C601)&amp;" ")-1),",","."))-1)/MID(SUBSTITUTE(LEFT(TRIM(C601),FIND(" ",TRIM(C601)&amp;" ")-1),",","."),FIND("/",SUBSTITUTE(LEFT(TRIM(C601),FIND(" ",TRIM(C601)&amp;" ")-1),",","."))+1,9)),IF(ISNUMBER(SEARCH("yea",C601)),IFERROR(_xlfn.NUMBERVALUE(SUBSTITUTE(LEFT(TRIM(C601),FIND(" ",TRIM(C601)&amp;" ")-1),",","."),"."),LEFT(SUBSTITUTE(LEFT(TRIM(C601),FIND(" ",TRIM(C601)&amp;" ")-1),",","."),FIND("/",SUBSTITUTE(LEFT(TRIM(C601),FIND(" ",TRIM(C601)&amp;" ")-1),",","."))-1)/MID(SUBSTITUTE(LEFT(TRIM(C601),FIND(" ",TRIM(C601)&amp;" ")-1),",","."),FIND("/",SUBSTITUTE(LEFT(TRIM(C601),FIND(" ",TRIM(C601)&amp;" ")-1),",","."))+1,9))*12,NA()))),0),36)*'Aturan &amp; Tarif'!$B$4,2)</f>
        <v>2044.08</v>
      </c>
      <c r="K601" s="32" t="n">
        <f aca="false">'Aturan &amp; Tarif'!$B$5</f>
        <v>2050</v>
      </c>
      <c r="L601" s="32" t="n">
        <f aca="false">'Aturan &amp; Tarif'!$B$6</f>
        <v>350</v>
      </c>
      <c r="M601" s="35" t="n">
        <f aca="false">I601+J601+K601+L601</f>
        <v>20244.08</v>
      </c>
      <c r="N601" s="36" t="s">
        <v>1041</v>
      </c>
    </row>
    <row r="602" customFormat="false" ht="60" hidden="false" customHeight="true" outlineLevel="0" collapsed="false">
      <c r="A602" s="29"/>
      <c r="B602" s="30" t="s">
        <v>1783</v>
      </c>
      <c r="C602" s="31" t="s">
        <v>344</v>
      </c>
      <c r="D602" s="31" t="s">
        <v>108</v>
      </c>
      <c r="E602" s="32" t="n">
        <v>5248</v>
      </c>
      <c r="F602" s="32"/>
      <c r="G602" s="32"/>
      <c r="H602" s="33" t="n">
        <v>2</v>
      </c>
      <c r="I602" s="34" t="n">
        <f aca="false">E602*H602+N(F602)+N(G602)</f>
        <v>10496</v>
      </c>
      <c r="J602" s="32" t="n">
        <f aca="false">ROUND(IFERROR(ROUND(IF(OR(ISNUMBER(SEARCH("week",C602)),ISNUMBER(SEARCH("minggu",C602))),IFERROR(_xlfn.NUMBERVALUE(SUBSTITUTE(LEFT(TRIM(C602),FIND(" ",TRIM(C602)&amp;" ")-1),",","."),"."),LEFT(SUBSTITUTE(LEFT(TRIM(C602),FIND(" ",TRIM(C602)&amp;" ")-1),",","."),FIND("/",SUBSTITUTE(LEFT(TRIM(C602),FIND(" ",TRIM(C602)&amp;" ")-1),",","."))-1)/MID(SUBSTITUTE(LEFT(TRIM(C602),FIND(" ",TRIM(C602)&amp;" ")-1),",","."),FIND("/",SUBSTITUTE(LEFT(TRIM(C602),FIND(" ",TRIM(C602)&amp;" ")-1),",","."))+1,9))*12/52,IF(ISNUMBER(SEARCH("month",C602)),IFERROR(_xlfn.NUMBERVALUE(SUBSTITUTE(LEFT(TRIM(C602),FIND(" ",TRIM(C602)&amp;" ")-1),",","."),"."),LEFT(SUBSTITUTE(LEFT(TRIM(C602),FIND(" ",TRIM(C602)&amp;" ")-1),",","."),FIND("/",SUBSTITUTE(LEFT(TRIM(C602),FIND(" ",TRIM(C602)&amp;" ")-1),",","."))-1)/MID(SUBSTITUTE(LEFT(TRIM(C602),FIND(" ",TRIM(C602)&amp;" ")-1),",","."),FIND("/",SUBSTITUTE(LEFT(TRIM(C602),FIND(" ",TRIM(C602)&amp;" ")-1),",","."))+1,9)),IF(ISNUMBER(SEARCH("yea",C602)),IFERROR(_xlfn.NUMBERVALUE(SUBSTITUTE(LEFT(TRIM(C602),FIND(" ",TRIM(C602)&amp;" ")-1),",","."),"."),LEFT(SUBSTITUTE(LEFT(TRIM(C602),FIND(" ",TRIM(C602)&amp;" ")-1),",","."),FIND("/",SUBSTITUTE(LEFT(TRIM(C602),FIND(" ",TRIM(C602)&amp;" ")-1),",","."))-1)/MID(SUBSTITUTE(LEFT(TRIM(C602),FIND(" ",TRIM(C602)&amp;" ")-1),",","."),FIND("/",SUBSTITUTE(LEFT(TRIM(C602),FIND(" ",TRIM(C602)&amp;" ")-1),",","."))+1,9))*12,NA()))),0),6)*'Aturan &amp; Tarif'!$B$4,2)</f>
        <v>340.68</v>
      </c>
      <c r="K602" s="32" t="n">
        <f aca="false">'Aturan &amp; Tarif'!$B$5</f>
        <v>2050</v>
      </c>
      <c r="L602" s="32" t="n">
        <f aca="false">'Aturan &amp; Tarif'!$B$6</f>
        <v>350</v>
      </c>
      <c r="M602" s="35" t="n">
        <f aca="false">I602+J602+K602+L602</f>
        <v>13236.68</v>
      </c>
      <c r="N602" s="36" t="s">
        <v>1784</v>
      </c>
    </row>
    <row r="603" customFormat="false" ht="25.5" hidden="false" customHeight="true" outlineLevel="0" collapsed="false">
      <c r="A603" s="29"/>
      <c r="B603" s="30" t="s">
        <v>1785</v>
      </c>
      <c r="C603" s="31" t="s">
        <v>107</v>
      </c>
      <c r="D603" s="31" t="s">
        <v>108</v>
      </c>
      <c r="E603" s="32" t="n">
        <v>10495</v>
      </c>
      <c r="F603" s="32"/>
      <c r="G603" s="32"/>
      <c r="H603" s="33" t="n">
        <v>2</v>
      </c>
      <c r="I603" s="34" t="n">
        <f aca="false">E603*H603+N(F603)+N(G603)</f>
        <v>20990</v>
      </c>
      <c r="J603" s="32" t="n">
        <f aca="false">ROUND(IFERROR(ROUND(IF(OR(ISNUMBER(SEARCH("week",C603)),ISNUMBER(SEARCH("minggu",C603))),IFERROR(_xlfn.NUMBERVALUE(SUBSTITUTE(LEFT(TRIM(C603),FIND(" ",TRIM(C603)&amp;" ")-1),",","."),"."),LEFT(SUBSTITUTE(LEFT(TRIM(C603),FIND(" ",TRIM(C603)&amp;" ")-1),",","."),FIND("/",SUBSTITUTE(LEFT(TRIM(C603),FIND(" ",TRIM(C603)&amp;" ")-1),",","."))-1)/MID(SUBSTITUTE(LEFT(TRIM(C603),FIND(" ",TRIM(C603)&amp;" ")-1),",","."),FIND("/",SUBSTITUTE(LEFT(TRIM(C603),FIND(" ",TRIM(C603)&amp;" ")-1),",","."))+1,9))*12/52,IF(ISNUMBER(SEARCH("month",C603)),IFERROR(_xlfn.NUMBERVALUE(SUBSTITUTE(LEFT(TRIM(C603),FIND(" ",TRIM(C603)&amp;" ")-1),",","."),"."),LEFT(SUBSTITUTE(LEFT(TRIM(C603),FIND(" ",TRIM(C603)&amp;" ")-1),",","."),FIND("/",SUBSTITUTE(LEFT(TRIM(C603),FIND(" ",TRIM(C603)&amp;" ")-1),",","."))-1)/MID(SUBSTITUTE(LEFT(TRIM(C603),FIND(" ",TRIM(C603)&amp;" ")-1),",","."),FIND("/",SUBSTITUTE(LEFT(TRIM(C603),FIND(" ",TRIM(C603)&amp;" ")-1),",","."))+1,9)),IF(ISNUMBER(SEARCH("yea",C603)),IFERROR(_xlfn.NUMBERVALUE(SUBSTITUTE(LEFT(TRIM(C603),FIND(" ",TRIM(C603)&amp;" ")-1),",","."),"."),LEFT(SUBSTITUTE(LEFT(TRIM(C603),FIND(" ",TRIM(C603)&amp;" ")-1),",","."),FIND("/",SUBSTITUTE(LEFT(TRIM(C603),FIND(" ",TRIM(C603)&amp;" ")-1),",","."))-1)/MID(SUBSTITUTE(LEFT(TRIM(C603),FIND(" ",TRIM(C603)&amp;" ")-1),",","."),FIND("/",SUBSTITUTE(LEFT(TRIM(C603),FIND(" ",TRIM(C603)&amp;" ")-1),",","."))+1,9))*12,NA()))),0),24)*'Aturan &amp; Tarif'!$B$4,2)</f>
        <v>1362.72</v>
      </c>
      <c r="K603" s="32" t="n">
        <f aca="false">'Aturan &amp; Tarif'!$B$5</f>
        <v>2050</v>
      </c>
      <c r="L603" s="32" t="n">
        <f aca="false">'Aturan &amp; Tarif'!$B$6</f>
        <v>350</v>
      </c>
      <c r="M603" s="35" t="n">
        <f aca="false">I603+J603+K603+L603</f>
        <v>24752.72</v>
      </c>
      <c r="N603" s="37" t="s">
        <v>1786</v>
      </c>
    </row>
    <row r="604" customFormat="false" ht="60" hidden="false" customHeight="true" outlineLevel="0" collapsed="false">
      <c r="A604" s="29"/>
      <c r="B604" s="30" t="s">
        <v>1151</v>
      </c>
      <c r="C604" s="31" t="s">
        <v>344</v>
      </c>
      <c r="D604" s="31" t="s">
        <v>108</v>
      </c>
      <c r="E604" s="32" t="n">
        <v>3688</v>
      </c>
      <c r="F604" s="32"/>
      <c r="G604" s="32"/>
      <c r="H604" s="33" t="n">
        <v>2</v>
      </c>
      <c r="I604" s="34" t="n">
        <f aca="false">E604*H604+N(F604)+N(G604)</f>
        <v>7376</v>
      </c>
      <c r="J604" s="32" t="n">
        <f aca="false">ROUND(IFERROR(ROUND(IF(OR(ISNUMBER(SEARCH("week",C604)),ISNUMBER(SEARCH("minggu",C604))),IFERROR(_xlfn.NUMBERVALUE(SUBSTITUTE(LEFT(TRIM(C604),FIND(" ",TRIM(C604)&amp;" ")-1),",","."),"."),LEFT(SUBSTITUTE(LEFT(TRIM(C604),FIND(" ",TRIM(C604)&amp;" ")-1),",","."),FIND("/",SUBSTITUTE(LEFT(TRIM(C604),FIND(" ",TRIM(C604)&amp;" ")-1),",","."))-1)/MID(SUBSTITUTE(LEFT(TRIM(C604),FIND(" ",TRIM(C604)&amp;" ")-1),",","."),FIND("/",SUBSTITUTE(LEFT(TRIM(C604),FIND(" ",TRIM(C604)&amp;" ")-1),",","."))+1,9))*12/52,IF(ISNUMBER(SEARCH("month",C604)),IFERROR(_xlfn.NUMBERVALUE(SUBSTITUTE(LEFT(TRIM(C604),FIND(" ",TRIM(C604)&amp;" ")-1),",","."),"."),LEFT(SUBSTITUTE(LEFT(TRIM(C604),FIND(" ",TRIM(C604)&amp;" ")-1),",","."),FIND("/",SUBSTITUTE(LEFT(TRIM(C604),FIND(" ",TRIM(C604)&amp;" ")-1),",","."))-1)/MID(SUBSTITUTE(LEFT(TRIM(C604),FIND(" ",TRIM(C604)&amp;" ")-1),",","."),FIND("/",SUBSTITUTE(LEFT(TRIM(C604),FIND(" ",TRIM(C604)&amp;" ")-1),",","."))+1,9)),IF(ISNUMBER(SEARCH("yea",C604)),IFERROR(_xlfn.NUMBERVALUE(SUBSTITUTE(LEFT(TRIM(C604),FIND(" ",TRIM(C604)&amp;" ")-1),",","."),"."),LEFT(SUBSTITUTE(LEFT(TRIM(C604),FIND(" ",TRIM(C604)&amp;" ")-1),",","."),FIND("/",SUBSTITUTE(LEFT(TRIM(C604),FIND(" ",TRIM(C604)&amp;" ")-1),",","."))-1)/MID(SUBSTITUTE(LEFT(TRIM(C604),FIND(" ",TRIM(C604)&amp;" ")-1),",","."),FIND("/",SUBSTITUTE(LEFT(TRIM(C604),FIND(" ",TRIM(C604)&amp;" ")-1),",","."))+1,9))*12,NA()))),0),6)*'Aturan &amp; Tarif'!$B$4,2)</f>
        <v>340.68</v>
      </c>
      <c r="K604" s="32" t="n">
        <f aca="false">'Aturan &amp; Tarif'!$B$5</f>
        <v>2050</v>
      </c>
      <c r="L604" s="32" t="n">
        <f aca="false">'Aturan &amp; Tarif'!$B$6</f>
        <v>350</v>
      </c>
      <c r="M604" s="35" t="n">
        <f aca="false">I604+J604+K604+L604</f>
        <v>10116.68</v>
      </c>
      <c r="N604" s="36" t="s">
        <v>1152</v>
      </c>
    </row>
    <row r="605" customFormat="false" ht="60" hidden="false" customHeight="true" outlineLevel="0" collapsed="false">
      <c r="A605" s="29"/>
      <c r="B605" s="30" t="s">
        <v>1153</v>
      </c>
      <c r="C605" s="31" t="s">
        <v>130</v>
      </c>
      <c r="D605" s="31" t="s">
        <v>108</v>
      </c>
      <c r="E605" s="32" t="n">
        <v>7375</v>
      </c>
      <c r="F605" s="32"/>
      <c r="G605" s="32"/>
      <c r="H605" s="33" t="n">
        <v>2</v>
      </c>
      <c r="I605" s="34" t="n">
        <f aca="false">E605*H605+N(F605)+N(G605)</f>
        <v>14750</v>
      </c>
      <c r="J605" s="32" t="n">
        <f aca="false">ROUND(IFERROR(ROUND(IF(OR(ISNUMBER(SEARCH("week",C605)),ISNUMBER(SEARCH("minggu",C605))),IFERROR(_xlfn.NUMBERVALUE(SUBSTITUTE(LEFT(TRIM(C605),FIND(" ",TRIM(C605)&amp;" ")-1),",","."),"."),LEFT(SUBSTITUTE(LEFT(TRIM(C605),FIND(" ",TRIM(C605)&amp;" ")-1),",","."),FIND("/",SUBSTITUTE(LEFT(TRIM(C605),FIND(" ",TRIM(C605)&amp;" ")-1),",","."))-1)/MID(SUBSTITUTE(LEFT(TRIM(C605),FIND(" ",TRIM(C605)&amp;" ")-1),",","."),FIND("/",SUBSTITUTE(LEFT(TRIM(C605),FIND(" ",TRIM(C605)&amp;" ")-1),",","."))+1,9))*12/52,IF(ISNUMBER(SEARCH("month",C605)),IFERROR(_xlfn.NUMBERVALUE(SUBSTITUTE(LEFT(TRIM(C605),FIND(" ",TRIM(C605)&amp;" ")-1),",","."),"."),LEFT(SUBSTITUTE(LEFT(TRIM(C605),FIND(" ",TRIM(C605)&amp;" ")-1),",","."),FIND("/",SUBSTITUTE(LEFT(TRIM(C605),FIND(" ",TRIM(C605)&amp;" ")-1),",","."))-1)/MID(SUBSTITUTE(LEFT(TRIM(C605),FIND(" ",TRIM(C605)&amp;" ")-1),",","."),FIND("/",SUBSTITUTE(LEFT(TRIM(C605),FIND(" ",TRIM(C605)&amp;" ")-1),",","."))+1,9)),IF(ISNUMBER(SEARCH("yea",C605)),IFERROR(_xlfn.NUMBERVALUE(SUBSTITUTE(LEFT(TRIM(C605),FIND(" ",TRIM(C605)&amp;" ")-1),",","."),"."),LEFT(SUBSTITUTE(LEFT(TRIM(C605),FIND(" ",TRIM(C605)&amp;" ")-1),",","."),FIND("/",SUBSTITUTE(LEFT(TRIM(C605),FIND(" ",TRIM(C605)&amp;" ")-1),",","."))-1)/MID(SUBSTITUTE(LEFT(TRIM(C605),FIND(" ",TRIM(C605)&amp;" ")-1),",","."),FIND("/",SUBSTITUTE(LEFT(TRIM(C605),FIND(" ",TRIM(C605)&amp;" ")-1),",","."))+1,9))*12,NA()))),0),12)*'Aturan &amp; Tarif'!$B$4,2)</f>
        <v>681.36</v>
      </c>
      <c r="K605" s="32" t="n">
        <f aca="false">'Aturan &amp; Tarif'!$B$5</f>
        <v>2050</v>
      </c>
      <c r="L605" s="32" t="n">
        <f aca="false">'Aturan &amp; Tarif'!$B$6</f>
        <v>350</v>
      </c>
      <c r="M605" s="35" t="n">
        <f aca="false">I605+J605+K605+L605</f>
        <v>17831.36</v>
      </c>
      <c r="N605" s="36" t="s">
        <v>1154</v>
      </c>
    </row>
    <row r="606" customFormat="false" ht="60" hidden="false" customHeight="true" outlineLevel="0" collapsed="false">
      <c r="A606" s="29"/>
      <c r="B606" s="30" t="s">
        <v>1155</v>
      </c>
      <c r="C606" s="31" t="s">
        <v>107</v>
      </c>
      <c r="D606" s="31" t="s">
        <v>108</v>
      </c>
      <c r="E606" s="32" t="n">
        <v>7375</v>
      </c>
      <c r="F606" s="32"/>
      <c r="G606" s="32"/>
      <c r="H606" s="33" t="n">
        <v>2</v>
      </c>
      <c r="I606" s="34" t="n">
        <f aca="false">E606*H606+N(F606)+N(G606)</f>
        <v>14750</v>
      </c>
      <c r="J606" s="32" t="n">
        <f aca="false">ROUND(IFERROR(ROUND(IF(OR(ISNUMBER(SEARCH("week",C606)),ISNUMBER(SEARCH("minggu",C606))),IFERROR(_xlfn.NUMBERVALUE(SUBSTITUTE(LEFT(TRIM(C606),FIND(" ",TRIM(C606)&amp;" ")-1),",","."),"."),LEFT(SUBSTITUTE(LEFT(TRIM(C606),FIND(" ",TRIM(C606)&amp;" ")-1),",","."),FIND("/",SUBSTITUTE(LEFT(TRIM(C606),FIND(" ",TRIM(C606)&amp;" ")-1),",","."))-1)/MID(SUBSTITUTE(LEFT(TRIM(C606),FIND(" ",TRIM(C606)&amp;" ")-1),",","."),FIND("/",SUBSTITUTE(LEFT(TRIM(C606),FIND(" ",TRIM(C606)&amp;" ")-1),",","."))+1,9))*12/52,IF(ISNUMBER(SEARCH("month",C606)),IFERROR(_xlfn.NUMBERVALUE(SUBSTITUTE(LEFT(TRIM(C606),FIND(" ",TRIM(C606)&amp;" ")-1),",","."),"."),LEFT(SUBSTITUTE(LEFT(TRIM(C606),FIND(" ",TRIM(C606)&amp;" ")-1),",","."),FIND("/",SUBSTITUTE(LEFT(TRIM(C606),FIND(" ",TRIM(C606)&amp;" ")-1),",","."))-1)/MID(SUBSTITUTE(LEFT(TRIM(C606),FIND(" ",TRIM(C606)&amp;" ")-1),",","."),FIND("/",SUBSTITUTE(LEFT(TRIM(C606),FIND(" ",TRIM(C606)&amp;" ")-1),",","."))+1,9)),IF(ISNUMBER(SEARCH("yea",C606)),IFERROR(_xlfn.NUMBERVALUE(SUBSTITUTE(LEFT(TRIM(C606),FIND(" ",TRIM(C606)&amp;" ")-1),",","."),"."),LEFT(SUBSTITUTE(LEFT(TRIM(C606),FIND(" ",TRIM(C606)&amp;" ")-1),",","."),FIND("/",SUBSTITUTE(LEFT(TRIM(C606),FIND(" ",TRIM(C606)&amp;" ")-1),",","."))-1)/MID(SUBSTITUTE(LEFT(TRIM(C606),FIND(" ",TRIM(C606)&amp;" ")-1),",","."),FIND("/",SUBSTITUTE(LEFT(TRIM(C606),FIND(" ",TRIM(C606)&amp;" ")-1),",","."))+1,9))*12,NA()))),0),24)*'Aturan &amp; Tarif'!$B$4,2)</f>
        <v>1362.72</v>
      </c>
      <c r="K606" s="32" t="n">
        <f aca="false">'Aturan &amp; Tarif'!$B$5</f>
        <v>2050</v>
      </c>
      <c r="L606" s="32" t="n">
        <f aca="false">'Aturan &amp; Tarif'!$B$6</f>
        <v>350</v>
      </c>
      <c r="M606" s="35" t="n">
        <f aca="false">I606+J606+K606+L606</f>
        <v>18512.72</v>
      </c>
      <c r="N606" s="36" t="s">
        <v>1156</v>
      </c>
    </row>
    <row r="607" customFormat="false" ht="60" hidden="false" customHeight="true" outlineLevel="0" collapsed="false">
      <c r="A607" s="29"/>
      <c r="B607" s="30" t="s">
        <v>407</v>
      </c>
      <c r="C607" s="31" t="s">
        <v>107</v>
      </c>
      <c r="D607" s="31" t="s">
        <v>108</v>
      </c>
      <c r="E607" s="32" t="n">
        <v>7375</v>
      </c>
      <c r="F607" s="32"/>
      <c r="G607" s="32"/>
      <c r="H607" s="33" t="n">
        <v>2</v>
      </c>
      <c r="I607" s="34" t="n">
        <f aca="false">E607*H607+N(F607)+N(G607)</f>
        <v>14750</v>
      </c>
      <c r="J607" s="32" t="n">
        <f aca="false">ROUND(IFERROR(ROUND(IF(OR(ISNUMBER(SEARCH("week",C607)),ISNUMBER(SEARCH("minggu",C607))),IFERROR(_xlfn.NUMBERVALUE(SUBSTITUTE(LEFT(TRIM(C607),FIND(" ",TRIM(C607)&amp;" ")-1),",","."),"."),LEFT(SUBSTITUTE(LEFT(TRIM(C607),FIND(" ",TRIM(C607)&amp;" ")-1),",","."),FIND("/",SUBSTITUTE(LEFT(TRIM(C607),FIND(" ",TRIM(C607)&amp;" ")-1),",","."))-1)/MID(SUBSTITUTE(LEFT(TRIM(C607),FIND(" ",TRIM(C607)&amp;" ")-1),",","."),FIND("/",SUBSTITUTE(LEFT(TRIM(C607),FIND(" ",TRIM(C607)&amp;" ")-1),",","."))+1,9))*12/52,IF(ISNUMBER(SEARCH("month",C607)),IFERROR(_xlfn.NUMBERVALUE(SUBSTITUTE(LEFT(TRIM(C607),FIND(" ",TRIM(C607)&amp;" ")-1),",","."),"."),LEFT(SUBSTITUTE(LEFT(TRIM(C607),FIND(" ",TRIM(C607)&amp;" ")-1),",","."),FIND("/",SUBSTITUTE(LEFT(TRIM(C607),FIND(" ",TRIM(C607)&amp;" ")-1),",","."))-1)/MID(SUBSTITUTE(LEFT(TRIM(C607),FIND(" ",TRIM(C607)&amp;" ")-1),",","."),FIND("/",SUBSTITUTE(LEFT(TRIM(C607),FIND(" ",TRIM(C607)&amp;" ")-1),",","."))+1,9)),IF(ISNUMBER(SEARCH("yea",C607)),IFERROR(_xlfn.NUMBERVALUE(SUBSTITUTE(LEFT(TRIM(C607),FIND(" ",TRIM(C607)&amp;" ")-1),",","."),"."),LEFT(SUBSTITUTE(LEFT(TRIM(C607),FIND(" ",TRIM(C607)&amp;" ")-1),",","."),FIND("/",SUBSTITUTE(LEFT(TRIM(C607),FIND(" ",TRIM(C607)&amp;" ")-1),",","."))-1)/MID(SUBSTITUTE(LEFT(TRIM(C607),FIND(" ",TRIM(C607)&amp;" ")-1),",","."),FIND("/",SUBSTITUTE(LEFT(TRIM(C607),FIND(" ",TRIM(C607)&amp;" ")-1),",","."))+1,9))*12,NA()))),0),24)*'Aturan &amp; Tarif'!$B$4,2)</f>
        <v>1362.72</v>
      </c>
      <c r="K607" s="32" t="n">
        <f aca="false">'Aturan &amp; Tarif'!$B$5</f>
        <v>2050</v>
      </c>
      <c r="L607" s="32" t="n">
        <f aca="false">'Aturan &amp; Tarif'!$B$6</f>
        <v>350</v>
      </c>
      <c r="M607" s="35" t="n">
        <f aca="false">I607+J607+K607+L607</f>
        <v>18512.72</v>
      </c>
      <c r="N607" s="36" t="s">
        <v>1157</v>
      </c>
    </row>
    <row r="608" customFormat="false" ht="60" hidden="false" customHeight="true" outlineLevel="0" collapsed="false">
      <c r="A608" s="29"/>
      <c r="B608" s="30" t="s">
        <v>406</v>
      </c>
      <c r="C608" s="31" t="s">
        <v>127</v>
      </c>
      <c r="D608" s="31" t="s">
        <v>108</v>
      </c>
      <c r="E608" s="32" t="n">
        <v>7375</v>
      </c>
      <c r="F608" s="32"/>
      <c r="G608" s="32"/>
      <c r="H608" s="33" t="n">
        <v>2</v>
      </c>
      <c r="I608" s="34" t="n">
        <f aca="false">E608*H608+N(F608)+N(G608)</f>
        <v>14750</v>
      </c>
      <c r="J608" s="32" t="n">
        <f aca="false">ROUND(IFERROR(ROUND(IF(OR(ISNUMBER(SEARCH("week",C608)),ISNUMBER(SEARCH("minggu",C608))),IFERROR(_xlfn.NUMBERVALUE(SUBSTITUTE(LEFT(TRIM(C608),FIND(" ",TRIM(C608)&amp;" ")-1),",","."),"."),LEFT(SUBSTITUTE(LEFT(TRIM(C608),FIND(" ",TRIM(C608)&amp;" ")-1),",","."),FIND("/",SUBSTITUTE(LEFT(TRIM(C608),FIND(" ",TRIM(C608)&amp;" ")-1),",","."))-1)/MID(SUBSTITUTE(LEFT(TRIM(C608),FIND(" ",TRIM(C608)&amp;" ")-1),",","."),FIND("/",SUBSTITUTE(LEFT(TRIM(C608),FIND(" ",TRIM(C608)&amp;" ")-1),",","."))+1,9))*12/52,IF(ISNUMBER(SEARCH("month",C608)),IFERROR(_xlfn.NUMBERVALUE(SUBSTITUTE(LEFT(TRIM(C608),FIND(" ",TRIM(C608)&amp;" ")-1),",","."),"."),LEFT(SUBSTITUTE(LEFT(TRIM(C608),FIND(" ",TRIM(C608)&amp;" ")-1),",","."),FIND("/",SUBSTITUTE(LEFT(TRIM(C608),FIND(" ",TRIM(C608)&amp;" ")-1),",","."))-1)/MID(SUBSTITUTE(LEFT(TRIM(C608),FIND(" ",TRIM(C608)&amp;" ")-1),",","."),FIND("/",SUBSTITUTE(LEFT(TRIM(C608),FIND(" ",TRIM(C608)&amp;" ")-1),",","."))+1,9)),IF(ISNUMBER(SEARCH("yea",C608)),IFERROR(_xlfn.NUMBERVALUE(SUBSTITUTE(LEFT(TRIM(C608),FIND(" ",TRIM(C608)&amp;" ")-1),",","."),"."),LEFT(SUBSTITUTE(LEFT(TRIM(C608),FIND(" ",TRIM(C608)&amp;" ")-1),",","."),FIND("/",SUBSTITUTE(LEFT(TRIM(C608),FIND(" ",TRIM(C608)&amp;" ")-1),",","."))-1)/MID(SUBSTITUTE(LEFT(TRIM(C608),FIND(" ",TRIM(C608)&amp;" ")-1),",","."),FIND("/",SUBSTITUTE(LEFT(TRIM(C608),FIND(" ",TRIM(C608)&amp;" ")-1),",","."))+1,9))*12,NA()))),0),36)*'Aturan &amp; Tarif'!$B$4,2)</f>
        <v>2044.08</v>
      </c>
      <c r="K608" s="32" t="n">
        <f aca="false">'Aturan &amp; Tarif'!$B$5</f>
        <v>2050</v>
      </c>
      <c r="L608" s="32" t="n">
        <f aca="false">'Aturan &amp; Tarif'!$B$6</f>
        <v>350</v>
      </c>
      <c r="M608" s="35" t="n">
        <f aca="false">I608+J608+K608+L608</f>
        <v>19194.08</v>
      </c>
      <c r="N608" s="36" t="s">
        <v>1158</v>
      </c>
    </row>
    <row r="609" customFormat="false" ht="60" hidden="false" customHeight="true" outlineLevel="0" collapsed="false">
      <c r="A609" s="29"/>
      <c r="B609" s="30" t="s">
        <v>1159</v>
      </c>
      <c r="C609" s="31" t="s">
        <v>127</v>
      </c>
      <c r="D609" s="31" t="s">
        <v>108</v>
      </c>
      <c r="E609" s="32" t="n">
        <v>7375</v>
      </c>
      <c r="F609" s="32"/>
      <c r="G609" s="32"/>
      <c r="H609" s="33" t="n">
        <v>2</v>
      </c>
      <c r="I609" s="34" t="n">
        <f aca="false">E609*H609+N(F609)+N(G609)</f>
        <v>14750</v>
      </c>
      <c r="J609" s="32" t="n">
        <f aca="false">ROUND(IFERROR(ROUND(IF(OR(ISNUMBER(SEARCH("week",C609)),ISNUMBER(SEARCH("minggu",C609))),IFERROR(_xlfn.NUMBERVALUE(SUBSTITUTE(LEFT(TRIM(C609),FIND(" ",TRIM(C609)&amp;" ")-1),",","."),"."),LEFT(SUBSTITUTE(LEFT(TRIM(C609),FIND(" ",TRIM(C609)&amp;" ")-1),",","."),FIND("/",SUBSTITUTE(LEFT(TRIM(C609),FIND(" ",TRIM(C609)&amp;" ")-1),",","."))-1)/MID(SUBSTITUTE(LEFT(TRIM(C609),FIND(" ",TRIM(C609)&amp;" ")-1),",","."),FIND("/",SUBSTITUTE(LEFT(TRIM(C609),FIND(" ",TRIM(C609)&amp;" ")-1),",","."))+1,9))*12/52,IF(ISNUMBER(SEARCH("month",C609)),IFERROR(_xlfn.NUMBERVALUE(SUBSTITUTE(LEFT(TRIM(C609),FIND(" ",TRIM(C609)&amp;" ")-1),",","."),"."),LEFT(SUBSTITUTE(LEFT(TRIM(C609),FIND(" ",TRIM(C609)&amp;" ")-1),",","."),FIND("/",SUBSTITUTE(LEFT(TRIM(C609),FIND(" ",TRIM(C609)&amp;" ")-1),",","."))-1)/MID(SUBSTITUTE(LEFT(TRIM(C609),FIND(" ",TRIM(C609)&amp;" ")-1),",","."),FIND("/",SUBSTITUTE(LEFT(TRIM(C609),FIND(" ",TRIM(C609)&amp;" ")-1),",","."))+1,9)),IF(ISNUMBER(SEARCH("yea",C609)),IFERROR(_xlfn.NUMBERVALUE(SUBSTITUTE(LEFT(TRIM(C609),FIND(" ",TRIM(C609)&amp;" ")-1),",","."),"."),LEFT(SUBSTITUTE(LEFT(TRIM(C609),FIND(" ",TRIM(C609)&amp;" ")-1),",","."),FIND("/",SUBSTITUTE(LEFT(TRIM(C609),FIND(" ",TRIM(C609)&amp;" ")-1),",","."))-1)/MID(SUBSTITUTE(LEFT(TRIM(C609),FIND(" ",TRIM(C609)&amp;" ")-1),",","."),FIND("/",SUBSTITUTE(LEFT(TRIM(C609),FIND(" ",TRIM(C609)&amp;" ")-1),",","."))+1,9))*12,NA()))),0),36)*'Aturan &amp; Tarif'!$B$4,2)</f>
        <v>2044.08</v>
      </c>
      <c r="K609" s="32" t="n">
        <f aca="false">'Aturan &amp; Tarif'!$B$5</f>
        <v>2050</v>
      </c>
      <c r="L609" s="32" t="n">
        <f aca="false">'Aturan &amp; Tarif'!$B$6</f>
        <v>350</v>
      </c>
      <c r="M609" s="35" t="n">
        <f aca="false">I609+J609+K609+L609</f>
        <v>19194.08</v>
      </c>
      <c r="N609" s="36" t="s">
        <v>1160</v>
      </c>
    </row>
    <row r="610" customFormat="false" ht="14.25" hidden="false" customHeight="true" outlineLevel="0" collapsed="false">
      <c r="A610" s="29"/>
      <c r="B610" s="30" t="s">
        <v>1161</v>
      </c>
      <c r="C610" s="31" t="s">
        <v>127</v>
      </c>
      <c r="D610" s="31" t="s">
        <v>108</v>
      </c>
      <c r="E610" s="32" t="n">
        <v>7375</v>
      </c>
      <c r="F610" s="32"/>
      <c r="G610" s="32"/>
      <c r="H610" s="33" t="n">
        <v>2</v>
      </c>
      <c r="I610" s="34" t="n">
        <f aca="false">E610*H610+N(F610)+N(G610)</f>
        <v>14750</v>
      </c>
      <c r="J610" s="32" t="n">
        <f aca="false">ROUND(IFERROR(ROUND(IF(OR(ISNUMBER(SEARCH("week",C610)),ISNUMBER(SEARCH("minggu",C610))),IFERROR(_xlfn.NUMBERVALUE(SUBSTITUTE(LEFT(TRIM(C610),FIND(" ",TRIM(C610)&amp;" ")-1),",","."),"."),LEFT(SUBSTITUTE(LEFT(TRIM(C610),FIND(" ",TRIM(C610)&amp;" ")-1),",","."),FIND("/",SUBSTITUTE(LEFT(TRIM(C610),FIND(" ",TRIM(C610)&amp;" ")-1),",","."))-1)/MID(SUBSTITUTE(LEFT(TRIM(C610),FIND(" ",TRIM(C610)&amp;" ")-1),",","."),FIND("/",SUBSTITUTE(LEFT(TRIM(C610),FIND(" ",TRIM(C610)&amp;" ")-1),",","."))+1,9))*12/52,IF(ISNUMBER(SEARCH("month",C610)),IFERROR(_xlfn.NUMBERVALUE(SUBSTITUTE(LEFT(TRIM(C610),FIND(" ",TRIM(C610)&amp;" ")-1),",","."),"."),LEFT(SUBSTITUTE(LEFT(TRIM(C610),FIND(" ",TRIM(C610)&amp;" ")-1),",","."),FIND("/",SUBSTITUTE(LEFT(TRIM(C610),FIND(" ",TRIM(C610)&amp;" ")-1),",","."))-1)/MID(SUBSTITUTE(LEFT(TRIM(C610),FIND(" ",TRIM(C610)&amp;" ")-1),",","."),FIND("/",SUBSTITUTE(LEFT(TRIM(C610),FIND(" ",TRIM(C610)&amp;" ")-1),",","."))+1,9)),IF(ISNUMBER(SEARCH("yea",C610)),IFERROR(_xlfn.NUMBERVALUE(SUBSTITUTE(LEFT(TRIM(C610),FIND(" ",TRIM(C610)&amp;" ")-1),",","."),"."),LEFT(SUBSTITUTE(LEFT(TRIM(C610),FIND(" ",TRIM(C610)&amp;" ")-1),",","."),FIND("/",SUBSTITUTE(LEFT(TRIM(C610),FIND(" ",TRIM(C610)&amp;" ")-1),",","."))-1)/MID(SUBSTITUTE(LEFT(TRIM(C610),FIND(" ",TRIM(C610)&amp;" ")-1),",","."),FIND("/",SUBSTITUTE(LEFT(TRIM(C610),FIND(" ",TRIM(C610)&amp;" ")-1),",","."))+1,9))*12,NA()))),0),36)*'Aturan &amp; Tarif'!$B$4,2)</f>
        <v>2044.08</v>
      </c>
      <c r="K610" s="32" t="n">
        <f aca="false">'Aturan &amp; Tarif'!$B$5</f>
        <v>2050</v>
      </c>
      <c r="L610" s="32" t="n">
        <f aca="false">'Aturan &amp; Tarif'!$B$6</f>
        <v>350</v>
      </c>
      <c r="M610" s="35" t="n">
        <f aca="false">I610+J610+K610+L610</f>
        <v>19194.08</v>
      </c>
      <c r="N610" s="37" t="s">
        <v>1162</v>
      </c>
    </row>
    <row r="611" customFormat="false" ht="37.5" hidden="false" customHeight="true" outlineLevel="0" collapsed="false">
      <c r="A611" s="39" t="s">
        <v>1787</v>
      </c>
      <c r="B611" s="40" t="s">
        <v>1788</v>
      </c>
      <c r="C611" s="41" t="s">
        <v>127</v>
      </c>
      <c r="D611" s="41" t="s">
        <v>108</v>
      </c>
      <c r="E611" s="42" t="n">
        <v>5700</v>
      </c>
      <c r="F611" s="42"/>
      <c r="G611" s="42"/>
      <c r="H611" s="43" t="n">
        <v>2</v>
      </c>
      <c r="I611" s="34" t="n">
        <f aca="false">E611*H611+N(F611)+N(G611)</f>
        <v>11400</v>
      </c>
      <c r="J611" s="42" t="n">
        <f aca="false">ROUND(IFERROR(ROUND(IF(OR(ISNUMBER(SEARCH("week",C611)),ISNUMBER(SEARCH("minggu",C611))),IFERROR(_xlfn.NUMBERVALUE(SUBSTITUTE(LEFT(TRIM(C611),FIND(" ",TRIM(C611)&amp;" ")-1),",","."),"."),LEFT(SUBSTITUTE(LEFT(TRIM(C611),FIND(" ",TRIM(C611)&amp;" ")-1),",","."),FIND("/",SUBSTITUTE(LEFT(TRIM(C611),FIND(" ",TRIM(C611)&amp;" ")-1),",","."))-1)/MID(SUBSTITUTE(LEFT(TRIM(C611),FIND(" ",TRIM(C611)&amp;" ")-1),",","."),FIND("/",SUBSTITUTE(LEFT(TRIM(C611),FIND(" ",TRIM(C611)&amp;" ")-1),",","."))+1,9))*12/52,IF(ISNUMBER(SEARCH("month",C611)),IFERROR(_xlfn.NUMBERVALUE(SUBSTITUTE(LEFT(TRIM(C611),FIND(" ",TRIM(C611)&amp;" ")-1),",","."),"."),LEFT(SUBSTITUTE(LEFT(TRIM(C611),FIND(" ",TRIM(C611)&amp;" ")-1),",","."),FIND("/",SUBSTITUTE(LEFT(TRIM(C611),FIND(" ",TRIM(C611)&amp;" ")-1),",","."))-1)/MID(SUBSTITUTE(LEFT(TRIM(C611),FIND(" ",TRIM(C611)&amp;" ")-1),",","."),FIND("/",SUBSTITUTE(LEFT(TRIM(C611),FIND(" ",TRIM(C611)&amp;" ")-1),",","."))+1,9)),IF(ISNUMBER(SEARCH("yea",C611)),IFERROR(_xlfn.NUMBERVALUE(SUBSTITUTE(LEFT(TRIM(C611),FIND(" ",TRIM(C611)&amp;" ")-1),",","."),"."),LEFT(SUBSTITUTE(LEFT(TRIM(C611),FIND(" ",TRIM(C611)&amp;" ")-1),",","."),FIND("/",SUBSTITUTE(LEFT(TRIM(C611),FIND(" ",TRIM(C611)&amp;" ")-1),",","."))-1)/MID(SUBSTITUTE(LEFT(TRIM(C611),FIND(" ",TRIM(C611)&amp;" ")-1),",","."),FIND("/",SUBSTITUTE(LEFT(TRIM(C611),FIND(" ",TRIM(C611)&amp;" ")-1),",","."))+1,9))*12,NA()))),0),36)*'Aturan &amp; Tarif'!$B$4,2)</f>
        <v>2044.08</v>
      </c>
      <c r="K611" s="42" t="n">
        <f aca="false">'Aturan &amp; Tarif'!$B$5</f>
        <v>2050</v>
      </c>
      <c r="L611" s="42" t="n">
        <f aca="false">'Aturan &amp; Tarif'!$B$6</f>
        <v>350</v>
      </c>
      <c r="M611" s="35" t="n">
        <f aca="false">I611+J611+K611+L611</f>
        <v>15844.08</v>
      </c>
      <c r="N611" s="45" t="s">
        <v>1789</v>
      </c>
    </row>
    <row r="612" customFormat="false" ht="25.5" hidden="false" customHeight="true" outlineLevel="0" collapsed="false">
      <c r="A612" s="39"/>
      <c r="B612" s="40" t="s">
        <v>1790</v>
      </c>
      <c r="C612" s="41" t="s">
        <v>127</v>
      </c>
      <c r="D612" s="41" t="s">
        <v>108</v>
      </c>
      <c r="E612" s="42" t="n">
        <v>6500</v>
      </c>
      <c r="F612" s="42"/>
      <c r="G612" s="42"/>
      <c r="H612" s="43" t="n">
        <v>2</v>
      </c>
      <c r="I612" s="34" t="n">
        <f aca="false">E612*H612+N(F612)+N(G612)</f>
        <v>13000</v>
      </c>
      <c r="J612" s="42" t="n">
        <f aca="false">ROUND(IFERROR(ROUND(IF(OR(ISNUMBER(SEARCH("week",C612)),ISNUMBER(SEARCH("minggu",C612))),IFERROR(_xlfn.NUMBERVALUE(SUBSTITUTE(LEFT(TRIM(C612),FIND(" ",TRIM(C612)&amp;" ")-1),",","."),"."),LEFT(SUBSTITUTE(LEFT(TRIM(C612),FIND(" ",TRIM(C612)&amp;" ")-1),",","."),FIND("/",SUBSTITUTE(LEFT(TRIM(C612),FIND(" ",TRIM(C612)&amp;" ")-1),",","."))-1)/MID(SUBSTITUTE(LEFT(TRIM(C612),FIND(" ",TRIM(C612)&amp;" ")-1),",","."),FIND("/",SUBSTITUTE(LEFT(TRIM(C612),FIND(" ",TRIM(C612)&amp;" ")-1),",","."))+1,9))*12/52,IF(ISNUMBER(SEARCH("month",C612)),IFERROR(_xlfn.NUMBERVALUE(SUBSTITUTE(LEFT(TRIM(C612),FIND(" ",TRIM(C612)&amp;" ")-1),",","."),"."),LEFT(SUBSTITUTE(LEFT(TRIM(C612),FIND(" ",TRIM(C612)&amp;" ")-1),",","."),FIND("/",SUBSTITUTE(LEFT(TRIM(C612),FIND(" ",TRIM(C612)&amp;" ")-1),",","."))-1)/MID(SUBSTITUTE(LEFT(TRIM(C612),FIND(" ",TRIM(C612)&amp;" ")-1),",","."),FIND("/",SUBSTITUTE(LEFT(TRIM(C612),FIND(" ",TRIM(C612)&amp;" ")-1),",","."))+1,9)),IF(ISNUMBER(SEARCH("yea",C612)),IFERROR(_xlfn.NUMBERVALUE(SUBSTITUTE(LEFT(TRIM(C612),FIND(" ",TRIM(C612)&amp;" ")-1),",","."),"."),LEFT(SUBSTITUTE(LEFT(TRIM(C612),FIND(" ",TRIM(C612)&amp;" ")-1),",","."),FIND("/",SUBSTITUTE(LEFT(TRIM(C612),FIND(" ",TRIM(C612)&amp;" ")-1),",","."))-1)/MID(SUBSTITUTE(LEFT(TRIM(C612),FIND(" ",TRIM(C612)&amp;" ")-1),",","."),FIND("/",SUBSTITUTE(LEFT(TRIM(C612),FIND(" ",TRIM(C612)&amp;" ")-1),",","."))+1,9))*12,NA()))),0),36)*'Aturan &amp; Tarif'!$B$4,2)</f>
        <v>2044.08</v>
      </c>
      <c r="K612" s="42" t="n">
        <f aca="false">'Aturan &amp; Tarif'!$B$5</f>
        <v>2050</v>
      </c>
      <c r="L612" s="42" t="n">
        <f aca="false">'Aturan &amp; Tarif'!$B$6</f>
        <v>350</v>
      </c>
      <c r="M612" s="35" t="n">
        <f aca="false">I612+J612+K612+L612</f>
        <v>17444.08</v>
      </c>
      <c r="N612" s="45" t="s">
        <v>1789</v>
      </c>
    </row>
    <row r="613" customFormat="false" ht="25.5" hidden="false" customHeight="true" outlineLevel="0" collapsed="false">
      <c r="A613" s="39"/>
      <c r="B613" s="40" t="s">
        <v>1791</v>
      </c>
      <c r="C613" s="41" t="s">
        <v>107</v>
      </c>
      <c r="D613" s="41" t="s">
        <v>108</v>
      </c>
      <c r="E613" s="42" t="n">
        <v>6300</v>
      </c>
      <c r="F613" s="42"/>
      <c r="G613" s="42"/>
      <c r="H613" s="43" t="n">
        <v>2</v>
      </c>
      <c r="I613" s="34" t="n">
        <f aca="false">E613*H613+N(F613)+N(G613)</f>
        <v>12600</v>
      </c>
      <c r="J613" s="42" t="n">
        <f aca="false">ROUND(IFERROR(ROUND(IF(OR(ISNUMBER(SEARCH("week",C613)),ISNUMBER(SEARCH("minggu",C613))),IFERROR(_xlfn.NUMBERVALUE(SUBSTITUTE(LEFT(TRIM(C613),FIND(" ",TRIM(C613)&amp;" ")-1),",","."),"."),LEFT(SUBSTITUTE(LEFT(TRIM(C613),FIND(" ",TRIM(C613)&amp;" ")-1),",","."),FIND("/",SUBSTITUTE(LEFT(TRIM(C613),FIND(" ",TRIM(C613)&amp;" ")-1),",","."))-1)/MID(SUBSTITUTE(LEFT(TRIM(C613),FIND(" ",TRIM(C613)&amp;" ")-1),",","."),FIND("/",SUBSTITUTE(LEFT(TRIM(C613),FIND(" ",TRIM(C613)&amp;" ")-1),",","."))+1,9))*12/52,IF(ISNUMBER(SEARCH("month",C613)),IFERROR(_xlfn.NUMBERVALUE(SUBSTITUTE(LEFT(TRIM(C613),FIND(" ",TRIM(C613)&amp;" ")-1),",","."),"."),LEFT(SUBSTITUTE(LEFT(TRIM(C613),FIND(" ",TRIM(C613)&amp;" ")-1),",","."),FIND("/",SUBSTITUTE(LEFT(TRIM(C613),FIND(" ",TRIM(C613)&amp;" ")-1),",","."))-1)/MID(SUBSTITUTE(LEFT(TRIM(C613),FIND(" ",TRIM(C613)&amp;" ")-1),",","."),FIND("/",SUBSTITUTE(LEFT(TRIM(C613),FIND(" ",TRIM(C613)&amp;" ")-1),",","."))+1,9)),IF(ISNUMBER(SEARCH("yea",C613)),IFERROR(_xlfn.NUMBERVALUE(SUBSTITUTE(LEFT(TRIM(C613),FIND(" ",TRIM(C613)&amp;" ")-1),",","."),"."),LEFT(SUBSTITUTE(LEFT(TRIM(C613),FIND(" ",TRIM(C613)&amp;" ")-1),",","."),FIND("/",SUBSTITUTE(LEFT(TRIM(C613),FIND(" ",TRIM(C613)&amp;" ")-1),",","."))-1)/MID(SUBSTITUTE(LEFT(TRIM(C613),FIND(" ",TRIM(C613)&amp;" ")-1),",","."),FIND("/",SUBSTITUTE(LEFT(TRIM(C613),FIND(" ",TRIM(C613)&amp;" ")-1),",","."))+1,9))*12,NA()))),0),24)*'Aturan &amp; Tarif'!$B$4,2)</f>
        <v>1362.72</v>
      </c>
      <c r="K613" s="42" t="n">
        <f aca="false">'Aturan &amp; Tarif'!$B$5</f>
        <v>2050</v>
      </c>
      <c r="L613" s="42" t="n">
        <f aca="false">'Aturan &amp; Tarif'!$B$6</f>
        <v>350</v>
      </c>
      <c r="M613" s="35" t="n">
        <f aca="false">I613+J613+K613+L613</f>
        <v>16362.72</v>
      </c>
      <c r="N613" s="45" t="s">
        <v>1789</v>
      </c>
    </row>
    <row r="614" customFormat="false" ht="14.25" hidden="false" customHeight="true" outlineLevel="0" collapsed="false">
      <c r="A614" s="39"/>
      <c r="B614" s="40" t="s">
        <v>1792</v>
      </c>
      <c r="C614" s="41" t="s">
        <v>107</v>
      </c>
      <c r="D614" s="41" t="s">
        <v>108</v>
      </c>
      <c r="E614" s="42" t="n">
        <v>6300</v>
      </c>
      <c r="F614" s="42"/>
      <c r="G614" s="42"/>
      <c r="H614" s="43" t="n">
        <v>2</v>
      </c>
      <c r="I614" s="34" t="n">
        <f aca="false">E614*H614+N(F614)+N(G614)</f>
        <v>12600</v>
      </c>
      <c r="J614" s="42" t="n">
        <f aca="false">ROUND(IFERROR(ROUND(IF(OR(ISNUMBER(SEARCH("week",C614)),ISNUMBER(SEARCH("minggu",C614))),IFERROR(_xlfn.NUMBERVALUE(SUBSTITUTE(LEFT(TRIM(C614),FIND(" ",TRIM(C614)&amp;" ")-1),",","."),"."),LEFT(SUBSTITUTE(LEFT(TRIM(C614),FIND(" ",TRIM(C614)&amp;" ")-1),",","."),FIND("/",SUBSTITUTE(LEFT(TRIM(C614),FIND(" ",TRIM(C614)&amp;" ")-1),",","."))-1)/MID(SUBSTITUTE(LEFT(TRIM(C614),FIND(" ",TRIM(C614)&amp;" ")-1),",","."),FIND("/",SUBSTITUTE(LEFT(TRIM(C614),FIND(" ",TRIM(C614)&amp;" ")-1),",","."))+1,9))*12/52,IF(ISNUMBER(SEARCH("month",C614)),IFERROR(_xlfn.NUMBERVALUE(SUBSTITUTE(LEFT(TRIM(C614),FIND(" ",TRIM(C614)&amp;" ")-1),",","."),"."),LEFT(SUBSTITUTE(LEFT(TRIM(C614),FIND(" ",TRIM(C614)&amp;" ")-1),",","."),FIND("/",SUBSTITUTE(LEFT(TRIM(C614),FIND(" ",TRIM(C614)&amp;" ")-1),",","."))-1)/MID(SUBSTITUTE(LEFT(TRIM(C614),FIND(" ",TRIM(C614)&amp;" ")-1),",","."),FIND("/",SUBSTITUTE(LEFT(TRIM(C614),FIND(" ",TRIM(C614)&amp;" ")-1),",","."))+1,9)),IF(ISNUMBER(SEARCH("yea",C614)),IFERROR(_xlfn.NUMBERVALUE(SUBSTITUTE(LEFT(TRIM(C614),FIND(" ",TRIM(C614)&amp;" ")-1),",","."),"."),LEFT(SUBSTITUTE(LEFT(TRIM(C614),FIND(" ",TRIM(C614)&amp;" ")-1),",","."),FIND("/",SUBSTITUTE(LEFT(TRIM(C614),FIND(" ",TRIM(C614)&amp;" ")-1),",","."))-1)/MID(SUBSTITUTE(LEFT(TRIM(C614),FIND(" ",TRIM(C614)&amp;" ")-1),",","."),FIND("/",SUBSTITUTE(LEFT(TRIM(C614),FIND(" ",TRIM(C614)&amp;" ")-1),",","."))+1,9))*12,NA()))),0),24)*'Aturan &amp; Tarif'!$B$4,2)</f>
        <v>1362.72</v>
      </c>
      <c r="K614" s="42" t="n">
        <f aca="false">'Aturan &amp; Tarif'!$B$5</f>
        <v>2050</v>
      </c>
      <c r="L614" s="42" t="n">
        <f aca="false">'Aturan &amp; Tarif'!$B$6</f>
        <v>350</v>
      </c>
      <c r="M614" s="35" t="n">
        <f aca="false">I614+J614+K614+L614</f>
        <v>16362.72</v>
      </c>
      <c r="N614" s="45" t="s">
        <v>1789</v>
      </c>
    </row>
    <row r="615" customFormat="false" ht="25.5" hidden="false" customHeight="true" outlineLevel="0" collapsed="false">
      <c r="A615" s="39"/>
      <c r="B615" s="40" t="s">
        <v>1793</v>
      </c>
      <c r="C615" s="41" t="s">
        <v>107</v>
      </c>
      <c r="D615" s="41" t="s">
        <v>108</v>
      </c>
      <c r="E615" s="42" t="n">
        <v>6500</v>
      </c>
      <c r="F615" s="42"/>
      <c r="G615" s="42"/>
      <c r="H615" s="43" t="n">
        <v>2</v>
      </c>
      <c r="I615" s="34" t="n">
        <f aca="false">E615*H615+N(F615)+N(G615)</f>
        <v>13000</v>
      </c>
      <c r="J615" s="42" t="n">
        <f aca="false">ROUND(IFERROR(ROUND(IF(OR(ISNUMBER(SEARCH("week",C615)),ISNUMBER(SEARCH("minggu",C615))),IFERROR(_xlfn.NUMBERVALUE(SUBSTITUTE(LEFT(TRIM(C615),FIND(" ",TRIM(C615)&amp;" ")-1),",","."),"."),LEFT(SUBSTITUTE(LEFT(TRIM(C615),FIND(" ",TRIM(C615)&amp;" ")-1),",","."),FIND("/",SUBSTITUTE(LEFT(TRIM(C615),FIND(" ",TRIM(C615)&amp;" ")-1),",","."))-1)/MID(SUBSTITUTE(LEFT(TRIM(C615),FIND(" ",TRIM(C615)&amp;" ")-1),",","."),FIND("/",SUBSTITUTE(LEFT(TRIM(C615),FIND(" ",TRIM(C615)&amp;" ")-1),",","."))+1,9))*12/52,IF(ISNUMBER(SEARCH("month",C615)),IFERROR(_xlfn.NUMBERVALUE(SUBSTITUTE(LEFT(TRIM(C615),FIND(" ",TRIM(C615)&amp;" ")-1),",","."),"."),LEFT(SUBSTITUTE(LEFT(TRIM(C615),FIND(" ",TRIM(C615)&amp;" ")-1),",","."),FIND("/",SUBSTITUTE(LEFT(TRIM(C615),FIND(" ",TRIM(C615)&amp;" ")-1),",","."))-1)/MID(SUBSTITUTE(LEFT(TRIM(C615),FIND(" ",TRIM(C615)&amp;" ")-1),",","."),FIND("/",SUBSTITUTE(LEFT(TRIM(C615),FIND(" ",TRIM(C615)&amp;" ")-1),",","."))+1,9)),IF(ISNUMBER(SEARCH("yea",C615)),IFERROR(_xlfn.NUMBERVALUE(SUBSTITUTE(LEFT(TRIM(C615),FIND(" ",TRIM(C615)&amp;" ")-1),",","."),"."),LEFT(SUBSTITUTE(LEFT(TRIM(C615),FIND(" ",TRIM(C615)&amp;" ")-1),",","."),FIND("/",SUBSTITUTE(LEFT(TRIM(C615),FIND(" ",TRIM(C615)&amp;" ")-1),",","."))-1)/MID(SUBSTITUTE(LEFT(TRIM(C615),FIND(" ",TRIM(C615)&amp;" ")-1),",","."),FIND("/",SUBSTITUTE(LEFT(TRIM(C615),FIND(" ",TRIM(C615)&amp;" ")-1),",","."))+1,9))*12,NA()))),0),24)*'Aturan &amp; Tarif'!$B$4,2)</f>
        <v>1362.72</v>
      </c>
      <c r="K615" s="42" t="n">
        <f aca="false">'Aturan &amp; Tarif'!$B$5</f>
        <v>2050</v>
      </c>
      <c r="L615" s="42" t="n">
        <f aca="false">'Aturan &amp; Tarif'!$B$6</f>
        <v>350</v>
      </c>
      <c r="M615" s="35" t="n">
        <f aca="false">I615+J615+K615+L615</f>
        <v>16762.72</v>
      </c>
      <c r="N615" s="45" t="s">
        <v>1789</v>
      </c>
    </row>
    <row r="617" customFormat="false" ht="12.75" hidden="false" customHeight="true" outlineLevel="0" collapsed="false">
      <c r="A617" s="38" t="s">
        <v>117</v>
      </c>
    </row>
    <row r="618" customFormat="false" ht="12.75" hidden="false" customHeight="true" outlineLevel="0" collapsed="false">
      <c r="A618" s="38" t="s">
        <v>118</v>
      </c>
    </row>
    <row r="619" customFormat="false" ht="12.75" hidden="false" customHeight="true" outlineLevel="0" collapsed="false">
      <c r="A619" s="38" t="s">
        <v>119</v>
      </c>
    </row>
    <row r="620" customFormat="false" ht="12.75" hidden="false" customHeight="true" outlineLevel="0" collapsed="false">
      <c r="A620" s="38" t="s">
        <v>120</v>
      </c>
    </row>
    <row r="621" customFormat="false" ht="12.75" hidden="false" customHeight="true" outlineLevel="0" collapsed="false">
      <c r="A621" s="38" t="s">
        <v>121</v>
      </c>
    </row>
    <row r="622" customFormat="false" ht="12.75" hidden="false" customHeight="true" outlineLevel="0" collapsed="false">
      <c r="A622" s="38" t="s">
        <v>1794</v>
      </c>
    </row>
    <row r="623" customFormat="false" ht="12.75" hidden="false" customHeight="true" outlineLevel="0" collapsed="false">
      <c r="A623" s="38" t="s">
        <v>1795</v>
      </c>
    </row>
    <row r="624" customFormat="false" ht="12.75" hidden="false" customHeight="true" outlineLevel="0" collapsed="false">
      <c r="A624" s="38" t="s">
        <v>122</v>
      </c>
    </row>
    <row r="625" customFormat="false" ht="12.75" hidden="false" customHeight="true" outlineLevel="0" collapsed="false">
      <c r="A625" s="38" t="s">
        <v>123</v>
      </c>
    </row>
  </sheetData>
  <autoFilter ref="A5:N615"/>
  <conditionalFormatting sqref="J6:J615">
    <cfRule type="expression" priority="2" aboveAverage="0" equalAverage="0" bottom="0" percent="0" rank="0" text="" dxfId="6">
      <formula>AND($E6&lt;&gt;"",OR(ISERROR(ROUND(IF(OR(ISNUMBER(SEARCH("week",C6)),ISNUMBER(SEARCH("minggu",C6))),IFERROR(_xlfn.NUMBERVALUE(SUBSTITUTE(LEFT(TRIM(C6),FIND("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")-1),",","."))+1,9))*12,NA()))),0)&lt;1,1),IFERROR(ROUND(IF(OR(ISNUMBER(SEARCH("week",C6)),ISNUMBER(SEARCH("minggu",C6))),IFERROR(_xlfn.NUMBERVALUE(SUBSTITUTE(LEFT(TRIM(C6),FIND("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")-1),",","."))+1,9))*12,NA()))),0)&gt;96,1)))</formula>
    </cfRule>
  </conditionalFormatting>
  <printOptions headings="false" gridLines="false" gridLinesSet="true" horizontalCentered="true" verticalCentered="false"/>
  <pageMargins left="0.3" right="0.3" top="0.5" bottom="0.5" header="0.2" footer="0.2"/>
  <pageSetup paperSize="9" scale="100" fitToWidth="1" fitToHeight="0" pageOrder="downThenOver" orientation="landscape" blackAndWhite="false" draft="false" cellComments="none" horizontalDpi="300" verticalDpi="300" copies="1"/>
  <headerFooter differentFirst="false" differentOddEven="false">
    <oddHeader>&amp;R&amp;8 OFFSHORE - ADELAIDE</oddHeader>
    <oddFooter>&amp;L&amp;8 TEG Pricelist - harga bisa berubah sewaktu-waktu&amp;R&amp;8 Halaman &amp;P dari &amp;N</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181"/>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2" min="2" style="1" width="55"/>
    <col collapsed="false" customWidth="true" hidden="false" outlineLevel="0" max="3" min="3" style="1" width="14"/>
    <col collapsed="false" customWidth="true" hidden="false" outlineLevel="0" max="4" min="4" style="1" width="11"/>
    <col collapsed="false" customWidth="true" hidden="false" outlineLevel="0" max="5" min="5" style="1" width="12"/>
    <col collapsed="false" customWidth="true" hidden="false" outlineLevel="0" max="8" min="6" style="1" width="11"/>
    <col collapsed="false" customWidth="true" hidden="false" outlineLevel="0" max="9" min="9" style="1" width="15"/>
    <col collapsed="false" customWidth="true" hidden="false" outlineLevel="0" max="10" min="10" style="1" width="12"/>
    <col collapsed="false" customWidth="true" hidden="false" outlineLevel="0" max="12" min="11" style="1" width="10"/>
    <col collapsed="false" customWidth="true" hidden="false" outlineLevel="0" max="13" min="13" style="1" width="15"/>
    <col collapsed="false" customWidth="true" hidden="false" outlineLevel="0" max="14" min="14" style="1" width="110"/>
    <col collapsed="false" customWidth="true" hidden="false" outlineLevel="0" max="44" min="15" style="1" width="9"/>
  </cols>
  <sheetData>
    <row r="1" customFormat="false" ht="17.25" hidden="false" customHeight="true" outlineLevel="0" collapsed="false">
      <c r="A1" s="14" t="s">
        <v>1796</v>
      </c>
    </row>
    <row r="2" customFormat="false" ht="15" hidden="false" customHeight="true" outlineLevel="0" collapsed="false">
      <c r="A2" s="25" t="s">
        <v>91</v>
      </c>
    </row>
    <row r="3" customFormat="false" ht="15" hidden="false" customHeight="true" outlineLevel="0" collapsed="false">
      <c r="A3" s="26" t="s">
        <v>92</v>
      </c>
    </row>
    <row r="5" customFormat="false" ht="36" hidden="false" customHeight="true" outlineLevel="0" collapsed="false">
      <c r="A5" s="27" t="s">
        <v>93</v>
      </c>
      <c r="B5" s="27" t="s">
        <v>94</v>
      </c>
      <c r="C5" s="27" t="s">
        <v>95</v>
      </c>
      <c r="D5" s="27" t="s">
        <v>96</v>
      </c>
      <c r="E5" s="27" t="s">
        <v>97</v>
      </c>
      <c r="F5" s="27" t="s">
        <v>98</v>
      </c>
      <c r="G5" s="27" t="s">
        <v>99</v>
      </c>
      <c r="H5" s="27" t="s">
        <v>100</v>
      </c>
      <c r="I5" s="27" t="s">
        <v>101</v>
      </c>
      <c r="J5" s="27" t="s">
        <v>10</v>
      </c>
      <c r="K5" s="27" t="s">
        <v>102</v>
      </c>
      <c r="L5" s="27" t="s">
        <v>103</v>
      </c>
      <c r="M5" s="27" t="s">
        <v>104</v>
      </c>
      <c r="N5" s="28" t="s">
        <v>14</v>
      </c>
    </row>
    <row r="6" customFormat="false" ht="25.5" hidden="false" customHeight="true" outlineLevel="0" collapsed="false">
      <c r="A6" s="29" t="s">
        <v>1797</v>
      </c>
      <c r="B6" s="30" t="s">
        <v>1167</v>
      </c>
      <c r="C6" s="31" t="s">
        <v>191</v>
      </c>
      <c r="D6" s="31" t="s">
        <v>108</v>
      </c>
      <c r="E6" s="32" t="n">
        <v>2000</v>
      </c>
      <c r="F6" s="32" t="n">
        <v>50</v>
      </c>
      <c r="G6" s="32" t="n">
        <v>250</v>
      </c>
      <c r="H6" s="33" t="n">
        <v>1</v>
      </c>
      <c r="I6" s="34" t="n">
        <f aca="false">E6*H6+N(F6)+N(G6)</f>
        <v>2300</v>
      </c>
      <c r="J6" s="32" t="n">
        <f aca="false">ROUND(IFERROR(ROUND(IF(OR(ISNUMBER(SEARCH("week",C6)),ISNUMBER(SEARCH("minggu",C6))),IFERROR(_xlfn.NUMBERVALUE(SUBSTITUTE(LEFT(TRIM(C6),FIND("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")-1),",","."))+1,9))*12,NA()))),0),48)*'Aturan &amp; Tarif'!$B$4,2)</f>
        <v>2725.44</v>
      </c>
      <c r="K6" s="32" t="n">
        <f aca="false">'Aturan &amp; Tarif'!$B$5</f>
        <v>2050</v>
      </c>
      <c r="L6" s="32" t="n">
        <f aca="false">'Aturan &amp; Tarif'!$B$6</f>
        <v>350</v>
      </c>
      <c r="M6" s="35" t="n">
        <f aca="false">I6+J6+K6+L6</f>
        <v>7425.44</v>
      </c>
      <c r="N6" s="36" t="s">
        <v>131</v>
      </c>
    </row>
    <row r="7" customFormat="false" ht="14.25" hidden="false" customHeight="true" outlineLevel="0" collapsed="false">
      <c r="A7" s="29"/>
      <c r="B7" s="30" t="s">
        <v>1168</v>
      </c>
      <c r="C7" s="31" t="s">
        <v>136</v>
      </c>
      <c r="D7" s="31" t="s">
        <v>108</v>
      </c>
      <c r="E7" s="32" t="n">
        <v>2250</v>
      </c>
      <c r="F7" s="32" t="n">
        <v>50</v>
      </c>
      <c r="G7" s="32" t="n">
        <v>250</v>
      </c>
      <c r="H7" s="33" t="n">
        <v>1</v>
      </c>
      <c r="I7" s="34" t="n">
        <f aca="false">E7*H7+N(F7)+N(G7)</f>
        <v>2550</v>
      </c>
      <c r="J7" s="32" t="n">
        <f aca="false">ROUND(IFERROR(ROUND(IF(OR(ISNUMBER(SEARCH("week",C7)),ISNUMBER(SEARCH("minggu",C7))),IFERROR(_xlfn.NUMBERVALUE(SUBSTITUTE(LEFT(TRIM(C7),FIND(" ",TRIM(C7)&amp;" ")-1),",","."),"."),LEFT(SUBSTITUTE(LEFT(TRIM(C7),FIND(" ",TRIM(C7)&amp;" ")-1),",","."),FIND("/",SUBSTITUTE(LEFT(TRIM(C7),FIND(" ",TRIM(C7)&amp;" ")-1),",","."))-1)/MID(SUBSTITUTE(LEFT(TRIM(C7),FIND(" ",TRIM(C7)&amp;" ")-1),",","."),FIND("/",SUBSTITUTE(LEFT(TRIM(C7),FIND(" ",TRIM(C7)&amp;" ")-1),",","."))+1,9))*12/52,IF(ISNUMBER(SEARCH("month",C7)),IFERROR(_xlfn.NUMBERVALUE(SUBSTITUTE(LEFT(TRIM(C7),FIND(" ",TRIM(C7)&amp;" ")-1),",","."),"."),LEFT(SUBSTITUTE(LEFT(TRIM(C7),FIND(" ",TRIM(C7)&amp;" ")-1),",","."),FIND("/",SUBSTITUTE(LEFT(TRIM(C7),FIND(" ",TRIM(C7)&amp;" ")-1),",","."))-1)/MID(SUBSTITUTE(LEFT(TRIM(C7),FIND(" ",TRIM(C7)&amp;" ")-1),",","."),FIND("/",SUBSTITUTE(LEFT(TRIM(C7),FIND(" ",TRIM(C7)&amp;" ")-1),",","."))+1,9)),IF(ISNUMBER(SEARCH("yea",C7)),IFERROR(_xlfn.NUMBERVALUE(SUBSTITUTE(LEFT(TRIM(C7),FIND(" ",TRIM(C7)&amp;" ")-1),",","."),"."),LEFT(SUBSTITUTE(LEFT(TRIM(C7),FIND(" ",TRIM(C7)&amp;" ")-1),",","."),FIND("/",SUBSTITUTE(LEFT(TRIM(C7),FIND(" ",TRIM(C7)&amp;" ")-1),",","."))-1)/MID(SUBSTITUTE(LEFT(TRIM(C7),FIND(" ",TRIM(C7)&amp;" ")-1),",","."),FIND("/",SUBSTITUTE(LEFT(TRIM(C7),FIND(" ",TRIM(C7)&amp;" ")-1),",","."))+1,9))*12,NA()))),0),42)*'Aturan &amp; Tarif'!$B$4,2)</f>
        <v>2384.76</v>
      </c>
      <c r="K7" s="32" t="n">
        <f aca="false">'Aturan &amp; Tarif'!$B$5</f>
        <v>2050</v>
      </c>
      <c r="L7" s="32" t="n">
        <f aca="false">'Aturan &amp; Tarif'!$B$6</f>
        <v>350</v>
      </c>
      <c r="M7" s="35" t="n">
        <f aca="false">I7+J7+K7+L7</f>
        <v>7334.76</v>
      </c>
      <c r="N7" s="37" t="s">
        <v>134</v>
      </c>
    </row>
    <row r="8" customFormat="false" ht="37.5" hidden="false" customHeight="true" outlineLevel="0" collapsed="false">
      <c r="A8" s="29"/>
      <c r="B8" s="30" t="s">
        <v>1169</v>
      </c>
      <c r="C8" s="31" t="s">
        <v>138</v>
      </c>
      <c r="D8" s="31" t="s">
        <v>108</v>
      </c>
      <c r="E8" s="32" t="n">
        <v>1500</v>
      </c>
      <c r="F8" s="32" t="n">
        <v>50</v>
      </c>
      <c r="G8" s="32" t="n">
        <v>250</v>
      </c>
      <c r="H8" s="33" t="n">
        <v>1</v>
      </c>
      <c r="I8" s="34" t="n">
        <f aca="false">E8*H8+N(F8)+N(G8)</f>
        <v>1800</v>
      </c>
      <c r="J8" s="32" t="n">
        <f aca="false">ROUND(IFERROR(ROUND(IF(OR(ISNUMBER(SEARCH("week",C8)),ISNUMBER(SEARCH("minggu",C8))),IFERROR(_xlfn.NUMBERVALUE(SUBSTITUTE(LEFT(TRIM(C8),FIND(" ",TRIM(C8)&amp;" ")-1),",","."),"."),LEFT(SUBSTITUTE(LEFT(TRIM(C8),FIND(" ",TRIM(C8)&amp;" ")-1),",","."),FIND("/",SUBSTITUTE(LEFT(TRIM(C8),FIND(" ",TRIM(C8)&amp;" ")-1),",","."))-1)/MID(SUBSTITUTE(LEFT(TRIM(C8),FIND(" ",TRIM(C8)&amp;" ")-1),",","."),FIND("/",SUBSTITUTE(LEFT(TRIM(C8),FIND(" ",TRIM(C8)&amp;" ")-1),",","."))+1,9))*12/52,IF(ISNUMBER(SEARCH("month",C8)),IFERROR(_xlfn.NUMBERVALUE(SUBSTITUTE(LEFT(TRIM(C8),FIND(" ",TRIM(C8)&amp;" ")-1),",","."),"."),LEFT(SUBSTITUTE(LEFT(TRIM(C8),FIND(" ",TRIM(C8)&amp;" ")-1),",","."),FIND("/",SUBSTITUTE(LEFT(TRIM(C8),FIND(" ",TRIM(C8)&amp;" ")-1),",","."))-1)/MID(SUBSTITUTE(LEFT(TRIM(C8),FIND(" ",TRIM(C8)&amp;" ")-1),",","."),FIND("/",SUBSTITUTE(LEFT(TRIM(C8),FIND(" ",TRIM(C8)&amp;" ")-1),",","."))+1,9)),IF(ISNUMBER(SEARCH("yea",C8)),IFERROR(_xlfn.NUMBERVALUE(SUBSTITUTE(LEFT(TRIM(C8),FIND(" ",TRIM(C8)&amp;" ")-1),",","."),"."),LEFT(SUBSTITUTE(LEFT(TRIM(C8),FIND(" ",TRIM(C8)&amp;" ")-1),",","."),FIND("/",SUBSTITUTE(LEFT(TRIM(C8),FIND(" ",TRIM(C8)&amp;" ")-1),",","."))-1)/MID(SUBSTITUTE(LEFT(TRIM(C8),FIND(" ",TRIM(C8)&amp;" ")-1),",","."),FIND("/",SUBSTITUTE(LEFT(TRIM(C8),FIND(" ",TRIM(C8)&amp;" ")-1),",","."))+1,9))*12,NA()))),0),30)*'Aturan &amp; Tarif'!$B$4,2)</f>
        <v>1703.4</v>
      </c>
      <c r="K8" s="32" t="n">
        <f aca="false">'Aturan &amp; Tarif'!$B$5</f>
        <v>2050</v>
      </c>
      <c r="L8" s="32" t="n">
        <f aca="false">'Aturan &amp; Tarif'!$B$6</f>
        <v>350</v>
      </c>
      <c r="M8" s="35" t="n">
        <f aca="false">I8+J8+K8+L8</f>
        <v>5903.4</v>
      </c>
      <c r="N8" s="37" t="s">
        <v>134</v>
      </c>
    </row>
    <row r="9" customFormat="false" ht="60" hidden="false" customHeight="true" outlineLevel="0" collapsed="false">
      <c r="A9" s="29"/>
      <c r="B9" s="30" t="s">
        <v>1170</v>
      </c>
      <c r="C9" s="31" t="s">
        <v>138</v>
      </c>
      <c r="D9" s="31" t="s">
        <v>108</v>
      </c>
      <c r="E9" s="32" t="n">
        <v>1500</v>
      </c>
      <c r="F9" s="32" t="n">
        <v>50</v>
      </c>
      <c r="G9" s="32" t="n">
        <v>250</v>
      </c>
      <c r="H9" s="33" t="n">
        <v>1</v>
      </c>
      <c r="I9" s="34" t="n">
        <f aca="false">E9*H9+N(F9)+N(G9)</f>
        <v>1800</v>
      </c>
      <c r="J9" s="32" t="n">
        <f aca="false">ROUND(IFERROR(ROUND(IF(OR(ISNUMBER(SEARCH("week",C9)),ISNUMBER(SEARCH("minggu",C9))),IFERROR(_xlfn.NUMBERVALUE(SUBSTITUTE(LEFT(TRIM(C9),FIND(" ",TRIM(C9)&amp;" ")-1),",","."),"."),LEFT(SUBSTITUTE(LEFT(TRIM(C9),FIND(" ",TRIM(C9)&amp;" ")-1),",","."),FIND("/",SUBSTITUTE(LEFT(TRIM(C9),FIND(" ",TRIM(C9)&amp;" ")-1),",","."))-1)/MID(SUBSTITUTE(LEFT(TRIM(C9),FIND(" ",TRIM(C9)&amp;" ")-1),",","."),FIND("/",SUBSTITUTE(LEFT(TRIM(C9),FIND(" ",TRIM(C9)&amp;" ")-1),",","."))+1,9))*12/52,IF(ISNUMBER(SEARCH("month",C9)),IFERROR(_xlfn.NUMBERVALUE(SUBSTITUTE(LEFT(TRIM(C9),FIND(" ",TRIM(C9)&amp;" ")-1),",","."),"."),LEFT(SUBSTITUTE(LEFT(TRIM(C9),FIND(" ",TRIM(C9)&amp;" ")-1),",","."),FIND("/",SUBSTITUTE(LEFT(TRIM(C9),FIND(" ",TRIM(C9)&amp;" ")-1),",","."))-1)/MID(SUBSTITUTE(LEFT(TRIM(C9),FIND(" ",TRIM(C9)&amp;" ")-1),",","."),FIND("/",SUBSTITUTE(LEFT(TRIM(C9),FIND(" ",TRIM(C9)&amp;" ")-1),",","."))+1,9)),IF(ISNUMBER(SEARCH("yea",C9)),IFERROR(_xlfn.NUMBERVALUE(SUBSTITUTE(LEFT(TRIM(C9),FIND(" ",TRIM(C9)&amp;" ")-1),",","."),"."),LEFT(SUBSTITUTE(LEFT(TRIM(C9),FIND(" ",TRIM(C9)&amp;" ")-1),",","."),FIND("/",SUBSTITUTE(LEFT(TRIM(C9),FIND(" ",TRIM(C9)&amp;" ")-1),",","."))-1)/MID(SUBSTITUTE(LEFT(TRIM(C9),FIND(" ",TRIM(C9)&amp;" ")-1),",","."),FIND("/",SUBSTITUTE(LEFT(TRIM(C9),FIND(" ",TRIM(C9)&amp;" ")-1),",","."))+1,9))*12,NA()))),0),30)*'Aturan &amp; Tarif'!$B$4,2)</f>
        <v>1703.4</v>
      </c>
      <c r="K9" s="32" t="n">
        <f aca="false">'Aturan &amp; Tarif'!$B$5</f>
        <v>2050</v>
      </c>
      <c r="L9" s="32" t="n">
        <f aca="false">'Aturan &amp; Tarif'!$B$6</f>
        <v>350</v>
      </c>
      <c r="M9" s="35" t="n">
        <f aca="false">I9+J9+K9+L9</f>
        <v>5903.4</v>
      </c>
      <c r="N9" s="37" t="s">
        <v>134</v>
      </c>
    </row>
    <row r="10" customFormat="false" ht="37.5" hidden="false" customHeight="true" outlineLevel="0" collapsed="false">
      <c r="A10" s="29"/>
      <c r="B10" s="30" t="s">
        <v>1171</v>
      </c>
      <c r="C10" s="31" t="s">
        <v>191</v>
      </c>
      <c r="D10" s="31" t="s">
        <v>108</v>
      </c>
      <c r="E10" s="32" t="n">
        <v>1500</v>
      </c>
      <c r="F10" s="32" t="n">
        <v>50</v>
      </c>
      <c r="G10" s="32" t="n">
        <v>250</v>
      </c>
      <c r="H10" s="33" t="n">
        <v>1</v>
      </c>
      <c r="I10" s="34" t="n">
        <f aca="false">E10*H10+N(F10)+N(G10)</f>
        <v>1800</v>
      </c>
      <c r="J10" s="32" t="n">
        <f aca="false">ROUND(IFERROR(ROUND(IF(OR(ISNUMBER(SEARCH("week",C10)),ISNUMBER(SEARCH("minggu",C10))),IFERROR(_xlfn.NUMBERVALUE(SUBSTITUTE(LEFT(TRIM(C10),FIND(" ",TRIM(C10)&amp;" ")-1),",","."),"."),LEFT(SUBSTITUTE(LEFT(TRIM(C10),FIND(" ",TRIM(C10)&amp;" ")-1),",","."),FIND("/",SUBSTITUTE(LEFT(TRIM(C10),FIND(" ",TRIM(C10)&amp;" ")-1),",","."))-1)/MID(SUBSTITUTE(LEFT(TRIM(C10),FIND(" ",TRIM(C10)&amp;" ")-1),",","."),FIND("/",SUBSTITUTE(LEFT(TRIM(C10),FIND(" ",TRIM(C10)&amp;" ")-1),",","."))+1,9))*12/52,IF(ISNUMBER(SEARCH("month",C10)),IFERROR(_xlfn.NUMBERVALUE(SUBSTITUTE(LEFT(TRIM(C10),FIND(" ",TRIM(C10)&amp;" ")-1),",","."),"."),LEFT(SUBSTITUTE(LEFT(TRIM(C10),FIND(" ",TRIM(C10)&amp;" ")-1),",","."),FIND("/",SUBSTITUTE(LEFT(TRIM(C10),FIND(" ",TRIM(C10)&amp;" ")-1),",","."))-1)/MID(SUBSTITUTE(LEFT(TRIM(C10),FIND(" ",TRIM(C10)&amp;" ")-1),",","."),FIND("/",SUBSTITUTE(LEFT(TRIM(C10),FIND(" ",TRIM(C10)&amp;" ")-1),",","."))+1,9)),IF(ISNUMBER(SEARCH("yea",C10)),IFERROR(_xlfn.NUMBERVALUE(SUBSTITUTE(LEFT(TRIM(C10),FIND(" ",TRIM(C10)&amp;" ")-1),",","."),"."),LEFT(SUBSTITUTE(LEFT(TRIM(C10),FIND(" ",TRIM(C10)&amp;" ")-1),",","."),FIND("/",SUBSTITUTE(LEFT(TRIM(C10),FIND(" ",TRIM(C10)&amp;" ")-1),",","."))-1)/MID(SUBSTITUTE(LEFT(TRIM(C10),FIND(" ",TRIM(C10)&amp;" ")-1),",","."),FIND("/",SUBSTITUTE(LEFT(TRIM(C10),FIND(" ",TRIM(C10)&amp;" ")-1),",","."))+1,9))*12,NA()))),0),48)*'Aturan &amp; Tarif'!$B$4,2)</f>
        <v>2725.44</v>
      </c>
      <c r="K10" s="32" t="n">
        <f aca="false">'Aturan &amp; Tarif'!$B$5</f>
        <v>2050</v>
      </c>
      <c r="L10" s="32" t="n">
        <f aca="false">'Aturan &amp; Tarif'!$B$6</f>
        <v>350</v>
      </c>
      <c r="M10" s="35" t="n">
        <f aca="false">I10+J10+K10+L10</f>
        <v>6925.44</v>
      </c>
      <c r="N10" s="37" t="s">
        <v>134</v>
      </c>
    </row>
    <row r="11" customFormat="false" ht="72" hidden="false" customHeight="true" outlineLevel="0" collapsed="false">
      <c r="A11" s="29"/>
      <c r="B11" s="30" t="s">
        <v>837</v>
      </c>
      <c r="C11" s="31" t="s">
        <v>107</v>
      </c>
      <c r="D11" s="31" t="s">
        <v>108</v>
      </c>
      <c r="E11" s="32" t="n">
        <v>3000</v>
      </c>
      <c r="F11" s="32" t="n">
        <v>50</v>
      </c>
      <c r="G11" s="32" t="n">
        <v>250</v>
      </c>
      <c r="H11" s="33" t="n">
        <v>1</v>
      </c>
      <c r="I11" s="34" t="n">
        <f aca="false">E11*H11+N(F11)+N(G11)</f>
        <v>3300</v>
      </c>
      <c r="J11" s="32" t="n">
        <f aca="false">ROUND(IFERROR(ROUND(IF(OR(ISNUMBER(SEARCH("week",C11)),ISNUMBER(SEARCH("minggu",C11))),IFERROR(_xlfn.NUMBERVALUE(SUBSTITUTE(LEFT(TRIM(C11),FIND(" ",TRIM(C11)&amp;" ")-1),",","."),"."),LEFT(SUBSTITUTE(LEFT(TRIM(C11),FIND(" ",TRIM(C11)&amp;" ")-1),",","."),FIND("/",SUBSTITUTE(LEFT(TRIM(C11),FIND(" ",TRIM(C11)&amp;" ")-1),",","."))-1)/MID(SUBSTITUTE(LEFT(TRIM(C11),FIND(" ",TRIM(C11)&amp;" ")-1),",","."),FIND("/",SUBSTITUTE(LEFT(TRIM(C11),FIND(" ",TRIM(C11)&amp;" ")-1),",","."))+1,9))*12/52,IF(ISNUMBER(SEARCH("month",C11)),IFERROR(_xlfn.NUMBERVALUE(SUBSTITUTE(LEFT(TRIM(C11),FIND(" ",TRIM(C11)&amp;" ")-1),",","."),"."),LEFT(SUBSTITUTE(LEFT(TRIM(C11),FIND(" ",TRIM(C11)&amp;" ")-1),",","."),FIND("/",SUBSTITUTE(LEFT(TRIM(C11),FIND(" ",TRIM(C11)&amp;" ")-1),",","."))-1)/MID(SUBSTITUTE(LEFT(TRIM(C11),FIND(" ",TRIM(C11)&amp;" ")-1),",","."),FIND("/",SUBSTITUTE(LEFT(TRIM(C11),FIND(" ",TRIM(C11)&amp;" ")-1),",","."))+1,9)),IF(ISNUMBER(SEARCH("yea",C11)),IFERROR(_xlfn.NUMBERVALUE(SUBSTITUTE(LEFT(TRIM(C11),FIND(" ",TRIM(C11)&amp;" ")-1),",","."),"."),LEFT(SUBSTITUTE(LEFT(TRIM(C11),FIND(" ",TRIM(C11)&amp;" ")-1),",","."),FIND("/",SUBSTITUTE(LEFT(TRIM(C11),FIND(" ",TRIM(C11)&amp;" ")-1),",","."))-1)/MID(SUBSTITUTE(LEFT(TRIM(C11),FIND(" ",TRIM(C11)&amp;" ")-1),",","."),FIND("/",SUBSTITUTE(LEFT(TRIM(C11),FIND(" ",TRIM(C11)&amp;" ")-1),",","."))+1,9))*12,NA()))),0),24)*'Aturan &amp; Tarif'!$B$4,2)</f>
        <v>1362.72</v>
      </c>
      <c r="K11" s="32" t="n">
        <f aca="false">'Aturan &amp; Tarif'!$B$5</f>
        <v>2050</v>
      </c>
      <c r="L11" s="32" t="n">
        <f aca="false">'Aturan &amp; Tarif'!$B$6</f>
        <v>350</v>
      </c>
      <c r="M11" s="35" t="n">
        <f aca="false">I11+J11+K11+L11</f>
        <v>7062.72</v>
      </c>
      <c r="N11" s="37" t="s">
        <v>134</v>
      </c>
    </row>
    <row r="12" customFormat="false" ht="25.5" hidden="false" customHeight="true" outlineLevel="0" collapsed="false">
      <c r="A12" s="29"/>
      <c r="B12" s="30" t="s">
        <v>1172</v>
      </c>
      <c r="C12" s="31" t="s">
        <v>107</v>
      </c>
      <c r="D12" s="31" t="s">
        <v>108</v>
      </c>
      <c r="E12" s="32" t="n">
        <v>1600</v>
      </c>
      <c r="F12" s="32" t="n">
        <v>50</v>
      </c>
      <c r="G12" s="32" t="n">
        <v>250</v>
      </c>
      <c r="H12" s="33" t="n">
        <v>1</v>
      </c>
      <c r="I12" s="34" t="n">
        <f aca="false">E12*H12+N(F12)+N(G12)</f>
        <v>1900</v>
      </c>
      <c r="J12" s="32" t="n">
        <f aca="false">ROUND(IFERROR(ROUND(IF(OR(ISNUMBER(SEARCH("week",C12)),ISNUMBER(SEARCH("minggu",C12))),IFERROR(_xlfn.NUMBERVALUE(SUBSTITUTE(LEFT(TRIM(C12),FIND(" ",TRIM(C12)&amp;" ")-1),",","."),"."),LEFT(SUBSTITUTE(LEFT(TRIM(C12),FIND(" ",TRIM(C12)&amp;" ")-1),",","."),FIND("/",SUBSTITUTE(LEFT(TRIM(C12),FIND(" ",TRIM(C12)&amp;" ")-1),",","."))-1)/MID(SUBSTITUTE(LEFT(TRIM(C12),FIND(" ",TRIM(C12)&amp;" ")-1),",","."),FIND("/",SUBSTITUTE(LEFT(TRIM(C12),FIND(" ",TRIM(C12)&amp;" ")-1),",","."))+1,9))*12/52,IF(ISNUMBER(SEARCH("month",C12)),IFERROR(_xlfn.NUMBERVALUE(SUBSTITUTE(LEFT(TRIM(C12),FIND(" ",TRIM(C12)&amp;" ")-1),",","."),"."),LEFT(SUBSTITUTE(LEFT(TRIM(C12),FIND(" ",TRIM(C12)&amp;" ")-1),",","."),FIND("/",SUBSTITUTE(LEFT(TRIM(C12),FIND(" ",TRIM(C12)&amp;" ")-1),",","."))-1)/MID(SUBSTITUTE(LEFT(TRIM(C12),FIND(" ",TRIM(C12)&amp;" ")-1),",","."),FIND("/",SUBSTITUTE(LEFT(TRIM(C12),FIND(" ",TRIM(C12)&amp;" ")-1),",","."))+1,9)),IF(ISNUMBER(SEARCH("yea",C12)),IFERROR(_xlfn.NUMBERVALUE(SUBSTITUTE(LEFT(TRIM(C12),FIND(" ",TRIM(C12)&amp;" ")-1),",","."),"."),LEFT(SUBSTITUTE(LEFT(TRIM(C12),FIND(" ",TRIM(C12)&amp;" ")-1),",","."),FIND("/",SUBSTITUTE(LEFT(TRIM(C12),FIND(" ",TRIM(C12)&amp;" ")-1),",","."))-1)/MID(SUBSTITUTE(LEFT(TRIM(C12),FIND(" ",TRIM(C12)&amp;" ")-1),",","."),FIND("/",SUBSTITUTE(LEFT(TRIM(C12),FIND(" ",TRIM(C12)&amp;" ")-1),",","."))+1,9))*12,NA()))),0),24)*'Aturan &amp; Tarif'!$B$4,2)</f>
        <v>1362.72</v>
      </c>
      <c r="K12" s="32" t="n">
        <f aca="false">'Aturan &amp; Tarif'!$B$5</f>
        <v>2050</v>
      </c>
      <c r="L12" s="32" t="n">
        <f aca="false">'Aturan &amp; Tarif'!$B$6</f>
        <v>350</v>
      </c>
      <c r="M12" s="35" t="n">
        <f aca="false">I12+J12+K12+L12</f>
        <v>5662.72</v>
      </c>
      <c r="N12" s="37" t="s">
        <v>134</v>
      </c>
    </row>
    <row r="13" customFormat="false" ht="37.5" hidden="false" customHeight="true" outlineLevel="0" collapsed="false">
      <c r="A13" s="29" t="s">
        <v>1798</v>
      </c>
      <c r="B13" s="30" t="s">
        <v>1799</v>
      </c>
      <c r="C13" s="31" t="s">
        <v>130</v>
      </c>
      <c r="D13" s="31" t="s">
        <v>108</v>
      </c>
      <c r="E13" s="32" t="n">
        <v>2250</v>
      </c>
      <c r="F13" s="32" t="n">
        <v>400</v>
      </c>
      <c r="G13" s="32" t="n">
        <v>250</v>
      </c>
      <c r="H13" s="33" t="n">
        <v>1</v>
      </c>
      <c r="I13" s="34" t="n">
        <f aca="false">E13*H13+N(F13)+N(G13)</f>
        <v>2900</v>
      </c>
      <c r="J13" s="32" t="n">
        <f aca="false">ROUND(IFERROR(ROUND(IF(OR(ISNUMBER(SEARCH("week",C13)),ISNUMBER(SEARCH("minggu",C13))),IFERROR(_xlfn.NUMBERVALUE(SUBSTITUTE(LEFT(TRIM(C13),FIND(" ",TRIM(C13)&amp;" ")-1),",","."),"."),LEFT(SUBSTITUTE(LEFT(TRIM(C13),FIND(" ",TRIM(C13)&amp;" ")-1),",","."),FIND("/",SUBSTITUTE(LEFT(TRIM(C13),FIND(" ",TRIM(C13)&amp;" ")-1),",","."))-1)/MID(SUBSTITUTE(LEFT(TRIM(C13),FIND(" ",TRIM(C13)&amp;" ")-1),",","."),FIND("/",SUBSTITUTE(LEFT(TRIM(C13),FIND(" ",TRIM(C13)&amp;" ")-1),",","."))+1,9))*12/52,IF(ISNUMBER(SEARCH("month",C13)),IFERROR(_xlfn.NUMBERVALUE(SUBSTITUTE(LEFT(TRIM(C13),FIND(" ",TRIM(C13)&amp;" ")-1),",","."),"."),LEFT(SUBSTITUTE(LEFT(TRIM(C13),FIND(" ",TRIM(C13)&amp;" ")-1),",","."),FIND("/",SUBSTITUTE(LEFT(TRIM(C13),FIND(" ",TRIM(C13)&amp;" ")-1),",","."))-1)/MID(SUBSTITUTE(LEFT(TRIM(C13),FIND(" ",TRIM(C13)&amp;" ")-1),",","."),FIND("/",SUBSTITUTE(LEFT(TRIM(C13),FIND(" ",TRIM(C13)&amp;" ")-1),",","."))+1,9)),IF(ISNUMBER(SEARCH("yea",C13)),IFERROR(_xlfn.NUMBERVALUE(SUBSTITUTE(LEFT(TRIM(C13),FIND(" ",TRIM(C13)&amp;" ")-1),",","."),"."),LEFT(SUBSTITUTE(LEFT(TRIM(C13),FIND(" ",TRIM(C13)&amp;" ")-1),",","."),FIND("/",SUBSTITUTE(LEFT(TRIM(C13),FIND(" ",TRIM(C13)&amp;" ")-1),",","."))-1)/MID(SUBSTITUTE(LEFT(TRIM(C13),FIND(" ",TRIM(C13)&amp;" ")-1),",","."),FIND("/",SUBSTITUTE(LEFT(TRIM(C13),FIND(" ",TRIM(C13)&amp;" ")-1),",","."))+1,9))*12,NA()))),0),12)*'Aturan &amp; Tarif'!$B$4,2)</f>
        <v>681.36</v>
      </c>
      <c r="K13" s="32" t="n">
        <f aca="false">'Aturan &amp; Tarif'!$B$5</f>
        <v>2050</v>
      </c>
      <c r="L13" s="32" t="n">
        <f aca="false">'Aturan &amp; Tarif'!$B$6</f>
        <v>350</v>
      </c>
      <c r="M13" s="35" t="n">
        <f aca="false">I13+J13+K13+L13</f>
        <v>5981.36</v>
      </c>
      <c r="N13" s="37" t="s">
        <v>1800</v>
      </c>
    </row>
    <row r="14" customFormat="false" ht="37.5" hidden="false" customHeight="true" outlineLevel="0" collapsed="false">
      <c r="A14" s="29"/>
      <c r="B14" s="30" t="s">
        <v>1801</v>
      </c>
      <c r="C14" s="31" t="s">
        <v>107</v>
      </c>
      <c r="D14" s="31" t="s">
        <v>108</v>
      </c>
      <c r="E14" s="32" t="n">
        <v>2250</v>
      </c>
      <c r="F14" s="32" t="n">
        <v>400</v>
      </c>
      <c r="G14" s="32" t="n">
        <v>250</v>
      </c>
      <c r="H14" s="33" t="n">
        <v>1</v>
      </c>
      <c r="I14" s="34" t="n">
        <f aca="false">E14*H14+N(F14)+N(G14)</f>
        <v>2900</v>
      </c>
      <c r="J14" s="32" t="n">
        <f aca="false">ROUND(IFERROR(ROUND(IF(OR(ISNUMBER(SEARCH("week",C14)),ISNUMBER(SEARCH("minggu",C14))),IFERROR(_xlfn.NUMBERVALUE(SUBSTITUTE(LEFT(TRIM(C14),FIND(" ",TRIM(C14)&amp;" ")-1),",","."),"."),LEFT(SUBSTITUTE(LEFT(TRIM(C14),FIND(" ",TRIM(C14)&amp;" ")-1),",","."),FIND("/",SUBSTITUTE(LEFT(TRIM(C14),FIND(" ",TRIM(C14)&amp;" ")-1),",","."))-1)/MID(SUBSTITUTE(LEFT(TRIM(C14),FIND(" ",TRIM(C14)&amp;" ")-1),",","."),FIND("/",SUBSTITUTE(LEFT(TRIM(C14),FIND(" ",TRIM(C14)&amp;" ")-1),",","."))+1,9))*12/52,IF(ISNUMBER(SEARCH("month",C14)),IFERROR(_xlfn.NUMBERVALUE(SUBSTITUTE(LEFT(TRIM(C14),FIND(" ",TRIM(C14)&amp;" ")-1),",","."),"."),LEFT(SUBSTITUTE(LEFT(TRIM(C14),FIND(" ",TRIM(C14)&amp;" ")-1),",","."),FIND("/",SUBSTITUTE(LEFT(TRIM(C14),FIND(" ",TRIM(C14)&amp;" ")-1),",","."))-1)/MID(SUBSTITUTE(LEFT(TRIM(C14),FIND(" ",TRIM(C14)&amp;" ")-1),",","."),FIND("/",SUBSTITUTE(LEFT(TRIM(C14),FIND(" ",TRIM(C14)&amp;" ")-1),",","."))+1,9)),IF(ISNUMBER(SEARCH("yea",C14)),IFERROR(_xlfn.NUMBERVALUE(SUBSTITUTE(LEFT(TRIM(C14),FIND(" ",TRIM(C14)&amp;" ")-1),",","."),"."),LEFT(SUBSTITUTE(LEFT(TRIM(C14),FIND(" ",TRIM(C14)&amp;" ")-1),",","."),FIND("/",SUBSTITUTE(LEFT(TRIM(C14),FIND(" ",TRIM(C14)&amp;" ")-1),",","."))-1)/MID(SUBSTITUTE(LEFT(TRIM(C14),FIND(" ",TRIM(C14)&amp;" ")-1),",","."),FIND("/",SUBSTITUTE(LEFT(TRIM(C14),FIND(" ",TRIM(C14)&amp;" ")-1),",","."))+1,9))*12,NA()))),0),24)*'Aturan &amp; Tarif'!$B$4,2)</f>
        <v>1362.72</v>
      </c>
      <c r="K14" s="32" t="n">
        <f aca="false">'Aturan &amp; Tarif'!$B$5</f>
        <v>2050</v>
      </c>
      <c r="L14" s="32" t="n">
        <f aca="false">'Aturan &amp; Tarif'!$B$6</f>
        <v>350</v>
      </c>
      <c r="M14" s="35" t="n">
        <f aca="false">I14+J14+K14+L14</f>
        <v>6662.72</v>
      </c>
      <c r="N14" s="37" t="s">
        <v>1800</v>
      </c>
    </row>
    <row r="15" customFormat="false" ht="14.25" hidden="false" customHeight="true" outlineLevel="0" collapsed="false">
      <c r="A15" s="29"/>
      <c r="B15" s="30" t="s">
        <v>1802</v>
      </c>
      <c r="C15" s="31" t="s">
        <v>127</v>
      </c>
      <c r="D15" s="31" t="s">
        <v>108</v>
      </c>
      <c r="E15" s="32" t="n">
        <v>2250</v>
      </c>
      <c r="F15" s="32" t="n">
        <v>400</v>
      </c>
      <c r="G15" s="32" t="n">
        <v>250</v>
      </c>
      <c r="H15" s="33" t="n">
        <v>1</v>
      </c>
      <c r="I15" s="34" t="n">
        <f aca="false">E15*H15+N(F15)+N(G15)</f>
        <v>2900</v>
      </c>
      <c r="J15" s="32" t="n">
        <f aca="false">ROUND(IFERROR(ROUND(IF(OR(ISNUMBER(SEARCH("week",C15)),ISNUMBER(SEARCH("minggu",C15))),IFERROR(_xlfn.NUMBERVALUE(SUBSTITUTE(LEFT(TRIM(C15),FIND(" ",TRIM(C15)&amp;" ")-1),",","."),"."),LEFT(SUBSTITUTE(LEFT(TRIM(C15),FIND(" ",TRIM(C15)&amp;" ")-1),",","."),FIND("/",SUBSTITUTE(LEFT(TRIM(C15),FIND(" ",TRIM(C15)&amp;" ")-1),",","."))-1)/MID(SUBSTITUTE(LEFT(TRIM(C15),FIND(" ",TRIM(C15)&amp;" ")-1),",","."),FIND("/",SUBSTITUTE(LEFT(TRIM(C15),FIND(" ",TRIM(C15)&amp;" ")-1),",","."))+1,9))*12/52,IF(ISNUMBER(SEARCH("month",C15)),IFERROR(_xlfn.NUMBERVALUE(SUBSTITUTE(LEFT(TRIM(C15),FIND(" ",TRIM(C15)&amp;" ")-1),",","."),"."),LEFT(SUBSTITUTE(LEFT(TRIM(C15),FIND(" ",TRIM(C15)&amp;" ")-1),",","."),FIND("/",SUBSTITUTE(LEFT(TRIM(C15),FIND(" ",TRIM(C15)&amp;" ")-1),",","."))-1)/MID(SUBSTITUTE(LEFT(TRIM(C15),FIND(" ",TRIM(C15)&amp;" ")-1),",","."),FIND("/",SUBSTITUTE(LEFT(TRIM(C15),FIND(" ",TRIM(C15)&amp;" ")-1),",","."))+1,9)),IF(ISNUMBER(SEARCH("yea",C15)),IFERROR(_xlfn.NUMBERVALUE(SUBSTITUTE(LEFT(TRIM(C15),FIND(" ",TRIM(C15)&amp;" ")-1),",","."),"."),LEFT(SUBSTITUTE(LEFT(TRIM(C15),FIND(" ",TRIM(C15)&amp;" ")-1),",","."),FIND("/",SUBSTITUTE(LEFT(TRIM(C15),FIND(" ",TRIM(C15)&amp;" ")-1),",","."))-1)/MID(SUBSTITUTE(LEFT(TRIM(C15),FIND(" ",TRIM(C15)&amp;" ")-1),",","."),FIND("/",SUBSTITUTE(LEFT(TRIM(C15),FIND(" ",TRIM(C15)&amp;" ")-1),",","."))+1,9))*12,NA()))),0),36)*'Aturan &amp; Tarif'!$B$4,2)</f>
        <v>2044.08</v>
      </c>
      <c r="K15" s="32" t="n">
        <f aca="false">'Aturan &amp; Tarif'!$B$5</f>
        <v>2050</v>
      </c>
      <c r="L15" s="32" t="n">
        <f aca="false">'Aturan &amp; Tarif'!$B$6</f>
        <v>350</v>
      </c>
      <c r="M15" s="35" t="n">
        <f aca="false">I15+J15+K15+L15</f>
        <v>7344.08</v>
      </c>
      <c r="N15" s="37" t="s">
        <v>1800</v>
      </c>
    </row>
    <row r="16" customFormat="false" ht="14.25" hidden="false" customHeight="true" outlineLevel="0" collapsed="false">
      <c r="A16" s="29"/>
      <c r="B16" s="30" t="s">
        <v>1803</v>
      </c>
      <c r="C16" s="31" t="s">
        <v>107</v>
      </c>
      <c r="D16" s="31" t="s">
        <v>108</v>
      </c>
      <c r="E16" s="32" t="n">
        <v>3125</v>
      </c>
      <c r="F16" s="32" t="n">
        <v>1500</v>
      </c>
      <c r="G16" s="32" t="n">
        <v>250</v>
      </c>
      <c r="H16" s="33" t="n">
        <v>1</v>
      </c>
      <c r="I16" s="34" t="n">
        <f aca="false">E16*H16+N(F16)+N(G16)</f>
        <v>4875</v>
      </c>
      <c r="J16" s="32" t="n">
        <f aca="false">ROUND(IFERROR(ROUND(IF(OR(ISNUMBER(SEARCH("week",C16)),ISNUMBER(SEARCH("minggu",C16))),IFERROR(_xlfn.NUMBERVALUE(SUBSTITUTE(LEFT(TRIM(C16),FIND(" ",TRIM(C16)&amp;" ")-1),",","."),"."),LEFT(SUBSTITUTE(LEFT(TRIM(C16),FIND(" ",TRIM(C16)&amp;" ")-1),",","."),FIND("/",SUBSTITUTE(LEFT(TRIM(C16),FIND(" ",TRIM(C16)&amp;" ")-1),",","."))-1)/MID(SUBSTITUTE(LEFT(TRIM(C16),FIND(" ",TRIM(C16)&amp;" ")-1),",","."),FIND("/",SUBSTITUTE(LEFT(TRIM(C16),FIND(" ",TRIM(C16)&amp;" ")-1),",","."))+1,9))*12/52,IF(ISNUMBER(SEARCH("month",C16)),IFERROR(_xlfn.NUMBERVALUE(SUBSTITUTE(LEFT(TRIM(C16),FIND(" ",TRIM(C16)&amp;" ")-1),",","."),"."),LEFT(SUBSTITUTE(LEFT(TRIM(C16),FIND(" ",TRIM(C16)&amp;" ")-1),",","."),FIND("/",SUBSTITUTE(LEFT(TRIM(C16),FIND(" ",TRIM(C16)&amp;" ")-1),",","."))-1)/MID(SUBSTITUTE(LEFT(TRIM(C16),FIND(" ",TRIM(C16)&amp;" ")-1),",","."),FIND("/",SUBSTITUTE(LEFT(TRIM(C16),FIND(" ",TRIM(C16)&amp;" ")-1),",","."))+1,9)),IF(ISNUMBER(SEARCH("yea",C16)),IFERROR(_xlfn.NUMBERVALUE(SUBSTITUTE(LEFT(TRIM(C16),FIND(" ",TRIM(C16)&amp;" ")-1),",","."),"."),LEFT(SUBSTITUTE(LEFT(TRIM(C16),FIND(" ",TRIM(C16)&amp;" ")-1),",","."),FIND("/",SUBSTITUTE(LEFT(TRIM(C16),FIND(" ",TRIM(C16)&amp;" ")-1),",","."))-1)/MID(SUBSTITUTE(LEFT(TRIM(C16),FIND(" ",TRIM(C16)&amp;" ")-1),",","."),FIND("/",SUBSTITUTE(LEFT(TRIM(C16),FIND(" ",TRIM(C16)&amp;" ")-1),",","."))+1,9))*12,NA()))),0),24)*'Aturan &amp; Tarif'!$B$4,2)</f>
        <v>1362.72</v>
      </c>
      <c r="K16" s="32" t="n">
        <f aca="false">'Aturan &amp; Tarif'!$B$5</f>
        <v>2050</v>
      </c>
      <c r="L16" s="32" t="n">
        <f aca="false">'Aturan &amp; Tarif'!$B$6</f>
        <v>350</v>
      </c>
      <c r="M16" s="35" t="n">
        <f aca="false">I16+J16+K16+L16</f>
        <v>8637.72</v>
      </c>
      <c r="N16" s="36" t="s">
        <v>1804</v>
      </c>
    </row>
    <row r="17" customFormat="false" ht="14.25" hidden="false" customHeight="true" outlineLevel="0" collapsed="false">
      <c r="A17" s="29"/>
      <c r="B17" s="30" t="s">
        <v>1805</v>
      </c>
      <c r="C17" s="31" t="s">
        <v>138</v>
      </c>
      <c r="D17" s="31" t="s">
        <v>108</v>
      </c>
      <c r="E17" s="32" t="n">
        <v>3125</v>
      </c>
      <c r="F17" s="32" t="n">
        <v>1600</v>
      </c>
      <c r="G17" s="32" t="n">
        <v>250</v>
      </c>
      <c r="H17" s="33" t="n">
        <v>1</v>
      </c>
      <c r="I17" s="34" t="n">
        <f aca="false">E17*H17+N(F17)+N(G17)</f>
        <v>4975</v>
      </c>
      <c r="J17" s="32" t="n">
        <f aca="false">ROUND(IFERROR(ROUND(IF(OR(ISNUMBER(SEARCH("week",C17)),ISNUMBER(SEARCH("minggu",C17))),IFERROR(_xlfn.NUMBERVALUE(SUBSTITUTE(LEFT(TRIM(C17),FIND(" ",TRIM(C17)&amp;" ")-1),",","."),"."),LEFT(SUBSTITUTE(LEFT(TRIM(C17),FIND(" ",TRIM(C17)&amp;" ")-1),",","."),FIND("/",SUBSTITUTE(LEFT(TRIM(C17),FIND(" ",TRIM(C17)&amp;" ")-1),",","."))-1)/MID(SUBSTITUTE(LEFT(TRIM(C17),FIND(" ",TRIM(C17)&amp;" ")-1),",","."),FIND("/",SUBSTITUTE(LEFT(TRIM(C17),FIND(" ",TRIM(C17)&amp;" ")-1),",","."))+1,9))*12/52,IF(ISNUMBER(SEARCH("month",C17)),IFERROR(_xlfn.NUMBERVALUE(SUBSTITUTE(LEFT(TRIM(C17),FIND(" ",TRIM(C17)&amp;" ")-1),",","."),"."),LEFT(SUBSTITUTE(LEFT(TRIM(C17),FIND(" ",TRIM(C17)&amp;" ")-1),",","."),FIND("/",SUBSTITUTE(LEFT(TRIM(C17),FIND(" ",TRIM(C17)&amp;" ")-1),",","."))-1)/MID(SUBSTITUTE(LEFT(TRIM(C17),FIND(" ",TRIM(C17)&amp;" ")-1),",","."),FIND("/",SUBSTITUTE(LEFT(TRIM(C17),FIND(" ",TRIM(C17)&amp;" ")-1),",","."))+1,9)),IF(ISNUMBER(SEARCH("yea",C17)),IFERROR(_xlfn.NUMBERVALUE(SUBSTITUTE(LEFT(TRIM(C17),FIND(" ",TRIM(C17)&amp;" ")-1),",","."),"."),LEFT(SUBSTITUTE(LEFT(TRIM(C17),FIND(" ",TRIM(C17)&amp;" ")-1),",","."),FIND("/",SUBSTITUTE(LEFT(TRIM(C17),FIND(" ",TRIM(C17)&amp;" ")-1),",","."))-1)/MID(SUBSTITUTE(LEFT(TRIM(C17),FIND(" ",TRIM(C17)&amp;" ")-1),",","."),FIND("/",SUBSTITUTE(LEFT(TRIM(C17),FIND(" ",TRIM(C17)&amp;" ")-1),",","."))+1,9))*12,NA()))),0),30)*'Aturan &amp; Tarif'!$B$4,2)</f>
        <v>1703.4</v>
      </c>
      <c r="K17" s="32" t="n">
        <f aca="false">'Aturan &amp; Tarif'!$B$5</f>
        <v>2050</v>
      </c>
      <c r="L17" s="32" t="n">
        <f aca="false">'Aturan &amp; Tarif'!$B$6</f>
        <v>350</v>
      </c>
      <c r="M17" s="35" t="n">
        <f aca="false">I17+J17+K17+L17</f>
        <v>9078.4</v>
      </c>
      <c r="N17" s="36" t="s">
        <v>1804</v>
      </c>
    </row>
    <row r="18" customFormat="false" ht="14.25" hidden="false" customHeight="true" outlineLevel="0" collapsed="false">
      <c r="A18" s="29"/>
      <c r="B18" s="30" t="s">
        <v>1806</v>
      </c>
      <c r="C18" s="31" t="s">
        <v>113</v>
      </c>
      <c r="D18" s="31" t="s">
        <v>108</v>
      </c>
      <c r="E18" s="32" t="n">
        <v>3200</v>
      </c>
      <c r="F18" s="32" t="n">
        <v>1400</v>
      </c>
      <c r="G18" s="32" t="n">
        <v>500</v>
      </c>
      <c r="H18" s="33" t="n">
        <v>1</v>
      </c>
      <c r="I18" s="34" t="n">
        <f aca="false">E18*H18+N(F18)+N(G18)</f>
        <v>5100</v>
      </c>
      <c r="J18" s="32" t="n">
        <f aca="false">ROUND(IFERROR(ROUND(IF(OR(ISNUMBER(SEARCH("week",C18)),ISNUMBER(SEARCH("minggu",C18))),IFERROR(_xlfn.NUMBERVALUE(SUBSTITUTE(LEFT(TRIM(C18),FIND(" ",TRIM(C18)&amp;" ")-1),",","."),"."),LEFT(SUBSTITUTE(LEFT(TRIM(C18),FIND(" ",TRIM(C18)&amp;" ")-1),",","."),FIND("/",SUBSTITUTE(LEFT(TRIM(C18),FIND(" ",TRIM(C18)&amp;" ")-1),",","."))-1)/MID(SUBSTITUTE(LEFT(TRIM(C18),FIND(" ",TRIM(C18)&amp;" ")-1),",","."),FIND("/",SUBSTITUTE(LEFT(TRIM(C18),FIND(" ",TRIM(C18)&amp;" ")-1),",","."))+1,9))*12/52,IF(ISNUMBER(SEARCH("month",C18)),IFERROR(_xlfn.NUMBERVALUE(SUBSTITUTE(LEFT(TRIM(C18),FIND(" ",TRIM(C18)&amp;" ")-1),",","."),"."),LEFT(SUBSTITUTE(LEFT(TRIM(C18),FIND(" ",TRIM(C18)&amp;" ")-1),",","."),FIND("/",SUBSTITUTE(LEFT(TRIM(C18),FIND(" ",TRIM(C18)&amp;" ")-1),",","."))-1)/MID(SUBSTITUTE(LEFT(TRIM(C18),FIND(" ",TRIM(C18)&amp;" ")-1),",","."),FIND("/",SUBSTITUTE(LEFT(TRIM(C18),FIND(" ",TRIM(C18)&amp;" ")-1),",","."))+1,9)),IF(ISNUMBER(SEARCH("yea",C18)),IFERROR(_xlfn.NUMBERVALUE(SUBSTITUTE(LEFT(TRIM(C18),FIND(" ",TRIM(C18)&amp;" ")-1),",","."),"."),LEFT(SUBSTITUTE(LEFT(TRIM(C18),FIND(" ",TRIM(C18)&amp;" ")-1),",","."),FIND("/",SUBSTITUTE(LEFT(TRIM(C18),FIND(" ",TRIM(C18)&amp;" ")-1),",","."))-1)/MID(SUBSTITUTE(LEFT(TRIM(C18),FIND(" ",TRIM(C18)&amp;" ")-1),",","."),FIND("/",SUBSTITUTE(LEFT(TRIM(C18),FIND(" ",TRIM(C18)&amp;" ")-1),",","."))+1,9))*12,NA()))),0),18)*'Aturan &amp; Tarif'!$B$4,2)</f>
        <v>1022.04</v>
      </c>
      <c r="K18" s="32" t="n">
        <f aca="false">'Aturan &amp; Tarif'!$B$5</f>
        <v>2050</v>
      </c>
      <c r="L18" s="32" t="n">
        <f aca="false">'Aturan &amp; Tarif'!$B$6</f>
        <v>350</v>
      </c>
      <c r="M18" s="35" t="n">
        <f aca="false">I18+J18+K18+L18</f>
        <v>8522.04</v>
      </c>
      <c r="N18" s="37" t="s">
        <v>1800</v>
      </c>
    </row>
    <row r="19" customFormat="false" ht="25.5" hidden="false" customHeight="true" outlineLevel="0" collapsed="false">
      <c r="A19" s="29"/>
      <c r="B19" s="30" t="s">
        <v>1807</v>
      </c>
      <c r="C19" s="31" t="s">
        <v>107</v>
      </c>
      <c r="D19" s="31" t="s">
        <v>108</v>
      </c>
      <c r="E19" s="32" t="n">
        <v>3200</v>
      </c>
      <c r="F19" s="32" t="n">
        <v>1500</v>
      </c>
      <c r="G19" s="32" t="n">
        <v>250</v>
      </c>
      <c r="H19" s="33" t="n">
        <v>1</v>
      </c>
      <c r="I19" s="34" t="n">
        <f aca="false">E19*H19+N(F19)+N(G19)</f>
        <v>4950</v>
      </c>
      <c r="J19" s="32" t="n">
        <f aca="false">ROUND(IFERROR(ROUND(IF(OR(ISNUMBER(SEARCH("week",C19)),ISNUMBER(SEARCH("minggu",C19))),IFERROR(_xlfn.NUMBERVALUE(SUBSTITUTE(LEFT(TRIM(C19),FIND(" ",TRIM(C19)&amp;" ")-1),",","."),"."),LEFT(SUBSTITUTE(LEFT(TRIM(C19),FIND(" ",TRIM(C19)&amp;" ")-1),",","."),FIND("/",SUBSTITUTE(LEFT(TRIM(C19),FIND(" ",TRIM(C19)&amp;" ")-1),",","."))-1)/MID(SUBSTITUTE(LEFT(TRIM(C19),FIND(" ",TRIM(C19)&amp;" ")-1),",","."),FIND("/",SUBSTITUTE(LEFT(TRIM(C19),FIND(" ",TRIM(C19)&amp;" ")-1),",","."))+1,9))*12/52,IF(ISNUMBER(SEARCH("month",C19)),IFERROR(_xlfn.NUMBERVALUE(SUBSTITUTE(LEFT(TRIM(C19),FIND(" ",TRIM(C19)&amp;" ")-1),",","."),"."),LEFT(SUBSTITUTE(LEFT(TRIM(C19),FIND(" ",TRIM(C19)&amp;" ")-1),",","."),FIND("/",SUBSTITUTE(LEFT(TRIM(C19),FIND(" ",TRIM(C19)&amp;" ")-1),",","."))-1)/MID(SUBSTITUTE(LEFT(TRIM(C19),FIND(" ",TRIM(C19)&amp;" ")-1),",","."),FIND("/",SUBSTITUTE(LEFT(TRIM(C19),FIND(" ",TRIM(C19)&amp;" ")-1),",","."))+1,9)),IF(ISNUMBER(SEARCH("yea",C19)),IFERROR(_xlfn.NUMBERVALUE(SUBSTITUTE(LEFT(TRIM(C19),FIND(" ",TRIM(C19)&amp;" ")-1),",","."),"."),LEFT(SUBSTITUTE(LEFT(TRIM(C19),FIND(" ",TRIM(C19)&amp;" ")-1),",","."),FIND("/",SUBSTITUTE(LEFT(TRIM(C19),FIND(" ",TRIM(C19)&amp;" ")-1),",","."))-1)/MID(SUBSTITUTE(LEFT(TRIM(C19),FIND(" ",TRIM(C19)&amp;" ")-1),",","."),FIND("/",SUBSTITUTE(LEFT(TRIM(C19),FIND(" ",TRIM(C19)&amp;" ")-1),",","."))+1,9))*12,NA()))),0),24)*'Aturan &amp; Tarif'!$B$4,2)</f>
        <v>1362.72</v>
      </c>
      <c r="K19" s="32" t="n">
        <f aca="false">'Aturan &amp; Tarif'!$B$5</f>
        <v>2050</v>
      </c>
      <c r="L19" s="32" t="n">
        <f aca="false">'Aturan &amp; Tarif'!$B$6</f>
        <v>350</v>
      </c>
      <c r="M19" s="35" t="n">
        <f aca="false">I19+J19+K19+L19</f>
        <v>8712.72</v>
      </c>
      <c r="N19" s="36" t="s">
        <v>1804</v>
      </c>
    </row>
    <row r="20" customFormat="false" ht="25.5" hidden="false" customHeight="true" outlineLevel="0" collapsed="false">
      <c r="A20" s="29"/>
      <c r="B20" s="30" t="s">
        <v>1808</v>
      </c>
      <c r="C20" s="31" t="s">
        <v>138</v>
      </c>
      <c r="D20" s="31" t="s">
        <v>108</v>
      </c>
      <c r="E20" s="32" t="n">
        <v>3200</v>
      </c>
      <c r="F20" s="32" t="n">
        <v>1600</v>
      </c>
      <c r="G20" s="32" t="n">
        <v>250</v>
      </c>
      <c r="H20" s="33" t="n">
        <v>1</v>
      </c>
      <c r="I20" s="34" t="n">
        <f aca="false">E20*H20+N(F20)+N(G20)</f>
        <v>5050</v>
      </c>
      <c r="J20" s="32" t="n">
        <f aca="false">ROUND(IFERROR(ROUND(IF(OR(ISNUMBER(SEARCH("week",C20)),ISNUMBER(SEARCH("minggu",C20))),IFERROR(_xlfn.NUMBERVALUE(SUBSTITUTE(LEFT(TRIM(C20),FIND(" ",TRIM(C20)&amp;" ")-1),",","."),"."),LEFT(SUBSTITUTE(LEFT(TRIM(C20),FIND(" ",TRIM(C20)&amp;" ")-1),",","."),FIND("/",SUBSTITUTE(LEFT(TRIM(C20),FIND(" ",TRIM(C20)&amp;" ")-1),",","."))-1)/MID(SUBSTITUTE(LEFT(TRIM(C20),FIND(" ",TRIM(C20)&amp;" ")-1),",","."),FIND("/",SUBSTITUTE(LEFT(TRIM(C20),FIND(" ",TRIM(C20)&amp;" ")-1),",","."))+1,9))*12/52,IF(ISNUMBER(SEARCH("month",C20)),IFERROR(_xlfn.NUMBERVALUE(SUBSTITUTE(LEFT(TRIM(C20),FIND(" ",TRIM(C20)&amp;" ")-1),",","."),"."),LEFT(SUBSTITUTE(LEFT(TRIM(C20),FIND(" ",TRIM(C20)&amp;" ")-1),",","."),FIND("/",SUBSTITUTE(LEFT(TRIM(C20),FIND(" ",TRIM(C20)&amp;" ")-1),",","."))-1)/MID(SUBSTITUTE(LEFT(TRIM(C20),FIND(" ",TRIM(C20)&amp;" ")-1),",","."),FIND("/",SUBSTITUTE(LEFT(TRIM(C20),FIND(" ",TRIM(C20)&amp;" ")-1),",","."))+1,9)),IF(ISNUMBER(SEARCH("yea",C20)),IFERROR(_xlfn.NUMBERVALUE(SUBSTITUTE(LEFT(TRIM(C20),FIND(" ",TRIM(C20)&amp;" ")-1),",","."),"."),LEFT(SUBSTITUTE(LEFT(TRIM(C20),FIND(" ",TRIM(C20)&amp;" ")-1),",","."),FIND("/",SUBSTITUTE(LEFT(TRIM(C20),FIND(" ",TRIM(C20)&amp;" ")-1),",","."))-1)/MID(SUBSTITUTE(LEFT(TRIM(C20),FIND(" ",TRIM(C20)&amp;" ")-1),",","."),FIND("/",SUBSTITUTE(LEFT(TRIM(C20),FIND(" ",TRIM(C20)&amp;" ")-1),",","."))+1,9))*12,NA()))),0),30)*'Aturan &amp; Tarif'!$B$4,2)</f>
        <v>1703.4</v>
      </c>
      <c r="K20" s="32" t="n">
        <f aca="false">'Aturan &amp; Tarif'!$B$5</f>
        <v>2050</v>
      </c>
      <c r="L20" s="32" t="n">
        <f aca="false">'Aturan &amp; Tarif'!$B$6</f>
        <v>350</v>
      </c>
      <c r="M20" s="35" t="n">
        <f aca="false">I20+J20+K20+L20</f>
        <v>9153.4</v>
      </c>
      <c r="N20" s="36" t="s">
        <v>1804</v>
      </c>
    </row>
    <row r="21" customFormat="false" ht="25.5" hidden="false" customHeight="true" outlineLevel="0" collapsed="false">
      <c r="A21" s="29"/>
      <c r="B21" s="30" t="s">
        <v>1809</v>
      </c>
      <c r="C21" s="31" t="s">
        <v>107</v>
      </c>
      <c r="D21" s="31" t="s">
        <v>108</v>
      </c>
      <c r="E21" s="32" t="n">
        <v>3125</v>
      </c>
      <c r="F21" s="32" t="n">
        <v>1800</v>
      </c>
      <c r="G21" s="32" t="n">
        <v>250</v>
      </c>
      <c r="H21" s="33" t="n">
        <v>1</v>
      </c>
      <c r="I21" s="34" t="n">
        <f aca="false">E21*H21+N(F21)+N(G21)</f>
        <v>5175</v>
      </c>
      <c r="J21" s="32" t="n">
        <f aca="false">ROUND(IFERROR(ROUND(IF(OR(ISNUMBER(SEARCH("week",C21)),ISNUMBER(SEARCH("minggu",C21))),IFERROR(_xlfn.NUMBERVALUE(SUBSTITUTE(LEFT(TRIM(C21),FIND(" ",TRIM(C21)&amp;" ")-1),",","."),"."),LEFT(SUBSTITUTE(LEFT(TRIM(C21),FIND(" ",TRIM(C21)&amp;" ")-1),",","."),FIND("/",SUBSTITUTE(LEFT(TRIM(C21),FIND(" ",TRIM(C21)&amp;" ")-1),",","."))-1)/MID(SUBSTITUTE(LEFT(TRIM(C21),FIND(" ",TRIM(C21)&amp;" ")-1),",","."),FIND("/",SUBSTITUTE(LEFT(TRIM(C21),FIND(" ",TRIM(C21)&amp;" ")-1),",","."))+1,9))*12/52,IF(ISNUMBER(SEARCH("month",C21)),IFERROR(_xlfn.NUMBERVALUE(SUBSTITUTE(LEFT(TRIM(C21),FIND(" ",TRIM(C21)&amp;" ")-1),",","."),"."),LEFT(SUBSTITUTE(LEFT(TRIM(C21),FIND(" ",TRIM(C21)&amp;" ")-1),",","."),FIND("/",SUBSTITUTE(LEFT(TRIM(C21),FIND(" ",TRIM(C21)&amp;" ")-1),",","."))-1)/MID(SUBSTITUTE(LEFT(TRIM(C21),FIND(" ",TRIM(C21)&amp;" ")-1),",","."),FIND("/",SUBSTITUTE(LEFT(TRIM(C21),FIND(" ",TRIM(C21)&amp;" ")-1),",","."))+1,9)),IF(ISNUMBER(SEARCH("yea",C21)),IFERROR(_xlfn.NUMBERVALUE(SUBSTITUTE(LEFT(TRIM(C21),FIND(" ",TRIM(C21)&amp;" ")-1),",","."),"."),LEFT(SUBSTITUTE(LEFT(TRIM(C21),FIND(" ",TRIM(C21)&amp;" ")-1),",","."),FIND("/",SUBSTITUTE(LEFT(TRIM(C21),FIND(" ",TRIM(C21)&amp;" ")-1),",","."))-1)/MID(SUBSTITUTE(LEFT(TRIM(C21),FIND(" ",TRIM(C21)&amp;" ")-1),",","."),FIND("/",SUBSTITUTE(LEFT(TRIM(C21),FIND(" ",TRIM(C21)&amp;" ")-1),",","."))+1,9))*12,NA()))),0),24)*'Aturan &amp; Tarif'!$B$4,2)</f>
        <v>1362.72</v>
      </c>
      <c r="K21" s="32" t="n">
        <f aca="false">'Aturan &amp; Tarif'!$B$5</f>
        <v>2050</v>
      </c>
      <c r="L21" s="32" t="n">
        <f aca="false">'Aturan &amp; Tarif'!$B$6</f>
        <v>350</v>
      </c>
      <c r="M21" s="35" t="n">
        <f aca="false">I21+J21+K21+L21</f>
        <v>8937.72</v>
      </c>
      <c r="N21" s="37" t="s">
        <v>1800</v>
      </c>
    </row>
    <row r="22" customFormat="false" ht="14.25" hidden="false" customHeight="true" outlineLevel="0" collapsed="false">
      <c r="A22" s="29"/>
      <c r="B22" s="30" t="s">
        <v>1810</v>
      </c>
      <c r="C22" s="31" t="s">
        <v>138</v>
      </c>
      <c r="D22" s="31" t="s">
        <v>108</v>
      </c>
      <c r="E22" s="32" t="n">
        <v>3125</v>
      </c>
      <c r="F22" s="32" t="n">
        <v>1900</v>
      </c>
      <c r="G22" s="32" t="n">
        <v>250</v>
      </c>
      <c r="H22" s="33" t="n">
        <v>1</v>
      </c>
      <c r="I22" s="34" t="n">
        <f aca="false">E22*H22+N(F22)+N(G22)</f>
        <v>5275</v>
      </c>
      <c r="J22" s="32" t="n">
        <f aca="false">ROUND(IFERROR(ROUND(IF(OR(ISNUMBER(SEARCH("week",C22)),ISNUMBER(SEARCH("minggu",C22))),IFERROR(_xlfn.NUMBERVALUE(SUBSTITUTE(LEFT(TRIM(C22),FIND(" ",TRIM(C22)&amp;" ")-1),",","."),"."),LEFT(SUBSTITUTE(LEFT(TRIM(C22),FIND(" ",TRIM(C22)&amp;" ")-1),",","."),FIND("/",SUBSTITUTE(LEFT(TRIM(C22),FIND(" ",TRIM(C22)&amp;" ")-1),",","."))-1)/MID(SUBSTITUTE(LEFT(TRIM(C22),FIND(" ",TRIM(C22)&amp;" ")-1),",","."),FIND("/",SUBSTITUTE(LEFT(TRIM(C22),FIND(" ",TRIM(C22)&amp;" ")-1),",","."))+1,9))*12/52,IF(ISNUMBER(SEARCH("month",C22)),IFERROR(_xlfn.NUMBERVALUE(SUBSTITUTE(LEFT(TRIM(C22),FIND(" ",TRIM(C22)&amp;" ")-1),",","."),"."),LEFT(SUBSTITUTE(LEFT(TRIM(C22),FIND(" ",TRIM(C22)&amp;" ")-1),",","."),FIND("/",SUBSTITUTE(LEFT(TRIM(C22),FIND(" ",TRIM(C22)&amp;" ")-1),",","."))-1)/MID(SUBSTITUTE(LEFT(TRIM(C22),FIND(" ",TRIM(C22)&amp;" ")-1),",","."),FIND("/",SUBSTITUTE(LEFT(TRIM(C22),FIND(" ",TRIM(C22)&amp;" ")-1),",","."))+1,9)),IF(ISNUMBER(SEARCH("yea",C22)),IFERROR(_xlfn.NUMBERVALUE(SUBSTITUTE(LEFT(TRIM(C22),FIND(" ",TRIM(C22)&amp;" ")-1),",","."),"."),LEFT(SUBSTITUTE(LEFT(TRIM(C22),FIND(" ",TRIM(C22)&amp;" ")-1),",","."),FIND("/",SUBSTITUTE(LEFT(TRIM(C22),FIND(" ",TRIM(C22)&amp;" ")-1),",","."))-1)/MID(SUBSTITUTE(LEFT(TRIM(C22),FIND(" ",TRIM(C22)&amp;" ")-1),",","."),FIND("/",SUBSTITUTE(LEFT(TRIM(C22),FIND(" ",TRIM(C22)&amp;" ")-1),",","."))+1,9))*12,NA()))),0),30)*'Aturan &amp; Tarif'!$B$4,2)</f>
        <v>1703.4</v>
      </c>
      <c r="K22" s="32" t="n">
        <f aca="false">'Aturan &amp; Tarif'!$B$5</f>
        <v>2050</v>
      </c>
      <c r="L22" s="32" t="n">
        <f aca="false">'Aturan &amp; Tarif'!$B$6</f>
        <v>350</v>
      </c>
      <c r="M22" s="35" t="n">
        <f aca="false">I22+J22+K22+L22</f>
        <v>9378.4</v>
      </c>
      <c r="N22" s="36" t="s">
        <v>1804</v>
      </c>
    </row>
    <row r="23" customFormat="false" ht="14.25" hidden="false" customHeight="true" outlineLevel="0" collapsed="false">
      <c r="A23" s="29"/>
      <c r="B23" s="30" t="s">
        <v>1811</v>
      </c>
      <c r="C23" s="31" t="s">
        <v>127</v>
      </c>
      <c r="D23" s="31" t="s">
        <v>108</v>
      </c>
      <c r="E23" s="32" t="n">
        <v>3125</v>
      </c>
      <c r="F23" s="32" t="n">
        <v>2000</v>
      </c>
      <c r="G23" s="32" t="n">
        <v>250</v>
      </c>
      <c r="H23" s="33" t="n">
        <v>1</v>
      </c>
      <c r="I23" s="34" t="n">
        <f aca="false">E23*H23+N(F23)+N(G23)</f>
        <v>5375</v>
      </c>
      <c r="J23" s="32" t="n">
        <f aca="false">ROUND(IFERROR(ROUND(IF(OR(ISNUMBER(SEARCH("week",C23)),ISNUMBER(SEARCH("minggu",C23))),IFERROR(_xlfn.NUMBERVALUE(SUBSTITUTE(LEFT(TRIM(C23),FIND(" ",TRIM(C23)&amp;" ")-1),",","."),"."),LEFT(SUBSTITUTE(LEFT(TRIM(C23),FIND(" ",TRIM(C23)&amp;" ")-1),",","."),FIND("/",SUBSTITUTE(LEFT(TRIM(C23),FIND(" ",TRIM(C23)&amp;" ")-1),",","."))-1)/MID(SUBSTITUTE(LEFT(TRIM(C23),FIND(" ",TRIM(C23)&amp;" ")-1),",","."),FIND("/",SUBSTITUTE(LEFT(TRIM(C23),FIND(" ",TRIM(C23)&amp;" ")-1),",","."))+1,9))*12/52,IF(ISNUMBER(SEARCH("month",C23)),IFERROR(_xlfn.NUMBERVALUE(SUBSTITUTE(LEFT(TRIM(C23),FIND(" ",TRIM(C23)&amp;" ")-1),",","."),"."),LEFT(SUBSTITUTE(LEFT(TRIM(C23),FIND(" ",TRIM(C23)&amp;" ")-1),",","."),FIND("/",SUBSTITUTE(LEFT(TRIM(C23),FIND(" ",TRIM(C23)&amp;" ")-1),",","."))-1)/MID(SUBSTITUTE(LEFT(TRIM(C23),FIND(" ",TRIM(C23)&amp;" ")-1),",","."),FIND("/",SUBSTITUTE(LEFT(TRIM(C23),FIND(" ",TRIM(C23)&amp;" ")-1),",","."))+1,9)),IF(ISNUMBER(SEARCH("yea",C23)),IFERROR(_xlfn.NUMBERVALUE(SUBSTITUTE(LEFT(TRIM(C23),FIND(" ",TRIM(C23)&amp;" ")-1),",","."),"."),LEFT(SUBSTITUTE(LEFT(TRIM(C23),FIND(" ",TRIM(C23)&amp;" ")-1),",","."),FIND("/",SUBSTITUTE(LEFT(TRIM(C23),FIND(" ",TRIM(C23)&amp;" ")-1),",","."))-1)/MID(SUBSTITUTE(LEFT(TRIM(C23),FIND(" ",TRIM(C23)&amp;" ")-1),",","."),FIND("/",SUBSTITUTE(LEFT(TRIM(C23),FIND(" ",TRIM(C23)&amp;" ")-1),",","."))+1,9))*12,NA()))),0),36)*'Aturan &amp; Tarif'!$B$4,2)</f>
        <v>2044.08</v>
      </c>
      <c r="K23" s="32" t="n">
        <f aca="false">'Aturan &amp; Tarif'!$B$5</f>
        <v>2050</v>
      </c>
      <c r="L23" s="32" t="n">
        <f aca="false">'Aturan &amp; Tarif'!$B$6</f>
        <v>350</v>
      </c>
      <c r="M23" s="35" t="n">
        <f aca="false">I23+J23+K23+L23</f>
        <v>9819.08</v>
      </c>
      <c r="N23" s="36" t="s">
        <v>1804</v>
      </c>
    </row>
    <row r="24" customFormat="false" ht="37.5" hidden="false" customHeight="true" outlineLevel="0" collapsed="false">
      <c r="A24" s="29"/>
      <c r="B24" s="30" t="s">
        <v>1812</v>
      </c>
      <c r="C24" s="31" t="s">
        <v>113</v>
      </c>
      <c r="D24" s="31" t="s">
        <v>108</v>
      </c>
      <c r="E24" s="32" t="n">
        <v>1850</v>
      </c>
      <c r="F24" s="32" t="n">
        <v>300</v>
      </c>
      <c r="G24" s="32" t="n">
        <v>500</v>
      </c>
      <c r="H24" s="33" t="n">
        <v>1</v>
      </c>
      <c r="I24" s="34" t="n">
        <f aca="false">E24*H24+N(F24)+N(G24)</f>
        <v>2650</v>
      </c>
      <c r="J24" s="32" t="n">
        <f aca="false">ROUND(IFERROR(ROUND(IF(OR(ISNUMBER(SEARCH("week",C24)),ISNUMBER(SEARCH("minggu",C24))),IFERROR(_xlfn.NUMBERVALUE(SUBSTITUTE(LEFT(TRIM(C24),FIND(" ",TRIM(C24)&amp;" ")-1),",","."),"."),LEFT(SUBSTITUTE(LEFT(TRIM(C24),FIND(" ",TRIM(C24)&amp;" ")-1),",","."),FIND("/",SUBSTITUTE(LEFT(TRIM(C24),FIND(" ",TRIM(C24)&amp;" ")-1),",","."))-1)/MID(SUBSTITUTE(LEFT(TRIM(C24),FIND(" ",TRIM(C24)&amp;" ")-1),",","."),FIND("/",SUBSTITUTE(LEFT(TRIM(C24),FIND(" ",TRIM(C24)&amp;" ")-1),",","."))+1,9))*12/52,IF(ISNUMBER(SEARCH("month",C24)),IFERROR(_xlfn.NUMBERVALUE(SUBSTITUTE(LEFT(TRIM(C24),FIND(" ",TRIM(C24)&amp;" ")-1),",","."),"."),LEFT(SUBSTITUTE(LEFT(TRIM(C24),FIND(" ",TRIM(C24)&amp;" ")-1),",","."),FIND("/",SUBSTITUTE(LEFT(TRIM(C24),FIND(" ",TRIM(C24)&amp;" ")-1),",","."))-1)/MID(SUBSTITUTE(LEFT(TRIM(C24),FIND(" ",TRIM(C24)&amp;" ")-1),",","."),FIND("/",SUBSTITUTE(LEFT(TRIM(C24),FIND(" ",TRIM(C24)&amp;" ")-1),",","."))+1,9)),IF(ISNUMBER(SEARCH("yea",C24)),IFERROR(_xlfn.NUMBERVALUE(SUBSTITUTE(LEFT(TRIM(C24),FIND(" ",TRIM(C24)&amp;" ")-1),",","."),"."),LEFT(SUBSTITUTE(LEFT(TRIM(C24),FIND(" ",TRIM(C24)&amp;" ")-1),",","."),FIND("/",SUBSTITUTE(LEFT(TRIM(C24),FIND(" ",TRIM(C24)&amp;" ")-1),",","."))-1)/MID(SUBSTITUTE(LEFT(TRIM(C24),FIND(" ",TRIM(C24)&amp;" ")-1),",","."),FIND("/",SUBSTITUTE(LEFT(TRIM(C24),FIND(" ",TRIM(C24)&amp;" ")-1),",","."))+1,9))*12,NA()))),0),18)*'Aturan &amp; Tarif'!$B$4,2)</f>
        <v>1022.04</v>
      </c>
      <c r="K24" s="32" t="n">
        <f aca="false">'Aturan &amp; Tarif'!$B$5</f>
        <v>2050</v>
      </c>
      <c r="L24" s="32" t="n">
        <f aca="false">'Aturan &amp; Tarif'!$B$6</f>
        <v>350</v>
      </c>
      <c r="M24" s="35" t="n">
        <f aca="false">I24+J24+K24+L24</f>
        <v>6072.04</v>
      </c>
      <c r="N24" s="37" t="s">
        <v>1800</v>
      </c>
    </row>
    <row r="25" customFormat="false" ht="25.5" hidden="false" customHeight="true" outlineLevel="0" collapsed="false">
      <c r="A25" s="29"/>
      <c r="B25" s="30" t="s">
        <v>1813</v>
      </c>
      <c r="C25" s="31" t="s">
        <v>107</v>
      </c>
      <c r="D25" s="31" t="s">
        <v>108</v>
      </c>
      <c r="E25" s="32" t="n">
        <v>1850</v>
      </c>
      <c r="F25" s="32" t="n">
        <v>400</v>
      </c>
      <c r="G25" s="32" t="n">
        <v>250</v>
      </c>
      <c r="H25" s="33" t="n">
        <v>1</v>
      </c>
      <c r="I25" s="34" t="n">
        <f aca="false">E25*H25+N(F25)+N(G25)</f>
        <v>2500</v>
      </c>
      <c r="J25" s="32" t="n">
        <f aca="false">ROUND(IFERROR(ROUND(IF(OR(ISNUMBER(SEARCH("week",C25)),ISNUMBER(SEARCH("minggu",C25))),IFERROR(_xlfn.NUMBERVALUE(SUBSTITUTE(LEFT(TRIM(C25),FIND(" ",TRIM(C25)&amp;" ")-1),",","."),"."),LEFT(SUBSTITUTE(LEFT(TRIM(C25),FIND(" ",TRIM(C25)&amp;" ")-1),",","."),FIND("/",SUBSTITUTE(LEFT(TRIM(C25),FIND(" ",TRIM(C25)&amp;" ")-1),",","."))-1)/MID(SUBSTITUTE(LEFT(TRIM(C25),FIND(" ",TRIM(C25)&amp;" ")-1),",","."),FIND("/",SUBSTITUTE(LEFT(TRIM(C25),FIND(" ",TRIM(C25)&amp;" ")-1),",","."))+1,9))*12/52,IF(ISNUMBER(SEARCH("month",C25)),IFERROR(_xlfn.NUMBERVALUE(SUBSTITUTE(LEFT(TRIM(C25),FIND(" ",TRIM(C25)&amp;" ")-1),",","."),"."),LEFT(SUBSTITUTE(LEFT(TRIM(C25),FIND(" ",TRIM(C25)&amp;" ")-1),",","."),FIND("/",SUBSTITUTE(LEFT(TRIM(C25),FIND(" ",TRIM(C25)&amp;" ")-1),",","."))-1)/MID(SUBSTITUTE(LEFT(TRIM(C25),FIND(" ",TRIM(C25)&amp;" ")-1),",","."),FIND("/",SUBSTITUTE(LEFT(TRIM(C25),FIND(" ",TRIM(C25)&amp;" ")-1),",","."))+1,9)),IF(ISNUMBER(SEARCH("yea",C25)),IFERROR(_xlfn.NUMBERVALUE(SUBSTITUTE(LEFT(TRIM(C25),FIND(" ",TRIM(C25)&amp;" ")-1),",","."),"."),LEFT(SUBSTITUTE(LEFT(TRIM(C25),FIND(" ",TRIM(C25)&amp;" ")-1),",","."),FIND("/",SUBSTITUTE(LEFT(TRIM(C25),FIND(" ",TRIM(C25)&amp;" ")-1),",","."))-1)/MID(SUBSTITUTE(LEFT(TRIM(C25),FIND(" ",TRIM(C25)&amp;" ")-1),",","."),FIND("/",SUBSTITUTE(LEFT(TRIM(C25),FIND(" ",TRIM(C25)&amp;" ")-1),",","."))+1,9))*12,NA()))),0),24)*'Aturan &amp; Tarif'!$B$4,2)</f>
        <v>1362.72</v>
      </c>
      <c r="K25" s="32" t="n">
        <f aca="false">'Aturan &amp; Tarif'!$B$5</f>
        <v>2050</v>
      </c>
      <c r="L25" s="32" t="n">
        <f aca="false">'Aturan &amp; Tarif'!$B$6</f>
        <v>350</v>
      </c>
      <c r="M25" s="35" t="n">
        <f aca="false">I25+J25+K25+L25</f>
        <v>6262.72</v>
      </c>
      <c r="N25" s="37" t="s">
        <v>1800</v>
      </c>
    </row>
    <row r="26" customFormat="false" ht="37.5" hidden="false" customHeight="true" outlineLevel="0" collapsed="false">
      <c r="A26" s="29"/>
      <c r="B26" s="30" t="s">
        <v>1600</v>
      </c>
      <c r="C26" s="31" t="s">
        <v>107</v>
      </c>
      <c r="D26" s="31" t="s">
        <v>108</v>
      </c>
      <c r="E26" s="32" t="n">
        <v>1850</v>
      </c>
      <c r="F26" s="32" t="n">
        <v>400</v>
      </c>
      <c r="G26" s="32" t="n">
        <v>250</v>
      </c>
      <c r="H26" s="33" t="n">
        <v>1</v>
      </c>
      <c r="I26" s="34" t="n">
        <f aca="false">E26*H26+N(F26)+N(G26)</f>
        <v>2500</v>
      </c>
      <c r="J26" s="32" t="n">
        <f aca="false">ROUND(IFERROR(ROUND(IF(OR(ISNUMBER(SEARCH("week",C26)),ISNUMBER(SEARCH("minggu",C26))),IFERROR(_xlfn.NUMBERVALUE(SUBSTITUTE(LEFT(TRIM(C26),FIND(" ",TRIM(C26)&amp;" ")-1),",","."),"."),LEFT(SUBSTITUTE(LEFT(TRIM(C26),FIND(" ",TRIM(C26)&amp;" ")-1),",","."),FIND("/",SUBSTITUTE(LEFT(TRIM(C26),FIND(" ",TRIM(C26)&amp;" ")-1),",","."))-1)/MID(SUBSTITUTE(LEFT(TRIM(C26),FIND(" ",TRIM(C26)&amp;" ")-1),",","."),FIND("/",SUBSTITUTE(LEFT(TRIM(C26),FIND(" ",TRIM(C26)&amp;" ")-1),",","."))+1,9))*12/52,IF(ISNUMBER(SEARCH("month",C26)),IFERROR(_xlfn.NUMBERVALUE(SUBSTITUTE(LEFT(TRIM(C26),FIND(" ",TRIM(C26)&amp;" ")-1),",","."),"."),LEFT(SUBSTITUTE(LEFT(TRIM(C26),FIND(" ",TRIM(C26)&amp;" ")-1),",","."),FIND("/",SUBSTITUTE(LEFT(TRIM(C26),FIND(" ",TRIM(C26)&amp;" ")-1),",","."))-1)/MID(SUBSTITUTE(LEFT(TRIM(C26),FIND(" ",TRIM(C26)&amp;" ")-1),",","."),FIND("/",SUBSTITUTE(LEFT(TRIM(C26),FIND(" ",TRIM(C26)&amp;" ")-1),",","."))+1,9)),IF(ISNUMBER(SEARCH("yea",C26)),IFERROR(_xlfn.NUMBERVALUE(SUBSTITUTE(LEFT(TRIM(C26),FIND(" ",TRIM(C26)&amp;" ")-1),",","."),"."),LEFT(SUBSTITUTE(LEFT(TRIM(C26),FIND(" ",TRIM(C26)&amp;" ")-1),",","."),FIND("/",SUBSTITUTE(LEFT(TRIM(C26),FIND(" ",TRIM(C26)&amp;" ")-1),",","."))-1)/MID(SUBSTITUTE(LEFT(TRIM(C26),FIND(" ",TRIM(C26)&amp;" ")-1),",","."),FIND("/",SUBSTITUTE(LEFT(TRIM(C26),FIND(" ",TRIM(C26)&amp;" ")-1),",","."))+1,9))*12,NA()))),0),24)*'Aturan &amp; Tarif'!$B$4,2)</f>
        <v>1362.72</v>
      </c>
      <c r="K26" s="32" t="n">
        <f aca="false">'Aturan &amp; Tarif'!$B$5</f>
        <v>2050</v>
      </c>
      <c r="L26" s="32" t="n">
        <f aca="false">'Aturan &amp; Tarif'!$B$6</f>
        <v>350</v>
      </c>
      <c r="M26" s="35" t="n">
        <f aca="false">I26+J26+K26+L26</f>
        <v>6262.72</v>
      </c>
      <c r="N26" s="37" t="s">
        <v>1800</v>
      </c>
    </row>
    <row r="27" customFormat="false" ht="25.5" hidden="false" customHeight="true" outlineLevel="0" collapsed="false">
      <c r="A27" s="29"/>
      <c r="B27" s="30" t="s">
        <v>1596</v>
      </c>
      <c r="C27" s="31" t="s">
        <v>107</v>
      </c>
      <c r="D27" s="31" t="s">
        <v>108</v>
      </c>
      <c r="E27" s="32" t="n">
        <v>2000</v>
      </c>
      <c r="F27" s="32" t="n">
        <v>200</v>
      </c>
      <c r="G27" s="32" t="n">
        <v>250</v>
      </c>
      <c r="H27" s="33" t="n">
        <v>1</v>
      </c>
      <c r="I27" s="34" t="n">
        <f aca="false">E27*H27+N(F27)+N(G27)</f>
        <v>2450</v>
      </c>
      <c r="J27" s="32" t="n">
        <f aca="false">ROUND(IFERROR(ROUND(IF(OR(ISNUMBER(SEARCH("week",C27)),ISNUMBER(SEARCH("minggu",C27))),IFERROR(_xlfn.NUMBERVALUE(SUBSTITUTE(LEFT(TRIM(C27),FIND(" ",TRIM(C27)&amp;" ")-1),",","."),"."),LEFT(SUBSTITUTE(LEFT(TRIM(C27),FIND(" ",TRIM(C27)&amp;" ")-1),",","."),FIND("/",SUBSTITUTE(LEFT(TRIM(C27),FIND(" ",TRIM(C27)&amp;" ")-1),",","."))-1)/MID(SUBSTITUTE(LEFT(TRIM(C27),FIND(" ",TRIM(C27)&amp;" ")-1),",","."),FIND("/",SUBSTITUTE(LEFT(TRIM(C27),FIND(" ",TRIM(C27)&amp;" ")-1),",","."))+1,9))*12/52,IF(ISNUMBER(SEARCH("month",C27)),IFERROR(_xlfn.NUMBERVALUE(SUBSTITUTE(LEFT(TRIM(C27),FIND(" ",TRIM(C27)&amp;" ")-1),",","."),"."),LEFT(SUBSTITUTE(LEFT(TRIM(C27),FIND(" ",TRIM(C27)&amp;" ")-1),",","."),FIND("/",SUBSTITUTE(LEFT(TRIM(C27),FIND(" ",TRIM(C27)&amp;" ")-1),",","."))-1)/MID(SUBSTITUTE(LEFT(TRIM(C27),FIND(" ",TRIM(C27)&amp;" ")-1),",","."),FIND("/",SUBSTITUTE(LEFT(TRIM(C27),FIND(" ",TRIM(C27)&amp;" ")-1),",","."))+1,9)),IF(ISNUMBER(SEARCH("yea",C27)),IFERROR(_xlfn.NUMBERVALUE(SUBSTITUTE(LEFT(TRIM(C27),FIND(" ",TRIM(C27)&amp;" ")-1),",","."),"."),LEFT(SUBSTITUTE(LEFT(TRIM(C27),FIND(" ",TRIM(C27)&amp;" ")-1),",","."),FIND("/",SUBSTITUTE(LEFT(TRIM(C27),FIND(" ",TRIM(C27)&amp;" ")-1),",","."))-1)/MID(SUBSTITUTE(LEFT(TRIM(C27),FIND(" ",TRIM(C27)&amp;" ")-1),",","."),FIND("/",SUBSTITUTE(LEFT(TRIM(C27),FIND(" ",TRIM(C27)&amp;" ")-1),",","."))+1,9))*12,NA()))),0),24)*'Aturan &amp; Tarif'!$B$4,2)</f>
        <v>1362.72</v>
      </c>
      <c r="K27" s="32" t="n">
        <f aca="false">'Aturan &amp; Tarif'!$B$5</f>
        <v>2050</v>
      </c>
      <c r="L27" s="32" t="n">
        <f aca="false">'Aturan &amp; Tarif'!$B$6</f>
        <v>350</v>
      </c>
      <c r="M27" s="35" t="n">
        <f aca="false">I27+J27+K27+L27</f>
        <v>6212.72</v>
      </c>
      <c r="N27" s="37" t="s">
        <v>1800</v>
      </c>
    </row>
    <row r="28" customFormat="false" ht="25.5" hidden="false" customHeight="true" outlineLevel="0" collapsed="false">
      <c r="A28" s="29"/>
      <c r="B28" s="30" t="s">
        <v>1814</v>
      </c>
      <c r="C28" s="31" t="s">
        <v>136</v>
      </c>
      <c r="D28" s="31" t="s">
        <v>108</v>
      </c>
      <c r="E28" s="32" t="n">
        <v>2000</v>
      </c>
      <c r="F28" s="32" t="n">
        <v>200</v>
      </c>
      <c r="G28" s="32" t="n">
        <v>250</v>
      </c>
      <c r="H28" s="33" t="n">
        <v>1</v>
      </c>
      <c r="I28" s="34" t="n">
        <f aca="false">E28*H28+N(F28)+N(G28)</f>
        <v>2450</v>
      </c>
      <c r="J28" s="32" t="n">
        <f aca="false">ROUND(IFERROR(ROUND(IF(OR(ISNUMBER(SEARCH("week",C28)),ISNUMBER(SEARCH("minggu",C28))),IFERROR(_xlfn.NUMBERVALUE(SUBSTITUTE(LEFT(TRIM(C28),FIND(" ",TRIM(C28)&amp;" ")-1),",","."),"."),LEFT(SUBSTITUTE(LEFT(TRIM(C28),FIND(" ",TRIM(C28)&amp;" ")-1),",","."),FIND("/",SUBSTITUTE(LEFT(TRIM(C28),FIND(" ",TRIM(C28)&amp;" ")-1),",","."))-1)/MID(SUBSTITUTE(LEFT(TRIM(C28),FIND(" ",TRIM(C28)&amp;" ")-1),",","."),FIND("/",SUBSTITUTE(LEFT(TRIM(C28),FIND(" ",TRIM(C28)&amp;" ")-1),",","."))+1,9))*12/52,IF(ISNUMBER(SEARCH("month",C28)),IFERROR(_xlfn.NUMBERVALUE(SUBSTITUTE(LEFT(TRIM(C28),FIND(" ",TRIM(C28)&amp;" ")-1),",","."),"."),LEFT(SUBSTITUTE(LEFT(TRIM(C28),FIND(" ",TRIM(C28)&amp;" ")-1),",","."),FIND("/",SUBSTITUTE(LEFT(TRIM(C28),FIND(" ",TRIM(C28)&amp;" ")-1),",","."))-1)/MID(SUBSTITUTE(LEFT(TRIM(C28),FIND(" ",TRIM(C28)&amp;" ")-1),",","."),FIND("/",SUBSTITUTE(LEFT(TRIM(C28),FIND(" ",TRIM(C28)&amp;" ")-1),",","."))+1,9)),IF(ISNUMBER(SEARCH("yea",C28)),IFERROR(_xlfn.NUMBERVALUE(SUBSTITUTE(LEFT(TRIM(C28),FIND(" ",TRIM(C28)&amp;" ")-1),",","."),"."),LEFT(SUBSTITUTE(LEFT(TRIM(C28),FIND(" ",TRIM(C28)&amp;" ")-1),",","."),FIND("/",SUBSTITUTE(LEFT(TRIM(C28),FIND(" ",TRIM(C28)&amp;" ")-1),",","."))-1)/MID(SUBSTITUTE(LEFT(TRIM(C28),FIND(" ",TRIM(C28)&amp;" ")-1),",","."),FIND("/",SUBSTITUTE(LEFT(TRIM(C28),FIND(" ",TRIM(C28)&amp;" ")-1),",","."))+1,9))*12,NA()))),0),42)*'Aturan &amp; Tarif'!$B$4,2)</f>
        <v>2384.76</v>
      </c>
      <c r="K28" s="32" t="n">
        <f aca="false">'Aturan &amp; Tarif'!$B$5</f>
        <v>2050</v>
      </c>
      <c r="L28" s="32" t="n">
        <f aca="false">'Aturan &amp; Tarif'!$B$6</f>
        <v>350</v>
      </c>
      <c r="M28" s="35" t="n">
        <f aca="false">I28+J28+K28+L28</f>
        <v>7234.76</v>
      </c>
      <c r="N28" s="37" t="s">
        <v>1800</v>
      </c>
    </row>
    <row r="29" customFormat="false" ht="25.5" hidden="false" customHeight="true" outlineLevel="0" collapsed="false">
      <c r="A29" s="29"/>
      <c r="B29" s="30" t="s">
        <v>1815</v>
      </c>
      <c r="C29" s="31" t="s">
        <v>107</v>
      </c>
      <c r="D29" s="31" t="s">
        <v>108</v>
      </c>
      <c r="E29" s="32" t="n">
        <v>2000</v>
      </c>
      <c r="F29" s="32" t="n">
        <v>200</v>
      </c>
      <c r="G29" s="32" t="n">
        <v>250</v>
      </c>
      <c r="H29" s="33" t="n">
        <v>1</v>
      </c>
      <c r="I29" s="34" t="n">
        <f aca="false">E29*H29+N(F29)+N(G29)</f>
        <v>2450</v>
      </c>
      <c r="J29" s="32" t="n">
        <f aca="false">ROUND(IFERROR(ROUND(IF(OR(ISNUMBER(SEARCH("week",C29)),ISNUMBER(SEARCH("minggu",C29))),IFERROR(_xlfn.NUMBERVALUE(SUBSTITUTE(LEFT(TRIM(C29),FIND(" ",TRIM(C29)&amp;" ")-1),",","."),"."),LEFT(SUBSTITUTE(LEFT(TRIM(C29),FIND(" ",TRIM(C29)&amp;" ")-1),",","."),FIND("/",SUBSTITUTE(LEFT(TRIM(C29),FIND(" ",TRIM(C29)&amp;" ")-1),",","."))-1)/MID(SUBSTITUTE(LEFT(TRIM(C29),FIND(" ",TRIM(C29)&amp;" ")-1),",","."),FIND("/",SUBSTITUTE(LEFT(TRIM(C29),FIND(" ",TRIM(C29)&amp;" ")-1),",","."))+1,9))*12/52,IF(ISNUMBER(SEARCH("month",C29)),IFERROR(_xlfn.NUMBERVALUE(SUBSTITUTE(LEFT(TRIM(C29),FIND(" ",TRIM(C29)&amp;" ")-1),",","."),"."),LEFT(SUBSTITUTE(LEFT(TRIM(C29),FIND(" ",TRIM(C29)&amp;" ")-1),",","."),FIND("/",SUBSTITUTE(LEFT(TRIM(C29),FIND(" ",TRIM(C29)&amp;" ")-1),",","."))-1)/MID(SUBSTITUTE(LEFT(TRIM(C29),FIND(" ",TRIM(C29)&amp;" ")-1),",","."),FIND("/",SUBSTITUTE(LEFT(TRIM(C29),FIND(" ",TRIM(C29)&amp;" ")-1),",","."))+1,9)),IF(ISNUMBER(SEARCH("yea",C29)),IFERROR(_xlfn.NUMBERVALUE(SUBSTITUTE(LEFT(TRIM(C29),FIND(" ",TRIM(C29)&amp;" ")-1),",","."),"."),LEFT(SUBSTITUTE(LEFT(TRIM(C29),FIND(" ",TRIM(C29)&amp;" ")-1),",","."),FIND("/",SUBSTITUTE(LEFT(TRIM(C29),FIND(" ",TRIM(C29)&amp;" ")-1),",","."))-1)/MID(SUBSTITUTE(LEFT(TRIM(C29),FIND(" ",TRIM(C29)&amp;" ")-1),",","."),FIND("/",SUBSTITUTE(LEFT(TRIM(C29),FIND(" ",TRIM(C29)&amp;" ")-1),",","."))+1,9))*12,NA()))),0),24)*'Aturan &amp; Tarif'!$B$4,2)</f>
        <v>1362.72</v>
      </c>
      <c r="K29" s="32" t="n">
        <f aca="false">'Aturan &amp; Tarif'!$B$5</f>
        <v>2050</v>
      </c>
      <c r="L29" s="32" t="n">
        <f aca="false">'Aturan &amp; Tarif'!$B$6</f>
        <v>350</v>
      </c>
      <c r="M29" s="35" t="n">
        <f aca="false">I29+J29+K29+L29</f>
        <v>6212.72</v>
      </c>
      <c r="N29" s="37" t="s">
        <v>1800</v>
      </c>
    </row>
    <row r="30" customFormat="false" ht="25.5" hidden="false" customHeight="true" outlineLevel="0" collapsed="false">
      <c r="A30" s="29"/>
      <c r="B30" s="30" t="s">
        <v>1816</v>
      </c>
      <c r="C30" s="31" t="s">
        <v>136</v>
      </c>
      <c r="D30" s="31" t="s">
        <v>108</v>
      </c>
      <c r="E30" s="32" t="n">
        <v>2000</v>
      </c>
      <c r="F30" s="32" t="n">
        <v>200</v>
      </c>
      <c r="G30" s="32" t="n">
        <v>250</v>
      </c>
      <c r="H30" s="33" t="n">
        <v>1</v>
      </c>
      <c r="I30" s="34" t="n">
        <f aca="false">E30*H30+N(F30)+N(G30)</f>
        <v>2450</v>
      </c>
      <c r="J30" s="32" t="n">
        <f aca="false">ROUND(IFERROR(ROUND(IF(OR(ISNUMBER(SEARCH("week",C30)),ISNUMBER(SEARCH("minggu",C30))),IFERROR(_xlfn.NUMBERVALUE(SUBSTITUTE(LEFT(TRIM(C30),FIND(" ",TRIM(C30)&amp;" ")-1),",","."),"."),LEFT(SUBSTITUTE(LEFT(TRIM(C30),FIND(" ",TRIM(C30)&amp;" ")-1),",","."),FIND("/",SUBSTITUTE(LEFT(TRIM(C30),FIND(" ",TRIM(C30)&amp;" ")-1),",","."))-1)/MID(SUBSTITUTE(LEFT(TRIM(C30),FIND(" ",TRIM(C30)&amp;" ")-1),",","."),FIND("/",SUBSTITUTE(LEFT(TRIM(C30),FIND(" ",TRIM(C30)&amp;" ")-1),",","."))+1,9))*12/52,IF(ISNUMBER(SEARCH("month",C30)),IFERROR(_xlfn.NUMBERVALUE(SUBSTITUTE(LEFT(TRIM(C30),FIND(" ",TRIM(C30)&amp;" ")-1),",","."),"."),LEFT(SUBSTITUTE(LEFT(TRIM(C30),FIND(" ",TRIM(C30)&amp;" ")-1),",","."),FIND("/",SUBSTITUTE(LEFT(TRIM(C30),FIND(" ",TRIM(C30)&amp;" ")-1),",","."))-1)/MID(SUBSTITUTE(LEFT(TRIM(C30),FIND(" ",TRIM(C30)&amp;" ")-1),",","."),FIND("/",SUBSTITUTE(LEFT(TRIM(C30),FIND(" ",TRIM(C30)&amp;" ")-1),",","."))+1,9)),IF(ISNUMBER(SEARCH("yea",C30)),IFERROR(_xlfn.NUMBERVALUE(SUBSTITUTE(LEFT(TRIM(C30),FIND(" ",TRIM(C30)&amp;" ")-1),",","."),"."),LEFT(SUBSTITUTE(LEFT(TRIM(C30),FIND(" ",TRIM(C30)&amp;" ")-1),",","."),FIND("/",SUBSTITUTE(LEFT(TRIM(C30),FIND(" ",TRIM(C30)&amp;" ")-1),",","."))-1)/MID(SUBSTITUTE(LEFT(TRIM(C30),FIND(" ",TRIM(C30)&amp;" ")-1),",","."),FIND("/",SUBSTITUTE(LEFT(TRIM(C30),FIND(" ",TRIM(C30)&amp;" ")-1),",","."))+1,9))*12,NA()))),0),42)*'Aturan &amp; Tarif'!$B$4,2)</f>
        <v>2384.76</v>
      </c>
      <c r="K30" s="32" t="n">
        <f aca="false">'Aturan &amp; Tarif'!$B$5</f>
        <v>2050</v>
      </c>
      <c r="L30" s="32" t="n">
        <f aca="false">'Aturan &amp; Tarif'!$B$6</f>
        <v>350</v>
      </c>
      <c r="M30" s="35" t="n">
        <f aca="false">I30+J30+K30+L30</f>
        <v>7234.76</v>
      </c>
      <c r="N30" s="37" t="s">
        <v>1800</v>
      </c>
    </row>
    <row r="31" customFormat="false" ht="25.5" hidden="false" customHeight="true" outlineLevel="0" collapsed="false">
      <c r="A31" s="29"/>
      <c r="B31" s="30" t="s">
        <v>1817</v>
      </c>
      <c r="C31" s="31" t="s">
        <v>107</v>
      </c>
      <c r="D31" s="31" t="s">
        <v>108</v>
      </c>
      <c r="E31" s="32" t="n">
        <v>2000</v>
      </c>
      <c r="F31" s="32" t="n">
        <v>200</v>
      </c>
      <c r="G31" s="32" t="n">
        <v>250</v>
      </c>
      <c r="H31" s="33" t="n">
        <v>1</v>
      </c>
      <c r="I31" s="34" t="n">
        <f aca="false">E31*H31+N(F31)+N(G31)</f>
        <v>2450</v>
      </c>
      <c r="J31" s="32" t="n">
        <f aca="false">ROUND(IFERROR(ROUND(IF(OR(ISNUMBER(SEARCH("week",C31)),ISNUMBER(SEARCH("minggu",C31))),IFERROR(_xlfn.NUMBERVALUE(SUBSTITUTE(LEFT(TRIM(C31),FIND(" ",TRIM(C31)&amp;" ")-1),",","."),"."),LEFT(SUBSTITUTE(LEFT(TRIM(C31),FIND(" ",TRIM(C31)&amp;" ")-1),",","."),FIND("/",SUBSTITUTE(LEFT(TRIM(C31),FIND(" ",TRIM(C31)&amp;" ")-1),",","."))-1)/MID(SUBSTITUTE(LEFT(TRIM(C31),FIND(" ",TRIM(C31)&amp;" ")-1),",","."),FIND("/",SUBSTITUTE(LEFT(TRIM(C31),FIND(" ",TRIM(C31)&amp;" ")-1),",","."))+1,9))*12/52,IF(ISNUMBER(SEARCH("month",C31)),IFERROR(_xlfn.NUMBERVALUE(SUBSTITUTE(LEFT(TRIM(C31),FIND(" ",TRIM(C31)&amp;" ")-1),",","."),"."),LEFT(SUBSTITUTE(LEFT(TRIM(C31),FIND(" ",TRIM(C31)&amp;" ")-1),",","."),FIND("/",SUBSTITUTE(LEFT(TRIM(C31),FIND(" ",TRIM(C31)&amp;" ")-1),",","."))-1)/MID(SUBSTITUTE(LEFT(TRIM(C31),FIND(" ",TRIM(C31)&amp;" ")-1),",","."),FIND("/",SUBSTITUTE(LEFT(TRIM(C31),FIND(" ",TRIM(C31)&amp;" ")-1),",","."))+1,9)),IF(ISNUMBER(SEARCH("yea",C31)),IFERROR(_xlfn.NUMBERVALUE(SUBSTITUTE(LEFT(TRIM(C31),FIND(" ",TRIM(C31)&amp;" ")-1),",","."),"."),LEFT(SUBSTITUTE(LEFT(TRIM(C31),FIND(" ",TRIM(C31)&amp;" ")-1),",","."),FIND("/",SUBSTITUTE(LEFT(TRIM(C31),FIND(" ",TRIM(C31)&amp;" ")-1),",","."))-1)/MID(SUBSTITUTE(LEFT(TRIM(C31),FIND(" ",TRIM(C31)&amp;" ")-1),",","."),FIND("/",SUBSTITUTE(LEFT(TRIM(C31),FIND(" ",TRIM(C31)&amp;" ")-1),",","."))+1,9))*12,NA()))),0),24)*'Aturan &amp; Tarif'!$B$4,2)</f>
        <v>1362.72</v>
      </c>
      <c r="K31" s="32" t="n">
        <f aca="false">'Aturan &amp; Tarif'!$B$5</f>
        <v>2050</v>
      </c>
      <c r="L31" s="32" t="n">
        <f aca="false">'Aturan &amp; Tarif'!$B$6</f>
        <v>350</v>
      </c>
      <c r="M31" s="35" t="n">
        <f aca="false">I31+J31+K31+L31</f>
        <v>6212.72</v>
      </c>
      <c r="N31" s="37" t="s">
        <v>1800</v>
      </c>
    </row>
    <row r="32" customFormat="false" ht="48.75" hidden="false" customHeight="true" outlineLevel="0" collapsed="false">
      <c r="A32" s="29"/>
      <c r="B32" s="30" t="s">
        <v>1818</v>
      </c>
      <c r="C32" s="31" t="s">
        <v>136</v>
      </c>
      <c r="D32" s="31" t="s">
        <v>108</v>
      </c>
      <c r="E32" s="32" t="n">
        <v>2000</v>
      </c>
      <c r="F32" s="32" t="n">
        <v>200</v>
      </c>
      <c r="G32" s="32" t="n">
        <v>250</v>
      </c>
      <c r="H32" s="33" t="n">
        <v>1</v>
      </c>
      <c r="I32" s="34" t="n">
        <f aca="false">E32*H32+N(F32)+N(G32)</f>
        <v>2450</v>
      </c>
      <c r="J32" s="32" t="n">
        <f aca="false">ROUND(IFERROR(ROUND(IF(OR(ISNUMBER(SEARCH("week",C32)),ISNUMBER(SEARCH("minggu",C32))),IFERROR(_xlfn.NUMBERVALUE(SUBSTITUTE(LEFT(TRIM(C32),FIND(" ",TRIM(C32)&amp;" ")-1),",","."),"."),LEFT(SUBSTITUTE(LEFT(TRIM(C32),FIND(" ",TRIM(C32)&amp;" ")-1),",","."),FIND("/",SUBSTITUTE(LEFT(TRIM(C32),FIND(" ",TRIM(C32)&amp;" ")-1),",","."))-1)/MID(SUBSTITUTE(LEFT(TRIM(C32),FIND(" ",TRIM(C32)&amp;" ")-1),",","."),FIND("/",SUBSTITUTE(LEFT(TRIM(C32),FIND(" ",TRIM(C32)&amp;" ")-1),",","."))+1,9))*12/52,IF(ISNUMBER(SEARCH("month",C32)),IFERROR(_xlfn.NUMBERVALUE(SUBSTITUTE(LEFT(TRIM(C32),FIND(" ",TRIM(C32)&amp;" ")-1),",","."),"."),LEFT(SUBSTITUTE(LEFT(TRIM(C32),FIND(" ",TRIM(C32)&amp;" ")-1),",","."),FIND("/",SUBSTITUTE(LEFT(TRIM(C32),FIND(" ",TRIM(C32)&amp;" ")-1),",","."))-1)/MID(SUBSTITUTE(LEFT(TRIM(C32),FIND(" ",TRIM(C32)&amp;" ")-1),",","."),FIND("/",SUBSTITUTE(LEFT(TRIM(C32),FIND(" ",TRIM(C32)&amp;" ")-1),",","."))+1,9)),IF(ISNUMBER(SEARCH("yea",C32)),IFERROR(_xlfn.NUMBERVALUE(SUBSTITUTE(LEFT(TRIM(C32),FIND(" ",TRIM(C32)&amp;" ")-1),",","."),"."),LEFT(SUBSTITUTE(LEFT(TRIM(C32),FIND(" ",TRIM(C32)&amp;" ")-1),",","."),FIND("/",SUBSTITUTE(LEFT(TRIM(C32),FIND(" ",TRIM(C32)&amp;" ")-1),",","."))-1)/MID(SUBSTITUTE(LEFT(TRIM(C32),FIND(" ",TRIM(C32)&amp;" ")-1),",","."),FIND("/",SUBSTITUTE(LEFT(TRIM(C32),FIND(" ",TRIM(C32)&amp;" ")-1),",","."))+1,9))*12,NA()))),0),42)*'Aturan &amp; Tarif'!$B$4,2)</f>
        <v>2384.76</v>
      </c>
      <c r="K32" s="32" t="n">
        <f aca="false">'Aturan &amp; Tarif'!$B$5</f>
        <v>2050</v>
      </c>
      <c r="L32" s="32" t="n">
        <f aca="false">'Aturan &amp; Tarif'!$B$6</f>
        <v>350</v>
      </c>
      <c r="M32" s="35" t="n">
        <f aca="false">I32+J32+K32+L32</f>
        <v>7234.76</v>
      </c>
      <c r="N32" s="37" t="s">
        <v>1800</v>
      </c>
    </row>
    <row r="33" customFormat="false" ht="25.5" hidden="false" customHeight="true" outlineLevel="0" collapsed="false">
      <c r="A33" s="39" t="s">
        <v>1819</v>
      </c>
      <c r="B33" s="40" t="s">
        <v>1820</v>
      </c>
      <c r="C33" s="41" t="s">
        <v>136</v>
      </c>
      <c r="D33" s="41" t="s">
        <v>108</v>
      </c>
      <c r="E33" s="42" t="n">
        <v>4250</v>
      </c>
      <c r="F33" s="42" t="n">
        <v>3000</v>
      </c>
      <c r="G33" s="42" t="n">
        <v>500</v>
      </c>
      <c r="H33" s="43" t="n">
        <v>1</v>
      </c>
      <c r="I33" s="34" t="n">
        <f aca="false">E33*H33+N(F33)+N(G33)</f>
        <v>7750</v>
      </c>
      <c r="J33" s="42" t="n">
        <f aca="false">ROUND(IFERROR(ROUND(IF(OR(ISNUMBER(SEARCH("week",C33)),ISNUMBER(SEARCH("minggu",C33))),IFERROR(_xlfn.NUMBERVALUE(SUBSTITUTE(LEFT(TRIM(C33),FIND(" ",TRIM(C33)&amp;" ")-1),",","."),"."),LEFT(SUBSTITUTE(LEFT(TRIM(C33),FIND(" ",TRIM(C33)&amp;" ")-1),",","."),FIND("/",SUBSTITUTE(LEFT(TRIM(C33),FIND(" ",TRIM(C33)&amp;" ")-1),",","."))-1)/MID(SUBSTITUTE(LEFT(TRIM(C33),FIND(" ",TRIM(C33)&amp;" ")-1),",","."),FIND("/",SUBSTITUTE(LEFT(TRIM(C33),FIND(" ",TRIM(C33)&amp;" ")-1),",","."))+1,9))*12/52,IF(ISNUMBER(SEARCH("month",C33)),IFERROR(_xlfn.NUMBERVALUE(SUBSTITUTE(LEFT(TRIM(C33),FIND(" ",TRIM(C33)&amp;" ")-1),",","."),"."),LEFT(SUBSTITUTE(LEFT(TRIM(C33),FIND(" ",TRIM(C33)&amp;" ")-1),",","."),FIND("/",SUBSTITUTE(LEFT(TRIM(C33),FIND(" ",TRIM(C33)&amp;" ")-1),",","."))-1)/MID(SUBSTITUTE(LEFT(TRIM(C33),FIND(" ",TRIM(C33)&amp;" ")-1),",","."),FIND("/",SUBSTITUTE(LEFT(TRIM(C33),FIND(" ",TRIM(C33)&amp;" ")-1),",","."))+1,9)),IF(ISNUMBER(SEARCH("yea",C33)),IFERROR(_xlfn.NUMBERVALUE(SUBSTITUTE(LEFT(TRIM(C33),FIND(" ",TRIM(C33)&amp;" ")-1),",","."),"."),LEFT(SUBSTITUTE(LEFT(TRIM(C33),FIND(" ",TRIM(C33)&amp;" ")-1),",","."),FIND("/",SUBSTITUTE(LEFT(TRIM(C33),FIND(" ",TRIM(C33)&amp;" ")-1),",","."))-1)/MID(SUBSTITUTE(LEFT(TRIM(C33),FIND(" ",TRIM(C33)&amp;" ")-1),",","."),FIND("/",SUBSTITUTE(LEFT(TRIM(C33),FIND(" ",TRIM(C33)&amp;" ")-1),",","."))+1,9))*12,NA()))),0),42)*'Aturan &amp; Tarif'!$B$4,2)</f>
        <v>2384.76</v>
      </c>
      <c r="K33" s="42" t="n">
        <f aca="false">'Aturan &amp; Tarif'!$B$5</f>
        <v>2050</v>
      </c>
      <c r="L33" s="42" t="n">
        <f aca="false">'Aturan &amp; Tarif'!$B$6</f>
        <v>350</v>
      </c>
      <c r="M33" s="35" t="n">
        <f aca="false">I33+J33+K33+L33</f>
        <v>12534.76</v>
      </c>
      <c r="N33" s="44" t="s">
        <v>131</v>
      </c>
    </row>
    <row r="34" customFormat="false" ht="25.5" hidden="false" customHeight="true" outlineLevel="0" collapsed="false">
      <c r="A34" s="39"/>
      <c r="B34" s="40" t="s">
        <v>1821</v>
      </c>
      <c r="C34" s="41" t="s">
        <v>136</v>
      </c>
      <c r="D34" s="41" t="s">
        <v>108</v>
      </c>
      <c r="E34" s="42" t="n">
        <v>3500</v>
      </c>
      <c r="F34" s="42" t="n">
        <v>2500</v>
      </c>
      <c r="G34" s="42" t="n">
        <v>500</v>
      </c>
      <c r="H34" s="43" t="n">
        <v>1</v>
      </c>
      <c r="I34" s="34" t="n">
        <f aca="false">E34*H34+N(F34)+N(G34)</f>
        <v>6500</v>
      </c>
      <c r="J34" s="42" t="n">
        <f aca="false">ROUND(IFERROR(ROUND(IF(OR(ISNUMBER(SEARCH("week",C34)),ISNUMBER(SEARCH("minggu",C34))),IFERROR(_xlfn.NUMBERVALUE(SUBSTITUTE(LEFT(TRIM(C34),FIND(" ",TRIM(C34)&amp;" ")-1),",","."),"."),LEFT(SUBSTITUTE(LEFT(TRIM(C34),FIND(" ",TRIM(C34)&amp;" ")-1),",","."),FIND("/",SUBSTITUTE(LEFT(TRIM(C34),FIND(" ",TRIM(C34)&amp;" ")-1),",","."))-1)/MID(SUBSTITUTE(LEFT(TRIM(C34),FIND(" ",TRIM(C34)&amp;" ")-1),",","."),FIND("/",SUBSTITUTE(LEFT(TRIM(C34),FIND(" ",TRIM(C34)&amp;" ")-1),",","."))+1,9))*12/52,IF(ISNUMBER(SEARCH("month",C34)),IFERROR(_xlfn.NUMBERVALUE(SUBSTITUTE(LEFT(TRIM(C34),FIND(" ",TRIM(C34)&amp;" ")-1),",","."),"."),LEFT(SUBSTITUTE(LEFT(TRIM(C34),FIND(" ",TRIM(C34)&amp;" ")-1),",","."),FIND("/",SUBSTITUTE(LEFT(TRIM(C34),FIND(" ",TRIM(C34)&amp;" ")-1),",","."))-1)/MID(SUBSTITUTE(LEFT(TRIM(C34),FIND(" ",TRIM(C34)&amp;" ")-1),",","."),FIND("/",SUBSTITUTE(LEFT(TRIM(C34),FIND(" ",TRIM(C34)&amp;" ")-1),",","."))+1,9)),IF(ISNUMBER(SEARCH("yea",C34)),IFERROR(_xlfn.NUMBERVALUE(SUBSTITUTE(LEFT(TRIM(C34),FIND(" ",TRIM(C34)&amp;" ")-1),",","."),"."),LEFT(SUBSTITUTE(LEFT(TRIM(C34),FIND(" ",TRIM(C34)&amp;" ")-1),",","."),FIND("/",SUBSTITUTE(LEFT(TRIM(C34),FIND(" ",TRIM(C34)&amp;" ")-1),",","."))-1)/MID(SUBSTITUTE(LEFT(TRIM(C34),FIND(" ",TRIM(C34)&amp;" ")-1),",","."),FIND("/",SUBSTITUTE(LEFT(TRIM(C34),FIND(" ",TRIM(C34)&amp;" ")-1),",","."))+1,9))*12,NA()))),0),42)*'Aturan &amp; Tarif'!$B$4,2)</f>
        <v>2384.76</v>
      </c>
      <c r="K34" s="42" t="n">
        <f aca="false">'Aturan &amp; Tarif'!$B$5</f>
        <v>2050</v>
      </c>
      <c r="L34" s="42" t="n">
        <f aca="false">'Aturan &amp; Tarif'!$B$6</f>
        <v>350</v>
      </c>
      <c r="M34" s="35" t="n">
        <f aca="false">I34+J34+K34+L34</f>
        <v>11284.76</v>
      </c>
      <c r="N34" s="44" t="s">
        <v>131</v>
      </c>
    </row>
    <row r="35" customFormat="false" ht="25.5" hidden="false" customHeight="true" outlineLevel="0" collapsed="false">
      <c r="A35" s="39"/>
      <c r="B35" s="40" t="s">
        <v>1822</v>
      </c>
      <c r="C35" s="41" t="s">
        <v>136</v>
      </c>
      <c r="D35" s="41" t="s">
        <v>108</v>
      </c>
      <c r="E35" s="42" t="n">
        <v>3500</v>
      </c>
      <c r="F35" s="42" t="n">
        <v>2500</v>
      </c>
      <c r="G35" s="42" t="n">
        <v>500</v>
      </c>
      <c r="H35" s="43" t="n">
        <v>1</v>
      </c>
      <c r="I35" s="34" t="n">
        <f aca="false">E35*H35+N(F35)+N(G35)</f>
        <v>6500</v>
      </c>
      <c r="J35" s="42" t="n">
        <f aca="false">ROUND(IFERROR(ROUND(IF(OR(ISNUMBER(SEARCH("week",C35)),ISNUMBER(SEARCH("minggu",C35))),IFERROR(_xlfn.NUMBERVALUE(SUBSTITUTE(LEFT(TRIM(C35),FIND(" ",TRIM(C35)&amp;" ")-1),",","."),"."),LEFT(SUBSTITUTE(LEFT(TRIM(C35),FIND(" ",TRIM(C35)&amp;" ")-1),",","."),FIND("/",SUBSTITUTE(LEFT(TRIM(C35),FIND(" ",TRIM(C35)&amp;" ")-1),",","."))-1)/MID(SUBSTITUTE(LEFT(TRIM(C35),FIND(" ",TRIM(C35)&amp;" ")-1),",","."),FIND("/",SUBSTITUTE(LEFT(TRIM(C35),FIND(" ",TRIM(C35)&amp;" ")-1),",","."))+1,9))*12/52,IF(ISNUMBER(SEARCH("month",C35)),IFERROR(_xlfn.NUMBERVALUE(SUBSTITUTE(LEFT(TRIM(C35),FIND(" ",TRIM(C35)&amp;" ")-1),",","."),"."),LEFT(SUBSTITUTE(LEFT(TRIM(C35),FIND(" ",TRIM(C35)&amp;" ")-1),",","."),FIND("/",SUBSTITUTE(LEFT(TRIM(C35),FIND(" ",TRIM(C35)&amp;" ")-1),",","."))-1)/MID(SUBSTITUTE(LEFT(TRIM(C35),FIND(" ",TRIM(C35)&amp;" ")-1),",","."),FIND("/",SUBSTITUTE(LEFT(TRIM(C35),FIND(" ",TRIM(C35)&amp;" ")-1),",","."))+1,9)),IF(ISNUMBER(SEARCH("yea",C35)),IFERROR(_xlfn.NUMBERVALUE(SUBSTITUTE(LEFT(TRIM(C35),FIND(" ",TRIM(C35)&amp;" ")-1),",","."),"."),LEFT(SUBSTITUTE(LEFT(TRIM(C35),FIND(" ",TRIM(C35)&amp;" ")-1),",","."),FIND("/",SUBSTITUTE(LEFT(TRIM(C35),FIND(" ",TRIM(C35)&amp;" ")-1),",","."))-1)/MID(SUBSTITUTE(LEFT(TRIM(C35),FIND(" ",TRIM(C35)&amp;" ")-1),",","."),FIND("/",SUBSTITUTE(LEFT(TRIM(C35),FIND(" ",TRIM(C35)&amp;" ")-1),",","."))+1,9))*12,NA()))),0),42)*'Aturan &amp; Tarif'!$B$4,2)</f>
        <v>2384.76</v>
      </c>
      <c r="K35" s="42" t="n">
        <f aca="false">'Aturan &amp; Tarif'!$B$5</f>
        <v>2050</v>
      </c>
      <c r="L35" s="42" t="n">
        <f aca="false">'Aturan &amp; Tarif'!$B$6</f>
        <v>350</v>
      </c>
      <c r="M35" s="35" t="n">
        <f aca="false">I35+J35+K35+L35</f>
        <v>11284.76</v>
      </c>
      <c r="N35" s="44" t="s">
        <v>131</v>
      </c>
    </row>
    <row r="36" customFormat="false" ht="25.5" hidden="false" customHeight="true" outlineLevel="0" collapsed="false">
      <c r="A36" s="39"/>
      <c r="B36" s="40" t="s">
        <v>1823</v>
      </c>
      <c r="C36" s="41" t="s">
        <v>136</v>
      </c>
      <c r="D36" s="41" t="s">
        <v>108</v>
      </c>
      <c r="E36" s="42" t="n">
        <v>3500</v>
      </c>
      <c r="F36" s="42" t="n">
        <v>2500</v>
      </c>
      <c r="G36" s="42" t="n">
        <v>500</v>
      </c>
      <c r="H36" s="43" t="n">
        <v>1</v>
      </c>
      <c r="I36" s="34" t="n">
        <f aca="false">E36*H36+N(F36)+N(G36)</f>
        <v>6500</v>
      </c>
      <c r="J36" s="42" t="n">
        <f aca="false">ROUND(IFERROR(ROUND(IF(OR(ISNUMBER(SEARCH("week",C36)),ISNUMBER(SEARCH("minggu",C36))),IFERROR(_xlfn.NUMBERVALUE(SUBSTITUTE(LEFT(TRIM(C36),FIND(" ",TRIM(C36)&amp;" ")-1),",","."),"."),LEFT(SUBSTITUTE(LEFT(TRIM(C36),FIND(" ",TRIM(C36)&amp;" ")-1),",","."),FIND("/",SUBSTITUTE(LEFT(TRIM(C36),FIND(" ",TRIM(C36)&amp;" ")-1),",","."))-1)/MID(SUBSTITUTE(LEFT(TRIM(C36),FIND(" ",TRIM(C36)&amp;" ")-1),",","."),FIND("/",SUBSTITUTE(LEFT(TRIM(C36),FIND(" ",TRIM(C36)&amp;" ")-1),",","."))+1,9))*12/52,IF(ISNUMBER(SEARCH("month",C36)),IFERROR(_xlfn.NUMBERVALUE(SUBSTITUTE(LEFT(TRIM(C36),FIND(" ",TRIM(C36)&amp;" ")-1),",","."),"."),LEFT(SUBSTITUTE(LEFT(TRIM(C36),FIND(" ",TRIM(C36)&amp;" ")-1),",","."),FIND("/",SUBSTITUTE(LEFT(TRIM(C36),FIND(" ",TRIM(C36)&amp;" ")-1),",","."))-1)/MID(SUBSTITUTE(LEFT(TRIM(C36),FIND(" ",TRIM(C36)&amp;" ")-1),",","."),FIND("/",SUBSTITUTE(LEFT(TRIM(C36),FIND(" ",TRIM(C36)&amp;" ")-1),",","."))+1,9)),IF(ISNUMBER(SEARCH("yea",C36)),IFERROR(_xlfn.NUMBERVALUE(SUBSTITUTE(LEFT(TRIM(C36),FIND(" ",TRIM(C36)&amp;" ")-1),",","."),"."),LEFT(SUBSTITUTE(LEFT(TRIM(C36),FIND(" ",TRIM(C36)&amp;" ")-1),",","."),FIND("/",SUBSTITUTE(LEFT(TRIM(C36),FIND(" ",TRIM(C36)&amp;" ")-1),",","."))-1)/MID(SUBSTITUTE(LEFT(TRIM(C36),FIND(" ",TRIM(C36)&amp;" ")-1),",","."),FIND("/",SUBSTITUTE(LEFT(TRIM(C36),FIND(" ",TRIM(C36)&amp;" ")-1),",","."))+1,9))*12,NA()))),0),42)*'Aturan &amp; Tarif'!$B$4,2)</f>
        <v>2384.76</v>
      </c>
      <c r="K36" s="42" t="n">
        <f aca="false">'Aturan &amp; Tarif'!$B$5</f>
        <v>2050</v>
      </c>
      <c r="L36" s="42" t="n">
        <f aca="false">'Aturan &amp; Tarif'!$B$6</f>
        <v>350</v>
      </c>
      <c r="M36" s="35" t="n">
        <f aca="false">I36+J36+K36+L36</f>
        <v>11284.76</v>
      </c>
      <c r="N36" s="44" t="s">
        <v>131</v>
      </c>
    </row>
    <row r="37" customFormat="false" ht="25.5" hidden="false" customHeight="true" outlineLevel="0" collapsed="false">
      <c r="A37" s="39"/>
      <c r="B37" s="40" t="s">
        <v>1824</v>
      </c>
      <c r="C37" s="41" t="s">
        <v>136</v>
      </c>
      <c r="D37" s="41" t="s">
        <v>108</v>
      </c>
      <c r="E37" s="42" t="n">
        <v>3500</v>
      </c>
      <c r="F37" s="42" t="n">
        <v>2500</v>
      </c>
      <c r="G37" s="42" t="n">
        <v>500</v>
      </c>
      <c r="H37" s="43" t="n">
        <v>1</v>
      </c>
      <c r="I37" s="34" t="n">
        <f aca="false">E37*H37+N(F37)+N(G37)</f>
        <v>6500</v>
      </c>
      <c r="J37" s="42" t="n">
        <f aca="false">ROUND(IFERROR(ROUND(IF(OR(ISNUMBER(SEARCH("week",C37)),ISNUMBER(SEARCH("minggu",C37))),IFERROR(_xlfn.NUMBERVALUE(SUBSTITUTE(LEFT(TRIM(C37),FIND(" ",TRIM(C37)&amp;" ")-1),",","."),"."),LEFT(SUBSTITUTE(LEFT(TRIM(C37),FIND(" ",TRIM(C37)&amp;" ")-1),",","."),FIND("/",SUBSTITUTE(LEFT(TRIM(C37),FIND(" ",TRIM(C37)&amp;" ")-1),",","."))-1)/MID(SUBSTITUTE(LEFT(TRIM(C37),FIND(" ",TRIM(C37)&amp;" ")-1),",","."),FIND("/",SUBSTITUTE(LEFT(TRIM(C37),FIND(" ",TRIM(C37)&amp;" ")-1),",","."))+1,9))*12/52,IF(ISNUMBER(SEARCH("month",C37)),IFERROR(_xlfn.NUMBERVALUE(SUBSTITUTE(LEFT(TRIM(C37),FIND(" ",TRIM(C37)&amp;" ")-1),",","."),"."),LEFT(SUBSTITUTE(LEFT(TRIM(C37),FIND(" ",TRIM(C37)&amp;" ")-1),",","."),FIND("/",SUBSTITUTE(LEFT(TRIM(C37),FIND(" ",TRIM(C37)&amp;" ")-1),",","."))-1)/MID(SUBSTITUTE(LEFT(TRIM(C37),FIND(" ",TRIM(C37)&amp;" ")-1),",","."),FIND("/",SUBSTITUTE(LEFT(TRIM(C37),FIND(" ",TRIM(C37)&amp;" ")-1),",","."))+1,9)),IF(ISNUMBER(SEARCH("yea",C37)),IFERROR(_xlfn.NUMBERVALUE(SUBSTITUTE(LEFT(TRIM(C37),FIND(" ",TRIM(C37)&amp;" ")-1),",","."),"."),LEFT(SUBSTITUTE(LEFT(TRIM(C37),FIND(" ",TRIM(C37)&amp;" ")-1),",","."),FIND("/",SUBSTITUTE(LEFT(TRIM(C37),FIND(" ",TRIM(C37)&amp;" ")-1),",","."))-1)/MID(SUBSTITUTE(LEFT(TRIM(C37),FIND(" ",TRIM(C37)&amp;" ")-1),",","."),FIND("/",SUBSTITUTE(LEFT(TRIM(C37),FIND(" ",TRIM(C37)&amp;" ")-1),",","."))+1,9))*12,NA()))),0),42)*'Aturan &amp; Tarif'!$B$4,2)</f>
        <v>2384.76</v>
      </c>
      <c r="K37" s="42" t="n">
        <f aca="false">'Aturan &amp; Tarif'!$B$5</f>
        <v>2050</v>
      </c>
      <c r="L37" s="42" t="n">
        <f aca="false">'Aturan &amp; Tarif'!$B$6</f>
        <v>350</v>
      </c>
      <c r="M37" s="35" t="n">
        <f aca="false">I37+J37+K37+L37</f>
        <v>11284.76</v>
      </c>
      <c r="N37" s="44" t="s">
        <v>131</v>
      </c>
    </row>
    <row r="38" customFormat="false" ht="14.25" hidden="false" customHeight="true" outlineLevel="0" collapsed="false">
      <c r="A38" s="39"/>
      <c r="B38" s="40" t="s">
        <v>430</v>
      </c>
      <c r="C38" s="41" t="s">
        <v>127</v>
      </c>
      <c r="D38" s="41" t="s">
        <v>108</v>
      </c>
      <c r="E38" s="42" t="n">
        <v>3350</v>
      </c>
      <c r="F38" s="42" t="n">
        <v>1000</v>
      </c>
      <c r="G38" s="42" t="n">
        <v>500</v>
      </c>
      <c r="H38" s="43" t="n">
        <v>1</v>
      </c>
      <c r="I38" s="34" t="n">
        <f aca="false">E38*H38+N(F38)+N(G38)</f>
        <v>4850</v>
      </c>
      <c r="J38" s="42" t="n">
        <f aca="false">ROUND(IFERROR(ROUND(IF(OR(ISNUMBER(SEARCH("week",C38)),ISNUMBER(SEARCH("minggu",C38))),IFERROR(_xlfn.NUMBERVALUE(SUBSTITUTE(LEFT(TRIM(C38),FIND(" ",TRIM(C38)&amp;" ")-1),",","."),"."),LEFT(SUBSTITUTE(LEFT(TRIM(C38),FIND(" ",TRIM(C38)&amp;" ")-1),",","."),FIND("/",SUBSTITUTE(LEFT(TRIM(C38),FIND(" ",TRIM(C38)&amp;" ")-1),",","."))-1)/MID(SUBSTITUTE(LEFT(TRIM(C38),FIND(" ",TRIM(C38)&amp;" ")-1),",","."),FIND("/",SUBSTITUTE(LEFT(TRIM(C38),FIND(" ",TRIM(C38)&amp;" ")-1),",","."))+1,9))*12/52,IF(ISNUMBER(SEARCH("month",C38)),IFERROR(_xlfn.NUMBERVALUE(SUBSTITUTE(LEFT(TRIM(C38),FIND(" ",TRIM(C38)&amp;" ")-1),",","."),"."),LEFT(SUBSTITUTE(LEFT(TRIM(C38),FIND(" ",TRIM(C38)&amp;" ")-1),",","."),FIND("/",SUBSTITUTE(LEFT(TRIM(C38),FIND(" ",TRIM(C38)&amp;" ")-1),",","."))-1)/MID(SUBSTITUTE(LEFT(TRIM(C38),FIND(" ",TRIM(C38)&amp;" ")-1),",","."),FIND("/",SUBSTITUTE(LEFT(TRIM(C38),FIND(" ",TRIM(C38)&amp;" ")-1),",","."))+1,9)),IF(ISNUMBER(SEARCH("yea",C38)),IFERROR(_xlfn.NUMBERVALUE(SUBSTITUTE(LEFT(TRIM(C38),FIND(" ",TRIM(C38)&amp;" ")-1),",","."),"."),LEFT(SUBSTITUTE(LEFT(TRIM(C38),FIND(" ",TRIM(C38)&amp;" ")-1),",","."),FIND("/",SUBSTITUTE(LEFT(TRIM(C38),FIND(" ",TRIM(C38)&amp;" ")-1),",","."))-1)/MID(SUBSTITUTE(LEFT(TRIM(C38),FIND(" ",TRIM(C38)&amp;" ")-1),",","."),FIND("/",SUBSTITUTE(LEFT(TRIM(C38),FIND(" ",TRIM(C38)&amp;" ")-1),",","."))+1,9))*12,NA()))),0),36)*'Aturan &amp; Tarif'!$B$4,2)</f>
        <v>2044.08</v>
      </c>
      <c r="K38" s="42" t="n">
        <f aca="false">'Aturan &amp; Tarif'!$B$5</f>
        <v>2050</v>
      </c>
      <c r="L38" s="42" t="n">
        <f aca="false">'Aturan &amp; Tarif'!$B$6</f>
        <v>350</v>
      </c>
      <c r="M38" s="35" t="n">
        <f aca="false">I38+J38+K38+L38</f>
        <v>9294.08</v>
      </c>
      <c r="N38" s="45" t="s">
        <v>134</v>
      </c>
    </row>
    <row r="39" customFormat="false" ht="14.25" hidden="false" customHeight="true" outlineLevel="0" collapsed="false">
      <c r="A39" s="39"/>
      <c r="B39" s="40" t="s">
        <v>1825</v>
      </c>
      <c r="C39" s="41" t="s">
        <v>107</v>
      </c>
      <c r="D39" s="41" t="s">
        <v>108</v>
      </c>
      <c r="E39" s="42" t="n">
        <v>3000</v>
      </c>
      <c r="F39" s="42" t="n">
        <v>2000</v>
      </c>
      <c r="G39" s="42" t="n">
        <v>500</v>
      </c>
      <c r="H39" s="43" t="n">
        <v>1</v>
      </c>
      <c r="I39" s="34" t="n">
        <f aca="false">E39*H39+N(F39)+N(G39)</f>
        <v>5500</v>
      </c>
      <c r="J39" s="42" t="n">
        <f aca="false">ROUND(IFERROR(ROUND(IF(OR(ISNUMBER(SEARCH("week",C39)),ISNUMBER(SEARCH("minggu",C39))),IFERROR(_xlfn.NUMBERVALUE(SUBSTITUTE(LEFT(TRIM(C39),FIND(" ",TRIM(C39)&amp;" ")-1),",","."),"."),LEFT(SUBSTITUTE(LEFT(TRIM(C39),FIND(" ",TRIM(C39)&amp;" ")-1),",","."),FIND("/",SUBSTITUTE(LEFT(TRIM(C39),FIND(" ",TRIM(C39)&amp;" ")-1),",","."))-1)/MID(SUBSTITUTE(LEFT(TRIM(C39),FIND(" ",TRIM(C39)&amp;" ")-1),",","."),FIND("/",SUBSTITUTE(LEFT(TRIM(C39),FIND(" ",TRIM(C39)&amp;" ")-1),",","."))+1,9))*12/52,IF(ISNUMBER(SEARCH("month",C39)),IFERROR(_xlfn.NUMBERVALUE(SUBSTITUTE(LEFT(TRIM(C39),FIND(" ",TRIM(C39)&amp;" ")-1),",","."),"."),LEFT(SUBSTITUTE(LEFT(TRIM(C39),FIND(" ",TRIM(C39)&amp;" ")-1),",","."),FIND("/",SUBSTITUTE(LEFT(TRIM(C39),FIND(" ",TRIM(C39)&amp;" ")-1),",","."))-1)/MID(SUBSTITUTE(LEFT(TRIM(C39),FIND(" ",TRIM(C39)&amp;" ")-1),",","."),FIND("/",SUBSTITUTE(LEFT(TRIM(C39),FIND(" ",TRIM(C39)&amp;" ")-1),",","."))+1,9)),IF(ISNUMBER(SEARCH("yea",C39)),IFERROR(_xlfn.NUMBERVALUE(SUBSTITUTE(LEFT(TRIM(C39),FIND(" ",TRIM(C39)&amp;" ")-1),",","."),"."),LEFT(SUBSTITUTE(LEFT(TRIM(C39),FIND(" ",TRIM(C39)&amp;" ")-1),",","."),FIND("/",SUBSTITUTE(LEFT(TRIM(C39),FIND(" ",TRIM(C39)&amp;" ")-1),",","."))-1)/MID(SUBSTITUTE(LEFT(TRIM(C39),FIND(" ",TRIM(C39)&amp;" ")-1),",","."),FIND("/",SUBSTITUTE(LEFT(TRIM(C39),FIND(" ",TRIM(C39)&amp;" ")-1),",","."))+1,9))*12,NA()))),0),24)*'Aturan &amp; Tarif'!$B$4,2)</f>
        <v>1362.72</v>
      </c>
      <c r="K39" s="42" t="n">
        <f aca="false">'Aturan &amp; Tarif'!$B$5</f>
        <v>2050</v>
      </c>
      <c r="L39" s="42" t="n">
        <f aca="false">'Aturan &amp; Tarif'!$B$6</f>
        <v>350</v>
      </c>
      <c r="M39" s="35" t="n">
        <f aca="false">I39+J39+K39+L39</f>
        <v>9262.72</v>
      </c>
      <c r="N39" s="44" t="s">
        <v>131</v>
      </c>
    </row>
    <row r="40" customFormat="false" ht="37.5" hidden="false" customHeight="true" outlineLevel="0" collapsed="false">
      <c r="A40" s="29" t="s">
        <v>1826</v>
      </c>
      <c r="B40" s="30" t="s">
        <v>880</v>
      </c>
      <c r="C40" s="31" t="s">
        <v>107</v>
      </c>
      <c r="D40" s="31" t="s">
        <v>108</v>
      </c>
      <c r="E40" s="32" t="n">
        <v>1500</v>
      </c>
      <c r="F40" s="32" t="n">
        <v>100</v>
      </c>
      <c r="G40" s="32" t="n">
        <v>200</v>
      </c>
      <c r="H40" s="33" t="n">
        <v>2</v>
      </c>
      <c r="I40" s="34" t="n">
        <f aca="false">E40*H40+N(F40)+N(G40)</f>
        <v>3300</v>
      </c>
      <c r="J40" s="32" t="n">
        <f aca="false">ROUND(IFERROR(ROUND(IF(OR(ISNUMBER(SEARCH("week",C40)),ISNUMBER(SEARCH("minggu",C40))),IFERROR(_xlfn.NUMBERVALUE(SUBSTITUTE(LEFT(TRIM(C40),FIND(" ",TRIM(C40)&amp;" ")-1),",","."),"."),LEFT(SUBSTITUTE(LEFT(TRIM(C40),FIND(" ",TRIM(C40)&amp;" ")-1),",","."),FIND("/",SUBSTITUTE(LEFT(TRIM(C40),FIND(" ",TRIM(C40)&amp;" ")-1),",","."))-1)/MID(SUBSTITUTE(LEFT(TRIM(C40),FIND(" ",TRIM(C40)&amp;" ")-1),",","."),FIND("/",SUBSTITUTE(LEFT(TRIM(C40),FIND(" ",TRIM(C40)&amp;" ")-1),",","."))+1,9))*12/52,IF(ISNUMBER(SEARCH("month",C40)),IFERROR(_xlfn.NUMBERVALUE(SUBSTITUTE(LEFT(TRIM(C40),FIND(" ",TRIM(C40)&amp;" ")-1),",","."),"."),LEFT(SUBSTITUTE(LEFT(TRIM(C40),FIND(" ",TRIM(C40)&amp;" ")-1),",","."),FIND("/",SUBSTITUTE(LEFT(TRIM(C40),FIND(" ",TRIM(C40)&amp;" ")-1),",","."))-1)/MID(SUBSTITUTE(LEFT(TRIM(C40),FIND(" ",TRIM(C40)&amp;" ")-1),",","."),FIND("/",SUBSTITUTE(LEFT(TRIM(C40),FIND(" ",TRIM(C40)&amp;" ")-1),",","."))+1,9)),IF(ISNUMBER(SEARCH("yea",C40)),IFERROR(_xlfn.NUMBERVALUE(SUBSTITUTE(LEFT(TRIM(C40),FIND(" ",TRIM(C40)&amp;" ")-1),",","."),"."),LEFT(SUBSTITUTE(LEFT(TRIM(C40),FIND(" ",TRIM(C40)&amp;" ")-1),",","."),FIND("/",SUBSTITUTE(LEFT(TRIM(C40),FIND(" ",TRIM(C40)&amp;" ")-1),",","."))-1)/MID(SUBSTITUTE(LEFT(TRIM(C40),FIND(" ",TRIM(C40)&amp;" ")-1),",","."),FIND("/",SUBSTITUTE(LEFT(TRIM(C40),FIND(" ",TRIM(C40)&amp;" ")-1),",","."))+1,9))*12,NA()))),0),24)*'Aturan &amp; Tarif'!$B$4,2)</f>
        <v>1362.72</v>
      </c>
      <c r="K40" s="32" t="n">
        <f aca="false">'Aturan &amp; Tarif'!$B$5</f>
        <v>2050</v>
      </c>
      <c r="L40" s="32" t="n">
        <f aca="false">'Aturan &amp; Tarif'!$B$6</f>
        <v>350</v>
      </c>
      <c r="M40" s="35" t="n">
        <f aca="false">I40+J40+K40+L40</f>
        <v>7062.72</v>
      </c>
      <c r="N40" s="37" t="s">
        <v>1827</v>
      </c>
    </row>
    <row r="41" customFormat="false" ht="25.5" hidden="false" customHeight="true" outlineLevel="0" collapsed="false">
      <c r="A41" s="29"/>
      <c r="B41" s="30" t="s">
        <v>1828</v>
      </c>
      <c r="C41" s="31" t="s">
        <v>127</v>
      </c>
      <c r="D41" s="31" t="s">
        <v>108</v>
      </c>
      <c r="E41" s="32" t="n">
        <v>5000</v>
      </c>
      <c r="F41" s="32" t="n">
        <v>120</v>
      </c>
      <c r="G41" s="32" t="n">
        <v>250</v>
      </c>
      <c r="H41" s="33" t="n">
        <v>2</v>
      </c>
      <c r="I41" s="34" t="n">
        <f aca="false">E41*H41+N(F41)+N(G41)</f>
        <v>10370</v>
      </c>
      <c r="J41" s="32" t="n">
        <f aca="false">ROUND(IFERROR(ROUND(IF(OR(ISNUMBER(SEARCH("week",C41)),ISNUMBER(SEARCH("minggu",C41))),IFERROR(_xlfn.NUMBERVALUE(SUBSTITUTE(LEFT(TRIM(C41),FIND(" ",TRIM(C41)&amp;" ")-1),",","."),"."),LEFT(SUBSTITUTE(LEFT(TRIM(C41),FIND(" ",TRIM(C41)&amp;" ")-1),",","."),FIND("/",SUBSTITUTE(LEFT(TRIM(C41),FIND(" ",TRIM(C41)&amp;" ")-1),",","."))-1)/MID(SUBSTITUTE(LEFT(TRIM(C41),FIND(" ",TRIM(C41)&amp;" ")-1),",","."),FIND("/",SUBSTITUTE(LEFT(TRIM(C41),FIND(" ",TRIM(C41)&amp;" ")-1),",","."))+1,9))*12/52,IF(ISNUMBER(SEARCH("month",C41)),IFERROR(_xlfn.NUMBERVALUE(SUBSTITUTE(LEFT(TRIM(C41),FIND(" ",TRIM(C41)&amp;" ")-1),",","."),"."),LEFT(SUBSTITUTE(LEFT(TRIM(C41),FIND(" ",TRIM(C41)&amp;" ")-1),",","."),FIND("/",SUBSTITUTE(LEFT(TRIM(C41),FIND(" ",TRIM(C41)&amp;" ")-1),",","."))-1)/MID(SUBSTITUTE(LEFT(TRIM(C41),FIND(" ",TRIM(C41)&amp;" ")-1),",","."),FIND("/",SUBSTITUTE(LEFT(TRIM(C41),FIND(" ",TRIM(C41)&amp;" ")-1),",","."))+1,9)),IF(ISNUMBER(SEARCH("yea",C41)),IFERROR(_xlfn.NUMBERVALUE(SUBSTITUTE(LEFT(TRIM(C41),FIND(" ",TRIM(C41)&amp;" ")-1),",","."),"."),LEFT(SUBSTITUTE(LEFT(TRIM(C41),FIND(" ",TRIM(C41)&amp;" ")-1),",","."),FIND("/",SUBSTITUTE(LEFT(TRIM(C41),FIND(" ",TRIM(C41)&amp;" ")-1),",","."))-1)/MID(SUBSTITUTE(LEFT(TRIM(C41),FIND(" ",TRIM(C41)&amp;" ")-1),",","."),FIND("/",SUBSTITUTE(LEFT(TRIM(C41),FIND(" ",TRIM(C41)&amp;" ")-1),",","."))+1,9))*12,NA()))),0),36)*'Aturan &amp; Tarif'!$B$4,2)</f>
        <v>2044.08</v>
      </c>
      <c r="K41" s="32" t="n">
        <f aca="false">'Aturan &amp; Tarif'!$B$5</f>
        <v>2050</v>
      </c>
      <c r="L41" s="32" t="n">
        <f aca="false">'Aturan &amp; Tarif'!$B$6</f>
        <v>350</v>
      </c>
      <c r="M41" s="35" t="n">
        <f aca="false">I41+J41+K41+L41</f>
        <v>14814.08</v>
      </c>
      <c r="N41" s="37" t="s">
        <v>624</v>
      </c>
    </row>
    <row r="42" customFormat="false" ht="14.25" hidden="false" customHeight="true" outlineLevel="0" collapsed="false">
      <c r="A42" s="29"/>
      <c r="B42" s="30" t="s">
        <v>625</v>
      </c>
      <c r="C42" s="31" t="s">
        <v>107</v>
      </c>
      <c r="D42" s="31" t="s">
        <v>108</v>
      </c>
      <c r="E42" s="32" t="n">
        <v>1500</v>
      </c>
      <c r="F42" s="32" t="n">
        <v>100</v>
      </c>
      <c r="G42" s="32" t="n">
        <v>200</v>
      </c>
      <c r="H42" s="33" t="n">
        <v>2</v>
      </c>
      <c r="I42" s="34" t="n">
        <f aca="false">E42*H42+N(F42)+N(G42)</f>
        <v>3300</v>
      </c>
      <c r="J42" s="32" t="n">
        <f aca="false">ROUND(IFERROR(ROUND(IF(OR(ISNUMBER(SEARCH("week",C42)),ISNUMBER(SEARCH("minggu",C42))),IFERROR(_xlfn.NUMBERVALUE(SUBSTITUTE(LEFT(TRIM(C42),FIND(" ",TRIM(C42)&amp;" ")-1),",","."),"."),LEFT(SUBSTITUTE(LEFT(TRIM(C42),FIND(" ",TRIM(C42)&amp;" ")-1),",","."),FIND("/",SUBSTITUTE(LEFT(TRIM(C42),FIND(" ",TRIM(C42)&amp;" ")-1),",","."))-1)/MID(SUBSTITUTE(LEFT(TRIM(C42),FIND(" ",TRIM(C42)&amp;" ")-1),",","."),FIND("/",SUBSTITUTE(LEFT(TRIM(C42),FIND(" ",TRIM(C42)&amp;" ")-1),",","."))+1,9))*12/52,IF(ISNUMBER(SEARCH("month",C42)),IFERROR(_xlfn.NUMBERVALUE(SUBSTITUTE(LEFT(TRIM(C42),FIND(" ",TRIM(C42)&amp;" ")-1),",","."),"."),LEFT(SUBSTITUTE(LEFT(TRIM(C42),FIND(" ",TRIM(C42)&amp;" ")-1),",","."),FIND("/",SUBSTITUTE(LEFT(TRIM(C42),FIND(" ",TRIM(C42)&amp;" ")-1),",","."))-1)/MID(SUBSTITUTE(LEFT(TRIM(C42),FIND(" ",TRIM(C42)&amp;" ")-1),",","."),FIND("/",SUBSTITUTE(LEFT(TRIM(C42),FIND(" ",TRIM(C42)&amp;" ")-1),",","."))+1,9)),IF(ISNUMBER(SEARCH("yea",C42)),IFERROR(_xlfn.NUMBERVALUE(SUBSTITUTE(LEFT(TRIM(C42),FIND(" ",TRIM(C42)&amp;" ")-1),",","."),"."),LEFT(SUBSTITUTE(LEFT(TRIM(C42),FIND(" ",TRIM(C42)&amp;" ")-1),",","."),FIND("/",SUBSTITUTE(LEFT(TRIM(C42),FIND(" ",TRIM(C42)&amp;" ")-1),",","."))-1)/MID(SUBSTITUTE(LEFT(TRIM(C42),FIND(" ",TRIM(C42)&amp;" ")-1),",","."),FIND("/",SUBSTITUTE(LEFT(TRIM(C42),FIND(" ",TRIM(C42)&amp;" ")-1),",","."))+1,9))*12,NA()))),0),24)*'Aturan &amp; Tarif'!$B$4,2)</f>
        <v>1362.72</v>
      </c>
      <c r="K42" s="32" t="n">
        <f aca="false">'Aturan &amp; Tarif'!$B$5</f>
        <v>2050</v>
      </c>
      <c r="L42" s="32" t="n">
        <f aca="false">'Aturan &amp; Tarif'!$B$6</f>
        <v>350</v>
      </c>
      <c r="M42" s="35" t="n">
        <f aca="false">I42+J42+K42+L42</f>
        <v>7062.72</v>
      </c>
      <c r="N42" s="37" t="s">
        <v>1827</v>
      </c>
    </row>
    <row r="43" customFormat="false" ht="14.25" hidden="false" customHeight="true" outlineLevel="0" collapsed="false">
      <c r="A43" s="29"/>
      <c r="B43" s="30" t="s">
        <v>1829</v>
      </c>
      <c r="C43" s="31" t="s">
        <v>127</v>
      </c>
      <c r="D43" s="31" t="s">
        <v>108</v>
      </c>
      <c r="E43" s="32" t="n">
        <v>5000</v>
      </c>
      <c r="F43" s="32" t="n">
        <v>120</v>
      </c>
      <c r="G43" s="32" t="n">
        <v>250</v>
      </c>
      <c r="H43" s="33" t="n">
        <v>2</v>
      </c>
      <c r="I43" s="34" t="n">
        <f aca="false">E43*H43+N(F43)+N(G43)</f>
        <v>10370</v>
      </c>
      <c r="J43" s="32" t="n">
        <f aca="false">ROUND(IFERROR(ROUND(IF(OR(ISNUMBER(SEARCH("week",C43)),ISNUMBER(SEARCH("minggu",C43))),IFERROR(_xlfn.NUMBERVALUE(SUBSTITUTE(LEFT(TRIM(C43),FIND(" ",TRIM(C43)&amp;" ")-1),",","."),"."),LEFT(SUBSTITUTE(LEFT(TRIM(C43),FIND(" ",TRIM(C43)&amp;" ")-1),",","."),FIND("/",SUBSTITUTE(LEFT(TRIM(C43),FIND(" ",TRIM(C43)&amp;" ")-1),",","."))-1)/MID(SUBSTITUTE(LEFT(TRIM(C43),FIND(" ",TRIM(C43)&amp;" ")-1),",","."),FIND("/",SUBSTITUTE(LEFT(TRIM(C43),FIND(" ",TRIM(C43)&amp;" ")-1),",","."))+1,9))*12/52,IF(ISNUMBER(SEARCH("month",C43)),IFERROR(_xlfn.NUMBERVALUE(SUBSTITUTE(LEFT(TRIM(C43),FIND(" ",TRIM(C43)&amp;" ")-1),",","."),"."),LEFT(SUBSTITUTE(LEFT(TRIM(C43),FIND(" ",TRIM(C43)&amp;" ")-1),",","."),FIND("/",SUBSTITUTE(LEFT(TRIM(C43),FIND(" ",TRIM(C43)&amp;" ")-1),",","."))-1)/MID(SUBSTITUTE(LEFT(TRIM(C43),FIND(" ",TRIM(C43)&amp;" ")-1),",","."),FIND("/",SUBSTITUTE(LEFT(TRIM(C43),FIND(" ",TRIM(C43)&amp;" ")-1),",","."))+1,9)),IF(ISNUMBER(SEARCH("yea",C43)),IFERROR(_xlfn.NUMBERVALUE(SUBSTITUTE(LEFT(TRIM(C43),FIND(" ",TRIM(C43)&amp;" ")-1),",","."),"."),LEFT(SUBSTITUTE(LEFT(TRIM(C43),FIND(" ",TRIM(C43)&amp;" ")-1),",","."),FIND("/",SUBSTITUTE(LEFT(TRIM(C43),FIND(" ",TRIM(C43)&amp;" ")-1),",","."))-1)/MID(SUBSTITUTE(LEFT(TRIM(C43),FIND(" ",TRIM(C43)&amp;" ")-1),",","."),FIND("/",SUBSTITUTE(LEFT(TRIM(C43),FIND(" ",TRIM(C43)&amp;" ")-1),",","."))+1,9))*12,NA()))),0),36)*'Aturan &amp; Tarif'!$B$4,2)</f>
        <v>2044.08</v>
      </c>
      <c r="K43" s="32" t="n">
        <f aca="false">'Aturan &amp; Tarif'!$B$5</f>
        <v>2050</v>
      </c>
      <c r="L43" s="32" t="n">
        <f aca="false">'Aturan &amp; Tarif'!$B$6</f>
        <v>350</v>
      </c>
      <c r="M43" s="35" t="n">
        <f aca="false">I43+J43+K43+L43</f>
        <v>14814.08</v>
      </c>
      <c r="N43" s="37" t="s">
        <v>624</v>
      </c>
    </row>
    <row r="44" customFormat="false" ht="25.5" hidden="false" customHeight="true" outlineLevel="0" collapsed="false">
      <c r="A44" s="29"/>
      <c r="B44" s="30" t="s">
        <v>1830</v>
      </c>
      <c r="C44" s="31" t="s">
        <v>107</v>
      </c>
      <c r="D44" s="31" t="s">
        <v>108</v>
      </c>
      <c r="E44" s="32" t="n">
        <v>1500</v>
      </c>
      <c r="F44" s="32" t="n">
        <v>100</v>
      </c>
      <c r="G44" s="32" t="n">
        <v>200</v>
      </c>
      <c r="H44" s="33" t="n">
        <v>2</v>
      </c>
      <c r="I44" s="34" t="n">
        <f aca="false">E44*H44+N(F44)+N(G44)</f>
        <v>3300</v>
      </c>
      <c r="J44" s="32" t="n">
        <f aca="false">ROUND(IFERROR(ROUND(IF(OR(ISNUMBER(SEARCH("week",C44)),ISNUMBER(SEARCH("minggu",C44))),IFERROR(_xlfn.NUMBERVALUE(SUBSTITUTE(LEFT(TRIM(C44),FIND(" ",TRIM(C44)&amp;" ")-1),",","."),"."),LEFT(SUBSTITUTE(LEFT(TRIM(C44),FIND(" ",TRIM(C44)&amp;" ")-1),",","."),FIND("/",SUBSTITUTE(LEFT(TRIM(C44),FIND(" ",TRIM(C44)&amp;" ")-1),",","."))-1)/MID(SUBSTITUTE(LEFT(TRIM(C44),FIND(" ",TRIM(C44)&amp;" ")-1),",","."),FIND("/",SUBSTITUTE(LEFT(TRIM(C44),FIND(" ",TRIM(C44)&amp;" ")-1),",","."))+1,9))*12/52,IF(ISNUMBER(SEARCH("month",C44)),IFERROR(_xlfn.NUMBERVALUE(SUBSTITUTE(LEFT(TRIM(C44),FIND(" ",TRIM(C44)&amp;" ")-1),",","."),"."),LEFT(SUBSTITUTE(LEFT(TRIM(C44),FIND(" ",TRIM(C44)&amp;" ")-1),",","."),FIND("/",SUBSTITUTE(LEFT(TRIM(C44),FIND(" ",TRIM(C44)&amp;" ")-1),",","."))-1)/MID(SUBSTITUTE(LEFT(TRIM(C44),FIND(" ",TRIM(C44)&amp;" ")-1),",","."),FIND("/",SUBSTITUTE(LEFT(TRIM(C44),FIND(" ",TRIM(C44)&amp;" ")-1),",","."))+1,9)),IF(ISNUMBER(SEARCH("yea",C44)),IFERROR(_xlfn.NUMBERVALUE(SUBSTITUTE(LEFT(TRIM(C44),FIND(" ",TRIM(C44)&amp;" ")-1),",","."),"."),LEFT(SUBSTITUTE(LEFT(TRIM(C44),FIND(" ",TRIM(C44)&amp;" ")-1),",","."),FIND("/",SUBSTITUTE(LEFT(TRIM(C44),FIND(" ",TRIM(C44)&amp;" ")-1),",","."))-1)/MID(SUBSTITUTE(LEFT(TRIM(C44),FIND(" ",TRIM(C44)&amp;" ")-1),",","."),FIND("/",SUBSTITUTE(LEFT(TRIM(C44),FIND(" ",TRIM(C44)&amp;" ")-1),",","."))+1,9))*12,NA()))),0),24)*'Aturan &amp; Tarif'!$B$4,2)</f>
        <v>1362.72</v>
      </c>
      <c r="K44" s="32" t="n">
        <f aca="false">'Aturan &amp; Tarif'!$B$5</f>
        <v>2050</v>
      </c>
      <c r="L44" s="32" t="n">
        <f aca="false">'Aturan &amp; Tarif'!$B$6</f>
        <v>350</v>
      </c>
      <c r="M44" s="35" t="n">
        <f aca="false">I44+J44+K44+L44</f>
        <v>7062.72</v>
      </c>
      <c r="N44" s="37" t="s">
        <v>624</v>
      </c>
    </row>
    <row r="45" customFormat="false" ht="25.5" hidden="false" customHeight="true" outlineLevel="0" collapsed="false">
      <c r="A45" s="29"/>
      <c r="B45" s="30" t="s">
        <v>1831</v>
      </c>
      <c r="C45" s="31" t="s">
        <v>127</v>
      </c>
      <c r="D45" s="48" t="s">
        <v>108</v>
      </c>
      <c r="E45" s="32" t="n">
        <v>5000</v>
      </c>
      <c r="F45" s="32" t="n">
        <v>120</v>
      </c>
      <c r="G45" s="32" t="n">
        <v>250</v>
      </c>
      <c r="H45" s="50" t="n">
        <v>2</v>
      </c>
      <c r="I45" s="34" t="n">
        <f aca="false">E45*H45+N(F45)+N(G45)</f>
        <v>10370</v>
      </c>
      <c r="J45" s="32" t="n">
        <f aca="false">ROUND(IFERROR(ROUND(IF(OR(ISNUMBER(SEARCH("week",C45)),ISNUMBER(SEARCH("minggu",C45))),IFERROR(_xlfn.NUMBERVALUE(SUBSTITUTE(LEFT(TRIM(C45),FIND(" ",TRIM(C45)&amp;" ")-1),",","."),"."),LEFT(SUBSTITUTE(LEFT(TRIM(C45),FIND(" ",TRIM(C45)&amp;" ")-1),",","."),FIND("/",SUBSTITUTE(LEFT(TRIM(C45),FIND(" ",TRIM(C45)&amp;" ")-1),",","."))-1)/MID(SUBSTITUTE(LEFT(TRIM(C45),FIND(" ",TRIM(C45)&amp;" ")-1),",","."),FIND("/",SUBSTITUTE(LEFT(TRIM(C45),FIND(" ",TRIM(C45)&amp;" ")-1),",","."))+1,9))*12/52,IF(ISNUMBER(SEARCH("month",C45)),IFERROR(_xlfn.NUMBERVALUE(SUBSTITUTE(LEFT(TRIM(C45),FIND(" ",TRIM(C45)&amp;" ")-1),",","."),"."),LEFT(SUBSTITUTE(LEFT(TRIM(C45),FIND(" ",TRIM(C45)&amp;" ")-1),",","."),FIND("/",SUBSTITUTE(LEFT(TRIM(C45),FIND(" ",TRIM(C45)&amp;" ")-1),",","."))-1)/MID(SUBSTITUTE(LEFT(TRIM(C45),FIND(" ",TRIM(C45)&amp;" ")-1),",","."),FIND("/",SUBSTITUTE(LEFT(TRIM(C45),FIND(" ",TRIM(C45)&amp;" ")-1),",","."))+1,9)),IF(ISNUMBER(SEARCH("yea",C45)),IFERROR(_xlfn.NUMBERVALUE(SUBSTITUTE(LEFT(TRIM(C45),FIND(" ",TRIM(C45)&amp;" ")-1),",","."),"."),LEFT(SUBSTITUTE(LEFT(TRIM(C45),FIND(" ",TRIM(C45)&amp;" ")-1),",","."),FIND("/",SUBSTITUTE(LEFT(TRIM(C45),FIND(" ",TRIM(C45)&amp;" ")-1),",","."))-1)/MID(SUBSTITUTE(LEFT(TRIM(C45),FIND(" ",TRIM(C45)&amp;" ")-1),",","."),FIND("/",SUBSTITUTE(LEFT(TRIM(C45),FIND(" ",TRIM(C45)&amp;" ")-1),",","."))+1,9))*12,NA()))),0),36)*'Aturan &amp; Tarif'!$B$4,2)</f>
        <v>2044.08</v>
      </c>
      <c r="K45" s="32" t="n">
        <f aca="false">'Aturan &amp; Tarif'!$B$5</f>
        <v>2050</v>
      </c>
      <c r="L45" s="32" t="n">
        <f aca="false">'Aturan &amp; Tarif'!$B$6</f>
        <v>350</v>
      </c>
      <c r="M45" s="35" t="n">
        <f aca="false">I45+J45+K45+L45</f>
        <v>14814.08</v>
      </c>
      <c r="N45" s="36" t="s">
        <v>1832</v>
      </c>
    </row>
    <row r="46" customFormat="false" ht="25.5" hidden="false" customHeight="true" outlineLevel="0" collapsed="false">
      <c r="A46" s="29"/>
      <c r="B46" s="30" t="s">
        <v>1833</v>
      </c>
      <c r="C46" s="31" t="s">
        <v>107</v>
      </c>
      <c r="D46" s="31" t="s">
        <v>108</v>
      </c>
      <c r="E46" s="32" t="n">
        <v>5000</v>
      </c>
      <c r="F46" s="32" t="n">
        <v>120</v>
      </c>
      <c r="G46" s="32" t="n">
        <v>250</v>
      </c>
      <c r="H46" s="33" t="n">
        <v>2</v>
      </c>
      <c r="I46" s="34" t="n">
        <f aca="false">E46*H46+N(F46)+N(G46)</f>
        <v>10370</v>
      </c>
      <c r="J46" s="32" t="n">
        <f aca="false">ROUND(IFERROR(ROUND(IF(OR(ISNUMBER(SEARCH("week",C46)),ISNUMBER(SEARCH("minggu",C46))),IFERROR(_xlfn.NUMBERVALUE(SUBSTITUTE(LEFT(TRIM(C46),FIND(" ",TRIM(C46)&amp;" ")-1),",","."),"."),LEFT(SUBSTITUTE(LEFT(TRIM(C46),FIND(" ",TRIM(C46)&amp;" ")-1),",","."),FIND("/",SUBSTITUTE(LEFT(TRIM(C46),FIND(" ",TRIM(C46)&amp;" ")-1),",","."))-1)/MID(SUBSTITUTE(LEFT(TRIM(C46),FIND(" ",TRIM(C46)&amp;" ")-1),",","."),FIND("/",SUBSTITUTE(LEFT(TRIM(C46),FIND(" ",TRIM(C46)&amp;" ")-1),",","."))+1,9))*12/52,IF(ISNUMBER(SEARCH("month",C46)),IFERROR(_xlfn.NUMBERVALUE(SUBSTITUTE(LEFT(TRIM(C46),FIND(" ",TRIM(C46)&amp;" ")-1),",","."),"."),LEFT(SUBSTITUTE(LEFT(TRIM(C46),FIND(" ",TRIM(C46)&amp;" ")-1),",","."),FIND("/",SUBSTITUTE(LEFT(TRIM(C46),FIND(" ",TRIM(C46)&amp;" ")-1),",","."))-1)/MID(SUBSTITUTE(LEFT(TRIM(C46),FIND(" ",TRIM(C46)&amp;" ")-1),",","."),FIND("/",SUBSTITUTE(LEFT(TRIM(C46),FIND(" ",TRIM(C46)&amp;" ")-1),",","."))+1,9)),IF(ISNUMBER(SEARCH("yea",C46)),IFERROR(_xlfn.NUMBERVALUE(SUBSTITUTE(LEFT(TRIM(C46),FIND(" ",TRIM(C46)&amp;" ")-1),",","."),"."),LEFT(SUBSTITUTE(LEFT(TRIM(C46),FIND(" ",TRIM(C46)&amp;" ")-1),",","."),FIND("/",SUBSTITUTE(LEFT(TRIM(C46),FIND(" ",TRIM(C46)&amp;" ")-1),",","."))-1)/MID(SUBSTITUTE(LEFT(TRIM(C46),FIND(" ",TRIM(C46)&amp;" ")-1),",","."),FIND("/",SUBSTITUTE(LEFT(TRIM(C46),FIND(" ",TRIM(C46)&amp;" ")-1),",","."))+1,9))*12,NA()))),0),24)*'Aturan &amp; Tarif'!$B$4,2)</f>
        <v>1362.72</v>
      </c>
      <c r="K46" s="32" t="n">
        <f aca="false">'Aturan &amp; Tarif'!$B$5</f>
        <v>2050</v>
      </c>
      <c r="L46" s="32" t="n">
        <f aca="false">'Aturan &amp; Tarif'!$B$6</f>
        <v>350</v>
      </c>
      <c r="M46" s="35" t="n">
        <f aca="false">I46+J46+K46+L46</f>
        <v>14132.72</v>
      </c>
      <c r="N46" s="37" t="s">
        <v>624</v>
      </c>
    </row>
    <row r="47" customFormat="false" ht="37.5" hidden="false" customHeight="true" outlineLevel="0" collapsed="false">
      <c r="A47" s="29"/>
      <c r="B47" s="30" t="s">
        <v>1834</v>
      </c>
      <c r="C47" s="31" t="s">
        <v>107</v>
      </c>
      <c r="D47" s="31" t="s">
        <v>108</v>
      </c>
      <c r="E47" s="32" t="n">
        <v>1500</v>
      </c>
      <c r="F47" s="32" t="n">
        <v>100</v>
      </c>
      <c r="G47" s="32" t="n">
        <v>200</v>
      </c>
      <c r="H47" s="33" t="n">
        <v>2</v>
      </c>
      <c r="I47" s="34" t="n">
        <f aca="false">E47*H47+N(F47)+N(G47)</f>
        <v>3300</v>
      </c>
      <c r="J47" s="32" t="n">
        <f aca="false">ROUND(IFERROR(ROUND(IF(OR(ISNUMBER(SEARCH("week",C47)),ISNUMBER(SEARCH("minggu",C47))),IFERROR(_xlfn.NUMBERVALUE(SUBSTITUTE(LEFT(TRIM(C47),FIND(" ",TRIM(C47)&amp;" ")-1),",","."),"."),LEFT(SUBSTITUTE(LEFT(TRIM(C47),FIND(" ",TRIM(C47)&amp;" ")-1),",","."),FIND("/",SUBSTITUTE(LEFT(TRIM(C47),FIND(" ",TRIM(C47)&amp;" ")-1),",","."))-1)/MID(SUBSTITUTE(LEFT(TRIM(C47),FIND(" ",TRIM(C47)&amp;" ")-1),",","."),FIND("/",SUBSTITUTE(LEFT(TRIM(C47),FIND(" ",TRIM(C47)&amp;" ")-1),",","."))+1,9))*12/52,IF(ISNUMBER(SEARCH("month",C47)),IFERROR(_xlfn.NUMBERVALUE(SUBSTITUTE(LEFT(TRIM(C47),FIND(" ",TRIM(C47)&amp;" ")-1),",","."),"."),LEFT(SUBSTITUTE(LEFT(TRIM(C47),FIND(" ",TRIM(C47)&amp;" ")-1),",","."),FIND("/",SUBSTITUTE(LEFT(TRIM(C47),FIND(" ",TRIM(C47)&amp;" ")-1),",","."))-1)/MID(SUBSTITUTE(LEFT(TRIM(C47),FIND(" ",TRIM(C47)&amp;" ")-1),",","."),FIND("/",SUBSTITUTE(LEFT(TRIM(C47),FIND(" ",TRIM(C47)&amp;" ")-1),",","."))+1,9)),IF(ISNUMBER(SEARCH("yea",C47)),IFERROR(_xlfn.NUMBERVALUE(SUBSTITUTE(LEFT(TRIM(C47),FIND(" ",TRIM(C47)&amp;" ")-1),",","."),"."),LEFT(SUBSTITUTE(LEFT(TRIM(C47),FIND(" ",TRIM(C47)&amp;" ")-1),",","."),FIND("/",SUBSTITUTE(LEFT(TRIM(C47),FIND(" ",TRIM(C47)&amp;" ")-1),",","."))-1)/MID(SUBSTITUTE(LEFT(TRIM(C47),FIND(" ",TRIM(C47)&amp;" ")-1),",","."),FIND("/",SUBSTITUTE(LEFT(TRIM(C47),FIND(" ",TRIM(C47)&amp;" ")-1),",","."))+1,9))*12,NA()))),0),24)*'Aturan &amp; Tarif'!$B$4,2)</f>
        <v>1362.72</v>
      </c>
      <c r="K47" s="32" t="n">
        <f aca="false">'Aturan &amp; Tarif'!$B$5</f>
        <v>2050</v>
      </c>
      <c r="L47" s="32" t="n">
        <f aca="false">'Aturan &amp; Tarif'!$B$6</f>
        <v>350</v>
      </c>
      <c r="M47" s="35" t="n">
        <f aca="false">I47+J47+K47+L47</f>
        <v>7062.72</v>
      </c>
      <c r="N47" s="36" t="s">
        <v>632</v>
      </c>
    </row>
    <row r="48" customFormat="false" ht="25.5" hidden="false" customHeight="true" outlineLevel="0" collapsed="false">
      <c r="A48" s="29"/>
      <c r="B48" s="30" t="s">
        <v>1835</v>
      </c>
      <c r="C48" s="31" t="s">
        <v>107</v>
      </c>
      <c r="D48" s="31" t="s">
        <v>108</v>
      </c>
      <c r="E48" s="32" t="n">
        <v>1500</v>
      </c>
      <c r="F48" s="32" t="n">
        <v>100</v>
      </c>
      <c r="G48" s="32" t="n">
        <v>200</v>
      </c>
      <c r="H48" s="33" t="n">
        <v>2</v>
      </c>
      <c r="I48" s="34" t="n">
        <f aca="false">E48*H48+N(F48)+N(G48)</f>
        <v>3300</v>
      </c>
      <c r="J48" s="32" t="n">
        <f aca="false">ROUND(IFERROR(ROUND(IF(OR(ISNUMBER(SEARCH("week",C48)),ISNUMBER(SEARCH("minggu",C48))),IFERROR(_xlfn.NUMBERVALUE(SUBSTITUTE(LEFT(TRIM(C48),FIND(" ",TRIM(C48)&amp;" ")-1),",","."),"."),LEFT(SUBSTITUTE(LEFT(TRIM(C48),FIND(" ",TRIM(C48)&amp;" ")-1),",","."),FIND("/",SUBSTITUTE(LEFT(TRIM(C48),FIND(" ",TRIM(C48)&amp;" ")-1),",","."))-1)/MID(SUBSTITUTE(LEFT(TRIM(C48),FIND(" ",TRIM(C48)&amp;" ")-1),",","."),FIND("/",SUBSTITUTE(LEFT(TRIM(C48),FIND(" ",TRIM(C48)&amp;" ")-1),",","."))+1,9))*12/52,IF(ISNUMBER(SEARCH("month",C48)),IFERROR(_xlfn.NUMBERVALUE(SUBSTITUTE(LEFT(TRIM(C48),FIND(" ",TRIM(C48)&amp;" ")-1),",","."),"."),LEFT(SUBSTITUTE(LEFT(TRIM(C48),FIND(" ",TRIM(C48)&amp;" ")-1),",","."),FIND("/",SUBSTITUTE(LEFT(TRIM(C48),FIND(" ",TRIM(C48)&amp;" ")-1),",","."))-1)/MID(SUBSTITUTE(LEFT(TRIM(C48),FIND(" ",TRIM(C48)&amp;" ")-1),",","."),FIND("/",SUBSTITUTE(LEFT(TRIM(C48),FIND(" ",TRIM(C48)&amp;" ")-1),",","."))+1,9)),IF(ISNUMBER(SEARCH("yea",C48)),IFERROR(_xlfn.NUMBERVALUE(SUBSTITUTE(LEFT(TRIM(C48),FIND(" ",TRIM(C48)&amp;" ")-1),",","."),"."),LEFT(SUBSTITUTE(LEFT(TRIM(C48),FIND(" ",TRIM(C48)&amp;" ")-1),",","."),FIND("/",SUBSTITUTE(LEFT(TRIM(C48),FIND(" ",TRIM(C48)&amp;" ")-1),",","."))-1)/MID(SUBSTITUTE(LEFT(TRIM(C48),FIND(" ",TRIM(C48)&amp;" ")-1),",","."),FIND("/",SUBSTITUTE(LEFT(TRIM(C48),FIND(" ",TRIM(C48)&amp;" ")-1),",","."))+1,9))*12,NA()))),0),24)*'Aturan &amp; Tarif'!$B$4,2)</f>
        <v>1362.72</v>
      </c>
      <c r="K48" s="32" t="n">
        <f aca="false">'Aturan &amp; Tarif'!$B$5</f>
        <v>2050</v>
      </c>
      <c r="L48" s="32" t="n">
        <f aca="false">'Aturan &amp; Tarif'!$B$6</f>
        <v>350</v>
      </c>
      <c r="M48" s="35" t="n">
        <f aca="false">I48+J48+K48+L48</f>
        <v>7062.72</v>
      </c>
      <c r="N48" s="37" t="s">
        <v>1836</v>
      </c>
    </row>
    <row r="49" customFormat="false" ht="14.25" hidden="false" customHeight="true" outlineLevel="0" collapsed="false">
      <c r="A49" s="29"/>
      <c r="B49" s="30" t="s">
        <v>1837</v>
      </c>
      <c r="C49" s="31" t="s">
        <v>127</v>
      </c>
      <c r="D49" s="31" t="s">
        <v>108</v>
      </c>
      <c r="E49" s="32" t="n">
        <v>5000</v>
      </c>
      <c r="F49" s="32" t="n">
        <v>150</v>
      </c>
      <c r="G49" s="32" t="n">
        <v>250</v>
      </c>
      <c r="H49" s="33" t="n">
        <v>2</v>
      </c>
      <c r="I49" s="34" t="n">
        <f aca="false">E49*H49+N(F49)+N(G49)</f>
        <v>10400</v>
      </c>
      <c r="J49" s="32" t="n">
        <f aca="false">ROUND(IFERROR(ROUND(IF(OR(ISNUMBER(SEARCH("week",C49)),ISNUMBER(SEARCH("minggu",C49))),IFERROR(_xlfn.NUMBERVALUE(SUBSTITUTE(LEFT(TRIM(C49),FIND(" ",TRIM(C49)&amp;" ")-1),",","."),"."),LEFT(SUBSTITUTE(LEFT(TRIM(C49),FIND(" ",TRIM(C49)&amp;" ")-1),",","."),FIND("/",SUBSTITUTE(LEFT(TRIM(C49),FIND(" ",TRIM(C49)&amp;" ")-1),",","."))-1)/MID(SUBSTITUTE(LEFT(TRIM(C49),FIND(" ",TRIM(C49)&amp;" ")-1),",","."),FIND("/",SUBSTITUTE(LEFT(TRIM(C49),FIND(" ",TRIM(C49)&amp;" ")-1),",","."))+1,9))*12/52,IF(ISNUMBER(SEARCH("month",C49)),IFERROR(_xlfn.NUMBERVALUE(SUBSTITUTE(LEFT(TRIM(C49),FIND(" ",TRIM(C49)&amp;" ")-1),",","."),"."),LEFT(SUBSTITUTE(LEFT(TRIM(C49),FIND(" ",TRIM(C49)&amp;" ")-1),",","."),FIND("/",SUBSTITUTE(LEFT(TRIM(C49),FIND(" ",TRIM(C49)&amp;" ")-1),",","."))-1)/MID(SUBSTITUTE(LEFT(TRIM(C49),FIND(" ",TRIM(C49)&amp;" ")-1),",","."),FIND("/",SUBSTITUTE(LEFT(TRIM(C49),FIND(" ",TRIM(C49)&amp;" ")-1),",","."))+1,9)),IF(ISNUMBER(SEARCH("yea",C49)),IFERROR(_xlfn.NUMBERVALUE(SUBSTITUTE(LEFT(TRIM(C49),FIND(" ",TRIM(C49)&amp;" ")-1),",","."),"."),LEFT(SUBSTITUTE(LEFT(TRIM(C49),FIND(" ",TRIM(C49)&amp;" ")-1),",","."),FIND("/",SUBSTITUTE(LEFT(TRIM(C49),FIND(" ",TRIM(C49)&amp;" ")-1),",","."))-1)/MID(SUBSTITUTE(LEFT(TRIM(C49),FIND(" ",TRIM(C49)&amp;" ")-1),",","."),FIND("/",SUBSTITUTE(LEFT(TRIM(C49),FIND(" ",TRIM(C49)&amp;" ")-1),",","."))+1,9))*12,NA()))),0),36)*'Aturan &amp; Tarif'!$B$4,2)</f>
        <v>2044.08</v>
      </c>
      <c r="K49" s="32" t="n">
        <f aca="false">'Aturan &amp; Tarif'!$B$5</f>
        <v>2050</v>
      </c>
      <c r="L49" s="32" t="n">
        <f aca="false">'Aturan &amp; Tarif'!$B$6</f>
        <v>350</v>
      </c>
      <c r="M49" s="35" t="n">
        <f aca="false">I49+J49+K49+L49</f>
        <v>14844.08</v>
      </c>
      <c r="N49" s="37" t="s">
        <v>624</v>
      </c>
    </row>
    <row r="50" customFormat="false" ht="25.5" hidden="false" customHeight="true" outlineLevel="0" collapsed="false">
      <c r="A50" s="29"/>
      <c r="B50" s="30" t="s">
        <v>881</v>
      </c>
      <c r="C50" s="31" t="s">
        <v>107</v>
      </c>
      <c r="D50" s="31" t="s">
        <v>108</v>
      </c>
      <c r="E50" s="32" t="n">
        <v>2300</v>
      </c>
      <c r="F50" s="32" t="n">
        <v>500</v>
      </c>
      <c r="G50" s="32" t="n">
        <v>200</v>
      </c>
      <c r="H50" s="33" t="n">
        <v>2</v>
      </c>
      <c r="I50" s="34" t="n">
        <f aca="false">E50*H50+N(F50)+N(G50)</f>
        <v>5300</v>
      </c>
      <c r="J50" s="32" t="n">
        <f aca="false">ROUND(IFERROR(ROUND(IF(OR(ISNUMBER(SEARCH("week",C50)),ISNUMBER(SEARCH("minggu",C50))),IFERROR(_xlfn.NUMBERVALUE(SUBSTITUTE(LEFT(TRIM(C50),FIND(" ",TRIM(C50)&amp;" ")-1),",","."),"."),LEFT(SUBSTITUTE(LEFT(TRIM(C50),FIND(" ",TRIM(C50)&amp;" ")-1),",","."),FIND("/",SUBSTITUTE(LEFT(TRIM(C50),FIND(" ",TRIM(C50)&amp;" ")-1),",","."))-1)/MID(SUBSTITUTE(LEFT(TRIM(C50),FIND(" ",TRIM(C50)&amp;" ")-1),",","."),FIND("/",SUBSTITUTE(LEFT(TRIM(C50),FIND(" ",TRIM(C50)&amp;" ")-1),",","."))+1,9))*12/52,IF(ISNUMBER(SEARCH("month",C50)),IFERROR(_xlfn.NUMBERVALUE(SUBSTITUTE(LEFT(TRIM(C50),FIND(" ",TRIM(C50)&amp;" ")-1),",","."),"."),LEFT(SUBSTITUTE(LEFT(TRIM(C50),FIND(" ",TRIM(C50)&amp;" ")-1),",","."),FIND("/",SUBSTITUTE(LEFT(TRIM(C50),FIND(" ",TRIM(C50)&amp;" ")-1),",","."))-1)/MID(SUBSTITUTE(LEFT(TRIM(C50),FIND(" ",TRIM(C50)&amp;" ")-1),",","."),FIND("/",SUBSTITUTE(LEFT(TRIM(C50),FIND(" ",TRIM(C50)&amp;" ")-1),",","."))+1,9)),IF(ISNUMBER(SEARCH("yea",C50)),IFERROR(_xlfn.NUMBERVALUE(SUBSTITUTE(LEFT(TRIM(C50),FIND(" ",TRIM(C50)&amp;" ")-1),",","."),"."),LEFT(SUBSTITUTE(LEFT(TRIM(C50),FIND(" ",TRIM(C50)&amp;" ")-1),",","."),FIND("/",SUBSTITUTE(LEFT(TRIM(C50),FIND(" ",TRIM(C50)&amp;" ")-1),",","."))-1)/MID(SUBSTITUTE(LEFT(TRIM(C50),FIND(" ",TRIM(C50)&amp;" ")-1),",","."),FIND("/",SUBSTITUTE(LEFT(TRIM(C50),FIND(" ",TRIM(C50)&amp;" ")-1),",","."))+1,9))*12,NA()))),0),24)*'Aturan &amp; Tarif'!$B$4,2)</f>
        <v>1362.72</v>
      </c>
      <c r="K50" s="32" t="n">
        <f aca="false">'Aturan &amp; Tarif'!$B$5</f>
        <v>2050</v>
      </c>
      <c r="L50" s="32" t="n">
        <f aca="false">'Aturan &amp; Tarif'!$B$6</f>
        <v>350</v>
      </c>
      <c r="M50" s="35" t="n">
        <f aca="false">I50+J50+K50+L50</f>
        <v>9062.72</v>
      </c>
      <c r="N50" s="37" t="s">
        <v>624</v>
      </c>
    </row>
    <row r="51" customFormat="false" ht="60" hidden="false" customHeight="true" outlineLevel="0" collapsed="false">
      <c r="A51" s="29"/>
      <c r="B51" s="30" t="s">
        <v>1693</v>
      </c>
      <c r="C51" s="31" t="s">
        <v>107</v>
      </c>
      <c r="D51" s="31" t="s">
        <v>108</v>
      </c>
      <c r="E51" s="32" t="n">
        <v>2250</v>
      </c>
      <c r="F51" s="32" t="n">
        <v>400</v>
      </c>
      <c r="G51" s="32" t="n">
        <v>200</v>
      </c>
      <c r="H51" s="33" t="n">
        <v>2</v>
      </c>
      <c r="I51" s="34" t="n">
        <f aca="false">E51*H51+N(F51)+N(G51)</f>
        <v>5100</v>
      </c>
      <c r="J51" s="32" t="n">
        <f aca="false">ROUND(IFERROR(ROUND(IF(OR(ISNUMBER(SEARCH("week",C51)),ISNUMBER(SEARCH("minggu",C51))),IFERROR(_xlfn.NUMBERVALUE(SUBSTITUTE(LEFT(TRIM(C51),FIND(" ",TRIM(C51)&amp;" ")-1),",","."),"."),LEFT(SUBSTITUTE(LEFT(TRIM(C51),FIND(" ",TRIM(C51)&amp;" ")-1),",","."),FIND("/",SUBSTITUTE(LEFT(TRIM(C51),FIND(" ",TRIM(C51)&amp;" ")-1),",","."))-1)/MID(SUBSTITUTE(LEFT(TRIM(C51),FIND(" ",TRIM(C51)&amp;" ")-1),",","."),FIND("/",SUBSTITUTE(LEFT(TRIM(C51),FIND(" ",TRIM(C51)&amp;" ")-1),",","."))+1,9))*12/52,IF(ISNUMBER(SEARCH("month",C51)),IFERROR(_xlfn.NUMBERVALUE(SUBSTITUTE(LEFT(TRIM(C51),FIND(" ",TRIM(C51)&amp;" ")-1),",","."),"."),LEFT(SUBSTITUTE(LEFT(TRIM(C51),FIND(" ",TRIM(C51)&amp;" ")-1),",","."),FIND("/",SUBSTITUTE(LEFT(TRIM(C51),FIND(" ",TRIM(C51)&amp;" ")-1),",","."))-1)/MID(SUBSTITUTE(LEFT(TRIM(C51),FIND(" ",TRIM(C51)&amp;" ")-1),",","."),FIND("/",SUBSTITUTE(LEFT(TRIM(C51),FIND(" ",TRIM(C51)&amp;" ")-1),",","."))+1,9)),IF(ISNUMBER(SEARCH("yea",C51)),IFERROR(_xlfn.NUMBERVALUE(SUBSTITUTE(LEFT(TRIM(C51),FIND(" ",TRIM(C51)&amp;" ")-1),",","."),"."),LEFT(SUBSTITUTE(LEFT(TRIM(C51),FIND(" ",TRIM(C51)&amp;" ")-1),",","."),FIND("/",SUBSTITUTE(LEFT(TRIM(C51),FIND(" ",TRIM(C51)&amp;" ")-1),",","."))-1)/MID(SUBSTITUTE(LEFT(TRIM(C51),FIND(" ",TRIM(C51)&amp;" ")-1),",","."),FIND("/",SUBSTITUTE(LEFT(TRIM(C51),FIND(" ",TRIM(C51)&amp;" ")-1),",","."))+1,9))*12,NA()))),0),24)*'Aturan &amp; Tarif'!$B$4,2)</f>
        <v>1362.72</v>
      </c>
      <c r="K51" s="32" t="n">
        <f aca="false">'Aturan &amp; Tarif'!$B$5</f>
        <v>2050</v>
      </c>
      <c r="L51" s="32" t="n">
        <f aca="false">'Aturan &amp; Tarif'!$B$6</f>
        <v>350</v>
      </c>
      <c r="M51" s="35" t="n">
        <f aca="false">I51+J51+K51+L51</f>
        <v>8862.72</v>
      </c>
      <c r="N51" s="36" t="s">
        <v>1838</v>
      </c>
    </row>
    <row r="52" customFormat="false" ht="37.5" hidden="false" customHeight="true" outlineLevel="0" collapsed="false">
      <c r="A52" s="29"/>
      <c r="B52" s="30" t="s">
        <v>1839</v>
      </c>
      <c r="C52" s="31" t="s">
        <v>486</v>
      </c>
      <c r="D52" s="31" t="s">
        <v>108</v>
      </c>
      <c r="E52" s="32" t="n">
        <v>3000</v>
      </c>
      <c r="F52" s="32" t="n">
        <v>100</v>
      </c>
      <c r="G52" s="32" t="n">
        <v>200</v>
      </c>
      <c r="H52" s="33" t="n">
        <v>2</v>
      </c>
      <c r="I52" s="34" t="n">
        <f aca="false">E52*H52+N(F52)+N(G52)</f>
        <v>6300</v>
      </c>
      <c r="J52" s="32" t="n">
        <f aca="false">ROUND(IFERROR(ROUND(IF(OR(ISNUMBER(SEARCH("week",C52)),ISNUMBER(SEARCH("minggu",C52))),IFERROR(_xlfn.NUMBERVALUE(SUBSTITUTE(LEFT(TRIM(C52),FIND(" ",TRIM(C52)&amp;" ")-1),",","."),"."),LEFT(SUBSTITUTE(LEFT(TRIM(C52),FIND(" ",TRIM(C52)&amp;" ")-1),",","."),FIND("/",SUBSTITUTE(LEFT(TRIM(C52),FIND(" ",TRIM(C52)&amp;" ")-1),",","."))-1)/MID(SUBSTITUTE(LEFT(TRIM(C52),FIND(" ",TRIM(C52)&amp;" ")-1),",","."),FIND("/",SUBSTITUTE(LEFT(TRIM(C52),FIND(" ",TRIM(C52)&amp;" ")-1),",","."))+1,9))*12/52,IF(ISNUMBER(SEARCH("month",C52)),IFERROR(_xlfn.NUMBERVALUE(SUBSTITUTE(LEFT(TRIM(C52),FIND(" ",TRIM(C52)&amp;" ")-1),",","."),"."),LEFT(SUBSTITUTE(LEFT(TRIM(C52),FIND(" ",TRIM(C52)&amp;" ")-1),",","."),FIND("/",SUBSTITUTE(LEFT(TRIM(C52),FIND(" ",TRIM(C52)&amp;" ")-1),",","."))-1)/MID(SUBSTITUTE(LEFT(TRIM(C52),FIND(" ",TRIM(C52)&amp;" ")-1),",","."),FIND("/",SUBSTITUTE(LEFT(TRIM(C52),FIND(" ",TRIM(C52)&amp;" ")-1),",","."))+1,9)),IF(ISNUMBER(SEARCH("yea",C52)),IFERROR(_xlfn.NUMBERVALUE(SUBSTITUTE(LEFT(TRIM(C52),FIND(" ",TRIM(C52)&amp;" ")-1),",","."),"."),LEFT(SUBSTITUTE(LEFT(TRIM(C52),FIND(" ",TRIM(C52)&amp;" ")-1),",","."),FIND("/",SUBSTITUTE(LEFT(TRIM(C52),FIND(" ",TRIM(C52)&amp;" ")-1),",","."))-1)/MID(SUBSTITUTE(LEFT(TRIM(C52),FIND(" ",TRIM(C52)&amp;" ")-1),",","."),FIND("/",SUBSTITUTE(LEFT(TRIM(C52),FIND(" ",TRIM(C52)&amp;" ")-1),",","."))+1,9))*12,NA()))),0),12)*'Aturan &amp; Tarif'!$B$4,2)</f>
        <v>681.36</v>
      </c>
      <c r="K52" s="32" t="n">
        <f aca="false">'Aturan &amp; Tarif'!$B$5</f>
        <v>2050</v>
      </c>
      <c r="L52" s="32" t="n">
        <f aca="false">'Aturan &amp; Tarif'!$B$6</f>
        <v>350</v>
      </c>
      <c r="M52" s="35" t="n">
        <f aca="false">I52+J52+K52+L52</f>
        <v>9381.36</v>
      </c>
      <c r="N52" s="36" t="s">
        <v>1840</v>
      </c>
    </row>
    <row r="53" customFormat="false" ht="25.5" hidden="false" customHeight="true" outlineLevel="0" collapsed="false">
      <c r="A53" s="39" t="s">
        <v>1841</v>
      </c>
      <c r="B53" s="40" t="s">
        <v>1842</v>
      </c>
      <c r="C53" s="41" t="s">
        <v>127</v>
      </c>
      <c r="D53" s="41" t="s">
        <v>108</v>
      </c>
      <c r="E53" s="42" t="n">
        <v>5750</v>
      </c>
      <c r="F53" s="42"/>
      <c r="G53" s="42" t="n">
        <v>200</v>
      </c>
      <c r="H53" s="43" t="n">
        <v>2</v>
      </c>
      <c r="I53" s="34" t="n">
        <f aca="false">E53*H53+N(F53)+N(G53)</f>
        <v>11700</v>
      </c>
      <c r="J53" s="42" t="n">
        <f aca="false">ROUND(IFERROR(ROUND(IF(OR(ISNUMBER(SEARCH("week",C53)),ISNUMBER(SEARCH("minggu",C53))),IFERROR(_xlfn.NUMBERVALUE(SUBSTITUTE(LEFT(TRIM(C53),FIND(" ",TRIM(C53)&amp;" ")-1),",","."),"."),LEFT(SUBSTITUTE(LEFT(TRIM(C53),FIND(" ",TRIM(C53)&amp;" ")-1),",","."),FIND("/",SUBSTITUTE(LEFT(TRIM(C53),FIND(" ",TRIM(C53)&amp;" ")-1),",","."))-1)/MID(SUBSTITUTE(LEFT(TRIM(C53),FIND(" ",TRIM(C53)&amp;" ")-1),",","."),FIND("/",SUBSTITUTE(LEFT(TRIM(C53),FIND(" ",TRIM(C53)&amp;" ")-1),",","."))+1,9))*12/52,IF(ISNUMBER(SEARCH("month",C53)),IFERROR(_xlfn.NUMBERVALUE(SUBSTITUTE(LEFT(TRIM(C53),FIND(" ",TRIM(C53)&amp;" ")-1),",","."),"."),LEFT(SUBSTITUTE(LEFT(TRIM(C53),FIND(" ",TRIM(C53)&amp;" ")-1),",","."),FIND("/",SUBSTITUTE(LEFT(TRIM(C53),FIND(" ",TRIM(C53)&amp;" ")-1),",","."))-1)/MID(SUBSTITUTE(LEFT(TRIM(C53),FIND(" ",TRIM(C53)&amp;" ")-1),",","."),FIND("/",SUBSTITUTE(LEFT(TRIM(C53),FIND(" ",TRIM(C53)&amp;" ")-1),",","."))+1,9)),IF(ISNUMBER(SEARCH("yea",C53)),IFERROR(_xlfn.NUMBERVALUE(SUBSTITUTE(LEFT(TRIM(C53),FIND(" ",TRIM(C53)&amp;" ")-1),",","."),"."),LEFT(SUBSTITUTE(LEFT(TRIM(C53),FIND(" ",TRIM(C53)&amp;" ")-1),",","."),FIND("/",SUBSTITUTE(LEFT(TRIM(C53),FIND(" ",TRIM(C53)&amp;" ")-1),",","."))-1)/MID(SUBSTITUTE(LEFT(TRIM(C53),FIND(" ",TRIM(C53)&amp;" ")-1),",","."),FIND("/",SUBSTITUTE(LEFT(TRIM(C53),FIND(" ",TRIM(C53)&amp;" ")-1),",","."))+1,9))*12,NA()))),0),36)*'Aturan &amp; Tarif'!$B$4,2)</f>
        <v>2044.08</v>
      </c>
      <c r="K53" s="42" t="n">
        <f aca="false">'Aturan &amp; Tarif'!$B$5</f>
        <v>2050</v>
      </c>
      <c r="L53" s="42" t="n">
        <f aca="false">'Aturan &amp; Tarif'!$B$6</f>
        <v>350</v>
      </c>
      <c r="M53" s="35" t="n">
        <f aca="false">I53+J53+K53+L53</f>
        <v>16144.08</v>
      </c>
      <c r="N53" s="45" t="s">
        <v>1843</v>
      </c>
    </row>
    <row r="54" customFormat="false" ht="25.5" hidden="false" customHeight="true" outlineLevel="0" collapsed="false">
      <c r="A54" s="39"/>
      <c r="B54" s="40" t="s">
        <v>1844</v>
      </c>
      <c r="C54" s="41" t="s">
        <v>127</v>
      </c>
      <c r="D54" s="41" t="s">
        <v>108</v>
      </c>
      <c r="E54" s="42" t="n">
        <v>5750</v>
      </c>
      <c r="F54" s="42" t="n">
        <v>200</v>
      </c>
      <c r="G54" s="42" t="n">
        <v>200</v>
      </c>
      <c r="H54" s="43" t="n">
        <v>2</v>
      </c>
      <c r="I54" s="34" t="n">
        <f aca="false">E54*H54+N(F54)+N(G54)</f>
        <v>11900</v>
      </c>
      <c r="J54" s="42" t="n">
        <f aca="false">ROUND(IFERROR(ROUND(IF(OR(ISNUMBER(SEARCH("week",C54)),ISNUMBER(SEARCH("minggu",C54))),IFERROR(_xlfn.NUMBERVALUE(SUBSTITUTE(LEFT(TRIM(C54),FIND(" ",TRIM(C54)&amp;" ")-1),",","."),"."),LEFT(SUBSTITUTE(LEFT(TRIM(C54),FIND(" ",TRIM(C54)&amp;" ")-1),",","."),FIND("/",SUBSTITUTE(LEFT(TRIM(C54),FIND(" ",TRIM(C54)&amp;" ")-1),",","."))-1)/MID(SUBSTITUTE(LEFT(TRIM(C54),FIND(" ",TRIM(C54)&amp;" ")-1),",","."),FIND("/",SUBSTITUTE(LEFT(TRIM(C54),FIND(" ",TRIM(C54)&amp;" ")-1),",","."))+1,9))*12/52,IF(ISNUMBER(SEARCH("month",C54)),IFERROR(_xlfn.NUMBERVALUE(SUBSTITUTE(LEFT(TRIM(C54),FIND(" ",TRIM(C54)&amp;" ")-1),",","."),"."),LEFT(SUBSTITUTE(LEFT(TRIM(C54),FIND(" ",TRIM(C54)&amp;" ")-1),",","."),FIND("/",SUBSTITUTE(LEFT(TRIM(C54),FIND(" ",TRIM(C54)&amp;" ")-1),",","."))-1)/MID(SUBSTITUTE(LEFT(TRIM(C54),FIND(" ",TRIM(C54)&amp;" ")-1),",","."),FIND("/",SUBSTITUTE(LEFT(TRIM(C54),FIND(" ",TRIM(C54)&amp;" ")-1),",","."))+1,9)),IF(ISNUMBER(SEARCH("yea",C54)),IFERROR(_xlfn.NUMBERVALUE(SUBSTITUTE(LEFT(TRIM(C54),FIND(" ",TRIM(C54)&amp;" ")-1),",","."),"."),LEFT(SUBSTITUTE(LEFT(TRIM(C54),FIND(" ",TRIM(C54)&amp;" ")-1),",","."),FIND("/",SUBSTITUTE(LEFT(TRIM(C54),FIND(" ",TRIM(C54)&amp;" ")-1),",","."))-1)/MID(SUBSTITUTE(LEFT(TRIM(C54),FIND(" ",TRIM(C54)&amp;" ")-1),",","."),FIND("/",SUBSTITUTE(LEFT(TRIM(C54),FIND(" ",TRIM(C54)&amp;" ")-1),",","."))+1,9))*12,NA()))),0),36)*'Aturan &amp; Tarif'!$B$4,2)</f>
        <v>2044.08</v>
      </c>
      <c r="K54" s="42" t="n">
        <f aca="false">'Aturan &amp; Tarif'!$B$5</f>
        <v>2050</v>
      </c>
      <c r="L54" s="42" t="n">
        <f aca="false">'Aturan &amp; Tarif'!$B$6</f>
        <v>350</v>
      </c>
      <c r="M54" s="35" t="n">
        <f aca="false">I54+J54+K54+L54</f>
        <v>16344.08</v>
      </c>
      <c r="N54" s="44" t="s">
        <v>1845</v>
      </c>
    </row>
    <row r="55" customFormat="false" ht="72" hidden="false" customHeight="true" outlineLevel="0" collapsed="false">
      <c r="A55" s="39"/>
      <c r="B55" s="40" t="s">
        <v>1846</v>
      </c>
      <c r="C55" s="41" t="s">
        <v>127</v>
      </c>
      <c r="D55" s="41" t="s">
        <v>108</v>
      </c>
      <c r="E55" s="42" t="n">
        <v>5750</v>
      </c>
      <c r="F55" s="42"/>
      <c r="G55" s="42" t="n">
        <v>200</v>
      </c>
      <c r="H55" s="43" t="n">
        <v>2</v>
      </c>
      <c r="I55" s="34" t="n">
        <f aca="false">E55*H55+N(F55)+N(G55)</f>
        <v>11700</v>
      </c>
      <c r="J55" s="42" t="n">
        <f aca="false">ROUND(IFERROR(ROUND(IF(OR(ISNUMBER(SEARCH("week",C55)),ISNUMBER(SEARCH("minggu",C55))),IFERROR(_xlfn.NUMBERVALUE(SUBSTITUTE(LEFT(TRIM(C55),FIND(" ",TRIM(C55)&amp;" ")-1),",","."),"."),LEFT(SUBSTITUTE(LEFT(TRIM(C55),FIND(" ",TRIM(C55)&amp;" ")-1),",","."),FIND("/",SUBSTITUTE(LEFT(TRIM(C55),FIND(" ",TRIM(C55)&amp;" ")-1),",","."))-1)/MID(SUBSTITUTE(LEFT(TRIM(C55),FIND(" ",TRIM(C55)&amp;" ")-1),",","."),FIND("/",SUBSTITUTE(LEFT(TRIM(C55),FIND(" ",TRIM(C55)&amp;" ")-1),",","."))+1,9))*12/52,IF(ISNUMBER(SEARCH("month",C55)),IFERROR(_xlfn.NUMBERVALUE(SUBSTITUTE(LEFT(TRIM(C55),FIND(" ",TRIM(C55)&amp;" ")-1),",","."),"."),LEFT(SUBSTITUTE(LEFT(TRIM(C55),FIND(" ",TRIM(C55)&amp;" ")-1),",","."),FIND("/",SUBSTITUTE(LEFT(TRIM(C55),FIND(" ",TRIM(C55)&amp;" ")-1),",","."))-1)/MID(SUBSTITUTE(LEFT(TRIM(C55),FIND(" ",TRIM(C55)&amp;" ")-1),",","."),FIND("/",SUBSTITUTE(LEFT(TRIM(C55),FIND(" ",TRIM(C55)&amp;" ")-1),",","."))+1,9)),IF(ISNUMBER(SEARCH("yea",C55)),IFERROR(_xlfn.NUMBERVALUE(SUBSTITUTE(LEFT(TRIM(C55),FIND(" ",TRIM(C55)&amp;" ")-1),",","."),"."),LEFT(SUBSTITUTE(LEFT(TRIM(C55),FIND(" ",TRIM(C55)&amp;" ")-1),",","."),FIND("/",SUBSTITUTE(LEFT(TRIM(C55),FIND(" ",TRIM(C55)&amp;" ")-1),",","."))-1)/MID(SUBSTITUTE(LEFT(TRIM(C55),FIND(" ",TRIM(C55)&amp;" ")-1),",","."),FIND("/",SUBSTITUTE(LEFT(TRIM(C55),FIND(" ",TRIM(C55)&amp;" ")-1),",","."))+1,9))*12,NA()))),0),36)*'Aturan &amp; Tarif'!$B$4,2)</f>
        <v>2044.08</v>
      </c>
      <c r="K55" s="42" t="n">
        <f aca="false">'Aturan &amp; Tarif'!$B$5</f>
        <v>2050</v>
      </c>
      <c r="L55" s="42" t="n">
        <f aca="false">'Aturan &amp; Tarif'!$B$6</f>
        <v>350</v>
      </c>
      <c r="M55" s="35" t="n">
        <f aca="false">I55+J55+K55+L55</f>
        <v>16144.08</v>
      </c>
      <c r="N55" s="45" t="s">
        <v>1847</v>
      </c>
    </row>
    <row r="56" customFormat="false" ht="14.25" hidden="false" customHeight="true" outlineLevel="0" collapsed="false">
      <c r="A56" s="39"/>
      <c r="B56" s="40" t="s">
        <v>1848</v>
      </c>
      <c r="C56" s="41" t="s">
        <v>127</v>
      </c>
      <c r="D56" s="41" t="s">
        <v>108</v>
      </c>
      <c r="E56" s="42" t="n">
        <v>5750</v>
      </c>
      <c r="F56" s="42" t="n">
        <v>200</v>
      </c>
      <c r="G56" s="42" t="n">
        <v>200</v>
      </c>
      <c r="H56" s="43" t="n">
        <v>2</v>
      </c>
      <c r="I56" s="34" t="n">
        <f aca="false">E56*H56+N(F56)+N(G56)</f>
        <v>11900</v>
      </c>
      <c r="J56" s="42" t="n">
        <f aca="false">ROUND(IFERROR(ROUND(IF(OR(ISNUMBER(SEARCH("week",C56)),ISNUMBER(SEARCH("minggu",C56))),IFERROR(_xlfn.NUMBERVALUE(SUBSTITUTE(LEFT(TRIM(C56),FIND(" ",TRIM(C56)&amp;" ")-1),",","."),"."),LEFT(SUBSTITUTE(LEFT(TRIM(C56),FIND(" ",TRIM(C56)&amp;" ")-1),",","."),FIND("/",SUBSTITUTE(LEFT(TRIM(C56),FIND(" ",TRIM(C56)&amp;" ")-1),",","."))-1)/MID(SUBSTITUTE(LEFT(TRIM(C56),FIND(" ",TRIM(C56)&amp;" ")-1),",","."),FIND("/",SUBSTITUTE(LEFT(TRIM(C56),FIND(" ",TRIM(C56)&amp;" ")-1),",","."))+1,9))*12/52,IF(ISNUMBER(SEARCH("month",C56)),IFERROR(_xlfn.NUMBERVALUE(SUBSTITUTE(LEFT(TRIM(C56),FIND(" ",TRIM(C56)&amp;" ")-1),",","."),"."),LEFT(SUBSTITUTE(LEFT(TRIM(C56),FIND(" ",TRIM(C56)&amp;" ")-1),",","."),FIND("/",SUBSTITUTE(LEFT(TRIM(C56),FIND(" ",TRIM(C56)&amp;" ")-1),",","."))-1)/MID(SUBSTITUTE(LEFT(TRIM(C56),FIND(" ",TRIM(C56)&amp;" ")-1),",","."),FIND("/",SUBSTITUTE(LEFT(TRIM(C56),FIND(" ",TRIM(C56)&amp;" ")-1),",","."))+1,9)),IF(ISNUMBER(SEARCH("yea",C56)),IFERROR(_xlfn.NUMBERVALUE(SUBSTITUTE(LEFT(TRIM(C56),FIND(" ",TRIM(C56)&amp;" ")-1),",","."),"."),LEFT(SUBSTITUTE(LEFT(TRIM(C56),FIND(" ",TRIM(C56)&amp;" ")-1),",","."),FIND("/",SUBSTITUTE(LEFT(TRIM(C56),FIND(" ",TRIM(C56)&amp;" ")-1),",","."))-1)/MID(SUBSTITUTE(LEFT(TRIM(C56),FIND(" ",TRIM(C56)&amp;" ")-1),",","."),FIND("/",SUBSTITUTE(LEFT(TRIM(C56),FIND(" ",TRIM(C56)&amp;" ")-1),",","."))+1,9))*12,NA()))),0),36)*'Aturan &amp; Tarif'!$B$4,2)</f>
        <v>2044.08</v>
      </c>
      <c r="K56" s="42" t="n">
        <f aca="false">'Aturan &amp; Tarif'!$B$5</f>
        <v>2050</v>
      </c>
      <c r="L56" s="42" t="n">
        <f aca="false">'Aturan &amp; Tarif'!$B$6</f>
        <v>350</v>
      </c>
      <c r="M56" s="35" t="n">
        <f aca="false">I56+J56+K56+L56</f>
        <v>16344.08</v>
      </c>
      <c r="N56" s="44" t="s">
        <v>1849</v>
      </c>
    </row>
    <row r="57" customFormat="false" ht="72" hidden="false" customHeight="true" outlineLevel="0" collapsed="false">
      <c r="A57" s="39"/>
      <c r="B57" s="40" t="s">
        <v>1850</v>
      </c>
      <c r="C57" s="41" t="s">
        <v>127</v>
      </c>
      <c r="D57" s="41" t="s">
        <v>108</v>
      </c>
      <c r="E57" s="42" t="n">
        <v>5750</v>
      </c>
      <c r="F57" s="42"/>
      <c r="G57" s="42" t="n">
        <v>200</v>
      </c>
      <c r="H57" s="43" t="n">
        <v>2</v>
      </c>
      <c r="I57" s="34" t="n">
        <f aca="false">E57*H57+N(F57)+N(G57)</f>
        <v>11700</v>
      </c>
      <c r="J57" s="42" t="n">
        <f aca="false">ROUND(IFERROR(ROUND(IF(OR(ISNUMBER(SEARCH("week",C57)),ISNUMBER(SEARCH("minggu",C57))),IFERROR(_xlfn.NUMBERVALUE(SUBSTITUTE(LEFT(TRIM(C57),FIND(" ",TRIM(C57)&amp;" ")-1),",","."),"."),LEFT(SUBSTITUTE(LEFT(TRIM(C57),FIND(" ",TRIM(C57)&amp;" ")-1),",","."),FIND("/",SUBSTITUTE(LEFT(TRIM(C57),FIND(" ",TRIM(C57)&amp;" ")-1),",","."))-1)/MID(SUBSTITUTE(LEFT(TRIM(C57),FIND(" ",TRIM(C57)&amp;" ")-1),",","."),FIND("/",SUBSTITUTE(LEFT(TRIM(C57),FIND(" ",TRIM(C57)&amp;" ")-1),",","."))+1,9))*12/52,IF(ISNUMBER(SEARCH("month",C57)),IFERROR(_xlfn.NUMBERVALUE(SUBSTITUTE(LEFT(TRIM(C57),FIND(" ",TRIM(C57)&amp;" ")-1),",","."),"."),LEFT(SUBSTITUTE(LEFT(TRIM(C57),FIND(" ",TRIM(C57)&amp;" ")-1),",","."),FIND("/",SUBSTITUTE(LEFT(TRIM(C57),FIND(" ",TRIM(C57)&amp;" ")-1),",","."))-1)/MID(SUBSTITUTE(LEFT(TRIM(C57),FIND(" ",TRIM(C57)&amp;" ")-1),",","."),FIND("/",SUBSTITUTE(LEFT(TRIM(C57),FIND(" ",TRIM(C57)&amp;" ")-1),",","."))+1,9)),IF(ISNUMBER(SEARCH("yea",C57)),IFERROR(_xlfn.NUMBERVALUE(SUBSTITUTE(LEFT(TRIM(C57),FIND(" ",TRIM(C57)&amp;" ")-1),",","."),"."),LEFT(SUBSTITUTE(LEFT(TRIM(C57),FIND(" ",TRIM(C57)&amp;" ")-1),",","."),FIND("/",SUBSTITUTE(LEFT(TRIM(C57),FIND(" ",TRIM(C57)&amp;" ")-1),",","."))-1)/MID(SUBSTITUTE(LEFT(TRIM(C57),FIND(" ",TRIM(C57)&amp;" ")-1),",","."),FIND("/",SUBSTITUTE(LEFT(TRIM(C57),FIND(" ",TRIM(C57)&amp;" ")-1),",","."))+1,9))*12,NA()))),0),36)*'Aturan &amp; Tarif'!$B$4,2)</f>
        <v>2044.08</v>
      </c>
      <c r="K57" s="42" t="n">
        <f aca="false">'Aturan &amp; Tarif'!$B$5</f>
        <v>2050</v>
      </c>
      <c r="L57" s="42" t="n">
        <f aca="false">'Aturan &amp; Tarif'!$B$6</f>
        <v>350</v>
      </c>
      <c r="M57" s="35" t="n">
        <f aca="false">I57+J57+K57+L57</f>
        <v>16144.08</v>
      </c>
      <c r="N57" s="44" t="s">
        <v>1851</v>
      </c>
    </row>
    <row r="58" customFormat="false" ht="60" hidden="false" customHeight="true" outlineLevel="0" collapsed="false">
      <c r="A58" s="39"/>
      <c r="B58" s="40" t="s">
        <v>1852</v>
      </c>
      <c r="C58" s="41" t="s">
        <v>130</v>
      </c>
      <c r="D58" s="41" t="s">
        <v>108</v>
      </c>
      <c r="E58" s="42" t="n">
        <v>5750</v>
      </c>
      <c r="F58" s="42"/>
      <c r="G58" s="42" t="n">
        <v>200</v>
      </c>
      <c r="H58" s="43" t="n">
        <v>2</v>
      </c>
      <c r="I58" s="34" t="n">
        <f aca="false">E58*H58+N(F58)+N(G58)</f>
        <v>11700</v>
      </c>
      <c r="J58" s="42" t="n">
        <f aca="false">ROUND(IFERROR(ROUND(IF(OR(ISNUMBER(SEARCH("week",C58)),ISNUMBER(SEARCH("minggu",C58))),IFERROR(_xlfn.NUMBERVALUE(SUBSTITUTE(LEFT(TRIM(C58),FIND(" ",TRIM(C58)&amp;" ")-1),",","."),"."),LEFT(SUBSTITUTE(LEFT(TRIM(C58),FIND(" ",TRIM(C58)&amp;" ")-1),",","."),FIND("/",SUBSTITUTE(LEFT(TRIM(C58),FIND(" ",TRIM(C58)&amp;" ")-1),",","."))-1)/MID(SUBSTITUTE(LEFT(TRIM(C58),FIND(" ",TRIM(C58)&amp;" ")-1),",","."),FIND("/",SUBSTITUTE(LEFT(TRIM(C58),FIND(" ",TRIM(C58)&amp;" ")-1),",","."))+1,9))*12/52,IF(ISNUMBER(SEARCH("month",C58)),IFERROR(_xlfn.NUMBERVALUE(SUBSTITUTE(LEFT(TRIM(C58),FIND(" ",TRIM(C58)&amp;" ")-1),",","."),"."),LEFT(SUBSTITUTE(LEFT(TRIM(C58),FIND(" ",TRIM(C58)&amp;" ")-1),",","."),FIND("/",SUBSTITUTE(LEFT(TRIM(C58),FIND(" ",TRIM(C58)&amp;" ")-1),",","."))-1)/MID(SUBSTITUTE(LEFT(TRIM(C58),FIND(" ",TRIM(C58)&amp;" ")-1),",","."),FIND("/",SUBSTITUTE(LEFT(TRIM(C58),FIND(" ",TRIM(C58)&amp;" ")-1),",","."))+1,9)),IF(ISNUMBER(SEARCH("yea",C58)),IFERROR(_xlfn.NUMBERVALUE(SUBSTITUTE(LEFT(TRIM(C58),FIND(" ",TRIM(C58)&amp;" ")-1),",","."),"."),LEFT(SUBSTITUTE(LEFT(TRIM(C58),FIND(" ",TRIM(C58)&amp;" ")-1),",","."),FIND("/",SUBSTITUTE(LEFT(TRIM(C58),FIND(" ",TRIM(C58)&amp;" ")-1),",","."))-1)/MID(SUBSTITUTE(LEFT(TRIM(C58),FIND(" ",TRIM(C58)&amp;" ")-1),",","."),FIND("/",SUBSTITUTE(LEFT(TRIM(C58),FIND(" ",TRIM(C58)&amp;" ")-1),",","."))+1,9))*12,NA()))),0),12)*'Aturan &amp; Tarif'!$B$4,2)</f>
        <v>681.36</v>
      </c>
      <c r="K58" s="42" t="n">
        <f aca="false">'Aturan &amp; Tarif'!$B$5</f>
        <v>2050</v>
      </c>
      <c r="L58" s="42" t="n">
        <f aca="false">'Aturan &amp; Tarif'!$B$6</f>
        <v>350</v>
      </c>
      <c r="M58" s="35" t="n">
        <f aca="false">I58+J58+K58+L58</f>
        <v>14781.36</v>
      </c>
      <c r="N58" s="45" t="s">
        <v>1853</v>
      </c>
    </row>
    <row r="59" customFormat="false" ht="37.5" hidden="false" customHeight="true" outlineLevel="0" collapsed="false">
      <c r="A59" s="39"/>
      <c r="B59" s="40" t="s">
        <v>1854</v>
      </c>
      <c r="C59" s="41" t="s">
        <v>130</v>
      </c>
      <c r="D59" s="41" t="s">
        <v>108</v>
      </c>
      <c r="E59" s="42" t="n">
        <v>5750</v>
      </c>
      <c r="F59" s="42"/>
      <c r="G59" s="42" t="n">
        <v>200</v>
      </c>
      <c r="H59" s="43" t="n">
        <v>2</v>
      </c>
      <c r="I59" s="34" t="n">
        <f aca="false">E59*H59+N(F59)+N(G59)</f>
        <v>11700</v>
      </c>
      <c r="J59" s="42" t="n">
        <f aca="false">ROUND(IFERROR(ROUND(IF(OR(ISNUMBER(SEARCH("week",C59)),ISNUMBER(SEARCH("minggu",C59))),IFERROR(_xlfn.NUMBERVALUE(SUBSTITUTE(LEFT(TRIM(C59),FIND(" ",TRIM(C59)&amp;" ")-1),",","."),"."),LEFT(SUBSTITUTE(LEFT(TRIM(C59),FIND(" ",TRIM(C59)&amp;" ")-1),",","."),FIND("/",SUBSTITUTE(LEFT(TRIM(C59),FIND(" ",TRIM(C59)&amp;" ")-1),",","."))-1)/MID(SUBSTITUTE(LEFT(TRIM(C59),FIND(" ",TRIM(C59)&amp;" ")-1),",","."),FIND("/",SUBSTITUTE(LEFT(TRIM(C59),FIND(" ",TRIM(C59)&amp;" ")-1),",","."))+1,9))*12/52,IF(ISNUMBER(SEARCH("month",C59)),IFERROR(_xlfn.NUMBERVALUE(SUBSTITUTE(LEFT(TRIM(C59),FIND(" ",TRIM(C59)&amp;" ")-1),",","."),"."),LEFT(SUBSTITUTE(LEFT(TRIM(C59),FIND(" ",TRIM(C59)&amp;" ")-1),",","."),FIND("/",SUBSTITUTE(LEFT(TRIM(C59),FIND(" ",TRIM(C59)&amp;" ")-1),",","."))-1)/MID(SUBSTITUTE(LEFT(TRIM(C59),FIND(" ",TRIM(C59)&amp;" ")-1),",","."),FIND("/",SUBSTITUTE(LEFT(TRIM(C59),FIND(" ",TRIM(C59)&amp;" ")-1),",","."))+1,9)),IF(ISNUMBER(SEARCH("yea",C59)),IFERROR(_xlfn.NUMBERVALUE(SUBSTITUTE(LEFT(TRIM(C59),FIND(" ",TRIM(C59)&amp;" ")-1),",","."),"."),LEFT(SUBSTITUTE(LEFT(TRIM(C59),FIND(" ",TRIM(C59)&amp;" ")-1),",","."),FIND("/",SUBSTITUTE(LEFT(TRIM(C59),FIND(" ",TRIM(C59)&amp;" ")-1),",","."))-1)/MID(SUBSTITUTE(LEFT(TRIM(C59),FIND(" ",TRIM(C59)&amp;" ")-1),",","."),FIND("/",SUBSTITUTE(LEFT(TRIM(C59),FIND(" ",TRIM(C59)&amp;" ")-1),",","."))+1,9))*12,NA()))),0),12)*'Aturan &amp; Tarif'!$B$4,2)</f>
        <v>681.36</v>
      </c>
      <c r="K59" s="42" t="n">
        <f aca="false">'Aturan &amp; Tarif'!$B$5</f>
        <v>2050</v>
      </c>
      <c r="L59" s="42" t="n">
        <f aca="false">'Aturan &amp; Tarif'!$B$6</f>
        <v>350</v>
      </c>
      <c r="M59" s="35" t="n">
        <f aca="false">I59+J59+K59+L59</f>
        <v>14781.36</v>
      </c>
      <c r="N59" s="45" t="s">
        <v>1853</v>
      </c>
    </row>
    <row r="60" customFormat="false" ht="25.5" hidden="false" customHeight="true" outlineLevel="0" collapsed="false">
      <c r="A60" s="39"/>
      <c r="B60" s="40" t="s">
        <v>1855</v>
      </c>
      <c r="C60" s="41" t="s">
        <v>130</v>
      </c>
      <c r="D60" s="41" t="s">
        <v>108</v>
      </c>
      <c r="E60" s="42" t="n">
        <v>5750</v>
      </c>
      <c r="F60" s="42"/>
      <c r="G60" s="42" t="n">
        <v>200</v>
      </c>
      <c r="H60" s="43" t="n">
        <v>2</v>
      </c>
      <c r="I60" s="34" t="n">
        <f aca="false">E60*H60+N(F60)+N(G60)</f>
        <v>11700</v>
      </c>
      <c r="J60" s="42" t="n">
        <f aca="false">ROUND(IFERROR(ROUND(IF(OR(ISNUMBER(SEARCH("week",C60)),ISNUMBER(SEARCH("minggu",C60))),IFERROR(_xlfn.NUMBERVALUE(SUBSTITUTE(LEFT(TRIM(C60),FIND(" ",TRIM(C60)&amp;" ")-1),",","."),"."),LEFT(SUBSTITUTE(LEFT(TRIM(C60),FIND(" ",TRIM(C60)&amp;" ")-1),",","."),FIND("/",SUBSTITUTE(LEFT(TRIM(C60),FIND(" ",TRIM(C60)&amp;" ")-1),",","."))-1)/MID(SUBSTITUTE(LEFT(TRIM(C60),FIND(" ",TRIM(C60)&amp;" ")-1),",","."),FIND("/",SUBSTITUTE(LEFT(TRIM(C60),FIND(" ",TRIM(C60)&amp;" ")-1),",","."))+1,9))*12/52,IF(ISNUMBER(SEARCH("month",C60)),IFERROR(_xlfn.NUMBERVALUE(SUBSTITUTE(LEFT(TRIM(C60),FIND(" ",TRIM(C60)&amp;" ")-1),",","."),"."),LEFT(SUBSTITUTE(LEFT(TRIM(C60),FIND(" ",TRIM(C60)&amp;" ")-1),",","."),FIND("/",SUBSTITUTE(LEFT(TRIM(C60),FIND(" ",TRIM(C60)&amp;" ")-1),",","."))-1)/MID(SUBSTITUTE(LEFT(TRIM(C60),FIND(" ",TRIM(C60)&amp;" ")-1),",","."),FIND("/",SUBSTITUTE(LEFT(TRIM(C60),FIND(" ",TRIM(C60)&amp;" ")-1),",","."))+1,9)),IF(ISNUMBER(SEARCH("yea",C60)),IFERROR(_xlfn.NUMBERVALUE(SUBSTITUTE(LEFT(TRIM(C60),FIND(" ",TRIM(C60)&amp;" ")-1),",","."),"."),LEFT(SUBSTITUTE(LEFT(TRIM(C60),FIND(" ",TRIM(C60)&amp;" ")-1),",","."),FIND("/",SUBSTITUTE(LEFT(TRIM(C60),FIND(" ",TRIM(C60)&amp;" ")-1),",","."))-1)/MID(SUBSTITUTE(LEFT(TRIM(C60),FIND(" ",TRIM(C60)&amp;" ")-1),",","."),FIND("/",SUBSTITUTE(LEFT(TRIM(C60),FIND(" ",TRIM(C60)&amp;" ")-1),",","."))+1,9))*12,NA()))),0),12)*'Aturan &amp; Tarif'!$B$4,2)</f>
        <v>681.36</v>
      </c>
      <c r="K60" s="42" t="n">
        <f aca="false">'Aturan &amp; Tarif'!$B$5</f>
        <v>2050</v>
      </c>
      <c r="L60" s="42" t="n">
        <f aca="false">'Aturan &amp; Tarif'!$B$6</f>
        <v>350</v>
      </c>
      <c r="M60" s="35" t="n">
        <f aca="false">I60+J60+K60+L60</f>
        <v>14781.36</v>
      </c>
      <c r="N60" s="45" t="s">
        <v>1847</v>
      </c>
    </row>
    <row r="61" customFormat="false" ht="37.5" hidden="false" customHeight="true" outlineLevel="0" collapsed="false">
      <c r="A61" s="39"/>
      <c r="B61" s="40" t="s">
        <v>1856</v>
      </c>
      <c r="C61" s="41" t="s">
        <v>130</v>
      </c>
      <c r="D61" s="41" t="s">
        <v>108</v>
      </c>
      <c r="E61" s="42" t="n">
        <v>5750</v>
      </c>
      <c r="F61" s="42"/>
      <c r="G61" s="42" t="n">
        <v>200</v>
      </c>
      <c r="H61" s="43" t="n">
        <v>2</v>
      </c>
      <c r="I61" s="34" t="n">
        <f aca="false">E61*H61+N(F61)+N(G61)</f>
        <v>11700</v>
      </c>
      <c r="J61" s="42" t="n">
        <f aca="false">ROUND(IFERROR(ROUND(IF(OR(ISNUMBER(SEARCH("week",C61)),ISNUMBER(SEARCH("minggu",C61))),IFERROR(_xlfn.NUMBERVALUE(SUBSTITUTE(LEFT(TRIM(C61),FIND(" ",TRIM(C61)&amp;" ")-1),",","."),"."),LEFT(SUBSTITUTE(LEFT(TRIM(C61),FIND(" ",TRIM(C61)&amp;" ")-1),",","."),FIND("/",SUBSTITUTE(LEFT(TRIM(C61),FIND(" ",TRIM(C61)&amp;" ")-1),",","."))-1)/MID(SUBSTITUTE(LEFT(TRIM(C61),FIND(" ",TRIM(C61)&amp;" ")-1),",","."),FIND("/",SUBSTITUTE(LEFT(TRIM(C61),FIND(" ",TRIM(C61)&amp;" ")-1),",","."))+1,9))*12/52,IF(ISNUMBER(SEARCH("month",C61)),IFERROR(_xlfn.NUMBERVALUE(SUBSTITUTE(LEFT(TRIM(C61),FIND(" ",TRIM(C61)&amp;" ")-1),",","."),"."),LEFT(SUBSTITUTE(LEFT(TRIM(C61),FIND(" ",TRIM(C61)&amp;" ")-1),",","."),FIND("/",SUBSTITUTE(LEFT(TRIM(C61),FIND(" ",TRIM(C61)&amp;" ")-1),",","."))-1)/MID(SUBSTITUTE(LEFT(TRIM(C61),FIND(" ",TRIM(C61)&amp;" ")-1),",","."),FIND("/",SUBSTITUTE(LEFT(TRIM(C61),FIND(" ",TRIM(C61)&amp;" ")-1),",","."))+1,9)),IF(ISNUMBER(SEARCH("yea",C61)),IFERROR(_xlfn.NUMBERVALUE(SUBSTITUTE(LEFT(TRIM(C61),FIND(" ",TRIM(C61)&amp;" ")-1),",","."),"."),LEFT(SUBSTITUTE(LEFT(TRIM(C61),FIND(" ",TRIM(C61)&amp;" ")-1),",","."),FIND("/",SUBSTITUTE(LEFT(TRIM(C61),FIND(" ",TRIM(C61)&amp;" ")-1),",","."))-1)/MID(SUBSTITUTE(LEFT(TRIM(C61),FIND(" ",TRIM(C61)&amp;" ")-1),",","."),FIND("/",SUBSTITUTE(LEFT(TRIM(C61),FIND(" ",TRIM(C61)&amp;" ")-1),",","."))+1,9))*12,NA()))),0),12)*'Aturan &amp; Tarif'!$B$4,2)</f>
        <v>681.36</v>
      </c>
      <c r="K61" s="42" t="n">
        <f aca="false">'Aturan &amp; Tarif'!$B$5</f>
        <v>2050</v>
      </c>
      <c r="L61" s="42" t="n">
        <f aca="false">'Aturan &amp; Tarif'!$B$6</f>
        <v>350</v>
      </c>
      <c r="M61" s="35" t="n">
        <f aca="false">I61+J61+K61+L61</f>
        <v>14781.36</v>
      </c>
      <c r="N61" s="45" t="s">
        <v>1853</v>
      </c>
    </row>
    <row r="62" customFormat="false" ht="60" hidden="false" customHeight="true" outlineLevel="0" collapsed="false">
      <c r="A62" s="39"/>
      <c r="B62" s="40" t="s">
        <v>1857</v>
      </c>
      <c r="C62" s="41" t="s">
        <v>130</v>
      </c>
      <c r="D62" s="41" t="s">
        <v>108</v>
      </c>
      <c r="E62" s="42" t="n">
        <v>5750</v>
      </c>
      <c r="F62" s="42"/>
      <c r="G62" s="42" t="n">
        <v>200</v>
      </c>
      <c r="H62" s="43" t="n">
        <v>2</v>
      </c>
      <c r="I62" s="34" t="n">
        <f aca="false">E62*H62+N(F62)+N(G62)</f>
        <v>11700</v>
      </c>
      <c r="J62" s="42" t="n">
        <f aca="false">ROUND(IFERROR(ROUND(IF(OR(ISNUMBER(SEARCH("week",C62)),ISNUMBER(SEARCH("minggu",C62))),IFERROR(_xlfn.NUMBERVALUE(SUBSTITUTE(LEFT(TRIM(C62),FIND(" ",TRIM(C62)&amp;" ")-1),",","."),"."),LEFT(SUBSTITUTE(LEFT(TRIM(C62),FIND(" ",TRIM(C62)&amp;" ")-1),",","."),FIND("/",SUBSTITUTE(LEFT(TRIM(C62),FIND(" ",TRIM(C62)&amp;" ")-1),",","."))-1)/MID(SUBSTITUTE(LEFT(TRIM(C62),FIND(" ",TRIM(C62)&amp;" ")-1),",","."),FIND("/",SUBSTITUTE(LEFT(TRIM(C62),FIND(" ",TRIM(C62)&amp;" ")-1),",","."))+1,9))*12/52,IF(ISNUMBER(SEARCH("month",C62)),IFERROR(_xlfn.NUMBERVALUE(SUBSTITUTE(LEFT(TRIM(C62),FIND(" ",TRIM(C62)&amp;" ")-1),",","."),"."),LEFT(SUBSTITUTE(LEFT(TRIM(C62),FIND(" ",TRIM(C62)&amp;" ")-1),",","."),FIND("/",SUBSTITUTE(LEFT(TRIM(C62),FIND(" ",TRIM(C62)&amp;" ")-1),",","."))-1)/MID(SUBSTITUTE(LEFT(TRIM(C62),FIND(" ",TRIM(C62)&amp;" ")-1),",","."),FIND("/",SUBSTITUTE(LEFT(TRIM(C62),FIND(" ",TRIM(C62)&amp;" ")-1),",","."))+1,9)),IF(ISNUMBER(SEARCH("yea",C62)),IFERROR(_xlfn.NUMBERVALUE(SUBSTITUTE(LEFT(TRIM(C62),FIND(" ",TRIM(C62)&amp;" ")-1),",","."),"."),LEFT(SUBSTITUTE(LEFT(TRIM(C62),FIND(" ",TRIM(C62)&amp;" ")-1),",","."),FIND("/",SUBSTITUTE(LEFT(TRIM(C62),FIND(" ",TRIM(C62)&amp;" ")-1),",","."))-1)/MID(SUBSTITUTE(LEFT(TRIM(C62),FIND(" ",TRIM(C62)&amp;" ")-1),",","."),FIND("/",SUBSTITUTE(LEFT(TRIM(C62),FIND(" ",TRIM(C62)&amp;" ")-1),",","."))+1,9))*12,NA()))),0),12)*'Aturan &amp; Tarif'!$B$4,2)</f>
        <v>681.36</v>
      </c>
      <c r="K62" s="42" t="n">
        <f aca="false">'Aturan &amp; Tarif'!$B$5</f>
        <v>2050</v>
      </c>
      <c r="L62" s="42" t="n">
        <f aca="false">'Aturan &amp; Tarif'!$B$6</f>
        <v>350</v>
      </c>
      <c r="M62" s="35" t="n">
        <f aca="false">I62+J62+K62+L62</f>
        <v>14781.36</v>
      </c>
      <c r="N62" s="45" t="s">
        <v>1858</v>
      </c>
    </row>
    <row r="63" customFormat="false" ht="48.75" hidden="false" customHeight="true" outlineLevel="0" collapsed="false">
      <c r="A63" s="39"/>
      <c r="B63" s="40" t="s">
        <v>1859</v>
      </c>
      <c r="C63" s="41" t="s">
        <v>130</v>
      </c>
      <c r="D63" s="41" t="s">
        <v>108</v>
      </c>
      <c r="E63" s="42" t="n">
        <v>5750</v>
      </c>
      <c r="F63" s="42"/>
      <c r="G63" s="42" t="n">
        <v>200</v>
      </c>
      <c r="H63" s="43" t="n">
        <v>2</v>
      </c>
      <c r="I63" s="34" t="n">
        <f aca="false">E63*H63+N(F63)+N(G63)</f>
        <v>11700</v>
      </c>
      <c r="J63" s="42" t="n">
        <f aca="false">ROUND(IFERROR(ROUND(IF(OR(ISNUMBER(SEARCH("week",C63)),ISNUMBER(SEARCH("minggu",C63))),IFERROR(_xlfn.NUMBERVALUE(SUBSTITUTE(LEFT(TRIM(C63),FIND(" ",TRIM(C63)&amp;" ")-1),",","."),"."),LEFT(SUBSTITUTE(LEFT(TRIM(C63),FIND(" ",TRIM(C63)&amp;" ")-1),",","."),FIND("/",SUBSTITUTE(LEFT(TRIM(C63),FIND(" ",TRIM(C63)&amp;" ")-1),",","."))-1)/MID(SUBSTITUTE(LEFT(TRIM(C63),FIND(" ",TRIM(C63)&amp;" ")-1),",","."),FIND("/",SUBSTITUTE(LEFT(TRIM(C63),FIND(" ",TRIM(C63)&amp;" ")-1),",","."))+1,9))*12/52,IF(ISNUMBER(SEARCH("month",C63)),IFERROR(_xlfn.NUMBERVALUE(SUBSTITUTE(LEFT(TRIM(C63),FIND(" ",TRIM(C63)&amp;" ")-1),",","."),"."),LEFT(SUBSTITUTE(LEFT(TRIM(C63),FIND(" ",TRIM(C63)&amp;" ")-1),",","."),FIND("/",SUBSTITUTE(LEFT(TRIM(C63),FIND(" ",TRIM(C63)&amp;" ")-1),",","."))-1)/MID(SUBSTITUTE(LEFT(TRIM(C63),FIND(" ",TRIM(C63)&amp;" ")-1),",","."),FIND("/",SUBSTITUTE(LEFT(TRIM(C63),FIND(" ",TRIM(C63)&amp;" ")-1),",","."))+1,9)),IF(ISNUMBER(SEARCH("yea",C63)),IFERROR(_xlfn.NUMBERVALUE(SUBSTITUTE(LEFT(TRIM(C63),FIND(" ",TRIM(C63)&amp;" ")-1),",","."),"."),LEFT(SUBSTITUTE(LEFT(TRIM(C63),FIND(" ",TRIM(C63)&amp;" ")-1),",","."),FIND("/",SUBSTITUTE(LEFT(TRIM(C63),FIND(" ",TRIM(C63)&amp;" ")-1),",","."))-1)/MID(SUBSTITUTE(LEFT(TRIM(C63),FIND(" ",TRIM(C63)&amp;" ")-1),",","."),FIND("/",SUBSTITUTE(LEFT(TRIM(C63),FIND(" ",TRIM(C63)&amp;" ")-1),",","."))+1,9))*12,NA()))),0),12)*'Aturan &amp; Tarif'!$B$4,2)</f>
        <v>681.36</v>
      </c>
      <c r="K63" s="42" t="n">
        <f aca="false">'Aturan &amp; Tarif'!$B$5</f>
        <v>2050</v>
      </c>
      <c r="L63" s="42" t="n">
        <f aca="false">'Aturan &amp; Tarif'!$B$6</f>
        <v>350</v>
      </c>
      <c r="M63" s="35" t="n">
        <f aca="false">I63+J63+K63+L63</f>
        <v>14781.36</v>
      </c>
      <c r="N63" s="45" t="s">
        <v>1860</v>
      </c>
    </row>
    <row r="64" customFormat="false" ht="37.5" hidden="false" customHeight="true" outlineLevel="0" collapsed="false">
      <c r="A64" s="39" t="s">
        <v>1861</v>
      </c>
      <c r="B64" s="40" t="s">
        <v>634</v>
      </c>
      <c r="C64" s="41" t="s">
        <v>127</v>
      </c>
      <c r="D64" s="41" t="s">
        <v>108</v>
      </c>
      <c r="E64" s="42" t="n">
        <v>4995</v>
      </c>
      <c r="F64" s="42"/>
      <c r="G64" s="42" t="n">
        <v>250</v>
      </c>
      <c r="H64" s="43" t="n">
        <v>2</v>
      </c>
      <c r="I64" s="34" t="n">
        <f aca="false">E64*H64+N(F64)+N(G64)</f>
        <v>10240</v>
      </c>
      <c r="J64" s="42" t="n">
        <f aca="false">ROUND(IFERROR(ROUND(IF(OR(ISNUMBER(SEARCH("week",C64)),ISNUMBER(SEARCH("minggu",C64))),IFERROR(_xlfn.NUMBERVALUE(SUBSTITUTE(LEFT(TRIM(C64),FIND(" ",TRIM(C64)&amp;" ")-1),",","."),"."),LEFT(SUBSTITUTE(LEFT(TRIM(C64),FIND(" ",TRIM(C64)&amp;" ")-1),",","."),FIND("/",SUBSTITUTE(LEFT(TRIM(C64),FIND(" ",TRIM(C64)&amp;" ")-1),",","."))-1)/MID(SUBSTITUTE(LEFT(TRIM(C64),FIND(" ",TRIM(C64)&amp;" ")-1),",","."),FIND("/",SUBSTITUTE(LEFT(TRIM(C64),FIND(" ",TRIM(C64)&amp;" ")-1),",","."))+1,9))*12/52,IF(ISNUMBER(SEARCH("month",C64)),IFERROR(_xlfn.NUMBERVALUE(SUBSTITUTE(LEFT(TRIM(C64),FIND(" ",TRIM(C64)&amp;" ")-1),",","."),"."),LEFT(SUBSTITUTE(LEFT(TRIM(C64),FIND(" ",TRIM(C64)&amp;" ")-1),",","."),FIND("/",SUBSTITUTE(LEFT(TRIM(C64),FIND(" ",TRIM(C64)&amp;" ")-1),",","."))-1)/MID(SUBSTITUTE(LEFT(TRIM(C64),FIND(" ",TRIM(C64)&amp;" ")-1),",","."),FIND("/",SUBSTITUTE(LEFT(TRIM(C64),FIND(" ",TRIM(C64)&amp;" ")-1),",","."))+1,9)),IF(ISNUMBER(SEARCH("yea",C64)),IFERROR(_xlfn.NUMBERVALUE(SUBSTITUTE(LEFT(TRIM(C64),FIND(" ",TRIM(C64)&amp;" ")-1),",","."),"."),LEFT(SUBSTITUTE(LEFT(TRIM(C64),FIND(" ",TRIM(C64)&amp;" ")-1),",","."),FIND("/",SUBSTITUTE(LEFT(TRIM(C64),FIND(" ",TRIM(C64)&amp;" ")-1),",","."))-1)/MID(SUBSTITUTE(LEFT(TRIM(C64),FIND(" ",TRIM(C64)&amp;" ")-1),",","."),FIND("/",SUBSTITUTE(LEFT(TRIM(C64),FIND(" ",TRIM(C64)&amp;" ")-1),",","."))+1,9))*12,NA()))),0),36)*'Aturan &amp; Tarif'!$B$4,2)</f>
        <v>2044.08</v>
      </c>
      <c r="K64" s="42" t="n">
        <f aca="false">'Aturan &amp; Tarif'!$B$5</f>
        <v>2050</v>
      </c>
      <c r="L64" s="42" t="n">
        <f aca="false">'Aturan &amp; Tarif'!$B$6</f>
        <v>350</v>
      </c>
      <c r="M64" s="35" t="n">
        <f aca="false">I64+J64+K64+L64</f>
        <v>14684.08</v>
      </c>
      <c r="N64" s="44" t="s">
        <v>635</v>
      </c>
    </row>
    <row r="65" customFormat="false" ht="14.25" hidden="false" customHeight="true" outlineLevel="0" collapsed="false">
      <c r="A65" s="39"/>
      <c r="B65" s="40" t="s">
        <v>636</v>
      </c>
      <c r="C65" s="41" t="s">
        <v>127</v>
      </c>
      <c r="D65" s="41" t="s">
        <v>108</v>
      </c>
      <c r="E65" s="42" t="n">
        <v>4995</v>
      </c>
      <c r="F65" s="42"/>
      <c r="G65" s="42" t="n">
        <v>250</v>
      </c>
      <c r="H65" s="43" t="n">
        <v>2</v>
      </c>
      <c r="I65" s="34" t="n">
        <f aca="false">E65*H65+N(F65)+N(G65)</f>
        <v>10240</v>
      </c>
      <c r="J65" s="42" t="n">
        <f aca="false">ROUND(IFERROR(ROUND(IF(OR(ISNUMBER(SEARCH("week",C65)),ISNUMBER(SEARCH("minggu",C65))),IFERROR(_xlfn.NUMBERVALUE(SUBSTITUTE(LEFT(TRIM(C65),FIND(" ",TRIM(C65)&amp;" ")-1),",","."),"."),LEFT(SUBSTITUTE(LEFT(TRIM(C65),FIND(" ",TRIM(C65)&amp;" ")-1),",","."),FIND("/",SUBSTITUTE(LEFT(TRIM(C65),FIND(" ",TRIM(C65)&amp;" ")-1),",","."))-1)/MID(SUBSTITUTE(LEFT(TRIM(C65),FIND(" ",TRIM(C65)&amp;" ")-1),",","."),FIND("/",SUBSTITUTE(LEFT(TRIM(C65),FIND(" ",TRIM(C65)&amp;" ")-1),",","."))+1,9))*12/52,IF(ISNUMBER(SEARCH("month",C65)),IFERROR(_xlfn.NUMBERVALUE(SUBSTITUTE(LEFT(TRIM(C65),FIND(" ",TRIM(C65)&amp;" ")-1),",","."),"."),LEFT(SUBSTITUTE(LEFT(TRIM(C65),FIND(" ",TRIM(C65)&amp;" ")-1),",","."),FIND("/",SUBSTITUTE(LEFT(TRIM(C65),FIND(" ",TRIM(C65)&amp;" ")-1),",","."))-1)/MID(SUBSTITUTE(LEFT(TRIM(C65),FIND(" ",TRIM(C65)&amp;" ")-1),",","."),FIND("/",SUBSTITUTE(LEFT(TRIM(C65),FIND(" ",TRIM(C65)&amp;" ")-1),",","."))+1,9)),IF(ISNUMBER(SEARCH("yea",C65)),IFERROR(_xlfn.NUMBERVALUE(SUBSTITUTE(LEFT(TRIM(C65),FIND(" ",TRIM(C65)&amp;" ")-1),",","."),"."),LEFT(SUBSTITUTE(LEFT(TRIM(C65),FIND(" ",TRIM(C65)&amp;" ")-1),",","."),FIND("/",SUBSTITUTE(LEFT(TRIM(C65),FIND(" ",TRIM(C65)&amp;" ")-1),",","."))-1)/MID(SUBSTITUTE(LEFT(TRIM(C65),FIND(" ",TRIM(C65)&amp;" ")-1),",","."),FIND("/",SUBSTITUTE(LEFT(TRIM(C65),FIND(" ",TRIM(C65)&amp;" ")-1),",","."))+1,9))*12,NA()))),0),36)*'Aturan &amp; Tarif'!$B$4,2)</f>
        <v>2044.08</v>
      </c>
      <c r="K65" s="42" t="n">
        <f aca="false">'Aturan &amp; Tarif'!$B$5</f>
        <v>2050</v>
      </c>
      <c r="L65" s="42" t="n">
        <f aca="false">'Aturan &amp; Tarif'!$B$6</f>
        <v>350</v>
      </c>
      <c r="M65" s="35" t="n">
        <f aca="false">I65+J65+K65+L65</f>
        <v>14684.08</v>
      </c>
      <c r="N65" s="44" t="s">
        <v>635</v>
      </c>
    </row>
    <row r="66" customFormat="false" ht="14.25" hidden="false" customHeight="true" outlineLevel="0" collapsed="false">
      <c r="A66" s="39"/>
      <c r="B66" s="40" t="s">
        <v>637</v>
      </c>
      <c r="C66" s="41" t="s">
        <v>127</v>
      </c>
      <c r="D66" s="41" t="s">
        <v>108</v>
      </c>
      <c r="E66" s="42" t="n">
        <v>4995</v>
      </c>
      <c r="F66" s="42"/>
      <c r="G66" s="42" t="n">
        <v>250</v>
      </c>
      <c r="H66" s="43" t="n">
        <v>2</v>
      </c>
      <c r="I66" s="34" t="n">
        <f aca="false">E66*H66+N(F66)+N(G66)</f>
        <v>10240</v>
      </c>
      <c r="J66" s="42" t="n">
        <f aca="false">ROUND(IFERROR(ROUND(IF(OR(ISNUMBER(SEARCH("week",C66)),ISNUMBER(SEARCH("minggu",C66))),IFERROR(_xlfn.NUMBERVALUE(SUBSTITUTE(LEFT(TRIM(C66),FIND(" ",TRIM(C66)&amp;" ")-1),",","."),"."),LEFT(SUBSTITUTE(LEFT(TRIM(C66),FIND(" ",TRIM(C66)&amp;" ")-1),",","."),FIND("/",SUBSTITUTE(LEFT(TRIM(C66),FIND(" ",TRIM(C66)&amp;" ")-1),",","."))-1)/MID(SUBSTITUTE(LEFT(TRIM(C66),FIND(" ",TRIM(C66)&amp;" ")-1),",","."),FIND("/",SUBSTITUTE(LEFT(TRIM(C66),FIND(" ",TRIM(C66)&amp;" ")-1),",","."))+1,9))*12/52,IF(ISNUMBER(SEARCH("month",C66)),IFERROR(_xlfn.NUMBERVALUE(SUBSTITUTE(LEFT(TRIM(C66),FIND(" ",TRIM(C66)&amp;" ")-1),",","."),"."),LEFT(SUBSTITUTE(LEFT(TRIM(C66),FIND(" ",TRIM(C66)&amp;" ")-1),",","."),FIND("/",SUBSTITUTE(LEFT(TRIM(C66),FIND(" ",TRIM(C66)&amp;" ")-1),",","."))-1)/MID(SUBSTITUTE(LEFT(TRIM(C66),FIND(" ",TRIM(C66)&amp;" ")-1),",","."),FIND("/",SUBSTITUTE(LEFT(TRIM(C66),FIND(" ",TRIM(C66)&amp;" ")-1),",","."))+1,9)),IF(ISNUMBER(SEARCH("yea",C66)),IFERROR(_xlfn.NUMBERVALUE(SUBSTITUTE(LEFT(TRIM(C66),FIND(" ",TRIM(C66)&amp;" ")-1),",","."),"."),LEFT(SUBSTITUTE(LEFT(TRIM(C66),FIND(" ",TRIM(C66)&amp;" ")-1),",","."),FIND("/",SUBSTITUTE(LEFT(TRIM(C66),FIND(" ",TRIM(C66)&amp;" ")-1),",","."))-1)/MID(SUBSTITUTE(LEFT(TRIM(C66),FIND(" ",TRIM(C66)&amp;" ")-1),",","."),FIND("/",SUBSTITUTE(LEFT(TRIM(C66),FIND(" ",TRIM(C66)&amp;" ")-1),",","."))+1,9))*12,NA()))),0),36)*'Aturan &amp; Tarif'!$B$4,2)</f>
        <v>2044.08</v>
      </c>
      <c r="K66" s="42" t="n">
        <f aca="false">'Aturan &amp; Tarif'!$B$5</f>
        <v>2050</v>
      </c>
      <c r="L66" s="42" t="n">
        <f aca="false">'Aturan &amp; Tarif'!$B$6</f>
        <v>350</v>
      </c>
      <c r="M66" s="35" t="n">
        <f aca="false">I66+J66+K66+L66</f>
        <v>14684.08</v>
      </c>
      <c r="N66" s="44" t="s">
        <v>635</v>
      </c>
    </row>
    <row r="67" customFormat="false" ht="25.5" hidden="false" customHeight="true" outlineLevel="0" collapsed="false">
      <c r="A67" s="39"/>
      <c r="B67" s="40" t="s">
        <v>638</v>
      </c>
      <c r="C67" s="41" t="s">
        <v>127</v>
      </c>
      <c r="D67" s="41" t="s">
        <v>108</v>
      </c>
      <c r="E67" s="42" t="n">
        <v>4995</v>
      </c>
      <c r="F67" s="42"/>
      <c r="G67" s="42" t="n">
        <v>250</v>
      </c>
      <c r="H67" s="43" t="n">
        <v>2</v>
      </c>
      <c r="I67" s="34" t="n">
        <f aca="false">E67*H67+N(F67)+N(G67)</f>
        <v>10240</v>
      </c>
      <c r="J67" s="42" t="n">
        <f aca="false">ROUND(IFERROR(ROUND(IF(OR(ISNUMBER(SEARCH("week",C67)),ISNUMBER(SEARCH("minggu",C67))),IFERROR(_xlfn.NUMBERVALUE(SUBSTITUTE(LEFT(TRIM(C67),FIND(" ",TRIM(C67)&amp;" ")-1),",","."),"."),LEFT(SUBSTITUTE(LEFT(TRIM(C67),FIND(" ",TRIM(C67)&amp;" ")-1),",","."),FIND("/",SUBSTITUTE(LEFT(TRIM(C67),FIND(" ",TRIM(C67)&amp;" ")-1),",","."))-1)/MID(SUBSTITUTE(LEFT(TRIM(C67),FIND(" ",TRIM(C67)&amp;" ")-1),",","."),FIND("/",SUBSTITUTE(LEFT(TRIM(C67),FIND(" ",TRIM(C67)&amp;" ")-1),",","."))+1,9))*12/52,IF(ISNUMBER(SEARCH("month",C67)),IFERROR(_xlfn.NUMBERVALUE(SUBSTITUTE(LEFT(TRIM(C67),FIND(" ",TRIM(C67)&amp;" ")-1),",","."),"."),LEFT(SUBSTITUTE(LEFT(TRIM(C67),FIND(" ",TRIM(C67)&amp;" ")-1),",","."),FIND("/",SUBSTITUTE(LEFT(TRIM(C67),FIND(" ",TRIM(C67)&amp;" ")-1),",","."))-1)/MID(SUBSTITUTE(LEFT(TRIM(C67),FIND(" ",TRIM(C67)&amp;" ")-1),",","."),FIND("/",SUBSTITUTE(LEFT(TRIM(C67),FIND(" ",TRIM(C67)&amp;" ")-1),",","."))+1,9)),IF(ISNUMBER(SEARCH("yea",C67)),IFERROR(_xlfn.NUMBERVALUE(SUBSTITUTE(LEFT(TRIM(C67),FIND(" ",TRIM(C67)&amp;" ")-1),",","."),"."),LEFT(SUBSTITUTE(LEFT(TRIM(C67),FIND(" ",TRIM(C67)&amp;" ")-1),",","."),FIND("/",SUBSTITUTE(LEFT(TRIM(C67),FIND(" ",TRIM(C67)&amp;" ")-1),",","."))-1)/MID(SUBSTITUTE(LEFT(TRIM(C67),FIND(" ",TRIM(C67)&amp;" ")-1),",","."),FIND("/",SUBSTITUTE(LEFT(TRIM(C67),FIND(" ",TRIM(C67)&amp;" ")-1),",","."))+1,9))*12,NA()))),0),36)*'Aturan &amp; Tarif'!$B$4,2)</f>
        <v>2044.08</v>
      </c>
      <c r="K67" s="42" t="n">
        <f aca="false">'Aturan &amp; Tarif'!$B$5</f>
        <v>2050</v>
      </c>
      <c r="L67" s="42" t="n">
        <f aca="false">'Aturan &amp; Tarif'!$B$6</f>
        <v>350</v>
      </c>
      <c r="M67" s="35" t="n">
        <f aca="false">I67+J67+K67+L67</f>
        <v>14684.08</v>
      </c>
      <c r="N67" s="44" t="s">
        <v>635</v>
      </c>
    </row>
    <row r="68" customFormat="false" ht="25.5" hidden="false" customHeight="true" outlineLevel="0" collapsed="false">
      <c r="A68" s="39"/>
      <c r="B68" s="40" t="s">
        <v>639</v>
      </c>
      <c r="C68" s="41" t="s">
        <v>127</v>
      </c>
      <c r="D68" s="41" t="s">
        <v>108</v>
      </c>
      <c r="E68" s="42" t="n">
        <v>4995</v>
      </c>
      <c r="F68" s="42"/>
      <c r="G68" s="42" t="n">
        <v>250</v>
      </c>
      <c r="H68" s="43" t="n">
        <v>2</v>
      </c>
      <c r="I68" s="34" t="n">
        <f aca="false">E68*H68+N(F68)+N(G68)</f>
        <v>10240</v>
      </c>
      <c r="J68" s="42" t="n">
        <f aca="false">ROUND(IFERROR(ROUND(IF(OR(ISNUMBER(SEARCH("week",C68)),ISNUMBER(SEARCH("minggu",C68))),IFERROR(_xlfn.NUMBERVALUE(SUBSTITUTE(LEFT(TRIM(C68),FIND(" ",TRIM(C68)&amp;" ")-1),",","."),"."),LEFT(SUBSTITUTE(LEFT(TRIM(C68),FIND(" ",TRIM(C68)&amp;" ")-1),",","."),FIND("/",SUBSTITUTE(LEFT(TRIM(C68),FIND(" ",TRIM(C68)&amp;" ")-1),",","."))-1)/MID(SUBSTITUTE(LEFT(TRIM(C68),FIND(" ",TRIM(C68)&amp;" ")-1),",","."),FIND("/",SUBSTITUTE(LEFT(TRIM(C68),FIND(" ",TRIM(C68)&amp;" ")-1),",","."))+1,9))*12/52,IF(ISNUMBER(SEARCH("month",C68)),IFERROR(_xlfn.NUMBERVALUE(SUBSTITUTE(LEFT(TRIM(C68),FIND(" ",TRIM(C68)&amp;" ")-1),",","."),"."),LEFT(SUBSTITUTE(LEFT(TRIM(C68),FIND(" ",TRIM(C68)&amp;" ")-1),",","."),FIND("/",SUBSTITUTE(LEFT(TRIM(C68),FIND(" ",TRIM(C68)&amp;" ")-1),",","."))-1)/MID(SUBSTITUTE(LEFT(TRIM(C68),FIND(" ",TRIM(C68)&amp;" ")-1),",","."),FIND("/",SUBSTITUTE(LEFT(TRIM(C68),FIND(" ",TRIM(C68)&amp;" ")-1),",","."))+1,9)),IF(ISNUMBER(SEARCH("yea",C68)),IFERROR(_xlfn.NUMBERVALUE(SUBSTITUTE(LEFT(TRIM(C68),FIND(" ",TRIM(C68)&amp;" ")-1),",","."),"."),LEFT(SUBSTITUTE(LEFT(TRIM(C68),FIND(" ",TRIM(C68)&amp;" ")-1),",","."),FIND("/",SUBSTITUTE(LEFT(TRIM(C68),FIND(" ",TRIM(C68)&amp;" ")-1),",","."))-1)/MID(SUBSTITUTE(LEFT(TRIM(C68),FIND(" ",TRIM(C68)&amp;" ")-1),",","."),FIND("/",SUBSTITUTE(LEFT(TRIM(C68),FIND(" ",TRIM(C68)&amp;" ")-1),",","."))+1,9))*12,NA()))),0),36)*'Aturan &amp; Tarif'!$B$4,2)</f>
        <v>2044.08</v>
      </c>
      <c r="K68" s="42" t="n">
        <f aca="false">'Aturan &amp; Tarif'!$B$5</f>
        <v>2050</v>
      </c>
      <c r="L68" s="42" t="n">
        <f aca="false">'Aturan &amp; Tarif'!$B$6</f>
        <v>350</v>
      </c>
      <c r="M68" s="35" t="n">
        <f aca="false">I68+J68+K68+L68</f>
        <v>14684.08</v>
      </c>
      <c r="N68" s="44" t="s">
        <v>635</v>
      </c>
    </row>
    <row r="69" customFormat="false" ht="48.75" hidden="false" customHeight="true" outlineLevel="0" collapsed="false">
      <c r="A69" s="39"/>
      <c r="B69" s="40" t="s">
        <v>640</v>
      </c>
      <c r="C69" s="41" t="s">
        <v>107</v>
      </c>
      <c r="D69" s="41" t="s">
        <v>108</v>
      </c>
      <c r="E69" s="42" t="n">
        <v>4050</v>
      </c>
      <c r="F69" s="42"/>
      <c r="G69" s="42" t="n">
        <v>250</v>
      </c>
      <c r="H69" s="43" t="n">
        <v>2</v>
      </c>
      <c r="I69" s="34" t="n">
        <f aca="false">E69*H69+N(F69)+N(G69)</f>
        <v>8350</v>
      </c>
      <c r="J69" s="42" t="n">
        <f aca="false">ROUND(IFERROR(ROUND(IF(OR(ISNUMBER(SEARCH("week",C69)),ISNUMBER(SEARCH("minggu",C69))),IFERROR(_xlfn.NUMBERVALUE(SUBSTITUTE(LEFT(TRIM(C69),FIND(" ",TRIM(C69)&amp;" ")-1),",","."),"."),LEFT(SUBSTITUTE(LEFT(TRIM(C69),FIND(" ",TRIM(C69)&amp;" ")-1),",","."),FIND("/",SUBSTITUTE(LEFT(TRIM(C69),FIND(" ",TRIM(C69)&amp;" ")-1),",","."))-1)/MID(SUBSTITUTE(LEFT(TRIM(C69),FIND(" ",TRIM(C69)&amp;" ")-1),",","."),FIND("/",SUBSTITUTE(LEFT(TRIM(C69),FIND(" ",TRIM(C69)&amp;" ")-1),",","."))+1,9))*12/52,IF(ISNUMBER(SEARCH("month",C69)),IFERROR(_xlfn.NUMBERVALUE(SUBSTITUTE(LEFT(TRIM(C69),FIND(" ",TRIM(C69)&amp;" ")-1),",","."),"."),LEFT(SUBSTITUTE(LEFT(TRIM(C69),FIND(" ",TRIM(C69)&amp;" ")-1),",","."),FIND("/",SUBSTITUTE(LEFT(TRIM(C69),FIND(" ",TRIM(C69)&amp;" ")-1),",","."))-1)/MID(SUBSTITUTE(LEFT(TRIM(C69),FIND(" ",TRIM(C69)&amp;" ")-1),",","."),FIND("/",SUBSTITUTE(LEFT(TRIM(C69),FIND(" ",TRIM(C69)&amp;" ")-1),",","."))+1,9)),IF(ISNUMBER(SEARCH("yea",C69)),IFERROR(_xlfn.NUMBERVALUE(SUBSTITUTE(LEFT(TRIM(C69),FIND(" ",TRIM(C69)&amp;" ")-1),",","."),"."),LEFT(SUBSTITUTE(LEFT(TRIM(C69),FIND(" ",TRIM(C69)&amp;" ")-1),",","."),FIND("/",SUBSTITUTE(LEFT(TRIM(C69),FIND(" ",TRIM(C69)&amp;" ")-1),",","."))-1)/MID(SUBSTITUTE(LEFT(TRIM(C69),FIND(" ",TRIM(C69)&amp;" ")-1),",","."),FIND("/",SUBSTITUTE(LEFT(TRIM(C69),FIND(" ",TRIM(C69)&amp;" ")-1),",","."))+1,9))*12,NA()))),0),24)*'Aturan &amp; Tarif'!$B$4,2)</f>
        <v>1362.72</v>
      </c>
      <c r="K69" s="42" t="n">
        <f aca="false">'Aturan &amp; Tarif'!$B$5</f>
        <v>2050</v>
      </c>
      <c r="L69" s="42" t="n">
        <f aca="false">'Aturan &amp; Tarif'!$B$6</f>
        <v>350</v>
      </c>
      <c r="M69" s="35" t="n">
        <f aca="false">I69+J69+K69+L69</f>
        <v>12112.72</v>
      </c>
      <c r="N69" s="45" t="s">
        <v>641</v>
      </c>
    </row>
    <row r="70" customFormat="false" ht="37.5" hidden="false" customHeight="true" outlineLevel="0" collapsed="false">
      <c r="A70" s="39"/>
      <c r="B70" s="40" t="s">
        <v>642</v>
      </c>
      <c r="C70" s="41" t="s">
        <v>107</v>
      </c>
      <c r="D70" s="41" t="s">
        <v>108</v>
      </c>
      <c r="E70" s="42" t="n">
        <v>4050</v>
      </c>
      <c r="F70" s="42"/>
      <c r="G70" s="42" t="n">
        <v>250</v>
      </c>
      <c r="H70" s="43" t="n">
        <v>2</v>
      </c>
      <c r="I70" s="34" t="n">
        <f aca="false">E70*H70+N(F70)+N(G70)</f>
        <v>8350</v>
      </c>
      <c r="J70" s="42" t="n">
        <f aca="false">ROUND(IFERROR(ROUND(IF(OR(ISNUMBER(SEARCH("week",C70)),ISNUMBER(SEARCH("minggu",C70))),IFERROR(_xlfn.NUMBERVALUE(SUBSTITUTE(LEFT(TRIM(C70),FIND(" ",TRIM(C70)&amp;" ")-1),",","."),"."),LEFT(SUBSTITUTE(LEFT(TRIM(C70),FIND(" ",TRIM(C70)&amp;" ")-1),",","."),FIND("/",SUBSTITUTE(LEFT(TRIM(C70),FIND(" ",TRIM(C70)&amp;" ")-1),",","."))-1)/MID(SUBSTITUTE(LEFT(TRIM(C70),FIND(" ",TRIM(C70)&amp;" ")-1),",","."),FIND("/",SUBSTITUTE(LEFT(TRIM(C70),FIND(" ",TRIM(C70)&amp;" ")-1),",","."))+1,9))*12/52,IF(ISNUMBER(SEARCH("month",C70)),IFERROR(_xlfn.NUMBERVALUE(SUBSTITUTE(LEFT(TRIM(C70),FIND(" ",TRIM(C70)&amp;" ")-1),",","."),"."),LEFT(SUBSTITUTE(LEFT(TRIM(C70),FIND(" ",TRIM(C70)&amp;" ")-1),",","."),FIND("/",SUBSTITUTE(LEFT(TRIM(C70),FIND(" ",TRIM(C70)&amp;" ")-1),",","."))-1)/MID(SUBSTITUTE(LEFT(TRIM(C70),FIND(" ",TRIM(C70)&amp;" ")-1),",","."),FIND("/",SUBSTITUTE(LEFT(TRIM(C70),FIND(" ",TRIM(C70)&amp;" ")-1),",","."))+1,9)),IF(ISNUMBER(SEARCH("yea",C70)),IFERROR(_xlfn.NUMBERVALUE(SUBSTITUTE(LEFT(TRIM(C70),FIND(" ",TRIM(C70)&amp;" ")-1),",","."),"."),LEFT(SUBSTITUTE(LEFT(TRIM(C70),FIND(" ",TRIM(C70)&amp;" ")-1),",","."),FIND("/",SUBSTITUTE(LEFT(TRIM(C70),FIND(" ",TRIM(C70)&amp;" ")-1),",","."))-1)/MID(SUBSTITUTE(LEFT(TRIM(C70),FIND(" ",TRIM(C70)&amp;" ")-1),",","."),FIND("/",SUBSTITUTE(LEFT(TRIM(C70),FIND(" ",TRIM(C70)&amp;" ")-1),",","."))+1,9))*12,NA()))),0),24)*'Aturan &amp; Tarif'!$B$4,2)</f>
        <v>1362.72</v>
      </c>
      <c r="K70" s="42" t="n">
        <f aca="false">'Aturan &amp; Tarif'!$B$5</f>
        <v>2050</v>
      </c>
      <c r="L70" s="42" t="n">
        <f aca="false">'Aturan &amp; Tarif'!$B$6</f>
        <v>350</v>
      </c>
      <c r="M70" s="35" t="n">
        <f aca="false">I70+J70+K70+L70</f>
        <v>12112.72</v>
      </c>
      <c r="N70" s="45" t="s">
        <v>641</v>
      </c>
    </row>
    <row r="71" customFormat="false" ht="14.25" hidden="false" customHeight="true" outlineLevel="0" collapsed="false">
      <c r="A71" s="39"/>
      <c r="B71" s="40" t="s">
        <v>643</v>
      </c>
      <c r="C71" s="41" t="s">
        <v>107</v>
      </c>
      <c r="D71" s="41" t="s">
        <v>108</v>
      </c>
      <c r="E71" s="42" t="n">
        <v>4050</v>
      </c>
      <c r="F71" s="42"/>
      <c r="G71" s="42" t="n">
        <v>250</v>
      </c>
      <c r="H71" s="43" t="n">
        <v>2</v>
      </c>
      <c r="I71" s="34" t="n">
        <f aca="false">E71*H71+N(F71)+N(G71)</f>
        <v>8350</v>
      </c>
      <c r="J71" s="42" t="n">
        <f aca="false">ROUND(IFERROR(ROUND(IF(OR(ISNUMBER(SEARCH("week",C71)),ISNUMBER(SEARCH("minggu",C71))),IFERROR(_xlfn.NUMBERVALUE(SUBSTITUTE(LEFT(TRIM(C71),FIND(" ",TRIM(C71)&amp;" ")-1),",","."),"."),LEFT(SUBSTITUTE(LEFT(TRIM(C71),FIND(" ",TRIM(C71)&amp;" ")-1),",","."),FIND("/",SUBSTITUTE(LEFT(TRIM(C71),FIND(" ",TRIM(C71)&amp;" ")-1),",","."))-1)/MID(SUBSTITUTE(LEFT(TRIM(C71),FIND(" ",TRIM(C71)&amp;" ")-1),",","."),FIND("/",SUBSTITUTE(LEFT(TRIM(C71),FIND(" ",TRIM(C71)&amp;" ")-1),",","."))+1,9))*12/52,IF(ISNUMBER(SEARCH("month",C71)),IFERROR(_xlfn.NUMBERVALUE(SUBSTITUTE(LEFT(TRIM(C71),FIND(" ",TRIM(C71)&amp;" ")-1),",","."),"."),LEFT(SUBSTITUTE(LEFT(TRIM(C71),FIND(" ",TRIM(C71)&amp;" ")-1),",","."),FIND("/",SUBSTITUTE(LEFT(TRIM(C71),FIND(" ",TRIM(C71)&amp;" ")-1),",","."))-1)/MID(SUBSTITUTE(LEFT(TRIM(C71),FIND(" ",TRIM(C71)&amp;" ")-1),",","."),FIND("/",SUBSTITUTE(LEFT(TRIM(C71),FIND(" ",TRIM(C71)&amp;" ")-1),",","."))+1,9)),IF(ISNUMBER(SEARCH("yea",C71)),IFERROR(_xlfn.NUMBERVALUE(SUBSTITUTE(LEFT(TRIM(C71),FIND(" ",TRIM(C71)&amp;" ")-1),",","."),"."),LEFT(SUBSTITUTE(LEFT(TRIM(C71),FIND(" ",TRIM(C71)&amp;" ")-1),",","."),FIND("/",SUBSTITUTE(LEFT(TRIM(C71),FIND(" ",TRIM(C71)&amp;" ")-1),",","."))-1)/MID(SUBSTITUTE(LEFT(TRIM(C71),FIND(" ",TRIM(C71)&amp;" ")-1),",","."),FIND("/",SUBSTITUTE(LEFT(TRIM(C71),FIND(" ",TRIM(C71)&amp;" ")-1),",","."))+1,9))*12,NA()))),0),24)*'Aturan &amp; Tarif'!$B$4,2)</f>
        <v>1362.72</v>
      </c>
      <c r="K71" s="42" t="n">
        <f aca="false">'Aturan &amp; Tarif'!$B$5</f>
        <v>2050</v>
      </c>
      <c r="L71" s="42" t="n">
        <f aca="false">'Aturan &amp; Tarif'!$B$6</f>
        <v>350</v>
      </c>
      <c r="M71" s="35" t="n">
        <f aca="false">I71+J71+K71+L71</f>
        <v>12112.72</v>
      </c>
      <c r="N71" s="45" t="s">
        <v>641</v>
      </c>
    </row>
    <row r="72" customFormat="false" ht="25.5" hidden="false" customHeight="true" outlineLevel="0" collapsed="false">
      <c r="A72" s="39"/>
      <c r="B72" s="40" t="s">
        <v>644</v>
      </c>
      <c r="C72" s="41" t="s">
        <v>107</v>
      </c>
      <c r="D72" s="41" t="s">
        <v>108</v>
      </c>
      <c r="E72" s="42" t="n">
        <v>4050</v>
      </c>
      <c r="F72" s="42"/>
      <c r="G72" s="42" t="n">
        <v>250</v>
      </c>
      <c r="H72" s="43" t="n">
        <v>2</v>
      </c>
      <c r="I72" s="34" t="n">
        <f aca="false">E72*H72+N(F72)+N(G72)</f>
        <v>8350</v>
      </c>
      <c r="J72" s="42" t="n">
        <f aca="false">ROUND(IFERROR(ROUND(IF(OR(ISNUMBER(SEARCH("week",C72)),ISNUMBER(SEARCH("minggu",C72))),IFERROR(_xlfn.NUMBERVALUE(SUBSTITUTE(LEFT(TRIM(C72),FIND(" ",TRIM(C72)&amp;" ")-1),",","."),"."),LEFT(SUBSTITUTE(LEFT(TRIM(C72),FIND(" ",TRIM(C72)&amp;" ")-1),",","."),FIND("/",SUBSTITUTE(LEFT(TRIM(C72),FIND(" ",TRIM(C72)&amp;" ")-1),",","."))-1)/MID(SUBSTITUTE(LEFT(TRIM(C72),FIND(" ",TRIM(C72)&amp;" ")-1),",","."),FIND("/",SUBSTITUTE(LEFT(TRIM(C72),FIND(" ",TRIM(C72)&amp;" ")-1),",","."))+1,9))*12/52,IF(ISNUMBER(SEARCH("month",C72)),IFERROR(_xlfn.NUMBERVALUE(SUBSTITUTE(LEFT(TRIM(C72),FIND(" ",TRIM(C72)&amp;" ")-1),",","."),"."),LEFT(SUBSTITUTE(LEFT(TRIM(C72),FIND(" ",TRIM(C72)&amp;" ")-1),",","."),FIND("/",SUBSTITUTE(LEFT(TRIM(C72),FIND(" ",TRIM(C72)&amp;" ")-1),",","."))-1)/MID(SUBSTITUTE(LEFT(TRIM(C72),FIND(" ",TRIM(C72)&amp;" ")-1),",","."),FIND("/",SUBSTITUTE(LEFT(TRIM(C72),FIND(" ",TRIM(C72)&amp;" ")-1),",","."))+1,9)),IF(ISNUMBER(SEARCH("yea",C72)),IFERROR(_xlfn.NUMBERVALUE(SUBSTITUTE(LEFT(TRIM(C72),FIND(" ",TRIM(C72)&amp;" ")-1),",","."),"."),LEFT(SUBSTITUTE(LEFT(TRIM(C72),FIND(" ",TRIM(C72)&amp;" ")-1),",","."),FIND("/",SUBSTITUTE(LEFT(TRIM(C72),FIND(" ",TRIM(C72)&amp;" ")-1),",","."))-1)/MID(SUBSTITUTE(LEFT(TRIM(C72),FIND(" ",TRIM(C72)&amp;" ")-1),",","."),FIND("/",SUBSTITUTE(LEFT(TRIM(C72),FIND(" ",TRIM(C72)&amp;" ")-1),",","."))+1,9))*12,NA()))),0),24)*'Aturan &amp; Tarif'!$B$4,2)</f>
        <v>1362.72</v>
      </c>
      <c r="K72" s="42" t="n">
        <f aca="false">'Aturan &amp; Tarif'!$B$5</f>
        <v>2050</v>
      </c>
      <c r="L72" s="42" t="n">
        <f aca="false">'Aturan &amp; Tarif'!$B$6</f>
        <v>350</v>
      </c>
      <c r="M72" s="35" t="n">
        <f aca="false">I72+J72+K72+L72</f>
        <v>12112.72</v>
      </c>
      <c r="N72" s="45" t="s">
        <v>641</v>
      </c>
    </row>
    <row r="73" customFormat="false" ht="14.25" hidden="false" customHeight="true" outlineLevel="0" collapsed="false">
      <c r="A73" s="39"/>
      <c r="B73" s="40" t="s">
        <v>645</v>
      </c>
      <c r="C73" s="41" t="s">
        <v>107</v>
      </c>
      <c r="D73" s="41" t="s">
        <v>108</v>
      </c>
      <c r="E73" s="42" t="n">
        <v>4050</v>
      </c>
      <c r="F73" s="42"/>
      <c r="G73" s="42" t="n">
        <v>250</v>
      </c>
      <c r="H73" s="43" t="n">
        <v>2</v>
      </c>
      <c r="I73" s="34" t="n">
        <f aca="false">E73*H73+N(F73)+N(G73)</f>
        <v>8350</v>
      </c>
      <c r="J73" s="42" t="n">
        <f aca="false">ROUND(IFERROR(ROUND(IF(OR(ISNUMBER(SEARCH("week",C73)),ISNUMBER(SEARCH("minggu",C73))),IFERROR(_xlfn.NUMBERVALUE(SUBSTITUTE(LEFT(TRIM(C73),FIND(" ",TRIM(C73)&amp;" ")-1),",","."),"."),LEFT(SUBSTITUTE(LEFT(TRIM(C73),FIND(" ",TRIM(C73)&amp;" ")-1),",","."),FIND("/",SUBSTITUTE(LEFT(TRIM(C73),FIND(" ",TRIM(C73)&amp;" ")-1),",","."))-1)/MID(SUBSTITUTE(LEFT(TRIM(C73),FIND(" ",TRIM(C73)&amp;" ")-1),",","."),FIND("/",SUBSTITUTE(LEFT(TRIM(C73),FIND(" ",TRIM(C73)&amp;" ")-1),",","."))+1,9))*12/52,IF(ISNUMBER(SEARCH("month",C73)),IFERROR(_xlfn.NUMBERVALUE(SUBSTITUTE(LEFT(TRIM(C73),FIND(" ",TRIM(C73)&amp;" ")-1),",","."),"."),LEFT(SUBSTITUTE(LEFT(TRIM(C73),FIND(" ",TRIM(C73)&amp;" ")-1),",","."),FIND("/",SUBSTITUTE(LEFT(TRIM(C73),FIND(" ",TRIM(C73)&amp;" ")-1),",","."))-1)/MID(SUBSTITUTE(LEFT(TRIM(C73),FIND(" ",TRIM(C73)&amp;" ")-1),",","."),FIND("/",SUBSTITUTE(LEFT(TRIM(C73),FIND(" ",TRIM(C73)&amp;" ")-1),",","."))+1,9)),IF(ISNUMBER(SEARCH("yea",C73)),IFERROR(_xlfn.NUMBERVALUE(SUBSTITUTE(LEFT(TRIM(C73),FIND(" ",TRIM(C73)&amp;" ")-1),",","."),"."),LEFT(SUBSTITUTE(LEFT(TRIM(C73),FIND(" ",TRIM(C73)&amp;" ")-1),",","."),FIND("/",SUBSTITUTE(LEFT(TRIM(C73),FIND(" ",TRIM(C73)&amp;" ")-1),",","."))-1)/MID(SUBSTITUTE(LEFT(TRIM(C73),FIND(" ",TRIM(C73)&amp;" ")-1),",","."),FIND("/",SUBSTITUTE(LEFT(TRIM(C73),FIND(" ",TRIM(C73)&amp;" ")-1),",","."))+1,9))*12,NA()))),0),24)*'Aturan &amp; Tarif'!$B$4,2)</f>
        <v>1362.72</v>
      </c>
      <c r="K73" s="42" t="n">
        <f aca="false">'Aturan &amp; Tarif'!$B$5</f>
        <v>2050</v>
      </c>
      <c r="L73" s="42" t="n">
        <f aca="false">'Aturan &amp; Tarif'!$B$6</f>
        <v>350</v>
      </c>
      <c r="M73" s="35" t="n">
        <f aca="false">I73+J73+K73+L73</f>
        <v>12112.72</v>
      </c>
      <c r="N73" s="45" t="s">
        <v>641</v>
      </c>
    </row>
    <row r="74" customFormat="false" ht="37.5" hidden="false" customHeight="true" outlineLevel="0" collapsed="false">
      <c r="A74" s="39"/>
      <c r="B74" s="40" t="s">
        <v>646</v>
      </c>
      <c r="C74" s="41" t="s">
        <v>130</v>
      </c>
      <c r="D74" s="41" t="s">
        <v>108</v>
      </c>
      <c r="E74" s="42" t="n">
        <v>4050</v>
      </c>
      <c r="F74" s="42"/>
      <c r="G74" s="42" t="n">
        <v>250</v>
      </c>
      <c r="H74" s="43" t="n">
        <v>2</v>
      </c>
      <c r="I74" s="34" t="n">
        <f aca="false">E74*H74+N(F74)+N(G74)</f>
        <v>8350</v>
      </c>
      <c r="J74" s="42" t="n">
        <f aca="false">ROUND(IFERROR(ROUND(IF(OR(ISNUMBER(SEARCH("week",C74)),ISNUMBER(SEARCH("minggu",C74))),IFERROR(_xlfn.NUMBERVALUE(SUBSTITUTE(LEFT(TRIM(C74),FIND(" ",TRIM(C74)&amp;" ")-1),",","."),"."),LEFT(SUBSTITUTE(LEFT(TRIM(C74),FIND(" ",TRIM(C74)&amp;" ")-1),",","."),FIND("/",SUBSTITUTE(LEFT(TRIM(C74),FIND(" ",TRIM(C74)&amp;" ")-1),",","."))-1)/MID(SUBSTITUTE(LEFT(TRIM(C74),FIND(" ",TRIM(C74)&amp;" ")-1),",","."),FIND("/",SUBSTITUTE(LEFT(TRIM(C74),FIND(" ",TRIM(C74)&amp;" ")-1),",","."))+1,9))*12/52,IF(ISNUMBER(SEARCH("month",C74)),IFERROR(_xlfn.NUMBERVALUE(SUBSTITUTE(LEFT(TRIM(C74),FIND(" ",TRIM(C74)&amp;" ")-1),",","."),"."),LEFT(SUBSTITUTE(LEFT(TRIM(C74),FIND(" ",TRIM(C74)&amp;" ")-1),",","."),FIND("/",SUBSTITUTE(LEFT(TRIM(C74),FIND(" ",TRIM(C74)&amp;" ")-1),",","."))-1)/MID(SUBSTITUTE(LEFT(TRIM(C74),FIND(" ",TRIM(C74)&amp;" ")-1),",","."),FIND("/",SUBSTITUTE(LEFT(TRIM(C74),FIND(" ",TRIM(C74)&amp;" ")-1),",","."))+1,9)),IF(ISNUMBER(SEARCH("yea",C74)),IFERROR(_xlfn.NUMBERVALUE(SUBSTITUTE(LEFT(TRIM(C74),FIND(" ",TRIM(C74)&amp;" ")-1),",","."),"."),LEFT(SUBSTITUTE(LEFT(TRIM(C74),FIND(" ",TRIM(C74)&amp;" ")-1),",","."),FIND("/",SUBSTITUTE(LEFT(TRIM(C74),FIND(" ",TRIM(C74)&amp;" ")-1),",","."))-1)/MID(SUBSTITUTE(LEFT(TRIM(C74),FIND(" ",TRIM(C74)&amp;" ")-1),",","."),FIND("/",SUBSTITUTE(LEFT(TRIM(C74),FIND(" ",TRIM(C74)&amp;" ")-1),",","."))+1,9))*12,NA()))),0),12)*'Aturan &amp; Tarif'!$B$4,2)</f>
        <v>681.36</v>
      </c>
      <c r="K74" s="42" t="n">
        <f aca="false">'Aturan &amp; Tarif'!$B$5</f>
        <v>2050</v>
      </c>
      <c r="L74" s="42" t="n">
        <f aca="false">'Aturan &amp; Tarif'!$B$6</f>
        <v>350</v>
      </c>
      <c r="M74" s="35" t="n">
        <f aca="false">I74+J74+K74+L74</f>
        <v>11431.36</v>
      </c>
      <c r="N74" s="45" t="s">
        <v>641</v>
      </c>
    </row>
    <row r="75" customFormat="false" ht="37.5" hidden="false" customHeight="true" outlineLevel="0" collapsed="false">
      <c r="A75" s="39"/>
      <c r="B75" s="40" t="s">
        <v>647</v>
      </c>
      <c r="C75" s="41" t="s">
        <v>648</v>
      </c>
      <c r="D75" s="41" t="s">
        <v>108</v>
      </c>
      <c r="E75" s="42" t="n">
        <v>2700</v>
      </c>
      <c r="F75" s="42"/>
      <c r="G75" s="42" t="n">
        <v>250</v>
      </c>
      <c r="H75" s="43" t="n">
        <v>2</v>
      </c>
      <c r="I75" s="34" t="n">
        <f aca="false">E75*H75+N(F75)+N(G75)</f>
        <v>5650</v>
      </c>
      <c r="J75" s="42" t="n">
        <f aca="false">ROUND(IFERROR(ROUND(IF(OR(ISNUMBER(SEARCH("week",C75)),ISNUMBER(SEARCH("minggu",C75))),IFERROR(_xlfn.NUMBERVALUE(SUBSTITUTE(LEFT(TRIM(C75),FIND(" ",TRIM(C75)&amp;" ")-1),",","."),"."),LEFT(SUBSTITUTE(LEFT(TRIM(C75),FIND(" ",TRIM(C75)&amp;" ")-1),",","."),FIND("/",SUBSTITUTE(LEFT(TRIM(C75),FIND(" ",TRIM(C75)&amp;" ")-1),",","."))-1)/MID(SUBSTITUTE(LEFT(TRIM(C75),FIND(" ",TRIM(C75)&amp;" ")-1),",","."),FIND("/",SUBSTITUTE(LEFT(TRIM(C75),FIND(" ",TRIM(C75)&amp;" ")-1),",","."))+1,9))*12/52,IF(ISNUMBER(SEARCH("month",C75)),IFERROR(_xlfn.NUMBERVALUE(SUBSTITUTE(LEFT(TRIM(C75),FIND(" ",TRIM(C75)&amp;" ")-1),",","."),"."),LEFT(SUBSTITUTE(LEFT(TRIM(C75),FIND(" ",TRIM(C75)&amp;" ")-1),",","."),FIND("/",SUBSTITUTE(LEFT(TRIM(C75),FIND(" ",TRIM(C75)&amp;" ")-1),",","."))-1)/MID(SUBSTITUTE(LEFT(TRIM(C75),FIND(" ",TRIM(C75)&amp;" ")-1),",","."),FIND("/",SUBSTITUTE(LEFT(TRIM(C75),FIND(" ",TRIM(C75)&amp;" ")-1),",","."))+1,9)),IF(ISNUMBER(SEARCH("yea",C75)),IFERROR(_xlfn.NUMBERVALUE(SUBSTITUTE(LEFT(TRIM(C75),FIND(" ",TRIM(C75)&amp;" ")-1),",","."),"."),LEFT(SUBSTITUTE(LEFT(TRIM(C75),FIND(" ",TRIM(C75)&amp;" ")-1),",","."),FIND("/",SUBSTITUTE(LEFT(TRIM(C75),FIND(" ",TRIM(C75)&amp;" ")-1),",","."))-1)/MID(SUBSTITUTE(LEFT(TRIM(C75),FIND(" ",TRIM(C75)&amp;" ")-1),",","."),FIND("/",SUBSTITUTE(LEFT(TRIM(C75),FIND(" ",TRIM(C75)&amp;" ")-1),",","."))+1,9))*12,NA()))),0),8)*'Aturan &amp; Tarif'!$B$4,2)</f>
        <v>454.24</v>
      </c>
      <c r="K75" s="42" t="n">
        <f aca="false">'Aturan &amp; Tarif'!$B$5</f>
        <v>2050</v>
      </c>
      <c r="L75" s="42" t="n">
        <f aca="false">'Aturan &amp; Tarif'!$B$6</f>
        <v>350</v>
      </c>
      <c r="M75" s="35" t="n">
        <f aca="false">I75+J75+K75+L75</f>
        <v>8504.24</v>
      </c>
      <c r="N75" s="45" t="s">
        <v>641</v>
      </c>
    </row>
    <row r="76" customFormat="false" ht="37.5" hidden="false" customHeight="true" outlineLevel="0" collapsed="false">
      <c r="A76" s="39"/>
      <c r="B76" s="40" t="s">
        <v>649</v>
      </c>
      <c r="C76" s="41" t="s">
        <v>130</v>
      </c>
      <c r="D76" s="41" t="s">
        <v>108</v>
      </c>
      <c r="E76" s="42" t="n">
        <v>4050</v>
      </c>
      <c r="F76" s="42"/>
      <c r="G76" s="42" t="n">
        <v>250</v>
      </c>
      <c r="H76" s="43" t="n">
        <v>2</v>
      </c>
      <c r="I76" s="34" t="n">
        <f aca="false">E76*H76+N(F76)+N(G76)</f>
        <v>8350</v>
      </c>
      <c r="J76" s="42" t="n">
        <f aca="false">ROUND(IFERROR(ROUND(IF(OR(ISNUMBER(SEARCH("week",C76)),ISNUMBER(SEARCH("minggu",C76))),IFERROR(_xlfn.NUMBERVALUE(SUBSTITUTE(LEFT(TRIM(C76),FIND(" ",TRIM(C76)&amp;" ")-1),",","."),"."),LEFT(SUBSTITUTE(LEFT(TRIM(C76),FIND(" ",TRIM(C76)&amp;" ")-1),",","."),FIND("/",SUBSTITUTE(LEFT(TRIM(C76),FIND(" ",TRIM(C76)&amp;" ")-1),",","."))-1)/MID(SUBSTITUTE(LEFT(TRIM(C76),FIND(" ",TRIM(C76)&amp;" ")-1),",","."),FIND("/",SUBSTITUTE(LEFT(TRIM(C76),FIND(" ",TRIM(C76)&amp;" ")-1),",","."))+1,9))*12/52,IF(ISNUMBER(SEARCH("month",C76)),IFERROR(_xlfn.NUMBERVALUE(SUBSTITUTE(LEFT(TRIM(C76),FIND(" ",TRIM(C76)&amp;" ")-1),",","."),"."),LEFT(SUBSTITUTE(LEFT(TRIM(C76),FIND(" ",TRIM(C76)&amp;" ")-1),",","."),FIND("/",SUBSTITUTE(LEFT(TRIM(C76),FIND(" ",TRIM(C76)&amp;" ")-1),",","."))-1)/MID(SUBSTITUTE(LEFT(TRIM(C76),FIND(" ",TRIM(C76)&amp;" ")-1),",","."),FIND("/",SUBSTITUTE(LEFT(TRIM(C76),FIND(" ",TRIM(C76)&amp;" ")-1),",","."))+1,9)),IF(ISNUMBER(SEARCH("yea",C76)),IFERROR(_xlfn.NUMBERVALUE(SUBSTITUTE(LEFT(TRIM(C76),FIND(" ",TRIM(C76)&amp;" ")-1),",","."),"."),LEFT(SUBSTITUTE(LEFT(TRIM(C76),FIND(" ",TRIM(C76)&amp;" ")-1),",","."),FIND("/",SUBSTITUTE(LEFT(TRIM(C76),FIND(" ",TRIM(C76)&amp;" ")-1),",","."))-1)/MID(SUBSTITUTE(LEFT(TRIM(C76),FIND(" ",TRIM(C76)&amp;" ")-1),",","."),FIND("/",SUBSTITUTE(LEFT(TRIM(C76),FIND(" ",TRIM(C76)&amp;" ")-1),",","."))+1,9))*12,NA()))),0),12)*'Aturan &amp; Tarif'!$B$4,2)</f>
        <v>681.36</v>
      </c>
      <c r="K76" s="42" t="n">
        <f aca="false">'Aturan &amp; Tarif'!$B$5</f>
        <v>2050</v>
      </c>
      <c r="L76" s="42" t="n">
        <f aca="false">'Aturan &amp; Tarif'!$B$6</f>
        <v>350</v>
      </c>
      <c r="M76" s="35" t="n">
        <f aca="false">I76+J76+K76+L76</f>
        <v>11431.36</v>
      </c>
      <c r="N76" s="45" t="s">
        <v>641</v>
      </c>
    </row>
    <row r="77" customFormat="false" ht="14.25" hidden="false" customHeight="true" outlineLevel="0" collapsed="false">
      <c r="A77" s="39"/>
      <c r="B77" s="40" t="s">
        <v>650</v>
      </c>
      <c r="C77" s="41" t="s">
        <v>648</v>
      </c>
      <c r="D77" s="41" t="s">
        <v>108</v>
      </c>
      <c r="E77" s="42" t="n">
        <v>2700</v>
      </c>
      <c r="F77" s="42"/>
      <c r="G77" s="42" t="n">
        <v>250</v>
      </c>
      <c r="H77" s="43" t="n">
        <v>2</v>
      </c>
      <c r="I77" s="34" t="n">
        <f aca="false">E77*H77+N(F77)+N(G77)</f>
        <v>5650</v>
      </c>
      <c r="J77" s="42" t="n">
        <f aca="false">ROUND(IFERROR(ROUND(IF(OR(ISNUMBER(SEARCH("week",C77)),ISNUMBER(SEARCH("minggu",C77))),IFERROR(_xlfn.NUMBERVALUE(SUBSTITUTE(LEFT(TRIM(C77),FIND(" ",TRIM(C77)&amp;" ")-1),",","."),"."),LEFT(SUBSTITUTE(LEFT(TRIM(C77),FIND(" ",TRIM(C77)&amp;" ")-1),",","."),FIND("/",SUBSTITUTE(LEFT(TRIM(C77),FIND(" ",TRIM(C77)&amp;" ")-1),",","."))-1)/MID(SUBSTITUTE(LEFT(TRIM(C77),FIND(" ",TRIM(C77)&amp;" ")-1),",","."),FIND("/",SUBSTITUTE(LEFT(TRIM(C77),FIND(" ",TRIM(C77)&amp;" ")-1),",","."))+1,9))*12/52,IF(ISNUMBER(SEARCH("month",C77)),IFERROR(_xlfn.NUMBERVALUE(SUBSTITUTE(LEFT(TRIM(C77),FIND(" ",TRIM(C77)&amp;" ")-1),",","."),"."),LEFT(SUBSTITUTE(LEFT(TRIM(C77),FIND(" ",TRIM(C77)&amp;" ")-1),",","."),FIND("/",SUBSTITUTE(LEFT(TRIM(C77),FIND(" ",TRIM(C77)&amp;" ")-1),",","."))-1)/MID(SUBSTITUTE(LEFT(TRIM(C77),FIND(" ",TRIM(C77)&amp;" ")-1),",","."),FIND("/",SUBSTITUTE(LEFT(TRIM(C77),FIND(" ",TRIM(C77)&amp;" ")-1),",","."))+1,9)),IF(ISNUMBER(SEARCH("yea",C77)),IFERROR(_xlfn.NUMBERVALUE(SUBSTITUTE(LEFT(TRIM(C77),FIND(" ",TRIM(C77)&amp;" ")-1),",","."),"."),LEFT(SUBSTITUTE(LEFT(TRIM(C77),FIND(" ",TRIM(C77)&amp;" ")-1),",","."),FIND("/",SUBSTITUTE(LEFT(TRIM(C77),FIND(" ",TRIM(C77)&amp;" ")-1),",","."))-1)/MID(SUBSTITUTE(LEFT(TRIM(C77),FIND(" ",TRIM(C77)&amp;" ")-1),",","."),FIND("/",SUBSTITUTE(LEFT(TRIM(C77),FIND(" ",TRIM(C77)&amp;" ")-1),",","."))+1,9))*12,NA()))),0),8)*'Aturan &amp; Tarif'!$B$4,2)</f>
        <v>454.24</v>
      </c>
      <c r="K77" s="42" t="n">
        <f aca="false">'Aturan &amp; Tarif'!$B$5</f>
        <v>2050</v>
      </c>
      <c r="L77" s="42" t="n">
        <f aca="false">'Aturan &amp; Tarif'!$B$6</f>
        <v>350</v>
      </c>
      <c r="M77" s="35" t="n">
        <f aca="false">I77+J77+K77+L77</f>
        <v>8504.24</v>
      </c>
      <c r="N77" s="45" t="s">
        <v>641</v>
      </c>
    </row>
    <row r="78" customFormat="false" ht="60" hidden="false" customHeight="true" outlineLevel="0" collapsed="false">
      <c r="A78" s="29" t="s">
        <v>1862</v>
      </c>
      <c r="B78" s="30" t="s">
        <v>867</v>
      </c>
      <c r="C78" s="31" t="s">
        <v>127</v>
      </c>
      <c r="D78" s="31" t="s">
        <v>1863</v>
      </c>
      <c r="E78" s="32" t="n">
        <v>1470</v>
      </c>
      <c r="F78" s="32" t="n">
        <v>50</v>
      </c>
      <c r="G78" s="32" t="n">
        <v>250</v>
      </c>
      <c r="H78" s="33" t="n">
        <v>4</v>
      </c>
      <c r="I78" s="34" t="n">
        <f aca="false">E78*H78+N(F78)*H78+N(G78)</f>
        <v>6330</v>
      </c>
      <c r="J78" s="32" t="n">
        <f aca="false">ROUND(IFERROR(ROUND(IF(OR(ISNUMBER(SEARCH("week",C78)),ISNUMBER(SEARCH("minggu",C78))),IFERROR(_xlfn.NUMBERVALUE(SUBSTITUTE(LEFT(TRIM(C78),FIND(" ",TRIM(C78)&amp;" ")-1),",","."),"."),LEFT(SUBSTITUTE(LEFT(TRIM(C78),FIND(" ",TRIM(C78)&amp;" ")-1),",","."),FIND("/",SUBSTITUTE(LEFT(TRIM(C78),FIND(" ",TRIM(C78)&amp;" ")-1),",","."))-1)/MID(SUBSTITUTE(LEFT(TRIM(C78),FIND(" ",TRIM(C78)&amp;" ")-1),",","."),FIND("/",SUBSTITUTE(LEFT(TRIM(C78),FIND(" ",TRIM(C78)&amp;" ")-1),",","."))+1,9))*12/52,IF(ISNUMBER(SEARCH("month",C78)),IFERROR(_xlfn.NUMBERVALUE(SUBSTITUTE(LEFT(TRIM(C78),FIND(" ",TRIM(C78)&amp;" ")-1),",","."),"."),LEFT(SUBSTITUTE(LEFT(TRIM(C78),FIND(" ",TRIM(C78)&amp;" ")-1),",","."),FIND("/",SUBSTITUTE(LEFT(TRIM(C78),FIND(" ",TRIM(C78)&amp;" ")-1),",","."))-1)/MID(SUBSTITUTE(LEFT(TRIM(C78),FIND(" ",TRIM(C78)&amp;" ")-1),",","."),FIND("/",SUBSTITUTE(LEFT(TRIM(C78),FIND(" ",TRIM(C78)&amp;" ")-1),",","."))+1,9)),IF(ISNUMBER(SEARCH("yea",C78)),IFERROR(_xlfn.NUMBERVALUE(SUBSTITUTE(LEFT(TRIM(C78),FIND(" ",TRIM(C78)&amp;" ")-1),",","."),"."),LEFT(SUBSTITUTE(LEFT(TRIM(C78),FIND(" ",TRIM(C78)&amp;" ")-1),",","."),FIND("/",SUBSTITUTE(LEFT(TRIM(C78),FIND(" ",TRIM(C78)&amp;" ")-1),",","."))-1)/MID(SUBSTITUTE(LEFT(TRIM(C78),FIND(" ",TRIM(C78)&amp;" ")-1),",","."),FIND("/",SUBSTITUTE(LEFT(TRIM(C78),FIND(" ",TRIM(C78)&amp;" ")-1),",","."))+1,9))*12,NA()))),0),36)*'Aturan &amp; Tarif'!$B$4,2)</f>
        <v>2044.08</v>
      </c>
      <c r="K78" s="32" t="n">
        <f aca="false">'Aturan &amp; Tarif'!$B$5</f>
        <v>2050</v>
      </c>
      <c r="L78" s="32" t="n">
        <f aca="false">'Aturan &amp; Tarif'!$B$6</f>
        <v>350</v>
      </c>
      <c r="M78" s="35" t="n">
        <f aca="false">I78+J78+K78+L78</f>
        <v>10774.08</v>
      </c>
      <c r="N78" s="36" t="s">
        <v>1864</v>
      </c>
    </row>
    <row r="79" customFormat="false" ht="48.75" hidden="false" customHeight="true" outlineLevel="0" collapsed="false">
      <c r="A79" s="29"/>
      <c r="B79" s="30" t="s">
        <v>1865</v>
      </c>
      <c r="C79" s="31" t="s">
        <v>127</v>
      </c>
      <c r="D79" s="31" t="s">
        <v>1863</v>
      </c>
      <c r="E79" s="32" t="n">
        <v>1560</v>
      </c>
      <c r="F79" s="32" t="n">
        <v>50</v>
      </c>
      <c r="G79" s="32" t="n">
        <v>250</v>
      </c>
      <c r="H79" s="33" t="n">
        <v>4</v>
      </c>
      <c r="I79" s="34" t="n">
        <f aca="false">E79*H79+N(F79)*H79+N(G79)</f>
        <v>6690</v>
      </c>
      <c r="J79" s="32" t="n">
        <f aca="false">ROUND(IFERROR(ROUND(IF(OR(ISNUMBER(SEARCH("week",C79)),ISNUMBER(SEARCH("minggu",C79))),IFERROR(_xlfn.NUMBERVALUE(SUBSTITUTE(LEFT(TRIM(C79),FIND(" ",TRIM(C79)&amp;" ")-1),",","."),"."),LEFT(SUBSTITUTE(LEFT(TRIM(C79),FIND(" ",TRIM(C79)&amp;" ")-1),",","."),FIND("/",SUBSTITUTE(LEFT(TRIM(C79),FIND(" ",TRIM(C79)&amp;" ")-1),",","."))-1)/MID(SUBSTITUTE(LEFT(TRIM(C79),FIND(" ",TRIM(C79)&amp;" ")-1),",","."),FIND("/",SUBSTITUTE(LEFT(TRIM(C79),FIND(" ",TRIM(C79)&amp;" ")-1),",","."))+1,9))*12/52,IF(ISNUMBER(SEARCH("month",C79)),IFERROR(_xlfn.NUMBERVALUE(SUBSTITUTE(LEFT(TRIM(C79),FIND(" ",TRIM(C79)&amp;" ")-1),",","."),"."),LEFT(SUBSTITUTE(LEFT(TRIM(C79),FIND(" ",TRIM(C79)&amp;" ")-1),",","."),FIND("/",SUBSTITUTE(LEFT(TRIM(C79),FIND(" ",TRIM(C79)&amp;" ")-1),",","."))-1)/MID(SUBSTITUTE(LEFT(TRIM(C79),FIND(" ",TRIM(C79)&amp;" ")-1),",","."),FIND("/",SUBSTITUTE(LEFT(TRIM(C79),FIND(" ",TRIM(C79)&amp;" ")-1),",","."))+1,9)),IF(ISNUMBER(SEARCH("yea",C79)),IFERROR(_xlfn.NUMBERVALUE(SUBSTITUTE(LEFT(TRIM(C79),FIND(" ",TRIM(C79)&amp;" ")-1),",","."),"."),LEFT(SUBSTITUTE(LEFT(TRIM(C79),FIND(" ",TRIM(C79)&amp;" ")-1),",","."),FIND("/",SUBSTITUTE(LEFT(TRIM(C79),FIND(" ",TRIM(C79)&amp;" ")-1),",","."))-1)/MID(SUBSTITUTE(LEFT(TRIM(C79),FIND(" ",TRIM(C79)&amp;" ")-1),",","."),FIND("/",SUBSTITUTE(LEFT(TRIM(C79),FIND(" ",TRIM(C79)&amp;" ")-1),",","."))+1,9))*12,NA()))),0),36)*'Aturan &amp; Tarif'!$B$4,2)</f>
        <v>2044.08</v>
      </c>
      <c r="K79" s="32" t="n">
        <f aca="false">'Aturan &amp; Tarif'!$B$5</f>
        <v>2050</v>
      </c>
      <c r="L79" s="32" t="n">
        <f aca="false">'Aturan &amp; Tarif'!$B$6</f>
        <v>350</v>
      </c>
      <c r="M79" s="35" t="n">
        <f aca="false">I79+J79+K79+L79</f>
        <v>11134.08</v>
      </c>
      <c r="N79" s="36" t="s">
        <v>1866</v>
      </c>
    </row>
    <row r="80" customFormat="false" ht="37.5" hidden="false" customHeight="true" outlineLevel="0" collapsed="false">
      <c r="A80" s="29"/>
      <c r="B80" s="30" t="s">
        <v>1867</v>
      </c>
      <c r="C80" s="31" t="s">
        <v>127</v>
      </c>
      <c r="D80" s="31" t="s">
        <v>1863</v>
      </c>
      <c r="E80" s="32" t="n">
        <v>1560</v>
      </c>
      <c r="F80" s="32" t="n">
        <v>50</v>
      </c>
      <c r="G80" s="32" t="n">
        <v>250</v>
      </c>
      <c r="H80" s="33" t="n">
        <v>4</v>
      </c>
      <c r="I80" s="34" t="n">
        <f aca="false">E80*H80+N(F80)*H80+N(G80)</f>
        <v>6690</v>
      </c>
      <c r="J80" s="32" t="n">
        <f aca="false">ROUND(IFERROR(ROUND(IF(OR(ISNUMBER(SEARCH("week",C80)),ISNUMBER(SEARCH("minggu",C80))),IFERROR(_xlfn.NUMBERVALUE(SUBSTITUTE(LEFT(TRIM(C80),FIND(" ",TRIM(C80)&amp;" ")-1),",","."),"."),LEFT(SUBSTITUTE(LEFT(TRIM(C80),FIND(" ",TRIM(C80)&amp;" ")-1),",","."),FIND("/",SUBSTITUTE(LEFT(TRIM(C80),FIND(" ",TRIM(C80)&amp;" ")-1),",","."))-1)/MID(SUBSTITUTE(LEFT(TRIM(C80),FIND(" ",TRIM(C80)&amp;" ")-1),",","."),FIND("/",SUBSTITUTE(LEFT(TRIM(C80),FIND(" ",TRIM(C80)&amp;" ")-1),",","."))+1,9))*12/52,IF(ISNUMBER(SEARCH("month",C80)),IFERROR(_xlfn.NUMBERVALUE(SUBSTITUTE(LEFT(TRIM(C80),FIND(" ",TRIM(C80)&amp;" ")-1),",","."),"."),LEFT(SUBSTITUTE(LEFT(TRIM(C80),FIND(" ",TRIM(C80)&amp;" ")-1),",","."),FIND("/",SUBSTITUTE(LEFT(TRIM(C80),FIND(" ",TRIM(C80)&amp;" ")-1),",","."))-1)/MID(SUBSTITUTE(LEFT(TRIM(C80),FIND(" ",TRIM(C80)&amp;" ")-1),",","."),FIND("/",SUBSTITUTE(LEFT(TRIM(C80),FIND(" ",TRIM(C80)&amp;" ")-1),",","."))+1,9)),IF(ISNUMBER(SEARCH("yea",C80)),IFERROR(_xlfn.NUMBERVALUE(SUBSTITUTE(LEFT(TRIM(C80),FIND(" ",TRIM(C80)&amp;" ")-1),",","."),"."),LEFT(SUBSTITUTE(LEFT(TRIM(C80),FIND(" ",TRIM(C80)&amp;" ")-1),",","."),FIND("/",SUBSTITUTE(LEFT(TRIM(C80),FIND(" ",TRIM(C80)&amp;" ")-1),",","."))-1)/MID(SUBSTITUTE(LEFT(TRIM(C80),FIND(" ",TRIM(C80)&amp;" ")-1),",","."),FIND("/",SUBSTITUTE(LEFT(TRIM(C80),FIND(" ",TRIM(C80)&amp;" ")-1),",","."))+1,9))*12,NA()))),0),36)*'Aturan &amp; Tarif'!$B$4,2)</f>
        <v>2044.08</v>
      </c>
      <c r="K80" s="32" t="n">
        <f aca="false">'Aturan &amp; Tarif'!$B$5</f>
        <v>2050</v>
      </c>
      <c r="L80" s="32" t="n">
        <f aca="false">'Aturan &amp; Tarif'!$B$6</f>
        <v>350</v>
      </c>
      <c r="M80" s="35" t="n">
        <f aca="false">I80+J80+K80+L80</f>
        <v>11134.08</v>
      </c>
      <c r="N80" s="36" t="s">
        <v>1868</v>
      </c>
    </row>
    <row r="81" customFormat="false" ht="14.25" hidden="false" customHeight="true" outlineLevel="0" collapsed="false">
      <c r="A81" s="29"/>
      <c r="B81" s="30" t="s">
        <v>1869</v>
      </c>
      <c r="C81" s="31" t="s">
        <v>127</v>
      </c>
      <c r="D81" s="31" t="s">
        <v>1863</v>
      </c>
      <c r="E81" s="32" t="n">
        <v>1560</v>
      </c>
      <c r="F81" s="32" t="n">
        <v>50</v>
      </c>
      <c r="G81" s="32" t="n">
        <v>250</v>
      </c>
      <c r="H81" s="33" t="n">
        <v>4</v>
      </c>
      <c r="I81" s="34" t="n">
        <f aca="false">E81*H81+N(F81)*H81+N(G81)</f>
        <v>6690</v>
      </c>
      <c r="J81" s="32" t="n">
        <f aca="false">ROUND(IFERROR(ROUND(IF(OR(ISNUMBER(SEARCH("week",C81)),ISNUMBER(SEARCH("minggu",C81))),IFERROR(_xlfn.NUMBERVALUE(SUBSTITUTE(LEFT(TRIM(C81),FIND(" ",TRIM(C81)&amp;" ")-1),",","."),"."),LEFT(SUBSTITUTE(LEFT(TRIM(C81),FIND(" ",TRIM(C81)&amp;" ")-1),",","."),FIND("/",SUBSTITUTE(LEFT(TRIM(C81),FIND(" ",TRIM(C81)&amp;" ")-1),",","."))-1)/MID(SUBSTITUTE(LEFT(TRIM(C81),FIND(" ",TRIM(C81)&amp;" ")-1),",","."),FIND("/",SUBSTITUTE(LEFT(TRIM(C81),FIND(" ",TRIM(C81)&amp;" ")-1),",","."))+1,9))*12/52,IF(ISNUMBER(SEARCH("month",C81)),IFERROR(_xlfn.NUMBERVALUE(SUBSTITUTE(LEFT(TRIM(C81),FIND(" ",TRIM(C81)&amp;" ")-1),",","."),"."),LEFT(SUBSTITUTE(LEFT(TRIM(C81),FIND(" ",TRIM(C81)&amp;" ")-1),",","."),FIND("/",SUBSTITUTE(LEFT(TRIM(C81),FIND(" ",TRIM(C81)&amp;" ")-1),",","."))-1)/MID(SUBSTITUTE(LEFT(TRIM(C81),FIND(" ",TRIM(C81)&amp;" ")-1),",","."),FIND("/",SUBSTITUTE(LEFT(TRIM(C81),FIND(" ",TRIM(C81)&amp;" ")-1),",","."))+1,9)),IF(ISNUMBER(SEARCH("yea",C81)),IFERROR(_xlfn.NUMBERVALUE(SUBSTITUTE(LEFT(TRIM(C81),FIND(" ",TRIM(C81)&amp;" ")-1),",","."),"."),LEFT(SUBSTITUTE(LEFT(TRIM(C81),FIND(" ",TRIM(C81)&amp;" ")-1),",","."),FIND("/",SUBSTITUTE(LEFT(TRIM(C81),FIND(" ",TRIM(C81)&amp;" ")-1),",","."))-1)/MID(SUBSTITUTE(LEFT(TRIM(C81),FIND(" ",TRIM(C81)&amp;" ")-1),",","."),FIND("/",SUBSTITUTE(LEFT(TRIM(C81),FIND(" ",TRIM(C81)&amp;" ")-1),",","."))+1,9))*12,NA()))),0),36)*'Aturan &amp; Tarif'!$B$4,2)</f>
        <v>2044.08</v>
      </c>
      <c r="K81" s="32" t="n">
        <f aca="false">'Aturan &amp; Tarif'!$B$5</f>
        <v>2050</v>
      </c>
      <c r="L81" s="32" t="n">
        <f aca="false">'Aturan &amp; Tarif'!$B$6</f>
        <v>350</v>
      </c>
      <c r="M81" s="35" t="n">
        <f aca="false">I81+J81+K81+L81</f>
        <v>11134.08</v>
      </c>
      <c r="N81" s="36" t="s">
        <v>1870</v>
      </c>
    </row>
    <row r="82" customFormat="false" ht="14.25" hidden="false" customHeight="true" outlineLevel="0" collapsed="false">
      <c r="A82" s="29"/>
      <c r="B82" s="30" t="s">
        <v>1871</v>
      </c>
      <c r="C82" s="31" t="s">
        <v>127</v>
      </c>
      <c r="D82" s="31" t="s">
        <v>1863</v>
      </c>
      <c r="E82" s="32" t="n">
        <v>1560</v>
      </c>
      <c r="F82" s="32" t="n">
        <v>50</v>
      </c>
      <c r="G82" s="32" t="n">
        <v>250</v>
      </c>
      <c r="H82" s="33" t="n">
        <v>4</v>
      </c>
      <c r="I82" s="34" t="n">
        <f aca="false">E82*H82+N(F82)*H82+N(G82)</f>
        <v>6690</v>
      </c>
      <c r="J82" s="32" t="n">
        <f aca="false">ROUND(IFERROR(ROUND(IF(OR(ISNUMBER(SEARCH("week",C82)),ISNUMBER(SEARCH("minggu",C82))),IFERROR(_xlfn.NUMBERVALUE(SUBSTITUTE(LEFT(TRIM(C82),FIND(" ",TRIM(C82)&amp;" ")-1),",","."),"."),LEFT(SUBSTITUTE(LEFT(TRIM(C82),FIND(" ",TRIM(C82)&amp;" ")-1),",","."),FIND("/",SUBSTITUTE(LEFT(TRIM(C82),FIND(" ",TRIM(C82)&amp;" ")-1),",","."))-1)/MID(SUBSTITUTE(LEFT(TRIM(C82),FIND(" ",TRIM(C82)&amp;" ")-1),",","."),FIND("/",SUBSTITUTE(LEFT(TRIM(C82),FIND(" ",TRIM(C82)&amp;" ")-1),",","."))+1,9))*12/52,IF(ISNUMBER(SEARCH("month",C82)),IFERROR(_xlfn.NUMBERVALUE(SUBSTITUTE(LEFT(TRIM(C82),FIND(" ",TRIM(C82)&amp;" ")-1),",","."),"."),LEFT(SUBSTITUTE(LEFT(TRIM(C82),FIND(" ",TRIM(C82)&amp;" ")-1),",","."),FIND("/",SUBSTITUTE(LEFT(TRIM(C82),FIND(" ",TRIM(C82)&amp;" ")-1),",","."))-1)/MID(SUBSTITUTE(LEFT(TRIM(C82),FIND(" ",TRIM(C82)&amp;" ")-1),",","."),FIND("/",SUBSTITUTE(LEFT(TRIM(C82),FIND(" ",TRIM(C82)&amp;" ")-1),",","."))+1,9)),IF(ISNUMBER(SEARCH("yea",C82)),IFERROR(_xlfn.NUMBERVALUE(SUBSTITUTE(LEFT(TRIM(C82),FIND(" ",TRIM(C82)&amp;" ")-1),",","."),"."),LEFT(SUBSTITUTE(LEFT(TRIM(C82),FIND(" ",TRIM(C82)&amp;" ")-1),",","."),FIND("/",SUBSTITUTE(LEFT(TRIM(C82),FIND(" ",TRIM(C82)&amp;" ")-1),",","."))-1)/MID(SUBSTITUTE(LEFT(TRIM(C82),FIND(" ",TRIM(C82)&amp;" ")-1),",","."),FIND("/",SUBSTITUTE(LEFT(TRIM(C82),FIND(" ",TRIM(C82)&amp;" ")-1),",","."))+1,9))*12,NA()))),0),36)*'Aturan &amp; Tarif'!$B$4,2)</f>
        <v>2044.08</v>
      </c>
      <c r="K82" s="32" t="n">
        <f aca="false">'Aturan &amp; Tarif'!$B$5</f>
        <v>2050</v>
      </c>
      <c r="L82" s="32" t="n">
        <f aca="false">'Aturan &amp; Tarif'!$B$6</f>
        <v>350</v>
      </c>
      <c r="M82" s="35" t="n">
        <f aca="false">I82+J82+K82+L82</f>
        <v>11134.08</v>
      </c>
      <c r="N82" s="36" t="s">
        <v>1872</v>
      </c>
    </row>
    <row r="83" customFormat="false" ht="14.25" hidden="false" customHeight="true" outlineLevel="0" collapsed="false">
      <c r="A83" s="29"/>
      <c r="B83" s="30" t="s">
        <v>1873</v>
      </c>
      <c r="C83" s="31" t="s">
        <v>107</v>
      </c>
      <c r="D83" s="31" t="s">
        <v>1863</v>
      </c>
      <c r="E83" s="32" t="n">
        <v>2280</v>
      </c>
      <c r="F83" s="32" t="n">
        <v>50</v>
      </c>
      <c r="G83" s="32" t="n">
        <v>250</v>
      </c>
      <c r="H83" s="33" t="n">
        <v>4</v>
      </c>
      <c r="I83" s="34" t="n">
        <f aca="false">E83*H83+N(F83)*H83+N(G83)</f>
        <v>9570</v>
      </c>
      <c r="J83" s="32" t="n">
        <f aca="false">ROUND(IFERROR(ROUND(IF(OR(ISNUMBER(SEARCH("week",C83)),ISNUMBER(SEARCH("minggu",C83))),IFERROR(_xlfn.NUMBERVALUE(SUBSTITUTE(LEFT(TRIM(C83),FIND(" ",TRIM(C83)&amp;" ")-1),",","."),"."),LEFT(SUBSTITUTE(LEFT(TRIM(C83),FIND(" ",TRIM(C83)&amp;" ")-1),",","."),FIND("/",SUBSTITUTE(LEFT(TRIM(C83),FIND(" ",TRIM(C83)&amp;" ")-1),",","."))-1)/MID(SUBSTITUTE(LEFT(TRIM(C83),FIND(" ",TRIM(C83)&amp;" ")-1),",","."),FIND("/",SUBSTITUTE(LEFT(TRIM(C83),FIND(" ",TRIM(C83)&amp;" ")-1),",","."))+1,9))*12/52,IF(ISNUMBER(SEARCH("month",C83)),IFERROR(_xlfn.NUMBERVALUE(SUBSTITUTE(LEFT(TRIM(C83),FIND(" ",TRIM(C83)&amp;" ")-1),",","."),"."),LEFT(SUBSTITUTE(LEFT(TRIM(C83),FIND(" ",TRIM(C83)&amp;" ")-1),",","."),FIND("/",SUBSTITUTE(LEFT(TRIM(C83),FIND(" ",TRIM(C83)&amp;" ")-1),",","."))-1)/MID(SUBSTITUTE(LEFT(TRIM(C83),FIND(" ",TRIM(C83)&amp;" ")-1),",","."),FIND("/",SUBSTITUTE(LEFT(TRIM(C83),FIND(" ",TRIM(C83)&amp;" ")-1),",","."))+1,9)),IF(ISNUMBER(SEARCH("yea",C83)),IFERROR(_xlfn.NUMBERVALUE(SUBSTITUTE(LEFT(TRIM(C83),FIND(" ",TRIM(C83)&amp;" ")-1),",","."),"."),LEFT(SUBSTITUTE(LEFT(TRIM(C83),FIND(" ",TRIM(C83)&amp;" ")-1),",","."),FIND("/",SUBSTITUTE(LEFT(TRIM(C83),FIND(" ",TRIM(C83)&amp;" ")-1),",","."))-1)/MID(SUBSTITUTE(LEFT(TRIM(C83),FIND(" ",TRIM(C83)&amp;" ")-1),",","."),FIND("/",SUBSTITUTE(LEFT(TRIM(C83),FIND(" ",TRIM(C83)&amp;" ")-1),",","."))+1,9))*12,NA()))),0),24)*'Aturan &amp; Tarif'!$B$4,2)</f>
        <v>1362.72</v>
      </c>
      <c r="K83" s="32" t="n">
        <f aca="false">'Aturan &amp; Tarif'!$B$5</f>
        <v>2050</v>
      </c>
      <c r="L83" s="32" t="n">
        <f aca="false">'Aturan &amp; Tarif'!$B$6</f>
        <v>350</v>
      </c>
      <c r="M83" s="35" t="n">
        <f aca="false">I83+J83+K83+L83</f>
        <v>13332.72</v>
      </c>
      <c r="N83" s="36" t="s">
        <v>1874</v>
      </c>
    </row>
    <row r="84" customFormat="false" ht="25.5" hidden="false" customHeight="true" outlineLevel="0" collapsed="false">
      <c r="A84" s="29"/>
      <c r="B84" s="30" t="s">
        <v>1875</v>
      </c>
      <c r="C84" s="31" t="s">
        <v>107</v>
      </c>
      <c r="D84" s="31" t="s">
        <v>1863</v>
      </c>
      <c r="E84" s="32" t="n">
        <v>2460</v>
      </c>
      <c r="F84" s="32" t="n">
        <v>50</v>
      </c>
      <c r="G84" s="32" t="n">
        <v>250</v>
      </c>
      <c r="H84" s="33" t="n">
        <v>4</v>
      </c>
      <c r="I84" s="34" t="n">
        <f aca="false">E84*H84+N(F84)*H84+N(G84)</f>
        <v>10290</v>
      </c>
      <c r="J84" s="32" t="n">
        <f aca="false">ROUND(IFERROR(ROUND(IF(OR(ISNUMBER(SEARCH("week",C84)),ISNUMBER(SEARCH("minggu",C84))),IFERROR(_xlfn.NUMBERVALUE(SUBSTITUTE(LEFT(TRIM(C84),FIND(" ",TRIM(C84)&amp;" ")-1),",","."),"."),LEFT(SUBSTITUTE(LEFT(TRIM(C84),FIND(" ",TRIM(C84)&amp;" ")-1),",","."),FIND("/",SUBSTITUTE(LEFT(TRIM(C84),FIND(" ",TRIM(C84)&amp;" ")-1),",","."))-1)/MID(SUBSTITUTE(LEFT(TRIM(C84),FIND(" ",TRIM(C84)&amp;" ")-1),",","."),FIND("/",SUBSTITUTE(LEFT(TRIM(C84),FIND(" ",TRIM(C84)&amp;" ")-1),",","."))+1,9))*12/52,IF(ISNUMBER(SEARCH("month",C84)),IFERROR(_xlfn.NUMBERVALUE(SUBSTITUTE(LEFT(TRIM(C84),FIND(" ",TRIM(C84)&amp;" ")-1),",","."),"."),LEFT(SUBSTITUTE(LEFT(TRIM(C84),FIND(" ",TRIM(C84)&amp;" ")-1),",","."),FIND("/",SUBSTITUTE(LEFT(TRIM(C84),FIND(" ",TRIM(C84)&amp;" ")-1),",","."))-1)/MID(SUBSTITUTE(LEFT(TRIM(C84),FIND(" ",TRIM(C84)&amp;" ")-1),",","."),FIND("/",SUBSTITUTE(LEFT(TRIM(C84),FIND(" ",TRIM(C84)&amp;" ")-1),",","."))+1,9)),IF(ISNUMBER(SEARCH("yea",C84)),IFERROR(_xlfn.NUMBERVALUE(SUBSTITUTE(LEFT(TRIM(C84),FIND(" ",TRIM(C84)&amp;" ")-1),",","."),"."),LEFT(SUBSTITUTE(LEFT(TRIM(C84),FIND(" ",TRIM(C84)&amp;" ")-1),",","."),FIND("/",SUBSTITUTE(LEFT(TRIM(C84),FIND(" ",TRIM(C84)&amp;" ")-1),",","."))-1)/MID(SUBSTITUTE(LEFT(TRIM(C84),FIND(" ",TRIM(C84)&amp;" ")-1),",","."),FIND("/",SUBSTITUTE(LEFT(TRIM(C84),FIND(" ",TRIM(C84)&amp;" ")-1),",","."))+1,9))*12,NA()))),0),24)*'Aturan &amp; Tarif'!$B$4,2)</f>
        <v>1362.72</v>
      </c>
      <c r="K84" s="32" t="n">
        <f aca="false">'Aturan &amp; Tarif'!$B$5</f>
        <v>2050</v>
      </c>
      <c r="L84" s="32" t="n">
        <f aca="false">'Aturan &amp; Tarif'!$B$6</f>
        <v>350</v>
      </c>
      <c r="M84" s="35" t="n">
        <f aca="false">I84+J84+K84+L84</f>
        <v>14052.72</v>
      </c>
      <c r="N84" s="36" t="s">
        <v>1876</v>
      </c>
    </row>
    <row r="85" customFormat="false" ht="37.5" hidden="false" customHeight="true" outlineLevel="0" collapsed="false">
      <c r="A85" s="29"/>
      <c r="B85" s="30" t="s">
        <v>1877</v>
      </c>
      <c r="C85" s="31" t="s">
        <v>107</v>
      </c>
      <c r="D85" s="31" t="s">
        <v>1863</v>
      </c>
      <c r="E85" s="32" t="n">
        <v>2460</v>
      </c>
      <c r="F85" s="32" t="n">
        <v>50</v>
      </c>
      <c r="G85" s="32" t="n">
        <v>250</v>
      </c>
      <c r="H85" s="33" t="n">
        <v>4</v>
      </c>
      <c r="I85" s="34" t="n">
        <f aca="false">E85*H85+N(F85)*H85+N(G85)</f>
        <v>10290</v>
      </c>
      <c r="J85" s="32" t="n">
        <f aca="false">ROUND(IFERROR(ROUND(IF(OR(ISNUMBER(SEARCH("week",C85)),ISNUMBER(SEARCH("minggu",C85))),IFERROR(_xlfn.NUMBERVALUE(SUBSTITUTE(LEFT(TRIM(C85),FIND(" ",TRIM(C85)&amp;" ")-1),",","."),"."),LEFT(SUBSTITUTE(LEFT(TRIM(C85),FIND(" ",TRIM(C85)&amp;" ")-1),",","."),FIND("/",SUBSTITUTE(LEFT(TRIM(C85),FIND(" ",TRIM(C85)&amp;" ")-1),",","."))-1)/MID(SUBSTITUTE(LEFT(TRIM(C85),FIND(" ",TRIM(C85)&amp;" ")-1),",","."),FIND("/",SUBSTITUTE(LEFT(TRIM(C85),FIND(" ",TRIM(C85)&amp;" ")-1),",","."))+1,9))*12/52,IF(ISNUMBER(SEARCH("month",C85)),IFERROR(_xlfn.NUMBERVALUE(SUBSTITUTE(LEFT(TRIM(C85),FIND(" ",TRIM(C85)&amp;" ")-1),",","."),"."),LEFT(SUBSTITUTE(LEFT(TRIM(C85),FIND(" ",TRIM(C85)&amp;" ")-1),",","."),FIND("/",SUBSTITUTE(LEFT(TRIM(C85),FIND(" ",TRIM(C85)&amp;" ")-1),",","."))-1)/MID(SUBSTITUTE(LEFT(TRIM(C85),FIND(" ",TRIM(C85)&amp;" ")-1),",","."),FIND("/",SUBSTITUTE(LEFT(TRIM(C85),FIND(" ",TRIM(C85)&amp;" ")-1),",","."))+1,9)),IF(ISNUMBER(SEARCH("yea",C85)),IFERROR(_xlfn.NUMBERVALUE(SUBSTITUTE(LEFT(TRIM(C85),FIND(" ",TRIM(C85)&amp;" ")-1),",","."),"."),LEFT(SUBSTITUTE(LEFT(TRIM(C85),FIND(" ",TRIM(C85)&amp;" ")-1),",","."),FIND("/",SUBSTITUTE(LEFT(TRIM(C85),FIND(" ",TRIM(C85)&amp;" ")-1),",","."))-1)/MID(SUBSTITUTE(LEFT(TRIM(C85),FIND(" ",TRIM(C85)&amp;" ")-1),",","."),FIND("/",SUBSTITUTE(LEFT(TRIM(C85),FIND(" ",TRIM(C85)&amp;" ")-1),",","."))+1,9))*12,NA()))),0),24)*'Aturan &amp; Tarif'!$B$4,2)</f>
        <v>1362.72</v>
      </c>
      <c r="K85" s="32" t="n">
        <f aca="false">'Aturan &amp; Tarif'!$B$5</f>
        <v>2050</v>
      </c>
      <c r="L85" s="32" t="n">
        <f aca="false">'Aturan &amp; Tarif'!$B$6</f>
        <v>350</v>
      </c>
      <c r="M85" s="35" t="n">
        <f aca="false">I85+J85+K85+L85</f>
        <v>14052.72</v>
      </c>
      <c r="N85" s="36" t="s">
        <v>1878</v>
      </c>
    </row>
    <row r="86" customFormat="false" ht="37.5" hidden="false" customHeight="true" outlineLevel="0" collapsed="false">
      <c r="A86" s="29"/>
      <c r="B86" s="30" t="s">
        <v>1879</v>
      </c>
      <c r="C86" s="31" t="s">
        <v>107</v>
      </c>
      <c r="D86" s="31" t="s">
        <v>1863</v>
      </c>
      <c r="E86" s="32" t="n">
        <v>2280</v>
      </c>
      <c r="F86" s="32" t="n">
        <v>50</v>
      </c>
      <c r="G86" s="32" t="n">
        <v>250</v>
      </c>
      <c r="H86" s="33" t="n">
        <v>4</v>
      </c>
      <c r="I86" s="34" t="n">
        <f aca="false">E86*H86+N(F86)*H86+N(G86)</f>
        <v>9570</v>
      </c>
      <c r="J86" s="32" t="n">
        <f aca="false">ROUND(IFERROR(ROUND(IF(OR(ISNUMBER(SEARCH("week",C86)),ISNUMBER(SEARCH("minggu",C86))),IFERROR(_xlfn.NUMBERVALUE(SUBSTITUTE(LEFT(TRIM(C86),FIND(" ",TRIM(C86)&amp;" ")-1),",","."),"."),LEFT(SUBSTITUTE(LEFT(TRIM(C86),FIND(" ",TRIM(C86)&amp;" ")-1),",","."),FIND("/",SUBSTITUTE(LEFT(TRIM(C86),FIND(" ",TRIM(C86)&amp;" ")-1),",","."))-1)/MID(SUBSTITUTE(LEFT(TRIM(C86),FIND(" ",TRIM(C86)&amp;" ")-1),",","."),FIND("/",SUBSTITUTE(LEFT(TRIM(C86),FIND(" ",TRIM(C86)&amp;" ")-1),",","."))+1,9))*12/52,IF(ISNUMBER(SEARCH("month",C86)),IFERROR(_xlfn.NUMBERVALUE(SUBSTITUTE(LEFT(TRIM(C86),FIND(" ",TRIM(C86)&amp;" ")-1),",","."),"."),LEFT(SUBSTITUTE(LEFT(TRIM(C86),FIND(" ",TRIM(C86)&amp;" ")-1),",","."),FIND("/",SUBSTITUTE(LEFT(TRIM(C86),FIND(" ",TRIM(C86)&amp;" ")-1),",","."))-1)/MID(SUBSTITUTE(LEFT(TRIM(C86),FIND(" ",TRIM(C86)&amp;" ")-1),",","."),FIND("/",SUBSTITUTE(LEFT(TRIM(C86),FIND(" ",TRIM(C86)&amp;" ")-1),",","."))+1,9)),IF(ISNUMBER(SEARCH("yea",C86)),IFERROR(_xlfn.NUMBERVALUE(SUBSTITUTE(LEFT(TRIM(C86),FIND(" ",TRIM(C86)&amp;" ")-1),",","."),"."),LEFT(SUBSTITUTE(LEFT(TRIM(C86),FIND(" ",TRIM(C86)&amp;" ")-1),",","."),FIND("/",SUBSTITUTE(LEFT(TRIM(C86),FIND(" ",TRIM(C86)&amp;" ")-1),",","."))-1)/MID(SUBSTITUTE(LEFT(TRIM(C86),FIND(" ",TRIM(C86)&amp;" ")-1),",","."),FIND("/",SUBSTITUTE(LEFT(TRIM(C86),FIND(" ",TRIM(C86)&amp;" ")-1),",","."))+1,9))*12,NA()))),0),24)*'Aturan &amp; Tarif'!$B$4,2)</f>
        <v>1362.72</v>
      </c>
      <c r="K86" s="32" t="n">
        <f aca="false">'Aturan &amp; Tarif'!$B$5</f>
        <v>2050</v>
      </c>
      <c r="L86" s="32" t="n">
        <f aca="false">'Aturan &amp; Tarif'!$B$6</f>
        <v>350</v>
      </c>
      <c r="M86" s="35" t="n">
        <f aca="false">I86+J86+K86+L86</f>
        <v>13332.72</v>
      </c>
      <c r="N86" s="36" t="s">
        <v>1880</v>
      </c>
    </row>
    <row r="87" customFormat="false" ht="37.5" hidden="false" customHeight="true" outlineLevel="0" collapsed="false">
      <c r="A87" s="29"/>
      <c r="B87" s="30" t="s">
        <v>1881</v>
      </c>
      <c r="C87" s="31" t="s">
        <v>107</v>
      </c>
      <c r="D87" s="31" t="s">
        <v>1863</v>
      </c>
      <c r="E87" s="32" t="n">
        <v>2380</v>
      </c>
      <c r="F87" s="32" t="n">
        <v>50</v>
      </c>
      <c r="G87" s="32" t="n">
        <v>250</v>
      </c>
      <c r="H87" s="33" t="n">
        <v>4</v>
      </c>
      <c r="I87" s="34" t="n">
        <f aca="false">E87*H87+N(F87)*H87+N(G87)</f>
        <v>9970</v>
      </c>
      <c r="J87" s="32" t="n">
        <f aca="false">ROUND(IFERROR(ROUND(IF(OR(ISNUMBER(SEARCH("week",C87)),ISNUMBER(SEARCH("minggu",C87))),IFERROR(_xlfn.NUMBERVALUE(SUBSTITUTE(LEFT(TRIM(C87),FIND(" ",TRIM(C87)&amp;" ")-1),",","."),"."),LEFT(SUBSTITUTE(LEFT(TRIM(C87),FIND(" ",TRIM(C87)&amp;" ")-1),",","."),FIND("/",SUBSTITUTE(LEFT(TRIM(C87),FIND(" ",TRIM(C87)&amp;" ")-1),",","."))-1)/MID(SUBSTITUTE(LEFT(TRIM(C87),FIND(" ",TRIM(C87)&amp;" ")-1),",","."),FIND("/",SUBSTITUTE(LEFT(TRIM(C87),FIND(" ",TRIM(C87)&amp;" ")-1),",","."))+1,9))*12/52,IF(ISNUMBER(SEARCH("month",C87)),IFERROR(_xlfn.NUMBERVALUE(SUBSTITUTE(LEFT(TRIM(C87),FIND(" ",TRIM(C87)&amp;" ")-1),",","."),"."),LEFT(SUBSTITUTE(LEFT(TRIM(C87),FIND(" ",TRIM(C87)&amp;" ")-1),",","."),FIND("/",SUBSTITUTE(LEFT(TRIM(C87),FIND(" ",TRIM(C87)&amp;" ")-1),",","."))-1)/MID(SUBSTITUTE(LEFT(TRIM(C87),FIND(" ",TRIM(C87)&amp;" ")-1),",","."),FIND("/",SUBSTITUTE(LEFT(TRIM(C87),FIND(" ",TRIM(C87)&amp;" ")-1),",","."))+1,9)),IF(ISNUMBER(SEARCH("yea",C87)),IFERROR(_xlfn.NUMBERVALUE(SUBSTITUTE(LEFT(TRIM(C87),FIND(" ",TRIM(C87)&amp;" ")-1),",","."),"."),LEFT(SUBSTITUTE(LEFT(TRIM(C87),FIND(" ",TRIM(C87)&amp;" ")-1),",","."),FIND("/",SUBSTITUTE(LEFT(TRIM(C87),FIND(" ",TRIM(C87)&amp;" ")-1),",","."))-1)/MID(SUBSTITUTE(LEFT(TRIM(C87),FIND(" ",TRIM(C87)&amp;" ")-1),",","."),FIND("/",SUBSTITUTE(LEFT(TRIM(C87),FIND(" ",TRIM(C87)&amp;" ")-1),",","."))+1,9))*12,NA()))),0),24)*'Aturan &amp; Tarif'!$B$4,2)</f>
        <v>1362.72</v>
      </c>
      <c r="K87" s="32" t="n">
        <f aca="false">'Aturan &amp; Tarif'!$B$5</f>
        <v>2050</v>
      </c>
      <c r="L87" s="32" t="n">
        <f aca="false">'Aturan &amp; Tarif'!$B$6</f>
        <v>350</v>
      </c>
      <c r="M87" s="35" t="n">
        <f aca="false">I87+J87+K87+L87</f>
        <v>13732.72</v>
      </c>
      <c r="N87" s="36" t="s">
        <v>1882</v>
      </c>
    </row>
    <row r="88" customFormat="false" ht="37.5" hidden="false" customHeight="true" outlineLevel="0" collapsed="false">
      <c r="A88" s="29" t="s">
        <v>1883</v>
      </c>
      <c r="B88" s="30" t="s">
        <v>833</v>
      </c>
      <c r="C88" s="31" t="s">
        <v>107</v>
      </c>
      <c r="D88" s="31" t="s">
        <v>108</v>
      </c>
      <c r="E88" s="32" t="n">
        <v>2000</v>
      </c>
      <c r="F88" s="32" t="n">
        <v>0</v>
      </c>
      <c r="G88" s="32" t="n">
        <v>300</v>
      </c>
      <c r="H88" s="33" t="n">
        <v>2</v>
      </c>
      <c r="I88" s="34" t="n">
        <f aca="false">E88*H88+N(F88)+N(G88)</f>
        <v>4300</v>
      </c>
      <c r="J88" s="32" t="n">
        <f aca="false">ROUND(IFERROR(ROUND(IF(OR(ISNUMBER(SEARCH("week",C88)),ISNUMBER(SEARCH("minggu",C88))),IFERROR(_xlfn.NUMBERVALUE(SUBSTITUTE(LEFT(TRIM(C88),FIND(" ",TRIM(C88)&amp;" ")-1),",","."),"."),LEFT(SUBSTITUTE(LEFT(TRIM(C88),FIND(" ",TRIM(C88)&amp;" ")-1),",","."),FIND("/",SUBSTITUTE(LEFT(TRIM(C88),FIND(" ",TRIM(C88)&amp;" ")-1),",","."))-1)/MID(SUBSTITUTE(LEFT(TRIM(C88),FIND(" ",TRIM(C88)&amp;" ")-1),",","."),FIND("/",SUBSTITUTE(LEFT(TRIM(C88),FIND(" ",TRIM(C88)&amp;" ")-1),",","."))+1,9))*12/52,IF(ISNUMBER(SEARCH("month",C88)),IFERROR(_xlfn.NUMBERVALUE(SUBSTITUTE(LEFT(TRIM(C88),FIND(" ",TRIM(C88)&amp;" ")-1),",","."),"."),LEFT(SUBSTITUTE(LEFT(TRIM(C88),FIND(" ",TRIM(C88)&amp;" ")-1),",","."),FIND("/",SUBSTITUTE(LEFT(TRIM(C88),FIND(" ",TRIM(C88)&amp;" ")-1),",","."))-1)/MID(SUBSTITUTE(LEFT(TRIM(C88),FIND(" ",TRIM(C88)&amp;" ")-1),",","."),FIND("/",SUBSTITUTE(LEFT(TRIM(C88),FIND(" ",TRIM(C88)&amp;" ")-1),",","."))+1,9)),IF(ISNUMBER(SEARCH("yea",C88)),IFERROR(_xlfn.NUMBERVALUE(SUBSTITUTE(LEFT(TRIM(C88),FIND(" ",TRIM(C88)&amp;" ")-1),",","."),"."),LEFT(SUBSTITUTE(LEFT(TRIM(C88),FIND(" ",TRIM(C88)&amp;" ")-1),",","."),FIND("/",SUBSTITUTE(LEFT(TRIM(C88),FIND(" ",TRIM(C88)&amp;" ")-1),",","."))-1)/MID(SUBSTITUTE(LEFT(TRIM(C88),FIND(" ",TRIM(C88)&amp;" ")-1),",","."),FIND("/",SUBSTITUTE(LEFT(TRIM(C88),FIND(" ",TRIM(C88)&amp;" ")-1),",","."))+1,9))*12,NA()))),0),24)*'Aturan &amp; Tarif'!$B$4,2)</f>
        <v>1362.72</v>
      </c>
      <c r="K88" s="32" t="n">
        <f aca="false">'Aturan &amp; Tarif'!$B$5</f>
        <v>2050</v>
      </c>
      <c r="L88" s="32" t="n">
        <f aca="false">'Aturan &amp; Tarif'!$B$6</f>
        <v>350</v>
      </c>
      <c r="M88" s="35" t="n">
        <f aca="false">I88+J88+K88+L88</f>
        <v>8062.72</v>
      </c>
      <c r="N88" s="37" t="s">
        <v>834</v>
      </c>
    </row>
    <row r="89" customFormat="false" ht="37.5" hidden="false" customHeight="true" outlineLevel="0" collapsed="false">
      <c r="A89" s="29"/>
      <c r="B89" s="30" t="s">
        <v>835</v>
      </c>
      <c r="C89" s="31" t="s">
        <v>107</v>
      </c>
      <c r="D89" s="31" t="s">
        <v>108</v>
      </c>
      <c r="E89" s="32" t="n">
        <v>2315</v>
      </c>
      <c r="F89" s="32" t="n">
        <v>1000</v>
      </c>
      <c r="G89" s="32" t="n">
        <v>300</v>
      </c>
      <c r="H89" s="33" t="n">
        <v>2</v>
      </c>
      <c r="I89" s="34" t="n">
        <f aca="false">E89*H89+N(F89)+N(G89)</f>
        <v>5930</v>
      </c>
      <c r="J89" s="32" t="n">
        <f aca="false">ROUND(IFERROR(ROUND(IF(OR(ISNUMBER(SEARCH("week",C89)),ISNUMBER(SEARCH("minggu",C89))),IFERROR(_xlfn.NUMBERVALUE(SUBSTITUTE(LEFT(TRIM(C89),FIND(" ",TRIM(C89)&amp;" ")-1),",","."),"."),LEFT(SUBSTITUTE(LEFT(TRIM(C89),FIND(" ",TRIM(C89)&amp;" ")-1),",","."),FIND("/",SUBSTITUTE(LEFT(TRIM(C89),FIND(" ",TRIM(C89)&amp;" ")-1),",","."))-1)/MID(SUBSTITUTE(LEFT(TRIM(C89),FIND(" ",TRIM(C89)&amp;" ")-1),",","."),FIND("/",SUBSTITUTE(LEFT(TRIM(C89),FIND(" ",TRIM(C89)&amp;" ")-1),",","."))+1,9))*12/52,IF(ISNUMBER(SEARCH("month",C89)),IFERROR(_xlfn.NUMBERVALUE(SUBSTITUTE(LEFT(TRIM(C89),FIND(" ",TRIM(C89)&amp;" ")-1),",","."),"."),LEFT(SUBSTITUTE(LEFT(TRIM(C89),FIND(" ",TRIM(C89)&amp;" ")-1),",","."),FIND("/",SUBSTITUTE(LEFT(TRIM(C89),FIND(" ",TRIM(C89)&amp;" ")-1),",","."))-1)/MID(SUBSTITUTE(LEFT(TRIM(C89),FIND(" ",TRIM(C89)&amp;" ")-1),",","."),FIND("/",SUBSTITUTE(LEFT(TRIM(C89),FIND(" ",TRIM(C89)&amp;" ")-1),",","."))+1,9)),IF(ISNUMBER(SEARCH("yea",C89)),IFERROR(_xlfn.NUMBERVALUE(SUBSTITUTE(LEFT(TRIM(C89),FIND(" ",TRIM(C89)&amp;" ")-1),",","."),"."),LEFT(SUBSTITUTE(LEFT(TRIM(C89),FIND(" ",TRIM(C89)&amp;" ")-1),",","."),FIND("/",SUBSTITUTE(LEFT(TRIM(C89),FIND(" ",TRIM(C89)&amp;" ")-1),",","."))-1)/MID(SUBSTITUTE(LEFT(TRIM(C89),FIND(" ",TRIM(C89)&amp;" ")-1),",","."),FIND("/",SUBSTITUTE(LEFT(TRIM(C89),FIND(" ",TRIM(C89)&amp;" ")-1),",","."))+1,9))*12,NA()))),0),24)*'Aturan &amp; Tarif'!$B$4,2)</f>
        <v>1362.72</v>
      </c>
      <c r="K89" s="32" t="n">
        <f aca="false">'Aturan &amp; Tarif'!$B$5</f>
        <v>2050</v>
      </c>
      <c r="L89" s="32" t="n">
        <f aca="false">'Aturan &amp; Tarif'!$B$6</f>
        <v>350</v>
      </c>
      <c r="M89" s="35" t="n">
        <f aca="false">I89+J89+K89+L89</f>
        <v>9692.72</v>
      </c>
      <c r="N89" s="37" t="s">
        <v>836</v>
      </c>
    </row>
    <row r="90" customFormat="false" ht="37.5" hidden="false" customHeight="true" outlineLevel="0" collapsed="false">
      <c r="A90" s="29"/>
      <c r="B90" s="30" t="s">
        <v>837</v>
      </c>
      <c r="C90" s="31" t="s">
        <v>107</v>
      </c>
      <c r="D90" s="31" t="s">
        <v>108</v>
      </c>
      <c r="E90" s="32" t="n">
        <v>2375</v>
      </c>
      <c r="F90" s="32" t="n">
        <v>500</v>
      </c>
      <c r="G90" s="32" t="n">
        <v>300</v>
      </c>
      <c r="H90" s="33" t="n">
        <v>2</v>
      </c>
      <c r="I90" s="34" t="n">
        <f aca="false">E90*H90+N(F90)+N(G90)</f>
        <v>5550</v>
      </c>
      <c r="J90" s="32" t="n">
        <f aca="false">ROUND(IFERROR(ROUND(IF(OR(ISNUMBER(SEARCH("week",C90)),ISNUMBER(SEARCH("minggu",C90))),IFERROR(_xlfn.NUMBERVALUE(SUBSTITUTE(LEFT(TRIM(C90),FIND(" ",TRIM(C90)&amp;" ")-1),",","."),"."),LEFT(SUBSTITUTE(LEFT(TRIM(C90),FIND(" ",TRIM(C90)&amp;" ")-1),",","."),FIND("/",SUBSTITUTE(LEFT(TRIM(C90),FIND(" ",TRIM(C90)&amp;" ")-1),",","."))-1)/MID(SUBSTITUTE(LEFT(TRIM(C90),FIND(" ",TRIM(C90)&amp;" ")-1),",","."),FIND("/",SUBSTITUTE(LEFT(TRIM(C90),FIND(" ",TRIM(C90)&amp;" ")-1),",","."))+1,9))*12/52,IF(ISNUMBER(SEARCH("month",C90)),IFERROR(_xlfn.NUMBERVALUE(SUBSTITUTE(LEFT(TRIM(C90),FIND(" ",TRIM(C90)&amp;" ")-1),",","."),"."),LEFT(SUBSTITUTE(LEFT(TRIM(C90),FIND(" ",TRIM(C90)&amp;" ")-1),",","."),FIND("/",SUBSTITUTE(LEFT(TRIM(C90),FIND(" ",TRIM(C90)&amp;" ")-1),",","."))-1)/MID(SUBSTITUTE(LEFT(TRIM(C90),FIND(" ",TRIM(C90)&amp;" ")-1),",","."),FIND("/",SUBSTITUTE(LEFT(TRIM(C90),FIND(" ",TRIM(C90)&amp;" ")-1),",","."))+1,9)),IF(ISNUMBER(SEARCH("yea",C90)),IFERROR(_xlfn.NUMBERVALUE(SUBSTITUTE(LEFT(TRIM(C90),FIND(" ",TRIM(C90)&amp;" ")-1),",","."),"."),LEFT(SUBSTITUTE(LEFT(TRIM(C90),FIND(" ",TRIM(C90)&amp;" ")-1),",","."),FIND("/",SUBSTITUTE(LEFT(TRIM(C90),FIND(" ",TRIM(C90)&amp;" ")-1),",","."))-1)/MID(SUBSTITUTE(LEFT(TRIM(C90),FIND(" ",TRIM(C90)&amp;" ")-1),",","."),FIND("/",SUBSTITUTE(LEFT(TRIM(C90),FIND(" ",TRIM(C90)&amp;" ")-1),",","."))+1,9))*12,NA()))),0),24)*'Aturan &amp; Tarif'!$B$4,2)</f>
        <v>1362.72</v>
      </c>
      <c r="K90" s="32" t="n">
        <f aca="false">'Aturan &amp; Tarif'!$B$5</f>
        <v>2050</v>
      </c>
      <c r="L90" s="32" t="n">
        <f aca="false">'Aturan &amp; Tarif'!$B$6</f>
        <v>350</v>
      </c>
      <c r="M90" s="35" t="n">
        <f aca="false">I90+J90+K90+L90</f>
        <v>9312.72</v>
      </c>
      <c r="N90" s="37" t="s">
        <v>836</v>
      </c>
    </row>
    <row r="91" customFormat="false" ht="25.5" hidden="false" customHeight="true" outlineLevel="0" collapsed="false">
      <c r="A91" s="29"/>
      <c r="B91" s="30" t="s">
        <v>1561</v>
      </c>
      <c r="C91" s="31" t="s">
        <v>107</v>
      </c>
      <c r="D91" s="31" t="s">
        <v>108</v>
      </c>
      <c r="E91" s="32" t="n">
        <v>2250</v>
      </c>
      <c r="F91" s="32" t="n">
        <v>1500</v>
      </c>
      <c r="G91" s="32" t="n">
        <v>300</v>
      </c>
      <c r="H91" s="33" t="n">
        <v>2</v>
      </c>
      <c r="I91" s="34" t="n">
        <f aca="false">E91*H91+N(F91)+N(G91)</f>
        <v>6300</v>
      </c>
      <c r="J91" s="32" t="n">
        <f aca="false">ROUND(IFERROR(ROUND(IF(OR(ISNUMBER(SEARCH("week",C91)),ISNUMBER(SEARCH("minggu",C91))),IFERROR(_xlfn.NUMBERVALUE(SUBSTITUTE(LEFT(TRIM(C91),FIND(" ",TRIM(C91)&amp;" ")-1),",","."),"."),LEFT(SUBSTITUTE(LEFT(TRIM(C91),FIND(" ",TRIM(C91)&amp;" ")-1),",","."),FIND("/",SUBSTITUTE(LEFT(TRIM(C91),FIND(" ",TRIM(C91)&amp;" ")-1),",","."))-1)/MID(SUBSTITUTE(LEFT(TRIM(C91),FIND(" ",TRIM(C91)&amp;" ")-1),",","."),FIND("/",SUBSTITUTE(LEFT(TRIM(C91),FIND(" ",TRIM(C91)&amp;" ")-1),",","."))+1,9))*12/52,IF(ISNUMBER(SEARCH("month",C91)),IFERROR(_xlfn.NUMBERVALUE(SUBSTITUTE(LEFT(TRIM(C91),FIND(" ",TRIM(C91)&amp;" ")-1),",","."),"."),LEFT(SUBSTITUTE(LEFT(TRIM(C91),FIND(" ",TRIM(C91)&amp;" ")-1),",","."),FIND("/",SUBSTITUTE(LEFT(TRIM(C91),FIND(" ",TRIM(C91)&amp;" ")-1),",","."))-1)/MID(SUBSTITUTE(LEFT(TRIM(C91),FIND(" ",TRIM(C91)&amp;" ")-1),",","."),FIND("/",SUBSTITUTE(LEFT(TRIM(C91),FIND(" ",TRIM(C91)&amp;" ")-1),",","."))+1,9)),IF(ISNUMBER(SEARCH("yea",C91)),IFERROR(_xlfn.NUMBERVALUE(SUBSTITUTE(LEFT(TRIM(C91),FIND(" ",TRIM(C91)&amp;" ")-1),",","."),"."),LEFT(SUBSTITUTE(LEFT(TRIM(C91),FIND(" ",TRIM(C91)&amp;" ")-1),",","."),FIND("/",SUBSTITUTE(LEFT(TRIM(C91),FIND(" ",TRIM(C91)&amp;" ")-1),",","."))-1)/MID(SUBSTITUTE(LEFT(TRIM(C91),FIND(" ",TRIM(C91)&amp;" ")-1),",","."),FIND("/",SUBSTITUTE(LEFT(TRIM(C91),FIND(" ",TRIM(C91)&amp;" ")-1),",","."))+1,9))*12,NA()))),0),24)*'Aturan &amp; Tarif'!$B$4,2)</f>
        <v>1362.72</v>
      </c>
      <c r="K91" s="32" t="n">
        <f aca="false">'Aturan &amp; Tarif'!$B$5</f>
        <v>2050</v>
      </c>
      <c r="L91" s="32" t="n">
        <f aca="false">'Aturan &amp; Tarif'!$B$6</f>
        <v>350</v>
      </c>
      <c r="M91" s="35" t="n">
        <f aca="false">I91+J91+K91+L91</f>
        <v>10062.72</v>
      </c>
      <c r="N91" s="37" t="s">
        <v>836</v>
      </c>
    </row>
    <row r="92" customFormat="false" ht="25.5" hidden="false" customHeight="true" outlineLevel="0" collapsed="false">
      <c r="A92" s="29"/>
      <c r="B92" s="30" t="s">
        <v>1884</v>
      </c>
      <c r="C92" s="31" t="s">
        <v>107</v>
      </c>
      <c r="D92" s="31" t="s">
        <v>108</v>
      </c>
      <c r="E92" s="32" t="n">
        <v>2250</v>
      </c>
      <c r="F92" s="32" t="n">
        <v>0</v>
      </c>
      <c r="G92" s="32" t="n">
        <v>300</v>
      </c>
      <c r="H92" s="33" t="n">
        <v>2</v>
      </c>
      <c r="I92" s="34" t="n">
        <f aca="false">E92*H92+N(F92)+N(G92)</f>
        <v>4800</v>
      </c>
      <c r="J92" s="32" t="n">
        <f aca="false">ROUND(IFERROR(ROUND(IF(OR(ISNUMBER(SEARCH("week",C92)),ISNUMBER(SEARCH("minggu",C92))),IFERROR(_xlfn.NUMBERVALUE(SUBSTITUTE(LEFT(TRIM(C92),FIND(" ",TRIM(C92)&amp;" ")-1),",","."),"."),LEFT(SUBSTITUTE(LEFT(TRIM(C92),FIND(" ",TRIM(C92)&amp;" ")-1),",","."),FIND("/",SUBSTITUTE(LEFT(TRIM(C92),FIND(" ",TRIM(C92)&amp;" ")-1),",","."))-1)/MID(SUBSTITUTE(LEFT(TRIM(C92),FIND(" ",TRIM(C92)&amp;" ")-1),",","."),FIND("/",SUBSTITUTE(LEFT(TRIM(C92),FIND(" ",TRIM(C92)&amp;" ")-1),",","."))+1,9))*12/52,IF(ISNUMBER(SEARCH("month",C92)),IFERROR(_xlfn.NUMBERVALUE(SUBSTITUTE(LEFT(TRIM(C92),FIND(" ",TRIM(C92)&amp;" ")-1),",","."),"."),LEFT(SUBSTITUTE(LEFT(TRIM(C92),FIND(" ",TRIM(C92)&amp;" ")-1),",","."),FIND("/",SUBSTITUTE(LEFT(TRIM(C92),FIND(" ",TRIM(C92)&amp;" ")-1),",","."))-1)/MID(SUBSTITUTE(LEFT(TRIM(C92),FIND(" ",TRIM(C92)&amp;" ")-1),",","."),FIND("/",SUBSTITUTE(LEFT(TRIM(C92),FIND(" ",TRIM(C92)&amp;" ")-1),",","."))+1,9)),IF(ISNUMBER(SEARCH("yea",C92)),IFERROR(_xlfn.NUMBERVALUE(SUBSTITUTE(LEFT(TRIM(C92),FIND(" ",TRIM(C92)&amp;" ")-1),",","."),"."),LEFT(SUBSTITUTE(LEFT(TRIM(C92),FIND(" ",TRIM(C92)&amp;" ")-1),",","."),FIND("/",SUBSTITUTE(LEFT(TRIM(C92),FIND(" ",TRIM(C92)&amp;" ")-1),",","."))-1)/MID(SUBSTITUTE(LEFT(TRIM(C92),FIND(" ",TRIM(C92)&amp;" ")-1),",","."),FIND("/",SUBSTITUTE(LEFT(TRIM(C92),FIND(" ",TRIM(C92)&amp;" ")-1),",","."))+1,9))*12,NA()))),0),24)*'Aturan &amp; Tarif'!$B$4,2)</f>
        <v>1362.72</v>
      </c>
      <c r="K92" s="32" t="n">
        <f aca="false">'Aturan &amp; Tarif'!$B$5</f>
        <v>2050</v>
      </c>
      <c r="L92" s="32" t="n">
        <f aca="false">'Aturan &amp; Tarif'!$B$6</f>
        <v>350</v>
      </c>
      <c r="M92" s="35" t="n">
        <f aca="false">I92+J92+K92+L92</f>
        <v>8562.72</v>
      </c>
      <c r="N92" s="37" t="s">
        <v>834</v>
      </c>
    </row>
    <row r="93" customFormat="false" ht="37.5" hidden="false" customHeight="true" outlineLevel="0" collapsed="false">
      <c r="A93" s="29"/>
      <c r="B93" s="30" t="s">
        <v>1885</v>
      </c>
      <c r="C93" s="31" t="s">
        <v>107</v>
      </c>
      <c r="D93" s="31" t="s">
        <v>108</v>
      </c>
      <c r="E93" s="32" t="n">
        <v>2250</v>
      </c>
      <c r="F93" s="32" t="n">
        <v>0</v>
      </c>
      <c r="G93" s="32" t="n">
        <v>300</v>
      </c>
      <c r="H93" s="33" t="n">
        <v>2</v>
      </c>
      <c r="I93" s="34" t="n">
        <f aca="false">E93*H93+N(F93)+N(G93)</f>
        <v>4800</v>
      </c>
      <c r="J93" s="32" t="n">
        <f aca="false">ROUND(IFERROR(ROUND(IF(OR(ISNUMBER(SEARCH("week",C93)),ISNUMBER(SEARCH("minggu",C93))),IFERROR(_xlfn.NUMBERVALUE(SUBSTITUTE(LEFT(TRIM(C93),FIND(" ",TRIM(C93)&amp;" ")-1),",","."),"."),LEFT(SUBSTITUTE(LEFT(TRIM(C93),FIND(" ",TRIM(C93)&amp;" ")-1),",","."),FIND("/",SUBSTITUTE(LEFT(TRIM(C93),FIND(" ",TRIM(C93)&amp;" ")-1),",","."))-1)/MID(SUBSTITUTE(LEFT(TRIM(C93),FIND(" ",TRIM(C93)&amp;" ")-1),",","."),FIND("/",SUBSTITUTE(LEFT(TRIM(C93),FIND(" ",TRIM(C93)&amp;" ")-1),",","."))+1,9))*12/52,IF(ISNUMBER(SEARCH("month",C93)),IFERROR(_xlfn.NUMBERVALUE(SUBSTITUTE(LEFT(TRIM(C93),FIND(" ",TRIM(C93)&amp;" ")-1),",","."),"."),LEFT(SUBSTITUTE(LEFT(TRIM(C93),FIND(" ",TRIM(C93)&amp;" ")-1),",","."),FIND("/",SUBSTITUTE(LEFT(TRIM(C93),FIND(" ",TRIM(C93)&amp;" ")-1),",","."))-1)/MID(SUBSTITUTE(LEFT(TRIM(C93),FIND(" ",TRIM(C93)&amp;" ")-1),",","."),FIND("/",SUBSTITUTE(LEFT(TRIM(C93),FIND(" ",TRIM(C93)&amp;" ")-1),",","."))+1,9)),IF(ISNUMBER(SEARCH("yea",C93)),IFERROR(_xlfn.NUMBERVALUE(SUBSTITUTE(LEFT(TRIM(C93),FIND(" ",TRIM(C93)&amp;" ")-1),",","."),"."),LEFT(SUBSTITUTE(LEFT(TRIM(C93),FIND(" ",TRIM(C93)&amp;" ")-1),",","."),FIND("/",SUBSTITUTE(LEFT(TRIM(C93),FIND(" ",TRIM(C93)&amp;" ")-1),",","."))-1)/MID(SUBSTITUTE(LEFT(TRIM(C93),FIND(" ",TRIM(C93)&amp;" ")-1),",","."),FIND("/",SUBSTITUTE(LEFT(TRIM(C93),FIND(" ",TRIM(C93)&amp;" ")-1),",","."))+1,9))*12,NA()))),0),24)*'Aturan &amp; Tarif'!$B$4,2)</f>
        <v>1362.72</v>
      </c>
      <c r="K93" s="32" t="n">
        <f aca="false">'Aturan &amp; Tarif'!$B$5</f>
        <v>2050</v>
      </c>
      <c r="L93" s="32" t="n">
        <f aca="false">'Aturan &amp; Tarif'!$B$6</f>
        <v>350</v>
      </c>
      <c r="M93" s="35" t="n">
        <f aca="false">I93+J93+K93+L93</f>
        <v>8562.72</v>
      </c>
      <c r="N93" s="37" t="s">
        <v>834</v>
      </c>
    </row>
    <row r="94" customFormat="false" ht="25.5" hidden="false" customHeight="true" outlineLevel="0" collapsed="false">
      <c r="A94" s="39" t="s">
        <v>1886</v>
      </c>
      <c r="B94" s="40" t="s">
        <v>1887</v>
      </c>
      <c r="C94" s="41" t="s">
        <v>127</v>
      </c>
      <c r="D94" s="41" t="s">
        <v>108</v>
      </c>
      <c r="E94" s="42" t="n">
        <v>2500</v>
      </c>
      <c r="F94" s="42" t="n">
        <v>2500</v>
      </c>
      <c r="G94" s="42" t="n">
        <v>500</v>
      </c>
      <c r="H94" s="43" t="n">
        <v>1</v>
      </c>
      <c r="I94" s="34" t="n">
        <f aca="false">E94*H94+N(F94)+N(G94)</f>
        <v>5500</v>
      </c>
      <c r="J94" s="42" t="n">
        <f aca="false">ROUND(IFERROR(ROUND(IF(OR(ISNUMBER(SEARCH("week",C94)),ISNUMBER(SEARCH("minggu",C94))),IFERROR(_xlfn.NUMBERVALUE(SUBSTITUTE(LEFT(TRIM(C94),FIND(" ",TRIM(C94)&amp;" ")-1),",","."),"."),LEFT(SUBSTITUTE(LEFT(TRIM(C94),FIND(" ",TRIM(C94)&amp;" ")-1),",","."),FIND("/",SUBSTITUTE(LEFT(TRIM(C94),FIND(" ",TRIM(C94)&amp;" ")-1),",","."))-1)/MID(SUBSTITUTE(LEFT(TRIM(C94),FIND(" ",TRIM(C94)&amp;" ")-1),",","."),FIND("/",SUBSTITUTE(LEFT(TRIM(C94),FIND(" ",TRIM(C94)&amp;" ")-1),",","."))+1,9))*12/52,IF(ISNUMBER(SEARCH("month",C94)),IFERROR(_xlfn.NUMBERVALUE(SUBSTITUTE(LEFT(TRIM(C94),FIND(" ",TRIM(C94)&amp;" ")-1),",","."),"."),LEFT(SUBSTITUTE(LEFT(TRIM(C94),FIND(" ",TRIM(C94)&amp;" ")-1),",","."),FIND("/",SUBSTITUTE(LEFT(TRIM(C94),FIND(" ",TRIM(C94)&amp;" ")-1),",","."))-1)/MID(SUBSTITUTE(LEFT(TRIM(C94),FIND(" ",TRIM(C94)&amp;" ")-1),",","."),FIND("/",SUBSTITUTE(LEFT(TRIM(C94),FIND(" ",TRIM(C94)&amp;" ")-1),",","."))+1,9)),IF(ISNUMBER(SEARCH("yea",C94)),IFERROR(_xlfn.NUMBERVALUE(SUBSTITUTE(LEFT(TRIM(C94),FIND(" ",TRIM(C94)&amp;" ")-1),",","."),"."),LEFT(SUBSTITUTE(LEFT(TRIM(C94),FIND(" ",TRIM(C94)&amp;" ")-1),",","."),FIND("/",SUBSTITUTE(LEFT(TRIM(C94),FIND(" ",TRIM(C94)&amp;" ")-1),",","."))-1)/MID(SUBSTITUTE(LEFT(TRIM(C94),FIND(" ",TRIM(C94)&amp;" ")-1),",","."),FIND("/",SUBSTITUTE(LEFT(TRIM(C94),FIND(" ",TRIM(C94)&amp;" ")-1),",","."))+1,9))*12,NA()))),0),36)*'Aturan &amp; Tarif'!$B$4,2)</f>
        <v>2044.08</v>
      </c>
      <c r="K94" s="42" t="n">
        <f aca="false">'Aturan &amp; Tarif'!$B$5</f>
        <v>2050</v>
      </c>
      <c r="L94" s="42" t="n">
        <f aca="false">'Aturan &amp; Tarif'!$B$6</f>
        <v>350</v>
      </c>
      <c r="M94" s="35" t="n">
        <f aca="false">I94+J94+K94+L94</f>
        <v>9944.08</v>
      </c>
      <c r="N94" s="45" t="s">
        <v>1888</v>
      </c>
    </row>
    <row r="95" customFormat="false" ht="60" hidden="false" customHeight="true" outlineLevel="0" collapsed="false">
      <c r="A95" s="39"/>
      <c r="B95" s="40" t="s">
        <v>1889</v>
      </c>
      <c r="C95" s="41" t="s">
        <v>107</v>
      </c>
      <c r="D95" s="41" t="s">
        <v>108</v>
      </c>
      <c r="E95" s="42" t="n">
        <v>2750</v>
      </c>
      <c r="F95" s="42" t="n">
        <v>2000</v>
      </c>
      <c r="G95" s="42" t="n">
        <v>500</v>
      </c>
      <c r="H95" s="43" t="n">
        <v>1</v>
      </c>
      <c r="I95" s="34" t="n">
        <f aca="false">E95*H95+N(F95)+N(G95)</f>
        <v>5250</v>
      </c>
      <c r="J95" s="42" t="n">
        <f aca="false">ROUND(IFERROR(ROUND(IF(OR(ISNUMBER(SEARCH("week",C95)),ISNUMBER(SEARCH("minggu",C95))),IFERROR(_xlfn.NUMBERVALUE(SUBSTITUTE(LEFT(TRIM(C95),FIND(" ",TRIM(C95)&amp;" ")-1),",","."),"."),LEFT(SUBSTITUTE(LEFT(TRIM(C95),FIND(" ",TRIM(C95)&amp;" ")-1),",","."),FIND("/",SUBSTITUTE(LEFT(TRIM(C95),FIND(" ",TRIM(C95)&amp;" ")-1),",","."))-1)/MID(SUBSTITUTE(LEFT(TRIM(C95),FIND(" ",TRIM(C95)&amp;" ")-1),",","."),FIND("/",SUBSTITUTE(LEFT(TRIM(C95),FIND(" ",TRIM(C95)&amp;" ")-1),",","."))+1,9))*12/52,IF(ISNUMBER(SEARCH("month",C95)),IFERROR(_xlfn.NUMBERVALUE(SUBSTITUTE(LEFT(TRIM(C95),FIND(" ",TRIM(C95)&amp;" ")-1),",","."),"."),LEFT(SUBSTITUTE(LEFT(TRIM(C95),FIND(" ",TRIM(C95)&amp;" ")-1),",","."),FIND("/",SUBSTITUTE(LEFT(TRIM(C95),FIND(" ",TRIM(C95)&amp;" ")-1),",","."))-1)/MID(SUBSTITUTE(LEFT(TRIM(C95),FIND(" ",TRIM(C95)&amp;" ")-1),",","."),FIND("/",SUBSTITUTE(LEFT(TRIM(C95),FIND(" ",TRIM(C95)&amp;" ")-1),",","."))+1,9)),IF(ISNUMBER(SEARCH("yea",C95)),IFERROR(_xlfn.NUMBERVALUE(SUBSTITUTE(LEFT(TRIM(C95),FIND(" ",TRIM(C95)&amp;" ")-1),",","."),"."),LEFT(SUBSTITUTE(LEFT(TRIM(C95),FIND(" ",TRIM(C95)&amp;" ")-1),",","."),FIND("/",SUBSTITUTE(LEFT(TRIM(C95),FIND(" ",TRIM(C95)&amp;" ")-1),",","."))-1)/MID(SUBSTITUTE(LEFT(TRIM(C95),FIND(" ",TRIM(C95)&amp;" ")-1),",","."),FIND("/",SUBSTITUTE(LEFT(TRIM(C95),FIND(" ",TRIM(C95)&amp;" ")-1),",","."))+1,9))*12,NA()))),0),24)*'Aturan &amp; Tarif'!$B$4,2)</f>
        <v>1362.72</v>
      </c>
      <c r="K95" s="42" t="n">
        <f aca="false">'Aturan &amp; Tarif'!$B$5</f>
        <v>2050</v>
      </c>
      <c r="L95" s="42" t="n">
        <f aca="false">'Aturan &amp; Tarif'!$B$6</f>
        <v>350</v>
      </c>
      <c r="M95" s="35" t="n">
        <f aca="false">I95+J95+K95+L95</f>
        <v>9012.72</v>
      </c>
      <c r="N95" s="45" t="s">
        <v>1888</v>
      </c>
    </row>
    <row r="96" customFormat="false" ht="14.25" hidden="false" customHeight="true" outlineLevel="0" collapsed="false">
      <c r="A96" s="39"/>
      <c r="B96" s="40" t="s">
        <v>1890</v>
      </c>
      <c r="C96" s="41" t="s">
        <v>138</v>
      </c>
      <c r="D96" s="41" t="s">
        <v>108</v>
      </c>
      <c r="E96" s="42" t="n">
        <v>2200</v>
      </c>
      <c r="F96" s="42" t="n">
        <v>2000</v>
      </c>
      <c r="G96" s="42" t="n">
        <v>500</v>
      </c>
      <c r="H96" s="43" t="n">
        <v>1</v>
      </c>
      <c r="I96" s="34" t="n">
        <f aca="false">E96*H96+N(F96)+N(G96)</f>
        <v>4700</v>
      </c>
      <c r="J96" s="42" t="n">
        <f aca="false">ROUND(IFERROR(ROUND(IF(OR(ISNUMBER(SEARCH("week",C96)),ISNUMBER(SEARCH("minggu",C96))),IFERROR(_xlfn.NUMBERVALUE(SUBSTITUTE(LEFT(TRIM(C96),FIND(" ",TRIM(C96)&amp;" ")-1),",","."),"."),LEFT(SUBSTITUTE(LEFT(TRIM(C96),FIND(" ",TRIM(C96)&amp;" ")-1),",","."),FIND("/",SUBSTITUTE(LEFT(TRIM(C96),FIND(" ",TRIM(C96)&amp;" ")-1),",","."))-1)/MID(SUBSTITUTE(LEFT(TRIM(C96),FIND(" ",TRIM(C96)&amp;" ")-1),",","."),FIND("/",SUBSTITUTE(LEFT(TRIM(C96),FIND(" ",TRIM(C96)&amp;" ")-1),",","."))+1,9))*12/52,IF(ISNUMBER(SEARCH("month",C96)),IFERROR(_xlfn.NUMBERVALUE(SUBSTITUTE(LEFT(TRIM(C96),FIND(" ",TRIM(C96)&amp;" ")-1),",","."),"."),LEFT(SUBSTITUTE(LEFT(TRIM(C96),FIND(" ",TRIM(C96)&amp;" ")-1),",","."),FIND("/",SUBSTITUTE(LEFT(TRIM(C96),FIND(" ",TRIM(C96)&amp;" ")-1),",","."))-1)/MID(SUBSTITUTE(LEFT(TRIM(C96),FIND(" ",TRIM(C96)&amp;" ")-1),",","."),FIND("/",SUBSTITUTE(LEFT(TRIM(C96),FIND(" ",TRIM(C96)&amp;" ")-1),",","."))+1,9)),IF(ISNUMBER(SEARCH("yea",C96)),IFERROR(_xlfn.NUMBERVALUE(SUBSTITUTE(LEFT(TRIM(C96),FIND(" ",TRIM(C96)&amp;" ")-1),",","."),"."),LEFT(SUBSTITUTE(LEFT(TRIM(C96),FIND(" ",TRIM(C96)&amp;" ")-1),",","."),FIND("/",SUBSTITUTE(LEFT(TRIM(C96),FIND(" ",TRIM(C96)&amp;" ")-1),",","."))-1)/MID(SUBSTITUTE(LEFT(TRIM(C96),FIND(" ",TRIM(C96)&amp;" ")-1),",","."),FIND("/",SUBSTITUTE(LEFT(TRIM(C96),FIND(" ",TRIM(C96)&amp;" ")-1),",","."))+1,9))*12,NA()))),0),30)*'Aturan &amp; Tarif'!$B$4,2)</f>
        <v>1703.4</v>
      </c>
      <c r="K96" s="42" t="n">
        <f aca="false">'Aturan &amp; Tarif'!$B$5</f>
        <v>2050</v>
      </c>
      <c r="L96" s="42" t="n">
        <f aca="false">'Aturan &amp; Tarif'!$B$6</f>
        <v>350</v>
      </c>
      <c r="M96" s="35" t="n">
        <f aca="false">I96+J96+K96+L96</f>
        <v>8803.4</v>
      </c>
      <c r="N96" s="45" t="s">
        <v>134</v>
      </c>
    </row>
    <row r="97" customFormat="false" ht="25.5" hidden="false" customHeight="true" outlineLevel="0" collapsed="false">
      <c r="A97" s="39"/>
      <c r="B97" s="40" t="s">
        <v>1891</v>
      </c>
      <c r="C97" s="41" t="s">
        <v>107</v>
      </c>
      <c r="D97" s="41" t="s">
        <v>108</v>
      </c>
      <c r="E97" s="42" t="n">
        <v>2350</v>
      </c>
      <c r="F97" s="42" t="n">
        <v>2500</v>
      </c>
      <c r="G97" s="42" t="n">
        <v>500</v>
      </c>
      <c r="H97" s="43" t="n">
        <v>1</v>
      </c>
      <c r="I97" s="34" t="n">
        <f aca="false">E97*H97+N(F97)+N(G97)</f>
        <v>5350</v>
      </c>
      <c r="J97" s="42" t="n">
        <f aca="false">ROUND(IFERROR(ROUND(IF(OR(ISNUMBER(SEARCH("week",C97)),ISNUMBER(SEARCH("minggu",C97))),IFERROR(_xlfn.NUMBERVALUE(SUBSTITUTE(LEFT(TRIM(C97),FIND(" ",TRIM(C97)&amp;" ")-1),",","."),"."),LEFT(SUBSTITUTE(LEFT(TRIM(C97),FIND(" ",TRIM(C97)&amp;" ")-1),",","."),FIND("/",SUBSTITUTE(LEFT(TRIM(C97),FIND(" ",TRIM(C97)&amp;" ")-1),",","."))-1)/MID(SUBSTITUTE(LEFT(TRIM(C97),FIND(" ",TRIM(C97)&amp;" ")-1),",","."),FIND("/",SUBSTITUTE(LEFT(TRIM(C97),FIND(" ",TRIM(C97)&amp;" ")-1),",","."))+1,9))*12/52,IF(ISNUMBER(SEARCH("month",C97)),IFERROR(_xlfn.NUMBERVALUE(SUBSTITUTE(LEFT(TRIM(C97),FIND(" ",TRIM(C97)&amp;" ")-1),",","."),"."),LEFT(SUBSTITUTE(LEFT(TRIM(C97),FIND(" ",TRIM(C97)&amp;" ")-1),",","."),FIND("/",SUBSTITUTE(LEFT(TRIM(C97),FIND(" ",TRIM(C97)&amp;" ")-1),",","."))-1)/MID(SUBSTITUTE(LEFT(TRIM(C97),FIND(" ",TRIM(C97)&amp;" ")-1),",","."),FIND("/",SUBSTITUTE(LEFT(TRIM(C97),FIND(" ",TRIM(C97)&amp;" ")-1),",","."))+1,9)),IF(ISNUMBER(SEARCH("yea",C97)),IFERROR(_xlfn.NUMBERVALUE(SUBSTITUTE(LEFT(TRIM(C97),FIND(" ",TRIM(C97)&amp;" ")-1),",","."),"."),LEFT(SUBSTITUTE(LEFT(TRIM(C97),FIND(" ",TRIM(C97)&amp;" ")-1),",","."),FIND("/",SUBSTITUTE(LEFT(TRIM(C97),FIND(" ",TRIM(C97)&amp;" ")-1),",","."))-1)/MID(SUBSTITUTE(LEFT(TRIM(C97),FIND(" ",TRIM(C97)&amp;" ")-1),",","."),FIND("/",SUBSTITUTE(LEFT(TRIM(C97),FIND(" ",TRIM(C97)&amp;" ")-1),",","."))+1,9))*12,NA()))),0),24)*'Aturan &amp; Tarif'!$B$4,2)</f>
        <v>1362.72</v>
      </c>
      <c r="K97" s="42" t="n">
        <f aca="false">'Aturan &amp; Tarif'!$B$5</f>
        <v>2050</v>
      </c>
      <c r="L97" s="42" t="n">
        <f aca="false">'Aturan &amp; Tarif'!$B$6</f>
        <v>350</v>
      </c>
      <c r="M97" s="35" t="n">
        <f aca="false">I97+J97+K97+L97</f>
        <v>9112.72</v>
      </c>
      <c r="N97" s="45" t="s">
        <v>134</v>
      </c>
    </row>
    <row r="98" customFormat="false" ht="37.5" hidden="false" customHeight="true" outlineLevel="0" collapsed="false">
      <c r="A98" s="39"/>
      <c r="B98" s="40" t="s">
        <v>1892</v>
      </c>
      <c r="C98" s="41" t="s">
        <v>127</v>
      </c>
      <c r="D98" s="41" t="s">
        <v>108</v>
      </c>
      <c r="E98" s="42" t="n">
        <v>2350</v>
      </c>
      <c r="F98" s="42" t="n">
        <v>3000</v>
      </c>
      <c r="G98" s="42" t="n">
        <v>500</v>
      </c>
      <c r="H98" s="43" t="n">
        <v>1</v>
      </c>
      <c r="I98" s="34" t="n">
        <f aca="false">E98*H98+N(F98)+N(G98)</f>
        <v>5850</v>
      </c>
      <c r="J98" s="42" t="n">
        <f aca="false">ROUND(IFERROR(ROUND(IF(OR(ISNUMBER(SEARCH("week",C98)),ISNUMBER(SEARCH("minggu",C98))),IFERROR(_xlfn.NUMBERVALUE(SUBSTITUTE(LEFT(TRIM(C98),FIND(" ",TRIM(C98)&amp;" ")-1),",","."),"."),LEFT(SUBSTITUTE(LEFT(TRIM(C98),FIND(" ",TRIM(C98)&amp;" ")-1),",","."),FIND("/",SUBSTITUTE(LEFT(TRIM(C98),FIND(" ",TRIM(C98)&amp;" ")-1),",","."))-1)/MID(SUBSTITUTE(LEFT(TRIM(C98),FIND(" ",TRIM(C98)&amp;" ")-1),",","."),FIND("/",SUBSTITUTE(LEFT(TRIM(C98),FIND(" ",TRIM(C98)&amp;" ")-1),",","."))+1,9))*12/52,IF(ISNUMBER(SEARCH("month",C98)),IFERROR(_xlfn.NUMBERVALUE(SUBSTITUTE(LEFT(TRIM(C98),FIND(" ",TRIM(C98)&amp;" ")-1),",","."),"."),LEFT(SUBSTITUTE(LEFT(TRIM(C98),FIND(" ",TRIM(C98)&amp;" ")-1),",","."),FIND("/",SUBSTITUTE(LEFT(TRIM(C98),FIND(" ",TRIM(C98)&amp;" ")-1),",","."))-1)/MID(SUBSTITUTE(LEFT(TRIM(C98),FIND(" ",TRIM(C98)&amp;" ")-1),",","."),FIND("/",SUBSTITUTE(LEFT(TRIM(C98),FIND(" ",TRIM(C98)&amp;" ")-1),",","."))+1,9)),IF(ISNUMBER(SEARCH("yea",C98)),IFERROR(_xlfn.NUMBERVALUE(SUBSTITUTE(LEFT(TRIM(C98),FIND(" ",TRIM(C98)&amp;" ")-1),",","."),"."),LEFT(SUBSTITUTE(LEFT(TRIM(C98),FIND(" ",TRIM(C98)&amp;" ")-1),",","."),FIND("/",SUBSTITUTE(LEFT(TRIM(C98),FIND(" ",TRIM(C98)&amp;" ")-1),",","."))-1)/MID(SUBSTITUTE(LEFT(TRIM(C98),FIND(" ",TRIM(C98)&amp;" ")-1),",","."),FIND("/",SUBSTITUTE(LEFT(TRIM(C98),FIND(" ",TRIM(C98)&amp;" ")-1),",","."))+1,9))*12,NA()))),0),36)*'Aturan &amp; Tarif'!$B$4,2)</f>
        <v>2044.08</v>
      </c>
      <c r="K98" s="42" t="n">
        <f aca="false">'Aturan &amp; Tarif'!$B$5</f>
        <v>2050</v>
      </c>
      <c r="L98" s="42" t="n">
        <f aca="false">'Aturan &amp; Tarif'!$B$6</f>
        <v>350</v>
      </c>
      <c r="M98" s="35" t="n">
        <f aca="false">I98+J98+K98+L98</f>
        <v>10294.08</v>
      </c>
      <c r="N98" s="45" t="s">
        <v>134</v>
      </c>
    </row>
    <row r="99" customFormat="false" ht="60" hidden="false" customHeight="true" outlineLevel="0" collapsed="false">
      <c r="A99" s="39"/>
      <c r="B99" s="40" t="s">
        <v>145</v>
      </c>
      <c r="C99" s="41" t="s">
        <v>107</v>
      </c>
      <c r="D99" s="41" t="s">
        <v>108</v>
      </c>
      <c r="E99" s="42" t="n">
        <v>2500</v>
      </c>
      <c r="F99" s="42" t="n">
        <v>1500</v>
      </c>
      <c r="G99" s="42" t="n">
        <v>500</v>
      </c>
      <c r="H99" s="43" t="n">
        <v>1</v>
      </c>
      <c r="I99" s="34" t="n">
        <f aca="false">E99*H99+N(F99)+N(G99)</f>
        <v>4500</v>
      </c>
      <c r="J99" s="42" t="n">
        <f aca="false">ROUND(IFERROR(ROUND(IF(OR(ISNUMBER(SEARCH("week",C99)),ISNUMBER(SEARCH("minggu",C99))),IFERROR(_xlfn.NUMBERVALUE(SUBSTITUTE(LEFT(TRIM(C99),FIND(" ",TRIM(C99)&amp;" ")-1),",","."),"."),LEFT(SUBSTITUTE(LEFT(TRIM(C99),FIND(" ",TRIM(C99)&amp;" ")-1),",","."),FIND("/",SUBSTITUTE(LEFT(TRIM(C99),FIND(" ",TRIM(C99)&amp;" ")-1),",","."))-1)/MID(SUBSTITUTE(LEFT(TRIM(C99),FIND(" ",TRIM(C99)&amp;" ")-1),",","."),FIND("/",SUBSTITUTE(LEFT(TRIM(C99),FIND(" ",TRIM(C99)&amp;" ")-1),",","."))+1,9))*12/52,IF(ISNUMBER(SEARCH("month",C99)),IFERROR(_xlfn.NUMBERVALUE(SUBSTITUTE(LEFT(TRIM(C99),FIND(" ",TRIM(C99)&amp;" ")-1),",","."),"."),LEFT(SUBSTITUTE(LEFT(TRIM(C99),FIND(" ",TRIM(C99)&amp;" ")-1),",","."),FIND("/",SUBSTITUTE(LEFT(TRIM(C99),FIND(" ",TRIM(C99)&amp;" ")-1),",","."))-1)/MID(SUBSTITUTE(LEFT(TRIM(C99),FIND(" ",TRIM(C99)&amp;" ")-1),",","."),FIND("/",SUBSTITUTE(LEFT(TRIM(C99),FIND(" ",TRIM(C99)&amp;" ")-1),",","."))+1,9)),IF(ISNUMBER(SEARCH("yea",C99)),IFERROR(_xlfn.NUMBERVALUE(SUBSTITUTE(LEFT(TRIM(C99),FIND(" ",TRIM(C99)&amp;" ")-1),",","."),"."),LEFT(SUBSTITUTE(LEFT(TRIM(C99),FIND(" ",TRIM(C99)&amp;" ")-1),",","."),FIND("/",SUBSTITUTE(LEFT(TRIM(C99),FIND(" ",TRIM(C99)&amp;" ")-1),",","."))-1)/MID(SUBSTITUTE(LEFT(TRIM(C99),FIND(" ",TRIM(C99)&amp;" ")-1),",","."),FIND("/",SUBSTITUTE(LEFT(TRIM(C99),FIND(" ",TRIM(C99)&amp;" ")-1),",","."))+1,9))*12,NA()))),0),24)*'Aturan &amp; Tarif'!$B$4,2)</f>
        <v>1362.72</v>
      </c>
      <c r="K99" s="42" t="n">
        <f aca="false">'Aturan &amp; Tarif'!$B$5</f>
        <v>2050</v>
      </c>
      <c r="L99" s="42" t="n">
        <f aca="false">'Aturan &amp; Tarif'!$B$6</f>
        <v>350</v>
      </c>
      <c r="M99" s="35" t="n">
        <f aca="false">I99+J99+K99+L99</f>
        <v>8262.72</v>
      </c>
      <c r="N99" s="45" t="s">
        <v>134</v>
      </c>
    </row>
    <row r="100" customFormat="false" ht="14.25" hidden="false" customHeight="true" outlineLevel="0" collapsed="false">
      <c r="A100" s="39"/>
      <c r="B100" s="40" t="s">
        <v>1893</v>
      </c>
      <c r="C100" s="41" t="s">
        <v>107</v>
      </c>
      <c r="D100" s="41" t="s">
        <v>108</v>
      </c>
      <c r="E100" s="42" t="n">
        <v>2400</v>
      </c>
      <c r="F100" s="42" t="n">
        <v>2000</v>
      </c>
      <c r="G100" s="42" t="n">
        <v>500</v>
      </c>
      <c r="H100" s="43" t="n">
        <v>1</v>
      </c>
      <c r="I100" s="34" t="n">
        <f aca="false">E100*H100+N(F100)+N(G100)</f>
        <v>4900</v>
      </c>
      <c r="J100" s="42" t="n">
        <f aca="false">ROUND(IFERROR(ROUND(IF(OR(ISNUMBER(SEARCH("week",C100)),ISNUMBER(SEARCH("minggu",C100))),IFERROR(_xlfn.NUMBERVALUE(SUBSTITUTE(LEFT(TRIM(C100),FIND(" ",TRIM(C100)&amp;" ")-1),",","."),"."),LEFT(SUBSTITUTE(LEFT(TRIM(C100),FIND(" ",TRIM(C100)&amp;" ")-1),",","."),FIND("/",SUBSTITUTE(LEFT(TRIM(C100),FIND(" ",TRIM(C100)&amp;" ")-1),",","."))-1)/MID(SUBSTITUTE(LEFT(TRIM(C100),FIND(" ",TRIM(C100)&amp;" ")-1),",","."),FIND("/",SUBSTITUTE(LEFT(TRIM(C100),FIND(" ",TRIM(C100)&amp;" ")-1),",","."))+1,9))*12/52,IF(ISNUMBER(SEARCH("month",C100)),IFERROR(_xlfn.NUMBERVALUE(SUBSTITUTE(LEFT(TRIM(C100),FIND(" ",TRIM(C100)&amp;" ")-1),",","."),"."),LEFT(SUBSTITUTE(LEFT(TRIM(C100),FIND(" ",TRIM(C100)&amp;" ")-1),",","."),FIND("/",SUBSTITUTE(LEFT(TRIM(C100),FIND(" ",TRIM(C100)&amp;" ")-1),",","."))-1)/MID(SUBSTITUTE(LEFT(TRIM(C100),FIND(" ",TRIM(C100)&amp;" ")-1),",","."),FIND("/",SUBSTITUTE(LEFT(TRIM(C100),FIND(" ",TRIM(C100)&amp;" ")-1),",","."))+1,9)),IF(ISNUMBER(SEARCH("yea",C100)),IFERROR(_xlfn.NUMBERVALUE(SUBSTITUTE(LEFT(TRIM(C100),FIND(" ",TRIM(C100)&amp;" ")-1),",","."),"."),LEFT(SUBSTITUTE(LEFT(TRIM(C100),FIND(" ",TRIM(C100)&amp;" ")-1),",","."),FIND("/",SUBSTITUTE(LEFT(TRIM(C100),FIND(" ",TRIM(C100)&amp;" ")-1),",","."))-1)/MID(SUBSTITUTE(LEFT(TRIM(C100),FIND(" ",TRIM(C100)&amp;" ")-1),",","."),FIND("/",SUBSTITUTE(LEFT(TRIM(C100),FIND(" ",TRIM(C100)&amp;" ")-1),",","."))+1,9))*12,NA()))),0),24)*'Aturan &amp; Tarif'!$B$4,2)</f>
        <v>1362.72</v>
      </c>
      <c r="K100" s="42" t="n">
        <f aca="false">'Aturan &amp; Tarif'!$B$5</f>
        <v>2050</v>
      </c>
      <c r="L100" s="42" t="n">
        <f aca="false">'Aturan &amp; Tarif'!$B$6</f>
        <v>350</v>
      </c>
      <c r="M100" s="35" t="n">
        <f aca="false">I100+J100+K100+L100</f>
        <v>8662.72</v>
      </c>
      <c r="N100" s="45" t="s">
        <v>134</v>
      </c>
    </row>
    <row r="101" customFormat="false" ht="14.25" hidden="false" customHeight="true" outlineLevel="0" collapsed="false">
      <c r="A101" s="39"/>
      <c r="B101" s="40" t="s">
        <v>1894</v>
      </c>
      <c r="C101" s="41" t="s">
        <v>113</v>
      </c>
      <c r="D101" s="41" t="s">
        <v>108</v>
      </c>
      <c r="E101" s="42" t="n">
        <v>3200</v>
      </c>
      <c r="F101" s="42" t="n">
        <v>2000</v>
      </c>
      <c r="G101" s="42" t="n">
        <v>500</v>
      </c>
      <c r="H101" s="43" t="n">
        <v>1</v>
      </c>
      <c r="I101" s="34" t="n">
        <f aca="false">E101*H101+N(F101)+N(G101)</f>
        <v>5700</v>
      </c>
      <c r="J101" s="42" t="n">
        <f aca="false">ROUND(IFERROR(ROUND(IF(OR(ISNUMBER(SEARCH("week",C101)),ISNUMBER(SEARCH("minggu",C101))),IFERROR(_xlfn.NUMBERVALUE(SUBSTITUTE(LEFT(TRIM(C101),FIND(" ",TRIM(C101)&amp;" ")-1),",","."),"."),LEFT(SUBSTITUTE(LEFT(TRIM(C101),FIND(" ",TRIM(C101)&amp;" ")-1),",","."),FIND("/",SUBSTITUTE(LEFT(TRIM(C101),FIND(" ",TRIM(C101)&amp;" ")-1),",","."))-1)/MID(SUBSTITUTE(LEFT(TRIM(C101),FIND(" ",TRIM(C101)&amp;" ")-1),",","."),FIND("/",SUBSTITUTE(LEFT(TRIM(C101),FIND(" ",TRIM(C101)&amp;" ")-1),",","."))+1,9))*12/52,IF(ISNUMBER(SEARCH("month",C101)),IFERROR(_xlfn.NUMBERVALUE(SUBSTITUTE(LEFT(TRIM(C101),FIND(" ",TRIM(C101)&amp;" ")-1),",","."),"."),LEFT(SUBSTITUTE(LEFT(TRIM(C101),FIND(" ",TRIM(C101)&amp;" ")-1),",","."),FIND("/",SUBSTITUTE(LEFT(TRIM(C101),FIND(" ",TRIM(C101)&amp;" ")-1),",","."))-1)/MID(SUBSTITUTE(LEFT(TRIM(C101),FIND(" ",TRIM(C101)&amp;" ")-1),",","."),FIND("/",SUBSTITUTE(LEFT(TRIM(C101),FIND(" ",TRIM(C101)&amp;" ")-1),",","."))+1,9)),IF(ISNUMBER(SEARCH("yea",C101)),IFERROR(_xlfn.NUMBERVALUE(SUBSTITUTE(LEFT(TRIM(C101),FIND(" ",TRIM(C101)&amp;" ")-1),",","."),"."),LEFT(SUBSTITUTE(LEFT(TRIM(C101),FIND(" ",TRIM(C101)&amp;" ")-1),",","."),FIND("/",SUBSTITUTE(LEFT(TRIM(C101),FIND(" ",TRIM(C101)&amp;" ")-1),",","."))-1)/MID(SUBSTITUTE(LEFT(TRIM(C101),FIND(" ",TRIM(C101)&amp;" ")-1),",","."),FIND("/",SUBSTITUTE(LEFT(TRIM(C101),FIND(" ",TRIM(C101)&amp;" ")-1),",","."))+1,9))*12,NA()))),0),18)*'Aturan &amp; Tarif'!$B$4,2)</f>
        <v>1022.04</v>
      </c>
      <c r="K101" s="42" t="n">
        <f aca="false">'Aturan &amp; Tarif'!$B$5</f>
        <v>2050</v>
      </c>
      <c r="L101" s="42" t="n">
        <f aca="false">'Aturan &amp; Tarif'!$B$6</f>
        <v>350</v>
      </c>
      <c r="M101" s="35" t="n">
        <f aca="false">I101+J101+K101+L101</f>
        <v>9122.04</v>
      </c>
      <c r="N101" s="45" t="s">
        <v>134</v>
      </c>
    </row>
    <row r="102" customFormat="false" ht="48.75" hidden="false" customHeight="true" outlineLevel="0" collapsed="false">
      <c r="A102" s="29" t="s">
        <v>1895</v>
      </c>
      <c r="B102" s="30" t="s">
        <v>493</v>
      </c>
      <c r="C102" s="31" t="s">
        <v>136</v>
      </c>
      <c r="D102" s="31" t="s">
        <v>108</v>
      </c>
      <c r="E102" s="32" t="n">
        <v>3333</v>
      </c>
      <c r="F102" s="32" t="n">
        <v>2000</v>
      </c>
      <c r="G102" s="32" t="n">
        <v>500</v>
      </c>
      <c r="H102" s="33" t="n">
        <v>1</v>
      </c>
      <c r="I102" s="34" t="n">
        <f aca="false">E102*H102+N(F102)+N(G102)</f>
        <v>5833</v>
      </c>
      <c r="J102" s="32" t="n">
        <f aca="false">ROUND(IFERROR(ROUND(IF(OR(ISNUMBER(SEARCH("week",C102)),ISNUMBER(SEARCH("minggu",C102))),IFERROR(_xlfn.NUMBERVALUE(SUBSTITUTE(LEFT(TRIM(C102),FIND(" ",TRIM(C102)&amp;" ")-1),",","."),"."),LEFT(SUBSTITUTE(LEFT(TRIM(C102),FIND(" ",TRIM(C102)&amp;" ")-1),",","."),FIND("/",SUBSTITUTE(LEFT(TRIM(C102),FIND(" ",TRIM(C102)&amp;" ")-1),",","."))-1)/MID(SUBSTITUTE(LEFT(TRIM(C102),FIND(" ",TRIM(C102)&amp;" ")-1),",","."),FIND("/",SUBSTITUTE(LEFT(TRIM(C102),FIND(" ",TRIM(C102)&amp;" ")-1),",","."))+1,9))*12/52,IF(ISNUMBER(SEARCH("month",C102)),IFERROR(_xlfn.NUMBERVALUE(SUBSTITUTE(LEFT(TRIM(C102),FIND(" ",TRIM(C102)&amp;" ")-1),",","."),"."),LEFT(SUBSTITUTE(LEFT(TRIM(C102),FIND(" ",TRIM(C102)&amp;" ")-1),",","."),FIND("/",SUBSTITUTE(LEFT(TRIM(C102),FIND(" ",TRIM(C102)&amp;" ")-1),",","."))-1)/MID(SUBSTITUTE(LEFT(TRIM(C102),FIND(" ",TRIM(C102)&amp;" ")-1),",","."),FIND("/",SUBSTITUTE(LEFT(TRIM(C102),FIND(" ",TRIM(C102)&amp;" ")-1),",","."))+1,9)),IF(ISNUMBER(SEARCH("yea",C102)),IFERROR(_xlfn.NUMBERVALUE(SUBSTITUTE(LEFT(TRIM(C102),FIND(" ",TRIM(C102)&amp;" ")-1),",","."),"."),LEFT(SUBSTITUTE(LEFT(TRIM(C102),FIND(" ",TRIM(C102)&amp;" ")-1),",","."),FIND("/",SUBSTITUTE(LEFT(TRIM(C102),FIND(" ",TRIM(C102)&amp;" ")-1),",","."))-1)/MID(SUBSTITUTE(LEFT(TRIM(C102),FIND(" ",TRIM(C102)&amp;" ")-1),",","."),FIND("/",SUBSTITUTE(LEFT(TRIM(C102),FIND(" ",TRIM(C102)&amp;" ")-1),",","."))+1,9))*12,NA()))),0),42)*'Aturan &amp; Tarif'!$B$4,2)</f>
        <v>2384.76</v>
      </c>
      <c r="K102" s="32" t="n">
        <f aca="false">'Aturan &amp; Tarif'!$B$5</f>
        <v>2050</v>
      </c>
      <c r="L102" s="32" t="n">
        <f aca="false">'Aturan &amp; Tarif'!$B$6</f>
        <v>350</v>
      </c>
      <c r="M102" s="35" t="n">
        <f aca="false">I102+J102+K102+L102</f>
        <v>10617.76</v>
      </c>
      <c r="N102" s="36" t="s">
        <v>131</v>
      </c>
    </row>
    <row r="103" customFormat="false" ht="14.25" hidden="false" customHeight="true" outlineLevel="0" collapsed="false">
      <c r="A103" s="29"/>
      <c r="B103" s="30" t="s">
        <v>494</v>
      </c>
      <c r="C103" s="31" t="s">
        <v>495</v>
      </c>
      <c r="D103" s="31" t="s">
        <v>108</v>
      </c>
      <c r="E103" s="32" t="n">
        <v>3333</v>
      </c>
      <c r="F103" s="32" t="n">
        <v>2000</v>
      </c>
      <c r="G103" s="32" t="n">
        <v>500</v>
      </c>
      <c r="H103" s="33" t="n">
        <v>1</v>
      </c>
      <c r="I103" s="34" t="n">
        <f aca="false">E103*H103+N(F103)+N(G103)</f>
        <v>5833</v>
      </c>
      <c r="J103" s="32" t="n">
        <f aca="false">ROUND(IFERROR(ROUND(IF(OR(ISNUMBER(SEARCH("week",C103)),ISNUMBER(SEARCH("minggu",C103))),IFERROR(_xlfn.NUMBERVALUE(SUBSTITUTE(LEFT(TRIM(C103),FIND(" ",TRIM(C103)&amp;" ")-1),",","."),"."),LEFT(SUBSTITUTE(LEFT(TRIM(C103),FIND(" ",TRIM(C103)&amp;" ")-1),",","."),FIND("/",SUBSTITUTE(LEFT(TRIM(C103),FIND(" ",TRIM(C103)&amp;" ")-1),",","."))-1)/MID(SUBSTITUTE(LEFT(TRIM(C103),FIND(" ",TRIM(C103)&amp;" ")-1),",","."),FIND("/",SUBSTITUTE(LEFT(TRIM(C103),FIND(" ",TRIM(C103)&amp;" ")-1),",","."))+1,9))*12/52,IF(ISNUMBER(SEARCH("month",C103)),IFERROR(_xlfn.NUMBERVALUE(SUBSTITUTE(LEFT(TRIM(C103),FIND(" ",TRIM(C103)&amp;" ")-1),",","."),"."),LEFT(SUBSTITUTE(LEFT(TRIM(C103),FIND(" ",TRIM(C103)&amp;" ")-1),",","."),FIND("/",SUBSTITUTE(LEFT(TRIM(C103),FIND(" ",TRIM(C103)&amp;" ")-1),",","."))-1)/MID(SUBSTITUTE(LEFT(TRIM(C103),FIND(" ",TRIM(C103)&amp;" ")-1),",","."),FIND("/",SUBSTITUTE(LEFT(TRIM(C103),FIND(" ",TRIM(C103)&amp;" ")-1),",","."))+1,9)),IF(ISNUMBER(SEARCH("yea",C103)),IFERROR(_xlfn.NUMBERVALUE(SUBSTITUTE(LEFT(TRIM(C103),FIND(" ",TRIM(C103)&amp;" ")-1),",","."),"."),LEFT(SUBSTITUTE(LEFT(TRIM(C103),FIND(" ",TRIM(C103)&amp;" ")-1),",","."),FIND("/",SUBSTITUTE(LEFT(TRIM(C103),FIND(" ",TRIM(C103)&amp;" ")-1),",","."))-1)/MID(SUBSTITUTE(LEFT(TRIM(C103),FIND(" ",TRIM(C103)&amp;" ")-1),",","."),FIND("/",SUBSTITUTE(LEFT(TRIM(C103),FIND(" ",TRIM(C103)&amp;" ")-1),",","."))+1,9))*12,NA()))),0),54)*'Aturan &amp; Tarif'!$B$4,2)</f>
        <v>3066.12</v>
      </c>
      <c r="K103" s="32" t="n">
        <f aca="false">'Aturan &amp; Tarif'!$B$5</f>
        <v>2050</v>
      </c>
      <c r="L103" s="32" t="n">
        <f aca="false">'Aturan &amp; Tarif'!$B$6</f>
        <v>350</v>
      </c>
      <c r="M103" s="35" t="n">
        <f aca="false">I103+J103+K103+L103</f>
        <v>11299.12</v>
      </c>
      <c r="N103" s="36" t="s">
        <v>131</v>
      </c>
    </row>
    <row r="104" customFormat="false" ht="25.5" hidden="false" customHeight="true" outlineLevel="0" collapsed="false">
      <c r="A104" s="29"/>
      <c r="B104" s="30" t="s">
        <v>496</v>
      </c>
      <c r="C104" s="31" t="s">
        <v>107</v>
      </c>
      <c r="D104" s="31" t="s">
        <v>108</v>
      </c>
      <c r="E104" s="32" t="n">
        <v>2500</v>
      </c>
      <c r="F104" s="32" t="n">
        <v>500</v>
      </c>
      <c r="G104" s="32" t="n">
        <v>500</v>
      </c>
      <c r="H104" s="33" t="n">
        <v>1</v>
      </c>
      <c r="I104" s="34" t="n">
        <f aca="false">E104*H104+N(F104)+N(G104)</f>
        <v>3500</v>
      </c>
      <c r="J104" s="32" t="n">
        <f aca="false">ROUND(IFERROR(ROUND(IF(OR(ISNUMBER(SEARCH("week",C104)),ISNUMBER(SEARCH("minggu",C104))),IFERROR(_xlfn.NUMBERVALUE(SUBSTITUTE(LEFT(TRIM(C104),FIND(" ",TRIM(C104)&amp;" ")-1),",","."),"."),LEFT(SUBSTITUTE(LEFT(TRIM(C104),FIND(" ",TRIM(C104)&amp;" ")-1),",","."),FIND("/",SUBSTITUTE(LEFT(TRIM(C104),FIND(" ",TRIM(C104)&amp;" ")-1),",","."))-1)/MID(SUBSTITUTE(LEFT(TRIM(C104),FIND(" ",TRIM(C104)&amp;" ")-1),",","."),FIND("/",SUBSTITUTE(LEFT(TRIM(C104),FIND(" ",TRIM(C104)&amp;" ")-1),",","."))+1,9))*12/52,IF(ISNUMBER(SEARCH("month",C104)),IFERROR(_xlfn.NUMBERVALUE(SUBSTITUTE(LEFT(TRIM(C104),FIND(" ",TRIM(C104)&amp;" ")-1),",","."),"."),LEFT(SUBSTITUTE(LEFT(TRIM(C104),FIND(" ",TRIM(C104)&amp;" ")-1),",","."),FIND("/",SUBSTITUTE(LEFT(TRIM(C104),FIND(" ",TRIM(C104)&amp;" ")-1),",","."))-1)/MID(SUBSTITUTE(LEFT(TRIM(C104),FIND(" ",TRIM(C104)&amp;" ")-1),",","."),FIND("/",SUBSTITUTE(LEFT(TRIM(C104),FIND(" ",TRIM(C104)&amp;" ")-1),",","."))+1,9)),IF(ISNUMBER(SEARCH("yea",C104)),IFERROR(_xlfn.NUMBERVALUE(SUBSTITUTE(LEFT(TRIM(C104),FIND(" ",TRIM(C104)&amp;" ")-1),",","."),"."),LEFT(SUBSTITUTE(LEFT(TRIM(C104),FIND(" ",TRIM(C104)&amp;" ")-1),",","."),FIND("/",SUBSTITUTE(LEFT(TRIM(C104),FIND(" ",TRIM(C104)&amp;" ")-1),",","."))-1)/MID(SUBSTITUTE(LEFT(TRIM(C104),FIND(" ",TRIM(C104)&amp;" ")-1),",","."),FIND("/",SUBSTITUTE(LEFT(TRIM(C104),FIND(" ",TRIM(C104)&amp;" ")-1),",","."))+1,9))*12,NA()))),0),24)*'Aturan &amp; Tarif'!$B$4,2)</f>
        <v>1362.72</v>
      </c>
      <c r="K104" s="32" t="n">
        <f aca="false">'Aturan &amp; Tarif'!$B$5</f>
        <v>2050</v>
      </c>
      <c r="L104" s="32" t="n">
        <f aca="false">'Aturan &amp; Tarif'!$B$6</f>
        <v>350</v>
      </c>
      <c r="M104" s="35" t="n">
        <f aca="false">I104+J104+K104+L104</f>
        <v>7262.72</v>
      </c>
      <c r="N104" s="37" t="s">
        <v>134</v>
      </c>
    </row>
    <row r="105" customFormat="false" ht="25.5" hidden="false" customHeight="true" outlineLevel="0" collapsed="false">
      <c r="A105" s="29"/>
      <c r="B105" s="30" t="s">
        <v>497</v>
      </c>
      <c r="C105" s="31" t="s">
        <v>136</v>
      </c>
      <c r="D105" s="31" t="s">
        <v>108</v>
      </c>
      <c r="E105" s="32" t="n">
        <v>2500</v>
      </c>
      <c r="F105" s="32" t="n">
        <v>500</v>
      </c>
      <c r="G105" s="32" t="n">
        <v>500</v>
      </c>
      <c r="H105" s="33" t="n">
        <v>1</v>
      </c>
      <c r="I105" s="34" t="n">
        <f aca="false">E105*H105+N(F105)+N(G105)</f>
        <v>3500</v>
      </c>
      <c r="J105" s="32" t="n">
        <f aca="false">ROUND(IFERROR(ROUND(IF(OR(ISNUMBER(SEARCH("week",C105)),ISNUMBER(SEARCH("minggu",C105))),IFERROR(_xlfn.NUMBERVALUE(SUBSTITUTE(LEFT(TRIM(C105),FIND(" ",TRIM(C105)&amp;" ")-1),",","."),"."),LEFT(SUBSTITUTE(LEFT(TRIM(C105),FIND(" ",TRIM(C105)&amp;" ")-1),",","."),FIND("/",SUBSTITUTE(LEFT(TRIM(C105),FIND(" ",TRIM(C105)&amp;" ")-1),",","."))-1)/MID(SUBSTITUTE(LEFT(TRIM(C105),FIND(" ",TRIM(C105)&amp;" ")-1),",","."),FIND("/",SUBSTITUTE(LEFT(TRIM(C105),FIND(" ",TRIM(C105)&amp;" ")-1),",","."))+1,9))*12/52,IF(ISNUMBER(SEARCH("month",C105)),IFERROR(_xlfn.NUMBERVALUE(SUBSTITUTE(LEFT(TRIM(C105),FIND(" ",TRIM(C105)&amp;" ")-1),",","."),"."),LEFT(SUBSTITUTE(LEFT(TRIM(C105),FIND(" ",TRIM(C105)&amp;" ")-1),",","."),FIND("/",SUBSTITUTE(LEFT(TRIM(C105),FIND(" ",TRIM(C105)&amp;" ")-1),",","."))-1)/MID(SUBSTITUTE(LEFT(TRIM(C105),FIND(" ",TRIM(C105)&amp;" ")-1),",","."),FIND("/",SUBSTITUTE(LEFT(TRIM(C105),FIND(" ",TRIM(C105)&amp;" ")-1),",","."))+1,9)),IF(ISNUMBER(SEARCH("yea",C105)),IFERROR(_xlfn.NUMBERVALUE(SUBSTITUTE(LEFT(TRIM(C105),FIND(" ",TRIM(C105)&amp;" ")-1),",","."),"."),LEFT(SUBSTITUTE(LEFT(TRIM(C105),FIND(" ",TRIM(C105)&amp;" ")-1),",","."),FIND("/",SUBSTITUTE(LEFT(TRIM(C105),FIND(" ",TRIM(C105)&amp;" ")-1),",","."))-1)/MID(SUBSTITUTE(LEFT(TRIM(C105),FIND(" ",TRIM(C105)&amp;" ")-1),",","."),FIND("/",SUBSTITUTE(LEFT(TRIM(C105),FIND(" ",TRIM(C105)&amp;" ")-1),",","."))+1,9))*12,NA()))),0),42)*'Aturan &amp; Tarif'!$B$4,2)</f>
        <v>2384.76</v>
      </c>
      <c r="K105" s="32" t="n">
        <f aca="false">'Aturan &amp; Tarif'!$B$5</f>
        <v>2050</v>
      </c>
      <c r="L105" s="32" t="n">
        <f aca="false">'Aturan &amp; Tarif'!$B$6</f>
        <v>350</v>
      </c>
      <c r="M105" s="35" t="n">
        <f aca="false">I105+J105+K105+L105</f>
        <v>8284.76</v>
      </c>
      <c r="N105" s="36" t="s">
        <v>131</v>
      </c>
    </row>
    <row r="106" customFormat="false" ht="25.5" hidden="false" customHeight="true" outlineLevel="0" collapsed="false">
      <c r="A106" s="29"/>
      <c r="B106" s="30" t="s">
        <v>498</v>
      </c>
      <c r="C106" s="31" t="s">
        <v>107</v>
      </c>
      <c r="D106" s="31" t="s">
        <v>108</v>
      </c>
      <c r="E106" s="32" t="n">
        <v>2500</v>
      </c>
      <c r="F106" s="32" t="n">
        <v>2000</v>
      </c>
      <c r="G106" s="32" t="n">
        <v>500</v>
      </c>
      <c r="H106" s="33" t="n">
        <v>1</v>
      </c>
      <c r="I106" s="34" t="n">
        <f aca="false">E106*H106+N(F106)+N(G106)</f>
        <v>5000</v>
      </c>
      <c r="J106" s="32" t="n">
        <f aca="false">ROUND(IFERROR(ROUND(IF(OR(ISNUMBER(SEARCH("week",C106)),ISNUMBER(SEARCH("minggu",C106))),IFERROR(_xlfn.NUMBERVALUE(SUBSTITUTE(LEFT(TRIM(C106),FIND(" ",TRIM(C106)&amp;" ")-1),",","."),"."),LEFT(SUBSTITUTE(LEFT(TRIM(C106),FIND(" ",TRIM(C106)&amp;" ")-1),",","."),FIND("/",SUBSTITUTE(LEFT(TRIM(C106),FIND(" ",TRIM(C106)&amp;" ")-1),",","."))-1)/MID(SUBSTITUTE(LEFT(TRIM(C106),FIND(" ",TRIM(C106)&amp;" ")-1),",","."),FIND("/",SUBSTITUTE(LEFT(TRIM(C106),FIND(" ",TRIM(C106)&amp;" ")-1),",","."))+1,9))*12/52,IF(ISNUMBER(SEARCH("month",C106)),IFERROR(_xlfn.NUMBERVALUE(SUBSTITUTE(LEFT(TRIM(C106),FIND(" ",TRIM(C106)&amp;" ")-1),",","."),"."),LEFT(SUBSTITUTE(LEFT(TRIM(C106),FIND(" ",TRIM(C106)&amp;" ")-1),",","."),FIND("/",SUBSTITUTE(LEFT(TRIM(C106),FIND(" ",TRIM(C106)&amp;" ")-1),",","."))-1)/MID(SUBSTITUTE(LEFT(TRIM(C106),FIND(" ",TRIM(C106)&amp;" ")-1),",","."),FIND("/",SUBSTITUTE(LEFT(TRIM(C106),FIND(" ",TRIM(C106)&amp;" ")-1),",","."))+1,9)),IF(ISNUMBER(SEARCH("yea",C106)),IFERROR(_xlfn.NUMBERVALUE(SUBSTITUTE(LEFT(TRIM(C106),FIND(" ",TRIM(C106)&amp;" ")-1),",","."),"."),LEFT(SUBSTITUTE(LEFT(TRIM(C106),FIND(" ",TRIM(C106)&amp;" ")-1),",","."),FIND("/",SUBSTITUTE(LEFT(TRIM(C106),FIND(" ",TRIM(C106)&amp;" ")-1),",","."))-1)/MID(SUBSTITUTE(LEFT(TRIM(C106),FIND(" ",TRIM(C106)&amp;" ")-1),",","."),FIND("/",SUBSTITUTE(LEFT(TRIM(C106),FIND(" ",TRIM(C106)&amp;" ")-1),",","."))+1,9))*12,NA()))),0),24)*'Aturan &amp; Tarif'!$B$4,2)</f>
        <v>1362.72</v>
      </c>
      <c r="K106" s="32" t="n">
        <f aca="false">'Aturan &amp; Tarif'!$B$5</f>
        <v>2050</v>
      </c>
      <c r="L106" s="32" t="n">
        <f aca="false">'Aturan &amp; Tarif'!$B$6</f>
        <v>350</v>
      </c>
      <c r="M106" s="35" t="n">
        <f aca="false">I106+J106+K106+L106</f>
        <v>8762.72</v>
      </c>
      <c r="N106" s="37" t="s">
        <v>134</v>
      </c>
    </row>
    <row r="107" customFormat="false" ht="25.5" hidden="false" customHeight="true" outlineLevel="0" collapsed="false">
      <c r="A107" s="29"/>
      <c r="B107" s="30" t="s">
        <v>499</v>
      </c>
      <c r="C107" s="31" t="s">
        <v>107</v>
      </c>
      <c r="D107" s="31" t="s">
        <v>108</v>
      </c>
      <c r="E107" s="32" t="n">
        <v>2500</v>
      </c>
      <c r="F107" s="32" t="n">
        <v>2000</v>
      </c>
      <c r="G107" s="32" t="n">
        <v>500</v>
      </c>
      <c r="H107" s="33" t="n">
        <v>1</v>
      </c>
      <c r="I107" s="34" t="n">
        <f aca="false">E107*H107+N(F107)+N(G107)</f>
        <v>5000</v>
      </c>
      <c r="J107" s="32" t="n">
        <f aca="false">ROUND(IFERROR(ROUND(IF(OR(ISNUMBER(SEARCH("week",C107)),ISNUMBER(SEARCH("minggu",C107))),IFERROR(_xlfn.NUMBERVALUE(SUBSTITUTE(LEFT(TRIM(C107),FIND(" ",TRIM(C107)&amp;" ")-1),",","."),"."),LEFT(SUBSTITUTE(LEFT(TRIM(C107),FIND(" ",TRIM(C107)&amp;" ")-1),",","."),FIND("/",SUBSTITUTE(LEFT(TRIM(C107),FIND(" ",TRIM(C107)&amp;" ")-1),",","."))-1)/MID(SUBSTITUTE(LEFT(TRIM(C107),FIND(" ",TRIM(C107)&amp;" ")-1),",","."),FIND("/",SUBSTITUTE(LEFT(TRIM(C107),FIND(" ",TRIM(C107)&amp;" ")-1),",","."))+1,9))*12/52,IF(ISNUMBER(SEARCH("month",C107)),IFERROR(_xlfn.NUMBERVALUE(SUBSTITUTE(LEFT(TRIM(C107),FIND(" ",TRIM(C107)&amp;" ")-1),",","."),"."),LEFT(SUBSTITUTE(LEFT(TRIM(C107),FIND(" ",TRIM(C107)&amp;" ")-1),",","."),FIND("/",SUBSTITUTE(LEFT(TRIM(C107),FIND(" ",TRIM(C107)&amp;" ")-1),",","."))-1)/MID(SUBSTITUTE(LEFT(TRIM(C107),FIND(" ",TRIM(C107)&amp;" ")-1),",","."),FIND("/",SUBSTITUTE(LEFT(TRIM(C107),FIND(" ",TRIM(C107)&amp;" ")-1),",","."))+1,9)),IF(ISNUMBER(SEARCH("yea",C107)),IFERROR(_xlfn.NUMBERVALUE(SUBSTITUTE(LEFT(TRIM(C107),FIND(" ",TRIM(C107)&amp;" ")-1),",","."),"."),LEFT(SUBSTITUTE(LEFT(TRIM(C107),FIND(" ",TRIM(C107)&amp;" ")-1),",","."),FIND("/",SUBSTITUTE(LEFT(TRIM(C107),FIND(" ",TRIM(C107)&amp;" ")-1),",","."))-1)/MID(SUBSTITUTE(LEFT(TRIM(C107),FIND(" ",TRIM(C107)&amp;" ")-1),",","."),FIND("/",SUBSTITUTE(LEFT(TRIM(C107),FIND(" ",TRIM(C107)&amp;" ")-1),",","."))+1,9))*12,NA()))),0),24)*'Aturan &amp; Tarif'!$B$4,2)</f>
        <v>1362.72</v>
      </c>
      <c r="K107" s="32" t="n">
        <f aca="false">'Aturan &amp; Tarif'!$B$5</f>
        <v>2050</v>
      </c>
      <c r="L107" s="32" t="n">
        <f aca="false">'Aturan &amp; Tarif'!$B$6</f>
        <v>350</v>
      </c>
      <c r="M107" s="35" t="n">
        <f aca="false">I107+J107+K107+L107</f>
        <v>8762.72</v>
      </c>
      <c r="N107" s="37" t="s">
        <v>134</v>
      </c>
    </row>
    <row r="108" customFormat="false" ht="25.5" hidden="false" customHeight="true" outlineLevel="0" collapsed="false">
      <c r="A108" s="29"/>
      <c r="B108" s="30" t="s">
        <v>500</v>
      </c>
      <c r="C108" s="31" t="s">
        <v>107</v>
      </c>
      <c r="D108" s="31" t="s">
        <v>108</v>
      </c>
      <c r="E108" s="32" t="n">
        <v>2500</v>
      </c>
      <c r="F108" s="32" t="n">
        <v>2000</v>
      </c>
      <c r="G108" s="32" t="n">
        <v>500</v>
      </c>
      <c r="H108" s="33" t="n">
        <v>1</v>
      </c>
      <c r="I108" s="34" t="n">
        <f aca="false">E108*H108+N(F108)+N(G108)</f>
        <v>5000</v>
      </c>
      <c r="J108" s="32" t="n">
        <f aca="false">ROUND(IFERROR(ROUND(IF(OR(ISNUMBER(SEARCH("week",C108)),ISNUMBER(SEARCH("minggu",C108))),IFERROR(_xlfn.NUMBERVALUE(SUBSTITUTE(LEFT(TRIM(C108),FIND(" ",TRIM(C108)&amp;" ")-1),",","."),"."),LEFT(SUBSTITUTE(LEFT(TRIM(C108),FIND(" ",TRIM(C108)&amp;" ")-1),",","."),FIND("/",SUBSTITUTE(LEFT(TRIM(C108),FIND(" ",TRIM(C108)&amp;" ")-1),",","."))-1)/MID(SUBSTITUTE(LEFT(TRIM(C108),FIND(" ",TRIM(C108)&amp;" ")-1),",","."),FIND("/",SUBSTITUTE(LEFT(TRIM(C108),FIND(" ",TRIM(C108)&amp;" ")-1),",","."))+1,9))*12/52,IF(ISNUMBER(SEARCH("month",C108)),IFERROR(_xlfn.NUMBERVALUE(SUBSTITUTE(LEFT(TRIM(C108),FIND(" ",TRIM(C108)&amp;" ")-1),",","."),"."),LEFT(SUBSTITUTE(LEFT(TRIM(C108),FIND(" ",TRIM(C108)&amp;" ")-1),",","."),FIND("/",SUBSTITUTE(LEFT(TRIM(C108),FIND(" ",TRIM(C108)&amp;" ")-1),",","."))-1)/MID(SUBSTITUTE(LEFT(TRIM(C108),FIND(" ",TRIM(C108)&amp;" ")-1),",","."),FIND("/",SUBSTITUTE(LEFT(TRIM(C108),FIND(" ",TRIM(C108)&amp;" ")-1),",","."))+1,9)),IF(ISNUMBER(SEARCH("yea",C108)),IFERROR(_xlfn.NUMBERVALUE(SUBSTITUTE(LEFT(TRIM(C108),FIND(" ",TRIM(C108)&amp;" ")-1),",","."),"."),LEFT(SUBSTITUTE(LEFT(TRIM(C108),FIND(" ",TRIM(C108)&amp;" ")-1),",","."),FIND("/",SUBSTITUTE(LEFT(TRIM(C108),FIND(" ",TRIM(C108)&amp;" ")-1),",","."))-1)/MID(SUBSTITUTE(LEFT(TRIM(C108),FIND(" ",TRIM(C108)&amp;" ")-1),",","."),FIND("/",SUBSTITUTE(LEFT(TRIM(C108),FIND(" ",TRIM(C108)&amp;" ")-1),",","."))+1,9))*12,NA()))),0),24)*'Aturan &amp; Tarif'!$B$4,2)</f>
        <v>1362.72</v>
      </c>
      <c r="K108" s="32" t="n">
        <f aca="false">'Aturan &amp; Tarif'!$B$5</f>
        <v>2050</v>
      </c>
      <c r="L108" s="32" t="n">
        <f aca="false">'Aturan &amp; Tarif'!$B$6</f>
        <v>350</v>
      </c>
      <c r="M108" s="35" t="n">
        <f aca="false">I108+J108+K108+L108</f>
        <v>8762.72</v>
      </c>
      <c r="N108" s="37" t="s">
        <v>134</v>
      </c>
    </row>
    <row r="109" customFormat="false" ht="25.5" hidden="false" customHeight="true" outlineLevel="0" collapsed="false">
      <c r="A109" s="29"/>
      <c r="B109" s="30" t="s">
        <v>501</v>
      </c>
      <c r="C109" s="31" t="s">
        <v>107</v>
      </c>
      <c r="D109" s="31" t="s">
        <v>108</v>
      </c>
      <c r="E109" s="32" t="n">
        <v>2500</v>
      </c>
      <c r="F109" s="32" t="n">
        <v>2000</v>
      </c>
      <c r="G109" s="32" t="n">
        <v>500</v>
      </c>
      <c r="H109" s="33" t="n">
        <v>1</v>
      </c>
      <c r="I109" s="34" t="n">
        <f aca="false">E109*H109+N(F109)+N(G109)</f>
        <v>5000</v>
      </c>
      <c r="J109" s="32" t="n">
        <f aca="false">ROUND(IFERROR(ROUND(IF(OR(ISNUMBER(SEARCH("week",C109)),ISNUMBER(SEARCH("minggu",C109))),IFERROR(_xlfn.NUMBERVALUE(SUBSTITUTE(LEFT(TRIM(C109),FIND(" ",TRIM(C109)&amp;" ")-1),",","."),"."),LEFT(SUBSTITUTE(LEFT(TRIM(C109),FIND(" ",TRIM(C109)&amp;" ")-1),",","."),FIND("/",SUBSTITUTE(LEFT(TRIM(C109),FIND(" ",TRIM(C109)&amp;" ")-1),",","."))-1)/MID(SUBSTITUTE(LEFT(TRIM(C109),FIND(" ",TRIM(C109)&amp;" ")-1),",","."),FIND("/",SUBSTITUTE(LEFT(TRIM(C109),FIND(" ",TRIM(C109)&amp;" ")-1),",","."))+1,9))*12/52,IF(ISNUMBER(SEARCH("month",C109)),IFERROR(_xlfn.NUMBERVALUE(SUBSTITUTE(LEFT(TRIM(C109),FIND(" ",TRIM(C109)&amp;" ")-1),",","."),"."),LEFT(SUBSTITUTE(LEFT(TRIM(C109),FIND(" ",TRIM(C109)&amp;" ")-1),",","."),FIND("/",SUBSTITUTE(LEFT(TRIM(C109),FIND(" ",TRIM(C109)&amp;" ")-1),",","."))-1)/MID(SUBSTITUTE(LEFT(TRIM(C109),FIND(" ",TRIM(C109)&amp;" ")-1),",","."),FIND("/",SUBSTITUTE(LEFT(TRIM(C109),FIND(" ",TRIM(C109)&amp;" ")-1),",","."))+1,9)),IF(ISNUMBER(SEARCH("yea",C109)),IFERROR(_xlfn.NUMBERVALUE(SUBSTITUTE(LEFT(TRIM(C109),FIND(" ",TRIM(C109)&amp;" ")-1),",","."),"."),LEFT(SUBSTITUTE(LEFT(TRIM(C109),FIND(" ",TRIM(C109)&amp;" ")-1),",","."),FIND("/",SUBSTITUTE(LEFT(TRIM(C109),FIND(" ",TRIM(C109)&amp;" ")-1),",","."))-1)/MID(SUBSTITUTE(LEFT(TRIM(C109),FIND(" ",TRIM(C109)&amp;" ")-1),",","."),FIND("/",SUBSTITUTE(LEFT(TRIM(C109),FIND(" ",TRIM(C109)&amp;" ")-1),",","."))+1,9))*12,NA()))),0),24)*'Aturan &amp; Tarif'!$B$4,2)</f>
        <v>1362.72</v>
      </c>
      <c r="K109" s="32" t="n">
        <f aca="false">'Aturan &amp; Tarif'!$B$5</f>
        <v>2050</v>
      </c>
      <c r="L109" s="32" t="n">
        <f aca="false">'Aturan &amp; Tarif'!$B$6</f>
        <v>350</v>
      </c>
      <c r="M109" s="35" t="n">
        <f aca="false">I109+J109+K109+L109</f>
        <v>8762.72</v>
      </c>
      <c r="N109" s="37" t="s">
        <v>134</v>
      </c>
    </row>
    <row r="110" customFormat="false" ht="25.5" hidden="false" customHeight="true" outlineLevel="0" collapsed="false">
      <c r="A110" s="29"/>
      <c r="B110" s="30" t="s">
        <v>502</v>
      </c>
      <c r="C110" s="31" t="s">
        <v>107</v>
      </c>
      <c r="D110" s="31" t="s">
        <v>108</v>
      </c>
      <c r="E110" s="32" t="n">
        <v>3250</v>
      </c>
      <c r="F110" s="32" t="n">
        <v>2000</v>
      </c>
      <c r="G110" s="32" t="n">
        <v>500</v>
      </c>
      <c r="H110" s="33" t="n">
        <v>1</v>
      </c>
      <c r="I110" s="34" t="n">
        <f aca="false">E110*H110+N(F110)+N(G110)</f>
        <v>5750</v>
      </c>
      <c r="J110" s="32" t="n">
        <f aca="false">ROUND(IFERROR(ROUND(IF(OR(ISNUMBER(SEARCH("week",C110)),ISNUMBER(SEARCH("minggu",C110))),IFERROR(_xlfn.NUMBERVALUE(SUBSTITUTE(LEFT(TRIM(C110),FIND(" ",TRIM(C110)&amp;" ")-1),",","."),"."),LEFT(SUBSTITUTE(LEFT(TRIM(C110),FIND(" ",TRIM(C110)&amp;" ")-1),",","."),FIND("/",SUBSTITUTE(LEFT(TRIM(C110),FIND(" ",TRIM(C110)&amp;" ")-1),",","."))-1)/MID(SUBSTITUTE(LEFT(TRIM(C110),FIND(" ",TRIM(C110)&amp;" ")-1),",","."),FIND("/",SUBSTITUTE(LEFT(TRIM(C110),FIND(" ",TRIM(C110)&amp;" ")-1),",","."))+1,9))*12/52,IF(ISNUMBER(SEARCH("month",C110)),IFERROR(_xlfn.NUMBERVALUE(SUBSTITUTE(LEFT(TRIM(C110),FIND(" ",TRIM(C110)&amp;" ")-1),",","."),"."),LEFT(SUBSTITUTE(LEFT(TRIM(C110),FIND(" ",TRIM(C110)&amp;" ")-1),",","."),FIND("/",SUBSTITUTE(LEFT(TRIM(C110),FIND(" ",TRIM(C110)&amp;" ")-1),",","."))-1)/MID(SUBSTITUTE(LEFT(TRIM(C110),FIND(" ",TRIM(C110)&amp;" ")-1),",","."),FIND("/",SUBSTITUTE(LEFT(TRIM(C110),FIND(" ",TRIM(C110)&amp;" ")-1),",","."))+1,9)),IF(ISNUMBER(SEARCH("yea",C110)),IFERROR(_xlfn.NUMBERVALUE(SUBSTITUTE(LEFT(TRIM(C110),FIND(" ",TRIM(C110)&amp;" ")-1),",","."),"."),LEFT(SUBSTITUTE(LEFT(TRIM(C110),FIND(" ",TRIM(C110)&amp;" ")-1),",","."),FIND("/",SUBSTITUTE(LEFT(TRIM(C110),FIND(" ",TRIM(C110)&amp;" ")-1),",","."))-1)/MID(SUBSTITUTE(LEFT(TRIM(C110),FIND(" ",TRIM(C110)&amp;" ")-1),",","."),FIND("/",SUBSTITUTE(LEFT(TRIM(C110),FIND(" ",TRIM(C110)&amp;" ")-1),",","."))+1,9))*12,NA()))),0),24)*'Aturan &amp; Tarif'!$B$4,2)</f>
        <v>1362.72</v>
      </c>
      <c r="K110" s="32" t="n">
        <f aca="false">'Aturan &amp; Tarif'!$B$5</f>
        <v>2050</v>
      </c>
      <c r="L110" s="32" t="n">
        <f aca="false">'Aturan &amp; Tarif'!$B$6</f>
        <v>350</v>
      </c>
      <c r="M110" s="35" t="n">
        <f aca="false">I110+J110+K110+L110</f>
        <v>9512.72</v>
      </c>
      <c r="N110" s="37" t="s">
        <v>134</v>
      </c>
    </row>
    <row r="111" customFormat="false" ht="14.25" hidden="false" customHeight="true" outlineLevel="0" collapsed="false">
      <c r="A111" s="39" t="s">
        <v>1896</v>
      </c>
      <c r="B111" s="40" t="s">
        <v>1561</v>
      </c>
      <c r="C111" s="41" t="s">
        <v>107</v>
      </c>
      <c r="D111" s="41" t="s">
        <v>108</v>
      </c>
      <c r="E111" s="42" t="n">
        <v>2875</v>
      </c>
      <c r="F111" s="42" t="n">
        <v>1200</v>
      </c>
      <c r="G111" s="42" t="n">
        <v>300</v>
      </c>
      <c r="H111" s="43" t="n">
        <v>1</v>
      </c>
      <c r="I111" s="34" t="n">
        <f aca="false">E111*H111+N(F111)+N(G111)</f>
        <v>4375</v>
      </c>
      <c r="J111" s="42" t="n">
        <f aca="false">ROUND(IFERROR(ROUND(IF(OR(ISNUMBER(SEARCH("week",C111)),ISNUMBER(SEARCH("minggu",C111))),IFERROR(_xlfn.NUMBERVALUE(SUBSTITUTE(LEFT(TRIM(C111),FIND(" ",TRIM(C111)&amp;" ")-1),",","."),"."),LEFT(SUBSTITUTE(LEFT(TRIM(C111),FIND(" ",TRIM(C111)&amp;" ")-1),",","."),FIND("/",SUBSTITUTE(LEFT(TRIM(C111),FIND(" ",TRIM(C111)&amp;" ")-1),",","."))-1)/MID(SUBSTITUTE(LEFT(TRIM(C111),FIND(" ",TRIM(C111)&amp;" ")-1),",","."),FIND("/",SUBSTITUTE(LEFT(TRIM(C111),FIND(" ",TRIM(C111)&amp;" ")-1),",","."))+1,9))*12/52,IF(ISNUMBER(SEARCH("month",C111)),IFERROR(_xlfn.NUMBERVALUE(SUBSTITUTE(LEFT(TRIM(C111),FIND(" ",TRIM(C111)&amp;" ")-1),",","."),"."),LEFT(SUBSTITUTE(LEFT(TRIM(C111),FIND(" ",TRIM(C111)&amp;" ")-1),",","."),FIND("/",SUBSTITUTE(LEFT(TRIM(C111),FIND(" ",TRIM(C111)&amp;" ")-1),",","."))-1)/MID(SUBSTITUTE(LEFT(TRIM(C111),FIND(" ",TRIM(C111)&amp;" ")-1),",","."),FIND("/",SUBSTITUTE(LEFT(TRIM(C111),FIND(" ",TRIM(C111)&amp;" ")-1),",","."))+1,9)),IF(ISNUMBER(SEARCH("yea",C111)),IFERROR(_xlfn.NUMBERVALUE(SUBSTITUTE(LEFT(TRIM(C111),FIND(" ",TRIM(C111)&amp;" ")-1),",","."),"."),LEFT(SUBSTITUTE(LEFT(TRIM(C111),FIND(" ",TRIM(C111)&amp;" ")-1),",","."),FIND("/",SUBSTITUTE(LEFT(TRIM(C111),FIND(" ",TRIM(C111)&amp;" ")-1),",","."))-1)/MID(SUBSTITUTE(LEFT(TRIM(C111),FIND(" ",TRIM(C111)&amp;" ")-1),",","."),FIND("/",SUBSTITUTE(LEFT(TRIM(C111),FIND(" ",TRIM(C111)&amp;" ")-1),",","."))+1,9))*12,NA()))),0),24)*'Aturan &amp; Tarif'!$B$4,2)</f>
        <v>1362.72</v>
      </c>
      <c r="K111" s="42" t="n">
        <f aca="false">'Aturan &amp; Tarif'!$B$5</f>
        <v>2050</v>
      </c>
      <c r="L111" s="42" t="n">
        <f aca="false">'Aturan &amp; Tarif'!$B$6</f>
        <v>350</v>
      </c>
      <c r="M111" s="35" t="n">
        <f aca="false">I111+J111+K111+L111</f>
        <v>8137.72</v>
      </c>
      <c r="N111" s="45" t="s">
        <v>1564</v>
      </c>
    </row>
    <row r="112" customFormat="false" ht="37.5" hidden="false" customHeight="true" outlineLevel="0" collapsed="false">
      <c r="A112" s="39"/>
      <c r="B112" s="40" t="s">
        <v>1565</v>
      </c>
      <c r="C112" s="41" t="s">
        <v>138</v>
      </c>
      <c r="D112" s="41" t="s">
        <v>108</v>
      </c>
      <c r="E112" s="42" t="n">
        <v>2600</v>
      </c>
      <c r="F112" s="42" t="n">
        <v>1200</v>
      </c>
      <c r="G112" s="42" t="n">
        <v>300</v>
      </c>
      <c r="H112" s="43" t="n">
        <v>1</v>
      </c>
      <c r="I112" s="34" t="n">
        <f aca="false">E112*H112+N(F112)+N(G112)</f>
        <v>4100</v>
      </c>
      <c r="J112" s="42" t="n">
        <f aca="false">ROUND(IFERROR(ROUND(IF(OR(ISNUMBER(SEARCH("week",C112)),ISNUMBER(SEARCH("minggu",C112))),IFERROR(_xlfn.NUMBERVALUE(SUBSTITUTE(LEFT(TRIM(C112),FIND(" ",TRIM(C112)&amp;" ")-1),",","."),"."),LEFT(SUBSTITUTE(LEFT(TRIM(C112),FIND(" ",TRIM(C112)&amp;" ")-1),",","."),FIND("/",SUBSTITUTE(LEFT(TRIM(C112),FIND(" ",TRIM(C112)&amp;" ")-1),",","."))-1)/MID(SUBSTITUTE(LEFT(TRIM(C112),FIND(" ",TRIM(C112)&amp;" ")-1),",","."),FIND("/",SUBSTITUTE(LEFT(TRIM(C112),FIND(" ",TRIM(C112)&amp;" ")-1),",","."))+1,9))*12/52,IF(ISNUMBER(SEARCH("month",C112)),IFERROR(_xlfn.NUMBERVALUE(SUBSTITUTE(LEFT(TRIM(C112),FIND(" ",TRIM(C112)&amp;" ")-1),",","."),"."),LEFT(SUBSTITUTE(LEFT(TRIM(C112),FIND(" ",TRIM(C112)&amp;" ")-1),",","."),FIND("/",SUBSTITUTE(LEFT(TRIM(C112),FIND(" ",TRIM(C112)&amp;" ")-1),",","."))-1)/MID(SUBSTITUTE(LEFT(TRIM(C112),FIND(" ",TRIM(C112)&amp;" ")-1),",","."),FIND("/",SUBSTITUTE(LEFT(TRIM(C112),FIND(" ",TRIM(C112)&amp;" ")-1),",","."))+1,9)),IF(ISNUMBER(SEARCH("yea",C112)),IFERROR(_xlfn.NUMBERVALUE(SUBSTITUTE(LEFT(TRIM(C112),FIND(" ",TRIM(C112)&amp;" ")-1),",","."),"."),LEFT(SUBSTITUTE(LEFT(TRIM(C112),FIND(" ",TRIM(C112)&amp;" ")-1),",","."),FIND("/",SUBSTITUTE(LEFT(TRIM(C112),FIND(" ",TRIM(C112)&amp;" ")-1),",","."))-1)/MID(SUBSTITUTE(LEFT(TRIM(C112),FIND(" ",TRIM(C112)&amp;" ")-1),",","."),FIND("/",SUBSTITUTE(LEFT(TRIM(C112),FIND(" ",TRIM(C112)&amp;" ")-1),",","."))+1,9))*12,NA()))),0),30)*'Aturan &amp; Tarif'!$B$4,2)</f>
        <v>1703.4</v>
      </c>
      <c r="K112" s="42" t="n">
        <f aca="false">'Aturan &amp; Tarif'!$B$5</f>
        <v>2050</v>
      </c>
      <c r="L112" s="42" t="n">
        <f aca="false">'Aturan &amp; Tarif'!$B$6</f>
        <v>350</v>
      </c>
      <c r="M112" s="35" t="n">
        <f aca="false">I112+J112+K112+L112</f>
        <v>8203.4</v>
      </c>
      <c r="N112" s="45" t="s">
        <v>1564</v>
      </c>
    </row>
    <row r="113" customFormat="false" ht="25.5" hidden="false" customHeight="true" outlineLevel="0" collapsed="false">
      <c r="A113" s="39"/>
      <c r="B113" s="40" t="s">
        <v>1569</v>
      </c>
      <c r="C113" s="41" t="s">
        <v>107</v>
      </c>
      <c r="D113" s="41" t="s">
        <v>108</v>
      </c>
      <c r="E113" s="42" t="n">
        <v>1715</v>
      </c>
      <c r="F113" s="42" t="n">
        <v>950</v>
      </c>
      <c r="G113" s="42" t="n">
        <v>300</v>
      </c>
      <c r="H113" s="43" t="n">
        <v>1</v>
      </c>
      <c r="I113" s="34" t="n">
        <f aca="false">E113*H113+N(F113)+N(G113)</f>
        <v>2965</v>
      </c>
      <c r="J113" s="42" t="n">
        <f aca="false">ROUND(IFERROR(ROUND(IF(OR(ISNUMBER(SEARCH("week",C113)),ISNUMBER(SEARCH("minggu",C113))),IFERROR(_xlfn.NUMBERVALUE(SUBSTITUTE(LEFT(TRIM(C113),FIND(" ",TRIM(C113)&amp;" ")-1),",","."),"."),LEFT(SUBSTITUTE(LEFT(TRIM(C113),FIND(" ",TRIM(C113)&amp;" ")-1),",","."),FIND("/",SUBSTITUTE(LEFT(TRIM(C113),FIND(" ",TRIM(C113)&amp;" ")-1),",","."))-1)/MID(SUBSTITUTE(LEFT(TRIM(C113),FIND(" ",TRIM(C113)&amp;" ")-1),",","."),FIND("/",SUBSTITUTE(LEFT(TRIM(C113),FIND(" ",TRIM(C113)&amp;" ")-1),",","."))+1,9))*12/52,IF(ISNUMBER(SEARCH("month",C113)),IFERROR(_xlfn.NUMBERVALUE(SUBSTITUTE(LEFT(TRIM(C113),FIND(" ",TRIM(C113)&amp;" ")-1),",","."),"."),LEFT(SUBSTITUTE(LEFT(TRIM(C113),FIND(" ",TRIM(C113)&amp;" ")-1),",","."),FIND("/",SUBSTITUTE(LEFT(TRIM(C113),FIND(" ",TRIM(C113)&amp;" ")-1),",","."))-1)/MID(SUBSTITUTE(LEFT(TRIM(C113),FIND(" ",TRIM(C113)&amp;" ")-1),",","."),FIND("/",SUBSTITUTE(LEFT(TRIM(C113),FIND(" ",TRIM(C113)&amp;" ")-1),",","."))+1,9)),IF(ISNUMBER(SEARCH("yea",C113)),IFERROR(_xlfn.NUMBERVALUE(SUBSTITUTE(LEFT(TRIM(C113),FIND(" ",TRIM(C113)&amp;" ")-1),",","."),"."),LEFT(SUBSTITUTE(LEFT(TRIM(C113),FIND(" ",TRIM(C113)&amp;" ")-1),",","."),FIND("/",SUBSTITUTE(LEFT(TRIM(C113),FIND(" ",TRIM(C113)&amp;" ")-1),",","."))-1)/MID(SUBSTITUTE(LEFT(TRIM(C113),FIND(" ",TRIM(C113)&amp;" ")-1),",","."),FIND("/",SUBSTITUTE(LEFT(TRIM(C113),FIND(" ",TRIM(C113)&amp;" ")-1),",","."))+1,9))*12,NA()))),0),24)*'Aturan &amp; Tarif'!$B$4,2)</f>
        <v>1362.72</v>
      </c>
      <c r="K113" s="42" t="n">
        <f aca="false">'Aturan &amp; Tarif'!$B$5</f>
        <v>2050</v>
      </c>
      <c r="L113" s="42" t="n">
        <f aca="false">'Aturan &amp; Tarif'!$B$6</f>
        <v>350</v>
      </c>
      <c r="M113" s="35" t="n">
        <f aca="false">I113+J113+K113+L113</f>
        <v>6727.72</v>
      </c>
      <c r="N113" s="45" t="s">
        <v>1564</v>
      </c>
    </row>
    <row r="114" customFormat="false" ht="25.5" hidden="false" customHeight="true" outlineLevel="0" collapsed="false">
      <c r="A114" s="39"/>
      <c r="B114" s="40" t="s">
        <v>1575</v>
      </c>
      <c r="C114" s="41" t="s">
        <v>107</v>
      </c>
      <c r="D114" s="41" t="s">
        <v>108</v>
      </c>
      <c r="E114" s="42" t="n">
        <v>3200</v>
      </c>
      <c r="F114" s="42" t="n">
        <v>1000</v>
      </c>
      <c r="G114" s="42" t="n">
        <v>300</v>
      </c>
      <c r="H114" s="43" t="n">
        <v>1</v>
      </c>
      <c r="I114" s="34" t="n">
        <f aca="false">E114*H114+N(F114)+N(G114)</f>
        <v>4500</v>
      </c>
      <c r="J114" s="42" t="n">
        <f aca="false">ROUND(IFERROR(ROUND(IF(OR(ISNUMBER(SEARCH("week",C114)),ISNUMBER(SEARCH("minggu",C114))),IFERROR(_xlfn.NUMBERVALUE(SUBSTITUTE(LEFT(TRIM(C114),FIND(" ",TRIM(C114)&amp;" ")-1),",","."),"."),LEFT(SUBSTITUTE(LEFT(TRIM(C114),FIND(" ",TRIM(C114)&amp;" ")-1),",","."),FIND("/",SUBSTITUTE(LEFT(TRIM(C114),FIND(" ",TRIM(C114)&amp;" ")-1),",","."))-1)/MID(SUBSTITUTE(LEFT(TRIM(C114),FIND(" ",TRIM(C114)&amp;" ")-1),",","."),FIND("/",SUBSTITUTE(LEFT(TRIM(C114),FIND(" ",TRIM(C114)&amp;" ")-1),",","."))+1,9))*12/52,IF(ISNUMBER(SEARCH("month",C114)),IFERROR(_xlfn.NUMBERVALUE(SUBSTITUTE(LEFT(TRIM(C114),FIND(" ",TRIM(C114)&amp;" ")-1),",","."),"."),LEFT(SUBSTITUTE(LEFT(TRIM(C114),FIND(" ",TRIM(C114)&amp;" ")-1),",","."),FIND("/",SUBSTITUTE(LEFT(TRIM(C114),FIND(" ",TRIM(C114)&amp;" ")-1),",","."))-1)/MID(SUBSTITUTE(LEFT(TRIM(C114),FIND(" ",TRIM(C114)&amp;" ")-1),",","."),FIND("/",SUBSTITUTE(LEFT(TRIM(C114),FIND(" ",TRIM(C114)&amp;" ")-1),",","."))+1,9)),IF(ISNUMBER(SEARCH("yea",C114)),IFERROR(_xlfn.NUMBERVALUE(SUBSTITUTE(LEFT(TRIM(C114),FIND(" ",TRIM(C114)&amp;" ")-1),",","."),"."),LEFT(SUBSTITUTE(LEFT(TRIM(C114),FIND(" ",TRIM(C114)&amp;" ")-1),",","."),FIND("/",SUBSTITUTE(LEFT(TRIM(C114),FIND(" ",TRIM(C114)&amp;" ")-1),",","."))-1)/MID(SUBSTITUTE(LEFT(TRIM(C114),FIND(" ",TRIM(C114)&amp;" ")-1),",","."),FIND("/",SUBSTITUTE(LEFT(TRIM(C114),FIND(" ",TRIM(C114)&amp;" ")-1),",","."))+1,9))*12,NA()))),0),24)*'Aturan &amp; Tarif'!$B$4,2)</f>
        <v>1362.72</v>
      </c>
      <c r="K114" s="42" t="n">
        <f aca="false">'Aturan &amp; Tarif'!$B$5</f>
        <v>2050</v>
      </c>
      <c r="L114" s="42" t="n">
        <f aca="false">'Aturan &amp; Tarif'!$B$6</f>
        <v>350</v>
      </c>
      <c r="M114" s="35" t="n">
        <f aca="false">I114+J114+K114+L114</f>
        <v>8262.72</v>
      </c>
      <c r="N114" s="45" t="s">
        <v>1564</v>
      </c>
    </row>
    <row r="115" customFormat="false" ht="25.5" hidden="false" customHeight="true" outlineLevel="0" collapsed="false">
      <c r="A115" s="39"/>
      <c r="B115" s="40" t="s">
        <v>1170</v>
      </c>
      <c r="C115" s="41" t="s">
        <v>107</v>
      </c>
      <c r="D115" s="41" t="s">
        <v>108</v>
      </c>
      <c r="E115" s="42" t="n">
        <v>1540</v>
      </c>
      <c r="F115" s="42"/>
      <c r="G115" s="42" t="n">
        <v>300</v>
      </c>
      <c r="H115" s="43" t="n">
        <v>1</v>
      </c>
      <c r="I115" s="34" t="n">
        <f aca="false">E115*H115+N(F115)+N(G115)</f>
        <v>1840</v>
      </c>
      <c r="J115" s="42" t="n">
        <f aca="false">ROUND(IFERROR(ROUND(IF(OR(ISNUMBER(SEARCH("week",C115)),ISNUMBER(SEARCH("minggu",C115))),IFERROR(_xlfn.NUMBERVALUE(SUBSTITUTE(LEFT(TRIM(C115),FIND(" ",TRIM(C115)&amp;" ")-1),",","."),"."),LEFT(SUBSTITUTE(LEFT(TRIM(C115),FIND(" ",TRIM(C115)&amp;" ")-1),",","."),FIND("/",SUBSTITUTE(LEFT(TRIM(C115),FIND(" ",TRIM(C115)&amp;" ")-1),",","."))-1)/MID(SUBSTITUTE(LEFT(TRIM(C115),FIND(" ",TRIM(C115)&amp;" ")-1),",","."),FIND("/",SUBSTITUTE(LEFT(TRIM(C115),FIND(" ",TRIM(C115)&amp;" ")-1),",","."))+1,9))*12/52,IF(ISNUMBER(SEARCH("month",C115)),IFERROR(_xlfn.NUMBERVALUE(SUBSTITUTE(LEFT(TRIM(C115),FIND(" ",TRIM(C115)&amp;" ")-1),",","."),"."),LEFT(SUBSTITUTE(LEFT(TRIM(C115),FIND(" ",TRIM(C115)&amp;" ")-1),",","."),FIND("/",SUBSTITUTE(LEFT(TRIM(C115),FIND(" ",TRIM(C115)&amp;" ")-1),",","."))-1)/MID(SUBSTITUTE(LEFT(TRIM(C115),FIND(" ",TRIM(C115)&amp;" ")-1),",","."),FIND("/",SUBSTITUTE(LEFT(TRIM(C115),FIND(" ",TRIM(C115)&amp;" ")-1),",","."))+1,9)),IF(ISNUMBER(SEARCH("yea",C115)),IFERROR(_xlfn.NUMBERVALUE(SUBSTITUTE(LEFT(TRIM(C115),FIND(" ",TRIM(C115)&amp;" ")-1),",","."),"."),LEFT(SUBSTITUTE(LEFT(TRIM(C115),FIND(" ",TRIM(C115)&amp;" ")-1),",","."),FIND("/",SUBSTITUTE(LEFT(TRIM(C115),FIND(" ",TRIM(C115)&amp;" ")-1),",","."))-1)/MID(SUBSTITUTE(LEFT(TRIM(C115),FIND(" ",TRIM(C115)&amp;" ")-1),",","."),FIND("/",SUBSTITUTE(LEFT(TRIM(C115),FIND(" ",TRIM(C115)&amp;" ")-1),",","."))+1,9))*12,NA()))),0),24)*'Aturan &amp; Tarif'!$B$4,2)</f>
        <v>1362.72</v>
      </c>
      <c r="K115" s="42" t="n">
        <f aca="false">'Aturan &amp; Tarif'!$B$5</f>
        <v>2050</v>
      </c>
      <c r="L115" s="42" t="n">
        <f aca="false">'Aturan &amp; Tarif'!$B$6</f>
        <v>350</v>
      </c>
      <c r="M115" s="35" t="n">
        <f aca="false">I115+J115+K115+L115</f>
        <v>5602.72</v>
      </c>
      <c r="N115" s="45" t="s">
        <v>1578</v>
      </c>
    </row>
    <row r="116" customFormat="false" ht="25.5" hidden="false" customHeight="true" outlineLevel="0" collapsed="false">
      <c r="A116" s="39"/>
      <c r="B116" s="40" t="s">
        <v>1897</v>
      </c>
      <c r="C116" s="41" t="s">
        <v>127</v>
      </c>
      <c r="D116" s="41" t="s">
        <v>108</v>
      </c>
      <c r="E116" s="42" t="n">
        <v>2360</v>
      </c>
      <c r="F116" s="42"/>
      <c r="G116" s="42" t="n">
        <v>300</v>
      </c>
      <c r="H116" s="43" t="n">
        <v>1</v>
      </c>
      <c r="I116" s="34" t="n">
        <f aca="false">E116*H116+N(F116)+N(G116)</f>
        <v>2660</v>
      </c>
      <c r="J116" s="42" t="n">
        <f aca="false">ROUND(IFERROR(ROUND(IF(OR(ISNUMBER(SEARCH("week",C116)),ISNUMBER(SEARCH("minggu",C116))),IFERROR(_xlfn.NUMBERVALUE(SUBSTITUTE(LEFT(TRIM(C116),FIND(" ",TRIM(C116)&amp;" ")-1),",","."),"."),LEFT(SUBSTITUTE(LEFT(TRIM(C116),FIND(" ",TRIM(C116)&amp;" ")-1),",","."),FIND("/",SUBSTITUTE(LEFT(TRIM(C116),FIND(" ",TRIM(C116)&amp;" ")-1),",","."))-1)/MID(SUBSTITUTE(LEFT(TRIM(C116),FIND(" ",TRIM(C116)&amp;" ")-1),",","."),FIND("/",SUBSTITUTE(LEFT(TRIM(C116),FIND(" ",TRIM(C116)&amp;" ")-1),",","."))+1,9))*12/52,IF(ISNUMBER(SEARCH("month",C116)),IFERROR(_xlfn.NUMBERVALUE(SUBSTITUTE(LEFT(TRIM(C116),FIND(" ",TRIM(C116)&amp;" ")-1),",","."),"."),LEFT(SUBSTITUTE(LEFT(TRIM(C116),FIND(" ",TRIM(C116)&amp;" ")-1),",","."),FIND("/",SUBSTITUTE(LEFT(TRIM(C116),FIND(" ",TRIM(C116)&amp;" ")-1),",","."))-1)/MID(SUBSTITUTE(LEFT(TRIM(C116),FIND(" ",TRIM(C116)&amp;" ")-1),",","."),FIND("/",SUBSTITUTE(LEFT(TRIM(C116),FIND(" ",TRIM(C116)&amp;" ")-1),",","."))+1,9)),IF(ISNUMBER(SEARCH("yea",C116)),IFERROR(_xlfn.NUMBERVALUE(SUBSTITUTE(LEFT(TRIM(C116),FIND(" ",TRIM(C116)&amp;" ")-1),",","."),"."),LEFT(SUBSTITUTE(LEFT(TRIM(C116),FIND(" ",TRIM(C116)&amp;" ")-1),",","."),FIND("/",SUBSTITUTE(LEFT(TRIM(C116),FIND(" ",TRIM(C116)&amp;" ")-1),",","."))-1)/MID(SUBSTITUTE(LEFT(TRIM(C116),FIND(" ",TRIM(C116)&amp;" ")-1),",","."),FIND("/",SUBSTITUTE(LEFT(TRIM(C116),FIND(" ",TRIM(C116)&amp;" ")-1),",","."))+1,9))*12,NA()))),0),36)*'Aturan &amp; Tarif'!$B$4,2)</f>
        <v>2044.08</v>
      </c>
      <c r="K116" s="42" t="n">
        <f aca="false">'Aturan &amp; Tarif'!$B$5</f>
        <v>2050</v>
      </c>
      <c r="L116" s="42" t="n">
        <f aca="false">'Aturan &amp; Tarif'!$B$6</f>
        <v>350</v>
      </c>
      <c r="M116" s="35" t="n">
        <f aca="false">I116+J116+K116+L116</f>
        <v>7104.08</v>
      </c>
      <c r="N116" s="45" t="s">
        <v>1578</v>
      </c>
    </row>
    <row r="117" customFormat="false" ht="14.25" hidden="false" customHeight="true" outlineLevel="0" collapsed="false">
      <c r="A117" s="39" t="s">
        <v>1898</v>
      </c>
      <c r="B117" s="40" t="s">
        <v>471</v>
      </c>
      <c r="C117" s="41" t="s">
        <v>107</v>
      </c>
      <c r="D117" s="41" t="s">
        <v>108</v>
      </c>
      <c r="E117" s="42" t="n">
        <v>2500</v>
      </c>
      <c r="F117" s="42" t="n">
        <v>375</v>
      </c>
      <c r="G117" s="42" t="n">
        <v>200</v>
      </c>
      <c r="H117" s="43" t="n">
        <v>1</v>
      </c>
      <c r="I117" s="34" t="n">
        <f aca="false">E117*H117+N(F117)+N(G117)</f>
        <v>3075</v>
      </c>
      <c r="J117" s="42" t="n">
        <f aca="false">ROUND(IFERROR(ROUND(IF(OR(ISNUMBER(SEARCH("week",C117)),ISNUMBER(SEARCH("minggu",C117))),IFERROR(_xlfn.NUMBERVALUE(SUBSTITUTE(LEFT(TRIM(C117),FIND(" ",TRIM(C117)&amp;" ")-1),",","."),"."),LEFT(SUBSTITUTE(LEFT(TRIM(C117),FIND(" ",TRIM(C117)&amp;" ")-1),",","."),FIND("/",SUBSTITUTE(LEFT(TRIM(C117),FIND(" ",TRIM(C117)&amp;" ")-1),",","."))-1)/MID(SUBSTITUTE(LEFT(TRIM(C117),FIND(" ",TRIM(C117)&amp;" ")-1),",","."),FIND("/",SUBSTITUTE(LEFT(TRIM(C117),FIND(" ",TRIM(C117)&amp;" ")-1),",","."))+1,9))*12/52,IF(ISNUMBER(SEARCH("month",C117)),IFERROR(_xlfn.NUMBERVALUE(SUBSTITUTE(LEFT(TRIM(C117),FIND(" ",TRIM(C117)&amp;" ")-1),",","."),"."),LEFT(SUBSTITUTE(LEFT(TRIM(C117),FIND(" ",TRIM(C117)&amp;" ")-1),",","."),FIND("/",SUBSTITUTE(LEFT(TRIM(C117),FIND(" ",TRIM(C117)&amp;" ")-1),",","."))-1)/MID(SUBSTITUTE(LEFT(TRIM(C117),FIND(" ",TRIM(C117)&amp;" ")-1),",","."),FIND("/",SUBSTITUTE(LEFT(TRIM(C117),FIND(" ",TRIM(C117)&amp;" ")-1),",","."))+1,9)),IF(ISNUMBER(SEARCH("yea",C117)),IFERROR(_xlfn.NUMBERVALUE(SUBSTITUTE(LEFT(TRIM(C117),FIND(" ",TRIM(C117)&amp;" ")-1),",","."),"."),LEFT(SUBSTITUTE(LEFT(TRIM(C117),FIND(" ",TRIM(C117)&amp;" ")-1),",","."),FIND("/",SUBSTITUTE(LEFT(TRIM(C117),FIND(" ",TRIM(C117)&amp;" ")-1),",","."))-1)/MID(SUBSTITUTE(LEFT(TRIM(C117),FIND(" ",TRIM(C117)&amp;" ")-1),",","."),FIND("/",SUBSTITUTE(LEFT(TRIM(C117),FIND(" ",TRIM(C117)&amp;" ")-1),",","."))+1,9))*12,NA()))),0),24)*'Aturan &amp; Tarif'!$B$4,2)</f>
        <v>1362.72</v>
      </c>
      <c r="K117" s="42" t="n">
        <f aca="false">'Aturan &amp; Tarif'!$B$5</f>
        <v>2050</v>
      </c>
      <c r="L117" s="42" t="n">
        <f aca="false">'Aturan &amp; Tarif'!$B$6</f>
        <v>350</v>
      </c>
      <c r="M117" s="35" t="n">
        <f aca="false">I117+J117+K117+L117</f>
        <v>6837.72</v>
      </c>
      <c r="N117" s="45" t="s">
        <v>134</v>
      </c>
    </row>
    <row r="118" customFormat="false" ht="25.5" hidden="false" customHeight="true" outlineLevel="0" collapsed="false">
      <c r="A118" s="39"/>
      <c r="B118" s="40" t="s">
        <v>1899</v>
      </c>
      <c r="C118" s="41" t="s">
        <v>130</v>
      </c>
      <c r="D118" s="41" t="s">
        <v>108</v>
      </c>
      <c r="E118" s="42" t="n">
        <v>2500</v>
      </c>
      <c r="F118" s="42" t="n">
        <v>250</v>
      </c>
      <c r="G118" s="42" t="n">
        <v>200</v>
      </c>
      <c r="H118" s="43" t="n">
        <v>1</v>
      </c>
      <c r="I118" s="34" t="n">
        <f aca="false">E118*H118+N(F118)+N(G118)</f>
        <v>2950</v>
      </c>
      <c r="J118" s="42" t="n">
        <f aca="false">ROUND(IFERROR(ROUND(IF(OR(ISNUMBER(SEARCH("week",C118)),ISNUMBER(SEARCH("minggu",C118))),IFERROR(_xlfn.NUMBERVALUE(SUBSTITUTE(LEFT(TRIM(C118),FIND(" ",TRIM(C118)&amp;" ")-1),",","."),"."),LEFT(SUBSTITUTE(LEFT(TRIM(C118),FIND(" ",TRIM(C118)&amp;" ")-1),",","."),FIND("/",SUBSTITUTE(LEFT(TRIM(C118),FIND(" ",TRIM(C118)&amp;" ")-1),",","."))-1)/MID(SUBSTITUTE(LEFT(TRIM(C118),FIND(" ",TRIM(C118)&amp;" ")-1),",","."),FIND("/",SUBSTITUTE(LEFT(TRIM(C118),FIND(" ",TRIM(C118)&amp;" ")-1),",","."))+1,9))*12/52,IF(ISNUMBER(SEARCH("month",C118)),IFERROR(_xlfn.NUMBERVALUE(SUBSTITUTE(LEFT(TRIM(C118),FIND(" ",TRIM(C118)&amp;" ")-1),",","."),"."),LEFT(SUBSTITUTE(LEFT(TRIM(C118),FIND(" ",TRIM(C118)&amp;" ")-1),",","."),FIND("/",SUBSTITUTE(LEFT(TRIM(C118),FIND(" ",TRIM(C118)&amp;" ")-1),",","."))-1)/MID(SUBSTITUTE(LEFT(TRIM(C118),FIND(" ",TRIM(C118)&amp;" ")-1),",","."),FIND("/",SUBSTITUTE(LEFT(TRIM(C118),FIND(" ",TRIM(C118)&amp;" ")-1),",","."))+1,9)),IF(ISNUMBER(SEARCH("yea",C118)),IFERROR(_xlfn.NUMBERVALUE(SUBSTITUTE(LEFT(TRIM(C118),FIND(" ",TRIM(C118)&amp;" ")-1),",","."),"."),LEFT(SUBSTITUTE(LEFT(TRIM(C118),FIND(" ",TRIM(C118)&amp;" ")-1),",","."),FIND("/",SUBSTITUTE(LEFT(TRIM(C118),FIND(" ",TRIM(C118)&amp;" ")-1),",","."))-1)/MID(SUBSTITUTE(LEFT(TRIM(C118),FIND(" ",TRIM(C118)&amp;" ")-1),",","."),FIND("/",SUBSTITUTE(LEFT(TRIM(C118),FIND(" ",TRIM(C118)&amp;" ")-1),",","."))+1,9))*12,NA()))),0),12)*'Aturan &amp; Tarif'!$B$4,2)</f>
        <v>681.36</v>
      </c>
      <c r="K118" s="42" t="n">
        <f aca="false">'Aturan &amp; Tarif'!$B$5</f>
        <v>2050</v>
      </c>
      <c r="L118" s="42" t="n">
        <f aca="false">'Aturan &amp; Tarif'!$B$6</f>
        <v>350</v>
      </c>
      <c r="M118" s="35" t="n">
        <f aca="false">I118+J118+K118+L118</f>
        <v>6031.36</v>
      </c>
      <c r="N118" s="45" t="s">
        <v>134</v>
      </c>
    </row>
    <row r="119" customFormat="false" ht="25.5" hidden="false" customHeight="true" outlineLevel="0" collapsed="false">
      <c r="A119" s="39"/>
      <c r="B119" s="40" t="s">
        <v>1900</v>
      </c>
      <c r="C119" s="41" t="s">
        <v>130</v>
      </c>
      <c r="D119" s="41" t="s">
        <v>108</v>
      </c>
      <c r="E119" s="42" t="n">
        <v>2500</v>
      </c>
      <c r="F119" s="42" t="n">
        <v>250</v>
      </c>
      <c r="G119" s="42" t="n">
        <v>200</v>
      </c>
      <c r="H119" s="43" t="n">
        <v>1</v>
      </c>
      <c r="I119" s="34" t="n">
        <f aca="false">E119*H119+N(F119)+N(G119)</f>
        <v>2950</v>
      </c>
      <c r="J119" s="42" t="n">
        <f aca="false">ROUND(IFERROR(ROUND(IF(OR(ISNUMBER(SEARCH("week",C119)),ISNUMBER(SEARCH("minggu",C119))),IFERROR(_xlfn.NUMBERVALUE(SUBSTITUTE(LEFT(TRIM(C119),FIND(" ",TRIM(C119)&amp;" ")-1),",","."),"."),LEFT(SUBSTITUTE(LEFT(TRIM(C119),FIND(" ",TRIM(C119)&amp;" ")-1),",","."),FIND("/",SUBSTITUTE(LEFT(TRIM(C119),FIND(" ",TRIM(C119)&amp;" ")-1),",","."))-1)/MID(SUBSTITUTE(LEFT(TRIM(C119),FIND(" ",TRIM(C119)&amp;" ")-1),",","."),FIND("/",SUBSTITUTE(LEFT(TRIM(C119),FIND(" ",TRIM(C119)&amp;" ")-1),",","."))+1,9))*12/52,IF(ISNUMBER(SEARCH("month",C119)),IFERROR(_xlfn.NUMBERVALUE(SUBSTITUTE(LEFT(TRIM(C119),FIND(" ",TRIM(C119)&amp;" ")-1),",","."),"."),LEFT(SUBSTITUTE(LEFT(TRIM(C119),FIND(" ",TRIM(C119)&amp;" ")-1),",","."),FIND("/",SUBSTITUTE(LEFT(TRIM(C119),FIND(" ",TRIM(C119)&amp;" ")-1),",","."))-1)/MID(SUBSTITUTE(LEFT(TRIM(C119),FIND(" ",TRIM(C119)&amp;" ")-1),",","."),FIND("/",SUBSTITUTE(LEFT(TRIM(C119),FIND(" ",TRIM(C119)&amp;" ")-1),",","."))+1,9)),IF(ISNUMBER(SEARCH("yea",C119)),IFERROR(_xlfn.NUMBERVALUE(SUBSTITUTE(LEFT(TRIM(C119),FIND(" ",TRIM(C119)&amp;" ")-1),",","."),"."),LEFT(SUBSTITUTE(LEFT(TRIM(C119),FIND(" ",TRIM(C119)&amp;" ")-1),",","."),FIND("/",SUBSTITUTE(LEFT(TRIM(C119),FIND(" ",TRIM(C119)&amp;" ")-1),",","."))-1)/MID(SUBSTITUTE(LEFT(TRIM(C119),FIND(" ",TRIM(C119)&amp;" ")-1),",","."),FIND("/",SUBSTITUTE(LEFT(TRIM(C119),FIND(" ",TRIM(C119)&amp;" ")-1),",","."))+1,9))*12,NA()))),0),12)*'Aturan &amp; Tarif'!$B$4,2)</f>
        <v>681.36</v>
      </c>
      <c r="K119" s="42" t="n">
        <f aca="false">'Aturan &amp; Tarif'!$B$5</f>
        <v>2050</v>
      </c>
      <c r="L119" s="42" t="n">
        <f aca="false">'Aturan &amp; Tarif'!$B$6</f>
        <v>350</v>
      </c>
      <c r="M119" s="35" t="n">
        <f aca="false">I119+J119+K119+L119</f>
        <v>6031.36</v>
      </c>
      <c r="N119" s="45" t="s">
        <v>134</v>
      </c>
    </row>
    <row r="120" customFormat="false" ht="14.25" hidden="false" customHeight="true" outlineLevel="0" collapsed="false">
      <c r="A120" s="39"/>
      <c r="B120" s="40" t="s">
        <v>1901</v>
      </c>
      <c r="C120" s="41" t="s">
        <v>107</v>
      </c>
      <c r="D120" s="41" t="s">
        <v>108</v>
      </c>
      <c r="E120" s="42" t="n">
        <v>2250</v>
      </c>
      <c r="F120" s="42" t="n">
        <v>500</v>
      </c>
      <c r="G120" s="42" t="n">
        <v>200</v>
      </c>
      <c r="H120" s="43" t="n">
        <v>1</v>
      </c>
      <c r="I120" s="34" t="n">
        <f aca="false">E120*H120+N(F120)+N(G120)</f>
        <v>2950</v>
      </c>
      <c r="J120" s="42" t="n">
        <f aca="false">ROUND(IFERROR(ROUND(IF(OR(ISNUMBER(SEARCH("week",C120)),ISNUMBER(SEARCH("minggu",C120))),IFERROR(_xlfn.NUMBERVALUE(SUBSTITUTE(LEFT(TRIM(C120),FIND(" ",TRIM(C120)&amp;" ")-1),",","."),"."),LEFT(SUBSTITUTE(LEFT(TRIM(C120),FIND(" ",TRIM(C120)&amp;" ")-1),",","."),FIND("/",SUBSTITUTE(LEFT(TRIM(C120),FIND(" ",TRIM(C120)&amp;" ")-1),",","."))-1)/MID(SUBSTITUTE(LEFT(TRIM(C120),FIND(" ",TRIM(C120)&amp;" ")-1),",","."),FIND("/",SUBSTITUTE(LEFT(TRIM(C120),FIND(" ",TRIM(C120)&amp;" ")-1),",","."))+1,9))*12/52,IF(ISNUMBER(SEARCH("month",C120)),IFERROR(_xlfn.NUMBERVALUE(SUBSTITUTE(LEFT(TRIM(C120),FIND(" ",TRIM(C120)&amp;" ")-1),",","."),"."),LEFT(SUBSTITUTE(LEFT(TRIM(C120),FIND(" ",TRIM(C120)&amp;" ")-1),",","."),FIND("/",SUBSTITUTE(LEFT(TRIM(C120),FIND(" ",TRIM(C120)&amp;" ")-1),",","."))-1)/MID(SUBSTITUTE(LEFT(TRIM(C120),FIND(" ",TRIM(C120)&amp;" ")-1),",","."),FIND("/",SUBSTITUTE(LEFT(TRIM(C120),FIND(" ",TRIM(C120)&amp;" ")-1),",","."))+1,9)),IF(ISNUMBER(SEARCH("yea",C120)),IFERROR(_xlfn.NUMBERVALUE(SUBSTITUTE(LEFT(TRIM(C120),FIND(" ",TRIM(C120)&amp;" ")-1),",","."),"."),LEFT(SUBSTITUTE(LEFT(TRIM(C120),FIND(" ",TRIM(C120)&amp;" ")-1),",","."),FIND("/",SUBSTITUTE(LEFT(TRIM(C120),FIND(" ",TRIM(C120)&amp;" ")-1),",","."))-1)/MID(SUBSTITUTE(LEFT(TRIM(C120),FIND(" ",TRIM(C120)&amp;" ")-1),",","."),FIND("/",SUBSTITUTE(LEFT(TRIM(C120),FIND(" ",TRIM(C120)&amp;" ")-1),",","."))+1,9))*12,NA()))),0),24)*'Aturan &amp; Tarif'!$B$4,2)</f>
        <v>1362.72</v>
      </c>
      <c r="K120" s="42" t="n">
        <f aca="false">'Aturan &amp; Tarif'!$B$5</f>
        <v>2050</v>
      </c>
      <c r="L120" s="42" t="n">
        <f aca="false">'Aturan &amp; Tarif'!$B$6</f>
        <v>350</v>
      </c>
      <c r="M120" s="35" t="n">
        <f aca="false">I120+J120+K120+L120</f>
        <v>6712.72</v>
      </c>
      <c r="N120" s="45" t="s">
        <v>134</v>
      </c>
    </row>
    <row r="121" customFormat="false" ht="25.5" hidden="false" customHeight="true" outlineLevel="0" collapsed="false">
      <c r="A121" s="39"/>
      <c r="B121" s="40" t="s">
        <v>1902</v>
      </c>
      <c r="C121" s="41" t="s">
        <v>127</v>
      </c>
      <c r="D121" s="41" t="s">
        <v>108</v>
      </c>
      <c r="E121" s="42" t="n">
        <v>2500</v>
      </c>
      <c r="F121" s="42" t="n">
        <v>375</v>
      </c>
      <c r="G121" s="42" t="n">
        <v>200</v>
      </c>
      <c r="H121" s="43" t="n">
        <v>1</v>
      </c>
      <c r="I121" s="34" t="n">
        <f aca="false">E121*H121+N(F121)+N(G121)</f>
        <v>3075</v>
      </c>
      <c r="J121" s="42" t="n">
        <f aca="false">ROUND(IFERROR(ROUND(IF(OR(ISNUMBER(SEARCH("week",C121)),ISNUMBER(SEARCH("minggu",C121))),IFERROR(_xlfn.NUMBERVALUE(SUBSTITUTE(LEFT(TRIM(C121),FIND(" ",TRIM(C121)&amp;" ")-1),",","."),"."),LEFT(SUBSTITUTE(LEFT(TRIM(C121),FIND(" ",TRIM(C121)&amp;" ")-1),",","."),FIND("/",SUBSTITUTE(LEFT(TRIM(C121),FIND(" ",TRIM(C121)&amp;" ")-1),",","."))-1)/MID(SUBSTITUTE(LEFT(TRIM(C121),FIND(" ",TRIM(C121)&amp;" ")-1),",","."),FIND("/",SUBSTITUTE(LEFT(TRIM(C121),FIND(" ",TRIM(C121)&amp;" ")-1),",","."))+1,9))*12/52,IF(ISNUMBER(SEARCH("month",C121)),IFERROR(_xlfn.NUMBERVALUE(SUBSTITUTE(LEFT(TRIM(C121),FIND(" ",TRIM(C121)&amp;" ")-1),",","."),"."),LEFT(SUBSTITUTE(LEFT(TRIM(C121),FIND(" ",TRIM(C121)&amp;" ")-1),",","."),FIND("/",SUBSTITUTE(LEFT(TRIM(C121),FIND(" ",TRIM(C121)&amp;" ")-1),",","."))-1)/MID(SUBSTITUTE(LEFT(TRIM(C121),FIND(" ",TRIM(C121)&amp;" ")-1),",","."),FIND("/",SUBSTITUTE(LEFT(TRIM(C121),FIND(" ",TRIM(C121)&amp;" ")-1),",","."))+1,9)),IF(ISNUMBER(SEARCH("yea",C121)),IFERROR(_xlfn.NUMBERVALUE(SUBSTITUTE(LEFT(TRIM(C121),FIND(" ",TRIM(C121)&amp;" ")-1),",","."),"."),LEFT(SUBSTITUTE(LEFT(TRIM(C121),FIND(" ",TRIM(C121)&amp;" ")-1),",","."),FIND("/",SUBSTITUTE(LEFT(TRIM(C121),FIND(" ",TRIM(C121)&amp;" ")-1),",","."))-1)/MID(SUBSTITUTE(LEFT(TRIM(C121),FIND(" ",TRIM(C121)&amp;" ")-1),",","."),FIND("/",SUBSTITUTE(LEFT(TRIM(C121),FIND(" ",TRIM(C121)&amp;" ")-1),",","."))+1,9))*12,NA()))),0),36)*'Aturan &amp; Tarif'!$B$4,2)</f>
        <v>2044.08</v>
      </c>
      <c r="K121" s="42" t="n">
        <f aca="false">'Aturan &amp; Tarif'!$B$5</f>
        <v>2050</v>
      </c>
      <c r="L121" s="42" t="n">
        <f aca="false">'Aturan &amp; Tarif'!$B$6</f>
        <v>350</v>
      </c>
      <c r="M121" s="35" t="n">
        <f aca="false">I121+J121+K121+L121</f>
        <v>7519.08</v>
      </c>
      <c r="N121" s="45" t="s">
        <v>134</v>
      </c>
    </row>
    <row r="122" customFormat="false" ht="25.5" hidden="false" customHeight="true" outlineLevel="0" collapsed="false">
      <c r="A122" s="39"/>
      <c r="B122" s="40" t="s">
        <v>143</v>
      </c>
      <c r="C122" s="41" t="s">
        <v>127</v>
      </c>
      <c r="D122" s="41" t="s">
        <v>108</v>
      </c>
      <c r="E122" s="42" t="n">
        <v>2500</v>
      </c>
      <c r="F122" s="42" t="n">
        <v>375</v>
      </c>
      <c r="G122" s="42" t="n">
        <v>200</v>
      </c>
      <c r="H122" s="43" t="n">
        <v>1</v>
      </c>
      <c r="I122" s="34" t="n">
        <f aca="false">E122*H122+N(F122)+N(G122)</f>
        <v>3075</v>
      </c>
      <c r="J122" s="42" t="n">
        <f aca="false">ROUND(IFERROR(ROUND(IF(OR(ISNUMBER(SEARCH("week",C122)),ISNUMBER(SEARCH("minggu",C122))),IFERROR(_xlfn.NUMBERVALUE(SUBSTITUTE(LEFT(TRIM(C122),FIND(" ",TRIM(C122)&amp;" ")-1),",","."),"."),LEFT(SUBSTITUTE(LEFT(TRIM(C122),FIND(" ",TRIM(C122)&amp;" ")-1),",","."),FIND("/",SUBSTITUTE(LEFT(TRIM(C122),FIND(" ",TRIM(C122)&amp;" ")-1),",","."))-1)/MID(SUBSTITUTE(LEFT(TRIM(C122),FIND(" ",TRIM(C122)&amp;" ")-1),",","."),FIND("/",SUBSTITUTE(LEFT(TRIM(C122),FIND(" ",TRIM(C122)&amp;" ")-1),",","."))+1,9))*12/52,IF(ISNUMBER(SEARCH("month",C122)),IFERROR(_xlfn.NUMBERVALUE(SUBSTITUTE(LEFT(TRIM(C122),FIND(" ",TRIM(C122)&amp;" ")-1),",","."),"."),LEFT(SUBSTITUTE(LEFT(TRIM(C122),FIND(" ",TRIM(C122)&amp;" ")-1),",","."),FIND("/",SUBSTITUTE(LEFT(TRIM(C122),FIND(" ",TRIM(C122)&amp;" ")-1),",","."))-1)/MID(SUBSTITUTE(LEFT(TRIM(C122),FIND(" ",TRIM(C122)&amp;" ")-1),",","."),FIND("/",SUBSTITUTE(LEFT(TRIM(C122),FIND(" ",TRIM(C122)&amp;" ")-1),",","."))+1,9)),IF(ISNUMBER(SEARCH("yea",C122)),IFERROR(_xlfn.NUMBERVALUE(SUBSTITUTE(LEFT(TRIM(C122),FIND(" ",TRIM(C122)&amp;" ")-1),",","."),"."),LEFT(SUBSTITUTE(LEFT(TRIM(C122),FIND(" ",TRIM(C122)&amp;" ")-1),",","."),FIND("/",SUBSTITUTE(LEFT(TRIM(C122),FIND(" ",TRIM(C122)&amp;" ")-1),",","."))-1)/MID(SUBSTITUTE(LEFT(TRIM(C122),FIND(" ",TRIM(C122)&amp;" ")-1),",","."),FIND("/",SUBSTITUTE(LEFT(TRIM(C122),FIND(" ",TRIM(C122)&amp;" ")-1),",","."))+1,9))*12,NA()))),0),36)*'Aturan &amp; Tarif'!$B$4,2)</f>
        <v>2044.08</v>
      </c>
      <c r="K122" s="42" t="n">
        <f aca="false">'Aturan &amp; Tarif'!$B$5</f>
        <v>2050</v>
      </c>
      <c r="L122" s="42" t="n">
        <f aca="false">'Aturan &amp; Tarif'!$B$6</f>
        <v>350</v>
      </c>
      <c r="M122" s="35" t="n">
        <f aca="false">I122+J122+K122+L122</f>
        <v>7519.08</v>
      </c>
      <c r="N122" s="45" t="s">
        <v>134</v>
      </c>
    </row>
    <row r="123" customFormat="false" ht="37.5" hidden="false" customHeight="true" outlineLevel="0" collapsed="false">
      <c r="A123" s="39" t="s">
        <v>1903</v>
      </c>
      <c r="B123" s="40" t="s">
        <v>652</v>
      </c>
      <c r="C123" s="41" t="s">
        <v>107</v>
      </c>
      <c r="D123" s="41" t="s">
        <v>108</v>
      </c>
      <c r="E123" s="42" t="n">
        <v>2875</v>
      </c>
      <c r="F123" s="42" t="n">
        <v>600</v>
      </c>
      <c r="G123" s="42" t="n">
        <v>250</v>
      </c>
      <c r="H123" s="43" t="n">
        <v>1</v>
      </c>
      <c r="I123" s="34" t="n">
        <f aca="false">E123*H123+N(F123)+N(G123)</f>
        <v>3725</v>
      </c>
      <c r="J123" s="42" t="n">
        <f aca="false">ROUND(IFERROR(ROUND(IF(OR(ISNUMBER(SEARCH("week",C123)),ISNUMBER(SEARCH("minggu",C123))),IFERROR(_xlfn.NUMBERVALUE(SUBSTITUTE(LEFT(TRIM(C123),FIND(" ",TRIM(C123)&amp;" ")-1),",","."),"."),LEFT(SUBSTITUTE(LEFT(TRIM(C123),FIND(" ",TRIM(C123)&amp;" ")-1),",","."),FIND("/",SUBSTITUTE(LEFT(TRIM(C123),FIND(" ",TRIM(C123)&amp;" ")-1),",","."))-1)/MID(SUBSTITUTE(LEFT(TRIM(C123),FIND(" ",TRIM(C123)&amp;" ")-1),",","."),FIND("/",SUBSTITUTE(LEFT(TRIM(C123),FIND(" ",TRIM(C123)&amp;" ")-1),",","."))+1,9))*12/52,IF(ISNUMBER(SEARCH("month",C123)),IFERROR(_xlfn.NUMBERVALUE(SUBSTITUTE(LEFT(TRIM(C123),FIND(" ",TRIM(C123)&amp;" ")-1),",","."),"."),LEFT(SUBSTITUTE(LEFT(TRIM(C123),FIND(" ",TRIM(C123)&amp;" ")-1),",","."),FIND("/",SUBSTITUTE(LEFT(TRIM(C123),FIND(" ",TRIM(C123)&amp;" ")-1),",","."))-1)/MID(SUBSTITUTE(LEFT(TRIM(C123),FIND(" ",TRIM(C123)&amp;" ")-1),",","."),FIND("/",SUBSTITUTE(LEFT(TRIM(C123),FIND(" ",TRIM(C123)&amp;" ")-1),",","."))+1,9)),IF(ISNUMBER(SEARCH("yea",C123)),IFERROR(_xlfn.NUMBERVALUE(SUBSTITUTE(LEFT(TRIM(C123),FIND(" ",TRIM(C123)&amp;" ")-1),",","."),"."),LEFT(SUBSTITUTE(LEFT(TRIM(C123),FIND(" ",TRIM(C123)&amp;" ")-1),",","."),FIND("/",SUBSTITUTE(LEFT(TRIM(C123),FIND(" ",TRIM(C123)&amp;" ")-1),",","."))-1)/MID(SUBSTITUTE(LEFT(TRIM(C123),FIND(" ",TRIM(C123)&amp;" ")-1),",","."),FIND("/",SUBSTITUTE(LEFT(TRIM(C123),FIND(" ",TRIM(C123)&amp;" ")-1),",","."))+1,9))*12,NA()))),0),24)*'Aturan &amp; Tarif'!$B$4,2)</f>
        <v>1362.72</v>
      </c>
      <c r="K123" s="42" t="n">
        <f aca="false">'Aturan &amp; Tarif'!$B$5</f>
        <v>2050</v>
      </c>
      <c r="L123" s="42" t="n">
        <f aca="false">'Aturan &amp; Tarif'!$B$6</f>
        <v>350</v>
      </c>
      <c r="M123" s="35" t="n">
        <f aca="false">I123+J123+K123+L123</f>
        <v>7487.72</v>
      </c>
      <c r="N123" s="45" t="s">
        <v>653</v>
      </c>
    </row>
    <row r="124" customFormat="false" ht="25.5" hidden="false" customHeight="true" outlineLevel="0" collapsed="false">
      <c r="A124" s="39"/>
      <c r="B124" s="40" t="s">
        <v>654</v>
      </c>
      <c r="C124" s="41" t="s">
        <v>107</v>
      </c>
      <c r="D124" s="41" t="s">
        <v>108</v>
      </c>
      <c r="E124" s="42" t="n">
        <v>2875</v>
      </c>
      <c r="F124" s="42" t="n">
        <v>600</v>
      </c>
      <c r="G124" s="42" t="n">
        <v>250</v>
      </c>
      <c r="H124" s="43" t="n">
        <v>1</v>
      </c>
      <c r="I124" s="34" t="n">
        <f aca="false">E124*H124+N(F124)+N(G124)</f>
        <v>3725</v>
      </c>
      <c r="J124" s="42" t="n">
        <f aca="false">ROUND(IFERROR(ROUND(IF(OR(ISNUMBER(SEARCH("week",C124)),ISNUMBER(SEARCH("minggu",C124))),IFERROR(_xlfn.NUMBERVALUE(SUBSTITUTE(LEFT(TRIM(C124),FIND(" ",TRIM(C124)&amp;" ")-1),",","."),"."),LEFT(SUBSTITUTE(LEFT(TRIM(C124),FIND(" ",TRIM(C124)&amp;" ")-1),",","."),FIND("/",SUBSTITUTE(LEFT(TRIM(C124),FIND(" ",TRIM(C124)&amp;" ")-1),",","."))-1)/MID(SUBSTITUTE(LEFT(TRIM(C124),FIND(" ",TRIM(C124)&amp;" ")-1),",","."),FIND("/",SUBSTITUTE(LEFT(TRIM(C124),FIND(" ",TRIM(C124)&amp;" ")-1),",","."))+1,9))*12/52,IF(ISNUMBER(SEARCH("month",C124)),IFERROR(_xlfn.NUMBERVALUE(SUBSTITUTE(LEFT(TRIM(C124),FIND(" ",TRIM(C124)&amp;" ")-1),",","."),"."),LEFT(SUBSTITUTE(LEFT(TRIM(C124),FIND(" ",TRIM(C124)&amp;" ")-1),",","."),FIND("/",SUBSTITUTE(LEFT(TRIM(C124),FIND(" ",TRIM(C124)&amp;" ")-1),",","."))-1)/MID(SUBSTITUTE(LEFT(TRIM(C124),FIND(" ",TRIM(C124)&amp;" ")-1),",","."),FIND("/",SUBSTITUTE(LEFT(TRIM(C124),FIND(" ",TRIM(C124)&amp;" ")-1),",","."))+1,9)),IF(ISNUMBER(SEARCH("yea",C124)),IFERROR(_xlfn.NUMBERVALUE(SUBSTITUTE(LEFT(TRIM(C124),FIND(" ",TRIM(C124)&amp;" ")-1),",","."),"."),LEFT(SUBSTITUTE(LEFT(TRIM(C124),FIND(" ",TRIM(C124)&amp;" ")-1),",","."),FIND("/",SUBSTITUTE(LEFT(TRIM(C124),FIND(" ",TRIM(C124)&amp;" ")-1),",","."))-1)/MID(SUBSTITUTE(LEFT(TRIM(C124),FIND(" ",TRIM(C124)&amp;" ")-1),",","."),FIND("/",SUBSTITUTE(LEFT(TRIM(C124),FIND(" ",TRIM(C124)&amp;" ")-1),",","."))+1,9))*12,NA()))),0),24)*'Aturan &amp; Tarif'!$B$4,2)</f>
        <v>1362.72</v>
      </c>
      <c r="K124" s="42" t="n">
        <f aca="false">'Aturan &amp; Tarif'!$B$5</f>
        <v>2050</v>
      </c>
      <c r="L124" s="42" t="n">
        <f aca="false">'Aturan &amp; Tarif'!$B$6</f>
        <v>350</v>
      </c>
      <c r="M124" s="35" t="n">
        <f aca="false">I124+J124+K124+L124</f>
        <v>7487.72</v>
      </c>
      <c r="N124" s="45" t="s">
        <v>653</v>
      </c>
    </row>
    <row r="125" customFormat="false" ht="25.5" hidden="false" customHeight="true" outlineLevel="0" collapsed="false">
      <c r="A125" s="39"/>
      <c r="B125" s="40" t="s">
        <v>1904</v>
      </c>
      <c r="C125" s="41" t="s">
        <v>127</v>
      </c>
      <c r="D125" s="41" t="s">
        <v>108</v>
      </c>
      <c r="E125" s="42" t="n">
        <v>2920</v>
      </c>
      <c r="F125" s="42" t="n">
        <v>1200</v>
      </c>
      <c r="G125" s="42" t="n">
        <v>250</v>
      </c>
      <c r="H125" s="43" t="n">
        <v>1</v>
      </c>
      <c r="I125" s="34" t="n">
        <f aca="false">E125*H125+N(F125)+N(G125)</f>
        <v>4370</v>
      </c>
      <c r="J125" s="42" t="n">
        <f aca="false">ROUND(IFERROR(ROUND(IF(OR(ISNUMBER(SEARCH("week",C125)),ISNUMBER(SEARCH("minggu",C125))),IFERROR(_xlfn.NUMBERVALUE(SUBSTITUTE(LEFT(TRIM(C125),FIND(" ",TRIM(C125)&amp;" ")-1),",","."),"."),LEFT(SUBSTITUTE(LEFT(TRIM(C125),FIND(" ",TRIM(C125)&amp;" ")-1),",","."),FIND("/",SUBSTITUTE(LEFT(TRIM(C125),FIND(" ",TRIM(C125)&amp;" ")-1),",","."))-1)/MID(SUBSTITUTE(LEFT(TRIM(C125),FIND(" ",TRIM(C125)&amp;" ")-1),",","."),FIND("/",SUBSTITUTE(LEFT(TRIM(C125),FIND(" ",TRIM(C125)&amp;" ")-1),",","."))+1,9))*12/52,IF(ISNUMBER(SEARCH("month",C125)),IFERROR(_xlfn.NUMBERVALUE(SUBSTITUTE(LEFT(TRIM(C125),FIND(" ",TRIM(C125)&amp;" ")-1),",","."),"."),LEFT(SUBSTITUTE(LEFT(TRIM(C125),FIND(" ",TRIM(C125)&amp;" ")-1),",","."),FIND("/",SUBSTITUTE(LEFT(TRIM(C125),FIND(" ",TRIM(C125)&amp;" ")-1),",","."))-1)/MID(SUBSTITUTE(LEFT(TRIM(C125),FIND(" ",TRIM(C125)&amp;" ")-1),",","."),FIND("/",SUBSTITUTE(LEFT(TRIM(C125),FIND(" ",TRIM(C125)&amp;" ")-1),",","."))+1,9)),IF(ISNUMBER(SEARCH("yea",C125)),IFERROR(_xlfn.NUMBERVALUE(SUBSTITUTE(LEFT(TRIM(C125),FIND(" ",TRIM(C125)&amp;" ")-1),",","."),"."),LEFT(SUBSTITUTE(LEFT(TRIM(C125),FIND(" ",TRIM(C125)&amp;" ")-1),",","."),FIND("/",SUBSTITUTE(LEFT(TRIM(C125),FIND(" ",TRIM(C125)&amp;" ")-1),",","."))-1)/MID(SUBSTITUTE(LEFT(TRIM(C125),FIND(" ",TRIM(C125)&amp;" ")-1),",","."),FIND("/",SUBSTITUTE(LEFT(TRIM(C125),FIND(" ",TRIM(C125)&amp;" ")-1),",","."))+1,9))*12,NA()))),0),36)*'Aturan &amp; Tarif'!$B$4,2)</f>
        <v>2044.08</v>
      </c>
      <c r="K125" s="42" t="n">
        <f aca="false">'Aturan &amp; Tarif'!$B$5</f>
        <v>2050</v>
      </c>
      <c r="L125" s="42" t="n">
        <f aca="false">'Aturan &amp; Tarif'!$B$6</f>
        <v>350</v>
      </c>
      <c r="M125" s="35" t="n">
        <f aca="false">I125+J125+K125+L125</f>
        <v>8814.08</v>
      </c>
      <c r="N125" s="44" t="s">
        <v>1905</v>
      </c>
    </row>
    <row r="126" customFormat="false" ht="48.75" hidden="false" customHeight="true" outlineLevel="0" collapsed="false">
      <c r="A126" s="39"/>
      <c r="B126" s="40" t="s">
        <v>1906</v>
      </c>
      <c r="C126" s="41" t="s">
        <v>127</v>
      </c>
      <c r="D126" s="41" t="s">
        <v>108</v>
      </c>
      <c r="E126" s="42" t="n">
        <v>2920</v>
      </c>
      <c r="F126" s="42" t="n">
        <v>1200</v>
      </c>
      <c r="G126" s="42" t="n">
        <v>250</v>
      </c>
      <c r="H126" s="43" t="n">
        <v>1</v>
      </c>
      <c r="I126" s="34" t="n">
        <f aca="false">E126*H126+N(F126)+N(G126)</f>
        <v>4370</v>
      </c>
      <c r="J126" s="42" t="n">
        <f aca="false">ROUND(IFERROR(ROUND(IF(OR(ISNUMBER(SEARCH("week",C126)),ISNUMBER(SEARCH("minggu",C126))),IFERROR(_xlfn.NUMBERVALUE(SUBSTITUTE(LEFT(TRIM(C126),FIND(" ",TRIM(C126)&amp;" ")-1),",","."),"."),LEFT(SUBSTITUTE(LEFT(TRIM(C126),FIND(" ",TRIM(C126)&amp;" ")-1),",","."),FIND("/",SUBSTITUTE(LEFT(TRIM(C126),FIND(" ",TRIM(C126)&amp;" ")-1),",","."))-1)/MID(SUBSTITUTE(LEFT(TRIM(C126),FIND(" ",TRIM(C126)&amp;" ")-1),",","."),FIND("/",SUBSTITUTE(LEFT(TRIM(C126),FIND(" ",TRIM(C126)&amp;" ")-1),",","."))+1,9))*12/52,IF(ISNUMBER(SEARCH("month",C126)),IFERROR(_xlfn.NUMBERVALUE(SUBSTITUTE(LEFT(TRIM(C126),FIND(" ",TRIM(C126)&amp;" ")-1),",","."),"."),LEFT(SUBSTITUTE(LEFT(TRIM(C126),FIND(" ",TRIM(C126)&amp;" ")-1),",","."),FIND("/",SUBSTITUTE(LEFT(TRIM(C126),FIND(" ",TRIM(C126)&amp;" ")-1),",","."))-1)/MID(SUBSTITUTE(LEFT(TRIM(C126),FIND(" ",TRIM(C126)&amp;" ")-1),",","."),FIND("/",SUBSTITUTE(LEFT(TRIM(C126),FIND(" ",TRIM(C126)&amp;" ")-1),",","."))+1,9)),IF(ISNUMBER(SEARCH("yea",C126)),IFERROR(_xlfn.NUMBERVALUE(SUBSTITUTE(LEFT(TRIM(C126),FIND(" ",TRIM(C126)&amp;" ")-1),",","."),"."),LEFT(SUBSTITUTE(LEFT(TRIM(C126),FIND(" ",TRIM(C126)&amp;" ")-1),",","."),FIND("/",SUBSTITUTE(LEFT(TRIM(C126),FIND(" ",TRIM(C126)&amp;" ")-1),",","."))-1)/MID(SUBSTITUTE(LEFT(TRIM(C126),FIND(" ",TRIM(C126)&amp;" ")-1),",","."),FIND("/",SUBSTITUTE(LEFT(TRIM(C126),FIND(" ",TRIM(C126)&amp;" ")-1),",","."))+1,9))*12,NA()))),0),36)*'Aturan &amp; Tarif'!$B$4,2)</f>
        <v>2044.08</v>
      </c>
      <c r="K126" s="42" t="n">
        <f aca="false">'Aturan &amp; Tarif'!$B$5</f>
        <v>2050</v>
      </c>
      <c r="L126" s="42" t="n">
        <f aca="false">'Aturan &amp; Tarif'!$B$6</f>
        <v>350</v>
      </c>
      <c r="M126" s="35" t="n">
        <f aca="false">I126+J126+K126+L126</f>
        <v>8814.08</v>
      </c>
      <c r="N126" s="44" t="s">
        <v>1905</v>
      </c>
    </row>
    <row r="127" customFormat="false" ht="48.75" hidden="false" customHeight="true" outlineLevel="0" collapsed="false">
      <c r="A127" s="39"/>
      <c r="B127" s="40" t="s">
        <v>655</v>
      </c>
      <c r="C127" s="41" t="s">
        <v>107</v>
      </c>
      <c r="D127" s="41" t="s">
        <v>108</v>
      </c>
      <c r="E127" s="42" t="n">
        <v>3900</v>
      </c>
      <c r="F127" s="42" t="n">
        <v>1800</v>
      </c>
      <c r="G127" s="42" t="n">
        <v>250</v>
      </c>
      <c r="H127" s="43" t="n">
        <v>1</v>
      </c>
      <c r="I127" s="34" t="n">
        <f aca="false">E127*H127+N(F127)+N(G127)</f>
        <v>5950</v>
      </c>
      <c r="J127" s="42" t="n">
        <f aca="false">ROUND(IFERROR(ROUND(IF(OR(ISNUMBER(SEARCH("week",C127)),ISNUMBER(SEARCH("minggu",C127))),IFERROR(_xlfn.NUMBERVALUE(SUBSTITUTE(LEFT(TRIM(C127),FIND(" ",TRIM(C127)&amp;" ")-1),",","."),"."),LEFT(SUBSTITUTE(LEFT(TRIM(C127),FIND(" ",TRIM(C127)&amp;" ")-1),",","."),FIND("/",SUBSTITUTE(LEFT(TRIM(C127),FIND(" ",TRIM(C127)&amp;" ")-1),",","."))-1)/MID(SUBSTITUTE(LEFT(TRIM(C127),FIND(" ",TRIM(C127)&amp;" ")-1),",","."),FIND("/",SUBSTITUTE(LEFT(TRIM(C127),FIND(" ",TRIM(C127)&amp;" ")-1),",","."))+1,9))*12/52,IF(ISNUMBER(SEARCH("month",C127)),IFERROR(_xlfn.NUMBERVALUE(SUBSTITUTE(LEFT(TRIM(C127),FIND(" ",TRIM(C127)&amp;" ")-1),",","."),"."),LEFT(SUBSTITUTE(LEFT(TRIM(C127),FIND(" ",TRIM(C127)&amp;" ")-1),",","."),FIND("/",SUBSTITUTE(LEFT(TRIM(C127),FIND(" ",TRIM(C127)&amp;" ")-1),",","."))-1)/MID(SUBSTITUTE(LEFT(TRIM(C127),FIND(" ",TRIM(C127)&amp;" ")-1),",","."),FIND("/",SUBSTITUTE(LEFT(TRIM(C127),FIND(" ",TRIM(C127)&amp;" ")-1),",","."))+1,9)),IF(ISNUMBER(SEARCH("yea",C127)),IFERROR(_xlfn.NUMBERVALUE(SUBSTITUTE(LEFT(TRIM(C127),FIND(" ",TRIM(C127)&amp;" ")-1),",","."),"."),LEFT(SUBSTITUTE(LEFT(TRIM(C127),FIND(" ",TRIM(C127)&amp;" ")-1),",","."),FIND("/",SUBSTITUTE(LEFT(TRIM(C127),FIND(" ",TRIM(C127)&amp;" ")-1),",","."))-1)/MID(SUBSTITUTE(LEFT(TRIM(C127),FIND(" ",TRIM(C127)&amp;" ")-1),",","."),FIND("/",SUBSTITUTE(LEFT(TRIM(C127),FIND(" ",TRIM(C127)&amp;" ")-1),",","."))+1,9))*12,NA()))),0),24)*'Aturan &amp; Tarif'!$B$4,2)</f>
        <v>1362.72</v>
      </c>
      <c r="K127" s="42" t="n">
        <f aca="false">'Aturan &amp; Tarif'!$B$5</f>
        <v>2050</v>
      </c>
      <c r="L127" s="42" t="n">
        <f aca="false">'Aturan &amp; Tarif'!$B$6</f>
        <v>350</v>
      </c>
      <c r="M127" s="35" t="n">
        <f aca="false">I127+J127+K127+L127</f>
        <v>9712.72</v>
      </c>
      <c r="N127" s="45" t="s">
        <v>134</v>
      </c>
    </row>
    <row r="128" customFormat="false" ht="25.5" hidden="false" customHeight="true" outlineLevel="0" collapsed="false">
      <c r="A128" s="39"/>
      <c r="B128" s="40" t="s">
        <v>656</v>
      </c>
      <c r="C128" s="41" t="s">
        <v>138</v>
      </c>
      <c r="D128" s="41" t="s">
        <v>108</v>
      </c>
      <c r="E128" s="42" t="n">
        <v>3900</v>
      </c>
      <c r="F128" s="42" t="n">
        <v>2400</v>
      </c>
      <c r="G128" s="42" t="n">
        <v>250</v>
      </c>
      <c r="H128" s="43" t="n">
        <v>1</v>
      </c>
      <c r="I128" s="34" t="n">
        <f aca="false">E128*H128+N(F128)+N(G128)</f>
        <v>6550</v>
      </c>
      <c r="J128" s="42" t="n">
        <f aca="false">ROUND(IFERROR(ROUND(IF(OR(ISNUMBER(SEARCH("week",C128)),ISNUMBER(SEARCH("minggu",C128))),IFERROR(_xlfn.NUMBERVALUE(SUBSTITUTE(LEFT(TRIM(C128),FIND(" ",TRIM(C128)&amp;" ")-1),",","."),"."),LEFT(SUBSTITUTE(LEFT(TRIM(C128),FIND(" ",TRIM(C128)&amp;" ")-1),",","."),FIND("/",SUBSTITUTE(LEFT(TRIM(C128),FIND(" ",TRIM(C128)&amp;" ")-1),",","."))-1)/MID(SUBSTITUTE(LEFT(TRIM(C128),FIND(" ",TRIM(C128)&amp;" ")-1),",","."),FIND("/",SUBSTITUTE(LEFT(TRIM(C128),FIND(" ",TRIM(C128)&amp;" ")-1),",","."))+1,9))*12/52,IF(ISNUMBER(SEARCH("month",C128)),IFERROR(_xlfn.NUMBERVALUE(SUBSTITUTE(LEFT(TRIM(C128),FIND(" ",TRIM(C128)&amp;" ")-1),",","."),"."),LEFT(SUBSTITUTE(LEFT(TRIM(C128),FIND(" ",TRIM(C128)&amp;" ")-1),",","."),FIND("/",SUBSTITUTE(LEFT(TRIM(C128),FIND(" ",TRIM(C128)&amp;" ")-1),",","."))-1)/MID(SUBSTITUTE(LEFT(TRIM(C128),FIND(" ",TRIM(C128)&amp;" ")-1),",","."),FIND("/",SUBSTITUTE(LEFT(TRIM(C128),FIND(" ",TRIM(C128)&amp;" ")-1),",","."))+1,9)),IF(ISNUMBER(SEARCH("yea",C128)),IFERROR(_xlfn.NUMBERVALUE(SUBSTITUTE(LEFT(TRIM(C128),FIND(" ",TRIM(C128)&amp;" ")-1),",","."),"."),LEFT(SUBSTITUTE(LEFT(TRIM(C128),FIND(" ",TRIM(C128)&amp;" ")-1),",","."),FIND("/",SUBSTITUTE(LEFT(TRIM(C128),FIND(" ",TRIM(C128)&amp;" ")-1),",","."))-1)/MID(SUBSTITUTE(LEFT(TRIM(C128),FIND(" ",TRIM(C128)&amp;" ")-1),",","."),FIND("/",SUBSTITUTE(LEFT(TRIM(C128),FIND(" ",TRIM(C128)&amp;" ")-1),",","."))+1,9))*12,NA()))),0),30)*'Aturan &amp; Tarif'!$B$4,2)</f>
        <v>1703.4</v>
      </c>
      <c r="K128" s="42" t="n">
        <f aca="false">'Aturan &amp; Tarif'!$B$5</f>
        <v>2050</v>
      </c>
      <c r="L128" s="42" t="n">
        <f aca="false">'Aturan &amp; Tarif'!$B$6</f>
        <v>350</v>
      </c>
      <c r="M128" s="35" t="n">
        <f aca="false">I128+J128+K128+L128</f>
        <v>10653.4</v>
      </c>
      <c r="N128" s="45" t="s">
        <v>134</v>
      </c>
    </row>
    <row r="129" customFormat="false" ht="48.75" hidden="false" customHeight="true" outlineLevel="0" collapsed="false">
      <c r="A129" s="39"/>
      <c r="B129" s="40" t="s">
        <v>657</v>
      </c>
      <c r="C129" s="41" t="s">
        <v>107</v>
      </c>
      <c r="D129" s="41" t="s">
        <v>108</v>
      </c>
      <c r="E129" s="42" t="n">
        <v>3900</v>
      </c>
      <c r="F129" s="42" t="n">
        <v>1800</v>
      </c>
      <c r="G129" s="42" t="n">
        <v>250</v>
      </c>
      <c r="H129" s="43" t="n">
        <v>1</v>
      </c>
      <c r="I129" s="34" t="n">
        <f aca="false">E129*H129+N(F129)+N(G129)</f>
        <v>5950</v>
      </c>
      <c r="J129" s="42" t="n">
        <f aca="false">ROUND(IFERROR(ROUND(IF(OR(ISNUMBER(SEARCH("week",C129)),ISNUMBER(SEARCH("minggu",C129))),IFERROR(_xlfn.NUMBERVALUE(SUBSTITUTE(LEFT(TRIM(C129),FIND(" ",TRIM(C129)&amp;" ")-1),",","."),"."),LEFT(SUBSTITUTE(LEFT(TRIM(C129),FIND(" ",TRIM(C129)&amp;" ")-1),",","."),FIND("/",SUBSTITUTE(LEFT(TRIM(C129),FIND(" ",TRIM(C129)&amp;" ")-1),",","."))-1)/MID(SUBSTITUTE(LEFT(TRIM(C129),FIND(" ",TRIM(C129)&amp;" ")-1),",","."),FIND("/",SUBSTITUTE(LEFT(TRIM(C129),FIND(" ",TRIM(C129)&amp;" ")-1),",","."))+1,9))*12/52,IF(ISNUMBER(SEARCH("month",C129)),IFERROR(_xlfn.NUMBERVALUE(SUBSTITUTE(LEFT(TRIM(C129),FIND(" ",TRIM(C129)&amp;" ")-1),",","."),"."),LEFT(SUBSTITUTE(LEFT(TRIM(C129),FIND(" ",TRIM(C129)&amp;" ")-1),",","."),FIND("/",SUBSTITUTE(LEFT(TRIM(C129),FIND(" ",TRIM(C129)&amp;" ")-1),",","."))-1)/MID(SUBSTITUTE(LEFT(TRIM(C129),FIND(" ",TRIM(C129)&amp;" ")-1),",","."),FIND("/",SUBSTITUTE(LEFT(TRIM(C129),FIND(" ",TRIM(C129)&amp;" ")-1),",","."))+1,9)),IF(ISNUMBER(SEARCH("yea",C129)),IFERROR(_xlfn.NUMBERVALUE(SUBSTITUTE(LEFT(TRIM(C129),FIND(" ",TRIM(C129)&amp;" ")-1),",","."),"."),LEFT(SUBSTITUTE(LEFT(TRIM(C129),FIND(" ",TRIM(C129)&amp;" ")-1),",","."),FIND("/",SUBSTITUTE(LEFT(TRIM(C129),FIND(" ",TRIM(C129)&amp;" ")-1),",","."))-1)/MID(SUBSTITUTE(LEFT(TRIM(C129),FIND(" ",TRIM(C129)&amp;" ")-1),",","."),FIND("/",SUBSTITUTE(LEFT(TRIM(C129),FIND(" ",TRIM(C129)&amp;" ")-1),",","."))+1,9))*12,NA()))),0),24)*'Aturan &amp; Tarif'!$B$4,2)</f>
        <v>1362.72</v>
      </c>
      <c r="K129" s="42" t="n">
        <f aca="false">'Aturan &amp; Tarif'!$B$5</f>
        <v>2050</v>
      </c>
      <c r="L129" s="42" t="n">
        <f aca="false">'Aturan &amp; Tarif'!$B$6</f>
        <v>350</v>
      </c>
      <c r="M129" s="35" t="n">
        <f aca="false">I129+J129+K129+L129</f>
        <v>9712.72</v>
      </c>
      <c r="N129" s="45" t="s">
        <v>134</v>
      </c>
    </row>
    <row r="130" customFormat="false" ht="48.75" hidden="false" customHeight="true" outlineLevel="0" collapsed="false">
      <c r="A130" s="39"/>
      <c r="B130" s="40" t="s">
        <v>658</v>
      </c>
      <c r="C130" s="41" t="s">
        <v>138</v>
      </c>
      <c r="D130" s="41" t="s">
        <v>108</v>
      </c>
      <c r="E130" s="42" t="n">
        <v>3750</v>
      </c>
      <c r="F130" s="42" t="n">
        <v>2500</v>
      </c>
      <c r="G130" s="42" t="n">
        <v>250</v>
      </c>
      <c r="H130" s="43" t="n">
        <v>1</v>
      </c>
      <c r="I130" s="34" t="n">
        <f aca="false">E130*H130+N(F130)+N(G130)</f>
        <v>6500</v>
      </c>
      <c r="J130" s="42" t="n">
        <f aca="false">ROUND(IFERROR(ROUND(IF(OR(ISNUMBER(SEARCH("week",C130)),ISNUMBER(SEARCH("minggu",C130))),IFERROR(_xlfn.NUMBERVALUE(SUBSTITUTE(LEFT(TRIM(C130),FIND(" ",TRIM(C130)&amp;" ")-1),",","."),"."),LEFT(SUBSTITUTE(LEFT(TRIM(C130),FIND(" ",TRIM(C130)&amp;" ")-1),",","."),FIND("/",SUBSTITUTE(LEFT(TRIM(C130),FIND(" ",TRIM(C130)&amp;" ")-1),",","."))-1)/MID(SUBSTITUTE(LEFT(TRIM(C130),FIND(" ",TRIM(C130)&amp;" ")-1),",","."),FIND("/",SUBSTITUTE(LEFT(TRIM(C130),FIND(" ",TRIM(C130)&amp;" ")-1),",","."))+1,9))*12/52,IF(ISNUMBER(SEARCH("month",C130)),IFERROR(_xlfn.NUMBERVALUE(SUBSTITUTE(LEFT(TRIM(C130),FIND(" ",TRIM(C130)&amp;" ")-1),",","."),"."),LEFT(SUBSTITUTE(LEFT(TRIM(C130),FIND(" ",TRIM(C130)&amp;" ")-1),",","."),FIND("/",SUBSTITUTE(LEFT(TRIM(C130),FIND(" ",TRIM(C130)&amp;" ")-1),",","."))-1)/MID(SUBSTITUTE(LEFT(TRIM(C130),FIND(" ",TRIM(C130)&amp;" ")-1),",","."),FIND("/",SUBSTITUTE(LEFT(TRIM(C130),FIND(" ",TRIM(C130)&amp;" ")-1),",","."))+1,9)),IF(ISNUMBER(SEARCH("yea",C130)),IFERROR(_xlfn.NUMBERVALUE(SUBSTITUTE(LEFT(TRIM(C130),FIND(" ",TRIM(C130)&amp;" ")-1),",","."),"."),LEFT(SUBSTITUTE(LEFT(TRIM(C130),FIND(" ",TRIM(C130)&amp;" ")-1),",","."),FIND("/",SUBSTITUTE(LEFT(TRIM(C130),FIND(" ",TRIM(C130)&amp;" ")-1),",","."))-1)/MID(SUBSTITUTE(LEFT(TRIM(C130),FIND(" ",TRIM(C130)&amp;" ")-1),",","."),FIND("/",SUBSTITUTE(LEFT(TRIM(C130),FIND(" ",TRIM(C130)&amp;" ")-1),",","."))+1,9))*12,NA()))),0),30)*'Aturan &amp; Tarif'!$B$4,2)</f>
        <v>1703.4</v>
      </c>
      <c r="K130" s="42" t="n">
        <f aca="false">'Aturan &amp; Tarif'!$B$5</f>
        <v>2050</v>
      </c>
      <c r="L130" s="42" t="n">
        <f aca="false">'Aturan &amp; Tarif'!$B$6</f>
        <v>350</v>
      </c>
      <c r="M130" s="35" t="n">
        <f aca="false">I130+J130+K130+L130</f>
        <v>10603.4</v>
      </c>
      <c r="N130" s="45" t="s">
        <v>134</v>
      </c>
    </row>
    <row r="131" customFormat="false" ht="37.5" hidden="false" customHeight="true" outlineLevel="0" collapsed="false">
      <c r="A131" s="29" t="s">
        <v>1907</v>
      </c>
      <c r="B131" s="30" t="s">
        <v>1908</v>
      </c>
      <c r="C131" s="31" t="s">
        <v>130</v>
      </c>
      <c r="D131" s="31" t="s">
        <v>737</v>
      </c>
      <c r="E131" s="32" t="n">
        <v>3000</v>
      </c>
      <c r="F131" s="32"/>
      <c r="G131" s="32" t="n">
        <v>200</v>
      </c>
      <c r="H131" s="33" t="n">
        <v>1</v>
      </c>
      <c r="I131" s="34" t="n">
        <f aca="false">E131*H131+N(F131)+N(G131)</f>
        <v>3200</v>
      </c>
      <c r="J131" s="32" t="n">
        <f aca="false">ROUND(IFERROR(ROUND(IF(OR(ISNUMBER(SEARCH("week",C131)),ISNUMBER(SEARCH("minggu",C131))),IFERROR(_xlfn.NUMBERVALUE(SUBSTITUTE(LEFT(TRIM(C131),FIND(" ",TRIM(C131)&amp;" ")-1),",","."),"."),LEFT(SUBSTITUTE(LEFT(TRIM(C131),FIND(" ",TRIM(C131)&amp;" ")-1),",","."),FIND("/",SUBSTITUTE(LEFT(TRIM(C131),FIND(" ",TRIM(C131)&amp;" ")-1),",","."))-1)/MID(SUBSTITUTE(LEFT(TRIM(C131),FIND(" ",TRIM(C131)&amp;" ")-1),",","."),FIND("/",SUBSTITUTE(LEFT(TRIM(C131),FIND(" ",TRIM(C131)&amp;" ")-1),",","."))+1,9))*12/52,IF(ISNUMBER(SEARCH("month",C131)),IFERROR(_xlfn.NUMBERVALUE(SUBSTITUTE(LEFT(TRIM(C131),FIND(" ",TRIM(C131)&amp;" ")-1),",","."),"."),LEFT(SUBSTITUTE(LEFT(TRIM(C131),FIND(" ",TRIM(C131)&amp;" ")-1),",","."),FIND("/",SUBSTITUTE(LEFT(TRIM(C131),FIND(" ",TRIM(C131)&amp;" ")-1),",","."))-1)/MID(SUBSTITUTE(LEFT(TRIM(C131),FIND(" ",TRIM(C131)&amp;" ")-1),",","."),FIND("/",SUBSTITUTE(LEFT(TRIM(C131),FIND(" ",TRIM(C131)&amp;" ")-1),",","."))+1,9)),IF(ISNUMBER(SEARCH("yea",C131)),IFERROR(_xlfn.NUMBERVALUE(SUBSTITUTE(LEFT(TRIM(C131),FIND(" ",TRIM(C131)&amp;" ")-1),",","."),"."),LEFT(SUBSTITUTE(LEFT(TRIM(C131),FIND(" ",TRIM(C131)&amp;" ")-1),",","."),FIND("/",SUBSTITUTE(LEFT(TRIM(C131),FIND(" ",TRIM(C131)&amp;" ")-1),",","."))-1)/MID(SUBSTITUTE(LEFT(TRIM(C131),FIND(" ",TRIM(C131)&amp;" ")-1),",","."),FIND("/",SUBSTITUTE(LEFT(TRIM(C131),FIND(" ",TRIM(C131)&amp;" ")-1),",","."))+1,9))*12,NA()))),0),12)*'Aturan &amp; Tarif'!$B$4,2)</f>
        <v>681.36</v>
      </c>
      <c r="K131" s="32" t="n">
        <f aca="false">'Aturan &amp; Tarif'!$B$5</f>
        <v>2050</v>
      </c>
      <c r="L131" s="32" t="n">
        <f aca="false">'Aturan &amp; Tarif'!$B$6</f>
        <v>350</v>
      </c>
      <c r="M131" s="35" t="n">
        <f aca="false">I131+J131+K131+L131</f>
        <v>6281.36</v>
      </c>
      <c r="N131" s="37" t="s">
        <v>846</v>
      </c>
    </row>
    <row r="132" customFormat="false" ht="37.5" hidden="false" customHeight="true" outlineLevel="0" collapsed="false">
      <c r="A132" s="29"/>
      <c r="B132" s="30" t="s">
        <v>1909</v>
      </c>
      <c r="C132" s="31" t="s">
        <v>127</v>
      </c>
      <c r="D132" s="31" t="s">
        <v>737</v>
      </c>
      <c r="E132" s="32" t="n">
        <v>4500</v>
      </c>
      <c r="F132" s="32"/>
      <c r="G132" s="32" t="n">
        <v>200</v>
      </c>
      <c r="H132" s="33" t="n">
        <v>1</v>
      </c>
      <c r="I132" s="34" t="n">
        <f aca="false">E132*H132+N(F132)+N(G132)</f>
        <v>4700</v>
      </c>
      <c r="J132" s="32" t="n">
        <f aca="false">ROUND(IFERROR(ROUND(IF(OR(ISNUMBER(SEARCH("week",C132)),ISNUMBER(SEARCH("minggu",C132))),IFERROR(_xlfn.NUMBERVALUE(SUBSTITUTE(LEFT(TRIM(C132),FIND(" ",TRIM(C132)&amp;" ")-1),",","."),"."),LEFT(SUBSTITUTE(LEFT(TRIM(C132),FIND(" ",TRIM(C132)&amp;" ")-1),",","."),FIND("/",SUBSTITUTE(LEFT(TRIM(C132),FIND(" ",TRIM(C132)&amp;" ")-1),",","."))-1)/MID(SUBSTITUTE(LEFT(TRIM(C132),FIND(" ",TRIM(C132)&amp;" ")-1),",","."),FIND("/",SUBSTITUTE(LEFT(TRIM(C132),FIND(" ",TRIM(C132)&amp;" ")-1),",","."))+1,9))*12/52,IF(ISNUMBER(SEARCH("month",C132)),IFERROR(_xlfn.NUMBERVALUE(SUBSTITUTE(LEFT(TRIM(C132),FIND(" ",TRIM(C132)&amp;" ")-1),",","."),"."),LEFT(SUBSTITUTE(LEFT(TRIM(C132),FIND(" ",TRIM(C132)&amp;" ")-1),",","."),FIND("/",SUBSTITUTE(LEFT(TRIM(C132),FIND(" ",TRIM(C132)&amp;" ")-1),",","."))-1)/MID(SUBSTITUTE(LEFT(TRIM(C132),FIND(" ",TRIM(C132)&amp;" ")-1),",","."),FIND("/",SUBSTITUTE(LEFT(TRIM(C132),FIND(" ",TRIM(C132)&amp;" ")-1),",","."))+1,9)),IF(ISNUMBER(SEARCH("yea",C132)),IFERROR(_xlfn.NUMBERVALUE(SUBSTITUTE(LEFT(TRIM(C132),FIND(" ",TRIM(C132)&amp;" ")-1),",","."),"."),LEFT(SUBSTITUTE(LEFT(TRIM(C132),FIND(" ",TRIM(C132)&amp;" ")-1),",","."),FIND("/",SUBSTITUTE(LEFT(TRIM(C132),FIND(" ",TRIM(C132)&amp;" ")-1),",","."))-1)/MID(SUBSTITUTE(LEFT(TRIM(C132),FIND(" ",TRIM(C132)&amp;" ")-1),",","."),FIND("/",SUBSTITUTE(LEFT(TRIM(C132),FIND(" ",TRIM(C132)&amp;" ")-1),",","."))+1,9))*12,NA()))),0),36)*'Aturan &amp; Tarif'!$B$4,2)</f>
        <v>2044.08</v>
      </c>
      <c r="K132" s="32" t="n">
        <f aca="false">'Aturan &amp; Tarif'!$B$5</f>
        <v>2050</v>
      </c>
      <c r="L132" s="32" t="n">
        <f aca="false">'Aturan &amp; Tarif'!$B$6</f>
        <v>350</v>
      </c>
      <c r="M132" s="35" t="n">
        <f aca="false">I132+J132+K132+L132</f>
        <v>9144.08</v>
      </c>
      <c r="N132" s="36" t="s">
        <v>847</v>
      </c>
    </row>
    <row r="133" customFormat="false" ht="37.5" hidden="false" customHeight="true" outlineLevel="0" collapsed="false">
      <c r="A133" s="29"/>
      <c r="B133" s="30" t="s">
        <v>1910</v>
      </c>
      <c r="C133" s="31" t="s">
        <v>130</v>
      </c>
      <c r="D133" s="31" t="s">
        <v>737</v>
      </c>
      <c r="E133" s="32" t="n">
        <v>3000</v>
      </c>
      <c r="F133" s="32"/>
      <c r="G133" s="32" t="n">
        <v>200</v>
      </c>
      <c r="H133" s="33" t="n">
        <v>1</v>
      </c>
      <c r="I133" s="34" t="n">
        <f aca="false">E133*H133+N(F133)+N(G133)</f>
        <v>3200</v>
      </c>
      <c r="J133" s="32" t="n">
        <f aca="false">ROUND(IFERROR(ROUND(IF(OR(ISNUMBER(SEARCH("week",C133)),ISNUMBER(SEARCH("minggu",C133))),IFERROR(_xlfn.NUMBERVALUE(SUBSTITUTE(LEFT(TRIM(C133),FIND(" ",TRIM(C133)&amp;" ")-1),",","."),"."),LEFT(SUBSTITUTE(LEFT(TRIM(C133),FIND(" ",TRIM(C133)&amp;" ")-1),",","."),FIND("/",SUBSTITUTE(LEFT(TRIM(C133),FIND(" ",TRIM(C133)&amp;" ")-1),",","."))-1)/MID(SUBSTITUTE(LEFT(TRIM(C133),FIND(" ",TRIM(C133)&amp;" ")-1),",","."),FIND("/",SUBSTITUTE(LEFT(TRIM(C133),FIND(" ",TRIM(C133)&amp;" ")-1),",","."))+1,9))*12/52,IF(ISNUMBER(SEARCH("month",C133)),IFERROR(_xlfn.NUMBERVALUE(SUBSTITUTE(LEFT(TRIM(C133),FIND(" ",TRIM(C133)&amp;" ")-1),",","."),"."),LEFT(SUBSTITUTE(LEFT(TRIM(C133),FIND(" ",TRIM(C133)&amp;" ")-1),",","."),FIND("/",SUBSTITUTE(LEFT(TRIM(C133),FIND(" ",TRIM(C133)&amp;" ")-1),",","."))-1)/MID(SUBSTITUTE(LEFT(TRIM(C133),FIND(" ",TRIM(C133)&amp;" ")-1),",","."),FIND("/",SUBSTITUTE(LEFT(TRIM(C133),FIND(" ",TRIM(C133)&amp;" ")-1),",","."))+1,9)),IF(ISNUMBER(SEARCH("yea",C133)),IFERROR(_xlfn.NUMBERVALUE(SUBSTITUTE(LEFT(TRIM(C133),FIND(" ",TRIM(C133)&amp;" ")-1),",","."),"."),LEFT(SUBSTITUTE(LEFT(TRIM(C133),FIND(" ",TRIM(C133)&amp;" ")-1),",","."),FIND("/",SUBSTITUTE(LEFT(TRIM(C133),FIND(" ",TRIM(C133)&amp;" ")-1),",","."))-1)/MID(SUBSTITUTE(LEFT(TRIM(C133),FIND(" ",TRIM(C133)&amp;" ")-1),",","."),FIND("/",SUBSTITUTE(LEFT(TRIM(C133),FIND(" ",TRIM(C133)&amp;" ")-1),",","."))+1,9))*12,NA()))),0),12)*'Aturan &amp; Tarif'!$B$4,2)</f>
        <v>681.36</v>
      </c>
      <c r="K133" s="32" t="n">
        <f aca="false">'Aturan &amp; Tarif'!$B$5</f>
        <v>2050</v>
      </c>
      <c r="L133" s="32" t="n">
        <f aca="false">'Aturan &amp; Tarif'!$B$6</f>
        <v>350</v>
      </c>
      <c r="M133" s="35" t="n">
        <f aca="false">I133+J133+K133+L133</f>
        <v>6281.36</v>
      </c>
      <c r="N133" s="36" t="s">
        <v>849</v>
      </c>
    </row>
    <row r="134" customFormat="false" ht="37.5" hidden="false" customHeight="true" outlineLevel="0" collapsed="false">
      <c r="A134" s="29"/>
      <c r="B134" s="30" t="s">
        <v>968</v>
      </c>
      <c r="C134" s="31" t="s">
        <v>127</v>
      </c>
      <c r="D134" s="31" t="s">
        <v>737</v>
      </c>
      <c r="E134" s="32" t="n">
        <v>4500</v>
      </c>
      <c r="F134" s="32"/>
      <c r="G134" s="32" t="n">
        <v>200</v>
      </c>
      <c r="H134" s="33" t="n">
        <v>1</v>
      </c>
      <c r="I134" s="34" t="n">
        <f aca="false">E134*H134+N(F134)+N(G134)</f>
        <v>4700</v>
      </c>
      <c r="J134" s="32" t="n">
        <f aca="false">ROUND(IFERROR(ROUND(IF(OR(ISNUMBER(SEARCH("week",C134)),ISNUMBER(SEARCH("minggu",C134))),IFERROR(_xlfn.NUMBERVALUE(SUBSTITUTE(LEFT(TRIM(C134),FIND(" ",TRIM(C134)&amp;" ")-1),",","."),"."),LEFT(SUBSTITUTE(LEFT(TRIM(C134),FIND(" ",TRIM(C134)&amp;" ")-1),",","."),FIND("/",SUBSTITUTE(LEFT(TRIM(C134),FIND(" ",TRIM(C134)&amp;" ")-1),",","."))-1)/MID(SUBSTITUTE(LEFT(TRIM(C134),FIND(" ",TRIM(C134)&amp;" ")-1),",","."),FIND("/",SUBSTITUTE(LEFT(TRIM(C134),FIND(" ",TRIM(C134)&amp;" ")-1),",","."))+1,9))*12/52,IF(ISNUMBER(SEARCH("month",C134)),IFERROR(_xlfn.NUMBERVALUE(SUBSTITUTE(LEFT(TRIM(C134),FIND(" ",TRIM(C134)&amp;" ")-1),",","."),"."),LEFT(SUBSTITUTE(LEFT(TRIM(C134),FIND(" ",TRIM(C134)&amp;" ")-1),",","."),FIND("/",SUBSTITUTE(LEFT(TRIM(C134),FIND(" ",TRIM(C134)&amp;" ")-1),",","."))-1)/MID(SUBSTITUTE(LEFT(TRIM(C134),FIND(" ",TRIM(C134)&amp;" ")-1),",","."),FIND("/",SUBSTITUTE(LEFT(TRIM(C134),FIND(" ",TRIM(C134)&amp;" ")-1),",","."))+1,9)),IF(ISNUMBER(SEARCH("yea",C134)),IFERROR(_xlfn.NUMBERVALUE(SUBSTITUTE(LEFT(TRIM(C134),FIND(" ",TRIM(C134)&amp;" ")-1),",","."),"."),LEFT(SUBSTITUTE(LEFT(TRIM(C134),FIND(" ",TRIM(C134)&amp;" ")-1),",","."),FIND("/",SUBSTITUTE(LEFT(TRIM(C134),FIND(" ",TRIM(C134)&amp;" ")-1),",","."))-1)/MID(SUBSTITUTE(LEFT(TRIM(C134),FIND(" ",TRIM(C134)&amp;" ")-1),",","."),FIND("/",SUBSTITUTE(LEFT(TRIM(C134),FIND(" ",TRIM(C134)&amp;" ")-1),",","."))+1,9))*12,NA()))),0),36)*'Aturan &amp; Tarif'!$B$4,2)</f>
        <v>2044.08</v>
      </c>
      <c r="K134" s="32" t="n">
        <f aca="false">'Aturan &amp; Tarif'!$B$5</f>
        <v>2050</v>
      </c>
      <c r="L134" s="32" t="n">
        <f aca="false">'Aturan &amp; Tarif'!$B$6</f>
        <v>350</v>
      </c>
      <c r="M134" s="35" t="n">
        <f aca="false">I134+J134+K134+L134</f>
        <v>9144.08</v>
      </c>
      <c r="N134" s="36" t="s">
        <v>847</v>
      </c>
    </row>
    <row r="135" customFormat="false" ht="48.75" hidden="false" customHeight="true" outlineLevel="0" collapsed="false">
      <c r="A135" s="29"/>
      <c r="B135" s="30" t="s">
        <v>1911</v>
      </c>
      <c r="C135" s="31" t="s">
        <v>127</v>
      </c>
      <c r="D135" s="31" t="s">
        <v>737</v>
      </c>
      <c r="E135" s="32" t="n">
        <v>4500</v>
      </c>
      <c r="F135" s="32"/>
      <c r="G135" s="32" t="n">
        <v>200</v>
      </c>
      <c r="H135" s="33" t="n">
        <v>1</v>
      </c>
      <c r="I135" s="34" t="n">
        <f aca="false">E135*H135+N(F135)+N(G135)</f>
        <v>4700</v>
      </c>
      <c r="J135" s="32" t="n">
        <f aca="false">ROUND(IFERROR(ROUND(IF(OR(ISNUMBER(SEARCH("week",C135)),ISNUMBER(SEARCH("minggu",C135))),IFERROR(_xlfn.NUMBERVALUE(SUBSTITUTE(LEFT(TRIM(C135),FIND(" ",TRIM(C135)&amp;" ")-1),",","."),"."),LEFT(SUBSTITUTE(LEFT(TRIM(C135),FIND(" ",TRIM(C135)&amp;" ")-1),",","."),FIND("/",SUBSTITUTE(LEFT(TRIM(C135),FIND(" ",TRIM(C135)&amp;" ")-1),",","."))-1)/MID(SUBSTITUTE(LEFT(TRIM(C135),FIND(" ",TRIM(C135)&amp;" ")-1),",","."),FIND("/",SUBSTITUTE(LEFT(TRIM(C135),FIND(" ",TRIM(C135)&amp;" ")-1),",","."))+1,9))*12/52,IF(ISNUMBER(SEARCH("month",C135)),IFERROR(_xlfn.NUMBERVALUE(SUBSTITUTE(LEFT(TRIM(C135),FIND(" ",TRIM(C135)&amp;" ")-1),",","."),"."),LEFT(SUBSTITUTE(LEFT(TRIM(C135),FIND(" ",TRIM(C135)&amp;" ")-1),",","."),FIND("/",SUBSTITUTE(LEFT(TRIM(C135),FIND(" ",TRIM(C135)&amp;" ")-1),",","."))-1)/MID(SUBSTITUTE(LEFT(TRIM(C135),FIND(" ",TRIM(C135)&amp;" ")-1),",","."),FIND("/",SUBSTITUTE(LEFT(TRIM(C135),FIND(" ",TRIM(C135)&amp;" ")-1),",","."))+1,9)),IF(ISNUMBER(SEARCH("yea",C135)),IFERROR(_xlfn.NUMBERVALUE(SUBSTITUTE(LEFT(TRIM(C135),FIND(" ",TRIM(C135)&amp;" ")-1),",","."),"."),LEFT(SUBSTITUTE(LEFT(TRIM(C135),FIND(" ",TRIM(C135)&amp;" ")-1),",","."),FIND("/",SUBSTITUTE(LEFT(TRIM(C135),FIND(" ",TRIM(C135)&amp;" ")-1),",","."))-1)/MID(SUBSTITUTE(LEFT(TRIM(C135),FIND(" ",TRIM(C135)&amp;" ")-1),",","."),FIND("/",SUBSTITUTE(LEFT(TRIM(C135),FIND(" ",TRIM(C135)&amp;" ")-1),",","."))+1,9))*12,NA()))),0),36)*'Aturan &amp; Tarif'!$B$4,2)</f>
        <v>2044.08</v>
      </c>
      <c r="K135" s="32" t="n">
        <f aca="false">'Aturan &amp; Tarif'!$B$5</f>
        <v>2050</v>
      </c>
      <c r="L135" s="32" t="n">
        <f aca="false">'Aturan &amp; Tarif'!$B$6</f>
        <v>350</v>
      </c>
      <c r="M135" s="35" t="n">
        <f aca="false">I135+J135+K135+L135</f>
        <v>9144.08</v>
      </c>
      <c r="N135" s="36" t="s">
        <v>847</v>
      </c>
    </row>
    <row r="136" customFormat="false" ht="25.5" hidden="false" customHeight="true" outlineLevel="0" collapsed="false">
      <c r="A136" s="29"/>
      <c r="B136" s="30" t="s">
        <v>1912</v>
      </c>
      <c r="C136" s="31" t="s">
        <v>852</v>
      </c>
      <c r="D136" s="31" t="s">
        <v>737</v>
      </c>
      <c r="E136" s="32" t="n">
        <v>7800</v>
      </c>
      <c r="F136" s="32"/>
      <c r="G136" s="32" t="n">
        <v>200</v>
      </c>
      <c r="H136" s="33" t="n">
        <v>1</v>
      </c>
      <c r="I136" s="34" t="n">
        <f aca="false">E136*H136+N(F136)+N(G136)</f>
        <v>8000</v>
      </c>
      <c r="J136" s="32" t="n">
        <f aca="false">ROUND(IFERROR(ROUND(IF(OR(ISNUMBER(SEARCH("week",C136)),ISNUMBER(SEARCH("minggu",C136))),IFERROR(_xlfn.NUMBERVALUE(SUBSTITUTE(LEFT(TRIM(C136),FIND(" ",TRIM(C136)&amp;" ")-1),",","."),"."),LEFT(SUBSTITUTE(LEFT(TRIM(C136),FIND(" ",TRIM(C136)&amp;" ")-1),",","."),FIND("/",SUBSTITUTE(LEFT(TRIM(C136),FIND(" ",TRIM(C136)&amp;" ")-1),",","."))-1)/MID(SUBSTITUTE(LEFT(TRIM(C136),FIND(" ",TRIM(C136)&amp;" ")-1),",","."),FIND("/",SUBSTITUTE(LEFT(TRIM(C136),FIND(" ",TRIM(C136)&amp;" ")-1),",","."))+1,9))*12/52,IF(ISNUMBER(SEARCH("month",C136)),IFERROR(_xlfn.NUMBERVALUE(SUBSTITUTE(LEFT(TRIM(C136),FIND(" ",TRIM(C136)&amp;" ")-1),",","."),"."),LEFT(SUBSTITUTE(LEFT(TRIM(C136),FIND(" ",TRIM(C136)&amp;" ")-1),",","."),FIND("/",SUBSTITUTE(LEFT(TRIM(C136),FIND(" ",TRIM(C136)&amp;" ")-1),",","."))-1)/MID(SUBSTITUTE(LEFT(TRIM(C136),FIND(" ",TRIM(C136)&amp;" ")-1),",","."),FIND("/",SUBSTITUTE(LEFT(TRIM(C136),FIND(" ",TRIM(C136)&amp;" ")-1),",","."))+1,9)),IF(ISNUMBER(SEARCH("yea",C136)),IFERROR(_xlfn.NUMBERVALUE(SUBSTITUTE(LEFT(TRIM(C136),FIND(" ",TRIM(C136)&amp;" ")-1),",","."),"."),LEFT(SUBSTITUTE(LEFT(TRIM(C136),FIND(" ",TRIM(C136)&amp;" ")-1),",","."),FIND("/",SUBSTITUTE(LEFT(TRIM(C136),FIND(" ",TRIM(C136)&amp;" ")-1),",","."))-1)/MID(SUBSTITUTE(LEFT(TRIM(C136),FIND(" ",TRIM(C136)&amp;" ")-1),",","."),FIND("/",SUBSTITUTE(LEFT(TRIM(C136),FIND(" ",TRIM(C136)&amp;" ")-1),",","."))+1,9))*12,NA()))),0),9)*'Aturan &amp; Tarif'!$B$4,2)</f>
        <v>511.02</v>
      </c>
      <c r="K136" s="32" t="n">
        <f aca="false">'Aturan &amp; Tarif'!$B$5</f>
        <v>2050</v>
      </c>
      <c r="L136" s="32" t="n">
        <f aca="false">'Aturan &amp; Tarif'!$B$6</f>
        <v>350</v>
      </c>
      <c r="M136" s="35" t="n">
        <f aca="false">I136+J136+K136+L136</f>
        <v>10911.02</v>
      </c>
      <c r="N136" s="36" t="s">
        <v>853</v>
      </c>
    </row>
    <row r="137" customFormat="false" ht="25.5" hidden="false" customHeight="true" outlineLevel="0" collapsed="false">
      <c r="A137" s="29"/>
      <c r="B137" s="30" t="s">
        <v>1913</v>
      </c>
      <c r="C137" s="31" t="s">
        <v>130</v>
      </c>
      <c r="D137" s="31" t="s">
        <v>737</v>
      </c>
      <c r="E137" s="32" t="n">
        <v>7800</v>
      </c>
      <c r="F137" s="32"/>
      <c r="G137" s="32" t="n">
        <v>200</v>
      </c>
      <c r="H137" s="33" t="n">
        <v>1</v>
      </c>
      <c r="I137" s="34" t="n">
        <f aca="false">E137*H137+N(F137)+N(G137)</f>
        <v>8000</v>
      </c>
      <c r="J137" s="32" t="n">
        <f aca="false">ROUND(IFERROR(ROUND(IF(OR(ISNUMBER(SEARCH("week",C137)),ISNUMBER(SEARCH("minggu",C137))),IFERROR(_xlfn.NUMBERVALUE(SUBSTITUTE(LEFT(TRIM(C137),FIND(" ",TRIM(C137)&amp;" ")-1),",","."),"."),LEFT(SUBSTITUTE(LEFT(TRIM(C137),FIND(" ",TRIM(C137)&amp;" ")-1),",","."),FIND("/",SUBSTITUTE(LEFT(TRIM(C137),FIND(" ",TRIM(C137)&amp;" ")-1),",","."))-1)/MID(SUBSTITUTE(LEFT(TRIM(C137),FIND(" ",TRIM(C137)&amp;" ")-1),",","."),FIND("/",SUBSTITUTE(LEFT(TRIM(C137),FIND(" ",TRIM(C137)&amp;" ")-1),",","."))+1,9))*12/52,IF(ISNUMBER(SEARCH("month",C137)),IFERROR(_xlfn.NUMBERVALUE(SUBSTITUTE(LEFT(TRIM(C137),FIND(" ",TRIM(C137)&amp;" ")-1),",","."),"."),LEFT(SUBSTITUTE(LEFT(TRIM(C137),FIND(" ",TRIM(C137)&amp;" ")-1),",","."),FIND("/",SUBSTITUTE(LEFT(TRIM(C137),FIND(" ",TRIM(C137)&amp;" ")-1),",","."))-1)/MID(SUBSTITUTE(LEFT(TRIM(C137),FIND(" ",TRIM(C137)&amp;" ")-1),",","."),FIND("/",SUBSTITUTE(LEFT(TRIM(C137),FIND(" ",TRIM(C137)&amp;" ")-1),",","."))+1,9)),IF(ISNUMBER(SEARCH("yea",C137)),IFERROR(_xlfn.NUMBERVALUE(SUBSTITUTE(LEFT(TRIM(C137),FIND(" ",TRIM(C137)&amp;" ")-1),",","."),"."),LEFT(SUBSTITUTE(LEFT(TRIM(C137),FIND(" ",TRIM(C137)&amp;" ")-1),",","."),FIND("/",SUBSTITUTE(LEFT(TRIM(C137),FIND(" ",TRIM(C137)&amp;" ")-1),",","."))-1)/MID(SUBSTITUTE(LEFT(TRIM(C137),FIND(" ",TRIM(C137)&amp;" ")-1),",","."),FIND("/",SUBSTITUTE(LEFT(TRIM(C137),FIND(" ",TRIM(C137)&amp;" ")-1),",","."))+1,9))*12,NA()))),0),12)*'Aturan &amp; Tarif'!$B$4,2)</f>
        <v>681.36</v>
      </c>
      <c r="K137" s="32" t="n">
        <f aca="false">'Aturan &amp; Tarif'!$B$5</f>
        <v>2050</v>
      </c>
      <c r="L137" s="32" t="n">
        <f aca="false">'Aturan &amp; Tarif'!$B$6</f>
        <v>350</v>
      </c>
      <c r="M137" s="35" t="n">
        <f aca="false">I137+J137+K137+L137</f>
        <v>11081.36</v>
      </c>
      <c r="N137" s="36" t="s">
        <v>853</v>
      </c>
    </row>
    <row r="138" customFormat="false" ht="60" hidden="false" customHeight="true" outlineLevel="0" collapsed="false">
      <c r="A138" s="29"/>
      <c r="B138" s="30" t="s">
        <v>971</v>
      </c>
      <c r="C138" s="31" t="s">
        <v>107</v>
      </c>
      <c r="D138" s="31" t="s">
        <v>737</v>
      </c>
      <c r="E138" s="32" t="n">
        <v>7800</v>
      </c>
      <c r="F138" s="32"/>
      <c r="G138" s="32" t="n">
        <v>200</v>
      </c>
      <c r="H138" s="33" t="n">
        <v>1</v>
      </c>
      <c r="I138" s="34" t="n">
        <f aca="false">E138*H138+N(F138)+N(G138)</f>
        <v>8000</v>
      </c>
      <c r="J138" s="32" t="n">
        <f aca="false">ROUND(IFERROR(ROUND(IF(OR(ISNUMBER(SEARCH("week",C138)),ISNUMBER(SEARCH("minggu",C138))),IFERROR(_xlfn.NUMBERVALUE(SUBSTITUTE(LEFT(TRIM(C138),FIND(" ",TRIM(C138)&amp;" ")-1),",","."),"."),LEFT(SUBSTITUTE(LEFT(TRIM(C138),FIND(" ",TRIM(C138)&amp;" ")-1),",","."),FIND("/",SUBSTITUTE(LEFT(TRIM(C138),FIND(" ",TRIM(C138)&amp;" ")-1),",","."))-1)/MID(SUBSTITUTE(LEFT(TRIM(C138),FIND(" ",TRIM(C138)&amp;" ")-1),",","."),FIND("/",SUBSTITUTE(LEFT(TRIM(C138),FIND(" ",TRIM(C138)&amp;" ")-1),",","."))+1,9))*12/52,IF(ISNUMBER(SEARCH("month",C138)),IFERROR(_xlfn.NUMBERVALUE(SUBSTITUTE(LEFT(TRIM(C138),FIND(" ",TRIM(C138)&amp;" ")-1),",","."),"."),LEFT(SUBSTITUTE(LEFT(TRIM(C138),FIND(" ",TRIM(C138)&amp;" ")-1),",","."),FIND("/",SUBSTITUTE(LEFT(TRIM(C138),FIND(" ",TRIM(C138)&amp;" ")-1),",","."))-1)/MID(SUBSTITUTE(LEFT(TRIM(C138),FIND(" ",TRIM(C138)&amp;" ")-1),",","."),FIND("/",SUBSTITUTE(LEFT(TRIM(C138),FIND(" ",TRIM(C138)&amp;" ")-1),",","."))+1,9)),IF(ISNUMBER(SEARCH("yea",C138)),IFERROR(_xlfn.NUMBERVALUE(SUBSTITUTE(LEFT(TRIM(C138),FIND(" ",TRIM(C138)&amp;" ")-1),",","."),"."),LEFT(SUBSTITUTE(LEFT(TRIM(C138),FIND(" ",TRIM(C138)&amp;" ")-1),",","."),FIND("/",SUBSTITUTE(LEFT(TRIM(C138),FIND(" ",TRIM(C138)&amp;" ")-1),",","."))-1)/MID(SUBSTITUTE(LEFT(TRIM(C138),FIND(" ",TRIM(C138)&amp;" ")-1),",","."),FIND("/",SUBSTITUTE(LEFT(TRIM(C138),FIND(" ",TRIM(C138)&amp;" ")-1),",","."))+1,9))*12,NA()))),0),24)*'Aturan &amp; Tarif'!$B$4,2)</f>
        <v>1362.72</v>
      </c>
      <c r="K138" s="32" t="n">
        <f aca="false">'Aturan &amp; Tarif'!$B$5</f>
        <v>2050</v>
      </c>
      <c r="L138" s="32" t="n">
        <f aca="false">'Aturan &amp; Tarif'!$B$6</f>
        <v>350</v>
      </c>
      <c r="M138" s="35" t="n">
        <f aca="false">I138+J138+K138+L138</f>
        <v>11762.72</v>
      </c>
      <c r="N138" s="36" t="s">
        <v>855</v>
      </c>
    </row>
    <row r="139" customFormat="false" ht="48.75" hidden="false" customHeight="true" outlineLevel="0" collapsed="false">
      <c r="A139" s="29"/>
      <c r="B139" s="30" t="s">
        <v>1914</v>
      </c>
      <c r="C139" s="31" t="s">
        <v>344</v>
      </c>
      <c r="D139" s="31" t="s">
        <v>737</v>
      </c>
      <c r="E139" s="32" t="n">
        <v>7800</v>
      </c>
      <c r="F139" s="32"/>
      <c r="G139" s="32" t="n">
        <v>200</v>
      </c>
      <c r="H139" s="33" t="n">
        <v>1</v>
      </c>
      <c r="I139" s="34" t="n">
        <f aca="false">E139*H139+N(F139)+N(G139)</f>
        <v>8000</v>
      </c>
      <c r="J139" s="32" t="n">
        <f aca="false">ROUND(IFERROR(ROUND(IF(OR(ISNUMBER(SEARCH("week",C139)),ISNUMBER(SEARCH("minggu",C139))),IFERROR(_xlfn.NUMBERVALUE(SUBSTITUTE(LEFT(TRIM(C139),FIND(" ",TRIM(C139)&amp;" ")-1),",","."),"."),LEFT(SUBSTITUTE(LEFT(TRIM(C139),FIND(" ",TRIM(C139)&amp;" ")-1),",","."),FIND("/",SUBSTITUTE(LEFT(TRIM(C139),FIND(" ",TRIM(C139)&amp;" ")-1),",","."))-1)/MID(SUBSTITUTE(LEFT(TRIM(C139),FIND(" ",TRIM(C139)&amp;" ")-1),",","."),FIND("/",SUBSTITUTE(LEFT(TRIM(C139),FIND(" ",TRIM(C139)&amp;" ")-1),",","."))+1,9))*12/52,IF(ISNUMBER(SEARCH("month",C139)),IFERROR(_xlfn.NUMBERVALUE(SUBSTITUTE(LEFT(TRIM(C139),FIND(" ",TRIM(C139)&amp;" ")-1),",","."),"."),LEFT(SUBSTITUTE(LEFT(TRIM(C139),FIND(" ",TRIM(C139)&amp;" ")-1),",","."),FIND("/",SUBSTITUTE(LEFT(TRIM(C139),FIND(" ",TRIM(C139)&amp;" ")-1),",","."))-1)/MID(SUBSTITUTE(LEFT(TRIM(C139),FIND(" ",TRIM(C139)&amp;" ")-1),",","."),FIND("/",SUBSTITUTE(LEFT(TRIM(C139),FIND(" ",TRIM(C139)&amp;" ")-1),",","."))+1,9)),IF(ISNUMBER(SEARCH("yea",C139)),IFERROR(_xlfn.NUMBERVALUE(SUBSTITUTE(LEFT(TRIM(C139),FIND(" ",TRIM(C139)&amp;" ")-1),",","."),"."),LEFT(SUBSTITUTE(LEFT(TRIM(C139),FIND(" ",TRIM(C139)&amp;" ")-1),",","."),FIND("/",SUBSTITUTE(LEFT(TRIM(C139),FIND(" ",TRIM(C139)&amp;" ")-1),",","."))-1)/MID(SUBSTITUTE(LEFT(TRIM(C139),FIND(" ",TRIM(C139)&amp;" ")-1),",","."),FIND("/",SUBSTITUTE(LEFT(TRIM(C139),FIND(" ",TRIM(C139)&amp;" ")-1),",","."))+1,9))*12,NA()))),0),6)*'Aturan &amp; Tarif'!$B$4,2)</f>
        <v>340.68</v>
      </c>
      <c r="K139" s="32" t="n">
        <f aca="false">'Aturan &amp; Tarif'!$B$5</f>
        <v>2050</v>
      </c>
      <c r="L139" s="32" t="n">
        <f aca="false">'Aturan &amp; Tarif'!$B$6</f>
        <v>350</v>
      </c>
      <c r="M139" s="35" t="n">
        <f aca="false">I139+J139+K139+L139</f>
        <v>10740.68</v>
      </c>
      <c r="N139" s="36" t="s">
        <v>853</v>
      </c>
    </row>
    <row r="140" customFormat="false" ht="48.75" hidden="false" customHeight="true" outlineLevel="0" collapsed="false">
      <c r="A140" s="29"/>
      <c r="B140" s="30" t="s">
        <v>1915</v>
      </c>
      <c r="C140" s="31" t="s">
        <v>107</v>
      </c>
      <c r="D140" s="31" t="s">
        <v>737</v>
      </c>
      <c r="E140" s="32" t="n">
        <v>7800</v>
      </c>
      <c r="F140" s="32"/>
      <c r="G140" s="32" t="n">
        <v>200</v>
      </c>
      <c r="H140" s="33" t="n">
        <v>1</v>
      </c>
      <c r="I140" s="34" t="n">
        <f aca="false">E140*H140+N(F140)+N(G140)</f>
        <v>8000</v>
      </c>
      <c r="J140" s="32" t="n">
        <f aca="false">ROUND(IFERROR(ROUND(IF(OR(ISNUMBER(SEARCH("week",C140)),ISNUMBER(SEARCH("minggu",C140))),IFERROR(_xlfn.NUMBERVALUE(SUBSTITUTE(LEFT(TRIM(C140),FIND(" ",TRIM(C140)&amp;" ")-1),",","."),"."),LEFT(SUBSTITUTE(LEFT(TRIM(C140),FIND(" ",TRIM(C140)&amp;" ")-1),",","."),FIND("/",SUBSTITUTE(LEFT(TRIM(C140),FIND(" ",TRIM(C140)&amp;" ")-1),",","."))-1)/MID(SUBSTITUTE(LEFT(TRIM(C140),FIND(" ",TRIM(C140)&amp;" ")-1),",","."),FIND("/",SUBSTITUTE(LEFT(TRIM(C140),FIND(" ",TRIM(C140)&amp;" ")-1),",","."))+1,9))*12/52,IF(ISNUMBER(SEARCH("month",C140)),IFERROR(_xlfn.NUMBERVALUE(SUBSTITUTE(LEFT(TRIM(C140),FIND(" ",TRIM(C140)&amp;" ")-1),",","."),"."),LEFT(SUBSTITUTE(LEFT(TRIM(C140),FIND(" ",TRIM(C140)&amp;" ")-1),",","."),FIND("/",SUBSTITUTE(LEFT(TRIM(C140),FIND(" ",TRIM(C140)&amp;" ")-1),",","."))-1)/MID(SUBSTITUTE(LEFT(TRIM(C140),FIND(" ",TRIM(C140)&amp;" ")-1),",","."),FIND("/",SUBSTITUTE(LEFT(TRIM(C140),FIND(" ",TRIM(C140)&amp;" ")-1),",","."))+1,9)),IF(ISNUMBER(SEARCH("yea",C140)),IFERROR(_xlfn.NUMBERVALUE(SUBSTITUTE(LEFT(TRIM(C140),FIND(" ",TRIM(C140)&amp;" ")-1),",","."),"."),LEFT(SUBSTITUTE(LEFT(TRIM(C140),FIND(" ",TRIM(C140)&amp;" ")-1),",","."),FIND("/",SUBSTITUTE(LEFT(TRIM(C140),FIND(" ",TRIM(C140)&amp;" ")-1),",","."))-1)/MID(SUBSTITUTE(LEFT(TRIM(C140),FIND(" ",TRIM(C140)&amp;" ")-1),",","."),FIND("/",SUBSTITUTE(LEFT(TRIM(C140),FIND(" ",TRIM(C140)&amp;" ")-1),",","."))+1,9))*12,NA()))),0),24)*'Aturan &amp; Tarif'!$B$4,2)</f>
        <v>1362.72</v>
      </c>
      <c r="K140" s="32" t="n">
        <f aca="false">'Aturan &amp; Tarif'!$B$5</f>
        <v>2050</v>
      </c>
      <c r="L140" s="32" t="n">
        <f aca="false">'Aturan &amp; Tarif'!$B$6</f>
        <v>350</v>
      </c>
      <c r="M140" s="35" t="n">
        <f aca="false">I140+J140+K140+L140</f>
        <v>11762.72</v>
      </c>
      <c r="N140" s="36" t="s">
        <v>855</v>
      </c>
    </row>
    <row r="141" customFormat="false" ht="48.75" hidden="false" customHeight="true" outlineLevel="0" collapsed="false">
      <c r="A141" s="29"/>
      <c r="B141" s="30" t="s">
        <v>1916</v>
      </c>
      <c r="C141" s="31" t="s">
        <v>852</v>
      </c>
      <c r="D141" s="31" t="s">
        <v>737</v>
      </c>
      <c r="E141" s="32" t="n">
        <v>7800</v>
      </c>
      <c r="F141" s="32"/>
      <c r="G141" s="32" t="n">
        <v>200</v>
      </c>
      <c r="H141" s="33" t="n">
        <v>1</v>
      </c>
      <c r="I141" s="34" t="n">
        <f aca="false">E141*H141+N(F141)+N(G141)</f>
        <v>8000</v>
      </c>
      <c r="J141" s="32" t="n">
        <f aca="false">ROUND(IFERROR(ROUND(IF(OR(ISNUMBER(SEARCH("week",C141)),ISNUMBER(SEARCH("minggu",C141))),IFERROR(_xlfn.NUMBERVALUE(SUBSTITUTE(LEFT(TRIM(C141),FIND(" ",TRIM(C141)&amp;" ")-1),",","."),"."),LEFT(SUBSTITUTE(LEFT(TRIM(C141),FIND(" ",TRIM(C141)&amp;" ")-1),",","."),FIND("/",SUBSTITUTE(LEFT(TRIM(C141),FIND(" ",TRIM(C141)&amp;" ")-1),",","."))-1)/MID(SUBSTITUTE(LEFT(TRIM(C141),FIND(" ",TRIM(C141)&amp;" ")-1),",","."),FIND("/",SUBSTITUTE(LEFT(TRIM(C141),FIND(" ",TRIM(C141)&amp;" ")-1),",","."))+1,9))*12/52,IF(ISNUMBER(SEARCH("month",C141)),IFERROR(_xlfn.NUMBERVALUE(SUBSTITUTE(LEFT(TRIM(C141),FIND(" ",TRIM(C141)&amp;" ")-1),",","."),"."),LEFT(SUBSTITUTE(LEFT(TRIM(C141),FIND(" ",TRIM(C141)&amp;" ")-1),",","."),FIND("/",SUBSTITUTE(LEFT(TRIM(C141),FIND(" ",TRIM(C141)&amp;" ")-1),",","."))-1)/MID(SUBSTITUTE(LEFT(TRIM(C141),FIND(" ",TRIM(C141)&amp;" ")-1),",","."),FIND("/",SUBSTITUTE(LEFT(TRIM(C141),FIND(" ",TRIM(C141)&amp;" ")-1),",","."))+1,9)),IF(ISNUMBER(SEARCH("yea",C141)),IFERROR(_xlfn.NUMBERVALUE(SUBSTITUTE(LEFT(TRIM(C141),FIND(" ",TRIM(C141)&amp;" ")-1),",","."),"."),LEFT(SUBSTITUTE(LEFT(TRIM(C141),FIND(" ",TRIM(C141)&amp;" ")-1),",","."),FIND("/",SUBSTITUTE(LEFT(TRIM(C141),FIND(" ",TRIM(C141)&amp;" ")-1),",","."))-1)/MID(SUBSTITUTE(LEFT(TRIM(C141),FIND(" ",TRIM(C141)&amp;" ")-1),",","."),FIND("/",SUBSTITUTE(LEFT(TRIM(C141),FIND(" ",TRIM(C141)&amp;" ")-1),",","."))+1,9))*12,NA()))),0),9)*'Aturan &amp; Tarif'!$B$4,2)</f>
        <v>511.02</v>
      </c>
      <c r="K141" s="32" t="n">
        <f aca="false">'Aturan &amp; Tarif'!$B$5</f>
        <v>2050</v>
      </c>
      <c r="L141" s="32" t="n">
        <f aca="false">'Aturan &amp; Tarif'!$B$6</f>
        <v>350</v>
      </c>
      <c r="M141" s="35" t="n">
        <f aca="false">I141+J141+K141+L141</f>
        <v>10911.02</v>
      </c>
      <c r="N141" s="36" t="s">
        <v>853</v>
      </c>
    </row>
    <row r="142" customFormat="false" ht="48.75" hidden="false" customHeight="true" outlineLevel="0" collapsed="false">
      <c r="A142" s="29"/>
      <c r="B142" s="30" t="s">
        <v>1917</v>
      </c>
      <c r="C142" s="31" t="s">
        <v>130</v>
      </c>
      <c r="D142" s="31" t="s">
        <v>737</v>
      </c>
      <c r="E142" s="32" t="n">
        <v>7800</v>
      </c>
      <c r="F142" s="32"/>
      <c r="G142" s="32" t="n">
        <v>200</v>
      </c>
      <c r="H142" s="33" t="n">
        <v>1</v>
      </c>
      <c r="I142" s="34" t="n">
        <f aca="false">E142*H142+N(F142)+N(G142)</f>
        <v>8000</v>
      </c>
      <c r="J142" s="32" t="n">
        <f aca="false">ROUND(IFERROR(ROUND(IF(OR(ISNUMBER(SEARCH("week",C142)),ISNUMBER(SEARCH("minggu",C142))),IFERROR(_xlfn.NUMBERVALUE(SUBSTITUTE(LEFT(TRIM(C142),FIND(" ",TRIM(C142)&amp;" ")-1),",","."),"."),LEFT(SUBSTITUTE(LEFT(TRIM(C142),FIND(" ",TRIM(C142)&amp;" ")-1),",","."),FIND("/",SUBSTITUTE(LEFT(TRIM(C142),FIND(" ",TRIM(C142)&amp;" ")-1),",","."))-1)/MID(SUBSTITUTE(LEFT(TRIM(C142),FIND(" ",TRIM(C142)&amp;" ")-1),",","."),FIND("/",SUBSTITUTE(LEFT(TRIM(C142),FIND(" ",TRIM(C142)&amp;" ")-1),",","."))+1,9))*12/52,IF(ISNUMBER(SEARCH("month",C142)),IFERROR(_xlfn.NUMBERVALUE(SUBSTITUTE(LEFT(TRIM(C142),FIND(" ",TRIM(C142)&amp;" ")-1),",","."),"."),LEFT(SUBSTITUTE(LEFT(TRIM(C142),FIND(" ",TRIM(C142)&amp;" ")-1),",","."),FIND("/",SUBSTITUTE(LEFT(TRIM(C142),FIND(" ",TRIM(C142)&amp;" ")-1),",","."))-1)/MID(SUBSTITUTE(LEFT(TRIM(C142),FIND(" ",TRIM(C142)&amp;" ")-1),",","."),FIND("/",SUBSTITUTE(LEFT(TRIM(C142),FIND(" ",TRIM(C142)&amp;" ")-1),",","."))+1,9)),IF(ISNUMBER(SEARCH("yea",C142)),IFERROR(_xlfn.NUMBERVALUE(SUBSTITUTE(LEFT(TRIM(C142),FIND(" ",TRIM(C142)&amp;" ")-1),",","."),"."),LEFT(SUBSTITUTE(LEFT(TRIM(C142),FIND(" ",TRIM(C142)&amp;" ")-1),",","."),FIND("/",SUBSTITUTE(LEFT(TRIM(C142),FIND(" ",TRIM(C142)&amp;" ")-1),",","."))-1)/MID(SUBSTITUTE(LEFT(TRIM(C142),FIND(" ",TRIM(C142)&amp;" ")-1),",","."),FIND("/",SUBSTITUTE(LEFT(TRIM(C142),FIND(" ",TRIM(C142)&amp;" ")-1),",","."))+1,9))*12,NA()))),0),12)*'Aturan &amp; Tarif'!$B$4,2)</f>
        <v>681.36</v>
      </c>
      <c r="K142" s="32" t="n">
        <f aca="false">'Aturan &amp; Tarif'!$B$5</f>
        <v>2050</v>
      </c>
      <c r="L142" s="32" t="n">
        <f aca="false">'Aturan &amp; Tarif'!$B$6</f>
        <v>350</v>
      </c>
      <c r="M142" s="35" t="n">
        <f aca="false">I142+J142+K142+L142</f>
        <v>11081.36</v>
      </c>
      <c r="N142" s="36" t="s">
        <v>853</v>
      </c>
    </row>
    <row r="143" customFormat="false" ht="48.75" hidden="false" customHeight="true" outlineLevel="0" collapsed="false">
      <c r="A143" s="29"/>
      <c r="B143" s="30" t="s">
        <v>859</v>
      </c>
      <c r="C143" s="31" t="s">
        <v>107</v>
      </c>
      <c r="D143" s="31" t="s">
        <v>737</v>
      </c>
      <c r="E143" s="32" t="n">
        <v>7800</v>
      </c>
      <c r="F143" s="32"/>
      <c r="G143" s="32" t="n">
        <v>200</v>
      </c>
      <c r="H143" s="33" t="n">
        <v>1</v>
      </c>
      <c r="I143" s="34" t="n">
        <f aca="false">E143*H143+N(F143)+N(G143)</f>
        <v>8000</v>
      </c>
      <c r="J143" s="32" t="n">
        <f aca="false">ROUND(IFERROR(ROUND(IF(OR(ISNUMBER(SEARCH("week",C143)),ISNUMBER(SEARCH("minggu",C143))),IFERROR(_xlfn.NUMBERVALUE(SUBSTITUTE(LEFT(TRIM(C143),FIND(" ",TRIM(C143)&amp;" ")-1),",","."),"."),LEFT(SUBSTITUTE(LEFT(TRIM(C143),FIND(" ",TRIM(C143)&amp;" ")-1),",","."),FIND("/",SUBSTITUTE(LEFT(TRIM(C143),FIND(" ",TRIM(C143)&amp;" ")-1),",","."))-1)/MID(SUBSTITUTE(LEFT(TRIM(C143),FIND(" ",TRIM(C143)&amp;" ")-1),",","."),FIND("/",SUBSTITUTE(LEFT(TRIM(C143),FIND(" ",TRIM(C143)&amp;" ")-1),",","."))+1,9))*12/52,IF(ISNUMBER(SEARCH("month",C143)),IFERROR(_xlfn.NUMBERVALUE(SUBSTITUTE(LEFT(TRIM(C143),FIND(" ",TRIM(C143)&amp;" ")-1),",","."),"."),LEFT(SUBSTITUTE(LEFT(TRIM(C143),FIND(" ",TRIM(C143)&amp;" ")-1),",","."),FIND("/",SUBSTITUTE(LEFT(TRIM(C143),FIND(" ",TRIM(C143)&amp;" ")-1),",","."))-1)/MID(SUBSTITUTE(LEFT(TRIM(C143),FIND(" ",TRIM(C143)&amp;" ")-1),",","."),FIND("/",SUBSTITUTE(LEFT(TRIM(C143),FIND(" ",TRIM(C143)&amp;" ")-1),",","."))+1,9)),IF(ISNUMBER(SEARCH("yea",C143)),IFERROR(_xlfn.NUMBERVALUE(SUBSTITUTE(LEFT(TRIM(C143),FIND(" ",TRIM(C143)&amp;" ")-1),",","."),"."),LEFT(SUBSTITUTE(LEFT(TRIM(C143),FIND(" ",TRIM(C143)&amp;" ")-1),",","."),FIND("/",SUBSTITUTE(LEFT(TRIM(C143),FIND(" ",TRIM(C143)&amp;" ")-1),",","."))-1)/MID(SUBSTITUTE(LEFT(TRIM(C143),FIND(" ",TRIM(C143)&amp;" ")-1),",","."),FIND("/",SUBSTITUTE(LEFT(TRIM(C143),FIND(" ",TRIM(C143)&amp;" ")-1),",","."))+1,9))*12,NA()))),0),24)*'Aturan &amp; Tarif'!$B$4,2)</f>
        <v>1362.72</v>
      </c>
      <c r="K143" s="32" t="n">
        <f aca="false">'Aturan &amp; Tarif'!$B$5</f>
        <v>2050</v>
      </c>
      <c r="L143" s="32" t="n">
        <f aca="false">'Aturan &amp; Tarif'!$B$6</f>
        <v>350</v>
      </c>
      <c r="M143" s="35" t="n">
        <f aca="false">I143+J143+K143+L143</f>
        <v>11762.72</v>
      </c>
      <c r="N143" s="36" t="s">
        <v>855</v>
      </c>
    </row>
    <row r="144" customFormat="false" ht="25.5" hidden="false" customHeight="true" outlineLevel="0" collapsed="false">
      <c r="A144" s="29" t="s">
        <v>1918</v>
      </c>
      <c r="B144" s="30" t="s">
        <v>1919</v>
      </c>
      <c r="C144" s="31" t="s">
        <v>127</v>
      </c>
      <c r="D144" s="31" t="s">
        <v>737</v>
      </c>
      <c r="E144" s="32" t="n">
        <v>4800</v>
      </c>
      <c r="F144" s="32" t="n">
        <v>250</v>
      </c>
      <c r="G144" s="32" t="n">
        <v>250</v>
      </c>
      <c r="H144" s="33" t="n">
        <v>1</v>
      </c>
      <c r="I144" s="34" t="n">
        <f aca="false">E144*H144+N(F144)+N(G144)</f>
        <v>5300</v>
      </c>
      <c r="J144" s="32" t="n">
        <f aca="false">ROUND(IFERROR(ROUND(IF(OR(ISNUMBER(SEARCH("week",C144)),ISNUMBER(SEARCH("minggu",C144))),IFERROR(_xlfn.NUMBERVALUE(SUBSTITUTE(LEFT(TRIM(C144),FIND(" ",TRIM(C144)&amp;" ")-1),",","."),"."),LEFT(SUBSTITUTE(LEFT(TRIM(C144),FIND(" ",TRIM(C144)&amp;" ")-1),",","."),FIND("/",SUBSTITUTE(LEFT(TRIM(C144),FIND(" ",TRIM(C144)&amp;" ")-1),",","."))-1)/MID(SUBSTITUTE(LEFT(TRIM(C144),FIND(" ",TRIM(C144)&amp;" ")-1),",","."),FIND("/",SUBSTITUTE(LEFT(TRIM(C144),FIND(" ",TRIM(C144)&amp;" ")-1),",","."))+1,9))*12/52,IF(ISNUMBER(SEARCH("month",C144)),IFERROR(_xlfn.NUMBERVALUE(SUBSTITUTE(LEFT(TRIM(C144),FIND(" ",TRIM(C144)&amp;" ")-1),",","."),"."),LEFT(SUBSTITUTE(LEFT(TRIM(C144),FIND(" ",TRIM(C144)&amp;" ")-1),",","."),FIND("/",SUBSTITUTE(LEFT(TRIM(C144),FIND(" ",TRIM(C144)&amp;" ")-1),",","."))-1)/MID(SUBSTITUTE(LEFT(TRIM(C144),FIND(" ",TRIM(C144)&amp;" ")-1),",","."),FIND("/",SUBSTITUTE(LEFT(TRIM(C144),FIND(" ",TRIM(C144)&amp;" ")-1),",","."))+1,9)),IF(ISNUMBER(SEARCH("yea",C144)),IFERROR(_xlfn.NUMBERVALUE(SUBSTITUTE(LEFT(TRIM(C144),FIND(" ",TRIM(C144)&amp;" ")-1),",","."),"."),LEFT(SUBSTITUTE(LEFT(TRIM(C144),FIND(" ",TRIM(C144)&amp;" ")-1),",","."),FIND("/",SUBSTITUTE(LEFT(TRIM(C144),FIND(" ",TRIM(C144)&amp;" ")-1),",","."))-1)/MID(SUBSTITUTE(LEFT(TRIM(C144),FIND(" ",TRIM(C144)&amp;" ")-1),",","."),FIND("/",SUBSTITUTE(LEFT(TRIM(C144),FIND(" ",TRIM(C144)&amp;" ")-1),",","."))+1,9))*12,NA()))),0),36)*'Aturan &amp; Tarif'!$B$4,2)</f>
        <v>2044.08</v>
      </c>
      <c r="K144" s="32" t="n">
        <f aca="false">'Aturan &amp; Tarif'!$B$5</f>
        <v>2050</v>
      </c>
      <c r="L144" s="32" t="n">
        <f aca="false">'Aturan &amp; Tarif'!$B$6</f>
        <v>350</v>
      </c>
      <c r="M144" s="35" t="n">
        <f aca="false">I144+J144+K144+L144</f>
        <v>9744.08</v>
      </c>
      <c r="N144" s="36" t="s">
        <v>131</v>
      </c>
    </row>
    <row r="145" customFormat="false" ht="94.5" hidden="false" customHeight="true" outlineLevel="0" collapsed="false">
      <c r="A145" s="29"/>
      <c r="B145" s="30" t="s">
        <v>1920</v>
      </c>
      <c r="C145" s="31" t="s">
        <v>127</v>
      </c>
      <c r="D145" s="31" t="s">
        <v>737</v>
      </c>
      <c r="E145" s="32" t="n">
        <v>4800</v>
      </c>
      <c r="F145" s="32" t="n">
        <v>250</v>
      </c>
      <c r="G145" s="32" t="n">
        <v>250</v>
      </c>
      <c r="H145" s="33" t="n">
        <v>1</v>
      </c>
      <c r="I145" s="34" t="n">
        <f aca="false">E145*H145+N(F145)+N(G145)</f>
        <v>5300</v>
      </c>
      <c r="J145" s="32" t="n">
        <f aca="false">ROUND(IFERROR(ROUND(IF(OR(ISNUMBER(SEARCH("week",C145)),ISNUMBER(SEARCH("minggu",C145))),IFERROR(_xlfn.NUMBERVALUE(SUBSTITUTE(LEFT(TRIM(C145),FIND(" ",TRIM(C145)&amp;" ")-1),",","."),"."),LEFT(SUBSTITUTE(LEFT(TRIM(C145),FIND(" ",TRIM(C145)&amp;" ")-1),",","."),FIND("/",SUBSTITUTE(LEFT(TRIM(C145),FIND(" ",TRIM(C145)&amp;" ")-1),",","."))-1)/MID(SUBSTITUTE(LEFT(TRIM(C145),FIND(" ",TRIM(C145)&amp;" ")-1),",","."),FIND("/",SUBSTITUTE(LEFT(TRIM(C145),FIND(" ",TRIM(C145)&amp;" ")-1),",","."))+1,9))*12/52,IF(ISNUMBER(SEARCH("month",C145)),IFERROR(_xlfn.NUMBERVALUE(SUBSTITUTE(LEFT(TRIM(C145),FIND(" ",TRIM(C145)&amp;" ")-1),",","."),"."),LEFT(SUBSTITUTE(LEFT(TRIM(C145),FIND(" ",TRIM(C145)&amp;" ")-1),",","."),FIND("/",SUBSTITUTE(LEFT(TRIM(C145),FIND(" ",TRIM(C145)&amp;" ")-1),",","."))-1)/MID(SUBSTITUTE(LEFT(TRIM(C145),FIND(" ",TRIM(C145)&amp;" ")-1),",","."),FIND("/",SUBSTITUTE(LEFT(TRIM(C145),FIND(" ",TRIM(C145)&amp;" ")-1),",","."))+1,9)),IF(ISNUMBER(SEARCH("yea",C145)),IFERROR(_xlfn.NUMBERVALUE(SUBSTITUTE(LEFT(TRIM(C145),FIND(" ",TRIM(C145)&amp;" ")-1),",","."),"."),LEFT(SUBSTITUTE(LEFT(TRIM(C145),FIND(" ",TRIM(C145)&amp;" ")-1),",","."),FIND("/",SUBSTITUTE(LEFT(TRIM(C145),FIND(" ",TRIM(C145)&amp;" ")-1),",","."))-1)/MID(SUBSTITUTE(LEFT(TRIM(C145),FIND(" ",TRIM(C145)&amp;" ")-1),",","."),FIND("/",SUBSTITUTE(LEFT(TRIM(C145),FIND(" ",TRIM(C145)&amp;" ")-1),",","."))+1,9))*12,NA()))),0),36)*'Aturan &amp; Tarif'!$B$4,2)</f>
        <v>2044.08</v>
      </c>
      <c r="K145" s="32" t="n">
        <f aca="false">'Aturan &amp; Tarif'!$B$5</f>
        <v>2050</v>
      </c>
      <c r="L145" s="32" t="n">
        <f aca="false">'Aturan &amp; Tarif'!$B$6</f>
        <v>350</v>
      </c>
      <c r="M145" s="35" t="n">
        <f aca="false">I145+J145+K145+L145</f>
        <v>9744.08</v>
      </c>
      <c r="N145" s="36" t="s">
        <v>131</v>
      </c>
    </row>
    <row r="146" customFormat="false" ht="94.5" hidden="false" customHeight="true" outlineLevel="0" collapsed="false">
      <c r="A146" s="29"/>
      <c r="B146" s="30" t="s">
        <v>1921</v>
      </c>
      <c r="C146" s="31" t="s">
        <v>127</v>
      </c>
      <c r="D146" s="31" t="s">
        <v>737</v>
      </c>
      <c r="E146" s="32" t="n">
        <v>4800</v>
      </c>
      <c r="F146" s="32" t="n">
        <v>250</v>
      </c>
      <c r="G146" s="32" t="n">
        <v>250</v>
      </c>
      <c r="H146" s="33" t="n">
        <v>1</v>
      </c>
      <c r="I146" s="34" t="n">
        <f aca="false">E146*H146+N(F146)+N(G146)</f>
        <v>5300</v>
      </c>
      <c r="J146" s="32" t="n">
        <f aca="false">ROUND(IFERROR(ROUND(IF(OR(ISNUMBER(SEARCH("week",C146)),ISNUMBER(SEARCH("minggu",C146))),IFERROR(_xlfn.NUMBERVALUE(SUBSTITUTE(LEFT(TRIM(C146),FIND(" ",TRIM(C146)&amp;" ")-1),",","."),"."),LEFT(SUBSTITUTE(LEFT(TRIM(C146),FIND(" ",TRIM(C146)&amp;" ")-1),",","."),FIND("/",SUBSTITUTE(LEFT(TRIM(C146),FIND(" ",TRIM(C146)&amp;" ")-1),",","."))-1)/MID(SUBSTITUTE(LEFT(TRIM(C146),FIND(" ",TRIM(C146)&amp;" ")-1),",","."),FIND("/",SUBSTITUTE(LEFT(TRIM(C146),FIND(" ",TRIM(C146)&amp;" ")-1),",","."))+1,9))*12/52,IF(ISNUMBER(SEARCH("month",C146)),IFERROR(_xlfn.NUMBERVALUE(SUBSTITUTE(LEFT(TRIM(C146),FIND(" ",TRIM(C146)&amp;" ")-1),",","."),"."),LEFT(SUBSTITUTE(LEFT(TRIM(C146),FIND(" ",TRIM(C146)&amp;" ")-1),",","."),FIND("/",SUBSTITUTE(LEFT(TRIM(C146),FIND(" ",TRIM(C146)&amp;" ")-1),",","."))-1)/MID(SUBSTITUTE(LEFT(TRIM(C146),FIND(" ",TRIM(C146)&amp;" ")-1),",","."),FIND("/",SUBSTITUTE(LEFT(TRIM(C146),FIND(" ",TRIM(C146)&amp;" ")-1),",","."))+1,9)),IF(ISNUMBER(SEARCH("yea",C146)),IFERROR(_xlfn.NUMBERVALUE(SUBSTITUTE(LEFT(TRIM(C146),FIND(" ",TRIM(C146)&amp;" ")-1),",","."),"."),LEFT(SUBSTITUTE(LEFT(TRIM(C146),FIND(" ",TRIM(C146)&amp;" ")-1),",","."),FIND("/",SUBSTITUTE(LEFT(TRIM(C146),FIND(" ",TRIM(C146)&amp;" ")-1),",","."))-1)/MID(SUBSTITUTE(LEFT(TRIM(C146),FIND(" ",TRIM(C146)&amp;" ")-1),",","."),FIND("/",SUBSTITUTE(LEFT(TRIM(C146),FIND(" ",TRIM(C146)&amp;" ")-1),",","."))+1,9))*12,NA()))),0),36)*'Aturan &amp; Tarif'!$B$4,2)</f>
        <v>2044.08</v>
      </c>
      <c r="K146" s="32" t="n">
        <f aca="false">'Aturan &amp; Tarif'!$B$5</f>
        <v>2050</v>
      </c>
      <c r="L146" s="32" t="n">
        <f aca="false">'Aturan &amp; Tarif'!$B$6</f>
        <v>350</v>
      </c>
      <c r="M146" s="35" t="n">
        <f aca="false">I146+J146+K146+L146</f>
        <v>9744.08</v>
      </c>
      <c r="N146" s="37" t="s">
        <v>134</v>
      </c>
    </row>
    <row r="147" customFormat="false" ht="25.5" hidden="false" customHeight="true" outlineLevel="0" collapsed="false">
      <c r="A147" s="29"/>
      <c r="B147" s="30" t="s">
        <v>1922</v>
      </c>
      <c r="C147" s="31" t="s">
        <v>127</v>
      </c>
      <c r="D147" s="31" t="s">
        <v>737</v>
      </c>
      <c r="E147" s="32" t="n">
        <v>4800</v>
      </c>
      <c r="F147" s="32" t="n">
        <v>250</v>
      </c>
      <c r="G147" s="32" t="n">
        <v>250</v>
      </c>
      <c r="H147" s="33" t="n">
        <v>1</v>
      </c>
      <c r="I147" s="34" t="n">
        <f aca="false">E147*H147+N(F147)+N(G147)</f>
        <v>5300</v>
      </c>
      <c r="J147" s="32" t="n">
        <f aca="false">ROUND(IFERROR(ROUND(IF(OR(ISNUMBER(SEARCH("week",C147)),ISNUMBER(SEARCH("minggu",C147))),IFERROR(_xlfn.NUMBERVALUE(SUBSTITUTE(LEFT(TRIM(C147),FIND(" ",TRIM(C147)&amp;" ")-1),",","."),"."),LEFT(SUBSTITUTE(LEFT(TRIM(C147),FIND(" ",TRIM(C147)&amp;" ")-1),",","."),FIND("/",SUBSTITUTE(LEFT(TRIM(C147),FIND(" ",TRIM(C147)&amp;" ")-1),",","."))-1)/MID(SUBSTITUTE(LEFT(TRIM(C147),FIND(" ",TRIM(C147)&amp;" ")-1),",","."),FIND("/",SUBSTITUTE(LEFT(TRIM(C147),FIND(" ",TRIM(C147)&amp;" ")-1),",","."))+1,9))*12/52,IF(ISNUMBER(SEARCH("month",C147)),IFERROR(_xlfn.NUMBERVALUE(SUBSTITUTE(LEFT(TRIM(C147),FIND(" ",TRIM(C147)&amp;" ")-1),",","."),"."),LEFT(SUBSTITUTE(LEFT(TRIM(C147),FIND(" ",TRIM(C147)&amp;" ")-1),",","."),FIND("/",SUBSTITUTE(LEFT(TRIM(C147),FIND(" ",TRIM(C147)&amp;" ")-1),",","."))-1)/MID(SUBSTITUTE(LEFT(TRIM(C147),FIND(" ",TRIM(C147)&amp;" ")-1),",","."),FIND("/",SUBSTITUTE(LEFT(TRIM(C147),FIND(" ",TRIM(C147)&amp;" ")-1),",","."))+1,9)),IF(ISNUMBER(SEARCH("yea",C147)),IFERROR(_xlfn.NUMBERVALUE(SUBSTITUTE(LEFT(TRIM(C147),FIND(" ",TRIM(C147)&amp;" ")-1),",","."),"."),LEFT(SUBSTITUTE(LEFT(TRIM(C147),FIND(" ",TRIM(C147)&amp;" ")-1),",","."),FIND("/",SUBSTITUTE(LEFT(TRIM(C147),FIND(" ",TRIM(C147)&amp;" ")-1),",","."))-1)/MID(SUBSTITUTE(LEFT(TRIM(C147),FIND(" ",TRIM(C147)&amp;" ")-1),",","."),FIND("/",SUBSTITUTE(LEFT(TRIM(C147),FIND(" ",TRIM(C147)&amp;" ")-1),",","."))+1,9))*12,NA()))),0),36)*'Aturan &amp; Tarif'!$B$4,2)</f>
        <v>2044.08</v>
      </c>
      <c r="K147" s="32" t="n">
        <f aca="false">'Aturan &amp; Tarif'!$B$5</f>
        <v>2050</v>
      </c>
      <c r="L147" s="32" t="n">
        <f aca="false">'Aturan &amp; Tarif'!$B$6</f>
        <v>350</v>
      </c>
      <c r="M147" s="35" t="n">
        <f aca="false">I147+J147+K147+L147</f>
        <v>9744.08</v>
      </c>
      <c r="N147" s="36" t="s">
        <v>131</v>
      </c>
    </row>
    <row r="148" customFormat="false" ht="25.5" hidden="false" customHeight="true" outlineLevel="0" collapsed="false">
      <c r="A148" s="29"/>
      <c r="B148" s="30" t="s">
        <v>1923</v>
      </c>
      <c r="C148" s="31" t="s">
        <v>127</v>
      </c>
      <c r="D148" s="31" t="s">
        <v>737</v>
      </c>
      <c r="E148" s="32" t="n">
        <v>4800</v>
      </c>
      <c r="F148" s="32" t="n">
        <v>250</v>
      </c>
      <c r="G148" s="32" t="n">
        <v>250</v>
      </c>
      <c r="H148" s="33" t="n">
        <v>1</v>
      </c>
      <c r="I148" s="34" t="n">
        <f aca="false">E148*H148+N(F148)+N(G148)</f>
        <v>5300</v>
      </c>
      <c r="J148" s="32" t="n">
        <f aca="false">ROUND(IFERROR(ROUND(IF(OR(ISNUMBER(SEARCH("week",C148)),ISNUMBER(SEARCH("minggu",C148))),IFERROR(_xlfn.NUMBERVALUE(SUBSTITUTE(LEFT(TRIM(C148),FIND(" ",TRIM(C148)&amp;" ")-1),",","."),"."),LEFT(SUBSTITUTE(LEFT(TRIM(C148),FIND(" ",TRIM(C148)&amp;" ")-1),",","."),FIND("/",SUBSTITUTE(LEFT(TRIM(C148),FIND(" ",TRIM(C148)&amp;" ")-1),",","."))-1)/MID(SUBSTITUTE(LEFT(TRIM(C148),FIND(" ",TRIM(C148)&amp;" ")-1),",","."),FIND("/",SUBSTITUTE(LEFT(TRIM(C148),FIND(" ",TRIM(C148)&amp;" ")-1),",","."))+1,9))*12/52,IF(ISNUMBER(SEARCH("month",C148)),IFERROR(_xlfn.NUMBERVALUE(SUBSTITUTE(LEFT(TRIM(C148),FIND(" ",TRIM(C148)&amp;" ")-1),",","."),"."),LEFT(SUBSTITUTE(LEFT(TRIM(C148),FIND(" ",TRIM(C148)&amp;" ")-1),",","."),FIND("/",SUBSTITUTE(LEFT(TRIM(C148),FIND(" ",TRIM(C148)&amp;" ")-1),",","."))-1)/MID(SUBSTITUTE(LEFT(TRIM(C148),FIND(" ",TRIM(C148)&amp;" ")-1),",","."),FIND("/",SUBSTITUTE(LEFT(TRIM(C148),FIND(" ",TRIM(C148)&amp;" ")-1),",","."))+1,9)),IF(ISNUMBER(SEARCH("yea",C148)),IFERROR(_xlfn.NUMBERVALUE(SUBSTITUTE(LEFT(TRIM(C148),FIND(" ",TRIM(C148)&amp;" ")-1),",","."),"."),LEFT(SUBSTITUTE(LEFT(TRIM(C148),FIND(" ",TRIM(C148)&amp;" ")-1),",","."),FIND("/",SUBSTITUTE(LEFT(TRIM(C148),FIND(" ",TRIM(C148)&amp;" ")-1),",","."))-1)/MID(SUBSTITUTE(LEFT(TRIM(C148),FIND(" ",TRIM(C148)&amp;" ")-1),",","."),FIND("/",SUBSTITUTE(LEFT(TRIM(C148),FIND(" ",TRIM(C148)&amp;" ")-1),",","."))+1,9))*12,NA()))),0),36)*'Aturan &amp; Tarif'!$B$4,2)</f>
        <v>2044.08</v>
      </c>
      <c r="K148" s="32" t="n">
        <f aca="false">'Aturan &amp; Tarif'!$B$5</f>
        <v>2050</v>
      </c>
      <c r="L148" s="32" t="n">
        <f aca="false">'Aturan &amp; Tarif'!$B$6</f>
        <v>350</v>
      </c>
      <c r="M148" s="35" t="n">
        <f aca="false">I148+J148+K148+L148</f>
        <v>9744.08</v>
      </c>
      <c r="N148" s="36" t="s">
        <v>131</v>
      </c>
    </row>
    <row r="149" customFormat="false" ht="25.5" hidden="false" customHeight="true" outlineLevel="0" collapsed="false">
      <c r="A149" s="39" t="s">
        <v>1924</v>
      </c>
      <c r="B149" s="40" t="s">
        <v>861</v>
      </c>
      <c r="C149" s="41" t="s">
        <v>127</v>
      </c>
      <c r="D149" s="41" t="s">
        <v>108</v>
      </c>
      <c r="E149" s="42" t="n">
        <v>3000</v>
      </c>
      <c r="F149" s="42"/>
      <c r="G149" s="42" t="n">
        <v>500</v>
      </c>
      <c r="H149" s="43" t="n">
        <v>2</v>
      </c>
      <c r="I149" s="34" t="n">
        <f aca="false">E149*H149+N(F149)+N(G149)</f>
        <v>6500</v>
      </c>
      <c r="J149" s="42" t="n">
        <f aca="false">ROUND(IFERROR(ROUND(IF(OR(ISNUMBER(SEARCH("week",C149)),ISNUMBER(SEARCH("minggu",C149))),IFERROR(_xlfn.NUMBERVALUE(SUBSTITUTE(LEFT(TRIM(C149),FIND(" ",TRIM(C149)&amp;" ")-1),",","."),"."),LEFT(SUBSTITUTE(LEFT(TRIM(C149),FIND(" ",TRIM(C149)&amp;" ")-1),",","."),FIND("/",SUBSTITUTE(LEFT(TRIM(C149),FIND(" ",TRIM(C149)&amp;" ")-1),",","."))-1)/MID(SUBSTITUTE(LEFT(TRIM(C149),FIND(" ",TRIM(C149)&amp;" ")-1),",","."),FIND("/",SUBSTITUTE(LEFT(TRIM(C149),FIND(" ",TRIM(C149)&amp;" ")-1),",","."))+1,9))*12/52,IF(ISNUMBER(SEARCH("month",C149)),IFERROR(_xlfn.NUMBERVALUE(SUBSTITUTE(LEFT(TRIM(C149),FIND(" ",TRIM(C149)&amp;" ")-1),",","."),"."),LEFT(SUBSTITUTE(LEFT(TRIM(C149),FIND(" ",TRIM(C149)&amp;" ")-1),",","."),FIND("/",SUBSTITUTE(LEFT(TRIM(C149),FIND(" ",TRIM(C149)&amp;" ")-1),",","."))-1)/MID(SUBSTITUTE(LEFT(TRIM(C149),FIND(" ",TRIM(C149)&amp;" ")-1),",","."),FIND("/",SUBSTITUTE(LEFT(TRIM(C149),FIND(" ",TRIM(C149)&amp;" ")-1),",","."))+1,9)),IF(ISNUMBER(SEARCH("yea",C149)),IFERROR(_xlfn.NUMBERVALUE(SUBSTITUTE(LEFT(TRIM(C149),FIND(" ",TRIM(C149)&amp;" ")-1),",","."),"."),LEFT(SUBSTITUTE(LEFT(TRIM(C149),FIND(" ",TRIM(C149)&amp;" ")-1),",","."),FIND("/",SUBSTITUTE(LEFT(TRIM(C149),FIND(" ",TRIM(C149)&amp;" ")-1),",","."))-1)/MID(SUBSTITUTE(LEFT(TRIM(C149),FIND(" ",TRIM(C149)&amp;" ")-1),",","."),FIND("/",SUBSTITUTE(LEFT(TRIM(C149),FIND(" ",TRIM(C149)&amp;" ")-1),",","."))+1,9))*12,NA()))),0),36)*'Aturan &amp; Tarif'!$B$4,2)</f>
        <v>2044.08</v>
      </c>
      <c r="K149" s="42" t="n">
        <f aca="false">'Aturan &amp; Tarif'!$B$5</f>
        <v>2050</v>
      </c>
      <c r="L149" s="42" t="n">
        <f aca="false">'Aturan &amp; Tarif'!$B$6</f>
        <v>350</v>
      </c>
      <c r="M149" s="35" t="n">
        <f aca="false">I149+J149+K149+L149</f>
        <v>10944.08</v>
      </c>
      <c r="N149" s="45" t="s">
        <v>862</v>
      </c>
    </row>
    <row r="150" customFormat="false" ht="25.5" hidden="false" customHeight="true" outlineLevel="0" collapsed="false">
      <c r="A150" s="39"/>
      <c r="B150" s="40" t="s">
        <v>863</v>
      </c>
      <c r="C150" s="41" t="s">
        <v>130</v>
      </c>
      <c r="D150" s="41" t="s">
        <v>108</v>
      </c>
      <c r="E150" s="42" t="n">
        <v>3500</v>
      </c>
      <c r="F150" s="42"/>
      <c r="G150" s="42" t="n">
        <v>500</v>
      </c>
      <c r="H150" s="43" t="n">
        <v>2</v>
      </c>
      <c r="I150" s="34" t="n">
        <f aca="false">E150*H150+N(F150)+N(G150)</f>
        <v>7500</v>
      </c>
      <c r="J150" s="42" t="n">
        <f aca="false">ROUND(IFERROR(ROUND(IF(OR(ISNUMBER(SEARCH("week",C150)),ISNUMBER(SEARCH("minggu",C150))),IFERROR(_xlfn.NUMBERVALUE(SUBSTITUTE(LEFT(TRIM(C150),FIND(" ",TRIM(C150)&amp;" ")-1),",","."),"."),LEFT(SUBSTITUTE(LEFT(TRIM(C150),FIND(" ",TRIM(C150)&amp;" ")-1),",","."),FIND("/",SUBSTITUTE(LEFT(TRIM(C150),FIND(" ",TRIM(C150)&amp;" ")-1),",","."))-1)/MID(SUBSTITUTE(LEFT(TRIM(C150),FIND(" ",TRIM(C150)&amp;" ")-1),",","."),FIND("/",SUBSTITUTE(LEFT(TRIM(C150),FIND(" ",TRIM(C150)&amp;" ")-1),",","."))+1,9))*12/52,IF(ISNUMBER(SEARCH("month",C150)),IFERROR(_xlfn.NUMBERVALUE(SUBSTITUTE(LEFT(TRIM(C150),FIND(" ",TRIM(C150)&amp;" ")-1),",","."),"."),LEFT(SUBSTITUTE(LEFT(TRIM(C150),FIND(" ",TRIM(C150)&amp;" ")-1),",","."),FIND("/",SUBSTITUTE(LEFT(TRIM(C150),FIND(" ",TRIM(C150)&amp;" ")-1),",","."))-1)/MID(SUBSTITUTE(LEFT(TRIM(C150),FIND(" ",TRIM(C150)&amp;" ")-1),",","."),FIND("/",SUBSTITUTE(LEFT(TRIM(C150),FIND(" ",TRIM(C150)&amp;" ")-1),",","."))+1,9)),IF(ISNUMBER(SEARCH("yea",C150)),IFERROR(_xlfn.NUMBERVALUE(SUBSTITUTE(LEFT(TRIM(C150),FIND(" ",TRIM(C150)&amp;" ")-1),",","."),"."),LEFT(SUBSTITUTE(LEFT(TRIM(C150),FIND(" ",TRIM(C150)&amp;" ")-1),",","."),FIND("/",SUBSTITUTE(LEFT(TRIM(C150),FIND(" ",TRIM(C150)&amp;" ")-1),",","."))-1)/MID(SUBSTITUTE(LEFT(TRIM(C150),FIND(" ",TRIM(C150)&amp;" ")-1),",","."),FIND("/",SUBSTITUTE(LEFT(TRIM(C150),FIND(" ",TRIM(C150)&amp;" ")-1),",","."))+1,9))*12,NA()))),0),12)*'Aturan &amp; Tarif'!$B$4,2)</f>
        <v>681.36</v>
      </c>
      <c r="K150" s="42" t="n">
        <f aca="false">'Aturan &amp; Tarif'!$B$5</f>
        <v>2050</v>
      </c>
      <c r="L150" s="42" t="n">
        <f aca="false">'Aturan &amp; Tarif'!$B$6</f>
        <v>350</v>
      </c>
      <c r="M150" s="35" t="n">
        <f aca="false">I150+J150+K150+L150</f>
        <v>10581.36</v>
      </c>
      <c r="N150" s="45" t="s">
        <v>862</v>
      </c>
    </row>
    <row r="151" customFormat="false" ht="14.25" hidden="false" customHeight="true" outlineLevel="0" collapsed="false">
      <c r="A151" s="39"/>
      <c r="B151" s="40" t="s">
        <v>864</v>
      </c>
      <c r="C151" s="41" t="s">
        <v>107</v>
      </c>
      <c r="D151" s="41" t="s">
        <v>108</v>
      </c>
      <c r="E151" s="42" t="n">
        <v>3500</v>
      </c>
      <c r="F151" s="42"/>
      <c r="G151" s="42" t="n">
        <v>500</v>
      </c>
      <c r="H151" s="43" t="n">
        <v>2</v>
      </c>
      <c r="I151" s="34" t="n">
        <f aca="false">E151*H151+N(F151)+N(G151)</f>
        <v>7500</v>
      </c>
      <c r="J151" s="42" t="n">
        <f aca="false">ROUND(IFERROR(ROUND(IF(OR(ISNUMBER(SEARCH("week",C151)),ISNUMBER(SEARCH("minggu",C151))),IFERROR(_xlfn.NUMBERVALUE(SUBSTITUTE(LEFT(TRIM(C151),FIND(" ",TRIM(C151)&amp;" ")-1),",","."),"."),LEFT(SUBSTITUTE(LEFT(TRIM(C151),FIND(" ",TRIM(C151)&amp;" ")-1),",","."),FIND("/",SUBSTITUTE(LEFT(TRIM(C151),FIND(" ",TRIM(C151)&amp;" ")-1),",","."))-1)/MID(SUBSTITUTE(LEFT(TRIM(C151),FIND(" ",TRIM(C151)&amp;" ")-1),",","."),FIND("/",SUBSTITUTE(LEFT(TRIM(C151),FIND(" ",TRIM(C151)&amp;" ")-1),",","."))+1,9))*12/52,IF(ISNUMBER(SEARCH("month",C151)),IFERROR(_xlfn.NUMBERVALUE(SUBSTITUTE(LEFT(TRIM(C151),FIND(" ",TRIM(C151)&amp;" ")-1),",","."),"."),LEFT(SUBSTITUTE(LEFT(TRIM(C151),FIND(" ",TRIM(C151)&amp;" ")-1),",","."),FIND("/",SUBSTITUTE(LEFT(TRIM(C151),FIND(" ",TRIM(C151)&amp;" ")-1),",","."))-1)/MID(SUBSTITUTE(LEFT(TRIM(C151),FIND(" ",TRIM(C151)&amp;" ")-1),",","."),FIND("/",SUBSTITUTE(LEFT(TRIM(C151),FIND(" ",TRIM(C151)&amp;" ")-1),",","."))+1,9)),IF(ISNUMBER(SEARCH("yea",C151)),IFERROR(_xlfn.NUMBERVALUE(SUBSTITUTE(LEFT(TRIM(C151),FIND(" ",TRIM(C151)&amp;" ")-1),",","."),"."),LEFT(SUBSTITUTE(LEFT(TRIM(C151),FIND(" ",TRIM(C151)&amp;" ")-1),",","."),FIND("/",SUBSTITUTE(LEFT(TRIM(C151),FIND(" ",TRIM(C151)&amp;" ")-1),",","."))-1)/MID(SUBSTITUTE(LEFT(TRIM(C151),FIND(" ",TRIM(C151)&amp;" ")-1),",","."),FIND("/",SUBSTITUTE(LEFT(TRIM(C151),FIND(" ",TRIM(C151)&amp;" ")-1),",","."))+1,9))*12,NA()))),0),24)*'Aturan &amp; Tarif'!$B$4,2)</f>
        <v>1362.72</v>
      </c>
      <c r="K151" s="42" t="n">
        <f aca="false">'Aturan &amp; Tarif'!$B$5</f>
        <v>2050</v>
      </c>
      <c r="L151" s="42" t="n">
        <f aca="false">'Aturan &amp; Tarif'!$B$6</f>
        <v>350</v>
      </c>
      <c r="M151" s="35" t="n">
        <f aca="false">I151+J151+K151+L151</f>
        <v>11262.72</v>
      </c>
      <c r="N151" s="45" t="s">
        <v>862</v>
      </c>
    </row>
    <row r="152" customFormat="false" ht="25.5" hidden="false" customHeight="true" outlineLevel="0" collapsed="false">
      <c r="A152" s="39"/>
      <c r="B152" s="40" t="s">
        <v>1925</v>
      </c>
      <c r="C152" s="41" t="s">
        <v>107</v>
      </c>
      <c r="D152" s="41" t="s">
        <v>108</v>
      </c>
      <c r="E152" s="42" t="n">
        <v>3500</v>
      </c>
      <c r="F152" s="42"/>
      <c r="G152" s="42" t="n">
        <v>500</v>
      </c>
      <c r="H152" s="43" t="n">
        <v>2</v>
      </c>
      <c r="I152" s="34" t="n">
        <f aca="false">E152*H152+N(F152)+N(G152)</f>
        <v>7500</v>
      </c>
      <c r="J152" s="42" t="n">
        <f aca="false">ROUND(IFERROR(ROUND(IF(OR(ISNUMBER(SEARCH("week",C152)),ISNUMBER(SEARCH("minggu",C152))),IFERROR(_xlfn.NUMBERVALUE(SUBSTITUTE(LEFT(TRIM(C152),FIND(" ",TRIM(C152)&amp;" ")-1),",","."),"."),LEFT(SUBSTITUTE(LEFT(TRIM(C152),FIND(" ",TRIM(C152)&amp;" ")-1),",","."),FIND("/",SUBSTITUTE(LEFT(TRIM(C152),FIND(" ",TRIM(C152)&amp;" ")-1),",","."))-1)/MID(SUBSTITUTE(LEFT(TRIM(C152),FIND(" ",TRIM(C152)&amp;" ")-1),",","."),FIND("/",SUBSTITUTE(LEFT(TRIM(C152),FIND(" ",TRIM(C152)&amp;" ")-1),",","."))+1,9))*12/52,IF(ISNUMBER(SEARCH("month",C152)),IFERROR(_xlfn.NUMBERVALUE(SUBSTITUTE(LEFT(TRIM(C152),FIND(" ",TRIM(C152)&amp;" ")-1),",","."),"."),LEFT(SUBSTITUTE(LEFT(TRIM(C152),FIND(" ",TRIM(C152)&amp;" ")-1),",","."),FIND("/",SUBSTITUTE(LEFT(TRIM(C152),FIND(" ",TRIM(C152)&amp;" ")-1),",","."))-1)/MID(SUBSTITUTE(LEFT(TRIM(C152),FIND(" ",TRIM(C152)&amp;" ")-1),",","."),FIND("/",SUBSTITUTE(LEFT(TRIM(C152),FIND(" ",TRIM(C152)&amp;" ")-1),",","."))+1,9)),IF(ISNUMBER(SEARCH("yea",C152)),IFERROR(_xlfn.NUMBERVALUE(SUBSTITUTE(LEFT(TRIM(C152),FIND(" ",TRIM(C152)&amp;" ")-1),",","."),"."),LEFT(SUBSTITUTE(LEFT(TRIM(C152),FIND(" ",TRIM(C152)&amp;" ")-1),",","."),FIND("/",SUBSTITUTE(LEFT(TRIM(C152),FIND(" ",TRIM(C152)&amp;" ")-1),",","."))-1)/MID(SUBSTITUTE(LEFT(TRIM(C152),FIND(" ",TRIM(C152)&amp;" ")-1),",","."),FIND("/",SUBSTITUTE(LEFT(TRIM(C152),FIND(" ",TRIM(C152)&amp;" ")-1),",","."))+1,9))*12,NA()))),0),24)*'Aturan &amp; Tarif'!$B$4,2)</f>
        <v>1362.72</v>
      </c>
      <c r="K152" s="42" t="n">
        <f aca="false">'Aturan &amp; Tarif'!$B$5</f>
        <v>2050</v>
      </c>
      <c r="L152" s="42" t="n">
        <f aca="false">'Aturan &amp; Tarif'!$B$6</f>
        <v>350</v>
      </c>
      <c r="M152" s="35" t="n">
        <f aca="false">I152+J152+K152+L152</f>
        <v>11262.72</v>
      </c>
      <c r="N152" s="45" t="s">
        <v>862</v>
      </c>
    </row>
    <row r="153" customFormat="false" ht="25.5" hidden="false" customHeight="true" outlineLevel="0" collapsed="false">
      <c r="A153" s="29" t="s">
        <v>1926</v>
      </c>
      <c r="B153" s="30" t="s">
        <v>867</v>
      </c>
      <c r="C153" s="31" t="s">
        <v>127</v>
      </c>
      <c r="D153" s="31" t="s">
        <v>108</v>
      </c>
      <c r="E153" s="32" t="n">
        <v>3000</v>
      </c>
      <c r="F153" s="32"/>
      <c r="G153" s="32" t="n">
        <v>500</v>
      </c>
      <c r="H153" s="33" t="n">
        <v>2</v>
      </c>
      <c r="I153" s="34" t="n">
        <f aca="false">E153*H153+N(F153)+N(G153)</f>
        <v>6500</v>
      </c>
      <c r="J153" s="32" t="n">
        <f aca="false">ROUND(IFERROR(ROUND(IF(OR(ISNUMBER(SEARCH("week",C153)),ISNUMBER(SEARCH("minggu",C153))),IFERROR(_xlfn.NUMBERVALUE(SUBSTITUTE(LEFT(TRIM(C153),FIND(" ",TRIM(C153)&amp;" ")-1),",","."),"."),LEFT(SUBSTITUTE(LEFT(TRIM(C153),FIND(" ",TRIM(C153)&amp;" ")-1),",","."),FIND("/",SUBSTITUTE(LEFT(TRIM(C153),FIND(" ",TRIM(C153)&amp;" ")-1),",","."))-1)/MID(SUBSTITUTE(LEFT(TRIM(C153),FIND(" ",TRIM(C153)&amp;" ")-1),",","."),FIND("/",SUBSTITUTE(LEFT(TRIM(C153),FIND(" ",TRIM(C153)&amp;" ")-1),",","."))+1,9))*12/52,IF(ISNUMBER(SEARCH("month",C153)),IFERROR(_xlfn.NUMBERVALUE(SUBSTITUTE(LEFT(TRIM(C153),FIND(" ",TRIM(C153)&amp;" ")-1),",","."),"."),LEFT(SUBSTITUTE(LEFT(TRIM(C153),FIND(" ",TRIM(C153)&amp;" ")-1),",","."),FIND("/",SUBSTITUTE(LEFT(TRIM(C153),FIND(" ",TRIM(C153)&amp;" ")-1),",","."))-1)/MID(SUBSTITUTE(LEFT(TRIM(C153),FIND(" ",TRIM(C153)&amp;" ")-1),",","."),FIND("/",SUBSTITUTE(LEFT(TRIM(C153),FIND(" ",TRIM(C153)&amp;" ")-1),",","."))+1,9)),IF(ISNUMBER(SEARCH("yea",C153)),IFERROR(_xlfn.NUMBERVALUE(SUBSTITUTE(LEFT(TRIM(C153),FIND(" ",TRIM(C153)&amp;" ")-1),",","."),"."),LEFT(SUBSTITUTE(LEFT(TRIM(C153),FIND(" ",TRIM(C153)&amp;" ")-1),",","."),FIND("/",SUBSTITUTE(LEFT(TRIM(C153),FIND(" ",TRIM(C153)&amp;" ")-1),",","."))-1)/MID(SUBSTITUTE(LEFT(TRIM(C153),FIND(" ",TRIM(C153)&amp;" ")-1),",","."),FIND("/",SUBSTITUTE(LEFT(TRIM(C153),FIND(" ",TRIM(C153)&amp;" ")-1),",","."))+1,9))*12,NA()))),0),36)*'Aturan &amp; Tarif'!$B$4,2)</f>
        <v>2044.08</v>
      </c>
      <c r="K153" s="32" t="n">
        <f aca="false">'Aturan &amp; Tarif'!$B$5</f>
        <v>2050</v>
      </c>
      <c r="L153" s="32" t="n">
        <f aca="false">'Aturan &amp; Tarif'!$B$6</f>
        <v>350</v>
      </c>
      <c r="M153" s="35" t="n">
        <f aca="false">I153+J153+K153+L153</f>
        <v>10944.08</v>
      </c>
      <c r="N153" s="37" t="s">
        <v>868</v>
      </c>
    </row>
    <row r="154" customFormat="false" ht="25.5" hidden="false" customHeight="true" outlineLevel="0" collapsed="false">
      <c r="A154" s="29"/>
      <c r="B154" s="30" t="s">
        <v>869</v>
      </c>
      <c r="C154" s="31" t="s">
        <v>130</v>
      </c>
      <c r="D154" s="31" t="s">
        <v>108</v>
      </c>
      <c r="E154" s="32" t="n">
        <v>3500</v>
      </c>
      <c r="F154" s="32"/>
      <c r="G154" s="32" t="n">
        <v>500</v>
      </c>
      <c r="H154" s="33" t="n">
        <v>2</v>
      </c>
      <c r="I154" s="34" t="n">
        <f aca="false">E154*H154+N(F154)+N(G154)</f>
        <v>7500</v>
      </c>
      <c r="J154" s="32" t="n">
        <f aca="false">ROUND(IFERROR(ROUND(IF(OR(ISNUMBER(SEARCH("week",C154)),ISNUMBER(SEARCH("minggu",C154))),IFERROR(_xlfn.NUMBERVALUE(SUBSTITUTE(LEFT(TRIM(C154),FIND(" ",TRIM(C154)&amp;" ")-1),",","."),"."),LEFT(SUBSTITUTE(LEFT(TRIM(C154),FIND(" ",TRIM(C154)&amp;" ")-1),",","."),FIND("/",SUBSTITUTE(LEFT(TRIM(C154),FIND(" ",TRIM(C154)&amp;" ")-1),",","."))-1)/MID(SUBSTITUTE(LEFT(TRIM(C154),FIND(" ",TRIM(C154)&amp;" ")-1),",","."),FIND("/",SUBSTITUTE(LEFT(TRIM(C154),FIND(" ",TRIM(C154)&amp;" ")-1),",","."))+1,9))*12/52,IF(ISNUMBER(SEARCH("month",C154)),IFERROR(_xlfn.NUMBERVALUE(SUBSTITUTE(LEFT(TRIM(C154),FIND(" ",TRIM(C154)&amp;" ")-1),",","."),"."),LEFT(SUBSTITUTE(LEFT(TRIM(C154),FIND(" ",TRIM(C154)&amp;" ")-1),",","."),FIND("/",SUBSTITUTE(LEFT(TRIM(C154),FIND(" ",TRIM(C154)&amp;" ")-1),",","."))-1)/MID(SUBSTITUTE(LEFT(TRIM(C154),FIND(" ",TRIM(C154)&amp;" ")-1),",","."),FIND("/",SUBSTITUTE(LEFT(TRIM(C154),FIND(" ",TRIM(C154)&amp;" ")-1),",","."))+1,9)),IF(ISNUMBER(SEARCH("yea",C154)),IFERROR(_xlfn.NUMBERVALUE(SUBSTITUTE(LEFT(TRIM(C154),FIND(" ",TRIM(C154)&amp;" ")-1),",","."),"."),LEFT(SUBSTITUTE(LEFT(TRIM(C154),FIND(" ",TRIM(C154)&amp;" ")-1),",","."),FIND("/",SUBSTITUTE(LEFT(TRIM(C154),FIND(" ",TRIM(C154)&amp;" ")-1),",","."))-1)/MID(SUBSTITUTE(LEFT(TRIM(C154),FIND(" ",TRIM(C154)&amp;" ")-1),",","."),FIND("/",SUBSTITUTE(LEFT(TRIM(C154),FIND(" ",TRIM(C154)&amp;" ")-1),",","."))+1,9))*12,NA()))),0),12)*'Aturan &amp; Tarif'!$B$4,2)</f>
        <v>681.36</v>
      </c>
      <c r="K154" s="32" t="n">
        <f aca="false">'Aturan &amp; Tarif'!$B$5</f>
        <v>2050</v>
      </c>
      <c r="L154" s="32" t="n">
        <f aca="false">'Aturan &amp; Tarif'!$B$6</f>
        <v>350</v>
      </c>
      <c r="M154" s="35" t="n">
        <f aca="false">I154+J154+K154+L154</f>
        <v>10581.36</v>
      </c>
      <c r="N154" s="37" t="s">
        <v>868</v>
      </c>
    </row>
    <row r="155" customFormat="false" ht="37.5" hidden="false" customHeight="true" outlineLevel="0" collapsed="false">
      <c r="A155" s="29"/>
      <c r="B155" s="30" t="s">
        <v>870</v>
      </c>
      <c r="C155" s="31" t="s">
        <v>107</v>
      </c>
      <c r="D155" s="31" t="s">
        <v>108</v>
      </c>
      <c r="E155" s="32" t="n">
        <v>3500</v>
      </c>
      <c r="F155" s="32"/>
      <c r="G155" s="32" t="n">
        <v>500</v>
      </c>
      <c r="H155" s="33" t="n">
        <v>2</v>
      </c>
      <c r="I155" s="34" t="n">
        <f aca="false">E155*H155+N(F155)+N(G155)</f>
        <v>7500</v>
      </c>
      <c r="J155" s="32" t="n">
        <f aca="false">ROUND(IFERROR(ROUND(IF(OR(ISNUMBER(SEARCH("week",C155)),ISNUMBER(SEARCH("minggu",C155))),IFERROR(_xlfn.NUMBERVALUE(SUBSTITUTE(LEFT(TRIM(C155),FIND(" ",TRIM(C155)&amp;" ")-1),",","."),"."),LEFT(SUBSTITUTE(LEFT(TRIM(C155),FIND(" ",TRIM(C155)&amp;" ")-1),",","."),FIND("/",SUBSTITUTE(LEFT(TRIM(C155),FIND(" ",TRIM(C155)&amp;" ")-1),",","."))-1)/MID(SUBSTITUTE(LEFT(TRIM(C155),FIND(" ",TRIM(C155)&amp;" ")-1),",","."),FIND("/",SUBSTITUTE(LEFT(TRIM(C155),FIND(" ",TRIM(C155)&amp;" ")-1),",","."))+1,9))*12/52,IF(ISNUMBER(SEARCH("month",C155)),IFERROR(_xlfn.NUMBERVALUE(SUBSTITUTE(LEFT(TRIM(C155),FIND(" ",TRIM(C155)&amp;" ")-1),",","."),"."),LEFT(SUBSTITUTE(LEFT(TRIM(C155),FIND(" ",TRIM(C155)&amp;" ")-1),",","."),FIND("/",SUBSTITUTE(LEFT(TRIM(C155),FIND(" ",TRIM(C155)&amp;" ")-1),",","."))-1)/MID(SUBSTITUTE(LEFT(TRIM(C155),FIND(" ",TRIM(C155)&amp;" ")-1),",","."),FIND("/",SUBSTITUTE(LEFT(TRIM(C155),FIND(" ",TRIM(C155)&amp;" ")-1),",","."))+1,9)),IF(ISNUMBER(SEARCH("yea",C155)),IFERROR(_xlfn.NUMBERVALUE(SUBSTITUTE(LEFT(TRIM(C155),FIND(" ",TRIM(C155)&amp;" ")-1),",","."),"."),LEFT(SUBSTITUTE(LEFT(TRIM(C155),FIND(" ",TRIM(C155)&amp;" ")-1),",","."),FIND("/",SUBSTITUTE(LEFT(TRIM(C155),FIND(" ",TRIM(C155)&amp;" ")-1),",","."))-1)/MID(SUBSTITUTE(LEFT(TRIM(C155),FIND(" ",TRIM(C155)&amp;" ")-1),",","."),FIND("/",SUBSTITUTE(LEFT(TRIM(C155),FIND(" ",TRIM(C155)&amp;" ")-1),",","."))+1,9))*12,NA()))),0),24)*'Aturan &amp; Tarif'!$B$4,2)</f>
        <v>1362.72</v>
      </c>
      <c r="K155" s="32" t="n">
        <f aca="false">'Aturan &amp; Tarif'!$B$5</f>
        <v>2050</v>
      </c>
      <c r="L155" s="32" t="n">
        <f aca="false">'Aturan &amp; Tarif'!$B$6</f>
        <v>350</v>
      </c>
      <c r="M155" s="35" t="n">
        <f aca="false">I155+J155+K155+L155</f>
        <v>11262.72</v>
      </c>
      <c r="N155" s="37" t="s">
        <v>868</v>
      </c>
    </row>
    <row r="156" customFormat="false" ht="25.5" hidden="false" customHeight="true" outlineLevel="0" collapsed="false">
      <c r="A156" s="29" t="s">
        <v>1927</v>
      </c>
      <c r="B156" s="30" t="s">
        <v>317</v>
      </c>
      <c r="C156" s="31" t="s">
        <v>127</v>
      </c>
      <c r="D156" s="31" t="s">
        <v>108</v>
      </c>
      <c r="E156" s="32" t="n">
        <v>8742</v>
      </c>
      <c r="F156" s="32"/>
      <c r="G156" s="32"/>
      <c r="H156" s="33" t="n">
        <v>2</v>
      </c>
      <c r="I156" s="34" t="n">
        <f aca="false">E156*H156+N(F156)+N(G156)</f>
        <v>17484</v>
      </c>
      <c r="J156" s="32" t="n">
        <f aca="false">ROUND(IFERROR(ROUND(IF(OR(ISNUMBER(SEARCH("week",C156)),ISNUMBER(SEARCH("minggu",C156))),IFERROR(_xlfn.NUMBERVALUE(SUBSTITUTE(LEFT(TRIM(C156),FIND(" ",TRIM(C156)&amp;" ")-1),",","."),"."),LEFT(SUBSTITUTE(LEFT(TRIM(C156),FIND(" ",TRIM(C156)&amp;" ")-1),",","."),FIND("/",SUBSTITUTE(LEFT(TRIM(C156),FIND(" ",TRIM(C156)&amp;" ")-1),",","."))-1)/MID(SUBSTITUTE(LEFT(TRIM(C156),FIND(" ",TRIM(C156)&amp;" ")-1),",","."),FIND("/",SUBSTITUTE(LEFT(TRIM(C156),FIND(" ",TRIM(C156)&amp;" ")-1),",","."))+1,9))*12/52,IF(ISNUMBER(SEARCH("month",C156)),IFERROR(_xlfn.NUMBERVALUE(SUBSTITUTE(LEFT(TRIM(C156),FIND(" ",TRIM(C156)&amp;" ")-1),",","."),"."),LEFT(SUBSTITUTE(LEFT(TRIM(C156),FIND(" ",TRIM(C156)&amp;" ")-1),",","."),FIND("/",SUBSTITUTE(LEFT(TRIM(C156),FIND(" ",TRIM(C156)&amp;" ")-1),",","."))-1)/MID(SUBSTITUTE(LEFT(TRIM(C156),FIND(" ",TRIM(C156)&amp;" ")-1),",","."),FIND("/",SUBSTITUTE(LEFT(TRIM(C156),FIND(" ",TRIM(C156)&amp;" ")-1),",","."))+1,9)),IF(ISNUMBER(SEARCH("yea",C156)),IFERROR(_xlfn.NUMBERVALUE(SUBSTITUTE(LEFT(TRIM(C156),FIND(" ",TRIM(C156)&amp;" ")-1),",","."),"."),LEFT(SUBSTITUTE(LEFT(TRIM(C156),FIND(" ",TRIM(C156)&amp;" ")-1),",","."),FIND("/",SUBSTITUTE(LEFT(TRIM(C156),FIND(" ",TRIM(C156)&amp;" ")-1),",","."))-1)/MID(SUBSTITUTE(LEFT(TRIM(C156),FIND(" ",TRIM(C156)&amp;" ")-1),",","."),FIND("/",SUBSTITUTE(LEFT(TRIM(C156),FIND(" ",TRIM(C156)&amp;" ")-1),",","."))+1,9))*12,NA()))),0),36)*'Aturan &amp; Tarif'!$B$4,2)</f>
        <v>2044.08</v>
      </c>
      <c r="K156" s="32" t="n">
        <f aca="false">'Aturan &amp; Tarif'!$B$5</f>
        <v>2050</v>
      </c>
      <c r="L156" s="32" t="n">
        <f aca="false">'Aturan &amp; Tarif'!$B$6</f>
        <v>350</v>
      </c>
      <c r="M156" s="35" t="n">
        <f aca="false">I156+J156+K156+L156</f>
        <v>21928.08</v>
      </c>
      <c r="N156" s="37" t="s">
        <v>318</v>
      </c>
    </row>
    <row r="157" customFormat="false" ht="25.5" hidden="false" customHeight="true" outlineLevel="0" collapsed="false">
      <c r="A157" s="29"/>
      <c r="B157" s="30" t="s">
        <v>319</v>
      </c>
      <c r="C157" s="31" t="s">
        <v>191</v>
      </c>
      <c r="D157" s="31" t="s">
        <v>108</v>
      </c>
      <c r="E157" s="32" t="n">
        <v>8742</v>
      </c>
      <c r="F157" s="32"/>
      <c r="G157" s="32"/>
      <c r="H157" s="33" t="n">
        <v>2</v>
      </c>
      <c r="I157" s="34" t="n">
        <f aca="false">E157*H157+N(F157)+N(G157)</f>
        <v>17484</v>
      </c>
      <c r="J157" s="32" t="n">
        <f aca="false">ROUND(IFERROR(ROUND(IF(OR(ISNUMBER(SEARCH("week",C157)),ISNUMBER(SEARCH("minggu",C157))),IFERROR(_xlfn.NUMBERVALUE(SUBSTITUTE(LEFT(TRIM(C157),FIND(" ",TRIM(C157)&amp;" ")-1),",","."),"."),LEFT(SUBSTITUTE(LEFT(TRIM(C157),FIND(" ",TRIM(C157)&amp;" ")-1),",","."),FIND("/",SUBSTITUTE(LEFT(TRIM(C157),FIND(" ",TRIM(C157)&amp;" ")-1),",","."))-1)/MID(SUBSTITUTE(LEFT(TRIM(C157),FIND(" ",TRIM(C157)&amp;" ")-1),",","."),FIND("/",SUBSTITUTE(LEFT(TRIM(C157),FIND(" ",TRIM(C157)&amp;" ")-1),",","."))+1,9))*12/52,IF(ISNUMBER(SEARCH("month",C157)),IFERROR(_xlfn.NUMBERVALUE(SUBSTITUTE(LEFT(TRIM(C157),FIND(" ",TRIM(C157)&amp;" ")-1),",","."),"."),LEFT(SUBSTITUTE(LEFT(TRIM(C157),FIND(" ",TRIM(C157)&amp;" ")-1),",","."),FIND("/",SUBSTITUTE(LEFT(TRIM(C157),FIND(" ",TRIM(C157)&amp;" ")-1),",","."))-1)/MID(SUBSTITUTE(LEFT(TRIM(C157),FIND(" ",TRIM(C157)&amp;" ")-1),",","."),FIND("/",SUBSTITUTE(LEFT(TRIM(C157),FIND(" ",TRIM(C157)&amp;" ")-1),",","."))+1,9)),IF(ISNUMBER(SEARCH("yea",C157)),IFERROR(_xlfn.NUMBERVALUE(SUBSTITUTE(LEFT(TRIM(C157),FIND(" ",TRIM(C157)&amp;" ")-1),",","."),"."),LEFT(SUBSTITUTE(LEFT(TRIM(C157),FIND(" ",TRIM(C157)&amp;" ")-1),",","."),FIND("/",SUBSTITUTE(LEFT(TRIM(C157),FIND(" ",TRIM(C157)&amp;" ")-1),",","."))-1)/MID(SUBSTITUTE(LEFT(TRIM(C157),FIND(" ",TRIM(C157)&amp;" ")-1),",","."),FIND("/",SUBSTITUTE(LEFT(TRIM(C157),FIND(" ",TRIM(C157)&amp;" ")-1),",","."))+1,9))*12,NA()))),0),48)*'Aturan &amp; Tarif'!$B$4,2)</f>
        <v>2725.44</v>
      </c>
      <c r="K157" s="32" t="n">
        <f aca="false">'Aturan &amp; Tarif'!$B$5</f>
        <v>2050</v>
      </c>
      <c r="L157" s="32" t="n">
        <f aca="false">'Aturan &amp; Tarif'!$B$6</f>
        <v>350</v>
      </c>
      <c r="M157" s="35" t="n">
        <f aca="false">I157+J157+K157+L157</f>
        <v>22609.44</v>
      </c>
      <c r="N157" s="37" t="s">
        <v>318</v>
      </c>
    </row>
    <row r="158" customFormat="false" ht="25.5" hidden="false" customHeight="true" outlineLevel="0" collapsed="false">
      <c r="A158" s="29"/>
      <c r="B158" s="30" t="s">
        <v>320</v>
      </c>
      <c r="C158" s="31" t="s">
        <v>245</v>
      </c>
      <c r="D158" s="31" t="s">
        <v>108</v>
      </c>
      <c r="E158" s="32" t="n">
        <v>9200</v>
      </c>
      <c r="F158" s="32"/>
      <c r="G158" s="32"/>
      <c r="H158" s="33" t="n">
        <v>2</v>
      </c>
      <c r="I158" s="34" t="n">
        <f aca="false">E158*H158+N(F158)+N(G158)</f>
        <v>18400</v>
      </c>
      <c r="J158" s="32" t="n">
        <f aca="false">ROUND(IFERROR(ROUND(IF(OR(ISNUMBER(SEARCH("week",C158)),ISNUMBER(SEARCH("minggu",C158))),IFERROR(_xlfn.NUMBERVALUE(SUBSTITUTE(LEFT(TRIM(C158),FIND(" ",TRIM(C158)&amp;" ")-1),",","."),"."),LEFT(SUBSTITUTE(LEFT(TRIM(C158),FIND(" ",TRIM(C158)&amp;" ")-1),",","."),FIND("/",SUBSTITUTE(LEFT(TRIM(C158),FIND(" ",TRIM(C158)&amp;" ")-1),",","."))-1)/MID(SUBSTITUTE(LEFT(TRIM(C158),FIND(" ",TRIM(C158)&amp;" ")-1),",","."),FIND("/",SUBSTITUTE(LEFT(TRIM(C158),FIND(" ",TRIM(C158)&amp;" ")-1),",","."))+1,9))*12/52,IF(ISNUMBER(SEARCH("month",C158)),IFERROR(_xlfn.NUMBERVALUE(SUBSTITUTE(LEFT(TRIM(C158),FIND(" ",TRIM(C158)&amp;" ")-1),",","."),"."),LEFT(SUBSTITUTE(LEFT(TRIM(C158),FIND(" ",TRIM(C158)&amp;" ")-1),",","."),FIND("/",SUBSTITUTE(LEFT(TRIM(C158),FIND(" ",TRIM(C158)&amp;" ")-1),",","."))-1)/MID(SUBSTITUTE(LEFT(TRIM(C158),FIND(" ",TRIM(C158)&amp;" ")-1),",","."),FIND("/",SUBSTITUTE(LEFT(TRIM(C158),FIND(" ",TRIM(C158)&amp;" ")-1),",","."))+1,9)),IF(ISNUMBER(SEARCH("yea",C158)),IFERROR(_xlfn.NUMBERVALUE(SUBSTITUTE(LEFT(TRIM(C158),FIND(" ",TRIM(C158)&amp;" ")-1),",","."),"."),LEFT(SUBSTITUTE(LEFT(TRIM(C158),FIND(" ",TRIM(C158)&amp;" ")-1),",","."),FIND("/",SUBSTITUTE(LEFT(TRIM(C158),FIND(" ",TRIM(C158)&amp;" ")-1),",","."))-1)/MID(SUBSTITUTE(LEFT(TRIM(C158),FIND(" ",TRIM(C158)&amp;" ")-1),",","."),FIND("/",SUBSTITUTE(LEFT(TRIM(C158),FIND(" ",TRIM(C158)&amp;" ")-1),",","."))+1,9))*12,NA()))),0),60)*'Aturan &amp; Tarif'!$B$4,2)</f>
        <v>3406.8</v>
      </c>
      <c r="K158" s="32" t="n">
        <f aca="false">'Aturan &amp; Tarif'!$B$5</f>
        <v>2050</v>
      </c>
      <c r="L158" s="32" t="n">
        <f aca="false">'Aturan &amp; Tarif'!$B$6</f>
        <v>350</v>
      </c>
      <c r="M158" s="35" t="n">
        <f aca="false">I158+J158+K158+L158</f>
        <v>24206.8</v>
      </c>
      <c r="N158" s="37" t="s">
        <v>318</v>
      </c>
    </row>
    <row r="159" customFormat="false" ht="25.5" hidden="false" customHeight="true" outlineLevel="0" collapsed="false">
      <c r="A159" s="29"/>
      <c r="B159" s="30" t="s">
        <v>321</v>
      </c>
      <c r="C159" s="31" t="s">
        <v>127</v>
      </c>
      <c r="D159" s="31" t="s">
        <v>108</v>
      </c>
      <c r="E159" s="32" t="n">
        <v>8742</v>
      </c>
      <c r="F159" s="32"/>
      <c r="G159" s="32"/>
      <c r="H159" s="33" t="n">
        <v>2</v>
      </c>
      <c r="I159" s="34" t="n">
        <f aca="false">E159*H159+N(F159)+N(G159)</f>
        <v>17484</v>
      </c>
      <c r="J159" s="32" t="n">
        <f aca="false">ROUND(IFERROR(ROUND(IF(OR(ISNUMBER(SEARCH("week",C159)),ISNUMBER(SEARCH("minggu",C159))),IFERROR(_xlfn.NUMBERVALUE(SUBSTITUTE(LEFT(TRIM(C159),FIND(" ",TRIM(C159)&amp;" ")-1),",","."),"."),LEFT(SUBSTITUTE(LEFT(TRIM(C159),FIND(" ",TRIM(C159)&amp;" ")-1),",","."),FIND("/",SUBSTITUTE(LEFT(TRIM(C159),FIND(" ",TRIM(C159)&amp;" ")-1),",","."))-1)/MID(SUBSTITUTE(LEFT(TRIM(C159),FIND(" ",TRIM(C159)&amp;" ")-1),",","."),FIND("/",SUBSTITUTE(LEFT(TRIM(C159),FIND(" ",TRIM(C159)&amp;" ")-1),",","."))+1,9))*12/52,IF(ISNUMBER(SEARCH("month",C159)),IFERROR(_xlfn.NUMBERVALUE(SUBSTITUTE(LEFT(TRIM(C159),FIND(" ",TRIM(C159)&amp;" ")-1),",","."),"."),LEFT(SUBSTITUTE(LEFT(TRIM(C159),FIND(" ",TRIM(C159)&amp;" ")-1),",","."),FIND("/",SUBSTITUTE(LEFT(TRIM(C159),FIND(" ",TRIM(C159)&amp;" ")-1),",","."))-1)/MID(SUBSTITUTE(LEFT(TRIM(C159),FIND(" ",TRIM(C159)&amp;" ")-1),",","."),FIND("/",SUBSTITUTE(LEFT(TRIM(C159),FIND(" ",TRIM(C159)&amp;" ")-1),",","."))+1,9)),IF(ISNUMBER(SEARCH("yea",C159)),IFERROR(_xlfn.NUMBERVALUE(SUBSTITUTE(LEFT(TRIM(C159),FIND(" ",TRIM(C159)&amp;" ")-1),",","."),"."),LEFT(SUBSTITUTE(LEFT(TRIM(C159),FIND(" ",TRIM(C159)&amp;" ")-1),",","."),FIND("/",SUBSTITUTE(LEFT(TRIM(C159),FIND(" ",TRIM(C159)&amp;" ")-1),",","."))-1)/MID(SUBSTITUTE(LEFT(TRIM(C159),FIND(" ",TRIM(C159)&amp;" ")-1),",","."),FIND("/",SUBSTITUTE(LEFT(TRIM(C159),FIND(" ",TRIM(C159)&amp;" ")-1),",","."))+1,9))*12,NA()))),0),36)*'Aturan &amp; Tarif'!$B$4,2)</f>
        <v>2044.08</v>
      </c>
      <c r="K159" s="32" t="n">
        <f aca="false">'Aturan &amp; Tarif'!$B$5</f>
        <v>2050</v>
      </c>
      <c r="L159" s="32" t="n">
        <f aca="false">'Aturan &amp; Tarif'!$B$6</f>
        <v>350</v>
      </c>
      <c r="M159" s="35" t="n">
        <f aca="false">I159+J159+K159+L159</f>
        <v>21928.08</v>
      </c>
      <c r="N159" s="37" t="s">
        <v>322</v>
      </c>
    </row>
    <row r="160" customFormat="false" ht="25.5" hidden="false" customHeight="true" outlineLevel="0" collapsed="false">
      <c r="A160" s="29"/>
      <c r="B160" s="30" t="s">
        <v>323</v>
      </c>
      <c r="C160" s="31" t="s">
        <v>245</v>
      </c>
      <c r="D160" s="31" t="s">
        <v>108</v>
      </c>
      <c r="E160" s="32" t="n">
        <v>8742</v>
      </c>
      <c r="F160" s="32"/>
      <c r="G160" s="32"/>
      <c r="H160" s="33" t="n">
        <v>2</v>
      </c>
      <c r="I160" s="34" t="n">
        <f aca="false">E160*H160+N(F160)+N(G160)</f>
        <v>17484</v>
      </c>
      <c r="J160" s="32" t="n">
        <f aca="false">ROUND(IFERROR(ROUND(IF(OR(ISNUMBER(SEARCH("week",C160)),ISNUMBER(SEARCH("minggu",C160))),IFERROR(_xlfn.NUMBERVALUE(SUBSTITUTE(LEFT(TRIM(C160),FIND(" ",TRIM(C160)&amp;" ")-1),",","."),"."),LEFT(SUBSTITUTE(LEFT(TRIM(C160),FIND(" ",TRIM(C160)&amp;" ")-1),",","."),FIND("/",SUBSTITUTE(LEFT(TRIM(C160),FIND(" ",TRIM(C160)&amp;" ")-1),",","."))-1)/MID(SUBSTITUTE(LEFT(TRIM(C160),FIND(" ",TRIM(C160)&amp;" ")-1),",","."),FIND("/",SUBSTITUTE(LEFT(TRIM(C160),FIND(" ",TRIM(C160)&amp;" ")-1),",","."))+1,9))*12/52,IF(ISNUMBER(SEARCH("month",C160)),IFERROR(_xlfn.NUMBERVALUE(SUBSTITUTE(LEFT(TRIM(C160),FIND(" ",TRIM(C160)&amp;" ")-1),",","."),"."),LEFT(SUBSTITUTE(LEFT(TRIM(C160),FIND(" ",TRIM(C160)&amp;" ")-1),",","."),FIND("/",SUBSTITUTE(LEFT(TRIM(C160),FIND(" ",TRIM(C160)&amp;" ")-1),",","."))-1)/MID(SUBSTITUTE(LEFT(TRIM(C160),FIND(" ",TRIM(C160)&amp;" ")-1),",","."),FIND("/",SUBSTITUTE(LEFT(TRIM(C160),FIND(" ",TRIM(C160)&amp;" ")-1),",","."))+1,9)),IF(ISNUMBER(SEARCH("yea",C160)),IFERROR(_xlfn.NUMBERVALUE(SUBSTITUTE(LEFT(TRIM(C160),FIND(" ",TRIM(C160)&amp;" ")-1),",","."),"."),LEFT(SUBSTITUTE(LEFT(TRIM(C160),FIND(" ",TRIM(C160)&amp;" ")-1),",","."),FIND("/",SUBSTITUTE(LEFT(TRIM(C160),FIND(" ",TRIM(C160)&amp;" ")-1),",","."))-1)/MID(SUBSTITUTE(LEFT(TRIM(C160),FIND(" ",TRIM(C160)&amp;" ")-1),",","."),FIND("/",SUBSTITUTE(LEFT(TRIM(C160),FIND(" ",TRIM(C160)&amp;" ")-1),",","."))+1,9))*12,NA()))),0),60)*'Aturan &amp; Tarif'!$B$4,2)</f>
        <v>3406.8</v>
      </c>
      <c r="K160" s="32" t="n">
        <f aca="false">'Aturan &amp; Tarif'!$B$5</f>
        <v>2050</v>
      </c>
      <c r="L160" s="32" t="n">
        <f aca="false">'Aturan &amp; Tarif'!$B$6</f>
        <v>350</v>
      </c>
      <c r="M160" s="35" t="n">
        <f aca="false">I160+J160+K160+L160</f>
        <v>23290.8</v>
      </c>
      <c r="N160" s="36" t="s">
        <v>324</v>
      </c>
    </row>
    <row r="161" customFormat="false" ht="14.25" hidden="false" customHeight="true" outlineLevel="0" collapsed="false">
      <c r="A161" s="29"/>
      <c r="B161" s="30" t="s">
        <v>325</v>
      </c>
      <c r="C161" s="31" t="s">
        <v>127</v>
      </c>
      <c r="D161" s="31" t="s">
        <v>108</v>
      </c>
      <c r="E161" s="32" t="n">
        <v>8742</v>
      </c>
      <c r="F161" s="32"/>
      <c r="G161" s="32"/>
      <c r="H161" s="33" t="n">
        <v>2</v>
      </c>
      <c r="I161" s="34" t="n">
        <f aca="false">E161*H161+N(F161)+N(G161)</f>
        <v>17484</v>
      </c>
      <c r="J161" s="32" t="n">
        <f aca="false">ROUND(IFERROR(ROUND(IF(OR(ISNUMBER(SEARCH("week",C161)),ISNUMBER(SEARCH("minggu",C161))),IFERROR(_xlfn.NUMBERVALUE(SUBSTITUTE(LEFT(TRIM(C161),FIND(" ",TRIM(C161)&amp;" ")-1),",","."),"."),LEFT(SUBSTITUTE(LEFT(TRIM(C161),FIND(" ",TRIM(C161)&amp;" ")-1),",","."),FIND("/",SUBSTITUTE(LEFT(TRIM(C161),FIND(" ",TRIM(C161)&amp;" ")-1),",","."))-1)/MID(SUBSTITUTE(LEFT(TRIM(C161),FIND(" ",TRIM(C161)&amp;" ")-1),",","."),FIND("/",SUBSTITUTE(LEFT(TRIM(C161),FIND(" ",TRIM(C161)&amp;" ")-1),",","."))+1,9))*12/52,IF(ISNUMBER(SEARCH("month",C161)),IFERROR(_xlfn.NUMBERVALUE(SUBSTITUTE(LEFT(TRIM(C161),FIND(" ",TRIM(C161)&amp;" ")-1),",","."),"."),LEFT(SUBSTITUTE(LEFT(TRIM(C161),FIND(" ",TRIM(C161)&amp;" ")-1),",","."),FIND("/",SUBSTITUTE(LEFT(TRIM(C161),FIND(" ",TRIM(C161)&amp;" ")-1),",","."))-1)/MID(SUBSTITUTE(LEFT(TRIM(C161),FIND(" ",TRIM(C161)&amp;" ")-1),",","."),FIND("/",SUBSTITUTE(LEFT(TRIM(C161),FIND(" ",TRIM(C161)&amp;" ")-1),",","."))+1,9)),IF(ISNUMBER(SEARCH("yea",C161)),IFERROR(_xlfn.NUMBERVALUE(SUBSTITUTE(LEFT(TRIM(C161),FIND(" ",TRIM(C161)&amp;" ")-1),",","."),"."),LEFT(SUBSTITUTE(LEFT(TRIM(C161),FIND(" ",TRIM(C161)&amp;" ")-1),",","."),FIND("/",SUBSTITUTE(LEFT(TRIM(C161),FIND(" ",TRIM(C161)&amp;" ")-1),",","."))-1)/MID(SUBSTITUTE(LEFT(TRIM(C161),FIND(" ",TRIM(C161)&amp;" ")-1),",","."),FIND("/",SUBSTITUTE(LEFT(TRIM(C161),FIND(" ",TRIM(C161)&amp;" ")-1),",","."))+1,9))*12,NA()))),0),36)*'Aturan &amp; Tarif'!$B$4,2)</f>
        <v>2044.08</v>
      </c>
      <c r="K161" s="32" t="n">
        <f aca="false">'Aturan &amp; Tarif'!$B$5</f>
        <v>2050</v>
      </c>
      <c r="L161" s="32" t="n">
        <f aca="false">'Aturan &amp; Tarif'!$B$6</f>
        <v>350</v>
      </c>
      <c r="M161" s="35" t="n">
        <f aca="false">I161+J161+K161+L161</f>
        <v>21928.08</v>
      </c>
      <c r="N161" s="37" t="s">
        <v>322</v>
      </c>
    </row>
    <row r="162" customFormat="false" ht="25.5" hidden="false" customHeight="true" outlineLevel="0" collapsed="false">
      <c r="A162" s="29"/>
      <c r="B162" s="30" t="s">
        <v>326</v>
      </c>
      <c r="C162" s="31" t="s">
        <v>245</v>
      </c>
      <c r="D162" s="31" t="s">
        <v>108</v>
      </c>
      <c r="E162" s="32" t="n">
        <v>9200</v>
      </c>
      <c r="F162" s="32"/>
      <c r="G162" s="32"/>
      <c r="H162" s="33" t="n">
        <v>2</v>
      </c>
      <c r="I162" s="34" t="n">
        <f aca="false">E162*H162+N(F162)+N(G162)</f>
        <v>18400</v>
      </c>
      <c r="J162" s="32" t="n">
        <f aca="false">ROUND(IFERROR(ROUND(IF(OR(ISNUMBER(SEARCH("week",C162)),ISNUMBER(SEARCH("minggu",C162))),IFERROR(_xlfn.NUMBERVALUE(SUBSTITUTE(LEFT(TRIM(C162),FIND(" ",TRIM(C162)&amp;" ")-1),",","."),"."),LEFT(SUBSTITUTE(LEFT(TRIM(C162),FIND(" ",TRIM(C162)&amp;" ")-1),",","."),FIND("/",SUBSTITUTE(LEFT(TRIM(C162),FIND(" ",TRIM(C162)&amp;" ")-1),",","."))-1)/MID(SUBSTITUTE(LEFT(TRIM(C162),FIND(" ",TRIM(C162)&amp;" ")-1),",","."),FIND("/",SUBSTITUTE(LEFT(TRIM(C162),FIND(" ",TRIM(C162)&amp;" ")-1),",","."))+1,9))*12/52,IF(ISNUMBER(SEARCH("month",C162)),IFERROR(_xlfn.NUMBERVALUE(SUBSTITUTE(LEFT(TRIM(C162),FIND(" ",TRIM(C162)&amp;" ")-1),",","."),"."),LEFT(SUBSTITUTE(LEFT(TRIM(C162),FIND(" ",TRIM(C162)&amp;" ")-1),",","."),FIND("/",SUBSTITUTE(LEFT(TRIM(C162),FIND(" ",TRIM(C162)&amp;" ")-1),",","."))-1)/MID(SUBSTITUTE(LEFT(TRIM(C162),FIND(" ",TRIM(C162)&amp;" ")-1),",","."),FIND("/",SUBSTITUTE(LEFT(TRIM(C162),FIND(" ",TRIM(C162)&amp;" ")-1),",","."))+1,9)),IF(ISNUMBER(SEARCH("yea",C162)),IFERROR(_xlfn.NUMBERVALUE(SUBSTITUTE(LEFT(TRIM(C162),FIND(" ",TRIM(C162)&amp;" ")-1),",","."),"."),LEFT(SUBSTITUTE(LEFT(TRIM(C162),FIND(" ",TRIM(C162)&amp;" ")-1),",","."),FIND("/",SUBSTITUTE(LEFT(TRIM(C162),FIND(" ",TRIM(C162)&amp;" ")-1),",","."))-1)/MID(SUBSTITUTE(LEFT(TRIM(C162),FIND(" ",TRIM(C162)&amp;" ")-1),",","."),FIND("/",SUBSTITUTE(LEFT(TRIM(C162),FIND(" ",TRIM(C162)&amp;" ")-1),",","."))+1,9))*12,NA()))),0),60)*'Aturan &amp; Tarif'!$B$4,2)</f>
        <v>3406.8</v>
      </c>
      <c r="K162" s="32" t="n">
        <f aca="false">'Aturan &amp; Tarif'!$B$5</f>
        <v>2050</v>
      </c>
      <c r="L162" s="32" t="n">
        <f aca="false">'Aturan &amp; Tarif'!$B$6</f>
        <v>350</v>
      </c>
      <c r="M162" s="35" t="n">
        <f aca="false">I162+J162+K162+L162</f>
        <v>24206.8</v>
      </c>
      <c r="N162" s="37" t="s">
        <v>318</v>
      </c>
    </row>
    <row r="163" customFormat="false" ht="14.25" hidden="false" customHeight="true" outlineLevel="0" collapsed="false">
      <c r="A163" s="29"/>
      <c r="B163" s="30" t="s">
        <v>327</v>
      </c>
      <c r="C163" s="31" t="s">
        <v>127</v>
      </c>
      <c r="D163" s="31" t="s">
        <v>108</v>
      </c>
      <c r="E163" s="32" t="n">
        <v>9750</v>
      </c>
      <c r="F163" s="32"/>
      <c r="G163" s="32"/>
      <c r="H163" s="33" t="n">
        <v>2</v>
      </c>
      <c r="I163" s="34" t="n">
        <f aca="false">E163*H163+N(F163)+N(G163)</f>
        <v>19500</v>
      </c>
      <c r="J163" s="32" t="n">
        <f aca="false">ROUND(IFERROR(ROUND(IF(OR(ISNUMBER(SEARCH("week",C163)),ISNUMBER(SEARCH("minggu",C163))),IFERROR(_xlfn.NUMBERVALUE(SUBSTITUTE(LEFT(TRIM(C163),FIND(" ",TRIM(C163)&amp;" ")-1),",","."),"."),LEFT(SUBSTITUTE(LEFT(TRIM(C163),FIND(" ",TRIM(C163)&amp;" ")-1),",","."),FIND("/",SUBSTITUTE(LEFT(TRIM(C163),FIND(" ",TRIM(C163)&amp;" ")-1),",","."))-1)/MID(SUBSTITUTE(LEFT(TRIM(C163),FIND(" ",TRIM(C163)&amp;" ")-1),",","."),FIND("/",SUBSTITUTE(LEFT(TRIM(C163),FIND(" ",TRIM(C163)&amp;" ")-1),",","."))+1,9))*12/52,IF(ISNUMBER(SEARCH("month",C163)),IFERROR(_xlfn.NUMBERVALUE(SUBSTITUTE(LEFT(TRIM(C163),FIND(" ",TRIM(C163)&amp;" ")-1),",","."),"."),LEFT(SUBSTITUTE(LEFT(TRIM(C163),FIND(" ",TRIM(C163)&amp;" ")-1),",","."),FIND("/",SUBSTITUTE(LEFT(TRIM(C163),FIND(" ",TRIM(C163)&amp;" ")-1),",","."))-1)/MID(SUBSTITUTE(LEFT(TRIM(C163),FIND(" ",TRIM(C163)&amp;" ")-1),",","."),FIND("/",SUBSTITUTE(LEFT(TRIM(C163),FIND(" ",TRIM(C163)&amp;" ")-1),",","."))+1,9)),IF(ISNUMBER(SEARCH("yea",C163)),IFERROR(_xlfn.NUMBERVALUE(SUBSTITUTE(LEFT(TRIM(C163),FIND(" ",TRIM(C163)&amp;" ")-1),",","."),"."),LEFT(SUBSTITUTE(LEFT(TRIM(C163),FIND(" ",TRIM(C163)&amp;" ")-1),",","."),FIND("/",SUBSTITUTE(LEFT(TRIM(C163),FIND(" ",TRIM(C163)&amp;" ")-1),",","."))-1)/MID(SUBSTITUTE(LEFT(TRIM(C163),FIND(" ",TRIM(C163)&amp;" ")-1),",","."),FIND("/",SUBSTITUTE(LEFT(TRIM(C163),FIND(" ",TRIM(C163)&amp;" ")-1),",","."))+1,9))*12,NA()))),0),36)*'Aturan &amp; Tarif'!$B$4,2)</f>
        <v>2044.08</v>
      </c>
      <c r="K163" s="32" t="n">
        <f aca="false">'Aturan &amp; Tarif'!$B$5</f>
        <v>2050</v>
      </c>
      <c r="L163" s="32" t="n">
        <f aca="false">'Aturan &amp; Tarif'!$B$6</f>
        <v>350</v>
      </c>
      <c r="M163" s="35" t="n">
        <f aca="false">I163+J163+K163+L163</f>
        <v>23944.08</v>
      </c>
      <c r="N163" s="36" t="s">
        <v>328</v>
      </c>
    </row>
    <row r="164" customFormat="false" ht="14.25" hidden="false" customHeight="true" outlineLevel="0" collapsed="false">
      <c r="A164" s="29"/>
      <c r="B164" s="30" t="s">
        <v>329</v>
      </c>
      <c r="C164" s="31" t="s">
        <v>191</v>
      </c>
      <c r="D164" s="31" t="s">
        <v>108</v>
      </c>
      <c r="E164" s="32" t="n">
        <v>9750</v>
      </c>
      <c r="F164" s="32"/>
      <c r="G164" s="32"/>
      <c r="H164" s="33" t="n">
        <v>2</v>
      </c>
      <c r="I164" s="34" t="n">
        <f aca="false">E164*H164+N(F164)+N(G164)</f>
        <v>19500</v>
      </c>
      <c r="J164" s="32" t="n">
        <f aca="false">ROUND(IFERROR(ROUND(IF(OR(ISNUMBER(SEARCH("week",C164)),ISNUMBER(SEARCH("minggu",C164))),IFERROR(_xlfn.NUMBERVALUE(SUBSTITUTE(LEFT(TRIM(C164),FIND(" ",TRIM(C164)&amp;" ")-1),",","."),"."),LEFT(SUBSTITUTE(LEFT(TRIM(C164),FIND(" ",TRIM(C164)&amp;" ")-1),",","."),FIND("/",SUBSTITUTE(LEFT(TRIM(C164),FIND(" ",TRIM(C164)&amp;" ")-1),",","."))-1)/MID(SUBSTITUTE(LEFT(TRIM(C164),FIND(" ",TRIM(C164)&amp;" ")-1),",","."),FIND("/",SUBSTITUTE(LEFT(TRIM(C164),FIND(" ",TRIM(C164)&amp;" ")-1),",","."))+1,9))*12/52,IF(ISNUMBER(SEARCH("month",C164)),IFERROR(_xlfn.NUMBERVALUE(SUBSTITUTE(LEFT(TRIM(C164),FIND(" ",TRIM(C164)&amp;" ")-1),",","."),"."),LEFT(SUBSTITUTE(LEFT(TRIM(C164),FIND(" ",TRIM(C164)&amp;" ")-1),",","."),FIND("/",SUBSTITUTE(LEFT(TRIM(C164),FIND(" ",TRIM(C164)&amp;" ")-1),",","."))-1)/MID(SUBSTITUTE(LEFT(TRIM(C164),FIND(" ",TRIM(C164)&amp;" ")-1),",","."),FIND("/",SUBSTITUTE(LEFT(TRIM(C164),FIND(" ",TRIM(C164)&amp;" ")-1),",","."))+1,9)),IF(ISNUMBER(SEARCH("yea",C164)),IFERROR(_xlfn.NUMBERVALUE(SUBSTITUTE(LEFT(TRIM(C164),FIND(" ",TRIM(C164)&amp;" ")-1),",","."),"."),LEFT(SUBSTITUTE(LEFT(TRIM(C164),FIND(" ",TRIM(C164)&amp;" ")-1),",","."),FIND("/",SUBSTITUTE(LEFT(TRIM(C164),FIND(" ",TRIM(C164)&amp;" ")-1),",","."))-1)/MID(SUBSTITUTE(LEFT(TRIM(C164),FIND(" ",TRIM(C164)&amp;" ")-1),",","."),FIND("/",SUBSTITUTE(LEFT(TRIM(C164),FIND(" ",TRIM(C164)&amp;" ")-1),",","."))+1,9))*12,NA()))),0),48)*'Aturan &amp; Tarif'!$B$4,2)</f>
        <v>2725.44</v>
      </c>
      <c r="K164" s="32" t="n">
        <f aca="false">'Aturan &amp; Tarif'!$B$5</f>
        <v>2050</v>
      </c>
      <c r="L164" s="32" t="n">
        <f aca="false">'Aturan &amp; Tarif'!$B$6</f>
        <v>350</v>
      </c>
      <c r="M164" s="35" t="n">
        <f aca="false">I164+J164+K164+L164</f>
        <v>24625.44</v>
      </c>
      <c r="N164" s="37" t="s">
        <v>318</v>
      </c>
    </row>
    <row r="165" customFormat="false" ht="25.5" hidden="false" customHeight="true" outlineLevel="0" collapsed="false">
      <c r="A165" s="29"/>
      <c r="B165" s="30" t="s">
        <v>330</v>
      </c>
      <c r="C165" s="31" t="s">
        <v>127</v>
      </c>
      <c r="D165" s="31" t="s">
        <v>108</v>
      </c>
      <c r="E165" s="32" t="n">
        <v>9200</v>
      </c>
      <c r="F165" s="32"/>
      <c r="G165" s="32"/>
      <c r="H165" s="33" t="n">
        <v>2</v>
      </c>
      <c r="I165" s="34" t="n">
        <f aca="false">E165*H165+N(F165)+N(G165)</f>
        <v>18400</v>
      </c>
      <c r="J165" s="32" t="n">
        <f aca="false">ROUND(IFERROR(ROUND(IF(OR(ISNUMBER(SEARCH("week",C165)),ISNUMBER(SEARCH("minggu",C165))),IFERROR(_xlfn.NUMBERVALUE(SUBSTITUTE(LEFT(TRIM(C165),FIND(" ",TRIM(C165)&amp;" ")-1),",","."),"."),LEFT(SUBSTITUTE(LEFT(TRIM(C165),FIND(" ",TRIM(C165)&amp;" ")-1),",","."),FIND("/",SUBSTITUTE(LEFT(TRIM(C165),FIND(" ",TRIM(C165)&amp;" ")-1),",","."))-1)/MID(SUBSTITUTE(LEFT(TRIM(C165),FIND(" ",TRIM(C165)&amp;" ")-1),",","."),FIND("/",SUBSTITUTE(LEFT(TRIM(C165),FIND(" ",TRIM(C165)&amp;" ")-1),",","."))+1,9))*12/52,IF(ISNUMBER(SEARCH("month",C165)),IFERROR(_xlfn.NUMBERVALUE(SUBSTITUTE(LEFT(TRIM(C165),FIND(" ",TRIM(C165)&amp;" ")-1),",","."),"."),LEFT(SUBSTITUTE(LEFT(TRIM(C165),FIND(" ",TRIM(C165)&amp;" ")-1),",","."),FIND("/",SUBSTITUTE(LEFT(TRIM(C165),FIND(" ",TRIM(C165)&amp;" ")-1),",","."))-1)/MID(SUBSTITUTE(LEFT(TRIM(C165),FIND(" ",TRIM(C165)&amp;" ")-1),",","."),FIND("/",SUBSTITUTE(LEFT(TRIM(C165),FIND(" ",TRIM(C165)&amp;" ")-1),",","."))+1,9)),IF(ISNUMBER(SEARCH("yea",C165)),IFERROR(_xlfn.NUMBERVALUE(SUBSTITUTE(LEFT(TRIM(C165),FIND(" ",TRIM(C165)&amp;" ")-1),",","."),"."),LEFT(SUBSTITUTE(LEFT(TRIM(C165),FIND(" ",TRIM(C165)&amp;" ")-1),",","."),FIND("/",SUBSTITUTE(LEFT(TRIM(C165),FIND(" ",TRIM(C165)&amp;" ")-1),",","."))-1)/MID(SUBSTITUTE(LEFT(TRIM(C165),FIND(" ",TRIM(C165)&amp;" ")-1),",","."),FIND("/",SUBSTITUTE(LEFT(TRIM(C165),FIND(" ",TRIM(C165)&amp;" ")-1),",","."))+1,9))*12,NA()))),0),36)*'Aturan &amp; Tarif'!$B$4,2)</f>
        <v>2044.08</v>
      </c>
      <c r="K165" s="32" t="n">
        <f aca="false">'Aturan &amp; Tarif'!$B$5</f>
        <v>2050</v>
      </c>
      <c r="L165" s="32" t="n">
        <f aca="false">'Aturan &amp; Tarif'!$B$6</f>
        <v>350</v>
      </c>
      <c r="M165" s="35" t="n">
        <f aca="false">I165+J165+K165+L165</f>
        <v>22844.08</v>
      </c>
      <c r="N165" s="37" t="s">
        <v>318</v>
      </c>
    </row>
    <row r="166" customFormat="false" ht="25.5" hidden="false" customHeight="true" outlineLevel="0" collapsed="false">
      <c r="A166" s="29"/>
      <c r="B166" s="30" t="s">
        <v>331</v>
      </c>
      <c r="C166" s="31" t="s">
        <v>245</v>
      </c>
      <c r="D166" s="31" t="s">
        <v>108</v>
      </c>
      <c r="E166" s="32" t="n">
        <v>9200</v>
      </c>
      <c r="F166" s="32"/>
      <c r="G166" s="32"/>
      <c r="H166" s="33" t="n">
        <v>2</v>
      </c>
      <c r="I166" s="34" t="n">
        <f aca="false">E166*H166+N(F166)+N(G166)</f>
        <v>18400</v>
      </c>
      <c r="J166" s="32" t="n">
        <f aca="false">ROUND(IFERROR(ROUND(IF(OR(ISNUMBER(SEARCH("week",C166)),ISNUMBER(SEARCH("minggu",C166))),IFERROR(_xlfn.NUMBERVALUE(SUBSTITUTE(LEFT(TRIM(C166),FIND(" ",TRIM(C166)&amp;" ")-1),",","."),"."),LEFT(SUBSTITUTE(LEFT(TRIM(C166),FIND(" ",TRIM(C166)&amp;" ")-1),",","."),FIND("/",SUBSTITUTE(LEFT(TRIM(C166),FIND(" ",TRIM(C166)&amp;" ")-1),",","."))-1)/MID(SUBSTITUTE(LEFT(TRIM(C166),FIND(" ",TRIM(C166)&amp;" ")-1),",","."),FIND("/",SUBSTITUTE(LEFT(TRIM(C166),FIND(" ",TRIM(C166)&amp;" ")-1),",","."))+1,9))*12/52,IF(ISNUMBER(SEARCH("month",C166)),IFERROR(_xlfn.NUMBERVALUE(SUBSTITUTE(LEFT(TRIM(C166),FIND(" ",TRIM(C166)&amp;" ")-1),",","."),"."),LEFT(SUBSTITUTE(LEFT(TRIM(C166),FIND(" ",TRIM(C166)&amp;" ")-1),",","."),FIND("/",SUBSTITUTE(LEFT(TRIM(C166),FIND(" ",TRIM(C166)&amp;" ")-1),",","."))-1)/MID(SUBSTITUTE(LEFT(TRIM(C166),FIND(" ",TRIM(C166)&amp;" ")-1),",","."),FIND("/",SUBSTITUTE(LEFT(TRIM(C166),FIND(" ",TRIM(C166)&amp;" ")-1),",","."))+1,9)),IF(ISNUMBER(SEARCH("yea",C166)),IFERROR(_xlfn.NUMBERVALUE(SUBSTITUTE(LEFT(TRIM(C166),FIND(" ",TRIM(C166)&amp;" ")-1),",","."),"."),LEFT(SUBSTITUTE(LEFT(TRIM(C166),FIND(" ",TRIM(C166)&amp;" ")-1),",","."),FIND("/",SUBSTITUTE(LEFT(TRIM(C166),FIND(" ",TRIM(C166)&amp;" ")-1),",","."))-1)/MID(SUBSTITUTE(LEFT(TRIM(C166),FIND(" ",TRIM(C166)&amp;" ")-1),",","."),FIND("/",SUBSTITUTE(LEFT(TRIM(C166),FIND(" ",TRIM(C166)&amp;" ")-1),",","."))+1,9))*12,NA()))),0),60)*'Aturan &amp; Tarif'!$B$4,2)</f>
        <v>3406.8</v>
      </c>
      <c r="K166" s="32" t="n">
        <f aca="false">'Aturan &amp; Tarif'!$B$5</f>
        <v>2050</v>
      </c>
      <c r="L166" s="32" t="n">
        <f aca="false">'Aturan &amp; Tarif'!$B$6</f>
        <v>350</v>
      </c>
      <c r="M166" s="35" t="n">
        <f aca="false">I166+J166+K166+L166</f>
        <v>24206.8</v>
      </c>
      <c r="N166" s="37" t="s">
        <v>318</v>
      </c>
    </row>
    <row r="167" customFormat="false" ht="25.5" hidden="false" customHeight="true" outlineLevel="0" collapsed="false">
      <c r="A167" s="29"/>
      <c r="B167" s="30" t="s">
        <v>332</v>
      </c>
      <c r="C167" s="31" t="s">
        <v>245</v>
      </c>
      <c r="D167" s="31" t="s">
        <v>108</v>
      </c>
      <c r="E167" s="32" t="n">
        <v>9200</v>
      </c>
      <c r="F167" s="32"/>
      <c r="G167" s="32"/>
      <c r="H167" s="33" t="n">
        <v>2</v>
      </c>
      <c r="I167" s="34" t="n">
        <f aca="false">E167*H167+N(F167)+N(G167)</f>
        <v>18400</v>
      </c>
      <c r="J167" s="32" t="n">
        <f aca="false">ROUND(IFERROR(ROUND(IF(OR(ISNUMBER(SEARCH("week",C167)),ISNUMBER(SEARCH("minggu",C167))),IFERROR(_xlfn.NUMBERVALUE(SUBSTITUTE(LEFT(TRIM(C167),FIND(" ",TRIM(C167)&amp;" ")-1),",","."),"."),LEFT(SUBSTITUTE(LEFT(TRIM(C167),FIND(" ",TRIM(C167)&amp;" ")-1),",","."),FIND("/",SUBSTITUTE(LEFT(TRIM(C167),FIND(" ",TRIM(C167)&amp;" ")-1),",","."))-1)/MID(SUBSTITUTE(LEFT(TRIM(C167),FIND(" ",TRIM(C167)&amp;" ")-1),",","."),FIND("/",SUBSTITUTE(LEFT(TRIM(C167),FIND(" ",TRIM(C167)&amp;" ")-1),",","."))+1,9))*12/52,IF(ISNUMBER(SEARCH("month",C167)),IFERROR(_xlfn.NUMBERVALUE(SUBSTITUTE(LEFT(TRIM(C167),FIND(" ",TRIM(C167)&amp;" ")-1),",","."),"."),LEFT(SUBSTITUTE(LEFT(TRIM(C167),FIND(" ",TRIM(C167)&amp;" ")-1),",","."),FIND("/",SUBSTITUTE(LEFT(TRIM(C167),FIND(" ",TRIM(C167)&amp;" ")-1),",","."))-1)/MID(SUBSTITUTE(LEFT(TRIM(C167),FIND(" ",TRIM(C167)&amp;" ")-1),",","."),FIND("/",SUBSTITUTE(LEFT(TRIM(C167),FIND(" ",TRIM(C167)&amp;" ")-1),",","."))+1,9)),IF(ISNUMBER(SEARCH("yea",C167)),IFERROR(_xlfn.NUMBERVALUE(SUBSTITUTE(LEFT(TRIM(C167),FIND(" ",TRIM(C167)&amp;" ")-1),",","."),"."),LEFT(SUBSTITUTE(LEFT(TRIM(C167),FIND(" ",TRIM(C167)&amp;" ")-1),",","."),FIND("/",SUBSTITUTE(LEFT(TRIM(C167),FIND(" ",TRIM(C167)&amp;" ")-1),",","."))-1)/MID(SUBSTITUTE(LEFT(TRIM(C167),FIND(" ",TRIM(C167)&amp;" ")-1),",","."),FIND("/",SUBSTITUTE(LEFT(TRIM(C167),FIND(" ",TRIM(C167)&amp;" ")-1),",","."))+1,9))*12,NA()))),0),60)*'Aturan &amp; Tarif'!$B$4,2)</f>
        <v>3406.8</v>
      </c>
      <c r="K167" s="32" t="n">
        <f aca="false">'Aturan &amp; Tarif'!$B$5</f>
        <v>2050</v>
      </c>
      <c r="L167" s="32" t="n">
        <f aca="false">'Aturan &amp; Tarif'!$B$6</f>
        <v>350</v>
      </c>
      <c r="M167" s="35" t="n">
        <f aca="false">I167+J167+K167+L167</f>
        <v>24206.8</v>
      </c>
      <c r="N167" s="37" t="s">
        <v>318</v>
      </c>
    </row>
    <row r="168" customFormat="false" ht="14.25" hidden="false" customHeight="true" outlineLevel="0" collapsed="false">
      <c r="A168" s="29"/>
      <c r="B168" s="30" t="s">
        <v>333</v>
      </c>
      <c r="C168" s="31" t="s">
        <v>191</v>
      </c>
      <c r="D168" s="31" t="s">
        <v>108</v>
      </c>
      <c r="E168" s="32" t="n">
        <v>9200</v>
      </c>
      <c r="F168" s="32"/>
      <c r="G168" s="32"/>
      <c r="H168" s="33" t="n">
        <v>2</v>
      </c>
      <c r="I168" s="34" t="n">
        <f aca="false">E168*H168+N(F168)+N(G168)</f>
        <v>18400</v>
      </c>
      <c r="J168" s="32" t="n">
        <f aca="false">ROUND(IFERROR(ROUND(IF(OR(ISNUMBER(SEARCH("week",C168)),ISNUMBER(SEARCH("minggu",C168))),IFERROR(_xlfn.NUMBERVALUE(SUBSTITUTE(LEFT(TRIM(C168),FIND(" ",TRIM(C168)&amp;" ")-1),",","."),"."),LEFT(SUBSTITUTE(LEFT(TRIM(C168),FIND(" ",TRIM(C168)&amp;" ")-1),",","."),FIND("/",SUBSTITUTE(LEFT(TRIM(C168),FIND(" ",TRIM(C168)&amp;" ")-1),",","."))-1)/MID(SUBSTITUTE(LEFT(TRIM(C168),FIND(" ",TRIM(C168)&amp;" ")-1),",","."),FIND("/",SUBSTITUTE(LEFT(TRIM(C168),FIND(" ",TRIM(C168)&amp;" ")-1),",","."))+1,9))*12/52,IF(ISNUMBER(SEARCH("month",C168)),IFERROR(_xlfn.NUMBERVALUE(SUBSTITUTE(LEFT(TRIM(C168),FIND(" ",TRIM(C168)&amp;" ")-1),",","."),"."),LEFT(SUBSTITUTE(LEFT(TRIM(C168),FIND(" ",TRIM(C168)&amp;" ")-1),",","."),FIND("/",SUBSTITUTE(LEFT(TRIM(C168),FIND(" ",TRIM(C168)&amp;" ")-1),",","."))-1)/MID(SUBSTITUTE(LEFT(TRIM(C168),FIND(" ",TRIM(C168)&amp;" ")-1),",","."),FIND("/",SUBSTITUTE(LEFT(TRIM(C168),FIND(" ",TRIM(C168)&amp;" ")-1),",","."))+1,9)),IF(ISNUMBER(SEARCH("yea",C168)),IFERROR(_xlfn.NUMBERVALUE(SUBSTITUTE(LEFT(TRIM(C168),FIND(" ",TRIM(C168)&amp;" ")-1),",","."),"."),LEFT(SUBSTITUTE(LEFT(TRIM(C168),FIND(" ",TRIM(C168)&amp;" ")-1),",","."),FIND("/",SUBSTITUTE(LEFT(TRIM(C168),FIND(" ",TRIM(C168)&amp;" ")-1),",","."))-1)/MID(SUBSTITUTE(LEFT(TRIM(C168),FIND(" ",TRIM(C168)&amp;" ")-1),",","."),FIND("/",SUBSTITUTE(LEFT(TRIM(C168),FIND(" ",TRIM(C168)&amp;" ")-1),",","."))+1,9))*12,NA()))),0),48)*'Aturan &amp; Tarif'!$B$4,2)</f>
        <v>2725.44</v>
      </c>
      <c r="K168" s="32" t="n">
        <f aca="false">'Aturan &amp; Tarif'!$B$5</f>
        <v>2050</v>
      </c>
      <c r="L168" s="32" t="n">
        <f aca="false">'Aturan &amp; Tarif'!$B$6</f>
        <v>350</v>
      </c>
      <c r="M168" s="35" t="n">
        <f aca="false">I168+J168+K168+L168</f>
        <v>23525.44</v>
      </c>
      <c r="N168" s="37" t="s">
        <v>318</v>
      </c>
    </row>
    <row r="169" customFormat="false" ht="14.25" hidden="false" customHeight="true" outlineLevel="0" collapsed="false">
      <c r="A169" s="29"/>
      <c r="B169" s="30" t="s">
        <v>334</v>
      </c>
      <c r="C169" s="31" t="s">
        <v>245</v>
      </c>
      <c r="D169" s="31" t="s">
        <v>108</v>
      </c>
      <c r="E169" s="32" t="n">
        <v>9200</v>
      </c>
      <c r="F169" s="32"/>
      <c r="G169" s="32"/>
      <c r="H169" s="33" t="n">
        <v>2</v>
      </c>
      <c r="I169" s="34" t="n">
        <f aca="false">E169*H169+N(F169)+N(G169)</f>
        <v>18400</v>
      </c>
      <c r="J169" s="32" t="n">
        <f aca="false">ROUND(IFERROR(ROUND(IF(OR(ISNUMBER(SEARCH("week",C169)),ISNUMBER(SEARCH("minggu",C169))),IFERROR(_xlfn.NUMBERVALUE(SUBSTITUTE(LEFT(TRIM(C169),FIND(" ",TRIM(C169)&amp;" ")-1),",","."),"."),LEFT(SUBSTITUTE(LEFT(TRIM(C169),FIND(" ",TRIM(C169)&amp;" ")-1),",","."),FIND("/",SUBSTITUTE(LEFT(TRIM(C169),FIND(" ",TRIM(C169)&amp;" ")-1),",","."))-1)/MID(SUBSTITUTE(LEFT(TRIM(C169),FIND(" ",TRIM(C169)&amp;" ")-1),",","."),FIND("/",SUBSTITUTE(LEFT(TRIM(C169),FIND(" ",TRIM(C169)&amp;" ")-1),",","."))+1,9))*12/52,IF(ISNUMBER(SEARCH("month",C169)),IFERROR(_xlfn.NUMBERVALUE(SUBSTITUTE(LEFT(TRIM(C169),FIND(" ",TRIM(C169)&amp;" ")-1),",","."),"."),LEFT(SUBSTITUTE(LEFT(TRIM(C169),FIND(" ",TRIM(C169)&amp;" ")-1),",","."),FIND("/",SUBSTITUTE(LEFT(TRIM(C169),FIND(" ",TRIM(C169)&amp;" ")-1),",","."))-1)/MID(SUBSTITUTE(LEFT(TRIM(C169),FIND(" ",TRIM(C169)&amp;" ")-1),",","."),FIND("/",SUBSTITUTE(LEFT(TRIM(C169),FIND(" ",TRIM(C169)&amp;" ")-1),",","."))+1,9)),IF(ISNUMBER(SEARCH("yea",C169)),IFERROR(_xlfn.NUMBERVALUE(SUBSTITUTE(LEFT(TRIM(C169),FIND(" ",TRIM(C169)&amp;" ")-1),",","."),"."),LEFT(SUBSTITUTE(LEFT(TRIM(C169),FIND(" ",TRIM(C169)&amp;" ")-1),",","."),FIND("/",SUBSTITUTE(LEFT(TRIM(C169),FIND(" ",TRIM(C169)&amp;" ")-1),",","."))-1)/MID(SUBSTITUTE(LEFT(TRIM(C169),FIND(" ",TRIM(C169)&amp;" ")-1),",","."),FIND("/",SUBSTITUTE(LEFT(TRIM(C169),FIND(" ",TRIM(C169)&amp;" ")-1),",","."))+1,9))*12,NA()))),0),60)*'Aturan &amp; Tarif'!$B$4,2)</f>
        <v>3406.8</v>
      </c>
      <c r="K169" s="32" t="n">
        <f aca="false">'Aturan &amp; Tarif'!$B$5</f>
        <v>2050</v>
      </c>
      <c r="L169" s="32" t="n">
        <f aca="false">'Aturan &amp; Tarif'!$B$6</f>
        <v>350</v>
      </c>
      <c r="M169" s="35" t="n">
        <f aca="false">I169+J169+K169+L169</f>
        <v>24206.8</v>
      </c>
      <c r="N169" s="37" t="s">
        <v>318</v>
      </c>
    </row>
    <row r="170" customFormat="false" ht="25.5" hidden="false" customHeight="true" outlineLevel="0" collapsed="false">
      <c r="A170" s="29"/>
      <c r="B170" s="30" t="s">
        <v>335</v>
      </c>
      <c r="C170" s="31" t="s">
        <v>127</v>
      </c>
      <c r="D170" s="31" t="s">
        <v>108</v>
      </c>
      <c r="E170" s="32" t="n">
        <v>8742</v>
      </c>
      <c r="F170" s="32"/>
      <c r="G170" s="32"/>
      <c r="H170" s="33" t="n">
        <v>2</v>
      </c>
      <c r="I170" s="34" t="n">
        <f aca="false">E170*H170+N(F170)+N(G170)</f>
        <v>17484</v>
      </c>
      <c r="J170" s="32" t="n">
        <f aca="false">ROUND(IFERROR(ROUND(IF(OR(ISNUMBER(SEARCH("week",C170)),ISNUMBER(SEARCH("minggu",C170))),IFERROR(_xlfn.NUMBERVALUE(SUBSTITUTE(LEFT(TRIM(C170),FIND(" ",TRIM(C170)&amp;" ")-1),",","."),"."),LEFT(SUBSTITUTE(LEFT(TRIM(C170),FIND(" ",TRIM(C170)&amp;" ")-1),",","."),FIND("/",SUBSTITUTE(LEFT(TRIM(C170),FIND(" ",TRIM(C170)&amp;" ")-1),",","."))-1)/MID(SUBSTITUTE(LEFT(TRIM(C170),FIND(" ",TRIM(C170)&amp;" ")-1),",","."),FIND("/",SUBSTITUTE(LEFT(TRIM(C170),FIND(" ",TRIM(C170)&amp;" ")-1),",","."))+1,9))*12/52,IF(ISNUMBER(SEARCH("month",C170)),IFERROR(_xlfn.NUMBERVALUE(SUBSTITUTE(LEFT(TRIM(C170),FIND(" ",TRIM(C170)&amp;" ")-1),",","."),"."),LEFT(SUBSTITUTE(LEFT(TRIM(C170),FIND(" ",TRIM(C170)&amp;" ")-1),",","."),FIND("/",SUBSTITUTE(LEFT(TRIM(C170),FIND(" ",TRIM(C170)&amp;" ")-1),",","."))-1)/MID(SUBSTITUTE(LEFT(TRIM(C170),FIND(" ",TRIM(C170)&amp;" ")-1),",","."),FIND("/",SUBSTITUTE(LEFT(TRIM(C170),FIND(" ",TRIM(C170)&amp;" ")-1),",","."))+1,9)),IF(ISNUMBER(SEARCH("yea",C170)),IFERROR(_xlfn.NUMBERVALUE(SUBSTITUTE(LEFT(TRIM(C170),FIND(" ",TRIM(C170)&amp;" ")-1),",","."),"."),LEFT(SUBSTITUTE(LEFT(TRIM(C170),FIND(" ",TRIM(C170)&amp;" ")-1),",","."),FIND("/",SUBSTITUTE(LEFT(TRIM(C170),FIND(" ",TRIM(C170)&amp;" ")-1),",","."))-1)/MID(SUBSTITUTE(LEFT(TRIM(C170),FIND(" ",TRIM(C170)&amp;" ")-1),",","."),FIND("/",SUBSTITUTE(LEFT(TRIM(C170),FIND(" ",TRIM(C170)&amp;" ")-1),",","."))+1,9))*12,NA()))),0),36)*'Aturan &amp; Tarif'!$B$4,2)</f>
        <v>2044.08</v>
      </c>
      <c r="K170" s="32" t="n">
        <f aca="false">'Aturan &amp; Tarif'!$B$5</f>
        <v>2050</v>
      </c>
      <c r="L170" s="32" t="n">
        <f aca="false">'Aturan &amp; Tarif'!$B$6</f>
        <v>350</v>
      </c>
      <c r="M170" s="35" t="n">
        <f aca="false">I170+J170+K170+L170</f>
        <v>21928.08</v>
      </c>
      <c r="N170" s="37" t="s">
        <v>318</v>
      </c>
    </row>
    <row r="171" customFormat="false" ht="25.5" hidden="false" customHeight="true" outlineLevel="0" collapsed="false">
      <c r="A171" s="29"/>
      <c r="B171" s="30" t="s">
        <v>336</v>
      </c>
      <c r="C171" s="31" t="s">
        <v>191</v>
      </c>
      <c r="D171" s="31" t="s">
        <v>108</v>
      </c>
      <c r="E171" s="32" t="n">
        <v>8742</v>
      </c>
      <c r="F171" s="32"/>
      <c r="G171" s="32"/>
      <c r="H171" s="33" t="n">
        <v>2</v>
      </c>
      <c r="I171" s="34" t="n">
        <f aca="false">E171*H171+N(F171)+N(G171)</f>
        <v>17484</v>
      </c>
      <c r="J171" s="32" t="n">
        <f aca="false">ROUND(IFERROR(ROUND(IF(OR(ISNUMBER(SEARCH("week",C171)),ISNUMBER(SEARCH("minggu",C171))),IFERROR(_xlfn.NUMBERVALUE(SUBSTITUTE(LEFT(TRIM(C171),FIND(" ",TRIM(C171)&amp;" ")-1),",","."),"."),LEFT(SUBSTITUTE(LEFT(TRIM(C171),FIND(" ",TRIM(C171)&amp;" ")-1),",","."),FIND("/",SUBSTITUTE(LEFT(TRIM(C171),FIND(" ",TRIM(C171)&amp;" ")-1),",","."))-1)/MID(SUBSTITUTE(LEFT(TRIM(C171),FIND(" ",TRIM(C171)&amp;" ")-1),",","."),FIND("/",SUBSTITUTE(LEFT(TRIM(C171),FIND(" ",TRIM(C171)&amp;" ")-1),",","."))+1,9))*12/52,IF(ISNUMBER(SEARCH("month",C171)),IFERROR(_xlfn.NUMBERVALUE(SUBSTITUTE(LEFT(TRIM(C171),FIND(" ",TRIM(C171)&amp;" ")-1),",","."),"."),LEFT(SUBSTITUTE(LEFT(TRIM(C171),FIND(" ",TRIM(C171)&amp;" ")-1),",","."),FIND("/",SUBSTITUTE(LEFT(TRIM(C171),FIND(" ",TRIM(C171)&amp;" ")-1),",","."))-1)/MID(SUBSTITUTE(LEFT(TRIM(C171),FIND(" ",TRIM(C171)&amp;" ")-1),",","."),FIND("/",SUBSTITUTE(LEFT(TRIM(C171),FIND(" ",TRIM(C171)&amp;" ")-1),",","."))+1,9)),IF(ISNUMBER(SEARCH("yea",C171)),IFERROR(_xlfn.NUMBERVALUE(SUBSTITUTE(LEFT(TRIM(C171),FIND(" ",TRIM(C171)&amp;" ")-1),",","."),"."),LEFT(SUBSTITUTE(LEFT(TRIM(C171),FIND(" ",TRIM(C171)&amp;" ")-1),",","."),FIND("/",SUBSTITUTE(LEFT(TRIM(C171),FIND(" ",TRIM(C171)&amp;" ")-1),",","."))-1)/MID(SUBSTITUTE(LEFT(TRIM(C171),FIND(" ",TRIM(C171)&amp;" ")-1),",","."),FIND("/",SUBSTITUTE(LEFT(TRIM(C171),FIND(" ",TRIM(C171)&amp;" ")-1),",","."))+1,9))*12,NA()))),0),48)*'Aturan &amp; Tarif'!$B$4,2)</f>
        <v>2725.44</v>
      </c>
      <c r="K171" s="32" t="n">
        <f aca="false">'Aturan &amp; Tarif'!$B$5</f>
        <v>2050</v>
      </c>
      <c r="L171" s="32" t="n">
        <f aca="false">'Aturan &amp; Tarif'!$B$6</f>
        <v>350</v>
      </c>
      <c r="M171" s="35" t="n">
        <f aca="false">I171+J171+K171+L171</f>
        <v>22609.44</v>
      </c>
      <c r="N171" s="37" t="s">
        <v>318</v>
      </c>
    </row>
    <row r="172" customFormat="false" ht="25.5" hidden="false" customHeight="true" outlineLevel="0" collapsed="false">
      <c r="A172" s="29"/>
      <c r="B172" s="30" t="s">
        <v>156</v>
      </c>
      <c r="C172" s="31" t="s">
        <v>191</v>
      </c>
      <c r="D172" s="31" t="s">
        <v>108</v>
      </c>
      <c r="E172" s="32" t="n">
        <v>9200</v>
      </c>
      <c r="F172" s="32"/>
      <c r="G172" s="32"/>
      <c r="H172" s="33" t="n">
        <v>2</v>
      </c>
      <c r="I172" s="34" t="n">
        <f aca="false">E172*H172+N(F172)+N(G172)</f>
        <v>18400</v>
      </c>
      <c r="J172" s="32" t="n">
        <f aca="false">ROUND(IFERROR(ROUND(IF(OR(ISNUMBER(SEARCH("week",C172)),ISNUMBER(SEARCH("minggu",C172))),IFERROR(_xlfn.NUMBERVALUE(SUBSTITUTE(LEFT(TRIM(C172),FIND(" ",TRIM(C172)&amp;" ")-1),",","."),"."),LEFT(SUBSTITUTE(LEFT(TRIM(C172),FIND(" ",TRIM(C172)&amp;" ")-1),",","."),FIND("/",SUBSTITUTE(LEFT(TRIM(C172),FIND(" ",TRIM(C172)&amp;" ")-1),",","."))-1)/MID(SUBSTITUTE(LEFT(TRIM(C172),FIND(" ",TRIM(C172)&amp;" ")-1),",","."),FIND("/",SUBSTITUTE(LEFT(TRIM(C172),FIND(" ",TRIM(C172)&amp;" ")-1),",","."))+1,9))*12/52,IF(ISNUMBER(SEARCH("month",C172)),IFERROR(_xlfn.NUMBERVALUE(SUBSTITUTE(LEFT(TRIM(C172),FIND(" ",TRIM(C172)&amp;" ")-1),",","."),"."),LEFT(SUBSTITUTE(LEFT(TRIM(C172),FIND(" ",TRIM(C172)&amp;" ")-1),",","."),FIND("/",SUBSTITUTE(LEFT(TRIM(C172),FIND(" ",TRIM(C172)&amp;" ")-1),",","."))-1)/MID(SUBSTITUTE(LEFT(TRIM(C172),FIND(" ",TRIM(C172)&amp;" ")-1),",","."),FIND("/",SUBSTITUTE(LEFT(TRIM(C172),FIND(" ",TRIM(C172)&amp;" ")-1),",","."))+1,9)),IF(ISNUMBER(SEARCH("yea",C172)),IFERROR(_xlfn.NUMBERVALUE(SUBSTITUTE(LEFT(TRIM(C172),FIND(" ",TRIM(C172)&amp;" ")-1),",","."),"."),LEFT(SUBSTITUTE(LEFT(TRIM(C172),FIND(" ",TRIM(C172)&amp;" ")-1),",","."),FIND("/",SUBSTITUTE(LEFT(TRIM(C172),FIND(" ",TRIM(C172)&amp;" ")-1),",","."))-1)/MID(SUBSTITUTE(LEFT(TRIM(C172),FIND(" ",TRIM(C172)&amp;" ")-1),",","."),FIND("/",SUBSTITUTE(LEFT(TRIM(C172),FIND(" ",TRIM(C172)&amp;" ")-1),",","."))+1,9))*12,NA()))),0),48)*'Aturan &amp; Tarif'!$B$4,2)</f>
        <v>2725.44</v>
      </c>
      <c r="K172" s="32" t="n">
        <f aca="false">'Aturan &amp; Tarif'!$B$5</f>
        <v>2050</v>
      </c>
      <c r="L172" s="32" t="n">
        <f aca="false">'Aturan &amp; Tarif'!$B$6</f>
        <v>350</v>
      </c>
      <c r="M172" s="35" t="n">
        <f aca="false">I172+J172+K172+L172</f>
        <v>23525.44</v>
      </c>
      <c r="N172" s="37" t="s">
        <v>318</v>
      </c>
    </row>
    <row r="173" customFormat="false" ht="14.25" hidden="false" customHeight="true" outlineLevel="0" collapsed="false">
      <c r="A173" s="29"/>
      <c r="B173" s="30" t="s">
        <v>337</v>
      </c>
      <c r="C173" s="31" t="s">
        <v>127</v>
      </c>
      <c r="D173" s="31" t="s">
        <v>108</v>
      </c>
      <c r="E173" s="32" t="n">
        <v>9200</v>
      </c>
      <c r="F173" s="32"/>
      <c r="G173" s="32"/>
      <c r="H173" s="33" t="n">
        <v>2</v>
      </c>
      <c r="I173" s="34" t="n">
        <f aca="false">E173*H173+N(F173)+N(G173)</f>
        <v>18400</v>
      </c>
      <c r="J173" s="32" t="n">
        <f aca="false">ROUND(IFERROR(ROUND(IF(OR(ISNUMBER(SEARCH("week",C173)),ISNUMBER(SEARCH("minggu",C173))),IFERROR(_xlfn.NUMBERVALUE(SUBSTITUTE(LEFT(TRIM(C173),FIND(" ",TRIM(C173)&amp;" ")-1),",","."),"."),LEFT(SUBSTITUTE(LEFT(TRIM(C173),FIND(" ",TRIM(C173)&amp;" ")-1),",","."),FIND("/",SUBSTITUTE(LEFT(TRIM(C173),FIND(" ",TRIM(C173)&amp;" ")-1),",","."))-1)/MID(SUBSTITUTE(LEFT(TRIM(C173),FIND(" ",TRIM(C173)&amp;" ")-1),",","."),FIND("/",SUBSTITUTE(LEFT(TRIM(C173),FIND(" ",TRIM(C173)&amp;" ")-1),",","."))+1,9))*12/52,IF(ISNUMBER(SEARCH("month",C173)),IFERROR(_xlfn.NUMBERVALUE(SUBSTITUTE(LEFT(TRIM(C173),FIND(" ",TRIM(C173)&amp;" ")-1),",","."),"."),LEFT(SUBSTITUTE(LEFT(TRIM(C173),FIND(" ",TRIM(C173)&amp;" ")-1),",","."),FIND("/",SUBSTITUTE(LEFT(TRIM(C173),FIND(" ",TRIM(C173)&amp;" ")-1),",","."))-1)/MID(SUBSTITUTE(LEFT(TRIM(C173),FIND(" ",TRIM(C173)&amp;" ")-1),",","."),FIND("/",SUBSTITUTE(LEFT(TRIM(C173),FIND(" ",TRIM(C173)&amp;" ")-1),",","."))+1,9)),IF(ISNUMBER(SEARCH("yea",C173)),IFERROR(_xlfn.NUMBERVALUE(SUBSTITUTE(LEFT(TRIM(C173),FIND(" ",TRIM(C173)&amp;" ")-1),",","."),"."),LEFT(SUBSTITUTE(LEFT(TRIM(C173),FIND(" ",TRIM(C173)&amp;" ")-1),",","."),FIND("/",SUBSTITUTE(LEFT(TRIM(C173),FIND(" ",TRIM(C173)&amp;" ")-1),",","."))-1)/MID(SUBSTITUTE(LEFT(TRIM(C173),FIND(" ",TRIM(C173)&amp;" ")-1),",","."),FIND("/",SUBSTITUTE(LEFT(TRIM(C173),FIND(" ",TRIM(C173)&amp;" ")-1),",","."))+1,9))*12,NA()))),0),36)*'Aturan &amp; Tarif'!$B$4,2)</f>
        <v>2044.08</v>
      </c>
      <c r="K173" s="32" t="n">
        <f aca="false">'Aturan &amp; Tarif'!$B$5</f>
        <v>2050</v>
      </c>
      <c r="L173" s="32" t="n">
        <f aca="false">'Aturan &amp; Tarif'!$B$6</f>
        <v>350</v>
      </c>
      <c r="M173" s="35" t="n">
        <f aca="false">I173+J173+K173+L173</f>
        <v>22844.08</v>
      </c>
      <c r="N173" s="37" t="s">
        <v>318</v>
      </c>
    </row>
    <row r="174" customFormat="false" ht="14.25" hidden="false" customHeight="true" outlineLevel="0" collapsed="false">
      <c r="A174" s="29"/>
      <c r="B174" s="30" t="s">
        <v>338</v>
      </c>
      <c r="C174" s="31" t="s">
        <v>191</v>
      </c>
      <c r="D174" s="31" t="s">
        <v>108</v>
      </c>
      <c r="E174" s="32" t="n">
        <v>9200</v>
      </c>
      <c r="F174" s="32"/>
      <c r="G174" s="32"/>
      <c r="H174" s="33" t="n">
        <v>2</v>
      </c>
      <c r="I174" s="34" t="n">
        <f aca="false">E174*H174+N(F174)+N(G174)</f>
        <v>18400</v>
      </c>
      <c r="J174" s="32" t="n">
        <f aca="false">ROUND(IFERROR(ROUND(IF(OR(ISNUMBER(SEARCH("week",C174)),ISNUMBER(SEARCH("minggu",C174))),IFERROR(_xlfn.NUMBERVALUE(SUBSTITUTE(LEFT(TRIM(C174),FIND(" ",TRIM(C174)&amp;" ")-1),",","."),"."),LEFT(SUBSTITUTE(LEFT(TRIM(C174),FIND(" ",TRIM(C174)&amp;" ")-1),",","."),FIND("/",SUBSTITUTE(LEFT(TRIM(C174),FIND(" ",TRIM(C174)&amp;" ")-1),",","."))-1)/MID(SUBSTITUTE(LEFT(TRIM(C174),FIND(" ",TRIM(C174)&amp;" ")-1),",","."),FIND("/",SUBSTITUTE(LEFT(TRIM(C174),FIND(" ",TRIM(C174)&amp;" ")-1),",","."))+1,9))*12/52,IF(ISNUMBER(SEARCH("month",C174)),IFERROR(_xlfn.NUMBERVALUE(SUBSTITUTE(LEFT(TRIM(C174),FIND(" ",TRIM(C174)&amp;" ")-1),",","."),"."),LEFT(SUBSTITUTE(LEFT(TRIM(C174),FIND(" ",TRIM(C174)&amp;" ")-1),",","."),FIND("/",SUBSTITUTE(LEFT(TRIM(C174),FIND(" ",TRIM(C174)&amp;" ")-1),",","."))-1)/MID(SUBSTITUTE(LEFT(TRIM(C174),FIND(" ",TRIM(C174)&amp;" ")-1),",","."),FIND("/",SUBSTITUTE(LEFT(TRIM(C174),FIND(" ",TRIM(C174)&amp;" ")-1),",","."))+1,9)),IF(ISNUMBER(SEARCH("yea",C174)),IFERROR(_xlfn.NUMBERVALUE(SUBSTITUTE(LEFT(TRIM(C174),FIND(" ",TRIM(C174)&amp;" ")-1),",","."),"."),LEFT(SUBSTITUTE(LEFT(TRIM(C174),FIND(" ",TRIM(C174)&amp;" ")-1),",","."),FIND("/",SUBSTITUTE(LEFT(TRIM(C174),FIND(" ",TRIM(C174)&amp;" ")-1),",","."))-1)/MID(SUBSTITUTE(LEFT(TRIM(C174),FIND(" ",TRIM(C174)&amp;" ")-1),",","."),FIND("/",SUBSTITUTE(LEFT(TRIM(C174),FIND(" ",TRIM(C174)&amp;" ")-1),",","."))+1,9))*12,NA()))),0),48)*'Aturan &amp; Tarif'!$B$4,2)</f>
        <v>2725.44</v>
      </c>
      <c r="K174" s="32" t="n">
        <f aca="false">'Aturan &amp; Tarif'!$B$5</f>
        <v>2050</v>
      </c>
      <c r="L174" s="32" t="n">
        <f aca="false">'Aturan &amp; Tarif'!$B$6</f>
        <v>350</v>
      </c>
      <c r="M174" s="35" t="n">
        <f aca="false">I174+J174+K174+L174</f>
        <v>23525.44</v>
      </c>
      <c r="N174" s="37" t="s">
        <v>318</v>
      </c>
    </row>
    <row r="175" customFormat="false" ht="14.25" hidden="false" customHeight="true" outlineLevel="0" collapsed="false">
      <c r="A175" s="29"/>
      <c r="B175" s="30" t="s">
        <v>339</v>
      </c>
      <c r="C175" s="31" t="s">
        <v>191</v>
      </c>
      <c r="D175" s="31" t="s">
        <v>108</v>
      </c>
      <c r="E175" s="32" t="n">
        <v>9200</v>
      </c>
      <c r="F175" s="32"/>
      <c r="G175" s="32"/>
      <c r="H175" s="33" t="n">
        <v>2</v>
      </c>
      <c r="I175" s="34" t="n">
        <f aca="false">E175*H175+N(F175)+N(G175)</f>
        <v>18400</v>
      </c>
      <c r="J175" s="32" t="n">
        <f aca="false">ROUND(IFERROR(ROUND(IF(OR(ISNUMBER(SEARCH("week",C175)),ISNUMBER(SEARCH("minggu",C175))),IFERROR(_xlfn.NUMBERVALUE(SUBSTITUTE(LEFT(TRIM(C175),FIND(" ",TRIM(C175)&amp;" ")-1),",","."),"."),LEFT(SUBSTITUTE(LEFT(TRIM(C175),FIND(" ",TRIM(C175)&amp;" ")-1),",","."),FIND("/",SUBSTITUTE(LEFT(TRIM(C175),FIND(" ",TRIM(C175)&amp;" ")-1),",","."))-1)/MID(SUBSTITUTE(LEFT(TRIM(C175),FIND(" ",TRIM(C175)&amp;" ")-1),",","."),FIND("/",SUBSTITUTE(LEFT(TRIM(C175),FIND(" ",TRIM(C175)&amp;" ")-1),",","."))+1,9))*12/52,IF(ISNUMBER(SEARCH("month",C175)),IFERROR(_xlfn.NUMBERVALUE(SUBSTITUTE(LEFT(TRIM(C175),FIND(" ",TRIM(C175)&amp;" ")-1),",","."),"."),LEFT(SUBSTITUTE(LEFT(TRIM(C175),FIND(" ",TRIM(C175)&amp;" ")-1),",","."),FIND("/",SUBSTITUTE(LEFT(TRIM(C175),FIND(" ",TRIM(C175)&amp;" ")-1),",","."))-1)/MID(SUBSTITUTE(LEFT(TRIM(C175),FIND(" ",TRIM(C175)&amp;" ")-1),",","."),FIND("/",SUBSTITUTE(LEFT(TRIM(C175),FIND(" ",TRIM(C175)&amp;" ")-1),",","."))+1,9)),IF(ISNUMBER(SEARCH("yea",C175)),IFERROR(_xlfn.NUMBERVALUE(SUBSTITUTE(LEFT(TRIM(C175),FIND(" ",TRIM(C175)&amp;" ")-1),",","."),"."),LEFT(SUBSTITUTE(LEFT(TRIM(C175),FIND(" ",TRIM(C175)&amp;" ")-1),",","."),FIND("/",SUBSTITUTE(LEFT(TRIM(C175),FIND(" ",TRIM(C175)&amp;" ")-1),",","."))-1)/MID(SUBSTITUTE(LEFT(TRIM(C175),FIND(" ",TRIM(C175)&amp;" ")-1),",","."),FIND("/",SUBSTITUTE(LEFT(TRIM(C175),FIND(" ",TRIM(C175)&amp;" ")-1),",","."))+1,9))*12,NA()))),0),48)*'Aturan &amp; Tarif'!$B$4,2)</f>
        <v>2725.44</v>
      </c>
      <c r="K175" s="32" t="n">
        <f aca="false">'Aturan &amp; Tarif'!$B$5</f>
        <v>2050</v>
      </c>
      <c r="L175" s="32" t="n">
        <f aca="false">'Aturan &amp; Tarif'!$B$6</f>
        <v>350</v>
      </c>
      <c r="M175" s="35" t="n">
        <f aca="false">I175+J175+K175+L175</f>
        <v>23525.44</v>
      </c>
      <c r="N175" s="37" t="s">
        <v>318</v>
      </c>
    </row>
    <row r="176" customFormat="false" ht="14.25" hidden="false" customHeight="true" outlineLevel="0" collapsed="false">
      <c r="A176" s="29"/>
      <c r="B176" s="30" t="s">
        <v>340</v>
      </c>
      <c r="C176" s="31" t="s">
        <v>191</v>
      </c>
      <c r="D176" s="31" t="s">
        <v>108</v>
      </c>
      <c r="E176" s="32" t="n">
        <v>8742</v>
      </c>
      <c r="F176" s="32"/>
      <c r="G176" s="32"/>
      <c r="H176" s="33" t="n">
        <v>2</v>
      </c>
      <c r="I176" s="34" t="n">
        <f aca="false">E176*H176+N(F176)+N(G176)</f>
        <v>17484</v>
      </c>
      <c r="J176" s="32" t="n">
        <f aca="false">ROUND(IFERROR(ROUND(IF(OR(ISNUMBER(SEARCH("week",C176)),ISNUMBER(SEARCH("minggu",C176))),IFERROR(_xlfn.NUMBERVALUE(SUBSTITUTE(LEFT(TRIM(C176),FIND(" ",TRIM(C176)&amp;" ")-1),",","."),"."),LEFT(SUBSTITUTE(LEFT(TRIM(C176),FIND(" ",TRIM(C176)&amp;" ")-1),",","."),FIND("/",SUBSTITUTE(LEFT(TRIM(C176),FIND(" ",TRIM(C176)&amp;" ")-1),",","."))-1)/MID(SUBSTITUTE(LEFT(TRIM(C176),FIND(" ",TRIM(C176)&amp;" ")-1),",","."),FIND("/",SUBSTITUTE(LEFT(TRIM(C176),FIND(" ",TRIM(C176)&amp;" ")-1),",","."))+1,9))*12/52,IF(ISNUMBER(SEARCH("month",C176)),IFERROR(_xlfn.NUMBERVALUE(SUBSTITUTE(LEFT(TRIM(C176),FIND(" ",TRIM(C176)&amp;" ")-1),",","."),"."),LEFT(SUBSTITUTE(LEFT(TRIM(C176),FIND(" ",TRIM(C176)&amp;" ")-1),",","."),FIND("/",SUBSTITUTE(LEFT(TRIM(C176),FIND(" ",TRIM(C176)&amp;" ")-1),",","."))-1)/MID(SUBSTITUTE(LEFT(TRIM(C176),FIND(" ",TRIM(C176)&amp;" ")-1),",","."),FIND("/",SUBSTITUTE(LEFT(TRIM(C176),FIND(" ",TRIM(C176)&amp;" ")-1),",","."))+1,9)),IF(ISNUMBER(SEARCH("yea",C176)),IFERROR(_xlfn.NUMBERVALUE(SUBSTITUTE(LEFT(TRIM(C176),FIND(" ",TRIM(C176)&amp;" ")-1),",","."),"."),LEFT(SUBSTITUTE(LEFT(TRIM(C176),FIND(" ",TRIM(C176)&amp;" ")-1),",","."),FIND("/",SUBSTITUTE(LEFT(TRIM(C176),FIND(" ",TRIM(C176)&amp;" ")-1),",","."))-1)/MID(SUBSTITUTE(LEFT(TRIM(C176),FIND(" ",TRIM(C176)&amp;" ")-1),",","."),FIND("/",SUBSTITUTE(LEFT(TRIM(C176),FIND(" ",TRIM(C176)&amp;" ")-1),",","."))+1,9))*12,NA()))),0),48)*'Aturan &amp; Tarif'!$B$4,2)</f>
        <v>2725.44</v>
      </c>
      <c r="K176" s="32" t="n">
        <f aca="false">'Aturan &amp; Tarif'!$B$5</f>
        <v>2050</v>
      </c>
      <c r="L176" s="32" t="n">
        <f aca="false">'Aturan &amp; Tarif'!$B$6</f>
        <v>350</v>
      </c>
      <c r="M176" s="35" t="n">
        <f aca="false">I176+J176+K176+L176</f>
        <v>22609.44</v>
      </c>
      <c r="N176" s="37" t="s">
        <v>318</v>
      </c>
    </row>
    <row r="177" customFormat="false" ht="25.5" hidden="false" customHeight="true" outlineLevel="0" collapsed="false">
      <c r="A177" s="29"/>
      <c r="B177" s="30" t="s">
        <v>341</v>
      </c>
      <c r="C177" s="31" t="s">
        <v>245</v>
      </c>
      <c r="D177" s="31" t="s">
        <v>108</v>
      </c>
      <c r="E177" s="32" t="n">
        <v>9200</v>
      </c>
      <c r="F177" s="32"/>
      <c r="G177" s="32"/>
      <c r="H177" s="33" t="n">
        <v>2</v>
      </c>
      <c r="I177" s="34" t="n">
        <f aca="false">E177*H177+N(F177)+N(G177)</f>
        <v>18400</v>
      </c>
      <c r="J177" s="32" t="n">
        <f aca="false">ROUND(IFERROR(ROUND(IF(OR(ISNUMBER(SEARCH("week",C177)),ISNUMBER(SEARCH("minggu",C177))),IFERROR(_xlfn.NUMBERVALUE(SUBSTITUTE(LEFT(TRIM(C177),FIND(" ",TRIM(C177)&amp;" ")-1),",","."),"."),LEFT(SUBSTITUTE(LEFT(TRIM(C177),FIND(" ",TRIM(C177)&amp;" ")-1),",","."),FIND("/",SUBSTITUTE(LEFT(TRIM(C177),FIND(" ",TRIM(C177)&amp;" ")-1),",","."))-1)/MID(SUBSTITUTE(LEFT(TRIM(C177),FIND(" ",TRIM(C177)&amp;" ")-1),",","."),FIND("/",SUBSTITUTE(LEFT(TRIM(C177),FIND(" ",TRIM(C177)&amp;" ")-1),",","."))+1,9))*12/52,IF(ISNUMBER(SEARCH("month",C177)),IFERROR(_xlfn.NUMBERVALUE(SUBSTITUTE(LEFT(TRIM(C177),FIND(" ",TRIM(C177)&amp;" ")-1),",","."),"."),LEFT(SUBSTITUTE(LEFT(TRIM(C177),FIND(" ",TRIM(C177)&amp;" ")-1),",","."),FIND("/",SUBSTITUTE(LEFT(TRIM(C177),FIND(" ",TRIM(C177)&amp;" ")-1),",","."))-1)/MID(SUBSTITUTE(LEFT(TRIM(C177),FIND(" ",TRIM(C177)&amp;" ")-1),",","."),FIND("/",SUBSTITUTE(LEFT(TRIM(C177),FIND(" ",TRIM(C177)&amp;" ")-1),",","."))+1,9)),IF(ISNUMBER(SEARCH("yea",C177)),IFERROR(_xlfn.NUMBERVALUE(SUBSTITUTE(LEFT(TRIM(C177),FIND(" ",TRIM(C177)&amp;" ")-1),",","."),"."),LEFT(SUBSTITUTE(LEFT(TRIM(C177),FIND(" ",TRIM(C177)&amp;" ")-1),",","."),FIND("/",SUBSTITUTE(LEFT(TRIM(C177),FIND(" ",TRIM(C177)&amp;" ")-1),",","."))-1)/MID(SUBSTITUTE(LEFT(TRIM(C177),FIND(" ",TRIM(C177)&amp;" ")-1),",","."),FIND("/",SUBSTITUTE(LEFT(TRIM(C177),FIND(" ",TRIM(C177)&amp;" ")-1),",","."))+1,9))*12,NA()))),0),60)*'Aturan &amp; Tarif'!$B$4,2)</f>
        <v>3406.8</v>
      </c>
      <c r="K177" s="32" t="n">
        <f aca="false">'Aturan &amp; Tarif'!$B$5</f>
        <v>2050</v>
      </c>
      <c r="L177" s="32" t="n">
        <f aca="false">'Aturan &amp; Tarif'!$B$6</f>
        <v>350</v>
      </c>
      <c r="M177" s="35" t="n">
        <f aca="false">I177+J177+K177+L177</f>
        <v>24206.8</v>
      </c>
      <c r="N177" s="37" t="s">
        <v>318</v>
      </c>
    </row>
    <row r="178" customFormat="false" ht="25.5" hidden="false" customHeight="true" outlineLevel="0" collapsed="false">
      <c r="A178" s="29"/>
      <c r="B178" s="30" t="s">
        <v>342</v>
      </c>
      <c r="C178" s="31" t="s">
        <v>245</v>
      </c>
      <c r="D178" s="31" t="s">
        <v>108</v>
      </c>
      <c r="E178" s="32" t="n">
        <v>9200</v>
      </c>
      <c r="F178" s="32"/>
      <c r="G178" s="32"/>
      <c r="H178" s="33" t="n">
        <v>2</v>
      </c>
      <c r="I178" s="34" t="n">
        <f aca="false">E178*H178+N(F178)+N(G178)</f>
        <v>18400</v>
      </c>
      <c r="J178" s="32" t="n">
        <f aca="false">ROUND(IFERROR(ROUND(IF(OR(ISNUMBER(SEARCH("week",C178)),ISNUMBER(SEARCH("minggu",C178))),IFERROR(_xlfn.NUMBERVALUE(SUBSTITUTE(LEFT(TRIM(C178),FIND(" ",TRIM(C178)&amp;" ")-1),",","."),"."),LEFT(SUBSTITUTE(LEFT(TRIM(C178),FIND(" ",TRIM(C178)&amp;" ")-1),",","."),FIND("/",SUBSTITUTE(LEFT(TRIM(C178),FIND(" ",TRIM(C178)&amp;" ")-1),",","."))-1)/MID(SUBSTITUTE(LEFT(TRIM(C178),FIND(" ",TRIM(C178)&amp;" ")-1),",","."),FIND("/",SUBSTITUTE(LEFT(TRIM(C178),FIND(" ",TRIM(C178)&amp;" ")-1),",","."))+1,9))*12/52,IF(ISNUMBER(SEARCH("month",C178)),IFERROR(_xlfn.NUMBERVALUE(SUBSTITUTE(LEFT(TRIM(C178),FIND(" ",TRIM(C178)&amp;" ")-1),",","."),"."),LEFT(SUBSTITUTE(LEFT(TRIM(C178),FIND(" ",TRIM(C178)&amp;" ")-1),",","."),FIND("/",SUBSTITUTE(LEFT(TRIM(C178),FIND(" ",TRIM(C178)&amp;" ")-1),",","."))-1)/MID(SUBSTITUTE(LEFT(TRIM(C178),FIND(" ",TRIM(C178)&amp;" ")-1),",","."),FIND("/",SUBSTITUTE(LEFT(TRIM(C178),FIND(" ",TRIM(C178)&amp;" ")-1),",","."))+1,9)),IF(ISNUMBER(SEARCH("yea",C178)),IFERROR(_xlfn.NUMBERVALUE(SUBSTITUTE(LEFT(TRIM(C178),FIND(" ",TRIM(C178)&amp;" ")-1),",","."),"."),LEFT(SUBSTITUTE(LEFT(TRIM(C178),FIND(" ",TRIM(C178)&amp;" ")-1),",","."),FIND("/",SUBSTITUTE(LEFT(TRIM(C178),FIND(" ",TRIM(C178)&amp;" ")-1),",","."))-1)/MID(SUBSTITUTE(LEFT(TRIM(C178),FIND(" ",TRIM(C178)&amp;" ")-1),",","."),FIND("/",SUBSTITUTE(LEFT(TRIM(C178),FIND(" ",TRIM(C178)&amp;" ")-1),",","."))+1,9))*12,NA()))),0),60)*'Aturan &amp; Tarif'!$B$4,2)</f>
        <v>3406.8</v>
      </c>
      <c r="K178" s="32" t="n">
        <f aca="false">'Aturan &amp; Tarif'!$B$5</f>
        <v>2050</v>
      </c>
      <c r="L178" s="32" t="n">
        <f aca="false">'Aturan &amp; Tarif'!$B$6</f>
        <v>350</v>
      </c>
      <c r="M178" s="35" t="n">
        <f aca="false">I178+J178+K178+L178</f>
        <v>24206.8</v>
      </c>
      <c r="N178" s="37" t="s">
        <v>318</v>
      </c>
    </row>
    <row r="179" customFormat="false" ht="25.5" hidden="false" customHeight="true" outlineLevel="0" collapsed="false">
      <c r="A179" s="29"/>
      <c r="B179" s="30" t="s">
        <v>343</v>
      </c>
      <c r="C179" s="31" t="s">
        <v>344</v>
      </c>
      <c r="D179" s="31" t="s">
        <v>108</v>
      </c>
      <c r="E179" s="32" t="n">
        <v>4762</v>
      </c>
      <c r="F179" s="32"/>
      <c r="G179" s="32"/>
      <c r="H179" s="33" t="n">
        <v>2</v>
      </c>
      <c r="I179" s="34" t="n">
        <f aca="false">E179*H179+N(F179)+N(G179)</f>
        <v>9524</v>
      </c>
      <c r="J179" s="32" t="n">
        <f aca="false">ROUND(IFERROR(ROUND(IF(OR(ISNUMBER(SEARCH("week",C179)),ISNUMBER(SEARCH("minggu",C179))),IFERROR(_xlfn.NUMBERVALUE(SUBSTITUTE(LEFT(TRIM(C179),FIND(" ",TRIM(C179)&amp;" ")-1),",","."),"."),LEFT(SUBSTITUTE(LEFT(TRIM(C179),FIND(" ",TRIM(C179)&amp;" ")-1),",","."),FIND("/",SUBSTITUTE(LEFT(TRIM(C179),FIND(" ",TRIM(C179)&amp;" ")-1),",","."))-1)/MID(SUBSTITUTE(LEFT(TRIM(C179),FIND(" ",TRIM(C179)&amp;" ")-1),",","."),FIND("/",SUBSTITUTE(LEFT(TRIM(C179),FIND(" ",TRIM(C179)&amp;" ")-1),",","."))+1,9))*12/52,IF(ISNUMBER(SEARCH("month",C179)),IFERROR(_xlfn.NUMBERVALUE(SUBSTITUTE(LEFT(TRIM(C179),FIND(" ",TRIM(C179)&amp;" ")-1),",","."),"."),LEFT(SUBSTITUTE(LEFT(TRIM(C179),FIND(" ",TRIM(C179)&amp;" ")-1),",","."),FIND("/",SUBSTITUTE(LEFT(TRIM(C179),FIND(" ",TRIM(C179)&amp;" ")-1),",","."))-1)/MID(SUBSTITUTE(LEFT(TRIM(C179),FIND(" ",TRIM(C179)&amp;" ")-1),",","."),FIND("/",SUBSTITUTE(LEFT(TRIM(C179),FIND(" ",TRIM(C179)&amp;" ")-1),",","."))+1,9)),IF(ISNUMBER(SEARCH("yea",C179)),IFERROR(_xlfn.NUMBERVALUE(SUBSTITUTE(LEFT(TRIM(C179),FIND(" ",TRIM(C179)&amp;" ")-1),",","."),"."),LEFT(SUBSTITUTE(LEFT(TRIM(C179),FIND(" ",TRIM(C179)&amp;" ")-1),",","."),FIND("/",SUBSTITUTE(LEFT(TRIM(C179),FIND(" ",TRIM(C179)&amp;" ")-1),",","."))-1)/MID(SUBSTITUTE(LEFT(TRIM(C179),FIND(" ",TRIM(C179)&amp;" ")-1),",","."),FIND("/",SUBSTITUTE(LEFT(TRIM(C179),FIND(" ",TRIM(C179)&amp;" ")-1),",","."))+1,9))*12,NA()))),0),6)*'Aturan &amp; Tarif'!$B$4,2)</f>
        <v>340.68</v>
      </c>
      <c r="K179" s="32" t="n">
        <f aca="false">'Aturan &amp; Tarif'!$B$5</f>
        <v>2050</v>
      </c>
      <c r="L179" s="32" t="n">
        <f aca="false">'Aturan &amp; Tarif'!$B$6</f>
        <v>350</v>
      </c>
      <c r="M179" s="35" t="n">
        <f aca="false">I179+J179+K179+L179</f>
        <v>12264.68</v>
      </c>
      <c r="N179" s="37" t="s">
        <v>345</v>
      </c>
    </row>
    <row r="180" customFormat="false" ht="25.5" hidden="false" customHeight="true" outlineLevel="0" collapsed="false">
      <c r="A180" s="29"/>
      <c r="B180" s="30" t="s">
        <v>346</v>
      </c>
      <c r="C180" s="31" t="s">
        <v>344</v>
      </c>
      <c r="D180" s="31" t="s">
        <v>108</v>
      </c>
      <c r="E180" s="32" t="n">
        <v>4762</v>
      </c>
      <c r="F180" s="32"/>
      <c r="G180" s="32"/>
      <c r="H180" s="33" t="n">
        <v>2</v>
      </c>
      <c r="I180" s="34" t="n">
        <f aca="false">E180*H180+N(F180)+N(G180)</f>
        <v>9524</v>
      </c>
      <c r="J180" s="32" t="n">
        <f aca="false">ROUND(IFERROR(ROUND(IF(OR(ISNUMBER(SEARCH("week",C180)),ISNUMBER(SEARCH("minggu",C180))),IFERROR(_xlfn.NUMBERVALUE(SUBSTITUTE(LEFT(TRIM(C180),FIND(" ",TRIM(C180)&amp;" ")-1),",","."),"."),LEFT(SUBSTITUTE(LEFT(TRIM(C180),FIND(" ",TRIM(C180)&amp;" ")-1),",","."),FIND("/",SUBSTITUTE(LEFT(TRIM(C180),FIND(" ",TRIM(C180)&amp;" ")-1),",","."))-1)/MID(SUBSTITUTE(LEFT(TRIM(C180),FIND(" ",TRIM(C180)&amp;" ")-1),",","."),FIND("/",SUBSTITUTE(LEFT(TRIM(C180),FIND(" ",TRIM(C180)&amp;" ")-1),",","."))+1,9))*12/52,IF(ISNUMBER(SEARCH("month",C180)),IFERROR(_xlfn.NUMBERVALUE(SUBSTITUTE(LEFT(TRIM(C180),FIND(" ",TRIM(C180)&amp;" ")-1),",","."),"."),LEFT(SUBSTITUTE(LEFT(TRIM(C180),FIND(" ",TRIM(C180)&amp;" ")-1),",","."),FIND("/",SUBSTITUTE(LEFT(TRIM(C180),FIND(" ",TRIM(C180)&amp;" ")-1),",","."))-1)/MID(SUBSTITUTE(LEFT(TRIM(C180),FIND(" ",TRIM(C180)&amp;" ")-1),",","."),FIND("/",SUBSTITUTE(LEFT(TRIM(C180),FIND(" ",TRIM(C180)&amp;" ")-1),",","."))+1,9)),IF(ISNUMBER(SEARCH("yea",C180)),IFERROR(_xlfn.NUMBERVALUE(SUBSTITUTE(LEFT(TRIM(C180),FIND(" ",TRIM(C180)&amp;" ")-1),",","."),"."),LEFT(SUBSTITUTE(LEFT(TRIM(C180),FIND(" ",TRIM(C180)&amp;" ")-1),",","."),FIND("/",SUBSTITUTE(LEFT(TRIM(C180),FIND(" ",TRIM(C180)&amp;" ")-1),",","."))-1)/MID(SUBSTITUTE(LEFT(TRIM(C180),FIND(" ",TRIM(C180)&amp;" ")-1),",","."),FIND("/",SUBSTITUTE(LEFT(TRIM(C180),FIND(" ",TRIM(C180)&amp;" ")-1),",","."))+1,9))*12,NA()))),0),6)*'Aturan &amp; Tarif'!$B$4,2)</f>
        <v>340.68</v>
      </c>
      <c r="K180" s="32" t="n">
        <f aca="false">'Aturan &amp; Tarif'!$B$5</f>
        <v>2050</v>
      </c>
      <c r="L180" s="32" t="n">
        <f aca="false">'Aturan &amp; Tarif'!$B$6</f>
        <v>350</v>
      </c>
      <c r="M180" s="35" t="n">
        <f aca="false">I180+J180+K180+L180</f>
        <v>12264.68</v>
      </c>
      <c r="N180" s="37" t="s">
        <v>345</v>
      </c>
    </row>
    <row r="181" customFormat="false" ht="25.5" hidden="false" customHeight="true" outlineLevel="0" collapsed="false">
      <c r="A181" s="29"/>
      <c r="B181" s="30" t="s">
        <v>347</v>
      </c>
      <c r="C181" s="31" t="s">
        <v>344</v>
      </c>
      <c r="D181" s="31" t="s">
        <v>108</v>
      </c>
      <c r="E181" s="32" t="n">
        <v>4614</v>
      </c>
      <c r="F181" s="32"/>
      <c r="G181" s="32"/>
      <c r="H181" s="33" t="n">
        <v>2</v>
      </c>
      <c r="I181" s="34" t="n">
        <f aca="false">E181*H181+N(F181)+N(G181)</f>
        <v>9228</v>
      </c>
      <c r="J181" s="32" t="n">
        <f aca="false">ROUND(IFERROR(ROUND(IF(OR(ISNUMBER(SEARCH("week",C181)),ISNUMBER(SEARCH("minggu",C181))),IFERROR(_xlfn.NUMBERVALUE(SUBSTITUTE(LEFT(TRIM(C181),FIND(" ",TRIM(C181)&amp;" ")-1),",","."),"."),LEFT(SUBSTITUTE(LEFT(TRIM(C181),FIND(" ",TRIM(C181)&amp;" ")-1),",","."),FIND("/",SUBSTITUTE(LEFT(TRIM(C181),FIND(" ",TRIM(C181)&amp;" ")-1),",","."))-1)/MID(SUBSTITUTE(LEFT(TRIM(C181),FIND(" ",TRIM(C181)&amp;" ")-1),",","."),FIND("/",SUBSTITUTE(LEFT(TRIM(C181),FIND(" ",TRIM(C181)&amp;" ")-1),",","."))+1,9))*12/52,IF(ISNUMBER(SEARCH("month",C181)),IFERROR(_xlfn.NUMBERVALUE(SUBSTITUTE(LEFT(TRIM(C181),FIND(" ",TRIM(C181)&amp;" ")-1),",","."),"."),LEFT(SUBSTITUTE(LEFT(TRIM(C181),FIND(" ",TRIM(C181)&amp;" ")-1),",","."),FIND("/",SUBSTITUTE(LEFT(TRIM(C181),FIND(" ",TRIM(C181)&amp;" ")-1),",","."))-1)/MID(SUBSTITUTE(LEFT(TRIM(C181),FIND(" ",TRIM(C181)&amp;" ")-1),",","."),FIND("/",SUBSTITUTE(LEFT(TRIM(C181),FIND(" ",TRIM(C181)&amp;" ")-1),",","."))+1,9)),IF(ISNUMBER(SEARCH("yea",C181)),IFERROR(_xlfn.NUMBERVALUE(SUBSTITUTE(LEFT(TRIM(C181),FIND(" ",TRIM(C181)&amp;" ")-1),",","."),"."),LEFT(SUBSTITUTE(LEFT(TRIM(C181),FIND(" ",TRIM(C181)&amp;" ")-1),",","."),FIND("/",SUBSTITUTE(LEFT(TRIM(C181),FIND(" ",TRIM(C181)&amp;" ")-1),",","."))-1)/MID(SUBSTITUTE(LEFT(TRIM(C181),FIND(" ",TRIM(C181)&amp;" ")-1),",","."),FIND("/",SUBSTITUTE(LEFT(TRIM(C181),FIND(" ",TRIM(C181)&amp;" ")-1),",","."))+1,9))*12,NA()))),0),6)*'Aturan &amp; Tarif'!$B$4,2)</f>
        <v>340.68</v>
      </c>
      <c r="K181" s="32" t="n">
        <f aca="false">'Aturan &amp; Tarif'!$B$5</f>
        <v>2050</v>
      </c>
      <c r="L181" s="32" t="n">
        <f aca="false">'Aturan &amp; Tarif'!$B$6</f>
        <v>350</v>
      </c>
      <c r="M181" s="35" t="n">
        <f aca="false">I181+J181+K181+L181</f>
        <v>11968.68</v>
      </c>
      <c r="N181" s="37" t="s">
        <v>345</v>
      </c>
    </row>
    <row r="182" customFormat="false" ht="14.25" hidden="false" customHeight="true" outlineLevel="0" collapsed="false">
      <c r="A182" s="29"/>
      <c r="B182" s="30" t="s">
        <v>348</v>
      </c>
      <c r="C182" s="31" t="s">
        <v>107</v>
      </c>
      <c r="D182" s="31" t="s">
        <v>108</v>
      </c>
      <c r="E182" s="32" t="n">
        <v>9524</v>
      </c>
      <c r="F182" s="32"/>
      <c r="G182" s="32"/>
      <c r="H182" s="33" t="n">
        <v>2</v>
      </c>
      <c r="I182" s="34" t="n">
        <f aca="false">E182*H182+N(F182)+N(G182)</f>
        <v>19048</v>
      </c>
      <c r="J182" s="32" t="n">
        <f aca="false">ROUND(IFERROR(ROUND(IF(OR(ISNUMBER(SEARCH("week",C182)),ISNUMBER(SEARCH("minggu",C182))),IFERROR(_xlfn.NUMBERVALUE(SUBSTITUTE(LEFT(TRIM(C182),FIND(" ",TRIM(C182)&amp;" ")-1),",","."),"."),LEFT(SUBSTITUTE(LEFT(TRIM(C182),FIND(" ",TRIM(C182)&amp;" ")-1),",","."),FIND("/",SUBSTITUTE(LEFT(TRIM(C182),FIND(" ",TRIM(C182)&amp;" ")-1),",","."))-1)/MID(SUBSTITUTE(LEFT(TRIM(C182),FIND(" ",TRIM(C182)&amp;" ")-1),",","."),FIND("/",SUBSTITUTE(LEFT(TRIM(C182),FIND(" ",TRIM(C182)&amp;" ")-1),",","."))+1,9))*12/52,IF(ISNUMBER(SEARCH("month",C182)),IFERROR(_xlfn.NUMBERVALUE(SUBSTITUTE(LEFT(TRIM(C182),FIND(" ",TRIM(C182)&amp;" ")-1),",","."),"."),LEFT(SUBSTITUTE(LEFT(TRIM(C182),FIND(" ",TRIM(C182)&amp;" ")-1),",","."),FIND("/",SUBSTITUTE(LEFT(TRIM(C182),FIND(" ",TRIM(C182)&amp;" ")-1),",","."))-1)/MID(SUBSTITUTE(LEFT(TRIM(C182),FIND(" ",TRIM(C182)&amp;" ")-1),",","."),FIND("/",SUBSTITUTE(LEFT(TRIM(C182),FIND(" ",TRIM(C182)&amp;" ")-1),",","."))+1,9)),IF(ISNUMBER(SEARCH("yea",C182)),IFERROR(_xlfn.NUMBERVALUE(SUBSTITUTE(LEFT(TRIM(C182),FIND(" ",TRIM(C182)&amp;" ")-1),",","."),"."),LEFT(SUBSTITUTE(LEFT(TRIM(C182),FIND(" ",TRIM(C182)&amp;" ")-1),",","."),FIND("/",SUBSTITUTE(LEFT(TRIM(C182),FIND(" ",TRIM(C182)&amp;" ")-1),",","."))-1)/MID(SUBSTITUTE(LEFT(TRIM(C182),FIND(" ",TRIM(C182)&amp;" ")-1),",","."),FIND("/",SUBSTITUTE(LEFT(TRIM(C182),FIND(" ",TRIM(C182)&amp;" ")-1),",","."))+1,9))*12,NA()))),0),24)*'Aturan &amp; Tarif'!$B$4,2)</f>
        <v>1362.72</v>
      </c>
      <c r="K182" s="32" t="n">
        <f aca="false">'Aturan &amp; Tarif'!$B$5</f>
        <v>2050</v>
      </c>
      <c r="L182" s="32" t="n">
        <f aca="false">'Aturan &amp; Tarif'!$B$6</f>
        <v>350</v>
      </c>
      <c r="M182" s="35" t="n">
        <f aca="false">I182+J182+K182+L182</f>
        <v>22810.72</v>
      </c>
      <c r="N182" s="37" t="s">
        <v>318</v>
      </c>
    </row>
    <row r="183" customFormat="false" ht="25.5" hidden="false" customHeight="true" outlineLevel="0" collapsed="false">
      <c r="A183" s="29"/>
      <c r="B183" s="30" t="s">
        <v>349</v>
      </c>
      <c r="C183" s="31" t="s">
        <v>107</v>
      </c>
      <c r="D183" s="31" t="s">
        <v>108</v>
      </c>
      <c r="E183" s="32" t="n">
        <v>9524</v>
      </c>
      <c r="F183" s="32"/>
      <c r="G183" s="32"/>
      <c r="H183" s="33" t="n">
        <v>2</v>
      </c>
      <c r="I183" s="34" t="n">
        <f aca="false">E183*H183+N(F183)+N(G183)</f>
        <v>19048</v>
      </c>
      <c r="J183" s="32" t="n">
        <f aca="false">ROUND(IFERROR(ROUND(IF(OR(ISNUMBER(SEARCH("week",C183)),ISNUMBER(SEARCH("minggu",C183))),IFERROR(_xlfn.NUMBERVALUE(SUBSTITUTE(LEFT(TRIM(C183),FIND(" ",TRIM(C183)&amp;" ")-1),",","."),"."),LEFT(SUBSTITUTE(LEFT(TRIM(C183),FIND(" ",TRIM(C183)&amp;" ")-1),",","."),FIND("/",SUBSTITUTE(LEFT(TRIM(C183),FIND(" ",TRIM(C183)&amp;" ")-1),",","."))-1)/MID(SUBSTITUTE(LEFT(TRIM(C183),FIND(" ",TRIM(C183)&amp;" ")-1),",","."),FIND("/",SUBSTITUTE(LEFT(TRIM(C183),FIND(" ",TRIM(C183)&amp;" ")-1),",","."))+1,9))*12/52,IF(ISNUMBER(SEARCH("month",C183)),IFERROR(_xlfn.NUMBERVALUE(SUBSTITUTE(LEFT(TRIM(C183),FIND(" ",TRIM(C183)&amp;" ")-1),",","."),"."),LEFT(SUBSTITUTE(LEFT(TRIM(C183),FIND(" ",TRIM(C183)&amp;" ")-1),",","."),FIND("/",SUBSTITUTE(LEFT(TRIM(C183),FIND(" ",TRIM(C183)&amp;" ")-1),",","."))-1)/MID(SUBSTITUTE(LEFT(TRIM(C183),FIND(" ",TRIM(C183)&amp;" ")-1),",","."),FIND("/",SUBSTITUTE(LEFT(TRIM(C183),FIND(" ",TRIM(C183)&amp;" ")-1),",","."))+1,9)),IF(ISNUMBER(SEARCH("yea",C183)),IFERROR(_xlfn.NUMBERVALUE(SUBSTITUTE(LEFT(TRIM(C183),FIND(" ",TRIM(C183)&amp;" ")-1),",","."),"."),LEFT(SUBSTITUTE(LEFT(TRIM(C183),FIND(" ",TRIM(C183)&amp;" ")-1),",","."),FIND("/",SUBSTITUTE(LEFT(TRIM(C183),FIND(" ",TRIM(C183)&amp;" ")-1),",","."))-1)/MID(SUBSTITUTE(LEFT(TRIM(C183),FIND(" ",TRIM(C183)&amp;" ")-1),",","."),FIND("/",SUBSTITUTE(LEFT(TRIM(C183),FIND(" ",TRIM(C183)&amp;" ")-1),",","."))+1,9))*12,NA()))),0),24)*'Aturan &amp; Tarif'!$B$4,2)</f>
        <v>1362.72</v>
      </c>
      <c r="K183" s="32" t="n">
        <f aca="false">'Aturan &amp; Tarif'!$B$5</f>
        <v>2050</v>
      </c>
      <c r="L183" s="32" t="n">
        <f aca="false">'Aturan &amp; Tarif'!$B$6</f>
        <v>350</v>
      </c>
      <c r="M183" s="35" t="n">
        <f aca="false">I183+J183+K183+L183</f>
        <v>22810.72</v>
      </c>
      <c r="N183" s="37" t="s">
        <v>318</v>
      </c>
    </row>
    <row r="184" customFormat="false" ht="14.25" hidden="false" customHeight="true" outlineLevel="0" collapsed="false">
      <c r="A184" s="29"/>
      <c r="B184" s="30" t="s">
        <v>167</v>
      </c>
      <c r="C184" s="31" t="s">
        <v>107</v>
      </c>
      <c r="D184" s="31" t="s">
        <v>108</v>
      </c>
      <c r="E184" s="32" t="n">
        <v>9524</v>
      </c>
      <c r="F184" s="32"/>
      <c r="G184" s="32"/>
      <c r="H184" s="33" t="n">
        <v>2</v>
      </c>
      <c r="I184" s="34" t="n">
        <f aca="false">E184*H184+N(F184)+N(G184)</f>
        <v>19048</v>
      </c>
      <c r="J184" s="32" t="n">
        <f aca="false">ROUND(IFERROR(ROUND(IF(OR(ISNUMBER(SEARCH("week",C184)),ISNUMBER(SEARCH("minggu",C184))),IFERROR(_xlfn.NUMBERVALUE(SUBSTITUTE(LEFT(TRIM(C184),FIND(" ",TRIM(C184)&amp;" ")-1),",","."),"."),LEFT(SUBSTITUTE(LEFT(TRIM(C184),FIND(" ",TRIM(C184)&amp;" ")-1),",","."),FIND("/",SUBSTITUTE(LEFT(TRIM(C184),FIND(" ",TRIM(C184)&amp;" ")-1),",","."))-1)/MID(SUBSTITUTE(LEFT(TRIM(C184),FIND(" ",TRIM(C184)&amp;" ")-1),",","."),FIND("/",SUBSTITUTE(LEFT(TRIM(C184),FIND(" ",TRIM(C184)&amp;" ")-1),",","."))+1,9))*12/52,IF(ISNUMBER(SEARCH("month",C184)),IFERROR(_xlfn.NUMBERVALUE(SUBSTITUTE(LEFT(TRIM(C184),FIND(" ",TRIM(C184)&amp;" ")-1),",","."),"."),LEFT(SUBSTITUTE(LEFT(TRIM(C184),FIND(" ",TRIM(C184)&amp;" ")-1),",","."),FIND("/",SUBSTITUTE(LEFT(TRIM(C184),FIND(" ",TRIM(C184)&amp;" ")-1),",","."))-1)/MID(SUBSTITUTE(LEFT(TRIM(C184),FIND(" ",TRIM(C184)&amp;" ")-1),",","."),FIND("/",SUBSTITUTE(LEFT(TRIM(C184),FIND(" ",TRIM(C184)&amp;" ")-1),",","."))+1,9)),IF(ISNUMBER(SEARCH("yea",C184)),IFERROR(_xlfn.NUMBERVALUE(SUBSTITUTE(LEFT(TRIM(C184),FIND(" ",TRIM(C184)&amp;" ")-1),",","."),"."),LEFT(SUBSTITUTE(LEFT(TRIM(C184),FIND(" ",TRIM(C184)&amp;" ")-1),",","."),FIND("/",SUBSTITUTE(LEFT(TRIM(C184),FIND(" ",TRIM(C184)&amp;" ")-1),",","."))-1)/MID(SUBSTITUTE(LEFT(TRIM(C184),FIND(" ",TRIM(C184)&amp;" ")-1),",","."),FIND("/",SUBSTITUTE(LEFT(TRIM(C184),FIND(" ",TRIM(C184)&amp;" ")-1),",","."))+1,9))*12,NA()))),0),24)*'Aturan &amp; Tarif'!$B$4,2)</f>
        <v>1362.72</v>
      </c>
      <c r="K184" s="32" t="n">
        <f aca="false">'Aturan &amp; Tarif'!$B$5</f>
        <v>2050</v>
      </c>
      <c r="L184" s="32" t="n">
        <f aca="false">'Aturan &amp; Tarif'!$B$6</f>
        <v>350</v>
      </c>
      <c r="M184" s="35" t="n">
        <f aca="false">I184+J184+K184+L184</f>
        <v>22810.72</v>
      </c>
      <c r="N184" s="37" t="s">
        <v>318</v>
      </c>
    </row>
    <row r="185" customFormat="false" ht="25.5" hidden="false" customHeight="true" outlineLevel="0" collapsed="false">
      <c r="A185" s="29"/>
      <c r="B185" s="30" t="s">
        <v>236</v>
      </c>
      <c r="C185" s="31" t="s">
        <v>127</v>
      </c>
      <c r="D185" s="31" t="s">
        <v>108</v>
      </c>
      <c r="E185" s="32" t="n">
        <v>8906</v>
      </c>
      <c r="F185" s="32"/>
      <c r="G185" s="32"/>
      <c r="H185" s="33" t="n">
        <v>2</v>
      </c>
      <c r="I185" s="34" t="n">
        <f aca="false">E185*H185+N(F185)+N(G185)</f>
        <v>17812</v>
      </c>
      <c r="J185" s="32" t="n">
        <f aca="false">ROUND(IFERROR(ROUND(IF(OR(ISNUMBER(SEARCH("week",C185)),ISNUMBER(SEARCH("minggu",C185))),IFERROR(_xlfn.NUMBERVALUE(SUBSTITUTE(LEFT(TRIM(C185),FIND(" ",TRIM(C185)&amp;" ")-1),",","."),"."),LEFT(SUBSTITUTE(LEFT(TRIM(C185),FIND(" ",TRIM(C185)&amp;" ")-1),",","."),FIND("/",SUBSTITUTE(LEFT(TRIM(C185),FIND(" ",TRIM(C185)&amp;" ")-1),",","."))-1)/MID(SUBSTITUTE(LEFT(TRIM(C185),FIND(" ",TRIM(C185)&amp;" ")-1),",","."),FIND("/",SUBSTITUTE(LEFT(TRIM(C185),FIND(" ",TRIM(C185)&amp;" ")-1),",","."))+1,9))*12/52,IF(ISNUMBER(SEARCH("month",C185)),IFERROR(_xlfn.NUMBERVALUE(SUBSTITUTE(LEFT(TRIM(C185),FIND(" ",TRIM(C185)&amp;" ")-1),",","."),"."),LEFT(SUBSTITUTE(LEFT(TRIM(C185),FIND(" ",TRIM(C185)&amp;" ")-1),",","."),FIND("/",SUBSTITUTE(LEFT(TRIM(C185),FIND(" ",TRIM(C185)&amp;" ")-1),",","."))-1)/MID(SUBSTITUTE(LEFT(TRIM(C185),FIND(" ",TRIM(C185)&amp;" ")-1),",","."),FIND("/",SUBSTITUTE(LEFT(TRIM(C185),FIND(" ",TRIM(C185)&amp;" ")-1),",","."))+1,9)),IF(ISNUMBER(SEARCH("yea",C185)),IFERROR(_xlfn.NUMBERVALUE(SUBSTITUTE(LEFT(TRIM(C185),FIND(" ",TRIM(C185)&amp;" ")-1),",","."),"."),LEFT(SUBSTITUTE(LEFT(TRIM(C185),FIND(" ",TRIM(C185)&amp;" ")-1),",","."),FIND("/",SUBSTITUTE(LEFT(TRIM(C185),FIND(" ",TRIM(C185)&amp;" ")-1),",","."))-1)/MID(SUBSTITUTE(LEFT(TRIM(C185),FIND(" ",TRIM(C185)&amp;" ")-1),",","."),FIND("/",SUBSTITUTE(LEFT(TRIM(C185),FIND(" ",TRIM(C185)&amp;" ")-1),",","."))+1,9))*12,NA()))),0),36)*'Aturan &amp; Tarif'!$B$4,2)</f>
        <v>2044.08</v>
      </c>
      <c r="K185" s="32" t="n">
        <f aca="false">'Aturan &amp; Tarif'!$B$5</f>
        <v>2050</v>
      </c>
      <c r="L185" s="32" t="n">
        <f aca="false">'Aturan &amp; Tarif'!$B$6</f>
        <v>350</v>
      </c>
      <c r="M185" s="35" t="n">
        <f aca="false">I185+J185+K185+L185</f>
        <v>22256.08</v>
      </c>
      <c r="N185" s="37" t="s">
        <v>318</v>
      </c>
    </row>
    <row r="186" customFormat="false" ht="14.25" hidden="false" customHeight="true" outlineLevel="0" collapsed="false">
      <c r="A186" s="29"/>
      <c r="B186" s="30" t="s">
        <v>350</v>
      </c>
      <c r="C186" s="31" t="s">
        <v>191</v>
      </c>
      <c r="D186" s="31" t="s">
        <v>108</v>
      </c>
      <c r="E186" s="32" t="n">
        <v>8906</v>
      </c>
      <c r="F186" s="32"/>
      <c r="G186" s="32"/>
      <c r="H186" s="33" t="n">
        <v>2</v>
      </c>
      <c r="I186" s="34" t="n">
        <f aca="false">E186*H186+N(F186)+N(G186)</f>
        <v>17812</v>
      </c>
      <c r="J186" s="32" t="n">
        <f aca="false">ROUND(IFERROR(ROUND(IF(OR(ISNUMBER(SEARCH("week",C186)),ISNUMBER(SEARCH("minggu",C186))),IFERROR(_xlfn.NUMBERVALUE(SUBSTITUTE(LEFT(TRIM(C186),FIND(" ",TRIM(C186)&amp;" ")-1),",","."),"."),LEFT(SUBSTITUTE(LEFT(TRIM(C186),FIND(" ",TRIM(C186)&amp;" ")-1),",","."),FIND("/",SUBSTITUTE(LEFT(TRIM(C186),FIND(" ",TRIM(C186)&amp;" ")-1),",","."))-1)/MID(SUBSTITUTE(LEFT(TRIM(C186),FIND(" ",TRIM(C186)&amp;" ")-1),",","."),FIND("/",SUBSTITUTE(LEFT(TRIM(C186),FIND(" ",TRIM(C186)&amp;" ")-1),",","."))+1,9))*12/52,IF(ISNUMBER(SEARCH("month",C186)),IFERROR(_xlfn.NUMBERVALUE(SUBSTITUTE(LEFT(TRIM(C186),FIND(" ",TRIM(C186)&amp;" ")-1),",","."),"."),LEFT(SUBSTITUTE(LEFT(TRIM(C186),FIND(" ",TRIM(C186)&amp;" ")-1),",","."),FIND("/",SUBSTITUTE(LEFT(TRIM(C186),FIND(" ",TRIM(C186)&amp;" ")-1),",","."))-1)/MID(SUBSTITUTE(LEFT(TRIM(C186),FIND(" ",TRIM(C186)&amp;" ")-1),",","."),FIND("/",SUBSTITUTE(LEFT(TRIM(C186),FIND(" ",TRIM(C186)&amp;" ")-1),",","."))+1,9)),IF(ISNUMBER(SEARCH("yea",C186)),IFERROR(_xlfn.NUMBERVALUE(SUBSTITUTE(LEFT(TRIM(C186),FIND(" ",TRIM(C186)&amp;" ")-1),",","."),"."),LEFT(SUBSTITUTE(LEFT(TRIM(C186),FIND(" ",TRIM(C186)&amp;" ")-1),",","."),FIND("/",SUBSTITUTE(LEFT(TRIM(C186),FIND(" ",TRIM(C186)&amp;" ")-1),",","."))-1)/MID(SUBSTITUTE(LEFT(TRIM(C186),FIND(" ",TRIM(C186)&amp;" ")-1),",","."),FIND("/",SUBSTITUTE(LEFT(TRIM(C186),FIND(" ",TRIM(C186)&amp;" ")-1),",","."))+1,9))*12,NA()))),0),48)*'Aturan &amp; Tarif'!$B$4,2)</f>
        <v>2725.44</v>
      </c>
      <c r="K186" s="32" t="n">
        <f aca="false">'Aturan &amp; Tarif'!$B$5</f>
        <v>2050</v>
      </c>
      <c r="L186" s="32" t="n">
        <f aca="false">'Aturan &amp; Tarif'!$B$6</f>
        <v>350</v>
      </c>
      <c r="M186" s="35" t="n">
        <f aca="false">I186+J186+K186+L186</f>
        <v>22937.44</v>
      </c>
      <c r="N186" s="37" t="s">
        <v>318</v>
      </c>
    </row>
    <row r="187" customFormat="false" ht="25.5" hidden="false" customHeight="true" outlineLevel="0" collapsed="false">
      <c r="A187" s="29"/>
      <c r="B187" s="30" t="s">
        <v>351</v>
      </c>
      <c r="C187" s="31" t="s">
        <v>191</v>
      </c>
      <c r="D187" s="31" t="s">
        <v>108</v>
      </c>
      <c r="E187" s="32" t="n">
        <v>8906</v>
      </c>
      <c r="F187" s="32"/>
      <c r="G187" s="32"/>
      <c r="H187" s="33" t="n">
        <v>2</v>
      </c>
      <c r="I187" s="34" t="n">
        <f aca="false">E187*H187+N(F187)+N(G187)</f>
        <v>17812</v>
      </c>
      <c r="J187" s="32" t="n">
        <f aca="false">ROUND(IFERROR(ROUND(IF(OR(ISNUMBER(SEARCH("week",C187)),ISNUMBER(SEARCH("minggu",C187))),IFERROR(_xlfn.NUMBERVALUE(SUBSTITUTE(LEFT(TRIM(C187),FIND(" ",TRIM(C187)&amp;" ")-1),",","."),"."),LEFT(SUBSTITUTE(LEFT(TRIM(C187),FIND(" ",TRIM(C187)&amp;" ")-1),",","."),FIND("/",SUBSTITUTE(LEFT(TRIM(C187),FIND(" ",TRIM(C187)&amp;" ")-1),",","."))-1)/MID(SUBSTITUTE(LEFT(TRIM(C187),FIND(" ",TRIM(C187)&amp;" ")-1),",","."),FIND("/",SUBSTITUTE(LEFT(TRIM(C187),FIND(" ",TRIM(C187)&amp;" ")-1),",","."))+1,9))*12/52,IF(ISNUMBER(SEARCH("month",C187)),IFERROR(_xlfn.NUMBERVALUE(SUBSTITUTE(LEFT(TRIM(C187),FIND(" ",TRIM(C187)&amp;" ")-1),",","."),"."),LEFT(SUBSTITUTE(LEFT(TRIM(C187),FIND(" ",TRIM(C187)&amp;" ")-1),",","."),FIND("/",SUBSTITUTE(LEFT(TRIM(C187),FIND(" ",TRIM(C187)&amp;" ")-1),",","."))-1)/MID(SUBSTITUTE(LEFT(TRIM(C187),FIND(" ",TRIM(C187)&amp;" ")-1),",","."),FIND("/",SUBSTITUTE(LEFT(TRIM(C187),FIND(" ",TRIM(C187)&amp;" ")-1),",","."))+1,9)),IF(ISNUMBER(SEARCH("yea",C187)),IFERROR(_xlfn.NUMBERVALUE(SUBSTITUTE(LEFT(TRIM(C187),FIND(" ",TRIM(C187)&amp;" ")-1),",","."),"."),LEFT(SUBSTITUTE(LEFT(TRIM(C187),FIND(" ",TRIM(C187)&amp;" ")-1),",","."),FIND("/",SUBSTITUTE(LEFT(TRIM(C187),FIND(" ",TRIM(C187)&amp;" ")-1),",","."))-1)/MID(SUBSTITUTE(LEFT(TRIM(C187),FIND(" ",TRIM(C187)&amp;" ")-1),",","."),FIND("/",SUBSTITUTE(LEFT(TRIM(C187),FIND(" ",TRIM(C187)&amp;" ")-1),",","."))+1,9))*12,NA()))),0),48)*'Aturan &amp; Tarif'!$B$4,2)</f>
        <v>2725.44</v>
      </c>
      <c r="K187" s="32" t="n">
        <f aca="false">'Aturan &amp; Tarif'!$B$5</f>
        <v>2050</v>
      </c>
      <c r="L187" s="32" t="n">
        <f aca="false">'Aturan &amp; Tarif'!$B$6</f>
        <v>350</v>
      </c>
      <c r="M187" s="35" t="n">
        <f aca="false">I187+J187+K187+L187</f>
        <v>22937.44</v>
      </c>
      <c r="N187" s="37" t="s">
        <v>318</v>
      </c>
    </row>
    <row r="188" customFormat="false" ht="14.25" hidden="false" customHeight="true" outlineLevel="0" collapsed="false">
      <c r="A188" s="29"/>
      <c r="B188" s="30" t="s">
        <v>352</v>
      </c>
      <c r="C188" s="31" t="s">
        <v>191</v>
      </c>
      <c r="D188" s="31" t="s">
        <v>108</v>
      </c>
      <c r="E188" s="32" t="n">
        <v>8906</v>
      </c>
      <c r="F188" s="32"/>
      <c r="G188" s="32"/>
      <c r="H188" s="33" t="n">
        <v>2</v>
      </c>
      <c r="I188" s="34" t="n">
        <f aca="false">E188*H188+N(F188)+N(G188)</f>
        <v>17812</v>
      </c>
      <c r="J188" s="32" t="n">
        <f aca="false">ROUND(IFERROR(ROUND(IF(OR(ISNUMBER(SEARCH("week",C188)),ISNUMBER(SEARCH("minggu",C188))),IFERROR(_xlfn.NUMBERVALUE(SUBSTITUTE(LEFT(TRIM(C188),FIND(" ",TRIM(C188)&amp;" ")-1),",","."),"."),LEFT(SUBSTITUTE(LEFT(TRIM(C188),FIND(" ",TRIM(C188)&amp;" ")-1),",","."),FIND("/",SUBSTITUTE(LEFT(TRIM(C188),FIND(" ",TRIM(C188)&amp;" ")-1),",","."))-1)/MID(SUBSTITUTE(LEFT(TRIM(C188),FIND(" ",TRIM(C188)&amp;" ")-1),",","."),FIND("/",SUBSTITUTE(LEFT(TRIM(C188),FIND(" ",TRIM(C188)&amp;" ")-1),",","."))+1,9))*12/52,IF(ISNUMBER(SEARCH("month",C188)),IFERROR(_xlfn.NUMBERVALUE(SUBSTITUTE(LEFT(TRIM(C188),FIND(" ",TRIM(C188)&amp;" ")-1),",","."),"."),LEFT(SUBSTITUTE(LEFT(TRIM(C188),FIND(" ",TRIM(C188)&amp;" ")-1),",","."),FIND("/",SUBSTITUTE(LEFT(TRIM(C188),FIND(" ",TRIM(C188)&amp;" ")-1),",","."))-1)/MID(SUBSTITUTE(LEFT(TRIM(C188),FIND(" ",TRIM(C188)&amp;" ")-1),",","."),FIND("/",SUBSTITUTE(LEFT(TRIM(C188),FIND(" ",TRIM(C188)&amp;" ")-1),",","."))+1,9)),IF(ISNUMBER(SEARCH("yea",C188)),IFERROR(_xlfn.NUMBERVALUE(SUBSTITUTE(LEFT(TRIM(C188),FIND(" ",TRIM(C188)&amp;" ")-1),",","."),"."),LEFT(SUBSTITUTE(LEFT(TRIM(C188),FIND(" ",TRIM(C188)&amp;" ")-1),",","."),FIND("/",SUBSTITUTE(LEFT(TRIM(C188),FIND(" ",TRIM(C188)&amp;" ")-1),",","."))-1)/MID(SUBSTITUTE(LEFT(TRIM(C188),FIND(" ",TRIM(C188)&amp;" ")-1),",","."),FIND("/",SUBSTITUTE(LEFT(TRIM(C188),FIND(" ",TRIM(C188)&amp;" ")-1),",","."))+1,9))*12,NA()))),0),48)*'Aturan &amp; Tarif'!$B$4,2)</f>
        <v>2725.44</v>
      </c>
      <c r="K188" s="32" t="n">
        <f aca="false">'Aturan &amp; Tarif'!$B$5</f>
        <v>2050</v>
      </c>
      <c r="L188" s="32" t="n">
        <f aca="false">'Aturan &amp; Tarif'!$B$6</f>
        <v>350</v>
      </c>
      <c r="M188" s="35" t="n">
        <f aca="false">I188+J188+K188+L188</f>
        <v>22937.44</v>
      </c>
      <c r="N188" s="37" t="s">
        <v>318</v>
      </c>
    </row>
    <row r="189" customFormat="false" ht="25.5" hidden="false" customHeight="true" outlineLevel="0" collapsed="false">
      <c r="A189" s="29"/>
      <c r="B189" s="30" t="s">
        <v>353</v>
      </c>
      <c r="C189" s="31" t="s">
        <v>191</v>
      </c>
      <c r="D189" s="31" t="s">
        <v>108</v>
      </c>
      <c r="E189" s="32" t="n">
        <v>8906</v>
      </c>
      <c r="F189" s="32"/>
      <c r="G189" s="32"/>
      <c r="H189" s="33" t="n">
        <v>2</v>
      </c>
      <c r="I189" s="34" t="n">
        <f aca="false">E189*H189+N(F189)+N(G189)</f>
        <v>17812</v>
      </c>
      <c r="J189" s="32" t="n">
        <f aca="false">ROUND(IFERROR(ROUND(IF(OR(ISNUMBER(SEARCH("week",C189)),ISNUMBER(SEARCH("minggu",C189))),IFERROR(_xlfn.NUMBERVALUE(SUBSTITUTE(LEFT(TRIM(C189),FIND(" ",TRIM(C189)&amp;" ")-1),",","."),"."),LEFT(SUBSTITUTE(LEFT(TRIM(C189),FIND(" ",TRIM(C189)&amp;" ")-1),",","."),FIND("/",SUBSTITUTE(LEFT(TRIM(C189),FIND(" ",TRIM(C189)&amp;" ")-1),",","."))-1)/MID(SUBSTITUTE(LEFT(TRIM(C189),FIND(" ",TRIM(C189)&amp;" ")-1),",","."),FIND("/",SUBSTITUTE(LEFT(TRIM(C189),FIND(" ",TRIM(C189)&amp;" ")-1),",","."))+1,9))*12/52,IF(ISNUMBER(SEARCH("month",C189)),IFERROR(_xlfn.NUMBERVALUE(SUBSTITUTE(LEFT(TRIM(C189),FIND(" ",TRIM(C189)&amp;" ")-1),",","."),"."),LEFT(SUBSTITUTE(LEFT(TRIM(C189),FIND(" ",TRIM(C189)&amp;" ")-1),",","."),FIND("/",SUBSTITUTE(LEFT(TRIM(C189),FIND(" ",TRIM(C189)&amp;" ")-1),",","."))-1)/MID(SUBSTITUTE(LEFT(TRIM(C189),FIND(" ",TRIM(C189)&amp;" ")-1),",","."),FIND("/",SUBSTITUTE(LEFT(TRIM(C189),FIND(" ",TRIM(C189)&amp;" ")-1),",","."))+1,9)),IF(ISNUMBER(SEARCH("yea",C189)),IFERROR(_xlfn.NUMBERVALUE(SUBSTITUTE(LEFT(TRIM(C189),FIND(" ",TRIM(C189)&amp;" ")-1),",","."),"."),LEFT(SUBSTITUTE(LEFT(TRIM(C189),FIND(" ",TRIM(C189)&amp;" ")-1),",","."),FIND("/",SUBSTITUTE(LEFT(TRIM(C189),FIND(" ",TRIM(C189)&amp;" ")-1),",","."))-1)/MID(SUBSTITUTE(LEFT(TRIM(C189),FIND(" ",TRIM(C189)&amp;" ")-1),",","."),FIND("/",SUBSTITUTE(LEFT(TRIM(C189),FIND(" ",TRIM(C189)&amp;" ")-1),",","."))+1,9))*12,NA()))),0),48)*'Aturan &amp; Tarif'!$B$4,2)</f>
        <v>2725.44</v>
      </c>
      <c r="K189" s="32" t="n">
        <f aca="false">'Aturan &amp; Tarif'!$B$5</f>
        <v>2050</v>
      </c>
      <c r="L189" s="32" t="n">
        <f aca="false">'Aturan &amp; Tarif'!$B$6</f>
        <v>350</v>
      </c>
      <c r="M189" s="35" t="n">
        <f aca="false">I189+J189+K189+L189</f>
        <v>22937.44</v>
      </c>
      <c r="N189" s="37" t="s">
        <v>318</v>
      </c>
    </row>
    <row r="190" customFormat="false" ht="37.5" hidden="false" customHeight="true" outlineLevel="0" collapsed="false">
      <c r="A190" s="29"/>
      <c r="B190" s="30" t="s">
        <v>354</v>
      </c>
      <c r="C190" s="31" t="s">
        <v>191</v>
      </c>
      <c r="D190" s="31" t="s">
        <v>108</v>
      </c>
      <c r="E190" s="32" t="n">
        <v>9706</v>
      </c>
      <c r="F190" s="32"/>
      <c r="G190" s="32"/>
      <c r="H190" s="33" t="n">
        <v>2</v>
      </c>
      <c r="I190" s="34" t="n">
        <f aca="false">E190*H190+N(F190)+N(G190)</f>
        <v>19412</v>
      </c>
      <c r="J190" s="32" t="n">
        <f aca="false">ROUND(IFERROR(ROUND(IF(OR(ISNUMBER(SEARCH("week",C190)),ISNUMBER(SEARCH("minggu",C190))),IFERROR(_xlfn.NUMBERVALUE(SUBSTITUTE(LEFT(TRIM(C190),FIND(" ",TRIM(C190)&amp;" ")-1),",","."),"."),LEFT(SUBSTITUTE(LEFT(TRIM(C190),FIND(" ",TRIM(C190)&amp;" ")-1),",","."),FIND("/",SUBSTITUTE(LEFT(TRIM(C190),FIND(" ",TRIM(C190)&amp;" ")-1),",","."))-1)/MID(SUBSTITUTE(LEFT(TRIM(C190),FIND(" ",TRIM(C190)&amp;" ")-1),",","."),FIND("/",SUBSTITUTE(LEFT(TRIM(C190),FIND(" ",TRIM(C190)&amp;" ")-1),",","."))+1,9))*12/52,IF(ISNUMBER(SEARCH("month",C190)),IFERROR(_xlfn.NUMBERVALUE(SUBSTITUTE(LEFT(TRIM(C190),FIND(" ",TRIM(C190)&amp;" ")-1),",","."),"."),LEFT(SUBSTITUTE(LEFT(TRIM(C190),FIND(" ",TRIM(C190)&amp;" ")-1),",","."),FIND("/",SUBSTITUTE(LEFT(TRIM(C190),FIND(" ",TRIM(C190)&amp;" ")-1),",","."))-1)/MID(SUBSTITUTE(LEFT(TRIM(C190),FIND(" ",TRIM(C190)&amp;" ")-1),",","."),FIND("/",SUBSTITUTE(LEFT(TRIM(C190),FIND(" ",TRIM(C190)&amp;" ")-1),",","."))+1,9)),IF(ISNUMBER(SEARCH("yea",C190)),IFERROR(_xlfn.NUMBERVALUE(SUBSTITUTE(LEFT(TRIM(C190),FIND(" ",TRIM(C190)&amp;" ")-1),",","."),"."),LEFT(SUBSTITUTE(LEFT(TRIM(C190),FIND(" ",TRIM(C190)&amp;" ")-1),",","."),FIND("/",SUBSTITUTE(LEFT(TRIM(C190),FIND(" ",TRIM(C190)&amp;" ")-1),",","."))-1)/MID(SUBSTITUTE(LEFT(TRIM(C190),FIND(" ",TRIM(C190)&amp;" ")-1),",","."),FIND("/",SUBSTITUTE(LEFT(TRIM(C190),FIND(" ",TRIM(C190)&amp;" ")-1),",","."))+1,9))*12,NA()))),0),48)*'Aturan &amp; Tarif'!$B$4,2)</f>
        <v>2725.44</v>
      </c>
      <c r="K190" s="32" t="n">
        <f aca="false">'Aturan &amp; Tarif'!$B$5</f>
        <v>2050</v>
      </c>
      <c r="L190" s="32" t="n">
        <f aca="false">'Aturan &amp; Tarif'!$B$6</f>
        <v>350</v>
      </c>
      <c r="M190" s="35" t="n">
        <f aca="false">I190+J190+K190+L190</f>
        <v>24537.44</v>
      </c>
      <c r="N190" s="37" t="s">
        <v>318</v>
      </c>
    </row>
    <row r="191" customFormat="false" ht="25.5" hidden="false" customHeight="true" outlineLevel="0" collapsed="false">
      <c r="A191" s="29"/>
      <c r="B191" s="30" t="s">
        <v>355</v>
      </c>
      <c r="C191" s="31" t="s">
        <v>127</v>
      </c>
      <c r="D191" s="31" t="s">
        <v>108</v>
      </c>
      <c r="E191" s="32" t="n">
        <v>8906</v>
      </c>
      <c r="F191" s="32"/>
      <c r="G191" s="32"/>
      <c r="H191" s="33" t="n">
        <v>2</v>
      </c>
      <c r="I191" s="34" t="n">
        <f aca="false">E191*H191+N(F191)+N(G191)</f>
        <v>17812</v>
      </c>
      <c r="J191" s="32" t="n">
        <f aca="false">ROUND(IFERROR(ROUND(IF(OR(ISNUMBER(SEARCH("week",C191)),ISNUMBER(SEARCH("minggu",C191))),IFERROR(_xlfn.NUMBERVALUE(SUBSTITUTE(LEFT(TRIM(C191),FIND(" ",TRIM(C191)&amp;" ")-1),",","."),"."),LEFT(SUBSTITUTE(LEFT(TRIM(C191),FIND(" ",TRIM(C191)&amp;" ")-1),",","."),FIND("/",SUBSTITUTE(LEFT(TRIM(C191),FIND(" ",TRIM(C191)&amp;" ")-1),",","."))-1)/MID(SUBSTITUTE(LEFT(TRIM(C191),FIND(" ",TRIM(C191)&amp;" ")-1),",","."),FIND("/",SUBSTITUTE(LEFT(TRIM(C191),FIND(" ",TRIM(C191)&amp;" ")-1),",","."))+1,9))*12/52,IF(ISNUMBER(SEARCH("month",C191)),IFERROR(_xlfn.NUMBERVALUE(SUBSTITUTE(LEFT(TRIM(C191),FIND(" ",TRIM(C191)&amp;" ")-1),",","."),"."),LEFT(SUBSTITUTE(LEFT(TRIM(C191),FIND(" ",TRIM(C191)&amp;" ")-1),",","."),FIND("/",SUBSTITUTE(LEFT(TRIM(C191),FIND(" ",TRIM(C191)&amp;" ")-1),",","."))-1)/MID(SUBSTITUTE(LEFT(TRIM(C191),FIND(" ",TRIM(C191)&amp;" ")-1),",","."),FIND("/",SUBSTITUTE(LEFT(TRIM(C191),FIND(" ",TRIM(C191)&amp;" ")-1),",","."))+1,9)),IF(ISNUMBER(SEARCH("yea",C191)),IFERROR(_xlfn.NUMBERVALUE(SUBSTITUTE(LEFT(TRIM(C191),FIND(" ",TRIM(C191)&amp;" ")-1),",","."),"."),LEFT(SUBSTITUTE(LEFT(TRIM(C191),FIND(" ",TRIM(C191)&amp;" ")-1),",","."),FIND("/",SUBSTITUTE(LEFT(TRIM(C191),FIND(" ",TRIM(C191)&amp;" ")-1),",","."))-1)/MID(SUBSTITUTE(LEFT(TRIM(C191),FIND(" ",TRIM(C191)&amp;" ")-1),",","."),FIND("/",SUBSTITUTE(LEFT(TRIM(C191),FIND(" ",TRIM(C191)&amp;" ")-1),",","."))+1,9))*12,NA()))),0),36)*'Aturan &amp; Tarif'!$B$4,2)</f>
        <v>2044.08</v>
      </c>
      <c r="K191" s="32" t="n">
        <f aca="false">'Aturan &amp; Tarif'!$B$5</f>
        <v>2050</v>
      </c>
      <c r="L191" s="32" t="n">
        <f aca="false">'Aturan &amp; Tarif'!$B$6</f>
        <v>350</v>
      </c>
      <c r="M191" s="35" t="n">
        <f aca="false">I191+J191+K191+L191</f>
        <v>22256.08</v>
      </c>
      <c r="N191" s="37" t="s">
        <v>318</v>
      </c>
    </row>
    <row r="192" customFormat="false" ht="25.5" hidden="false" customHeight="true" outlineLevel="0" collapsed="false">
      <c r="A192" s="29"/>
      <c r="B192" s="30" t="s">
        <v>356</v>
      </c>
      <c r="C192" s="31" t="s">
        <v>191</v>
      </c>
      <c r="D192" s="31" t="s">
        <v>108</v>
      </c>
      <c r="E192" s="32" t="n">
        <v>8906</v>
      </c>
      <c r="F192" s="32"/>
      <c r="G192" s="32"/>
      <c r="H192" s="33" t="n">
        <v>2</v>
      </c>
      <c r="I192" s="34" t="n">
        <f aca="false">E192*H192+N(F192)+N(G192)</f>
        <v>17812</v>
      </c>
      <c r="J192" s="32" t="n">
        <f aca="false">ROUND(IFERROR(ROUND(IF(OR(ISNUMBER(SEARCH("week",C192)),ISNUMBER(SEARCH("minggu",C192))),IFERROR(_xlfn.NUMBERVALUE(SUBSTITUTE(LEFT(TRIM(C192),FIND(" ",TRIM(C192)&amp;" ")-1),",","."),"."),LEFT(SUBSTITUTE(LEFT(TRIM(C192),FIND(" ",TRIM(C192)&amp;" ")-1),",","."),FIND("/",SUBSTITUTE(LEFT(TRIM(C192),FIND(" ",TRIM(C192)&amp;" ")-1),",","."))-1)/MID(SUBSTITUTE(LEFT(TRIM(C192),FIND(" ",TRIM(C192)&amp;" ")-1),",","."),FIND("/",SUBSTITUTE(LEFT(TRIM(C192),FIND(" ",TRIM(C192)&amp;" ")-1),",","."))+1,9))*12/52,IF(ISNUMBER(SEARCH("month",C192)),IFERROR(_xlfn.NUMBERVALUE(SUBSTITUTE(LEFT(TRIM(C192),FIND(" ",TRIM(C192)&amp;" ")-1),",","."),"."),LEFT(SUBSTITUTE(LEFT(TRIM(C192),FIND(" ",TRIM(C192)&amp;" ")-1),",","."),FIND("/",SUBSTITUTE(LEFT(TRIM(C192),FIND(" ",TRIM(C192)&amp;" ")-1),",","."))-1)/MID(SUBSTITUTE(LEFT(TRIM(C192),FIND(" ",TRIM(C192)&amp;" ")-1),",","."),FIND("/",SUBSTITUTE(LEFT(TRIM(C192),FIND(" ",TRIM(C192)&amp;" ")-1),",","."))+1,9)),IF(ISNUMBER(SEARCH("yea",C192)),IFERROR(_xlfn.NUMBERVALUE(SUBSTITUTE(LEFT(TRIM(C192),FIND(" ",TRIM(C192)&amp;" ")-1),",","."),"."),LEFT(SUBSTITUTE(LEFT(TRIM(C192),FIND(" ",TRIM(C192)&amp;" ")-1),",","."),FIND("/",SUBSTITUTE(LEFT(TRIM(C192),FIND(" ",TRIM(C192)&amp;" ")-1),",","."))-1)/MID(SUBSTITUTE(LEFT(TRIM(C192),FIND(" ",TRIM(C192)&amp;" ")-1),",","."),FIND("/",SUBSTITUTE(LEFT(TRIM(C192),FIND(" ",TRIM(C192)&amp;" ")-1),",","."))+1,9))*12,NA()))),0),48)*'Aturan &amp; Tarif'!$B$4,2)</f>
        <v>2725.44</v>
      </c>
      <c r="K192" s="32" t="n">
        <f aca="false">'Aturan &amp; Tarif'!$B$5</f>
        <v>2050</v>
      </c>
      <c r="L192" s="32" t="n">
        <f aca="false">'Aturan &amp; Tarif'!$B$6</f>
        <v>350</v>
      </c>
      <c r="M192" s="35" t="n">
        <f aca="false">I192+J192+K192+L192</f>
        <v>22937.44</v>
      </c>
      <c r="N192" s="37" t="s">
        <v>318</v>
      </c>
    </row>
    <row r="193" customFormat="false" ht="25.5" hidden="false" customHeight="true" outlineLevel="0" collapsed="false">
      <c r="A193" s="29"/>
      <c r="B193" s="30" t="s">
        <v>357</v>
      </c>
      <c r="C193" s="31" t="s">
        <v>191</v>
      </c>
      <c r="D193" s="31" t="s">
        <v>108</v>
      </c>
      <c r="E193" s="32" t="n">
        <v>8906</v>
      </c>
      <c r="F193" s="32"/>
      <c r="G193" s="32"/>
      <c r="H193" s="33" t="n">
        <v>2</v>
      </c>
      <c r="I193" s="34" t="n">
        <f aca="false">E193*H193+N(F193)+N(G193)</f>
        <v>17812</v>
      </c>
      <c r="J193" s="32" t="n">
        <f aca="false">ROUND(IFERROR(ROUND(IF(OR(ISNUMBER(SEARCH("week",C193)),ISNUMBER(SEARCH("minggu",C193))),IFERROR(_xlfn.NUMBERVALUE(SUBSTITUTE(LEFT(TRIM(C193),FIND(" ",TRIM(C193)&amp;" ")-1),",","."),"."),LEFT(SUBSTITUTE(LEFT(TRIM(C193),FIND(" ",TRIM(C193)&amp;" ")-1),",","."),FIND("/",SUBSTITUTE(LEFT(TRIM(C193),FIND(" ",TRIM(C193)&amp;" ")-1),",","."))-1)/MID(SUBSTITUTE(LEFT(TRIM(C193),FIND(" ",TRIM(C193)&amp;" ")-1),",","."),FIND("/",SUBSTITUTE(LEFT(TRIM(C193),FIND(" ",TRIM(C193)&amp;" ")-1),",","."))+1,9))*12/52,IF(ISNUMBER(SEARCH("month",C193)),IFERROR(_xlfn.NUMBERVALUE(SUBSTITUTE(LEFT(TRIM(C193),FIND(" ",TRIM(C193)&amp;" ")-1),",","."),"."),LEFT(SUBSTITUTE(LEFT(TRIM(C193),FIND(" ",TRIM(C193)&amp;" ")-1),",","."),FIND("/",SUBSTITUTE(LEFT(TRIM(C193),FIND(" ",TRIM(C193)&amp;" ")-1),",","."))-1)/MID(SUBSTITUTE(LEFT(TRIM(C193),FIND(" ",TRIM(C193)&amp;" ")-1),",","."),FIND("/",SUBSTITUTE(LEFT(TRIM(C193),FIND(" ",TRIM(C193)&amp;" ")-1),",","."))+1,9)),IF(ISNUMBER(SEARCH("yea",C193)),IFERROR(_xlfn.NUMBERVALUE(SUBSTITUTE(LEFT(TRIM(C193),FIND(" ",TRIM(C193)&amp;" ")-1),",","."),"."),LEFT(SUBSTITUTE(LEFT(TRIM(C193),FIND(" ",TRIM(C193)&amp;" ")-1),",","."),FIND("/",SUBSTITUTE(LEFT(TRIM(C193),FIND(" ",TRIM(C193)&amp;" ")-1),",","."))-1)/MID(SUBSTITUTE(LEFT(TRIM(C193),FIND(" ",TRIM(C193)&amp;" ")-1),",","."),FIND("/",SUBSTITUTE(LEFT(TRIM(C193),FIND(" ",TRIM(C193)&amp;" ")-1),",","."))+1,9))*12,NA()))),0),48)*'Aturan &amp; Tarif'!$B$4,2)</f>
        <v>2725.44</v>
      </c>
      <c r="K193" s="32" t="n">
        <f aca="false">'Aturan &amp; Tarif'!$B$5</f>
        <v>2050</v>
      </c>
      <c r="L193" s="32" t="n">
        <f aca="false">'Aturan &amp; Tarif'!$B$6</f>
        <v>350</v>
      </c>
      <c r="M193" s="35" t="n">
        <f aca="false">I193+J193+K193+L193</f>
        <v>22937.44</v>
      </c>
      <c r="N193" s="37" t="s">
        <v>318</v>
      </c>
    </row>
    <row r="194" customFormat="false" ht="25.5" hidden="false" customHeight="true" outlineLevel="0" collapsed="false">
      <c r="A194" s="29"/>
      <c r="B194" s="30" t="s">
        <v>358</v>
      </c>
      <c r="C194" s="31" t="s">
        <v>191</v>
      </c>
      <c r="D194" s="31" t="s">
        <v>108</v>
      </c>
      <c r="E194" s="32" t="n">
        <v>8906</v>
      </c>
      <c r="F194" s="32"/>
      <c r="G194" s="32"/>
      <c r="H194" s="33" t="n">
        <v>2</v>
      </c>
      <c r="I194" s="34" t="n">
        <f aca="false">E194*H194+N(F194)+N(G194)</f>
        <v>17812</v>
      </c>
      <c r="J194" s="32" t="n">
        <f aca="false">ROUND(IFERROR(ROUND(IF(OR(ISNUMBER(SEARCH("week",C194)),ISNUMBER(SEARCH("minggu",C194))),IFERROR(_xlfn.NUMBERVALUE(SUBSTITUTE(LEFT(TRIM(C194),FIND(" ",TRIM(C194)&amp;" ")-1),",","."),"."),LEFT(SUBSTITUTE(LEFT(TRIM(C194),FIND(" ",TRIM(C194)&amp;" ")-1),",","."),FIND("/",SUBSTITUTE(LEFT(TRIM(C194),FIND(" ",TRIM(C194)&amp;" ")-1),",","."))-1)/MID(SUBSTITUTE(LEFT(TRIM(C194),FIND(" ",TRIM(C194)&amp;" ")-1),",","."),FIND("/",SUBSTITUTE(LEFT(TRIM(C194),FIND(" ",TRIM(C194)&amp;" ")-1),",","."))+1,9))*12/52,IF(ISNUMBER(SEARCH("month",C194)),IFERROR(_xlfn.NUMBERVALUE(SUBSTITUTE(LEFT(TRIM(C194),FIND(" ",TRIM(C194)&amp;" ")-1),",","."),"."),LEFT(SUBSTITUTE(LEFT(TRIM(C194),FIND(" ",TRIM(C194)&amp;" ")-1),",","."),FIND("/",SUBSTITUTE(LEFT(TRIM(C194),FIND(" ",TRIM(C194)&amp;" ")-1),",","."))-1)/MID(SUBSTITUTE(LEFT(TRIM(C194),FIND(" ",TRIM(C194)&amp;" ")-1),",","."),FIND("/",SUBSTITUTE(LEFT(TRIM(C194),FIND(" ",TRIM(C194)&amp;" ")-1),",","."))+1,9)),IF(ISNUMBER(SEARCH("yea",C194)),IFERROR(_xlfn.NUMBERVALUE(SUBSTITUTE(LEFT(TRIM(C194),FIND(" ",TRIM(C194)&amp;" ")-1),",","."),"."),LEFT(SUBSTITUTE(LEFT(TRIM(C194),FIND(" ",TRIM(C194)&amp;" ")-1),",","."),FIND("/",SUBSTITUTE(LEFT(TRIM(C194),FIND(" ",TRIM(C194)&amp;" ")-1),",","."))-1)/MID(SUBSTITUTE(LEFT(TRIM(C194),FIND(" ",TRIM(C194)&amp;" ")-1),",","."),FIND("/",SUBSTITUTE(LEFT(TRIM(C194),FIND(" ",TRIM(C194)&amp;" ")-1),",","."))+1,9))*12,NA()))),0),48)*'Aturan &amp; Tarif'!$B$4,2)</f>
        <v>2725.44</v>
      </c>
      <c r="K194" s="32" t="n">
        <f aca="false">'Aturan &amp; Tarif'!$B$5</f>
        <v>2050</v>
      </c>
      <c r="L194" s="32" t="n">
        <f aca="false">'Aturan &amp; Tarif'!$B$6</f>
        <v>350</v>
      </c>
      <c r="M194" s="35" t="n">
        <f aca="false">I194+J194+K194+L194</f>
        <v>22937.44</v>
      </c>
      <c r="N194" s="37" t="s">
        <v>318</v>
      </c>
    </row>
    <row r="195" customFormat="false" ht="14.25" hidden="false" customHeight="true" outlineLevel="0" collapsed="false">
      <c r="A195" s="29"/>
      <c r="B195" s="30" t="s">
        <v>237</v>
      </c>
      <c r="C195" s="31" t="s">
        <v>191</v>
      </c>
      <c r="D195" s="31" t="s">
        <v>108</v>
      </c>
      <c r="E195" s="32" t="n">
        <v>8906</v>
      </c>
      <c r="F195" s="32"/>
      <c r="G195" s="32"/>
      <c r="H195" s="33" t="n">
        <v>2</v>
      </c>
      <c r="I195" s="34" t="n">
        <f aca="false">E195*H195+N(F195)+N(G195)</f>
        <v>17812</v>
      </c>
      <c r="J195" s="32" t="n">
        <f aca="false">ROUND(IFERROR(ROUND(IF(OR(ISNUMBER(SEARCH("week",C195)),ISNUMBER(SEARCH("minggu",C195))),IFERROR(_xlfn.NUMBERVALUE(SUBSTITUTE(LEFT(TRIM(C195),FIND(" ",TRIM(C195)&amp;" ")-1),",","."),"."),LEFT(SUBSTITUTE(LEFT(TRIM(C195),FIND(" ",TRIM(C195)&amp;" ")-1),",","."),FIND("/",SUBSTITUTE(LEFT(TRIM(C195),FIND(" ",TRIM(C195)&amp;" ")-1),",","."))-1)/MID(SUBSTITUTE(LEFT(TRIM(C195),FIND(" ",TRIM(C195)&amp;" ")-1),",","."),FIND("/",SUBSTITUTE(LEFT(TRIM(C195),FIND(" ",TRIM(C195)&amp;" ")-1),",","."))+1,9))*12/52,IF(ISNUMBER(SEARCH("month",C195)),IFERROR(_xlfn.NUMBERVALUE(SUBSTITUTE(LEFT(TRIM(C195),FIND(" ",TRIM(C195)&amp;" ")-1),",","."),"."),LEFT(SUBSTITUTE(LEFT(TRIM(C195),FIND(" ",TRIM(C195)&amp;" ")-1),",","."),FIND("/",SUBSTITUTE(LEFT(TRIM(C195),FIND(" ",TRIM(C195)&amp;" ")-1),",","."))-1)/MID(SUBSTITUTE(LEFT(TRIM(C195),FIND(" ",TRIM(C195)&amp;" ")-1),",","."),FIND("/",SUBSTITUTE(LEFT(TRIM(C195),FIND(" ",TRIM(C195)&amp;" ")-1),",","."))+1,9)),IF(ISNUMBER(SEARCH("yea",C195)),IFERROR(_xlfn.NUMBERVALUE(SUBSTITUTE(LEFT(TRIM(C195),FIND(" ",TRIM(C195)&amp;" ")-1),",","."),"."),LEFT(SUBSTITUTE(LEFT(TRIM(C195),FIND(" ",TRIM(C195)&amp;" ")-1),",","."),FIND("/",SUBSTITUTE(LEFT(TRIM(C195),FIND(" ",TRIM(C195)&amp;" ")-1),",","."))-1)/MID(SUBSTITUTE(LEFT(TRIM(C195),FIND(" ",TRIM(C195)&amp;" ")-1),",","."),FIND("/",SUBSTITUTE(LEFT(TRIM(C195),FIND(" ",TRIM(C195)&amp;" ")-1),",","."))+1,9))*12,NA()))),0),48)*'Aturan &amp; Tarif'!$B$4,2)</f>
        <v>2725.44</v>
      </c>
      <c r="K195" s="32" t="n">
        <f aca="false">'Aturan &amp; Tarif'!$B$5</f>
        <v>2050</v>
      </c>
      <c r="L195" s="32" t="n">
        <f aca="false">'Aturan &amp; Tarif'!$B$6</f>
        <v>350</v>
      </c>
      <c r="M195" s="35" t="n">
        <f aca="false">I195+J195+K195+L195</f>
        <v>22937.44</v>
      </c>
      <c r="N195" s="37" t="s">
        <v>318</v>
      </c>
    </row>
    <row r="196" customFormat="false" ht="25.5" hidden="false" customHeight="true" outlineLevel="0" collapsed="false">
      <c r="A196" s="29"/>
      <c r="B196" s="30" t="s">
        <v>359</v>
      </c>
      <c r="C196" s="31" t="s">
        <v>191</v>
      </c>
      <c r="D196" s="31" t="s">
        <v>108</v>
      </c>
      <c r="E196" s="32" t="n">
        <v>8906</v>
      </c>
      <c r="F196" s="32"/>
      <c r="G196" s="32"/>
      <c r="H196" s="33" t="n">
        <v>2</v>
      </c>
      <c r="I196" s="34" t="n">
        <f aca="false">E196*H196+N(F196)+N(G196)</f>
        <v>17812</v>
      </c>
      <c r="J196" s="32" t="n">
        <f aca="false">ROUND(IFERROR(ROUND(IF(OR(ISNUMBER(SEARCH("week",C196)),ISNUMBER(SEARCH("minggu",C196))),IFERROR(_xlfn.NUMBERVALUE(SUBSTITUTE(LEFT(TRIM(C196),FIND(" ",TRIM(C196)&amp;" ")-1),",","."),"."),LEFT(SUBSTITUTE(LEFT(TRIM(C196),FIND(" ",TRIM(C196)&amp;" ")-1),",","."),FIND("/",SUBSTITUTE(LEFT(TRIM(C196),FIND(" ",TRIM(C196)&amp;" ")-1),",","."))-1)/MID(SUBSTITUTE(LEFT(TRIM(C196),FIND(" ",TRIM(C196)&amp;" ")-1),",","."),FIND("/",SUBSTITUTE(LEFT(TRIM(C196),FIND(" ",TRIM(C196)&amp;" ")-1),",","."))+1,9))*12/52,IF(ISNUMBER(SEARCH("month",C196)),IFERROR(_xlfn.NUMBERVALUE(SUBSTITUTE(LEFT(TRIM(C196),FIND(" ",TRIM(C196)&amp;" ")-1),",","."),"."),LEFT(SUBSTITUTE(LEFT(TRIM(C196),FIND(" ",TRIM(C196)&amp;" ")-1),",","."),FIND("/",SUBSTITUTE(LEFT(TRIM(C196),FIND(" ",TRIM(C196)&amp;" ")-1),",","."))-1)/MID(SUBSTITUTE(LEFT(TRIM(C196),FIND(" ",TRIM(C196)&amp;" ")-1),",","."),FIND("/",SUBSTITUTE(LEFT(TRIM(C196),FIND(" ",TRIM(C196)&amp;" ")-1),",","."))+1,9)),IF(ISNUMBER(SEARCH("yea",C196)),IFERROR(_xlfn.NUMBERVALUE(SUBSTITUTE(LEFT(TRIM(C196),FIND(" ",TRIM(C196)&amp;" ")-1),",","."),"."),LEFT(SUBSTITUTE(LEFT(TRIM(C196),FIND(" ",TRIM(C196)&amp;" ")-1),",","."),FIND("/",SUBSTITUTE(LEFT(TRIM(C196),FIND(" ",TRIM(C196)&amp;" ")-1),",","."))-1)/MID(SUBSTITUTE(LEFT(TRIM(C196),FIND(" ",TRIM(C196)&amp;" ")-1),",","."),FIND("/",SUBSTITUTE(LEFT(TRIM(C196),FIND(" ",TRIM(C196)&amp;" ")-1),",","."))+1,9))*12,NA()))),0),48)*'Aturan &amp; Tarif'!$B$4,2)</f>
        <v>2725.44</v>
      </c>
      <c r="K196" s="32" t="n">
        <f aca="false">'Aturan &amp; Tarif'!$B$5</f>
        <v>2050</v>
      </c>
      <c r="L196" s="32" t="n">
        <f aca="false">'Aturan &amp; Tarif'!$B$6</f>
        <v>350</v>
      </c>
      <c r="M196" s="35" t="n">
        <f aca="false">I196+J196+K196+L196</f>
        <v>22937.44</v>
      </c>
      <c r="N196" s="37" t="s">
        <v>318</v>
      </c>
    </row>
    <row r="197" customFormat="false" ht="25.5" hidden="false" customHeight="true" outlineLevel="0" collapsed="false">
      <c r="A197" s="29"/>
      <c r="B197" s="30" t="s">
        <v>360</v>
      </c>
      <c r="C197" s="31" t="s">
        <v>191</v>
      </c>
      <c r="D197" s="31" t="s">
        <v>108</v>
      </c>
      <c r="E197" s="32" t="n">
        <v>8906</v>
      </c>
      <c r="F197" s="32"/>
      <c r="G197" s="32"/>
      <c r="H197" s="33" t="n">
        <v>2</v>
      </c>
      <c r="I197" s="34" t="n">
        <f aca="false">E197*H197+N(F197)+N(G197)</f>
        <v>17812</v>
      </c>
      <c r="J197" s="32" t="n">
        <f aca="false">ROUND(IFERROR(ROUND(IF(OR(ISNUMBER(SEARCH("week",C197)),ISNUMBER(SEARCH("minggu",C197))),IFERROR(_xlfn.NUMBERVALUE(SUBSTITUTE(LEFT(TRIM(C197),FIND(" ",TRIM(C197)&amp;" ")-1),",","."),"."),LEFT(SUBSTITUTE(LEFT(TRIM(C197),FIND(" ",TRIM(C197)&amp;" ")-1),",","."),FIND("/",SUBSTITUTE(LEFT(TRIM(C197),FIND(" ",TRIM(C197)&amp;" ")-1),",","."))-1)/MID(SUBSTITUTE(LEFT(TRIM(C197),FIND(" ",TRIM(C197)&amp;" ")-1),",","."),FIND("/",SUBSTITUTE(LEFT(TRIM(C197),FIND(" ",TRIM(C197)&amp;" ")-1),",","."))+1,9))*12/52,IF(ISNUMBER(SEARCH("month",C197)),IFERROR(_xlfn.NUMBERVALUE(SUBSTITUTE(LEFT(TRIM(C197),FIND(" ",TRIM(C197)&amp;" ")-1),",","."),"."),LEFT(SUBSTITUTE(LEFT(TRIM(C197),FIND(" ",TRIM(C197)&amp;" ")-1),",","."),FIND("/",SUBSTITUTE(LEFT(TRIM(C197),FIND(" ",TRIM(C197)&amp;" ")-1),",","."))-1)/MID(SUBSTITUTE(LEFT(TRIM(C197),FIND(" ",TRIM(C197)&amp;" ")-1),",","."),FIND("/",SUBSTITUTE(LEFT(TRIM(C197),FIND(" ",TRIM(C197)&amp;" ")-1),",","."))+1,9)),IF(ISNUMBER(SEARCH("yea",C197)),IFERROR(_xlfn.NUMBERVALUE(SUBSTITUTE(LEFT(TRIM(C197),FIND(" ",TRIM(C197)&amp;" ")-1),",","."),"."),LEFT(SUBSTITUTE(LEFT(TRIM(C197),FIND(" ",TRIM(C197)&amp;" ")-1),",","."),FIND("/",SUBSTITUTE(LEFT(TRIM(C197),FIND(" ",TRIM(C197)&amp;" ")-1),",","."))-1)/MID(SUBSTITUTE(LEFT(TRIM(C197),FIND(" ",TRIM(C197)&amp;" ")-1),",","."),FIND("/",SUBSTITUTE(LEFT(TRIM(C197),FIND(" ",TRIM(C197)&amp;" ")-1),",","."))+1,9))*12,NA()))),0),48)*'Aturan &amp; Tarif'!$B$4,2)</f>
        <v>2725.44</v>
      </c>
      <c r="K197" s="32" t="n">
        <f aca="false">'Aturan &amp; Tarif'!$B$5</f>
        <v>2050</v>
      </c>
      <c r="L197" s="32" t="n">
        <f aca="false">'Aturan &amp; Tarif'!$B$6</f>
        <v>350</v>
      </c>
      <c r="M197" s="35" t="n">
        <f aca="false">I197+J197+K197+L197</f>
        <v>22937.44</v>
      </c>
      <c r="N197" s="37" t="s">
        <v>318</v>
      </c>
    </row>
    <row r="198" customFormat="false" ht="25.5" hidden="false" customHeight="true" outlineLevel="0" collapsed="false">
      <c r="A198" s="29"/>
      <c r="B198" s="30" t="s">
        <v>361</v>
      </c>
      <c r="C198" s="31" t="s">
        <v>191</v>
      </c>
      <c r="D198" s="31" t="s">
        <v>108</v>
      </c>
      <c r="E198" s="32" t="n">
        <v>8906</v>
      </c>
      <c r="F198" s="32"/>
      <c r="G198" s="32"/>
      <c r="H198" s="33" t="n">
        <v>2</v>
      </c>
      <c r="I198" s="34" t="n">
        <f aca="false">E198*H198+N(F198)+N(G198)</f>
        <v>17812</v>
      </c>
      <c r="J198" s="32" t="n">
        <f aca="false">ROUND(IFERROR(ROUND(IF(OR(ISNUMBER(SEARCH("week",C198)),ISNUMBER(SEARCH("minggu",C198))),IFERROR(_xlfn.NUMBERVALUE(SUBSTITUTE(LEFT(TRIM(C198),FIND(" ",TRIM(C198)&amp;" ")-1),",","."),"."),LEFT(SUBSTITUTE(LEFT(TRIM(C198),FIND(" ",TRIM(C198)&amp;" ")-1),",","."),FIND("/",SUBSTITUTE(LEFT(TRIM(C198),FIND(" ",TRIM(C198)&amp;" ")-1),",","."))-1)/MID(SUBSTITUTE(LEFT(TRIM(C198),FIND(" ",TRIM(C198)&amp;" ")-1),",","."),FIND("/",SUBSTITUTE(LEFT(TRIM(C198),FIND(" ",TRIM(C198)&amp;" ")-1),",","."))+1,9))*12/52,IF(ISNUMBER(SEARCH("month",C198)),IFERROR(_xlfn.NUMBERVALUE(SUBSTITUTE(LEFT(TRIM(C198),FIND(" ",TRIM(C198)&amp;" ")-1),",","."),"."),LEFT(SUBSTITUTE(LEFT(TRIM(C198),FIND(" ",TRIM(C198)&amp;" ")-1),",","."),FIND("/",SUBSTITUTE(LEFT(TRIM(C198),FIND(" ",TRIM(C198)&amp;" ")-1),",","."))-1)/MID(SUBSTITUTE(LEFT(TRIM(C198),FIND(" ",TRIM(C198)&amp;" ")-1),",","."),FIND("/",SUBSTITUTE(LEFT(TRIM(C198),FIND(" ",TRIM(C198)&amp;" ")-1),",","."))+1,9)),IF(ISNUMBER(SEARCH("yea",C198)),IFERROR(_xlfn.NUMBERVALUE(SUBSTITUTE(LEFT(TRIM(C198),FIND(" ",TRIM(C198)&amp;" ")-1),",","."),"."),LEFT(SUBSTITUTE(LEFT(TRIM(C198),FIND(" ",TRIM(C198)&amp;" ")-1),",","."),FIND("/",SUBSTITUTE(LEFT(TRIM(C198),FIND(" ",TRIM(C198)&amp;" ")-1),",","."))-1)/MID(SUBSTITUTE(LEFT(TRIM(C198),FIND(" ",TRIM(C198)&amp;" ")-1),",","."),FIND("/",SUBSTITUTE(LEFT(TRIM(C198),FIND(" ",TRIM(C198)&amp;" ")-1),",","."))+1,9))*12,NA()))),0),48)*'Aturan &amp; Tarif'!$B$4,2)</f>
        <v>2725.44</v>
      </c>
      <c r="K198" s="32" t="n">
        <f aca="false">'Aturan &amp; Tarif'!$B$5</f>
        <v>2050</v>
      </c>
      <c r="L198" s="32" t="n">
        <f aca="false">'Aturan &amp; Tarif'!$B$6</f>
        <v>350</v>
      </c>
      <c r="M198" s="35" t="n">
        <f aca="false">I198+J198+K198+L198</f>
        <v>22937.44</v>
      </c>
      <c r="N198" s="37" t="s">
        <v>318</v>
      </c>
    </row>
    <row r="199" customFormat="false" ht="14.25" hidden="false" customHeight="true" outlineLevel="0" collapsed="false">
      <c r="A199" s="29"/>
      <c r="B199" s="30" t="s">
        <v>362</v>
      </c>
      <c r="C199" s="31" t="s">
        <v>191</v>
      </c>
      <c r="D199" s="31" t="s">
        <v>108</v>
      </c>
      <c r="E199" s="32" t="n">
        <v>8906</v>
      </c>
      <c r="F199" s="32"/>
      <c r="G199" s="32"/>
      <c r="H199" s="33" t="n">
        <v>2</v>
      </c>
      <c r="I199" s="34" t="n">
        <f aca="false">E199*H199+N(F199)+N(G199)</f>
        <v>17812</v>
      </c>
      <c r="J199" s="32" t="n">
        <f aca="false">ROUND(IFERROR(ROUND(IF(OR(ISNUMBER(SEARCH("week",C199)),ISNUMBER(SEARCH("minggu",C199))),IFERROR(_xlfn.NUMBERVALUE(SUBSTITUTE(LEFT(TRIM(C199),FIND(" ",TRIM(C199)&amp;" ")-1),",","."),"."),LEFT(SUBSTITUTE(LEFT(TRIM(C199),FIND(" ",TRIM(C199)&amp;" ")-1),",","."),FIND("/",SUBSTITUTE(LEFT(TRIM(C199),FIND(" ",TRIM(C199)&amp;" ")-1),",","."))-1)/MID(SUBSTITUTE(LEFT(TRIM(C199),FIND(" ",TRIM(C199)&amp;" ")-1),",","."),FIND("/",SUBSTITUTE(LEFT(TRIM(C199),FIND(" ",TRIM(C199)&amp;" ")-1),",","."))+1,9))*12/52,IF(ISNUMBER(SEARCH("month",C199)),IFERROR(_xlfn.NUMBERVALUE(SUBSTITUTE(LEFT(TRIM(C199),FIND(" ",TRIM(C199)&amp;" ")-1),",","."),"."),LEFT(SUBSTITUTE(LEFT(TRIM(C199),FIND(" ",TRIM(C199)&amp;" ")-1),",","."),FIND("/",SUBSTITUTE(LEFT(TRIM(C199),FIND(" ",TRIM(C199)&amp;" ")-1),",","."))-1)/MID(SUBSTITUTE(LEFT(TRIM(C199),FIND(" ",TRIM(C199)&amp;" ")-1),",","."),FIND("/",SUBSTITUTE(LEFT(TRIM(C199),FIND(" ",TRIM(C199)&amp;" ")-1),",","."))+1,9)),IF(ISNUMBER(SEARCH("yea",C199)),IFERROR(_xlfn.NUMBERVALUE(SUBSTITUTE(LEFT(TRIM(C199),FIND(" ",TRIM(C199)&amp;" ")-1),",","."),"."),LEFT(SUBSTITUTE(LEFT(TRIM(C199),FIND(" ",TRIM(C199)&amp;" ")-1),",","."),FIND("/",SUBSTITUTE(LEFT(TRIM(C199),FIND(" ",TRIM(C199)&amp;" ")-1),",","."))-1)/MID(SUBSTITUTE(LEFT(TRIM(C199),FIND(" ",TRIM(C199)&amp;" ")-1),",","."),FIND("/",SUBSTITUTE(LEFT(TRIM(C199),FIND(" ",TRIM(C199)&amp;" ")-1),",","."))+1,9))*12,NA()))),0),48)*'Aturan &amp; Tarif'!$B$4,2)</f>
        <v>2725.44</v>
      </c>
      <c r="K199" s="32" t="n">
        <f aca="false">'Aturan &amp; Tarif'!$B$5</f>
        <v>2050</v>
      </c>
      <c r="L199" s="32" t="n">
        <f aca="false">'Aturan &amp; Tarif'!$B$6</f>
        <v>350</v>
      </c>
      <c r="M199" s="35" t="n">
        <f aca="false">I199+J199+K199+L199</f>
        <v>22937.44</v>
      </c>
      <c r="N199" s="37" t="s">
        <v>318</v>
      </c>
    </row>
    <row r="200" customFormat="false" ht="14.25" hidden="false" customHeight="true" outlineLevel="0" collapsed="false">
      <c r="A200" s="29"/>
      <c r="B200" s="30" t="s">
        <v>363</v>
      </c>
      <c r="C200" s="31" t="s">
        <v>191</v>
      </c>
      <c r="D200" s="31" t="s">
        <v>108</v>
      </c>
      <c r="E200" s="32" t="n">
        <v>8906</v>
      </c>
      <c r="F200" s="32"/>
      <c r="G200" s="32"/>
      <c r="H200" s="33" t="n">
        <v>2</v>
      </c>
      <c r="I200" s="34" t="n">
        <f aca="false">E200*H200+N(F200)+N(G200)</f>
        <v>17812</v>
      </c>
      <c r="J200" s="32" t="n">
        <f aca="false">ROUND(IFERROR(ROUND(IF(OR(ISNUMBER(SEARCH("week",C200)),ISNUMBER(SEARCH("minggu",C200))),IFERROR(_xlfn.NUMBERVALUE(SUBSTITUTE(LEFT(TRIM(C200),FIND(" ",TRIM(C200)&amp;" ")-1),",","."),"."),LEFT(SUBSTITUTE(LEFT(TRIM(C200),FIND(" ",TRIM(C200)&amp;" ")-1),",","."),FIND("/",SUBSTITUTE(LEFT(TRIM(C200),FIND(" ",TRIM(C200)&amp;" ")-1),",","."))-1)/MID(SUBSTITUTE(LEFT(TRIM(C200),FIND(" ",TRIM(C200)&amp;" ")-1),",","."),FIND("/",SUBSTITUTE(LEFT(TRIM(C200),FIND(" ",TRIM(C200)&amp;" ")-1),",","."))+1,9))*12/52,IF(ISNUMBER(SEARCH("month",C200)),IFERROR(_xlfn.NUMBERVALUE(SUBSTITUTE(LEFT(TRIM(C200),FIND(" ",TRIM(C200)&amp;" ")-1),",","."),"."),LEFT(SUBSTITUTE(LEFT(TRIM(C200),FIND(" ",TRIM(C200)&amp;" ")-1),",","."),FIND("/",SUBSTITUTE(LEFT(TRIM(C200),FIND(" ",TRIM(C200)&amp;" ")-1),",","."))-1)/MID(SUBSTITUTE(LEFT(TRIM(C200),FIND(" ",TRIM(C200)&amp;" ")-1),",","."),FIND("/",SUBSTITUTE(LEFT(TRIM(C200),FIND(" ",TRIM(C200)&amp;" ")-1),",","."))+1,9)),IF(ISNUMBER(SEARCH("yea",C200)),IFERROR(_xlfn.NUMBERVALUE(SUBSTITUTE(LEFT(TRIM(C200),FIND(" ",TRIM(C200)&amp;" ")-1),",","."),"."),LEFT(SUBSTITUTE(LEFT(TRIM(C200),FIND(" ",TRIM(C200)&amp;" ")-1),",","."),FIND("/",SUBSTITUTE(LEFT(TRIM(C200),FIND(" ",TRIM(C200)&amp;" ")-1),",","."))-1)/MID(SUBSTITUTE(LEFT(TRIM(C200),FIND(" ",TRIM(C200)&amp;" ")-1),",","."),FIND("/",SUBSTITUTE(LEFT(TRIM(C200),FIND(" ",TRIM(C200)&amp;" ")-1),",","."))+1,9))*12,NA()))),0),48)*'Aturan &amp; Tarif'!$B$4,2)</f>
        <v>2725.44</v>
      </c>
      <c r="K200" s="32" t="n">
        <f aca="false">'Aturan &amp; Tarif'!$B$5</f>
        <v>2050</v>
      </c>
      <c r="L200" s="32" t="n">
        <f aca="false">'Aturan &amp; Tarif'!$B$6</f>
        <v>350</v>
      </c>
      <c r="M200" s="35" t="n">
        <f aca="false">I200+J200+K200+L200</f>
        <v>22937.44</v>
      </c>
      <c r="N200" s="37" t="s">
        <v>318</v>
      </c>
    </row>
    <row r="201" customFormat="false" ht="14.25" hidden="false" customHeight="true" outlineLevel="0" collapsed="false">
      <c r="A201" s="29"/>
      <c r="B201" s="30" t="s">
        <v>364</v>
      </c>
      <c r="C201" s="31" t="s">
        <v>191</v>
      </c>
      <c r="D201" s="31" t="s">
        <v>108</v>
      </c>
      <c r="E201" s="32" t="n">
        <v>8906</v>
      </c>
      <c r="F201" s="32"/>
      <c r="G201" s="32"/>
      <c r="H201" s="33" t="n">
        <v>2</v>
      </c>
      <c r="I201" s="34" t="n">
        <f aca="false">E201*H201+N(F201)+N(G201)</f>
        <v>17812</v>
      </c>
      <c r="J201" s="32" t="n">
        <f aca="false">ROUND(IFERROR(ROUND(IF(OR(ISNUMBER(SEARCH("week",C201)),ISNUMBER(SEARCH("minggu",C201))),IFERROR(_xlfn.NUMBERVALUE(SUBSTITUTE(LEFT(TRIM(C201),FIND(" ",TRIM(C201)&amp;" ")-1),",","."),"."),LEFT(SUBSTITUTE(LEFT(TRIM(C201),FIND(" ",TRIM(C201)&amp;" ")-1),",","."),FIND("/",SUBSTITUTE(LEFT(TRIM(C201),FIND(" ",TRIM(C201)&amp;" ")-1),",","."))-1)/MID(SUBSTITUTE(LEFT(TRIM(C201),FIND(" ",TRIM(C201)&amp;" ")-1),",","."),FIND("/",SUBSTITUTE(LEFT(TRIM(C201),FIND(" ",TRIM(C201)&amp;" ")-1),",","."))+1,9))*12/52,IF(ISNUMBER(SEARCH("month",C201)),IFERROR(_xlfn.NUMBERVALUE(SUBSTITUTE(LEFT(TRIM(C201),FIND(" ",TRIM(C201)&amp;" ")-1),",","."),"."),LEFT(SUBSTITUTE(LEFT(TRIM(C201),FIND(" ",TRIM(C201)&amp;" ")-1),",","."),FIND("/",SUBSTITUTE(LEFT(TRIM(C201),FIND(" ",TRIM(C201)&amp;" ")-1),",","."))-1)/MID(SUBSTITUTE(LEFT(TRIM(C201),FIND(" ",TRIM(C201)&amp;" ")-1),",","."),FIND("/",SUBSTITUTE(LEFT(TRIM(C201),FIND(" ",TRIM(C201)&amp;" ")-1),",","."))+1,9)),IF(ISNUMBER(SEARCH("yea",C201)),IFERROR(_xlfn.NUMBERVALUE(SUBSTITUTE(LEFT(TRIM(C201),FIND(" ",TRIM(C201)&amp;" ")-1),",","."),"."),LEFT(SUBSTITUTE(LEFT(TRIM(C201),FIND(" ",TRIM(C201)&amp;" ")-1),",","."),FIND("/",SUBSTITUTE(LEFT(TRIM(C201),FIND(" ",TRIM(C201)&amp;" ")-1),",","."))-1)/MID(SUBSTITUTE(LEFT(TRIM(C201),FIND(" ",TRIM(C201)&amp;" ")-1),",","."),FIND("/",SUBSTITUTE(LEFT(TRIM(C201),FIND(" ",TRIM(C201)&amp;" ")-1),",","."))+1,9))*12,NA()))),0),48)*'Aturan &amp; Tarif'!$B$4,2)</f>
        <v>2725.44</v>
      </c>
      <c r="K201" s="32" t="n">
        <f aca="false">'Aturan &amp; Tarif'!$B$5</f>
        <v>2050</v>
      </c>
      <c r="L201" s="32" t="n">
        <f aca="false">'Aturan &amp; Tarif'!$B$6</f>
        <v>350</v>
      </c>
      <c r="M201" s="35" t="n">
        <f aca="false">I201+J201+K201+L201</f>
        <v>22937.44</v>
      </c>
      <c r="N201" s="37" t="s">
        <v>318</v>
      </c>
    </row>
    <row r="202" customFormat="false" ht="25.5" hidden="false" customHeight="true" outlineLevel="0" collapsed="false">
      <c r="A202" s="29"/>
      <c r="B202" s="30" t="s">
        <v>365</v>
      </c>
      <c r="C202" s="31" t="s">
        <v>191</v>
      </c>
      <c r="D202" s="31" t="s">
        <v>108</v>
      </c>
      <c r="E202" s="32" t="n">
        <v>8906</v>
      </c>
      <c r="F202" s="32"/>
      <c r="G202" s="32"/>
      <c r="H202" s="33" t="n">
        <v>2</v>
      </c>
      <c r="I202" s="34" t="n">
        <f aca="false">E202*H202+N(F202)+N(G202)</f>
        <v>17812</v>
      </c>
      <c r="J202" s="32" t="n">
        <f aca="false">ROUND(IFERROR(ROUND(IF(OR(ISNUMBER(SEARCH("week",C202)),ISNUMBER(SEARCH("minggu",C202))),IFERROR(_xlfn.NUMBERVALUE(SUBSTITUTE(LEFT(TRIM(C202),FIND(" ",TRIM(C202)&amp;" ")-1),",","."),"."),LEFT(SUBSTITUTE(LEFT(TRIM(C202),FIND(" ",TRIM(C202)&amp;" ")-1),",","."),FIND("/",SUBSTITUTE(LEFT(TRIM(C202),FIND(" ",TRIM(C202)&amp;" ")-1),",","."))-1)/MID(SUBSTITUTE(LEFT(TRIM(C202),FIND(" ",TRIM(C202)&amp;" ")-1),",","."),FIND("/",SUBSTITUTE(LEFT(TRIM(C202),FIND(" ",TRIM(C202)&amp;" ")-1),",","."))+1,9))*12/52,IF(ISNUMBER(SEARCH("month",C202)),IFERROR(_xlfn.NUMBERVALUE(SUBSTITUTE(LEFT(TRIM(C202),FIND(" ",TRIM(C202)&amp;" ")-1),",","."),"."),LEFT(SUBSTITUTE(LEFT(TRIM(C202),FIND(" ",TRIM(C202)&amp;" ")-1),",","."),FIND("/",SUBSTITUTE(LEFT(TRIM(C202),FIND(" ",TRIM(C202)&amp;" ")-1),",","."))-1)/MID(SUBSTITUTE(LEFT(TRIM(C202),FIND(" ",TRIM(C202)&amp;" ")-1),",","."),FIND("/",SUBSTITUTE(LEFT(TRIM(C202),FIND(" ",TRIM(C202)&amp;" ")-1),",","."))+1,9)),IF(ISNUMBER(SEARCH("yea",C202)),IFERROR(_xlfn.NUMBERVALUE(SUBSTITUTE(LEFT(TRIM(C202),FIND(" ",TRIM(C202)&amp;" ")-1),",","."),"."),LEFT(SUBSTITUTE(LEFT(TRIM(C202),FIND(" ",TRIM(C202)&amp;" ")-1),",","."),FIND("/",SUBSTITUTE(LEFT(TRIM(C202),FIND(" ",TRIM(C202)&amp;" ")-1),",","."))-1)/MID(SUBSTITUTE(LEFT(TRIM(C202),FIND(" ",TRIM(C202)&amp;" ")-1),",","."),FIND("/",SUBSTITUTE(LEFT(TRIM(C202),FIND(" ",TRIM(C202)&amp;" ")-1),",","."))+1,9))*12,NA()))),0),48)*'Aturan &amp; Tarif'!$B$4,2)</f>
        <v>2725.44</v>
      </c>
      <c r="K202" s="32" t="n">
        <f aca="false">'Aturan &amp; Tarif'!$B$5</f>
        <v>2050</v>
      </c>
      <c r="L202" s="32" t="n">
        <f aca="false">'Aturan &amp; Tarif'!$B$6</f>
        <v>350</v>
      </c>
      <c r="M202" s="35" t="n">
        <f aca="false">I202+J202+K202+L202</f>
        <v>22937.44</v>
      </c>
      <c r="N202" s="37" t="s">
        <v>318</v>
      </c>
    </row>
    <row r="203" customFormat="false" ht="25.5" hidden="false" customHeight="true" outlineLevel="0" collapsed="false">
      <c r="A203" s="29"/>
      <c r="B203" s="30" t="s">
        <v>366</v>
      </c>
      <c r="C203" s="31" t="s">
        <v>191</v>
      </c>
      <c r="D203" s="31" t="s">
        <v>108</v>
      </c>
      <c r="E203" s="32" t="n">
        <v>8906</v>
      </c>
      <c r="F203" s="32"/>
      <c r="G203" s="32"/>
      <c r="H203" s="33" t="n">
        <v>2</v>
      </c>
      <c r="I203" s="34" t="n">
        <f aca="false">E203*H203+N(F203)+N(G203)</f>
        <v>17812</v>
      </c>
      <c r="J203" s="32" t="n">
        <f aca="false">ROUND(IFERROR(ROUND(IF(OR(ISNUMBER(SEARCH("week",C203)),ISNUMBER(SEARCH("minggu",C203))),IFERROR(_xlfn.NUMBERVALUE(SUBSTITUTE(LEFT(TRIM(C203),FIND(" ",TRIM(C203)&amp;" ")-1),",","."),"."),LEFT(SUBSTITUTE(LEFT(TRIM(C203),FIND(" ",TRIM(C203)&amp;" ")-1),",","."),FIND("/",SUBSTITUTE(LEFT(TRIM(C203),FIND(" ",TRIM(C203)&amp;" ")-1),",","."))-1)/MID(SUBSTITUTE(LEFT(TRIM(C203),FIND(" ",TRIM(C203)&amp;" ")-1),",","."),FIND("/",SUBSTITUTE(LEFT(TRIM(C203),FIND(" ",TRIM(C203)&amp;" ")-1),",","."))+1,9))*12/52,IF(ISNUMBER(SEARCH("month",C203)),IFERROR(_xlfn.NUMBERVALUE(SUBSTITUTE(LEFT(TRIM(C203),FIND(" ",TRIM(C203)&amp;" ")-1),",","."),"."),LEFT(SUBSTITUTE(LEFT(TRIM(C203),FIND(" ",TRIM(C203)&amp;" ")-1),",","."),FIND("/",SUBSTITUTE(LEFT(TRIM(C203),FIND(" ",TRIM(C203)&amp;" ")-1),",","."))-1)/MID(SUBSTITUTE(LEFT(TRIM(C203),FIND(" ",TRIM(C203)&amp;" ")-1),",","."),FIND("/",SUBSTITUTE(LEFT(TRIM(C203),FIND(" ",TRIM(C203)&amp;" ")-1),",","."))+1,9)),IF(ISNUMBER(SEARCH("yea",C203)),IFERROR(_xlfn.NUMBERVALUE(SUBSTITUTE(LEFT(TRIM(C203),FIND(" ",TRIM(C203)&amp;" ")-1),",","."),"."),LEFT(SUBSTITUTE(LEFT(TRIM(C203),FIND(" ",TRIM(C203)&amp;" ")-1),",","."),FIND("/",SUBSTITUTE(LEFT(TRIM(C203),FIND(" ",TRIM(C203)&amp;" ")-1),",","."))-1)/MID(SUBSTITUTE(LEFT(TRIM(C203),FIND(" ",TRIM(C203)&amp;" ")-1),",","."),FIND("/",SUBSTITUTE(LEFT(TRIM(C203),FIND(" ",TRIM(C203)&amp;" ")-1),",","."))+1,9))*12,NA()))),0),48)*'Aturan &amp; Tarif'!$B$4,2)</f>
        <v>2725.44</v>
      </c>
      <c r="K203" s="32" t="n">
        <f aca="false">'Aturan &amp; Tarif'!$B$5</f>
        <v>2050</v>
      </c>
      <c r="L203" s="32" t="n">
        <f aca="false">'Aturan &amp; Tarif'!$B$6</f>
        <v>350</v>
      </c>
      <c r="M203" s="35" t="n">
        <f aca="false">I203+J203+K203+L203</f>
        <v>22937.44</v>
      </c>
      <c r="N203" s="37" t="s">
        <v>318</v>
      </c>
    </row>
    <row r="204" customFormat="false" ht="14.25" hidden="false" customHeight="true" outlineLevel="0" collapsed="false">
      <c r="A204" s="29"/>
      <c r="B204" s="30" t="s">
        <v>367</v>
      </c>
      <c r="C204" s="31" t="s">
        <v>127</v>
      </c>
      <c r="D204" s="31" t="s">
        <v>108</v>
      </c>
      <c r="E204" s="32" t="n">
        <v>8906</v>
      </c>
      <c r="F204" s="32"/>
      <c r="G204" s="32"/>
      <c r="H204" s="33" t="n">
        <v>2</v>
      </c>
      <c r="I204" s="34" t="n">
        <f aca="false">E204*H204+N(F204)+N(G204)</f>
        <v>17812</v>
      </c>
      <c r="J204" s="32" t="n">
        <f aca="false">ROUND(IFERROR(ROUND(IF(OR(ISNUMBER(SEARCH("week",C204)),ISNUMBER(SEARCH("minggu",C204))),IFERROR(_xlfn.NUMBERVALUE(SUBSTITUTE(LEFT(TRIM(C204),FIND(" ",TRIM(C204)&amp;" ")-1),",","."),"."),LEFT(SUBSTITUTE(LEFT(TRIM(C204),FIND(" ",TRIM(C204)&amp;" ")-1),",","."),FIND("/",SUBSTITUTE(LEFT(TRIM(C204),FIND(" ",TRIM(C204)&amp;" ")-1),",","."))-1)/MID(SUBSTITUTE(LEFT(TRIM(C204),FIND(" ",TRIM(C204)&amp;" ")-1),",","."),FIND("/",SUBSTITUTE(LEFT(TRIM(C204),FIND(" ",TRIM(C204)&amp;" ")-1),",","."))+1,9))*12/52,IF(ISNUMBER(SEARCH("month",C204)),IFERROR(_xlfn.NUMBERVALUE(SUBSTITUTE(LEFT(TRIM(C204),FIND(" ",TRIM(C204)&amp;" ")-1),",","."),"."),LEFT(SUBSTITUTE(LEFT(TRIM(C204),FIND(" ",TRIM(C204)&amp;" ")-1),",","."),FIND("/",SUBSTITUTE(LEFT(TRIM(C204),FIND(" ",TRIM(C204)&amp;" ")-1),",","."))-1)/MID(SUBSTITUTE(LEFT(TRIM(C204),FIND(" ",TRIM(C204)&amp;" ")-1),",","."),FIND("/",SUBSTITUTE(LEFT(TRIM(C204),FIND(" ",TRIM(C204)&amp;" ")-1),",","."))+1,9)),IF(ISNUMBER(SEARCH("yea",C204)),IFERROR(_xlfn.NUMBERVALUE(SUBSTITUTE(LEFT(TRIM(C204),FIND(" ",TRIM(C204)&amp;" ")-1),",","."),"."),LEFT(SUBSTITUTE(LEFT(TRIM(C204),FIND(" ",TRIM(C204)&amp;" ")-1),",","."),FIND("/",SUBSTITUTE(LEFT(TRIM(C204),FIND(" ",TRIM(C204)&amp;" ")-1),",","."))-1)/MID(SUBSTITUTE(LEFT(TRIM(C204),FIND(" ",TRIM(C204)&amp;" ")-1),",","."),FIND("/",SUBSTITUTE(LEFT(TRIM(C204),FIND(" ",TRIM(C204)&amp;" ")-1),",","."))+1,9))*12,NA()))),0),36)*'Aturan &amp; Tarif'!$B$4,2)</f>
        <v>2044.08</v>
      </c>
      <c r="K204" s="32" t="n">
        <f aca="false">'Aturan &amp; Tarif'!$B$5</f>
        <v>2050</v>
      </c>
      <c r="L204" s="32" t="n">
        <f aca="false">'Aturan &amp; Tarif'!$B$6</f>
        <v>350</v>
      </c>
      <c r="M204" s="35" t="n">
        <f aca="false">I204+J204+K204+L204</f>
        <v>22256.08</v>
      </c>
      <c r="N204" s="37" t="s">
        <v>318</v>
      </c>
    </row>
    <row r="205" customFormat="false" ht="14.25" hidden="false" customHeight="true" outlineLevel="0" collapsed="false">
      <c r="A205" s="29"/>
      <c r="B205" s="30" t="s">
        <v>368</v>
      </c>
      <c r="C205" s="31" t="s">
        <v>191</v>
      </c>
      <c r="D205" s="31" t="s">
        <v>108</v>
      </c>
      <c r="E205" s="32" t="n">
        <v>8906</v>
      </c>
      <c r="F205" s="32"/>
      <c r="G205" s="32"/>
      <c r="H205" s="33" t="n">
        <v>2</v>
      </c>
      <c r="I205" s="34" t="n">
        <f aca="false">E205*H205+N(F205)+N(G205)</f>
        <v>17812</v>
      </c>
      <c r="J205" s="32" t="n">
        <f aca="false">ROUND(IFERROR(ROUND(IF(OR(ISNUMBER(SEARCH("week",C205)),ISNUMBER(SEARCH("minggu",C205))),IFERROR(_xlfn.NUMBERVALUE(SUBSTITUTE(LEFT(TRIM(C205),FIND(" ",TRIM(C205)&amp;" ")-1),",","."),"."),LEFT(SUBSTITUTE(LEFT(TRIM(C205),FIND(" ",TRIM(C205)&amp;" ")-1),",","."),FIND("/",SUBSTITUTE(LEFT(TRIM(C205),FIND(" ",TRIM(C205)&amp;" ")-1),",","."))-1)/MID(SUBSTITUTE(LEFT(TRIM(C205),FIND(" ",TRIM(C205)&amp;" ")-1),",","."),FIND("/",SUBSTITUTE(LEFT(TRIM(C205),FIND(" ",TRIM(C205)&amp;" ")-1),",","."))+1,9))*12/52,IF(ISNUMBER(SEARCH("month",C205)),IFERROR(_xlfn.NUMBERVALUE(SUBSTITUTE(LEFT(TRIM(C205),FIND(" ",TRIM(C205)&amp;" ")-1),",","."),"."),LEFT(SUBSTITUTE(LEFT(TRIM(C205),FIND(" ",TRIM(C205)&amp;" ")-1),",","."),FIND("/",SUBSTITUTE(LEFT(TRIM(C205),FIND(" ",TRIM(C205)&amp;" ")-1),",","."))-1)/MID(SUBSTITUTE(LEFT(TRIM(C205),FIND(" ",TRIM(C205)&amp;" ")-1),",","."),FIND("/",SUBSTITUTE(LEFT(TRIM(C205),FIND(" ",TRIM(C205)&amp;" ")-1),",","."))+1,9)),IF(ISNUMBER(SEARCH("yea",C205)),IFERROR(_xlfn.NUMBERVALUE(SUBSTITUTE(LEFT(TRIM(C205),FIND(" ",TRIM(C205)&amp;" ")-1),",","."),"."),LEFT(SUBSTITUTE(LEFT(TRIM(C205),FIND(" ",TRIM(C205)&amp;" ")-1),",","."),FIND("/",SUBSTITUTE(LEFT(TRIM(C205),FIND(" ",TRIM(C205)&amp;" ")-1),",","."))-1)/MID(SUBSTITUTE(LEFT(TRIM(C205),FIND(" ",TRIM(C205)&amp;" ")-1),",","."),FIND("/",SUBSTITUTE(LEFT(TRIM(C205),FIND(" ",TRIM(C205)&amp;" ")-1),",","."))+1,9))*12,NA()))),0),48)*'Aturan &amp; Tarif'!$B$4,2)</f>
        <v>2725.44</v>
      </c>
      <c r="K205" s="32" t="n">
        <f aca="false">'Aturan &amp; Tarif'!$B$5</f>
        <v>2050</v>
      </c>
      <c r="L205" s="32" t="n">
        <f aca="false">'Aturan &amp; Tarif'!$B$6</f>
        <v>350</v>
      </c>
      <c r="M205" s="35" t="n">
        <f aca="false">I205+J205+K205+L205</f>
        <v>22937.44</v>
      </c>
      <c r="N205" s="37" t="s">
        <v>318</v>
      </c>
    </row>
    <row r="206" customFormat="false" ht="25.5" hidden="false" customHeight="true" outlineLevel="0" collapsed="false">
      <c r="A206" s="29"/>
      <c r="B206" s="30" t="s">
        <v>369</v>
      </c>
      <c r="C206" s="31" t="s">
        <v>191</v>
      </c>
      <c r="D206" s="31" t="s">
        <v>108</v>
      </c>
      <c r="E206" s="32" t="n">
        <v>8906</v>
      </c>
      <c r="F206" s="32"/>
      <c r="G206" s="32"/>
      <c r="H206" s="33" t="n">
        <v>2</v>
      </c>
      <c r="I206" s="34" t="n">
        <f aca="false">E206*H206+N(F206)+N(G206)</f>
        <v>17812</v>
      </c>
      <c r="J206" s="32" t="n">
        <f aca="false">ROUND(IFERROR(ROUND(IF(OR(ISNUMBER(SEARCH("week",C206)),ISNUMBER(SEARCH("minggu",C206))),IFERROR(_xlfn.NUMBERVALUE(SUBSTITUTE(LEFT(TRIM(C206),FIND(" ",TRIM(C206)&amp;" ")-1),",","."),"."),LEFT(SUBSTITUTE(LEFT(TRIM(C206),FIND(" ",TRIM(C206)&amp;" ")-1),",","."),FIND("/",SUBSTITUTE(LEFT(TRIM(C206),FIND(" ",TRIM(C206)&amp;" ")-1),",","."))-1)/MID(SUBSTITUTE(LEFT(TRIM(C206),FIND(" ",TRIM(C206)&amp;" ")-1),",","."),FIND("/",SUBSTITUTE(LEFT(TRIM(C206),FIND(" ",TRIM(C206)&amp;" ")-1),",","."))+1,9))*12/52,IF(ISNUMBER(SEARCH("month",C206)),IFERROR(_xlfn.NUMBERVALUE(SUBSTITUTE(LEFT(TRIM(C206),FIND(" ",TRIM(C206)&amp;" ")-1),",","."),"."),LEFT(SUBSTITUTE(LEFT(TRIM(C206),FIND(" ",TRIM(C206)&amp;" ")-1),",","."),FIND("/",SUBSTITUTE(LEFT(TRIM(C206),FIND(" ",TRIM(C206)&amp;" ")-1),",","."))-1)/MID(SUBSTITUTE(LEFT(TRIM(C206),FIND(" ",TRIM(C206)&amp;" ")-1),",","."),FIND("/",SUBSTITUTE(LEFT(TRIM(C206),FIND(" ",TRIM(C206)&amp;" ")-1),",","."))+1,9)),IF(ISNUMBER(SEARCH("yea",C206)),IFERROR(_xlfn.NUMBERVALUE(SUBSTITUTE(LEFT(TRIM(C206),FIND(" ",TRIM(C206)&amp;" ")-1),",","."),"."),LEFT(SUBSTITUTE(LEFT(TRIM(C206),FIND(" ",TRIM(C206)&amp;" ")-1),",","."),FIND("/",SUBSTITUTE(LEFT(TRIM(C206),FIND(" ",TRIM(C206)&amp;" ")-1),",","."))-1)/MID(SUBSTITUTE(LEFT(TRIM(C206),FIND(" ",TRIM(C206)&amp;" ")-1),",","."),FIND("/",SUBSTITUTE(LEFT(TRIM(C206),FIND(" ",TRIM(C206)&amp;" ")-1),",","."))+1,9))*12,NA()))),0),48)*'Aturan &amp; Tarif'!$B$4,2)</f>
        <v>2725.44</v>
      </c>
      <c r="K206" s="32" t="n">
        <f aca="false">'Aturan &amp; Tarif'!$B$5</f>
        <v>2050</v>
      </c>
      <c r="L206" s="32" t="n">
        <f aca="false">'Aturan &amp; Tarif'!$B$6</f>
        <v>350</v>
      </c>
      <c r="M206" s="35" t="n">
        <f aca="false">I206+J206+K206+L206</f>
        <v>22937.44</v>
      </c>
      <c r="N206" s="37" t="s">
        <v>318</v>
      </c>
    </row>
    <row r="207" customFormat="false" ht="14.25" hidden="false" customHeight="true" outlineLevel="0" collapsed="false">
      <c r="A207" s="29"/>
      <c r="B207" s="30" t="s">
        <v>370</v>
      </c>
      <c r="C207" s="31" t="s">
        <v>191</v>
      </c>
      <c r="D207" s="31" t="s">
        <v>108</v>
      </c>
      <c r="E207" s="32" t="n">
        <v>8906</v>
      </c>
      <c r="F207" s="32"/>
      <c r="G207" s="32"/>
      <c r="H207" s="33" t="n">
        <v>2</v>
      </c>
      <c r="I207" s="34" t="n">
        <f aca="false">E207*H207+N(F207)+N(G207)</f>
        <v>17812</v>
      </c>
      <c r="J207" s="32" t="n">
        <f aca="false">ROUND(IFERROR(ROUND(IF(OR(ISNUMBER(SEARCH("week",C207)),ISNUMBER(SEARCH("minggu",C207))),IFERROR(_xlfn.NUMBERVALUE(SUBSTITUTE(LEFT(TRIM(C207),FIND(" ",TRIM(C207)&amp;" ")-1),",","."),"."),LEFT(SUBSTITUTE(LEFT(TRIM(C207),FIND(" ",TRIM(C207)&amp;" ")-1),",","."),FIND("/",SUBSTITUTE(LEFT(TRIM(C207),FIND(" ",TRIM(C207)&amp;" ")-1),",","."))-1)/MID(SUBSTITUTE(LEFT(TRIM(C207),FIND(" ",TRIM(C207)&amp;" ")-1),",","."),FIND("/",SUBSTITUTE(LEFT(TRIM(C207),FIND(" ",TRIM(C207)&amp;" ")-1),",","."))+1,9))*12/52,IF(ISNUMBER(SEARCH("month",C207)),IFERROR(_xlfn.NUMBERVALUE(SUBSTITUTE(LEFT(TRIM(C207),FIND(" ",TRIM(C207)&amp;" ")-1),",","."),"."),LEFT(SUBSTITUTE(LEFT(TRIM(C207),FIND(" ",TRIM(C207)&amp;" ")-1),",","."),FIND("/",SUBSTITUTE(LEFT(TRIM(C207),FIND(" ",TRIM(C207)&amp;" ")-1),",","."))-1)/MID(SUBSTITUTE(LEFT(TRIM(C207),FIND(" ",TRIM(C207)&amp;" ")-1),",","."),FIND("/",SUBSTITUTE(LEFT(TRIM(C207),FIND(" ",TRIM(C207)&amp;" ")-1),",","."))+1,9)),IF(ISNUMBER(SEARCH("yea",C207)),IFERROR(_xlfn.NUMBERVALUE(SUBSTITUTE(LEFT(TRIM(C207),FIND(" ",TRIM(C207)&amp;" ")-1),",","."),"."),LEFT(SUBSTITUTE(LEFT(TRIM(C207),FIND(" ",TRIM(C207)&amp;" ")-1),",","."),FIND("/",SUBSTITUTE(LEFT(TRIM(C207),FIND(" ",TRIM(C207)&amp;" ")-1),",","."))-1)/MID(SUBSTITUTE(LEFT(TRIM(C207),FIND(" ",TRIM(C207)&amp;" ")-1),",","."),FIND("/",SUBSTITUTE(LEFT(TRIM(C207),FIND(" ",TRIM(C207)&amp;" ")-1),",","."))+1,9))*12,NA()))),0),48)*'Aturan &amp; Tarif'!$B$4,2)</f>
        <v>2725.44</v>
      </c>
      <c r="K207" s="32" t="n">
        <f aca="false">'Aturan &amp; Tarif'!$B$5</f>
        <v>2050</v>
      </c>
      <c r="L207" s="32" t="n">
        <f aca="false">'Aturan &amp; Tarif'!$B$6</f>
        <v>350</v>
      </c>
      <c r="M207" s="35" t="n">
        <f aca="false">I207+J207+K207+L207</f>
        <v>22937.44</v>
      </c>
      <c r="N207" s="37" t="s">
        <v>318</v>
      </c>
    </row>
    <row r="208" customFormat="false" ht="25.5" hidden="false" customHeight="true" outlineLevel="0" collapsed="false">
      <c r="A208" s="29"/>
      <c r="B208" s="30" t="s">
        <v>371</v>
      </c>
      <c r="C208" s="31" t="s">
        <v>127</v>
      </c>
      <c r="D208" s="31" t="s">
        <v>108</v>
      </c>
      <c r="E208" s="32" t="n">
        <v>8906</v>
      </c>
      <c r="F208" s="32"/>
      <c r="G208" s="32"/>
      <c r="H208" s="33" t="n">
        <v>2</v>
      </c>
      <c r="I208" s="34" t="n">
        <f aca="false">E208*H208+N(F208)+N(G208)</f>
        <v>17812</v>
      </c>
      <c r="J208" s="32" t="n">
        <f aca="false">ROUND(IFERROR(ROUND(IF(OR(ISNUMBER(SEARCH("week",C208)),ISNUMBER(SEARCH("minggu",C208))),IFERROR(_xlfn.NUMBERVALUE(SUBSTITUTE(LEFT(TRIM(C208),FIND(" ",TRIM(C208)&amp;" ")-1),",","."),"."),LEFT(SUBSTITUTE(LEFT(TRIM(C208),FIND(" ",TRIM(C208)&amp;" ")-1),",","."),FIND("/",SUBSTITUTE(LEFT(TRIM(C208),FIND(" ",TRIM(C208)&amp;" ")-1),",","."))-1)/MID(SUBSTITUTE(LEFT(TRIM(C208),FIND(" ",TRIM(C208)&amp;" ")-1),",","."),FIND("/",SUBSTITUTE(LEFT(TRIM(C208),FIND(" ",TRIM(C208)&amp;" ")-1),",","."))+1,9))*12/52,IF(ISNUMBER(SEARCH("month",C208)),IFERROR(_xlfn.NUMBERVALUE(SUBSTITUTE(LEFT(TRIM(C208),FIND(" ",TRIM(C208)&amp;" ")-1),",","."),"."),LEFT(SUBSTITUTE(LEFT(TRIM(C208),FIND(" ",TRIM(C208)&amp;" ")-1),",","."),FIND("/",SUBSTITUTE(LEFT(TRIM(C208),FIND(" ",TRIM(C208)&amp;" ")-1),",","."))-1)/MID(SUBSTITUTE(LEFT(TRIM(C208),FIND(" ",TRIM(C208)&amp;" ")-1),",","."),FIND("/",SUBSTITUTE(LEFT(TRIM(C208),FIND(" ",TRIM(C208)&amp;" ")-1),",","."))+1,9)),IF(ISNUMBER(SEARCH("yea",C208)),IFERROR(_xlfn.NUMBERVALUE(SUBSTITUTE(LEFT(TRIM(C208),FIND(" ",TRIM(C208)&amp;" ")-1),",","."),"."),LEFT(SUBSTITUTE(LEFT(TRIM(C208),FIND(" ",TRIM(C208)&amp;" ")-1),",","."),FIND("/",SUBSTITUTE(LEFT(TRIM(C208),FIND(" ",TRIM(C208)&amp;" ")-1),",","."))-1)/MID(SUBSTITUTE(LEFT(TRIM(C208),FIND(" ",TRIM(C208)&amp;" ")-1),",","."),FIND("/",SUBSTITUTE(LEFT(TRIM(C208),FIND(" ",TRIM(C208)&amp;" ")-1),",","."))+1,9))*12,NA()))),0),36)*'Aturan &amp; Tarif'!$B$4,2)</f>
        <v>2044.08</v>
      </c>
      <c r="K208" s="32" t="n">
        <f aca="false">'Aturan &amp; Tarif'!$B$5</f>
        <v>2050</v>
      </c>
      <c r="L208" s="32" t="n">
        <f aca="false">'Aturan &amp; Tarif'!$B$6</f>
        <v>350</v>
      </c>
      <c r="M208" s="35" t="n">
        <f aca="false">I208+J208+K208+L208</f>
        <v>22256.08</v>
      </c>
      <c r="N208" s="37" t="s">
        <v>318</v>
      </c>
    </row>
    <row r="209" customFormat="false" ht="14.25" hidden="false" customHeight="true" outlineLevel="0" collapsed="false">
      <c r="A209" s="29"/>
      <c r="B209" s="30" t="s">
        <v>372</v>
      </c>
      <c r="C209" s="31" t="s">
        <v>127</v>
      </c>
      <c r="D209" s="31" t="s">
        <v>108</v>
      </c>
      <c r="E209" s="32" t="n">
        <v>8906</v>
      </c>
      <c r="F209" s="32"/>
      <c r="G209" s="32"/>
      <c r="H209" s="33" t="n">
        <v>2</v>
      </c>
      <c r="I209" s="34" t="n">
        <f aca="false">E209*H209+N(F209)+N(G209)</f>
        <v>17812</v>
      </c>
      <c r="J209" s="32" t="n">
        <f aca="false">ROUND(IFERROR(ROUND(IF(OR(ISNUMBER(SEARCH("week",C209)),ISNUMBER(SEARCH("minggu",C209))),IFERROR(_xlfn.NUMBERVALUE(SUBSTITUTE(LEFT(TRIM(C209),FIND(" ",TRIM(C209)&amp;" ")-1),",","."),"."),LEFT(SUBSTITUTE(LEFT(TRIM(C209),FIND(" ",TRIM(C209)&amp;" ")-1),",","."),FIND("/",SUBSTITUTE(LEFT(TRIM(C209),FIND(" ",TRIM(C209)&amp;" ")-1),",","."))-1)/MID(SUBSTITUTE(LEFT(TRIM(C209),FIND(" ",TRIM(C209)&amp;" ")-1),",","."),FIND("/",SUBSTITUTE(LEFT(TRIM(C209),FIND(" ",TRIM(C209)&amp;" ")-1),",","."))+1,9))*12/52,IF(ISNUMBER(SEARCH("month",C209)),IFERROR(_xlfn.NUMBERVALUE(SUBSTITUTE(LEFT(TRIM(C209),FIND(" ",TRIM(C209)&amp;" ")-1),",","."),"."),LEFT(SUBSTITUTE(LEFT(TRIM(C209),FIND(" ",TRIM(C209)&amp;" ")-1),",","."),FIND("/",SUBSTITUTE(LEFT(TRIM(C209),FIND(" ",TRIM(C209)&amp;" ")-1),",","."))-1)/MID(SUBSTITUTE(LEFT(TRIM(C209),FIND(" ",TRIM(C209)&amp;" ")-1),",","."),FIND("/",SUBSTITUTE(LEFT(TRIM(C209),FIND(" ",TRIM(C209)&amp;" ")-1),",","."))+1,9)),IF(ISNUMBER(SEARCH("yea",C209)),IFERROR(_xlfn.NUMBERVALUE(SUBSTITUTE(LEFT(TRIM(C209),FIND(" ",TRIM(C209)&amp;" ")-1),",","."),"."),LEFT(SUBSTITUTE(LEFT(TRIM(C209),FIND(" ",TRIM(C209)&amp;" ")-1),",","."),FIND("/",SUBSTITUTE(LEFT(TRIM(C209),FIND(" ",TRIM(C209)&amp;" ")-1),",","."))-1)/MID(SUBSTITUTE(LEFT(TRIM(C209),FIND(" ",TRIM(C209)&amp;" ")-1),",","."),FIND("/",SUBSTITUTE(LEFT(TRIM(C209),FIND(" ",TRIM(C209)&amp;" ")-1),",","."))+1,9))*12,NA()))),0),36)*'Aturan &amp; Tarif'!$B$4,2)</f>
        <v>2044.08</v>
      </c>
      <c r="K209" s="32" t="n">
        <f aca="false">'Aturan &amp; Tarif'!$B$5</f>
        <v>2050</v>
      </c>
      <c r="L209" s="32" t="n">
        <f aca="false">'Aturan &amp; Tarif'!$B$6</f>
        <v>350</v>
      </c>
      <c r="M209" s="35" t="n">
        <f aca="false">I209+J209+K209+L209</f>
        <v>22256.08</v>
      </c>
      <c r="N209" s="37" t="s">
        <v>318</v>
      </c>
    </row>
    <row r="210" customFormat="false" ht="25.5" hidden="false" customHeight="true" outlineLevel="0" collapsed="false">
      <c r="A210" s="29"/>
      <c r="B210" s="30" t="s">
        <v>373</v>
      </c>
      <c r="C210" s="31" t="s">
        <v>107</v>
      </c>
      <c r="D210" s="31" t="s">
        <v>108</v>
      </c>
      <c r="E210" s="32" t="n">
        <v>8906</v>
      </c>
      <c r="F210" s="32"/>
      <c r="G210" s="32"/>
      <c r="H210" s="33" t="n">
        <v>2</v>
      </c>
      <c r="I210" s="34" t="n">
        <f aca="false">E210*H210+N(F210)+N(G210)</f>
        <v>17812</v>
      </c>
      <c r="J210" s="32" t="n">
        <f aca="false">ROUND(IFERROR(ROUND(IF(OR(ISNUMBER(SEARCH("week",C210)),ISNUMBER(SEARCH("minggu",C210))),IFERROR(_xlfn.NUMBERVALUE(SUBSTITUTE(LEFT(TRIM(C210),FIND(" ",TRIM(C210)&amp;" ")-1),",","."),"."),LEFT(SUBSTITUTE(LEFT(TRIM(C210),FIND(" ",TRIM(C210)&amp;" ")-1),",","."),FIND("/",SUBSTITUTE(LEFT(TRIM(C210),FIND(" ",TRIM(C210)&amp;" ")-1),",","."))-1)/MID(SUBSTITUTE(LEFT(TRIM(C210),FIND(" ",TRIM(C210)&amp;" ")-1),",","."),FIND("/",SUBSTITUTE(LEFT(TRIM(C210),FIND(" ",TRIM(C210)&amp;" ")-1),",","."))+1,9))*12/52,IF(ISNUMBER(SEARCH("month",C210)),IFERROR(_xlfn.NUMBERVALUE(SUBSTITUTE(LEFT(TRIM(C210),FIND(" ",TRIM(C210)&amp;" ")-1),",","."),"."),LEFT(SUBSTITUTE(LEFT(TRIM(C210),FIND(" ",TRIM(C210)&amp;" ")-1),",","."),FIND("/",SUBSTITUTE(LEFT(TRIM(C210),FIND(" ",TRIM(C210)&amp;" ")-1),",","."))-1)/MID(SUBSTITUTE(LEFT(TRIM(C210),FIND(" ",TRIM(C210)&amp;" ")-1),",","."),FIND("/",SUBSTITUTE(LEFT(TRIM(C210),FIND(" ",TRIM(C210)&amp;" ")-1),",","."))+1,9)),IF(ISNUMBER(SEARCH("yea",C210)),IFERROR(_xlfn.NUMBERVALUE(SUBSTITUTE(LEFT(TRIM(C210),FIND(" ",TRIM(C210)&amp;" ")-1),",","."),"."),LEFT(SUBSTITUTE(LEFT(TRIM(C210),FIND(" ",TRIM(C210)&amp;" ")-1),",","."),FIND("/",SUBSTITUTE(LEFT(TRIM(C210),FIND(" ",TRIM(C210)&amp;" ")-1),",","."))-1)/MID(SUBSTITUTE(LEFT(TRIM(C210),FIND(" ",TRIM(C210)&amp;" ")-1),",","."),FIND("/",SUBSTITUTE(LEFT(TRIM(C210),FIND(" ",TRIM(C210)&amp;" ")-1),",","."))+1,9))*12,NA()))),0),24)*'Aturan &amp; Tarif'!$B$4,2)</f>
        <v>1362.72</v>
      </c>
      <c r="K210" s="32" t="n">
        <f aca="false">'Aturan &amp; Tarif'!$B$5</f>
        <v>2050</v>
      </c>
      <c r="L210" s="32" t="n">
        <f aca="false">'Aturan &amp; Tarif'!$B$6</f>
        <v>350</v>
      </c>
      <c r="M210" s="35" t="n">
        <f aca="false">I210+J210+K210+L210</f>
        <v>21574.72</v>
      </c>
      <c r="N210" s="37" t="s">
        <v>318</v>
      </c>
    </row>
    <row r="211" customFormat="false" ht="25.5" hidden="false" customHeight="true" outlineLevel="0" collapsed="false">
      <c r="A211" s="29"/>
      <c r="B211" s="30" t="s">
        <v>374</v>
      </c>
      <c r="C211" s="31" t="s">
        <v>107</v>
      </c>
      <c r="D211" s="31" t="s">
        <v>108</v>
      </c>
      <c r="E211" s="32" t="n">
        <v>8906</v>
      </c>
      <c r="F211" s="32"/>
      <c r="G211" s="32"/>
      <c r="H211" s="33" t="n">
        <v>2</v>
      </c>
      <c r="I211" s="34" t="n">
        <f aca="false">E211*H211+N(F211)+N(G211)</f>
        <v>17812</v>
      </c>
      <c r="J211" s="32" t="n">
        <f aca="false">ROUND(IFERROR(ROUND(IF(OR(ISNUMBER(SEARCH("week",C211)),ISNUMBER(SEARCH("minggu",C211))),IFERROR(_xlfn.NUMBERVALUE(SUBSTITUTE(LEFT(TRIM(C211),FIND(" ",TRIM(C211)&amp;" ")-1),",","."),"."),LEFT(SUBSTITUTE(LEFT(TRIM(C211),FIND(" ",TRIM(C211)&amp;" ")-1),",","."),FIND("/",SUBSTITUTE(LEFT(TRIM(C211),FIND(" ",TRIM(C211)&amp;" ")-1),",","."))-1)/MID(SUBSTITUTE(LEFT(TRIM(C211),FIND(" ",TRIM(C211)&amp;" ")-1),",","."),FIND("/",SUBSTITUTE(LEFT(TRIM(C211),FIND(" ",TRIM(C211)&amp;" ")-1),",","."))+1,9))*12/52,IF(ISNUMBER(SEARCH("month",C211)),IFERROR(_xlfn.NUMBERVALUE(SUBSTITUTE(LEFT(TRIM(C211),FIND(" ",TRIM(C211)&amp;" ")-1),",","."),"."),LEFT(SUBSTITUTE(LEFT(TRIM(C211),FIND(" ",TRIM(C211)&amp;" ")-1),",","."),FIND("/",SUBSTITUTE(LEFT(TRIM(C211),FIND(" ",TRIM(C211)&amp;" ")-1),",","."))-1)/MID(SUBSTITUTE(LEFT(TRIM(C211),FIND(" ",TRIM(C211)&amp;" ")-1),",","."),FIND("/",SUBSTITUTE(LEFT(TRIM(C211),FIND(" ",TRIM(C211)&amp;" ")-1),",","."))+1,9)),IF(ISNUMBER(SEARCH("yea",C211)),IFERROR(_xlfn.NUMBERVALUE(SUBSTITUTE(LEFT(TRIM(C211),FIND(" ",TRIM(C211)&amp;" ")-1),",","."),"."),LEFT(SUBSTITUTE(LEFT(TRIM(C211),FIND(" ",TRIM(C211)&amp;" ")-1),",","."),FIND("/",SUBSTITUTE(LEFT(TRIM(C211),FIND(" ",TRIM(C211)&amp;" ")-1),",","."))-1)/MID(SUBSTITUTE(LEFT(TRIM(C211),FIND(" ",TRIM(C211)&amp;" ")-1),",","."),FIND("/",SUBSTITUTE(LEFT(TRIM(C211),FIND(" ",TRIM(C211)&amp;" ")-1),",","."))+1,9))*12,NA()))),0),24)*'Aturan &amp; Tarif'!$B$4,2)</f>
        <v>1362.72</v>
      </c>
      <c r="K211" s="32" t="n">
        <f aca="false">'Aturan &amp; Tarif'!$B$5</f>
        <v>2050</v>
      </c>
      <c r="L211" s="32" t="n">
        <f aca="false">'Aturan &amp; Tarif'!$B$6</f>
        <v>350</v>
      </c>
      <c r="M211" s="35" t="n">
        <f aca="false">I211+J211+K211+L211</f>
        <v>21574.72</v>
      </c>
      <c r="N211" s="37" t="s">
        <v>318</v>
      </c>
    </row>
    <row r="212" customFormat="false" ht="14.25" hidden="false" customHeight="true" outlineLevel="0" collapsed="false">
      <c r="A212" s="29"/>
      <c r="B212" s="30" t="s">
        <v>375</v>
      </c>
      <c r="C212" s="31" t="s">
        <v>107</v>
      </c>
      <c r="D212" s="31" t="s">
        <v>108</v>
      </c>
      <c r="E212" s="32" t="n">
        <v>8906</v>
      </c>
      <c r="F212" s="32"/>
      <c r="G212" s="32"/>
      <c r="H212" s="33" t="n">
        <v>2</v>
      </c>
      <c r="I212" s="34" t="n">
        <f aca="false">E212*H212+N(F212)+N(G212)</f>
        <v>17812</v>
      </c>
      <c r="J212" s="32" t="n">
        <f aca="false">ROUND(IFERROR(ROUND(IF(OR(ISNUMBER(SEARCH("week",C212)),ISNUMBER(SEARCH("minggu",C212))),IFERROR(_xlfn.NUMBERVALUE(SUBSTITUTE(LEFT(TRIM(C212),FIND(" ",TRIM(C212)&amp;" ")-1),",","."),"."),LEFT(SUBSTITUTE(LEFT(TRIM(C212),FIND(" ",TRIM(C212)&amp;" ")-1),",","."),FIND("/",SUBSTITUTE(LEFT(TRIM(C212),FIND(" ",TRIM(C212)&amp;" ")-1),",","."))-1)/MID(SUBSTITUTE(LEFT(TRIM(C212),FIND(" ",TRIM(C212)&amp;" ")-1),",","."),FIND("/",SUBSTITUTE(LEFT(TRIM(C212),FIND(" ",TRIM(C212)&amp;" ")-1),",","."))+1,9))*12/52,IF(ISNUMBER(SEARCH("month",C212)),IFERROR(_xlfn.NUMBERVALUE(SUBSTITUTE(LEFT(TRIM(C212),FIND(" ",TRIM(C212)&amp;" ")-1),",","."),"."),LEFT(SUBSTITUTE(LEFT(TRIM(C212),FIND(" ",TRIM(C212)&amp;" ")-1),",","."),FIND("/",SUBSTITUTE(LEFT(TRIM(C212),FIND(" ",TRIM(C212)&amp;" ")-1),",","."))-1)/MID(SUBSTITUTE(LEFT(TRIM(C212),FIND(" ",TRIM(C212)&amp;" ")-1),",","."),FIND("/",SUBSTITUTE(LEFT(TRIM(C212),FIND(" ",TRIM(C212)&amp;" ")-1),",","."))+1,9)),IF(ISNUMBER(SEARCH("yea",C212)),IFERROR(_xlfn.NUMBERVALUE(SUBSTITUTE(LEFT(TRIM(C212),FIND(" ",TRIM(C212)&amp;" ")-1),",","."),"."),LEFT(SUBSTITUTE(LEFT(TRIM(C212),FIND(" ",TRIM(C212)&amp;" ")-1),",","."),FIND("/",SUBSTITUTE(LEFT(TRIM(C212),FIND(" ",TRIM(C212)&amp;" ")-1),",","."))-1)/MID(SUBSTITUTE(LEFT(TRIM(C212),FIND(" ",TRIM(C212)&amp;" ")-1),",","."),FIND("/",SUBSTITUTE(LEFT(TRIM(C212),FIND(" ",TRIM(C212)&amp;" ")-1),",","."))+1,9))*12,NA()))),0),24)*'Aturan &amp; Tarif'!$B$4,2)</f>
        <v>1362.72</v>
      </c>
      <c r="K212" s="32" t="n">
        <f aca="false">'Aturan &amp; Tarif'!$B$5</f>
        <v>2050</v>
      </c>
      <c r="L212" s="32" t="n">
        <f aca="false">'Aturan &amp; Tarif'!$B$6</f>
        <v>350</v>
      </c>
      <c r="M212" s="35" t="n">
        <f aca="false">I212+J212+K212+L212</f>
        <v>21574.72</v>
      </c>
      <c r="N212" s="37" t="s">
        <v>318</v>
      </c>
    </row>
    <row r="213" customFormat="false" ht="14.25" hidden="false" customHeight="true" outlineLevel="0" collapsed="false">
      <c r="A213" s="29"/>
      <c r="B213" s="30" t="s">
        <v>376</v>
      </c>
      <c r="C213" s="31" t="s">
        <v>107</v>
      </c>
      <c r="D213" s="31" t="s">
        <v>108</v>
      </c>
      <c r="E213" s="32" t="n">
        <v>8906</v>
      </c>
      <c r="F213" s="32"/>
      <c r="G213" s="32"/>
      <c r="H213" s="33" t="n">
        <v>2</v>
      </c>
      <c r="I213" s="34" t="n">
        <f aca="false">E213*H213+N(F213)+N(G213)</f>
        <v>17812</v>
      </c>
      <c r="J213" s="32" t="n">
        <f aca="false">ROUND(IFERROR(ROUND(IF(OR(ISNUMBER(SEARCH("week",C213)),ISNUMBER(SEARCH("minggu",C213))),IFERROR(_xlfn.NUMBERVALUE(SUBSTITUTE(LEFT(TRIM(C213),FIND(" ",TRIM(C213)&amp;" ")-1),",","."),"."),LEFT(SUBSTITUTE(LEFT(TRIM(C213),FIND(" ",TRIM(C213)&amp;" ")-1),",","."),FIND("/",SUBSTITUTE(LEFT(TRIM(C213),FIND(" ",TRIM(C213)&amp;" ")-1),",","."))-1)/MID(SUBSTITUTE(LEFT(TRIM(C213),FIND(" ",TRIM(C213)&amp;" ")-1),",","."),FIND("/",SUBSTITUTE(LEFT(TRIM(C213),FIND(" ",TRIM(C213)&amp;" ")-1),",","."))+1,9))*12/52,IF(ISNUMBER(SEARCH("month",C213)),IFERROR(_xlfn.NUMBERVALUE(SUBSTITUTE(LEFT(TRIM(C213),FIND(" ",TRIM(C213)&amp;" ")-1),",","."),"."),LEFT(SUBSTITUTE(LEFT(TRIM(C213),FIND(" ",TRIM(C213)&amp;" ")-1),",","."),FIND("/",SUBSTITUTE(LEFT(TRIM(C213),FIND(" ",TRIM(C213)&amp;" ")-1),",","."))-1)/MID(SUBSTITUTE(LEFT(TRIM(C213),FIND(" ",TRIM(C213)&amp;" ")-1),",","."),FIND("/",SUBSTITUTE(LEFT(TRIM(C213),FIND(" ",TRIM(C213)&amp;" ")-1),",","."))+1,9)),IF(ISNUMBER(SEARCH("yea",C213)),IFERROR(_xlfn.NUMBERVALUE(SUBSTITUTE(LEFT(TRIM(C213),FIND(" ",TRIM(C213)&amp;" ")-1),",","."),"."),LEFT(SUBSTITUTE(LEFT(TRIM(C213),FIND(" ",TRIM(C213)&amp;" ")-1),",","."),FIND("/",SUBSTITUTE(LEFT(TRIM(C213),FIND(" ",TRIM(C213)&amp;" ")-1),",","."))-1)/MID(SUBSTITUTE(LEFT(TRIM(C213),FIND(" ",TRIM(C213)&amp;" ")-1),",","."),FIND("/",SUBSTITUTE(LEFT(TRIM(C213),FIND(" ",TRIM(C213)&amp;" ")-1),",","."))+1,9))*12,NA()))),0),24)*'Aturan &amp; Tarif'!$B$4,2)</f>
        <v>1362.72</v>
      </c>
      <c r="K213" s="32" t="n">
        <f aca="false">'Aturan &amp; Tarif'!$B$5</f>
        <v>2050</v>
      </c>
      <c r="L213" s="32" t="n">
        <f aca="false">'Aturan &amp; Tarif'!$B$6</f>
        <v>350</v>
      </c>
      <c r="M213" s="35" t="n">
        <f aca="false">I213+J213+K213+L213</f>
        <v>21574.72</v>
      </c>
      <c r="N213" s="37" t="s">
        <v>318</v>
      </c>
    </row>
    <row r="214" customFormat="false" ht="14.25" hidden="false" customHeight="true" outlineLevel="0" collapsed="false">
      <c r="A214" s="29"/>
      <c r="B214" s="30" t="s">
        <v>377</v>
      </c>
      <c r="C214" s="31" t="s">
        <v>107</v>
      </c>
      <c r="D214" s="31" t="s">
        <v>108</v>
      </c>
      <c r="E214" s="32" t="n">
        <v>8906</v>
      </c>
      <c r="F214" s="32"/>
      <c r="G214" s="32"/>
      <c r="H214" s="33" t="n">
        <v>2</v>
      </c>
      <c r="I214" s="34" t="n">
        <f aca="false">E214*H214+N(F214)+N(G214)</f>
        <v>17812</v>
      </c>
      <c r="J214" s="32" t="n">
        <f aca="false">ROUND(IFERROR(ROUND(IF(OR(ISNUMBER(SEARCH("week",C214)),ISNUMBER(SEARCH("minggu",C214))),IFERROR(_xlfn.NUMBERVALUE(SUBSTITUTE(LEFT(TRIM(C214),FIND(" ",TRIM(C214)&amp;" ")-1),",","."),"."),LEFT(SUBSTITUTE(LEFT(TRIM(C214),FIND(" ",TRIM(C214)&amp;" ")-1),",","."),FIND("/",SUBSTITUTE(LEFT(TRIM(C214),FIND(" ",TRIM(C214)&amp;" ")-1),",","."))-1)/MID(SUBSTITUTE(LEFT(TRIM(C214),FIND(" ",TRIM(C214)&amp;" ")-1),",","."),FIND("/",SUBSTITUTE(LEFT(TRIM(C214),FIND(" ",TRIM(C214)&amp;" ")-1),",","."))+1,9))*12/52,IF(ISNUMBER(SEARCH("month",C214)),IFERROR(_xlfn.NUMBERVALUE(SUBSTITUTE(LEFT(TRIM(C214),FIND(" ",TRIM(C214)&amp;" ")-1),",","."),"."),LEFT(SUBSTITUTE(LEFT(TRIM(C214),FIND(" ",TRIM(C214)&amp;" ")-1),",","."),FIND("/",SUBSTITUTE(LEFT(TRIM(C214),FIND(" ",TRIM(C214)&amp;" ")-1),",","."))-1)/MID(SUBSTITUTE(LEFT(TRIM(C214),FIND(" ",TRIM(C214)&amp;" ")-1),",","."),FIND("/",SUBSTITUTE(LEFT(TRIM(C214),FIND(" ",TRIM(C214)&amp;" ")-1),",","."))+1,9)),IF(ISNUMBER(SEARCH("yea",C214)),IFERROR(_xlfn.NUMBERVALUE(SUBSTITUTE(LEFT(TRIM(C214),FIND(" ",TRIM(C214)&amp;" ")-1),",","."),"."),LEFT(SUBSTITUTE(LEFT(TRIM(C214),FIND(" ",TRIM(C214)&amp;" ")-1),",","."),FIND("/",SUBSTITUTE(LEFT(TRIM(C214),FIND(" ",TRIM(C214)&amp;" ")-1),",","."))-1)/MID(SUBSTITUTE(LEFT(TRIM(C214),FIND(" ",TRIM(C214)&amp;" ")-1),",","."),FIND("/",SUBSTITUTE(LEFT(TRIM(C214),FIND(" ",TRIM(C214)&amp;" ")-1),",","."))+1,9))*12,NA()))),0),24)*'Aturan &amp; Tarif'!$B$4,2)</f>
        <v>1362.72</v>
      </c>
      <c r="K214" s="32" t="n">
        <f aca="false">'Aturan &amp; Tarif'!$B$5</f>
        <v>2050</v>
      </c>
      <c r="L214" s="32" t="n">
        <f aca="false">'Aturan &amp; Tarif'!$B$6</f>
        <v>350</v>
      </c>
      <c r="M214" s="35" t="n">
        <f aca="false">I214+J214+K214+L214</f>
        <v>21574.72</v>
      </c>
      <c r="N214" s="37" t="s">
        <v>318</v>
      </c>
    </row>
    <row r="215" customFormat="false" ht="14.25" hidden="false" customHeight="true" outlineLevel="0" collapsed="false">
      <c r="A215" s="29"/>
      <c r="B215" s="30" t="s">
        <v>378</v>
      </c>
      <c r="C215" s="31" t="s">
        <v>107</v>
      </c>
      <c r="D215" s="31" t="s">
        <v>108</v>
      </c>
      <c r="E215" s="32" t="n">
        <v>8906</v>
      </c>
      <c r="F215" s="32"/>
      <c r="G215" s="32"/>
      <c r="H215" s="33" t="n">
        <v>2</v>
      </c>
      <c r="I215" s="34" t="n">
        <f aca="false">E215*H215+N(F215)+N(G215)</f>
        <v>17812</v>
      </c>
      <c r="J215" s="32" t="n">
        <f aca="false">ROUND(IFERROR(ROUND(IF(OR(ISNUMBER(SEARCH("week",C215)),ISNUMBER(SEARCH("minggu",C215))),IFERROR(_xlfn.NUMBERVALUE(SUBSTITUTE(LEFT(TRIM(C215),FIND(" ",TRIM(C215)&amp;" ")-1),",","."),"."),LEFT(SUBSTITUTE(LEFT(TRIM(C215),FIND(" ",TRIM(C215)&amp;" ")-1),",","."),FIND("/",SUBSTITUTE(LEFT(TRIM(C215),FIND(" ",TRIM(C215)&amp;" ")-1),",","."))-1)/MID(SUBSTITUTE(LEFT(TRIM(C215),FIND(" ",TRIM(C215)&amp;" ")-1),",","."),FIND("/",SUBSTITUTE(LEFT(TRIM(C215),FIND(" ",TRIM(C215)&amp;" ")-1),",","."))+1,9))*12/52,IF(ISNUMBER(SEARCH("month",C215)),IFERROR(_xlfn.NUMBERVALUE(SUBSTITUTE(LEFT(TRIM(C215),FIND(" ",TRIM(C215)&amp;" ")-1),",","."),"."),LEFT(SUBSTITUTE(LEFT(TRIM(C215),FIND(" ",TRIM(C215)&amp;" ")-1),",","."),FIND("/",SUBSTITUTE(LEFT(TRIM(C215),FIND(" ",TRIM(C215)&amp;" ")-1),",","."))-1)/MID(SUBSTITUTE(LEFT(TRIM(C215),FIND(" ",TRIM(C215)&amp;" ")-1),",","."),FIND("/",SUBSTITUTE(LEFT(TRIM(C215),FIND(" ",TRIM(C215)&amp;" ")-1),",","."))+1,9)),IF(ISNUMBER(SEARCH("yea",C215)),IFERROR(_xlfn.NUMBERVALUE(SUBSTITUTE(LEFT(TRIM(C215),FIND(" ",TRIM(C215)&amp;" ")-1),",","."),"."),LEFT(SUBSTITUTE(LEFT(TRIM(C215),FIND(" ",TRIM(C215)&amp;" ")-1),",","."),FIND("/",SUBSTITUTE(LEFT(TRIM(C215),FIND(" ",TRIM(C215)&amp;" ")-1),",","."))-1)/MID(SUBSTITUTE(LEFT(TRIM(C215),FIND(" ",TRIM(C215)&amp;" ")-1),",","."),FIND("/",SUBSTITUTE(LEFT(TRIM(C215),FIND(" ",TRIM(C215)&amp;" ")-1),",","."))+1,9))*12,NA()))),0),24)*'Aturan &amp; Tarif'!$B$4,2)</f>
        <v>1362.72</v>
      </c>
      <c r="K215" s="32" t="n">
        <f aca="false">'Aturan &amp; Tarif'!$B$5</f>
        <v>2050</v>
      </c>
      <c r="L215" s="32" t="n">
        <f aca="false">'Aturan &amp; Tarif'!$B$6</f>
        <v>350</v>
      </c>
      <c r="M215" s="35" t="n">
        <f aca="false">I215+J215+K215+L215</f>
        <v>21574.72</v>
      </c>
      <c r="N215" s="37" t="s">
        <v>318</v>
      </c>
    </row>
    <row r="216" customFormat="false" ht="72" hidden="false" customHeight="true" outlineLevel="0" collapsed="false">
      <c r="A216" s="29"/>
      <c r="B216" s="30" t="s">
        <v>379</v>
      </c>
      <c r="C216" s="31" t="s">
        <v>127</v>
      </c>
      <c r="D216" s="31" t="s">
        <v>108</v>
      </c>
      <c r="E216" s="32" t="n">
        <v>8098</v>
      </c>
      <c r="F216" s="32"/>
      <c r="G216" s="32"/>
      <c r="H216" s="33" t="n">
        <v>2</v>
      </c>
      <c r="I216" s="34" t="n">
        <f aca="false">E216*H216+N(F216)+N(G216)</f>
        <v>16196</v>
      </c>
      <c r="J216" s="32" t="n">
        <f aca="false">ROUND(IFERROR(ROUND(IF(OR(ISNUMBER(SEARCH("week",C216)),ISNUMBER(SEARCH("minggu",C216))),IFERROR(_xlfn.NUMBERVALUE(SUBSTITUTE(LEFT(TRIM(C216),FIND(" ",TRIM(C216)&amp;" ")-1),",","."),"."),LEFT(SUBSTITUTE(LEFT(TRIM(C216),FIND(" ",TRIM(C216)&amp;" ")-1),",","."),FIND("/",SUBSTITUTE(LEFT(TRIM(C216),FIND(" ",TRIM(C216)&amp;" ")-1),",","."))-1)/MID(SUBSTITUTE(LEFT(TRIM(C216),FIND(" ",TRIM(C216)&amp;" ")-1),",","."),FIND("/",SUBSTITUTE(LEFT(TRIM(C216),FIND(" ",TRIM(C216)&amp;" ")-1),",","."))+1,9))*12/52,IF(ISNUMBER(SEARCH("month",C216)),IFERROR(_xlfn.NUMBERVALUE(SUBSTITUTE(LEFT(TRIM(C216),FIND(" ",TRIM(C216)&amp;" ")-1),",","."),"."),LEFT(SUBSTITUTE(LEFT(TRIM(C216),FIND(" ",TRIM(C216)&amp;" ")-1),",","."),FIND("/",SUBSTITUTE(LEFT(TRIM(C216),FIND(" ",TRIM(C216)&amp;" ")-1),",","."))-1)/MID(SUBSTITUTE(LEFT(TRIM(C216),FIND(" ",TRIM(C216)&amp;" ")-1),",","."),FIND("/",SUBSTITUTE(LEFT(TRIM(C216),FIND(" ",TRIM(C216)&amp;" ")-1),",","."))+1,9)),IF(ISNUMBER(SEARCH("yea",C216)),IFERROR(_xlfn.NUMBERVALUE(SUBSTITUTE(LEFT(TRIM(C216),FIND(" ",TRIM(C216)&amp;" ")-1),",","."),"."),LEFT(SUBSTITUTE(LEFT(TRIM(C216),FIND(" ",TRIM(C216)&amp;" ")-1),",","."),FIND("/",SUBSTITUTE(LEFT(TRIM(C216),FIND(" ",TRIM(C216)&amp;" ")-1),",","."))-1)/MID(SUBSTITUTE(LEFT(TRIM(C216),FIND(" ",TRIM(C216)&amp;" ")-1),",","."),FIND("/",SUBSTITUTE(LEFT(TRIM(C216),FIND(" ",TRIM(C216)&amp;" ")-1),",","."))+1,9))*12,NA()))),0),36)*'Aturan &amp; Tarif'!$B$4,2)</f>
        <v>2044.08</v>
      </c>
      <c r="K216" s="32" t="n">
        <f aca="false">'Aturan &amp; Tarif'!$B$5</f>
        <v>2050</v>
      </c>
      <c r="L216" s="32" t="n">
        <f aca="false">'Aturan &amp; Tarif'!$B$6</f>
        <v>350</v>
      </c>
      <c r="M216" s="35" t="n">
        <f aca="false">I216+J216+K216+L216</f>
        <v>20640.08</v>
      </c>
      <c r="N216" s="37" t="s">
        <v>318</v>
      </c>
    </row>
    <row r="217" customFormat="false" ht="25.5" hidden="false" customHeight="true" outlineLevel="0" collapsed="false">
      <c r="A217" s="29"/>
      <c r="B217" s="30" t="s">
        <v>380</v>
      </c>
      <c r="C217" s="31" t="s">
        <v>191</v>
      </c>
      <c r="D217" s="31" t="s">
        <v>108</v>
      </c>
      <c r="E217" s="32" t="n">
        <v>8906</v>
      </c>
      <c r="F217" s="32"/>
      <c r="G217" s="32"/>
      <c r="H217" s="33" t="n">
        <v>2</v>
      </c>
      <c r="I217" s="34" t="n">
        <f aca="false">E217*H217+N(F217)+N(G217)</f>
        <v>17812</v>
      </c>
      <c r="J217" s="32" t="n">
        <f aca="false">ROUND(IFERROR(ROUND(IF(OR(ISNUMBER(SEARCH("week",C217)),ISNUMBER(SEARCH("minggu",C217))),IFERROR(_xlfn.NUMBERVALUE(SUBSTITUTE(LEFT(TRIM(C217),FIND(" ",TRIM(C217)&amp;" ")-1),",","."),"."),LEFT(SUBSTITUTE(LEFT(TRIM(C217),FIND(" ",TRIM(C217)&amp;" ")-1),",","."),FIND("/",SUBSTITUTE(LEFT(TRIM(C217),FIND(" ",TRIM(C217)&amp;" ")-1),",","."))-1)/MID(SUBSTITUTE(LEFT(TRIM(C217),FIND(" ",TRIM(C217)&amp;" ")-1),",","."),FIND("/",SUBSTITUTE(LEFT(TRIM(C217),FIND(" ",TRIM(C217)&amp;" ")-1),",","."))+1,9))*12/52,IF(ISNUMBER(SEARCH("month",C217)),IFERROR(_xlfn.NUMBERVALUE(SUBSTITUTE(LEFT(TRIM(C217),FIND(" ",TRIM(C217)&amp;" ")-1),",","."),"."),LEFT(SUBSTITUTE(LEFT(TRIM(C217),FIND(" ",TRIM(C217)&amp;" ")-1),",","."),FIND("/",SUBSTITUTE(LEFT(TRIM(C217),FIND(" ",TRIM(C217)&amp;" ")-1),",","."))-1)/MID(SUBSTITUTE(LEFT(TRIM(C217),FIND(" ",TRIM(C217)&amp;" ")-1),",","."),FIND("/",SUBSTITUTE(LEFT(TRIM(C217),FIND(" ",TRIM(C217)&amp;" ")-1),",","."))+1,9)),IF(ISNUMBER(SEARCH("yea",C217)),IFERROR(_xlfn.NUMBERVALUE(SUBSTITUTE(LEFT(TRIM(C217),FIND(" ",TRIM(C217)&amp;" ")-1),",","."),"."),LEFT(SUBSTITUTE(LEFT(TRIM(C217),FIND(" ",TRIM(C217)&amp;" ")-1),",","."),FIND("/",SUBSTITUTE(LEFT(TRIM(C217),FIND(" ",TRIM(C217)&amp;" ")-1),",","."))-1)/MID(SUBSTITUTE(LEFT(TRIM(C217),FIND(" ",TRIM(C217)&amp;" ")-1),",","."),FIND("/",SUBSTITUTE(LEFT(TRIM(C217),FIND(" ",TRIM(C217)&amp;" ")-1),",","."))+1,9))*12,NA()))),0),48)*'Aturan &amp; Tarif'!$B$4,2)</f>
        <v>2725.44</v>
      </c>
      <c r="K217" s="32" t="n">
        <f aca="false">'Aturan &amp; Tarif'!$B$5</f>
        <v>2050</v>
      </c>
      <c r="L217" s="32" t="n">
        <f aca="false">'Aturan &amp; Tarif'!$B$6</f>
        <v>350</v>
      </c>
      <c r="M217" s="35" t="n">
        <f aca="false">I217+J217+K217+L217</f>
        <v>22937.44</v>
      </c>
      <c r="N217" s="37" t="s">
        <v>318</v>
      </c>
    </row>
    <row r="218" customFormat="false" ht="37.5" hidden="false" customHeight="true" outlineLevel="0" collapsed="false">
      <c r="A218" s="29"/>
      <c r="B218" s="30" t="s">
        <v>381</v>
      </c>
      <c r="C218" s="31" t="s">
        <v>127</v>
      </c>
      <c r="D218" s="31" t="s">
        <v>108</v>
      </c>
      <c r="E218" s="32" t="n">
        <v>8098</v>
      </c>
      <c r="F218" s="32"/>
      <c r="G218" s="32"/>
      <c r="H218" s="33" t="n">
        <v>2</v>
      </c>
      <c r="I218" s="34" t="n">
        <f aca="false">E218*H218+N(F218)+N(G218)</f>
        <v>16196</v>
      </c>
      <c r="J218" s="32" t="n">
        <f aca="false">ROUND(IFERROR(ROUND(IF(OR(ISNUMBER(SEARCH("week",C218)),ISNUMBER(SEARCH("minggu",C218))),IFERROR(_xlfn.NUMBERVALUE(SUBSTITUTE(LEFT(TRIM(C218),FIND(" ",TRIM(C218)&amp;" ")-1),",","."),"."),LEFT(SUBSTITUTE(LEFT(TRIM(C218),FIND(" ",TRIM(C218)&amp;" ")-1),",","."),FIND("/",SUBSTITUTE(LEFT(TRIM(C218),FIND(" ",TRIM(C218)&amp;" ")-1),",","."))-1)/MID(SUBSTITUTE(LEFT(TRIM(C218),FIND(" ",TRIM(C218)&amp;" ")-1),",","."),FIND("/",SUBSTITUTE(LEFT(TRIM(C218),FIND(" ",TRIM(C218)&amp;" ")-1),",","."))+1,9))*12/52,IF(ISNUMBER(SEARCH("month",C218)),IFERROR(_xlfn.NUMBERVALUE(SUBSTITUTE(LEFT(TRIM(C218),FIND(" ",TRIM(C218)&amp;" ")-1),",","."),"."),LEFT(SUBSTITUTE(LEFT(TRIM(C218),FIND(" ",TRIM(C218)&amp;" ")-1),",","."),FIND("/",SUBSTITUTE(LEFT(TRIM(C218),FIND(" ",TRIM(C218)&amp;" ")-1),",","."))-1)/MID(SUBSTITUTE(LEFT(TRIM(C218),FIND(" ",TRIM(C218)&amp;" ")-1),",","."),FIND("/",SUBSTITUTE(LEFT(TRIM(C218),FIND(" ",TRIM(C218)&amp;" ")-1),",","."))+1,9)),IF(ISNUMBER(SEARCH("yea",C218)),IFERROR(_xlfn.NUMBERVALUE(SUBSTITUTE(LEFT(TRIM(C218),FIND(" ",TRIM(C218)&amp;" ")-1),",","."),"."),LEFT(SUBSTITUTE(LEFT(TRIM(C218),FIND(" ",TRIM(C218)&amp;" ")-1),",","."),FIND("/",SUBSTITUTE(LEFT(TRIM(C218),FIND(" ",TRIM(C218)&amp;" ")-1),",","."))-1)/MID(SUBSTITUTE(LEFT(TRIM(C218),FIND(" ",TRIM(C218)&amp;" ")-1),",","."),FIND("/",SUBSTITUTE(LEFT(TRIM(C218),FIND(" ",TRIM(C218)&amp;" ")-1),",","."))+1,9))*12,NA()))),0),36)*'Aturan &amp; Tarif'!$B$4,2)</f>
        <v>2044.08</v>
      </c>
      <c r="K218" s="32" t="n">
        <f aca="false">'Aturan &amp; Tarif'!$B$5</f>
        <v>2050</v>
      </c>
      <c r="L218" s="32" t="n">
        <f aca="false">'Aturan &amp; Tarif'!$B$6</f>
        <v>350</v>
      </c>
      <c r="M218" s="35" t="n">
        <f aca="false">I218+J218+K218+L218</f>
        <v>20640.08</v>
      </c>
      <c r="N218" s="37" t="s">
        <v>318</v>
      </c>
    </row>
    <row r="219" customFormat="false" ht="37.5" hidden="false" customHeight="true" outlineLevel="0" collapsed="false">
      <c r="A219" s="29"/>
      <c r="B219" s="30" t="s">
        <v>382</v>
      </c>
      <c r="C219" s="31" t="s">
        <v>191</v>
      </c>
      <c r="D219" s="31" t="s">
        <v>108</v>
      </c>
      <c r="E219" s="32" t="n">
        <v>8098</v>
      </c>
      <c r="F219" s="32"/>
      <c r="G219" s="32"/>
      <c r="H219" s="33" t="n">
        <v>2</v>
      </c>
      <c r="I219" s="34" t="n">
        <f aca="false">E219*H219+N(F219)+N(G219)</f>
        <v>16196</v>
      </c>
      <c r="J219" s="32" t="n">
        <f aca="false">ROUND(IFERROR(ROUND(IF(OR(ISNUMBER(SEARCH("week",C219)),ISNUMBER(SEARCH("minggu",C219))),IFERROR(_xlfn.NUMBERVALUE(SUBSTITUTE(LEFT(TRIM(C219),FIND(" ",TRIM(C219)&amp;" ")-1),",","."),"."),LEFT(SUBSTITUTE(LEFT(TRIM(C219),FIND(" ",TRIM(C219)&amp;" ")-1),",","."),FIND("/",SUBSTITUTE(LEFT(TRIM(C219),FIND(" ",TRIM(C219)&amp;" ")-1),",","."))-1)/MID(SUBSTITUTE(LEFT(TRIM(C219),FIND(" ",TRIM(C219)&amp;" ")-1),",","."),FIND("/",SUBSTITUTE(LEFT(TRIM(C219),FIND(" ",TRIM(C219)&amp;" ")-1),",","."))+1,9))*12/52,IF(ISNUMBER(SEARCH("month",C219)),IFERROR(_xlfn.NUMBERVALUE(SUBSTITUTE(LEFT(TRIM(C219),FIND(" ",TRIM(C219)&amp;" ")-1),",","."),"."),LEFT(SUBSTITUTE(LEFT(TRIM(C219),FIND(" ",TRIM(C219)&amp;" ")-1),",","."),FIND("/",SUBSTITUTE(LEFT(TRIM(C219),FIND(" ",TRIM(C219)&amp;" ")-1),",","."))-1)/MID(SUBSTITUTE(LEFT(TRIM(C219),FIND(" ",TRIM(C219)&amp;" ")-1),",","."),FIND("/",SUBSTITUTE(LEFT(TRIM(C219),FIND(" ",TRIM(C219)&amp;" ")-1),",","."))+1,9)),IF(ISNUMBER(SEARCH("yea",C219)),IFERROR(_xlfn.NUMBERVALUE(SUBSTITUTE(LEFT(TRIM(C219),FIND(" ",TRIM(C219)&amp;" ")-1),",","."),"."),LEFT(SUBSTITUTE(LEFT(TRIM(C219),FIND(" ",TRIM(C219)&amp;" ")-1),",","."),FIND("/",SUBSTITUTE(LEFT(TRIM(C219),FIND(" ",TRIM(C219)&amp;" ")-1),",","."))-1)/MID(SUBSTITUTE(LEFT(TRIM(C219),FIND(" ",TRIM(C219)&amp;" ")-1),",","."),FIND("/",SUBSTITUTE(LEFT(TRIM(C219),FIND(" ",TRIM(C219)&amp;" ")-1),",","."))+1,9))*12,NA()))),0),48)*'Aturan &amp; Tarif'!$B$4,2)</f>
        <v>2725.44</v>
      </c>
      <c r="K219" s="32" t="n">
        <f aca="false">'Aturan &amp; Tarif'!$B$5</f>
        <v>2050</v>
      </c>
      <c r="L219" s="32" t="n">
        <f aca="false">'Aturan &amp; Tarif'!$B$6</f>
        <v>350</v>
      </c>
      <c r="M219" s="35" t="n">
        <f aca="false">I219+J219+K219+L219</f>
        <v>21321.44</v>
      </c>
      <c r="N219" s="37" t="s">
        <v>318</v>
      </c>
    </row>
    <row r="220" customFormat="false" ht="25.5" hidden="false" customHeight="true" outlineLevel="0" collapsed="false">
      <c r="A220" s="29"/>
      <c r="B220" s="30" t="s">
        <v>383</v>
      </c>
      <c r="C220" s="31" t="s">
        <v>191</v>
      </c>
      <c r="D220" s="31" t="s">
        <v>108</v>
      </c>
      <c r="E220" s="32" t="n">
        <v>8906</v>
      </c>
      <c r="F220" s="32"/>
      <c r="G220" s="32"/>
      <c r="H220" s="33" t="n">
        <v>2</v>
      </c>
      <c r="I220" s="34" t="n">
        <f aca="false">E220*H220+N(F220)+N(G220)</f>
        <v>17812</v>
      </c>
      <c r="J220" s="32" t="n">
        <f aca="false">ROUND(IFERROR(ROUND(IF(OR(ISNUMBER(SEARCH("week",C220)),ISNUMBER(SEARCH("minggu",C220))),IFERROR(_xlfn.NUMBERVALUE(SUBSTITUTE(LEFT(TRIM(C220),FIND(" ",TRIM(C220)&amp;" ")-1),",","."),"."),LEFT(SUBSTITUTE(LEFT(TRIM(C220),FIND(" ",TRIM(C220)&amp;" ")-1),",","."),FIND("/",SUBSTITUTE(LEFT(TRIM(C220),FIND(" ",TRIM(C220)&amp;" ")-1),",","."))-1)/MID(SUBSTITUTE(LEFT(TRIM(C220),FIND(" ",TRIM(C220)&amp;" ")-1),",","."),FIND("/",SUBSTITUTE(LEFT(TRIM(C220),FIND(" ",TRIM(C220)&amp;" ")-1),",","."))+1,9))*12/52,IF(ISNUMBER(SEARCH("month",C220)),IFERROR(_xlfn.NUMBERVALUE(SUBSTITUTE(LEFT(TRIM(C220),FIND(" ",TRIM(C220)&amp;" ")-1),",","."),"."),LEFT(SUBSTITUTE(LEFT(TRIM(C220),FIND(" ",TRIM(C220)&amp;" ")-1),",","."),FIND("/",SUBSTITUTE(LEFT(TRIM(C220),FIND(" ",TRIM(C220)&amp;" ")-1),",","."))-1)/MID(SUBSTITUTE(LEFT(TRIM(C220),FIND(" ",TRIM(C220)&amp;" ")-1),",","."),FIND("/",SUBSTITUTE(LEFT(TRIM(C220),FIND(" ",TRIM(C220)&amp;" ")-1),",","."))+1,9)),IF(ISNUMBER(SEARCH("yea",C220)),IFERROR(_xlfn.NUMBERVALUE(SUBSTITUTE(LEFT(TRIM(C220),FIND(" ",TRIM(C220)&amp;" ")-1),",","."),"."),LEFT(SUBSTITUTE(LEFT(TRIM(C220),FIND(" ",TRIM(C220)&amp;" ")-1),",","."),FIND("/",SUBSTITUTE(LEFT(TRIM(C220),FIND(" ",TRIM(C220)&amp;" ")-1),",","."))-1)/MID(SUBSTITUTE(LEFT(TRIM(C220),FIND(" ",TRIM(C220)&amp;" ")-1),",","."),FIND("/",SUBSTITUTE(LEFT(TRIM(C220),FIND(" ",TRIM(C220)&amp;" ")-1),",","."))+1,9))*12,NA()))),0),48)*'Aturan &amp; Tarif'!$B$4,2)</f>
        <v>2725.44</v>
      </c>
      <c r="K220" s="32" t="n">
        <f aca="false">'Aturan &amp; Tarif'!$B$5</f>
        <v>2050</v>
      </c>
      <c r="L220" s="32" t="n">
        <f aca="false">'Aturan &amp; Tarif'!$B$6</f>
        <v>350</v>
      </c>
      <c r="M220" s="35" t="n">
        <f aca="false">I220+J220+K220+L220</f>
        <v>22937.44</v>
      </c>
      <c r="N220" s="37" t="s">
        <v>318</v>
      </c>
    </row>
    <row r="221" customFormat="false" ht="25.5" hidden="false" customHeight="true" outlineLevel="0" collapsed="false">
      <c r="A221" s="29"/>
      <c r="B221" s="30" t="s">
        <v>265</v>
      </c>
      <c r="C221" s="31" t="s">
        <v>127</v>
      </c>
      <c r="D221" s="31" t="s">
        <v>108</v>
      </c>
      <c r="E221" s="32" t="n">
        <v>9820</v>
      </c>
      <c r="F221" s="32"/>
      <c r="G221" s="32"/>
      <c r="H221" s="33" t="n">
        <v>2</v>
      </c>
      <c r="I221" s="34" t="n">
        <f aca="false">E221*H221+N(F221)+N(G221)</f>
        <v>19640</v>
      </c>
      <c r="J221" s="32" t="n">
        <f aca="false">ROUND(IFERROR(ROUND(IF(OR(ISNUMBER(SEARCH("week",C221)),ISNUMBER(SEARCH("minggu",C221))),IFERROR(_xlfn.NUMBERVALUE(SUBSTITUTE(LEFT(TRIM(C221),FIND(" ",TRIM(C221)&amp;" ")-1),",","."),"."),LEFT(SUBSTITUTE(LEFT(TRIM(C221),FIND(" ",TRIM(C221)&amp;" ")-1),",","."),FIND("/",SUBSTITUTE(LEFT(TRIM(C221),FIND(" ",TRIM(C221)&amp;" ")-1),",","."))-1)/MID(SUBSTITUTE(LEFT(TRIM(C221),FIND(" ",TRIM(C221)&amp;" ")-1),",","."),FIND("/",SUBSTITUTE(LEFT(TRIM(C221),FIND(" ",TRIM(C221)&amp;" ")-1),",","."))+1,9))*12/52,IF(ISNUMBER(SEARCH("month",C221)),IFERROR(_xlfn.NUMBERVALUE(SUBSTITUTE(LEFT(TRIM(C221),FIND(" ",TRIM(C221)&amp;" ")-1),",","."),"."),LEFT(SUBSTITUTE(LEFT(TRIM(C221),FIND(" ",TRIM(C221)&amp;" ")-1),",","."),FIND("/",SUBSTITUTE(LEFT(TRIM(C221),FIND(" ",TRIM(C221)&amp;" ")-1),",","."))-1)/MID(SUBSTITUTE(LEFT(TRIM(C221),FIND(" ",TRIM(C221)&amp;" ")-1),",","."),FIND("/",SUBSTITUTE(LEFT(TRIM(C221),FIND(" ",TRIM(C221)&amp;" ")-1),",","."))+1,9)),IF(ISNUMBER(SEARCH("yea",C221)),IFERROR(_xlfn.NUMBERVALUE(SUBSTITUTE(LEFT(TRIM(C221),FIND(" ",TRIM(C221)&amp;" ")-1),",","."),"."),LEFT(SUBSTITUTE(LEFT(TRIM(C221),FIND(" ",TRIM(C221)&amp;" ")-1),",","."),FIND("/",SUBSTITUTE(LEFT(TRIM(C221),FIND(" ",TRIM(C221)&amp;" ")-1),",","."))-1)/MID(SUBSTITUTE(LEFT(TRIM(C221),FIND(" ",TRIM(C221)&amp;" ")-1),",","."),FIND("/",SUBSTITUTE(LEFT(TRIM(C221),FIND(" ",TRIM(C221)&amp;" ")-1),",","."))+1,9))*12,NA()))),0),36)*'Aturan &amp; Tarif'!$B$4,2)</f>
        <v>2044.08</v>
      </c>
      <c r="K221" s="32" t="n">
        <f aca="false">'Aturan &amp; Tarif'!$B$5</f>
        <v>2050</v>
      </c>
      <c r="L221" s="32" t="n">
        <f aca="false">'Aturan &amp; Tarif'!$B$6</f>
        <v>350</v>
      </c>
      <c r="M221" s="35" t="n">
        <f aca="false">I221+J221+K221+L221</f>
        <v>24084.08</v>
      </c>
      <c r="N221" s="37" t="s">
        <v>318</v>
      </c>
    </row>
    <row r="222" customFormat="false" ht="25.5" hidden="false" customHeight="true" outlineLevel="0" collapsed="false">
      <c r="A222" s="29"/>
      <c r="B222" s="30" t="s">
        <v>384</v>
      </c>
      <c r="C222" s="31" t="s">
        <v>127</v>
      </c>
      <c r="D222" s="31" t="s">
        <v>108</v>
      </c>
      <c r="E222" s="32" t="n">
        <v>9820</v>
      </c>
      <c r="F222" s="32"/>
      <c r="G222" s="32"/>
      <c r="H222" s="33" t="n">
        <v>2</v>
      </c>
      <c r="I222" s="34" t="n">
        <f aca="false">E222*H222+N(F222)+N(G222)</f>
        <v>19640</v>
      </c>
      <c r="J222" s="32" t="n">
        <f aca="false">ROUND(IFERROR(ROUND(IF(OR(ISNUMBER(SEARCH("week",C222)),ISNUMBER(SEARCH("minggu",C222))),IFERROR(_xlfn.NUMBERVALUE(SUBSTITUTE(LEFT(TRIM(C222),FIND(" ",TRIM(C222)&amp;" ")-1),",","."),"."),LEFT(SUBSTITUTE(LEFT(TRIM(C222),FIND(" ",TRIM(C222)&amp;" ")-1),",","."),FIND("/",SUBSTITUTE(LEFT(TRIM(C222),FIND(" ",TRIM(C222)&amp;" ")-1),",","."))-1)/MID(SUBSTITUTE(LEFT(TRIM(C222),FIND(" ",TRIM(C222)&amp;" ")-1),",","."),FIND("/",SUBSTITUTE(LEFT(TRIM(C222),FIND(" ",TRIM(C222)&amp;" ")-1),",","."))+1,9))*12/52,IF(ISNUMBER(SEARCH("month",C222)),IFERROR(_xlfn.NUMBERVALUE(SUBSTITUTE(LEFT(TRIM(C222),FIND(" ",TRIM(C222)&amp;" ")-1),",","."),"."),LEFT(SUBSTITUTE(LEFT(TRIM(C222),FIND(" ",TRIM(C222)&amp;" ")-1),",","."),FIND("/",SUBSTITUTE(LEFT(TRIM(C222),FIND(" ",TRIM(C222)&amp;" ")-1),",","."))-1)/MID(SUBSTITUTE(LEFT(TRIM(C222),FIND(" ",TRIM(C222)&amp;" ")-1),",","."),FIND("/",SUBSTITUTE(LEFT(TRIM(C222),FIND(" ",TRIM(C222)&amp;" ")-1),",","."))+1,9)),IF(ISNUMBER(SEARCH("yea",C222)),IFERROR(_xlfn.NUMBERVALUE(SUBSTITUTE(LEFT(TRIM(C222),FIND(" ",TRIM(C222)&amp;" ")-1),",","."),"."),LEFT(SUBSTITUTE(LEFT(TRIM(C222),FIND(" ",TRIM(C222)&amp;" ")-1),",","."),FIND("/",SUBSTITUTE(LEFT(TRIM(C222),FIND(" ",TRIM(C222)&amp;" ")-1),",","."))-1)/MID(SUBSTITUTE(LEFT(TRIM(C222),FIND(" ",TRIM(C222)&amp;" ")-1),",","."),FIND("/",SUBSTITUTE(LEFT(TRIM(C222),FIND(" ",TRIM(C222)&amp;" ")-1),",","."))+1,9))*12,NA()))),0),36)*'Aturan &amp; Tarif'!$B$4,2)</f>
        <v>2044.08</v>
      </c>
      <c r="K222" s="32" t="n">
        <f aca="false">'Aturan &amp; Tarif'!$B$5</f>
        <v>2050</v>
      </c>
      <c r="L222" s="32" t="n">
        <f aca="false">'Aturan &amp; Tarif'!$B$6</f>
        <v>350</v>
      </c>
      <c r="M222" s="35" t="n">
        <f aca="false">I222+J222+K222+L222</f>
        <v>24084.08</v>
      </c>
      <c r="N222" s="37" t="s">
        <v>318</v>
      </c>
    </row>
    <row r="223" customFormat="false" ht="14.25" hidden="false" customHeight="true" outlineLevel="0" collapsed="false">
      <c r="A223" s="29"/>
      <c r="B223" s="30" t="s">
        <v>385</v>
      </c>
      <c r="C223" s="31" t="s">
        <v>127</v>
      </c>
      <c r="D223" s="31" t="s">
        <v>108</v>
      </c>
      <c r="E223" s="32" t="n">
        <v>8098</v>
      </c>
      <c r="F223" s="32"/>
      <c r="G223" s="32"/>
      <c r="H223" s="33" t="n">
        <v>2</v>
      </c>
      <c r="I223" s="34" t="n">
        <f aca="false">E223*H223+N(F223)+N(G223)</f>
        <v>16196</v>
      </c>
      <c r="J223" s="32" t="n">
        <f aca="false">ROUND(IFERROR(ROUND(IF(OR(ISNUMBER(SEARCH("week",C223)),ISNUMBER(SEARCH("minggu",C223))),IFERROR(_xlfn.NUMBERVALUE(SUBSTITUTE(LEFT(TRIM(C223),FIND(" ",TRIM(C223)&amp;" ")-1),",","."),"."),LEFT(SUBSTITUTE(LEFT(TRIM(C223),FIND(" ",TRIM(C223)&amp;" ")-1),",","."),FIND("/",SUBSTITUTE(LEFT(TRIM(C223),FIND(" ",TRIM(C223)&amp;" ")-1),",","."))-1)/MID(SUBSTITUTE(LEFT(TRIM(C223),FIND(" ",TRIM(C223)&amp;" ")-1),",","."),FIND("/",SUBSTITUTE(LEFT(TRIM(C223),FIND(" ",TRIM(C223)&amp;" ")-1),",","."))+1,9))*12/52,IF(ISNUMBER(SEARCH("month",C223)),IFERROR(_xlfn.NUMBERVALUE(SUBSTITUTE(LEFT(TRIM(C223),FIND(" ",TRIM(C223)&amp;" ")-1),",","."),"."),LEFT(SUBSTITUTE(LEFT(TRIM(C223),FIND(" ",TRIM(C223)&amp;" ")-1),",","."),FIND("/",SUBSTITUTE(LEFT(TRIM(C223),FIND(" ",TRIM(C223)&amp;" ")-1),",","."))-1)/MID(SUBSTITUTE(LEFT(TRIM(C223),FIND(" ",TRIM(C223)&amp;" ")-1),",","."),FIND("/",SUBSTITUTE(LEFT(TRIM(C223),FIND(" ",TRIM(C223)&amp;" ")-1),",","."))+1,9)),IF(ISNUMBER(SEARCH("yea",C223)),IFERROR(_xlfn.NUMBERVALUE(SUBSTITUTE(LEFT(TRIM(C223),FIND(" ",TRIM(C223)&amp;" ")-1),",","."),"."),LEFT(SUBSTITUTE(LEFT(TRIM(C223),FIND(" ",TRIM(C223)&amp;" ")-1),",","."),FIND("/",SUBSTITUTE(LEFT(TRIM(C223),FIND(" ",TRIM(C223)&amp;" ")-1),",","."))-1)/MID(SUBSTITUTE(LEFT(TRIM(C223),FIND(" ",TRIM(C223)&amp;" ")-1),",","."),FIND("/",SUBSTITUTE(LEFT(TRIM(C223),FIND(" ",TRIM(C223)&amp;" ")-1),",","."))+1,9))*12,NA()))),0),36)*'Aturan &amp; Tarif'!$B$4,2)</f>
        <v>2044.08</v>
      </c>
      <c r="K223" s="32" t="n">
        <f aca="false">'Aturan &amp; Tarif'!$B$5</f>
        <v>2050</v>
      </c>
      <c r="L223" s="32" t="n">
        <f aca="false">'Aturan &amp; Tarif'!$B$6</f>
        <v>350</v>
      </c>
      <c r="M223" s="35" t="n">
        <f aca="false">I223+J223+K223+L223</f>
        <v>20640.08</v>
      </c>
      <c r="N223" s="37" t="s">
        <v>318</v>
      </c>
    </row>
    <row r="224" customFormat="false" ht="14.25" hidden="false" customHeight="true" outlineLevel="0" collapsed="false">
      <c r="A224" s="29"/>
      <c r="B224" s="30" t="s">
        <v>386</v>
      </c>
      <c r="C224" s="31" t="s">
        <v>191</v>
      </c>
      <c r="D224" s="31" t="s">
        <v>108</v>
      </c>
      <c r="E224" s="32" t="n">
        <v>13136</v>
      </c>
      <c r="F224" s="32"/>
      <c r="G224" s="32"/>
      <c r="H224" s="33" t="n">
        <v>2</v>
      </c>
      <c r="I224" s="34" t="n">
        <f aca="false">E224*H224+N(F224)+N(G224)</f>
        <v>26272</v>
      </c>
      <c r="J224" s="32" t="n">
        <f aca="false">ROUND(IFERROR(ROUND(IF(OR(ISNUMBER(SEARCH("week",C224)),ISNUMBER(SEARCH("minggu",C224))),IFERROR(_xlfn.NUMBERVALUE(SUBSTITUTE(LEFT(TRIM(C224),FIND(" ",TRIM(C224)&amp;" ")-1),",","."),"."),LEFT(SUBSTITUTE(LEFT(TRIM(C224),FIND(" ",TRIM(C224)&amp;" ")-1),",","."),FIND("/",SUBSTITUTE(LEFT(TRIM(C224),FIND(" ",TRIM(C224)&amp;" ")-1),",","."))-1)/MID(SUBSTITUTE(LEFT(TRIM(C224),FIND(" ",TRIM(C224)&amp;" ")-1),",","."),FIND("/",SUBSTITUTE(LEFT(TRIM(C224),FIND(" ",TRIM(C224)&amp;" ")-1),",","."))+1,9))*12/52,IF(ISNUMBER(SEARCH("month",C224)),IFERROR(_xlfn.NUMBERVALUE(SUBSTITUTE(LEFT(TRIM(C224),FIND(" ",TRIM(C224)&amp;" ")-1),",","."),"."),LEFT(SUBSTITUTE(LEFT(TRIM(C224),FIND(" ",TRIM(C224)&amp;" ")-1),",","."),FIND("/",SUBSTITUTE(LEFT(TRIM(C224),FIND(" ",TRIM(C224)&amp;" ")-1),",","."))-1)/MID(SUBSTITUTE(LEFT(TRIM(C224),FIND(" ",TRIM(C224)&amp;" ")-1),",","."),FIND("/",SUBSTITUTE(LEFT(TRIM(C224),FIND(" ",TRIM(C224)&amp;" ")-1),",","."))+1,9)),IF(ISNUMBER(SEARCH("yea",C224)),IFERROR(_xlfn.NUMBERVALUE(SUBSTITUTE(LEFT(TRIM(C224),FIND(" ",TRIM(C224)&amp;" ")-1),",","."),"."),LEFT(SUBSTITUTE(LEFT(TRIM(C224),FIND(" ",TRIM(C224)&amp;" ")-1),",","."),FIND("/",SUBSTITUTE(LEFT(TRIM(C224),FIND(" ",TRIM(C224)&amp;" ")-1),",","."))-1)/MID(SUBSTITUTE(LEFT(TRIM(C224),FIND(" ",TRIM(C224)&amp;" ")-1),",","."),FIND("/",SUBSTITUTE(LEFT(TRIM(C224),FIND(" ",TRIM(C224)&amp;" ")-1),",","."))+1,9))*12,NA()))),0),48)*'Aturan &amp; Tarif'!$B$4,2)</f>
        <v>2725.44</v>
      </c>
      <c r="K224" s="32" t="n">
        <f aca="false">'Aturan &amp; Tarif'!$B$5</f>
        <v>2050</v>
      </c>
      <c r="L224" s="32" t="n">
        <f aca="false">'Aturan &amp; Tarif'!$B$6</f>
        <v>350</v>
      </c>
      <c r="M224" s="35" t="n">
        <f aca="false">I224+J224+K224+L224</f>
        <v>31397.44</v>
      </c>
      <c r="N224" s="37" t="s">
        <v>318</v>
      </c>
    </row>
    <row r="225" customFormat="false" ht="14.25" hidden="false" customHeight="true" outlineLevel="0" collapsed="false">
      <c r="A225" s="29"/>
      <c r="B225" s="30" t="s">
        <v>387</v>
      </c>
      <c r="C225" s="31" t="s">
        <v>191</v>
      </c>
      <c r="D225" s="31" t="s">
        <v>108</v>
      </c>
      <c r="E225" s="32" t="n">
        <v>13136</v>
      </c>
      <c r="F225" s="32"/>
      <c r="G225" s="32"/>
      <c r="H225" s="33" t="n">
        <v>2</v>
      </c>
      <c r="I225" s="34" t="n">
        <f aca="false">E225*H225+N(F225)+N(G225)</f>
        <v>26272</v>
      </c>
      <c r="J225" s="32" t="n">
        <f aca="false">ROUND(IFERROR(ROUND(IF(OR(ISNUMBER(SEARCH("week",C225)),ISNUMBER(SEARCH("minggu",C225))),IFERROR(_xlfn.NUMBERVALUE(SUBSTITUTE(LEFT(TRIM(C225),FIND(" ",TRIM(C225)&amp;" ")-1),",","."),"."),LEFT(SUBSTITUTE(LEFT(TRIM(C225),FIND(" ",TRIM(C225)&amp;" ")-1),",","."),FIND("/",SUBSTITUTE(LEFT(TRIM(C225),FIND(" ",TRIM(C225)&amp;" ")-1),",","."))-1)/MID(SUBSTITUTE(LEFT(TRIM(C225),FIND(" ",TRIM(C225)&amp;" ")-1),",","."),FIND("/",SUBSTITUTE(LEFT(TRIM(C225),FIND(" ",TRIM(C225)&amp;" ")-1),",","."))+1,9))*12/52,IF(ISNUMBER(SEARCH("month",C225)),IFERROR(_xlfn.NUMBERVALUE(SUBSTITUTE(LEFT(TRIM(C225),FIND(" ",TRIM(C225)&amp;" ")-1),",","."),"."),LEFT(SUBSTITUTE(LEFT(TRIM(C225),FIND(" ",TRIM(C225)&amp;" ")-1),",","."),FIND("/",SUBSTITUTE(LEFT(TRIM(C225),FIND(" ",TRIM(C225)&amp;" ")-1),",","."))-1)/MID(SUBSTITUTE(LEFT(TRIM(C225),FIND(" ",TRIM(C225)&amp;" ")-1),",","."),FIND("/",SUBSTITUTE(LEFT(TRIM(C225),FIND(" ",TRIM(C225)&amp;" ")-1),",","."))+1,9)),IF(ISNUMBER(SEARCH("yea",C225)),IFERROR(_xlfn.NUMBERVALUE(SUBSTITUTE(LEFT(TRIM(C225),FIND(" ",TRIM(C225)&amp;" ")-1),",","."),"."),LEFT(SUBSTITUTE(LEFT(TRIM(C225),FIND(" ",TRIM(C225)&amp;" ")-1),",","."),FIND("/",SUBSTITUTE(LEFT(TRIM(C225),FIND(" ",TRIM(C225)&amp;" ")-1),",","."))-1)/MID(SUBSTITUTE(LEFT(TRIM(C225),FIND(" ",TRIM(C225)&amp;" ")-1),",","."),FIND("/",SUBSTITUTE(LEFT(TRIM(C225),FIND(" ",TRIM(C225)&amp;" ")-1),",","."))+1,9))*12,NA()))),0),48)*'Aturan &amp; Tarif'!$B$4,2)</f>
        <v>2725.44</v>
      </c>
      <c r="K225" s="32" t="n">
        <f aca="false">'Aturan &amp; Tarif'!$B$5</f>
        <v>2050</v>
      </c>
      <c r="L225" s="32" t="n">
        <f aca="false">'Aturan &amp; Tarif'!$B$6</f>
        <v>350</v>
      </c>
      <c r="M225" s="35" t="n">
        <f aca="false">I225+J225+K225+L225</f>
        <v>31397.44</v>
      </c>
      <c r="N225" s="36" t="s">
        <v>388</v>
      </c>
    </row>
    <row r="226" customFormat="false" ht="14.25" hidden="false" customHeight="true" outlineLevel="0" collapsed="false">
      <c r="A226" s="29"/>
      <c r="B226" s="30" t="s">
        <v>389</v>
      </c>
      <c r="C226" s="31" t="s">
        <v>191</v>
      </c>
      <c r="D226" s="31" t="s">
        <v>108</v>
      </c>
      <c r="E226" s="32" t="n">
        <v>8098</v>
      </c>
      <c r="F226" s="32"/>
      <c r="G226" s="32"/>
      <c r="H226" s="33" t="n">
        <v>2</v>
      </c>
      <c r="I226" s="34" t="n">
        <f aca="false">E226*H226+N(F226)+N(G226)</f>
        <v>16196</v>
      </c>
      <c r="J226" s="32" t="n">
        <f aca="false">ROUND(IFERROR(ROUND(IF(OR(ISNUMBER(SEARCH("week",C226)),ISNUMBER(SEARCH("minggu",C226))),IFERROR(_xlfn.NUMBERVALUE(SUBSTITUTE(LEFT(TRIM(C226),FIND(" ",TRIM(C226)&amp;" ")-1),",","."),"."),LEFT(SUBSTITUTE(LEFT(TRIM(C226),FIND(" ",TRIM(C226)&amp;" ")-1),",","."),FIND("/",SUBSTITUTE(LEFT(TRIM(C226),FIND(" ",TRIM(C226)&amp;" ")-1),",","."))-1)/MID(SUBSTITUTE(LEFT(TRIM(C226),FIND(" ",TRIM(C226)&amp;" ")-1),",","."),FIND("/",SUBSTITUTE(LEFT(TRIM(C226),FIND(" ",TRIM(C226)&amp;" ")-1),",","."))+1,9))*12/52,IF(ISNUMBER(SEARCH("month",C226)),IFERROR(_xlfn.NUMBERVALUE(SUBSTITUTE(LEFT(TRIM(C226),FIND(" ",TRIM(C226)&amp;" ")-1),",","."),"."),LEFT(SUBSTITUTE(LEFT(TRIM(C226),FIND(" ",TRIM(C226)&amp;" ")-1),",","."),FIND("/",SUBSTITUTE(LEFT(TRIM(C226),FIND(" ",TRIM(C226)&amp;" ")-1),",","."))-1)/MID(SUBSTITUTE(LEFT(TRIM(C226),FIND(" ",TRIM(C226)&amp;" ")-1),",","."),FIND("/",SUBSTITUTE(LEFT(TRIM(C226),FIND(" ",TRIM(C226)&amp;" ")-1),",","."))+1,9)),IF(ISNUMBER(SEARCH("yea",C226)),IFERROR(_xlfn.NUMBERVALUE(SUBSTITUTE(LEFT(TRIM(C226),FIND(" ",TRIM(C226)&amp;" ")-1),",","."),"."),LEFT(SUBSTITUTE(LEFT(TRIM(C226),FIND(" ",TRIM(C226)&amp;" ")-1),",","."),FIND("/",SUBSTITUTE(LEFT(TRIM(C226),FIND(" ",TRIM(C226)&amp;" ")-1),",","."))-1)/MID(SUBSTITUTE(LEFT(TRIM(C226),FIND(" ",TRIM(C226)&amp;" ")-1),",","."),FIND("/",SUBSTITUTE(LEFT(TRIM(C226),FIND(" ",TRIM(C226)&amp;" ")-1),",","."))+1,9))*12,NA()))),0),48)*'Aturan &amp; Tarif'!$B$4,2)</f>
        <v>2725.44</v>
      </c>
      <c r="K226" s="32" t="n">
        <f aca="false">'Aturan &amp; Tarif'!$B$5</f>
        <v>2050</v>
      </c>
      <c r="L226" s="32" t="n">
        <f aca="false">'Aturan &amp; Tarif'!$B$6</f>
        <v>350</v>
      </c>
      <c r="M226" s="35" t="n">
        <f aca="false">I226+J226+K226+L226</f>
        <v>21321.44</v>
      </c>
      <c r="N226" s="37" t="s">
        <v>318</v>
      </c>
    </row>
    <row r="227" customFormat="false" ht="14.25" hidden="false" customHeight="true" outlineLevel="0" collapsed="false">
      <c r="A227" s="29"/>
      <c r="B227" s="30" t="s">
        <v>390</v>
      </c>
      <c r="C227" s="31" t="s">
        <v>191</v>
      </c>
      <c r="D227" s="31" t="s">
        <v>108</v>
      </c>
      <c r="E227" s="32" t="n">
        <v>8098</v>
      </c>
      <c r="F227" s="32"/>
      <c r="G227" s="32"/>
      <c r="H227" s="33" t="n">
        <v>2</v>
      </c>
      <c r="I227" s="34" t="n">
        <f aca="false">E227*H227+N(F227)+N(G227)</f>
        <v>16196</v>
      </c>
      <c r="J227" s="32" t="n">
        <f aca="false">ROUND(IFERROR(ROUND(IF(OR(ISNUMBER(SEARCH("week",C227)),ISNUMBER(SEARCH("minggu",C227))),IFERROR(_xlfn.NUMBERVALUE(SUBSTITUTE(LEFT(TRIM(C227),FIND(" ",TRIM(C227)&amp;" ")-1),",","."),"."),LEFT(SUBSTITUTE(LEFT(TRIM(C227),FIND(" ",TRIM(C227)&amp;" ")-1),",","."),FIND("/",SUBSTITUTE(LEFT(TRIM(C227),FIND(" ",TRIM(C227)&amp;" ")-1),",","."))-1)/MID(SUBSTITUTE(LEFT(TRIM(C227),FIND(" ",TRIM(C227)&amp;" ")-1),",","."),FIND("/",SUBSTITUTE(LEFT(TRIM(C227),FIND(" ",TRIM(C227)&amp;" ")-1),",","."))+1,9))*12/52,IF(ISNUMBER(SEARCH("month",C227)),IFERROR(_xlfn.NUMBERVALUE(SUBSTITUTE(LEFT(TRIM(C227),FIND(" ",TRIM(C227)&amp;" ")-1),",","."),"."),LEFT(SUBSTITUTE(LEFT(TRIM(C227),FIND(" ",TRIM(C227)&amp;" ")-1),",","."),FIND("/",SUBSTITUTE(LEFT(TRIM(C227),FIND(" ",TRIM(C227)&amp;" ")-1),",","."))-1)/MID(SUBSTITUTE(LEFT(TRIM(C227),FIND(" ",TRIM(C227)&amp;" ")-1),",","."),FIND("/",SUBSTITUTE(LEFT(TRIM(C227),FIND(" ",TRIM(C227)&amp;" ")-1),",","."))+1,9)),IF(ISNUMBER(SEARCH("yea",C227)),IFERROR(_xlfn.NUMBERVALUE(SUBSTITUTE(LEFT(TRIM(C227),FIND(" ",TRIM(C227)&amp;" ")-1),",","."),"."),LEFT(SUBSTITUTE(LEFT(TRIM(C227),FIND(" ",TRIM(C227)&amp;" ")-1),",","."),FIND("/",SUBSTITUTE(LEFT(TRIM(C227),FIND(" ",TRIM(C227)&amp;" ")-1),",","."))-1)/MID(SUBSTITUTE(LEFT(TRIM(C227),FIND(" ",TRIM(C227)&amp;" ")-1),",","."),FIND("/",SUBSTITUTE(LEFT(TRIM(C227),FIND(" ",TRIM(C227)&amp;" ")-1),",","."))+1,9))*12,NA()))),0),48)*'Aturan &amp; Tarif'!$B$4,2)</f>
        <v>2725.44</v>
      </c>
      <c r="K227" s="32" t="n">
        <f aca="false">'Aturan &amp; Tarif'!$B$5</f>
        <v>2050</v>
      </c>
      <c r="L227" s="32" t="n">
        <f aca="false">'Aturan &amp; Tarif'!$B$6</f>
        <v>350</v>
      </c>
      <c r="M227" s="35" t="n">
        <f aca="false">I227+J227+K227+L227</f>
        <v>21321.44</v>
      </c>
      <c r="N227" s="36" t="s">
        <v>391</v>
      </c>
    </row>
    <row r="228" customFormat="false" ht="25.5" hidden="false" customHeight="true" outlineLevel="0" collapsed="false">
      <c r="A228" s="29"/>
      <c r="B228" s="30" t="s">
        <v>392</v>
      </c>
      <c r="C228" s="31" t="s">
        <v>191</v>
      </c>
      <c r="D228" s="31" t="s">
        <v>108</v>
      </c>
      <c r="E228" s="32" t="n">
        <v>8098</v>
      </c>
      <c r="F228" s="32"/>
      <c r="G228" s="32"/>
      <c r="H228" s="33" t="n">
        <v>2</v>
      </c>
      <c r="I228" s="34" t="n">
        <f aca="false">E228*H228+N(F228)+N(G228)</f>
        <v>16196</v>
      </c>
      <c r="J228" s="32" t="n">
        <f aca="false">ROUND(IFERROR(ROUND(IF(OR(ISNUMBER(SEARCH("week",C228)),ISNUMBER(SEARCH("minggu",C228))),IFERROR(_xlfn.NUMBERVALUE(SUBSTITUTE(LEFT(TRIM(C228),FIND(" ",TRIM(C228)&amp;" ")-1),",","."),"."),LEFT(SUBSTITUTE(LEFT(TRIM(C228),FIND(" ",TRIM(C228)&amp;" ")-1),",","."),FIND("/",SUBSTITUTE(LEFT(TRIM(C228),FIND(" ",TRIM(C228)&amp;" ")-1),",","."))-1)/MID(SUBSTITUTE(LEFT(TRIM(C228),FIND(" ",TRIM(C228)&amp;" ")-1),",","."),FIND("/",SUBSTITUTE(LEFT(TRIM(C228),FIND(" ",TRIM(C228)&amp;" ")-1),",","."))+1,9))*12/52,IF(ISNUMBER(SEARCH("month",C228)),IFERROR(_xlfn.NUMBERVALUE(SUBSTITUTE(LEFT(TRIM(C228),FIND(" ",TRIM(C228)&amp;" ")-1),",","."),"."),LEFT(SUBSTITUTE(LEFT(TRIM(C228),FIND(" ",TRIM(C228)&amp;" ")-1),",","."),FIND("/",SUBSTITUTE(LEFT(TRIM(C228),FIND(" ",TRIM(C228)&amp;" ")-1),",","."))-1)/MID(SUBSTITUTE(LEFT(TRIM(C228),FIND(" ",TRIM(C228)&amp;" ")-1),",","."),FIND("/",SUBSTITUTE(LEFT(TRIM(C228),FIND(" ",TRIM(C228)&amp;" ")-1),",","."))+1,9)),IF(ISNUMBER(SEARCH("yea",C228)),IFERROR(_xlfn.NUMBERVALUE(SUBSTITUTE(LEFT(TRIM(C228),FIND(" ",TRIM(C228)&amp;" ")-1),",","."),"."),LEFT(SUBSTITUTE(LEFT(TRIM(C228),FIND(" ",TRIM(C228)&amp;" ")-1),",","."),FIND("/",SUBSTITUTE(LEFT(TRIM(C228),FIND(" ",TRIM(C228)&amp;" ")-1),",","."))-1)/MID(SUBSTITUTE(LEFT(TRIM(C228),FIND(" ",TRIM(C228)&amp;" ")-1),",","."),FIND("/",SUBSTITUTE(LEFT(TRIM(C228),FIND(" ",TRIM(C228)&amp;" ")-1),",","."))+1,9))*12,NA()))),0),48)*'Aturan &amp; Tarif'!$B$4,2)</f>
        <v>2725.44</v>
      </c>
      <c r="K228" s="32" t="n">
        <f aca="false">'Aturan &amp; Tarif'!$B$5</f>
        <v>2050</v>
      </c>
      <c r="L228" s="32" t="n">
        <f aca="false">'Aturan &amp; Tarif'!$B$6</f>
        <v>350</v>
      </c>
      <c r="M228" s="35" t="n">
        <f aca="false">I228+J228+K228+L228</f>
        <v>21321.44</v>
      </c>
      <c r="N228" s="36" t="s">
        <v>391</v>
      </c>
    </row>
    <row r="229" customFormat="false" ht="14.25" hidden="false" customHeight="true" outlineLevel="0" collapsed="false">
      <c r="A229" s="29"/>
      <c r="B229" s="30" t="s">
        <v>393</v>
      </c>
      <c r="C229" s="31" t="s">
        <v>191</v>
      </c>
      <c r="D229" s="31" t="s">
        <v>108</v>
      </c>
      <c r="E229" s="32" t="n">
        <v>8098</v>
      </c>
      <c r="F229" s="32"/>
      <c r="G229" s="32"/>
      <c r="H229" s="33" t="n">
        <v>2</v>
      </c>
      <c r="I229" s="34" t="n">
        <f aca="false">E229*H229+N(F229)+N(G229)</f>
        <v>16196</v>
      </c>
      <c r="J229" s="32" t="n">
        <f aca="false">ROUND(IFERROR(ROUND(IF(OR(ISNUMBER(SEARCH("week",C229)),ISNUMBER(SEARCH("minggu",C229))),IFERROR(_xlfn.NUMBERVALUE(SUBSTITUTE(LEFT(TRIM(C229),FIND(" ",TRIM(C229)&amp;" ")-1),",","."),"."),LEFT(SUBSTITUTE(LEFT(TRIM(C229),FIND(" ",TRIM(C229)&amp;" ")-1),",","."),FIND("/",SUBSTITUTE(LEFT(TRIM(C229),FIND(" ",TRIM(C229)&amp;" ")-1),",","."))-1)/MID(SUBSTITUTE(LEFT(TRIM(C229),FIND(" ",TRIM(C229)&amp;" ")-1),",","."),FIND("/",SUBSTITUTE(LEFT(TRIM(C229),FIND(" ",TRIM(C229)&amp;" ")-1),",","."))+1,9))*12/52,IF(ISNUMBER(SEARCH("month",C229)),IFERROR(_xlfn.NUMBERVALUE(SUBSTITUTE(LEFT(TRIM(C229),FIND(" ",TRIM(C229)&amp;" ")-1),",","."),"."),LEFT(SUBSTITUTE(LEFT(TRIM(C229),FIND(" ",TRIM(C229)&amp;" ")-1),",","."),FIND("/",SUBSTITUTE(LEFT(TRIM(C229),FIND(" ",TRIM(C229)&amp;" ")-1),",","."))-1)/MID(SUBSTITUTE(LEFT(TRIM(C229),FIND(" ",TRIM(C229)&amp;" ")-1),",","."),FIND("/",SUBSTITUTE(LEFT(TRIM(C229),FIND(" ",TRIM(C229)&amp;" ")-1),",","."))+1,9)),IF(ISNUMBER(SEARCH("yea",C229)),IFERROR(_xlfn.NUMBERVALUE(SUBSTITUTE(LEFT(TRIM(C229),FIND(" ",TRIM(C229)&amp;" ")-1),",","."),"."),LEFT(SUBSTITUTE(LEFT(TRIM(C229),FIND(" ",TRIM(C229)&amp;" ")-1),",","."),FIND("/",SUBSTITUTE(LEFT(TRIM(C229),FIND(" ",TRIM(C229)&amp;" ")-1),",","."))-1)/MID(SUBSTITUTE(LEFT(TRIM(C229),FIND(" ",TRIM(C229)&amp;" ")-1),",","."),FIND("/",SUBSTITUTE(LEFT(TRIM(C229),FIND(" ",TRIM(C229)&amp;" ")-1),",","."))+1,9))*12,NA()))),0),48)*'Aturan &amp; Tarif'!$B$4,2)</f>
        <v>2725.44</v>
      </c>
      <c r="K229" s="32" t="n">
        <f aca="false">'Aturan &amp; Tarif'!$B$5</f>
        <v>2050</v>
      </c>
      <c r="L229" s="32" t="n">
        <f aca="false">'Aturan &amp; Tarif'!$B$6</f>
        <v>350</v>
      </c>
      <c r="M229" s="35" t="n">
        <f aca="false">I229+J229+K229+L229</f>
        <v>21321.44</v>
      </c>
      <c r="N229" s="37" t="s">
        <v>322</v>
      </c>
    </row>
    <row r="230" customFormat="false" ht="14.25" hidden="false" customHeight="true" outlineLevel="0" collapsed="false">
      <c r="A230" s="29"/>
      <c r="B230" s="30" t="s">
        <v>394</v>
      </c>
      <c r="C230" s="31" t="s">
        <v>191</v>
      </c>
      <c r="D230" s="31" t="s">
        <v>108</v>
      </c>
      <c r="E230" s="32" t="n">
        <v>8098</v>
      </c>
      <c r="F230" s="32"/>
      <c r="G230" s="32"/>
      <c r="H230" s="33" t="n">
        <v>2</v>
      </c>
      <c r="I230" s="34" t="n">
        <f aca="false">E230*H230+N(F230)+N(G230)</f>
        <v>16196</v>
      </c>
      <c r="J230" s="32" t="n">
        <f aca="false">ROUND(IFERROR(ROUND(IF(OR(ISNUMBER(SEARCH("week",C230)),ISNUMBER(SEARCH("minggu",C230))),IFERROR(_xlfn.NUMBERVALUE(SUBSTITUTE(LEFT(TRIM(C230),FIND(" ",TRIM(C230)&amp;" ")-1),",","."),"."),LEFT(SUBSTITUTE(LEFT(TRIM(C230),FIND(" ",TRIM(C230)&amp;" ")-1),",","."),FIND("/",SUBSTITUTE(LEFT(TRIM(C230),FIND(" ",TRIM(C230)&amp;" ")-1),",","."))-1)/MID(SUBSTITUTE(LEFT(TRIM(C230),FIND(" ",TRIM(C230)&amp;" ")-1),",","."),FIND("/",SUBSTITUTE(LEFT(TRIM(C230),FIND(" ",TRIM(C230)&amp;" ")-1),",","."))+1,9))*12/52,IF(ISNUMBER(SEARCH("month",C230)),IFERROR(_xlfn.NUMBERVALUE(SUBSTITUTE(LEFT(TRIM(C230),FIND(" ",TRIM(C230)&amp;" ")-1),",","."),"."),LEFT(SUBSTITUTE(LEFT(TRIM(C230),FIND(" ",TRIM(C230)&amp;" ")-1),",","."),FIND("/",SUBSTITUTE(LEFT(TRIM(C230),FIND(" ",TRIM(C230)&amp;" ")-1),",","."))-1)/MID(SUBSTITUTE(LEFT(TRIM(C230),FIND(" ",TRIM(C230)&amp;" ")-1),",","."),FIND("/",SUBSTITUTE(LEFT(TRIM(C230),FIND(" ",TRIM(C230)&amp;" ")-1),",","."))+1,9)),IF(ISNUMBER(SEARCH("yea",C230)),IFERROR(_xlfn.NUMBERVALUE(SUBSTITUTE(LEFT(TRIM(C230),FIND(" ",TRIM(C230)&amp;" ")-1),",","."),"."),LEFT(SUBSTITUTE(LEFT(TRIM(C230),FIND(" ",TRIM(C230)&amp;" ")-1),",","."),FIND("/",SUBSTITUTE(LEFT(TRIM(C230),FIND(" ",TRIM(C230)&amp;" ")-1),",","."))-1)/MID(SUBSTITUTE(LEFT(TRIM(C230),FIND(" ",TRIM(C230)&amp;" ")-1),",","."),FIND("/",SUBSTITUTE(LEFT(TRIM(C230),FIND(" ",TRIM(C230)&amp;" ")-1),",","."))+1,9))*12,NA()))),0),48)*'Aturan &amp; Tarif'!$B$4,2)</f>
        <v>2725.44</v>
      </c>
      <c r="K230" s="32" t="n">
        <f aca="false">'Aturan &amp; Tarif'!$B$5</f>
        <v>2050</v>
      </c>
      <c r="L230" s="32" t="n">
        <f aca="false">'Aturan &amp; Tarif'!$B$6</f>
        <v>350</v>
      </c>
      <c r="M230" s="35" t="n">
        <f aca="false">I230+J230+K230+L230</f>
        <v>21321.44</v>
      </c>
      <c r="N230" s="37" t="s">
        <v>322</v>
      </c>
    </row>
    <row r="231" customFormat="false" ht="25.5" hidden="false" customHeight="true" outlineLevel="0" collapsed="false">
      <c r="A231" s="29"/>
      <c r="B231" s="30" t="s">
        <v>387</v>
      </c>
      <c r="C231" s="31" t="s">
        <v>191</v>
      </c>
      <c r="D231" s="31" t="s">
        <v>108</v>
      </c>
      <c r="E231" s="32" t="n">
        <v>8098</v>
      </c>
      <c r="F231" s="32"/>
      <c r="G231" s="32"/>
      <c r="H231" s="33" t="n">
        <v>2</v>
      </c>
      <c r="I231" s="34" t="n">
        <f aca="false">E231*H231+N(F231)+N(G231)</f>
        <v>16196</v>
      </c>
      <c r="J231" s="32" t="n">
        <f aca="false">ROUND(IFERROR(ROUND(IF(OR(ISNUMBER(SEARCH("week",C231)),ISNUMBER(SEARCH("minggu",C231))),IFERROR(_xlfn.NUMBERVALUE(SUBSTITUTE(LEFT(TRIM(C231),FIND(" ",TRIM(C231)&amp;" ")-1),",","."),"."),LEFT(SUBSTITUTE(LEFT(TRIM(C231),FIND(" ",TRIM(C231)&amp;" ")-1),",","."),FIND("/",SUBSTITUTE(LEFT(TRIM(C231),FIND(" ",TRIM(C231)&amp;" ")-1),",","."))-1)/MID(SUBSTITUTE(LEFT(TRIM(C231),FIND(" ",TRIM(C231)&amp;" ")-1),",","."),FIND("/",SUBSTITUTE(LEFT(TRIM(C231),FIND(" ",TRIM(C231)&amp;" ")-1),",","."))+1,9))*12/52,IF(ISNUMBER(SEARCH("month",C231)),IFERROR(_xlfn.NUMBERVALUE(SUBSTITUTE(LEFT(TRIM(C231),FIND(" ",TRIM(C231)&amp;" ")-1),",","."),"."),LEFT(SUBSTITUTE(LEFT(TRIM(C231),FIND(" ",TRIM(C231)&amp;" ")-1),",","."),FIND("/",SUBSTITUTE(LEFT(TRIM(C231),FIND(" ",TRIM(C231)&amp;" ")-1),",","."))-1)/MID(SUBSTITUTE(LEFT(TRIM(C231),FIND(" ",TRIM(C231)&amp;" ")-1),",","."),FIND("/",SUBSTITUTE(LEFT(TRIM(C231),FIND(" ",TRIM(C231)&amp;" ")-1),",","."))+1,9)),IF(ISNUMBER(SEARCH("yea",C231)),IFERROR(_xlfn.NUMBERVALUE(SUBSTITUTE(LEFT(TRIM(C231),FIND(" ",TRIM(C231)&amp;" ")-1),",","."),"."),LEFT(SUBSTITUTE(LEFT(TRIM(C231),FIND(" ",TRIM(C231)&amp;" ")-1),",","."),FIND("/",SUBSTITUTE(LEFT(TRIM(C231),FIND(" ",TRIM(C231)&amp;" ")-1),",","."))-1)/MID(SUBSTITUTE(LEFT(TRIM(C231),FIND(" ",TRIM(C231)&amp;" ")-1),",","."),FIND("/",SUBSTITUTE(LEFT(TRIM(C231),FIND(" ",TRIM(C231)&amp;" ")-1),",","."))+1,9))*12,NA()))),0),48)*'Aturan &amp; Tarif'!$B$4,2)</f>
        <v>2725.44</v>
      </c>
      <c r="K231" s="32" t="n">
        <f aca="false">'Aturan &amp; Tarif'!$B$5</f>
        <v>2050</v>
      </c>
      <c r="L231" s="32" t="n">
        <f aca="false">'Aturan &amp; Tarif'!$B$6</f>
        <v>350</v>
      </c>
      <c r="M231" s="35" t="n">
        <f aca="false">I231+J231+K231+L231</f>
        <v>21321.44</v>
      </c>
      <c r="N231" s="37" t="s">
        <v>322</v>
      </c>
    </row>
    <row r="232" customFormat="false" ht="14.25" hidden="false" customHeight="true" outlineLevel="0" collapsed="false">
      <c r="A232" s="29"/>
      <c r="B232" s="30" t="s">
        <v>395</v>
      </c>
      <c r="C232" s="31" t="s">
        <v>191</v>
      </c>
      <c r="D232" s="31" t="s">
        <v>108</v>
      </c>
      <c r="E232" s="32" t="n">
        <v>8098</v>
      </c>
      <c r="F232" s="32"/>
      <c r="G232" s="32"/>
      <c r="H232" s="33" t="n">
        <v>2</v>
      </c>
      <c r="I232" s="34" t="n">
        <f aca="false">E232*H232+N(F232)+N(G232)</f>
        <v>16196</v>
      </c>
      <c r="J232" s="32" t="n">
        <f aca="false">ROUND(IFERROR(ROUND(IF(OR(ISNUMBER(SEARCH("week",C232)),ISNUMBER(SEARCH("minggu",C232))),IFERROR(_xlfn.NUMBERVALUE(SUBSTITUTE(LEFT(TRIM(C232),FIND(" ",TRIM(C232)&amp;" ")-1),",","."),"."),LEFT(SUBSTITUTE(LEFT(TRIM(C232),FIND(" ",TRIM(C232)&amp;" ")-1),",","."),FIND("/",SUBSTITUTE(LEFT(TRIM(C232),FIND(" ",TRIM(C232)&amp;" ")-1),",","."))-1)/MID(SUBSTITUTE(LEFT(TRIM(C232),FIND(" ",TRIM(C232)&amp;" ")-1),",","."),FIND("/",SUBSTITUTE(LEFT(TRIM(C232),FIND(" ",TRIM(C232)&amp;" ")-1),",","."))+1,9))*12/52,IF(ISNUMBER(SEARCH("month",C232)),IFERROR(_xlfn.NUMBERVALUE(SUBSTITUTE(LEFT(TRIM(C232),FIND(" ",TRIM(C232)&amp;" ")-1),",","."),"."),LEFT(SUBSTITUTE(LEFT(TRIM(C232),FIND(" ",TRIM(C232)&amp;" ")-1),",","."),FIND("/",SUBSTITUTE(LEFT(TRIM(C232),FIND(" ",TRIM(C232)&amp;" ")-1),",","."))-1)/MID(SUBSTITUTE(LEFT(TRIM(C232),FIND(" ",TRIM(C232)&amp;" ")-1),",","."),FIND("/",SUBSTITUTE(LEFT(TRIM(C232),FIND(" ",TRIM(C232)&amp;" ")-1),",","."))+1,9)),IF(ISNUMBER(SEARCH("yea",C232)),IFERROR(_xlfn.NUMBERVALUE(SUBSTITUTE(LEFT(TRIM(C232),FIND(" ",TRIM(C232)&amp;" ")-1),",","."),"."),LEFT(SUBSTITUTE(LEFT(TRIM(C232),FIND(" ",TRIM(C232)&amp;" ")-1),",","."),FIND("/",SUBSTITUTE(LEFT(TRIM(C232),FIND(" ",TRIM(C232)&amp;" ")-1),",","."))-1)/MID(SUBSTITUTE(LEFT(TRIM(C232),FIND(" ",TRIM(C232)&amp;" ")-1),",","."),FIND("/",SUBSTITUTE(LEFT(TRIM(C232),FIND(" ",TRIM(C232)&amp;" ")-1),",","."))+1,9))*12,NA()))),0),48)*'Aturan &amp; Tarif'!$B$4,2)</f>
        <v>2725.44</v>
      </c>
      <c r="K232" s="32" t="n">
        <f aca="false">'Aturan &amp; Tarif'!$B$5</f>
        <v>2050</v>
      </c>
      <c r="L232" s="32" t="n">
        <f aca="false">'Aturan &amp; Tarif'!$B$6</f>
        <v>350</v>
      </c>
      <c r="M232" s="35" t="n">
        <f aca="false">I232+J232+K232+L232</f>
        <v>21321.44</v>
      </c>
      <c r="N232" s="37" t="s">
        <v>322</v>
      </c>
    </row>
    <row r="233" customFormat="false" ht="25.5" hidden="false" customHeight="true" outlineLevel="0" collapsed="false">
      <c r="A233" s="29"/>
      <c r="B233" s="30" t="s">
        <v>396</v>
      </c>
      <c r="C233" s="31" t="s">
        <v>191</v>
      </c>
      <c r="D233" s="31" t="s">
        <v>108</v>
      </c>
      <c r="E233" s="32" t="n">
        <v>13136</v>
      </c>
      <c r="F233" s="32"/>
      <c r="G233" s="32"/>
      <c r="H233" s="33" t="n">
        <v>2</v>
      </c>
      <c r="I233" s="34" t="n">
        <f aca="false">E233*H233+N(F233)+N(G233)</f>
        <v>26272</v>
      </c>
      <c r="J233" s="32" t="n">
        <f aca="false">ROUND(IFERROR(ROUND(IF(OR(ISNUMBER(SEARCH("week",C233)),ISNUMBER(SEARCH("minggu",C233))),IFERROR(_xlfn.NUMBERVALUE(SUBSTITUTE(LEFT(TRIM(C233),FIND(" ",TRIM(C233)&amp;" ")-1),",","."),"."),LEFT(SUBSTITUTE(LEFT(TRIM(C233),FIND(" ",TRIM(C233)&amp;" ")-1),",","."),FIND("/",SUBSTITUTE(LEFT(TRIM(C233),FIND(" ",TRIM(C233)&amp;" ")-1),",","."))-1)/MID(SUBSTITUTE(LEFT(TRIM(C233),FIND(" ",TRIM(C233)&amp;" ")-1),",","."),FIND("/",SUBSTITUTE(LEFT(TRIM(C233),FIND(" ",TRIM(C233)&amp;" ")-1),",","."))+1,9))*12/52,IF(ISNUMBER(SEARCH("month",C233)),IFERROR(_xlfn.NUMBERVALUE(SUBSTITUTE(LEFT(TRIM(C233),FIND(" ",TRIM(C233)&amp;" ")-1),",","."),"."),LEFT(SUBSTITUTE(LEFT(TRIM(C233),FIND(" ",TRIM(C233)&amp;" ")-1),",","."),FIND("/",SUBSTITUTE(LEFT(TRIM(C233),FIND(" ",TRIM(C233)&amp;" ")-1),",","."))-1)/MID(SUBSTITUTE(LEFT(TRIM(C233),FIND(" ",TRIM(C233)&amp;" ")-1),",","."),FIND("/",SUBSTITUTE(LEFT(TRIM(C233),FIND(" ",TRIM(C233)&amp;" ")-1),",","."))+1,9)),IF(ISNUMBER(SEARCH("yea",C233)),IFERROR(_xlfn.NUMBERVALUE(SUBSTITUTE(LEFT(TRIM(C233),FIND(" ",TRIM(C233)&amp;" ")-1),",","."),"."),LEFT(SUBSTITUTE(LEFT(TRIM(C233),FIND(" ",TRIM(C233)&amp;" ")-1),",","."),FIND("/",SUBSTITUTE(LEFT(TRIM(C233),FIND(" ",TRIM(C233)&amp;" ")-1),",","."))-1)/MID(SUBSTITUTE(LEFT(TRIM(C233),FIND(" ",TRIM(C233)&amp;" ")-1),",","."),FIND("/",SUBSTITUTE(LEFT(TRIM(C233),FIND(" ",TRIM(C233)&amp;" ")-1),",","."))+1,9))*12,NA()))),0),48)*'Aturan &amp; Tarif'!$B$4,2)</f>
        <v>2725.44</v>
      </c>
      <c r="K233" s="32" t="n">
        <f aca="false">'Aturan &amp; Tarif'!$B$5</f>
        <v>2050</v>
      </c>
      <c r="L233" s="32" t="n">
        <f aca="false">'Aturan &amp; Tarif'!$B$6</f>
        <v>350</v>
      </c>
      <c r="M233" s="35" t="n">
        <f aca="false">I233+J233+K233+L233</f>
        <v>31397.44</v>
      </c>
      <c r="N233" s="37" t="s">
        <v>318</v>
      </c>
    </row>
    <row r="234" customFormat="false" ht="14.25" hidden="false" customHeight="true" outlineLevel="0" collapsed="false">
      <c r="A234" s="29"/>
      <c r="B234" s="30" t="s">
        <v>397</v>
      </c>
      <c r="C234" s="31" t="s">
        <v>130</v>
      </c>
      <c r="D234" s="31" t="s">
        <v>108</v>
      </c>
      <c r="E234" s="32" t="n">
        <v>8018</v>
      </c>
      <c r="F234" s="32"/>
      <c r="G234" s="32"/>
      <c r="H234" s="33" t="n">
        <v>2</v>
      </c>
      <c r="I234" s="34" t="n">
        <f aca="false">E234*H234+N(F234)+N(G234)</f>
        <v>16036</v>
      </c>
      <c r="J234" s="32" t="n">
        <f aca="false">ROUND(IFERROR(ROUND(IF(OR(ISNUMBER(SEARCH("week",C234)),ISNUMBER(SEARCH("minggu",C234))),IFERROR(_xlfn.NUMBERVALUE(SUBSTITUTE(LEFT(TRIM(C234),FIND(" ",TRIM(C234)&amp;" ")-1),",","."),"."),LEFT(SUBSTITUTE(LEFT(TRIM(C234),FIND(" ",TRIM(C234)&amp;" ")-1),",","."),FIND("/",SUBSTITUTE(LEFT(TRIM(C234),FIND(" ",TRIM(C234)&amp;" ")-1),",","."))-1)/MID(SUBSTITUTE(LEFT(TRIM(C234),FIND(" ",TRIM(C234)&amp;" ")-1),",","."),FIND("/",SUBSTITUTE(LEFT(TRIM(C234),FIND(" ",TRIM(C234)&amp;" ")-1),",","."))+1,9))*12/52,IF(ISNUMBER(SEARCH("month",C234)),IFERROR(_xlfn.NUMBERVALUE(SUBSTITUTE(LEFT(TRIM(C234),FIND(" ",TRIM(C234)&amp;" ")-1),",","."),"."),LEFT(SUBSTITUTE(LEFT(TRIM(C234),FIND(" ",TRIM(C234)&amp;" ")-1),",","."),FIND("/",SUBSTITUTE(LEFT(TRIM(C234),FIND(" ",TRIM(C234)&amp;" ")-1),",","."))-1)/MID(SUBSTITUTE(LEFT(TRIM(C234),FIND(" ",TRIM(C234)&amp;" ")-1),",","."),FIND("/",SUBSTITUTE(LEFT(TRIM(C234),FIND(" ",TRIM(C234)&amp;" ")-1),",","."))+1,9)),IF(ISNUMBER(SEARCH("yea",C234)),IFERROR(_xlfn.NUMBERVALUE(SUBSTITUTE(LEFT(TRIM(C234),FIND(" ",TRIM(C234)&amp;" ")-1),",","."),"."),LEFT(SUBSTITUTE(LEFT(TRIM(C234),FIND(" ",TRIM(C234)&amp;" ")-1),",","."),FIND("/",SUBSTITUTE(LEFT(TRIM(C234),FIND(" ",TRIM(C234)&amp;" ")-1),",","."))-1)/MID(SUBSTITUTE(LEFT(TRIM(C234),FIND(" ",TRIM(C234)&amp;" ")-1),",","."),FIND("/",SUBSTITUTE(LEFT(TRIM(C234),FIND(" ",TRIM(C234)&amp;" ")-1),",","."))+1,9))*12,NA()))),0),12)*'Aturan &amp; Tarif'!$B$4,2)</f>
        <v>681.36</v>
      </c>
      <c r="K234" s="32" t="n">
        <f aca="false">'Aturan &amp; Tarif'!$B$5</f>
        <v>2050</v>
      </c>
      <c r="L234" s="32" t="n">
        <f aca="false">'Aturan &amp; Tarif'!$B$6</f>
        <v>350</v>
      </c>
      <c r="M234" s="35" t="n">
        <f aca="false">I234+J234+K234+L234</f>
        <v>19117.36</v>
      </c>
      <c r="N234" s="37" t="s">
        <v>318</v>
      </c>
    </row>
    <row r="235" customFormat="false" ht="14.25" hidden="false" customHeight="true" outlineLevel="0" collapsed="false">
      <c r="A235" s="29"/>
      <c r="B235" s="30" t="s">
        <v>398</v>
      </c>
      <c r="C235" s="31" t="s">
        <v>107</v>
      </c>
      <c r="D235" s="31" t="s">
        <v>108</v>
      </c>
      <c r="E235" s="32" t="n">
        <v>8018</v>
      </c>
      <c r="F235" s="32"/>
      <c r="G235" s="32"/>
      <c r="H235" s="33" t="n">
        <v>2</v>
      </c>
      <c r="I235" s="34" t="n">
        <f aca="false">E235*H235+N(F235)+N(G235)</f>
        <v>16036</v>
      </c>
      <c r="J235" s="32" t="n">
        <f aca="false">ROUND(IFERROR(ROUND(IF(OR(ISNUMBER(SEARCH("week",C235)),ISNUMBER(SEARCH("minggu",C235))),IFERROR(_xlfn.NUMBERVALUE(SUBSTITUTE(LEFT(TRIM(C235),FIND(" ",TRIM(C235)&amp;" ")-1),",","."),"."),LEFT(SUBSTITUTE(LEFT(TRIM(C235),FIND(" ",TRIM(C235)&amp;" ")-1),",","."),FIND("/",SUBSTITUTE(LEFT(TRIM(C235),FIND(" ",TRIM(C235)&amp;" ")-1),",","."))-1)/MID(SUBSTITUTE(LEFT(TRIM(C235),FIND(" ",TRIM(C235)&amp;" ")-1),",","."),FIND("/",SUBSTITUTE(LEFT(TRIM(C235),FIND(" ",TRIM(C235)&amp;" ")-1),",","."))+1,9))*12/52,IF(ISNUMBER(SEARCH("month",C235)),IFERROR(_xlfn.NUMBERVALUE(SUBSTITUTE(LEFT(TRIM(C235),FIND(" ",TRIM(C235)&amp;" ")-1),",","."),"."),LEFT(SUBSTITUTE(LEFT(TRIM(C235),FIND(" ",TRIM(C235)&amp;" ")-1),",","."),FIND("/",SUBSTITUTE(LEFT(TRIM(C235),FIND(" ",TRIM(C235)&amp;" ")-1),",","."))-1)/MID(SUBSTITUTE(LEFT(TRIM(C235),FIND(" ",TRIM(C235)&amp;" ")-1),",","."),FIND("/",SUBSTITUTE(LEFT(TRIM(C235),FIND(" ",TRIM(C235)&amp;" ")-1),",","."))+1,9)),IF(ISNUMBER(SEARCH("yea",C235)),IFERROR(_xlfn.NUMBERVALUE(SUBSTITUTE(LEFT(TRIM(C235),FIND(" ",TRIM(C235)&amp;" ")-1),",","."),"."),LEFT(SUBSTITUTE(LEFT(TRIM(C235),FIND(" ",TRIM(C235)&amp;" ")-1),",","."),FIND("/",SUBSTITUTE(LEFT(TRIM(C235),FIND(" ",TRIM(C235)&amp;" ")-1),",","."))-1)/MID(SUBSTITUTE(LEFT(TRIM(C235),FIND(" ",TRIM(C235)&amp;" ")-1),",","."),FIND("/",SUBSTITUTE(LEFT(TRIM(C235),FIND(" ",TRIM(C235)&amp;" ")-1),",","."))+1,9))*12,NA()))),0),24)*'Aturan &amp; Tarif'!$B$4,2)</f>
        <v>1362.72</v>
      </c>
      <c r="K235" s="32" t="n">
        <f aca="false">'Aturan &amp; Tarif'!$B$5</f>
        <v>2050</v>
      </c>
      <c r="L235" s="32" t="n">
        <f aca="false">'Aturan &amp; Tarif'!$B$6</f>
        <v>350</v>
      </c>
      <c r="M235" s="35" t="n">
        <f aca="false">I235+J235+K235+L235</f>
        <v>19798.72</v>
      </c>
      <c r="N235" s="37" t="s">
        <v>318</v>
      </c>
    </row>
    <row r="236" customFormat="false" ht="25.5" hidden="false" customHeight="true" outlineLevel="0" collapsed="false">
      <c r="A236" s="29"/>
      <c r="B236" s="30" t="s">
        <v>399</v>
      </c>
      <c r="C236" s="31" t="s">
        <v>107</v>
      </c>
      <c r="D236" s="31" t="s">
        <v>108</v>
      </c>
      <c r="E236" s="32" t="n">
        <v>11410</v>
      </c>
      <c r="F236" s="32"/>
      <c r="G236" s="32"/>
      <c r="H236" s="33" t="n">
        <v>2</v>
      </c>
      <c r="I236" s="34" t="n">
        <f aca="false">E236*H236+N(F236)+N(G236)</f>
        <v>22820</v>
      </c>
      <c r="J236" s="32" t="n">
        <f aca="false">ROUND(IFERROR(ROUND(IF(OR(ISNUMBER(SEARCH("week",C236)),ISNUMBER(SEARCH("minggu",C236))),IFERROR(_xlfn.NUMBERVALUE(SUBSTITUTE(LEFT(TRIM(C236),FIND(" ",TRIM(C236)&amp;" ")-1),",","."),"."),LEFT(SUBSTITUTE(LEFT(TRIM(C236),FIND(" ",TRIM(C236)&amp;" ")-1),",","."),FIND("/",SUBSTITUTE(LEFT(TRIM(C236),FIND(" ",TRIM(C236)&amp;" ")-1),",","."))-1)/MID(SUBSTITUTE(LEFT(TRIM(C236),FIND(" ",TRIM(C236)&amp;" ")-1),",","."),FIND("/",SUBSTITUTE(LEFT(TRIM(C236),FIND(" ",TRIM(C236)&amp;" ")-1),",","."))+1,9))*12/52,IF(ISNUMBER(SEARCH("month",C236)),IFERROR(_xlfn.NUMBERVALUE(SUBSTITUTE(LEFT(TRIM(C236),FIND(" ",TRIM(C236)&amp;" ")-1),",","."),"."),LEFT(SUBSTITUTE(LEFT(TRIM(C236),FIND(" ",TRIM(C236)&amp;" ")-1),",","."),FIND("/",SUBSTITUTE(LEFT(TRIM(C236),FIND(" ",TRIM(C236)&amp;" ")-1),",","."))-1)/MID(SUBSTITUTE(LEFT(TRIM(C236),FIND(" ",TRIM(C236)&amp;" ")-1),",","."),FIND("/",SUBSTITUTE(LEFT(TRIM(C236),FIND(" ",TRIM(C236)&amp;" ")-1),",","."))+1,9)),IF(ISNUMBER(SEARCH("yea",C236)),IFERROR(_xlfn.NUMBERVALUE(SUBSTITUTE(LEFT(TRIM(C236),FIND(" ",TRIM(C236)&amp;" ")-1),",","."),"."),LEFT(SUBSTITUTE(LEFT(TRIM(C236),FIND(" ",TRIM(C236)&amp;" ")-1),",","."),FIND("/",SUBSTITUTE(LEFT(TRIM(C236),FIND(" ",TRIM(C236)&amp;" ")-1),",","."))-1)/MID(SUBSTITUTE(LEFT(TRIM(C236),FIND(" ",TRIM(C236)&amp;" ")-1),",","."),FIND("/",SUBSTITUTE(LEFT(TRIM(C236),FIND(" ",TRIM(C236)&amp;" ")-1),",","."))+1,9))*12,NA()))),0),24)*'Aturan &amp; Tarif'!$B$4,2)</f>
        <v>1362.72</v>
      </c>
      <c r="K236" s="32" t="n">
        <f aca="false">'Aturan &amp; Tarif'!$B$5</f>
        <v>2050</v>
      </c>
      <c r="L236" s="32" t="n">
        <f aca="false">'Aturan &amp; Tarif'!$B$6</f>
        <v>350</v>
      </c>
      <c r="M236" s="35" t="n">
        <f aca="false">I236+J236+K236+L236</f>
        <v>26582.72</v>
      </c>
      <c r="N236" s="37" t="s">
        <v>318</v>
      </c>
    </row>
    <row r="237" customFormat="false" ht="14.25" hidden="false" customHeight="true" outlineLevel="0" collapsed="false">
      <c r="A237" s="29"/>
      <c r="B237" s="30" t="s">
        <v>400</v>
      </c>
      <c r="C237" s="31" t="s">
        <v>107</v>
      </c>
      <c r="D237" s="31" t="s">
        <v>108</v>
      </c>
      <c r="E237" s="32" t="n">
        <v>8172</v>
      </c>
      <c r="F237" s="32"/>
      <c r="G237" s="32"/>
      <c r="H237" s="33" t="n">
        <v>2</v>
      </c>
      <c r="I237" s="34" t="n">
        <f aca="false">E237*H237+N(F237)+N(G237)</f>
        <v>16344</v>
      </c>
      <c r="J237" s="32" t="n">
        <f aca="false">ROUND(IFERROR(ROUND(IF(OR(ISNUMBER(SEARCH("week",C237)),ISNUMBER(SEARCH("minggu",C237))),IFERROR(_xlfn.NUMBERVALUE(SUBSTITUTE(LEFT(TRIM(C237),FIND(" ",TRIM(C237)&amp;" ")-1),",","."),"."),LEFT(SUBSTITUTE(LEFT(TRIM(C237),FIND(" ",TRIM(C237)&amp;" ")-1),",","."),FIND("/",SUBSTITUTE(LEFT(TRIM(C237),FIND(" ",TRIM(C237)&amp;" ")-1),",","."))-1)/MID(SUBSTITUTE(LEFT(TRIM(C237),FIND(" ",TRIM(C237)&amp;" ")-1),",","."),FIND("/",SUBSTITUTE(LEFT(TRIM(C237),FIND(" ",TRIM(C237)&amp;" ")-1),",","."))+1,9))*12/52,IF(ISNUMBER(SEARCH("month",C237)),IFERROR(_xlfn.NUMBERVALUE(SUBSTITUTE(LEFT(TRIM(C237),FIND(" ",TRIM(C237)&amp;" ")-1),",","."),"."),LEFT(SUBSTITUTE(LEFT(TRIM(C237),FIND(" ",TRIM(C237)&amp;" ")-1),",","."),FIND("/",SUBSTITUTE(LEFT(TRIM(C237),FIND(" ",TRIM(C237)&amp;" ")-1),",","."))-1)/MID(SUBSTITUTE(LEFT(TRIM(C237),FIND(" ",TRIM(C237)&amp;" ")-1),",","."),FIND("/",SUBSTITUTE(LEFT(TRIM(C237),FIND(" ",TRIM(C237)&amp;" ")-1),",","."))+1,9)),IF(ISNUMBER(SEARCH("yea",C237)),IFERROR(_xlfn.NUMBERVALUE(SUBSTITUTE(LEFT(TRIM(C237),FIND(" ",TRIM(C237)&amp;" ")-1),",","."),"."),LEFT(SUBSTITUTE(LEFT(TRIM(C237),FIND(" ",TRIM(C237)&amp;" ")-1),",","."),FIND("/",SUBSTITUTE(LEFT(TRIM(C237),FIND(" ",TRIM(C237)&amp;" ")-1),",","."))-1)/MID(SUBSTITUTE(LEFT(TRIM(C237),FIND(" ",TRIM(C237)&amp;" ")-1),",","."),FIND("/",SUBSTITUTE(LEFT(TRIM(C237),FIND(" ",TRIM(C237)&amp;" ")-1),",","."))+1,9))*12,NA()))),0),24)*'Aturan &amp; Tarif'!$B$4,2)</f>
        <v>1362.72</v>
      </c>
      <c r="K237" s="32" t="n">
        <f aca="false">'Aturan &amp; Tarif'!$B$5</f>
        <v>2050</v>
      </c>
      <c r="L237" s="32" t="n">
        <f aca="false">'Aturan &amp; Tarif'!$B$6</f>
        <v>350</v>
      </c>
      <c r="M237" s="35" t="n">
        <f aca="false">I237+J237+K237+L237</f>
        <v>20106.72</v>
      </c>
      <c r="N237" s="37" t="s">
        <v>318</v>
      </c>
    </row>
    <row r="238" customFormat="false" ht="14.25" hidden="false" customHeight="true" outlineLevel="0" collapsed="false">
      <c r="A238" s="29"/>
      <c r="B238" s="30" t="s">
        <v>285</v>
      </c>
      <c r="C238" s="31" t="s">
        <v>107</v>
      </c>
      <c r="D238" s="31" t="s">
        <v>108</v>
      </c>
      <c r="E238" s="32" t="n">
        <v>9288</v>
      </c>
      <c r="F238" s="32"/>
      <c r="G238" s="32"/>
      <c r="H238" s="33" t="n">
        <v>2</v>
      </c>
      <c r="I238" s="34" t="n">
        <f aca="false">E238*H238+N(F238)+N(G238)</f>
        <v>18576</v>
      </c>
      <c r="J238" s="32" t="n">
        <f aca="false">ROUND(IFERROR(ROUND(IF(OR(ISNUMBER(SEARCH("week",C238)),ISNUMBER(SEARCH("minggu",C238))),IFERROR(_xlfn.NUMBERVALUE(SUBSTITUTE(LEFT(TRIM(C238),FIND(" ",TRIM(C238)&amp;" ")-1),",","."),"."),LEFT(SUBSTITUTE(LEFT(TRIM(C238),FIND(" ",TRIM(C238)&amp;" ")-1),",","."),FIND("/",SUBSTITUTE(LEFT(TRIM(C238),FIND(" ",TRIM(C238)&amp;" ")-1),",","."))-1)/MID(SUBSTITUTE(LEFT(TRIM(C238),FIND(" ",TRIM(C238)&amp;" ")-1),",","."),FIND("/",SUBSTITUTE(LEFT(TRIM(C238),FIND(" ",TRIM(C238)&amp;" ")-1),",","."))+1,9))*12/52,IF(ISNUMBER(SEARCH("month",C238)),IFERROR(_xlfn.NUMBERVALUE(SUBSTITUTE(LEFT(TRIM(C238),FIND(" ",TRIM(C238)&amp;" ")-1),",","."),"."),LEFT(SUBSTITUTE(LEFT(TRIM(C238),FIND(" ",TRIM(C238)&amp;" ")-1),",","."),FIND("/",SUBSTITUTE(LEFT(TRIM(C238),FIND(" ",TRIM(C238)&amp;" ")-1),",","."))-1)/MID(SUBSTITUTE(LEFT(TRIM(C238),FIND(" ",TRIM(C238)&amp;" ")-1),",","."),FIND("/",SUBSTITUTE(LEFT(TRIM(C238),FIND(" ",TRIM(C238)&amp;" ")-1),",","."))+1,9)),IF(ISNUMBER(SEARCH("yea",C238)),IFERROR(_xlfn.NUMBERVALUE(SUBSTITUTE(LEFT(TRIM(C238),FIND(" ",TRIM(C238)&amp;" ")-1),",","."),"."),LEFT(SUBSTITUTE(LEFT(TRIM(C238),FIND(" ",TRIM(C238)&amp;" ")-1),",","."),FIND("/",SUBSTITUTE(LEFT(TRIM(C238),FIND(" ",TRIM(C238)&amp;" ")-1),",","."))-1)/MID(SUBSTITUTE(LEFT(TRIM(C238),FIND(" ",TRIM(C238)&amp;" ")-1),",","."),FIND("/",SUBSTITUTE(LEFT(TRIM(C238),FIND(" ",TRIM(C238)&amp;" ")-1),",","."))+1,9))*12,NA()))),0),24)*'Aturan &amp; Tarif'!$B$4,2)</f>
        <v>1362.72</v>
      </c>
      <c r="K238" s="32" t="n">
        <f aca="false">'Aturan &amp; Tarif'!$B$5</f>
        <v>2050</v>
      </c>
      <c r="L238" s="32" t="n">
        <f aca="false">'Aturan &amp; Tarif'!$B$6</f>
        <v>350</v>
      </c>
      <c r="M238" s="35" t="n">
        <f aca="false">I238+J238+K238+L238</f>
        <v>22338.72</v>
      </c>
      <c r="N238" s="37" t="s">
        <v>318</v>
      </c>
    </row>
    <row r="239" customFormat="false" ht="14.25" hidden="false" customHeight="true" outlineLevel="0" collapsed="false">
      <c r="A239" s="29"/>
      <c r="B239" s="30" t="s">
        <v>287</v>
      </c>
      <c r="C239" s="31" t="s">
        <v>107</v>
      </c>
      <c r="D239" s="31" t="s">
        <v>108</v>
      </c>
      <c r="E239" s="32" t="n">
        <v>9288</v>
      </c>
      <c r="F239" s="32"/>
      <c r="G239" s="32"/>
      <c r="H239" s="33" t="n">
        <v>2</v>
      </c>
      <c r="I239" s="34" t="n">
        <f aca="false">E239*H239+N(F239)+N(G239)</f>
        <v>18576</v>
      </c>
      <c r="J239" s="32" t="n">
        <f aca="false">ROUND(IFERROR(ROUND(IF(OR(ISNUMBER(SEARCH("week",C239)),ISNUMBER(SEARCH("minggu",C239))),IFERROR(_xlfn.NUMBERVALUE(SUBSTITUTE(LEFT(TRIM(C239),FIND(" ",TRIM(C239)&amp;" ")-1),",","."),"."),LEFT(SUBSTITUTE(LEFT(TRIM(C239),FIND(" ",TRIM(C239)&amp;" ")-1),",","."),FIND("/",SUBSTITUTE(LEFT(TRIM(C239),FIND(" ",TRIM(C239)&amp;" ")-1),",","."))-1)/MID(SUBSTITUTE(LEFT(TRIM(C239),FIND(" ",TRIM(C239)&amp;" ")-1),",","."),FIND("/",SUBSTITUTE(LEFT(TRIM(C239),FIND(" ",TRIM(C239)&amp;" ")-1),",","."))+1,9))*12/52,IF(ISNUMBER(SEARCH("month",C239)),IFERROR(_xlfn.NUMBERVALUE(SUBSTITUTE(LEFT(TRIM(C239),FIND(" ",TRIM(C239)&amp;" ")-1),",","."),"."),LEFT(SUBSTITUTE(LEFT(TRIM(C239),FIND(" ",TRIM(C239)&amp;" ")-1),",","."),FIND("/",SUBSTITUTE(LEFT(TRIM(C239),FIND(" ",TRIM(C239)&amp;" ")-1),",","."))-1)/MID(SUBSTITUTE(LEFT(TRIM(C239),FIND(" ",TRIM(C239)&amp;" ")-1),",","."),FIND("/",SUBSTITUTE(LEFT(TRIM(C239),FIND(" ",TRIM(C239)&amp;" ")-1),",","."))+1,9)),IF(ISNUMBER(SEARCH("yea",C239)),IFERROR(_xlfn.NUMBERVALUE(SUBSTITUTE(LEFT(TRIM(C239),FIND(" ",TRIM(C239)&amp;" ")-1),",","."),"."),LEFT(SUBSTITUTE(LEFT(TRIM(C239),FIND(" ",TRIM(C239)&amp;" ")-1),",","."),FIND("/",SUBSTITUTE(LEFT(TRIM(C239),FIND(" ",TRIM(C239)&amp;" ")-1),",","."))-1)/MID(SUBSTITUTE(LEFT(TRIM(C239),FIND(" ",TRIM(C239)&amp;" ")-1),",","."),FIND("/",SUBSTITUTE(LEFT(TRIM(C239),FIND(" ",TRIM(C239)&amp;" ")-1),",","."))+1,9))*12,NA()))),0),24)*'Aturan &amp; Tarif'!$B$4,2)</f>
        <v>1362.72</v>
      </c>
      <c r="K239" s="32" t="n">
        <f aca="false">'Aturan &amp; Tarif'!$B$5</f>
        <v>2050</v>
      </c>
      <c r="L239" s="32" t="n">
        <f aca="false">'Aturan &amp; Tarif'!$B$6</f>
        <v>350</v>
      </c>
      <c r="M239" s="35" t="n">
        <f aca="false">I239+J239+K239+L239</f>
        <v>22338.72</v>
      </c>
      <c r="N239" s="37" t="s">
        <v>318</v>
      </c>
    </row>
    <row r="240" customFormat="false" ht="14.25" hidden="false" customHeight="true" outlineLevel="0" collapsed="false">
      <c r="A240" s="29"/>
      <c r="B240" s="30" t="s">
        <v>401</v>
      </c>
      <c r="C240" s="31" t="s">
        <v>107</v>
      </c>
      <c r="D240" s="31" t="s">
        <v>108</v>
      </c>
      <c r="E240" s="32" t="n">
        <v>9288</v>
      </c>
      <c r="F240" s="32"/>
      <c r="G240" s="32"/>
      <c r="H240" s="33" t="n">
        <v>2</v>
      </c>
      <c r="I240" s="34" t="n">
        <f aca="false">E240*H240+N(F240)+N(G240)</f>
        <v>18576</v>
      </c>
      <c r="J240" s="32" t="n">
        <f aca="false">ROUND(IFERROR(ROUND(IF(OR(ISNUMBER(SEARCH("week",C240)),ISNUMBER(SEARCH("minggu",C240))),IFERROR(_xlfn.NUMBERVALUE(SUBSTITUTE(LEFT(TRIM(C240),FIND(" ",TRIM(C240)&amp;" ")-1),",","."),"."),LEFT(SUBSTITUTE(LEFT(TRIM(C240),FIND(" ",TRIM(C240)&amp;" ")-1),",","."),FIND("/",SUBSTITUTE(LEFT(TRIM(C240),FIND(" ",TRIM(C240)&amp;" ")-1),",","."))-1)/MID(SUBSTITUTE(LEFT(TRIM(C240),FIND(" ",TRIM(C240)&amp;" ")-1),",","."),FIND("/",SUBSTITUTE(LEFT(TRIM(C240),FIND(" ",TRIM(C240)&amp;" ")-1),",","."))+1,9))*12/52,IF(ISNUMBER(SEARCH("month",C240)),IFERROR(_xlfn.NUMBERVALUE(SUBSTITUTE(LEFT(TRIM(C240),FIND(" ",TRIM(C240)&amp;" ")-1),",","."),"."),LEFT(SUBSTITUTE(LEFT(TRIM(C240),FIND(" ",TRIM(C240)&amp;" ")-1),",","."),FIND("/",SUBSTITUTE(LEFT(TRIM(C240),FIND(" ",TRIM(C240)&amp;" ")-1),",","."))-1)/MID(SUBSTITUTE(LEFT(TRIM(C240),FIND(" ",TRIM(C240)&amp;" ")-1),",","."),FIND("/",SUBSTITUTE(LEFT(TRIM(C240),FIND(" ",TRIM(C240)&amp;" ")-1),",","."))+1,9)),IF(ISNUMBER(SEARCH("yea",C240)),IFERROR(_xlfn.NUMBERVALUE(SUBSTITUTE(LEFT(TRIM(C240),FIND(" ",TRIM(C240)&amp;" ")-1),",","."),"."),LEFT(SUBSTITUTE(LEFT(TRIM(C240),FIND(" ",TRIM(C240)&amp;" ")-1),",","."),FIND("/",SUBSTITUTE(LEFT(TRIM(C240),FIND(" ",TRIM(C240)&amp;" ")-1),",","."))-1)/MID(SUBSTITUTE(LEFT(TRIM(C240),FIND(" ",TRIM(C240)&amp;" ")-1),",","."),FIND("/",SUBSTITUTE(LEFT(TRIM(C240),FIND(" ",TRIM(C240)&amp;" ")-1),",","."))+1,9))*12,NA()))),0),24)*'Aturan &amp; Tarif'!$B$4,2)</f>
        <v>1362.72</v>
      </c>
      <c r="K240" s="32" t="n">
        <f aca="false">'Aturan &amp; Tarif'!$B$5</f>
        <v>2050</v>
      </c>
      <c r="L240" s="32" t="n">
        <f aca="false">'Aturan &amp; Tarif'!$B$6</f>
        <v>350</v>
      </c>
      <c r="M240" s="35" t="n">
        <f aca="false">I240+J240+K240+L240</f>
        <v>22338.72</v>
      </c>
      <c r="N240" s="37" t="s">
        <v>318</v>
      </c>
    </row>
    <row r="241" customFormat="false" ht="14.25" hidden="false" customHeight="true" outlineLevel="0" collapsed="false">
      <c r="A241" s="29"/>
      <c r="B241" s="30" t="s">
        <v>283</v>
      </c>
      <c r="C241" s="31" t="s">
        <v>107</v>
      </c>
      <c r="D241" s="31" t="s">
        <v>108</v>
      </c>
      <c r="E241" s="32" t="n">
        <v>8018</v>
      </c>
      <c r="F241" s="32"/>
      <c r="G241" s="32"/>
      <c r="H241" s="33" t="n">
        <v>2</v>
      </c>
      <c r="I241" s="34" t="n">
        <f aca="false">E241*H241+N(F241)+N(G241)</f>
        <v>16036</v>
      </c>
      <c r="J241" s="32" t="n">
        <f aca="false">ROUND(IFERROR(ROUND(IF(OR(ISNUMBER(SEARCH("week",C241)),ISNUMBER(SEARCH("minggu",C241))),IFERROR(_xlfn.NUMBERVALUE(SUBSTITUTE(LEFT(TRIM(C241),FIND(" ",TRIM(C241)&amp;" ")-1),",","."),"."),LEFT(SUBSTITUTE(LEFT(TRIM(C241),FIND(" ",TRIM(C241)&amp;" ")-1),",","."),FIND("/",SUBSTITUTE(LEFT(TRIM(C241),FIND(" ",TRIM(C241)&amp;" ")-1),",","."))-1)/MID(SUBSTITUTE(LEFT(TRIM(C241),FIND(" ",TRIM(C241)&amp;" ")-1),",","."),FIND("/",SUBSTITUTE(LEFT(TRIM(C241),FIND(" ",TRIM(C241)&amp;" ")-1),",","."))+1,9))*12/52,IF(ISNUMBER(SEARCH("month",C241)),IFERROR(_xlfn.NUMBERVALUE(SUBSTITUTE(LEFT(TRIM(C241),FIND(" ",TRIM(C241)&amp;" ")-1),",","."),"."),LEFT(SUBSTITUTE(LEFT(TRIM(C241),FIND(" ",TRIM(C241)&amp;" ")-1),",","."),FIND("/",SUBSTITUTE(LEFT(TRIM(C241),FIND(" ",TRIM(C241)&amp;" ")-1),",","."))-1)/MID(SUBSTITUTE(LEFT(TRIM(C241),FIND(" ",TRIM(C241)&amp;" ")-1),",","."),FIND("/",SUBSTITUTE(LEFT(TRIM(C241),FIND(" ",TRIM(C241)&amp;" ")-1),",","."))+1,9)),IF(ISNUMBER(SEARCH("yea",C241)),IFERROR(_xlfn.NUMBERVALUE(SUBSTITUTE(LEFT(TRIM(C241),FIND(" ",TRIM(C241)&amp;" ")-1),",","."),"."),LEFT(SUBSTITUTE(LEFT(TRIM(C241),FIND(" ",TRIM(C241)&amp;" ")-1),",","."),FIND("/",SUBSTITUTE(LEFT(TRIM(C241),FIND(" ",TRIM(C241)&amp;" ")-1),",","."))-1)/MID(SUBSTITUTE(LEFT(TRIM(C241),FIND(" ",TRIM(C241)&amp;" ")-1),",","."),FIND("/",SUBSTITUTE(LEFT(TRIM(C241),FIND(" ",TRIM(C241)&amp;" ")-1),",","."))+1,9))*12,NA()))),0),24)*'Aturan &amp; Tarif'!$B$4,2)</f>
        <v>1362.72</v>
      </c>
      <c r="K241" s="32" t="n">
        <f aca="false">'Aturan &amp; Tarif'!$B$5</f>
        <v>2050</v>
      </c>
      <c r="L241" s="32" t="n">
        <f aca="false">'Aturan &amp; Tarif'!$B$6</f>
        <v>350</v>
      </c>
      <c r="M241" s="35" t="n">
        <f aca="false">I241+J241+K241+L241</f>
        <v>19798.72</v>
      </c>
      <c r="N241" s="37" t="s">
        <v>318</v>
      </c>
    </row>
    <row r="242" customFormat="false" ht="14.25" hidden="false" customHeight="true" outlineLevel="0" collapsed="false">
      <c r="A242" s="29"/>
      <c r="B242" s="30" t="s">
        <v>402</v>
      </c>
      <c r="C242" s="31" t="s">
        <v>107</v>
      </c>
      <c r="D242" s="31" t="s">
        <v>108</v>
      </c>
      <c r="E242" s="32" t="n">
        <v>8018</v>
      </c>
      <c r="F242" s="32"/>
      <c r="G242" s="32"/>
      <c r="H242" s="33" t="n">
        <v>2</v>
      </c>
      <c r="I242" s="34" t="n">
        <f aca="false">E242*H242+N(F242)+N(G242)</f>
        <v>16036</v>
      </c>
      <c r="J242" s="32" t="n">
        <f aca="false">ROUND(IFERROR(ROUND(IF(OR(ISNUMBER(SEARCH("week",C242)),ISNUMBER(SEARCH("minggu",C242))),IFERROR(_xlfn.NUMBERVALUE(SUBSTITUTE(LEFT(TRIM(C242),FIND(" ",TRIM(C242)&amp;" ")-1),",","."),"."),LEFT(SUBSTITUTE(LEFT(TRIM(C242),FIND(" ",TRIM(C242)&amp;" ")-1),",","."),FIND("/",SUBSTITUTE(LEFT(TRIM(C242),FIND(" ",TRIM(C242)&amp;" ")-1),",","."))-1)/MID(SUBSTITUTE(LEFT(TRIM(C242),FIND(" ",TRIM(C242)&amp;" ")-1),",","."),FIND("/",SUBSTITUTE(LEFT(TRIM(C242),FIND(" ",TRIM(C242)&amp;" ")-1),",","."))+1,9))*12/52,IF(ISNUMBER(SEARCH("month",C242)),IFERROR(_xlfn.NUMBERVALUE(SUBSTITUTE(LEFT(TRIM(C242),FIND(" ",TRIM(C242)&amp;" ")-1),",","."),"."),LEFT(SUBSTITUTE(LEFT(TRIM(C242),FIND(" ",TRIM(C242)&amp;" ")-1),",","."),FIND("/",SUBSTITUTE(LEFT(TRIM(C242),FIND(" ",TRIM(C242)&amp;" ")-1),",","."))-1)/MID(SUBSTITUTE(LEFT(TRIM(C242),FIND(" ",TRIM(C242)&amp;" ")-1),",","."),FIND("/",SUBSTITUTE(LEFT(TRIM(C242),FIND(" ",TRIM(C242)&amp;" ")-1),",","."))+1,9)),IF(ISNUMBER(SEARCH("yea",C242)),IFERROR(_xlfn.NUMBERVALUE(SUBSTITUTE(LEFT(TRIM(C242),FIND(" ",TRIM(C242)&amp;" ")-1),",","."),"."),LEFT(SUBSTITUTE(LEFT(TRIM(C242),FIND(" ",TRIM(C242)&amp;" ")-1),",","."),FIND("/",SUBSTITUTE(LEFT(TRIM(C242),FIND(" ",TRIM(C242)&amp;" ")-1),",","."))-1)/MID(SUBSTITUTE(LEFT(TRIM(C242),FIND(" ",TRIM(C242)&amp;" ")-1),",","."),FIND("/",SUBSTITUTE(LEFT(TRIM(C242),FIND(" ",TRIM(C242)&amp;" ")-1),",","."))+1,9))*12,NA()))),0),24)*'Aturan &amp; Tarif'!$B$4,2)</f>
        <v>1362.72</v>
      </c>
      <c r="K242" s="32" t="n">
        <f aca="false">'Aturan &amp; Tarif'!$B$5</f>
        <v>2050</v>
      </c>
      <c r="L242" s="32" t="n">
        <f aca="false">'Aturan &amp; Tarif'!$B$6</f>
        <v>350</v>
      </c>
      <c r="M242" s="35" t="n">
        <f aca="false">I242+J242+K242+L242</f>
        <v>19798.72</v>
      </c>
      <c r="N242" s="37" t="s">
        <v>318</v>
      </c>
    </row>
    <row r="243" customFormat="false" ht="25.5" hidden="false" customHeight="true" outlineLevel="0" collapsed="false">
      <c r="A243" s="29"/>
      <c r="B243" s="30" t="s">
        <v>289</v>
      </c>
      <c r="C243" s="31" t="s">
        <v>107</v>
      </c>
      <c r="D243" s="31" t="s">
        <v>108</v>
      </c>
      <c r="E243" s="32" t="n">
        <v>8018</v>
      </c>
      <c r="F243" s="32"/>
      <c r="G243" s="32"/>
      <c r="H243" s="33" t="n">
        <v>2</v>
      </c>
      <c r="I243" s="34" t="n">
        <f aca="false">E243*H243+N(F243)+N(G243)</f>
        <v>16036</v>
      </c>
      <c r="J243" s="32" t="n">
        <f aca="false">ROUND(IFERROR(ROUND(IF(OR(ISNUMBER(SEARCH("week",C243)),ISNUMBER(SEARCH("minggu",C243))),IFERROR(_xlfn.NUMBERVALUE(SUBSTITUTE(LEFT(TRIM(C243),FIND(" ",TRIM(C243)&amp;" ")-1),",","."),"."),LEFT(SUBSTITUTE(LEFT(TRIM(C243),FIND(" ",TRIM(C243)&amp;" ")-1),",","."),FIND("/",SUBSTITUTE(LEFT(TRIM(C243),FIND(" ",TRIM(C243)&amp;" ")-1),",","."))-1)/MID(SUBSTITUTE(LEFT(TRIM(C243),FIND(" ",TRIM(C243)&amp;" ")-1),",","."),FIND("/",SUBSTITUTE(LEFT(TRIM(C243),FIND(" ",TRIM(C243)&amp;" ")-1),",","."))+1,9))*12/52,IF(ISNUMBER(SEARCH("month",C243)),IFERROR(_xlfn.NUMBERVALUE(SUBSTITUTE(LEFT(TRIM(C243),FIND(" ",TRIM(C243)&amp;" ")-1),",","."),"."),LEFT(SUBSTITUTE(LEFT(TRIM(C243),FIND(" ",TRIM(C243)&amp;" ")-1),",","."),FIND("/",SUBSTITUTE(LEFT(TRIM(C243),FIND(" ",TRIM(C243)&amp;" ")-1),",","."))-1)/MID(SUBSTITUTE(LEFT(TRIM(C243),FIND(" ",TRIM(C243)&amp;" ")-1),",","."),FIND("/",SUBSTITUTE(LEFT(TRIM(C243),FIND(" ",TRIM(C243)&amp;" ")-1),",","."))+1,9)),IF(ISNUMBER(SEARCH("yea",C243)),IFERROR(_xlfn.NUMBERVALUE(SUBSTITUTE(LEFT(TRIM(C243),FIND(" ",TRIM(C243)&amp;" ")-1),",","."),"."),LEFT(SUBSTITUTE(LEFT(TRIM(C243),FIND(" ",TRIM(C243)&amp;" ")-1),",","."),FIND("/",SUBSTITUTE(LEFT(TRIM(C243),FIND(" ",TRIM(C243)&amp;" ")-1),",","."))-1)/MID(SUBSTITUTE(LEFT(TRIM(C243),FIND(" ",TRIM(C243)&amp;" ")-1),",","."),FIND("/",SUBSTITUTE(LEFT(TRIM(C243),FIND(" ",TRIM(C243)&amp;" ")-1),",","."))+1,9))*12,NA()))),0),24)*'Aturan &amp; Tarif'!$B$4,2)</f>
        <v>1362.72</v>
      </c>
      <c r="K243" s="32" t="n">
        <f aca="false">'Aturan &amp; Tarif'!$B$5</f>
        <v>2050</v>
      </c>
      <c r="L243" s="32" t="n">
        <f aca="false">'Aturan &amp; Tarif'!$B$6</f>
        <v>350</v>
      </c>
      <c r="M243" s="35" t="n">
        <f aca="false">I243+J243+K243+L243</f>
        <v>19798.72</v>
      </c>
      <c r="N243" s="37" t="s">
        <v>318</v>
      </c>
    </row>
    <row r="244" customFormat="false" ht="14.25" hidden="false" customHeight="true" outlineLevel="0" collapsed="false">
      <c r="A244" s="29"/>
      <c r="B244" s="30" t="s">
        <v>403</v>
      </c>
      <c r="C244" s="31" t="s">
        <v>127</v>
      </c>
      <c r="D244" s="31" t="s">
        <v>108</v>
      </c>
      <c r="E244" s="32" t="n">
        <v>7162</v>
      </c>
      <c r="F244" s="32"/>
      <c r="G244" s="32"/>
      <c r="H244" s="33" t="n">
        <v>2</v>
      </c>
      <c r="I244" s="34" t="n">
        <f aca="false">E244*H244+N(F244)+N(G244)</f>
        <v>14324</v>
      </c>
      <c r="J244" s="32" t="n">
        <f aca="false">ROUND(IFERROR(ROUND(IF(OR(ISNUMBER(SEARCH("week",C244)),ISNUMBER(SEARCH("minggu",C244))),IFERROR(_xlfn.NUMBERVALUE(SUBSTITUTE(LEFT(TRIM(C244),FIND(" ",TRIM(C244)&amp;" ")-1),",","."),"."),LEFT(SUBSTITUTE(LEFT(TRIM(C244),FIND(" ",TRIM(C244)&amp;" ")-1),",","."),FIND("/",SUBSTITUTE(LEFT(TRIM(C244),FIND(" ",TRIM(C244)&amp;" ")-1),",","."))-1)/MID(SUBSTITUTE(LEFT(TRIM(C244),FIND(" ",TRIM(C244)&amp;" ")-1),",","."),FIND("/",SUBSTITUTE(LEFT(TRIM(C244),FIND(" ",TRIM(C244)&amp;" ")-1),",","."))+1,9))*12/52,IF(ISNUMBER(SEARCH("month",C244)),IFERROR(_xlfn.NUMBERVALUE(SUBSTITUTE(LEFT(TRIM(C244),FIND(" ",TRIM(C244)&amp;" ")-1),",","."),"."),LEFT(SUBSTITUTE(LEFT(TRIM(C244),FIND(" ",TRIM(C244)&amp;" ")-1),",","."),FIND("/",SUBSTITUTE(LEFT(TRIM(C244),FIND(" ",TRIM(C244)&amp;" ")-1),",","."))-1)/MID(SUBSTITUTE(LEFT(TRIM(C244),FIND(" ",TRIM(C244)&amp;" ")-1),",","."),FIND("/",SUBSTITUTE(LEFT(TRIM(C244),FIND(" ",TRIM(C244)&amp;" ")-1),",","."))+1,9)),IF(ISNUMBER(SEARCH("yea",C244)),IFERROR(_xlfn.NUMBERVALUE(SUBSTITUTE(LEFT(TRIM(C244),FIND(" ",TRIM(C244)&amp;" ")-1),",","."),"."),LEFT(SUBSTITUTE(LEFT(TRIM(C244),FIND(" ",TRIM(C244)&amp;" ")-1),",","."),FIND("/",SUBSTITUTE(LEFT(TRIM(C244),FIND(" ",TRIM(C244)&amp;" ")-1),",","."))-1)/MID(SUBSTITUTE(LEFT(TRIM(C244),FIND(" ",TRIM(C244)&amp;" ")-1),",","."),FIND("/",SUBSTITUTE(LEFT(TRIM(C244),FIND(" ",TRIM(C244)&amp;" ")-1),",","."))+1,9))*12,NA()))),0),36)*'Aturan &amp; Tarif'!$B$4,2)</f>
        <v>2044.08</v>
      </c>
      <c r="K244" s="32" t="n">
        <f aca="false">'Aturan &amp; Tarif'!$B$5</f>
        <v>2050</v>
      </c>
      <c r="L244" s="32" t="n">
        <f aca="false">'Aturan &amp; Tarif'!$B$6</f>
        <v>350</v>
      </c>
      <c r="M244" s="35" t="n">
        <f aca="false">I244+J244+K244+L244</f>
        <v>18768.08</v>
      </c>
      <c r="N244" s="37" t="s">
        <v>318</v>
      </c>
    </row>
    <row r="245" customFormat="false" ht="14.25" hidden="false" customHeight="true" outlineLevel="0" collapsed="false">
      <c r="A245" s="29"/>
      <c r="B245" s="30" t="s">
        <v>404</v>
      </c>
      <c r="C245" s="31" t="s">
        <v>191</v>
      </c>
      <c r="D245" s="31" t="s">
        <v>108</v>
      </c>
      <c r="E245" s="32" t="n">
        <v>7162</v>
      </c>
      <c r="F245" s="32"/>
      <c r="G245" s="32"/>
      <c r="H245" s="33" t="n">
        <v>2</v>
      </c>
      <c r="I245" s="34" t="n">
        <f aca="false">E245*H245+N(F245)+N(G245)</f>
        <v>14324</v>
      </c>
      <c r="J245" s="32" t="n">
        <f aca="false">ROUND(IFERROR(ROUND(IF(OR(ISNUMBER(SEARCH("week",C245)),ISNUMBER(SEARCH("minggu",C245))),IFERROR(_xlfn.NUMBERVALUE(SUBSTITUTE(LEFT(TRIM(C245),FIND(" ",TRIM(C245)&amp;" ")-1),",","."),"."),LEFT(SUBSTITUTE(LEFT(TRIM(C245),FIND(" ",TRIM(C245)&amp;" ")-1),",","."),FIND("/",SUBSTITUTE(LEFT(TRIM(C245),FIND(" ",TRIM(C245)&amp;" ")-1),",","."))-1)/MID(SUBSTITUTE(LEFT(TRIM(C245),FIND(" ",TRIM(C245)&amp;" ")-1),",","."),FIND("/",SUBSTITUTE(LEFT(TRIM(C245),FIND(" ",TRIM(C245)&amp;" ")-1),",","."))+1,9))*12/52,IF(ISNUMBER(SEARCH("month",C245)),IFERROR(_xlfn.NUMBERVALUE(SUBSTITUTE(LEFT(TRIM(C245),FIND(" ",TRIM(C245)&amp;" ")-1),",","."),"."),LEFT(SUBSTITUTE(LEFT(TRIM(C245),FIND(" ",TRIM(C245)&amp;" ")-1),",","."),FIND("/",SUBSTITUTE(LEFT(TRIM(C245),FIND(" ",TRIM(C245)&amp;" ")-1),",","."))-1)/MID(SUBSTITUTE(LEFT(TRIM(C245),FIND(" ",TRIM(C245)&amp;" ")-1),",","."),FIND("/",SUBSTITUTE(LEFT(TRIM(C245),FIND(" ",TRIM(C245)&amp;" ")-1),",","."))+1,9)),IF(ISNUMBER(SEARCH("yea",C245)),IFERROR(_xlfn.NUMBERVALUE(SUBSTITUTE(LEFT(TRIM(C245),FIND(" ",TRIM(C245)&amp;" ")-1),",","."),"."),LEFT(SUBSTITUTE(LEFT(TRIM(C245),FIND(" ",TRIM(C245)&amp;" ")-1),",","."),FIND("/",SUBSTITUTE(LEFT(TRIM(C245),FIND(" ",TRIM(C245)&amp;" ")-1),",","."))-1)/MID(SUBSTITUTE(LEFT(TRIM(C245),FIND(" ",TRIM(C245)&amp;" ")-1),",","."),FIND("/",SUBSTITUTE(LEFT(TRIM(C245),FIND(" ",TRIM(C245)&amp;" ")-1),",","."))+1,9))*12,NA()))),0),48)*'Aturan &amp; Tarif'!$B$4,2)</f>
        <v>2725.44</v>
      </c>
      <c r="K245" s="32" t="n">
        <f aca="false">'Aturan &amp; Tarif'!$B$5</f>
        <v>2050</v>
      </c>
      <c r="L245" s="32" t="n">
        <f aca="false">'Aturan &amp; Tarif'!$B$6</f>
        <v>350</v>
      </c>
      <c r="M245" s="35" t="n">
        <f aca="false">I245+J245+K245+L245</f>
        <v>19449.44</v>
      </c>
      <c r="N245" s="37" t="s">
        <v>318</v>
      </c>
    </row>
    <row r="246" customFormat="false" ht="14.25" hidden="false" customHeight="true" outlineLevel="0" collapsed="false">
      <c r="A246" s="29"/>
      <c r="B246" s="30" t="s">
        <v>405</v>
      </c>
      <c r="C246" s="31" t="s">
        <v>127</v>
      </c>
      <c r="D246" s="31" t="s">
        <v>108</v>
      </c>
      <c r="E246" s="32" t="n">
        <v>8682</v>
      </c>
      <c r="F246" s="32"/>
      <c r="G246" s="32"/>
      <c r="H246" s="33" t="n">
        <v>2</v>
      </c>
      <c r="I246" s="34" t="n">
        <f aca="false">E246*H246+N(F246)+N(G246)</f>
        <v>17364</v>
      </c>
      <c r="J246" s="32" t="n">
        <f aca="false">ROUND(IFERROR(ROUND(IF(OR(ISNUMBER(SEARCH("week",C246)),ISNUMBER(SEARCH("minggu",C246))),IFERROR(_xlfn.NUMBERVALUE(SUBSTITUTE(LEFT(TRIM(C246),FIND(" ",TRIM(C246)&amp;" ")-1),",","."),"."),LEFT(SUBSTITUTE(LEFT(TRIM(C246),FIND(" ",TRIM(C246)&amp;" ")-1),",","."),FIND("/",SUBSTITUTE(LEFT(TRIM(C246),FIND(" ",TRIM(C246)&amp;" ")-1),",","."))-1)/MID(SUBSTITUTE(LEFT(TRIM(C246),FIND(" ",TRIM(C246)&amp;" ")-1),",","."),FIND("/",SUBSTITUTE(LEFT(TRIM(C246),FIND(" ",TRIM(C246)&amp;" ")-1),",","."))+1,9))*12/52,IF(ISNUMBER(SEARCH("month",C246)),IFERROR(_xlfn.NUMBERVALUE(SUBSTITUTE(LEFT(TRIM(C246),FIND(" ",TRIM(C246)&amp;" ")-1),",","."),"."),LEFT(SUBSTITUTE(LEFT(TRIM(C246),FIND(" ",TRIM(C246)&amp;" ")-1),",","."),FIND("/",SUBSTITUTE(LEFT(TRIM(C246),FIND(" ",TRIM(C246)&amp;" ")-1),",","."))-1)/MID(SUBSTITUTE(LEFT(TRIM(C246),FIND(" ",TRIM(C246)&amp;" ")-1),",","."),FIND("/",SUBSTITUTE(LEFT(TRIM(C246),FIND(" ",TRIM(C246)&amp;" ")-1),",","."))+1,9)),IF(ISNUMBER(SEARCH("yea",C246)),IFERROR(_xlfn.NUMBERVALUE(SUBSTITUTE(LEFT(TRIM(C246),FIND(" ",TRIM(C246)&amp;" ")-1),",","."),"."),LEFT(SUBSTITUTE(LEFT(TRIM(C246),FIND(" ",TRIM(C246)&amp;" ")-1),",","."),FIND("/",SUBSTITUTE(LEFT(TRIM(C246),FIND(" ",TRIM(C246)&amp;" ")-1),",","."))-1)/MID(SUBSTITUTE(LEFT(TRIM(C246),FIND(" ",TRIM(C246)&amp;" ")-1),",","."),FIND("/",SUBSTITUTE(LEFT(TRIM(C246),FIND(" ",TRIM(C246)&amp;" ")-1),",","."))+1,9))*12,NA()))),0),36)*'Aturan &amp; Tarif'!$B$4,2)</f>
        <v>2044.08</v>
      </c>
      <c r="K246" s="32" t="n">
        <f aca="false">'Aturan &amp; Tarif'!$B$5</f>
        <v>2050</v>
      </c>
      <c r="L246" s="32" t="n">
        <f aca="false">'Aturan &amp; Tarif'!$B$6</f>
        <v>350</v>
      </c>
      <c r="M246" s="35" t="n">
        <f aca="false">I246+J246+K246+L246</f>
        <v>21808.08</v>
      </c>
      <c r="N246" s="37" t="s">
        <v>318</v>
      </c>
    </row>
    <row r="247" customFormat="false" ht="14.25" hidden="false" customHeight="true" outlineLevel="0" collapsed="false">
      <c r="A247" s="29"/>
      <c r="B247" s="30" t="s">
        <v>406</v>
      </c>
      <c r="C247" s="31" t="s">
        <v>191</v>
      </c>
      <c r="D247" s="31" t="s">
        <v>108</v>
      </c>
      <c r="E247" s="32" t="n">
        <v>8682</v>
      </c>
      <c r="F247" s="32"/>
      <c r="G247" s="32"/>
      <c r="H247" s="33" t="n">
        <v>2</v>
      </c>
      <c r="I247" s="34" t="n">
        <f aca="false">E247*H247+N(F247)+N(G247)</f>
        <v>17364</v>
      </c>
      <c r="J247" s="32" t="n">
        <f aca="false">ROUND(IFERROR(ROUND(IF(OR(ISNUMBER(SEARCH("week",C247)),ISNUMBER(SEARCH("minggu",C247))),IFERROR(_xlfn.NUMBERVALUE(SUBSTITUTE(LEFT(TRIM(C247),FIND(" ",TRIM(C247)&amp;" ")-1),",","."),"."),LEFT(SUBSTITUTE(LEFT(TRIM(C247),FIND(" ",TRIM(C247)&amp;" ")-1),",","."),FIND("/",SUBSTITUTE(LEFT(TRIM(C247),FIND(" ",TRIM(C247)&amp;" ")-1),",","."))-1)/MID(SUBSTITUTE(LEFT(TRIM(C247),FIND(" ",TRIM(C247)&amp;" ")-1),",","."),FIND("/",SUBSTITUTE(LEFT(TRIM(C247),FIND(" ",TRIM(C247)&amp;" ")-1),",","."))+1,9))*12/52,IF(ISNUMBER(SEARCH("month",C247)),IFERROR(_xlfn.NUMBERVALUE(SUBSTITUTE(LEFT(TRIM(C247),FIND(" ",TRIM(C247)&amp;" ")-1),",","."),"."),LEFT(SUBSTITUTE(LEFT(TRIM(C247),FIND(" ",TRIM(C247)&amp;" ")-1),",","."),FIND("/",SUBSTITUTE(LEFT(TRIM(C247),FIND(" ",TRIM(C247)&amp;" ")-1),",","."))-1)/MID(SUBSTITUTE(LEFT(TRIM(C247),FIND(" ",TRIM(C247)&amp;" ")-1),",","."),FIND("/",SUBSTITUTE(LEFT(TRIM(C247),FIND(" ",TRIM(C247)&amp;" ")-1),",","."))+1,9)),IF(ISNUMBER(SEARCH("yea",C247)),IFERROR(_xlfn.NUMBERVALUE(SUBSTITUTE(LEFT(TRIM(C247),FIND(" ",TRIM(C247)&amp;" ")-1),",","."),"."),LEFT(SUBSTITUTE(LEFT(TRIM(C247),FIND(" ",TRIM(C247)&amp;" ")-1),",","."),FIND("/",SUBSTITUTE(LEFT(TRIM(C247),FIND(" ",TRIM(C247)&amp;" ")-1),",","."))-1)/MID(SUBSTITUTE(LEFT(TRIM(C247),FIND(" ",TRIM(C247)&amp;" ")-1),",","."),FIND("/",SUBSTITUTE(LEFT(TRIM(C247),FIND(" ",TRIM(C247)&amp;" ")-1),",","."))+1,9))*12,NA()))),0),48)*'Aturan &amp; Tarif'!$B$4,2)</f>
        <v>2725.44</v>
      </c>
      <c r="K247" s="32" t="n">
        <f aca="false">'Aturan &amp; Tarif'!$B$5</f>
        <v>2050</v>
      </c>
      <c r="L247" s="32" t="n">
        <f aca="false">'Aturan &amp; Tarif'!$B$6</f>
        <v>350</v>
      </c>
      <c r="M247" s="35" t="n">
        <f aca="false">I247+J247+K247+L247</f>
        <v>22489.44</v>
      </c>
      <c r="N247" s="37" t="s">
        <v>318</v>
      </c>
    </row>
    <row r="248" customFormat="false" ht="14.25" hidden="false" customHeight="true" outlineLevel="0" collapsed="false">
      <c r="A248" s="29"/>
      <c r="B248" s="30" t="s">
        <v>407</v>
      </c>
      <c r="C248" s="31" t="s">
        <v>107</v>
      </c>
      <c r="D248" s="31" t="s">
        <v>108</v>
      </c>
      <c r="E248" s="32" t="n">
        <v>8682</v>
      </c>
      <c r="F248" s="32"/>
      <c r="G248" s="32"/>
      <c r="H248" s="33" t="n">
        <v>2</v>
      </c>
      <c r="I248" s="34" t="n">
        <f aca="false">E248*H248+N(F248)+N(G248)</f>
        <v>17364</v>
      </c>
      <c r="J248" s="32" t="n">
        <f aca="false">ROUND(IFERROR(ROUND(IF(OR(ISNUMBER(SEARCH("week",C248)),ISNUMBER(SEARCH("minggu",C248))),IFERROR(_xlfn.NUMBERVALUE(SUBSTITUTE(LEFT(TRIM(C248),FIND(" ",TRIM(C248)&amp;" ")-1),",","."),"."),LEFT(SUBSTITUTE(LEFT(TRIM(C248),FIND(" ",TRIM(C248)&amp;" ")-1),",","."),FIND("/",SUBSTITUTE(LEFT(TRIM(C248),FIND(" ",TRIM(C248)&amp;" ")-1),",","."))-1)/MID(SUBSTITUTE(LEFT(TRIM(C248),FIND(" ",TRIM(C248)&amp;" ")-1),",","."),FIND("/",SUBSTITUTE(LEFT(TRIM(C248),FIND(" ",TRIM(C248)&amp;" ")-1),",","."))+1,9))*12/52,IF(ISNUMBER(SEARCH("month",C248)),IFERROR(_xlfn.NUMBERVALUE(SUBSTITUTE(LEFT(TRIM(C248),FIND(" ",TRIM(C248)&amp;" ")-1),",","."),"."),LEFT(SUBSTITUTE(LEFT(TRIM(C248),FIND(" ",TRIM(C248)&amp;" ")-1),",","."),FIND("/",SUBSTITUTE(LEFT(TRIM(C248),FIND(" ",TRIM(C248)&amp;" ")-1),",","."))-1)/MID(SUBSTITUTE(LEFT(TRIM(C248),FIND(" ",TRIM(C248)&amp;" ")-1),",","."),FIND("/",SUBSTITUTE(LEFT(TRIM(C248),FIND(" ",TRIM(C248)&amp;" ")-1),",","."))+1,9)),IF(ISNUMBER(SEARCH("yea",C248)),IFERROR(_xlfn.NUMBERVALUE(SUBSTITUTE(LEFT(TRIM(C248),FIND(" ",TRIM(C248)&amp;" ")-1),",","."),"."),LEFT(SUBSTITUTE(LEFT(TRIM(C248),FIND(" ",TRIM(C248)&amp;" ")-1),",","."),FIND("/",SUBSTITUTE(LEFT(TRIM(C248),FIND(" ",TRIM(C248)&amp;" ")-1),",","."))-1)/MID(SUBSTITUTE(LEFT(TRIM(C248),FIND(" ",TRIM(C248)&amp;" ")-1),",","."),FIND("/",SUBSTITUTE(LEFT(TRIM(C248),FIND(" ",TRIM(C248)&amp;" ")-1),",","."))+1,9))*12,NA()))),0),24)*'Aturan &amp; Tarif'!$B$4,2)</f>
        <v>1362.72</v>
      </c>
      <c r="K248" s="32" t="n">
        <f aca="false">'Aturan &amp; Tarif'!$B$5</f>
        <v>2050</v>
      </c>
      <c r="L248" s="32" t="n">
        <f aca="false">'Aturan &amp; Tarif'!$B$6</f>
        <v>350</v>
      </c>
      <c r="M248" s="35" t="n">
        <f aca="false">I248+J248+K248+L248</f>
        <v>21126.72</v>
      </c>
      <c r="N248" s="37" t="s">
        <v>318</v>
      </c>
    </row>
    <row r="249" customFormat="false" ht="14.25" hidden="false" customHeight="true" outlineLevel="0" collapsed="false">
      <c r="A249" s="29"/>
      <c r="B249" s="30" t="s">
        <v>408</v>
      </c>
      <c r="C249" s="31" t="s">
        <v>130</v>
      </c>
      <c r="D249" s="31" t="s">
        <v>108</v>
      </c>
      <c r="E249" s="32" t="n">
        <v>7086</v>
      </c>
      <c r="F249" s="32"/>
      <c r="G249" s="32"/>
      <c r="H249" s="33" t="n">
        <v>2</v>
      </c>
      <c r="I249" s="34" t="n">
        <f aca="false">E249*H249+N(F249)+N(G249)</f>
        <v>14172</v>
      </c>
      <c r="J249" s="32" t="n">
        <f aca="false">ROUND(IFERROR(ROUND(IF(OR(ISNUMBER(SEARCH("week",C249)),ISNUMBER(SEARCH("minggu",C249))),IFERROR(_xlfn.NUMBERVALUE(SUBSTITUTE(LEFT(TRIM(C249),FIND(" ",TRIM(C249)&amp;" ")-1),",","."),"."),LEFT(SUBSTITUTE(LEFT(TRIM(C249),FIND(" ",TRIM(C249)&amp;" ")-1),",","."),FIND("/",SUBSTITUTE(LEFT(TRIM(C249),FIND(" ",TRIM(C249)&amp;" ")-1),",","."))-1)/MID(SUBSTITUTE(LEFT(TRIM(C249),FIND(" ",TRIM(C249)&amp;" ")-1),",","."),FIND("/",SUBSTITUTE(LEFT(TRIM(C249),FIND(" ",TRIM(C249)&amp;" ")-1),",","."))+1,9))*12/52,IF(ISNUMBER(SEARCH("month",C249)),IFERROR(_xlfn.NUMBERVALUE(SUBSTITUTE(LEFT(TRIM(C249),FIND(" ",TRIM(C249)&amp;" ")-1),",","."),"."),LEFT(SUBSTITUTE(LEFT(TRIM(C249),FIND(" ",TRIM(C249)&amp;" ")-1),",","."),FIND("/",SUBSTITUTE(LEFT(TRIM(C249),FIND(" ",TRIM(C249)&amp;" ")-1),",","."))-1)/MID(SUBSTITUTE(LEFT(TRIM(C249),FIND(" ",TRIM(C249)&amp;" ")-1),",","."),FIND("/",SUBSTITUTE(LEFT(TRIM(C249),FIND(" ",TRIM(C249)&amp;" ")-1),",","."))+1,9)),IF(ISNUMBER(SEARCH("yea",C249)),IFERROR(_xlfn.NUMBERVALUE(SUBSTITUTE(LEFT(TRIM(C249),FIND(" ",TRIM(C249)&amp;" ")-1),",","."),"."),LEFT(SUBSTITUTE(LEFT(TRIM(C249),FIND(" ",TRIM(C249)&amp;" ")-1),",","."),FIND("/",SUBSTITUTE(LEFT(TRIM(C249),FIND(" ",TRIM(C249)&amp;" ")-1),",","."))-1)/MID(SUBSTITUTE(LEFT(TRIM(C249),FIND(" ",TRIM(C249)&amp;" ")-1),",","."),FIND("/",SUBSTITUTE(LEFT(TRIM(C249),FIND(" ",TRIM(C249)&amp;" ")-1),",","."))+1,9))*12,NA()))),0),12)*'Aturan &amp; Tarif'!$B$4,2)</f>
        <v>681.36</v>
      </c>
      <c r="K249" s="32" t="n">
        <f aca="false">'Aturan &amp; Tarif'!$B$5</f>
        <v>2050</v>
      </c>
      <c r="L249" s="32" t="n">
        <f aca="false">'Aturan &amp; Tarif'!$B$6</f>
        <v>350</v>
      </c>
      <c r="M249" s="35" t="n">
        <f aca="false">I249+J249+K249+L249</f>
        <v>17253.36</v>
      </c>
      <c r="N249" s="37" t="s">
        <v>318</v>
      </c>
    </row>
    <row r="250" customFormat="false" ht="14.25" hidden="false" customHeight="true" outlineLevel="0" collapsed="false">
      <c r="A250" s="29"/>
      <c r="B250" s="30" t="s">
        <v>409</v>
      </c>
      <c r="C250" s="31" t="s">
        <v>130</v>
      </c>
      <c r="D250" s="31" t="s">
        <v>108</v>
      </c>
      <c r="E250" s="32" t="n">
        <v>8058</v>
      </c>
      <c r="F250" s="32"/>
      <c r="G250" s="32"/>
      <c r="H250" s="33" t="n">
        <v>2</v>
      </c>
      <c r="I250" s="34" t="n">
        <f aca="false">E250*H250+N(F250)+N(G250)</f>
        <v>16116</v>
      </c>
      <c r="J250" s="32" t="n">
        <f aca="false">ROUND(IFERROR(ROUND(IF(OR(ISNUMBER(SEARCH("week",C250)),ISNUMBER(SEARCH("minggu",C250))),IFERROR(_xlfn.NUMBERVALUE(SUBSTITUTE(LEFT(TRIM(C250),FIND(" ",TRIM(C250)&amp;" ")-1),",","."),"."),LEFT(SUBSTITUTE(LEFT(TRIM(C250),FIND(" ",TRIM(C250)&amp;" ")-1),",","."),FIND("/",SUBSTITUTE(LEFT(TRIM(C250),FIND(" ",TRIM(C250)&amp;" ")-1),",","."))-1)/MID(SUBSTITUTE(LEFT(TRIM(C250),FIND(" ",TRIM(C250)&amp;" ")-1),",","."),FIND("/",SUBSTITUTE(LEFT(TRIM(C250),FIND(" ",TRIM(C250)&amp;" ")-1),",","."))+1,9))*12/52,IF(ISNUMBER(SEARCH("month",C250)),IFERROR(_xlfn.NUMBERVALUE(SUBSTITUTE(LEFT(TRIM(C250),FIND(" ",TRIM(C250)&amp;" ")-1),",","."),"."),LEFT(SUBSTITUTE(LEFT(TRIM(C250),FIND(" ",TRIM(C250)&amp;" ")-1),",","."),FIND("/",SUBSTITUTE(LEFT(TRIM(C250),FIND(" ",TRIM(C250)&amp;" ")-1),",","."))-1)/MID(SUBSTITUTE(LEFT(TRIM(C250),FIND(" ",TRIM(C250)&amp;" ")-1),",","."),FIND("/",SUBSTITUTE(LEFT(TRIM(C250),FIND(" ",TRIM(C250)&amp;" ")-1),",","."))+1,9)),IF(ISNUMBER(SEARCH("yea",C250)),IFERROR(_xlfn.NUMBERVALUE(SUBSTITUTE(LEFT(TRIM(C250),FIND(" ",TRIM(C250)&amp;" ")-1),",","."),"."),LEFT(SUBSTITUTE(LEFT(TRIM(C250),FIND(" ",TRIM(C250)&amp;" ")-1),",","."),FIND("/",SUBSTITUTE(LEFT(TRIM(C250),FIND(" ",TRIM(C250)&amp;" ")-1),",","."))-1)/MID(SUBSTITUTE(LEFT(TRIM(C250),FIND(" ",TRIM(C250)&amp;" ")-1),",","."),FIND("/",SUBSTITUTE(LEFT(TRIM(C250),FIND(" ",TRIM(C250)&amp;" ")-1),",","."))+1,9))*12,NA()))),0),12)*'Aturan &amp; Tarif'!$B$4,2)</f>
        <v>681.36</v>
      </c>
      <c r="K250" s="32" t="n">
        <f aca="false">'Aturan &amp; Tarif'!$B$5</f>
        <v>2050</v>
      </c>
      <c r="L250" s="32" t="n">
        <f aca="false">'Aturan &amp; Tarif'!$B$6</f>
        <v>350</v>
      </c>
      <c r="M250" s="35" t="n">
        <f aca="false">I250+J250+K250+L250</f>
        <v>19197.36</v>
      </c>
      <c r="N250" s="37" t="s">
        <v>318</v>
      </c>
    </row>
    <row r="251" customFormat="false" ht="25.5" hidden="false" customHeight="true" outlineLevel="0" collapsed="false">
      <c r="A251" s="29"/>
      <c r="B251" s="30" t="s">
        <v>410</v>
      </c>
      <c r="C251" s="31" t="s">
        <v>130</v>
      </c>
      <c r="D251" s="31" t="s">
        <v>108</v>
      </c>
      <c r="E251" s="32" t="n">
        <v>8480</v>
      </c>
      <c r="F251" s="32"/>
      <c r="G251" s="32"/>
      <c r="H251" s="33" t="n">
        <v>2</v>
      </c>
      <c r="I251" s="34" t="n">
        <f aca="false">E251*H251+N(F251)+N(G251)</f>
        <v>16960</v>
      </c>
      <c r="J251" s="32" t="n">
        <f aca="false">ROUND(IFERROR(ROUND(IF(OR(ISNUMBER(SEARCH("week",C251)),ISNUMBER(SEARCH("minggu",C251))),IFERROR(_xlfn.NUMBERVALUE(SUBSTITUTE(LEFT(TRIM(C251),FIND(" ",TRIM(C251)&amp;" ")-1),",","."),"."),LEFT(SUBSTITUTE(LEFT(TRIM(C251),FIND(" ",TRIM(C251)&amp;" ")-1),",","."),FIND("/",SUBSTITUTE(LEFT(TRIM(C251),FIND(" ",TRIM(C251)&amp;" ")-1),",","."))-1)/MID(SUBSTITUTE(LEFT(TRIM(C251),FIND(" ",TRIM(C251)&amp;" ")-1),",","."),FIND("/",SUBSTITUTE(LEFT(TRIM(C251),FIND(" ",TRIM(C251)&amp;" ")-1),",","."))+1,9))*12/52,IF(ISNUMBER(SEARCH("month",C251)),IFERROR(_xlfn.NUMBERVALUE(SUBSTITUTE(LEFT(TRIM(C251),FIND(" ",TRIM(C251)&amp;" ")-1),",","."),"."),LEFT(SUBSTITUTE(LEFT(TRIM(C251),FIND(" ",TRIM(C251)&amp;" ")-1),",","."),FIND("/",SUBSTITUTE(LEFT(TRIM(C251),FIND(" ",TRIM(C251)&amp;" ")-1),",","."))-1)/MID(SUBSTITUTE(LEFT(TRIM(C251),FIND(" ",TRIM(C251)&amp;" ")-1),",","."),FIND("/",SUBSTITUTE(LEFT(TRIM(C251),FIND(" ",TRIM(C251)&amp;" ")-1),",","."))+1,9)),IF(ISNUMBER(SEARCH("yea",C251)),IFERROR(_xlfn.NUMBERVALUE(SUBSTITUTE(LEFT(TRIM(C251),FIND(" ",TRIM(C251)&amp;" ")-1),",","."),"."),LEFT(SUBSTITUTE(LEFT(TRIM(C251),FIND(" ",TRIM(C251)&amp;" ")-1),",","."),FIND("/",SUBSTITUTE(LEFT(TRIM(C251),FIND(" ",TRIM(C251)&amp;" ")-1),",","."))-1)/MID(SUBSTITUTE(LEFT(TRIM(C251),FIND(" ",TRIM(C251)&amp;" ")-1),",","."),FIND("/",SUBSTITUTE(LEFT(TRIM(C251),FIND(" ",TRIM(C251)&amp;" ")-1),",","."))+1,9))*12,NA()))),0),12)*'Aturan &amp; Tarif'!$B$4,2)</f>
        <v>681.36</v>
      </c>
      <c r="K251" s="32" t="n">
        <f aca="false">'Aturan &amp; Tarif'!$B$5</f>
        <v>2050</v>
      </c>
      <c r="L251" s="32" t="n">
        <f aca="false">'Aturan &amp; Tarif'!$B$6</f>
        <v>350</v>
      </c>
      <c r="M251" s="35" t="n">
        <f aca="false">I251+J251+K251+L251</f>
        <v>20041.36</v>
      </c>
      <c r="N251" s="37" t="s">
        <v>318</v>
      </c>
    </row>
    <row r="252" customFormat="false" ht="72" hidden="false" customHeight="true" outlineLevel="0" collapsed="false">
      <c r="A252" s="29"/>
      <c r="B252" s="30" t="s">
        <v>411</v>
      </c>
      <c r="C252" s="31" t="s">
        <v>130</v>
      </c>
      <c r="D252" s="31" t="s">
        <v>108</v>
      </c>
      <c r="E252" s="32" t="n">
        <v>8906</v>
      </c>
      <c r="F252" s="32"/>
      <c r="G252" s="32"/>
      <c r="H252" s="33" t="n">
        <v>2</v>
      </c>
      <c r="I252" s="34" t="n">
        <f aca="false">E252*H252+N(F252)+N(G252)</f>
        <v>17812</v>
      </c>
      <c r="J252" s="32" t="n">
        <f aca="false">ROUND(IFERROR(ROUND(IF(OR(ISNUMBER(SEARCH("week",C252)),ISNUMBER(SEARCH("minggu",C252))),IFERROR(_xlfn.NUMBERVALUE(SUBSTITUTE(LEFT(TRIM(C252),FIND(" ",TRIM(C252)&amp;" ")-1),",","."),"."),LEFT(SUBSTITUTE(LEFT(TRIM(C252),FIND(" ",TRIM(C252)&amp;" ")-1),",","."),FIND("/",SUBSTITUTE(LEFT(TRIM(C252),FIND(" ",TRIM(C252)&amp;" ")-1),",","."))-1)/MID(SUBSTITUTE(LEFT(TRIM(C252),FIND(" ",TRIM(C252)&amp;" ")-1),",","."),FIND("/",SUBSTITUTE(LEFT(TRIM(C252),FIND(" ",TRIM(C252)&amp;" ")-1),",","."))+1,9))*12/52,IF(ISNUMBER(SEARCH("month",C252)),IFERROR(_xlfn.NUMBERVALUE(SUBSTITUTE(LEFT(TRIM(C252),FIND(" ",TRIM(C252)&amp;" ")-1),",","."),"."),LEFT(SUBSTITUTE(LEFT(TRIM(C252),FIND(" ",TRIM(C252)&amp;" ")-1),",","."),FIND("/",SUBSTITUTE(LEFT(TRIM(C252),FIND(" ",TRIM(C252)&amp;" ")-1),",","."))-1)/MID(SUBSTITUTE(LEFT(TRIM(C252),FIND(" ",TRIM(C252)&amp;" ")-1),",","."),FIND("/",SUBSTITUTE(LEFT(TRIM(C252),FIND(" ",TRIM(C252)&amp;" ")-1),",","."))+1,9)),IF(ISNUMBER(SEARCH("yea",C252)),IFERROR(_xlfn.NUMBERVALUE(SUBSTITUTE(LEFT(TRIM(C252),FIND(" ",TRIM(C252)&amp;" ")-1),",","."),"."),LEFT(SUBSTITUTE(LEFT(TRIM(C252),FIND(" ",TRIM(C252)&amp;" ")-1),",","."),FIND("/",SUBSTITUTE(LEFT(TRIM(C252),FIND(" ",TRIM(C252)&amp;" ")-1),",","."))-1)/MID(SUBSTITUTE(LEFT(TRIM(C252),FIND(" ",TRIM(C252)&amp;" ")-1),",","."),FIND("/",SUBSTITUTE(LEFT(TRIM(C252),FIND(" ",TRIM(C252)&amp;" ")-1),",","."))+1,9))*12,NA()))),0),12)*'Aturan &amp; Tarif'!$B$4,2)</f>
        <v>681.36</v>
      </c>
      <c r="K252" s="32" t="n">
        <f aca="false">'Aturan &amp; Tarif'!$B$5</f>
        <v>2050</v>
      </c>
      <c r="L252" s="32" t="n">
        <f aca="false">'Aturan &amp; Tarif'!$B$6</f>
        <v>350</v>
      </c>
      <c r="M252" s="35" t="n">
        <f aca="false">I252+J252+K252+L252</f>
        <v>20893.36</v>
      </c>
      <c r="N252" s="37" t="s">
        <v>318</v>
      </c>
    </row>
    <row r="253" customFormat="false" ht="14.25" hidden="false" customHeight="true" outlineLevel="0" collapsed="false">
      <c r="A253" s="29"/>
      <c r="B253" s="30" t="s">
        <v>412</v>
      </c>
      <c r="C253" s="31" t="s">
        <v>130</v>
      </c>
      <c r="D253" s="31" t="s">
        <v>108</v>
      </c>
      <c r="E253" s="32" t="n">
        <v>7086</v>
      </c>
      <c r="F253" s="32"/>
      <c r="G253" s="32"/>
      <c r="H253" s="33" t="n">
        <v>2</v>
      </c>
      <c r="I253" s="34" t="n">
        <f aca="false">E253*H253+N(F253)+N(G253)</f>
        <v>14172</v>
      </c>
      <c r="J253" s="32" t="n">
        <f aca="false">ROUND(IFERROR(ROUND(IF(OR(ISNUMBER(SEARCH("week",C253)),ISNUMBER(SEARCH("minggu",C253))),IFERROR(_xlfn.NUMBERVALUE(SUBSTITUTE(LEFT(TRIM(C253),FIND(" ",TRIM(C253)&amp;" ")-1),",","."),"."),LEFT(SUBSTITUTE(LEFT(TRIM(C253),FIND(" ",TRIM(C253)&amp;" ")-1),",","."),FIND("/",SUBSTITUTE(LEFT(TRIM(C253),FIND(" ",TRIM(C253)&amp;" ")-1),",","."))-1)/MID(SUBSTITUTE(LEFT(TRIM(C253),FIND(" ",TRIM(C253)&amp;" ")-1),",","."),FIND("/",SUBSTITUTE(LEFT(TRIM(C253),FIND(" ",TRIM(C253)&amp;" ")-1),",","."))+1,9))*12/52,IF(ISNUMBER(SEARCH("month",C253)),IFERROR(_xlfn.NUMBERVALUE(SUBSTITUTE(LEFT(TRIM(C253),FIND(" ",TRIM(C253)&amp;" ")-1),",","."),"."),LEFT(SUBSTITUTE(LEFT(TRIM(C253),FIND(" ",TRIM(C253)&amp;" ")-1),",","."),FIND("/",SUBSTITUTE(LEFT(TRIM(C253),FIND(" ",TRIM(C253)&amp;" ")-1),",","."))-1)/MID(SUBSTITUTE(LEFT(TRIM(C253),FIND(" ",TRIM(C253)&amp;" ")-1),",","."),FIND("/",SUBSTITUTE(LEFT(TRIM(C253),FIND(" ",TRIM(C253)&amp;" ")-1),",","."))+1,9)),IF(ISNUMBER(SEARCH("yea",C253)),IFERROR(_xlfn.NUMBERVALUE(SUBSTITUTE(LEFT(TRIM(C253),FIND(" ",TRIM(C253)&amp;" ")-1),",","."),"."),LEFT(SUBSTITUTE(LEFT(TRIM(C253),FIND(" ",TRIM(C253)&amp;" ")-1),",","."),FIND("/",SUBSTITUTE(LEFT(TRIM(C253),FIND(" ",TRIM(C253)&amp;" ")-1),",","."))-1)/MID(SUBSTITUTE(LEFT(TRIM(C253),FIND(" ",TRIM(C253)&amp;" ")-1),",","."),FIND("/",SUBSTITUTE(LEFT(TRIM(C253),FIND(" ",TRIM(C253)&amp;" ")-1),",","."))+1,9))*12,NA()))),0),12)*'Aturan &amp; Tarif'!$B$4,2)</f>
        <v>681.36</v>
      </c>
      <c r="K253" s="32" t="n">
        <f aca="false">'Aturan &amp; Tarif'!$B$5</f>
        <v>2050</v>
      </c>
      <c r="L253" s="32" t="n">
        <f aca="false">'Aturan &amp; Tarif'!$B$6</f>
        <v>350</v>
      </c>
      <c r="M253" s="35" t="n">
        <f aca="false">I253+J253+K253+L253</f>
        <v>17253.36</v>
      </c>
      <c r="N253" s="37" t="s">
        <v>318</v>
      </c>
    </row>
    <row r="254" customFormat="false" ht="60" hidden="false" customHeight="true" outlineLevel="0" collapsed="false">
      <c r="A254" s="29"/>
      <c r="B254" s="30" t="s">
        <v>872</v>
      </c>
      <c r="C254" s="31" t="s">
        <v>130</v>
      </c>
      <c r="D254" s="31" t="s">
        <v>108</v>
      </c>
      <c r="E254" s="32" t="n">
        <v>8058</v>
      </c>
      <c r="F254" s="32"/>
      <c r="G254" s="32"/>
      <c r="H254" s="33" t="n">
        <v>2</v>
      </c>
      <c r="I254" s="34" t="n">
        <f aca="false">E254*H254+N(F254)+N(G254)</f>
        <v>16116</v>
      </c>
      <c r="J254" s="32" t="n">
        <f aca="false">ROUND(IFERROR(ROUND(IF(OR(ISNUMBER(SEARCH("week",C254)),ISNUMBER(SEARCH("minggu",C254))),IFERROR(_xlfn.NUMBERVALUE(SUBSTITUTE(LEFT(TRIM(C254),FIND(" ",TRIM(C254)&amp;" ")-1),",","."),"."),LEFT(SUBSTITUTE(LEFT(TRIM(C254),FIND(" ",TRIM(C254)&amp;" ")-1),",","."),FIND("/",SUBSTITUTE(LEFT(TRIM(C254),FIND(" ",TRIM(C254)&amp;" ")-1),",","."))-1)/MID(SUBSTITUTE(LEFT(TRIM(C254),FIND(" ",TRIM(C254)&amp;" ")-1),",","."),FIND("/",SUBSTITUTE(LEFT(TRIM(C254),FIND(" ",TRIM(C254)&amp;" ")-1),",","."))+1,9))*12/52,IF(ISNUMBER(SEARCH("month",C254)),IFERROR(_xlfn.NUMBERVALUE(SUBSTITUTE(LEFT(TRIM(C254),FIND(" ",TRIM(C254)&amp;" ")-1),",","."),"."),LEFT(SUBSTITUTE(LEFT(TRIM(C254),FIND(" ",TRIM(C254)&amp;" ")-1),",","."),FIND("/",SUBSTITUTE(LEFT(TRIM(C254),FIND(" ",TRIM(C254)&amp;" ")-1),",","."))-1)/MID(SUBSTITUTE(LEFT(TRIM(C254),FIND(" ",TRIM(C254)&amp;" ")-1),",","."),FIND("/",SUBSTITUTE(LEFT(TRIM(C254),FIND(" ",TRIM(C254)&amp;" ")-1),",","."))+1,9)),IF(ISNUMBER(SEARCH("yea",C254)),IFERROR(_xlfn.NUMBERVALUE(SUBSTITUTE(LEFT(TRIM(C254),FIND(" ",TRIM(C254)&amp;" ")-1),",","."),"."),LEFT(SUBSTITUTE(LEFT(TRIM(C254),FIND(" ",TRIM(C254)&amp;" ")-1),",","."),FIND("/",SUBSTITUTE(LEFT(TRIM(C254),FIND(" ",TRIM(C254)&amp;" ")-1),",","."))-1)/MID(SUBSTITUTE(LEFT(TRIM(C254),FIND(" ",TRIM(C254)&amp;" ")-1),",","."),FIND("/",SUBSTITUTE(LEFT(TRIM(C254),FIND(" ",TRIM(C254)&amp;" ")-1),",","."))+1,9))*12,NA()))),0),12)*'Aturan &amp; Tarif'!$B$4,2)</f>
        <v>681.36</v>
      </c>
      <c r="K254" s="32" t="n">
        <f aca="false">'Aturan &amp; Tarif'!$B$5</f>
        <v>2050</v>
      </c>
      <c r="L254" s="32" t="n">
        <f aca="false">'Aturan &amp; Tarif'!$B$6</f>
        <v>350</v>
      </c>
      <c r="M254" s="35" t="n">
        <f aca="false">I254+J254+K254+L254</f>
        <v>19197.36</v>
      </c>
      <c r="N254" s="37" t="s">
        <v>318</v>
      </c>
    </row>
    <row r="255" customFormat="false" ht="60" hidden="false" customHeight="true" outlineLevel="0" collapsed="false">
      <c r="A255" s="29"/>
      <c r="B255" s="30" t="s">
        <v>414</v>
      </c>
      <c r="C255" s="31" t="s">
        <v>130</v>
      </c>
      <c r="D255" s="31" t="s">
        <v>108</v>
      </c>
      <c r="E255" s="32" t="n">
        <v>8906</v>
      </c>
      <c r="F255" s="32"/>
      <c r="G255" s="32"/>
      <c r="H255" s="33" t="n">
        <v>2</v>
      </c>
      <c r="I255" s="34" t="n">
        <f aca="false">E255*H255+N(F255)+N(G255)</f>
        <v>17812</v>
      </c>
      <c r="J255" s="32" t="n">
        <f aca="false">ROUND(IFERROR(ROUND(IF(OR(ISNUMBER(SEARCH("week",C255)),ISNUMBER(SEARCH("minggu",C255))),IFERROR(_xlfn.NUMBERVALUE(SUBSTITUTE(LEFT(TRIM(C255),FIND(" ",TRIM(C255)&amp;" ")-1),",","."),"."),LEFT(SUBSTITUTE(LEFT(TRIM(C255),FIND(" ",TRIM(C255)&amp;" ")-1),",","."),FIND("/",SUBSTITUTE(LEFT(TRIM(C255),FIND(" ",TRIM(C255)&amp;" ")-1),",","."))-1)/MID(SUBSTITUTE(LEFT(TRIM(C255),FIND(" ",TRIM(C255)&amp;" ")-1),",","."),FIND("/",SUBSTITUTE(LEFT(TRIM(C255),FIND(" ",TRIM(C255)&amp;" ")-1),",","."))+1,9))*12/52,IF(ISNUMBER(SEARCH("month",C255)),IFERROR(_xlfn.NUMBERVALUE(SUBSTITUTE(LEFT(TRIM(C255),FIND(" ",TRIM(C255)&amp;" ")-1),",","."),"."),LEFT(SUBSTITUTE(LEFT(TRIM(C255),FIND(" ",TRIM(C255)&amp;" ")-1),",","."),FIND("/",SUBSTITUTE(LEFT(TRIM(C255),FIND(" ",TRIM(C255)&amp;" ")-1),",","."))-1)/MID(SUBSTITUTE(LEFT(TRIM(C255),FIND(" ",TRIM(C255)&amp;" ")-1),",","."),FIND("/",SUBSTITUTE(LEFT(TRIM(C255),FIND(" ",TRIM(C255)&amp;" ")-1),",","."))+1,9)),IF(ISNUMBER(SEARCH("yea",C255)),IFERROR(_xlfn.NUMBERVALUE(SUBSTITUTE(LEFT(TRIM(C255),FIND(" ",TRIM(C255)&amp;" ")-1),",","."),"."),LEFT(SUBSTITUTE(LEFT(TRIM(C255),FIND(" ",TRIM(C255)&amp;" ")-1),",","."),FIND("/",SUBSTITUTE(LEFT(TRIM(C255),FIND(" ",TRIM(C255)&amp;" ")-1),",","."))-1)/MID(SUBSTITUTE(LEFT(TRIM(C255),FIND(" ",TRIM(C255)&amp;" ")-1),",","."),FIND("/",SUBSTITUTE(LEFT(TRIM(C255),FIND(" ",TRIM(C255)&amp;" ")-1),",","."))+1,9))*12,NA()))),0),12)*'Aturan &amp; Tarif'!$B$4,2)</f>
        <v>681.36</v>
      </c>
      <c r="K255" s="32" t="n">
        <f aca="false">'Aturan &amp; Tarif'!$B$5</f>
        <v>2050</v>
      </c>
      <c r="L255" s="32" t="n">
        <f aca="false">'Aturan &amp; Tarif'!$B$6</f>
        <v>350</v>
      </c>
      <c r="M255" s="35" t="n">
        <f aca="false">I255+J255+K255+L255</f>
        <v>20893.36</v>
      </c>
      <c r="N255" s="37" t="s">
        <v>318</v>
      </c>
    </row>
    <row r="256" customFormat="false" ht="60" hidden="false" customHeight="true" outlineLevel="0" collapsed="false">
      <c r="A256" s="29"/>
      <c r="B256" s="30" t="s">
        <v>415</v>
      </c>
      <c r="C256" s="31" t="s">
        <v>130</v>
      </c>
      <c r="D256" s="31" t="s">
        <v>108</v>
      </c>
      <c r="E256" s="32" t="n">
        <v>7086</v>
      </c>
      <c r="F256" s="32"/>
      <c r="G256" s="32"/>
      <c r="H256" s="33" t="n">
        <v>2</v>
      </c>
      <c r="I256" s="34" t="n">
        <f aca="false">E256*H256+N(F256)+N(G256)</f>
        <v>14172</v>
      </c>
      <c r="J256" s="32" t="n">
        <f aca="false">ROUND(IFERROR(ROUND(IF(OR(ISNUMBER(SEARCH("week",C256)),ISNUMBER(SEARCH("minggu",C256))),IFERROR(_xlfn.NUMBERVALUE(SUBSTITUTE(LEFT(TRIM(C256),FIND(" ",TRIM(C256)&amp;" ")-1),",","."),"."),LEFT(SUBSTITUTE(LEFT(TRIM(C256),FIND(" ",TRIM(C256)&amp;" ")-1),",","."),FIND("/",SUBSTITUTE(LEFT(TRIM(C256),FIND(" ",TRIM(C256)&amp;" ")-1),",","."))-1)/MID(SUBSTITUTE(LEFT(TRIM(C256),FIND(" ",TRIM(C256)&amp;" ")-1),",","."),FIND("/",SUBSTITUTE(LEFT(TRIM(C256),FIND(" ",TRIM(C256)&amp;" ")-1),",","."))+1,9))*12/52,IF(ISNUMBER(SEARCH("month",C256)),IFERROR(_xlfn.NUMBERVALUE(SUBSTITUTE(LEFT(TRIM(C256),FIND(" ",TRIM(C256)&amp;" ")-1),",","."),"."),LEFT(SUBSTITUTE(LEFT(TRIM(C256),FIND(" ",TRIM(C256)&amp;" ")-1),",","."),FIND("/",SUBSTITUTE(LEFT(TRIM(C256),FIND(" ",TRIM(C256)&amp;" ")-1),",","."))-1)/MID(SUBSTITUTE(LEFT(TRIM(C256),FIND(" ",TRIM(C256)&amp;" ")-1),",","."),FIND("/",SUBSTITUTE(LEFT(TRIM(C256),FIND(" ",TRIM(C256)&amp;" ")-1),",","."))+1,9)),IF(ISNUMBER(SEARCH("yea",C256)),IFERROR(_xlfn.NUMBERVALUE(SUBSTITUTE(LEFT(TRIM(C256),FIND(" ",TRIM(C256)&amp;" ")-1),",","."),"."),LEFT(SUBSTITUTE(LEFT(TRIM(C256),FIND(" ",TRIM(C256)&amp;" ")-1),",","."),FIND("/",SUBSTITUTE(LEFT(TRIM(C256),FIND(" ",TRIM(C256)&amp;" ")-1),",","."))-1)/MID(SUBSTITUTE(LEFT(TRIM(C256),FIND(" ",TRIM(C256)&amp;" ")-1),",","."),FIND("/",SUBSTITUTE(LEFT(TRIM(C256),FIND(" ",TRIM(C256)&amp;" ")-1),",","."))+1,9))*12,NA()))),0),12)*'Aturan &amp; Tarif'!$B$4,2)</f>
        <v>681.36</v>
      </c>
      <c r="K256" s="32" t="n">
        <f aca="false">'Aturan &amp; Tarif'!$B$5</f>
        <v>2050</v>
      </c>
      <c r="L256" s="32" t="n">
        <f aca="false">'Aturan &amp; Tarif'!$B$6</f>
        <v>350</v>
      </c>
      <c r="M256" s="35" t="n">
        <f aca="false">I256+J256+K256+L256</f>
        <v>17253.36</v>
      </c>
      <c r="N256" s="37" t="s">
        <v>318</v>
      </c>
    </row>
    <row r="257" customFormat="false" ht="60" hidden="false" customHeight="true" outlineLevel="0" collapsed="false">
      <c r="A257" s="29"/>
      <c r="B257" s="30" t="s">
        <v>416</v>
      </c>
      <c r="C257" s="31" t="s">
        <v>130</v>
      </c>
      <c r="D257" s="31" t="s">
        <v>108</v>
      </c>
      <c r="E257" s="32" t="n">
        <v>8906</v>
      </c>
      <c r="F257" s="32"/>
      <c r="G257" s="32"/>
      <c r="H257" s="33" t="n">
        <v>2</v>
      </c>
      <c r="I257" s="34" t="n">
        <f aca="false">E257*H257+N(F257)+N(G257)</f>
        <v>17812</v>
      </c>
      <c r="J257" s="32" t="n">
        <f aca="false">ROUND(IFERROR(ROUND(IF(OR(ISNUMBER(SEARCH("week",C257)),ISNUMBER(SEARCH("minggu",C257))),IFERROR(_xlfn.NUMBERVALUE(SUBSTITUTE(LEFT(TRIM(C257),FIND(" ",TRIM(C257)&amp;" ")-1),",","."),"."),LEFT(SUBSTITUTE(LEFT(TRIM(C257),FIND(" ",TRIM(C257)&amp;" ")-1),",","."),FIND("/",SUBSTITUTE(LEFT(TRIM(C257),FIND(" ",TRIM(C257)&amp;" ")-1),",","."))-1)/MID(SUBSTITUTE(LEFT(TRIM(C257),FIND(" ",TRIM(C257)&amp;" ")-1),",","."),FIND("/",SUBSTITUTE(LEFT(TRIM(C257),FIND(" ",TRIM(C257)&amp;" ")-1),",","."))+1,9))*12/52,IF(ISNUMBER(SEARCH("month",C257)),IFERROR(_xlfn.NUMBERVALUE(SUBSTITUTE(LEFT(TRIM(C257),FIND(" ",TRIM(C257)&amp;" ")-1),",","."),"."),LEFT(SUBSTITUTE(LEFT(TRIM(C257),FIND(" ",TRIM(C257)&amp;" ")-1),",","."),FIND("/",SUBSTITUTE(LEFT(TRIM(C257),FIND(" ",TRIM(C257)&amp;" ")-1),",","."))-1)/MID(SUBSTITUTE(LEFT(TRIM(C257),FIND(" ",TRIM(C257)&amp;" ")-1),",","."),FIND("/",SUBSTITUTE(LEFT(TRIM(C257),FIND(" ",TRIM(C257)&amp;" ")-1),",","."))+1,9)),IF(ISNUMBER(SEARCH("yea",C257)),IFERROR(_xlfn.NUMBERVALUE(SUBSTITUTE(LEFT(TRIM(C257),FIND(" ",TRIM(C257)&amp;" ")-1),",","."),"."),LEFT(SUBSTITUTE(LEFT(TRIM(C257),FIND(" ",TRIM(C257)&amp;" ")-1),",","."),FIND("/",SUBSTITUTE(LEFT(TRIM(C257),FIND(" ",TRIM(C257)&amp;" ")-1),",","."))-1)/MID(SUBSTITUTE(LEFT(TRIM(C257),FIND(" ",TRIM(C257)&amp;" ")-1),",","."),FIND("/",SUBSTITUTE(LEFT(TRIM(C257),FIND(" ",TRIM(C257)&amp;" ")-1),",","."))+1,9))*12,NA()))),0),12)*'Aturan &amp; Tarif'!$B$4,2)</f>
        <v>681.36</v>
      </c>
      <c r="K257" s="32" t="n">
        <f aca="false">'Aturan &amp; Tarif'!$B$5</f>
        <v>2050</v>
      </c>
      <c r="L257" s="32" t="n">
        <f aca="false">'Aturan &amp; Tarif'!$B$6</f>
        <v>350</v>
      </c>
      <c r="M257" s="35" t="n">
        <f aca="false">I257+J257+K257+L257</f>
        <v>20893.36</v>
      </c>
      <c r="N257" s="37" t="s">
        <v>318</v>
      </c>
    </row>
    <row r="258" customFormat="false" ht="60" hidden="false" customHeight="true" outlineLevel="0" collapsed="false">
      <c r="A258" s="29"/>
      <c r="B258" s="30" t="s">
        <v>417</v>
      </c>
      <c r="C258" s="31" t="s">
        <v>130</v>
      </c>
      <c r="D258" s="31" t="s">
        <v>108</v>
      </c>
      <c r="E258" s="32" t="n">
        <v>8906</v>
      </c>
      <c r="F258" s="32"/>
      <c r="G258" s="32"/>
      <c r="H258" s="33" t="n">
        <v>2</v>
      </c>
      <c r="I258" s="34" t="n">
        <f aca="false">E258*H258+N(F258)+N(G258)</f>
        <v>17812</v>
      </c>
      <c r="J258" s="32" t="n">
        <f aca="false">ROUND(IFERROR(ROUND(IF(OR(ISNUMBER(SEARCH("week",C258)),ISNUMBER(SEARCH("minggu",C258))),IFERROR(_xlfn.NUMBERVALUE(SUBSTITUTE(LEFT(TRIM(C258),FIND(" ",TRIM(C258)&amp;" ")-1),",","."),"."),LEFT(SUBSTITUTE(LEFT(TRIM(C258),FIND(" ",TRIM(C258)&amp;" ")-1),",","."),FIND("/",SUBSTITUTE(LEFT(TRIM(C258),FIND(" ",TRIM(C258)&amp;" ")-1),",","."))-1)/MID(SUBSTITUTE(LEFT(TRIM(C258),FIND(" ",TRIM(C258)&amp;" ")-1),",","."),FIND("/",SUBSTITUTE(LEFT(TRIM(C258),FIND(" ",TRIM(C258)&amp;" ")-1),",","."))+1,9))*12/52,IF(ISNUMBER(SEARCH("month",C258)),IFERROR(_xlfn.NUMBERVALUE(SUBSTITUTE(LEFT(TRIM(C258),FIND(" ",TRIM(C258)&amp;" ")-1),",","."),"."),LEFT(SUBSTITUTE(LEFT(TRIM(C258),FIND(" ",TRIM(C258)&amp;" ")-1),",","."),FIND("/",SUBSTITUTE(LEFT(TRIM(C258),FIND(" ",TRIM(C258)&amp;" ")-1),",","."))-1)/MID(SUBSTITUTE(LEFT(TRIM(C258),FIND(" ",TRIM(C258)&amp;" ")-1),",","."),FIND("/",SUBSTITUTE(LEFT(TRIM(C258),FIND(" ",TRIM(C258)&amp;" ")-1),",","."))+1,9)),IF(ISNUMBER(SEARCH("yea",C258)),IFERROR(_xlfn.NUMBERVALUE(SUBSTITUTE(LEFT(TRIM(C258),FIND(" ",TRIM(C258)&amp;" ")-1),",","."),"."),LEFT(SUBSTITUTE(LEFT(TRIM(C258),FIND(" ",TRIM(C258)&amp;" ")-1),",","."),FIND("/",SUBSTITUTE(LEFT(TRIM(C258),FIND(" ",TRIM(C258)&amp;" ")-1),",","."))-1)/MID(SUBSTITUTE(LEFT(TRIM(C258),FIND(" ",TRIM(C258)&amp;" ")-1),",","."),FIND("/",SUBSTITUTE(LEFT(TRIM(C258),FIND(" ",TRIM(C258)&amp;" ")-1),",","."))+1,9))*12,NA()))),0),12)*'Aturan &amp; Tarif'!$B$4,2)</f>
        <v>681.36</v>
      </c>
      <c r="K258" s="32" t="n">
        <f aca="false">'Aturan &amp; Tarif'!$B$5</f>
        <v>2050</v>
      </c>
      <c r="L258" s="32" t="n">
        <f aca="false">'Aturan &amp; Tarif'!$B$6</f>
        <v>350</v>
      </c>
      <c r="M258" s="35" t="n">
        <f aca="false">I258+J258+K258+L258</f>
        <v>20893.36</v>
      </c>
      <c r="N258" s="37" t="s">
        <v>318</v>
      </c>
    </row>
    <row r="259" customFormat="false" ht="60" hidden="false" customHeight="true" outlineLevel="0" collapsed="false">
      <c r="A259" s="29"/>
      <c r="B259" s="30" t="s">
        <v>418</v>
      </c>
      <c r="C259" s="31" t="s">
        <v>130</v>
      </c>
      <c r="D259" s="31" t="s">
        <v>108</v>
      </c>
      <c r="E259" s="32" t="n">
        <v>5780</v>
      </c>
      <c r="F259" s="32"/>
      <c r="G259" s="32"/>
      <c r="H259" s="33" t="n">
        <v>2</v>
      </c>
      <c r="I259" s="34" t="n">
        <f aca="false">E259*H259+N(F259)+N(G259)</f>
        <v>11560</v>
      </c>
      <c r="J259" s="32" t="n">
        <f aca="false">ROUND(IFERROR(ROUND(IF(OR(ISNUMBER(SEARCH("week",C259)),ISNUMBER(SEARCH("minggu",C259))),IFERROR(_xlfn.NUMBERVALUE(SUBSTITUTE(LEFT(TRIM(C259),FIND(" ",TRIM(C259)&amp;" ")-1),",","."),"."),LEFT(SUBSTITUTE(LEFT(TRIM(C259),FIND(" ",TRIM(C259)&amp;" ")-1),",","."),FIND("/",SUBSTITUTE(LEFT(TRIM(C259),FIND(" ",TRIM(C259)&amp;" ")-1),",","."))-1)/MID(SUBSTITUTE(LEFT(TRIM(C259),FIND(" ",TRIM(C259)&amp;" ")-1),",","."),FIND("/",SUBSTITUTE(LEFT(TRIM(C259),FIND(" ",TRIM(C259)&amp;" ")-1),",","."))+1,9))*12/52,IF(ISNUMBER(SEARCH("month",C259)),IFERROR(_xlfn.NUMBERVALUE(SUBSTITUTE(LEFT(TRIM(C259),FIND(" ",TRIM(C259)&amp;" ")-1),",","."),"."),LEFT(SUBSTITUTE(LEFT(TRIM(C259),FIND(" ",TRIM(C259)&amp;" ")-1),",","."),FIND("/",SUBSTITUTE(LEFT(TRIM(C259),FIND(" ",TRIM(C259)&amp;" ")-1),",","."))-1)/MID(SUBSTITUTE(LEFT(TRIM(C259),FIND(" ",TRIM(C259)&amp;" ")-1),",","."),FIND("/",SUBSTITUTE(LEFT(TRIM(C259),FIND(" ",TRIM(C259)&amp;" ")-1),",","."))+1,9)),IF(ISNUMBER(SEARCH("yea",C259)),IFERROR(_xlfn.NUMBERVALUE(SUBSTITUTE(LEFT(TRIM(C259),FIND(" ",TRIM(C259)&amp;" ")-1),",","."),"."),LEFT(SUBSTITUTE(LEFT(TRIM(C259),FIND(" ",TRIM(C259)&amp;" ")-1),",","."),FIND("/",SUBSTITUTE(LEFT(TRIM(C259),FIND(" ",TRIM(C259)&amp;" ")-1),",","."))-1)/MID(SUBSTITUTE(LEFT(TRIM(C259),FIND(" ",TRIM(C259)&amp;" ")-1),",","."),FIND("/",SUBSTITUTE(LEFT(TRIM(C259),FIND(" ",TRIM(C259)&amp;" ")-1),",","."))+1,9))*12,NA()))),0),12)*'Aturan &amp; Tarif'!$B$4,2)</f>
        <v>681.36</v>
      </c>
      <c r="K259" s="32" t="n">
        <f aca="false">'Aturan &amp; Tarif'!$B$5</f>
        <v>2050</v>
      </c>
      <c r="L259" s="32" t="n">
        <f aca="false">'Aturan &amp; Tarif'!$B$6</f>
        <v>350</v>
      </c>
      <c r="M259" s="35" t="n">
        <f aca="false">I259+J259+K259+L259</f>
        <v>14641.36</v>
      </c>
      <c r="N259" s="37" t="s">
        <v>318</v>
      </c>
    </row>
    <row r="260" customFormat="false" ht="60" hidden="false" customHeight="true" outlineLevel="0" collapsed="false">
      <c r="A260" s="29"/>
      <c r="B260" s="30" t="s">
        <v>419</v>
      </c>
      <c r="C260" s="31" t="s">
        <v>130</v>
      </c>
      <c r="D260" s="31" t="s">
        <v>108</v>
      </c>
      <c r="E260" s="32" t="n">
        <v>5000</v>
      </c>
      <c r="F260" s="32"/>
      <c r="G260" s="32"/>
      <c r="H260" s="33" t="n">
        <v>2</v>
      </c>
      <c r="I260" s="34" t="n">
        <f aca="false">E260*H260+N(F260)+N(G260)</f>
        <v>10000</v>
      </c>
      <c r="J260" s="32" t="n">
        <f aca="false">ROUND(IFERROR(ROUND(IF(OR(ISNUMBER(SEARCH("week",C260)),ISNUMBER(SEARCH("minggu",C260))),IFERROR(_xlfn.NUMBERVALUE(SUBSTITUTE(LEFT(TRIM(C260),FIND(" ",TRIM(C260)&amp;" ")-1),",","."),"."),LEFT(SUBSTITUTE(LEFT(TRIM(C260),FIND(" ",TRIM(C260)&amp;" ")-1),",","."),FIND("/",SUBSTITUTE(LEFT(TRIM(C260),FIND(" ",TRIM(C260)&amp;" ")-1),",","."))-1)/MID(SUBSTITUTE(LEFT(TRIM(C260),FIND(" ",TRIM(C260)&amp;" ")-1),",","."),FIND("/",SUBSTITUTE(LEFT(TRIM(C260),FIND(" ",TRIM(C260)&amp;" ")-1),",","."))+1,9))*12/52,IF(ISNUMBER(SEARCH("month",C260)),IFERROR(_xlfn.NUMBERVALUE(SUBSTITUTE(LEFT(TRIM(C260),FIND(" ",TRIM(C260)&amp;" ")-1),",","."),"."),LEFT(SUBSTITUTE(LEFT(TRIM(C260),FIND(" ",TRIM(C260)&amp;" ")-1),",","."),FIND("/",SUBSTITUTE(LEFT(TRIM(C260),FIND(" ",TRIM(C260)&amp;" ")-1),",","."))-1)/MID(SUBSTITUTE(LEFT(TRIM(C260),FIND(" ",TRIM(C260)&amp;" ")-1),",","."),FIND("/",SUBSTITUTE(LEFT(TRIM(C260),FIND(" ",TRIM(C260)&amp;" ")-1),",","."))+1,9)),IF(ISNUMBER(SEARCH("yea",C260)),IFERROR(_xlfn.NUMBERVALUE(SUBSTITUTE(LEFT(TRIM(C260),FIND(" ",TRIM(C260)&amp;" ")-1),",","."),"."),LEFT(SUBSTITUTE(LEFT(TRIM(C260),FIND(" ",TRIM(C260)&amp;" ")-1),",","."),FIND("/",SUBSTITUTE(LEFT(TRIM(C260),FIND(" ",TRIM(C260)&amp;" ")-1),",","."))-1)/MID(SUBSTITUTE(LEFT(TRIM(C260),FIND(" ",TRIM(C260)&amp;" ")-1),",","."),FIND("/",SUBSTITUTE(LEFT(TRIM(C260),FIND(" ",TRIM(C260)&amp;" ")-1),",","."))+1,9))*12,NA()))),0),12)*'Aturan &amp; Tarif'!$B$4,2)</f>
        <v>681.36</v>
      </c>
      <c r="K260" s="32" t="n">
        <f aca="false">'Aturan &amp; Tarif'!$B$5</f>
        <v>2050</v>
      </c>
      <c r="L260" s="32" t="n">
        <f aca="false">'Aturan &amp; Tarif'!$B$6</f>
        <v>350</v>
      </c>
      <c r="M260" s="35" t="n">
        <f aca="false">I260+J260+K260+L260</f>
        <v>13081.36</v>
      </c>
      <c r="N260" s="37" t="s">
        <v>318</v>
      </c>
    </row>
    <row r="261" customFormat="false" ht="54.75" hidden="false" customHeight="true" outlineLevel="0" collapsed="false">
      <c r="A261" s="46" t="s">
        <v>1928</v>
      </c>
      <c r="B261" s="30" t="s">
        <v>1929</v>
      </c>
      <c r="C261" s="31" t="s">
        <v>1930</v>
      </c>
      <c r="D261" s="31" t="s">
        <v>108</v>
      </c>
      <c r="E261" s="32" t="n">
        <v>1350</v>
      </c>
      <c r="F261" s="32" t="n">
        <v>100</v>
      </c>
      <c r="G261" s="32" t="n">
        <v>250</v>
      </c>
      <c r="H261" s="33" t="n">
        <v>1</v>
      </c>
      <c r="I261" s="34" t="n">
        <f aca="false">E261*H261+N(F261)+N(G261)</f>
        <v>1700</v>
      </c>
      <c r="J261" s="32" t="n">
        <f aca="false">ROUND(IFERROR(ROUND(IF(OR(ISNUMBER(SEARCH("week",C261)),ISNUMBER(SEARCH("minggu",C261))),IFERROR(_xlfn.NUMBERVALUE(SUBSTITUTE(LEFT(TRIM(C261),FIND(" ",TRIM(C261)&amp;" ")-1),",","."),"."),LEFT(SUBSTITUTE(LEFT(TRIM(C261),FIND(" ",TRIM(C261)&amp;" ")-1),",","."),FIND("/",SUBSTITUTE(LEFT(TRIM(C261),FIND(" ",TRIM(C261)&amp;" ")-1),",","."))-1)/MID(SUBSTITUTE(LEFT(TRIM(C261),FIND(" ",TRIM(C261)&amp;" ")-1),",","."),FIND("/",SUBSTITUTE(LEFT(TRIM(C261),FIND(" ",TRIM(C261)&amp;" ")-1),",","."))+1,9))*12/52,IF(ISNUMBER(SEARCH("month",C261)),IFERROR(_xlfn.NUMBERVALUE(SUBSTITUTE(LEFT(TRIM(C261),FIND(" ",TRIM(C261)&amp;" ")-1),",","."),"."),LEFT(SUBSTITUTE(LEFT(TRIM(C261),FIND(" ",TRIM(C261)&amp;" ")-1),",","."),FIND("/",SUBSTITUTE(LEFT(TRIM(C261),FIND(" ",TRIM(C261)&amp;" ")-1),",","."))-1)/MID(SUBSTITUTE(LEFT(TRIM(C261),FIND(" ",TRIM(C261)&amp;" ")-1),",","."),FIND("/",SUBSTITUTE(LEFT(TRIM(C261),FIND(" ",TRIM(C261)&amp;" ")-1),",","."))+1,9)),IF(ISNUMBER(SEARCH("yea",C261)),IFERROR(_xlfn.NUMBERVALUE(SUBSTITUTE(LEFT(TRIM(C261),FIND(" ",TRIM(C261)&amp;" ")-1),",","."),"."),LEFT(SUBSTITUTE(LEFT(TRIM(C261),FIND(" ",TRIM(C261)&amp;" ")-1),",","."),FIND("/",SUBSTITUTE(LEFT(TRIM(C261),FIND(" ",TRIM(C261)&amp;" ")-1),",","."))-1)/MID(SUBSTITUTE(LEFT(TRIM(C261),FIND(" ",TRIM(C261)&amp;" ")-1),",","."),FIND("/",SUBSTITUTE(LEFT(TRIM(C261),FIND(" ",TRIM(C261)&amp;" ")-1),",","."))+1,9))*12,NA()))),0),12)*'Aturan &amp; Tarif'!$B$4,2)</f>
        <v>681.36</v>
      </c>
      <c r="K261" s="32" t="n">
        <f aca="false">'Aturan &amp; Tarif'!$B$5</f>
        <v>2050</v>
      </c>
      <c r="L261" s="32" t="n">
        <f aca="false">'Aturan &amp; Tarif'!$B$6</f>
        <v>350</v>
      </c>
      <c r="M261" s="35" t="n">
        <f aca="false">I261+J261+K261+L261</f>
        <v>4781.36</v>
      </c>
      <c r="N261" s="37" t="s">
        <v>1931</v>
      </c>
    </row>
    <row r="262" customFormat="false" ht="15" hidden="false" customHeight="true" outlineLevel="0" collapsed="false">
      <c r="A262" s="46"/>
      <c r="B262" s="30" t="s">
        <v>1932</v>
      </c>
      <c r="C262" s="31" t="s">
        <v>1930</v>
      </c>
      <c r="D262" s="31" t="s">
        <v>108</v>
      </c>
      <c r="E262" s="32" t="n">
        <v>1500</v>
      </c>
      <c r="F262" s="32" t="n">
        <v>100</v>
      </c>
      <c r="G262" s="32" t="n">
        <v>250</v>
      </c>
      <c r="H262" s="33" t="n">
        <v>1</v>
      </c>
      <c r="I262" s="34" t="n">
        <f aca="false">E262*H262+N(F262)+N(G262)</f>
        <v>1850</v>
      </c>
      <c r="J262" s="32" t="n">
        <f aca="false">ROUND(IFERROR(ROUND(IF(OR(ISNUMBER(SEARCH("week",C262)),ISNUMBER(SEARCH("minggu",C262))),IFERROR(_xlfn.NUMBERVALUE(SUBSTITUTE(LEFT(TRIM(C262),FIND(" ",TRIM(C262)&amp;" ")-1),",","."),"."),LEFT(SUBSTITUTE(LEFT(TRIM(C262),FIND(" ",TRIM(C262)&amp;" ")-1),",","."),FIND("/",SUBSTITUTE(LEFT(TRIM(C262),FIND(" ",TRIM(C262)&amp;" ")-1),",","."))-1)/MID(SUBSTITUTE(LEFT(TRIM(C262),FIND(" ",TRIM(C262)&amp;" ")-1),",","."),FIND("/",SUBSTITUTE(LEFT(TRIM(C262),FIND(" ",TRIM(C262)&amp;" ")-1),",","."))+1,9))*12/52,IF(ISNUMBER(SEARCH("month",C262)),IFERROR(_xlfn.NUMBERVALUE(SUBSTITUTE(LEFT(TRIM(C262),FIND(" ",TRIM(C262)&amp;" ")-1),",","."),"."),LEFT(SUBSTITUTE(LEFT(TRIM(C262),FIND(" ",TRIM(C262)&amp;" ")-1),",","."),FIND("/",SUBSTITUTE(LEFT(TRIM(C262),FIND(" ",TRIM(C262)&amp;" ")-1),",","."))-1)/MID(SUBSTITUTE(LEFT(TRIM(C262),FIND(" ",TRIM(C262)&amp;" ")-1),",","."),FIND("/",SUBSTITUTE(LEFT(TRIM(C262),FIND(" ",TRIM(C262)&amp;" ")-1),",","."))+1,9)),IF(ISNUMBER(SEARCH("yea",C262)),IFERROR(_xlfn.NUMBERVALUE(SUBSTITUTE(LEFT(TRIM(C262),FIND(" ",TRIM(C262)&amp;" ")-1),",","."),"."),LEFT(SUBSTITUTE(LEFT(TRIM(C262),FIND(" ",TRIM(C262)&amp;" ")-1),",","."),FIND("/",SUBSTITUTE(LEFT(TRIM(C262),FIND(" ",TRIM(C262)&amp;" ")-1),",","."))-1)/MID(SUBSTITUTE(LEFT(TRIM(C262),FIND(" ",TRIM(C262)&amp;" ")-1),",","."),FIND("/",SUBSTITUTE(LEFT(TRIM(C262),FIND(" ",TRIM(C262)&amp;" ")-1),",","."))+1,9))*12,NA()))),0),12)*'Aturan &amp; Tarif'!$B$4,2)</f>
        <v>681.36</v>
      </c>
      <c r="K262" s="32" t="n">
        <f aca="false">'Aturan &amp; Tarif'!$B$5</f>
        <v>2050</v>
      </c>
      <c r="L262" s="32" t="n">
        <f aca="false">'Aturan &amp; Tarif'!$B$6</f>
        <v>350</v>
      </c>
      <c r="M262" s="35" t="n">
        <f aca="false">I262+J262+K262+L262</f>
        <v>4931.36</v>
      </c>
      <c r="N262" s="37" t="s">
        <v>1933</v>
      </c>
    </row>
    <row r="263" customFormat="false" ht="15" hidden="false" customHeight="true" outlineLevel="0" collapsed="false">
      <c r="A263" s="46"/>
      <c r="B263" s="30" t="s">
        <v>1934</v>
      </c>
      <c r="C263" s="31" t="s">
        <v>1930</v>
      </c>
      <c r="D263" s="31" t="s">
        <v>108</v>
      </c>
      <c r="E263" s="32" t="n">
        <v>1350</v>
      </c>
      <c r="F263" s="32" t="n">
        <v>100</v>
      </c>
      <c r="G263" s="32" t="n">
        <v>250</v>
      </c>
      <c r="H263" s="33" t="n">
        <v>1</v>
      </c>
      <c r="I263" s="34" t="n">
        <f aca="false">E263*H263+N(F263)+N(G263)</f>
        <v>1700</v>
      </c>
      <c r="J263" s="32" t="n">
        <f aca="false">ROUND(IFERROR(ROUND(IF(OR(ISNUMBER(SEARCH("week",C263)),ISNUMBER(SEARCH("minggu",C263))),IFERROR(_xlfn.NUMBERVALUE(SUBSTITUTE(LEFT(TRIM(C263),FIND(" ",TRIM(C263)&amp;" ")-1),",","."),"."),LEFT(SUBSTITUTE(LEFT(TRIM(C263),FIND(" ",TRIM(C263)&amp;" ")-1),",","."),FIND("/",SUBSTITUTE(LEFT(TRIM(C263),FIND(" ",TRIM(C263)&amp;" ")-1),",","."))-1)/MID(SUBSTITUTE(LEFT(TRIM(C263),FIND(" ",TRIM(C263)&amp;" ")-1),",","."),FIND("/",SUBSTITUTE(LEFT(TRIM(C263),FIND(" ",TRIM(C263)&amp;" ")-1),",","."))+1,9))*12/52,IF(ISNUMBER(SEARCH("month",C263)),IFERROR(_xlfn.NUMBERVALUE(SUBSTITUTE(LEFT(TRIM(C263),FIND(" ",TRIM(C263)&amp;" ")-1),",","."),"."),LEFT(SUBSTITUTE(LEFT(TRIM(C263),FIND(" ",TRIM(C263)&amp;" ")-1),",","."),FIND("/",SUBSTITUTE(LEFT(TRIM(C263),FIND(" ",TRIM(C263)&amp;" ")-1),",","."))-1)/MID(SUBSTITUTE(LEFT(TRIM(C263),FIND(" ",TRIM(C263)&amp;" ")-1),",","."),FIND("/",SUBSTITUTE(LEFT(TRIM(C263),FIND(" ",TRIM(C263)&amp;" ")-1),",","."))+1,9)),IF(ISNUMBER(SEARCH("yea",C263)),IFERROR(_xlfn.NUMBERVALUE(SUBSTITUTE(LEFT(TRIM(C263),FIND(" ",TRIM(C263)&amp;" ")-1),",","."),"."),LEFT(SUBSTITUTE(LEFT(TRIM(C263),FIND(" ",TRIM(C263)&amp;" ")-1),",","."),FIND("/",SUBSTITUTE(LEFT(TRIM(C263),FIND(" ",TRIM(C263)&amp;" ")-1),",","."))-1)/MID(SUBSTITUTE(LEFT(TRIM(C263),FIND(" ",TRIM(C263)&amp;" ")-1),",","."),FIND("/",SUBSTITUTE(LEFT(TRIM(C263),FIND(" ",TRIM(C263)&amp;" ")-1),",","."))+1,9))*12,NA()))),0),12)*'Aturan &amp; Tarif'!$B$4,2)</f>
        <v>681.36</v>
      </c>
      <c r="K263" s="32" t="n">
        <f aca="false">'Aturan &amp; Tarif'!$B$5</f>
        <v>2050</v>
      </c>
      <c r="L263" s="32" t="n">
        <f aca="false">'Aturan &amp; Tarif'!$B$6</f>
        <v>350</v>
      </c>
      <c r="M263" s="35" t="n">
        <f aca="false">I263+J263+K263+L263</f>
        <v>4781.36</v>
      </c>
      <c r="N263" s="37" t="s">
        <v>1931</v>
      </c>
    </row>
    <row r="264" customFormat="false" ht="18.75" hidden="false" customHeight="true" outlineLevel="0" collapsed="false">
      <c r="A264" s="46"/>
      <c r="B264" s="30" t="s">
        <v>1935</v>
      </c>
      <c r="C264" s="31" t="s">
        <v>1930</v>
      </c>
      <c r="D264" s="31" t="s">
        <v>108</v>
      </c>
      <c r="E264" s="32" t="n">
        <v>1500</v>
      </c>
      <c r="F264" s="32" t="n">
        <v>100</v>
      </c>
      <c r="G264" s="32" t="n">
        <v>250</v>
      </c>
      <c r="H264" s="33" t="n">
        <v>1</v>
      </c>
      <c r="I264" s="34" t="n">
        <f aca="false">E264*H264+N(F264)+N(G264)</f>
        <v>1850</v>
      </c>
      <c r="J264" s="32" t="n">
        <f aca="false">ROUND(IFERROR(ROUND(IF(OR(ISNUMBER(SEARCH("week",C264)),ISNUMBER(SEARCH("minggu",C264))),IFERROR(_xlfn.NUMBERVALUE(SUBSTITUTE(LEFT(TRIM(C264),FIND(" ",TRIM(C264)&amp;" ")-1),",","."),"."),LEFT(SUBSTITUTE(LEFT(TRIM(C264),FIND(" ",TRIM(C264)&amp;" ")-1),",","."),FIND("/",SUBSTITUTE(LEFT(TRIM(C264),FIND(" ",TRIM(C264)&amp;" ")-1),",","."))-1)/MID(SUBSTITUTE(LEFT(TRIM(C264),FIND(" ",TRIM(C264)&amp;" ")-1),",","."),FIND("/",SUBSTITUTE(LEFT(TRIM(C264),FIND(" ",TRIM(C264)&amp;" ")-1),",","."))+1,9))*12/52,IF(ISNUMBER(SEARCH("month",C264)),IFERROR(_xlfn.NUMBERVALUE(SUBSTITUTE(LEFT(TRIM(C264),FIND(" ",TRIM(C264)&amp;" ")-1),",","."),"."),LEFT(SUBSTITUTE(LEFT(TRIM(C264),FIND(" ",TRIM(C264)&amp;" ")-1),",","."),FIND("/",SUBSTITUTE(LEFT(TRIM(C264),FIND(" ",TRIM(C264)&amp;" ")-1),",","."))-1)/MID(SUBSTITUTE(LEFT(TRIM(C264),FIND(" ",TRIM(C264)&amp;" ")-1),",","."),FIND("/",SUBSTITUTE(LEFT(TRIM(C264),FIND(" ",TRIM(C264)&amp;" ")-1),",","."))+1,9)),IF(ISNUMBER(SEARCH("yea",C264)),IFERROR(_xlfn.NUMBERVALUE(SUBSTITUTE(LEFT(TRIM(C264),FIND(" ",TRIM(C264)&amp;" ")-1),",","."),"."),LEFT(SUBSTITUTE(LEFT(TRIM(C264),FIND(" ",TRIM(C264)&amp;" ")-1),",","."),FIND("/",SUBSTITUTE(LEFT(TRIM(C264),FIND(" ",TRIM(C264)&amp;" ")-1),",","."))-1)/MID(SUBSTITUTE(LEFT(TRIM(C264),FIND(" ",TRIM(C264)&amp;" ")-1),",","."),FIND("/",SUBSTITUTE(LEFT(TRIM(C264),FIND(" ",TRIM(C264)&amp;" ")-1),",","."))+1,9))*12,NA()))),0),12)*'Aturan &amp; Tarif'!$B$4,2)</f>
        <v>681.36</v>
      </c>
      <c r="K264" s="32" t="n">
        <f aca="false">'Aturan &amp; Tarif'!$B$5</f>
        <v>2050</v>
      </c>
      <c r="L264" s="32" t="n">
        <f aca="false">'Aturan &amp; Tarif'!$B$6</f>
        <v>350</v>
      </c>
      <c r="M264" s="35" t="n">
        <f aca="false">I264+J264+K264+L264</f>
        <v>4931.36</v>
      </c>
      <c r="N264" s="37" t="s">
        <v>1933</v>
      </c>
    </row>
    <row r="265" customFormat="false" ht="18.75" hidden="false" customHeight="true" outlineLevel="0" collapsed="false">
      <c r="A265" s="46"/>
      <c r="B265" s="30" t="s">
        <v>1936</v>
      </c>
      <c r="C265" s="31" t="s">
        <v>1937</v>
      </c>
      <c r="D265" s="31" t="s">
        <v>108</v>
      </c>
      <c r="E265" s="32" t="n">
        <v>1980</v>
      </c>
      <c r="F265" s="32" t="n">
        <v>100</v>
      </c>
      <c r="G265" s="32" t="n">
        <v>250</v>
      </c>
      <c r="H265" s="33" t="n">
        <v>1</v>
      </c>
      <c r="I265" s="34" t="n">
        <f aca="false">E265*H265+N(F265)+N(G265)</f>
        <v>2330</v>
      </c>
      <c r="J265" s="32" t="n">
        <f aca="false">ROUND(IFERROR(ROUND(IF(OR(ISNUMBER(SEARCH("week",C265)),ISNUMBER(SEARCH("minggu",C265))),IFERROR(_xlfn.NUMBERVALUE(SUBSTITUTE(LEFT(TRIM(C265),FIND(" ",TRIM(C265)&amp;" ")-1),",","."),"."),LEFT(SUBSTITUTE(LEFT(TRIM(C265),FIND(" ",TRIM(C265)&amp;" ")-1),",","."),FIND("/",SUBSTITUTE(LEFT(TRIM(C265),FIND(" ",TRIM(C265)&amp;" ")-1),",","."))-1)/MID(SUBSTITUTE(LEFT(TRIM(C265),FIND(" ",TRIM(C265)&amp;" ")-1),",","."),FIND("/",SUBSTITUTE(LEFT(TRIM(C265),FIND(" ",TRIM(C265)&amp;" ")-1),",","."))+1,9))*12/52,IF(ISNUMBER(SEARCH("month",C265)),IFERROR(_xlfn.NUMBERVALUE(SUBSTITUTE(LEFT(TRIM(C265),FIND(" ",TRIM(C265)&amp;" ")-1),",","."),"."),LEFT(SUBSTITUTE(LEFT(TRIM(C265),FIND(" ",TRIM(C265)&amp;" ")-1),",","."),FIND("/",SUBSTITUTE(LEFT(TRIM(C265),FIND(" ",TRIM(C265)&amp;" ")-1),",","."))-1)/MID(SUBSTITUTE(LEFT(TRIM(C265),FIND(" ",TRIM(C265)&amp;" ")-1),",","."),FIND("/",SUBSTITUTE(LEFT(TRIM(C265),FIND(" ",TRIM(C265)&amp;" ")-1),",","."))+1,9)),IF(ISNUMBER(SEARCH("yea",C265)),IFERROR(_xlfn.NUMBERVALUE(SUBSTITUTE(LEFT(TRIM(C265),FIND(" ",TRIM(C265)&amp;" ")-1),",","."),"."),LEFT(SUBSTITUTE(LEFT(TRIM(C265),FIND(" ",TRIM(C265)&amp;" ")-1),",","."),FIND("/",SUBSTITUTE(LEFT(TRIM(C265),FIND(" ",TRIM(C265)&amp;" ")-1),",","."))-1)/MID(SUBSTITUTE(LEFT(TRIM(C265),FIND(" ",TRIM(C265)&amp;" ")-1),",","."),FIND("/",SUBSTITUTE(LEFT(TRIM(C265),FIND(" ",TRIM(C265)&amp;" ")-1),",","."))+1,9))*12,NA()))),0),24)*'Aturan &amp; Tarif'!$B$4,2)</f>
        <v>1362.72</v>
      </c>
      <c r="K265" s="32" t="n">
        <f aca="false">'Aturan &amp; Tarif'!$B$5</f>
        <v>2050</v>
      </c>
      <c r="L265" s="32" t="n">
        <f aca="false">'Aturan &amp; Tarif'!$B$6</f>
        <v>350</v>
      </c>
      <c r="M265" s="35" t="n">
        <f aca="false">I265+J265+K265+L265</f>
        <v>6092.72</v>
      </c>
      <c r="N265" s="37" t="s">
        <v>1938</v>
      </c>
    </row>
    <row r="266" customFormat="false" ht="27.75" hidden="false" customHeight="true" outlineLevel="0" collapsed="false">
      <c r="A266" s="46"/>
      <c r="B266" s="30" t="s">
        <v>1939</v>
      </c>
      <c r="C266" s="31" t="s">
        <v>1930</v>
      </c>
      <c r="D266" s="31" t="s">
        <v>108</v>
      </c>
      <c r="E266" s="32" t="n">
        <v>1710</v>
      </c>
      <c r="F266" s="32" t="n">
        <v>100</v>
      </c>
      <c r="G266" s="32" t="n">
        <v>250</v>
      </c>
      <c r="H266" s="33" t="n">
        <v>1</v>
      </c>
      <c r="I266" s="34" t="n">
        <f aca="false">E266*H266+N(F266)+N(G266)</f>
        <v>2060</v>
      </c>
      <c r="J266" s="32" t="n">
        <f aca="false">ROUND(IFERROR(ROUND(IF(OR(ISNUMBER(SEARCH("week",C266)),ISNUMBER(SEARCH("minggu",C266))),IFERROR(_xlfn.NUMBERVALUE(SUBSTITUTE(LEFT(TRIM(C266),FIND(" ",TRIM(C266)&amp;" ")-1),",","."),"."),LEFT(SUBSTITUTE(LEFT(TRIM(C266),FIND(" ",TRIM(C266)&amp;" ")-1),",","."),FIND("/",SUBSTITUTE(LEFT(TRIM(C266),FIND(" ",TRIM(C266)&amp;" ")-1),",","."))-1)/MID(SUBSTITUTE(LEFT(TRIM(C266),FIND(" ",TRIM(C266)&amp;" ")-1),",","."),FIND("/",SUBSTITUTE(LEFT(TRIM(C266),FIND(" ",TRIM(C266)&amp;" ")-1),",","."))+1,9))*12/52,IF(ISNUMBER(SEARCH("month",C266)),IFERROR(_xlfn.NUMBERVALUE(SUBSTITUTE(LEFT(TRIM(C266),FIND(" ",TRIM(C266)&amp;" ")-1),",","."),"."),LEFT(SUBSTITUTE(LEFT(TRIM(C266),FIND(" ",TRIM(C266)&amp;" ")-1),",","."),FIND("/",SUBSTITUTE(LEFT(TRIM(C266),FIND(" ",TRIM(C266)&amp;" ")-1),",","."))-1)/MID(SUBSTITUTE(LEFT(TRIM(C266),FIND(" ",TRIM(C266)&amp;" ")-1),",","."),FIND("/",SUBSTITUTE(LEFT(TRIM(C266),FIND(" ",TRIM(C266)&amp;" ")-1),",","."))+1,9)),IF(ISNUMBER(SEARCH("yea",C266)),IFERROR(_xlfn.NUMBERVALUE(SUBSTITUTE(LEFT(TRIM(C266),FIND(" ",TRIM(C266)&amp;" ")-1),",","."),"."),LEFT(SUBSTITUTE(LEFT(TRIM(C266),FIND(" ",TRIM(C266)&amp;" ")-1),",","."),FIND("/",SUBSTITUTE(LEFT(TRIM(C266),FIND(" ",TRIM(C266)&amp;" ")-1),",","."))-1)/MID(SUBSTITUTE(LEFT(TRIM(C266),FIND(" ",TRIM(C266)&amp;" ")-1),",","."),FIND("/",SUBSTITUTE(LEFT(TRIM(C266),FIND(" ",TRIM(C266)&amp;" ")-1),",","."))+1,9))*12,NA()))),0),12)*'Aturan &amp; Tarif'!$B$4,2)</f>
        <v>681.36</v>
      </c>
      <c r="K266" s="32" t="n">
        <f aca="false">'Aturan &amp; Tarif'!$B$5</f>
        <v>2050</v>
      </c>
      <c r="L266" s="32" t="n">
        <f aca="false">'Aturan &amp; Tarif'!$B$6</f>
        <v>350</v>
      </c>
      <c r="M266" s="35" t="n">
        <f aca="false">I266+J266+K266+L266</f>
        <v>5141.36</v>
      </c>
      <c r="N266" s="37" t="s">
        <v>1940</v>
      </c>
    </row>
    <row r="267" customFormat="false" ht="18.75" hidden="false" customHeight="true" outlineLevel="0" collapsed="false">
      <c r="A267" s="46"/>
      <c r="B267" s="30" t="s">
        <v>1941</v>
      </c>
      <c r="C267" s="31" t="s">
        <v>1942</v>
      </c>
      <c r="D267" s="31" t="s">
        <v>108</v>
      </c>
      <c r="E267" s="32" t="n">
        <v>1800</v>
      </c>
      <c r="F267" s="32" t="n">
        <v>100</v>
      </c>
      <c r="G267" s="32" t="n">
        <v>250</v>
      </c>
      <c r="H267" s="33" t="n">
        <v>1</v>
      </c>
      <c r="I267" s="34" t="n">
        <f aca="false">E267*H267+N(F267)+N(G267)</f>
        <v>2150</v>
      </c>
      <c r="J267" s="32" t="n">
        <f aca="false">ROUND(IFERROR(ROUND(IF(OR(ISNUMBER(SEARCH("week",C267)),ISNUMBER(SEARCH("minggu",C267))),IFERROR(_xlfn.NUMBERVALUE(SUBSTITUTE(LEFT(TRIM(C267),FIND(" ",TRIM(C267)&amp;" ")-1),",","."),"."),LEFT(SUBSTITUTE(LEFT(TRIM(C267),FIND(" ",TRIM(C267)&amp;" ")-1),",","."),FIND("/",SUBSTITUTE(LEFT(TRIM(C267),FIND(" ",TRIM(C267)&amp;" ")-1),",","."))-1)/MID(SUBSTITUTE(LEFT(TRIM(C267),FIND(" ",TRIM(C267)&amp;" ")-1),",","."),FIND("/",SUBSTITUTE(LEFT(TRIM(C267),FIND(" ",TRIM(C267)&amp;" ")-1),",","."))+1,9))*12/52,IF(ISNUMBER(SEARCH("month",C267)),IFERROR(_xlfn.NUMBERVALUE(SUBSTITUTE(LEFT(TRIM(C267),FIND(" ",TRIM(C267)&amp;" ")-1),",","."),"."),LEFT(SUBSTITUTE(LEFT(TRIM(C267),FIND(" ",TRIM(C267)&amp;" ")-1),",","."),FIND("/",SUBSTITUTE(LEFT(TRIM(C267),FIND(" ",TRIM(C267)&amp;" ")-1),",","."))-1)/MID(SUBSTITUTE(LEFT(TRIM(C267),FIND(" ",TRIM(C267)&amp;" ")-1),",","."),FIND("/",SUBSTITUTE(LEFT(TRIM(C267),FIND(" ",TRIM(C267)&amp;" ")-1),",","."))+1,9)),IF(ISNUMBER(SEARCH("yea",C267)),IFERROR(_xlfn.NUMBERVALUE(SUBSTITUTE(LEFT(TRIM(C267),FIND(" ",TRIM(C267)&amp;" ")-1),",","."),"."),LEFT(SUBSTITUTE(LEFT(TRIM(C267),FIND(" ",TRIM(C267)&amp;" ")-1),",","."),FIND("/",SUBSTITUTE(LEFT(TRIM(C267),FIND(" ",TRIM(C267)&amp;" ")-1),",","."))-1)/MID(SUBSTITUTE(LEFT(TRIM(C267),FIND(" ",TRIM(C267)&amp;" ")-1),",","."),FIND("/",SUBSTITUTE(LEFT(TRIM(C267),FIND(" ",TRIM(C267)&amp;" ")-1),",","."))+1,9))*12,NA()))),0),18)*'Aturan &amp; Tarif'!$B$4,2)</f>
        <v>1022.04</v>
      </c>
      <c r="K267" s="32" t="n">
        <f aca="false">'Aturan &amp; Tarif'!$B$5</f>
        <v>2050</v>
      </c>
      <c r="L267" s="32" t="n">
        <f aca="false">'Aturan &amp; Tarif'!$B$6</f>
        <v>350</v>
      </c>
      <c r="M267" s="35" t="n">
        <f aca="false">I267+J267+K267+L267</f>
        <v>5572.04</v>
      </c>
      <c r="N267" s="37" t="s">
        <v>1943</v>
      </c>
    </row>
    <row r="268" customFormat="false" ht="21.75" hidden="false" customHeight="true" outlineLevel="0" collapsed="false">
      <c r="A268" s="46"/>
      <c r="B268" s="30" t="s">
        <v>1944</v>
      </c>
      <c r="C268" s="31" t="s">
        <v>1930</v>
      </c>
      <c r="D268" s="31" t="s">
        <v>108</v>
      </c>
      <c r="E268" s="32" t="n">
        <v>1890</v>
      </c>
      <c r="F268" s="32" t="n">
        <v>100</v>
      </c>
      <c r="G268" s="32" t="n">
        <v>250</v>
      </c>
      <c r="H268" s="33" t="n">
        <v>1</v>
      </c>
      <c r="I268" s="34" t="n">
        <f aca="false">E268*H268+N(F268)+N(G268)</f>
        <v>2240</v>
      </c>
      <c r="J268" s="32" t="n">
        <f aca="false">ROUND(IFERROR(ROUND(IF(OR(ISNUMBER(SEARCH("week",C268)),ISNUMBER(SEARCH("minggu",C268))),IFERROR(_xlfn.NUMBERVALUE(SUBSTITUTE(LEFT(TRIM(C268),FIND(" ",TRIM(C268)&amp;" ")-1),",","."),"."),LEFT(SUBSTITUTE(LEFT(TRIM(C268),FIND(" ",TRIM(C268)&amp;" ")-1),",","."),FIND("/",SUBSTITUTE(LEFT(TRIM(C268),FIND(" ",TRIM(C268)&amp;" ")-1),",","."))-1)/MID(SUBSTITUTE(LEFT(TRIM(C268),FIND(" ",TRIM(C268)&amp;" ")-1),",","."),FIND("/",SUBSTITUTE(LEFT(TRIM(C268),FIND(" ",TRIM(C268)&amp;" ")-1),",","."))+1,9))*12/52,IF(ISNUMBER(SEARCH("month",C268)),IFERROR(_xlfn.NUMBERVALUE(SUBSTITUTE(LEFT(TRIM(C268),FIND(" ",TRIM(C268)&amp;" ")-1),",","."),"."),LEFT(SUBSTITUTE(LEFT(TRIM(C268),FIND(" ",TRIM(C268)&amp;" ")-1),",","."),FIND("/",SUBSTITUTE(LEFT(TRIM(C268),FIND(" ",TRIM(C268)&amp;" ")-1),",","."))-1)/MID(SUBSTITUTE(LEFT(TRIM(C268),FIND(" ",TRIM(C268)&amp;" ")-1),",","."),FIND("/",SUBSTITUTE(LEFT(TRIM(C268),FIND(" ",TRIM(C268)&amp;" ")-1),",","."))+1,9)),IF(ISNUMBER(SEARCH("yea",C268)),IFERROR(_xlfn.NUMBERVALUE(SUBSTITUTE(LEFT(TRIM(C268),FIND(" ",TRIM(C268)&amp;" ")-1),",","."),"."),LEFT(SUBSTITUTE(LEFT(TRIM(C268),FIND(" ",TRIM(C268)&amp;" ")-1),",","."),FIND("/",SUBSTITUTE(LEFT(TRIM(C268),FIND(" ",TRIM(C268)&amp;" ")-1),",","."))-1)/MID(SUBSTITUTE(LEFT(TRIM(C268),FIND(" ",TRIM(C268)&amp;" ")-1),",","."),FIND("/",SUBSTITUTE(LEFT(TRIM(C268),FIND(" ",TRIM(C268)&amp;" ")-1),",","."))+1,9))*12,NA()))),0),12)*'Aturan &amp; Tarif'!$B$4,2)</f>
        <v>681.36</v>
      </c>
      <c r="K268" s="32" t="n">
        <f aca="false">'Aturan &amp; Tarif'!$B$5</f>
        <v>2050</v>
      </c>
      <c r="L268" s="32" t="n">
        <f aca="false">'Aturan &amp; Tarif'!$B$6</f>
        <v>350</v>
      </c>
      <c r="M268" s="35" t="n">
        <f aca="false">I268+J268+K268+L268</f>
        <v>5321.36</v>
      </c>
      <c r="N268" s="37" t="s">
        <v>1945</v>
      </c>
    </row>
    <row r="269" customFormat="false" ht="21.75" hidden="false" customHeight="true" outlineLevel="0" collapsed="false">
      <c r="A269" s="46"/>
      <c r="B269" s="30" t="s">
        <v>1946</v>
      </c>
      <c r="C269" s="31" t="s">
        <v>1930</v>
      </c>
      <c r="D269" s="31" t="s">
        <v>108</v>
      </c>
      <c r="E269" s="32" t="n">
        <v>1800</v>
      </c>
      <c r="F269" s="32" t="n">
        <v>100</v>
      </c>
      <c r="G269" s="32" t="n">
        <v>250</v>
      </c>
      <c r="H269" s="33" t="n">
        <v>1</v>
      </c>
      <c r="I269" s="34" t="n">
        <f aca="false">E269*H269+N(F269)+N(G269)</f>
        <v>2150</v>
      </c>
      <c r="J269" s="32" t="n">
        <f aca="false">ROUND(IFERROR(ROUND(IF(OR(ISNUMBER(SEARCH("week",C269)),ISNUMBER(SEARCH("minggu",C269))),IFERROR(_xlfn.NUMBERVALUE(SUBSTITUTE(LEFT(TRIM(C269),FIND(" ",TRIM(C269)&amp;" ")-1),",","."),"."),LEFT(SUBSTITUTE(LEFT(TRIM(C269),FIND(" ",TRIM(C269)&amp;" ")-1),",","."),FIND("/",SUBSTITUTE(LEFT(TRIM(C269),FIND(" ",TRIM(C269)&amp;" ")-1),",","."))-1)/MID(SUBSTITUTE(LEFT(TRIM(C269),FIND(" ",TRIM(C269)&amp;" ")-1),",","."),FIND("/",SUBSTITUTE(LEFT(TRIM(C269),FIND(" ",TRIM(C269)&amp;" ")-1),",","."))+1,9))*12/52,IF(ISNUMBER(SEARCH("month",C269)),IFERROR(_xlfn.NUMBERVALUE(SUBSTITUTE(LEFT(TRIM(C269),FIND(" ",TRIM(C269)&amp;" ")-1),",","."),"."),LEFT(SUBSTITUTE(LEFT(TRIM(C269),FIND(" ",TRIM(C269)&amp;" ")-1),",","."),FIND("/",SUBSTITUTE(LEFT(TRIM(C269),FIND(" ",TRIM(C269)&amp;" ")-1),",","."))-1)/MID(SUBSTITUTE(LEFT(TRIM(C269),FIND(" ",TRIM(C269)&amp;" ")-1),",","."),FIND("/",SUBSTITUTE(LEFT(TRIM(C269),FIND(" ",TRIM(C269)&amp;" ")-1),",","."))+1,9)),IF(ISNUMBER(SEARCH("yea",C269)),IFERROR(_xlfn.NUMBERVALUE(SUBSTITUTE(LEFT(TRIM(C269),FIND(" ",TRIM(C269)&amp;" ")-1),",","."),"."),LEFT(SUBSTITUTE(LEFT(TRIM(C269),FIND(" ",TRIM(C269)&amp;" ")-1),",","."),FIND("/",SUBSTITUTE(LEFT(TRIM(C269),FIND(" ",TRIM(C269)&amp;" ")-1),",","."))-1)/MID(SUBSTITUTE(LEFT(TRIM(C269),FIND(" ",TRIM(C269)&amp;" ")-1),",","."),FIND("/",SUBSTITUTE(LEFT(TRIM(C269),FIND(" ",TRIM(C269)&amp;" ")-1),",","."))+1,9))*12,NA()))),0),12)*'Aturan &amp; Tarif'!$B$4,2)</f>
        <v>681.36</v>
      </c>
      <c r="K269" s="32" t="n">
        <f aca="false">'Aturan &amp; Tarif'!$B$5</f>
        <v>2050</v>
      </c>
      <c r="L269" s="32" t="n">
        <f aca="false">'Aturan &amp; Tarif'!$B$6</f>
        <v>350</v>
      </c>
      <c r="M269" s="35" t="n">
        <f aca="false">I269+J269+K269+L269</f>
        <v>5231.36</v>
      </c>
      <c r="N269" s="37" t="s">
        <v>1947</v>
      </c>
    </row>
    <row r="270" customFormat="false" ht="21.75" hidden="false" customHeight="true" outlineLevel="0" collapsed="false">
      <c r="A270" s="46"/>
      <c r="B270" s="30" t="s">
        <v>1948</v>
      </c>
      <c r="C270" s="31" t="s">
        <v>1937</v>
      </c>
      <c r="D270" s="31" t="s">
        <v>108</v>
      </c>
      <c r="E270" s="32" t="n">
        <v>1890</v>
      </c>
      <c r="F270" s="32" t="n">
        <v>100</v>
      </c>
      <c r="G270" s="32" t="n">
        <v>250</v>
      </c>
      <c r="H270" s="33" t="n">
        <v>1</v>
      </c>
      <c r="I270" s="34" t="n">
        <f aca="false">E270*H270+N(F270)+N(G270)</f>
        <v>2240</v>
      </c>
      <c r="J270" s="32" t="n">
        <f aca="false">ROUND(IFERROR(ROUND(IF(OR(ISNUMBER(SEARCH("week",C270)),ISNUMBER(SEARCH("minggu",C270))),IFERROR(_xlfn.NUMBERVALUE(SUBSTITUTE(LEFT(TRIM(C270),FIND(" ",TRIM(C270)&amp;" ")-1),",","."),"."),LEFT(SUBSTITUTE(LEFT(TRIM(C270),FIND(" ",TRIM(C270)&amp;" ")-1),",","."),FIND("/",SUBSTITUTE(LEFT(TRIM(C270),FIND(" ",TRIM(C270)&amp;" ")-1),",","."))-1)/MID(SUBSTITUTE(LEFT(TRIM(C270),FIND(" ",TRIM(C270)&amp;" ")-1),",","."),FIND("/",SUBSTITUTE(LEFT(TRIM(C270),FIND(" ",TRIM(C270)&amp;" ")-1),",","."))+1,9))*12/52,IF(ISNUMBER(SEARCH("month",C270)),IFERROR(_xlfn.NUMBERVALUE(SUBSTITUTE(LEFT(TRIM(C270),FIND(" ",TRIM(C270)&amp;" ")-1),",","."),"."),LEFT(SUBSTITUTE(LEFT(TRIM(C270),FIND(" ",TRIM(C270)&amp;" ")-1),",","."),FIND("/",SUBSTITUTE(LEFT(TRIM(C270),FIND(" ",TRIM(C270)&amp;" ")-1),",","."))-1)/MID(SUBSTITUTE(LEFT(TRIM(C270),FIND(" ",TRIM(C270)&amp;" ")-1),",","."),FIND("/",SUBSTITUTE(LEFT(TRIM(C270),FIND(" ",TRIM(C270)&amp;" ")-1),",","."))+1,9)),IF(ISNUMBER(SEARCH("yea",C270)),IFERROR(_xlfn.NUMBERVALUE(SUBSTITUTE(LEFT(TRIM(C270),FIND(" ",TRIM(C270)&amp;" ")-1),",","."),"."),LEFT(SUBSTITUTE(LEFT(TRIM(C270),FIND(" ",TRIM(C270)&amp;" ")-1),",","."),FIND("/",SUBSTITUTE(LEFT(TRIM(C270),FIND(" ",TRIM(C270)&amp;" ")-1),",","."))-1)/MID(SUBSTITUTE(LEFT(TRIM(C270),FIND(" ",TRIM(C270)&amp;" ")-1),",","."),FIND("/",SUBSTITUTE(LEFT(TRIM(C270),FIND(" ",TRIM(C270)&amp;" ")-1),",","."))+1,9))*12,NA()))),0),24)*'Aturan &amp; Tarif'!$B$4,2)</f>
        <v>1362.72</v>
      </c>
      <c r="K270" s="32" t="n">
        <f aca="false">'Aturan &amp; Tarif'!$B$5</f>
        <v>2050</v>
      </c>
      <c r="L270" s="32" t="n">
        <f aca="false">'Aturan &amp; Tarif'!$B$6</f>
        <v>350</v>
      </c>
      <c r="M270" s="35" t="n">
        <f aca="false">I270+J270+K270+L270</f>
        <v>6002.72</v>
      </c>
      <c r="N270" s="37" t="s">
        <v>1949</v>
      </c>
    </row>
    <row r="271" customFormat="false" ht="21.75" hidden="false" customHeight="true" outlineLevel="0" collapsed="false">
      <c r="A271" s="46"/>
      <c r="B271" s="30" t="s">
        <v>1950</v>
      </c>
      <c r="C271" s="31" t="s">
        <v>1930</v>
      </c>
      <c r="D271" s="31" t="s">
        <v>108</v>
      </c>
      <c r="E271" s="32" t="n">
        <v>1710</v>
      </c>
      <c r="F271" s="32" t="n">
        <v>100</v>
      </c>
      <c r="G271" s="32" t="n">
        <v>250</v>
      </c>
      <c r="H271" s="33" t="n">
        <v>1</v>
      </c>
      <c r="I271" s="34" t="n">
        <f aca="false">E271*H271+N(F271)+N(G271)</f>
        <v>2060</v>
      </c>
      <c r="J271" s="32" t="n">
        <f aca="false">ROUND(IFERROR(ROUND(IF(OR(ISNUMBER(SEARCH("week",C271)),ISNUMBER(SEARCH("minggu",C271))),IFERROR(_xlfn.NUMBERVALUE(SUBSTITUTE(LEFT(TRIM(C271),FIND(" ",TRIM(C271)&amp;" ")-1),",","."),"."),LEFT(SUBSTITUTE(LEFT(TRIM(C271),FIND(" ",TRIM(C271)&amp;" ")-1),",","."),FIND("/",SUBSTITUTE(LEFT(TRIM(C271),FIND(" ",TRIM(C271)&amp;" ")-1),",","."))-1)/MID(SUBSTITUTE(LEFT(TRIM(C271),FIND(" ",TRIM(C271)&amp;" ")-1),",","."),FIND("/",SUBSTITUTE(LEFT(TRIM(C271),FIND(" ",TRIM(C271)&amp;" ")-1),",","."))+1,9))*12/52,IF(ISNUMBER(SEARCH("month",C271)),IFERROR(_xlfn.NUMBERVALUE(SUBSTITUTE(LEFT(TRIM(C271),FIND(" ",TRIM(C271)&amp;" ")-1),",","."),"."),LEFT(SUBSTITUTE(LEFT(TRIM(C271),FIND(" ",TRIM(C271)&amp;" ")-1),",","."),FIND("/",SUBSTITUTE(LEFT(TRIM(C271),FIND(" ",TRIM(C271)&amp;" ")-1),",","."))-1)/MID(SUBSTITUTE(LEFT(TRIM(C271),FIND(" ",TRIM(C271)&amp;" ")-1),",","."),FIND("/",SUBSTITUTE(LEFT(TRIM(C271),FIND(" ",TRIM(C271)&amp;" ")-1),",","."))+1,9)),IF(ISNUMBER(SEARCH("yea",C271)),IFERROR(_xlfn.NUMBERVALUE(SUBSTITUTE(LEFT(TRIM(C271),FIND(" ",TRIM(C271)&amp;" ")-1),",","."),"."),LEFT(SUBSTITUTE(LEFT(TRIM(C271),FIND(" ",TRIM(C271)&amp;" ")-1),",","."),FIND("/",SUBSTITUTE(LEFT(TRIM(C271),FIND(" ",TRIM(C271)&amp;" ")-1),",","."))-1)/MID(SUBSTITUTE(LEFT(TRIM(C271),FIND(" ",TRIM(C271)&amp;" ")-1),",","."),FIND("/",SUBSTITUTE(LEFT(TRIM(C271),FIND(" ",TRIM(C271)&amp;" ")-1),",","."))+1,9))*12,NA()))),0),12)*'Aturan &amp; Tarif'!$B$4,2)</f>
        <v>681.36</v>
      </c>
      <c r="K271" s="32" t="n">
        <f aca="false">'Aturan &amp; Tarif'!$B$5</f>
        <v>2050</v>
      </c>
      <c r="L271" s="32" t="n">
        <f aca="false">'Aturan &amp; Tarif'!$B$6</f>
        <v>350</v>
      </c>
      <c r="M271" s="35" t="n">
        <f aca="false">I271+J271+K271+L271</f>
        <v>5141.36</v>
      </c>
      <c r="N271" s="37" t="s">
        <v>1940</v>
      </c>
    </row>
    <row r="272" customFormat="false" ht="21.75" hidden="false" customHeight="true" outlineLevel="0" collapsed="false">
      <c r="A272" s="46"/>
      <c r="B272" s="30" t="s">
        <v>1951</v>
      </c>
      <c r="C272" s="31" t="s">
        <v>1930</v>
      </c>
      <c r="D272" s="31" t="s">
        <v>108</v>
      </c>
      <c r="E272" s="32" t="n">
        <v>1800</v>
      </c>
      <c r="F272" s="32" t="n">
        <v>100</v>
      </c>
      <c r="G272" s="32" t="n">
        <v>250</v>
      </c>
      <c r="H272" s="33" t="n">
        <v>1</v>
      </c>
      <c r="I272" s="34" t="n">
        <f aca="false">E272*H272+N(F272)+N(G272)</f>
        <v>2150</v>
      </c>
      <c r="J272" s="32" t="n">
        <f aca="false">ROUND(IFERROR(ROUND(IF(OR(ISNUMBER(SEARCH("week",C272)),ISNUMBER(SEARCH("minggu",C272))),IFERROR(_xlfn.NUMBERVALUE(SUBSTITUTE(LEFT(TRIM(C272),FIND(" ",TRIM(C272)&amp;" ")-1),",","."),"."),LEFT(SUBSTITUTE(LEFT(TRIM(C272),FIND(" ",TRIM(C272)&amp;" ")-1),",","."),FIND("/",SUBSTITUTE(LEFT(TRIM(C272),FIND(" ",TRIM(C272)&amp;" ")-1),",","."))-1)/MID(SUBSTITUTE(LEFT(TRIM(C272),FIND(" ",TRIM(C272)&amp;" ")-1),",","."),FIND("/",SUBSTITUTE(LEFT(TRIM(C272),FIND(" ",TRIM(C272)&amp;" ")-1),",","."))+1,9))*12/52,IF(ISNUMBER(SEARCH("month",C272)),IFERROR(_xlfn.NUMBERVALUE(SUBSTITUTE(LEFT(TRIM(C272),FIND(" ",TRIM(C272)&amp;" ")-1),",","."),"."),LEFT(SUBSTITUTE(LEFT(TRIM(C272),FIND(" ",TRIM(C272)&amp;" ")-1),",","."),FIND("/",SUBSTITUTE(LEFT(TRIM(C272),FIND(" ",TRIM(C272)&amp;" ")-1),",","."))-1)/MID(SUBSTITUTE(LEFT(TRIM(C272),FIND(" ",TRIM(C272)&amp;" ")-1),",","."),FIND("/",SUBSTITUTE(LEFT(TRIM(C272),FIND(" ",TRIM(C272)&amp;" ")-1),",","."))+1,9)),IF(ISNUMBER(SEARCH("yea",C272)),IFERROR(_xlfn.NUMBERVALUE(SUBSTITUTE(LEFT(TRIM(C272),FIND(" ",TRIM(C272)&amp;" ")-1),",","."),"."),LEFT(SUBSTITUTE(LEFT(TRIM(C272),FIND(" ",TRIM(C272)&amp;" ")-1),",","."),FIND("/",SUBSTITUTE(LEFT(TRIM(C272),FIND(" ",TRIM(C272)&amp;" ")-1),",","."))-1)/MID(SUBSTITUTE(LEFT(TRIM(C272),FIND(" ",TRIM(C272)&amp;" ")-1),",","."),FIND("/",SUBSTITUTE(LEFT(TRIM(C272),FIND(" ",TRIM(C272)&amp;" ")-1),",","."))+1,9))*12,NA()))),0),12)*'Aturan &amp; Tarif'!$B$4,2)</f>
        <v>681.36</v>
      </c>
      <c r="K272" s="32" t="n">
        <f aca="false">'Aturan &amp; Tarif'!$B$5</f>
        <v>2050</v>
      </c>
      <c r="L272" s="32" t="n">
        <f aca="false">'Aturan &amp; Tarif'!$B$6</f>
        <v>350</v>
      </c>
      <c r="M272" s="35" t="n">
        <f aca="false">I272+J272+K272+L272</f>
        <v>5231.36</v>
      </c>
      <c r="N272" s="37" t="s">
        <v>1947</v>
      </c>
    </row>
    <row r="273" customFormat="false" ht="21.75" hidden="false" customHeight="true" outlineLevel="0" collapsed="false">
      <c r="A273" s="46"/>
      <c r="B273" s="30" t="s">
        <v>1952</v>
      </c>
      <c r="C273" s="31" t="s">
        <v>1930</v>
      </c>
      <c r="D273" s="31" t="s">
        <v>108</v>
      </c>
      <c r="E273" s="32" t="n">
        <v>1890</v>
      </c>
      <c r="F273" s="32" t="n">
        <v>100</v>
      </c>
      <c r="G273" s="32" t="n">
        <v>250</v>
      </c>
      <c r="H273" s="33" t="n">
        <v>1</v>
      </c>
      <c r="I273" s="34" t="n">
        <f aca="false">E273*H273+N(F273)+N(G273)</f>
        <v>2240</v>
      </c>
      <c r="J273" s="32" t="n">
        <f aca="false">ROUND(IFERROR(ROUND(IF(OR(ISNUMBER(SEARCH("week",C273)),ISNUMBER(SEARCH("minggu",C273))),IFERROR(_xlfn.NUMBERVALUE(SUBSTITUTE(LEFT(TRIM(C273),FIND(" ",TRIM(C273)&amp;" ")-1),",","."),"."),LEFT(SUBSTITUTE(LEFT(TRIM(C273),FIND(" ",TRIM(C273)&amp;" ")-1),",","."),FIND("/",SUBSTITUTE(LEFT(TRIM(C273),FIND(" ",TRIM(C273)&amp;" ")-1),",","."))-1)/MID(SUBSTITUTE(LEFT(TRIM(C273),FIND(" ",TRIM(C273)&amp;" ")-1),",","."),FIND("/",SUBSTITUTE(LEFT(TRIM(C273),FIND(" ",TRIM(C273)&amp;" ")-1),",","."))+1,9))*12/52,IF(ISNUMBER(SEARCH("month",C273)),IFERROR(_xlfn.NUMBERVALUE(SUBSTITUTE(LEFT(TRIM(C273),FIND(" ",TRIM(C273)&amp;" ")-1),",","."),"."),LEFT(SUBSTITUTE(LEFT(TRIM(C273),FIND(" ",TRIM(C273)&amp;" ")-1),",","."),FIND("/",SUBSTITUTE(LEFT(TRIM(C273),FIND(" ",TRIM(C273)&amp;" ")-1),",","."))-1)/MID(SUBSTITUTE(LEFT(TRIM(C273),FIND(" ",TRIM(C273)&amp;" ")-1),",","."),FIND("/",SUBSTITUTE(LEFT(TRIM(C273),FIND(" ",TRIM(C273)&amp;" ")-1),",","."))+1,9)),IF(ISNUMBER(SEARCH("yea",C273)),IFERROR(_xlfn.NUMBERVALUE(SUBSTITUTE(LEFT(TRIM(C273),FIND(" ",TRIM(C273)&amp;" ")-1),",","."),"."),LEFT(SUBSTITUTE(LEFT(TRIM(C273),FIND(" ",TRIM(C273)&amp;" ")-1),",","."),FIND("/",SUBSTITUTE(LEFT(TRIM(C273),FIND(" ",TRIM(C273)&amp;" ")-1),",","."))-1)/MID(SUBSTITUTE(LEFT(TRIM(C273),FIND(" ",TRIM(C273)&amp;" ")-1),",","."),FIND("/",SUBSTITUTE(LEFT(TRIM(C273),FIND(" ",TRIM(C273)&amp;" ")-1),",","."))+1,9))*12,NA()))),0),12)*'Aturan &amp; Tarif'!$B$4,2)</f>
        <v>681.36</v>
      </c>
      <c r="K273" s="32" t="n">
        <f aca="false">'Aturan &amp; Tarif'!$B$5</f>
        <v>2050</v>
      </c>
      <c r="L273" s="32" t="n">
        <f aca="false">'Aturan &amp; Tarif'!$B$6</f>
        <v>350</v>
      </c>
      <c r="M273" s="35" t="n">
        <f aca="false">I273+J273+K273+L273</f>
        <v>5321.36</v>
      </c>
      <c r="N273" s="37" t="s">
        <v>1945</v>
      </c>
    </row>
    <row r="274" customFormat="false" ht="21.75" hidden="false" customHeight="true" outlineLevel="0" collapsed="false">
      <c r="A274" s="46"/>
      <c r="B274" s="30" t="s">
        <v>1953</v>
      </c>
      <c r="C274" s="31" t="s">
        <v>1930</v>
      </c>
      <c r="D274" s="31" t="s">
        <v>108</v>
      </c>
      <c r="E274" s="32" t="n">
        <v>1710</v>
      </c>
      <c r="F274" s="32" t="n">
        <v>100</v>
      </c>
      <c r="G274" s="32" t="n">
        <v>250</v>
      </c>
      <c r="H274" s="33" t="n">
        <v>1</v>
      </c>
      <c r="I274" s="34" t="n">
        <f aca="false">E274*H274+N(F274)+N(G274)</f>
        <v>2060</v>
      </c>
      <c r="J274" s="32" t="n">
        <f aca="false">ROUND(IFERROR(ROUND(IF(OR(ISNUMBER(SEARCH("week",C274)),ISNUMBER(SEARCH("minggu",C274))),IFERROR(_xlfn.NUMBERVALUE(SUBSTITUTE(LEFT(TRIM(C274),FIND(" ",TRIM(C274)&amp;" ")-1),",","."),"."),LEFT(SUBSTITUTE(LEFT(TRIM(C274),FIND(" ",TRIM(C274)&amp;" ")-1),",","."),FIND("/",SUBSTITUTE(LEFT(TRIM(C274),FIND(" ",TRIM(C274)&amp;" ")-1),",","."))-1)/MID(SUBSTITUTE(LEFT(TRIM(C274),FIND(" ",TRIM(C274)&amp;" ")-1),",","."),FIND("/",SUBSTITUTE(LEFT(TRIM(C274),FIND(" ",TRIM(C274)&amp;" ")-1),",","."))+1,9))*12/52,IF(ISNUMBER(SEARCH("month",C274)),IFERROR(_xlfn.NUMBERVALUE(SUBSTITUTE(LEFT(TRIM(C274),FIND(" ",TRIM(C274)&amp;" ")-1),",","."),"."),LEFT(SUBSTITUTE(LEFT(TRIM(C274),FIND(" ",TRIM(C274)&amp;" ")-1),",","."),FIND("/",SUBSTITUTE(LEFT(TRIM(C274),FIND(" ",TRIM(C274)&amp;" ")-1),",","."))-1)/MID(SUBSTITUTE(LEFT(TRIM(C274),FIND(" ",TRIM(C274)&amp;" ")-1),",","."),FIND("/",SUBSTITUTE(LEFT(TRIM(C274),FIND(" ",TRIM(C274)&amp;" ")-1),",","."))+1,9)),IF(ISNUMBER(SEARCH("yea",C274)),IFERROR(_xlfn.NUMBERVALUE(SUBSTITUTE(LEFT(TRIM(C274),FIND(" ",TRIM(C274)&amp;" ")-1),",","."),"."),LEFT(SUBSTITUTE(LEFT(TRIM(C274),FIND(" ",TRIM(C274)&amp;" ")-1),",","."),FIND("/",SUBSTITUTE(LEFT(TRIM(C274),FIND(" ",TRIM(C274)&amp;" ")-1),",","."))-1)/MID(SUBSTITUTE(LEFT(TRIM(C274),FIND(" ",TRIM(C274)&amp;" ")-1),",","."),FIND("/",SUBSTITUTE(LEFT(TRIM(C274),FIND(" ",TRIM(C274)&amp;" ")-1),",","."))+1,9))*12,NA()))),0),12)*'Aturan &amp; Tarif'!$B$4,2)</f>
        <v>681.36</v>
      </c>
      <c r="K274" s="32" t="n">
        <f aca="false">'Aturan &amp; Tarif'!$B$5</f>
        <v>2050</v>
      </c>
      <c r="L274" s="32" t="n">
        <f aca="false">'Aturan &amp; Tarif'!$B$6</f>
        <v>350</v>
      </c>
      <c r="M274" s="35" t="n">
        <f aca="false">I274+J274+K274+L274</f>
        <v>5141.36</v>
      </c>
      <c r="N274" s="37" t="s">
        <v>1954</v>
      </c>
    </row>
    <row r="275" customFormat="false" ht="21.75" hidden="false" customHeight="true" outlineLevel="0" collapsed="false">
      <c r="A275" s="46"/>
      <c r="B275" s="30" t="s">
        <v>1955</v>
      </c>
      <c r="C275" s="31" t="s">
        <v>1942</v>
      </c>
      <c r="D275" s="31" t="s">
        <v>108</v>
      </c>
      <c r="E275" s="32" t="n">
        <v>2160</v>
      </c>
      <c r="F275" s="32" t="n">
        <v>200</v>
      </c>
      <c r="G275" s="32" t="n">
        <v>250</v>
      </c>
      <c r="H275" s="33" t="n">
        <v>1</v>
      </c>
      <c r="I275" s="34" t="n">
        <f aca="false">E275*H275+N(F275)+N(G275)</f>
        <v>2610</v>
      </c>
      <c r="J275" s="32" t="n">
        <f aca="false">ROUND(IFERROR(ROUND(IF(OR(ISNUMBER(SEARCH("week",C275)),ISNUMBER(SEARCH("minggu",C275))),IFERROR(_xlfn.NUMBERVALUE(SUBSTITUTE(LEFT(TRIM(C275),FIND(" ",TRIM(C275)&amp;" ")-1),",","."),"."),LEFT(SUBSTITUTE(LEFT(TRIM(C275),FIND(" ",TRIM(C275)&amp;" ")-1),",","."),FIND("/",SUBSTITUTE(LEFT(TRIM(C275),FIND(" ",TRIM(C275)&amp;" ")-1),",","."))-1)/MID(SUBSTITUTE(LEFT(TRIM(C275),FIND(" ",TRIM(C275)&amp;" ")-1),",","."),FIND("/",SUBSTITUTE(LEFT(TRIM(C275),FIND(" ",TRIM(C275)&amp;" ")-1),",","."))+1,9))*12/52,IF(ISNUMBER(SEARCH("month",C275)),IFERROR(_xlfn.NUMBERVALUE(SUBSTITUTE(LEFT(TRIM(C275),FIND(" ",TRIM(C275)&amp;" ")-1),",","."),"."),LEFT(SUBSTITUTE(LEFT(TRIM(C275),FIND(" ",TRIM(C275)&amp;" ")-1),",","."),FIND("/",SUBSTITUTE(LEFT(TRIM(C275),FIND(" ",TRIM(C275)&amp;" ")-1),",","."))-1)/MID(SUBSTITUTE(LEFT(TRIM(C275),FIND(" ",TRIM(C275)&amp;" ")-1),",","."),FIND("/",SUBSTITUTE(LEFT(TRIM(C275),FIND(" ",TRIM(C275)&amp;" ")-1),",","."))+1,9)),IF(ISNUMBER(SEARCH("yea",C275)),IFERROR(_xlfn.NUMBERVALUE(SUBSTITUTE(LEFT(TRIM(C275),FIND(" ",TRIM(C275)&amp;" ")-1),",","."),"."),LEFT(SUBSTITUTE(LEFT(TRIM(C275),FIND(" ",TRIM(C275)&amp;" ")-1),",","."),FIND("/",SUBSTITUTE(LEFT(TRIM(C275),FIND(" ",TRIM(C275)&amp;" ")-1),",","."))-1)/MID(SUBSTITUTE(LEFT(TRIM(C275),FIND(" ",TRIM(C275)&amp;" ")-1),",","."),FIND("/",SUBSTITUTE(LEFT(TRIM(C275),FIND(" ",TRIM(C275)&amp;" ")-1),",","."))+1,9))*12,NA()))),0),18)*'Aturan &amp; Tarif'!$B$4,2)</f>
        <v>1022.04</v>
      </c>
      <c r="K275" s="32" t="n">
        <f aca="false">'Aturan &amp; Tarif'!$B$5</f>
        <v>2050</v>
      </c>
      <c r="L275" s="32" t="n">
        <f aca="false">'Aturan &amp; Tarif'!$B$6</f>
        <v>350</v>
      </c>
      <c r="M275" s="35" t="n">
        <f aca="false">I275+J275+K275+L275</f>
        <v>6032.04</v>
      </c>
      <c r="N275" s="37" t="s">
        <v>1956</v>
      </c>
    </row>
    <row r="276" customFormat="false" ht="21.75" hidden="false" customHeight="true" outlineLevel="0" collapsed="false">
      <c r="A276" s="46"/>
      <c r="B276" s="30" t="s">
        <v>1957</v>
      </c>
      <c r="C276" s="31" t="s">
        <v>1930</v>
      </c>
      <c r="D276" s="31" t="s">
        <v>108</v>
      </c>
      <c r="E276" s="32" t="n">
        <v>2160</v>
      </c>
      <c r="F276" s="32" t="n">
        <v>200</v>
      </c>
      <c r="G276" s="32" t="n">
        <v>250</v>
      </c>
      <c r="H276" s="33" t="n">
        <v>1</v>
      </c>
      <c r="I276" s="34" t="n">
        <f aca="false">E276*H276+N(F276)+N(G276)</f>
        <v>2610</v>
      </c>
      <c r="J276" s="32" t="n">
        <f aca="false">ROUND(IFERROR(ROUND(IF(OR(ISNUMBER(SEARCH("week",C276)),ISNUMBER(SEARCH("minggu",C276))),IFERROR(_xlfn.NUMBERVALUE(SUBSTITUTE(LEFT(TRIM(C276),FIND(" ",TRIM(C276)&amp;" ")-1),",","."),"."),LEFT(SUBSTITUTE(LEFT(TRIM(C276),FIND(" ",TRIM(C276)&amp;" ")-1),",","."),FIND("/",SUBSTITUTE(LEFT(TRIM(C276),FIND(" ",TRIM(C276)&amp;" ")-1),",","."))-1)/MID(SUBSTITUTE(LEFT(TRIM(C276),FIND(" ",TRIM(C276)&amp;" ")-1),",","."),FIND("/",SUBSTITUTE(LEFT(TRIM(C276),FIND(" ",TRIM(C276)&amp;" ")-1),",","."))+1,9))*12/52,IF(ISNUMBER(SEARCH("month",C276)),IFERROR(_xlfn.NUMBERVALUE(SUBSTITUTE(LEFT(TRIM(C276),FIND(" ",TRIM(C276)&amp;" ")-1),",","."),"."),LEFT(SUBSTITUTE(LEFT(TRIM(C276),FIND(" ",TRIM(C276)&amp;" ")-1),",","."),FIND("/",SUBSTITUTE(LEFT(TRIM(C276),FIND(" ",TRIM(C276)&amp;" ")-1),",","."))-1)/MID(SUBSTITUTE(LEFT(TRIM(C276),FIND(" ",TRIM(C276)&amp;" ")-1),",","."),FIND("/",SUBSTITUTE(LEFT(TRIM(C276),FIND(" ",TRIM(C276)&amp;" ")-1),",","."))+1,9)),IF(ISNUMBER(SEARCH("yea",C276)),IFERROR(_xlfn.NUMBERVALUE(SUBSTITUTE(LEFT(TRIM(C276),FIND(" ",TRIM(C276)&amp;" ")-1),",","."),"."),LEFT(SUBSTITUTE(LEFT(TRIM(C276),FIND(" ",TRIM(C276)&amp;" ")-1),",","."),FIND("/",SUBSTITUTE(LEFT(TRIM(C276),FIND(" ",TRIM(C276)&amp;" ")-1),",","."))-1)/MID(SUBSTITUTE(LEFT(TRIM(C276),FIND(" ",TRIM(C276)&amp;" ")-1),",","."),FIND("/",SUBSTITUTE(LEFT(TRIM(C276),FIND(" ",TRIM(C276)&amp;" ")-1),",","."))+1,9))*12,NA()))),0),12)*'Aturan &amp; Tarif'!$B$4,2)</f>
        <v>681.36</v>
      </c>
      <c r="K276" s="32" t="n">
        <f aca="false">'Aturan &amp; Tarif'!$B$5</f>
        <v>2050</v>
      </c>
      <c r="L276" s="32" t="n">
        <f aca="false">'Aturan &amp; Tarif'!$B$6</f>
        <v>350</v>
      </c>
      <c r="M276" s="35" t="n">
        <f aca="false">I276+J276+K276+L276</f>
        <v>5691.36</v>
      </c>
      <c r="N276" s="37" t="s">
        <v>1958</v>
      </c>
    </row>
    <row r="277" customFormat="false" ht="21.75" hidden="false" customHeight="true" outlineLevel="0" collapsed="false">
      <c r="A277" s="46"/>
      <c r="B277" s="30" t="s">
        <v>1959</v>
      </c>
      <c r="C277" s="31" t="s">
        <v>1930</v>
      </c>
      <c r="D277" s="31" t="s">
        <v>108</v>
      </c>
      <c r="E277" s="32" t="n">
        <v>1710</v>
      </c>
      <c r="F277" s="32" t="n">
        <v>100</v>
      </c>
      <c r="G277" s="32" t="n">
        <v>250</v>
      </c>
      <c r="H277" s="33" t="n">
        <v>1</v>
      </c>
      <c r="I277" s="34" t="n">
        <f aca="false">E277*H277+N(F277)+N(G277)</f>
        <v>2060</v>
      </c>
      <c r="J277" s="32" t="n">
        <f aca="false">ROUND(IFERROR(ROUND(IF(OR(ISNUMBER(SEARCH("week",C277)),ISNUMBER(SEARCH("minggu",C277))),IFERROR(_xlfn.NUMBERVALUE(SUBSTITUTE(LEFT(TRIM(C277),FIND(" ",TRIM(C277)&amp;" ")-1),",","."),"."),LEFT(SUBSTITUTE(LEFT(TRIM(C277),FIND(" ",TRIM(C277)&amp;" ")-1),",","."),FIND("/",SUBSTITUTE(LEFT(TRIM(C277),FIND(" ",TRIM(C277)&amp;" ")-1),",","."))-1)/MID(SUBSTITUTE(LEFT(TRIM(C277),FIND(" ",TRIM(C277)&amp;" ")-1),",","."),FIND("/",SUBSTITUTE(LEFT(TRIM(C277),FIND(" ",TRIM(C277)&amp;" ")-1),",","."))+1,9))*12/52,IF(ISNUMBER(SEARCH("month",C277)),IFERROR(_xlfn.NUMBERVALUE(SUBSTITUTE(LEFT(TRIM(C277),FIND(" ",TRIM(C277)&amp;" ")-1),",","."),"."),LEFT(SUBSTITUTE(LEFT(TRIM(C277),FIND(" ",TRIM(C277)&amp;" ")-1),",","."),FIND("/",SUBSTITUTE(LEFT(TRIM(C277),FIND(" ",TRIM(C277)&amp;" ")-1),",","."))-1)/MID(SUBSTITUTE(LEFT(TRIM(C277),FIND(" ",TRIM(C277)&amp;" ")-1),",","."),FIND("/",SUBSTITUTE(LEFT(TRIM(C277),FIND(" ",TRIM(C277)&amp;" ")-1),",","."))+1,9)),IF(ISNUMBER(SEARCH("yea",C277)),IFERROR(_xlfn.NUMBERVALUE(SUBSTITUTE(LEFT(TRIM(C277),FIND(" ",TRIM(C277)&amp;" ")-1),",","."),"."),LEFT(SUBSTITUTE(LEFT(TRIM(C277),FIND(" ",TRIM(C277)&amp;" ")-1),",","."),FIND("/",SUBSTITUTE(LEFT(TRIM(C277),FIND(" ",TRIM(C277)&amp;" ")-1),",","."))-1)/MID(SUBSTITUTE(LEFT(TRIM(C277),FIND(" ",TRIM(C277)&amp;" ")-1),",","."),FIND("/",SUBSTITUTE(LEFT(TRIM(C277),FIND(" ",TRIM(C277)&amp;" ")-1),",","."))+1,9))*12,NA()))),0),12)*'Aturan &amp; Tarif'!$B$4,2)</f>
        <v>681.36</v>
      </c>
      <c r="K277" s="32" t="n">
        <f aca="false">'Aturan &amp; Tarif'!$B$5</f>
        <v>2050</v>
      </c>
      <c r="L277" s="32" t="n">
        <f aca="false">'Aturan &amp; Tarif'!$B$6</f>
        <v>350</v>
      </c>
      <c r="M277" s="35" t="n">
        <f aca="false">I277+J277+K277+L277</f>
        <v>5141.36</v>
      </c>
      <c r="N277" s="37" t="s">
        <v>1940</v>
      </c>
    </row>
    <row r="278" customFormat="false" ht="21.75" hidden="false" customHeight="true" outlineLevel="0" collapsed="false">
      <c r="A278" s="46"/>
      <c r="B278" s="30" t="s">
        <v>1960</v>
      </c>
      <c r="C278" s="31" t="s">
        <v>1942</v>
      </c>
      <c r="D278" s="31" t="s">
        <v>108</v>
      </c>
      <c r="E278" s="32" t="n">
        <v>1800</v>
      </c>
      <c r="F278" s="32" t="n">
        <v>100</v>
      </c>
      <c r="G278" s="32" t="n">
        <v>250</v>
      </c>
      <c r="H278" s="33" t="n">
        <v>1</v>
      </c>
      <c r="I278" s="34" t="n">
        <f aca="false">E278*H278+N(F278)+N(G278)</f>
        <v>2150</v>
      </c>
      <c r="J278" s="32" t="n">
        <f aca="false">ROUND(IFERROR(ROUND(IF(OR(ISNUMBER(SEARCH("week",C278)),ISNUMBER(SEARCH("minggu",C278))),IFERROR(_xlfn.NUMBERVALUE(SUBSTITUTE(LEFT(TRIM(C278),FIND(" ",TRIM(C278)&amp;" ")-1),",","."),"."),LEFT(SUBSTITUTE(LEFT(TRIM(C278),FIND(" ",TRIM(C278)&amp;" ")-1),",","."),FIND("/",SUBSTITUTE(LEFT(TRIM(C278),FIND(" ",TRIM(C278)&amp;" ")-1),",","."))-1)/MID(SUBSTITUTE(LEFT(TRIM(C278),FIND(" ",TRIM(C278)&amp;" ")-1),",","."),FIND("/",SUBSTITUTE(LEFT(TRIM(C278),FIND(" ",TRIM(C278)&amp;" ")-1),",","."))+1,9))*12/52,IF(ISNUMBER(SEARCH("month",C278)),IFERROR(_xlfn.NUMBERVALUE(SUBSTITUTE(LEFT(TRIM(C278),FIND(" ",TRIM(C278)&amp;" ")-1),",","."),"."),LEFT(SUBSTITUTE(LEFT(TRIM(C278),FIND(" ",TRIM(C278)&amp;" ")-1),",","."),FIND("/",SUBSTITUTE(LEFT(TRIM(C278),FIND(" ",TRIM(C278)&amp;" ")-1),",","."))-1)/MID(SUBSTITUTE(LEFT(TRIM(C278),FIND(" ",TRIM(C278)&amp;" ")-1),",","."),FIND("/",SUBSTITUTE(LEFT(TRIM(C278),FIND(" ",TRIM(C278)&amp;" ")-1),",","."))+1,9)),IF(ISNUMBER(SEARCH("yea",C278)),IFERROR(_xlfn.NUMBERVALUE(SUBSTITUTE(LEFT(TRIM(C278),FIND(" ",TRIM(C278)&amp;" ")-1),",","."),"."),LEFT(SUBSTITUTE(LEFT(TRIM(C278),FIND(" ",TRIM(C278)&amp;" ")-1),",","."),FIND("/",SUBSTITUTE(LEFT(TRIM(C278),FIND(" ",TRIM(C278)&amp;" ")-1),",","."))-1)/MID(SUBSTITUTE(LEFT(TRIM(C278),FIND(" ",TRIM(C278)&amp;" ")-1),",","."),FIND("/",SUBSTITUTE(LEFT(TRIM(C278),FIND(" ",TRIM(C278)&amp;" ")-1),",","."))+1,9))*12,NA()))),0),18)*'Aturan &amp; Tarif'!$B$4,2)</f>
        <v>1022.04</v>
      </c>
      <c r="K278" s="32" t="n">
        <f aca="false">'Aturan &amp; Tarif'!$B$5</f>
        <v>2050</v>
      </c>
      <c r="L278" s="32" t="n">
        <f aca="false">'Aturan &amp; Tarif'!$B$6</f>
        <v>350</v>
      </c>
      <c r="M278" s="35" t="n">
        <f aca="false">I278+J278+K278+L278</f>
        <v>5572.04</v>
      </c>
      <c r="N278" s="37" t="s">
        <v>1961</v>
      </c>
    </row>
    <row r="279" customFormat="false" ht="21.75" hidden="false" customHeight="true" outlineLevel="0" collapsed="false">
      <c r="A279" s="46"/>
      <c r="B279" s="30" t="s">
        <v>1962</v>
      </c>
      <c r="C279" s="31" t="s">
        <v>1937</v>
      </c>
      <c r="D279" s="31" t="s">
        <v>108</v>
      </c>
      <c r="E279" s="32" t="n">
        <v>1890</v>
      </c>
      <c r="F279" s="32" t="n">
        <v>100</v>
      </c>
      <c r="G279" s="32" t="n">
        <v>250</v>
      </c>
      <c r="H279" s="33" t="n">
        <v>1</v>
      </c>
      <c r="I279" s="34" t="n">
        <f aca="false">E279*H279+N(F279)+N(G279)</f>
        <v>2240</v>
      </c>
      <c r="J279" s="32" t="n">
        <f aca="false">ROUND(IFERROR(ROUND(IF(OR(ISNUMBER(SEARCH("week",C279)),ISNUMBER(SEARCH("minggu",C279))),IFERROR(_xlfn.NUMBERVALUE(SUBSTITUTE(LEFT(TRIM(C279),FIND(" ",TRIM(C279)&amp;" ")-1),",","."),"."),LEFT(SUBSTITUTE(LEFT(TRIM(C279),FIND(" ",TRIM(C279)&amp;" ")-1),",","."),FIND("/",SUBSTITUTE(LEFT(TRIM(C279),FIND(" ",TRIM(C279)&amp;" ")-1),",","."))-1)/MID(SUBSTITUTE(LEFT(TRIM(C279),FIND(" ",TRIM(C279)&amp;" ")-1),",","."),FIND("/",SUBSTITUTE(LEFT(TRIM(C279),FIND(" ",TRIM(C279)&amp;" ")-1),",","."))+1,9))*12/52,IF(ISNUMBER(SEARCH("month",C279)),IFERROR(_xlfn.NUMBERVALUE(SUBSTITUTE(LEFT(TRIM(C279),FIND(" ",TRIM(C279)&amp;" ")-1),",","."),"."),LEFT(SUBSTITUTE(LEFT(TRIM(C279),FIND(" ",TRIM(C279)&amp;" ")-1),",","."),FIND("/",SUBSTITUTE(LEFT(TRIM(C279),FIND(" ",TRIM(C279)&amp;" ")-1),",","."))-1)/MID(SUBSTITUTE(LEFT(TRIM(C279),FIND(" ",TRIM(C279)&amp;" ")-1),",","."),FIND("/",SUBSTITUTE(LEFT(TRIM(C279),FIND(" ",TRIM(C279)&amp;" ")-1),",","."))+1,9)),IF(ISNUMBER(SEARCH("yea",C279)),IFERROR(_xlfn.NUMBERVALUE(SUBSTITUTE(LEFT(TRIM(C279),FIND(" ",TRIM(C279)&amp;" ")-1),",","."),"."),LEFT(SUBSTITUTE(LEFT(TRIM(C279),FIND(" ",TRIM(C279)&amp;" ")-1),",","."),FIND("/",SUBSTITUTE(LEFT(TRIM(C279),FIND(" ",TRIM(C279)&amp;" ")-1),",","."))-1)/MID(SUBSTITUTE(LEFT(TRIM(C279),FIND(" ",TRIM(C279)&amp;" ")-1),",","."),FIND("/",SUBSTITUTE(LEFT(TRIM(C279),FIND(" ",TRIM(C279)&amp;" ")-1),",","."))+1,9))*12,NA()))),0),24)*'Aturan &amp; Tarif'!$B$4,2)</f>
        <v>1362.72</v>
      </c>
      <c r="K279" s="32" t="n">
        <f aca="false">'Aturan &amp; Tarif'!$B$5</f>
        <v>2050</v>
      </c>
      <c r="L279" s="32" t="n">
        <f aca="false">'Aturan &amp; Tarif'!$B$6</f>
        <v>350</v>
      </c>
      <c r="M279" s="35" t="n">
        <f aca="false">I279+J279+K279+L279</f>
        <v>6002.72</v>
      </c>
      <c r="N279" s="37" t="s">
        <v>1949</v>
      </c>
    </row>
    <row r="280" customFormat="false" ht="21.75" hidden="false" customHeight="true" outlineLevel="0" collapsed="false">
      <c r="A280" s="46"/>
      <c r="B280" s="30" t="s">
        <v>1963</v>
      </c>
      <c r="C280" s="31" t="s">
        <v>1937</v>
      </c>
      <c r="D280" s="31" t="s">
        <v>108</v>
      </c>
      <c r="E280" s="32" t="n">
        <v>1890</v>
      </c>
      <c r="F280" s="32" t="n">
        <v>100</v>
      </c>
      <c r="G280" s="32" t="n">
        <v>250</v>
      </c>
      <c r="H280" s="33" t="n">
        <v>1</v>
      </c>
      <c r="I280" s="34" t="n">
        <f aca="false">E280*H280+N(F280)+N(G280)</f>
        <v>2240</v>
      </c>
      <c r="J280" s="32" t="n">
        <f aca="false">ROUND(IFERROR(ROUND(IF(OR(ISNUMBER(SEARCH("week",C280)),ISNUMBER(SEARCH("minggu",C280))),IFERROR(_xlfn.NUMBERVALUE(SUBSTITUTE(LEFT(TRIM(C280),FIND(" ",TRIM(C280)&amp;" ")-1),",","."),"."),LEFT(SUBSTITUTE(LEFT(TRIM(C280),FIND(" ",TRIM(C280)&amp;" ")-1),",","."),FIND("/",SUBSTITUTE(LEFT(TRIM(C280),FIND(" ",TRIM(C280)&amp;" ")-1),",","."))-1)/MID(SUBSTITUTE(LEFT(TRIM(C280),FIND(" ",TRIM(C280)&amp;" ")-1),",","."),FIND("/",SUBSTITUTE(LEFT(TRIM(C280),FIND(" ",TRIM(C280)&amp;" ")-1),",","."))+1,9))*12/52,IF(ISNUMBER(SEARCH("month",C280)),IFERROR(_xlfn.NUMBERVALUE(SUBSTITUTE(LEFT(TRIM(C280),FIND(" ",TRIM(C280)&amp;" ")-1),",","."),"."),LEFT(SUBSTITUTE(LEFT(TRIM(C280),FIND(" ",TRIM(C280)&amp;" ")-1),",","."),FIND("/",SUBSTITUTE(LEFT(TRIM(C280),FIND(" ",TRIM(C280)&amp;" ")-1),",","."))-1)/MID(SUBSTITUTE(LEFT(TRIM(C280),FIND(" ",TRIM(C280)&amp;" ")-1),",","."),FIND("/",SUBSTITUTE(LEFT(TRIM(C280),FIND(" ",TRIM(C280)&amp;" ")-1),",","."))+1,9)),IF(ISNUMBER(SEARCH("yea",C280)),IFERROR(_xlfn.NUMBERVALUE(SUBSTITUTE(LEFT(TRIM(C280),FIND(" ",TRIM(C280)&amp;" ")-1),",","."),"."),LEFT(SUBSTITUTE(LEFT(TRIM(C280),FIND(" ",TRIM(C280)&amp;" ")-1),",","."),FIND("/",SUBSTITUTE(LEFT(TRIM(C280),FIND(" ",TRIM(C280)&amp;" ")-1),",","."))-1)/MID(SUBSTITUTE(LEFT(TRIM(C280),FIND(" ",TRIM(C280)&amp;" ")-1),",","."),FIND("/",SUBSTITUTE(LEFT(TRIM(C280),FIND(" ",TRIM(C280)&amp;" ")-1),",","."))+1,9))*12,NA()))),0),24)*'Aturan &amp; Tarif'!$B$4,2)</f>
        <v>1362.72</v>
      </c>
      <c r="K280" s="32" t="n">
        <f aca="false">'Aturan &amp; Tarif'!$B$5</f>
        <v>2050</v>
      </c>
      <c r="L280" s="32" t="n">
        <f aca="false">'Aturan &amp; Tarif'!$B$6</f>
        <v>350</v>
      </c>
      <c r="M280" s="35" t="n">
        <f aca="false">I280+J280+K280+L280</f>
        <v>6002.72</v>
      </c>
      <c r="N280" s="37" t="s">
        <v>1949</v>
      </c>
    </row>
    <row r="281" customFormat="false" ht="21.75" hidden="false" customHeight="true" outlineLevel="0" collapsed="false">
      <c r="A281" s="46"/>
      <c r="B281" s="30" t="s">
        <v>1964</v>
      </c>
      <c r="C281" s="31" t="s">
        <v>1937</v>
      </c>
      <c r="D281" s="31" t="s">
        <v>108</v>
      </c>
      <c r="E281" s="32" t="n">
        <v>1890</v>
      </c>
      <c r="F281" s="32" t="n">
        <v>100</v>
      </c>
      <c r="G281" s="32" t="n">
        <v>250</v>
      </c>
      <c r="H281" s="33" t="n">
        <v>1</v>
      </c>
      <c r="I281" s="34" t="n">
        <f aca="false">E281*H281+N(F281)+N(G281)</f>
        <v>2240</v>
      </c>
      <c r="J281" s="32" t="n">
        <f aca="false">ROUND(IFERROR(ROUND(IF(OR(ISNUMBER(SEARCH("week",C281)),ISNUMBER(SEARCH("minggu",C281))),IFERROR(_xlfn.NUMBERVALUE(SUBSTITUTE(LEFT(TRIM(C281),FIND(" ",TRIM(C281)&amp;" ")-1),",","."),"."),LEFT(SUBSTITUTE(LEFT(TRIM(C281),FIND(" ",TRIM(C281)&amp;" ")-1),",","."),FIND("/",SUBSTITUTE(LEFT(TRIM(C281),FIND(" ",TRIM(C281)&amp;" ")-1),",","."))-1)/MID(SUBSTITUTE(LEFT(TRIM(C281),FIND(" ",TRIM(C281)&amp;" ")-1),",","."),FIND("/",SUBSTITUTE(LEFT(TRIM(C281),FIND(" ",TRIM(C281)&amp;" ")-1),",","."))+1,9))*12/52,IF(ISNUMBER(SEARCH("month",C281)),IFERROR(_xlfn.NUMBERVALUE(SUBSTITUTE(LEFT(TRIM(C281),FIND(" ",TRIM(C281)&amp;" ")-1),",","."),"."),LEFT(SUBSTITUTE(LEFT(TRIM(C281),FIND(" ",TRIM(C281)&amp;" ")-1),",","."),FIND("/",SUBSTITUTE(LEFT(TRIM(C281),FIND(" ",TRIM(C281)&amp;" ")-1),",","."))-1)/MID(SUBSTITUTE(LEFT(TRIM(C281),FIND(" ",TRIM(C281)&amp;" ")-1),",","."),FIND("/",SUBSTITUTE(LEFT(TRIM(C281),FIND(" ",TRIM(C281)&amp;" ")-1),",","."))+1,9)),IF(ISNUMBER(SEARCH("yea",C281)),IFERROR(_xlfn.NUMBERVALUE(SUBSTITUTE(LEFT(TRIM(C281),FIND(" ",TRIM(C281)&amp;" ")-1),",","."),"."),LEFT(SUBSTITUTE(LEFT(TRIM(C281),FIND(" ",TRIM(C281)&amp;" ")-1),",","."),FIND("/",SUBSTITUTE(LEFT(TRIM(C281),FIND(" ",TRIM(C281)&amp;" ")-1),",","."))-1)/MID(SUBSTITUTE(LEFT(TRIM(C281),FIND(" ",TRIM(C281)&amp;" ")-1),",","."),FIND("/",SUBSTITUTE(LEFT(TRIM(C281),FIND(" ",TRIM(C281)&amp;" ")-1),",","."))+1,9))*12,NA()))),0),24)*'Aturan &amp; Tarif'!$B$4,2)</f>
        <v>1362.72</v>
      </c>
      <c r="K281" s="32" t="n">
        <f aca="false">'Aturan &amp; Tarif'!$B$5</f>
        <v>2050</v>
      </c>
      <c r="L281" s="32" t="n">
        <f aca="false">'Aturan &amp; Tarif'!$B$6</f>
        <v>350</v>
      </c>
      <c r="M281" s="35" t="n">
        <f aca="false">I281+J281+K281+L281</f>
        <v>6002.72</v>
      </c>
      <c r="N281" s="37" t="s">
        <v>1949</v>
      </c>
    </row>
    <row r="282" customFormat="false" ht="72" hidden="false" customHeight="true" outlineLevel="0" collapsed="false">
      <c r="A282" s="39" t="s">
        <v>1965</v>
      </c>
      <c r="B282" s="40" t="s">
        <v>711</v>
      </c>
      <c r="C282" s="41" t="s">
        <v>127</v>
      </c>
      <c r="D282" s="41" t="s">
        <v>108</v>
      </c>
      <c r="E282" s="42" t="n">
        <v>2375</v>
      </c>
      <c r="F282" s="42" t="n">
        <v>3000</v>
      </c>
      <c r="G282" s="42" t="n">
        <v>200</v>
      </c>
      <c r="H282" s="43" t="n">
        <v>1</v>
      </c>
      <c r="I282" s="34" t="n">
        <f aca="false">E282*H282+N(F282)+N(G282)</f>
        <v>5575</v>
      </c>
      <c r="J282" s="42" t="n">
        <f aca="false">ROUND(IFERROR(ROUND(IF(OR(ISNUMBER(SEARCH("week",C282)),ISNUMBER(SEARCH("minggu",C282))),IFERROR(_xlfn.NUMBERVALUE(SUBSTITUTE(LEFT(TRIM(C282),FIND(" ",TRIM(C282)&amp;" ")-1),",","."),"."),LEFT(SUBSTITUTE(LEFT(TRIM(C282),FIND(" ",TRIM(C282)&amp;" ")-1),",","."),FIND("/",SUBSTITUTE(LEFT(TRIM(C282),FIND(" ",TRIM(C282)&amp;" ")-1),",","."))-1)/MID(SUBSTITUTE(LEFT(TRIM(C282),FIND(" ",TRIM(C282)&amp;" ")-1),",","."),FIND("/",SUBSTITUTE(LEFT(TRIM(C282),FIND(" ",TRIM(C282)&amp;" ")-1),",","."))+1,9))*12/52,IF(ISNUMBER(SEARCH("month",C282)),IFERROR(_xlfn.NUMBERVALUE(SUBSTITUTE(LEFT(TRIM(C282),FIND(" ",TRIM(C282)&amp;" ")-1),",","."),"."),LEFT(SUBSTITUTE(LEFT(TRIM(C282),FIND(" ",TRIM(C282)&amp;" ")-1),",","."),FIND("/",SUBSTITUTE(LEFT(TRIM(C282),FIND(" ",TRIM(C282)&amp;" ")-1),",","."))-1)/MID(SUBSTITUTE(LEFT(TRIM(C282),FIND(" ",TRIM(C282)&amp;" ")-1),",","."),FIND("/",SUBSTITUTE(LEFT(TRIM(C282),FIND(" ",TRIM(C282)&amp;" ")-1),",","."))+1,9)),IF(ISNUMBER(SEARCH("yea",C282)),IFERROR(_xlfn.NUMBERVALUE(SUBSTITUTE(LEFT(TRIM(C282),FIND(" ",TRIM(C282)&amp;" ")-1),",","."),"."),LEFT(SUBSTITUTE(LEFT(TRIM(C282),FIND(" ",TRIM(C282)&amp;" ")-1),",","."),FIND("/",SUBSTITUTE(LEFT(TRIM(C282),FIND(" ",TRIM(C282)&amp;" ")-1),",","."))-1)/MID(SUBSTITUTE(LEFT(TRIM(C282),FIND(" ",TRIM(C282)&amp;" ")-1),",","."),FIND("/",SUBSTITUTE(LEFT(TRIM(C282),FIND(" ",TRIM(C282)&amp;" ")-1),",","."))+1,9))*12,NA()))),0),36)*'Aturan &amp; Tarif'!$B$4,2)</f>
        <v>2044.08</v>
      </c>
      <c r="K282" s="42" t="n">
        <f aca="false">'Aturan &amp; Tarif'!$B$5</f>
        <v>2050</v>
      </c>
      <c r="L282" s="42" t="n">
        <f aca="false">'Aturan &amp; Tarif'!$B$6</f>
        <v>350</v>
      </c>
      <c r="M282" s="35" t="n">
        <f aca="false">I282+J282+K282+L282</f>
        <v>10019.08</v>
      </c>
      <c r="N282" s="45" t="s">
        <v>134</v>
      </c>
    </row>
    <row r="283" customFormat="false" ht="37.5" hidden="false" customHeight="true" outlineLevel="0" collapsed="false">
      <c r="A283" s="39"/>
      <c r="B283" s="40" t="s">
        <v>1966</v>
      </c>
      <c r="C283" s="41" t="s">
        <v>495</v>
      </c>
      <c r="D283" s="41" t="s">
        <v>108</v>
      </c>
      <c r="E283" s="42" t="n">
        <v>2375</v>
      </c>
      <c r="F283" s="42" t="n">
        <v>3000</v>
      </c>
      <c r="G283" s="42" t="n">
        <v>200</v>
      </c>
      <c r="H283" s="43" t="n">
        <v>1</v>
      </c>
      <c r="I283" s="34" t="n">
        <f aca="false">E283*H283+N(F283)+N(G283)</f>
        <v>5575</v>
      </c>
      <c r="J283" s="42" t="n">
        <f aca="false">ROUND(IFERROR(ROUND(IF(OR(ISNUMBER(SEARCH("week",C283)),ISNUMBER(SEARCH("minggu",C283))),IFERROR(_xlfn.NUMBERVALUE(SUBSTITUTE(LEFT(TRIM(C283),FIND(" ",TRIM(C283)&amp;" ")-1),",","."),"."),LEFT(SUBSTITUTE(LEFT(TRIM(C283),FIND(" ",TRIM(C283)&amp;" ")-1),",","."),FIND("/",SUBSTITUTE(LEFT(TRIM(C283),FIND(" ",TRIM(C283)&amp;" ")-1),",","."))-1)/MID(SUBSTITUTE(LEFT(TRIM(C283),FIND(" ",TRIM(C283)&amp;" ")-1),",","."),FIND("/",SUBSTITUTE(LEFT(TRIM(C283),FIND(" ",TRIM(C283)&amp;" ")-1),",","."))+1,9))*12/52,IF(ISNUMBER(SEARCH("month",C283)),IFERROR(_xlfn.NUMBERVALUE(SUBSTITUTE(LEFT(TRIM(C283),FIND(" ",TRIM(C283)&amp;" ")-1),",","."),"."),LEFT(SUBSTITUTE(LEFT(TRIM(C283),FIND(" ",TRIM(C283)&amp;" ")-1),",","."),FIND("/",SUBSTITUTE(LEFT(TRIM(C283),FIND(" ",TRIM(C283)&amp;" ")-1),",","."))-1)/MID(SUBSTITUTE(LEFT(TRIM(C283),FIND(" ",TRIM(C283)&amp;" ")-1),",","."),FIND("/",SUBSTITUTE(LEFT(TRIM(C283),FIND(" ",TRIM(C283)&amp;" ")-1),",","."))+1,9)),IF(ISNUMBER(SEARCH("yea",C283)),IFERROR(_xlfn.NUMBERVALUE(SUBSTITUTE(LEFT(TRIM(C283),FIND(" ",TRIM(C283)&amp;" ")-1),",","."),"."),LEFT(SUBSTITUTE(LEFT(TRIM(C283),FIND(" ",TRIM(C283)&amp;" ")-1),",","."),FIND("/",SUBSTITUTE(LEFT(TRIM(C283),FIND(" ",TRIM(C283)&amp;" ")-1),",","."))-1)/MID(SUBSTITUTE(LEFT(TRIM(C283),FIND(" ",TRIM(C283)&amp;" ")-1),",","."),FIND("/",SUBSTITUTE(LEFT(TRIM(C283),FIND(" ",TRIM(C283)&amp;" ")-1),",","."))+1,9))*12,NA()))),0),54)*'Aturan &amp; Tarif'!$B$4,2)</f>
        <v>3066.12</v>
      </c>
      <c r="K283" s="42" t="n">
        <f aca="false">'Aturan &amp; Tarif'!$B$5</f>
        <v>2050</v>
      </c>
      <c r="L283" s="42" t="n">
        <f aca="false">'Aturan &amp; Tarif'!$B$6</f>
        <v>350</v>
      </c>
      <c r="M283" s="35" t="n">
        <f aca="false">I283+J283+K283+L283</f>
        <v>11041.12</v>
      </c>
      <c r="N283" s="45" t="s">
        <v>134</v>
      </c>
    </row>
    <row r="284" customFormat="false" ht="25.5" hidden="false" customHeight="true" outlineLevel="0" collapsed="false">
      <c r="A284" s="39"/>
      <c r="B284" s="40" t="s">
        <v>430</v>
      </c>
      <c r="C284" s="41" t="s">
        <v>127</v>
      </c>
      <c r="D284" s="41" t="s">
        <v>108</v>
      </c>
      <c r="E284" s="42" t="n">
        <v>2250</v>
      </c>
      <c r="F284" s="42" t="n">
        <v>300</v>
      </c>
      <c r="G284" s="42" t="n">
        <v>200</v>
      </c>
      <c r="H284" s="43" t="n">
        <v>1</v>
      </c>
      <c r="I284" s="34" t="n">
        <f aca="false">E284*H284+N(F284)+N(G284)</f>
        <v>2750</v>
      </c>
      <c r="J284" s="42" t="n">
        <f aca="false">ROUND(IFERROR(ROUND(IF(OR(ISNUMBER(SEARCH("week",C284)),ISNUMBER(SEARCH("minggu",C284))),IFERROR(_xlfn.NUMBERVALUE(SUBSTITUTE(LEFT(TRIM(C284),FIND(" ",TRIM(C284)&amp;" ")-1),",","."),"."),LEFT(SUBSTITUTE(LEFT(TRIM(C284),FIND(" ",TRIM(C284)&amp;" ")-1),",","."),FIND("/",SUBSTITUTE(LEFT(TRIM(C284),FIND(" ",TRIM(C284)&amp;" ")-1),",","."))-1)/MID(SUBSTITUTE(LEFT(TRIM(C284),FIND(" ",TRIM(C284)&amp;" ")-1),",","."),FIND("/",SUBSTITUTE(LEFT(TRIM(C284),FIND(" ",TRIM(C284)&amp;" ")-1),",","."))+1,9))*12/52,IF(ISNUMBER(SEARCH("month",C284)),IFERROR(_xlfn.NUMBERVALUE(SUBSTITUTE(LEFT(TRIM(C284),FIND(" ",TRIM(C284)&amp;" ")-1),",","."),"."),LEFT(SUBSTITUTE(LEFT(TRIM(C284),FIND(" ",TRIM(C284)&amp;" ")-1),",","."),FIND("/",SUBSTITUTE(LEFT(TRIM(C284),FIND(" ",TRIM(C284)&amp;" ")-1),",","."))-1)/MID(SUBSTITUTE(LEFT(TRIM(C284),FIND(" ",TRIM(C284)&amp;" ")-1),",","."),FIND("/",SUBSTITUTE(LEFT(TRIM(C284),FIND(" ",TRIM(C284)&amp;" ")-1),",","."))+1,9)),IF(ISNUMBER(SEARCH("yea",C284)),IFERROR(_xlfn.NUMBERVALUE(SUBSTITUTE(LEFT(TRIM(C284),FIND(" ",TRIM(C284)&amp;" ")-1),",","."),"."),LEFT(SUBSTITUTE(LEFT(TRIM(C284),FIND(" ",TRIM(C284)&amp;" ")-1),",","."),FIND("/",SUBSTITUTE(LEFT(TRIM(C284),FIND(" ",TRIM(C284)&amp;" ")-1),",","."))-1)/MID(SUBSTITUTE(LEFT(TRIM(C284),FIND(" ",TRIM(C284)&amp;" ")-1),",","."),FIND("/",SUBSTITUTE(LEFT(TRIM(C284),FIND(" ",TRIM(C284)&amp;" ")-1),",","."))+1,9))*12,NA()))),0),36)*'Aturan &amp; Tarif'!$B$4,2)</f>
        <v>2044.08</v>
      </c>
      <c r="K284" s="42" t="n">
        <f aca="false">'Aturan &amp; Tarif'!$B$5</f>
        <v>2050</v>
      </c>
      <c r="L284" s="42" t="n">
        <f aca="false">'Aturan &amp; Tarif'!$B$6</f>
        <v>350</v>
      </c>
      <c r="M284" s="35" t="n">
        <f aca="false">I284+J284+K284+L284</f>
        <v>7194.08</v>
      </c>
      <c r="N284" s="45" t="s">
        <v>134</v>
      </c>
    </row>
    <row r="285" customFormat="false" ht="14.25" hidden="false" customHeight="true" outlineLevel="0" collapsed="false">
      <c r="A285" s="39"/>
      <c r="B285" s="40" t="s">
        <v>1967</v>
      </c>
      <c r="C285" s="41" t="s">
        <v>138</v>
      </c>
      <c r="D285" s="41" t="s">
        <v>108</v>
      </c>
      <c r="E285" s="42" t="n">
        <v>2250</v>
      </c>
      <c r="F285" s="42" t="n">
        <v>200</v>
      </c>
      <c r="G285" s="42" t="n">
        <v>200</v>
      </c>
      <c r="H285" s="43" t="n">
        <v>1</v>
      </c>
      <c r="I285" s="34" t="n">
        <f aca="false">E285*H285+N(F285)+N(G285)</f>
        <v>2650</v>
      </c>
      <c r="J285" s="42" t="n">
        <f aca="false">ROUND(IFERROR(ROUND(IF(OR(ISNUMBER(SEARCH("week",C285)),ISNUMBER(SEARCH("minggu",C285))),IFERROR(_xlfn.NUMBERVALUE(SUBSTITUTE(LEFT(TRIM(C285),FIND(" ",TRIM(C285)&amp;" ")-1),",","."),"."),LEFT(SUBSTITUTE(LEFT(TRIM(C285),FIND(" ",TRIM(C285)&amp;" ")-1),",","."),FIND("/",SUBSTITUTE(LEFT(TRIM(C285),FIND(" ",TRIM(C285)&amp;" ")-1),",","."))-1)/MID(SUBSTITUTE(LEFT(TRIM(C285),FIND(" ",TRIM(C285)&amp;" ")-1),",","."),FIND("/",SUBSTITUTE(LEFT(TRIM(C285),FIND(" ",TRIM(C285)&amp;" ")-1),",","."))+1,9))*12/52,IF(ISNUMBER(SEARCH("month",C285)),IFERROR(_xlfn.NUMBERVALUE(SUBSTITUTE(LEFT(TRIM(C285),FIND(" ",TRIM(C285)&amp;" ")-1),",","."),"."),LEFT(SUBSTITUTE(LEFT(TRIM(C285),FIND(" ",TRIM(C285)&amp;" ")-1),",","."),FIND("/",SUBSTITUTE(LEFT(TRIM(C285),FIND(" ",TRIM(C285)&amp;" ")-1),",","."))-1)/MID(SUBSTITUTE(LEFT(TRIM(C285),FIND(" ",TRIM(C285)&amp;" ")-1),",","."),FIND("/",SUBSTITUTE(LEFT(TRIM(C285),FIND(" ",TRIM(C285)&amp;" ")-1),",","."))+1,9)),IF(ISNUMBER(SEARCH("yea",C285)),IFERROR(_xlfn.NUMBERVALUE(SUBSTITUTE(LEFT(TRIM(C285),FIND(" ",TRIM(C285)&amp;" ")-1),",","."),"."),LEFT(SUBSTITUTE(LEFT(TRIM(C285),FIND(" ",TRIM(C285)&amp;" ")-1),",","."),FIND("/",SUBSTITUTE(LEFT(TRIM(C285),FIND(" ",TRIM(C285)&amp;" ")-1),",","."))-1)/MID(SUBSTITUTE(LEFT(TRIM(C285),FIND(" ",TRIM(C285)&amp;" ")-1),",","."),FIND("/",SUBSTITUTE(LEFT(TRIM(C285),FIND(" ",TRIM(C285)&amp;" ")-1),",","."))+1,9))*12,NA()))),0),30)*'Aturan &amp; Tarif'!$B$4,2)</f>
        <v>1703.4</v>
      </c>
      <c r="K285" s="42" t="n">
        <f aca="false">'Aturan &amp; Tarif'!$B$5</f>
        <v>2050</v>
      </c>
      <c r="L285" s="42" t="n">
        <f aca="false">'Aturan &amp; Tarif'!$B$6</f>
        <v>350</v>
      </c>
      <c r="M285" s="35" t="n">
        <f aca="false">I285+J285+K285+L285</f>
        <v>6753.4</v>
      </c>
      <c r="N285" s="45" t="s">
        <v>134</v>
      </c>
    </row>
    <row r="286" customFormat="false" ht="14.25" hidden="false" customHeight="true" outlineLevel="0" collapsed="false">
      <c r="A286" s="39"/>
      <c r="B286" s="40" t="s">
        <v>1968</v>
      </c>
      <c r="C286" s="41" t="s">
        <v>127</v>
      </c>
      <c r="D286" s="41" t="s">
        <v>108</v>
      </c>
      <c r="E286" s="42" t="n">
        <v>2250</v>
      </c>
      <c r="F286" s="42" t="n">
        <v>200</v>
      </c>
      <c r="G286" s="42" t="n">
        <v>200</v>
      </c>
      <c r="H286" s="43" t="n">
        <v>1</v>
      </c>
      <c r="I286" s="34" t="n">
        <f aca="false">E286*H286+N(F286)+N(G286)</f>
        <v>2650</v>
      </c>
      <c r="J286" s="42" t="n">
        <f aca="false">ROUND(IFERROR(ROUND(IF(OR(ISNUMBER(SEARCH("week",C286)),ISNUMBER(SEARCH("minggu",C286))),IFERROR(_xlfn.NUMBERVALUE(SUBSTITUTE(LEFT(TRIM(C286),FIND(" ",TRIM(C286)&amp;" ")-1),",","."),"."),LEFT(SUBSTITUTE(LEFT(TRIM(C286),FIND(" ",TRIM(C286)&amp;" ")-1),",","."),FIND("/",SUBSTITUTE(LEFT(TRIM(C286),FIND(" ",TRIM(C286)&amp;" ")-1),",","."))-1)/MID(SUBSTITUTE(LEFT(TRIM(C286),FIND(" ",TRIM(C286)&amp;" ")-1),",","."),FIND("/",SUBSTITUTE(LEFT(TRIM(C286),FIND(" ",TRIM(C286)&amp;" ")-1),",","."))+1,9))*12/52,IF(ISNUMBER(SEARCH("month",C286)),IFERROR(_xlfn.NUMBERVALUE(SUBSTITUTE(LEFT(TRIM(C286),FIND(" ",TRIM(C286)&amp;" ")-1),",","."),"."),LEFT(SUBSTITUTE(LEFT(TRIM(C286),FIND(" ",TRIM(C286)&amp;" ")-1),",","."),FIND("/",SUBSTITUTE(LEFT(TRIM(C286),FIND(" ",TRIM(C286)&amp;" ")-1),",","."))-1)/MID(SUBSTITUTE(LEFT(TRIM(C286),FIND(" ",TRIM(C286)&amp;" ")-1),",","."),FIND("/",SUBSTITUTE(LEFT(TRIM(C286),FIND(" ",TRIM(C286)&amp;" ")-1),",","."))+1,9)),IF(ISNUMBER(SEARCH("yea",C286)),IFERROR(_xlfn.NUMBERVALUE(SUBSTITUTE(LEFT(TRIM(C286),FIND(" ",TRIM(C286)&amp;" ")-1),",","."),"."),LEFT(SUBSTITUTE(LEFT(TRIM(C286),FIND(" ",TRIM(C286)&amp;" ")-1),",","."),FIND("/",SUBSTITUTE(LEFT(TRIM(C286),FIND(" ",TRIM(C286)&amp;" ")-1),",","."))-1)/MID(SUBSTITUTE(LEFT(TRIM(C286),FIND(" ",TRIM(C286)&amp;" ")-1),",","."),FIND("/",SUBSTITUTE(LEFT(TRIM(C286),FIND(" ",TRIM(C286)&amp;" ")-1),",","."))+1,9))*12,NA()))),0),36)*'Aturan &amp; Tarif'!$B$4,2)</f>
        <v>2044.08</v>
      </c>
      <c r="K286" s="42" t="n">
        <f aca="false">'Aturan &amp; Tarif'!$B$5</f>
        <v>2050</v>
      </c>
      <c r="L286" s="42" t="n">
        <f aca="false">'Aturan &amp; Tarif'!$B$6</f>
        <v>350</v>
      </c>
      <c r="M286" s="35" t="n">
        <f aca="false">I286+J286+K286+L286</f>
        <v>7094.08</v>
      </c>
      <c r="N286" s="45" t="s">
        <v>134</v>
      </c>
    </row>
    <row r="287" customFormat="false" ht="14.25" hidden="false" customHeight="true" outlineLevel="0" collapsed="false">
      <c r="A287" s="39"/>
      <c r="B287" s="40" t="s">
        <v>652</v>
      </c>
      <c r="C287" s="41" t="s">
        <v>138</v>
      </c>
      <c r="D287" s="41" t="s">
        <v>108</v>
      </c>
      <c r="E287" s="42" t="n">
        <v>2250</v>
      </c>
      <c r="F287" s="42" t="n">
        <v>300</v>
      </c>
      <c r="G287" s="42" t="n">
        <v>200</v>
      </c>
      <c r="H287" s="43" t="n">
        <v>1</v>
      </c>
      <c r="I287" s="34" t="n">
        <f aca="false">E287*H287+N(F287)+N(G287)</f>
        <v>2750</v>
      </c>
      <c r="J287" s="42" t="n">
        <f aca="false">ROUND(IFERROR(ROUND(IF(OR(ISNUMBER(SEARCH("week",C287)),ISNUMBER(SEARCH("minggu",C287))),IFERROR(_xlfn.NUMBERVALUE(SUBSTITUTE(LEFT(TRIM(C287),FIND(" ",TRIM(C287)&amp;" ")-1),",","."),"."),LEFT(SUBSTITUTE(LEFT(TRIM(C287),FIND(" ",TRIM(C287)&amp;" ")-1),",","."),FIND("/",SUBSTITUTE(LEFT(TRIM(C287),FIND(" ",TRIM(C287)&amp;" ")-1),",","."))-1)/MID(SUBSTITUTE(LEFT(TRIM(C287),FIND(" ",TRIM(C287)&amp;" ")-1),",","."),FIND("/",SUBSTITUTE(LEFT(TRIM(C287),FIND(" ",TRIM(C287)&amp;" ")-1),",","."))+1,9))*12/52,IF(ISNUMBER(SEARCH("month",C287)),IFERROR(_xlfn.NUMBERVALUE(SUBSTITUTE(LEFT(TRIM(C287),FIND(" ",TRIM(C287)&amp;" ")-1),",","."),"."),LEFT(SUBSTITUTE(LEFT(TRIM(C287),FIND(" ",TRIM(C287)&amp;" ")-1),",","."),FIND("/",SUBSTITUTE(LEFT(TRIM(C287),FIND(" ",TRIM(C287)&amp;" ")-1),",","."))-1)/MID(SUBSTITUTE(LEFT(TRIM(C287),FIND(" ",TRIM(C287)&amp;" ")-1),",","."),FIND("/",SUBSTITUTE(LEFT(TRIM(C287),FIND(" ",TRIM(C287)&amp;" ")-1),",","."))+1,9)),IF(ISNUMBER(SEARCH("yea",C287)),IFERROR(_xlfn.NUMBERVALUE(SUBSTITUTE(LEFT(TRIM(C287),FIND(" ",TRIM(C287)&amp;" ")-1),",","."),"."),LEFT(SUBSTITUTE(LEFT(TRIM(C287),FIND(" ",TRIM(C287)&amp;" ")-1),",","."),FIND("/",SUBSTITUTE(LEFT(TRIM(C287),FIND(" ",TRIM(C287)&amp;" ")-1),",","."))-1)/MID(SUBSTITUTE(LEFT(TRIM(C287),FIND(" ",TRIM(C287)&amp;" ")-1),",","."),FIND("/",SUBSTITUTE(LEFT(TRIM(C287),FIND(" ",TRIM(C287)&amp;" ")-1),",","."))+1,9))*12,NA()))),0),30)*'Aturan &amp; Tarif'!$B$4,2)</f>
        <v>1703.4</v>
      </c>
      <c r="K287" s="42" t="n">
        <f aca="false">'Aturan &amp; Tarif'!$B$5</f>
        <v>2050</v>
      </c>
      <c r="L287" s="42" t="n">
        <f aca="false">'Aturan &amp; Tarif'!$B$6</f>
        <v>350</v>
      </c>
      <c r="M287" s="35" t="n">
        <f aca="false">I287+J287+K287+L287</f>
        <v>6853.4</v>
      </c>
      <c r="N287" s="45" t="s">
        <v>134</v>
      </c>
    </row>
    <row r="288" customFormat="false" ht="14.25" hidden="false" customHeight="true" outlineLevel="0" collapsed="false">
      <c r="A288" s="39"/>
      <c r="B288" s="40" t="s">
        <v>1969</v>
      </c>
      <c r="C288" s="41" t="s">
        <v>1970</v>
      </c>
      <c r="D288" s="41" t="s">
        <v>108</v>
      </c>
      <c r="E288" s="42" t="n">
        <v>2250</v>
      </c>
      <c r="F288" s="42" t="n">
        <v>300</v>
      </c>
      <c r="G288" s="42" t="n">
        <v>200</v>
      </c>
      <c r="H288" s="43" t="n">
        <v>1</v>
      </c>
      <c r="I288" s="34" t="n">
        <f aca="false">E288*H288+N(F288)+N(G288)</f>
        <v>2750</v>
      </c>
      <c r="J288" s="42" t="n">
        <f aca="false">ROUND(IFERROR(ROUND(IF(OR(ISNUMBER(SEARCH("week",C288)),ISNUMBER(SEARCH("minggu",C288))),IFERROR(_xlfn.NUMBERVALUE(SUBSTITUTE(LEFT(TRIM(C288),FIND(" ",TRIM(C288)&amp;" ")-1),",","."),"."),LEFT(SUBSTITUTE(LEFT(TRIM(C288),FIND(" ",TRIM(C288)&amp;" ")-1),",","."),FIND("/",SUBSTITUTE(LEFT(TRIM(C288),FIND(" ",TRIM(C288)&amp;" ")-1),",","."))-1)/MID(SUBSTITUTE(LEFT(TRIM(C288),FIND(" ",TRIM(C288)&amp;" ")-1),",","."),FIND("/",SUBSTITUTE(LEFT(TRIM(C288),FIND(" ",TRIM(C288)&amp;" ")-1),",","."))+1,9))*12/52,IF(ISNUMBER(SEARCH("month",C288)),IFERROR(_xlfn.NUMBERVALUE(SUBSTITUTE(LEFT(TRIM(C288),FIND(" ",TRIM(C288)&amp;" ")-1),",","."),"."),LEFT(SUBSTITUTE(LEFT(TRIM(C288),FIND(" ",TRIM(C288)&amp;" ")-1),",","."),FIND("/",SUBSTITUTE(LEFT(TRIM(C288),FIND(" ",TRIM(C288)&amp;" ")-1),",","."))-1)/MID(SUBSTITUTE(LEFT(TRIM(C288),FIND(" ",TRIM(C288)&amp;" ")-1),",","."),FIND("/",SUBSTITUTE(LEFT(TRIM(C288),FIND(" ",TRIM(C288)&amp;" ")-1),",","."))+1,9)),IF(ISNUMBER(SEARCH("yea",C288)),IFERROR(_xlfn.NUMBERVALUE(SUBSTITUTE(LEFT(TRIM(C288),FIND(" ",TRIM(C288)&amp;" ")-1),",","."),"."),LEFT(SUBSTITUTE(LEFT(TRIM(C288),FIND(" ",TRIM(C288)&amp;" ")-1),",","."),FIND("/",SUBSTITUTE(LEFT(TRIM(C288),FIND(" ",TRIM(C288)&amp;" ")-1),",","."))-1)/MID(SUBSTITUTE(LEFT(TRIM(C288),FIND(" ",TRIM(C288)&amp;" ")-1),",","."),FIND("/",SUBSTITUTE(LEFT(TRIM(C288),FIND(" ",TRIM(C288)&amp;" ")-1),",","."))+1,9))*12,NA()))),0),18)*'Aturan &amp; Tarif'!$B$4,2)</f>
        <v>1022.04</v>
      </c>
      <c r="K288" s="42" t="n">
        <f aca="false">'Aturan &amp; Tarif'!$B$5</f>
        <v>2050</v>
      </c>
      <c r="L288" s="42" t="n">
        <f aca="false">'Aturan &amp; Tarif'!$B$6</f>
        <v>350</v>
      </c>
      <c r="M288" s="35" t="n">
        <f aca="false">I288+J288+K288+L288</f>
        <v>6172.04</v>
      </c>
      <c r="N288" s="45" t="s">
        <v>134</v>
      </c>
    </row>
    <row r="289" customFormat="false" ht="14.25" hidden="false" customHeight="true" outlineLevel="0" collapsed="false">
      <c r="A289" s="39"/>
      <c r="B289" s="40" t="s">
        <v>625</v>
      </c>
      <c r="C289" s="41" t="s">
        <v>127</v>
      </c>
      <c r="D289" s="41" t="s">
        <v>108</v>
      </c>
      <c r="E289" s="42" t="n">
        <v>2250</v>
      </c>
      <c r="F289" s="42" t="n">
        <v>300</v>
      </c>
      <c r="G289" s="42" t="n">
        <v>200</v>
      </c>
      <c r="H289" s="43" t="n">
        <v>1</v>
      </c>
      <c r="I289" s="34" t="n">
        <f aca="false">E289*H289+N(F289)+N(G289)</f>
        <v>2750</v>
      </c>
      <c r="J289" s="42" t="n">
        <f aca="false">ROUND(IFERROR(ROUND(IF(OR(ISNUMBER(SEARCH("week",C289)),ISNUMBER(SEARCH("minggu",C289))),IFERROR(_xlfn.NUMBERVALUE(SUBSTITUTE(LEFT(TRIM(C289),FIND(" ",TRIM(C289)&amp;" ")-1),",","."),"."),LEFT(SUBSTITUTE(LEFT(TRIM(C289),FIND(" ",TRIM(C289)&amp;" ")-1),",","."),FIND("/",SUBSTITUTE(LEFT(TRIM(C289),FIND(" ",TRIM(C289)&amp;" ")-1),",","."))-1)/MID(SUBSTITUTE(LEFT(TRIM(C289),FIND(" ",TRIM(C289)&amp;" ")-1),",","."),FIND("/",SUBSTITUTE(LEFT(TRIM(C289),FIND(" ",TRIM(C289)&amp;" ")-1),",","."))+1,9))*12/52,IF(ISNUMBER(SEARCH("month",C289)),IFERROR(_xlfn.NUMBERVALUE(SUBSTITUTE(LEFT(TRIM(C289),FIND(" ",TRIM(C289)&amp;" ")-1),",","."),"."),LEFT(SUBSTITUTE(LEFT(TRIM(C289),FIND(" ",TRIM(C289)&amp;" ")-1),",","."),FIND("/",SUBSTITUTE(LEFT(TRIM(C289),FIND(" ",TRIM(C289)&amp;" ")-1),",","."))-1)/MID(SUBSTITUTE(LEFT(TRIM(C289),FIND(" ",TRIM(C289)&amp;" ")-1),",","."),FIND("/",SUBSTITUTE(LEFT(TRIM(C289),FIND(" ",TRIM(C289)&amp;" ")-1),",","."))+1,9)),IF(ISNUMBER(SEARCH("yea",C289)),IFERROR(_xlfn.NUMBERVALUE(SUBSTITUTE(LEFT(TRIM(C289),FIND(" ",TRIM(C289)&amp;" ")-1),",","."),"."),LEFT(SUBSTITUTE(LEFT(TRIM(C289),FIND(" ",TRIM(C289)&amp;" ")-1),",","."),FIND("/",SUBSTITUTE(LEFT(TRIM(C289),FIND(" ",TRIM(C289)&amp;" ")-1),",","."))-1)/MID(SUBSTITUTE(LEFT(TRIM(C289),FIND(" ",TRIM(C289)&amp;" ")-1),",","."),FIND("/",SUBSTITUTE(LEFT(TRIM(C289),FIND(" ",TRIM(C289)&amp;" ")-1),",","."))+1,9))*12,NA()))),0),36)*'Aturan &amp; Tarif'!$B$4,2)</f>
        <v>2044.08</v>
      </c>
      <c r="K289" s="42" t="n">
        <f aca="false">'Aturan &amp; Tarif'!$B$5</f>
        <v>2050</v>
      </c>
      <c r="L289" s="42" t="n">
        <f aca="false">'Aturan &amp; Tarif'!$B$6</f>
        <v>350</v>
      </c>
      <c r="M289" s="35" t="n">
        <f aca="false">I289+J289+K289+L289</f>
        <v>7194.08</v>
      </c>
      <c r="N289" s="45" t="s">
        <v>134</v>
      </c>
    </row>
    <row r="290" customFormat="false" ht="25.5" hidden="false" customHeight="true" outlineLevel="0" collapsed="false">
      <c r="A290" s="39"/>
      <c r="B290" s="40" t="s">
        <v>1971</v>
      </c>
      <c r="C290" s="41" t="s">
        <v>107</v>
      </c>
      <c r="D290" s="41" t="s">
        <v>108</v>
      </c>
      <c r="E290" s="42" t="n">
        <v>2750</v>
      </c>
      <c r="F290" s="42" t="n">
        <v>500</v>
      </c>
      <c r="G290" s="42" t="n">
        <v>200</v>
      </c>
      <c r="H290" s="43" t="n">
        <v>1</v>
      </c>
      <c r="I290" s="34" t="n">
        <f aca="false">E290*H290+N(F290)+N(G290)</f>
        <v>3450</v>
      </c>
      <c r="J290" s="42" t="n">
        <f aca="false">ROUND(IFERROR(ROUND(IF(OR(ISNUMBER(SEARCH("week",C290)),ISNUMBER(SEARCH("minggu",C290))),IFERROR(_xlfn.NUMBERVALUE(SUBSTITUTE(LEFT(TRIM(C290),FIND(" ",TRIM(C290)&amp;" ")-1),",","."),"."),LEFT(SUBSTITUTE(LEFT(TRIM(C290),FIND(" ",TRIM(C290)&amp;" ")-1),",","."),FIND("/",SUBSTITUTE(LEFT(TRIM(C290),FIND(" ",TRIM(C290)&amp;" ")-1),",","."))-1)/MID(SUBSTITUTE(LEFT(TRIM(C290),FIND(" ",TRIM(C290)&amp;" ")-1),",","."),FIND("/",SUBSTITUTE(LEFT(TRIM(C290),FIND(" ",TRIM(C290)&amp;" ")-1),",","."))+1,9))*12/52,IF(ISNUMBER(SEARCH("month",C290)),IFERROR(_xlfn.NUMBERVALUE(SUBSTITUTE(LEFT(TRIM(C290),FIND(" ",TRIM(C290)&amp;" ")-1),",","."),"."),LEFT(SUBSTITUTE(LEFT(TRIM(C290),FIND(" ",TRIM(C290)&amp;" ")-1),",","."),FIND("/",SUBSTITUTE(LEFT(TRIM(C290),FIND(" ",TRIM(C290)&amp;" ")-1),",","."))-1)/MID(SUBSTITUTE(LEFT(TRIM(C290),FIND(" ",TRIM(C290)&amp;" ")-1),",","."),FIND("/",SUBSTITUTE(LEFT(TRIM(C290),FIND(" ",TRIM(C290)&amp;" ")-1),",","."))+1,9)),IF(ISNUMBER(SEARCH("yea",C290)),IFERROR(_xlfn.NUMBERVALUE(SUBSTITUTE(LEFT(TRIM(C290),FIND(" ",TRIM(C290)&amp;" ")-1),",","."),"."),LEFT(SUBSTITUTE(LEFT(TRIM(C290),FIND(" ",TRIM(C290)&amp;" ")-1),",","."),FIND("/",SUBSTITUTE(LEFT(TRIM(C290),FIND(" ",TRIM(C290)&amp;" ")-1),",","."))-1)/MID(SUBSTITUTE(LEFT(TRIM(C290),FIND(" ",TRIM(C290)&amp;" ")-1),",","."),FIND("/",SUBSTITUTE(LEFT(TRIM(C290),FIND(" ",TRIM(C290)&amp;" ")-1),",","."))+1,9))*12,NA()))),0),24)*'Aturan &amp; Tarif'!$B$4,2)</f>
        <v>1362.72</v>
      </c>
      <c r="K290" s="42" t="n">
        <f aca="false">'Aturan &amp; Tarif'!$B$5</f>
        <v>2050</v>
      </c>
      <c r="L290" s="42" t="n">
        <f aca="false">'Aturan &amp; Tarif'!$B$6</f>
        <v>350</v>
      </c>
      <c r="M290" s="35" t="n">
        <f aca="false">I290+J290+K290+L290</f>
        <v>7212.72</v>
      </c>
      <c r="N290" s="45" t="s">
        <v>134</v>
      </c>
    </row>
    <row r="291" customFormat="false" ht="25.5" hidden="false" customHeight="true" outlineLevel="0" collapsed="false">
      <c r="A291" s="39"/>
      <c r="B291" s="40" t="s">
        <v>148</v>
      </c>
      <c r="C291" s="41" t="s">
        <v>127</v>
      </c>
      <c r="D291" s="41" t="s">
        <v>108</v>
      </c>
      <c r="E291" s="42" t="n">
        <v>3000</v>
      </c>
      <c r="F291" s="42" t="n">
        <v>1500</v>
      </c>
      <c r="G291" s="42" t="n">
        <v>200</v>
      </c>
      <c r="H291" s="43" t="n">
        <v>1</v>
      </c>
      <c r="I291" s="34" t="n">
        <f aca="false">E291*H291+N(F291)+N(G291)</f>
        <v>4700</v>
      </c>
      <c r="J291" s="42" t="n">
        <f aca="false">ROUND(IFERROR(ROUND(IF(OR(ISNUMBER(SEARCH("week",C291)),ISNUMBER(SEARCH("minggu",C291))),IFERROR(_xlfn.NUMBERVALUE(SUBSTITUTE(LEFT(TRIM(C291),FIND(" ",TRIM(C291)&amp;" ")-1),",","."),"."),LEFT(SUBSTITUTE(LEFT(TRIM(C291),FIND(" ",TRIM(C291)&amp;" ")-1),",","."),FIND("/",SUBSTITUTE(LEFT(TRIM(C291),FIND(" ",TRIM(C291)&amp;" ")-1),",","."))-1)/MID(SUBSTITUTE(LEFT(TRIM(C291),FIND(" ",TRIM(C291)&amp;" ")-1),",","."),FIND("/",SUBSTITUTE(LEFT(TRIM(C291),FIND(" ",TRIM(C291)&amp;" ")-1),",","."))+1,9))*12/52,IF(ISNUMBER(SEARCH("month",C291)),IFERROR(_xlfn.NUMBERVALUE(SUBSTITUTE(LEFT(TRIM(C291),FIND(" ",TRIM(C291)&amp;" ")-1),",","."),"."),LEFT(SUBSTITUTE(LEFT(TRIM(C291),FIND(" ",TRIM(C291)&amp;" ")-1),",","."),FIND("/",SUBSTITUTE(LEFT(TRIM(C291),FIND(" ",TRIM(C291)&amp;" ")-1),",","."))-1)/MID(SUBSTITUTE(LEFT(TRIM(C291),FIND(" ",TRIM(C291)&amp;" ")-1),",","."),FIND("/",SUBSTITUTE(LEFT(TRIM(C291),FIND(" ",TRIM(C291)&amp;" ")-1),",","."))+1,9)),IF(ISNUMBER(SEARCH("yea",C291)),IFERROR(_xlfn.NUMBERVALUE(SUBSTITUTE(LEFT(TRIM(C291),FIND(" ",TRIM(C291)&amp;" ")-1),",","."),"."),LEFT(SUBSTITUTE(LEFT(TRIM(C291),FIND(" ",TRIM(C291)&amp;" ")-1),",","."),FIND("/",SUBSTITUTE(LEFT(TRIM(C291),FIND(" ",TRIM(C291)&amp;" ")-1),",","."))-1)/MID(SUBSTITUTE(LEFT(TRIM(C291),FIND(" ",TRIM(C291)&amp;" ")-1),",","."),FIND("/",SUBSTITUTE(LEFT(TRIM(C291),FIND(" ",TRIM(C291)&amp;" ")-1),",","."))+1,9))*12,NA()))),0),36)*'Aturan &amp; Tarif'!$B$4,2)</f>
        <v>2044.08</v>
      </c>
      <c r="K291" s="42" t="n">
        <f aca="false">'Aturan &amp; Tarif'!$B$5</f>
        <v>2050</v>
      </c>
      <c r="L291" s="42" t="n">
        <f aca="false">'Aturan &amp; Tarif'!$B$6</f>
        <v>350</v>
      </c>
      <c r="M291" s="35" t="n">
        <f aca="false">I291+J291+K291+L291</f>
        <v>9144.08</v>
      </c>
      <c r="N291" s="45" t="s">
        <v>134</v>
      </c>
    </row>
    <row r="292" customFormat="false" ht="25.5" hidden="false" customHeight="true" outlineLevel="0" collapsed="false">
      <c r="A292" s="39"/>
      <c r="B292" s="40" t="s">
        <v>1972</v>
      </c>
      <c r="C292" s="41" t="s">
        <v>245</v>
      </c>
      <c r="D292" s="41" t="s">
        <v>108</v>
      </c>
      <c r="E292" s="42" t="n">
        <v>3000</v>
      </c>
      <c r="F292" s="42" t="n">
        <v>1500</v>
      </c>
      <c r="G292" s="42" t="n">
        <v>200</v>
      </c>
      <c r="H292" s="43" t="n">
        <v>1</v>
      </c>
      <c r="I292" s="34" t="n">
        <f aca="false">E292*H292+N(F292)+N(G292)</f>
        <v>4700</v>
      </c>
      <c r="J292" s="42" t="n">
        <f aca="false">ROUND(IFERROR(ROUND(IF(OR(ISNUMBER(SEARCH("week",C292)),ISNUMBER(SEARCH("minggu",C292))),IFERROR(_xlfn.NUMBERVALUE(SUBSTITUTE(LEFT(TRIM(C292),FIND(" ",TRIM(C292)&amp;" ")-1),",","."),"."),LEFT(SUBSTITUTE(LEFT(TRIM(C292),FIND(" ",TRIM(C292)&amp;" ")-1),",","."),FIND("/",SUBSTITUTE(LEFT(TRIM(C292),FIND(" ",TRIM(C292)&amp;" ")-1),",","."))-1)/MID(SUBSTITUTE(LEFT(TRIM(C292),FIND(" ",TRIM(C292)&amp;" ")-1),",","."),FIND("/",SUBSTITUTE(LEFT(TRIM(C292),FIND(" ",TRIM(C292)&amp;" ")-1),",","."))+1,9))*12/52,IF(ISNUMBER(SEARCH("month",C292)),IFERROR(_xlfn.NUMBERVALUE(SUBSTITUTE(LEFT(TRIM(C292),FIND(" ",TRIM(C292)&amp;" ")-1),",","."),"."),LEFT(SUBSTITUTE(LEFT(TRIM(C292),FIND(" ",TRIM(C292)&amp;" ")-1),",","."),FIND("/",SUBSTITUTE(LEFT(TRIM(C292),FIND(" ",TRIM(C292)&amp;" ")-1),",","."))-1)/MID(SUBSTITUTE(LEFT(TRIM(C292),FIND(" ",TRIM(C292)&amp;" ")-1),",","."),FIND("/",SUBSTITUTE(LEFT(TRIM(C292),FIND(" ",TRIM(C292)&amp;" ")-1),",","."))+1,9)),IF(ISNUMBER(SEARCH("yea",C292)),IFERROR(_xlfn.NUMBERVALUE(SUBSTITUTE(LEFT(TRIM(C292),FIND(" ",TRIM(C292)&amp;" ")-1),",","."),"."),LEFT(SUBSTITUTE(LEFT(TRIM(C292),FIND(" ",TRIM(C292)&amp;" ")-1),",","."),FIND("/",SUBSTITUTE(LEFT(TRIM(C292),FIND(" ",TRIM(C292)&amp;" ")-1),",","."))-1)/MID(SUBSTITUTE(LEFT(TRIM(C292),FIND(" ",TRIM(C292)&amp;" ")-1),",","."),FIND("/",SUBSTITUTE(LEFT(TRIM(C292),FIND(" ",TRIM(C292)&amp;" ")-1),",","."))+1,9))*12,NA()))),0),60)*'Aturan &amp; Tarif'!$B$4,2)</f>
        <v>3406.8</v>
      </c>
      <c r="K292" s="42" t="n">
        <f aca="false">'Aturan &amp; Tarif'!$B$5</f>
        <v>2050</v>
      </c>
      <c r="L292" s="42" t="n">
        <f aca="false">'Aturan &amp; Tarif'!$B$6</f>
        <v>350</v>
      </c>
      <c r="M292" s="35" t="n">
        <f aca="false">I292+J292+K292+L292</f>
        <v>10506.8</v>
      </c>
      <c r="N292" s="45" t="s">
        <v>134</v>
      </c>
    </row>
    <row r="293" customFormat="false" ht="25.5" hidden="false" customHeight="true" outlineLevel="0" collapsed="false">
      <c r="A293" s="39"/>
      <c r="B293" s="40" t="s">
        <v>909</v>
      </c>
      <c r="C293" s="41" t="s">
        <v>127</v>
      </c>
      <c r="D293" s="41" t="s">
        <v>108</v>
      </c>
      <c r="E293" s="42" t="n">
        <v>3000</v>
      </c>
      <c r="F293" s="42" t="n">
        <v>1000</v>
      </c>
      <c r="G293" s="42" t="n">
        <v>200</v>
      </c>
      <c r="H293" s="43" t="n">
        <v>1</v>
      </c>
      <c r="I293" s="34" t="n">
        <f aca="false">E293*H293+N(F293)+N(G293)</f>
        <v>4200</v>
      </c>
      <c r="J293" s="42" t="n">
        <f aca="false">ROUND(IFERROR(ROUND(IF(OR(ISNUMBER(SEARCH("week",C293)),ISNUMBER(SEARCH("minggu",C293))),IFERROR(_xlfn.NUMBERVALUE(SUBSTITUTE(LEFT(TRIM(C293),FIND(" ",TRIM(C293)&amp;" ")-1),",","."),"."),LEFT(SUBSTITUTE(LEFT(TRIM(C293),FIND(" ",TRIM(C293)&amp;" ")-1),",","."),FIND("/",SUBSTITUTE(LEFT(TRIM(C293),FIND(" ",TRIM(C293)&amp;" ")-1),",","."))-1)/MID(SUBSTITUTE(LEFT(TRIM(C293),FIND(" ",TRIM(C293)&amp;" ")-1),",","."),FIND("/",SUBSTITUTE(LEFT(TRIM(C293),FIND(" ",TRIM(C293)&amp;" ")-1),",","."))+1,9))*12/52,IF(ISNUMBER(SEARCH("month",C293)),IFERROR(_xlfn.NUMBERVALUE(SUBSTITUTE(LEFT(TRIM(C293),FIND(" ",TRIM(C293)&amp;" ")-1),",","."),"."),LEFT(SUBSTITUTE(LEFT(TRIM(C293),FIND(" ",TRIM(C293)&amp;" ")-1),",","."),FIND("/",SUBSTITUTE(LEFT(TRIM(C293),FIND(" ",TRIM(C293)&amp;" ")-1),",","."))-1)/MID(SUBSTITUTE(LEFT(TRIM(C293),FIND(" ",TRIM(C293)&amp;" ")-1),",","."),FIND("/",SUBSTITUTE(LEFT(TRIM(C293),FIND(" ",TRIM(C293)&amp;" ")-1),",","."))+1,9)),IF(ISNUMBER(SEARCH("yea",C293)),IFERROR(_xlfn.NUMBERVALUE(SUBSTITUTE(LEFT(TRIM(C293),FIND(" ",TRIM(C293)&amp;" ")-1),",","."),"."),LEFT(SUBSTITUTE(LEFT(TRIM(C293),FIND(" ",TRIM(C293)&amp;" ")-1),",","."),FIND("/",SUBSTITUTE(LEFT(TRIM(C293),FIND(" ",TRIM(C293)&amp;" ")-1),",","."))-1)/MID(SUBSTITUTE(LEFT(TRIM(C293),FIND(" ",TRIM(C293)&amp;" ")-1),",","."),FIND("/",SUBSTITUTE(LEFT(TRIM(C293),FIND(" ",TRIM(C293)&amp;" ")-1),",","."))+1,9))*12,NA()))),0),36)*'Aturan &amp; Tarif'!$B$4,2)</f>
        <v>2044.08</v>
      </c>
      <c r="K293" s="42" t="n">
        <f aca="false">'Aturan &amp; Tarif'!$B$5</f>
        <v>2050</v>
      </c>
      <c r="L293" s="42" t="n">
        <f aca="false">'Aturan &amp; Tarif'!$B$6</f>
        <v>350</v>
      </c>
      <c r="M293" s="35" t="n">
        <f aca="false">I293+J293+K293+L293</f>
        <v>8644.08</v>
      </c>
      <c r="N293" s="45" t="s">
        <v>134</v>
      </c>
    </row>
    <row r="294" customFormat="false" ht="14.25" hidden="false" customHeight="true" outlineLevel="0" collapsed="false">
      <c r="A294" s="39"/>
      <c r="B294" s="40" t="s">
        <v>471</v>
      </c>
      <c r="C294" s="41" t="s">
        <v>107</v>
      </c>
      <c r="D294" s="41" t="s">
        <v>108</v>
      </c>
      <c r="E294" s="42" t="n">
        <v>3000</v>
      </c>
      <c r="F294" s="42" t="n">
        <v>3000</v>
      </c>
      <c r="G294" s="42" t="n">
        <v>200</v>
      </c>
      <c r="H294" s="43" t="n">
        <v>1</v>
      </c>
      <c r="I294" s="34" t="n">
        <f aca="false">E294*H294+N(F294)+N(G294)</f>
        <v>6200</v>
      </c>
      <c r="J294" s="42" t="n">
        <f aca="false">ROUND(IFERROR(ROUND(IF(OR(ISNUMBER(SEARCH("week",C294)),ISNUMBER(SEARCH("minggu",C294))),IFERROR(_xlfn.NUMBERVALUE(SUBSTITUTE(LEFT(TRIM(C294),FIND(" ",TRIM(C294)&amp;" ")-1),",","."),"."),LEFT(SUBSTITUTE(LEFT(TRIM(C294),FIND(" ",TRIM(C294)&amp;" ")-1),",","."),FIND("/",SUBSTITUTE(LEFT(TRIM(C294),FIND(" ",TRIM(C294)&amp;" ")-1),",","."))-1)/MID(SUBSTITUTE(LEFT(TRIM(C294),FIND(" ",TRIM(C294)&amp;" ")-1),",","."),FIND("/",SUBSTITUTE(LEFT(TRIM(C294),FIND(" ",TRIM(C294)&amp;" ")-1),",","."))+1,9))*12/52,IF(ISNUMBER(SEARCH("month",C294)),IFERROR(_xlfn.NUMBERVALUE(SUBSTITUTE(LEFT(TRIM(C294),FIND(" ",TRIM(C294)&amp;" ")-1),",","."),"."),LEFT(SUBSTITUTE(LEFT(TRIM(C294),FIND(" ",TRIM(C294)&amp;" ")-1),",","."),FIND("/",SUBSTITUTE(LEFT(TRIM(C294),FIND(" ",TRIM(C294)&amp;" ")-1),",","."))-1)/MID(SUBSTITUTE(LEFT(TRIM(C294),FIND(" ",TRIM(C294)&amp;" ")-1),",","."),FIND("/",SUBSTITUTE(LEFT(TRIM(C294),FIND(" ",TRIM(C294)&amp;" ")-1),",","."))+1,9)),IF(ISNUMBER(SEARCH("yea",C294)),IFERROR(_xlfn.NUMBERVALUE(SUBSTITUTE(LEFT(TRIM(C294),FIND(" ",TRIM(C294)&amp;" ")-1),",","."),"."),LEFT(SUBSTITUTE(LEFT(TRIM(C294),FIND(" ",TRIM(C294)&amp;" ")-1),",","."),FIND("/",SUBSTITUTE(LEFT(TRIM(C294),FIND(" ",TRIM(C294)&amp;" ")-1),",","."))-1)/MID(SUBSTITUTE(LEFT(TRIM(C294),FIND(" ",TRIM(C294)&amp;" ")-1),",","."),FIND("/",SUBSTITUTE(LEFT(TRIM(C294),FIND(" ",TRIM(C294)&amp;" ")-1),",","."))+1,9))*12,NA()))),0),24)*'Aturan &amp; Tarif'!$B$4,2)</f>
        <v>1362.72</v>
      </c>
      <c r="K294" s="42" t="n">
        <f aca="false">'Aturan &amp; Tarif'!$B$5</f>
        <v>2050</v>
      </c>
      <c r="L294" s="42" t="n">
        <f aca="false">'Aturan &amp; Tarif'!$B$6</f>
        <v>350</v>
      </c>
      <c r="M294" s="35" t="n">
        <f aca="false">I294+J294+K294+L294</f>
        <v>9962.72</v>
      </c>
      <c r="N294" s="45" t="s">
        <v>134</v>
      </c>
    </row>
    <row r="295" customFormat="false" ht="14.25" hidden="false" customHeight="true" outlineLevel="0" collapsed="false">
      <c r="A295" s="39"/>
      <c r="B295" s="40" t="s">
        <v>1973</v>
      </c>
      <c r="C295" s="41" t="s">
        <v>107</v>
      </c>
      <c r="D295" s="41" t="s">
        <v>108</v>
      </c>
      <c r="E295" s="42" t="n">
        <v>3000</v>
      </c>
      <c r="F295" s="42" t="n">
        <v>3000</v>
      </c>
      <c r="G295" s="42" t="n">
        <v>200</v>
      </c>
      <c r="H295" s="43" t="n">
        <v>1</v>
      </c>
      <c r="I295" s="34" t="n">
        <f aca="false">E295*H295+N(F295)+N(G295)</f>
        <v>6200</v>
      </c>
      <c r="J295" s="42" t="n">
        <f aca="false">ROUND(IFERROR(ROUND(IF(OR(ISNUMBER(SEARCH("week",C295)),ISNUMBER(SEARCH("minggu",C295))),IFERROR(_xlfn.NUMBERVALUE(SUBSTITUTE(LEFT(TRIM(C295),FIND(" ",TRIM(C295)&amp;" ")-1),",","."),"."),LEFT(SUBSTITUTE(LEFT(TRIM(C295),FIND(" ",TRIM(C295)&amp;" ")-1),",","."),FIND("/",SUBSTITUTE(LEFT(TRIM(C295),FIND(" ",TRIM(C295)&amp;" ")-1),",","."))-1)/MID(SUBSTITUTE(LEFT(TRIM(C295),FIND(" ",TRIM(C295)&amp;" ")-1),",","."),FIND("/",SUBSTITUTE(LEFT(TRIM(C295),FIND(" ",TRIM(C295)&amp;" ")-1),",","."))+1,9))*12/52,IF(ISNUMBER(SEARCH("month",C295)),IFERROR(_xlfn.NUMBERVALUE(SUBSTITUTE(LEFT(TRIM(C295),FIND(" ",TRIM(C295)&amp;" ")-1),",","."),"."),LEFT(SUBSTITUTE(LEFT(TRIM(C295),FIND(" ",TRIM(C295)&amp;" ")-1),",","."),FIND("/",SUBSTITUTE(LEFT(TRIM(C295),FIND(" ",TRIM(C295)&amp;" ")-1),",","."))-1)/MID(SUBSTITUTE(LEFT(TRIM(C295),FIND(" ",TRIM(C295)&amp;" ")-1),",","."),FIND("/",SUBSTITUTE(LEFT(TRIM(C295),FIND(" ",TRIM(C295)&amp;" ")-1),",","."))+1,9)),IF(ISNUMBER(SEARCH("yea",C295)),IFERROR(_xlfn.NUMBERVALUE(SUBSTITUTE(LEFT(TRIM(C295),FIND(" ",TRIM(C295)&amp;" ")-1),",","."),"."),LEFT(SUBSTITUTE(LEFT(TRIM(C295),FIND(" ",TRIM(C295)&amp;" ")-1),",","."),FIND("/",SUBSTITUTE(LEFT(TRIM(C295),FIND(" ",TRIM(C295)&amp;" ")-1),",","."))-1)/MID(SUBSTITUTE(LEFT(TRIM(C295),FIND(" ",TRIM(C295)&amp;" ")-1),",","."),FIND("/",SUBSTITUTE(LEFT(TRIM(C295),FIND(" ",TRIM(C295)&amp;" ")-1),",","."))+1,9))*12,NA()))),0),24)*'Aturan &amp; Tarif'!$B$4,2)</f>
        <v>1362.72</v>
      </c>
      <c r="K295" s="42" t="n">
        <f aca="false">'Aturan &amp; Tarif'!$B$5</f>
        <v>2050</v>
      </c>
      <c r="L295" s="42" t="n">
        <f aca="false">'Aturan &amp; Tarif'!$B$6</f>
        <v>350</v>
      </c>
      <c r="M295" s="35" t="n">
        <f aca="false">I295+J295+K295+L295</f>
        <v>9962.72</v>
      </c>
      <c r="N295" s="45" t="s">
        <v>134</v>
      </c>
    </row>
    <row r="296" customFormat="false" ht="25.5" hidden="false" customHeight="true" outlineLevel="0" collapsed="false">
      <c r="A296" s="29" t="s">
        <v>1974</v>
      </c>
      <c r="B296" s="30" t="s">
        <v>1584</v>
      </c>
      <c r="C296" s="31" t="s">
        <v>113</v>
      </c>
      <c r="D296" s="31" t="s">
        <v>108</v>
      </c>
      <c r="E296" s="32" t="n">
        <v>1500</v>
      </c>
      <c r="F296" s="32" t="n">
        <v>100</v>
      </c>
      <c r="G296" s="32" t="n">
        <v>200</v>
      </c>
      <c r="H296" s="33" t="n">
        <v>1</v>
      </c>
      <c r="I296" s="34" t="n">
        <f aca="false">E296*H296+N(F296)+N(G296)</f>
        <v>1800</v>
      </c>
      <c r="J296" s="32" t="n">
        <f aca="false">ROUND(IFERROR(ROUND(IF(OR(ISNUMBER(SEARCH("week",C296)),ISNUMBER(SEARCH("minggu",C296))),IFERROR(_xlfn.NUMBERVALUE(SUBSTITUTE(LEFT(TRIM(C296),FIND(" ",TRIM(C296)&amp;" ")-1),",","."),"."),LEFT(SUBSTITUTE(LEFT(TRIM(C296),FIND(" ",TRIM(C296)&amp;" ")-1),",","."),FIND("/",SUBSTITUTE(LEFT(TRIM(C296),FIND(" ",TRIM(C296)&amp;" ")-1),",","."))-1)/MID(SUBSTITUTE(LEFT(TRIM(C296),FIND(" ",TRIM(C296)&amp;" ")-1),",","."),FIND("/",SUBSTITUTE(LEFT(TRIM(C296),FIND(" ",TRIM(C296)&amp;" ")-1),",","."))+1,9))*12/52,IF(ISNUMBER(SEARCH("month",C296)),IFERROR(_xlfn.NUMBERVALUE(SUBSTITUTE(LEFT(TRIM(C296),FIND(" ",TRIM(C296)&amp;" ")-1),",","."),"."),LEFT(SUBSTITUTE(LEFT(TRIM(C296),FIND(" ",TRIM(C296)&amp;" ")-1),",","."),FIND("/",SUBSTITUTE(LEFT(TRIM(C296),FIND(" ",TRIM(C296)&amp;" ")-1),",","."))-1)/MID(SUBSTITUTE(LEFT(TRIM(C296),FIND(" ",TRIM(C296)&amp;" ")-1),",","."),FIND("/",SUBSTITUTE(LEFT(TRIM(C296),FIND(" ",TRIM(C296)&amp;" ")-1),",","."))+1,9)),IF(ISNUMBER(SEARCH("yea",C296)),IFERROR(_xlfn.NUMBERVALUE(SUBSTITUTE(LEFT(TRIM(C296),FIND(" ",TRIM(C296)&amp;" ")-1),",","."),"."),LEFT(SUBSTITUTE(LEFT(TRIM(C296),FIND(" ",TRIM(C296)&amp;" ")-1),",","."),FIND("/",SUBSTITUTE(LEFT(TRIM(C296),FIND(" ",TRIM(C296)&amp;" ")-1),",","."))-1)/MID(SUBSTITUTE(LEFT(TRIM(C296),FIND(" ",TRIM(C296)&amp;" ")-1),",","."),FIND("/",SUBSTITUTE(LEFT(TRIM(C296),FIND(" ",TRIM(C296)&amp;" ")-1),",","."))+1,9))*12,NA()))),0),18)*'Aturan &amp; Tarif'!$B$4,2)</f>
        <v>1022.04</v>
      </c>
      <c r="K296" s="32" t="n">
        <f aca="false">'Aturan &amp; Tarif'!$B$5</f>
        <v>2050</v>
      </c>
      <c r="L296" s="32" t="n">
        <f aca="false">'Aturan &amp; Tarif'!$B$6</f>
        <v>350</v>
      </c>
      <c r="M296" s="35" t="n">
        <f aca="false">I296+J296+K296+L296</f>
        <v>5222.04</v>
      </c>
      <c r="N296" s="36" t="s">
        <v>1585</v>
      </c>
    </row>
    <row r="297" customFormat="false" ht="14.25" hidden="false" customHeight="true" outlineLevel="0" collapsed="false">
      <c r="A297" s="29"/>
      <c r="B297" s="30" t="s">
        <v>1586</v>
      </c>
      <c r="C297" s="31" t="s">
        <v>138</v>
      </c>
      <c r="D297" s="31" t="s">
        <v>108</v>
      </c>
      <c r="E297" s="32" t="n">
        <v>1500</v>
      </c>
      <c r="F297" s="32" t="n">
        <v>100</v>
      </c>
      <c r="G297" s="32" t="n">
        <v>200</v>
      </c>
      <c r="H297" s="33" t="n">
        <v>1</v>
      </c>
      <c r="I297" s="34" t="n">
        <f aca="false">E297*H297+N(F297)+N(G297)</f>
        <v>1800</v>
      </c>
      <c r="J297" s="32" t="n">
        <f aca="false">ROUND(IFERROR(ROUND(IF(OR(ISNUMBER(SEARCH("week",C297)),ISNUMBER(SEARCH("minggu",C297))),IFERROR(_xlfn.NUMBERVALUE(SUBSTITUTE(LEFT(TRIM(C297),FIND(" ",TRIM(C297)&amp;" ")-1),",","."),"."),LEFT(SUBSTITUTE(LEFT(TRIM(C297),FIND(" ",TRIM(C297)&amp;" ")-1),",","."),FIND("/",SUBSTITUTE(LEFT(TRIM(C297),FIND(" ",TRIM(C297)&amp;" ")-1),",","."))-1)/MID(SUBSTITUTE(LEFT(TRIM(C297),FIND(" ",TRIM(C297)&amp;" ")-1),",","."),FIND("/",SUBSTITUTE(LEFT(TRIM(C297),FIND(" ",TRIM(C297)&amp;" ")-1),",","."))+1,9))*12/52,IF(ISNUMBER(SEARCH("month",C297)),IFERROR(_xlfn.NUMBERVALUE(SUBSTITUTE(LEFT(TRIM(C297),FIND(" ",TRIM(C297)&amp;" ")-1),",","."),"."),LEFT(SUBSTITUTE(LEFT(TRIM(C297),FIND(" ",TRIM(C297)&amp;" ")-1),",","."),FIND("/",SUBSTITUTE(LEFT(TRIM(C297),FIND(" ",TRIM(C297)&amp;" ")-1),",","."))-1)/MID(SUBSTITUTE(LEFT(TRIM(C297),FIND(" ",TRIM(C297)&amp;" ")-1),",","."),FIND("/",SUBSTITUTE(LEFT(TRIM(C297),FIND(" ",TRIM(C297)&amp;" ")-1),",","."))+1,9)),IF(ISNUMBER(SEARCH("yea",C297)),IFERROR(_xlfn.NUMBERVALUE(SUBSTITUTE(LEFT(TRIM(C297),FIND(" ",TRIM(C297)&amp;" ")-1),",","."),"."),LEFT(SUBSTITUTE(LEFT(TRIM(C297),FIND(" ",TRIM(C297)&amp;" ")-1),",","."),FIND("/",SUBSTITUTE(LEFT(TRIM(C297),FIND(" ",TRIM(C297)&amp;" ")-1),",","."))-1)/MID(SUBSTITUTE(LEFT(TRIM(C297),FIND(" ",TRIM(C297)&amp;" ")-1),",","."),FIND("/",SUBSTITUTE(LEFT(TRIM(C297),FIND(" ",TRIM(C297)&amp;" ")-1),",","."))+1,9))*12,NA()))),0),30)*'Aturan &amp; Tarif'!$B$4,2)</f>
        <v>1703.4</v>
      </c>
      <c r="K297" s="32" t="n">
        <f aca="false">'Aturan &amp; Tarif'!$B$5</f>
        <v>2050</v>
      </c>
      <c r="L297" s="32" t="n">
        <f aca="false">'Aturan &amp; Tarif'!$B$6</f>
        <v>350</v>
      </c>
      <c r="M297" s="35" t="n">
        <f aca="false">I297+J297+K297+L297</f>
        <v>5903.4</v>
      </c>
      <c r="N297" s="37" t="s">
        <v>134</v>
      </c>
    </row>
    <row r="298" customFormat="false" ht="60" hidden="false" customHeight="true" outlineLevel="0" collapsed="false">
      <c r="A298" s="29"/>
      <c r="B298" s="30" t="s">
        <v>1587</v>
      </c>
      <c r="C298" s="31" t="s">
        <v>136</v>
      </c>
      <c r="D298" s="31" t="s">
        <v>108</v>
      </c>
      <c r="E298" s="32" t="n">
        <v>1500</v>
      </c>
      <c r="F298" s="32" t="n">
        <v>100</v>
      </c>
      <c r="G298" s="32" t="n">
        <v>200</v>
      </c>
      <c r="H298" s="33" t="n">
        <v>1</v>
      </c>
      <c r="I298" s="34" t="n">
        <f aca="false">E298*H298+N(F298)+N(G298)</f>
        <v>1800</v>
      </c>
      <c r="J298" s="32" t="n">
        <f aca="false">ROUND(IFERROR(ROUND(IF(OR(ISNUMBER(SEARCH("week",C298)),ISNUMBER(SEARCH("minggu",C298))),IFERROR(_xlfn.NUMBERVALUE(SUBSTITUTE(LEFT(TRIM(C298),FIND(" ",TRIM(C298)&amp;" ")-1),",","."),"."),LEFT(SUBSTITUTE(LEFT(TRIM(C298),FIND(" ",TRIM(C298)&amp;" ")-1),",","."),FIND("/",SUBSTITUTE(LEFT(TRIM(C298),FIND(" ",TRIM(C298)&amp;" ")-1),",","."))-1)/MID(SUBSTITUTE(LEFT(TRIM(C298),FIND(" ",TRIM(C298)&amp;" ")-1),",","."),FIND("/",SUBSTITUTE(LEFT(TRIM(C298),FIND(" ",TRIM(C298)&amp;" ")-1),",","."))+1,9))*12/52,IF(ISNUMBER(SEARCH("month",C298)),IFERROR(_xlfn.NUMBERVALUE(SUBSTITUTE(LEFT(TRIM(C298),FIND(" ",TRIM(C298)&amp;" ")-1),",","."),"."),LEFT(SUBSTITUTE(LEFT(TRIM(C298),FIND(" ",TRIM(C298)&amp;" ")-1),",","."),FIND("/",SUBSTITUTE(LEFT(TRIM(C298),FIND(" ",TRIM(C298)&amp;" ")-1),",","."))-1)/MID(SUBSTITUTE(LEFT(TRIM(C298),FIND(" ",TRIM(C298)&amp;" ")-1),",","."),FIND("/",SUBSTITUTE(LEFT(TRIM(C298),FIND(" ",TRIM(C298)&amp;" ")-1),",","."))+1,9)),IF(ISNUMBER(SEARCH("yea",C298)),IFERROR(_xlfn.NUMBERVALUE(SUBSTITUTE(LEFT(TRIM(C298),FIND(" ",TRIM(C298)&amp;" ")-1),",","."),"."),LEFT(SUBSTITUTE(LEFT(TRIM(C298),FIND(" ",TRIM(C298)&amp;" ")-1),",","."),FIND("/",SUBSTITUTE(LEFT(TRIM(C298),FIND(" ",TRIM(C298)&amp;" ")-1),",","."))-1)/MID(SUBSTITUTE(LEFT(TRIM(C298),FIND(" ",TRIM(C298)&amp;" ")-1),",","."),FIND("/",SUBSTITUTE(LEFT(TRIM(C298),FIND(" ",TRIM(C298)&amp;" ")-1),",","."))+1,9))*12,NA()))),0),42)*'Aturan &amp; Tarif'!$B$4,2)</f>
        <v>2384.76</v>
      </c>
      <c r="K298" s="32" t="n">
        <f aca="false">'Aturan &amp; Tarif'!$B$5</f>
        <v>2050</v>
      </c>
      <c r="L298" s="32" t="n">
        <f aca="false">'Aturan &amp; Tarif'!$B$6</f>
        <v>350</v>
      </c>
      <c r="M298" s="35" t="n">
        <f aca="false">I298+J298+K298+L298</f>
        <v>6584.76</v>
      </c>
      <c r="N298" s="36" t="s">
        <v>1588</v>
      </c>
    </row>
    <row r="299" customFormat="false" ht="14.25" hidden="false" customHeight="true" outlineLevel="0" collapsed="false">
      <c r="A299" s="29"/>
      <c r="B299" s="30" t="s">
        <v>1589</v>
      </c>
      <c r="C299" s="31" t="s">
        <v>113</v>
      </c>
      <c r="D299" s="31" t="s">
        <v>108</v>
      </c>
      <c r="E299" s="32" t="n">
        <v>1500</v>
      </c>
      <c r="F299" s="32" t="n">
        <v>100</v>
      </c>
      <c r="G299" s="32" t="n">
        <v>200</v>
      </c>
      <c r="H299" s="33" t="n">
        <v>1</v>
      </c>
      <c r="I299" s="34" t="n">
        <f aca="false">E299*H299+N(F299)+N(G299)</f>
        <v>1800</v>
      </c>
      <c r="J299" s="32" t="n">
        <f aca="false">ROUND(IFERROR(ROUND(IF(OR(ISNUMBER(SEARCH("week",C299)),ISNUMBER(SEARCH("minggu",C299))),IFERROR(_xlfn.NUMBERVALUE(SUBSTITUTE(LEFT(TRIM(C299),FIND(" ",TRIM(C299)&amp;" ")-1),",","."),"."),LEFT(SUBSTITUTE(LEFT(TRIM(C299),FIND(" ",TRIM(C299)&amp;" ")-1),",","."),FIND("/",SUBSTITUTE(LEFT(TRIM(C299),FIND(" ",TRIM(C299)&amp;" ")-1),",","."))-1)/MID(SUBSTITUTE(LEFT(TRIM(C299),FIND(" ",TRIM(C299)&amp;" ")-1),",","."),FIND("/",SUBSTITUTE(LEFT(TRIM(C299),FIND(" ",TRIM(C299)&amp;" ")-1),",","."))+1,9))*12/52,IF(ISNUMBER(SEARCH("month",C299)),IFERROR(_xlfn.NUMBERVALUE(SUBSTITUTE(LEFT(TRIM(C299),FIND(" ",TRIM(C299)&amp;" ")-1),",","."),"."),LEFT(SUBSTITUTE(LEFT(TRIM(C299),FIND(" ",TRIM(C299)&amp;" ")-1),",","."),FIND("/",SUBSTITUTE(LEFT(TRIM(C299),FIND(" ",TRIM(C299)&amp;" ")-1),",","."))-1)/MID(SUBSTITUTE(LEFT(TRIM(C299),FIND(" ",TRIM(C299)&amp;" ")-1),",","."),FIND("/",SUBSTITUTE(LEFT(TRIM(C299),FIND(" ",TRIM(C299)&amp;" ")-1),",","."))+1,9)),IF(ISNUMBER(SEARCH("yea",C299)),IFERROR(_xlfn.NUMBERVALUE(SUBSTITUTE(LEFT(TRIM(C299),FIND(" ",TRIM(C299)&amp;" ")-1),",","."),"."),LEFT(SUBSTITUTE(LEFT(TRIM(C299),FIND(" ",TRIM(C299)&amp;" ")-1),",","."),FIND("/",SUBSTITUTE(LEFT(TRIM(C299),FIND(" ",TRIM(C299)&amp;" ")-1),",","."))-1)/MID(SUBSTITUTE(LEFT(TRIM(C299),FIND(" ",TRIM(C299)&amp;" ")-1),",","."),FIND("/",SUBSTITUTE(LEFT(TRIM(C299),FIND(" ",TRIM(C299)&amp;" ")-1),",","."))+1,9))*12,NA()))),0),18)*'Aturan &amp; Tarif'!$B$4,2)</f>
        <v>1022.04</v>
      </c>
      <c r="K299" s="32" t="n">
        <f aca="false">'Aturan &amp; Tarif'!$B$5</f>
        <v>2050</v>
      </c>
      <c r="L299" s="32" t="n">
        <f aca="false">'Aturan &amp; Tarif'!$B$6</f>
        <v>350</v>
      </c>
      <c r="M299" s="35" t="n">
        <f aca="false">I299+J299+K299+L299</f>
        <v>5222.04</v>
      </c>
      <c r="N299" s="37" t="s">
        <v>1590</v>
      </c>
    </row>
    <row r="300" customFormat="false" ht="25.5" hidden="false" customHeight="true" outlineLevel="0" collapsed="false">
      <c r="A300" s="29"/>
      <c r="B300" s="30" t="s">
        <v>1591</v>
      </c>
      <c r="C300" s="31" t="s">
        <v>113</v>
      </c>
      <c r="D300" s="31" t="s">
        <v>108</v>
      </c>
      <c r="E300" s="32" t="n">
        <v>1500</v>
      </c>
      <c r="F300" s="32" t="n">
        <v>100</v>
      </c>
      <c r="G300" s="32" t="n">
        <v>200</v>
      </c>
      <c r="H300" s="33" t="n">
        <v>1</v>
      </c>
      <c r="I300" s="34" t="n">
        <f aca="false">E300*H300+N(F300)+N(G300)</f>
        <v>1800</v>
      </c>
      <c r="J300" s="32" t="n">
        <f aca="false">ROUND(IFERROR(ROUND(IF(OR(ISNUMBER(SEARCH("week",C300)),ISNUMBER(SEARCH("minggu",C300))),IFERROR(_xlfn.NUMBERVALUE(SUBSTITUTE(LEFT(TRIM(C300),FIND(" ",TRIM(C300)&amp;" ")-1),",","."),"."),LEFT(SUBSTITUTE(LEFT(TRIM(C300),FIND(" ",TRIM(C300)&amp;" ")-1),",","."),FIND("/",SUBSTITUTE(LEFT(TRIM(C300),FIND(" ",TRIM(C300)&amp;" ")-1),",","."))-1)/MID(SUBSTITUTE(LEFT(TRIM(C300),FIND(" ",TRIM(C300)&amp;" ")-1),",","."),FIND("/",SUBSTITUTE(LEFT(TRIM(C300),FIND(" ",TRIM(C300)&amp;" ")-1),",","."))+1,9))*12/52,IF(ISNUMBER(SEARCH("month",C300)),IFERROR(_xlfn.NUMBERVALUE(SUBSTITUTE(LEFT(TRIM(C300),FIND(" ",TRIM(C300)&amp;" ")-1),",","."),"."),LEFT(SUBSTITUTE(LEFT(TRIM(C300),FIND(" ",TRIM(C300)&amp;" ")-1),",","."),FIND("/",SUBSTITUTE(LEFT(TRIM(C300),FIND(" ",TRIM(C300)&amp;" ")-1),",","."))-1)/MID(SUBSTITUTE(LEFT(TRIM(C300),FIND(" ",TRIM(C300)&amp;" ")-1),",","."),FIND("/",SUBSTITUTE(LEFT(TRIM(C300),FIND(" ",TRIM(C300)&amp;" ")-1),",","."))+1,9)),IF(ISNUMBER(SEARCH("yea",C300)),IFERROR(_xlfn.NUMBERVALUE(SUBSTITUTE(LEFT(TRIM(C300),FIND(" ",TRIM(C300)&amp;" ")-1),",","."),"."),LEFT(SUBSTITUTE(LEFT(TRIM(C300),FIND(" ",TRIM(C300)&amp;" ")-1),",","."),FIND("/",SUBSTITUTE(LEFT(TRIM(C300),FIND(" ",TRIM(C300)&amp;" ")-1),",","."))-1)/MID(SUBSTITUTE(LEFT(TRIM(C300),FIND(" ",TRIM(C300)&amp;" ")-1),",","."),FIND("/",SUBSTITUTE(LEFT(TRIM(C300),FIND(" ",TRIM(C300)&amp;" ")-1),",","."))+1,9))*12,NA()))),0),18)*'Aturan &amp; Tarif'!$B$4,2)</f>
        <v>1022.04</v>
      </c>
      <c r="K300" s="32" t="n">
        <f aca="false">'Aturan &amp; Tarif'!$B$5</f>
        <v>2050</v>
      </c>
      <c r="L300" s="32" t="n">
        <f aca="false">'Aturan &amp; Tarif'!$B$6</f>
        <v>350</v>
      </c>
      <c r="M300" s="35" t="n">
        <f aca="false">I300+J300+K300+L300</f>
        <v>5222.04</v>
      </c>
      <c r="N300" s="37" t="s">
        <v>134</v>
      </c>
    </row>
    <row r="301" customFormat="false" ht="25.5" hidden="false" customHeight="true" outlineLevel="0" collapsed="false">
      <c r="A301" s="29"/>
      <c r="B301" s="30" t="s">
        <v>1592</v>
      </c>
      <c r="C301" s="31" t="s">
        <v>138</v>
      </c>
      <c r="D301" s="31" t="s">
        <v>108</v>
      </c>
      <c r="E301" s="32" t="n">
        <v>1500</v>
      </c>
      <c r="F301" s="32" t="n">
        <v>100</v>
      </c>
      <c r="G301" s="32" t="n">
        <v>200</v>
      </c>
      <c r="H301" s="33" t="n">
        <v>1</v>
      </c>
      <c r="I301" s="34" t="n">
        <f aca="false">E301*H301+N(F301)+N(G301)</f>
        <v>1800</v>
      </c>
      <c r="J301" s="32" t="n">
        <f aca="false">ROUND(IFERROR(ROUND(IF(OR(ISNUMBER(SEARCH("week",C301)),ISNUMBER(SEARCH("minggu",C301))),IFERROR(_xlfn.NUMBERVALUE(SUBSTITUTE(LEFT(TRIM(C301),FIND(" ",TRIM(C301)&amp;" ")-1),",","."),"."),LEFT(SUBSTITUTE(LEFT(TRIM(C301),FIND(" ",TRIM(C301)&amp;" ")-1),",","."),FIND("/",SUBSTITUTE(LEFT(TRIM(C301),FIND(" ",TRIM(C301)&amp;" ")-1),",","."))-1)/MID(SUBSTITUTE(LEFT(TRIM(C301),FIND(" ",TRIM(C301)&amp;" ")-1),",","."),FIND("/",SUBSTITUTE(LEFT(TRIM(C301),FIND(" ",TRIM(C301)&amp;" ")-1),",","."))+1,9))*12/52,IF(ISNUMBER(SEARCH("month",C301)),IFERROR(_xlfn.NUMBERVALUE(SUBSTITUTE(LEFT(TRIM(C301),FIND(" ",TRIM(C301)&amp;" ")-1),",","."),"."),LEFT(SUBSTITUTE(LEFT(TRIM(C301),FIND(" ",TRIM(C301)&amp;" ")-1),",","."),FIND("/",SUBSTITUTE(LEFT(TRIM(C301),FIND(" ",TRIM(C301)&amp;" ")-1),",","."))-1)/MID(SUBSTITUTE(LEFT(TRIM(C301),FIND(" ",TRIM(C301)&amp;" ")-1),",","."),FIND("/",SUBSTITUTE(LEFT(TRIM(C301),FIND(" ",TRIM(C301)&amp;" ")-1),",","."))+1,9)),IF(ISNUMBER(SEARCH("yea",C301)),IFERROR(_xlfn.NUMBERVALUE(SUBSTITUTE(LEFT(TRIM(C301),FIND(" ",TRIM(C301)&amp;" ")-1),",","."),"."),LEFT(SUBSTITUTE(LEFT(TRIM(C301),FIND(" ",TRIM(C301)&amp;" ")-1),",","."),FIND("/",SUBSTITUTE(LEFT(TRIM(C301),FIND(" ",TRIM(C301)&amp;" ")-1),",","."))-1)/MID(SUBSTITUTE(LEFT(TRIM(C301),FIND(" ",TRIM(C301)&amp;" ")-1),",","."),FIND("/",SUBSTITUTE(LEFT(TRIM(C301),FIND(" ",TRIM(C301)&amp;" ")-1),",","."))+1,9))*12,NA()))),0),30)*'Aturan &amp; Tarif'!$B$4,2)</f>
        <v>1703.4</v>
      </c>
      <c r="K301" s="32" t="n">
        <f aca="false">'Aturan &amp; Tarif'!$B$5</f>
        <v>2050</v>
      </c>
      <c r="L301" s="32" t="n">
        <f aca="false">'Aturan &amp; Tarif'!$B$6</f>
        <v>350</v>
      </c>
      <c r="M301" s="35" t="n">
        <f aca="false">I301+J301+K301+L301</f>
        <v>5903.4</v>
      </c>
      <c r="N301" s="37" t="s">
        <v>134</v>
      </c>
    </row>
    <row r="302" customFormat="false" ht="25.5" hidden="false" customHeight="true" outlineLevel="0" collapsed="false">
      <c r="A302" s="29"/>
      <c r="B302" s="30" t="s">
        <v>1593</v>
      </c>
      <c r="C302" s="31" t="s">
        <v>136</v>
      </c>
      <c r="D302" s="31" t="s">
        <v>108</v>
      </c>
      <c r="E302" s="32" t="n">
        <v>1500</v>
      </c>
      <c r="F302" s="32" t="n">
        <v>100</v>
      </c>
      <c r="G302" s="32" t="n">
        <v>200</v>
      </c>
      <c r="H302" s="33" t="n">
        <v>1</v>
      </c>
      <c r="I302" s="34" t="n">
        <f aca="false">E302*H302+N(F302)+N(G302)</f>
        <v>1800</v>
      </c>
      <c r="J302" s="32" t="n">
        <f aca="false">ROUND(IFERROR(ROUND(IF(OR(ISNUMBER(SEARCH("week",C302)),ISNUMBER(SEARCH("minggu",C302))),IFERROR(_xlfn.NUMBERVALUE(SUBSTITUTE(LEFT(TRIM(C302),FIND(" ",TRIM(C302)&amp;" ")-1),",","."),"."),LEFT(SUBSTITUTE(LEFT(TRIM(C302),FIND(" ",TRIM(C302)&amp;" ")-1),",","."),FIND("/",SUBSTITUTE(LEFT(TRIM(C302),FIND(" ",TRIM(C302)&amp;" ")-1),",","."))-1)/MID(SUBSTITUTE(LEFT(TRIM(C302),FIND(" ",TRIM(C302)&amp;" ")-1),",","."),FIND("/",SUBSTITUTE(LEFT(TRIM(C302),FIND(" ",TRIM(C302)&amp;" ")-1),",","."))+1,9))*12/52,IF(ISNUMBER(SEARCH("month",C302)),IFERROR(_xlfn.NUMBERVALUE(SUBSTITUTE(LEFT(TRIM(C302),FIND(" ",TRIM(C302)&amp;" ")-1),",","."),"."),LEFT(SUBSTITUTE(LEFT(TRIM(C302),FIND(" ",TRIM(C302)&amp;" ")-1),",","."),FIND("/",SUBSTITUTE(LEFT(TRIM(C302),FIND(" ",TRIM(C302)&amp;" ")-1),",","."))-1)/MID(SUBSTITUTE(LEFT(TRIM(C302),FIND(" ",TRIM(C302)&amp;" ")-1),",","."),FIND("/",SUBSTITUTE(LEFT(TRIM(C302),FIND(" ",TRIM(C302)&amp;" ")-1),",","."))+1,9)),IF(ISNUMBER(SEARCH("yea",C302)),IFERROR(_xlfn.NUMBERVALUE(SUBSTITUTE(LEFT(TRIM(C302),FIND(" ",TRIM(C302)&amp;" ")-1),",","."),"."),LEFT(SUBSTITUTE(LEFT(TRIM(C302),FIND(" ",TRIM(C302)&amp;" ")-1),",","."),FIND("/",SUBSTITUTE(LEFT(TRIM(C302),FIND(" ",TRIM(C302)&amp;" ")-1),",","."))-1)/MID(SUBSTITUTE(LEFT(TRIM(C302),FIND(" ",TRIM(C302)&amp;" ")-1),",","."),FIND("/",SUBSTITUTE(LEFT(TRIM(C302),FIND(" ",TRIM(C302)&amp;" ")-1),",","."))+1,9))*12,NA()))),0),42)*'Aturan &amp; Tarif'!$B$4,2)</f>
        <v>2384.76</v>
      </c>
      <c r="K302" s="32" t="n">
        <f aca="false">'Aturan &amp; Tarif'!$B$5</f>
        <v>2050</v>
      </c>
      <c r="L302" s="32" t="n">
        <f aca="false">'Aturan &amp; Tarif'!$B$6</f>
        <v>350</v>
      </c>
      <c r="M302" s="35" t="n">
        <f aca="false">I302+J302+K302+L302</f>
        <v>6584.76</v>
      </c>
      <c r="N302" s="36" t="s">
        <v>1594</v>
      </c>
    </row>
    <row r="303" customFormat="false" ht="37.5" hidden="false" customHeight="true" outlineLevel="0" collapsed="false">
      <c r="A303" s="29"/>
      <c r="B303" s="30" t="s">
        <v>1595</v>
      </c>
      <c r="C303" s="31" t="s">
        <v>130</v>
      </c>
      <c r="D303" s="31" t="s">
        <v>108</v>
      </c>
      <c r="E303" s="32" t="n">
        <v>1500</v>
      </c>
      <c r="F303" s="32" t="n">
        <v>100</v>
      </c>
      <c r="G303" s="32" t="n">
        <v>200</v>
      </c>
      <c r="H303" s="33" t="n">
        <v>1</v>
      </c>
      <c r="I303" s="34" t="n">
        <f aca="false">E303*H303+N(F303)+N(G303)</f>
        <v>1800</v>
      </c>
      <c r="J303" s="32" t="n">
        <f aca="false">ROUND(IFERROR(ROUND(IF(OR(ISNUMBER(SEARCH("week",C303)),ISNUMBER(SEARCH("minggu",C303))),IFERROR(_xlfn.NUMBERVALUE(SUBSTITUTE(LEFT(TRIM(C303),FIND(" ",TRIM(C303)&amp;" ")-1),",","."),"."),LEFT(SUBSTITUTE(LEFT(TRIM(C303),FIND(" ",TRIM(C303)&amp;" ")-1),",","."),FIND("/",SUBSTITUTE(LEFT(TRIM(C303),FIND(" ",TRIM(C303)&amp;" ")-1),",","."))-1)/MID(SUBSTITUTE(LEFT(TRIM(C303),FIND(" ",TRIM(C303)&amp;" ")-1),",","."),FIND("/",SUBSTITUTE(LEFT(TRIM(C303),FIND(" ",TRIM(C303)&amp;" ")-1),",","."))+1,9))*12/52,IF(ISNUMBER(SEARCH("month",C303)),IFERROR(_xlfn.NUMBERVALUE(SUBSTITUTE(LEFT(TRIM(C303),FIND(" ",TRIM(C303)&amp;" ")-1),",","."),"."),LEFT(SUBSTITUTE(LEFT(TRIM(C303),FIND(" ",TRIM(C303)&amp;" ")-1),",","."),FIND("/",SUBSTITUTE(LEFT(TRIM(C303),FIND(" ",TRIM(C303)&amp;" ")-1),",","."))-1)/MID(SUBSTITUTE(LEFT(TRIM(C303),FIND(" ",TRIM(C303)&amp;" ")-1),",","."),FIND("/",SUBSTITUTE(LEFT(TRIM(C303),FIND(" ",TRIM(C303)&amp;" ")-1),",","."))+1,9)),IF(ISNUMBER(SEARCH("yea",C303)),IFERROR(_xlfn.NUMBERVALUE(SUBSTITUTE(LEFT(TRIM(C303),FIND(" ",TRIM(C303)&amp;" ")-1),",","."),"."),LEFT(SUBSTITUTE(LEFT(TRIM(C303),FIND(" ",TRIM(C303)&amp;" ")-1),",","."),FIND("/",SUBSTITUTE(LEFT(TRIM(C303),FIND(" ",TRIM(C303)&amp;" ")-1),",","."))-1)/MID(SUBSTITUTE(LEFT(TRIM(C303),FIND(" ",TRIM(C303)&amp;" ")-1),",","."),FIND("/",SUBSTITUTE(LEFT(TRIM(C303),FIND(" ",TRIM(C303)&amp;" ")-1),",","."))+1,9))*12,NA()))),0),12)*'Aturan &amp; Tarif'!$B$4,2)</f>
        <v>681.36</v>
      </c>
      <c r="K303" s="32" t="n">
        <f aca="false">'Aturan &amp; Tarif'!$B$5</f>
        <v>2050</v>
      </c>
      <c r="L303" s="32" t="n">
        <f aca="false">'Aturan &amp; Tarif'!$B$6</f>
        <v>350</v>
      </c>
      <c r="M303" s="35" t="n">
        <f aca="false">I303+J303+K303+L303</f>
        <v>4881.36</v>
      </c>
      <c r="N303" s="37" t="s">
        <v>1590</v>
      </c>
    </row>
    <row r="304" customFormat="false" ht="48.75" hidden="false" customHeight="true" outlineLevel="0" collapsed="false">
      <c r="A304" s="29"/>
      <c r="B304" s="30" t="s">
        <v>1596</v>
      </c>
      <c r="C304" s="31" t="s">
        <v>107</v>
      </c>
      <c r="D304" s="31" t="s">
        <v>108</v>
      </c>
      <c r="E304" s="32" t="n">
        <v>1500</v>
      </c>
      <c r="F304" s="32" t="n">
        <v>100</v>
      </c>
      <c r="G304" s="32" t="n">
        <v>200</v>
      </c>
      <c r="H304" s="33" t="n">
        <v>1</v>
      </c>
      <c r="I304" s="34" t="n">
        <f aca="false">E304*H304+N(F304)+N(G304)</f>
        <v>1800</v>
      </c>
      <c r="J304" s="32" t="n">
        <f aca="false">ROUND(IFERROR(ROUND(IF(OR(ISNUMBER(SEARCH("week",C304)),ISNUMBER(SEARCH("minggu",C304))),IFERROR(_xlfn.NUMBERVALUE(SUBSTITUTE(LEFT(TRIM(C304),FIND(" ",TRIM(C304)&amp;" ")-1),",","."),"."),LEFT(SUBSTITUTE(LEFT(TRIM(C304),FIND(" ",TRIM(C304)&amp;" ")-1),",","."),FIND("/",SUBSTITUTE(LEFT(TRIM(C304),FIND(" ",TRIM(C304)&amp;" ")-1),",","."))-1)/MID(SUBSTITUTE(LEFT(TRIM(C304),FIND(" ",TRIM(C304)&amp;" ")-1),",","."),FIND("/",SUBSTITUTE(LEFT(TRIM(C304),FIND(" ",TRIM(C304)&amp;" ")-1),",","."))+1,9))*12/52,IF(ISNUMBER(SEARCH("month",C304)),IFERROR(_xlfn.NUMBERVALUE(SUBSTITUTE(LEFT(TRIM(C304),FIND(" ",TRIM(C304)&amp;" ")-1),",","."),"."),LEFT(SUBSTITUTE(LEFT(TRIM(C304),FIND(" ",TRIM(C304)&amp;" ")-1),",","."),FIND("/",SUBSTITUTE(LEFT(TRIM(C304),FIND(" ",TRIM(C304)&amp;" ")-1),",","."))-1)/MID(SUBSTITUTE(LEFT(TRIM(C304),FIND(" ",TRIM(C304)&amp;" ")-1),",","."),FIND("/",SUBSTITUTE(LEFT(TRIM(C304),FIND(" ",TRIM(C304)&amp;" ")-1),",","."))+1,9)),IF(ISNUMBER(SEARCH("yea",C304)),IFERROR(_xlfn.NUMBERVALUE(SUBSTITUTE(LEFT(TRIM(C304),FIND(" ",TRIM(C304)&amp;" ")-1),",","."),"."),LEFT(SUBSTITUTE(LEFT(TRIM(C304),FIND(" ",TRIM(C304)&amp;" ")-1),",","."),FIND("/",SUBSTITUTE(LEFT(TRIM(C304),FIND(" ",TRIM(C304)&amp;" ")-1),",","."))-1)/MID(SUBSTITUTE(LEFT(TRIM(C304),FIND(" ",TRIM(C304)&amp;" ")-1),",","."),FIND("/",SUBSTITUTE(LEFT(TRIM(C304),FIND(" ",TRIM(C304)&amp;" ")-1),",","."))+1,9))*12,NA()))),0),24)*'Aturan &amp; Tarif'!$B$4,2)</f>
        <v>1362.72</v>
      </c>
      <c r="K304" s="32" t="n">
        <f aca="false">'Aturan &amp; Tarif'!$B$5</f>
        <v>2050</v>
      </c>
      <c r="L304" s="32" t="n">
        <f aca="false">'Aturan &amp; Tarif'!$B$6</f>
        <v>350</v>
      </c>
      <c r="M304" s="35" t="n">
        <f aca="false">I304+J304+K304+L304</f>
        <v>5562.72</v>
      </c>
      <c r="N304" s="37" t="s">
        <v>134</v>
      </c>
    </row>
    <row r="305" customFormat="false" ht="37.5" hidden="false" customHeight="true" outlineLevel="0" collapsed="false">
      <c r="A305" s="29"/>
      <c r="B305" s="30" t="s">
        <v>1597</v>
      </c>
      <c r="C305" s="31" t="s">
        <v>127</v>
      </c>
      <c r="D305" s="31" t="s">
        <v>108</v>
      </c>
      <c r="E305" s="32" t="n">
        <v>1750</v>
      </c>
      <c r="F305" s="32" t="n">
        <v>200</v>
      </c>
      <c r="G305" s="32" t="n">
        <v>200</v>
      </c>
      <c r="H305" s="33" t="n">
        <v>1</v>
      </c>
      <c r="I305" s="34" t="n">
        <f aca="false">E305*H305+N(F305)+N(G305)</f>
        <v>2150</v>
      </c>
      <c r="J305" s="32" t="n">
        <f aca="false">ROUND(IFERROR(ROUND(IF(OR(ISNUMBER(SEARCH("week",C305)),ISNUMBER(SEARCH("minggu",C305))),IFERROR(_xlfn.NUMBERVALUE(SUBSTITUTE(LEFT(TRIM(C305),FIND(" ",TRIM(C305)&amp;" ")-1),",","."),"."),LEFT(SUBSTITUTE(LEFT(TRIM(C305),FIND(" ",TRIM(C305)&amp;" ")-1),",","."),FIND("/",SUBSTITUTE(LEFT(TRIM(C305),FIND(" ",TRIM(C305)&amp;" ")-1),",","."))-1)/MID(SUBSTITUTE(LEFT(TRIM(C305),FIND(" ",TRIM(C305)&amp;" ")-1),",","."),FIND("/",SUBSTITUTE(LEFT(TRIM(C305),FIND(" ",TRIM(C305)&amp;" ")-1),",","."))+1,9))*12/52,IF(ISNUMBER(SEARCH("month",C305)),IFERROR(_xlfn.NUMBERVALUE(SUBSTITUTE(LEFT(TRIM(C305),FIND(" ",TRIM(C305)&amp;" ")-1),",","."),"."),LEFT(SUBSTITUTE(LEFT(TRIM(C305),FIND(" ",TRIM(C305)&amp;" ")-1),",","."),FIND("/",SUBSTITUTE(LEFT(TRIM(C305),FIND(" ",TRIM(C305)&amp;" ")-1),",","."))-1)/MID(SUBSTITUTE(LEFT(TRIM(C305),FIND(" ",TRIM(C305)&amp;" ")-1),",","."),FIND("/",SUBSTITUTE(LEFT(TRIM(C305),FIND(" ",TRIM(C305)&amp;" ")-1),",","."))+1,9)),IF(ISNUMBER(SEARCH("yea",C305)),IFERROR(_xlfn.NUMBERVALUE(SUBSTITUTE(LEFT(TRIM(C305),FIND(" ",TRIM(C305)&amp;" ")-1),",","."),"."),LEFT(SUBSTITUTE(LEFT(TRIM(C305),FIND(" ",TRIM(C305)&amp;" ")-1),",","."),FIND("/",SUBSTITUTE(LEFT(TRIM(C305),FIND(" ",TRIM(C305)&amp;" ")-1),",","."))-1)/MID(SUBSTITUTE(LEFT(TRIM(C305),FIND(" ",TRIM(C305)&amp;" ")-1),",","."),FIND("/",SUBSTITUTE(LEFT(TRIM(C305),FIND(" ",TRIM(C305)&amp;" ")-1),",","."))+1,9))*12,NA()))),0),36)*'Aturan &amp; Tarif'!$B$4,2)</f>
        <v>2044.08</v>
      </c>
      <c r="K305" s="32" t="n">
        <f aca="false">'Aturan &amp; Tarif'!$B$5</f>
        <v>2050</v>
      </c>
      <c r="L305" s="32" t="n">
        <f aca="false">'Aturan &amp; Tarif'!$B$6</f>
        <v>350</v>
      </c>
      <c r="M305" s="35" t="n">
        <f aca="false">I305+J305+K305+L305</f>
        <v>6594.08</v>
      </c>
      <c r="N305" s="37" t="s">
        <v>134</v>
      </c>
    </row>
    <row r="306" customFormat="false" ht="37.5" hidden="false" customHeight="true" outlineLevel="0" collapsed="false">
      <c r="A306" s="29"/>
      <c r="B306" s="30" t="s">
        <v>1598</v>
      </c>
      <c r="C306" s="31" t="s">
        <v>107</v>
      </c>
      <c r="D306" s="31" t="s">
        <v>108</v>
      </c>
      <c r="E306" s="32" t="n">
        <v>1750</v>
      </c>
      <c r="F306" s="32" t="n">
        <v>200</v>
      </c>
      <c r="G306" s="32" t="n">
        <v>200</v>
      </c>
      <c r="H306" s="33" t="n">
        <v>1</v>
      </c>
      <c r="I306" s="34" t="n">
        <f aca="false">E306*H306+N(F306)+N(G306)</f>
        <v>2150</v>
      </c>
      <c r="J306" s="32" t="n">
        <f aca="false">ROUND(IFERROR(ROUND(IF(OR(ISNUMBER(SEARCH("week",C306)),ISNUMBER(SEARCH("minggu",C306))),IFERROR(_xlfn.NUMBERVALUE(SUBSTITUTE(LEFT(TRIM(C306),FIND(" ",TRIM(C306)&amp;" ")-1),",","."),"."),LEFT(SUBSTITUTE(LEFT(TRIM(C306),FIND(" ",TRIM(C306)&amp;" ")-1),",","."),FIND("/",SUBSTITUTE(LEFT(TRIM(C306),FIND(" ",TRIM(C306)&amp;" ")-1),",","."))-1)/MID(SUBSTITUTE(LEFT(TRIM(C306),FIND(" ",TRIM(C306)&amp;" ")-1),",","."),FIND("/",SUBSTITUTE(LEFT(TRIM(C306),FIND(" ",TRIM(C306)&amp;" ")-1),",","."))+1,9))*12/52,IF(ISNUMBER(SEARCH("month",C306)),IFERROR(_xlfn.NUMBERVALUE(SUBSTITUTE(LEFT(TRIM(C306),FIND(" ",TRIM(C306)&amp;" ")-1),",","."),"."),LEFT(SUBSTITUTE(LEFT(TRIM(C306),FIND(" ",TRIM(C306)&amp;" ")-1),",","."),FIND("/",SUBSTITUTE(LEFT(TRIM(C306),FIND(" ",TRIM(C306)&amp;" ")-1),",","."))-1)/MID(SUBSTITUTE(LEFT(TRIM(C306),FIND(" ",TRIM(C306)&amp;" ")-1),",","."),FIND("/",SUBSTITUTE(LEFT(TRIM(C306),FIND(" ",TRIM(C306)&amp;" ")-1),",","."))+1,9)),IF(ISNUMBER(SEARCH("yea",C306)),IFERROR(_xlfn.NUMBERVALUE(SUBSTITUTE(LEFT(TRIM(C306),FIND(" ",TRIM(C306)&amp;" ")-1),",","."),"."),LEFT(SUBSTITUTE(LEFT(TRIM(C306),FIND(" ",TRIM(C306)&amp;" ")-1),",","."),FIND("/",SUBSTITUTE(LEFT(TRIM(C306),FIND(" ",TRIM(C306)&amp;" ")-1),",","."))-1)/MID(SUBSTITUTE(LEFT(TRIM(C306),FIND(" ",TRIM(C306)&amp;" ")-1),",","."),FIND("/",SUBSTITUTE(LEFT(TRIM(C306),FIND(" ",TRIM(C306)&amp;" ")-1),",","."))+1,9))*12,NA()))),0),24)*'Aturan &amp; Tarif'!$B$4,2)</f>
        <v>1362.72</v>
      </c>
      <c r="K306" s="32" t="n">
        <f aca="false">'Aturan &amp; Tarif'!$B$5</f>
        <v>2050</v>
      </c>
      <c r="L306" s="32" t="n">
        <f aca="false">'Aturan &amp; Tarif'!$B$6</f>
        <v>350</v>
      </c>
      <c r="M306" s="35" t="n">
        <f aca="false">I306+J306+K306+L306</f>
        <v>5912.72</v>
      </c>
      <c r="N306" s="37" t="s">
        <v>134</v>
      </c>
    </row>
    <row r="307" customFormat="false" ht="37.5" hidden="false" customHeight="true" outlineLevel="0" collapsed="false">
      <c r="A307" s="29"/>
      <c r="B307" s="30" t="s">
        <v>126</v>
      </c>
      <c r="C307" s="31" t="s">
        <v>127</v>
      </c>
      <c r="D307" s="31" t="s">
        <v>108</v>
      </c>
      <c r="E307" s="32" t="n">
        <v>1750</v>
      </c>
      <c r="F307" s="32" t="n">
        <v>200</v>
      </c>
      <c r="G307" s="32" t="n">
        <v>200</v>
      </c>
      <c r="H307" s="33" t="n">
        <v>1</v>
      </c>
      <c r="I307" s="34" t="n">
        <f aca="false">E307*H307+N(F307)+N(G307)</f>
        <v>2150</v>
      </c>
      <c r="J307" s="32" t="n">
        <f aca="false">ROUND(IFERROR(ROUND(IF(OR(ISNUMBER(SEARCH("week",C307)),ISNUMBER(SEARCH("minggu",C307))),IFERROR(_xlfn.NUMBERVALUE(SUBSTITUTE(LEFT(TRIM(C307),FIND(" ",TRIM(C307)&amp;" ")-1),",","."),"."),LEFT(SUBSTITUTE(LEFT(TRIM(C307),FIND(" ",TRIM(C307)&amp;" ")-1),",","."),FIND("/",SUBSTITUTE(LEFT(TRIM(C307),FIND(" ",TRIM(C307)&amp;" ")-1),",","."))-1)/MID(SUBSTITUTE(LEFT(TRIM(C307),FIND(" ",TRIM(C307)&amp;" ")-1),",","."),FIND("/",SUBSTITUTE(LEFT(TRIM(C307),FIND(" ",TRIM(C307)&amp;" ")-1),",","."))+1,9))*12/52,IF(ISNUMBER(SEARCH("month",C307)),IFERROR(_xlfn.NUMBERVALUE(SUBSTITUTE(LEFT(TRIM(C307),FIND(" ",TRIM(C307)&amp;" ")-1),",","."),"."),LEFT(SUBSTITUTE(LEFT(TRIM(C307),FIND(" ",TRIM(C307)&amp;" ")-1),",","."),FIND("/",SUBSTITUTE(LEFT(TRIM(C307),FIND(" ",TRIM(C307)&amp;" ")-1),",","."))-1)/MID(SUBSTITUTE(LEFT(TRIM(C307),FIND(" ",TRIM(C307)&amp;" ")-1),",","."),FIND("/",SUBSTITUTE(LEFT(TRIM(C307),FIND(" ",TRIM(C307)&amp;" ")-1),",","."))+1,9)),IF(ISNUMBER(SEARCH("yea",C307)),IFERROR(_xlfn.NUMBERVALUE(SUBSTITUTE(LEFT(TRIM(C307),FIND(" ",TRIM(C307)&amp;" ")-1),",","."),"."),LEFT(SUBSTITUTE(LEFT(TRIM(C307),FIND(" ",TRIM(C307)&amp;" ")-1),",","."),FIND("/",SUBSTITUTE(LEFT(TRIM(C307),FIND(" ",TRIM(C307)&amp;" ")-1),",","."))-1)/MID(SUBSTITUTE(LEFT(TRIM(C307),FIND(" ",TRIM(C307)&amp;" ")-1),",","."),FIND("/",SUBSTITUTE(LEFT(TRIM(C307),FIND(" ",TRIM(C307)&amp;" ")-1),",","."))+1,9))*12,NA()))),0),36)*'Aturan &amp; Tarif'!$B$4,2)</f>
        <v>2044.08</v>
      </c>
      <c r="K307" s="32" t="n">
        <f aca="false">'Aturan &amp; Tarif'!$B$5</f>
        <v>2050</v>
      </c>
      <c r="L307" s="32" t="n">
        <f aca="false">'Aturan &amp; Tarif'!$B$6</f>
        <v>350</v>
      </c>
      <c r="M307" s="35" t="n">
        <f aca="false">I307+J307+K307+L307</f>
        <v>6594.08</v>
      </c>
      <c r="N307" s="36" t="s">
        <v>1599</v>
      </c>
    </row>
    <row r="308" customFormat="false" ht="37.5" hidden="false" customHeight="true" outlineLevel="0" collapsed="false">
      <c r="A308" s="29"/>
      <c r="B308" s="30" t="s">
        <v>1600</v>
      </c>
      <c r="C308" s="31" t="s">
        <v>107</v>
      </c>
      <c r="D308" s="31" t="s">
        <v>108</v>
      </c>
      <c r="E308" s="32" t="n">
        <v>1750</v>
      </c>
      <c r="F308" s="32" t="n">
        <v>200</v>
      </c>
      <c r="G308" s="32" t="n">
        <v>200</v>
      </c>
      <c r="H308" s="33" t="n">
        <v>1</v>
      </c>
      <c r="I308" s="34" t="n">
        <f aca="false">E308*H308+N(F308)+N(G308)</f>
        <v>2150</v>
      </c>
      <c r="J308" s="32" t="n">
        <f aca="false">ROUND(IFERROR(ROUND(IF(OR(ISNUMBER(SEARCH("week",C308)),ISNUMBER(SEARCH("minggu",C308))),IFERROR(_xlfn.NUMBERVALUE(SUBSTITUTE(LEFT(TRIM(C308),FIND(" ",TRIM(C308)&amp;" ")-1),",","."),"."),LEFT(SUBSTITUTE(LEFT(TRIM(C308),FIND(" ",TRIM(C308)&amp;" ")-1),",","."),FIND("/",SUBSTITUTE(LEFT(TRIM(C308),FIND(" ",TRIM(C308)&amp;" ")-1),",","."))-1)/MID(SUBSTITUTE(LEFT(TRIM(C308),FIND(" ",TRIM(C308)&amp;" ")-1),",","."),FIND("/",SUBSTITUTE(LEFT(TRIM(C308),FIND(" ",TRIM(C308)&amp;" ")-1),",","."))+1,9))*12/52,IF(ISNUMBER(SEARCH("month",C308)),IFERROR(_xlfn.NUMBERVALUE(SUBSTITUTE(LEFT(TRIM(C308),FIND(" ",TRIM(C308)&amp;" ")-1),",","."),"."),LEFT(SUBSTITUTE(LEFT(TRIM(C308),FIND(" ",TRIM(C308)&amp;" ")-1),",","."),FIND("/",SUBSTITUTE(LEFT(TRIM(C308),FIND(" ",TRIM(C308)&amp;" ")-1),",","."))-1)/MID(SUBSTITUTE(LEFT(TRIM(C308),FIND(" ",TRIM(C308)&amp;" ")-1),",","."),FIND("/",SUBSTITUTE(LEFT(TRIM(C308),FIND(" ",TRIM(C308)&amp;" ")-1),",","."))+1,9)),IF(ISNUMBER(SEARCH("yea",C308)),IFERROR(_xlfn.NUMBERVALUE(SUBSTITUTE(LEFT(TRIM(C308),FIND(" ",TRIM(C308)&amp;" ")-1),",","."),"."),LEFT(SUBSTITUTE(LEFT(TRIM(C308),FIND(" ",TRIM(C308)&amp;" ")-1),",","."),FIND("/",SUBSTITUTE(LEFT(TRIM(C308),FIND(" ",TRIM(C308)&amp;" ")-1),",","."))-1)/MID(SUBSTITUTE(LEFT(TRIM(C308),FIND(" ",TRIM(C308)&amp;" ")-1),",","."),FIND("/",SUBSTITUTE(LEFT(TRIM(C308),FIND(" ",TRIM(C308)&amp;" ")-1),",","."))+1,9))*12,NA()))),0),24)*'Aturan &amp; Tarif'!$B$4,2)</f>
        <v>1362.72</v>
      </c>
      <c r="K308" s="32" t="n">
        <f aca="false">'Aturan &amp; Tarif'!$B$5</f>
        <v>2050</v>
      </c>
      <c r="L308" s="32" t="n">
        <f aca="false">'Aturan &amp; Tarif'!$B$6</f>
        <v>350</v>
      </c>
      <c r="M308" s="35" t="n">
        <f aca="false">I308+J308+K308+L308</f>
        <v>5912.72</v>
      </c>
      <c r="N308" s="37" t="s">
        <v>1601</v>
      </c>
    </row>
    <row r="309" customFormat="false" ht="25.5" hidden="false" customHeight="true" outlineLevel="0" collapsed="false">
      <c r="A309" s="29"/>
      <c r="B309" s="30" t="s">
        <v>1602</v>
      </c>
      <c r="C309" s="31" t="s">
        <v>107</v>
      </c>
      <c r="D309" s="31" t="s">
        <v>108</v>
      </c>
      <c r="E309" s="32" t="n">
        <v>1500</v>
      </c>
      <c r="F309" s="32" t="n">
        <v>200</v>
      </c>
      <c r="G309" s="32" t="n">
        <v>200</v>
      </c>
      <c r="H309" s="33" t="n">
        <v>1</v>
      </c>
      <c r="I309" s="34" t="n">
        <f aca="false">E309*H309+N(F309)+N(G309)</f>
        <v>1900</v>
      </c>
      <c r="J309" s="32" t="n">
        <f aca="false">ROUND(IFERROR(ROUND(IF(OR(ISNUMBER(SEARCH("week",C309)),ISNUMBER(SEARCH("minggu",C309))),IFERROR(_xlfn.NUMBERVALUE(SUBSTITUTE(LEFT(TRIM(C309),FIND(" ",TRIM(C309)&amp;" ")-1),",","."),"."),LEFT(SUBSTITUTE(LEFT(TRIM(C309),FIND(" ",TRIM(C309)&amp;" ")-1),",","."),FIND("/",SUBSTITUTE(LEFT(TRIM(C309),FIND(" ",TRIM(C309)&amp;" ")-1),",","."))-1)/MID(SUBSTITUTE(LEFT(TRIM(C309),FIND(" ",TRIM(C309)&amp;" ")-1),",","."),FIND("/",SUBSTITUTE(LEFT(TRIM(C309),FIND(" ",TRIM(C309)&amp;" ")-1),",","."))+1,9))*12/52,IF(ISNUMBER(SEARCH("month",C309)),IFERROR(_xlfn.NUMBERVALUE(SUBSTITUTE(LEFT(TRIM(C309),FIND(" ",TRIM(C309)&amp;" ")-1),",","."),"."),LEFT(SUBSTITUTE(LEFT(TRIM(C309),FIND(" ",TRIM(C309)&amp;" ")-1),",","."),FIND("/",SUBSTITUTE(LEFT(TRIM(C309),FIND(" ",TRIM(C309)&amp;" ")-1),",","."))-1)/MID(SUBSTITUTE(LEFT(TRIM(C309),FIND(" ",TRIM(C309)&amp;" ")-1),",","."),FIND("/",SUBSTITUTE(LEFT(TRIM(C309),FIND(" ",TRIM(C309)&amp;" ")-1),",","."))+1,9)),IF(ISNUMBER(SEARCH("yea",C309)),IFERROR(_xlfn.NUMBERVALUE(SUBSTITUTE(LEFT(TRIM(C309),FIND(" ",TRIM(C309)&amp;" ")-1),",","."),"."),LEFT(SUBSTITUTE(LEFT(TRIM(C309),FIND(" ",TRIM(C309)&amp;" ")-1),",","."),FIND("/",SUBSTITUTE(LEFT(TRIM(C309),FIND(" ",TRIM(C309)&amp;" ")-1),",","."))-1)/MID(SUBSTITUTE(LEFT(TRIM(C309),FIND(" ",TRIM(C309)&amp;" ")-1),",","."),FIND("/",SUBSTITUTE(LEFT(TRIM(C309),FIND(" ",TRIM(C309)&amp;" ")-1),",","."))+1,9))*12,NA()))),0),24)*'Aturan &amp; Tarif'!$B$4,2)</f>
        <v>1362.72</v>
      </c>
      <c r="K309" s="32" t="n">
        <f aca="false">'Aturan &amp; Tarif'!$B$5</f>
        <v>2050</v>
      </c>
      <c r="L309" s="32" t="n">
        <f aca="false">'Aturan &amp; Tarif'!$B$6</f>
        <v>350</v>
      </c>
      <c r="M309" s="35" t="n">
        <f aca="false">I309+J309+K309+L309</f>
        <v>5662.72</v>
      </c>
      <c r="N309" s="37" t="s">
        <v>134</v>
      </c>
    </row>
    <row r="310" customFormat="false" ht="25.5" hidden="false" customHeight="true" outlineLevel="0" collapsed="false">
      <c r="A310" s="29"/>
      <c r="B310" s="30" t="s">
        <v>1603</v>
      </c>
      <c r="C310" s="31" t="s">
        <v>127</v>
      </c>
      <c r="D310" s="31" t="s">
        <v>108</v>
      </c>
      <c r="E310" s="32" t="n">
        <v>1500</v>
      </c>
      <c r="F310" s="32" t="n">
        <v>200</v>
      </c>
      <c r="G310" s="32" t="n">
        <v>200</v>
      </c>
      <c r="H310" s="33" t="n">
        <v>1</v>
      </c>
      <c r="I310" s="34" t="n">
        <f aca="false">E310*H310+N(F310)+N(G310)</f>
        <v>1900</v>
      </c>
      <c r="J310" s="32" t="n">
        <f aca="false">ROUND(IFERROR(ROUND(IF(OR(ISNUMBER(SEARCH("week",C310)),ISNUMBER(SEARCH("minggu",C310))),IFERROR(_xlfn.NUMBERVALUE(SUBSTITUTE(LEFT(TRIM(C310),FIND(" ",TRIM(C310)&amp;" ")-1),",","."),"."),LEFT(SUBSTITUTE(LEFT(TRIM(C310),FIND(" ",TRIM(C310)&amp;" ")-1),",","."),FIND("/",SUBSTITUTE(LEFT(TRIM(C310),FIND(" ",TRIM(C310)&amp;" ")-1),",","."))-1)/MID(SUBSTITUTE(LEFT(TRIM(C310),FIND(" ",TRIM(C310)&amp;" ")-1),",","."),FIND("/",SUBSTITUTE(LEFT(TRIM(C310),FIND(" ",TRIM(C310)&amp;" ")-1),",","."))+1,9))*12/52,IF(ISNUMBER(SEARCH("month",C310)),IFERROR(_xlfn.NUMBERVALUE(SUBSTITUTE(LEFT(TRIM(C310),FIND(" ",TRIM(C310)&amp;" ")-1),",","."),"."),LEFT(SUBSTITUTE(LEFT(TRIM(C310),FIND(" ",TRIM(C310)&amp;" ")-1),",","."),FIND("/",SUBSTITUTE(LEFT(TRIM(C310),FIND(" ",TRIM(C310)&amp;" ")-1),",","."))-1)/MID(SUBSTITUTE(LEFT(TRIM(C310),FIND(" ",TRIM(C310)&amp;" ")-1),",","."),FIND("/",SUBSTITUTE(LEFT(TRIM(C310),FIND(" ",TRIM(C310)&amp;" ")-1),",","."))+1,9)),IF(ISNUMBER(SEARCH("yea",C310)),IFERROR(_xlfn.NUMBERVALUE(SUBSTITUTE(LEFT(TRIM(C310),FIND(" ",TRIM(C310)&amp;" ")-1),",","."),"."),LEFT(SUBSTITUTE(LEFT(TRIM(C310),FIND(" ",TRIM(C310)&amp;" ")-1),",","."),FIND("/",SUBSTITUTE(LEFT(TRIM(C310),FIND(" ",TRIM(C310)&amp;" ")-1),",","."))-1)/MID(SUBSTITUTE(LEFT(TRIM(C310),FIND(" ",TRIM(C310)&amp;" ")-1),",","."),FIND("/",SUBSTITUTE(LEFT(TRIM(C310),FIND(" ",TRIM(C310)&amp;" ")-1),",","."))+1,9))*12,NA()))),0),36)*'Aturan &amp; Tarif'!$B$4,2)</f>
        <v>2044.08</v>
      </c>
      <c r="K310" s="32" t="n">
        <f aca="false">'Aturan &amp; Tarif'!$B$5</f>
        <v>2050</v>
      </c>
      <c r="L310" s="32" t="n">
        <f aca="false">'Aturan &amp; Tarif'!$B$6</f>
        <v>350</v>
      </c>
      <c r="M310" s="35" t="n">
        <f aca="false">I310+J310+K310+L310</f>
        <v>6344.08</v>
      </c>
      <c r="N310" s="37" t="s">
        <v>134</v>
      </c>
    </row>
    <row r="311" customFormat="false" ht="37.5" hidden="false" customHeight="true" outlineLevel="0" collapsed="false">
      <c r="A311" s="29"/>
      <c r="B311" s="30" t="s">
        <v>711</v>
      </c>
      <c r="C311" s="31" t="s">
        <v>138</v>
      </c>
      <c r="D311" s="31" t="s">
        <v>108</v>
      </c>
      <c r="E311" s="32" t="n">
        <v>2250</v>
      </c>
      <c r="F311" s="32" t="n">
        <v>500</v>
      </c>
      <c r="G311" s="32" t="n">
        <v>200</v>
      </c>
      <c r="H311" s="33" t="n">
        <v>1</v>
      </c>
      <c r="I311" s="34" t="n">
        <f aca="false">E311*H311+N(F311)+N(G311)</f>
        <v>2950</v>
      </c>
      <c r="J311" s="32" t="n">
        <f aca="false">ROUND(IFERROR(ROUND(IF(OR(ISNUMBER(SEARCH("week",C311)),ISNUMBER(SEARCH("minggu",C311))),IFERROR(_xlfn.NUMBERVALUE(SUBSTITUTE(LEFT(TRIM(C311),FIND(" ",TRIM(C311)&amp;" ")-1),",","."),"."),LEFT(SUBSTITUTE(LEFT(TRIM(C311),FIND(" ",TRIM(C311)&amp;" ")-1),",","."),FIND("/",SUBSTITUTE(LEFT(TRIM(C311),FIND(" ",TRIM(C311)&amp;" ")-1),",","."))-1)/MID(SUBSTITUTE(LEFT(TRIM(C311),FIND(" ",TRIM(C311)&amp;" ")-1),",","."),FIND("/",SUBSTITUTE(LEFT(TRIM(C311),FIND(" ",TRIM(C311)&amp;" ")-1),",","."))+1,9))*12/52,IF(ISNUMBER(SEARCH("month",C311)),IFERROR(_xlfn.NUMBERVALUE(SUBSTITUTE(LEFT(TRIM(C311),FIND(" ",TRIM(C311)&amp;" ")-1),",","."),"."),LEFT(SUBSTITUTE(LEFT(TRIM(C311),FIND(" ",TRIM(C311)&amp;" ")-1),",","."),FIND("/",SUBSTITUTE(LEFT(TRIM(C311),FIND(" ",TRIM(C311)&amp;" ")-1),",","."))-1)/MID(SUBSTITUTE(LEFT(TRIM(C311),FIND(" ",TRIM(C311)&amp;" ")-1),",","."),FIND("/",SUBSTITUTE(LEFT(TRIM(C311),FIND(" ",TRIM(C311)&amp;" ")-1),",","."))+1,9)),IF(ISNUMBER(SEARCH("yea",C311)),IFERROR(_xlfn.NUMBERVALUE(SUBSTITUTE(LEFT(TRIM(C311),FIND(" ",TRIM(C311)&amp;" ")-1),",","."),"."),LEFT(SUBSTITUTE(LEFT(TRIM(C311),FIND(" ",TRIM(C311)&amp;" ")-1),",","."),FIND("/",SUBSTITUTE(LEFT(TRIM(C311),FIND(" ",TRIM(C311)&amp;" ")-1),",","."))-1)/MID(SUBSTITUTE(LEFT(TRIM(C311),FIND(" ",TRIM(C311)&amp;" ")-1),",","."),FIND("/",SUBSTITUTE(LEFT(TRIM(C311),FIND(" ",TRIM(C311)&amp;" ")-1),",","."))+1,9))*12,NA()))),0),30)*'Aturan &amp; Tarif'!$B$4,2)</f>
        <v>1703.4</v>
      </c>
      <c r="K311" s="32" t="n">
        <f aca="false">'Aturan &amp; Tarif'!$B$5</f>
        <v>2050</v>
      </c>
      <c r="L311" s="32" t="n">
        <f aca="false">'Aturan &amp; Tarif'!$B$6</f>
        <v>350</v>
      </c>
      <c r="M311" s="35" t="n">
        <f aca="false">I311+J311+K311+L311</f>
        <v>7053.4</v>
      </c>
      <c r="N311" s="37" t="s">
        <v>134</v>
      </c>
    </row>
    <row r="312" customFormat="false" ht="14.25" hidden="false" customHeight="true" outlineLevel="0" collapsed="false">
      <c r="A312" s="29"/>
      <c r="B312" s="30" t="s">
        <v>1604</v>
      </c>
      <c r="C312" s="31" t="s">
        <v>130</v>
      </c>
      <c r="D312" s="31" t="s">
        <v>108</v>
      </c>
      <c r="E312" s="32" t="n">
        <v>3000</v>
      </c>
      <c r="F312" s="32" t="n">
        <v>300</v>
      </c>
      <c r="G312" s="32" t="n">
        <v>200</v>
      </c>
      <c r="H312" s="33" t="n">
        <v>1</v>
      </c>
      <c r="I312" s="34" t="n">
        <f aca="false">E312*H312+N(F312)+N(G312)</f>
        <v>3500</v>
      </c>
      <c r="J312" s="32" t="n">
        <f aca="false">ROUND(IFERROR(ROUND(IF(OR(ISNUMBER(SEARCH("week",C312)),ISNUMBER(SEARCH("minggu",C312))),IFERROR(_xlfn.NUMBERVALUE(SUBSTITUTE(LEFT(TRIM(C312),FIND(" ",TRIM(C312)&amp;" ")-1),",","."),"."),LEFT(SUBSTITUTE(LEFT(TRIM(C312),FIND(" ",TRIM(C312)&amp;" ")-1),",","."),FIND("/",SUBSTITUTE(LEFT(TRIM(C312),FIND(" ",TRIM(C312)&amp;" ")-1),",","."))-1)/MID(SUBSTITUTE(LEFT(TRIM(C312),FIND(" ",TRIM(C312)&amp;" ")-1),",","."),FIND("/",SUBSTITUTE(LEFT(TRIM(C312),FIND(" ",TRIM(C312)&amp;" ")-1),",","."))+1,9))*12/52,IF(ISNUMBER(SEARCH("month",C312)),IFERROR(_xlfn.NUMBERVALUE(SUBSTITUTE(LEFT(TRIM(C312),FIND(" ",TRIM(C312)&amp;" ")-1),",","."),"."),LEFT(SUBSTITUTE(LEFT(TRIM(C312),FIND(" ",TRIM(C312)&amp;" ")-1),",","."),FIND("/",SUBSTITUTE(LEFT(TRIM(C312),FIND(" ",TRIM(C312)&amp;" ")-1),",","."))-1)/MID(SUBSTITUTE(LEFT(TRIM(C312),FIND(" ",TRIM(C312)&amp;" ")-1),",","."),FIND("/",SUBSTITUTE(LEFT(TRIM(C312),FIND(" ",TRIM(C312)&amp;" ")-1),",","."))+1,9)),IF(ISNUMBER(SEARCH("yea",C312)),IFERROR(_xlfn.NUMBERVALUE(SUBSTITUTE(LEFT(TRIM(C312),FIND(" ",TRIM(C312)&amp;" ")-1),",","."),"."),LEFT(SUBSTITUTE(LEFT(TRIM(C312),FIND(" ",TRIM(C312)&amp;" ")-1),",","."),FIND("/",SUBSTITUTE(LEFT(TRIM(C312),FIND(" ",TRIM(C312)&amp;" ")-1),",","."))-1)/MID(SUBSTITUTE(LEFT(TRIM(C312),FIND(" ",TRIM(C312)&amp;" ")-1),",","."),FIND("/",SUBSTITUTE(LEFT(TRIM(C312),FIND(" ",TRIM(C312)&amp;" ")-1),",","."))+1,9))*12,NA()))),0),12)*'Aturan &amp; Tarif'!$B$4,2)</f>
        <v>681.36</v>
      </c>
      <c r="K312" s="32" t="n">
        <f aca="false">'Aturan &amp; Tarif'!$B$5</f>
        <v>2050</v>
      </c>
      <c r="L312" s="32" t="n">
        <f aca="false">'Aturan &amp; Tarif'!$B$6</f>
        <v>350</v>
      </c>
      <c r="M312" s="35" t="n">
        <f aca="false">I312+J312+K312+L312</f>
        <v>6581.36</v>
      </c>
      <c r="N312" s="36" t="s">
        <v>131</v>
      </c>
    </row>
    <row r="313" customFormat="false" ht="14.25" hidden="false" customHeight="true" outlineLevel="0" collapsed="false">
      <c r="A313" s="39" t="s">
        <v>1975</v>
      </c>
      <c r="B313" s="40" t="s">
        <v>471</v>
      </c>
      <c r="C313" s="41" t="s">
        <v>113</v>
      </c>
      <c r="D313" s="41" t="s">
        <v>108</v>
      </c>
      <c r="E313" s="42" t="n">
        <v>2000</v>
      </c>
      <c r="F313" s="42" t="n">
        <v>2000</v>
      </c>
      <c r="G313" s="42" t="n">
        <v>250</v>
      </c>
      <c r="H313" s="43" t="n">
        <v>1</v>
      </c>
      <c r="I313" s="34" t="n">
        <f aca="false">E313*H313+N(F313)+N(G313)</f>
        <v>4250</v>
      </c>
      <c r="J313" s="42" t="n">
        <f aca="false">ROUND(IFERROR(ROUND(IF(OR(ISNUMBER(SEARCH("week",C313)),ISNUMBER(SEARCH("minggu",C313))),IFERROR(_xlfn.NUMBERVALUE(SUBSTITUTE(LEFT(TRIM(C313),FIND(" ",TRIM(C313)&amp;" ")-1),",","."),"."),LEFT(SUBSTITUTE(LEFT(TRIM(C313),FIND(" ",TRIM(C313)&amp;" ")-1),",","."),FIND("/",SUBSTITUTE(LEFT(TRIM(C313),FIND(" ",TRIM(C313)&amp;" ")-1),",","."))-1)/MID(SUBSTITUTE(LEFT(TRIM(C313),FIND(" ",TRIM(C313)&amp;" ")-1),",","."),FIND("/",SUBSTITUTE(LEFT(TRIM(C313),FIND(" ",TRIM(C313)&amp;" ")-1),",","."))+1,9))*12/52,IF(ISNUMBER(SEARCH("month",C313)),IFERROR(_xlfn.NUMBERVALUE(SUBSTITUTE(LEFT(TRIM(C313),FIND(" ",TRIM(C313)&amp;" ")-1),",","."),"."),LEFT(SUBSTITUTE(LEFT(TRIM(C313),FIND(" ",TRIM(C313)&amp;" ")-1),",","."),FIND("/",SUBSTITUTE(LEFT(TRIM(C313),FIND(" ",TRIM(C313)&amp;" ")-1),",","."))-1)/MID(SUBSTITUTE(LEFT(TRIM(C313),FIND(" ",TRIM(C313)&amp;" ")-1),",","."),FIND("/",SUBSTITUTE(LEFT(TRIM(C313),FIND(" ",TRIM(C313)&amp;" ")-1),",","."))+1,9)),IF(ISNUMBER(SEARCH("yea",C313)),IFERROR(_xlfn.NUMBERVALUE(SUBSTITUTE(LEFT(TRIM(C313),FIND(" ",TRIM(C313)&amp;" ")-1),",","."),"."),LEFT(SUBSTITUTE(LEFT(TRIM(C313),FIND(" ",TRIM(C313)&amp;" ")-1),",","."),FIND("/",SUBSTITUTE(LEFT(TRIM(C313),FIND(" ",TRIM(C313)&amp;" ")-1),",","."))-1)/MID(SUBSTITUTE(LEFT(TRIM(C313),FIND(" ",TRIM(C313)&amp;" ")-1),",","."),FIND("/",SUBSTITUTE(LEFT(TRIM(C313),FIND(" ",TRIM(C313)&amp;" ")-1),",","."))+1,9))*12,NA()))),0),18)*'Aturan &amp; Tarif'!$B$4,2)</f>
        <v>1022.04</v>
      </c>
      <c r="K313" s="42" t="n">
        <f aca="false">'Aturan &amp; Tarif'!$B$5</f>
        <v>2050</v>
      </c>
      <c r="L313" s="42" t="n">
        <f aca="false">'Aturan &amp; Tarif'!$B$6</f>
        <v>350</v>
      </c>
      <c r="M313" s="35" t="n">
        <f aca="false">I313+J313+K313+L313</f>
        <v>7672.04</v>
      </c>
      <c r="N313" s="45" t="s">
        <v>134</v>
      </c>
    </row>
    <row r="314" customFormat="false" ht="14.25" hidden="false" customHeight="true" outlineLevel="0" collapsed="false">
      <c r="A314" s="39"/>
      <c r="B314" s="40" t="s">
        <v>907</v>
      </c>
      <c r="C314" s="41" t="s">
        <v>130</v>
      </c>
      <c r="D314" s="41" t="s">
        <v>108</v>
      </c>
      <c r="E314" s="42" t="n">
        <v>2500</v>
      </c>
      <c r="F314" s="42" t="n">
        <v>2000</v>
      </c>
      <c r="G314" s="42" t="n">
        <v>250</v>
      </c>
      <c r="H314" s="43" t="n">
        <v>1</v>
      </c>
      <c r="I314" s="34" t="n">
        <f aca="false">E314*H314+N(F314)+N(G314)</f>
        <v>4750</v>
      </c>
      <c r="J314" s="42" t="n">
        <f aca="false">ROUND(IFERROR(ROUND(IF(OR(ISNUMBER(SEARCH("week",C314)),ISNUMBER(SEARCH("minggu",C314))),IFERROR(_xlfn.NUMBERVALUE(SUBSTITUTE(LEFT(TRIM(C314),FIND(" ",TRIM(C314)&amp;" ")-1),",","."),"."),LEFT(SUBSTITUTE(LEFT(TRIM(C314),FIND(" ",TRIM(C314)&amp;" ")-1),",","."),FIND("/",SUBSTITUTE(LEFT(TRIM(C314),FIND(" ",TRIM(C314)&amp;" ")-1),",","."))-1)/MID(SUBSTITUTE(LEFT(TRIM(C314),FIND(" ",TRIM(C314)&amp;" ")-1),",","."),FIND("/",SUBSTITUTE(LEFT(TRIM(C314),FIND(" ",TRIM(C314)&amp;" ")-1),",","."))+1,9))*12/52,IF(ISNUMBER(SEARCH("month",C314)),IFERROR(_xlfn.NUMBERVALUE(SUBSTITUTE(LEFT(TRIM(C314),FIND(" ",TRIM(C314)&amp;" ")-1),",","."),"."),LEFT(SUBSTITUTE(LEFT(TRIM(C314),FIND(" ",TRIM(C314)&amp;" ")-1),",","."),FIND("/",SUBSTITUTE(LEFT(TRIM(C314),FIND(" ",TRIM(C314)&amp;" ")-1),",","."))-1)/MID(SUBSTITUTE(LEFT(TRIM(C314),FIND(" ",TRIM(C314)&amp;" ")-1),",","."),FIND("/",SUBSTITUTE(LEFT(TRIM(C314),FIND(" ",TRIM(C314)&amp;" ")-1),",","."))+1,9)),IF(ISNUMBER(SEARCH("yea",C314)),IFERROR(_xlfn.NUMBERVALUE(SUBSTITUTE(LEFT(TRIM(C314),FIND(" ",TRIM(C314)&amp;" ")-1),",","."),"."),LEFT(SUBSTITUTE(LEFT(TRIM(C314),FIND(" ",TRIM(C314)&amp;" ")-1),",","."),FIND("/",SUBSTITUTE(LEFT(TRIM(C314),FIND(" ",TRIM(C314)&amp;" ")-1),",","."))-1)/MID(SUBSTITUTE(LEFT(TRIM(C314),FIND(" ",TRIM(C314)&amp;" ")-1),",","."),FIND("/",SUBSTITUTE(LEFT(TRIM(C314),FIND(" ",TRIM(C314)&amp;" ")-1),",","."))+1,9))*12,NA()))),0),12)*'Aturan &amp; Tarif'!$B$4,2)</f>
        <v>681.36</v>
      </c>
      <c r="K314" s="42" t="n">
        <f aca="false">'Aturan &amp; Tarif'!$B$5</f>
        <v>2050</v>
      </c>
      <c r="L314" s="42" t="n">
        <f aca="false">'Aturan &amp; Tarif'!$B$6</f>
        <v>350</v>
      </c>
      <c r="M314" s="35" t="n">
        <f aca="false">I314+J314+K314+L314</f>
        <v>7831.36</v>
      </c>
      <c r="N314" s="45" t="s">
        <v>134</v>
      </c>
    </row>
    <row r="315" customFormat="false" ht="14.25" hidden="false" customHeight="true" outlineLevel="0" collapsed="false">
      <c r="A315" s="39"/>
      <c r="B315" s="40" t="s">
        <v>665</v>
      </c>
      <c r="C315" s="41" t="s">
        <v>130</v>
      </c>
      <c r="D315" s="41" t="s">
        <v>108</v>
      </c>
      <c r="E315" s="42" t="n">
        <v>2500</v>
      </c>
      <c r="F315" s="42" t="n">
        <v>2000</v>
      </c>
      <c r="G315" s="42" t="n">
        <v>250</v>
      </c>
      <c r="H315" s="43" t="n">
        <v>1</v>
      </c>
      <c r="I315" s="34" t="n">
        <f aca="false">E315*H315+N(F315)+N(G315)</f>
        <v>4750</v>
      </c>
      <c r="J315" s="42" t="n">
        <f aca="false">ROUND(IFERROR(ROUND(IF(OR(ISNUMBER(SEARCH("week",C315)),ISNUMBER(SEARCH("minggu",C315))),IFERROR(_xlfn.NUMBERVALUE(SUBSTITUTE(LEFT(TRIM(C315),FIND(" ",TRIM(C315)&amp;" ")-1),",","."),"."),LEFT(SUBSTITUTE(LEFT(TRIM(C315),FIND(" ",TRIM(C315)&amp;" ")-1),",","."),FIND("/",SUBSTITUTE(LEFT(TRIM(C315),FIND(" ",TRIM(C315)&amp;" ")-1),",","."))-1)/MID(SUBSTITUTE(LEFT(TRIM(C315),FIND(" ",TRIM(C315)&amp;" ")-1),",","."),FIND("/",SUBSTITUTE(LEFT(TRIM(C315),FIND(" ",TRIM(C315)&amp;" ")-1),",","."))+1,9))*12/52,IF(ISNUMBER(SEARCH("month",C315)),IFERROR(_xlfn.NUMBERVALUE(SUBSTITUTE(LEFT(TRIM(C315),FIND(" ",TRIM(C315)&amp;" ")-1),",","."),"."),LEFT(SUBSTITUTE(LEFT(TRIM(C315),FIND(" ",TRIM(C315)&amp;" ")-1),",","."),FIND("/",SUBSTITUTE(LEFT(TRIM(C315),FIND(" ",TRIM(C315)&amp;" ")-1),",","."))-1)/MID(SUBSTITUTE(LEFT(TRIM(C315),FIND(" ",TRIM(C315)&amp;" ")-1),",","."),FIND("/",SUBSTITUTE(LEFT(TRIM(C315),FIND(" ",TRIM(C315)&amp;" ")-1),",","."))+1,9)),IF(ISNUMBER(SEARCH("yea",C315)),IFERROR(_xlfn.NUMBERVALUE(SUBSTITUTE(LEFT(TRIM(C315),FIND(" ",TRIM(C315)&amp;" ")-1),",","."),"."),LEFT(SUBSTITUTE(LEFT(TRIM(C315),FIND(" ",TRIM(C315)&amp;" ")-1),",","."),FIND("/",SUBSTITUTE(LEFT(TRIM(C315),FIND(" ",TRIM(C315)&amp;" ")-1),",","."))-1)/MID(SUBSTITUTE(LEFT(TRIM(C315),FIND(" ",TRIM(C315)&amp;" ")-1),",","."),FIND("/",SUBSTITUTE(LEFT(TRIM(C315),FIND(" ",TRIM(C315)&amp;" ")-1),",","."))+1,9))*12,NA()))),0),12)*'Aturan &amp; Tarif'!$B$4,2)</f>
        <v>681.36</v>
      </c>
      <c r="K315" s="42" t="n">
        <f aca="false">'Aturan &amp; Tarif'!$B$5</f>
        <v>2050</v>
      </c>
      <c r="L315" s="42" t="n">
        <f aca="false">'Aturan &amp; Tarif'!$B$6</f>
        <v>350</v>
      </c>
      <c r="M315" s="35" t="n">
        <f aca="false">I315+J315+K315+L315</f>
        <v>7831.36</v>
      </c>
      <c r="N315" s="45" t="s">
        <v>134</v>
      </c>
    </row>
    <row r="316" customFormat="false" ht="25.5" hidden="false" customHeight="true" outlineLevel="0" collapsed="false">
      <c r="A316" s="39"/>
      <c r="B316" s="40" t="s">
        <v>673</v>
      </c>
      <c r="C316" s="41" t="s">
        <v>130</v>
      </c>
      <c r="D316" s="41" t="s">
        <v>108</v>
      </c>
      <c r="E316" s="42" t="n">
        <v>2500</v>
      </c>
      <c r="F316" s="42" t="n">
        <v>2000</v>
      </c>
      <c r="G316" s="42" t="n">
        <v>250</v>
      </c>
      <c r="H316" s="43" t="n">
        <v>1</v>
      </c>
      <c r="I316" s="34" t="n">
        <f aca="false">E316*H316+N(F316)+N(G316)</f>
        <v>4750</v>
      </c>
      <c r="J316" s="42" t="n">
        <f aca="false">ROUND(IFERROR(ROUND(IF(OR(ISNUMBER(SEARCH("week",C316)),ISNUMBER(SEARCH("minggu",C316))),IFERROR(_xlfn.NUMBERVALUE(SUBSTITUTE(LEFT(TRIM(C316),FIND(" ",TRIM(C316)&amp;" ")-1),",","."),"."),LEFT(SUBSTITUTE(LEFT(TRIM(C316),FIND(" ",TRIM(C316)&amp;" ")-1),",","."),FIND("/",SUBSTITUTE(LEFT(TRIM(C316),FIND(" ",TRIM(C316)&amp;" ")-1),",","."))-1)/MID(SUBSTITUTE(LEFT(TRIM(C316),FIND(" ",TRIM(C316)&amp;" ")-1),",","."),FIND("/",SUBSTITUTE(LEFT(TRIM(C316),FIND(" ",TRIM(C316)&amp;" ")-1),",","."))+1,9))*12/52,IF(ISNUMBER(SEARCH("month",C316)),IFERROR(_xlfn.NUMBERVALUE(SUBSTITUTE(LEFT(TRIM(C316),FIND(" ",TRIM(C316)&amp;" ")-1),",","."),"."),LEFT(SUBSTITUTE(LEFT(TRIM(C316),FIND(" ",TRIM(C316)&amp;" ")-1),",","."),FIND("/",SUBSTITUTE(LEFT(TRIM(C316),FIND(" ",TRIM(C316)&amp;" ")-1),",","."))-1)/MID(SUBSTITUTE(LEFT(TRIM(C316),FIND(" ",TRIM(C316)&amp;" ")-1),",","."),FIND("/",SUBSTITUTE(LEFT(TRIM(C316),FIND(" ",TRIM(C316)&amp;" ")-1),",","."))+1,9)),IF(ISNUMBER(SEARCH("yea",C316)),IFERROR(_xlfn.NUMBERVALUE(SUBSTITUTE(LEFT(TRIM(C316),FIND(" ",TRIM(C316)&amp;" ")-1),",","."),"."),LEFT(SUBSTITUTE(LEFT(TRIM(C316),FIND(" ",TRIM(C316)&amp;" ")-1),",","."),FIND("/",SUBSTITUTE(LEFT(TRIM(C316),FIND(" ",TRIM(C316)&amp;" ")-1),",","."))-1)/MID(SUBSTITUTE(LEFT(TRIM(C316),FIND(" ",TRIM(C316)&amp;" ")-1),",","."),FIND("/",SUBSTITUTE(LEFT(TRIM(C316),FIND(" ",TRIM(C316)&amp;" ")-1),",","."))+1,9))*12,NA()))),0),12)*'Aturan &amp; Tarif'!$B$4,2)</f>
        <v>681.36</v>
      </c>
      <c r="K316" s="42" t="n">
        <f aca="false">'Aturan &amp; Tarif'!$B$5</f>
        <v>2050</v>
      </c>
      <c r="L316" s="42" t="n">
        <f aca="false">'Aturan &amp; Tarif'!$B$6</f>
        <v>350</v>
      </c>
      <c r="M316" s="35" t="n">
        <f aca="false">I316+J316+K316+L316</f>
        <v>7831.36</v>
      </c>
      <c r="N316" s="45" t="s">
        <v>134</v>
      </c>
    </row>
    <row r="317" customFormat="false" ht="25.5" hidden="false" customHeight="true" outlineLevel="0" collapsed="false">
      <c r="A317" s="39"/>
      <c r="B317" s="40" t="s">
        <v>1976</v>
      </c>
      <c r="C317" s="41" t="s">
        <v>130</v>
      </c>
      <c r="D317" s="41" t="s">
        <v>108</v>
      </c>
      <c r="E317" s="42" t="n">
        <v>2700</v>
      </c>
      <c r="F317" s="42" t="n">
        <v>1000</v>
      </c>
      <c r="G317" s="42" t="n">
        <v>250</v>
      </c>
      <c r="H317" s="43" t="n">
        <v>1</v>
      </c>
      <c r="I317" s="34" t="n">
        <f aca="false">E317*H317+N(F317)+N(G317)</f>
        <v>3950</v>
      </c>
      <c r="J317" s="42" t="n">
        <f aca="false">ROUND(IFERROR(ROUND(IF(OR(ISNUMBER(SEARCH("week",C317)),ISNUMBER(SEARCH("minggu",C317))),IFERROR(_xlfn.NUMBERVALUE(SUBSTITUTE(LEFT(TRIM(C317),FIND(" ",TRIM(C317)&amp;" ")-1),",","."),"."),LEFT(SUBSTITUTE(LEFT(TRIM(C317),FIND(" ",TRIM(C317)&amp;" ")-1),",","."),FIND("/",SUBSTITUTE(LEFT(TRIM(C317),FIND(" ",TRIM(C317)&amp;" ")-1),",","."))-1)/MID(SUBSTITUTE(LEFT(TRIM(C317),FIND(" ",TRIM(C317)&amp;" ")-1),",","."),FIND("/",SUBSTITUTE(LEFT(TRIM(C317),FIND(" ",TRIM(C317)&amp;" ")-1),",","."))+1,9))*12/52,IF(ISNUMBER(SEARCH("month",C317)),IFERROR(_xlfn.NUMBERVALUE(SUBSTITUTE(LEFT(TRIM(C317),FIND(" ",TRIM(C317)&amp;" ")-1),",","."),"."),LEFT(SUBSTITUTE(LEFT(TRIM(C317),FIND(" ",TRIM(C317)&amp;" ")-1),",","."),FIND("/",SUBSTITUTE(LEFT(TRIM(C317),FIND(" ",TRIM(C317)&amp;" ")-1),",","."))-1)/MID(SUBSTITUTE(LEFT(TRIM(C317),FIND(" ",TRIM(C317)&amp;" ")-1),",","."),FIND("/",SUBSTITUTE(LEFT(TRIM(C317),FIND(" ",TRIM(C317)&amp;" ")-1),",","."))+1,9)),IF(ISNUMBER(SEARCH("yea",C317)),IFERROR(_xlfn.NUMBERVALUE(SUBSTITUTE(LEFT(TRIM(C317),FIND(" ",TRIM(C317)&amp;" ")-1),",","."),"."),LEFT(SUBSTITUTE(LEFT(TRIM(C317),FIND(" ",TRIM(C317)&amp;" ")-1),",","."),FIND("/",SUBSTITUTE(LEFT(TRIM(C317),FIND(" ",TRIM(C317)&amp;" ")-1),",","."))-1)/MID(SUBSTITUTE(LEFT(TRIM(C317),FIND(" ",TRIM(C317)&amp;" ")-1),",","."),FIND("/",SUBSTITUTE(LEFT(TRIM(C317),FIND(" ",TRIM(C317)&amp;" ")-1),",","."))+1,9))*12,NA()))),0),12)*'Aturan &amp; Tarif'!$B$4,2)</f>
        <v>681.36</v>
      </c>
      <c r="K317" s="42" t="n">
        <f aca="false">'Aturan &amp; Tarif'!$B$5</f>
        <v>2050</v>
      </c>
      <c r="L317" s="42" t="n">
        <f aca="false">'Aturan &amp; Tarif'!$B$6</f>
        <v>350</v>
      </c>
      <c r="M317" s="35" t="n">
        <f aca="false">I317+J317+K317+L317</f>
        <v>7031.36</v>
      </c>
      <c r="N317" s="45" t="s">
        <v>134</v>
      </c>
    </row>
    <row r="318" customFormat="false" ht="25.5" hidden="false" customHeight="true" outlineLevel="0" collapsed="false">
      <c r="A318" s="39"/>
      <c r="B318" s="40" t="s">
        <v>767</v>
      </c>
      <c r="C318" s="41" t="s">
        <v>113</v>
      </c>
      <c r="D318" s="41" t="s">
        <v>108</v>
      </c>
      <c r="E318" s="42" t="n">
        <v>2400</v>
      </c>
      <c r="F318" s="42" t="n">
        <v>2000</v>
      </c>
      <c r="G318" s="42" t="n">
        <v>250</v>
      </c>
      <c r="H318" s="43" t="n">
        <v>1</v>
      </c>
      <c r="I318" s="34" t="n">
        <f aca="false">E318*H318+N(F318)+N(G318)</f>
        <v>4650</v>
      </c>
      <c r="J318" s="42" t="n">
        <f aca="false">ROUND(IFERROR(ROUND(IF(OR(ISNUMBER(SEARCH("week",C318)),ISNUMBER(SEARCH("minggu",C318))),IFERROR(_xlfn.NUMBERVALUE(SUBSTITUTE(LEFT(TRIM(C318),FIND(" ",TRIM(C318)&amp;" ")-1),",","."),"."),LEFT(SUBSTITUTE(LEFT(TRIM(C318),FIND(" ",TRIM(C318)&amp;" ")-1),",","."),FIND("/",SUBSTITUTE(LEFT(TRIM(C318),FIND(" ",TRIM(C318)&amp;" ")-1),",","."))-1)/MID(SUBSTITUTE(LEFT(TRIM(C318),FIND(" ",TRIM(C318)&amp;" ")-1),",","."),FIND("/",SUBSTITUTE(LEFT(TRIM(C318),FIND(" ",TRIM(C318)&amp;" ")-1),",","."))+1,9))*12/52,IF(ISNUMBER(SEARCH("month",C318)),IFERROR(_xlfn.NUMBERVALUE(SUBSTITUTE(LEFT(TRIM(C318),FIND(" ",TRIM(C318)&amp;" ")-1),",","."),"."),LEFT(SUBSTITUTE(LEFT(TRIM(C318),FIND(" ",TRIM(C318)&amp;" ")-1),",","."),FIND("/",SUBSTITUTE(LEFT(TRIM(C318),FIND(" ",TRIM(C318)&amp;" ")-1),",","."))-1)/MID(SUBSTITUTE(LEFT(TRIM(C318),FIND(" ",TRIM(C318)&amp;" ")-1),",","."),FIND("/",SUBSTITUTE(LEFT(TRIM(C318),FIND(" ",TRIM(C318)&amp;" ")-1),",","."))+1,9)),IF(ISNUMBER(SEARCH("yea",C318)),IFERROR(_xlfn.NUMBERVALUE(SUBSTITUTE(LEFT(TRIM(C318),FIND(" ",TRIM(C318)&amp;" ")-1),",","."),"."),LEFT(SUBSTITUTE(LEFT(TRIM(C318),FIND(" ",TRIM(C318)&amp;" ")-1),",","."),FIND("/",SUBSTITUTE(LEFT(TRIM(C318),FIND(" ",TRIM(C318)&amp;" ")-1),",","."))-1)/MID(SUBSTITUTE(LEFT(TRIM(C318),FIND(" ",TRIM(C318)&amp;" ")-1),",","."),FIND("/",SUBSTITUTE(LEFT(TRIM(C318),FIND(" ",TRIM(C318)&amp;" ")-1),",","."))+1,9))*12,NA()))),0),18)*'Aturan &amp; Tarif'!$B$4,2)</f>
        <v>1022.04</v>
      </c>
      <c r="K318" s="42" t="n">
        <f aca="false">'Aturan &amp; Tarif'!$B$5</f>
        <v>2050</v>
      </c>
      <c r="L318" s="42" t="n">
        <f aca="false">'Aturan &amp; Tarif'!$B$6</f>
        <v>350</v>
      </c>
      <c r="M318" s="35" t="n">
        <f aca="false">I318+J318+K318+L318</f>
        <v>8072.04</v>
      </c>
      <c r="N318" s="45" t="s">
        <v>134</v>
      </c>
    </row>
    <row r="319" customFormat="false" ht="37.5" hidden="false" customHeight="true" outlineLevel="0" collapsed="false">
      <c r="A319" s="39"/>
      <c r="B319" s="40" t="s">
        <v>115</v>
      </c>
      <c r="C319" s="41" t="s">
        <v>107</v>
      </c>
      <c r="D319" s="41" t="s">
        <v>108</v>
      </c>
      <c r="E319" s="42" t="n">
        <v>2500</v>
      </c>
      <c r="F319" s="42" t="n">
        <v>2000</v>
      </c>
      <c r="G319" s="42" t="n">
        <v>250</v>
      </c>
      <c r="H319" s="43" t="n">
        <v>1</v>
      </c>
      <c r="I319" s="34" t="n">
        <f aca="false">E319*H319+N(F319)+N(G319)</f>
        <v>4750</v>
      </c>
      <c r="J319" s="42" t="n">
        <f aca="false">ROUND(IFERROR(ROUND(IF(OR(ISNUMBER(SEARCH("week",C319)),ISNUMBER(SEARCH("minggu",C319))),IFERROR(_xlfn.NUMBERVALUE(SUBSTITUTE(LEFT(TRIM(C319),FIND(" ",TRIM(C319)&amp;" ")-1),",","."),"."),LEFT(SUBSTITUTE(LEFT(TRIM(C319),FIND(" ",TRIM(C319)&amp;" ")-1),",","."),FIND("/",SUBSTITUTE(LEFT(TRIM(C319),FIND(" ",TRIM(C319)&amp;" ")-1),",","."))-1)/MID(SUBSTITUTE(LEFT(TRIM(C319),FIND(" ",TRIM(C319)&amp;" ")-1),",","."),FIND("/",SUBSTITUTE(LEFT(TRIM(C319),FIND(" ",TRIM(C319)&amp;" ")-1),",","."))+1,9))*12/52,IF(ISNUMBER(SEARCH("month",C319)),IFERROR(_xlfn.NUMBERVALUE(SUBSTITUTE(LEFT(TRIM(C319),FIND(" ",TRIM(C319)&amp;" ")-1),",","."),"."),LEFT(SUBSTITUTE(LEFT(TRIM(C319),FIND(" ",TRIM(C319)&amp;" ")-1),",","."),FIND("/",SUBSTITUTE(LEFT(TRIM(C319),FIND(" ",TRIM(C319)&amp;" ")-1),",","."))-1)/MID(SUBSTITUTE(LEFT(TRIM(C319),FIND(" ",TRIM(C319)&amp;" ")-1),",","."),FIND("/",SUBSTITUTE(LEFT(TRIM(C319),FIND(" ",TRIM(C319)&amp;" ")-1),",","."))+1,9)),IF(ISNUMBER(SEARCH("yea",C319)),IFERROR(_xlfn.NUMBERVALUE(SUBSTITUTE(LEFT(TRIM(C319),FIND(" ",TRIM(C319)&amp;" ")-1),",","."),"."),LEFT(SUBSTITUTE(LEFT(TRIM(C319),FIND(" ",TRIM(C319)&amp;" ")-1),",","."),FIND("/",SUBSTITUTE(LEFT(TRIM(C319),FIND(" ",TRIM(C319)&amp;" ")-1),",","."))-1)/MID(SUBSTITUTE(LEFT(TRIM(C319),FIND(" ",TRIM(C319)&amp;" ")-1),",","."),FIND("/",SUBSTITUTE(LEFT(TRIM(C319),FIND(" ",TRIM(C319)&amp;" ")-1),",","."))+1,9))*12,NA()))),0),24)*'Aturan &amp; Tarif'!$B$4,2)</f>
        <v>1362.72</v>
      </c>
      <c r="K319" s="42" t="n">
        <f aca="false">'Aturan &amp; Tarif'!$B$5</f>
        <v>2050</v>
      </c>
      <c r="L319" s="42" t="n">
        <f aca="false">'Aturan &amp; Tarif'!$B$6</f>
        <v>350</v>
      </c>
      <c r="M319" s="35" t="n">
        <f aca="false">I319+J319+K319+L319</f>
        <v>8512.72</v>
      </c>
      <c r="N319" s="45" t="s">
        <v>134</v>
      </c>
    </row>
    <row r="320" customFormat="false" ht="25.5" hidden="false" customHeight="true" outlineLevel="0" collapsed="false">
      <c r="A320" s="39"/>
      <c r="B320" s="40" t="s">
        <v>1977</v>
      </c>
      <c r="C320" s="41" t="s">
        <v>107</v>
      </c>
      <c r="D320" s="41" t="s">
        <v>108</v>
      </c>
      <c r="E320" s="42" t="n">
        <v>2125</v>
      </c>
      <c r="F320" s="42" t="n">
        <v>600</v>
      </c>
      <c r="G320" s="42" t="n">
        <v>250</v>
      </c>
      <c r="H320" s="43" t="n">
        <v>1</v>
      </c>
      <c r="I320" s="34" t="n">
        <f aca="false">E320*H320+N(F320)+N(G320)</f>
        <v>2975</v>
      </c>
      <c r="J320" s="42" t="n">
        <f aca="false">ROUND(IFERROR(ROUND(IF(OR(ISNUMBER(SEARCH("week",C320)),ISNUMBER(SEARCH("minggu",C320))),IFERROR(_xlfn.NUMBERVALUE(SUBSTITUTE(LEFT(TRIM(C320),FIND(" ",TRIM(C320)&amp;" ")-1),",","."),"."),LEFT(SUBSTITUTE(LEFT(TRIM(C320),FIND(" ",TRIM(C320)&amp;" ")-1),",","."),FIND("/",SUBSTITUTE(LEFT(TRIM(C320),FIND(" ",TRIM(C320)&amp;" ")-1),",","."))-1)/MID(SUBSTITUTE(LEFT(TRIM(C320),FIND(" ",TRIM(C320)&amp;" ")-1),",","."),FIND("/",SUBSTITUTE(LEFT(TRIM(C320),FIND(" ",TRIM(C320)&amp;" ")-1),",","."))+1,9))*12/52,IF(ISNUMBER(SEARCH("month",C320)),IFERROR(_xlfn.NUMBERVALUE(SUBSTITUTE(LEFT(TRIM(C320),FIND(" ",TRIM(C320)&amp;" ")-1),",","."),"."),LEFT(SUBSTITUTE(LEFT(TRIM(C320),FIND(" ",TRIM(C320)&amp;" ")-1),",","."),FIND("/",SUBSTITUTE(LEFT(TRIM(C320),FIND(" ",TRIM(C320)&amp;" ")-1),",","."))-1)/MID(SUBSTITUTE(LEFT(TRIM(C320),FIND(" ",TRIM(C320)&amp;" ")-1),",","."),FIND("/",SUBSTITUTE(LEFT(TRIM(C320),FIND(" ",TRIM(C320)&amp;" ")-1),",","."))+1,9)),IF(ISNUMBER(SEARCH("yea",C320)),IFERROR(_xlfn.NUMBERVALUE(SUBSTITUTE(LEFT(TRIM(C320),FIND(" ",TRIM(C320)&amp;" ")-1),",","."),"."),LEFT(SUBSTITUTE(LEFT(TRIM(C320),FIND(" ",TRIM(C320)&amp;" ")-1),",","."),FIND("/",SUBSTITUTE(LEFT(TRIM(C320),FIND(" ",TRIM(C320)&amp;" ")-1),",","."))-1)/MID(SUBSTITUTE(LEFT(TRIM(C320),FIND(" ",TRIM(C320)&amp;" ")-1),",","."),FIND("/",SUBSTITUTE(LEFT(TRIM(C320),FIND(" ",TRIM(C320)&amp;" ")-1),",","."))+1,9))*12,NA()))),0),24)*'Aturan &amp; Tarif'!$B$4,2)</f>
        <v>1362.72</v>
      </c>
      <c r="K320" s="42" t="n">
        <f aca="false">'Aturan &amp; Tarif'!$B$5</f>
        <v>2050</v>
      </c>
      <c r="L320" s="42" t="n">
        <f aca="false">'Aturan &amp; Tarif'!$B$6</f>
        <v>350</v>
      </c>
      <c r="M320" s="35" t="n">
        <f aca="false">I320+J320+K320+L320</f>
        <v>6737.72</v>
      </c>
      <c r="N320" s="45" t="s">
        <v>134</v>
      </c>
    </row>
    <row r="321" customFormat="false" ht="37.5" hidden="false" customHeight="true" outlineLevel="0" collapsed="false">
      <c r="A321" s="39"/>
      <c r="B321" s="40" t="s">
        <v>1978</v>
      </c>
      <c r="C321" s="41" t="s">
        <v>138</v>
      </c>
      <c r="D321" s="41" t="s">
        <v>108</v>
      </c>
      <c r="E321" s="42" t="n">
        <v>2125</v>
      </c>
      <c r="F321" s="42" t="n">
        <v>500</v>
      </c>
      <c r="G321" s="42" t="n">
        <v>250</v>
      </c>
      <c r="H321" s="43" t="n">
        <v>1</v>
      </c>
      <c r="I321" s="34" t="n">
        <f aca="false">E321*H321+N(F321)+N(G321)</f>
        <v>2875</v>
      </c>
      <c r="J321" s="42" t="n">
        <f aca="false">ROUND(IFERROR(ROUND(IF(OR(ISNUMBER(SEARCH("week",C321)),ISNUMBER(SEARCH("minggu",C321))),IFERROR(_xlfn.NUMBERVALUE(SUBSTITUTE(LEFT(TRIM(C321),FIND(" ",TRIM(C321)&amp;" ")-1),",","."),"."),LEFT(SUBSTITUTE(LEFT(TRIM(C321),FIND(" ",TRIM(C321)&amp;" ")-1),",","."),FIND("/",SUBSTITUTE(LEFT(TRIM(C321),FIND(" ",TRIM(C321)&amp;" ")-1),",","."))-1)/MID(SUBSTITUTE(LEFT(TRIM(C321),FIND(" ",TRIM(C321)&amp;" ")-1),",","."),FIND("/",SUBSTITUTE(LEFT(TRIM(C321),FIND(" ",TRIM(C321)&amp;" ")-1),",","."))+1,9))*12/52,IF(ISNUMBER(SEARCH("month",C321)),IFERROR(_xlfn.NUMBERVALUE(SUBSTITUTE(LEFT(TRIM(C321),FIND(" ",TRIM(C321)&amp;" ")-1),",","."),"."),LEFT(SUBSTITUTE(LEFT(TRIM(C321),FIND(" ",TRIM(C321)&amp;" ")-1),",","."),FIND("/",SUBSTITUTE(LEFT(TRIM(C321),FIND(" ",TRIM(C321)&amp;" ")-1),",","."))-1)/MID(SUBSTITUTE(LEFT(TRIM(C321),FIND(" ",TRIM(C321)&amp;" ")-1),",","."),FIND("/",SUBSTITUTE(LEFT(TRIM(C321),FIND(" ",TRIM(C321)&amp;" ")-1),",","."))+1,9)),IF(ISNUMBER(SEARCH("yea",C321)),IFERROR(_xlfn.NUMBERVALUE(SUBSTITUTE(LEFT(TRIM(C321),FIND(" ",TRIM(C321)&amp;" ")-1),",","."),"."),LEFT(SUBSTITUTE(LEFT(TRIM(C321),FIND(" ",TRIM(C321)&amp;" ")-1),",","."),FIND("/",SUBSTITUTE(LEFT(TRIM(C321),FIND(" ",TRIM(C321)&amp;" ")-1),",","."))-1)/MID(SUBSTITUTE(LEFT(TRIM(C321),FIND(" ",TRIM(C321)&amp;" ")-1),",","."),FIND("/",SUBSTITUTE(LEFT(TRIM(C321),FIND(" ",TRIM(C321)&amp;" ")-1),",","."))+1,9))*12,NA()))),0),30)*'Aturan &amp; Tarif'!$B$4,2)</f>
        <v>1703.4</v>
      </c>
      <c r="K321" s="42" t="n">
        <f aca="false">'Aturan &amp; Tarif'!$B$5</f>
        <v>2050</v>
      </c>
      <c r="L321" s="42" t="n">
        <f aca="false">'Aturan &amp; Tarif'!$B$6</f>
        <v>350</v>
      </c>
      <c r="M321" s="35" t="n">
        <f aca="false">I321+J321+K321+L321</f>
        <v>6978.4</v>
      </c>
      <c r="N321" s="45" t="s">
        <v>134</v>
      </c>
    </row>
    <row r="322" customFormat="false" ht="25.5" hidden="false" customHeight="true" outlineLevel="0" collapsed="false">
      <c r="A322" s="39"/>
      <c r="B322" s="40" t="s">
        <v>1979</v>
      </c>
      <c r="C322" s="41" t="s">
        <v>107</v>
      </c>
      <c r="D322" s="41" t="s">
        <v>108</v>
      </c>
      <c r="E322" s="42" t="n">
        <v>1875</v>
      </c>
      <c r="F322" s="42" t="n">
        <v>500</v>
      </c>
      <c r="G322" s="42" t="n">
        <v>250</v>
      </c>
      <c r="H322" s="43" t="n">
        <v>1</v>
      </c>
      <c r="I322" s="34" t="n">
        <f aca="false">E322*H322+N(F322)+N(G322)</f>
        <v>2625</v>
      </c>
      <c r="J322" s="42" t="n">
        <f aca="false">ROUND(IFERROR(ROUND(IF(OR(ISNUMBER(SEARCH("week",C322)),ISNUMBER(SEARCH("minggu",C322))),IFERROR(_xlfn.NUMBERVALUE(SUBSTITUTE(LEFT(TRIM(C322),FIND(" ",TRIM(C322)&amp;" ")-1),",","."),"."),LEFT(SUBSTITUTE(LEFT(TRIM(C322),FIND(" ",TRIM(C322)&amp;" ")-1),",","."),FIND("/",SUBSTITUTE(LEFT(TRIM(C322),FIND(" ",TRIM(C322)&amp;" ")-1),",","."))-1)/MID(SUBSTITUTE(LEFT(TRIM(C322),FIND(" ",TRIM(C322)&amp;" ")-1),",","."),FIND("/",SUBSTITUTE(LEFT(TRIM(C322),FIND(" ",TRIM(C322)&amp;" ")-1),",","."))+1,9))*12/52,IF(ISNUMBER(SEARCH("month",C322)),IFERROR(_xlfn.NUMBERVALUE(SUBSTITUTE(LEFT(TRIM(C322),FIND(" ",TRIM(C322)&amp;" ")-1),",","."),"."),LEFT(SUBSTITUTE(LEFT(TRIM(C322),FIND(" ",TRIM(C322)&amp;" ")-1),",","."),FIND("/",SUBSTITUTE(LEFT(TRIM(C322),FIND(" ",TRIM(C322)&amp;" ")-1),",","."))-1)/MID(SUBSTITUTE(LEFT(TRIM(C322),FIND(" ",TRIM(C322)&amp;" ")-1),",","."),FIND("/",SUBSTITUTE(LEFT(TRIM(C322),FIND(" ",TRIM(C322)&amp;" ")-1),",","."))+1,9)),IF(ISNUMBER(SEARCH("yea",C322)),IFERROR(_xlfn.NUMBERVALUE(SUBSTITUTE(LEFT(TRIM(C322),FIND(" ",TRIM(C322)&amp;" ")-1),",","."),"."),LEFT(SUBSTITUTE(LEFT(TRIM(C322),FIND(" ",TRIM(C322)&amp;" ")-1),",","."),FIND("/",SUBSTITUTE(LEFT(TRIM(C322),FIND(" ",TRIM(C322)&amp;" ")-1),",","."))-1)/MID(SUBSTITUTE(LEFT(TRIM(C322),FIND(" ",TRIM(C322)&amp;" ")-1),",","."),FIND("/",SUBSTITUTE(LEFT(TRIM(C322),FIND(" ",TRIM(C322)&amp;" ")-1),",","."))+1,9))*12,NA()))),0),24)*'Aturan &amp; Tarif'!$B$4,2)</f>
        <v>1362.72</v>
      </c>
      <c r="K322" s="42" t="n">
        <f aca="false">'Aturan &amp; Tarif'!$B$5</f>
        <v>2050</v>
      </c>
      <c r="L322" s="42" t="n">
        <f aca="false">'Aturan &amp; Tarif'!$B$6</f>
        <v>350</v>
      </c>
      <c r="M322" s="35" t="n">
        <f aca="false">I322+J322+K322+L322</f>
        <v>6387.72</v>
      </c>
      <c r="N322" s="45" t="s">
        <v>134</v>
      </c>
    </row>
    <row r="323" customFormat="false" ht="25.5" hidden="false" customHeight="true" outlineLevel="0" collapsed="false">
      <c r="A323" s="39"/>
      <c r="B323" s="40" t="s">
        <v>1980</v>
      </c>
      <c r="C323" s="41" t="s">
        <v>191</v>
      </c>
      <c r="D323" s="41" t="s">
        <v>108</v>
      </c>
      <c r="E323" s="42" t="n">
        <v>1875</v>
      </c>
      <c r="F323" s="42" t="n">
        <v>500</v>
      </c>
      <c r="G323" s="42" t="n">
        <v>250</v>
      </c>
      <c r="H323" s="43" t="n">
        <v>1</v>
      </c>
      <c r="I323" s="34" t="n">
        <f aca="false">E323*H323+N(F323)+N(G323)</f>
        <v>2625</v>
      </c>
      <c r="J323" s="42" t="n">
        <f aca="false">ROUND(IFERROR(ROUND(IF(OR(ISNUMBER(SEARCH("week",C323)),ISNUMBER(SEARCH("minggu",C323))),IFERROR(_xlfn.NUMBERVALUE(SUBSTITUTE(LEFT(TRIM(C323),FIND(" ",TRIM(C323)&amp;" ")-1),",","."),"."),LEFT(SUBSTITUTE(LEFT(TRIM(C323),FIND(" ",TRIM(C323)&amp;" ")-1),",","."),FIND("/",SUBSTITUTE(LEFT(TRIM(C323),FIND(" ",TRIM(C323)&amp;" ")-1),",","."))-1)/MID(SUBSTITUTE(LEFT(TRIM(C323),FIND(" ",TRIM(C323)&amp;" ")-1),",","."),FIND("/",SUBSTITUTE(LEFT(TRIM(C323),FIND(" ",TRIM(C323)&amp;" ")-1),",","."))+1,9))*12/52,IF(ISNUMBER(SEARCH("month",C323)),IFERROR(_xlfn.NUMBERVALUE(SUBSTITUTE(LEFT(TRIM(C323),FIND(" ",TRIM(C323)&amp;" ")-1),",","."),"."),LEFT(SUBSTITUTE(LEFT(TRIM(C323),FIND(" ",TRIM(C323)&amp;" ")-1),",","."),FIND("/",SUBSTITUTE(LEFT(TRIM(C323),FIND(" ",TRIM(C323)&amp;" ")-1),",","."))-1)/MID(SUBSTITUTE(LEFT(TRIM(C323),FIND(" ",TRIM(C323)&amp;" ")-1),",","."),FIND("/",SUBSTITUTE(LEFT(TRIM(C323),FIND(" ",TRIM(C323)&amp;" ")-1),",","."))+1,9)),IF(ISNUMBER(SEARCH("yea",C323)),IFERROR(_xlfn.NUMBERVALUE(SUBSTITUTE(LEFT(TRIM(C323),FIND(" ",TRIM(C323)&amp;" ")-1),",","."),"."),LEFT(SUBSTITUTE(LEFT(TRIM(C323),FIND(" ",TRIM(C323)&amp;" ")-1),",","."),FIND("/",SUBSTITUTE(LEFT(TRIM(C323),FIND(" ",TRIM(C323)&amp;" ")-1),",","."))-1)/MID(SUBSTITUTE(LEFT(TRIM(C323),FIND(" ",TRIM(C323)&amp;" ")-1),",","."),FIND("/",SUBSTITUTE(LEFT(TRIM(C323),FIND(" ",TRIM(C323)&amp;" ")-1),",","."))+1,9))*12,NA()))),0),48)*'Aturan &amp; Tarif'!$B$4,2)</f>
        <v>2725.44</v>
      </c>
      <c r="K323" s="42" t="n">
        <f aca="false">'Aturan &amp; Tarif'!$B$5</f>
        <v>2050</v>
      </c>
      <c r="L323" s="42" t="n">
        <f aca="false">'Aturan &amp; Tarif'!$B$6</f>
        <v>350</v>
      </c>
      <c r="M323" s="35" t="n">
        <f aca="false">I323+J323+K323+L323</f>
        <v>7750.44</v>
      </c>
      <c r="N323" s="45" t="s">
        <v>134</v>
      </c>
    </row>
    <row r="324" customFormat="false" ht="48.75" hidden="false" customHeight="true" outlineLevel="0" collapsed="false">
      <c r="A324" s="39"/>
      <c r="B324" s="40" t="s">
        <v>133</v>
      </c>
      <c r="C324" s="41" t="s">
        <v>107</v>
      </c>
      <c r="D324" s="41" t="s">
        <v>108</v>
      </c>
      <c r="E324" s="42" t="n">
        <v>1875</v>
      </c>
      <c r="F324" s="42" t="n">
        <v>500</v>
      </c>
      <c r="G324" s="42" t="n">
        <v>250</v>
      </c>
      <c r="H324" s="43" t="n">
        <v>1</v>
      </c>
      <c r="I324" s="34" t="n">
        <f aca="false">E324*H324+N(F324)+N(G324)</f>
        <v>2625</v>
      </c>
      <c r="J324" s="42" t="n">
        <f aca="false">ROUND(IFERROR(ROUND(IF(OR(ISNUMBER(SEARCH("week",C324)),ISNUMBER(SEARCH("minggu",C324))),IFERROR(_xlfn.NUMBERVALUE(SUBSTITUTE(LEFT(TRIM(C324),FIND(" ",TRIM(C324)&amp;" ")-1),",","."),"."),LEFT(SUBSTITUTE(LEFT(TRIM(C324),FIND(" ",TRIM(C324)&amp;" ")-1),",","."),FIND("/",SUBSTITUTE(LEFT(TRIM(C324),FIND(" ",TRIM(C324)&amp;" ")-1),",","."))-1)/MID(SUBSTITUTE(LEFT(TRIM(C324),FIND(" ",TRIM(C324)&amp;" ")-1),",","."),FIND("/",SUBSTITUTE(LEFT(TRIM(C324),FIND(" ",TRIM(C324)&amp;" ")-1),",","."))+1,9))*12/52,IF(ISNUMBER(SEARCH("month",C324)),IFERROR(_xlfn.NUMBERVALUE(SUBSTITUTE(LEFT(TRIM(C324),FIND(" ",TRIM(C324)&amp;" ")-1),",","."),"."),LEFT(SUBSTITUTE(LEFT(TRIM(C324),FIND(" ",TRIM(C324)&amp;" ")-1),",","."),FIND("/",SUBSTITUTE(LEFT(TRIM(C324),FIND(" ",TRIM(C324)&amp;" ")-1),",","."))-1)/MID(SUBSTITUTE(LEFT(TRIM(C324),FIND(" ",TRIM(C324)&amp;" ")-1),",","."),FIND("/",SUBSTITUTE(LEFT(TRIM(C324),FIND(" ",TRIM(C324)&amp;" ")-1),",","."))+1,9)),IF(ISNUMBER(SEARCH("yea",C324)),IFERROR(_xlfn.NUMBERVALUE(SUBSTITUTE(LEFT(TRIM(C324),FIND(" ",TRIM(C324)&amp;" ")-1),",","."),"."),LEFT(SUBSTITUTE(LEFT(TRIM(C324),FIND(" ",TRIM(C324)&amp;" ")-1),",","."),FIND("/",SUBSTITUTE(LEFT(TRIM(C324),FIND(" ",TRIM(C324)&amp;" ")-1),",","."))-1)/MID(SUBSTITUTE(LEFT(TRIM(C324),FIND(" ",TRIM(C324)&amp;" ")-1),",","."),FIND("/",SUBSTITUTE(LEFT(TRIM(C324),FIND(" ",TRIM(C324)&amp;" ")-1),",","."))+1,9))*12,NA()))),0),24)*'Aturan &amp; Tarif'!$B$4,2)</f>
        <v>1362.72</v>
      </c>
      <c r="K324" s="42" t="n">
        <f aca="false">'Aturan &amp; Tarif'!$B$5</f>
        <v>2050</v>
      </c>
      <c r="L324" s="42" t="n">
        <f aca="false">'Aturan &amp; Tarif'!$B$6</f>
        <v>350</v>
      </c>
      <c r="M324" s="35" t="n">
        <f aca="false">I324+J324+K324+L324</f>
        <v>6387.72</v>
      </c>
      <c r="N324" s="45" t="s">
        <v>134</v>
      </c>
    </row>
    <row r="325" customFormat="false" ht="37.5" hidden="false" customHeight="true" outlineLevel="0" collapsed="false">
      <c r="A325" s="39"/>
      <c r="B325" s="40" t="s">
        <v>135</v>
      </c>
      <c r="C325" s="41" t="s">
        <v>191</v>
      </c>
      <c r="D325" s="41" t="s">
        <v>108</v>
      </c>
      <c r="E325" s="42" t="n">
        <v>1875</v>
      </c>
      <c r="F325" s="42" t="n">
        <v>500</v>
      </c>
      <c r="G325" s="42" t="n">
        <v>250</v>
      </c>
      <c r="H325" s="43" t="n">
        <v>1</v>
      </c>
      <c r="I325" s="34" t="n">
        <f aca="false">E325*H325+N(F325)+N(G325)</f>
        <v>2625</v>
      </c>
      <c r="J325" s="42" t="n">
        <f aca="false">ROUND(IFERROR(ROUND(IF(OR(ISNUMBER(SEARCH("week",C325)),ISNUMBER(SEARCH("minggu",C325))),IFERROR(_xlfn.NUMBERVALUE(SUBSTITUTE(LEFT(TRIM(C325),FIND(" ",TRIM(C325)&amp;" ")-1),",","."),"."),LEFT(SUBSTITUTE(LEFT(TRIM(C325),FIND(" ",TRIM(C325)&amp;" ")-1),",","."),FIND("/",SUBSTITUTE(LEFT(TRIM(C325),FIND(" ",TRIM(C325)&amp;" ")-1),",","."))-1)/MID(SUBSTITUTE(LEFT(TRIM(C325),FIND(" ",TRIM(C325)&amp;" ")-1),",","."),FIND("/",SUBSTITUTE(LEFT(TRIM(C325),FIND(" ",TRIM(C325)&amp;" ")-1),",","."))+1,9))*12/52,IF(ISNUMBER(SEARCH("month",C325)),IFERROR(_xlfn.NUMBERVALUE(SUBSTITUTE(LEFT(TRIM(C325),FIND(" ",TRIM(C325)&amp;" ")-1),",","."),"."),LEFT(SUBSTITUTE(LEFT(TRIM(C325),FIND(" ",TRIM(C325)&amp;" ")-1),",","."),FIND("/",SUBSTITUTE(LEFT(TRIM(C325),FIND(" ",TRIM(C325)&amp;" ")-1),",","."))-1)/MID(SUBSTITUTE(LEFT(TRIM(C325),FIND(" ",TRIM(C325)&amp;" ")-1),",","."),FIND("/",SUBSTITUTE(LEFT(TRIM(C325),FIND(" ",TRIM(C325)&amp;" ")-1),",","."))+1,9)),IF(ISNUMBER(SEARCH("yea",C325)),IFERROR(_xlfn.NUMBERVALUE(SUBSTITUTE(LEFT(TRIM(C325),FIND(" ",TRIM(C325)&amp;" ")-1),",","."),"."),LEFT(SUBSTITUTE(LEFT(TRIM(C325),FIND(" ",TRIM(C325)&amp;" ")-1),",","."),FIND("/",SUBSTITUTE(LEFT(TRIM(C325),FIND(" ",TRIM(C325)&amp;" ")-1),",","."))-1)/MID(SUBSTITUTE(LEFT(TRIM(C325),FIND(" ",TRIM(C325)&amp;" ")-1),",","."),FIND("/",SUBSTITUTE(LEFT(TRIM(C325),FIND(" ",TRIM(C325)&amp;" ")-1),",","."))+1,9))*12,NA()))),0),48)*'Aturan &amp; Tarif'!$B$4,2)</f>
        <v>2725.44</v>
      </c>
      <c r="K325" s="42" t="n">
        <f aca="false">'Aturan &amp; Tarif'!$B$5</f>
        <v>2050</v>
      </c>
      <c r="L325" s="42" t="n">
        <f aca="false">'Aturan &amp; Tarif'!$B$6</f>
        <v>350</v>
      </c>
      <c r="M325" s="35" t="n">
        <f aca="false">I325+J325+K325+L325</f>
        <v>7750.44</v>
      </c>
      <c r="N325" s="45" t="s">
        <v>134</v>
      </c>
    </row>
    <row r="326" customFormat="false" ht="14.25" hidden="false" customHeight="true" outlineLevel="0" collapsed="false">
      <c r="A326" s="39"/>
      <c r="B326" s="40" t="s">
        <v>148</v>
      </c>
      <c r="C326" s="41" t="s">
        <v>138</v>
      </c>
      <c r="D326" s="41" t="s">
        <v>108</v>
      </c>
      <c r="E326" s="42" t="n">
        <v>2420</v>
      </c>
      <c r="F326" s="42" t="n">
        <v>1500</v>
      </c>
      <c r="G326" s="42" t="n">
        <v>250</v>
      </c>
      <c r="H326" s="43" t="n">
        <v>1</v>
      </c>
      <c r="I326" s="34" t="n">
        <f aca="false">E326*H326+N(F326)+N(G326)</f>
        <v>4170</v>
      </c>
      <c r="J326" s="42" t="n">
        <f aca="false">ROUND(IFERROR(ROUND(IF(OR(ISNUMBER(SEARCH("week",C326)),ISNUMBER(SEARCH("minggu",C326))),IFERROR(_xlfn.NUMBERVALUE(SUBSTITUTE(LEFT(TRIM(C326),FIND(" ",TRIM(C326)&amp;" ")-1),",","."),"."),LEFT(SUBSTITUTE(LEFT(TRIM(C326),FIND(" ",TRIM(C326)&amp;" ")-1),",","."),FIND("/",SUBSTITUTE(LEFT(TRIM(C326),FIND(" ",TRIM(C326)&amp;" ")-1),",","."))-1)/MID(SUBSTITUTE(LEFT(TRIM(C326),FIND(" ",TRIM(C326)&amp;" ")-1),",","."),FIND("/",SUBSTITUTE(LEFT(TRIM(C326),FIND(" ",TRIM(C326)&amp;" ")-1),",","."))+1,9))*12/52,IF(ISNUMBER(SEARCH("month",C326)),IFERROR(_xlfn.NUMBERVALUE(SUBSTITUTE(LEFT(TRIM(C326),FIND(" ",TRIM(C326)&amp;" ")-1),",","."),"."),LEFT(SUBSTITUTE(LEFT(TRIM(C326),FIND(" ",TRIM(C326)&amp;" ")-1),",","."),FIND("/",SUBSTITUTE(LEFT(TRIM(C326),FIND(" ",TRIM(C326)&amp;" ")-1),",","."))-1)/MID(SUBSTITUTE(LEFT(TRIM(C326),FIND(" ",TRIM(C326)&amp;" ")-1),",","."),FIND("/",SUBSTITUTE(LEFT(TRIM(C326),FIND(" ",TRIM(C326)&amp;" ")-1),",","."))+1,9)),IF(ISNUMBER(SEARCH("yea",C326)),IFERROR(_xlfn.NUMBERVALUE(SUBSTITUTE(LEFT(TRIM(C326),FIND(" ",TRIM(C326)&amp;" ")-1),",","."),"."),LEFT(SUBSTITUTE(LEFT(TRIM(C326),FIND(" ",TRIM(C326)&amp;" ")-1),",","."),FIND("/",SUBSTITUTE(LEFT(TRIM(C326),FIND(" ",TRIM(C326)&amp;" ")-1),",","."))-1)/MID(SUBSTITUTE(LEFT(TRIM(C326),FIND(" ",TRIM(C326)&amp;" ")-1),",","."),FIND("/",SUBSTITUTE(LEFT(TRIM(C326),FIND(" ",TRIM(C326)&amp;" ")-1),",","."))+1,9))*12,NA()))),0),30)*'Aturan &amp; Tarif'!$B$4,2)</f>
        <v>1703.4</v>
      </c>
      <c r="K326" s="42" t="n">
        <f aca="false">'Aturan &amp; Tarif'!$B$5</f>
        <v>2050</v>
      </c>
      <c r="L326" s="42" t="n">
        <f aca="false">'Aturan &amp; Tarif'!$B$6</f>
        <v>350</v>
      </c>
      <c r="M326" s="35" t="n">
        <f aca="false">I326+J326+K326+L326</f>
        <v>8273.4</v>
      </c>
      <c r="N326" s="45" t="s">
        <v>134</v>
      </c>
    </row>
    <row r="327" customFormat="false" ht="25.5" hidden="false" customHeight="true" outlineLevel="0" collapsed="false">
      <c r="A327" s="39"/>
      <c r="B327" s="40" t="s">
        <v>430</v>
      </c>
      <c r="C327" s="41" t="s">
        <v>127</v>
      </c>
      <c r="D327" s="41" t="s">
        <v>108</v>
      </c>
      <c r="E327" s="42" t="n">
        <v>2000</v>
      </c>
      <c r="F327" s="42" t="n">
        <v>600</v>
      </c>
      <c r="G327" s="42" t="n">
        <v>250</v>
      </c>
      <c r="H327" s="43" t="n">
        <v>1</v>
      </c>
      <c r="I327" s="34" t="n">
        <f aca="false">E327*H327+N(F327)+N(G327)</f>
        <v>2850</v>
      </c>
      <c r="J327" s="42" t="n">
        <f aca="false">ROUND(IFERROR(ROUND(IF(OR(ISNUMBER(SEARCH("week",C327)),ISNUMBER(SEARCH("minggu",C327))),IFERROR(_xlfn.NUMBERVALUE(SUBSTITUTE(LEFT(TRIM(C327),FIND(" ",TRIM(C327)&amp;" ")-1),",","."),"."),LEFT(SUBSTITUTE(LEFT(TRIM(C327),FIND(" ",TRIM(C327)&amp;" ")-1),",","."),FIND("/",SUBSTITUTE(LEFT(TRIM(C327),FIND(" ",TRIM(C327)&amp;" ")-1),",","."))-1)/MID(SUBSTITUTE(LEFT(TRIM(C327),FIND(" ",TRIM(C327)&amp;" ")-1),",","."),FIND("/",SUBSTITUTE(LEFT(TRIM(C327),FIND(" ",TRIM(C327)&amp;" ")-1),",","."))+1,9))*12/52,IF(ISNUMBER(SEARCH("month",C327)),IFERROR(_xlfn.NUMBERVALUE(SUBSTITUTE(LEFT(TRIM(C327),FIND(" ",TRIM(C327)&amp;" ")-1),",","."),"."),LEFT(SUBSTITUTE(LEFT(TRIM(C327),FIND(" ",TRIM(C327)&amp;" ")-1),",","."),FIND("/",SUBSTITUTE(LEFT(TRIM(C327),FIND(" ",TRIM(C327)&amp;" ")-1),",","."))-1)/MID(SUBSTITUTE(LEFT(TRIM(C327),FIND(" ",TRIM(C327)&amp;" ")-1),",","."),FIND("/",SUBSTITUTE(LEFT(TRIM(C327),FIND(" ",TRIM(C327)&amp;" ")-1),",","."))+1,9)),IF(ISNUMBER(SEARCH("yea",C327)),IFERROR(_xlfn.NUMBERVALUE(SUBSTITUTE(LEFT(TRIM(C327),FIND(" ",TRIM(C327)&amp;" ")-1),",","."),"."),LEFT(SUBSTITUTE(LEFT(TRIM(C327),FIND(" ",TRIM(C327)&amp;" ")-1),",","."),FIND("/",SUBSTITUTE(LEFT(TRIM(C327),FIND(" ",TRIM(C327)&amp;" ")-1),",","."))-1)/MID(SUBSTITUTE(LEFT(TRIM(C327),FIND(" ",TRIM(C327)&amp;" ")-1),",","."),FIND("/",SUBSTITUTE(LEFT(TRIM(C327),FIND(" ",TRIM(C327)&amp;" ")-1),",","."))+1,9))*12,NA()))),0),36)*'Aturan &amp; Tarif'!$B$4,2)</f>
        <v>2044.08</v>
      </c>
      <c r="K327" s="42" t="n">
        <f aca="false">'Aturan &amp; Tarif'!$B$5</f>
        <v>2050</v>
      </c>
      <c r="L327" s="42" t="n">
        <f aca="false">'Aturan &amp; Tarif'!$B$6</f>
        <v>350</v>
      </c>
      <c r="M327" s="35" t="n">
        <f aca="false">I327+J327+K327+L327</f>
        <v>7294.08</v>
      </c>
      <c r="N327" s="45" t="s">
        <v>134</v>
      </c>
    </row>
    <row r="328" customFormat="false" ht="48.75" hidden="false" customHeight="true" outlineLevel="0" collapsed="false">
      <c r="A328" s="39" t="s">
        <v>1981</v>
      </c>
      <c r="B328" s="40" t="s">
        <v>879</v>
      </c>
      <c r="C328" s="41" t="s">
        <v>878</v>
      </c>
      <c r="D328" s="41" t="s">
        <v>108</v>
      </c>
      <c r="E328" s="42" t="n">
        <v>2100</v>
      </c>
      <c r="F328" s="42" t="n">
        <v>400</v>
      </c>
      <c r="G328" s="42" t="n">
        <v>100</v>
      </c>
      <c r="H328" s="43" t="n">
        <v>2</v>
      </c>
      <c r="I328" s="34" t="n">
        <f aca="false">E328*H328+N(F328)+N(G328)</f>
        <v>4700</v>
      </c>
      <c r="J328" s="42" t="n">
        <f aca="false">ROUND(IFERROR(ROUND(IF(OR(ISNUMBER(SEARCH("week",C328)),ISNUMBER(SEARCH("minggu",C328))),IFERROR(_xlfn.NUMBERVALUE(SUBSTITUTE(LEFT(TRIM(C328),FIND(" ",TRIM(C328)&amp;" ")-1),",","."),"."),LEFT(SUBSTITUTE(LEFT(TRIM(C328),FIND(" ",TRIM(C328)&amp;" ")-1),",","."),FIND("/",SUBSTITUTE(LEFT(TRIM(C328),FIND(" ",TRIM(C328)&amp;" ")-1),",","."))-1)/MID(SUBSTITUTE(LEFT(TRIM(C328),FIND(" ",TRIM(C328)&amp;" ")-1),",","."),FIND("/",SUBSTITUTE(LEFT(TRIM(C328),FIND(" ",TRIM(C328)&amp;" ")-1),",","."))+1,9))*12/52,IF(ISNUMBER(SEARCH("month",C328)),IFERROR(_xlfn.NUMBERVALUE(SUBSTITUTE(LEFT(TRIM(C328),FIND(" ",TRIM(C328)&amp;" ")-1),",","."),"."),LEFT(SUBSTITUTE(LEFT(TRIM(C328),FIND(" ",TRIM(C328)&amp;" ")-1),",","."),FIND("/",SUBSTITUTE(LEFT(TRIM(C328),FIND(" ",TRIM(C328)&amp;" ")-1),",","."))-1)/MID(SUBSTITUTE(LEFT(TRIM(C328),FIND(" ",TRIM(C328)&amp;" ")-1),",","."),FIND("/",SUBSTITUTE(LEFT(TRIM(C328),FIND(" ",TRIM(C328)&amp;" ")-1),",","."))+1,9)),IF(ISNUMBER(SEARCH("yea",C328)),IFERROR(_xlfn.NUMBERVALUE(SUBSTITUTE(LEFT(TRIM(C328),FIND(" ",TRIM(C328)&amp;" ")-1),",","."),"."),LEFT(SUBSTITUTE(LEFT(TRIM(C328),FIND(" ",TRIM(C328)&amp;" ")-1),",","."),FIND("/",SUBSTITUTE(LEFT(TRIM(C328),FIND(" ",TRIM(C328)&amp;" ")-1),",","."))-1)/MID(SUBSTITUTE(LEFT(TRIM(C328),FIND(" ",TRIM(C328)&amp;" ")-1),",","."),FIND("/",SUBSTITUTE(LEFT(TRIM(C328),FIND(" ",TRIM(C328)&amp;" ")-1),",","."))+1,9))*12,NA()))),0),20)*'Aturan &amp; Tarif'!$B$4,2)</f>
        <v>1135.6</v>
      </c>
      <c r="K328" s="42" t="n">
        <f aca="false">'Aturan &amp; Tarif'!$B$5</f>
        <v>2050</v>
      </c>
      <c r="L328" s="42" t="n">
        <f aca="false">'Aturan &amp; Tarif'!$B$6</f>
        <v>350</v>
      </c>
      <c r="M328" s="35" t="n">
        <f aca="false">I328+J328+K328+L328</f>
        <v>8235.6</v>
      </c>
      <c r="N328" s="45" t="s">
        <v>876</v>
      </c>
    </row>
    <row r="329" customFormat="false" ht="14.25" hidden="false" customHeight="true" outlineLevel="0" collapsed="false">
      <c r="A329" s="39"/>
      <c r="B329" s="40" t="s">
        <v>880</v>
      </c>
      <c r="C329" s="41" t="s">
        <v>107</v>
      </c>
      <c r="D329" s="41" t="s">
        <v>108</v>
      </c>
      <c r="E329" s="42" t="n">
        <v>2000</v>
      </c>
      <c r="F329" s="42" t="n">
        <v>400</v>
      </c>
      <c r="G329" s="42" t="n">
        <v>100</v>
      </c>
      <c r="H329" s="43" t="n">
        <v>2</v>
      </c>
      <c r="I329" s="34" t="n">
        <f aca="false">E329*H329+N(F329)+N(G329)</f>
        <v>4500</v>
      </c>
      <c r="J329" s="42" t="n">
        <f aca="false">ROUND(IFERROR(ROUND(IF(OR(ISNUMBER(SEARCH("week",C329)),ISNUMBER(SEARCH("minggu",C329))),IFERROR(_xlfn.NUMBERVALUE(SUBSTITUTE(LEFT(TRIM(C329),FIND(" ",TRIM(C329)&amp;" ")-1),",","."),"."),LEFT(SUBSTITUTE(LEFT(TRIM(C329),FIND(" ",TRIM(C329)&amp;" ")-1),",","."),FIND("/",SUBSTITUTE(LEFT(TRIM(C329),FIND(" ",TRIM(C329)&amp;" ")-1),",","."))-1)/MID(SUBSTITUTE(LEFT(TRIM(C329),FIND(" ",TRIM(C329)&amp;" ")-1),",","."),FIND("/",SUBSTITUTE(LEFT(TRIM(C329),FIND(" ",TRIM(C329)&amp;" ")-1),",","."))+1,9))*12/52,IF(ISNUMBER(SEARCH("month",C329)),IFERROR(_xlfn.NUMBERVALUE(SUBSTITUTE(LEFT(TRIM(C329),FIND(" ",TRIM(C329)&amp;" ")-1),",","."),"."),LEFT(SUBSTITUTE(LEFT(TRIM(C329),FIND(" ",TRIM(C329)&amp;" ")-1),",","."),FIND("/",SUBSTITUTE(LEFT(TRIM(C329),FIND(" ",TRIM(C329)&amp;" ")-1),",","."))-1)/MID(SUBSTITUTE(LEFT(TRIM(C329),FIND(" ",TRIM(C329)&amp;" ")-1),",","."),FIND("/",SUBSTITUTE(LEFT(TRIM(C329),FIND(" ",TRIM(C329)&amp;" ")-1),",","."))+1,9)),IF(ISNUMBER(SEARCH("yea",C329)),IFERROR(_xlfn.NUMBERVALUE(SUBSTITUTE(LEFT(TRIM(C329),FIND(" ",TRIM(C329)&amp;" ")-1),",","."),"."),LEFT(SUBSTITUTE(LEFT(TRIM(C329),FIND(" ",TRIM(C329)&amp;" ")-1),",","."),FIND("/",SUBSTITUTE(LEFT(TRIM(C329),FIND(" ",TRIM(C329)&amp;" ")-1),",","."))-1)/MID(SUBSTITUTE(LEFT(TRIM(C329),FIND(" ",TRIM(C329)&amp;" ")-1),",","."),FIND("/",SUBSTITUTE(LEFT(TRIM(C329),FIND(" ",TRIM(C329)&amp;" ")-1),",","."))+1,9))*12,NA()))),0),24)*'Aturan &amp; Tarif'!$B$4,2)</f>
        <v>1362.72</v>
      </c>
      <c r="K329" s="42" t="n">
        <f aca="false">'Aturan &amp; Tarif'!$B$5</f>
        <v>2050</v>
      </c>
      <c r="L329" s="42" t="n">
        <f aca="false">'Aturan &amp; Tarif'!$B$6</f>
        <v>350</v>
      </c>
      <c r="M329" s="35" t="n">
        <f aca="false">I329+J329+K329+L329</f>
        <v>8262.72</v>
      </c>
      <c r="N329" s="45" t="s">
        <v>876</v>
      </c>
    </row>
    <row r="330" customFormat="false" ht="25.5" hidden="false" customHeight="true" outlineLevel="0" collapsed="false">
      <c r="A330" s="39"/>
      <c r="B330" s="40" t="s">
        <v>1982</v>
      </c>
      <c r="C330" s="41" t="s">
        <v>878</v>
      </c>
      <c r="D330" s="41" t="s">
        <v>108</v>
      </c>
      <c r="E330" s="42" t="n">
        <v>3300</v>
      </c>
      <c r="F330" s="42" t="n">
        <v>400</v>
      </c>
      <c r="G330" s="42" t="n">
        <v>100</v>
      </c>
      <c r="H330" s="43" t="n">
        <v>2</v>
      </c>
      <c r="I330" s="34" t="n">
        <f aca="false">E330*H330+N(F330)+N(G330)</f>
        <v>7100</v>
      </c>
      <c r="J330" s="42" t="n">
        <f aca="false">ROUND(IFERROR(ROUND(IF(OR(ISNUMBER(SEARCH("week",C330)),ISNUMBER(SEARCH("minggu",C330))),IFERROR(_xlfn.NUMBERVALUE(SUBSTITUTE(LEFT(TRIM(C330),FIND(" ",TRIM(C330)&amp;" ")-1),",","."),"."),LEFT(SUBSTITUTE(LEFT(TRIM(C330),FIND(" ",TRIM(C330)&amp;" ")-1),",","."),FIND("/",SUBSTITUTE(LEFT(TRIM(C330),FIND(" ",TRIM(C330)&amp;" ")-1),",","."))-1)/MID(SUBSTITUTE(LEFT(TRIM(C330),FIND(" ",TRIM(C330)&amp;" ")-1),",","."),FIND("/",SUBSTITUTE(LEFT(TRIM(C330),FIND(" ",TRIM(C330)&amp;" ")-1),",","."))+1,9))*12/52,IF(ISNUMBER(SEARCH("month",C330)),IFERROR(_xlfn.NUMBERVALUE(SUBSTITUTE(LEFT(TRIM(C330),FIND(" ",TRIM(C330)&amp;" ")-1),",","."),"."),LEFT(SUBSTITUTE(LEFT(TRIM(C330),FIND(" ",TRIM(C330)&amp;" ")-1),",","."),FIND("/",SUBSTITUTE(LEFT(TRIM(C330),FIND(" ",TRIM(C330)&amp;" ")-1),",","."))-1)/MID(SUBSTITUTE(LEFT(TRIM(C330),FIND(" ",TRIM(C330)&amp;" ")-1),",","."),FIND("/",SUBSTITUTE(LEFT(TRIM(C330),FIND(" ",TRIM(C330)&amp;" ")-1),",","."))+1,9)),IF(ISNUMBER(SEARCH("yea",C330)),IFERROR(_xlfn.NUMBERVALUE(SUBSTITUTE(LEFT(TRIM(C330),FIND(" ",TRIM(C330)&amp;" ")-1),",","."),"."),LEFT(SUBSTITUTE(LEFT(TRIM(C330),FIND(" ",TRIM(C330)&amp;" ")-1),",","."),FIND("/",SUBSTITUTE(LEFT(TRIM(C330),FIND(" ",TRIM(C330)&amp;" ")-1),",","."))-1)/MID(SUBSTITUTE(LEFT(TRIM(C330),FIND(" ",TRIM(C330)&amp;" ")-1),",","."),FIND("/",SUBSTITUTE(LEFT(TRIM(C330),FIND(" ",TRIM(C330)&amp;" ")-1),",","."))+1,9))*12,NA()))),0),20)*'Aturan &amp; Tarif'!$B$4,2)</f>
        <v>1135.6</v>
      </c>
      <c r="K330" s="42" t="n">
        <f aca="false">'Aturan &amp; Tarif'!$B$5</f>
        <v>2050</v>
      </c>
      <c r="L330" s="42" t="n">
        <f aca="false">'Aturan &amp; Tarif'!$B$6</f>
        <v>350</v>
      </c>
      <c r="M330" s="35" t="n">
        <f aca="false">I330+J330+K330+L330</f>
        <v>10635.6</v>
      </c>
      <c r="N330" s="45" t="s">
        <v>876</v>
      </c>
    </row>
    <row r="331" customFormat="false" ht="48.75" hidden="false" customHeight="true" outlineLevel="0" collapsed="false">
      <c r="A331" s="29" t="s">
        <v>1983</v>
      </c>
      <c r="B331" s="30" t="s">
        <v>1984</v>
      </c>
      <c r="C331" s="31" t="s">
        <v>127</v>
      </c>
      <c r="D331" s="31" t="s">
        <v>108</v>
      </c>
      <c r="E331" s="32" t="n">
        <v>1500</v>
      </c>
      <c r="F331" s="32" t="n">
        <v>100</v>
      </c>
      <c r="G331" s="32" t="n">
        <v>200</v>
      </c>
      <c r="H331" s="33" t="n">
        <v>2</v>
      </c>
      <c r="I331" s="34" t="n">
        <f aca="false">E331*H331+N(F331)+N(G331)</f>
        <v>3300</v>
      </c>
      <c r="J331" s="32" t="n">
        <f aca="false">ROUND(IFERROR(ROUND(IF(OR(ISNUMBER(SEARCH("week",C331)),ISNUMBER(SEARCH("minggu",C331))),IFERROR(_xlfn.NUMBERVALUE(SUBSTITUTE(LEFT(TRIM(C331),FIND(" ",TRIM(C331)&amp;" ")-1),",","."),"."),LEFT(SUBSTITUTE(LEFT(TRIM(C331),FIND(" ",TRIM(C331)&amp;" ")-1),",","."),FIND("/",SUBSTITUTE(LEFT(TRIM(C331),FIND(" ",TRIM(C331)&amp;" ")-1),",","."))-1)/MID(SUBSTITUTE(LEFT(TRIM(C331),FIND(" ",TRIM(C331)&amp;" ")-1),",","."),FIND("/",SUBSTITUTE(LEFT(TRIM(C331),FIND(" ",TRIM(C331)&amp;" ")-1),",","."))+1,9))*12/52,IF(ISNUMBER(SEARCH("month",C331)),IFERROR(_xlfn.NUMBERVALUE(SUBSTITUTE(LEFT(TRIM(C331),FIND(" ",TRIM(C331)&amp;" ")-1),",","."),"."),LEFT(SUBSTITUTE(LEFT(TRIM(C331),FIND(" ",TRIM(C331)&amp;" ")-1),",","."),FIND("/",SUBSTITUTE(LEFT(TRIM(C331),FIND(" ",TRIM(C331)&amp;" ")-1),",","."))-1)/MID(SUBSTITUTE(LEFT(TRIM(C331),FIND(" ",TRIM(C331)&amp;" ")-1),",","."),FIND("/",SUBSTITUTE(LEFT(TRIM(C331),FIND(" ",TRIM(C331)&amp;" ")-1),",","."))+1,9)),IF(ISNUMBER(SEARCH("yea",C331)),IFERROR(_xlfn.NUMBERVALUE(SUBSTITUTE(LEFT(TRIM(C331),FIND(" ",TRIM(C331)&amp;" ")-1),",","."),"."),LEFT(SUBSTITUTE(LEFT(TRIM(C331),FIND(" ",TRIM(C331)&amp;" ")-1),",","."),FIND("/",SUBSTITUTE(LEFT(TRIM(C331),FIND(" ",TRIM(C331)&amp;" ")-1),",","."))-1)/MID(SUBSTITUTE(LEFT(TRIM(C331),FIND(" ",TRIM(C331)&amp;" ")-1),",","."),FIND("/",SUBSTITUTE(LEFT(TRIM(C331),FIND(" ",TRIM(C331)&amp;" ")-1),",","."))+1,9))*12,NA()))),0),36)*'Aturan &amp; Tarif'!$B$4,2)</f>
        <v>2044.08</v>
      </c>
      <c r="K331" s="32" t="n">
        <f aca="false">'Aturan &amp; Tarif'!$B$5</f>
        <v>2050</v>
      </c>
      <c r="L331" s="32" t="n">
        <f aca="false">'Aturan &amp; Tarif'!$B$6</f>
        <v>350</v>
      </c>
      <c r="M331" s="35" t="n">
        <f aca="false">I331+J331+K331+L331</f>
        <v>7744.08</v>
      </c>
      <c r="N331" s="36" t="s">
        <v>1985</v>
      </c>
    </row>
    <row r="332" customFormat="false" ht="14.25" hidden="false" customHeight="true" outlineLevel="0" collapsed="false">
      <c r="A332" s="29"/>
      <c r="B332" s="30" t="s">
        <v>1986</v>
      </c>
      <c r="C332" s="31" t="s">
        <v>1987</v>
      </c>
      <c r="D332" s="31" t="s">
        <v>108</v>
      </c>
      <c r="E332" s="32" t="n">
        <v>1750</v>
      </c>
      <c r="F332" s="32" t="n">
        <v>100</v>
      </c>
      <c r="G332" s="32" t="n">
        <v>200</v>
      </c>
      <c r="H332" s="33" t="n">
        <v>2</v>
      </c>
      <c r="I332" s="34" t="n">
        <f aca="false">E332*H332+N(F332)+N(G332)</f>
        <v>3800</v>
      </c>
      <c r="J332" s="32" t="n">
        <f aca="false">ROUND(IFERROR(ROUND(IF(OR(ISNUMBER(SEARCH("week",C332)),ISNUMBER(SEARCH("minggu",C332))),IFERROR(_xlfn.NUMBERVALUE(SUBSTITUTE(LEFT(TRIM(C332),FIND(" ",TRIM(C332)&amp;" ")-1),",","."),"."),LEFT(SUBSTITUTE(LEFT(TRIM(C332),FIND(" ",TRIM(C332)&amp;" ")-1),",","."),FIND("/",SUBSTITUTE(LEFT(TRIM(C332),FIND(" ",TRIM(C332)&amp;" ")-1),",","."))-1)/MID(SUBSTITUTE(LEFT(TRIM(C332),FIND(" ",TRIM(C332)&amp;" ")-1),",","."),FIND("/",SUBSTITUTE(LEFT(TRIM(C332),FIND(" ",TRIM(C332)&amp;" ")-1),",","."))+1,9))*12/52,IF(ISNUMBER(SEARCH("month",C332)),IFERROR(_xlfn.NUMBERVALUE(SUBSTITUTE(LEFT(TRIM(C332),FIND(" ",TRIM(C332)&amp;" ")-1),",","."),"."),LEFT(SUBSTITUTE(LEFT(TRIM(C332),FIND(" ",TRIM(C332)&amp;" ")-1),",","."),FIND("/",SUBSTITUTE(LEFT(TRIM(C332),FIND(" ",TRIM(C332)&amp;" ")-1),",","."))-1)/MID(SUBSTITUTE(LEFT(TRIM(C332),FIND(" ",TRIM(C332)&amp;" ")-1),",","."),FIND("/",SUBSTITUTE(LEFT(TRIM(C332),FIND(" ",TRIM(C332)&amp;" ")-1),",","."))+1,9)),IF(ISNUMBER(SEARCH("yea",C332)),IFERROR(_xlfn.NUMBERVALUE(SUBSTITUTE(LEFT(TRIM(C332),FIND(" ",TRIM(C332)&amp;" ")-1),",","."),"."),LEFT(SUBSTITUTE(LEFT(TRIM(C332),FIND(" ",TRIM(C332)&amp;" ")-1),",","."),FIND("/",SUBSTITUTE(LEFT(TRIM(C332),FIND(" ",TRIM(C332)&amp;" ")-1),",","."))-1)/MID(SUBSTITUTE(LEFT(TRIM(C332),FIND(" ",TRIM(C332)&amp;" ")-1),",","."),FIND("/",SUBSTITUTE(LEFT(TRIM(C332),FIND(" ",TRIM(C332)&amp;" ")-1),",","."))+1,9))*12,NA()))),0),42)*'Aturan &amp; Tarif'!$B$4,2)</f>
        <v>2384.76</v>
      </c>
      <c r="K332" s="32" t="n">
        <f aca="false">'Aturan &amp; Tarif'!$B$5</f>
        <v>2050</v>
      </c>
      <c r="L332" s="32" t="n">
        <f aca="false">'Aturan &amp; Tarif'!$B$6</f>
        <v>350</v>
      </c>
      <c r="M332" s="35" t="n">
        <f aca="false">I332+J332+K332+L332</f>
        <v>8584.76</v>
      </c>
      <c r="N332" s="37" t="s">
        <v>1988</v>
      </c>
    </row>
    <row r="333" customFormat="false" ht="48.75" hidden="false" customHeight="true" outlineLevel="0" collapsed="false">
      <c r="A333" s="29" t="s">
        <v>1989</v>
      </c>
      <c r="B333" s="30" t="s">
        <v>1817</v>
      </c>
      <c r="C333" s="31" t="s">
        <v>138</v>
      </c>
      <c r="D333" s="31" t="s">
        <v>108</v>
      </c>
      <c r="E333" s="32" t="n">
        <v>1500</v>
      </c>
      <c r="F333" s="32" t="n">
        <v>50</v>
      </c>
      <c r="G333" s="32" t="n">
        <v>200</v>
      </c>
      <c r="H333" s="33" t="n">
        <v>1</v>
      </c>
      <c r="I333" s="34" t="n">
        <f aca="false">E333*H333+N(F333)+N(G333)</f>
        <v>1750</v>
      </c>
      <c r="J333" s="32" t="n">
        <f aca="false">ROUND(IFERROR(ROUND(IF(OR(ISNUMBER(SEARCH("week",C333)),ISNUMBER(SEARCH("minggu",C333))),IFERROR(_xlfn.NUMBERVALUE(SUBSTITUTE(LEFT(TRIM(C333),FIND(" ",TRIM(C333)&amp;" ")-1),",","."),"."),LEFT(SUBSTITUTE(LEFT(TRIM(C333),FIND(" ",TRIM(C333)&amp;" ")-1),",","."),FIND("/",SUBSTITUTE(LEFT(TRIM(C333),FIND(" ",TRIM(C333)&amp;" ")-1),",","."))-1)/MID(SUBSTITUTE(LEFT(TRIM(C333),FIND(" ",TRIM(C333)&amp;" ")-1),",","."),FIND("/",SUBSTITUTE(LEFT(TRIM(C333),FIND(" ",TRIM(C333)&amp;" ")-1),",","."))+1,9))*12/52,IF(ISNUMBER(SEARCH("month",C333)),IFERROR(_xlfn.NUMBERVALUE(SUBSTITUTE(LEFT(TRIM(C333),FIND(" ",TRIM(C333)&amp;" ")-1),",","."),"."),LEFT(SUBSTITUTE(LEFT(TRIM(C333),FIND(" ",TRIM(C333)&amp;" ")-1),",","."),FIND("/",SUBSTITUTE(LEFT(TRIM(C333),FIND(" ",TRIM(C333)&amp;" ")-1),",","."))-1)/MID(SUBSTITUTE(LEFT(TRIM(C333),FIND(" ",TRIM(C333)&amp;" ")-1),",","."),FIND("/",SUBSTITUTE(LEFT(TRIM(C333),FIND(" ",TRIM(C333)&amp;" ")-1),",","."))+1,9)),IF(ISNUMBER(SEARCH("yea",C333)),IFERROR(_xlfn.NUMBERVALUE(SUBSTITUTE(LEFT(TRIM(C333),FIND(" ",TRIM(C333)&amp;" ")-1),",","."),"."),LEFT(SUBSTITUTE(LEFT(TRIM(C333),FIND(" ",TRIM(C333)&amp;" ")-1),",","."),FIND("/",SUBSTITUTE(LEFT(TRIM(C333),FIND(" ",TRIM(C333)&amp;" ")-1),",","."))-1)/MID(SUBSTITUTE(LEFT(TRIM(C333),FIND(" ",TRIM(C333)&amp;" ")-1),",","."),FIND("/",SUBSTITUTE(LEFT(TRIM(C333),FIND(" ",TRIM(C333)&amp;" ")-1),",","."))+1,9))*12,NA()))),0),30)*'Aturan &amp; Tarif'!$B$4,2)</f>
        <v>1703.4</v>
      </c>
      <c r="K333" s="32" t="n">
        <f aca="false">'Aturan &amp; Tarif'!$B$5</f>
        <v>2050</v>
      </c>
      <c r="L333" s="32" t="n">
        <f aca="false">'Aturan &amp; Tarif'!$B$6</f>
        <v>350</v>
      </c>
      <c r="M333" s="35" t="n">
        <f aca="false">I333+J333+K333+L333</f>
        <v>5853.4</v>
      </c>
      <c r="N333" s="36" t="s">
        <v>1990</v>
      </c>
    </row>
    <row r="334" customFormat="false" ht="14.25" hidden="false" customHeight="true" outlineLevel="0" collapsed="false">
      <c r="A334" s="29"/>
      <c r="B334" s="30" t="s">
        <v>1818</v>
      </c>
      <c r="C334" s="31" t="s">
        <v>495</v>
      </c>
      <c r="D334" s="31" t="s">
        <v>108</v>
      </c>
      <c r="E334" s="32" t="n">
        <v>1500</v>
      </c>
      <c r="F334" s="32" t="n">
        <v>50</v>
      </c>
      <c r="G334" s="32" t="n">
        <v>200</v>
      </c>
      <c r="H334" s="33" t="n">
        <v>1</v>
      </c>
      <c r="I334" s="34" t="n">
        <f aca="false">E334*H334+N(F334)+N(G334)</f>
        <v>1750</v>
      </c>
      <c r="J334" s="32" t="n">
        <f aca="false">ROUND(IFERROR(ROUND(IF(OR(ISNUMBER(SEARCH("week",C334)),ISNUMBER(SEARCH("minggu",C334))),IFERROR(_xlfn.NUMBERVALUE(SUBSTITUTE(LEFT(TRIM(C334),FIND(" ",TRIM(C334)&amp;" ")-1),",","."),"."),LEFT(SUBSTITUTE(LEFT(TRIM(C334),FIND(" ",TRIM(C334)&amp;" ")-1),",","."),FIND("/",SUBSTITUTE(LEFT(TRIM(C334),FIND(" ",TRIM(C334)&amp;" ")-1),",","."))-1)/MID(SUBSTITUTE(LEFT(TRIM(C334),FIND(" ",TRIM(C334)&amp;" ")-1),",","."),FIND("/",SUBSTITUTE(LEFT(TRIM(C334),FIND(" ",TRIM(C334)&amp;" ")-1),",","."))+1,9))*12/52,IF(ISNUMBER(SEARCH("month",C334)),IFERROR(_xlfn.NUMBERVALUE(SUBSTITUTE(LEFT(TRIM(C334),FIND(" ",TRIM(C334)&amp;" ")-1),",","."),"."),LEFT(SUBSTITUTE(LEFT(TRIM(C334),FIND(" ",TRIM(C334)&amp;" ")-1),",","."),FIND("/",SUBSTITUTE(LEFT(TRIM(C334),FIND(" ",TRIM(C334)&amp;" ")-1),",","."))-1)/MID(SUBSTITUTE(LEFT(TRIM(C334),FIND(" ",TRIM(C334)&amp;" ")-1),",","."),FIND("/",SUBSTITUTE(LEFT(TRIM(C334),FIND(" ",TRIM(C334)&amp;" ")-1),",","."))+1,9)),IF(ISNUMBER(SEARCH("yea",C334)),IFERROR(_xlfn.NUMBERVALUE(SUBSTITUTE(LEFT(TRIM(C334),FIND(" ",TRIM(C334)&amp;" ")-1),",","."),"."),LEFT(SUBSTITUTE(LEFT(TRIM(C334),FIND(" ",TRIM(C334)&amp;" ")-1),",","."),FIND("/",SUBSTITUTE(LEFT(TRIM(C334),FIND(" ",TRIM(C334)&amp;" ")-1),",","."))-1)/MID(SUBSTITUTE(LEFT(TRIM(C334),FIND(" ",TRIM(C334)&amp;" ")-1),",","."),FIND("/",SUBSTITUTE(LEFT(TRIM(C334),FIND(" ",TRIM(C334)&amp;" ")-1),",","."))+1,9))*12,NA()))),0),54)*'Aturan &amp; Tarif'!$B$4,2)</f>
        <v>3066.12</v>
      </c>
      <c r="K334" s="32" t="n">
        <f aca="false">'Aturan &amp; Tarif'!$B$5</f>
        <v>2050</v>
      </c>
      <c r="L334" s="32" t="n">
        <f aca="false">'Aturan &amp; Tarif'!$B$6</f>
        <v>350</v>
      </c>
      <c r="M334" s="35" t="n">
        <f aca="false">I334+J334+K334+L334</f>
        <v>7216.12</v>
      </c>
      <c r="N334" s="37" t="s">
        <v>1991</v>
      </c>
    </row>
    <row r="335" customFormat="false" ht="14.25" hidden="false" customHeight="true" outlineLevel="0" collapsed="false">
      <c r="A335" s="29"/>
      <c r="B335" s="30" t="s">
        <v>1596</v>
      </c>
      <c r="C335" s="31" t="s">
        <v>138</v>
      </c>
      <c r="D335" s="31" t="s">
        <v>108</v>
      </c>
      <c r="E335" s="32" t="n">
        <v>1500</v>
      </c>
      <c r="F335" s="32" t="n">
        <v>50</v>
      </c>
      <c r="G335" s="32" t="n">
        <v>200</v>
      </c>
      <c r="H335" s="33" t="n">
        <v>1</v>
      </c>
      <c r="I335" s="34" t="n">
        <f aca="false">E335*H335+N(F335)+N(G335)</f>
        <v>1750</v>
      </c>
      <c r="J335" s="32" t="n">
        <f aca="false">ROUND(IFERROR(ROUND(IF(OR(ISNUMBER(SEARCH("week",C335)),ISNUMBER(SEARCH("minggu",C335))),IFERROR(_xlfn.NUMBERVALUE(SUBSTITUTE(LEFT(TRIM(C335),FIND(" ",TRIM(C335)&amp;" ")-1),",","."),"."),LEFT(SUBSTITUTE(LEFT(TRIM(C335),FIND(" ",TRIM(C335)&amp;" ")-1),",","."),FIND("/",SUBSTITUTE(LEFT(TRIM(C335),FIND(" ",TRIM(C335)&amp;" ")-1),",","."))-1)/MID(SUBSTITUTE(LEFT(TRIM(C335),FIND(" ",TRIM(C335)&amp;" ")-1),",","."),FIND("/",SUBSTITUTE(LEFT(TRIM(C335),FIND(" ",TRIM(C335)&amp;" ")-1),",","."))+1,9))*12/52,IF(ISNUMBER(SEARCH("month",C335)),IFERROR(_xlfn.NUMBERVALUE(SUBSTITUTE(LEFT(TRIM(C335),FIND(" ",TRIM(C335)&amp;" ")-1),",","."),"."),LEFT(SUBSTITUTE(LEFT(TRIM(C335),FIND(" ",TRIM(C335)&amp;" ")-1),",","."),FIND("/",SUBSTITUTE(LEFT(TRIM(C335),FIND(" ",TRIM(C335)&amp;" ")-1),",","."))-1)/MID(SUBSTITUTE(LEFT(TRIM(C335),FIND(" ",TRIM(C335)&amp;" ")-1),",","."),FIND("/",SUBSTITUTE(LEFT(TRIM(C335),FIND(" ",TRIM(C335)&amp;" ")-1),",","."))+1,9)),IF(ISNUMBER(SEARCH("yea",C335)),IFERROR(_xlfn.NUMBERVALUE(SUBSTITUTE(LEFT(TRIM(C335),FIND(" ",TRIM(C335)&amp;" ")-1),",","."),"."),LEFT(SUBSTITUTE(LEFT(TRIM(C335),FIND(" ",TRIM(C335)&amp;" ")-1),",","."),FIND("/",SUBSTITUTE(LEFT(TRIM(C335),FIND(" ",TRIM(C335)&amp;" ")-1),",","."))-1)/MID(SUBSTITUTE(LEFT(TRIM(C335),FIND(" ",TRIM(C335)&amp;" ")-1),",","."),FIND("/",SUBSTITUTE(LEFT(TRIM(C335),FIND(" ",TRIM(C335)&amp;" ")-1),",","."))+1,9))*12,NA()))),0),30)*'Aturan &amp; Tarif'!$B$4,2)</f>
        <v>1703.4</v>
      </c>
      <c r="K335" s="32" t="n">
        <f aca="false">'Aturan &amp; Tarif'!$B$5</f>
        <v>2050</v>
      </c>
      <c r="L335" s="32" t="n">
        <f aca="false">'Aturan &amp; Tarif'!$B$6</f>
        <v>350</v>
      </c>
      <c r="M335" s="35" t="n">
        <f aca="false">I335+J335+K335+L335</f>
        <v>5853.4</v>
      </c>
      <c r="N335" s="37" t="s">
        <v>1991</v>
      </c>
    </row>
    <row r="336" customFormat="false" ht="25.5" hidden="false" customHeight="true" outlineLevel="0" collapsed="false">
      <c r="A336" s="29"/>
      <c r="B336" s="30" t="s">
        <v>1814</v>
      </c>
      <c r="C336" s="31" t="s">
        <v>136</v>
      </c>
      <c r="D336" s="31" t="s">
        <v>108</v>
      </c>
      <c r="E336" s="32" t="n">
        <v>1500</v>
      </c>
      <c r="F336" s="32" t="n">
        <v>50</v>
      </c>
      <c r="G336" s="32" t="n">
        <v>200</v>
      </c>
      <c r="H336" s="33" t="n">
        <v>1</v>
      </c>
      <c r="I336" s="34" t="n">
        <f aca="false">E336*H336+N(F336)+N(G336)</f>
        <v>1750</v>
      </c>
      <c r="J336" s="32" t="n">
        <f aca="false">ROUND(IFERROR(ROUND(IF(OR(ISNUMBER(SEARCH("week",C336)),ISNUMBER(SEARCH("minggu",C336))),IFERROR(_xlfn.NUMBERVALUE(SUBSTITUTE(LEFT(TRIM(C336),FIND(" ",TRIM(C336)&amp;" ")-1),",","."),"."),LEFT(SUBSTITUTE(LEFT(TRIM(C336),FIND(" ",TRIM(C336)&amp;" ")-1),",","."),FIND("/",SUBSTITUTE(LEFT(TRIM(C336),FIND(" ",TRIM(C336)&amp;" ")-1),",","."))-1)/MID(SUBSTITUTE(LEFT(TRIM(C336),FIND(" ",TRIM(C336)&amp;" ")-1),",","."),FIND("/",SUBSTITUTE(LEFT(TRIM(C336),FIND(" ",TRIM(C336)&amp;" ")-1),",","."))+1,9))*12/52,IF(ISNUMBER(SEARCH("month",C336)),IFERROR(_xlfn.NUMBERVALUE(SUBSTITUTE(LEFT(TRIM(C336),FIND(" ",TRIM(C336)&amp;" ")-1),",","."),"."),LEFT(SUBSTITUTE(LEFT(TRIM(C336),FIND(" ",TRIM(C336)&amp;" ")-1),",","."),FIND("/",SUBSTITUTE(LEFT(TRIM(C336),FIND(" ",TRIM(C336)&amp;" ")-1),",","."))-1)/MID(SUBSTITUTE(LEFT(TRIM(C336),FIND(" ",TRIM(C336)&amp;" ")-1),",","."),FIND("/",SUBSTITUTE(LEFT(TRIM(C336),FIND(" ",TRIM(C336)&amp;" ")-1),",","."))+1,9)),IF(ISNUMBER(SEARCH("yea",C336)),IFERROR(_xlfn.NUMBERVALUE(SUBSTITUTE(LEFT(TRIM(C336),FIND(" ",TRIM(C336)&amp;" ")-1),",","."),"."),LEFT(SUBSTITUTE(LEFT(TRIM(C336),FIND(" ",TRIM(C336)&amp;" ")-1),",","."),FIND("/",SUBSTITUTE(LEFT(TRIM(C336),FIND(" ",TRIM(C336)&amp;" ")-1),",","."))-1)/MID(SUBSTITUTE(LEFT(TRIM(C336),FIND(" ",TRIM(C336)&amp;" ")-1),",","."),FIND("/",SUBSTITUTE(LEFT(TRIM(C336),FIND(" ",TRIM(C336)&amp;" ")-1),",","."))+1,9))*12,NA()))),0),42)*'Aturan &amp; Tarif'!$B$4,2)</f>
        <v>2384.76</v>
      </c>
      <c r="K336" s="32" t="n">
        <f aca="false">'Aturan &amp; Tarif'!$B$5</f>
        <v>2050</v>
      </c>
      <c r="L336" s="32" t="n">
        <f aca="false">'Aturan &amp; Tarif'!$B$6</f>
        <v>350</v>
      </c>
      <c r="M336" s="35" t="n">
        <f aca="false">I336+J336+K336+L336</f>
        <v>6534.76</v>
      </c>
      <c r="N336" s="37" t="s">
        <v>1991</v>
      </c>
    </row>
    <row r="337" customFormat="false" ht="25.5" hidden="false" customHeight="true" outlineLevel="0" collapsed="false">
      <c r="A337" s="29"/>
      <c r="B337" s="30" t="s">
        <v>1992</v>
      </c>
      <c r="C337" s="31" t="s">
        <v>138</v>
      </c>
      <c r="D337" s="31" t="s">
        <v>108</v>
      </c>
      <c r="E337" s="32" t="n">
        <v>1500</v>
      </c>
      <c r="F337" s="32" t="n">
        <v>50</v>
      </c>
      <c r="G337" s="32" t="n">
        <v>200</v>
      </c>
      <c r="H337" s="33" t="n">
        <v>1</v>
      </c>
      <c r="I337" s="34" t="n">
        <f aca="false">E337*H337+N(F337)+N(G337)</f>
        <v>1750</v>
      </c>
      <c r="J337" s="32" t="n">
        <f aca="false">ROUND(IFERROR(ROUND(IF(OR(ISNUMBER(SEARCH("week",C337)),ISNUMBER(SEARCH("minggu",C337))),IFERROR(_xlfn.NUMBERVALUE(SUBSTITUTE(LEFT(TRIM(C337),FIND(" ",TRIM(C337)&amp;" ")-1),",","."),"."),LEFT(SUBSTITUTE(LEFT(TRIM(C337),FIND(" ",TRIM(C337)&amp;" ")-1),",","."),FIND("/",SUBSTITUTE(LEFT(TRIM(C337),FIND(" ",TRIM(C337)&amp;" ")-1),",","."))-1)/MID(SUBSTITUTE(LEFT(TRIM(C337),FIND(" ",TRIM(C337)&amp;" ")-1),",","."),FIND("/",SUBSTITUTE(LEFT(TRIM(C337),FIND(" ",TRIM(C337)&amp;" ")-1),",","."))+1,9))*12/52,IF(ISNUMBER(SEARCH("month",C337)),IFERROR(_xlfn.NUMBERVALUE(SUBSTITUTE(LEFT(TRIM(C337),FIND(" ",TRIM(C337)&amp;" ")-1),",","."),"."),LEFT(SUBSTITUTE(LEFT(TRIM(C337),FIND(" ",TRIM(C337)&amp;" ")-1),",","."),FIND("/",SUBSTITUTE(LEFT(TRIM(C337),FIND(" ",TRIM(C337)&amp;" ")-1),",","."))-1)/MID(SUBSTITUTE(LEFT(TRIM(C337),FIND(" ",TRIM(C337)&amp;" ")-1),",","."),FIND("/",SUBSTITUTE(LEFT(TRIM(C337),FIND(" ",TRIM(C337)&amp;" ")-1),",","."))+1,9)),IF(ISNUMBER(SEARCH("yea",C337)),IFERROR(_xlfn.NUMBERVALUE(SUBSTITUTE(LEFT(TRIM(C337),FIND(" ",TRIM(C337)&amp;" ")-1),",","."),"."),LEFT(SUBSTITUTE(LEFT(TRIM(C337),FIND(" ",TRIM(C337)&amp;" ")-1),",","."),FIND("/",SUBSTITUTE(LEFT(TRIM(C337),FIND(" ",TRIM(C337)&amp;" ")-1),",","."))-1)/MID(SUBSTITUTE(LEFT(TRIM(C337),FIND(" ",TRIM(C337)&amp;" ")-1),",","."),FIND("/",SUBSTITUTE(LEFT(TRIM(C337),FIND(" ",TRIM(C337)&amp;" ")-1),",","."))+1,9))*12,NA()))),0),30)*'Aturan &amp; Tarif'!$B$4,2)</f>
        <v>1703.4</v>
      </c>
      <c r="K337" s="32" t="n">
        <f aca="false">'Aturan &amp; Tarif'!$B$5</f>
        <v>2050</v>
      </c>
      <c r="L337" s="32" t="n">
        <f aca="false">'Aturan &amp; Tarif'!$B$6</f>
        <v>350</v>
      </c>
      <c r="M337" s="35" t="n">
        <f aca="false">I337+J337+K337+L337</f>
        <v>5853.4</v>
      </c>
      <c r="N337" s="37" t="s">
        <v>1991</v>
      </c>
    </row>
    <row r="338" customFormat="false" ht="25.5" hidden="false" customHeight="true" outlineLevel="0" collapsed="false">
      <c r="A338" s="29"/>
      <c r="B338" s="30" t="s">
        <v>1993</v>
      </c>
      <c r="C338" s="31" t="s">
        <v>495</v>
      </c>
      <c r="D338" s="31" t="s">
        <v>108</v>
      </c>
      <c r="E338" s="32" t="n">
        <v>1500</v>
      </c>
      <c r="F338" s="32" t="n">
        <v>50</v>
      </c>
      <c r="G338" s="32" t="n">
        <v>200</v>
      </c>
      <c r="H338" s="33" t="n">
        <v>1</v>
      </c>
      <c r="I338" s="34" t="n">
        <f aca="false">E338*H338+N(F338)+N(G338)</f>
        <v>1750</v>
      </c>
      <c r="J338" s="32" t="n">
        <f aca="false">ROUND(IFERROR(ROUND(IF(OR(ISNUMBER(SEARCH("week",C338)),ISNUMBER(SEARCH("minggu",C338))),IFERROR(_xlfn.NUMBERVALUE(SUBSTITUTE(LEFT(TRIM(C338),FIND(" ",TRIM(C338)&amp;" ")-1),",","."),"."),LEFT(SUBSTITUTE(LEFT(TRIM(C338),FIND(" ",TRIM(C338)&amp;" ")-1),",","."),FIND("/",SUBSTITUTE(LEFT(TRIM(C338),FIND(" ",TRIM(C338)&amp;" ")-1),",","."))-1)/MID(SUBSTITUTE(LEFT(TRIM(C338),FIND(" ",TRIM(C338)&amp;" ")-1),",","."),FIND("/",SUBSTITUTE(LEFT(TRIM(C338),FIND(" ",TRIM(C338)&amp;" ")-1),",","."))+1,9))*12/52,IF(ISNUMBER(SEARCH("month",C338)),IFERROR(_xlfn.NUMBERVALUE(SUBSTITUTE(LEFT(TRIM(C338),FIND(" ",TRIM(C338)&amp;" ")-1),",","."),"."),LEFT(SUBSTITUTE(LEFT(TRIM(C338),FIND(" ",TRIM(C338)&amp;" ")-1),",","."),FIND("/",SUBSTITUTE(LEFT(TRIM(C338),FIND(" ",TRIM(C338)&amp;" ")-1),",","."))-1)/MID(SUBSTITUTE(LEFT(TRIM(C338),FIND(" ",TRIM(C338)&amp;" ")-1),",","."),FIND("/",SUBSTITUTE(LEFT(TRIM(C338),FIND(" ",TRIM(C338)&amp;" ")-1),",","."))+1,9)),IF(ISNUMBER(SEARCH("yea",C338)),IFERROR(_xlfn.NUMBERVALUE(SUBSTITUTE(LEFT(TRIM(C338),FIND(" ",TRIM(C338)&amp;" ")-1),",","."),"."),LEFT(SUBSTITUTE(LEFT(TRIM(C338),FIND(" ",TRIM(C338)&amp;" ")-1),",","."),FIND("/",SUBSTITUTE(LEFT(TRIM(C338),FIND(" ",TRIM(C338)&amp;" ")-1),",","."))-1)/MID(SUBSTITUTE(LEFT(TRIM(C338),FIND(" ",TRIM(C338)&amp;" ")-1),",","."),FIND("/",SUBSTITUTE(LEFT(TRIM(C338),FIND(" ",TRIM(C338)&amp;" ")-1),",","."))+1,9))*12,NA()))),0),54)*'Aturan &amp; Tarif'!$B$4,2)</f>
        <v>3066.12</v>
      </c>
      <c r="K338" s="32" t="n">
        <f aca="false">'Aturan &amp; Tarif'!$B$5</f>
        <v>2050</v>
      </c>
      <c r="L338" s="32" t="n">
        <f aca="false">'Aturan &amp; Tarif'!$B$6</f>
        <v>350</v>
      </c>
      <c r="M338" s="35" t="n">
        <f aca="false">I338+J338+K338+L338</f>
        <v>7216.12</v>
      </c>
      <c r="N338" s="37" t="s">
        <v>1991</v>
      </c>
    </row>
    <row r="339" customFormat="false" ht="25.5" hidden="false" customHeight="true" outlineLevel="0" collapsed="false">
      <c r="A339" s="29"/>
      <c r="B339" s="30" t="s">
        <v>1994</v>
      </c>
      <c r="C339" s="31" t="s">
        <v>127</v>
      </c>
      <c r="D339" s="31" t="s">
        <v>108</v>
      </c>
      <c r="E339" s="32" t="n">
        <v>1500</v>
      </c>
      <c r="F339" s="32" t="n">
        <v>50</v>
      </c>
      <c r="G339" s="32" t="n">
        <v>200</v>
      </c>
      <c r="H339" s="33" t="n">
        <v>1</v>
      </c>
      <c r="I339" s="34" t="n">
        <f aca="false">E339*H339+N(F339)+N(G339)</f>
        <v>1750</v>
      </c>
      <c r="J339" s="32" t="n">
        <f aca="false">ROUND(IFERROR(ROUND(IF(OR(ISNUMBER(SEARCH("week",C339)),ISNUMBER(SEARCH("minggu",C339))),IFERROR(_xlfn.NUMBERVALUE(SUBSTITUTE(LEFT(TRIM(C339),FIND(" ",TRIM(C339)&amp;" ")-1),",","."),"."),LEFT(SUBSTITUTE(LEFT(TRIM(C339),FIND(" ",TRIM(C339)&amp;" ")-1),",","."),FIND("/",SUBSTITUTE(LEFT(TRIM(C339),FIND(" ",TRIM(C339)&amp;" ")-1),",","."))-1)/MID(SUBSTITUTE(LEFT(TRIM(C339),FIND(" ",TRIM(C339)&amp;" ")-1),",","."),FIND("/",SUBSTITUTE(LEFT(TRIM(C339),FIND(" ",TRIM(C339)&amp;" ")-1),",","."))+1,9))*12/52,IF(ISNUMBER(SEARCH("month",C339)),IFERROR(_xlfn.NUMBERVALUE(SUBSTITUTE(LEFT(TRIM(C339),FIND(" ",TRIM(C339)&amp;" ")-1),",","."),"."),LEFT(SUBSTITUTE(LEFT(TRIM(C339),FIND(" ",TRIM(C339)&amp;" ")-1),",","."),FIND("/",SUBSTITUTE(LEFT(TRIM(C339),FIND(" ",TRIM(C339)&amp;" ")-1),",","."))-1)/MID(SUBSTITUTE(LEFT(TRIM(C339),FIND(" ",TRIM(C339)&amp;" ")-1),",","."),FIND("/",SUBSTITUTE(LEFT(TRIM(C339),FIND(" ",TRIM(C339)&amp;" ")-1),",","."))+1,9)),IF(ISNUMBER(SEARCH("yea",C339)),IFERROR(_xlfn.NUMBERVALUE(SUBSTITUTE(LEFT(TRIM(C339),FIND(" ",TRIM(C339)&amp;" ")-1),",","."),"."),LEFT(SUBSTITUTE(LEFT(TRIM(C339),FIND(" ",TRIM(C339)&amp;" ")-1),",","."),FIND("/",SUBSTITUTE(LEFT(TRIM(C339),FIND(" ",TRIM(C339)&amp;" ")-1),",","."))-1)/MID(SUBSTITUTE(LEFT(TRIM(C339),FIND(" ",TRIM(C339)&amp;" ")-1),",","."),FIND("/",SUBSTITUTE(LEFT(TRIM(C339),FIND(" ",TRIM(C339)&amp;" ")-1),",","."))+1,9))*12,NA()))),0),36)*'Aturan &amp; Tarif'!$B$4,2)</f>
        <v>2044.08</v>
      </c>
      <c r="K339" s="32" t="n">
        <f aca="false">'Aturan &amp; Tarif'!$B$5</f>
        <v>2050</v>
      </c>
      <c r="L339" s="32" t="n">
        <f aca="false">'Aturan &amp; Tarif'!$B$6</f>
        <v>350</v>
      </c>
      <c r="M339" s="35" t="n">
        <f aca="false">I339+J339+K339+L339</f>
        <v>6194.08</v>
      </c>
      <c r="N339" s="37" t="s">
        <v>1991</v>
      </c>
    </row>
    <row r="340" customFormat="false" ht="25.5" hidden="false" customHeight="true" outlineLevel="0" collapsed="false">
      <c r="A340" s="29"/>
      <c r="B340" s="30" t="s">
        <v>1995</v>
      </c>
      <c r="C340" s="31" t="s">
        <v>191</v>
      </c>
      <c r="D340" s="31" t="s">
        <v>108</v>
      </c>
      <c r="E340" s="32" t="n">
        <v>1500</v>
      </c>
      <c r="F340" s="32" t="n">
        <v>50</v>
      </c>
      <c r="G340" s="32" t="n">
        <v>200</v>
      </c>
      <c r="H340" s="33" t="n">
        <v>1</v>
      </c>
      <c r="I340" s="34" t="n">
        <f aca="false">E340*H340+N(F340)+N(G340)</f>
        <v>1750</v>
      </c>
      <c r="J340" s="32" t="n">
        <f aca="false">ROUND(IFERROR(ROUND(IF(OR(ISNUMBER(SEARCH("week",C340)),ISNUMBER(SEARCH("minggu",C340))),IFERROR(_xlfn.NUMBERVALUE(SUBSTITUTE(LEFT(TRIM(C340),FIND(" ",TRIM(C340)&amp;" ")-1),",","."),"."),LEFT(SUBSTITUTE(LEFT(TRIM(C340),FIND(" ",TRIM(C340)&amp;" ")-1),",","."),FIND("/",SUBSTITUTE(LEFT(TRIM(C340),FIND(" ",TRIM(C340)&amp;" ")-1),",","."))-1)/MID(SUBSTITUTE(LEFT(TRIM(C340),FIND(" ",TRIM(C340)&amp;" ")-1),",","."),FIND("/",SUBSTITUTE(LEFT(TRIM(C340),FIND(" ",TRIM(C340)&amp;" ")-1),",","."))+1,9))*12/52,IF(ISNUMBER(SEARCH("month",C340)),IFERROR(_xlfn.NUMBERVALUE(SUBSTITUTE(LEFT(TRIM(C340),FIND(" ",TRIM(C340)&amp;" ")-1),",","."),"."),LEFT(SUBSTITUTE(LEFT(TRIM(C340),FIND(" ",TRIM(C340)&amp;" ")-1),",","."),FIND("/",SUBSTITUTE(LEFT(TRIM(C340),FIND(" ",TRIM(C340)&amp;" ")-1),",","."))-1)/MID(SUBSTITUTE(LEFT(TRIM(C340),FIND(" ",TRIM(C340)&amp;" ")-1),",","."),FIND("/",SUBSTITUTE(LEFT(TRIM(C340),FIND(" ",TRIM(C340)&amp;" ")-1),",","."))+1,9)),IF(ISNUMBER(SEARCH("yea",C340)),IFERROR(_xlfn.NUMBERVALUE(SUBSTITUTE(LEFT(TRIM(C340),FIND(" ",TRIM(C340)&amp;" ")-1),",","."),"."),LEFT(SUBSTITUTE(LEFT(TRIM(C340),FIND(" ",TRIM(C340)&amp;" ")-1),",","."),FIND("/",SUBSTITUTE(LEFT(TRIM(C340),FIND(" ",TRIM(C340)&amp;" ")-1),",","."))-1)/MID(SUBSTITUTE(LEFT(TRIM(C340),FIND(" ",TRIM(C340)&amp;" ")-1),",","."),FIND("/",SUBSTITUTE(LEFT(TRIM(C340),FIND(" ",TRIM(C340)&amp;" ")-1),",","."))+1,9))*12,NA()))),0),48)*'Aturan &amp; Tarif'!$B$4,2)</f>
        <v>2725.44</v>
      </c>
      <c r="K340" s="32" t="n">
        <f aca="false">'Aturan &amp; Tarif'!$B$5</f>
        <v>2050</v>
      </c>
      <c r="L340" s="32" t="n">
        <f aca="false">'Aturan &amp; Tarif'!$B$6</f>
        <v>350</v>
      </c>
      <c r="M340" s="35" t="n">
        <f aca="false">I340+J340+K340+L340</f>
        <v>6875.44</v>
      </c>
      <c r="N340" s="37" t="s">
        <v>1991</v>
      </c>
    </row>
    <row r="341" customFormat="false" ht="25.5" hidden="false" customHeight="true" outlineLevel="0" collapsed="false">
      <c r="A341" s="29"/>
      <c r="B341" s="30" t="s">
        <v>1996</v>
      </c>
      <c r="C341" s="31" t="s">
        <v>130</v>
      </c>
      <c r="D341" s="31" t="s">
        <v>108</v>
      </c>
      <c r="E341" s="32" t="n">
        <v>2000</v>
      </c>
      <c r="F341" s="32" t="n">
        <v>200</v>
      </c>
      <c r="G341" s="32" t="n">
        <v>200</v>
      </c>
      <c r="H341" s="33" t="n">
        <v>1</v>
      </c>
      <c r="I341" s="34" t="n">
        <f aca="false">E341*H341+N(F341)+N(G341)</f>
        <v>2400</v>
      </c>
      <c r="J341" s="32" t="n">
        <f aca="false">ROUND(IFERROR(ROUND(IF(OR(ISNUMBER(SEARCH("week",C341)),ISNUMBER(SEARCH("minggu",C341))),IFERROR(_xlfn.NUMBERVALUE(SUBSTITUTE(LEFT(TRIM(C341),FIND(" ",TRIM(C341)&amp;" ")-1),",","."),"."),LEFT(SUBSTITUTE(LEFT(TRIM(C341),FIND(" ",TRIM(C341)&amp;" ")-1),",","."),FIND("/",SUBSTITUTE(LEFT(TRIM(C341),FIND(" ",TRIM(C341)&amp;" ")-1),",","."))-1)/MID(SUBSTITUTE(LEFT(TRIM(C341),FIND(" ",TRIM(C341)&amp;" ")-1),",","."),FIND("/",SUBSTITUTE(LEFT(TRIM(C341),FIND(" ",TRIM(C341)&amp;" ")-1),",","."))+1,9))*12/52,IF(ISNUMBER(SEARCH("month",C341)),IFERROR(_xlfn.NUMBERVALUE(SUBSTITUTE(LEFT(TRIM(C341),FIND(" ",TRIM(C341)&amp;" ")-1),",","."),"."),LEFT(SUBSTITUTE(LEFT(TRIM(C341),FIND(" ",TRIM(C341)&amp;" ")-1),",","."),FIND("/",SUBSTITUTE(LEFT(TRIM(C341),FIND(" ",TRIM(C341)&amp;" ")-1),",","."))-1)/MID(SUBSTITUTE(LEFT(TRIM(C341),FIND(" ",TRIM(C341)&amp;" ")-1),",","."),FIND("/",SUBSTITUTE(LEFT(TRIM(C341),FIND(" ",TRIM(C341)&amp;" ")-1),",","."))+1,9)),IF(ISNUMBER(SEARCH("yea",C341)),IFERROR(_xlfn.NUMBERVALUE(SUBSTITUTE(LEFT(TRIM(C341),FIND(" ",TRIM(C341)&amp;" ")-1),",","."),"."),LEFT(SUBSTITUTE(LEFT(TRIM(C341),FIND(" ",TRIM(C341)&amp;" ")-1),",","."),FIND("/",SUBSTITUTE(LEFT(TRIM(C341),FIND(" ",TRIM(C341)&amp;" ")-1),",","."))-1)/MID(SUBSTITUTE(LEFT(TRIM(C341),FIND(" ",TRIM(C341)&amp;" ")-1),",","."),FIND("/",SUBSTITUTE(LEFT(TRIM(C341),FIND(" ",TRIM(C341)&amp;" ")-1),",","."))+1,9))*12,NA()))),0),12)*'Aturan &amp; Tarif'!$B$4,2)</f>
        <v>681.36</v>
      </c>
      <c r="K341" s="32" t="n">
        <f aca="false">'Aturan &amp; Tarif'!$B$5</f>
        <v>2050</v>
      </c>
      <c r="L341" s="32" t="n">
        <f aca="false">'Aturan &amp; Tarif'!$B$6</f>
        <v>350</v>
      </c>
      <c r="M341" s="35" t="n">
        <f aca="false">I341+J341+K341+L341</f>
        <v>5481.36</v>
      </c>
      <c r="N341" s="37" t="s">
        <v>1991</v>
      </c>
    </row>
    <row r="342" customFormat="false" ht="25.5" hidden="false" customHeight="true" outlineLevel="0" collapsed="false">
      <c r="A342" s="29"/>
      <c r="B342" s="30" t="s">
        <v>1978</v>
      </c>
      <c r="C342" s="31" t="s">
        <v>107</v>
      </c>
      <c r="D342" s="31" t="s">
        <v>108</v>
      </c>
      <c r="E342" s="32" t="n">
        <v>2000</v>
      </c>
      <c r="F342" s="32" t="n">
        <v>200</v>
      </c>
      <c r="G342" s="32" t="n">
        <v>200</v>
      </c>
      <c r="H342" s="33" t="n">
        <v>1</v>
      </c>
      <c r="I342" s="34" t="n">
        <f aca="false">E342*H342+N(F342)+N(G342)</f>
        <v>2400</v>
      </c>
      <c r="J342" s="32" t="n">
        <f aca="false">ROUND(IFERROR(ROUND(IF(OR(ISNUMBER(SEARCH("week",C342)),ISNUMBER(SEARCH("minggu",C342))),IFERROR(_xlfn.NUMBERVALUE(SUBSTITUTE(LEFT(TRIM(C342),FIND(" ",TRIM(C342)&amp;" ")-1),",","."),"."),LEFT(SUBSTITUTE(LEFT(TRIM(C342),FIND(" ",TRIM(C342)&amp;" ")-1),",","."),FIND("/",SUBSTITUTE(LEFT(TRIM(C342),FIND(" ",TRIM(C342)&amp;" ")-1),",","."))-1)/MID(SUBSTITUTE(LEFT(TRIM(C342),FIND(" ",TRIM(C342)&amp;" ")-1),",","."),FIND("/",SUBSTITUTE(LEFT(TRIM(C342),FIND(" ",TRIM(C342)&amp;" ")-1),",","."))+1,9))*12/52,IF(ISNUMBER(SEARCH("month",C342)),IFERROR(_xlfn.NUMBERVALUE(SUBSTITUTE(LEFT(TRIM(C342),FIND(" ",TRIM(C342)&amp;" ")-1),",","."),"."),LEFT(SUBSTITUTE(LEFT(TRIM(C342),FIND(" ",TRIM(C342)&amp;" ")-1),",","."),FIND("/",SUBSTITUTE(LEFT(TRIM(C342),FIND(" ",TRIM(C342)&amp;" ")-1),",","."))-1)/MID(SUBSTITUTE(LEFT(TRIM(C342),FIND(" ",TRIM(C342)&amp;" ")-1),",","."),FIND("/",SUBSTITUTE(LEFT(TRIM(C342),FIND(" ",TRIM(C342)&amp;" ")-1),",","."))+1,9)),IF(ISNUMBER(SEARCH("yea",C342)),IFERROR(_xlfn.NUMBERVALUE(SUBSTITUTE(LEFT(TRIM(C342),FIND(" ",TRIM(C342)&amp;" ")-1),",","."),"."),LEFT(SUBSTITUTE(LEFT(TRIM(C342),FIND(" ",TRIM(C342)&amp;" ")-1),",","."),FIND("/",SUBSTITUTE(LEFT(TRIM(C342),FIND(" ",TRIM(C342)&amp;" ")-1),",","."))-1)/MID(SUBSTITUTE(LEFT(TRIM(C342),FIND(" ",TRIM(C342)&amp;" ")-1),",","."),FIND("/",SUBSTITUTE(LEFT(TRIM(C342),FIND(" ",TRIM(C342)&amp;" ")-1),",","."))+1,9))*12,NA()))),0),24)*'Aturan &amp; Tarif'!$B$4,2)</f>
        <v>1362.72</v>
      </c>
      <c r="K342" s="32" t="n">
        <f aca="false">'Aturan &amp; Tarif'!$B$5</f>
        <v>2050</v>
      </c>
      <c r="L342" s="32" t="n">
        <f aca="false">'Aturan &amp; Tarif'!$B$6</f>
        <v>350</v>
      </c>
      <c r="M342" s="35" t="n">
        <f aca="false">I342+J342+K342+L342</f>
        <v>6162.72</v>
      </c>
      <c r="N342" s="37" t="s">
        <v>1991</v>
      </c>
    </row>
    <row r="343" customFormat="false" ht="25.5" hidden="false" customHeight="true" outlineLevel="0" collapsed="false">
      <c r="A343" s="29"/>
      <c r="B343" s="30" t="s">
        <v>1997</v>
      </c>
      <c r="C343" s="31" t="s">
        <v>138</v>
      </c>
      <c r="D343" s="31" t="s">
        <v>108</v>
      </c>
      <c r="E343" s="32" t="n">
        <v>2000</v>
      </c>
      <c r="F343" s="32" t="n">
        <v>200</v>
      </c>
      <c r="G343" s="32" t="n">
        <v>200</v>
      </c>
      <c r="H343" s="33" t="n">
        <v>1</v>
      </c>
      <c r="I343" s="34" t="n">
        <f aca="false">E343*H343+N(F343)+N(G343)</f>
        <v>2400</v>
      </c>
      <c r="J343" s="32" t="n">
        <f aca="false">ROUND(IFERROR(ROUND(IF(OR(ISNUMBER(SEARCH("week",C343)),ISNUMBER(SEARCH("minggu",C343))),IFERROR(_xlfn.NUMBERVALUE(SUBSTITUTE(LEFT(TRIM(C343),FIND(" ",TRIM(C343)&amp;" ")-1),",","."),"."),LEFT(SUBSTITUTE(LEFT(TRIM(C343),FIND(" ",TRIM(C343)&amp;" ")-1),",","."),FIND("/",SUBSTITUTE(LEFT(TRIM(C343),FIND(" ",TRIM(C343)&amp;" ")-1),",","."))-1)/MID(SUBSTITUTE(LEFT(TRIM(C343),FIND(" ",TRIM(C343)&amp;" ")-1),",","."),FIND("/",SUBSTITUTE(LEFT(TRIM(C343),FIND(" ",TRIM(C343)&amp;" ")-1),",","."))+1,9))*12/52,IF(ISNUMBER(SEARCH("month",C343)),IFERROR(_xlfn.NUMBERVALUE(SUBSTITUTE(LEFT(TRIM(C343),FIND(" ",TRIM(C343)&amp;" ")-1),",","."),"."),LEFT(SUBSTITUTE(LEFT(TRIM(C343),FIND(" ",TRIM(C343)&amp;" ")-1),",","."),FIND("/",SUBSTITUTE(LEFT(TRIM(C343),FIND(" ",TRIM(C343)&amp;" ")-1),",","."))-1)/MID(SUBSTITUTE(LEFT(TRIM(C343),FIND(" ",TRIM(C343)&amp;" ")-1),",","."),FIND("/",SUBSTITUTE(LEFT(TRIM(C343),FIND(" ",TRIM(C343)&amp;" ")-1),",","."))+1,9)),IF(ISNUMBER(SEARCH("yea",C343)),IFERROR(_xlfn.NUMBERVALUE(SUBSTITUTE(LEFT(TRIM(C343),FIND(" ",TRIM(C343)&amp;" ")-1),",","."),"."),LEFT(SUBSTITUTE(LEFT(TRIM(C343),FIND(" ",TRIM(C343)&amp;" ")-1),",","."),FIND("/",SUBSTITUTE(LEFT(TRIM(C343),FIND(" ",TRIM(C343)&amp;" ")-1),",","."))-1)/MID(SUBSTITUTE(LEFT(TRIM(C343),FIND(" ",TRIM(C343)&amp;" ")-1),",","."),FIND("/",SUBSTITUTE(LEFT(TRIM(C343),FIND(" ",TRIM(C343)&amp;" ")-1),",","."))+1,9))*12,NA()))),0),30)*'Aturan &amp; Tarif'!$B$4,2)</f>
        <v>1703.4</v>
      </c>
      <c r="K343" s="32" t="n">
        <f aca="false">'Aturan &amp; Tarif'!$B$5</f>
        <v>2050</v>
      </c>
      <c r="L343" s="32" t="n">
        <f aca="false">'Aturan &amp; Tarif'!$B$6</f>
        <v>350</v>
      </c>
      <c r="M343" s="35" t="n">
        <f aca="false">I343+J343+K343+L343</f>
        <v>6503.4</v>
      </c>
      <c r="N343" s="37" t="s">
        <v>1991</v>
      </c>
    </row>
    <row r="344" customFormat="false" ht="37.5" hidden="false" customHeight="true" outlineLevel="0" collapsed="false">
      <c r="A344" s="39" t="s">
        <v>1998</v>
      </c>
      <c r="B344" s="40" t="s">
        <v>504</v>
      </c>
      <c r="C344" s="41" t="s">
        <v>127</v>
      </c>
      <c r="D344" s="41" t="s">
        <v>439</v>
      </c>
      <c r="E344" s="42" t="n">
        <v>8000</v>
      </c>
      <c r="F344" s="42"/>
      <c r="G344" s="42" t="n">
        <f aca="false">250+250</f>
        <v>500</v>
      </c>
      <c r="H344" s="43" t="n">
        <v>1</v>
      </c>
      <c r="I344" s="34" t="n">
        <f aca="false">E344*H344+N(F344)+N(G344)</f>
        <v>8500</v>
      </c>
      <c r="J344" s="42" t="n">
        <f aca="false">ROUND(IFERROR(ROUND(IF(OR(ISNUMBER(SEARCH("week",C344)),ISNUMBER(SEARCH("minggu",C344))),IFERROR(_xlfn.NUMBERVALUE(SUBSTITUTE(LEFT(TRIM(C344),FIND(" ",TRIM(C344)&amp;" ")-1),",","."),"."),LEFT(SUBSTITUTE(LEFT(TRIM(C344),FIND(" ",TRIM(C344)&amp;" ")-1),",","."),FIND("/",SUBSTITUTE(LEFT(TRIM(C344),FIND(" ",TRIM(C344)&amp;" ")-1),",","."))-1)/MID(SUBSTITUTE(LEFT(TRIM(C344),FIND(" ",TRIM(C344)&amp;" ")-1),",","."),FIND("/",SUBSTITUTE(LEFT(TRIM(C344),FIND(" ",TRIM(C344)&amp;" ")-1),",","."))+1,9))*12/52,IF(ISNUMBER(SEARCH("month",C344)),IFERROR(_xlfn.NUMBERVALUE(SUBSTITUTE(LEFT(TRIM(C344),FIND(" ",TRIM(C344)&amp;" ")-1),",","."),"."),LEFT(SUBSTITUTE(LEFT(TRIM(C344),FIND(" ",TRIM(C344)&amp;" ")-1),",","."),FIND("/",SUBSTITUTE(LEFT(TRIM(C344),FIND(" ",TRIM(C344)&amp;" ")-1),",","."))-1)/MID(SUBSTITUTE(LEFT(TRIM(C344),FIND(" ",TRIM(C344)&amp;" ")-1),",","."),FIND("/",SUBSTITUTE(LEFT(TRIM(C344),FIND(" ",TRIM(C344)&amp;" ")-1),",","."))+1,9)),IF(ISNUMBER(SEARCH("yea",C344)),IFERROR(_xlfn.NUMBERVALUE(SUBSTITUTE(LEFT(TRIM(C344),FIND(" ",TRIM(C344)&amp;" ")-1),",","."),"."),LEFT(SUBSTITUTE(LEFT(TRIM(C344),FIND(" ",TRIM(C344)&amp;" ")-1),",","."),FIND("/",SUBSTITUTE(LEFT(TRIM(C344),FIND(" ",TRIM(C344)&amp;" ")-1),",","."))-1)/MID(SUBSTITUTE(LEFT(TRIM(C344),FIND(" ",TRIM(C344)&amp;" ")-1),",","."),FIND("/",SUBSTITUTE(LEFT(TRIM(C344),FIND(" ",TRIM(C344)&amp;" ")-1),",","."))+1,9))*12,NA()))),0),36)*'Aturan &amp; Tarif'!$B$4,2)</f>
        <v>2044.08</v>
      </c>
      <c r="K344" s="42" t="n">
        <f aca="false">'Aturan &amp; Tarif'!$B$5</f>
        <v>2050</v>
      </c>
      <c r="L344" s="42" t="n">
        <f aca="false">'Aturan &amp; Tarif'!$B$6</f>
        <v>350</v>
      </c>
      <c r="M344" s="35" t="n">
        <f aca="false">I344+J344+K344+L344</f>
        <v>12944.08</v>
      </c>
      <c r="N344" s="44" t="s">
        <v>1999</v>
      </c>
    </row>
    <row r="345" customFormat="false" ht="25.5" hidden="false" customHeight="true" outlineLevel="0" collapsed="false">
      <c r="A345" s="39"/>
      <c r="B345" s="40" t="s">
        <v>506</v>
      </c>
      <c r="C345" s="41" t="s">
        <v>127</v>
      </c>
      <c r="D345" s="41" t="s">
        <v>439</v>
      </c>
      <c r="E345" s="42" t="n">
        <v>8000</v>
      </c>
      <c r="F345" s="42"/>
      <c r="G345" s="42" t="n">
        <f aca="false">250+250</f>
        <v>500</v>
      </c>
      <c r="H345" s="43" t="n">
        <v>1</v>
      </c>
      <c r="I345" s="34" t="n">
        <f aca="false">E345*H345+N(F345)+N(G345)</f>
        <v>8500</v>
      </c>
      <c r="J345" s="42" t="n">
        <f aca="false">ROUND(IFERROR(ROUND(IF(OR(ISNUMBER(SEARCH("week",C345)),ISNUMBER(SEARCH("minggu",C345))),IFERROR(_xlfn.NUMBERVALUE(SUBSTITUTE(LEFT(TRIM(C345),FIND(" ",TRIM(C345)&amp;" ")-1),",","."),"."),LEFT(SUBSTITUTE(LEFT(TRIM(C345),FIND(" ",TRIM(C345)&amp;" ")-1),",","."),FIND("/",SUBSTITUTE(LEFT(TRIM(C345),FIND(" ",TRIM(C345)&amp;" ")-1),",","."))-1)/MID(SUBSTITUTE(LEFT(TRIM(C345),FIND(" ",TRIM(C345)&amp;" ")-1),",","."),FIND("/",SUBSTITUTE(LEFT(TRIM(C345),FIND(" ",TRIM(C345)&amp;" ")-1),",","."))+1,9))*12/52,IF(ISNUMBER(SEARCH("month",C345)),IFERROR(_xlfn.NUMBERVALUE(SUBSTITUTE(LEFT(TRIM(C345),FIND(" ",TRIM(C345)&amp;" ")-1),",","."),"."),LEFT(SUBSTITUTE(LEFT(TRIM(C345),FIND(" ",TRIM(C345)&amp;" ")-1),",","."),FIND("/",SUBSTITUTE(LEFT(TRIM(C345),FIND(" ",TRIM(C345)&amp;" ")-1),",","."))-1)/MID(SUBSTITUTE(LEFT(TRIM(C345),FIND(" ",TRIM(C345)&amp;" ")-1),",","."),FIND("/",SUBSTITUTE(LEFT(TRIM(C345),FIND(" ",TRIM(C345)&amp;" ")-1),",","."))+1,9)),IF(ISNUMBER(SEARCH("yea",C345)),IFERROR(_xlfn.NUMBERVALUE(SUBSTITUTE(LEFT(TRIM(C345),FIND(" ",TRIM(C345)&amp;" ")-1),",","."),"."),LEFT(SUBSTITUTE(LEFT(TRIM(C345),FIND(" ",TRIM(C345)&amp;" ")-1),",","."),FIND("/",SUBSTITUTE(LEFT(TRIM(C345),FIND(" ",TRIM(C345)&amp;" ")-1),",","."))-1)/MID(SUBSTITUTE(LEFT(TRIM(C345),FIND(" ",TRIM(C345)&amp;" ")-1),",","."),FIND("/",SUBSTITUTE(LEFT(TRIM(C345),FIND(" ",TRIM(C345)&amp;" ")-1),",","."))+1,9))*12,NA()))),0),36)*'Aturan &amp; Tarif'!$B$4,2)</f>
        <v>2044.08</v>
      </c>
      <c r="K345" s="42" t="n">
        <f aca="false">'Aturan &amp; Tarif'!$B$5</f>
        <v>2050</v>
      </c>
      <c r="L345" s="42" t="n">
        <f aca="false">'Aturan &amp; Tarif'!$B$6</f>
        <v>350</v>
      </c>
      <c r="M345" s="35" t="n">
        <f aca="false">I345+J345+K345+L345</f>
        <v>12944.08</v>
      </c>
      <c r="N345" s="45" t="s">
        <v>2000</v>
      </c>
    </row>
    <row r="346" customFormat="false" ht="25.5" hidden="false" customHeight="true" outlineLevel="0" collapsed="false">
      <c r="A346" s="39"/>
      <c r="B346" s="40" t="s">
        <v>508</v>
      </c>
      <c r="C346" s="41" t="s">
        <v>127</v>
      </c>
      <c r="D346" s="41" t="s">
        <v>439</v>
      </c>
      <c r="E346" s="42" t="n">
        <v>8000</v>
      </c>
      <c r="F346" s="42"/>
      <c r="G346" s="42" t="n">
        <f aca="false">250+250</f>
        <v>500</v>
      </c>
      <c r="H346" s="43" t="n">
        <v>1</v>
      </c>
      <c r="I346" s="34" t="n">
        <f aca="false">E346*H346+N(F346)+N(G346)</f>
        <v>8500</v>
      </c>
      <c r="J346" s="42" t="n">
        <f aca="false">ROUND(IFERROR(ROUND(IF(OR(ISNUMBER(SEARCH("week",C346)),ISNUMBER(SEARCH("minggu",C346))),IFERROR(_xlfn.NUMBERVALUE(SUBSTITUTE(LEFT(TRIM(C346),FIND(" ",TRIM(C346)&amp;" ")-1),",","."),"."),LEFT(SUBSTITUTE(LEFT(TRIM(C346),FIND(" ",TRIM(C346)&amp;" ")-1),",","."),FIND("/",SUBSTITUTE(LEFT(TRIM(C346),FIND(" ",TRIM(C346)&amp;" ")-1),",","."))-1)/MID(SUBSTITUTE(LEFT(TRIM(C346),FIND(" ",TRIM(C346)&amp;" ")-1),",","."),FIND("/",SUBSTITUTE(LEFT(TRIM(C346),FIND(" ",TRIM(C346)&amp;" ")-1),",","."))+1,9))*12/52,IF(ISNUMBER(SEARCH("month",C346)),IFERROR(_xlfn.NUMBERVALUE(SUBSTITUTE(LEFT(TRIM(C346),FIND(" ",TRIM(C346)&amp;" ")-1),",","."),"."),LEFT(SUBSTITUTE(LEFT(TRIM(C346),FIND(" ",TRIM(C346)&amp;" ")-1),",","."),FIND("/",SUBSTITUTE(LEFT(TRIM(C346),FIND(" ",TRIM(C346)&amp;" ")-1),",","."))-1)/MID(SUBSTITUTE(LEFT(TRIM(C346),FIND(" ",TRIM(C346)&amp;" ")-1),",","."),FIND("/",SUBSTITUTE(LEFT(TRIM(C346),FIND(" ",TRIM(C346)&amp;" ")-1),",","."))+1,9)),IF(ISNUMBER(SEARCH("yea",C346)),IFERROR(_xlfn.NUMBERVALUE(SUBSTITUTE(LEFT(TRIM(C346),FIND(" ",TRIM(C346)&amp;" ")-1),",","."),"."),LEFT(SUBSTITUTE(LEFT(TRIM(C346),FIND(" ",TRIM(C346)&amp;" ")-1),",","."),FIND("/",SUBSTITUTE(LEFT(TRIM(C346),FIND(" ",TRIM(C346)&amp;" ")-1),",","."))-1)/MID(SUBSTITUTE(LEFT(TRIM(C346),FIND(" ",TRIM(C346)&amp;" ")-1),",","."),FIND("/",SUBSTITUTE(LEFT(TRIM(C346),FIND(" ",TRIM(C346)&amp;" ")-1),",","."))+1,9))*12,NA()))),0),36)*'Aturan &amp; Tarif'!$B$4,2)</f>
        <v>2044.08</v>
      </c>
      <c r="K346" s="42" t="n">
        <f aca="false">'Aturan &amp; Tarif'!$B$5</f>
        <v>2050</v>
      </c>
      <c r="L346" s="42" t="n">
        <f aca="false">'Aturan &amp; Tarif'!$B$6</f>
        <v>350</v>
      </c>
      <c r="M346" s="35" t="n">
        <f aca="false">I346+J346+K346+L346</f>
        <v>12944.08</v>
      </c>
      <c r="N346" s="45" t="s">
        <v>2000</v>
      </c>
    </row>
    <row r="347" customFormat="false" ht="37.5" hidden="false" customHeight="true" outlineLevel="0" collapsed="false">
      <c r="A347" s="39"/>
      <c r="B347" s="40" t="s">
        <v>509</v>
      </c>
      <c r="C347" s="41" t="s">
        <v>127</v>
      </c>
      <c r="D347" s="41" t="s">
        <v>439</v>
      </c>
      <c r="E347" s="42" t="n">
        <v>8000</v>
      </c>
      <c r="F347" s="42"/>
      <c r="G347" s="42" t="n">
        <f aca="false">250+250</f>
        <v>500</v>
      </c>
      <c r="H347" s="43" t="n">
        <v>1</v>
      </c>
      <c r="I347" s="34" t="n">
        <f aca="false">E347*H347+N(F347)+N(G347)</f>
        <v>8500</v>
      </c>
      <c r="J347" s="42" t="n">
        <f aca="false">ROUND(IFERROR(ROUND(IF(OR(ISNUMBER(SEARCH("week",C347)),ISNUMBER(SEARCH("minggu",C347))),IFERROR(_xlfn.NUMBERVALUE(SUBSTITUTE(LEFT(TRIM(C347),FIND(" ",TRIM(C347)&amp;" ")-1),",","."),"."),LEFT(SUBSTITUTE(LEFT(TRIM(C347),FIND(" ",TRIM(C347)&amp;" ")-1),",","."),FIND("/",SUBSTITUTE(LEFT(TRIM(C347),FIND(" ",TRIM(C347)&amp;" ")-1),",","."))-1)/MID(SUBSTITUTE(LEFT(TRIM(C347),FIND(" ",TRIM(C347)&amp;" ")-1),",","."),FIND("/",SUBSTITUTE(LEFT(TRIM(C347),FIND(" ",TRIM(C347)&amp;" ")-1),",","."))+1,9))*12/52,IF(ISNUMBER(SEARCH("month",C347)),IFERROR(_xlfn.NUMBERVALUE(SUBSTITUTE(LEFT(TRIM(C347),FIND(" ",TRIM(C347)&amp;" ")-1),",","."),"."),LEFT(SUBSTITUTE(LEFT(TRIM(C347),FIND(" ",TRIM(C347)&amp;" ")-1),",","."),FIND("/",SUBSTITUTE(LEFT(TRIM(C347),FIND(" ",TRIM(C347)&amp;" ")-1),",","."))-1)/MID(SUBSTITUTE(LEFT(TRIM(C347),FIND(" ",TRIM(C347)&amp;" ")-1),",","."),FIND("/",SUBSTITUTE(LEFT(TRIM(C347),FIND(" ",TRIM(C347)&amp;" ")-1),",","."))+1,9)),IF(ISNUMBER(SEARCH("yea",C347)),IFERROR(_xlfn.NUMBERVALUE(SUBSTITUTE(LEFT(TRIM(C347),FIND(" ",TRIM(C347)&amp;" ")-1),",","."),"."),LEFT(SUBSTITUTE(LEFT(TRIM(C347),FIND(" ",TRIM(C347)&amp;" ")-1),",","."),FIND("/",SUBSTITUTE(LEFT(TRIM(C347),FIND(" ",TRIM(C347)&amp;" ")-1),",","."))-1)/MID(SUBSTITUTE(LEFT(TRIM(C347),FIND(" ",TRIM(C347)&amp;" ")-1),",","."),FIND("/",SUBSTITUTE(LEFT(TRIM(C347),FIND(" ",TRIM(C347)&amp;" ")-1),",","."))+1,9))*12,NA()))),0),36)*'Aturan &amp; Tarif'!$B$4,2)</f>
        <v>2044.08</v>
      </c>
      <c r="K347" s="42" t="n">
        <f aca="false">'Aturan &amp; Tarif'!$B$5</f>
        <v>2050</v>
      </c>
      <c r="L347" s="42" t="n">
        <f aca="false">'Aturan &amp; Tarif'!$B$6</f>
        <v>350</v>
      </c>
      <c r="M347" s="35" t="n">
        <f aca="false">I347+J347+K347+L347</f>
        <v>12944.08</v>
      </c>
      <c r="N347" s="45" t="s">
        <v>2000</v>
      </c>
    </row>
    <row r="348" customFormat="false" ht="25.5" hidden="false" customHeight="true" outlineLevel="0" collapsed="false">
      <c r="A348" s="39"/>
      <c r="B348" s="40" t="s">
        <v>510</v>
      </c>
      <c r="C348" s="41" t="s">
        <v>127</v>
      </c>
      <c r="D348" s="41" t="s">
        <v>439</v>
      </c>
      <c r="E348" s="42" t="n">
        <v>8000</v>
      </c>
      <c r="F348" s="42"/>
      <c r="G348" s="42" t="n">
        <f aca="false">250+250</f>
        <v>500</v>
      </c>
      <c r="H348" s="43" t="n">
        <v>1</v>
      </c>
      <c r="I348" s="34" t="n">
        <f aca="false">E348*H348+N(F348)+N(G348)</f>
        <v>8500</v>
      </c>
      <c r="J348" s="42" t="n">
        <f aca="false">ROUND(IFERROR(ROUND(IF(OR(ISNUMBER(SEARCH("week",C348)),ISNUMBER(SEARCH("minggu",C348))),IFERROR(_xlfn.NUMBERVALUE(SUBSTITUTE(LEFT(TRIM(C348),FIND(" ",TRIM(C348)&amp;" ")-1),",","."),"."),LEFT(SUBSTITUTE(LEFT(TRIM(C348),FIND(" ",TRIM(C348)&amp;" ")-1),",","."),FIND("/",SUBSTITUTE(LEFT(TRIM(C348),FIND(" ",TRIM(C348)&amp;" ")-1),",","."))-1)/MID(SUBSTITUTE(LEFT(TRIM(C348),FIND(" ",TRIM(C348)&amp;" ")-1),",","."),FIND("/",SUBSTITUTE(LEFT(TRIM(C348),FIND(" ",TRIM(C348)&amp;" ")-1),",","."))+1,9))*12/52,IF(ISNUMBER(SEARCH("month",C348)),IFERROR(_xlfn.NUMBERVALUE(SUBSTITUTE(LEFT(TRIM(C348),FIND(" ",TRIM(C348)&amp;" ")-1),",","."),"."),LEFT(SUBSTITUTE(LEFT(TRIM(C348),FIND(" ",TRIM(C348)&amp;" ")-1),",","."),FIND("/",SUBSTITUTE(LEFT(TRIM(C348),FIND(" ",TRIM(C348)&amp;" ")-1),",","."))-1)/MID(SUBSTITUTE(LEFT(TRIM(C348),FIND(" ",TRIM(C348)&amp;" ")-1),",","."),FIND("/",SUBSTITUTE(LEFT(TRIM(C348),FIND(" ",TRIM(C348)&amp;" ")-1),",","."))+1,9)),IF(ISNUMBER(SEARCH("yea",C348)),IFERROR(_xlfn.NUMBERVALUE(SUBSTITUTE(LEFT(TRIM(C348),FIND(" ",TRIM(C348)&amp;" ")-1),",","."),"."),LEFT(SUBSTITUTE(LEFT(TRIM(C348),FIND(" ",TRIM(C348)&amp;" ")-1),",","."),FIND("/",SUBSTITUTE(LEFT(TRIM(C348),FIND(" ",TRIM(C348)&amp;" ")-1),",","."))-1)/MID(SUBSTITUTE(LEFT(TRIM(C348),FIND(" ",TRIM(C348)&amp;" ")-1),",","."),FIND("/",SUBSTITUTE(LEFT(TRIM(C348),FIND(" ",TRIM(C348)&amp;" ")-1),",","."))+1,9))*12,NA()))),0),36)*'Aturan &amp; Tarif'!$B$4,2)</f>
        <v>2044.08</v>
      </c>
      <c r="K348" s="42" t="n">
        <f aca="false">'Aturan &amp; Tarif'!$B$5</f>
        <v>2050</v>
      </c>
      <c r="L348" s="42" t="n">
        <f aca="false">'Aturan &amp; Tarif'!$B$6</f>
        <v>350</v>
      </c>
      <c r="M348" s="35" t="n">
        <f aca="false">I348+J348+K348+L348</f>
        <v>12944.08</v>
      </c>
      <c r="N348" s="45" t="s">
        <v>2000</v>
      </c>
    </row>
    <row r="349" customFormat="false" ht="48.75" hidden="false" customHeight="true" outlineLevel="0" collapsed="false">
      <c r="A349" s="39" t="s">
        <v>2001</v>
      </c>
      <c r="B349" s="40" t="s">
        <v>2002</v>
      </c>
      <c r="C349" s="41" t="s">
        <v>107</v>
      </c>
      <c r="D349" s="41" t="s">
        <v>108</v>
      </c>
      <c r="E349" s="42" t="n">
        <v>2700</v>
      </c>
      <c r="F349" s="42" t="n">
        <v>1700</v>
      </c>
      <c r="G349" s="42" t="n">
        <v>200</v>
      </c>
      <c r="H349" s="43" t="n">
        <v>1</v>
      </c>
      <c r="I349" s="34" t="n">
        <f aca="false">E349*H349+N(F349)+N(G349)</f>
        <v>4600</v>
      </c>
      <c r="J349" s="42" t="n">
        <f aca="false">ROUND(IFERROR(ROUND(IF(OR(ISNUMBER(SEARCH("week",C349)),ISNUMBER(SEARCH("minggu",C349))),IFERROR(_xlfn.NUMBERVALUE(SUBSTITUTE(LEFT(TRIM(C349),FIND(" ",TRIM(C349)&amp;" ")-1),",","."),"."),LEFT(SUBSTITUTE(LEFT(TRIM(C349),FIND(" ",TRIM(C349)&amp;" ")-1),",","."),FIND("/",SUBSTITUTE(LEFT(TRIM(C349),FIND(" ",TRIM(C349)&amp;" ")-1),",","."))-1)/MID(SUBSTITUTE(LEFT(TRIM(C349),FIND(" ",TRIM(C349)&amp;" ")-1),",","."),FIND("/",SUBSTITUTE(LEFT(TRIM(C349),FIND(" ",TRIM(C349)&amp;" ")-1),",","."))+1,9))*12/52,IF(ISNUMBER(SEARCH("month",C349)),IFERROR(_xlfn.NUMBERVALUE(SUBSTITUTE(LEFT(TRIM(C349),FIND(" ",TRIM(C349)&amp;" ")-1),",","."),"."),LEFT(SUBSTITUTE(LEFT(TRIM(C349),FIND(" ",TRIM(C349)&amp;" ")-1),",","."),FIND("/",SUBSTITUTE(LEFT(TRIM(C349),FIND(" ",TRIM(C349)&amp;" ")-1),",","."))-1)/MID(SUBSTITUTE(LEFT(TRIM(C349),FIND(" ",TRIM(C349)&amp;" ")-1),",","."),FIND("/",SUBSTITUTE(LEFT(TRIM(C349),FIND(" ",TRIM(C349)&amp;" ")-1),",","."))+1,9)),IF(ISNUMBER(SEARCH("yea",C349)),IFERROR(_xlfn.NUMBERVALUE(SUBSTITUTE(LEFT(TRIM(C349),FIND(" ",TRIM(C349)&amp;" ")-1),",","."),"."),LEFT(SUBSTITUTE(LEFT(TRIM(C349),FIND(" ",TRIM(C349)&amp;" ")-1),",","."),FIND("/",SUBSTITUTE(LEFT(TRIM(C349),FIND(" ",TRIM(C349)&amp;" ")-1),",","."))-1)/MID(SUBSTITUTE(LEFT(TRIM(C349),FIND(" ",TRIM(C349)&amp;" ")-1),",","."),FIND("/",SUBSTITUTE(LEFT(TRIM(C349),FIND(" ",TRIM(C349)&amp;" ")-1),",","."))+1,9))*12,NA()))),0),24)*'Aturan &amp; Tarif'!$B$4,2)</f>
        <v>1362.72</v>
      </c>
      <c r="K349" s="42" t="n">
        <f aca="false">'Aturan &amp; Tarif'!$B$5</f>
        <v>2050</v>
      </c>
      <c r="L349" s="42" t="n">
        <f aca="false">'Aturan &amp; Tarif'!$B$6</f>
        <v>350</v>
      </c>
      <c r="M349" s="35" t="n">
        <f aca="false">I349+J349+K349+L349</f>
        <v>8362.72</v>
      </c>
      <c r="N349" s="44" t="s">
        <v>2003</v>
      </c>
    </row>
    <row r="350" customFormat="false" ht="37.5" hidden="false" customHeight="true" outlineLevel="0" collapsed="false">
      <c r="A350" s="39"/>
      <c r="B350" s="40" t="s">
        <v>2004</v>
      </c>
      <c r="C350" s="41" t="s">
        <v>127</v>
      </c>
      <c r="D350" s="41" t="s">
        <v>108</v>
      </c>
      <c r="E350" s="42" t="n">
        <v>2700</v>
      </c>
      <c r="F350" s="42" t="n">
        <v>1700</v>
      </c>
      <c r="G350" s="42" t="n">
        <v>200</v>
      </c>
      <c r="H350" s="43" t="n">
        <v>1</v>
      </c>
      <c r="I350" s="34" t="n">
        <f aca="false">E350*H350+N(F350)+N(G350)</f>
        <v>4600</v>
      </c>
      <c r="J350" s="42" t="n">
        <f aca="false">ROUND(IFERROR(ROUND(IF(OR(ISNUMBER(SEARCH("week",C350)),ISNUMBER(SEARCH("minggu",C350))),IFERROR(_xlfn.NUMBERVALUE(SUBSTITUTE(LEFT(TRIM(C350),FIND(" ",TRIM(C350)&amp;" ")-1),",","."),"."),LEFT(SUBSTITUTE(LEFT(TRIM(C350),FIND(" ",TRIM(C350)&amp;" ")-1),",","."),FIND("/",SUBSTITUTE(LEFT(TRIM(C350),FIND(" ",TRIM(C350)&amp;" ")-1),",","."))-1)/MID(SUBSTITUTE(LEFT(TRIM(C350),FIND(" ",TRIM(C350)&amp;" ")-1),",","."),FIND("/",SUBSTITUTE(LEFT(TRIM(C350),FIND(" ",TRIM(C350)&amp;" ")-1),",","."))+1,9))*12/52,IF(ISNUMBER(SEARCH("month",C350)),IFERROR(_xlfn.NUMBERVALUE(SUBSTITUTE(LEFT(TRIM(C350),FIND(" ",TRIM(C350)&amp;" ")-1),",","."),"."),LEFT(SUBSTITUTE(LEFT(TRIM(C350),FIND(" ",TRIM(C350)&amp;" ")-1),",","."),FIND("/",SUBSTITUTE(LEFT(TRIM(C350),FIND(" ",TRIM(C350)&amp;" ")-1),",","."))-1)/MID(SUBSTITUTE(LEFT(TRIM(C350),FIND(" ",TRIM(C350)&amp;" ")-1),",","."),FIND("/",SUBSTITUTE(LEFT(TRIM(C350),FIND(" ",TRIM(C350)&amp;" ")-1),",","."))+1,9)),IF(ISNUMBER(SEARCH("yea",C350)),IFERROR(_xlfn.NUMBERVALUE(SUBSTITUTE(LEFT(TRIM(C350),FIND(" ",TRIM(C350)&amp;" ")-1),",","."),"."),LEFT(SUBSTITUTE(LEFT(TRIM(C350),FIND(" ",TRIM(C350)&amp;" ")-1),",","."),FIND("/",SUBSTITUTE(LEFT(TRIM(C350),FIND(" ",TRIM(C350)&amp;" ")-1),",","."))-1)/MID(SUBSTITUTE(LEFT(TRIM(C350),FIND(" ",TRIM(C350)&amp;" ")-1),",","."),FIND("/",SUBSTITUTE(LEFT(TRIM(C350),FIND(" ",TRIM(C350)&amp;" ")-1),",","."))+1,9))*12,NA()))),0),36)*'Aturan &amp; Tarif'!$B$4,2)</f>
        <v>2044.08</v>
      </c>
      <c r="K350" s="42" t="n">
        <f aca="false">'Aturan &amp; Tarif'!$B$5</f>
        <v>2050</v>
      </c>
      <c r="L350" s="42" t="n">
        <f aca="false">'Aturan &amp; Tarif'!$B$6</f>
        <v>350</v>
      </c>
      <c r="M350" s="35" t="n">
        <f aca="false">I350+J350+K350+L350</f>
        <v>9044.08</v>
      </c>
      <c r="N350" s="44" t="s">
        <v>2003</v>
      </c>
    </row>
    <row r="351" customFormat="false" ht="25.5" hidden="false" customHeight="true" outlineLevel="0" collapsed="false">
      <c r="A351" s="39"/>
      <c r="B351" s="40" t="s">
        <v>2005</v>
      </c>
      <c r="C351" s="41" t="s">
        <v>127</v>
      </c>
      <c r="D351" s="41" t="s">
        <v>108</v>
      </c>
      <c r="E351" s="42" t="n">
        <v>1350</v>
      </c>
      <c r="F351" s="42" t="n">
        <v>50</v>
      </c>
      <c r="G351" s="42" t="n">
        <v>200</v>
      </c>
      <c r="H351" s="43" t="n">
        <v>1</v>
      </c>
      <c r="I351" s="34" t="n">
        <f aca="false">E351*H351+N(F351)+N(G351)</f>
        <v>1600</v>
      </c>
      <c r="J351" s="42" t="n">
        <f aca="false">ROUND(IFERROR(ROUND(IF(OR(ISNUMBER(SEARCH("week",C351)),ISNUMBER(SEARCH("minggu",C351))),IFERROR(_xlfn.NUMBERVALUE(SUBSTITUTE(LEFT(TRIM(C351),FIND(" ",TRIM(C351)&amp;" ")-1),",","."),"."),LEFT(SUBSTITUTE(LEFT(TRIM(C351),FIND(" ",TRIM(C351)&amp;" ")-1),",","."),FIND("/",SUBSTITUTE(LEFT(TRIM(C351),FIND(" ",TRIM(C351)&amp;" ")-1),",","."))-1)/MID(SUBSTITUTE(LEFT(TRIM(C351),FIND(" ",TRIM(C351)&amp;" ")-1),",","."),FIND("/",SUBSTITUTE(LEFT(TRIM(C351),FIND(" ",TRIM(C351)&amp;" ")-1),",","."))+1,9))*12/52,IF(ISNUMBER(SEARCH("month",C351)),IFERROR(_xlfn.NUMBERVALUE(SUBSTITUTE(LEFT(TRIM(C351),FIND(" ",TRIM(C351)&amp;" ")-1),",","."),"."),LEFT(SUBSTITUTE(LEFT(TRIM(C351),FIND(" ",TRIM(C351)&amp;" ")-1),",","."),FIND("/",SUBSTITUTE(LEFT(TRIM(C351),FIND(" ",TRIM(C351)&amp;" ")-1),",","."))-1)/MID(SUBSTITUTE(LEFT(TRIM(C351),FIND(" ",TRIM(C351)&amp;" ")-1),",","."),FIND("/",SUBSTITUTE(LEFT(TRIM(C351),FIND(" ",TRIM(C351)&amp;" ")-1),",","."))+1,9)),IF(ISNUMBER(SEARCH("yea",C351)),IFERROR(_xlfn.NUMBERVALUE(SUBSTITUTE(LEFT(TRIM(C351),FIND(" ",TRIM(C351)&amp;" ")-1),",","."),"."),LEFT(SUBSTITUTE(LEFT(TRIM(C351),FIND(" ",TRIM(C351)&amp;" ")-1),",","."),FIND("/",SUBSTITUTE(LEFT(TRIM(C351),FIND(" ",TRIM(C351)&amp;" ")-1),",","."))-1)/MID(SUBSTITUTE(LEFT(TRIM(C351),FIND(" ",TRIM(C351)&amp;" ")-1),",","."),FIND("/",SUBSTITUTE(LEFT(TRIM(C351),FIND(" ",TRIM(C351)&amp;" ")-1),",","."))+1,9))*12,NA()))),0),36)*'Aturan &amp; Tarif'!$B$4,2)</f>
        <v>2044.08</v>
      </c>
      <c r="K351" s="42" t="n">
        <f aca="false">'Aturan &amp; Tarif'!$B$5</f>
        <v>2050</v>
      </c>
      <c r="L351" s="42" t="n">
        <f aca="false">'Aturan &amp; Tarif'!$B$6</f>
        <v>350</v>
      </c>
      <c r="M351" s="35" t="n">
        <f aca="false">I351+J351+K351+L351</f>
        <v>6044.08</v>
      </c>
      <c r="N351" s="44" t="s">
        <v>2006</v>
      </c>
    </row>
    <row r="352" customFormat="false" ht="37.5" hidden="false" customHeight="true" outlineLevel="0" collapsed="false">
      <c r="A352" s="39"/>
      <c r="B352" s="40" t="s">
        <v>2007</v>
      </c>
      <c r="C352" s="41" t="s">
        <v>495</v>
      </c>
      <c r="D352" s="41" t="s">
        <v>108</v>
      </c>
      <c r="E352" s="42" t="n">
        <v>1350</v>
      </c>
      <c r="F352" s="42" t="n">
        <v>50</v>
      </c>
      <c r="G352" s="42" t="n">
        <v>200</v>
      </c>
      <c r="H352" s="43" t="n">
        <v>1</v>
      </c>
      <c r="I352" s="34" t="n">
        <f aca="false">E352*H352+N(F352)+N(G352)</f>
        <v>1600</v>
      </c>
      <c r="J352" s="42" t="n">
        <f aca="false">ROUND(IFERROR(ROUND(IF(OR(ISNUMBER(SEARCH("week",C352)),ISNUMBER(SEARCH("minggu",C352))),IFERROR(_xlfn.NUMBERVALUE(SUBSTITUTE(LEFT(TRIM(C352),FIND(" ",TRIM(C352)&amp;" ")-1),",","."),"."),LEFT(SUBSTITUTE(LEFT(TRIM(C352),FIND(" ",TRIM(C352)&amp;" ")-1),",","."),FIND("/",SUBSTITUTE(LEFT(TRIM(C352),FIND(" ",TRIM(C352)&amp;" ")-1),",","."))-1)/MID(SUBSTITUTE(LEFT(TRIM(C352),FIND(" ",TRIM(C352)&amp;" ")-1),",","."),FIND("/",SUBSTITUTE(LEFT(TRIM(C352),FIND(" ",TRIM(C352)&amp;" ")-1),",","."))+1,9))*12/52,IF(ISNUMBER(SEARCH("month",C352)),IFERROR(_xlfn.NUMBERVALUE(SUBSTITUTE(LEFT(TRIM(C352),FIND(" ",TRIM(C352)&amp;" ")-1),",","."),"."),LEFT(SUBSTITUTE(LEFT(TRIM(C352),FIND(" ",TRIM(C352)&amp;" ")-1),",","."),FIND("/",SUBSTITUTE(LEFT(TRIM(C352),FIND(" ",TRIM(C352)&amp;" ")-1),",","."))-1)/MID(SUBSTITUTE(LEFT(TRIM(C352),FIND(" ",TRIM(C352)&amp;" ")-1),",","."),FIND("/",SUBSTITUTE(LEFT(TRIM(C352),FIND(" ",TRIM(C352)&amp;" ")-1),",","."))+1,9)),IF(ISNUMBER(SEARCH("yea",C352)),IFERROR(_xlfn.NUMBERVALUE(SUBSTITUTE(LEFT(TRIM(C352),FIND(" ",TRIM(C352)&amp;" ")-1),",","."),"."),LEFT(SUBSTITUTE(LEFT(TRIM(C352),FIND(" ",TRIM(C352)&amp;" ")-1),",","."),FIND("/",SUBSTITUTE(LEFT(TRIM(C352),FIND(" ",TRIM(C352)&amp;" ")-1),",","."))-1)/MID(SUBSTITUTE(LEFT(TRIM(C352),FIND(" ",TRIM(C352)&amp;" ")-1),",","."),FIND("/",SUBSTITUTE(LEFT(TRIM(C352),FIND(" ",TRIM(C352)&amp;" ")-1),",","."))+1,9))*12,NA()))),0),54)*'Aturan &amp; Tarif'!$B$4,2)</f>
        <v>3066.12</v>
      </c>
      <c r="K352" s="42" t="n">
        <f aca="false">'Aturan &amp; Tarif'!$B$5</f>
        <v>2050</v>
      </c>
      <c r="L352" s="42" t="n">
        <f aca="false">'Aturan &amp; Tarif'!$B$6</f>
        <v>350</v>
      </c>
      <c r="M352" s="35" t="n">
        <f aca="false">I352+J352+K352+L352</f>
        <v>7066.12</v>
      </c>
      <c r="N352" s="44" t="s">
        <v>2006</v>
      </c>
    </row>
    <row r="353" customFormat="false" ht="25.5" hidden="false" customHeight="true" outlineLevel="0" collapsed="false">
      <c r="A353" s="39"/>
      <c r="B353" s="40" t="s">
        <v>2008</v>
      </c>
      <c r="C353" s="41" t="s">
        <v>107</v>
      </c>
      <c r="D353" s="41" t="s">
        <v>108</v>
      </c>
      <c r="E353" s="42" t="n">
        <v>2250</v>
      </c>
      <c r="F353" s="42" t="n">
        <v>600</v>
      </c>
      <c r="G353" s="42" t="n">
        <v>200</v>
      </c>
      <c r="H353" s="43" t="n">
        <v>1</v>
      </c>
      <c r="I353" s="34" t="n">
        <f aca="false">E353*H353+N(F353)+N(G353)</f>
        <v>3050</v>
      </c>
      <c r="J353" s="42" t="n">
        <f aca="false">ROUND(IFERROR(ROUND(IF(OR(ISNUMBER(SEARCH("week",C353)),ISNUMBER(SEARCH("minggu",C353))),IFERROR(_xlfn.NUMBERVALUE(SUBSTITUTE(LEFT(TRIM(C353),FIND(" ",TRIM(C353)&amp;" ")-1),",","."),"."),LEFT(SUBSTITUTE(LEFT(TRIM(C353),FIND(" ",TRIM(C353)&amp;" ")-1),",","."),FIND("/",SUBSTITUTE(LEFT(TRIM(C353),FIND(" ",TRIM(C353)&amp;" ")-1),",","."))-1)/MID(SUBSTITUTE(LEFT(TRIM(C353),FIND(" ",TRIM(C353)&amp;" ")-1),",","."),FIND("/",SUBSTITUTE(LEFT(TRIM(C353),FIND(" ",TRIM(C353)&amp;" ")-1),",","."))+1,9))*12/52,IF(ISNUMBER(SEARCH("month",C353)),IFERROR(_xlfn.NUMBERVALUE(SUBSTITUTE(LEFT(TRIM(C353),FIND(" ",TRIM(C353)&amp;" ")-1),",","."),"."),LEFT(SUBSTITUTE(LEFT(TRIM(C353),FIND(" ",TRIM(C353)&amp;" ")-1),",","."),FIND("/",SUBSTITUTE(LEFT(TRIM(C353),FIND(" ",TRIM(C353)&amp;" ")-1),",","."))-1)/MID(SUBSTITUTE(LEFT(TRIM(C353),FIND(" ",TRIM(C353)&amp;" ")-1),",","."),FIND("/",SUBSTITUTE(LEFT(TRIM(C353),FIND(" ",TRIM(C353)&amp;" ")-1),",","."))+1,9)),IF(ISNUMBER(SEARCH("yea",C353)),IFERROR(_xlfn.NUMBERVALUE(SUBSTITUTE(LEFT(TRIM(C353),FIND(" ",TRIM(C353)&amp;" ")-1),",","."),"."),LEFT(SUBSTITUTE(LEFT(TRIM(C353),FIND(" ",TRIM(C353)&amp;" ")-1),",","."),FIND("/",SUBSTITUTE(LEFT(TRIM(C353),FIND(" ",TRIM(C353)&amp;" ")-1),",","."))-1)/MID(SUBSTITUTE(LEFT(TRIM(C353),FIND(" ",TRIM(C353)&amp;" ")-1),",","."),FIND("/",SUBSTITUTE(LEFT(TRIM(C353),FIND(" ",TRIM(C353)&amp;" ")-1),",","."))+1,9))*12,NA()))),0),24)*'Aturan &amp; Tarif'!$B$4,2)</f>
        <v>1362.72</v>
      </c>
      <c r="K353" s="42" t="n">
        <f aca="false">'Aturan &amp; Tarif'!$B$5</f>
        <v>2050</v>
      </c>
      <c r="L353" s="42" t="n">
        <f aca="false">'Aturan &amp; Tarif'!$B$6</f>
        <v>350</v>
      </c>
      <c r="M353" s="35" t="n">
        <f aca="false">I353+J353+K353+L353</f>
        <v>6812.72</v>
      </c>
      <c r="N353" s="45" t="s">
        <v>2009</v>
      </c>
    </row>
    <row r="354" customFormat="false" ht="14.25" hidden="false" customHeight="true" outlineLevel="0" collapsed="false">
      <c r="A354" s="29" t="s">
        <v>2010</v>
      </c>
      <c r="B354" s="30" t="s">
        <v>348</v>
      </c>
      <c r="C354" s="31" t="s">
        <v>113</v>
      </c>
      <c r="D354" s="31" t="s">
        <v>108</v>
      </c>
      <c r="E354" s="32" t="n">
        <v>9548</v>
      </c>
      <c r="F354" s="32"/>
      <c r="G354" s="32"/>
      <c r="H354" s="33" t="n">
        <v>2</v>
      </c>
      <c r="I354" s="34" t="n">
        <f aca="false">E354*H354+N(F354)+N(G354)</f>
        <v>19096</v>
      </c>
      <c r="J354" s="32" t="n">
        <f aca="false">ROUND(IFERROR(ROUND(IF(OR(ISNUMBER(SEARCH("week",C354)),ISNUMBER(SEARCH("minggu",C354))),IFERROR(_xlfn.NUMBERVALUE(SUBSTITUTE(LEFT(TRIM(C354),FIND(" ",TRIM(C354)&amp;" ")-1),",","."),"."),LEFT(SUBSTITUTE(LEFT(TRIM(C354),FIND(" ",TRIM(C354)&amp;" ")-1),",","."),FIND("/",SUBSTITUTE(LEFT(TRIM(C354),FIND(" ",TRIM(C354)&amp;" ")-1),",","."))-1)/MID(SUBSTITUTE(LEFT(TRIM(C354),FIND(" ",TRIM(C354)&amp;" ")-1),",","."),FIND("/",SUBSTITUTE(LEFT(TRIM(C354),FIND(" ",TRIM(C354)&amp;" ")-1),",","."))+1,9))*12/52,IF(ISNUMBER(SEARCH("month",C354)),IFERROR(_xlfn.NUMBERVALUE(SUBSTITUTE(LEFT(TRIM(C354),FIND(" ",TRIM(C354)&amp;" ")-1),",","."),"."),LEFT(SUBSTITUTE(LEFT(TRIM(C354),FIND(" ",TRIM(C354)&amp;" ")-1),",","."),FIND("/",SUBSTITUTE(LEFT(TRIM(C354),FIND(" ",TRIM(C354)&amp;" ")-1),",","."))-1)/MID(SUBSTITUTE(LEFT(TRIM(C354),FIND(" ",TRIM(C354)&amp;" ")-1),",","."),FIND("/",SUBSTITUTE(LEFT(TRIM(C354),FIND(" ",TRIM(C354)&amp;" ")-1),",","."))+1,9)),IF(ISNUMBER(SEARCH("yea",C354)),IFERROR(_xlfn.NUMBERVALUE(SUBSTITUTE(LEFT(TRIM(C354),FIND(" ",TRIM(C354)&amp;" ")-1),",","."),"."),LEFT(SUBSTITUTE(LEFT(TRIM(C354),FIND(" ",TRIM(C354)&amp;" ")-1),",","."),FIND("/",SUBSTITUTE(LEFT(TRIM(C354),FIND(" ",TRIM(C354)&amp;" ")-1),",","."))-1)/MID(SUBSTITUTE(LEFT(TRIM(C354),FIND(" ",TRIM(C354)&amp;" ")-1),",","."),FIND("/",SUBSTITUTE(LEFT(TRIM(C354),FIND(" ",TRIM(C354)&amp;" ")-1),",","."))+1,9))*12,NA()))),0),18)*'Aturan &amp; Tarif'!$B$4,2)</f>
        <v>1022.04</v>
      </c>
      <c r="K354" s="32" t="n">
        <f aca="false">'Aturan &amp; Tarif'!$B$5</f>
        <v>2050</v>
      </c>
      <c r="L354" s="32" t="n">
        <f aca="false">'Aturan &amp; Tarif'!$B$6</f>
        <v>350</v>
      </c>
      <c r="M354" s="35" t="n">
        <f aca="false">I354+J354+K354+L354</f>
        <v>22518.04</v>
      </c>
      <c r="N354" s="37" t="s">
        <v>512</v>
      </c>
    </row>
    <row r="355" customFormat="false" ht="14.25" hidden="false" customHeight="true" outlineLevel="0" collapsed="false">
      <c r="A355" s="29"/>
      <c r="B355" s="30" t="s">
        <v>525</v>
      </c>
      <c r="C355" s="31" t="s">
        <v>107</v>
      </c>
      <c r="D355" s="31" t="s">
        <v>108</v>
      </c>
      <c r="E355" s="32" t="n">
        <v>9548</v>
      </c>
      <c r="F355" s="32"/>
      <c r="G355" s="32"/>
      <c r="H355" s="33" t="n">
        <v>2</v>
      </c>
      <c r="I355" s="34" t="n">
        <f aca="false">E355*H355+N(F355)+N(G355)</f>
        <v>19096</v>
      </c>
      <c r="J355" s="32" t="n">
        <f aca="false">ROUND(IFERROR(ROUND(IF(OR(ISNUMBER(SEARCH("week",C355)),ISNUMBER(SEARCH("minggu",C355))),IFERROR(_xlfn.NUMBERVALUE(SUBSTITUTE(LEFT(TRIM(C355),FIND(" ",TRIM(C355)&amp;" ")-1),",","."),"."),LEFT(SUBSTITUTE(LEFT(TRIM(C355),FIND(" ",TRIM(C355)&amp;" ")-1),",","."),FIND("/",SUBSTITUTE(LEFT(TRIM(C355),FIND(" ",TRIM(C355)&amp;" ")-1),",","."))-1)/MID(SUBSTITUTE(LEFT(TRIM(C355),FIND(" ",TRIM(C355)&amp;" ")-1),",","."),FIND("/",SUBSTITUTE(LEFT(TRIM(C355),FIND(" ",TRIM(C355)&amp;" ")-1),",","."))+1,9))*12/52,IF(ISNUMBER(SEARCH("month",C355)),IFERROR(_xlfn.NUMBERVALUE(SUBSTITUTE(LEFT(TRIM(C355),FIND(" ",TRIM(C355)&amp;" ")-1),",","."),"."),LEFT(SUBSTITUTE(LEFT(TRIM(C355),FIND(" ",TRIM(C355)&amp;" ")-1),",","."),FIND("/",SUBSTITUTE(LEFT(TRIM(C355),FIND(" ",TRIM(C355)&amp;" ")-1),",","."))-1)/MID(SUBSTITUTE(LEFT(TRIM(C355),FIND(" ",TRIM(C355)&amp;" ")-1),",","."),FIND("/",SUBSTITUTE(LEFT(TRIM(C355),FIND(" ",TRIM(C355)&amp;" ")-1),",","."))+1,9)),IF(ISNUMBER(SEARCH("yea",C355)),IFERROR(_xlfn.NUMBERVALUE(SUBSTITUTE(LEFT(TRIM(C355),FIND(" ",TRIM(C355)&amp;" ")-1),",","."),"."),LEFT(SUBSTITUTE(LEFT(TRIM(C355),FIND(" ",TRIM(C355)&amp;" ")-1),",","."),FIND("/",SUBSTITUTE(LEFT(TRIM(C355),FIND(" ",TRIM(C355)&amp;" ")-1),",","."))-1)/MID(SUBSTITUTE(LEFT(TRIM(C355),FIND(" ",TRIM(C355)&amp;" ")-1),",","."),FIND("/",SUBSTITUTE(LEFT(TRIM(C355),FIND(" ",TRIM(C355)&amp;" ")-1),",","."))+1,9))*12,NA()))),0),24)*'Aturan &amp; Tarif'!$B$4,2)</f>
        <v>1362.72</v>
      </c>
      <c r="K355" s="32" t="n">
        <f aca="false">'Aturan &amp; Tarif'!$B$5</f>
        <v>2050</v>
      </c>
      <c r="L355" s="32" t="n">
        <f aca="false">'Aturan &amp; Tarif'!$B$6</f>
        <v>350</v>
      </c>
      <c r="M355" s="35" t="n">
        <f aca="false">I355+J355+K355+L355</f>
        <v>22858.72</v>
      </c>
      <c r="N355" s="37" t="s">
        <v>512</v>
      </c>
    </row>
    <row r="356" customFormat="false" ht="25.5" hidden="false" customHeight="true" outlineLevel="0" collapsed="false">
      <c r="A356" s="29"/>
      <c r="B356" s="30" t="s">
        <v>526</v>
      </c>
      <c r="C356" s="31" t="s">
        <v>344</v>
      </c>
      <c r="D356" s="31" t="s">
        <v>108</v>
      </c>
      <c r="E356" s="32" t="n">
        <v>9548</v>
      </c>
      <c r="F356" s="32"/>
      <c r="G356" s="32"/>
      <c r="H356" s="33" t="n">
        <v>2</v>
      </c>
      <c r="I356" s="34" t="n">
        <f aca="false">E356*H356+N(F356)+N(G356)</f>
        <v>19096</v>
      </c>
      <c r="J356" s="32" t="n">
        <f aca="false">ROUND(IFERROR(ROUND(IF(OR(ISNUMBER(SEARCH("week",C356)),ISNUMBER(SEARCH("minggu",C356))),IFERROR(_xlfn.NUMBERVALUE(SUBSTITUTE(LEFT(TRIM(C356),FIND(" ",TRIM(C356)&amp;" ")-1),",","."),"."),LEFT(SUBSTITUTE(LEFT(TRIM(C356),FIND(" ",TRIM(C356)&amp;" ")-1),",","."),FIND("/",SUBSTITUTE(LEFT(TRIM(C356),FIND(" ",TRIM(C356)&amp;" ")-1),",","."))-1)/MID(SUBSTITUTE(LEFT(TRIM(C356),FIND(" ",TRIM(C356)&amp;" ")-1),",","."),FIND("/",SUBSTITUTE(LEFT(TRIM(C356),FIND(" ",TRIM(C356)&amp;" ")-1),",","."))+1,9))*12/52,IF(ISNUMBER(SEARCH("month",C356)),IFERROR(_xlfn.NUMBERVALUE(SUBSTITUTE(LEFT(TRIM(C356),FIND(" ",TRIM(C356)&amp;" ")-1),",","."),"."),LEFT(SUBSTITUTE(LEFT(TRIM(C356),FIND(" ",TRIM(C356)&amp;" ")-1),",","."),FIND("/",SUBSTITUTE(LEFT(TRIM(C356),FIND(" ",TRIM(C356)&amp;" ")-1),",","."))-1)/MID(SUBSTITUTE(LEFT(TRIM(C356),FIND(" ",TRIM(C356)&amp;" ")-1),",","."),FIND("/",SUBSTITUTE(LEFT(TRIM(C356),FIND(" ",TRIM(C356)&amp;" ")-1),",","."))+1,9)),IF(ISNUMBER(SEARCH("yea",C356)),IFERROR(_xlfn.NUMBERVALUE(SUBSTITUTE(LEFT(TRIM(C356),FIND(" ",TRIM(C356)&amp;" ")-1),",","."),"."),LEFT(SUBSTITUTE(LEFT(TRIM(C356),FIND(" ",TRIM(C356)&amp;" ")-1),",","."),FIND("/",SUBSTITUTE(LEFT(TRIM(C356),FIND(" ",TRIM(C356)&amp;" ")-1),",","."))-1)/MID(SUBSTITUTE(LEFT(TRIM(C356),FIND(" ",TRIM(C356)&amp;" ")-1),",","."),FIND("/",SUBSTITUTE(LEFT(TRIM(C356),FIND(" ",TRIM(C356)&amp;" ")-1),",","."))+1,9))*12,NA()))),0),6)*'Aturan &amp; Tarif'!$B$4,2)</f>
        <v>340.68</v>
      </c>
      <c r="K356" s="32" t="n">
        <f aca="false">'Aturan &amp; Tarif'!$B$5</f>
        <v>2050</v>
      </c>
      <c r="L356" s="32" t="n">
        <f aca="false">'Aturan &amp; Tarif'!$B$6</f>
        <v>350</v>
      </c>
      <c r="M356" s="35" t="n">
        <f aca="false">I356+J356+K356+L356</f>
        <v>21836.68</v>
      </c>
      <c r="N356" s="37" t="s">
        <v>512</v>
      </c>
    </row>
    <row r="357" customFormat="false" ht="25.5" hidden="false" customHeight="true" outlineLevel="0" collapsed="false">
      <c r="A357" s="29"/>
      <c r="B357" s="30" t="s">
        <v>167</v>
      </c>
      <c r="C357" s="31" t="s">
        <v>107</v>
      </c>
      <c r="D357" s="31" t="s">
        <v>108</v>
      </c>
      <c r="E357" s="32" t="n">
        <v>9548</v>
      </c>
      <c r="F357" s="32"/>
      <c r="G357" s="32"/>
      <c r="H357" s="33" t="n">
        <v>2</v>
      </c>
      <c r="I357" s="34" t="n">
        <f aca="false">E357*H357+N(F357)+N(G357)</f>
        <v>19096</v>
      </c>
      <c r="J357" s="32" t="n">
        <f aca="false">ROUND(IFERROR(ROUND(IF(OR(ISNUMBER(SEARCH("week",C357)),ISNUMBER(SEARCH("minggu",C357))),IFERROR(_xlfn.NUMBERVALUE(SUBSTITUTE(LEFT(TRIM(C357),FIND(" ",TRIM(C357)&amp;" ")-1),",","."),"."),LEFT(SUBSTITUTE(LEFT(TRIM(C357),FIND(" ",TRIM(C357)&amp;" ")-1),",","."),FIND("/",SUBSTITUTE(LEFT(TRIM(C357),FIND(" ",TRIM(C357)&amp;" ")-1),",","."))-1)/MID(SUBSTITUTE(LEFT(TRIM(C357),FIND(" ",TRIM(C357)&amp;" ")-1),",","."),FIND("/",SUBSTITUTE(LEFT(TRIM(C357),FIND(" ",TRIM(C357)&amp;" ")-1),",","."))+1,9))*12/52,IF(ISNUMBER(SEARCH("month",C357)),IFERROR(_xlfn.NUMBERVALUE(SUBSTITUTE(LEFT(TRIM(C357),FIND(" ",TRIM(C357)&amp;" ")-1),",","."),"."),LEFT(SUBSTITUTE(LEFT(TRIM(C357),FIND(" ",TRIM(C357)&amp;" ")-1),",","."),FIND("/",SUBSTITUTE(LEFT(TRIM(C357),FIND(" ",TRIM(C357)&amp;" ")-1),",","."))-1)/MID(SUBSTITUTE(LEFT(TRIM(C357),FIND(" ",TRIM(C357)&amp;" ")-1),",","."),FIND("/",SUBSTITUTE(LEFT(TRIM(C357),FIND(" ",TRIM(C357)&amp;" ")-1),",","."))+1,9)),IF(ISNUMBER(SEARCH("yea",C357)),IFERROR(_xlfn.NUMBERVALUE(SUBSTITUTE(LEFT(TRIM(C357),FIND(" ",TRIM(C357)&amp;" ")-1),",","."),"."),LEFT(SUBSTITUTE(LEFT(TRIM(C357),FIND(" ",TRIM(C357)&amp;" ")-1),",","."),FIND("/",SUBSTITUTE(LEFT(TRIM(C357),FIND(" ",TRIM(C357)&amp;" ")-1),",","."))-1)/MID(SUBSTITUTE(LEFT(TRIM(C357),FIND(" ",TRIM(C357)&amp;" ")-1),",","."),FIND("/",SUBSTITUTE(LEFT(TRIM(C357),FIND(" ",TRIM(C357)&amp;" ")-1),",","."))+1,9))*12,NA()))),0),24)*'Aturan &amp; Tarif'!$B$4,2)</f>
        <v>1362.72</v>
      </c>
      <c r="K357" s="32" t="n">
        <f aca="false">'Aturan &amp; Tarif'!$B$5</f>
        <v>2050</v>
      </c>
      <c r="L357" s="32" t="n">
        <f aca="false">'Aturan &amp; Tarif'!$B$6</f>
        <v>350</v>
      </c>
      <c r="M357" s="35" t="n">
        <f aca="false">I357+J357+K357+L357</f>
        <v>22858.72</v>
      </c>
      <c r="N357" s="37" t="s">
        <v>512</v>
      </c>
    </row>
    <row r="358" customFormat="false" ht="25.5" hidden="false" customHeight="true" outlineLevel="0" collapsed="false">
      <c r="A358" s="29"/>
      <c r="B358" s="30" t="s">
        <v>527</v>
      </c>
      <c r="C358" s="31" t="s">
        <v>107</v>
      </c>
      <c r="D358" s="31" t="s">
        <v>108</v>
      </c>
      <c r="E358" s="32" t="n">
        <v>9548</v>
      </c>
      <c r="F358" s="32"/>
      <c r="G358" s="32"/>
      <c r="H358" s="33" t="n">
        <v>2</v>
      </c>
      <c r="I358" s="34" t="n">
        <f aca="false">E358*H358+N(F358)+N(G358)</f>
        <v>19096</v>
      </c>
      <c r="J358" s="32" t="n">
        <f aca="false">ROUND(IFERROR(ROUND(IF(OR(ISNUMBER(SEARCH("week",C358)),ISNUMBER(SEARCH("minggu",C358))),IFERROR(_xlfn.NUMBERVALUE(SUBSTITUTE(LEFT(TRIM(C358),FIND(" ",TRIM(C358)&amp;" ")-1),",","."),"."),LEFT(SUBSTITUTE(LEFT(TRIM(C358),FIND(" ",TRIM(C358)&amp;" ")-1),",","."),FIND("/",SUBSTITUTE(LEFT(TRIM(C358),FIND(" ",TRIM(C358)&amp;" ")-1),",","."))-1)/MID(SUBSTITUTE(LEFT(TRIM(C358),FIND(" ",TRIM(C358)&amp;" ")-1),",","."),FIND("/",SUBSTITUTE(LEFT(TRIM(C358),FIND(" ",TRIM(C358)&amp;" ")-1),",","."))+1,9))*12/52,IF(ISNUMBER(SEARCH("month",C358)),IFERROR(_xlfn.NUMBERVALUE(SUBSTITUTE(LEFT(TRIM(C358),FIND(" ",TRIM(C358)&amp;" ")-1),",","."),"."),LEFT(SUBSTITUTE(LEFT(TRIM(C358),FIND(" ",TRIM(C358)&amp;" ")-1),",","."),FIND("/",SUBSTITUTE(LEFT(TRIM(C358),FIND(" ",TRIM(C358)&amp;" ")-1),",","."))-1)/MID(SUBSTITUTE(LEFT(TRIM(C358),FIND(" ",TRIM(C358)&amp;" ")-1),",","."),FIND("/",SUBSTITUTE(LEFT(TRIM(C358),FIND(" ",TRIM(C358)&amp;" ")-1),",","."))+1,9)),IF(ISNUMBER(SEARCH("yea",C358)),IFERROR(_xlfn.NUMBERVALUE(SUBSTITUTE(LEFT(TRIM(C358),FIND(" ",TRIM(C358)&amp;" ")-1),",","."),"."),LEFT(SUBSTITUTE(LEFT(TRIM(C358),FIND(" ",TRIM(C358)&amp;" ")-1),",","."),FIND("/",SUBSTITUTE(LEFT(TRIM(C358),FIND(" ",TRIM(C358)&amp;" ")-1),",","."))-1)/MID(SUBSTITUTE(LEFT(TRIM(C358),FIND(" ",TRIM(C358)&amp;" ")-1),",","."),FIND("/",SUBSTITUTE(LEFT(TRIM(C358),FIND(" ",TRIM(C358)&amp;" ")-1),",","."))+1,9))*12,NA()))),0),24)*'Aturan &amp; Tarif'!$B$4,2)</f>
        <v>1362.72</v>
      </c>
      <c r="K358" s="32" t="n">
        <f aca="false">'Aturan &amp; Tarif'!$B$5</f>
        <v>2050</v>
      </c>
      <c r="L358" s="32" t="n">
        <f aca="false">'Aturan &amp; Tarif'!$B$6</f>
        <v>350</v>
      </c>
      <c r="M358" s="35" t="n">
        <f aca="false">I358+J358+K358+L358</f>
        <v>22858.72</v>
      </c>
      <c r="N358" s="37" t="s">
        <v>512</v>
      </c>
    </row>
    <row r="359" customFormat="false" ht="25.5" hidden="false" customHeight="true" outlineLevel="0" collapsed="false">
      <c r="A359" s="29"/>
      <c r="B359" s="30" t="s">
        <v>859</v>
      </c>
      <c r="C359" s="31" t="s">
        <v>107</v>
      </c>
      <c r="D359" s="31" t="s">
        <v>108</v>
      </c>
      <c r="E359" s="32" t="n">
        <v>9548</v>
      </c>
      <c r="F359" s="32"/>
      <c r="G359" s="32"/>
      <c r="H359" s="33" t="n">
        <v>2</v>
      </c>
      <c r="I359" s="34" t="n">
        <f aca="false">E359*H359+N(F359)+N(G359)</f>
        <v>19096</v>
      </c>
      <c r="J359" s="32" t="n">
        <f aca="false">ROUND(IFERROR(ROUND(IF(OR(ISNUMBER(SEARCH("week",C359)),ISNUMBER(SEARCH("minggu",C359))),IFERROR(_xlfn.NUMBERVALUE(SUBSTITUTE(LEFT(TRIM(C359),FIND(" ",TRIM(C359)&amp;" ")-1),",","."),"."),LEFT(SUBSTITUTE(LEFT(TRIM(C359),FIND(" ",TRIM(C359)&amp;" ")-1),",","."),FIND("/",SUBSTITUTE(LEFT(TRIM(C359),FIND(" ",TRIM(C359)&amp;" ")-1),",","."))-1)/MID(SUBSTITUTE(LEFT(TRIM(C359),FIND(" ",TRIM(C359)&amp;" ")-1),",","."),FIND("/",SUBSTITUTE(LEFT(TRIM(C359),FIND(" ",TRIM(C359)&amp;" ")-1),",","."))+1,9))*12/52,IF(ISNUMBER(SEARCH("month",C359)),IFERROR(_xlfn.NUMBERVALUE(SUBSTITUTE(LEFT(TRIM(C359),FIND(" ",TRIM(C359)&amp;" ")-1),",","."),"."),LEFT(SUBSTITUTE(LEFT(TRIM(C359),FIND(" ",TRIM(C359)&amp;" ")-1),",","."),FIND("/",SUBSTITUTE(LEFT(TRIM(C359),FIND(" ",TRIM(C359)&amp;" ")-1),",","."))-1)/MID(SUBSTITUTE(LEFT(TRIM(C359),FIND(" ",TRIM(C359)&amp;" ")-1),",","."),FIND("/",SUBSTITUTE(LEFT(TRIM(C359),FIND(" ",TRIM(C359)&amp;" ")-1),",","."))+1,9)),IF(ISNUMBER(SEARCH("yea",C359)),IFERROR(_xlfn.NUMBERVALUE(SUBSTITUTE(LEFT(TRIM(C359),FIND(" ",TRIM(C359)&amp;" ")-1),",","."),"."),LEFT(SUBSTITUTE(LEFT(TRIM(C359),FIND(" ",TRIM(C359)&amp;" ")-1),",","."),FIND("/",SUBSTITUTE(LEFT(TRIM(C359),FIND(" ",TRIM(C359)&amp;" ")-1),",","."))-1)/MID(SUBSTITUTE(LEFT(TRIM(C359),FIND(" ",TRIM(C359)&amp;" ")-1),",","."),FIND("/",SUBSTITUTE(LEFT(TRIM(C359),FIND(" ",TRIM(C359)&amp;" ")-1),",","."))+1,9))*12,NA()))),0),24)*'Aturan &amp; Tarif'!$B$4,2)</f>
        <v>1362.72</v>
      </c>
      <c r="K359" s="32" t="n">
        <f aca="false">'Aturan &amp; Tarif'!$B$5</f>
        <v>2050</v>
      </c>
      <c r="L359" s="32" t="n">
        <f aca="false">'Aturan &amp; Tarif'!$B$6</f>
        <v>350</v>
      </c>
      <c r="M359" s="35" t="n">
        <f aca="false">I359+J359+K359+L359</f>
        <v>22858.72</v>
      </c>
      <c r="N359" s="37" t="s">
        <v>512</v>
      </c>
    </row>
    <row r="360" customFormat="false" ht="37.5" hidden="false" customHeight="true" outlineLevel="0" collapsed="false">
      <c r="A360" s="29"/>
      <c r="B360" s="30" t="s">
        <v>265</v>
      </c>
      <c r="C360" s="31" t="s">
        <v>127</v>
      </c>
      <c r="D360" s="31" t="s">
        <v>108</v>
      </c>
      <c r="E360" s="32" t="n">
        <v>9680</v>
      </c>
      <c r="F360" s="32"/>
      <c r="G360" s="32"/>
      <c r="H360" s="33" t="n">
        <v>2</v>
      </c>
      <c r="I360" s="34" t="n">
        <f aca="false">E360*H360+N(F360)+N(G360)</f>
        <v>19360</v>
      </c>
      <c r="J360" s="32" t="n">
        <f aca="false">ROUND(IFERROR(ROUND(IF(OR(ISNUMBER(SEARCH("week",C360)),ISNUMBER(SEARCH("minggu",C360))),IFERROR(_xlfn.NUMBERVALUE(SUBSTITUTE(LEFT(TRIM(C360),FIND(" ",TRIM(C360)&amp;" ")-1),",","."),"."),LEFT(SUBSTITUTE(LEFT(TRIM(C360),FIND(" ",TRIM(C360)&amp;" ")-1),",","."),FIND("/",SUBSTITUTE(LEFT(TRIM(C360),FIND(" ",TRIM(C360)&amp;" ")-1),",","."))-1)/MID(SUBSTITUTE(LEFT(TRIM(C360),FIND(" ",TRIM(C360)&amp;" ")-1),",","."),FIND("/",SUBSTITUTE(LEFT(TRIM(C360),FIND(" ",TRIM(C360)&amp;" ")-1),",","."))+1,9))*12/52,IF(ISNUMBER(SEARCH("month",C360)),IFERROR(_xlfn.NUMBERVALUE(SUBSTITUTE(LEFT(TRIM(C360),FIND(" ",TRIM(C360)&amp;" ")-1),",","."),"."),LEFT(SUBSTITUTE(LEFT(TRIM(C360),FIND(" ",TRIM(C360)&amp;" ")-1),",","."),FIND("/",SUBSTITUTE(LEFT(TRIM(C360),FIND(" ",TRIM(C360)&amp;" ")-1),",","."))-1)/MID(SUBSTITUTE(LEFT(TRIM(C360),FIND(" ",TRIM(C360)&amp;" ")-1),",","."),FIND("/",SUBSTITUTE(LEFT(TRIM(C360),FIND(" ",TRIM(C360)&amp;" ")-1),",","."))+1,9)),IF(ISNUMBER(SEARCH("yea",C360)),IFERROR(_xlfn.NUMBERVALUE(SUBSTITUTE(LEFT(TRIM(C360),FIND(" ",TRIM(C360)&amp;" ")-1),",","."),"."),LEFT(SUBSTITUTE(LEFT(TRIM(C360),FIND(" ",TRIM(C360)&amp;" ")-1),",","."),FIND("/",SUBSTITUTE(LEFT(TRIM(C360),FIND(" ",TRIM(C360)&amp;" ")-1),",","."))-1)/MID(SUBSTITUTE(LEFT(TRIM(C360),FIND(" ",TRIM(C360)&amp;" ")-1),",","."),FIND("/",SUBSTITUTE(LEFT(TRIM(C360),FIND(" ",TRIM(C360)&amp;" ")-1),",","."))+1,9))*12,NA()))),0),36)*'Aturan &amp; Tarif'!$B$4,2)</f>
        <v>2044.08</v>
      </c>
      <c r="K360" s="32" t="n">
        <f aca="false">'Aturan &amp; Tarif'!$B$5</f>
        <v>2050</v>
      </c>
      <c r="L360" s="32" t="n">
        <f aca="false">'Aturan &amp; Tarif'!$B$6</f>
        <v>350</v>
      </c>
      <c r="M360" s="35" t="n">
        <f aca="false">I360+J360+K360+L360</f>
        <v>23804.08</v>
      </c>
      <c r="N360" s="37" t="s">
        <v>512</v>
      </c>
    </row>
    <row r="361" customFormat="false" ht="37.5" hidden="false" customHeight="true" outlineLevel="0" collapsed="false">
      <c r="A361" s="29"/>
      <c r="B361" s="30" t="s">
        <v>588</v>
      </c>
      <c r="C361" s="31" t="s">
        <v>107</v>
      </c>
      <c r="D361" s="31" t="s">
        <v>108</v>
      </c>
      <c r="E361" s="32" t="n">
        <v>10104</v>
      </c>
      <c r="F361" s="32"/>
      <c r="G361" s="32"/>
      <c r="H361" s="33" t="n">
        <v>2</v>
      </c>
      <c r="I361" s="34" t="n">
        <f aca="false">E361*H361+N(F361)+N(G361)</f>
        <v>20208</v>
      </c>
      <c r="J361" s="32" t="n">
        <f aca="false">ROUND(IFERROR(ROUND(IF(OR(ISNUMBER(SEARCH("week",C361)),ISNUMBER(SEARCH("minggu",C361))),IFERROR(_xlfn.NUMBERVALUE(SUBSTITUTE(LEFT(TRIM(C361),FIND(" ",TRIM(C361)&amp;" ")-1),",","."),"."),LEFT(SUBSTITUTE(LEFT(TRIM(C361),FIND(" ",TRIM(C361)&amp;" ")-1),",","."),FIND("/",SUBSTITUTE(LEFT(TRIM(C361),FIND(" ",TRIM(C361)&amp;" ")-1),",","."))-1)/MID(SUBSTITUTE(LEFT(TRIM(C361),FIND(" ",TRIM(C361)&amp;" ")-1),",","."),FIND("/",SUBSTITUTE(LEFT(TRIM(C361),FIND(" ",TRIM(C361)&amp;" ")-1),",","."))+1,9))*12/52,IF(ISNUMBER(SEARCH("month",C361)),IFERROR(_xlfn.NUMBERVALUE(SUBSTITUTE(LEFT(TRIM(C361),FIND(" ",TRIM(C361)&amp;" ")-1),",","."),"."),LEFT(SUBSTITUTE(LEFT(TRIM(C361),FIND(" ",TRIM(C361)&amp;" ")-1),",","."),FIND("/",SUBSTITUTE(LEFT(TRIM(C361),FIND(" ",TRIM(C361)&amp;" ")-1),",","."))-1)/MID(SUBSTITUTE(LEFT(TRIM(C361),FIND(" ",TRIM(C361)&amp;" ")-1),",","."),FIND("/",SUBSTITUTE(LEFT(TRIM(C361),FIND(" ",TRIM(C361)&amp;" ")-1),",","."))+1,9)),IF(ISNUMBER(SEARCH("yea",C361)),IFERROR(_xlfn.NUMBERVALUE(SUBSTITUTE(LEFT(TRIM(C361),FIND(" ",TRIM(C361)&amp;" ")-1),",","."),"."),LEFT(SUBSTITUTE(LEFT(TRIM(C361),FIND(" ",TRIM(C361)&amp;" ")-1),",","."),FIND("/",SUBSTITUTE(LEFT(TRIM(C361),FIND(" ",TRIM(C361)&amp;" ")-1),",","."))-1)/MID(SUBSTITUTE(LEFT(TRIM(C361),FIND(" ",TRIM(C361)&amp;" ")-1),",","."),FIND("/",SUBSTITUTE(LEFT(TRIM(C361),FIND(" ",TRIM(C361)&amp;" ")-1),",","."))+1,9))*12,NA()))),0),24)*'Aturan &amp; Tarif'!$B$4,2)</f>
        <v>1362.72</v>
      </c>
      <c r="K361" s="32" t="n">
        <f aca="false">'Aturan &amp; Tarif'!$B$5</f>
        <v>2050</v>
      </c>
      <c r="L361" s="32" t="n">
        <f aca="false">'Aturan &amp; Tarif'!$B$6</f>
        <v>350</v>
      </c>
      <c r="M361" s="35" t="n">
        <f aca="false">I361+J361+K361+L361</f>
        <v>23970.72</v>
      </c>
      <c r="N361" s="37" t="s">
        <v>512</v>
      </c>
    </row>
    <row r="362" customFormat="false" ht="37.5" hidden="false" customHeight="true" outlineLevel="0" collapsed="false">
      <c r="A362" s="29"/>
      <c r="B362" s="30" t="s">
        <v>327</v>
      </c>
      <c r="C362" s="31" t="s">
        <v>127</v>
      </c>
      <c r="D362" s="31" t="s">
        <v>108</v>
      </c>
      <c r="E362" s="32" t="n">
        <v>8714</v>
      </c>
      <c r="F362" s="32"/>
      <c r="G362" s="32"/>
      <c r="H362" s="33" t="n">
        <v>2</v>
      </c>
      <c r="I362" s="34" t="n">
        <f aca="false">E362*H362+N(F362)+N(G362)</f>
        <v>17428</v>
      </c>
      <c r="J362" s="32" t="n">
        <f aca="false">ROUND(IFERROR(ROUND(IF(OR(ISNUMBER(SEARCH("week",C362)),ISNUMBER(SEARCH("minggu",C362))),IFERROR(_xlfn.NUMBERVALUE(SUBSTITUTE(LEFT(TRIM(C362),FIND(" ",TRIM(C362)&amp;" ")-1),",","."),"."),LEFT(SUBSTITUTE(LEFT(TRIM(C362),FIND(" ",TRIM(C362)&amp;" ")-1),",","."),FIND("/",SUBSTITUTE(LEFT(TRIM(C362),FIND(" ",TRIM(C362)&amp;" ")-1),",","."))-1)/MID(SUBSTITUTE(LEFT(TRIM(C362),FIND(" ",TRIM(C362)&amp;" ")-1),",","."),FIND("/",SUBSTITUTE(LEFT(TRIM(C362),FIND(" ",TRIM(C362)&amp;" ")-1),",","."))+1,9))*12/52,IF(ISNUMBER(SEARCH("month",C362)),IFERROR(_xlfn.NUMBERVALUE(SUBSTITUTE(LEFT(TRIM(C362),FIND(" ",TRIM(C362)&amp;" ")-1),",","."),"."),LEFT(SUBSTITUTE(LEFT(TRIM(C362),FIND(" ",TRIM(C362)&amp;" ")-1),",","."),FIND("/",SUBSTITUTE(LEFT(TRIM(C362),FIND(" ",TRIM(C362)&amp;" ")-1),",","."))-1)/MID(SUBSTITUTE(LEFT(TRIM(C362),FIND(" ",TRIM(C362)&amp;" ")-1),",","."),FIND("/",SUBSTITUTE(LEFT(TRIM(C362),FIND(" ",TRIM(C362)&amp;" ")-1),",","."))+1,9)),IF(ISNUMBER(SEARCH("yea",C362)),IFERROR(_xlfn.NUMBERVALUE(SUBSTITUTE(LEFT(TRIM(C362),FIND(" ",TRIM(C362)&amp;" ")-1),",","."),"."),LEFT(SUBSTITUTE(LEFT(TRIM(C362),FIND(" ",TRIM(C362)&amp;" ")-1),",","."),FIND("/",SUBSTITUTE(LEFT(TRIM(C362),FIND(" ",TRIM(C362)&amp;" ")-1),",","."))-1)/MID(SUBSTITUTE(LEFT(TRIM(C362),FIND(" ",TRIM(C362)&amp;" ")-1),",","."),FIND("/",SUBSTITUTE(LEFT(TRIM(C362),FIND(" ",TRIM(C362)&amp;" ")-1),",","."))+1,9))*12,NA()))),0),36)*'Aturan &amp; Tarif'!$B$4,2)</f>
        <v>2044.08</v>
      </c>
      <c r="K362" s="32" t="n">
        <f aca="false">'Aturan &amp; Tarif'!$B$5</f>
        <v>2050</v>
      </c>
      <c r="L362" s="32" t="n">
        <f aca="false">'Aturan &amp; Tarif'!$B$6</f>
        <v>350</v>
      </c>
      <c r="M362" s="35" t="n">
        <f aca="false">I362+J362+K362+L362</f>
        <v>21872.08</v>
      </c>
      <c r="N362" s="37" t="s">
        <v>512</v>
      </c>
    </row>
    <row r="363" customFormat="false" ht="37.5" hidden="false" customHeight="true" outlineLevel="0" collapsed="false">
      <c r="A363" s="29"/>
      <c r="B363" s="30" t="s">
        <v>335</v>
      </c>
      <c r="C363" s="31" t="s">
        <v>127</v>
      </c>
      <c r="D363" s="31" t="s">
        <v>108</v>
      </c>
      <c r="E363" s="32" t="n">
        <v>8714</v>
      </c>
      <c r="F363" s="32"/>
      <c r="G363" s="32"/>
      <c r="H363" s="33" t="n">
        <v>2</v>
      </c>
      <c r="I363" s="34" t="n">
        <f aca="false">E363*H363+N(F363)+N(G363)</f>
        <v>17428</v>
      </c>
      <c r="J363" s="32" t="n">
        <f aca="false">ROUND(IFERROR(ROUND(IF(OR(ISNUMBER(SEARCH("week",C363)),ISNUMBER(SEARCH("minggu",C363))),IFERROR(_xlfn.NUMBERVALUE(SUBSTITUTE(LEFT(TRIM(C363),FIND(" ",TRIM(C363)&amp;" ")-1),",","."),"."),LEFT(SUBSTITUTE(LEFT(TRIM(C363),FIND(" ",TRIM(C363)&amp;" ")-1),",","."),FIND("/",SUBSTITUTE(LEFT(TRIM(C363),FIND(" ",TRIM(C363)&amp;" ")-1),",","."))-1)/MID(SUBSTITUTE(LEFT(TRIM(C363),FIND(" ",TRIM(C363)&amp;" ")-1),",","."),FIND("/",SUBSTITUTE(LEFT(TRIM(C363),FIND(" ",TRIM(C363)&amp;" ")-1),",","."))+1,9))*12/52,IF(ISNUMBER(SEARCH("month",C363)),IFERROR(_xlfn.NUMBERVALUE(SUBSTITUTE(LEFT(TRIM(C363),FIND(" ",TRIM(C363)&amp;" ")-1),",","."),"."),LEFT(SUBSTITUTE(LEFT(TRIM(C363),FIND(" ",TRIM(C363)&amp;" ")-1),",","."),FIND("/",SUBSTITUTE(LEFT(TRIM(C363),FIND(" ",TRIM(C363)&amp;" ")-1),",","."))-1)/MID(SUBSTITUTE(LEFT(TRIM(C363),FIND(" ",TRIM(C363)&amp;" ")-1),",","."),FIND("/",SUBSTITUTE(LEFT(TRIM(C363),FIND(" ",TRIM(C363)&amp;" ")-1),",","."))+1,9)),IF(ISNUMBER(SEARCH("yea",C363)),IFERROR(_xlfn.NUMBERVALUE(SUBSTITUTE(LEFT(TRIM(C363),FIND(" ",TRIM(C363)&amp;" ")-1),",","."),"."),LEFT(SUBSTITUTE(LEFT(TRIM(C363),FIND(" ",TRIM(C363)&amp;" ")-1),",","."),FIND("/",SUBSTITUTE(LEFT(TRIM(C363),FIND(" ",TRIM(C363)&amp;" ")-1),",","."))-1)/MID(SUBSTITUTE(LEFT(TRIM(C363),FIND(" ",TRIM(C363)&amp;" ")-1),",","."),FIND("/",SUBSTITUTE(LEFT(TRIM(C363),FIND(" ",TRIM(C363)&amp;" ")-1),",","."))+1,9))*12,NA()))),0),36)*'Aturan &amp; Tarif'!$B$4,2)</f>
        <v>2044.08</v>
      </c>
      <c r="K363" s="32" t="n">
        <f aca="false">'Aturan &amp; Tarif'!$B$5</f>
        <v>2050</v>
      </c>
      <c r="L363" s="32" t="n">
        <f aca="false">'Aturan &amp; Tarif'!$B$6</f>
        <v>350</v>
      </c>
      <c r="M363" s="35" t="n">
        <f aca="false">I363+J363+K363+L363</f>
        <v>21872.08</v>
      </c>
      <c r="N363" s="37" t="s">
        <v>512</v>
      </c>
    </row>
    <row r="364" customFormat="false" ht="37.5" hidden="false" customHeight="true" outlineLevel="0" collapsed="false">
      <c r="A364" s="29"/>
      <c r="B364" s="30" t="s">
        <v>597</v>
      </c>
      <c r="C364" s="31" t="s">
        <v>107</v>
      </c>
      <c r="D364" s="31" t="s">
        <v>108</v>
      </c>
      <c r="E364" s="32" t="n">
        <v>9110</v>
      </c>
      <c r="F364" s="32"/>
      <c r="G364" s="32"/>
      <c r="H364" s="33" t="n">
        <v>2</v>
      </c>
      <c r="I364" s="34" t="n">
        <f aca="false">E364*H364+N(F364)+N(G364)</f>
        <v>18220</v>
      </c>
      <c r="J364" s="32" t="n">
        <f aca="false">ROUND(IFERROR(ROUND(IF(OR(ISNUMBER(SEARCH("week",C364)),ISNUMBER(SEARCH("minggu",C364))),IFERROR(_xlfn.NUMBERVALUE(SUBSTITUTE(LEFT(TRIM(C364),FIND(" ",TRIM(C364)&amp;" ")-1),",","."),"."),LEFT(SUBSTITUTE(LEFT(TRIM(C364),FIND(" ",TRIM(C364)&amp;" ")-1),",","."),FIND("/",SUBSTITUTE(LEFT(TRIM(C364),FIND(" ",TRIM(C364)&amp;" ")-1),",","."))-1)/MID(SUBSTITUTE(LEFT(TRIM(C364),FIND(" ",TRIM(C364)&amp;" ")-1),",","."),FIND("/",SUBSTITUTE(LEFT(TRIM(C364),FIND(" ",TRIM(C364)&amp;" ")-1),",","."))+1,9))*12/52,IF(ISNUMBER(SEARCH("month",C364)),IFERROR(_xlfn.NUMBERVALUE(SUBSTITUTE(LEFT(TRIM(C364),FIND(" ",TRIM(C364)&amp;" ")-1),",","."),"."),LEFT(SUBSTITUTE(LEFT(TRIM(C364),FIND(" ",TRIM(C364)&amp;" ")-1),",","."),FIND("/",SUBSTITUTE(LEFT(TRIM(C364),FIND(" ",TRIM(C364)&amp;" ")-1),",","."))-1)/MID(SUBSTITUTE(LEFT(TRIM(C364),FIND(" ",TRIM(C364)&amp;" ")-1),",","."),FIND("/",SUBSTITUTE(LEFT(TRIM(C364),FIND(" ",TRIM(C364)&amp;" ")-1),",","."))+1,9)),IF(ISNUMBER(SEARCH("yea",C364)),IFERROR(_xlfn.NUMBERVALUE(SUBSTITUTE(LEFT(TRIM(C364),FIND(" ",TRIM(C364)&amp;" ")-1),",","."),"."),LEFT(SUBSTITUTE(LEFT(TRIM(C364),FIND(" ",TRIM(C364)&amp;" ")-1),",","."),FIND("/",SUBSTITUTE(LEFT(TRIM(C364),FIND(" ",TRIM(C364)&amp;" ")-1),",","."))-1)/MID(SUBSTITUTE(LEFT(TRIM(C364),FIND(" ",TRIM(C364)&amp;" ")-1),",","."),FIND("/",SUBSTITUTE(LEFT(TRIM(C364),FIND(" ",TRIM(C364)&amp;" ")-1),",","."))+1,9))*12,NA()))),0),24)*'Aturan &amp; Tarif'!$B$4,2)</f>
        <v>1362.72</v>
      </c>
      <c r="K364" s="32" t="n">
        <f aca="false">'Aturan &amp; Tarif'!$B$5</f>
        <v>2050</v>
      </c>
      <c r="L364" s="32" t="n">
        <f aca="false">'Aturan &amp; Tarif'!$B$6</f>
        <v>350</v>
      </c>
      <c r="M364" s="35" t="n">
        <f aca="false">I364+J364+K364+L364</f>
        <v>21982.72</v>
      </c>
      <c r="N364" s="37" t="s">
        <v>512</v>
      </c>
    </row>
    <row r="365" customFormat="false" ht="37.5" hidden="false" customHeight="true" outlineLevel="0" collapsed="false">
      <c r="A365" s="29"/>
      <c r="B365" s="30" t="s">
        <v>2011</v>
      </c>
      <c r="C365" s="31" t="s">
        <v>107</v>
      </c>
      <c r="D365" s="31" t="s">
        <v>108</v>
      </c>
      <c r="E365" s="32" t="n">
        <v>9110</v>
      </c>
      <c r="F365" s="32"/>
      <c r="G365" s="32"/>
      <c r="H365" s="33" t="n">
        <v>2</v>
      </c>
      <c r="I365" s="34" t="n">
        <f aca="false">E365*H365+N(F365)+N(G365)</f>
        <v>18220</v>
      </c>
      <c r="J365" s="32" t="n">
        <f aca="false">ROUND(IFERROR(ROUND(IF(OR(ISNUMBER(SEARCH("week",C365)),ISNUMBER(SEARCH("minggu",C365))),IFERROR(_xlfn.NUMBERVALUE(SUBSTITUTE(LEFT(TRIM(C365),FIND(" ",TRIM(C365)&amp;" ")-1),",","."),"."),LEFT(SUBSTITUTE(LEFT(TRIM(C365),FIND(" ",TRIM(C365)&amp;" ")-1),",","."),FIND("/",SUBSTITUTE(LEFT(TRIM(C365),FIND(" ",TRIM(C365)&amp;" ")-1),",","."))-1)/MID(SUBSTITUTE(LEFT(TRIM(C365),FIND(" ",TRIM(C365)&amp;" ")-1),",","."),FIND("/",SUBSTITUTE(LEFT(TRIM(C365),FIND(" ",TRIM(C365)&amp;" ")-1),",","."))+1,9))*12/52,IF(ISNUMBER(SEARCH("month",C365)),IFERROR(_xlfn.NUMBERVALUE(SUBSTITUTE(LEFT(TRIM(C365),FIND(" ",TRIM(C365)&amp;" ")-1),",","."),"."),LEFT(SUBSTITUTE(LEFT(TRIM(C365),FIND(" ",TRIM(C365)&amp;" ")-1),",","."),FIND("/",SUBSTITUTE(LEFT(TRIM(C365),FIND(" ",TRIM(C365)&amp;" ")-1),",","."))-1)/MID(SUBSTITUTE(LEFT(TRIM(C365),FIND(" ",TRIM(C365)&amp;" ")-1),",","."),FIND("/",SUBSTITUTE(LEFT(TRIM(C365),FIND(" ",TRIM(C365)&amp;" ")-1),",","."))+1,9)),IF(ISNUMBER(SEARCH("yea",C365)),IFERROR(_xlfn.NUMBERVALUE(SUBSTITUTE(LEFT(TRIM(C365),FIND(" ",TRIM(C365)&amp;" ")-1),",","."),"."),LEFT(SUBSTITUTE(LEFT(TRIM(C365),FIND(" ",TRIM(C365)&amp;" ")-1),",","."),FIND("/",SUBSTITUTE(LEFT(TRIM(C365),FIND(" ",TRIM(C365)&amp;" ")-1),",","."))-1)/MID(SUBSTITUTE(LEFT(TRIM(C365),FIND(" ",TRIM(C365)&amp;" ")-1),",","."),FIND("/",SUBSTITUTE(LEFT(TRIM(C365),FIND(" ",TRIM(C365)&amp;" ")-1),",","."))+1,9))*12,NA()))),0),24)*'Aturan &amp; Tarif'!$B$4,2)</f>
        <v>1362.72</v>
      </c>
      <c r="K365" s="32" t="n">
        <f aca="false">'Aturan &amp; Tarif'!$B$5</f>
        <v>2050</v>
      </c>
      <c r="L365" s="32" t="n">
        <f aca="false">'Aturan &amp; Tarif'!$B$6</f>
        <v>350</v>
      </c>
      <c r="M365" s="35" t="n">
        <f aca="false">I365+J365+K365+L365</f>
        <v>21982.72</v>
      </c>
      <c r="N365" s="37" t="s">
        <v>512</v>
      </c>
    </row>
    <row r="366" customFormat="false" ht="37.5" hidden="false" customHeight="true" outlineLevel="0" collapsed="false">
      <c r="A366" s="29"/>
      <c r="B366" s="30" t="s">
        <v>1504</v>
      </c>
      <c r="C366" s="31" t="s">
        <v>107</v>
      </c>
      <c r="D366" s="31" t="s">
        <v>108</v>
      </c>
      <c r="E366" s="32" t="n">
        <v>9110</v>
      </c>
      <c r="F366" s="32"/>
      <c r="G366" s="32"/>
      <c r="H366" s="33" t="n">
        <v>2</v>
      </c>
      <c r="I366" s="34" t="n">
        <f aca="false">E366*H366+N(F366)+N(G366)</f>
        <v>18220</v>
      </c>
      <c r="J366" s="32" t="n">
        <f aca="false">ROUND(IFERROR(ROUND(IF(OR(ISNUMBER(SEARCH("week",C366)),ISNUMBER(SEARCH("minggu",C366))),IFERROR(_xlfn.NUMBERVALUE(SUBSTITUTE(LEFT(TRIM(C366),FIND(" ",TRIM(C366)&amp;" ")-1),",","."),"."),LEFT(SUBSTITUTE(LEFT(TRIM(C366),FIND(" ",TRIM(C366)&amp;" ")-1),",","."),FIND("/",SUBSTITUTE(LEFT(TRIM(C366),FIND(" ",TRIM(C366)&amp;" ")-1),",","."))-1)/MID(SUBSTITUTE(LEFT(TRIM(C366),FIND(" ",TRIM(C366)&amp;" ")-1),",","."),FIND("/",SUBSTITUTE(LEFT(TRIM(C366),FIND(" ",TRIM(C366)&amp;" ")-1),",","."))+1,9))*12/52,IF(ISNUMBER(SEARCH("month",C366)),IFERROR(_xlfn.NUMBERVALUE(SUBSTITUTE(LEFT(TRIM(C366),FIND(" ",TRIM(C366)&amp;" ")-1),",","."),"."),LEFT(SUBSTITUTE(LEFT(TRIM(C366),FIND(" ",TRIM(C366)&amp;" ")-1),",","."),FIND("/",SUBSTITUTE(LEFT(TRIM(C366),FIND(" ",TRIM(C366)&amp;" ")-1),",","."))-1)/MID(SUBSTITUTE(LEFT(TRIM(C366),FIND(" ",TRIM(C366)&amp;" ")-1),",","."),FIND("/",SUBSTITUTE(LEFT(TRIM(C366),FIND(" ",TRIM(C366)&amp;" ")-1),",","."))+1,9)),IF(ISNUMBER(SEARCH("yea",C366)),IFERROR(_xlfn.NUMBERVALUE(SUBSTITUTE(LEFT(TRIM(C366),FIND(" ",TRIM(C366)&amp;" ")-1),",","."),"."),LEFT(SUBSTITUTE(LEFT(TRIM(C366),FIND(" ",TRIM(C366)&amp;" ")-1),",","."),FIND("/",SUBSTITUTE(LEFT(TRIM(C366),FIND(" ",TRIM(C366)&amp;" ")-1),",","."))-1)/MID(SUBSTITUTE(LEFT(TRIM(C366),FIND(" ",TRIM(C366)&amp;" ")-1),",","."),FIND("/",SUBSTITUTE(LEFT(TRIM(C366),FIND(" ",TRIM(C366)&amp;" ")-1),",","."))+1,9))*12,NA()))),0),24)*'Aturan &amp; Tarif'!$B$4,2)</f>
        <v>1362.72</v>
      </c>
      <c r="K366" s="32" t="n">
        <f aca="false">'Aturan &amp; Tarif'!$B$5</f>
        <v>2050</v>
      </c>
      <c r="L366" s="32" t="n">
        <f aca="false">'Aturan &amp; Tarif'!$B$6</f>
        <v>350</v>
      </c>
      <c r="M366" s="35" t="n">
        <f aca="false">I366+J366+K366+L366</f>
        <v>21982.72</v>
      </c>
      <c r="N366" s="37" t="s">
        <v>512</v>
      </c>
    </row>
    <row r="367" customFormat="false" ht="37.5" hidden="false" customHeight="true" outlineLevel="0" collapsed="false">
      <c r="A367" s="29"/>
      <c r="B367" s="30" t="s">
        <v>2012</v>
      </c>
      <c r="C367" s="31" t="s">
        <v>107</v>
      </c>
      <c r="D367" s="31" t="s">
        <v>108</v>
      </c>
      <c r="E367" s="32" t="n">
        <v>9110</v>
      </c>
      <c r="F367" s="32"/>
      <c r="G367" s="32"/>
      <c r="H367" s="33" t="n">
        <v>2</v>
      </c>
      <c r="I367" s="34" t="n">
        <f aca="false">E367*H367+N(F367)+N(G367)</f>
        <v>18220</v>
      </c>
      <c r="J367" s="32" t="n">
        <f aca="false">ROUND(IFERROR(ROUND(IF(OR(ISNUMBER(SEARCH("week",C367)),ISNUMBER(SEARCH("minggu",C367))),IFERROR(_xlfn.NUMBERVALUE(SUBSTITUTE(LEFT(TRIM(C367),FIND(" ",TRIM(C367)&amp;" ")-1),",","."),"."),LEFT(SUBSTITUTE(LEFT(TRIM(C367),FIND(" ",TRIM(C367)&amp;" ")-1),",","."),FIND("/",SUBSTITUTE(LEFT(TRIM(C367),FIND(" ",TRIM(C367)&amp;" ")-1),",","."))-1)/MID(SUBSTITUTE(LEFT(TRIM(C367),FIND(" ",TRIM(C367)&amp;" ")-1),",","."),FIND("/",SUBSTITUTE(LEFT(TRIM(C367),FIND(" ",TRIM(C367)&amp;" ")-1),",","."))+1,9))*12/52,IF(ISNUMBER(SEARCH("month",C367)),IFERROR(_xlfn.NUMBERVALUE(SUBSTITUTE(LEFT(TRIM(C367),FIND(" ",TRIM(C367)&amp;" ")-1),",","."),"."),LEFT(SUBSTITUTE(LEFT(TRIM(C367),FIND(" ",TRIM(C367)&amp;" ")-1),",","."),FIND("/",SUBSTITUTE(LEFT(TRIM(C367),FIND(" ",TRIM(C367)&amp;" ")-1),",","."))-1)/MID(SUBSTITUTE(LEFT(TRIM(C367),FIND(" ",TRIM(C367)&amp;" ")-1),",","."),FIND("/",SUBSTITUTE(LEFT(TRIM(C367),FIND(" ",TRIM(C367)&amp;" ")-1),",","."))+1,9)),IF(ISNUMBER(SEARCH("yea",C367)),IFERROR(_xlfn.NUMBERVALUE(SUBSTITUTE(LEFT(TRIM(C367),FIND(" ",TRIM(C367)&amp;" ")-1),",","."),"."),LEFT(SUBSTITUTE(LEFT(TRIM(C367),FIND(" ",TRIM(C367)&amp;" ")-1),",","."),FIND("/",SUBSTITUTE(LEFT(TRIM(C367),FIND(" ",TRIM(C367)&amp;" ")-1),",","."))-1)/MID(SUBSTITUTE(LEFT(TRIM(C367),FIND(" ",TRIM(C367)&amp;" ")-1),",","."),FIND("/",SUBSTITUTE(LEFT(TRIM(C367),FIND(" ",TRIM(C367)&amp;" ")-1),",","."))+1,9))*12,NA()))),0),24)*'Aturan &amp; Tarif'!$B$4,2)</f>
        <v>1362.72</v>
      </c>
      <c r="K367" s="32" t="n">
        <f aca="false">'Aturan &amp; Tarif'!$B$5</f>
        <v>2050</v>
      </c>
      <c r="L367" s="32" t="n">
        <f aca="false">'Aturan &amp; Tarif'!$B$6</f>
        <v>350</v>
      </c>
      <c r="M367" s="35" t="n">
        <f aca="false">I367+J367+K367+L367</f>
        <v>21982.72</v>
      </c>
      <c r="N367" s="37" t="s">
        <v>512</v>
      </c>
    </row>
    <row r="368" customFormat="false" ht="14.25" hidden="false" customHeight="true" outlineLevel="0" collapsed="false">
      <c r="A368" s="29"/>
      <c r="B368" s="30" t="s">
        <v>2013</v>
      </c>
      <c r="C368" s="31" t="s">
        <v>107</v>
      </c>
      <c r="D368" s="31" t="s">
        <v>108</v>
      </c>
      <c r="E368" s="32" t="n">
        <v>9110</v>
      </c>
      <c r="F368" s="32"/>
      <c r="G368" s="32"/>
      <c r="H368" s="33" t="n">
        <v>2</v>
      </c>
      <c r="I368" s="34" t="n">
        <f aca="false">E368*H368+N(F368)+N(G368)</f>
        <v>18220</v>
      </c>
      <c r="J368" s="32" t="n">
        <f aca="false">ROUND(IFERROR(ROUND(IF(OR(ISNUMBER(SEARCH("week",C368)),ISNUMBER(SEARCH("minggu",C368))),IFERROR(_xlfn.NUMBERVALUE(SUBSTITUTE(LEFT(TRIM(C368),FIND(" ",TRIM(C368)&amp;" ")-1),",","."),"."),LEFT(SUBSTITUTE(LEFT(TRIM(C368),FIND(" ",TRIM(C368)&amp;" ")-1),",","."),FIND("/",SUBSTITUTE(LEFT(TRIM(C368),FIND(" ",TRIM(C368)&amp;" ")-1),",","."))-1)/MID(SUBSTITUTE(LEFT(TRIM(C368),FIND(" ",TRIM(C368)&amp;" ")-1),",","."),FIND("/",SUBSTITUTE(LEFT(TRIM(C368),FIND(" ",TRIM(C368)&amp;" ")-1),",","."))+1,9))*12/52,IF(ISNUMBER(SEARCH("month",C368)),IFERROR(_xlfn.NUMBERVALUE(SUBSTITUTE(LEFT(TRIM(C368),FIND(" ",TRIM(C368)&amp;" ")-1),",","."),"."),LEFT(SUBSTITUTE(LEFT(TRIM(C368),FIND(" ",TRIM(C368)&amp;" ")-1),",","."),FIND("/",SUBSTITUTE(LEFT(TRIM(C368),FIND(" ",TRIM(C368)&amp;" ")-1),",","."))-1)/MID(SUBSTITUTE(LEFT(TRIM(C368),FIND(" ",TRIM(C368)&amp;" ")-1),",","."),FIND("/",SUBSTITUTE(LEFT(TRIM(C368),FIND(" ",TRIM(C368)&amp;" ")-1),",","."))+1,9)),IF(ISNUMBER(SEARCH("yea",C368)),IFERROR(_xlfn.NUMBERVALUE(SUBSTITUTE(LEFT(TRIM(C368),FIND(" ",TRIM(C368)&amp;" ")-1),",","."),"."),LEFT(SUBSTITUTE(LEFT(TRIM(C368),FIND(" ",TRIM(C368)&amp;" ")-1),",","."),FIND("/",SUBSTITUTE(LEFT(TRIM(C368),FIND(" ",TRIM(C368)&amp;" ")-1),",","."))-1)/MID(SUBSTITUTE(LEFT(TRIM(C368),FIND(" ",TRIM(C368)&amp;" ")-1),",","."),FIND("/",SUBSTITUTE(LEFT(TRIM(C368),FIND(" ",TRIM(C368)&amp;" ")-1),",","."))+1,9))*12,NA()))),0),24)*'Aturan &amp; Tarif'!$B$4,2)</f>
        <v>1362.72</v>
      </c>
      <c r="K368" s="32" t="n">
        <f aca="false">'Aturan &amp; Tarif'!$B$5</f>
        <v>2050</v>
      </c>
      <c r="L368" s="32" t="n">
        <f aca="false">'Aturan &amp; Tarif'!$B$6</f>
        <v>350</v>
      </c>
      <c r="M368" s="35" t="n">
        <f aca="false">I368+J368+K368+L368</f>
        <v>21982.72</v>
      </c>
      <c r="N368" s="37" t="s">
        <v>512</v>
      </c>
    </row>
    <row r="369" customFormat="false" ht="14.25" hidden="false" customHeight="true" outlineLevel="0" collapsed="false">
      <c r="A369" s="29"/>
      <c r="B369" s="30" t="s">
        <v>891</v>
      </c>
      <c r="C369" s="31" t="s">
        <v>191</v>
      </c>
      <c r="D369" s="31" t="s">
        <v>108</v>
      </c>
      <c r="E369" s="32" t="n">
        <v>8427</v>
      </c>
      <c r="F369" s="32"/>
      <c r="G369" s="32"/>
      <c r="H369" s="33" t="n">
        <v>2</v>
      </c>
      <c r="I369" s="34" t="n">
        <f aca="false">E369*H369+N(F369)+N(G369)</f>
        <v>16854</v>
      </c>
      <c r="J369" s="32" t="n">
        <f aca="false">ROUND(IFERROR(ROUND(IF(OR(ISNUMBER(SEARCH("week",C369)),ISNUMBER(SEARCH("minggu",C369))),IFERROR(_xlfn.NUMBERVALUE(SUBSTITUTE(LEFT(TRIM(C369),FIND(" ",TRIM(C369)&amp;" ")-1),",","."),"."),LEFT(SUBSTITUTE(LEFT(TRIM(C369),FIND(" ",TRIM(C369)&amp;" ")-1),",","."),FIND("/",SUBSTITUTE(LEFT(TRIM(C369),FIND(" ",TRIM(C369)&amp;" ")-1),",","."))-1)/MID(SUBSTITUTE(LEFT(TRIM(C369),FIND(" ",TRIM(C369)&amp;" ")-1),",","."),FIND("/",SUBSTITUTE(LEFT(TRIM(C369),FIND(" ",TRIM(C369)&amp;" ")-1),",","."))+1,9))*12/52,IF(ISNUMBER(SEARCH("month",C369)),IFERROR(_xlfn.NUMBERVALUE(SUBSTITUTE(LEFT(TRIM(C369),FIND(" ",TRIM(C369)&amp;" ")-1),",","."),"."),LEFT(SUBSTITUTE(LEFT(TRIM(C369),FIND(" ",TRIM(C369)&amp;" ")-1),",","."),FIND("/",SUBSTITUTE(LEFT(TRIM(C369),FIND(" ",TRIM(C369)&amp;" ")-1),",","."))-1)/MID(SUBSTITUTE(LEFT(TRIM(C369),FIND(" ",TRIM(C369)&amp;" ")-1),",","."),FIND("/",SUBSTITUTE(LEFT(TRIM(C369),FIND(" ",TRIM(C369)&amp;" ")-1),",","."))+1,9)),IF(ISNUMBER(SEARCH("yea",C369)),IFERROR(_xlfn.NUMBERVALUE(SUBSTITUTE(LEFT(TRIM(C369),FIND(" ",TRIM(C369)&amp;" ")-1),",","."),"."),LEFT(SUBSTITUTE(LEFT(TRIM(C369),FIND(" ",TRIM(C369)&amp;" ")-1),",","."),FIND("/",SUBSTITUTE(LEFT(TRIM(C369),FIND(" ",TRIM(C369)&amp;" ")-1),",","."))-1)/MID(SUBSTITUTE(LEFT(TRIM(C369),FIND(" ",TRIM(C369)&amp;" ")-1),",","."),FIND("/",SUBSTITUTE(LEFT(TRIM(C369),FIND(" ",TRIM(C369)&amp;" ")-1),",","."))+1,9))*12,NA()))),0),48)*'Aturan &amp; Tarif'!$B$4,2)</f>
        <v>2725.44</v>
      </c>
      <c r="K369" s="32" t="n">
        <f aca="false">'Aturan &amp; Tarif'!$B$5</f>
        <v>2050</v>
      </c>
      <c r="L369" s="32" t="n">
        <f aca="false">'Aturan &amp; Tarif'!$B$6</f>
        <v>350</v>
      </c>
      <c r="M369" s="35" t="n">
        <f aca="false">I369+J369+K369+L369</f>
        <v>21979.44</v>
      </c>
      <c r="N369" s="36" t="s">
        <v>605</v>
      </c>
    </row>
    <row r="370" customFormat="false" ht="106.5" hidden="false" customHeight="true" outlineLevel="0" collapsed="false">
      <c r="A370" s="29"/>
      <c r="B370" s="30" t="s">
        <v>892</v>
      </c>
      <c r="C370" s="31" t="s">
        <v>191</v>
      </c>
      <c r="D370" s="31" t="s">
        <v>108</v>
      </c>
      <c r="E370" s="32" t="n">
        <v>7784</v>
      </c>
      <c r="F370" s="32"/>
      <c r="G370" s="32"/>
      <c r="H370" s="33" t="n">
        <v>2</v>
      </c>
      <c r="I370" s="34" t="n">
        <f aca="false">E370*H370+N(F370)+N(G370)</f>
        <v>15568</v>
      </c>
      <c r="J370" s="32" t="n">
        <f aca="false">ROUND(IFERROR(ROUND(IF(OR(ISNUMBER(SEARCH("week",C370)),ISNUMBER(SEARCH("minggu",C370))),IFERROR(_xlfn.NUMBERVALUE(SUBSTITUTE(LEFT(TRIM(C370),FIND(" ",TRIM(C370)&amp;" ")-1),",","."),"."),LEFT(SUBSTITUTE(LEFT(TRIM(C370),FIND(" ",TRIM(C370)&amp;" ")-1),",","."),FIND("/",SUBSTITUTE(LEFT(TRIM(C370),FIND(" ",TRIM(C370)&amp;" ")-1),",","."))-1)/MID(SUBSTITUTE(LEFT(TRIM(C370),FIND(" ",TRIM(C370)&amp;" ")-1),",","."),FIND("/",SUBSTITUTE(LEFT(TRIM(C370),FIND(" ",TRIM(C370)&amp;" ")-1),",","."))+1,9))*12/52,IF(ISNUMBER(SEARCH("month",C370)),IFERROR(_xlfn.NUMBERVALUE(SUBSTITUTE(LEFT(TRIM(C370),FIND(" ",TRIM(C370)&amp;" ")-1),",","."),"."),LEFT(SUBSTITUTE(LEFT(TRIM(C370),FIND(" ",TRIM(C370)&amp;" ")-1),",","."),FIND("/",SUBSTITUTE(LEFT(TRIM(C370),FIND(" ",TRIM(C370)&amp;" ")-1),",","."))-1)/MID(SUBSTITUTE(LEFT(TRIM(C370),FIND(" ",TRIM(C370)&amp;" ")-1),",","."),FIND("/",SUBSTITUTE(LEFT(TRIM(C370),FIND(" ",TRIM(C370)&amp;" ")-1),",","."))+1,9)),IF(ISNUMBER(SEARCH("yea",C370)),IFERROR(_xlfn.NUMBERVALUE(SUBSTITUTE(LEFT(TRIM(C370),FIND(" ",TRIM(C370)&amp;" ")-1),",","."),"."),LEFT(SUBSTITUTE(LEFT(TRIM(C370),FIND(" ",TRIM(C370)&amp;" ")-1),",","."),FIND("/",SUBSTITUTE(LEFT(TRIM(C370),FIND(" ",TRIM(C370)&amp;" ")-1),",","."))-1)/MID(SUBSTITUTE(LEFT(TRIM(C370),FIND(" ",TRIM(C370)&amp;" ")-1),",","."),FIND("/",SUBSTITUTE(LEFT(TRIM(C370),FIND(" ",TRIM(C370)&amp;" ")-1),",","."))+1,9))*12,NA()))),0),48)*'Aturan &amp; Tarif'!$B$4,2)</f>
        <v>2725.44</v>
      </c>
      <c r="K370" s="32" t="n">
        <f aca="false">'Aturan &amp; Tarif'!$B$5</f>
        <v>2050</v>
      </c>
      <c r="L370" s="32" t="n">
        <f aca="false">'Aturan &amp; Tarif'!$B$6</f>
        <v>350</v>
      </c>
      <c r="M370" s="35" t="n">
        <f aca="false">I370+J370+K370+L370</f>
        <v>20693.44</v>
      </c>
      <c r="N370" s="36" t="s">
        <v>607</v>
      </c>
    </row>
    <row r="371" customFormat="false" ht="60" hidden="false" customHeight="true" outlineLevel="0" collapsed="false">
      <c r="A371" s="29"/>
      <c r="B371" s="30" t="s">
        <v>893</v>
      </c>
      <c r="C371" s="31" t="s">
        <v>107</v>
      </c>
      <c r="D371" s="31" t="s">
        <v>108</v>
      </c>
      <c r="E371" s="32" t="n">
        <v>8427</v>
      </c>
      <c r="F371" s="32"/>
      <c r="G371" s="32"/>
      <c r="H371" s="33" t="n">
        <v>2</v>
      </c>
      <c r="I371" s="34" t="n">
        <f aca="false">E371*H371+N(F371)+N(G371)</f>
        <v>16854</v>
      </c>
      <c r="J371" s="32" t="n">
        <f aca="false">ROUND(IFERROR(ROUND(IF(OR(ISNUMBER(SEARCH("week",C371)),ISNUMBER(SEARCH("minggu",C371))),IFERROR(_xlfn.NUMBERVALUE(SUBSTITUTE(LEFT(TRIM(C371),FIND(" ",TRIM(C371)&amp;" ")-1),",","."),"."),LEFT(SUBSTITUTE(LEFT(TRIM(C371),FIND(" ",TRIM(C371)&amp;" ")-1),",","."),FIND("/",SUBSTITUTE(LEFT(TRIM(C371),FIND(" ",TRIM(C371)&amp;" ")-1),",","."))-1)/MID(SUBSTITUTE(LEFT(TRIM(C371),FIND(" ",TRIM(C371)&amp;" ")-1),",","."),FIND("/",SUBSTITUTE(LEFT(TRIM(C371),FIND(" ",TRIM(C371)&amp;" ")-1),",","."))+1,9))*12/52,IF(ISNUMBER(SEARCH("month",C371)),IFERROR(_xlfn.NUMBERVALUE(SUBSTITUTE(LEFT(TRIM(C371),FIND(" ",TRIM(C371)&amp;" ")-1),",","."),"."),LEFT(SUBSTITUTE(LEFT(TRIM(C371),FIND(" ",TRIM(C371)&amp;" ")-1),",","."),FIND("/",SUBSTITUTE(LEFT(TRIM(C371),FIND(" ",TRIM(C371)&amp;" ")-1),",","."))-1)/MID(SUBSTITUTE(LEFT(TRIM(C371),FIND(" ",TRIM(C371)&amp;" ")-1),",","."),FIND("/",SUBSTITUTE(LEFT(TRIM(C371),FIND(" ",TRIM(C371)&amp;" ")-1),",","."))+1,9)),IF(ISNUMBER(SEARCH("yea",C371)),IFERROR(_xlfn.NUMBERVALUE(SUBSTITUTE(LEFT(TRIM(C371),FIND(" ",TRIM(C371)&amp;" ")-1),",","."),"."),LEFT(SUBSTITUTE(LEFT(TRIM(C371),FIND(" ",TRIM(C371)&amp;" ")-1),",","."),FIND("/",SUBSTITUTE(LEFT(TRIM(C371),FIND(" ",TRIM(C371)&amp;" ")-1),",","."))-1)/MID(SUBSTITUTE(LEFT(TRIM(C371),FIND(" ",TRIM(C371)&amp;" ")-1),",","."),FIND("/",SUBSTITUTE(LEFT(TRIM(C371),FIND(" ",TRIM(C371)&amp;" ")-1),",","."))+1,9))*12,NA()))),0),24)*'Aturan &amp; Tarif'!$B$4,2)</f>
        <v>1362.72</v>
      </c>
      <c r="K371" s="32" t="n">
        <f aca="false">'Aturan &amp; Tarif'!$B$5</f>
        <v>2050</v>
      </c>
      <c r="L371" s="32" t="n">
        <f aca="false">'Aturan &amp; Tarif'!$B$6</f>
        <v>350</v>
      </c>
      <c r="M371" s="35" t="n">
        <f aca="false">I371+J371+K371+L371</f>
        <v>20616.72</v>
      </c>
      <c r="N371" s="36" t="s">
        <v>605</v>
      </c>
    </row>
    <row r="372" customFormat="false" ht="60" hidden="false" customHeight="true" outlineLevel="0" collapsed="false">
      <c r="A372" s="29"/>
      <c r="B372" s="30" t="s">
        <v>894</v>
      </c>
      <c r="C372" s="31" t="s">
        <v>107</v>
      </c>
      <c r="D372" s="31" t="s">
        <v>108</v>
      </c>
      <c r="E372" s="32" t="n">
        <v>7784</v>
      </c>
      <c r="F372" s="32"/>
      <c r="G372" s="32"/>
      <c r="H372" s="33" t="n">
        <v>2</v>
      </c>
      <c r="I372" s="34" t="n">
        <f aca="false">E372*H372+N(F372)+N(G372)</f>
        <v>15568</v>
      </c>
      <c r="J372" s="32" t="n">
        <f aca="false">ROUND(IFERROR(ROUND(IF(OR(ISNUMBER(SEARCH("week",C372)),ISNUMBER(SEARCH("minggu",C372))),IFERROR(_xlfn.NUMBERVALUE(SUBSTITUTE(LEFT(TRIM(C372),FIND(" ",TRIM(C372)&amp;" ")-1),",","."),"."),LEFT(SUBSTITUTE(LEFT(TRIM(C372),FIND(" ",TRIM(C372)&amp;" ")-1),",","."),FIND("/",SUBSTITUTE(LEFT(TRIM(C372),FIND(" ",TRIM(C372)&amp;" ")-1),",","."))-1)/MID(SUBSTITUTE(LEFT(TRIM(C372),FIND(" ",TRIM(C372)&amp;" ")-1),",","."),FIND("/",SUBSTITUTE(LEFT(TRIM(C372),FIND(" ",TRIM(C372)&amp;" ")-1),",","."))+1,9))*12/52,IF(ISNUMBER(SEARCH("month",C372)),IFERROR(_xlfn.NUMBERVALUE(SUBSTITUTE(LEFT(TRIM(C372),FIND(" ",TRIM(C372)&amp;" ")-1),",","."),"."),LEFT(SUBSTITUTE(LEFT(TRIM(C372),FIND(" ",TRIM(C372)&amp;" ")-1),",","."),FIND("/",SUBSTITUTE(LEFT(TRIM(C372),FIND(" ",TRIM(C372)&amp;" ")-1),",","."))-1)/MID(SUBSTITUTE(LEFT(TRIM(C372),FIND(" ",TRIM(C372)&amp;" ")-1),",","."),FIND("/",SUBSTITUTE(LEFT(TRIM(C372),FIND(" ",TRIM(C372)&amp;" ")-1),",","."))+1,9)),IF(ISNUMBER(SEARCH("yea",C372)),IFERROR(_xlfn.NUMBERVALUE(SUBSTITUTE(LEFT(TRIM(C372),FIND(" ",TRIM(C372)&amp;" ")-1),",","."),"."),LEFT(SUBSTITUTE(LEFT(TRIM(C372),FIND(" ",TRIM(C372)&amp;" ")-1),",","."),FIND("/",SUBSTITUTE(LEFT(TRIM(C372),FIND(" ",TRIM(C372)&amp;" ")-1),",","."))-1)/MID(SUBSTITUTE(LEFT(TRIM(C372),FIND(" ",TRIM(C372)&amp;" ")-1),",","."),FIND("/",SUBSTITUTE(LEFT(TRIM(C372),FIND(" ",TRIM(C372)&amp;" ")-1),",","."))+1,9))*12,NA()))),0),24)*'Aturan &amp; Tarif'!$B$4,2)</f>
        <v>1362.72</v>
      </c>
      <c r="K372" s="32" t="n">
        <f aca="false">'Aturan &amp; Tarif'!$B$5</f>
        <v>2050</v>
      </c>
      <c r="L372" s="32" t="n">
        <f aca="false">'Aturan &amp; Tarif'!$B$6</f>
        <v>350</v>
      </c>
      <c r="M372" s="35" t="n">
        <f aca="false">I372+J372+K372+L372</f>
        <v>19330.72</v>
      </c>
      <c r="N372" s="36" t="s">
        <v>607</v>
      </c>
    </row>
    <row r="373" customFormat="false" ht="60" hidden="false" customHeight="true" outlineLevel="0" collapsed="false">
      <c r="A373" s="29"/>
      <c r="B373" s="30" t="s">
        <v>604</v>
      </c>
      <c r="C373" s="31" t="s">
        <v>191</v>
      </c>
      <c r="D373" s="31" t="s">
        <v>108</v>
      </c>
      <c r="E373" s="32" t="n">
        <v>8427</v>
      </c>
      <c r="F373" s="32"/>
      <c r="G373" s="32"/>
      <c r="H373" s="33" t="n">
        <v>2</v>
      </c>
      <c r="I373" s="34" t="n">
        <f aca="false">E373*H373+N(F373)+N(G373)</f>
        <v>16854</v>
      </c>
      <c r="J373" s="32" t="n">
        <f aca="false">ROUND(IFERROR(ROUND(IF(OR(ISNUMBER(SEARCH("week",C373)),ISNUMBER(SEARCH("minggu",C373))),IFERROR(_xlfn.NUMBERVALUE(SUBSTITUTE(LEFT(TRIM(C373),FIND(" ",TRIM(C373)&amp;" ")-1),",","."),"."),LEFT(SUBSTITUTE(LEFT(TRIM(C373),FIND(" ",TRIM(C373)&amp;" ")-1),",","."),FIND("/",SUBSTITUTE(LEFT(TRIM(C373),FIND(" ",TRIM(C373)&amp;" ")-1),",","."))-1)/MID(SUBSTITUTE(LEFT(TRIM(C373),FIND(" ",TRIM(C373)&amp;" ")-1),",","."),FIND("/",SUBSTITUTE(LEFT(TRIM(C373),FIND(" ",TRIM(C373)&amp;" ")-1),",","."))+1,9))*12/52,IF(ISNUMBER(SEARCH("month",C373)),IFERROR(_xlfn.NUMBERVALUE(SUBSTITUTE(LEFT(TRIM(C373),FIND(" ",TRIM(C373)&amp;" ")-1),",","."),"."),LEFT(SUBSTITUTE(LEFT(TRIM(C373),FIND(" ",TRIM(C373)&amp;" ")-1),",","."),FIND("/",SUBSTITUTE(LEFT(TRIM(C373),FIND(" ",TRIM(C373)&amp;" ")-1),",","."))-1)/MID(SUBSTITUTE(LEFT(TRIM(C373),FIND(" ",TRIM(C373)&amp;" ")-1),",","."),FIND("/",SUBSTITUTE(LEFT(TRIM(C373),FIND(" ",TRIM(C373)&amp;" ")-1),",","."))+1,9)),IF(ISNUMBER(SEARCH("yea",C373)),IFERROR(_xlfn.NUMBERVALUE(SUBSTITUTE(LEFT(TRIM(C373),FIND(" ",TRIM(C373)&amp;" ")-1),",","."),"."),LEFT(SUBSTITUTE(LEFT(TRIM(C373),FIND(" ",TRIM(C373)&amp;" ")-1),",","."),FIND("/",SUBSTITUTE(LEFT(TRIM(C373),FIND(" ",TRIM(C373)&amp;" ")-1),",","."))-1)/MID(SUBSTITUTE(LEFT(TRIM(C373),FIND(" ",TRIM(C373)&amp;" ")-1),",","."),FIND("/",SUBSTITUTE(LEFT(TRIM(C373),FIND(" ",TRIM(C373)&amp;" ")-1),",","."))+1,9))*12,NA()))),0),48)*'Aturan &amp; Tarif'!$B$4,2)</f>
        <v>2725.44</v>
      </c>
      <c r="K373" s="32" t="n">
        <f aca="false">'Aturan &amp; Tarif'!$B$5</f>
        <v>2050</v>
      </c>
      <c r="L373" s="32" t="n">
        <f aca="false">'Aturan &amp; Tarif'!$B$6</f>
        <v>350</v>
      </c>
      <c r="M373" s="35" t="n">
        <f aca="false">I373+J373+K373+L373</f>
        <v>21979.44</v>
      </c>
      <c r="N373" s="36" t="s">
        <v>605</v>
      </c>
    </row>
    <row r="374" customFormat="false" ht="25.5" hidden="false" customHeight="true" outlineLevel="0" collapsed="false">
      <c r="A374" s="29"/>
      <c r="B374" s="30" t="s">
        <v>606</v>
      </c>
      <c r="C374" s="31" t="s">
        <v>191</v>
      </c>
      <c r="D374" s="31" t="s">
        <v>108</v>
      </c>
      <c r="E374" s="32" t="n">
        <v>7784</v>
      </c>
      <c r="F374" s="32"/>
      <c r="G374" s="32"/>
      <c r="H374" s="33" t="n">
        <v>2</v>
      </c>
      <c r="I374" s="34" t="n">
        <f aca="false">E374*H374+N(F374)+N(G374)</f>
        <v>15568</v>
      </c>
      <c r="J374" s="32" t="n">
        <f aca="false">ROUND(IFERROR(ROUND(IF(OR(ISNUMBER(SEARCH("week",C374)),ISNUMBER(SEARCH("minggu",C374))),IFERROR(_xlfn.NUMBERVALUE(SUBSTITUTE(LEFT(TRIM(C374),FIND(" ",TRIM(C374)&amp;" ")-1),",","."),"."),LEFT(SUBSTITUTE(LEFT(TRIM(C374),FIND(" ",TRIM(C374)&amp;" ")-1),",","."),FIND("/",SUBSTITUTE(LEFT(TRIM(C374),FIND(" ",TRIM(C374)&amp;" ")-1),",","."))-1)/MID(SUBSTITUTE(LEFT(TRIM(C374),FIND(" ",TRIM(C374)&amp;" ")-1),",","."),FIND("/",SUBSTITUTE(LEFT(TRIM(C374),FIND(" ",TRIM(C374)&amp;" ")-1),",","."))+1,9))*12/52,IF(ISNUMBER(SEARCH("month",C374)),IFERROR(_xlfn.NUMBERVALUE(SUBSTITUTE(LEFT(TRIM(C374),FIND(" ",TRIM(C374)&amp;" ")-1),",","."),"."),LEFT(SUBSTITUTE(LEFT(TRIM(C374),FIND(" ",TRIM(C374)&amp;" ")-1),",","."),FIND("/",SUBSTITUTE(LEFT(TRIM(C374),FIND(" ",TRIM(C374)&amp;" ")-1),",","."))-1)/MID(SUBSTITUTE(LEFT(TRIM(C374),FIND(" ",TRIM(C374)&amp;" ")-1),",","."),FIND("/",SUBSTITUTE(LEFT(TRIM(C374),FIND(" ",TRIM(C374)&amp;" ")-1),",","."))+1,9)),IF(ISNUMBER(SEARCH("yea",C374)),IFERROR(_xlfn.NUMBERVALUE(SUBSTITUTE(LEFT(TRIM(C374),FIND(" ",TRIM(C374)&amp;" ")-1),",","."),"."),LEFT(SUBSTITUTE(LEFT(TRIM(C374),FIND(" ",TRIM(C374)&amp;" ")-1),",","."),FIND("/",SUBSTITUTE(LEFT(TRIM(C374),FIND(" ",TRIM(C374)&amp;" ")-1),",","."))-1)/MID(SUBSTITUTE(LEFT(TRIM(C374),FIND(" ",TRIM(C374)&amp;" ")-1),",","."),FIND("/",SUBSTITUTE(LEFT(TRIM(C374),FIND(" ",TRIM(C374)&amp;" ")-1),",","."))+1,9))*12,NA()))),0),48)*'Aturan &amp; Tarif'!$B$4,2)</f>
        <v>2725.44</v>
      </c>
      <c r="K374" s="32" t="n">
        <f aca="false">'Aturan &amp; Tarif'!$B$5</f>
        <v>2050</v>
      </c>
      <c r="L374" s="32" t="n">
        <f aca="false">'Aturan &amp; Tarif'!$B$6</f>
        <v>350</v>
      </c>
      <c r="M374" s="35" t="n">
        <f aca="false">I374+J374+K374+L374</f>
        <v>20693.44</v>
      </c>
      <c r="N374" s="36" t="s">
        <v>607</v>
      </c>
    </row>
    <row r="375" customFormat="false" ht="60" hidden="false" customHeight="true" outlineLevel="0" collapsed="false">
      <c r="A375" s="29"/>
      <c r="B375" s="30" t="s">
        <v>608</v>
      </c>
      <c r="C375" s="31" t="s">
        <v>107</v>
      </c>
      <c r="D375" s="31" t="s">
        <v>108</v>
      </c>
      <c r="E375" s="32" t="n">
        <v>8427</v>
      </c>
      <c r="F375" s="32"/>
      <c r="G375" s="32"/>
      <c r="H375" s="33" t="n">
        <v>2</v>
      </c>
      <c r="I375" s="34" t="n">
        <f aca="false">E375*H375+N(F375)+N(G375)</f>
        <v>16854</v>
      </c>
      <c r="J375" s="32" t="n">
        <f aca="false">ROUND(IFERROR(ROUND(IF(OR(ISNUMBER(SEARCH("week",C375)),ISNUMBER(SEARCH("minggu",C375))),IFERROR(_xlfn.NUMBERVALUE(SUBSTITUTE(LEFT(TRIM(C375),FIND(" ",TRIM(C375)&amp;" ")-1),",","."),"."),LEFT(SUBSTITUTE(LEFT(TRIM(C375),FIND(" ",TRIM(C375)&amp;" ")-1),",","."),FIND("/",SUBSTITUTE(LEFT(TRIM(C375),FIND(" ",TRIM(C375)&amp;" ")-1),",","."))-1)/MID(SUBSTITUTE(LEFT(TRIM(C375),FIND(" ",TRIM(C375)&amp;" ")-1),",","."),FIND("/",SUBSTITUTE(LEFT(TRIM(C375),FIND(" ",TRIM(C375)&amp;" ")-1),",","."))+1,9))*12/52,IF(ISNUMBER(SEARCH("month",C375)),IFERROR(_xlfn.NUMBERVALUE(SUBSTITUTE(LEFT(TRIM(C375),FIND(" ",TRIM(C375)&amp;" ")-1),",","."),"."),LEFT(SUBSTITUTE(LEFT(TRIM(C375),FIND(" ",TRIM(C375)&amp;" ")-1),",","."),FIND("/",SUBSTITUTE(LEFT(TRIM(C375),FIND(" ",TRIM(C375)&amp;" ")-1),",","."))-1)/MID(SUBSTITUTE(LEFT(TRIM(C375),FIND(" ",TRIM(C375)&amp;" ")-1),",","."),FIND("/",SUBSTITUTE(LEFT(TRIM(C375),FIND(" ",TRIM(C375)&amp;" ")-1),",","."))+1,9)),IF(ISNUMBER(SEARCH("yea",C375)),IFERROR(_xlfn.NUMBERVALUE(SUBSTITUTE(LEFT(TRIM(C375),FIND(" ",TRIM(C375)&amp;" ")-1),",","."),"."),LEFT(SUBSTITUTE(LEFT(TRIM(C375),FIND(" ",TRIM(C375)&amp;" ")-1),",","."),FIND("/",SUBSTITUTE(LEFT(TRIM(C375),FIND(" ",TRIM(C375)&amp;" ")-1),",","."))-1)/MID(SUBSTITUTE(LEFT(TRIM(C375),FIND(" ",TRIM(C375)&amp;" ")-1),",","."),FIND("/",SUBSTITUTE(LEFT(TRIM(C375),FIND(" ",TRIM(C375)&amp;" ")-1),",","."))+1,9))*12,NA()))),0),24)*'Aturan &amp; Tarif'!$B$4,2)</f>
        <v>1362.72</v>
      </c>
      <c r="K375" s="32" t="n">
        <f aca="false">'Aturan &amp; Tarif'!$B$5</f>
        <v>2050</v>
      </c>
      <c r="L375" s="32" t="n">
        <f aca="false">'Aturan &amp; Tarif'!$B$6</f>
        <v>350</v>
      </c>
      <c r="M375" s="35" t="n">
        <f aca="false">I375+J375+K375+L375</f>
        <v>20616.72</v>
      </c>
      <c r="N375" s="36" t="s">
        <v>605</v>
      </c>
    </row>
    <row r="376" customFormat="false" ht="37.5" hidden="false" customHeight="true" outlineLevel="0" collapsed="false">
      <c r="A376" s="29"/>
      <c r="B376" s="30" t="s">
        <v>609</v>
      </c>
      <c r="C376" s="31" t="s">
        <v>107</v>
      </c>
      <c r="D376" s="31" t="s">
        <v>108</v>
      </c>
      <c r="E376" s="32" t="n">
        <v>7784</v>
      </c>
      <c r="F376" s="32"/>
      <c r="G376" s="32"/>
      <c r="H376" s="33" t="n">
        <v>2</v>
      </c>
      <c r="I376" s="34" t="n">
        <f aca="false">E376*H376+N(F376)+N(G376)</f>
        <v>15568</v>
      </c>
      <c r="J376" s="32" t="n">
        <f aca="false">ROUND(IFERROR(ROUND(IF(OR(ISNUMBER(SEARCH("week",C376)),ISNUMBER(SEARCH("minggu",C376))),IFERROR(_xlfn.NUMBERVALUE(SUBSTITUTE(LEFT(TRIM(C376),FIND(" ",TRIM(C376)&amp;" ")-1),",","."),"."),LEFT(SUBSTITUTE(LEFT(TRIM(C376),FIND(" ",TRIM(C376)&amp;" ")-1),",","."),FIND("/",SUBSTITUTE(LEFT(TRIM(C376),FIND(" ",TRIM(C376)&amp;" ")-1),",","."))-1)/MID(SUBSTITUTE(LEFT(TRIM(C376),FIND(" ",TRIM(C376)&amp;" ")-1),",","."),FIND("/",SUBSTITUTE(LEFT(TRIM(C376),FIND(" ",TRIM(C376)&amp;" ")-1),",","."))+1,9))*12/52,IF(ISNUMBER(SEARCH("month",C376)),IFERROR(_xlfn.NUMBERVALUE(SUBSTITUTE(LEFT(TRIM(C376),FIND(" ",TRIM(C376)&amp;" ")-1),",","."),"."),LEFT(SUBSTITUTE(LEFT(TRIM(C376),FIND(" ",TRIM(C376)&amp;" ")-1),",","."),FIND("/",SUBSTITUTE(LEFT(TRIM(C376),FIND(" ",TRIM(C376)&amp;" ")-1),",","."))-1)/MID(SUBSTITUTE(LEFT(TRIM(C376),FIND(" ",TRIM(C376)&amp;" ")-1),",","."),FIND("/",SUBSTITUTE(LEFT(TRIM(C376),FIND(" ",TRIM(C376)&amp;" ")-1),",","."))+1,9)),IF(ISNUMBER(SEARCH("yea",C376)),IFERROR(_xlfn.NUMBERVALUE(SUBSTITUTE(LEFT(TRIM(C376),FIND(" ",TRIM(C376)&amp;" ")-1),",","."),"."),LEFT(SUBSTITUTE(LEFT(TRIM(C376),FIND(" ",TRIM(C376)&amp;" ")-1),",","."),FIND("/",SUBSTITUTE(LEFT(TRIM(C376),FIND(" ",TRIM(C376)&amp;" ")-1),",","."))-1)/MID(SUBSTITUTE(LEFT(TRIM(C376),FIND(" ",TRIM(C376)&amp;" ")-1),",","."),FIND("/",SUBSTITUTE(LEFT(TRIM(C376),FIND(" ",TRIM(C376)&amp;" ")-1),",","."))+1,9))*12,NA()))),0),24)*'Aturan &amp; Tarif'!$B$4,2)</f>
        <v>1362.72</v>
      </c>
      <c r="K376" s="32" t="n">
        <f aca="false">'Aturan &amp; Tarif'!$B$5</f>
        <v>2050</v>
      </c>
      <c r="L376" s="32" t="n">
        <f aca="false">'Aturan &amp; Tarif'!$B$6</f>
        <v>350</v>
      </c>
      <c r="M376" s="35" t="n">
        <f aca="false">I376+J376+K376+L376</f>
        <v>19330.72</v>
      </c>
      <c r="N376" s="36" t="s">
        <v>607</v>
      </c>
    </row>
    <row r="377" customFormat="false" ht="37.5" hidden="false" customHeight="true" outlineLevel="0" collapsed="false">
      <c r="A377" s="29"/>
      <c r="B377" s="30" t="s">
        <v>612</v>
      </c>
      <c r="C377" s="31" t="s">
        <v>344</v>
      </c>
      <c r="D377" s="31" t="s">
        <v>108</v>
      </c>
      <c r="E377" s="32" t="n">
        <v>4350</v>
      </c>
      <c r="F377" s="32"/>
      <c r="G377" s="32"/>
      <c r="H377" s="33" t="n">
        <v>2</v>
      </c>
      <c r="I377" s="34" t="n">
        <f aca="false">E377*H377+N(F377)+N(G377)</f>
        <v>8700</v>
      </c>
      <c r="J377" s="32" t="n">
        <f aca="false">ROUND(IFERROR(ROUND(IF(OR(ISNUMBER(SEARCH("week",C377)),ISNUMBER(SEARCH("minggu",C377))),IFERROR(_xlfn.NUMBERVALUE(SUBSTITUTE(LEFT(TRIM(C377),FIND(" ",TRIM(C377)&amp;" ")-1),",","."),"."),LEFT(SUBSTITUTE(LEFT(TRIM(C377),FIND(" ",TRIM(C377)&amp;" ")-1),",","."),FIND("/",SUBSTITUTE(LEFT(TRIM(C377),FIND(" ",TRIM(C377)&amp;" ")-1),",","."))-1)/MID(SUBSTITUTE(LEFT(TRIM(C377),FIND(" ",TRIM(C377)&amp;" ")-1),",","."),FIND("/",SUBSTITUTE(LEFT(TRIM(C377),FIND(" ",TRIM(C377)&amp;" ")-1),",","."))+1,9))*12/52,IF(ISNUMBER(SEARCH("month",C377)),IFERROR(_xlfn.NUMBERVALUE(SUBSTITUTE(LEFT(TRIM(C377),FIND(" ",TRIM(C377)&amp;" ")-1),",","."),"."),LEFT(SUBSTITUTE(LEFT(TRIM(C377),FIND(" ",TRIM(C377)&amp;" ")-1),",","."),FIND("/",SUBSTITUTE(LEFT(TRIM(C377),FIND(" ",TRIM(C377)&amp;" ")-1),",","."))-1)/MID(SUBSTITUTE(LEFT(TRIM(C377),FIND(" ",TRIM(C377)&amp;" ")-1),",","."),FIND("/",SUBSTITUTE(LEFT(TRIM(C377),FIND(" ",TRIM(C377)&amp;" ")-1),",","."))+1,9)),IF(ISNUMBER(SEARCH("yea",C377)),IFERROR(_xlfn.NUMBERVALUE(SUBSTITUTE(LEFT(TRIM(C377),FIND(" ",TRIM(C377)&amp;" ")-1),",","."),"."),LEFT(SUBSTITUTE(LEFT(TRIM(C377),FIND(" ",TRIM(C377)&amp;" ")-1),",","."),FIND("/",SUBSTITUTE(LEFT(TRIM(C377),FIND(" ",TRIM(C377)&amp;" ")-1),",","."))-1)/MID(SUBSTITUTE(LEFT(TRIM(C377),FIND(" ",TRIM(C377)&amp;" ")-1),",","."),FIND("/",SUBSTITUTE(LEFT(TRIM(C377),FIND(" ",TRIM(C377)&amp;" ")-1),",","."))+1,9))*12,NA()))),0),6)*'Aturan &amp; Tarif'!$B$4,2)</f>
        <v>340.68</v>
      </c>
      <c r="K377" s="32" t="n">
        <f aca="false">'Aturan &amp; Tarif'!$B$5</f>
        <v>2050</v>
      </c>
      <c r="L377" s="32" t="n">
        <f aca="false">'Aturan &amp; Tarif'!$B$6</f>
        <v>350</v>
      </c>
      <c r="M377" s="35" t="n">
        <f aca="false">I377+J377+K377+L377</f>
        <v>11440.68</v>
      </c>
      <c r="N377" s="37" t="s">
        <v>512</v>
      </c>
    </row>
    <row r="378" customFormat="false" ht="37.5" hidden="false" customHeight="true" outlineLevel="0" collapsed="false">
      <c r="A378" s="29"/>
      <c r="B378" s="30" t="s">
        <v>613</v>
      </c>
      <c r="C378" s="31" t="s">
        <v>130</v>
      </c>
      <c r="D378" s="31" t="s">
        <v>108</v>
      </c>
      <c r="E378" s="32" t="n">
        <v>4350</v>
      </c>
      <c r="F378" s="32"/>
      <c r="G378" s="32"/>
      <c r="H378" s="33" t="n">
        <v>2</v>
      </c>
      <c r="I378" s="34" t="n">
        <f aca="false">E378*H378+N(F378)+N(G378)</f>
        <v>8700</v>
      </c>
      <c r="J378" s="32" t="n">
        <f aca="false">ROUND(IFERROR(ROUND(IF(OR(ISNUMBER(SEARCH("week",C378)),ISNUMBER(SEARCH("minggu",C378))),IFERROR(_xlfn.NUMBERVALUE(SUBSTITUTE(LEFT(TRIM(C378),FIND(" ",TRIM(C378)&amp;" ")-1),",","."),"."),LEFT(SUBSTITUTE(LEFT(TRIM(C378),FIND(" ",TRIM(C378)&amp;" ")-1),",","."),FIND("/",SUBSTITUTE(LEFT(TRIM(C378),FIND(" ",TRIM(C378)&amp;" ")-1),",","."))-1)/MID(SUBSTITUTE(LEFT(TRIM(C378),FIND(" ",TRIM(C378)&amp;" ")-1),",","."),FIND("/",SUBSTITUTE(LEFT(TRIM(C378),FIND(" ",TRIM(C378)&amp;" ")-1),",","."))+1,9))*12/52,IF(ISNUMBER(SEARCH("month",C378)),IFERROR(_xlfn.NUMBERVALUE(SUBSTITUTE(LEFT(TRIM(C378),FIND(" ",TRIM(C378)&amp;" ")-1),",","."),"."),LEFT(SUBSTITUTE(LEFT(TRIM(C378),FIND(" ",TRIM(C378)&amp;" ")-1),",","."),FIND("/",SUBSTITUTE(LEFT(TRIM(C378),FIND(" ",TRIM(C378)&amp;" ")-1),",","."))-1)/MID(SUBSTITUTE(LEFT(TRIM(C378),FIND(" ",TRIM(C378)&amp;" ")-1),",","."),FIND("/",SUBSTITUTE(LEFT(TRIM(C378),FIND(" ",TRIM(C378)&amp;" ")-1),",","."))+1,9)),IF(ISNUMBER(SEARCH("yea",C378)),IFERROR(_xlfn.NUMBERVALUE(SUBSTITUTE(LEFT(TRIM(C378),FIND(" ",TRIM(C378)&amp;" ")-1),",","."),"."),LEFT(SUBSTITUTE(LEFT(TRIM(C378),FIND(" ",TRIM(C378)&amp;" ")-1),",","."),FIND("/",SUBSTITUTE(LEFT(TRIM(C378),FIND(" ",TRIM(C378)&amp;" ")-1),",","."))-1)/MID(SUBSTITUTE(LEFT(TRIM(C378),FIND(" ",TRIM(C378)&amp;" ")-1),",","."),FIND("/",SUBSTITUTE(LEFT(TRIM(C378),FIND(" ",TRIM(C378)&amp;" ")-1),",","."))+1,9))*12,NA()))),0),12)*'Aturan &amp; Tarif'!$B$4,2)</f>
        <v>681.36</v>
      </c>
      <c r="K378" s="32" t="n">
        <f aca="false">'Aturan &amp; Tarif'!$B$5</f>
        <v>2050</v>
      </c>
      <c r="L378" s="32" t="n">
        <f aca="false">'Aturan &amp; Tarif'!$B$6</f>
        <v>350</v>
      </c>
      <c r="M378" s="35" t="n">
        <f aca="false">I378+J378+K378+L378</f>
        <v>11781.36</v>
      </c>
      <c r="N378" s="37" t="s">
        <v>512</v>
      </c>
    </row>
    <row r="379" customFormat="false" ht="32.25" hidden="false" customHeight="true" outlineLevel="0" collapsed="false">
      <c r="A379" s="46" t="s">
        <v>2014</v>
      </c>
      <c r="B379" s="30" t="s">
        <v>438</v>
      </c>
      <c r="C379" s="31" t="s">
        <v>127</v>
      </c>
      <c r="D379" s="31" t="s">
        <v>439</v>
      </c>
      <c r="E379" s="32" t="n">
        <v>12760</v>
      </c>
      <c r="F379" s="32"/>
      <c r="G379" s="32" t="n">
        <v>192</v>
      </c>
      <c r="H379" s="33" t="n">
        <v>1</v>
      </c>
      <c r="I379" s="34" t="n">
        <f aca="false">E379*H379+N(F379)+N(G379)</f>
        <v>12952</v>
      </c>
      <c r="J379" s="32" t="n">
        <f aca="false">ROUND(IFERROR(ROUND(IF(OR(ISNUMBER(SEARCH("week",C379)),ISNUMBER(SEARCH("minggu",C379))),IFERROR(_xlfn.NUMBERVALUE(SUBSTITUTE(LEFT(TRIM(C379),FIND(" ",TRIM(C379)&amp;" ")-1),",","."),"."),LEFT(SUBSTITUTE(LEFT(TRIM(C379),FIND(" ",TRIM(C379)&amp;" ")-1),",","."),FIND("/",SUBSTITUTE(LEFT(TRIM(C379),FIND(" ",TRIM(C379)&amp;" ")-1),",","."))-1)/MID(SUBSTITUTE(LEFT(TRIM(C379),FIND(" ",TRIM(C379)&amp;" ")-1),",","."),FIND("/",SUBSTITUTE(LEFT(TRIM(C379),FIND(" ",TRIM(C379)&amp;" ")-1),",","."))+1,9))*12/52,IF(ISNUMBER(SEARCH("month",C379)),IFERROR(_xlfn.NUMBERVALUE(SUBSTITUTE(LEFT(TRIM(C379),FIND(" ",TRIM(C379)&amp;" ")-1),",","."),"."),LEFT(SUBSTITUTE(LEFT(TRIM(C379),FIND(" ",TRIM(C379)&amp;" ")-1),",","."),FIND("/",SUBSTITUTE(LEFT(TRIM(C379),FIND(" ",TRIM(C379)&amp;" ")-1),",","."))-1)/MID(SUBSTITUTE(LEFT(TRIM(C379),FIND(" ",TRIM(C379)&amp;" ")-1),",","."),FIND("/",SUBSTITUTE(LEFT(TRIM(C379),FIND(" ",TRIM(C379)&amp;" ")-1),",","."))+1,9)),IF(ISNUMBER(SEARCH("yea",C379)),IFERROR(_xlfn.NUMBERVALUE(SUBSTITUTE(LEFT(TRIM(C379),FIND(" ",TRIM(C379)&amp;" ")-1),",","."),"."),LEFT(SUBSTITUTE(LEFT(TRIM(C379),FIND(" ",TRIM(C379)&amp;" ")-1),",","."),FIND("/",SUBSTITUTE(LEFT(TRIM(C379),FIND(" ",TRIM(C379)&amp;" ")-1),",","."))-1)/MID(SUBSTITUTE(LEFT(TRIM(C379),FIND(" ",TRIM(C379)&amp;" ")-1),",","."),FIND("/",SUBSTITUTE(LEFT(TRIM(C379),FIND(" ",TRIM(C379)&amp;" ")-1),",","."))+1,9))*12,NA()))),0),36)*'Aturan &amp; Tarif'!$B$4,2)</f>
        <v>2044.08</v>
      </c>
      <c r="K379" s="32" t="n">
        <f aca="false">'Aturan &amp; Tarif'!$B$5</f>
        <v>2050</v>
      </c>
      <c r="L379" s="32" t="n">
        <f aca="false">'Aturan &amp; Tarif'!$B$6</f>
        <v>350</v>
      </c>
      <c r="M379" s="35" t="n">
        <f aca="false">I379+J379+K379+L379</f>
        <v>17396.08</v>
      </c>
      <c r="N379" s="37" t="s">
        <v>440</v>
      </c>
    </row>
    <row r="380" customFormat="false" ht="15" hidden="false" customHeight="true" outlineLevel="0" collapsed="false">
      <c r="A380" s="46"/>
      <c r="B380" s="30" t="s">
        <v>441</v>
      </c>
      <c r="C380" s="31" t="s">
        <v>113</v>
      </c>
      <c r="D380" s="31" t="s">
        <v>439</v>
      </c>
      <c r="E380" s="32" t="n">
        <v>12760</v>
      </c>
      <c r="F380" s="32"/>
      <c r="G380" s="32" t="n">
        <v>192</v>
      </c>
      <c r="H380" s="33" t="n">
        <v>1</v>
      </c>
      <c r="I380" s="34" t="n">
        <f aca="false">E380*H380+N(F380)+N(G380)</f>
        <v>12952</v>
      </c>
      <c r="J380" s="32" t="n">
        <f aca="false">ROUND(IFERROR(ROUND(IF(OR(ISNUMBER(SEARCH("week",C380)),ISNUMBER(SEARCH("minggu",C380))),IFERROR(_xlfn.NUMBERVALUE(SUBSTITUTE(LEFT(TRIM(C380),FIND(" ",TRIM(C380)&amp;" ")-1),",","."),"."),LEFT(SUBSTITUTE(LEFT(TRIM(C380),FIND(" ",TRIM(C380)&amp;" ")-1),",","."),FIND("/",SUBSTITUTE(LEFT(TRIM(C380),FIND(" ",TRIM(C380)&amp;" ")-1),",","."))-1)/MID(SUBSTITUTE(LEFT(TRIM(C380),FIND(" ",TRIM(C380)&amp;" ")-1),",","."),FIND("/",SUBSTITUTE(LEFT(TRIM(C380),FIND(" ",TRIM(C380)&amp;" ")-1),",","."))+1,9))*12/52,IF(ISNUMBER(SEARCH("month",C380)),IFERROR(_xlfn.NUMBERVALUE(SUBSTITUTE(LEFT(TRIM(C380),FIND(" ",TRIM(C380)&amp;" ")-1),",","."),"."),LEFT(SUBSTITUTE(LEFT(TRIM(C380),FIND(" ",TRIM(C380)&amp;" ")-1),",","."),FIND("/",SUBSTITUTE(LEFT(TRIM(C380),FIND(" ",TRIM(C380)&amp;" ")-1),",","."))-1)/MID(SUBSTITUTE(LEFT(TRIM(C380),FIND(" ",TRIM(C380)&amp;" ")-1),",","."),FIND("/",SUBSTITUTE(LEFT(TRIM(C380),FIND(" ",TRIM(C380)&amp;" ")-1),",","."))+1,9)),IF(ISNUMBER(SEARCH("yea",C380)),IFERROR(_xlfn.NUMBERVALUE(SUBSTITUTE(LEFT(TRIM(C380),FIND(" ",TRIM(C380)&amp;" ")-1),",","."),"."),LEFT(SUBSTITUTE(LEFT(TRIM(C380),FIND(" ",TRIM(C380)&amp;" ")-1),",","."),FIND("/",SUBSTITUTE(LEFT(TRIM(C380),FIND(" ",TRIM(C380)&amp;" ")-1),",","."))-1)/MID(SUBSTITUTE(LEFT(TRIM(C380),FIND(" ",TRIM(C380)&amp;" ")-1),",","."),FIND("/",SUBSTITUTE(LEFT(TRIM(C380),FIND(" ",TRIM(C380)&amp;" ")-1),",","."))+1,9))*12,NA()))),0),18)*'Aturan &amp; Tarif'!$B$4,2)</f>
        <v>1022.04</v>
      </c>
      <c r="K380" s="32" t="n">
        <f aca="false">'Aturan &amp; Tarif'!$B$5</f>
        <v>2050</v>
      </c>
      <c r="L380" s="32" t="n">
        <f aca="false">'Aturan &amp; Tarif'!$B$6</f>
        <v>350</v>
      </c>
      <c r="M380" s="35" t="n">
        <f aca="false">I380+J380+K380+L380</f>
        <v>16374.04</v>
      </c>
      <c r="N380" s="37" t="s">
        <v>440</v>
      </c>
    </row>
    <row r="381" customFormat="false" ht="15" hidden="false" customHeight="true" outlineLevel="0" collapsed="false">
      <c r="A381" s="46"/>
      <c r="B381" s="30" t="s">
        <v>442</v>
      </c>
      <c r="C381" s="31" t="s">
        <v>113</v>
      </c>
      <c r="D381" s="31" t="s">
        <v>439</v>
      </c>
      <c r="E381" s="32" t="n">
        <v>12760</v>
      </c>
      <c r="F381" s="32"/>
      <c r="G381" s="32" t="n">
        <v>192</v>
      </c>
      <c r="H381" s="33" t="n">
        <v>1</v>
      </c>
      <c r="I381" s="34" t="n">
        <f aca="false">E381*H381+N(F381)+N(G381)</f>
        <v>12952</v>
      </c>
      <c r="J381" s="32" t="n">
        <f aca="false">ROUND(IFERROR(ROUND(IF(OR(ISNUMBER(SEARCH("week",C381)),ISNUMBER(SEARCH("minggu",C381))),IFERROR(_xlfn.NUMBERVALUE(SUBSTITUTE(LEFT(TRIM(C381),FIND(" ",TRIM(C381)&amp;" ")-1),",","."),"."),LEFT(SUBSTITUTE(LEFT(TRIM(C381),FIND(" ",TRIM(C381)&amp;" ")-1),",","."),FIND("/",SUBSTITUTE(LEFT(TRIM(C381),FIND(" ",TRIM(C381)&amp;" ")-1),",","."))-1)/MID(SUBSTITUTE(LEFT(TRIM(C381),FIND(" ",TRIM(C381)&amp;" ")-1),",","."),FIND("/",SUBSTITUTE(LEFT(TRIM(C381),FIND(" ",TRIM(C381)&amp;" ")-1),",","."))+1,9))*12/52,IF(ISNUMBER(SEARCH("month",C381)),IFERROR(_xlfn.NUMBERVALUE(SUBSTITUTE(LEFT(TRIM(C381),FIND(" ",TRIM(C381)&amp;" ")-1),",","."),"."),LEFT(SUBSTITUTE(LEFT(TRIM(C381),FIND(" ",TRIM(C381)&amp;" ")-1),",","."),FIND("/",SUBSTITUTE(LEFT(TRIM(C381),FIND(" ",TRIM(C381)&amp;" ")-1),",","."))-1)/MID(SUBSTITUTE(LEFT(TRIM(C381),FIND(" ",TRIM(C381)&amp;" ")-1),",","."),FIND("/",SUBSTITUTE(LEFT(TRIM(C381),FIND(" ",TRIM(C381)&amp;" ")-1),",","."))+1,9)),IF(ISNUMBER(SEARCH("yea",C381)),IFERROR(_xlfn.NUMBERVALUE(SUBSTITUTE(LEFT(TRIM(C381),FIND(" ",TRIM(C381)&amp;" ")-1),",","."),"."),LEFT(SUBSTITUTE(LEFT(TRIM(C381),FIND(" ",TRIM(C381)&amp;" ")-1),",","."),FIND("/",SUBSTITUTE(LEFT(TRIM(C381),FIND(" ",TRIM(C381)&amp;" ")-1),",","."))-1)/MID(SUBSTITUTE(LEFT(TRIM(C381),FIND(" ",TRIM(C381)&amp;" ")-1),",","."),FIND("/",SUBSTITUTE(LEFT(TRIM(C381),FIND(" ",TRIM(C381)&amp;" ")-1),",","."))+1,9))*12,NA()))),0),18)*'Aturan &amp; Tarif'!$B$4,2)</f>
        <v>1022.04</v>
      </c>
      <c r="K381" s="32" t="n">
        <f aca="false">'Aturan &amp; Tarif'!$B$5</f>
        <v>2050</v>
      </c>
      <c r="L381" s="32" t="n">
        <f aca="false">'Aturan &amp; Tarif'!$B$6</f>
        <v>350</v>
      </c>
      <c r="M381" s="35" t="n">
        <f aca="false">I381+J381+K381+L381</f>
        <v>16374.04</v>
      </c>
      <c r="N381" s="37" t="s">
        <v>440</v>
      </c>
    </row>
    <row r="382" customFormat="false" ht="37.5" hidden="false" customHeight="true" outlineLevel="0" collapsed="false">
      <c r="A382" s="39" t="s">
        <v>2015</v>
      </c>
      <c r="B382" s="40" t="s">
        <v>444</v>
      </c>
      <c r="C382" s="41" t="s">
        <v>107</v>
      </c>
      <c r="D382" s="41" t="s">
        <v>108</v>
      </c>
      <c r="E382" s="42" t="n">
        <v>7225</v>
      </c>
      <c r="F382" s="42" t="n">
        <v>400</v>
      </c>
      <c r="G382" s="42" t="n">
        <v>350</v>
      </c>
      <c r="H382" s="43" t="n">
        <v>2</v>
      </c>
      <c r="I382" s="34" t="n">
        <f aca="false">E382*H382+N(F382)+N(G382)</f>
        <v>15200</v>
      </c>
      <c r="J382" s="42" t="n">
        <f aca="false">ROUND(IFERROR(ROUND(IF(OR(ISNUMBER(SEARCH("week",C382)),ISNUMBER(SEARCH("minggu",C382))),IFERROR(_xlfn.NUMBERVALUE(SUBSTITUTE(LEFT(TRIM(C382),FIND(" ",TRIM(C382)&amp;" ")-1),",","."),"."),LEFT(SUBSTITUTE(LEFT(TRIM(C382),FIND(" ",TRIM(C382)&amp;" ")-1),",","."),FIND("/",SUBSTITUTE(LEFT(TRIM(C382),FIND(" ",TRIM(C382)&amp;" ")-1),",","."))-1)/MID(SUBSTITUTE(LEFT(TRIM(C382),FIND(" ",TRIM(C382)&amp;" ")-1),",","."),FIND("/",SUBSTITUTE(LEFT(TRIM(C382),FIND(" ",TRIM(C382)&amp;" ")-1),",","."))+1,9))*12/52,IF(ISNUMBER(SEARCH("month",C382)),IFERROR(_xlfn.NUMBERVALUE(SUBSTITUTE(LEFT(TRIM(C382),FIND(" ",TRIM(C382)&amp;" ")-1),",","."),"."),LEFT(SUBSTITUTE(LEFT(TRIM(C382),FIND(" ",TRIM(C382)&amp;" ")-1),",","."),FIND("/",SUBSTITUTE(LEFT(TRIM(C382),FIND(" ",TRIM(C382)&amp;" ")-1),",","."))-1)/MID(SUBSTITUTE(LEFT(TRIM(C382),FIND(" ",TRIM(C382)&amp;" ")-1),",","."),FIND("/",SUBSTITUTE(LEFT(TRIM(C382),FIND(" ",TRIM(C382)&amp;" ")-1),",","."))+1,9)),IF(ISNUMBER(SEARCH("yea",C382)),IFERROR(_xlfn.NUMBERVALUE(SUBSTITUTE(LEFT(TRIM(C382),FIND(" ",TRIM(C382)&amp;" ")-1),",","."),"."),LEFT(SUBSTITUTE(LEFT(TRIM(C382),FIND(" ",TRIM(C382)&amp;" ")-1),",","."),FIND("/",SUBSTITUTE(LEFT(TRIM(C382),FIND(" ",TRIM(C382)&amp;" ")-1),",","."))-1)/MID(SUBSTITUTE(LEFT(TRIM(C382),FIND(" ",TRIM(C382)&amp;" ")-1),",","."),FIND("/",SUBSTITUTE(LEFT(TRIM(C382),FIND(" ",TRIM(C382)&amp;" ")-1),",","."))+1,9))*12,NA()))),0),24)*'Aturan &amp; Tarif'!$B$4,2)</f>
        <v>1362.72</v>
      </c>
      <c r="K382" s="42" t="n">
        <f aca="false">'Aturan &amp; Tarif'!$B$5</f>
        <v>2050</v>
      </c>
      <c r="L382" s="42" t="n">
        <f aca="false">'Aturan &amp; Tarif'!$B$6</f>
        <v>350</v>
      </c>
      <c r="M382" s="35" t="n">
        <f aca="false">I382+J382+K382+L382</f>
        <v>18962.72</v>
      </c>
      <c r="N382" s="44" t="s">
        <v>445</v>
      </c>
    </row>
    <row r="383" customFormat="false" ht="37.5" hidden="false" customHeight="true" outlineLevel="0" collapsed="false">
      <c r="A383" s="39"/>
      <c r="B383" s="40" t="s">
        <v>446</v>
      </c>
      <c r="C383" s="41" t="s">
        <v>107</v>
      </c>
      <c r="D383" s="41" t="s">
        <v>108</v>
      </c>
      <c r="E383" s="42" t="n">
        <v>7225</v>
      </c>
      <c r="F383" s="42" t="n">
        <v>400</v>
      </c>
      <c r="G383" s="42" t="n">
        <v>350</v>
      </c>
      <c r="H383" s="43" t="n">
        <v>2</v>
      </c>
      <c r="I383" s="34" t="n">
        <f aca="false">E383*H383+N(F383)+N(G383)</f>
        <v>15200</v>
      </c>
      <c r="J383" s="42" t="n">
        <f aca="false">ROUND(IFERROR(ROUND(IF(OR(ISNUMBER(SEARCH("week",C383)),ISNUMBER(SEARCH("minggu",C383))),IFERROR(_xlfn.NUMBERVALUE(SUBSTITUTE(LEFT(TRIM(C383),FIND(" ",TRIM(C383)&amp;" ")-1),",","."),"."),LEFT(SUBSTITUTE(LEFT(TRIM(C383),FIND(" ",TRIM(C383)&amp;" ")-1),",","."),FIND("/",SUBSTITUTE(LEFT(TRIM(C383),FIND(" ",TRIM(C383)&amp;" ")-1),",","."))-1)/MID(SUBSTITUTE(LEFT(TRIM(C383),FIND(" ",TRIM(C383)&amp;" ")-1),",","."),FIND("/",SUBSTITUTE(LEFT(TRIM(C383),FIND(" ",TRIM(C383)&amp;" ")-1),",","."))+1,9))*12/52,IF(ISNUMBER(SEARCH("month",C383)),IFERROR(_xlfn.NUMBERVALUE(SUBSTITUTE(LEFT(TRIM(C383),FIND(" ",TRIM(C383)&amp;" ")-1),",","."),"."),LEFT(SUBSTITUTE(LEFT(TRIM(C383),FIND(" ",TRIM(C383)&amp;" ")-1),",","."),FIND("/",SUBSTITUTE(LEFT(TRIM(C383),FIND(" ",TRIM(C383)&amp;" ")-1),",","."))-1)/MID(SUBSTITUTE(LEFT(TRIM(C383),FIND(" ",TRIM(C383)&amp;" ")-1),",","."),FIND("/",SUBSTITUTE(LEFT(TRIM(C383),FIND(" ",TRIM(C383)&amp;" ")-1),",","."))+1,9)),IF(ISNUMBER(SEARCH("yea",C383)),IFERROR(_xlfn.NUMBERVALUE(SUBSTITUTE(LEFT(TRIM(C383),FIND(" ",TRIM(C383)&amp;" ")-1),",","."),"."),LEFT(SUBSTITUTE(LEFT(TRIM(C383),FIND(" ",TRIM(C383)&amp;" ")-1),",","."),FIND("/",SUBSTITUTE(LEFT(TRIM(C383),FIND(" ",TRIM(C383)&amp;" ")-1),",","."))-1)/MID(SUBSTITUTE(LEFT(TRIM(C383),FIND(" ",TRIM(C383)&amp;" ")-1),",","."),FIND("/",SUBSTITUTE(LEFT(TRIM(C383),FIND(" ",TRIM(C383)&amp;" ")-1),",","."))+1,9))*12,NA()))),0),24)*'Aturan &amp; Tarif'!$B$4,2)</f>
        <v>1362.72</v>
      </c>
      <c r="K383" s="42" t="n">
        <f aca="false">'Aturan &amp; Tarif'!$B$5</f>
        <v>2050</v>
      </c>
      <c r="L383" s="42" t="n">
        <f aca="false">'Aturan &amp; Tarif'!$B$6</f>
        <v>350</v>
      </c>
      <c r="M383" s="35" t="n">
        <f aca="false">I383+J383+K383+L383</f>
        <v>18962.72</v>
      </c>
      <c r="N383" s="44" t="s">
        <v>445</v>
      </c>
    </row>
    <row r="384" customFormat="false" ht="37.5" hidden="false" customHeight="true" outlineLevel="0" collapsed="false">
      <c r="A384" s="39"/>
      <c r="B384" s="40" t="s">
        <v>447</v>
      </c>
      <c r="C384" s="41" t="s">
        <v>107</v>
      </c>
      <c r="D384" s="41" t="s">
        <v>108</v>
      </c>
      <c r="E384" s="42" t="n">
        <v>7225</v>
      </c>
      <c r="F384" s="42" t="n">
        <v>400</v>
      </c>
      <c r="G384" s="42" t="n">
        <v>350</v>
      </c>
      <c r="H384" s="43" t="n">
        <v>2</v>
      </c>
      <c r="I384" s="34" t="n">
        <f aca="false">E384*H384+N(F384)+N(G384)</f>
        <v>15200</v>
      </c>
      <c r="J384" s="42" t="n">
        <f aca="false">ROUND(IFERROR(ROUND(IF(OR(ISNUMBER(SEARCH("week",C384)),ISNUMBER(SEARCH("minggu",C384))),IFERROR(_xlfn.NUMBERVALUE(SUBSTITUTE(LEFT(TRIM(C384),FIND(" ",TRIM(C384)&amp;" ")-1),",","."),"."),LEFT(SUBSTITUTE(LEFT(TRIM(C384),FIND(" ",TRIM(C384)&amp;" ")-1),",","."),FIND("/",SUBSTITUTE(LEFT(TRIM(C384),FIND(" ",TRIM(C384)&amp;" ")-1),",","."))-1)/MID(SUBSTITUTE(LEFT(TRIM(C384),FIND(" ",TRIM(C384)&amp;" ")-1),",","."),FIND("/",SUBSTITUTE(LEFT(TRIM(C384),FIND(" ",TRIM(C384)&amp;" ")-1),",","."))+1,9))*12/52,IF(ISNUMBER(SEARCH("month",C384)),IFERROR(_xlfn.NUMBERVALUE(SUBSTITUTE(LEFT(TRIM(C384),FIND(" ",TRIM(C384)&amp;" ")-1),",","."),"."),LEFT(SUBSTITUTE(LEFT(TRIM(C384),FIND(" ",TRIM(C384)&amp;" ")-1),",","."),FIND("/",SUBSTITUTE(LEFT(TRIM(C384),FIND(" ",TRIM(C384)&amp;" ")-1),",","."))-1)/MID(SUBSTITUTE(LEFT(TRIM(C384),FIND(" ",TRIM(C384)&amp;" ")-1),",","."),FIND("/",SUBSTITUTE(LEFT(TRIM(C384),FIND(" ",TRIM(C384)&amp;" ")-1),",","."))+1,9)),IF(ISNUMBER(SEARCH("yea",C384)),IFERROR(_xlfn.NUMBERVALUE(SUBSTITUTE(LEFT(TRIM(C384),FIND(" ",TRIM(C384)&amp;" ")-1),",","."),"."),LEFT(SUBSTITUTE(LEFT(TRIM(C384),FIND(" ",TRIM(C384)&amp;" ")-1),",","."),FIND("/",SUBSTITUTE(LEFT(TRIM(C384),FIND(" ",TRIM(C384)&amp;" ")-1),",","."))-1)/MID(SUBSTITUTE(LEFT(TRIM(C384),FIND(" ",TRIM(C384)&amp;" ")-1),",","."),FIND("/",SUBSTITUTE(LEFT(TRIM(C384),FIND(" ",TRIM(C384)&amp;" ")-1),",","."))+1,9))*12,NA()))),0),24)*'Aturan &amp; Tarif'!$B$4,2)</f>
        <v>1362.72</v>
      </c>
      <c r="K384" s="42" t="n">
        <f aca="false">'Aturan &amp; Tarif'!$B$5</f>
        <v>2050</v>
      </c>
      <c r="L384" s="42" t="n">
        <f aca="false">'Aturan &amp; Tarif'!$B$6</f>
        <v>350</v>
      </c>
      <c r="M384" s="35" t="n">
        <f aca="false">I384+J384+K384+L384</f>
        <v>18962.72</v>
      </c>
      <c r="N384" s="44" t="s">
        <v>445</v>
      </c>
    </row>
    <row r="385" customFormat="false" ht="37.5" hidden="false" customHeight="true" outlineLevel="0" collapsed="false">
      <c r="A385" s="39"/>
      <c r="B385" s="40" t="s">
        <v>448</v>
      </c>
      <c r="C385" s="41" t="s">
        <v>130</v>
      </c>
      <c r="D385" s="41" t="s">
        <v>108</v>
      </c>
      <c r="E385" s="42" t="n">
        <v>5625</v>
      </c>
      <c r="F385" s="42" t="n">
        <v>400</v>
      </c>
      <c r="G385" s="42" t="n">
        <v>350</v>
      </c>
      <c r="H385" s="43" t="n">
        <v>2</v>
      </c>
      <c r="I385" s="34" t="n">
        <f aca="false">E385*H385+N(F385)+N(G385)</f>
        <v>12000</v>
      </c>
      <c r="J385" s="42" t="n">
        <f aca="false">ROUND(IFERROR(ROUND(IF(OR(ISNUMBER(SEARCH("week",C385)),ISNUMBER(SEARCH("minggu",C385))),IFERROR(_xlfn.NUMBERVALUE(SUBSTITUTE(LEFT(TRIM(C385),FIND(" ",TRIM(C385)&amp;" ")-1),",","."),"."),LEFT(SUBSTITUTE(LEFT(TRIM(C385),FIND(" ",TRIM(C385)&amp;" ")-1),",","."),FIND("/",SUBSTITUTE(LEFT(TRIM(C385),FIND(" ",TRIM(C385)&amp;" ")-1),",","."))-1)/MID(SUBSTITUTE(LEFT(TRIM(C385),FIND(" ",TRIM(C385)&amp;" ")-1),",","."),FIND("/",SUBSTITUTE(LEFT(TRIM(C385),FIND(" ",TRIM(C385)&amp;" ")-1),",","."))+1,9))*12/52,IF(ISNUMBER(SEARCH("month",C385)),IFERROR(_xlfn.NUMBERVALUE(SUBSTITUTE(LEFT(TRIM(C385),FIND(" ",TRIM(C385)&amp;" ")-1),",","."),"."),LEFT(SUBSTITUTE(LEFT(TRIM(C385),FIND(" ",TRIM(C385)&amp;" ")-1),",","."),FIND("/",SUBSTITUTE(LEFT(TRIM(C385),FIND(" ",TRIM(C385)&amp;" ")-1),",","."))-1)/MID(SUBSTITUTE(LEFT(TRIM(C385),FIND(" ",TRIM(C385)&amp;" ")-1),",","."),FIND("/",SUBSTITUTE(LEFT(TRIM(C385),FIND(" ",TRIM(C385)&amp;" ")-1),",","."))+1,9)),IF(ISNUMBER(SEARCH("yea",C385)),IFERROR(_xlfn.NUMBERVALUE(SUBSTITUTE(LEFT(TRIM(C385),FIND(" ",TRIM(C385)&amp;" ")-1),",","."),"."),LEFT(SUBSTITUTE(LEFT(TRIM(C385),FIND(" ",TRIM(C385)&amp;" ")-1),",","."),FIND("/",SUBSTITUTE(LEFT(TRIM(C385),FIND(" ",TRIM(C385)&amp;" ")-1),",","."))-1)/MID(SUBSTITUTE(LEFT(TRIM(C385),FIND(" ",TRIM(C385)&amp;" ")-1),",","."),FIND("/",SUBSTITUTE(LEFT(TRIM(C385),FIND(" ",TRIM(C385)&amp;" ")-1),",","."))+1,9))*12,NA()))),0),12)*'Aturan &amp; Tarif'!$B$4,2)</f>
        <v>681.36</v>
      </c>
      <c r="K385" s="42" t="n">
        <f aca="false">'Aturan &amp; Tarif'!$B$5</f>
        <v>2050</v>
      </c>
      <c r="L385" s="42" t="n">
        <f aca="false">'Aturan &amp; Tarif'!$B$6</f>
        <v>350</v>
      </c>
      <c r="M385" s="35" t="n">
        <f aca="false">I385+J385+K385+L385</f>
        <v>15081.36</v>
      </c>
      <c r="N385" s="44" t="s">
        <v>449</v>
      </c>
    </row>
    <row r="386" customFormat="false" ht="37.5" hidden="false" customHeight="true" outlineLevel="0" collapsed="false">
      <c r="A386" s="39"/>
      <c r="B386" s="40" t="s">
        <v>450</v>
      </c>
      <c r="C386" s="41" t="s">
        <v>107</v>
      </c>
      <c r="D386" s="41" t="s">
        <v>108</v>
      </c>
      <c r="E386" s="42" t="n">
        <v>6250</v>
      </c>
      <c r="F386" s="42" t="n">
        <v>400</v>
      </c>
      <c r="G386" s="42" t="n">
        <v>350</v>
      </c>
      <c r="H386" s="43" t="n">
        <v>2</v>
      </c>
      <c r="I386" s="34" t="n">
        <f aca="false">E386*H386+N(F386)+N(G386)</f>
        <v>13250</v>
      </c>
      <c r="J386" s="42" t="n">
        <f aca="false">ROUND(IFERROR(ROUND(IF(OR(ISNUMBER(SEARCH("week",C386)),ISNUMBER(SEARCH("minggu",C386))),IFERROR(_xlfn.NUMBERVALUE(SUBSTITUTE(LEFT(TRIM(C386),FIND(" ",TRIM(C386)&amp;" ")-1),",","."),"."),LEFT(SUBSTITUTE(LEFT(TRIM(C386),FIND(" ",TRIM(C386)&amp;" ")-1),",","."),FIND("/",SUBSTITUTE(LEFT(TRIM(C386),FIND(" ",TRIM(C386)&amp;" ")-1),",","."))-1)/MID(SUBSTITUTE(LEFT(TRIM(C386),FIND(" ",TRIM(C386)&amp;" ")-1),",","."),FIND("/",SUBSTITUTE(LEFT(TRIM(C386),FIND(" ",TRIM(C386)&amp;" ")-1),",","."))+1,9))*12/52,IF(ISNUMBER(SEARCH("month",C386)),IFERROR(_xlfn.NUMBERVALUE(SUBSTITUTE(LEFT(TRIM(C386),FIND(" ",TRIM(C386)&amp;" ")-1),",","."),"."),LEFT(SUBSTITUTE(LEFT(TRIM(C386),FIND(" ",TRIM(C386)&amp;" ")-1),",","."),FIND("/",SUBSTITUTE(LEFT(TRIM(C386),FIND(" ",TRIM(C386)&amp;" ")-1),",","."))-1)/MID(SUBSTITUTE(LEFT(TRIM(C386),FIND(" ",TRIM(C386)&amp;" ")-1),",","."),FIND("/",SUBSTITUTE(LEFT(TRIM(C386),FIND(" ",TRIM(C386)&amp;" ")-1),",","."))+1,9)),IF(ISNUMBER(SEARCH("yea",C386)),IFERROR(_xlfn.NUMBERVALUE(SUBSTITUTE(LEFT(TRIM(C386),FIND(" ",TRIM(C386)&amp;" ")-1),",","."),"."),LEFT(SUBSTITUTE(LEFT(TRIM(C386),FIND(" ",TRIM(C386)&amp;" ")-1),",","."),FIND("/",SUBSTITUTE(LEFT(TRIM(C386),FIND(" ",TRIM(C386)&amp;" ")-1),",","."))-1)/MID(SUBSTITUTE(LEFT(TRIM(C386),FIND(" ",TRIM(C386)&amp;" ")-1),",","."),FIND("/",SUBSTITUTE(LEFT(TRIM(C386),FIND(" ",TRIM(C386)&amp;" ")-1),",","."))+1,9))*12,NA()))),0),24)*'Aturan &amp; Tarif'!$B$4,2)</f>
        <v>1362.72</v>
      </c>
      <c r="K386" s="42" t="n">
        <f aca="false">'Aturan &amp; Tarif'!$B$5</f>
        <v>2050</v>
      </c>
      <c r="L386" s="42" t="n">
        <f aca="false">'Aturan &amp; Tarif'!$B$6</f>
        <v>350</v>
      </c>
      <c r="M386" s="35" t="n">
        <f aca="false">I386+J386+K386+L386</f>
        <v>17012.72</v>
      </c>
      <c r="N386" s="45" t="s">
        <v>451</v>
      </c>
    </row>
    <row r="387" customFormat="false" ht="60" hidden="false" customHeight="true" outlineLevel="0" collapsed="false">
      <c r="A387" s="39"/>
      <c r="B387" s="40" t="s">
        <v>452</v>
      </c>
      <c r="C387" s="41" t="s">
        <v>191</v>
      </c>
      <c r="D387" s="41" t="s">
        <v>108</v>
      </c>
      <c r="E387" s="42" t="n">
        <v>4250</v>
      </c>
      <c r="F387" s="42" t="n">
        <v>400</v>
      </c>
      <c r="G387" s="42" t="n">
        <v>350</v>
      </c>
      <c r="H387" s="43" t="n">
        <v>2</v>
      </c>
      <c r="I387" s="34" t="n">
        <f aca="false">E387*H387+N(F387)+N(G387)</f>
        <v>9250</v>
      </c>
      <c r="J387" s="42" t="n">
        <f aca="false">ROUND(IFERROR(ROUND(IF(OR(ISNUMBER(SEARCH("week",C387)),ISNUMBER(SEARCH("minggu",C387))),IFERROR(_xlfn.NUMBERVALUE(SUBSTITUTE(LEFT(TRIM(C387),FIND(" ",TRIM(C387)&amp;" ")-1),",","."),"."),LEFT(SUBSTITUTE(LEFT(TRIM(C387),FIND(" ",TRIM(C387)&amp;" ")-1),",","."),FIND("/",SUBSTITUTE(LEFT(TRIM(C387),FIND(" ",TRIM(C387)&amp;" ")-1),",","."))-1)/MID(SUBSTITUTE(LEFT(TRIM(C387),FIND(" ",TRIM(C387)&amp;" ")-1),",","."),FIND("/",SUBSTITUTE(LEFT(TRIM(C387),FIND(" ",TRIM(C387)&amp;" ")-1),",","."))+1,9))*12/52,IF(ISNUMBER(SEARCH("month",C387)),IFERROR(_xlfn.NUMBERVALUE(SUBSTITUTE(LEFT(TRIM(C387),FIND(" ",TRIM(C387)&amp;" ")-1),",","."),"."),LEFT(SUBSTITUTE(LEFT(TRIM(C387),FIND(" ",TRIM(C387)&amp;" ")-1),",","."),FIND("/",SUBSTITUTE(LEFT(TRIM(C387),FIND(" ",TRIM(C387)&amp;" ")-1),",","."))-1)/MID(SUBSTITUTE(LEFT(TRIM(C387),FIND(" ",TRIM(C387)&amp;" ")-1),",","."),FIND("/",SUBSTITUTE(LEFT(TRIM(C387),FIND(" ",TRIM(C387)&amp;" ")-1),",","."))+1,9)),IF(ISNUMBER(SEARCH("yea",C387)),IFERROR(_xlfn.NUMBERVALUE(SUBSTITUTE(LEFT(TRIM(C387),FIND(" ",TRIM(C387)&amp;" ")-1),",","."),"."),LEFT(SUBSTITUTE(LEFT(TRIM(C387),FIND(" ",TRIM(C387)&amp;" ")-1),",","."),FIND("/",SUBSTITUTE(LEFT(TRIM(C387),FIND(" ",TRIM(C387)&amp;" ")-1),",","."))-1)/MID(SUBSTITUTE(LEFT(TRIM(C387),FIND(" ",TRIM(C387)&amp;" ")-1),",","."),FIND("/",SUBSTITUTE(LEFT(TRIM(C387),FIND(" ",TRIM(C387)&amp;" ")-1),",","."))+1,9))*12,NA()))),0),48)*'Aturan &amp; Tarif'!$B$4,2)</f>
        <v>2725.44</v>
      </c>
      <c r="K387" s="42" t="n">
        <f aca="false">'Aturan &amp; Tarif'!$B$5</f>
        <v>2050</v>
      </c>
      <c r="L387" s="42" t="n">
        <f aca="false">'Aturan &amp; Tarif'!$B$6</f>
        <v>350</v>
      </c>
      <c r="M387" s="35" t="n">
        <f aca="false">I387+J387+K387+L387</f>
        <v>14375.44</v>
      </c>
      <c r="N387" s="44" t="s">
        <v>453</v>
      </c>
    </row>
    <row r="388" customFormat="false" ht="48.75" hidden="false" customHeight="true" outlineLevel="0" collapsed="false">
      <c r="A388" s="39"/>
      <c r="B388" s="40" t="s">
        <v>167</v>
      </c>
      <c r="C388" s="41" t="s">
        <v>113</v>
      </c>
      <c r="D388" s="41" t="s">
        <v>108</v>
      </c>
      <c r="E388" s="42" t="n">
        <v>3850</v>
      </c>
      <c r="F388" s="42" t="n">
        <v>400</v>
      </c>
      <c r="G388" s="42" t="n">
        <v>350</v>
      </c>
      <c r="H388" s="43" t="n">
        <v>2</v>
      </c>
      <c r="I388" s="34" t="n">
        <f aca="false">E388*H388+N(F388)+N(G388)</f>
        <v>8450</v>
      </c>
      <c r="J388" s="42" t="n">
        <f aca="false">ROUND(IFERROR(ROUND(IF(OR(ISNUMBER(SEARCH("week",C388)),ISNUMBER(SEARCH("minggu",C388))),IFERROR(_xlfn.NUMBERVALUE(SUBSTITUTE(LEFT(TRIM(C388),FIND(" ",TRIM(C388)&amp;" ")-1),",","."),"."),LEFT(SUBSTITUTE(LEFT(TRIM(C388),FIND(" ",TRIM(C388)&amp;" ")-1),",","."),FIND("/",SUBSTITUTE(LEFT(TRIM(C388),FIND(" ",TRIM(C388)&amp;" ")-1),",","."))-1)/MID(SUBSTITUTE(LEFT(TRIM(C388),FIND(" ",TRIM(C388)&amp;" ")-1),",","."),FIND("/",SUBSTITUTE(LEFT(TRIM(C388),FIND(" ",TRIM(C388)&amp;" ")-1),",","."))+1,9))*12/52,IF(ISNUMBER(SEARCH("month",C388)),IFERROR(_xlfn.NUMBERVALUE(SUBSTITUTE(LEFT(TRIM(C388),FIND(" ",TRIM(C388)&amp;" ")-1),",","."),"."),LEFT(SUBSTITUTE(LEFT(TRIM(C388),FIND(" ",TRIM(C388)&amp;" ")-1),",","."),FIND("/",SUBSTITUTE(LEFT(TRIM(C388),FIND(" ",TRIM(C388)&amp;" ")-1),",","."))-1)/MID(SUBSTITUTE(LEFT(TRIM(C388),FIND(" ",TRIM(C388)&amp;" ")-1),",","."),FIND("/",SUBSTITUTE(LEFT(TRIM(C388),FIND(" ",TRIM(C388)&amp;" ")-1),",","."))+1,9)),IF(ISNUMBER(SEARCH("yea",C388)),IFERROR(_xlfn.NUMBERVALUE(SUBSTITUTE(LEFT(TRIM(C388),FIND(" ",TRIM(C388)&amp;" ")-1),",","."),"."),LEFT(SUBSTITUTE(LEFT(TRIM(C388),FIND(" ",TRIM(C388)&amp;" ")-1),",","."),FIND("/",SUBSTITUTE(LEFT(TRIM(C388),FIND(" ",TRIM(C388)&amp;" ")-1),",","."))-1)/MID(SUBSTITUTE(LEFT(TRIM(C388),FIND(" ",TRIM(C388)&amp;" ")-1),",","."),FIND("/",SUBSTITUTE(LEFT(TRIM(C388),FIND(" ",TRIM(C388)&amp;" ")-1),",","."))+1,9))*12,NA()))),0),18)*'Aturan &amp; Tarif'!$B$4,2)</f>
        <v>1022.04</v>
      </c>
      <c r="K388" s="42" t="n">
        <f aca="false">'Aturan &amp; Tarif'!$B$5</f>
        <v>2050</v>
      </c>
      <c r="L388" s="42" t="n">
        <f aca="false">'Aturan &amp; Tarif'!$B$6</f>
        <v>350</v>
      </c>
      <c r="M388" s="35" t="n">
        <f aca="false">I388+J388+K388+L388</f>
        <v>11872.04</v>
      </c>
      <c r="N388" s="44" t="s">
        <v>2016</v>
      </c>
    </row>
    <row r="389" customFormat="false" ht="37.5" hidden="false" customHeight="true" outlineLevel="0" collapsed="false">
      <c r="A389" s="39"/>
      <c r="B389" s="40" t="s">
        <v>455</v>
      </c>
      <c r="C389" s="41" t="s">
        <v>107</v>
      </c>
      <c r="D389" s="41" t="s">
        <v>108</v>
      </c>
      <c r="E389" s="42" t="n">
        <v>3850</v>
      </c>
      <c r="F389" s="42" t="n">
        <v>400</v>
      </c>
      <c r="G389" s="42" t="n">
        <v>350</v>
      </c>
      <c r="H389" s="43" t="n">
        <v>2</v>
      </c>
      <c r="I389" s="34" t="n">
        <f aca="false">E389*H389+N(F389)+N(G389)</f>
        <v>8450</v>
      </c>
      <c r="J389" s="42" t="n">
        <f aca="false">ROUND(IFERROR(ROUND(IF(OR(ISNUMBER(SEARCH("week",C389)),ISNUMBER(SEARCH("minggu",C389))),IFERROR(_xlfn.NUMBERVALUE(SUBSTITUTE(LEFT(TRIM(C389),FIND(" ",TRIM(C389)&amp;" ")-1),",","."),"."),LEFT(SUBSTITUTE(LEFT(TRIM(C389),FIND(" ",TRIM(C389)&amp;" ")-1),",","."),FIND("/",SUBSTITUTE(LEFT(TRIM(C389),FIND(" ",TRIM(C389)&amp;" ")-1),",","."))-1)/MID(SUBSTITUTE(LEFT(TRIM(C389),FIND(" ",TRIM(C389)&amp;" ")-1),",","."),FIND("/",SUBSTITUTE(LEFT(TRIM(C389),FIND(" ",TRIM(C389)&amp;" ")-1),",","."))+1,9))*12/52,IF(ISNUMBER(SEARCH("month",C389)),IFERROR(_xlfn.NUMBERVALUE(SUBSTITUTE(LEFT(TRIM(C389),FIND(" ",TRIM(C389)&amp;" ")-1),",","."),"."),LEFT(SUBSTITUTE(LEFT(TRIM(C389),FIND(" ",TRIM(C389)&amp;" ")-1),",","."),FIND("/",SUBSTITUTE(LEFT(TRIM(C389),FIND(" ",TRIM(C389)&amp;" ")-1),",","."))-1)/MID(SUBSTITUTE(LEFT(TRIM(C389),FIND(" ",TRIM(C389)&amp;" ")-1),",","."),FIND("/",SUBSTITUTE(LEFT(TRIM(C389),FIND(" ",TRIM(C389)&amp;" ")-1),",","."))+1,9)),IF(ISNUMBER(SEARCH("yea",C389)),IFERROR(_xlfn.NUMBERVALUE(SUBSTITUTE(LEFT(TRIM(C389),FIND(" ",TRIM(C389)&amp;" ")-1),",","."),"."),LEFT(SUBSTITUTE(LEFT(TRIM(C389),FIND(" ",TRIM(C389)&amp;" ")-1),",","."),FIND("/",SUBSTITUTE(LEFT(TRIM(C389),FIND(" ",TRIM(C389)&amp;" ")-1),",","."))-1)/MID(SUBSTITUTE(LEFT(TRIM(C389),FIND(" ",TRIM(C389)&amp;" ")-1),",","."),FIND("/",SUBSTITUTE(LEFT(TRIM(C389),FIND(" ",TRIM(C389)&amp;" ")-1),",","."))+1,9))*12,NA()))),0),24)*'Aturan &amp; Tarif'!$B$4,2)</f>
        <v>1362.72</v>
      </c>
      <c r="K389" s="42" t="n">
        <f aca="false">'Aturan &amp; Tarif'!$B$5</f>
        <v>2050</v>
      </c>
      <c r="L389" s="42" t="n">
        <f aca="false">'Aturan &amp; Tarif'!$B$6</f>
        <v>350</v>
      </c>
      <c r="M389" s="35" t="n">
        <f aca="false">I389+J389+K389+L389</f>
        <v>12212.72</v>
      </c>
      <c r="N389" s="44" t="s">
        <v>2016</v>
      </c>
    </row>
    <row r="390" customFormat="false" ht="37.5" hidden="false" customHeight="true" outlineLevel="0" collapsed="false">
      <c r="A390" s="39"/>
      <c r="B390" s="40" t="s">
        <v>456</v>
      </c>
      <c r="C390" s="41" t="s">
        <v>127</v>
      </c>
      <c r="D390" s="41" t="s">
        <v>108</v>
      </c>
      <c r="E390" s="42" t="n">
        <v>3375</v>
      </c>
      <c r="F390" s="42" t="n">
        <v>400</v>
      </c>
      <c r="G390" s="42" t="n">
        <v>350</v>
      </c>
      <c r="H390" s="43" t="n">
        <v>2</v>
      </c>
      <c r="I390" s="34" t="n">
        <f aca="false">E390*H390+N(F390)+N(G390)</f>
        <v>7500</v>
      </c>
      <c r="J390" s="42" t="n">
        <f aca="false">ROUND(IFERROR(ROUND(IF(OR(ISNUMBER(SEARCH("week",C390)),ISNUMBER(SEARCH("minggu",C390))),IFERROR(_xlfn.NUMBERVALUE(SUBSTITUTE(LEFT(TRIM(C390),FIND(" ",TRIM(C390)&amp;" ")-1),",","."),"."),LEFT(SUBSTITUTE(LEFT(TRIM(C390),FIND(" ",TRIM(C390)&amp;" ")-1),",","."),FIND("/",SUBSTITUTE(LEFT(TRIM(C390),FIND(" ",TRIM(C390)&amp;" ")-1),",","."))-1)/MID(SUBSTITUTE(LEFT(TRIM(C390),FIND(" ",TRIM(C390)&amp;" ")-1),",","."),FIND("/",SUBSTITUTE(LEFT(TRIM(C390),FIND(" ",TRIM(C390)&amp;" ")-1),",","."))+1,9))*12/52,IF(ISNUMBER(SEARCH("month",C390)),IFERROR(_xlfn.NUMBERVALUE(SUBSTITUTE(LEFT(TRIM(C390),FIND(" ",TRIM(C390)&amp;" ")-1),",","."),"."),LEFT(SUBSTITUTE(LEFT(TRIM(C390),FIND(" ",TRIM(C390)&amp;" ")-1),",","."),FIND("/",SUBSTITUTE(LEFT(TRIM(C390),FIND(" ",TRIM(C390)&amp;" ")-1),",","."))-1)/MID(SUBSTITUTE(LEFT(TRIM(C390),FIND(" ",TRIM(C390)&amp;" ")-1),",","."),FIND("/",SUBSTITUTE(LEFT(TRIM(C390),FIND(" ",TRIM(C390)&amp;" ")-1),",","."))+1,9)),IF(ISNUMBER(SEARCH("yea",C390)),IFERROR(_xlfn.NUMBERVALUE(SUBSTITUTE(LEFT(TRIM(C390),FIND(" ",TRIM(C390)&amp;" ")-1),",","."),"."),LEFT(SUBSTITUTE(LEFT(TRIM(C390),FIND(" ",TRIM(C390)&amp;" ")-1),",","."),FIND("/",SUBSTITUTE(LEFT(TRIM(C390),FIND(" ",TRIM(C390)&amp;" ")-1),",","."))-1)/MID(SUBSTITUTE(LEFT(TRIM(C390),FIND(" ",TRIM(C390)&amp;" ")-1),",","."),FIND("/",SUBSTITUTE(LEFT(TRIM(C390),FIND(" ",TRIM(C390)&amp;" ")-1),",","."))+1,9))*12,NA()))),0),36)*'Aturan &amp; Tarif'!$B$4,2)</f>
        <v>2044.08</v>
      </c>
      <c r="K390" s="42" t="n">
        <f aca="false">'Aturan &amp; Tarif'!$B$5</f>
        <v>2050</v>
      </c>
      <c r="L390" s="42" t="n">
        <f aca="false">'Aturan &amp; Tarif'!$B$6</f>
        <v>350</v>
      </c>
      <c r="M390" s="35" t="n">
        <f aca="false">I390+J390+K390+L390</f>
        <v>11944.08</v>
      </c>
      <c r="N390" s="44" t="s">
        <v>2017</v>
      </c>
    </row>
    <row r="391" customFormat="false" ht="37.5" hidden="false" customHeight="true" outlineLevel="0" collapsed="false">
      <c r="A391" s="39"/>
      <c r="B391" s="40" t="s">
        <v>349</v>
      </c>
      <c r="C391" s="41" t="s">
        <v>107</v>
      </c>
      <c r="D391" s="41" t="s">
        <v>108</v>
      </c>
      <c r="E391" s="42" t="n">
        <v>4125</v>
      </c>
      <c r="F391" s="42" t="n">
        <v>400</v>
      </c>
      <c r="G391" s="42" t="n">
        <v>350</v>
      </c>
      <c r="H391" s="43" t="n">
        <v>2</v>
      </c>
      <c r="I391" s="34" t="n">
        <f aca="false">E391*H391+N(F391)+N(G391)</f>
        <v>9000</v>
      </c>
      <c r="J391" s="42" t="n">
        <f aca="false">ROUND(IFERROR(ROUND(IF(OR(ISNUMBER(SEARCH("week",C391)),ISNUMBER(SEARCH("minggu",C391))),IFERROR(_xlfn.NUMBERVALUE(SUBSTITUTE(LEFT(TRIM(C391),FIND(" ",TRIM(C391)&amp;" ")-1),",","."),"."),LEFT(SUBSTITUTE(LEFT(TRIM(C391),FIND(" ",TRIM(C391)&amp;" ")-1),",","."),FIND("/",SUBSTITUTE(LEFT(TRIM(C391),FIND(" ",TRIM(C391)&amp;" ")-1),",","."))-1)/MID(SUBSTITUTE(LEFT(TRIM(C391),FIND(" ",TRIM(C391)&amp;" ")-1),",","."),FIND("/",SUBSTITUTE(LEFT(TRIM(C391),FIND(" ",TRIM(C391)&amp;" ")-1),",","."))+1,9))*12/52,IF(ISNUMBER(SEARCH("month",C391)),IFERROR(_xlfn.NUMBERVALUE(SUBSTITUTE(LEFT(TRIM(C391),FIND(" ",TRIM(C391)&amp;" ")-1),",","."),"."),LEFT(SUBSTITUTE(LEFT(TRIM(C391),FIND(" ",TRIM(C391)&amp;" ")-1),",","."),FIND("/",SUBSTITUTE(LEFT(TRIM(C391),FIND(" ",TRIM(C391)&amp;" ")-1),",","."))-1)/MID(SUBSTITUTE(LEFT(TRIM(C391),FIND(" ",TRIM(C391)&amp;" ")-1),",","."),FIND("/",SUBSTITUTE(LEFT(TRIM(C391),FIND(" ",TRIM(C391)&amp;" ")-1),",","."))+1,9)),IF(ISNUMBER(SEARCH("yea",C391)),IFERROR(_xlfn.NUMBERVALUE(SUBSTITUTE(LEFT(TRIM(C391),FIND(" ",TRIM(C391)&amp;" ")-1),",","."),"."),LEFT(SUBSTITUTE(LEFT(TRIM(C391),FIND(" ",TRIM(C391)&amp;" ")-1),",","."),FIND("/",SUBSTITUTE(LEFT(TRIM(C391),FIND(" ",TRIM(C391)&amp;" ")-1),",","."))-1)/MID(SUBSTITUTE(LEFT(TRIM(C391),FIND(" ",TRIM(C391)&amp;" ")-1),",","."),FIND("/",SUBSTITUTE(LEFT(TRIM(C391),FIND(" ",TRIM(C391)&amp;" ")-1),",","."))+1,9))*12,NA()))),0),24)*'Aturan &amp; Tarif'!$B$4,2)</f>
        <v>1362.72</v>
      </c>
      <c r="K391" s="42" t="n">
        <f aca="false">'Aturan &amp; Tarif'!$B$5</f>
        <v>2050</v>
      </c>
      <c r="L391" s="42" t="n">
        <f aca="false">'Aturan &amp; Tarif'!$B$6</f>
        <v>350</v>
      </c>
      <c r="M391" s="35" t="n">
        <f aca="false">I391+J391+K391+L391</f>
        <v>12762.72</v>
      </c>
      <c r="N391" s="44" t="s">
        <v>2018</v>
      </c>
    </row>
    <row r="392" customFormat="false" ht="37.5" hidden="false" customHeight="true" outlineLevel="0" collapsed="false">
      <c r="A392" s="39"/>
      <c r="B392" s="40" t="s">
        <v>335</v>
      </c>
      <c r="C392" s="41" t="s">
        <v>127</v>
      </c>
      <c r="D392" s="41" t="s">
        <v>108</v>
      </c>
      <c r="E392" s="42" t="n">
        <v>3825</v>
      </c>
      <c r="F392" s="42" t="n">
        <v>400</v>
      </c>
      <c r="G392" s="42" t="n">
        <v>350</v>
      </c>
      <c r="H392" s="43" t="n">
        <v>2</v>
      </c>
      <c r="I392" s="34" t="n">
        <f aca="false">E392*H392+N(F392)+N(G392)</f>
        <v>8400</v>
      </c>
      <c r="J392" s="42" t="n">
        <f aca="false">ROUND(IFERROR(ROUND(IF(OR(ISNUMBER(SEARCH("week",C392)),ISNUMBER(SEARCH("minggu",C392))),IFERROR(_xlfn.NUMBERVALUE(SUBSTITUTE(LEFT(TRIM(C392),FIND(" ",TRIM(C392)&amp;" ")-1),",","."),"."),LEFT(SUBSTITUTE(LEFT(TRIM(C392),FIND(" ",TRIM(C392)&amp;" ")-1),",","."),FIND("/",SUBSTITUTE(LEFT(TRIM(C392),FIND(" ",TRIM(C392)&amp;" ")-1),",","."))-1)/MID(SUBSTITUTE(LEFT(TRIM(C392),FIND(" ",TRIM(C392)&amp;" ")-1),",","."),FIND("/",SUBSTITUTE(LEFT(TRIM(C392),FIND(" ",TRIM(C392)&amp;" ")-1),",","."))+1,9))*12/52,IF(ISNUMBER(SEARCH("month",C392)),IFERROR(_xlfn.NUMBERVALUE(SUBSTITUTE(LEFT(TRIM(C392),FIND(" ",TRIM(C392)&amp;" ")-1),",","."),"."),LEFT(SUBSTITUTE(LEFT(TRIM(C392),FIND(" ",TRIM(C392)&amp;" ")-1),",","."),FIND("/",SUBSTITUTE(LEFT(TRIM(C392),FIND(" ",TRIM(C392)&amp;" ")-1),",","."))-1)/MID(SUBSTITUTE(LEFT(TRIM(C392),FIND(" ",TRIM(C392)&amp;" ")-1),",","."),FIND("/",SUBSTITUTE(LEFT(TRIM(C392),FIND(" ",TRIM(C392)&amp;" ")-1),",","."))+1,9)),IF(ISNUMBER(SEARCH("yea",C392)),IFERROR(_xlfn.NUMBERVALUE(SUBSTITUTE(LEFT(TRIM(C392),FIND(" ",TRIM(C392)&amp;" ")-1),",","."),"."),LEFT(SUBSTITUTE(LEFT(TRIM(C392),FIND(" ",TRIM(C392)&amp;" ")-1),",","."),FIND("/",SUBSTITUTE(LEFT(TRIM(C392),FIND(" ",TRIM(C392)&amp;" ")-1),",","."))-1)/MID(SUBSTITUTE(LEFT(TRIM(C392),FIND(" ",TRIM(C392)&amp;" ")-1),",","."),FIND("/",SUBSTITUTE(LEFT(TRIM(C392),FIND(" ",TRIM(C392)&amp;" ")-1),",","."))+1,9))*12,NA()))),0),36)*'Aturan &amp; Tarif'!$B$4,2)</f>
        <v>2044.08</v>
      </c>
      <c r="K392" s="42" t="n">
        <f aca="false">'Aturan &amp; Tarif'!$B$5</f>
        <v>2050</v>
      </c>
      <c r="L392" s="42" t="n">
        <f aca="false">'Aturan &amp; Tarif'!$B$6</f>
        <v>350</v>
      </c>
      <c r="M392" s="35" t="n">
        <f aca="false">I392+J392+K392+L392</f>
        <v>12844.08</v>
      </c>
      <c r="N392" s="44" t="s">
        <v>459</v>
      </c>
    </row>
    <row r="393" customFormat="false" ht="37.5" hidden="false" customHeight="true" outlineLevel="0" collapsed="false">
      <c r="A393" s="39"/>
      <c r="B393" s="40" t="s">
        <v>348</v>
      </c>
      <c r="C393" s="41" t="s">
        <v>113</v>
      </c>
      <c r="D393" s="41" t="s">
        <v>108</v>
      </c>
      <c r="E393" s="42" t="n">
        <v>4125</v>
      </c>
      <c r="F393" s="42" t="n">
        <v>400</v>
      </c>
      <c r="G393" s="42" t="n">
        <v>350</v>
      </c>
      <c r="H393" s="43" t="n">
        <v>2</v>
      </c>
      <c r="I393" s="34" t="n">
        <f aca="false">E393*H393+N(F393)+N(G393)</f>
        <v>9000</v>
      </c>
      <c r="J393" s="42" t="n">
        <f aca="false">ROUND(IFERROR(ROUND(IF(OR(ISNUMBER(SEARCH("week",C393)),ISNUMBER(SEARCH("minggu",C393))),IFERROR(_xlfn.NUMBERVALUE(SUBSTITUTE(LEFT(TRIM(C393),FIND(" ",TRIM(C393)&amp;" ")-1),",","."),"."),LEFT(SUBSTITUTE(LEFT(TRIM(C393),FIND(" ",TRIM(C393)&amp;" ")-1),",","."),FIND("/",SUBSTITUTE(LEFT(TRIM(C393),FIND(" ",TRIM(C393)&amp;" ")-1),",","."))-1)/MID(SUBSTITUTE(LEFT(TRIM(C393),FIND(" ",TRIM(C393)&amp;" ")-1),",","."),FIND("/",SUBSTITUTE(LEFT(TRIM(C393),FIND(" ",TRIM(C393)&amp;" ")-1),",","."))+1,9))*12/52,IF(ISNUMBER(SEARCH("month",C393)),IFERROR(_xlfn.NUMBERVALUE(SUBSTITUTE(LEFT(TRIM(C393),FIND(" ",TRIM(C393)&amp;" ")-1),",","."),"."),LEFT(SUBSTITUTE(LEFT(TRIM(C393),FIND(" ",TRIM(C393)&amp;" ")-1),",","."),FIND("/",SUBSTITUTE(LEFT(TRIM(C393),FIND(" ",TRIM(C393)&amp;" ")-1),",","."))-1)/MID(SUBSTITUTE(LEFT(TRIM(C393),FIND(" ",TRIM(C393)&amp;" ")-1),",","."),FIND("/",SUBSTITUTE(LEFT(TRIM(C393),FIND(" ",TRIM(C393)&amp;" ")-1),",","."))+1,9)),IF(ISNUMBER(SEARCH("yea",C393)),IFERROR(_xlfn.NUMBERVALUE(SUBSTITUTE(LEFT(TRIM(C393),FIND(" ",TRIM(C393)&amp;" ")-1),",","."),"."),LEFT(SUBSTITUTE(LEFT(TRIM(C393),FIND(" ",TRIM(C393)&amp;" ")-1),",","."),FIND("/",SUBSTITUTE(LEFT(TRIM(C393),FIND(" ",TRIM(C393)&amp;" ")-1),",","."))-1)/MID(SUBSTITUTE(LEFT(TRIM(C393),FIND(" ",TRIM(C393)&amp;" ")-1),",","."),FIND("/",SUBSTITUTE(LEFT(TRIM(C393),FIND(" ",TRIM(C393)&amp;" ")-1),",","."))+1,9))*12,NA()))),0),18)*'Aturan &amp; Tarif'!$B$4,2)</f>
        <v>1022.04</v>
      </c>
      <c r="K393" s="42" t="n">
        <f aca="false">'Aturan &amp; Tarif'!$B$5</f>
        <v>2050</v>
      </c>
      <c r="L393" s="42" t="n">
        <f aca="false">'Aturan &amp; Tarif'!$B$6</f>
        <v>350</v>
      </c>
      <c r="M393" s="35" t="n">
        <f aca="false">I393+J393+K393+L393</f>
        <v>12422.04</v>
      </c>
      <c r="N393" s="44" t="s">
        <v>2019</v>
      </c>
    </row>
    <row r="394" customFormat="false" ht="37.5" hidden="false" customHeight="true" outlineLevel="0" collapsed="false">
      <c r="A394" s="39"/>
      <c r="B394" s="40" t="s">
        <v>460</v>
      </c>
      <c r="C394" s="41" t="s">
        <v>107</v>
      </c>
      <c r="D394" s="41" t="s">
        <v>108</v>
      </c>
      <c r="E394" s="42" t="n">
        <v>4125</v>
      </c>
      <c r="F394" s="42" t="n">
        <v>400</v>
      </c>
      <c r="G394" s="42" t="n">
        <v>350</v>
      </c>
      <c r="H394" s="43" t="n">
        <v>2</v>
      </c>
      <c r="I394" s="34" t="n">
        <f aca="false">E394*H394+N(F394)+N(G394)</f>
        <v>9000</v>
      </c>
      <c r="J394" s="42" t="n">
        <f aca="false">ROUND(IFERROR(ROUND(IF(OR(ISNUMBER(SEARCH("week",C394)),ISNUMBER(SEARCH("minggu",C394))),IFERROR(_xlfn.NUMBERVALUE(SUBSTITUTE(LEFT(TRIM(C394),FIND(" ",TRIM(C394)&amp;" ")-1),",","."),"."),LEFT(SUBSTITUTE(LEFT(TRIM(C394),FIND(" ",TRIM(C394)&amp;" ")-1),",","."),FIND("/",SUBSTITUTE(LEFT(TRIM(C394),FIND(" ",TRIM(C394)&amp;" ")-1),",","."))-1)/MID(SUBSTITUTE(LEFT(TRIM(C394),FIND(" ",TRIM(C394)&amp;" ")-1),",","."),FIND("/",SUBSTITUTE(LEFT(TRIM(C394),FIND(" ",TRIM(C394)&amp;" ")-1),",","."))+1,9))*12/52,IF(ISNUMBER(SEARCH("month",C394)),IFERROR(_xlfn.NUMBERVALUE(SUBSTITUTE(LEFT(TRIM(C394),FIND(" ",TRIM(C394)&amp;" ")-1),",","."),"."),LEFT(SUBSTITUTE(LEFT(TRIM(C394),FIND(" ",TRIM(C394)&amp;" ")-1),",","."),FIND("/",SUBSTITUTE(LEFT(TRIM(C394),FIND(" ",TRIM(C394)&amp;" ")-1),",","."))-1)/MID(SUBSTITUTE(LEFT(TRIM(C394),FIND(" ",TRIM(C394)&amp;" ")-1),",","."),FIND("/",SUBSTITUTE(LEFT(TRIM(C394),FIND(" ",TRIM(C394)&amp;" ")-1),",","."))+1,9)),IF(ISNUMBER(SEARCH("yea",C394)),IFERROR(_xlfn.NUMBERVALUE(SUBSTITUTE(LEFT(TRIM(C394),FIND(" ",TRIM(C394)&amp;" ")-1),",","."),"."),LEFT(SUBSTITUTE(LEFT(TRIM(C394),FIND(" ",TRIM(C394)&amp;" ")-1),",","."),FIND("/",SUBSTITUTE(LEFT(TRIM(C394),FIND(" ",TRIM(C394)&amp;" ")-1),",","."))-1)/MID(SUBSTITUTE(LEFT(TRIM(C394),FIND(" ",TRIM(C394)&amp;" ")-1),",","."),FIND("/",SUBSTITUTE(LEFT(TRIM(C394),FIND(" ",TRIM(C394)&amp;" ")-1),",","."))+1,9))*12,NA()))),0),24)*'Aturan &amp; Tarif'!$B$4,2)</f>
        <v>1362.72</v>
      </c>
      <c r="K394" s="42" t="n">
        <f aca="false">'Aturan &amp; Tarif'!$B$5</f>
        <v>2050</v>
      </c>
      <c r="L394" s="42" t="n">
        <f aca="false">'Aturan &amp; Tarif'!$B$6</f>
        <v>350</v>
      </c>
      <c r="M394" s="35" t="n">
        <f aca="false">I394+J394+K394+L394</f>
        <v>12762.72</v>
      </c>
      <c r="N394" s="44" t="s">
        <v>2019</v>
      </c>
    </row>
    <row r="395" customFormat="false" ht="37.5" hidden="false" customHeight="true" outlineLevel="0" collapsed="false">
      <c r="A395" s="39"/>
      <c r="B395" s="40" t="s">
        <v>321</v>
      </c>
      <c r="C395" s="41" t="s">
        <v>127</v>
      </c>
      <c r="D395" s="41" t="s">
        <v>108</v>
      </c>
      <c r="E395" s="42" t="n">
        <v>3600</v>
      </c>
      <c r="F395" s="42" t="n">
        <v>400</v>
      </c>
      <c r="G395" s="42" t="n">
        <v>350</v>
      </c>
      <c r="H395" s="43" t="n">
        <v>2</v>
      </c>
      <c r="I395" s="34" t="n">
        <f aca="false">E395*H395+N(F395)+N(G395)</f>
        <v>7950</v>
      </c>
      <c r="J395" s="42" t="n">
        <f aca="false">ROUND(IFERROR(ROUND(IF(OR(ISNUMBER(SEARCH("week",C395)),ISNUMBER(SEARCH("minggu",C395))),IFERROR(_xlfn.NUMBERVALUE(SUBSTITUTE(LEFT(TRIM(C395),FIND(" ",TRIM(C395)&amp;" ")-1),",","."),"."),LEFT(SUBSTITUTE(LEFT(TRIM(C395),FIND(" ",TRIM(C395)&amp;" ")-1),",","."),FIND("/",SUBSTITUTE(LEFT(TRIM(C395),FIND(" ",TRIM(C395)&amp;" ")-1),",","."))-1)/MID(SUBSTITUTE(LEFT(TRIM(C395),FIND(" ",TRIM(C395)&amp;" ")-1),",","."),FIND("/",SUBSTITUTE(LEFT(TRIM(C395),FIND(" ",TRIM(C395)&amp;" ")-1),",","."))+1,9))*12/52,IF(ISNUMBER(SEARCH("month",C395)),IFERROR(_xlfn.NUMBERVALUE(SUBSTITUTE(LEFT(TRIM(C395),FIND(" ",TRIM(C395)&amp;" ")-1),",","."),"."),LEFT(SUBSTITUTE(LEFT(TRIM(C395),FIND(" ",TRIM(C395)&amp;" ")-1),",","."),FIND("/",SUBSTITUTE(LEFT(TRIM(C395),FIND(" ",TRIM(C395)&amp;" ")-1),",","."))-1)/MID(SUBSTITUTE(LEFT(TRIM(C395),FIND(" ",TRIM(C395)&amp;" ")-1),",","."),FIND("/",SUBSTITUTE(LEFT(TRIM(C395),FIND(" ",TRIM(C395)&amp;" ")-1),",","."))+1,9)),IF(ISNUMBER(SEARCH("yea",C395)),IFERROR(_xlfn.NUMBERVALUE(SUBSTITUTE(LEFT(TRIM(C395),FIND(" ",TRIM(C395)&amp;" ")-1),",","."),"."),LEFT(SUBSTITUTE(LEFT(TRIM(C395),FIND(" ",TRIM(C395)&amp;" ")-1),",","."),FIND("/",SUBSTITUTE(LEFT(TRIM(C395),FIND(" ",TRIM(C395)&amp;" ")-1),",","."))-1)/MID(SUBSTITUTE(LEFT(TRIM(C395),FIND(" ",TRIM(C395)&amp;" ")-1),",","."),FIND("/",SUBSTITUTE(LEFT(TRIM(C395),FIND(" ",TRIM(C395)&amp;" ")-1),",","."))+1,9))*12,NA()))),0),36)*'Aturan &amp; Tarif'!$B$4,2)</f>
        <v>2044.08</v>
      </c>
      <c r="K395" s="42" t="n">
        <f aca="false">'Aturan &amp; Tarif'!$B$5</f>
        <v>2050</v>
      </c>
      <c r="L395" s="42" t="n">
        <f aca="false">'Aturan &amp; Tarif'!$B$6</f>
        <v>350</v>
      </c>
      <c r="M395" s="35" t="n">
        <f aca="false">I395+J395+K395+L395</f>
        <v>12394.08</v>
      </c>
      <c r="N395" s="44" t="s">
        <v>457</v>
      </c>
    </row>
    <row r="396" customFormat="false" ht="37.5" hidden="false" customHeight="true" outlineLevel="0" collapsed="false">
      <c r="A396" s="39"/>
      <c r="B396" s="40" t="s">
        <v>343</v>
      </c>
      <c r="C396" s="41" t="s">
        <v>344</v>
      </c>
      <c r="D396" s="41" t="s">
        <v>108</v>
      </c>
      <c r="E396" s="42" t="n">
        <v>4125</v>
      </c>
      <c r="F396" s="42" t="n">
        <v>400</v>
      </c>
      <c r="G396" s="42" t="n">
        <v>350</v>
      </c>
      <c r="H396" s="43" t="n">
        <v>2</v>
      </c>
      <c r="I396" s="34" t="n">
        <f aca="false">E396*H396+N(F396)+N(G396)</f>
        <v>9000</v>
      </c>
      <c r="J396" s="42" t="n">
        <f aca="false">ROUND(IFERROR(ROUND(IF(OR(ISNUMBER(SEARCH("week",C396)),ISNUMBER(SEARCH("minggu",C396))),IFERROR(_xlfn.NUMBERVALUE(SUBSTITUTE(LEFT(TRIM(C396),FIND(" ",TRIM(C396)&amp;" ")-1),",","."),"."),LEFT(SUBSTITUTE(LEFT(TRIM(C396),FIND(" ",TRIM(C396)&amp;" ")-1),",","."),FIND("/",SUBSTITUTE(LEFT(TRIM(C396),FIND(" ",TRIM(C396)&amp;" ")-1),",","."))-1)/MID(SUBSTITUTE(LEFT(TRIM(C396),FIND(" ",TRIM(C396)&amp;" ")-1),",","."),FIND("/",SUBSTITUTE(LEFT(TRIM(C396),FIND(" ",TRIM(C396)&amp;" ")-1),",","."))+1,9))*12/52,IF(ISNUMBER(SEARCH("month",C396)),IFERROR(_xlfn.NUMBERVALUE(SUBSTITUTE(LEFT(TRIM(C396),FIND(" ",TRIM(C396)&amp;" ")-1),",","."),"."),LEFT(SUBSTITUTE(LEFT(TRIM(C396),FIND(" ",TRIM(C396)&amp;" ")-1),",","."),FIND("/",SUBSTITUTE(LEFT(TRIM(C396),FIND(" ",TRIM(C396)&amp;" ")-1),",","."))-1)/MID(SUBSTITUTE(LEFT(TRIM(C396),FIND(" ",TRIM(C396)&amp;" ")-1),",","."),FIND("/",SUBSTITUTE(LEFT(TRIM(C396),FIND(" ",TRIM(C396)&amp;" ")-1),",","."))+1,9)),IF(ISNUMBER(SEARCH("yea",C396)),IFERROR(_xlfn.NUMBERVALUE(SUBSTITUTE(LEFT(TRIM(C396),FIND(" ",TRIM(C396)&amp;" ")-1),",","."),"."),LEFT(SUBSTITUTE(LEFT(TRIM(C396),FIND(" ",TRIM(C396)&amp;" ")-1),",","."),FIND("/",SUBSTITUTE(LEFT(TRIM(C396),FIND(" ",TRIM(C396)&amp;" ")-1),",","."))-1)/MID(SUBSTITUTE(LEFT(TRIM(C396),FIND(" ",TRIM(C396)&amp;" ")-1),",","."),FIND("/",SUBSTITUTE(LEFT(TRIM(C396),FIND(" ",TRIM(C396)&amp;" ")-1),",","."))+1,9))*12,NA()))),0),6)*'Aturan &amp; Tarif'!$B$4,2)</f>
        <v>340.68</v>
      </c>
      <c r="K396" s="42" t="n">
        <f aca="false">'Aturan &amp; Tarif'!$B$5</f>
        <v>2050</v>
      </c>
      <c r="L396" s="42" t="n">
        <f aca="false">'Aturan &amp; Tarif'!$B$6</f>
        <v>350</v>
      </c>
      <c r="M396" s="35" t="n">
        <f aca="false">I396+J396+K396+L396</f>
        <v>11740.68</v>
      </c>
      <c r="N396" s="44" t="s">
        <v>461</v>
      </c>
    </row>
    <row r="397" customFormat="false" ht="48.75" hidden="false" customHeight="true" outlineLevel="0" collapsed="false">
      <c r="A397" s="29" t="s">
        <v>2020</v>
      </c>
      <c r="B397" s="30" t="s">
        <v>2021</v>
      </c>
      <c r="C397" s="31" t="s">
        <v>127</v>
      </c>
      <c r="D397" s="31" t="s">
        <v>108</v>
      </c>
      <c r="E397" s="32" t="n">
        <v>1500</v>
      </c>
      <c r="F397" s="32" t="n">
        <v>60</v>
      </c>
      <c r="G397" s="32" t="n">
        <v>250</v>
      </c>
      <c r="H397" s="33" t="n">
        <v>2</v>
      </c>
      <c r="I397" s="34" t="n">
        <f aca="false">E397*H397+N(F397)+N(G397)</f>
        <v>3310</v>
      </c>
      <c r="J397" s="32" t="n">
        <f aca="false">ROUND(IFERROR(ROUND(IF(OR(ISNUMBER(SEARCH("week",C397)),ISNUMBER(SEARCH("minggu",C397))),IFERROR(_xlfn.NUMBERVALUE(SUBSTITUTE(LEFT(TRIM(C397),FIND(" ",TRIM(C397)&amp;" ")-1),",","."),"."),LEFT(SUBSTITUTE(LEFT(TRIM(C397),FIND(" ",TRIM(C397)&amp;" ")-1),",","."),FIND("/",SUBSTITUTE(LEFT(TRIM(C397),FIND(" ",TRIM(C397)&amp;" ")-1),",","."))-1)/MID(SUBSTITUTE(LEFT(TRIM(C397),FIND(" ",TRIM(C397)&amp;" ")-1),",","."),FIND("/",SUBSTITUTE(LEFT(TRIM(C397),FIND(" ",TRIM(C397)&amp;" ")-1),",","."))+1,9))*12/52,IF(ISNUMBER(SEARCH("month",C397)),IFERROR(_xlfn.NUMBERVALUE(SUBSTITUTE(LEFT(TRIM(C397),FIND(" ",TRIM(C397)&amp;" ")-1),",","."),"."),LEFT(SUBSTITUTE(LEFT(TRIM(C397),FIND(" ",TRIM(C397)&amp;" ")-1),",","."),FIND("/",SUBSTITUTE(LEFT(TRIM(C397),FIND(" ",TRIM(C397)&amp;" ")-1),",","."))-1)/MID(SUBSTITUTE(LEFT(TRIM(C397),FIND(" ",TRIM(C397)&amp;" ")-1),",","."),FIND("/",SUBSTITUTE(LEFT(TRIM(C397),FIND(" ",TRIM(C397)&amp;" ")-1),",","."))+1,9)),IF(ISNUMBER(SEARCH("yea",C397)),IFERROR(_xlfn.NUMBERVALUE(SUBSTITUTE(LEFT(TRIM(C397),FIND(" ",TRIM(C397)&amp;" ")-1),",","."),"."),LEFT(SUBSTITUTE(LEFT(TRIM(C397),FIND(" ",TRIM(C397)&amp;" ")-1),",","."),FIND("/",SUBSTITUTE(LEFT(TRIM(C397),FIND(" ",TRIM(C397)&amp;" ")-1),",","."))-1)/MID(SUBSTITUTE(LEFT(TRIM(C397),FIND(" ",TRIM(C397)&amp;" ")-1),",","."),FIND("/",SUBSTITUTE(LEFT(TRIM(C397),FIND(" ",TRIM(C397)&amp;" ")-1),",","."))+1,9))*12,NA()))),0),36)*'Aturan &amp; Tarif'!$B$4,2)</f>
        <v>2044.08</v>
      </c>
      <c r="K397" s="32" t="n">
        <f aca="false">'Aturan &amp; Tarif'!$B$5</f>
        <v>2050</v>
      </c>
      <c r="L397" s="32" t="n">
        <f aca="false">'Aturan &amp; Tarif'!$B$6</f>
        <v>350</v>
      </c>
      <c r="M397" s="35" t="n">
        <f aca="false">I397+J397+K397+L397</f>
        <v>7754.08</v>
      </c>
      <c r="N397" s="36" t="s">
        <v>2022</v>
      </c>
    </row>
    <row r="398" customFormat="false" ht="37.5" hidden="false" customHeight="true" outlineLevel="0" collapsed="false">
      <c r="A398" s="29"/>
      <c r="B398" s="30" t="s">
        <v>2023</v>
      </c>
      <c r="C398" s="31" t="s">
        <v>2024</v>
      </c>
      <c r="D398" s="31" t="s">
        <v>108</v>
      </c>
      <c r="E398" s="32" t="n">
        <v>1500</v>
      </c>
      <c r="F398" s="32" t="n">
        <v>60</v>
      </c>
      <c r="G398" s="32" t="n">
        <v>250</v>
      </c>
      <c r="H398" s="33" t="n">
        <v>2</v>
      </c>
      <c r="I398" s="34" t="n">
        <f aca="false">E398*H398+N(F398)+N(G398)</f>
        <v>3310</v>
      </c>
      <c r="J398" s="32" t="n">
        <f aca="false">ROUND(IFERROR(ROUND(IF(OR(ISNUMBER(SEARCH("week",C398)),ISNUMBER(SEARCH("minggu",C398))),IFERROR(_xlfn.NUMBERVALUE(SUBSTITUTE(LEFT(TRIM(C398),FIND(" ",TRIM(C398)&amp;" ")-1),",","."),"."),LEFT(SUBSTITUTE(LEFT(TRIM(C398),FIND(" ",TRIM(C398)&amp;" ")-1),",","."),FIND("/",SUBSTITUTE(LEFT(TRIM(C398),FIND(" ",TRIM(C398)&amp;" ")-1),",","."))-1)/MID(SUBSTITUTE(LEFT(TRIM(C398),FIND(" ",TRIM(C398)&amp;" ")-1),",","."),FIND("/",SUBSTITUTE(LEFT(TRIM(C398),FIND(" ",TRIM(C398)&amp;" ")-1),",","."))+1,9))*12/52,IF(ISNUMBER(SEARCH("month",C398)),IFERROR(_xlfn.NUMBERVALUE(SUBSTITUTE(LEFT(TRIM(C398),FIND(" ",TRIM(C398)&amp;" ")-1),",","."),"."),LEFT(SUBSTITUTE(LEFT(TRIM(C398),FIND(" ",TRIM(C398)&amp;" ")-1),",","."),FIND("/",SUBSTITUTE(LEFT(TRIM(C398),FIND(" ",TRIM(C398)&amp;" ")-1),",","."))-1)/MID(SUBSTITUTE(LEFT(TRIM(C398),FIND(" ",TRIM(C398)&amp;" ")-1),",","."),FIND("/",SUBSTITUTE(LEFT(TRIM(C398),FIND(" ",TRIM(C398)&amp;" ")-1),",","."))+1,9)),IF(ISNUMBER(SEARCH("yea",C398)),IFERROR(_xlfn.NUMBERVALUE(SUBSTITUTE(LEFT(TRIM(C398),FIND(" ",TRIM(C398)&amp;" ")-1),",","."),"."),LEFT(SUBSTITUTE(LEFT(TRIM(C398),FIND(" ",TRIM(C398)&amp;" ")-1),",","."),FIND("/",SUBSTITUTE(LEFT(TRIM(C398),FIND(" ",TRIM(C398)&amp;" ")-1),",","."))-1)/MID(SUBSTITUTE(LEFT(TRIM(C398),FIND(" ",TRIM(C398)&amp;" ")-1),",","."),FIND("/",SUBSTITUTE(LEFT(TRIM(C398),FIND(" ",TRIM(C398)&amp;" ")-1),",","."))+1,9))*12,NA()))),0),54)*'Aturan &amp; Tarif'!$B$4,2)</f>
        <v>3066.12</v>
      </c>
      <c r="K398" s="32" t="n">
        <f aca="false">'Aturan &amp; Tarif'!$B$5</f>
        <v>2050</v>
      </c>
      <c r="L398" s="32" t="n">
        <f aca="false">'Aturan &amp; Tarif'!$B$6</f>
        <v>350</v>
      </c>
      <c r="M398" s="35" t="n">
        <f aca="false">I398+J398+K398+L398</f>
        <v>8776.12</v>
      </c>
      <c r="N398" s="36" t="s">
        <v>2022</v>
      </c>
    </row>
    <row r="399" customFormat="false" ht="72" hidden="false" customHeight="true" outlineLevel="0" collapsed="false">
      <c r="A399" s="29" t="s">
        <v>2025</v>
      </c>
      <c r="B399" s="30" t="s">
        <v>2026</v>
      </c>
      <c r="C399" s="31" t="s">
        <v>138</v>
      </c>
      <c r="D399" s="31" t="s">
        <v>108</v>
      </c>
      <c r="E399" s="32" t="n">
        <v>2900</v>
      </c>
      <c r="F399" s="32" t="n">
        <v>800</v>
      </c>
      <c r="G399" s="32" t="n">
        <v>300</v>
      </c>
      <c r="H399" s="33" t="n">
        <v>1</v>
      </c>
      <c r="I399" s="34" t="n">
        <f aca="false">E399*H399+N(F399)+N(G399)</f>
        <v>4000</v>
      </c>
      <c r="J399" s="32" t="n">
        <f aca="false">ROUND(IFERROR(ROUND(IF(OR(ISNUMBER(SEARCH("week",C399)),ISNUMBER(SEARCH("minggu",C399))),IFERROR(_xlfn.NUMBERVALUE(SUBSTITUTE(LEFT(TRIM(C399),FIND(" ",TRIM(C399)&amp;" ")-1),",","."),"."),LEFT(SUBSTITUTE(LEFT(TRIM(C399),FIND(" ",TRIM(C399)&amp;" ")-1),",","."),FIND("/",SUBSTITUTE(LEFT(TRIM(C399),FIND(" ",TRIM(C399)&amp;" ")-1),",","."))-1)/MID(SUBSTITUTE(LEFT(TRIM(C399),FIND(" ",TRIM(C399)&amp;" ")-1),",","."),FIND("/",SUBSTITUTE(LEFT(TRIM(C399),FIND(" ",TRIM(C399)&amp;" ")-1),",","."))+1,9))*12/52,IF(ISNUMBER(SEARCH("month",C399)),IFERROR(_xlfn.NUMBERVALUE(SUBSTITUTE(LEFT(TRIM(C399),FIND(" ",TRIM(C399)&amp;" ")-1),",","."),"."),LEFT(SUBSTITUTE(LEFT(TRIM(C399),FIND(" ",TRIM(C399)&amp;" ")-1),",","."),FIND("/",SUBSTITUTE(LEFT(TRIM(C399),FIND(" ",TRIM(C399)&amp;" ")-1),",","."))-1)/MID(SUBSTITUTE(LEFT(TRIM(C399),FIND(" ",TRIM(C399)&amp;" ")-1),",","."),FIND("/",SUBSTITUTE(LEFT(TRIM(C399),FIND(" ",TRIM(C399)&amp;" ")-1),",","."))+1,9)),IF(ISNUMBER(SEARCH("yea",C399)),IFERROR(_xlfn.NUMBERVALUE(SUBSTITUTE(LEFT(TRIM(C399),FIND(" ",TRIM(C399)&amp;" ")-1),",","."),"."),LEFT(SUBSTITUTE(LEFT(TRIM(C399),FIND(" ",TRIM(C399)&amp;" ")-1),",","."),FIND("/",SUBSTITUTE(LEFT(TRIM(C399),FIND(" ",TRIM(C399)&amp;" ")-1),",","."))-1)/MID(SUBSTITUTE(LEFT(TRIM(C399),FIND(" ",TRIM(C399)&amp;" ")-1),",","."),FIND("/",SUBSTITUTE(LEFT(TRIM(C399),FIND(" ",TRIM(C399)&amp;" ")-1),",","."))+1,9))*12,NA()))),0),30)*'Aturan &amp; Tarif'!$B$4,2)</f>
        <v>1703.4</v>
      </c>
      <c r="K399" s="32" t="n">
        <f aca="false">'Aturan &amp; Tarif'!$B$5</f>
        <v>2050</v>
      </c>
      <c r="L399" s="32" t="n">
        <f aca="false">'Aturan &amp; Tarif'!$B$6</f>
        <v>350</v>
      </c>
      <c r="M399" s="35" t="n">
        <f aca="false">I399+J399+K399+L399</f>
        <v>8103.4</v>
      </c>
      <c r="N399" s="36" t="s">
        <v>1620</v>
      </c>
    </row>
    <row r="400" customFormat="false" ht="25.5" hidden="false" customHeight="true" outlineLevel="0" collapsed="false">
      <c r="A400" s="29"/>
      <c r="B400" s="30" t="s">
        <v>2027</v>
      </c>
      <c r="C400" s="31" t="s">
        <v>138</v>
      </c>
      <c r="D400" s="31" t="s">
        <v>108</v>
      </c>
      <c r="E400" s="32" t="n">
        <v>2900</v>
      </c>
      <c r="F400" s="32" t="n">
        <v>800</v>
      </c>
      <c r="G400" s="32" t="n">
        <v>300</v>
      </c>
      <c r="H400" s="33" t="n">
        <v>1</v>
      </c>
      <c r="I400" s="34" t="n">
        <f aca="false">E400*H400+N(F400)+N(G400)</f>
        <v>4000</v>
      </c>
      <c r="J400" s="32" t="n">
        <f aca="false">ROUND(IFERROR(ROUND(IF(OR(ISNUMBER(SEARCH("week",C400)),ISNUMBER(SEARCH("minggu",C400))),IFERROR(_xlfn.NUMBERVALUE(SUBSTITUTE(LEFT(TRIM(C400),FIND(" ",TRIM(C400)&amp;" ")-1),",","."),"."),LEFT(SUBSTITUTE(LEFT(TRIM(C400),FIND(" ",TRIM(C400)&amp;" ")-1),",","."),FIND("/",SUBSTITUTE(LEFT(TRIM(C400),FIND(" ",TRIM(C400)&amp;" ")-1),",","."))-1)/MID(SUBSTITUTE(LEFT(TRIM(C400),FIND(" ",TRIM(C400)&amp;" ")-1),",","."),FIND("/",SUBSTITUTE(LEFT(TRIM(C400),FIND(" ",TRIM(C400)&amp;" ")-1),",","."))+1,9))*12/52,IF(ISNUMBER(SEARCH("month",C400)),IFERROR(_xlfn.NUMBERVALUE(SUBSTITUTE(LEFT(TRIM(C400),FIND(" ",TRIM(C400)&amp;" ")-1),",","."),"."),LEFT(SUBSTITUTE(LEFT(TRIM(C400),FIND(" ",TRIM(C400)&amp;" ")-1),",","."),FIND("/",SUBSTITUTE(LEFT(TRIM(C400),FIND(" ",TRIM(C400)&amp;" ")-1),",","."))-1)/MID(SUBSTITUTE(LEFT(TRIM(C400),FIND(" ",TRIM(C400)&amp;" ")-1),",","."),FIND("/",SUBSTITUTE(LEFT(TRIM(C400),FIND(" ",TRIM(C400)&amp;" ")-1),",","."))+1,9)),IF(ISNUMBER(SEARCH("yea",C400)),IFERROR(_xlfn.NUMBERVALUE(SUBSTITUTE(LEFT(TRIM(C400),FIND(" ",TRIM(C400)&amp;" ")-1),",","."),"."),LEFT(SUBSTITUTE(LEFT(TRIM(C400),FIND(" ",TRIM(C400)&amp;" ")-1),",","."),FIND("/",SUBSTITUTE(LEFT(TRIM(C400),FIND(" ",TRIM(C400)&amp;" ")-1),",","."))-1)/MID(SUBSTITUTE(LEFT(TRIM(C400),FIND(" ",TRIM(C400)&amp;" ")-1),",","."),FIND("/",SUBSTITUTE(LEFT(TRIM(C400),FIND(" ",TRIM(C400)&amp;" ")-1),",","."))+1,9))*12,NA()))),0),30)*'Aturan &amp; Tarif'!$B$4,2)</f>
        <v>1703.4</v>
      </c>
      <c r="K400" s="32" t="n">
        <f aca="false">'Aturan &amp; Tarif'!$B$5</f>
        <v>2050</v>
      </c>
      <c r="L400" s="32" t="n">
        <f aca="false">'Aturan &amp; Tarif'!$B$6</f>
        <v>350</v>
      </c>
      <c r="M400" s="35" t="n">
        <f aca="false">I400+J400+K400+L400</f>
        <v>8103.4</v>
      </c>
      <c r="N400" s="36" t="s">
        <v>1620</v>
      </c>
    </row>
    <row r="401" customFormat="false" ht="14.25" hidden="false" customHeight="true" outlineLevel="0" collapsed="false">
      <c r="A401" s="29"/>
      <c r="B401" s="30" t="s">
        <v>2028</v>
      </c>
      <c r="C401" s="31" t="s">
        <v>138</v>
      </c>
      <c r="D401" s="31" t="s">
        <v>108</v>
      </c>
      <c r="E401" s="32" t="n">
        <v>3950</v>
      </c>
      <c r="F401" s="32" t="n">
        <v>800</v>
      </c>
      <c r="G401" s="32" t="n">
        <v>300</v>
      </c>
      <c r="H401" s="33" t="n">
        <v>1</v>
      </c>
      <c r="I401" s="34" t="n">
        <f aca="false">E401*H401+N(F401)+N(G401)</f>
        <v>5050</v>
      </c>
      <c r="J401" s="32" t="n">
        <f aca="false">ROUND(IFERROR(ROUND(IF(OR(ISNUMBER(SEARCH("week",C401)),ISNUMBER(SEARCH("minggu",C401))),IFERROR(_xlfn.NUMBERVALUE(SUBSTITUTE(LEFT(TRIM(C401),FIND(" ",TRIM(C401)&amp;" ")-1),",","."),"."),LEFT(SUBSTITUTE(LEFT(TRIM(C401),FIND(" ",TRIM(C401)&amp;" ")-1),",","."),FIND("/",SUBSTITUTE(LEFT(TRIM(C401),FIND(" ",TRIM(C401)&amp;" ")-1),",","."))-1)/MID(SUBSTITUTE(LEFT(TRIM(C401),FIND(" ",TRIM(C401)&amp;" ")-1),",","."),FIND("/",SUBSTITUTE(LEFT(TRIM(C401),FIND(" ",TRIM(C401)&amp;" ")-1),",","."))+1,9))*12/52,IF(ISNUMBER(SEARCH("month",C401)),IFERROR(_xlfn.NUMBERVALUE(SUBSTITUTE(LEFT(TRIM(C401),FIND(" ",TRIM(C401)&amp;" ")-1),",","."),"."),LEFT(SUBSTITUTE(LEFT(TRIM(C401),FIND(" ",TRIM(C401)&amp;" ")-1),",","."),FIND("/",SUBSTITUTE(LEFT(TRIM(C401),FIND(" ",TRIM(C401)&amp;" ")-1),",","."))-1)/MID(SUBSTITUTE(LEFT(TRIM(C401),FIND(" ",TRIM(C401)&amp;" ")-1),",","."),FIND("/",SUBSTITUTE(LEFT(TRIM(C401),FIND(" ",TRIM(C401)&amp;" ")-1),",","."))+1,9)),IF(ISNUMBER(SEARCH("yea",C401)),IFERROR(_xlfn.NUMBERVALUE(SUBSTITUTE(LEFT(TRIM(C401),FIND(" ",TRIM(C401)&amp;" ")-1),",","."),"."),LEFT(SUBSTITUTE(LEFT(TRIM(C401),FIND(" ",TRIM(C401)&amp;" ")-1),",","."),FIND("/",SUBSTITUTE(LEFT(TRIM(C401),FIND(" ",TRIM(C401)&amp;" ")-1),",","."))-1)/MID(SUBSTITUTE(LEFT(TRIM(C401),FIND(" ",TRIM(C401)&amp;" ")-1),",","."),FIND("/",SUBSTITUTE(LEFT(TRIM(C401),FIND(" ",TRIM(C401)&amp;" ")-1),",","."))+1,9))*12,NA()))),0),30)*'Aturan &amp; Tarif'!$B$4,2)</f>
        <v>1703.4</v>
      </c>
      <c r="K401" s="32" t="n">
        <f aca="false">'Aturan &amp; Tarif'!$B$5</f>
        <v>2050</v>
      </c>
      <c r="L401" s="32" t="n">
        <f aca="false">'Aturan &amp; Tarif'!$B$6</f>
        <v>350</v>
      </c>
      <c r="M401" s="35" t="n">
        <f aca="false">I401+J401+K401+L401</f>
        <v>9153.4</v>
      </c>
      <c r="N401" s="36" t="s">
        <v>1620</v>
      </c>
    </row>
    <row r="402" customFormat="false" ht="25.5" hidden="false" customHeight="true" outlineLevel="0" collapsed="false">
      <c r="A402" s="29"/>
      <c r="B402" s="30" t="s">
        <v>1623</v>
      </c>
      <c r="C402" s="31" t="s">
        <v>107</v>
      </c>
      <c r="D402" s="31" t="s">
        <v>108</v>
      </c>
      <c r="E402" s="32" t="n">
        <v>2200</v>
      </c>
      <c r="F402" s="32" t="n">
        <v>350</v>
      </c>
      <c r="G402" s="32" t="n">
        <v>300</v>
      </c>
      <c r="H402" s="33" t="n">
        <v>1</v>
      </c>
      <c r="I402" s="34" t="n">
        <f aca="false">E402*H402+N(F402)+N(G402)</f>
        <v>2850</v>
      </c>
      <c r="J402" s="32" t="n">
        <f aca="false">ROUND(IFERROR(ROUND(IF(OR(ISNUMBER(SEARCH("week",C402)),ISNUMBER(SEARCH("minggu",C402))),IFERROR(_xlfn.NUMBERVALUE(SUBSTITUTE(LEFT(TRIM(C402),FIND(" ",TRIM(C402)&amp;" ")-1),",","."),"."),LEFT(SUBSTITUTE(LEFT(TRIM(C402),FIND(" ",TRIM(C402)&amp;" ")-1),",","."),FIND("/",SUBSTITUTE(LEFT(TRIM(C402),FIND(" ",TRIM(C402)&amp;" ")-1),",","."))-1)/MID(SUBSTITUTE(LEFT(TRIM(C402),FIND(" ",TRIM(C402)&amp;" ")-1),",","."),FIND("/",SUBSTITUTE(LEFT(TRIM(C402),FIND(" ",TRIM(C402)&amp;" ")-1),",","."))+1,9))*12/52,IF(ISNUMBER(SEARCH("month",C402)),IFERROR(_xlfn.NUMBERVALUE(SUBSTITUTE(LEFT(TRIM(C402),FIND(" ",TRIM(C402)&amp;" ")-1),",","."),"."),LEFT(SUBSTITUTE(LEFT(TRIM(C402),FIND(" ",TRIM(C402)&amp;" ")-1),",","."),FIND("/",SUBSTITUTE(LEFT(TRIM(C402),FIND(" ",TRIM(C402)&amp;" ")-1),",","."))-1)/MID(SUBSTITUTE(LEFT(TRIM(C402),FIND(" ",TRIM(C402)&amp;" ")-1),",","."),FIND("/",SUBSTITUTE(LEFT(TRIM(C402),FIND(" ",TRIM(C402)&amp;" ")-1),",","."))+1,9)),IF(ISNUMBER(SEARCH("yea",C402)),IFERROR(_xlfn.NUMBERVALUE(SUBSTITUTE(LEFT(TRIM(C402),FIND(" ",TRIM(C402)&amp;" ")-1),",","."),"."),LEFT(SUBSTITUTE(LEFT(TRIM(C402),FIND(" ",TRIM(C402)&amp;" ")-1),",","."),FIND("/",SUBSTITUTE(LEFT(TRIM(C402),FIND(" ",TRIM(C402)&amp;" ")-1),",","."))-1)/MID(SUBSTITUTE(LEFT(TRIM(C402),FIND(" ",TRIM(C402)&amp;" ")-1),",","."),FIND("/",SUBSTITUTE(LEFT(TRIM(C402),FIND(" ",TRIM(C402)&amp;" ")-1),",","."))+1,9))*12,NA()))),0),24)*'Aturan &amp; Tarif'!$B$4,2)</f>
        <v>1362.72</v>
      </c>
      <c r="K402" s="32" t="n">
        <f aca="false">'Aturan &amp; Tarif'!$B$5</f>
        <v>2050</v>
      </c>
      <c r="L402" s="32" t="n">
        <f aca="false">'Aturan &amp; Tarif'!$B$6</f>
        <v>350</v>
      </c>
      <c r="M402" s="35" t="n">
        <f aca="false">I402+J402+K402+L402</f>
        <v>6612.72</v>
      </c>
      <c r="N402" s="37" t="s">
        <v>1624</v>
      </c>
    </row>
    <row r="403" customFormat="false" ht="48.75" hidden="false" customHeight="true" outlineLevel="0" collapsed="false">
      <c r="A403" s="39" t="s">
        <v>2029</v>
      </c>
      <c r="B403" s="40" t="s">
        <v>896</v>
      </c>
      <c r="C403" s="41" t="s">
        <v>130</v>
      </c>
      <c r="D403" s="41" t="s">
        <v>108</v>
      </c>
      <c r="E403" s="42" t="n">
        <v>3000</v>
      </c>
      <c r="F403" s="42" t="n">
        <v>0</v>
      </c>
      <c r="G403" s="42" t="n">
        <v>250</v>
      </c>
      <c r="H403" s="43" t="n">
        <v>1</v>
      </c>
      <c r="I403" s="34" t="n">
        <f aca="false">E403*H403+N(F403)+N(G403)</f>
        <v>3250</v>
      </c>
      <c r="J403" s="42" t="n">
        <f aca="false">ROUND(IFERROR(ROUND(IF(OR(ISNUMBER(SEARCH("week",C403)),ISNUMBER(SEARCH("minggu",C403))),IFERROR(_xlfn.NUMBERVALUE(SUBSTITUTE(LEFT(TRIM(C403),FIND(" ",TRIM(C403)&amp;" ")-1),",","."),"."),LEFT(SUBSTITUTE(LEFT(TRIM(C403),FIND(" ",TRIM(C403)&amp;" ")-1),",","."),FIND("/",SUBSTITUTE(LEFT(TRIM(C403),FIND(" ",TRIM(C403)&amp;" ")-1),",","."))-1)/MID(SUBSTITUTE(LEFT(TRIM(C403),FIND(" ",TRIM(C403)&amp;" ")-1),",","."),FIND("/",SUBSTITUTE(LEFT(TRIM(C403),FIND(" ",TRIM(C403)&amp;" ")-1),",","."))+1,9))*12/52,IF(ISNUMBER(SEARCH("month",C403)),IFERROR(_xlfn.NUMBERVALUE(SUBSTITUTE(LEFT(TRIM(C403),FIND(" ",TRIM(C403)&amp;" ")-1),",","."),"."),LEFT(SUBSTITUTE(LEFT(TRIM(C403),FIND(" ",TRIM(C403)&amp;" ")-1),",","."),FIND("/",SUBSTITUTE(LEFT(TRIM(C403),FIND(" ",TRIM(C403)&amp;" ")-1),",","."))-1)/MID(SUBSTITUTE(LEFT(TRIM(C403),FIND(" ",TRIM(C403)&amp;" ")-1),",","."),FIND("/",SUBSTITUTE(LEFT(TRIM(C403),FIND(" ",TRIM(C403)&amp;" ")-1),",","."))+1,9)),IF(ISNUMBER(SEARCH("yea",C403)),IFERROR(_xlfn.NUMBERVALUE(SUBSTITUTE(LEFT(TRIM(C403),FIND(" ",TRIM(C403)&amp;" ")-1),",","."),"."),LEFT(SUBSTITUTE(LEFT(TRIM(C403),FIND(" ",TRIM(C403)&amp;" ")-1),",","."),FIND("/",SUBSTITUTE(LEFT(TRIM(C403),FIND(" ",TRIM(C403)&amp;" ")-1),",","."))-1)/MID(SUBSTITUTE(LEFT(TRIM(C403),FIND(" ",TRIM(C403)&amp;" ")-1),",","."),FIND("/",SUBSTITUTE(LEFT(TRIM(C403),FIND(" ",TRIM(C403)&amp;" ")-1),",","."))+1,9))*12,NA()))),0),12)*'Aturan &amp; Tarif'!$B$4,2)</f>
        <v>681.36</v>
      </c>
      <c r="K403" s="42" t="n">
        <f aca="false">'Aturan &amp; Tarif'!$B$5</f>
        <v>2050</v>
      </c>
      <c r="L403" s="42" t="n">
        <f aca="false">'Aturan &amp; Tarif'!$B$6</f>
        <v>350</v>
      </c>
      <c r="M403" s="35" t="n">
        <f aca="false">I403+J403+K403+L403</f>
        <v>6331.36</v>
      </c>
      <c r="N403" s="45" t="s">
        <v>2030</v>
      </c>
    </row>
    <row r="404" customFormat="false" ht="25.5" hidden="false" customHeight="true" outlineLevel="0" collapsed="false">
      <c r="A404" s="39"/>
      <c r="B404" s="40" t="s">
        <v>898</v>
      </c>
      <c r="C404" s="41" t="s">
        <v>107</v>
      </c>
      <c r="D404" s="41" t="s">
        <v>108</v>
      </c>
      <c r="E404" s="42" t="n">
        <v>1500</v>
      </c>
      <c r="F404" s="42" t="n">
        <v>0</v>
      </c>
      <c r="G404" s="42" t="n">
        <v>250</v>
      </c>
      <c r="H404" s="43" t="n">
        <v>1</v>
      </c>
      <c r="I404" s="34" t="n">
        <f aca="false">E404*H404+N(F404)+N(G404)</f>
        <v>1750</v>
      </c>
      <c r="J404" s="42" t="n">
        <f aca="false">ROUND(IFERROR(ROUND(IF(OR(ISNUMBER(SEARCH("week",C404)),ISNUMBER(SEARCH("minggu",C404))),IFERROR(_xlfn.NUMBERVALUE(SUBSTITUTE(LEFT(TRIM(C404),FIND(" ",TRIM(C404)&amp;" ")-1),",","."),"."),LEFT(SUBSTITUTE(LEFT(TRIM(C404),FIND(" ",TRIM(C404)&amp;" ")-1),",","."),FIND("/",SUBSTITUTE(LEFT(TRIM(C404),FIND(" ",TRIM(C404)&amp;" ")-1),",","."))-1)/MID(SUBSTITUTE(LEFT(TRIM(C404),FIND(" ",TRIM(C404)&amp;" ")-1),",","."),FIND("/",SUBSTITUTE(LEFT(TRIM(C404),FIND(" ",TRIM(C404)&amp;" ")-1),",","."))+1,9))*12/52,IF(ISNUMBER(SEARCH("month",C404)),IFERROR(_xlfn.NUMBERVALUE(SUBSTITUTE(LEFT(TRIM(C404),FIND(" ",TRIM(C404)&amp;" ")-1),",","."),"."),LEFT(SUBSTITUTE(LEFT(TRIM(C404),FIND(" ",TRIM(C404)&amp;" ")-1),",","."),FIND("/",SUBSTITUTE(LEFT(TRIM(C404),FIND(" ",TRIM(C404)&amp;" ")-1),",","."))-1)/MID(SUBSTITUTE(LEFT(TRIM(C404),FIND(" ",TRIM(C404)&amp;" ")-1),",","."),FIND("/",SUBSTITUTE(LEFT(TRIM(C404),FIND(" ",TRIM(C404)&amp;" ")-1),",","."))+1,9)),IF(ISNUMBER(SEARCH("yea",C404)),IFERROR(_xlfn.NUMBERVALUE(SUBSTITUTE(LEFT(TRIM(C404),FIND(" ",TRIM(C404)&amp;" ")-1),",","."),"."),LEFT(SUBSTITUTE(LEFT(TRIM(C404),FIND(" ",TRIM(C404)&amp;" ")-1),",","."),FIND("/",SUBSTITUTE(LEFT(TRIM(C404),FIND(" ",TRIM(C404)&amp;" ")-1),",","."))-1)/MID(SUBSTITUTE(LEFT(TRIM(C404),FIND(" ",TRIM(C404)&amp;" ")-1),",","."),FIND("/",SUBSTITUTE(LEFT(TRIM(C404),FIND(" ",TRIM(C404)&amp;" ")-1),",","."))+1,9))*12,NA()))),0),24)*'Aturan &amp; Tarif'!$B$4,2)</f>
        <v>1362.72</v>
      </c>
      <c r="K404" s="42" t="n">
        <f aca="false">'Aturan &amp; Tarif'!$B$5</f>
        <v>2050</v>
      </c>
      <c r="L404" s="42" t="n">
        <f aca="false">'Aturan &amp; Tarif'!$B$6</f>
        <v>350</v>
      </c>
      <c r="M404" s="35" t="n">
        <f aca="false">I404+J404+K404+L404</f>
        <v>5512.72</v>
      </c>
      <c r="N404" s="45" t="s">
        <v>2031</v>
      </c>
    </row>
    <row r="405" customFormat="false" ht="14.25" hidden="false" customHeight="true" outlineLevel="0" collapsed="false">
      <c r="A405" s="39"/>
      <c r="B405" s="40" t="s">
        <v>900</v>
      </c>
      <c r="C405" s="41" t="s">
        <v>127</v>
      </c>
      <c r="D405" s="41" t="s">
        <v>108</v>
      </c>
      <c r="E405" s="42" t="n">
        <v>1500</v>
      </c>
      <c r="F405" s="42" t="n">
        <v>0</v>
      </c>
      <c r="G405" s="42" t="n">
        <v>250</v>
      </c>
      <c r="H405" s="43" t="n">
        <v>1</v>
      </c>
      <c r="I405" s="34" t="n">
        <f aca="false">E405*H405+N(F405)+N(G405)</f>
        <v>1750</v>
      </c>
      <c r="J405" s="42" t="n">
        <f aca="false">ROUND(IFERROR(ROUND(IF(OR(ISNUMBER(SEARCH("week",C405)),ISNUMBER(SEARCH("minggu",C405))),IFERROR(_xlfn.NUMBERVALUE(SUBSTITUTE(LEFT(TRIM(C405),FIND(" ",TRIM(C405)&amp;" ")-1),",","."),"."),LEFT(SUBSTITUTE(LEFT(TRIM(C405),FIND(" ",TRIM(C405)&amp;" ")-1),",","."),FIND("/",SUBSTITUTE(LEFT(TRIM(C405),FIND(" ",TRIM(C405)&amp;" ")-1),",","."))-1)/MID(SUBSTITUTE(LEFT(TRIM(C405),FIND(" ",TRIM(C405)&amp;" ")-1),",","."),FIND("/",SUBSTITUTE(LEFT(TRIM(C405),FIND(" ",TRIM(C405)&amp;" ")-1),",","."))+1,9))*12/52,IF(ISNUMBER(SEARCH("month",C405)),IFERROR(_xlfn.NUMBERVALUE(SUBSTITUTE(LEFT(TRIM(C405),FIND(" ",TRIM(C405)&amp;" ")-1),",","."),"."),LEFT(SUBSTITUTE(LEFT(TRIM(C405),FIND(" ",TRIM(C405)&amp;" ")-1),",","."),FIND("/",SUBSTITUTE(LEFT(TRIM(C405),FIND(" ",TRIM(C405)&amp;" ")-1),",","."))-1)/MID(SUBSTITUTE(LEFT(TRIM(C405),FIND(" ",TRIM(C405)&amp;" ")-1),",","."),FIND("/",SUBSTITUTE(LEFT(TRIM(C405),FIND(" ",TRIM(C405)&amp;" ")-1),",","."))+1,9)),IF(ISNUMBER(SEARCH("yea",C405)),IFERROR(_xlfn.NUMBERVALUE(SUBSTITUTE(LEFT(TRIM(C405),FIND(" ",TRIM(C405)&amp;" ")-1),",","."),"."),LEFT(SUBSTITUTE(LEFT(TRIM(C405),FIND(" ",TRIM(C405)&amp;" ")-1),",","."),FIND("/",SUBSTITUTE(LEFT(TRIM(C405),FIND(" ",TRIM(C405)&amp;" ")-1),",","."))-1)/MID(SUBSTITUTE(LEFT(TRIM(C405),FIND(" ",TRIM(C405)&amp;" ")-1),",","."),FIND("/",SUBSTITUTE(LEFT(TRIM(C405),FIND(" ",TRIM(C405)&amp;" ")-1),",","."))+1,9))*12,NA()))),0),36)*'Aturan &amp; Tarif'!$B$4,2)</f>
        <v>2044.08</v>
      </c>
      <c r="K405" s="42" t="n">
        <f aca="false">'Aturan &amp; Tarif'!$B$5</f>
        <v>2050</v>
      </c>
      <c r="L405" s="42" t="n">
        <f aca="false">'Aturan &amp; Tarif'!$B$6</f>
        <v>350</v>
      </c>
      <c r="M405" s="35" t="n">
        <f aca="false">I405+J405+K405+L405</f>
        <v>6194.08</v>
      </c>
      <c r="N405" s="45" t="s">
        <v>2031</v>
      </c>
    </row>
    <row r="406" customFormat="false" ht="14.25" hidden="false" customHeight="true" outlineLevel="0" collapsed="false">
      <c r="A406" s="39"/>
      <c r="B406" s="40" t="s">
        <v>430</v>
      </c>
      <c r="C406" s="41" t="s">
        <v>127</v>
      </c>
      <c r="D406" s="41" t="s">
        <v>108</v>
      </c>
      <c r="E406" s="42" t="n">
        <v>1700</v>
      </c>
      <c r="F406" s="42" t="n">
        <v>0</v>
      </c>
      <c r="G406" s="42" t="n">
        <v>250</v>
      </c>
      <c r="H406" s="43" t="n">
        <v>1</v>
      </c>
      <c r="I406" s="34" t="n">
        <f aca="false">E406*H406+N(F406)+N(G406)</f>
        <v>1950</v>
      </c>
      <c r="J406" s="42" t="n">
        <f aca="false">ROUND(IFERROR(ROUND(IF(OR(ISNUMBER(SEARCH("week",C406)),ISNUMBER(SEARCH("minggu",C406))),IFERROR(_xlfn.NUMBERVALUE(SUBSTITUTE(LEFT(TRIM(C406),FIND(" ",TRIM(C406)&amp;" ")-1),",","."),"."),LEFT(SUBSTITUTE(LEFT(TRIM(C406),FIND(" ",TRIM(C406)&amp;" ")-1),",","."),FIND("/",SUBSTITUTE(LEFT(TRIM(C406),FIND(" ",TRIM(C406)&amp;" ")-1),",","."))-1)/MID(SUBSTITUTE(LEFT(TRIM(C406),FIND(" ",TRIM(C406)&amp;" ")-1),",","."),FIND("/",SUBSTITUTE(LEFT(TRIM(C406),FIND(" ",TRIM(C406)&amp;" ")-1),",","."))+1,9))*12/52,IF(ISNUMBER(SEARCH("month",C406)),IFERROR(_xlfn.NUMBERVALUE(SUBSTITUTE(LEFT(TRIM(C406),FIND(" ",TRIM(C406)&amp;" ")-1),",","."),"."),LEFT(SUBSTITUTE(LEFT(TRIM(C406),FIND(" ",TRIM(C406)&amp;" ")-1),",","."),FIND("/",SUBSTITUTE(LEFT(TRIM(C406),FIND(" ",TRIM(C406)&amp;" ")-1),",","."))-1)/MID(SUBSTITUTE(LEFT(TRIM(C406),FIND(" ",TRIM(C406)&amp;" ")-1),",","."),FIND("/",SUBSTITUTE(LEFT(TRIM(C406),FIND(" ",TRIM(C406)&amp;" ")-1),",","."))+1,9)),IF(ISNUMBER(SEARCH("yea",C406)),IFERROR(_xlfn.NUMBERVALUE(SUBSTITUTE(LEFT(TRIM(C406),FIND(" ",TRIM(C406)&amp;" ")-1),",","."),"."),LEFT(SUBSTITUTE(LEFT(TRIM(C406),FIND(" ",TRIM(C406)&amp;" ")-1),",","."),FIND("/",SUBSTITUTE(LEFT(TRIM(C406),FIND(" ",TRIM(C406)&amp;" ")-1),",","."))-1)/MID(SUBSTITUTE(LEFT(TRIM(C406),FIND(" ",TRIM(C406)&amp;" ")-1),",","."),FIND("/",SUBSTITUTE(LEFT(TRIM(C406),FIND(" ",TRIM(C406)&amp;" ")-1),",","."))+1,9))*12,NA()))),0),36)*'Aturan &amp; Tarif'!$B$4,2)</f>
        <v>2044.08</v>
      </c>
      <c r="K406" s="42" t="n">
        <f aca="false">'Aturan &amp; Tarif'!$B$5</f>
        <v>2050</v>
      </c>
      <c r="L406" s="42" t="n">
        <f aca="false">'Aturan &amp; Tarif'!$B$6</f>
        <v>350</v>
      </c>
      <c r="M406" s="35" t="n">
        <f aca="false">I406+J406+K406+L406</f>
        <v>6394.08</v>
      </c>
      <c r="N406" s="45" t="s">
        <v>2031</v>
      </c>
    </row>
    <row r="407" customFormat="false" ht="14.25" hidden="false" customHeight="true" outlineLevel="0" collapsed="false">
      <c r="A407" s="39"/>
      <c r="B407" s="40" t="s">
        <v>465</v>
      </c>
      <c r="C407" s="41" t="s">
        <v>107</v>
      </c>
      <c r="D407" s="41" t="s">
        <v>108</v>
      </c>
      <c r="E407" s="42" t="n">
        <v>1500</v>
      </c>
      <c r="F407" s="42" t="n">
        <v>0</v>
      </c>
      <c r="G407" s="42" t="n">
        <v>250</v>
      </c>
      <c r="H407" s="43" t="n">
        <v>1</v>
      </c>
      <c r="I407" s="34" t="n">
        <f aca="false">E407*H407+N(F407)+N(G407)</f>
        <v>1750</v>
      </c>
      <c r="J407" s="42" t="n">
        <f aca="false">ROUND(IFERROR(ROUND(IF(OR(ISNUMBER(SEARCH("week",C407)),ISNUMBER(SEARCH("minggu",C407))),IFERROR(_xlfn.NUMBERVALUE(SUBSTITUTE(LEFT(TRIM(C407),FIND(" ",TRIM(C407)&amp;" ")-1),",","."),"."),LEFT(SUBSTITUTE(LEFT(TRIM(C407),FIND(" ",TRIM(C407)&amp;" ")-1),",","."),FIND("/",SUBSTITUTE(LEFT(TRIM(C407),FIND(" ",TRIM(C407)&amp;" ")-1),",","."))-1)/MID(SUBSTITUTE(LEFT(TRIM(C407),FIND(" ",TRIM(C407)&amp;" ")-1),",","."),FIND("/",SUBSTITUTE(LEFT(TRIM(C407),FIND(" ",TRIM(C407)&amp;" ")-1),",","."))+1,9))*12/52,IF(ISNUMBER(SEARCH("month",C407)),IFERROR(_xlfn.NUMBERVALUE(SUBSTITUTE(LEFT(TRIM(C407),FIND(" ",TRIM(C407)&amp;" ")-1),",","."),"."),LEFT(SUBSTITUTE(LEFT(TRIM(C407),FIND(" ",TRIM(C407)&amp;" ")-1),",","."),FIND("/",SUBSTITUTE(LEFT(TRIM(C407),FIND(" ",TRIM(C407)&amp;" ")-1),",","."))-1)/MID(SUBSTITUTE(LEFT(TRIM(C407),FIND(" ",TRIM(C407)&amp;" ")-1),",","."),FIND("/",SUBSTITUTE(LEFT(TRIM(C407),FIND(" ",TRIM(C407)&amp;" ")-1),",","."))+1,9)),IF(ISNUMBER(SEARCH("yea",C407)),IFERROR(_xlfn.NUMBERVALUE(SUBSTITUTE(LEFT(TRIM(C407),FIND(" ",TRIM(C407)&amp;" ")-1),",","."),"."),LEFT(SUBSTITUTE(LEFT(TRIM(C407),FIND(" ",TRIM(C407)&amp;" ")-1),",","."),FIND("/",SUBSTITUTE(LEFT(TRIM(C407),FIND(" ",TRIM(C407)&amp;" ")-1),",","."))-1)/MID(SUBSTITUTE(LEFT(TRIM(C407),FIND(" ",TRIM(C407)&amp;" ")-1),",","."),FIND("/",SUBSTITUTE(LEFT(TRIM(C407),FIND(" ",TRIM(C407)&amp;" ")-1),",","."))+1,9))*12,NA()))),0),24)*'Aturan &amp; Tarif'!$B$4,2)</f>
        <v>1362.72</v>
      </c>
      <c r="K407" s="42" t="n">
        <f aca="false">'Aturan &amp; Tarif'!$B$5</f>
        <v>2050</v>
      </c>
      <c r="L407" s="42" t="n">
        <f aca="false">'Aturan &amp; Tarif'!$B$6</f>
        <v>350</v>
      </c>
      <c r="M407" s="35" t="n">
        <f aca="false">I407+J407+K407+L407</f>
        <v>5512.72</v>
      </c>
      <c r="N407" s="45" t="s">
        <v>2031</v>
      </c>
    </row>
    <row r="408" customFormat="false" ht="37.5" hidden="false" customHeight="true" outlineLevel="0" collapsed="false">
      <c r="A408" s="39" t="s">
        <v>2032</v>
      </c>
      <c r="B408" s="40" t="s">
        <v>2033</v>
      </c>
      <c r="C408" s="41" t="s">
        <v>852</v>
      </c>
      <c r="D408" s="41" t="s">
        <v>737</v>
      </c>
      <c r="E408" s="42" t="n">
        <v>7800</v>
      </c>
      <c r="F408" s="42"/>
      <c r="G408" s="42" t="n">
        <v>200</v>
      </c>
      <c r="H408" s="43" t="n">
        <v>1</v>
      </c>
      <c r="I408" s="34" t="n">
        <f aca="false">E408*H408+N(F408)+N(G408)</f>
        <v>8000</v>
      </c>
      <c r="J408" s="42" t="n">
        <f aca="false">ROUND(IFERROR(ROUND(IF(OR(ISNUMBER(SEARCH("week",C408)),ISNUMBER(SEARCH("minggu",C408))),IFERROR(_xlfn.NUMBERVALUE(SUBSTITUTE(LEFT(TRIM(C408),FIND(" ",TRIM(C408)&amp;" ")-1),",","."),"."),LEFT(SUBSTITUTE(LEFT(TRIM(C408),FIND(" ",TRIM(C408)&amp;" ")-1),",","."),FIND("/",SUBSTITUTE(LEFT(TRIM(C408),FIND(" ",TRIM(C408)&amp;" ")-1),",","."))-1)/MID(SUBSTITUTE(LEFT(TRIM(C408),FIND(" ",TRIM(C408)&amp;" ")-1),",","."),FIND("/",SUBSTITUTE(LEFT(TRIM(C408),FIND(" ",TRIM(C408)&amp;" ")-1),",","."))+1,9))*12/52,IF(ISNUMBER(SEARCH("month",C408)),IFERROR(_xlfn.NUMBERVALUE(SUBSTITUTE(LEFT(TRIM(C408),FIND(" ",TRIM(C408)&amp;" ")-1),",","."),"."),LEFT(SUBSTITUTE(LEFT(TRIM(C408),FIND(" ",TRIM(C408)&amp;" ")-1),",","."),FIND("/",SUBSTITUTE(LEFT(TRIM(C408),FIND(" ",TRIM(C408)&amp;" ")-1),",","."))-1)/MID(SUBSTITUTE(LEFT(TRIM(C408),FIND(" ",TRIM(C408)&amp;" ")-1),",","."),FIND("/",SUBSTITUTE(LEFT(TRIM(C408),FIND(" ",TRIM(C408)&amp;" ")-1),",","."))+1,9)),IF(ISNUMBER(SEARCH("yea",C408)),IFERROR(_xlfn.NUMBERVALUE(SUBSTITUTE(LEFT(TRIM(C408),FIND(" ",TRIM(C408)&amp;" ")-1),",","."),"."),LEFT(SUBSTITUTE(LEFT(TRIM(C408),FIND(" ",TRIM(C408)&amp;" ")-1),",","."),FIND("/",SUBSTITUTE(LEFT(TRIM(C408),FIND(" ",TRIM(C408)&amp;" ")-1),",","."))-1)/MID(SUBSTITUTE(LEFT(TRIM(C408),FIND(" ",TRIM(C408)&amp;" ")-1),",","."),FIND("/",SUBSTITUTE(LEFT(TRIM(C408),FIND(" ",TRIM(C408)&amp;" ")-1),",","."))+1,9))*12,NA()))),0),9)*'Aturan &amp; Tarif'!$B$4,2)</f>
        <v>511.02</v>
      </c>
      <c r="K408" s="42" t="n">
        <f aca="false">'Aturan &amp; Tarif'!$B$5</f>
        <v>2050</v>
      </c>
      <c r="L408" s="42" t="n">
        <f aca="false">'Aturan &amp; Tarif'!$B$6</f>
        <v>350</v>
      </c>
      <c r="M408" s="35" t="n">
        <f aca="false">I408+J408+K408+L408</f>
        <v>10911.02</v>
      </c>
      <c r="N408" s="45" t="s">
        <v>903</v>
      </c>
    </row>
    <row r="409" customFormat="false" ht="37.5" hidden="false" customHeight="true" outlineLevel="0" collapsed="false">
      <c r="A409" s="39"/>
      <c r="B409" s="40" t="s">
        <v>2034</v>
      </c>
      <c r="C409" s="41" t="s">
        <v>130</v>
      </c>
      <c r="D409" s="41" t="s">
        <v>737</v>
      </c>
      <c r="E409" s="42" t="n">
        <v>7800</v>
      </c>
      <c r="F409" s="42"/>
      <c r="G409" s="42" t="n">
        <v>200</v>
      </c>
      <c r="H409" s="43" t="n">
        <v>1</v>
      </c>
      <c r="I409" s="34" t="n">
        <f aca="false">E409*H409+N(F409)+N(G409)</f>
        <v>8000</v>
      </c>
      <c r="J409" s="42" t="n">
        <f aca="false">ROUND(IFERROR(ROUND(IF(OR(ISNUMBER(SEARCH("week",C409)),ISNUMBER(SEARCH("minggu",C409))),IFERROR(_xlfn.NUMBERVALUE(SUBSTITUTE(LEFT(TRIM(C409),FIND(" ",TRIM(C409)&amp;" ")-1),",","."),"."),LEFT(SUBSTITUTE(LEFT(TRIM(C409),FIND(" ",TRIM(C409)&amp;" ")-1),",","."),FIND("/",SUBSTITUTE(LEFT(TRIM(C409),FIND(" ",TRIM(C409)&amp;" ")-1),",","."))-1)/MID(SUBSTITUTE(LEFT(TRIM(C409),FIND(" ",TRIM(C409)&amp;" ")-1),",","."),FIND("/",SUBSTITUTE(LEFT(TRIM(C409),FIND(" ",TRIM(C409)&amp;" ")-1),",","."))+1,9))*12/52,IF(ISNUMBER(SEARCH("month",C409)),IFERROR(_xlfn.NUMBERVALUE(SUBSTITUTE(LEFT(TRIM(C409),FIND(" ",TRIM(C409)&amp;" ")-1),",","."),"."),LEFT(SUBSTITUTE(LEFT(TRIM(C409),FIND(" ",TRIM(C409)&amp;" ")-1),",","."),FIND("/",SUBSTITUTE(LEFT(TRIM(C409),FIND(" ",TRIM(C409)&amp;" ")-1),",","."))-1)/MID(SUBSTITUTE(LEFT(TRIM(C409),FIND(" ",TRIM(C409)&amp;" ")-1),",","."),FIND("/",SUBSTITUTE(LEFT(TRIM(C409),FIND(" ",TRIM(C409)&amp;" ")-1),",","."))+1,9)),IF(ISNUMBER(SEARCH("yea",C409)),IFERROR(_xlfn.NUMBERVALUE(SUBSTITUTE(LEFT(TRIM(C409),FIND(" ",TRIM(C409)&amp;" ")-1),",","."),"."),LEFT(SUBSTITUTE(LEFT(TRIM(C409),FIND(" ",TRIM(C409)&amp;" ")-1),",","."),FIND("/",SUBSTITUTE(LEFT(TRIM(C409),FIND(" ",TRIM(C409)&amp;" ")-1),",","."))-1)/MID(SUBSTITUTE(LEFT(TRIM(C409),FIND(" ",TRIM(C409)&amp;" ")-1),",","."),FIND("/",SUBSTITUTE(LEFT(TRIM(C409),FIND(" ",TRIM(C409)&amp;" ")-1),",","."))+1,9))*12,NA()))),0),12)*'Aturan &amp; Tarif'!$B$4,2)</f>
        <v>681.36</v>
      </c>
      <c r="K409" s="42" t="n">
        <f aca="false">'Aturan &amp; Tarif'!$B$5</f>
        <v>2050</v>
      </c>
      <c r="L409" s="42" t="n">
        <f aca="false">'Aturan &amp; Tarif'!$B$6</f>
        <v>350</v>
      </c>
      <c r="M409" s="35" t="n">
        <f aca="false">I409+J409+K409+L409</f>
        <v>11081.36</v>
      </c>
      <c r="N409" s="45" t="s">
        <v>903</v>
      </c>
    </row>
    <row r="410" customFormat="false" ht="94.5" hidden="false" customHeight="true" outlineLevel="0" collapsed="false">
      <c r="A410" s="39"/>
      <c r="B410" s="40" t="s">
        <v>2035</v>
      </c>
      <c r="C410" s="41" t="s">
        <v>107</v>
      </c>
      <c r="D410" s="41" t="s">
        <v>737</v>
      </c>
      <c r="E410" s="42" t="n">
        <v>7800</v>
      </c>
      <c r="F410" s="42"/>
      <c r="G410" s="42" t="n">
        <v>200</v>
      </c>
      <c r="H410" s="43" t="n">
        <v>1</v>
      </c>
      <c r="I410" s="34" t="n">
        <f aca="false">E410*H410+N(F410)+N(G410)</f>
        <v>8000</v>
      </c>
      <c r="J410" s="42" t="n">
        <f aca="false">ROUND(IFERROR(ROUND(IF(OR(ISNUMBER(SEARCH("week",C410)),ISNUMBER(SEARCH("minggu",C410))),IFERROR(_xlfn.NUMBERVALUE(SUBSTITUTE(LEFT(TRIM(C410),FIND(" ",TRIM(C410)&amp;" ")-1),",","."),"."),LEFT(SUBSTITUTE(LEFT(TRIM(C410),FIND(" ",TRIM(C410)&amp;" ")-1),",","."),FIND("/",SUBSTITUTE(LEFT(TRIM(C410),FIND(" ",TRIM(C410)&amp;" ")-1),",","."))-1)/MID(SUBSTITUTE(LEFT(TRIM(C410),FIND(" ",TRIM(C410)&amp;" ")-1),",","."),FIND("/",SUBSTITUTE(LEFT(TRIM(C410),FIND(" ",TRIM(C410)&amp;" ")-1),",","."))+1,9))*12/52,IF(ISNUMBER(SEARCH("month",C410)),IFERROR(_xlfn.NUMBERVALUE(SUBSTITUTE(LEFT(TRIM(C410),FIND(" ",TRIM(C410)&amp;" ")-1),",","."),"."),LEFT(SUBSTITUTE(LEFT(TRIM(C410),FIND(" ",TRIM(C410)&amp;" ")-1),",","."),FIND("/",SUBSTITUTE(LEFT(TRIM(C410),FIND(" ",TRIM(C410)&amp;" ")-1),",","."))-1)/MID(SUBSTITUTE(LEFT(TRIM(C410),FIND(" ",TRIM(C410)&amp;" ")-1),",","."),FIND("/",SUBSTITUTE(LEFT(TRIM(C410),FIND(" ",TRIM(C410)&amp;" ")-1),",","."))+1,9)),IF(ISNUMBER(SEARCH("yea",C410)),IFERROR(_xlfn.NUMBERVALUE(SUBSTITUTE(LEFT(TRIM(C410),FIND(" ",TRIM(C410)&amp;" ")-1),",","."),"."),LEFT(SUBSTITUTE(LEFT(TRIM(C410),FIND(" ",TRIM(C410)&amp;" ")-1),",","."),FIND("/",SUBSTITUTE(LEFT(TRIM(C410),FIND(" ",TRIM(C410)&amp;" ")-1),",","."))-1)/MID(SUBSTITUTE(LEFT(TRIM(C410),FIND(" ",TRIM(C410)&amp;" ")-1),",","."),FIND("/",SUBSTITUTE(LEFT(TRIM(C410),FIND(" ",TRIM(C410)&amp;" ")-1),",","."))+1,9))*12,NA()))),0),24)*'Aturan &amp; Tarif'!$B$4,2)</f>
        <v>1362.72</v>
      </c>
      <c r="K410" s="42" t="n">
        <f aca="false">'Aturan &amp; Tarif'!$B$5</f>
        <v>2050</v>
      </c>
      <c r="L410" s="42" t="n">
        <f aca="false">'Aturan &amp; Tarif'!$B$6</f>
        <v>350</v>
      </c>
      <c r="M410" s="35" t="n">
        <f aca="false">I410+J410+K410+L410</f>
        <v>11762.72</v>
      </c>
      <c r="N410" s="45" t="s">
        <v>903</v>
      </c>
    </row>
    <row r="411" customFormat="false" ht="37.5" hidden="false" customHeight="true" outlineLevel="0" collapsed="false">
      <c r="A411" s="39" t="s">
        <v>2036</v>
      </c>
      <c r="B411" s="40" t="s">
        <v>594</v>
      </c>
      <c r="C411" s="41" t="s">
        <v>107</v>
      </c>
      <c r="D411" s="41" t="s">
        <v>108</v>
      </c>
      <c r="E411" s="42" t="n">
        <v>1750</v>
      </c>
      <c r="F411" s="42" t="n">
        <v>60</v>
      </c>
      <c r="G411" s="42" t="n">
        <v>250</v>
      </c>
      <c r="H411" s="43" t="n">
        <v>2</v>
      </c>
      <c r="I411" s="34" t="n">
        <f aca="false">E411*H411+N(F411)*H411+N(G411)</f>
        <v>3870</v>
      </c>
      <c r="J411" s="42" t="n">
        <f aca="false">ROUND(IFERROR(ROUND(IF(OR(ISNUMBER(SEARCH("week",C411)),ISNUMBER(SEARCH("minggu",C411))),IFERROR(_xlfn.NUMBERVALUE(SUBSTITUTE(LEFT(TRIM(C411),FIND(" ",TRIM(C411)&amp;" ")-1),",","."),"."),LEFT(SUBSTITUTE(LEFT(TRIM(C411),FIND(" ",TRIM(C411)&amp;" ")-1),",","."),FIND("/",SUBSTITUTE(LEFT(TRIM(C411),FIND(" ",TRIM(C411)&amp;" ")-1),",","."))-1)/MID(SUBSTITUTE(LEFT(TRIM(C411),FIND(" ",TRIM(C411)&amp;" ")-1),",","."),FIND("/",SUBSTITUTE(LEFT(TRIM(C411),FIND(" ",TRIM(C411)&amp;" ")-1),",","."))+1,9))*12/52,IF(ISNUMBER(SEARCH("month",C411)),IFERROR(_xlfn.NUMBERVALUE(SUBSTITUTE(LEFT(TRIM(C411),FIND(" ",TRIM(C411)&amp;" ")-1),",","."),"."),LEFT(SUBSTITUTE(LEFT(TRIM(C411),FIND(" ",TRIM(C411)&amp;" ")-1),",","."),FIND("/",SUBSTITUTE(LEFT(TRIM(C411),FIND(" ",TRIM(C411)&amp;" ")-1),",","."))-1)/MID(SUBSTITUTE(LEFT(TRIM(C411),FIND(" ",TRIM(C411)&amp;" ")-1),",","."),FIND("/",SUBSTITUTE(LEFT(TRIM(C411),FIND(" ",TRIM(C411)&amp;" ")-1),",","."))+1,9)),IF(ISNUMBER(SEARCH("yea",C411)),IFERROR(_xlfn.NUMBERVALUE(SUBSTITUTE(LEFT(TRIM(C411),FIND(" ",TRIM(C411)&amp;" ")-1),",","."),"."),LEFT(SUBSTITUTE(LEFT(TRIM(C411),FIND(" ",TRIM(C411)&amp;" ")-1),",","."),FIND("/",SUBSTITUTE(LEFT(TRIM(C411),FIND(" ",TRIM(C411)&amp;" ")-1),",","."))-1)/MID(SUBSTITUTE(LEFT(TRIM(C411),FIND(" ",TRIM(C411)&amp;" ")-1),",","."),FIND("/",SUBSTITUTE(LEFT(TRIM(C411),FIND(" ",TRIM(C411)&amp;" ")-1),",","."))+1,9))*12,NA()))),0),24)*'Aturan &amp; Tarif'!$B$4,2)</f>
        <v>1362.72</v>
      </c>
      <c r="K411" s="42" t="n">
        <f aca="false">'Aturan &amp; Tarif'!$B$5</f>
        <v>2050</v>
      </c>
      <c r="L411" s="42" t="n">
        <f aca="false">'Aturan &amp; Tarif'!$B$6</f>
        <v>350</v>
      </c>
      <c r="M411" s="35" t="n">
        <f aca="false">I411+J411+K411+L411</f>
        <v>7632.72</v>
      </c>
      <c r="N411" s="45" t="s">
        <v>2037</v>
      </c>
    </row>
    <row r="412" customFormat="false" ht="14.25" hidden="false" customHeight="true" outlineLevel="0" collapsed="false">
      <c r="A412" s="39"/>
      <c r="B412" s="40" t="s">
        <v>1596</v>
      </c>
      <c r="C412" s="41" t="s">
        <v>107</v>
      </c>
      <c r="D412" s="41" t="s">
        <v>108</v>
      </c>
      <c r="E412" s="42" t="n">
        <v>1500</v>
      </c>
      <c r="F412" s="42" t="n">
        <v>60</v>
      </c>
      <c r="G412" s="42" t="n">
        <v>250</v>
      </c>
      <c r="H412" s="43" t="n">
        <v>2</v>
      </c>
      <c r="I412" s="34" t="n">
        <f aca="false">E412*H412+N(F412)*H412+N(G412)</f>
        <v>3370</v>
      </c>
      <c r="J412" s="42" t="n">
        <f aca="false">ROUND(IFERROR(ROUND(IF(OR(ISNUMBER(SEARCH("week",C412)),ISNUMBER(SEARCH("minggu",C412))),IFERROR(_xlfn.NUMBERVALUE(SUBSTITUTE(LEFT(TRIM(C412),FIND(" ",TRIM(C412)&amp;" ")-1),",","."),"."),LEFT(SUBSTITUTE(LEFT(TRIM(C412),FIND(" ",TRIM(C412)&amp;" ")-1),",","."),FIND("/",SUBSTITUTE(LEFT(TRIM(C412),FIND(" ",TRIM(C412)&amp;" ")-1),",","."))-1)/MID(SUBSTITUTE(LEFT(TRIM(C412),FIND(" ",TRIM(C412)&amp;" ")-1),",","."),FIND("/",SUBSTITUTE(LEFT(TRIM(C412),FIND(" ",TRIM(C412)&amp;" ")-1),",","."))+1,9))*12/52,IF(ISNUMBER(SEARCH("month",C412)),IFERROR(_xlfn.NUMBERVALUE(SUBSTITUTE(LEFT(TRIM(C412),FIND(" ",TRIM(C412)&amp;" ")-1),",","."),"."),LEFT(SUBSTITUTE(LEFT(TRIM(C412),FIND(" ",TRIM(C412)&amp;" ")-1),",","."),FIND("/",SUBSTITUTE(LEFT(TRIM(C412),FIND(" ",TRIM(C412)&amp;" ")-1),",","."))-1)/MID(SUBSTITUTE(LEFT(TRIM(C412),FIND(" ",TRIM(C412)&amp;" ")-1),",","."),FIND("/",SUBSTITUTE(LEFT(TRIM(C412),FIND(" ",TRIM(C412)&amp;" ")-1),",","."))+1,9)),IF(ISNUMBER(SEARCH("yea",C412)),IFERROR(_xlfn.NUMBERVALUE(SUBSTITUTE(LEFT(TRIM(C412),FIND(" ",TRIM(C412)&amp;" ")-1),",","."),"."),LEFT(SUBSTITUTE(LEFT(TRIM(C412),FIND(" ",TRIM(C412)&amp;" ")-1),",","."),FIND("/",SUBSTITUTE(LEFT(TRIM(C412),FIND(" ",TRIM(C412)&amp;" ")-1),",","."))-1)/MID(SUBSTITUTE(LEFT(TRIM(C412),FIND(" ",TRIM(C412)&amp;" ")-1),",","."),FIND("/",SUBSTITUTE(LEFT(TRIM(C412),FIND(" ",TRIM(C412)&amp;" ")-1),",","."))+1,9))*12,NA()))),0),24)*'Aturan &amp; Tarif'!$B$4,2)</f>
        <v>1362.72</v>
      </c>
      <c r="K412" s="42" t="n">
        <f aca="false">'Aturan &amp; Tarif'!$B$5</f>
        <v>2050</v>
      </c>
      <c r="L412" s="42" t="n">
        <f aca="false">'Aturan &amp; Tarif'!$B$6</f>
        <v>350</v>
      </c>
      <c r="M412" s="35" t="n">
        <f aca="false">I412+J412+K412+L412</f>
        <v>7132.72</v>
      </c>
      <c r="N412" s="45" t="s">
        <v>2037</v>
      </c>
    </row>
    <row r="413" customFormat="false" ht="25.5" hidden="false" customHeight="true" outlineLevel="0" collapsed="false">
      <c r="A413" s="39"/>
      <c r="B413" s="40" t="s">
        <v>2038</v>
      </c>
      <c r="C413" s="41" t="s">
        <v>191</v>
      </c>
      <c r="D413" s="41" t="s">
        <v>108</v>
      </c>
      <c r="E413" s="42" t="n">
        <v>1500</v>
      </c>
      <c r="F413" s="42" t="n">
        <v>60</v>
      </c>
      <c r="G413" s="42" t="n">
        <v>250</v>
      </c>
      <c r="H413" s="43" t="n">
        <v>2</v>
      </c>
      <c r="I413" s="34" t="n">
        <f aca="false">E413*H413+N(F413)*H413+N(G413)</f>
        <v>3370</v>
      </c>
      <c r="J413" s="42" t="n">
        <f aca="false">ROUND(IFERROR(ROUND(IF(OR(ISNUMBER(SEARCH("week",C413)),ISNUMBER(SEARCH("minggu",C413))),IFERROR(_xlfn.NUMBERVALUE(SUBSTITUTE(LEFT(TRIM(C413),FIND(" ",TRIM(C413)&amp;" ")-1),",","."),"."),LEFT(SUBSTITUTE(LEFT(TRIM(C413),FIND(" ",TRIM(C413)&amp;" ")-1),",","."),FIND("/",SUBSTITUTE(LEFT(TRIM(C413),FIND(" ",TRIM(C413)&amp;" ")-1),",","."))-1)/MID(SUBSTITUTE(LEFT(TRIM(C413),FIND(" ",TRIM(C413)&amp;" ")-1),",","."),FIND("/",SUBSTITUTE(LEFT(TRIM(C413),FIND(" ",TRIM(C413)&amp;" ")-1),",","."))+1,9))*12/52,IF(ISNUMBER(SEARCH("month",C413)),IFERROR(_xlfn.NUMBERVALUE(SUBSTITUTE(LEFT(TRIM(C413),FIND(" ",TRIM(C413)&amp;" ")-1),",","."),"."),LEFT(SUBSTITUTE(LEFT(TRIM(C413),FIND(" ",TRIM(C413)&amp;" ")-1),",","."),FIND("/",SUBSTITUTE(LEFT(TRIM(C413),FIND(" ",TRIM(C413)&amp;" ")-1),",","."))-1)/MID(SUBSTITUTE(LEFT(TRIM(C413),FIND(" ",TRIM(C413)&amp;" ")-1),",","."),FIND("/",SUBSTITUTE(LEFT(TRIM(C413),FIND(" ",TRIM(C413)&amp;" ")-1),",","."))+1,9)),IF(ISNUMBER(SEARCH("yea",C413)),IFERROR(_xlfn.NUMBERVALUE(SUBSTITUTE(LEFT(TRIM(C413),FIND(" ",TRIM(C413)&amp;" ")-1),",","."),"."),LEFT(SUBSTITUTE(LEFT(TRIM(C413),FIND(" ",TRIM(C413)&amp;" ")-1),",","."),FIND("/",SUBSTITUTE(LEFT(TRIM(C413),FIND(" ",TRIM(C413)&amp;" ")-1),",","."))-1)/MID(SUBSTITUTE(LEFT(TRIM(C413),FIND(" ",TRIM(C413)&amp;" ")-1),",","."),FIND("/",SUBSTITUTE(LEFT(TRIM(C413),FIND(" ",TRIM(C413)&amp;" ")-1),",","."))+1,9))*12,NA()))),0),48)*'Aturan &amp; Tarif'!$B$4,2)</f>
        <v>2725.44</v>
      </c>
      <c r="K413" s="42" t="n">
        <f aca="false">'Aturan &amp; Tarif'!$B$5</f>
        <v>2050</v>
      </c>
      <c r="L413" s="42" t="n">
        <f aca="false">'Aturan &amp; Tarif'!$B$6</f>
        <v>350</v>
      </c>
      <c r="M413" s="35" t="n">
        <f aca="false">I413+J413+K413+L413</f>
        <v>8495.44</v>
      </c>
      <c r="N413" s="45" t="s">
        <v>2037</v>
      </c>
    </row>
    <row r="414" customFormat="false" ht="72" hidden="false" customHeight="true" outlineLevel="0" collapsed="false">
      <c r="A414" s="29" t="s">
        <v>2039</v>
      </c>
      <c r="B414" s="30" t="s">
        <v>2040</v>
      </c>
      <c r="C414" s="31" t="s">
        <v>107</v>
      </c>
      <c r="D414" s="31" t="s">
        <v>108</v>
      </c>
      <c r="E414" s="32" t="n">
        <v>3300</v>
      </c>
      <c r="F414" s="32" t="n">
        <v>1210</v>
      </c>
      <c r="G414" s="32" t="n">
        <v>250</v>
      </c>
      <c r="H414" s="33" t="n">
        <v>1</v>
      </c>
      <c r="I414" s="34" t="n">
        <f aca="false">E414*H414+N(F414)+N(G414)</f>
        <v>4760</v>
      </c>
      <c r="J414" s="32" t="n">
        <f aca="false">ROUND(IFERROR(ROUND(IF(OR(ISNUMBER(SEARCH("week",C414)),ISNUMBER(SEARCH("minggu",C414))),IFERROR(_xlfn.NUMBERVALUE(SUBSTITUTE(LEFT(TRIM(C414),FIND(" ",TRIM(C414)&amp;" ")-1),",","."),"."),LEFT(SUBSTITUTE(LEFT(TRIM(C414),FIND(" ",TRIM(C414)&amp;" ")-1),",","."),FIND("/",SUBSTITUTE(LEFT(TRIM(C414),FIND(" ",TRIM(C414)&amp;" ")-1),",","."))-1)/MID(SUBSTITUTE(LEFT(TRIM(C414),FIND(" ",TRIM(C414)&amp;" ")-1),",","."),FIND("/",SUBSTITUTE(LEFT(TRIM(C414),FIND(" ",TRIM(C414)&amp;" ")-1),",","."))+1,9))*12/52,IF(ISNUMBER(SEARCH("month",C414)),IFERROR(_xlfn.NUMBERVALUE(SUBSTITUTE(LEFT(TRIM(C414),FIND(" ",TRIM(C414)&amp;" ")-1),",","."),"."),LEFT(SUBSTITUTE(LEFT(TRIM(C414),FIND(" ",TRIM(C414)&amp;" ")-1),",","."),FIND("/",SUBSTITUTE(LEFT(TRIM(C414),FIND(" ",TRIM(C414)&amp;" ")-1),",","."))-1)/MID(SUBSTITUTE(LEFT(TRIM(C414),FIND(" ",TRIM(C414)&amp;" ")-1),",","."),FIND("/",SUBSTITUTE(LEFT(TRIM(C414),FIND(" ",TRIM(C414)&amp;" ")-1),",","."))+1,9)),IF(ISNUMBER(SEARCH("yea",C414)),IFERROR(_xlfn.NUMBERVALUE(SUBSTITUTE(LEFT(TRIM(C414),FIND(" ",TRIM(C414)&amp;" ")-1),",","."),"."),LEFT(SUBSTITUTE(LEFT(TRIM(C414),FIND(" ",TRIM(C414)&amp;" ")-1),",","."),FIND("/",SUBSTITUTE(LEFT(TRIM(C414),FIND(" ",TRIM(C414)&amp;" ")-1),",","."))-1)/MID(SUBSTITUTE(LEFT(TRIM(C414),FIND(" ",TRIM(C414)&amp;" ")-1),",","."),FIND("/",SUBSTITUTE(LEFT(TRIM(C414),FIND(" ",TRIM(C414)&amp;" ")-1),",","."))+1,9))*12,NA()))),0),24)*'Aturan &amp; Tarif'!$B$4,2)</f>
        <v>1362.72</v>
      </c>
      <c r="K414" s="32" t="n">
        <f aca="false">'Aturan &amp; Tarif'!$B$5</f>
        <v>2050</v>
      </c>
      <c r="L414" s="32" t="n">
        <f aca="false">'Aturan &amp; Tarif'!$B$6</f>
        <v>350</v>
      </c>
      <c r="M414" s="35" t="n">
        <f aca="false">I414+J414+K414+L414</f>
        <v>8522.72</v>
      </c>
      <c r="N414" s="36" t="s">
        <v>2041</v>
      </c>
    </row>
    <row r="415" customFormat="false" ht="72" hidden="false" customHeight="true" outlineLevel="0" collapsed="false">
      <c r="A415" s="29"/>
      <c r="B415" s="30" t="s">
        <v>2042</v>
      </c>
      <c r="C415" s="31" t="s">
        <v>138</v>
      </c>
      <c r="D415" s="31" t="s">
        <v>108</v>
      </c>
      <c r="E415" s="32" t="n">
        <v>3300</v>
      </c>
      <c r="F415" s="32" t="n">
        <v>1210</v>
      </c>
      <c r="G415" s="32" t="n">
        <v>250</v>
      </c>
      <c r="H415" s="33" t="n">
        <v>1</v>
      </c>
      <c r="I415" s="34" t="n">
        <f aca="false">E415*H415+N(F415)+N(G415)</f>
        <v>4760</v>
      </c>
      <c r="J415" s="32" t="n">
        <f aca="false">ROUND(IFERROR(ROUND(IF(OR(ISNUMBER(SEARCH("week",C415)),ISNUMBER(SEARCH("minggu",C415))),IFERROR(_xlfn.NUMBERVALUE(SUBSTITUTE(LEFT(TRIM(C415),FIND(" ",TRIM(C415)&amp;" ")-1),",","."),"."),LEFT(SUBSTITUTE(LEFT(TRIM(C415),FIND(" ",TRIM(C415)&amp;" ")-1),",","."),FIND("/",SUBSTITUTE(LEFT(TRIM(C415),FIND(" ",TRIM(C415)&amp;" ")-1),",","."))-1)/MID(SUBSTITUTE(LEFT(TRIM(C415),FIND(" ",TRIM(C415)&amp;" ")-1),",","."),FIND("/",SUBSTITUTE(LEFT(TRIM(C415),FIND(" ",TRIM(C415)&amp;" ")-1),",","."))+1,9))*12/52,IF(ISNUMBER(SEARCH("month",C415)),IFERROR(_xlfn.NUMBERVALUE(SUBSTITUTE(LEFT(TRIM(C415),FIND(" ",TRIM(C415)&amp;" ")-1),",","."),"."),LEFT(SUBSTITUTE(LEFT(TRIM(C415),FIND(" ",TRIM(C415)&amp;" ")-1),",","."),FIND("/",SUBSTITUTE(LEFT(TRIM(C415),FIND(" ",TRIM(C415)&amp;" ")-1),",","."))-1)/MID(SUBSTITUTE(LEFT(TRIM(C415),FIND(" ",TRIM(C415)&amp;" ")-1),",","."),FIND("/",SUBSTITUTE(LEFT(TRIM(C415),FIND(" ",TRIM(C415)&amp;" ")-1),",","."))+1,9)),IF(ISNUMBER(SEARCH("yea",C415)),IFERROR(_xlfn.NUMBERVALUE(SUBSTITUTE(LEFT(TRIM(C415),FIND(" ",TRIM(C415)&amp;" ")-1),",","."),"."),LEFT(SUBSTITUTE(LEFT(TRIM(C415),FIND(" ",TRIM(C415)&amp;" ")-1),",","."),FIND("/",SUBSTITUTE(LEFT(TRIM(C415),FIND(" ",TRIM(C415)&amp;" ")-1),",","."))-1)/MID(SUBSTITUTE(LEFT(TRIM(C415),FIND(" ",TRIM(C415)&amp;" ")-1),",","."),FIND("/",SUBSTITUTE(LEFT(TRIM(C415),FIND(" ",TRIM(C415)&amp;" ")-1),",","."))+1,9))*12,NA()))),0),30)*'Aturan &amp; Tarif'!$B$4,2)</f>
        <v>1703.4</v>
      </c>
      <c r="K415" s="32" t="n">
        <f aca="false">'Aturan &amp; Tarif'!$B$5</f>
        <v>2050</v>
      </c>
      <c r="L415" s="32" t="n">
        <f aca="false">'Aturan &amp; Tarif'!$B$6</f>
        <v>350</v>
      </c>
      <c r="M415" s="35" t="n">
        <f aca="false">I415+J415+K415+L415</f>
        <v>8863.4</v>
      </c>
      <c r="N415" s="36" t="s">
        <v>2041</v>
      </c>
    </row>
    <row r="416" customFormat="false" ht="72" hidden="false" customHeight="true" outlineLevel="0" collapsed="false">
      <c r="A416" s="29"/>
      <c r="B416" s="30" t="s">
        <v>2043</v>
      </c>
      <c r="C416" s="31" t="s">
        <v>127</v>
      </c>
      <c r="D416" s="31" t="s">
        <v>108</v>
      </c>
      <c r="E416" s="32" t="n">
        <v>3300</v>
      </c>
      <c r="F416" s="32" t="n">
        <v>1210</v>
      </c>
      <c r="G416" s="32" t="n">
        <v>250</v>
      </c>
      <c r="H416" s="33" t="n">
        <v>1</v>
      </c>
      <c r="I416" s="34" t="n">
        <f aca="false">E416*H416+N(F416)+N(G416)</f>
        <v>4760</v>
      </c>
      <c r="J416" s="32" t="n">
        <f aca="false">ROUND(IFERROR(ROUND(IF(OR(ISNUMBER(SEARCH("week",C416)),ISNUMBER(SEARCH("minggu",C416))),IFERROR(_xlfn.NUMBERVALUE(SUBSTITUTE(LEFT(TRIM(C416),FIND(" ",TRIM(C416)&amp;" ")-1),",","."),"."),LEFT(SUBSTITUTE(LEFT(TRIM(C416),FIND(" ",TRIM(C416)&amp;" ")-1),",","."),FIND("/",SUBSTITUTE(LEFT(TRIM(C416),FIND(" ",TRIM(C416)&amp;" ")-1),",","."))-1)/MID(SUBSTITUTE(LEFT(TRIM(C416),FIND(" ",TRIM(C416)&amp;" ")-1),",","."),FIND("/",SUBSTITUTE(LEFT(TRIM(C416),FIND(" ",TRIM(C416)&amp;" ")-1),",","."))+1,9))*12/52,IF(ISNUMBER(SEARCH("month",C416)),IFERROR(_xlfn.NUMBERVALUE(SUBSTITUTE(LEFT(TRIM(C416),FIND(" ",TRIM(C416)&amp;" ")-1),",","."),"."),LEFT(SUBSTITUTE(LEFT(TRIM(C416),FIND(" ",TRIM(C416)&amp;" ")-1),",","."),FIND("/",SUBSTITUTE(LEFT(TRIM(C416),FIND(" ",TRIM(C416)&amp;" ")-1),",","."))-1)/MID(SUBSTITUTE(LEFT(TRIM(C416),FIND(" ",TRIM(C416)&amp;" ")-1),",","."),FIND("/",SUBSTITUTE(LEFT(TRIM(C416),FIND(" ",TRIM(C416)&amp;" ")-1),",","."))+1,9)),IF(ISNUMBER(SEARCH("yea",C416)),IFERROR(_xlfn.NUMBERVALUE(SUBSTITUTE(LEFT(TRIM(C416),FIND(" ",TRIM(C416)&amp;" ")-1),",","."),"."),LEFT(SUBSTITUTE(LEFT(TRIM(C416),FIND(" ",TRIM(C416)&amp;" ")-1),",","."),FIND("/",SUBSTITUTE(LEFT(TRIM(C416),FIND(" ",TRIM(C416)&amp;" ")-1),",","."))-1)/MID(SUBSTITUTE(LEFT(TRIM(C416),FIND(" ",TRIM(C416)&amp;" ")-1),",","."),FIND("/",SUBSTITUTE(LEFT(TRIM(C416),FIND(" ",TRIM(C416)&amp;" ")-1),",","."))+1,9))*12,NA()))),0),36)*'Aturan &amp; Tarif'!$B$4,2)</f>
        <v>2044.08</v>
      </c>
      <c r="K416" s="32" t="n">
        <f aca="false">'Aturan &amp; Tarif'!$B$5</f>
        <v>2050</v>
      </c>
      <c r="L416" s="32" t="n">
        <f aca="false">'Aturan &amp; Tarif'!$B$6</f>
        <v>350</v>
      </c>
      <c r="M416" s="35" t="n">
        <f aca="false">I416+J416+K416+L416</f>
        <v>9204.08</v>
      </c>
      <c r="N416" s="36" t="s">
        <v>2041</v>
      </c>
    </row>
    <row r="417" customFormat="false" ht="72" hidden="false" customHeight="true" outlineLevel="0" collapsed="false">
      <c r="A417" s="29"/>
      <c r="B417" s="30" t="s">
        <v>2044</v>
      </c>
      <c r="C417" s="31" t="s">
        <v>107</v>
      </c>
      <c r="D417" s="31" t="s">
        <v>108</v>
      </c>
      <c r="E417" s="32" t="n">
        <v>3300</v>
      </c>
      <c r="F417" s="32" t="n">
        <v>1210</v>
      </c>
      <c r="G417" s="32" t="n">
        <v>250</v>
      </c>
      <c r="H417" s="33" t="n">
        <v>1</v>
      </c>
      <c r="I417" s="34" t="n">
        <f aca="false">E417*H417+N(F417)+N(G417)</f>
        <v>4760</v>
      </c>
      <c r="J417" s="32" t="n">
        <f aca="false">ROUND(IFERROR(ROUND(IF(OR(ISNUMBER(SEARCH("week",C417)),ISNUMBER(SEARCH("minggu",C417))),IFERROR(_xlfn.NUMBERVALUE(SUBSTITUTE(LEFT(TRIM(C417),FIND(" ",TRIM(C417)&amp;" ")-1),",","."),"."),LEFT(SUBSTITUTE(LEFT(TRIM(C417),FIND(" ",TRIM(C417)&amp;" ")-1),",","."),FIND("/",SUBSTITUTE(LEFT(TRIM(C417),FIND(" ",TRIM(C417)&amp;" ")-1),",","."))-1)/MID(SUBSTITUTE(LEFT(TRIM(C417),FIND(" ",TRIM(C417)&amp;" ")-1),",","."),FIND("/",SUBSTITUTE(LEFT(TRIM(C417),FIND(" ",TRIM(C417)&amp;" ")-1),",","."))+1,9))*12/52,IF(ISNUMBER(SEARCH("month",C417)),IFERROR(_xlfn.NUMBERVALUE(SUBSTITUTE(LEFT(TRIM(C417),FIND(" ",TRIM(C417)&amp;" ")-1),",","."),"."),LEFT(SUBSTITUTE(LEFT(TRIM(C417),FIND(" ",TRIM(C417)&amp;" ")-1),",","."),FIND("/",SUBSTITUTE(LEFT(TRIM(C417),FIND(" ",TRIM(C417)&amp;" ")-1),",","."))-1)/MID(SUBSTITUTE(LEFT(TRIM(C417),FIND(" ",TRIM(C417)&amp;" ")-1),",","."),FIND("/",SUBSTITUTE(LEFT(TRIM(C417),FIND(" ",TRIM(C417)&amp;" ")-1),",","."))+1,9)),IF(ISNUMBER(SEARCH("yea",C417)),IFERROR(_xlfn.NUMBERVALUE(SUBSTITUTE(LEFT(TRIM(C417),FIND(" ",TRIM(C417)&amp;" ")-1),",","."),"."),LEFT(SUBSTITUTE(LEFT(TRIM(C417),FIND(" ",TRIM(C417)&amp;" ")-1),",","."),FIND("/",SUBSTITUTE(LEFT(TRIM(C417),FIND(" ",TRIM(C417)&amp;" ")-1),",","."))-1)/MID(SUBSTITUTE(LEFT(TRIM(C417),FIND(" ",TRIM(C417)&amp;" ")-1),",","."),FIND("/",SUBSTITUTE(LEFT(TRIM(C417),FIND(" ",TRIM(C417)&amp;" ")-1),",","."))+1,9))*12,NA()))),0),24)*'Aturan &amp; Tarif'!$B$4,2)</f>
        <v>1362.72</v>
      </c>
      <c r="K417" s="32" t="n">
        <f aca="false">'Aturan &amp; Tarif'!$B$5</f>
        <v>2050</v>
      </c>
      <c r="L417" s="32" t="n">
        <f aca="false">'Aturan &amp; Tarif'!$B$6</f>
        <v>350</v>
      </c>
      <c r="M417" s="35" t="n">
        <f aca="false">I417+J417+K417+L417</f>
        <v>8522.72</v>
      </c>
      <c r="N417" s="36" t="s">
        <v>2041</v>
      </c>
    </row>
    <row r="418" customFormat="false" ht="72" hidden="false" customHeight="true" outlineLevel="0" collapsed="false">
      <c r="A418" s="29"/>
      <c r="B418" s="30" t="s">
        <v>2045</v>
      </c>
      <c r="C418" s="31" t="s">
        <v>138</v>
      </c>
      <c r="D418" s="31" t="s">
        <v>108</v>
      </c>
      <c r="E418" s="32" t="n">
        <v>3300</v>
      </c>
      <c r="F418" s="32" t="n">
        <v>1210</v>
      </c>
      <c r="G418" s="32" t="n">
        <v>250</v>
      </c>
      <c r="H418" s="33" t="n">
        <v>1</v>
      </c>
      <c r="I418" s="34" t="n">
        <f aca="false">E418*H418+N(F418)+N(G418)</f>
        <v>4760</v>
      </c>
      <c r="J418" s="32" t="n">
        <f aca="false">ROUND(IFERROR(ROUND(IF(OR(ISNUMBER(SEARCH("week",C418)),ISNUMBER(SEARCH("minggu",C418))),IFERROR(_xlfn.NUMBERVALUE(SUBSTITUTE(LEFT(TRIM(C418),FIND(" ",TRIM(C418)&amp;" ")-1),",","."),"."),LEFT(SUBSTITUTE(LEFT(TRIM(C418),FIND(" ",TRIM(C418)&amp;" ")-1),",","."),FIND("/",SUBSTITUTE(LEFT(TRIM(C418),FIND(" ",TRIM(C418)&amp;" ")-1),",","."))-1)/MID(SUBSTITUTE(LEFT(TRIM(C418),FIND(" ",TRIM(C418)&amp;" ")-1),",","."),FIND("/",SUBSTITUTE(LEFT(TRIM(C418),FIND(" ",TRIM(C418)&amp;" ")-1),",","."))+1,9))*12/52,IF(ISNUMBER(SEARCH("month",C418)),IFERROR(_xlfn.NUMBERVALUE(SUBSTITUTE(LEFT(TRIM(C418),FIND(" ",TRIM(C418)&amp;" ")-1),",","."),"."),LEFT(SUBSTITUTE(LEFT(TRIM(C418),FIND(" ",TRIM(C418)&amp;" ")-1),",","."),FIND("/",SUBSTITUTE(LEFT(TRIM(C418),FIND(" ",TRIM(C418)&amp;" ")-1),",","."))-1)/MID(SUBSTITUTE(LEFT(TRIM(C418),FIND(" ",TRIM(C418)&amp;" ")-1),",","."),FIND("/",SUBSTITUTE(LEFT(TRIM(C418),FIND(" ",TRIM(C418)&amp;" ")-1),",","."))+1,9)),IF(ISNUMBER(SEARCH("yea",C418)),IFERROR(_xlfn.NUMBERVALUE(SUBSTITUTE(LEFT(TRIM(C418),FIND(" ",TRIM(C418)&amp;" ")-1),",","."),"."),LEFT(SUBSTITUTE(LEFT(TRIM(C418),FIND(" ",TRIM(C418)&amp;" ")-1),",","."),FIND("/",SUBSTITUTE(LEFT(TRIM(C418),FIND(" ",TRIM(C418)&amp;" ")-1),",","."))-1)/MID(SUBSTITUTE(LEFT(TRIM(C418),FIND(" ",TRIM(C418)&amp;" ")-1),",","."),FIND("/",SUBSTITUTE(LEFT(TRIM(C418),FIND(" ",TRIM(C418)&amp;" ")-1),",","."))+1,9))*12,NA()))),0),30)*'Aturan &amp; Tarif'!$B$4,2)</f>
        <v>1703.4</v>
      </c>
      <c r="K418" s="32" t="n">
        <f aca="false">'Aturan &amp; Tarif'!$B$5</f>
        <v>2050</v>
      </c>
      <c r="L418" s="32" t="n">
        <f aca="false">'Aturan &amp; Tarif'!$B$6</f>
        <v>350</v>
      </c>
      <c r="M418" s="35" t="n">
        <f aca="false">I418+J418+K418+L418</f>
        <v>8863.4</v>
      </c>
      <c r="N418" s="36" t="s">
        <v>2041</v>
      </c>
    </row>
    <row r="419" customFormat="false" ht="72" hidden="false" customHeight="true" outlineLevel="0" collapsed="false">
      <c r="A419" s="29"/>
      <c r="B419" s="30" t="s">
        <v>2046</v>
      </c>
      <c r="C419" s="31" t="s">
        <v>127</v>
      </c>
      <c r="D419" s="31" t="s">
        <v>108</v>
      </c>
      <c r="E419" s="32" t="n">
        <v>3300</v>
      </c>
      <c r="F419" s="32" t="n">
        <v>1210</v>
      </c>
      <c r="G419" s="32" t="n">
        <v>250</v>
      </c>
      <c r="H419" s="33" t="n">
        <v>1</v>
      </c>
      <c r="I419" s="34" t="n">
        <f aca="false">E419*H419+N(F419)+N(G419)</f>
        <v>4760</v>
      </c>
      <c r="J419" s="32" t="n">
        <f aca="false">ROUND(IFERROR(ROUND(IF(OR(ISNUMBER(SEARCH("week",C419)),ISNUMBER(SEARCH("minggu",C419))),IFERROR(_xlfn.NUMBERVALUE(SUBSTITUTE(LEFT(TRIM(C419),FIND(" ",TRIM(C419)&amp;" ")-1),",","."),"."),LEFT(SUBSTITUTE(LEFT(TRIM(C419),FIND(" ",TRIM(C419)&amp;" ")-1),",","."),FIND("/",SUBSTITUTE(LEFT(TRIM(C419),FIND(" ",TRIM(C419)&amp;" ")-1),",","."))-1)/MID(SUBSTITUTE(LEFT(TRIM(C419),FIND(" ",TRIM(C419)&amp;" ")-1),",","."),FIND("/",SUBSTITUTE(LEFT(TRIM(C419),FIND(" ",TRIM(C419)&amp;" ")-1),",","."))+1,9))*12/52,IF(ISNUMBER(SEARCH("month",C419)),IFERROR(_xlfn.NUMBERVALUE(SUBSTITUTE(LEFT(TRIM(C419),FIND(" ",TRIM(C419)&amp;" ")-1),",","."),"."),LEFT(SUBSTITUTE(LEFT(TRIM(C419),FIND(" ",TRIM(C419)&amp;" ")-1),",","."),FIND("/",SUBSTITUTE(LEFT(TRIM(C419),FIND(" ",TRIM(C419)&amp;" ")-1),",","."))-1)/MID(SUBSTITUTE(LEFT(TRIM(C419),FIND(" ",TRIM(C419)&amp;" ")-1),",","."),FIND("/",SUBSTITUTE(LEFT(TRIM(C419),FIND(" ",TRIM(C419)&amp;" ")-1),",","."))+1,9)),IF(ISNUMBER(SEARCH("yea",C419)),IFERROR(_xlfn.NUMBERVALUE(SUBSTITUTE(LEFT(TRIM(C419),FIND(" ",TRIM(C419)&amp;" ")-1),",","."),"."),LEFT(SUBSTITUTE(LEFT(TRIM(C419),FIND(" ",TRIM(C419)&amp;" ")-1),",","."),FIND("/",SUBSTITUTE(LEFT(TRIM(C419),FIND(" ",TRIM(C419)&amp;" ")-1),",","."))-1)/MID(SUBSTITUTE(LEFT(TRIM(C419),FIND(" ",TRIM(C419)&amp;" ")-1),",","."),FIND("/",SUBSTITUTE(LEFT(TRIM(C419),FIND(" ",TRIM(C419)&amp;" ")-1),",","."))+1,9))*12,NA()))),0),36)*'Aturan &amp; Tarif'!$B$4,2)</f>
        <v>2044.08</v>
      </c>
      <c r="K419" s="32" t="n">
        <f aca="false">'Aturan &amp; Tarif'!$B$5</f>
        <v>2050</v>
      </c>
      <c r="L419" s="32" t="n">
        <f aca="false">'Aturan &amp; Tarif'!$B$6</f>
        <v>350</v>
      </c>
      <c r="M419" s="35" t="n">
        <f aca="false">I419+J419+K419+L419</f>
        <v>9204.08</v>
      </c>
      <c r="N419" s="36" t="s">
        <v>2041</v>
      </c>
    </row>
    <row r="420" customFormat="false" ht="72" hidden="false" customHeight="true" outlineLevel="0" collapsed="false">
      <c r="A420" s="29"/>
      <c r="B420" s="30" t="s">
        <v>2047</v>
      </c>
      <c r="C420" s="31" t="s">
        <v>107</v>
      </c>
      <c r="D420" s="31" t="s">
        <v>108</v>
      </c>
      <c r="E420" s="32" t="n">
        <v>3300</v>
      </c>
      <c r="F420" s="32" t="n">
        <v>1210</v>
      </c>
      <c r="G420" s="32" t="n">
        <v>250</v>
      </c>
      <c r="H420" s="33" t="n">
        <v>1</v>
      </c>
      <c r="I420" s="34" t="n">
        <f aca="false">E420*H420+N(F420)+N(G420)</f>
        <v>4760</v>
      </c>
      <c r="J420" s="32" t="n">
        <f aca="false">ROUND(IFERROR(ROUND(IF(OR(ISNUMBER(SEARCH("week",C420)),ISNUMBER(SEARCH("minggu",C420))),IFERROR(_xlfn.NUMBERVALUE(SUBSTITUTE(LEFT(TRIM(C420),FIND(" ",TRIM(C420)&amp;" ")-1),",","."),"."),LEFT(SUBSTITUTE(LEFT(TRIM(C420),FIND(" ",TRIM(C420)&amp;" ")-1),",","."),FIND("/",SUBSTITUTE(LEFT(TRIM(C420),FIND(" ",TRIM(C420)&amp;" ")-1),",","."))-1)/MID(SUBSTITUTE(LEFT(TRIM(C420),FIND(" ",TRIM(C420)&amp;" ")-1),",","."),FIND("/",SUBSTITUTE(LEFT(TRIM(C420),FIND(" ",TRIM(C420)&amp;" ")-1),",","."))+1,9))*12/52,IF(ISNUMBER(SEARCH("month",C420)),IFERROR(_xlfn.NUMBERVALUE(SUBSTITUTE(LEFT(TRIM(C420),FIND(" ",TRIM(C420)&amp;" ")-1),",","."),"."),LEFT(SUBSTITUTE(LEFT(TRIM(C420),FIND(" ",TRIM(C420)&amp;" ")-1),",","."),FIND("/",SUBSTITUTE(LEFT(TRIM(C420),FIND(" ",TRIM(C420)&amp;" ")-1),",","."))-1)/MID(SUBSTITUTE(LEFT(TRIM(C420),FIND(" ",TRIM(C420)&amp;" ")-1),",","."),FIND("/",SUBSTITUTE(LEFT(TRIM(C420),FIND(" ",TRIM(C420)&amp;" ")-1),",","."))+1,9)),IF(ISNUMBER(SEARCH("yea",C420)),IFERROR(_xlfn.NUMBERVALUE(SUBSTITUTE(LEFT(TRIM(C420),FIND(" ",TRIM(C420)&amp;" ")-1),",","."),"."),LEFT(SUBSTITUTE(LEFT(TRIM(C420),FIND(" ",TRIM(C420)&amp;" ")-1),",","."),FIND("/",SUBSTITUTE(LEFT(TRIM(C420),FIND(" ",TRIM(C420)&amp;" ")-1),",","."))-1)/MID(SUBSTITUTE(LEFT(TRIM(C420),FIND(" ",TRIM(C420)&amp;" ")-1),",","."),FIND("/",SUBSTITUTE(LEFT(TRIM(C420),FIND(" ",TRIM(C420)&amp;" ")-1),",","."))+1,9))*12,NA()))),0),24)*'Aturan &amp; Tarif'!$B$4,2)</f>
        <v>1362.72</v>
      </c>
      <c r="K420" s="32" t="n">
        <f aca="false">'Aturan &amp; Tarif'!$B$5</f>
        <v>2050</v>
      </c>
      <c r="L420" s="32" t="n">
        <f aca="false">'Aturan &amp; Tarif'!$B$6</f>
        <v>350</v>
      </c>
      <c r="M420" s="35" t="n">
        <f aca="false">I420+J420+K420+L420</f>
        <v>8522.72</v>
      </c>
      <c r="N420" s="36" t="s">
        <v>2041</v>
      </c>
    </row>
    <row r="421" customFormat="false" ht="72" hidden="false" customHeight="true" outlineLevel="0" collapsed="false">
      <c r="A421" s="29"/>
      <c r="B421" s="30" t="s">
        <v>2048</v>
      </c>
      <c r="C421" s="31" t="s">
        <v>138</v>
      </c>
      <c r="D421" s="31" t="s">
        <v>108</v>
      </c>
      <c r="E421" s="32" t="n">
        <v>3300</v>
      </c>
      <c r="F421" s="32" t="n">
        <v>1210</v>
      </c>
      <c r="G421" s="32" t="n">
        <v>250</v>
      </c>
      <c r="H421" s="33" t="n">
        <v>1</v>
      </c>
      <c r="I421" s="34" t="n">
        <f aca="false">E421*H421+N(F421)+N(G421)</f>
        <v>4760</v>
      </c>
      <c r="J421" s="32" t="n">
        <f aca="false">ROUND(IFERROR(ROUND(IF(OR(ISNUMBER(SEARCH("week",C421)),ISNUMBER(SEARCH("minggu",C421))),IFERROR(_xlfn.NUMBERVALUE(SUBSTITUTE(LEFT(TRIM(C421),FIND(" ",TRIM(C421)&amp;" ")-1),",","."),"."),LEFT(SUBSTITUTE(LEFT(TRIM(C421),FIND(" ",TRIM(C421)&amp;" ")-1),",","."),FIND("/",SUBSTITUTE(LEFT(TRIM(C421),FIND(" ",TRIM(C421)&amp;" ")-1),",","."))-1)/MID(SUBSTITUTE(LEFT(TRIM(C421),FIND(" ",TRIM(C421)&amp;" ")-1),",","."),FIND("/",SUBSTITUTE(LEFT(TRIM(C421),FIND(" ",TRIM(C421)&amp;" ")-1),",","."))+1,9))*12/52,IF(ISNUMBER(SEARCH("month",C421)),IFERROR(_xlfn.NUMBERVALUE(SUBSTITUTE(LEFT(TRIM(C421),FIND(" ",TRIM(C421)&amp;" ")-1),",","."),"."),LEFT(SUBSTITUTE(LEFT(TRIM(C421),FIND(" ",TRIM(C421)&amp;" ")-1),",","."),FIND("/",SUBSTITUTE(LEFT(TRIM(C421),FIND(" ",TRIM(C421)&amp;" ")-1),",","."))-1)/MID(SUBSTITUTE(LEFT(TRIM(C421),FIND(" ",TRIM(C421)&amp;" ")-1),",","."),FIND("/",SUBSTITUTE(LEFT(TRIM(C421),FIND(" ",TRIM(C421)&amp;" ")-1),",","."))+1,9)),IF(ISNUMBER(SEARCH("yea",C421)),IFERROR(_xlfn.NUMBERVALUE(SUBSTITUTE(LEFT(TRIM(C421),FIND(" ",TRIM(C421)&amp;" ")-1),",","."),"."),LEFT(SUBSTITUTE(LEFT(TRIM(C421),FIND(" ",TRIM(C421)&amp;" ")-1),",","."),FIND("/",SUBSTITUTE(LEFT(TRIM(C421),FIND(" ",TRIM(C421)&amp;" ")-1),",","."))-1)/MID(SUBSTITUTE(LEFT(TRIM(C421),FIND(" ",TRIM(C421)&amp;" ")-1),",","."),FIND("/",SUBSTITUTE(LEFT(TRIM(C421),FIND(" ",TRIM(C421)&amp;" ")-1),",","."))+1,9))*12,NA()))),0),30)*'Aturan &amp; Tarif'!$B$4,2)</f>
        <v>1703.4</v>
      </c>
      <c r="K421" s="32" t="n">
        <f aca="false">'Aturan &amp; Tarif'!$B$5</f>
        <v>2050</v>
      </c>
      <c r="L421" s="32" t="n">
        <f aca="false">'Aturan &amp; Tarif'!$B$6</f>
        <v>350</v>
      </c>
      <c r="M421" s="35" t="n">
        <f aca="false">I421+J421+K421+L421</f>
        <v>8863.4</v>
      </c>
      <c r="N421" s="36" t="s">
        <v>2041</v>
      </c>
    </row>
    <row r="422" customFormat="false" ht="72" hidden="false" customHeight="true" outlineLevel="0" collapsed="false">
      <c r="A422" s="29"/>
      <c r="B422" s="30" t="s">
        <v>2049</v>
      </c>
      <c r="C422" s="31" t="s">
        <v>127</v>
      </c>
      <c r="D422" s="31" t="s">
        <v>108</v>
      </c>
      <c r="E422" s="32" t="n">
        <v>3300</v>
      </c>
      <c r="F422" s="32" t="n">
        <v>1210</v>
      </c>
      <c r="G422" s="32" t="n">
        <v>250</v>
      </c>
      <c r="H422" s="33" t="n">
        <v>1</v>
      </c>
      <c r="I422" s="34" t="n">
        <f aca="false">E422*H422+N(F422)+N(G422)</f>
        <v>4760</v>
      </c>
      <c r="J422" s="32" t="n">
        <f aca="false">ROUND(IFERROR(ROUND(IF(OR(ISNUMBER(SEARCH("week",C422)),ISNUMBER(SEARCH("minggu",C422))),IFERROR(_xlfn.NUMBERVALUE(SUBSTITUTE(LEFT(TRIM(C422),FIND(" ",TRIM(C422)&amp;" ")-1),",","."),"."),LEFT(SUBSTITUTE(LEFT(TRIM(C422),FIND(" ",TRIM(C422)&amp;" ")-1),",","."),FIND("/",SUBSTITUTE(LEFT(TRIM(C422),FIND(" ",TRIM(C422)&amp;" ")-1),",","."))-1)/MID(SUBSTITUTE(LEFT(TRIM(C422),FIND(" ",TRIM(C422)&amp;" ")-1),",","."),FIND("/",SUBSTITUTE(LEFT(TRIM(C422),FIND(" ",TRIM(C422)&amp;" ")-1),",","."))+1,9))*12/52,IF(ISNUMBER(SEARCH("month",C422)),IFERROR(_xlfn.NUMBERVALUE(SUBSTITUTE(LEFT(TRIM(C422),FIND(" ",TRIM(C422)&amp;" ")-1),",","."),"."),LEFT(SUBSTITUTE(LEFT(TRIM(C422),FIND(" ",TRIM(C422)&amp;" ")-1),",","."),FIND("/",SUBSTITUTE(LEFT(TRIM(C422),FIND(" ",TRIM(C422)&amp;" ")-1),",","."))-1)/MID(SUBSTITUTE(LEFT(TRIM(C422),FIND(" ",TRIM(C422)&amp;" ")-1),",","."),FIND("/",SUBSTITUTE(LEFT(TRIM(C422),FIND(" ",TRIM(C422)&amp;" ")-1),",","."))+1,9)),IF(ISNUMBER(SEARCH("yea",C422)),IFERROR(_xlfn.NUMBERVALUE(SUBSTITUTE(LEFT(TRIM(C422),FIND(" ",TRIM(C422)&amp;" ")-1),",","."),"."),LEFT(SUBSTITUTE(LEFT(TRIM(C422),FIND(" ",TRIM(C422)&amp;" ")-1),",","."),FIND("/",SUBSTITUTE(LEFT(TRIM(C422),FIND(" ",TRIM(C422)&amp;" ")-1),",","."))-1)/MID(SUBSTITUTE(LEFT(TRIM(C422),FIND(" ",TRIM(C422)&amp;" ")-1),",","."),FIND("/",SUBSTITUTE(LEFT(TRIM(C422),FIND(" ",TRIM(C422)&amp;" ")-1),",","."))+1,9))*12,NA()))),0),36)*'Aturan &amp; Tarif'!$B$4,2)</f>
        <v>2044.08</v>
      </c>
      <c r="K422" s="32" t="n">
        <f aca="false">'Aturan &amp; Tarif'!$B$5</f>
        <v>2050</v>
      </c>
      <c r="L422" s="32" t="n">
        <f aca="false">'Aturan &amp; Tarif'!$B$6</f>
        <v>350</v>
      </c>
      <c r="M422" s="35" t="n">
        <f aca="false">I422+J422+K422+L422</f>
        <v>9204.08</v>
      </c>
      <c r="N422" s="36" t="s">
        <v>2041</v>
      </c>
    </row>
    <row r="423" customFormat="false" ht="25.5" hidden="false" customHeight="true" outlineLevel="0" collapsed="false">
      <c r="A423" s="29"/>
      <c r="B423" s="30" t="s">
        <v>2050</v>
      </c>
      <c r="C423" s="31" t="s">
        <v>138</v>
      </c>
      <c r="D423" s="31" t="s">
        <v>108</v>
      </c>
      <c r="E423" s="32" t="n">
        <v>2550</v>
      </c>
      <c r="F423" s="32" t="n">
        <v>440</v>
      </c>
      <c r="G423" s="32" t="n">
        <v>250</v>
      </c>
      <c r="H423" s="33" t="n">
        <v>1</v>
      </c>
      <c r="I423" s="34" t="n">
        <f aca="false">E423*H423+N(F423)+N(G423)</f>
        <v>3240</v>
      </c>
      <c r="J423" s="32" t="n">
        <f aca="false">ROUND(IFERROR(ROUND(IF(OR(ISNUMBER(SEARCH("week",C423)),ISNUMBER(SEARCH("minggu",C423))),IFERROR(_xlfn.NUMBERVALUE(SUBSTITUTE(LEFT(TRIM(C423),FIND(" ",TRIM(C423)&amp;" ")-1),",","."),"."),LEFT(SUBSTITUTE(LEFT(TRIM(C423),FIND(" ",TRIM(C423)&amp;" ")-1),",","."),FIND("/",SUBSTITUTE(LEFT(TRIM(C423),FIND(" ",TRIM(C423)&amp;" ")-1),",","."))-1)/MID(SUBSTITUTE(LEFT(TRIM(C423),FIND(" ",TRIM(C423)&amp;" ")-1),",","."),FIND("/",SUBSTITUTE(LEFT(TRIM(C423),FIND(" ",TRIM(C423)&amp;" ")-1),",","."))+1,9))*12/52,IF(ISNUMBER(SEARCH("month",C423)),IFERROR(_xlfn.NUMBERVALUE(SUBSTITUTE(LEFT(TRIM(C423),FIND(" ",TRIM(C423)&amp;" ")-1),",","."),"."),LEFT(SUBSTITUTE(LEFT(TRIM(C423),FIND(" ",TRIM(C423)&amp;" ")-1),",","."),FIND("/",SUBSTITUTE(LEFT(TRIM(C423),FIND(" ",TRIM(C423)&amp;" ")-1),",","."))-1)/MID(SUBSTITUTE(LEFT(TRIM(C423),FIND(" ",TRIM(C423)&amp;" ")-1),",","."),FIND("/",SUBSTITUTE(LEFT(TRIM(C423),FIND(" ",TRIM(C423)&amp;" ")-1),",","."))+1,9)),IF(ISNUMBER(SEARCH("yea",C423)),IFERROR(_xlfn.NUMBERVALUE(SUBSTITUTE(LEFT(TRIM(C423),FIND(" ",TRIM(C423)&amp;" ")-1),",","."),"."),LEFT(SUBSTITUTE(LEFT(TRIM(C423),FIND(" ",TRIM(C423)&amp;" ")-1),",","."),FIND("/",SUBSTITUTE(LEFT(TRIM(C423),FIND(" ",TRIM(C423)&amp;" ")-1),",","."))-1)/MID(SUBSTITUTE(LEFT(TRIM(C423),FIND(" ",TRIM(C423)&amp;" ")-1),",","."),FIND("/",SUBSTITUTE(LEFT(TRIM(C423),FIND(" ",TRIM(C423)&amp;" ")-1),",","."))+1,9))*12,NA()))),0),30)*'Aturan &amp; Tarif'!$B$4,2)</f>
        <v>1703.4</v>
      </c>
      <c r="K423" s="32" t="n">
        <f aca="false">'Aturan &amp; Tarif'!$B$5</f>
        <v>2050</v>
      </c>
      <c r="L423" s="32" t="n">
        <f aca="false">'Aturan &amp; Tarif'!$B$6</f>
        <v>350</v>
      </c>
      <c r="M423" s="35" t="n">
        <f aca="false">I423+J423+K423+L423</f>
        <v>7343.4</v>
      </c>
      <c r="N423" s="37" t="s">
        <v>134</v>
      </c>
    </row>
    <row r="424" customFormat="false" ht="60" hidden="false" customHeight="true" outlineLevel="0" collapsed="false">
      <c r="A424" s="29"/>
      <c r="B424" s="30" t="s">
        <v>2051</v>
      </c>
      <c r="C424" s="31" t="s">
        <v>486</v>
      </c>
      <c r="D424" s="31" t="s">
        <v>108</v>
      </c>
      <c r="E424" s="32" t="n">
        <v>2550</v>
      </c>
      <c r="F424" s="32" t="n">
        <v>440</v>
      </c>
      <c r="G424" s="32" t="n">
        <v>250</v>
      </c>
      <c r="H424" s="33" t="n">
        <v>1</v>
      </c>
      <c r="I424" s="34" t="n">
        <f aca="false">E424*H424+N(F424)+N(G424)</f>
        <v>3240</v>
      </c>
      <c r="J424" s="32" t="n">
        <f aca="false">ROUND(IFERROR(ROUND(IF(OR(ISNUMBER(SEARCH("week",C424)),ISNUMBER(SEARCH("minggu",C424))),IFERROR(_xlfn.NUMBERVALUE(SUBSTITUTE(LEFT(TRIM(C424),FIND(" ",TRIM(C424)&amp;" ")-1),",","."),"."),LEFT(SUBSTITUTE(LEFT(TRIM(C424),FIND(" ",TRIM(C424)&amp;" ")-1),",","."),FIND("/",SUBSTITUTE(LEFT(TRIM(C424),FIND(" ",TRIM(C424)&amp;" ")-1),",","."))-1)/MID(SUBSTITUTE(LEFT(TRIM(C424),FIND(" ",TRIM(C424)&amp;" ")-1),",","."),FIND("/",SUBSTITUTE(LEFT(TRIM(C424),FIND(" ",TRIM(C424)&amp;" ")-1),",","."))+1,9))*12/52,IF(ISNUMBER(SEARCH("month",C424)),IFERROR(_xlfn.NUMBERVALUE(SUBSTITUTE(LEFT(TRIM(C424),FIND(" ",TRIM(C424)&amp;" ")-1),",","."),"."),LEFT(SUBSTITUTE(LEFT(TRIM(C424),FIND(" ",TRIM(C424)&amp;" ")-1),",","."),FIND("/",SUBSTITUTE(LEFT(TRIM(C424),FIND(" ",TRIM(C424)&amp;" ")-1),",","."))-1)/MID(SUBSTITUTE(LEFT(TRIM(C424),FIND(" ",TRIM(C424)&amp;" ")-1),",","."),FIND("/",SUBSTITUTE(LEFT(TRIM(C424),FIND(" ",TRIM(C424)&amp;" ")-1),",","."))+1,9)),IF(ISNUMBER(SEARCH("yea",C424)),IFERROR(_xlfn.NUMBERVALUE(SUBSTITUTE(LEFT(TRIM(C424),FIND(" ",TRIM(C424)&amp;" ")-1),",","."),"."),LEFT(SUBSTITUTE(LEFT(TRIM(C424),FIND(" ",TRIM(C424)&amp;" ")-1),",","."),FIND("/",SUBSTITUTE(LEFT(TRIM(C424),FIND(" ",TRIM(C424)&amp;" ")-1),",","."))-1)/MID(SUBSTITUTE(LEFT(TRIM(C424),FIND(" ",TRIM(C424)&amp;" ")-1),",","."),FIND("/",SUBSTITUTE(LEFT(TRIM(C424),FIND(" ",TRIM(C424)&amp;" ")-1),",","."))+1,9))*12,NA()))),0),12)*'Aturan &amp; Tarif'!$B$4,2)</f>
        <v>681.36</v>
      </c>
      <c r="K424" s="32" t="n">
        <f aca="false">'Aturan &amp; Tarif'!$B$5</f>
        <v>2050</v>
      </c>
      <c r="L424" s="32" t="n">
        <f aca="false">'Aturan &amp; Tarif'!$B$6</f>
        <v>350</v>
      </c>
      <c r="M424" s="35" t="n">
        <f aca="false">I424+J424+K424+L424</f>
        <v>6321.36</v>
      </c>
      <c r="N424" s="36" t="s">
        <v>2052</v>
      </c>
    </row>
    <row r="425" customFormat="false" ht="60" hidden="false" customHeight="true" outlineLevel="0" collapsed="false">
      <c r="A425" s="29"/>
      <c r="B425" s="30" t="s">
        <v>2053</v>
      </c>
      <c r="C425" s="31" t="s">
        <v>113</v>
      </c>
      <c r="D425" s="31" t="s">
        <v>108</v>
      </c>
      <c r="E425" s="32" t="n">
        <v>2550</v>
      </c>
      <c r="F425" s="32" t="n">
        <v>440</v>
      </c>
      <c r="G425" s="32" t="n">
        <v>250</v>
      </c>
      <c r="H425" s="33" t="n">
        <v>1</v>
      </c>
      <c r="I425" s="34" t="n">
        <f aca="false">E425*H425+N(F425)+N(G425)</f>
        <v>3240</v>
      </c>
      <c r="J425" s="32" t="n">
        <f aca="false">ROUND(IFERROR(ROUND(IF(OR(ISNUMBER(SEARCH("week",C425)),ISNUMBER(SEARCH("minggu",C425))),IFERROR(_xlfn.NUMBERVALUE(SUBSTITUTE(LEFT(TRIM(C425),FIND(" ",TRIM(C425)&amp;" ")-1),",","."),"."),LEFT(SUBSTITUTE(LEFT(TRIM(C425),FIND(" ",TRIM(C425)&amp;" ")-1),",","."),FIND("/",SUBSTITUTE(LEFT(TRIM(C425),FIND(" ",TRIM(C425)&amp;" ")-1),",","."))-1)/MID(SUBSTITUTE(LEFT(TRIM(C425),FIND(" ",TRIM(C425)&amp;" ")-1),",","."),FIND("/",SUBSTITUTE(LEFT(TRIM(C425),FIND(" ",TRIM(C425)&amp;" ")-1),",","."))+1,9))*12/52,IF(ISNUMBER(SEARCH("month",C425)),IFERROR(_xlfn.NUMBERVALUE(SUBSTITUTE(LEFT(TRIM(C425),FIND(" ",TRIM(C425)&amp;" ")-1),",","."),"."),LEFT(SUBSTITUTE(LEFT(TRIM(C425),FIND(" ",TRIM(C425)&amp;" ")-1),",","."),FIND("/",SUBSTITUTE(LEFT(TRIM(C425),FIND(" ",TRIM(C425)&amp;" ")-1),",","."))-1)/MID(SUBSTITUTE(LEFT(TRIM(C425),FIND(" ",TRIM(C425)&amp;" ")-1),",","."),FIND("/",SUBSTITUTE(LEFT(TRIM(C425),FIND(" ",TRIM(C425)&amp;" ")-1),",","."))+1,9)),IF(ISNUMBER(SEARCH("yea",C425)),IFERROR(_xlfn.NUMBERVALUE(SUBSTITUTE(LEFT(TRIM(C425),FIND(" ",TRIM(C425)&amp;" ")-1),",","."),"."),LEFT(SUBSTITUTE(LEFT(TRIM(C425),FIND(" ",TRIM(C425)&amp;" ")-1),",","."),FIND("/",SUBSTITUTE(LEFT(TRIM(C425),FIND(" ",TRIM(C425)&amp;" ")-1),",","."))-1)/MID(SUBSTITUTE(LEFT(TRIM(C425),FIND(" ",TRIM(C425)&amp;" ")-1),",","."),FIND("/",SUBSTITUTE(LEFT(TRIM(C425),FIND(" ",TRIM(C425)&amp;" ")-1),",","."))+1,9))*12,NA()))),0),18)*'Aturan &amp; Tarif'!$B$4,2)</f>
        <v>1022.04</v>
      </c>
      <c r="K425" s="32" t="n">
        <f aca="false">'Aturan &amp; Tarif'!$B$5</f>
        <v>2050</v>
      </c>
      <c r="L425" s="32" t="n">
        <f aca="false">'Aturan &amp; Tarif'!$B$6</f>
        <v>350</v>
      </c>
      <c r="M425" s="35" t="n">
        <f aca="false">I425+J425+K425+L425</f>
        <v>6662.04</v>
      </c>
      <c r="N425" s="36" t="s">
        <v>2052</v>
      </c>
    </row>
    <row r="426" customFormat="false" ht="60" hidden="false" customHeight="true" outlineLevel="0" collapsed="false">
      <c r="A426" s="29"/>
      <c r="B426" s="30" t="s">
        <v>2054</v>
      </c>
      <c r="C426" s="31" t="s">
        <v>107</v>
      </c>
      <c r="D426" s="31" t="s">
        <v>108</v>
      </c>
      <c r="E426" s="32" t="n">
        <v>2550</v>
      </c>
      <c r="F426" s="32" t="n">
        <v>440</v>
      </c>
      <c r="G426" s="32" t="n">
        <v>250</v>
      </c>
      <c r="H426" s="33" t="n">
        <v>1</v>
      </c>
      <c r="I426" s="34" t="n">
        <f aca="false">E426*H426+N(F426)+N(G426)</f>
        <v>3240</v>
      </c>
      <c r="J426" s="32" t="n">
        <f aca="false">ROUND(IFERROR(ROUND(IF(OR(ISNUMBER(SEARCH("week",C426)),ISNUMBER(SEARCH("minggu",C426))),IFERROR(_xlfn.NUMBERVALUE(SUBSTITUTE(LEFT(TRIM(C426),FIND(" ",TRIM(C426)&amp;" ")-1),",","."),"."),LEFT(SUBSTITUTE(LEFT(TRIM(C426),FIND(" ",TRIM(C426)&amp;" ")-1),",","."),FIND("/",SUBSTITUTE(LEFT(TRIM(C426),FIND(" ",TRIM(C426)&amp;" ")-1),",","."))-1)/MID(SUBSTITUTE(LEFT(TRIM(C426),FIND(" ",TRIM(C426)&amp;" ")-1),",","."),FIND("/",SUBSTITUTE(LEFT(TRIM(C426),FIND(" ",TRIM(C426)&amp;" ")-1),",","."))+1,9))*12/52,IF(ISNUMBER(SEARCH("month",C426)),IFERROR(_xlfn.NUMBERVALUE(SUBSTITUTE(LEFT(TRIM(C426),FIND(" ",TRIM(C426)&amp;" ")-1),",","."),"."),LEFT(SUBSTITUTE(LEFT(TRIM(C426),FIND(" ",TRIM(C426)&amp;" ")-1),",","."),FIND("/",SUBSTITUTE(LEFT(TRIM(C426),FIND(" ",TRIM(C426)&amp;" ")-1),",","."))-1)/MID(SUBSTITUTE(LEFT(TRIM(C426),FIND(" ",TRIM(C426)&amp;" ")-1),",","."),FIND("/",SUBSTITUTE(LEFT(TRIM(C426),FIND(" ",TRIM(C426)&amp;" ")-1),",","."))+1,9)),IF(ISNUMBER(SEARCH("yea",C426)),IFERROR(_xlfn.NUMBERVALUE(SUBSTITUTE(LEFT(TRIM(C426),FIND(" ",TRIM(C426)&amp;" ")-1),",","."),"."),LEFT(SUBSTITUTE(LEFT(TRIM(C426),FIND(" ",TRIM(C426)&amp;" ")-1),",","."),FIND("/",SUBSTITUTE(LEFT(TRIM(C426),FIND(" ",TRIM(C426)&amp;" ")-1),",","."))-1)/MID(SUBSTITUTE(LEFT(TRIM(C426),FIND(" ",TRIM(C426)&amp;" ")-1),",","."),FIND("/",SUBSTITUTE(LEFT(TRIM(C426),FIND(" ",TRIM(C426)&amp;" ")-1),",","."))+1,9))*12,NA()))),0),24)*'Aturan &amp; Tarif'!$B$4,2)</f>
        <v>1362.72</v>
      </c>
      <c r="K426" s="32" t="n">
        <f aca="false">'Aturan &amp; Tarif'!$B$5</f>
        <v>2050</v>
      </c>
      <c r="L426" s="32" t="n">
        <f aca="false">'Aturan &amp; Tarif'!$B$6</f>
        <v>350</v>
      </c>
      <c r="M426" s="35" t="n">
        <f aca="false">I426+J426+K426+L426</f>
        <v>7002.72</v>
      </c>
      <c r="N426" s="36" t="s">
        <v>2052</v>
      </c>
    </row>
    <row r="427" customFormat="false" ht="60" hidden="false" customHeight="true" outlineLevel="0" collapsed="false">
      <c r="A427" s="29"/>
      <c r="B427" s="30" t="s">
        <v>2055</v>
      </c>
      <c r="C427" s="31" t="s">
        <v>486</v>
      </c>
      <c r="D427" s="31" t="s">
        <v>108</v>
      </c>
      <c r="E427" s="32" t="n">
        <v>2550</v>
      </c>
      <c r="F427" s="32" t="n">
        <v>440</v>
      </c>
      <c r="G427" s="32" t="n">
        <v>250</v>
      </c>
      <c r="H427" s="33" t="n">
        <v>1</v>
      </c>
      <c r="I427" s="34" t="n">
        <f aca="false">E427*H427+N(F427)+N(G427)</f>
        <v>3240</v>
      </c>
      <c r="J427" s="32" t="n">
        <f aca="false">ROUND(IFERROR(ROUND(IF(OR(ISNUMBER(SEARCH("week",C427)),ISNUMBER(SEARCH("minggu",C427))),IFERROR(_xlfn.NUMBERVALUE(SUBSTITUTE(LEFT(TRIM(C427),FIND(" ",TRIM(C427)&amp;" ")-1),",","."),"."),LEFT(SUBSTITUTE(LEFT(TRIM(C427),FIND(" ",TRIM(C427)&amp;" ")-1),",","."),FIND("/",SUBSTITUTE(LEFT(TRIM(C427),FIND(" ",TRIM(C427)&amp;" ")-1),",","."))-1)/MID(SUBSTITUTE(LEFT(TRIM(C427),FIND(" ",TRIM(C427)&amp;" ")-1),",","."),FIND("/",SUBSTITUTE(LEFT(TRIM(C427),FIND(" ",TRIM(C427)&amp;" ")-1),",","."))+1,9))*12/52,IF(ISNUMBER(SEARCH("month",C427)),IFERROR(_xlfn.NUMBERVALUE(SUBSTITUTE(LEFT(TRIM(C427),FIND(" ",TRIM(C427)&amp;" ")-1),",","."),"."),LEFT(SUBSTITUTE(LEFT(TRIM(C427),FIND(" ",TRIM(C427)&amp;" ")-1),",","."),FIND("/",SUBSTITUTE(LEFT(TRIM(C427),FIND(" ",TRIM(C427)&amp;" ")-1),",","."))-1)/MID(SUBSTITUTE(LEFT(TRIM(C427),FIND(" ",TRIM(C427)&amp;" ")-1),",","."),FIND("/",SUBSTITUTE(LEFT(TRIM(C427),FIND(" ",TRIM(C427)&amp;" ")-1),",","."))+1,9)),IF(ISNUMBER(SEARCH("yea",C427)),IFERROR(_xlfn.NUMBERVALUE(SUBSTITUTE(LEFT(TRIM(C427),FIND(" ",TRIM(C427)&amp;" ")-1),",","."),"."),LEFT(SUBSTITUTE(LEFT(TRIM(C427),FIND(" ",TRIM(C427)&amp;" ")-1),",","."),FIND("/",SUBSTITUTE(LEFT(TRIM(C427),FIND(" ",TRIM(C427)&amp;" ")-1),",","."))-1)/MID(SUBSTITUTE(LEFT(TRIM(C427),FIND(" ",TRIM(C427)&amp;" ")-1),",","."),FIND("/",SUBSTITUTE(LEFT(TRIM(C427),FIND(" ",TRIM(C427)&amp;" ")-1),",","."))+1,9))*12,NA()))),0),12)*'Aturan &amp; Tarif'!$B$4,2)</f>
        <v>681.36</v>
      </c>
      <c r="K427" s="32" t="n">
        <f aca="false">'Aturan &amp; Tarif'!$B$5</f>
        <v>2050</v>
      </c>
      <c r="L427" s="32" t="n">
        <f aca="false">'Aturan &amp; Tarif'!$B$6</f>
        <v>350</v>
      </c>
      <c r="M427" s="35" t="n">
        <f aca="false">I427+J427+K427+L427</f>
        <v>6321.36</v>
      </c>
      <c r="N427" s="36" t="s">
        <v>2052</v>
      </c>
    </row>
    <row r="428" customFormat="false" ht="60" hidden="false" customHeight="true" outlineLevel="0" collapsed="false">
      <c r="A428" s="29"/>
      <c r="B428" s="30" t="s">
        <v>2056</v>
      </c>
      <c r="C428" s="31" t="s">
        <v>113</v>
      </c>
      <c r="D428" s="31" t="s">
        <v>108</v>
      </c>
      <c r="E428" s="32" t="n">
        <v>2550</v>
      </c>
      <c r="F428" s="32" t="n">
        <v>440</v>
      </c>
      <c r="G428" s="32" t="n">
        <v>250</v>
      </c>
      <c r="H428" s="33" t="n">
        <v>1</v>
      </c>
      <c r="I428" s="34" t="n">
        <f aca="false">E428*H428+N(F428)+N(G428)</f>
        <v>3240</v>
      </c>
      <c r="J428" s="32" t="n">
        <f aca="false">ROUND(IFERROR(ROUND(IF(OR(ISNUMBER(SEARCH("week",C428)),ISNUMBER(SEARCH("minggu",C428))),IFERROR(_xlfn.NUMBERVALUE(SUBSTITUTE(LEFT(TRIM(C428),FIND(" ",TRIM(C428)&amp;" ")-1),",","."),"."),LEFT(SUBSTITUTE(LEFT(TRIM(C428),FIND(" ",TRIM(C428)&amp;" ")-1),",","."),FIND("/",SUBSTITUTE(LEFT(TRIM(C428),FIND(" ",TRIM(C428)&amp;" ")-1),",","."))-1)/MID(SUBSTITUTE(LEFT(TRIM(C428),FIND(" ",TRIM(C428)&amp;" ")-1),",","."),FIND("/",SUBSTITUTE(LEFT(TRIM(C428),FIND(" ",TRIM(C428)&amp;" ")-1),",","."))+1,9))*12/52,IF(ISNUMBER(SEARCH("month",C428)),IFERROR(_xlfn.NUMBERVALUE(SUBSTITUTE(LEFT(TRIM(C428),FIND(" ",TRIM(C428)&amp;" ")-1),",","."),"."),LEFT(SUBSTITUTE(LEFT(TRIM(C428),FIND(" ",TRIM(C428)&amp;" ")-1),",","."),FIND("/",SUBSTITUTE(LEFT(TRIM(C428),FIND(" ",TRIM(C428)&amp;" ")-1),",","."))-1)/MID(SUBSTITUTE(LEFT(TRIM(C428),FIND(" ",TRIM(C428)&amp;" ")-1),",","."),FIND("/",SUBSTITUTE(LEFT(TRIM(C428),FIND(" ",TRIM(C428)&amp;" ")-1),",","."))+1,9)),IF(ISNUMBER(SEARCH("yea",C428)),IFERROR(_xlfn.NUMBERVALUE(SUBSTITUTE(LEFT(TRIM(C428),FIND(" ",TRIM(C428)&amp;" ")-1),",","."),"."),LEFT(SUBSTITUTE(LEFT(TRIM(C428),FIND(" ",TRIM(C428)&amp;" ")-1),",","."),FIND("/",SUBSTITUTE(LEFT(TRIM(C428),FIND(" ",TRIM(C428)&amp;" ")-1),",","."))-1)/MID(SUBSTITUTE(LEFT(TRIM(C428),FIND(" ",TRIM(C428)&amp;" ")-1),",","."),FIND("/",SUBSTITUTE(LEFT(TRIM(C428),FIND(" ",TRIM(C428)&amp;" ")-1),",","."))+1,9))*12,NA()))),0),18)*'Aturan &amp; Tarif'!$B$4,2)</f>
        <v>1022.04</v>
      </c>
      <c r="K428" s="32" t="n">
        <f aca="false">'Aturan &amp; Tarif'!$B$5</f>
        <v>2050</v>
      </c>
      <c r="L428" s="32" t="n">
        <f aca="false">'Aturan &amp; Tarif'!$B$6</f>
        <v>350</v>
      </c>
      <c r="M428" s="35" t="n">
        <f aca="false">I428+J428+K428+L428</f>
        <v>6662.04</v>
      </c>
      <c r="N428" s="36" t="s">
        <v>2052</v>
      </c>
    </row>
    <row r="429" customFormat="false" ht="60" hidden="false" customHeight="true" outlineLevel="0" collapsed="false">
      <c r="A429" s="29"/>
      <c r="B429" s="30" t="s">
        <v>2057</v>
      </c>
      <c r="C429" s="31" t="s">
        <v>107</v>
      </c>
      <c r="D429" s="31" t="s">
        <v>108</v>
      </c>
      <c r="E429" s="32" t="n">
        <v>2550</v>
      </c>
      <c r="F429" s="32" t="n">
        <v>440</v>
      </c>
      <c r="G429" s="32" t="n">
        <v>250</v>
      </c>
      <c r="H429" s="33" t="n">
        <v>1</v>
      </c>
      <c r="I429" s="34" t="n">
        <f aca="false">E429*H429+N(F429)+N(G429)</f>
        <v>3240</v>
      </c>
      <c r="J429" s="32" t="n">
        <f aca="false">ROUND(IFERROR(ROUND(IF(OR(ISNUMBER(SEARCH("week",C429)),ISNUMBER(SEARCH("minggu",C429))),IFERROR(_xlfn.NUMBERVALUE(SUBSTITUTE(LEFT(TRIM(C429),FIND(" ",TRIM(C429)&amp;" ")-1),",","."),"."),LEFT(SUBSTITUTE(LEFT(TRIM(C429),FIND(" ",TRIM(C429)&amp;" ")-1),",","."),FIND("/",SUBSTITUTE(LEFT(TRIM(C429),FIND(" ",TRIM(C429)&amp;" ")-1),",","."))-1)/MID(SUBSTITUTE(LEFT(TRIM(C429),FIND(" ",TRIM(C429)&amp;" ")-1),",","."),FIND("/",SUBSTITUTE(LEFT(TRIM(C429),FIND(" ",TRIM(C429)&amp;" ")-1),",","."))+1,9))*12/52,IF(ISNUMBER(SEARCH("month",C429)),IFERROR(_xlfn.NUMBERVALUE(SUBSTITUTE(LEFT(TRIM(C429),FIND(" ",TRIM(C429)&amp;" ")-1),",","."),"."),LEFT(SUBSTITUTE(LEFT(TRIM(C429),FIND(" ",TRIM(C429)&amp;" ")-1),",","."),FIND("/",SUBSTITUTE(LEFT(TRIM(C429),FIND(" ",TRIM(C429)&amp;" ")-1),",","."))-1)/MID(SUBSTITUTE(LEFT(TRIM(C429),FIND(" ",TRIM(C429)&amp;" ")-1),",","."),FIND("/",SUBSTITUTE(LEFT(TRIM(C429),FIND(" ",TRIM(C429)&amp;" ")-1),",","."))+1,9)),IF(ISNUMBER(SEARCH("yea",C429)),IFERROR(_xlfn.NUMBERVALUE(SUBSTITUTE(LEFT(TRIM(C429),FIND(" ",TRIM(C429)&amp;" ")-1),",","."),"."),LEFT(SUBSTITUTE(LEFT(TRIM(C429),FIND(" ",TRIM(C429)&amp;" ")-1),",","."),FIND("/",SUBSTITUTE(LEFT(TRIM(C429),FIND(" ",TRIM(C429)&amp;" ")-1),",","."))-1)/MID(SUBSTITUTE(LEFT(TRIM(C429),FIND(" ",TRIM(C429)&amp;" ")-1),",","."),FIND("/",SUBSTITUTE(LEFT(TRIM(C429),FIND(" ",TRIM(C429)&amp;" ")-1),",","."))+1,9))*12,NA()))),0),24)*'Aturan &amp; Tarif'!$B$4,2)</f>
        <v>1362.72</v>
      </c>
      <c r="K429" s="32" t="n">
        <f aca="false">'Aturan &amp; Tarif'!$B$5</f>
        <v>2050</v>
      </c>
      <c r="L429" s="32" t="n">
        <f aca="false">'Aturan &amp; Tarif'!$B$6</f>
        <v>350</v>
      </c>
      <c r="M429" s="35" t="n">
        <f aca="false">I429+J429+K429+L429</f>
        <v>7002.72</v>
      </c>
      <c r="N429" s="36" t="s">
        <v>2052</v>
      </c>
    </row>
    <row r="430" customFormat="false" ht="25.5" hidden="false" customHeight="true" outlineLevel="0" collapsed="false">
      <c r="A430" s="29" t="s">
        <v>2058</v>
      </c>
      <c r="B430" s="30" t="s">
        <v>2059</v>
      </c>
      <c r="C430" s="31" t="s">
        <v>107</v>
      </c>
      <c r="D430" s="31" t="s">
        <v>108</v>
      </c>
      <c r="E430" s="32" t="n">
        <v>1500</v>
      </c>
      <c r="F430" s="32" t="n">
        <v>300</v>
      </c>
      <c r="G430" s="32" t="n">
        <v>200</v>
      </c>
      <c r="H430" s="33" t="n">
        <v>1</v>
      </c>
      <c r="I430" s="34" t="n">
        <f aca="false">E430*H430+N(F430)+N(G430)</f>
        <v>2000</v>
      </c>
      <c r="J430" s="32" t="n">
        <f aca="false">ROUND(IFERROR(ROUND(IF(OR(ISNUMBER(SEARCH("week",C430)),ISNUMBER(SEARCH("minggu",C430))),IFERROR(_xlfn.NUMBERVALUE(SUBSTITUTE(LEFT(TRIM(C430),FIND(" ",TRIM(C430)&amp;" ")-1),",","."),"."),LEFT(SUBSTITUTE(LEFT(TRIM(C430),FIND(" ",TRIM(C430)&amp;" ")-1),",","."),FIND("/",SUBSTITUTE(LEFT(TRIM(C430),FIND(" ",TRIM(C430)&amp;" ")-1),",","."))-1)/MID(SUBSTITUTE(LEFT(TRIM(C430),FIND(" ",TRIM(C430)&amp;" ")-1),",","."),FIND("/",SUBSTITUTE(LEFT(TRIM(C430),FIND(" ",TRIM(C430)&amp;" ")-1),",","."))+1,9))*12/52,IF(ISNUMBER(SEARCH("month",C430)),IFERROR(_xlfn.NUMBERVALUE(SUBSTITUTE(LEFT(TRIM(C430),FIND(" ",TRIM(C430)&amp;" ")-1),",","."),"."),LEFT(SUBSTITUTE(LEFT(TRIM(C430),FIND(" ",TRIM(C430)&amp;" ")-1),",","."),FIND("/",SUBSTITUTE(LEFT(TRIM(C430),FIND(" ",TRIM(C430)&amp;" ")-1),",","."))-1)/MID(SUBSTITUTE(LEFT(TRIM(C430),FIND(" ",TRIM(C430)&amp;" ")-1),",","."),FIND("/",SUBSTITUTE(LEFT(TRIM(C430),FIND(" ",TRIM(C430)&amp;" ")-1),",","."))+1,9)),IF(ISNUMBER(SEARCH("yea",C430)),IFERROR(_xlfn.NUMBERVALUE(SUBSTITUTE(LEFT(TRIM(C430),FIND(" ",TRIM(C430)&amp;" ")-1),",","."),"."),LEFT(SUBSTITUTE(LEFT(TRIM(C430),FIND(" ",TRIM(C430)&amp;" ")-1),",","."),FIND("/",SUBSTITUTE(LEFT(TRIM(C430),FIND(" ",TRIM(C430)&amp;" ")-1),",","."))-1)/MID(SUBSTITUTE(LEFT(TRIM(C430),FIND(" ",TRIM(C430)&amp;" ")-1),",","."),FIND("/",SUBSTITUTE(LEFT(TRIM(C430),FIND(" ",TRIM(C430)&amp;" ")-1),",","."))+1,9))*12,NA()))),0),24)*'Aturan &amp; Tarif'!$B$4,2)</f>
        <v>1362.72</v>
      </c>
      <c r="K430" s="32" t="n">
        <f aca="false">'Aturan &amp; Tarif'!$B$5</f>
        <v>2050</v>
      </c>
      <c r="L430" s="32" t="n">
        <f aca="false">'Aturan &amp; Tarif'!$B$6</f>
        <v>350</v>
      </c>
      <c r="M430" s="35" t="n">
        <f aca="false">I430+J430+K430+L430</f>
        <v>5762.72</v>
      </c>
      <c r="N430" s="37" t="s">
        <v>134</v>
      </c>
    </row>
    <row r="431" customFormat="false" ht="14.25" hidden="false" customHeight="true" outlineLevel="0" collapsed="false">
      <c r="A431" s="29"/>
      <c r="B431" s="30" t="s">
        <v>2060</v>
      </c>
      <c r="C431" s="31" t="s">
        <v>191</v>
      </c>
      <c r="D431" s="31" t="s">
        <v>108</v>
      </c>
      <c r="E431" s="32" t="n">
        <v>1500</v>
      </c>
      <c r="F431" s="32" t="n">
        <v>300</v>
      </c>
      <c r="G431" s="32" t="n">
        <v>200</v>
      </c>
      <c r="H431" s="33" t="n">
        <v>1</v>
      </c>
      <c r="I431" s="34" t="n">
        <f aca="false">E431*H431+N(F431)+N(G431)</f>
        <v>2000</v>
      </c>
      <c r="J431" s="32" t="n">
        <f aca="false">ROUND(IFERROR(ROUND(IF(OR(ISNUMBER(SEARCH("week",C431)),ISNUMBER(SEARCH("minggu",C431))),IFERROR(_xlfn.NUMBERVALUE(SUBSTITUTE(LEFT(TRIM(C431),FIND(" ",TRIM(C431)&amp;" ")-1),",","."),"."),LEFT(SUBSTITUTE(LEFT(TRIM(C431),FIND(" ",TRIM(C431)&amp;" ")-1),",","."),FIND("/",SUBSTITUTE(LEFT(TRIM(C431),FIND(" ",TRIM(C431)&amp;" ")-1),",","."))-1)/MID(SUBSTITUTE(LEFT(TRIM(C431),FIND(" ",TRIM(C431)&amp;" ")-1),",","."),FIND("/",SUBSTITUTE(LEFT(TRIM(C431),FIND(" ",TRIM(C431)&amp;" ")-1),",","."))+1,9))*12/52,IF(ISNUMBER(SEARCH("month",C431)),IFERROR(_xlfn.NUMBERVALUE(SUBSTITUTE(LEFT(TRIM(C431),FIND(" ",TRIM(C431)&amp;" ")-1),",","."),"."),LEFT(SUBSTITUTE(LEFT(TRIM(C431),FIND(" ",TRIM(C431)&amp;" ")-1),",","."),FIND("/",SUBSTITUTE(LEFT(TRIM(C431),FIND(" ",TRIM(C431)&amp;" ")-1),",","."))-1)/MID(SUBSTITUTE(LEFT(TRIM(C431),FIND(" ",TRIM(C431)&amp;" ")-1),",","."),FIND("/",SUBSTITUTE(LEFT(TRIM(C431),FIND(" ",TRIM(C431)&amp;" ")-1),",","."))+1,9)),IF(ISNUMBER(SEARCH("yea",C431)),IFERROR(_xlfn.NUMBERVALUE(SUBSTITUTE(LEFT(TRIM(C431),FIND(" ",TRIM(C431)&amp;" ")-1),",","."),"."),LEFT(SUBSTITUTE(LEFT(TRIM(C431),FIND(" ",TRIM(C431)&amp;" ")-1),",","."),FIND("/",SUBSTITUTE(LEFT(TRIM(C431),FIND(" ",TRIM(C431)&amp;" ")-1),",","."))-1)/MID(SUBSTITUTE(LEFT(TRIM(C431),FIND(" ",TRIM(C431)&amp;" ")-1),",","."),FIND("/",SUBSTITUTE(LEFT(TRIM(C431),FIND(" ",TRIM(C431)&amp;" ")-1),",","."))+1,9))*12,NA()))),0),48)*'Aturan &amp; Tarif'!$B$4,2)</f>
        <v>2725.44</v>
      </c>
      <c r="K431" s="32" t="n">
        <f aca="false">'Aturan &amp; Tarif'!$B$5</f>
        <v>2050</v>
      </c>
      <c r="L431" s="32" t="n">
        <f aca="false">'Aturan &amp; Tarif'!$B$6</f>
        <v>350</v>
      </c>
      <c r="M431" s="35" t="n">
        <f aca="false">I431+J431+K431+L431</f>
        <v>7125.44</v>
      </c>
      <c r="N431" s="37" t="s">
        <v>134</v>
      </c>
    </row>
    <row r="432" customFormat="false" ht="14.25" hidden="false" customHeight="true" outlineLevel="0" collapsed="false">
      <c r="A432" s="29"/>
      <c r="B432" s="30" t="s">
        <v>2061</v>
      </c>
      <c r="C432" s="31" t="s">
        <v>107</v>
      </c>
      <c r="D432" s="31" t="s">
        <v>108</v>
      </c>
      <c r="E432" s="32" t="n">
        <v>1500</v>
      </c>
      <c r="F432" s="32" t="n">
        <v>500</v>
      </c>
      <c r="G432" s="32" t="n">
        <v>200</v>
      </c>
      <c r="H432" s="33" t="n">
        <v>1</v>
      </c>
      <c r="I432" s="34" t="n">
        <f aca="false">E432*H432+N(F432)+N(G432)</f>
        <v>2200</v>
      </c>
      <c r="J432" s="32" t="n">
        <f aca="false">ROUND(IFERROR(ROUND(IF(OR(ISNUMBER(SEARCH("week",C432)),ISNUMBER(SEARCH("minggu",C432))),IFERROR(_xlfn.NUMBERVALUE(SUBSTITUTE(LEFT(TRIM(C432),FIND(" ",TRIM(C432)&amp;" ")-1),",","."),"."),LEFT(SUBSTITUTE(LEFT(TRIM(C432),FIND(" ",TRIM(C432)&amp;" ")-1),",","."),FIND("/",SUBSTITUTE(LEFT(TRIM(C432),FIND(" ",TRIM(C432)&amp;" ")-1),",","."))-1)/MID(SUBSTITUTE(LEFT(TRIM(C432),FIND(" ",TRIM(C432)&amp;" ")-1),",","."),FIND("/",SUBSTITUTE(LEFT(TRIM(C432),FIND(" ",TRIM(C432)&amp;" ")-1),",","."))+1,9))*12/52,IF(ISNUMBER(SEARCH("month",C432)),IFERROR(_xlfn.NUMBERVALUE(SUBSTITUTE(LEFT(TRIM(C432),FIND(" ",TRIM(C432)&amp;" ")-1),",","."),"."),LEFT(SUBSTITUTE(LEFT(TRIM(C432),FIND(" ",TRIM(C432)&amp;" ")-1),",","."),FIND("/",SUBSTITUTE(LEFT(TRIM(C432),FIND(" ",TRIM(C432)&amp;" ")-1),",","."))-1)/MID(SUBSTITUTE(LEFT(TRIM(C432),FIND(" ",TRIM(C432)&amp;" ")-1),",","."),FIND("/",SUBSTITUTE(LEFT(TRIM(C432),FIND(" ",TRIM(C432)&amp;" ")-1),",","."))+1,9)),IF(ISNUMBER(SEARCH("yea",C432)),IFERROR(_xlfn.NUMBERVALUE(SUBSTITUTE(LEFT(TRIM(C432),FIND(" ",TRIM(C432)&amp;" ")-1),",","."),"."),LEFT(SUBSTITUTE(LEFT(TRIM(C432),FIND(" ",TRIM(C432)&amp;" ")-1),",","."),FIND("/",SUBSTITUTE(LEFT(TRIM(C432),FIND(" ",TRIM(C432)&amp;" ")-1),",","."))-1)/MID(SUBSTITUTE(LEFT(TRIM(C432),FIND(" ",TRIM(C432)&amp;" ")-1),",","."),FIND("/",SUBSTITUTE(LEFT(TRIM(C432),FIND(" ",TRIM(C432)&amp;" ")-1),",","."))+1,9))*12,NA()))),0),24)*'Aturan &amp; Tarif'!$B$4,2)</f>
        <v>1362.72</v>
      </c>
      <c r="K432" s="32" t="n">
        <f aca="false">'Aturan &amp; Tarif'!$B$5</f>
        <v>2050</v>
      </c>
      <c r="L432" s="32" t="n">
        <f aca="false">'Aturan &amp; Tarif'!$B$6</f>
        <v>350</v>
      </c>
      <c r="M432" s="35" t="n">
        <f aca="false">I432+J432+K432+L432</f>
        <v>5962.72</v>
      </c>
      <c r="N432" s="37" t="s">
        <v>134</v>
      </c>
    </row>
    <row r="433" customFormat="false" ht="25.5" hidden="false" customHeight="true" outlineLevel="0" collapsed="false">
      <c r="A433" s="29"/>
      <c r="B433" s="30" t="s">
        <v>496</v>
      </c>
      <c r="C433" s="31" t="s">
        <v>107</v>
      </c>
      <c r="D433" s="31" t="s">
        <v>108</v>
      </c>
      <c r="E433" s="32" t="n">
        <v>1500</v>
      </c>
      <c r="F433" s="32" t="n">
        <v>500</v>
      </c>
      <c r="G433" s="32" t="n">
        <v>200</v>
      </c>
      <c r="H433" s="33" t="n">
        <v>1</v>
      </c>
      <c r="I433" s="34" t="n">
        <f aca="false">E433*H433+N(F433)+N(G433)</f>
        <v>2200</v>
      </c>
      <c r="J433" s="32" t="n">
        <f aca="false">ROUND(IFERROR(ROUND(IF(OR(ISNUMBER(SEARCH("week",C433)),ISNUMBER(SEARCH("minggu",C433))),IFERROR(_xlfn.NUMBERVALUE(SUBSTITUTE(LEFT(TRIM(C433),FIND(" ",TRIM(C433)&amp;" ")-1),",","."),"."),LEFT(SUBSTITUTE(LEFT(TRIM(C433),FIND(" ",TRIM(C433)&amp;" ")-1),",","."),FIND("/",SUBSTITUTE(LEFT(TRIM(C433),FIND(" ",TRIM(C433)&amp;" ")-1),",","."))-1)/MID(SUBSTITUTE(LEFT(TRIM(C433),FIND(" ",TRIM(C433)&amp;" ")-1),",","."),FIND("/",SUBSTITUTE(LEFT(TRIM(C433),FIND(" ",TRIM(C433)&amp;" ")-1),",","."))+1,9))*12/52,IF(ISNUMBER(SEARCH("month",C433)),IFERROR(_xlfn.NUMBERVALUE(SUBSTITUTE(LEFT(TRIM(C433),FIND(" ",TRIM(C433)&amp;" ")-1),",","."),"."),LEFT(SUBSTITUTE(LEFT(TRIM(C433),FIND(" ",TRIM(C433)&amp;" ")-1),",","."),FIND("/",SUBSTITUTE(LEFT(TRIM(C433),FIND(" ",TRIM(C433)&amp;" ")-1),",","."))-1)/MID(SUBSTITUTE(LEFT(TRIM(C433),FIND(" ",TRIM(C433)&amp;" ")-1),",","."),FIND("/",SUBSTITUTE(LEFT(TRIM(C433),FIND(" ",TRIM(C433)&amp;" ")-1),",","."))+1,9)),IF(ISNUMBER(SEARCH("yea",C433)),IFERROR(_xlfn.NUMBERVALUE(SUBSTITUTE(LEFT(TRIM(C433),FIND(" ",TRIM(C433)&amp;" ")-1),",","."),"."),LEFT(SUBSTITUTE(LEFT(TRIM(C433),FIND(" ",TRIM(C433)&amp;" ")-1),",","."),FIND("/",SUBSTITUTE(LEFT(TRIM(C433),FIND(" ",TRIM(C433)&amp;" ")-1),",","."))-1)/MID(SUBSTITUTE(LEFT(TRIM(C433),FIND(" ",TRIM(C433)&amp;" ")-1),",","."),FIND("/",SUBSTITUTE(LEFT(TRIM(C433),FIND(" ",TRIM(C433)&amp;" ")-1),",","."))+1,9))*12,NA()))),0),24)*'Aturan &amp; Tarif'!$B$4,2)</f>
        <v>1362.72</v>
      </c>
      <c r="K433" s="32" t="n">
        <f aca="false">'Aturan &amp; Tarif'!$B$5</f>
        <v>2050</v>
      </c>
      <c r="L433" s="32" t="n">
        <f aca="false">'Aturan &amp; Tarif'!$B$6</f>
        <v>350</v>
      </c>
      <c r="M433" s="35" t="n">
        <f aca="false">I433+J433+K433+L433</f>
        <v>5962.72</v>
      </c>
      <c r="N433" s="37" t="s">
        <v>134</v>
      </c>
    </row>
    <row r="434" customFormat="false" ht="25.5" hidden="false" customHeight="true" outlineLevel="0" collapsed="false">
      <c r="A434" s="29"/>
      <c r="B434" s="30" t="s">
        <v>1993</v>
      </c>
      <c r="C434" s="31" t="s">
        <v>191</v>
      </c>
      <c r="D434" s="31" t="s">
        <v>108</v>
      </c>
      <c r="E434" s="32" t="n">
        <v>1500</v>
      </c>
      <c r="F434" s="32" t="n">
        <v>500</v>
      </c>
      <c r="G434" s="32" t="n">
        <v>200</v>
      </c>
      <c r="H434" s="33" t="n">
        <v>1</v>
      </c>
      <c r="I434" s="34" t="n">
        <f aca="false">E434*H434+N(F434)+N(G434)</f>
        <v>2200</v>
      </c>
      <c r="J434" s="32" t="n">
        <f aca="false">ROUND(IFERROR(ROUND(IF(OR(ISNUMBER(SEARCH("week",C434)),ISNUMBER(SEARCH("minggu",C434))),IFERROR(_xlfn.NUMBERVALUE(SUBSTITUTE(LEFT(TRIM(C434),FIND(" ",TRIM(C434)&amp;" ")-1),",","."),"."),LEFT(SUBSTITUTE(LEFT(TRIM(C434),FIND(" ",TRIM(C434)&amp;" ")-1),",","."),FIND("/",SUBSTITUTE(LEFT(TRIM(C434),FIND(" ",TRIM(C434)&amp;" ")-1),",","."))-1)/MID(SUBSTITUTE(LEFT(TRIM(C434),FIND(" ",TRIM(C434)&amp;" ")-1),",","."),FIND("/",SUBSTITUTE(LEFT(TRIM(C434),FIND(" ",TRIM(C434)&amp;" ")-1),",","."))+1,9))*12/52,IF(ISNUMBER(SEARCH("month",C434)),IFERROR(_xlfn.NUMBERVALUE(SUBSTITUTE(LEFT(TRIM(C434),FIND(" ",TRIM(C434)&amp;" ")-1),",","."),"."),LEFT(SUBSTITUTE(LEFT(TRIM(C434),FIND(" ",TRIM(C434)&amp;" ")-1),",","."),FIND("/",SUBSTITUTE(LEFT(TRIM(C434),FIND(" ",TRIM(C434)&amp;" ")-1),",","."))-1)/MID(SUBSTITUTE(LEFT(TRIM(C434),FIND(" ",TRIM(C434)&amp;" ")-1),",","."),FIND("/",SUBSTITUTE(LEFT(TRIM(C434),FIND(" ",TRIM(C434)&amp;" ")-1),",","."))+1,9)),IF(ISNUMBER(SEARCH("yea",C434)),IFERROR(_xlfn.NUMBERVALUE(SUBSTITUTE(LEFT(TRIM(C434),FIND(" ",TRIM(C434)&amp;" ")-1),",","."),"."),LEFT(SUBSTITUTE(LEFT(TRIM(C434),FIND(" ",TRIM(C434)&amp;" ")-1),",","."),FIND("/",SUBSTITUTE(LEFT(TRIM(C434),FIND(" ",TRIM(C434)&amp;" ")-1),",","."))-1)/MID(SUBSTITUTE(LEFT(TRIM(C434),FIND(" ",TRIM(C434)&amp;" ")-1),",","."),FIND("/",SUBSTITUTE(LEFT(TRIM(C434),FIND(" ",TRIM(C434)&amp;" ")-1),",","."))+1,9))*12,NA()))),0),48)*'Aturan &amp; Tarif'!$B$4,2)</f>
        <v>2725.44</v>
      </c>
      <c r="K434" s="32" t="n">
        <f aca="false">'Aturan &amp; Tarif'!$B$5</f>
        <v>2050</v>
      </c>
      <c r="L434" s="32" t="n">
        <f aca="false">'Aturan &amp; Tarif'!$B$6</f>
        <v>350</v>
      </c>
      <c r="M434" s="35" t="n">
        <f aca="false">I434+J434+K434+L434</f>
        <v>7325.44</v>
      </c>
      <c r="N434" s="37" t="s">
        <v>134</v>
      </c>
    </row>
    <row r="435" customFormat="false" ht="25.5" hidden="false" customHeight="true" outlineLevel="0" collapsed="false">
      <c r="A435" s="29"/>
      <c r="B435" s="30" t="s">
        <v>2062</v>
      </c>
      <c r="C435" s="31" t="s">
        <v>107</v>
      </c>
      <c r="D435" s="31" t="s">
        <v>108</v>
      </c>
      <c r="E435" s="32" t="n">
        <v>1500</v>
      </c>
      <c r="F435" s="32" t="n">
        <v>500</v>
      </c>
      <c r="G435" s="32" t="n">
        <v>200</v>
      </c>
      <c r="H435" s="33" t="n">
        <v>1</v>
      </c>
      <c r="I435" s="34" t="n">
        <f aca="false">E435*H435+N(F435)+N(G435)</f>
        <v>2200</v>
      </c>
      <c r="J435" s="32" t="n">
        <f aca="false">ROUND(IFERROR(ROUND(IF(OR(ISNUMBER(SEARCH("week",C435)),ISNUMBER(SEARCH("minggu",C435))),IFERROR(_xlfn.NUMBERVALUE(SUBSTITUTE(LEFT(TRIM(C435),FIND(" ",TRIM(C435)&amp;" ")-1),",","."),"."),LEFT(SUBSTITUTE(LEFT(TRIM(C435),FIND(" ",TRIM(C435)&amp;" ")-1),",","."),FIND("/",SUBSTITUTE(LEFT(TRIM(C435),FIND(" ",TRIM(C435)&amp;" ")-1),",","."))-1)/MID(SUBSTITUTE(LEFT(TRIM(C435),FIND(" ",TRIM(C435)&amp;" ")-1),",","."),FIND("/",SUBSTITUTE(LEFT(TRIM(C435),FIND(" ",TRIM(C435)&amp;" ")-1),",","."))+1,9))*12/52,IF(ISNUMBER(SEARCH("month",C435)),IFERROR(_xlfn.NUMBERVALUE(SUBSTITUTE(LEFT(TRIM(C435),FIND(" ",TRIM(C435)&amp;" ")-1),",","."),"."),LEFT(SUBSTITUTE(LEFT(TRIM(C435),FIND(" ",TRIM(C435)&amp;" ")-1),",","."),FIND("/",SUBSTITUTE(LEFT(TRIM(C435),FIND(" ",TRIM(C435)&amp;" ")-1),",","."))-1)/MID(SUBSTITUTE(LEFT(TRIM(C435),FIND(" ",TRIM(C435)&amp;" ")-1),",","."),FIND("/",SUBSTITUTE(LEFT(TRIM(C435),FIND(" ",TRIM(C435)&amp;" ")-1),",","."))+1,9)),IF(ISNUMBER(SEARCH("yea",C435)),IFERROR(_xlfn.NUMBERVALUE(SUBSTITUTE(LEFT(TRIM(C435),FIND(" ",TRIM(C435)&amp;" ")-1),",","."),"."),LEFT(SUBSTITUTE(LEFT(TRIM(C435),FIND(" ",TRIM(C435)&amp;" ")-1),",","."),FIND("/",SUBSTITUTE(LEFT(TRIM(C435),FIND(" ",TRIM(C435)&amp;" ")-1),",","."))-1)/MID(SUBSTITUTE(LEFT(TRIM(C435),FIND(" ",TRIM(C435)&amp;" ")-1),",","."),FIND("/",SUBSTITUTE(LEFT(TRIM(C435),FIND(" ",TRIM(C435)&amp;" ")-1),",","."))+1,9))*12,NA()))),0),24)*'Aturan &amp; Tarif'!$B$4,2)</f>
        <v>1362.72</v>
      </c>
      <c r="K435" s="32" t="n">
        <f aca="false">'Aturan &amp; Tarif'!$B$5</f>
        <v>2050</v>
      </c>
      <c r="L435" s="32" t="n">
        <f aca="false">'Aturan &amp; Tarif'!$B$6</f>
        <v>350</v>
      </c>
      <c r="M435" s="35" t="n">
        <f aca="false">I435+J435+K435+L435</f>
        <v>5962.72</v>
      </c>
      <c r="N435" s="37" t="s">
        <v>134</v>
      </c>
    </row>
    <row r="436" customFormat="false" ht="25.5" hidden="false" customHeight="true" outlineLevel="0" collapsed="false">
      <c r="A436" s="29"/>
      <c r="B436" s="30" t="s">
        <v>2063</v>
      </c>
      <c r="C436" s="31" t="s">
        <v>136</v>
      </c>
      <c r="D436" s="31" t="s">
        <v>108</v>
      </c>
      <c r="E436" s="32" t="n">
        <v>1500</v>
      </c>
      <c r="F436" s="32" t="n">
        <v>500</v>
      </c>
      <c r="G436" s="32" t="n">
        <v>200</v>
      </c>
      <c r="H436" s="33" t="n">
        <v>1</v>
      </c>
      <c r="I436" s="34" t="n">
        <f aca="false">E436*H436+N(F436)+N(G436)</f>
        <v>2200</v>
      </c>
      <c r="J436" s="32" t="n">
        <f aca="false">ROUND(IFERROR(ROUND(IF(OR(ISNUMBER(SEARCH("week",C436)),ISNUMBER(SEARCH("minggu",C436))),IFERROR(_xlfn.NUMBERVALUE(SUBSTITUTE(LEFT(TRIM(C436),FIND(" ",TRIM(C436)&amp;" ")-1),",","."),"."),LEFT(SUBSTITUTE(LEFT(TRIM(C436),FIND(" ",TRIM(C436)&amp;" ")-1),",","."),FIND("/",SUBSTITUTE(LEFT(TRIM(C436),FIND(" ",TRIM(C436)&amp;" ")-1),",","."))-1)/MID(SUBSTITUTE(LEFT(TRIM(C436),FIND(" ",TRIM(C436)&amp;" ")-1),",","."),FIND("/",SUBSTITUTE(LEFT(TRIM(C436),FIND(" ",TRIM(C436)&amp;" ")-1),",","."))+1,9))*12/52,IF(ISNUMBER(SEARCH("month",C436)),IFERROR(_xlfn.NUMBERVALUE(SUBSTITUTE(LEFT(TRIM(C436),FIND(" ",TRIM(C436)&amp;" ")-1),",","."),"."),LEFT(SUBSTITUTE(LEFT(TRIM(C436),FIND(" ",TRIM(C436)&amp;" ")-1),",","."),FIND("/",SUBSTITUTE(LEFT(TRIM(C436),FIND(" ",TRIM(C436)&amp;" ")-1),",","."))-1)/MID(SUBSTITUTE(LEFT(TRIM(C436),FIND(" ",TRIM(C436)&amp;" ")-1),",","."),FIND("/",SUBSTITUTE(LEFT(TRIM(C436),FIND(" ",TRIM(C436)&amp;" ")-1),",","."))+1,9)),IF(ISNUMBER(SEARCH("yea",C436)),IFERROR(_xlfn.NUMBERVALUE(SUBSTITUTE(LEFT(TRIM(C436),FIND(" ",TRIM(C436)&amp;" ")-1),",","."),"."),LEFT(SUBSTITUTE(LEFT(TRIM(C436),FIND(" ",TRIM(C436)&amp;" ")-1),",","."),FIND("/",SUBSTITUTE(LEFT(TRIM(C436),FIND(" ",TRIM(C436)&amp;" ")-1),",","."))-1)/MID(SUBSTITUTE(LEFT(TRIM(C436),FIND(" ",TRIM(C436)&amp;" ")-1),",","."),FIND("/",SUBSTITUTE(LEFT(TRIM(C436),FIND(" ",TRIM(C436)&amp;" ")-1),",","."))+1,9))*12,NA()))),0),42)*'Aturan &amp; Tarif'!$B$4,2)</f>
        <v>2384.76</v>
      </c>
      <c r="K436" s="32" t="n">
        <f aca="false">'Aturan &amp; Tarif'!$B$5</f>
        <v>2050</v>
      </c>
      <c r="L436" s="32" t="n">
        <f aca="false">'Aturan &amp; Tarif'!$B$6</f>
        <v>350</v>
      </c>
      <c r="M436" s="35" t="n">
        <f aca="false">I436+J436+K436+L436</f>
        <v>6984.76</v>
      </c>
      <c r="N436" s="37" t="s">
        <v>134</v>
      </c>
    </row>
    <row r="437" customFormat="false" ht="37.5" hidden="false" customHeight="true" outlineLevel="0" collapsed="false">
      <c r="A437" s="29"/>
      <c r="B437" s="30" t="s">
        <v>889</v>
      </c>
      <c r="C437" s="31" t="s">
        <v>107</v>
      </c>
      <c r="D437" s="31" t="s">
        <v>108</v>
      </c>
      <c r="E437" s="32" t="n">
        <v>1900</v>
      </c>
      <c r="F437" s="32" t="n">
        <v>1200</v>
      </c>
      <c r="G437" s="32" t="n">
        <v>200</v>
      </c>
      <c r="H437" s="33" t="n">
        <v>1</v>
      </c>
      <c r="I437" s="34" t="n">
        <f aca="false">E437*H437+N(F437)+N(G437)</f>
        <v>3300</v>
      </c>
      <c r="J437" s="32" t="n">
        <f aca="false">ROUND(IFERROR(ROUND(IF(OR(ISNUMBER(SEARCH("week",C437)),ISNUMBER(SEARCH("minggu",C437))),IFERROR(_xlfn.NUMBERVALUE(SUBSTITUTE(LEFT(TRIM(C437),FIND(" ",TRIM(C437)&amp;" ")-1),",","."),"."),LEFT(SUBSTITUTE(LEFT(TRIM(C437),FIND(" ",TRIM(C437)&amp;" ")-1),",","."),FIND("/",SUBSTITUTE(LEFT(TRIM(C437),FIND(" ",TRIM(C437)&amp;" ")-1),",","."))-1)/MID(SUBSTITUTE(LEFT(TRIM(C437),FIND(" ",TRIM(C437)&amp;" ")-1),",","."),FIND("/",SUBSTITUTE(LEFT(TRIM(C437),FIND(" ",TRIM(C437)&amp;" ")-1),",","."))+1,9))*12/52,IF(ISNUMBER(SEARCH("month",C437)),IFERROR(_xlfn.NUMBERVALUE(SUBSTITUTE(LEFT(TRIM(C437),FIND(" ",TRIM(C437)&amp;" ")-1),",","."),"."),LEFT(SUBSTITUTE(LEFT(TRIM(C437),FIND(" ",TRIM(C437)&amp;" ")-1),",","."),FIND("/",SUBSTITUTE(LEFT(TRIM(C437),FIND(" ",TRIM(C437)&amp;" ")-1),",","."))-1)/MID(SUBSTITUTE(LEFT(TRIM(C437),FIND(" ",TRIM(C437)&amp;" ")-1),",","."),FIND("/",SUBSTITUTE(LEFT(TRIM(C437),FIND(" ",TRIM(C437)&amp;" ")-1),",","."))+1,9)),IF(ISNUMBER(SEARCH("yea",C437)),IFERROR(_xlfn.NUMBERVALUE(SUBSTITUTE(LEFT(TRIM(C437),FIND(" ",TRIM(C437)&amp;" ")-1),",","."),"."),LEFT(SUBSTITUTE(LEFT(TRIM(C437),FIND(" ",TRIM(C437)&amp;" ")-1),",","."),FIND("/",SUBSTITUTE(LEFT(TRIM(C437),FIND(" ",TRIM(C437)&amp;" ")-1),",","."))-1)/MID(SUBSTITUTE(LEFT(TRIM(C437),FIND(" ",TRIM(C437)&amp;" ")-1),",","."),FIND("/",SUBSTITUTE(LEFT(TRIM(C437),FIND(" ",TRIM(C437)&amp;" ")-1),",","."))+1,9))*12,NA()))),0),24)*'Aturan &amp; Tarif'!$B$4,2)</f>
        <v>1362.72</v>
      </c>
      <c r="K437" s="32" t="n">
        <f aca="false">'Aturan &amp; Tarif'!$B$5</f>
        <v>2050</v>
      </c>
      <c r="L437" s="32" t="n">
        <f aca="false">'Aturan &amp; Tarif'!$B$6</f>
        <v>350</v>
      </c>
      <c r="M437" s="35" t="n">
        <f aca="false">I437+J437+K437+L437</f>
        <v>7062.72</v>
      </c>
      <c r="N437" s="37" t="s">
        <v>134</v>
      </c>
    </row>
    <row r="438" customFormat="false" ht="37.5" hidden="false" customHeight="true" outlineLevel="0" collapsed="false">
      <c r="A438" s="29"/>
      <c r="B438" s="30" t="s">
        <v>909</v>
      </c>
      <c r="C438" s="31" t="s">
        <v>107</v>
      </c>
      <c r="D438" s="31" t="s">
        <v>108</v>
      </c>
      <c r="E438" s="32" t="n">
        <v>2500</v>
      </c>
      <c r="F438" s="32" t="n">
        <v>1200</v>
      </c>
      <c r="G438" s="32" t="n">
        <v>200</v>
      </c>
      <c r="H438" s="33" t="n">
        <v>1</v>
      </c>
      <c r="I438" s="34" t="n">
        <f aca="false">E438*H438+N(F438)+N(G438)</f>
        <v>3900</v>
      </c>
      <c r="J438" s="32" t="n">
        <f aca="false">ROUND(IFERROR(ROUND(IF(OR(ISNUMBER(SEARCH("week",C438)),ISNUMBER(SEARCH("minggu",C438))),IFERROR(_xlfn.NUMBERVALUE(SUBSTITUTE(LEFT(TRIM(C438),FIND(" ",TRIM(C438)&amp;" ")-1),",","."),"."),LEFT(SUBSTITUTE(LEFT(TRIM(C438),FIND(" ",TRIM(C438)&amp;" ")-1),",","."),FIND("/",SUBSTITUTE(LEFT(TRIM(C438),FIND(" ",TRIM(C438)&amp;" ")-1),",","."))-1)/MID(SUBSTITUTE(LEFT(TRIM(C438),FIND(" ",TRIM(C438)&amp;" ")-1),",","."),FIND("/",SUBSTITUTE(LEFT(TRIM(C438),FIND(" ",TRIM(C438)&amp;" ")-1),",","."))+1,9))*12/52,IF(ISNUMBER(SEARCH("month",C438)),IFERROR(_xlfn.NUMBERVALUE(SUBSTITUTE(LEFT(TRIM(C438),FIND(" ",TRIM(C438)&amp;" ")-1),",","."),"."),LEFT(SUBSTITUTE(LEFT(TRIM(C438),FIND(" ",TRIM(C438)&amp;" ")-1),",","."),FIND("/",SUBSTITUTE(LEFT(TRIM(C438),FIND(" ",TRIM(C438)&amp;" ")-1),",","."))-1)/MID(SUBSTITUTE(LEFT(TRIM(C438),FIND(" ",TRIM(C438)&amp;" ")-1),",","."),FIND("/",SUBSTITUTE(LEFT(TRIM(C438),FIND(" ",TRIM(C438)&amp;" ")-1),",","."))+1,9)),IF(ISNUMBER(SEARCH("yea",C438)),IFERROR(_xlfn.NUMBERVALUE(SUBSTITUTE(LEFT(TRIM(C438),FIND(" ",TRIM(C438)&amp;" ")-1),",","."),"."),LEFT(SUBSTITUTE(LEFT(TRIM(C438),FIND(" ",TRIM(C438)&amp;" ")-1),",","."),FIND("/",SUBSTITUTE(LEFT(TRIM(C438),FIND(" ",TRIM(C438)&amp;" ")-1),",","."))-1)/MID(SUBSTITUTE(LEFT(TRIM(C438),FIND(" ",TRIM(C438)&amp;" ")-1),",","."),FIND("/",SUBSTITUTE(LEFT(TRIM(C438),FIND(" ",TRIM(C438)&amp;" ")-1),",","."))+1,9))*12,NA()))),0),24)*'Aturan &amp; Tarif'!$B$4,2)</f>
        <v>1362.72</v>
      </c>
      <c r="K438" s="32" t="n">
        <f aca="false">'Aturan &amp; Tarif'!$B$5</f>
        <v>2050</v>
      </c>
      <c r="L438" s="32" t="n">
        <f aca="false">'Aturan &amp; Tarif'!$B$6</f>
        <v>350</v>
      </c>
      <c r="M438" s="35" t="n">
        <f aca="false">I438+J438+K438+L438</f>
        <v>7662.72</v>
      </c>
      <c r="N438" s="37" t="s">
        <v>134</v>
      </c>
    </row>
    <row r="439" customFormat="false" ht="48.75" hidden="false" customHeight="true" outlineLevel="0" collapsed="false">
      <c r="A439" s="29"/>
      <c r="B439" s="30" t="s">
        <v>2064</v>
      </c>
      <c r="C439" s="31" t="s">
        <v>107</v>
      </c>
      <c r="D439" s="31" t="s">
        <v>108</v>
      </c>
      <c r="E439" s="32" t="n">
        <v>2000</v>
      </c>
      <c r="F439" s="32" t="n">
        <v>600</v>
      </c>
      <c r="G439" s="32" t="n">
        <v>200</v>
      </c>
      <c r="H439" s="33" t="n">
        <v>1</v>
      </c>
      <c r="I439" s="34" t="n">
        <f aca="false">E439*H439+N(F439)+N(G439)</f>
        <v>2800</v>
      </c>
      <c r="J439" s="32" t="n">
        <f aca="false">ROUND(IFERROR(ROUND(IF(OR(ISNUMBER(SEARCH("week",C439)),ISNUMBER(SEARCH("minggu",C439))),IFERROR(_xlfn.NUMBERVALUE(SUBSTITUTE(LEFT(TRIM(C439),FIND(" ",TRIM(C439)&amp;" ")-1),",","."),"."),LEFT(SUBSTITUTE(LEFT(TRIM(C439),FIND(" ",TRIM(C439)&amp;" ")-1),",","."),FIND("/",SUBSTITUTE(LEFT(TRIM(C439),FIND(" ",TRIM(C439)&amp;" ")-1),",","."))-1)/MID(SUBSTITUTE(LEFT(TRIM(C439),FIND(" ",TRIM(C439)&amp;" ")-1),",","."),FIND("/",SUBSTITUTE(LEFT(TRIM(C439),FIND(" ",TRIM(C439)&amp;" ")-1),",","."))+1,9))*12/52,IF(ISNUMBER(SEARCH("month",C439)),IFERROR(_xlfn.NUMBERVALUE(SUBSTITUTE(LEFT(TRIM(C439),FIND(" ",TRIM(C439)&amp;" ")-1),",","."),"."),LEFT(SUBSTITUTE(LEFT(TRIM(C439),FIND(" ",TRIM(C439)&amp;" ")-1),",","."),FIND("/",SUBSTITUTE(LEFT(TRIM(C439),FIND(" ",TRIM(C439)&amp;" ")-1),",","."))-1)/MID(SUBSTITUTE(LEFT(TRIM(C439),FIND(" ",TRIM(C439)&amp;" ")-1),",","."),FIND("/",SUBSTITUTE(LEFT(TRIM(C439),FIND(" ",TRIM(C439)&amp;" ")-1),",","."))+1,9)),IF(ISNUMBER(SEARCH("yea",C439)),IFERROR(_xlfn.NUMBERVALUE(SUBSTITUTE(LEFT(TRIM(C439),FIND(" ",TRIM(C439)&amp;" ")-1),",","."),"."),LEFT(SUBSTITUTE(LEFT(TRIM(C439),FIND(" ",TRIM(C439)&amp;" ")-1),",","."),FIND("/",SUBSTITUTE(LEFT(TRIM(C439),FIND(" ",TRIM(C439)&amp;" ")-1),",","."))-1)/MID(SUBSTITUTE(LEFT(TRIM(C439),FIND(" ",TRIM(C439)&amp;" ")-1),",","."),FIND("/",SUBSTITUTE(LEFT(TRIM(C439),FIND(" ",TRIM(C439)&amp;" ")-1),",","."))+1,9))*12,NA()))),0),24)*'Aturan &amp; Tarif'!$B$4,2)</f>
        <v>1362.72</v>
      </c>
      <c r="K439" s="32" t="n">
        <f aca="false">'Aturan &amp; Tarif'!$B$5</f>
        <v>2050</v>
      </c>
      <c r="L439" s="32" t="n">
        <f aca="false">'Aturan &amp; Tarif'!$B$6</f>
        <v>350</v>
      </c>
      <c r="M439" s="35" t="n">
        <f aca="false">I439+J439+K439+L439</f>
        <v>6562.72</v>
      </c>
      <c r="N439" s="37" t="s">
        <v>134</v>
      </c>
    </row>
    <row r="440" customFormat="false" ht="60" hidden="false" customHeight="true" outlineLevel="0" collapsed="false">
      <c r="A440" s="29"/>
      <c r="B440" s="30" t="s">
        <v>2065</v>
      </c>
      <c r="C440" s="31" t="s">
        <v>127</v>
      </c>
      <c r="D440" s="31" t="s">
        <v>108</v>
      </c>
      <c r="E440" s="32" t="n">
        <v>2000</v>
      </c>
      <c r="F440" s="32" t="n">
        <v>1200</v>
      </c>
      <c r="G440" s="32" t="n">
        <v>200</v>
      </c>
      <c r="H440" s="33" t="n">
        <v>1</v>
      </c>
      <c r="I440" s="34" t="n">
        <f aca="false">E440*H440+N(F440)+N(G440)</f>
        <v>3400</v>
      </c>
      <c r="J440" s="32" t="n">
        <f aca="false">ROUND(IFERROR(ROUND(IF(OR(ISNUMBER(SEARCH("week",C440)),ISNUMBER(SEARCH("minggu",C440))),IFERROR(_xlfn.NUMBERVALUE(SUBSTITUTE(LEFT(TRIM(C440),FIND(" ",TRIM(C440)&amp;" ")-1),",","."),"."),LEFT(SUBSTITUTE(LEFT(TRIM(C440),FIND(" ",TRIM(C440)&amp;" ")-1),",","."),FIND("/",SUBSTITUTE(LEFT(TRIM(C440),FIND(" ",TRIM(C440)&amp;" ")-1),",","."))-1)/MID(SUBSTITUTE(LEFT(TRIM(C440),FIND(" ",TRIM(C440)&amp;" ")-1),",","."),FIND("/",SUBSTITUTE(LEFT(TRIM(C440),FIND(" ",TRIM(C440)&amp;" ")-1),",","."))+1,9))*12/52,IF(ISNUMBER(SEARCH("month",C440)),IFERROR(_xlfn.NUMBERVALUE(SUBSTITUTE(LEFT(TRIM(C440),FIND(" ",TRIM(C440)&amp;" ")-1),",","."),"."),LEFT(SUBSTITUTE(LEFT(TRIM(C440),FIND(" ",TRIM(C440)&amp;" ")-1),",","."),FIND("/",SUBSTITUTE(LEFT(TRIM(C440),FIND(" ",TRIM(C440)&amp;" ")-1),",","."))-1)/MID(SUBSTITUTE(LEFT(TRIM(C440),FIND(" ",TRIM(C440)&amp;" ")-1),",","."),FIND("/",SUBSTITUTE(LEFT(TRIM(C440),FIND(" ",TRIM(C440)&amp;" ")-1),",","."))+1,9)),IF(ISNUMBER(SEARCH("yea",C440)),IFERROR(_xlfn.NUMBERVALUE(SUBSTITUTE(LEFT(TRIM(C440),FIND(" ",TRIM(C440)&amp;" ")-1),",","."),"."),LEFT(SUBSTITUTE(LEFT(TRIM(C440),FIND(" ",TRIM(C440)&amp;" ")-1),",","."),FIND("/",SUBSTITUTE(LEFT(TRIM(C440),FIND(" ",TRIM(C440)&amp;" ")-1),",","."))-1)/MID(SUBSTITUTE(LEFT(TRIM(C440),FIND(" ",TRIM(C440)&amp;" ")-1),",","."),FIND("/",SUBSTITUTE(LEFT(TRIM(C440),FIND(" ",TRIM(C440)&amp;" ")-1),",","."))+1,9))*12,NA()))),0),36)*'Aturan &amp; Tarif'!$B$4,2)</f>
        <v>2044.08</v>
      </c>
      <c r="K440" s="32" t="n">
        <f aca="false">'Aturan &amp; Tarif'!$B$5</f>
        <v>2050</v>
      </c>
      <c r="L440" s="32" t="n">
        <f aca="false">'Aturan &amp; Tarif'!$B$6</f>
        <v>350</v>
      </c>
      <c r="M440" s="35" t="n">
        <f aca="false">I440+J440+K440+L440</f>
        <v>7844.08</v>
      </c>
      <c r="N440" s="36" t="s">
        <v>131</v>
      </c>
    </row>
    <row r="441" customFormat="false" ht="25.5" hidden="false" customHeight="true" outlineLevel="0" collapsed="false">
      <c r="A441" s="29"/>
      <c r="B441" s="30" t="s">
        <v>2066</v>
      </c>
      <c r="C441" s="31" t="s">
        <v>107</v>
      </c>
      <c r="D441" s="31" t="s">
        <v>108</v>
      </c>
      <c r="E441" s="32" t="n">
        <v>2000</v>
      </c>
      <c r="F441" s="32" t="n">
        <v>1800</v>
      </c>
      <c r="G441" s="32" t="n">
        <v>200</v>
      </c>
      <c r="H441" s="33" t="n">
        <v>1</v>
      </c>
      <c r="I441" s="34" t="n">
        <f aca="false">E441*H441+N(F441)+N(G441)</f>
        <v>4000</v>
      </c>
      <c r="J441" s="32" t="n">
        <f aca="false">ROUND(IFERROR(ROUND(IF(OR(ISNUMBER(SEARCH("week",C441)),ISNUMBER(SEARCH("minggu",C441))),IFERROR(_xlfn.NUMBERVALUE(SUBSTITUTE(LEFT(TRIM(C441),FIND(" ",TRIM(C441)&amp;" ")-1),",","."),"."),LEFT(SUBSTITUTE(LEFT(TRIM(C441),FIND(" ",TRIM(C441)&amp;" ")-1),",","."),FIND("/",SUBSTITUTE(LEFT(TRIM(C441),FIND(" ",TRIM(C441)&amp;" ")-1),",","."))-1)/MID(SUBSTITUTE(LEFT(TRIM(C441),FIND(" ",TRIM(C441)&amp;" ")-1),",","."),FIND("/",SUBSTITUTE(LEFT(TRIM(C441),FIND(" ",TRIM(C441)&amp;" ")-1),",","."))+1,9))*12/52,IF(ISNUMBER(SEARCH("month",C441)),IFERROR(_xlfn.NUMBERVALUE(SUBSTITUTE(LEFT(TRIM(C441),FIND(" ",TRIM(C441)&amp;" ")-1),",","."),"."),LEFT(SUBSTITUTE(LEFT(TRIM(C441),FIND(" ",TRIM(C441)&amp;" ")-1),",","."),FIND("/",SUBSTITUTE(LEFT(TRIM(C441),FIND(" ",TRIM(C441)&amp;" ")-1),",","."))-1)/MID(SUBSTITUTE(LEFT(TRIM(C441),FIND(" ",TRIM(C441)&amp;" ")-1),",","."),FIND("/",SUBSTITUTE(LEFT(TRIM(C441),FIND(" ",TRIM(C441)&amp;" ")-1),",","."))+1,9)),IF(ISNUMBER(SEARCH("yea",C441)),IFERROR(_xlfn.NUMBERVALUE(SUBSTITUTE(LEFT(TRIM(C441),FIND(" ",TRIM(C441)&amp;" ")-1),",","."),"."),LEFT(SUBSTITUTE(LEFT(TRIM(C441),FIND(" ",TRIM(C441)&amp;" ")-1),",","."),FIND("/",SUBSTITUTE(LEFT(TRIM(C441),FIND(" ",TRIM(C441)&amp;" ")-1),",","."))-1)/MID(SUBSTITUTE(LEFT(TRIM(C441),FIND(" ",TRIM(C441)&amp;" ")-1),",","."),FIND("/",SUBSTITUTE(LEFT(TRIM(C441),FIND(" ",TRIM(C441)&amp;" ")-1),",","."))+1,9))*12,NA()))),0),24)*'Aturan &amp; Tarif'!$B$4,2)</f>
        <v>1362.72</v>
      </c>
      <c r="K441" s="32" t="n">
        <f aca="false">'Aturan &amp; Tarif'!$B$5</f>
        <v>2050</v>
      </c>
      <c r="L441" s="32" t="n">
        <f aca="false">'Aturan &amp; Tarif'!$B$6</f>
        <v>350</v>
      </c>
      <c r="M441" s="35" t="n">
        <f aca="false">I441+J441+K441+L441</f>
        <v>7762.72</v>
      </c>
      <c r="N441" s="37" t="s">
        <v>134</v>
      </c>
    </row>
    <row r="442" customFormat="false" ht="25.5" hidden="false" customHeight="true" outlineLevel="0" collapsed="false">
      <c r="A442" s="29"/>
      <c r="B442" s="30" t="s">
        <v>2067</v>
      </c>
      <c r="C442" s="31" t="s">
        <v>127</v>
      </c>
      <c r="D442" s="31" t="s">
        <v>108</v>
      </c>
      <c r="E442" s="32" t="n">
        <v>2000</v>
      </c>
      <c r="F442" s="32" t="n">
        <v>1800</v>
      </c>
      <c r="G442" s="32" t="n">
        <v>200</v>
      </c>
      <c r="H442" s="33" t="n">
        <v>1</v>
      </c>
      <c r="I442" s="34" t="n">
        <f aca="false">E442*H442+N(F442)+N(G442)</f>
        <v>4000</v>
      </c>
      <c r="J442" s="32" t="n">
        <f aca="false">ROUND(IFERROR(ROUND(IF(OR(ISNUMBER(SEARCH("week",C442)),ISNUMBER(SEARCH("minggu",C442))),IFERROR(_xlfn.NUMBERVALUE(SUBSTITUTE(LEFT(TRIM(C442),FIND(" ",TRIM(C442)&amp;" ")-1),",","."),"."),LEFT(SUBSTITUTE(LEFT(TRIM(C442),FIND(" ",TRIM(C442)&amp;" ")-1),",","."),FIND("/",SUBSTITUTE(LEFT(TRIM(C442),FIND(" ",TRIM(C442)&amp;" ")-1),",","."))-1)/MID(SUBSTITUTE(LEFT(TRIM(C442),FIND(" ",TRIM(C442)&amp;" ")-1),",","."),FIND("/",SUBSTITUTE(LEFT(TRIM(C442),FIND(" ",TRIM(C442)&amp;" ")-1),",","."))+1,9))*12/52,IF(ISNUMBER(SEARCH("month",C442)),IFERROR(_xlfn.NUMBERVALUE(SUBSTITUTE(LEFT(TRIM(C442),FIND(" ",TRIM(C442)&amp;" ")-1),",","."),"."),LEFT(SUBSTITUTE(LEFT(TRIM(C442),FIND(" ",TRIM(C442)&amp;" ")-1),",","."),FIND("/",SUBSTITUTE(LEFT(TRIM(C442),FIND(" ",TRIM(C442)&amp;" ")-1),",","."))-1)/MID(SUBSTITUTE(LEFT(TRIM(C442),FIND(" ",TRIM(C442)&amp;" ")-1),",","."),FIND("/",SUBSTITUTE(LEFT(TRIM(C442),FIND(" ",TRIM(C442)&amp;" ")-1),",","."))+1,9)),IF(ISNUMBER(SEARCH("yea",C442)),IFERROR(_xlfn.NUMBERVALUE(SUBSTITUTE(LEFT(TRIM(C442),FIND(" ",TRIM(C442)&amp;" ")-1),",","."),"."),LEFT(SUBSTITUTE(LEFT(TRIM(C442),FIND(" ",TRIM(C442)&amp;" ")-1),",","."),FIND("/",SUBSTITUTE(LEFT(TRIM(C442),FIND(" ",TRIM(C442)&amp;" ")-1),",","."))-1)/MID(SUBSTITUTE(LEFT(TRIM(C442),FIND(" ",TRIM(C442)&amp;" ")-1),",","."),FIND("/",SUBSTITUTE(LEFT(TRIM(C442),FIND(" ",TRIM(C442)&amp;" ")-1),",","."))+1,9))*12,NA()))),0),36)*'Aturan &amp; Tarif'!$B$4,2)</f>
        <v>2044.08</v>
      </c>
      <c r="K442" s="32" t="n">
        <f aca="false">'Aturan &amp; Tarif'!$B$5</f>
        <v>2050</v>
      </c>
      <c r="L442" s="32" t="n">
        <f aca="false">'Aturan &amp; Tarif'!$B$6</f>
        <v>350</v>
      </c>
      <c r="M442" s="35" t="n">
        <f aca="false">I442+J442+K442+L442</f>
        <v>8444.08</v>
      </c>
      <c r="N442" s="37" t="s">
        <v>134</v>
      </c>
    </row>
    <row r="443" customFormat="false" ht="25.5" hidden="false" customHeight="true" outlineLevel="0" collapsed="false">
      <c r="A443" s="29"/>
      <c r="B443" s="30" t="s">
        <v>2068</v>
      </c>
      <c r="C443" s="31" t="s">
        <v>107</v>
      </c>
      <c r="D443" s="31" t="s">
        <v>108</v>
      </c>
      <c r="E443" s="32" t="n">
        <v>2200</v>
      </c>
      <c r="F443" s="32" t="n">
        <v>1200</v>
      </c>
      <c r="G443" s="32" t="n">
        <v>200</v>
      </c>
      <c r="H443" s="33" t="n">
        <v>1</v>
      </c>
      <c r="I443" s="34" t="n">
        <f aca="false">E443*H443+N(F443)+N(G443)</f>
        <v>3600</v>
      </c>
      <c r="J443" s="32" t="n">
        <f aca="false">ROUND(IFERROR(ROUND(IF(OR(ISNUMBER(SEARCH("week",C443)),ISNUMBER(SEARCH("minggu",C443))),IFERROR(_xlfn.NUMBERVALUE(SUBSTITUTE(LEFT(TRIM(C443),FIND(" ",TRIM(C443)&amp;" ")-1),",","."),"."),LEFT(SUBSTITUTE(LEFT(TRIM(C443),FIND(" ",TRIM(C443)&amp;" ")-1),",","."),FIND("/",SUBSTITUTE(LEFT(TRIM(C443),FIND(" ",TRIM(C443)&amp;" ")-1),",","."))-1)/MID(SUBSTITUTE(LEFT(TRIM(C443),FIND(" ",TRIM(C443)&amp;" ")-1),",","."),FIND("/",SUBSTITUTE(LEFT(TRIM(C443),FIND(" ",TRIM(C443)&amp;" ")-1),",","."))+1,9))*12/52,IF(ISNUMBER(SEARCH("month",C443)),IFERROR(_xlfn.NUMBERVALUE(SUBSTITUTE(LEFT(TRIM(C443),FIND(" ",TRIM(C443)&amp;" ")-1),",","."),"."),LEFT(SUBSTITUTE(LEFT(TRIM(C443),FIND(" ",TRIM(C443)&amp;" ")-1),",","."),FIND("/",SUBSTITUTE(LEFT(TRIM(C443),FIND(" ",TRIM(C443)&amp;" ")-1),",","."))-1)/MID(SUBSTITUTE(LEFT(TRIM(C443),FIND(" ",TRIM(C443)&amp;" ")-1),",","."),FIND("/",SUBSTITUTE(LEFT(TRIM(C443),FIND(" ",TRIM(C443)&amp;" ")-1),",","."))+1,9)),IF(ISNUMBER(SEARCH("yea",C443)),IFERROR(_xlfn.NUMBERVALUE(SUBSTITUTE(LEFT(TRIM(C443),FIND(" ",TRIM(C443)&amp;" ")-1),",","."),"."),LEFT(SUBSTITUTE(LEFT(TRIM(C443),FIND(" ",TRIM(C443)&amp;" ")-1),",","."),FIND("/",SUBSTITUTE(LEFT(TRIM(C443),FIND(" ",TRIM(C443)&amp;" ")-1),",","."))-1)/MID(SUBSTITUTE(LEFT(TRIM(C443),FIND(" ",TRIM(C443)&amp;" ")-1),",","."),FIND("/",SUBSTITUTE(LEFT(TRIM(C443),FIND(" ",TRIM(C443)&amp;" ")-1),",","."))+1,9))*12,NA()))),0),24)*'Aturan &amp; Tarif'!$B$4,2)</f>
        <v>1362.72</v>
      </c>
      <c r="K443" s="32" t="n">
        <f aca="false">'Aturan &amp; Tarif'!$B$5</f>
        <v>2050</v>
      </c>
      <c r="L443" s="32" t="n">
        <f aca="false">'Aturan &amp; Tarif'!$B$6</f>
        <v>350</v>
      </c>
      <c r="M443" s="35" t="n">
        <f aca="false">I443+J443+K443+L443</f>
        <v>7362.72</v>
      </c>
      <c r="N443" s="36" t="s">
        <v>131</v>
      </c>
    </row>
    <row r="444" customFormat="false" ht="60" hidden="false" customHeight="true" outlineLevel="0" collapsed="false">
      <c r="A444" s="29"/>
      <c r="B444" s="30" t="s">
        <v>2069</v>
      </c>
      <c r="C444" s="31" t="s">
        <v>138</v>
      </c>
      <c r="D444" s="31" t="s">
        <v>108</v>
      </c>
      <c r="E444" s="32" t="n">
        <v>2200</v>
      </c>
      <c r="F444" s="32" t="n">
        <v>1200</v>
      </c>
      <c r="G444" s="32" t="n">
        <v>200</v>
      </c>
      <c r="H444" s="33" t="n">
        <v>1</v>
      </c>
      <c r="I444" s="34" t="n">
        <f aca="false">E444*H444+N(F444)+N(G444)</f>
        <v>3600</v>
      </c>
      <c r="J444" s="32" t="n">
        <f aca="false">ROUND(IFERROR(ROUND(IF(OR(ISNUMBER(SEARCH("week",C444)),ISNUMBER(SEARCH("minggu",C444))),IFERROR(_xlfn.NUMBERVALUE(SUBSTITUTE(LEFT(TRIM(C444),FIND(" ",TRIM(C444)&amp;" ")-1),",","."),"."),LEFT(SUBSTITUTE(LEFT(TRIM(C444),FIND(" ",TRIM(C444)&amp;" ")-1),",","."),FIND("/",SUBSTITUTE(LEFT(TRIM(C444),FIND(" ",TRIM(C444)&amp;" ")-1),",","."))-1)/MID(SUBSTITUTE(LEFT(TRIM(C444),FIND(" ",TRIM(C444)&amp;" ")-1),",","."),FIND("/",SUBSTITUTE(LEFT(TRIM(C444),FIND(" ",TRIM(C444)&amp;" ")-1),",","."))+1,9))*12/52,IF(ISNUMBER(SEARCH("month",C444)),IFERROR(_xlfn.NUMBERVALUE(SUBSTITUTE(LEFT(TRIM(C444),FIND(" ",TRIM(C444)&amp;" ")-1),",","."),"."),LEFT(SUBSTITUTE(LEFT(TRIM(C444),FIND(" ",TRIM(C444)&amp;" ")-1),",","."),FIND("/",SUBSTITUTE(LEFT(TRIM(C444),FIND(" ",TRIM(C444)&amp;" ")-1),",","."))-1)/MID(SUBSTITUTE(LEFT(TRIM(C444),FIND(" ",TRIM(C444)&amp;" ")-1),",","."),FIND("/",SUBSTITUTE(LEFT(TRIM(C444),FIND(" ",TRIM(C444)&amp;" ")-1),",","."))+1,9)),IF(ISNUMBER(SEARCH("yea",C444)),IFERROR(_xlfn.NUMBERVALUE(SUBSTITUTE(LEFT(TRIM(C444),FIND(" ",TRIM(C444)&amp;" ")-1),",","."),"."),LEFT(SUBSTITUTE(LEFT(TRIM(C444),FIND(" ",TRIM(C444)&amp;" ")-1),",","."),FIND("/",SUBSTITUTE(LEFT(TRIM(C444),FIND(" ",TRIM(C444)&amp;" ")-1),",","."))-1)/MID(SUBSTITUTE(LEFT(TRIM(C444),FIND(" ",TRIM(C444)&amp;" ")-1),",","."),FIND("/",SUBSTITUTE(LEFT(TRIM(C444),FIND(" ",TRIM(C444)&amp;" ")-1),",","."))+1,9))*12,NA()))),0),30)*'Aturan &amp; Tarif'!$B$4,2)</f>
        <v>1703.4</v>
      </c>
      <c r="K444" s="32" t="n">
        <f aca="false">'Aturan &amp; Tarif'!$B$5</f>
        <v>2050</v>
      </c>
      <c r="L444" s="32" t="n">
        <f aca="false">'Aturan &amp; Tarif'!$B$6</f>
        <v>350</v>
      </c>
      <c r="M444" s="35" t="n">
        <f aca="false">I444+J444+K444+L444</f>
        <v>7703.4</v>
      </c>
      <c r="N444" s="36" t="s">
        <v>131</v>
      </c>
    </row>
    <row r="445" customFormat="false" ht="14.25" hidden="false" customHeight="true" outlineLevel="0" collapsed="false">
      <c r="A445" s="29"/>
      <c r="B445" s="30" t="s">
        <v>2070</v>
      </c>
      <c r="C445" s="31" t="s">
        <v>191</v>
      </c>
      <c r="D445" s="31" t="s">
        <v>108</v>
      </c>
      <c r="E445" s="32" t="n">
        <v>2500</v>
      </c>
      <c r="F445" s="32" t="n">
        <v>1500</v>
      </c>
      <c r="G445" s="32" t="n">
        <v>200</v>
      </c>
      <c r="H445" s="33" t="n">
        <v>1</v>
      </c>
      <c r="I445" s="34" t="n">
        <f aca="false">E445*H445+N(F445)+N(G445)</f>
        <v>4200</v>
      </c>
      <c r="J445" s="32" t="n">
        <f aca="false">ROUND(IFERROR(ROUND(IF(OR(ISNUMBER(SEARCH("week",C445)),ISNUMBER(SEARCH("minggu",C445))),IFERROR(_xlfn.NUMBERVALUE(SUBSTITUTE(LEFT(TRIM(C445),FIND(" ",TRIM(C445)&amp;" ")-1),",","."),"."),LEFT(SUBSTITUTE(LEFT(TRIM(C445),FIND(" ",TRIM(C445)&amp;" ")-1),",","."),FIND("/",SUBSTITUTE(LEFT(TRIM(C445),FIND(" ",TRIM(C445)&amp;" ")-1),",","."))-1)/MID(SUBSTITUTE(LEFT(TRIM(C445),FIND(" ",TRIM(C445)&amp;" ")-1),",","."),FIND("/",SUBSTITUTE(LEFT(TRIM(C445),FIND(" ",TRIM(C445)&amp;" ")-1),",","."))+1,9))*12/52,IF(ISNUMBER(SEARCH("month",C445)),IFERROR(_xlfn.NUMBERVALUE(SUBSTITUTE(LEFT(TRIM(C445),FIND(" ",TRIM(C445)&amp;" ")-1),",","."),"."),LEFT(SUBSTITUTE(LEFT(TRIM(C445),FIND(" ",TRIM(C445)&amp;" ")-1),",","."),FIND("/",SUBSTITUTE(LEFT(TRIM(C445),FIND(" ",TRIM(C445)&amp;" ")-1),",","."))-1)/MID(SUBSTITUTE(LEFT(TRIM(C445),FIND(" ",TRIM(C445)&amp;" ")-1),",","."),FIND("/",SUBSTITUTE(LEFT(TRIM(C445),FIND(" ",TRIM(C445)&amp;" ")-1),",","."))+1,9)),IF(ISNUMBER(SEARCH("yea",C445)),IFERROR(_xlfn.NUMBERVALUE(SUBSTITUTE(LEFT(TRIM(C445),FIND(" ",TRIM(C445)&amp;" ")-1),",","."),"."),LEFT(SUBSTITUTE(LEFT(TRIM(C445),FIND(" ",TRIM(C445)&amp;" ")-1),",","."),FIND("/",SUBSTITUTE(LEFT(TRIM(C445),FIND(" ",TRIM(C445)&amp;" ")-1),",","."))-1)/MID(SUBSTITUTE(LEFT(TRIM(C445),FIND(" ",TRIM(C445)&amp;" ")-1),",","."),FIND("/",SUBSTITUTE(LEFT(TRIM(C445),FIND(" ",TRIM(C445)&amp;" ")-1),",","."))+1,9))*12,NA()))),0),48)*'Aturan &amp; Tarif'!$B$4,2)</f>
        <v>2725.44</v>
      </c>
      <c r="K445" s="32" t="n">
        <f aca="false">'Aturan &amp; Tarif'!$B$5</f>
        <v>2050</v>
      </c>
      <c r="L445" s="32" t="n">
        <f aca="false">'Aturan &amp; Tarif'!$B$6</f>
        <v>350</v>
      </c>
      <c r="M445" s="35" t="n">
        <f aca="false">I445+J445+K445+L445</f>
        <v>9325.44</v>
      </c>
      <c r="N445" s="37" t="s">
        <v>134</v>
      </c>
    </row>
    <row r="446" customFormat="false" ht="14.25" hidden="false" customHeight="true" outlineLevel="0" collapsed="false">
      <c r="A446" s="29"/>
      <c r="B446" s="30" t="s">
        <v>2071</v>
      </c>
      <c r="C446" s="31" t="s">
        <v>191</v>
      </c>
      <c r="D446" s="31" t="s">
        <v>108</v>
      </c>
      <c r="E446" s="32" t="n">
        <v>2500</v>
      </c>
      <c r="F446" s="32" t="n">
        <v>1500</v>
      </c>
      <c r="G446" s="32" t="n">
        <v>200</v>
      </c>
      <c r="H446" s="33" t="n">
        <v>1</v>
      </c>
      <c r="I446" s="34" t="n">
        <f aca="false">E446*H446+N(F446)+N(G446)</f>
        <v>4200</v>
      </c>
      <c r="J446" s="32" t="n">
        <f aca="false">ROUND(IFERROR(ROUND(IF(OR(ISNUMBER(SEARCH("week",C446)),ISNUMBER(SEARCH("minggu",C446))),IFERROR(_xlfn.NUMBERVALUE(SUBSTITUTE(LEFT(TRIM(C446),FIND(" ",TRIM(C446)&amp;" ")-1),",","."),"."),LEFT(SUBSTITUTE(LEFT(TRIM(C446),FIND(" ",TRIM(C446)&amp;" ")-1),",","."),FIND("/",SUBSTITUTE(LEFT(TRIM(C446),FIND(" ",TRIM(C446)&amp;" ")-1),",","."))-1)/MID(SUBSTITUTE(LEFT(TRIM(C446),FIND(" ",TRIM(C446)&amp;" ")-1),",","."),FIND("/",SUBSTITUTE(LEFT(TRIM(C446),FIND(" ",TRIM(C446)&amp;" ")-1),",","."))+1,9))*12/52,IF(ISNUMBER(SEARCH("month",C446)),IFERROR(_xlfn.NUMBERVALUE(SUBSTITUTE(LEFT(TRIM(C446),FIND(" ",TRIM(C446)&amp;" ")-1),",","."),"."),LEFT(SUBSTITUTE(LEFT(TRIM(C446),FIND(" ",TRIM(C446)&amp;" ")-1),",","."),FIND("/",SUBSTITUTE(LEFT(TRIM(C446),FIND(" ",TRIM(C446)&amp;" ")-1),",","."))-1)/MID(SUBSTITUTE(LEFT(TRIM(C446),FIND(" ",TRIM(C446)&amp;" ")-1),",","."),FIND("/",SUBSTITUTE(LEFT(TRIM(C446),FIND(" ",TRIM(C446)&amp;" ")-1),",","."))+1,9)),IF(ISNUMBER(SEARCH("yea",C446)),IFERROR(_xlfn.NUMBERVALUE(SUBSTITUTE(LEFT(TRIM(C446),FIND(" ",TRIM(C446)&amp;" ")-1),",","."),"."),LEFT(SUBSTITUTE(LEFT(TRIM(C446),FIND(" ",TRIM(C446)&amp;" ")-1),",","."),FIND("/",SUBSTITUTE(LEFT(TRIM(C446),FIND(" ",TRIM(C446)&amp;" ")-1),",","."))-1)/MID(SUBSTITUTE(LEFT(TRIM(C446),FIND(" ",TRIM(C446)&amp;" ")-1),",","."),FIND("/",SUBSTITUTE(LEFT(TRIM(C446),FIND(" ",TRIM(C446)&amp;" ")-1),",","."))+1,9))*12,NA()))),0),48)*'Aturan &amp; Tarif'!$B$4,2)</f>
        <v>2725.44</v>
      </c>
      <c r="K446" s="32" t="n">
        <f aca="false">'Aturan &amp; Tarif'!$B$5</f>
        <v>2050</v>
      </c>
      <c r="L446" s="32" t="n">
        <f aca="false">'Aturan &amp; Tarif'!$B$6</f>
        <v>350</v>
      </c>
      <c r="M446" s="35" t="n">
        <f aca="false">I446+J446+K446+L446</f>
        <v>9325.44</v>
      </c>
      <c r="N446" s="37" t="s">
        <v>134</v>
      </c>
    </row>
    <row r="447" customFormat="false" ht="14.25" hidden="false" customHeight="true" outlineLevel="0" collapsed="false">
      <c r="A447" s="29"/>
      <c r="B447" s="30" t="s">
        <v>2072</v>
      </c>
      <c r="C447" s="31" t="s">
        <v>191</v>
      </c>
      <c r="D447" s="31" t="s">
        <v>108</v>
      </c>
      <c r="E447" s="32" t="n">
        <v>2500</v>
      </c>
      <c r="F447" s="32" t="n">
        <v>1500</v>
      </c>
      <c r="G447" s="32" t="n">
        <v>200</v>
      </c>
      <c r="H447" s="33" t="n">
        <v>1</v>
      </c>
      <c r="I447" s="34" t="n">
        <f aca="false">E447*H447+N(F447)+N(G447)</f>
        <v>4200</v>
      </c>
      <c r="J447" s="32" t="n">
        <f aca="false">ROUND(IFERROR(ROUND(IF(OR(ISNUMBER(SEARCH("week",C447)),ISNUMBER(SEARCH("minggu",C447))),IFERROR(_xlfn.NUMBERVALUE(SUBSTITUTE(LEFT(TRIM(C447),FIND(" ",TRIM(C447)&amp;" ")-1),",","."),"."),LEFT(SUBSTITUTE(LEFT(TRIM(C447),FIND(" ",TRIM(C447)&amp;" ")-1),",","."),FIND("/",SUBSTITUTE(LEFT(TRIM(C447),FIND(" ",TRIM(C447)&amp;" ")-1),",","."))-1)/MID(SUBSTITUTE(LEFT(TRIM(C447),FIND(" ",TRIM(C447)&amp;" ")-1),",","."),FIND("/",SUBSTITUTE(LEFT(TRIM(C447),FIND(" ",TRIM(C447)&amp;" ")-1),",","."))+1,9))*12/52,IF(ISNUMBER(SEARCH("month",C447)),IFERROR(_xlfn.NUMBERVALUE(SUBSTITUTE(LEFT(TRIM(C447),FIND(" ",TRIM(C447)&amp;" ")-1),",","."),"."),LEFT(SUBSTITUTE(LEFT(TRIM(C447),FIND(" ",TRIM(C447)&amp;" ")-1),",","."),FIND("/",SUBSTITUTE(LEFT(TRIM(C447),FIND(" ",TRIM(C447)&amp;" ")-1),",","."))-1)/MID(SUBSTITUTE(LEFT(TRIM(C447),FIND(" ",TRIM(C447)&amp;" ")-1),",","."),FIND("/",SUBSTITUTE(LEFT(TRIM(C447),FIND(" ",TRIM(C447)&amp;" ")-1),",","."))+1,9)),IF(ISNUMBER(SEARCH("yea",C447)),IFERROR(_xlfn.NUMBERVALUE(SUBSTITUTE(LEFT(TRIM(C447),FIND(" ",TRIM(C447)&amp;" ")-1),",","."),"."),LEFT(SUBSTITUTE(LEFT(TRIM(C447),FIND(" ",TRIM(C447)&amp;" ")-1),",","."),FIND("/",SUBSTITUTE(LEFT(TRIM(C447),FIND(" ",TRIM(C447)&amp;" ")-1),",","."))-1)/MID(SUBSTITUTE(LEFT(TRIM(C447),FIND(" ",TRIM(C447)&amp;" ")-1),",","."),FIND("/",SUBSTITUTE(LEFT(TRIM(C447),FIND(" ",TRIM(C447)&amp;" ")-1),",","."))+1,9))*12,NA()))),0),48)*'Aturan &amp; Tarif'!$B$4,2)</f>
        <v>2725.44</v>
      </c>
      <c r="K447" s="32" t="n">
        <f aca="false">'Aturan &amp; Tarif'!$B$5</f>
        <v>2050</v>
      </c>
      <c r="L447" s="32" t="n">
        <f aca="false">'Aturan &amp; Tarif'!$B$6</f>
        <v>350</v>
      </c>
      <c r="M447" s="35" t="n">
        <f aca="false">I447+J447+K447+L447</f>
        <v>9325.44</v>
      </c>
      <c r="N447" s="37" t="s">
        <v>134</v>
      </c>
    </row>
    <row r="448" customFormat="false" ht="14.25" hidden="false" customHeight="true" outlineLevel="0" collapsed="false">
      <c r="A448" s="39" t="s">
        <v>2073</v>
      </c>
      <c r="B448" s="40" t="s">
        <v>697</v>
      </c>
      <c r="C448" s="41" t="s">
        <v>107</v>
      </c>
      <c r="D448" s="41" t="s">
        <v>108</v>
      </c>
      <c r="E448" s="42" t="n">
        <v>1250</v>
      </c>
      <c r="F448" s="42" t="n">
        <v>120</v>
      </c>
      <c r="G448" s="42" t="n">
        <v>250</v>
      </c>
      <c r="H448" s="43" t="n">
        <v>2</v>
      </c>
      <c r="I448" s="34" t="n">
        <f aca="false">E448*H448+N(F448)+N(G448)</f>
        <v>2870</v>
      </c>
      <c r="J448" s="42" t="n">
        <f aca="false">ROUND(IFERROR(ROUND(IF(OR(ISNUMBER(SEARCH("week",C448)),ISNUMBER(SEARCH("minggu",C448))),IFERROR(_xlfn.NUMBERVALUE(SUBSTITUTE(LEFT(TRIM(C448),FIND(" ",TRIM(C448)&amp;" ")-1),",","."),"."),LEFT(SUBSTITUTE(LEFT(TRIM(C448),FIND(" ",TRIM(C448)&amp;" ")-1),",","."),FIND("/",SUBSTITUTE(LEFT(TRIM(C448),FIND(" ",TRIM(C448)&amp;" ")-1),",","."))-1)/MID(SUBSTITUTE(LEFT(TRIM(C448),FIND(" ",TRIM(C448)&amp;" ")-1),",","."),FIND("/",SUBSTITUTE(LEFT(TRIM(C448),FIND(" ",TRIM(C448)&amp;" ")-1),",","."))+1,9))*12/52,IF(ISNUMBER(SEARCH("month",C448)),IFERROR(_xlfn.NUMBERVALUE(SUBSTITUTE(LEFT(TRIM(C448),FIND(" ",TRIM(C448)&amp;" ")-1),",","."),"."),LEFT(SUBSTITUTE(LEFT(TRIM(C448),FIND(" ",TRIM(C448)&amp;" ")-1),",","."),FIND("/",SUBSTITUTE(LEFT(TRIM(C448),FIND(" ",TRIM(C448)&amp;" ")-1),",","."))-1)/MID(SUBSTITUTE(LEFT(TRIM(C448),FIND(" ",TRIM(C448)&amp;" ")-1),",","."),FIND("/",SUBSTITUTE(LEFT(TRIM(C448),FIND(" ",TRIM(C448)&amp;" ")-1),",","."))+1,9)),IF(ISNUMBER(SEARCH("yea",C448)),IFERROR(_xlfn.NUMBERVALUE(SUBSTITUTE(LEFT(TRIM(C448),FIND(" ",TRIM(C448)&amp;" ")-1),",","."),"."),LEFT(SUBSTITUTE(LEFT(TRIM(C448),FIND(" ",TRIM(C448)&amp;" ")-1),",","."),FIND("/",SUBSTITUTE(LEFT(TRIM(C448),FIND(" ",TRIM(C448)&amp;" ")-1),",","."))-1)/MID(SUBSTITUTE(LEFT(TRIM(C448),FIND(" ",TRIM(C448)&amp;" ")-1),",","."),FIND("/",SUBSTITUTE(LEFT(TRIM(C448),FIND(" ",TRIM(C448)&amp;" ")-1),",","."))+1,9))*12,NA()))),0),24)*'Aturan &amp; Tarif'!$B$4,2)</f>
        <v>1362.72</v>
      </c>
      <c r="K448" s="42" t="n">
        <f aca="false">'Aturan &amp; Tarif'!$B$5</f>
        <v>2050</v>
      </c>
      <c r="L448" s="42" t="n">
        <f aca="false">'Aturan &amp; Tarif'!$B$6</f>
        <v>350</v>
      </c>
      <c r="M448" s="35" t="n">
        <f aca="false">I448+J448+K448+L448</f>
        <v>6632.72</v>
      </c>
      <c r="N448" s="45" t="s">
        <v>698</v>
      </c>
    </row>
    <row r="449" customFormat="false" ht="37.5" hidden="false" customHeight="true" outlineLevel="0" collapsed="false">
      <c r="A449" s="39"/>
      <c r="B449" s="40" t="s">
        <v>2074</v>
      </c>
      <c r="C449" s="41" t="s">
        <v>136</v>
      </c>
      <c r="D449" s="41" t="s">
        <v>108</v>
      </c>
      <c r="E449" s="42" t="n">
        <v>1250</v>
      </c>
      <c r="F449" s="42" t="n">
        <v>120</v>
      </c>
      <c r="G449" s="42" t="n">
        <v>250</v>
      </c>
      <c r="H449" s="43" t="n">
        <v>2</v>
      </c>
      <c r="I449" s="34" t="n">
        <f aca="false">E449*H449+N(F449)+N(G449)</f>
        <v>2870</v>
      </c>
      <c r="J449" s="42" t="n">
        <f aca="false">ROUND(IFERROR(ROUND(IF(OR(ISNUMBER(SEARCH("week",C449)),ISNUMBER(SEARCH("minggu",C449))),IFERROR(_xlfn.NUMBERVALUE(SUBSTITUTE(LEFT(TRIM(C449),FIND(" ",TRIM(C449)&amp;" ")-1),",","."),"."),LEFT(SUBSTITUTE(LEFT(TRIM(C449),FIND(" ",TRIM(C449)&amp;" ")-1),",","."),FIND("/",SUBSTITUTE(LEFT(TRIM(C449),FIND(" ",TRIM(C449)&amp;" ")-1),",","."))-1)/MID(SUBSTITUTE(LEFT(TRIM(C449),FIND(" ",TRIM(C449)&amp;" ")-1),",","."),FIND("/",SUBSTITUTE(LEFT(TRIM(C449),FIND(" ",TRIM(C449)&amp;" ")-1),",","."))+1,9))*12/52,IF(ISNUMBER(SEARCH("month",C449)),IFERROR(_xlfn.NUMBERVALUE(SUBSTITUTE(LEFT(TRIM(C449),FIND(" ",TRIM(C449)&amp;" ")-1),",","."),"."),LEFT(SUBSTITUTE(LEFT(TRIM(C449),FIND(" ",TRIM(C449)&amp;" ")-1),",","."),FIND("/",SUBSTITUTE(LEFT(TRIM(C449),FIND(" ",TRIM(C449)&amp;" ")-1),",","."))-1)/MID(SUBSTITUTE(LEFT(TRIM(C449),FIND(" ",TRIM(C449)&amp;" ")-1),",","."),FIND("/",SUBSTITUTE(LEFT(TRIM(C449),FIND(" ",TRIM(C449)&amp;" ")-1),",","."))+1,9)),IF(ISNUMBER(SEARCH("yea",C449)),IFERROR(_xlfn.NUMBERVALUE(SUBSTITUTE(LEFT(TRIM(C449),FIND(" ",TRIM(C449)&amp;" ")-1),",","."),"."),LEFT(SUBSTITUTE(LEFT(TRIM(C449),FIND(" ",TRIM(C449)&amp;" ")-1),",","."),FIND("/",SUBSTITUTE(LEFT(TRIM(C449),FIND(" ",TRIM(C449)&amp;" ")-1),",","."))-1)/MID(SUBSTITUTE(LEFT(TRIM(C449),FIND(" ",TRIM(C449)&amp;" ")-1),",","."),FIND("/",SUBSTITUTE(LEFT(TRIM(C449),FIND(" ",TRIM(C449)&amp;" ")-1),",","."))+1,9))*12,NA()))),0),42)*'Aturan &amp; Tarif'!$B$4,2)</f>
        <v>2384.76</v>
      </c>
      <c r="K449" s="42" t="n">
        <f aca="false">'Aturan &amp; Tarif'!$B$5</f>
        <v>2050</v>
      </c>
      <c r="L449" s="42" t="n">
        <f aca="false">'Aturan &amp; Tarif'!$B$6</f>
        <v>350</v>
      </c>
      <c r="M449" s="35" t="n">
        <f aca="false">I449+J449+K449+L449</f>
        <v>7654.76</v>
      </c>
      <c r="N449" s="44" t="s">
        <v>700</v>
      </c>
    </row>
    <row r="450" customFormat="false" ht="25.5" hidden="false" customHeight="true" outlineLevel="0" collapsed="false">
      <c r="A450" s="39"/>
      <c r="B450" s="40" t="s">
        <v>701</v>
      </c>
      <c r="C450" s="41" t="s">
        <v>107</v>
      </c>
      <c r="D450" s="41" t="s">
        <v>108</v>
      </c>
      <c r="E450" s="42" t="n">
        <v>1250</v>
      </c>
      <c r="F450" s="42" t="n">
        <v>120</v>
      </c>
      <c r="G450" s="42" t="n">
        <v>250</v>
      </c>
      <c r="H450" s="43" t="n">
        <v>2</v>
      </c>
      <c r="I450" s="34" t="n">
        <f aca="false">E450*H450+N(F450)+N(G450)</f>
        <v>2870</v>
      </c>
      <c r="J450" s="42" t="n">
        <f aca="false">ROUND(IFERROR(ROUND(IF(OR(ISNUMBER(SEARCH("week",C450)),ISNUMBER(SEARCH("minggu",C450))),IFERROR(_xlfn.NUMBERVALUE(SUBSTITUTE(LEFT(TRIM(C450),FIND(" ",TRIM(C450)&amp;" ")-1),",","."),"."),LEFT(SUBSTITUTE(LEFT(TRIM(C450),FIND(" ",TRIM(C450)&amp;" ")-1),",","."),FIND("/",SUBSTITUTE(LEFT(TRIM(C450),FIND(" ",TRIM(C450)&amp;" ")-1),",","."))-1)/MID(SUBSTITUTE(LEFT(TRIM(C450),FIND(" ",TRIM(C450)&amp;" ")-1),",","."),FIND("/",SUBSTITUTE(LEFT(TRIM(C450),FIND(" ",TRIM(C450)&amp;" ")-1),",","."))+1,9))*12/52,IF(ISNUMBER(SEARCH("month",C450)),IFERROR(_xlfn.NUMBERVALUE(SUBSTITUTE(LEFT(TRIM(C450),FIND(" ",TRIM(C450)&amp;" ")-1),",","."),"."),LEFT(SUBSTITUTE(LEFT(TRIM(C450),FIND(" ",TRIM(C450)&amp;" ")-1),",","."),FIND("/",SUBSTITUTE(LEFT(TRIM(C450),FIND(" ",TRIM(C450)&amp;" ")-1),",","."))-1)/MID(SUBSTITUTE(LEFT(TRIM(C450),FIND(" ",TRIM(C450)&amp;" ")-1),",","."),FIND("/",SUBSTITUTE(LEFT(TRIM(C450),FIND(" ",TRIM(C450)&amp;" ")-1),",","."))+1,9)),IF(ISNUMBER(SEARCH("yea",C450)),IFERROR(_xlfn.NUMBERVALUE(SUBSTITUTE(LEFT(TRIM(C450),FIND(" ",TRIM(C450)&amp;" ")-1),",","."),"."),LEFT(SUBSTITUTE(LEFT(TRIM(C450),FIND(" ",TRIM(C450)&amp;" ")-1),",","."),FIND("/",SUBSTITUTE(LEFT(TRIM(C450),FIND(" ",TRIM(C450)&amp;" ")-1),",","."))-1)/MID(SUBSTITUTE(LEFT(TRIM(C450),FIND(" ",TRIM(C450)&amp;" ")-1),",","."),FIND("/",SUBSTITUTE(LEFT(TRIM(C450),FIND(" ",TRIM(C450)&amp;" ")-1),",","."))+1,9))*12,NA()))),0),24)*'Aturan &amp; Tarif'!$B$4,2)</f>
        <v>1362.72</v>
      </c>
      <c r="K450" s="42" t="n">
        <f aca="false">'Aturan &amp; Tarif'!$B$5</f>
        <v>2050</v>
      </c>
      <c r="L450" s="42" t="n">
        <f aca="false">'Aturan &amp; Tarif'!$B$6</f>
        <v>350</v>
      </c>
      <c r="M450" s="35" t="n">
        <f aca="false">I450+J450+K450+L450</f>
        <v>6632.72</v>
      </c>
      <c r="N450" s="45" t="s">
        <v>702</v>
      </c>
    </row>
    <row r="451" customFormat="false" ht="37.5" hidden="false" customHeight="true" outlineLevel="0" collapsed="false">
      <c r="A451" s="39"/>
      <c r="B451" s="40" t="s">
        <v>2075</v>
      </c>
      <c r="C451" s="41" t="s">
        <v>136</v>
      </c>
      <c r="D451" s="41" t="s">
        <v>108</v>
      </c>
      <c r="E451" s="42" t="n">
        <v>1250</v>
      </c>
      <c r="F451" s="42" t="n">
        <v>120</v>
      </c>
      <c r="G451" s="42" t="n">
        <v>250</v>
      </c>
      <c r="H451" s="43" t="n">
        <v>2</v>
      </c>
      <c r="I451" s="34" t="n">
        <f aca="false">E451*H451+N(F451)+N(G451)</f>
        <v>2870</v>
      </c>
      <c r="J451" s="42" t="n">
        <f aca="false">ROUND(IFERROR(ROUND(IF(OR(ISNUMBER(SEARCH("week",C451)),ISNUMBER(SEARCH("minggu",C451))),IFERROR(_xlfn.NUMBERVALUE(SUBSTITUTE(LEFT(TRIM(C451),FIND(" ",TRIM(C451)&amp;" ")-1),",","."),"."),LEFT(SUBSTITUTE(LEFT(TRIM(C451),FIND(" ",TRIM(C451)&amp;" ")-1),",","."),FIND("/",SUBSTITUTE(LEFT(TRIM(C451),FIND(" ",TRIM(C451)&amp;" ")-1),",","."))-1)/MID(SUBSTITUTE(LEFT(TRIM(C451),FIND(" ",TRIM(C451)&amp;" ")-1),",","."),FIND("/",SUBSTITUTE(LEFT(TRIM(C451),FIND(" ",TRIM(C451)&amp;" ")-1),",","."))+1,9))*12/52,IF(ISNUMBER(SEARCH("month",C451)),IFERROR(_xlfn.NUMBERVALUE(SUBSTITUTE(LEFT(TRIM(C451),FIND(" ",TRIM(C451)&amp;" ")-1),",","."),"."),LEFT(SUBSTITUTE(LEFT(TRIM(C451),FIND(" ",TRIM(C451)&amp;" ")-1),",","."),FIND("/",SUBSTITUTE(LEFT(TRIM(C451),FIND(" ",TRIM(C451)&amp;" ")-1),",","."))-1)/MID(SUBSTITUTE(LEFT(TRIM(C451),FIND(" ",TRIM(C451)&amp;" ")-1),",","."),FIND("/",SUBSTITUTE(LEFT(TRIM(C451),FIND(" ",TRIM(C451)&amp;" ")-1),",","."))+1,9)),IF(ISNUMBER(SEARCH("yea",C451)),IFERROR(_xlfn.NUMBERVALUE(SUBSTITUTE(LEFT(TRIM(C451),FIND(" ",TRIM(C451)&amp;" ")-1),",","."),"."),LEFT(SUBSTITUTE(LEFT(TRIM(C451),FIND(" ",TRIM(C451)&amp;" ")-1),",","."),FIND("/",SUBSTITUTE(LEFT(TRIM(C451),FIND(" ",TRIM(C451)&amp;" ")-1),",","."))-1)/MID(SUBSTITUTE(LEFT(TRIM(C451),FIND(" ",TRIM(C451)&amp;" ")-1),",","."),FIND("/",SUBSTITUTE(LEFT(TRIM(C451),FIND(" ",TRIM(C451)&amp;" ")-1),",","."))+1,9))*12,NA()))),0),42)*'Aturan &amp; Tarif'!$B$4,2)</f>
        <v>2384.76</v>
      </c>
      <c r="K451" s="42" t="n">
        <f aca="false">'Aturan &amp; Tarif'!$B$5</f>
        <v>2050</v>
      </c>
      <c r="L451" s="42" t="n">
        <f aca="false">'Aturan &amp; Tarif'!$B$6</f>
        <v>350</v>
      </c>
      <c r="M451" s="35" t="n">
        <f aca="false">I451+J451+K451+L451</f>
        <v>7654.76</v>
      </c>
      <c r="N451" s="44" t="s">
        <v>704</v>
      </c>
    </row>
    <row r="452" customFormat="false" ht="25.5" hidden="false" customHeight="true" outlineLevel="0" collapsed="false">
      <c r="A452" s="39"/>
      <c r="B452" s="40" t="s">
        <v>705</v>
      </c>
      <c r="C452" s="41" t="s">
        <v>706</v>
      </c>
      <c r="D452" s="41" t="s">
        <v>108</v>
      </c>
      <c r="E452" s="42" t="n">
        <v>1250</v>
      </c>
      <c r="F452" s="42" t="n">
        <v>120</v>
      </c>
      <c r="G452" s="42" t="n">
        <v>260</v>
      </c>
      <c r="H452" s="43" t="n">
        <v>2</v>
      </c>
      <c r="I452" s="34" t="n">
        <f aca="false">E452*H452+N(F452)+N(G452)</f>
        <v>2880</v>
      </c>
      <c r="J452" s="42" t="n">
        <f aca="false">ROUND(IFERROR(ROUND(IF(OR(ISNUMBER(SEARCH("week",C452)),ISNUMBER(SEARCH("minggu",C452))),IFERROR(_xlfn.NUMBERVALUE(SUBSTITUTE(LEFT(TRIM(C452),FIND(" ",TRIM(C452)&amp;" ")-1),",","."),"."),LEFT(SUBSTITUTE(LEFT(TRIM(C452),FIND(" ",TRIM(C452)&amp;" ")-1),",","."),FIND("/",SUBSTITUTE(LEFT(TRIM(C452),FIND(" ",TRIM(C452)&amp;" ")-1),",","."))-1)/MID(SUBSTITUTE(LEFT(TRIM(C452),FIND(" ",TRIM(C452)&amp;" ")-1),",","."),FIND("/",SUBSTITUTE(LEFT(TRIM(C452),FIND(" ",TRIM(C452)&amp;" ")-1),",","."))+1,9))*12/52,IF(ISNUMBER(SEARCH("month",C452)),IFERROR(_xlfn.NUMBERVALUE(SUBSTITUTE(LEFT(TRIM(C452),FIND(" ",TRIM(C452)&amp;" ")-1),",","."),"."),LEFT(SUBSTITUTE(LEFT(TRIM(C452),FIND(" ",TRIM(C452)&amp;" ")-1),",","."),FIND("/",SUBSTITUTE(LEFT(TRIM(C452),FIND(" ",TRIM(C452)&amp;" ")-1),",","."))-1)/MID(SUBSTITUTE(LEFT(TRIM(C452),FIND(" ",TRIM(C452)&amp;" ")-1),",","."),FIND("/",SUBSTITUTE(LEFT(TRIM(C452),FIND(" ",TRIM(C452)&amp;" ")-1),",","."))+1,9)),IF(ISNUMBER(SEARCH("yea",C452)),IFERROR(_xlfn.NUMBERVALUE(SUBSTITUTE(LEFT(TRIM(C452),FIND(" ",TRIM(C452)&amp;" ")-1),",","."),"."),LEFT(SUBSTITUTE(LEFT(TRIM(C452),FIND(" ",TRIM(C452)&amp;" ")-1),",","."),FIND("/",SUBSTITUTE(LEFT(TRIM(C452),FIND(" ",TRIM(C452)&amp;" ")-1),",","."))-1)/MID(SUBSTITUTE(LEFT(TRIM(C452),FIND(" ",TRIM(C452)&amp;" ")-1),",","."),FIND("/",SUBSTITUTE(LEFT(TRIM(C452),FIND(" ",TRIM(C452)&amp;" ")-1),",","."))+1,9))*12,NA()))),0),22)*'Aturan &amp; Tarif'!$B$4,2)</f>
        <v>1249.16</v>
      </c>
      <c r="K452" s="42" t="n">
        <f aca="false">'Aturan &amp; Tarif'!$B$5</f>
        <v>2050</v>
      </c>
      <c r="L452" s="42" t="n">
        <f aca="false">'Aturan &amp; Tarif'!$B$6</f>
        <v>350</v>
      </c>
      <c r="M452" s="35" t="n">
        <f aca="false">I452+J452+K452+L452</f>
        <v>6529.16</v>
      </c>
      <c r="N452" s="45" t="s">
        <v>707</v>
      </c>
    </row>
    <row r="453" customFormat="false" ht="25.5" hidden="false" customHeight="true" outlineLevel="0" collapsed="false">
      <c r="A453" s="39"/>
      <c r="B453" s="40" t="s">
        <v>2076</v>
      </c>
      <c r="C453" s="41" t="s">
        <v>709</v>
      </c>
      <c r="D453" s="41" t="s">
        <v>108</v>
      </c>
      <c r="E453" s="42" t="n">
        <v>1250</v>
      </c>
      <c r="F453" s="42" t="n">
        <v>120</v>
      </c>
      <c r="G453" s="42" t="n">
        <v>260</v>
      </c>
      <c r="H453" s="43" t="n">
        <v>2</v>
      </c>
      <c r="I453" s="34" t="n">
        <f aca="false">E453*H453+N(F453)+N(G453)</f>
        <v>2880</v>
      </c>
      <c r="J453" s="42" t="n">
        <f aca="false">ROUND(IFERROR(ROUND(IF(OR(ISNUMBER(SEARCH("week",C453)),ISNUMBER(SEARCH("minggu",C453))),IFERROR(_xlfn.NUMBERVALUE(SUBSTITUTE(LEFT(TRIM(C453),FIND(" ",TRIM(C453)&amp;" ")-1),",","."),"."),LEFT(SUBSTITUTE(LEFT(TRIM(C453),FIND(" ",TRIM(C453)&amp;" ")-1),",","."),FIND("/",SUBSTITUTE(LEFT(TRIM(C453),FIND(" ",TRIM(C453)&amp;" ")-1),",","."))-1)/MID(SUBSTITUTE(LEFT(TRIM(C453),FIND(" ",TRIM(C453)&amp;" ")-1),",","."),FIND("/",SUBSTITUTE(LEFT(TRIM(C453),FIND(" ",TRIM(C453)&amp;" ")-1),",","."))+1,9))*12/52,IF(ISNUMBER(SEARCH("month",C453)),IFERROR(_xlfn.NUMBERVALUE(SUBSTITUTE(LEFT(TRIM(C453),FIND(" ",TRIM(C453)&amp;" ")-1),",","."),"."),LEFT(SUBSTITUTE(LEFT(TRIM(C453),FIND(" ",TRIM(C453)&amp;" ")-1),",","."),FIND("/",SUBSTITUTE(LEFT(TRIM(C453),FIND(" ",TRIM(C453)&amp;" ")-1),",","."))-1)/MID(SUBSTITUTE(LEFT(TRIM(C453),FIND(" ",TRIM(C453)&amp;" ")-1),",","."),FIND("/",SUBSTITUTE(LEFT(TRIM(C453),FIND(" ",TRIM(C453)&amp;" ")-1),",","."))+1,9)),IF(ISNUMBER(SEARCH("yea",C453)),IFERROR(_xlfn.NUMBERVALUE(SUBSTITUTE(LEFT(TRIM(C453),FIND(" ",TRIM(C453)&amp;" ")-1),",","."),"."),LEFT(SUBSTITUTE(LEFT(TRIM(C453),FIND(" ",TRIM(C453)&amp;" ")-1),",","."),FIND("/",SUBSTITUTE(LEFT(TRIM(C453),FIND(" ",TRIM(C453)&amp;" ")-1),",","."))-1)/MID(SUBSTITUTE(LEFT(TRIM(C453),FIND(" ",TRIM(C453)&amp;" ")-1),",","."),FIND("/",SUBSTITUTE(LEFT(TRIM(C453),FIND(" ",TRIM(C453)&amp;" ")-1),",","."))+1,9))*12,NA()))),0),40)*'Aturan &amp; Tarif'!$B$4,2)</f>
        <v>2271.2</v>
      </c>
      <c r="K453" s="42" t="n">
        <f aca="false">'Aturan &amp; Tarif'!$B$5</f>
        <v>2050</v>
      </c>
      <c r="L453" s="42" t="n">
        <f aca="false">'Aturan &amp; Tarif'!$B$6</f>
        <v>350</v>
      </c>
      <c r="M453" s="35" t="n">
        <f aca="false">I453+J453+K453+L453</f>
        <v>7551.2</v>
      </c>
      <c r="N453" s="44" t="s">
        <v>710</v>
      </c>
    </row>
    <row r="454" customFormat="false" ht="25.5" hidden="false" customHeight="true" outlineLevel="0" collapsed="false">
      <c r="A454" s="39"/>
      <c r="B454" s="40" t="s">
        <v>496</v>
      </c>
      <c r="C454" s="41" t="s">
        <v>706</v>
      </c>
      <c r="D454" s="41" t="s">
        <v>108</v>
      </c>
      <c r="E454" s="42" t="n">
        <v>1250</v>
      </c>
      <c r="F454" s="42" t="n">
        <v>120</v>
      </c>
      <c r="G454" s="42" t="n">
        <v>260</v>
      </c>
      <c r="H454" s="43" t="n">
        <v>2</v>
      </c>
      <c r="I454" s="34" t="n">
        <f aca="false">E454*H454+N(F454)+N(G454)</f>
        <v>2880</v>
      </c>
      <c r="J454" s="42" t="n">
        <f aca="false">ROUND(IFERROR(ROUND(IF(OR(ISNUMBER(SEARCH("week",C454)),ISNUMBER(SEARCH("minggu",C454))),IFERROR(_xlfn.NUMBERVALUE(SUBSTITUTE(LEFT(TRIM(C454),FIND(" ",TRIM(C454)&amp;" ")-1),",","."),"."),LEFT(SUBSTITUTE(LEFT(TRIM(C454),FIND(" ",TRIM(C454)&amp;" ")-1),",","."),FIND("/",SUBSTITUTE(LEFT(TRIM(C454),FIND(" ",TRIM(C454)&amp;" ")-1),",","."))-1)/MID(SUBSTITUTE(LEFT(TRIM(C454),FIND(" ",TRIM(C454)&amp;" ")-1),",","."),FIND("/",SUBSTITUTE(LEFT(TRIM(C454),FIND(" ",TRIM(C454)&amp;" ")-1),",","."))+1,9))*12/52,IF(ISNUMBER(SEARCH("month",C454)),IFERROR(_xlfn.NUMBERVALUE(SUBSTITUTE(LEFT(TRIM(C454),FIND(" ",TRIM(C454)&amp;" ")-1),",","."),"."),LEFT(SUBSTITUTE(LEFT(TRIM(C454),FIND(" ",TRIM(C454)&amp;" ")-1),",","."),FIND("/",SUBSTITUTE(LEFT(TRIM(C454),FIND(" ",TRIM(C454)&amp;" ")-1),",","."))-1)/MID(SUBSTITUTE(LEFT(TRIM(C454),FIND(" ",TRIM(C454)&amp;" ")-1),",","."),FIND("/",SUBSTITUTE(LEFT(TRIM(C454),FIND(" ",TRIM(C454)&amp;" ")-1),",","."))+1,9)),IF(ISNUMBER(SEARCH("yea",C454)),IFERROR(_xlfn.NUMBERVALUE(SUBSTITUTE(LEFT(TRIM(C454),FIND(" ",TRIM(C454)&amp;" ")-1),",","."),"."),LEFT(SUBSTITUTE(LEFT(TRIM(C454),FIND(" ",TRIM(C454)&amp;" ")-1),",","."),FIND("/",SUBSTITUTE(LEFT(TRIM(C454),FIND(" ",TRIM(C454)&amp;" ")-1),",","."))-1)/MID(SUBSTITUTE(LEFT(TRIM(C454),FIND(" ",TRIM(C454)&amp;" ")-1),",","."),FIND("/",SUBSTITUTE(LEFT(TRIM(C454),FIND(" ",TRIM(C454)&amp;" ")-1),",","."))+1,9))*12,NA()))),0),22)*'Aturan &amp; Tarif'!$B$4,2)</f>
        <v>1249.16</v>
      </c>
      <c r="K454" s="42" t="n">
        <f aca="false">'Aturan &amp; Tarif'!$B$5</f>
        <v>2050</v>
      </c>
      <c r="L454" s="42" t="n">
        <f aca="false">'Aturan &amp; Tarif'!$B$6</f>
        <v>350</v>
      </c>
      <c r="M454" s="35" t="n">
        <f aca="false">I454+J454+K454+L454</f>
        <v>6529.16</v>
      </c>
      <c r="N454" s="45" t="s">
        <v>707</v>
      </c>
    </row>
    <row r="455" customFormat="false" ht="37.5" hidden="false" customHeight="true" outlineLevel="0" collapsed="false">
      <c r="A455" s="39"/>
      <c r="B455" s="40" t="s">
        <v>2077</v>
      </c>
      <c r="C455" s="41" t="s">
        <v>709</v>
      </c>
      <c r="D455" s="41" t="s">
        <v>108</v>
      </c>
      <c r="E455" s="42" t="n">
        <v>1250</v>
      </c>
      <c r="F455" s="42" t="n">
        <v>120</v>
      </c>
      <c r="G455" s="42" t="n">
        <v>260</v>
      </c>
      <c r="H455" s="43" t="n">
        <v>2</v>
      </c>
      <c r="I455" s="34" t="n">
        <f aca="false">E455*H455+N(F455)+N(G455)</f>
        <v>2880</v>
      </c>
      <c r="J455" s="42" t="n">
        <f aca="false">ROUND(IFERROR(ROUND(IF(OR(ISNUMBER(SEARCH("week",C455)),ISNUMBER(SEARCH("minggu",C455))),IFERROR(_xlfn.NUMBERVALUE(SUBSTITUTE(LEFT(TRIM(C455),FIND(" ",TRIM(C455)&amp;" ")-1),",","."),"."),LEFT(SUBSTITUTE(LEFT(TRIM(C455),FIND(" ",TRIM(C455)&amp;" ")-1),",","."),FIND("/",SUBSTITUTE(LEFT(TRIM(C455),FIND(" ",TRIM(C455)&amp;" ")-1),",","."))-1)/MID(SUBSTITUTE(LEFT(TRIM(C455),FIND(" ",TRIM(C455)&amp;" ")-1),",","."),FIND("/",SUBSTITUTE(LEFT(TRIM(C455),FIND(" ",TRIM(C455)&amp;" ")-1),",","."))+1,9))*12/52,IF(ISNUMBER(SEARCH("month",C455)),IFERROR(_xlfn.NUMBERVALUE(SUBSTITUTE(LEFT(TRIM(C455),FIND(" ",TRIM(C455)&amp;" ")-1),",","."),"."),LEFT(SUBSTITUTE(LEFT(TRIM(C455),FIND(" ",TRIM(C455)&amp;" ")-1),",","."),FIND("/",SUBSTITUTE(LEFT(TRIM(C455),FIND(" ",TRIM(C455)&amp;" ")-1),",","."))-1)/MID(SUBSTITUTE(LEFT(TRIM(C455),FIND(" ",TRIM(C455)&amp;" ")-1),",","."),FIND("/",SUBSTITUTE(LEFT(TRIM(C455),FIND(" ",TRIM(C455)&amp;" ")-1),",","."))+1,9)),IF(ISNUMBER(SEARCH("yea",C455)),IFERROR(_xlfn.NUMBERVALUE(SUBSTITUTE(LEFT(TRIM(C455),FIND(" ",TRIM(C455)&amp;" ")-1),",","."),"."),LEFT(SUBSTITUTE(LEFT(TRIM(C455),FIND(" ",TRIM(C455)&amp;" ")-1),",","."),FIND("/",SUBSTITUTE(LEFT(TRIM(C455),FIND(" ",TRIM(C455)&amp;" ")-1),",","."))-1)/MID(SUBSTITUTE(LEFT(TRIM(C455),FIND(" ",TRIM(C455)&amp;" ")-1),",","."),FIND("/",SUBSTITUTE(LEFT(TRIM(C455),FIND(" ",TRIM(C455)&amp;" ")-1),",","."))+1,9))*12,NA()))),0),40)*'Aturan &amp; Tarif'!$B$4,2)</f>
        <v>2271.2</v>
      </c>
      <c r="K455" s="42" t="n">
        <f aca="false">'Aturan &amp; Tarif'!$B$5</f>
        <v>2050</v>
      </c>
      <c r="L455" s="42" t="n">
        <f aca="false">'Aturan &amp; Tarif'!$B$6</f>
        <v>350</v>
      </c>
      <c r="M455" s="35" t="n">
        <f aca="false">I455+J455+K455+L455</f>
        <v>7551.2</v>
      </c>
      <c r="N455" s="44" t="s">
        <v>1629</v>
      </c>
    </row>
    <row r="456" customFormat="false" ht="37.5" hidden="false" customHeight="true" outlineLevel="0" collapsed="false">
      <c r="A456" s="39"/>
      <c r="B456" s="40" t="s">
        <v>2078</v>
      </c>
      <c r="C456" s="41" t="s">
        <v>127</v>
      </c>
      <c r="D456" s="41" t="s">
        <v>108</v>
      </c>
      <c r="E456" s="42" t="n">
        <v>1250</v>
      </c>
      <c r="F456" s="42" t="n">
        <v>200</v>
      </c>
      <c r="G456" s="42" t="n">
        <v>260</v>
      </c>
      <c r="H456" s="43" t="n">
        <v>2</v>
      </c>
      <c r="I456" s="34" t="n">
        <f aca="false">E456*H456+N(F456)+N(G456)</f>
        <v>2960</v>
      </c>
      <c r="J456" s="42" t="n">
        <f aca="false">ROUND(IFERROR(ROUND(IF(OR(ISNUMBER(SEARCH("week",C456)),ISNUMBER(SEARCH("minggu",C456))),IFERROR(_xlfn.NUMBERVALUE(SUBSTITUTE(LEFT(TRIM(C456),FIND(" ",TRIM(C456)&amp;" ")-1),",","."),"."),LEFT(SUBSTITUTE(LEFT(TRIM(C456),FIND(" ",TRIM(C456)&amp;" ")-1),",","."),FIND("/",SUBSTITUTE(LEFT(TRIM(C456),FIND(" ",TRIM(C456)&amp;" ")-1),",","."))-1)/MID(SUBSTITUTE(LEFT(TRIM(C456),FIND(" ",TRIM(C456)&amp;" ")-1),",","."),FIND("/",SUBSTITUTE(LEFT(TRIM(C456),FIND(" ",TRIM(C456)&amp;" ")-1),",","."))+1,9))*12/52,IF(ISNUMBER(SEARCH("month",C456)),IFERROR(_xlfn.NUMBERVALUE(SUBSTITUTE(LEFT(TRIM(C456),FIND(" ",TRIM(C456)&amp;" ")-1),",","."),"."),LEFT(SUBSTITUTE(LEFT(TRIM(C456),FIND(" ",TRIM(C456)&amp;" ")-1),",","."),FIND("/",SUBSTITUTE(LEFT(TRIM(C456),FIND(" ",TRIM(C456)&amp;" ")-1),",","."))-1)/MID(SUBSTITUTE(LEFT(TRIM(C456),FIND(" ",TRIM(C456)&amp;" ")-1),",","."),FIND("/",SUBSTITUTE(LEFT(TRIM(C456),FIND(" ",TRIM(C456)&amp;" ")-1),",","."))+1,9)),IF(ISNUMBER(SEARCH("yea",C456)),IFERROR(_xlfn.NUMBERVALUE(SUBSTITUTE(LEFT(TRIM(C456),FIND(" ",TRIM(C456)&amp;" ")-1),",","."),"."),LEFT(SUBSTITUTE(LEFT(TRIM(C456),FIND(" ",TRIM(C456)&amp;" ")-1),",","."),FIND("/",SUBSTITUTE(LEFT(TRIM(C456),FIND(" ",TRIM(C456)&amp;" ")-1),",","."))-1)/MID(SUBSTITUTE(LEFT(TRIM(C456),FIND(" ",TRIM(C456)&amp;" ")-1),",","."),FIND("/",SUBSTITUTE(LEFT(TRIM(C456),FIND(" ",TRIM(C456)&amp;" ")-1),",","."))+1,9))*12,NA()))),0),36)*'Aturan &amp; Tarif'!$B$4,2)</f>
        <v>2044.08</v>
      </c>
      <c r="K456" s="42" t="n">
        <f aca="false">'Aturan &amp; Tarif'!$B$5</f>
        <v>2050</v>
      </c>
      <c r="L456" s="42" t="n">
        <f aca="false">'Aturan &amp; Tarif'!$B$6</f>
        <v>350</v>
      </c>
      <c r="M456" s="35" t="n">
        <f aca="false">I456+J456+K456+L456</f>
        <v>7404.08</v>
      </c>
      <c r="N456" s="44" t="s">
        <v>2079</v>
      </c>
    </row>
    <row r="457" customFormat="false" ht="25.5" hidden="false" customHeight="true" outlineLevel="0" collapsed="false">
      <c r="A457" s="39"/>
      <c r="B457" s="40" t="s">
        <v>948</v>
      </c>
      <c r="C457" s="41" t="s">
        <v>107</v>
      </c>
      <c r="D457" s="41" t="s">
        <v>108</v>
      </c>
      <c r="E457" s="42" t="n">
        <v>1250</v>
      </c>
      <c r="F457" s="42" t="n">
        <v>240</v>
      </c>
      <c r="G457" s="42" t="n">
        <v>260</v>
      </c>
      <c r="H457" s="43" t="n">
        <v>2</v>
      </c>
      <c r="I457" s="34" t="n">
        <f aca="false">E457*H457+N(F457)+N(G457)</f>
        <v>3000</v>
      </c>
      <c r="J457" s="42" t="n">
        <f aca="false">ROUND(IFERROR(ROUND(IF(OR(ISNUMBER(SEARCH("week",C457)),ISNUMBER(SEARCH("minggu",C457))),IFERROR(_xlfn.NUMBERVALUE(SUBSTITUTE(LEFT(TRIM(C457),FIND(" ",TRIM(C457)&amp;" ")-1),",","."),"."),LEFT(SUBSTITUTE(LEFT(TRIM(C457),FIND(" ",TRIM(C457)&amp;" ")-1),",","."),FIND("/",SUBSTITUTE(LEFT(TRIM(C457),FIND(" ",TRIM(C457)&amp;" ")-1),",","."))-1)/MID(SUBSTITUTE(LEFT(TRIM(C457),FIND(" ",TRIM(C457)&amp;" ")-1),",","."),FIND("/",SUBSTITUTE(LEFT(TRIM(C457),FIND(" ",TRIM(C457)&amp;" ")-1),",","."))+1,9))*12/52,IF(ISNUMBER(SEARCH("month",C457)),IFERROR(_xlfn.NUMBERVALUE(SUBSTITUTE(LEFT(TRIM(C457),FIND(" ",TRIM(C457)&amp;" ")-1),",","."),"."),LEFT(SUBSTITUTE(LEFT(TRIM(C457),FIND(" ",TRIM(C457)&amp;" ")-1),",","."),FIND("/",SUBSTITUTE(LEFT(TRIM(C457),FIND(" ",TRIM(C457)&amp;" ")-1),",","."))-1)/MID(SUBSTITUTE(LEFT(TRIM(C457),FIND(" ",TRIM(C457)&amp;" ")-1),",","."),FIND("/",SUBSTITUTE(LEFT(TRIM(C457),FIND(" ",TRIM(C457)&amp;" ")-1),",","."))+1,9)),IF(ISNUMBER(SEARCH("yea",C457)),IFERROR(_xlfn.NUMBERVALUE(SUBSTITUTE(LEFT(TRIM(C457),FIND(" ",TRIM(C457)&amp;" ")-1),",","."),"."),LEFT(SUBSTITUTE(LEFT(TRIM(C457),FIND(" ",TRIM(C457)&amp;" ")-1),",","."),FIND("/",SUBSTITUTE(LEFT(TRIM(C457),FIND(" ",TRIM(C457)&amp;" ")-1),",","."))-1)/MID(SUBSTITUTE(LEFT(TRIM(C457),FIND(" ",TRIM(C457)&amp;" ")-1),",","."),FIND("/",SUBSTITUTE(LEFT(TRIM(C457),FIND(" ",TRIM(C457)&amp;" ")-1),",","."))+1,9))*12,NA()))),0),24)*'Aturan &amp; Tarif'!$B$4,2)</f>
        <v>1362.72</v>
      </c>
      <c r="K457" s="42" t="n">
        <f aca="false">'Aturan &amp; Tarif'!$B$5</f>
        <v>2050</v>
      </c>
      <c r="L457" s="42" t="n">
        <f aca="false">'Aturan &amp; Tarif'!$B$6</f>
        <v>350</v>
      </c>
      <c r="M457" s="35" t="n">
        <f aca="false">I457+J457+K457+L457</f>
        <v>6762.72</v>
      </c>
      <c r="N457" s="44" t="s">
        <v>2080</v>
      </c>
    </row>
    <row r="458" customFormat="false" ht="48.75" hidden="false" customHeight="true" outlineLevel="0" collapsed="false">
      <c r="A458" s="39"/>
      <c r="B458" s="40" t="s">
        <v>711</v>
      </c>
      <c r="C458" s="41" t="s">
        <v>712</v>
      </c>
      <c r="D458" s="41" t="s">
        <v>108</v>
      </c>
      <c r="E458" s="42" t="n">
        <v>1600</v>
      </c>
      <c r="F458" s="42" t="n">
        <v>500</v>
      </c>
      <c r="G458" s="42" t="n">
        <v>260</v>
      </c>
      <c r="H458" s="43" t="n">
        <v>2</v>
      </c>
      <c r="I458" s="34" t="n">
        <f aca="false">E458*H458+N(F458)+N(G458)</f>
        <v>3960</v>
      </c>
      <c r="J458" s="42" t="n">
        <f aca="false">ROUND(IFERROR(ROUND(IF(OR(ISNUMBER(SEARCH("week",C458)),ISNUMBER(SEARCH("minggu",C458))),IFERROR(_xlfn.NUMBERVALUE(SUBSTITUTE(LEFT(TRIM(C458),FIND(" ",TRIM(C458)&amp;" ")-1),",","."),"."),LEFT(SUBSTITUTE(LEFT(TRIM(C458),FIND(" ",TRIM(C458)&amp;" ")-1),",","."),FIND("/",SUBSTITUTE(LEFT(TRIM(C458),FIND(" ",TRIM(C458)&amp;" ")-1),",","."))-1)/MID(SUBSTITUTE(LEFT(TRIM(C458),FIND(" ",TRIM(C458)&amp;" ")-1),",","."),FIND("/",SUBSTITUTE(LEFT(TRIM(C458),FIND(" ",TRIM(C458)&amp;" ")-1),",","."))+1,9))*12/52,IF(ISNUMBER(SEARCH("month",C458)),IFERROR(_xlfn.NUMBERVALUE(SUBSTITUTE(LEFT(TRIM(C458),FIND(" ",TRIM(C458)&amp;" ")-1),",","."),"."),LEFT(SUBSTITUTE(LEFT(TRIM(C458),FIND(" ",TRIM(C458)&amp;" ")-1),",","."),FIND("/",SUBSTITUTE(LEFT(TRIM(C458),FIND(" ",TRIM(C458)&amp;" ")-1),",","."))-1)/MID(SUBSTITUTE(LEFT(TRIM(C458),FIND(" ",TRIM(C458)&amp;" ")-1),",","."),FIND("/",SUBSTITUTE(LEFT(TRIM(C458),FIND(" ",TRIM(C458)&amp;" ")-1),",","."))+1,9)),IF(ISNUMBER(SEARCH("yea",C458)),IFERROR(_xlfn.NUMBERVALUE(SUBSTITUTE(LEFT(TRIM(C458),FIND(" ",TRIM(C458)&amp;" ")-1),",","."),"."),LEFT(SUBSTITUTE(LEFT(TRIM(C458),FIND(" ",TRIM(C458)&amp;" ")-1),",","."),FIND("/",SUBSTITUTE(LEFT(TRIM(C458),FIND(" ",TRIM(C458)&amp;" ")-1),",","."))-1)/MID(SUBSTITUTE(LEFT(TRIM(C458),FIND(" ",TRIM(C458)&amp;" ")-1),",","."),FIND("/",SUBSTITUTE(LEFT(TRIM(C458),FIND(" ",TRIM(C458)&amp;" ")-1),",","."))+1,9))*12,NA()))),0),30)*'Aturan &amp; Tarif'!$B$4,2)</f>
        <v>1703.4</v>
      </c>
      <c r="K458" s="42" t="n">
        <f aca="false">'Aturan &amp; Tarif'!$B$5</f>
        <v>2050</v>
      </c>
      <c r="L458" s="42" t="n">
        <f aca="false">'Aturan &amp; Tarif'!$B$6</f>
        <v>350</v>
      </c>
      <c r="M458" s="35" t="n">
        <f aca="false">I458+J458+K458+L458</f>
        <v>8063.4</v>
      </c>
      <c r="N458" s="45" t="s">
        <v>713</v>
      </c>
    </row>
    <row r="459" customFormat="false" ht="25.5" hidden="false" customHeight="true" outlineLevel="0" collapsed="false">
      <c r="A459" s="39"/>
      <c r="B459" s="40" t="s">
        <v>2081</v>
      </c>
      <c r="C459" s="41" t="s">
        <v>715</v>
      </c>
      <c r="D459" s="41" t="s">
        <v>108</v>
      </c>
      <c r="E459" s="42" t="n">
        <v>1850</v>
      </c>
      <c r="F459" s="42" t="n">
        <v>1700</v>
      </c>
      <c r="G459" s="42" t="n">
        <v>260</v>
      </c>
      <c r="H459" s="43" t="n">
        <v>2</v>
      </c>
      <c r="I459" s="34" t="n">
        <f aca="false">E459*H459+N(F459)+N(G459)</f>
        <v>5660</v>
      </c>
      <c r="J459" s="42" t="n">
        <f aca="false">ROUND(IFERROR(ROUND(IF(OR(ISNUMBER(SEARCH("week",C459)),ISNUMBER(SEARCH("minggu",C459))),IFERROR(_xlfn.NUMBERVALUE(SUBSTITUTE(LEFT(TRIM(C459),FIND(" ",TRIM(C459)&amp;" ")-1),",","."),"."),LEFT(SUBSTITUTE(LEFT(TRIM(C459),FIND(" ",TRIM(C459)&amp;" ")-1),",","."),FIND("/",SUBSTITUTE(LEFT(TRIM(C459),FIND(" ",TRIM(C459)&amp;" ")-1),",","."))-1)/MID(SUBSTITUTE(LEFT(TRIM(C459),FIND(" ",TRIM(C459)&amp;" ")-1),",","."),FIND("/",SUBSTITUTE(LEFT(TRIM(C459),FIND(" ",TRIM(C459)&amp;" ")-1),",","."))+1,9))*12/52,IF(ISNUMBER(SEARCH("month",C459)),IFERROR(_xlfn.NUMBERVALUE(SUBSTITUTE(LEFT(TRIM(C459),FIND(" ",TRIM(C459)&amp;" ")-1),",","."),"."),LEFT(SUBSTITUTE(LEFT(TRIM(C459),FIND(" ",TRIM(C459)&amp;" ")-1),",","."),FIND("/",SUBSTITUTE(LEFT(TRIM(C459),FIND(" ",TRIM(C459)&amp;" ")-1),",","."))-1)/MID(SUBSTITUTE(LEFT(TRIM(C459),FIND(" ",TRIM(C459)&amp;" ")-1),",","."),FIND("/",SUBSTITUTE(LEFT(TRIM(C459),FIND(" ",TRIM(C459)&amp;" ")-1),",","."))+1,9)),IF(ISNUMBER(SEARCH("yea",C459)),IFERROR(_xlfn.NUMBERVALUE(SUBSTITUTE(LEFT(TRIM(C459),FIND(" ",TRIM(C459)&amp;" ")-1),",","."),"."),LEFT(SUBSTITUTE(LEFT(TRIM(C459),FIND(" ",TRIM(C459)&amp;" ")-1),",","."),FIND("/",SUBSTITUTE(LEFT(TRIM(C459),FIND(" ",TRIM(C459)&amp;" ")-1),",","."))-1)/MID(SUBSTITUTE(LEFT(TRIM(C459),FIND(" ",TRIM(C459)&amp;" ")-1),",","."),FIND("/",SUBSTITUTE(LEFT(TRIM(C459),FIND(" ",TRIM(C459)&amp;" ")-1),",","."))+1,9))*12,NA()))),0),25)*'Aturan &amp; Tarif'!$B$4,2)</f>
        <v>1419.5</v>
      </c>
      <c r="K459" s="42" t="n">
        <f aca="false">'Aturan &amp; Tarif'!$B$5</f>
        <v>2050</v>
      </c>
      <c r="L459" s="42" t="n">
        <f aca="false">'Aturan &amp; Tarif'!$B$6</f>
        <v>350</v>
      </c>
      <c r="M459" s="35" t="n">
        <f aca="false">I459+J459+K459+L459</f>
        <v>9479.5</v>
      </c>
      <c r="N459" s="45" t="s">
        <v>716</v>
      </c>
    </row>
    <row r="460" customFormat="false" ht="25.5" hidden="false" customHeight="true" outlineLevel="0" collapsed="false">
      <c r="A460" s="39"/>
      <c r="B460" s="40" t="s">
        <v>2082</v>
      </c>
      <c r="C460" s="41" t="s">
        <v>718</v>
      </c>
      <c r="D460" s="41" t="s">
        <v>108</v>
      </c>
      <c r="E460" s="42" t="n">
        <v>1850</v>
      </c>
      <c r="F460" s="42" t="n">
        <v>1700</v>
      </c>
      <c r="G460" s="42" t="n">
        <v>260</v>
      </c>
      <c r="H460" s="43" t="n">
        <v>2</v>
      </c>
      <c r="I460" s="34" t="n">
        <f aca="false">E460*H460+N(F460)+N(G460)</f>
        <v>5660</v>
      </c>
      <c r="J460" s="42" t="n">
        <f aca="false">ROUND(IFERROR(ROUND(IF(OR(ISNUMBER(SEARCH("week",C460)),ISNUMBER(SEARCH("minggu",C460))),IFERROR(_xlfn.NUMBERVALUE(SUBSTITUTE(LEFT(TRIM(C460),FIND(" ",TRIM(C460)&amp;" ")-1),",","."),"."),LEFT(SUBSTITUTE(LEFT(TRIM(C460),FIND(" ",TRIM(C460)&amp;" ")-1),",","."),FIND("/",SUBSTITUTE(LEFT(TRIM(C460),FIND(" ",TRIM(C460)&amp;" ")-1),",","."))-1)/MID(SUBSTITUTE(LEFT(TRIM(C460),FIND(" ",TRIM(C460)&amp;" ")-1),",","."),FIND("/",SUBSTITUTE(LEFT(TRIM(C460),FIND(" ",TRIM(C460)&amp;" ")-1),",","."))+1,9))*12/52,IF(ISNUMBER(SEARCH("month",C460)),IFERROR(_xlfn.NUMBERVALUE(SUBSTITUTE(LEFT(TRIM(C460),FIND(" ",TRIM(C460)&amp;" ")-1),",","."),"."),LEFT(SUBSTITUTE(LEFT(TRIM(C460),FIND(" ",TRIM(C460)&amp;" ")-1),",","."),FIND("/",SUBSTITUTE(LEFT(TRIM(C460),FIND(" ",TRIM(C460)&amp;" ")-1),",","."))-1)/MID(SUBSTITUTE(LEFT(TRIM(C460),FIND(" ",TRIM(C460)&amp;" ")-1),",","."),FIND("/",SUBSTITUTE(LEFT(TRIM(C460),FIND(" ",TRIM(C460)&amp;" ")-1),",","."))+1,9)),IF(ISNUMBER(SEARCH("yea",C460)),IFERROR(_xlfn.NUMBERVALUE(SUBSTITUTE(LEFT(TRIM(C460),FIND(" ",TRIM(C460)&amp;" ")-1),",","."),"."),LEFT(SUBSTITUTE(LEFT(TRIM(C460),FIND(" ",TRIM(C460)&amp;" ")-1),",","."),FIND("/",SUBSTITUTE(LEFT(TRIM(C460),FIND(" ",TRIM(C460)&amp;" ")-1),",","."))-1)/MID(SUBSTITUTE(LEFT(TRIM(C460),FIND(" ",TRIM(C460)&amp;" ")-1),",","."),FIND("/",SUBSTITUTE(LEFT(TRIM(C460),FIND(" ",TRIM(C460)&amp;" ")-1),",","."))+1,9))*12,NA()))),0),33)*'Aturan &amp; Tarif'!$B$4,2)</f>
        <v>1873.74</v>
      </c>
      <c r="K460" s="42" t="n">
        <f aca="false">'Aturan &amp; Tarif'!$B$5</f>
        <v>2050</v>
      </c>
      <c r="L460" s="42" t="n">
        <f aca="false">'Aturan &amp; Tarif'!$B$6</f>
        <v>350</v>
      </c>
      <c r="M460" s="35" t="n">
        <f aca="false">I460+J460+K460+L460</f>
        <v>9933.74</v>
      </c>
      <c r="N460" s="45" t="s">
        <v>719</v>
      </c>
    </row>
    <row r="461" customFormat="false" ht="60" hidden="false" customHeight="true" outlineLevel="0" collapsed="false">
      <c r="A461" s="39"/>
      <c r="B461" s="40" t="s">
        <v>720</v>
      </c>
      <c r="C461" s="41" t="s">
        <v>721</v>
      </c>
      <c r="D461" s="41" t="s">
        <v>108</v>
      </c>
      <c r="E461" s="42" t="n">
        <v>1600</v>
      </c>
      <c r="F461" s="42" t="n">
        <v>500</v>
      </c>
      <c r="G461" s="42" t="n">
        <v>260</v>
      </c>
      <c r="H461" s="43" t="n">
        <v>2</v>
      </c>
      <c r="I461" s="34" t="n">
        <f aca="false">E461*H461+N(F461)+N(G461)</f>
        <v>3960</v>
      </c>
      <c r="J461" s="42" t="n">
        <f aca="false">ROUND(IFERROR(ROUND(IF(OR(ISNUMBER(SEARCH("week",C461)),ISNUMBER(SEARCH("minggu",C461))),IFERROR(_xlfn.NUMBERVALUE(SUBSTITUTE(LEFT(TRIM(C461),FIND(" ",TRIM(C461)&amp;" ")-1),",","."),"."),LEFT(SUBSTITUTE(LEFT(TRIM(C461),FIND(" ",TRIM(C461)&amp;" ")-1),",","."),FIND("/",SUBSTITUTE(LEFT(TRIM(C461),FIND(" ",TRIM(C461)&amp;" ")-1),",","."))-1)/MID(SUBSTITUTE(LEFT(TRIM(C461),FIND(" ",TRIM(C461)&amp;" ")-1),",","."),FIND("/",SUBSTITUTE(LEFT(TRIM(C461),FIND(" ",TRIM(C461)&amp;" ")-1),",","."))+1,9))*12/52,IF(ISNUMBER(SEARCH("month",C461)),IFERROR(_xlfn.NUMBERVALUE(SUBSTITUTE(LEFT(TRIM(C461),FIND(" ",TRIM(C461)&amp;" ")-1),",","."),"."),LEFT(SUBSTITUTE(LEFT(TRIM(C461),FIND(" ",TRIM(C461)&amp;" ")-1),",","."),FIND("/",SUBSTITUTE(LEFT(TRIM(C461),FIND(" ",TRIM(C461)&amp;" ")-1),",","."))-1)/MID(SUBSTITUTE(LEFT(TRIM(C461),FIND(" ",TRIM(C461)&amp;" ")-1),",","."),FIND("/",SUBSTITUTE(LEFT(TRIM(C461),FIND(" ",TRIM(C461)&amp;" ")-1),",","."))+1,9)),IF(ISNUMBER(SEARCH("yea",C461)),IFERROR(_xlfn.NUMBERVALUE(SUBSTITUTE(LEFT(TRIM(C461),FIND(" ",TRIM(C461)&amp;" ")-1),",","."),"."),LEFT(SUBSTITUTE(LEFT(TRIM(C461),FIND(" ",TRIM(C461)&amp;" ")-1),",","."),FIND("/",SUBSTITUTE(LEFT(TRIM(C461),FIND(" ",TRIM(C461)&amp;" ")-1),",","."))-1)/MID(SUBSTITUTE(LEFT(TRIM(C461),FIND(" ",TRIM(C461)&amp;" ")-1),",","."),FIND("/",SUBSTITUTE(LEFT(TRIM(C461),FIND(" ",TRIM(C461)&amp;" ")-1),",","."))+1,9))*12,NA()))),0),19)*'Aturan &amp; Tarif'!$B$4,2)</f>
        <v>1078.82</v>
      </c>
      <c r="K461" s="42" t="n">
        <f aca="false">'Aturan &amp; Tarif'!$B$5</f>
        <v>2050</v>
      </c>
      <c r="L461" s="42" t="n">
        <f aca="false">'Aturan &amp; Tarif'!$B$6</f>
        <v>350</v>
      </c>
      <c r="M461" s="35" t="n">
        <f aca="false">I461+J461+K461+L461</f>
        <v>7438.82</v>
      </c>
      <c r="N461" s="45" t="s">
        <v>722</v>
      </c>
    </row>
    <row r="462" customFormat="false" ht="60" hidden="false" customHeight="true" outlineLevel="0" collapsed="false">
      <c r="A462" s="39"/>
      <c r="B462" s="40" t="s">
        <v>2083</v>
      </c>
      <c r="C462" s="41" t="s">
        <v>724</v>
      </c>
      <c r="D462" s="41" t="s">
        <v>108</v>
      </c>
      <c r="E462" s="42" t="n">
        <v>1600</v>
      </c>
      <c r="F462" s="42" t="n">
        <v>500</v>
      </c>
      <c r="G462" s="42" t="n">
        <v>260</v>
      </c>
      <c r="H462" s="43" t="n">
        <v>2</v>
      </c>
      <c r="I462" s="34" t="n">
        <f aca="false">E462*H462+N(F462)+N(G462)</f>
        <v>3960</v>
      </c>
      <c r="J462" s="42" t="n">
        <f aca="false">ROUND(IFERROR(ROUND(IF(OR(ISNUMBER(SEARCH("week",C462)),ISNUMBER(SEARCH("minggu",C462))),IFERROR(_xlfn.NUMBERVALUE(SUBSTITUTE(LEFT(TRIM(C462),FIND(" ",TRIM(C462)&amp;" ")-1),",","."),"."),LEFT(SUBSTITUTE(LEFT(TRIM(C462),FIND(" ",TRIM(C462)&amp;" ")-1),",","."),FIND("/",SUBSTITUTE(LEFT(TRIM(C462),FIND(" ",TRIM(C462)&amp;" ")-1),",","."))-1)/MID(SUBSTITUTE(LEFT(TRIM(C462),FIND(" ",TRIM(C462)&amp;" ")-1),",","."),FIND("/",SUBSTITUTE(LEFT(TRIM(C462),FIND(" ",TRIM(C462)&amp;" ")-1),",","."))+1,9))*12/52,IF(ISNUMBER(SEARCH("month",C462)),IFERROR(_xlfn.NUMBERVALUE(SUBSTITUTE(LEFT(TRIM(C462),FIND(" ",TRIM(C462)&amp;" ")-1),",","."),"."),LEFT(SUBSTITUTE(LEFT(TRIM(C462),FIND(" ",TRIM(C462)&amp;" ")-1),",","."),FIND("/",SUBSTITUTE(LEFT(TRIM(C462),FIND(" ",TRIM(C462)&amp;" ")-1),",","."))-1)/MID(SUBSTITUTE(LEFT(TRIM(C462),FIND(" ",TRIM(C462)&amp;" ")-1),",","."),FIND("/",SUBSTITUTE(LEFT(TRIM(C462),FIND(" ",TRIM(C462)&amp;" ")-1),",","."))+1,9)),IF(ISNUMBER(SEARCH("yea",C462)),IFERROR(_xlfn.NUMBERVALUE(SUBSTITUTE(LEFT(TRIM(C462),FIND(" ",TRIM(C462)&amp;" ")-1),",","."),"."),LEFT(SUBSTITUTE(LEFT(TRIM(C462),FIND(" ",TRIM(C462)&amp;" ")-1),",","."),FIND("/",SUBSTITUTE(LEFT(TRIM(C462),FIND(" ",TRIM(C462)&amp;" ")-1),",","."))-1)/MID(SUBSTITUTE(LEFT(TRIM(C462),FIND(" ",TRIM(C462)&amp;" ")-1),",","."),FIND("/",SUBSTITUTE(LEFT(TRIM(C462),FIND(" ",TRIM(C462)&amp;" ")-1),",","."))+1,9))*12,NA()))),0),37)*'Aturan &amp; Tarif'!$B$4,2)</f>
        <v>2100.86</v>
      </c>
      <c r="K462" s="42" t="n">
        <f aca="false">'Aturan &amp; Tarif'!$B$5</f>
        <v>2050</v>
      </c>
      <c r="L462" s="42" t="n">
        <f aca="false">'Aturan &amp; Tarif'!$B$6</f>
        <v>350</v>
      </c>
      <c r="M462" s="35" t="n">
        <f aca="false">I462+J462+K462+L462</f>
        <v>8460.86</v>
      </c>
      <c r="N462" s="44" t="s">
        <v>725</v>
      </c>
    </row>
    <row r="463" customFormat="false" ht="60" hidden="false" customHeight="true" outlineLevel="0" collapsed="false">
      <c r="A463" s="39"/>
      <c r="B463" s="40" t="s">
        <v>932</v>
      </c>
      <c r="C463" s="41" t="s">
        <v>107</v>
      </c>
      <c r="D463" s="41" t="s">
        <v>108</v>
      </c>
      <c r="E463" s="42" t="n">
        <v>1600</v>
      </c>
      <c r="F463" s="42" t="n">
        <v>500</v>
      </c>
      <c r="G463" s="42" t="n">
        <v>260</v>
      </c>
      <c r="H463" s="43" t="n">
        <v>2</v>
      </c>
      <c r="I463" s="34" t="n">
        <f aca="false">E463*H463+N(F463)+N(G463)</f>
        <v>3960</v>
      </c>
      <c r="J463" s="42" t="n">
        <f aca="false">ROUND(IFERROR(ROUND(IF(OR(ISNUMBER(SEARCH("week",C463)),ISNUMBER(SEARCH("minggu",C463))),IFERROR(_xlfn.NUMBERVALUE(SUBSTITUTE(LEFT(TRIM(C463),FIND(" ",TRIM(C463)&amp;" ")-1),",","."),"."),LEFT(SUBSTITUTE(LEFT(TRIM(C463),FIND(" ",TRIM(C463)&amp;" ")-1),",","."),FIND("/",SUBSTITUTE(LEFT(TRIM(C463),FIND(" ",TRIM(C463)&amp;" ")-1),",","."))-1)/MID(SUBSTITUTE(LEFT(TRIM(C463),FIND(" ",TRIM(C463)&amp;" ")-1),",","."),FIND("/",SUBSTITUTE(LEFT(TRIM(C463),FIND(" ",TRIM(C463)&amp;" ")-1),",","."))+1,9))*12/52,IF(ISNUMBER(SEARCH("month",C463)),IFERROR(_xlfn.NUMBERVALUE(SUBSTITUTE(LEFT(TRIM(C463),FIND(" ",TRIM(C463)&amp;" ")-1),",","."),"."),LEFT(SUBSTITUTE(LEFT(TRIM(C463),FIND(" ",TRIM(C463)&amp;" ")-1),",","."),FIND("/",SUBSTITUTE(LEFT(TRIM(C463),FIND(" ",TRIM(C463)&amp;" ")-1),",","."))-1)/MID(SUBSTITUTE(LEFT(TRIM(C463),FIND(" ",TRIM(C463)&amp;" ")-1),",","."),FIND("/",SUBSTITUTE(LEFT(TRIM(C463),FIND(" ",TRIM(C463)&amp;" ")-1),",","."))+1,9)),IF(ISNUMBER(SEARCH("yea",C463)),IFERROR(_xlfn.NUMBERVALUE(SUBSTITUTE(LEFT(TRIM(C463),FIND(" ",TRIM(C463)&amp;" ")-1),",","."),"."),LEFT(SUBSTITUTE(LEFT(TRIM(C463),FIND(" ",TRIM(C463)&amp;" ")-1),",","."),FIND("/",SUBSTITUTE(LEFT(TRIM(C463),FIND(" ",TRIM(C463)&amp;" ")-1),",","."))-1)/MID(SUBSTITUTE(LEFT(TRIM(C463),FIND(" ",TRIM(C463)&amp;" ")-1),",","."),FIND("/",SUBSTITUTE(LEFT(TRIM(C463),FIND(" ",TRIM(C463)&amp;" ")-1),",","."))+1,9))*12,NA()))),0),24)*'Aturan &amp; Tarif'!$B$4,2)</f>
        <v>1362.72</v>
      </c>
      <c r="K463" s="42" t="n">
        <f aca="false">'Aturan &amp; Tarif'!$B$5</f>
        <v>2050</v>
      </c>
      <c r="L463" s="42" t="n">
        <f aca="false">'Aturan &amp; Tarif'!$B$6</f>
        <v>350</v>
      </c>
      <c r="M463" s="35" t="n">
        <f aca="false">I463+J463+K463+L463</f>
        <v>7722.72</v>
      </c>
      <c r="N463" s="45" t="s">
        <v>2084</v>
      </c>
    </row>
    <row r="464" customFormat="false" ht="48.75" hidden="false" customHeight="true" outlineLevel="0" collapsed="false">
      <c r="A464" s="39"/>
      <c r="B464" s="40" t="s">
        <v>948</v>
      </c>
      <c r="C464" s="41" t="s">
        <v>107</v>
      </c>
      <c r="D464" s="41" t="s">
        <v>108</v>
      </c>
      <c r="E464" s="42" t="n">
        <v>1250</v>
      </c>
      <c r="F464" s="42" t="n">
        <v>240</v>
      </c>
      <c r="G464" s="42" t="n">
        <v>260</v>
      </c>
      <c r="H464" s="43" t="n">
        <v>2</v>
      </c>
      <c r="I464" s="34" t="n">
        <f aca="false">E464*H464+N(F464)+N(G464)</f>
        <v>3000</v>
      </c>
      <c r="J464" s="42" t="n">
        <f aca="false">ROUND(IFERROR(ROUND(IF(OR(ISNUMBER(SEARCH("week",C464)),ISNUMBER(SEARCH("minggu",C464))),IFERROR(_xlfn.NUMBERVALUE(SUBSTITUTE(LEFT(TRIM(C464),FIND(" ",TRIM(C464)&amp;" ")-1),",","."),"."),LEFT(SUBSTITUTE(LEFT(TRIM(C464),FIND(" ",TRIM(C464)&amp;" ")-1),",","."),FIND("/",SUBSTITUTE(LEFT(TRIM(C464),FIND(" ",TRIM(C464)&amp;" ")-1),",","."))-1)/MID(SUBSTITUTE(LEFT(TRIM(C464),FIND(" ",TRIM(C464)&amp;" ")-1),",","."),FIND("/",SUBSTITUTE(LEFT(TRIM(C464),FIND(" ",TRIM(C464)&amp;" ")-1),",","."))+1,9))*12/52,IF(ISNUMBER(SEARCH("month",C464)),IFERROR(_xlfn.NUMBERVALUE(SUBSTITUTE(LEFT(TRIM(C464),FIND(" ",TRIM(C464)&amp;" ")-1),",","."),"."),LEFT(SUBSTITUTE(LEFT(TRIM(C464),FIND(" ",TRIM(C464)&amp;" ")-1),",","."),FIND("/",SUBSTITUTE(LEFT(TRIM(C464),FIND(" ",TRIM(C464)&amp;" ")-1),",","."))-1)/MID(SUBSTITUTE(LEFT(TRIM(C464),FIND(" ",TRIM(C464)&amp;" ")-1),",","."),FIND("/",SUBSTITUTE(LEFT(TRIM(C464),FIND(" ",TRIM(C464)&amp;" ")-1),",","."))+1,9)),IF(ISNUMBER(SEARCH("yea",C464)),IFERROR(_xlfn.NUMBERVALUE(SUBSTITUTE(LEFT(TRIM(C464),FIND(" ",TRIM(C464)&amp;" ")-1),",","."),"."),LEFT(SUBSTITUTE(LEFT(TRIM(C464),FIND(" ",TRIM(C464)&amp;" ")-1),",","."),FIND("/",SUBSTITUTE(LEFT(TRIM(C464),FIND(" ",TRIM(C464)&amp;" ")-1),",","."))-1)/MID(SUBSTITUTE(LEFT(TRIM(C464),FIND(" ",TRIM(C464)&amp;" ")-1),",","."),FIND("/",SUBSTITUTE(LEFT(TRIM(C464),FIND(" ",TRIM(C464)&amp;" ")-1),",","."))+1,9))*12,NA()))),0),24)*'Aturan &amp; Tarif'!$B$4,2)</f>
        <v>1362.72</v>
      </c>
      <c r="K464" s="42" t="n">
        <f aca="false">'Aturan &amp; Tarif'!$B$5</f>
        <v>2050</v>
      </c>
      <c r="L464" s="42" t="n">
        <f aca="false">'Aturan &amp; Tarif'!$B$6</f>
        <v>350</v>
      </c>
      <c r="M464" s="35" t="n">
        <f aca="false">I464+J464+K464+L464</f>
        <v>6762.72</v>
      </c>
      <c r="N464" s="44" t="s">
        <v>2085</v>
      </c>
    </row>
    <row r="465" customFormat="false" ht="25.5" hidden="false" customHeight="true" outlineLevel="0" collapsed="false">
      <c r="A465" s="47" t="s">
        <v>2086</v>
      </c>
      <c r="B465" s="40" t="s">
        <v>2087</v>
      </c>
      <c r="C465" s="41" t="s">
        <v>127</v>
      </c>
      <c r="D465" s="41" t="s">
        <v>1863</v>
      </c>
      <c r="E465" s="42" t="n">
        <v>2012.5</v>
      </c>
      <c r="F465" s="42" t="n">
        <v>200</v>
      </c>
      <c r="G465" s="42" t="n">
        <v>260</v>
      </c>
      <c r="H465" s="43" t="n">
        <v>3</v>
      </c>
      <c r="I465" s="34" t="n">
        <f aca="false">E465*H465+N(F465)+N(G465)</f>
        <v>6497.5</v>
      </c>
      <c r="J465" s="42" t="n">
        <f aca="false">ROUND(IFERROR(ROUND(IF(OR(ISNUMBER(SEARCH("week",C465)),ISNUMBER(SEARCH("minggu",C465))),IFERROR(_xlfn.NUMBERVALUE(SUBSTITUTE(LEFT(TRIM(C465),FIND(" ",TRIM(C465)&amp;" ")-1),",","."),"."),LEFT(SUBSTITUTE(LEFT(TRIM(C465),FIND(" ",TRIM(C465)&amp;" ")-1),",","."),FIND("/",SUBSTITUTE(LEFT(TRIM(C465),FIND(" ",TRIM(C465)&amp;" ")-1),",","."))-1)/MID(SUBSTITUTE(LEFT(TRIM(C465),FIND(" ",TRIM(C465)&amp;" ")-1),",","."),FIND("/",SUBSTITUTE(LEFT(TRIM(C465),FIND(" ",TRIM(C465)&amp;" ")-1),",","."))+1,9))*12/52,IF(ISNUMBER(SEARCH("month",C465)),IFERROR(_xlfn.NUMBERVALUE(SUBSTITUTE(LEFT(TRIM(C465),FIND(" ",TRIM(C465)&amp;" ")-1),",","."),"."),LEFT(SUBSTITUTE(LEFT(TRIM(C465),FIND(" ",TRIM(C465)&amp;" ")-1),",","."),FIND("/",SUBSTITUTE(LEFT(TRIM(C465),FIND(" ",TRIM(C465)&amp;" ")-1),",","."))-1)/MID(SUBSTITUTE(LEFT(TRIM(C465),FIND(" ",TRIM(C465)&amp;" ")-1),",","."),FIND("/",SUBSTITUTE(LEFT(TRIM(C465),FIND(" ",TRIM(C465)&amp;" ")-1),",","."))+1,9)),IF(ISNUMBER(SEARCH("yea",C465)),IFERROR(_xlfn.NUMBERVALUE(SUBSTITUTE(LEFT(TRIM(C465),FIND(" ",TRIM(C465)&amp;" ")-1),",","."),"."),LEFT(SUBSTITUTE(LEFT(TRIM(C465),FIND(" ",TRIM(C465)&amp;" ")-1),",","."),FIND("/",SUBSTITUTE(LEFT(TRIM(C465),FIND(" ",TRIM(C465)&amp;" ")-1),",","."))-1)/MID(SUBSTITUTE(LEFT(TRIM(C465),FIND(" ",TRIM(C465)&amp;" ")-1),",","."),FIND("/",SUBSTITUTE(LEFT(TRIM(C465),FIND(" ",TRIM(C465)&amp;" ")-1),",","."))+1,9))*12,NA()))),0),36)*'Aturan &amp; Tarif'!$B$4,2)</f>
        <v>2044.08</v>
      </c>
      <c r="K465" s="42" t="n">
        <f aca="false">'Aturan &amp; Tarif'!$B$5</f>
        <v>2050</v>
      </c>
      <c r="L465" s="42" t="n">
        <f aca="false">'Aturan &amp; Tarif'!$B$6</f>
        <v>350</v>
      </c>
      <c r="M465" s="35" t="n">
        <f aca="false">I465+J465+K465+L465</f>
        <v>10941.58</v>
      </c>
      <c r="N465" s="44" t="s">
        <v>2088</v>
      </c>
    </row>
    <row r="466" customFormat="false" ht="25.5" hidden="false" customHeight="true" outlineLevel="0" collapsed="false">
      <c r="A466" s="39"/>
      <c r="B466" s="40" t="s">
        <v>2089</v>
      </c>
      <c r="C466" s="41" t="s">
        <v>127</v>
      </c>
      <c r="D466" s="41" t="s">
        <v>1863</v>
      </c>
      <c r="E466" s="42" t="n">
        <v>2012.5</v>
      </c>
      <c r="F466" s="42" t="n">
        <v>200</v>
      </c>
      <c r="G466" s="42" t="n">
        <v>260</v>
      </c>
      <c r="H466" s="43" t="n">
        <v>3</v>
      </c>
      <c r="I466" s="34" t="n">
        <f aca="false">E466*H466+N(F466)+N(G466)</f>
        <v>6497.5</v>
      </c>
      <c r="J466" s="42" t="n">
        <f aca="false">ROUND(IFERROR(ROUND(IF(OR(ISNUMBER(SEARCH("week",C466)),ISNUMBER(SEARCH("minggu",C466))),IFERROR(_xlfn.NUMBERVALUE(SUBSTITUTE(LEFT(TRIM(C466),FIND(" ",TRIM(C466)&amp;" ")-1),",","."),"."),LEFT(SUBSTITUTE(LEFT(TRIM(C466),FIND(" ",TRIM(C466)&amp;" ")-1),",","."),FIND("/",SUBSTITUTE(LEFT(TRIM(C466),FIND(" ",TRIM(C466)&amp;" ")-1),",","."))-1)/MID(SUBSTITUTE(LEFT(TRIM(C466),FIND(" ",TRIM(C466)&amp;" ")-1),",","."),FIND("/",SUBSTITUTE(LEFT(TRIM(C466),FIND(" ",TRIM(C466)&amp;" ")-1),",","."))+1,9))*12/52,IF(ISNUMBER(SEARCH("month",C466)),IFERROR(_xlfn.NUMBERVALUE(SUBSTITUTE(LEFT(TRIM(C466),FIND(" ",TRIM(C466)&amp;" ")-1),",","."),"."),LEFT(SUBSTITUTE(LEFT(TRIM(C466),FIND(" ",TRIM(C466)&amp;" ")-1),",","."),FIND("/",SUBSTITUTE(LEFT(TRIM(C466),FIND(" ",TRIM(C466)&amp;" ")-1),",","."))-1)/MID(SUBSTITUTE(LEFT(TRIM(C466),FIND(" ",TRIM(C466)&amp;" ")-1),",","."),FIND("/",SUBSTITUTE(LEFT(TRIM(C466),FIND(" ",TRIM(C466)&amp;" ")-1),",","."))+1,9)),IF(ISNUMBER(SEARCH("yea",C466)),IFERROR(_xlfn.NUMBERVALUE(SUBSTITUTE(LEFT(TRIM(C466),FIND(" ",TRIM(C466)&amp;" ")-1),",","."),"."),LEFT(SUBSTITUTE(LEFT(TRIM(C466),FIND(" ",TRIM(C466)&amp;" ")-1),",","."),FIND("/",SUBSTITUTE(LEFT(TRIM(C466),FIND(" ",TRIM(C466)&amp;" ")-1),",","."))-1)/MID(SUBSTITUTE(LEFT(TRIM(C466),FIND(" ",TRIM(C466)&amp;" ")-1),",","."),FIND("/",SUBSTITUTE(LEFT(TRIM(C466),FIND(" ",TRIM(C466)&amp;" ")-1),",","."))+1,9))*12,NA()))),0),36)*'Aturan &amp; Tarif'!$B$4,2)</f>
        <v>2044.08</v>
      </c>
      <c r="K466" s="42" t="n">
        <f aca="false">'Aturan &amp; Tarif'!$B$5</f>
        <v>2050</v>
      </c>
      <c r="L466" s="42" t="n">
        <f aca="false">'Aturan &amp; Tarif'!$B$6</f>
        <v>350</v>
      </c>
      <c r="M466" s="35" t="n">
        <f aca="false">I466+J466+K466+L466</f>
        <v>10941.58</v>
      </c>
      <c r="N466" s="44" t="s">
        <v>2088</v>
      </c>
    </row>
    <row r="467" customFormat="false" ht="14.25" hidden="false" customHeight="true" outlineLevel="0" collapsed="false">
      <c r="A467" s="39"/>
      <c r="B467" s="40" t="s">
        <v>2090</v>
      </c>
      <c r="C467" s="41" t="s">
        <v>127</v>
      </c>
      <c r="D467" s="41" t="s">
        <v>1863</v>
      </c>
      <c r="E467" s="42" t="n">
        <v>2012.5</v>
      </c>
      <c r="F467" s="42" t="n">
        <v>200</v>
      </c>
      <c r="G467" s="42" t="n">
        <v>260</v>
      </c>
      <c r="H467" s="43" t="n">
        <v>3</v>
      </c>
      <c r="I467" s="34" t="n">
        <f aca="false">E467*H467+N(F467)+N(G467)</f>
        <v>6497.5</v>
      </c>
      <c r="J467" s="42" t="n">
        <f aca="false">ROUND(IFERROR(ROUND(IF(OR(ISNUMBER(SEARCH("week",C467)),ISNUMBER(SEARCH("minggu",C467))),IFERROR(_xlfn.NUMBERVALUE(SUBSTITUTE(LEFT(TRIM(C467),FIND(" ",TRIM(C467)&amp;" ")-1),",","."),"."),LEFT(SUBSTITUTE(LEFT(TRIM(C467),FIND(" ",TRIM(C467)&amp;" ")-1),",","."),FIND("/",SUBSTITUTE(LEFT(TRIM(C467),FIND(" ",TRIM(C467)&amp;" ")-1),",","."))-1)/MID(SUBSTITUTE(LEFT(TRIM(C467),FIND(" ",TRIM(C467)&amp;" ")-1),",","."),FIND("/",SUBSTITUTE(LEFT(TRIM(C467),FIND(" ",TRIM(C467)&amp;" ")-1),",","."))+1,9))*12/52,IF(ISNUMBER(SEARCH("month",C467)),IFERROR(_xlfn.NUMBERVALUE(SUBSTITUTE(LEFT(TRIM(C467),FIND(" ",TRIM(C467)&amp;" ")-1),",","."),"."),LEFT(SUBSTITUTE(LEFT(TRIM(C467),FIND(" ",TRIM(C467)&amp;" ")-1),",","."),FIND("/",SUBSTITUTE(LEFT(TRIM(C467),FIND(" ",TRIM(C467)&amp;" ")-1),",","."))-1)/MID(SUBSTITUTE(LEFT(TRIM(C467),FIND(" ",TRIM(C467)&amp;" ")-1),",","."),FIND("/",SUBSTITUTE(LEFT(TRIM(C467),FIND(" ",TRIM(C467)&amp;" ")-1),",","."))+1,9)),IF(ISNUMBER(SEARCH("yea",C467)),IFERROR(_xlfn.NUMBERVALUE(SUBSTITUTE(LEFT(TRIM(C467),FIND(" ",TRIM(C467)&amp;" ")-1),",","."),"."),LEFT(SUBSTITUTE(LEFT(TRIM(C467),FIND(" ",TRIM(C467)&amp;" ")-1),",","."),FIND("/",SUBSTITUTE(LEFT(TRIM(C467),FIND(" ",TRIM(C467)&amp;" ")-1),",","."))-1)/MID(SUBSTITUTE(LEFT(TRIM(C467),FIND(" ",TRIM(C467)&amp;" ")-1),",","."),FIND("/",SUBSTITUTE(LEFT(TRIM(C467),FIND(" ",TRIM(C467)&amp;" ")-1),",","."))+1,9))*12,NA()))),0),36)*'Aturan &amp; Tarif'!$B$4,2)</f>
        <v>2044.08</v>
      </c>
      <c r="K467" s="42" t="n">
        <f aca="false">'Aturan &amp; Tarif'!$B$5</f>
        <v>2050</v>
      </c>
      <c r="L467" s="42" t="n">
        <f aca="false">'Aturan &amp; Tarif'!$B$6</f>
        <v>350</v>
      </c>
      <c r="M467" s="35" t="n">
        <f aca="false">I467+J467+K467+L467</f>
        <v>10941.58</v>
      </c>
      <c r="N467" s="44" t="s">
        <v>2088</v>
      </c>
    </row>
    <row r="468" customFormat="false" ht="14.25" hidden="false" customHeight="true" outlineLevel="0" collapsed="false">
      <c r="A468" s="39"/>
      <c r="B468" s="40" t="s">
        <v>2091</v>
      </c>
      <c r="C468" s="41" t="s">
        <v>127</v>
      </c>
      <c r="D468" s="41" t="s">
        <v>1863</v>
      </c>
      <c r="E468" s="42" t="n">
        <v>2012.5</v>
      </c>
      <c r="F468" s="42" t="n">
        <v>200</v>
      </c>
      <c r="G468" s="42" t="n">
        <v>260</v>
      </c>
      <c r="H468" s="43" t="n">
        <v>3</v>
      </c>
      <c r="I468" s="34" t="n">
        <f aca="false">E468*H468+N(F468)+N(G468)</f>
        <v>6497.5</v>
      </c>
      <c r="J468" s="42" t="n">
        <f aca="false">ROUND(IFERROR(ROUND(IF(OR(ISNUMBER(SEARCH("week",C468)),ISNUMBER(SEARCH("minggu",C468))),IFERROR(_xlfn.NUMBERVALUE(SUBSTITUTE(LEFT(TRIM(C468),FIND(" ",TRIM(C468)&amp;" ")-1),",","."),"."),LEFT(SUBSTITUTE(LEFT(TRIM(C468),FIND(" ",TRIM(C468)&amp;" ")-1),",","."),FIND("/",SUBSTITUTE(LEFT(TRIM(C468),FIND(" ",TRIM(C468)&amp;" ")-1),",","."))-1)/MID(SUBSTITUTE(LEFT(TRIM(C468),FIND(" ",TRIM(C468)&amp;" ")-1),",","."),FIND("/",SUBSTITUTE(LEFT(TRIM(C468),FIND(" ",TRIM(C468)&amp;" ")-1),",","."))+1,9))*12/52,IF(ISNUMBER(SEARCH("month",C468)),IFERROR(_xlfn.NUMBERVALUE(SUBSTITUTE(LEFT(TRIM(C468),FIND(" ",TRIM(C468)&amp;" ")-1),",","."),"."),LEFT(SUBSTITUTE(LEFT(TRIM(C468),FIND(" ",TRIM(C468)&amp;" ")-1),",","."),FIND("/",SUBSTITUTE(LEFT(TRIM(C468),FIND(" ",TRIM(C468)&amp;" ")-1),",","."))-1)/MID(SUBSTITUTE(LEFT(TRIM(C468),FIND(" ",TRIM(C468)&amp;" ")-1),",","."),FIND("/",SUBSTITUTE(LEFT(TRIM(C468),FIND(" ",TRIM(C468)&amp;" ")-1),",","."))+1,9)),IF(ISNUMBER(SEARCH("yea",C468)),IFERROR(_xlfn.NUMBERVALUE(SUBSTITUTE(LEFT(TRIM(C468),FIND(" ",TRIM(C468)&amp;" ")-1),",","."),"."),LEFT(SUBSTITUTE(LEFT(TRIM(C468),FIND(" ",TRIM(C468)&amp;" ")-1),",","."),FIND("/",SUBSTITUTE(LEFT(TRIM(C468),FIND(" ",TRIM(C468)&amp;" ")-1),",","."))-1)/MID(SUBSTITUTE(LEFT(TRIM(C468),FIND(" ",TRIM(C468)&amp;" ")-1),",","."),FIND("/",SUBSTITUTE(LEFT(TRIM(C468),FIND(" ",TRIM(C468)&amp;" ")-1),",","."))+1,9))*12,NA()))),0),36)*'Aturan &amp; Tarif'!$B$4,2)</f>
        <v>2044.08</v>
      </c>
      <c r="K468" s="42" t="n">
        <f aca="false">'Aturan &amp; Tarif'!$B$5</f>
        <v>2050</v>
      </c>
      <c r="L468" s="42" t="n">
        <f aca="false">'Aturan &amp; Tarif'!$B$6</f>
        <v>350</v>
      </c>
      <c r="M468" s="35" t="n">
        <f aca="false">I468+J468+K468+L468</f>
        <v>10941.58</v>
      </c>
      <c r="N468" s="44" t="s">
        <v>2088</v>
      </c>
    </row>
    <row r="469" customFormat="false" ht="48.75" hidden="false" customHeight="true" outlineLevel="0" collapsed="false">
      <c r="A469" s="29" t="s">
        <v>2092</v>
      </c>
      <c r="B469" s="30" t="s">
        <v>1817</v>
      </c>
      <c r="C469" s="31" t="s">
        <v>107</v>
      </c>
      <c r="D469" s="31" t="s">
        <v>108</v>
      </c>
      <c r="E469" s="32" t="n">
        <v>1750</v>
      </c>
      <c r="F469" s="32" t="n">
        <v>200</v>
      </c>
      <c r="G469" s="32" t="n">
        <v>200</v>
      </c>
      <c r="H469" s="33" t="n">
        <v>2</v>
      </c>
      <c r="I469" s="34" t="n">
        <f aca="false">E469*H469+N(F469)+N(G469)</f>
        <v>3900</v>
      </c>
      <c r="J469" s="32" t="n">
        <f aca="false">ROUND(IFERROR(ROUND(IF(OR(ISNUMBER(SEARCH("week",C469)),ISNUMBER(SEARCH("minggu",C469))),IFERROR(_xlfn.NUMBERVALUE(SUBSTITUTE(LEFT(TRIM(C469),FIND(" ",TRIM(C469)&amp;" ")-1),",","."),"."),LEFT(SUBSTITUTE(LEFT(TRIM(C469),FIND(" ",TRIM(C469)&amp;" ")-1),",","."),FIND("/",SUBSTITUTE(LEFT(TRIM(C469),FIND(" ",TRIM(C469)&amp;" ")-1),",","."))-1)/MID(SUBSTITUTE(LEFT(TRIM(C469),FIND(" ",TRIM(C469)&amp;" ")-1),",","."),FIND("/",SUBSTITUTE(LEFT(TRIM(C469),FIND(" ",TRIM(C469)&amp;" ")-1),",","."))+1,9))*12/52,IF(ISNUMBER(SEARCH("month",C469)),IFERROR(_xlfn.NUMBERVALUE(SUBSTITUTE(LEFT(TRIM(C469),FIND(" ",TRIM(C469)&amp;" ")-1),",","."),"."),LEFT(SUBSTITUTE(LEFT(TRIM(C469),FIND(" ",TRIM(C469)&amp;" ")-1),",","."),FIND("/",SUBSTITUTE(LEFT(TRIM(C469),FIND(" ",TRIM(C469)&amp;" ")-1),",","."))-1)/MID(SUBSTITUTE(LEFT(TRIM(C469),FIND(" ",TRIM(C469)&amp;" ")-1),",","."),FIND("/",SUBSTITUTE(LEFT(TRIM(C469),FIND(" ",TRIM(C469)&amp;" ")-1),",","."))+1,9)),IF(ISNUMBER(SEARCH("yea",C469)),IFERROR(_xlfn.NUMBERVALUE(SUBSTITUTE(LEFT(TRIM(C469),FIND(" ",TRIM(C469)&amp;" ")-1),",","."),"."),LEFT(SUBSTITUTE(LEFT(TRIM(C469),FIND(" ",TRIM(C469)&amp;" ")-1),",","."),FIND("/",SUBSTITUTE(LEFT(TRIM(C469),FIND(" ",TRIM(C469)&amp;" ")-1),",","."))-1)/MID(SUBSTITUTE(LEFT(TRIM(C469),FIND(" ",TRIM(C469)&amp;" ")-1),",","."),FIND("/",SUBSTITUTE(LEFT(TRIM(C469),FIND(" ",TRIM(C469)&amp;" ")-1),",","."))+1,9))*12,NA()))),0),24)*'Aturan &amp; Tarif'!$B$4,2)</f>
        <v>1362.72</v>
      </c>
      <c r="K469" s="32" t="n">
        <f aca="false">'Aturan &amp; Tarif'!$B$5</f>
        <v>2050</v>
      </c>
      <c r="L469" s="32" t="n">
        <f aca="false">'Aturan &amp; Tarif'!$B$6</f>
        <v>350</v>
      </c>
      <c r="M469" s="35" t="n">
        <f aca="false">I469+J469+K469+L469</f>
        <v>7662.72</v>
      </c>
      <c r="N469" s="36" t="s">
        <v>2093</v>
      </c>
    </row>
    <row r="470" customFormat="false" ht="37.5" hidden="false" customHeight="true" outlineLevel="0" collapsed="false">
      <c r="A470" s="29"/>
      <c r="B470" s="30" t="s">
        <v>2094</v>
      </c>
      <c r="C470" s="31" t="s">
        <v>127</v>
      </c>
      <c r="D470" s="31" t="s">
        <v>108</v>
      </c>
      <c r="E470" s="32" t="n">
        <v>1750</v>
      </c>
      <c r="F470" s="32" t="n">
        <v>200</v>
      </c>
      <c r="G470" s="32" t="n">
        <v>200</v>
      </c>
      <c r="H470" s="33" t="n">
        <v>2</v>
      </c>
      <c r="I470" s="34" t="n">
        <f aca="false">E470*H470+N(F470)+N(G470)</f>
        <v>3900</v>
      </c>
      <c r="J470" s="32" t="n">
        <f aca="false">ROUND(IFERROR(ROUND(IF(OR(ISNUMBER(SEARCH("week",C470)),ISNUMBER(SEARCH("minggu",C470))),IFERROR(_xlfn.NUMBERVALUE(SUBSTITUTE(LEFT(TRIM(C470),FIND(" ",TRIM(C470)&amp;" ")-1),",","."),"."),LEFT(SUBSTITUTE(LEFT(TRIM(C470),FIND(" ",TRIM(C470)&amp;" ")-1),",","."),FIND("/",SUBSTITUTE(LEFT(TRIM(C470),FIND(" ",TRIM(C470)&amp;" ")-1),",","."))-1)/MID(SUBSTITUTE(LEFT(TRIM(C470),FIND(" ",TRIM(C470)&amp;" ")-1),",","."),FIND("/",SUBSTITUTE(LEFT(TRIM(C470),FIND(" ",TRIM(C470)&amp;" ")-1),",","."))+1,9))*12/52,IF(ISNUMBER(SEARCH("month",C470)),IFERROR(_xlfn.NUMBERVALUE(SUBSTITUTE(LEFT(TRIM(C470),FIND(" ",TRIM(C470)&amp;" ")-1),",","."),"."),LEFT(SUBSTITUTE(LEFT(TRIM(C470),FIND(" ",TRIM(C470)&amp;" ")-1),",","."),FIND("/",SUBSTITUTE(LEFT(TRIM(C470),FIND(" ",TRIM(C470)&amp;" ")-1),",","."))-1)/MID(SUBSTITUTE(LEFT(TRIM(C470),FIND(" ",TRIM(C470)&amp;" ")-1),",","."),FIND("/",SUBSTITUTE(LEFT(TRIM(C470),FIND(" ",TRIM(C470)&amp;" ")-1),",","."))+1,9)),IF(ISNUMBER(SEARCH("yea",C470)),IFERROR(_xlfn.NUMBERVALUE(SUBSTITUTE(LEFT(TRIM(C470),FIND(" ",TRIM(C470)&amp;" ")-1),",","."),"."),LEFT(SUBSTITUTE(LEFT(TRIM(C470),FIND(" ",TRIM(C470)&amp;" ")-1),",","."),FIND("/",SUBSTITUTE(LEFT(TRIM(C470),FIND(" ",TRIM(C470)&amp;" ")-1),",","."))-1)/MID(SUBSTITUTE(LEFT(TRIM(C470),FIND(" ",TRIM(C470)&amp;" ")-1),",","."),FIND("/",SUBSTITUTE(LEFT(TRIM(C470),FIND(" ",TRIM(C470)&amp;" ")-1),",","."))+1,9))*12,NA()))),0),36)*'Aturan &amp; Tarif'!$B$4,2)</f>
        <v>2044.08</v>
      </c>
      <c r="K470" s="32" t="n">
        <f aca="false">'Aturan &amp; Tarif'!$B$5</f>
        <v>2050</v>
      </c>
      <c r="L470" s="32" t="n">
        <f aca="false">'Aturan &amp; Tarif'!$B$6</f>
        <v>350</v>
      </c>
      <c r="M470" s="35" t="n">
        <f aca="false">I470+J470+K470+L470</f>
        <v>8344.08</v>
      </c>
      <c r="N470" s="36" t="s">
        <v>2093</v>
      </c>
    </row>
    <row r="471" customFormat="false" ht="37.5" hidden="false" customHeight="true" outlineLevel="0" collapsed="false">
      <c r="A471" s="29"/>
      <c r="B471" s="30" t="s">
        <v>496</v>
      </c>
      <c r="C471" s="31" t="s">
        <v>138</v>
      </c>
      <c r="D471" s="31" t="s">
        <v>108</v>
      </c>
      <c r="E471" s="32" t="n">
        <v>1750</v>
      </c>
      <c r="F471" s="32" t="n">
        <v>200</v>
      </c>
      <c r="G471" s="32" t="n">
        <v>200</v>
      </c>
      <c r="H471" s="33" t="n">
        <v>2</v>
      </c>
      <c r="I471" s="34" t="n">
        <f aca="false">E471*H471+N(F471)+N(G471)</f>
        <v>3900</v>
      </c>
      <c r="J471" s="32" t="n">
        <f aca="false">ROUND(IFERROR(ROUND(IF(OR(ISNUMBER(SEARCH("week",C471)),ISNUMBER(SEARCH("minggu",C471))),IFERROR(_xlfn.NUMBERVALUE(SUBSTITUTE(LEFT(TRIM(C471),FIND(" ",TRIM(C471)&amp;" ")-1),",","."),"."),LEFT(SUBSTITUTE(LEFT(TRIM(C471),FIND(" ",TRIM(C471)&amp;" ")-1),",","."),FIND("/",SUBSTITUTE(LEFT(TRIM(C471),FIND(" ",TRIM(C471)&amp;" ")-1),",","."))-1)/MID(SUBSTITUTE(LEFT(TRIM(C471),FIND(" ",TRIM(C471)&amp;" ")-1),",","."),FIND("/",SUBSTITUTE(LEFT(TRIM(C471),FIND(" ",TRIM(C471)&amp;" ")-1),",","."))+1,9))*12/52,IF(ISNUMBER(SEARCH("month",C471)),IFERROR(_xlfn.NUMBERVALUE(SUBSTITUTE(LEFT(TRIM(C471),FIND(" ",TRIM(C471)&amp;" ")-1),",","."),"."),LEFT(SUBSTITUTE(LEFT(TRIM(C471),FIND(" ",TRIM(C471)&amp;" ")-1),",","."),FIND("/",SUBSTITUTE(LEFT(TRIM(C471),FIND(" ",TRIM(C471)&amp;" ")-1),",","."))-1)/MID(SUBSTITUTE(LEFT(TRIM(C471),FIND(" ",TRIM(C471)&amp;" ")-1),",","."),FIND("/",SUBSTITUTE(LEFT(TRIM(C471),FIND(" ",TRIM(C471)&amp;" ")-1),",","."))+1,9)),IF(ISNUMBER(SEARCH("yea",C471)),IFERROR(_xlfn.NUMBERVALUE(SUBSTITUTE(LEFT(TRIM(C471),FIND(" ",TRIM(C471)&amp;" ")-1),",","."),"."),LEFT(SUBSTITUTE(LEFT(TRIM(C471),FIND(" ",TRIM(C471)&amp;" ")-1),",","."),FIND("/",SUBSTITUTE(LEFT(TRIM(C471),FIND(" ",TRIM(C471)&amp;" ")-1),",","."))-1)/MID(SUBSTITUTE(LEFT(TRIM(C471),FIND(" ",TRIM(C471)&amp;" ")-1),",","."),FIND("/",SUBSTITUTE(LEFT(TRIM(C471),FIND(" ",TRIM(C471)&amp;" ")-1),",","."))+1,9))*12,NA()))),0),30)*'Aturan &amp; Tarif'!$B$4,2)</f>
        <v>1703.4</v>
      </c>
      <c r="K471" s="32" t="n">
        <f aca="false">'Aturan &amp; Tarif'!$B$5</f>
        <v>2050</v>
      </c>
      <c r="L471" s="32" t="n">
        <f aca="false">'Aturan &amp; Tarif'!$B$6</f>
        <v>350</v>
      </c>
      <c r="M471" s="35" t="n">
        <f aca="false">I471+J471+K471+L471</f>
        <v>8003.4</v>
      </c>
      <c r="N471" s="36" t="s">
        <v>2095</v>
      </c>
    </row>
    <row r="472" customFormat="false" ht="37.5" hidden="false" customHeight="true" outlineLevel="0" collapsed="false">
      <c r="A472" s="29"/>
      <c r="B472" s="30" t="s">
        <v>2096</v>
      </c>
      <c r="C472" s="31" t="s">
        <v>191</v>
      </c>
      <c r="D472" s="31" t="s">
        <v>108</v>
      </c>
      <c r="E472" s="32" t="n">
        <v>1750</v>
      </c>
      <c r="F472" s="32" t="n">
        <v>200</v>
      </c>
      <c r="G472" s="32" t="n">
        <v>200</v>
      </c>
      <c r="H472" s="33" t="n">
        <v>2</v>
      </c>
      <c r="I472" s="34" t="n">
        <f aca="false">E472*H472+N(F472)+N(G472)</f>
        <v>3900</v>
      </c>
      <c r="J472" s="32" t="n">
        <f aca="false">ROUND(IFERROR(ROUND(IF(OR(ISNUMBER(SEARCH("week",C472)),ISNUMBER(SEARCH("minggu",C472))),IFERROR(_xlfn.NUMBERVALUE(SUBSTITUTE(LEFT(TRIM(C472),FIND(" ",TRIM(C472)&amp;" ")-1),",","."),"."),LEFT(SUBSTITUTE(LEFT(TRIM(C472),FIND(" ",TRIM(C472)&amp;" ")-1),",","."),FIND("/",SUBSTITUTE(LEFT(TRIM(C472),FIND(" ",TRIM(C472)&amp;" ")-1),",","."))-1)/MID(SUBSTITUTE(LEFT(TRIM(C472),FIND(" ",TRIM(C472)&amp;" ")-1),",","."),FIND("/",SUBSTITUTE(LEFT(TRIM(C472),FIND(" ",TRIM(C472)&amp;" ")-1),",","."))+1,9))*12/52,IF(ISNUMBER(SEARCH("month",C472)),IFERROR(_xlfn.NUMBERVALUE(SUBSTITUTE(LEFT(TRIM(C472),FIND(" ",TRIM(C472)&amp;" ")-1),",","."),"."),LEFT(SUBSTITUTE(LEFT(TRIM(C472),FIND(" ",TRIM(C472)&amp;" ")-1),",","."),FIND("/",SUBSTITUTE(LEFT(TRIM(C472),FIND(" ",TRIM(C472)&amp;" ")-1),",","."))-1)/MID(SUBSTITUTE(LEFT(TRIM(C472),FIND(" ",TRIM(C472)&amp;" ")-1),",","."),FIND("/",SUBSTITUTE(LEFT(TRIM(C472),FIND(" ",TRIM(C472)&amp;" ")-1),",","."))+1,9)),IF(ISNUMBER(SEARCH("yea",C472)),IFERROR(_xlfn.NUMBERVALUE(SUBSTITUTE(LEFT(TRIM(C472),FIND(" ",TRIM(C472)&amp;" ")-1),",","."),"."),LEFT(SUBSTITUTE(LEFT(TRIM(C472),FIND(" ",TRIM(C472)&amp;" ")-1),",","."),FIND("/",SUBSTITUTE(LEFT(TRIM(C472),FIND(" ",TRIM(C472)&amp;" ")-1),",","."))-1)/MID(SUBSTITUTE(LEFT(TRIM(C472),FIND(" ",TRIM(C472)&amp;" ")-1),",","."),FIND("/",SUBSTITUTE(LEFT(TRIM(C472),FIND(" ",TRIM(C472)&amp;" ")-1),",","."))+1,9))*12,NA()))),0),48)*'Aturan &amp; Tarif'!$B$4,2)</f>
        <v>2725.44</v>
      </c>
      <c r="K472" s="32" t="n">
        <f aca="false">'Aturan &amp; Tarif'!$B$5</f>
        <v>2050</v>
      </c>
      <c r="L472" s="32" t="n">
        <f aca="false">'Aturan &amp; Tarif'!$B$6</f>
        <v>350</v>
      </c>
      <c r="M472" s="35" t="n">
        <f aca="false">I472+J472+K472+L472</f>
        <v>9025.44</v>
      </c>
      <c r="N472" s="36" t="s">
        <v>2095</v>
      </c>
    </row>
    <row r="473" customFormat="false" ht="37.5" hidden="false" customHeight="true" outlineLevel="0" collapsed="false">
      <c r="A473" s="29"/>
      <c r="B473" s="30" t="s">
        <v>2097</v>
      </c>
      <c r="C473" s="31" t="s">
        <v>127</v>
      </c>
      <c r="D473" s="31" t="s">
        <v>108</v>
      </c>
      <c r="E473" s="32" t="n">
        <v>1750</v>
      </c>
      <c r="F473" s="32" t="n">
        <v>300</v>
      </c>
      <c r="G473" s="32" t="n">
        <v>200</v>
      </c>
      <c r="H473" s="33" t="n">
        <v>2</v>
      </c>
      <c r="I473" s="34" t="n">
        <f aca="false">E473*H473+N(F473)+N(G473)</f>
        <v>4000</v>
      </c>
      <c r="J473" s="32" t="n">
        <f aca="false">ROUND(IFERROR(ROUND(IF(OR(ISNUMBER(SEARCH("week",C473)),ISNUMBER(SEARCH("minggu",C473))),IFERROR(_xlfn.NUMBERVALUE(SUBSTITUTE(LEFT(TRIM(C473),FIND(" ",TRIM(C473)&amp;" ")-1),",","."),"."),LEFT(SUBSTITUTE(LEFT(TRIM(C473),FIND(" ",TRIM(C473)&amp;" ")-1),",","."),FIND("/",SUBSTITUTE(LEFT(TRIM(C473),FIND(" ",TRIM(C473)&amp;" ")-1),",","."))-1)/MID(SUBSTITUTE(LEFT(TRIM(C473),FIND(" ",TRIM(C473)&amp;" ")-1),",","."),FIND("/",SUBSTITUTE(LEFT(TRIM(C473),FIND(" ",TRIM(C473)&amp;" ")-1),",","."))+1,9))*12/52,IF(ISNUMBER(SEARCH("month",C473)),IFERROR(_xlfn.NUMBERVALUE(SUBSTITUTE(LEFT(TRIM(C473),FIND(" ",TRIM(C473)&amp;" ")-1),",","."),"."),LEFT(SUBSTITUTE(LEFT(TRIM(C473),FIND(" ",TRIM(C473)&amp;" ")-1),",","."),FIND("/",SUBSTITUTE(LEFT(TRIM(C473),FIND(" ",TRIM(C473)&amp;" ")-1),",","."))-1)/MID(SUBSTITUTE(LEFT(TRIM(C473),FIND(" ",TRIM(C473)&amp;" ")-1),",","."),FIND("/",SUBSTITUTE(LEFT(TRIM(C473),FIND(" ",TRIM(C473)&amp;" ")-1),",","."))+1,9)),IF(ISNUMBER(SEARCH("yea",C473)),IFERROR(_xlfn.NUMBERVALUE(SUBSTITUTE(LEFT(TRIM(C473),FIND(" ",TRIM(C473)&amp;" ")-1),",","."),"."),LEFT(SUBSTITUTE(LEFT(TRIM(C473),FIND(" ",TRIM(C473)&amp;" ")-1),",","."),FIND("/",SUBSTITUTE(LEFT(TRIM(C473),FIND(" ",TRIM(C473)&amp;" ")-1),",","."))-1)/MID(SUBSTITUTE(LEFT(TRIM(C473),FIND(" ",TRIM(C473)&amp;" ")-1),",","."),FIND("/",SUBSTITUTE(LEFT(TRIM(C473),FIND(" ",TRIM(C473)&amp;" ")-1),",","."))+1,9))*12,NA()))),0),36)*'Aturan &amp; Tarif'!$B$4,2)</f>
        <v>2044.08</v>
      </c>
      <c r="K473" s="32" t="n">
        <f aca="false">'Aturan &amp; Tarif'!$B$5</f>
        <v>2050</v>
      </c>
      <c r="L473" s="32" t="n">
        <f aca="false">'Aturan &amp; Tarif'!$B$6</f>
        <v>350</v>
      </c>
      <c r="M473" s="35" t="n">
        <f aca="false">I473+J473+K473+L473</f>
        <v>8444.08</v>
      </c>
      <c r="N473" s="36" t="s">
        <v>2095</v>
      </c>
    </row>
    <row r="474" customFormat="false" ht="37.5" hidden="false" customHeight="true" outlineLevel="0" collapsed="false">
      <c r="A474" s="29"/>
      <c r="B474" s="30" t="s">
        <v>880</v>
      </c>
      <c r="C474" s="31" t="s">
        <v>107</v>
      </c>
      <c r="D474" s="31" t="s">
        <v>108</v>
      </c>
      <c r="E474" s="32" t="n">
        <v>1750</v>
      </c>
      <c r="F474" s="32" t="n">
        <v>200</v>
      </c>
      <c r="G474" s="32" t="n">
        <v>200</v>
      </c>
      <c r="H474" s="33" t="n">
        <v>2</v>
      </c>
      <c r="I474" s="34" t="n">
        <f aca="false">E474*H474+N(F474)+N(G474)</f>
        <v>3900</v>
      </c>
      <c r="J474" s="32" t="n">
        <f aca="false">ROUND(IFERROR(ROUND(IF(OR(ISNUMBER(SEARCH("week",C474)),ISNUMBER(SEARCH("minggu",C474))),IFERROR(_xlfn.NUMBERVALUE(SUBSTITUTE(LEFT(TRIM(C474),FIND(" ",TRIM(C474)&amp;" ")-1),",","."),"."),LEFT(SUBSTITUTE(LEFT(TRIM(C474),FIND(" ",TRIM(C474)&amp;" ")-1),",","."),FIND("/",SUBSTITUTE(LEFT(TRIM(C474),FIND(" ",TRIM(C474)&amp;" ")-1),",","."))-1)/MID(SUBSTITUTE(LEFT(TRIM(C474),FIND(" ",TRIM(C474)&amp;" ")-1),",","."),FIND("/",SUBSTITUTE(LEFT(TRIM(C474),FIND(" ",TRIM(C474)&amp;" ")-1),",","."))+1,9))*12/52,IF(ISNUMBER(SEARCH("month",C474)),IFERROR(_xlfn.NUMBERVALUE(SUBSTITUTE(LEFT(TRIM(C474),FIND(" ",TRIM(C474)&amp;" ")-1),",","."),"."),LEFT(SUBSTITUTE(LEFT(TRIM(C474),FIND(" ",TRIM(C474)&amp;" ")-1),",","."),FIND("/",SUBSTITUTE(LEFT(TRIM(C474),FIND(" ",TRIM(C474)&amp;" ")-1),",","."))-1)/MID(SUBSTITUTE(LEFT(TRIM(C474),FIND(" ",TRIM(C474)&amp;" ")-1),",","."),FIND("/",SUBSTITUTE(LEFT(TRIM(C474),FIND(" ",TRIM(C474)&amp;" ")-1),",","."))+1,9)),IF(ISNUMBER(SEARCH("yea",C474)),IFERROR(_xlfn.NUMBERVALUE(SUBSTITUTE(LEFT(TRIM(C474),FIND(" ",TRIM(C474)&amp;" ")-1),",","."),"."),LEFT(SUBSTITUTE(LEFT(TRIM(C474),FIND(" ",TRIM(C474)&amp;" ")-1),",","."),FIND("/",SUBSTITUTE(LEFT(TRIM(C474),FIND(" ",TRIM(C474)&amp;" ")-1),",","."))-1)/MID(SUBSTITUTE(LEFT(TRIM(C474),FIND(" ",TRIM(C474)&amp;" ")-1),",","."),FIND("/",SUBSTITUTE(LEFT(TRIM(C474),FIND(" ",TRIM(C474)&amp;" ")-1),",","."))+1,9))*12,NA()))),0),24)*'Aturan &amp; Tarif'!$B$4,2)</f>
        <v>1362.72</v>
      </c>
      <c r="K474" s="32" t="n">
        <f aca="false">'Aturan &amp; Tarif'!$B$5</f>
        <v>2050</v>
      </c>
      <c r="L474" s="32" t="n">
        <f aca="false">'Aturan &amp; Tarif'!$B$6</f>
        <v>350</v>
      </c>
      <c r="M474" s="35" t="n">
        <f aca="false">I474+J474+K474+L474</f>
        <v>7662.72</v>
      </c>
      <c r="N474" s="36" t="s">
        <v>2095</v>
      </c>
    </row>
    <row r="475" customFormat="false" ht="37.5" hidden="false" customHeight="true" outlineLevel="0" collapsed="false">
      <c r="A475" s="29"/>
      <c r="B475" s="30" t="s">
        <v>889</v>
      </c>
      <c r="C475" s="31" t="s">
        <v>107</v>
      </c>
      <c r="D475" s="31" t="s">
        <v>108</v>
      </c>
      <c r="E475" s="32" t="n">
        <v>2000</v>
      </c>
      <c r="F475" s="32" t="n">
        <v>400</v>
      </c>
      <c r="G475" s="32" t="n">
        <v>200</v>
      </c>
      <c r="H475" s="33" t="n">
        <v>2</v>
      </c>
      <c r="I475" s="34" t="n">
        <f aca="false">E475*H475+N(F475)+N(G475)</f>
        <v>4600</v>
      </c>
      <c r="J475" s="32" t="n">
        <f aca="false">ROUND(IFERROR(ROUND(IF(OR(ISNUMBER(SEARCH("week",C475)),ISNUMBER(SEARCH("minggu",C475))),IFERROR(_xlfn.NUMBERVALUE(SUBSTITUTE(LEFT(TRIM(C475),FIND(" ",TRIM(C475)&amp;" ")-1),",","."),"."),LEFT(SUBSTITUTE(LEFT(TRIM(C475),FIND(" ",TRIM(C475)&amp;" ")-1),",","."),FIND("/",SUBSTITUTE(LEFT(TRIM(C475),FIND(" ",TRIM(C475)&amp;" ")-1),",","."))-1)/MID(SUBSTITUTE(LEFT(TRIM(C475),FIND(" ",TRIM(C475)&amp;" ")-1),",","."),FIND("/",SUBSTITUTE(LEFT(TRIM(C475),FIND(" ",TRIM(C475)&amp;" ")-1),",","."))+1,9))*12/52,IF(ISNUMBER(SEARCH("month",C475)),IFERROR(_xlfn.NUMBERVALUE(SUBSTITUTE(LEFT(TRIM(C475),FIND(" ",TRIM(C475)&amp;" ")-1),",","."),"."),LEFT(SUBSTITUTE(LEFT(TRIM(C475),FIND(" ",TRIM(C475)&amp;" ")-1),",","."),FIND("/",SUBSTITUTE(LEFT(TRIM(C475),FIND(" ",TRIM(C475)&amp;" ")-1),",","."))-1)/MID(SUBSTITUTE(LEFT(TRIM(C475),FIND(" ",TRIM(C475)&amp;" ")-1),",","."),FIND("/",SUBSTITUTE(LEFT(TRIM(C475),FIND(" ",TRIM(C475)&amp;" ")-1),",","."))+1,9)),IF(ISNUMBER(SEARCH("yea",C475)),IFERROR(_xlfn.NUMBERVALUE(SUBSTITUTE(LEFT(TRIM(C475),FIND(" ",TRIM(C475)&amp;" ")-1),",","."),"."),LEFT(SUBSTITUTE(LEFT(TRIM(C475),FIND(" ",TRIM(C475)&amp;" ")-1),",","."),FIND("/",SUBSTITUTE(LEFT(TRIM(C475),FIND(" ",TRIM(C475)&amp;" ")-1),",","."))-1)/MID(SUBSTITUTE(LEFT(TRIM(C475),FIND(" ",TRIM(C475)&amp;" ")-1),",","."),FIND("/",SUBSTITUTE(LEFT(TRIM(C475),FIND(" ",TRIM(C475)&amp;" ")-1),",","."))+1,9))*12,NA()))),0),24)*'Aturan &amp; Tarif'!$B$4,2)</f>
        <v>1362.72</v>
      </c>
      <c r="K475" s="32" t="n">
        <f aca="false">'Aturan &amp; Tarif'!$B$5</f>
        <v>2050</v>
      </c>
      <c r="L475" s="32" t="n">
        <f aca="false">'Aturan &amp; Tarif'!$B$6</f>
        <v>350</v>
      </c>
      <c r="M475" s="35" t="n">
        <f aca="false">I475+J475+K475+L475</f>
        <v>8362.72</v>
      </c>
      <c r="N475" s="36" t="s">
        <v>2098</v>
      </c>
    </row>
    <row r="476" customFormat="false" ht="37.5" hidden="false" customHeight="true" outlineLevel="0" collapsed="false">
      <c r="A476" s="29"/>
      <c r="B476" s="30" t="s">
        <v>881</v>
      </c>
      <c r="C476" s="31" t="s">
        <v>107</v>
      </c>
      <c r="D476" s="31" t="s">
        <v>108</v>
      </c>
      <c r="E476" s="32" t="n">
        <v>2250</v>
      </c>
      <c r="F476" s="32" t="n">
        <v>600</v>
      </c>
      <c r="G476" s="32" t="n">
        <v>200</v>
      </c>
      <c r="H476" s="33" t="n">
        <v>2</v>
      </c>
      <c r="I476" s="34" t="n">
        <f aca="false">E476*H476+N(F476)+N(G476)</f>
        <v>5300</v>
      </c>
      <c r="J476" s="32" t="n">
        <f aca="false">ROUND(IFERROR(ROUND(IF(OR(ISNUMBER(SEARCH("week",C476)),ISNUMBER(SEARCH("minggu",C476))),IFERROR(_xlfn.NUMBERVALUE(SUBSTITUTE(LEFT(TRIM(C476),FIND(" ",TRIM(C476)&amp;" ")-1),",","."),"."),LEFT(SUBSTITUTE(LEFT(TRIM(C476),FIND(" ",TRIM(C476)&amp;" ")-1),",","."),FIND("/",SUBSTITUTE(LEFT(TRIM(C476),FIND(" ",TRIM(C476)&amp;" ")-1),",","."))-1)/MID(SUBSTITUTE(LEFT(TRIM(C476),FIND(" ",TRIM(C476)&amp;" ")-1),",","."),FIND("/",SUBSTITUTE(LEFT(TRIM(C476),FIND(" ",TRIM(C476)&amp;" ")-1),",","."))+1,9))*12/52,IF(ISNUMBER(SEARCH("month",C476)),IFERROR(_xlfn.NUMBERVALUE(SUBSTITUTE(LEFT(TRIM(C476),FIND(" ",TRIM(C476)&amp;" ")-1),",","."),"."),LEFT(SUBSTITUTE(LEFT(TRIM(C476),FIND(" ",TRIM(C476)&amp;" ")-1),",","."),FIND("/",SUBSTITUTE(LEFT(TRIM(C476),FIND(" ",TRIM(C476)&amp;" ")-1),",","."))-1)/MID(SUBSTITUTE(LEFT(TRIM(C476),FIND(" ",TRIM(C476)&amp;" ")-1),",","."),FIND("/",SUBSTITUTE(LEFT(TRIM(C476),FIND(" ",TRIM(C476)&amp;" ")-1),",","."))+1,9)),IF(ISNUMBER(SEARCH("yea",C476)),IFERROR(_xlfn.NUMBERVALUE(SUBSTITUTE(LEFT(TRIM(C476),FIND(" ",TRIM(C476)&amp;" ")-1),",","."),"."),LEFT(SUBSTITUTE(LEFT(TRIM(C476),FIND(" ",TRIM(C476)&amp;" ")-1),",","."),FIND("/",SUBSTITUTE(LEFT(TRIM(C476),FIND(" ",TRIM(C476)&amp;" ")-1),",","."))-1)/MID(SUBSTITUTE(LEFT(TRIM(C476),FIND(" ",TRIM(C476)&amp;" ")-1),",","."),FIND("/",SUBSTITUTE(LEFT(TRIM(C476),FIND(" ",TRIM(C476)&amp;" ")-1),",","."))+1,9))*12,NA()))),0),24)*'Aturan &amp; Tarif'!$B$4,2)</f>
        <v>1362.72</v>
      </c>
      <c r="K476" s="32" t="n">
        <f aca="false">'Aturan &amp; Tarif'!$B$5</f>
        <v>2050</v>
      </c>
      <c r="L476" s="32" t="n">
        <f aca="false">'Aturan &amp; Tarif'!$B$6</f>
        <v>350</v>
      </c>
      <c r="M476" s="35" t="n">
        <f aca="false">I476+J476+K476+L476</f>
        <v>9062.72</v>
      </c>
      <c r="N476" s="36" t="s">
        <v>2099</v>
      </c>
    </row>
    <row r="477" customFormat="false" ht="37.5" hidden="false" customHeight="true" outlineLevel="0" collapsed="false">
      <c r="A477" s="29"/>
      <c r="B477" s="30" t="s">
        <v>1979</v>
      </c>
      <c r="C477" s="31" t="s">
        <v>107</v>
      </c>
      <c r="D477" s="31" t="s">
        <v>108</v>
      </c>
      <c r="E477" s="32" t="n">
        <v>2250</v>
      </c>
      <c r="F477" s="32" t="n">
        <v>600</v>
      </c>
      <c r="G477" s="32" t="n">
        <v>200</v>
      </c>
      <c r="H477" s="33" t="n">
        <v>2</v>
      </c>
      <c r="I477" s="34" t="n">
        <f aca="false">E477*H477+N(F477)+N(G477)</f>
        <v>5300</v>
      </c>
      <c r="J477" s="32" t="n">
        <f aca="false">ROUND(IFERROR(ROUND(IF(OR(ISNUMBER(SEARCH("week",C477)),ISNUMBER(SEARCH("minggu",C477))),IFERROR(_xlfn.NUMBERVALUE(SUBSTITUTE(LEFT(TRIM(C477),FIND(" ",TRIM(C477)&amp;" ")-1),",","."),"."),LEFT(SUBSTITUTE(LEFT(TRIM(C477),FIND(" ",TRIM(C477)&amp;" ")-1),",","."),FIND("/",SUBSTITUTE(LEFT(TRIM(C477),FIND(" ",TRIM(C477)&amp;" ")-1),",","."))-1)/MID(SUBSTITUTE(LEFT(TRIM(C477),FIND(" ",TRIM(C477)&amp;" ")-1),",","."),FIND("/",SUBSTITUTE(LEFT(TRIM(C477),FIND(" ",TRIM(C477)&amp;" ")-1),",","."))+1,9))*12/52,IF(ISNUMBER(SEARCH("month",C477)),IFERROR(_xlfn.NUMBERVALUE(SUBSTITUTE(LEFT(TRIM(C477),FIND(" ",TRIM(C477)&amp;" ")-1),",","."),"."),LEFT(SUBSTITUTE(LEFT(TRIM(C477),FIND(" ",TRIM(C477)&amp;" ")-1),",","."),FIND("/",SUBSTITUTE(LEFT(TRIM(C477),FIND(" ",TRIM(C477)&amp;" ")-1),",","."))-1)/MID(SUBSTITUTE(LEFT(TRIM(C477),FIND(" ",TRIM(C477)&amp;" ")-1),",","."),FIND("/",SUBSTITUTE(LEFT(TRIM(C477),FIND(" ",TRIM(C477)&amp;" ")-1),",","."))+1,9)),IF(ISNUMBER(SEARCH("yea",C477)),IFERROR(_xlfn.NUMBERVALUE(SUBSTITUTE(LEFT(TRIM(C477),FIND(" ",TRIM(C477)&amp;" ")-1),",","."),"."),LEFT(SUBSTITUTE(LEFT(TRIM(C477),FIND(" ",TRIM(C477)&amp;" ")-1),",","."),FIND("/",SUBSTITUTE(LEFT(TRIM(C477),FIND(" ",TRIM(C477)&amp;" ")-1),",","."))-1)/MID(SUBSTITUTE(LEFT(TRIM(C477),FIND(" ",TRIM(C477)&amp;" ")-1),",","."),FIND("/",SUBSTITUTE(LEFT(TRIM(C477),FIND(" ",TRIM(C477)&amp;" ")-1),",","."))+1,9))*12,NA()))),0),24)*'Aturan &amp; Tarif'!$B$4,2)</f>
        <v>1362.72</v>
      </c>
      <c r="K477" s="32" t="n">
        <f aca="false">'Aturan &amp; Tarif'!$B$5</f>
        <v>2050</v>
      </c>
      <c r="L477" s="32" t="n">
        <f aca="false">'Aturan &amp; Tarif'!$B$6</f>
        <v>350</v>
      </c>
      <c r="M477" s="35" t="n">
        <f aca="false">I477+J477+K477+L477</f>
        <v>9062.72</v>
      </c>
      <c r="N477" s="36" t="s">
        <v>2100</v>
      </c>
    </row>
    <row r="478" customFormat="false" ht="37.5" hidden="false" customHeight="true" outlineLevel="0" collapsed="false">
      <c r="A478" s="29"/>
      <c r="B478" s="30" t="s">
        <v>2101</v>
      </c>
      <c r="C478" s="31" t="s">
        <v>191</v>
      </c>
      <c r="D478" s="31" t="s">
        <v>108</v>
      </c>
      <c r="E478" s="32" t="n">
        <v>2250</v>
      </c>
      <c r="F478" s="32" t="n">
        <v>600</v>
      </c>
      <c r="G478" s="32" t="n">
        <v>200</v>
      </c>
      <c r="H478" s="33" t="n">
        <v>2</v>
      </c>
      <c r="I478" s="34" t="n">
        <f aca="false">E478*H478+N(F478)+N(G478)</f>
        <v>5300</v>
      </c>
      <c r="J478" s="32" t="n">
        <f aca="false">ROUND(IFERROR(ROUND(IF(OR(ISNUMBER(SEARCH("week",C478)),ISNUMBER(SEARCH("minggu",C478))),IFERROR(_xlfn.NUMBERVALUE(SUBSTITUTE(LEFT(TRIM(C478),FIND(" ",TRIM(C478)&amp;" ")-1),",","."),"."),LEFT(SUBSTITUTE(LEFT(TRIM(C478),FIND(" ",TRIM(C478)&amp;" ")-1),",","."),FIND("/",SUBSTITUTE(LEFT(TRIM(C478),FIND(" ",TRIM(C478)&amp;" ")-1),",","."))-1)/MID(SUBSTITUTE(LEFT(TRIM(C478),FIND(" ",TRIM(C478)&amp;" ")-1),",","."),FIND("/",SUBSTITUTE(LEFT(TRIM(C478),FIND(" ",TRIM(C478)&amp;" ")-1),",","."))+1,9))*12/52,IF(ISNUMBER(SEARCH("month",C478)),IFERROR(_xlfn.NUMBERVALUE(SUBSTITUTE(LEFT(TRIM(C478),FIND(" ",TRIM(C478)&amp;" ")-1),",","."),"."),LEFT(SUBSTITUTE(LEFT(TRIM(C478),FIND(" ",TRIM(C478)&amp;" ")-1),",","."),FIND("/",SUBSTITUTE(LEFT(TRIM(C478),FIND(" ",TRIM(C478)&amp;" ")-1),",","."))-1)/MID(SUBSTITUTE(LEFT(TRIM(C478),FIND(" ",TRIM(C478)&amp;" ")-1),",","."),FIND("/",SUBSTITUTE(LEFT(TRIM(C478),FIND(" ",TRIM(C478)&amp;" ")-1),",","."))+1,9)),IF(ISNUMBER(SEARCH("yea",C478)),IFERROR(_xlfn.NUMBERVALUE(SUBSTITUTE(LEFT(TRIM(C478),FIND(" ",TRIM(C478)&amp;" ")-1),",","."),"."),LEFT(SUBSTITUTE(LEFT(TRIM(C478),FIND(" ",TRIM(C478)&amp;" ")-1),",","."),FIND("/",SUBSTITUTE(LEFT(TRIM(C478),FIND(" ",TRIM(C478)&amp;" ")-1),",","."))-1)/MID(SUBSTITUTE(LEFT(TRIM(C478),FIND(" ",TRIM(C478)&amp;" ")-1),",","."),FIND("/",SUBSTITUTE(LEFT(TRIM(C478),FIND(" ",TRIM(C478)&amp;" ")-1),",","."))+1,9))*12,NA()))),0),48)*'Aturan &amp; Tarif'!$B$4,2)</f>
        <v>2725.44</v>
      </c>
      <c r="K478" s="32" t="n">
        <f aca="false">'Aturan &amp; Tarif'!$B$5</f>
        <v>2050</v>
      </c>
      <c r="L478" s="32" t="n">
        <f aca="false">'Aturan &amp; Tarif'!$B$6</f>
        <v>350</v>
      </c>
      <c r="M478" s="35" t="n">
        <f aca="false">I478+J478+K478+L478</f>
        <v>10425.44</v>
      </c>
      <c r="N478" s="36" t="s">
        <v>2100</v>
      </c>
    </row>
    <row r="479" customFormat="false" ht="48.75" hidden="false" customHeight="true" outlineLevel="0" collapsed="false">
      <c r="A479" s="39" t="s">
        <v>2102</v>
      </c>
      <c r="B479" s="40" t="s">
        <v>952</v>
      </c>
      <c r="C479" s="41" t="s">
        <v>107</v>
      </c>
      <c r="D479" s="41" t="s">
        <v>108</v>
      </c>
      <c r="E479" s="42" t="n">
        <v>2500</v>
      </c>
      <c r="F479" s="42" t="n">
        <v>2500</v>
      </c>
      <c r="G479" s="42" t="n">
        <v>350</v>
      </c>
      <c r="H479" s="43" t="n">
        <v>1</v>
      </c>
      <c r="I479" s="34" t="n">
        <f aca="false">E479*H479+N(F479)+N(G479)</f>
        <v>5350</v>
      </c>
      <c r="J479" s="42" t="n">
        <f aca="false">ROUND(IFERROR(ROUND(IF(OR(ISNUMBER(SEARCH("week",C479)),ISNUMBER(SEARCH("minggu",C479))),IFERROR(_xlfn.NUMBERVALUE(SUBSTITUTE(LEFT(TRIM(C479),FIND(" ",TRIM(C479)&amp;" ")-1),",","."),"."),LEFT(SUBSTITUTE(LEFT(TRIM(C479),FIND(" ",TRIM(C479)&amp;" ")-1),",","."),FIND("/",SUBSTITUTE(LEFT(TRIM(C479),FIND(" ",TRIM(C479)&amp;" ")-1),",","."))-1)/MID(SUBSTITUTE(LEFT(TRIM(C479),FIND(" ",TRIM(C479)&amp;" ")-1),",","."),FIND("/",SUBSTITUTE(LEFT(TRIM(C479),FIND(" ",TRIM(C479)&amp;" ")-1),",","."))+1,9))*12/52,IF(ISNUMBER(SEARCH("month",C479)),IFERROR(_xlfn.NUMBERVALUE(SUBSTITUTE(LEFT(TRIM(C479),FIND(" ",TRIM(C479)&amp;" ")-1),",","."),"."),LEFT(SUBSTITUTE(LEFT(TRIM(C479),FIND(" ",TRIM(C479)&amp;" ")-1),",","."),FIND("/",SUBSTITUTE(LEFT(TRIM(C479),FIND(" ",TRIM(C479)&amp;" ")-1),",","."))-1)/MID(SUBSTITUTE(LEFT(TRIM(C479),FIND(" ",TRIM(C479)&amp;" ")-1),",","."),FIND("/",SUBSTITUTE(LEFT(TRIM(C479),FIND(" ",TRIM(C479)&amp;" ")-1),",","."))+1,9)),IF(ISNUMBER(SEARCH("yea",C479)),IFERROR(_xlfn.NUMBERVALUE(SUBSTITUTE(LEFT(TRIM(C479),FIND(" ",TRIM(C479)&amp;" ")-1),",","."),"."),LEFT(SUBSTITUTE(LEFT(TRIM(C479),FIND(" ",TRIM(C479)&amp;" ")-1),",","."),FIND("/",SUBSTITUTE(LEFT(TRIM(C479),FIND(" ",TRIM(C479)&amp;" ")-1),",","."))-1)/MID(SUBSTITUTE(LEFT(TRIM(C479),FIND(" ",TRIM(C479)&amp;" ")-1),",","."),FIND("/",SUBSTITUTE(LEFT(TRIM(C479),FIND(" ",TRIM(C479)&amp;" ")-1),",","."))+1,9))*12,NA()))),0),24)*'Aturan &amp; Tarif'!$B$4,2)</f>
        <v>1362.72</v>
      </c>
      <c r="K479" s="42" t="n">
        <f aca="false">'Aturan &amp; Tarif'!$B$5</f>
        <v>2050</v>
      </c>
      <c r="L479" s="42" t="n">
        <f aca="false">'Aturan &amp; Tarif'!$B$6</f>
        <v>350</v>
      </c>
      <c r="M479" s="35" t="n">
        <f aca="false">I479+J479+K479+L479</f>
        <v>9112.72</v>
      </c>
      <c r="N479" s="44" t="s">
        <v>131</v>
      </c>
    </row>
    <row r="480" customFormat="false" ht="14.25" hidden="false" customHeight="true" outlineLevel="0" collapsed="false">
      <c r="A480" s="39"/>
      <c r="B480" s="40" t="s">
        <v>2103</v>
      </c>
      <c r="C480" s="41" t="s">
        <v>138</v>
      </c>
      <c r="D480" s="41" t="s">
        <v>108</v>
      </c>
      <c r="E480" s="42" t="n">
        <v>2500</v>
      </c>
      <c r="F480" s="42" t="n">
        <v>4000</v>
      </c>
      <c r="G480" s="42" t="n">
        <v>350</v>
      </c>
      <c r="H480" s="43" t="n">
        <v>1</v>
      </c>
      <c r="I480" s="34" t="n">
        <f aca="false">E480*H480+N(F480)+N(G480)</f>
        <v>6850</v>
      </c>
      <c r="J480" s="42" t="n">
        <f aca="false">ROUND(IFERROR(ROUND(IF(OR(ISNUMBER(SEARCH("week",C480)),ISNUMBER(SEARCH("minggu",C480))),IFERROR(_xlfn.NUMBERVALUE(SUBSTITUTE(LEFT(TRIM(C480),FIND(" ",TRIM(C480)&amp;" ")-1),",","."),"."),LEFT(SUBSTITUTE(LEFT(TRIM(C480),FIND(" ",TRIM(C480)&amp;" ")-1),",","."),FIND("/",SUBSTITUTE(LEFT(TRIM(C480),FIND(" ",TRIM(C480)&amp;" ")-1),",","."))-1)/MID(SUBSTITUTE(LEFT(TRIM(C480),FIND(" ",TRIM(C480)&amp;" ")-1),",","."),FIND("/",SUBSTITUTE(LEFT(TRIM(C480),FIND(" ",TRIM(C480)&amp;" ")-1),",","."))+1,9))*12/52,IF(ISNUMBER(SEARCH("month",C480)),IFERROR(_xlfn.NUMBERVALUE(SUBSTITUTE(LEFT(TRIM(C480),FIND(" ",TRIM(C480)&amp;" ")-1),",","."),"."),LEFT(SUBSTITUTE(LEFT(TRIM(C480),FIND(" ",TRIM(C480)&amp;" ")-1),",","."),FIND("/",SUBSTITUTE(LEFT(TRIM(C480),FIND(" ",TRIM(C480)&amp;" ")-1),",","."))-1)/MID(SUBSTITUTE(LEFT(TRIM(C480),FIND(" ",TRIM(C480)&amp;" ")-1),",","."),FIND("/",SUBSTITUTE(LEFT(TRIM(C480),FIND(" ",TRIM(C480)&amp;" ")-1),",","."))+1,9)),IF(ISNUMBER(SEARCH("yea",C480)),IFERROR(_xlfn.NUMBERVALUE(SUBSTITUTE(LEFT(TRIM(C480),FIND(" ",TRIM(C480)&amp;" ")-1),",","."),"."),LEFT(SUBSTITUTE(LEFT(TRIM(C480),FIND(" ",TRIM(C480)&amp;" ")-1),",","."),FIND("/",SUBSTITUTE(LEFT(TRIM(C480),FIND(" ",TRIM(C480)&amp;" ")-1),",","."))-1)/MID(SUBSTITUTE(LEFT(TRIM(C480),FIND(" ",TRIM(C480)&amp;" ")-1),",","."),FIND("/",SUBSTITUTE(LEFT(TRIM(C480),FIND(" ",TRIM(C480)&amp;" ")-1),",","."))+1,9))*12,NA()))),0),30)*'Aturan &amp; Tarif'!$B$4,2)</f>
        <v>1703.4</v>
      </c>
      <c r="K480" s="42" t="n">
        <f aca="false">'Aturan &amp; Tarif'!$B$5</f>
        <v>2050</v>
      </c>
      <c r="L480" s="42" t="n">
        <f aca="false">'Aturan &amp; Tarif'!$B$6</f>
        <v>350</v>
      </c>
      <c r="M480" s="35" t="n">
        <f aca="false">I480+J480+K480+L480</f>
        <v>10953.4</v>
      </c>
      <c r="N480" s="44" t="s">
        <v>131</v>
      </c>
    </row>
    <row r="481" customFormat="false" ht="25.5" hidden="false" customHeight="true" outlineLevel="0" collapsed="false">
      <c r="A481" s="29" t="s">
        <v>2104</v>
      </c>
      <c r="B481" s="30" t="s">
        <v>2105</v>
      </c>
      <c r="C481" s="31" t="s">
        <v>127</v>
      </c>
      <c r="D481" s="31" t="s">
        <v>108</v>
      </c>
      <c r="E481" s="32" t="n">
        <v>9595</v>
      </c>
      <c r="F481" s="32"/>
      <c r="G481" s="32"/>
      <c r="H481" s="33" t="n">
        <v>2</v>
      </c>
      <c r="I481" s="34" t="n">
        <f aca="false">E481*H481+N(F481)+N(G481)</f>
        <v>19190</v>
      </c>
      <c r="J481" s="32" t="n">
        <f aca="false">ROUND(IFERROR(ROUND(IF(OR(ISNUMBER(SEARCH("week",C481)),ISNUMBER(SEARCH("minggu",C481))),IFERROR(_xlfn.NUMBERVALUE(SUBSTITUTE(LEFT(TRIM(C481),FIND(" ",TRIM(C481)&amp;" ")-1),",","."),"."),LEFT(SUBSTITUTE(LEFT(TRIM(C481),FIND(" ",TRIM(C481)&amp;" ")-1),",","."),FIND("/",SUBSTITUTE(LEFT(TRIM(C481),FIND(" ",TRIM(C481)&amp;" ")-1),",","."))-1)/MID(SUBSTITUTE(LEFT(TRIM(C481),FIND(" ",TRIM(C481)&amp;" ")-1),",","."),FIND("/",SUBSTITUTE(LEFT(TRIM(C481),FIND(" ",TRIM(C481)&amp;" ")-1),",","."))+1,9))*12/52,IF(ISNUMBER(SEARCH("month",C481)),IFERROR(_xlfn.NUMBERVALUE(SUBSTITUTE(LEFT(TRIM(C481),FIND(" ",TRIM(C481)&amp;" ")-1),",","."),"."),LEFT(SUBSTITUTE(LEFT(TRIM(C481),FIND(" ",TRIM(C481)&amp;" ")-1),",","."),FIND("/",SUBSTITUTE(LEFT(TRIM(C481),FIND(" ",TRIM(C481)&amp;" ")-1),",","."))-1)/MID(SUBSTITUTE(LEFT(TRIM(C481),FIND(" ",TRIM(C481)&amp;" ")-1),",","."),FIND("/",SUBSTITUTE(LEFT(TRIM(C481),FIND(" ",TRIM(C481)&amp;" ")-1),",","."))+1,9)),IF(ISNUMBER(SEARCH("yea",C481)),IFERROR(_xlfn.NUMBERVALUE(SUBSTITUTE(LEFT(TRIM(C481),FIND(" ",TRIM(C481)&amp;" ")-1),",","."),"."),LEFT(SUBSTITUTE(LEFT(TRIM(C481),FIND(" ",TRIM(C481)&amp;" ")-1),",","."),FIND("/",SUBSTITUTE(LEFT(TRIM(C481),FIND(" ",TRIM(C481)&amp;" ")-1),",","."))-1)/MID(SUBSTITUTE(LEFT(TRIM(C481),FIND(" ",TRIM(C481)&amp;" ")-1),",","."),FIND("/",SUBSTITUTE(LEFT(TRIM(C481),FIND(" ",TRIM(C481)&amp;" ")-1),",","."))+1,9))*12,NA()))),0),36)*'Aturan &amp; Tarif'!$B$4,2)</f>
        <v>2044.08</v>
      </c>
      <c r="K481" s="32" t="n">
        <f aca="false">'Aturan &amp; Tarif'!$B$5</f>
        <v>2050</v>
      </c>
      <c r="L481" s="32" t="n">
        <f aca="false">'Aturan &amp; Tarif'!$B$6</f>
        <v>350</v>
      </c>
      <c r="M481" s="35" t="n">
        <f aca="false">I481+J481+K481+L481</f>
        <v>23634.08</v>
      </c>
      <c r="N481" s="37" t="s">
        <v>2106</v>
      </c>
    </row>
    <row r="482" customFormat="false" ht="25.5" hidden="false" customHeight="true" outlineLevel="0" collapsed="false">
      <c r="A482" s="29"/>
      <c r="B482" s="30" t="s">
        <v>2107</v>
      </c>
      <c r="C482" s="31" t="s">
        <v>113</v>
      </c>
      <c r="D482" s="31" t="s">
        <v>108</v>
      </c>
      <c r="E482" s="32" t="n">
        <v>4500</v>
      </c>
      <c r="F482" s="32" t="n">
        <v>300</v>
      </c>
      <c r="G482" s="32"/>
      <c r="H482" s="33" t="n">
        <v>2</v>
      </c>
      <c r="I482" s="34" t="n">
        <f aca="false">E482*H482+N(F482)+N(G482)</f>
        <v>9300</v>
      </c>
      <c r="J482" s="32" t="n">
        <f aca="false">ROUND(IFERROR(ROUND(IF(OR(ISNUMBER(SEARCH("week",C482)),ISNUMBER(SEARCH("minggu",C482))),IFERROR(_xlfn.NUMBERVALUE(SUBSTITUTE(LEFT(TRIM(C482),FIND(" ",TRIM(C482)&amp;" ")-1),",","."),"."),LEFT(SUBSTITUTE(LEFT(TRIM(C482),FIND(" ",TRIM(C482)&amp;" ")-1),",","."),FIND("/",SUBSTITUTE(LEFT(TRIM(C482),FIND(" ",TRIM(C482)&amp;" ")-1),",","."))-1)/MID(SUBSTITUTE(LEFT(TRIM(C482),FIND(" ",TRIM(C482)&amp;" ")-1),",","."),FIND("/",SUBSTITUTE(LEFT(TRIM(C482),FIND(" ",TRIM(C482)&amp;" ")-1),",","."))+1,9))*12/52,IF(ISNUMBER(SEARCH("month",C482)),IFERROR(_xlfn.NUMBERVALUE(SUBSTITUTE(LEFT(TRIM(C482),FIND(" ",TRIM(C482)&amp;" ")-1),",","."),"."),LEFT(SUBSTITUTE(LEFT(TRIM(C482),FIND(" ",TRIM(C482)&amp;" ")-1),",","."),FIND("/",SUBSTITUTE(LEFT(TRIM(C482),FIND(" ",TRIM(C482)&amp;" ")-1),",","."))-1)/MID(SUBSTITUTE(LEFT(TRIM(C482),FIND(" ",TRIM(C482)&amp;" ")-1),",","."),FIND("/",SUBSTITUTE(LEFT(TRIM(C482),FIND(" ",TRIM(C482)&amp;" ")-1),",","."))+1,9)),IF(ISNUMBER(SEARCH("yea",C482)),IFERROR(_xlfn.NUMBERVALUE(SUBSTITUTE(LEFT(TRIM(C482),FIND(" ",TRIM(C482)&amp;" ")-1),",","."),"."),LEFT(SUBSTITUTE(LEFT(TRIM(C482),FIND(" ",TRIM(C482)&amp;" ")-1),",","."),FIND("/",SUBSTITUTE(LEFT(TRIM(C482),FIND(" ",TRIM(C482)&amp;" ")-1),",","."))-1)/MID(SUBSTITUTE(LEFT(TRIM(C482),FIND(" ",TRIM(C482)&amp;" ")-1),",","."),FIND("/",SUBSTITUTE(LEFT(TRIM(C482),FIND(" ",TRIM(C482)&amp;" ")-1),",","."))+1,9))*12,NA()))),0),18)*'Aturan &amp; Tarif'!$B$4,2)</f>
        <v>1022.04</v>
      </c>
      <c r="K482" s="32" t="n">
        <f aca="false">'Aturan &amp; Tarif'!$B$5</f>
        <v>2050</v>
      </c>
      <c r="L482" s="32" t="n">
        <f aca="false">'Aturan &amp; Tarif'!$B$6</f>
        <v>350</v>
      </c>
      <c r="M482" s="35" t="n">
        <f aca="false">I482+J482+K482+L482</f>
        <v>12722.04</v>
      </c>
      <c r="N482" s="37" t="s">
        <v>2108</v>
      </c>
    </row>
    <row r="483" customFormat="false" ht="25.5" hidden="false" customHeight="true" outlineLevel="0" collapsed="false">
      <c r="A483" s="29"/>
      <c r="B483" s="30" t="s">
        <v>2109</v>
      </c>
      <c r="C483" s="31" t="s">
        <v>138</v>
      </c>
      <c r="D483" s="31" t="s">
        <v>108</v>
      </c>
      <c r="E483" s="32" t="n">
        <v>4500</v>
      </c>
      <c r="F483" s="32" t="n">
        <v>300</v>
      </c>
      <c r="G483" s="32"/>
      <c r="H483" s="33" t="n">
        <v>2</v>
      </c>
      <c r="I483" s="34" t="n">
        <f aca="false">E483*H483+N(F483)+N(G483)</f>
        <v>9300</v>
      </c>
      <c r="J483" s="32" t="n">
        <f aca="false">ROUND(IFERROR(ROUND(IF(OR(ISNUMBER(SEARCH("week",C483)),ISNUMBER(SEARCH("minggu",C483))),IFERROR(_xlfn.NUMBERVALUE(SUBSTITUTE(LEFT(TRIM(C483),FIND(" ",TRIM(C483)&amp;" ")-1),",","."),"."),LEFT(SUBSTITUTE(LEFT(TRIM(C483),FIND(" ",TRIM(C483)&amp;" ")-1),",","."),FIND("/",SUBSTITUTE(LEFT(TRIM(C483),FIND(" ",TRIM(C483)&amp;" ")-1),",","."))-1)/MID(SUBSTITUTE(LEFT(TRIM(C483),FIND(" ",TRIM(C483)&amp;" ")-1),",","."),FIND("/",SUBSTITUTE(LEFT(TRIM(C483),FIND(" ",TRIM(C483)&amp;" ")-1),",","."))+1,9))*12/52,IF(ISNUMBER(SEARCH("month",C483)),IFERROR(_xlfn.NUMBERVALUE(SUBSTITUTE(LEFT(TRIM(C483),FIND(" ",TRIM(C483)&amp;" ")-1),",","."),"."),LEFT(SUBSTITUTE(LEFT(TRIM(C483),FIND(" ",TRIM(C483)&amp;" ")-1),",","."),FIND("/",SUBSTITUTE(LEFT(TRIM(C483),FIND(" ",TRIM(C483)&amp;" ")-1),",","."))-1)/MID(SUBSTITUTE(LEFT(TRIM(C483),FIND(" ",TRIM(C483)&amp;" ")-1),",","."),FIND("/",SUBSTITUTE(LEFT(TRIM(C483),FIND(" ",TRIM(C483)&amp;" ")-1),",","."))+1,9)),IF(ISNUMBER(SEARCH("yea",C483)),IFERROR(_xlfn.NUMBERVALUE(SUBSTITUTE(LEFT(TRIM(C483),FIND(" ",TRIM(C483)&amp;" ")-1),",","."),"."),LEFT(SUBSTITUTE(LEFT(TRIM(C483),FIND(" ",TRIM(C483)&amp;" ")-1),",","."),FIND("/",SUBSTITUTE(LEFT(TRIM(C483),FIND(" ",TRIM(C483)&amp;" ")-1),",","."))-1)/MID(SUBSTITUTE(LEFT(TRIM(C483),FIND(" ",TRIM(C483)&amp;" ")-1),",","."),FIND("/",SUBSTITUTE(LEFT(TRIM(C483),FIND(" ",TRIM(C483)&amp;" ")-1),",","."))+1,9))*12,NA()))),0),30)*'Aturan &amp; Tarif'!$B$4,2)</f>
        <v>1703.4</v>
      </c>
      <c r="K483" s="32" t="n">
        <f aca="false">'Aturan &amp; Tarif'!$B$5</f>
        <v>2050</v>
      </c>
      <c r="L483" s="32" t="n">
        <f aca="false">'Aturan &amp; Tarif'!$B$6</f>
        <v>350</v>
      </c>
      <c r="M483" s="35" t="n">
        <f aca="false">I483+J483+K483+L483</f>
        <v>13403.4</v>
      </c>
      <c r="N483" s="37" t="s">
        <v>2110</v>
      </c>
    </row>
    <row r="484" customFormat="false" ht="25.5" hidden="false" customHeight="true" outlineLevel="0" collapsed="false">
      <c r="A484" s="29"/>
      <c r="B484" s="30" t="s">
        <v>594</v>
      </c>
      <c r="C484" s="31" t="s">
        <v>130</v>
      </c>
      <c r="D484" s="31" t="s">
        <v>108</v>
      </c>
      <c r="E484" s="32" t="n">
        <v>4500</v>
      </c>
      <c r="F484" s="32" t="n">
        <v>300</v>
      </c>
      <c r="G484" s="32"/>
      <c r="H484" s="33" t="n">
        <v>2</v>
      </c>
      <c r="I484" s="34" t="n">
        <f aca="false">E484*H484+N(F484)+N(G484)</f>
        <v>9300</v>
      </c>
      <c r="J484" s="32" t="n">
        <f aca="false">ROUND(IFERROR(ROUND(IF(OR(ISNUMBER(SEARCH("week",C484)),ISNUMBER(SEARCH("minggu",C484))),IFERROR(_xlfn.NUMBERVALUE(SUBSTITUTE(LEFT(TRIM(C484),FIND(" ",TRIM(C484)&amp;" ")-1),",","."),"."),LEFT(SUBSTITUTE(LEFT(TRIM(C484),FIND(" ",TRIM(C484)&amp;" ")-1),",","."),FIND("/",SUBSTITUTE(LEFT(TRIM(C484),FIND(" ",TRIM(C484)&amp;" ")-1),",","."))-1)/MID(SUBSTITUTE(LEFT(TRIM(C484),FIND(" ",TRIM(C484)&amp;" ")-1),",","."),FIND("/",SUBSTITUTE(LEFT(TRIM(C484),FIND(" ",TRIM(C484)&amp;" ")-1),",","."))+1,9))*12/52,IF(ISNUMBER(SEARCH("month",C484)),IFERROR(_xlfn.NUMBERVALUE(SUBSTITUTE(LEFT(TRIM(C484),FIND(" ",TRIM(C484)&amp;" ")-1),",","."),"."),LEFT(SUBSTITUTE(LEFT(TRIM(C484),FIND(" ",TRIM(C484)&amp;" ")-1),",","."),FIND("/",SUBSTITUTE(LEFT(TRIM(C484),FIND(" ",TRIM(C484)&amp;" ")-1),",","."))-1)/MID(SUBSTITUTE(LEFT(TRIM(C484),FIND(" ",TRIM(C484)&amp;" ")-1),",","."),FIND("/",SUBSTITUTE(LEFT(TRIM(C484),FIND(" ",TRIM(C484)&amp;" ")-1),",","."))+1,9)),IF(ISNUMBER(SEARCH("yea",C484)),IFERROR(_xlfn.NUMBERVALUE(SUBSTITUTE(LEFT(TRIM(C484),FIND(" ",TRIM(C484)&amp;" ")-1),",","."),"."),LEFT(SUBSTITUTE(LEFT(TRIM(C484),FIND(" ",TRIM(C484)&amp;" ")-1),",","."),FIND("/",SUBSTITUTE(LEFT(TRIM(C484),FIND(" ",TRIM(C484)&amp;" ")-1),",","."))-1)/MID(SUBSTITUTE(LEFT(TRIM(C484),FIND(" ",TRIM(C484)&amp;" ")-1),",","."),FIND("/",SUBSTITUTE(LEFT(TRIM(C484),FIND(" ",TRIM(C484)&amp;" ")-1),",","."))+1,9))*12,NA()))),0),12)*'Aturan &amp; Tarif'!$B$4,2)</f>
        <v>681.36</v>
      </c>
      <c r="K484" s="32" t="n">
        <f aca="false">'Aturan &amp; Tarif'!$B$5</f>
        <v>2050</v>
      </c>
      <c r="L484" s="32" t="n">
        <f aca="false">'Aturan &amp; Tarif'!$B$6</f>
        <v>350</v>
      </c>
      <c r="M484" s="35" t="n">
        <f aca="false">I484+J484+K484+L484</f>
        <v>12381.36</v>
      </c>
      <c r="N484" s="37" t="s">
        <v>2108</v>
      </c>
    </row>
    <row r="485" customFormat="false" ht="25.5" hidden="false" customHeight="true" outlineLevel="0" collapsed="false">
      <c r="A485" s="29"/>
      <c r="B485" s="30" t="s">
        <v>2111</v>
      </c>
      <c r="C485" s="31" t="s">
        <v>113</v>
      </c>
      <c r="D485" s="31" t="s">
        <v>108</v>
      </c>
      <c r="E485" s="32" t="n">
        <v>4500</v>
      </c>
      <c r="F485" s="32" t="n">
        <v>300</v>
      </c>
      <c r="G485" s="32"/>
      <c r="H485" s="33" t="n">
        <v>2</v>
      </c>
      <c r="I485" s="34" t="n">
        <f aca="false">E485*H485+N(F485)+N(G485)</f>
        <v>9300</v>
      </c>
      <c r="J485" s="32" t="n">
        <f aca="false">ROUND(IFERROR(ROUND(IF(OR(ISNUMBER(SEARCH("week",C485)),ISNUMBER(SEARCH("minggu",C485))),IFERROR(_xlfn.NUMBERVALUE(SUBSTITUTE(LEFT(TRIM(C485),FIND(" ",TRIM(C485)&amp;" ")-1),",","."),"."),LEFT(SUBSTITUTE(LEFT(TRIM(C485),FIND(" ",TRIM(C485)&amp;" ")-1),",","."),FIND("/",SUBSTITUTE(LEFT(TRIM(C485),FIND(" ",TRIM(C485)&amp;" ")-1),",","."))-1)/MID(SUBSTITUTE(LEFT(TRIM(C485),FIND(" ",TRIM(C485)&amp;" ")-1),",","."),FIND("/",SUBSTITUTE(LEFT(TRIM(C485),FIND(" ",TRIM(C485)&amp;" ")-1),",","."))+1,9))*12/52,IF(ISNUMBER(SEARCH("month",C485)),IFERROR(_xlfn.NUMBERVALUE(SUBSTITUTE(LEFT(TRIM(C485),FIND(" ",TRIM(C485)&amp;" ")-1),",","."),"."),LEFT(SUBSTITUTE(LEFT(TRIM(C485),FIND(" ",TRIM(C485)&amp;" ")-1),",","."),FIND("/",SUBSTITUTE(LEFT(TRIM(C485),FIND(" ",TRIM(C485)&amp;" ")-1),",","."))-1)/MID(SUBSTITUTE(LEFT(TRIM(C485),FIND(" ",TRIM(C485)&amp;" ")-1),",","."),FIND("/",SUBSTITUTE(LEFT(TRIM(C485),FIND(" ",TRIM(C485)&amp;" ")-1),",","."))+1,9)),IF(ISNUMBER(SEARCH("yea",C485)),IFERROR(_xlfn.NUMBERVALUE(SUBSTITUTE(LEFT(TRIM(C485),FIND(" ",TRIM(C485)&amp;" ")-1),",","."),"."),LEFT(SUBSTITUTE(LEFT(TRIM(C485),FIND(" ",TRIM(C485)&amp;" ")-1),",","."),FIND("/",SUBSTITUTE(LEFT(TRIM(C485),FIND(" ",TRIM(C485)&amp;" ")-1),",","."))-1)/MID(SUBSTITUTE(LEFT(TRIM(C485),FIND(" ",TRIM(C485)&amp;" ")-1),",","."),FIND("/",SUBSTITUTE(LEFT(TRIM(C485),FIND(" ",TRIM(C485)&amp;" ")-1),",","."))+1,9))*12,NA()))),0),18)*'Aturan &amp; Tarif'!$B$4,2)</f>
        <v>1022.04</v>
      </c>
      <c r="K485" s="32" t="n">
        <f aca="false">'Aturan &amp; Tarif'!$B$5</f>
        <v>2050</v>
      </c>
      <c r="L485" s="32" t="n">
        <f aca="false">'Aturan &amp; Tarif'!$B$6</f>
        <v>350</v>
      </c>
      <c r="M485" s="35" t="n">
        <f aca="false">I485+J485+K485+L485</f>
        <v>12722.04</v>
      </c>
      <c r="N485" s="37" t="s">
        <v>2112</v>
      </c>
    </row>
    <row r="486" customFormat="false" ht="25.5" hidden="false" customHeight="true" outlineLevel="0" collapsed="false">
      <c r="A486" s="29"/>
      <c r="B486" s="30" t="s">
        <v>126</v>
      </c>
      <c r="C486" s="31" t="s">
        <v>138</v>
      </c>
      <c r="D486" s="31" t="s">
        <v>108</v>
      </c>
      <c r="E486" s="32" t="n">
        <v>4500</v>
      </c>
      <c r="F486" s="32" t="n">
        <v>300</v>
      </c>
      <c r="G486" s="32"/>
      <c r="H486" s="33" t="n">
        <v>2</v>
      </c>
      <c r="I486" s="34" t="n">
        <f aca="false">E486*H486+N(F486)+N(G486)</f>
        <v>9300</v>
      </c>
      <c r="J486" s="32" t="n">
        <f aca="false">ROUND(IFERROR(ROUND(IF(OR(ISNUMBER(SEARCH("week",C486)),ISNUMBER(SEARCH("minggu",C486))),IFERROR(_xlfn.NUMBERVALUE(SUBSTITUTE(LEFT(TRIM(C486),FIND(" ",TRIM(C486)&amp;" ")-1),",","."),"."),LEFT(SUBSTITUTE(LEFT(TRIM(C486),FIND(" ",TRIM(C486)&amp;" ")-1),",","."),FIND("/",SUBSTITUTE(LEFT(TRIM(C486),FIND(" ",TRIM(C486)&amp;" ")-1),",","."))-1)/MID(SUBSTITUTE(LEFT(TRIM(C486),FIND(" ",TRIM(C486)&amp;" ")-1),",","."),FIND("/",SUBSTITUTE(LEFT(TRIM(C486),FIND(" ",TRIM(C486)&amp;" ")-1),",","."))+1,9))*12/52,IF(ISNUMBER(SEARCH("month",C486)),IFERROR(_xlfn.NUMBERVALUE(SUBSTITUTE(LEFT(TRIM(C486),FIND(" ",TRIM(C486)&amp;" ")-1),",","."),"."),LEFT(SUBSTITUTE(LEFT(TRIM(C486),FIND(" ",TRIM(C486)&amp;" ")-1),",","."),FIND("/",SUBSTITUTE(LEFT(TRIM(C486),FIND(" ",TRIM(C486)&amp;" ")-1),",","."))-1)/MID(SUBSTITUTE(LEFT(TRIM(C486),FIND(" ",TRIM(C486)&amp;" ")-1),",","."),FIND("/",SUBSTITUTE(LEFT(TRIM(C486),FIND(" ",TRIM(C486)&amp;" ")-1),",","."))+1,9)),IF(ISNUMBER(SEARCH("yea",C486)),IFERROR(_xlfn.NUMBERVALUE(SUBSTITUTE(LEFT(TRIM(C486),FIND(" ",TRIM(C486)&amp;" ")-1),",","."),"."),LEFT(SUBSTITUTE(LEFT(TRIM(C486),FIND(" ",TRIM(C486)&amp;" ")-1),",","."),FIND("/",SUBSTITUTE(LEFT(TRIM(C486),FIND(" ",TRIM(C486)&amp;" ")-1),",","."))-1)/MID(SUBSTITUTE(LEFT(TRIM(C486),FIND(" ",TRIM(C486)&amp;" ")-1),",","."),FIND("/",SUBSTITUTE(LEFT(TRIM(C486),FIND(" ",TRIM(C486)&amp;" ")-1),",","."))+1,9))*12,NA()))),0),30)*'Aturan &amp; Tarif'!$B$4,2)</f>
        <v>1703.4</v>
      </c>
      <c r="K486" s="32" t="n">
        <f aca="false">'Aturan &amp; Tarif'!$B$5</f>
        <v>2050</v>
      </c>
      <c r="L486" s="32" t="n">
        <f aca="false">'Aturan &amp; Tarif'!$B$6</f>
        <v>350</v>
      </c>
      <c r="M486" s="35" t="n">
        <f aca="false">I486+J486+K486+L486</f>
        <v>13403.4</v>
      </c>
      <c r="N486" s="37" t="s">
        <v>2113</v>
      </c>
    </row>
    <row r="487" customFormat="false" ht="25.5" hidden="false" customHeight="true" outlineLevel="0" collapsed="false">
      <c r="A487" s="29"/>
      <c r="B487" s="30" t="s">
        <v>2114</v>
      </c>
      <c r="C487" s="31" t="s">
        <v>130</v>
      </c>
      <c r="D487" s="31" t="s">
        <v>108</v>
      </c>
      <c r="E487" s="32" t="n">
        <v>4500</v>
      </c>
      <c r="F487" s="32" t="n">
        <v>300</v>
      </c>
      <c r="G487" s="32"/>
      <c r="H487" s="33" t="n">
        <v>2</v>
      </c>
      <c r="I487" s="34" t="n">
        <f aca="false">E487*H487+N(F487)+N(G487)</f>
        <v>9300</v>
      </c>
      <c r="J487" s="32" t="n">
        <f aca="false">ROUND(IFERROR(ROUND(IF(OR(ISNUMBER(SEARCH("week",C487)),ISNUMBER(SEARCH("minggu",C487))),IFERROR(_xlfn.NUMBERVALUE(SUBSTITUTE(LEFT(TRIM(C487),FIND(" ",TRIM(C487)&amp;" ")-1),",","."),"."),LEFT(SUBSTITUTE(LEFT(TRIM(C487),FIND(" ",TRIM(C487)&amp;" ")-1),",","."),FIND("/",SUBSTITUTE(LEFT(TRIM(C487),FIND(" ",TRIM(C487)&amp;" ")-1),",","."))-1)/MID(SUBSTITUTE(LEFT(TRIM(C487),FIND(" ",TRIM(C487)&amp;" ")-1),",","."),FIND("/",SUBSTITUTE(LEFT(TRIM(C487),FIND(" ",TRIM(C487)&amp;" ")-1),",","."))+1,9))*12/52,IF(ISNUMBER(SEARCH("month",C487)),IFERROR(_xlfn.NUMBERVALUE(SUBSTITUTE(LEFT(TRIM(C487),FIND(" ",TRIM(C487)&amp;" ")-1),",","."),"."),LEFT(SUBSTITUTE(LEFT(TRIM(C487),FIND(" ",TRIM(C487)&amp;" ")-1),",","."),FIND("/",SUBSTITUTE(LEFT(TRIM(C487),FIND(" ",TRIM(C487)&amp;" ")-1),",","."))-1)/MID(SUBSTITUTE(LEFT(TRIM(C487),FIND(" ",TRIM(C487)&amp;" ")-1),",","."),FIND("/",SUBSTITUTE(LEFT(TRIM(C487),FIND(" ",TRIM(C487)&amp;" ")-1),",","."))+1,9)),IF(ISNUMBER(SEARCH("yea",C487)),IFERROR(_xlfn.NUMBERVALUE(SUBSTITUTE(LEFT(TRIM(C487),FIND(" ",TRIM(C487)&amp;" ")-1),",","."),"."),LEFT(SUBSTITUTE(LEFT(TRIM(C487),FIND(" ",TRIM(C487)&amp;" ")-1),",","."),FIND("/",SUBSTITUTE(LEFT(TRIM(C487),FIND(" ",TRIM(C487)&amp;" ")-1),",","."))-1)/MID(SUBSTITUTE(LEFT(TRIM(C487),FIND(" ",TRIM(C487)&amp;" ")-1),",","."),FIND("/",SUBSTITUTE(LEFT(TRIM(C487),FIND(" ",TRIM(C487)&amp;" ")-1),",","."))+1,9))*12,NA()))),0),12)*'Aturan &amp; Tarif'!$B$4,2)</f>
        <v>681.36</v>
      </c>
      <c r="K487" s="32" t="n">
        <f aca="false">'Aturan &amp; Tarif'!$B$5</f>
        <v>2050</v>
      </c>
      <c r="L487" s="32" t="n">
        <f aca="false">'Aturan &amp; Tarif'!$B$6</f>
        <v>350</v>
      </c>
      <c r="M487" s="35" t="n">
        <f aca="false">I487+J487+K487+L487</f>
        <v>12381.36</v>
      </c>
      <c r="N487" s="37" t="s">
        <v>2115</v>
      </c>
    </row>
    <row r="488" customFormat="false" ht="48.75" hidden="false" customHeight="true" outlineLevel="0" collapsed="false">
      <c r="A488" s="29" t="s">
        <v>2116</v>
      </c>
      <c r="B488" s="30" t="s">
        <v>963</v>
      </c>
      <c r="C488" s="31" t="s">
        <v>107</v>
      </c>
      <c r="D488" s="31" t="s">
        <v>108</v>
      </c>
      <c r="E488" s="32" t="n">
        <v>2700</v>
      </c>
      <c r="F488" s="32" t="n">
        <v>1500</v>
      </c>
      <c r="G488" s="32"/>
      <c r="H488" s="33" t="n">
        <v>1</v>
      </c>
      <c r="I488" s="34" t="n">
        <f aca="false">E488*H488+N(F488)+N(G488)</f>
        <v>4200</v>
      </c>
      <c r="J488" s="32" t="n">
        <f aca="false">ROUND(IFERROR(ROUND(IF(OR(ISNUMBER(SEARCH("week",C488)),ISNUMBER(SEARCH("minggu",C488))),IFERROR(_xlfn.NUMBERVALUE(SUBSTITUTE(LEFT(TRIM(C488),FIND(" ",TRIM(C488)&amp;" ")-1),",","."),"."),LEFT(SUBSTITUTE(LEFT(TRIM(C488),FIND(" ",TRIM(C488)&amp;" ")-1),",","."),FIND("/",SUBSTITUTE(LEFT(TRIM(C488),FIND(" ",TRIM(C488)&amp;" ")-1),",","."))-1)/MID(SUBSTITUTE(LEFT(TRIM(C488),FIND(" ",TRIM(C488)&amp;" ")-1),",","."),FIND("/",SUBSTITUTE(LEFT(TRIM(C488),FIND(" ",TRIM(C488)&amp;" ")-1),",","."))+1,9))*12/52,IF(ISNUMBER(SEARCH("month",C488)),IFERROR(_xlfn.NUMBERVALUE(SUBSTITUTE(LEFT(TRIM(C488),FIND(" ",TRIM(C488)&amp;" ")-1),",","."),"."),LEFT(SUBSTITUTE(LEFT(TRIM(C488),FIND(" ",TRIM(C488)&amp;" ")-1),",","."),FIND("/",SUBSTITUTE(LEFT(TRIM(C488),FIND(" ",TRIM(C488)&amp;" ")-1),",","."))-1)/MID(SUBSTITUTE(LEFT(TRIM(C488),FIND(" ",TRIM(C488)&amp;" ")-1),",","."),FIND("/",SUBSTITUTE(LEFT(TRIM(C488),FIND(" ",TRIM(C488)&amp;" ")-1),",","."))+1,9)),IF(ISNUMBER(SEARCH("yea",C488)),IFERROR(_xlfn.NUMBERVALUE(SUBSTITUTE(LEFT(TRIM(C488),FIND(" ",TRIM(C488)&amp;" ")-1),",","."),"."),LEFT(SUBSTITUTE(LEFT(TRIM(C488),FIND(" ",TRIM(C488)&amp;" ")-1),",","."),FIND("/",SUBSTITUTE(LEFT(TRIM(C488),FIND(" ",TRIM(C488)&amp;" ")-1),",","."))-1)/MID(SUBSTITUTE(LEFT(TRIM(C488),FIND(" ",TRIM(C488)&amp;" ")-1),",","."),FIND("/",SUBSTITUTE(LEFT(TRIM(C488),FIND(" ",TRIM(C488)&amp;" ")-1),",","."))+1,9))*12,NA()))),0),24)*'Aturan &amp; Tarif'!$B$4,2)</f>
        <v>1362.72</v>
      </c>
      <c r="K488" s="32" t="n">
        <f aca="false">'Aturan &amp; Tarif'!$B$5</f>
        <v>2050</v>
      </c>
      <c r="L488" s="32" t="n">
        <f aca="false">'Aturan &amp; Tarif'!$B$6</f>
        <v>350</v>
      </c>
      <c r="M488" s="35" t="n">
        <f aca="false">I488+J488+K488+L488</f>
        <v>7962.72</v>
      </c>
      <c r="N488" s="37" t="s">
        <v>695</v>
      </c>
    </row>
    <row r="489" customFormat="false" ht="48.75" hidden="false" customHeight="true" outlineLevel="0" collapsed="false">
      <c r="A489" s="29"/>
      <c r="B489" s="30" t="s">
        <v>616</v>
      </c>
      <c r="C489" s="31" t="s">
        <v>107</v>
      </c>
      <c r="D489" s="31" t="s">
        <v>108</v>
      </c>
      <c r="E489" s="32" t="n">
        <v>2625</v>
      </c>
      <c r="F489" s="32" t="n">
        <v>2000</v>
      </c>
      <c r="G489" s="32"/>
      <c r="H489" s="33" t="n">
        <v>1</v>
      </c>
      <c r="I489" s="34" t="n">
        <f aca="false">E489*H489+N(F489)+N(G489)</f>
        <v>4625</v>
      </c>
      <c r="J489" s="32" t="n">
        <f aca="false">ROUND(IFERROR(ROUND(IF(OR(ISNUMBER(SEARCH("week",C489)),ISNUMBER(SEARCH("minggu",C489))),IFERROR(_xlfn.NUMBERVALUE(SUBSTITUTE(LEFT(TRIM(C489),FIND(" ",TRIM(C489)&amp;" ")-1),",","."),"."),LEFT(SUBSTITUTE(LEFT(TRIM(C489),FIND(" ",TRIM(C489)&amp;" ")-1),",","."),FIND("/",SUBSTITUTE(LEFT(TRIM(C489),FIND(" ",TRIM(C489)&amp;" ")-1),",","."))-1)/MID(SUBSTITUTE(LEFT(TRIM(C489),FIND(" ",TRIM(C489)&amp;" ")-1),",","."),FIND("/",SUBSTITUTE(LEFT(TRIM(C489),FIND(" ",TRIM(C489)&amp;" ")-1),",","."))+1,9))*12/52,IF(ISNUMBER(SEARCH("month",C489)),IFERROR(_xlfn.NUMBERVALUE(SUBSTITUTE(LEFT(TRIM(C489),FIND(" ",TRIM(C489)&amp;" ")-1),",","."),"."),LEFT(SUBSTITUTE(LEFT(TRIM(C489),FIND(" ",TRIM(C489)&amp;" ")-1),",","."),FIND("/",SUBSTITUTE(LEFT(TRIM(C489),FIND(" ",TRIM(C489)&amp;" ")-1),",","."))-1)/MID(SUBSTITUTE(LEFT(TRIM(C489),FIND(" ",TRIM(C489)&amp;" ")-1),",","."),FIND("/",SUBSTITUTE(LEFT(TRIM(C489),FIND(" ",TRIM(C489)&amp;" ")-1),",","."))+1,9)),IF(ISNUMBER(SEARCH("yea",C489)),IFERROR(_xlfn.NUMBERVALUE(SUBSTITUTE(LEFT(TRIM(C489),FIND(" ",TRIM(C489)&amp;" ")-1),",","."),"."),LEFT(SUBSTITUTE(LEFT(TRIM(C489),FIND(" ",TRIM(C489)&amp;" ")-1),",","."),FIND("/",SUBSTITUTE(LEFT(TRIM(C489),FIND(" ",TRIM(C489)&amp;" ")-1),",","."))-1)/MID(SUBSTITUTE(LEFT(TRIM(C489),FIND(" ",TRIM(C489)&amp;" ")-1),",","."),FIND("/",SUBSTITUTE(LEFT(TRIM(C489),FIND(" ",TRIM(C489)&amp;" ")-1),",","."))+1,9))*12,NA()))),0),24)*'Aturan &amp; Tarif'!$B$4,2)</f>
        <v>1362.72</v>
      </c>
      <c r="K489" s="32" t="n">
        <f aca="false">'Aturan &amp; Tarif'!$B$5</f>
        <v>2050</v>
      </c>
      <c r="L489" s="32" t="n">
        <f aca="false">'Aturan &amp; Tarif'!$B$6</f>
        <v>350</v>
      </c>
      <c r="M489" s="35" t="n">
        <f aca="false">I489+J489+K489+L489</f>
        <v>8387.72</v>
      </c>
      <c r="N489" s="37" t="s">
        <v>695</v>
      </c>
    </row>
    <row r="490" customFormat="false" ht="37.5" hidden="false" customHeight="true" outlineLevel="0" collapsed="false">
      <c r="A490" s="29"/>
      <c r="B490" s="30" t="s">
        <v>835</v>
      </c>
      <c r="C490" s="31" t="s">
        <v>107</v>
      </c>
      <c r="D490" s="31" t="s">
        <v>108</v>
      </c>
      <c r="E490" s="32" t="n">
        <v>2250</v>
      </c>
      <c r="F490" s="32" t="n">
        <v>1500</v>
      </c>
      <c r="G490" s="32"/>
      <c r="H490" s="33" t="n">
        <v>1</v>
      </c>
      <c r="I490" s="34" t="n">
        <f aca="false">E490*H490+N(F490)+N(G490)</f>
        <v>3750</v>
      </c>
      <c r="J490" s="32" t="n">
        <f aca="false">ROUND(IFERROR(ROUND(IF(OR(ISNUMBER(SEARCH("week",C490)),ISNUMBER(SEARCH("minggu",C490))),IFERROR(_xlfn.NUMBERVALUE(SUBSTITUTE(LEFT(TRIM(C490),FIND(" ",TRIM(C490)&amp;" ")-1),",","."),"."),LEFT(SUBSTITUTE(LEFT(TRIM(C490),FIND(" ",TRIM(C490)&amp;" ")-1),",","."),FIND("/",SUBSTITUTE(LEFT(TRIM(C490),FIND(" ",TRIM(C490)&amp;" ")-1),",","."))-1)/MID(SUBSTITUTE(LEFT(TRIM(C490),FIND(" ",TRIM(C490)&amp;" ")-1),",","."),FIND("/",SUBSTITUTE(LEFT(TRIM(C490),FIND(" ",TRIM(C490)&amp;" ")-1),",","."))+1,9))*12/52,IF(ISNUMBER(SEARCH("month",C490)),IFERROR(_xlfn.NUMBERVALUE(SUBSTITUTE(LEFT(TRIM(C490),FIND(" ",TRIM(C490)&amp;" ")-1),",","."),"."),LEFT(SUBSTITUTE(LEFT(TRIM(C490),FIND(" ",TRIM(C490)&amp;" ")-1),",","."),FIND("/",SUBSTITUTE(LEFT(TRIM(C490),FIND(" ",TRIM(C490)&amp;" ")-1),",","."))-1)/MID(SUBSTITUTE(LEFT(TRIM(C490),FIND(" ",TRIM(C490)&amp;" ")-1),",","."),FIND("/",SUBSTITUTE(LEFT(TRIM(C490),FIND(" ",TRIM(C490)&amp;" ")-1),",","."))+1,9)),IF(ISNUMBER(SEARCH("yea",C490)),IFERROR(_xlfn.NUMBERVALUE(SUBSTITUTE(LEFT(TRIM(C490),FIND(" ",TRIM(C490)&amp;" ")-1),",","."),"."),LEFT(SUBSTITUTE(LEFT(TRIM(C490),FIND(" ",TRIM(C490)&amp;" ")-1),",","."),FIND("/",SUBSTITUTE(LEFT(TRIM(C490),FIND(" ",TRIM(C490)&amp;" ")-1),",","."))-1)/MID(SUBSTITUTE(LEFT(TRIM(C490),FIND(" ",TRIM(C490)&amp;" ")-1),",","."),FIND("/",SUBSTITUTE(LEFT(TRIM(C490),FIND(" ",TRIM(C490)&amp;" ")-1),",","."))+1,9))*12,NA()))),0),24)*'Aturan &amp; Tarif'!$B$4,2)</f>
        <v>1362.72</v>
      </c>
      <c r="K490" s="32" t="n">
        <f aca="false">'Aturan &amp; Tarif'!$B$5</f>
        <v>2050</v>
      </c>
      <c r="L490" s="32" t="n">
        <f aca="false">'Aturan &amp; Tarif'!$B$6</f>
        <v>350</v>
      </c>
      <c r="M490" s="35" t="n">
        <f aca="false">I490+J490+K490+L490</f>
        <v>7512.72</v>
      </c>
      <c r="N490" s="37" t="s">
        <v>695</v>
      </c>
    </row>
    <row r="491" customFormat="false" ht="60" hidden="false" customHeight="true" outlineLevel="0" collapsed="false">
      <c r="A491" s="29"/>
      <c r="B491" s="30" t="s">
        <v>965</v>
      </c>
      <c r="C491" s="31" t="s">
        <v>127</v>
      </c>
      <c r="D491" s="31" t="s">
        <v>108</v>
      </c>
      <c r="E491" s="32" t="n">
        <v>2000</v>
      </c>
      <c r="F491" s="32" t="n">
        <v>1000</v>
      </c>
      <c r="G491" s="32"/>
      <c r="H491" s="33" t="n">
        <v>1</v>
      </c>
      <c r="I491" s="34" t="n">
        <f aca="false">E491*H491+N(F491)+N(G491)</f>
        <v>3000</v>
      </c>
      <c r="J491" s="32" t="n">
        <f aca="false">ROUND(IFERROR(ROUND(IF(OR(ISNUMBER(SEARCH("week",C491)),ISNUMBER(SEARCH("minggu",C491))),IFERROR(_xlfn.NUMBERVALUE(SUBSTITUTE(LEFT(TRIM(C491),FIND(" ",TRIM(C491)&amp;" ")-1),",","."),"."),LEFT(SUBSTITUTE(LEFT(TRIM(C491),FIND(" ",TRIM(C491)&amp;" ")-1),",","."),FIND("/",SUBSTITUTE(LEFT(TRIM(C491),FIND(" ",TRIM(C491)&amp;" ")-1),",","."))-1)/MID(SUBSTITUTE(LEFT(TRIM(C491),FIND(" ",TRIM(C491)&amp;" ")-1),",","."),FIND("/",SUBSTITUTE(LEFT(TRIM(C491),FIND(" ",TRIM(C491)&amp;" ")-1),",","."))+1,9))*12/52,IF(ISNUMBER(SEARCH("month",C491)),IFERROR(_xlfn.NUMBERVALUE(SUBSTITUTE(LEFT(TRIM(C491),FIND(" ",TRIM(C491)&amp;" ")-1),",","."),"."),LEFT(SUBSTITUTE(LEFT(TRIM(C491),FIND(" ",TRIM(C491)&amp;" ")-1),",","."),FIND("/",SUBSTITUTE(LEFT(TRIM(C491),FIND(" ",TRIM(C491)&amp;" ")-1),",","."))-1)/MID(SUBSTITUTE(LEFT(TRIM(C491),FIND(" ",TRIM(C491)&amp;" ")-1),",","."),FIND("/",SUBSTITUTE(LEFT(TRIM(C491),FIND(" ",TRIM(C491)&amp;" ")-1),",","."))+1,9)),IF(ISNUMBER(SEARCH("yea",C491)),IFERROR(_xlfn.NUMBERVALUE(SUBSTITUTE(LEFT(TRIM(C491),FIND(" ",TRIM(C491)&amp;" ")-1),",","."),"."),LEFT(SUBSTITUTE(LEFT(TRIM(C491),FIND(" ",TRIM(C491)&amp;" ")-1),",","."),FIND("/",SUBSTITUTE(LEFT(TRIM(C491),FIND(" ",TRIM(C491)&amp;" ")-1),",","."))-1)/MID(SUBSTITUTE(LEFT(TRIM(C491),FIND(" ",TRIM(C491)&amp;" ")-1),",","."),FIND("/",SUBSTITUTE(LEFT(TRIM(C491),FIND(" ",TRIM(C491)&amp;" ")-1),",","."))+1,9))*12,NA()))),0),36)*'Aturan &amp; Tarif'!$B$4,2)</f>
        <v>2044.08</v>
      </c>
      <c r="K491" s="32" t="n">
        <f aca="false">'Aturan &amp; Tarif'!$B$5</f>
        <v>2050</v>
      </c>
      <c r="L491" s="32" t="n">
        <f aca="false">'Aturan &amp; Tarif'!$B$6</f>
        <v>350</v>
      </c>
      <c r="M491" s="35" t="n">
        <f aca="false">I491+J491+K491+L491</f>
        <v>7444.08</v>
      </c>
      <c r="N491" s="37" t="s">
        <v>695</v>
      </c>
    </row>
    <row r="492" customFormat="false" ht="48.75" hidden="false" customHeight="true" outlineLevel="0" collapsed="false">
      <c r="A492" s="29"/>
      <c r="B492" s="30" t="s">
        <v>776</v>
      </c>
      <c r="C492" s="31" t="s">
        <v>130</v>
      </c>
      <c r="D492" s="31" t="s">
        <v>108</v>
      </c>
      <c r="E492" s="32" t="n">
        <v>1500</v>
      </c>
      <c r="F492" s="32" t="n">
        <v>500</v>
      </c>
      <c r="G492" s="32"/>
      <c r="H492" s="33" t="n">
        <v>1</v>
      </c>
      <c r="I492" s="34" t="n">
        <f aca="false">E492*H492+N(F492)+N(G492)</f>
        <v>2000</v>
      </c>
      <c r="J492" s="32" t="n">
        <f aca="false">ROUND(IFERROR(ROUND(IF(OR(ISNUMBER(SEARCH("week",C492)),ISNUMBER(SEARCH("minggu",C492))),IFERROR(_xlfn.NUMBERVALUE(SUBSTITUTE(LEFT(TRIM(C492),FIND(" ",TRIM(C492)&amp;" ")-1),",","."),"."),LEFT(SUBSTITUTE(LEFT(TRIM(C492),FIND(" ",TRIM(C492)&amp;" ")-1),",","."),FIND("/",SUBSTITUTE(LEFT(TRIM(C492),FIND(" ",TRIM(C492)&amp;" ")-1),",","."))-1)/MID(SUBSTITUTE(LEFT(TRIM(C492),FIND(" ",TRIM(C492)&amp;" ")-1),",","."),FIND("/",SUBSTITUTE(LEFT(TRIM(C492),FIND(" ",TRIM(C492)&amp;" ")-1),",","."))+1,9))*12/52,IF(ISNUMBER(SEARCH("month",C492)),IFERROR(_xlfn.NUMBERVALUE(SUBSTITUTE(LEFT(TRIM(C492),FIND(" ",TRIM(C492)&amp;" ")-1),",","."),"."),LEFT(SUBSTITUTE(LEFT(TRIM(C492),FIND(" ",TRIM(C492)&amp;" ")-1),",","."),FIND("/",SUBSTITUTE(LEFT(TRIM(C492),FIND(" ",TRIM(C492)&amp;" ")-1),",","."))-1)/MID(SUBSTITUTE(LEFT(TRIM(C492),FIND(" ",TRIM(C492)&amp;" ")-1),",","."),FIND("/",SUBSTITUTE(LEFT(TRIM(C492),FIND(" ",TRIM(C492)&amp;" ")-1),",","."))+1,9)),IF(ISNUMBER(SEARCH("yea",C492)),IFERROR(_xlfn.NUMBERVALUE(SUBSTITUTE(LEFT(TRIM(C492),FIND(" ",TRIM(C492)&amp;" ")-1),",","."),"."),LEFT(SUBSTITUTE(LEFT(TRIM(C492),FIND(" ",TRIM(C492)&amp;" ")-1),",","."),FIND("/",SUBSTITUTE(LEFT(TRIM(C492),FIND(" ",TRIM(C492)&amp;" ")-1),",","."))-1)/MID(SUBSTITUTE(LEFT(TRIM(C492),FIND(" ",TRIM(C492)&amp;" ")-1),",","."),FIND("/",SUBSTITUTE(LEFT(TRIM(C492),FIND(" ",TRIM(C492)&amp;" ")-1),",","."))+1,9))*12,NA()))),0),12)*'Aturan &amp; Tarif'!$B$4,2)</f>
        <v>681.36</v>
      </c>
      <c r="K492" s="32" t="n">
        <f aca="false">'Aturan &amp; Tarif'!$B$5</f>
        <v>2050</v>
      </c>
      <c r="L492" s="32" t="n">
        <f aca="false">'Aturan &amp; Tarif'!$B$6</f>
        <v>350</v>
      </c>
      <c r="M492" s="35" t="n">
        <f aca="false">I492+J492+K492+L492</f>
        <v>5081.36</v>
      </c>
      <c r="N492" s="37" t="s">
        <v>695</v>
      </c>
    </row>
    <row r="493" customFormat="false" ht="25.5" hidden="false" customHeight="true" outlineLevel="0" collapsed="false">
      <c r="A493" s="29" t="s">
        <v>2117</v>
      </c>
      <c r="B493" s="30" t="s">
        <v>733</v>
      </c>
      <c r="C493" s="31" t="s">
        <v>734</v>
      </c>
      <c r="D493" s="31" t="s">
        <v>108</v>
      </c>
      <c r="E493" s="32" t="n">
        <v>6000</v>
      </c>
      <c r="F493" s="32" t="n">
        <v>50</v>
      </c>
      <c r="G493" s="32" t="n">
        <v>250</v>
      </c>
      <c r="H493" s="33" t="n">
        <v>1</v>
      </c>
      <c r="I493" s="34" t="n">
        <f aca="false">E493*H493+N(F493)+N(G493)</f>
        <v>6300</v>
      </c>
      <c r="J493" s="32" t="n">
        <f aca="false">ROUND(IFERROR(ROUND(IF(OR(ISNUMBER(SEARCH("week",C493)),ISNUMBER(SEARCH("minggu",C493))),IFERROR(_xlfn.NUMBERVALUE(SUBSTITUTE(LEFT(TRIM(C493),FIND(" ",TRIM(C493)&amp;" ")-1),",","."),"."),LEFT(SUBSTITUTE(LEFT(TRIM(C493),FIND(" ",TRIM(C493)&amp;" ")-1),",","."),FIND("/",SUBSTITUTE(LEFT(TRIM(C493),FIND(" ",TRIM(C493)&amp;" ")-1),",","."))-1)/MID(SUBSTITUTE(LEFT(TRIM(C493),FIND(" ",TRIM(C493)&amp;" ")-1),",","."),FIND("/",SUBSTITUTE(LEFT(TRIM(C493),FIND(" ",TRIM(C493)&amp;" ")-1),",","."))+1,9))*12/52,IF(ISNUMBER(SEARCH("month",C493)),IFERROR(_xlfn.NUMBERVALUE(SUBSTITUTE(LEFT(TRIM(C493),FIND(" ",TRIM(C493)&amp;" ")-1),",","."),"."),LEFT(SUBSTITUTE(LEFT(TRIM(C493),FIND(" ",TRIM(C493)&amp;" ")-1),",","."),FIND("/",SUBSTITUTE(LEFT(TRIM(C493),FIND(" ",TRIM(C493)&amp;" ")-1),",","."))-1)/MID(SUBSTITUTE(LEFT(TRIM(C493),FIND(" ",TRIM(C493)&amp;" ")-1),",","."),FIND("/",SUBSTITUTE(LEFT(TRIM(C493),FIND(" ",TRIM(C493)&amp;" ")-1),",","."))+1,9)),IF(ISNUMBER(SEARCH("yea",C493)),IFERROR(_xlfn.NUMBERVALUE(SUBSTITUTE(LEFT(TRIM(C493),FIND(" ",TRIM(C493)&amp;" ")-1),",","."),"."),LEFT(SUBSTITUTE(LEFT(TRIM(C493),FIND(" ",TRIM(C493)&amp;" ")-1),",","."),FIND("/",SUBSTITUTE(LEFT(TRIM(C493),FIND(" ",TRIM(C493)&amp;" ")-1),",","."))-1)/MID(SUBSTITUTE(LEFT(TRIM(C493),FIND(" ",TRIM(C493)&amp;" ")-1),",","."),FIND("/",SUBSTITUTE(LEFT(TRIM(C493),FIND(" ",TRIM(C493)&amp;" ")-1),",","."))+1,9))*12,NA()))),0),6)*'Aturan &amp; Tarif'!$B$4,2)</f>
        <v>340.68</v>
      </c>
      <c r="K493" s="32" t="n">
        <f aca="false">'Aturan &amp; Tarif'!$B$5</f>
        <v>2050</v>
      </c>
      <c r="L493" s="32" t="n">
        <f aca="false">'Aturan &amp; Tarif'!$B$6</f>
        <v>350</v>
      </c>
      <c r="M493" s="35" t="n">
        <f aca="false">I493+J493+K493+L493</f>
        <v>9040.68</v>
      </c>
      <c r="N493" s="37" t="s">
        <v>134</v>
      </c>
    </row>
    <row r="494" customFormat="false" ht="72" hidden="false" customHeight="true" outlineLevel="0" collapsed="false">
      <c r="A494" s="39" t="s">
        <v>2118</v>
      </c>
      <c r="B494" s="40" t="s">
        <v>2119</v>
      </c>
      <c r="C494" s="41" t="s">
        <v>107</v>
      </c>
      <c r="D494" s="41" t="s">
        <v>108</v>
      </c>
      <c r="E494" s="42" t="n">
        <v>2000</v>
      </c>
      <c r="F494" s="42" t="n">
        <v>500</v>
      </c>
      <c r="G494" s="42" t="n">
        <v>300</v>
      </c>
      <c r="H494" s="43" t="n">
        <v>1</v>
      </c>
      <c r="I494" s="34" t="n">
        <f aca="false">E494*H494+N(F494)+N(G494)</f>
        <v>2800</v>
      </c>
      <c r="J494" s="42" t="n">
        <f aca="false">ROUND(IFERROR(ROUND(IF(OR(ISNUMBER(SEARCH("week",C494)),ISNUMBER(SEARCH("minggu",C494))),IFERROR(_xlfn.NUMBERVALUE(SUBSTITUTE(LEFT(TRIM(C494),FIND(" ",TRIM(C494)&amp;" ")-1),",","."),"."),LEFT(SUBSTITUTE(LEFT(TRIM(C494),FIND(" ",TRIM(C494)&amp;" ")-1),",","."),FIND("/",SUBSTITUTE(LEFT(TRIM(C494),FIND(" ",TRIM(C494)&amp;" ")-1),",","."))-1)/MID(SUBSTITUTE(LEFT(TRIM(C494),FIND(" ",TRIM(C494)&amp;" ")-1),",","."),FIND("/",SUBSTITUTE(LEFT(TRIM(C494),FIND(" ",TRIM(C494)&amp;" ")-1),",","."))+1,9))*12/52,IF(ISNUMBER(SEARCH("month",C494)),IFERROR(_xlfn.NUMBERVALUE(SUBSTITUTE(LEFT(TRIM(C494),FIND(" ",TRIM(C494)&amp;" ")-1),",","."),"."),LEFT(SUBSTITUTE(LEFT(TRIM(C494),FIND(" ",TRIM(C494)&amp;" ")-1),",","."),FIND("/",SUBSTITUTE(LEFT(TRIM(C494),FIND(" ",TRIM(C494)&amp;" ")-1),",","."))-1)/MID(SUBSTITUTE(LEFT(TRIM(C494),FIND(" ",TRIM(C494)&amp;" ")-1),",","."),FIND("/",SUBSTITUTE(LEFT(TRIM(C494),FIND(" ",TRIM(C494)&amp;" ")-1),",","."))+1,9)),IF(ISNUMBER(SEARCH("yea",C494)),IFERROR(_xlfn.NUMBERVALUE(SUBSTITUTE(LEFT(TRIM(C494),FIND(" ",TRIM(C494)&amp;" ")-1),",","."),"."),LEFT(SUBSTITUTE(LEFT(TRIM(C494),FIND(" ",TRIM(C494)&amp;" ")-1),",","."),FIND("/",SUBSTITUTE(LEFT(TRIM(C494),FIND(" ",TRIM(C494)&amp;" ")-1),",","."))-1)/MID(SUBSTITUTE(LEFT(TRIM(C494),FIND(" ",TRIM(C494)&amp;" ")-1),",","."),FIND("/",SUBSTITUTE(LEFT(TRIM(C494),FIND(" ",TRIM(C494)&amp;" ")-1),",","."))+1,9))*12,NA()))),0),24)*'Aturan &amp; Tarif'!$B$4,2)</f>
        <v>1362.72</v>
      </c>
      <c r="K494" s="42" t="n">
        <f aca="false">'Aturan &amp; Tarif'!$B$5</f>
        <v>2050</v>
      </c>
      <c r="L494" s="42" t="n">
        <f aca="false">'Aturan &amp; Tarif'!$B$6</f>
        <v>350</v>
      </c>
      <c r="M494" s="35" t="n">
        <f aca="false">I494+J494+K494+L494</f>
        <v>6562.72</v>
      </c>
      <c r="N494" s="44" t="s">
        <v>2120</v>
      </c>
    </row>
    <row r="495" customFormat="false" ht="37.5" hidden="false" customHeight="true" outlineLevel="0" collapsed="false">
      <c r="A495" s="39"/>
      <c r="B495" s="40" t="s">
        <v>2121</v>
      </c>
      <c r="C495" s="41" t="s">
        <v>107</v>
      </c>
      <c r="D495" s="41" t="s">
        <v>108</v>
      </c>
      <c r="E495" s="42" t="n">
        <v>2000</v>
      </c>
      <c r="F495" s="42" t="n">
        <v>500</v>
      </c>
      <c r="G495" s="42" t="n">
        <v>300</v>
      </c>
      <c r="H495" s="43" t="n">
        <v>1</v>
      </c>
      <c r="I495" s="34" t="n">
        <f aca="false">E495*H495+N(F495)+N(G495)</f>
        <v>2800</v>
      </c>
      <c r="J495" s="42" t="n">
        <f aca="false">ROUND(IFERROR(ROUND(IF(OR(ISNUMBER(SEARCH("week",C495)),ISNUMBER(SEARCH("minggu",C495))),IFERROR(_xlfn.NUMBERVALUE(SUBSTITUTE(LEFT(TRIM(C495),FIND(" ",TRIM(C495)&amp;" ")-1),",","."),"."),LEFT(SUBSTITUTE(LEFT(TRIM(C495),FIND(" ",TRIM(C495)&amp;" ")-1),",","."),FIND("/",SUBSTITUTE(LEFT(TRIM(C495),FIND(" ",TRIM(C495)&amp;" ")-1),",","."))-1)/MID(SUBSTITUTE(LEFT(TRIM(C495),FIND(" ",TRIM(C495)&amp;" ")-1),",","."),FIND("/",SUBSTITUTE(LEFT(TRIM(C495),FIND(" ",TRIM(C495)&amp;" ")-1),",","."))+1,9))*12/52,IF(ISNUMBER(SEARCH("month",C495)),IFERROR(_xlfn.NUMBERVALUE(SUBSTITUTE(LEFT(TRIM(C495),FIND(" ",TRIM(C495)&amp;" ")-1),",","."),"."),LEFT(SUBSTITUTE(LEFT(TRIM(C495),FIND(" ",TRIM(C495)&amp;" ")-1),",","."),FIND("/",SUBSTITUTE(LEFT(TRIM(C495),FIND(" ",TRIM(C495)&amp;" ")-1),",","."))-1)/MID(SUBSTITUTE(LEFT(TRIM(C495),FIND(" ",TRIM(C495)&amp;" ")-1),",","."),FIND("/",SUBSTITUTE(LEFT(TRIM(C495),FIND(" ",TRIM(C495)&amp;" ")-1),",","."))+1,9)),IF(ISNUMBER(SEARCH("yea",C495)),IFERROR(_xlfn.NUMBERVALUE(SUBSTITUTE(LEFT(TRIM(C495),FIND(" ",TRIM(C495)&amp;" ")-1),",","."),"."),LEFT(SUBSTITUTE(LEFT(TRIM(C495),FIND(" ",TRIM(C495)&amp;" ")-1),",","."),FIND("/",SUBSTITUTE(LEFT(TRIM(C495),FIND(" ",TRIM(C495)&amp;" ")-1),",","."))-1)/MID(SUBSTITUTE(LEFT(TRIM(C495),FIND(" ",TRIM(C495)&amp;" ")-1),",","."),FIND("/",SUBSTITUTE(LEFT(TRIM(C495),FIND(" ",TRIM(C495)&amp;" ")-1),",","."))+1,9))*12,NA()))),0),24)*'Aturan &amp; Tarif'!$B$4,2)</f>
        <v>1362.72</v>
      </c>
      <c r="K495" s="42" t="n">
        <f aca="false">'Aturan &amp; Tarif'!$B$5</f>
        <v>2050</v>
      </c>
      <c r="L495" s="42" t="n">
        <f aca="false">'Aturan &amp; Tarif'!$B$6</f>
        <v>350</v>
      </c>
      <c r="M495" s="35" t="n">
        <f aca="false">I495+J495+K495+L495</f>
        <v>6562.72</v>
      </c>
      <c r="N495" s="45" t="s">
        <v>2122</v>
      </c>
    </row>
    <row r="496" customFormat="false" ht="25.5" hidden="false" customHeight="true" outlineLevel="0" collapsed="false">
      <c r="A496" s="39"/>
      <c r="B496" s="40" t="s">
        <v>2123</v>
      </c>
      <c r="C496" s="41" t="s">
        <v>107</v>
      </c>
      <c r="D496" s="41" t="s">
        <v>108</v>
      </c>
      <c r="E496" s="42" t="n">
        <v>2500</v>
      </c>
      <c r="F496" s="42" t="n">
        <v>350</v>
      </c>
      <c r="G496" s="42" t="n">
        <v>300</v>
      </c>
      <c r="H496" s="43" t="n">
        <v>1</v>
      </c>
      <c r="I496" s="34" t="n">
        <f aca="false">E496*H496+N(F496)+N(G496)</f>
        <v>3150</v>
      </c>
      <c r="J496" s="42" t="n">
        <f aca="false">ROUND(IFERROR(ROUND(IF(OR(ISNUMBER(SEARCH("week",C496)),ISNUMBER(SEARCH("minggu",C496))),IFERROR(_xlfn.NUMBERVALUE(SUBSTITUTE(LEFT(TRIM(C496),FIND(" ",TRIM(C496)&amp;" ")-1),",","."),"."),LEFT(SUBSTITUTE(LEFT(TRIM(C496),FIND(" ",TRIM(C496)&amp;" ")-1),",","."),FIND("/",SUBSTITUTE(LEFT(TRIM(C496),FIND(" ",TRIM(C496)&amp;" ")-1),",","."))-1)/MID(SUBSTITUTE(LEFT(TRIM(C496),FIND(" ",TRIM(C496)&amp;" ")-1),",","."),FIND("/",SUBSTITUTE(LEFT(TRIM(C496),FIND(" ",TRIM(C496)&amp;" ")-1),",","."))+1,9))*12/52,IF(ISNUMBER(SEARCH("month",C496)),IFERROR(_xlfn.NUMBERVALUE(SUBSTITUTE(LEFT(TRIM(C496),FIND(" ",TRIM(C496)&amp;" ")-1),",","."),"."),LEFT(SUBSTITUTE(LEFT(TRIM(C496),FIND(" ",TRIM(C496)&amp;" ")-1),",","."),FIND("/",SUBSTITUTE(LEFT(TRIM(C496),FIND(" ",TRIM(C496)&amp;" ")-1),",","."))-1)/MID(SUBSTITUTE(LEFT(TRIM(C496),FIND(" ",TRIM(C496)&amp;" ")-1),",","."),FIND("/",SUBSTITUTE(LEFT(TRIM(C496),FIND(" ",TRIM(C496)&amp;" ")-1),",","."))+1,9)),IF(ISNUMBER(SEARCH("yea",C496)),IFERROR(_xlfn.NUMBERVALUE(SUBSTITUTE(LEFT(TRIM(C496),FIND(" ",TRIM(C496)&amp;" ")-1),",","."),"."),LEFT(SUBSTITUTE(LEFT(TRIM(C496),FIND(" ",TRIM(C496)&amp;" ")-1),",","."),FIND("/",SUBSTITUTE(LEFT(TRIM(C496),FIND(" ",TRIM(C496)&amp;" ")-1),",","."))-1)/MID(SUBSTITUTE(LEFT(TRIM(C496),FIND(" ",TRIM(C496)&amp;" ")-1),",","."),FIND("/",SUBSTITUTE(LEFT(TRIM(C496),FIND(" ",TRIM(C496)&amp;" ")-1),",","."))+1,9))*12,NA()))),0),24)*'Aturan &amp; Tarif'!$B$4,2)</f>
        <v>1362.72</v>
      </c>
      <c r="K496" s="42" t="n">
        <f aca="false">'Aturan &amp; Tarif'!$B$5</f>
        <v>2050</v>
      </c>
      <c r="L496" s="42" t="n">
        <f aca="false">'Aturan &amp; Tarif'!$B$6</f>
        <v>350</v>
      </c>
      <c r="M496" s="35" t="n">
        <f aca="false">I496+J496+K496+L496</f>
        <v>6912.72</v>
      </c>
      <c r="N496" s="45" t="s">
        <v>2122</v>
      </c>
    </row>
    <row r="497" customFormat="false" ht="25.5" hidden="false" customHeight="true" outlineLevel="0" collapsed="false">
      <c r="A497" s="39" t="s">
        <v>2124</v>
      </c>
      <c r="B497" s="40" t="s">
        <v>967</v>
      </c>
      <c r="C497" s="41" t="s">
        <v>130</v>
      </c>
      <c r="D497" s="41" t="s">
        <v>737</v>
      </c>
      <c r="E497" s="42" t="n">
        <v>11520</v>
      </c>
      <c r="F497" s="42" t="n">
        <v>0</v>
      </c>
      <c r="G497" s="42" t="n">
        <v>300</v>
      </c>
      <c r="H497" s="43" t="n">
        <v>1</v>
      </c>
      <c r="I497" s="34" t="n">
        <f aca="false">E497*H497+N(F497)+N(G497)</f>
        <v>11820</v>
      </c>
      <c r="J497" s="42" t="n">
        <f aca="false">ROUND(IFERROR(ROUND(IF(OR(ISNUMBER(SEARCH("week",C497)),ISNUMBER(SEARCH("minggu",C497))),IFERROR(_xlfn.NUMBERVALUE(SUBSTITUTE(LEFT(TRIM(C497),FIND(" ",TRIM(C497)&amp;" ")-1),",","."),"."),LEFT(SUBSTITUTE(LEFT(TRIM(C497),FIND(" ",TRIM(C497)&amp;" ")-1),",","."),FIND("/",SUBSTITUTE(LEFT(TRIM(C497),FIND(" ",TRIM(C497)&amp;" ")-1),",","."))-1)/MID(SUBSTITUTE(LEFT(TRIM(C497),FIND(" ",TRIM(C497)&amp;" ")-1),",","."),FIND("/",SUBSTITUTE(LEFT(TRIM(C497),FIND(" ",TRIM(C497)&amp;" ")-1),",","."))+1,9))*12/52,IF(ISNUMBER(SEARCH("month",C497)),IFERROR(_xlfn.NUMBERVALUE(SUBSTITUTE(LEFT(TRIM(C497),FIND(" ",TRIM(C497)&amp;" ")-1),",","."),"."),LEFT(SUBSTITUTE(LEFT(TRIM(C497),FIND(" ",TRIM(C497)&amp;" ")-1),",","."),FIND("/",SUBSTITUTE(LEFT(TRIM(C497),FIND(" ",TRIM(C497)&amp;" ")-1),",","."))-1)/MID(SUBSTITUTE(LEFT(TRIM(C497),FIND(" ",TRIM(C497)&amp;" ")-1),",","."),FIND("/",SUBSTITUTE(LEFT(TRIM(C497),FIND(" ",TRIM(C497)&amp;" ")-1),",","."))+1,9)),IF(ISNUMBER(SEARCH("yea",C497)),IFERROR(_xlfn.NUMBERVALUE(SUBSTITUTE(LEFT(TRIM(C497),FIND(" ",TRIM(C497)&amp;" ")-1),",","."),"."),LEFT(SUBSTITUTE(LEFT(TRIM(C497),FIND(" ",TRIM(C497)&amp;" ")-1),",","."),FIND("/",SUBSTITUTE(LEFT(TRIM(C497),FIND(" ",TRIM(C497)&amp;" ")-1),",","."))-1)/MID(SUBSTITUTE(LEFT(TRIM(C497),FIND(" ",TRIM(C497)&amp;" ")-1),",","."),FIND("/",SUBSTITUTE(LEFT(TRIM(C497),FIND(" ",TRIM(C497)&amp;" ")-1),",","."))+1,9))*12,NA()))),0),12)*'Aturan &amp; Tarif'!$B$4,2)</f>
        <v>681.36</v>
      </c>
      <c r="K497" s="42" t="n">
        <f aca="false">'Aturan &amp; Tarif'!$B$5</f>
        <v>2050</v>
      </c>
      <c r="L497" s="42" t="n">
        <f aca="false">'Aturan &amp; Tarif'!$B$6</f>
        <v>350</v>
      </c>
      <c r="M497" s="35" t="n">
        <f aca="false">I497+J497+K497+L497</f>
        <v>14901.36</v>
      </c>
      <c r="N497" s="45" t="s">
        <v>738</v>
      </c>
    </row>
    <row r="498" customFormat="false" ht="37.5" hidden="false" customHeight="true" outlineLevel="0" collapsed="false">
      <c r="A498" s="39"/>
      <c r="B498" s="40" t="s">
        <v>2125</v>
      </c>
      <c r="C498" s="41" t="s">
        <v>127</v>
      </c>
      <c r="D498" s="41" t="s">
        <v>737</v>
      </c>
      <c r="E498" s="42" t="n">
        <v>11520</v>
      </c>
      <c r="F498" s="42" t="n">
        <v>0</v>
      </c>
      <c r="G498" s="42" t="n">
        <v>300</v>
      </c>
      <c r="H498" s="43" t="n">
        <v>1</v>
      </c>
      <c r="I498" s="34" t="n">
        <f aca="false">E498*H498+N(F498)+N(G498)</f>
        <v>11820</v>
      </c>
      <c r="J498" s="42" t="n">
        <f aca="false">ROUND(IFERROR(ROUND(IF(OR(ISNUMBER(SEARCH("week",C498)),ISNUMBER(SEARCH("minggu",C498))),IFERROR(_xlfn.NUMBERVALUE(SUBSTITUTE(LEFT(TRIM(C498),FIND(" ",TRIM(C498)&amp;" ")-1),",","."),"."),LEFT(SUBSTITUTE(LEFT(TRIM(C498),FIND(" ",TRIM(C498)&amp;" ")-1),",","."),FIND("/",SUBSTITUTE(LEFT(TRIM(C498),FIND(" ",TRIM(C498)&amp;" ")-1),",","."))-1)/MID(SUBSTITUTE(LEFT(TRIM(C498),FIND(" ",TRIM(C498)&amp;" ")-1),",","."),FIND("/",SUBSTITUTE(LEFT(TRIM(C498),FIND(" ",TRIM(C498)&amp;" ")-1),",","."))+1,9))*12/52,IF(ISNUMBER(SEARCH("month",C498)),IFERROR(_xlfn.NUMBERVALUE(SUBSTITUTE(LEFT(TRIM(C498),FIND(" ",TRIM(C498)&amp;" ")-1),",","."),"."),LEFT(SUBSTITUTE(LEFT(TRIM(C498),FIND(" ",TRIM(C498)&amp;" ")-1),",","."),FIND("/",SUBSTITUTE(LEFT(TRIM(C498),FIND(" ",TRIM(C498)&amp;" ")-1),",","."))-1)/MID(SUBSTITUTE(LEFT(TRIM(C498),FIND(" ",TRIM(C498)&amp;" ")-1),",","."),FIND("/",SUBSTITUTE(LEFT(TRIM(C498),FIND(" ",TRIM(C498)&amp;" ")-1),",","."))+1,9)),IF(ISNUMBER(SEARCH("yea",C498)),IFERROR(_xlfn.NUMBERVALUE(SUBSTITUTE(LEFT(TRIM(C498),FIND(" ",TRIM(C498)&amp;" ")-1),",","."),"."),LEFT(SUBSTITUTE(LEFT(TRIM(C498),FIND(" ",TRIM(C498)&amp;" ")-1),",","."),FIND("/",SUBSTITUTE(LEFT(TRIM(C498),FIND(" ",TRIM(C498)&amp;" ")-1),",","."))-1)/MID(SUBSTITUTE(LEFT(TRIM(C498),FIND(" ",TRIM(C498)&amp;" ")-1),",","."),FIND("/",SUBSTITUTE(LEFT(TRIM(C498),FIND(" ",TRIM(C498)&amp;" ")-1),",","."))+1,9))*12,NA()))),0),36)*'Aturan &amp; Tarif'!$B$4,2)</f>
        <v>2044.08</v>
      </c>
      <c r="K498" s="42" t="n">
        <f aca="false">'Aturan &amp; Tarif'!$B$5</f>
        <v>2050</v>
      </c>
      <c r="L498" s="42" t="n">
        <f aca="false">'Aturan &amp; Tarif'!$B$6</f>
        <v>350</v>
      </c>
      <c r="M498" s="35" t="n">
        <f aca="false">I498+J498+K498+L498</f>
        <v>16264.08</v>
      </c>
      <c r="N498" s="45" t="s">
        <v>738</v>
      </c>
    </row>
    <row r="499" customFormat="false" ht="25.5" hidden="false" customHeight="true" outlineLevel="0" collapsed="false">
      <c r="A499" s="39"/>
      <c r="B499" s="40" t="s">
        <v>969</v>
      </c>
      <c r="C499" s="41" t="s">
        <v>344</v>
      </c>
      <c r="D499" s="41" t="s">
        <v>737</v>
      </c>
      <c r="E499" s="42" t="n">
        <v>19640</v>
      </c>
      <c r="F499" s="42" t="n">
        <v>0</v>
      </c>
      <c r="G499" s="42" t="n">
        <v>300</v>
      </c>
      <c r="H499" s="43" t="n">
        <v>1</v>
      </c>
      <c r="I499" s="34" t="n">
        <f aca="false">E499*H499+N(F499)+N(G499)</f>
        <v>19940</v>
      </c>
      <c r="J499" s="42" t="n">
        <f aca="false">ROUND(IFERROR(ROUND(IF(OR(ISNUMBER(SEARCH("week",C499)),ISNUMBER(SEARCH("minggu",C499))),IFERROR(_xlfn.NUMBERVALUE(SUBSTITUTE(LEFT(TRIM(C499),FIND(" ",TRIM(C499)&amp;" ")-1),",","."),"."),LEFT(SUBSTITUTE(LEFT(TRIM(C499),FIND(" ",TRIM(C499)&amp;" ")-1),",","."),FIND("/",SUBSTITUTE(LEFT(TRIM(C499),FIND(" ",TRIM(C499)&amp;" ")-1),",","."))-1)/MID(SUBSTITUTE(LEFT(TRIM(C499),FIND(" ",TRIM(C499)&amp;" ")-1),",","."),FIND("/",SUBSTITUTE(LEFT(TRIM(C499),FIND(" ",TRIM(C499)&amp;" ")-1),",","."))+1,9))*12/52,IF(ISNUMBER(SEARCH("month",C499)),IFERROR(_xlfn.NUMBERVALUE(SUBSTITUTE(LEFT(TRIM(C499),FIND(" ",TRIM(C499)&amp;" ")-1),",","."),"."),LEFT(SUBSTITUTE(LEFT(TRIM(C499),FIND(" ",TRIM(C499)&amp;" ")-1),",","."),FIND("/",SUBSTITUTE(LEFT(TRIM(C499),FIND(" ",TRIM(C499)&amp;" ")-1),",","."))-1)/MID(SUBSTITUTE(LEFT(TRIM(C499),FIND(" ",TRIM(C499)&amp;" ")-1),",","."),FIND("/",SUBSTITUTE(LEFT(TRIM(C499),FIND(" ",TRIM(C499)&amp;" ")-1),",","."))+1,9)),IF(ISNUMBER(SEARCH("yea",C499)),IFERROR(_xlfn.NUMBERVALUE(SUBSTITUTE(LEFT(TRIM(C499),FIND(" ",TRIM(C499)&amp;" ")-1),",","."),"."),LEFT(SUBSTITUTE(LEFT(TRIM(C499),FIND(" ",TRIM(C499)&amp;" ")-1),",","."),FIND("/",SUBSTITUTE(LEFT(TRIM(C499),FIND(" ",TRIM(C499)&amp;" ")-1),",","."))-1)/MID(SUBSTITUTE(LEFT(TRIM(C499),FIND(" ",TRIM(C499)&amp;" ")-1),",","."),FIND("/",SUBSTITUTE(LEFT(TRIM(C499),FIND(" ",TRIM(C499)&amp;" ")-1),",","."))+1,9))*12,NA()))),0),6)*'Aturan &amp; Tarif'!$B$4,2)</f>
        <v>340.68</v>
      </c>
      <c r="K499" s="42" t="n">
        <f aca="false">'Aturan &amp; Tarif'!$B$5</f>
        <v>2050</v>
      </c>
      <c r="L499" s="42" t="n">
        <f aca="false">'Aturan &amp; Tarif'!$B$6</f>
        <v>350</v>
      </c>
      <c r="M499" s="35" t="n">
        <f aca="false">I499+J499+K499+L499</f>
        <v>22680.68</v>
      </c>
      <c r="N499" s="45" t="s">
        <v>738</v>
      </c>
    </row>
    <row r="500" customFormat="false" ht="25.5" hidden="false" customHeight="true" outlineLevel="0" collapsed="false">
      <c r="A500" s="39"/>
      <c r="B500" s="40" t="s">
        <v>970</v>
      </c>
      <c r="C500" s="41" t="s">
        <v>130</v>
      </c>
      <c r="D500" s="41" t="s">
        <v>737</v>
      </c>
      <c r="E500" s="42" t="n">
        <v>19640</v>
      </c>
      <c r="F500" s="42" t="n">
        <v>0</v>
      </c>
      <c r="G500" s="42" t="n">
        <v>300</v>
      </c>
      <c r="H500" s="43" t="n">
        <v>1</v>
      </c>
      <c r="I500" s="34" t="n">
        <f aca="false">E500*H500+N(F500)+N(G500)</f>
        <v>19940</v>
      </c>
      <c r="J500" s="42" t="n">
        <f aca="false">ROUND(IFERROR(ROUND(IF(OR(ISNUMBER(SEARCH("week",C500)),ISNUMBER(SEARCH("minggu",C500))),IFERROR(_xlfn.NUMBERVALUE(SUBSTITUTE(LEFT(TRIM(C500),FIND(" ",TRIM(C500)&amp;" ")-1),",","."),"."),LEFT(SUBSTITUTE(LEFT(TRIM(C500),FIND(" ",TRIM(C500)&amp;" ")-1),",","."),FIND("/",SUBSTITUTE(LEFT(TRIM(C500),FIND(" ",TRIM(C500)&amp;" ")-1),",","."))-1)/MID(SUBSTITUTE(LEFT(TRIM(C500),FIND(" ",TRIM(C500)&amp;" ")-1),",","."),FIND("/",SUBSTITUTE(LEFT(TRIM(C500),FIND(" ",TRIM(C500)&amp;" ")-1),",","."))+1,9))*12/52,IF(ISNUMBER(SEARCH("month",C500)),IFERROR(_xlfn.NUMBERVALUE(SUBSTITUTE(LEFT(TRIM(C500),FIND(" ",TRIM(C500)&amp;" ")-1),",","."),"."),LEFT(SUBSTITUTE(LEFT(TRIM(C500),FIND(" ",TRIM(C500)&amp;" ")-1),",","."),FIND("/",SUBSTITUTE(LEFT(TRIM(C500),FIND(" ",TRIM(C500)&amp;" ")-1),",","."))-1)/MID(SUBSTITUTE(LEFT(TRIM(C500),FIND(" ",TRIM(C500)&amp;" ")-1),",","."),FIND("/",SUBSTITUTE(LEFT(TRIM(C500),FIND(" ",TRIM(C500)&amp;" ")-1),",","."))+1,9)),IF(ISNUMBER(SEARCH("yea",C500)),IFERROR(_xlfn.NUMBERVALUE(SUBSTITUTE(LEFT(TRIM(C500),FIND(" ",TRIM(C500)&amp;" ")-1),",","."),"."),LEFT(SUBSTITUTE(LEFT(TRIM(C500),FIND(" ",TRIM(C500)&amp;" ")-1),",","."),FIND("/",SUBSTITUTE(LEFT(TRIM(C500),FIND(" ",TRIM(C500)&amp;" ")-1),",","."))-1)/MID(SUBSTITUTE(LEFT(TRIM(C500),FIND(" ",TRIM(C500)&amp;" ")-1),",","."),FIND("/",SUBSTITUTE(LEFT(TRIM(C500),FIND(" ",TRIM(C500)&amp;" ")-1),",","."))+1,9))*12,NA()))),0),12)*'Aturan &amp; Tarif'!$B$4,2)</f>
        <v>681.36</v>
      </c>
      <c r="K500" s="42" t="n">
        <f aca="false">'Aturan &amp; Tarif'!$B$5</f>
        <v>2050</v>
      </c>
      <c r="L500" s="42" t="n">
        <f aca="false">'Aturan &amp; Tarif'!$B$6</f>
        <v>350</v>
      </c>
      <c r="M500" s="35" t="n">
        <f aca="false">I500+J500+K500+L500</f>
        <v>23021.36</v>
      </c>
      <c r="N500" s="45" t="s">
        <v>742</v>
      </c>
    </row>
    <row r="501" customFormat="false" ht="25.5" hidden="false" customHeight="true" outlineLevel="0" collapsed="false">
      <c r="A501" s="39"/>
      <c r="B501" s="40" t="s">
        <v>971</v>
      </c>
      <c r="C501" s="41" t="s">
        <v>113</v>
      </c>
      <c r="D501" s="41" t="s">
        <v>737</v>
      </c>
      <c r="E501" s="42" t="n">
        <v>19640</v>
      </c>
      <c r="F501" s="42" t="n">
        <v>0</v>
      </c>
      <c r="G501" s="42" t="n">
        <v>300</v>
      </c>
      <c r="H501" s="43" t="n">
        <v>1</v>
      </c>
      <c r="I501" s="34" t="n">
        <f aca="false">E501*H501+N(F501)+N(G501)</f>
        <v>19940</v>
      </c>
      <c r="J501" s="42" t="n">
        <f aca="false">ROUND(IFERROR(ROUND(IF(OR(ISNUMBER(SEARCH("week",C501)),ISNUMBER(SEARCH("minggu",C501))),IFERROR(_xlfn.NUMBERVALUE(SUBSTITUTE(LEFT(TRIM(C501),FIND(" ",TRIM(C501)&amp;" ")-1),",","."),"."),LEFT(SUBSTITUTE(LEFT(TRIM(C501),FIND(" ",TRIM(C501)&amp;" ")-1),",","."),FIND("/",SUBSTITUTE(LEFT(TRIM(C501),FIND(" ",TRIM(C501)&amp;" ")-1),",","."))-1)/MID(SUBSTITUTE(LEFT(TRIM(C501),FIND(" ",TRIM(C501)&amp;" ")-1),",","."),FIND("/",SUBSTITUTE(LEFT(TRIM(C501),FIND(" ",TRIM(C501)&amp;" ")-1),",","."))+1,9))*12/52,IF(ISNUMBER(SEARCH("month",C501)),IFERROR(_xlfn.NUMBERVALUE(SUBSTITUTE(LEFT(TRIM(C501),FIND(" ",TRIM(C501)&amp;" ")-1),",","."),"."),LEFT(SUBSTITUTE(LEFT(TRIM(C501),FIND(" ",TRIM(C501)&amp;" ")-1),",","."),FIND("/",SUBSTITUTE(LEFT(TRIM(C501),FIND(" ",TRIM(C501)&amp;" ")-1),",","."))-1)/MID(SUBSTITUTE(LEFT(TRIM(C501),FIND(" ",TRIM(C501)&amp;" ")-1),",","."),FIND("/",SUBSTITUTE(LEFT(TRIM(C501),FIND(" ",TRIM(C501)&amp;" ")-1),",","."))+1,9)),IF(ISNUMBER(SEARCH("yea",C501)),IFERROR(_xlfn.NUMBERVALUE(SUBSTITUTE(LEFT(TRIM(C501),FIND(" ",TRIM(C501)&amp;" ")-1),",","."),"."),LEFT(SUBSTITUTE(LEFT(TRIM(C501),FIND(" ",TRIM(C501)&amp;" ")-1),",","."),FIND("/",SUBSTITUTE(LEFT(TRIM(C501),FIND(" ",TRIM(C501)&amp;" ")-1),",","."))-1)/MID(SUBSTITUTE(LEFT(TRIM(C501),FIND(" ",TRIM(C501)&amp;" ")-1),",","."),FIND("/",SUBSTITUTE(LEFT(TRIM(C501),FIND(" ",TRIM(C501)&amp;" ")-1),",","."))+1,9))*12,NA()))),0),18)*'Aturan &amp; Tarif'!$B$4,2)</f>
        <v>1022.04</v>
      </c>
      <c r="K501" s="42" t="n">
        <f aca="false">'Aturan &amp; Tarif'!$B$5</f>
        <v>2050</v>
      </c>
      <c r="L501" s="42" t="n">
        <f aca="false">'Aturan &amp; Tarif'!$B$6</f>
        <v>350</v>
      </c>
      <c r="M501" s="35" t="n">
        <f aca="false">I501+J501+K501+L501</f>
        <v>23362.04</v>
      </c>
      <c r="N501" s="45" t="s">
        <v>744</v>
      </c>
    </row>
    <row r="502" customFormat="false" ht="25.5" hidden="false" customHeight="true" outlineLevel="0" collapsed="false">
      <c r="A502" s="39"/>
      <c r="B502" s="40" t="s">
        <v>972</v>
      </c>
      <c r="C502" s="41" t="s">
        <v>344</v>
      </c>
      <c r="D502" s="41" t="s">
        <v>737</v>
      </c>
      <c r="E502" s="42" t="n">
        <v>13600</v>
      </c>
      <c r="F502" s="42" t="n">
        <v>0</v>
      </c>
      <c r="G502" s="42" t="n">
        <v>300</v>
      </c>
      <c r="H502" s="43" t="n">
        <v>1</v>
      </c>
      <c r="I502" s="34" t="n">
        <f aca="false">E502*H502+N(F502)+N(G502)</f>
        <v>13900</v>
      </c>
      <c r="J502" s="42" t="n">
        <f aca="false">ROUND(IFERROR(ROUND(IF(OR(ISNUMBER(SEARCH("week",C502)),ISNUMBER(SEARCH("minggu",C502))),IFERROR(_xlfn.NUMBERVALUE(SUBSTITUTE(LEFT(TRIM(C502),FIND(" ",TRIM(C502)&amp;" ")-1),",","."),"."),LEFT(SUBSTITUTE(LEFT(TRIM(C502),FIND(" ",TRIM(C502)&amp;" ")-1),",","."),FIND("/",SUBSTITUTE(LEFT(TRIM(C502),FIND(" ",TRIM(C502)&amp;" ")-1),",","."))-1)/MID(SUBSTITUTE(LEFT(TRIM(C502),FIND(" ",TRIM(C502)&amp;" ")-1),",","."),FIND("/",SUBSTITUTE(LEFT(TRIM(C502),FIND(" ",TRIM(C502)&amp;" ")-1),",","."))+1,9))*12/52,IF(ISNUMBER(SEARCH("month",C502)),IFERROR(_xlfn.NUMBERVALUE(SUBSTITUTE(LEFT(TRIM(C502),FIND(" ",TRIM(C502)&amp;" ")-1),",","."),"."),LEFT(SUBSTITUTE(LEFT(TRIM(C502),FIND(" ",TRIM(C502)&amp;" ")-1),",","."),FIND("/",SUBSTITUTE(LEFT(TRIM(C502),FIND(" ",TRIM(C502)&amp;" ")-1),",","."))-1)/MID(SUBSTITUTE(LEFT(TRIM(C502),FIND(" ",TRIM(C502)&amp;" ")-1),",","."),FIND("/",SUBSTITUTE(LEFT(TRIM(C502),FIND(" ",TRIM(C502)&amp;" ")-1),",","."))+1,9)),IF(ISNUMBER(SEARCH("yea",C502)),IFERROR(_xlfn.NUMBERVALUE(SUBSTITUTE(LEFT(TRIM(C502),FIND(" ",TRIM(C502)&amp;" ")-1),",","."),"."),LEFT(SUBSTITUTE(LEFT(TRIM(C502),FIND(" ",TRIM(C502)&amp;" ")-1),",","."),FIND("/",SUBSTITUTE(LEFT(TRIM(C502),FIND(" ",TRIM(C502)&amp;" ")-1),",","."))-1)/MID(SUBSTITUTE(LEFT(TRIM(C502),FIND(" ",TRIM(C502)&amp;" ")-1),",","."),FIND("/",SUBSTITUTE(LEFT(TRIM(C502),FIND(" ",TRIM(C502)&amp;" ")-1),",","."))+1,9))*12,NA()))),0),6)*'Aturan &amp; Tarif'!$B$4,2)</f>
        <v>340.68</v>
      </c>
      <c r="K502" s="42" t="n">
        <f aca="false">'Aturan &amp; Tarif'!$B$5</f>
        <v>2050</v>
      </c>
      <c r="L502" s="42" t="n">
        <f aca="false">'Aturan &amp; Tarif'!$B$6</f>
        <v>350</v>
      </c>
      <c r="M502" s="35" t="n">
        <f aca="false">I502+J502+K502+L502</f>
        <v>16640.68</v>
      </c>
      <c r="N502" s="45" t="s">
        <v>738</v>
      </c>
    </row>
    <row r="503" customFormat="false" ht="60" hidden="false" customHeight="true" outlineLevel="0" collapsed="false">
      <c r="A503" s="39"/>
      <c r="B503" s="40" t="s">
        <v>973</v>
      </c>
      <c r="C503" s="41" t="s">
        <v>107</v>
      </c>
      <c r="D503" s="41" t="s">
        <v>737</v>
      </c>
      <c r="E503" s="42" t="n">
        <v>13600</v>
      </c>
      <c r="F503" s="42" t="n">
        <v>0</v>
      </c>
      <c r="G503" s="42" t="n">
        <v>300</v>
      </c>
      <c r="H503" s="43" t="n">
        <v>1</v>
      </c>
      <c r="I503" s="34" t="n">
        <f aca="false">E503*H503+N(F503)+N(G503)</f>
        <v>13900</v>
      </c>
      <c r="J503" s="42" t="n">
        <f aca="false">ROUND(IFERROR(ROUND(IF(OR(ISNUMBER(SEARCH("week",C503)),ISNUMBER(SEARCH("minggu",C503))),IFERROR(_xlfn.NUMBERVALUE(SUBSTITUTE(LEFT(TRIM(C503),FIND(" ",TRIM(C503)&amp;" ")-1),",","."),"."),LEFT(SUBSTITUTE(LEFT(TRIM(C503),FIND(" ",TRIM(C503)&amp;" ")-1),",","."),FIND("/",SUBSTITUTE(LEFT(TRIM(C503),FIND(" ",TRIM(C503)&amp;" ")-1),",","."))-1)/MID(SUBSTITUTE(LEFT(TRIM(C503),FIND(" ",TRIM(C503)&amp;" ")-1),",","."),FIND("/",SUBSTITUTE(LEFT(TRIM(C503),FIND(" ",TRIM(C503)&amp;" ")-1),",","."))+1,9))*12/52,IF(ISNUMBER(SEARCH("month",C503)),IFERROR(_xlfn.NUMBERVALUE(SUBSTITUTE(LEFT(TRIM(C503),FIND(" ",TRIM(C503)&amp;" ")-1),",","."),"."),LEFT(SUBSTITUTE(LEFT(TRIM(C503),FIND(" ",TRIM(C503)&amp;" ")-1),",","."),FIND("/",SUBSTITUTE(LEFT(TRIM(C503),FIND(" ",TRIM(C503)&amp;" ")-1),",","."))-1)/MID(SUBSTITUTE(LEFT(TRIM(C503),FIND(" ",TRIM(C503)&amp;" ")-1),",","."),FIND("/",SUBSTITUTE(LEFT(TRIM(C503),FIND(" ",TRIM(C503)&amp;" ")-1),",","."))+1,9)),IF(ISNUMBER(SEARCH("yea",C503)),IFERROR(_xlfn.NUMBERVALUE(SUBSTITUTE(LEFT(TRIM(C503),FIND(" ",TRIM(C503)&amp;" ")-1),",","."),"."),LEFT(SUBSTITUTE(LEFT(TRIM(C503),FIND(" ",TRIM(C503)&amp;" ")-1),",","."),FIND("/",SUBSTITUTE(LEFT(TRIM(C503),FIND(" ",TRIM(C503)&amp;" ")-1),",","."))-1)/MID(SUBSTITUTE(LEFT(TRIM(C503),FIND(" ",TRIM(C503)&amp;" ")-1),",","."),FIND("/",SUBSTITUTE(LEFT(TRIM(C503),FIND(" ",TRIM(C503)&amp;" ")-1),",","."))+1,9))*12,NA()))),0),24)*'Aturan &amp; Tarif'!$B$4,2)</f>
        <v>1362.72</v>
      </c>
      <c r="K503" s="42" t="n">
        <f aca="false">'Aturan &amp; Tarif'!$B$5</f>
        <v>2050</v>
      </c>
      <c r="L503" s="42" t="n">
        <f aca="false">'Aturan &amp; Tarif'!$B$6</f>
        <v>350</v>
      </c>
      <c r="M503" s="35" t="n">
        <f aca="false">I503+J503+K503+L503</f>
        <v>17662.72</v>
      </c>
      <c r="N503" s="45" t="s">
        <v>738</v>
      </c>
    </row>
    <row r="504" customFormat="false" ht="60" hidden="false" customHeight="true" outlineLevel="0" collapsed="false">
      <c r="A504" s="39"/>
      <c r="B504" s="40" t="s">
        <v>974</v>
      </c>
      <c r="C504" s="41" t="s">
        <v>113</v>
      </c>
      <c r="D504" s="41" t="s">
        <v>737</v>
      </c>
      <c r="E504" s="42" t="n">
        <v>13600</v>
      </c>
      <c r="F504" s="42" t="n">
        <v>0</v>
      </c>
      <c r="G504" s="42" t="n">
        <v>300</v>
      </c>
      <c r="H504" s="43" t="n">
        <v>1</v>
      </c>
      <c r="I504" s="34" t="n">
        <f aca="false">E504*H504+N(F504)+N(G504)</f>
        <v>13900</v>
      </c>
      <c r="J504" s="42" t="n">
        <f aca="false">ROUND(IFERROR(ROUND(IF(OR(ISNUMBER(SEARCH("week",C504)),ISNUMBER(SEARCH("minggu",C504))),IFERROR(_xlfn.NUMBERVALUE(SUBSTITUTE(LEFT(TRIM(C504),FIND(" ",TRIM(C504)&amp;" ")-1),",","."),"."),LEFT(SUBSTITUTE(LEFT(TRIM(C504),FIND(" ",TRIM(C504)&amp;" ")-1),",","."),FIND("/",SUBSTITUTE(LEFT(TRIM(C504),FIND(" ",TRIM(C504)&amp;" ")-1),",","."))-1)/MID(SUBSTITUTE(LEFT(TRIM(C504),FIND(" ",TRIM(C504)&amp;" ")-1),",","."),FIND("/",SUBSTITUTE(LEFT(TRIM(C504),FIND(" ",TRIM(C504)&amp;" ")-1),",","."))+1,9))*12/52,IF(ISNUMBER(SEARCH("month",C504)),IFERROR(_xlfn.NUMBERVALUE(SUBSTITUTE(LEFT(TRIM(C504),FIND(" ",TRIM(C504)&amp;" ")-1),",","."),"."),LEFT(SUBSTITUTE(LEFT(TRIM(C504),FIND(" ",TRIM(C504)&amp;" ")-1),",","."),FIND("/",SUBSTITUTE(LEFT(TRIM(C504),FIND(" ",TRIM(C504)&amp;" ")-1),",","."))-1)/MID(SUBSTITUTE(LEFT(TRIM(C504),FIND(" ",TRIM(C504)&amp;" ")-1),",","."),FIND("/",SUBSTITUTE(LEFT(TRIM(C504),FIND(" ",TRIM(C504)&amp;" ")-1),",","."))+1,9)),IF(ISNUMBER(SEARCH("yea",C504)),IFERROR(_xlfn.NUMBERVALUE(SUBSTITUTE(LEFT(TRIM(C504),FIND(" ",TRIM(C504)&amp;" ")-1),",","."),"."),LEFT(SUBSTITUTE(LEFT(TRIM(C504),FIND(" ",TRIM(C504)&amp;" ")-1),",","."),FIND("/",SUBSTITUTE(LEFT(TRIM(C504),FIND(" ",TRIM(C504)&amp;" ")-1),",","."))-1)/MID(SUBSTITUTE(LEFT(TRIM(C504),FIND(" ",TRIM(C504)&amp;" ")-1),",","."),FIND("/",SUBSTITUTE(LEFT(TRIM(C504),FIND(" ",TRIM(C504)&amp;" ")-1),",","."))+1,9))*12,NA()))),0),18)*'Aturan &amp; Tarif'!$B$4,2)</f>
        <v>1022.04</v>
      </c>
      <c r="K504" s="42" t="n">
        <f aca="false">'Aturan &amp; Tarif'!$B$5</f>
        <v>2050</v>
      </c>
      <c r="L504" s="42" t="n">
        <f aca="false">'Aturan &amp; Tarif'!$B$6</f>
        <v>350</v>
      </c>
      <c r="M504" s="35" t="n">
        <f aca="false">I504+J504+K504+L504</f>
        <v>17322.04</v>
      </c>
      <c r="N504" s="45" t="s">
        <v>738</v>
      </c>
    </row>
    <row r="505" customFormat="false" ht="60" hidden="false" customHeight="true" outlineLevel="0" collapsed="false">
      <c r="A505" s="39"/>
      <c r="B505" s="40" t="s">
        <v>975</v>
      </c>
      <c r="C505" s="41" t="s">
        <v>113</v>
      </c>
      <c r="D505" s="41" t="s">
        <v>737</v>
      </c>
      <c r="E505" s="42" t="n">
        <v>13600</v>
      </c>
      <c r="F505" s="42" t="n">
        <v>0</v>
      </c>
      <c r="G505" s="42" t="n">
        <v>300</v>
      </c>
      <c r="H505" s="43" t="n">
        <v>1</v>
      </c>
      <c r="I505" s="34" t="n">
        <f aca="false">E505*H505+N(F505)+N(G505)</f>
        <v>13900</v>
      </c>
      <c r="J505" s="42" t="n">
        <f aca="false">ROUND(IFERROR(ROUND(IF(OR(ISNUMBER(SEARCH("week",C505)),ISNUMBER(SEARCH("minggu",C505))),IFERROR(_xlfn.NUMBERVALUE(SUBSTITUTE(LEFT(TRIM(C505),FIND(" ",TRIM(C505)&amp;" ")-1),",","."),"."),LEFT(SUBSTITUTE(LEFT(TRIM(C505),FIND(" ",TRIM(C505)&amp;" ")-1),",","."),FIND("/",SUBSTITUTE(LEFT(TRIM(C505),FIND(" ",TRIM(C505)&amp;" ")-1),",","."))-1)/MID(SUBSTITUTE(LEFT(TRIM(C505),FIND(" ",TRIM(C505)&amp;" ")-1),",","."),FIND("/",SUBSTITUTE(LEFT(TRIM(C505),FIND(" ",TRIM(C505)&amp;" ")-1),",","."))+1,9))*12/52,IF(ISNUMBER(SEARCH("month",C505)),IFERROR(_xlfn.NUMBERVALUE(SUBSTITUTE(LEFT(TRIM(C505),FIND(" ",TRIM(C505)&amp;" ")-1),",","."),"."),LEFT(SUBSTITUTE(LEFT(TRIM(C505),FIND(" ",TRIM(C505)&amp;" ")-1),",","."),FIND("/",SUBSTITUTE(LEFT(TRIM(C505),FIND(" ",TRIM(C505)&amp;" ")-1),",","."))-1)/MID(SUBSTITUTE(LEFT(TRIM(C505),FIND(" ",TRIM(C505)&amp;" ")-1),",","."),FIND("/",SUBSTITUTE(LEFT(TRIM(C505),FIND(" ",TRIM(C505)&amp;" ")-1),",","."))+1,9)),IF(ISNUMBER(SEARCH("yea",C505)),IFERROR(_xlfn.NUMBERVALUE(SUBSTITUTE(LEFT(TRIM(C505),FIND(" ",TRIM(C505)&amp;" ")-1),",","."),"."),LEFT(SUBSTITUTE(LEFT(TRIM(C505),FIND(" ",TRIM(C505)&amp;" ")-1),",","."),FIND("/",SUBSTITUTE(LEFT(TRIM(C505),FIND(" ",TRIM(C505)&amp;" ")-1),",","."))-1)/MID(SUBSTITUTE(LEFT(TRIM(C505),FIND(" ",TRIM(C505)&amp;" ")-1),",","."),FIND("/",SUBSTITUTE(LEFT(TRIM(C505),FIND(" ",TRIM(C505)&amp;" ")-1),",","."))+1,9))*12,NA()))),0),18)*'Aturan &amp; Tarif'!$B$4,2)</f>
        <v>1022.04</v>
      </c>
      <c r="K505" s="42" t="n">
        <f aca="false">'Aturan &amp; Tarif'!$B$5</f>
        <v>2050</v>
      </c>
      <c r="L505" s="42" t="n">
        <f aca="false">'Aturan &amp; Tarif'!$B$6</f>
        <v>350</v>
      </c>
      <c r="M505" s="35" t="n">
        <f aca="false">I505+J505+K505+L505</f>
        <v>17322.04</v>
      </c>
      <c r="N505" s="45" t="s">
        <v>738</v>
      </c>
    </row>
    <row r="506" customFormat="false" ht="60" hidden="false" customHeight="true" outlineLevel="0" collapsed="false">
      <c r="A506" s="39"/>
      <c r="B506" s="40" t="s">
        <v>976</v>
      </c>
      <c r="C506" s="41" t="s">
        <v>107</v>
      </c>
      <c r="D506" s="41" t="s">
        <v>737</v>
      </c>
      <c r="E506" s="42" t="n">
        <v>13600</v>
      </c>
      <c r="F506" s="42" t="n">
        <v>0</v>
      </c>
      <c r="G506" s="42" t="n">
        <v>300</v>
      </c>
      <c r="H506" s="43" t="n">
        <v>1</v>
      </c>
      <c r="I506" s="34" t="n">
        <f aca="false">E506*H506+N(F506)+N(G506)</f>
        <v>13900</v>
      </c>
      <c r="J506" s="42" t="n">
        <f aca="false">ROUND(IFERROR(ROUND(IF(OR(ISNUMBER(SEARCH("week",C506)),ISNUMBER(SEARCH("minggu",C506))),IFERROR(_xlfn.NUMBERVALUE(SUBSTITUTE(LEFT(TRIM(C506),FIND(" ",TRIM(C506)&amp;" ")-1),",","."),"."),LEFT(SUBSTITUTE(LEFT(TRIM(C506),FIND(" ",TRIM(C506)&amp;" ")-1),",","."),FIND("/",SUBSTITUTE(LEFT(TRIM(C506),FIND(" ",TRIM(C506)&amp;" ")-1),",","."))-1)/MID(SUBSTITUTE(LEFT(TRIM(C506),FIND(" ",TRIM(C506)&amp;" ")-1),",","."),FIND("/",SUBSTITUTE(LEFT(TRIM(C506),FIND(" ",TRIM(C506)&amp;" ")-1),",","."))+1,9))*12/52,IF(ISNUMBER(SEARCH("month",C506)),IFERROR(_xlfn.NUMBERVALUE(SUBSTITUTE(LEFT(TRIM(C506),FIND(" ",TRIM(C506)&amp;" ")-1),",","."),"."),LEFT(SUBSTITUTE(LEFT(TRIM(C506),FIND(" ",TRIM(C506)&amp;" ")-1),",","."),FIND("/",SUBSTITUTE(LEFT(TRIM(C506),FIND(" ",TRIM(C506)&amp;" ")-1),",","."))-1)/MID(SUBSTITUTE(LEFT(TRIM(C506),FIND(" ",TRIM(C506)&amp;" ")-1),",","."),FIND("/",SUBSTITUTE(LEFT(TRIM(C506),FIND(" ",TRIM(C506)&amp;" ")-1),",","."))+1,9)),IF(ISNUMBER(SEARCH("yea",C506)),IFERROR(_xlfn.NUMBERVALUE(SUBSTITUTE(LEFT(TRIM(C506),FIND(" ",TRIM(C506)&amp;" ")-1),",","."),"."),LEFT(SUBSTITUTE(LEFT(TRIM(C506),FIND(" ",TRIM(C506)&amp;" ")-1),",","."),FIND("/",SUBSTITUTE(LEFT(TRIM(C506),FIND(" ",TRIM(C506)&amp;" ")-1),",","."))-1)/MID(SUBSTITUTE(LEFT(TRIM(C506),FIND(" ",TRIM(C506)&amp;" ")-1),",","."),FIND("/",SUBSTITUTE(LEFT(TRIM(C506),FIND(" ",TRIM(C506)&amp;" ")-1),",","."))+1,9))*12,NA()))),0),24)*'Aturan &amp; Tarif'!$B$4,2)</f>
        <v>1362.72</v>
      </c>
      <c r="K506" s="42" t="n">
        <f aca="false">'Aturan &amp; Tarif'!$B$5</f>
        <v>2050</v>
      </c>
      <c r="L506" s="42" t="n">
        <f aca="false">'Aturan &amp; Tarif'!$B$6</f>
        <v>350</v>
      </c>
      <c r="M506" s="35" t="n">
        <f aca="false">I506+J506+K506+L506</f>
        <v>17662.72</v>
      </c>
      <c r="N506" s="45" t="s">
        <v>738</v>
      </c>
    </row>
    <row r="507" customFormat="false" ht="60" hidden="false" customHeight="true" outlineLevel="0" collapsed="false">
      <c r="A507" s="39"/>
      <c r="B507" s="40" t="s">
        <v>977</v>
      </c>
      <c r="C507" s="41" t="s">
        <v>138</v>
      </c>
      <c r="D507" s="41" t="s">
        <v>737</v>
      </c>
      <c r="E507" s="42" t="n">
        <v>13600</v>
      </c>
      <c r="F507" s="42" t="n">
        <v>0</v>
      </c>
      <c r="G507" s="42" t="n">
        <v>300</v>
      </c>
      <c r="H507" s="43" t="n">
        <v>1</v>
      </c>
      <c r="I507" s="34" t="n">
        <f aca="false">E507*H507+N(F507)+N(G507)</f>
        <v>13900</v>
      </c>
      <c r="J507" s="42" t="n">
        <f aca="false">ROUND(IFERROR(ROUND(IF(OR(ISNUMBER(SEARCH("week",C507)),ISNUMBER(SEARCH("minggu",C507))),IFERROR(_xlfn.NUMBERVALUE(SUBSTITUTE(LEFT(TRIM(C507),FIND(" ",TRIM(C507)&amp;" ")-1),",","."),"."),LEFT(SUBSTITUTE(LEFT(TRIM(C507),FIND(" ",TRIM(C507)&amp;" ")-1),",","."),FIND("/",SUBSTITUTE(LEFT(TRIM(C507),FIND(" ",TRIM(C507)&amp;" ")-1),",","."))-1)/MID(SUBSTITUTE(LEFT(TRIM(C507),FIND(" ",TRIM(C507)&amp;" ")-1),",","."),FIND("/",SUBSTITUTE(LEFT(TRIM(C507),FIND(" ",TRIM(C507)&amp;" ")-1),",","."))+1,9))*12/52,IF(ISNUMBER(SEARCH("month",C507)),IFERROR(_xlfn.NUMBERVALUE(SUBSTITUTE(LEFT(TRIM(C507),FIND(" ",TRIM(C507)&amp;" ")-1),",","."),"."),LEFT(SUBSTITUTE(LEFT(TRIM(C507),FIND(" ",TRIM(C507)&amp;" ")-1),",","."),FIND("/",SUBSTITUTE(LEFT(TRIM(C507),FIND(" ",TRIM(C507)&amp;" ")-1),",","."))-1)/MID(SUBSTITUTE(LEFT(TRIM(C507),FIND(" ",TRIM(C507)&amp;" ")-1),",","."),FIND("/",SUBSTITUTE(LEFT(TRIM(C507),FIND(" ",TRIM(C507)&amp;" ")-1),",","."))+1,9)),IF(ISNUMBER(SEARCH("yea",C507)),IFERROR(_xlfn.NUMBERVALUE(SUBSTITUTE(LEFT(TRIM(C507),FIND(" ",TRIM(C507)&amp;" ")-1),",","."),"."),LEFT(SUBSTITUTE(LEFT(TRIM(C507),FIND(" ",TRIM(C507)&amp;" ")-1),",","."),FIND("/",SUBSTITUTE(LEFT(TRIM(C507),FIND(" ",TRIM(C507)&amp;" ")-1),",","."))-1)/MID(SUBSTITUTE(LEFT(TRIM(C507),FIND(" ",TRIM(C507)&amp;" ")-1),",","."),FIND("/",SUBSTITUTE(LEFT(TRIM(C507),FIND(" ",TRIM(C507)&amp;" ")-1),",","."))+1,9))*12,NA()))),0),30)*'Aturan &amp; Tarif'!$B$4,2)</f>
        <v>1703.4</v>
      </c>
      <c r="K507" s="42" t="n">
        <f aca="false">'Aturan &amp; Tarif'!$B$5</f>
        <v>2050</v>
      </c>
      <c r="L507" s="42" t="n">
        <f aca="false">'Aturan &amp; Tarif'!$B$6</f>
        <v>350</v>
      </c>
      <c r="M507" s="35" t="n">
        <f aca="false">I507+J507+K507+L507</f>
        <v>18003.4</v>
      </c>
      <c r="N507" s="45" t="s">
        <v>738</v>
      </c>
    </row>
    <row r="508" customFormat="false" ht="60" hidden="false" customHeight="true" outlineLevel="0" collapsed="false">
      <c r="A508" s="39"/>
      <c r="B508" s="40" t="s">
        <v>2126</v>
      </c>
      <c r="C508" s="41" t="s">
        <v>344</v>
      </c>
      <c r="D508" s="41" t="s">
        <v>737</v>
      </c>
      <c r="E508" s="42" t="n">
        <v>14560</v>
      </c>
      <c r="F508" s="42" t="n">
        <v>0</v>
      </c>
      <c r="G508" s="42" t="n">
        <v>300</v>
      </c>
      <c r="H508" s="43" t="n">
        <v>1</v>
      </c>
      <c r="I508" s="34" t="n">
        <f aca="false">E508*H508+N(F508)+N(G508)</f>
        <v>14860</v>
      </c>
      <c r="J508" s="42" t="n">
        <f aca="false">ROUND(IFERROR(ROUND(IF(OR(ISNUMBER(SEARCH("week",C508)),ISNUMBER(SEARCH("minggu",C508))),IFERROR(_xlfn.NUMBERVALUE(SUBSTITUTE(LEFT(TRIM(C508),FIND(" ",TRIM(C508)&amp;" ")-1),",","."),"."),LEFT(SUBSTITUTE(LEFT(TRIM(C508),FIND(" ",TRIM(C508)&amp;" ")-1),",","."),FIND("/",SUBSTITUTE(LEFT(TRIM(C508),FIND(" ",TRIM(C508)&amp;" ")-1),",","."))-1)/MID(SUBSTITUTE(LEFT(TRIM(C508),FIND(" ",TRIM(C508)&amp;" ")-1),",","."),FIND("/",SUBSTITUTE(LEFT(TRIM(C508),FIND(" ",TRIM(C508)&amp;" ")-1),",","."))+1,9))*12/52,IF(ISNUMBER(SEARCH("month",C508)),IFERROR(_xlfn.NUMBERVALUE(SUBSTITUTE(LEFT(TRIM(C508),FIND(" ",TRIM(C508)&amp;" ")-1),",","."),"."),LEFT(SUBSTITUTE(LEFT(TRIM(C508),FIND(" ",TRIM(C508)&amp;" ")-1),",","."),FIND("/",SUBSTITUTE(LEFT(TRIM(C508),FIND(" ",TRIM(C508)&amp;" ")-1),",","."))-1)/MID(SUBSTITUTE(LEFT(TRIM(C508),FIND(" ",TRIM(C508)&amp;" ")-1),",","."),FIND("/",SUBSTITUTE(LEFT(TRIM(C508),FIND(" ",TRIM(C508)&amp;" ")-1),",","."))+1,9)),IF(ISNUMBER(SEARCH("yea",C508)),IFERROR(_xlfn.NUMBERVALUE(SUBSTITUTE(LEFT(TRIM(C508),FIND(" ",TRIM(C508)&amp;" ")-1),",","."),"."),LEFT(SUBSTITUTE(LEFT(TRIM(C508),FIND(" ",TRIM(C508)&amp;" ")-1),",","."),FIND("/",SUBSTITUTE(LEFT(TRIM(C508),FIND(" ",TRIM(C508)&amp;" ")-1),",","."))-1)/MID(SUBSTITUTE(LEFT(TRIM(C508),FIND(" ",TRIM(C508)&amp;" ")-1),",","."),FIND("/",SUBSTITUTE(LEFT(TRIM(C508),FIND(" ",TRIM(C508)&amp;" ")-1),",","."))+1,9))*12,NA()))),0),6)*'Aturan &amp; Tarif'!$B$4,2)</f>
        <v>340.68</v>
      </c>
      <c r="K508" s="42" t="n">
        <f aca="false">'Aturan &amp; Tarif'!$B$5</f>
        <v>2050</v>
      </c>
      <c r="L508" s="42" t="n">
        <f aca="false">'Aturan &amp; Tarif'!$B$6</f>
        <v>350</v>
      </c>
      <c r="M508" s="35" t="n">
        <f aca="false">I508+J508+K508+L508</f>
        <v>17600.68</v>
      </c>
      <c r="N508" s="45" t="s">
        <v>738</v>
      </c>
    </row>
    <row r="509" customFormat="false" ht="60" hidden="false" customHeight="true" outlineLevel="0" collapsed="false">
      <c r="A509" s="39"/>
      <c r="B509" s="40" t="s">
        <v>2127</v>
      </c>
      <c r="C509" s="41" t="s">
        <v>130</v>
      </c>
      <c r="D509" s="41" t="s">
        <v>737</v>
      </c>
      <c r="E509" s="42" t="n">
        <v>14560</v>
      </c>
      <c r="F509" s="42" t="n">
        <v>0</v>
      </c>
      <c r="G509" s="42" t="n">
        <v>300</v>
      </c>
      <c r="H509" s="43" t="n">
        <v>1</v>
      </c>
      <c r="I509" s="34" t="n">
        <f aca="false">E509*H509+N(F509)+N(G509)</f>
        <v>14860</v>
      </c>
      <c r="J509" s="42" t="n">
        <f aca="false">ROUND(IFERROR(ROUND(IF(OR(ISNUMBER(SEARCH("week",C509)),ISNUMBER(SEARCH("minggu",C509))),IFERROR(_xlfn.NUMBERVALUE(SUBSTITUTE(LEFT(TRIM(C509),FIND(" ",TRIM(C509)&amp;" ")-1),",","."),"."),LEFT(SUBSTITUTE(LEFT(TRIM(C509),FIND(" ",TRIM(C509)&amp;" ")-1),",","."),FIND("/",SUBSTITUTE(LEFT(TRIM(C509),FIND(" ",TRIM(C509)&amp;" ")-1),",","."))-1)/MID(SUBSTITUTE(LEFT(TRIM(C509),FIND(" ",TRIM(C509)&amp;" ")-1),",","."),FIND("/",SUBSTITUTE(LEFT(TRIM(C509),FIND(" ",TRIM(C509)&amp;" ")-1),",","."))+1,9))*12/52,IF(ISNUMBER(SEARCH("month",C509)),IFERROR(_xlfn.NUMBERVALUE(SUBSTITUTE(LEFT(TRIM(C509),FIND(" ",TRIM(C509)&amp;" ")-1),",","."),"."),LEFT(SUBSTITUTE(LEFT(TRIM(C509),FIND(" ",TRIM(C509)&amp;" ")-1),",","."),FIND("/",SUBSTITUTE(LEFT(TRIM(C509),FIND(" ",TRIM(C509)&amp;" ")-1),",","."))-1)/MID(SUBSTITUTE(LEFT(TRIM(C509),FIND(" ",TRIM(C509)&amp;" ")-1),",","."),FIND("/",SUBSTITUTE(LEFT(TRIM(C509),FIND(" ",TRIM(C509)&amp;" ")-1),",","."))+1,9)),IF(ISNUMBER(SEARCH("yea",C509)),IFERROR(_xlfn.NUMBERVALUE(SUBSTITUTE(LEFT(TRIM(C509),FIND(" ",TRIM(C509)&amp;" ")-1),",","."),"."),LEFT(SUBSTITUTE(LEFT(TRIM(C509),FIND(" ",TRIM(C509)&amp;" ")-1),",","."),FIND("/",SUBSTITUTE(LEFT(TRIM(C509),FIND(" ",TRIM(C509)&amp;" ")-1),",","."))-1)/MID(SUBSTITUTE(LEFT(TRIM(C509),FIND(" ",TRIM(C509)&amp;" ")-1),",","."),FIND("/",SUBSTITUTE(LEFT(TRIM(C509),FIND(" ",TRIM(C509)&amp;" ")-1),",","."))+1,9))*12,NA()))),0),12)*'Aturan &amp; Tarif'!$B$4,2)</f>
        <v>681.36</v>
      </c>
      <c r="K509" s="42" t="n">
        <f aca="false">'Aturan &amp; Tarif'!$B$5</f>
        <v>2050</v>
      </c>
      <c r="L509" s="42" t="n">
        <f aca="false">'Aturan &amp; Tarif'!$B$6</f>
        <v>350</v>
      </c>
      <c r="M509" s="35" t="n">
        <f aca="false">I509+J509+K509+L509</f>
        <v>17941.36</v>
      </c>
      <c r="N509" s="45" t="s">
        <v>738</v>
      </c>
    </row>
    <row r="510" customFormat="false" ht="60" hidden="false" customHeight="true" outlineLevel="0" collapsed="false">
      <c r="A510" s="39"/>
      <c r="B510" s="40" t="s">
        <v>1915</v>
      </c>
      <c r="C510" s="41" t="s">
        <v>113</v>
      </c>
      <c r="D510" s="41" t="s">
        <v>737</v>
      </c>
      <c r="E510" s="42" t="n">
        <v>14560</v>
      </c>
      <c r="F510" s="42" t="n">
        <v>0</v>
      </c>
      <c r="G510" s="42" t="n">
        <v>300</v>
      </c>
      <c r="H510" s="43" t="n">
        <v>1</v>
      </c>
      <c r="I510" s="34" t="n">
        <f aca="false">E510*H510+N(F510)+N(G510)</f>
        <v>14860</v>
      </c>
      <c r="J510" s="42" t="n">
        <f aca="false">ROUND(IFERROR(ROUND(IF(OR(ISNUMBER(SEARCH("week",C510)),ISNUMBER(SEARCH("minggu",C510))),IFERROR(_xlfn.NUMBERVALUE(SUBSTITUTE(LEFT(TRIM(C510),FIND(" ",TRIM(C510)&amp;" ")-1),",","."),"."),LEFT(SUBSTITUTE(LEFT(TRIM(C510),FIND(" ",TRIM(C510)&amp;" ")-1),",","."),FIND("/",SUBSTITUTE(LEFT(TRIM(C510),FIND(" ",TRIM(C510)&amp;" ")-1),",","."))-1)/MID(SUBSTITUTE(LEFT(TRIM(C510),FIND(" ",TRIM(C510)&amp;" ")-1),",","."),FIND("/",SUBSTITUTE(LEFT(TRIM(C510),FIND(" ",TRIM(C510)&amp;" ")-1),",","."))+1,9))*12/52,IF(ISNUMBER(SEARCH("month",C510)),IFERROR(_xlfn.NUMBERVALUE(SUBSTITUTE(LEFT(TRIM(C510),FIND(" ",TRIM(C510)&amp;" ")-1),",","."),"."),LEFT(SUBSTITUTE(LEFT(TRIM(C510),FIND(" ",TRIM(C510)&amp;" ")-1),",","."),FIND("/",SUBSTITUTE(LEFT(TRIM(C510),FIND(" ",TRIM(C510)&amp;" ")-1),",","."))-1)/MID(SUBSTITUTE(LEFT(TRIM(C510),FIND(" ",TRIM(C510)&amp;" ")-1),",","."),FIND("/",SUBSTITUTE(LEFT(TRIM(C510),FIND(" ",TRIM(C510)&amp;" ")-1),",","."))+1,9)),IF(ISNUMBER(SEARCH("yea",C510)),IFERROR(_xlfn.NUMBERVALUE(SUBSTITUTE(LEFT(TRIM(C510),FIND(" ",TRIM(C510)&amp;" ")-1),",","."),"."),LEFT(SUBSTITUTE(LEFT(TRIM(C510),FIND(" ",TRIM(C510)&amp;" ")-1),",","."),FIND("/",SUBSTITUTE(LEFT(TRIM(C510),FIND(" ",TRIM(C510)&amp;" ")-1),",","."))-1)/MID(SUBSTITUTE(LEFT(TRIM(C510),FIND(" ",TRIM(C510)&amp;" ")-1),",","."),FIND("/",SUBSTITUTE(LEFT(TRIM(C510),FIND(" ",TRIM(C510)&amp;" ")-1),",","."))+1,9))*12,NA()))),0),18)*'Aturan &amp; Tarif'!$B$4,2)</f>
        <v>1022.04</v>
      </c>
      <c r="K510" s="42" t="n">
        <f aca="false">'Aturan &amp; Tarif'!$B$5</f>
        <v>2050</v>
      </c>
      <c r="L510" s="42" t="n">
        <f aca="false">'Aturan &amp; Tarif'!$B$6</f>
        <v>350</v>
      </c>
      <c r="M510" s="35" t="n">
        <f aca="false">I510+J510+K510+L510</f>
        <v>18282.04</v>
      </c>
      <c r="N510" s="45" t="s">
        <v>738</v>
      </c>
    </row>
    <row r="511" customFormat="false" ht="60" hidden="false" customHeight="true" outlineLevel="0" collapsed="false">
      <c r="A511" s="39"/>
      <c r="B511" s="40" t="s">
        <v>2128</v>
      </c>
      <c r="C511" s="41" t="s">
        <v>107</v>
      </c>
      <c r="D511" s="41" t="s">
        <v>737</v>
      </c>
      <c r="E511" s="42" t="n">
        <v>14560</v>
      </c>
      <c r="F511" s="42" t="n">
        <v>0</v>
      </c>
      <c r="G511" s="42" t="n">
        <v>300</v>
      </c>
      <c r="H511" s="43" t="n">
        <v>1</v>
      </c>
      <c r="I511" s="34" t="n">
        <f aca="false">E511*H511+N(F511)+N(G511)</f>
        <v>14860</v>
      </c>
      <c r="J511" s="42" t="n">
        <f aca="false">ROUND(IFERROR(ROUND(IF(OR(ISNUMBER(SEARCH("week",C511)),ISNUMBER(SEARCH("minggu",C511))),IFERROR(_xlfn.NUMBERVALUE(SUBSTITUTE(LEFT(TRIM(C511),FIND(" ",TRIM(C511)&amp;" ")-1),",","."),"."),LEFT(SUBSTITUTE(LEFT(TRIM(C511),FIND(" ",TRIM(C511)&amp;" ")-1),",","."),FIND("/",SUBSTITUTE(LEFT(TRIM(C511),FIND(" ",TRIM(C511)&amp;" ")-1),",","."))-1)/MID(SUBSTITUTE(LEFT(TRIM(C511),FIND(" ",TRIM(C511)&amp;" ")-1),",","."),FIND("/",SUBSTITUTE(LEFT(TRIM(C511),FIND(" ",TRIM(C511)&amp;" ")-1),",","."))+1,9))*12/52,IF(ISNUMBER(SEARCH("month",C511)),IFERROR(_xlfn.NUMBERVALUE(SUBSTITUTE(LEFT(TRIM(C511),FIND(" ",TRIM(C511)&amp;" ")-1),",","."),"."),LEFT(SUBSTITUTE(LEFT(TRIM(C511),FIND(" ",TRIM(C511)&amp;" ")-1),",","."),FIND("/",SUBSTITUTE(LEFT(TRIM(C511),FIND(" ",TRIM(C511)&amp;" ")-1),",","."))-1)/MID(SUBSTITUTE(LEFT(TRIM(C511),FIND(" ",TRIM(C511)&amp;" ")-1),",","."),FIND("/",SUBSTITUTE(LEFT(TRIM(C511),FIND(" ",TRIM(C511)&amp;" ")-1),",","."))+1,9)),IF(ISNUMBER(SEARCH("yea",C511)),IFERROR(_xlfn.NUMBERVALUE(SUBSTITUTE(LEFT(TRIM(C511),FIND(" ",TRIM(C511)&amp;" ")-1),",","."),"."),LEFT(SUBSTITUTE(LEFT(TRIM(C511),FIND(" ",TRIM(C511)&amp;" ")-1),",","."),FIND("/",SUBSTITUTE(LEFT(TRIM(C511),FIND(" ",TRIM(C511)&amp;" ")-1),",","."))-1)/MID(SUBSTITUTE(LEFT(TRIM(C511),FIND(" ",TRIM(C511)&amp;" ")-1),",","."),FIND("/",SUBSTITUTE(LEFT(TRIM(C511),FIND(" ",TRIM(C511)&amp;" ")-1),",","."))+1,9))*12,NA()))),0),24)*'Aturan &amp; Tarif'!$B$4,2)</f>
        <v>1362.72</v>
      </c>
      <c r="K511" s="42" t="n">
        <f aca="false">'Aturan &amp; Tarif'!$B$5</f>
        <v>2050</v>
      </c>
      <c r="L511" s="42" t="n">
        <f aca="false">'Aturan &amp; Tarif'!$B$6</f>
        <v>350</v>
      </c>
      <c r="M511" s="35" t="n">
        <f aca="false">I511+J511+K511+L511</f>
        <v>18622.72</v>
      </c>
      <c r="N511" s="45" t="s">
        <v>738</v>
      </c>
    </row>
    <row r="512" customFormat="false" ht="12.75" hidden="false" customHeight="true" outlineLevel="0" collapsed="false">
      <c r="A512" s="46" t="s">
        <v>2129</v>
      </c>
      <c r="B512" s="30" t="s">
        <v>2130</v>
      </c>
      <c r="C512" s="31" t="s">
        <v>127</v>
      </c>
      <c r="D512" s="31" t="s">
        <v>737</v>
      </c>
      <c r="E512" s="32" t="n">
        <v>8240</v>
      </c>
      <c r="F512" s="32"/>
      <c r="G512" s="32" t="n">
        <v>250</v>
      </c>
      <c r="H512" s="33" t="n">
        <v>1</v>
      </c>
      <c r="I512" s="34" t="n">
        <f aca="false">E512*H512+N(F512)+N(G512)</f>
        <v>8490</v>
      </c>
      <c r="J512" s="32" t="n">
        <f aca="false">ROUND(IFERROR(ROUND(IF(OR(ISNUMBER(SEARCH("week",C512)),ISNUMBER(SEARCH("minggu",C512))),IFERROR(_xlfn.NUMBERVALUE(SUBSTITUTE(LEFT(TRIM(C512),FIND(" ",TRIM(C512)&amp;" ")-1),",","."),"."),LEFT(SUBSTITUTE(LEFT(TRIM(C512),FIND(" ",TRIM(C512)&amp;" ")-1),",","."),FIND("/",SUBSTITUTE(LEFT(TRIM(C512),FIND(" ",TRIM(C512)&amp;" ")-1),",","."))-1)/MID(SUBSTITUTE(LEFT(TRIM(C512),FIND(" ",TRIM(C512)&amp;" ")-1),",","."),FIND("/",SUBSTITUTE(LEFT(TRIM(C512),FIND(" ",TRIM(C512)&amp;" ")-1),",","."))+1,9))*12/52,IF(ISNUMBER(SEARCH("month",C512)),IFERROR(_xlfn.NUMBERVALUE(SUBSTITUTE(LEFT(TRIM(C512),FIND(" ",TRIM(C512)&amp;" ")-1),",","."),"."),LEFT(SUBSTITUTE(LEFT(TRIM(C512),FIND(" ",TRIM(C512)&amp;" ")-1),",","."),FIND("/",SUBSTITUTE(LEFT(TRIM(C512),FIND(" ",TRIM(C512)&amp;" ")-1),",","."))-1)/MID(SUBSTITUTE(LEFT(TRIM(C512),FIND(" ",TRIM(C512)&amp;" ")-1),",","."),FIND("/",SUBSTITUTE(LEFT(TRIM(C512),FIND(" ",TRIM(C512)&amp;" ")-1),",","."))+1,9)),IF(ISNUMBER(SEARCH("yea",C512)),IFERROR(_xlfn.NUMBERVALUE(SUBSTITUTE(LEFT(TRIM(C512),FIND(" ",TRIM(C512)&amp;" ")-1),",","."),"."),LEFT(SUBSTITUTE(LEFT(TRIM(C512),FIND(" ",TRIM(C512)&amp;" ")-1),",","."),FIND("/",SUBSTITUTE(LEFT(TRIM(C512),FIND(" ",TRIM(C512)&amp;" ")-1),",","."))-1)/MID(SUBSTITUTE(LEFT(TRIM(C512),FIND(" ",TRIM(C512)&amp;" ")-1),",","."),FIND("/",SUBSTITUTE(LEFT(TRIM(C512),FIND(" ",TRIM(C512)&amp;" ")-1),",","."))+1,9))*12,NA()))),0),36)*'Aturan &amp; Tarif'!$B$4,2)</f>
        <v>2044.08</v>
      </c>
      <c r="K512" s="32" t="n">
        <f aca="false">'Aturan &amp; Tarif'!$B$5</f>
        <v>2050</v>
      </c>
      <c r="L512" s="32" t="n">
        <f aca="false">'Aturan &amp; Tarif'!$B$6</f>
        <v>350</v>
      </c>
      <c r="M512" s="35" t="n">
        <f aca="false">I512+J512+K512+L512</f>
        <v>12934.08</v>
      </c>
      <c r="N512" s="37" t="s">
        <v>2131</v>
      </c>
    </row>
    <row r="513" customFormat="false" ht="12.75" hidden="false" customHeight="true" outlineLevel="0" collapsed="false">
      <c r="A513" s="46"/>
      <c r="B513" s="30" t="s">
        <v>2132</v>
      </c>
      <c r="C513" s="31" t="s">
        <v>127</v>
      </c>
      <c r="D513" s="31" t="s">
        <v>737</v>
      </c>
      <c r="E513" s="32" t="n">
        <v>8240</v>
      </c>
      <c r="F513" s="32"/>
      <c r="G513" s="32" t="n">
        <v>250</v>
      </c>
      <c r="H513" s="33" t="n">
        <v>1</v>
      </c>
      <c r="I513" s="34" t="n">
        <f aca="false">E513*H513+N(F513)+N(G513)</f>
        <v>8490</v>
      </c>
      <c r="J513" s="32" t="n">
        <f aca="false">ROUND(IFERROR(ROUND(IF(OR(ISNUMBER(SEARCH("week",C513)),ISNUMBER(SEARCH("minggu",C513))),IFERROR(_xlfn.NUMBERVALUE(SUBSTITUTE(LEFT(TRIM(C513),FIND(" ",TRIM(C513)&amp;" ")-1),",","."),"."),LEFT(SUBSTITUTE(LEFT(TRIM(C513),FIND(" ",TRIM(C513)&amp;" ")-1),",","."),FIND("/",SUBSTITUTE(LEFT(TRIM(C513),FIND(" ",TRIM(C513)&amp;" ")-1),",","."))-1)/MID(SUBSTITUTE(LEFT(TRIM(C513),FIND(" ",TRIM(C513)&amp;" ")-1),",","."),FIND("/",SUBSTITUTE(LEFT(TRIM(C513),FIND(" ",TRIM(C513)&amp;" ")-1),",","."))+1,9))*12/52,IF(ISNUMBER(SEARCH("month",C513)),IFERROR(_xlfn.NUMBERVALUE(SUBSTITUTE(LEFT(TRIM(C513),FIND(" ",TRIM(C513)&amp;" ")-1),",","."),"."),LEFT(SUBSTITUTE(LEFT(TRIM(C513),FIND(" ",TRIM(C513)&amp;" ")-1),",","."),FIND("/",SUBSTITUTE(LEFT(TRIM(C513),FIND(" ",TRIM(C513)&amp;" ")-1),",","."))-1)/MID(SUBSTITUTE(LEFT(TRIM(C513),FIND(" ",TRIM(C513)&amp;" ")-1),",","."),FIND("/",SUBSTITUTE(LEFT(TRIM(C513),FIND(" ",TRIM(C513)&amp;" ")-1),",","."))+1,9)),IF(ISNUMBER(SEARCH("yea",C513)),IFERROR(_xlfn.NUMBERVALUE(SUBSTITUTE(LEFT(TRIM(C513),FIND(" ",TRIM(C513)&amp;" ")-1),",","."),"."),LEFT(SUBSTITUTE(LEFT(TRIM(C513),FIND(" ",TRIM(C513)&amp;" ")-1),",","."),FIND("/",SUBSTITUTE(LEFT(TRIM(C513),FIND(" ",TRIM(C513)&amp;" ")-1),",","."))-1)/MID(SUBSTITUTE(LEFT(TRIM(C513),FIND(" ",TRIM(C513)&amp;" ")-1),",","."),FIND("/",SUBSTITUTE(LEFT(TRIM(C513),FIND(" ",TRIM(C513)&amp;" ")-1),",","."))+1,9))*12,NA()))),0),36)*'Aturan &amp; Tarif'!$B$4,2)</f>
        <v>2044.08</v>
      </c>
      <c r="K513" s="32" t="n">
        <f aca="false">'Aturan &amp; Tarif'!$B$5</f>
        <v>2050</v>
      </c>
      <c r="L513" s="32" t="n">
        <f aca="false">'Aturan &amp; Tarif'!$B$6</f>
        <v>350</v>
      </c>
      <c r="M513" s="35" t="n">
        <f aca="false">I513+J513+K513+L513</f>
        <v>12934.08</v>
      </c>
      <c r="N513" s="37" t="s">
        <v>2131</v>
      </c>
    </row>
    <row r="514" customFormat="false" ht="12.75" hidden="false" customHeight="true" outlineLevel="0" collapsed="false">
      <c r="A514" s="46"/>
      <c r="B514" s="30" t="s">
        <v>2133</v>
      </c>
      <c r="C514" s="31" t="s">
        <v>127</v>
      </c>
      <c r="D514" s="31" t="s">
        <v>737</v>
      </c>
      <c r="E514" s="32" t="n">
        <v>8240</v>
      </c>
      <c r="F514" s="32"/>
      <c r="G514" s="32" t="n">
        <v>250</v>
      </c>
      <c r="H514" s="33" t="n">
        <v>1</v>
      </c>
      <c r="I514" s="34" t="n">
        <f aca="false">E514*H514+N(F514)+N(G514)</f>
        <v>8490</v>
      </c>
      <c r="J514" s="32" t="n">
        <f aca="false">ROUND(IFERROR(ROUND(IF(OR(ISNUMBER(SEARCH("week",C514)),ISNUMBER(SEARCH("minggu",C514))),IFERROR(_xlfn.NUMBERVALUE(SUBSTITUTE(LEFT(TRIM(C514),FIND(" ",TRIM(C514)&amp;" ")-1),",","."),"."),LEFT(SUBSTITUTE(LEFT(TRIM(C514),FIND(" ",TRIM(C514)&amp;" ")-1),",","."),FIND("/",SUBSTITUTE(LEFT(TRIM(C514),FIND(" ",TRIM(C514)&amp;" ")-1),",","."))-1)/MID(SUBSTITUTE(LEFT(TRIM(C514),FIND(" ",TRIM(C514)&amp;" ")-1),",","."),FIND("/",SUBSTITUTE(LEFT(TRIM(C514),FIND(" ",TRIM(C514)&amp;" ")-1),",","."))+1,9))*12/52,IF(ISNUMBER(SEARCH("month",C514)),IFERROR(_xlfn.NUMBERVALUE(SUBSTITUTE(LEFT(TRIM(C514),FIND(" ",TRIM(C514)&amp;" ")-1),",","."),"."),LEFT(SUBSTITUTE(LEFT(TRIM(C514),FIND(" ",TRIM(C514)&amp;" ")-1),",","."),FIND("/",SUBSTITUTE(LEFT(TRIM(C514),FIND(" ",TRIM(C514)&amp;" ")-1),",","."))-1)/MID(SUBSTITUTE(LEFT(TRIM(C514),FIND(" ",TRIM(C514)&amp;" ")-1),",","."),FIND("/",SUBSTITUTE(LEFT(TRIM(C514),FIND(" ",TRIM(C514)&amp;" ")-1),",","."))+1,9)),IF(ISNUMBER(SEARCH("yea",C514)),IFERROR(_xlfn.NUMBERVALUE(SUBSTITUTE(LEFT(TRIM(C514),FIND(" ",TRIM(C514)&amp;" ")-1),",","."),"."),LEFT(SUBSTITUTE(LEFT(TRIM(C514),FIND(" ",TRIM(C514)&amp;" ")-1),",","."),FIND("/",SUBSTITUTE(LEFT(TRIM(C514),FIND(" ",TRIM(C514)&amp;" ")-1),",","."))-1)/MID(SUBSTITUTE(LEFT(TRIM(C514),FIND(" ",TRIM(C514)&amp;" ")-1),",","."),FIND("/",SUBSTITUTE(LEFT(TRIM(C514),FIND(" ",TRIM(C514)&amp;" ")-1),",","."))+1,9))*12,NA()))),0),36)*'Aturan &amp; Tarif'!$B$4,2)</f>
        <v>2044.08</v>
      </c>
      <c r="K514" s="32" t="n">
        <f aca="false">'Aturan &amp; Tarif'!$B$5</f>
        <v>2050</v>
      </c>
      <c r="L514" s="32" t="n">
        <f aca="false">'Aturan &amp; Tarif'!$B$6</f>
        <v>350</v>
      </c>
      <c r="M514" s="35" t="n">
        <f aca="false">I514+J514+K514+L514</f>
        <v>12934.08</v>
      </c>
      <c r="N514" s="37" t="s">
        <v>2131</v>
      </c>
    </row>
    <row r="515" customFormat="false" ht="18.75" hidden="false" customHeight="true" outlineLevel="0" collapsed="false">
      <c r="A515" s="46"/>
      <c r="B515" s="30" t="s">
        <v>2134</v>
      </c>
      <c r="C515" s="31" t="s">
        <v>127</v>
      </c>
      <c r="D515" s="31" t="s">
        <v>737</v>
      </c>
      <c r="E515" s="32" t="n">
        <v>8240</v>
      </c>
      <c r="F515" s="32"/>
      <c r="G515" s="32" t="n">
        <v>250</v>
      </c>
      <c r="H515" s="33" t="n">
        <v>1</v>
      </c>
      <c r="I515" s="34" t="n">
        <f aca="false">E515*H515+N(F515)+N(G515)</f>
        <v>8490</v>
      </c>
      <c r="J515" s="32" t="n">
        <f aca="false">ROUND(IFERROR(ROUND(IF(OR(ISNUMBER(SEARCH("week",C515)),ISNUMBER(SEARCH("minggu",C515))),IFERROR(_xlfn.NUMBERVALUE(SUBSTITUTE(LEFT(TRIM(C515),FIND(" ",TRIM(C515)&amp;" ")-1),",","."),"."),LEFT(SUBSTITUTE(LEFT(TRIM(C515),FIND(" ",TRIM(C515)&amp;" ")-1),",","."),FIND("/",SUBSTITUTE(LEFT(TRIM(C515),FIND(" ",TRIM(C515)&amp;" ")-1),",","."))-1)/MID(SUBSTITUTE(LEFT(TRIM(C515),FIND(" ",TRIM(C515)&amp;" ")-1),",","."),FIND("/",SUBSTITUTE(LEFT(TRIM(C515),FIND(" ",TRIM(C515)&amp;" ")-1),",","."))+1,9))*12/52,IF(ISNUMBER(SEARCH("month",C515)),IFERROR(_xlfn.NUMBERVALUE(SUBSTITUTE(LEFT(TRIM(C515),FIND(" ",TRIM(C515)&amp;" ")-1),",","."),"."),LEFT(SUBSTITUTE(LEFT(TRIM(C515),FIND(" ",TRIM(C515)&amp;" ")-1),",","."),FIND("/",SUBSTITUTE(LEFT(TRIM(C515),FIND(" ",TRIM(C515)&amp;" ")-1),",","."))-1)/MID(SUBSTITUTE(LEFT(TRIM(C515),FIND(" ",TRIM(C515)&amp;" ")-1),",","."),FIND("/",SUBSTITUTE(LEFT(TRIM(C515),FIND(" ",TRIM(C515)&amp;" ")-1),",","."))+1,9)),IF(ISNUMBER(SEARCH("yea",C515)),IFERROR(_xlfn.NUMBERVALUE(SUBSTITUTE(LEFT(TRIM(C515),FIND(" ",TRIM(C515)&amp;" ")-1),",","."),"."),LEFT(SUBSTITUTE(LEFT(TRIM(C515),FIND(" ",TRIM(C515)&amp;" ")-1),",","."),FIND("/",SUBSTITUTE(LEFT(TRIM(C515),FIND(" ",TRIM(C515)&amp;" ")-1),",","."))-1)/MID(SUBSTITUTE(LEFT(TRIM(C515),FIND(" ",TRIM(C515)&amp;" ")-1),",","."),FIND("/",SUBSTITUTE(LEFT(TRIM(C515),FIND(" ",TRIM(C515)&amp;" ")-1),",","."))+1,9))*12,NA()))),0),36)*'Aturan &amp; Tarif'!$B$4,2)</f>
        <v>2044.08</v>
      </c>
      <c r="K515" s="32" t="n">
        <f aca="false">'Aturan &amp; Tarif'!$B$5</f>
        <v>2050</v>
      </c>
      <c r="L515" s="32" t="n">
        <f aca="false">'Aturan &amp; Tarif'!$B$6</f>
        <v>350</v>
      </c>
      <c r="M515" s="35" t="n">
        <f aca="false">I515+J515+K515+L515</f>
        <v>12934.08</v>
      </c>
      <c r="N515" s="37" t="s">
        <v>2131</v>
      </c>
    </row>
    <row r="516" customFormat="false" ht="18.75" hidden="false" customHeight="true" outlineLevel="0" collapsed="false">
      <c r="A516" s="46"/>
      <c r="B516" s="30" t="s">
        <v>2135</v>
      </c>
      <c r="C516" s="31" t="s">
        <v>127</v>
      </c>
      <c r="D516" s="31" t="s">
        <v>737</v>
      </c>
      <c r="E516" s="32" t="n">
        <v>8240</v>
      </c>
      <c r="F516" s="32"/>
      <c r="G516" s="32" t="n">
        <v>250</v>
      </c>
      <c r="H516" s="33" t="n">
        <v>1</v>
      </c>
      <c r="I516" s="34" t="n">
        <f aca="false">E516*H516+N(F516)+N(G516)</f>
        <v>8490</v>
      </c>
      <c r="J516" s="32" t="n">
        <f aca="false">ROUND(IFERROR(ROUND(IF(OR(ISNUMBER(SEARCH("week",C516)),ISNUMBER(SEARCH("minggu",C516))),IFERROR(_xlfn.NUMBERVALUE(SUBSTITUTE(LEFT(TRIM(C516),FIND(" ",TRIM(C516)&amp;" ")-1),",","."),"."),LEFT(SUBSTITUTE(LEFT(TRIM(C516),FIND(" ",TRIM(C516)&amp;" ")-1),",","."),FIND("/",SUBSTITUTE(LEFT(TRIM(C516),FIND(" ",TRIM(C516)&amp;" ")-1),",","."))-1)/MID(SUBSTITUTE(LEFT(TRIM(C516),FIND(" ",TRIM(C516)&amp;" ")-1),",","."),FIND("/",SUBSTITUTE(LEFT(TRIM(C516),FIND(" ",TRIM(C516)&amp;" ")-1),",","."))+1,9))*12/52,IF(ISNUMBER(SEARCH("month",C516)),IFERROR(_xlfn.NUMBERVALUE(SUBSTITUTE(LEFT(TRIM(C516),FIND(" ",TRIM(C516)&amp;" ")-1),",","."),"."),LEFT(SUBSTITUTE(LEFT(TRIM(C516),FIND(" ",TRIM(C516)&amp;" ")-1),",","."),FIND("/",SUBSTITUTE(LEFT(TRIM(C516),FIND(" ",TRIM(C516)&amp;" ")-1),",","."))-1)/MID(SUBSTITUTE(LEFT(TRIM(C516),FIND(" ",TRIM(C516)&amp;" ")-1),",","."),FIND("/",SUBSTITUTE(LEFT(TRIM(C516),FIND(" ",TRIM(C516)&amp;" ")-1),",","."))+1,9)),IF(ISNUMBER(SEARCH("yea",C516)),IFERROR(_xlfn.NUMBERVALUE(SUBSTITUTE(LEFT(TRIM(C516),FIND(" ",TRIM(C516)&amp;" ")-1),",","."),"."),LEFT(SUBSTITUTE(LEFT(TRIM(C516),FIND(" ",TRIM(C516)&amp;" ")-1),",","."),FIND("/",SUBSTITUTE(LEFT(TRIM(C516),FIND(" ",TRIM(C516)&amp;" ")-1),",","."))-1)/MID(SUBSTITUTE(LEFT(TRIM(C516),FIND(" ",TRIM(C516)&amp;" ")-1),",","."),FIND("/",SUBSTITUTE(LEFT(TRIM(C516),FIND(" ",TRIM(C516)&amp;" ")-1),",","."))+1,9))*12,NA()))),0),36)*'Aturan &amp; Tarif'!$B$4,2)</f>
        <v>2044.08</v>
      </c>
      <c r="K516" s="32" t="n">
        <f aca="false">'Aturan &amp; Tarif'!$B$5</f>
        <v>2050</v>
      </c>
      <c r="L516" s="32" t="n">
        <f aca="false">'Aturan &amp; Tarif'!$B$6</f>
        <v>350</v>
      </c>
      <c r="M516" s="35" t="n">
        <f aca="false">I516+J516+K516+L516</f>
        <v>12934.08</v>
      </c>
      <c r="N516" s="37" t="s">
        <v>2131</v>
      </c>
    </row>
    <row r="517" customFormat="false" ht="27.75" hidden="false" customHeight="true" outlineLevel="0" collapsed="false">
      <c r="A517" s="46"/>
      <c r="B517" s="30" t="s">
        <v>2136</v>
      </c>
      <c r="C517" s="31" t="s">
        <v>127</v>
      </c>
      <c r="D517" s="31" t="s">
        <v>737</v>
      </c>
      <c r="E517" s="32" t="n">
        <v>8240</v>
      </c>
      <c r="F517" s="32"/>
      <c r="G517" s="32" t="n">
        <v>250</v>
      </c>
      <c r="H517" s="33" t="n">
        <v>1</v>
      </c>
      <c r="I517" s="34" t="n">
        <f aca="false">E517*H517+N(F517)+N(G517)</f>
        <v>8490</v>
      </c>
      <c r="J517" s="32" t="n">
        <f aca="false">ROUND(IFERROR(ROUND(IF(OR(ISNUMBER(SEARCH("week",C517)),ISNUMBER(SEARCH("minggu",C517))),IFERROR(_xlfn.NUMBERVALUE(SUBSTITUTE(LEFT(TRIM(C517),FIND(" ",TRIM(C517)&amp;" ")-1),",","."),"."),LEFT(SUBSTITUTE(LEFT(TRIM(C517),FIND(" ",TRIM(C517)&amp;" ")-1),",","."),FIND("/",SUBSTITUTE(LEFT(TRIM(C517),FIND(" ",TRIM(C517)&amp;" ")-1),",","."))-1)/MID(SUBSTITUTE(LEFT(TRIM(C517),FIND(" ",TRIM(C517)&amp;" ")-1),",","."),FIND("/",SUBSTITUTE(LEFT(TRIM(C517),FIND(" ",TRIM(C517)&amp;" ")-1),",","."))+1,9))*12/52,IF(ISNUMBER(SEARCH("month",C517)),IFERROR(_xlfn.NUMBERVALUE(SUBSTITUTE(LEFT(TRIM(C517),FIND(" ",TRIM(C517)&amp;" ")-1),",","."),"."),LEFT(SUBSTITUTE(LEFT(TRIM(C517),FIND(" ",TRIM(C517)&amp;" ")-1),",","."),FIND("/",SUBSTITUTE(LEFT(TRIM(C517),FIND(" ",TRIM(C517)&amp;" ")-1),",","."))-1)/MID(SUBSTITUTE(LEFT(TRIM(C517),FIND(" ",TRIM(C517)&amp;" ")-1),",","."),FIND("/",SUBSTITUTE(LEFT(TRIM(C517),FIND(" ",TRIM(C517)&amp;" ")-1),",","."))+1,9)),IF(ISNUMBER(SEARCH("yea",C517)),IFERROR(_xlfn.NUMBERVALUE(SUBSTITUTE(LEFT(TRIM(C517),FIND(" ",TRIM(C517)&amp;" ")-1),",","."),"."),LEFT(SUBSTITUTE(LEFT(TRIM(C517),FIND(" ",TRIM(C517)&amp;" ")-1),",","."),FIND("/",SUBSTITUTE(LEFT(TRIM(C517),FIND(" ",TRIM(C517)&amp;" ")-1),",","."))-1)/MID(SUBSTITUTE(LEFT(TRIM(C517),FIND(" ",TRIM(C517)&amp;" ")-1),",","."),FIND("/",SUBSTITUTE(LEFT(TRIM(C517),FIND(" ",TRIM(C517)&amp;" ")-1),",","."))+1,9))*12,NA()))),0),36)*'Aturan &amp; Tarif'!$B$4,2)</f>
        <v>2044.08</v>
      </c>
      <c r="K517" s="32" t="n">
        <f aca="false">'Aturan &amp; Tarif'!$B$5</f>
        <v>2050</v>
      </c>
      <c r="L517" s="32" t="n">
        <f aca="false">'Aturan &amp; Tarif'!$B$6</f>
        <v>350</v>
      </c>
      <c r="M517" s="35" t="n">
        <f aca="false">I517+J517+K517+L517</f>
        <v>12934.08</v>
      </c>
      <c r="N517" s="37" t="s">
        <v>2131</v>
      </c>
    </row>
    <row r="518" customFormat="false" ht="18.75" hidden="false" customHeight="true" outlineLevel="0" collapsed="false">
      <c r="A518" s="46"/>
      <c r="B518" s="30" t="s">
        <v>2137</v>
      </c>
      <c r="C518" s="31" t="s">
        <v>127</v>
      </c>
      <c r="D518" s="31" t="s">
        <v>737</v>
      </c>
      <c r="E518" s="32" t="n">
        <v>8240</v>
      </c>
      <c r="F518" s="32"/>
      <c r="G518" s="32" t="n">
        <v>250</v>
      </c>
      <c r="H518" s="33" t="n">
        <v>1</v>
      </c>
      <c r="I518" s="34" t="n">
        <f aca="false">E518*H518+N(F518)+N(G518)</f>
        <v>8490</v>
      </c>
      <c r="J518" s="32" t="n">
        <f aca="false">ROUND(IFERROR(ROUND(IF(OR(ISNUMBER(SEARCH("week",C518)),ISNUMBER(SEARCH("minggu",C518))),IFERROR(_xlfn.NUMBERVALUE(SUBSTITUTE(LEFT(TRIM(C518),FIND(" ",TRIM(C518)&amp;" ")-1),",","."),"."),LEFT(SUBSTITUTE(LEFT(TRIM(C518),FIND(" ",TRIM(C518)&amp;" ")-1),",","."),FIND("/",SUBSTITUTE(LEFT(TRIM(C518),FIND(" ",TRIM(C518)&amp;" ")-1),",","."))-1)/MID(SUBSTITUTE(LEFT(TRIM(C518),FIND(" ",TRIM(C518)&amp;" ")-1),",","."),FIND("/",SUBSTITUTE(LEFT(TRIM(C518),FIND(" ",TRIM(C518)&amp;" ")-1),",","."))+1,9))*12/52,IF(ISNUMBER(SEARCH("month",C518)),IFERROR(_xlfn.NUMBERVALUE(SUBSTITUTE(LEFT(TRIM(C518),FIND(" ",TRIM(C518)&amp;" ")-1),",","."),"."),LEFT(SUBSTITUTE(LEFT(TRIM(C518),FIND(" ",TRIM(C518)&amp;" ")-1),",","."),FIND("/",SUBSTITUTE(LEFT(TRIM(C518),FIND(" ",TRIM(C518)&amp;" ")-1),",","."))-1)/MID(SUBSTITUTE(LEFT(TRIM(C518),FIND(" ",TRIM(C518)&amp;" ")-1),",","."),FIND("/",SUBSTITUTE(LEFT(TRIM(C518),FIND(" ",TRIM(C518)&amp;" ")-1),",","."))+1,9)),IF(ISNUMBER(SEARCH("yea",C518)),IFERROR(_xlfn.NUMBERVALUE(SUBSTITUTE(LEFT(TRIM(C518),FIND(" ",TRIM(C518)&amp;" ")-1),",","."),"."),LEFT(SUBSTITUTE(LEFT(TRIM(C518),FIND(" ",TRIM(C518)&amp;" ")-1),",","."),FIND("/",SUBSTITUTE(LEFT(TRIM(C518),FIND(" ",TRIM(C518)&amp;" ")-1),",","."))-1)/MID(SUBSTITUTE(LEFT(TRIM(C518),FIND(" ",TRIM(C518)&amp;" ")-1),",","."),FIND("/",SUBSTITUTE(LEFT(TRIM(C518),FIND(" ",TRIM(C518)&amp;" ")-1),",","."))+1,9))*12,NA()))),0),36)*'Aturan &amp; Tarif'!$B$4,2)</f>
        <v>2044.08</v>
      </c>
      <c r="K518" s="32" t="n">
        <f aca="false">'Aturan &amp; Tarif'!$B$5</f>
        <v>2050</v>
      </c>
      <c r="L518" s="32" t="n">
        <f aca="false">'Aturan &amp; Tarif'!$B$6</f>
        <v>350</v>
      </c>
      <c r="M518" s="35" t="n">
        <f aca="false">I518+J518+K518+L518</f>
        <v>12934.08</v>
      </c>
      <c r="N518" s="37" t="s">
        <v>2131</v>
      </c>
    </row>
    <row r="519" customFormat="false" ht="15" hidden="false" customHeight="true" outlineLevel="0" collapsed="false">
      <c r="A519" s="46"/>
      <c r="B519" s="30" t="s">
        <v>2138</v>
      </c>
      <c r="C519" s="31" t="s">
        <v>127</v>
      </c>
      <c r="D519" s="31" t="s">
        <v>737</v>
      </c>
      <c r="E519" s="32" t="n">
        <v>8240</v>
      </c>
      <c r="F519" s="32"/>
      <c r="G519" s="32" t="n">
        <v>250</v>
      </c>
      <c r="H519" s="33" t="n">
        <v>1</v>
      </c>
      <c r="I519" s="34" t="n">
        <f aca="false">E519*H519+N(F519)+N(G519)</f>
        <v>8490</v>
      </c>
      <c r="J519" s="32" t="n">
        <f aca="false">ROUND(IFERROR(ROUND(IF(OR(ISNUMBER(SEARCH("week",C519)),ISNUMBER(SEARCH("minggu",C519))),IFERROR(_xlfn.NUMBERVALUE(SUBSTITUTE(LEFT(TRIM(C519),FIND(" ",TRIM(C519)&amp;" ")-1),",","."),"."),LEFT(SUBSTITUTE(LEFT(TRIM(C519),FIND(" ",TRIM(C519)&amp;" ")-1),",","."),FIND("/",SUBSTITUTE(LEFT(TRIM(C519),FIND(" ",TRIM(C519)&amp;" ")-1),",","."))-1)/MID(SUBSTITUTE(LEFT(TRIM(C519),FIND(" ",TRIM(C519)&amp;" ")-1),",","."),FIND("/",SUBSTITUTE(LEFT(TRIM(C519),FIND(" ",TRIM(C519)&amp;" ")-1),",","."))+1,9))*12/52,IF(ISNUMBER(SEARCH("month",C519)),IFERROR(_xlfn.NUMBERVALUE(SUBSTITUTE(LEFT(TRIM(C519),FIND(" ",TRIM(C519)&amp;" ")-1),",","."),"."),LEFT(SUBSTITUTE(LEFT(TRIM(C519),FIND(" ",TRIM(C519)&amp;" ")-1),",","."),FIND("/",SUBSTITUTE(LEFT(TRIM(C519),FIND(" ",TRIM(C519)&amp;" ")-1),",","."))-1)/MID(SUBSTITUTE(LEFT(TRIM(C519),FIND(" ",TRIM(C519)&amp;" ")-1),",","."),FIND("/",SUBSTITUTE(LEFT(TRIM(C519),FIND(" ",TRIM(C519)&amp;" ")-1),",","."))+1,9)),IF(ISNUMBER(SEARCH("yea",C519)),IFERROR(_xlfn.NUMBERVALUE(SUBSTITUTE(LEFT(TRIM(C519),FIND(" ",TRIM(C519)&amp;" ")-1),",","."),"."),LEFT(SUBSTITUTE(LEFT(TRIM(C519),FIND(" ",TRIM(C519)&amp;" ")-1),",","."),FIND("/",SUBSTITUTE(LEFT(TRIM(C519),FIND(" ",TRIM(C519)&amp;" ")-1),",","."))-1)/MID(SUBSTITUTE(LEFT(TRIM(C519),FIND(" ",TRIM(C519)&amp;" ")-1),",","."),FIND("/",SUBSTITUTE(LEFT(TRIM(C519),FIND(" ",TRIM(C519)&amp;" ")-1),",","."))+1,9))*12,NA()))),0),36)*'Aturan &amp; Tarif'!$B$4,2)</f>
        <v>2044.08</v>
      </c>
      <c r="K519" s="32" t="n">
        <f aca="false">'Aturan &amp; Tarif'!$B$5</f>
        <v>2050</v>
      </c>
      <c r="L519" s="32" t="n">
        <f aca="false">'Aturan &amp; Tarif'!$B$6</f>
        <v>350</v>
      </c>
      <c r="M519" s="35" t="n">
        <f aca="false">I519+J519+K519+L519</f>
        <v>12934.08</v>
      </c>
      <c r="N519" s="37" t="s">
        <v>2131</v>
      </c>
    </row>
    <row r="520" customFormat="false" ht="15" hidden="false" customHeight="true" outlineLevel="0" collapsed="false">
      <c r="A520" s="46"/>
      <c r="B520" s="30" t="s">
        <v>2139</v>
      </c>
      <c r="C520" s="31" t="s">
        <v>127</v>
      </c>
      <c r="D520" s="31" t="s">
        <v>737</v>
      </c>
      <c r="E520" s="32" t="n">
        <v>8240</v>
      </c>
      <c r="F520" s="32"/>
      <c r="G520" s="32" t="n">
        <v>250</v>
      </c>
      <c r="H520" s="33" t="n">
        <v>1</v>
      </c>
      <c r="I520" s="34" t="n">
        <f aca="false">E520*H520+N(F520)+N(G520)</f>
        <v>8490</v>
      </c>
      <c r="J520" s="32" t="n">
        <f aca="false">ROUND(IFERROR(ROUND(IF(OR(ISNUMBER(SEARCH("week",C520)),ISNUMBER(SEARCH("minggu",C520))),IFERROR(_xlfn.NUMBERVALUE(SUBSTITUTE(LEFT(TRIM(C520),FIND(" ",TRIM(C520)&amp;" ")-1),",","."),"."),LEFT(SUBSTITUTE(LEFT(TRIM(C520),FIND(" ",TRIM(C520)&amp;" ")-1),",","."),FIND("/",SUBSTITUTE(LEFT(TRIM(C520),FIND(" ",TRIM(C520)&amp;" ")-1),",","."))-1)/MID(SUBSTITUTE(LEFT(TRIM(C520),FIND(" ",TRIM(C520)&amp;" ")-1),",","."),FIND("/",SUBSTITUTE(LEFT(TRIM(C520),FIND(" ",TRIM(C520)&amp;" ")-1),",","."))+1,9))*12/52,IF(ISNUMBER(SEARCH("month",C520)),IFERROR(_xlfn.NUMBERVALUE(SUBSTITUTE(LEFT(TRIM(C520),FIND(" ",TRIM(C520)&amp;" ")-1),",","."),"."),LEFT(SUBSTITUTE(LEFT(TRIM(C520),FIND(" ",TRIM(C520)&amp;" ")-1),",","."),FIND("/",SUBSTITUTE(LEFT(TRIM(C520),FIND(" ",TRIM(C520)&amp;" ")-1),",","."))-1)/MID(SUBSTITUTE(LEFT(TRIM(C520),FIND(" ",TRIM(C520)&amp;" ")-1),",","."),FIND("/",SUBSTITUTE(LEFT(TRIM(C520),FIND(" ",TRIM(C520)&amp;" ")-1),",","."))+1,9)),IF(ISNUMBER(SEARCH("yea",C520)),IFERROR(_xlfn.NUMBERVALUE(SUBSTITUTE(LEFT(TRIM(C520),FIND(" ",TRIM(C520)&amp;" ")-1),",","."),"."),LEFT(SUBSTITUTE(LEFT(TRIM(C520),FIND(" ",TRIM(C520)&amp;" ")-1),",","."),FIND("/",SUBSTITUTE(LEFT(TRIM(C520),FIND(" ",TRIM(C520)&amp;" ")-1),",","."))-1)/MID(SUBSTITUTE(LEFT(TRIM(C520),FIND(" ",TRIM(C520)&amp;" ")-1),",","."),FIND("/",SUBSTITUTE(LEFT(TRIM(C520),FIND(" ",TRIM(C520)&amp;" ")-1),",","."))+1,9))*12,NA()))),0),36)*'Aturan &amp; Tarif'!$B$4,2)</f>
        <v>2044.08</v>
      </c>
      <c r="K520" s="32" t="n">
        <f aca="false">'Aturan &amp; Tarif'!$B$5</f>
        <v>2050</v>
      </c>
      <c r="L520" s="32" t="n">
        <f aca="false">'Aturan &amp; Tarif'!$B$6</f>
        <v>350</v>
      </c>
      <c r="M520" s="35" t="n">
        <f aca="false">I520+J520+K520+L520</f>
        <v>12934.08</v>
      </c>
      <c r="N520" s="37" t="s">
        <v>2131</v>
      </c>
    </row>
    <row r="521" customFormat="false" ht="21.75" hidden="false" customHeight="true" outlineLevel="0" collapsed="false">
      <c r="A521" s="46"/>
      <c r="B521" s="30" t="s">
        <v>2140</v>
      </c>
      <c r="C521" s="31" t="s">
        <v>127</v>
      </c>
      <c r="D521" s="31" t="s">
        <v>737</v>
      </c>
      <c r="E521" s="32" t="n">
        <v>8240</v>
      </c>
      <c r="F521" s="32"/>
      <c r="G521" s="32" t="n">
        <v>250</v>
      </c>
      <c r="H521" s="33" t="n">
        <v>1</v>
      </c>
      <c r="I521" s="34" t="n">
        <f aca="false">E521*H521+N(F521)+N(G521)</f>
        <v>8490</v>
      </c>
      <c r="J521" s="32" t="n">
        <f aca="false">ROUND(IFERROR(ROUND(IF(OR(ISNUMBER(SEARCH("week",C521)),ISNUMBER(SEARCH("minggu",C521))),IFERROR(_xlfn.NUMBERVALUE(SUBSTITUTE(LEFT(TRIM(C521),FIND(" ",TRIM(C521)&amp;" ")-1),",","."),"."),LEFT(SUBSTITUTE(LEFT(TRIM(C521),FIND(" ",TRIM(C521)&amp;" ")-1),",","."),FIND("/",SUBSTITUTE(LEFT(TRIM(C521),FIND(" ",TRIM(C521)&amp;" ")-1),",","."))-1)/MID(SUBSTITUTE(LEFT(TRIM(C521),FIND(" ",TRIM(C521)&amp;" ")-1),",","."),FIND("/",SUBSTITUTE(LEFT(TRIM(C521),FIND(" ",TRIM(C521)&amp;" ")-1),",","."))+1,9))*12/52,IF(ISNUMBER(SEARCH("month",C521)),IFERROR(_xlfn.NUMBERVALUE(SUBSTITUTE(LEFT(TRIM(C521),FIND(" ",TRIM(C521)&amp;" ")-1),",","."),"."),LEFT(SUBSTITUTE(LEFT(TRIM(C521),FIND(" ",TRIM(C521)&amp;" ")-1),",","."),FIND("/",SUBSTITUTE(LEFT(TRIM(C521),FIND(" ",TRIM(C521)&amp;" ")-1),",","."))-1)/MID(SUBSTITUTE(LEFT(TRIM(C521),FIND(" ",TRIM(C521)&amp;" ")-1),",","."),FIND("/",SUBSTITUTE(LEFT(TRIM(C521),FIND(" ",TRIM(C521)&amp;" ")-1),",","."))+1,9)),IF(ISNUMBER(SEARCH("yea",C521)),IFERROR(_xlfn.NUMBERVALUE(SUBSTITUTE(LEFT(TRIM(C521),FIND(" ",TRIM(C521)&amp;" ")-1),",","."),"."),LEFT(SUBSTITUTE(LEFT(TRIM(C521),FIND(" ",TRIM(C521)&amp;" ")-1),",","."),FIND("/",SUBSTITUTE(LEFT(TRIM(C521),FIND(" ",TRIM(C521)&amp;" ")-1),",","."))-1)/MID(SUBSTITUTE(LEFT(TRIM(C521),FIND(" ",TRIM(C521)&amp;" ")-1),",","."),FIND("/",SUBSTITUTE(LEFT(TRIM(C521),FIND(" ",TRIM(C521)&amp;" ")-1),",","."))+1,9))*12,NA()))),0),36)*'Aturan &amp; Tarif'!$B$4,2)</f>
        <v>2044.08</v>
      </c>
      <c r="K521" s="32" t="n">
        <f aca="false">'Aturan &amp; Tarif'!$B$5</f>
        <v>2050</v>
      </c>
      <c r="L521" s="32" t="n">
        <f aca="false">'Aturan &amp; Tarif'!$B$6</f>
        <v>350</v>
      </c>
      <c r="M521" s="35" t="n">
        <f aca="false">I521+J521+K521+L521</f>
        <v>12934.08</v>
      </c>
      <c r="N521" s="37" t="s">
        <v>2131</v>
      </c>
    </row>
    <row r="522" customFormat="false" ht="21.75" hidden="false" customHeight="true" outlineLevel="0" collapsed="false">
      <c r="A522" s="46"/>
      <c r="B522" s="30" t="s">
        <v>2141</v>
      </c>
      <c r="C522" s="31" t="s">
        <v>127</v>
      </c>
      <c r="D522" s="31" t="s">
        <v>737</v>
      </c>
      <c r="E522" s="32" t="n">
        <v>8800</v>
      </c>
      <c r="F522" s="32"/>
      <c r="G522" s="32" t="n">
        <v>250</v>
      </c>
      <c r="H522" s="33" t="n">
        <v>1</v>
      </c>
      <c r="I522" s="34" t="n">
        <f aca="false">E522*H522+N(F522)+N(G522)</f>
        <v>9050</v>
      </c>
      <c r="J522" s="32" t="n">
        <f aca="false">ROUND(IFERROR(ROUND(IF(OR(ISNUMBER(SEARCH("week",C522)),ISNUMBER(SEARCH("minggu",C522))),IFERROR(_xlfn.NUMBERVALUE(SUBSTITUTE(LEFT(TRIM(C522),FIND(" ",TRIM(C522)&amp;" ")-1),",","."),"."),LEFT(SUBSTITUTE(LEFT(TRIM(C522),FIND(" ",TRIM(C522)&amp;" ")-1),",","."),FIND("/",SUBSTITUTE(LEFT(TRIM(C522),FIND(" ",TRIM(C522)&amp;" ")-1),",","."))-1)/MID(SUBSTITUTE(LEFT(TRIM(C522),FIND(" ",TRIM(C522)&amp;" ")-1),",","."),FIND("/",SUBSTITUTE(LEFT(TRIM(C522),FIND(" ",TRIM(C522)&amp;" ")-1),",","."))+1,9))*12/52,IF(ISNUMBER(SEARCH("month",C522)),IFERROR(_xlfn.NUMBERVALUE(SUBSTITUTE(LEFT(TRIM(C522),FIND(" ",TRIM(C522)&amp;" ")-1),",","."),"."),LEFT(SUBSTITUTE(LEFT(TRIM(C522),FIND(" ",TRIM(C522)&amp;" ")-1),",","."),FIND("/",SUBSTITUTE(LEFT(TRIM(C522),FIND(" ",TRIM(C522)&amp;" ")-1),",","."))-1)/MID(SUBSTITUTE(LEFT(TRIM(C522),FIND(" ",TRIM(C522)&amp;" ")-1),",","."),FIND("/",SUBSTITUTE(LEFT(TRIM(C522),FIND(" ",TRIM(C522)&amp;" ")-1),",","."))+1,9)),IF(ISNUMBER(SEARCH("yea",C522)),IFERROR(_xlfn.NUMBERVALUE(SUBSTITUTE(LEFT(TRIM(C522),FIND(" ",TRIM(C522)&amp;" ")-1),",","."),"."),LEFT(SUBSTITUTE(LEFT(TRIM(C522),FIND(" ",TRIM(C522)&amp;" ")-1),",","."),FIND("/",SUBSTITUTE(LEFT(TRIM(C522),FIND(" ",TRIM(C522)&amp;" ")-1),",","."))-1)/MID(SUBSTITUTE(LEFT(TRIM(C522),FIND(" ",TRIM(C522)&amp;" ")-1),",","."),FIND("/",SUBSTITUTE(LEFT(TRIM(C522),FIND(" ",TRIM(C522)&amp;" ")-1),",","."))+1,9))*12,NA()))),0),36)*'Aturan &amp; Tarif'!$B$4,2)</f>
        <v>2044.08</v>
      </c>
      <c r="K522" s="32" t="n">
        <f aca="false">'Aturan &amp; Tarif'!$B$5</f>
        <v>2050</v>
      </c>
      <c r="L522" s="32" t="n">
        <f aca="false">'Aturan &amp; Tarif'!$B$6</f>
        <v>350</v>
      </c>
      <c r="M522" s="35" t="n">
        <f aca="false">I522+J522+K522+L522</f>
        <v>13494.08</v>
      </c>
      <c r="N522" s="37" t="s">
        <v>2142</v>
      </c>
    </row>
    <row r="523" customFormat="false" ht="21.75" hidden="false" customHeight="true" outlineLevel="0" collapsed="false">
      <c r="A523" s="46"/>
      <c r="B523" s="30" t="s">
        <v>2143</v>
      </c>
      <c r="C523" s="31" t="s">
        <v>127</v>
      </c>
      <c r="D523" s="31" t="s">
        <v>737</v>
      </c>
      <c r="E523" s="32" t="n">
        <v>8800</v>
      </c>
      <c r="F523" s="32"/>
      <c r="G523" s="32" t="n">
        <v>250</v>
      </c>
      <c r="H523" s="33" t="n">
        <v>1</v>
      </c>
      <c r="I523" s="34" t="n">
        <f aca="false">E523*H523+N(F523)+N(G523)</f>
        <v>9050</v>
      </c>
      <c r="J523" s="32" t="n">
        <f aca="false">ROUND(IFERROR(ROUND(IF(OR(ISNUMBER(SEARCH("week",C523)),ISNUMBER(SEARCH("minggu",C523))),IFERROR(_xlfn.NUMBERVALUE(SUBSTITUTE(LEFT(TRIM(C523),FIND(" ",TRIM(C523)&amp;" ")-1),",","."),"."),LEFT(SUBSTITUTE(LEFT(TRIM(C523),FIND(" ",TRIM(C523)&amp;" ")-1),",","."),FIND("/",SUBSTITUTE(LEFT(TRIM(C523),FIND(" ",TRIM(C523)&amp;" ")-1),",","."))-1)/MID(SUBSTITUTE(LEFT(TRIM(C523),FIND(" ",TRIM(C523)&amp;" ")-1),",","."),FIND("/",SUBSTITUTE(LEFT(TRIM(C523),FIND(" ",TRIM(C523)&amp;" ")-1),",","."))+1,9))*12/52,IF(ISNUMBER(SEARCH("month",C523)),IFERROR(_xlfn.NUMBERVALUE(SUBSTITUTE(LEFT(TRIM(C523),FIND(" ",TRIM(C523)&amp;" ")-1),",","."),"."),LEFT(SUBSTITUTE(LEFT(TRIM(C523),FIND(" ",TRIM(C523)&amp;" ")-1),",","."),FIND("/",SUBSTITUTE(LEFT(TRIM(C523),FIND(" ",TRIM(C523)&amp;" ")-1),",","."))-1)/MID(SUBSTITUTE(LEFT(TRIM(C523),FIND(" ",TRIM(C523)&amp;" ")-1),",","."),FIND("/",SUBSTITUTE(LEFT(TRIM(C523),FIND(" ",TRIM(C523)&amp;" ")-1),",","."))+1,9)),IF(ISNUMBER(SEARCH("yea",C523)),IFERROR(_xlfn.NUMBERVALUE(SUBSTITUTE(LEFT(TRIM(C523),FIND(" ",TRIM(C523)&amp;" ")-1),",","."),"."),LEFT(SUBSTITUTE(LEFT(TRIM(C523),FIND(" ",TRIM(C523)&amp;" ")-1),",","."),FIND("/",SUBSTITUTE(LEFT(TRIM(C523),FIND(" ",TRIM(C523)&amp;" ")-1),",","."))-1)/MID(SUBSTITUTE(LEFT(TRIM(C523),FIND(" ",TRIM(C523)&amp;" ")-1),",","."),FIND("/",SUBSTITUTE(LEFT(TRIM(C523),FIND(" ",TRIM(C523)&amp;" ")-1),",","."))+1,9))*12,NA()))),0),36)*'Aturan &amp; Tarif'!$B$4,2)</f>
        <v>2044.08</v>
      </c>
      <c r="K523" s="32" t="n">
        <f aca="false">'Aturan &amp; Tarif'!$B$5</f>
        <v>2050</v>
      </c>
      <c r="L523" s="32" t="n">
        <f aca="false">'Aturan &amp; Tarif'!$B$6</f>
        <v>350</v>
      </c>
      <c r="M523" s="35" t="n">
        <f aca="false">I523+J523+K523+L523</f>
        <v>13494.08</v>
      </c>
      <c r="N523" s="37" t="s">
        <v>2142</v>
      </c>
    </row>
    <row r="524" customFormat="false" ht="15" hidden="false" customHeight="true" outlineLevel="0" collapsed="false">
      <c r="A524" s="46"/>
      <c r="B524" s="30" t="s">
        <v>2144</v>
      </c>
      <c r="C524" s="31" t="s">
        <v>127</v>
      </c>
      <c r="D524" s="31" t="s">
        <v>737</v>
      </c>
      <c r="E524" s="32" t="n">
        <v>8800</v>
      </c>
      <c r="F524" s="32"/>
      <c r="G524" s="32" t="n">
        <v>250</v>
      </c>
      <c r="H524" s="33" t="n">
        <v>1</v>
      </c>
      <c r="I524" s="34" t="n">
        <f aca="false">E524*H524+N(F524)+N(G524)</f>
        <v>9050</v>
      </c>
      <c r="J524" s="32" t="n">
        <f aca="false">ROUND(IFERROR(ROUND(IF(OR(ISNUMBER(SEARCH("week",C524)),ISNUMBER(SEARCH("minggu",C524))),IFERROR(_xlfn.NUMBERVALUE(SUBSTITUTE(LEFT(TRIM(C524),FIND(" ",TRIM(C524)&amp;" ")-1),",","."),"."),LEFT(SUBSTITUTE(LEFT(TRIM(C524),FIND(" ",TRIM(C524)&amp;" ")-1),",","."),FIND("/",SUBSTITUTE(LEFT(TRIM(C524),FIND(" ",TRIM(C524)&amp;" ")-1),",","."))-1)/MID(SUBSTITUTE(LEFT(TRIM(C524),FIND(" ",TRIM(C524)&amp;" ")-1),",","."),FIND("/",SUBSTITUTE(LEFT(TRIM(C524),FIND(" ",TRIM(C524)&amp;" ")-1),",","."))+1,9))*12/52,IF(ISNUMBER(SEARCH("month",C524)),IFERROR(_xlfn.NUMBERVALUE(SUBSTITUTE(LEFT(TRIM(C524),FIND(" ",TRIM(C524)&amp;" ")-1),",","."),"."),LEFT(SUBSTITUTE(LEFT(TRIM(C524),FIND(" ",TRIM(C524)&amp;" ")-1),",","."),FIND("/",SUBSTITUTE(LEFT(TRIM(C524),FIND(" ",TRIM(C524)&amp;" ")-1),",","."))-1)/MID(SUBSTITUTE(LEFT(TRIM(C524),FIND(" ",TRIM(C524)&amp;" ")-1),",","."),FIND("/",SUBSTITUTE(LEFT(TRIM(C524),FIND(" ",TRIM(C524)&amp;" ")-1),",","."))+1,9)),IF(ISNUMBER(SEARCH("yea",C524)),IFERROR(_xlfn.NUMBERVALUE(SUBSTITUTE(LEFT(TRIM(C524),FIND(" ",TRIM(C524)&amp;" ")-1),",","."),"."),LEFT(SUBSTITUTE(LEFT(TRIM(C524),FIND(" ",TRIM(C524)&amp;" ")-1),",","."),FIND("/",SUBSTITUTE(LEFT(TRIM(C524),FIND(" ",TRIM(C524)&amp;" ")-1),",","."))-1)/MID(SUBSTITUTE(LEFT(TRIM(C524),FIND(" ",TRIM(C524)&amp;" ")-1),",","."),FIND("/",SUBSTITUTE(LEFT(TRIM(C524),FIND(" ",TRIM(C524)&amp;" ")-1),",","."))+1,9))*12,NA()))),0),36)*'Aturan &amp; Tarif'!$B$4,2)</f>
        <v>2044.08</v>
      </c>
      <c r="K524" s="32" t="n">
        <f aca="false">'Aturan &amp; Tarif'!$B$5</f>
        <v>2050</v>
      </c>
      <c r="L524" s="32" t="n">
        <f aca="false">'Aturan &amp; Tarif'!$B$6</f>
        <v>350</v>
      </c>
      <c r="M524" s="35" t="n">
        <f aca="false">I524+J524+K524+L524</f>
        <v>13494.08</v>
      </c>
      <c r="N524" s="37" t="s">
        <v>2142</v>
      </c>
    </row>
    <row r="525" customFormat="false" ht="45.75" hidden="false" customHeight="true" outlineLevel="0" collapsed="false">
      <c r="A525" s="46"/>
      <c r="B525" s="30" t="s">
        <v>2145</v>
      </c>
      <c r="C525" s="31" t="s">
        <v>127</v>
      </c>
      <c r="D525" s="31" t="s">
        <v>737</v>
      </c>
      <c r="E525" s="32" t="n">
        <v>8800</v>
      </c>
      <c r="F525" s="32"/>
      <c r="G525" s="32" t="n">
        <v>250</v>
      </c>
      <c r="H525" s="33" t="n">
        <v>1</v>
      </c>
      <c r="I525" s="34" t="n">
        <f aca="false">E525*H525+N(F525)+N(G525)</f>
        <v>9050</v>
      </c>
      <c r="J525" s="32" t="n">
        <f aca="false">ROUND(IFERROR(ROUND(IF(OR(ISNUMBER(SEARCH("week",C525)),ISNUMBER(SEARCH("minggu",C525))),IFERROR(_xlfn.NUMBERVALUE(SUBSTITUTE(LEFT(TRIM(C525),FIND(" ",TRIM(C525)&amp;" ")-1),",","."),"."),LEFT(SUBSTITUTE(LEFT(TRIM(C525),FIND(" ",TRIM(C525)&amp;" ")-1),",","."),FIND("/",SUBSTITUTE(LEFT(TRIM(C525),FIND(" ",TRIM(C525)&amp;" ")-1),",","."))-1)/MID(SUBSTITUTE(LEFT(TRIM(C525),FIND(" ",TRIM(C525)&amp;" ")-1),",","."),FIND("/",SUBSTITUTE(LEFT(TRIM(C525),FIND(" ",TRIM(C525)&amp;" ")-1),",","."))+1,9))*12/52,IF(ISNUMBER(SEARCH("month",C525)),IFERROR(_xlfn.NUMBERVALUE(SUBSTITUTE(LEFT(TRIM(C525),FIND(" ",TRIM(C525)&amp;" ")-1),",","."),"."),LEFT(SUBSTITUTE(LEFT(TRIM(C525),FIND(" ",TRIM(C525)&amp;" ")-1),",","."),FIND("/",SUBSTITUTE(LEFT(TRIM(C525),FIND(" ",TRIM(C525)&amp;" ")-1),",","."))-1)/MID(SUBSTITUTE(LEFT(TRIM(C525),FIND(" ",TRIM(C525)&amp;" ")-1),",","."),FIND("/",SUBSTITUTE(LEFT(TRIM(C525),FIND(" ",TRIM(C525)&amp;" ")-1),",","."))+1,9)),IF(ISNUMBER(SEARCH("yea",C525)),IFERROR(_xlfn.NUMBERVALUE(SUBSTITUTE(LEFT(TRIM(C525),FIND(" ",TRIM(C525)&amp;" ")-1),",","."),"."),LEFT(SUBSTITUTE(LEFT(TRIM(C525),FIND(" ",TRIM(C525)&amp;" ")-1),",","."),FIND("/",SUBSTITUTE(LEFT(TRIM(C525),FIND(" ",TRIM(C525)&amp;" ")-1),",","."))-1)/MID(SUBSTITUTE(LEFT(TRIM(C525),FIND(" ",TRIM(C525)&amp;" ")-1),",","."),FIND("/",SUBSTITUTE(LEFT(TRIM(C525),FIND(" ",TRIM(C525)&amp;" ")-1),",","."))+1,9))*12,NA()))),0),36)*'Aturan &amp; Tarif'!$B$4,2)</f>
        <v>2044.08</v>
      </c>
      <c r="K525" s="32" t="n">
        <f aca="false">'Aturan &amp; Tarif'!$B$5</f>
        <v>2050</v>
      </c>
      <c r="L525" s="32" t="n">
        <f aca="false">'Aturan &amp; Tarif'!$B$6</f>
        <v>350</v>
      </c>
      <c r="M525" s="35" t="n">
        <f aca="false">I525+J525+K525+L525</f>
        <v>13494.08</v>
      </c>
      <c r="N525" s="37" t="s">
        <v>2142</v>
      </c>
    </row>
    <row r="526" customFormat="false" ht="27.75" hidden="false" customHeight="true" outlineLevel="0" collapsed="false">
      <c r="A526" s="46"/>
      <c r="B526" s="30" t="s">
        <v>2146</v>
      </c>
      <c r="C526" s="31" t="s">
        <v>127</v>
      </c>
      <c r="D526" s="31" t="s">
        <v>737</v>
      </c>
      <c r="E526" s="32" t="n">
        <v>8800</v>
      </c>
      <c r="F526" s="32"/>
      <c r="G526" s="32" t="n">
        <v>250</v>
      </c>
      <c r="H526" s="33" t="n">
        <v>1</v>
      </c>
      <c r="I526" s="34" t="n">
        <f aca="false">E526*H526+N(F526)+N(G526)</f>
        <v>9050</v>
      </c>
      <c r="J526" s="32" t="n">
        <f aca="false">ROUND(IFERROR(ROUND(IF(OR(ISNUMBER(SEARCH("week",C526)),ISNUMBER(SEARCH("minggu",C526))),IFERROR(_xlfn.NUMBERVALUE(SUBSTITUTE(LEFT(TRIM(C526),FIND(" ",TRIM(C526)&amp;" ")-1),",","."),"."),LEFT(SUBSTITUTE(LEFT(TRIM(C526),FIND(" ",TRIM(C526)&amp;" ")-1),",","."),FIND("/",SUBSTITUTE(LEFT(TRIM(C526),FIND(" ",TRIM(C526)&amp;" ")-1),",","."))-1)/MID(SUBSTITUTE(LEFT(TRIM(C526),FIND(" ",TRIM(C526)&amp;" ")-1),",","."),FIND("/",SUBSTITUTE(LEFT(TRIM(C526),FIND(" ",TRIM(C526)&amp;" ")-1),",","."))+1,9))*12/52,IF(ISNUMBER(SEARCH("month",C526)),IFERROR(_xlfn.NUMBERVALUE(SUBSTITUTE(LEFT(TRIM(C526),FIND(" ",TRIM(C526)&amp;" ")-1),",","."),"."),LEFT(SUBSTITUTE(LEFT(TRIM(C526),FIND(" ",TRIM(C526)&amp;" ")-1),",","."),FIND("/",SUBSTITUTE(LEFT(TRIM(C526),FIND(" ",TRIM(C526)&amp;" ")-1),",","."))-1)/MID(SUBSTITUTE(LEFT(TRIM(C526),FIND(" ",TRIM(C526)&amp;" ")-1),",","."),FIND("/",SUBSTITUTE(LEFT(TRIM(C526),FIND(" ",TRIM(C526)&amp;" ")-1),",","."))+1,9)),IF(ISNUMBER(SEARCH("yea",C526)),IFERROR(_xlfn.NUMBERVALUE(SUBSTITUTE(LEFT(TRIM(C526),FIND(" ",TRIM(C526)&amp;" ")-1),",","."),"."),LEFT(SUBSTITUTE(LEFT(TRIM(C526),FIND(" ",TRIM(C526)&amp;" ")-1),",","."),FIND("/",SUBSTITUTE(LEFT(TRIM(C526),FIND(" ",TRIM(C526)&amp;" ")-1),",","."))-1)/MID(SUBSTITUTE(LEFT(TRIM(C526),FIND(" ",TRIM(C526)&amp;" ")-1),",","."),FIND("/",SUBSTITUTE(LEFT(TRIM(C526),FIND(" ",TRIM(C526)&amp;" ")-1),",","."))+1,9))*12,NA()))),0),36)*'Aturan &amp; Tarif'!$B$4,2)</f>
        <v>2044.08</v>
      </c>
      <c r="K526" s="32" t="n">
        <f aca="false">'Aturan &amp; Tarif'!$B$5</f>
        <v>2050</v>
      </c>
      <c r="L526" s="32" t="n">
        <f aca="false">'Aturan &amp; Tarif'!$B$6</f>
        <v>350</v>
      </c>
      <c r="M526" s="35" t="n">
        <f aca="false">I526+J526+K526+L526</f>
        <v>13494.08</v>
      </c>
      <c r="N526" s="37" t="s">
        <v>2142</v>
      </c>
    </row>
    <row r="527" customFormat="false" ht="81.75" hidden="false" customHeight="true" outlineLevel="0" collapsed="false">
      <c r="A527" s="46"/>
      <c r="B527" s="30" t="s">
        <v>2147</v>
      </c>
      <c r="C527" s="31" t="s">
        <v>107</v>
      </c>
      <c r="D527" s="31" t="s">
        <v>737</v>
      </c>
      <c r="E527" s="32"/>
      <c r="F527" s="32"/>
      <c r="G527" s="32" t="n">
        <v>250</v>
      </c>
      <c r="H527" s="33" t="n">
        <v>1</v>
      </c>
      <c r="I527" s="34" t="n">
        <f aca="false">E527*H527+N(F527)+N(G527)</f>
        <v>250</v>
      </c>
      <c r="J527" s="32" t="n">
        <f aca="false">ROUND(IFERROR(ROUND(IF(OR(ISNUMBER(SEARCH("week",C527)),ISNUMBER(SEARCH("minggu",C527))),IFERROR(_xlfn.NUMBERVALUE(SUBSTITUTE(LEFT(TRIM(C527),FIND(" ",TRIM(C527)&amp;" ")-1),",","."),"."),LEFT(SUBSTITUTE(LEFT(TRIM(C527),FIND(" ",TRIM(C527)&amp;" ")-1),",","."),FIND("/",SUBSTITUTE(LEFT(TRIM(C527),FIND(" ",TRIM(C527)&amp;" ")-1),",","."))-1)/MID(SUBSTITUTE(LEFT(TRIM(C527),FIND(" ",TRIM(C527)&amp;" ")-1),",","."),FIND("/",SUBSTITUTE(LEFT(TRIM(C527),FIND(" ",TRIM(C527)&amp;" ")-1),",","."))+1,9))*12/52,IF(ISNUMBER(SEARCH("month",C527)),IFERROR(_xlfn.NUMBERVALUE(SUBSTITUTE(LEFT(TRIM(C527),FIND(" ",TRIM(C527)&amp;" ")-1),",","."),"."),LEFT(SUBSTITUTE(LEFT(TRIM(C527),FIND(" ",TRIM(C527)&amp;" ")-1),",","."),FIND("/",SUBSTITUTE(LEFT(TRIM(C527),FIND(" ",TRIM(C527)&amp;" ")-1),",","."))-1)/MID(SUBSTITUTE(LEFT(TRIM(C527),FIND(" ",TRIM(C527)&amp;" ")-1),",","."),FIND("/",SUBSTITUTE(LEFT(TRIM(C527),FIND(" ",TRIM(C527)&amp;" ")-1),",","."))+1,9)),IF(ISNUMBER(SEARCH("yea",C527)),IFERROR(_xlfn.NUMBERVALUE(SUBSTITUTE(LEFT(TRIM(C527),FIND(" ",TRIM(C527)&amp;" ")-1),",","."),"."),LEFT(SUBSTITUTE(LEFT(TRIM(C527),FIND(" ",TRIM(C527)&amp;" ")-1),",","."),FIND("/",SUBSTITUTE(LEFT(TRIM(C527),FIND(" ",TRIM(C527)&amp;" ")-1),",","."))-1)/MID(SUBSTITUTE(LEFT(TRIM(C527),FIND(" ",TRIM(C527)&amp;" ")-1),",","."),FIND("/",SUBSTITUTE(LEFT(TRIM(C527),FIND(" ",TRIM(C527)&amp;" ")-1),",","."))+1,9))*12,NA()))),0),24)*'Aturan &amp; Tarif'!$B$4,2)</f>
        <v>1362.72</v>
      </c>
      <c r="K527" s="32" t="n">
        <f aca="false">'Aturan &amp; Tarif'!$B$5</f>
        <v>2050</v>
      </c>
      <c r="L527" s="32" t="n">
        <f aca="false">'Aturan &amp; Tarif'!$B$6</f>
        <v>350</v>
      </c>
      <c r="M527" s="35" t="n">
        <f aca="false">I527+J527+K527+L527</f>
        <v>4012.72</v>
      </c>
      <c r="N527" s="37" t="s">
        <v>2148</v>
      </c>
    </row>
    <row r="528" customFormat="false" ht="45.75" hidden="false" customHeight="true" outlineLevel="0" collapsed="false">
      <c r="A528" s="46"/>
      <c r="B528" s="30" t="s">
        <v>2149</v>
      </c>
      <c r="C528" s="31" t="s">
        <v>107</v>
      </c>
      <c r="D528" s="31" t="s">
        <v>737</v>
      </c>
      <c r="E528" s="32"/>
      <c r="F528" s="32"/>
      <c r="G528" s="32" t="n">
        <v>250</v>
      </c>
      <c r="H528" s="33" t="n">
        <v>1</v>
      </c>
      <c r="I528" s="34" t="n">
        <f aca="false">E528*H528+N(F528)+N(G528)</f>
        <v>250</v>
      </c>
      <c r="J528" s="32" t="n">
        <f aca="false">ROUND(IFERROR(ROUND(IF(OR(ISNUMBER(SEARCH("week",C528)),ISNUMBER(SEARCH("minggu",C528))),IFERROR(_xlfn.NUMBERVALUE(SUBSTITUTE(LEFT(TRIM(C528),FIND(" ",TRIM(C528)&amp;" ")-1),",","."),"."),LEFT(SUBSTITUTE(LEFT(TRIM(C528),FIND(" ",TRIM(C528)&amp;" ")-1),",","."),FIND("/",SUBSTITUTE(LEFT(TRIM(C528),FIND(" ",TRIM(C528)&amp;" ")-1),",","."))-1)/MID(SUBSTITUTE(LEFT(TRIM(C528),FIND(" ",TRIM(C528)&amp;" ")-1),",","."),FIND("/",SUBSTITUTE(LEFT(TRIM(C528),FIND(" ",TRIM(C528)&amp;" ")-1),",","."))+1,9))*12/52,IF(ISNUMBER(SEARCH("month",C528)),IFERROR(_xlfn.NUMBERVALUE(SUBSTITUTE(LEFT(TRIM(C528),FIND(" ",TRIM(C528)&amp;" ")-1),",","."),"."),LEFT(SUBSTITUTE(LEFT(TRIM(C528),FIND(" ",TRIM(C528)&amp;" ")-1),",","."),FIND("/",SUBSTITUTE(LEFT(TRIM(C528),FIND(" ",TRIM(C528)&amp;" ")-1),",","."))-1)/MID(SUBSTITUTE(LEFT(TRIM(C528),FIND(" ",TRIM(C528)&amp;" ")-1),",","."),FIND("/",SUBSTITUTE(LEFT(TRIM(C528),FIND(" ",TRIM(C528)&amp;" ")-1),",","."))+1,9)),IF(ISNUMBER(SEARCH("yea",C528)),IFERROR(_xlfn.NUMBERVALUE(SUBSTITUTE(LEFT(TRIM(C528),FIND(" ",TRIM(C528)&amp;" ")-1),",","."),"."),LEFT(SUBSTITUTE(LEFT(TRIM(C528),FIND(" ",TRIM(C528)&amp;" ")-1),",","."),FIND("/",SUBSTITUTE(LEFT(TRIM(C528),FIND(" ",TRIM(C528)&amp;" ")-1),",","."))-1)/MID(SUBSTITUTE(LEFT(TRIM(C528),FIND(" ",TRIM(C528)&amp;" ")-1),",","."),FIND("/",SUBSTITUTE(LEFT(TRIM(C528),FIND(" ",TRIM(C528)&amp;" ")-1),",","."))+1,9))*12,NA()))),0),24)*'Aturan &amp; Tarif'!$B$4,2)</f>
        <v>1362.72</v>
      </c>
      <c r="K528" s="32" t="n">
        <f aca="false">'Aturan &amp; Tarif'!$B$5</f>
        <v>2050</v>
      </c>
      <c r="L528" s="32" t="n">
        <f aca="false">'Aturan &amp; Tarif'!$B$6</f>
        <v>350</v>
      </c>
      <c r="M528" s="35" t="n">
        <f aca="false">I528+J528+K528+L528</f>
        <v>4012.72</v>
      </c>
      <c r="N528" s="37" t="s">
        <v>2148</v>
      </c>
    </row>
    <row r="529" customFormat="false" ht="25.5" hidden="false" customHeight="true" outlineLevel="0" collapsed="false">
      <c r="A529" s="39" t="s">
        <v>2150</v>
      </c>
      <c r="B529" s="40" t="s">
        <v>2151</v>
      </c>
      <c r="C529" s="41" t="s">
        <v>107</v>
      </c>
      <c r="D529" s="41" t="s">
        <v>108</v>
      </c>
      <c r="E529" s="42" t="n">
        <v>3000</v>
      </c>
      <c r="F529" s="42" t="n">
        <v>1500</v>
      </c>
      <c r="G529" s="42" t="n">
        <v>250</v>
      </c>
      <c r="H529" s="43" t="n">
        <v>1</v>
      </c>
      <c r="I529" s="34" t="n">
        <f aca="false">E529*H529+N(F529)+N(G529)</f>
        <v>4750</v>
      </c>
      <c r="J529" s="42" t="n">
        <f aca="false">ROUND(IFERROR(ROUND(IF(OR(ISNUMBER(SEARCH("week",C529)),ISNUMBER(SEARCH("minggu",C529))),IFERROR(_xlfn.NUMBERVALUE(SUBSTITUTE(LEFT(TRIM(C529),FIND(" ",TRIM(C529)&amp;" ")-1),",","."),"."),LEFT(SUBSTITUTE(LEFT(TRIM(C529),FIND(" ",TRIM(C529)&amp;" ")-1),",","."),FIND("/",SUBSTITUTE(LEFT(TRIM(C529),FIND(" ",TRIM(C529)&amp;" ")-1),",","."))-1)/MID(SUBSTITUTE(LEFT(TRIM(C529),FIND(" ",TRIM(C529)&amp;" ")-1),",","."),FIND("/",SUBSTITUTE(LEFT(TRIM(C529),FIND(" ",TRIM(C529)&amp;" ")-1),",","."))+1,9))*12/52,IF(ISNUMBER(SEARCH("month",C529)),IFERROR(_xlfn.NUMBERVALUE(SUBSTITUTE(LEFT(TRIM(C529),FIND(" ",TRIM(C529)&amp;" ")-1),",","."),"."),LEFT(SUBSTITUTE(LEFT(TRIM(C529),FIND(" ",TRIM(C529)&amp;" ")-1),",","."),FIND("/",SUBSTITUTE(LEFT(TRIM(C529),FIND(" ",TRIM(C529)&amp;" ")-1),",","."))-1)/MID(SUBSTITUTE(LEFT(TRIM(C529),FIND(" ",TRIM(C529)&amp;" ")-1),",","."),FIND("/",SUBSTITUTE(LEFT(TRIM(C529),FIND(" ",TRIM(C529)&amp;" ")-1),",","."))+1,9)),IF(ISNUMBER(SEARCH("yea",C529)),IFERROR(_xlfn.NUMBERVALUE(SUBSTITUTE(LEFT(TRIM(C529),FIND(" ",TRIM(C529)&amp;" ")-1),",","."),"."),LEFT(SUBSTITUTE(LEFT(TRIM(C529),FIND(" ",TRIM(C529)&amp;" ")-1),",","."),FIND("/",SUBSTITUTE(LEFT(TRIM(C529),FIND(" ",TRIM(C529)&amp;" ")-1),",","."))-1)/MID(SUBSTITUTE(LEFT(TRIM(C529),FIND(" ",TRIM(C529)&amp;" ")-1),",","."),FIND("/",SUBSTITUTE(LEFT(TRIM(C529),FIND(" ",TRIM(C529)&amp;" ")-1),",","."))+1,9))*12,NA()))),0),24)*'Aturan &amp; Tarif'!$B$4,2)</f>
        <v>1362.72</v>
      </c>
      <c r="K529" s="42" t="n">
        <f aca="false">'Aturan &amp; Tarif'!$B$5</f>
        <v>2050</v>
      </c>
      <c r="L529" s="42" t="n">
        <f aca="false">'Aturan &amp; Tarif'!$B$6</f>
        <v>350</v>
      </c>
      <c r="M529" s="35" t="n">
        <f aca="false">I529+J529+K529+L529</f>
        <v>8512.72</v>
      </c>
      <c r="N529" s="44" t="s">
        <v>2152</v>
      </c>
    </row>
    <row r="530" customFormat="false" ht="48.75" hidden="false" customHeight="true" outlineLevel="0" collapsed="false">
      <c r="A530" s="39"/>
      <c r="B530" s="40" t="s">
        <v>2153</v>
      </c>
      <c r="C530" s="41" t="s">
        <v>127</v>
      </c>
      <c r="D530" s="41" t="s">
        <v>108</v>
      </c>
      <c r="E530" s="42" t="n">
        <v>3000</v>
      </c>
      <c r="F530" s="42" t="n">
        <v>1500</v>
      </c>
      <c r="G530" s="42" t="n">
        <v>250</v>
      </c>
      <c r="H530" s="43" t="n">
        <v>1</v>
      </c>
      <c r="I530" s="34" t="n">
        <f aca="false">E530*H530+N(F530)+N(G530)</f>
        <v>4750</v>
      </c>
      <c r="J530" s="42" t="n">
        <f aca="false">ROUND(IFERROR(ROUND(IF(OR(ISNUMBER(SEARCH("week",C530)),ISNUMBER(SEARCH("minggu",C530))),IFERROR(_xlfn.NUMBERVALUE(SUBSTITUTE(LEFT(TRIM(C530),FIND(" ",TRIM(C530)&amp;" ")-1),",","."),"."),LEFT(SUBSTITUTE(LEFT(TRIM(C530),FIND(" ",TRIM(C530)&amp;" ")-1),",","."),FIND("/",SUBSTITUTE(LEFT(TRIM(C530),FIND(" ",TRIM(C530)&amp;" ")-1),",","."))-1)/MID(SUBSTITUTE(LEFT(TRIM(C530),FIND(" ",TRIM(C530)&amp;" ")-1),",","."),FIND("/",SUBSTITUTE(LEFT(TRIM(C530),FIND(" ",TRIM(C530)&amp;" ")-1),",","."))+1,9))*12/52,IF(ISNUMBER(SEARCH("month",C530)),IFERROR(_xlfn.NUMBERVALUE(SUBSTITUTE(LEFT(TRIM(C530),FIND(" ",TRIM(C530)&amp;" ")-1),",","."),"."),LEFT(SUBSTITUTE(LEFT(TRIM(C530),FIND(" ",TRIM(C530)&amp;" ")-1),",","."),FIND("/",SUBSTITUTE(LEFT(TRIM(C530),FIND(" ",TRIM(C530)&amp;" ")-1),",","."))-1)/MID(SUBSTITUTE(LEFT(TRIM(C530),FIND(" ",TRIM(C530)&amp;" ")-1),",","."),FIND("/",SUBSTITUTE(LEFT(TRIM(C530),FIND(" ",TRIM(C530)&amp;" ")-1),",","."))+1,9)),IF(ISNUMBER(SEARCH("yea",C530)),IFERROR(_xlfn.NUMBERVALUE(SUBSTITUTE(LEFT(TRIM(C530),FIND(" ",TRIM(C530)&amp;" ")-1),",","."),"."),LEFT(SUBSTITUTE(LEFT(TRIM(C530),FIND(" ",TRIM(C530)&amp;" ")-1),",","."),FIND("/",SUBSTITUTE(LEFT(TRIM(C530),FIND(" ",TRIM(C530)&amp;" ")-1),",","."))-1)/MID(SUBSTITUTE(LEFT(TRIM(C530),FIND(" ",TRIM(C530)&amp;" ")-1),",","."),FIND("/",SUBSTITUTE(LEFT(TRIM(C530),FIND(" ",TRIM(C530)&amp;" ")-1),",","."))+1,9))*12,NA()))),0),30)*'Aturan &amp; Tarif'!$B$4,2)</f>
        <v>2044.08</v>
      </c>
      <c r="K530" s="42" t="n">
        <f aca="false">'Aturan &amp; Tarif'!$B$5</f>
        <v>2050</v>
      </c>
      <c r="L530" s="42" t="n">
        <f aca="false">'Aturan &amp; Tarif'!$B$6</f>
        <v>350</v>
      </c>
      <c r="M530" s="35" t="n">
        <f aca="false">I530+J530+K530+L530</f>
        <v>9194.08</v>
      </c>
      <c r="N530" s="44" t="s">
        <v>2154</v>
      </c>
    </row>
    <row r="531" customFormat="false" ht="14.25" hidden="false" customHeight="true" outlineLevel="0" collapsed="false">
      <c r="A531" s="39"/>
      <c r="B531" s="40" t="s">
        <v>2155</v>
      </c>
      <c r="C531" s="41" t="s">
        <v>107</v>
      </c>
      <c r="D531" s="41" t="s">
        <v>108</v>
      </c>
      <c r="E531" s="42" t="n">
        <v>3000</v>
      </c>
      <c r="F531" s="42" t="n">
        <v>1600</v>
      </c>
      <c r="G531" s="42" t="n">
        <v>250</v>
      </c>
      <c r="H531" s="43" t="n">
        <v>1</v>
      </c>
      <c r="I531" s="34" t="n">
        <f aca="false">E531*H531+N(F531)+N(G531)</f>
        <v>4850</v>
      </c>
      <c r="J531" s="42" t="n">
        <f aca="false">ROUND(IFERROR(ROUND(IF(OR(ISNUMBER(SEARCH("week",C531)),ISNUMBER(SEARCH("minggu",C531))),IFERROR(_xlfn.NUMBERVALUE(SUBSTITUTE(LEFT(TRIM(C531),FIND(" ",TRIM(C531)&amp;" ")-1),",","."),"."),LEFT(SUBSTITUTE(LEFT(TRIM(C531),FIND(" ",TRIM(C531)&amp;" ")-1),",","."),FIND("/",SUBSTITUTE(LEFT(TRIM(C531),FIND(" ",TRIM(C531)&amp;" ")-1),",","."))-1)/MID(SUBSTITUTE(LEFT(TRIM(C531),FIND(" ",TRIM(C531)&amp;" ")-1),",","."),FIND("/",SUBSTITUTE(LEFT(TRIM(C531),FIND(" ",TRIM(C531)&amp;" ")-1),",","."))+1,9))*12/52,IF(ISNUMBER(SEARCH("month",C531)),IFERROR(_xlfn.NUMBERVALUE(SUBSTITUTE(LEFT(TRIM(C531),FIND(" ",TRIM(C531)&amp;" ")-1),",","."),"."),LEFT(SUBSTITUTE(LEFT(TRIM(C531),FIND(" ",TRIM(C531)&amp;" ")-1),",","."),FIND("/",SUBSTITUTE(LEFT(TRIM(C531),FIND(" ",TRIM(C531)&amp;" ")-1),",","."))-1)/MID(SUBSTITUTE(LEFT(TRIM(C531),FIND(" ",TRIM(C531)&amp;" ")-1),",","."),FIND("/",SUBSTITUTE(LEFT(TRIM(C531),FIND(" ",TRIM(C531)&amp;" ")-1),",","."))+1,9)),IF(ISNUMBER(SEARCH("yea",C531)),IFERROR(_xlfn.NUMBERVALUE(SUBSTITUTE(LEFT(TRIM(C531),FIND(" ",TRIM(C531)&amp;" ")-1),",","."),"."),LEFT(SUBSTITUTE(LEFT(TRIM(C531),FIND(" ",TRIM(C531)&amp;" ")-1),",","."),FIND("/",SUBSTITUTE(LEFT(TRIM(C531),FIND(" ",TRIM(C531)&amp;" ")-1),",","."))-1)/MID(SUBSTITUTE(LEFT(TRIM(C531),FIND(" ",TRIM(C531)&amp;" ")-1),",","."),FIND("/",SUBSTITUTE(LEFT(TRIM(C531),FIND(" ",TRIM(C531)&amp;" ")-1),",","."))+1,9))*12,NA()))),0),24)*'Aturan &amp; Tarif'!$B$4,2)</f>
        <v>1362.72</v>
      </c>
      <c r="K531" s="42" t="n">
        <f aca="false">'Aturan &amp; Tarif'!$B$5</f>
        <v>2050</v>
      </c>
      <c r="L531" s="42" t="n">
        <f aca="false">'Aturan &amp; Tarif'!$B$6</f>
        <v>350</v>
      </c>
      <c r="M531" s="35" t="n">
        <f aca="false">I531+J531+K531+L531</f>
        <v>8612.72</v>
      </c>
      <c r="N531" s="44" t="s">
        <v>2156</v>
      </c>
    </row>
    <row r="532" customFormat="false" ht="25.5" hidden="false" customHeight="true" outlineLevel="0" collapsed="false">
      <c r="A532" s="39"/>
      <c r="B532" s="40" t="s">
        <v>2157</v>
      </c>
      <c r="C532" s="41" t="s">
        <v>127</v>
      </c>
      <c r="D532" s="41" t="s">
        <v>108</v>
      </c>
      <c r="E532" s="42" t="n">
        <v>3000</v>
      </c>
      <c r="F532" s="42" t="n">
        <v>1600</v>
      </c>
      <c r="G532" s="42" t="n">
        <v>250</v>
      </c>
      <c r="H532" s="43" t="n">
        <v>1</v>
      </c>
      <c r="I532" s="34" t="n">
        <f aca="false">E532*H532+N(F532)+N(G532)</f>
        <v>4850</v>
      </c>
      <c r="J532" s="42" t="n">
        <f aca="false">ROUND(IFERROR(ROUND(IF(OR(ISNUMBER(SEARCH("week",C532)),ISNUMBER(SEARCH("minggu",C532))),IFERROR(_xlfn.NUMBERVALUE(SUBSTITUTE(LEFT(TRIM(C532),FIND(" ",TRIM(C532)&amp;" ")-1),",","."),"."),LEFT(SUBSTITUTE(LEFT(TRIM(C532),FIND(" ",TRIM(C532)&amp;" ")-1),",","."),FIND("/",SUBSTITUTE(LEFT(TRIM(C532),FIND(" ",TRIM(C532)&amp;" ")-1),",","."))-1)/MID(SUBSTITUTE(LEFT(TRIM(C532),FIND(" ",TRIM(C532)&amp;" ")-1),",","."),FIND("/",SUBSTITUTE(LEFT(TRIM(C532),FIND(" ",TRIM(C532)&amp;" ")-1),",","."))+1,9))*12/52,IF(ISNUMBER(SEARCH("month",C532)),IFERROR(_xlfn.NUMBERVALUE(SUBSTITUTE(LEFT(TRIM(C532),FIND(" ",TRIM(C532)&amp;" ")-1),",","."),"."),LEFT(SUBSTITUTE(LEFT(TRIM(C532),FIND(" ",TRIM(C532)&amp;" ")-1),",","."),FIND("/",SUBSTITUTE(LEFT(TRIM(C532),FIND(" ",TRIM(C532)&amp;" ")-1),",","."))-1)/MID(SUBSTITUTE(LEFT(TRIM(C532),FIND(" ",TRIM(C532)&amp;" ")-1),",","."),FIND("/",SUBSTITUTE(LEFT(TRIM(C532),FIND(" ",TRIM(C532)&amp;" ")-1),",","."))+1,9)),IF(ISNUMBER(SEARCH("yea",C532)),IFERROR(_xlfn.NUMBERVALUE(SUBSTITUTE(LEFT(TRIM(C532),FIND(" ",TRIM(C532)&amp;" ")-1),",","."),"."),LEFT(SUBSTITUTE(LEFT(TRIM(C532),FIND(" ",TRIM(C532)&amp;" ")-1),",","."),FIND("/",SUBSTITUTE(LEFT(TRIM(C532),FIND(" ",TRIM(C532)&amp;" ")-1),",","."))-1)/MID(SUBSTITUTE(LEFT(TRIM(C532),FIND(" ",TRIM(C532)&amp;" ")-1),",","."),FIND("/",SUBSTITUTE(LEFT(TRIM(C532),FIND(" ",TRIM(C532)&amp;" ")-1),",","."))+1,9))*12,NA()))),0),30)*'Aturan &amp; Tarif'!$B$4,2)</f>
        <v>2044.08</v>
      </c>
      <c r="K532" s="42" t="n">
        <f aca="false">'Aturan &amp; Tarif'!$B$5</f>
        <v>2050</v>
      </c>
      <c r="L532" s="42" t="n">
        <f aca="false">'Aturan &amp; Tarif'!$B$6</f>
        <v>350</v>
      </c>
      <c r="M532" s="35" t="n">
        <f aca="false">I532+J532+K532+L532</f>
        <v>9294.08</v>
      </c>
      <c r="N532" s="44" t="s">
        <v>2158</v>
      </c>
    </row>
    <row r="533" customFormat="false" ht="37.5" hidden="false" customHeight="true" outlineLevel="0" collapsed="false">
      <c r="A533" s="39"/>
      <c r="B533" s="40" t="s">
        <v>2159</v>
      </c>
      <c r="C533" s="41" t="s">
        <v>138</v>
      </c>
      <c r="D533" s="41" t="s">
        <v>108</v>
      </c>
      <c r="E533" s="42" t="n">
        <v>3000</v>
      </c>
      <c r="F533" s="42" t="n">
        <v>1800</v>
      </c>
      <c r="G533" s="42" t="n">
        <v>250</v>
      </c>
      <c r="H533" s="43" t="n">
        <v>1</v>
      </c>
      <c r="I533" s="34" t="n">
        <f aca="false">E533*H533+N(F533)+N(G533)</f>
        <v>5050</v>
      </c>
      <c r="J533" s="42" t="n">
        <f aca="false">ROUND(IFERROR(ROUND(IF(OR(ISNUMBER(SEARCH("week",C533)),ISNUMBER(SEARCH("minggu",C533))),IFERROR(_xlfn.NUMBERVALUE(SUBSTITUTE(LEFT(TRIM(C533),FIND(" ",TRIM(C533)&amp;" ")-1),",","."),"."),LEFT(SUBSTITUTE(LEFT(TRIM(C533),FIND(" ",TRIM(C533)&amp;" ")-1),",","."),FIND("/",SUBSTITUTE(LEFT(TRIM(C533),FIND(" ",TRIM(C533)&amp;" ")-1),",","."))-1)/MID(SUBSTITUTE(LEFT(TRIM(C533),FIND(" ",TRIM(C533)&amp;" ")-1),",","."),FIND("/",SUBSTITUTE(LEFT(TRIM(C533),FIND(" ",TRIM(C533)&amp;" ")-1),",","."))+1,9))*12/52,IF(ISNUMBER(SEARCH("month",C533)),IFERROR(_xlfn.NUMBERVALUE(SUBSTITUTE(LEFT(TRIM(C533),FIND(" ",TRIM(C533)&amp;" ")-1),",","."),"."),LEFT(SUBSTITUTE(LEFT(TRIM(C533),FIND(" ",TRIM(C533)&amp;" ")-1),",","."),FIND("/",SUBSTITUTE(LEFT(TRIM(C533),FIND(" ",TRIM(C533)&amp;" ")-1),",","."))-1)/MID(SUBSTITUTE(LEFT(TRIM(C533),FIND(" ",TRIM(C533)&amp;" ")-1),",","."),FIND("/",SUBSTITUTE(LEFT(TRIM(C533),FIND(" ",TRIM(C533)&amp;" ")-1),",","."))+1,9)),IF(ISNUMBER(SEARCH("yea",C533)),IFERROR(_xlfn.NUMBERVALUE(SUBSTITUTE(LEFT(TRIM(C533),FIND(" ",TRIM(C533)&amp;" ")-1),",","."),"."),LEFT(SUBSTITUTE(LEFT(TRIM(C533),FIND(" ",TRIM(C533)&amp;" ")-1),",","."),FIND("/",SUBSTITUTE(LEFT(TRIM(C533),FIND(" ",TRIM(C533)&amp;" ")-1),",","."))-1)/MID(SUBSTITUTE(LEFT(TRIM(C533),FIND(" ",TRIM(C533)&amp;" ")-1),",","."),FIND("/",SUBSTITUTE(LEFT(TRIM(C533),FIND(" ",TRIM(C533)&amp;" ")-1),",","."))+1,9))*12,NA()))),0),30)*'Aturan &amp; Tarif'!$B$4,2)</f>
        <v>1703.4</v>
      </c>
      <c r="K533" s="42" t="n">
        <f aca="false">'Aturan &amp; Tarif'!$B$5</f>
        <v>2050</v>
      </c>
      <c r="L533" s="42" t="n">
        <f aca="false">'Aturan &amp; Tarif'!$B$6</f>
        <v>350</v>
      </c>
      <c r="M533" s="35" t="n">
        <f aca="false">I533+J533+K533+L533</f>
        <v>9153.4</v>
      </c>
      <c r="N533" s="44" t="s">
        <v>2160</v>
      </c>
    </row>
    <row r="534" customFormat="false" ht="25.5" hidden="false" customHeight="true" outlineLevel="0" collapsed="false">
      <c r="A534" s="39"/>
      <c r="B534" s="40" t="s">
        <v>2161</v>
      </c>
      <c r="C534" s="41" t="s">
        <v>107</v>
      </c>
      <c r="D534" s="41" t="s">
        <v>108</v>
      </c>
      <c r="E534" s="42" t="n">
        <v>2000</v>
      </c>
      <c r="F534" s="42" t="n">
        <v>100</v>
      </c>
      <c r="G534" s="42" t="n">
        <v>250</v>
      </c>
      <c r="H534" s="43" t="n">
        <v>1</v>
      </c>
      <c r="I534" s="34" t="n">
        <f aca="false">E534*H534+N(F534)+N(G534)</f>
        <v>2350</v>
      </c>
      <c r="J534" s="42" t="n">
        <f aca="false">ROUND(IFERROR(ROUND(IF(OR(ISNUMBER(SEARCH("week",C534)),ISNUMBER(SEARCH("minggu",C534))),IFERROR(_xlfn.NUMBERVALUE(SUBSTITUTE(LEFT(TRIM(C534),FIND(" ",TRIM(C534)&amp;" ")-1),",","."),"."),LEFT(SUBSTITUTE(LEFT(TRIM(C534),FIND(" ",TRIM(C534)&amp;" ")-1),",","."),FIND("/",SUBSTITUTE(LEFT(TRIM(C534),FIND(" ",TRIM(C534)&amp;" ")-1),",","."))-1)/MID(SUBSTITUTE(LEFT(TRIM(C534),FIND(" ",TRIM(C534)&amp;" ")-1),",","."),FIND("/",SUBSTITUTE(LEFT(TRIM(C534),FIND(" ",TRIM(C534)&amp;" ")-1),",","."))+1,9))*12/52,IF(ISNUMBER(SEARCH("month",C534)),IFERROR(_xlfn.NUMBERVALUE(SUBSTITUTE(LEFT(TRIM(C534),FIND(" ",TRIM(C534)&amp;" ")-1),",","."),"."),LEFT(SUBSTITUTE(LEFT(TRIM(C534),FIND(" ",TRIM(C534)&amp;" ")-1),",","."),FIND("/",SUBSTITUTE(LEFT(TRIM(C534),FIND(" ",TRIM(C534)&amp;" ")-1),",","."))-1)/MID(SUBSTITUTE(LEFT(TRIM(C534),FIND(" ",TRIM(C534)&amp;" ")-1),",","."),FIND("/",SUBSTITUTE(LEFT(TRIM(C534),FIND(" ",TRIM(C534)&amp;" ")-1),",","."))+1,9)),IF(ISNUMBER(SEARCH("yea",C534)),IFERROR(_xlfn.NUMBERVALUE(SUBSTITUTE(LEFT(TRIM(C534),FIND(" ",TRIM(C534)&amp;" ")-1),",","."),"."),LEFT(SUBSTITUTE(LEFT(TRIM(C534),FIND(" ",TRIM(C534)&amp;" ")-1),",","."),FIND("/",SUBSTITUTE(LEFT(TRIM(C534),FIND(" ",TRIM(C534)&amp;" ")-1),",","."))-1)/MID(SUBSTITUTE(LEFT(TRIM(C534),FIND(" ",TRIM(C534)&amp;" ")-1),",","."),FIND("/",SUBSTITUTE(LEFT(TRIM(C534),FIND(" ",TRIM(C534)&amp;" ")-1),",","."))+1,9))*12,NA()))),0),24)*'Aturan &amp; Tarif'!$B$4,2)</f>
        <v>1362.72</v>
      </c>
      <c r="K534" s="42" t="n">
        <f aca="false">'Aturan &amp; Tarif'!$B$5</f>
        <v>2050</v>
      </c>
      <c r="L534" s="42" t="n">
        <f aca="false">'Aturan &amp; Tarif'!$B$6</f>
        <v>350</v>
      </c>
      <c r="M534" s="35" t="n">
        <f aca="false">I534+J534+K534+L534</f>
        <v>6112.72</v>
      </c>
      <c r="N534" s="44" t="s">
        <v>2162</v>
      </c>
    </row>
    <row r="535" customFormat="false" ht="25.5" hidden="false" customHeight="true" outlineLevel="0" collapsed="false">
      <c r="A535" s="39"/>
      <c r="B535" s="40" t="s">
        <v>2163</v>
      </c>
      <c r="C535" s="41" t="s">
        <v>2164</v>
      </c>
      <c r="D535" s="41" t="s">
        <v>108</v>
      </c>
      <c r="E535" s="42" t="n">
        <v>3300</v>
      </c>
      <c r="F535" s="42" t="n">
        <v>1500</v>
      </c>
      <c r="G535" s="42" t="n">
        <v>250</v>
      </c>
      <c r="H535" s="43" t="n">
        <v>1</v>
      </c>
      <c r="I535" s="34" t="n">
        <f aca="false">E535*H535+N(F535)+N(G535)</f>
        <v>5050</v>
      </c>
      <c r="J535" s="42" t="n">
        <f aca="false">ROUND(IFERROR(ROUND(IF(OR(ISNUMBER(SEARCH("week",C535)),ISNUMBER(SEARCH("minggu",C535))),IFERROR(_xlfn.NUMBERVALUE(SUBSTITUTE(LEFT(TRIM(C535),FIND(" ",TRIM(C535)&amp;" ")-1),",","."),"."),LEFT(SUBSTITUTE(LEFT(TRIM(C535),FIND(" ",TRIM(C535)&amp;" ")-1),",","."),FIND("/",SUBSTITUTE(LEFT(TRIM(C535),FIND(" ",TRIM(C535)&amp;" ")-1),",","."))-1)/MID(SUBSTITUTE(LEFT(TRIM(C535),FIND(" ",TRIM(C535)&amp;" ")-1),",","."),FIND("/",SUBSTITUTE(LEFT(TRIM(C535),FIND(" ",TRIM(C535)&amp;" ")-1),",","."))+1,9))*12/52,IF(ISNUMBER(SEARCH("month",C535)),IFERROR(_xlfn.NUMBERVALUE(SUBSTITUTE(LEFT(TRIM(C535),FIND(" ",TRIM(C535)&amp;" ")-1),",","."),"."),LEFT(SUBSTITUTE(LEFT(TRIM(C535),FIND(" ",TRIM(C535)&amp;" ")-1),",","."),FIND("/",SUBSTITUTE(LEFT(TRIM(C535),FIND(" ",TRIM(C535)&amp;" ")-1),",","."))-1)/MID(SUBSTITUTE(LEFT(TRIM(C535),FIND(" ",TRIM(C535)&amp;" ")-1),",","."),FIND("/",SUBSTITUTE(LEFT(TRIM(C535),FIND(" ",TRIM(C535)&amp;" ")-1),",","."))+1,9)),IF(ISNUMBER(SEARCH("yea",C535)),IFERROR(_xlfn.NUMBERVALUE(SUBSTITUTE(LEFT(TRIM(C535),FIND(" ",TRIM(C535)&amp;" ")-1),",","."),"."),LEFT(SUBSTITUTE(LEFT(TRIM(C535),FIND(" ",TRIM(C535)&amp;" ")-1),",","."),FIND("/",SUBSTITUTE(LEFT(TRIM(C535),FIND(" ",TRIM(C535)&amp;" ")-1),",","."))-1)/MID(SUBSTITUTE(LEFT(TRIM(C535),FIND(" ",TRIM(C535)&amp;" ")-1),",","."),FIND("/",SUBSTITUTE(LEFT(TRIM(C535),FIND(" ",TRIM(C535)&amp;" ")-1),",","."))+1,9))*12,NA()))),0),18)*'Aturan &amp; Tarif'!$B$4,2)</f>
        <v>1022.04</v>
      </c>
      <c r="K535" s="42" t="n">
        <f aca="false">'Aturan &amp; Tarif'!$B$5</f>
        <v>2050</v>
      </c>
      <c r="L535" s="42" t="n">
        <f aca="false">'Aturan &amp; Tarif'!$B$6</f>
        <v>350</v>
      </c>
      <c r="M535" s="35" t="n">
        <f aca="false">I535+J535+K535+L535</f>
        <v>8472.04</v>
      </c>
      <c r="N535" s="44" t="s">
        <v>2165</v>
      </c>
    </row>
    <row r="536" customFormat="false" ht="48.75" hidden="false" customHeight="true" outlineLevel="0" collapsed="false">
      <c r="A536" s="39"/>
      <c r="B536" s="40" t="s">
        <v>2166</v>
      </c>
      <c r="C536" s="41" t="s">
        <v>2164</v>
      </c>
      <c r="D536" s="41" t="s">
        <v>108</v>
      </c>
      <c r="E536" s="42" t="n">
        <v>3500</v>
      </c>
      <c r="F536" s="42" t="n">
        <v>1600</v>
      </c>
      <c r="G536" s="42" t="n">
        <v>250</v>
      </c>
      <c r="H536" s="43" t="n">
        <v>1</v>
      </c>
      <c r="I536" s="34" t="n">
        <f aca="false">E536*H536+N(F536)+N(G536)</f>
        <v>5350</v>
      </c>
      <c r="J536" s="42" t="n">
        <f aca="false">ROUND(IFERROR(ROUND(IF(OR(ISNUMBER(SEARCH("week",C536)),ISNUMBER(SEARCH("minggu",C536))),IFERROR(_xlfn.NUMBERVALUE(SUBSTITUTE(LEFT(TRIM(C536),FIND(" ",TRIM(C536)&amp;" ")-1),",","."),"."),LEFT(SUBSTITUTE(LEFT(TRIM(C536),FIND(" ",TRIM(C536)&amp;" ")-1),",","."),FIND("/",SUBSTITUTE(LEFT(TRIM(C536),FIND(" ",TRIM(C536)&amp;" ")-1),",","."))-1)/MID(SUBSTITUTE(LEFT(TRIM(C536),FIND(" ",TRIM(C536)&amp;" ")-1),",","."),FIND("/",SUBSTITUTE(LEFT(TRIM(C536),FIND(" ",TRIM(C536)&amp;" ")-1),",","."))+1,9))*12/52,IF(ISNUMBER(SEARCH("month",C536)),IFERROR(_xlfn.NUMBERVALUE(SUBSTITUTE(LEFT(TRIM(C536),FIND(" ",TRIM(C536)&amp;" ")-1),",","."),"."),LEFT(SUBSTITUTE(LEFT(TRIM(C536),FIND(" ",TRIM(C536)&amp;" ")-1),",","."),FIND("/",SUBSTITUTE(LEFT(TRIM(C536),FIND(" ",TRIM(C536)&amp;" ")-1),",","."))-1)/MID(SUBSTITUTE(LEFT(TRIM(C536),FIND(" ",TRIM(C536)&amp;" ")-1),",","."),FIND("/",SUBSTITUTE(LEFT(TRIM(C536),FIND(" ",TRIM(C536)&amp;" ")-1),",","."))+1,9)),IF(ISNUMBER(SEARCH("yea",C536)),IFERROR(_xlfn.NUMBERVALUE(SUBSTITUTE(LEFT(TRIM(C536),FIND(" ",TRIM(C536)&amp;" ")-1),",","."),"."),LEFT(SUBSTITUTE(LEFT(TRIM(C536),FIND(" ",TRIM(C536)&amp;" ")-1),",","."),FIND("/",SUBSTITUTE(LEFT(TRIM(C536),FIND(" ",TRIM(C536)&amp;" ")-1),",","."))-1)/MID(SUBSTITUTE(LEFT(TRIM(C536),FIND(" ",TRIM(C536)&amp;" ")-1),",","."),FIND("/",SUBSTITUTE(LEFT(TRIM(C536),FIND(" ",TRIM(C536)&amp;" ")-1),",","."))+1,9))*12,NA()))),0),18)*'Aturan &amp; Tarif'!$B$4,2)</f>
        <v>1022.04</v>
      </c>
      <c r="K536" s="42" t="n">
        <f aca="false">'Aturan &amp; Tarif'!$B$5</f>
        <v>2050</v>
      </c>
      <c r="L536" s="42" t="n">
        <f aca="false">'Aturan &amp; Tarif'!$B$6</f>
        <v>350</v>
      </c>
      <c r="M536" s="35" t="n">
        <f aca="false">I536+J536+K536+L536</f>
        <v>8772.04</v>
      </c>
      <c r="N536" s="44" t="s">
        <v>2167</v>
      </c>
    </row>
    <row r="537" customFormat="false" ht="14.25" hidden="false" customHeight="true" outlineLevel="0" collapsed="false">
      <c r="A537" s="39"/>
      <c r="B537" s="40" t="s">
        <v>2168</v>
      </c>
      <c r="C537" s="41" t="s">
        <v>2169</v>
      </c>
      <c r="D537" s="41" t="s">
        <v>108</v>
      </c>
      <c r="E537" s="42" t="n">
        <v>1800</v>
      </c>
      <c r="F537" s="42" t="n">
        <v>100</v>
      </c>
      <c r="G537" s="42" t="n">
        <v>250</v>
      </c>
      <c r="H537" s="43" t="n">
        <v>1</v>
      </c>
      <c r="I537" s="34" t="n">
        <f aca="false">E537*H537+N(F537)*H537+N(G537)</f>
        <v>2150</v>
      </c>
      <c r="J537" s="42" t="n">
        <f aca="false">ROUND(IFERROR(ROUND(IF(OR(ISNUMBER(SEARCH("week",C537)),ISNUMBER(SEARCH("minggu",C537))),IFERROR(_xlfn.NUMBERVALUE(SUBSTITUTE(LEFT(TRIM(C537),FIND(" ",TRIM(C537)&amp;" ")-1),",","."),"."),LEFT(SUBSTITUTE(LEFT(TRIM(C537),FIND(" ",TRIM(C537)&amp;" ")-1),",","."),FIND("/",SUBSTITUTE(LEFT(TRIM(C537),FIND(" ",TRIM(C537)&amp;" ")-1),",","."))-1)/MID(SUBSTITUTE(LEFT(TRIM(C537),FIND(" ",TRIM(C537)&amp;" ")-1),",","."),FIND("/",SUBSTITUTE(LEFT(TRIM(C537),FIND(" ",TRIM(C537)&amp;" ")-1),",","."))+1,9))*12/52,IF(ISNUMBER(SEARCH("month",C537)),IFERROR(_xlfn.NUMBERVALUE(SUBSTITUTE(LEFT(TRIM(C537),FIND(" ",TRIM(C537)&amp;" ")-1),",","."),"."),LEFT(SUBSTITUTE(LEFT(TRIM(C537),FIND(" ",TRIM(C537)&amp;" ")-1),",","."),FIND("/",SUBSTITUTE(LEFT(TRIM(C537),FIND(" ",TRIM(C537)&amp;" ")-1),",","."))-1)/MID(SUBSTITUTE(LEFT(TRIM(C537),FIND(" ",TRIM(C537)&amp;" ")-1),",","."),FIND("/",SUBSTITUTE(LEFT(TRIM(C537),FIND(" ",TRIM(C537)&amp;" ")-1),",","."))+1,9)),IF(ISNUMBER(SEARCH("yea",C537)),IFERROR(_xlfn.NUMBERVALUE(SUBSTITUTE(LEFT(TRIM(C537),FIND(" ",TRIM(C537)&amp;" ")-1),",","."),"."),LEFT(SUBSTITUTE(LEFT(TRIM(C537),FIND(" ",TRIM(C537)&amp;" ")-1),",","."),FIND("/",SUBSTITUTE(LEFT(TRIM(C537),FIND(" ",TRIM(C537)&amp;" ")-1),",","."))-1)/MID(SUBSTITUTE(LEFT(TRIM(C537),FIND(" ",TRIM(C537)&amp;" ")-1),",","."),FIND("/",SUBSTITUTE(LEFT(TRIM(C537),FIND(" ",TRIM(C537)&amp;" ")-1),",","."))+1,9))*12,NA()))),0),24)*'Aturan &amp; Tarif'!$B$4,2)</f>
        <v>1362.72</v>
      </c>
      <c r="K537" s="42" t="n">
        <f aca="false">'Aturan &amp; Tarif'!$B$5</f>
        <v>2050</v>
      </c>
      <c r="L537" s="42" t="n">
        <f aca="false">'Aturan &amp; Tarif'!$B$6</f>
        <v>350</v>
      </c>
      <c r="M537" s="35" t="n">
        <f aca="false">I537+J537+K537+L537</f>
        <v>5912.72</v>
      </c>
      <c r="N537" s="44" t="s">
        <v>2170</v>
      </c>
    </row>
    <row r="538" customFormat="false" ht="25.5" hidden="false" customHeight="true" outlineLevel="0" collapsed="false">
      <c r="A538" s="39"/>
      <c r="B538" s="40" t="s">
        <v>2171</v>
      </c>
      <c r="C538" s="41" t="s">
        <v>2172</v>
      </c>
      <c r="D538" s="41" t="s">
        <v>108</v>
      </c>
      <c r="E538" s="42" t="n">
        <v>1800</v>
      </c>
      <c r="F538" s="42" t="n">
        <v>100</v>
      </c>
      <c r="G538" s="42" t="n">
        <v>250</v>
      </c>
      <c r="H538" s="43" t="n">
        <v>1</v>
      </c>
      <c r="I538" s="34" t="n">
        <f aca="false">E538*H538+N(F538)*H538+N(G538)</f>
        <v>2150</v>
      </c>
      <c r="J538" s="42" t="n">
        <f aca="false">ROUND(IFERROR(ROUND(IF(OR(ISNUMBER(SEARCH("week",C538)),ISNUMBER(SEARCH("minggu",C538))),IFERROR(_xlfn.NUMBERVALUE(SUBSTITUTE(LEFT(TRIM(C538),FIND(" ",TRIM(C538)&amp;" ")-1),",","."),"."),LEFT(SUBSTITUTE(LEFT(TRIM(C538),FIND(" ",TRIM(C538)&amp;" ")-1),",","."),FIND("/",SUBSTITUTE(LEFT(TRIM(C538),FIND(" ",TRIM(C538)&amp;" ")-1),",","."))-1)/MID(SUBSTITUTE(LEFT(TRIM(C538),FIND(" ",TRIM(C538)&amp;" ")-1),",","."),FIND("/",SUBSTITUTE(LEFT(TRIM(C538),FIND(" ",TRIM(C538)&amp;" ")-1),",","."))+1,9))*12/52,IF(ISNUMBER(SEARCH("month",C538)),IFERROR(_xlfn.NUMBERVALUE(SUBSTITUTE(LEFT(TRIM(C538),FIND(" ",TRIM(C538)&amp;" ")-1),",","."),"."),LEFT(SUBSTITUTE(LEFT(TRIM(C538),FIND(" ",TRIM(C538)&amp;" ")-1),",","."),FIND("/",SUBSTITUTE(LEFT(TRIM(C538),FIND(" ",TRIM(C538)&amp;" ")-1),",","."))-1)/MID(SUBSTITUTE(LEFT(TRIM(C538),FIND(" ",TRIM(C538)&amp;" ")-1),",","."),FIND("/",SUBSTITUTE(LEFT(TRIM(C538),FIND(" ",TRIM(C538)&amp;" ")-1),",","."))+1,9)),IF(ISNUMBER(SEARCH("yea",C538)),IFERROR(_xlfn.NUMBERVALUE(SUBSTITUTE(LEFT(TRIM(C538),FIND(" ",TRIM(C538)&amp;" ")-1),",","."),"."),LEFT(SUBSTITUTE(LEFT(TRIM(C538),FIND(" ",TRIM(C538)&amp;" ")-1),",","."),FIND("/",SUBSTITUTE(LEFT(TRIM(C538),FIND(" ",TRIM(C538)&amp;" ")-1),",","."))-1)/MID(SUBSTITUTE(LEFT(TRIM(C538),FIND(" ",TRIM(C538)&amp;" ")-1),",","."),FIND("/",SUBSTITUTE(LEFT(TRIM(C538),FIND(" ",TRIM(C538)&amp;" ")-1),",","."))+1,9))*12,NA()))),0),36)*'Aturan &amp; Tarif'!$B$4,2)</f>
        <v>2044.08</v>
      </c>
      <c r="K538" s="42" t="n">
        <f aca="false">'Aturan &amp; Tarif'!$B$5</f>
        <v>2050</v>
      </c>
      <c r="L538" s="42" t="n">
        <f aca="false">'Aturan &amp; Tarif'!$B$6</f>
        <v>350</v>
      </c>
      <c r="M538" s="35" t="n">
        <f aca="false">I538+J538+K538+L538</f>
        <v>6594.08</v>
      </c>
      <c r="N538" s="44" t="s">
        <v>2173</v>
      </c>
    </row>
    <row r="539" customFormat="false" ht="25.5" hidden="false" customHeight="true" outlineLevel="0" collapsed="false">
      <c r="A539" s="39" t="s">
        <v>2174</v>
      </c>
      <c r="B539" s="40" t="s">
        <v>983</v>
      </c>
      <c r="C539" s="41" t="s">
        <v>113</v>
      </c>
      <c r="D539" s="41" t="s">
        <v>108</v>
      </c>
      <c r="E539" s="42" t="n">
        <v>6997.5</v>
      </c>
      <c r="F539" s="42"/>
      <c r="G539" s="42" t="n">
        <v>250</v>
      </c>
      <c r="H539" s="43" t="n">
        <v>2</v>
      </c>
      <c r="I539" s="34" t="n">
        <f aca="false">E539*H539+N(F539)+N(G539)</f>
        <v>14245</v>
      </c>
      <c r="J539" s="42" t="n">
        <f aca="false">ROUND(IFERROR(ROUND(IF(OR(ISNUMBER(SEARCH("week",C539)),ISNUMBER(SEARCH("minggu",C539))),IFERROR(_xlfn.NUMBERVALUE(SUBSTITUTE(LEFT(TRIM(C539),FIND(" ",TRIM(C539)&amp;" ")-1),",","."),"."),LEFT(SUBSTITUTE(LEFT(TRIM(C539),FIND(" ",TRIM(C539)&amp;" ")-1),",","."),FIND("/",SUBSTITUTE(LEFT(TRIM(C539),FIND(" ",TRIM(C539)&amp;" ")-1),",","."))-1)/MID(SUBSTITUTE(LEFT(TRIM(C539),FIND(" ",TRIM(C539)&amp;" ")-1),",","."),FIND("/",SUBSTITUTE(LEFT(TRIM(C539),FIND(" ",TRIM(C539)&amp;" ")-1),",","."))+1,9))*12/52,IF(ISNUMBER(SEARCH("month",C539)),IFERROR(_xlfn.NUMBERVALUE(SUBSTITUTE(LEFT(TRIM(C539),FIND(" ",TRIM(C539)&amp;" ")-1),",","."),"."),LEFT(SUBSTITUTE(LEFT(TRIM(C539),FIND(" ",TRIM(C539)&amp;" ")-1),",","."),FIND("/",SUBSTITUTE(LEFT(TRIM(C539),FIND(" ",TRIM(C539)&amp;" ")-1),",","."))-1)/MID(SUBSTITUTE(LEFT(TRIM(C539),FIND(" ",TRIM(C539)&amp;" ")-1),",","."),FIND("/",SUBSTITUTE(LEFT(TRIM(C539),FIND(" ",TRIM(C539)&amp;" ")-1),",","."))+1,9)),IF(ISNUMBER(SEARCH("yea",C539)),IFERROR(_xlfn.NUMBERVALUE(SUBSTITUTE(LEFT(TRIM(C539),FIND(" ",TRIM(C539)&amp;" ")-1),",","."),"."),LEFT(SUBSTITUTE(LEFT(TRIM(C539),FIND(" ",TRIM(C539)&amp;" ")-1),",","."),FIND("/",SUBSTITUTE(LEFT(TRIM(C539),FIND(" ",TRIM(C539)&amp;" ")-1),",","."))-1)/MID(SUBSTITUTE(LEFT(TRIM(C539),FIND(" ",TRIM(C539)&amp;" ")-1),",","."),FIND("/",SUBSTITUTE(LEFT(TRIM(C539),FIND(" ",TRIM(C539)&amp;" ")-1),",","."))+1,9))*12,NA()))),0),18)*'Aturan &amp; Tarif'!$B$4,2)</f>
        <v>1022.04</v>
      </c>
      <c r="K539" s="42" t="n">
        <f aca="false">'Aturan &amp; Tarif'!$B$5</f>
        <v>2050</v>
      </c>
      <c r="L539" s="42" t="n">
        <f aca="false">'Aturan &amp; Tarif'!$B$6</f>
        <v>350</v>
      </c>
      <c r="M539" s="35" t="n">
        <f aca="false">I539+J539+K539+L539</f>
        <v>17667.04</v>
      </c>
      <c r="N539" s="45" t="s">
        <v>1643</v>
      </c>
    </row>
    <row r="540" customFormat="false" ht="14.25" hidden="false" customHeight="true" outlineLevel="0" collapsed="false">
      <c r="A540" s="39"/>
      <c r="B540" s="40" t="s">
        <v>985</v>
      </c>
      <c r="C540" s="41" t="s">
        <v>344</v>
      </c>
      <c r="D540" s="41" t="s">
        <v>108</v>
      </c>
      <c r="E540" s="42" t="n">
        <v>6737</v>
      </c>
      <c r="F540" s="42"/>
      <c r="G540" s="42" t="n">
        <v>250</v>
      </c>
      <c r="H540" s="43" t="n">
        <v>2</v>
      </c>
      <c r="I540" s="34" t="n">
        <f aca="false">E540*H540+N(F540)+N(G540)</f>
        <v>13724</v>
      </c>
      <c r="J540" s="42" t="n">
        <f aca="false">ROUND(IFERROR(ROUND(IF(OR(ISNUMBER(SEARCH("week",C540)),ISNUMBER(SEARCH("minggu",C540))),IFERROR(_xlfn.NUMBERVALUE(SUBSTITUTE(LEFT(TRIM(C540),FIND(" ",TRIM(C540)&amp;" ")-1),",","."),"."),LEFT(SUBSTITUTE(LEFT(TRIM(C540),FIND(" ",TRIM(C540)&amp;" ")-1),",","."),FIND("/",SUBSTITUTE(LEFT(TRIM(C540),FIND(" ",TRIM(C540)&amp;" ")-1),",","."))-1)/MID(SUBSTITUTE(LEFT(TRIM(C540),FIND(" ",TRIM(C540)&amp;" ")-1),",","."),FIND("/",SUBSTITUTE(LEFT(TRIM(C540),FIND(" ",TRIM(C540)&amp;" ")-1),",","."))+1,9))*12/52,IF(ISNUMBER(SEARCH("month",C540)),IFERROR(_xlfn.NUMBERVALUE(SUBSTITUTE(LEFT(TRIM(C540),FIND(" ",TRIM(C540)&amp;" ")-1),",","."),"."),LEFT(SUBSTITUTE(LEFT(TRIM(C540),FIND(" ",TRIM(C540)&amp;" ")-1),",","."),FIND("/",SUBSTITUTE(LEFT(TRIM(C540),FIND(" ",TRIM(C540)&amp;" ")-1),",","."))-1)/MID(SUBSTITUTE(LEFT(TRIM(C540),FIND(" ",TRIM(C540)&amp;" ")-1),",","."),FIND("/",SUBSTITUTE(LEFT(TRIM(C540),FIND(" ",TRIM(C540)&amp;" ")-1),",","."))+1,9)),IF(ISNUMBER(SEARCH("yea",C540)),IFERROR(_xlfn.NUMBERVALUE(SUBSTITUTE(LEFT(TRIM(C540),FIND(" ",TRIM(C540)&amp;" ")-1),",","."),"."),LEFT(SUBSTITUTE(LEFT(TRIM(C540),FIND(" ",TRIM(C540)&amp;" ")-1),",","."),FIND("/",SUBSTITUTE(LEFT(TRIM(C540),FIND(" ",TRIM(C540)&amp;" ")-1),",","."))-1)/MID(SUBSTITUTE(LEFT(TRIM(C540),FIND(" ",TRIM(C540)&amp;" ")-1),",","."),FIND("/",SUBSTITUTE(LEFT(TRIM(C540),FIND(" ",TRIM(C540)&amp;" ")-1),",","."))+1,9))*12,NA()))),0),6)*'Aturan &amp; Tarif'!$B$4,2)</f>
        <v>340.68</v>
      </c>
      <c r="K540" s="42" t="n">
        <f aca="false">'Aturan &amp; Tarif'!$B$5</f>
        <v>2050</v>
      </c>
      <c r="L540" s="42" t="n">
        <f aca="false">'Aturan &amp; Tarif'!$B$6</f>
        <v>350</v>
      </c>
      <c r="M540" s="35" t="n">
        <f aca="false">I540+J540+K540+L540</f>
        <v>16464.68</v>
      </c>
      <c r="N540" s="45" t="s">
        <v>1644</v>
      </c>
    </row>
    <row r="541" customFormat="false" ht="14.25" hidden="false" customHeight="true" outlineLevel="0" collapsed="false">
      <c r="A541" s="39"/>
      <c r="B541" s="40" t="s">
        <v>987</v>
      </c>
      <c r="C541" s="41" t="s">
        <v>344</v>
      </c>
      <c r="D541" s="41" t="s">
        <v>108</v>
      </c>
      <c r="E541" s="42" t="n">
        <v>7298.5</v>
      </c>
      <c r="F541" s="42"/>
      <c r="G541" s="42" t="n">
        <v>250</v>
      </c>
      <c r="H541" s="43" t="n">
        <v>2</v>
      </c>
      <c r="I541" s="34" t="n">
        <f aca="false">E541*H541+N(F541)+N(G541)</f>
        <v>14847</v>
      </c>
      <c r="J541" s="42" t="n">
        <f aca="false">ROUND(IFERROR(ROUND(IF(OR(ISNUMBER(SEARCH("week",C541)),ISNUMBER(SEARCH("minggu",C541))),IFERROR(_xlfn.NUMBERVALUE(SUBSTITUTE(LEFT(TRIM(C541),FIND(" ",TRIM(C541)&amp;" ")-1),",","."),"."),LEFT(SUBSTITUTE(LEFT(TRIM(C541),FIND(" ",TRIM(C541)&amp;" ")-1),",","."),FIND("/",SUBSTITUTE(LEFT(TRIM(C541),FIND(" ",TRIM(C541)&amp;" ")-1),",","."))-1)/MID(SUBSTITUTE(LEFT(TRIM(C541),FIND(" ",TRIM(C541)&amp;" ")-1),",","."),FIND("/",SUBSTITUTE(LEFT(TRIM(C541),FIND(" ",TRIM(C541)&amp;" ")-1),",","."))+1,9))*12/52,IF(ISNUMBER(SEARCH("month",C541)),IFERROR(_xlfn.NUMBERVALUE(SUBSTITUTE(LEFT(TRIM(C541),FIND(" ",TRIM(C541)&amp;" ")-1),",","."),"."),LEFT(SUBSTITUTE(LEFT(TRIM(C541),FIND(" ",TRIM(C541)&amp;" ")-1),",","."),FIND("/",SUBSTITUTE(LEFT(TRIM(C541),FIND(" ",TRIM(C541)&amp;" ")-1),",","."))-1)/MID(SUBSTITUTE(LEFT(TRIM(C541),FIND(" ",TRIM(C541)&amp;" ")-1),",","."),FIND("/",SUBSTITUTE(LEFT(TRIM(C541),FIND(" ",TRIM(C541)&amp;" ")-1),",","."))+1,9)),IF(ISNUMBER(SEARCH("yea",C541)),IFERROR(_xlfn.NUMBERVALUE(SUBSTITUTE(LEFT(TRIM(C541),FIND(" ",TRIM(C541)&amp;" ")-1),",","."),"."),LEFT(SUBSTITUTE(LEFT(TRIM(C541),FIND(" ",TRIM(C541)&amp;" ")-1),",","."),FIND("/",SUBSTITUTE(LEFT(TRIM(C541),FIND(" ",TRIM(C541)&amp;" ")-1),",","."))-1)/MID(SUBSTITUTE(LEFT(TRIM(C541),FIND(" ",TRIM(C541)&amp;" ")-1),",","."),FIND("/",SUBSTITUTE(LEFT(TRIM(C541),FIND(" ",TRIM(C541)&amp;" ")-1),",","."))+1,9))*12,NA()))),0),6)*'Aturan &amp; Tarif'!$B$4,2)</f>
        <v>340.68</v>
      </c>
      <c r="K541" s="42" t="n">
        <f aca="false">'Aturan &amp; Tarif'!$B$5</f>
        <v>2050</v>
      </c>
      <c r="L541" s="42" t="n">
        <f aca="false">'Aturan &amp; Tarif'!$B$6</f>
        <v>350</v>
      </c>
      <c r="M541" s="35" t="n">
        <f aca="false">I541+J541+K541+L541</f>
        <v>17587.68</v>
      </c>
      <c r="N541" s="45" t="s">
        <v>1644</v>
      </c>
    </row>
    <row r="542" customFormat="false" ht="48.75" hidden="false" customHeight="true" outlineLevel="0" collapsed="false">
      <c r="A542" s="39"/>
      <c r="B542" s="40" t="s">
        <v>988</v>
      </c>
      <c r="C542" s="41" t="s">
        <v>138</v>
      </c>
      <c r="D542" s="41" t="s">
        <v>108</v>
      </c>
      <c r="E542" s="42" t="n">
        <v>7005.6</v>
      </c>
      <c r="F542" s="42"/>
      <c r="G542" s="42" t="n">
        <v>250</v>
      </c>
      <c r="H542" s="43" t="n">
        <v>2</v>
      </c>
      <c r="I542" s="34" t="n">
        <f aca="false">E542*H542+N(F542)+N(G542)</f>
        <v>14261.2</v>
      </c>
      <c r="J542" s="42" t="n">
        <f aca="false">ROUND(IFERROR(ROUND(IF(OR(ISNUMBER(SEARCH("week",C542)),ISNUMBER(SEARCH("minggu",C542))),IFERROR(_xlfn.NUMBERVALUE(SUBSTITUTE(LEFT(TRIM(C542),FIND(" ",TRIM(C542)&amp;" ")-1),",","."),"."),LEFT(SUBSTITUTE(LEFT(TRIM(C542),FIND(" ",TRIM(C542)&amp;" ")-1),",","."),FIND("/",SUBSTITUTE(LEFT(TRIM(C542),FIND(" ",TRIM(C542)&amp;" ")-1),",","."))-1)/MID(SUBSTITUTE(LEFT(TRIM(C542),FIND(" ",TRIM(C542)&amp;" ")-1),",","."),FIND("/",SUBSTITUTE(LEFT(TRIM(C542),FIND(" ",TRIM(C542)&amp;" ")-1),",","."))+1,9))*12/52,IF(ISNUMBER(SEARCH("month",C542)),IFERROR(_xlfn.NUMBERVALUE(SUBSTITUTE(LEFT(TRIM(C542),FIND(" ",TRIM(C542)&amp;" ")-1),",","."),"."),LEFT(SUBSTITUTE(LEFT(TRIM(C542),FIND(" ",TRIM(C542)&amp;" ")-1),",","."),FIND("/",SUBSTITUTE(LEFT(TRIM(C542),FIND(" ",TRIM(C542)&amp;" ")-1),",","."))-1)/MID(SUBSTITUTE(LEFT(TRIM(C542),FIND(" ",TRIM(C542)&amp;" ")-1),",","."),FIND("/",SUBSTITUTE(LEFT(TRIM(C542),FIND(" ",TRIM(C542)&amp;" ")-1),",","."))+1,9)),IF(ISNUMBER(SEARCH("yea",C542)),IFERROR(_xlfn.NUMBERVALUE(SUBSTITUTE(LEFT(TRIM(C542),FIND(" ",TRIM(C542)&amp;" ")-1),",","."),"."),LEFT(SUBSTITUTE(LEFT(TRIM(C542),FIND(" ",TRIM(C542)&amp;" ")-1),",","."),FIND("/",SUBSTITUTE(LEFT(TRIM(C542),FIND(" ",TRIM(C542)&amp;" ")-1),",","."))-1)/MID(SUBSTITUTE(LEFT(TRIM(C542),FIND(" ",TRIM(C542)&amp;" ")-1),",","."),FIND("/",SUBSTITUTE(LEFT(TRIM(C542),FIND(" ",TRIM(C542)&amp;" ")-1),",","."))+1,9))*12,NA()))),0),30)*'Aturan &amp; Tarif'!$B$4,2)</f>
        <v>1703.4</v>
      </c>
      <c r="K542" s="42" t="n">
        <f aca="false">'Aturan &amp; Tarif'!$B$5</f>
        <v>2050</v>
      </c>
      <c r="L542" s="42" t="n">
        <f aca="false">'Aturan &amp; Tarif'!$B$6</f>
        <v>350</v>
      </c>
      <c r="M542" s="35" t="n">
        <f aca="false">I542+J542+K542+L542</f>
        <v>18364.6</v>
      </c>
      <c r="N542" s="44" t="s">
        <v>1645</v>
      </c>
    </row>
    <row r="543" customFormat="false" ht="37.5" hidden="false" customHeight="true" outlineLevel="0" collapsed="false">
      <c r="A543" s="39"/>
      <c r="B543" s="40" t="s">
        <v>990</v>
      </c>
      <c r="C543" s="41" t="s">
        <v>113</v>
      </c>
      <c r="D543" s="41" t="s">
        <v>108</v>
      </c>
      <c r="E543" s="42" t="n">
        <v>6997.5</v>
      </c>
      <c r="F543" s="42"/>
      <c r="G543" s="42" t="n">
        <v>250</v>
      </c>
      <c r="H543" s="43" t="n">
        <v>2</v>
      </c>
      <c r="I543" s="34" t="n">
        <f aca="false">E543*H543+N(F543)+N(G543)</f>
        <v>14245</v>
      </c>
      <c r="J543" s="42" t="n">
        <f aca="false">ROUND(IFERROR(ROUND(IF(OR(ISNUMBER(SEARCH("week",C543)),ISNUMBER(SEARCH("minggu",C543))),IFERROR(_xlfn.NUMBERVALUE(SUBSTITUTE(LEFT(TRIM(C543),FIND(" ",TRIM(C543)&amp;" ")-1),",","."),"."),LEFT(SUBSTITUTE(LEFT(TRIM(C543),FIND(" ",TRIM(C543)&amp;" ")-1),",","."),FIND("/",SUBSTITUTE(LEFT(TRIM(C543),FIND(" ",TRIM(C543)&amp;" ")-1),",","."))-1)/MID(SUBSTITUTE(LEFT(TRIM(C543),FIND(" ",TRIM(C543)&amp;" ")-1),",","."),FIND("/",SUBSTITUTE(LEFT(TRIM(C543),FIND(" ",TRIM(C543)&amp;" ")-1),",","."))+1,9))*12/52,IF(ISNUMBER(SEARCH("month",C543)),IFERROR(_xlfn.NUMBERVALUE(SUBSTITUTE(LEFT(TRIM(C543),FIND(" ",TRIM(C543)&amp;" ")-1),",","."),"."),LEFT(SUBSTITUTE(LEFT(TRIM(C543),FIND(" ",TRIM(C543)&amp;" ")-1),",","."),FIND("/",SUBSTITUTE(LEFT(TRIM(C543),FIND(" ",TRIM(C543)&amp;" ")-1),",","."))-1)/MID(SUBSTITUTE(LEFT(TRIM(C543),FIND(" ",TRIM(C543)&amp;" ")-1),",","."),FIND("/",SUBSTITUTE(LEFT(TRIM(C543),FIND(" ",TRIM(C543)&amp;" ")-1),",","."))+1,9)),IF(ISNUMBER(SEARCH("yea",C543)),IFERROR(_xlfn.NUMBERVALUE(SUBSTITUTE(LEFT(TRIM(C543),FIND(" ",TRIM(C543)&amp;" ")-1),",","."),"."),LEFT(SUBSTITUTE(LEFT(TRIM(C543),FIND(" ",TRIM(C543)&amp;" ")-1),",","."),FIND("/",SUBSTITUTE(LEFT(TRIM(C543),FIND(" ",TRIM(C543)&amp;" ")-1),",","."))-1)/MID(SUBSTITUTE(LEFT(TRIM(C543),FIND(" ",TRIM(C543)&amp;" ")-1),",","."),FIND("/",SUBSTITUTE(LEFT(TRIM(C543),FIND(" ",TRIM(C543)&amp;" ")-1),",","."))+1,9))*12,NA()))),0),18)*'Aturan &amp; Tarif'!$B$4,2)</f>
        <v>1022.04</v>
      </c>
      <c r="K543" s="42" t="n">
        <f aca="false">'Aturan &amp; Tarif'!$B$5</f>
        <v>2050</v>
      </c>
      <c r="L543" s="42" t="n">
        <f aca="false">'Aturan &amp; Tarif'!$B$6</f>
        <v>350</v>
      </c>
      <c r="M543" s="35" t="n">
        <f aca="false">I543+J543+K543+L543</f>
        <v>17667.04</v>
      </c>
      <c r="N543" s="45" t="s">
        <v>1646</v>
      </c>
    </row>
    <row r="544" customFormat="false" ht="48.75" hidden="false" customHeight="true" outlineLevel="0" collapsed="false">
      <c r="A544" s="39"/>
      <c r="B544" s="40" t="s">
        <v>992</v>
      </c>
      <c r="C544" s="41" t="s">
        <v>344</v>
      </c>
      <c r="D544" s="41" t="s">
        <v>108</v>
      </c>
      <c r="E544" s="42" t="n">
        <v>6737</v>
      </c>
      <c r="F544" s="42"/>
      <c r="G544" s="42" t="n">
        <v>250</v>
      </c>
      <c r="H544" s="43" t="n">
        <v>2</v>
      </c>
      <c r="I544" s="34" t="n">
        <f aca="false">E544*H544+N(F544)+N(G544)</f>
        <v>13724</v>
      </c>
      <c r="J544" s="42" t="n">
        <f aca="false">ROUND(IFERROR(ROUND(IF(OR(ISNUMBER(SEARCH("week",C544)),ISNUMBER(SEARCH("minggu",C544))),IFERROR(_xlfn.NUMBERVALUE(SUBSTITUTE(LEFT(TRIM(C544),FIND(" ",TRIM(C544)&amp;" ")-1),",","."),"."),LEFT(SUBSTITUTE(LEFT(TRIM(C544),FIND(" ",TRIM(C544)&amp;" ")-1),",","."),FIND("/",SUBSTITUTE(LEFT(TRIM(C544),FIND(" ",TRIM(C544)&amp;" ")-1),",","."))-1)/MID(SUBSTITUTE(LEFT(TRIM(C544),FIND(" ",TRIM(C544)&amp;" ")-1),",","."),FIND("/",SUBSTITUTE(LEFT(TRIM(C544),FIND(" ",TRIM(C544)&amp;" ")-1),",","."))+1,9))*12/52,IF(ISNUMBER(SEARCH("month",C544)),IFERROR(_xlfn.NUMBERVALUE(SUBSTITUTE(LEFT(TRIM(C544),FIND(" ",TRIM(C544)&amp;" ")-1),",","."),"."),LEFT(SUBSTITUTE(LEFT(TRIM(C544),FIND(" ",TRIM(C544)&amp;" ")-1),",","."),FIND("/",SUBSTITUTE(LEFT(TRIM(C544),FIND(" ",TRIM(C544)&amp;" ")-1),",","."))-1)/MID(SUBSTITUTE(LEFT(TRIM(C544),FIND(" ",TRIM(C544)&amp;" ")-1),",","."),FIND("/",SUBSTITUTE(LEFT(TRIM(C544),FIND(" ",TRIM(C544)&amp;" ")-1),",","."))+1,9)),IF(ISNUMBER(SEARCH("yea",C544)),IFERROR(_xlfn.NUMBERVALUE(SUBSTITUTE(LEFT(TRIM(C544),FIND(" ",TRIM(C544)&amp;" ")-1),",","."),"."),LEFT(SUBSTITUTE(LEFT(TRIM(C544),FIND(" ",TRIM(C544)&amp;" ")-1),",","."),FIND("/",SUBSTITUTE(LEFT(TRIM(C544),FIND(" ",TRIM(C544)&amp;" ")-1),",","."))-1)/MID(SUBSTITUTE(LEFT(TRIM(C544),FIND(" ",TRIM(C544)&amp;" ")-1),",","."),FIND("/",SUBSTITUTE(LEFT(TRIM(C544),FIND(" ",TRIM(C544)&amp;" ")-1),",","."))+1,9))*12,NA()))),0),6)*'Aturan &amp; Tarif'!$B$4,2)</f>
        <v>340.68</v>
      </c>
      <c r="K544" s="42" t="n">
        <f aca="false">'Aturan &amp; Tarif'!$B$5</f>
        <v>2050</v>
      </c>
      <c r="L544" s="42" t="n">
        <f aca="false">'Aturan &amp; Tarif'!$B$6</f>
        <v>350</v>
      </c>
      <c r="M544" s="35" t="n">
        <f aca="false">I544+J544+K544+L544</f>
        <v>16464.68</v>
      </c>
      <c r="N544" s="45" t="s">
        <v>1644</v>
      </c>
    </row>
    <row r="545" customFormat="false" ht="60" hidden="false" customHeight="true" outlineLevel="0" collapsed="false">
      <c r="A545" s="39"/>
      <c r="B545" s="40" t="s">
        <v>987</v>
      </c>
      <c r="C545" s="41" t="s">
        <v>344</v>
      </c>
      <c r="D545" s="41" t="s">
        <v>108</v>
      </c>
      <c r="E545" s="42" t="n">
        <v>7298.5</v>
      </c>
      <c r="F545" s="42"/>
      <c r="G545" s="42" t="n">
        <v>250</v>
      </c>
      <c r="H545" s="43" t="n">
        <v>2</v>
      </c>
      <c r="I545" s="34" t="n">
        <f aca="false">E545*H545+N(F545)+N(G545)</f>
        <v>14847</v>
      </c>
      <c r="J545" s="42" t="n">
        <f aca="false">ROUND(IFERROR(ROUND(IF(OR(ISNUMBER(SEARCH("week",C545)),ISNUMBER(SEARCH("minggu",C545))),IFERROR(_xlfn.NUMBERVALUE(SUBSTITUTE(LEFT(TRIM(C545),FIND(" ",TRIM(C545)&amp;" ")-1),",","."),"."),LEFT(SUBSTITUTE(LEFT(TRIM(C545),FIND(" ",TRIM(C545)&amp;" ")-1),",","."),FIND("/",SUBSTITUTE(LEFT(TRIM(C545),FIND(" ",TRIM(C545)&amp;" ")-1),",","."))-1)/MID(SUBSTITUTE(LEFT(TRIM(C545),FIND(" ",TRIM(C545)&amp;" ")-1),",","."),FIND("/",SUBSTITUTE(LEFT(TRIM(C545),FIND(" ",TRIM(C545)&amp;" ")-1),",","."))+1,9))*12/52,IF(ISNUMBER(SEARCH("month",C545)),IFERROR(_xlfn.NUMBERVALUE(SUBSTITUTE(LEFT(TRIM(C545),FIND(" ",TRIM(C545)&amp;" ")-1),",","."),"."),LEFT(SUBSTITUTE(LEFT(TRIM(C545),FIND(" ",TRIM(C545)&amp;" ")-1),",","."),FIND("/",SUBSTITUTE(LEFT(TRIM(C545),FIND(" ",TRIM(C545)&amp;" ")-1),",","."))-1)/MID(SUBSTITUTE(LEFT(TRIM(C545),FIND(" ",TRIM(C545)&amp;" ")-1),",","."),FIND("/",SUBSTITUTE(LEFT(TRIM(C545),FIND(" ",TRIM(C545)&amp;" ")-1),",","."))+1,9)),IF(ISNUMBER(SEARCH("yea",C545)),IFERROR(_xlfn.NUMBERVALUE(SUBSTITUTE(LEFT(TRIM(C545),FIND(" ",TRIM(C545)&amp;" ")-1),",","."),"."),LEFT(SUBSTITUTE(LEFT(TRIM(C545),FIND(" ",TRIM(C545)&amp;" ")-1),",","."),FIND("/",SUBSTITUTE(LEFT(TRIM(C545),FIND(" ",TRIM(C545)&amp;" ")-1),",","."))-1)/MID(SUBSTITUTE(LEFT(TRIM(C545),FIND(" ",TRIM(C545)&amp;" ")-1),",","."),FIND("/",SUBSTITUTE(LEFT(TRIM(C545),FIND(" ",TRIM(C545)&amp;" ")-1),",","."))+1,9))*12,NA()))),0),6)*'Aturan &amp; Tarif'!$B$4,2)</f>
        <v>340.68</v>
      </c>
      <c r="K545" s="42" t="n">
        <f aca="false">'Aturan &amp; Tarif'!$B$5</f>
        <v>2050</v>
      </c>
      <c r="L545" s="42" t="n">
        <f aca="false">'Aturan &amp; Tarif'!$B$6</f>
        <v>350</v>
      </c>
      <c r="M545" s="35" t="n">
        <f aca="false">I545+J545+K545+L545</f>
        <v>17587.68</v>
      </c>
      <c r="N545" s="45" t="s">
        <v>1644</v>
      </c>
    </row>
    <row r="546" customFormat="false" ht="25.5" hidden="false" customHeight="true" outlineLevel="0" collapsed="false">
      <c r="A546" s="39"/>
      <c r="B546" s="40" t="s">
        <v>993</v>
      </c>
      <c r="C546" s="41" t="s">
        <v>138</v>
      </c>
      <c r="D546" s="41" t="s">
        <v>108</v>
      </c>
      <c r="E546" s="42" t="n">
        <v>7005.6</v>
      </c>
      <c r="F546" s="42"/>
      <c r="G546" s="42" t="n">
        <v>250</v>
      </c>
      <c r="H546" s="43" t="n">
        <v>2</v>
      </c>
      <c r="I546" s="34" t="n">
        <f aca="false">E546*H546+N(F546)+N(G546)</f>
        <v>14261.2</v>
      </c>
      <c r="J546" s="42" t="n">
        <f aca="false">ROUND(IFERROR(ROUND(IF(OR(ISNUMBER(SEARCH("week",C546)),ISNUMBER(SEARCH("minggu",C546))),IFERROR(_xlfn.NUMBERVALUE(SUBSTITUTE(LEFT(TRIM(C546),FIND(" ",TRIM(C546)&amp;" ")-1),",","."),"."),LEFT(SUBSTITUTE(LEFT(TRIM(C546),FIND(" ",TRIM(C546)&amp;" ")-1),",","."),FIND("/",SUBSTITUTE(LEFT(TRIM(C546),FIND(" ",TRIM(C546)&amp;" ")-1),",","."))-1)/MID(SUBSTITUTE(LEFT(TRIM(C546),FIND(" ",TRIM(C546)&amp;" ")-1),",","."),FIND("/",SUBSTITUTE(LEFT(TRIM(C546),FIND(" ",TRIM(C546)&amp;" ")-1),",","."))+1,9))*12/52,IF(ISNUMBER(SEARCH("month",C546)),IFERROR(_xlfn.NUMBERVALUE(SUBSTITUTE(LEFT(TRIM(C546),FIND(" ",TRIM(C546)&amp;" ")-1),",","."),"."),LEFT(SUBSTITUTE(LEFT(TRIM(C546),FIND(" ",TRIM(C546)&amp;" ")-1),",","."),FIND("/",SUBSTITUTE(LEFT(TRIM(C546),FIND(" ",TRIM(C546)&amp;" ")-1),",","."))-1)/MID(SUBSTITUTE(LEFT(TRIM(C546),FIND(" ",TRIM(C546)&amp;" ")-1),",","."),FIND("/",SUBSTITUTE(LEFT(TRIM(C546),FIND(" ",TRIM(C546)&amp;" ")-1),",","."))+1,9)),IF(ISNUMBER(SEARCH("yea",C546)),IFERROR(_xlfn.NUMBERVALUE(SUBSTITUTE(LEFT(TRIM(C546),FIND(" ",TRIM(C546)&amp;" ")-1),",","."),"."),LEFT(SUBSTITUTE(LEFT(TRIM(C546),FIND(" ",TRIM(C546)&amp;" ")-1),",","."),FIND("/",SUBSTITUTE(LEFT(TRIM(C546),FIND(" ",TRIM(C546)&amp;" ")-1),",","."))-1)/MID(SUBSTITUTE(LEFT(TRIM(C546),FIND(" ",TRIM(C546)&amp;" ")-1),",","."),FIND("/",SUBSTITUTE(LEFT(TRIM(C546),FIND(" ",TRIM(C546)&amp;" ")-1),",","."))+1,9))*12,NA()))),0),30)*'Aturan &amp; Tarif'!$B$4,2)</f>
        <v>1703.4</v>
      </c>
      <c r="K546" s="42" t="n">
        <f aca="false">'Aturan &amp; Tarif'!$B$5</f>
        <v>2050</v>
      </c>
      <c r="L546" s="42" t="n">
        <f aca="false">'Aturan &amp; Tarif'!$B$6</f>
        <v>350</v>
      </c>
      <c r="M546" s="35" t="n">
        <f aca="false">I546+J546+K546+L546</f>
        <v>18364.6</v>
      </c>
      <c r="N546" s="44" t="s">
        <v>1645</v>
      </c>
    </row>
    <row r="547" customFormat="false" ht="14.25" hidden="false" customHeight="true" outlineLevel="0" collapsed="false">
      <c r="A547" s="39"/>
      <c r="B547" s="40" t="s">
        <v>994</v>
      </c>
      <c r="C547" s="41" t="s">
        <v>127</v>
      </c>
      <c r="D547" s="41" t="s">
        <v>108</v>
      </c>
      <c r="E547" s="42" t="n">
        <v>5688.58</v>
      </c>
      <c r="F547" s="42"/>
      <c r="G547" s="42" t="n">
        <v>250</v>
      </c>
      <c r="H547" s="43" t="n">
        <v>2</v>
      </c>
      <c r="I547" s="34" t="n">
        <f aca="false">E547*H547+N(F547)+N(G547)</f>
        <v>11627.16</v>
      </c>
      <c r="J547" s="42" t="n">
        <f aca="false">ROUND(IFERROR(ROUND(IF(OR(ISNUMBER(SEARCH("week",C547)),ISNUMBER(SEARCH("minggu",C547))),IFERROR(_xlfn.NUMBERVALUE(SUBSTITUTE(LEFT(TRIM(C547),FIND(" ",TRIM(C547)&amp;" ")-1),",","."),"."),LEFT(SUBSTITUTE(LEFT(TRIM(C547),FIND(" ",TRIM(C547)&amp;" ")-1),",","."),FIND("/",SUBSTITUTE(LEFT(TRIM(C547),FIND(" ",TRIM(C547)&amp;" ")-1),",","."))-1)/MID(SUBSTITUTE(LEFT(TRIM(C547),FIND(" ",TRIM(C547)&amp;" ")-1),",","."),FIND("/",SUBSTITUTE(LEFT(TRIM(C547),FIND(" ",TRIM(C547)&amp;" ")-1),",","."))+1,9))*12/52,IF(ISNUMBER(SEARCH("month",C547)),IFERROR(_xlfn.NUMBERVALUE(SUBSTITUTE(LEFT(TRIM(C547),FIND(" ",TRIM(C547)&amp;" ")-1),",","."),"."),LEFT(SUBSTITUTE(LEFT(TRIM(C547),FIND(" ",TRIM(C547)&amp;" ")-1),",","."),FIND("/",SUBSTITUTE(LEFT(TRIM(C547),FIND(" ",TRIM(C547)&amp;" ")-1),",","."))-1)/MID(SUBSTITUTE(LEFT(TRIM(C547),FIND(" ",TRIM(C547)&amp;" ")-1),",","."),FIND("/",SUBSTITUTE(LEFT(TRIM(C547),FIND(" ",TRIM(C547)&amp;" ")-1),",","."))+1,9)),IF(ISNUMBER(SEARCH("yea",C547)),IFERROR(_xlfn.NUMBERVALUE(SUBSTITUTE(LEFT(TRIM(C547),FIND(" ",TRIM(C547)&amp;" ")-1),",","."),"."),LEFT(SUBSTITUTE(LEFT(TRIM(C547),FIND(" ",TRIM(C547)&amp;" ")-1),",","."),FIND("/",SUBSTITUTE(LEFT(TRIM(C547),FIND(" ",TRIM(C547)&amp;" ")-1),",","."))-1)/MID(SUBSTITUTE(LEFT(TRIM(C547),FIND(" ",TRIM(C547)&amp;" ")-1),",","."),FIND("/",SUBSTITUTE(LEFT(TRIM(C547),FIND(" ",TRIM(C547)&amp;" ")-1),",","."))+1,9))*12,NA()))),0),36)*'Aturan &amp; Tarif'!$B$4,2)</f>
        <v>2044.08</v>
      </c>
      <c r="K547" s="42" t="n">
        <f aca="false">'Aturan &amp; Tarif'!$B$5</f>
        <v>2050</v>
      </c>
      <c r="L547" s="42" t="n">
        <f aca="false">'Aturan &amp; Tarif'!$B$6</f>
        <v>350</v>
      </c>
      <c r="M547" s="35" t="n">
        <f aca="false">I547+J547+K547+L547</f>
        <v>16071.24</v>
      </c>
      <c r="N547" s="45" t="s">
        <v>1647</v>
      </c>
    </row>
    <row r="548" customFormat="false" ht="14.25" hidden="false" customHeight="true" outlineLevel="0" collapsed="false">
      <c r="A548" s="39"/>
      <c r="B548" s="40" t="s">
        <v>996</v>
      </c>
      <c r="C548" s="41" t="s">
        <v>127</v>
      </c>
      <c r="D548" s="41" t="s">
        <v>108</v>
      </c>
      <c r="E548" s="42" t="n">
        <v>5821.66</v>
      </c>
      <c r="F548" s="42"/>
      <c r="G548" s="42" t="n">
        <v>250</v>
      </c>
      <c r="H548" s="43" t="n">
        <v>2</v>
      </c>
      <c r="I548" s="34" t="n">
        <f aca="false">E548*H548+N(F548)+N(G548)</f>
        <v>11893.32</v>
      </c>
      <c r="J548" s="42" t="n">
        <f aca="false">ROUND(IFERROR(ROUND(IF(OR(ISNUMBER(SEARCH("week",C548)),ISNUMBER(SEARCH("minggu",C548))),IFERROR(_xlfn.NUMBERVALUE(SUBSTITUTE(LEFT(TRIM(C548),FIND(" ",TRIM(C548)&amp;" ")-1),",","."),"."),LEFT(SUBSTITUTE(LEFT(TRIM(C548),FIND(" ",TRIM(C548)&amp;" ")-1),",","."),FIND("/",SUBSTITUTE(LEFT(TRIM(C548),FIND(" ",TRIM(C548)&amp;" ")-1),",","."))-1)/MID(SUBSTITUTE(LEFT(TRIM(C548),FIND(" ",TRIM(C548)&amp;" ")-1),",","."),FIND("/",SUBSTITUTE(LEFT(TRIM(C548),FIND(" ",TRIM(C548)&amp;" ")-1),",","."))+1,9))*12/52,IF(ISNUMBER(SEARCH("month",C548)),IFERROR(_xlfn.NUMBERVALUE(SUBSTITUTE(LEFT(TRIM(C548),FIND(" ",TRIM(C548)&amp;" ")-1),",","."),"."),LEFT(SUBSTITUTE(LEFT(TRIM(C548),FIND(" ",TRIM(C548)&amp;" ")-1),",","."),FIND("/",SUBSTITUTE(LEFT(TRIM(C548),FIND(" ",TRIM(C548)&amp;" ")-1),",","."))-1)/MID(SUBSTITUTE(LEFT(TRIM(C548),FIND(" ",TRIM(C548)&amp;" ")-1),",","."),FIND("/",SUBSTITUTE(LEFT(TRIM(C548),FIND(" ",TRIM(C548)&amp;" ")-1),",","."))+1,9)),IF(ISNUMBER(SEARCH("yea",C548)),IFERROR(_xlfn.NUMBERVALUE(SUBSTITUTE(LEFT(TRIM(C548),FIND(" ",TRIM(C548)&amp;" ")-1),",","."),"."),LEFT(SUBSTITUTE(LEFT(TRIM(C548),FIND(" ",TRIM(C548)&amp;" ")-1),",","."),FIND("/",SUBSTITUTE(LEFT(TRIM(C548),FIND(" ",TRIM(C548)&amp;" ")-1),",","."))-1)/MID(SUBSTITUTE(LEFT(TRIM(C548),FIND(" ",TRIM(C548)&amp;" ")-1),",","."),FIND("/",SUBSTITUTE(LEFT(TRIM(C548),FIND(" ",TRIM(C548)&amp;" ")-1),",","."))+1,9))*12,NA()))),0),36)*'Aturan &amp; Tarif'!$B$4,2)</f>
        <v>2044.08</v>
      </c>
      <c r="K548" s="42" t="n">
        <f aca="false">'Aturan &amp; Tarif'!$B$5</f>
        <v>2050</v>
      </c>
      <c r="L548" s="42" t="n">
        <f aca="false">'Aturan &amp; Tarif'!$B$6</f>
        <v>350</v>
      </c>
      <c r="M548" s="35" t="n">
        <f aca="false">I548+J548+K548+L548</f>
        <v>16337.4</v>
      </c>
      <c r="N548" s="45" t="s">
        <v>1644</v>
      </c>
    </row>
    <row r="549" customFormat="false" ht="14.25" hidden="false" customHeight="true" outlineLevel="0" collapsed="false">
      <c r="A549" s="39"/>
      <c r="B549" s="40" t="s">
        <v>997</v>
      </c>
      <c r="C549" s="41" t="s">
        <v>107</v>
      </c>
      <c r="D549" s="41" t="s">
        <v>108</v>
      </c>
      <c r="E549" s="42" t="n">
        <v>6818.75</v>
      </c>
      <c r="F549" s="42"/>
      <c r="G549" s="42" t="n">
        <v>250</v>
      </c>
      <c r="H549" s="43" t="n">
        <v>2</v>
      </c>
      <c r="I549" s="34" t="n">
        <f aca="false">E549*H549+N(F549)+N(G549)</f>
        <v>13887.5</v>
      </c>
      <c r="J549" s="42" t="n">
        <f aca="false">ROUND(IFERROR(ROUND(IF(OR(ISNUMBER(SEARCH("week",C549)),ISNUMBER(SEARCH("minggu",C549))),IFERROR(_xlfn.NUMBERVALUE(SUBSTITUTE(LEFT(TRIM(C549),FIND(" ",TRIM(C549)&amp;" ")-1),",","."),"."),LEFT(SUBSTITUTE(LEFT(TRIM(C549),FIND(" ",TRIM(C549)&amp;" ")-1),",","."),FIND("/",SUBSTITUTE(LEFT(TRIM(C549),FIND(" ",TRIM(C549)&amp;" ")-1),",","."))-1)/MID(SUBSTITUTE(LEFT(TRIM(C549),FIND(" ",TRIM(C549)&amp;" ")-1),",","."),FIND("/",SUBSTITUTE(LEFT(TRIM(C549),FIND(" ",TRIM(C549)&amp;" ")-1),",","."))+1,9))*12/52,IF(ISNUMBER(SEARCH("month",C549)),IFERROR(_xlfn.NUMBERVALUE(SUBSTITUTE(LEFT(TRIM(C549),FIND(" ",TRIM(C549)&amp;" ")-1),",","."),"."),LEFT(SUBSTITUTE(LEFT(TRIM(C549),FIND(" ",TRIM(C549)&amp;" ")-1),",","."),FIND("/",SUBSTITUTE(LEFT(TRIM(C549),FIND(" ",TRIM(C549)&amp;" ")-1),",","."))-1)/MID(SUBSTITUTE(LEFT(TRIM(C549),FIND(" ",TRIM(C549)&amp;" ")-1),",","."),FIND("/",SUBSTITUTE(LEFT(TRIM(C549),FIND(" ",TRIM(C549)&amp;" ")-1),",","."))+1,9)),IF(ISNUMBER(SEARCH("yea",C549)),IFERROR(_xlfn.NUMBERVALUE(SUBSTITUTE(LEFT(TRIM(C549),FIND(" ",TRIM(C549)&amp;" ")-1),",","."),"."),LEFT(SUBSTITUTE(LEFT(TRIM(C549),FIND(" ",TRIM(C549)&amp;" ")-1),",","."),FIND("/",SUBSTITUTE(LEFT(TRIM(C549),FIND(" ",TRIM(C549)&amp;" ")-1),",","."))-1)/MID(SUBSTITUTE(LEFT(TRIM(C549),FIND(" ",TRIM(C549)&amp;" ")-1),",","."),FIND("/",SUBSTITUTE(LEFT(TRIM(C549),FIND(" ",TRIM(C549)&amp;" ")-1),",","."))+1,9))*12,NA()))),0),24)*'Aturan &amp; Tarif'!$B$4,2)</f>
        <v>1362.72</v>
      </c>
      <c r="K549" s="42" t="n">
        <f aca="false">'Aturan &amp; Tarif'!$B$5</f>
        <v>2050</v>
      </c>
      <c r="L549" s="42" t="n">
        <f aca="false">'Aturan &amp; Tarif'!$B$6</f>
        <v>350</v>
      </c>
      <c r="M549" s="35" t="n">
        <f aca="false">I549+J549+K549+L549</f>
        <v>17650.22</v>
      </c>
      <c r="N549" s="45" t="s">
        <v>1648</v>
      </c>
    </row>
    <row r="550" customFormat="false" ht="14.25" hidden="false" customHeight="true" outlineLevel="0" collapsed="false">
      <c r="A550" s="39"/>
      <c r="B550" s="40" t="s">
        <v>999</v>
      </c>
      <c r="C550" s="41" t="s">
        <v>107</v>
      </c>
      <c r="D550" s="41" t="s">
        <v>108</v>
      </c>
      <c r="E550" s="42" t="n">
        <v>6760</v>
      </c>
      <c r="F550" s="42"/>
      <c r="G550" s="42" t="n">
        <v>250</v>
      </c>
      <c r="H550" s="43" t="n">
        <v>2</v>
      </c>
      <c r="I550" s="34" t="n">
        <f aca="false">E550*H550+N(F550)+N(G550)</f>
        <v>13770</v>
      </c>
      <c r="J550" s="42" t="n">
        <f aca="false">ROUND(IFERROR(ROUND(IF(OR(ISNUMBER(SEARCH("week",C550)),ISNUMBER(SEARCH("minggu",C550))),IFERROR(_xlfn.NUMBERVALUE(SUBSTITUTE(LEFT(TRIM(C550),FIND(" ",TRIM(C550)&amp;" ")-1),",","."),"."),LEFT(SUBSTITUTE(LEFT(TRIM(C550),FIND(" ",TRIM(C550)&amp;" ")-1),",","."),FIND("/",SUBSTITUTE(LEFT(TRIM(C550),FIND(" ",TRIM(C550)&amp;" ")-1),",","."))-1)/MID(SUBSTITUTE(LEFT(TRIM(C550),FIND(" ",TRIM(C550)&amp;" ")-1),",","."),FIND("/",SUBSTITUTE(LEFT(TRIM(C550),FIND(" ",TRIM(C550)&amp;" ")-1),",","."))+1,9))*12/52,IF(ISNUMBER(SEARCH("month",C550)),IFERROR(_xlfn.NUMBERVALUE(SUBSTITUTE(LEFT(TRIM(C550),FIND(" ",TRIM(C550)&amp;" ")-1),",","."),"."),LEFT(SUBSTITUTE(LEFT(TRIM(C550),FIND(" ",TRIM(C550)&amp;" ")-1),",","."),FIND("/",SUBSTITUTE(LEFT(TRIM(C550),FIND(" ",TRIM(C550)&amp;" ")-1),",","."))-1)/MID(SUBSTITUTE(LEFT(TRIM(C550),FIND(" ",TRIM(C550)&amp;" ")-1),",","."),FIND("/",SUBSTITUTE(LEFT(TRIM(C550),FIND(" ",TRIM(C550)&amp;" ")-1),",","."))+1,9)),IF(ISNUMBER(SEARCH("yea",C550)),IFERROR(_xlfn.NUMBERVALUE(SUBSTITUTE(LEFT(TRIM(C550),FIND(" ",TRIM(C550)&amp;" ")-1),",","."),"."),LEFT(SUBSTITUTE(LEFT(TRIM(C550),FIND(" ",TRIM(C550)&amp;" ")-1),",","."),FIND("/",SUBSTITUTE(LEFT(TRIM(C550),FIND(" ",TRIM(C550)&amp;" ")-1),",","."))-1)/MID(SUBSTITUTE(LEFT(TRIM(C550),FIND(" ",TRIM(C550)&amp;" ")-1),",","."),FIND("/",SUBSTITUTE(LEFT(TRIM(C550),FIND(" ",TRIM(C550)&amp;" ")-1),",","."))+1,9))*12,NA()))),0),24)*'Aturan &amp; Tarif'!$B$4,2)</f>
        <v>1362.72</v>
      </c>
      <c r="K550" s="42" t="n">
        <f aca="false">'Aturan &amp; Tarif'!$B$5</f>
        <v>2050</v>
      </c>
      <c r="L550" s="42" t="n">
        <f aca="false">'Aturan &amp; Tarif'!$B$6</f>
        <v>350</v>
      </c>
      <c r="M550" s="35" t="n">
        <f aca="false">I550+J550+K550+L550</f>
        <v>17532.72</v>
      </c>
      <c r="N550" s="45" t="s">
        <v>1649</v>
      </c>
    </row>
    <row r="551" customFormat="false" ht="72" hidden="false" customHeight="true" outlineLevel="0" collapsed="false">
      <c r="A551" s="39" t="s">
        <v>2175</v>
      </c>
      <c r="B551" s="40" t="s">
        <v>2176</v>
      </c>
      <c r="C551" s="41" t="s">
        <v>2177</v>
      </c>
      <c r="D551" s="41" t="s">
        <v>108</v>
      </c>
      <c r="E551" s="42" t="n">
        <v>2800</v>
      </c>
      <c r="F551" s="42" t="n">
        <v>1850</v>
      </c>
      <c r="G551" s="42" t="n">
        <v>300</v>
      </c>
      <c r="H551" s="43" t="n">
        <v>1</v>
      </c>
      <c r="I551" s="34" t="n">
        <f aca="false">E551*H551+N(F551)+N(G551)</f>
        <v>4950</v>
      </c>
      <c r="J551" s="42" t="n">
        <f aca="false">ROUND(IFERROR(ROUND(IF(OR(ISNUMBER(SEARCH("week",C551)),ISNUMBER(SEARCH("minggu",C551))),IFERROR(_xlfn.NUMBERVALUE(SUBSTITUTE(LEFT(TRIM(C551),FIND(" ",TRIM(C551)&amp;" ")-1),",","."),"."),LEFT(SUBSTITUTE(LEFT(TRIM(C551),FIND(" ",TRIM(C551)&amp;" ")-1),",","."),FIND("/",SUBSTITUTE(LEFT(TRIM(C551),FIND(" ",TRIM(C551)&amp;" ")-1),",","."))-1)/MID(SUBSTITUTE(LEFT(TRIM(C551),FIND(" ",TRIM(C551)&amp;" ")-1),",","."),FIND("/",SUBSTITUTE(LEFT(TRIM(C551),FIND(" ",TRIM(C551)&amp;" ")-1),",","."))+1,9))*12/52,IF(ISNUMBER(SEARCH("month",C551)),IFERROR(_xlfn.NUMBERVALUE(SUBSTITUTE(LEFT(TRIM(C551),FIND(" ",TRIM(C551)&amp;" ")-1),",","."),"."),LEFT(SUBSTITUTE(LEFT(TRIM(C551),FIND(" ",TRIM(C551)&amp;" ")-1),",","."),FIND("/",SUBSTITUTE(LEFT(TRIM(C551),FIND(" ",TRIM(C551)&amp;" ")-1),",","."))-1)/MID(SUBSTITUTE(LEFT(TRIM(C551),FIND(" ",TRIM(C551)&amp;" ")-1),",","."),FIND("/",SUBSTITUTE(LEFT(TRIM(C551),FIND(" ",TRIM(C551)&amp;" ")-1),",","."))+1,9)),IF(ISNUMBER(SEARCH("yea",C551)),IFERROR(_xlfn.NUMBERVALUE(SUBSTITUTE(LEFT(TRIM(C551),FIND(" ",TRIM(C551)&amp;" ")-1),",","."),"."),LEFT(SUBSTITUTE(LEFT(TRIM(C551),FIND(" ",TRIM(C551)&amp;" ")-1),",","."),FIND("/",SUBSTITUTE(LEFT(TRIM(C551),FIND(" ",TRIM(C551)&amp;" ")-1),",","."))-1)/MID(SUBSTITUTE(LEFT(TRIM(C551),FIND(" ",TRIM(C551)&amp;" ")-1),",","."),FIND("/",SUBSTITUTE(LEFT(TRIM(C551),FIND(" ",TRIM(C551)&amp;" ")-1),",","."))+1,9))*12,NA()))),0),24)*'Aturan &amp; Tarif'!$B$4,2)</f>
        <v>1533.06</v>
      </c>
      <c r="K551" s="42" t="n">
        <f aca="false">'Aturan &amp; Tarif'!$B$5</f>
        <v>2050</v>
      </c>
      <c r="L551" s="42" t="n">
        <f aca="false">'Aturan &amp; Tarif'!$B$6</f>
        <v>350</v>
      </c>
      <c r="M551" s="35" t="n">
        <f aca="false">I551+J551+K551+L551</f>
        <v>8883.06</v>
      </c>
      <c r="N551" s="44" t="s">
        <v>2178</v>
      </c>
    </row>
    <row r="552" customFormat="false" ht="72" hidden="false" customHeight="true" outlineLevel="0" collapsed="false">
      <c r="A552" s="39"/>
      <c r="B552" s="40" t="s">
        <v>2179</v>
      </c>
      <c r="C552" s="41" t="s">
        <v>2177</v>
      </c>
      <c r="D552" s="41" t="s">
        <v>108</v>
      </c>
      <c r="E552" s="42" t="n">
        <v>2800</v>
      </c>
      <c r="F552" s="42" t="n">
        <v>1850</v>
      </c>
      <c r="G552" s="42" t="n">
        <v>300</v>
      </c>
      <c r="H552" s="43" t="n">
        <v>1</v>
      </c>
      <c r="I552" s="34" t="n">
        <f aca="false">E552*H552+N(F552)+N(G552)</f>
        <v>4950</v>
      </c>
      <c r="J552" s="42" t="n">
        <f aca="false">ROUND(IFERROR(ROUND(IF(OR(ISNUMBER(SEARCH("week",C552)),ISNUMBER(SEARCH("minggu",C552))),IFERROR(_xlfn.NUMBERVALUE(SUBSTITUTE(LEFT(TRIM(C552),FIND(" ",TRIM(C552)&amp;" ")-1),",","."),"."),LEFT(SUBSTITUTE(LEFT(TRIM(C552),FIND(" ",TRIM(C552)&amp;" ")-1),",","."),FIND("/",SUBSTITUTE(LEFT(TRIM(C552),FIND(" ",TRIM(C552)&amp;" ")-1),",","."))-1)/MID(SUBSTITUTE(LEFT(TRIM(C552),FIND(" ",TRIM(C552)&amp;" ")-1),",","."),FIND("/",SUBSTITUTE(LEFT(TRIM(C552),FIND(" ",TRIM(C552)&amp;" ")-1),",","."))+1,9))*12/52,IF(ISNUMBER(SEARCH("month",C552)),IFERROR(_xlfn.NUMBERVALUE(SUBSTITUTE(LEFT(TRIM(C552),FIND(" ",TRIM(C552)&amp;" ")-1),",","."),"."),LEFT(SUBSTITUTE(LEFT(TRIM(C552),FIND(" ",TRIM(C552)&amp;" ")-1),",","."),FIND("/",SUBSTITUTE(LEFT(TRIM(C552),FIND(" ",TRIM(C552)&amp;" ")-1),",","."))-1)/MID(SUBSTITUTE(LEFT(TRIM(C552),FIND(" ",TRIM(C552)&amp;" ")-1),",","."),FIND("/",SUBSTITUTE(LEFT(TRIM(C552),FIND(" ",TRIM(C552)&amp;" ")-1),",","."))+1,9)),IF(ISNUMBER(SEARCH("yea",C552)),IFERROR(_xlfn.NUMBERVALUE(SUBSTITUTE(LEFT(TRIM(C552),FIND(" ",TRIM(C552)&amp;" ")-1),",","."),"."),LEFT(SUBSTITUTE(LEFT(TRIM(C552),FIND(" ",TRIM(C552)&amp;" ")-1),",","."),FIND("/",SUBSTITUTE(LEFT(TRIM(C552),FIND(" ",TRIM(C552)&amp;" ")-1),",","."))-1)/MID(SUBSTITUTE(LEFT(TRIM(C552),FIND(" ",TRIM(C552)&amp;" ")-1),",","."),FIND("/",SUBSTITUTE(LEFT(TRIM(C552),FIND(" ",TRIM(C552)&amp;" ")-1),",","."))+1,9))*12,NA()))),0),30)*'Aturan &amp; Tarif'!$B$4,2)</f>
        <v>1533.06</v>
      </c>
      <c r="K552" s="42" t="n">
        <f aca="false">'Aturan &amp; Tarif'!$B$5</f>
        <v>2050</v>
      </c>
      <c r="L552" s="42" t="n">
        <f aca="false">'Aturan &amp; Tarif'!$B$6</f>
        <v>350</v>
      </c>
      <c r="M552" s="35" t="n">
        <f aca="false">I552+J552+K552+L552</f>
        <v>8883.06</v>
      </c>
      <c r="N552" s="44" t="s">
        <v>2178</v>
      </c>
    </row>
    <row r="553" customFormat="false" ht="72" hidden="false" customHeight="true" outlineLevel="0" collapsed="false">
      <c r="A553" s="39"/>
      <c r="B553" s="40" t="s">
        <v>2180</v>
      </c>
      <c r="C553" s="41" t="s">
        <v>2181</v>
      </c>
      <c r="D553" s="41" t="s">
        <v>108</v>
      </c>
      <c r="E553" s="42" t="n">
        <v>2800</v>
      </c>
      <c r="F553" s="42" t="n">
        <v>2100</v>
      </c>
      <c r="G553" s="42" t="n">
        <v>300</v>
      </c>
      <c r="H553" s="43" t="n">
        <v>1</v>
      </c>
      <c r="I553" s="34" t="n">
        <f aca="false">E553*H553+N(F553)+N(G553)</f>
        <v>5200</v>
      </c>
      <c r="J553" s="42" t="n">
        <f aca="false">ROUND(IFERROR(ROUND(IF(OR(ISNUMBER(SEARCH("week",C553)),ISNUMBER(SEARCH("minggu",C553))),IFERROR(_xlfn.NUMBERVALUE(SUBSTITUTE(LEFT(TRIM(C553),FIND(" ",TRIM(C553)&amp;" ")-1),",","."),"."),LEFT(SUBSTITUTE(LEFT(TRIM(C553),FIND(" ",TRIM(C553)&amp;" ")-1),",","."),FIND("/",SUBSTITUTE(LEFT(TRIM(C553),FIND(" ",TRIM(C553)&amp;" ")-1),",","."))-1)/MID(SUBSTITUTE(LEFT(TRIM(C553),FIND(" ",TRIM(C553)&amp;" ")-1),",","."),FIND("/",SUBSTITUTE(LEFT(TRIM(C553),FIND(" ",TRIM(C553)&amp;" ")-1),",","."))+1,9))*12/52,IF(ISNUMBER(SEARCH("month",C553)),IFERROR(_xlfn.NUMBERVALUE(SUBSTITUTE(LEFT(TRIM(C553),FIND(" ",TRIM(C553)&amp;" ")-1),",","."),"."),LEFT(SUBSTITUTE(LEFT(TRIM(C553),FIND(" ",TRIM(C553)&amp;" ")-1),",","."),FIND("/",SUBSTITUTE(LEFT(TRIM(C553),FIND(" ",TRIM(C553)&amp;" ")-1),",","."))-1)/MID(SUBSTITUTE(LEFT(TRIM(C553),FIND(" ",TRIM(C553)&amp;" ")-1),",","."),FIND("/",SUBSTITUTE(LEFT(TRIM(C553),FIND(" ",TRIM(C553)&amp;" ")-1),",","."))+1,9)),IF(ISNUMBER(SEARCH("yea",C553)),IFERROR(_xlfn.NUMBERVALUE(SUBSTITUTE(LEFT(TRIM(C553),FIND(" ",TRIM(C553)&amp;" ")-1),",","."),"."),LEFT(SUBSTITUTE(LEFT(TRIM(C553),FIND(" ",TRIM(C553)&amp;" ")-1),",","."),FIND("/",SUBSTITUTE(LEFT(TRIM(C553),FIND(" ",TRIM(C553)&amp;" ")-1),",","."))-1)/MID(SUBSTITUTE(LEFT(TRIM(C553),FIND(" ",TRIM(C553)&amp;" ")-1),",","."),FIND("/",SUBSTITUTE(LEFT(TRIM(C553),FIND(" ",TRIM(C553)&amp;" ")-1),",","."))+1,9))*12,NA()))),0),42)*'Aturan &amp; Tarif'!$B$4,2)</f>
        <v>2384.76</v>
      </c>
      <c r="K553" s="42" t="n">
        <f aca="false">'Aturan &amp; Tarif'!$B$5</f>
        <v>2050</v>
      </c>
      <c r="L553" s="42" t="n">
        <f aca="false">'Aturan &amp; Tarif'!$B$6</f>
        <v>350</v>
      </c>
      <c r="M553" s="35" t="n">
        <f aca="false">I553+J553+K553+L553</f>
        <v>9984.76</v>
      </c>
      <c r="N553" s="44" t="s">
        <v>2182</v>
      </c>
    </row>
    <row r="554" customFormat="false" ht="72" hidden="false" customHeight="true" outlineLevel="0" collapsed="false">
      <c r="A554" s="39"/>
      <c r="B554" s="40" t="s">
        <v>2183</v>
      </c>
      <c r="C554" s="41" t="s">
        <v>127</v>
      </c>
      <c r="D554" s="41" t="s">
        <v>108</v>
      </c>
      <c r="E554" s="42" t="n">
        <v>2800</v>
      </c>
      <c r="F554" s="42" t="n">
        <v>3100</v>
      </c>
      <c r="G554" s="42" t="n">
        <v>250</v>
      </c>
      <c r="H554" s="43" t="n">
        <v>1</v>
      </c>
      <c r="I554" s="34" t="n">
        <f aca="false">E554*H554+N(F554)+N(G554)</f>
        <v>6150</v>
      </c>
      <c r="J554" s="42" t="n">
        <f aca="false">ROUND(IFERROR(ROUND(IF(OR(ISNUMBER(SEARCH("week",C554)),ISNUMBER(SEARCH("minggu",C554))),IFERROR(_xlfn.NUMBERVALUE(SUBSTITUTE(LEFT(TRIM(C554),FIND(" ",TRIM(C554)&amp;" ")-1),",","."),"."),LEFT(SUBSTITUTE(LEFT(TRIM(C554),FIND(" ",TRIM(C554)&amp;" ")-1),",","."),FIND("/",SUBSTITUTE(LEFT(TRIM(C554),FIND(" ",TRIM(C554)&amp;" ")-1),",","."))-1)/MID(SUBSTITUTE(LEFT(TRIM(C554),FIND(" ",TRIM(C554)&amp;" ")-1),",","."),FIND("/",SUBSTITUTE(LEFT(TRIM(C554),FIND(" ",TRIM(C554)&amp;" ")-1),",","."))+1,9))*12/52,IF(ISNUMBER(SEARCH("month",C554)),IFERROR(_xlfn.NUMBERVALUE(SUBSTITUTE(LEFT(TRIM(C554),FIND(" ",TRIM(C554)&amp;" ")-1),",","."),"."),LEFT(SUBSTITUTE(LEFT(TRIM(C554),FIND(" ",TRIM(C554)&amp;" ")-1),",","."),FIND("/",SUBSTITUTE(LEFT(TRIM(C554),FIND(" ",TRIM(C554)&amp;" ")-1),",","."))-1)/MID(SUBSTITUTE(LEFT(TRIM(C554),FIND(" ",TRIM(C554)&amp;" ")-1),",","."),FIND("/",SUBSTITUTE(LEFT(TRIM(C554),FIND(" ",TRIM(C554)&amp;" ")-1),",","."))+1,9)),IF(ISNUMBER(SEARCH("yea",C554)),IFERROR(_xlfn.NUMBERVALUE(SUBSTITUTE(LEFT(TRIM(C554),FIND(" ",TRIM(C554)&amp;" ")-1),",","."),"."),LEFT(SUBSTITUTE(LEFT(TRIM(C554),FIND(" ",TRIM(C554)&amp;" ")-1),",","."),FIND("/",SUBSTITUTE(LEFT(TRIM(C554),FIND(" ",TRIM(C554)&amp;" ")-1),",","."))-1)/MID(SUBSTITUTE(LEFT(TRIM(C554),FIND(" ",TRIM(C554)&amp;" ")-1),",","."),FIND("/",SUBSTITUTE(LEFT(TRIM(C554),FIND(" ",TRIM(C554)&amp;" ")-1),",","."))+1,9))*12,NA()))),0),36)*'Aturan &amp; Tarif'!$B$4,2)</f>
        <v>2044.08</v>
      </c>
      <c r="K554" s="42" t="n">
        <f aca="false">'Aturan &amp; Tarif'!$B$5</f>
        <v>2050</v>
      </c>
      <c r="L554" s="42" t="n">
        <f aca="false">'Aturan &amp; Tarif'!$B$6</f>
        <v>350</v>
      </c>
      <c r="M554" s="35" t="n">
        <f aca="false">I554+J554+K554+L554</f>
        <v>10594.08</v>
      </c>
      <c r="N554" s="44" t="s">
        <v>2184</v>
      </c>
    </row>
    <row r="555" customFormat="false" ht="72" hidden="false" customHeight="true" outlineLevel="0" collapsed="false">
      <c r="A555" s="39"/>
      <c r="B555" s="40" t="s">
        <v>2185</v>
      </c>
      <c r="C555" s="41" t="s">
        <v>2177</v>
      </c>
      <c r="D555" s="41" t="s">
        <v>108</v>
      </c>
      <c r="E555" s="42" t="n">
        <v>3000</v>
      </c>
      <c r="F555" s="42" t="n">
        <v>1850</v>
      </c>
      <c r="G555" s="42" t="n">
        <v>300</v>
      </c>
      <c r="H555" s="43" t="n">
        <v>1</v>
      </c>
      <c r="I555" s="34" t="n">
        <f aca="false">E555*H555+N(F555)+N(G555)</f>
        <v>5150</v>
      </c>
      <c r="J555" s="42" t="n">
        <f aca="false">ROUND(IFERROR(ROUND(IF(OR(ISNUMBER(SEARCH("week",C555)),ISNUMBER(SEARCH("minggu",C555))),IFERROR(_xlfn.NUMBERVALUE(SUBSTITUTE(LEFT(TRIM(C555),FIND(" ",TRIM(C555)&amp;" ")-1),",","."),"."),LEFT(SUBSTITUTE(LEFT(TRIM(C555),FIND(" ",TRIM(C555)&amp;" ")-1),",","."),FIND("/",SUBSTITUTE(LEFT(TRIM(C555),FIND(" ",TRIM(C555)&amp;" ")-1),",","."))-1)/MID(SUBSTITUTE(LEFT(TRIM(C555),FIND(" ",TRIM(C555)&amp;" ")-1),",","."),FIND("/",SUBSTITUTE(LEFT(TRIM(C555),FIND(" ",TRIM(C555)&amp;" ")-1),",","."))+1,9))*12/52,IF(ISNUMBER(SEARCH("month",C555)),IFERROR(_xlfn.NUMBERVALUE(SUBSTITUTE(LEFT(TRIM(C555),FIND(" ",TRIM(C555)&amp;" ")-1),",","."),"."),LEFT(SUBSTITUTE(LEFT(TRIM(C555),FIND(" ",TRIM(C555)&amp;" ")-1),",","."),FIND("/",SUBSTITUTE(LEFT(TRIM(C555),FIND(" ",TRIM(C555)&amp;" ")-1),",","."))-1)/MID(SUBSTITUTE(LEFT(TRIM(C555),FIND(" ",TRIM(C555)&amp;" ")-1),",","."),FIND("/",SUBSTITUTE(LEFT(TRIM(C555),FIND(" ",TRIM(C555)&amp;" ")-1),",","."))+1,9)),IF(ISNUMBER(SEARCH("yea",C555)),IFERROR(_xlfn.NUMBERVALUE(SUBSTITUTE(LEFT(TRIM(C555),FIND(" ",TRIM(C555)&amp;" ")-1),",","."),"."),LEFT(SUBSTITUTE(LEFT(TRIM(C555),FIND(" ",TRIM(C555)&amp;" ")-1),",","."),FIND("/",SUBSTITUTE(LEFT(TRIM(C555),FIND(" ",TRIM(C555)&amp;" ")-1),",","."))-1)/MID(SUBSTITUTE(LEFT(TRIM(C555),FIND(" ",TRIM(C555)&amp;" ")-1),",","."),FIND("/",SUBSTITUTE(LEFT(TRIM(C555),FIND(" ",TRIM(C555)&amp;" ")-1),",","."))+1,9))*12,NA()))),0),24)*'Aturan &amp; Tarif'!$B$4,2)</f>
        <v>1533.06</v>
      </c>
      <c r="K555" s="42" t="n">
        <f aca="false">'Aturan &amp; Tarif'!$B$5</f>
        <v>2050</v>
      </c>
      <c r="L555" s="42" t="n">
        <f aca="false">'Aturan &amp; Tarif'!$B$6</f>
        <v>350</v>
      </c>
      <c r="M555" s="35" t="n">
        <f aca="false">I555+J555+K555+L555</f>
        <v>9083.06</v>
      </c>
      <c r="N555" s="44" t="s">
        <v>2186</v>
      </c>
    </row>
    <row r="556" customFormat="false" ht="72" hidden="false" customHeight="true" outlineLevel="0" collapsed="false">
      <c r="A556" s="39"/>
      <c r="B556" s="40" t="s">
        <v>2187</v>
      </c>
      <c r="C556" s="41" t="s">
        <v>2177</v>
      </c>
      <c r="D556" s="41" t="s">
        <v>108</v>
      </c>
      <c r="E556" s="42" t="n">
        <v>3000</v>
      </c>
      <c r="F556" s="42" t="n">
        <v>1850</v>
      </c>
      <c r="G556" s="42" t="n">
        <v>300</v>
      </c>
      <c r="H556" s="43" t="n">
        <v>1</v>
      </c>
      <c r="I556" s="34" t="n">
        <f aca="false">E556*H556+N(F556)+N(G556)</f>
        <v>5150</v>
      </c>
      <c r="J556" s="42" t="n">
        <f aca="false">ROUND(IFERROR(ROUND(IF(OR(ISNUMBER(SEARCH("week",C556)),ISNUMBER(SEARCH("minggu",C556))),IFERROR(_xlfn.NUMBERVALUE(SUBSTITUTE(LEFT(TRIM(C556),FIND(" ",TRIM(C556)&amp;" ")-1),",","."),"."),LEFT(SUBSTITUTE(LEFT(TRIM(C556),FIND(" ",TRIM(C556)&amp;" ")-1),",","."),FIND("/",SUBSTITUTE(LEFT(TRIM(C556),FIND(" ",TRIM(C556)&amp;" ")-1),",","."))-1)/MID(SUBSTITUTE(LEFT(TRIM(C556),FIND(" ",TRIM(C556)&amp;" ")-1),",","."),FIND("/",SUBSTITUTE(LEFT(TRIM(C556),FIND(" ",TRIM(C556)&amp;" ")-1),",","."))+1,9))*12/52,IF(ISNUMBER(SEARCH("month",C556)),IFERROR(_xlfn.NUMBERVALUE(SUBSTITUTE(LEFT(TRIM(C556),FIND(" ",TRIM(C556)&amp;" ")-1),",","."),"."),LEFT(SUBSTITUTE(LEFT(TRIM(C556),FIND(" ",TRIM(C556)&amp;" ")-1),",","."),FIND("/",SUBSTITUTE(LEFT(TRIM(C556),FIND(" ",TRIM(C556)&amp;" ")-1),",","."))-1)/MID(SUBSTITUTE(LEFT(TRIM(C556),FIND(" ",TRIM(C556)&amp;" ")-1),",","."),FIND("/",SUBSTITUTE(LEFT(TRIM(C556),FIND(" ",TRIM(C556)&amp;" ")-1),",","."))+1,9)),IF(ISNUMBER(SEARCH("yea",C556)),IFERROR(_xlfn.NUMBERVALUE(SUBSTITUTE(LEFT(TRIM(C556),FIND(" ",TRIM(C556)&amp;" ")-1),",","."),"."),LEFT(SUBSTITUTE(LEFT(TRIM(C556),FIND(" ",TRIM(C556)&amp;" ")-1),",","."),FIND("/",SUBSTITUTE(LEFT(TRIM(C556),FIND(" ",TRIM(C556)&amp;" ")-1),",","."))-1)/MID(SUBSTITUTE(LEFT(TRIM(C556),FIND(" ",TRIM(C556)&amp;" ")-1),",","."),FIND("/",SUBSTITUTE(LEFT(TRIM(C556),FIND(" ",TRIM(C556)&amp;" ")-1),",","."))+1,9))*12,NA()))),0),30)*'Aturan &amp; Tarif'!$B$4,2)</f>
        <v>1533.06</v>
      </c>
      <c r="K556" s="42" t="n">
        <f aca="false">'Aturan &amp; Tarif'!$B$5</f>
        <v>2050</v>
      </c>
      <c r="L556" s="42" t="n">
        <f aca="false">'Aturan &amp; Tarif'!$B$6</f>
        <v>350</v>
      </c>
      <c r="M556" s="35" t="n">
        <f aca="false">I556+J556+K556+L556</f>
        <v>9083.06</v>
      </c>
      <c r="N556" s="44" t="s">
        <v>2186</v>
      </c>
    </row>
    <row r="557" customFormat="false" ht="72" hidden="false" customHeight="true" outlineLevel="0" collapsed="false">
      <c r="A557" s="39"/>
      <c r="B557" s="40" t="s">
        <v>2188</v>
      </c>
      <c r="C557" s="41" t="s">
        <v>136</v>
      </c>
      <c r="D557" s="41" t="s">
        <v>108</v>
      </c>
      <c r="E557" s="42" t="n">
        <v>3000</v>
      </c>
      <c r="F557" s="42" t="n">
        <v>1800</v>
      </c>
      <c r="G557" s="42" t="n">
        <v>250</v>
      </c>
      <c r="H557" s="43" t="n">
        <v>1</v>
      </c>
      <c r="I557" s="34" t="n">
        <f aca="false">E557*H557+N(F557)+N(G557)</f>
        <v>5050</v>
      </c>
      <c r="J557" s="42" t="n">
        <f aca="false">ROUND(IFERROR(ROUND(IF(OR(ISNUMBER(SEARCH("week",C557)),ISNUMBER(SEARCH("minggu",C557))),IFERROR(_xlfn.NUMBERVALUE(SUBSTITUTE(LEFT(TRIM(C557),FIND(" ",TRIM(C557)&amp;" ")-1),",","."),"."),LEFT(SUBSTITUTE(LEFT(TRIM(C557),FIND(" ",TRIM(C557)&amp;" ")-1),",","."),FIND("/",SUBSTITUTE(LEFT(TRIM(C557),FIND(" ",TRIM(C557)&amp;" ")-1),",","."))-1)/MID(SUBSTITUTE(LEFT(TRIM(C557),FIND(" ",TRIM(C557)&amp;" ")-1),",","."),FIND("/",SUBSTITUTE(LEFT(TRIM(C557),FIND(" ",TRIM(C557)&amp;" ")-1),",","."))+1,9))*12/52,IF(ISNUMBER(SEARCH("month",C557)),IFERROR(_xlfn.NUMBERVALUE(SUBSTITUTE(LEFT(TRIM(C557),FIND(" ",TRIM(C557)&amp;" ")-1),",","."),"."),LEFT(SUBSTITUTE(LEFT(TRIM(C557),FIND(" ",TRIM(C557)&amp;" ")-1),",","."),FIND("/",SUBSTITUTE(LEFT(TRIM(C557),FIND(" ",TRIM(C557)&amp;" ")-1),",","."))-1)/MID(SUBSTITUTE(LEFT(TRIM(C557),FIND(" ",TRIM(C557)&amp;" ")-1),",","."),FIND("/",SUBSTITUTE(LEFT(TRIM(C557),FIND(" ",TRIM(C557)&amp;" ")-1),",","."))+1,9)),IF(ISNUMBER(SEARCH("yea",C557)),IFERROR(_xlfn.NUMBERVALUE(SUBSTITUTE(LEFT(TRIM(C557),FIND(" ",TRIM(C557)&amp;" ")-1),",","."),"."),LEFT(SUBSTITUTE(LEFT(TRIM(C557),FIND(" ",TRIM(C557)&amp;" ")-1),",","."),FIND("/",SUBSTITUTE(LEFT(TRIM(C557),FIND(" ",TRIM(C557)&amp;" ")-1),",","."))-1)/MID(SUBSTITUTE(LEFT(TRIM(C557),FIND(" ",TRIM(C557)&amp;" ")-1),",","."),FIND("/",SUBSTITUTE(LEFT(TRIM(C557),FIND(" ",TRIM(C557)&amp;" ")-1),",","."))+1,9))*12,NA()))),0),42)*'Aturan &amp; Tarif'!$B$4,2)</f>
        <v>2384.76</v>
      </c>
      <c r="K557" s="42" t="n">
        <f aca="false">'Aturan &amp; Tarif'!$B$5</f>
        <v>2050</v>
      </c>
      <c r="L557" s="42" t="n">
        <f aca="false">'Aturan &amp; Tarif'!$B$6</f>
        <v>350</v>
      </c>
      <c r="M557" s="35" t="n">
        <f aca="false">I557+J557+K557+L557</f>
        <v>9834.76</v>
      </c>
      <c r="N557" s="44" t="s">
        <v>2189</v>
      </c>
    </row>
    <row r="558" customFormat="false" ht="60" hidden="false" customHeight="true" outlineLevel="0" collapsed="false">
      <c r="A558" s="39"/>
      <c r="B558" s="40" t="s">
        <v>2190</v>
      </c>
      <c r="C558" s="41" t="s">
        <v>2191</v>
      </c>
      <c r="D558" s="41" t="s">
        <v>108</v>
      </c>
      <c r="E558" s="42" t="n">
        <v>2800</v>
      </c>
      <c r="F558" s="42" t="n">
        <v>1700</v>
      </c>
      <c r="G558" s="42" t="n">
        <v>300</v>
      </c>
      <c r="H558" s="43" t="n">
        <v>1</v>
      </c>
      <c r="I558" s="34" t="n">
        <f aca="false">E558*H558+N(F558)+N(G558)</f>
        <v>4800</v>
      </c>
      <c r="J558" s="42" t="n">
        <f aca="false">ROUND(IFERROR(ROUND(IF(OR(ISNUMBER(SEARCH("week",C558)),ISNUMBER(SEARCH("minggu",C558))),IFERROR(_xlfn.NUMBERVALUE(SUBSTITUTE(LEFT(TRIM(C558),FIND(" ",TRIM(C558)&amp;" ")-1),",","."),"."),LEFT(SUBSTITUTE(LEFT(TRIM(C558),FIND(" ",TRIM(C558)&amp;" ")-1),",","."),FIND("/",SUBSTITUTE(LEFT(TRIM(C558),FIND(" ",TRIM(C558)&amp;" ")-1),",","."))-1)/MID(SUBSTITUTE(LEFT(TRIM(C558),FIND(" ",TRIM(C558)&amp;" ")-1),",","."),FIND("/",SUBSTITUTE(LEFT(TRIM(C558),FIND(" ",TRIM(C558)&amp;" ")-1),",","."))+1,9))*12/52,IF(ISNUMBER(SEARCH("month",C558)),IFERROR(_xlfn.NUMBERVALUE(SUBSTITUTE(LEFT(TRIM(C558),FIND(" ",TRIM(C558)&amp;" ")-1),",","."),"."),LEFT(SUBSTITUTE(LEFT(TRIM(C558),FIND(" ",TRIM(C558)&amp;" ")-1),",","."),FIND("/",SUBSTITUTE(LEFT(TRIM(C558),FIND(" ",TRIM(C558)&amp;" ")-1),",","."))-1)/MID(SUBSTITUTE(LEFT(TRIM(C558),FIND(" ",TRIM(C558)&amp;" ")-1),",","."),FIND("/",SUBSTITUTE(LEFT(TRIM(C558),FIND(" ",TRIM(C558)&amp;" ")-1),",","."))+1,9)),IF(ISNUMBER(SEARCH("yea",C558)),IFERROR(_xlfn.NUMBERVALUE(SUBSTITUTE(LEFT(TRIM(C558),FIND(" ",TRIM(C558)&amp;" ")-1),",","."),"."),LEFT(SUBSTITUTE(LEFT(TRIM(C558),FIND(" ",TRIM(C558)&amp;" ")-1),",","."),FIND("/",SUBSTITUTE(LEFT(TRIM(C558),FIND(" ",TRIM(C558)&amp;" ")-1),",","."))-1)/MID(SUBSTITUTE(LEFT(TRIM(C558),FIND(" ",TRIM(C558)&amp;" ")-1),",","."),FIND("/",SUBSTITUTE(LEFT(TRIM(C558),FIND(" ",TRIM(C558)&amp;" ")-1),",","."))+1,9))*12,NA()))),0),18)*'Aturan &amp; Tarif'!$B$4,2)</f>
        <v>1022.04</v>
      </c>
      <c r="K558" s="42" t="n">
        <f aca="false">'Aturan &amp; Tarif'!$B$5</f>
        <v>2050</v>
      </c>
      <c r="L558" s="42" t="n">
        <f aca="false">'Aturan &amp; Tarif'!$B$6</f>
        <v>350</v>
      </c>
      <c r="M558" s="35" t="n">
        <f aca="false">I558+J558+K558+L558</f>
        <v>8222.04</v>
      </c>
      <c r="N558" s="44" t="s">
        <v>2192</v>
      </c>
    </row>
    <row r="559" customFormat="false" ht="48.75" hidden="false" customHeight="true" outlineLevel="0" collapsed="false">
      <c r="A559" s="39"/>
      <c r="B559" s="40" t="s">
        <v>2193</v>
      </c>
      <c r="C559" s="41" t="s">
        <v>2191</v>
      </c>
      <c r="D559" s="41" t="s">
        <v>108</v>
      </c>
      <c r="E559" s="42" t="n">
        <v>3000</v>
      </c>
      <c r="F559" s="42" t="n">
        <v>1700</v>
      </c>
      <c r="G559" s="42" t="n">
        <v>300</v>
      </c>
      <c r="H559" s="43" t="n">
        <v>1</v>
      </c>
      <c r="I559" s="34" t="n">
        <f aca="false">E559*H559+N(F559)+N(G559)</f>
        <v>5000</v>
      </c>
      <c r="J559" s="42" t="n">
        <f aca="false">ROUND(IFERROR(ROUND(IF(OR(ISNUMBER(SEARCH("week",C559)),ISNUMBER(SEARCH("minggu",C559))),IFERROR(_xlfn.NUMBERVALUE(SUBSTITUTE(LEFT(TRIM(C559),FIND(" ",TRIM(C559)&amp;" ")-1),",","."),"."),LEFT(SUBSTITUTE(LEFT(TRIM(C559),FIND(" ",TRIM(C559)&amp;" ")-1),",","."),FIND("/",SUBSTITUTE(LEFT(TRIM(C559),FIND(" ",TRIM(C559)&amp;" ")-1),",","."))-1)/MID(SUBSTITUTE(LEFT(TRIM(C559),FIND(" ",TRIM(C559)&amp;" ")-1),",","."),FIND("/",SUBSTITUTE(LEFT(TRIM(C559),FIND(" ",TRIM(C559)&amp;" ")-1),",","."))+1,9))*12/52,IF(ISNUMBER(SEARCH("month",C559)),IFERROR(_xlfn.NUMBERVALUE(SUBSTITUTE(LEFT(TRIM(C559),FIND(" ",TRIM(C559)&amp;" ")-1),",","."),"."),LEFT(SUBSTITUTE(LEFT(TRIM(C559),FIND(" ",TRIM(C559)&amp;" ")-1),",","."),FIND("/",SUBSTITUTE(LEFT(TRIM(C559),FIND(" ",TRIM(C559)&amp;" ")-1),",","."))-1)/MID(SUBSTITUTE(LEFT(TRIM(C559),FIND(" ",TRIM(C559)&amp;" ")-1),",","."),FIND("/",SUBSTITUTE(LEFT(TRIM(C559),FIND(" ",TRIM(C559)&amp;" ")-1),",","."))+1,9)),IF(ISNUMBER(SEARCH("yea",C559)),IFERROR(_xlfn.NUMBERVALUE(SUBSTITUTE(LEFT(TRIM(C559),FIND(" ",TRIM(C559)&amp;" ")-1),",","."),"."),LEFT(SUBSTITUTE(LEFT(TRIM(C559),FIND(" ",TRIM(C559)&amp;" ")-1),",","."),FIND("/",SUBSTITUTE(LEFT(TRIM(C559),FIND(" ",TRIM(C559)&amp;" ")-1),",","."))-1)/MID(SUBSTITUTE(LEFT(TRIM(C559),FIND(" ",TRIM(C559)&amp;" ")-1),",","."),FIND("/",SUBSTITUTE(LEFT(TRIM(C559),FIND(" ",TRIM(C559)&amp;" ")-1),",","."))+1,9))*12,NA()))),0),18)*'Aturan &amp; Tarif'!$B$4,2)</f>
        <v>1022.04</v>
      </c>
      <c r="K559" s="42" t="n">
        <f aca="false">'Aturan &amp; Tarif'!$B$5</f>
        <v>2050</v>
      </c>
      <c r="L559" s="42" t="n">
        <f aca="false">'Aturan &amp; Tarif'!$B$6</f>
        <v>350</v>
      </c>
      <c r="M559" s="35" t="n">
        <f aca="false">I559+J559+K559+L559</f>
        <v>8422.04</v>
      </c>
      <c r="N559" s="44" t="s">
        <v>2194</v>
      </c>
    </row>
    <row r="560" customFormat="false" ht="25.5" hidden="false" customHeight="true" outlineLevel="0" collapsed="false">
      <c r="A560" s="39"/>
      <c r="B560" s="40" t="s">
        <v>2195</v>
      </c>
      <c r="C560" s="41" t="s">
        <v>2196</v>
      </c>
      <c r="D560" s="41" t="s">
        <v>108</v>
      </c>
      <c r="E560" s="42" t="n">
        <v>1800</v>
      </c>
      <c r="F560" s="42" t="n">
        <v>400</v>
      </c>
      <c r="G560" s="42" t="n">
        <v>300</v>
      </c>
      <c r="H560" s="43" t="n">
        <v>1</v>
      </c>
      <c r="I560" s="34" t="n">
        <f aca="false">E560*H560+N(F560)+N(G560)</f>
        <v>2500</v>
      </c>
      <c r="J560" s="42" t="n">
        <f aca="false">ROUND(IFERROR(ROUND(IF(OR(ISNUMBER(SEARCH("week",C560)),ISNUMBER(SEARCH("minggu",C560))),IFERROR(_xlfn.NUMBERVALUE(SUBSTITUTE(LEFT(TRIM(C560),FIND(" ",TRIM(C560)&amp;" ")-1),",","."),"."),LEFT(SUBSTITUTE(LEFT(TRIM(C560),FIND(" ",TRIM(C560)&amp;" ")-1),",","."),FIND("/",SUBSTITUTE(LEFT(TRIM(C560),FIND(" ",TRIM(C560)&amp;" ")-1),",","."))-1)/MID(SUBSTITUTE(LEFT(TRIM(C560),FIND(" ",TRIM(C560)&amp;" ")-1),",","."),FIND("/",SUBSTITUTE(LEFT(TRIM(C560),FIND(" ",TRIM(C560)&amp;" ")-1),",","."))+1,9))*12/52,IF(ISNUMBER(SEARCH("month",C560)),IFERROR(_xlfn.NUMBERVALUE(SUBSTITUTE(LEFT(TRIM(C560),FIND(" ",TRIM(C560)&amp;" ")-1),",","."),"."),LEFT(SUBSTITUTE(LEFT(TRIM(C560),FIND(" ",TRIM(C560)&amp;" ")-1),",","."),FIND("/",SUBSTITUTE(LEFT(TRIM(C560),FIND(" ",TRIM(C560)&amp;" ")-1),",","."))-1)/MID(SUBSTITUTE(LEFT(TRIM(C560),FIND(" ",TRIM(C560)&amp;" ")-1),",","."),FIND("/",SUBSTITUTE(LEFT(TRIM(C560),FIND(" ",TRIM(C560)&amp;" ")-1),",","."))+1,9)),IF(ISNUMBER(SEARCH("yea",C560)),IFERROR(_xlfn.NUMBERVALUE(SUBSTITUTE(LEFT(TRIM(C560),FIND(" ",TRIM(C560)&amp;" ")-1),",","."),"."),LEFT(SUBSTITUTE(LEFT(TRIM(C560),FIND(" ",TRIM(C560)&amp;" ")-1),",","."),FIND("/",SUBSTITUTE(LEFT(TRIM(C560),FIND(" ",TRIM(C560)&amp;" ")-1),",","."))-1)/MID(SUBSTITUTE(LEFT(TRIM(C560),FIND(" ",TRIM(C560)&amp;" ")-1),",","."),FIND("/",SUBSTITUTE(LEFT(TRIM(C560),FIND(" ",TRIM(C560)&amp;" ")-1),",","."))+1,9))*12,NA()))),0),24)*'Aturan &amp; Tarif'!$B$4,2)</f>
        <v>1362.72</v>
      </c>
      <c r="K560" s="42" t="n">
        <f aca="false">'Aturan &amp; Tarif'!$B$5</f>
        <v>2050</v>
      </c>
      <c r="L560" s="42" t="n">
        <f aca="false">'Aturan &amp; Tarif'!$B$6</f>
        <v>350</v>
      </c>
      <c r="M560" s="35" t="n">
        <f aca="false">I560+J560+K560+L560</f>
        <v>6262.72</v>
      </c>
      <c r="N560" s="44" t="s">
        <v>2197</v>
      </c>
    </row>
    <row r="561" customFormat="false" ht="25.5" hidden="false" customHeight="true" outlineLevel="0" collapsed="false">
      <c r="A561" s="39"/>
      <c r="B561" s="40" t="s">
        <v>2198</v>
      </c>
      <c r="C561" s="41" t="s">
        <v>2177</v>
      </c>
      <c r="D561" s="41" t="s">
        <v>108</v>
      </c>
      <c r="E561" s="42" t="n">
        <v>1800</v>
      </c>
      <c r="F561" s="42" t="n">
        <v>450</v>
      </c>
      <c r="G561" s="42" t="n">
        <v>300</v>
      </c>
      <c r="H561" s="43" t="n">
        <v>1</v>
      </c>
      <c r="I561" s="34" t="n">
        <f aca="false">E561*H561+N(F561)+N(G561)</f>
        <v>2550</v>
      </c>
      <c r="J561" s="42" t="n">
        <f aca="false">ROUND(IFERROR(ROUND(IF(OR(ISNUMBER(SEARCH("week",C561)),ISNUMBER(SEARCH("minggu",C561))),IFERROR(_xlfn.NUMBERVALUE(SUBSTITUTE(LEFT(TRIM(C561),FIND(" ",TRIM(C561)&amp;" ")-1),",","."),"."),LEFT(SUBSTITUTE(LEFT(TRIM(C561),FIND(" ",TRIM(C561)&amp;" ")-1),",","."),FIND("/",SUBSTITUTE(LEFT(TRIM(C561),FIND(" ",TRIM(C561)&amp;" ")-1),",","."))-1)/MID(SUBSTITUTE(LEFT(TRIM(C561),FIND(" ",TRIM(C561)&amp;" ")-1),",","."),FIND("/",SUBSTITUTE(LEFT(TRIM(C561),FIND(" ",TRIM(C561)&amp;" ")-1),",","."))+1,9))*12/52,IF(ISNUMBER(SEARCH("month",C561)),IFERROR(_xlfn.NUMBERVALUE(SUBSTITUTE(LEFT(TRIM(C561),FIND(" ",TRIM(C561)&amp;" ")-1),",","."),"."),LEFT(SUBSTITUTE(LEFT(TRIM(C561),FIND(" ",TRIM(C561)&amp;" ")-1),",","."),FIND("/",SUBSTITUTE(LEFT(TRIM(C561),FIND(" ",TRIM(C561)&amp;" ")-1),",","."))-1)/MID(SUBSTITUTE(LEFT(TRIM(C561),FIND(" ",TRIM(C561)&amp;" ")-1),",","."),FIND("/",SUBSTITUTE(LEFT(TRIM(C561),FIND(" ",TRIM(C561)&amp;" ")-1),",","."))+1,9)),IF(ISNUMBER(SEARCH("yea",C561)),IFERROR(_xlfn.NUMBERVALUE(SUBSTITUTE(LEFT(TRIM(C561),FIND(" ",TRIM(C561)&amp;" ")-1),",","."),"."),LEFT(SUBSTITUTE(LEFT(TRIM(C561),FIND(" ",TRIM(C561)&amp;" ")-1),",","."),FIND("/",SUBSTITUTE(LEFT(TRIM(C561),FIND(" ",TRIM(C561)&amp;" ")-1),",","."))-1)/MID(SUBSTITUTE(LEFT(TRIM(C561),FIND(" ",TRIM(C561)&amp;" ")-1),",","."),FIND("/",SUBSTITUTE(LEFT(TRIM(C561),FIND(" ",TRIM(C561)&amp;" ")-1),",","."))+1,9))*12,NA()))),0),27)*'Aturan &amp; Tarif'!$B$4,2)</f>
        <v>1533.06</v>
      </c>
      <c r="K561" s="42" t="n">
        <f aca="false">'Aturan &amp; Tarif'!$B$5</f>
        <v>2050</v>
      </c>
      <c r="L561" s="42" t="n">
        <f aca="false">'Aturan &amp; Tarif'!$B$6</f>
        <v>350</v>
      </c>
      <c r="M561" s="35" t="n">
        <f aca="false">I561+J561+K561+L561</f>
        <v>6483.06</v>
      </c>
      <c r="N561" s="44" t="s">
        <v>2199</v>
      </c>
    </row>
    <row r="562" customFormat="false" ht="72" hidden="false" customHeight="true" outlineLevel="0" collapsed="false">
      <c r="A562" s="39" t="s">
        <v>2200</v>
      </c>
      <c r="B562" s="40" t="s">
        <v>2201</v>
      </c>
      <c r="C562" s="41" t="s">
        <v>107</v>
      </c>
      <c r="D562" s="41" t="s">
        <v>108</v>
      </c>
      <c r="E562" s="42" t="n">
        <v>2550</v>
      </c>
      <c r="F562" s="42" t="n">
        <v>1800</v>
      </c>
      <c r="G562" s="42" t="n">
        <v>200</v>
      </c>
      <c r="H562" s="43" t="n">
        <v>1</v>
      </c>
      <c r="I562" s="34" t="n">
        <f aca="false">E562*H562+N(F562)*H562+N(G562)</f>
        <v>4550</v>
      </c>
      <c r="J562" s="42" t="n">
        <f aca="false">ROUND(IFERROR(ROUND(IF(OR(ISNUMBER(SEARCH("week",C562)),ISNUMBER(SEARCH("minggu",C562))),IFERROR(_xlfn.NUMBERVALUE(SUBSTITUTE(LEFT(TRIM(C562),FIND(" ",TRIM(C562)&amp;" ")-1),",","."),"."),LEFT(SUBSTITUTE(LEFT(TRIM(C562),FIND(" ",TRIM(C562)&amp;" ")-1),",","."),FIND("/",SUBSTITUTE(LEFT(TRIM(C562),FIND(" ",TRIM(C562)&amp;" ")-1),",","."))-1)/MID(SUBSTITUTE(LEFT(TRIM(C562),FIND(" ",TRIM(C562)&amp;" ")-1),",","."),FIND("/",SUBSTITUTE(LEFT(TRIM(C562),FIND(" ",TRIM(C562)&amp;" ")-1),",","."))+1,9))*12/52,IF(ISNUMBER(SEARCH("month",C562)),IFERROR(_xlfn.NUMBERVALUE(SUBSTITUTE(LEFT(TRIM(C562),FIND(" ",TRIM(C562)&amp;" ")-1),",","."),"."),LEFT(SUBSTITUTE(LEFT(TRIM(C562),FIND(" ",TRIM(C562)&amp;" ")-1),",","."),FIND("/",SUBSTITUTE(LEFT(TRIM(C562),FIND(" ",TRIM(C562)&amp;" ")-1),",","."))-1)/MID(SUBSTITUTE(LEFT(TRIM(C562),FIND(" ",TRIM(C562)&amp;" ")-1),",","."),FIND("/",SUBSTITUTE(LEFT(TRIM(C562),FIND(" ",TRIM(C562)&amp;" ")-1),",","."))+1,9)),IF(ISNUMBER(SEARCH("yea",C562)),IFERROR(_xlfn.NUMBERVALUE(SUBSTITUTE(LEFT(TRIM(C562),FIND(" ",TRIM(C562)&amp;" ")-1),",","."),"."),LEFT(SUBSTITUTE(LEFT(TRIM(C562),FIND(" ",TRIM(C562)&amp;" ")-1),",","."),FIND("/",SUBSTITUTE(LEFT(TRIM(C562),FIND(" ",TRIM(C562)&amp;" ")-1),",","."))-1)/MID(SUBSTITUTE(LEFT(TRIM(C562),FIND(" ",TRIM(C562)&amp;" ")-1),",","."),FIND("/",SUBSTITUTE(LEFT(TRIM(C562),FIND(" ",TRIM(C562)&amp;" ")-1),",","."))+1,9))*12,NA()))),0),24)*'Aturan &amp; Tarif'!$B$4,2)</f>
        <v>1362.72</v>
      </c>
      <c r="K562" s="42" t="n">
        <f aca="false">'Aturan &amp; Tarif'!$B$5</f>
        <v>2050</v>
      </c>
      <c r="L562" s="42" t="n">
        <f aca="false">'Aturan &amp; Tarif'!$B$6</f>
        <v>350</v>
      </c>
      <c r="M562" s="35" t="n">
        <f aca="false">I562+J562+K562+L562</f>
        <v>8312.72</v>
      </c>
      <c r="N562" s="44" t="s">
        <v>2202</v>
      </c>
    </row>
    <row r="563" customFormat="false" ht="37.5" hidden="false" customHeight="true" outlineLevel="0" collapsed="false">
      <c r="A563" s="39"/>
      <c r="B563" s="40" t="s">
        <v>2203</v>
      </c>
      <c r="C563" s="41" t="s">
        <v>107</v>
      </c>
      <c r="D563" s="41" t="s">
        <v>108</v>
      </c>
      <c r="E563" s="42" t="n">
        <v>2550</v>
      </c>
      <c r="F563" s="42" t="n">
        <v>1800</v>
      </c>
      <c r="G563" s="42" t="n">
        <v>200</v>
      </c>
      <c r="H563" s="43" t="n">
        <v>1</v>
      </c>
      <c r="I563" s="34" t="n">
        <f aca="false">E563*H563+N(F563)*H563+N(G563)</f>
        <v>4550</v>
      </c>
      <c r="J563" s="42" t="n">
        <f aca="false">ROUND(IFERROR(ROUND(IF(OR(ISNUMBER(SEARCH("week",C563)),ISNUMBER(SEARCH("minggu",C563))),IFERROR(_xlfn.NUMBERVALUE(SUBSTITUTE(LEFT(TRIM(C563),FIND(" ",TRIM(C563)&amp;" ")-1),",","."),"."),LEFT(SUBSTITUTE(LEFT(TRIM(C563),FIND(" ",TRIM(C563)&amp;" ")-1),",","."),FIND("/",SUBSTITUTE(LEFT(TRIM(C563),FIND(" ",TRIM(C563)&amp;" ")-1),",","."))-1)/MID(SUBSTITUTE(LEFT(TRIM(C563),FIND(" ",TRIM(C563)&amp;" ")-1),",","."),FIND("/",SUBSTITUTE(LEFT(TRIM(C563),FIND(" ",TRIM(C563)&amp;" ")-1),",","."))+1,9))*12/52,IF(ISNUMBER(SEARCH("month",C563)),IFERROR(_xlfn.NUMBERVALUE(SUBSTITUTE(LEFT(TRIM(C563),FIND(" ",TRIM(C563)&amp;" ")-1),",","."),"."),LEFT(SUBSTITUTE(LEFT(TRIM(C563),FIND(" ",TRIM(C563)&amp;" ")-1),",","."),FIND("/",SUBSTITUTE(LEFT(TRIM(C563),FIND(" ",TRIM(C563)&amp;" ")-1),",","."))-1)/MID(SUBSTITUTE(LEFT(TRIM(C563),FIND(" ",TRIM(C563)&amp;" ")-1),",","."),FIND("/",SUBSTITUTE(LEFT(TRIM(C563),FIND(" ",TRIM(C563)&amp;" ")-1),",","."))+1,9)),IF(ISNUMBER(SEARCH("yea",C563)),IFERROR(_xlfn.NUMBERVALUE(SUBSTITUTE(LEFT(TRIM(C563),FIND(" ",TRIM(C563)&amp;" ")-1),",","."),"."),LEFT(SUBSTITUTE(LEFT(TRIM(C563),FIND(" ",TRIM(C563)&amp;" ")-1),",","."),FIND("/",SUBSTITUTE(LEFT(TRIM(C563),FIND(" ",TRIM(C563)&amp;" ")-1),",","."))-1)/MID(SUBSTITUTE(LEFT(TRIM(C563),FIND(" ",TRIM(C563)&amp;" ")-1),",","."),FIND("/",SUBSTITUTE(LEFT(TRIM(C563),FIND(" ",TRIM(C563)&amp;" ")-1),",","."))+1,9))*12,NA()))),0),24)*'Aturan &amp; Tarif'!$B$4,2)</f>
        <v>1362.72</v>
      </c>
      <c r="K563" s="42" t="n">
        <f aca="false">'Aturan &amp; Tarif'!$B$5</f>
        <v>2050</v>
      </c>
      <c r="L563" s="42" t="n">
        <f aca="false">'Aturan &amp; Tarif'!$B$6</f>
        <v>350</v>
      </c>
      <c r="M563" s="35" t="n">
        <f aca="false">I563+J563+K563+L563</f>
        <v>8312.72</v>
      </c>
      <c r="N563" s="44" t="s">
        <v>2204</v>
      </c>
    </row>
    <row r="564" customFormat="false" ht="37.5" hidden="false" customHeight="true" outlineLevel="0" collapsed="false">
      <c r="A564" s="39"/>
      <c r="B564" s="40" t="s">
        <v>2205</v>
      </c>
      <c r="C564" s="41" t="s">
        <v>107</v>
      </c>
      <c r="D564" s="41" t="s">
        <v>108</v>
      </c>
      <c r="E564" s="42" t="n">
        <v>2550</v>
      </c>
      <c r="F564" s="42" t="n">
        <v>1800</v>
      </c>
      <c r="G564" s="42" t="n">
        <v>200</v>
      </c>
      <c r="H564" s="43" t="n">
        <v>1</v>
      </c>
      <c r="I564" s="34" t="n">
        <f aca="false">E564*H564+N(F564)*H564+N(G564)</f>
        <v>4550</v>
      </c>
      <c r="J564" s="42" t="n">
        <f aca="false">ROUND(IFERROR(ROUND(IF(OR(ISNUMBER(SEARCH("week",C564)),ISNUMBER(SEARCH("minggu",C564))),IFERROR(_xlfn.NUMBERVALUE(SUBSTITUTE(LEFT(TRIM(C564),FIND(" ",TRIM(C564)&amp;" ")-1),",","."),"."),LEFT(SUBSTITUTE(LEFT(TRIM(C564),FIND(" ",TRIM(C564)&amp;" ")-1),",","."),FIND("/",SUBSTITUTE(LEFT(TRIM(C564),FIND(" ",TRIM(C564)&amp;" ")-1),",","."))-1)/MID(SUBSTITUTE(LEFT(TRIM(C564),FIND(" ",TRIM(C564)&amp;" ")-1),",","."),FIND("/",SUBSTITUTE(LEFT(TRIM(C564),FIND(" ",TRIM(C564)&amp;" ")-1),",","."))+1,9))*12/52,IF(ISNUMBER(SEARCH("month",C564)),IFERROR(_xlfn.NUMBERVALUE(SUBSTITUTE(LEFT(TRIM(C564),FIND(" ",TRIM(C564)&amp;" ")-1),",","."),"."),LEFT(SUBSTITUTE(LEFT(TRIM(C564),FIND(" ",TRIM(C564)&amp;" ")-1),",","."),FIND("/",SUBSTITUTE(LEFT(TRIM(C564),FIND(" ",TRIM(C564)&amp;" ")-1),",","."))-1)/MID(SUBSTITUTE(LEFT(TRIM(C564),FIND(" ",TRIM(C564)&amp;" ")-1),",","."),FIND("/",SUBSTITUTE(LEFT(TRIM(C564),FIND(" ",TRIM(C564)&amp;" ")-1),",","."))+1,9)),IF(ISNUMBER(SEARCH("yea",C564)),IFERROR(_xlfn.NUMBERVALUE(SUBSTITUTE(LEFT(TRIM(C564),FIND(" ",TRIM(C564)&amp;" ")-1),",","."),"."),LEFT(SUBSTITUTE(LEFT(TRIM(C564),FIND(" ",TRIM(C564)&amp;" ")-1),",","."),FIND("/",SUBSTITUTE(LEFT(TRIM(C564),FIND(" ",TRIM(C564)&amp;" ")-1),",","."))-1)/MID(SUBSTITUTE(LEFT(TRIM(C564),FIND(" ",TRIM(C564)&amp;" ")-1),",","."),FIND("/",SUBSTITUTE(LEFT(TRIM(C564),FIND(" ",TRIM(C564)&amp;" ")-1),",","."))+1,9))*12,NA()))),0),24)*'Aturan &amp; Tarif'!$B$4,2)</f>
        <v>1362.72</v>
      </c>
      <c r="K564" s="42" t="n">
        <f aca="false">'Aturan &amp; Tarif'!$B$5</f>
        <v>2050</v>
      </c>
      <c r="L564" s="42" t="n">
        <f aca="false">'Aturan &amp; Tarif'!$B$6</f>
        <v>350</v>
      </c>
      <c r="M564" s="35" t="n">
        <f aca="false">I564+J564+K564+L564</f>
        <v>8312.72</v>
      </c>
      <c r="N564" s="44" t="s">
        <v>2204</v>
      </c>
    </row>
    <row r="565" customFormat="false" ht="14.25" hidden="false" customHeight="true" outlineLevel="0" collapsed="false">
      <c r="A565" s="39"/>
      <c r="B565" s="40" t="s">
        <v>1596</v>
      </c>
      <c r="C565" s="41" t="s">
        <v>107</v>
      </c>
      <c r="D565" s="41" t="s">
        <v>108</v>
      </c>
      <c r="E565" s="42" t="n">
        <v>2000</v>
      </c>
      <c r="F565" s="42" t="n">
        <v>50</v>
      </c>
      <c r="G565" s="42" t="n">
        <v>200</v>
      </c>
      <c r="H565" s="43" t="n">
        <v>1</v>
      </c>
      <c r="I565" s="34" t="n">
        <f aca="false">E565*H565+N(F565)*H565+N(G565)</f>
        <v>2250</v>
      </c>
      <c r="J565" s="42" t="n">
        <f aca="false">ROUND(IFERROR(ROUND(IF(OR(ISNUMBER(SEARCH("week",C565)),ISNUMBER(SEARCH("minggu",C565))),IFERROR(_xlfn.NUMBERVALUE(SUBSTITUTE(LEFT(TRIM(C565),FIND(" ",TRIM(C565)&amp;" ")-1),",","."),"."),LEFT(SUBSTITUTE(LEFT(TRIM(C565),FIND(" ",TRIM(C565)&amp;" ")-1),",","."),FIND("/",SUBSTITUTE(LEFT(TRIM(C565),FIND(" ",TRIM(C565)&amp;" ")-1),",","."))-1)/MID(SUBSTITUTE(LEFT(TRIM(C565),FIND(" ",TRIM(C565)&amp;" ")-1),",","."),FIND("/",SUBSTITUTE(LEFT(TRIM(C565),FIND(" ",TRIM(C565)&amp;" ")-1),",","."))+1,9))*12/52,IF(ISNUMBER(SEARCH("month",C565)),IFERROR(_xlfn.NUMBERVALUE(SUBSTITUTE(LEFT(TRIM(C565),FIND(" ",TRIM(C565)&amp;" ")-1),",","."),"."),LEFT(SUBSTITUTE(LEFT(TRIM(C565),FIND(" ",TRIM(C565)&amp;" ")-1),",","."),FIND("/",SUBSTITUTE(LEFT(TRIM(C565),FIND(" ",TRIM(C565)&amp;" ")-1),",","."))-1)/MID(SUBSTITUTE(LEFT(TRIM(C565),FIND(" ",TRIM(C565)&amp;" ")-1),",","."),FIND("/",SUBSTITUTE(LEFT(TRIM(C565),FIND(" ",TRIM(C565)&amp;" ")-1),",","."))+1,9)),IF(ISNUMBER(SEARCH("yea",C565)),IFERROR(_xlfn.NUMBERVALUE(SUBSTITUTE(LEFT(TRIM(C565),FIND(" ",TRIM(C565)&amp;" ")-1),",","."),"."),LEFT(SUBSTITUTE(LEFT(TRIM(C565),FIND(" ",TRIM(C565)&amp;" ")-1),",","."),FIND("/",SUBSTITUTE(LEFT(TRIM(C565),FIND(" ",TRIM(C565)&amp;" ")-1),",","."))-1)/MID(SUBSTITUTE(LEFT(TRIM(C565),FIND(" ",TRIM(C565)&amp;" ")-1),",","."),FIND("/",SUBSTITUTE(LEFT(TRIM(C565),FIND(" ",TRIM(C565)&amp;" ")-1),",","."))+1,9))*12,NA()))),0),24)*'Aturan &amp; Tarif'!$B$4,2)</f>
        <v>1362.72</v>
      </c>
      <c r="K565" s="42" t="n">
        <f aca="false">'Aturan &amp; Tarif'!$B$5</f>
        <v>2050</v>
      </c>
      <c r="L565" s="42" t="n">
        <f aca="false">'Aturan &amp; Tarif'!$B$6</f>
        <v>350</v>
      </c>
      <c r="M565" s="35" t="n">
        <f aca="false">I565+J565+K565+L565</f>
        <v>6012.72</v>
      </c>
      <c r="N565" s="45" t="s">
        <v>2206</v>
      </c>
    </row>
    <row r="566" customFormat="false" ht="25.5" hidden="false" customHeight="true" outlineLevel="0" collapsed="false">
      <c r="A566" s="39"/>
      <c r="B566" s="40" t="s">
        <v>1814</v>
      </c>
      <c r="C566" s="41" t="s">
        <v>136</v>
      </c>
      <c r="D566" s="41" t="s">
        <v>108</v>
      </c>
      <c r="E566" s="42" t="n">
        <v>2000</v>
      </c>
      <c r="F566" s="42" t="n">
        <v>50</v>
      </c>
      <c r="G566" s="42" t="n">
        <v>200</v>
      </c>
      <c r="H566" s="43" t="n">
        <v>1</v>
      </c>
      <c r="I566" s="34" t="n">
        <f aca="false">E566*H566+N(F566)*H566+N(G566)</f>
        <v>2250</v>
      </c>
      <c r="J566" s="42" t="n">
        <f aca="false">ROUND(IFERROR(ROUND(IF(OR(ISNUMBER(SEARCH("week",C566)),ISNUMBER(SEARCH("minggu",C566))),IFERROR(_xlfn.NUMBERVALUE(SUBSTITUTE(LEFT(TRIM(C566),FIND(" ",TRIM(C566)&amp;" ")-1),",","."),"."),LEFT(SUBSTITUTE(LEFT(TRIM(C566),FIND(" ",TRIM(C566)&amp;" ")-1),",","."),FIND("/",SUBSTITUTE(LEFT(TRIM(C566),FIND(" ",TRIM(C566)&amp;" ")-1),",","."))-1)/MID(SUBSTITUTE(LEFT(TRIM(C566),FIND(" ",TRIM(C566)&amp;" ")-1),",","."),FIND("/",SUBSTITUTE(LEFT(TRIM(C566),FIND(" ",TRIM(C566)&amp;" ")-1),",","."))+1,9))*12/52,IF(ISNUMBER(SEARCH("month",C566)),IFERROR(_xlfn.NUMBERVALUE(SUBSTITUTE(LEFT(TRIM(C566),FIND(" ",TRIM(C566)&amp;" ")-1),",","."),"."),LEFT(SUBSTITUTE(LEFT(TRIM(C566),FIND(" ",TRIM(C566)&amp;" ")-1),",","."),FIND("/",SUBSTITUTE(LEFT(TRIM(C566),FIND(" ",TRIM(C566)&amp;" ")-1),",","."))-1)/MID(SUBSTITUTE(LEFT(TRIM(C566),FIND(" ",TRIM(C566)&amp;" ")-1),",","."),FIND("/",SUBSTITUTE(LEFT(TRIM(C566),FIND(" ",TRIM(C566)&amp;" ")-1),",","."))+1,9)),IF(ISNUMBER(SEARCH("yea",C566)),IFERROR(_xlfn.NUMBERVALUE(SUBSTITUTE(LEFT(TRIM(C566),FIND(" ",TRIM(C566)&amp;" ")-1),",","."),"."),LEFT(SUBSTITUTE(LEFT(TRIM(C566),FIND(" ",TRIM(C566)&amp;" ")-1),",","."),FIND("/",SUBSTITUTE(LEFT(TRIM(C566),FIND(" ",TRIM(C566)&amp;" ")-1),",","."))-1)/MID(SUBSTITUTE(LEFT(TRIM(C566),FIND(" ",TRIM(C566)&amp;" ")-1),",","."),FIND("/",SUBSTITUTE(LEFT(TRIM(C566),FIND(" ",TRIM(C566)&amp;" ")-1),",","."))+1,9))*12,NA()))),0),42)*'Aturan &amp; Tarif'!$B$4,2)</f>
        <v>2384.76</v>
      </c>
      <c r="K566" s="42" t="n">
        <f aca="false">'Aturan &amp; Tarif'!$B$5</f>
        <v>2050</v>
      </c>
      <c r="L566" s="42" t="n">
        <f aca="false">'Aturan &amp; Tarif'!$B$6</f>
        <v>350</v>
      </c>
      <c r="M566" s="35" t="n">
        <f aca="false">I566+J566+K566+L566</f>
        <v>7034.76</v>
      </c>
      <c r="N566" s="45" t="s">
        <v>2206</v>
      </c>
    </row>
    <row r="567" customFormat="false" ht="14.25" hidden="false" customHeight="true" outlineLevel="0" collapsed="false">
      <c r="A567" s="29" t="s">
        <v>2207</v>
      </c>
      <c r="B567" s="30" t="s">
        <v>674</v>
      </c>
      <c r="C567" s="31" t="s">
        <v>130</v>
      </c>
      <c r="D567" s="31" t="s">
        <v>108</v>
      </c>
      <c r="E567" s="32" t="n">
        <v>2000</v>
      </c>
      <c r="F567" s="32" t="n">
        <v>1000</v>
      </c>
      <c r="G567" s="32" t="n">
        <v>500</v>
      </c>
      <c r="H567" s="33" t="n">
        <v>2</v>
      </c>
      <c r="I567" s="34" t="n">
        <f aca="false">E567*H567+N(F567)+N(G567)</f>
        <v>5500</v>
      </c>
      <c r="J567" s="32" t="n">
        <f aca="false">ROUND(IFERROR(ROUND(IF(OR(ISNUMBER(SEARCH("week",C567)),ISNUMBER(SEARCH("minggu",C567))),IFERROR(_xlfn.NUMBERVALUE(SUBSTITUTE(LEFT(TRIM(C567),FIND(" ",TRIM(C567)&amp;" ")-1),",","."),"."),LEFT(SUBSTITUTE(LEFT(TRIM(C567),FIND(" ",TRIM(C567)&amp;" ")-1),",","."),FIND("/",SUBSTITUTE(LEFT(TRIM(C567),FIND(" ",TRIM(C567)&amp;" ")-1),",","."))-1)/MID(SUBSTITUTE(LEFT(TRIM(C567),FIND(" ",TRIM(C567)&amp;" ")-1),",","."),FIND("/",SUBSTITUTE(LEFT(TRIM(C567),FIND(" ",TRIM(C567)&amp;" ")-1),",","."))+1,9))*12/52,IF(ISNUMBER(SEARCH("month",C567)),IFERROR(_xlfn.NUMBERVALUE(SUBSTITUTE(LEFT(TRIM(C567),FIND(" ",TRIM(C567)&amp;" ")-1),",","."),"."),LEFT(SUBSTITUTE(LEFT(TRIM(C567),FIND(" ",TRIM(C567)&amp;" ")-1),",","."),FIND("/",SUBSTITUTE(LEFT(TRIM(C567),FIND(" ",TRIM(C567)&amp;" ")-1),",","."))-1)/MID(SUBSTITUTE(LEFT(TRIM(C567),FIND(" ",TRIM(C567)&amp;" ")-1),",","."),FIND("/",SUBSTITUTE(LEFT(TRIM(C567),FIND(" ",TRIM(C567)&amp;" ")-1),",","."))+1,9)),IF(ISNUMBER(SEARCH("yea",C567)),IFERROR(_xlfn.NUMBERVALUE(SUBSTITUTE(LEFT(TRIM(C567),FIND(" ",TRIM(C567)&amp;" ")-1),",","."),"."),LEFT(SUBSTITUTE(LEFT(TRIM(C567),FIND(" ",TRIM(C567)&amp;" ")-1),",","."),FIND("/",SUBSTITUTE(LEFT(TRIM(C567),FIND(" ",TRIM(C567)&amp;" ")-1),",","."))-1)/MID(SUBSTITUTE(LEFT(TRIM(C567),FIND(" ",TRIM(C567)&amp;" ")-1),",","."),FIND("/",SUBSTITUTE(LEFT(TRIM(C567),FIND(" ",TRIM(C567)&amp;" ")-1),",","."))+1,9))*12,NA()))),0),12)*'Aturan &amp; Tarif'!$B$4,2)</f>
        <v>681.36</v>
      </c>
      <c r="K567" s="32" t="n">
        <f aca="false">'Aturan &amp; Tarif'!$B$5</f>
        <v>2050</v>
      </c>
      <c r="L567" s="32" t="n">
        <f aca="false">'Aturan &amp; Tarif'!$B$6</f>
        <v>350</v>
      </c>
      <c r="M567" s="35" t="n">
        <f aca="false">I567+J567+K567+L567</f>
        <v>8581.36</v>
      </c>
      <c r="N567" s="36" t="s">
        <v>2208</v>
      </c>
    </row>
    <row r="568" customFormat="false" ht="25.5" hidden="false" customHeight="true" outlineLevel="0" collapsed="false">
      <c r="A568" s="29"/>
      <c r="B568" s="30" t="s">
        <v>2209</v>
      </c>
      <c r="C568" s="31" t="s">
        <v>107</v>
      </c>
      <c r="D568" s="31" t="s">
        <v>108</v>
      </c>
      <c r="E568" s="32" t="n">
        <v>2000</v>
      </c>
      <c r="F568" s="32" t="n">
        <v>1000</v>
      </c>
      <c r="G568" s="32" t="n">
        <v>500</v>
      </c>
      <c r="H568" s="33" t="n">
        <v>2</v>
      </c>
      <c r="I568" s="34" t="n">
        <f aca="false">E568*H568+N(F568)+N(G568)</f>
        <v>5500</v>
      </c>
      <c r="J568" s="32" t="n">
        <f aca="false">ROUND(IFERROR(ROUND(IF(OR(ISNUMBER(SEARCH("week",C568)),ISNUMBER(SEARCH("minggu",C568))),IFERROR(_xlfn.NUMBERVALUE(SUBSTITUTE(LEFT(TRIM(C568),FIND(" ",TRIM(C568)&amp;" ")-1),",","."),"."),LEFT(SUBSTITUTE(LEFT(TRIM(C568),FIND(" ",TRIM(C568)&amp;" ")-1),",","."),FIND("/",SUBSTITUTE(LEFT(TRIM(C568),FIND(" ",TRIM(C568)&amp;" ")-1),",","."))-1)/MID(SUBSTITUTE(LEFT(TRIM(C568),FIND(" ",TRIM(C568)&amp;" ")-1),",","."),FIND("/",SUBSTITUTE(LEFT(TRIM(C568),FIND(" ",TRIM(C568)&amp;" ")-1),",","."))+1,9))*12/52,IF(ISNUMBER(SEARCH("month",C568)),IFERROR(_xlfn.NUMBERVALUE(SUBSTITUTE(LEFT(TRIM(C568),FIND(" ",TRIM(C568)&amp;" ")-1),",","."),"."),LEFT(SUBSTITUTE(LEFT(TRIM(C568),FIND(" ",TRIM(C568)&amp;" ")-1),",","."),FIND("/",SUBSTITUTE(LEFT(TRIM(C568),FIND(" ",TRIM(C568)&amp;" ")-1),",","."))-1)/MID(SUBSTITUTE(LEFT(TRIM(C568),FIND(" ",TRIM(C568)&amp;" ")-1),",","."),FIND("/",SUBSTITUTE(LEFT(TRIM(C568),FIND(" ",TRIM(C568)&amp;" ")-1),",","."))+1,9)),IF(ISNUMBER(SEARCH("yea",C568)),IFERROR(_xlfn.NUMBERVALUE(SUBSTITUTE(LEFT(TRIM(C568),FIND(" ",TRIM(C568)&amp;" ")-1),",","."),"."),LEFT(SUBSTITUTE(LEFT(TRIM(C568),FIND(" ",TRIM(C568)&amp;" ")-1),",","."),FIND("/",SUBSTITUTE(LEFT(TRIM(C568),FIND(" ",TRIM(C568)&amp;" ")-1),",","."))-1)/MID(SUBSTITUTE(LEFT(TRIM(C568),FIND(" ",TRIM(C568)&amp;" ")-1),",","."),FIND("/",SUBSTITUTE(LEFT(TRIM(C568),FIND(" ",TRIM(C568)&amp;" ")-1),",","."))+1,9))*12,NA()))),0),24)*'Aturan &amp; Tarif'!$B$4,2)</f>
        <v>1362.72</v>
      </c>
      <c r="K568" s="32" t="n">
        <f aca="false">'Aturan &amp; Tarif'!$B$5</f>
        <v>2050</v>
      </c>
      <c r="L568" s="32" t="n">
        <f aca="false">'Aturan &amp; Tarif'!$B$6</f>
        <v>350</v>
      </c>
      <c r="M568" s="35" t="n">
        <f aca="false">I568+J568+K568+L568</f>
        <v>9262.72</v>
      </c>
      <c r="N568" s="36" t="s">
        <v>2210</v>
      </c>
    </row>
    <row r="569" customFormat="false" ht="25.5" hidden="false" customHeight="true" outlineLevel="0" collapsed="false">
      <c r="A569" s="29"/>
      <c r="B569" s="30" t="s">
        <v>2211</v>
      </c>
      <c r="C569" s="31" t="s">
        <v>107</v>
      </c>
      <c r="D569" s="31" t="s">
        <v>108</v>
      </c>
      <c r="E569" s="32" t="n">
        <v>2000</v>
      </c>
      <c r="F569" s="32" t="n">
        <v>1000</v>
      </c>
      <c r="G569" s="32" t="n">
        <v>500</v>
      </c>
      <c r="H569" s="33" t="n">
        <v>2</v>
      </c>
      <c r="I569" s="34" t="n">
        <f aca="false">E569*H569+N(F569)+N(G569)</f>
        <v>5500</v>
      </c>
      <c r="J569" s="32" t="n">
        <f aca="false">ROUND(IFERROR(ROUND(IF(OR(ISNUMBER(SEARCH("week",C569)),ISNUMBER(SEARCH("minggu",C569))),IFERROR(_xlfn.NUMBERVALUE(SUBSTITUTE(LEFT(TRIM(C569),FIND(" ",TRIM(C569)&amp;" ")-1),",","."),"."),LEFT(SUBSTITUTE(LEFT(TRIM(C569),FIND(" ",TRIM(C569)&amp;" ")-1),",","."),FIND("/",SUBSTITUTE(LEFT(TRIM(C569),FIND(" ",TRIM(C569)&amp;" ")-1),",","."))-1)/MID(SUBSTITUTE(LEFT(TRIM(C569),FIND(" ",TRIM(C569)&amp;" ")-1),",","."),FIND("/",SUBSTITUTE(LEFT(TRIM(C569),FIND(" ",TRIM(C569)&amp;" ")-1),",","."))+1,9))*12/52,IF(ISNUMBER(SEARCH("month",C569)),IFERROR(_xlfn.NUMBERVALUE(SUBSTITUTE(LEFT(TRIM(C569),FIND(" ",TRIM(C569)&amp;" ")-1),",","."),"."),LEFT(SUBSTITUTE(LEFT(TRIM(C569),FIND(" ",TRIM(C569)&amp;" ")-1),",","."),FIND("/",SUBSTITUTE(LEFT(TRIM(C569),FIND(" ",TRIM(C569)&amp;" ")-1),",","."))-1)/MID(SUBSTITUTE(LEFT(TRIM(C569),FIND(" ",TRIM(C569)&amp;" ")-1),",","."),FIND("/",SUBSTITUTE(LEFT(TRIM(C569),FIND(" ",TRIM(C569)&amp;" ")-1),",","."))+1,9)),IF(ISNUMBER(SEARCH("yea",C569)),IFERROR(_xlfn.NUMBERVALUE(SUBSTITUTE(LEFT(TRIM(C569),FIND(" ",TRIM(C569)&amp;" ")-1),",","."),"."),LEFT(SUBSTITUTE(LEFT(TRIM(C569),FIND(" ",TRIM(C569)&amp;" ")-1),",","."),FIND("/",SUBSTITUTE(LEFT(TRIM(C569),FIND(" ",TRIM(C569)&amp;" ")-1),",","."))-1)/MID(SUBSTITUTE(LEFT(TRIM(C569),FIND(" ",TRIM(C569)&amp;" ")-1),",","."),FIND("/",SUBSTITUTE(LEFT(TRIM(C569),FIND(" ",TRIM(C569)&amp;" ")-1),",","."))+1,9))*12,NA()))),0),24)*'Aturan &amp; Tarif'!$B$4,2)</f>
        <v>1362.72</v>
      </c>
      <c r="K569" s="32" t="n">
        <f aca="false">'Aturan &amp; Tarif'!$B$5</f>
        <v>2050</v>
      </c>
      <c r="L569" s="32" t="n">
        <f aca="false">'Aturan &amp; Tarif'!$B$6</f>
        <v>350</v>
      </c>
      <c r="M569" s="35" t="n">
        <f aca="false">I569+J569+K569+L569</f>
        <v>9262.72</v>
      </c>
      <c r="N569" s="36" t="s">
        <v>2210</v>
      </c>
    </row>
    <row r="570" customFormat="false" ht="37.5" hidden="false" customHeight="true" outlineLevel="0" collapsed="false">
      <c r="A570" s="29"/>
      <c r="B570" s="30" t="s">
        <v>2212</v>
      </c>
      <c r="C570" s="31" t="s">
        <v>130</v>
      </c>
      <c r="D570" s="31" t="s">
        <v>108</v>
      </c>
      <c r="E570" s="32" t="n">
        <v>2000</v>
      </c>
      <c r="F570" s="32" t="n">
        <v>1000</v>
      </c>
      <c r="G570" s="32" t="n">
        <v>500</v>
      </c>
      <c r="H570" s="33" t="n">
        <v>2</v>
      </c>
      <c r="I570" s="34" t="n">
        <f aca="false">E570*H570+N(F570)+N(G570)</f>
        <v>5500</v>
      </c>
      <c r="J570" s="32" t="n">
        <f aca="false">ROUND(IFERROR(ROUND(IF(OR(ISNUMBER(SEARCH("week",C570)),ISNUMBER(SEARCH("minggu",C570))),IFERROR(_xlfn.NUMBERVALUE(SUBSTITUTE(LEFT(TRIM(C570),FIND(" ",TRIM(C570)&amp;" ")-1),",","."),"."),LEFT(SUBSTITUTE(LEFT(TRIM(C570),FIND(" ",TRIM(C570)&amp;" ")-1),",","."),FIND("/",SUBSTITUTE(LEFT(TRIM(C570),FIND(" ",TRIM(C570)&amp;" ")-1),",","."))-1)/MID(SUBSTITUTE(LEFT(TRIM(C570),FIND(" ",TRIM(C570)&amp;" ")-1),",","."),FIND("/",SUBSTITUTE(LEFT(TRIM(C570),FIND(" ",TRIM(C570)&amp;" ")-1),",","."))+1,9))*12/52,IF(ISNUMBER(SEARCH("month",C570)),IFERROR(_xlfn.NUMBERVALUE(SUBSTITUTE(LEFT(TRIM(C570),FIND(" ",TRIM(C570)&amp;" ")-1),",","."),"."),LEFT(SUBSTITUTE(LEFT(TRIM(C570),FIND(" ",TRIM(C570)&amp;" ")-1),",","."),FIND("/",SUBSTITUTE(LEFT(TRIM(C570),FIND(" ",TRIM(C570)&amp;" ")-1),",","."))-1)/MID(SUBSTITUTE(LEFT(TRIM(C570),FIND(" ",TRIM(C570)&amp;" ")-1),",","."),FIND("/",SUBSTITUTE(LEFT(TRIM(C570),FIND(" ",TRIM(C570)&amp;" ")-1),",","."))+1,9)),IF(ISNUMBER(SEARCH("yea",C570)),IFERROR(_xlfn.NUMBERVALUE(SUBSTITUTE(LEFT(TRIM(C570),FIND(" ",TRIM(C570)&amp;" ")-1),",","."),"."),LEFT(SUBSTITUTE(LEFT(TRIM(C570),FIND(" ",TRIM(C570)&amp;" ")-1),",","."),FIND("/",SUBSTITUTE(LEFT(TRIM(C570),FIND(" ",TRIM(C570)&amp;" ")-1),",","."))-1)/MID(SUBSTITUTE(LEFT(TRIM(C570),FIND(" ",TRIM(C570)&amp;" ")-1),",","."),FIND("/",SUBSTITUTE(LEFT(TRIM(C570),FIND(" ",TRIM(C570)&amp;" ")-1),",","."))+1,9))*12,NA()))),0),12)*'Aturan &amp; Tarif'!$B$4,2)</f>
        <v>681.36</v>
      </c>
      <c r="K570" s="32" t="n">
        <f aca="false">'Aturan &amp; Tarif'!$B$5</f>
        <v>2050</v>
      </c>
      <c r="L570" s="32" t="n">
        <f aca="false">'Aturan &amp; Tarif'!$B$6</f>
        <v>350</v>
      </c>
      <c r="M570" s="35" t="n">
        <f aca="false">I570+J570+K570+L570</f>
        <v>8581.36</v>
      </c>
      <c r="N570" s="37" t="s">
        <v>2213</v>
      </c>
    </row>
    <row r="571" customFormat="false" ht="37.5" hidden="false" customHeight="true" outlineLevel="0" collapsed="false">
      <c r="A571" s="29"/>
      <c r="B571" s="30" t="s">
        <v>2214</v>
      </c>
      <c r="C571" s="31" t="s">
        <v>107</v>
      </c>
      <c r="D571" s="31" t="s">
        <v>108</v>
      </c>
      <c r="E571" s="32" t="n">
        <v>2000</v>
      </c>
      <c r="F571" s="32" t="n">
        <v>1000</v>
      </c>
      <c r="G571" s="32" t="n">
        <v>500</v>
      </c>
      <c r="H571" s="33" t="n">
        <v>2</v>
      </c>
      <c r="I571" s="34" t="n">
        <f aca="false">E571*H571+N(F571)+N(G571)</f>
        <v>5500</v>
      </c>
      <c r="J571" s="32" t="n">
        <f aca="false">ROUND(IFERROR(ROUND(IF(OR(ISNUMBER(SEARCH("week",C571)),ISNUMBER(SEARCH("minggu",C571))),IFERROR(_xlfn.NUMBERVALUE(SUBSTITUTE(LEFT(TRIM(C571),FIND(" ",TRIM(C571)&amp;" ")-1),",","."),"."),LEFT(SUBSTITUTE(LEFT(TRIM(C571),FIND(" ",TRIM(C571)&amp;" ")-1),",","."),FIND("/",SUBSTITUTE(LEFT(TRIM(C571),FIND(" ",TRIM(C571)&amp;" ")-1),",","."))-1)/MID(SUBSTITUTE(LEFT(TRIM(C571),FIND(" ",TRIM(C571)&amp;" ")-1),",","."),FIND("/",SUBSTITUTE(LEFT(TRIM(C571),FIND(" ",TRIM(C571)&amp;" ")-1),",","."))+1,9))*12/52,IF(ISNUMBER(SEARCH("month",C571)),IFERROR(_xlfn.NUMBERVALUE(SUBSTITUTE(LEFT(TRIM(C571),FIND(" ",TRIM(C571)&amp;" ")-1),",","."),"."),LEFT(SUBSTITUTE(LEFT(TRIM(C571),FIND(" ",TRIM(C571)&amp;" ")-1),",","."),FIND("/",SUBSTITUTE(LEFT(TRIM(C571),FIND(" ",TRIM(C571)&amp;" ")-1),",","."))-1)/MID(SUBSTITUTE(LEFT(TRIM(C571),FIND(" ",TRIM(C571)&amp;" ")-1),",","."),FIND("/",SUBSTITUTE(LEFT(TRIM(C571),FIND(" ",TRIM(C571)&amp;" ")-1),",","."))+1,9)),IF(ISNUMBER(SEARCH("yea",C571)),IFERROR(_xlfn.NUMBERVALUE(SUBSTITUTE(LEFT(TRIM(C571),FIND(" ",TRIM(C571)&amp;" ")-1),",","."),"."),LEFT(SUBSTITUTE(LEFT(TRIM(C571),FIND(" ",TRIM(C571)&amp;" ")-1),",","."),FIND("/",SUBSTITUTE(LEFT(TRIM(C571),FIND(" ",TRIM(C571)&amp;" ")-1),",","."))-1)/MID(SUBSTITUTE(LEFT(TRIM(C571),FIND(" ",TRIM(C571)&amp;" ")-1),",","."),FIND("/",SUBSTITUTE(LEFT(TRIM(C571),FIND(" ",TRIM(C571)&amp;" ")-1),",","."))+1,9))*12,NA()))),0),24)*'Aturan &amp; Tarif'!$B$4,2)</f>
        <v>1362.72</v>
      </c>
      <c r="K571" s="32" t="n">
        <f aca="false">'Aturan &amp; Tarif'!$B$5</f>
        <v>2050</v>
      </c>
      <c r="L571" s="32" t="n">
        <f aca="false">'Aturan &amp; Tarif'!$B$6</f>
        <v>350</v>
      </c>
      <c r="M571" s="35" t="n">
        <f aca="false">I571+J571+K571+L571</f>
        <v>9262.72</v>
      </c>
      <c r="N571" s="37" t="s">
        <v>2213</v>
      </c>
    </row>
    <row r="572" customFormat="false" ht="37.5" hidden="false" customHeight="true" outlineLevel="0" collapsed="false">
      <c r="A572" s="29"/>
      <c r="B572" s="30" t="s">
        <v>2215</v>
      </c>
      <c r="C572" s="31" t="s">
        <v>107</v>
      </c>
      <c r="D572" s="31" t="s">
        <v>108</v>
      </c>
      <c r="E572" s="32" t="n">
        <v>2000</v>
      </c>
      <c r="F572" s="32" t="n">
        <v>1000</v>
      </c>
      <c r="G572" s="32" t="n">
        <v>500</v>
      </c>
      <c r="H572" s="33" t="n">
        <v>2</v>
      </c>
      <c r="I572" s="34" t="n">
        <f aca="false">E572*H572+N(F572)+N(G572)</f>
        <v>5500</v>
      </c>
      <c r="J572" s="32" t="n">
        <f aca="false">ROUND(IFERROR(ROUND(IF(OR(ISNUMBER(SEARCH("week",C572)),ISNUMBER(SEARCH("minggu",C572))),IFERROR(_xlfn.NUMBERVALUE(SUBSTITUTE(LEFT(TRIM(C572),FIND(" ",TRIM(C572)&amp;" ")-1),",","."),"."),LEFT(SUBSTITUTE(LEFT(TRIM(C572),FIND(" ",TRIM(C572)&amp;" ")-1),",","."),FIND("/",SUBSTITUTE(LEFT(TRIM(C572),FIND(" ",TRIM(C572)&amp;" ")-1),",","."))-1)/MID(SUBSTITUTE(LEFT(TRIM(C572),FIND(" ",TRIM(C572)&amp;" ")-1),",","."),FIND("/",SUBSTITUTE(LEFT(TRIM(C572),FIND(" ",TRIM(C572)&amp;" ")-1),",","."))+1,9))*12/52,IF(ISNUMBER(SEARCH("month",C572)),IFERROR(_xlfn.NUMBERVALUE(SUBSTITUTE(LEFT(TRIM(C572),FIND(" ",TRIM(C572)&amp;" ")-1),",","."),"."),LEFT(SUBSTITUTE(LEFT(TRIM(C572),FIND(" ",TRIM(C572)&amp;" ")-1),",","."),FIND("/",SUBSTITUTE(LEFT(TRIM(C572),FIND(" ",TRIM(C572)&amp;" ")-1),",","."))-1)/MID(SUBSTITUTE(LEFT(TRIM(C572),FIND(" ",TRIM(C572)&amp;" ")-1),",","."),FIND("/",SUBSTITUTE(LEFT(TRIM(C572),FIND(" ",TRIM(C572)&amp;" ")-1),",","."))+1,9)),IF(ISNUMBER(SEARCH("yea",C572)),IFERROR(_xlfn.NUMBERVALUE(SUBSTITUTE(LEFT(TRIM(C572),FIND(" ",TRIM(C572)&amp;" ")-1),",","."),"."),LEFT(SUBSTITUTE(LEFT(TRIM(C572),FIND(" ",TRIM(C572)&amp;" ")-1),",","."),FIND("/",SUBSTITUTE(LEFT(TRIM(C572),FIND(" ",TRIM(C572)&amp;" ")-1),",","."))-1)/MID(SUBSTITUTE(LEFT(TRIM(C572),FIND(" ",TRIM(C572)&amp;" ")-1),",","."),FIND("/",SUBSTITUTE(LEFT(TRIM(C572),FIND(" ",TRIM(C572)&amp;" ")-1),",","."))+1,9))*12,NA()))),0),24)*'Aturan &amp; Tarif'!$B$4,2)</f>
        <v>1362.72</v>
      </c>
      <c r="K572" s="32" t="n">
        <f aca="false">'Aturan &amp; Tarif'!$B$5</f>
        <v>2050</v>
      </c>
      <c r="L572" s="32" t="n">
        <f aca="false">'Aturan &amp; Tarif'!$B$6</f>
        <v>350</v>
      </c>
      <c r="M572" s="35" t="n">
        <f aca="false">I572+J572+K572+L572</f>
        <v>9262.72</v>
      </c>
      <c r="N572" s="37" t="s">
        <v>2213</v>
      </c>
    </row>
    <row r="573" customFormat="false" ht="37.5" hidden="false" customHeight="true" outlineLevel="0" collapsed="false">
      <c r="A573" s="29"/>
      <c r="B573" s="30" t="s">
        <v>2216</v>
      </c>
      <c r="C573" s="31" t="s">
        <v>130</v>
      </c>
      <c r="D573" s="31" t="s">
        <v>108</v>
      </c>
      <c r="E573" s="32" t="n">
        <v>2000</v>
      </c>
      <c r="F573" s="32" t="n">
        <v>1000</v>
      </c>
      <c r="G573" s="32" t="n">
        <v>500</v>
      </c>
      <c r="H573" s="33" t="n">
        <v>2</v>
      </c>
      <c r="I573" s="34" t="n">
        <f aca="false">E573*H573+N(F573)+N(G573)</f>
        <v>5500</v>
      </c>
      <c r="J573" s="32" t="n">
        <f aca="false">ROUND(IFERROR(ROUND(IF(OR(ISNUMBER(SEARCH("week",C573)),ISNUMBER(SEARCH("minggu",C573))),IFERROR(_xlfn.NUMBERVALUE(SUBSTITUTE(LEFT(TRIM(C573),FIND(" ",TRIM(C573)&amp;" ")-1),",","."),"."),LEFT(SUBSTITUTE(LEFT(TRIM(C573),FIND(" ",TRIM(C573)&amp;" ")-1),",","."),FIND("/",SUBSTITUTE(LEFT(TRIM(C573),FIND(" ",TRIM(C573)&amp;" ")-1),",","."))-1)/MID(SUBSTITUTE(LEFT(TRIM(C573),FIND(" ",TRIM(C573)&amp;" ")-1),",","."),FIND("/",SUBSTITUTE(LEFT(TRIM(C573),FIND(" ",TRIM(C573)&amp;" ")-1),",","."))+1,9))*12/52,IF(ISNUMBER(SEARCH("month",C573)),IFERROR(_xlfn.NUMBERVALUE(SUBSTITUTE(LEFT(TRIM(C573),FIND(" ",TRIM(C573)&amp;" ")-1),",","."),"."),LEFT(SUBSTITUTE(LEFT(TRIM(C573),FIND(" ",TRIM(C573)&amp;" ")-1),",","."),FIND("/",SUBSTITUTE(LEFT(TRIM(C573),FIND(" ",TRIM(C573)&amp;" ")-1),",","."))-1)/MID(SUBSTITUTE(LEFT(TRIM(C573),FIND(" ",TRIM(C573)&amp;" ")-1),",","."),FIND("/",SUBSTITUTE(LEFT(TRIM(C573),FIND(" ",TRIM(C573)&amp;" ")-1),",","."))+1,9)),IF(ISNUMBER(SEARCH("yea",C573)),IFERROR(_xlfn.NUMBERVALUE(SUBSTITUTE(LEFT(TRIM(C573),FIND(" ",TRIM(C573)&amp;" ")-1),",","."),"."),LEFT(SUBSTITUTE(LEFT(TRIM(C573),FIND(" ",TRIM(C573)&amp;" ")-1),",","."),FIND("/",SUBSTITUTE(LEFT(TRIM(C573),FIND(" ",TRIM(C573)&amp;" ")-1),",","."))-1)/MID(SUBSTITUTE(LEFT(TRIM(C573),FIND(" ",TRIM(C573)&amp;" ")-1),",","."),FIND("/",SUBSTITUTE(LEFT(TRIM(C573),FIND(" ",TRIM(C573)&amp;" ")-1),",","."))+1,9))*12,NA()))),0),12)*'Aturan &amp; Tarif'!$B$4,2)</f>
        <v>681.36</v>
      </c>
      <c r="K573" s="32" t="n">
        <f aca="false">'Aturan &amp; Tarif'!$B$5</f>
        <v>2050</v>
      </c>
      <c r="L573" s="32" t="n">
        <f aca="false">'Aturan &amp; Tarif'!$B$6</f>
        <v>350</v>
      </c>
      <c r="M573" s="35" t="n">
        <f aca="false">I573+J573+K573+L573</f>
        <v>8581.36</v>
      </c>
      <c r="N573" s="37" t="s">
        <v>2213</v>
      </c>
    </row>
    <row r="574" customFormat="false" ht="48.75" hidden="false" customHeight="true" outlineLevel="0" collapsed="false">
      <c r="A574" s="29"/>
      <c r="B574" s="30" t="s">
        <v>2217</v>
      </c>
      <c r="C574" s="31" t="s">
        <v>107</v>
      </c>
      <c r="D574" s="31" t="s">
        <v>108</v>
      </c>
      <c r="E574" s="32" t="n">
        <v>2000</v>
      </c>
      <c r="F574" s="32" t="n">
        <v>1000</v>
      </c>
      <c r="G574" s="32" t="n">
        <v>500</v>
      </c>
      <c r="H574" s="33" t="n">
        <v>2</v>
      </c>
      <c r="I574" s="34" t="n">
        <f aca="false">E574*H574+N(F574)+N(G574)</f>
        <v>5500</v>
      </c>
      <c r="J574" s="32" t="n">
        <f aca="false">ROUND(IFERROR(ROUND(IF(OR(ISNUMBER(SEARCH("week",C574)),ISNUMBER(SEARCH("minggu",C574))),IFERROR(_xlfn.NUMBERVALUE(SUBSTITUTE(LEFT(TRIM(C574),FIND(" ",TRIM(C574)&amp;" ")-1),",","."),"."),LEFT(SUBSTITUTE(LEFT(TRIM(C574),FIND(" ",TRIM(C574)&amp;" ")-1),",","."),FIND("/",SUBSTITUTE(LEFT(TRIM(C574),FIND(" ",TRIM(C574)&amp;" ")-1),",","."))-1)/MID(SUBSTITUTE(LEFT(TRIM(C574),FIND(" ",TRIM(C574)&amp;" ")-1),",","."),FIND("/",SUBSTITUTE(LEFT(TRIM(C574),FIND(" ",TRIM(C574)&amp;" ")-1),",","."))+1,9))*12/52,IF(ISNUMBER(SEARCH("month",C574)),IFERROR(_xlfn.NUMBERVALUE(SUBSTITUTE(LEFT(TRIM(C574),FIND(" ",TRIM(C574)&amp;" ")-1),",","."),"."),LEFT(SUBSTITUTE(LEFT(TRIM(C574),FIND(" ",TRIM(C574)&amp;" ")-1),",","."),FIND("/",SUBSTITUTE(LEFT(TRIM(C574),FIND(" ",TRIM(C574)&amp;" ")-1),",","."))-1)/MID(SUBSTITUTE(LEFT(TRIM(C574),FIND(" ",TRIM(C574)&amp;" ")-1),",","."),FIND("/",SUBSTITUTE(LEFT(TRIM(C574),FIND(" ",TRIM(C574)&amp;" ")-1),",","."))+1,9)),IF(ISNUMBER(SEARCH("yea",C574)),IFERROR(_xlfn.NUMBERVALUE(SUBSTITUTE(LEFT(TRIM(C574),FIND(" ",TRIM(C574)&amp;" ")-1),",","."),"."),LEFT(SUBSTITUTE(LEFT(TRIM(C574),FIND(" ",TRIM(C574)&amp;" ")-1),",","."),FIND("/",SUBSTITUTE(LEFT(TRIM(C574),FIND(" ",TRIM(C574)&amp;" ")-1),",","."))-1)/MID(SUBSTITUTE(LEFT(TRIM(C574),FIND(" ",TRIM(C574)&amp;" ")-1),",","."),FIND("/",SUBSTITUTE(LEFT(TRIM(C574),FIND(" ",TRIM(C574)&amp;" ")-1),",","."))+1,9))*12,NA()))),0),24)*'Aturan &amp; Tarif'!$B$4,2)</f>
        <v>1362.72</v>
      </c>
      <c r="K574" s="32" t="n">
        <f aca="false">'Aturan &amp; Tarif'!$B$5</f>
        <v>2050</v>
      </c>
      <c r="L574" s="32" t="n">
        <f aca="false">'Aturan &amp; Tarif'!$B$6</f>
        <v>350</v>
      </c>
      <c r="M574" s="35" t="n">
        <f aca="false">I574+J574+K574+L574</f>
        <v>9262.72</v>
      </c>
      <c r="N574" s="37" t="s">
        <v>2213</v>
      </c>
    </row>
    <row r="575" customFormat="false" ht="60" hidden="false" customHeight="true" outlineLevel="0" collapsed="false">
      <c r="A575" s="29"/>
      <c r="B575" s="30" t="s">
        <v>144</v>
      </c>
      <c r="C575" s="31" t="s">
        <v>107</v>
      </c>
      <c r="D575" s="31" t="s">
        <v>108</v>
      </c>
      <c r="E575" s="32" t="n">
        <v>2000</v>
      </c>
      <c r="F575" s="32" t="n">
        <v>1000</v>
      </c>
      <c r="G575" s="32" t="n">
        <v>500</v>
      </c>
      <c r="H575" s="33" t="n">
        <v>2</v>
      </c>
      <c r="I575" s="34" t="n">
        <f aca="false">E575*H575+N(F575)+N(G575)</f>
        <v>5500</v>
      </c>
      <c r="J575" s="32" t="n">
        <f aca="false">ROUND(IFERROR(ROUND(IF(OR(ISNUMBER(SEARCH("week",C575)),ISNUMBER(SEARCH("minggu",C575))),IFERROR(_xlfn.NUMBERVALUE(SUBSTITUTE(LEFT(TRIM(C575),FIND(" ",TRIM(C575)&amp;" ")-1),",","."),"."),LEFT(SUBSTITUTE(LEFT(TRIM(C575),FIND(" ",TRIM(C575)&amp;" ")-1),",","."),FIND("/",SUBSTITUTE(LEFT(TRIM(C575),FIND(" ",TRIM(C575)&amp;" ")-1),",","."))-1)/MID(SUBSTITUTE(LEFT(TRIM(C575),FIND(" ",TRIM(C575)&amp;" ")-1),",","."),FIND("/",SUBSTITUTE(LEFT(TRIM(C575),FIND(" ",TRIM(C575)&amp;" ")-1),",","."))+1,9))*12/52,IF(ISNUMBER(SEARCH("month",C575)),IFERROR(_xlfn.NUMBERVALUE(SUBSTITUTE(LEFT(TRIM(C575),FIND(" ",TRIM(C575)&amp;" ")-1),",","."),"."),LEFT(SUBSTITUTE(LEFT(TRIM(C575),FIND(" ",TRIM(C575)&amp;" ")-1),",","."),FIND("/",SUBSTITUTE(LEFT(TRIM(C575),FIND(" ",TRIM(C575)&amp;" ")-1),",","."))-1)/MID(SUBSTITUTE(LEFT(TRIM(C575),FIND(" ",TRIM(C575)&amp;" ")-1),",","."),FIND("/",SUBSTITUTE(LEFT(TRIM(C575),FIND(" ",TRIM(C575)&amp;" ")-1),",","."))+1,9)),IF(ISNUMBER(SEARCH("yea",C575)),IFERROR(_xlfn.NUMBERVALUE(SUBSTITUTE(LEFT(TRIM(C575),FIND(" ",TRIM(C575)&amp;" ")-1),",","."),"."),LEFT(SUBSTITUTE(LEFT(TRIM(C575),FIND(" ",TRIM(C575)&amp;" ")-1),",","."),FIND("/",SUBSTITUTE(LEFT(TRIM(C575),FIND(" ",TRIM(C575)&amp;" ")-1),",","."))-1)/MID(SUBSTITUTE(LEFT(TRIM(C575),FIND(" ",TRIM(C575)&amp;" ")-1),",","."),FIND("/",SUBSTITUTE(LEFT(TRIM(C575),FIND(" ",TRIM(C575)&amp;" ")-1),",","."))+1,9))*12,NA()))),0),24)*'Aturan &amp; Tarif'!$B$4,2)</f>
        <v>1362.72</v>
      </c>
      <c r="K575" s="32" t="n">
        <f aca="false">'Aturan &amp; Tarif'!$B$5</f>
        <v>2050</v>
      </c>
      <c r="L575" s="32" t="n">
        <f aca="false">'Aturan &amp; Tarif'!$B$6</f>
        <v>350</v>
      </c>
      <c r="M575" s="35" t="n">
        <f aca="false">I575+J575+K575+L575</f>
        <v>9262.72</v>
      </c>
      <c r="N575" s="37" t="s">
        <v>2213</v>
      </c>
    </row>
    <row r="576" customFormat="false" ht="14.25" hidden="false" customHeight="true" outlineLevel="0" collapsed="false">
      <c r="A576" s="29"/>
      <c r="B576" s="30" t="s">
        <v>1973</v>
      </c>
      <c r="C576" s="31" t="s">
        <v>130</v>
      </c>
      <c r="D576" s="31" t="s">
        <v>108</v>
      </c>
      <c r="E576" s="32" t="n">
        <v>2000</v>
      </c>
      <c r="F576" s="32" t="n">
        <v>1000</v>
      </c>
      <c r="G576" s="32" t="n">
        <v>500</v>
      </c>
      <c r="H576" s="33" t="n">
        <v>2</v>
      </c>
      <c r="I576" s="34" t="n">
        <f aca="false">E576*H576+N(F576)+N(G576)</f>
        <v>5500</v>
      </c>
      <c r="J576" s="32" t="n">
        <f aca="false">ROUND(IFERROR(ROUND(IF(OR(ISNUMBER(SEARCH("week",C576)),ISNUMBER(SEARCH("minggu",C576))),IFERROR(_xlfn.NUMBERVALUE(SUBSTITUTE(LEFT(TRIM(C576),FIND(" ",TRIM(C576)&amp;" ")-1),",","."),"."),LEFT(SUBSTITUTE(LEFT(TRIM(C576),FIND(" ",TRIM(C576)&amp;" ")-1),",","."),FIND("/",SUBSTITUTE(LEFT(TRIM(C576),FIND(" ",TRIM(C576)&amp;" ")-1),",","."))-1)/MID(SUBSTITUTE(LEFT(TRIM(C576),FIND(" ",TRIM(C576)&amp;" ")-1),",","."),FIND("/",SUBSTITUTE(LEFT(TRIM(C576),FIND(" ",TRIM(C576)&amp;" ")-1),",","."))+1,9))*12/52,IF(ISNUMBER(SEARCH("month",C576)),IFERROR(_xlfn.NUMBERVALUE(SUBSTITUTE(LEFT(TRIM(C576),FIND(" ",TRIM(C576)&amp;" ")-1),",","."),"."),LEFT(SUBSTITUTE(LEFT(TRIM(C576),FIND(" ",TRIM(C576)&amp;" ")-1),",","."),FIND("/",SUBSTITUTE(LEFT(TRIM(C576),FIND(" ",TRIM(C576)&amp;" ")-1),",","."))-1)/MID(SUBSTITUTE(LEFT(TRIM(C576),FIND(" ",TRIM(C576)&amp;" ")-1),",","."),FIND("/",SUBSTITUTE(LEFT(TRIM(C576),FIND(" ",TRIM(C576)&amp;" ")-1),",","."))+1,9)),IF(ISNUMBER(SEARCH("yea",C576)),IFERROR(_xlfn.NUMBERVALUE(SUBSTITUTE(LEFT(TRIM(C576),FIND(" ",TRIM(C576)&amp;" ")-1),",","."),"."),LEFT(SUBSTITUTE(LEFT(TRIM(C576),FIND(" ",TRIM(C576)&amp;" ")-1),",","."),FIND("/",SUBSTITUTE(LEFT(TRIM(C576),FIND(" ",TRIM(C576)&amp;" ")-1),",","."))-1)/MID(SUBSTITUTE(LEFT(TRIM(C576),FIND(" ",TRIM(C576)&amp;" ")-1),",","."),FIND("/",SUBSTITUTE(LEFT(TRIM(C576),FIND(" ",TRIM(C576)&amp;" ")-1),",","."))+1,9))*12,NA()))),0),12)*'Aturan &amp; Tarif'!$B$4,2)</f>
        <v>681.36</v>
      </c>
      <c r="K576" s="32" t="n">
        <f aca="false">'Aturan &amp; Tarif'!$B$5</f>
        <v>2050</v>
      </c>
      <c r="L576" s="32" t="n">
        <f aca="false">'Aturan &amp; Tarif'!$B$6</f>
        <v>350</v>
      </c>
      <c r="M576" s="35" t="n">
        <f aca="false">I576+J576+K576+L576</f>
        <v>8581.36</v>
      </c>
      <c r="N576" s="37" t="s">
        <v>2213</v>
      </c>
    </row>
    <row r="577" customFormat="false" ht="60" hidden="false" customHeight="true" outlineLevel="0" collapsed="false">
      <c r="A577" s="29"/>
      <c r="B577" s="30" t="s">
        <v>2218</v>
      </c>
      <c r="C577" s="31" t="s">
        <v>107</v>
      </c>
      <c r="D577" s="31" t="s">
        <v>108</v>
      </c>
      <c r="E577" s="32" t="n">
        <v>2000</v>
      </c>
      <c r="F577" s="32" t="n">
        <v>1000</v>
      </c>
      <c r="G577" s="32" t="n">
        <v>500</v>
      </c>
      <c r="H577" s="33" t="n">
        <v>2</v>
      </c>
      <c r="I577" s="34" t="n">
        <f aca="false">E577*H577+N(F577)+N(G577)</f>
        <v>5500</v>
      </c>
      <c r="J577" s="32" t="n">
        <f aca="false">ROUND(IFERROR(ROUND(IF(OR(ISNUMBER(SEARCH("week",C577)),ISNUMBER(SEARCH("minggu",C577))),IFERROR(_xlfn.NUMBERVALUE(SUBSTITUTE(LEFT(TRIM(C577),FIND(" ",TRIM(C577)&amp;" ")-1),",","."),"."),LEFT(SUBSTITUTE(LEFT(TRIM(C577),FIND(" ",TRIM(C577)&amp;" ")-1),",","."),FIND("/",SUBSTITUTE(LEFT(TRIM(C577),FIND(" ",TRIM(C577)&amp;" ")-1),",","."))-1)/MID(SUBSTITUTE(LEFT(TRIM(C577),FIND(" ",TRIM(C577)&amp;" ")-1),",","."),FIND("/",SUBSTITUTE(LEFT(TRIM(C577),FIND(" ",TRIM(C577)&amp;" ")-1),",","."))+1,9))*12/52,IF(ISNUMBER(SEARCH("month",C577)),IFERROR(_xlfn.NUMBERVALUE(SUBSTITUTE(LEFT(TRIM(C577),FIND(" ",TRIM(C577)&amp;" ")-1),",","."),"."),LEFT(SUBSTITUTE(LEFT(TRIM(C577),FIND(" ",TRIM(C577)&amp;" ")-1),",","."),FIND("/",SUBSTITUTE(LEFT(TRIM(C577),FIND(" ",TRIM(C577)&amp;" ")-1),",","."))-1)/MID(SUBSTITUTE(LEFT(TRIM(C577),FIND(" ",TRIM(C577)&amp;" ")-1),",","."),FIND("/",SUBSTITUTE(LEFT(TRIM(C577),FIND(" ",TRIM(C577)&amp;" ")-1),",","."))+1,9)),IF(ISNUMBER(SEARCH("yea",C577)),IFERROR(_xlfn.NUMBERVALUE(SUBSTITUTE(LEFT(TRIM(C577),FIND(" ",TRIM(C577)&amp;" ")-1),",","."),"."),LEFT(SUBSTITUTE(LEFT(TRIM(C577),FIND(" ",TRIM(C577)&amp;" ")-1),",","."),FIND("/",SUBSTITUTE(LEFT(TRIM(C577),FIND(" ",TRIM(C577)&amp;" ")-1),",","."))-1)/MID(SUBSTITUTE(LEFT(TRIM(C577),FIND(" ",TRIM(C577)&amp;" ")-1),",","."),FIND("/",SUBSTITUTE(LEFT(TRIM(C577),FIND(" ",TRIM(C577)&amp;" ")-1),",","."))+1,9))*12,NA()))),0),24)*'Aturan &amp; Tarif'!$B$4,2)</f>
        <v>1362.72</v>
      </c>
      <c r="K577" s="32" t="n">
        <f aca="false">'Aturan &amp; Tarif'!$B$5</f>
        <v>2050</v>
      </c>
      <c r="L577" s="32" t="n">
        <f aca="false">'Aturan &amp; Tarif'!$B$6</f>
        <v>350</v>
      </c>
      <c r="M577" s="35" t="n">
        <f aca="false">I577+J577+K577+L577</f>
        <v>9262.72</v>
      </c>
      <c r="N577" s="37" t="s">
        <v>2213</v>
      </c>
    </row>
    <row r="578" customFormat="false" ht="60" hidden="false" customHeight="true" outlineLevel="0" collapsed="false">
      <c r="A578" s="29"/>
      <c r="B578" s="30" t="s">
        <v>809</v>
      </c>
      <c r="C578" s="31" t="s">
        <v>107</v>
      </c>
      <c r="D578" s="31" t="s">
        <v>108</v>
      </c>
      <c r="E578" s="32" t="n">
        <v>2000</v>
      </c>
      <c r="F578" s="32" t="n">
        <v>1000</v>
      </c>
      <c r="G578" s="32" t="n">
        <v>500</v>
      </c>
      <c r="H578" s="33" t="n">
        <v>2</v>
      </c>
      <c r="I578" s="34" t="n">
        <f aca="false">E578*H578+N(F578)+N(G578)</f>
        <v>5500</v>
      </c>
      <c r="J578" s="32" t="n">
        <f aca="false">ROUND(IFERROR(ROUND(IF(OR(ISNUMBER(SEARCH("week",C578)),ISNUMBER(SEARCH("minggu",C578))),IFERROR(_xlfn.NUMBERVALUE(SUBSTITUTE(LEFT(TRIM(C578),FIND(" ",TRIM(C578)&amp;" ")-1),",","."),"."),LEFT(SUBSTITUTE(LEFT(TRIM(C578),FIND(" ",TRIM(C578)&amp;" ")-1),",","."),FIND("/",SUBSTITUTE(LEFT(TRIM(C578),FIND(" ",TRIM(C578)&amp;" ")-1),",","."))-1)/MID(SUBSTITUTE(LEFT(TRIM(C578),FIND(" ",TRIM(C578)&amp;" ")-1),",","."),FIND("/",SUBSTITUTE(LEFT(TRIM(C578),FIND(" ",TRIM(C578)&amp;" ")-1),",","."))+1,9))*12/52,IF(ISNUMBER(SEARCH("month",C578)),IFERROR(_xlfn.NUMBERVALUE(SUBSTITUTE(LEFT(TRIM(C578),FIND(" ",TRIM(C578)&amp;" ")-1),",","."),"."),LEFT(SUBSTITUTE(LEFT(TRIM(C578),FIND(" ",TRIM(C578)&amp;" ")-1),",","."),FIND("/",SUBSTITUTE(LEFT(TRIM(C578),FIND(" ",TRIM(C578)&amp;" ")-1),",","."))-1)/MID(SUBSTITUTE(LEFT(TRIM(C578),FIND(" ",TRIM(C578)&amp;" ")-1),",","."),FIND("/",SUBSTITUTE(LEFT(TRIM(C578),FIND(" ",TRIM(C578)&amp;" ")-1),",","."))+1,9)),IF(ISNUMBER(SEARCH("yea",C578)),IFERROR(_xlfn.NUMBERVALUE(SUBSTITUTE(LEFT(TRIM(C578),FIND(" ",TRIM(C578)&amp;" ")-1),",","."),"."),LEFT(SUBSTITUTE(LEFT(TRIM(C578),FIND(" ",TRIM(C578)&amp;" ")-1),",","."),FIND("/",SUBSTITUTE(LEFT(TRIM(C578),FIND(" ",TRIM(C578)&amp;" ")-1),",","."))-1)/MID(SUBSTITUTE(LEFT(TRIM(C578),FIND(" ",TRIM(C578)&amp;" ")-1),",","."),FIND("/",SUBSTITUTE(LEFT(TRIM(C578),FIND(" ",TRIM(C578)&amp;" ")-1),",","."))+1,9))*12,NA()))),0),24)*'Aturan &amp; Tarif'!$B$4,2)</f>
        <v>1362.72</v>
      </c>
      <c r="K578" s="32" t="n">
        <f aca="false">'Aturan &amp; Tarif'!$B$5</f>
        <v>2050</v>
      </c>
      <c r="L578" s="32" t="n">
        <f aca="false">'Aturan &amp; Tarif'!$B$6</f>
        <v>350</v>
      </c>
      <c r="M578" s="35" t="n">
        <f aca="false">I578+J578+K578+L578</f>
        <v>9262.72</v>
      </c>
      <c r="N578" s="37" t="s">
        <v>2213</v>
      </c>
    </row>
    <row r="579" customFormat="false" ht="14.25" hidden="false" customHeight="true" outlineLevel="0" collapsed="false">
      <c r="A579" s="29"/>
      <c r="B579" s="30" t="s">
        <v>471</v>
      </c>
      <c r="C579" s="31" t="s">
        <v>130</v>
      </c>
      <c r="D579" s="31" t="s">
        <v>108</v>
      </c>
      <c r="E579" s="32" t="n">
        <v>2000</v>
      </c>
      <c r="F579" s="32" t="n">
        <v>1000</v>
      </c>
      <c r="G579" s="32" t="n">
        <v>500</v>
      </c>
      <c r="H579" s="33" t="n">
        <v>2</v>
      </c>
      <c r="I579" s="34" t="n">
        <f aca="false">E579*H579+N(F579)+N(G579)</f>
        <v>5500</v>
      </c>
      <c r="J579" s="32" t="n">
        <f aca="false">ROUND(IFERROR(ROUND(IF(OR(ISNUMBER(SEARCH("week",C579)),ISNUMBER(SEARCH("minggu",C579))),IFERROR(_xlfn.NUMBERVALUE(SUBSTITUTE(LEFT(TRIM(C579),FIND(" ",TRIM(C579)&amp;" ")-1),",","."),"."),LEFT(SUBSTITUTE(LEFT(TRIM(C579),FIND(" ",TRIM(C579)&amp;" ")-1),",","."),FIND("/",SUBSTITUTE(LEFT(TRIM(C579),FIND(" ",TRIM(C579)&amp;" ")-1),",","."))-1)/MID(SUBSTITUTE(LEFT(TRIM(C579),FIND(" ",TRIM(C579)&amp;" ")-1),",","."),FIND("/",SUBSTITUTE(LEFT(TRIM(C579),FIND(" ",TRIM(C579)&amp;" ")-1),",","."))+1,9))*12/52,IF(ISNUMBER(SEARCH("month",C579)),IFERROR(_xlfn.NUMBERVALUE(SUBSTITUTE(LEFT(TRIM(C579),FIND(" ",TRIM(C579)&amp;" ")-1),",","."),"."),LEFT(SUBSTITUTE(LEFT(TRIM(C579),FIND(" ",TRIM(C579)&amp;" ")-1),",","."),FIND("/",SUBSTITUTE(LEFT(TRIM(C579),FIND(" ",TRIM(C579)&amp;" ")-1),",","."))-1)/MID(SUBSTITUTE(LEFT(TRIM(C579),FIND(" ",TRIM(C579)&amp;" ")-1),",","."),FIND("/",SUBSTITUTE(LEFT(TRIM(C579),FIND(" ",TRIM(C579)&amp;" ")-1),",","."))+1,9)),IF(ISNUMBER(SEARCH("yea",C579)),IFERROR(_xlfn.NUMBERVALUE(SUBSTITUTE(LEFT(TRIM(C579),FIND(" ",TRIM(C579)&amp;" ")-1),",","."),"."),LEFT(SUBSTITUTE(LEFT(TRIM(C579),FIND(" ",TRIM(C579)&amp;" ")-1),",","."),FIND("/",SUBSTITUTE(LEFT(TRIM(C579),FIND(" ",TRIM(C579)&amp;" ")-1),",","."))-1)/MID(SUBSTITUTE(LEFT(TRIM(C579),FIND(" ",TRIM(C579)&amp;" ")-1),",","."),FIND("/",SUBSTITUTE(LEFT(TRIM(C579),FIND(" ",TRIM(C579)&amp;" ")-1),",","."))+1,9))*12,NA()))),0),12)*'Aturan &amp; Tarif'!$B$4,2)</f>
        <v>681.36</v>
      </c>
      <c r="K579" s="32" t="n">
        <f aca="false">'Aturan &amp; Tarif'!$B$5</f>
        <v>2050</v>
      </c>
      <c r="L579" s="32" t="n">
        <f aca="false">'Aturan &amp; Tarif'!$B$6</f>
        <v>350</v>
      </c>
      <c r="M579" s="35" t="n">
        <f aca="false">I579+J579+K579+L579</f>
        <v>8581.36</v>
      </c>
      <c r="N579" s="36" t="s">
        <v>2219</v>
      </c>
    </row>
    <row r="580" customFormat="false" ht="14.25" hidden="false" customHeight="true" outlineLevel="0" collapsed="false">
      <c r="A580" s="29"/>
      <c r="B580" s="30" t="s">
        <v>1902</v>
      </c>
      <c r="C580" s="31" t="s">
        <v>107</v>
      </c>
      <c r="D580" s="31" t="s">
        <v>108</v>
      </c>
      <c r="E580" s="32" t="n">
        <v>2000</v>
      </c>
      <c r="F580" s="32" t="n">
        <v>1000</v>
      </c>
      <c r="G580" s="32" t="n">
        <v>500</v>
      </c>
      <c r="H580" s="33" t="n">
        <v>2</v>
      </c>
      <c r="I580" s="34" t="n">
        <f aca="false">E580*H580+N(F580)+N(G580)</f>
        <v>5500</v>
      </c>
      <c r="J580" s="32" t="n">
        <f aca="false">ROUND(IFERROR(ROUND(IF(OR(ISNUMBER(SEARCH("week",C580)),ISNUMBER(SEARCH("minggu",C580))),IFERROR(_xlfn.NUMBERVALUE(SUBSTITUTE(LEFT(TRIM(C580),FIND(" ",TRIM(C580)&amp;" ")-1),",","."),"."),LEFT(SUBSTITUTE(LEFT(TRIM(C580),FIND(" ",TRIM(C580)&amp;" ")-1),",","."),FIND("/",SUBSTITUTE(LEFT(TRIM(C580),FIND(" ",TRIM(C580)&amp;" ")-1),",","."))-1)/MID(SUBSTITUTE(LEFT(TRIM(C580),FIND(" ",TRIM(C580)&amp;" ")-1),",","."),FIND("/",SUBSTITUTE(LEFT(TRIM(C580),FIND(" ",TRIM(C580)&amp;" ")-1),",","."))+1,9))*12/52,IF(ISNUMBER(SEARCH("month",C580)),IFERROR(_xlfn.NUMBERVALUE(SUBSTITUTE(LEFT(TRIM(C580),FIND(" ",TRIM(C580)&amp;" ")-1),",","."),"."),LEFT(SUBSTITUTE(LEFT(TRIM(C580),FIND(" ",TRIM(C580)&amp;" ")-1),",","."),FIND("/",SUBSTITUTE(LEFT(TRIM(C580),FIND(" ",TRIM(C580)&amp;" ")-1),",","."))-1)/MID(SUBSTITUTE(LEFT(TRIM(C580),FIND(" ",TRIM(C580)&amp;" ")-1),",","."),FIND("/",SUBSTITUTE(LEFT(TRIM(C580),FIND(" ",TRIM(C580)&amp;" ")-1),",","."))+1,9)),IF(ISNUMBER(SEARCH("yea",C580)),IFERROR(_xlfn.NUMBERVALUE(SUBSTITUTE(LEFT(TRIM(C580),FIND(" ",TRIM(C580)&amp;" ")-1),",","."),"."),LEFT(SUBSTITUTE(LEFT(TRIM(C580),FIND(" ",TRIM(C580)&amp;" ")-1),",","."),FIND("/",SUBSTITUTE(LEFT(TRIM(C580),FIND(" ",TRIM(C580)&amp;" ")-1),",","."))-1)/MID(SUBSTITUTE(LEFT(TRIM(C580),FIND(" ",TRIM(C580)&amp;" ")-1),",","."),FIND("/",SUBSTITUTE(LEFT(TRIM(C580),FIND(" ",TRIM(C580)&amp;" ")-1),",","."))+1,9))*12,NA()))),0),24)*'Aturan &amp; Tarif'!$B$4,2)</f>
        <v>1362.72</v>
      </c>
      <c r="K580" s="32" t="n">
        <f aca="false">'Aturan &amp; Tarif'!$B$5</f>
        <v>2050</v>
      </c>
      <c r="L580" s="32" t="n">
        <f aca="false">'Aturan &amp; Tarif'!$B$6</f>
        <v>350</v>
      </c>
      <c r="M580" s="35" t="n">
        <f aca="false">I580+J580+K580+L580</f>
        <v>9262.72</v>
      </c>
      <c r="N580" s="36" t="s">
        <v>2220</v>
      </c>
    </row>
    <row r="581" customFormat="false" ht="14.25" hidden="false" customHeight="true" outlineLevel="0" collapsed="false">
      <c r="A581" s="29"/>
      <c r="B581" s="30" t="s">
        <v>143</v>
      </c>
      <c r="C581" s="31" t="s">
        <v>107</v>
      </c>
      <c r="D581" s="31" t="s">
        <v>108</v>
      </c>
      <c r="E581" s="32" t="n">
        <v>2000</v>
      </c>
      <c r="F581" s="32" t="n">
        <v>1000</v>
      </c>
      <c r="G581" s="32" t="n">
        <v>500</v>
      </c>
      <c r="H581" s="33" t="n">
        <v>2</v>
      </c>
      <c r="I581" s="34" t="n">
        <f aca="false">E581*H581+N(F581)+N(G581)</f>
        <v>5500</v>
      </c>
      <c r="J581" s="32" t="n">
        <f aca="false">ROUND(IFERROR(ROUND(IF(OR(ISNUMBER(SEARCH("week",C581)),ISNUMBER(SEARCH("minggu",C581))),IFERROR(_xlfn.NUMBERVALUE(SUBSTITUTE(LEFT(TRIM(C581),FIND(" ",TRIM(C581)&amp;" ")-1),",","."),"."),LEFT(SUBSTITUTE(LEFT(TRIM(C581),FIND(" ",TRIM(C581)&amp;" ")-1),",","."),FIND("/",SUBSTITUTE(LEFT(TRIM(C581),FIND(" ",TRIM(C581)&amp;" ")-1),",","."))-1)/MID(SUBSTITUTE(LEFT(TRIM(C581),FIND(" ",TRIM(C581)&amp;" ")-1),",","."),FIND("/",SUBSTITUTE(LEFT(TRIM(C581),FIND(" ",TRIM(C581)&amp;" ")-1),",","."))+1,9))*12/52,IF(ISNUMBER(SEARCH("month",C581)),IFERROR(_xlfn.NUMBERVALUE(SUBSTITUTE(LEFT(TRIM(C581),FIND(" ",TRIM(C581)&amp;" ")-1),",","."),"."),LEFT(SUBSTITUTE(LEFT(TRIM(C581),FIND(" ",TRIM(C581)&amp;" ")-1),",","."),FIND("/",SUBSTITUTE(LEFT(TRIM(C581),FIND(" ",TRIM(C581)&amp;" ")-1),",","."))-1)/MID(SUBSTITUTE(LEFT(TRIM(C581),FIND(" ",TRIM(C581)&amp;" ")-1),",","."),FIND("/",SUBSTITUTE(LEFT(TRIM(C581),FIND(" ",TRIM(C581)&amp;" ")-1),",","."))+1,9)),IF(ISNUMBER(SEARCH("yea",C581)),IFERROR(_xlfn.NUMBERVALUE(SUBSTITUTE(LEFT(TRIM(C581),FIND(" ",TRIM(C581)&amp;" ")-1),",","."),"."),LEFT(SUBSTITUTE(LEFT(TRIM(C581),FIND(" ",TRIM(C581)&amp;" ")-1),",","."),FIND("/",SUBSTITUTE(LEFT(TRIM(C581),FIND(" ",TRIM(C581)&amp;" ")-1),",","."))-1)/MID(SUBSTITUTE(LEFT(TRIM(C581),FIND(" ",TRIM(C581)&amp;" ")-1),",","."),FIND("/",SUBSTITUTE(LEFT(TRIM(C581),FIND(" ",TRIM(C581)&amp;" ")-1),",","."))+1,9))*12,NA()))),0),24)*'Aturan &amp; Tarif'!$B$4,2)</f>
        <v>1362.72</v>
      </c>
      <c r="K581" s="32" t="n">
        <f aca="false">'Aturan &amp; Tarif'!$B$5</f>
        <v>2050</v>
      </c>
      <c r="L581" s="32" t="n">
        <f aca="false">'Aturan &amp; Tarif'!$B$6</f>
        <v>350</v>
      </c>
      <c r="M581" s="35" t="n">
        <f aca="false">I581+J581+K581+L581</f>
        <v>9262.72</v>
      </c>
      <c r="N581" s="36" t="s">
        <v>2220</v>
      </c>
    </row>
    <row r="582" customFormat="false" ht="14.25" hidden="false" customHeight="true" outlineLevel="0" collapsed="false">
      <c r="A582" s="29"/>
      <c r="B582" s="30" t="s">
        <v>652</v>
      </c>
      <c r="C582" s="31" t="s">
        <v>107</v>
      </c>
      <c r="D582" s="31" t="s">
        <v>108</v>
      </c>
      <c r="E582" s="32" t="n">
        <v>1500</v>
      </c>
      <c r="F582" s="32" t="n">
        <v>500</v>
      </c>
      <c r="G582" s="32" t="n">
        <v>500</v>
      </c>
      <c r="H582" s="33" t="n">
        <v>2</v>
      </c>
      <c r="I582" s="34" t="n">
        <f aca="false">E582*H582+N(F582)+N(G582)</f>
        <v>4000</v>
      </c>
      <c r="J582" s="32" t="n">
        <f aca="false">ROUND(IFERROR(ROUND(IF(OR(ISNUMBER(SEARCH("week",C582)),ISNUMBER(SEARCH("minggu",C582))),IFERROR(_xlfn.NUMBERVALUE(SUBSTITUTE(LEFT(TRIM(C582),FIND(" ",TRIM(C582)&amp;" ")-1),",","."),"."),LEFT(SUBSTITUTE(LEFT(TRIM(C582),FIND(" ",TRIM(C582)&amp;" ")-1),",","."),FIND("/",SUBSTITUTE(LEFT(TRIM(C582),FIND(" ",TRIM(C582)&amp;" ")-1),",","."))-1)/MID(SUBSTITUTE(LEFT(TRIM(C582),FIND(" ",TRIM(C582)&amp;" ")-1),",","."),FIND("/",SUBSTITUTE(LEFT(TRIM(C582),FIND(" ",TRIM(C582)&amp;" ")-1),",","."))+1,9))*12/52,IF(ISNUMBER(SEARCH("month",C582)),IFERROR(_xlfn.NUMBERVALUE(SUBSTITUTE(LEFT(TRIM(C582),FIND(" ",TRIM(C582)&amp;" ")-1),",","."),"."),LEFT(SUBSTITUTE(LEFT(TRIM(C582),FIND(" ",TRIM(C582)&amp;" ")-1),",","."),FIND("/",SUBSTITUTE(LEFT(TRIM(C582),FIND(" ",TRIM(C582)&amp;" ")-1),",","."))-1)/MID(SUBSTITUTE(LEFT(TRIM(C582),FIND(" ",TRIM(C582)&amp;" ")-1),",","."),FIND("/",SUBSTITUTE(LEFT(TRIM(C582),FIND(" ",TRIM(C582)&amp;" ")-1),",","."))+1,9)),IF(ISNUMBER(SEARCH("yea",C582)),IFERROR(_xlfn.NUMBERVALUE(SUBSTITUTE(LEFT(TRIM(C582),FIND(" ",TRIM(C582)&amp;" ")-1),",","."),"."),LEFT(SUBSTITUTE(LEFT(TRIM(C582),FIND(" ",TRIM(C582)&amp;" ")-1),",","."),FIND("/",SUBSTITUTE(LEFT(TRIM(C582),FIND(" ",TRIM(C582)&amp;" ")-1),",","."))-1)/MID(SUBSTITUTE(LEFT(TRIM(C582),FIND(" ",TRIM(C582)&amp;" ")-1),",","."),FIND("/",SUBSTITUTE(LEFT(TRIM(C582),FIND(" ",TRIM(C582)&amp;" ")-1),",","."))+1,9))*12,NA()))),0),24)*'Aturan &amp; Tarif'!$B$4,2)</f>
        <v>1362.72</v>
      </c>
      <c r="K582" s="32" t="n">
        <f aca="false">'Aturan &amp; Tarif'!$B$5</f>
        <v>2050</v>
      </c>
      <c r="L582" s="32" t="n">
        <f aca="false">'Aturan &amp; Tarif'!$B$6</f>
        <v>350</v>
      </c>
      <c r="M582" s="35" t="n">
        <f aca="false">I582+J582+K582+L582</f>
        <v>7762.72</v>
      </c>
      <c r="N582" s="36" t="s">
        <v>2221</v>
      </c>
    </row>
    <row r="583" customFormat="false" ht="25.5" hidden="false" customHeight="true" outlineLevel="0" collapsed="false">
      <c r="A583" s="29" t="s">
        <v>2222</v>
      </c>
      <c r="B583" s="30" t="s">
        <v>2223</v>
      </c>
      <c r="C583" s="31" t="s">
        <v>138</v>
      </c>
      <c r="D583" s="31" t="s">
        <v>108</v>
      </c>
      <c r="E583" s="32" t="n">
        <v>2000</v>
      </c>
      <c r="F583" s="32" t="n">
        <v>200</v>
      </c>
      <c r="G583" s="32" t="n">
        <v>200</v>
      </c>
      <c r="H583" s="33" t="n">
        <v>1</v>
      </c>
      <c r="I583" s="34" t="n">
        <f aca="false">E583*H583+N(F583)+N(G583)</f>
        <v>2400</v>
      </c>
      <c r="J583" s="32" t="n">
        <f aca="false">ROUND(IFERROR(ROUND(IF(OR(ISNUMBER(SEARCH("week",C583)),ISNUMBER(SEARCH("minggu",C583))),IFERROR(_xlfn.NUMBERVALUE(SUBSTITUTE(LEFT(TRIM(C583),FIND(" ",TRIM(C583)&amp;" ")-1),",","."),"."),LEFT(SUBSTITUTE(LEFT(TRIM(C583),FIND(" ",TRIM(C583)&amp;" ")-1),",","."),FIND("/",SUBSTITUTE(LEFT(TRIM(C583),FIND(" ",TRIM(C583)&amp;" ")-1),",","."))-1)/MID(SUBSTITUTE(LEFT(TRIM(C583),FIND(" ",TRIM(C583)&amp;" ")-1),",","."),FIND("/",SUBSTITUTE(LEFT(TRIM(C583),FIND(" ",TRIM(C583)&amp;" ")-1),",","."))+1,9))*12/52,IF(ISNUMBER(SEARCH("month",C583)),IFERROR(_xlfn.NUMBERVALUE(SUBSTITUTE(LEFT(TRIM(C583),FIND(" ",TRIM(C583)&amp;" ")-1),",","."),"."),LEFT(SUBSTITUTE(LEFT(TRIM(C583),FIND(" ",TRIM(C583)&amp;" ")-1),",","."),FIND("/",SUBSTITUTE(LEFT(TRIM(C583),FIND(" ",TRIM(C583)&amp;" ")-1),",","."))-1)/MID(SUBSTITUTE(LEFT(TRIM(C583),FIND(" ",TRIM(C583)&amp;" ")-1),",","."),FIND("/",SUBSTITUTE(LEFT(TRIM(C583),FIND(" ",TRIM(C583)&amp;" ")-1),",","."))+1,9)),IF(ISNUMBER(SEARCH("yea",C583)),IFERROR(_xlfn.NUMBERVALUE(SUBSTITUTE(LEFT(TRIM(C583),FIND(" ",TRIM(C583)&amp;" ")-1),",","."),"."),LEFT(SUBSTITUTE(LEFT(TRIM(C583),FIND(" ",TRIM(C583)&amp;" ")-1),",","."),FIND("/",SUBSTITUTE(LEFT(TRIM(C583),FIND(" ",TRIM(C583)&amp;" ")-1),",","."))-1)/MID(SUBSTITUTE(LEFT(TRIM(C583),FIND(" ",TRIM(C583)&amp;" ")-1),",","."),FIND("/",SUBSTITUTE(LEFT(TRIM(C583),FIND(" ",TRIM(C583)&amp;" ")-1),",","."))+1,9))*12,NA()))),0),30)*'Aturan &amp; Tarif'!$B$4,2)</f>
        <v>1703.4</v>
      </c>
      <c r="K583" s="32" t="n">
        <f aca="false">'Aturan &amp; Tarif'!$B$5</f>
        <v>2050</v>
      </c>
      <c r="L583" s="32" t="n">
        <f aca="false">'Aturan &amp; Tarif'!$B$6</f>
        <v>350</v>
      </c>
      <c r="M583" s="35" t="n">
        <f aca="false">I583+J583+K583+L583</f>
        <v>6503.4</v>
      </c>
      <c r="N583" s="37" t="s">
        <v>134</v>
      </c>
    </row>
    <row r="584" customFormat="false" ht="14.25" hidden="false" customHeight="true" outlineLevel="0" collapsed="false">
      <c r="A584" s="29"/>
      <c r="B584" s="30" t="s">
        <v>2224</v>
      </c>
      <c r="C584" s="31" t="s">
        <v>2225</v>
      </c>
      <c r="D584" s="31" t="s">
        <v>108</v>
      </c>
      <c r="E584" s="32" t="n">
        <v>2000</v>
      </c>
      <c r="F584" s="32" t="n">
        <v>200</v>
      </c>
      <c r="G584" s="32" t="n">
        <v>200</v>
      </c>
      <c r="H584" s="33" t="n">
        <v>1</v>
      </c>
      <c r="I584" s="34" t="n">
        <f aca="false">E584*H584+N(F584)+N(G584)</f>
        <v>2400</v>
      </c>
      <c r="J584" s="32" t="n">
        <f aca="false">ROUND(IFERROR(ROUND(IF(OR(ISNUMBER(SEARCH("week",C584)),ISNUMBER(SEARCH("minggu",C584))),IFERROR(_xlfn.NUMBERVALUE(SUBSTITUTE(LEFT(TRIM(C584),FIND(" ",TRIM(C584)&amp;" ")-1),",","."),"."),LEFT(SUBSTITUTE(LEFT(TRIM(C584),FIND(" ",TRIM(C584)&amp;" ")-1),",","."),FIND("/",SUBSTITUTE(LEFT(TRIM(C584),FIND(" ",TRIM(C584)&amp;" ")-1),",","."))-1)/MID(SUBSTITUTE(LEFT(TRIM(C584),FIND(" ",TRIM(C584)&amp;" ")-1),",","."),FIND("/",SUBSTITUTE(LEFT(TRIM(C584),FIND(" ",TRIM(C584)&amp;" ")-1),",","."))+1,9))*12/52,IF(ISNUMBER(SEARCH("month",C584)),IFERROR(_xlfn.NUMBERVALUE(SUBSTITUTE(LEFT(TRIM(C584),FIND(" ",TRIM(C584)&amp;" ")-1),",","."),"."),LEFT(SUBSTITUTE(LEFT(TRIM(C584),FIND(" ",TRIM(C584)&amp;" ")-1),",","."),FIND("/",SUBSTITUTE(LEFT(TRIM(C584),FIND(" ",TRIM(C584)&amp;" ")-1),",","."))-1)/MID(SUBSTITUTE(LEFT(TRIM(C584),FIND(" ",TRIM(C584)&amp;" ")-1),",","."),FIND("/",SUBSTITUTE(LEFT(TRIM(C584),FIND(" ",TRIM(C584)&amp;" ")-1),",","."))+1,9)),IF(ISNUMBER(SEARCH("yea",C584)),IFERROR(_xlfn.NUMBERVALUE(SUBSTITUTE(LEFT(TRIM(C584),FIND(" ",TRIM(C584)&amp;" ")-1),",","."),"."),LEFT(SUBSTITUTE(LEFT(TRIM(C584),FIND(" ",TRIM(C584)&amp;" ")-1),",","."),FIND("/",SUBSTITUTE(LEFT(TRIM(C584),FIND(" ",TRIM(C584)&amp;" ")-1),",","."))-1)/MID(SUBSTITUTE(LEFT(TRIM(C584),FIND(" ",TRIM(C584)&amp;" ")-1),",","."),FIND("/",SUBSTITUTE(LEFT(TRIM(C584),FIND(" ",TRIM(C584)&amp;" ")-1),",","."))+1,9))*12,NA()))),0),48)*'Aturan &amp; Tarif'!$B$4,2)</f>
        <v>2725.44</v>
      </c>
      <c r="K584" s="32" t="n">
        <f aca="false">'Aturan &amp; Tarif'!$B$5</f>
        <v>2050</v>
      </c>
      <c r="L584" s="32" t="n">
        <f aca="false">'Aturan &amp; Tarif'!$B$6</f>
        <v>350</v>
      </c>
      <c r="M584" s="35" t="n">
        <f aca="false">I584+J584+K584+L584</f>
        <v>7525.44</v>
      </c>
      <c r="N584" s="36" t="s">
        <v>2226</v>
      </c>
    </row>
    <row r="585" customFormat="false" ht="25.5" hidden="false" customHeight="true" outlineLevel="0" collapsed="false">
      <c r="A585" s="29"/>
      <c r="B585" s="30" t="s">
        <v>1596</v>
      </c>
      <c r="C585" s="31" t="s">
        <v>138</v>
      </c>
      <c r="D585" s="31" t="s">
        <v>108</v>
      </c>
      <c r="E585" s="32" t="n">
        <v>2000</v>
      </c>
      <c r="F585" s="32" t="n">
        <v>200</v>
      </c>
      <c r="G585" s="32" t="n">
        <v>200</v>
      </c>
      <c r="H585" s="33" t="n">
        <v>1</v>
      </c>
      <c r="I585" s="34" t="n">
        <f aca="false">E585*H585+N(F585)+N(G585)</f>
        <v>2400</v>
      </c>
      <c r="J585" s="32" t="n">
        <f aca="false">ROUND(IFERROR(ROUND(IF(OR(ISNUMBER(SEARCH("week",C585)),ISNUMBER(SEARCH("minggu",C585))),IFERROR(_xlfn.NUMBERVALUE(SUBSTITUTE(LEFT(TRIM(C585),FIND(" ",TRIM(C585)&amp;" ")-1),",","."),"."),LEFT(SUBSTITUTE(LEFT(TRIM(C585),FIND(" ",TRIM(C585)&amp;" ")-1),",","."),FIND("/",SUBSTITUTE(LEFT(TRIM(C585),FIND(" ",TRIM(C585)&amp;" ")-1),",","."))-1)/MID(SUBSTITUTE(LEFT(TRIM(C585),FIND(" ",TRIM(C585)&amp;" ")-1),",","."),FIND("/",SUBSTITUTE(LEFT(TRIM(C585),FIND(" ",TRIM(C585)&amp;" ")-1),",","."))+1,9))*12/52,IF(ISNUMBER(SEARCH("month",C585)),IFERROR(_xlfn.NUMBERVALUE(SUBSTITUTE(LEFT(TRIM(C585),FIND(" ",TRIM(C585)&amp;" ")-1),",","."),"."),LEFT(SUBSTITUTE(LEFT(TRIM(C585),FIND(" ",TRIM(C585)&amp;" ")-1),",","."),FIND("/",SUBSTITUTE(LEFT(TRIM(C585),FIND(" ",TRIM(C585)&amp;" ")-1),",","."))-1)/MID(SUBSTITUTE(LEFT(TRIM(C585),FIND(" ",TRIM(C585)&amp;" ")-1),",","."),FIND("/",SUBSTITUTE(LEFT(TRIM(C585),FIND(" ",TRIM(C585)&amp;" ")-1),",","."))+1,9)),IF(ISNUMBER(SEARCH("yea",C585)),IFERROR(_xlfn.NUMBERVALUE(SUBSTITUTE(LEFT(TRIM(C585),FIND(" ",TRIM(C585)&amp;" ")-1),",","."),"."),LEFT(SUBSTITUTE(LEFT(TRIM(C585),FIND(" ",TRIM(C585)&amp;" ")-1),",","."),FIND("/",SUBSTITUTE(LEFT(TRIM(C585),FIND(" ",TRIM(C585)&amp;" ")-1),",","."))-1)/MID(SUBSTITUTE(LEFT(TRIM(C585),FIND(" ",TRIM(C585)&amp;" ")-1),",","."),FIND("/",SUBSTITUTE(LEFT(TRIM(C585),FIND(" ",TRIM(C585)&amp;" ")-1),",","."))+1,9))*12,NA()))),0),30)*'Aturan &amp; Tarif'!$B$4,2)</f>
        <v>1703.4</v>
      </c>
      <c r="K585" s="32" t="n">
        <f aca="false">'Aturan &amp; Tarif'!$B$5</f>
        <v>2050</v>
      </c>
      <c r="L585" s="32" t="n">
        <f aca="false">'Aturan &amp; Tarif'!$B$6</f>
        <v>350</v>
      </c>
      <c r="M585" s="35" t="n">
        <f aca="false">I585+J585+K585+L585</f>
        <v>6503.4</v>
      </c>
      <c r="N585" s="37" t="s">
        <v>134</v>
      </c>
    </row>
    <row r="586" customFormat="false" ht="25.5" hidden="false" customHeight="true" outlineLevel="0" collapsed="false">
      <c r="A586" s="29"/>
      <c r="B586" s="30" t="s">
        <v>2227</v>
      </c>
      <c r="C586" s="31" t="s">
        <v>2225</v>
      </c>
      <c r="D586" s="31" t="s">
        <v>108</v>
      </c>
      <c r="E586" s="32" t="n">
        <v>2000</v>
      </c>
      <c r="F586" s="32" t="n">
        <v>200</v>
      </c>
      <c r="G586" s="32" t="n">
        <v>200</v>
      </c>
      <c r="H586" s="33" t="n">
        <v>1</v>
      </c>
      <c r="I586" s="34" t="n">
        <f aca="false">E586*H586+N(F586)+N(G586)</f>
        <v>2400</v>
      </c>
      <c r="J586" s="32" t="n">
        <f aca="false">ROUND(IFERROR(ROUND(IF(OR(ISNUMBER(SEARCH("week",C586)),ISNUMBER(SEARCH("minggu",C586))),IFERROR(_xlfn.NUMBERVALUE(SUBSTITUTE(LEFT(TRIM(C586),FIND(" ",TRIM(C586)&amp;" ")-1),",","."),"."),LEFT(SUBSTITUTE(LEFT(TRIM(C586),FIND(" ",TRIM(C586)&amp;" ")-1),",","."),FIND("/",SUBSTITUTE(LEFT(TRIM(C586),FIND(" ",TRIM(C586)&amp;" ")-1),",","."))-1)/MID(SUBSTITUTE(LEFT(TRIM(C586),FIND(" ",TRIM(C586)&amp;" ")-1),",","."),FIND("/",SUBSTITUTE(LEFT(TRIM(C586),FIND(" ",TRIM(C586)&amp;" ")-1),",","."))+1,9))*12/52,IF(ISNUMBER(SEARCH("month",C586)),IFERROR(_xlfn.NUMBERVALUE(SUBSTITUTE(LEFT(TRIM(C586),FIND(" ",TRIM(C586)&amp;" ")-1),",","."),"."),LEFT(SUBSTITUTE(LEFT(TRIM(C586),FIND(" ",TRIM(C586)&amp;" ")-1),",","."),FIND("/",SUBSTITUTE(LEFT(TRIM(C586),FIND(" ",TRIM(C586)&amp;" ")-1),",","."))-1)/MID(SUBSTITUTE(LEFT(TRIM(C586),FIND(" ",TRIM(C586)&amp;" ")-1),",","."),FIND("/",SUBSTITUTE(LEFT(TRIM(C586),FIND(" ",TRIM(C586)&amp;" ")-1),",","."))+1,9)),IF(ISNUMBER(SEARCH("yea",C586)),IFERROR(_xlfn.NUMBERVALUE(SUBSTITUTE(LEFT(TRIM(C586),FIND(" ",TRIM(C586)&amp;" ")-1),",","."),"."),LEFT(SUBSTITUTE(LEFT(TRIM(C586),FIND(" ",TRIM(C586)&amp;" ")-1),",","."),FIND("/",SUBSTITUTE(LEFT(TRIM(C586),FIND(" ",TRIM(C586)&amp;" ")-1),",","."))-1)/MID(SUBSTITUTE(LEFT(TRIM(C586),FIND(" ",TRIM(C586)&amp;" ")-1),",","."),FIND("/",SUBSTITUTE(LEFT(TRIM(C586),FIND(" ",TRIM(C586)&amp;" ")-1),",","."))+1,9))*12,NA()))),0),48)*'Aturan &amp; Tarif'!$B$4,2)</f>
        <v>2725.44</v>
      </c>
      <c r="K586" s="32" t="n">
        <f aca="false">'Aturan &amp; Tarif'!$B$5</f>
        <v>2050</v>
      </c>
      <c r="L586" s="32" t="n">
        <f aca="false">'Aturan &amp; Tarif'!$B$6</f>
        <v>350</v>
      </c>
      <c r="M586" s="35" t="n">
        <f aca="false">I586+J586+K586+L586</f>
        <v>7525.44</v>
      </c>
      <c r="N586" s="37" t="s">
        <v>134</v>
      </c>
    </row>
    <row r="587" customFormat="false" ht="37.5" hidden="false" customHeight="true" outlineLevel="0" collapsed="false">
      <c r="A587" s="29"/>
      <c r="B587" s="30" t="s">
        <v>2228</v>
      </c>
      <c r="C587" s="31" t="s">
        <v>138</v>
      </c>
      <c r="D587" s="31" t="s">
        <v>108</v>
      </c>
      <c r="E587" s="32" t="n">
        <v>2000</v>
      </c>
      <c r="F587" s="32" t="n">
        <v>200</v>
      </c>
      <c r="G587" s="32" t="n">
        <v>200</v>
      </c>
      <c r="H587" s="33" t="n">
        <v>1</v>
      </c>
      <c r="I587" s="34" t="n">
        <f aca="false">E587*H587+N(F587)+N(G587)</f>
        <v>2400</v>
      </c>
      <c r="J587" s="32" t="n">
        <f aca="false">ROUND(IFERROR(ROUND(IF(OR(ISNUMBER(SEARCH("week",C587)),ISNUMBER(SEARCH("minggu",C587))),IFERROR(_xlfn.NUMBERVALUE(SUBSTITUTE(LEFT(TRIM(C587),FIND(" ",TRIM(C587)&amp;" ")-1),",","."),"."),LEFT(SUBSTITUTE(LEFT(TRIM(C587),FIND(" ",TRIM(C587)&amp;" ")-1),",","."),FIND("/",SUBSTITUTE(LEFT(TRIM(C587),FIND(" ",TRIM(C587)&amp;" ")-1),",","."))-1)/MID(SUBSTITUTE(LEFT(TRIM(C587),FIND(" ",TRIM(C587)&amp;" ")-1),",","."),FIND("/",SUBSTITUTE(LEFT(TRIM(C587),FIND(" ",TRIM(C587)&amp;" ")-1),",","."))+1,9))*12/52,IF(ISNUMBER(SEARCH("month",C587)),IFERROR(_xlfn.NUMBERVALUE(SUBSTITUTE(LEFT(TRIM(C587),FIND(" ",TRIM(C587)&amp;" ")-1),",","."),"."),LEFT(SUBSTITUTE(LEFT(TRIM(C587),FIND(" ",TRIM(C587)&amp;" ")-1),",","."),FIND("/",SUBSTITUTE(LEFT(TRIM(C587),FIND(" ",TRIM(C587)&amp;" ")-1),",","."))-1)/MID(SUBSTITUTE(LEFT(TRIM(C587),FIND(" ",TRIM(C587)&amp;" ")-1),",","."),FIND("/",SUBSTITUTE(LEFT(TRIM(C587),FIND(" ",TRIM(C587)&amp;" ")-1),",","."))+1,9)),IF(ISNUMBER(SEARCH("yea",C587)),IFERROR(_xlfn.NUMBERVALUE(SUBSTITUTE(LEFT(TRIM(C587),FIND(" ",TRIM(C587)&amp;" ")-1),",","."),"."),LEFT(SUBSTITUTE(LEFT(TRIM(C587),FIND(" ",TRIM(C587)&amp;" ")-1),",","."),FIND("/",SUBSTITUTE(LEFT(TRIM(C587),FIND(" ",TRIM(C587)&amp;" ")-1),",","."))-1)/MID(SUBSTITUTE(LEFT(TRIM(C587),FIND(" ",TRIM(C587)&amp;" ")-1),",","."),FIND("/",SUBSTITUTE(LEFT(TRIM(C587),FIND(" ",TRIM(C587)&amp;" ")-1),",","."))+1,9))*12,NA()))),0),30)*'Aturan &amp; Tarif'!$B$4,2)</f>
        <v>1703.4</v>
      </c>
      <c r="K587" s="32" t="n">
        <f aca="false">'Aturan &amp; Tarif'!$B$5</f>
        <v>2050</v>
      </c>
      <c r="L587" s="32" t="n">
        <f aca="false">'Aturan &amp; Tarif'!$B$6</f>
        <v>350</v>
      </c>
      <c r="M587" s="35" t="n">
        <f aca="false">I587+J587+K587+L587</f>
        <v>6503.4</v>
      </c>
      <c r="N587" s="37" t="s">
        <v>134</v>
      </c>
    </row>
    <row r="588" customFormat="false" ht="37.5" hidden="false" customHeight="true" outlineLevel="0" collapsed="false">
      <c r="A588" s="29"/>
      <c r="B588" s="30" t="s">
        <v>2229</v>
      </c>
      <c r="C588" s="31" t="s">
        <v>2225</v>
      </c>
      <c r="D588" s="31" t="s">
        <v>108</v>
      </c>
      <c r="E588" s="32" t="n">
        <v>2000</v>
      </c>
      <c r="F588" s="32" t="n">
        <v>200</v>
      </c>
      <c r="G588" s="32" t="n">
        <v>200</v>
      </c>
      <c r="H588" s="33" t="n">
        <v>1</v>
      </c>
      <c r="I588" s="34" t="n">
        <f aca="false">E588*H588+N(F588)+N(G588)</f>
        <v>2400</v>
      </c>
      <c r="J588" s="32" t="n">
        <f aca="false">ROUND(IFERROR(ROUND(IF(OR(ISNUMBER(SEARCH("week",C588)),ISNUMBER(SEARCH("minggu",C588))),IFERROR(_xlfn.NUMBERVALUE(SUBSTITUTE(LEFT(TRIM(C588),FIND(" ",TRIM(C588)&amp;" ")-1),",","."),"."),LEFT(SUBSTITUTE(LEFT(TRIM(C588),FIND(" ",TRIM(C588)&amp;" ")-1),",","."),FIND("/",SUBSTITUTE(LEFT(TRIM(C588),FIND(" ",TRIM(C588)&amp;" ")-1),",","."))-1)/MID(SUBSTITUTE(LEFT(TRIM(C588),FIND(" ",TRIM(C588)&amp;" ")-1),",","."),FIND("/",SUBSTITUTE(LEFT(TRIM(C588),FIND(" ",TRIM(C588)&amp;" ")-1),",","."))+1,9))*12/52,IF(ISNUMBER(SEARCH("month",C588)),IFERROR(_xlfn.NUMBERVALUE(SUBSTITUTE(LEFT(TRIM(C588),FIND(" ",TRIM(C588)&amp;" ")-1),",","."),"."),LEFT(SUBSTITUTE(LEFT(TRIM(C588),FIND(" ",TRIM(C588)&amp;" ")-1),",","."),FIND("/",SUBSTITUTE(LEFT(TRIM(C588),FIND(" ",TRIM(C588)&amp;" ")-1),",","."))-1)/MID(SUBSTITUTE(LEFT(TRIM(C588),FIND(" ",TRIM(C588)&amp;" ")-1),",","."),FIND("/",SUBSTITUTE(LEFT(TRIM(C588),FIND(" ",TRIM(C588)&amp;" ")-1),",","."))+1,9)),IF(ISNUMBER(SEARCH("yea",C588)),IFERROR(_xlfn.NUMBERVALUE(SUBSTITUTE(LEFT(TRIM(C588),FIND(" ",TRIM(C588)&amp;" ")-1),",","."),"."),LEFT(SUBSTITUTE(LEFT(TRIM(C588),FIND(" ",TRIM(C588)&amp;" ")-1),",","."),FIND("/",SUBSTITUTE(LEFT(TRIM(C588),FIND(" ",TRIM(C588)&amp;" ")-1),",","."))-1)/MID(SUBSTITUTE(LEFT(TRIM(C588),FIND(" ",TRIM(C588)&amp;" ")-1),",","."),FIND("/",SUBSTITUTE(LEFT(TRIM(C588),FIND(" ",TRIM(C588)&amp;" ")-1),",","."))+1,9))*12,NA()))),0),48)*'Aturan &amp; Tarif'!$B$4,2)</f>
        <v>2725.44</v>
      </c>
      <c r="K588" s="32" t="n">
        <f aca="false">'Aturan &amp; Tarif'!$B$5</f>
        <v>2050</v>
      </c>
      <c r="L588" s="32" t="n">
        <f aca="false">'Aturan &amp; Tarif'!$B$6</f>
        <v>350</v>
      </c>
      <c r="M588" s="35" t="n">
        <f aca="false">I588+J588+K588+L588</f>
        <v>7525.44</v>
      </c>
      <c r="N588" s="36" t="s">
        <v>2230</v>
      </c>
    </row>
    <row r="589" customFormat="false" ht="37.5" hidden="false" customHeight="true" outlineLevel="0" collapsed="false">
      <c r="A589" s="29"/>
      <c r="B589" s="30" t="s">
        <v>2231</v>
      </c>
      <c r="C589" s="31" t="s">
        <v>138</v>
      </c>
      <c r="D589" s="31" t="s">
        <v>108</v>
      </c>
      <c r="E589" s="32" t="n">
        <v>2000</v>
      </c>
      <c r="F589" s="32" t="n">
        <v>600</v>
      </c>
      <c r="G589" s="32" t="n">
        <v>200</v>
      </c>
      <c r="H589" s="33" t="n">
        <v>1</v>
      </c>
      <c r="I589" s="34" t="n">
        <f aca="false">E589*H589+N(F589)+N(G589)</f>
        <v>2800</v>
      </c>
      <c r="J589" s="32" t="n">
        <f aca="false">ROUND(IFERROR(ROUND(IF(OR(ISNUMBER(SEARCH("week",C589)),ISNUMBER(SEARCH("minggu",C589))),IFERROR(_xlfn.NUMBERVALUE(SUBSTITUTE(LEFT(TRIM(C589),FIND(" ",TRIM(C589)&amp;" ")-1),",","."),"."),LEFT(SUBSTITUTE(LEFT(TRIM(C589),FIND(" ",TRIM(C589)&amp;" ")-1),",","."),FIND("/",SUBSTITUTE(LEFT(TRIM(C589),FIND(" ",TRIM(C589)&amp;" ")-1),",","."))-1)/MID(SUBSTITUTE(LEFT(TRIM(C589),FIND(" ",TRIM(C589)&amp;" ")-1),",","."),FIND("/",SUBSTITUTE(LEFT(TRIM(C589),FIND(" ",TRIM(C589)&amp;" ")-1),",","."))+1,9))*12/52,IF(ISNUMBER(SEARCH("month",C589)),IFERROR(_xlfn.NUMBERVALUE(SUBSTITUTE(LEFT(TRIM(C589),FIND(" ",TRIM(C589)&amp;" ")-1),",","."),"."),LEFT(SUBSTITUTE(LEFT(TRIM(C589),FIND(" ",TRIM(C589)&amp;" ")-1),",","."),FIND("/",SUBSTITUTE(LEFT(TRIM(C589),FIND(" ",TRIM(C589)&amp;" ")-1),",","."))-1)/MID(SUBSTITUTE(LEFT(TRIM(C589),FIND(" ",TRIM(C589)&amp;" ")-1),",","."),FIND("/",SUBSTITUTE(LEFT(TRIM(C589),FIND(" ",TRIM(C589)&amp;" ")-1),",","."))+1,9)),IF(ISNUMBER(SEARCH("yea",C589)),IFERROR(_xlfn.NUMBERVALUE(SUBSTITUTE(LEFT(TRIM(C589),FIND(" ",TRIM(C589)&amp;" ")-1),",","."),"."),LEFT(SUBSTITUTE(LEFT(TRIM(C589),FIND(" ",TRIM(C589)&amp;" ")-1),",","."),FIND("/",SUBSTITUTE(LEFT(TRIM(C589),FIND(" ",TRIM(C589)&amp;" ")-1),",","."))-1)/MID(SUBSTITUTE(LEFT(TRIM(C589),FIND(" ",TRIM(C589)&amp;" ")-1),",","."),FIND("/",SUBSTITUTE(LEFT(TRIM(C589),FIND(" ",TRIM(C589)&amp;" ")-1),",","."))+1,9))*12,NA()))),0),30)*'Aturan &amp; Tarif'!$B$4,2)</f>
        <v>1703.4</v>
      </c>
      <c r="K589" s="32" t="n">
        <f aca="false">'Aturan &amp; Tarif'!$B$5</f>
        <v>2050</v>
      </c>
      <c r="L589" s="32" t="n">
        <f aca="false">'Aturan &amp; Tarif'!$B$6</f>
        <v>350</v>
      </c>
      <c r="M589" s="35" t="n">
        <f aca="false">I589+J589+K589+L589</f>
        <v>6903.4</v>
      </c>
      <c r="N589" s="36" t="s">
        <v>2232</v>
      </c>
    </row>
    <row r="590" customFormat="false" ht="14.25" hidden="false" customHeight="true" outlineLevel="0" collapsed="false">
      <c r="A590" s="29" t="s">
        <v>2233</v>
      </c>
      <c r="B590" s="30" t="s">
        <v>2234</v>
      </c>
      <c r="C590" s="31" t="s">
        <v>127</v>
      </c>
      <c r="D590" s="31" t="s">
        <v>108</v>
      </c>
      <c r="E590" s="32" t="n">
        <v>4500</v>
      </c>
      <c r="F590" s="32" t="n">
        <v>1500</v>
      </c>
      <c r="G590" s="32" t="n">
        <v>250</v>
      </c>
      <c r="H590" s="33" t="n">
        <v>1</v>
      </c>
      <c r="I590" s="34" t="n">
        <f aca="false">E590*H590+N(F590)+N(G590)</f>
        <v>6250</v>
      </c>
      <c r="J590" s="32" t="n">
        <f aca="false">ROUND(IFERROR(ROUND(IF(OR(ISNUMBER(SEARCH("week",C590)),ISNUMBER(SEARCH("minggu",C590))),IFERROR(_xlfn.NUMBERVALUE(SUBSTITUTE(LEFT(TRIM(C590),FIND(" ",TRIM(C590)&amp;" ")-1),",","."),"."),LEFT(SUBSTITUTE(LEFT(TRIM(C590),FIND(" ",TRIM(C590)&amp;" ")-1),",","."),FIND("/",SUBSTITUTE(LEFT(TRIM(C590),FIND(" ",TRIM(C590)&amp;" ")-1),",","."))-1)/MID(SUBSTITUTE(LEFT(TRIM(C590),FIND(" ",TRIM(C590)&amp;" ")-1),",","."),FIND("/",SUBSTITUTE(LEFT(TRIM(C590),FIND(" ",TRIM(C590)&amp;" ")-1),",","."))+1,9))*12/52,IF(ISNUMBER(SEARCH("month",C590)),IFERROR(_xlfn.NUMBERVALUE(SUBSTITUTE(LEFT(TRIM(C590),FIND(" ",TRIM(C590)&amp;" ")-1),",","."),"."),LEFT(SUBSTITUTE(LEFT(TRIM(C590),FIND(" ",TRIM(C590)&amp;" ")-1),",","."),FIND("/",SUBSTITUTE(LEFT(TRIM(C590),FIND(" ",TRIM(C590)&amp;" ")-1),",","."))-1)/MID(SUBSTITUTE(LEFT(TRIM(C590),FIND(" ",TRIM(C590)&amp;" ")-1),",","."),FIND("/",SUBSTITUTE(LEFT(TRIM(C590),FIND(" ",TRIM(C590)&amp;" ")-1),",","."))+1,9)),IF(ISNUMBER(SEARCH("yea",C590)),IFERROR(_xlfn.NUMBERVALUE(SUBSTITUTE(LEFT(TRIM(C590),FIND(" ",TRIM(C590)&amp;" ")-1),",","."),"."),LEFT(SUBSTITUTE(LEFT(TRIM(C590),FIND(" ",TRIM(C590)&amp;" ")-1),",","."),FIND("/",SUBSTITUTE(LEFT(TRIM(C590),FIND(" ",TRIM(C590)&amp;" ")-1),",","."))-1)/MID(SUBSTITUTE(LEFT(TRIM(C590),FIND(" ",TRIM(C590)&amp;" ")-1),",","."),FIND("/",SUBSTITUTE(LEFT(TRIM(C590),FIND(" ",TRIM(C590)&amp;" ")-1),",","."))+1,9))*12,NA()))),0),36)*'Aturan &amp; Tarif'!$B$4,2)</f>
        <v>2044.08</v>
      </c>
      <c r="K590" s="32" t="n">
        <f aca="false">'Aturan &amp; Tarif'!$B$5</f>
        <v>2050</v>
      </c>
      <c r="L590" s="32" t="n">
        <f aca="false">'Aturan &amp; Tarif'!$B$6</f>
        <v>350</v>
      </c>
      <c r="M590" s="35" t="n">
        <f aca="false">I590+J590+K590+L590</f>
        <v>10694.08</v>
      </c>
      <c r="N590" s="37" t="s">
        <v>2235</v>
      </c>
    </row>
    <row r="591" customFormat="false" ht="37.5" hidden="false" customHeight="true" outlineLevel="0" collapsed="false">
      <c r="A591" s="29"/>
      <c r="B591" s="30" t="s">
        <v>2236</v>
      </c>
      <c r="C591" s="31" t="s">
        <v>107</v>
      </c>
      <c r="D591" s="31" t="s">
        <v>108</v>
      </c>
      <c r="E591" s="32" t="n">
        <v>5500</v>
      </c>
      <c r="F591" s="32" t="n">
        <v>960</v>
      </c>
      <c r="G591" s="32" t="n">
        <v>250</v>
      </c>
      <c r="H591" s="33" t="n">
        <v>1</v>
      </c>
      <c r="I591" s="34" t="n">
        <f aca="false">E591*H591+N(F591)+N(G591)</f>
        <v>6710</v>
      </c>
      <c r="J591" s="32" t="n">
        <f aca="false">ROUND(IFERROR(ROUND(IF(OR(ISNUMBER(SEARCH("week",C591)),ISNUMBER(SEARCH("minggu",C591))),IFERROR(_xlfn.NUMBERVALUE(SUBSTITUTE(LEFT(TRIM(C591),FIND(" ",TRIM(C591)&amp;" ")-1),",","."),"."),LEFT(SUBSTITUTE(LEFT(TRIM(C591),FIND(" ",TRIM(C591)&amp;" ")-1),",","."),FIND("/",SUBSTITUTE(LEFT(TRIM(C591),FIND(" ",TRIM(C591)&amp;" ")-1),",","."))-1)/MID(SUBSTITUTE(LEFT(TRIM(C591),FIND(" ",TRIM(C591)&amp;" ")-1),",","."),FIND("/",SUBSTITUTE(LEFT(TRIM(C591),FIND(" ",TRIM(C591)&amp;" ")-1),",","."))+1,9))*12/52,IF(ISNUMBER(SEARCH("month",C591)),IFERROR(_xlfn.NUMBERVALUE(SUBSTITUTE(LEFT(TRIM(C591),FIND(" ",TRIM(C591)&amp;" ")-1),",","."),"."),LEFT(SUBSTITUTE(LEFT(TRIM(C591),FIND(" ",TRIM(C591)&amp;" ")-1),",","."),FIND("/",SUBSTITUTE(LEFT(TRIM(C591),FIND(" ",TRIM(C591)&amp;" ")-1),",","."))-1)/MID(SUBSTITUTE(LEFT(TRIM(C591),FIND(" ",TRIM(C591)&amp;" ")-1),",","."),FIND("/",SUBSTITUTE(LEFT(TRIM(C591),FIND(" ",TRIM(C591)&amp;" ")-1),",","."))+1,9)),IF(ISNUMBER(SEARCH("yea",C591)),IFERROR(_xlfn.NUMBERVALUE(SUBSTITUTE(LEFT(TRIM(C591),FIND(" ",TRIM(C591)&amp;" ")-1),",","."),"."),LEFT(SUBSTITUTE(LEFT(TRIM(C591),FIND(" ",TRIM(C591)&amp;" ")-1),",","."),FIND("/",SUBSTITUTE(LEFT(TRIM(C591),FIND(" ",TRIM(C591)&amp;" ")-1),",","."))-1)/MID(SUBSTITUTE(LEFT(TRIM(C591),FIND(" ",TRIM(C591)&amp;" ")-1),",","."),FIND("/",SUBSTITUTE(LEFT(TRIM(C591),FIND(" ",TRIM(C591)&amp;" ")-1),",","."))+1,9))*12,NA()))),0),24)*'Aturan &amp; Tarif'!$B$4,2)</f>
        <v>1362.72</v>
      </c>
      <c r="K591" s="32" t="n">
        <f aca="false">'Aturan &amp; Tarif'!$B$5</f>
        <v>2050</v>
      </c>
      <c r="L591" s="32" t="n">
        <f aca="false">'Aturan &amp; Tarif'!$B$6</f>
        <v>350</v>
      </c>
      <c r="M591" s="35" t="n">
        <f aca="false">I591+J591+K591+L591</f>
        <v>10472.72</v>
      </c>
      <c r="N591" s="37" t="s">
        <v>2237</v>
      </c>
    </row>
    <row r="592" customFormat="false" ht="25.5" hidden="false" customHeight="true" outlineLevel="0" collapsed="false">
      <c r="A592" s="29"/>
      <c r="B592" s="30" t="s">
        <v>2238</v>
      </c>
      <c r="C592" s="31" t="s">
        <v>127</v>
      </c>
      <c r="D592" s="31" t="s">
        <v>108</v>
      </c>
      <c r="E592" s="32" t="n">
        <v>4000</v>
      </c>
      <c r="F592" s="32" t="n">
        <v>750</v>
      </c>
      <c r="G592" s="32" t="n">
        <v>250</v>
      </c>
      <c r="H592" s="33" t="n">
        <v>1</v>
      </c>
      <c r="I592" s="34" t="n">
        <f aca="false">E592*H592+N(F592)+N(G592)</f>
        <v>5000</v>
      </c>
      <c r="J592" s="32" t="n">
        <f aca="false">ROUND(IFERROR(ROUND(IF(OR(ISNUMBER(SEARCH("week",C592)),ISNUMBER(SEARCH("minggu",C592))),IFERROR(_xlfn.NUMBERVALUE(SUBSTITUTE(LEFT(TRIM(C592),FIND(" ",TRIM(C592)&amp;" ")-1),",","."),"."),LEFT(SUBSTITUTE(LEFT(TRIM(C592),FIND(" ",TRIM(C592)&amp;" ")-1),",","."),FIND("/",SUBSTITUTE(LEFT(TRIM(C592),FIND(" ",TRIM(C592)&amp;" ")-1),",","."))-1)/MID(SUBSTITUTE(LEFT(TRIM(C592),FIND(" ",TRIM(C592)&amp;" ")-1),",","."),FIND("/",SUBSTITUTE(LEFT(TRIM(C592),FIND(" ",TRIM(C592)&amp;" ")-1),",","."))+1,9))*12/52,IF(ISNUMBER(SEARCH("month",C592)),IFERROR(_xlfn.NUMBERVALUE(SUBSTITUTE(LEFT(TRIM(C592),FIND(" ",TRIM(C592)&amp;" ")-1),",","."),"."),LEFT(SUBSTITUTE(LEFT(TRIM(C592),FIND(" ",TRIM(C592)&amp;" ")-1),",","."),FIND("/",SUBSTITUTE(LEFT(TRIM(C592),FIND(" ",TRIM(C592)&amp;" ")-1),",","."))-1)/MID(SUBSTITUTE(LEFT(TRIM(C592),FIND(" ",TRIM(C592)&amp;" ")-1),",","."),FIND("/",SUBSTITUTE(LEFT(TRIM(C592),FIND(" ",TRIM(C592)&amp;" ")-1),",","."))+1,9)),IF(ISNUMBER(SEARCH("yea",C592)),IFERROR(_xlfn.NUMBERVALUE(SUBSTITUTE(LEFT(TRIM(C592),FIND(" ",TRIM(C592)&amp;" ")-1),",","."),"."),LEFT(SUBSTITUTE(LEFT(TRIM(C592),FIND(" ",TRIM(C592)&amp;" ")-1),",","."),FIND("/",SUBSTITUTE(LEFT(TRIM(C592),FIND(" ",TRIM(C592)&amp;" ")-1),",","."))-1)/MID(SUBSTITUTE(LEFT(TRIM(C592),FIND(" ",TRIM(C592)&amp;" ")-1),",","."),FIND("/",SUBSTITUTE(LEFT(TRIM(C592),FIND(" ",TRIM(C592)&amp;" ")-1),",","."))+1,9))*12,NA()))),0),36)*'Aturan &amp; Tarif'!$B$4,2)</f>
        <v>2044.08</v>
      </c>
      <c r="K592" s="32" t="n">
        <f aca="false">'Aturan &amp; Tarif'!$B$5</f>
        <v>2050</v>
      </c>
      <c r="L592" s="32" t="n">
        <f aca="false">'Aturan &amp; Tarif'!$B$6</f>
        <v>350</v>
      </c>
      <c r="M592" s="35" t="n">
        <f aca="false">I592+J592+K592+L592</f>
        <v>9444.08</v>
      </c>
      <c r="N592" s="37" t="s">
        <v>2239</v>
      </c>
    </row>
    <row r="593" customFormat="false" ht="14.25" hidden="false" customHeight="true" outlineLevel="0" collapsed="false">
      <c r="A593" s="29"/>
      <c r="B593" s="30" t="s">
        <v>2240</v>
      </c>
      <c r="C593" s="31" t="s">
        <v>107</v>
      </c>
      <c r="D593" s="31" t="s">
        <v>108</v>
      </c>
      <c r="E593" s="32" t="n">
        <v>4250</v>
      </c>
      <c r="F593" s="32" t="n">
        <v>1000</v>
      </c>
      <c r="G593" s="32" t="n">
        <v>250</v>
      </c>
      <c r="H593" s="33" t="n">
        <v>1</v>
      </c>
      <c r="I593" s="34" t="n">
        <f aca="false">E593*H593+N(F593)+N(G593)</f>
        <v>5500</v>
      </c>
      <c r="J593" s="32" t="n">
        <f aca="false">ROUND(IFERROR(ROUND(IF(OR(ISNUMBER(SEARCH("week",C593)),ISNUMBER(SEARCH("minggu",C593))),IFERROR(_xlfn.NUMBERVALUE(SUBSTITUTE(LEFT(TRIM(C593),FIND(" ",TRIM(C593)&amp;" ")-1),",","."),"."),LEFT(SUBSTITUTE(LEFT(TRIM(C593),FIND(" ",TRIM(C593)&amp;" ")-1),",","."),FIND("/",SUBSTITUTE(LEFT(TRIM(C593),FIND(" ",TRIM(C593)&amp;" ")-1),",","."))-1)/MID(SUBSTITUTE(LEFT(TRIM(C593),FIND(" ",TRIM(C593)&amp;" ")-1),",","."),FIND("/",SUBSTITUTE(LEFT(TRIM(C593),FIND(" ",TRIM(C593)&amp;" ")-1),",","."))+1,9))*12/52,IF(ISNUMBER(SEARCH("month",C593)),IFERROR(_xlfn.NUMBERVALUE(SUBSTITUTE(LEFT(TRIM(C593),FIND(" ",TRIM(C593)&amp;" ")-1),",","."),"."),LEFT(SUBSTITUTE(LEFT(TRIM(C593),FIND(" ",TRIM(C593)&amp;" ")-1),",","."),FIND("/",SUBSTITUTE(LEFT(TRIM(C593),FIND(" ",TRIM(C593)&amp;" ")-1),",","."))-1)/MID(SUBSTITUTE(LEFT(TRIM(C593),FIND(" ",TRIM(C593)&amp;" ")-1),",","."),FIND("/",SUBSTITUTE(LEFT(TRIM(C593),FIND(" ",TRIM(C593)&amp;" ")-1),",","."))+1,9)),IF(ISNUMBER(SEARCH("yea",C593)),IFERROR(_xlfn.NUMBERVALUE(SUBSTITUTE(LEFT(TRIM(C593),FIND(" ",TRIM(C593)&amp;" ")-1),",","."),"."),LEFT(SUBSTITUTE(LEFT(TRIM(C593),FIND(" ",TRIM(C593)&amp;" ")-1),",","."),FIND("/",SUBSTITUTE(LEFT(TRIM(C593),FIND(" ",TRIM(C593)&amp;" ")-1),",","."))-1)/MID(SUBSTITUTE(LEFT(TRIM(C593),FIND(" ",TRIM(C593)&amp;" ")-1),",","."),FIND("/",SUBSTITUTE(LEFT(TRIM(C593),FIND(" ",TRIM(C593)&amp;" ")-1),",","."))+1,9))*12,NA()))),0),24)*'Aturan &amp; Tarif'!$B$4,2)</f>
        <v>1362.72</v>
      </c>
      <c r="K593" s="32" t="n">
        <f aca="false">'Aturan &amp; Tarif'!$B$5</f>
        <v>2050</v>
      </c>
      <c r="L593" s="32" t="n">
        <f aca="false">'Aturan &amp; Tarif'!$B$6</f>
        <v>350</v>
      </c>
      <c r="M593" s="35" t="n">
        <f aca="false">I593+J593+K593+L593</f>
        <v>9262.72</v>
      </c>
      <c r="N593" s="37" t="s">
        <v>2241</v>
      </c>
    </row>
    <row r="594" customFormat="false" ht="14.25" hidden="false" customHeight="true" outlineLevel="0" collapsed="false">
      <c r="A594" s="29"/>
      <c r="B594" s="30" t="s">
        <v>2242</v>
      </c>
      <c r="C594" s="31" t="s">
        <v>191</v>
      </c>
      <c r="D594" s="31" t="s">
        <v>108</v>
      </c>
      <c r="E594" s="32" t="n">
        <v>5500</v>
      </c>
      <c r="F594" s="32" t="n">
        <v>2000</v>
      </c>
      <c r="G594" s="32" t="n">
        <v>250</v>
      </c>
      <c r="H594" s="33" t="n">
        <v>1</v>
      </c>
      <c r="I594" s="34" t="n">
        <f aca="false">E594*H594+N(F594)+N(G594)</f>
        <v>7750</v>
      </c>
      <c r="J594" s="32" t="n">
        <f aca="false">ROUND(IFERROR(ROUND(IF(OR(ISNUMBER(SEARCH("week",C594)),ISNUMBER(SEARCH("minggu",C594))),IFERROR(_xlfn.NUMBERVALUE(SUBSTITUTE(LEFT(TRIM(C594),FIND(" ",TRIM(C594)&amp;" ")-1),",","."),"."),LEFT(SUBSTITUTE(LEFT(TRIM(C594),FIND(" ",TRIM(C594)&amp;" ")-1),",","."),FIND("/",SUBSTITUTE(LEFT(TRIM(C594),FIND(" ",TRIM(C594)&amp;" ")-1),",","."))-1)/MID(SUBSTITUTE(LEFT(TRIM(C594),FIND(" ",TRIM(C594)&amp;" ")-1),",","."),FIND("/",SUBSTITUTE(LEFT(TRIM(C594),FIND(" ",TRIM(C594)&amp;" ")-1),",","."))+1,9))*12/52,IF(ISNUMBER(SEARCH("month",C594)),IFERROR(_xlfn.NUMBERVALUE(SUBSTITUTE(LEFT(TRIM(C594),FIND(" ",TRIM(C594)&amp;" ")-1),",","."),"."),LEFT(SUBSTITUTE(LEFT(TRIM(C594),FIND(" ",TRIM(C594)&amp;" ")-1),",","."),FIND("/",SUBSTITUTE(LEFT(TRIM(C594),FIND(" ",TRIM(C594)&amp;" ")-1),",","."))-1)/MID(SUBSTITUTE(LEFT(TRIM(C594),FIND(" ",TRIM(C594)&amp;" ")-1),",","."),FIND("/",SUBSTITUTE(LEFT(TRIM(C594),FIND(" ",TRIM(C594)&amp;" ")-1),",","."))+1,9)),IF(ISNUMBER(SEARCH("yea",C594)),IFERROR(_xlfn.NUMBERVALUE(SUBSTITUTE(LEFT(TRIM(C594),FIND(" ",TRIM(C594)&amp;" ")-1),",","."),"."),LEFT(SUBSTITUTE(LEFT(TRIM(C594),FIND(" ",TRIM(C594)&amp;" ")-1),",","."),FIND("/",SUBSTITUTE(LEFT(TRIM(C594),FIND(" ",TRIM(C594)&amp;" ")-1),",","."))-1)/MID(SUBSTITUTE(LEFT(TRIM(C594),FIND(" ",TRIM(C594)&amp;" ")-1),",","."),FIND("/",SUBSTITUTE(LEFT(TRIM(C594),FIND(" ",TRIM(C594)&amp;" ")-1),",","."))+1,9))*12,NA()))),0),48)*'Aturan &amp; Tarif'!$B$4,2)</f>
        <v>2725.44</v>
      </c>
      <c r="K594" s="32" t="n">
        <f aca="false">'Aturan &amp; Tarif'!$B$5</f>
        <v>2050</v>
      </c>
      <c r="L594" s="32" t="n">
        <f aca="false">'Aturan &amp; Tarif'!$B$6</f>
        <v>350</v>
      </c>
      <c r="M594" s="35" t="n">
        <f aca="false">I594+J594+K594+L594</f>
        <v>12875.44</v>
      </c>
      <c r="N594" s="37" t="s">
        <v>2243</v>
      </c>
    </row>
    <row r="595" customFormat="false" ht="48.75" hidden="false" customHeight="true" outlineLevel="0" collapsed="false">
      <c r="A595" s="29"/>
      <c r="B595" s="30" t="s">
        <v>2244</v>
      </c>
      <c r="C595" s="31" t="s">
        <v>107</v>
      </c>
      <c r="D595" s="31" t="s">
        <v>108</v>
      </c>
      <c r="E595" s="32" t="n">
        <v>4250</v>
      </c>
      <c r="F595" s="32" t="n">
        <v>1000</v>
      </c>
      <c r="G595" s="32" t="n">
        <v>250</v>
      </c>
      <c r="H595" s="33" t="n">
        <v>1</v>
      </c>
      <c r="I595" s="34" t="n">
        <f aca="false">E595*H595+N(F595)+N(G595)</f>
        <v>5500</v>
      </c>
      <c r="J595" s="32" t="n">
        <f aca="false">ROUND(IFERROR(ROUND(IF(OR(ISNUMBER(SEARCH("week",C595)),ISNUMBER(SEARCH("minggu",C595))),IFERROR(_xlfn.NUMBERVALUE(SUBSTITUTE(LEFT(TRIM(C595),FIND(" ",TRIM(C595)&amp;" ")-1),",","."),"."),LEFT(SUBSTITUTE(LEFT(TRIM(C595),FIND(" ",TRIM(C595)&amp;" ")-1),",","."),FIND("/",SUBSTITUTE(LEFT(TRIM(C595),FIND(" ",TRIM(C595)&amp;" ")-1),",","."))-1)/MID(SUBSTITUTE(LEFT(TRIM(C595),FIND(" ",TRIM(C595)&amp;" ")-1),",","."),FIND("/",SUBSTITUTE(LEFT(TRIM(C595),FIND(" ",TRIM(C595)&amp;" ")-1),",","."))+1,9))*12/52,IF(ISNUMBER(SEARCH("month",C595)),IFERROR(_xlfn.NUMBERVALUE(SUBSTITUTE(LEFT(TRIM(C595),FIND(" ",TRIM(C595)&amp;" ")-1),",","."),"."),LEFT(SUBSTITUTE(LEFT(TRIM(C595),FIND(" ",TRIM(C595)&amp;" ")-1),",","."),FIND("/",SUBSTITUTE(LEFT(TRIM(C595),FIND(" ",TRIM(C595)&amp;" ")-1),",","."))-1)/MID(SUBSTITUTE(LEFT(TRIM(C595),FIND(" ",TRIM(C595)&amp;" ")-1),",","."),FIND("/",SUBSTITUTE(LEFT(TRIM(C595),FIND(" ",TRIM(C595)&amp;" ")-1),",","."))+1,9)),IF(ISNUMBER(SEARCH("yea",C595)),IFERROR(_xlfn.NUMBERVALUE(SUBSTITUTE(LEFT(TRIM(C595),FIND(" ",TRIM(C595)&amp;" ")-1),",","."),"."),LEFT(SUBSTITUTE(LEFT(TRIM(C595),FIND(" ",TRIM(C595)&amp;" ")-1),",","."),FIND("/",SUBSTITUTE(LEFT(TRIM(C595),FIND(" ",TRIM(C595)&amp;" ")-1),",","."))-1)/MID(SUBSTITUTE(LEFT(TRIM(C595),FIND(" ",TRIM(C595)&amp;" ")-1),",","."),FIND("/",SUBSTITUTE(LEFT(TRIM(C595),FIND(" ",TRIM(C595)&amp;" ")-1),",","."))+1,9))*12,NA()))),0),24)*'Aturan &amp; Tarif'!$B$4,2)</f>
        <v>1362.72</v>
      </c>
      <c r="K595" s="32" t="n">
        <f aca="false">'Aturan &amp; Tarif'!$B$5</f>
        <v>2050</v>
      </c>
      <c r="L595" s="32" t="n">
        <f aca="false">'Aturan &amp; Tarif'!$B$6</f>
        <v>350</v>
      </c>
      <c r="M595" s="35" t="n">
        <f aca="false">I595+J595+K595+L595</f>
        <v>9262.72</v>
      </c>
      <c r="N595" s="37" t="s">
        <v>2241</v>
      </c>
    </row>
    <row r="596" customFormat="false" ht="25.5" hidden="false" customHeight="true" outlineLevel="0" collapsed="false">
      <c r="A596" s="29"/>
      <c r="B596" s="30" t="s">
        <v>2245</v>
      </c>
      <c r="C596" s="31" t="s">
        <v>127</v>
      </c>
      <c r="D596" s="31" t="s">
        <v>108</v>
      </c>
      <c r="E596" s="32" t="n">
        <v>4500</v>
      </c>
      <c r="F596" s="32" t="n">
        <v>750</v>
      </c>
      <c r="G596" s="32" t="n">
        <v>250</v>
      </c>
      <c r="H596" s="33" t="n">
        <v>1</v>
      </c>
      <c r="I596" s="34" t="n">
        <f aca="false">E596*H596+N(F596)+N(G596)</f>
        <v>5500</v>
      </c>
      <c r="J596" s="32" t="n">
        <f aca="false">ROUND(IFERROR(ROUND(IF(OR(ISNUMBER(SEARCH("week",C596)),ISNUMBER(SEARCH("minggu",C596))),IFERROR(_xlfn.NUMBERVALUE(SUBSTITUTE(LEFT(TRIM(C596),FIND(" ",TRIM(C596)&amp;" ")-1),",","."),"."),LEFT(SUBSTITUTE(LEFT(TRIM(C596),FIND(" ",TRIM(C596)&amp;" ")-1),",","."),FIND("/",SUBSTITUTE(LEFT(TRIM(C596),FIND(" ",TRIM(C596)&amp;" ")-1),",","."))-1)/MID(SUBSTITUTE(LEFT(TRIM(C596),FIND(" ",TRIM(C596)&amp;" ")-1),",","."),FIND("/",SUBSTITUTE(LEFT(TRIM(C596),FIND(" ",TRIM(C596)&amp;" ")-1),",","."))+1,9))*12/52,IF(ISNUMBER(SEARCH("month",C596)),IFERROR(_xlfn.NUMBERVALUE(SUBSTITUTE(LEFT(TRIM(C596),FIND(" ",TRIM(C596)&amp;" ")-1),",","."),"."),LEFT(SUBSTITUTE(LEFT(TRIM(C596),FIND(" ",TRIM(C596)&amp;" ")-1),",","."),FIND("/",SUBSTITUTE(LEFT(TRIM(C596),FIND(" ",TRIM(C596)&amp;" ")-1),",","."))-1)/MID(SUBSTITUTE(LEFT(TRIM(C596),FIND(" ",TRIM(C596)&amp;" ")-1),",","."),FIND("/",SUBSTITUTE(LEFT(TRIM(C596),FIND(" ",TRIM(C596)&amp;" ")-1),",","."))+1,9)),IF(ISNUMBER(SEARCH("yea",C596)),IFERROR(_xlfn.NUMBERVALUE(SUBSTITUTE(LEFT(TRIM(C596),FIND(" ",TRIM(C596)&amp;" ")-1),",","."),"."),LEFT(SUBSTITUTE(LEFT(TRIM(C596),FIND(" ",TRIM(C596)&amp;" ")-1),",","."),FIND("/",SUBSTITUTE(LEFT(TRIM(C596),FIND(" ",TRIM(C596)&amp;" ")-1),",","."))-1)/MID(SUBSTITUTE(LEFT(TRIM(C596),FIND(" ",TRIM(C596)&amp;" ")-1),",","."),FIND("/",SUBSTITUTE(LEFT(TRIM(C596),FIND(" ",TRIM(C596)&amp;" ")-1),",","."))+1,9))*12,NA()))),0),36)*'Aturan &amp; Tarif'!$B$4,2)</f>
        <v>2044.08</v>
      </c>
      <c r="K596" s="32" t="n">
        <f aca="false">'Aturan &amp; Tarif'!$B$5</f>
        <v>2050</v>
      </c>
      <c r="L596" s="32" t="n">
        <f aca="false">'Aturan &amp; Tarif'!$B$6</f>
        <v>350</v>
      </c>
      <c r="M596" s="35" t="n">
        <f aca="false">I596+J596+K596+L596</f>
        <v>9944.08</v>
      </c>
      <c r="N596" s="37" t="s">
        <v>2246</v>
      </c>
    </row>
    <row r="597" customFormat="false" ht="25.5" hidden="false" customHeight="true" outlineLevel="0" collapsed="false">
      <c r="A597" s="29"/>
      <c r="B597" s="30" t="s">
        <v>2247</v>
      </c>
      <c r="C597" s="31" t="s">
        <v>191</v>
      </c>
      <c r="D597" s="31" t="s">
        <v>108</v>
      </c>
      <c r="E597" s="32" t="n">
        <v>4500</v>
      </c>
      <c r="F597" s="32" t="n">
        <v>2000</v>
      </c>
      <c r="G597" s="32" t="n">
        <v>250</v>
      </c>
      <c r="H597" s="33" t="n">
        <v>1</v>
      </c>
      <c r="I597" s="34" t="n">
        <f aca="false">E597*H597+N(F597)+N(G597)</f>
        <v>6750</v>
      </c>
      <c r="J597" s="32" t="n">
        <f aca="false">ROUND(IFERROR(ROUND(IF(OR(ISNUMBER(SEARCH("week",C597)),ISNUMBER(SEARCH("minggu",C597))),IFERROR(_xlfn.NUMBERVALUE(SUBSTITUTE(LEFT(TRIM(C597),FIND(" ",TRIM(C597)&amp;" ")-1),",","."),"."),LEFT(SUBSTITUTE(LEFT(TRIM(C597),FIND(" ",TRIM(C597)&amp;" ")-1),",","."),FIND("/",SUBSTITUTE(LEFT(TRIM(C597),FIND(" ",TRIM(C597)&amp;" ")-1),",","."))-1)/MID(SUBSTITUTE(LEFT(TRIM(C597),FIND(" ",TRIM(C597)&amp;" ")-1),",","."),FIND("/",SUBSTITUTE(LEFT(TRIM(C597),FIND(" ",TRIM(C597)&amp;" ")-1),",","."))+1,9))*12/52,IF(ISNUMBER(SEARCH("month",C597)),IFERROR(_xlfn.NUMBERVALUE(SUBSTITUTE(LEFT(TRIM(C597),FIND(" ",TRIM(C597)&amp;" ")-1),",","."),"."),LEFT(SUBSTITUTE(LEFT(TRIM(C597),FIND(" ",TRIM(C597)&amp;" ")-1),",","."),FIND("/",SUBSTITUTE(LEFT(TRIM(C597),FIND(" ",TRIM(C597)&amp;" ")-1),",","."))-1)/MID(SUBSTITUTE(LEFT(TRIM(C597),FIND(" ",TRIM(C597)&amp;" ")-1),",","."),FIND("/",SUBSTITUTE(LEFT(TRIM(C597),FIND(" ",TRIM(C597)&amp;" ")-1),",","."))+1,9)),IF(ISNUMBER(SEARCH("yea",C597)),IFERROR(_xlfn.NUMBERVALUE(SUBSTITUTE(LEFT(TRIM(C597),FIND(" ",TRIM(C597)&amp;" ")-1),",","."),"."),LEFT(SUBSTITUTE(LEFT(TRIM(C597),FIND(" ",TRIM(C597)&amp;" ")-1),",","."),FIND("/",SUBSTITUTE(LEFT(TRIM(C597),FIND(" ",TRIM(C597)&amp;" ")-1),",","."))-1)/MID(SUBSTITUTE(LEFT(TRIM(C597),FIND(" ",TRIM(C597)&amp;" ")-1),",","."),FIND("/",SUBSTITUTE(LEFT(TRIM(C597),FIND(" ",TRIM(C597)&amp;" ")-1),",","."))+1,9))*12,NA()))),0),48)*'Aturan &amp; Tarif'!$B$4,2)</f>
        <v>2725.44</v>
      </c>
      <c r="K597" s="32" t="n">
        <f aca="false">'Aturan &amp; Tarif'!$B$5</f>
        <v>2050</v>
      </c>
      <c r="L597" s="32" t="n">
        <f aca="false">'Aturan &amp; Tarif'!$B$6</f>
        <v>350</v>
      </c>
      <c r="M597" s="35" t="n">
        <f aca="false">I597+J597+K597+L597</f>
        <v>11875.44</v>
      </c>
      <c r="N597" s="37" t="s">
        <v>2248</v>
      </c>
    </row>
    <row r="598" customFormat="false" ht="25.5" hidden="false" customHeight="true" outlineLevel="0" collapsed="false">
      <c r="A598" s="29"/>
      <c r="B598" s="30" t="s">
        <v>2249</v>
      </c>
      <c r="C598" s="31" t="s">
        <v>107</v>
      </c>
      <c r="D598" s="31" t="s">
        <v>108</v>
      </c>
      <c r="E598" s="32" t="n">
        <v>4500</v>
      </c>
      <c r="F598" s="32" t="n">
        <v>1000</v>
      </c>
      <c r="G598" s="32" t="n">
        <v>250</v>
      </c>
      <c r="H598" s="33" t="n">
        <v>1</v>
      </c>
      <c r="I598" s="34" t="n">
        <f aca="false">E598*H598+N(F598)+N(G598)</f>
        <v>5750</v>
      </c>
      <c r="J598" s="32" t="n">
        <f aca="false">ROUND(IFERROR(ROUND(IF(OR(ISNUMBER(SEARCH("week",C598)),ISNUMBER(SEARCH("minggu",C598))),IFERROR(_xlfn.NUMBERVALUE(SUBSTITUTE(LEFT(TRIM(C598),FIND(" ",TRIM(C598)&amp;" ")-1),",","."),"."),LEFT(SUBSTITUTE(LEFT(TRIM(C598),FIND(" ",TRIM(C598)&amp;" ")-1),",","."),FIND("/",SUBSTITUTE(LEFT(TRIM(C598),FIND(" ",TRIM(C598)&amp;" ")-1),",","."))-1)/MID(SUBSTITUTE(LEFT(TRIM(C598),FIND(" ",TRIM(C598)&amp;" ")-1),",","."),FIND("/",SUBSTITUTE(LEFT(TRIM(C598),FIND(" ",TRIM(C598)&amp;" ")-1),",","."))+1,9))*12/52,IF(ISNUMBER(SEARCH("month",C598)),IFERROR(_xlfn.NUMBERVALUE(SUBSTITUTE(LEFT(TRIM(C598),FIND(" ",TRIM(C598)&amp;" ")-1),",","."),"."),LEFT(SUBSTITUTE(LEFT(TRIM(C598),FIND(" ",TRIM(C598)&amp;" ")-1),",","."),FIND("/",SUBSTITUTE(LEFT(TRIM(C598),FIND(" ",TRIM(C598)&amp;" ")-1),",","."))-1)/MID(SUBSTITUTE(LEFT(TRIM(C598),FIND(" ",TRIM(C598)&amp;" ")-1),",","."),FIND("/",SUBSTITUTE(LEFT(TRIM(C598),FIND(" ",TRIM(C598)&amp;" ")-1),",","."))+1,9)),IF(ISNUMBER(SEARCH("yea",C598)),IFERROR(_xlfn.NUMBERVALUE(SUBSTITUTE(LEFT(TRIM(C598),FIND(" ",TRIM(C598)&amp;" ")-1),",","."),"."),LEFT(SUBSTITUTE(LEFT(TRIM(C598),FIND(" ",TRIM(C598)&amp;" ")-1),",","."),FIND("/",SUBSTITUTE(LEFT(TRIM(C598),FIND(" ",TRIM(C598)&amp;" ")-1),",","."))-1)/MID(SUBSTITUTE(LEFT(TRIM(C598),FIND(" ",TRIM(C598)&amp;" ")-1),",","."),FIND("/",SUBSTITUTE(LEFT(TRIM(C598),FIND(" ",TRIM(C598)&amp;" ")-1),",","."))+1,9))*12,NA()))),0),24)*'Aturan &amp; Tarif'!$B$4,2)</f>
        <v>1362.72</v>
      </c>
      <c r="K598" s="32" t="n">
        <f aca="false">'Aturan &amp; Tarif'!$B$5</f>
        <v>2050</v>
      </c>
      <c r="L598" s="32" t="n">
        <f aca="false">'Aturan &amp; Tarif'!$B$6</f>
        <v>350</v>
      </c>
      <c r="M598" s="35" t="n">
        <f aca="false">I598+J598+K598+L598</f>
        <v>9512.72</v>
      </c>
      <c r="N598" s="37" t="s">
        <v>2250</v>
      </c>
    </row>
    <row r="599" customFormat="false" ht="48.75" hidden="false" customHeight="true" outlineLevel="0" collapsed="false">
      <c r="A599" s="39" t="s">
        <v>2251</v>
      </c>
      <c r="B599" s="40" t="s">
        <v>2252</v>
      </c>
      <c r="C599" s="41" t="s">
        <v>107</v>
      </c>
      <c r="D599" s="41" t="s">
        <v>108</v>
      </c>
      <c r="E599" s="42" t="n">
        <v>1500</v>
      </c>
      <c r="F599" s="42" t="n">
        <v>200</v>
      </c>
      <c r="G599" s="42" t="n">
        <v>250</v>
      </c>
      <c r="H599" s="43" t="n">
        <v>1</v>
      </c>
      <c r="I599" s="34" t="n">
        <f aca="false">E599*H599+N(F599)+N(G599)</f>
        <v>1950</v>
      </c>
      <c r="J599" s="42" t="n">
        <f aca="false">ROUND(IFERROR(ROUND(IF(OR(ISNUMBER(SEARCH("week",C599)),ISNUMBER(SEARCH("minggu",C599))),IFERROR(_xlfn.NUMBERVALUE(SUBSTITUTE(LEFT(TRIM(C599),FIND(" ",TRIM(C599)&amp;" ")-1),",","."),"."),LEFT(SUBSTITUTE(LEFT(TRIM(C599),FIND(" ",TRIM(C599)&amp;" ")-1),",","."),FIND("/",SUBSTITUTE(LEFT(TRIM(C599),FIND(" ",TRIM(C599)&amp;" ")-1),",","."))-1)/MID(SUBSTITUTE(LEFT(TRIM(C599),FIND(" ",TRIM(C599)&amp;" ")-1),",","."),FIND("/",SUBSTITUTE(LEFT(TRIM(C599),FIND(" ",TRIM(C599)&amp;" ")-1),",","."))+1,9))*12/52,IF(ISNUMBER(SEARCH("month",C599)),IFERROR(_xlfn.NUMBERVALUE(SUBSTITUTE(LEFT(TRIM(C599),FIND(" ",TRIM(C599)&amp;" ")-1),",","."),"."),LEFT(SUBSTITUTE(LEFT(TRIM(C599),FIND(" ",TRIM(C599)&amp;" ")-1),",","."),FIND("/",SUBSTITUTE(LEFT(TRIM(C599),FIND(" ",TRIM(C599)&amp;" ")-1),",","."))-1)/MID(SUBSTITUTE(LEFT(TRIM(C599),FIND(" ",TRIM(C599)&amp;" ")-1),",","."),FIND("/",SUBSTITUTE(LEFT(TRIM(C599),FIND(" ",TRIM(C599)&amp;" ")-1),",","."))+1,9)),IF(ISNUMBER(SEARCH("yea",C599)),IFERROR(_xlfn.NUMBERVALUE(SUBSTITUTE(LEFT(TRIM(C599),FIND(" ",TRIM(C599)&amp;" ")-1),",","."),"."),LEFT(SUBSTITUTE(LEFT(TRIM(C599),FIND(" ",TRIM(C599)&amp;" ")-1),",","."),FIND("/",SUBSTITUTE(LEFT(TRIM(C599),FIND(" ",TRIM(C599)&amp;" ")-1),",","."))-1)/MID(SUBSTITUTE(LEFT(TRIM(C599),FIND(" ",TRIM(C599)&amp;" ")-1),",","."),FIND("/",SUBSTITUTE(LEFT(TRIM(C599),FIND(" ",TRIM(C599)&amp;" ")-1),",","."))+1,9))*12,NA()))),0),24)*'Aturan &amp; Tarif'!$B$4,2)</f>
        <v>1362.72</v>
      </c>
      <c r="K599" s="42" t="n">
        <f aca="false">'Aturan &amp; Tarif'!$B$5</f>
        <v>2050</v>
      </c>
      <c r="L599" s="42" t="n">
        <f aca="false">'Aturan &amp; Tarif'!$B$6</f>
        <v>350</v>
      </c>
      <c r="M599" s="35" t="n">
        <f aca="false">I599+J599+K599+L599</f>
        <v>5712.72</v>
      </c>
      <c r="N599" s="45" t="s">
        <v>2253</v>
      </c>
    </row>
    <row r="600" customFormat="false" ht="37.5" hidden="false" customHeight="true" outlineLevel="0" collapsed="false">
      <c r="A600" s="39"/>
      <c r="B600" s="40" t="s">
        <v>2254</v>
      </c>
      <c r="C600" s="41" t="s">
        <v>191</v>
      </c>
      <c r="D600" s="41" t="s">
        <v>108</v>
      </c>
      <c r="E600" s="42" t="n">
        <v>1500</v>
      </c>
      <c r="F600" s="42" t="n">
        <v>200</v>
      </c>
      <c r="G600" s="42" t="n">
        <v>250</v>
      </c>
      <c r="H600" s="43" t="n">
        <v>1</v>
      </c>
      <c r="I600" s="34" t="n">
        <f aca="false">E600*H600+N(F600)+N(G600)</f>
        <v>1950</v>
      </c>
      <c r="J600" s="42" t="n">
        <f aca="false">ROUND(IFERROR(ROUND(IF(OR(ISNUMBER(SEARCH("week",C600)),ISNUMBER(SEARCH("minggu",C600))),IFERROR(_xlfn.NUMBERVALUE(SUBSTITUTE(LEFT(TRIM(C600),FIND(" ",TRIM(C600)&amp;" ")-1),",","."),"."),LEFT(SUBSTITUTE(LEFT(TRIM(C600),FIND(" ",TRIM(C600)&amp;" ")-1),",","."),FIND("/",SUBSTITUTE(LEFT(TRIM(C600),FIND(" ",TRIM(C600)&amp;" ")-1),",","."))-1)/MID(SUBSTITUTE(LEFT(TRIM(C600),FIND(" ",TRIM(C600)&amp;" ")-1),",","."),FIND("/",SUBSTITUTE(LEFT(TRIM(C600),FIND(" ",TRIM(C600)&amp;" ")-1),",","."))+1,9))*12/52,IF(ISNUMBER(SEARCH("month",C600)),IFERROR(_xlfn.NUMBERVALUE(SUBSTITUTE(LEFT(TRIM(C600),FIND(" ",TRIM(C600)&amp;" ")-1),",","."),"."),LEFT(SUBSTITUTE(LEFT(TRIM(C600),FIND(" ",TRIM(C600)&amp;" ")-1),",","."),FIND("/",SUBSTITUTE(LEFT(TRIM(C600),FIND(" ",TRIM(C600)&amp;" ")-1),",","."))-1)/MID(SUBSTITUTE(LEFT(TRIM(C600),FIND(" ",TRIM(C600)&amp;" ")-1),",","."),FIND("/",SUBSTITUTE(LEFT(TRIM(C600),FIND(" ",TRIM(C600)&amp;" ")-1),",","."))+1,9)),IF(ISNUMBER(SEARCH("yea",C600)),IFERROR(_xlfn.NUMBERVALUE(SUBSTITUTE(LEFT(TRIM(C600),FIND(" ",TRIM(C600)&amp;" ")-1),",","."),"."),LEFT(SUBSTITUTE(LEFT(TRIM(C600),FIND(" ",TRIM(C600)&amp;" ")-1),",","."),FIND("/",SUBSTITUTE(LEFT(TRIM(C600),FIND(" ",TRIM(C600)&amp;" ")-1),",","."))-1)/MID(SUBSTITUTE(LEFT(TRIM(C600),FIND(" ",TRIM(C600)&amp;" ")-1),",","."),FIND("/",SUBSTITUTE(LEFT(TRIM(C600),FIND(" ",TRIM(C600)&amp;" ")-1),",","."))+1,9))*12,NA()))),0),48)*'Aturan &amp; Tarif'!$B$4,2)</f>
        <v>2725.44</v>
      </c>
      <c r="K600" s="42" t="n">
        <f aca="false">'Aturan &amp; Tarif'!$B$5</f>
        <v>2050</v>
      </c>
      <c r="L600" s="42" t="n">
        <f aca="false">'Aturan &amp; Tarif'!$B$6</f>
        <v>350</v>
      </c>
      <c r="M600" s="35" t="n">
        <f aca="false">I600+J600+K600+L600</f>
        <v>7075.44</v>
      </c>
      <c r="N600" s="44" t="s">
        <v>2255</v>
      </c>
    </row>
    <row r="601" customFormat="false" ht="14.25" hidden="false" customHeight="true" outlineLevel="0" collapsed="false">
      <c r="A601" s="39"/>
      <c r="B601" s="40" t="s">
        <v>2059</v>
      </c>
      <c r="C601" s="41" t="s">
        <v>107</v>
      </c>
      <c r="D601" s="41" t="s">
        <v>108</v>
      </c>
      <c r="E601" s="42" t="n">
        <v>1500</v>
      </c>
      <c r="F601" s="42" t="n">
        <v>0</v>
      </c>
      <c r="G601" s="42" t="n">
        <v>250</v>
      </c>
      <c r="H601" s="43" t="n">
        <v>1</v>
      </c>
      <c r="I601" s="34" t="n">
        <f aca="false">E601*H601+N(F601)+N(G601)</f>
        <v>1750</v>
      </c>
      <c r="J601" s="42" t="n">
        <f aca="false">ROUND(IFERROR(ROUND(IF(OR(ISNUMBER(SEARCH("week",C601)),ISNUMBER(SEARCH("minggu",C601))),IFERROR(_xlfn.NUMBERVALUE(SUBSTITUTE(LEFT(TRIM(C601),FIND(" ",TRIM(C601)&amp;" ")-1),",","."),"."),LEFT(SUBSTITUTE(LEFT(TRIM(C601),FIND(" ",TRIM(C601)&amp;" ")-1),",","."),FIND("/",SUBSTITUTE(LEFT(TRIM(C601),FIND(" ",TRIM(C601)&amp;" ")-1),",","."))-1)/MID(SUBSTITUTE(LEFT(TRIM(C601),FIND(" ",TRIM(C601)&amp;" ")-1),",","."),FIND("/",SUBSTITUTE(LEFT(TRIM(C601),FIND(" ",TRIM(C601)&amp;" ")-1),",","."))+1,9))*12/52,IF(ISNUMBER(SEARCH("month",C601)),IFERROR(_xlfn.NUMBERVALUE(SUBSTITUTE(LEFT(TRIM(C601),FIND(" ",TRIM(C601)&amp;" ")-1),",","."),"."),LEFT(SUBSTITUTE(LEFT(TRIM(C601),FIND(" ",TRIM(C601)&amp;" ")-1),",","."),FIND("/",SUBSTITUTE(LEFT(TRIM(C601),FIND(" ",TRIM(C601)&amp;" ")-1),",","."))-1)/MID(SUBSTITUTE(LEFT(TRIM(C601),FIND(" ",TRIM(C601)&amp;" ")-1),",","."),FIND("/",SUBSTITUTE(LEFT(TRIM(C601),FIND(" ",TRIM(C601)&amp;" ")-1),",","."))+1,9)),IF(ISNUMBER(SEARCH("yea",C601)),IFERROR(_xlfn.NUMBERVALUE(SUBSTITUTE(LEFT(TRIM(C601),FIND(" ",TRIM(C601)&amp;" ")-1),",","."),"."),LEFT(SUBSTITUTE(LEFT(TRIM(C601),FIND(" ",TRIM(C601)&amp;" ")-1),",","."),FIND("/",SUBSTITUTE(LEFT(TRIM(C601),FIND(" ",TRIM(C601)&amp;" ")-1),",","."))-1)/MID(SUBSTITUTE(LEFT(TRIM(C601),FIND(" ",TRIM(C601)&amp;" ")-1),",","."),FIND("/",SUBSTITUTE(LEFT(TRIM(C601),FIND(" ",TRIM(C601)&amp;" ")-1),",","."))+1,9))*12,NA()))),0),24)*'Aturan &amp; Tarif'!$B$4,2)</f>
        <v>1362.72</v>
      </c>
      <c r="K601" s="42" t="n">
        <f aca="false">'Aturan &amp; Tarif'!$B$5</f>
        <v>2050</v>
      </c>
      <c r="L601" s="42" t="n">
        <f aca="false">'Aturan &amp; Tarif'!$B$6</f>
        <v>350</v>
      </c>
      <c r="M601" s="35" t="n">
        <f aca="false">I601+J601+K601+L601</f>
        <v>5512.72</v>
      </c>
      <c r="N601" s="45" t="s">
        <v>2256</v>
      </c>
    </row>
    <row r="602" customFormat="false" ht="25.5" hidden="false" customHeight="true" outlineLevel="0" collapsed="false">
      <c r="A602" s="39"/>
      <c r="B602" s="40" t="s">
        <v>2257</v>
      </c>
      <c r="C602" s="41" t="s">
        <v>191</v>
      </c>
      <c r="D602" s="41" t="s">
        <v>108</v>
      </c>
      <c r="E602" s="42" t="n">
        <v>1500</v>
      </c>
      <c r="F602" s="42" t="n">
        <v>0</v>
      </c>
      <c r="G602" s="42" t="n">
        <v>250</v>
      </c>
      <c r="H602" s="43" t="n">
        <v>1</v>
      </c>
      <c r="I602" s="34" t="n">
        <f aca="false">E602*H602+N(F602)+N(G602)</f>
        <v>1750</v>
      </c>
      <c r="J602" s="42" t="n">
        <f aca="false">ROUND(IFERROR(ROUND(IF(OR(ISNUMBER(SEARCH("week",C602)),ISNUMBER(SEARCH("minggu",C602))),IFERROR(_xlfn.NUMBERVALUE(SUBSTITUTE(LEFT(TRIM(C602),FIND(" ",TRIM(C602)&amp;" ")-1),",","."),"."),LEFT(SUBSTITUTE(LEFT(TRIM(C602),FIND(" ",TRIM(C602)&amp;" ")-1),",","."),FIND("/",SUBSTITUTE(LEFT(TRIM(C602),FIND(" ",TRIM(C602)&amp;" ")-1),",","."))-1)/MID(SUBSTITUTE(LEFT(TRIM(C602),FIND(" ",TRIM(C602)&amp;" ")-1),",","."),FIND("/",SUBSTITUTE(LEFT(TRIM(C602),FIND(" ",TRIM(C602)&amp;" ")-1),",","."))+1,9))*12/52,IF(ISNUMBER(SEARCH("month",C602)),IFERROR(_xlfn.NUMBERVALUE(SUBSTITUTE(LEFT(TRIM(C602),FIND(" ",TRIM(C602)&amp;" ")-1),",","."),"."),LEFT(SUBSTITUTE(LEFT(TRIM(C602),FIND(" ",TRIM(C602)&amp;" ")-1),",","."),FIND("/",SUBSTITUTE(LEFT(TRIM(C602),FIND(" ",TRIM(C602)&amp;" ")-1),",","."))-1)/MID(SUBSTITUTE(LEFT(TRIM(C602),FIND(" ",TRIM(C602)&amp;" ")-1),",","."),FIND("/",SUBSTITUTE(LEFT(TRIM(C602),FIND(" ",TRIM(C602)&amp;" ")-1),",","."))+1,9)),IF(ISNUMBER(SEARCH("yea",C602)),IFERROR(_xlfn.NUMBERVALUE(SUBSTITUTE(LEFT(TRIM(C602),FIND(" ",TRIM(C602)&amp;" ")-1),",","."),"."),LEFT(SUBSTITUTE(LEFT(TRIM(C602),FIND(" ",TRIM(C602)&amp;" ")-1),",","."),FIND("/",SUBSTITUTE(LEFT(TRIM(C602),FIND(" ",TRIM(C602)&amp;" ")-1),",","."))-1)/MID(SUBSTITUTE(LEFT(TRIM(C602),FIND(" ",TRIM(C602)&amp;" ")-1),",","."),FIND("/",SUBSTITUTE(LEFT(TRIM(C602),FIND(" ",TRIM(C602)&amp;" ")-1),",","."))+1,9))*12,NA()))),0),48)*'Aturan &amp; Tarif'!$B$4,2)</f>
        <v>2725.44</v>
      </c>
      <c r="K602" s="42" t="n">
        <f aca="false">'Aturan &amp; Tarif'!$B$5</f>
        <v>2050</v>
      </c>
      <c r="L602" s="42" t="n">
        <f aca="false">'Aturan &amp; Tarif'!$B$6</f>
        <v>350</v>
      </c>
      <c r="M602" s="35" t="n">
        <f aca="false">I602+J602+K602+L602</f>
        <v>6875.44</v>
      </c>
      <c r="N602" s="44" t="s">
        <v>2258</v>
      </c>
    </row>
    <row r="603" customFormat="false" ht="14.25" hidden="false" customHeight="true" outlineLevel="0" collapsed="false">
      <c r="A603" s="39"/>
      <c r="B603" s="40" t="s">
        <v>1596</v>
      </c>
      <c r="C603" s="41" t="s">
        <v>107</v>
      </c>
      <c r="D603" s="41" t="s">
        <v>108</v>
      </c>
      <c r="E603" s="42" t="n">
        <v>1500</v>
      </c>
      <c r="F603" s="42" t="n">
        <v>0</v>
      </c>
      <c r="G603" s="42" t="n">
        <v>250</v>
      </c>
      <c r="H603" s="43" t="n">
        <v>1</v>
      </c>
      <c r="I603" s="34" t="n">
        <f aca="false">E603*H603+N(F603)+N(G603)</f>
        <v>1750</v>
      </c>
      <c r="J603" s="42" t="n">
        <f aca="false">ROUND(IFERROR(ROUND(IF(OR(ISNUMBER(SEARCH("week",C603)),ISNUMBER(SEARCH("minggu",C603))),IFERROR(_xlfn.NUMBERVALUE(SUBSTITUTE(LEFT(TRIM(C603),FIND(" ",TRIM(C603)&amp;" ")-1),",","."),"."),LEFT(SUBSTITUTE(LEFT(TRIM(C603),FIND(" ",TRIM(C603)&amp;" ")-1),",","."),FIND("/",SUBSTITUTE(LEFT(TRIM(C603),FIND(" ",TRIM(C603)&amp;" ")-1),",","."))-1)/MID(SUBSTITUTE(LEFT(TRIM(C603),FIND(" ",TRIM(C603)&amp;" ")-1),",","."),FIND("/",SUBSTITUTE(LEFT(TRIM(C603),FIND(" ",TRIM(C603)&amp;" ")-1),",","."))+1,9))*12/52,IF(ISNUMBER(SEARCH("month",C603)),IFERROR(_xlfn.NUMBERVALUE(SUBSTITUTE(LEFT(TRIM(C603),FIND(" ",TRIM(C603)&amp;" ")-1),",","."),"."),LEFT(SUBSTITUTE(LEFT(TRIM(C603),FIND(" ",TRIM(C603)&amp;" ")-1),",","."),FIND("/",SUBSTITUTE(LEFT(TRIM(C603),FIND(" ",TRIM(C603)&amp;" ")-1),",","."))-1)/MID(SUBSTITUTE(LEFT(TRIM(C603),FIND(" ",TRIM(C603)&amp;" ")-1),",","."),FIND("/",SUBSTITUTE(LEFT(TRIM(C603),FIND(" ",TRIM(C603)&amp;" ")-1),",","."))+1,9)),IF(ISNUMBER(SEARCH("yea",C603)),IFERROR(_xlfn.NUMBERVALUE(SUBSTITUTE(LEFT(TRIM(C603),FIND(" ",TRIM(C603)&amp;" ")-1),",","."),"."),LEFT(SUBSTITUTE(LEFT(TRIM(C603),FIND(" ",TRIM(C603)&amp;" ")-1),",","."),FIND("/",SUBSTITUTE(LEFT(TRIM(C603),FIND(" ",TRIM(C603)&amp;" ")-1),",","."))-1)/MID(SUBSTITUTE(LEFT(TRIM(C603),FIND(" ",TRIM(C603)&amp;" ")-1),",","."),FIND("/",SUBSTITUTE(LEFT(TRIM(C603),FIND(" ",TRIM(C603)&amp;" ")-1),",","."))+1,9))*12,NA()))),0),24)*'Aturan &amp; Tarif'!$B$4,2)</f>
        <v>1362.72</v>
      </c>
      <c r="K603" s="42" t="n">
        <f aca="false">'Aturan &amp; Tarif'!$B$5</f>
        <v>2050</v>
      </c>
      <c r="L603" s="42" t="n">
        <f aca="false">'Aturan &amp; Tarif'!$B$6</f>
        <v>350</v>
      </c>
      <c r="M603" s="35" t="n">
        <f aca="false">I603+J603+K603+L603</f>
        <v>5512.72</v>
      </c>
      <c r="N603" s="45" t="s">
        <v>2259</v>
      </c>
    </row>
    <row r="604" customFormat="false" ht="37.5" hidden="false" customHeight="true" outlineLevel="0" collapsed="false">
      <c r="A604" s="39"/>
      <c r="B604" s="40" t="s">
        <v>2260</v>
      </c>
      <c r="C604" s="41" t="s">
        <v>191</v>
      </c>
      <c r="D604" s="41" t="s">
        <v>108</v>
      </c>
      <c r="E604" s="42" t="n">
        <v>1500</v>
      </c>
      <c r="F604" s="42" t="n">
        <v>0</v>
      </c>
      <c r="G604" s="42" t="n">
        <v>250</v>
      </c>
      <c r="H604" s="43" t="n">
        <v>1</v>
      </c>
      <c r="I604" s="34" t="n">
        <f aca="false">E604*H604+N(F604)+N(G604)</f>
        <v>1750</v>
      </c>
      <c r="J604" s="42" t="n">
        <f aca="false">ROUND(IFERROR(ROUND(IF(OR(ISNUMBER(SEARCH("week",C604)),ISNUMBER(SEARCH("minggu",C604))),IFERROR(_xlfn.NUMBERVALUE(SUBSTITUTE(LEFT(TRIM(C604),FIND(" ",TRIM(C604)&amp;" ")-1),",","."),"."),LEFT(SUBSTITUTE(LEFT(TRIM(C604),FIND(" ",TRIM(C604)&amp;" ")-1),",","."),FIND("/",SUBSTITUTE(LEFT(TRIM(C604),FIND(" ",TRIM(C604)&amp;" ")-1),",","."))-1)/MID(SUBSTITUTE(LEFT(TRIM(C604),FIND(" ",TRIM(C604)&amp;" ")-1),",","."),FIND("/",SUBSTITUTE(LEFT(TRIM(C604),FIND(" ",TRIM(C604)&amp;" ")-1),",","."))+1,9))*12/52,IF(ISNUMBER(SEARCH("month",C604)),IFERROR(_xlfn.NUMBERVALUE(SUBSTITUTE(LEFT(TRIM(C604),FIND(" ",TRIM(C604)&amp;" ")-1),",","."),"."),LEFT(SUBSTITUTE(LEFT(TRIM(C604),FIND(" ",TRIM(C604)&amp;" ")-1),",","."),FIND("/",SUBSTITUTE(LEFT(TRIM(C604),FIND(" ",TRIM(C604)&amp;" ")-1),",","."))-1)/MID(SUBSTITUTE(LEFT(TRIM(C604),FIND(" ",TRIM(C604)&amp;" ")-1),",","."),FIND("/",SUBSTITUTE(LEFT(TRIM(C604),FIND(" ",TRIM(C604)&amp;" ")-1),",","."))+1,9)),IF(ISNUMBER(SEARCH("yea",C604)),IFERROR(_xlfn.NUMBERVALUE(SUBSTITUTE(LEFT(TRIM(C604),FIND(" ",TRIM(C604)&amp;" ")-1),",","."),"."),LEFT(SUBSTITUTE(LEFT(TRIM(C604),FIND(" ",TRIM(C604)&amp;" ")-1),",","."),FIND("/",SUBSTITUTE(LEFT(TRIM(C604),FIND(" ",TRIM(C604)&amp;" ")-1),",","."))-1)/MID(SUBSTITUTE(LEFT(TRIM(C604),FIND(" ",TRIM(C604)&amp;" ")-1),",","."),FIND("/",SUBSTITUTE(LEFT(TRIM(C604),FIND(" ",TRIM(C604)&amp;" ")-1),",","."))+1,9))*12,NA()))),0),48)*'Aturan &amp; Tarif'!$B$4,2)</f>
        <v>2725.44</v>
      </c>
      <c r="K604" s="42" t="n">
        <f aca="false">'Aturan &amp; Tarif'!$B$5</f>
        <v>2050</v>
      </c>
      <c r="L604" s="42" t="n">
        <f aca="false">'Aturan &amp; Tarif'!$B$6</f>
        <v>350</v>
      </c>
      <c r="M604" s="35" t="n">
        <f aca="false">I604+J604+K604+L604</f>
        <v>6875.44</v>
      </c>
      <c r="N604" s="44" t="s">
        <v>2261</v>
      </c>
    </row>
    <row r="605" customFormat="false" ht="14.25" hidden="false" customHeight="true" outlineLevel="0" collapsed="false">
      <c r="A605" s="39"/>
      <c r="B605" s="40" t="s">
        <v>1967</v>
      </c>
      <c r="C605" s="41" t="s">
        <v>127</v>
      </c>
      <c r="D605" s="41" t="s">
        <v>108</v>
      </c>
      <c r="E605" s="42" t="n">
        <v>1500</v>
      </c>
      <c r="F605" s="42" t="n">
        <v>300</v>
      </c>
      <c r="G605" s="42" t="n">
        <v>250</v>
      </c>
      <c r="H605" s="43" t="n">
        <v>1</v>
      </c>
      <c r="I605" s="34" t="n">
        <f aca="false">E605*H605+N(F605)+N(G605)</f>
        <v>2050</v>
      </c>
      <c r="J605" s="42" t="n">
        <f aca="false">ROUND(IFERROR(ROUND(IF(OR(ISNUMBER(SEARCH("week",C605)),ISNUMBER(SEARCH("minggu",C605))),IFERROR(_xlfn.NUMBERVALUE(SUBSTITUTE(LEFT(TRIM(C605),FIND(" ",TRIM(C605)&amp;" ")-1),",","."),"."),LEFT(SUBSTITUTE(LEFT(TRIM(C605),FIND(" ",TRIM(C605)&amp;" ")-1),",","."),FIND("/",SUBSTITUTE(LEFT(TRIM(C605),FIND(" ",TRIM(C605)&amp;" ")-1),",","."))-1)/MID(SUBSTITUTE(LEFT(TRIM(C605),FIND(" ",TRIM(C605)&amp;" ")-1),",","."),FIND("/",SUBSTITUTE(LEFT(TRIM(C605),FIND(" ",TRIM(C605)&amp;" ")-1),",","."))+1,9))*12/52,IF(ISNUMBER(SEARCH("month",C605)),IFERROR(_xlfn.NUMBERVALUE(SUBSTITUTE(LEFT(TRIM(C605),FIND(" ",TRIM(C605)&amp;" ")-1),",","."),"."),LEFT(SUBSTITUTE(LEFT(TRIM(C605),FIND(" ",TRIM(C605)&amp;" ")-1),",","."),FIND("/",SUBSTITUTE(LEFT(TRIM(C605),FIND(" ",TRIM(C605)&amp;" ")-1),",","."))-1)/MID(SUBSTITUTE(LEFT(TRIM(C605),FIND(" ",TRIM(C605)&amp;" ")-1),",","."),FIND("/",SUBSTITUTE(LEFT(TRIM(C605),FIND(" ",TRIM(C605)&amp;" ")-1),",","."))+1,9)),IF(ISNUMBER(SEARCH("yea",C605)),IFERROR(_xlfn.NUMBERVALUE(SUBSTITUTE(LEFT(TRIM(C605),FIND(" ",TRIM(C605)&amp;" ")-1),",","."),"."),LEFT(SUBSTITUTE(LEFT(TRIM(C605),FIND(" ",TRIM(C605)&amp;" ")-1),",","."),FIND("/",SUBSTITUTE(LEFT(TRIM(C605),FIND(" ",TRIM(C605)&amp;" ")-1),",","."))-1)/MID(SUBSTITUTE(LEFT(TRIM(C605),FIND(" ",TRIM(C605)&amp;" ")-1),",","."),FIND("/",SUBSTITUTE(LEFT(TRIM(C605),FIND(" ",TRIM(C605)&amp;" ")-1),",","."))+1,9))*12,NA()))),0),36)*'Aturan &amp; Tarif'!$B$4,2)</f>
        <v>2044.08</v>
      </c>
      <c r="K605" s="42" t="n">
        <f aca="false">'Aturan &amp; Tarif'!$B$5</f>
        <v>2050</v>
      </c>
      <c r="L605" s="42" t="n">
        <f aca="false">'Aturan &amp; Tarif'!$B$6</f>
        <v>350</v>
      </c>
      <c r="M605" s="35" t="n">
        <f aca="false">I605+J605+K605+L605</f>
        <v>6494.08</v>
      </c>
      <c r="N605" s="45" t="s">
        <v>2262</v>
      </c>
    </row>
    <row r="606" customFormat="false" ht="25.5" hidden="false" customHeight="true" outlineLevel="0" collapsed="false">
      <c r="A606" s="39"/>
      <c r="B606" s="40" t="s">
        <v>2263</v>
      </c>
      <c r="C606" s="41" t="s">
        <v>245</v>
      </c>
      <c r="D606" s="41" t="s">
        <v>108</v>
      </c>
      <c r="E606" s="42" t="n">
        <v>1500</v>
      </c>
      <c r="F606" s="42" t="n">
        <v>300</v>
      </c>
      <c r="G606" s="42" t="n">
        <v>250</v>
      </c>
      <c r="H606" s="43" t="n">
        <v>1</v>
      </c>
      <c r="I606" s="34" t="n">
        <f aca="false">E606*H606+N(F606)+N(G606)</f>
        <v>2050</v>
      </c>
      <c r="J606" s="42" t="n">
        <f aca="false">ROUND(IFERROR(ROUND(IF(OR(ISNUMBER(SEARCH("week",C606)),ISNUMBER(SEARCH("minggu",C606))),IFERROR(_xlfn.NUMBERVALUE(SUBSTITUTE(LEFT(TRIM(C606),FIND(" ",TRIM(C606)&amp;" ")-1),",","."),"."),LEFT(SUBSTITUTE(LEFT(TRIM(C606),FIND(" ",TRIM(C606)&amp;" ")-1),",","."),FIND("/",SUBSTITUTE(LEFT(TRIM(C606),FIND(" ",TRIM(C606)&amp;" ")-1),",","."))-1)/MID(SUBSTITUTE(LEFT(TRIM(C606),FIND(" ",TRIM(C606)&amp;" ")-1),",","."),FIND("/",SUBSTITUTE(LEFT(TRIM(C606),FIND(" ",TRIM(C606)&amp;" ")-1),",","."))+1,9))*12/52,IF(ISNUMBER(SEARCH("month",C606)),IFERROR(_xlfn.NUMBERVALUE(SUBSTITUTE(LEFT(TRIM(C606),FIND(" ",TRIM(C606)&amp;" ")-1),",","."),"."),LEFT(SUBSTITUTE(LEFT(TRIM(C606),FIND(" ",TRIM(C606)&amp;" ")-1),",","."),FIND("/",SUBSTITUTE(LEFT(TRIM(C606),FIND(" ",TRIM(C606)&amp;" ")-1),",","."))-1)/MID(SUBSTITUTE(LEFT(TRIM(C606),FIND(" ",TRIM(C606)&amp;" ")-1),",","."),FIND("/",SUBSTITUTE(LEFT(TRIM(C606),FIND(" ",TRIM(C606)&amp;" ")-1),",","."))+1,9)),IF(ISNUMBER(SEARCH("yea",C606)),IFERROR(_xlfn.NUMBERVALUE(SUBSTITUTE(LEFT(TRIM(C606),FIND(" ",TRIM(C606)&amp;" ")-1),",","."),"."),LEFT(SUBSTITUTE(LEFT(TRIM(C606),FIND(" ",TRIM(C606)&amp;" ")-1),",","."),FIND("/",SUBSTITUTE(LEFT(TRIM(C606),FIND(" ",TRIM(C606)&amp;" ")-1),",","."))-1)/MID(SUBSTITUTE(LEFT(TRIM(C606),FIND(" ",TRIM(C606)&amp;" ")-1),",","."),FIND("/",SUBSTITUTE(LEFT(TRIM(C606),FIND(" ",TRIM(C606)&amp;" ")-1),",","."))+1,9))*12,NA()))),0),60)*'Aturan &amp; Tarif'!$B$4,2)</f>
        <v>3406.8</v>
      </c>
      <c r="K606" s="42" t="n">
        <f aca="false">'Aturan &amp; Tarif'!$B$5</f>
        <v>2050</v>
      </c>
      <c r="L606" s="42" t="n">
        <f aca="false">'Aturan &amp; Tarif'!$B$6</f>
        <v>350</v>
      </c>
      <c r="M606" s="35" t="n">
        <f aca="false">I606+J606+K606+L606</f>
        <v>7856.8</v>
      </c>
      <c r="N606" s="44" t="s">
        <v>2264</v>
      </c>
    </row>
    <row r="607" customFormat="false" ht="25.5" hidden="false" customHeight="true" outlineLevel="0" collapsed="false">
      <c r="A607" s="39"/>
      <c r="B607" s="40" t="s">
        <v>2265</v>
      </c>
      <c r="C607" s="41" t="s">
        <v>107</v>
      </c>
      <c r="D607" s="41" t="s">
        <v>108</v>
      </c>
      <c r="E607" s="42" t="n">
        <v>2100</v>
      </c>
      <c r="F607" s="42" t="n">
        <v>500</v>
      </c>
      <c r="G607" s="42" t="n">
        <v>250</v>
      </c>
      <c r="H607" s="43" t="n">
        <v>1</v>
      </c>
      <c r="I607" s="34" t="n">
        <f aca="false">E607*H607+N(F607)+N(G607)</f>
        <v>2850</v>
      </c>
      <c r="J607" s="42" t="n">
        <f aca="false">ROUND(IFERROR(ROUND(IF(OR(ISNUMBER(SEARCH("week",C607)),ISNUMBER(SEARCH("minggu",C607))),IFERROR(_xlfn.NUMBERVALUE(SUBSTITUTE(LEFT(TRIM(C607),FIND(" ",TRIM(C607)&amp;" ")-1),",","."),"."),LEFT(SUBSTITUTE(LEFT(TRIM(C607),FIND(" ",TRIM(C607)&amp;" ")-1),",","."),FIND("/",SUBSTITUTE(LEFT(TRIM(C607),FIND(" ",TRIM(C607)&amp;" ")-1),",","."))-1)/MID(SUBSTITUTE(LEFT(TRIM(C607),FIND(" ",TRIM(C607)&amp;" ")-1),",","."),FIND("/",SUBSTITUTE(LEFT(TRIM(C607),FIND(" ",TRIM(C607)&amp;" ")-1),",","."))+1,9))*12/52,IF(ISNUMBER(SEARCH("month",C607)),IFERROR(_xlfn.NUMBERVALUE(SUBSTITUTE(LEFT(TRIM(C607),FIND(" ",TRIM(C607)&amp;" ")-1),",","."),"."),LEFT(SUBSTITUTE(LEFT(TRIM(C607),FIND(" ",TRIM(C607)&amp;" ")-1),",","."),FIND("/",SUBSTITUTE(LEFT(TRIM(C607),FIND(" ",TRIM(C607)&amp;" ")-1),",","."))-1)/MID(SUBSTITUTE(LEFT(TRIM(C607),FIND(" ",TRIM(C607)&amp;" ")-1),",","."),FIND("/",SUBSTITUTE(LEFT(TRIM(C607),FIND(" ",TRIM(C607)&amp;" ")-1),",","."))+1,9)),IF(ISNUMBER(SEARCH("yea",C607)),IFERROR(_xlfn.NUMBERVALUE(SUBSTITUTE(LEFT(TRIM(C607),FIND(" ",TRIM(C607)&amp;" ")-1),",","."),"."),LEFT(SUBSTITUTE(LEFT(TRIM(C607),FIND(" ",TRIM(C607)&amp;" ")-1),",","."),FIND("/",SUBSTITUTE(LEFT(TRIM(C607),FIND(" ",TRIM(C607)&amp;" ")-1),",","."))-1)/MID(SUBSTITUTE(LEFT(TRIM(C607),FIND(" ",TRIM(C607)&amp;" ")-1),",","."),FIND("/",SUBSTITUTE(LEFT(TRIM(C607),FIND(" ",TRIM(C607)&amp;" ")-1),",","."))+1,9))*12,NA()))),0),24)*'Aturan &amp; Tarif'!$B$4,2)</f>
        <v>1362.72</v>
      </c>
      <c r="K607" s="42" t="n">
        <f aca="false">'Aturan &amp; Tarif'!$B$5</f>
        <v>2050</v>
      </c>
      <c r="L607" s="42" t="n">
        <f aca="false">'Aturan &amp; Tarif'!$B$6</f>
        <v>350</v>
      </c>
      <c r="M607" s="35" t="n">
        <f aca="false">I607+J607+K607+L607</f>
        <v>6612.72</v>
      </c>
      <c r="N607" s="44" t="s">
        <v>2266</v>
      </c>
    </row>
    <row r="608" customFormat="false" ht="14.25" hidden="false" customHeight="true" outlineLevel="0" collapsed="false">
      <c r="A608" s="39"/>
      <c r="B608" s="40" t="s">
        <v>2267</v>
      </c>
      <c r="C608" s="41" t="s">
        <v>107</v>
      </c>
      <c r="D608" s="41" t="s">
        <v>108</v>
      </c>
      <c r="E608" s="42" t="n">
        <v>2000</v>
      </c>
      <c r="F608" s="42" t="n">
        <v>0</v>
      </c>
      <c r="G608" s="42" t="n">
        <v>250</v>
      </c>
      <c r="H608" s="43" t="n">
        <v>1</v>
      </c>
      <c r="I608" s="34" t="n">
        <f aca="false">E608*H608+N(F608)+N(G608)</f>
        <v>2250</v>
      </c>
      <c r="J608" s="42" t="n">
        <f aca="false">ROUND(IFERROR(ROUND(IF(OR(ISNUMBER(SEARCH("week",C608)),ISNUMBER(SEARCH("minggu",C608))),IFERROR(_xlfn.NUMBERVALUE(SUBSTITUTE(LEFT(TRIM(C608),FIND(" ",TRIM(C608)&amp;" ")-1),",","."),"."),LEFT(SUBSTITUTE(LEFT(TRIM(C608),FIND(" ",TRIM(C608)&amp;" ")-1),",","."),FIND("/",SUBSTITUTE(LEFT(TRIM(C608),FIND(" ",TRIM(C608)&amp;" ")-1),",","."))-1)/MID(SUBSTITUTE(LEFT(TRIM(C608),FIND(" ",TRIM(C608)&amp;" ")-1),",","."),FIND("/",SUBSTITUTE(LEFT(TRIM(C608),FIND(" ",TRIM(C608)&amp;" ")-1),",","."))+1,9))*12/52,IF(ISNUMBER(SEARCH("month",C608)),IFERROR(_xlfn.NUMBERVALUE(SUBSTITUTE(LEFT(TRIM(C608),FIND(" ",TRIM(C608)&amp;" ")-1),",","."),"."),LEFT(SUBSTITUTE(LEFT(TRIM(C608),FIND(" ",TRIM(C608)&amp;" ")-1),",","."),FIND("/",SUBSTITUTE(LEFT(TRIM(C608),FIND(" ",TRIM(C608)&amp;" ")-1),",","."))-1)/MID(SUBSTITUTE(LEFT(TRIM(C608),FIND(" ",TRIM(C608)&amp;" ")-1),",","."),FIND("/",SUBSTITUTE(LEFT(TRIM(C608),FIND(" ",TRIM(C608)&amp;" ")-1),",","."))+1,9)),IF(ISNUMBER(SEARCH("yea",C608)),IFERROR(_xlfn.NUMBERVALUE(SUBSTITUTE(LEFT(TRIM(C608),FIND(" ",TRIM(C608)&amp;" ")-1),",","."),"."),LEFT(SUBSTITUTE(LEFT(TRIM(C608),FIND(" ",TRIM(C608)&amp;" ")-1),",","."),FIND("/",SUBSTITUTE(LEFT(TRIM(C608),FIND(" ",TRIM(C608)&amp;" ")-1),",","."))-1)/MID(SUBSTITUTE(LEFT(TRIM(C608),FIND(" ",TRIM(C608)&amp;" ")-1),",","."),FIND("/",SUBSTITUTE(LEFT(TRIM(C608),FIND(" ",TRIM(C608)&amp;" ")-1),",","."))+1,9))*12,NA()))),0),24)*'Aturan &amp; Tarif'!$B$4,2)</f>
        <v>1362.72</v>
      </c>
      <c r="K608" s="42" t="n">
        <f aca="false">'Aturan &amp; Tarif'!$B$5</f>
        <v>2050</v>
      </c>
      <c r="L608" s="42" t="n">
        <f aca="false">'Aturan &amp; Tarif'!$B$6</f>
        <v>350</v>
      </c>
      <c r="M608" s="35" t="n">
        <f aca="false">I608+J608+K608+L608</f>
        <v>6012.72</v>
      </c>
      <c r="N608" s="45" t="s">
        <v>2268</v>
      </c>
    </row>
    <row r="609" customFormat="false" ht="48.75" hidden="false" customHeight="true" outlineLevel="0" collapsed="false">
      <c r="A609" s="29" t="s">
        <v>2269</v>
      </c>
      <c r="B609" s="30" t="s">
        <v>2270</v>
      </c>
      <c r="C609" s="31" t="s">
        <v>107</v>
      </c>
      <c r="D609" s="31" t="s">
        <v>108</v>
      </c>
      <c r="E609" s="32" t="n">
        <v>1835</v>
      </c>
      <c r="F609" s="32" t="n">
        <v>650</v>
      </c>
      <c r="G609" s="32" t="n">
        <v>500</v>
      </c>
      <c r="H609" s="33" t="n">
        <v>1</v>
      </c>
      <c r="I609" s="34" t="n">
        <f aca="false">E609*H609+N(F609)+N(G609)</f>
        <v>2985</v>
      </c>
      <c r="J609" s="32" t="n">
        <f aca="false">ROUND(IFERROR(ROUND(IF(OR(ISNUMBER(SEARCH("week",C609)),ISNUMBER(SEARCH("minggu",C609))),IFERROR(_xlfn.NUMBERVALUE(SUBSTITUTE(LEFT(TRIM(C609),FIND(" ",TRIM(C609)&amp;" ")-1),",","."),"."),LEFT(SUBSTITUTE(LEFT(TRIM(C609),FIND(" ",TRIM(C609)&amp;" ")-1),",","."),FIND("/",SUBSTITUTE(LEFT(TRIM(C609),FIND(" ",TRIM(C609)&amp;" ")-1),",","."))-1)/MID(SUBSTITUTE(LEFT(TRIM(C609),FIND(" ",TRIM(C609)&amp;" ")-1),",","."),FIND("/",SUBSTITUTE(LEFT(TRIM(C609),FIND(" ",TRIM(C609)&amp;" ")-1),",","."))+1,9))*12/52,IF(ISNUMBER(SEARCH("month",C609)),IFERROR(_xlfn.NUMBERVALUE(SUBSTITUTE(LEFT(TRIM(C609),FIND(" ",TRIM(C609)&amp;" ")-1),",","."),"."),LEFT(SUBSTITUTE(LEFT(TRIM(C609),FIND(" ",TRIM(C609)&amp;" ")-1),",","."),FIND("/",SUBSTITUTE(LEFT(TRIM(C609),FIND(" ",TRIM(C609)&amp;" ")-1),",","."))-1)/MID(SUBSTITUTE(LEFT(TRIM(C609),FIND(" ",TRIM(C609)&amp;" ")-1),",","."),FIND("/",SUBSTITUTE(LEFT(TRIM(C609),FIND(" ",TRIM(C609)&amp;" ")-1),",","."))+1,9)),IF(ISNUMBER(SEARCH("yea",C609)),IFERROR(_xlfn.NUMBERVALUE(SUBSTITUTE(LEFT(TRIM(C609),FIND(" ",TRIM(C609)&amp;" ")-1),",","."),"."),LEFT(SUBSTITUTE(LEFT(TRIM(C609),FIND(" ",TRIM(C609)&amp;" ")-1),",","."),FIND("/",SUBSTITUTE(LEFT(TRIM(C609),FIND(" ",TRIM(C609)&amp;" ")-1),",","."))-1)/MID(SUBSTITUTE(LEFT(TRIM(C609),FIND(" ",TRIM(C609)&amp;" ")-1),",","."),FIND("/",SUBSTITUTE(LEFT(TRIM(C609),FIND(" ",TRIM(C609)&amp;" ")-1),",","."))+1,9))*12,NA()))),0),24)*'Aturan &amp; Tarif'!$B$4,2)</f>
        <v>1362.72</v>
      </c>
      <c r="K609" s="32" t="n">
        <f aca="false">'Aturan &amp; Tarif'!$B$5</f>
        <v>2050</v>
      </c>
      <c r="L609" s="32" t="n">
        <f aca="false">'Aturan &amp; Tarif'!$B$6</f>
        <v>350</v>
      </c>
      <c r="M609" s="35" t="n">
        <f aca="false">I609+J609+K609+L609</f>
        <v>6747.72</v>
      </c>
      <c r="N609" s="37" t="s">
        <v>134</v>
      </c>
    </row>
    <row r="610" customFormat="false" ht="37.5" hidden="false" customHeight="true" outlineLevel="0" collapsed="false">
      <c r="A610" s="29"/>
      <c r="B610" s="30" t="s">
        <v>2271</v>
      </c>
      <c r="C610" s="31" t="s">
        <v>107</v>
      </c>
      <c r="D610" s="31" t="s">
        <v>108</v>
      </c>
      <c r="E610" s="32" t="n">
        <v>1835</v>
      </c>
      <c r="F610" s="32" t="n">
        <v>650</v>
      </c>
      <c r="G610" s="32" t="n">
        <v>500</v>
      </c>
      <c r="H610" s="33" t="n">
        <v>1</v>
      </c>
      <c r="I610" s="34" t="n">
        <f aca="false">E610*H610+N(F610)+N(G610)</f>
        <v>2985</v>
      </c>
      <c r="J610" s="32" t="n">
        <f aca="false">ROUND(IFERROR(ROUND(IF(OR(ISNUMBER(SEARCH("week",C610)),ISNUMBER(SEARCH("minggu",C610))),IFERROR(_xlfn.NUMBERVALUE(SUBSTITUTE(LEFT(TRIM(C610),FIND(" ",TRIM(C610)&amp;" ")-1),",","."),"."),LEFT(SUBSTITUTE(LEFT(TRIM(C610),FIND(" ",TRIM(C610)&amp;" ")-1),",","."),FIND("/",SUBSTITUTE(LEFT(TRIM(C610),FIND(" ",TRIM(C610)&amp;" ")-1),",","."))-1)/MID(SUBSTITUTE(LEFT(TRIM(C610),FIND(" ",TRIM(C610)&amp;" ")-1),",","."),FIND("/",SUBSTITUTE(LEFT(TRIM(C610),FIND(" ",TRIM(C610)&amp;" ")-1),",","."))+1,9))*12/52,IF(ISNUMBER(SEARCH("month",C610)),IFERROR(_xlfn.NUMBERVALUE(SUBSTITUTE(LEFT(TRIM(C610),FIND(" ",TRIM(C610)&amp;" ")-1),",","."),"."),LEFT(SUBSTITUTE(LEFT(TRIM(C610),FIND(" ",TRIM(C610)&amp;" ")-1),",","."),FIND("/",SUBSTITUTE(LEFT(TRIM(C610),FIND(" ",TRIM(C610)&amp;" ")-1),",","."))-1)/MID(SUBSTITUTE(LEFT(TRIM(C610),FIND(" ",TRIM(C610)&amp;" ")-1),",","."),FIND("/",SUBSTITUTE(LEFT(TRIM(C610),FIND(" ",TRIM(C610)&amp;" ")-1),",","."))+1,9)),IF(ISNUMBER(SEARCH("yea",C610)),IFERROR(_xlfn.NUMBERVALUE(SUBSTITUTE(LEFT(TRIM(C610),FIND(" ",TRIM(C610)&amp;" ")-1),",","."),"."),LEFT(SUBSTITUTE(LEFT(TRIM(C610),FIND(" ",TRIM(C610)&amp;" ")-1),",","."),FIND("/",SUBSTITUTE(LEFT(TRIM(C610),FIND(" ",TRIM(C610)&amp;" ")-1),",","."))-1)/MID(SUBSTITUTE(LEFT(TRIM(C610),FIND(" ",TRIM(C610)&amp;" ")-1),",","."),FIND("/",SUBSTITUTE(LEFT(TRIM(C610),FIND(" ",TRIM(C610)&amp;" ")-1),",","."))+1,9))*12,NA()))),0),24)*'Aturan &amp; Tarif'!$B$4,2)</f>
        <v>1362.72</v>
      </c>
      <c r="K610" s="32" t="n">
        <f aca="false">'Aturan &amp; Tarif'!$B$5</f>
        <v>2050</v>
      </c>
      <c r="L610" s="32" t="n">
        <f aca="false">'Aturan &amp; Tarif'!$B$6</f>
        <v>350</v>
      </c>
      <c r="M610" s="35" t="n">
        <f aca="false">I610+J610+K610+L610</f>
        <v>6747.72</v>
      </c>
      <c r="N610" s="37" t="s">
        <v>134</v>
      </c>
    </row>
    <row r="611" customFormat="false" ht="25.5" hidden="false" customHeight="true" outlineLevel="0" collapsed="false">
      <c r="A611" s="29"/>
      <c r="B611" s="30" t="s">
        <v>2272</v>
      </c>
      <c r="C611" s="31" t="s">
        <v>107</v>
      </c>
      <c r="D611" s="31" t="s">
        <v>108</v>
      </c>
      <c r="E611" s="32" t="n">
        <v>2950</v>
      </c>
      <c r="F611" s="32" t="n">
        <v>600</v>
      </c>
      <c r="G611" s="32" t="n">
        <v>500</v>
      </c>
      <c r="H611" s="33" t="n">
        <v>1</v>
      </c>
      <c r="I611" s="34" t="n">
        <f aca="false">E611*H611+N(F611)+N(G611)</f>
        <v>4050</v>
      </c>
      <c r="J611" s="32" t="n">
        <f aca="false">ROUND(IFERROR(ROUND(IF(OR(ISNUMBER(SEARCH("week",C611)),ISNUMBER(SEARCH("minggu",C611))),IFERROR(_xlfn.NUMBERVALUE(SUBSTITUTE(LEFT(TRIM(C611),FIND(" ",TRIM(C611)&amp;" ")-1),",","."),"."),LEFT(SUBSTITUTE(LEFT(TRIM(C611),FIND(" ",TRIM(C611)&amp;" ")-1),",","."),FIND("/",SUBSTITUTE(LEFT(TRIM(C611),FIND(" ",TRIM(C611)&amp;" ")-1),",","."))-1)/MID(SUBSTITUTE(LEFT(TRIM(C611),FIND(" ",TRIM(C611)&amp;" ")-1),",","."),FIND("/",SUBSTITUTE(LEFT(TRIM(C611),FIND(" ",TRIM(C611)&amp;" ")-1),",","."))+1,9))*12/52,IF(ISNUMBER(SEARCH("month",C611)),IFERROR(_xlfn.NUMBERVALUE(SUBSTITUTE(LEFT(TRIM(C611),FIND(" ",TRIM(C611)&amp;" ")-1),",","."),"."),LEFT(SUBSTITUTE(LEFT(TRIM(C611),FIND(" ",TRIM(C611)&amp;" ")-1),",","."),FIND("/",SUBSTITUTE(LEFT(TRIM(C611),FIND(" ",TRIM(C611)&amp;" ")-1),",","."))-1)/MID(SUBSTITUTE(LEFT(TRIM(C611),FIND(" ",TRIM(C611)&amp;" ")-1),",","."),FIND("/",SUBSTITUTE(LEFT(TRIM(C611),FIND(" ",TRIM(C611)&amp;" ")-1),",","."))+1,9)),IF(ISNUMBER(SEARCH("yea",C611)),IFERROR(_xlfn.NUMBERVALUE(SUBSTITUTE(LEFT(TRIM(C611),FIND(" ",TRIM(C611)&amp;" ")-1),",","."),"."),LEFT(SUBSTITUTE(LEFT(TRIM(C611),FIND(" ",TRIM(C611)&amp;" ")-1),",","."),FIND("/",SUBSTITUTE(LEFT(TRIM(C611),FIND(" ",TRIM(C611)&amp;" ")-1),",","."))-1)/MID(SUBSTITUTE(LEFT(TRIM(C611),FIND(" ",TRIM(C611)&amp;" ")-1),",","."),FIND("/",SUBSTITUTE(LEFT(TRIM(C611),FIND(" ",TRIM(C611)&amp;" ")-1),",","."))+1,9))*12,NA()))),0),24)*'Aturan &amp; Tarif'!$B$4,2)</f>
        <v>1362.72</v>
      </c>
      <c r="K611" s="32" t="n">
        <f aca="false">'Aturan &amp; Tarif'!$B$5</f>
        <v>2050</v>
      </c>
      <c r="L611" s="32" t="n">
        <f aca="false">'Aturan &amp; Tarif'!$B$6</f>
        <v>350</v>
      </c>
      <c r="M611" s="35" t="n">
        <f aca="false">I611+J611+K611+L611</f>
        <v>7812.72</v>
      </c>
      <c r="N611" s="37" t="s">
        <v>134</v>
      </c>
    </row>
    <row r="612" customFormat="false" ht="37.5" hidden="false" customHeight="true" outlineLevel="0" collapsed="false">
      <c r="A612" s="29"/>
      <c r="B612" s="30" t="s">
        <v>2273</v>
      </c>
      <c r="C612" s="31" t="s">
        <v>107</v>
      </c>
      <c r="D612" s="31" t="s">
        <v>108</v>
      </c>
      <c r="E612" s="32" t="n">
        <v>3080</v>
      </c>
      <c r="F612" s="32" t="n">
        <v>900</v>
      </c>
      <c r="G612" s="32" t="n">
        <v>500</v>
      </c>
      <c r="H612" s="33" t="n">
        <v>1</v>
      </c>
      <c r="I612" s="34" t="n">
        <f aca="false">E612*H612+N(F612)+N(G612)</f>
        <v>4480</v>
      </c>
      <c r="J612" s="32" t="n">
        <f aca="false">ROUND(IFERROR(ROUND(IF(OR(ISNUMBER(SEARCH("week",C612)),ISNUMBER(SEARCH("minggu",C612))),IFERROR(_xlfn.NUMBERVALUE(SUBSTITUTE(LEFT(TRIM(C612),FIND(" ",TRIM(C612)&amp;" ")-1),",","."),"."),LEFT(SUBSTITUTE(LEFT(TRIM(C612),FIND(" ",TRIM(C612)&amp;" ")-1),",","."),FIND("/",SUBSTITUTE(LEFT(TRIM(C612),FIND(" ",TRIM(C612)&amp;" ")-1),",","."))-1)/MID(SUBSTITUTE(LEFT(TRIM(C612),FIND(" ",TRIM(C612)&amp;" ")-1),",","."),FIND("/",SUBSTITUTE(LEFT(TRIM(C612),FIND(" ",TRIM(C612)&amp;" ")-1),",","."))+1,9))*12/52,IF(ISNUMBER(SEARCH("month",C612)),IFERROR(_xlfn.NUMBERVALUE(SUBSTITUTE(LEFT(TRIM(C612),FIND(" ",TRIM(C612)&amp;" ")-1),",","."),"."),LEFT(SUBSTITUTE(LEFT(TRIM(C612),FIND(" ",TRIM(C612)&amp;" ")-1),",","."),FIND("/",SUBSTITUTE(LEFT(TRIM(C612),FIND(" ",TRIM(C612)&amp;" ")-1),",","."))-1)/MID(SUBSTITUTE(LEFT(TRIM(C612),FIND(" ",TRIM(C612)&amp;" ")-1),",","."),FIND("/",SUBSTITUTE(LEFT(TRIM(C612),FIND(" ",TRIM(C612)&amp;" ")-1),",","."))+1,9)),IF(ISNUMBER(SEARCH("yea",C612)),IFERROR(_xlfn.NUMBERVALUE(SUBSTITUTE(LEFT(TRIM(C612),FIND(" ",TRIM(C612)&amp;" ")-1),",","."),"."),LEFT(SUBSTITUTE(LEFT(TRIM(C612),FIND(" ",TRIM(C612)&amp;" ")-1),",","."),FIND("/",SUBSTITUTE(LEFT(TRIM(C612),FIND(" ",TRIM(C612)&amp;" ")-1),",","."))-1)/MID(SUBSTITUTE(LEFT(TRIM(C612),FIND(" ",TRIM(C612)&amp;" ")-1),",","."),FIND("/",SUBSTITUTE(LEFT(TRIM(C612),FIND(" ",TRIM(C612)&amp;" ")-1),",","."))+1,9))*12,NA()))),0),24)*'Aturan &amp; Tarif'!$B$4,2)</f>
        <v>1362.72</v>
      </c>
      <c r="K612" s="32" t="n">
        <f aca="false">'Aturan &amp; Tarif'!$B$5</f>
        <v>2050</v>
      </c>
      <c r="L612" s="32" t="n">
        <f aca="false">'Aturan &amp; Tarif'!$B$6</f>
        <v>350</v>
      </c>
      <c r="M612" s="35" t="n">
        <f aca="false">I612+J612+K612+L612</f>
        <v>8242.72</v>
      </c>
      <c r="N612" s="36" t="s">
        <v>131</v>
      </c>
    </row>
    <row r="613" customFormat="false" ht="25.5" hidden="false" customHeight="true" outlineLevel="0" collapsed="false">
      <c r="A613" s="29"/>
      <c r="B613" s="30" t="s">
        <v>2274</v>
      </c>
      <c r="C613" s="31" t="s">
        <v>107</v>
      </c>
      <c r="D613" s="31" t="s">
        <v>108</v>
      </c>
      <c r="E613" s="32" t="n">
        <v>2125</v>
      </c>
      <c r="F613" s="32" t="n">
        <v>700</v>
      </c>
      <c r="G613" s="32" t="n">
        <v>500</v>
      </c>
      <c r="H613" s="33" t="n">
        <v>1</v>
      </c>
      <c r="I613" s="34" t="n">
        <f aca="false">E613*H613+N(F613)+N(G613)</f>
        <v>3325</v>
      </c>
      <c r="J613" s="32" t="n">
        <f aca="false">ROUND(IFERROR(ROUND(IF(OR(ISNUMBER(SEARCH("week",C613)),ISNUMBER(SEARCH("minggu",C613))),IFERROR(_xlfn.NUMBERVALUE(SUBSTITUTE(LEFT(TRIM(C613),FIND(" ",TRIM(C613)&amp;" ")-1),",","."),"."),LEFT(SUBSTITUTE(LEFT(TRIM(C613),FIND(" ",TRIM(C613)&amp;" ")-1),",","."),FIND("/",SUBSTITUTE(LEFT(TRIM(C613),FIND(" ",TRIM(C613)&amp;" ")-1),",","."))-1)/MID(SUBSTITUTE(LEFT(TRIM(C613),FIND(" ",TRIM(C613)&amp;" ")-1),",","."),FIND("/",SUBSTITUTE(LEFT(TRIM(C613),FIND(" ",TRIM(C613)&amp;" ")-1),",","."))+1,9))*12/52,IF(ISNUMBER(SEARCH("month",C613)),IFERROR(_xlfn.NUMBERVALUE(SUBSTITUTE(LEFT(TRIM(C613),FIND(" ",TRIM(C613)&amp;" ")-1),",","."),"."),LEFT(SUBSTITUTE(LEFT(TRIM(C613),FIND(" ",TRIM(C613)&amp;" ")-1),",","."),FIND("/",SUBSTITUTE(LEFT(TRIM(C613),FIND(" ",TRIM(C613)&amp;" ")-1),",","."))-1)/MID(SUBSTITUTE(LEFT(TRIM(C613),FIND(" ",TRIM(C613)&amp;" ")-1),",","."),FIND("/",SUBSTITUTE(LEFT(TRIM(C613),FIND(" ",TRIM(C613)&amp;" ")-1),",","."))+1,9)),IF(ISNUMBER(SEARCH("yea",C613)),IFERROR(_xlfn.NUMBERVALUE(SUBSTITUTE(LEFT(TRIM(C613),FIND(" ",TRIM(C613)&amp;" ")-1),",","."),"."),LEFT(SUBSTITUTE(LEFT(TRIM(C613),FIND(" ",TRIM(C613)&amp;" ")-1),",","."),FIND("/",SUBSTITUTE(LEFT(TRIM(C613),FIND(" ",TRIM(C613)&amp;" ")-1),",","."))-1)/MID(SUBSTITUTE(LEFT(TRIM(C613),FIND(" ",TRIM(C613)&amp;" ")-1),",","."),FIND("/",SUBSTITUTE(LEFT(TRIM(C613),FIND(" ",TRIM(C613)&amp;" ")-1),",","."))+1,9))*12,NA()))),0),24)*'Aturan &amp; Tarif'!$B$4,2)</f>
        <v>1362.72</v>
      </c>
      <c r="K613" s="32" t="n">
        <f aca="false">'Aturan &amp; Tarif'!$B$5</f>
        <v>2050</v>
      </c>
      <c r="L613" s="32" t="n">
        <f aca="false">'Aturan &amp; Tarif'!$B$6</f>
        <v>350</v>
      </c>
      <c r="M613" s="35" t="n">
        <f aca="false">I613+J613+K613+L613</f>
        <v>7087.72</v>
      </c>
      <c r="N613" s="36" t="s">
        <v>131</v>
      </c>
    </row>
    <row r="614" customFormat="false" ht="25.5" hidden="false" customHeight="true" outlineLevel="0" collapsed="false">
      <c r="A614" s="29"/>
      <c r="B614" s="30" t="s">
        <v>2275</v>
      </c>
      <c r="C614" s="31" t="s">
        <v>107</v>
      </c>
      <c r="D614" s="31" t="s">
        <v>108</v>
      </c>
      <c r="E614" s="32" t="n">
        <v>2155</v>
      </c>
      <c r="F614" s="32" t="n">
        <v>700</v>
      </c>
      <c r="G614" s="32" t="n">
        <v>500</v>
      </c>
      <c r="H614" s="33" t="n">
        <v>1</v>
      </c>
      <c r="I614" s="34" t="n">
        <f aca="false">E614*H614+N(F614)+N(G614)</f>
        <v>3355</v>
      </c>
      <c r="J614" s="32" t="n">
        <f aca="false">ROUND(IFERROR(ROUND(IF(OR(ISNUMBER(SEARCH("week",C614)),ISNUMBER(SEARCH("minggu",C614))),IFERROR(_xlfn.NUMBERVALUE(SUBSTITUTE(LEFT(TRIM(C614),FIND(" ",TRIM(C614)&amp;" ")-1),",","."),"."),LEFT(SUBSTITUTE(LEFT(TRIM(C614),FIND(" ",TRIM(C614)&amp;" ")-1),",","."),FIND("/",SUBSTITUTE(LEFT(TRIM(C614),FIND(" ",TRIM(C614)&amp;" ")-1),",","."))-1)/MID(SUBSTITUTE(LEFT(TRIM(C614),FIND(" ",TRIM(C614)&amp;" ")-1),",","."),FIND("/",SUBSTITUTE(LEFT(TRIM(C614),FIND(" ",TRIM(C614)&amp;" ")-1),",","."))+1,9))*12/52,IF(ISNUMBER(SEARCH("month",C614)),IFERROR(_xlfn.NUMBERVALUE(SUBSTITUTE(LEFT(TRIM(C614),FIND(" ",TRIM(C614)&amp;" ")-1),",","."),"."),LEFT(SUBSTITUTE(LEFT(TRIM(C614),FIND(" ",TRIM(C614)&amp;" ")-1),",","."),FIND("/",SUBSTITUTE(LEFT(TRIM(C614),FIND(" ",TRIM(C614)&amp;" ")-1),",","."))-1)/MID(SUBSTITUTE(LEFT(TRIM(C614),FIND(" ",TRIM(C614)&amp;" ")-1),",","."),FIND("/",SUBSTITUTE(LEFT(TRIM(C614),FIND(" ",TRIM(C614)&amp;" ")-1),",","."))+1,9)),IF(ISNUMBER(SEARCH("yea",C614)),IFERROR(_xlfn.NUMBERVALUE(SUBSTITUTE(LEFT(TRIM(C614),FIND(" ",TRIM(C614)&amp;" ")-1),",","."),"."),LEFT(SUBSTITUTE(LEFT(TRIM(C614),FIND(" ",TRIM(C614)&amp;" ")-1),",","."),FIND("/",SUBSTITUTE(LEFT(TRIM(C614),FIND(" ",TRIM(C614)&amp;" ")-1),",","."))-1)/MID(SUBSTITUTE(LEFT(TRIM(C614),FIND(" ",TRIM(C614)&amp;" ")-1),",","."),FIND("/",SUBSTITUTE(LEFT(TRIM(C614),FIND(" ",TRIM(C614)&amp;" ")-1),",","."))+1,9))*12,NA()))),0),24)*'Aturan &amp; Tarif'!$B$4,2)</f>
        <v>1362.72</v>
      </c>
      <c r="K614" s="32" t="n">
        <f aca="false">'Aturan &amp; Tarif'!$B$5</f>
        <v>2050</v>
      </c>
      <c r="L614" s="32" t="n">
        <f aca="false">'Aturan &amp; Tarif'!$B$6</f>
        <v>350</v>
      </c>
      <c r="M614" s="35" t="n">
        <f aca="false">I614+J614+K614+L614</f>
        <v>7117.72</v>
      </c>
      <c r="N614" s="36" t="s">
        <v>131</v>
      </c>
    </row>
    <row r="615" customFormat="false" ht="37.5" hidden="false" customHeight="true" outlineLevel="0" collapsed="false">
      <c r="A615" s="39" t="s">
        <v>2276</v>
      </c>
      <c r="B615" s="40" t="s">
        <v>106</v>
      </c>
      <c r="C615" s="41" t="s">
        <v>107</v>
      </c>
      <c r="D615" s="41" t="s">
        <v>108</v>
      </c>
      <c r="E615" s="42" t="n">
        <v>2500</v>
      </c>
      <c r="F615" s="42" t="n">
        <v>2500</v>
      </c>
      <c r="G615" s="42" t="n">
        <v>500</v>
      </c>
      <c r="H615" s="43" t="n">
        <v>1</v>
      </c>
      <c r="I615" s="34" t="n">
        <f aca="false">E615*H615+N(F615)+N(G615)</f>
        <v>5500</v>
      </c>
      <c r="J615" s="42" t="n">
        <f aca="false">ROUND(IFERROR(ROUND(IF(OR(ISNUMBER(SEARCH("week",C615)),ISNUMBER(SEARCH("minggu",C615))),IFERROR(_xlfn.NUMBERVALUE(SUBSTITUTE(LEFT(TRIM(C615),FIND(" ",TRIM(C615)&amp;" ")-1),",","."),"."),LEFT(SUBSTITUTE(LEFT(TRIM(C615),FIND(" ",TRIM(C615)&amp;" ")-1),",","."),FIND("/",SUBSTITUTE(LEFT(TRIM(C615),FIND(" ",TRIM(C615)&amp;" ")-1),",","."))-1)/MID(SUBSTITUTE(LEFT(TRIM(C615),FIND(" ",TRIM(C615)&amp;" ")-1),",","."),FIND("/",SUBSTITUTE(LEFT(TRIM(C615),FIND(" ",TRIM(C615)&amp;" ")-1),",","."))+1,9))*12/52,IF(ISNUMBER(SEARCH("month",C615)),IFERROR(_xlfn.NUMBERVALUE(SUBSTITUTE(LEFT(TRIM(C615),FIND(" ",TRIM(C615)&amp;" ")-1),",","."),"."),LEFT(SUBSTITUTE(LEFT(TRIM(C615),FIND(" ",TRIM(C615)&amp;" ")-1),",","."),FIND("/",SUBSTITUTE(LEFT(TRIM(C615),FIND(" ",TRIM(C615)&amp;" ")-1),",","."))-1)/MID(SUBSTITUTE(LEFT(TRIM(C615),FIND(" ",TRIM(C615)&amp;" ")-1),",","."),FIND("/",SUBSTITUTE(LEFT(TRIM(C615),FIND(" ",TRIM(C615)&amp;" ")-1),",","."))+1,9)),IF(ISNUMBER(SEARCH("yea",C615)),IFERROR(_xlfn.NUMBERVALUE(SUBSTITUTE(LEFT(TRIM(C615),FIND(" ",TRIM(C615)&amp;" ")-1),",","."),"."),LEFT(SUBSTITUTE(LEFT(TRIM(C615),FIND(" ",TRIM(C615)&amp;" ")-1),",","."),FIND("/",SUBSTITUTE(LEFT(TRIM(C615),FIND(" ",TRIM(C615)&amp;" ")-1),",","."))-1)/MID(SUBSTITUTE(LEFT(TRIM(C615),FIND(" ",TRIM(C615)&amp;" ")-1),",","."),FIND("/",SUBSTITUTE(LEFT(TRIM(C615),FIND(" ",TRIM(C615)&amp;" ")-1),",","."))+1,9))*12,NA()))),0),24)*'Aturan &amp; Tarif'!$B$4,2)</f>
        <v>1362.72</v>
      </c>
      <c r="K615" s="42" t="n">
        <f aca="false">'Aturan &amp; Tarif'!$B$5</f>
        <v>2050</v>
      </c>
      <c r="L615" s="42" t="n">
        <f aca="false">'Aturan &amp; Tarif'!$B$6</f>
        <v>350</v>
      </c>
      <c r="M615" s="35" t="n">
        <f aca="false">I615+J615+K615+L615</f>
        <v>9262.72</v>
      </c>
      <c r="N615" s="44" t="s">
        <v>109</v>
      </c>
    </row>
    <row r="616" customFormat="false" ht="37.5" hidden="false" customHeight="true" outlineLevel="0" collapsed="false">
      <c r="A616" s="39"/>
      <c r="B616" s="40" t="s">
        <v>110</v>
      </c>
      <c r="C616" s="41" t="s">
        <v>107</v>
      </c>
      <c r="D616" s="41" t="s">
        <v>108</v>
      </c>
      <c r="E616" s="42" t="n">
        <v>2300</v>
      </c>
      <c r="F616" s="42" t="n">
        <v>2000</v>
      </c>
      <c r="G616" s="42" t="n">
        <v>500</v>
      </c>
      <c r="H616" s="43" t="n">
        <v>1</v>
      </c>
      <c r="I616" s="34" t="n">
        <f aca="false">E616*H616+N(F616)+N(G616)</f>
        <v>4800</v>
      </c>
      <c r="J616" s="42" t="n">
        <f aca="false">ROUND(IFERROR(ROUND(IF(OR(ISNUMBER(SEARCH("week",C616)),ISNUMBER(SEARCH("minggu",C616))),IFERROR(_xlfn.NUMBERVALUE(SUBSTITUTE(LEFT(TRIM(C616),FIND(" ",TRIM(C616)&amp;" ")-1),",","."),"."),LEFT(SUBSTITUTE(LEFT(TRIM(C616),FIND(" ",TRIM(C616)&amp;" ")-1),",","."),FIND("/",SUBSTITUTE(LEFT(TRIM(C616),FIND(" ",TRIM(C616)&amp;" ")-1),",","."))-1)/MID(SUBSTITUTE(LEFT(TRIM(C616),FIND(" ",TRIM(C616)&amp;" ")-1),",","."),FIND("/",SUBSTITUTE(LEFT(TRIM(C616),FIND(" ",TRIM(C616)&amp;" ")-1),",","."))+1,9))*12/52,IF(ISNUMBER(SEARCH("month",C616)),IFERROR(_xlfn.NUMBERVALUE(SUBSTITUTE(LEFT(TRIM(C616),FIND(" ",TRIM(C616)&amp;" ")-1),",","."),"."),LEFT(SUBSTITUTE(LEFT(TRIM(C616),FIND(" ",TRIM(C616)&amp;" ")-1),",","."),FIND("/",SUBSTITUTE(LEFT(TRIM(C616),FIND(" ",TRIM(C616)&amp;" ")-1),",","."))-1)/MID(SUBSTITUTE(LEFT(TRIM(C616),FIND(" ",TRIM(C616)&amp;" ")-1),",","."),FIND("/",SUBSTITUTE(LEFT(TRIM(C616),FIND(" ",TRIM(C616)&amp;" ")-1),",","."))+1,9)),IF(ISNUMBER(SEARCH("yea",C616)),IFERROR(_xlfn.NUMBERVALUE(SUBSTITUTE(LEFT(TRIM(C616),FIND(" ",TRIM(C616)&amp;" ")-1),",","."),"."),LEFT(SUBSTITUTE(LEFT(TRIM(C616),FIND(" ",TRIM(C616)&amp;" ")-1),",","."),FIND("/",SUBSTITUTE(LEFT(TRIM(C616),FIND(" ",TRIM(C616)&amp;" ")-1),",","."))-1)/MID(SUBSTITUTE(LEFT(TRIM(C616),FIND(" ",TRIM(C616)&amp;" ")-1),",","."),FIND("/",SUBSTITUTE(LEFT(TRIM(C616),FIND(" ",TRIM(C616)&amp;" ")-1),",","."))+1,9))*12,NA()))),0),24)*'Aturan &amp; Tarif'!$B$4,2)</f>
        <v>1362.72</v>
      </c>
      <c r="K616" s="42" t="n">
        <f aca="false">'Aturan &amp; Tarif'!$B$5</f>
        <v>2050</v>
      </c>
      <c r="L616" s="42" t="n">
        <f aca="false">'Aturan &amp; Tarif'!$B$6</f>
        <v>350</v>
      </c>
      <c r="M616" s="35" t="n">
        <f aca="false">I616+J616+K616+L616</f>
        <v>8562.72</v>
      </c>
      <c r="N616" s="45" t="s">
        <v>2277</v>
      </c>
    </row>
    <row r="617" customFormat="false" ht="14.25" hidden="false" customHeight="true" outlineLevel="0" collapsed="false">
      <c r="A617" s="39"/>
      <c r="B617" s="40" t="s">
        <v>141</v>
      </c>
      <c r="C617" s="41" t="s">
        <v>127</v>
      </c>
      <c r="D617" s="41" t="s">
        <v>108</v>
      </c>
      <c r="E617" s="42" t="n">
        <v>2400</v>
      </c>
      <c r="F617" s="42" t="n">
        <v>3500</v>
      </c>
      <c r="G617" s="42" t="n">
        <v>500</v>
      </c>
      <c r="H617" s="43" t="n">
        <v>1</v>
      </c>
      <c r="I617" s="34" t="n">
        <f aca="false">E617*H617+N(F617)+N(G617)</f>
        <v>6400</v>
      </c>
      <c r="J617" s="42" t="n">
        <f aca="false">ROUND(IFERROR(ROUND(IF(OR(ISNUMBER(SEARCH("week",C617)),ISNUMBER(SEARCH("minggu",C617))),IFERROR(_xlfn.NUMBERVALUE(SUBSTITUTE(LEFT(TRIM(C617),FIND(" ",TRIM(C617)&amp;" ")-1),",","."),"."),LEFT(SUBSTITUTE(LEFT(TRIM(C617),FIND(" ",TRIM(C617)&amp;" ")-1),",","."),FIND("/",SUBSTITUTE(LEFT(TRIM(C617),FIND(" ",TRIM(C617)&amp;" ")-1),",","."))-1)/MID(SUBSTITUTE(LEFT(TRIM(C617),FIND(" ",TRIM(C617)&amp;" ")-1),",","."),FIND("/",SUBSTITUTE(LEFT(TRIM(C617),FIND(" ",TRIM(C617)&amp;" ")-1),",","."))+1,9))*12/52,IF(ISNUMBER(SEARCH("month",C617)),IFERROR(_xlfn.NUMBERVALUE(SUBSTITUTE(LEFT(TRIM(C617),FIND(" ",TRIM(C617)&amp;" ")-1),",","."),"."),LEFT(SUBSTITUTE(LEFT(TRIM(C617),FIND(" ",TRIM(C617)&amp;" ")-1),",","."),FIND("/",SUBSTITUTE(LEFT(TRIM(C617),FIND(" ",TRIM(C617)&amp;" ")-1),",","."))-1)/MID(SUBSTITUTE(LEFT(TRIM(C617),FIND(" ",TRIM(C617)&amp;" ")-1),",","."),FIND("/",SUBSTITUTE(LEFT(TRIM(C617),FIND(" ",TRIM(C617)&amp;" ")-1),",","."))+1,9)),IF(ISNUMBER(SEARCH("yea",C617)),IFERROR(_xlfn.NUMBERVALUE(SUBSTITUTE(LEFT(TRIM(C617),FIND(" ",TRIM(C617)&amp;" ")-1),",","."),"."),LEFT(SUBSTITUTE(LEFT(TRIM(C617),FIND(" ",TRIM(C617)&amp;" ")-1),",","."),FIND("/",SUBSTITUTE(LEFT(TRIM(C617),FIND(" ",TRIM(C617)&amp;" ")-1),",","."))-1)/MID(SUBSTITUTE(LEFT(TRIM(C617),FIND(" ",TRIM(C617)&amp;" ")-1),",","."),FIND("/",SUBSTITUTE(LEFT(TRIM(C617),FIND(" ",TRIM(C617)&amp;" ")-1),",","."))+1,9))*12,NA()))),0),36)*'Aturan &amp; Tarif'!$B$4,2)</f>
        <v>2044.08</v>
      </c>
      <c r="K617" s="42" t="n">
        <f aca="false">'Aturan &amp; Tarif'!$B$5</f>
        <v>2050</v>
      </c>
      <c r="L617" s="42" t="n">
        <f aca="false">'Aturan &amp; Tarif'!$B$6</f>
        <v>350</v>
      </c>
      <c r="M617" s="35" t="n">
        <f aca="false">I617+J617+K617+L617</f>
        <v>10844.08</v>
      </c>
      <c r="N617" s="45" t="s">
        <v>2278</v>
      </c>
    </row>
    <row r="618" customFormat="false" ht="25.5" hidden="false" customHeight="true" outlineLevel="0" collapsed="false">
      <c r="A618" s="39"/>
      <c r="B618" s="40" t="s">
        <v>2279</v>
      </c>
      <c r="C618" s="41" t="s">
        <v>127</v>
      </c>
      <c r="D618" s="41" t="s">
        <v>108</v>
      </c>
      <c r="E618" s="42" t="n">
        <v>2300</v>
      </c>
      <c r="F618" s="42" t="n">
        <v>3000</v>
      </c>
      <c r="G618" s="42" t="n">
        <v>500</v>
      </c>
      <c r="H618" s="43" t="n">
        <v>1</v>
      </c>
      <c r="I618" s="34" t="n">
        <f aca="false">E618*H618+N(F618)+N(G618)</f>
        <v>5800</v>
      </c>
      <c r="J618" s="42" t="n">
        <f aca="false">ROUND(IFERROR(ROUND(IF(OR(ISNUMBER(SEARCH("week",C618)),ISNUMBER(SEARCH("minggu",C618))),IFERROR(_xlfn.NUMBERVALUE(SUBSTITUTE(LEFT(TRIM(C618),FIND(" ",TRIM(C618)&amp;" ")-1),",","."),"."),LEFT(SUBSTITUTE(LEFT(TRIM(C618),FIND(" ",TRIM(C618)&amp;" ")-1),",","."),FIND("/",SUBSTITUTE(LEFT(TRIM(C618),FIND(" ",TRIM(C618)&amp;" ")-1),",","."))-1)/MID(SUBSTITUTE(LEFT(TRIM(C618),FIND(" ",TRIM(C618)&amp;" ")-1),",","."),FIND("/",SUBSTITUTE(LEFT(TRIM(C618),FIND(" ",TRIM(C618)&amp;" ")-1),",","."))+1,9))*12/52,IF(ISNUMBER(SEARCH("month",C618)),IFERROR(_xlfn.NUMBERVALUE(SUBSTITUTE(LEFT(TRIM(C618),FIND(" ",TRIM(C618)&amp;" ")-1),",","."),"."),LEFT(SUBSTITUTE(LEFT(TRIM(C618),FIND(" ",TRIM(C618)&amp;" ")-1),",","."),FIND("/",SUBSTITUTE(LEFT(TRIM(C618),FIND(" ",TRIM(C618)&amp;" ")-1),",","."))-1)/MID(SUBSTITUTE(LEFT(TRIM(C618),FIND(" ",TRIM(C618)&amp;" ")-1),",","."),FIND("/",SUBSTITUTE(LEFT(TRIM(C618),FIND(" ",TRIM(C618)&amp;" ")-1),",","."))+1,9)),IF(ISNUMBER(SEARCH("yea",C618)),IFERROR(_xlfn.NUMBERVALUE(SUBSTITUTE(LEFT(TRIM(C618),FIND(" ",TRIM(C618)&amp;" ")-1),",","."),"."),LEFT(SUBSTITUTE(LEFT(TRIM(C618),FIND(" ",TRIM(C618)&amp;" ")-1),",","."),FIND("/",SUBSTITUTE(LEFT(TRIM(C618),FIND(" ",TRIM(C618)&amp;" ")-1),",","."))-1)/MID(SUBSTITUTE(LEFT(TRIM(C618),FIND(" ",TRIM(C618)&amp;" ")-1),",","."),FIND("/",SUBSTITUTE(LEFT(TRIM(C618),FIND(" ",TRIM(C618)&amp;" ")-1),",","."))+1,9))*12,NA()))),0),36)*'Aturan &amp; Tarif'!$B$4,2)</f>
        <v>2044.08</v>
      </c>
      <c r="K618" s="42" t="n">
        <f aca="false">'Aturan &amp; Tarif'!$B$5</f>
        <v>2050</v>
      </c>
      <c r="L618" s="42" t="n">
        <f aca="false">'Aturan &amp; Tarif'!$B$6</f>
        <v>350</v>
      </c>
      <c r="M618" s="35" t="n">
        <f aca="false">I618+J618+K618+L618</f>
        <v>10244.08</v>
      </c>
      <c r="N618" s="45" t="s">
        <v>2277</v>
      </c>
    </row>
    <row r="619" customFormat="false" ht="25.5" hidden="false" customHeight="true" outlineLevel="0" collapsed="false">
      <c r="A619" s="39"/>
      <c r="B619" s="40" t="s">
        <v>2280</v>
      </c>
      <c r="C619" s="41" t="s">
        <v>127</v>
      </c>
      <c r="D619" s="41" t="s">
        <v>108</v>
      </c>
      <c r="E619" s="42" t="n">
        <v>2300</v>
      </c>
      <c r="F619" s="42" t="n">
        <v>3000</v>
      </c>
      <c r="G619" s="42" t="n">
        <v>500</v>
      </c>
      <c r="H619" s="43" t="n">
        <v>1</v>
      </c>
      <c r="I619" s="34" t="n">
        <f aca="false">E619*H619+N(F619)+N(G619)</f>
        <v>5800</v>
      </c>
      <c r="J619" s="42" t="n">
        <f aca="false">ROUND(IFERROR(ROUND(IF(OR(ISNUMBER(SEARCH("week",C619)),ISNUMBER(SEARCH("minggu",C619))),IFERROR(_xlfn.NUMBERVALUE(SUBSTITUTE(LEFT(TRIM(C619),FIND(" ",TRIM(C619)&amp;" ")-1),",","."),"."),LEFT(SUBSTITUTE(LEFT(TRIM(C619),FIND(" ",TRIM(C619)&amp;" ")-1),",","."),FIND("/",SUBSTITUTE(LEFT(TRIM(C619),FIND(" ",TRIM(C619)&amp;" ")-1),",","."))-1)/MID(SUBSTITUTE(LEFT(TRIM(C619),FIND(" ",TRIM(C619)&amp;" ")-1),",","."),FIND("/",SUBSTITUTE(LEFT(TRIM(C619),FIND(" ",TRIM(C619)&amp;" ")-1),",","."))+1,9))*12/52,IF(ISNUMBER(SEARCH("month",C619)),IFERROR(_xlfn.NUMBERVALUE(SUBSTITUTE(LEFT(TRIM(C619),FIND(" ",TRIM(C619)&amp;" ")-1),",","."),"."),LEFT(SUBSTITUTE(LEFT(TRIM(C619),FIND(" ",TRIM(C619)&amp;" ")-1),",","."),FIND("/",SUBSTITUTE(LEFT(TRIM(C619),FIND(" ",TRIM(C619)&amp;" ")-1),",","."))-1)/MID(SUBSTITUTE(LEFT(TRIM(C619),FIND(" ",TRIM(C619)&amp;" ")-1),",","."),FIND("/",SUBSTITUTE(LEFT(TRIM(C619),FIND(" ",TRIM(C619)&amp;" ")-1),",","."))+1,9)),IF(ISNUMBER(SEARCH("yea",C619)),IFERROR(_xlfn.NUMBERVALUE(SUBSTITUTE(LEFT(TRIM(C619),FIND(" ",TRIM(C619)&amp;" ")-1),",","."),"."),LEFT(SUBSTITUTE(LEFT(TRIM(C619),FIND(" ",TRIM(C619)&amp;" ")-1),",","."),FIND("/",SUBSTITUTE(LEFT(TRIM(C619),FIND(" ",TRIM(C619)&amp;" ")-1),",","."))-1)/MID(SUBSTITUTE(LEFT(TRIM(C619),FIND(" ",TRIM(C619)&amp;" ")-1),",","."),FIND("/",SUBSTITUTE(LEFT(TRIM(C619),FIND(" ",TRIM(C619)&amp;" ")-1),",","."))+1,9))*12,NA()))),0),36)*'Aturan &amp; Tarif'!$B$4,2)</f>
        <v>2044.08</v>
      </c>
      <c r="K619" s="42" t="n">
        <f aca="false">'Aturan &amp; Tarif'!$B$5</f>
        <v>2050</v>
      </c>
      <c r="L619" s="42" t="n">
        <f aca="false">'Aturan &amp; Tarif'!$B$6</f>
        <v>350</v>
      </c>
      <c r="M619" s="35" t="n">
        <f aca="false">I619+J619+K619+L619</f>
        <v>10244.08</v>
      </c>
      <c r="N619" s="45" t="s">
        <v>2277</v>
      </c>
    </row>
    <row r="620" customFormat="false" ht="37.5" hidden="false" customHeight="true" outlineLevel="0" collapsed="false">
      <c r="A620" s="39"/>
      <c r="B620" s="40" t="s">
        <v>2281</v>
      </c>
      <c r="C620" s="41" t="s">
        <v>136</v>
      </c>
      <c r="D620" s="41" t="s">
        <v>108</v>
      </c>
      <c r="E620" s="42" t="n">
        <v>2400</v>
      </c>
      <c r="F620" s="42" t="n">
        <v>3000</v>
      </c>
      <c r="G620" s="42" t="n">
        <v>500</v>
      </c>
      <c r="H620" s="43" t="n">
        <v>1</v>
      </c>
      <c r="I620" s="34" t="n">
        <f aca="false">E620*H620+N(F620)+N(G620)</f>
        <v>5900</v>
      </c>
      <c r="J620" s="42" t="n">
        <f aca="false">ROUND(IFERROR(ROUND(IF(OR(ISNUMBER(SEARCH("week",C620)),ISNUMBER(SEARCH("minggu",C620))),IFERROR(_xlfn.NUMBERVALUE(SUBSTITUTE(LEFT(TRIM(C620),FIND(" ",TRIM(C620)&amp;" ")-1),",","."),"."),LEFT(SUBSTITUTE(LEFT(TRIM(C620),FIND(" ",TRIM(C620)&amp;" ")-1),",","."),FIND("/",SUBSTITUTE(LEFT(TRIM(C620),FIND(" ",TRIM(C620)&amp;" ")-1),",","."))-1)/MID(SUBSTITUTE(LEFT(TRIM(C620),FIND(" ",TRIM(C620)&amp;" ")-1),",","."),FIND("/",SUBSTITUTE(LEFT(TRIM(C620),FIND(" ",TRIM(C620)&amp;" ")-1),",","."))+1,9))*12/52,IF(ISNUMBER(SEARCH("month",C620)),IFERROR(_xlfn.NUMBERVALUE(SUBSTITUTE(LEFT(TRIM(C620),FIND(" ",TRIM(C620)&amp;" ")-1),",","."),"."),LEFT(SUBSTITUTE(LEFT(TRIM(C620),FIND(" ",TRIM(C620)&amp;" ")-1),",","."),FIND("/",SUBSTITUTE(LEFT(TRIM(C620),FIND(" ",TRIM(C620)&amp;" ")-1),",","."))-1)/MID(SUBSTITUTE(LEFT(TRIM(C620),FIND(" ",TRIM(C620)&amp;" ")-1),",","."),FIND("/",SUBSTITUTE(LEFT(TRIM(C620),FIND(" ",TRIM(C620)&amp;" ")-1),",","."))+1,9)),IF(ISNUMBER(SEARCH("yea",C620)),IFERROR(_xlfn.NUMBERVALUE(SUBSTITUTE(LEFT(TRIM(C620),FIND(" ",TRIM(C620)&amp;" ")-1),",","."),"."),LEFT(SUBSTITUTE(LEFT(TRIM(C620),FIND(" ",TRIM(C620)&amp;" ")-1),",","."),FIND("/",SUBSTITUTE(LEFT(TRIM(C620),FIND(" ",TRIM(C620)&amp;" ")-1),",","."))-1)/MID(SUBSTITUTE(LEFT(TRIM(C620),FIND(" ",TRIM(C620)&amp;" ")-1),",","."),FIND("/",SUBSTITUTE(LEFT(TRIM(C620),FIND(" ",TRIM(C620)&amp;" ")-1),",","."))+1,9))*12,NA()))),0),42)*'Aturan &amp; Tarif'!$B$4,2)</f>
        <v>2384.76</v>
      </c>
      <c r="K620" s="42" t="n">
        <f aca="false">'Aturan &amp; Tarif'!$B$5</f>
        <v>2050</v>
      </c>
      <c r="L620" s="42" t="n">
        <f aca="false">'Aturan &amp; Tarif'!$B$6</f>
        <v>350</v>
      </c>
      <c r="M620" s="35" t="n">
        <f aca="false">I620+J620+K620+L620</f>
        <v>10684.76</v>
      </c>
      <c r="N620" s="45" t="s">
        <v>2277</v>
      </c>
    </row>
    <row r="621" customFormat="false" ht="14.25" hidden="false" customHeight="true" outlineLevel="0" collapsed="false">
      <c r="A621" s="39"/>
      <c r="B621" s="40" t="s">
        <v>2282</v>
      </c>
      <c r="C621" s="41" t="s">
        <v>191</v>
      </c>
      <c r="D621" s="41" t="s">
        <v>108</v>
      </c>
      <c r="E621" s="42" t="n">
        <v>2200</v>
      </c>
      <c r="F621" s="42" t="n">
        <v>3000</v>
      </c>
      <c r="G621" s="42" t="n">
        <v>500</v>
      </c>
      <c r="H621" s="43" t="n">
        <v>1</v>
      </c>
      <c r="I621" s="34" t="n">
        <f aca="false">E621*H621+N(F621)+N(G621)</f>
        <v>5700</v>
      </c>
      <c r="J621" s="42" t="n">
        <f aca="false">ROUND(IFERROR(ROUND(IF(OR(ISNUMBER(SEARCH("week",C621)),ISNUMBER(SEARCH("minggu",C621))),IFERROR(_xlfn.NUMBERVALUE(SUBSTITUTE(LEFT(TRIM(C621),FIND(" ",TRIM(C621)&amp;" ")-1),",","."),"."),LEFT(SUBSTITUTE(LEFT(TRIM(C621),FIND(" ",TRIM(C621)&amp;" ")-1),",","."),FIND("/",SUBSTITUTE(LEFT(TRIM(C621),FIND(" ",TRIM(C621)&amp;" ")-1),",","."))-1)/MID(SUBSTITUTE(LEFT(TRIM(C621),FIND(" ",TRIM(C621)&amp;" ")-1),",","."),FIND("/",SUBSTITUTE(LEFT(TRIM(C621),FIND(" ",TRIM(C621)&amp;" ")-1),",","."))+1,9))*12/52,IF(ISNUMBER(SEARCH("month",C621)),IFERROR(_xlfn.NUMBERVALUE(SUBSTITUTE(LEFT(TRIM(C621),FIND(" ",TRIM(C621)&amp;" ")-1),",","."),"."),LEFT(SUBSTITUTE(LEFT(TRIM(C621),FIND(" ",TRIM(C621)&amp;" ")-1),",","."),FIND("/",SUBSTITUTE(LEFT(TRIM(C621),FIND(" ",TRIM(C621)&amp;" ")-1),",","."))-1)/MID(SUBSTITUTE(LEFT(TRIM(C621),FIND(" ",TRIM(C621)&amp;" ")-1),",","."),FIND("/",SUBSTITUTE(LEFT(TRIM(C621),FIND(" ",TRIM(C621)&amp;" ")-1),",","."))+1,9)),IF(ISNUMBER(SEARCH("yea",C621)),IFERROR(_xlfn.NUMBERVALUE(SUBSTITUTE(LEFT(TRIM(C621),FIND(" ",TRIM(C621)&amp;" ")-1),",","."),"."),LEFT(SUBSTITUTE(LEFT(TRIM(C621),FIND(" ",TRIM(C621)&amp;" ")-1),",","."),FIND("/",SUBSTITUTE(LEFT(TRIM(C621),FIND(" ",TRIM(C621)&amp;" ")-1),",","."))-1)/MID(SUBSTITUTE(LEFT(TRIM(C621),FIND(" ",TRIM(C621)&amp;" ")-1),",","."),FIND("/",SUBSTITUTE(LEFT(TRIM(C621),FIND(" ",TRIM(C621)&amp;" ")-1),",","."))+1,9))*12,NA()))),0),48)*'Aturan &amp; Tarif'!$B$4,2)</f>
        <v>2725.44</v>
      </c>
      <c r="K621" s="42" t="n">
        <f aca="false">'Aturan &amp; Tarif'!$B$5</f>
        <v>2050</v>
      </c>
      <c r="L621" s="42" t="n">
        <f aca="false">'Aturan &amp; Tarif'!$B$6</f>
        <v>350</v>
      </c>
      <c r="M621" s="35" t="n">
        <f aca="false">I621+J621+K621+L621</f>
        <v>10825.44</v>
      </c>
      <c r="N621" s="45" t="s">
        <v>2278</v>
      </c>
    </row>
    <row r="622" customFormat="false" ht="25.5" hidden="false" customHeight="true" outlineLevel="0" collapsed="false">
      <c r="A622" s="39"/>
      <c r="B622" s="40" t="s">
        <v>2283</v>
      </c>
      <c r="C622" s="41" t="s">
        <v>136</v>
      </c>
      <c r="D622" s="41" t="s">
        <v>108</v>
      </c>
      <c r="E622" s="42" t="n">
        <v>2400</v>
      </c>
      <c r="F622" s="42" t="n">
        <v>3000</v>
      </c>
      <c r="G622" s="42" t="n">
        <v>500</v>
      </c>
      <c r="H622" s="43" t="n">
        <v>1</v>
      </c>
      <c r="I622" s="34" t="n">
        <f aca="false">E622*H622+N(F622)+N(G622)</f>
        <v>5900</v>
      </c>
      <c r="J622" s="42" t="n">
        <f aca="false">ROUND(IFERROR(ROUND(IF(OR(ISNUMBER(SEARCH("week",C622)),ISNUMBER(SEARCH("minggu",C622))),IFERROR(_xlfn.NUMBERVALUE(SUBSTITUTE(LEFT(TRIM(C622),FIND(" ",TRIM(C622)&amp;" ")-1),",","."),"."),LEFT(SUBSTITUTE(LEFT(TRIM(C622),FIND(" ",TRIM(C622)&amp;" ")-1),",","."),FIND("/",SUBSTITUTE(LEFT(TRIM(C622),FIND(" ",TRIM(C622)&amp;" ")-1),",","."))-1)/MID(SUBSTITUTE(LEFT(TRIM(C622),FIND(" ",TRIM(C622)&amp;" ")-1),",","."),FIND("/",SUBSTITUTE(LEFT(TRIM(C622),FIND(" ",TRIM(C622)&amp;" ")-1),",","."))+1,9))*12/52,IF(ISNUMBER(SEARCH("month",C622)),IFERROR(_xlfn.NUMBERVALUE(SUBSTITUTE(LEFT(TRIM(C622),FIND(" ",TRIM(C622)&amp;" ")-1),",","."),"."),LEFT(SUBSTITUTE(LEFT(TRIM(C622),FIND(" ",TRIM(C622)&amp;" ")-1),",","."),FIND("/",SUBSTITUTE(LEFT(TRIM(C622),FIND(" ",TRIM(C622)&amp;" ")-1),",","."))-1)/MID(SUBSTITUTE(LEFT(TRIM(C622),FIND(" ",TRIM(C622)&amp;" ")-1),",","."),FIND("/",SUBSTITUTE(LEFT(TRIM(C622),FIND(" ",TRIM(C622)&amp;" ")-1),",","."))+1,9)),IF(ISNUMBER(SEARCH("yea",C622)),IFERROR(_xlfn.NUMBERVALUE(SUBSTITUTE(LEFT(TRIM(C622),FIND(" ",TRIM(C622)&amp;" ")-1),",","."),"."),LEFT(SUBSTITUTE(LEFT(TRIM(C622),FIND(" ",TRIM(C622)&amp;" ")-1),",","."),FIND("/",SUBSTITUTE(LEFT(TRIM(C622),FIND(" ",TRIM(C622)&amp;" ")-1),",","."))-1)/MID(SUBSTITUTE(LEFT(TRIM(C622),FIND(" ",TRIM(C622)&amp;" ")-1),",","."),FIND("/",SUBSTITUTE(LEFT(TRIM(C622),FIND(" ",TRIM(C622)&amp;" ")-1),",","."))+1,9))*12,NA()))),0),42)*'Aturan &amp; Tarif'!$B$4,2)</f>
        <v>2384.76</v>
      </c>
      <c r="K622" s="42" t="n">
        <f aca="false">'Aturan &amp; Tarif'!$B$5</f>
        <v>2050</v>
      </c>
      <c r="L622" s="42" t="n">
        <f aca="false">'Aturan &amp; Tarif'!$B$6</f>
        <v>350</v>
      </c>
      <c r="M622" s="35" t="n">
        <f aca="false">I622+J622+K622+L622</f>
        <v>10684.76</v>
      </c>
      <c r="N622" s="45" t="s">
        <v>2277</v>
      </c>
    </row>
    <row r="623" customFormat="false" ht="37.5" hidden="false" customHeight="true" outlineLevel="0" collapsed="false">
      <c r="A623" s="39"/>
      <c r="B623" s="40" t="s">
        <v>2284</v>
      </c>
      <c r="C623" s="41" t="s">
        <v>127</v>
      </c>
      <c r="D623" s="41" t="s">
        <v>108</v>
      </c>
      <c r="E623" s="42" t="n">
        <v>2200</v>
      </c>
      <c r="F623" s="42" t="n">
        <v>3000</v>
      </c>
      <c r="G623" s="42" t="n">
        <v>500</v>
      </c>
      <c r="H623" s="43" t="n">
        <v>1</v>
      </c>
      <c r="I623" s="34" t="n">
        <f aca="false">E623*H623+N(F623)+N(G623)</f>
        <v>5700</v>
      </c>
      <c r="J623" s="42" t="n">
        <f aca="false">ROUND(IFERROR(ROUND(IF(OR(ISNUMBER(SEARCH("week",C623)),ISNUMBER(SEARCH("minggu",C623))),IFERROR(_xlfn.NUMBERVALUE(SUBSTITUTE(LEFT(TRIM(C623),FIND(" ",TRIM(C623)&amp;" ")-1),",","."),"."),LEFT(SUBSTITUTE(LEFT(TRIM(C623),FIND(" ",TRIM(C623)&amp;" ")-1),",","."),FIND("/",SUBSTITUTE(LEFT(TRIM(C623),FIND(" ",TRIM(C623)&amp;" ")-1),",","."))-1)/MID(SUBSTITUTE(LEFT(TRIM(C623),FIND(" ",TRIM(C623)&amp;" ")-1),",","."),FIND("/",SUBSTITUTE(LEFT(TRIM(C623),FIND(" ",TRIM(C623)&amp;" ")-1),",","."))+1,9))*12/52,IF(ISNUMBER(SEARCH("month",C623)),IFERROR(_xlfn.NUMBERVALUE(SUBSTITUTE(LEFT(TRIM(C623),FIND(" ",TRIM(C623)&amp;" ")-1),",","."),"."),LEFT(SUBSTITUTE(LEFT(TRIM(C623),FIND(" ",TRIM(C623)&amp;" ")-1),",","."),FIND("/",SUBSTITUTE(LEFT(TRIM(C623),FIND(" ",TRIM(C623)&amp;" ")-1),",","."))-1)/MID(SUBSTITUTE(LEFT(TRIM(C623),FIND(" ",TRIM(C623)&amp;" ")-1),",","."),FIND("/",SUBSTITUTE(LEFT(TRIM(C623),FIND(" ",TRIM(C623)&amp;" ")-1),",","."))+1,9)),IF(ISNUMBER(SEARCH("yea",C623)),IFERROR(_xlfn.NUMBERVALUE(SUBSTITUTE(LEFT(TRIM(C623),FIND(" ",TRIM(C623)&amp;" ")-1),",","."),"."),LEFT(SUBSTITUTE(LEFT(TRIM(C623),FIND(" ",TRIM(C623)&amp;" ")-1),",","."),FIND("/",SUBSTITUTE(LEFT(TRIM(C623),FIND(" ",TRIM(C623)&amp;" ")-1),",","."))-1)/MID(SUBSTITUTE(LEFT(TRIM(C623),FIND(" ",TRIM(C623)&amp;" ")-1),",","."),FIND("/",SUBSTITUTE(LEFT(TRIM(C623),FIND(" ",TRIM(C623)&amp;" ")-1),",","."))+1,9))*12,NA()))),0),36)*'Aturan &amp; Tarif'!$B$4,2)</f>
        <v>2044.08</v>
      </c>
      <c r="K623" s="42" t="n">
        <f aca="false">'Aturan &amp; Tarif'!$B$5</f>
        <v>2050</v>
      </c>
      <c r="L623" s="42" t="n">
        <f aca="false">'Aturan &amp; Tarif'!$B$6</f>
        <v>350</v>
      </c>
      <c r="M623" s="35" t="n">
        <f aca="false">I623+J623+K623+L623</f>
        <v>10144.08</v>
      </c>
      <c r="N623" s="45" t="s">
        <v>2277</v>
      </c>
    </row>
    <row r="624" customFormat="false" ht="25.5" hidden="false" customHeight="true" outlineLevel="0" collapsed="false">
      <c r="A624" s="39"/>
      <c r="B624" s="40" t="s">
        <v>2285</v>
      </c>
      <c r="C624" s="41" t="s">
        <v>191</v>
      </c>
      <c r="D624" s="41" t="s">
        <v>108</v>
      </c>
      <c r="E624" s="42" t="n">
        <v>2000</v>
      </c>
      <c r="F624" s="42" t="n">
        <v>4000</v>
      </c>
      <c r="G624" s="42" t="n">
        <v>500</v>
      </c>
      <c r="H624" s="43" t="n">
        <v>1</v>
      </c>
      <c r="I624" s="34" t="n">
        <f aca="false">E624*H624+N(F624)+N(G624)</f>
        <v>6500</v>
      </c>
      <c r="J624" s="42" t="n">
        <f aca="false">ROUND(IFERROR(ROUND(IF(OR(ISNUMBER(SEARCH("week",C624)),ISNUMBER(SEARCH("minggu",C624))),IFERROR(_xlfn.NUMBERVALUE(SUBSTITUTE(LEFT(TRIM(C624),FIND(" ",TRIM(C624)&amp;" ")-1),",","."),"."),LEFT(SUBSTITUTE(LEFT(TRIM(C624),FIND(" ",TRIM(C624)&amp;" ")-1),",","."),FIND("/",SUBSTITUTE(LEFT(TRIM(C624),FIND(" ",TRIM(C624)&amp;" ")-1),",","."))-1)/MID(SUBSTITUTE(LEFT(TRIM(C624),FIND(" ",TRIM(C624)&amp;" ")-1),",","."),FIND("/",SUBSTITUTE(LEFT(TRIM(C624),FIND(" ",TRIM(C624)&amp;" ")-1),",","."))+1,9))*12/52,IF(ISNUMBER(SEARCH("month",C624)),IFERROR(_xlfn.NUMBERVALUE(SUBSTITUTE(LEFT(TRIM(C624),FIND(" ",TRIM(C624)&amp;" ")-1),",","."),"."),LEFT(SUBSTITUTE(LEFT(TRIM(C624),FIND(" ",TRIM(C624)&amp;" ")-1),",","."),FIND("/",SUBSTITUTE(LEFT(TRIM(C624),FIND(" ",TRIM(C624)&amp;" ")-1),",","."))-1)/MID(SUBSTITUTE(LEFT(TRIM(C624),FIND(" ",TRIM(C624)&amp;" ")-1),",","."),FIND("/",SUBSTITUTE(LEFT(TRIM(C624),FIND(" ",TRIM(C624)&amp;" ")-1),",","."))+1,9)),IF(ISNUMBER(SEARCH("yea",C624)),IFERROR(_xlfn.NUMBERVALUE(SUBSTITUTE(LEFT(TRIM(C624),FIND(" ",TRIM(C624)&amp;" ")-1),",","."),"."),LEFT(SUBSTITUTE(LEFT(TRIM(C624),FIND(" ",TRIM(C624)&amp;" ")-1),",","."),FIND("/",SUBSTITUTE(LEFT(TRIM(C624),FIND(" ",TRIM(C624)&amp;" ")-1),",","."))-1)/MID(SUBSTITUTE(LEFT(TRIM(C624),FIND(" ",TRIM(C624)&amp;" ")-1),",","."),FIND("/",SUBSTITUTE(LEFT(TRIM(C624),FIND(" ",TRIM(C624)&amp;" ")-1),",","."))+1,9))*12,NA()))),0),48)*'Aturan &amp; Tarif'!$B$4,2)</f>
        <v>2725.44</v>
      </c>
      <c r="K624" s="42" t="n">
        <f aca="false">'Aturan &amp; Tarif'!$B$5</f>
        <v>2050</v>
      </c>
      <c r="L624" s="42" t="n">
        <f aca="false">'Aturan &amp; Tarif'!$B$6</f>
        <v>350</v>
      </c>
      <c r="M624" s="35" t="n">
        <f aca="false">I624+J624+K624+L624</f>
        <v>11625.44</v>
      </c>
      <c r="N624" s="45" t="s">
        <v>2277</v>
      </c>
    </row>
    <row r="625" customFormat="false" ht="14.25" hidden="false" customHeight="true" outlineLevel="0" collapsed="false">
      <c r="A625" s="29" t="s">
        <v>2286</v>
      </c>
      <c r="B625" s="30" t="s">
        <v>2287</v>
      </c>
      <c r="C625" s="31" t="s">
        <v>191</v>
      </c>
      <c r="D625" s="31" t="s">
        <v>108</v>
      </c>
      <c r="E625" s="32" t="n">
        <v>2875</v>
      </c>
      <c r="F625" s="32" t="n">
        <v>500</v>
      </c>
      <c r="G625" s="32" t="n">
        <v>250</v>
      </c>
      <c r="H625" s="33" t="n">
        <v>1</v>
      </c>
      <c r="I625" s="34" t="n">
        <f aca="false">E625*H625+N(F625)+N(G625)</f>
        <v>3625</v>
      </c>
      <c r="J625" s="32" t="n">
        <f aca="false">ROUND(IFERROR(ROUND(IF(OR(ISNUMBER(SEARCH("week",C625)),ISNUMBER(SEARCH("minggu",C625))),IFERROR(_xlfn.NUMBERVALUE(SUBSTITUTE(LEFT(TRIM(C625),FIND(" ",TRIM(C625)&amp;" ")-1),",","."),"."),LEFT(SUBSTITUTE(LEFT(TRIM(C625),FIND(" ",TRIM(C625)&amp;" ")-1),",","."),FIND("/",SUBSTITUTE(LEFT(TRIM(C625),FIND(" ",TRIM(C625)&amp;" ")-1),",","."))-1)/MID(SUBSTITUTE(LEFT(TRIM(C625),FIND(" ",TRIM(C625)&amp;" ")-1),",","."),FIND("/",SUBSTITUTE(LEFT(TRIM(C625),FIND(" ",TRIM(C625)&amp;" ")-1),",","."))+1,9))*12/52,IF(ISNUMBER(SEARCH("month",C625)),IFERROR(_xlfn.NUMBERVALUE(SUBSTITUTE(LEFT(TRIM(C625),FIND(" ",TRIM(C625)&amp;" ")-1),",","."),"."),LEFT(SUBSTITUTE(LEFT(TRIM(C625),FIND(" ",TRIM(C625)&amp;" ")-1),",","."),FIND("/",SUBSTITUTE(LEFT(TRIM(C625),FIND(" ",TRIM(C625)&amp;" ")-1),",","."))-1)/MID(SUBSTITUTE(LEFT(TRIM(C625),FIND(" ",TRIM(C625)&amp;" ")-1),",","."),FIND("/",SUBSTITUTE(LEFT(TRIM(C625),FIND(" ",TRIM(C625)&amp;" ")-1),",","."))+1,9)),IF(ISNUMBER(SEARCH("yea",C625)),IFERROR(_xlfn.NUMBERVALUE(SUBSTITUTE(LEFT(TRIM(C625),FIND(" ",TRIM(C625)&amp;" ")-1),",","."),"."),LEFT(SUBSTITUTE(LEFT(TRIM(C625),FIND(" ",TRIM(C625)&amp;" ")-1),",","."),FIND("/",SUBSTITUTE(LEFT(TRIM(C625),FIND(" ",TRIM(C625)&amp;" ")-1),",","."))-1)/MID(SUBSTITUTE(LEFT(TRIM(C625),FIND(" ",TRIM(C625)&amp;" ")-1),",","."),FIND("/",SUBSTITUTE(LEFT(TRIM(C625),FIND(" ",TRIM(C625)&amp;" ")-1),",","."))+1,9))*12,NA()))),0),48)*'Aturan &amp; Tarif'!$B$4,2)</f>
        <v>2725.44</v>
      </c>
      <c r="K625" s="32" t="n">
        <f aca="false">'Aturan &amp; Tarif'!$B$5</f>
        <v>2050</v>
      </c>
      <c r="L625" s="32" t="n">
        <f aca="false">'Aturan &amp; Tarif'!$B$6</f>
        <v>350</v>
      </c>
      <c r="M625" s="35" t="n">
        <f aca="false">I625+J625+K625+L625</f>
        <v>8750.44</v>
      </c>
      <c r="N625" s="36" t="s">
        <v>131</v>
      </c>
    </row>
    <row r="626" customFormat="false" ht="25.5" hidden="false" customHeight="true" outlineLevel="0" collapsed="false">
      <c r="A626" s="29"/>
      <c r="B626" s="30" t="s">
        <v>2288</v>
      </c>
      <c r="C626" s="31" t="s">
        <v>136</v>
      </c>
      <c r="D626" s="31" t="s">
        <v>108</v>
      </c>
      <c r="E626" s="32" t="n">
        <v>2493.75</v>
      </c>
      <c r="F626" s="32" t="n">
        <v>500</v>
      </c>
      <c r="G626" s="32" t="n">
        <v>250</v>
      </c>
      <c r="H626" s="33" t="n">
        <v>1</v>
      </c>
      <c r="I626" s="34" t="n">
        <f aca="false">E626*H626+N(F626)+N(G626)</f>
        <v>3243.75</v>
      </c>
      <c r="J626" s="32" t="n">
        <f aca="false">ROUND(IFERROR(ROUND(IF(OR(ISNUMBER(SEARCH("week",C626)),ISNUMBER(SEARCH("minggu",C626))),IFERROR(_xlfn.NUMBERVALUE(SUBSTITUTE(LEFT(TRIM(C626),FIND(" ",TRIM(C626)&amp;" ")-1),",","."),"."),LEFT(SUBSTITUTE(LEFT(TRIM(C626),FIND(" ",TRIM(C626)&amp;" ")-1),",","."),FIND("/",SUBSTITUTE(LEFT(TRIM(C626),FIND(" ",TRIM(C626)&amp;" ")-1),",","."))-1)/MID(SUBSTITUTE(LEFT(TRIM(C626),FIND(" ",TRIM(C626)&amp;" ")-1),",","."),FIND("/",SUBSTITUTE(LEFT(TRIM(C626),FIND(" ",TRIM(C626)&amp;" ")-1),",","."))+1,9))*12/52,IF(ISNUMBER(SEARCH("month",C626)),IFERROR(_xlfn.NUMBERVALUE(SUBSTITUTE(LEFT(TRIM(C626),FIND(" ",TRIM(C626)&amp;" ")-1),",","."),"."),LEFT(SUBSTITUTE(LEFT(TRIM(C626),FIND(" ",TRIM(C626)&amp;" ")-1),",","."),FIND("/",SUBSTITUTE(LEFT(TRIM(C626),FIND(" ",TRIM(C626)&amp;" ")-1),",","."))-1)/MID(SUBSTITUTE(LEFT(TRIM(C626),FIND(" ",TRIM(C626)&amp;" ")-1),",","."),FIND("/",SUBSTITUTE(LEFT(TRIM(C626),FIND(" ",TRIM(C626)&amp;" ")-1),",","."))+1,9)),IF(ISNUMBER(SEARCH("yea",C626)),IFERROR(_xlfn.NUMBERVALUE(SUBSTITUTE(LEFT(TRIM(C626),FIND(" ",TRIM(C626)&amp;" ")-1),",","."),"."),LEFT(SUBSTITUTE(LEFT(TRIM(C626),FIND(" ",TRIM(C626)&amp;" ")-1),",","."),FIND("/",SUBSTITUTE(LEFT(TRIM(C626),FIND(" ",TRIM(C626)&amp;" ")-1),",","."))-1)/MID(SUBSTITUTE(LEFT(TRIM(C626),FIND(" ",TRIM(C626)&amp;" ")-1),",","."),FIND("/",SUBSTITUTE(LEFT(TRIM(C626),FIND(" ",TRIM(C626)&amp;" ")-1),",","."))+1,9))*12,NA()))),0),42)*'Aturan &amp; Tarif'!$B$4,2)</f>
        <v>2384.76</v>
      </c>
      <c r="K626" s="32" t="n">
        <f aca="false">'Aturan &amp; Tarif'!$B$5</f>
        <v>2050</v>
      </c>
      <c r="L626" s="32" t="n">
        <f aca="false">'Aturan &amp; Tarif'!$B$6</f>
        <v>350</v>
      </c>
      <c r="M626" s="35" t="n">
        <f aca="false">I626+J626+K626+L626</f>
        <v>8028.51</v>
      </c>
      <c r="N626" s="36" t="s">
        <v>131</v>
      </c>
    </row>
    <row r="627" customFormat="false" ht="15" hidden="false" customHeight="true" outlineLevel="0" collapsed="false">
      <c r="A627" s="29"/>
      <c r="B627" s="30" t="s">
        <v>2289</v>
      </c>
      <c r="C627" s="31" t="s">
        <v>138</v>
      </c>
      <c r="D627" s="31" t="s">
        <v>108</v>
      </c>
      <c r="E627" s="32" t="n">
        <v>3000</v>
      </c>
      <c r="F627" s="32" t="n">
        <v>500</v>
      </c>
      <c r="G627" s="32" t="n">
        <v>250</v>
      </c>
      <c r="H627" s="33" t="n">
        <v>1</v>
      </c>
      <c r="I627" s="34" t="n">
        <f aca="false">E627*H627+N(F627)+N(G627)</f>
        <v>3750</v>
      </c>
      <c r="J627" s="32" t="n">
        <f aca="false">ROUND(IFERROR(ROUND(IF(OR(ISNUMBER(SEARCH("week",C627)),ISNUMBER(SEARCH("minggu",C627))),IFERROR(_xlfn.NUMBERVALUE(SUBSTITUTE(LEFT(TRIM(C627),FIND(" ",TRIM(C627)&amp;" ")-1),",","."),"."),LEFT(SUBSTITUTE(LEFT(TRIM(C627),FIND(" ",TRIM(C627)&amp;" ")-1),",","."),FIND("/",SUBSTITUTE(LEFT(TRIM(C627),FIND(" ",TRIM(C627)&amp;" ")-1),",","."))-1)/MID(SUBSTITUTE(LEFT(TRIM(C627),FIND(" ",TRIM(C627)&amp;" ")-1),",","."),FIND("/",SUBSTITUTE(LEFT(TRIM(C627),FIND(" ",TRIM(C627)&amp;" ")-1),",","."))+1,9))*12/52,IF(ISNUMBER(SEARCH("month",C627)),IFERROR(_xlfn.NUMBERVALUE(SUBSTITUTE(LEFT(TRIM(C627),FIND(" ",TRIM(C627)&amp;" ")-1),",","."),"."),LEFT(SUBSTITUTE(LEFT(TRIM(C627),FIND(" ",TRIM(C627)&amp;" ")-1),",","."),FIND("/",SUBSTITUTE(LEFT(TRIM(C627),FIND(" ",TRIM(C627)&amp;" ")-1),",","."))-1)/MID(SUBSTITUTE(LEFT(TRIM(C627),FIND(" ",TRIM(C627)&amp;" ")-1),",","."),FIND("/",SUBSTITUTE(LEFT(TRIM(C627),FIND(" ",TRIM(C627)&amp;" ")-1),",","."))+1,9)),IF(ISNUMBER(SEARCH("yea",C627)),IFERROR(_xlfn.NUMBERVALUE(SUBSTITUTE(LEFT(TRIM(C627),FIND(" ",TRIM(C627)&amp;" ")-1),",","."),"."),LEFT(SUBSTITUTE(LEFT(TRIM(C627),FIND(" ",TRIM(C627)&amp;" ")-1),",","."),FIND("/",SUBSTITUTE(LEFT(TRIM(C627),FIND(" ",TRIM(C627)&amp;" ")-1),",","."))-1)/MID(SUBSTITUTE(LEFT(TRIM(C627),FIND(" ",TRIM(C627)&amp;" ")-1),",","."),FIND("/",SUBSTITUTE(LEFT(TRIM(C627),FIND(" ",TRIM(C627)&amp;" ")-1),",","."))+1,9))*12,NA()))),0),30)*'Aturan &amp; Tarif'!$B$4,2)</f>
        <v>1703.4</v>
      </c>
      <c r="K627" s="32" t="n">
        <f aca="false">'Aturan &amp; Tarif'!$B$5</f>
        <v>2050</v>
      </c>
      <c r="L627" s="32" t="n">
        <f aca="false">'Aturan &amp; Tarif'!$B$6</f>
        <v>350</v>
      </c>
      <c r="M627" s="35" t="n">
        <f aca="false">I627+J627+K627+L627</f>
        <v>7853.4</v>
      </c>
      <c r="N627" s="36" t="s">
        <v>131</v>
      </c>
    </row>
    <row r="628" customFormat="false" ht="12.75" hidden="false" customHeight="true" outlineLevel="0" collapsed="false">
      <c r="A628" s="29"/>
      <c r="B628" s="30" t="s">
        <v>2290</v>
      </c>
      <c r="C628" s="31" t="s">
        <v>495</v>
      </c>
      <c r="D628" s="31" t="s">
        <v>108</v>
      </c>
      <c r="E628" s="32" t="n">
        <v>2493.75</v>
      </c>
      <c r="F628" s="32" t="n">
        <v>500</v>
      </c>
      <c r="G628" s="32" t="n">
        <v>250</v>
      </c>
      <c r="H628" s="33" t="n">
        <v>1</v>
      </c>
      <c r="I628" s="34" t="n">
        <f aca="false">E628*H628+N(F628)+N(G628)</f>
        <v>3243.75</v>
      </c>
      <c r="J628" s="32" t="n">
        <f aca="false">ROUND(IFERROR(ROUND(IF(OR(ISNUMBER(SEARCH("week",C628)),ISNUMBER(SEARCH("minggu",C628))),IFERROR(_xlfn.NUMBERVALUE(SUBSTITUTE(LEFT(TRIM(C628),FIND(" ",TRIM(C628)&amp;" ")-1),",","."),"."),LEFT(SUBSTITUTE(LEFT(TRIM(C628),FIND(" ",TRIM(C628)&amp;" ")-1),",","."),FIND("/",SUBSTITUTE(LEFT(TRIM(C628),FIND(" ",TRIM(C628)&amp;" ")-1),",","."))-1)/MID(SUBSTITUTE(LEFT(TRIM(C628),FIND(" ",TRIM(C628)&amp;" ")-1),",","."),FIND("/",SUBSTITUTE(LEFT(TRIM(C628),FIND(" ",TRIM(C628)&amp;" ")-1),",","."))+1,9))*12/52,IF(ISNUMBER(SEARCH("month",C628)),IFERROR(_xlfn.NUMBERVALUE(SUBSTITUTE(LEFT(TRIM(C628),FIND(" ",TRIM(C628)&amp;" ")-1),",","."),"."),LEFT(SUBSTITUTE(LEFT(TRIM(C628),FIND(" ",TRIM(C628)&amp;" ")-1),",","."),FIND("/",SUBSTITUTE(LEFT(TRIM(C628),FIND(" ",TRIM(C628)&amp;" ")-1),",","."))-1)/MID(SUBSTITUTE(LEFT(TRIM(C628),FIND(" ",TRIM(C628)&amp;" ")-1),",","."),FIND("/",SUBSTITUTE(LEFT(TRIM(C628),FIND(" ",TRIM(C628)&amp;" ")-1),",","."))+1,9)),IF(ISNUMBER(SEARCH("yea",C628)),IFERROR(_xlfn.NUMBERVALUE(SUBSTITUTE(LEFT(TRIM(C628),FIND(" ",TRIM(C628)&amp;" ")-1),",","."),"."),LEFT(SUBSTITUTE(LEFT(TRIM(C628),FIND(" ",TRIM(C628)&amp;" ")-1),",","."),FIND("/",SUBSTITUTE(LEFT(TRIM(C628),FIND(" ",TRIM(C628)&amp;" ")-1),",","."))-1)/MID(SUBSTITUTE(LEFT(TRIM(C628),FIND(" ",TRIM(C628)&amp;" ")-1),",","."),FIND("/",SUBSTITUTE(LEFT(TRIM(C628),FIND(" ",TRIM(C628)&amp;" ")-1),",","."))+1,9))*12,NA()))),0),54)*'Aturan &amp; Tarif'!$B$4,2)</f>
        <v>3066.12</v>
      </c>
      <c r="K628" s="32" t="n">
        <f aca="false">'Aturan &amp; Tarif'!$B$5</f>
        <v>2050</v>
      </c>
      <c r="L628" s="32" t="n">
        <f aca="false">'Aturan &amp; Tarif'!$B$6</f>
        <v>350</v>
      </c>
      <c r="M628" s="35" t="n">
        <f aca="false">I628+J628+K628+L628</f>
        <v>8709.87</v>
      </c>
      <c r="N628" s="36" t="s">
        <v>131</v>
      </c>
    </row>
    <row r="629" customFormat="false" ht="12.75" hidden="false" customHeight="true" outlineLevel="0" collapsed="false">
      <c r="A629" s="29"/>
      <c r="B629" s="30" t="s">
        <v>2291</v>
      </c>
      <c r="C629" s="31" t="s">
        <v>344</v>
      </c>
      <c r="D629" s="31" t="s">
        <v>108</v>
      </c>
      <c r="E629" s="32" t="n">
        <v>2875</v>
      </c>
      <c r="F629" s="32" t="n">
        <v>500</v>
      </c>
      <c r="G629" s="32" t="n">
        <v>250</v>
      </c>
      <c r="H629" s="33" t="n">
        <v>1</v>
      </c>
      <c r="I629" s="34" t="n">
        <f aca="false">E629*H629+N(F629)+N(G629)</f>
        <v>3625</v>
      </c>
      <c r="J629" s="32" t="n">
        <f aca="false">ROUND(IFERROR(ROUND(IF(OR(ISNUMBER(SEARCH("week",C629)),ISNUMBER(SEARCH("minggu",C629))),IFERROR(_xlfn.NUMBERVALUE(SUBSTITUTE(LEFT(TRIM(C629),FIND(" ",TRIM(C629)&amp;" ")-1),",","."),"."),LEFT(SUBSTITUTE(LEFT(TRIM(C629),FIND(" ",TRIM(C629)&amp;" ")-1),",","."),FIND("/",SUBSTITUTE(LEFT(TRIM(C629),FIND(" ",TRIM(C629)&amp;" ")-1),",","."))-1)/MID(SUBSTITUTE(LEFT(TRIM(C629),FIND(" ",TRIM(C629)&amp;" ")-1),",","."),FIND("/",SUBSTITUTE(LEFT(TRIM(C629),FIND(" ",TRIM(C629)&amp;" ")-1),",","."))+1,9))*12/52,IF(ISNUMBER(SEARCH("month",C629)),IFERROR(_xlfn.NUMBERVALUE(SUBSTITUTE(LEFT(TRIM(C629),FIND(" ",TRIM(C629)&amp;" ")-1),",","."),"."),LEFT(SUBSTITUTE(LEFT(TRIM(C629),FIND(" ",TRIM(C629)&amp;" ")-1),",","."),FIND("/",SUBSTITUTE(LEFT(TRIM(C629),FIND(" ",TRIM(C629)&amp;" ")-1),",","."))-1)/MID(SUBSTITUTE(LEFT(TRIM(C629),FIND(" ",TRIM(C629)&amp;" ")-1),",","."),FIND("/",SUBSTITUTE(LEFT(TRIM(C629),FIND(" ",TRIM(C629)&amp;" ")-1),",","."))+1,9)),IF(ISNUMBER(SEARCH("yea",C629)),IFERROR(_xlfn.NUMBERVALUE(SUBSTITUTE(LEFT(TRIM(C629),FIND(" ",TRIM(C629)&amp;" ")-1),",","."),"."),LEFT(SUBSTITUTE(LEFT(TRIM(C629),FIND(" ",TRIM(C629)&amp;" ")-1),",","."),FIND("/",SUBSTITUTE(LEFT(TRIM(C629),FIND(" ",TRIM(C629)&amp;" ")-1),",","."))-1)/MID(SUBSTITUTE(LEFT(TRIM(C629),FIND(" ",TRIM(C629)&amp;" ")-1),",","."),FIND("/",SUBSTITUTE(LEFT(TRIM(C629),FIND(" ",TRIM(C629)&amp;" ")-1),",","."))+1,9))*12,NA()))),0),6)*'Aturan &amp; Tarif'!$B$4,2)</f>
        <v>340.68</v>
      </c>
      <c r="K629" s="32" t="n">
        <f aca="false">'Aturan &amp; Tarif'!$B$5</f>
        <v>2050</v>
      </c>
      <c r="L629" s="32" t="n">
        <f aca="false">'Aturan &amp; Tarif'!$B$6</f>
        <v>350</v>
      </c>
      <c r="M629" s="35" t="n">
        <f aca="false">I629+J629+K629+L629</f>
        <v>6365.68</v>
      </c>
      <c r="N629" s="37" t="s">
        <v>134</v>
      </c>
    </row>
    <row r="630" customFormat="false" ht="12.75" hidden="false" customHeight="true" outlineLevel="0" collapsed="false">
      <c r="A630" s="29"/>
      <c r="B630" s="30" t="s">
        <v>480</v>
      </c>
      <c r="C630" s="31" t="s">
        <v>130</v>
      </c>
      <c r="D630" s="31" t="s">
        <v>108</v>
      </c>
      <c r="E630" s="32" t="n">
        <v>2287.5</v>
      </c>
      <c r="F630" s="32" t="n">
        <v>500</v>
      </c>
      <c r="G630" s="32" t="n">
        <v>250</v>
      </c>
      <c r="H630" s="33" t="n">
        <v>1</v>
      </c>
      <c r="I630" s="34" t="n">
        <f aca="false">E630*H630+N(F630)+N(G630)</f>
        <v>3037.5</v>
      </c>
      <c r="J630" s="32" t="n">
        <f aca="false">ROUND(IFERROR(ROUND(IF(OR(ISNUMBER(SEARCH("week",C630)),ISNUMBER(SEARCH("minggu",C630))),IFERROR(_xlfn.NUMBERVALUE(SUBSTITUTE(LEFT(TRIM(C630),FIND(" ",TRIM(C630)&amp;" ")-1),",","."),"."),LEFT(SUBSTITUTE(LEFT(TRIM(C630),FIND(" ",TRIM(C630)&amp;" ")-1),",","."),FIND("/",SUBSTITUTE(LEFT(TRIM(C630),FIND(" ",TRIM(C630)&amp;" ")-1),",","."))-1)/MID(SUBSTITUTE(LEFT(TRIM(C630),FIND(" ",TRIM(C630)&amp;" ")-1),",","."),FIND("/",SUBSTITUTE(LEFT(TRIM(C630),FIND(" ",TRIM(C630)&amp;" ")-1),",","."))+1,9))*12/52,IF(ISNUMBER(SEARCH("month",C630)),IFERROR(_xlfn.NUMBERVALUE(SUBSTITUTE(LEFT(TRIM(C630),FIND(" ",TRIM(C630)&amp;" ")-1),",","."),"."),LEFT(SUBSTITUTE(LEFT(TRIM(C630),FIND(" ",TRIM(C630)&amp;" ")-1),",","."),FIND("/",SUBSTITUTE(LEFT(TRIM(C630),FIND(" ",TRIM(C630)&amp;" ")-1),",","."))-1)/MID(SUBSTITUTE(LEFT(TRIM(C630),FIND(" ",TRIM(C630)&amp;" ")-1),",","."),FIND("/",SUBSTITUTE(LEFT(TRIM(C630),FIND(" ",TRIM(C630)&amp;" ")-1),",","."))+1,9)),IF(ISNUMBER(SEARCH("yea",C630)),IFERROR(_xlfn.NUMBERVALUE(SUBSTITUTE(LEFT(TRIM(C630),FIND(" ",TRIM(C630)&amp;" ")-1),",","."),"."),LEFT(SUBSTITUTE(LEFT(TRIM(C630),FIND(" ",TRIM(C630)&amp;" ")-1),",","."),FIND("/",SUBSTITUTE(LEFT(TRIM(C630),FIND(" ",TRIM(C630)&amp;" ")-1),",","."))-1)/MID(SUBSTITUTE(LEFT(TRIM(C630),FIND(" ",TRIM(C630)&amp;" ")-1),",","."),FIND("/",SUBSTITUTE(LEFT(TRIM(C630),FIND(" ",TRIM(C630)&amp;" ")-1),",","."))+1,9))*12,NA()))),0),12)*'Aturan &amp; Tarif'!$B$4,2)</f>
        <v>681.36</v>
      </c>
      <c r="K630" s="32" t="n">
        <f aca="false">'Aturan &amp; Tarif'!$B$5</f>
        <v>2050</v>
      </c>
      <c r="L630" s="32" t="n">
        <f aca="false">'Aturan &amp; Tarif'!$B$6</f>
        <v>350</v>
      </c>
      <c r="M630" s="35" t="n">
        <f aca="false">I630+J630+K630+L630</f>
        <v>6118.86</v>
      </c>
      <c r="N630" s="37" t="s">
        <v>134</v>
      </c>
    </row>
    <row r="631" customFormat="false" ht="12.75" hidden="false" customHeight="true" outlineLevel="0" collapsed="false">
      <c r="A631" s="29"/>
      <c r="B631" s="30" t="s">
        <v>2292</v>
      </c>
      <c r="C631" s="31" t="s">
        <v>344</v>
      </c>
      <c r="D631" s="31" t="s">
        <v>108</v>
      </c>
      <c r="E631" s="32" t="n">
        <v>4925</v>
      </c>
      <c r="F631" s="32" t="n">
        <v>500</v>
      </c>
      <c r="G631" s="32" t="n">
        <v>250</v>
      </c>
      <c r="H631" s="33" t="n">
        <v>1</v>
      </c>
      <c r="I631" s="34" t="n">
        <f aca="false">E631*H631+N(F631)+N(G631)</f>
        <v>5675</v>
      </c>
      <c r="J631" s="32" t="n">
        <f aca="false">ROUND(IFERROR(ROUND(IF(OR(ISNUMBER(SEARCH("week",C631)),ISNUMBER(SEARCH("minggu",C631))),IFERROR(_xlfn.NUMBERVALUE(SUBSTITUTE(LEFT(TRIM(C631),FIND(" ",TRIM(C631)&amp;" ")-1),",","."),"."),LEFT(SUBSTITUTE(LEFT(TRIM(C631),FIND(" ",TRIM(C631)&amp;" ")-1),",","."),FIND("/",SUBSTITUTE(LEFT(TRIM(C631),FIND(" ",TRIM(C631)&amp;" ")-1),",","."))-1)/MID(SUBSTITUTE(LEFT(TRIM(C631),FIND(" ",TRIM(C631)&amp;" ")-1),",","."),FIND("/",SUBSTITUTE(LEFT(TRIM(C631),FIND(" ",TRIM(C631)&amp;" ")-1),",","."))+1,9))*12/52,IF(ISNUMBER(SEARCH("month",C631)),IFERROR(_xlfn.NUMBERVALUE(SUBSTITUTE(LEFT(TRIM(C631),FIND(" ",TRIM(C631)&amp;" ")-1),",","."),"."),LEFT(SUBSTITUTE(LEFT(TRIM(C631),FIND(" ",TRIM(C631)&amp;" ")-1),",","."),FIND("/",SUBSTITUTE(LEFT(TRIM(C631),FIND(" ",TRIM(C631)&amp;" ")-1),",","."))-1)/MID(SUBSTITUTE(LEFT(TRIM(C631),FIND(" ",TRIM(C631)&amp;" ")-1),",","."),FIND("/",SUBSTITUTE(LEFT(TRIM(C631),FIND(" ",TRIM(C631)&amp;" ")-1),",","."))+1,9)),IF(ISNUMBER(SEARCH("yea",C631)),IFERROR(_xlfn.NUMBERVALUE(SUBSTITUTE(LEFT(TRIM(C631),FIND(" ",TRIM(C631)&amp;" ")-1),",","."),"."),LEFT(SUBSTITUTE(LEFT(TRIM(C631),FIND(" ",TRIM(C631)&amp;" ")-1),",","."),FIND("/",SUBSTITUTE(LEFT(TRIM(C631),FIND(" ",TRIM(C631)&amp;" ")-1),",","."))-1)/MID(SUBSTITUTE(LEFT(TRIM(C631),FIND(" ",TRIM(C631)&amp;" ")-1),",","."),FIND("/",SUBSTITUTE(LEFT(TRIM(C631),FIND(" ",TRIM(C631)&amp;" ")-1),",","."))+1,9))*12,NA()))),0),6)*'Aturan &amp; Tarif'!$B$4,2)</f>
        <v>340.68</v>
      </c>
      <c r="K631" s="32" t="n">
        <f aca="false">'Aturan &amp; Tarif'!$B$5</f>
        <v>2050</v>
      </c>
      <c r="L631" s="32" t="n">
        <f aca="false">'Aturan &amp; Tarif'!$B$6</f>
        <v>350</v>
      </c>
      <c r="M631" s="35" t="n">
        <f aca="false">I631+J631+K631+L631</f>
        <v>8415.68</v>
      </c>
      <c r="N631" s="37" t="s">
        <v>134</v>
      </c>
    </row>
    <row r="632" customFormat="false" ht="12.75" hidden="false" customHeight="true" outlineLevel="0" collapsed="false">
      <c r="A632" s="29"/>
      <c r="B632" s="30" t="s">
        <v>2293</v>
      </c>
      <c r="C632" s="31" t="s">
        <v>130</v>
      </c>
      <c r="D632" s="31" t="s">
        <v>108</v>
      </c>
      <c r="E632" s="32" t="n">
        <v>2987.5</v>
      </c>
      <c r="F632" s="32" t="n">
        <v>500</v>
      </c>
      <c r="G632" s="32" t="n">
        <v>250</v>
      </c>
      <c r="H632" s="33" t="n">
        <v>1</v>
      </c>
      <c r="I632" s="34" t="n">
        <f aca="false">E632*H632+N(F632)+N(G632)</f>
        <v>3737.5</v>
      </c>
      <c r="J632" s="32" t="n">
        <f aca="false">ROUND(IFERROR(ROUND(IF(OR(ISNUMBER(SEARCH("week",C632)),ISNUMBER(SEARCH("minggu",C632))),IFERROR(_xlfn.NUMBERVALUE(SUBSTITUTE(LEFT(TRIM(C632),FIND(" ",TRIM(C632)&amp;" ")-1),",","."),"."),LEFT(SUBSTITUTE(LEFT(TRIM(C632),FIND(" ",TRIM(C632)&amp;" ")-1),",","."),FIND("/",SUBSTITUTE(LEFT(TRIM(C632),FIND(" ",TRIM(C632)&amp;" ")-1),",","."))-1)/MID(SUBSTITUTE(LEFT(TRIM(C632),FIND(" ",TRIM(C632)&amp;" ")-1),",","."),FIND("/",SUBSTITUTE(LEFT(TRIM(C632),FIND(" ",TRIM(C632)&amp;" ")-1),",","."))+1,9))*12/52,IF(ISNUMBER(SEARCH("month",C632)),IFERROR(_xlfn.NUMBERVALUE(SUBSTITUTE(LEFT(TRIM(C632),FIND(" ",TRIM(C632)&amp;" ")-1),",","."),"."),LEFT(SUBSTITUTE(LEFT(TRIM(C632),FIND(" ",TRIM(C632)&amp;" ")-1),",","."),FIND("/",SUBSTITUTE(LEFT(TRIM(C632),FIND(" ",TRIM(C632)&amp;" ")-1),",","."))-1)/MID(SUBSTITUTE(LEFT(TRIM(C632),FIND(" ",TRIM(C632)&amp;" ")-1),",","."),FIND("/",SUBSTITUTE(LEFT(TRIM(C632),FIND(" ",TRIM(C632)&amp;" ")-1),",","."))+1,9)),IF(ISNUMBER(SEARCH("yea",C632)),IFERROR(_xlfn.NUMBERVALUE(SUBSTITUTE(LEFT(TRIM(C632),FIND(" ",TRIM(C632)&amp;" ")-1),",","."),"."),LEFT(SUBSTITUTE(LEFT(TRIM(C632),FIND(" ",TRIM(C632)&amp;" ")-1),",","."),FIND("/",SUBSTITUTE(LEFT(TRIM(C632),FIND(" ",TRIM(C632)&amp;" ")-1),",","."))-1)/MID(SUBSTITUTE(LEFT(TRIM(C632),FIND(" ",TRIM(C632)&amp;" ")-1),",","."),FIND("/",SUBSTITUTE(LEFT(TRIM(C632),FIND(" ",TRIM(C632)&amp;" ")-1),",","."))+1,9))*12,NA()))),0),12)*'Aturan &amp; Tarif'!$B$4,2)</f>
        <v>681.36</v>
      </c>
      <c r="K632" s="32" t="n">
        <f aca="false">'Aturan &amp; Tarif'!$B$5</f>
        <v>2050</v>
      </c>
      <c r="L632" s="32" t="n">
        <f aca="false">'Aturan &amp; Tarif'!$B$6</f>
        <v>350</v>
      </c>
      <c r="M632" s="35" t="n">
        <f aca="false">I632+J632+K632+L632</f>
        <v>6818.86</v>
      </c>
      <c r="N632" s="37" t="s">
        <v>134</v>
      </c>
    </row>
    <row r="633" customFormat="false" ht="12.75" hidden="false" customHeight="true" outlineLevel="0" collapsed="false">
      <c r="A633" s="29"/>
      <c r="B633" s="30" t="s">
        <v>2294</v>
      </c>
      <c r="C633" s="31" t="s">
        <v>107</v>
      </c>
      <c r="D633" s="31" t="s">
        <v>108</v>
      </c>
      <c r="E633" s="32" t="n">
        <v>2494</v>
      </c>
      <c r="F633" s="32" t="n">
        <v>500</v>
      </c>
      <c r="G633" s="32" t="n">
        <v>250</v>
      </c>
      <c r="H633" s="33" t="n">
        <v>1</v>
      </c>
      <c r="I633" s="34" t="n">
        <f aca="false">E633*H633+N(F633)+N(G633)</f>
        <v>3244</v>
      </c>
      <c r="J633" s="32" t="n">
        <f aca="false">ROUND(IFERROR(ROUND(IF(OR(ISNUMBER(SEARCH("week",C633)),ISNUMBER(SEARCH("minggu",C633))),IFERROR(_xlfn.NUMBERVALUE(SUBSTITUTE(LEFT(TRIM(C633),FIND(" ",TRIM(C633)&amp;" ")-1),",","."),"."),LEFT(SUBSTITUTE(LEFT(TRIM(C633),FIND(" ",TRIM(C633)&amp;" ")-1),",","."),FIND("/",SUBSTITUTE(LEFT(TRIM(C633),FIND(" ",TRIM(C633)&amp;" ")-1),",","."))-1)/MID(SUBSTITUTE(LEFT(TRIM(C633),FIND(" ",TRIM(C633)&amp;" ")-1),",","."),FIND("/",SUBSTITUTE(LEFT(TRIM(C633),FIND(" ",TRIM(C633)&amp;" ")-1),",","."))+1,9))*12/52,IF(ISNUMBER(SEARCH("month",C633)),IFERROR(_xlfn.NUMBERVALUE(SUBSTITUTE(LEFT(TRIM(C633),FIND(" ",TRIM(C633)&amp;" ")-1),",","."),"."),LEFT(SUBSTITUTE(LEFT(TRIM(C633),FIND(" ",TRIM(C633)&amp;" ")-1),",","."),FIND("/",SUBSTITUTE(LEFT(TRIM(C633),FIND(" ",TRIM(C633)&amp;" ")-1),",","."))-1)/MID(SUBSTITUTE(LEFT(TRIM(C633),FIND(" ",TRIM(C633)&amp;" ")-1),",","."),FIND("/",SUBSTITUTE(LEFT(TRIM(C633),FIND(" ",TRIM(C633)&amp;" ")-1),",","."))+1,9)),IF(ISNUMBER(SEARCH("yea",C633)),IFERROR(_xlfn.NUMBERVALUE(SUBSTITUTE(LEFT(TRIM(C633),FIND(" ",TRIM(C633)&amp;" ")-1),",","."),"."),LEFT(SUBSTITUTE(LEFT(TRIM(C633),FIND(" ",TRIM(C633)&amp;" ")-1),",","."),FIND("/",SUBSTITUTE(LEFT(TRIM(C633),FIND(" ",TRIM(C633)&amp;" ")-1),",","."))-1)/MID(SUBSTITUTE(LEFT(TRIM(C633),FIND(" ",TRIM(C633)&amp;" ")-1),",","."),FIND("/",SUBSTITUTE(LEFT(TRIM(C633),FIND(" ",TRIM(C633)&amp;" ")-1),",","."))+1,9))*12,NA()))),0),24)*'Aturan &amp; Tarif'!$B$4,2)</f>
        <v>1362.72</v>
      </c>
      <c r="K633" s="32" t="n">
        <f aca="false">'Aturan &amp; Tarif'!$B$5</f>
        <v>2050</v>
      </c>
      <c r="L633" s="32" t="n">
        <f aca="false">'Aturan &amp; Tarif'!$B$6</f>
        <v>350</v>
      </c>
      <c r="M633" s="35" t="n">
        <f aca="false">I633+J633+K633+L633</f>
        <v>7006.72</v>
      </c>
      <c r="N633" s="37" t="s">
        <v>134</v>
      </c>
    </row>
    <row r="634" customFormat="false" ht="12.75" hidden="false" customHeight="true" outlineLevel="0" collapsed="false">
      <c r="A634" s="29"/>
      <c r="B634" s="30" t="s">
        <v>112</v>
      </c>
      <c r="C634" s="31" t="s">
        <v>113</v>
      </c>
      <c r="D634" s="31" t="s">
        <v>108</v>
      </c>
      <c r="E634" s="32" t="n">
        <v>3000</v>
      </c>
      <c r="F634" s="32" t="n">
        <v>500</v>
      </c>
      <c r="G634" s="32" t="n">
        <v>250</v>
      </c>
      <c r="H634" s="33" t="n">
        <v>1</v>
      </c>
      <c r="I634" s="34" t="n">
        <f aca="false">E634*H634+N(F634)+N(G634)</f>
        <v>3750</v>
      </c>
      <c r="J634" s="32" t="n">
        <f aca="false">ROUND(IFERROR(ROUND(IF(OR(ISNUMBER(SEARCH("week",C634)),ISNUMBER(SEARCH("minggu",C634))),IFERROR(_xlfn.NUMBERVALUE(SUBSTITUTE(LEFT(TRIM(C634),FIND(" ",TRIM(C634)&amp;" ")-1),",","."),"."),LEFT(SUBSTITUTE(LEFT(TRIM(C634),FIND(" ",TRIM(C634)&amp;" ")-1),",","."),FIND("/",SUBSTITUTE(LEFT(TRIM(C634),FIND(" ",TRIM(C634)&amp;" ")-1),",","."))-1)/MID(SUBSTITUTE(LEFT(TRIM(C634),FIND(" ",TRIM(C634)&amp;" ")-1),",","."),FIND("/",SUBSTITUTE(LEFT(TRIM(C634),FIND(" ",TRIM(C634)&amp;" ")-1),",","."))+1,9))*12/52,IF(ISNUMBER(SEARCH("month",C634)),IFERROR(_xlfn.NUMBERVALUE(SUBSTITUTE(LEFT(TRIM(C634),FIND(" ",TRIM(C634)&amp;" ")-1),",","."),"."),LEFT(SUBSTITUTE(LEFT(TRIM(C634),FIND(" ",TRIM(C634)&amp;" ")-1),",","."),FIND("/",SUBSTITUTE(LEFT(TRIM(C634),FIND(" ",TRIM(C634)&amp;" ")-1),",","."))-1)/MID(SUBSTITUTE(LEFT(TRIM(C634),FIND(" ",TRIM(C634)&amp;" ")-1),",","."),FIND("/",SUBSTITUTE(LEFT(TRIM(C634),FIND(" ",TRIM(C634)&amp;" ")-1),",","."))+1,9)),IF(ISNUMBER(SEARCH("yea",C634)),IFERROR(_xlfn.NUMBERVALUE(SUBSTITUTE(LEFT(TRIM(C634),FIND(" ",TRIM(C634)&amp;" ")-1),",","."),"."),LEFT(SUBSTITUTE(LEFT(TRIM(C634),FIND(" ",TRIM(C634)&amp;" ")-1),",","."),FIND("/",SUBSTITUTE(LEFT(TRIM(C634),FIND(" ",TRIM(C634)&amp;" ")-1),",","."))-1)/MID(SUBSTITUTE(LEFT(TRIM(C634),FIND(" ",TRIM(C634)&amp;" ")-1),",","."),FIND("/",SUBSTITUTE(LEFT(TRIM(C634),FIND(" ",TRIM(C634)&amp;" ")-1),",","."))+1,9))*12,NA()))),0),18)*'Aturan &amp; Tarif'!$B$4,2)</f>
        <v>1022.04</v>
      </c>
      <c r="K634" s="32" t="n">
        <f aca="false">'Aturan &amp; Tarif'!$B$5</f>
        <v>2050</v>
      </c>
      <c r="L634" s="32" t="n">
        <f aca="false">'Aturan &amp; Tarif'!$B$6</f>
        <v>350</v>
      </c>
      <c r="M634" s="35" t="n">
        <f aca="false">I634+J634+K634+L634</f>
        <v>7172.04</v>
      </c>
      <c r="N634" s="37" t="s">
        <v>134</v>
      </c>
    </row>
    <row r="635" customFormat="false" ht="12.75" hidden="false" customHeight="true" outlineLevel="0" collapsed="false">
      <c r="A635" s="29"/>
      <c r="B635" s="30" t="s">
        <v>2295</v>
      </c>
      <c r="C635" s="31" t="s">
        <v>130</v>
      </c>
      <c r="D635" s="31" t="s">
        <v>108</v>
      </c>
      <c r="E635" s="32" t="n">
        <v>3750</v>
      </c>
      <c r="F635" s="32" t="n">
        <v>750</v>
      </c>
      <c r="G635" s="32" t="n">
        <v>250</v>
      </c>
      <c r="H635" s="33" t="n">
        <v>1</v>
      </c>
      <c r="I635" s="34" t="n">
        <f aca="false">E635*H635+N(F635)+N(G635)</f>
        <v>4750</v>
      </c>
      <c r="J635" s="32" t="n">
        <f aca="false">ROUND(IFERROR(ROUND(IF(OR(ISNUMBER(SEARCH("week",C635)),ISNUMBER(SEARCH("minggu",C635))),IFERROR(_xlfn.NUMBERVALUE(SUBSTITUTE(LEFT(TRIM(C635),FIND(" ",TRIM(C635)&amp;" ")-1),",","."),"."),LEFT(SUBSTITUTE(LEFT(TRIM(C635),FIND(" ",TRIM(C635)&amp;" ")-1),",","."),FIND("/",SUBSTITUTE(LEFT(TRIM(C635),FIND(" ",TRIM(C635)&amp;" ")-1),",","."))-1)/MID(SUBSTITUTE(LEFT(TRIM(C635),FIND(" ",TRIM(C635)&amp;" ")-1),",","."),FIND("/",SUBSTITUTE(LEFT(TRIM(C635),FIND(" ",TRIM(C635)&amp;" ")-1),",","."))+1,9))*12/52,IF(ISNUMBER(SEARCH("month",C635)),IFERROR(_xlfn.NUMBERVALUE(SUBSTITUTE(LEFT(TRIM(C635),FIND(" ",TRIM(C635)&amp;" ")-1),",","."),"."),LEFT(SUBSTITUTE(LEFT(TRIM(C635),FIND(" ",TRIM(C635)&amp;" ")-1),",","."),FIND("/",SUBSTITUTE(LEFT(TRIM(C635),FIND(" ",TRIM(C635)&amp;" ")-1),",","."))-1)/MID(SUBSTITUTE(LEFT(TRIM(C635),FIND(" ",TRIM(C635)&amp;" ")-1),",","."),FIND("/",SUBSTITUTE(LEFT(TRIM(C635),FIND(" ",TRIM(C635)&amp;" ")-1),",","."))+1,9)),IF(ISNUMBER(SEARCH("yea",C635)),IFERROR(_xlfn.NUMBERVALUE(SUBSTITUTE(LEFT(TRIM(C635),FIND(" ",TRIM(C635)&amp;" ")-1),",","."),"."),LEFT(SUBSTITUTE(LEFT(TRIM(C635),FIND(" ",TRIM(C635)&amp;" ")-1),",","."),FIND("/",SUBSTITUTE(LEFT(TRIM(C635),FIND(" ",TRIM(C635)&amp;" ")-1),",","."))-1)/MID(SUBSTITUTE(LEFT(TRIM(C635),FIND(" ",TRIM(C635)&amp;" ")-1),",","."),FIND("/",SUBSTITUTE(LEFT(TRIM(C635),FIND(" ",TRIM(C635)&amp;" ")-1),",","."))+1,9))*12,NA()))),0),12)*'Aturan &amp; Tarif'!$B$4,2)</f>
        <v>681.36</v>
      </c>
      <c r="K635" s="32" t="n">
        <f aca="false">'Aturan &amp; Tarif'!$B$5</f>
        <v>2050</v>
      </c>
      <c r="L635" s="32" t="n">
        <f aca="false">'Aturan &amp; Tarif'!$B$6</f>
        <v>350</v>
      </c>
      <c r="M635" s="35" t="n">
        <f aca="false">I635+J635+K635+L635</f>
        <v>7831.36</v>
      </c>
      <c r="N635" s="37" t="s">
        <v>134</v>
      </c>
    </row>
    <row r="636" customFormat="false" ht="37.5" hidden="false" customHeight="true" outlineLevel="0" collapsed="false">
      <c r="A636" s="29" t="s">
        <v>2296</v>
      </c>
      <c r="B636" s="30" t="s">
        <v>2297</v>
      </c>
      <c r="C636" s="31" t="s">
        <v>107</v>
      </c>
      <c r="D636" s="31" t="s">
        <v>108</v>
      </c>
      <c r="E636" s="32" t="n">
        <v>2600</v>
      </c>
      <c r="F636" s="32" t="n">
        <v>1000</v>
      </c>
      <c r="G636" s="32" t="n">
        <v>250</v>
      </c>
      <c r="H636" s="33" t="n">
        <v>1</v>
      </c>
      <c r="I636" s="34" t="n">
        <f aca="false">E636*H636+N(F636)+N(G636)</f>
        <v>3850</v>
      </c>
      <c r="J636" s="32" t="n">
        <f aca="false">ROUND(IFERROR(ROUND(IF(OR(ISNUMBER(SEARCH("week",C636)),ISNUMBER(SEARCH("minggu",C636))),IFERROR(_xlfn.NUMBERVALUE(SUBSTITUTE(LEFT(TRIM(C636),FIND(" ",TRIM(C636)&amp;" ")-1),",","."),"."),LEFT(SUBSTITUTE(LEFT(TRIM(C636),FIND(" ",TRIM(C636)&amp;" ")-1),",","."),FIND("/",SUBSTITUTE(LEFT(TRIM(C636),FIND(" ",TRIM(C636)&amp;" ")-1),",","."))-1)/MID(SUBSTITUTE(LEFT(TRIM(C636),FIND(" ",TRIM(C636)&amp;" ")-1),",","."),FIND("/",SUBSTITUTE(LEFT(TRIM(C636),FIND(" ",TRIM(C636)&amp;" ")-1),",","."))+1,9))*12/52,IF(ISNUMBER(SEARCH("month",C636)),IFERROR(_xlfn.NUMBERVALUE(SUBSTITUTE(LEFT(TRIM(C636),FIND(" ",TRIM(C636)&amp;" ")-1),",","."),"."),LEFT(SUBSTITUTE(LEFT(TRIM(C636),FIND(" ",TRIM(C636)&amp;" ")-1),",","."),FIND("/",SUBSTITUTE(LEFT(TRIM(C636),FIND(" ",TRIM(C636)&amp;" ")-1),",","."))-1)/MID(SUBSTITUTE(LEFT(TRIM(C636),FIND(" ",TRIM(C636)&amp;" ")-1),",","."),FIND("/",SUBSTITUTE(LEFT(TRIM(C636),FIND(" ",TRIM(C636)&amp;" ")-1),",","."))+1,9)),IF(ISNUMBER(SEARCH("yea",C636)),IFERROR(_xlfn.NUMBERVALUE(SUBSTITUTE(LEFT(TRIM(C636),FIND(" ",TRIM(C636)&amp;" ")-1),",","."),"."),LEFT(SUBSTITUTE(LEFT(TRIM(C636),FIND(" ",TRIM(C636)&amp;" ")-1),",","."),FIND("/",SUBSTITUTE(LEFT(TRIM(C636),FIND(" ",TRIM(C636)&amp;" ")-1),",","."))-1)/MID(SUBSTITUTE(LEFT(TRIM(C636),FIND(" ",TRIM(C636)&amp;" ")-1),",","."),FIND("/",SUBSTITUTE(LEFT(TRIM(C636),FIND(" ",TRIM(C636)&amp;" ")-1),",","."))+1,9))*12,NA()))),0),24)*'Aturan &amp; Tarif'!$B$4,2)</f>
        <v>1362.72</v>
      </c>
      <c r="K636" s="32" t="n">
        <f aca="false">'Aturan &amp; Tarif'!$B$5</f>
        <v>2050</v>
      </c>
      <c r="L636" s="32" t="n">
        <f aca="false">'Aturan &amp; Tarif'!$B$6</f>
        <v>350</v>
      </c>
      <c r="M636" s="35" t="n">
        <f aca="false">I636+J636+K636+L636</f>
        <v>7612.72</v>
      </c>
      <c r="N636" s="36" t="s">
        <v>2298</v>
      </c>
    </row>
    <row r="637" customFormat="false" ht="37.5" hidden="false" customHeight="true" outlineLevel="0" collapsed="false">
      <c r="A637" s="29"/>
      <c r="B637" s="30" t="s">
        <v>115</v>
      </c>
      <c r="C637" s="31" t="s">
        <v>107</v>
      </c>
      <c r="D637" s="31" t="s">
        <v>108</v>
      </c>
      <c r="E637" s="32" t="n">
        <v>2500</v>
      </c>
      <c r="F637" s="32" t="n">
        <v>1000</v>
      </c>
      <c r="G637" s="32" t="n">
        <v>250</v>
      </c>
      <c r="H637" s="33" t="n">
        <v>1</v>
      </c>
      <c r="I637" s="34" t="n">
        <f aca="false">E637*H637+N(F637)+N(G637)</f>
        <v>3750</v>
      </c>
      <c r="J637" s="32" t="n">
        <f aca="false">ROUND(IFERROR(ROUND(IF(OR(ISNUMBER(SEARCH("week",C637)),ISNUMBER(SEARCH("minggu",C637))),IFERROR(_xlfn.NUMBERVALUE(SUBSTITUTE(LEFT(TRIM(C637),FIND(" ",TRIM(C637)&amp;" ")-1),",","."),"."),LEFT(SUBSTITUTE(LEFT(TRIM(C637),FIND(" ",TRIM(C637)&amp;" ")-1),",","."),FIND("/",SUBSTITUTE(LEFT(TRIM(C637),FIND(" ",TRIM(C637)&amp;" ")-1),",","."))-1)/MID(SUBSTITUTE(LEFT(TRIM(C637),FIND(" ",TRIM(C637)&amp;" ")-1),",","."),FIND("/",SUBSTITUTE(LEFT(TRIM(C637),FIND(" ",TRIM(C637)&amp;" ")-1),",","."))+1,9))*12/52,IF(ISNUMBER(SEARCH("month",C637)),IFERROR(_xlfn.NUMBERVALUE(SUBSTITUTE(LEFT(TRIM(C637),FIND(" ",TRIM(C637)&amp;" ")-1),",","."),"."),LEFT(SUBSTITUTE(LEFT(TRIM(C637),FIND(" ",TRIM(C637)&amp;" ")-1),",","."),FIND("/",SUBSTITUTE(LEFT(TRIM(C637),FIND(" ",TRIM(C637)&amp;" ")-1),",","."))-1)/MID(SUBSTITUTE(LEFT(TRIM(C637),FIND(" ",TRIM(C637)&amp;" ")-1),",","."),FIND("/",SUBSTITUTE(LEFT(TRIM(C637),FIND(" ",TRIM(C637)&amp;" ")-1),",","."))+1,9)),IF(ISNUMBER(SEARCH("yea",C637)),IFERROR(_xlfn.NUMBERVALUE(SUBSTITUTE(LEFT(TRIM(C637),FIND(" ",TRIM(C637)&amp;" ")-1),",","."),"."),LEFT(SUBSTITUTE(LEFT(TRIM(C637),FIND(" ",TRIM(C637)&amp;" ")-1),",","."),FIND("/",SUBSTITUTE(LEFT(TRIM(C637),FIND(" ",TRIM(C637)&amp;" ")-1),",","."))-1)/MID(SUBSTITUTE(LEFT(TRIM(C637),FIND(" ",TRIM(C637)&amp;" ")-1),",","."),FIND("/",SUBSTITUTE(LEFT(TRIM(C637),FIND(" ",TRIM(C637)&amp;" ")-1),",","."))+1,9))*12,NA()))),0),24)*'Aturan &amp; Tarif'!$B$4,2)</f>
        <v>1362.72</v>
      </c>
      <c r="K637" s="32" t="n">
        <f aca="false">'Aturan &amp; Tarif'!$B$5</f>
        <v>2050</v>
      </c>
      <c r="L637" s="32" t="n">
        <f aca="false">'Aturan &amp; Tarif'!$B$6</f>
        <v>350</v>
      </c>
      <c r="M637" s="35" t="n">
        <f aca="false">I637+J637+K637+L637</f>
        <v>7512.72</v>
      </c>
      <c r="N637" s="36" t="s">
        <v>2299</v>
      </c>
    </row>
    <row r="638" customFormat="false" ht="25.5" hidden="false" customHeight="true" outlineLevel="0" collapsed="false">
      <c r="A638" s="29"/>
      <c r="B638" s="30" t="s">
        <v>2300</v>
      </c>
      <c r="C638" s="31" t="s">
        <v>107</v>
      </c>
      <c r="D638" s="31" t="s">
        <v>108</v>
      </c>
      <c r="E638" s="32" t="n">
        <v>1900</v>
      </c>
      <c r="F638" s="32"/>
      <c r="G638" s="32" t="n">
        <v>250</v>
      </c>
      <c r="H638" s="33" t="n">
        <v>1</v>
      </c>
      <c r="I638" s="34" t="n">
        <f aca="false">E638*H638+N(F638)+N(G638)</f>
        <v>2150</v>
      </c>
      <c r="J638" s="32" t="n">
        <f aca="false">ROUND(IFERROR(ROUND(IF(OR(ISNUMBER(SEARCH("week",C638)),ISNUMBER(SEARCH("minggu",C638))),IFERROR(_xlfn.NUMBERVALUE(SUBSTITUTE(LEFT(TRIM(C638),FIND(" ",TRIM(C638)&amp;" ")-1),",","."),"."),LEFT(SUBSTITUTE(LEFT(TRIM(C638),FIND(" ",TRIM(C638)&amp;" ")-1),",","."),FIND("/",SUBSTITUTE(LEFT(TRIM(C638),FIND(" ",TRIM(C638)&amp;" ")-1),",","."))-1)/MID(SUBSTITUTE(LEFT(TRIM(C638),FIND(" ",TRIM(C638)&amp;" ")-1),",","."),FIND("/",SUBSTITUTE(LEFT(TRIM(C638),FIND(" ",TRIM(C638)&amp;" ")-1),",","."))+1,9))*12/52,IF(ISNUMBER(SEARCH("month",C638)),IFERROR(_xlfn.NUMBERVALUE(SUBSTITUTE(LEFT(TRIM(C638),FIND(" ",TRIM(C638)&amp;" ")-1),",","."),"."),LEFT(SUBSTITUTE(LEFT(TRIM(C638),FIND(" ",TRIM(C638)&amp;" ")-1),",","."),FIND("/",SUBSTITUTE(LEFT(TRIM(C638),FIND(" ",TRIM(C638)&amp;" ")-1),",","."))-1)/MID(SUBSTITUTE(LEFT(TRIM(C638),FIND(" ",TRIM(C638)&amp;" ")-1),",","."),FIND("/",SUBSTITUTE(LEFT(TRIM(C638),FIND(" ",TRIM(C638)&amp;" ")-1),",","."))+1,9)),IF(ISNUMBER(SEARCH("yea",C638)),IFERROR(_xlfn.NUMBERVALUE(SUBSTITUTE(LEFT(TRIM(C638),FIND(" ",TRIM(C638)&amp;" ")-1),",","."),"."),LEFT(SUBSTITUTE(LEFT(TRIM(C638),FIND(" ",TRIM(C638)&amp;" ")-1),",","."),FIND("/",SUBSTITUTE(LEFT(TRIM(C638),FIND(" ",TRIM(C638)&amp;" ")-1),",","."))-1)/MID(SUBSTITUTE(LEFT(TRIM(C638),FIND(" ",TRIM(C638)&amp;" ")-1),",","."),FIND("/",SUBSTITUTE(LEFT(TRIM(C638),FIND(" ",TRIM(C638)&amp;" ")-1),",","."))+1,9))*12,NA()))),0),24)*'Aturan &amp; Tarif'!$B$4,2)</f>
        <v>1362.72</v>
      </c>
      <c r="K638" s="32" t="n">
        <f aca="false">'Aturan &amp; Tarif'!$B$5</f>
        <v>2050</v>
      </c>
      <c r="L638" s="32" t="n">
        <f aca="false">'Aturan &amp; Tarif'!$B$6</f>
        <v>350</v>
      </c>
      <c r="M638" s="35" t="n">
        <f aca="false">I638+J638+K638+L638</f>
        <v>5912.72</v>
      </c>
      <c r="N638" s="37" t="s">
        <v>2301</v>
      </c>
    </row>
    <row r="639" customFormat="false" ht="25.5" hidden="false" customHeight="true" outlineLevel="0" collapsed="false">
      <c r="A639" s="29"/>
      <c r="B639" s="30" t="s">
        <v>889</v>
      </c>
      <c r="C639" s="31" t="s">
        <v>107</v>
      </c>
      <c r="D639" s="31" t="s">
        <v>108</v>
      </c>
      <c r="E639" s="32" t="n">
        <v>1900</v>
      </c>
      <c r="F639" s="32"/>
      <c r="G639" s="32" t="n">
        <v>250</v>
      </c>
      <c r="H639" s="33" t="n">
        <v>1</v>
      </c>
      <c r="I639" s="34" t="n">
        <f aca="false">E639*H639+N(F639)+N(G639)</f>
        <v>2150</v>
      </c>
      <c r="J639" s="32" t="n">
        <f aca="false">ROUND(IFERROR(ROUND(IF(OR(ISNUMBER(SEARCH("week",C639)),ISNUMBER(SEARCH("minggu",C639))),IFERROR(_xlfn.NUMBERVALUE(SUBSTITUTE(LEFT(TRIM(C639),FIND(" ",TRIM(C639)&amp;" ")-1),",","."),"."),LEFT(SUBSTITUTE(LEFT(TRIM(C639),FIND(" ",TRIM(C639)&amp;" ")-1),",","."),FIND("/",SUBSTITUTE(LEFT(TRIM(C639),FIND(" ",TRIM(C639)&amp;" ")-1),",","."))-1)/MID(SUBSTITUTE(LEFT(TRIM(C639),FIND(" ",TRIM(C639)&amp;" ")-1),",","."),FIND("/",SUBSTITUTE(LEFT(TRIM(C639),FIND(" ",TRIM(C639)&amp;" ")-1),",","."))+1,9))*12/52,IF(ISNUMBER(SEARCH("month",C639)),IFERROR(_xlfn.NUMBERVALUE(SUBSTITUTE(LEFT(TRIM(C639),FIND(" ",TRIM(C639)&amp;" ")-1),",","."),"."),LEFT(SUBSTITUTE(LEFT(TRIM(C639),FIND(" ",TRIM(C639)&amp;" ")-1),",","."),FIND("/",SUBSTITUTE(LEFT(TRIM(C639),FIND(" ",TRIM(C639)&amp;" ")-1),",","."))-1)/MID(SUBSTITUTE(LEFT(TRIM(C639),FIND(" ",TRIM(C639)&amp;" ")-1),",","."),FIND("/",SUBSTITUTE(LEFT(TRIM(C639),FIND(" ",TRIM(C639)&amp;" ")-1),",","."))+1,9)),IF(ISNUMBER(SEARCH("yea",C639)),IFERROR(_xlfn.NUMBERVALUE(SUBSTITUTE(LEFT(TRIM(C639),FIND(" ",TRIM(C639)&amp;" ")-1),",","."),"."),LEFT(SUBSTITUTE(LEFT(TRIM(C639),FIND(" ",TRIM(C639)&amp;" ")-1),",","."),FIND("/",SUBSTITUTE(LEFT(TRIM(C639),FIND(" ",TRIM(C639)&amp;" ")-1),",","."))-1)/MID(SUBSTITUTE(LEFT(TRIM(C639),FIND(" ",TRIM(C639)&amp;" ")-1),",","."),FIND("/",SUBSTITUTE(LEFT(TRIM(C639),FIND(" ",TRIM(C639)&amp;" ")-1),",","."))+1,9))*12,NA()))),0),24)*'Aturan &amp; Tarif'!$B$4,2)</f>
        <v>1362.72</v>
      </c>
      <c r="K639" s="32" t="n">
        <f aca="false">'Aturan &amp; Tarif'!$B$5</f>
        <v>2050</v>
      </c>
      <c r="L639" s="32" t="n">
        <f aca="false">'Aturan &amp; Tarif'!$B$6</f>
        <v>350</v>
      </c>
      <c r="M639" s="35" t="n">
        <f aca="false">I639+J639+K639+L639</f>
        <v>5912.72</v>
      </c>
      <c r="N639" s="37" t="s">
        <v>2301</v>
      </c>
    </row>
    <row r="640" customFormat="false" ht="37.5" hidden="false" customHeight="true" outlineLevel="0" collapsed="false">
      <c r="A640" s="29"/>
      <c r="B640" s="30" t="s">
        <v>2059</v>
      </c>
      <c r="C640" s="31" t="s">
        <v>107</v>
      </c>
      <c r="D640" s="31" t="s">
        <v>108</v>
      </c>
      <c r="E640" s="32" t="n">
        <v>1500</v>
      </c>
      <c r="F640" s="32"/>
      <c r="G640" s="32" t="n">
        <v>250</v>
      </c>
      <c r="H640" s="33" t="n">
        <v>1</v>
      </c>
      <c r="I640" s="34" t="n">
        <f aca="false">E640*H640+N(F640)+N(G640)</f>
        <v>1750</v>
      </c>
      <c r="J640" s="32" t="n">
        <f aca="false">ROUND(IFERROR(ROUND(IF(OR(ISNUMBER(SEARCH("week",C640)),ISNUMBER(SEARCH("minggu",C640))),IFERROR(_xlfn.NUMBERVALUE(SUBSTITUTE(LEFT(TRIM(C640),FIND(" ",TRIM(C640)&amp;" ")-1),",","."),"."),LEFT(SUBSTITUTE(LEFT(TRIM(C640),FIND(" ",TRIM(C640)&amp;" ")-1),",","."),FIND("/",SUBSTITUTE(LEFT(TRIM(C640),FIND(" ",TRIM(C640)&amp;" ")-1),",","."))-1)/MID(SUBSTITUTE(LEFT(TRIM(C640),FIND(" ",TRIM(C640)&amp;" ")-1),",","."),FIND("/",SUBSTITUTE(LEFT(TRIM(C640),FIND(" ",TRIM(C640)&amp;" ")-1),",","."))+1,9))*12/52,IF(ISNUMBER(SEARCH("month",C640)),IFERROR(_xlfn.NUMBERVALUE(SUBSTITUTE(LEFT(TRIM(C640),FIND(" ",TRIM(C640)&amp;" ")-1),",","."),"."),LEFT(SUBSTITUTE(LEFT(TRIM(C640),FIND(" ",TRIM(C640)&amp;" ")-1),",","."),FIND("/",SUBSTITUTE(LEFT(TRIM(C640),FIND(" ",TRIM(C640)&amp;" ")-1),",","."))-1)/MID(SUBSTITUTE(LEFT(TRIM(C640),FIND(" ",TRIM(C640)&amp;" ")-1),",","."),FIND("/",SUBSTITUTE(LEFT(TRIM(C640),FIND(" ",TRIM(C640)&amp;" ")-1),",","."))+1,9)),IF(ISNUMBER(SEARCH("yea",C640)),IFERROR(_xlfn.NUMBERVALUE(SUBSTITUTE(LEFT(TRIM(C640),FIND(" ",TRIM(C640)&amp;" ")-1),",","."),"."),LEFT(SUBSTITUTE(LEFT(TRIM(C640),FIND(" ",TRIM(C640)&amp;" ")-1),",","."),FIND("/",SUBSTITUTE(LEFT(TRIM(C640),FIND(" ",TRIM(C640)&amp;" ")-1),",","."))-1)/MID(SUBSTITUTE(LEFT(TRIM(C640),FIND(" ",TRIM(C640)&amp;" ")-1),",","."),FIND("/",SUBSTITUTE(LEFT(TRIM(C640),FIND(" ",TRIM(C640)&amp;" ")-1),",","."))+1,9))*12,NA()))),0),24)*'Aturan &amp; Tarif'!$B$4,2)</f>
        <v>1362.72</v>
      </c>
      <c r="K640" s="32" t="n">
        <f aca="false">'Aturan &amp; Tarif'!$B$5</f>
        <v>2050</v>
      </c>
      <c r="L640" s="32" t="n">
        <f aca="false">'Aturan &amp; Tarif'!$B$6</f>
        <v>350</v>
      </c>
      <c r="M640" s="35" t="n">
        <f aca="false">I640+J640+K640+L640</f>
        <v>5512.72</v>
      </c>
      <c r="N640" s="36" t="s">
        <v>2302</v>
      </c>
    </row>
    <row r="641" customFormat="false" ht="48.75" hidden="false" customHeight="true" outlineLevel="0" collapsed="false">
      <c r="A641" s="29"/>
      <c r="B641" s="30" t="s">
        <v>2257</v>
      </c>
      <c r="C641" s="31" t="s">
        <v>191</v>
      </c>
      <c r="D641" s="31" t="s">
        <v>108</v>
      </c>
      <c r="E641" s="32" t="n">
        <v>1500</v>
      </c>
      <c r="F641" s="32"/>
      <c r="G641" s="32" t="n">
        <v>250</v>
      </c>
      <c r="H641" s="33" t="n">
        <v>1</v>
      </c>
      <c r="I641" s="34" t="n">
        <f aca="false">E641*H641+N(F641)+N(G641)</f>
        <v>1750</v>
      </c>
      <c r="J641" s="32" t="n">
        <f aca="false">ROUND(IFERROR(ROUND(IF(OR(ISNUMBER(SEARCH("week",C641)),ISNUMBER(SEARCH("minggu",C641))),IFERROR(_xlfn.NUMBERVALUE(SUBSTITUTE(LEFT(TRIM(C641),FIND(" ",TRIM(C641)&amp;" ")-1),",","."),"."),LEFT(SUBSTITUTE(LEFT(TRIM(C641),FIND(" ",TRIM(C641)&amp;" ")-1),",","."),FIND("/",SUBSTITUTE(LEFT(TRIM(C641),FIND(" ",TRIM(C641)&amp;" ")-1),",","."))-1)/MID(SUBSTITUTE(LEFT(TRIM(C641),FIND(" ",TRIM(C641)&amp;" ")-1),",","."),FIND("/",SUBSTITUTE(LEFT(TRIM(C641),FIND(" ",TRIM(C641)&amp;" ")-1),",","."))+1,9))*12/52,IF(ISNUMBER(SEARCH("month",C641)),IFERROR(_xlfn.NUMBERVALUE(SUBSTITUTE(LEFT(TRIM(C641),FIND(" ",TRIM(C641)&amp;" ")-1),",","."),"."),LEFT(SUBSTITUTE(LEFT(TRIM(C641),FIND(" ",TRIM(C641)&amp;" ")-1),",","."),FIND("/",SUBSTITUTE(LEFT(TRIM(C641),FIND(" ",TRIM(C641)&amp;" ")-1),",","."))-1)/MID(SUBSTITUTE(LEFT(TRIM(C641),FIND(" ",TRIM(C641)&amp;" ")-1),",","."),FIND("/",SUBSTITUTE(LEFT(TRIM(C641),FIND(" ",TRIM(C641)&amp;" ")-1),",","."))+1,9)),IF(ISNUMBER(SEARCH("yea",C641)),IFERROR(_xlfn.NUMBERVALUE(SUBSTITUTE(LEFT(TRIM(C641),FIND(" ",TRIM(C641)&amp;" ")-1),",","."),"."),LEFT(SUBSTITUTE(LEFT(TRIM(C641),FIND(" ",TRIM(C641)&amp;" ")-1),",","."),FIND("/",SUBSTITUTE(LEFT(TRIM(C641),FIND(" ",TRIM(C641)&amp;" ")-1),",","."))-1)/MID(SUBSTITUTE(LEFT(TRIM(C641),FIND(" ",TRIM(C641)&amp;" ")-1),",","."),FIND("/",SUBSTITUTE(LEFT(TRIM(C641),FIND(" ",TRIM(C641)&amp;" ")-1),",","."))+1,9))*12,NA()))),0),48)*'Aturan &amp; Tarif'!$B$4,2)</f>
        <v>2725.44</v>
      </c>
      <c r="K641" s="32" t="n">
        <f aca="false">'Aturan &amp; Tarif'!$B$5</f>
        <v>2050</v>
      </c>
      <c r="L641" s="32" t="n">
        <f aca="false">'Aturan &amp; Tarif'!$B$6</f>
        <v>350</v>
      </c>
      <c r="M641" s="35" t="n">
        <f aca="false">I641+J641+K641+L641</f>
        <v>6875.44</v>
      </c>
      <c r="N641" s="36" t="s">
        <v>2303</v>
      </c>
    </row>
    <row r="642" customFormat="false" ht="48.75" hidden="false" customHeight="true" outlineLevel="0" collapsed="false">
      <c r="A642" s="29"/>
      <c r="B642" s="30" t="s">
        <v>2304</v>
      </c>
      <c r="C642" s="31" t="s">
        <v>107</v>
      </c>
      <c r="D642" s="31" t="s">
        <v>108</v>
      </c>
      <c r="E642" s="32" t="n">
        <v>1500</v>
      </c>
      <c r="F642" s="32"/>
      <c r="G642" s="32" t="n">
        <v>250</v>
      </c>
      <c r="H642" s="33" t="n">
        <v>1</v>
      </c>
      <c r="I642" s="34" t="n">
        <f aca="false">E642*H642+N(F642)+N(G642)</f>
        <v>1750</v>
      </c>
      <c r="J642" s="32" t="n">
        <f aca="false">ROUND(IFERROR(ROUND(IF(OR(ISNUMBER(SEARCH("week",C642)),ISNUMBER(SEARCH("minggu",C642))),IFERROR(_xlfn.NUMBERVALUE(SUBSTITUTE(LEFT(TRIM(C642),FIND(" ",TRIM(C642)&amp;" ")-1),",","."),"."),LEFT(SUBSTITUTE(LEFT(TRIM(C642),FIND(" ",TRIM(C642)&amp;" ")-1),",","."),FIND("/",SUBSTITUTE(LEFT(TRIM(C642),FIND(" ",TRIM(C642)&amp;" ")-1),",","."))-1)/MID(SUBSTITUTE(LEFT(TRIM(C642),FIND(" ",TRIM(C642)&amp;" ")-1),",","."),FIND("/",SUBSTITUTE(LEFT(TRIM(C642),FIND(" ",TRIM(C642)&amp;" ")-1),",","."))+1,9))*12/52,IF(ISNUMBER(SEARCH("month",C642)),IFERROR(_xlfn.NUMBERVALUE(SUBSTITUTE(LEFT(TRIM(C642),FIND(" ",TRIM(C642)&amp;" ")-1),",","."),"."),LEFT(SUBSTITUTE(LEFT(TRIM(C642),FIND(" ",TRIM(C642)&amp;" ")-1),",","."),FIND("/",SUBSTITUTE(LEFT(TRIM(C642),FIND(" ",TRIM(C642)&amp;" ")-1),",","."))-1)/MID(SUBSTITUTE(LEFT(TRIM(C642),FIND(" ",TRIM(C642)&amp;" ")-1),",","."),FIND("/",SUBSTITUTE(LEFT(TRIM(C642),FIND(" ",TRIM(C642)&amp;" ")-1),",","."))+1,9)),IF(ISNUMBER(SEARCH("yea",C642)),IFERROR(_xlfn.NUMBERVALUE(SUBSTITUTE(LEFT(TRIM(C642),FIND(" ",TRIM(C642)&amp;" ")-1),",","."),"."),LEFT(SUBSTITUTE(LEFT(TRIM(C642),FIND(" ",TRIM(C642)&amp;" ")-1),",","."),FIND("/",SUBSTITUTE(LEFT(TRIM(C642),FIND(" ",TRIM(C642)&amp;" ")-1),",","."))-1)/MID(SUBSTITUTE(LEFT(TRIM(C642),FIND(" ",TRIM(C642)&amp;" ")-1),",","."),FIND("/",SUBSTITUTE(LEFT(TRIM(C642),FIND(" ",TRIM(C642)&amp;" ")-1),",","."))+1,9))*12,NA()))),0),24)*'Aturan &amp; Tarif'!$B$4,2)</f>
        <v>1362.72</v>
      </c>
      <c r="K642" s="32" t="n">
        <f aca="false">'Aturan &amp; Tarif'!$B$5</f>
        <v>2050</v>
      </c>
      <c r="L642" s="32" t="n">
        <f aca="false">'Aturan &amp; Tarif'!$B$6</f>
        <v>350</v>
      </c>
      <c r="M642" s="35" t="n">
        <f aca="false">I642+J642+K642+L642</f>
        <v>5512.72</v>
      </c>
      <c r="N642" s="36" t="s">
        <v>2305</v>
      </c>
    </row>
    <row r="643" customFormat="false" ht="48.75" hidden="false" customHeight="true" outlineLevel="0" collapsed="false">
      <c r="A643" s="29"/>
      <c r="B643" s="30" t="s">
        <v>2306</v>
      </c>
      <c r="C643" s="31" t="s">
        <v>191</v>
      </c>
      <c r="D643" s="31" t="s">
        <v>108</v>
      </c>
      <c r="E643" s="32" t="n">
        <v>1500</v>
      </c>
      <c r="F643" s="32"/>
      <c r="G643" s="32" t="n">
        <v>250</v>
      </c>
      <c r="H643" s="33" t="n">
        <v>1</v>
      </c>
      <c r="I643" s="34" t="n">
        <f aca="false">E643*H643+N(F643)+N(G643)</f>
        <v>1750</v>
      </c>
      <c r="J643" s="32" t="n">
        <f aca="false">ROUND(IFERROR(ROUND(IF(OR(ISNUMBER(SEARCH("week",C643)),ISNUMBER(SEARCH("minggu",C643))),IFERROR(_xlfn.NUMBERVALUE(SUBSTITUTE(LEFT(TRIM(C643),FIND(" ",TRIM(C643)&amp;" ")-1),",","."),"."),LEFT(SUBSTITUTE(LEFT(TRIM(C643),FIND(" ",TRIM(C643)&amp;" ")-1),",","."),FIND("/",SUBSTITUTE(LEFT(TRIM(C643),FIND(" ",TRIM(C643)&amp;" ")-1),",","."))-1)/MID(SUBSTITUTE(LEFT(TRIM(C643),FIND(" ",TRIM(C643)&amp;" ")-1),",","."),FIND("/",SUBSTITUTE(LEFT(TRIM(C643),FIND(" ",TRIM(C643)&amp;" ")-1),",","."))+1,9))*12/52,IF(ISNUMBER(SEARCH("month",C643)),IFERROR(_xlfn.NUMBERVALUE(SUBSTITUTE(LEFT(TRIM(C643),FIND(" ",TRIM(C643)&amp;" ")-1),",","."),"."),LEFT(SUBSTITUTE(LEFT(TRIM(C643),FIND(" ",TRIM(C643)&amp;" ")-1),",","."),FIND("/",SUBSTITUTE(LEFT(TRIM(C643),FIND(" ",TRIM(C643)&amp;" ")-1),",","."))-1)/MID(SUBSTITUTE(LEFT(TRIM(C643),FIND(" ",TRIM(C643)&amp;" ")-1),",","."),FIND("/",SUBSTITUTE(LEFT(TRIM(C643),FIND(" ",TRIM(C643)&amp;" ")-1),",","."))+1,9)),IF(ISNUMBER(SEARCH("yea",C643)),IFERROR(_xlfn.NUMBERVALUE(SUBSTITUTE(LEFT(TRIM(C643),FIND(" ",TRIM(C643)&amp;" ")-1),",","."),"."),LEFT(SUBSTITUTE(LEFT(TRIM(C643),FIND(" ",TRIM(C643)&amp;" ")-1),",","."),FIND("/",SUBSTITUTE(LEFT(TRIM(C643),FIND(" ",TRIM(C643)&amp;" ")-1),",","."))-1)/MID(SUBSTITUTE(LEFT(TRIM(C643),FIND(" ",TRIM(C643)&amp;" ")-1),",","."),FIND("/",SUBSTITUTE(LEFT(TRIM(C643),FIND(" ",TRIM(C643)&amp;" ")-1),",","."))+1,9))*12,NA()))),0),48)*'Aturan &amp; Tarif'!$B$4,2)</f>
        <v>2725.44</v>
      </c>
      <c r="K643" s="32" t="n">
        <f aca="false">'Aturan &amp; Tarif'!$B$5</f>
        <v>2050</v>
      </c>
      <c r="L643" s="32" t="n">
        <f aca="false">'Aturan &amp; Tarif'!$B$6</f>
        <v>350</v>
      </c>
      <c r="M643" s="35" t="n">
        <f aca="false">I643+J643+K643+L643</f>
        <v>6875.44</v>
      </c>
      <c r="N643" s="36" t="s">
        <v>2305</v>
      </c>
    </row>
    <row r="644" customFormat="false" ht="37.5" hidden="false" customHeight="true" outlineLevel="0" collapsed="false">
      <c r="A644" s="29"/>
      <c r="B644" s="30" t="s">
        <v>2307</v>
      </c>
      <c r="C644" s="31" t="s">
        <v>107</v>
      </c>
      <c r="D644" s="31" t="s">
        <v>108</v>
      </c>
      <c r="E644" s="32" t="n">
        <v>1500</v>
      </c>
      <c r="F644" s="32"/>
      <c r="G644" s="32" t="n">
        <v>250</v>
      </c>
      <c r="H644" s="33" t="n">
        <v>1</v>
      </c>
      <c r="I644" s="34" t="n">
        <f aca="false">E644*H644+N(F644)+N(G644)</f>
        <v>1750</v>
      </c>
      <c r="J644" s="32" t="n">
        <f aca="false">ROUND(IFERROR(ROUND(IF(OR(ISNUMBER(SEARCH("week",C644)),ISNUMBER(SEARCH("minggu",C644))),IFERROR(_xlfn.NUMBERVALUE(SUBSTITUTE(LEFT(TRIM(C644),FIND(" ",TRIM(C644)&amp;" ")-1),",","."),"."),LEFT(SUBSTITUTE(LEFT(TRIM(C644),FIND(" ",TRIM(C644)&amp;" ")-1),",","."),FIND("/",SUBSTITUTE(LEFT(TRIM(C644),FIND(" ",TRIM(C644)&amp;" ")-1),",","."))-1)/MID(SUBSTITUTE(LEFT(TRIM(C644),FIND(" ",TRIM(C644)&amp;" ")-1),",","."),FIND("/",SUBSTITUTE(LEFT(TRIM(C644),FIND(" ",TRIM(C644)&amp;" ")-1),",","."))+1,9))*12/52,IF(ISNUMBER(SEARCH("month",C644)),IFERROR(_xlfn.NUMBERVALUE(SUBSTITUTE(LEFT(TRIM(C644),FIND(" ",TRIM(C644)&amp;" ")-1),",","."),"."),LEFT(SUBSTITUTE(LEFT(TRIM(C644),FIND(" ",TRIM(C644)&amp;" ")-1),",","."),FIND("/",SUBSTITUTE(LEFT(TRIM(C644),FIND(" ",TRIM(C644)&amp;" ")-1),",","."))-1)/MID(SUBSTITUTE(LEFT(TRIM(C644),FIND(" ",TRIM(C644)&amp;" ")-1),",","."),FIND("/",SUBSTITUTE(LEFT(TRIM(C644),FIND(" ",TRIM(C644)&amp;" ")-1),",","."))+1,9)),IF(ISNUMBER(SEARCH("yea",C644)),IFERROR(_xlfn.NUMBERVALUE(SUBSTITUTE(LEFT(TRIM(C644),FIND(" ",TRIM(C644)&amp;" ")-1),",","."),"."),LEFT(SUBSTITUTE(LEFT(TRIM(C644),FIND(" ",TRIM(C644)&amp;" ")-1),",","."),FIND("/",SUBSTITUTE(LEFT(TRIM(C644),FIND(" ",TRIM(C644)&amp;" ")-1),",","."))-1)/MID(SUBSTITUTE(LEFT(TRIM(C644),FIND(" ",TRIM(C644)&amp;" ")-1),",","."),FIND("/",SUBSTITUTE(LEFT(TRIM(C644),FIND(" ",TRIM(C644)&amp;" ")-1),",","."))+1,9))*12,NA()))),0),24)*'Aturan &amp; Tarif'!$B$4,2)</f>
        <v>1362.72</v>
      </c>
      <c r="K644" s="32" t="n">
        <f aca="false">'Aturan &amp; Tarif'!$B$5</f>
        <v>2050</v>
      </c>
      <c r="L644" s="32" t="n">
        <f aca="false">'Aturan &amp; Tarif'!$B$6</f>
        <v>350</v>
      </c>
      <c r="M644" s="35" t="n">
        <f aca="false">I644+J644+K644+L644</f>
        <v>5512.72</v>
      </c>
      <c r="N644" s="36" t="s">
        <v>2302</v>
      </c>
    </row>
    <row r="645" customFormat="false" ht="48.75" hidden="false" customHeight="true" outlineLevel="0" collapsed="false">
      <c r="A645" s="29"/>
      <c r="B645" s="30" t="s">
        <v>2308</v>
      </c>
      <c r="C645" s="31" t="s">
        <v>191</v>
      </c>
      <c r="D645" s="31" t="s">
        <v>108</v>
      </c>
      <c r="E645" s="32" t="n">
        <v>1500</v>
      </c>
      <c r="F645" s="32"/>
      <c r="G645" s="32" t="n">
        <v>250</v>
      </c>
      <c r="H645" s="33" t="n">
        <v>1</v>
      </c>
      <c r="I645" s="34" t="n">
        <f aca="false">E645*H645+N(F645)+N(G645)</f>
        <v>1750</v>
      </c>
      <c r="J645" s="32" t="n">
        <f aca="false">ROUND(IFERROR(ROUND(IF(OR(ISNUMBER(SEARCH("week",C645)),ISNUMBER(SEARCH("minggu",C645))),IFERROR(_xlfn.NUMBERVALUE(SUBSTITUTE(LEFT(TRIM(C645),FIND(" ",TRIM(C645)&amp;" ")-1),",","."),"."),LEFT(SUBSTITUTE(LEFT(TRIM(C645),FIND(" ",TRIM(C645)&amp;" ")-1),",","."),FIND("/",SUBSTITUTE(LEFT(TRIM(C645),FIND(" ",TRIM(C645)&amp;" ")-1),",","."))-1)/MID(SUBSTITUTE(LEFT(TRIM(C645),FIND(" ",TRIM(C645)&amp;" ")-1),",","."),FIND("/",SUBSTITUTE(LEFT(TRIM(C645),FIND(" ",TRIM(C645)&amp;" ")-1),",","."))+1,9))*12/52,IF(ISNUMBER(SEARCH("month",C645)),IFERROR(_xlfn.NUMBERVALUE(SUBSTITUTE(LEFT(TRIM(C645),FIND(" ",TRIM(C645)&amp;" ")-1),",","."),"."),LEFT(SUBSTITUTE(LEFT(TRIM(C645),FIND(" ",TRIM(C645)&amp;" ")-1),",","."),FIND("/",SUBSTITUTE(LEFT(TRIM(C645),FIND(" ",TRIM(C645)&amp;" ")-1),",","."))-1)/MID(SUBSTITUTE(LEFT(TRIM(C645),FIND(" ",TRIM(C645)&amp;" ")-1),",","."),FIND("/",SUBSTITUTE(LEFT(TRIM(C645),FIND(" ",TRIM(C645)&amp;" ")-1),",","."))+1,9)),IF(ISNUMBER(SEARCH("yea",C645)),IFERROR(_xlfn.NUMBERVALUE(SUBSTITUTE(LEFT(TRIM(C645),FIND(" ",TRIM(C645)&amp;" ")-1),",","."),"."),LEFT(SUBSTITUTE(LEFT(TRIM(C645),FIND(" ",TRIM(C645)&amp;" ")-1),",","."),FIND("/",SUBSTITUTE(LEFT(TRIM(C645),FIND(" ",TRIM(C645)&amp;" ")-1),",","."))-1)/MID(SUBSTITUTE(LEFT(TRIM(C645),FIND(" ",TRIM(C645)&amp;" ")-1),",","."),FIND("/",SUBSTITUTE(LEFT(TRIM(C645),FIND(" ",TRIM(C645)&amp;" ")-1),",","."))+1,9))*12,NA()))),0),48)*'Aturan &amp; Tarif'!$B$4,2)</f>
        <v>2725.44</v>
      </c>
      <c r="K645" s="32" t="n">
        <f aca="false">'Aturan &amp; Tarif'!$B$5</f>
        <v>2050</v>
      </c>
      <c r="L645" s="32" t="n">
        <f aca="false">'Aturan &amp; Tarif'!$B$6</f>
        <v>350</v>
      </c>
      <c r="M645" s="35" t="n">
        <f aca="false">I645+J645+K645+L645</f>
        <v>6875.44</v>
      </c>
      <c r="N645" s="36" t="s">
        <v>2303</v>
      </c>
    </row>
    <row r="646" customFormat="false" ht="37.5" hidden="false" customHeight="true" outlineLevel="0" collapsed="false">
      <c r="A646" s="29"/>
      <c r="B646" s="30" t="s">
        <v>1596</v>
      </c>
      <c r="C646" s="31" t="s">
        <v>107</v>
      </c>
      <c r="D646" s="31" t="s">
        <v>108</v>
      </c>
      <c r="E646" s="32" t="n">
        <v>1500</v>
      </c>
      <c r="F646" s="32"/>
      <c r="G646" s="32" t="n">
        <v>250</v>
      </c>
      <c r="H646" s="33" t="n">
        <v>1</v>
      </c>
      <c r="I646" s="34" t="n">
        <f aca="false">E646*H646+N(F646)+N(G646)</f>
        <v>1750</v>
      </c>
      <c r="J646" s="32" t="n">
        <f aca="false">ROUND(IFERROR(ROUND(IF(OR(ISNUMBER(SEARCH("week",C646)),ISNUMBER(SEARCH("minggu",C646))),IFERROR(_xlfn.NUMBERVALUE(SUBSTITUTE(LEFT(TRIM(C646),FIND(" ",TRIM(C646)&amp;" ")-1),",","."),"."),LEFT(SUBSTITUTE(LEFT(TRIM(C646),FIND(" ",TRIM(C646)&amp;" ")-1),",","."),FIND("/",SUBSTITUTE(LEFT(TRIM(C646),FIND(" ",TRIM(C646)&amp;" ")-1),",","."))-1)/MID(SUBSTITUTE(LEFT(TRIM(C646),FIND(" ",TRIM(C646)&amp;" ")-1),",","."),FIND("/",SUBSTITUTE(LEFT(TRIM(C646),FIND(" ",TRIM(C646)&amp;" ")-1),",","."))+1,9))*12/52,IF(ISNUMBER(SEARCH("month",C646)),IFERROR(_xlfn.NUMBERVALUE(SUBSTITUTE(LEFT(TRIM(C646),FIND(" ",TRIM(C646)&amp;" ")-1),",","."),"."),LEFT(SUBSTITUTE(LEFT(TRIM(C646),FIND(" ",TRIM(C646)&amp;" ")-1),",","."),FIND("/",SUBSTITUTE(LEFT(TRIM(C646),FIND(" ",TRIM(C646)&amp;" ")-1),",","."))-1)/MID(SUBSTITUTE(LEFT(TRIM(C646),FIND(" ",TRIM(C646)&amp;" ")-1),",","."),FIND("/",SUBSTITUTE(LEFT(TRIM(C646),FIND(" ",TRIM(C646)&amp;" ")-1),",","."))+1,9)),IF(ISNUMBER(SEARCH("yea",C646)),IFERROR(_xlfn.NUMBERVALUE(SUBSTITUTE(LEFT(TRIM(C646),FIND(" ",TRIM(C646)&amp;" ")-1),",","."),"."),LEFT(SUBSTITUTE(LEFT(TRIM(C646),FIND(" ",TRIM(C646)&amp;" ")-1),",","."),FIND("/",SUBSTITUTE(LEFT(TRIM(C646),FIND(" ",TRIM(C646)&amp;" ")-1),",","."))-1)/MID(SUBSTITUTE(LEFT(TRIM(C646),FIND(" ",TRIM(C646)&amp;" ")-1),",","."),FIND("/",SUBSTITUTE(LEFT(TRIM(C646),FIND(" ",TRIM(C646)&amp;" ")-1),",","."))+1,9))*12,NA()))),0),24)*'Aturan &amp; Tarif'!$B$4,2)</f>
        <v>1362.72</v>
      </c>
      <c r="K646" s="32" t="n">
        <f aca="false">'Aturan &amp; Tarif'!$B$5</f>
        <v>2050</v>
      </c>
      <c r="L646" s="32" t="n">
        <f aca="false">'Aturan &amp; Tarif'!$B$6</f>
        <v>350</v>
      </c>
      <c r="M646" s="35" t="n">
        <f aca="false">I646+J646+K646+L646</f>
        <v>5512.72</v>
      </c>
      <c r="N646" s="36" t="s">
        <v>2302</v>
      </c>
    </row>
    <row r="647" customFormat="false" ht="48.75" hidden="false" customHeight="true" outlineLevel="0" collapsed="false">
      <c r="A647" s="29"/>
      <c r="B647" s="30" t="s">
        <v>2309</v>
      </c>
      <c r="C647" s="31" t="s">
        <v>191</v>
      </c>
      <c r="D647" s="31" t="s">
        <v>108</v>
      </c>
      <c r="E647" s="32" t="n">
        <v>1500</v>
      </c>
      <c r="F647" s="32"/>
      <c r="G647" s="32" t="n">
        <v>250</v>
      </c>
      <c r="H647" s="33" t="n">
        <v>1</v>
      </c>
      <c r="I647" s="34" t="n">
        <f aca="false">E647*H647+N(F647)+N(G647)</f>
        <v>1750</v>
      </c>
      <c r="J647" s="32" t="n">
        <f aca="false">ROUND(IFERROR(ROUND(IF(OR(ISNUMBER(SEARCH("week",C647)),ISNUMBER(SEARCH("minggu",C647))),IFERROR(_xlfn.NUMBERVALUE(SUBSTITUTE(LEFT(TRIM(C647),FIND(" ",TRIM(C647)&amp;" ")-1),",","."),"."),LEFT(SUBSTITUTE(LEFT(TRIM(C647),FIND(" ",TRIM(C647)&amp;" ")-1),",","."),FIND("/",SUBSTITUTE(LEFT(TRIM(C647),FIND(" ",TRIM(C647)&amp;" ")-1),",","."))-1)/MID(SUBSTITUTE(LEFT(TRIM(C647),FIND(" ",TRIM(C647)&amp;" ")-1),",","."),FIND("/",SUBSTITUTE(LEFT(TRIM(C647),FIND(" ",TRIM(C647)&amp;" ")-1),",","."))+1,9))*12/52,IF(ISNUMBER(SEARCH("month",C647)),IFERROR(_xlfn.NUMBERVALUE(SUBSTITUTE(LEFT(TRIM(C647),FIND(" ",TRIM(C647)&amp;" ")-1),",","."),"."),LEFT(SUBSTITUTE(LEFT(TRIM(C647),FIND(" ",TRIM(C647)&amp;" ")-1),",","."),FIND("/",SUBSTITUTE(LEFT(TRIM(C647),FIND(" ",TRIM(C647)&amp;" ")-1),",","."))-1)/MID(SUBSTITUTE(LEFT(TRIM(C647),FIND(" ",TRIM(C647)&amp;" ")-1),",","."),FIND("/",SUBSTITUTE(LEFT(TRIM(C647),FIND(" ",TRIM(C647)&amp;" ")-1),",","."))+1,9)),IF(ISNUMBER(SEARCH("yea",C647)),IFERROR(_xlfn.NUMBERVALUE(SUBSTITUTE(LEFT(TRIM(C647),FIND(" ",TRIM(C647)&amp;" ")-1),",","."),"."),LEFT(SUBSTITUTE(LEFT(TRIM(C647),FIND(" ",TRIM(C647)&amp;" ")-1),",","."),FIND("/",SUBSTITUTE(LEFT(TRIM(C647),FIND(" ",TRIM(C647)&amp;" ")-1),",","."))-1)/MID(SUBSTITUTE(LEFT(TRIM(C647),FIND(" ",TRIM(C647)&amp;" ")-1),",","."),FIND("/",SUBSTITUTE(LEFT(TRIM(C647),FIND(" ",TRIM(C647)&amp;" ")-1),",","."))+1,9))*12,NA()))),0),48)*'Aturan &amp; Tarif'!$B$4,2)</f>
        <v>2725.44</v>
      </c>
      <c r="K647" s="32" t="n">
        <f aca="false">'Aturan &amp; Tarif'!$B$5</f>
        <v>2050</v>
      </c>
      <c r="L647" s="32" t="n">
        <f aca="false">'Aturan &amp; Tarif'!$B$6</f>
        <v>350</v>
      </c>
      <c r="M647" s="35" t="n">
        <f aca="false">I647+J647+K647+L647</f>
        <v>6875.44</v>
      </c>
      <c r="N647" s="36" t="s">
        <v>2303</v>
      </c>
    </row>
    <row r="648" customFormat="false" ht="60" hidden="false" customHeight="true" outlineLevel="0" collapsed="false">
      <c r="A648" s="29" t="s">
        <v>2310</v>
      </c>
      <c r="B648" s="30" t="s">
        <v>1007</v>
      </c>
      <c r="C648" s="31" t="s">
        <v>107</v>
      </c>
      <c r="D648" s="31" t="s">
        <v>108</v>
      </c>
      <c r="E648" s="32" t="n">
        <v>2775</v>
      </c>
      <c r="F648" s="32" t="n">
        <v>1750</v>
      </c>
      <c r="G648" s="32" t="n">
        <v>350</v>
      </c>
      <c r="H648" s="33" t="n">
        <v>1</v>
      </c>
      <c r="I648" s="34" t="n">
        <f aca="false">E648*H648+N(F648)+N(G648)</f>
        <v>4875</v>
      </c>
      <c r="J648" s="32" t="n">
        <f aca="false">ROUND(IFERROR(ROUND(IF(OR(ISNUMBER(SEARCH("week",C648)),ISNUMBER(SEARCH("minggu",C648))),IFERROR(_xlfn.NUMBERVALUE(SUBSTITUTE(LEFT(TRIM(C648),FIND(" ",TRIM(C648)&amp;" ")-1),",","."),"."),LEFT(SUBSTITUTE(LEFT(TRIM(C648),FIND(" ",TRIM(C648)&amp;" ")-1),",","."),FIND("/",SUBSTITUTE(LEFT(TRIM(C648),FIND(" ",TRIM(C648)&amp;" ")-1),",","."))-1)/MID(SUBSTITUTE(LEFT(TRIM(C648),FIND(" ",TRIM(C648)&amp;" ")-1),",","."),FIND("/",SUBSTITUTE(LEFT(TRIM(C648),FIND(" ",TRIM(C648)&amp;" ")-1),",","."))+1,9))*12/52,IF(ISNUMBER(SEARCH("month",C648)),IFERROR(_xlfn.NUMBERVALUE(SUBSTITUTE(LEFT(TRIM(C648),FIND(" ",TRIM(C648)&amp;" ")-1),",","."),"."),LEFT(SUBSTITUTE(LEFT(TRIM(C648),FIND(" ",TRIM(C648)&amp;" ")-1),",","."),FIND("/",SUBSTITUTE(LEFT(TRIM(C648),FIND(" ",TRIM(C648)&amp;" ")-1),",","."))-1)/MID(SUBSTITUTE(LEFT(TRIM(C648),FIND(" ",TRIM(C648)&amp;" ")-1),",","."),FIND("/",SUBSTITUTE(LEFT(TRIM(C648),FIND(" ",TRIM(C648)&amp;" ")-1),",","."))+1,9)),IF(ISNUMBER(SEARCH("yea",C648)),IFERROR(_xlfn.NUMBERVALUE(SUBSTITUTE(LEFT(TRIM(C648),FIND(" ",TRIM(C648)&amp;" ")-1),",","."),"."),LEFT(SUBSTITUTE(LEFT(TRIM(C648),FIND(" ",TRIM(C648)&amp;" ")-1),",","."),FIND("/",SUBSTITUTE(LEFT(TRIM(C648),FIND(" ",TRIM(C648)&amp;" ")-1),",","."))-1)/MID(SUBSTITUTE(LEFT(TRIM(C648),FIND(" ",TRIM(C648)&amp;" ")-1),",","."),FIND("/",SUBSTITUTE(LEFT(TRIM(C648),FIND(" ",TRIM(C648)&amp;" ")-1),",","."))+1,9))*12,NA()))),0),24)*'Aturan &amp; Tarif'!$B$4,2)</f>
        <v>1362.72</v>
      </c>
      <c r="K648" s="32" t="n">
        <f aca="false">'Aturan &amp; Tarif'!$B$5</f>
        <v>2050</v>
      </c>
      <c r="L648" s="32" t="n">
        <f aca="false">'Aturan &amp; Tarif'!$B$6</f>
        <v>350</v>
      </c>
      <c r="M648" s="35" t="n">
        <f aca="false">I648+J648+K648+L648</f>
        <v>8637.72</v>
      </c>
      <c r="N648" s="36" t="s">
        <v>131</v>
      </c>
    </row>
    <row r="649" customFormat="false" ht="48.75" hidden="false" customHeight="true" outlineLevel="0" collapsed="false">
      <c r="A649" s="29"/>
      <c r="B649" s="30" t="s">
        <v>1009</v>
      </c>
      <c r="C649" s="31" t="s">
        <v>127</v>
      </c>
      <c r="D649" s="31" t="s">
        <v>108</v>
      </c>
      <c r="E649" s="32" t="n">
        <v>2775</v>
      </c>
      <c r="F649" s="32" t="n">
        <v>1750</v>
      </c>
      <c r="G649" s="32" t="n">
        <v>350</v>
      </c>
      <c r="H649" s="33" t="n">
        <v>1</v>
      </c>
      <c r="I649" s="34" t="n">
        <f aca="false">E649*H649+N(F649)+N(G649)</f>
        <v>4875</v>
      </c>
      <c r="J649" s="32" t="n">
        <f aca="false">ROUND(IFERROR(ROUND(IF(OR(ISNUMBER(SEARCH("week",C649)),ISNUMBER(SEARCH("minggu",C649))),IFERROR(_xlfn.NUMBERVALUE(SUBSTITUTE(LEFT(TRIM(C649),FIND(" ",TRIM(C649)&amp;" ")-1),",","."),"."),LEFT(SUBSTITUTE(LEFT(TRIM(C649),FIND(" ",TRIM(C649)&amp;" ")-1),",","."),FIND("/",SUBSTITUTE(LEFT(TRIM(C649),FIND(" ",TRIM(C649)&amp;" ")-1),",","."))-1)/MID(SUBSTITUTE(LEFT(TRIM(C649),FIND(" ",TRIM(C649)&amp;" ")-1),",","."),FIND("/",SUBSTITUTE(LEFT(TRIM(C649),FIND(" ",TRIM(C649)&amp;" ")-1),",","."))+1,9))*12/52,IF(ISNUMBER(SEARCH("month",C649)),IFERROR(_xlfn.NUMBERVALUE(SUBSTITUTE(LEFT(TRIM(C649),FIND(" ",TRIM(C649)&amp;" ")-1),",","."),"."),LEFT(SUBSTITUTE(LEFT(TRIM(C649),FIND(" ",TRIM(C649)&amp;" ")-1),",","."),FIND("/",SUBSTITUTE(LEFT(TRIM(C649),FIND(" ",TRIM(C649)&amp;" ")-1),",","."))-1)/MID(SUBSTITUTE(LEFT(TRIM(C649),FIND(" ",TRIM(C649)&amp;" ")-1),",","."),FIND("/",SUBSTITUTE(LEFT(TRIM(C649),FIND(" ",TRIM(C649)&amp;" ")-1),",","."))+1,9)),IF(ISNUMBER(SEARCH("yea",C649)),IFERROR(_xlfn.NUMBERVALUE(SUBSTITUTE(LEFT(TRIM(C649),FIND(" ",TRIM(C649)&amp;" ")-1),",","."),"."),LEFT(SUBSTITUTE(LEFT(TRIM(C649),FIND(" ",TRIM(C649)&amp;" ")-1),",","."),FIND("/",SUBSTITUTE(LEFT(TRIM(C649),FIND(" ",TRIM(C649)&amp;" ")-1),",","."))-1)/MID(SUBSTITUTE(LEFT(TRIM(C649),FIND(" ",TRIM(C649)&amp;" ")-1),",","."),FIND("/",SUBSTITUTE(LEFT(TRIM(C649),FIND(" ",TRIM(C649)&amp;" ")-1),",","."))+1,9))*12,NA()))),0),36)*'Aturan &amp; Tarif'!$B$4,2)</f>
        <v>2044.08</v>
      </c>
      <c r="K649" s="32" t="n">
        <f aca="false">'Aturan &amp; Tarif'!$B$5</f>
        <v>2050</v>
      </c>
      <c r="L649" s="32" t="n">
        <f aca="false">'Aturan &amp; Tarif'!$B$6</f>
        <v>350</v>
      </c>
      <c r="M649" s="35" t="n">
        <f aca="false">I649+J649+K649+L649</f>
        <v>9319.08</v>
      </c>
      <c r="N649" s="36" t="s">
        <v>131</v>
      </c>
    </row>
    <row r="650" customFormat="false" ht="60" hidden="false" customHeight="true" outlineLevel="0" collapsed="false">
      <c r="A650" s="29"/>
      <c r="B650" s="30" t="s">
        <v>1010</v>
      </c>
      <c r="C650" s="31" t="s">
        <v>107</v>
      </c>
      <c r="D650" s="31" t="s">
        <v>108</v>
      </c>
      <c r="E650" s="32" t="n">
        <v>3166</v>
      </c>
      <c r="F650" s="32" t="n">
        <v>2000</v>
      </c>
      <c r="G650" s="32" t="n">
        <v>350</v>
      </c>
      <c r="H650" s="33" t="n">
        <v>1</v>
      </c>
      <c r="I650" s="34" t="n">
        <f aca="false">E650*H650+N(F650)+N(G650)</f>
        <v>5516</v>
      </c>
      <c r="J650" s="32" t="n">
        <f aca="false">ROUND(IFERROR(ROUND(IF(OR(ISNUMBER(SEARCH("week",C650)),ISNUMBER(SEARCH("minggu",C650))),IFERROR(_xlfn.NUMBERVALUE(SUBSTITUTE(LEFT(TRIM(C650),FIND(" ",TRIM(C650)&amp;" ")-1),",","."),"."),LEFT(SUBSTITUTE(LEFT(TRIM(C650),FIND(" ",TRIM(C650)&amp;" ")-1),",","."),FIND("/",SUBSTITUTE(LEFT(TRIM(C650),FIND(" ",TRIM(C650)&amp;" ")-1),",","."))-1)/MID(SUBSTITUTE(LEFT(TRIM(C650),FIND(" ",TRIM(C650)&amp;" ")-1),",","."),FIND("/",SUBSTITUTE(LEFT(TRIM(C650),FIND(" ",TRIM(C650)&amp;" ")-1),",","."))+1,9))*12/52,IF(ISNUMBER(SEARCH("month",C650)),IFERROR(_xlfn.NUMBERVALUE(SUBSTITUTE(LEFT(TRIM(C650),FIND(" ",TRIM(C650)&amp;" ")-1),",","."),"."),LEFT(SUBSTITUTE(LEFT(TRIM(C650),FIND(" ",TRIM(C650)&amp;" ")-1),",","."),FIND("/",SUBSTITUTE(LEFT(TRIM(C650),FIND(" ",TRIM(C650)&amp;" ")-1),",","."))-1)/MID(SUBSTITUTE(LEFT(TRIM(C650),FIND(" ",TRIM(C650)&amp;" ")-1),",","."),FIND("/",SUBSTITUTE(LEFT(TRIM(C650),FIND(" ",TRIM(C650)&amp;" ")-1),",","."))+1,9)),IF(ISNUMBER(SEARCH("yea",C650)),IFERROR(_xlfn.NUMBERVALUE(SUBSTITUTE(LEFT(TRIM(C650),FIND(" ",TRIM(C650)&amp;" ")-1),",","."),"."),LEFT(SUBSTITUTE(LEFT(TRIM(C650),FIND(" ",TRIM(C650)&amp;" ")-1),",","."),FIND("/",SUBSTITUTE(LEFT(TRIM(C650),FIND(" ",TRIM(C650)&amp;" ")-1),",","."))-1)/MID(SUBSTITUTE(LEFT(TRIM(C650),FIND(" ",TRIM(C650)&amp;" ")-1),",","."),FIND("/",SUBSTITUTE(LEFT(TRIM(C650),FIND(" ",TRIM(C650)&amp;" ")-1),",","."))+1,9))*12,NA()))),0),24)*'Aturan &amp; Tarif'!$B$4,2)</f>
        <v>1362.72</v>
      </c>
      <c r="K650" s="32" t="n">
        <f aca="false">'Aturan &amp; Tarif'!$B$5</f>
        <v>2050</v>
      </c>
      <c r="L650" s="32" t="n">
        <f aca="false">'Aturan &amp; Tarif'!$B$6</f>
        <v>350</v>
      </c>
      <c r="M650" s="35" t="n">
        <f aca="false">I650+J650+K650+L650</f>
        <v>9278.72</v>
      </c>
      <c r="N650" s="36" t="s">
        <v>131</v>
      </c>
    </row>
    <row r="651" customFormat="false" ht="37.5" hidden="false" customHeight="true" outlineLevel="0" collapsed="false">
      <c r="A651" s="29"/>
      <c r="B651" s="30" t="s">
        <v>1011</v>
      </c>
      <c r="C651" s="31" t="s">
        <v>127</v>
      </c>
      <c r="D651" s="31" t="s">
        <v>108</v>
      </c>
      <c r="E651" s="32" t="n">
        <v>3166</v>
      </c>
      <c r="F651" s="32" t="n">
        <v>2000</v>
      </c>
      <c r="G651" s="32" t="n">
        <v>350</v>
      </c>
      <c r="H651" s="33" t="n">
        <v>1</v>
      </c>
      <c r="I651" s="34" t="n">
        <f aca="false">E651*H651+N(F651)+N(G651)</f>
        <v>5516</v>
      </c>
      <c r="J651" s="32" t="n">
        <f aca="false">ROUND(IFERROR(ROUND(IF(OR(ISNUMBER(SEARCH("week",C651)),ISNUMBER(SEARCH("minggu",C651))),IFERROR(_xlfn.NUMBERVALUE(SUBSTITUTE(LEFT(TRIM(C651),FIND(" ",TRIM(C651)&amp;" ")-1),",","."),"."),LEFT(SUBSTITUTE(LEFT(TRIM(C651),FIND(" ",TRIM(C651)&amp;" ")-1),",","."),FIND("/",SUBSTITUTE(LEFT(TRIM(C651),FIND(" ",TRIM(C651)&amp;" ")-1),",","."))-1)/MID(SUBSTITUTE(LEFT(TRIM(C651),FIND(" ",TRIM(C651)&amp;" ")-1),",","."),FIND("/",SUBSTITUTE(LEFT(TRIM(C651),FIND(" ",TRIM(C651)&amp;" ")-1),",","."))+1,9))*12/52,IF(ISNUMBER(SEARCH("month",C651)),IFERROR(_xlfn.NUMBERVALUE(SUBSTITUTE(LEFT(TRIM(C651),FIND(" ",TRIM(C651)&amp;" ")-1),",","."),"."),LEFT(SUBSTITUTE(LEFT(TRIM(C651),FIND(" ",TRIM(C651)&amp;" ")-1),",","."),FIND("/",SUBSTITUTE(LEFT(TRIM(C651),FIND(" ",TRIM(C651)&amp;" ")-1),",","."))-1)/MID(SUBSTITUTE(LEFT(TRIM(C651),FIND(" ",TRIM(C651)&amp;" ")-1),",","."),FIND("/",SUBSTITUTE(LEFT(TRIM(C651),FIND(" ",TRIM(C651)&amp;" ")-1),",","."))+1,9)),IF(ISNUMBER(SEARCH("yea",C651)),IFERROR(_xlfn.NUMBERVALUE(SUBSTITUTE(LEFT(TRIM(C651),FIND(" ",TRIM(C651)&amp;" ")-1),",","."),"."),LEFT(SUBSTITUTE(LEFT(TRIM(C651),FIND(" ",TRIM(C651)&amp;" ")-1),",","."),FIND("/",SUBSTITUTE(LEFT(TRIM(C651),FIND(" ",TRIM(C651)&amp;" ")-1),",","."))-1)/MID(SUBSTITUTE(LEFT(TRIM(C651),FIND(" ",TRIM(C651)&amp;" ")-1),",","."),FIND("/",SUBSTITUTE(LEFT(TRIM(C651),FIND(" ",TRIM(C651)&amp;" ")-1),",","."))+1,9))*12,NA()))),0),36)*'Aturan &amp; Tarif'!$B$4,2)</f>
        <v>2044.08</v>
      </c>
      <c r="K651" s="32" t="n">
        <f aca="false">'Aturan &amp; Tarif'!$B$5</f>
        <v>2050</v>
      </c>
      <c r="L651" s="32" t="n">
        <f aca="false">'Aturan &amp; Tarif'!$B$6</f>
        <v>350</v>
      </c>
      <c r="M651" s="35" t="n">
        <f aca="false">I651+J651+K651+L651</f>
        <v>9960.08</v>
      </c>
      <c r="N651" s="36" t="s">
        <v>131</v>
      </c>
    </row>
    <row r="652" customFormat="false" ht="48.75" hidden="false" customHeight="true" outlineLevel="0" collapsed="false">
      <c r="A652" s="29"/>
      <c r="B652" s="30" t="s">
        <v>1012</v>
      </c>
      <c r="C652" s="31" t="s">
        <v>107</v>
      </c>
      <c r="D652" s="31" t="s">
        <v>108</v>
      </c>
      <c r="E652" s="32" t="n">
        <v>3000</v>
      </c>
      <c r="F652" s="32" t="n">
        <v>2000</v>
      </c>
      <c r="G652" s="32" t="n">
        <v>350</v>
      </c>
      <c r="H652" s="33" t="n">
        <v>1</v>
      </c>
      <c r="I652" s="34" t="n">
        <f aca="false">E652*H652+N(F652)+N(G652)</f>
        <v>5350</v>
      </c>
      <c r="J652" s="32" t="n">
        <f aca="false">ROUND(IFERROR(ROUND(IF(OR(ISNUMBER(SEARCH("week",C652)),ISNUMBER(SEARCH("minggu",C652))),IFERROR(_xlfn.NUMBERVALUE(SUBSTITUTE(LEFT(TRIM(C652),FIND(" ",TRIM(C652)&amp;" ")-1),",","."),"."),LEFT(SUBSTITUTE(LEFT(TRIM(C652),FIND(" ",TRIM(C652)&amp;" ")-1),",","."),FIND("/",SUBSTITUTE(LEFT(TRIM(C652),FIND(" ",TRIM(C652)&amp;" ")-1),",","."))-1)/MID(SUBSTITUTE(LEFT(TRIM(C652),FIND(" ",TRIM(C652)&amp;" ")-1),",","."),FIND("/",SUBSTITUTE(LEFT(TRIM(C652),FIND(" ",TRIM(C652)&amp;" ")-1),",","."))+1,9))*12/52,IF(ISNUMBER(SEARCH("month",C652)),IFERROR(_xlfn.NUMBERVALUE(SUBSTITUTE(LEFT(TRIM(C652),FIND(" ",TRIM(C652)&amp;" ")-1),",","."),"."),LEFT(SUBSTITUTE(LEFT(TRIM(C652),FIND(" ",TRIM(C652)&amp;" ")-1),",","."),FIND("/",SUBSTITUTE(LEFT(TRIM(C652),FIND(" ",TRIM(C652)&amp;" ")-1),",","."))-1)/MID(SUBSTITUTE(LEFT(TRIM(C652),FIND(" ",TRIM(C652)&amp;" ")-1),",","."),FIND("/",SUBSTITUTE(LEFT(TRIM(C652),FIND(" ",TRIM(C652)&amp;" ")-1),",","."))+1,9)),IF(ISNUMBER(SEARCH("yea",C652)),IFERROR(_xlfn.NUMBERVALUE(SUBSTITUTE(LEFT(TRIM(C652),FIND(" ",TRIM(C652)&amp;" ")-1),",","."),"."),LEFT(SUBSTITUTE(LEFT(TRIM(C652),FIND(" ",TRIM(C652)&amp;" ")-1),",","."),FIND("/",SUBSTITUTE(LEFT(TRIM(C652),FIND(" ",TRIM(C652)&amp;" ")-1),",","."))-1)/MID(SUBSTITUTE(LEFT(TRIM(C652),FIND(" ",TRIM(C652)&amp;" ")-1),",","."),FIND("/",SUBSTITUTE(LEFT(TRIM(C652),FIND(" ",TRIM(C652)&amp;" ")-1),",","."))+1,9))*12,NA()))),0),24)*'Aturan &amp; Tarif'!$B$4,2)</f>
        <v>1362.72</v>
      </c>
      <c r="K652" s="32" t="n">
        <f aca="false">'Aturan &amp; Tarif'!$B$5</f>
        <v>2050</v>
      </c>
      <c r="L652" s="32" t="n">
        <f aca="false">'Aturan &amp; Tarif'!$B$6</f>
        <v>350</v>
      </c>
      <c r="M652" s="35" t="n">
        <f aca="false">I652+J652+K652+L652</f>
        <v>9112.72</v>
      </c>
      <c r="N652" s="36" t="s">
        <v>131</v>
      </c>
    </row>
    <row r="653" customFormat="false" ht="48.75" hidden="false" customHeight="true" outlineLevel="0" collapsed="false">
      <c r="A653" s="29"/>
      <c r="B653" s="30" t="s">
        <v>1013</v>
      </c>
      <c r="C653" s="31" t="s">
        <v>138</v>
      </c>
      <c r="D653" s="31" t="s">
        <v>108</v>
      </c>
      <c r="E653" s="32" t="n">
        <v>3000</v>
      </c>
      <c r="F653" s="32" t="n">
        <v>2000</v>
      </c>
      <c r="G653" s="32" t="n">
        <v>350</v>
      </c>
      <c r="H653" s="33" t="n">
        <v>1</v>
      </c>
      <c r="I653" s="34" t="n">
        <f aca="false">E653*H653+N(F653)+N(G653)</f>
        <v>5350</v>
      </c>
      <c r="J653" s="32" t="n">
        <f aca="false">ROUND(IFERROR(ROUND(IF(OR(ISNUMBER(SEARCH("week",C653)),ISNUMBER(SEARCH("minggu",C653))),IFERROR(_xlfn.NUMBERVALUE(SUBSTITUTE(LEFT(TRIM(C653),FIND(" ",TRIM(C653)&amp;" ")-1),",","."),"."),LEFT(SUBSTITUTE(LEFT(TRIM(C653),FIND(" ",TRIM(C653)&amp;" ")-1),",","."),FIND("/",SUBSTITUTE(LEFT(TRIM(C653),FIND(" ",TRIM(C653)&amp;" ")-1),",","."))-1)/MID(SUBSTITUTE(LEFT(TRIM(C653),FIND(" ",TRIM(C653)&amp;" ")-1),",","."),FIND("/",SUBSTITUTE(LEFT(TRIM(C653),FIND(" ",TRIM(C653)&amp;" ")-1),",","."))+1,9))*12/52,IF(ISNUMBER(SEARCH("month",C653)),IFERROR(_xlfn.NUMBERVALUE(SUBSTITUTE(LEFT(TRIM(C653),FIND(" ",TRIM(C653)&amp;" ")-1),",","."),"."),LEFT(SUBSTITUTE(LEFT(TRIM(C653),FIND(" ",TRIM(C653)&amp;" ")-1),",","."),FIND("/",SUBSTITUTE(LEFT(TRIM(C653),FIND(" ",TRIM(C653)&amp;" ")-1),",","."))-1)/MID(SUBSTITUTE(LEFT(TRIM(C653),FIND(" ",TRIM(C653)&amp;" ")-1),",","."),FIND("/",SUBSTITUTE(LEFT(TRIM(C653),FIND(" ",TRIM(C653)&amp;" ")-1),",","."))+1,9)),IF(ISNUMBER(SEARCH("yea",C653)),IFERROR(_xlfn.NUMBERVALUE(SUBSTITUTE(LEFT(TRIM(C653),FIND(" ",TRIM(C653)&amp;" ")-1),",","."),"."),LEFT(SUBSTITUTE(LEFT(TRIM(C653),FIND(" ",TRIM(C653)&amp;" ")-1),",","."),FIND("/",SUBSTITUTE(LEFT(TRIM(C653),FIND(" ",TRIM(C653)&amp;" ")-1),",","."))-1)/MID(SUBSTITUTE(LEFT(TRIM(C653),FIND(" ",TRIM(C653)&amp;" ")-1),",","."),FIND("/",SUBSTITUTE(LEFT(TRIM(C653),FIND(" ",TRIM(C653)&amp;" ")-1),",","."))+1,9))*12,NA()))),0),30)*'Aturan &amp; Tarif'!$B$4,2)</f>
        <v>1703.4</v>
      </c>
      <c r="K653" s="32" t="n">
        <f aca="false">'Aturan &amp; Tarif'!$B$5</f>
        <v>2050</v>
      </c>
      <c r="L653" s="32" t="n">
        <f aca="false">'Aturan &amp; Tarif'!$B$6</f>
        <v>350</v>
      </c>
      <c r="M653" s="35" t="n">
        <f aca="false">I653+J653+K653+L653</f>
        <v>9453.4</v>
      </c>
      <c r="N653" s="36" t="s">
        <v>131</v>
      </c>
    </row>
    <row r="654" customFormat="false" ht="48.75" hidden="false" customHeight="true" outlineLevel="0" collapsed="false">
      <c r="A654" s="29"/>
      <c r="B654" s="30" t="s">
        <v>1014</v>
      </c>
      <c r="C654" s="31" t="s">
        <v>107</v>
      </c>
      <c r="D654" s="31" t="s">
        <v>108</v>
      </c>
      <c r="E654" s="32" t="n">
        <v>3066</v>
      </c>
      <c r="F654" s="32" t="n">
        <v>2000</v>
      </c>
      <c r="G654" s="32" t="n">
        <v>350</v>
      </c>
      <c r="H654" s="33" t="n">
        <v>1</v>
      </c>
      <c r="I654" s="34" t="n">
        <f aca="false">E654*H654+N(F654)+N(G654)</f>
        <v>5416</v>
      </c>
      <c r="J654" s="32" t="n">
        <f aca="false">ROUND(IFERROR(ROUND(IF(OR(ISNUMBER(SEARCH("week",C654)),ISNUMBER(SEARCH("minggu",C654))),IFERROR(_xlfn.NUMBERVALUE(SUBSTITUTE(LEFT(TRIM(C654),FIND(" ",TRIM(C654)&amp;" ")-1),",","."),"."),LEFT(SUBSTITUTE(LEFT(TRIM(C654),FIND(" ",TRIM(C654)&amp;" ")-1),",","."),FIND("/",SUBSTITUTE(LEFT(TRIM(C654),FIND(" ",TRIM(C654)&amp;" ")-1),",","."))-1)/MID(SUBSTITUTE(LEFT(TRIM(C654),FIND(" ",TRIM(C654)&amp;" ")-1),",","."),FIND("/",SUBSTITUTE(LEFT(TRIM(C654),FIND(" ",TRIM(C654)&amp;" ")-1),",","."))+1,9))*12/52,IF(ISNUMBER(SEARCH("month",C654)),IFERROR(_xlfn.NUMBERVALUE(SUBSTITUTE(LEFT(TRIM(C654),FIND(" ",TRIM(C654)&amp;" ")-1),",","."),"."),LEFT(SUBSTITUTE(LEFT(TRIM(C654),FIND(" ",TRIM(C654)&amp;" ")-1),",","."),FIND("/",SUBSTITUTE(LEFT(TRIM(C654),FIND(" ",TRIM(C654)&amp;" ")-1),",","."))-1)/MID(SUBSTITUTE(LEFT(TRIM(C654),FIND(" ",TRIM(C654)&amp;" ")-1),",","."),FIND("/",SUBSTITUTE(LEFT(TRIM(C654),FIND(" ",TRIM(C654)&amp;" ")-1),",","."))+1,9)),IF(ISNUMBER(SEARCH("yea",C654)),IFERROR(_xlfn.NUMBERVALUE(SUBSTITUTE(LEFT(TRIM(C654),FIND(" ",TRIM(C654)&amp;" ")-1),",","."),"."),LEFT(SUBSTITUTE(LEFT(TRIM(C654),FIND(" ",TRIM(C654)&amp;" ")-1),",","."),FIND("/",SUBSTITUTE(LEFT(TRIM(C654),FIND(" ",TRIM(C654)&amp;" ")-1),",","."))-1)/MID(SUBSTITUTE(LEFT(TRIM(C654),FIND(" ",TRIM(C654)&amp;" ")-1),",","."),FIND("/",SUBSTITUTE(LEFT(TRIM(C654),FIND(" ",TRIM(C654)&amp;" ")-1),",","."))+1,9))*12,NA()))),0),24)*'Aturan &amp; Tarif'!$B$4,2)</f>
        <v>1362.72</v>
      </c>
      <c r="K654" s="32" t="n">
        <f aca="false">'Aturan &amp; Tarif'!$B$5</f>
        <v>2050</v>
      </c>
      <c r="L654" s="32" t="n">
        <f aca="false">'Aturan &amp; Tarif'!$B$6</f>
        <v>350</v>
      </c>
      <c r="M654" s="35" t="n">
        <f aca="false">I654+J654+K654+L654</f>
        <v>9178.72</v>
      </c>
      <c r="N654" s="36" t="s">
        <v>131</v>
      </c>
    </row>
    <row r="655" customFormat="false" ht="60" hidden="false" customHeight="true" outlineLevel="0" collapsed="false">
      <c r="A655" s="29"/>
      <c r="B655" s="30" t="s">
        <v>1015</v>
      </c>
      <c r="C655" s="31" t="s">
        <v>127</v>
      </c>
      <c r="D655" s="31" t="s">
        <v>108</v>
      </c>
      <c r="E655" s="32" t="n">
        <v>3066</v>
      </c>
      <c r="F655" s="32" t="n">
        <v>2000</v>
      </c>
      <c r="G655" s="32" t="n">
        <v>350</v>
      </c>
      <c r="H655" s="33" t="n">
        <v>1</v>
      </c>
      <c r="I655" s="34" t="n">
        <f aca="false">E655*H655+N(F655)+N(G655)</f>
        <v>5416</v>
      </c>
      <c r="J655" s="32" t="n">
        <f aca="false">ROUND(IFERROR(ROUND(IF(OR(ISNUMBER(SEARCH("week",C655)),ISNUMBER(SEARCH("minggu",C655))),IFERROR(_xlfn.NUMBERVALUE(SUBSTITUTE(LEFT(TRIM(C655),FIND(" ",TRIM(C655)&amp;" ")-1),",","."),"."),LEFT(SUBSTITUTE(LEFT(TRIM(C655),FIND(" ",TRIM(C655)&amp;" ")-1),",","."),FIND("/",SUBSTITUTE(LEFT(TRIM(C655),FIND(" ",TRIM(C655)&amp;" ")-1),",","."))-1)/MID(SUBSTITUTE(LEFT(TRIM(C655),FIND(" ",TRIM(C655)&amp;" ")-1),",","."),FIND("/",SUBSTITUTE(LEFT(TRIM(C655),FIND(" ",TRIM(C655)&amp;" ")-1),",","."))+1,9))*12/52,IF(ISNUMBER(SEARCH("month",C655)),IFERROR(_xlfn.NUMBERVALUE(SUBSTITUTE(LEFT(TRIM(C655),FIND(" ",TRIM(C655)&amp;" ")-1),",","."),"."),LEFT(SUBSTITUTE(LEFT(TRIM(C655),FIND(" ",TRIM(C655)&amp;" ")-1),",","."),FIND("/",SUBSTITUTE(LEFT(TRIM(C655),FIND(" ",TRIM(C655)&amp;" ")-1),",","."))-1)/MID(SUBSTITUTE(LEFT(TRIM(C655),FIND(" ",TRIM(C655)&amp;" ")-1),",","."),FIND("/",SUBSTITUTE(LEFT(TRIM(C655),FIND(" ",TRIM(C655)&amp;" ")-1),",","."))+1,9)),IF(ISNUMBER(SEARCH("yea",C655)),IFERROR(_xlfn.NUMBERVALUE(SUBSTITUTE(LEFT(TRIM(C655),FIND(" ",TRIM(C655)&amp;" ")-1),",","."),"."),LEFT(SUBSTITUTE(LEFT(TRIM(C655),FIND(" ",TRIM(C655)&amp;" ")-1),",","."),FIND("/",SUBSTITUTE(LEFT(TRIM(C655),FIND(" ",TRIM(C655)&amp;" ")-1),",","."))-1)/MID(SUBSTITUTE(LEFT(TRIM(C655),FIND(" ",TRIM(C655)&amp;" ")-1),",","."),FIND("/",SUBSTITUTE(LEFT(TRIM(C655),FIND(" ",TRIM(C655)&amp;" ")-1),",","."))+1,9))*12,NA()))),0),36)*'Aturan &amp; Tarif'!$B$4,2)</f>
        <v>2044.08</v>
      </c>
      <c r="K655" s="32" t="n">
        <f aca="false">'Aturan &amp; Tarif'!$B$5</f>
        <v>2050</v>
      </c>
      <c r="L655" s="32" t="n">
        <f aca="false">'Aturan &amp; Tarif'!$B$6</f>
        <v>350</v>
      </c>
      <c r="M655" s="35" t="n">
        <f aca="false">I655+J655+K655+L655</f>
        <v>9860.08</v>
      </c>
      <c r="N655" s="36" t="s">
        <v>131</v>
      </c>
    </row>
    <row r="656" customFormat="false" ht="37.5" hidden="false" customHeight="true" outlineLevel="0" collapsed="false">
      <c r="A656" s="29"/>
      <c r="B656" s="30" t="s">
        <v>1016</v>
      </c>
      <c r="C656" s="31" t="s">
        <v>107</v>
      </c>
      <c r="D656" s="31" t="s">
        <v>108</v>
      </c>
      <c r="E656" s="32" t="n">
        <v>2666</v>
      </c>
      <c r="F656" s="32" t="n">
        <v>2000</v>
      </c>
      <c r="G656" s="32" t="n">
        <v>350</v>
      </c>
      <c r="H656" s="33" t="n">
        <v>1</v>
      </c>
      <c r="I656" s="34" t="n">
        <f aca="false">E656*H656+N(F656)+N(G656)</f>
        <v>5016</v>
      </c>
      <c r="J656" s="32" t="n">
        <f aca="false">ROUND(IFERROR(ROUND(IF(OR(ISNUMBER(SEARCH("week",C656)),ISNUMBER(SEARCH("minggu",C656))),IFERROR(_xlfn.NUMBERVALUE(SUBSTITUTE(LEFT(TRIM(C656),FIND(" ",TRIM(C656)&amp;" ")-1),",","."),"."),LEFT(SUBSTITUTE(LEFT(TRIM(C656),FIND(" ",TRIM(C656)&amp;" ")-1),",","."),FIND("/",SUBSTITUTE(LEFT(TRIM(C656),FIND(" ",TRIM(C656)&amp;" ")-1),",","."))-1)/MID(SUBSTITUTE(LEFT(TRIM(C656),FIND(" ",TRIM(C656)&amp;" ")-1),",","."),FIND("/",SUBSTITUTE(LEFT(TRIM(C656),FIND(" ",TRIM(C656)&amp;" ")-1),",","."))+1,9))*12/52,IF(ISNUMBER(SEARCH("month",C656)),IFERROR(_xlfn.NUMBERVALUE(SUBSTITUTE(LEFT(TRIM(C656),FIND(" ",TRIM(C656)&amp;" ")-1),",","."),"."),LEFT(SUBSTITUTE(LEFT(TRIM(C656),FIND(" ",TRIM(C656)&amp;" ")-1),",","."),FIND("/",SUBSTITUTE(LEFT(TRIM(C656),FIND(" ",TRIM(C656)&amp;" ")-1),",","."))-1)/MID(SUBSTITUTE(LEFT(TRIM(C656),FIND(" ",TRIM(C656)&amp;" ")-1),",","."),FIND("/",SUBSTITUTE(LEFT(TRIM(C656),FIND(" ",TRIM(C656)&amp;" ")-1),",","."))+1,9)),IF(ISNUMBER(SEARCH("yea",C656)),IFERROR(_xlfn.NUMBERVALUE(SUBSTITUTE(LEFT(TRIM(C656),FIND(" ",TRIM(C656)&amp;" ")-1),",","."),"."),LEFT(SUBSTITUTE(LEFT(TRIM(C656),FIND(" ",TRIM(C656)&amp;" ")-1),",","."),FIND("/",SUBSTITUTE(LEFT(TRIM(C656),FIND(" ",TRIM(C656)&amp;" ")-1),",","."))-1)/MID(SUBSTITUTE(LEFT(TRIM(C656),FIND(" ",TRIM(C656)&amp;" ")-1),",","."),FIND("/",SUBSTITUTE(LEFT(TRIM(C656),FIND(" ",TRIM(C656)&amp;" ")-1),",","."))+1,9))*12,NA()))),0),24)*'Aturan &amp; Tarif'!$B$4,2)</f>
        <v>1362.72</v>
      </c>
      <c r="K656" s="32" t="n">
        <f aca="false">'Aturan &amp; Tarif'!$B$5</f>
        <v>2050</v>
      </c>
      <c r="L656" s="32" t="n">
        <f aca="false">'Aturan &amp; Tarif'!$B$6</f>
        <v>350</v>
      </c>
      <c r="M656" s="35" t="n">
        <f aca="false">I656+J656+K656+L656</f>
        <v>8778.72</v>
      </c>
      <c r="N656" s="36" t="s">
        <v>131</v>
      </c>
    </row>
    <row r="657" customFormat="false" ht="48.75" hidden="false" customHeight="true" outlineLevel="0" collapsed="false">
      <c r="A657" s="29"/>
      <c r="B657" s="30" t="s">
        <v>1017</v>
      </c>
      <c r="C657" s="31" t="s">
        <v>127</v>
      </c>
      <c r="D657" s="31" t="s">
        <v>108</v>
      </c>
      <c r="E657" s="32" t="n">
        <v>2666</v>
      </c>
      <c r="F657" s="32" t="n">
        <v>2000</v>
      </c>
      <c r="G657" s="32" t="n">
        <v>350</v>
      </c>
      <c r="H657" s="33" t="n">
        <v>1</v>
      </c>
      <c r="I657" s="34" t="n">
        <f aca="false">E657*H657+N(F657)+N(G657)</f>
        <v>5016</v>
      </c>
      <c r="J657" s="32" t="n">
        <f aca="false">ROUND(IFERROR(ROUND(IF(OR(ISNUMBER(SEARCH("week",C657)),ISNUMBER(SEARCH("minggu",C657))),IFERROR(_xlfn.NUMBERVALUE(SUBSTITUTE(LEFT(TRIM(C657),FIND(" ",TRIM(C657)&amp;" ")-1),",","."),"."),LEFT(SUBSTITUTE(LEFT(TRIM(C657),FIND(" ",TRIM(C657)&amp;" ")-1),",","."),FIND("/",SUBSTITUTE(LEFT(TRIM(C657),FIND(" ",TRIM(C657)&amp;" ")-1),",","."))-1)/MID(SUBSTITUTE(LEFT(TRIM(C657),FIND(" ",TRIM(C657)&amp;" ")-1),",","."),FIND("/",SUBSTITUTE(LEFT(TRIM(C657),FIND(" ",TRIM(C657)&amp;" ")-1),",","."))+1,9))*12/52,IF(ISNUMBER(SEARCH("month",C657)),IFERROR(_xlfn.NUMBERVALUE(SUBSTITUTE(LEFT(TRIM(C657),FIND(" ",TRIM(C657)&amp;" ")-1),",","."),"."),LEFT(SUBSTITUTE(LEFT(TRIM(C657),FIND(" ",TRIM(C657)&amp;" ")-1),",","."),FIND("/",SUBSTITUTE(LEFT(TRIM(C657),FIND(" ",TRIM(C657)&amp;" ")-1),",","."))-1)/MID(SUBSTITUTE(LEFT(TRIM(C657),FIND(" ",TRIM(C657)&amp;" ")-1),",","."),FIND("/",SUBSTITUTE(LEFT(TRIM(C657),FIND(" ",TRIM(C657)&amp;" ")-1),",","."))+1,9)),IF(ISNUMBER(SEARCH("yea",C657)),IFERROR(_xlfn.NUMBERVALUE(SUBSTITUTE(LEFT(TRIM(C657),FIND(" ",TRIM(C657)&amp;" ")-1),",","."),"."),LEFT(SUBSTITUTE(LEFT(TRIM(C657),FIND(" ",TRIM(C657)&amp;" ")-1),",","."),FIND("/",SUBSTITUTE(LEFT(TRIM(C657),FIND(" ",TRIM(C657)&amp;" ")-1),",","."))-1)/MID(SUBSTITUTE(LEFT(TRIM(C657),FIND(" ",TRIM(C657)&amp;" ")-1),",","."),FIND("/",SUBSTITUTE(LEFT(TRIM(C657),FIND(" ",TRIM(C657)&amp;" ")-1),",","."))+1,9))*12,NA()))),0),36)*'Aturan &amp; Tarif'!$B$4,2)</f>
        <v>2044.08</v>
      </c>
      <c r="K657" s="32" t="n">
        <f aca="false">'Aturan &amp; Tarif'!$B$5</f>
        <v>2050</v>
      </c>
      <c r="L657" s="32" t="n">
        <f aca="false">'Aturan &amp; Tarif'!$B$6</f>
        <v>350</v>
      </c>
      <c r="M657" s="35" t="n">
        <f aca="false">I657+J657+K657+L657</f>
        <v>9460.08</v>
      </c>
      <c r="N657" s="36" t="s">
        <v>131</v>
      </c>
    </row>
    <row r="658" customFormat="false" ht="25.5" hidden="false" customHeight="true" outlineLevel="0" collapsed="false">
      <c r="A658" s="29"/>
      <c r="B658" s="30" t="s">
        <v>1018</v>
      </c>
      <c r="C658" s="31" t="s">
        <v>107</v>
      </c>
      <c r="D658" s="31" t="s">
        <v>108</v>
      </c>
      <c r="E658" s="32" t="n">
        <v>2666</v>
      </c>
      <c r="F658" s="32" t="n">
        <v>2000</v>
      </c>
      <c r="G658" s="32" t="n">
        <v>350</v>
      </c>
      <c r="H658" s="33" t="n">
        <v>1</v>
      </c>
      <c r="I658" s="34" t="n">
        <f aca="false">E658*H658+N(F658)+N(G658)</f>
        <v>5016</v>
      </c>
      <c r="J658" s="32" t="n">
        <f aca="false">ROUND(IFERROR(ROUND(IF(OR(ISNUMBER(SEARCH("week",C658)),ISNUMBER(SEARCH("minggu",C658))),IFERROR(_xlfn.NUMBERVALUE(SUBSTITUTE(LEFT(TRIM(C658),FIND(" ",TRIM(C658)&amp;" ")-1),",","."),"."),LEFT(SUBSTITUTE(LEFT(TRIM(C658),FIND(" ",TRIM(C658)&amp;" ")-1),",","."),FIND("/",SUBSTITUTE(LEFT(TRIM(C658),FIND(" ",TRIM(C658)&amp;" ")-1),",","."))-1)/MID(SUBSTITUTE(LEFT(TRIM(C658),FIND(" ",TRIM(C658)&amp;" ")-1),",","."),FIND("/",SUBSTITUTE(LEFT(TRIM(C658),FIND(" ",TRIM(C658)&amp;" ")-1),",","."))+1,9))*12/52,IF(ISNUMBER(SEARCH("month",C658)),IFERROR(_xlfn.NUMBERVALUE(SUBSTITUTE(LEFT(TRIM(C658),FIND(" ",TRIM(C658)&amp;" ")-1),",","."),"."),LEFT(SUBSTITUTE(LEFT(TRIM(C658),FIND(" ",TRIM(C658)&amp;" ")-1),",","."),FIND("/",SUBSTITUTE(LEFT(TRIM(C658),FIND(" ",TRIM(C658)&amp;" ")-1),",","."))-1)/MID(SUBSTITUTE(LEFT(TRIM(C658),FIND(" ",TRIM(C658)&amp;" ")-1),",","."),FIND("/",SUBSTITUTE(LEFT(TRIM(C658),FIND(" ",TRIM(C658)&amp;" ")-1),",","."))+1,9)),IF(ISNUMBER(SEARCH("yea",C658)),IFERROR(_xlfn.NUMBERVALUE(SUBSTITUTE(LEFT(TRIM(C658),FIND(" ",TRIM(C658)&amp;" ")-1),",","."),"."),LEFT(SUBSTITUTE(LEFT(TRIM(C658),FIND(" ",TRIM(C658)&amp;" ")-1),",","."),FIND("/",SUBSTITUTE(LEFT(TRIM(C658),FIND(" ",TRIM(C658)&amp;" ")-1),",","."))-1)/MID(SUBSTITUTE(LEFT(TRIM(C658),FIND(" ",TRIM(C658)&amp;" ")-1),",","."),FIND("/",SUBSTITUTE(LEFT(TRIM(C658),FIND(" ",TRIM(C658)&amp;" ")-1),",","."))+1,9))*12,NA()))),0),24)*'Aturan &amp; Tarif'!$B$4,2)</f>
        <v>1362.72</v>
      </c>
      <c r="K658" s="32" t="n">
        <f aca="false">'Aturan &amp; Tarif'!$B$5</f>
        <v>2050</v>
      </c>
      <c r="L658" s="32" t="n">
        <f aca="false">'Aturan &amp; Tarif'!$B$6</f>
        <v>350</v>
      </c>
      <c r="M658" s="35" t="n">
        <f aca="false">I658+J658+K658+L658</f>
        <v>8778.72</v>
      </c>
      <c r="N658" s="36" t="s">
        <v>131</v>
      </c>
    </row>
    <row r="659" customFormat="false" ht="14.25" hidden="false" customHeight="true" outlineLevel="0" collapsed="false">
      <c r="A659" s="29"/>
      <c r="B659" s="30" t="s">
        <v>1019</v>
      </c>
      <c r="C659" s="31" t="s">
        <v>138</v>
      </c>
      <c r="D659" s="31" t="s">
        <v>108</v>
      </c>
      <c r="E659" s="32" t="n">
        <v>3000</v>
      </c>
      <c r="F659" s="32" t="n">
        <v>2000</v>
      </c>
      <c r="G659" s="32" t="n">
        <v>350</v>
      </c>
      <c r="H659" s="33" t="n">
        <v>1</v>
      </c>
      <c r="I659" s="34" t="n">
        <f aca="false">E659*H659+N(F659)+N(G659)</f>
        <v>5350</v>
      </c>
      <c r="J659" s="32" t="n">
        <f aca="false">ROUND(IFERROR(ROUND(IF(OR(ISNUMBER(SEARCH("week",C659)),ISNUMBER(SEARCH("minggu",C659))),IFERROR(_xlfn.NUMBERVALUE(SUBSTITUTE(LEFT(TRIM(C659),FIND(" ",TRIM(C659)&amp;" ")-1),",","."),"."),LEFT(SUBSTITUTE(LEFT(TRIM(C659),FIND(" ",TRIM(C659)&amp;" ")-1),",","."),FIND("/",SUBSTITUTE(LEFT(TRIM(C659),FIND(" ",TRIM(C659)&amp;" ")-1),",","."))-1)/MID(SUBSTITUTE(LEFT(TRIM(C659),FIND(" ",TRIM(C659)&amp;" ")-1),",","."),FIND("/",SUBSTITUTE(LEFT(TRIM(C659),FIND(" ",TRIM(C659)&amp;" ")-1),",","."))+1,9))*12/52,IF(ISNUMBER(SEARCH("month",C659)),IFERROR(_xlfn.NUMBERVALUE(SUBSTITUTE(LEFT(TRIM(C659),FIND(" ",TRIM(C659)&amp;" ")-1),",","."),"."),LEFT(SUBSTITUTE(LEFT(TRIM(C659),FIND(" ",TRIM(C659)&amp;" ")-1),",","."),FIND("/",SUBSTITUTE(LEFT(TRIM(C659),FIND(" ",TRIM(C659)&amp;" ")-1),",","."))-1)/MID(SUBSTITUTE(LEFT(TRIM(C659),FIND(" ",TRIM(C659)&amp;" ")-1),",","."),FIND("/",SUBSTITUTE(LEFT(TRIM(C659),FIND(" ",TRIM(C659)&amp;" ")-1),",","."))+1,9)),IF(ISNUMBER(SEARCH("yea",C659)),IFERROR(_xlfn.NUMBERVALUE(SUBSTITUTE(LEFT(TRIM(C659),FIND(" ",TRIM(C659)&amp;" ")-1),",","."),"."),LEFT(SUBSTITUTE(LEFT(TRIM(C659),FIND(" ",TRIM(C659)&amp;" ")-1),",","."),FIND("/",SUBSTITUTE(LEFT(TRIM(C659),FIND(" ",TRIM(C659)&amp;" ")-1),",","."))-1)/MID(SUBSTITUTE(LEFT(TRIM(C659),FIND(" ",TRIM(C659)&amp;" ")-1),",","."),FIND("/",SUBSTITUTE(LEFT(TRIM(C659),FIND(" ",TRIM(C659)&amp;" ")-1),",","."))+1,9))*12,NA()))),0),30)*'Aturan &amp; Tarif'!$B$4,2)</f>
        <v>1703.4</v>
      </c>
      <c r="K659" s="32" t="n">
        <f aca="false">'Aturan &amp; Tarif'!$B$5</f>
        <v>2050</v>
      </c>
      <c r="L659" s="32" t="n">
        <f aca="false">'Aturan &amp; Tarif'!$B$6</f>
        <v>350</v>
      </c>
      <c r="M659" s="35" t="n">
        <f aca="false">I659+J659+K659+L659</f>
        <v>9453.4</v>
      </c>
      <c r="N659" s="36" t="s">
        <v>131</v>
      </c>
    </row>
    <row r="660" customFormat="false" ht="37.5" hidden="false" customHeight="true" outlineLevel="0" collapsed="false">
      <c r="A660" s="29" t="s">
        <v>2311</v>
      </c>
      <c r="B660" s="30" t="s">
        <v>2312</v>
      </c>
      <c r="C660" s="31" t="s">
        <v>107</v>
      </c>
      <c r="D660" s="31" t="s">
        <v>108</v>
      </c>
      <c r="E660" s="32" t="n">
        <v>3625</v>
      </c>
      <c r="F660" s="32" t="n">
        <v>250</v>
      </c>
      <c r="G660" s="32" t="n">
        <v>250</v>
      </c>
      <c r="H660" s="33" t="n">
        <v>1</v>
      </c>
      <c r="I660" s="34" t="n">
        <f aca="false">E660*H660+N(F660)+N(G660)</f>
        <v>4125</v>
      </c>
      <c r="J660" s="32" t="n">
        <f aca="false">ROUND(IFERROR(ROUND(IF(OR(ISNUMBER(SEARCH("week",C660)),ISNUMBER(SEARCH("minggu",C660))),IFERROR(_xlfn.NUMBERVALUE(SUBSTITUTE(LEFT(TRIM(C660),FIND(" ",TRIM(C660)&amp;" ")-1),",","."),"."),LEFT(SUBSTITUTE(LEFT(TRIM(C660),FIND(" ",TRIM(C660)&amp;" ")-1),",","."),FIND("/",SUBSTITUTE(LEFT(TRIM(C660),FIND(" ",TRIM(C660)&amp;" ")-1),",","."))-1)/MID(SUBSTITUTE(LEFT(TRIM(C660),FIND(" ",TRIM(C660)&amp;" ")-1),",","."),FIND("/",SUBSTITUTE(LEFT(TRIM(C660),FIND(" ",TRIM(C660)&amp;" ")-1),",","."))+1,9))*12/52,IF(ISNUMBER(SEARCH("month",C660)),IFERROR(_xlfn.NUMBERVALUE(SUBSTITUTE(LEFT(TRIM(C660),FIND(" ",TRIM(C660)&amp;" ")-1),",","."),"."),LEFT(SUBSTITUTE(LEFT(TRIM(C660),FIND(" ",TRIM(C660)&amp;" ")-1),",","."),FIND("/",SUBSTITUTE(LEFT(TRIM(C660),FIND(" ",TRIM(C660)&amp;" ")-1),",","."))-1)/MID(SUBSTITUTE(LEFT(TRIM(C660),FIND(" ",TRIM(C660)&amp;" ")-1),",","."),FIND("/",SUBSTITUTE(LEFT(TRIM(C660),FIND(" ",TRIM(C660)&amp;" ")-1),",","."))+1,9)),IF(ISNUMBER(SEARCH("yea",C660)),IFERROR(_xlfn.NUMBERVALUE(SUBSTITUTE(LEFT(TRIM(C660),FIND(" ",TRIM(C660)&amp;" ")-1),",","."),"."),LEFT(SUBSTITUTE(LEFT(TRIM(C660),FIND(" ",TRIM(C660)&amp;" ")-1),",","."),FIND("/",SUBSTITUTE(LEFT(TRIM(C660),FIND(" ",TRIM(C660)&amp;" ")-1),",","."))-1)/MID(SUBSTITUTE(LEFT(TRIM(C660),FIND(" ",TRIM(C660)&amp;" ")-1),",","."),FIND("/",SUBSTITUTE(LEFT(TRIM(C660),FIND(" ",TRIM(C660)&amp;" ")-1),",","."))+1,9))*12,NA()))),0),24)*'Aturan &amp; Tarif'!$B$4,2)</f>
        <v>1362.72</v>
      </c>
      <c r="K660" s="32" t="n">
        <f aca="false">'Aturan &amp; Tarif'!$B$5</f>
        <v>2050</v>
      </c>
      <c r="L660" s="32" t="n">
        <f aca="false">'Aturan &amp; Tarif'!$B$6</f>
        <v>350</v>
      </c>
      <c r="M660" s="35" t="n">
        <f aca="false">I660+J660+K660+L660</f>
        <v>7887.72</v>
      </c>
      <c r="N660" s="36" t="s">
        <v>2313</v>
      </c>
    </row>
    <row r="661" customFormat="false" ht="37.5" hidden="false" customHeight="true" outlineLevel="0" collapsed="false">
      <c r="A661" s="29"/>
      <c r="B661" s="30" t="s">
        <v>2314</v>
      </c>
      <c r="C661" s="31" t="s">
        <v>107</v>
      </c>
      <c r="D661" s="31" t="s">
        <v>108</v>
      </c>
      <c r="E661" s="32" t="n">
        <v>3625</v>
      </c>
      <c r="F661" s="32" t="n">
        <v>250</v>
      </c>
      <c r="G661" s="32" t="n">
        <v>250</v>
      </c>
      <c r="H661" s="33" t="n">
        <v>1</v>
      </c>
      <c r="I661" s="34" t="n">
        <f aca="false">E661*H661+N(F661)+N(G661)</f>
        <v>4125</v>
      </c>
      <c r="J661" s="32" t="n">
        <f aca="false">ROUND(IFERROR(ROUND(IF(OR(ISNUMBER(SEARCH("week",C661)),ISNUMBER(SEARCH("minggu",C661))),IFERROR(_xlfn.NUMBERVALUE(SUBSTITUTE(LEFT(TRIM(C661),FIND(" ",TRIM(C661)&amp;" ")-1),",","."),"."),LEFT(SUBSTITUTE(LEFT(TRIM(C661),FIND(" ",TRIM(C661)&amp;" ")-1),",","."),FIND("/",SUBSTITUTE(LEFT(TRIM(C661),FIND(" ",TRIM(C661)&amp;" ")-1),",","."))-1)/MID(SUBSTITUTE(LEFT(TRIM(C661),FIND(" ",TRIM(C661)&amp;" ")-1),",","."),FIND("/",SUBSTITUTE(LEFT(TRIM(C661),FIND(" ",TRIM(C661)&amp;" ")-1),",","."))+1,9))*12/52,IF(ISNUMBER(SEARCH("month",C661)),IFERROR(_xlfn.NUMBERVALUE(SUBSTITUTE(LEFT(TRIM(C661),FIND(" ",TRIM(C661)&amp;" ")-1),",","."),"."),LEFT(SUBSTITUTE(LEFT(TRIM(C661),FIND(" ",TRIM(C661)&amp;" ")-1),",","."),FIND("/",SUBSTITUTE(LEFT(TRIM(C661),FIND(" ",TRIM(C661)&amp;" ")-1),",","."))-1)/MID(SUBSTITUTE(LEFT(TRIM(C661),FIND(" ",TRIM(C661)&amp;" ")-1),",","."),FIND("/",SUBSTITUTE(LEFT(TRIM(C661),FIND(" ",TRIM(C661)&amp;" ")-1),",","."))+1,9)),IF(ISNUMBER(SEARCH("yea",C661)),IFERROR(_xlfn.NUMBERVALUE(SUBSTITUTE(LEFT(TRIM(C661),FIND(" ",TRIM(C661)&amp;" ")-1),",","."),"."),LEFT(SUBSTITUTE(LEFT(TRIM(C661),FIND(" ",TRIM(C661)&amp;" ")-1),",","."),FIND("/",SUBSTITUTE(LEFT(TRIM(C661),FIND(" ",TRIM(C661)&amp;" ")-1),",","."))-1)/MID(SUBSTITUTE(LEFT(TRIM(C661),FIND(" ",TRIM(C661)&amp;" ")-1),",","."),FIND("/",SUBSTITUTE(LEFT(TRIM(C661),FIND(" ",TRIM(C661)&amp;" ")-1),",","."))+1,9))*12,NA()))),0),24)*'Aturan &amp; Tarif'!$B$4,2)</f>
        <v>1362.72</v>
      </c>
      <c r="K661" s="32" t="n">
        <f aca="false">'Aturan &amp; Tarif'!$B$5</f>
        <v>2050</v>
      </c>
      <c r="L661" s="32" t="n">
        <f aca="false">'Aturan &amp; Tarif'!$B$6</f>
        <v>350</v>
      </c>
      <c r="M661" s="35" t="n">
        <f aca="false">I661+J661+K661+L661</f>
        <v>7887.72</v>
      </c>
      <c r="N661" s="36" t="s">
        <v>2315</v>
      </c>
    </row>
    <row r="662" customFormat="false" ht="14.25" hidden="false" customHeight="true" outlineLevel="0" collapsed="false">
      <c r="A662" s="29"/>
      <c r="B662" s="30" t="s">
        <v>2316</v>
      </c>
      <c r="C662" s="31" t="s">
        <v>191</v>
      </c>
      <c r="D662" s="31" t="s">
        <v>108</v>
      </c>
      <c r="E662" s="32" t="n">
        <v>3625</v>
      </c>
      <c r="F662" s="32" t="n">
        <v>250</v>
      </c>
      <c r="G662" s="32" t="n">
        <v>250</v>
      </c>
      <c r="H662" s="33" t="n">
        <v>1</v>
      </c>
      <c r="I662" s="34" t="n">
        <f aca="false">E662*H662+N(F662)+N(G662)</f>
        <v>4125</v>
      </c>
      <c r="J662" s="32" t="n">
        <f aca="false">ROUND(IFERROR(ROUND(IF(OR(ISNUMBER(SEARCH("week",C662)),ISNUMBER(SEARCH("minggu",C662))),IFERROR(_xlfn.NUMBERVALUE(SUBSTITUTE(LEFT(TRIM(C662),FIND(" ",TRIM(C662)&amp;" ")-1),",","."),"."),LEFT(SUBSTITUTE(LEFT(TRIM(C662),FIND(" ",TRIM(C662)&amp;" ")-1),",","."),FIND("/",SUBSTITUTE(LEFT(TRIM(C662),FIND(" ",TRIM(C662)&amp;" ")-1),",","."))-1)/MID(SUBSTITUTE(LEFT(TRIM(C662),FIND(" ",TRIM(C662)&amp;" ")-1),",","."),FIND("/",SUBSTITUTE(LEFT(TRIM(C662),FIND(" ",TRIM(C662)&amp;" ")-1),",","."))+1,9))*12/52,IF(ISNUMBER(SEARCH("month",C662)),IFERROR(_xlfn.NUMBERVALUE(SUBSTITUTE(LEFT(TRIM(C662),FIND(" ",TRIM(C662)&amp;" ")-1),",","."),"."),LEFT(SUBSTITUTE(LEFT(TRIM(C662),FIND(" ",TRIM(C662)&amp;" ")-1),",","."),FIND("/",SUBSTITUTE(LEFT(TRIM(C662),FIND(" ",TRIM(C662)&amp;" ")-1),",","."))-1)/MID(SUBSTITUTE(LEFT(TRIM(C662),FIND(" ",TRIM(C662)&amp;" ")-1),",","."),FIND("/",SUBSTITUTE(LEFT(TRIM(C662),FIND(" ",TRIM(C662)&amp;" ")-1),",","."))+1,9)),IF(ISNUMBER(SEARCH("yea",C662)),IFERROR(_xlfn.NUMBERVALUE(SUBSTITUTE(LEFT(TRIM(C662),FIND(" ",TRIM(C662)&amp;" ")-1),",","."),"."),LEFT(SUBSTITUTE(LEFT(TRIM(C662),FIND(" ",TRIM(C662)&amp;" ")-1),",","."),FIND("/",SUBSTITUTE(LEFT(TRIM(C662),FIND(" ",TRIM(C662)&amp;" ")-1),",","."))-1)/MID(SUBSTITUTE(LEFT(TRIM(C662),FIND(" ",TRIM(C662)&amp;" ")-1),",","."),FIND("/",SUBSTITUTE(LEFT(TRIM(C662),FIND(" ",TRIM(C662)&amp;" ")-1),",","."))+1,9))*12,NA()))),0),48)*'Aturan &amp; Tarif'!$B$4,2)</f>
        <v>2725.44</v>
      </c>
      <c r="K662" s="32" t="n">
        <f aca="false">'Aturan &amp; Tarif'!$B$5</f>
        <v>2050</v>
      </c>
      <c r="L662" s="32" t="n">
        <f aca="false">'Aturan &amp; Tarif'!$B$6</f>
        <v>350</v>
      </c>
      <c r="M662" s="35" t="n">
        <f aca="false">I662+J662+K662+L662</f>
        <v>9250.44</v>
      </c>
      <c r="N662" s="37" t="s">
        <v>134</v>
      </c>
    </row>
    <row r="663" customFormat="false" ht="25.5" hidden="false" customHeight="true" outlineLevel="0" collapsed="false">
      <c r="A663" s="29"/>
      <c r="B663" s="30" t="s">
        <v>2317</v>
      </c>
      <c r="C663" s="31" t="s">
        <v>127</v>
      </c>
      <c r="D663" s="31" t="s">
        <v>108</v>
      </c>
      <c r="E663" s="32" t="n">
        <v>2700</v>
      </c>
      <c r="F663" s="32" t="n">
        <v>300</v>
      </c>
      <c r="G663" s="32" t="n">
        <v>250</v>
      </c>
      <c r="H663" s="33" t="n">
        <v>1</v>
      </c>
      <c r="I663" s="34" t="n">
        <f aca="false">E663*H663+N(F663)+N(G663)</f>
        <v>3250</v>
      </c>
      <c r="J663" s="32" t="n">
        <f aca="false">ROUND(IFERROR(ROUND(IF(OR(ISNUMBER(SEARCH("week",C663)),ISNUMBER(SEARCH("minggu",C663))),IFERROR(_xlfn.NUMBERVALUE(SUBSTITUTE(LEFT(TRIM(C663),FIND(" ",TRIM(C663)&amp;" ")-1),",","."),"."),LEFT(SUBSTITUTE(LEFT(TRIM(C663),FIND(" ",TRIM(C663)&amp;" ")-1),",","."),FIND("/",SUBSTITUTE(LEFT(TRIM(C663),FIND(" ",TRIM(C663)&amp;" ")-1),",","."))-1)/MID(SUBSTITUTE(LEFT(TRIM(C663),FIND(" ",TRIM(C663)&amp;" ")-1),",","."),FIND("/",SUBSTITUTE(LEFT(TRIM(C663),FIND(" ",TRIM(C663)&amp;" ")-1),",","."))+1,9))*12/52,IF(ISNUMBER(SEARCH("month",C663)),IFERROR(_xlfn.NUMBERVALUE(SUBSTITUTE(LEFT(TRIM(C663),FIND(" ",TRIM(C663)&amp;" ")-1),",","."),"."),LEFT(SUBSTITUTE(LEFT(TRIM(C663),FIND(" ",TRIM(C663)&amp;" ")-1),",","."),FIND("/",SUBSTITUTE(LEFT(TRIM(C663),FIND(" ",TRIM(C663)&amp;" ")-1),",","."))-1)/MID(SUBSTITUTE(LEFT(TRIM(C663),FIND(" ",TRIM(C663)&amp;" ")-1),",","."),FIND("/",SUBSTITUTE(LEFT(TRIM(C663),FIND(" ",TRIM(C663)&amp;" ")-1),",","."))+1,9)),IF(ISNUMBER(SEARCH("yea",C663)),IFERROR(_xlfn.NUMBERVALUE(SUBSTITUTE(LEFT(TRIM(C663),FIND(" ",TRIM(C663)&amp;" ")-1),",","."),"."),LEFT(SUBSTITUTE(LEFT(TRIM(C663),FIND(" ",TRIM(C663)&amp;" ")-1),",","."),FIND("/",SUBSTITUTE(LEFT(TRIM(C663),FIND(" ",TRIM(C663)&amp;" ")-1),",","."))-1)/MID(SUBSTITUTE(LEFT(TRIM(C663),FIND(" ",TRIM(C663)&amp;" ")-1),",","."),FIND("/",SUBSTITUTE(LEFT(TRIM(C663),FIND(" ",TRIM(C663)&amp;" ")-1),",","."))+1,9))*12,NA()))),0),36)*'Aturan &amp; Tarif'!$B$4,2)</f>
        <v>2044.08</v>
      </c>
      <c r="K663" s="32" t="n">
        <f aca="false">'Aturan &amp; Tarif'!$B$5</f>
        <v>2050</v>
      </c>
      <c r="L663" s="32" t="n">
        <f aca="false">'Aturan &amp; Tarif'!$B$6</f>
        <v>350</v>
      </c>
      <c r="M663" s="35" t="n">
        <f aca="false">I663+J663+K663+L663</f>
        <v>7694.08</v>
      </c>
      <c r="N663" s="36" t="s">
        <v>131</v>
      </c>
    </row>
    <row r="664" customFormat="false" ht="14.25" hidden="false" customHeight="true" outlineLevel="0" collapsed="false">
      <c r="A664" s="29"/>
      <c r="B664" s="30" t="s">
        <v>2318</v>
      </c>
      <c r="C664" s="31" t="s">
        <v>107</v>
      </c>
      <c r="D664" s="31" t="s">
        <v>108</v>
      </c>
      <c r="E664" s="32" t="n">
        <v>2250</v>
      </c>
      <c r="F664" s="32" t="n">
        <v>300</v>
      </c>
      <c r="G664" s="32" t="n">
        <v>250</v>
      </c>
      <c r="H664" s="33" t="n">
        <v>1</v>
      </c>
      <c r="I664" s="34" t="n">
        <f aca="false">E664*H664+N(F664)+N(G664)</f>
        <v>2800</v>
      </c>
      <c r="J664" s="32" t="n">
        <f aca="false">ROUND(IFERROR(ROUND(IF(OR(ISNUMBER(SEARCH("week",C664)),ISNUMBER(SEARCH("minggu",C664))),IFERROR(_xlfn.NUMBERVALUE(SUBSTITUTE(LEFT(TRIM(C664),FIND(" ",TRIM(C664)&amp;" ")-1),",","."),"."),LEFT(SUBSTITUTE(LEFT(TRIM(C664),FIND(" ",TRIM(C664)&amp;" ")-1),",","."),FIND("/",SUBSTITUTE(LEFT(TRIM(C664),FIND(" ",TRIM(C664)&amp;" ")-1),",","."))-1)/MID(SUBSTITUTE(LEFT(TRIM(C664),FIND(" ",TRIM(C664)&amp;" ")-1),",","."),FIND("/",SUBSTITUTE(LEFT(TRIM(C664),FIND(" ",TRIM(C664)&amp;" ")-1),",","."))+1,9))*12/52,IF(ISNUMBER(SEARCH("month",C664)),IFERROR(_xlfn.NUMBERVALUE(SUBSTITUTE(LEFT(TRIM(C664),FIND(" ",TRIM(C664)&amp;" ")-1),",","."),"."),LEFT(SUBSTITUTE(LEFT(TRIM(C664),FIND(" ",TRIM(C664)&amp;" ")-1),",","."),FIND("/",SUBSTITUTE(LEFT(TRIM(C664),FIND(" ",TRIM(C664)&amp;" ")-1),",","."))-1)/MID(SUBSTITUTE(LEFT(TRIM(C664),FIND(" ",TRIM(C664)&amp;" ")-1),",","."),FIND("/",SUBSTITUTE(LEFT(TRIM(C664),FIND(" ",TRIM(C664)&amp;" ")-1),",","."))+1,9)),IF(ISNUMBER(SEARCH("yea",C664)),IFERROR(_xlfn.NUMBERVALUE(SUBSTITUTE(LEFT(TRIM(C664),FIND(" ",TRIM(C664)&amp;" ")-1),",","."),"."),LEFT(SUBSTITUTE(LEFT(TRIM(C664),FIND(" ",TRIM(C664)&amp;" ")-1),",","."),FIND("/",SUBSTITUTE(LEFT(TRIM(C664),FIND(" ",TRIM(C664)&amp;" ")-1),",","."))-1)/MID(SUBSTITUTE(LEFT(TRIM(C664),FIND(" ",TRIM(C664)&amp;" ")-1),",","."),FIND("/",SUBSTITUTE(LEFT(TRIM(C664),FIND(" ",TRIM(C664)&amp;" ")-1),",","."))+1,9))*12,NA()))),0),24)*'Aturan &amp; Tarif'!$B$4,2)</f>
        <v>1362.72</v>
      </c>
      <c r="K664" s="32" t="n">
        <f aca="false">'Aturan &amp; Tarif'!$B$5</f>
        <v>2050</v>
      </c>
      <c r="L664" s="32" t="n">
        <f aca="false">'Aturan &amp; Tarif'!$B$6</f>
        <v>350</v>
      </c>
      <c r="M664" s="35" t="n">
        <f aca="false">I664+J664+K664+L664</f>
        <v>6562.72</v>
      </c>
      <c r="N664" s="37" t="s">
        <v>134</v>
      </c>
    </row>
    <row r="665" customFormat="false" ht="25.5" hidden="false" customHeight="true" outlineLevel="0" collapsed="false">
      <c r="A665" s="29"/>
      <c r="B665" s="30" t="s">
        <v>2319</v>
      </c>
      <c r="C665" s="31" t="s">
        <v>191</v>
      </c>
      <c r="D665" s="31" t="s">
        <v>108</v>
      </c>
      <c r="E665" s="32" t="n">
        <v>2250</v>
      </c>
      <c r="F665" s="32" t="n">
        <v>300</v>
      </c>
      <c r="G665" s="32" t="n">
        <v>250</v>
      </c>
      <c r="H665" s="33" t="n">
        <v>1</v>
      </c>
      <c r="I665" s="34" t="n">
        <f aca="false">E665*H665+N(F665)+N(G665)</f>
        <v>2800</v>
      </c>
      <c r="J665" s="32" t="n">
        <f aca="false">ROUND(IFERROR(ROUND(IF(OR(ISNUMBER(SEARCH("week",C665)),ISNUMBER(SEARCH("minggu",C665))),IFERROR(_xlfn.NUMBERVALUE(SUBSTITUTE(LEFT(TRIM(C665),FIND(" ",TRIM(C665)&amp;" ")-1),",","."),"."),LEFT(SUBSTITUTE(LEFT(TRIM(C665),FIND(" ",TRIM(C665)&amp;" ")-1),",","."),FIND("/",SUBSTITUTE(LEFT(TRIM(C665),FIND(" ",TRIM(C665)&amp;" ")-1),",","."))-1)/MID(SUBSTITUTE(LEFT(TRIM(C665),FIND(" ",TRIM(C665)&amp;" ")-1),",","."),FIND("/",SUBSTITUTE(LEFT(TRIM(C665),FIND(" ",TRIM(C665)&amp;" ")-1),",","."))+1,9))*12/52,IF(ISNUMBER(SEARCH("month",C665)),IFERROR(_xlfn.NUMBERVALUE(SUBSTITUTE(LEFT(TRIM(C665),FIND(" ",TRIM(C665)&amp;" ")-1),",","."),"."),LEFT(SUBSTITUTE(LEFT(TRIM(C665),FIND(" ",TRIM(C665)&amp;" ")-1),",","."),FIND("/",SUBSTITUTE(LEFT(TRIM(C665),FIND(" ",TRIM(C665)&amp;" ")-1),",","."))-1)/MID(SUBSTITUTE(LEFT(TRIM(C665),FIND(" ",TRIM(C665)&amp;" ")-1),",","."),FIND("/",SUBSTITUTE(LEFT(TRIM(C665),FIND(" ",TRIM(C665)&amp;" ")-1),",","."))+1,9)),IF(ISNUMBER(SEARCH("yea",C665)),IFERROR(_xlfn.NUMBERVALUE(SUBSTITUTE(LEFT(TRIM(C665),FIND(" ",TRIM(C665)&amp;" ")-1),",","."),"."),LEFT(SUBSTITUTE(LEFT(TRIM(C665),FIND(" ",TRIM(C665)&amp;" ")-1),",","."),FIND("/",SUBSTITUTE(LEFT(TRIM(C665),FIND(" ",TRIM(C665)&amp;" ")-1),",","."))-1)/MID(SUBSTITUTE(LEFT(TRIM(C665),FIND(" ",TRIM(C665)&amp;" ")-1),",","."),FIND("/",SUBSTITUTE(LEFT(TRIM(C665),FIND(" ",TRIM(C665)&amp;" ")-1),",","."))+1,9))*12,NA()))),0),48)*'Aturan &amp; Tarif'!$B$4,2)</f>
        <v>2725.44</v>
      </c>
      <c r="K665" s="32" t="n">
        <f aca="false">'Aturan &amp; Tarif'!$B$5</f>
        <v>2050</v>
      </c>
      <c r="L665" s="32" t="n">
        <f aca="false">'Aturan &amp; Tarif'!$B$6</f>
        <v>350</v>
      </c>
      <c r="M665" s="35" t="n">
        <f aca="false">I665+J665+K665+L665</f>
        <v>7925.44</v>
      </c>
      <c r="N665" s="37" t="s">
        <v>134</v>
      </c>
    </row>
    <row r="666" customFormat="false" ht="25.5" hidden="false" customHeight="true" outlineLevel="0" collapsed="false">
      <c r="A666" s="29"/>
      <c r="B666" s="30" t="s">
        <v>594</v>
      </c>
      <c r="C666" s="31" t="s">
        <v>113</v>
      </c>
      <c r="D666" s="31" t="s">
        <v>108</v>
      </c>
      <c r="E666" s="32" t="n">
        <v>2500</v>
      </c>
      <c r="F666" s="32" t="n">
        <v>200</v>
      </c>
      <c r="G666" s="32" t="n">
        <v>250</v>
      </c>
      <c r="H666" s="33" t="n">
        <v>1</v>
      </c>
      <c r="I666" s="34" t="n">
        <f aca="false">E666*H666+N(F666)+N(G666)</f>
        <v>2950</v>
      </c>
      <c r="J666" s="32" t="n">
        <f aca="false">ROUND(IFERROR(ROUND(IF(OR(ISNUMBER(SEARCH("week",C666)),ISNUMBER(SEARCH("minggu",C666))),IFERROR(_xlfn.NUMBERVALUE(SUBSTITUTE(LEFT(TRIM(C666),FIND(" ",TRIM(C666)&amp;" ")-1),",","."),"."),LEFT(SUBSTITUTE(LEFT(TRIM(C666),FIND(" ",TRIM(C666)&amp;" ")-1),",","."),FIND("/",SUBSTITUTE(LEFT(TRIM(C666),FIND(" ",TRIM(C666)&amp;" ")-1),",","."))-1)/MID(SUBSTITUTE(LEFT(TRIM(C666),FIND(" ",TRIM(C666)&amp;" ")-1),",","."),FIND("/",SUBSTITUTE(LEFT(TRIM(C666),FIND(" ",TRIM(C666)&amp;" ")-1),",","."))+1,9))*12/52,IF(ISNUMBER(SEARCH("month",C666)),IFERROR(_xlfn.NUMBERVALUE(SUBSTITUTE(LEFT(TRIM(C666),FIND(" ",TRIM(C666)&amp;" ")-1),",","."),"."),LEFT(SUBSTITUTE(LEFT(TRIM(C666),FIND(" ",TRIM(C666)&amp;" ")-1),",","."),FIND("/",SUBSTITUTE(LEFT(TRIM(C666),FIND(" ",TRIM(C666)&amp;" ")-1),",","."))-1)/MID(SUBSTITUTE(LEFT(TRIM(C666),FIND(" ",TRIM(C666)&amp;" ")-1),",","."),FIND("/",SUBSTITUTE(LEFT(TRIM(C666),FIND(" ",TRIM(C666)&amp;" ")-1),",","."))+1,9)),IF(ISNUMBER(SEARCH("yea",C666)),IFERROR(_xlfn.NUMBERVALUE(SUBSTITUTE(LEFT(TRIM(C666),FIND(" ",TRIM(C666)&amp;" ")-1),",","."),"."),LEFT(SUBSTITUTE(LEFT(TRIM(C666),FIND(" ",TRIM(C666)&amp;" ")-1),",","."),FIND("/",SUBSTITUTE(LEFT(TRIM(C666),FIND(" ",TRIM(C666)&amp;" ")-1),",","."))-1)/MID(SUBSTITUTE(LEFT(TRIM(C666),FIND(" ",TRIM(C666)&amp;" ")-1),",","."),FIND("/",SUBSTITUTE(LEFT(TRIM(C666),FIND(" ",TRIM(C666)&amp;" ")-1),",","."))+1,9))*12,NA()))),0),18)*'Aturan &amp; Tarif'!$B$4,2)</f>
        <v>1022.04</v>
      </c>
      <c r="K666" s="32" t="n">
        <f aca="false">'Aturan &amp; Tarif'!$B$5</f>
        <v>2050</v>
      </c>
      <c r="L666" s="32" t="n">
        <f aca="false">'Aturan &amp; Tarif'!$B$6</f>
        <v>350</v>
      </c>
      <c r="M666" s="35" t="n">
        <f aca="false">I666+J666+K666+L666</f>
        <v>6372.04</v>
      </c>
      <c r="N666" s="37" t="s">
        <v>134</v>
      </c>
    </row>
    <row r="667" customFormat="false" ht="14.25" hidden="false" customHeight="true" outlineLevel="0" collapsed="false">
      <c r="A667" s="29"/>
      <c r="B667" s="30" t="s">
        <v>430</v>
      </c>
      <c r="C667" s="31" t="s">
        <v>127</v>
      </c>
      <c r="D667" s="31" t="s">
        <v>108</v>
      </c>
      <c r="E667" s="32" t="n">
        <v>2500</v>
      </c>
      <c r="F667" s="32" t="n">
        <v>200</v>
      </c>
      <c r="G667" s="32" t="n">
        <v>250</v>
      </c>
      <c r="H667" s="33" t="n">
        <v>1</v>
      </c>
      <c r="I667" s="34" t="n">
        <f aca="false">E667*H667+N(F667)+N(G667)</f>
        <v>2950</v>
      </c>
      <c r="J667" s="32" t="n">
        <f aca="false">ROUND(IFERROR(ROUND(IF(OR(ISNUMBER(SEARCH("week",C667)),ISNUMBER(SEARCH("minggu",C667))),IFERROR(_xlfn.NUMBERVALUE(SUBSTITUTE(LEFT(TRIM(C667),FIND(" ",TRIM(C667)&amp;" ")-1),",","."),"."),LEFT(SUBSTITUTE(LEFT(TRIM(C667),FIND(" ",TRIM(C667)&amp;" ")-1),",","."),FIND("/",SUBSTITUTE(LEFT(TRIM(C667),FIND(" ",TRIM(C667)&amp;" ")-1),",","."))-1)/MID(SUBSTITUTE(LEFT(TRIM(C667),FIND(" ",TRIM(C667)&amp;" ")-1),",","."),FIND("/",SUBSTITUTE(LEFT(TRIM(C667),FIND(" ",TRIM(C667)&amp;" ")-1),",","."))+1,9))*12/52,IF(ISNUMBER(SEARCH("month",C667)),IFERROR(_xlfn.NUMBERVALUE(SUBSTITUTE(LEFT(TRIM(C667),FIND(" ",TRIM(C667)&amp;" ")-1),",","."),"."),LEFT(SUBSTITUTE(LEFT(TRIM(C667),FIND(" ",TRIM(C667)&amp;" ")-1),",","."),FIND("/",SUBSTITUTE(LEFT(TRIM(C667),FIND(" ",TRIM(C667)&amp;" ")-1),",","."))-1)/MID(SUBSTITUTE(LEFT(TRIM(C667),FIND(" ",TRIM(C667)&amp;" ")-1),",","."),FIND("/",SUBSTITUTE(LEFT(TRIM(C667),FIND(" ",TRIM(C667)&amp;" ")-1),",","."))+1,9)),IF(ISNUMBER(SEARCH("yea",C667)),IFERROR(_xlfn.NUMBERVALUE(SUBSTITUTE(LEFT(TRIM(C667),FIND(" ",TRIM(C667)&amp;" ")-1),",","."),"."),LEFT(SUBSTITUTE(LEFT(TRIM(C667),FIND(" ",TRIM(C667)&amp;" ")-1),",","."),FIND("/",SUBSTITUTE(LEFT(TRIM(C667),FIND(" ",TRIM(C667)&amp;" ")-1),",","."))-1)/MID(SUBSTITUTE(LEFT(TRIM(C667),FIND(" ",TRIM(C667)&amp;" ")-1),",","."),FIND("/",SUBSTITUTE(LEFT(TRIM(C667),FIND(" ",TRIM(C667)&amp;" ")-1),",","."))+1,9))*12,NA()))),0),36)*'Aturan &amp; Tarif'!$B$4,2)</f>
        <v>2044.08</v>
      </c>
      <c r="K667" s="32" t="n">
        <f aca="false">'Aturan &amp; Tarif'!$B$5</f>
        <v>2050</v>
      </c>
      <c r="L667" s="32" t="n">
        <f aca="false">'Aturan &amp; Tarif'!$B$6</f>
        <v>350</v>
      </c>
      <c r="M667" s="35" t="n">
        <f aca="false">I667+J667+K667+L667</f>
        <v>7394.08</v>
      </c>
      <c r="N667" s="37" t="s">
        <v>134</v>
      </c>
    </row>
    <row r="668" customFormat="false" ht="60" hidden="false" customHeight="true" outlineLevel="0" collapsed="false">
      <c r="A668" s="29"/>
      <c r="B668" s="30" t="s">
        <v>625</v>
      </c>
      <c r="C668" s="31" t="s">
        <v>127</v>
      </c>
      <c r="D668" s="31" t="s">
        <v>108</v>
      </c>
      <c r="E668" s="32" t="n">
        <v>2500</v>
      </c>
      <c r="F668" s="32" t="n">
        <v>200</v>
      </c>
      <c r="G668" s="32" t="n">
        <v>250</v>
      </c>
      <c r="H668" s="33" t="n">
        <v>1</v>
      </c>
      <c r="I668" s="34" t="n">
        <f aca="false">E668*H668+N(F668)+N(G668)</f>
        <v>2950</v>
      </c>
      <c r="J668" s="32" t="n">
        <f aca="false">ROUND(IFERROR(ROUND(IF(OR(ISNUMBER(SEARCH("week",C668)),ISNUMBER(SEARCH("minggu",C668))),IFERROR(_xlfn.NUMBERVALUE(SUBSTITUTE(LEFT(TRIM(C668),FIND(" ",TRIM(C668)&amp;" ")-1),",","."),"."),LEFT(SUBSTITUTE(LEFT(TRIM(C668),FIND(" ",TRIM(C668)&amp;" ")-1),",","."),FIND("/",SUBSTITUTE(LEFT(TRIM(C668),FIND(" ",TRIM(C668)&amp;" ")-1),",","."))-1)/MID(SUBSTITUTE(LEFT(TRIM(C668),FIND(" ",TRIM(C668)&amp;" ")-1),",","."),FIND("/",SUBSTITUTE(LEFT(TRIM(C668),FIND(" ",TRIM(C668)&amp;" ")-1),",","."))+1,9))*12/52,IF(ISNUMBER(SEARCH("month",C668)),IFERROR(_xlfn.NUMBERVALUE(SUBSTITUTE(LEFT(TRIM(C668),FIND(" ",TRIM(C668)&amp;" ")-1),",","."),"."),LEFT(SUBSTITUTE(LEFT(TRIM(C668),FIND(" ",TRIM(C668)&amp;" ")-1),",","."),FIND("/",SUBSTITUTE(LEFT(TRIM(C668),FIND(" ",TRIM(C668)&amp;" ")-1),",","."))-1)/MID(SUBSTITUTE(LEFT(TRIM(C668),FIND(" ",TRIM(C668)&amp;" ")-1),",","."),FIND("/",SUBSTITUTE(LEFT(TRIM(C668),FIND(" ",TRIM(C668)&amp;" ")-1),",","."))+1,9)),IF(ISNUMBER(SEARCH("yea",C668)),IFERROR(_xlfn.NUMBERVALUE(SUBSTITUTE(LEFT(TRIM(C668),FIND(" ",TRIM(C668)&amp;" ")-1),",","."),"."),LEFT(SUBSTITUTE(LEFT(TRIM(C668),FIND(" ",TRIM(C668)&amp;" ")-1),",","."),FIND("/",SUBSTITUTE(LEFT(TRIM(C668),FIND(" ",TRIM(C668)&amp;" ")-1),",","."))-1)/MID(SUBSTITUTE(LEFT(TRIM(C668),FIND(" ",TRIM(C668)&amp;" ")-1),",","."),FIND("/",SUBSTITUTE(LEFT(TRIM(C668),FIND(" ",TRIM(C668)&amp;" ")-1),",","."))+1,9))*12,NA()))),0),36)*'Aturan &amp; Tarif'!$B$4,2)</f>
        <v>2044.08</v>
      </c>
      <c r="K668" s="32" t="n">
        <f aca="false">'Aturan &amp; Tarif'!$B$5</f>
        <v>2050</v>
      </c>
      <c r="L668" s="32" t="n">
        <f aca="false">'Aturan &amp; Tarif'!$B$6</f>
        <v>350</v>
      </c>
      <c r="M668" s="35" t="n">
        <f aca="false">I668+J668+K668+L668</f>
        <v>7394.08</v>
      </c>
      <c r="N668" s="37" t="s">
        <v>134</v>
      </c>
    </row>
    <row r="669" customFormat="false" ht="37.5" hidden="false" customHeight="true" outlineLevel="0" collapsed="false">
      <c r="A669" s="29"/>
      <c r="B669" s="30" t="s">
        <v>1602</v>
      </c>
      <c r="C669" s="31" t="s">
        <v>107</v>
      </c>
      <c r="D669" s="31" t="s">
        <v>108</v>
      </c>
      <c r="E669" s="32" t="n">
        <v>2500</v>
      </c>
      <c r="F669" s="32" t="n">
        <v>300</v>
      </c>
      <c r="G669" s="32" t="n">
        <v>250</v>
      </c>
      <c r="H669" s="33" t="n">
        <v>1</v>
      </c>
      <c r="I669" s="34" t="n">
        <f aca="false">E669*H669+N(F669)+N(G669)</f>
        <v>3050</v>
      </c>
      <c r="J669" s="32" t="n">
        <f aca="false">ROUND(IFERROR(ROUND(IF(OR(ISNUMBER(SEARCH("week",C669)),ISNUMBER(SEARCH("minggu",C669))),IFERROR(_xlfn.NUMBERVALUE(SUBSTITUTE(LEFT(TRIM(C669),FIND(" ",TRIM(C669)&amp;" ")-1),",","."),"."),LEFT(SUBSTITUTE(LEFT(TRIM(C669),FIND(" ",TRIM(C669)&amp;" ")-1),",","."),FIND("/",SUBSTITUTE(LEFT(TRIM(C669),FIND(" ",TRIM(C669)&amp;" ")-1),",","."))-1)/MID(SUBSTITUTE(LEFT(TRIM(C669),FIND(" ",TRIM(C669)&amp;" ")-1),",","."),FIND("/",SUBSTITUTE(LEFT(TRIM(C669),FIND(" ",TRIM(C669)&amp;" ")-1),",","."))+1,9))*12/52,IF(ISNUMBER(SEARCH("month",C669)),IFERROR(_xlfn.NUMBERVALUE(SUBSTITUTE(LEFT(TRIM(C669),FIND(" ",TRIM(C669)&amp;" ")-1),",","."),"."),LEFT(SUBSTITUTE(LEFT(TRIM(C669),FIND(" ",TRIM(C669)&amp;" ")-1),",","."),FIND("/",SUBSTITUTE(LEFT(TRIM(C669),FIND(" ",TRIM(C669)&amp;" ")-1),",","."))-1)/MID(SUBSTITUTE(LEFT(TRIM(C669),FIND(" ",TRIM(C669)&amp;" ")-1),",","."),FIND("/",SUBSTITUTE(LEFT(TRIM(C669),FIND(" ",TRIM(C669)&amp;" ")-1),",","."))+1,9)),IF(ISNUMBER(SEARCH("yea",C669)),IFERROR(_xlfn.NUMBERVALUE(SUBSTITUTE(LEFT(TRIM(C669),FIND(" ",TRIM(C669)&amp;" ")-1),",","."),"."),LEFT(SUBSTITUTE(LEFT(TRIM(C669),FIND(" ",TRIM(C669)&amp;" ")-1),",","."),FIND("/",SUBSTITUTE(LEFT(TRIM(C669),FIND(" ",TRIM(C669)&amp;" ")-1),",","."))-1)/MID(SUBSTITUTE(LEFT(TRIM(C669),FIND(" ",TRIM(C669)&amp;" ")-1),",","."),FIND("/",SUBSTITUTE(LEFT(TRIM(C669),FIND(" ",TRIM(C669)&amp;" ")-1),",","."))+1,9))*12,NA()))),0),24)*'Aturan &amp; Tarif'!$B$4,2)</f>
        <v>1362.72</v>
      </c>
      <c r="K669" s="32" t="n">
        <f aca="false">'Aturan &amp; Tarif'!$B$5</f>
        <v>2050</v>
      </c>
      <c r="L669" s="32" t="n">
        <f aca="false">'Aturan &amp; Tarif'!$B$6</f>
        <v>350</v>
      </c>
      <c r="M669" s="35" t="n">
        <f aca="false">I669+J669+K669+L669</f>
        <v>6812.72</v>
      </c>
      <c r="N669" s="37" t="s">
        <v>134</v>
      </c>
    </row>
    <row r="670" customFormat="false" ht="37.5" hidden="false" customHeight="true" outlineLevel="0" collapsed="false">
      <c r="A670" s="29"/>
      <c r="B670" s="30" t="s">
        <v>1603</v>
      </c>
      <c r="C670" s="31" t="s">
        <v>127</v>
      </c>
      <c r="D670" s="31" t="s">
        <v>108</v>
      </c>
      <c r="E670" s="32" t="n">
        <v>2500</v>
      </c>
      <c r="F670" s="32" t="n">
        <v>200</v>
      </c>
      <c r="G670" s="32" t="n">
        <v>250</v>
      </c>
      <c r="H670" s="33" t="n">
        <v>1</v>
      </c>
      <c r="I670" s="34" t="n">
        <f aca="false">E670*H670+N(F670)+N(G670)</f>
        <v>2950</v>
      </c>
      <c r="J670" s="32" t="n">
        <f aca="false">ROUND(IFERROR(ROUND(IF(OR(ISNUMBER(SEARCH("week",C670)),ISNUMBER(SEARCH("minggu",C670))),IFERROR(_xlfn.NUMBERVALUE(SUBSTITUTE(LEFT(TRIM(C670),FIND(" ",TRIM(C670)&amp;" ")-1),",","."),"."),LEFT(SUBSTITUTE(LEFT(TRIM(C670),FIND(" ",TRIM(C670)&amp;" ")-1),",","."),FIND("/",SUBSTITUTE(LEFT(TRIM(C670),FIND(" ",TRIM(C670)&amp;" ")-1),",","."))-1)/MID(SUBSTITUTE(LEFT(TRIM(C670),FIND(" ",TRIM(C670)&amp;" ")-1),",","."),FIND("/",SUBSTITUTE(LEFT(TRIM(C670),FIND(" ",TRIM(C670)&amp;" ")-1),",","."))+1,9))*12/52,IF(ISNUMBER(SEARCH("month",C670)),IFERROR(_xlfn.NUMBERVALUE(SUBSTITUTE(LEFT(TRIM(C670),FIND(" ",TRIM(C670)&amp;" ")-1),",","."),"."),LEFT(SUBSTITUTE(LEFT(TRIM(C670),FIND(" ",TRIM(C670)&amp;" ")-1),",","."),FIND("/",SUBSTITUTE(LEFT(TRIM(C670),FIND(" ",TRIM(C670)&amp;" ")-1),",","."))-1)/MID(SUBSTITUTE(LEFT(TRIM(C670),FIND(" ",TRIM(C670)&amp;" ")-1),",","."),FIND("/",SUBSTITUTE(LEFT(TRIM(C670),FIND(" ",TRIM(C670)&amp;" ")-1),",","."))+1,9)),IF(ISNUMBER(SEARCH("yea",C670)),IFERROR(_xlfn.NUMBERVALUE(SUBSTITUTE(LEFT(TRIM(C670),FIND(" ",TRIM(C670)&amp;" ")-1),",","."),"."),LEFT(SUBSTITUTE(LEFT(TRIM(C670),FIND(" ",TRIM(C670)&amp;" ")-1),",","."),FIND("/",SUBSTITUTE(LEFT(TRIM(C670),FIND(" ",TRIM(C670)&amp;" ")-1),",","."))-1)/MID(SUBSTITUTE(LEFT(TRIM(C670),FIND(" ",TRIM(C670)&amp;" ")-1),",","."),FIND("/",SUBSTITUTE(LEFT(TRIM(C670),FIND(" ",TRIM(C670)&amp;" ")-1),",","."))+1,9))*12,NA()))),0),36)*'Aturan &amp; Tarif'!$B$4,2)</f>
        <v>2044.08</v>
      </c>
      <c r="K670" s="32" t="n">
        <f aca="false">'Aturan &amp; Tarif'!$B$5</f>
        <v>2050</v>
      </c>
      <c r="L670" s="32" t="n">
        <f aca="false">'Aturan &amp; Tarif'!$B$6</f>
        <v>350</v>
      </c>
      <c r="M670" s="35" t="n">
        <f aca="false">I670+J670+K670+L670</f>
        <v>7394.08</v>
      </c>
      <c r="N670" s="37" t="s">
        <v>134</v>
      </c>
    </row>
    <row r="671" customFormat="false" ht="14.25" hidden="false" customHeight="true" outlineLevel="0" collapsed="false">
      <c r="A671" s="29"/>
      <c r="B671" s="30" t="s">
        <v>2320</v>
      </c>
      <c r="C671" s="31" t="s">
        <v>486</v>
      </c>
      <c r="D671" s="31" t="s">
        <v>108</v>
      </c>
      <c r="E671" s="32" t="n">
        <v>2500</v>
      </c>
      <c r="F671" s="32" t="n">
        <v>200</v>
      </c>
      <c r="G671" s="32" t="n">
        <v>250</v>
      </c>
      <c r="H671" s="33" t="n">
        <v>1</v>
      </c>
      <c r="I671" s="34" t="n">
        <f aca="false">E671*H671+N(F671)+N(G671)</f>
        <v>2950</v>
      </c>
      <c r="J671" s="32" t="n">
        <f aca="false">ROUND(IFERROR(ROUND(IF(OR(ISNUMBER(SEARCH("week",C671)),ISNUMBER(SEARCH("minggu",C671))),IFERROR(_xlfn.NUMBERVALUE(SUBSTITUTE(LEFT(TRIM(C671),FIND(" ",TRIM(C671)&amp;" ")-1),",","."),"."),LEFT(SUBSTITUTE(LEFT(TRIM(C671),FIND(" ",TRIM(C671)&amp;" ")-1),",","."),FIND("/",SUBSTITUTE(LEFT(TRIM(C671),FIND(" ",TRIM(C671)&amp;" ")-1),",","."))-1)/MID(SUBSTITUTE(LEFT(TRIM(C671),FIND(" ",TRIM(C671)&amp;" ")-1),",","."),FIND("/",SUBSTITUTE(LEFT(TRIM(C671),FIND(" ",TRIM(C671)&amp;" ")-1),",","."))+1,9))*12/52,IF(ISNUMBER(SEARCH("month",C671)),IFERROR(_xlfn.NUMBERVALUE(SUBSTITUTE(LEFT(TRIM(C671),FIND(" ",TRIM(C671)&amp;" ")-1),",","."),"."),LEFT(SUBSTITUTE(LEFT(TRIM(C671),FIND(" ",TRIM(C671)&amp;" ")-1),",","."),FIND("/",SUBSTITUTE(LEFT(TRIM(C671),FIND(" ",TRIM(C671)&amp;" ")-1),",","."))-1)/MID(SUBSTITUTE(LEFT(TRIM(C671),FIND(" ",TRIM(C671)&amp;" ")-1),",","."),FIND("/",SUBSTITUTE(LEFT(TRIM(C671),FIND(" ",TRIM(C671)&amp;" ")-1),",","."))+1,9)),IF(ISNUMBER(SEARCH("yea",C671)),IFERROR(_xlfn.NUMBERVALUE(SUBSTITUTE(LEFT(TRIM(C671),FIND(" ",TRIM(C671)&amp;" ")-1),",","."),"."),LEFT(SUBSTITUTE(LEFT(TRIM(C671),FIND(" ",TRIM(C671)&amp;" ")-1),",","."),FIND("/",SUBSTITUTE(LEFT(TRIM(C671),FIND(" ",TRIM(C671)&amp;" ")-1),",","."))-1)/MID(SUBSTITUTE(LEFT(TRIM(C671),FIND(" ",TRIM(C671)&amp;" ")-1),",","."),FIND("/",SUBSTITUTE(LEFT(TRIM(C671),FIND(" ",TRIM(C671)&amp;" ")-1),",","."))+1,9))*12,NA()))),0),12)*'Aturan &amp; Tarif'!$B$4,2)</f>
        <v>681.36</v>
      </c>
      <c r="K671" s="32" t="n">
        <f aca="false">'Aturan &amp; Tarif'!$B$5</f>
        <v>2050</v>
      </c>
      <c r="L671" s="32" t="n">
        <f aca="false">'Aturan &amp; Tarif'!$B$6</f>
        <v>350</v>
      </c>
      <c r="M671" s="35" t="n">
        <f aca="false">I671+J671+K671+L671</f>
        <v>6031.36</v>
      </c>
      <c r="N671" s="37" t="s">
        <v>134</v>
      </c>
    </row>
    <row r="672" customFormat="false" ht="25.5" hidden="false" customHeight="true" outlineLevel="0" collapsed="false">
      <c r="A672" s="29"/>
      <c r="B672" s="30" t="s">
        <v>2321</v>
      </c>
      <c r="C672" s="31" t="s">
        <v>107</v>
      </c>
      <c r="D672" s="31" t="s">
        <v>108</v>
      </c>
      <c r="E672" s="32" t="n">
        <v>2500</v>
      </c>
      <c r="F672" s="32" t="n">
        <v>200</v>
      </c>
      <c r="G672" s="32" t="n">
        <v>250</v>
      </c>
      <c r="H672" s="33" t="n">
        <v>1</v>
      </c>
      <c r="I672" s="34" t="n">
        <f aca="false">E672*H672+N(F672)+N(G672)</f>
        <v>2950</v>
      </c>
      <c r="J672" s="32" t="n">
        <f aca="false">ROUND(IFERROR(ROUND(IF(OR(ISNUMBER(SEARCH("week",C672)),ISNUMBER(SEARCH("minggu",C672))),IFERROR(_xlfn.NUMBERVALUE(SUBSTITUTE(LEFT(TRIM(C672),FIND(" ",TRIM(C672)&amp;" ")-1),",","."),"."),LEFT(SUBSTITUTE(LEFT(TRIM(C672),FIND(" ",TRIM(C672)&amp;" ")-1),",","."),FIND("/",SUBSTITUTE(LEFT(TRIM(C672),FIND(" ",TRIM(C672)&amp;" ")-1),",","."))-1)/MID(SUBSTITUTE(LEFT(TRIM(C672),FIND(" ",TRIM(C672)&amp;" ")-1),",","."),FIND("/",SUBSTITUTE(LEFT(TRIM(C672),FIND(" ",TRIM(C672)&amp;" ")-1),",","."))+1,9))*12/52,IF(ISNUMBER(SEARCH("month",C672)),IFERROR(_xlfn.NUMBERVALUE(SUBSTITUTE(LEFT(TRIM(C672),FIND(" ",TRIM(C672)&amp;" ")-1),",","."),"."),LEFT(SUBSTITUTE(LEFT(TRIM(C672),FIND(" ",TRIM(C672)&amp;" ")-1),",","."),FIND("/",SUBSTITUTE(LEFT(TRIM(C672),FIND(" ",TRIM(C672)&amp;" ")-1),",","."))-1)/MID(SUBSTITUTE(LEFT(TRIM(C672),FIND(" ",TRIM(C672)&amp;" ")-1),",","."),FIND("/",SUBSTITUTE(LEFT(TRIM(C672),FIND(" ",TRIM(C672)&amp;" ")-1),",","."))+1,9)),IF(ISNUMBER(SEARCH("yea",C672)),IFERROR(_xlfn.NUMBERVALUE(SUBSTITUTE(LEFT(TRIM(C672),FIND(" ",TRIM(C672)&amp;" ")-1),",","."),"."),LEFT(SUBSTITUTE(LEFT(TRIM(C672),FIND(" ",TRIM(C672)&amp;" ")-1),",","."),FIND("/",SUBSTITUTE(LEFT(TRIM(C672),FIND(" ",TRIM(C672)&amp;" ")-1),",","."))-1)/MID(SUBSTITUTE(LEFT(TRIM(C672),FIND(" ",TRIM(C672)&amp;" ")-1),",","."),FIND("/",SUBSTITUTE(LEFT(TRIM(C672),FIND(" ",TRIM(C672)&amp;" ")-1),",","."))+1,9))*12,NA()))),0),24)*'Aturan &amp; Tarif'!$B$4,2)</f>
        <v>1362.72</v>
      </c>
      <c r="K672" s="32" t="n">
        <f aca="false">'Aturan &amp; Tarif'!$B$5</f>
        <v>2050</v>
      </c>
      <c r="L672" s="32" t="n">
        <f aca="false">'Aturan &amp; Tarif'!$B$6</f>
        <v>350</v>
      </c>
      <c r="M672" s="35" t="n">
        <f aca="false">I672+J672+K672+L672</f>
        <v>6712.72</v>
      </c>
      <c r="N672" s="36" t="s">
        <v>2322</v>
      </c>
    </row>
    <row r="673" customFormat="false" ht="25.5" hidden="false" customHeight="true" outlineLevel="0" collapsed="false">
      <c r="A673" s="39" t="s">
        <v>2323</v>
      </c>
      <c r="B673" s="40" t="s">
        <v>1967</v>
      </c>
      <c r="C673" s="41" t="s">
        <v>107</v>
      </c>
      <c r="D673" s="41" t="s">
        <v>108</v>
      </c>
      <c r="E673" s="42" t="n">
        <v>1500</v>
      </c>
      <c r="F673" s="42" t="n">
        <v>200</v>
      </c>
      <c r="G673" s="42" t="n">
        <v>250</v>
      </c>
      <c r="H673" s="43" t="n">
        <v>1</v>
      </c>
      <c r="I673" s="34" t="n">
        <f aca="false">E673*H673+N(F673)+N(G673)</f>
        <v>1950</v>
      </c>
      <c r="J673" s="42" t="n">
        <f aca="false">ROUND(IFERROR(ROUND(IF(OR(ISNUMBER(SEARCH("week",C673)),ISNUMBER(SEARCH("minggu",C673))),IFERROR(_xlfn.NUMBERVALUE(SUBSTITUTE(LEFT(TRIM(C673),FIND(" ",TRIM(C673)&amp;" ")-1),",","."),"."),LEFT(SUBSTITUTE(LEFT(TRIM(C673),FIND(" ",TRIM(C673)&amp;" ")-1),",","."),FIND("/",SUBSTITUTE(LEFT(TRIM(C673),FIND(" ",TRIM(C673)&amp;" ")-1),",","."))-1)/MID(SUBSTITUTE(LEFT(TRIM(C673),FIND(" ",TRIM(C673)&amp;" ")-1),",","."),FIND("/",SUBSTITUTE(LEFT(TRIM(C673),FIND(" ",TRIM(C673)&amp;" ")-1),",","."))+1,9))*12/52,IF(ISNUMBER(SEARCH("month",C673)),IFERROR(_xlfn.NUMBERVALUE(SUBSTITUTE(LEFT(TRIM(C673),FIND(" ",TRIM(C673)&amp;" ")-1),",","."),"."),LEFT(SUBSTITUTE(LEFT(TRIM(C673),FIND(" ",TRIM(C673)&amp;" ")-1),",","."),FIND("/",SUBSTITUTE(LEFT(TRIM(C673),FIND(" ",TRIM(C673)&amp;" ")-1),",","."))-1)/MID(SUBSTITUTE(LEFT(TRIM(C673),FIND(" ",TRIM(C673)&amp;" ")-1),",","."),FIND("/",SUBSTITUTE(LEFT(TRIM(C673),FIND(" ",TRIM(C673)&amp;" ")-1),",","."))+1,9)),IF(ISNUMBER(SEARCH("yea",C673)),IFERROR(_xlfn.NUMBERVALUE(SUBSTITUTE(LEFT(TRIM(C673),FIND(" ",TRIM(C673)&amp;" ")-1),",","."),"."),LEFT(SUBSTITUTE(LEFT(TRIM(C673),FIND(" ",TRIM(C673)&amp;" ")-1),",","."),FIND("/",SUBSTITUTE(LEFT(TRIM(C673),FIND(" ",TRIM(C673)&amp;" ")-1),",","."))-1)/MID(SUBSTITUTE(LEFT(TRIM(C673),FIND(" ",TRIM(C673)&amp;" ")-1),",","."),FIND("/",SUBSTITUTE(LEFT(TRIM(C673),FIND(" ",TRIM(C673)&amp;" ")-1),",","."))+1,9))*12,NA()))),0),24)*'Aturan &amp; Tarif'!$B$4,2)</f>
        <v>1362.72</v>
      </c>
      <c r="K673" s="42" t="n">
        <f aca="false">'Aturan &amp; Tarif'!$B$5</f>
        <v>2050</v>
      </c>
      <c r="L673" s="42" t="n">
        <f aca="false">'Aturan &amp; Tarif'!$B$6</f>
        <v>350</v>
      </c>
      <c r="M673" s="35" t="n">
        <f aca="false">I673+J673+K673+L673</f>
        <v>5712.72</v>
      </c>
      <c r="N673" s="45" t="s">
        <v>134</v>
      </c>
    </row>
    <row r="674" customFormat="false" ht="25.5" hidden="false" customHeight="true" outlineLevel="0" collapsed="false">
      <c r="A674" s="39"/>
      <c r="B674" s="40" t="s">
        <v>2324</v>
      </c>
      <c r="C674" s="41" t="s">
        <v>136</v>
      </c>
      <c r="D674" s="41" t="s">
        <v>108</v>
      </c>
      <c r="E674" s="42" t="n">
        <v>1500</v>
      </c>
      <c r="F674" s="42" t="n">
        <v>200</v>
      </c>
      <c r="G674" s="42" t="n">
        <v>250</v>
      </c>
      <c r="H674" s="43" t="n">
        <v>1</v>
      </c>
      <c r="I674" s="34" t="n">
        <f aca="false">E674*H674+N(F674)+N(G674)</f>
        <v>1950</v>
      </c>
      <c r="J674" s="42" t="n">
        <f aca="false">ROUND(IFERROR(ROUND(IF(OR(ISNUMBER(SEARCH("week",C674)),ISNUMBER(SEARCH("minggu",C674))),IFERROR(_xlfn.NUMBERVALUE(SUBSTITUTE(LEFT(TRIM(C674),FIND(" ",TRIM(C674)&amp;" ")-1),",","."),"."),LEFT(SUBSTITUTE(LEFT(TRIM(C674),FIND(" ",TRIM(C674)&amp;" ")-1),",","."),FIND("/",SUBSTITUTE(LEFT(TRIM(C674),FIND(" ",TRIM(C674)&amp;" ")-1),",","."))-1)/MID(SUBSTITUTE(LEFT(TRIM(C674),FIND(" ",TRIM(C674)&amp;" ")-1),",","."),FIND("/",SUBSTITUTE(LEFT(TRIM(C674),FIND(" ",TRIM(C674)&amp;" ")-1),",","."))+1,9))*12/52,IF(ISNUMBER(SEARCH("month",C674)),IFERROR(_xlfn.NUMBERVALUE(SUBSTITUTE(LEFT(TRIM(C674),FIND(" ",TRIM(C674)&amp;" ")-1),",","."),"."),LEFT(SUBSTITUTE(LEFT(TRIM(C674),FIND(" ",TRIM(C674)&amp;" ")-1),",","."),FIND("/",SUBSTITUTE(LEFT(TRIM(C674),FIND(" ",TRIM(C674)&amp;" ")-1),",","."))-1)/MID(SUBSTITUTE(LEFT(TRIM(C674),FIND(" ",TRIM(C674)&amp;" ")-1),",","."),FIND("/",SUBSTITUTE(LEFT(TRIM(C674),FIND(" ",TRIM(C674)&amp;" ")-1),",","."))+1,9)),IF(ISNUMBER(SEARCH("yea",C674)),IFERROR(_xlfn.NUMBERVALUE(SUBSTITUTE(LEFT(TRIM(C674),FIND(" ",TRIM(C674)&amp;" ")-1),",","."),"."),LEFT(SUBSTITUTE(LEFT(TRIM(C674),FIND(" ",TRIM(C674)&amp;" ")-1),",","."),FIND("/",SUBSTITUTE(LEFT(TRIM(C674),FIND(" ",TRIM(C674)&amp;" ")-1),",","."))-1)/MID(SUBSTITUTE(LEFT(TRIM(C674),FIND(" ",TRIM(C674)&amp;" ")-1),",","."),FIND("/",SUBSTITUTE(LEFT(TRIM(C674),FIND(" ",TRIM(C674)&amp;" ")-1),",","."))+1,9))*12,NA()))),0),42)*'Aturan &amp; Tarif'!$B$4,2)</f>
        <v>2384.76</v>
      </c>
      <c r="K674" s="42" t="n">
        <f aca="false">'Aturan &amp; Tarif'!$B$5</f>
        <v>2050</v>
      </c>
      <c r="L674" s="42" t="n">
        <f aca="false">'Aturan &amp; Tarif'!$B$6</f>
        <v>350</v>
      </c>
      <c r="M674" s="35" t="n">
        <f aca="false">I674+J674+K674+L674</f>
        <v>6734.76</v>
      </c>
      <c r="N674" s="45" t="s">
        <v>134</v>
      </c>
    </row>
    <row r="675" customFormat="false" ht="37.5" hidden="false" customHeight="true" outlineLevel="0" collapsed="false">
      <c r="A675" s="39"/>
      <c r="B675" s="40" t="s">
        <v>430</v>
      </c>
      <c r="C675" s="41" t="s">
        <v>138</v>
      </c>
      <c r="D675" s="41" t="s">
        <v>108</v>
      </c>
      <c r="E675" s="42" t="n">
        <v>1500</v>
      </c>
      <c r="F675" s="42" t="n">
        <v>600</v>
      </c>
      <c r="G675" s="42" t="n">
        <v>250</v>
      </c>
      <c r="H675" s="43" t="n">
        <v>1</v>
      </c>
      <c r="I675" s="34" t="n">
        <f aca="false">E675*H675+N(F675)+N(G675)</f>
        <v>2350</v>
      </c>
      <c r="J675" s="42" t="n">
        <f aca="false">ROUND(IFERROR(ROUND(IF(OR(ISNUMBER(SEARCH("week",C675)),ISNUMBER(SEARCH("minggu",C675))),IFERROR(_xlfn.NUMBERVALUE(SUBSTITUTE(LEFT(TRIM(C675),FIND(" ",TRIM(C675)&amp;" ")-1),",","."),"."),LEFT(SUBSTITUTE(LEFT(TRIM(C675),FIND(" ",TRIM(C675)&amp;" ")-1),",","."),FIND("/",SUBSTITUTE(LEFT(TRIM(C675),FIND(" ",TRIM(C675)&amp;" ")-1),",","."))-1)/MID(SUBSTITUTE(LEFT(TRIM(C675),FIND(" ",TRIM(C675)&amp;" ")-1),",","."),FIND("/",SUBSTITUTE(LEFT(TRIM(C675),FIND(" ",TRIM(C675)&amp;" ")-1),",","."))+1,9))*12/52,IF(ISNUMBER(SEARCH("month",C675)),IFERROR(_xlfn.NUMBERVALUE(SUBSTITUTE(LEFT(TRIM(C675),FIND(" ",TRIM(C675)&amp;" ")-1),",","."),"."),LEFT(SUBSTITUTE(LEFT(TRIM(C675),FIND(" ",TRIM(C675)&amp;" ")-1),",","."),FIND("/",SUBSTITUTE(LEFT(TRIM(C675),FIND(" ",TRIM(C675)&amp;" ")-1),",","."))-1)/MID(SUBSTITUTE(LEFT(TRIM(C675),FIND(" ",TRIM(C675)&amp;" ")-1),",","."),FIND("/",SUBSTITUTE(LEFT(TRIM(C675),FIND(" ",TRIM(C675)&amp;" ")-1),",","."))+1,9)),IF(ISNUMBER(SEARCH("yea",C675)),IFERROR(_xlfn.NUMBERVALUE(SUBSTITUTE(LEFT(TRIM(C675),FIND(" ",TRIM(C675)&amp;" ")-1),",","."),"."),LEFT(SUBSTITUTE(LEFT(TRIM(C675),FIND(" ",TRIM(C675)&amp;" ")-1),",","."),FIND("/",SUBSTITUTE(LEFT(TRIM(C675),FIND(" ",TRIM(C675)&amp;" ")-1),",","."))-1)/MID(SUBSTITUTE(LEFT(TRIM(C675),FIND(" ",TRIM(C675)&amp;" ")-1),",","."),FIND("/",SUBSTITUTE(LEFT(TRIM(C675),FIND(" ",TRIM(C675)&amp;" ")-1),",","."))+1,9))*12,NA()))),0),30)*'Aturan &amp; Tarif'!$B$4,2)</f>
        <v>1703.4</v>
      </c>
      <c r="K675" s="42" t="n">
        <f aca="false">'Aturan &amp; Tarif'!$B$5</f>
        <v>2050</v>
      </c>
      <c r="L675" s="42" t="n">
        <f aca="false">'Aturan &amp; Tarif'!$B$6</f>
        <v>350</v>
      </c>
      <c r="M675" s="35" t="n">
        <f aca="false">I675+J675+K675+L675</f>
        <v>6453.4</v>
      </c>
      <c r="N675" s="45" t="s">
        <v>134</v>
      </c>
    </row>
    <row r="676" customFormat="false" ht="14.25" hidden="false" customHeight="true" outlineLevel="0" collapsed="false">
      <c r="A676" s="39"/>
      <c r="B676" s="40" t="s">
        <v>2325</v>
      </c>
      <c r="C676" s="41" t="s">
        <v>107</v>
      </c>
      <c r="D676" s="41" t="s">
        <v>108</v>
      </c>
      <c r="E676" s="42" t="n">
        <v>2500</v>
      </c>
      <c r="F676" s="42" t="n">
        <v>1000</v>
      </c>
      <c r="G676" s="42" t="n">
        <v>250</v>
      </c>
      <c r="H676" s="43" t="n">
        <v>1</v>
      </c>
      <c r="I676" s="34" t="n">
        <f aca="false">E676*H676+N(F676)+N(G676)</f>
        <v>3750</v>
      </c>
      <c r="J676" s="42" t="n">
        <f aca="false">ROUND(IFERROR(ROUND(IF(OR(ISNUMBER(SEARCH("week",C676)),ISNUMBER(SEARCH("minggu",C676))),IFERROR(_xlfn.NUMBERVALUE(SUBSTITUTE(LEFT(TRIM(C676),FIND(" ",TRIM(C676)&amp;" ")-1),",","."),"."),LEFT(SUBSTITUTE(LEFT(TRIM(C676),FIND(" ",TRIM(C676)&amp;" ")-1),",","."),FIND("/",SUBSTITUTE(LEFT(TRIM(C676),FIND(" ",TRIM(C676)&amp;" ")-1),",","."))-1)/MID(SUBSTITUTE(LEFT(TRIM(C676),FIND(" ",TRIM(C676)&amp;" ")-1),",","."),FIND("/",SUBSTITUTE(LEFT(TRIM(C676),FIND(" ",TRIM(C676)&amp;" ")-1),",","."))+1,9))*12/52,IF(ISNUMBER(SEARCH("month",C676)),IFERROR(_xlfn.NUMBERVALUE(SUBSTITUTE(LEFT(TRIM(C676),FIND(" ",TRIM(C676)&amp;" ")-1),",","."),"."),LEFT(SUBSTITUTE(LEFT(TRIM(C676),FIND(" ",TRIM(C676)&amp;" ")-1),",","."),FIND("/",SUBSTITUTE(LEFT(TRIM(C676),FIND(" ",TRIM(C676)&amp;" ")-1),",","."))-1)/MID(SUBSTITUTE(LEFT(TRIM(C676),FIND(" ",TRIM(C676)&amp;" ")-1),",","."),FIND("/",SUBSTITUTE(LEFT(TRIM(C676),FIND(" ",TRIM(C676)&amp;" ")-1),",","."))+1,9)),IF(ISNUMBER(SEARCH("yea",C676)),IFERROR(_xlfn.NUMBERVALUE(SUBSTITUTE(LEFT(TRIM(C676),FIND(" ",TRIM(C676)&amp;" ")-1),",","."),"."),LEFT(SUBSTITUTE(LEFT(TRIM(C676),FIND(" ",TRIM(C676)&amp;" ")-1),",","."),FIND("/",SUBSTITUTE(LEFT(TRIM(C676),FIND(" ",TRIM(C676)&amp;" ")-1),",","."))-1)/MID(SUBSTITUTE(LEFT(TRIM(C676),FIND(" ",TRIM(C676)&amp;" ")-1),",","."),FIND("/",SUBSTITUTE(LEFT(TRIM(C676),FIND(" ",TRIM(C676)&amp;" ")-1),",","."))+1,9))*12,NA()))),0),24)*'Aturan &amp; Tarif'!$B$4,2)</f>
        <v>1362.72</v>
      </c>
      <c r="K676" s="42" t="n">
        <f aca="false">'Aturan &amp; Tarif'!$B$5</f>
        <v>2050</v>
      </c>
      <c r="L676" s="42" t="n">
        <f aca="false">'Aturan &amp; Tarif'!$B$6</f>
        <v>350</v>
      </c>
      <c r="M676" s="35" t="n">
        <f aca="false">I676+J676+K676+L676</f>
        <v>7512.72</v>
      </c>
      <c r="N676" s="44" t="s">
        <v>131</v>
      </c>
    </row>
    <row r="677" customFormat="false" ht="25.5" hidden="false" customHeight="true" outlineLevel="0" collapsed="false">
      <c r="A677" s="39" t="s">
        <v>2326</v>
      </c>
      <c r="B677" s="40" t="s">
        <v>1651</v>
      </c>
      <c r="C677" s="41" t="s">
        <v>107</v>
      </c>
      <c r="D677" s="41" t="s">
        <v>108</v>
      </c>
      <c r="E677" s="42" t="n">
        <v>3650</v>
      </c>
      <c r="F677" s="42" t="n">
        <v>2500</v>
      </c>
      <c r="G677" s="42" t="n">
        <v>300</v>
      </c>
      <c r="H677" s="43" t="n">
        <v>1</v>
      </c>
      <c r="I677" s="34" t="n">
        <f aca="false">E677*H677+N(F677)+N(G677)</f>
        <v>6450</v>
      </c>
      <c r="J677" s="42" t="n">
        <f aca="false">ROUND(IFERROR(ROUND(IF(OR(ISNUMBER(SEARCH("week",C677)),ISNUMBER(SEARCH("minggu",C677))),IFERROR(_xlfn.NUMBERVALUE(SUBSTITUTE(LEFT(TRIM(C677),FIND(" ",TRIM(C677)&amp;" ")-1),",","."),"."),LEFT(SUBSTITUTE(LEFT(TRIM(C677),FIND(" ",TRIM(C677)&amp;" ")-1),",","."),FIND("/",SUBSTITUTE(LEFT(TRIM(C677),FIND(" ",TRIM(C677)&amp;" ")-1),",","."))-1)/MID(SUBSTITUTE(LEFT(TRIM(C677),FIND(" ",TRIM(C677)&amp;" ")-1),",","."),FIND("/",SUBSTITUTE(LEFT(TRIM(C677),FIND(" ",TRIM(C677)&amp;" ")-1),",","."))+1,9))*12/52,IF(ISNUMBER(SEARCH("month",C677)),IFERROR(_xlfn.NUMBERVALUE(SUBSTITUTE(LEFT(TRIM(C677),FIND(" ",TRIM(C677)&amp;" ")-1),",","."),"."),LEFT(SUBSTITUTE(LEFT(TRIM(C677),FIND(" ",TRIM(C677)&amp;" ")-1),",","."),FIND("/",SUBSTITUTE(LEFT(TRIM(C677),FIND(" ",TRIM(C677)&amp;" ")-1),",","."))-1)/MID(SUBSTITUTE(LEFT(TRIM(C677),FIND(" ",TRIM(C677)&amp;" ")-1),",","."),FIND("/",SUBSTITUTE(LEFT(TRIM(C677),FIND(" ",TRIM(C677)&amp;" ")-1),",","."))+1,9)),IF(ISNUMBER(SEARCH("yea",C677)),IFERROR(_xlfn.NUMBERVALUE(SUBSTITUTE(LEFT(TRIM(C677),FIND(" ",TRIM(C677)&amp;" ")-1),",","."),"."),LEFT(SUBSTITUTE(LEFT(TRIM(C677),FIND(" ",TRIM(C677)&amp;" ")-1),",","."),FIND("/",SUBSTITUTE(LEFT(TRIM(C677),FIND(" ",TRIM(C677)&amp;" ")-1),",","."))-1)/MID(SUBSTITUTE(LEFT(TRIM(C677),FIND(" ",TRIM(C677)&amp;" ")-1),",","."),FIND("/",SUBSTITUTE(LEFT(TRIM(C677),FIND(" ",TRIM(C677)&amp;" ")-1),",","."))+1,9))*12,NA()))),0),24)*'Aturan &amp; Tarif'!$B$4,2)</f>
        <v>1362.72</v>
      </c>
      <c r="K677" s="42" t="n">
        <f aca="false">'Aturan &amp; Tarif'!$B$5</f>
        <v>2050</v>
      </c>
      <c r="L677" s="42" t="n">
        <f aca="false">'Aturan &amp; Tarif'!$B$6</f>
        <v>350</v>
      </c>
      <c r="M677" s="35" t="n">
        <f aca="false">I677+J677+K677+L677</f>
        <v>10212.72</v>
      </c>
      <c r="N677" s="45" t="s">
        <v>134</v>
      </c>
    </row>
    <row r="678" customFormat="false" ht="25.5" hidden="false" customHeight="true" outlineLevel="0" collapsed="false">
      <c r="A678" s="39"/>
      <c r="B678" s="40" t="s">
        <v>465</v>
      </c>
      <c r="C678" s="41" t="s">
        <v>107</v>
      </c>
      <c r="D678" s="41" t="s">
        <v>108</v>
      </c>
      <c r="E678" s="42" t="n">
        <v>1875</v>
      </c>
      <c r="F678" s="42" t="n">
        <v>500</v>
      </c>
      <c r="G678" s="42" t="n">
        <v>300</v>
      </c>
      <c r="H678" s="43" t="n">
        <v>1</v>
      </c>
      <c r="I678" s="34" t="n">
        <f aca="false">E678*H678+N(F678)+N(G678)</f>
        <v>2675</v>
      </c>
      <c r="J678" s="42" t="n">
        <f aca="false">ROUND(IFERROR(ROUND(IF(OR(ISNUMBER(SEARCH("week",C678)),ISNUMBER(SEARCH("minggu",C678))),IFERROR(_xlfn.NUMBERVALUE(SUBSTITUTE(LEFT(TRIM(C678),FIND(" ",TRIM(C678)&amp;" ")-1),",","."),"."),LEFT(SUBSTITUTE(LEFT(TRIM(C678),FIND(" ",TRIM(C678)&amp;" ")-1),",","."),FIND("/",SUBSTITUTE(LEFT(TRIM(C678),FIND(" ",TRIM(C678)&amp;" ")-1),",","."))-1)/MID(SUBSTITUTE(LEFT(TRIM(C678),FIND(" ",TRIM(C678)&amp;" ")-1),",","."),FIND("/",SUBSTITUTE(LEFT(TRIM(C678),FIND(" ",TRIM(C678)&amp;" ")-1),",","."))+1,9))*12/52,IF(ISNUMBER(SEARCH("month",C678)),IFERROR(_xlfn.NUMBERVALUE(SUBSTITUTE(LEFT(TRIM(C678),FIND(" ",TRIM(C678)&amp;" ")-1),",","."),"."),LEFT(SUBSTITUTE(LEFT(TRIM(C678),FIND(" ",TRIM(C678)&amp;" ")-1),",","."),FIND("/",SUBSTITUTE(LEFT(TRIM(C678),FIND(" ",TRIM(C678)&amp;" ")-1),",","."))-1)/MID(SUBSTITUTE(LEFT(TRIM(C678),FIND(" ",TRIM(C678)&amp;" ")-1),",","."),FIND("/",SUBSTITUTE(LEFT(TRIM(C678),FIND(" ",TRIM(C678)&amp;" ")-1),",","."))+1,9)),IF(ISNUMBER(SEARCH("yea",C678)),IFERROR(_xlfn.NUMBERVALUE(SUBSTITUTE(LEFT(TRIM(C678),FIND(" ",TRIM(C678)&amp;" ")-1),",","."),"."),LEFT(SUBSTITUTE(LEFT(TRIM(C678),FIND(" ",TRIM(C678)&amp;" ")-1),",","."),FIND("/",SUBSTITUTE(LEFT(TRIM(C678),FIND(" ",TRIM(C678)&amp;" ")-1),",","."))-1)/MID(SUBSTITUTE(LEFT(TRIM(C678),FIND(" ",TRIM(C678)&amp;" ")-1),",","."),FIND("/",SUBSTITUTE(LEFT(TRIM(C678),FIND(" ",TRIM(C678)&amp;" ")-1),",","."))+1,9))*12,NA()))),0),24)*'Aturan &amp; Tarif'!$B$4,2)</f>
        <v>1362.72</v>
      </c>
      <c r="K678" s="42" t="n">
        <f aca="false">'Aturan &amp; Tarif'!$B$5</f>
        <v>2050</v>
      </c>
      <c r="L678" s="42" t="n">
        <f aca="false">'Aturan &amp; Tarif'!$B$6</f>
        <v>350</v>
      </c>
      <c r="M678" s="35" t="n">
        <f aca="false">I678+J678+K678+L678</f>
        <v>6437.72</v>
      </c>
      <c r="N678" s="44" t="s">
        <v>1652</v>
      </c>
    </row>
    <row r="679" customFormat="false" ht="25.5" hidden="false" customHeight="true" outlineLevel="0" collapsed="false">
      <c r="A679" s="39"/>
      <c r="B679" s="40" t="s">
        <v>470</v>
      </c>
      <c r="C679" s="41" t="s">
        <v>107</v>
      </c>
      <c r="D679" s="41" t="s">
        <v>108</v>
      </c>
      <c r="E679" s="42" t="n">
        <v>2750</v>
      </c>
      <c r="F679" s="42"/>
      <c r="G679" s="42" t="n">
        <v>300</v>
      </c>
      <c r="H679" s="43" t="n">
        <v>1</v>
      </c>
      <c r="I679" s="34" t="n">
        <f aca="false">E679*H679+N(F679)+N(G679)</f>
        <v>3050</v>
      </c>
      <c r="J679" s="42" t="n">
        <f aca="false">ROUND(IFERROR(ROUND(IF(OR(ISNUMBER(SEARCH("week",C679)),ISNUMBER(SEARCH("minggu",C679))),IFERROR(_xlfn.NUMBERVALUE(SUBSTITUTE(LEFT(TRIM(C679),FIND(" ",TRIM(C679)&amp;" ")-1),",","."),"."),LEFT(SUBSTITUTE(LEFT(TRIM(C679),FIND(" ",TRIM(C679)&amp;" ")-1),",","."),FIND("/",SUBSTITUTE(LEFT(TRIM(C679),FIND(" ",TRIM(C679)&amp;" ")-1),",","."))-1)/MID(SUBSTITUTE(LEFT(TRIM(C679),FIND(" ",TRIM(C679)&amp;" ")-1),",","."),FIND("/",SUBSTITUTE(LEFT(TRIM(C679),FIND(" ",TRIM(C679)&amp;" ")-1),",","."))+1,9))*12/52,IF(ISNUMBER(SEARCH("month",C679)),IFERROR(_xlfn.NUMBERVALUE(SUBSTITUTE(LEFT(TRIM(C679),FIND(" ",TRIM(C679)&amp;" ")-1),",","."),"."),LEFT(SUBSTITUTE(LEFT(TRIM(C679),FIND(" ",TRIM(C679)&amp;" ")-1),",","."),FIND("/",SUBSTITUTE(LEFT(TRIM(C679),FIND(" ",TRIM(C679)&amp;" ")-1),",","."))-1)/MID(SUBSTITUTE(LEFT(TRIM(C679),FIND(" ",TRIM(C679)&amp;" ")-1),",","."),FIND("/",SUBSTITUTE(LEFT(TRIM(C679),FIND(" ",TRIM(C679)&amp;" ")-1),",","."))+1,9)),IF(ISNUMBER(SEARCH("yea",C679)),IFERROR(_xlfn.NUMBERVALUE(SUBSTITUTE(LEFT(TRIM(C679),FIND(" ",TRIM(C679)&amp;" ")-1),",","."),"."),LEFT(SUBSTITUTE(LEFT(TRIM(C679),FIND(" ",TRIM(C679)&amp;" ")-1),",","."),FIND("/",SUBSTITUTE(LEFT(TRIM(C679),FIND(" ",TRIM(C679)&amp;" ")-1),",","."))-1)/MID(SUBSTITUTE(LEFT(TRIM(C679),FIND(" ",TRIM(C679)&amp;" ")-1),",","."),FIND("/",SUBSTITUTE(LEFT(TRIM(C679),FIND(" ",TRIM(C679)&amp;" ")-1),",","."))+1,9))*12,NA()))),0),24)*'Aturan &amp; Tarif'!$B$4,2)</f>
        <v>1362.72</v>
      </c>
      <c r="K679" s="42" t="n">
        <f aca="false">'Aturan &amp; Tarif'!$B$5</f>
        <v>2050</v>
      </c>
      <c r="L679" s="42" t="n">
        <f aca="false">'Aturan &amp; Tarif'!$B$6</f>
        <v>350</v>
      </c>
      <c r="M679" s="35" t="n">
        <f aca="false">I679+J679+K679+L679</f>
        <v>6812.72</v>
      </c>
      <c r="N679" s="45" t="s">
        <v>1653</v>
      </c>
    </row>
    <row r="680" customFormat="false" ht="25.5" hidden="false" customHeight="true" outlineLevel="0" collapsed="false">
      <c r="A680" s="39"/>
      <c r="B680" s="40" t="s">
        <v>2327</v>
      </c>
      <c r="C680" s="41" t="s">
        <v>138</v>
      </c>
      <c r="D680" s="41" t="s">
        <v>108</v>
      </c>
      <c r="E680" s="42" t="n">
        <v>2300</v>
      </c>
      <c r="F680" s="42" t="n">
        <v>2250</v>
      </c>
      <c r="G680" s="42" t="n">
        <v>300</v>
      </c>
      <c r="H680" s="43" t="n">
        <v>1</v>
      </c>
      <c r="I680" s="34" t="n">
        <f aca="false">E680*H680+N(F680)+N(G680)</f>
        <v>4850</v>
      </c>
      <c r="J680" s="42" t="n">
        <f aca="false">ROUND(IFERROR(ROUND(IF(OR(ISNUMBER(SEARCH("week",C680)),ISNUMBER(SEARCH("minggu",C680))),IFERROR(_xlfn.NUMBERVALUE(SUBSTITUTE(LEFT(TRIM(C680),FIND(" ",TRIM(C680)&amp;" ")-1),",","."),"."),LEFT(SUBSTITUTE(LEFT(TRIM(C680),FIND(" ",TRIM(C680)&amp;" ")-1),",","."),FIND("/",SUBSTITUTE(LEFT(TRIM(C680),FIND(" ",TRIM(C680)&amp;" ")-1),",","."))-1)/MID(SUBSTITUTE(LEFT(TRIM(C680),FIND(" ",TRIM(C680)&amp;" ")-1),",","."),FIND("/",SUBSTITUTE(LEFT(TRIM(C680),FIND(" ",TRIM(C680)&amp;" ")-1),",","."))+1,9))*12/52,IF(ISNUMBER(SEARCH("month",C680)),IFERROR(_xlfn.NUMBERVALUE(SUBSTITUTE(LEFT(TRIM(C680),FIND(" ",TRIM(C680)&amp;" ")-1),",","."),"."),LEFT(SUBSTITUTE(LEFT(TRIM(C680),FIND(" ",TRIM(C680)&amp;" ")-1),",","."),FIND("/",SUBSTITUTE(LEFT(TRIM(C680),FIND(" ",TRIM(C680)&amp;" ")-1),",","."))-1)/MID(SUBSTITUTE(LEFT(TRIM(C680),FIND(" ",TRIM(C680)&amp;" ")-1),",","."),FIND("/",SUBSTITUTE(LEFT(TRIM(C680),FIND(" ",TRIM(C680)&amp;" ")-1),",","."))+1,9)),IF(ISNUMBER(SEARCH("yea",C680)),IFERROR(_xlfn.NUMBERVALUE(SUBSTITUTE(LEFT(TRIM(C680),FIND(" ",TRIM(C680)&amp;" ")-1),",","."),"."),LEFT(SUBSTITUTE(LEFT(TRIM(C680),FIND(" ",TRIM(C680)&amp;" ")-1),",","."),FIND("/",SUBSTITUTE(LEFT(TRIM(C680),FIND(" ",TRIM(C680)&amp;" ")-1),",","."))-1)/MID(SUBSTITUTE(LEFT(TRIM(C680),FIND(" ",TRIM(C680)&amp;" ")-1),",","."),FIND("/",SUBSTITUTE(LEFT(TRIM(C680),FIND(" ",TRIM(C680)&amp;" ")-1),",","."))+1,9))*12,NA()))),0),30)*'Aturan &amp; Tarif'!$B$4,2)</f>
        <v>1703.4</v>
      </c>
      <c r="K680" s="42" t="n">
        <f aca="false">'Aturan &amp; Tarif'!$B$5</f>
        <v>2050</v>
      </c>
      <c r="L680" s="42" t="n">
        <f aca="false">'Aturan &amp; Tarif'!$B$6</f>
        <v>350</v>
      </c>
      <c r="M680" s="35" t="n">
        <f aca="false">I680+J680+K680+L680</f>
        <v>8953.4</v>
      </c>
      <c r="N680" s="44" t="s">
        <v>1655</v>
      </c>
    </row>
    <row r="681" customFormat="false" ht="129" hidden="false" customHeight="true" outlineLevel="0" collapsed="false">
      <c r="A681" s="39"/>
      <c r="B681" s="40" t="s">
        <v>2328</v>
      </c>
      <c r="C681" s="41" t="s">
        <v>191</v>
      </c>
      <c r="D681" s="41" t="s">
        <v>108</v>
      </c>
      <c r="E681" s="42" t="n">
        <v>3800</v>
      </c>
      <c r="F681" s="42"/>
      <c r="G681" s="42" t="n">
        <v>300</v>
      </c>
      <c r="H681" s="43" t="n">
        <v>1</v>
      </c>
      <c r="I681" s="34" t="n">
        <f aca="false">E681*H681+N(F681)+N(G681)</f>
        <v>4100</v>
      </c>
      <c r="J681" s="42" t="n">
        <f aca="false">ROUND(IFERROR(ROUND(IF(OR(ISNUMBER(SEARCH("week",C681)),ISNUMBER(SEARCH("minggu",C681))),IFERROR(_xlfn.NUMBERVALUE(SUBSTITUTE(LEFT(TRIM(C681),FIND(" ",TRIM(C681)&amp;" ")-1),",","."),"."),LEFT(SUBSTITUTE(LEFT(TRIM(C681),FIND(" ",TRIM(C681)&amp;" ")-1),",","."),FIND("/",SUBSTITUTE(LEFT(TRIM(C681),FIND(" ",TRIM(C681)&amp;" ")-1),",","."))-1)/MID(SUBSTITUTE(LEFT(TRIM(C681),FIND(" ",TRIM(C681)&amp;" ")-1),",","."),FIND("/",SUBSTITUTE(LEFT(TRIM(C681),FIND(" ",TRIM(C681)&amp;" ")-1),",","."))+1,9))*12/52,IF(ISNUMBER(SEARCH("month",C681)),IFERROR(_xlfn.NUMBERVALUE(SUBSTITUTE(LEFT(TRIM(C681),FIND(" ",TRIM(C681)&amp;" ")-1),",","."),"."),LEFT(SUBSTITUTE(LEFT(TRIM(C681),FIND(" ",TRIM(C681)&amp;" ")-1),",","."),FIND("/",SUBSTITUTE(LEFT(TRIM(C681),FIND(" ",TRIM(C681)&amp;" ")-1),",","."))-1)/MID(SUBSTITUTE(LEFT(TRIM(C681),FIND(" ",TRIM(C681)&amp;" ")-1),",","."),FIND("/",SUBSTITUTE(LEFT(TRIM(C681),FIND(" ",TRIM(C681)&amp;" ")-1),",","."))+1,9)),IF(ISNUMBER(SEARCH("yea",C681)),IFERROR(_xlfn.NUMBERVALUE(SUBSTITUTE(LEFT(TRIM(C681),FIND(" ",TRIM(C681)&amp;" ")-1),",","."),"."),LEFT(SUBSTITUTE(LEFT(TRIM(C681),FIND(" ",TRIM(C681)&amp;" ")-1),",","."),FIND("/",SUBSTITUTE(LEFT(TRIM(C681),FIND(" ",TRIM(C681)&amp;" ")-1),",","."))-1)/MID(SUBSTITUTE(LEFT(TRIM(C681),FIND(" ",TRIM(C681)&amp;" ")-1),",","."),FIND("/",SUBSTITUTE(LEFT(TRIM(C681),FIND(" ",TRIM(C681)&amp;" ")-1),",","."))+1,9))*12,NA()))),0),48)*'Aturan &amp; Tarif'!$B$4,2)</f>
        <v>2725.44</v>
      </c>
      <c r="K681" s="42" t="n">
        <f aca="false">'Aturan &amp; Tarif'!$B$5</f>
        <v>2050</v>
      </c>
      <c r="L681" s="42" t="n">
        <f aca="false">'Aturan &amp; Tarif'!$B$6</f>
        <v>350</v>
      </c>
      <c r="M681" s="35" t="n">
        <f aca="false">I681+J681+K681+L681</f>
        <v>9225.44</v>
      </c>
      <c r="N681" s="45" t="s">
        <v>1658</v>
      </c>
    </row>
    <row r="682" customFormat="false" ht="14.25" hidden="false" customHeight="true" outlineLevel="0" collapsed="false">
      <c r="A682" s="39"/>
      <c r="B682" s="40" t="s">
        <v>2329</v>
      </c>
      <c r="C682" s="41" t="s">
        <v>191</v>
      </c>
      <c r="D682" s="41" t="s">
        <v>108</v>
      </c>
      <c r="E682" s="42" t="n">
        <v>3800</v>
      </c>
      <c r="F682" s="42"/>
      <c r="G682" s="42" t="n">
        <v>300</v>
      </c>
      <c r="H682" s="43" t="n">
        <v>1</v>
      </c>
      <c r="I682" s="34" t="n">
        <f aca="false">E682*H682+N(F682)+N(G682)</f>
        <v>4100</v>
      </c>
      <c r="J682" s="42" t="n">
        <f aca="false">ROUND(IFERROR(ROUND(IF(OR(ISNUMBER(SEARCH("week",C682)),ISNUMBER(SEARCH("minggu",C682))),IFERROR(_xlfn.NUMBERVALUE(SUBSTITUTE(LEFT(TRIM(C682),FIND(" ",TRIM(C682)&amp;" ")-1),",","."),"."),LEFT(SUBSTITUTE(LEFT(TRIM(C682),FIND(" ",TRIM(C682)&amp;" ")-1),",","."),FIND("/",SUBSTITUTE(LEFT(TRIM(C682),FIND(" ",TRIM(C682)&amp;" ")-1),",","."))-1)/MID(SUBSTITUTE(LEFT(TRIM(C682),FIND(" ",TRIM(C682)&amp;" ")-1),",","."),FIND("/",SUBSTITUTE(LEFT(TRIM(C682),FIND(" ",TRIM(C682)&amp;" ")-1),",","."))+1,9))*12/52,IF(ISNUMBER(SEARCH("month",C682)),IFERROR(_xlfn.NUMBERVALUE(SUBSTITUTE(LEFT(TRIM(C682),FIND(" ",TRIM(C682)&amp;" ")-1),",","."),"."),LEFT(SUBSTITUTE(LEFT(TRIM(C682),FIND(" ",TRIM(C682)&amp;" ")-1),",","."),FIND("/",SUBSTITUTE(LEFT(TRIM(C682),FIND(" ",TRIM(C682)&amp;" ")-1),",","."))-1)/MID(SUBSTITUTE(LEFT(TRIM(C682),FIND(" ",TRIM(C682)&amp;" ")-1),",","."),FIND("/",SUBSTITUTE(LEFT(TRIM(C682),FIND(" ",TRIM(C682)&amp;" ")-1),",","."))+1,9)),IF(ISNUMBER(SEARCH("yea",C682)),IFERROR(_xlfn.NUMBERVALUE(SUBSTITUTE(LEFT(TRIM(C682),FIND(" ",TRIM(C682)&amp;" ")-1),",","."),"."),LEFT(SUBSTITUTE(LEFT(TRIM(C682),FIND(" ",TRIM(C682)&amp;" ")-1),",","."),FIND("/",SUBSTITUTE(LEFT(TRIM(C682),FIND(" ",TRIM(C682)&amp;" ")-1),",","."))-1)/MID(SUBSTITUTE(LEFT(TRIM(C682),FIND(" ",TRIM(C682)&amp;" ")-1),",","."),FIND("/",SUBSTITUTE(LEFT(TRIM(C682),FIND(" ",TRIM(C682)&amp;" ")-1),",","."))+1,9))*12,NA()))),0),48)*'Aturan &amp; Tarif'!$B$4,2)</f>
        <v>2725.44</v>
      </c>
      <c r="K682" s="42" t="n">
        <f aca="false">'Aturan &amp; Tarif'!$B$5</f>
        <v>2050</v>
      </c>
      <c r="L682" s="42" t="n">
        <f aca="false">'Aturan &amp; Tarif'!$B$6</f>
        <v>350</v>
      </c>
      <c r="M682" s="35" t="n">
        <f aca="false">I682+J682+K682+L682</f>
        <v>9225.44</v>
      </c>
      <c r="N682" s="45" t="s">
        <v>1658</v>
      </c>
    </row>
    <row r="683" customFormat="false" ht="14.25" hidden="false" customHeight="true" outlineLevel="0" collapsed="false">
      <c r="A683" s="39"/>
      <c r="B683" s="40" t="s">
        <v>2330</v>
      </c>
      <c r="C683" s="41" t="s">
        <v>191</v>
      </c>
      <c r="D683" s="41" t="s">
        <v>108</v>
      </c>
      <c r="E683" s="42" t="n">
        <v>1800</v>
      </c>
      <c r="F683" s="42" t="n">
        <v>250</v>
      </c>
      <c r="G683" s="42" t="n">
        <v>300</v>
      </c>
      <c r="H683" s="43" t="n">
        <v>1</v>
      </c>
      <c r="I683" s="34" t="n">
        <f aca="false">E683*H683+N(F683)+N(G683)</f>
        <v>2350</v>
      </c>
      <c r="J683" s="42" t="n">
        <f aca="false">ROUND(IFERROR(ROUND(IF(OR(ISNUMBER(SEARCH("week",C683)),ISNUMBER(SEARCH("minggu",C683))),IFERROR(_xlfn.NUMBERVALUE(SUBSTITUTE(LEFT(TRIM(C683),FIND(" ",TRIM(C683)&amp;" ")-1),",","."),"."),LEFT(SUBSTITUTE(LEFT(TRIM(C683),FIND(" ",TRIM(C683)&amp;" ")-1),",","."),FIND("/",SUBSTITUTE(LEFT(TRIM(C683),FIND(" ",TRIM(C683)&amp;" ")-1),",","."))-1)/MID(SUBSTITUTE(LEFT(TRIM(C683),FIND(" ",TRIM(C683)&amp;" ")-1),",","."),FIND("/",SUBSTITUTE(LEFT(TRIM(C683),FIND(" ",TRIM(C683)&amp;" ")-1),",","."))+1,9))*12/52,IF(ISNUMBER(SEARCH("month",C683)),IFERROR(_xlfn.NUMBERVALUE(SUBSTITUTE(LEFT(TRIM(C683),FIND(" ",TRIM(C683)&amp;" ")-1),",","."),"."),LEFT(SUBSTITUTE(LEFT(TRIM(C683),FIND(" ",TRIM(C683)&amp;" ")-1),",","."),FIND("/",SUBSTITUTE(LEFT(TRIM(C683),FIND(" ",TRIM(C683)&amp;" ")-1),",","."))-1)/MID(SUBSTITUTE(LEFT(TRIM(C683),FIND(" ",TRIM(C683)&amp;" ")-1),",","."),FIND("/",SUBSTITUTE(LEFT(TRIM(C683),FIND(" ",TRIM(C683)&amp;" ")-1),",","."))+1,9)),IF(ISNUMBER(SEARCH("yea",C683)),IFERROR(_xlfn.NUMBERVALUE(SUBSTITUTE(LEFT(TRIM(C683),FIND(" ",TRIM(C683)&amp;" ")-1),",","."),"."),LEFT(SUBSTITUTE(LEFT(TRIM(C683),FIND(" ",TRIM(C683)&amp;" ")-1),",","."),FIND("/",SUBSTITUTE(LEFT(TRIM(C683),FIND(" ",TRIM(C683)&amp;" ")-1),",","."))-1)/MID(SUBSTITUTE(LEFT(TRIM(C683),FIND(" ",TRIM(C683)&amp;" ")-1),",","."),FIND("/",SUBSTITUTE(LEFT(TRIM(C683),FIND(" ",TRIM(C683)&amp;" ")-1),",","."))+1,9))*12,NA()))),0),48)*'Aturan &amp; Tarif'!$B$4,2)</f>
        <v>2725.44</v>
      </c>
      <c r="K683" s="42" t="n">
        <f aca="false">'Aturan &amp; Tarif'!$B$5</f>
        <v>2050</v>
      </c>
      <c r="L683" s="42" t="n">
        <f aca="false">'Aturan &amp; Tarif'!$B$6</f>
        <v>350</v>
      </c>
      <c r="M683" s="35" t="n">
        <f aca="false">I683+J683+K683+L683</f>
        <v>7475.44</v>
      </c>
      <c r="N683" s="45" t="s">
        <v>134</v>
      </c>
    </row>
    <row r="684" customFormat="false" ht="14.25" hidden="false" customHeight="true" outlineLevel="0" collapsed="false">
      <c r="A684" s="39"/>
      <c r="B684" s="40" t="s">
        <v>2331</v>
      </c>
      <c r="C684" s="41" t="s">
        <v>191</v>
      </c>
      <c r="D684" s="41" t="s">
        <v>108</v>
      </c>
      <c r="E684" s="42" t="n">
        <v>1800</v>
      </c>
      <c r="F684" s="42" t="n">
        <v>250</v>
      </c>
      <c r="G684" s="42" t="n">
        <v>300</v>
      </c>
      <c r="H684" s="43" t="n">
        <v>1</v>
      </c>
      <c r="I684" s="34" t="n">
        <f aca="false">E684*H684+N(F684)+N(G684)</f>
        <v>2350</v>
      </c>
      <c r="J684" s="42" t="n">
        <f aca="false">ROUND(IFERROR(ROUND(IF(OR(ISNUMBER(SEARCH("week",C684)),ISNUMBER(SEARCH("minggu",C684))),IFERROR(_xlfn.NUMBERVALUE(SUBSTITUTE(LEFT(TRIM(C684),FIND(" ",TRIM(C684)&amp;" ")-1),",","."),"."),LEFT(SUBSTITUTE(LEFT(TRIM(C684),FIND(" ",TRIM(C684)&amp;" ")-1),",","."),FIND("/",SUBSTITUTE(LEFT(TRIM(C684),FIND(" ",TRIM(C684)&amp;" ")-1),",","."))-1)/MID(SUBSTITUTE(LEFT(TRIM(C684),FIND(" ",TRIM(C684)&amp;" ")-1),",","."),FIND("/",SUBSTITUTE(LEFT(TRIM(C684),FIND(" ",TRIM(C684)&amp;" ")-1),",","."))+1,9))*12/52,IF(ISNUMBER(SEARCH("month",C684)),IFERROR(_xlfn.NUMBERVALUE(SUBSTITUTE(LEFT(TRIM(C684),FIND(" ",TRIM(C684)&amp;" ")-1),",","."),"."),LEFT(SUBSTITUTE(LEFT(TRIM(C684),FIND(" ",TRIM(C684)&amp;" ")-1),",","."),FIND("/",SUBSTITUTE(LEFT(TRIM(C684),FIND(" ",TRIM(C684)&amp;" ")-1),",","."))-1)/MID(SUBSTITUTE(LEFT(TRIM(C684),FIND(" ",TRIM(C684)&amp;" ")-1),",","."),FIND("/",SUBSTITUTE(LEFT(TRIM(C684),FIND(" ",TRIM(C684)&amp;" ")-1),",","."))+1,9)),IF(ISNUMBER(SEARCH("yea",C684)),IFERROR(_xlfn.NUMBERVALUE(SUBSTITUTE(LEFT(TRIM(C684),FIND(" ",TRIM(C684)&amp;" ")-1),",","."),"."),LEFT(SUBSTITUTE(LEFT(TRIM(C684),FIND(" ",TRIM(C684)&amp;" ")-1),",","."),FIND("/",SUBSTITUTE(LEFT(TRIM(C684),FIND(" ",TRIM(C684)&amp;" ")-1),",","."))-1)/MID(SUBSTITUTE(LEFT(TRIM(C684),FIND(" ",TRIM(C684)&amp;" ")-1),",","."),FIND("/",SUBSTITUTE(LEFT(TRIM(C684),FIND(" ",TRIM(C684)&amp;" ")-1),",","."))+1,9))*12,NA()))),0),48)*'Aturan &amp; Tarif'!$B$4,2)</f>
        <v>2725.44</v>
      </c>
      <c r="K684" s="42" t="n">
        <f aca="false">'Aturan &amp; Tarif'!$B$5</f>
        <v>2050</v>
      </c>
      <c r="L684" s="42" t="n">
        <f aca="false">'Aturan &amp; Tarif'!$B$6</f>
        <v>350</v>
      </c>
      <c r="M684" s="35" t="n">
        <f aca="false">I684+J684+K684+L684</f>
        <v>7475.44</v>
      </c>
      <c r="N684" s="45" t="s">
        <v>134</v>
      </c>
    </row>
    <row r="685" customFormat="false" ht="14.25" hidden="false" customHeight="true" outlineLevel="0" collapsed="false">
      <c r="A685" s="39"/>
      <c r="B685" s="40" t="s">
        <v>2332</v>
      </c>
      <c r="C685" s="41" t="s">
        <v>107</v>
      </c>
      <c r="D685" s="41" t="s">
        <v>108</v>
      </c>
      <c r="E685" s="42" t="n">
        <v>2800</v>
      </c>
      <c r="F685" s="42" t="n">
        <v>1000</v>
      </c>
      <c r="G685" s="42" t="n">
        <v>300</v>
      </c>
      <c r="H685" s="43" t="n">
        <v>1</v>
      </c>
      <c r="I685" s="34" t="n">
        <f aca="false">E685*H685+N(F685)+N(G685)</f>
        <v>4100</v>
      </c>
      <c r="J685" s="42" t="n">
        <f aca="false">ROUND(IFERROR(ROUND(IF(OR(ISNUMBER(SEARCH("week",C685)),ISNUMBER(SEARCH("minggu",C685))),IFERROR(_xlfn.NUMBERVALUE(SUBSTITUTE(LEFT(TRIM(C685),FIND(" ",TRIM(C685)&amp;" ")-1),",","."),"."),LEFT(SUBSTITUTE(LEFT(TRIM(C685),FIND(" ",TRIM(C685)&amp;" ")-1),",","."),FIND("/",SUBSTITUTE(LEFT(TRIM(C685),FIND(" ",TRIM(C685)&amp;" ")-1),",","."))-1)/MID(SUBSTITUTE(LEFT(TRIM(C685),FIND(" ",TRIM(C685)&amp;" ")-1),",","."),FIND("/",SUBSTITUTE(LEFT(TRIM(C685),FIND(" ",TRIM(C685)&amp;" ")-1),",","."))+1,9))*12/52,IF(ISNUMBER(SEARCH("month",C685)),IFERROR(_xlfn.NUMBERVALUE(SUBSTITUTE(LEFT(TRIM(C685),FIND(" ",TRIM(C685)&amp;" ")-1),",","."),"."),LEFT(SUBSTITUTE(LEFT(TRIM(C685),FIND(" ",TRIM(C685)&amp;" ")-1),",","."),FIND("/",SUBSTITUTE(LEFT(TRIM(C685),FIND(" ",TRIM(C685)&amp;" ")-1),",","."))-1)/MID(SUBSTITUTE(LEFT(TRIM(C685),FIND(" ",TRIM(C685)&amp;" ")-1),",","."),FIND("/",SUBSTITUTE(LEFT(TRIM(C685),FIND(" ",TRIM(C685)&amp;" ")-1),",","."))+1,9)),IF(ISNUMBER(SEARCH("yea",C685)),IFERROR(_xlfn.NUMBERVALUE(SUBSTITUTE(LEFT(TRIM(C685),FIND(" ",TRIM(C685)&amp;" ")-1),",","."),"."),LEFT(SUBSTITUTE(LEFT(TRIM(C685),FIND(" ",TRIM(C685)&amp;" ")-1),",","."),FIND("/",SUBSTITUTE(LEFT(TRIM(C685),FIND(" ",TRIM(C685)&amp;" ")-1),",","."))-1)/MID(SUBSTITUTE(LEFT(TRIM(C685),FIND(" ",TRIM(C685)&amp;" ")-1),",","."),FIND("/",SUBSTITUTE(LEFT(TRIM(C685),FIND(" ",TRIM(C685)&amp;" ")-1),",","."))+1,9))*12,NA()))),0),24)*'Aturan &amp; Tarif'!$B$4,2)</f>
        <v>1362.72</v>
      </c>
      <c r="K685" s="42" t="n">
        <f aca="false">'Aturan &amp; Tarif'!$B$5</f>
        <v>2050</v>
      </c>
      <c r="L685" s="42" t="n">
        <f aca="false">'Aturan &amp; Tarif'!$B$6</f>
        <v>350</v>
      </c>
      <c r="M685" s="35" t="n">
        <f aca="false">I685+J685+K685+L685</f>
        <v>7862.72</v>
      </c>
      <c r="N685" s="44" t="s">
        <v>131</v>
      </c>
    </row>
    <row r="686" customFormat="false" ht="37.5" hidden="false" customHeight="true" outlineLevel="0" collapsed="false">
      <c r="A686" s="29" t="s">
        <v>2333</v>
      </c>
      <c r="B686" s="30" t="s">
        <v>335</v>
      </c>
      <c r="C686" s="31" t="s">
        <v>127</v>
      </c>
      <c r="D686" s="31" t="s">
        <v>108</v>
      </c>
      <c r="E686" s="32" t="n">
        <v>4455</v>
      </c>
      <c r="F686" s="32" t="n">
        <v>300</v>
      </c>
      <c r="G686" s="32" t="n">
        <v>250</v>
      </c>
      <c r="H686" s="33" t="n">
        <v>2</v>
      </c>
      <c r="I686" s="34" t="n">
        <f aca="false">E686*H686+N(F686)+N(G686)</f>
        <v>9460</v>
      </c>
      <c r="J686" s="32" t="n">
        <f aca="false">ROUND(IFERROR(ROUND(IF(OR(ISNUMBER(SEARCH("week",C686)),ISNUMBER(SEARCH("minggu",C686))),IFERROR(_xlfn.NUMBERVALUE(SUBSTITUTE(LEFT(TRIM(C686),FIND(" ",TRIM(C686)&amp;" ")-1),",","."),"."),LEFT(SUBSTITUTE(LEFT(TRIM(C686),FIND(" ",TRIM(C686)&amp;" ")-1),",","."),FIND("/",SUBSTITUTE(LEFT(TRIM(C686),FIND(" ",TRIM(C686)&amp;" ")-1),",","."))-1)/MID(SUBSTITUTE(LEFT(TRIM(C686),FIND(" ",TRIM(C686)&amp;" ")-1),",","."),FIND("/",SUBSTITUTE(LEFT(TRIM(C686),FIND(" ",TRIM(C686)&amp;" ")-1),",","."))+1,9))*12/52,IF(ISNUMBER(SEARCH("month",C686)),IFERROR(_xlfn.NUMBERVALUE(SUBSTITUTE(LEFT(TRIM(C686),FIND(" ",TRIM(C686)&amp;" ")-1),",","."),"."),LEFT(SUBSTITUTE(LEFT(TRIM(C686),FIND(" ",TRIM(C686)&amp;" ")-1),",","."),FIND("/",SUBSTITUTE(LEFT(TRIM(C686),FIND(" ",TRIM(C686)&amp;" ")-1),",","."))-1)/MID(SUBSTITUTE(LEFT(TRIM(C686),FIND(" ",TRIM(C686)&amp;" ")-1),",","."),FIND("/",SUBSTITUTE(LEFT(TRIM(C686),FIND(" ",TRIM(C686)&amp;" ")-1),",","."))+1,9)),IF(ISNUMBER(SEARCH("yea",C686)),IFERROR(_xlfn.NUMBERVALUE(SUBSTITUTE(LEFT(TRIM(C686),FIND(" ",TRIM(C686)&amp;" ")-1),",","."),"."),LEFT(SUBSTITUTE(LEFT(TRIM(C686),FIND(" ",TRIM(C686)&amp;" ")-1),",","."),FIND("/",SUBSTITUTE(LEFT(TRIM(C686),FIND(" ",TRIM(C686)&amp;" ")-1),",","."))-1)/MID(SUBSTITUTE(LEFT(TRIM(C686),FIND(" ",TRIM(C686)&amp;" ")-1),",","."),FIND("/",SUBSTITUTE(LEFT(TRIM(C686),FIND(" ",TRIM(C686)&amp;" ")-1),",","."))+1,9))*12,NA()))),0),36)*'Aturan &amp; Tarif'!$B$4,2)</f>
        <v>2044.08</v>
      </c>
      <c r="K686" s="32" t="n">
        <f aca="false">'Aturan &amp; Tarif'!$B$5</f>
        <v>2050</v>
      </c>
      <c r="L686" s="32" t="n">
        <f aca="false">'Aturan &amp; Tarif'!$B$6</f>
        <v>350</v>
      </c>
      <c r="M686" s="35" t="n">
        <f aca="false">I686+J686+K686+L686</f>
        <v>13904.08</v>
      </c>
      <c r="N686" s="36" t="s">
        <v>2334</v>
      </c>
    </row>
    <row r="687" customFormat="false" ht="60" hidden="false" customHeight="true" outlineLevel="0" collapsed="false">
      <c r="A687" s="29"/>
      <c r="B687" s="30" t="s">
        <v>2335</v>
      </c>
      <c r="C687" s="31" t="s">
        <v>127</v>
      </c>
      <c r="D687" s="31" t="s">
        <v>108</v>
      </c>
      <c r="E687" s="32" t="n">
        <v>4455</v>
      </c>
      <c r="F687" s="32" t="n">
        <v>300</v>
      </c>
      <c r="G687" s="32" t="n">
        <v>250</v>
      </c>
      <c r="H687" s="33" t="n">
        <v>2</v>
      </c>
      <c r="I687" s="34" t="n">
        <f aca="false">E687*H687+N(F687)+N(G687)</f>
        <v>9460</v>
      </c>
      <c r="J687" s="32" t="n">
        <f aca="false">ROUND(IFERROR(ROUND(IF(OR(ISNUMBER(SEARCH("week",C687)),ISNUMBER(SEARCH("minggu",C687))),IFERROR(_xlfn.NUMBERVALUE(SUBSTITUTE(LEFT(TRIM(C687),FIND(" ",TRIM(C687)&amp;" ")-1),",","."),"."),LEFT(SUBSTITUTE(LEFT(TRIM(C687),FIND(" ",TRIM(C687)&amp;" ")-1),",","."),FIND("/",SUBSTITUTE(LEFT(TRIM(C687),FIND(" ",TRIM(C687)&amp;" ")-1),",","."))-1)/MID(SUBSTITUTE(LEFT(TRIM(C687),FIND(" ",TRIM(C687)&amp;" ")-1),",","."),FIND("/",SUBSTITUTE(LEFT(TRIM(C687),FIND(" ",TRIM(C687)&amp;" ")-1),",","."))+1,9))*12/52,IF(ISNUMBER(SEARCH("month",C687)),IFERROR(_xlfn.NUMBERVALUE(SUBSTITUTE(LEFT(TRIM(C687),FIND(" ",TRIM(C687)&amp;" ")-1),",","."),"."),LEFT(SUBSTITUTE(LEFT(TRIM(C687),FIND(" ",TRIM(C687)&amp;" ")-1),",","."),FIND("/",SUBSTITUTE(LEFT(TRIM(C687),FIND(" ",TRIM(C687)&amp;" ")-1),",","."))-1)/MID(SUBSTITUTE(LEFT(TRIM(C687),FIND(" ",TRIM(C687)&amp;" ")-1),",","."),FIND("/",SUBSTITUTE(LEFT(TRIM(C687),FIND(" ",TRIM(C687)&amp;" ")-1),",","."))+1,9)),IF(ISNUMBER(SEARCH("yea",C687)),IFERROR(_xlfn.NUMBERVALUE(SUBSTITUTE(LEFT(TRIM(C687),FIND(" ",TRIM(C687)&amp;" ")-1),",","."),"."),LEFT(SUBSTITUTE(LEFT(TRIM(C687),FIND(" ",TRIM(C687)&amp;" ")-1),",","."),FIND("/",SUBSTITUTE(LEFT(TRIM(C687),FIND(" ",TRIM(C687)&amp;" ")-1),",","."))-1)/MID(SUBSTITUTE(LEFT(TRIM(C687),FIND(" ",TRIM(C687)&amp;" ")-1),",","."),FIND("/",SUBSTITUTE(LEFT(TRIM(C687),FIND(" ",TRIM(C687)&amp;" ")-1),",","."))+1,9))*12,NA()))),0),36)*'Aturan &amp; Tarif'!$B$4,2)</f>
        <v>2044.08</v>
      </c>
      <c r="K687" s="32" t="n">
        <f aca="false">'Aturan &amp; Tarif'!$B$5</f>
        <v>2050</v>
      </c>
      <c r="L687" s="32" t="n">
        <f aca="false">'Aturan &amp; Tarif'!$B$6</f>
        <v>350</v>
      </c>
      <c r="M687" s="35" t="n">
        <f aca="false">I687+J687+K687+L687</f>
        <v>13904.08</v>
      </c>
      <c r="N687" s="36" t="s">
        <v>2334</v>
      </c>
    </row>
    <row r="688" customFormat="false" ht="25.5" hidden="false" customHeight="true" outlineLevel="0" collapsed="false">
      <c r="A688" s="29"/>
      <c r="B688" s="30" t="s">
        <v>2336</v>
      </c>
      <c r="C688" s="31" t="s">
        <v>127</v>
      </c>
      <c r="D688" s="31" t="s">
        <v>108</v>
      </c>
      <c r="E688" s="32" t="n">
        <v>4455</v>
      </c>
      <c r="F688" s="32" t="n">
        <v>300</v>
      </c>
      <c r="G688" s="32" t="n">
        <v>250</v>
      </c>
      <c r="H688" s="33" t="n">
        <v>2</v>
      </c>
      <c r="I688" s="34" t="n">
        <f aca="false">E688*H688+N(F688)+N(G688)</f>
        <v>9460</v>
      </c>
      <c r="J688" s="32" t="n">
        <f aca="false">ROUND(IFERROR(ROUND(IF(OR(ISNUMBER(SEARCH("week",C688)),ISNUMBER(SEARCH("minggu",C688))),IFERROR(_xlfn.NUMBERVALUE(SUBSTITUTE(LEFT(TRIM(C688),FIND(" ",TRIM(C688)&amp;" ")-1),",","."),"."),LEFT(SUBSTITUTE(LEFT(TRIM(C688),FIND(" ",TRIM(C688)&amp;" ")-1),",","."),FIND("/",SUBSTITUTE(LEFT(TRIM(C688),FIND(" ",TRIM(C688)&amp;" ")-1),",","."))-1)/MID(SUBSTITUTE(LEFT(TRIM(C688),FIND(" ",TRIM(C688)&amp;" ")-1),",","."),FIND("/",SUBSTITUTE(LEFT(TRIM(C688),FIND(" ",TRIM(C688)&amp;" ")-1),",","."))+1,9))*12/52,IF(ISNUMBER(SEARCH("month",C688)),IFERROR(_xlfn.NUMBERVALUE(SUBSTITUTE(LEFT(TRIM(C688),FIND(" ",TRIM(C688)&amp;" ")-1),",","."),"."),LEFT(SUBSTITUTE(LEFT(TRIM(C688),FIND(" ",TRIM(C688)&amp;" ")-1),",","."),FIND("/",SUBSTITUTE(LEFT(TRIM(C688),FIND(" ",TRIM(C688)&amp;" ")-1),",","."))-1)/MID(SUBSTITUTE(LEFT(TRIM(C688),FIND(" ",TRIM(C688)&amp;" ")-1),",","."),FIND("/",SUBSTITUTE(LEFT(TRIM(C688),FIND(" ",TRIM(C688)&amp;" ")-1),",","."))+1,9)),IF(ISNUMBER(SEARCH("yea",C688)),IFERROR(_xlfn.NUMBERVALUE(SUBSTITUTE(LEFT(TRIM(C688),FIND(" ",TRIM(C688)&amp;" ")-1),",","."),"."),LEFT(SUBSTITUTE(LEFT(TRIM(C688),FIND(" ",TRIM(C688)&amp;" ")-1),",","."),FIND("/",SUBSTITUTE(LEFT(TRIM(C688),FIND(" ",TRIM(C688)&amp;" ")-1),",","."))-1)/MID(SUBSTITUTE(LEFT(TRIM(C688),FIND(" ",TRIM(C688)&amp;" ")-1),",","."),FIND("/",SUBSTITUTE(LEFT(TRIM(C688),FIND(" ",TRIM(C688)&amp;" ")-1),",","."))+1,9))*12,NA()))),0),36)*'Aturan &amp; Tarif'!$B$4,2)</f>
        <v>2044.08</v>
      </c>
      <c r="K688" s="32" t="n">
        <f aca="false">'Aturan &amp; Tarif'!$B$5</f>
        <v>2050</v>
      </c>
      <c r="L688" s="32" t="n">
        <f aca="false">'Aturan &amp; Tarif'!$B$6</f>
        <v>350</v>
      </c>
      <c r="M688" s="35" t="n">
        <f aca="false">I688+J688+K688+L688</f>
        <v>13904.08</v>
      </c>
      <c r="N688" s="36" t="s">
        <v>2334</v>
      </c>
    </row>
    <row r="689" customFormat="false" ht="14.25" hidden="false" customHeight="true" outlineLevel="0" collapsed="false">
      <c r="A689" s="29"/>
      <c r="B689" s="30" t="s">
        <v>349</v>
      </c>
      <c r="C689" s="31" t="s">
        <v>107</v>
      </c>
      <c r="D689" s="31" t="s">
        <v>108</v>
      </c>
      <c r="E689" s="32" t="n">
        <v>5400</v>
      </c>
      <c r="F689" s="32" t="n">
        <v>250</v>
      </c>
      <c r="G689" s="32" t="n">
        <v>500</v>
      </c>
      <c r="H689" s="33" t="n">
        <v>2</v>
      </c>
      <c r="I689" s="34" t="n">
        <f aca="false">E689*H689+N(F689)+N(G689)</f>
        <v>11550</v>
      </c>
      <c r="J689" s="32" t="n">
        <f aca="false">ROUND(IFERROR(ROUND(IF(OR(ISNUMBER(SEARCH("week",C689)),ISNUMBER(SEARCH("minggu",C689))),IFERROR(_xlfn.NUMBERVALUE(SUBSTITUTE(LEFT(TRIM(C689),FIND(" ",TRIM(C689)&amp;" ")-1),",","."),"."),LEFT(SUBSTITUTE(LEFT(TRIM(C689),FIND(" ",TRIM(C689)&amp;" ")-1),",","."),FIND("/",SUBSTITUTE(LEFT(TRIM(C689),FIND(" ",TRIM(C689)&amp;" ")-1),",","."))-1)/MID(SUBSTITUTE(LEFT(TRIM(C689),FIND(" ",TRIM(C689)&amp;" ")-1),",","."),FIND("/",SUBSTITUTE(LEFT(TRIM(C689),FIND(" ",TRIM(C689)&amp;" ")-1),",","."))+1,9))*12/52,IF(ISNUMBER(SEARCH("month",C689)),IFERROR(_xlfn.NUMBERVALUE(SUBSTITUTE(LEFT(TRIM(C689),FIND(" ",TRIM(C689)&amp;" ")-1),",","."),"."),LEFT(SUBSTITUTE(LEFT(TRIM(C689),FIND(" ",TRIM(C689)&amp;" ")-1),",","."),FIND("/",SUBSTITUTE(LEFT(TRIM(C689),FIND(" ",TRIM(C689)&amp;" ")-1),",","."))-1)/MID(SUBSTITUTE(LEFT(TRIM(C689),FIND(" ",TRIM(C689)&amp;" ")-1),",","."),FIND("/",SUBSTITUTE(LEFT(TRIM(C689),FIND(" ",TRIM(C689)&amp;" ")-1),",","."))+1,9)),IF(ISNUMBER(SEARCH("yea",C689)),IFERROR(_xlfn.NUMBERVALUE(SUBSTITUTE(LEFT(TRIM(C689),FIND(" ",TRIM(C689)&amp;" ")-1),",","."),"."),LEFT(SUBSTITUTE(LEFT(TRIM(C689),FIND(" ",TRIM(C689)&amp;" ")-1),",","."),FIND("/",SUBSTITUTE(LEFT(TRIM(C689),FIND(" ",TRIM(C689)&amp;" ")-1),",","."))-1)/MID(SUBSTITUTE(LEFT(TRIM(C689),FIND(" ",TRIM(C689)&amp;" ")-1),",","."),FIND("/",SUBSTITUTE(LEFT(TRIM(C689),FIND(" ",TRIM(C689)&amp;" ")-1),",","."))+1,9))*12,NA()))),0),24)*'Aturan &amp; Tarif'!$B$4,2)</f>
        <v>1362.72</v>
      </c>
      <c r="K689" s="32" t="n">
        <f aca="false">'Aturan &amp; Tarif'!$B$5</f>
        <v>2050</v>
      </c>
      <c r="L689" s="32" t="n">
        <f aca="false">'Aturan &amp; Tarif'!$B$6</f>
        <v>350</v>
      </c>
      <c r="M689" s="35" t="n">
        <f aca="false">I689+J689+K689+L689</f>
        <v>15312.72</v>
      </c>
      <c r="N689" s="36" t="s">
        <v>2337</v>
      </c>
    </row>
    <row r="690" customFormat="false" ht="37.5" hidden="false" customHeight="true" outlineLevel="0" collapsed="false">
      <c r="A690" s="29"/>
      <c r="B690" s="30" t="s">
        <v>2338</v>
      </c>
      <c r="C690" s="31" t="s">
        <v>107</v>
      </c>
      <c r="D690" s="31" t="s">
        <v>108</v>
      </c>
      <c r="E690" s="32" t="n">
        <v>5400</v>
      </c>
      <c r="F690" s="32" t="n">
        <v>250</v>
      </c>
      <c r="G690" s="32" t="n">
        <v>500</v>
      </c>
      <c r="H690" s="33" t="n">
        <v>2</v>
      </c>
      <c r="I690" s="34" t="n">
        <f aca="false">E690*H690+N(F690)+N(G690)</f>
        <v>11550</v>
      </c>
      <c r="J690" s="32" t="n">
        <f aca="false">ROUND(IFERROR(ROUND(IF(OR(ISNUMBER(SEARCH("week",C690)),ISNUMBER(SEARCH("minggu",C690))),IFERROR(_xlfn.NUMBERVALUE(SUBSTITUTE(LEFT(TRIM(C690),FIND(" ",TRIM(C690)&amp;" ")-1),",","."),"."),LEFT(SUBSTITUTE(LEFT(TRIM(C690),FIND(" ",TRIM(C690)&amp;" ")-1),",","."),FIND("/",SUBSTITUTE(LEFT(TRIM(C690),FIND(" ",TRIM(C690)&amp;" ")-1),",","."))-1)/MID(SUBSTITUTE(LEFT(TRIM(C690),FIND(" ",TRIM(C690)&amp;" ")-1),",","."),FIND("/",SUBSTITUTE(LEFT(TRIM(C690),FIND(" ",TRIM(C690)&amp;" ")-1),",","."))+1,9))*12/52,IF(ISNUMBER(SEARCH("month",C690)),IFERROR(_xlfn.NUMBERVALUE(SUBSTITUTE(LEFT(TRIM(C690),FIND(" ",TRIM(C690)&amp;" ")-1),",","."),"."),LEFT(SUBSTITUTE(LEFT(TRIM(C690),FIND(" ",TRIM(C690)&amp;" ")-1),",","."),FIND("/",SUBSTITUTE(LEFT(TRIM(C690),FIND(" ",TRIM(C690)&amp;" ")-1),",","."))-1)/MID(SUBSTITUTE(LEFT(TRIM(C690),FIND(" ",TRIM(C690)&amp;" ")-1),",","."),FIND("/",SUBSTITUTE(LEFT(TRIM(C690),FIND(" ",TRIM(C690)&amp;" ")-1),",","."))+1,9)),IF(ISNUMBER(SEARCH("yea",C690)),IFERROR(_xlfn.NUMBERVALUE(SUBSTITUTE(LEFT(TRIM(C690),FIND(" ",TRIM(C690)&amp;" ")-1),",","."),"."),LEFT(SUBSTITUTE(LEFT(TRIM(C690),FIND(" ",TRIM(C690)&amp;" ")-1),",","."),FIND("/",SUBSTITUTE(LEFT(TRIM(C690),FIND(" ",TRIM(C690)&amp;" ")-1),",","."))-1)/MID(SUBSTITUTE(LEFT(TRIM(C690),FIND(" ",TRIM(C690)&amp;" ")-1),",","."),FIND("/",SUBSTITUTE(LEFT(TRIM(C690),FIND(" ",TRIM(C690)&amp;" ")-1),",","."))+1,9))*12,NA()))),0),24)*'Aturan &amp; Tarif'!$B$4,2)</f>
        <v>1362.72</v>
      </c>
      <c r="K690" s="32" t="n">
        <f aca="false">'Aturan &amp; Tarif'!$B$5</f>
        <v>2050</v>
      </c>
      <c r="L690" s="32" t="n">
        <f aca="false">'Aturan &amp; Tarif'!$B$6</f>
        <v>350</v>
      </c>
      <c r="M690" s="35" t="n">
        <f aca="false">I690+J690+K690+L690</f>
        <v>15312.72</v>
      </c>
      <c r="N690" s="36" t="s">
        <v>2337</v>
      </c>
    </row>
    <row r="691" customFormat="false" ht="72" hidden="false" customHeight="true" outlineLevel="0" collapsed="false">
      <c r="A691" s="29" t="s">
        <v>2339</v>
      </c>
      <c r="B691" s="30" t="s">
        <v>465</v>
      </c>
      <c r="C691" s="31" t="s">
        <v>107</v>
      </c>
      <c r="D691" s="31" t="s">
        <v>108</v>
      </c>
      <c r="E691" s="32" t="n">
        <v>2700</v>
      </c>
      <c r="F691" s="32" t="n">
        <v>500</v>
      </c>
      <c r="G691" s="32" t="n">
        <v>250</v>
      </c>
      <c r="H691" s="33" t="n">
        <v>1</v>
      </c>
      <c r="I691" s="34" t="n">
        <f aca="false">E691*H691+N(F691)+N(G691)</f>
        <v>3450</v>
      </c>
      <c r="J691" s="32" t="n">
        <f aca="false">ROUND(IFERROR(ROUND(IF(OR(ISNUMBER(SEARCH("week",C691)),ISNUMBER(SEARCH("minggu",C691))),IFERROR(_xlfn.NUMBERVALUE(SUBSTITUTE(LEFT(TRIM(C691),FIND(" ",TRIM(C691)&amp;" ")-1),",","."),"."),LEFT(SUBSTITUTE(LEFT(TRIM(C691),FIND(" ",TRIM(C691)&amp;" ")-1),",","."),FIND("/",SUBSTITUTE(LEFT(TRIM(C691),FIND(" ",TRIM(C691)&amp;" ")-1),",","."))-1)/MID(SUBSTITUTE(LEFT(TRIM(C691),FIND(" ",TRIM(C691)&amp;" ")-1),",","."),FIND("/",SUBSTITUTE(LEFT(TRIM(C691),FIND(" ",TRIM(C691)&amp;" ")-1),",","."))+1,9))*12/52,IF(ISNUMBER(SEARCH("month",C691)),IFERROR(_xlfn.NUMBERVALUE(SUBSTITUTE(LEFT(TRIM(C691),FIND(" ",TRIM(C691)&amp;" ")-1),",","."),"."),LEFT(SUBSTITUTE(LEFT(TRIM(C691),FIND(" ",TRIM(C691)&amp;" ")-1),",","."),FIND("/",SUBSTITUTE(LEFT(TRIM(C691),FIND(" ",TRIM(C691)&amp;" ")-1),",","."))-1)/MID(SUBSTITUTE(LEFT(TRIM(C691),FIND(" ",TRIM(C691)&amp;" ")-1),",","."),FIND("/",SUBSTITUTE(LEFT(TRIM(C691),FIND(" ",TRIM(C691)&amp;" ")-1),",","."))+1,9)),IF(ISNUMBER(SEARCH("yea",C691)),IFERROR(_xlfn.NUMBERVALUE(SUBSTITUTE(LEFT(TRIM(C691),FIND(" ",TRIM(C691)&amp;" ")-1),",","."),"."),LEFT(SUBSTITUTE(LEFT(TRIM(C691),FIND(" ",TRIM(C691)&amp;" ")-1),",","."),FIND("/",SUBSTITUTE(LEFT(TRIM(C691),FIND(" ",TRIM(C691)&amp;" ")-1),",","."))-1)/MID(SUBSTITUTE(LEFT(TRIM(C691),FIND(" ",TRIM(C691)&amp;" ")-1),",","."),FIND("/",SUBSTITUTE(LEFT(TRIM(C691),FIND(" ",TRIM(C691)&amp;" ")-1),",","."))+1,9))*12,NA()))),0),24)*'Aturan &amp; Tarif'!$B$4,2)</f>
        <v>1362.72</v>
      </c>
      <c r="K691" s="32" t="n">
        <f aca="false">'Aturan &amp; Tarif'!$B$5</f>
        <v>2050</v>
      </c>
      <c r="L691" s="32" t="n">
        <f aca="false">'Aturan &amp; Tarif'!$B$6</f>
        <v>350</v>
      </c>
      <c r="M691" s="35" t="n">
        <f aca="false">I691+J691+K691+L691</f>
        <v>7212.72</v>
      </c>
      <c r="N691" s="37" t="s">
        <v>1564</v>
      </c>
    </row>
    <row r="692" customFormat="false" ht="37.5" hidden="false" customHeight="true" outlineLevel="0" collapsed="false">
      <c r="A692" s="29"/>
      <c r="B692" s="30" t="s">
        <v>475</v>
      </c>
      <c r="C692" s="31" t="s">
        <v>138</v>
      </c>
      <c r="D692" s="31" t="s">
        <v>108</v>
      </c>
      <c r="E692" s="32" t="n">
        <v>3000</v>
      </c>
      <c r="F692" s="32" t="n">
        <v>750</v>
      </c>
      <c r="G692" s="32" t="n">
        <v>250</v>
      </c>
      <c r="H692" s="33" t="n">
        <v>1</v>
      </c>
      <c r="I692" s="34" t="n">
        <f aca="false">E692*H692+N(F692)+N(G692)</f>
        <v>4000</v>
      </c>
      <c r="J692" s="32" t="n">
        <f aca="false">ROUND(IFERROR(ROUND(IF(OR(ISNUMBER(SEARCH("week",C692)),ISNUMBER(SEARCH("minggu",C692))),IFERROR(_xlfn.NUMBERVALUE(SUBSTITUTE(LEFT(TRIM(C692),FIND(" ",TRIM(C692)&amp;" ")-1),",","."),"."),LEFT(SUBSTITUTE(LEFT(TRIM(C692),FIND(" ",TRIM(C692)&amp;" ")-1),",","."),FIND("/",SUBSTITUTE(LEFT(TRIM(C692),FIND(" ",TRIM(C692)&amp;" ")-1),",","."))-1)/MID(SUBSTITUTE(LEFT(TRIM(C692),FIND(" ",TRIM(C692)&amp;" ")-1),",","."),FIND("/",SUBSTITUTE(LEFT(TRIM(C692),FIND(" ",TRIM(C692)&amp;" ")-1),",","."))+1,9))*12/52,IF(ISNUMBER(SEARCH("month",C692)),IFERROR(_xlfn.NUMBERVALUE(SUBSTITUTE(LEFT(TRIM(C692),FIND(" ",TRIM(C692)&amp;" ")-1),",","."),"."),LEFT(SUBSTITUTE(LEFT(TRIM(C692),FIND(" ",TRIM(C692)&amp;" ")-1),",","."),FIND("/",SUBSTITUTE(LEFT(TRIM(C692),FIND(" ",TRIM(C692)&amp;" ")-1),",","."))-1)/MID(SUBSTITUTE(LEFT(TRIM(C692),FIND(" ",TRIM(C692)&amp;" ")-1),",","."),FIND("/",SUBSTITUTE(LEFT(TRIM(C692),FIND(" ",TRIM(C692)&amp;" ")-1),",","."))+1,9)),IF(ISNUMBER(SEARCH("yea",C692)),IFERROR(_xlfn.NUMBERVALUE(SUBSTITUTE(LEFT(TRIM(C692),FIND(" ",TRIM(C692)&amp;" ")-1),",","."),"."),LEFT(SUBSTITUTE(LEFT(TRIM(C692),FIND(" ",TRIM(C692)&amp;" ")-1),",","."),FIND("/",SUBSTITUTE(LEFT(TRIM(C692),FIND(" ",TRIM(C692)&amp;" ")-1),",","."))-1)/MID(SUBSTITUTE(LEFT(TRIM(C692),FIND(" ",TRIM(C692)&amp;" ")-1),",","."),FIND("/",SUBSTITUTE(LEFT(TRIM(C692),FIND(" ",TRIM(C692)&amp;" ")-1),",","."))+1,9))*12,NA()))),0),30)*'Aturan &amp; Tarif'!$B$4,2)</f>
        <v>1703.4</v>
      </c>
      <c r="K692" s="32" t="n">
        <f aca="false">'Aturan &amp; Tarif'!$B$5</f>
        <v>2050</v>
      </c>
      <c r="L692" s="32" t="n">
        <f aca="false">'Aturan &amp; Tarif'!$B$6</f>
        <v>350</v>
      </c>
      <c r="M692" s="35" t="n">
        <f aca="false">I692+J692+K692+L692</f>
        <v>8103.4</v>
      </c>
      <c r="N692" s="37" t="s">
        <v>1564</v>
      </c>
    </row>
    <row r="693" customFormat="false" ht="37.5" hidden="false" customHeight="true" outlineLevel="0" collapsed="false">
      <c r="A693" s="29"/>
      <c r="B693" s="30" t="s">
        <v>616</v>
      </c>
      <c r="C693" s="31" t="s">
        <v>107</v>
      </c>
      <c r="D693" s="31" t="s">
        <v>108</v>
      </c>
      <c r="E693" s="32" t="n">
        <v>3125</v>
      </c>
      <c r="F693" s="32" t="n">
        <v>2000</v>
      </c>
      <c r="G693" s="32" t="n">
        <v>250</v>
      </c>
      <c r="H693" s="33" t="n">
        <v>1</v>
      </c>
      <c r="I693" s="34" t="n">
        <f aca="false">E693*H693+N(F693)+N(G693)</f>
        <v>5375</v>
      </c>
      <c r="J693" s="32" t="n">
        <f aca="false">ROUND(IFERROR(ROUND(IF(OR(ISNUMBER(SEARCH("week",C693)),ISNUMBER(SEARCH("minggu",C693))),IFERROR(_xlfn.NUMBERVALUE(SUBSTITUTE(LEFT(TRIM(C693),FIND(" ",TRIM(C693)&amp;" ")-1),",","."),"."),LEFT(SUBSTITUTE(LEFT(TRIM(C693),FIND(" ",TRIM(C693)&amp;" ")-1),",","."),FIND("/",SUBSTITUTE(LEFT(TRIM(C693),FIND(" ",TRIM(C693)&amp;" ")-1),",","."))-1)/MID(SUBSTITUTE(LEFT(TRIM(C693),FIND(" ",TRIM(C693)&amp;" ")-1),",","."),FIND("/",SUBSTITUTE(LEFT(TRIM(C693),FIND(" ",TRIM(C693)&amp;" ")-1),",","."))+1,9))*12/52,IF(ISNUMBER(SEARCH("month",C693)),IFERROR(_xlfn.NUMBERVALUE(SUBSTITUTE(LEFT(TRIM(C693),FIND(" ",TRIM(C693)&amp;" ")-1),",","."),"."),LEFT(SUBSTITUTE(LEFT(TRIM(C693),FIND(" ",TRIM(C693)&amp;" ")-1),",","."),FIND("/",SUBSTITUTE(LEFT(TRIM(C693),FIND(" ",TRIM(C693)&amp;" ")-1),",","."))-1)/MID(SUBSTITUTE(LEFT(TRIM(C693),FIND(" ",TRIM(C693)&amp;" ")-1),",","."),FIND("/",SUBSTITUTE(LEFT(TRIM(C693),FIND(" ",TRIM(C693)&amp;" ")-1),",","."))+1,9)),IF(ISNUMBER(SEARCH("yea",C693)),IFERROR(_xlfn.NUMBERVALUE(SUBSTITUTE(LEFT(TRIM(C693),FIND(" ",TRIM(C693)&amp;" ")-1),",","."),"."),LEFT(SUBSTITUTE(LEFT(TRIM(C693),FIND(" ",TRIM(C693)&amp;" ")-1),",","."),FIND("/",SUBSTITUTE(LEFT(TRIM(C693),FIND(" ",TRIM(C693)&amp;" ")-1),",","."))-1)/MID(SUBSTITUTE(LEFT(TRIM(C693),FIND(" ",TRIM(C693)&amp;" ")-1),",","."),FIND("/",SUBSTITUTE(LEFT(TRIM(C693),FIND(" ",TRIM(C693)&amp;" ")-1),",","."))+1,9))*12,NA()))),0),24)*'Aturan &amp; Tarif'!$B$4,2)</f>
        <v>1362.72</v>
      </c>
      <c r="K693" s="32" t="n">
        <f aca="false">'Aturan &amp; Tarif'!$B$5</f>
        <v>2050</v>
      </c>
      <c r="L693" s="32" t="n">
        <f aca="false">'Aturan &amp; Tarif'!$B$6</f>
        <v>350</v>
      </c>
      <c r="M693" s="35" t="n">
        <f aca="false">I693+J693+K693+L693</f>
        <v>9137.72</v>
      </c>
      <c r="N693" s="37" t="s">
        <v>1662</v>
      </c>
    </row>
    <row r="694" customFormat="false" ht="37.5" hidden="false" customHeight="true" outlineLevel="0" collapsed="false">
      <c r="A694" s="29"/>
      <c r="B694" s="30" t="s">
        <v>618</v>
      </c>
      <c r="C694" s="31" t="s">
        <v>138</v>
      </c>
      <c r="D694" s="31" t="s">
        <v>108</v>
      </c>
      <c r="E694" s="32" t="n">
        <v>4300</v>
      </c>
      <c r="F694" s="32" t="n">
        <v>2000</v>
      </c>
      <c r="G694" s="32" t="n">
        <v>250</v>
      </c>
      <c r="H694" s="33" t="n">
        <v>1</v>
      </c>
      <c r="I694" s="34" t="n">
        <f aca="false">E694*H694+N(F694)+N(G694)</f>
        <v>6550</v>
      </c>
      <c r="J694" s="32" t="n">
        <f aca="false">ROUND(IFERROR(ROUND(IF(OR(ISNUMBER(SEARCH("week",C694)),ISNUMBER(SEARCH("minggu",C694))),IFERROR(_xlfn.NUMBERVALUE(SUBSTITUTE(LEFT(TRIM(C694),FIND(" ",TRIM(C694)&amp;" ")-1),",","."),"."),LEFT(SUBSTITUTE(LEFT(TRIM(C694),FIND(" ",TRIM(C694)&amp;" ")-1),",","."),FIND("/",SUBSTITUTE(LEFT(TRIM(C694),FIND(" ",TRIM(C694)&amp;" ")-1),",","."))-1)/MID(SUBSTITUTE(LEFT(TRIM(C694),FIND(" ",TRIM(C694)&amp;" ")-1),",","."),FIND("/",SUBSTITUTE(LEFT(TRIM(C694),FIND(" ",TRIM(C694)&amp;" ")-1),",","."))+1,9))*12/52,IF(ISNUMBER(SEARCH("month",C694)),IFERROR(_xlfn.NUMBERVALUE(SUBSTITUTE(LEFT(TRIM(C694),FIND(" ",TRIM(C694)&amp;" ")-1),",","."),"."),LEFT(SUBSTITUTE(LEFT(TRIM(C694),FIND(" ",TRIM(C694)&amp;" ")-1),",","."),FIND("/",SUBSTITUTE(LEFT(TRIM(C694),FIND(" ",TRIM(C694)&amp;" ")-1),",","."))-1)/MID(SUBSTITUTE(LEFT(TRIM(C694),FIND(" ",TRIM(C694)&amp;" ")-1),",","."),FIND("/",SUBSTITUTE(LEFT(TRIM(C694),FIND(" ",TRIM(C694)&amp;" ")-1),",","."))+1,9)),IF(ISNUMBER(SEARCH("yea",C694)),IFERROR(_xlfn.NUMBERVALUE(SUBSTITUTE(LEFT(TRIM(C694),FIND(" ",TRIM(C694)&amp;" ")-1),",","."),"."),LEFT(SUBSTITUTE(LEFT(TRIM(C694),FIND(" ",TRIM(C694)&amp;" ")-1),",","."),FIND("/",SUBSTITUTE(LEFT(TRIM(C694),FIND(" ",TRIM(C694)&amp;" ")-1),",","."))-1)/MID(SUBSTITUTE(LEFT(TRIM(C694),FIND(" ",TRIM(C694)&amp;" ")-1),",","."),FIND("/",SUBSTITUTE(LEFT(TRIM(C694),FIND(" ",TRIM(C694)&amp;" ")-1),",","."))+1,9))*12,NA()))),0),30)*'Aturan &amp; Tarif'!$B$4,2)</f>
        <v>1703.4</v>
      </c>
      <c r="K694" s="32" t="n">
        <f aca="false">'Aturan &amp; Tarif'!$B$5</f>
        <v>2050</v>
      </c>
      <c r="L694" s="32" t="n">
        <f aca="false">'Aturan &amp; Tarif'!$B$6</f>
        <v>350</v>
      </c>
      <c r="M694" s="35" t="n">
        <f aca="false">I694+J694+K694+L694</f>
        <v>10653.4</v>
      </c>
      <c r="N694" s="37" t="s">
        <v>1564</v>
      </c>
    </row>
    <row r="695" customFormat="false" ht="14.25" hidden="false" customHeight="true" outlineLevel="0" collapsed="false">
      <c r="A695" s="39" t="s">
        <v>2340</v>
      </c>
      <c r="B695" s="40" t="s">
        <v>2341</v>
      </c>
      <c r="C695" s="41" t="s">
        <v>113</v>
      </c>
      <c r="D695" s="41" t="s">
        <v>108</v>
      </c>
      <c r="E695" s="42" t="n">
        <v>3000</v>
      </c>
      <c r="F695" s="42" t="n">
        <v>500</v>
      </c>
      <c r="G695" s="42" t="n">
        <v>200</v>
      </c>
      <c r="H695" s="43" t="n">
        <v>1</v>
      </c>
      <c r="I695" s="34" t="n">
        <f aca="false">E695*H695+N(F695)+N(G695)</f>
        <v>3700</v>
      </c>
      <c r="J695" s="42" t="n">
        <f aca="false">ROUND(IFERROR(ROUND(IF(OR(ISNUMBER(SEARCH("week",C695)),ISNUMBER(SEARCH("minggu",C695))),IFERROR(_xlfn.NUMBERVALUE(SUBSTITUTE(LEFT(TRIM(C695),FIND(" ",TRIM(C695)&amp;" ")-1),",","."),"."),LEFT(SUBSTITUTE(LEFT(TRIM(C695),FIND(" ",TRIM(C695)&amp;" ")-1),",","."),FIND("/",SUBSTITUTE(LEFT(TRIM(C695),FIND(" ",TRIM(C695)&amp;" ")-1),",","."))-1)/MID(SUBSTITUTE(LEFT(TRIM(C695),FIND(" ",TRIM(C695)&amp;" ")-1),",","."),FIND("/",SUBSTITUTE(LEFT(TRIM(C695),FIND(" ",TRIM(C695)&amp;" ")-1),",","."))+1,9))*12/52,IF(ISNUMBER(SEARCH("month",C695)),IFERROR(_xlfn.NUMBERVALUE(SUBSTITUTE(LEFT(TRIM(C695),FIND(" ",TRIM(C695)&amp;" ")-1),",","."),"."),LEFT(SUBSTITUTE(LEFT(TRIM(C695),FIND(" ",TRIM(C695)&amp;" ")-1),",","."),FIND("/",SUBSTITUTE(LEFT(TRIM(C695),FIND(" ",TRIM(C695)&amp;" ")-1),",","."))-1)/MID(SUBSTITUTE(LEFT(TRIM(C695),FIND(" ",TRIM(C695)&amp;" ")-1),",","."),FIND("/",SUBSTITUTE(LEFT(TRIM(C695),FIND(" ",TRIM(C695)&amp;" ")-1),",","."))+1,9)),IF(ISNUMBER(SEARCH("yea",C695)),IFERROR(_xlfn.NUMBERVALUE(SUBSTITUTE(LEFT(TRIM(C695),FIND(" ",TRIM(C695)&amp;" ")-1),",","."),"."),LEFT(SUBSTITUTE(LEFT(TRIM(C695),FIND(" ",TRIM(C695)&amp;" ")-1),",","."),FIND("/",SUBSTITUTE(LEFT(TRIM(C695),FIND(" ",TRIM(C695)&amp;" ")-1),",","."))-1)/MID(SUBSTITUTE(LEFT(TRIM(C695),FIND(" ",TRIM(C695)&amp;" ")-1),",","."),FIND("/",SUBSTITUTE(LEFT(TRIM(C695),FIND(" ",TRIM(C695)&amp;" ")-1),",","."))+1,9))*12,NA()))),0),18)*'Aturan &amp; Tarif'!$B$4,2)</f>
        <v>1022.04</v>
      </c>
      <c r="K695" s="42" t="n">
        <f aca="false">'Aturan &amp; Tarif'!$B$5</f>
        <v>2050</v>
      </c>
      <c r="L695" s="42" t="n">
        <f aca="false">'Aturan &amp; Tarif'!$B$6</f>
        <v>350</v>
      </c>
      <c r="M695" s="35" t="n">
        <f aca="false">I695+J695+K695+L695</f>
        <v>7122.04</v>
      </c>
      <c r="N695" s="44" t="s">
        <v>2342</v>
      </c>
    </row>
    <row r="696" customFormat="false" ht="14.25" hidden="false" customHeight="true" outlineLevel="0" collapsed="false">
      <c r="A696" s="39"/>
      <c r="B696" s="40" t="s">
        <v>2343</v>
      </c>
      <c r="C696" s="41" t="s">
        <v>136</v>
      </c>
      <c r="D696" s="41" t="s">
        <v>108</v>
      </c>
      <c r="E696" s="42" t="n">
        <v>3000</v>
      </c>
      <c r="F696" s="42" t="n">
        <v>500</v>
      </c>
      <c r="G696" s="42" t="n">
        <v>200</v>
      </c>
      <c r="H696" s="43" t="n">
        <v>1</v>
      </c>
      <c r="I696" s="34" t="n">
        <f aca="false">E696*H696+N(F696)+N(G696)</f>
        <v>3700</v>
      </c>
      <c r="J696" s="42" t="n">
        <f aca="false">ROUND(IFERROR(ROUND(IF(OR(ISNUMBER(SEARCH("week",C696)),ISNUMBER(SEARCH("minggu",C696))),IFERROR(_xlfn.NUMBERVALUE(SUBSTITUTE(LEFT(TRIM(C696),FIND(" ",TRIM(C696)&amp;" ")-1),",","."),"."),LEFT(SUBSTITUTE(LEFT(TRIM(C696),FIND(" ",TRIM(C696)&amp;" ")-1),",","."),FIND("/",SUBSTITUTE(LEFT(TRIM(C696),FIND(" ",TRIM(C696)&amp;" ")-1),",","."))-1)/MID(SUBSTITUTE(LEFT(TRIM(C696),FIND(" ",TRIM(C696)&amp;" ")-1),",","."),FIND("/",SUBSTITUTE(LEFT(TRIM(C696),FIND(" ",TRIM(C696)&amp;" ")-1),",","."))+1,9))*12/52,IF(ISNUMBER(SEARCH("month",C696)),IFERROR(_xlfn.NUMBERVALUE(SUBSTITUTE(LEFT(TRIM(C696),FIND(" ",TRIM(C696)&amp;" ")-1),",","."),"."),LEFT(SUBSTITUTE(LEFT(TRIM(C696),FIND(" ",TRIM(C696)&amp;" ")-1),",","."),FIND("/",SUBSTITUTE(LEFT(TRIM(C696),FIND(" ",TRIM(C696)&amp;" ")-1),",","."))-1)/MID(SUBSTITUTE(LEFT(TRIM(C696),FIND(" ",TRIM(C696)&amp;" ")-1),",","."),FIND("/",SUBSTITUTE(LEFT(TRIM(C696),FIND(" ",TRIM(C696)&amp;" ")-1),",","."))+1,9)),IF(ISNUMBER(SEARCH("yea",C696)),IFERROR(_xlfn.NUMBERVALUE(SUBSTITUTE(LEFT(TRIM(C696),FIND(" ",TRIM(C696)&amp;" ")-1),",","."),"."),LEFT(SUBSTITUTE(LEFT(TRIM(C696),FIND(" ",TRIM(C696)&amp;" ")-1),",","."),FIND("/",SUBSTITUTE(LEFT(TRIM(C696),FIND(" ",TRIM(C696)&amp;" ")-1),",","."))-1)/MID(SUBSTITUTE(LEFT(TRIM(C696),FIND(" ",TRIM(C696)&amp;" ")-1),",","."),FIND("/",SUBSTITUTE(LEFT(TRIM(C696),FIND(" ",TRIM(C696)&amp;" ")-1),",","."))+1,9))*12,NA()))),0),42)*'Aturan &amp; Tarif'!$B$4,2)</f>
        <v>2384.76</v>
      </c>
      <c r="K696" s="42" t="n">
        <f aca="false">'Aturan &amp; Tarif'!$B$5</f>
        <v>2050</v>
      </c>
      <c r="L696" s="42" t="n">
        <f aca="false">'Aturan &amp; Tarif'!$B$6</f>
        <v>350</v>
      </c>
      <c r="M696" s="35" t="n">
        <f aca="false">I696+J696+K696+L696</f>
        <v>8484.76</v>
      </c>
      <c r="N696" s="44" t="s">
        <v>2344</v>
      </c>
    </row>
    <row r="697" customFormat="false" ht="14.25" hidden="false" customHeight="true" outlineLevel="0" collapsed="false">
      <c r="A697" s="39"/>
      <c r="B697" s="40" t="s">
        <v>2345</v>
      </c>
      <c r="C697" s="41" t="s">
        <v>107</v>
      </c>
      <c r="D697" s="41" t="s">
        <v>108</v>
      </c>
      <c r="E697" s="42" t="n">
        <v>2500</v>
      </c>
      <c r="F697" s="42" t="n">
        <v>100</v>
      </c>
      <c r="G697" s="42" t="n">
        <v>200</v>
      </c>
      <c r="H697" s="43" t="n">
        <v>1</v>
      </c>
      <c r="I697" s="34" t="n">
        <f aca="false">E697*H697+N(F697)+N(G697)</f>
        <v>2800</v>
      </c>
      <c r="J697" s="42" t="n">
        <f aca="false">ROUND(IFERROR(ROUND(IF(OR(ISNUMBER(SEARCH("week",C697)),ISNUMBER(SEARCH("minggu",C697))),IFERROR(_xlfn.NUMBERVALUE(SUBSTITUTE(LEFT(TRIM(C697),FIND(" ",TRIM(C697)&amp;" ")-1),",","."),"."),LEFT(SUBSTITUTE(LEFT(TRIM(C697),FIND(" ",TRIM(C697)&amp;" ")-1),",","."),FIND("/",SUBSTITUTE(LEFT(TRIM(C697),FIND(" ",TRIM(C697)&amp;" ")-1),",","."))-1)/MID(SUBSTITUTE(LEFT(TRIM(C697),FIND(" ",TRIM(C697)&amp;" ")-1),",","."),FIND("/",SUBSTITUTE(LEFT(TRIM(C697),FIND(" ",TRIM(C697)&amp;" ")-1),",","."))+1,9))*12/52,IF(ISNUMBER(SEARCH("month",C697)),IFERROR(_xlfn.NUMBERVALUE(SUBSTITUTE(LEFT(TRIM(C697),FIND(" ",TRIM(C697)&amp;" ")-1),",","."),"."),LEFT(SUBSTITUTE(LEFT(TRIM(C697),FIND(" ",TRIM(C697)&amp;" ")-1),",","."),FIND("/",SUBSTITUTE(LEFT(TRIM(C697),FIND(" ",TRIM(C697)&amp;" ")-1),",","."))-1)/MID(SUBSTITUTE(LEFT(TRIM(C697),FIND(" ",TRIM(C697)&amp;" ")-1),",","."),FIND("/",SUBSTITUTE(LEFT(TRIM(C697),FIND(" ",TRIM(C697)&amp;" ")-1),",","."))+1,9)),IF(ISNUMBER(SEARCH("yea",C697)),IFERROR(_xlfn.NUMBERVALUE(SUBSTITUTE(LEFT(TRIM(C697),FIND(" ",TRIM(C697)&amp;" ")-1),",","."),"."),LEFT(SUBSTITUTE(LEFT(TRIM(C697),FIND(" ",TRIM(C697)&amp;" ")-1),",","."),FIND("/",SUBSTITUTE(LEFT(TRIM(C697),FIND(" ",TRIM(C697)&amp;" ")-1),",","."))-1)/MID(SUBSTITUTE(LEFT(TRIM(C697),FIND(" ",TRIM(C697)&amp;" ")-1),",","."),FIND("/",SUBSTITUTE(LEFT(TRIM(C697),FIND(" ",TRIM(C697)&amp;" ")-1),",","."))+1,9))*12,NA()))),0),24)*'Aturan &amp; Tarif'!$B$4,2)</f>
        <v>1362.72</v>
      </c>
      <c r="K697" s="42" t="n">
        <f aca="false">'Aturan &amp; Tarif'!$B$5</f>
        <v>2050</v>
      </c>
      <c r="L697" s="42" t="n">
        <f aca="false">'Aturan &amp; Tarif'!$B$6</f>
        <v>350</v>
      </c>
      <c r="M697" s="35" t="n">
        <f aca="false">I697+J697+K697+L697</f>
        <v>6562.72</v>
      </c>
      <c r="N697" s="44" t="s">
        <v>2344</v>
      </c>
    </row>
    <row r="698" customFormat="false" ht="48.75" hidden="false" customHeight="true" outlineLevel="0" collapsed="false">
      <c r="A698" s="39"/>
      <c r="B698" s="40" t="s">
        <v>2346</v>
      </c>
      <c r="C698" s="41" t="s">
        <v>127</v>
      </c>
      <c r="D698" s="41" t="s">
        <v>108</v>
      </c>
      <c r="E698" s="42" t="n">
        <v>2500</v>
      </c>
      <c r="F698" s="42" t="n">
        <v>100</v>
      </c>
      <c r="G698" s="42" t="n">
        <v>200</v>
      </c>
      <c r="H698" s="43" t="n">
        <v>1</v>
      </c>
      <c r="I698" s="34" t="n">
        <f aca="false">E698*H698+N(F698)+N(G698)</f>
        <v>2800</v>
      </c>
      <c r="J698" s="42" t="n">
        <f aca="false">ROUND(IFERROR(ROUND(IF(OR(ISNUMBER(SEARCH("week",C698)),ISNUMBER(SEARCH("minggu",C698))),IFERROR(_xlfn.NUMBERVALUE(SUBSTITUTE(LEFT(TRIM(C698),FIND(" ",TRIM(C698)&amp;" ")-1),",","."),"."),LEFT(SUBSTITUTE(LEFT(TRIM(C698),FIND(" ",TRIM(C698)&amp;" ")-1),",","."),FIND("/",SUBSTITUTE(LEFT(TRIM(C698),FIND(" ",TRIM(C698)&amp;" ")-1),",","."))-1)/MID(SUBSTITUTE(LEFT(TRIM(C698),FIND(" ",TRIM(C698)&amp;" ")-1),",","."),FIND("/",SUBSTITUTE(LEFT(TRIM(C698),FIND(" ",TRIM(C698)&amp;" ")-1),",","."))+1,9))*12/52,IF(ISNUMBER(SEARCH("month",C698)),IFERROR(_xlfn.NUMBERVALUE(SUBSTITUTE(LEFT(TRIM(C698),FIND(" ",TRIM(C698)&amp;" ")-1),",","."),"."),LEFT(SUBSTITUTE(LEFT(TRIM(C698),FIND(" ",TRIM(C698)&amp;" ")-1),",","."),FIND("/",SUBSTITUTE(LEFT(TRIM(C698),FIND(" ",TRIM(C698)&amp;" ")-1),",","."))-1)/MID(SUBSTITUTE(LEFT(TRIM(C698),FIND(" ",TRIM(C698)&amp;" ")-1),",","."),FIND("/",SUBSTITUTE(LEFT(TRIM(C698),FIND(" ",TRIM(C698)&amp;" ")-1),",","."))+1,9)),IF(ISNUMBER(SEARCH("yea",C698)),IFERROR(_xlfn.NUMBERVALUE(SUBSTITUTE(LEFT(TRIM(C698),FIND(" ",TRIM(C698)&amp;" ")-1),",","."),"."),LEFT(SUBSTITUTE(LEFT(TRIM(C698),FIND(" ",TRIM(C698)&amp;" ")-1),",","."),FIND("/",SUBSTITUTE(LEFT(TRIM(C698),FIND(" ",TRIM(C698)&amp;" ")-1),",","."))-1)/MID(SUBSTITUTE(LEFT(TRIM(C698),FIND(" ",TRIM(C698)&amp;" ")-1),",","."),FIND("/",SUBSTITUTE(LEFT(TRIM(C698),FIND(" ",TRIM(C698)&amp;" ")-1),",","."))+1,9))*12,NA()))),0),36)*'Aturan &amp; Tarif'!$B$4,2)</f>
        <v>2044.08</v>
      </c>
      <c r="K698" s="42" t="n">
        <f aca="false">'Aturan &amp; Tarif'!$B$5</f>
        <v>2050</v>
      </c>
      <c r="L698" s="42" t="n">
        <f aca="false">'Aturan &amp; Tarif'!$B$6</f>
        <v>350</v>
      </c>
      <c r="M698" s="35" t="n">
        <f aca="false">I698+J698+K698+L698</f>
        <v>7244.08</v>
      </c>
      <c r="N698" s="44" t="s">
        <v>2344</v>
      </c>
    </row>
    <row r="699" customFormat="false" ht="25.5" hidden="false" customHeight="true" outlineLevel="0" collapsed="false">
      <c r="A699" s="39"/>
      <c r="B699" s="40" t="s">
        <v>2347</v>
      </c>
      <c r="C699" s="41" t="s">
        <v>107</v>
      </c>
      <c r="D699" s="41" t="s">
        <v>108</v>
      </c>
      <c r="E699" s="42" t="n">
        <v>3500</v>
      </c>
      <c r="F699" s="42" t="n">
        <v>2000</v>
      </c>
      <c r="G699" s="42" t="n">
        <v>200</v>
      </c>
      <c r="H699" s="43" t="n">
        <v>1</v>
      </c>
      <c r="I699" s="34" t="n">
        <f aca="false">E699*H699+N(F699)+N(G699)</f>
        <v>5700</v>
      </c>
      <c r="J699" s="42" t="n">
        <f aca="false">ROUND(IFERROR(ROUND(IF(OR(ISNUMBER(SEARCH("week",C699)),ISNUMBER(SEARCH("minggu",C699))),IFERROR(_xlfn.NUMBERVALUE(SUBSTITUTE(LEFT(TRIM(C699),FIND(" ",TRIM(C699)&amp;" ")-1),",","."),"."),LEFT(SUBSTITUTE(LEFT(TRIM(C699),FIND(" ",TRIM(C699)&amp;" ")-1),",","."),FIND("/",SUBSTITUTE(LEFT(TRIM(C699),FIND(" ",TRIM(C699)&amp;" ")-1),",","."))-1)/MID(SUBSTITUTE(LEFT(TRIM(C699),FIND(" ",TRIM(C699)&amp;" ")-1),",","."),FIND("/",SUBSTITUTE(LEFT(TRIM(C699),FIND(" ",TRIM(C699)&amp;" ")-1),",","."))+1,9))*12/52,IF(ISNUMBER(SEARCH("month",C699)),IFERROR(_xlfn.NUMBERVALUE(SUBSTITUTE(LEFT(TRIM(C699),FIND(" ",TRIM(C699)&amp;" ")-1),",","."),"."),LEFT(SUBSTITUTE(LEFT(TRIM(C699),FIND(" ",TRIM(C699)&amp;" ")-1),",","."),FIND("/",SUBSTITUTE(LEFT(TRIM(C699),FIND(" ",TRIM(C699)&amp;" ")-1),",","."))-1)/MID(SUBSTITUTE(LEFT(TRIM(C699),FIND(" ",TRIM(C699)&amp;" ")-1),",","."),FIND("/",SUBSTITUTE(LEFT(TRIM(C699),FIND(" ",TRIM(C699)&amp;" ")-1),",","."))+1,9)),IF(ISNUMBER(SEARCH("yea",C699)),IFERROR(_xlfn.NUMBERVALUE(SUBSTITUTE(LEFT(TRIM(C699),FIND(" ",TRIM(C699)&amp;" ")-1),",","."),"."),LEFT(SUBSTITUTE(LEFT(TRIM(C699),FIND(" ",TRIM(C699)&amp;" ")-1),",","."),FIND("/",SUBSTITUTE(LEFT(TRIM(C699),FIND(" ",TRIM(C699)&amp;" ")-1),",","."))-1)/MID(SUBSTITUTE(LEFT(TRIM(C699),FIND(" ",TRIM(C699)&amp;" ")-1),",","."),FIND("/",SUBSTITUTE(LEFT(TRIM(C699),FIND(" ",TRIM(C699)&amp;" ")-1),",","."))+1,9))*12,NA()))),0),24)*'Aturan &amp; Tarif'!$B$4,2)</f>
        <v>1362.72</v>
      </c>
      <c r="K699" s="42" t="n">
        <f aca="false">'Aturan &amp; Tarif'!$B$5</f>
        <v>2050</v>
      </c>
      <c r="L699" s="42" t="n">
        <f aca="false">'Aturan &amp; Tarif'!$B$6</f>
        <v>350</v>
      </c>
      <c r="M699" s="35" t="n">
        <f aca="false">I699+J699+K699+L699</f>
        <v>9462.72</v>
      </c>
      <c r="N699" s="44" t="s">
        <v>2348</v>
      </c>
    </row>
    <row r="700" customFormat="false" ht="37.5" hidden="false" customHeight="true" outlineLevel="0" collapsed="false">
      <c r="A700" s="39" t="s">
        <v>2349</v>
      </c>
      <c r="B700" s="40" t="s">
        <v>2350</v>
      </c>
      <c r="C700" s="41" t="s">
        <v>127</v>
      </c>
      <c r="D700" s="41" t="s">
        <v>737</v>
      </c>
      <c r="E700" s="42" t="n">
        <v>5513</v>
      </c>
      <c r="F700" s="42"/>
      <c r="G700" s="42" t="n">
        <v>250</v>
      </c>
      <c r="H700" s="43" t="n">
        <v>1</v>
      </c>
      <c r="I700" s="34" t="n">
        <f aca="false">E700*H700+N(F700)+N(G700)</f>
        <v>5763</v>
      </c>
      <c r="J700" s="42" t="n">
        <f aca="false">ROUND(IFERROR(ROUND(IF(OR(ISNUMBER(SEARCH("week",C700)),ISNUMBER(SEARCH("minggu",C700))),IFERROR(_xlfn.NUMBERVALUE(SUBSTITUTE(LEFT(TRIM(C700),FIND(" ",TRIM(C700)&amp;" ")-1),",","."),"."),LEFT(SUBSTITUTE(LEFT(TRIM(C700),FIND(" ",TRIM(C700)&amp;" ")-1),",","."),FIND("/",SUBSTITUTE(LEFT(TRIM(C700),FIND(" ",TRIM(C700)&amp;" ")-1),",","."))-1)/MID(SUBSTITUTE(LEFT(TRIM(C700),FIND(" ",TRIM(C700)&amp;" ")-1),",","."),FIND("/",SUBSTITUTE(LEFT(TRIM(C700),FIND(" ",TRIM(C700)&amp;" ")-1),",","."))+1,9))*12/52,IF(ISNUMBER(SEARCH("month",C700)),IFERROR(_xlfn.NUMBERVALUE(SUBSTITUTE(LEFT(TRIM(C700),FIND(" ",TRIM(C700)&amp;" ")-1),",","."),"."),LEFT(SUBSTITUTE(LEFT(TRIM(C700),FIND(" ",TRIM(C700)&amp;" ")-1),",","."),FIND("/",SUBSTITUTE(LEFT(TRIM(C700),FIND(" ",TRIM(C700)&amp;" ")-1),",","."))-1)/MID(SUBSTITUTE(LEFT(TRIM(C700),FIND(" ",TRIM(C700)&amp;" ")-1),",","."),FIND("/",SUBSTITUTE(LEFT(TRIM(C700),FIND(" ",TRIM(C700)&amp;" ")-1),",","."))+1,9)),IF(ISNUMBER(SEARCH("yea",C700)),IFERROR(_xlfn.NUMBERVALUE(SUBSTITUTE(LEFT(TRIM(C700),FIND(" ",TRIM(C700)&amp;" ")-1),",","."),"."),LEFT(SUBSTITUTE(LEFT(TRIM(C700),FIND(" ",TRIM(C700)&amp;" ")-1),",","."),FIND("/",SUBSTITUTE(LEFT(TRIM(C700),FIND(" ",TRIM(C700)&amp;" ")-1),",","."))-1)/MID(SUBSTITUTE(LEFT(TRIM(C700),FIND(" ",TRIM(C700)&amp;" ")-1),",","."),FIND("/",SUBSTITUTE(LEFT(TRIM(C700),FIND(" ",TRIM(C700)&amp;" ")-1),",","."))+1,9))*12,NA()))),0),36)*'Aturan &amp; Tarif'!$B$4,2)</f>
        <v>2044.08</v>
      </c>
      <c r="K700" s="42" t="n">
        <f aca="false">'Aturan &amp; Tarif'!$B$5</f>
        <v>2050</v>
      </c>
      <c r="L700" s="42" t="n">
        <f aca="false">'Aturan &amp; Tarif'!$B$6</f>
        <v>350</v>
      </c>
      <c r="M700" s="35" t="n">
        <f aca="false">I700+J700+K700+L700</f>
        <v>10207.08</v>
      </c>
      <c r="N700" s="44" t="s">
        <v>2351</v>
      </c>
    </row>
    <row r="701" customFormat="false" ht="14.25" hidden="false" customHeight="true" outlineLevel="0" collapsed="false">
      <c r="A701" s="39"/>
      <c r="B701" s="40" t="s">
        <v>2352</v>
      </c>
      <c r="C701" s="41" t="s">
        <v>107</v>
      </c>
      <c r="D701" s="41" t="s">
        <v>737</v>
      </c>
      <c r="E701" s="42" t="n">
        <v>5513</v>
      </c>
      <c r="F701" s="42"/>
      <c r="G701" s="42" t="n">
        <v>250</v>
      </c>
      <c r="H701" s="43" t="n">
        <v>1</v>
      </c>
      <c r="I701" s="34" t="n">
        <f aca="false">E701*H701+N(F701)+N(G701)</f>
        <v>5763</v>
      </c>
      <c r="J701" s="42" t="n">
        <f aca="false">ROUND(IFERROR(ROUND(IF(OR(ISNUMBER(SEARCH("week",C701)),ISNUMBER(SEARCH("minggu",C701))),IFERROR(_xlfn.NUMBERVALUE(SUBSTITUTE(LEFT(TRIM(C701),FIND(" ",TRIM(C701)&amp;" ")-1),",","."),"."),LEFT(SUBSTITUTE(LEFT(TRIM(C701),FIND(" ",TRIM(C701)&amp;" ")-1),",","."),FIND("/",SUBSTITUTE(LEFT(TRIM(C701),FIND(" ",TRIM(C701)&amp;" ")-1),",","."))-1)/MID(SUBSTITUTE(LEFT(TRIM(C701),FIND(" ",TRIM(C701)&amp;" ")-1),",","."),FIND("/",SUBSTITUTE(LEFT(TRIM(C701),FIND(" ",TRIM(C701)&amp;" ")-1),",","."))+1,9))*12/52,IF(ISNUMBER(SEARCH("month",C701)),IFERROR(_xlfn.NUMBERVALUE(SUBSTITUTE(LEFT(TRIM(C701),FIND(" ",TRIM(C701)&amp;" ")-1),",","."),"."),LEFT(SUBSTITUTE(LEFT(TRIM(C701),FIND(" ",TRIM(C701)&amp;" ")-1),",","."),FIND("/",SUBSTITUTE(LEFT(TRIM(C701),FIND(" ",TRIM(C701)&amp;" ")-1),",","."))-1)/MID(SUBSTITUTE(LEFT(TRIM(C701),FIND(" ",TRIM(C701)&amp;" ")-1),",","."),FIND("/",SUBSTITUTE(LEFT(TRIM(C701),FIND(" ",TRIM(C701)&amp;" ")-1),",","."))+1,9)),IF(ISNUMBER(SEARCH("yea",C701)),IFERROR(_xlfn.NUMBERVALUE(SUBSTITUTE(LEFT(TRIM(C701),FIND(" ",TRIM(C701)&amp;" ")-1),",","."),"."),LEFT(SUBSTITUTE(LEFT(TRIM(C701),FIND(" ",TRIM(C701)&amp;" ")-1),",","."),FIND("/",SUBSTITUTE(LEFT(TRIM(C701),FIND(" ",TRIM(C701)&amp;" ")-1),",","."))-1)/MID(SUBSTITUTE(LEFT(TRIM(C701),FIND(" ",TRIM(C701)&amp;" ")-1),",","."),FIND("/",SUBSTITUTE(LEFT(TRIM(C701),FIND(" ",TRIM(C701)&amp;" ")-1),",","."))+1,9))*12,NA()))),0),24)*'Aturan &amp; Tarif'!$B$4,2)</f>
        <v>1362.72</v>
      </c>
      <c r="K701" s="42" t="n">
        <f aca="false">'Aturan &amp; Tarif'!$B$5</f>
        <v>2050</v>
      </c>
      <c r="L701" s="42" t="n">
        <f aca="false">'Aturan &amp; Tarif'!$B$6</f>
        <v>350</v>
      </c>
      <c r="M701" s="35" t="n">
        <f aca="false">I701+J701+K701+L701</f>
        <v>9525.72</v>
      </c>
      <c r="N701" s="44" t="s">
        <v>2351</v>
      </c>
    </row>
    <row r="702" customFormat="false" ht="25.5" hidden="false" customHeight="true" outlineLevel="0" collapsed="false">
      <c r="A702" s="39"/>
      <c r="B702" s="40" t="s">
        <v>2353</v>
      </c>
      <c r="C702" s="41" t="s">
        <v>127</v>
      </c>
      <c r="D702" s="41" t="s">
        <v>737</v>
      </c>
      <c r="E702" s="42" t="n">
        <v>5513</v>
      </c>
      <c r="F702" s="42"/>
      <c r="G702" s="42" t="n">
        <v>250</v>
      </c>
      <c r="H702" s="43" t="n">
        <v>1</v>
      </c>
      <c r="I702" s="34" t="n">
        <f aca="false">E702*H702+N(F702)+N(G702)</f>
        <v>5763</v>
      </c>
      <c r="J702" s="42" t="n">
        <f aca="false">ROUND(IFERROR(ROUND(IF(OR(ISNUMBER(SEARCH("week",C702)),ISNUMBER(SEARCH("minggu",C702))),IFERROR(_xlfn.NUMBERVALUE(SUBSTITUTE(LEFT(TRIM(C702),FIND(" ",TRIM(C702)&amp;" ")-1),",","."),"."),LEFT(SUBSTITUTE(LEFT(TRIM(C702),FIND(" ",TRIM(C702)&amp;" ")-1),",","."),FIND("/",SUBSTITUTE(LEFT(TRIM(C702),FIND(" ",TRIM(C702)&amp;" ")-1),",","."))-1)/MID(SUBSTITUTE(LEFT(TRIM(C702),FIND(" ",TRIM(C702)&amp;" ")-1),",","."),FIND("/",SUBSTITUTE(LEFT(TRIM(C702),FIND(" ",TRIM(C702)&amp;" ")-1),",","."))+1,9))*12/52,IF(ISNUMBER(SEARCH("month",C702)),IFERROR(_xlfn.NUMBERVALUE(SUBSTITUTE(LEFT(TRIM(C702),FIND(" ",TRIM(C702)&amp;" ")-1),",","."),"."),LEFT(SUBSTITUTE(LEFT(TRIM(C702),FIND(" ",TRIM(C702)&amp;" ")-1),",","."),FIND("/",SUBSTITUTE(LEFT(TRIM(C702),FIND(" ",TRIM(C702)&amp;" ")-1),",","."))-1)/MID(SUBSTITUTE(LEFT(TRIM(C702),FIND(" ",TRIM(C702)&amp;" ")-1),",","."),FIND("/",SUBSTITUTE(LEFT(TRIM(C702),FIND(" ",TRIM(C702)&amp;" ")-1),",","."))+1,9)),IF(ISNUMBER(SEARCH("yea",C702)),IFERROR(_xlfn.NUMBERVALUE(SUBSTITUTE(LEFT(TRIM(C702),FIND(" ",TRIM(C702)&amp;" ")-1),",","."),"."),LEFT(SUBSTITUTE(LEFT(TRIM(C702),FIND(" ",TRIM(C702)&amp;" ")-1),",","."),FIND("/",SUBSTITUTE(LEFT(TRIM(C702),FIND(" ",TRIM(C702)&amp;" ")-1),",","."))-1)/MID(SUBSTITUTE(LEFT(TRIM(C702),FIND(" ",TRIM(C702)&amp;" ")-1),",","."),FIND("/",SUBSTITUTE(LEFT(TRIM(C702),FIND(" ",TRIM(C702)&amp;" ")-1),",","."))+1,9))*12,NA()))),0),36)*'Aturan &amp; Tarif'!$B$4,2)</f>
        <v>2044.08</v>
      </c>
      <c r="K702" s="42" t="n">
        <f aca="false">'Aturan &amp; Tarif'!$B$5</f>
        <v>2050</v>
      </c>
      <c r="L702" s="42" t="n">
        <f aca="false">'Aturan &amp; Tarif'!$B$6</f>
        <v>350</v>
      </c>
      <c r="M702" s="35" t="n">
        <f aca="false">I702+J702+K702+L702</f>
        <v>10207.08</v>
      </c>
      <c r="N702" s="44" t="s">
        <v>2351</v>
      </c>
    </row>
    <row r="703" customFormat="false" ht="25.5" hidden="false" customHeight="true" outlineLevel="0" collapsed="false">
      <c r="A703" s="29" t="s">
        <v>2354</v>
      </c>
      <c r="B703" s="30" t="s">
        <v>842</v>
      </c>
      <c r="C703" s="31" t="s">
        <v>107</v>
      </c>
      <c r="D703" s="31" t="s">
        <v>108</v>
      </c>
      <c r="E703" s="32" t="n">
        <v>2200</v>
      </c>
      <c r="F703" s="32" t="n">
        <v>1200</v>
      </c>
      <c r="G703" s="32" t="n">
        <v>250</v>
      </c>
      <c r="H703" s="33" t="n">
        <v>1</v>
      </c>
      <c r="I703" s="34" t="n">
        <f aca="false">E703*H703+N(F703)+N(G703)</f>
        <v>3650</v>
      </c>
      <c r="J703" s="32" t="n">
        <f aca="false">ROUND(IFERROR(ROUND(IF(OR(ISNUMBER(SEARCH("week",C703)),ISNUMBER(SEARCH("minggu",C703))),IFERROR(_xlfn.NUMBERVALUE(SUBSTITUTE(LEFT(TRIM(C703),FIND(" ",TRIM(C703)&amp;" ")-1),",","."),"."),LEFT(SUBSTITUTE(LEFT(TRIM(C703),FIND(" ",TRIM(C703)&amp;" ")-1),",","."),FIND("/",SUBSTITUTE(LEFT(TRIM(C703),FIND(" ",TRIM(C703)&amp;" ")-1),",","."))-1)/MID(SUBSTITUTE(LEFT(TRIM(C703),FIND(" ",TRIM(C703)&amp;" ")-1),",","."),FIND("/",SUBSTITUTE(LEFT(TRIM(C703),FIND(" ",TRIM(C703)&amp;" ")-1),",","."))+1,9))*12/52,IF(ISNUMBER(SEARCH("month",C703)),IFERROR(_xlfn.NUMBERVALUE(SUBSTITUTE(LEFT(TRIM(C703),FIND(" ",TRIM(C703)&amp;" ")-1),",","."),"."),LEFT(SUBSTITUTE(LEFT(TRIM(C703),FIND(" ",TRIM(C703)&amp;" ")-1),",","."),FIND("/",SUBSTITUTE(LEFT(TRIM(C703),FIND(" ",TRIM(C703)&amp;" ")-1),",","."))-1)/MID(SUBSTITUTE(LEFT(TRIM(C703),FIND(" ",TRIM(C703)&amp;" ")-1),",","."),FIND("/",SUBSTITUTE(LEFT(TRIM(C703),FIND(" ",TRIM(C703)&amp;" ")-1),",","."))+1,9)),IF(ISNUMBER(SEARCH("yea",C703)),IFERROR(_xlfn.NUMBERVALUE(SUBSTITUTE(LEFT(TRIM(C703),FIND(" ",TRIM(C703)&amp;" ")-1),",","."),"."),LEFT(SUBSTITUTE(LEFT(TRIM(C703),FIND(" ",TRIM(C703)&amp;" ")-1),",","."),FIND("/",SUBSTITUTE(LEFT(TRIM(C703),FIND(" ",TRIM(C703)&amp;" ")-1),",","."))-1)/MID(SUBSTITUTE(LEFT(TRIM(C703),FIND(" ",TRIM(C703)&amp;" ")-1),",","."),FIND("/",SUBSTITUTE(LEFT(TRIM(C703),FIND(" ",TRIM(C703)&amp;" ")-1),",","."))+1,9))*12,NA()))),0),24)*'Aturan &amp; Tarif'!$B$4,2)</f>
        <v>1362.72</v>
      </c>
      <c r="K703" s="32" t="n">
        <f aca="false">'Aturan &amp; Tarif'!$B$5</f>
        <v>2050</v>
      </c>
      <c r="L703" s="32" t="n">
        <f aca="false">'Aturan &amp; Tarif'!$B$6</f>
        <v>350</v>
      </c>
      <c r="M703" s="35" t="n">
        <f aca="false">I703+J703+K703+L703</f>
        <v>7412.72</v>
      </c>
      <c r="N703" s="37" t="s">
        <v>134</v>
      </c>
    </row>
    <row r="704" customFormat="false" ht="25.5" hidden="false" customHeight="true" outlineLevel="0" collapsed="false">
      <c r="A704" s="29"/>
      <c r="B704" s="30" t="s">
        <v>126</v>
      </c>
      <c r="C704" s="31" t="s">
        <v>138</v>
      </c>
      <c r="D704" s="31" t="s">
        <v>108</v>
      </c>
      <c r="E704" s="32" t="n">
        <v>2200</v>
      </c>
      <c r="F704" s="32" t="n">
        <v>1800</v>
      </c>
      <c r="G704" s="32" t="n">
        <v>250</v>
      </c>
      <c r="H704" s="33" t="n">
        <v>1</v>
      </c>
      <c r="I704" s="34" t="n">
        <f aca="false">E704*H704+N(F704)+N(G704)</f>
        <v>4250</v>
      </c>
      <c r="J704" s="32" t="n">
        <f aca="false">ROUND(IFERROR(ROUND(IF(OR(ISNUMBER(SEARCH("week",C704)),ISNUMBER(SEARCH("minggu",C704))),IFERROR(_xlfn.NUMBERVALUE(SUBSTITUTE(LEFT(TRIM(C704),FIND(" ",TRIM(C704)&amp;" ")-1),",","."),"."),LEFT(SUBSTITUTE(LEFT(TRIM(C704),FIND(" ",TRIM(C704)&amp;" ")-1),",","."),FIND("/",SUBSTITUTE(LEFT(TRIM(C704),FIND(" ",TRIM(C704)&amp;" ")-1),",","."))-1)/MID(SUBSTITUTE(LEFT(TRIM(C704),FIND(" ",TRIM(C704)&amp;" ")-1),",","."),FIND("/",SUBSTITUTE(LEFT(TRIM(C704),FIND(" ",TRIM(C704)&amp;" ")-1),",","."))+1,9))*12/52,IF(ISNUMBER(SEARCH("month",C704)),IFERROR(_xlfn.NUMBERVALUE(SUBSTITUTE(LEFT(TRIM(C704),FIND(" ",TRIM(C704)&amp;" ")-1),",","."),"."),LEFT(SUBSTITUTE(LEFT(TRIM(C704),FIND(" ",TRIM(C704)&amp;" ")-1),",","."),FIND("/",SUBSTITUTE(LEFT(TRIM(C704),FIND(" ",TRIM(C704)&amp;" ")-1),",","."))-1)/MID(SUBSTITUTE(LEFT(TRIM(C704),FIND(" ",TRIM(C704)&amp;" ")-1),",","."),FIND("/",SUBSTITUTE(LEFT(TRIM(C704),FIND(" ",TRIM(C704)&amp;" ")-1),",","."))+1,9)),IF(ISNUMBER(SEARCH("yea",C704)),IFERROR(_xlfn.NUMBERVALUE(SUBSTITUTE(LEFT(TRIM(C704),FIND(" ",TRIM(C704)&amp;" ")-1),",","."),"."),LEFT(SUBSTITUTE(LEFT(TRIM(C704),FIND(" ",TRIM(C704)&amp;" ")-1),",","."),FIND("/",SUBSTITUTE(LEFT(TRIM(C704),FIND(" ",TRIM(C704)&amp;" ")-1),",","."))-1)/MID(SUBSTITUTE(LEFT(TRIM(C704),FIND(" ",TRIM(C704)&amp;" ")-1),",","."),FIND("/",SUBSTITUTE(LEFT(TRIM(C704),FIND(" ",TRIM(C704)&amp;" ")-1),",","."))+1,9))*12,NA()))),0),30)*'Aturan &amp; Tarif'!$B$4,2)</f>
        <v>1703.4</v>
      </c>
      <c r="K704" s="32" t="n">
        <f aca="false">'Aturan &amp; Tarif'!$B$5</f>
        <v>2050</v>
      </c>
      <c r="L704" s="32" t="n">
        <f aca="false">'Aturan &amp; Tarif'!$B$6</f>
        <v>350</v>
      </c>
      <c r="M704" s="35" t="n">
        <f aca="false">I704+J704+K704+L704</f>
        <v>8353.4</v>
      </c>
      <c r="N704" s="37" t="s">
        <v>134</v>
      </c>
    </row>
    <row r="705" customFormat="false" ht="25.5" hidden="false" customHeight="true" outlineLevel="0" collapsed="false">
      <c r="A705" s="29"/>
      <c r="B705" s="30" t="s">
        <v>843</v>
      </c>
      <c r="C705" s="31" t="s">
        <v>138</v>
      </c>
      <c r="D705" s="31" t="s">
        <v>108</v>
      </c>
      <c r="E705" s="32" t="n">
        <v>2260</v>
      </c>
      <c r="F705" s="32" t="n">
        <v>2200</v>
      </c>
      <c r="G705" s="32" t="n">
        <v>250</v>
      </c>
      <c r="H705" s="33" t="n">
        <v>1</v>
      </c>
      <c r="I705" s="34" t="n">
        <f aca="false">E705*H705+N(F705)+N(G705)</f>
        <v>4710</v>
      </c>
      <c r="J705" s="32" t="n">
        <f aca="false">ROUND(IFERROR(ROUND(IF(OR(ISNUMBER(SEARCH("week",C705)),ISNUMBER(SEARCH("minggu",C705))),IFERROR(_xlfn.NUMBERVALUE(SUBSTITUTE(LEFT(TRIM(C705),FIND(" ",TRIM(C705)&amp;" ")-1),",","."),"."),LEFT(SUBSTITUTE(LEFT(TRIM(C705),FIND(" ",TRIM(C705)&amp;" ")-1),",","."),FIND("/",SUBSTITUTE(LEFT(TRIM(C705),FIND(" ",TRIM(C705)&amp;" ")-1),",","."))-1)/MID(SUBSTITUTE(LEFT(TRIM(C705),FIND(" ",TRIM(C705)&amp;" ")-1),",","."),FIND("/",SUBSTITUTE(LEFT(TRIM(C705),FIND(" ",TRIM(C705)&amp;" ")-1),",","."))+1,9))*12/52,IF(ISNUMBER(SEARCH("month",C705)),IFERROR(_xlfn.NUMBERVALUE(SUBSTITUTE(LEFT(TRIM(C705),FIND(" ",TRIM(C705)&amp;" ")-1),",","."),"."),LEFT(SUBSTITUTE(LEFT(TRIM(C705),FIND(" ",TRIM(C705)&amp;" ")-1),",","."),FIND("/",SUBSTITUTE(LEFT(TRIM(C705),FIND(" ",TRIM(C705)&amp;" ")-1),",","."))-1)/MID(SUBSTITUTE(LEFT(TRIM(C705),FIND(" ",TRIM(C705)&amp;" ")-1),",","."),FIND("/",SUBSTITUTE(LEFT(TRIM(C705),FIND(" ",TRIM(C705)&amp;" ")-1),",","."))+1,9)),IF(ISNUMBER(SEARCH("yea",C705)),IFERROR(_xlfn.NUMBERVALUE(SUBSTITUTE(LEFT(TRIM(C705),FIND(" ",TRIM(C705)&amp;" ")-1),",","."),"."),LEFT(SUBSTITUTE(LEFT(TRIM(C705),FIND(" ",TRIM(C705)&amp;" ")-1),",","."),FIND("/",SUBSTITUTE(LEFT(TRIM(C705),FIND(" ",TRIM(C705)&amp;" ")-1),",","."))-1)/MID(SUBSTITUTE(LEFT(TRIM(C705),FIND(" ",TRIM(C705)&amp;" ")-1),",","."),FIND("/",SUBSTITUTE(LEFT(TRIM(C705),FIND(" ",TRIM(C705)&amp;" ")-1),",","."))+1,9))*12,NA()))),0),30)*'Aturan &amp; Tarif'!$B$4,2)</f>
        <v>1703.4</v>
      </c>
      <c r="K705" s="32" t="n">
        <f aca="false">'Aturan &amp; Tarif'!$B$5</f>
        <v>2050</v>
      </c>
      <c r="L705" s="32" t="n">
        <f aca="false">'Aturan &amp; Tarif'!$B$6</f>
        <v>350</v>
      </c>
      <c r="M705" s="35" t="n">
        <f aca="false">I705+J705+K705+L705</f>
        <v>8813.4</v>
      </c>
      <c r="N705" s="37" t="s">
        <v>134</v>
      </c>
    </row>
    <row r="706" customFormat="false" ht="37.5" hidden="false" customHeight="true" outlineLevel="0" collapsed="false">
      <c r="A706" s="29"/>
      <c r="B706" s="30" t="s">
        <v>2355</v>
      </c>
      <c r="C706" s="31" t="s">
        <v>107</v>
      </c>
      <c r="D706" s="31" t="s">
        <v>108</v>
      </c>
      <c r="E706" s="32" t="n">
        <v>1815</v>
      </c>
      <c r="F706" s="32" t="n">
        <v>1000</v>
      </c>
      <c r="G706" s="32" t="n">
        <v>250</v>
      </c>
      <c r="H706" s="33" t="n">
        <v>1</v>
      </c>
      <c r="I706" s="34" t="n">
        <f aca="false">E706*H706+N(F706)+N(G706)</f>
        <v>3065</v>
      </c>
      <c r="J706" s="32" t="n">
        <f aca="false">ROUND(IFERROR(ROUND(IF(OR(ISNUMBER(SEARCH("week",C706)),ISNUMBER(SEARCH("minggu",C706))),IFERROR(_xlfn.NUMBERVALUE(SUBSTITUTE(LEFT(TRIM(C706),FIND(" ",TRIM(C706)&amp;" ")-1),",","."),"."),LEFT(SUBSTITUTE(LEFT(TRIM(C706),FIND(" ",TRIM(C706)&amp;" ")-1),",","."),FIND("/",SUBSTITUTE(LEFT(TRIM(C706),FIND(" ",TRIM(C706)&amp;" ")-1),",","."))-1)/MID(SUBSTITUTE(LEFT(TRIM(C706),FIND(" ",TRIM(C706)&amp;" ")-1),",","."),FIND("/",SUBSTITUTE(LEFT(TRIM(C706),FIND(" ",TRIM(C706)&amp;" ")-1),",","."))+1,9))*12/52,IF(ISNUMBER(SEARCH("month",C706)),IFERROR(_xlfn.NUMBERVALUE(SUBSTITUTE(LEFT(TRIM(C706),FIND(" ",TRIM(C706)&amp;" ")-1),",","."),"."),LEFT(SUBSTITUTE(LEFT(TRIM(C706),FIND(" ",TRIM(C706)&amp;" ")-1),",","."),FIND("/",SUBSTITUTE(LEFT(TRIM(C706),FIND(" ",TRIM(C706)&amp;" ")-1),",","."))-1)/MID(SUBSTITUTE(LEFT(TRIM(C706),FIND(" ",TRIM(C706)&amp;" ")-1),",","."),FIND("/",SUBSTITUTE(LEFT(TRIM(C706),FIND(" ",TRIM(C706)&amp;" ")-1),",","."))+1,9)),IF(ISNUMBER(SEARCH("yea",C706)),IFERROR(_xlfn.NUMBERVALUE(SUBSTITUTE(LEFT(TRIM(C706),FIND(" ",TRIM(C706)&amp;" ")-1),",","."),"."),LEFT(SUBSTITUTE(LEFT(TRIM(C706),FIND(" ",TRIM(C706)&amp;" ")-1),",","."),FIND("/",SUBSTITUTE(LEFT(TRIM(C706),FIND(" ",TRIM(C706)&amp;" ")-1),",","."))-1)/MID(SUBSTITUTE(LEFT(TRIM(C706),FIND(" ",TRIM(C706)&amp;" ")-1),",","."),FIND("/",SUBSTITUTE(LEFT(TRIM(C706),FIND(" ",TRIM(C706)&amp;" ")-1),",","."))+1,9))*12,NA()))),0),24)*'Aturan &amp; Tarif'!$B$4,2)</f>
        <v>1362.72</v>
      </c>
      <c r="K706" s="32" t="n">
        <f aca="false">'Aturan &amp; Tarif'!$B$5</f>
        <v>2050</v>
      </c>
      <c r="L706" s="32" t="n">
        <f aca="false">'Aturan &amp; Tarif'!$B$6</f>
        <v>350</v>
      </c>
      <c r="M706" s="35" t="n">
        <f aca="false">I706+J706+K706+L706</f>
        <v>6827.72</v>
      </c>
      <c r="N706" s="37" t="s">
        <v>134</v>
      </c>
    </row>
    <row r="707" customFormat="false" ht="37.5" hidden="false" customHeight="true" outlineLevel="0" collapsed="false">
      <c r="A707" s="29"/>
      <c r="B707" s="30" t="s">
        <v>1025</v>
      </c>
      <c r="C707" s="31" t="s">
        <v>107</v>
      </c>
      <c r="D707" s="31" t="s">
        <v>108</v>
      </c>
      <c r="E707" s="32" t="n">
        <v>2200</v>
      </c>
      <c r="F707" s="32" t="n">
        <v>500</v>
      </c>
      <c r="G707" s="32" t="n">
        <v>250</v>
      </c>
      <c r="H707" s="33" t="n">
        <v>1</v>
      </c>
      <c r="I707" s="34" t="n">
        <f aca="false">E707*H707+N(F707)+N(G707)</f>
        <v>2950</v>
      </c>
      <c r="J707" s="32" t="n">
        <f aca="false">ROUND(IFERROR(ROUND(IF(OR(ISNUMBER(SEARCH("week",C707)),ISNUMBER(SEARCH("minggu",C707))),IFERROR(_xlfn.NUMBERVALUE(SUBSTITUTE(LEFT(TRIM(C707),FIND(" ",TRIM(C707)&amp;" ")-1),",","."),"."),LEFT(SUBSTITUTE(LEFT(TRIM(C707),FIND(" ",TRIM(C707)&amp;" ")-1),",","."),FIND("/",SUBSTITUTE(LEFT(TRIM(C707),FIND(" ",TRIM(C707)&amp;" ")-1),",","."))-1)/MID(SUBSTITUTE(LEFT(TRIM(C707),FIND(" ",TRIM(C707)&amp;" ")-1),",","."),FIND("/",SUBSTITUTE(LEFT(TRIM(C707),FIND(" ",TRIM(C707)&amp;" ")-1),",","."))+1,9))*12/52,IF(ISNUMBER(SEARCH("month",C707)),IFERROR(_xlfn.NUMBERVALUE(SUBSTITUTE(LEFT(TRIM(C707),FIND(" ",TRIM(C707)&amp;" ")-1),",","."),"."),LEFT(SUBSTITUTE(LEFT(TRIM(C707),FIND(" ",TRIM(C707)&amp;" ")-1),",","."),FIND("/",SUBSTITUTE(LEFT(TRIM(C707),FIND(" ",TRIM(C707)&amp;" ")-1),",","."))-1)/MID(SUBSTITUTE(LEFT(TRIM(C707),FIND(" ",TRIM(C707)&amp;" ")-1),",","."),FIND("/",SUBSTITUTE(LEFT(TRIM(C707),FIND(" ",TRIM(C707)&amp;" ")-1),",","."))+1,9)),IF(ISNUMBER(SEARCH("yea",C707)),IFERROR(_xlfn.NUMBERVALUE(SUBSTITUTE(LEFT(TRIM(C707),FIND(" ",TRIM(C707)&amp;" ")-1),",","."),"."),LEFT(SUBSTITUTE(LEFT(TRIM(C707),FIND(" ",TRIM(C707)&amp;" ")-1),",","."),FIND("/",SUBSTITUTE(LEFT(TRIM(C707),FIND(" ",TRIM(C707)&amp;" ")-1),",","."))-1)/MID(SUBSTITUTE(LEFT(TRIM(C707),FIND(" ",TRIM(C707)&amp;" ")-1),",","."),FIND("/",SUBSTITUTE(LEFT(TRIM(C707),FIND(" ",TRIM(C707)&amp;" ")-1),",","."))+1,9))*12,NA()))),0),24)*'Aturan &amp; Tarif'!$B$4,2)</f>
        <v>1362.72</v>
      </c>
      <c r="K707" s="32" t="n">
        <f aca="false">'Aturan &amp; Tarif'!$B$5</f>
        <v>2050</v>
      </c>
      <c r="L707" s="32" t="n">
        <f aca="false">'Aturan &amp; Tarif'!$B$6</f>
        <v>350</v>
      </c>
      <c r="M707" s="35" t="n">
        <f aca="false">I707+J707+K707+L707</f>
        <v>6712.72</v>
      </c>
      <c r="N707" s="37" t="s">
        <v>134</v>
      </c>
    </row>
    <row r="708" customFormat="false" ht="37.5" hidden="false" customHeight="true" outlineLevel="0" collapsed="false">
      <c r="A708" s="29"/>
      <c r="B708" s="30" t="s">
        <v>430</v>
      </c>
      <c r="C708" s="31" t="s">
        <v>107</v>
      </c>
      <c r="D708" s="31" t="s">
        <v>108</v>
      </c>
      <c r="E708" s="32" t="n">
        <v>2200</v>
      </c>
      <c r="F708" s="32" t="n">
        <v>500</v>
      </c>
      <c r="G708" s="32" t="n">
        <v>250</v>
      </c>
      <c r="H708" s="33" t="n">
        <v>1</v>
      </c>
      <c r="I708" s="34" t="n">
        <f aca="false">E708*H708+N(F708)+N(G708)</f>
        <v>2950</v>
      </c>
      <c r="J708" s="32" t="n">
        <f aca="false">ROUND(IFERROR(ROUND(IF(OR(ISNUMBER(SEARCH("week",C708)),ISNUMBER(SEARCH("minggu",C708))),IFERROR(_xlfn.NUMBERVALUE(SUBSTITUTE(LEFT(TRIM(C708),FIND(" ",TRIM(C708)&amp;" ")-1),",","."),"."),LEFT(SUBSTITUTE(LEFT(TRIM(C708),FIND(" ",TRIM(C708)&amp;" ")-1),",","."),FIND("/",SUBSTITUTE(LEFT(TRIM(C708),FIND(" ",TRIM(C708)&amp;" ")-1),",","."))-1)/MID(SUBSTITUTE(LEFT(TRIM(C708),FIND(" ",TRIM(C708)&amp;" ")-1),",","."),FIND("/",SUBSTITUTE(LEFT(TRIM(C708),FIND(" ",TRIM(C708)&amp;" ")-1),",","."))+1,9))*12/52,IF(ISNUMBER(SEARCH("month",C708)),IFERROR(_xlfn.NUMBERVALUE(SUBSTITUTE(LEFT(TRIM(C708),FIND(" ",TRIM(C708)&amp;" ")-1),",","."),"."),LEFT(SUBSTITUTE(LEFT(TRIM(C708),FIND(" ",TRIM(C708)&amp;" ")-1),",","."),FIND("/",SUBSTITUTE(LEFT(TRIM(C708),FIND(" ",TRIM(C708)&amp;" ")-1),",","."))-1)/MID(SUBSTITUTE(LEFT(TRIM(C708),FIND(" ",TRIM(C708)&amp;" ")-1),",","."),FIND("/",SUBSTITUTE(LEFT(TRIM(C708),FIND(" ",TRIM(C708)&amp;" ")-1),",","."))+1,9)),IF(ISNUMBER(SEARCH("yea",C708)),IFERROR(_xlfn.NUMBERVALUE(SUBSTITUTE(LEFT(TRIM(C708),FIND(" ",TRIM(C708)&amp;" ")-1),",","."),"."),LEFT(SUBSTITUTE(LEFT(TRIM(C708),FIND(" ",TRIM(C708)&amp;" ")-1),",","."),FIND("/",SUBSTITUTE(LEFT(TRIM(C708),FIND(" ",TRIM(C708)&amp;" ")-1),",","."))-1)/MID(SUBSTITUTE(LEFT(TRIM(C708),FIND(" ",TRIM(C708)&amp;" ")-1),",","."),FIND("/",SUBSTITUTE(LEFT(TRIM(C708),FIND(" ",TRIM(C708)&amp;" ")-1),",","."))+1,9))*12,NA()))),0),24)*'Aturan &amp; Tarif'!$B$4,2)</f>
        <v>1362.72</v>
      </c>
      <c r="K708" s="32" t="n">
        <f aca="false">'Aturan &amp; Tarif'!$B$5</f>
        <v>2050</v>
      </c>
      <c r="L708" s="32" t="n">
        <f aca="false">'Aturan &amp; Tarif'!$B$6</f>
        <v>350</v>
      </c>
      <c r="M708" s="35" t="n">
        <f aca="false">I708+J708+K708+L708</f>
        <v>6712.72</v>
      </c>
      <c r="N708" s="37" t="s">
        <v>134</v>
      </c>
    </row>
    <row r="709" customFormat="false" ht="37.5" hidden="false" customHeight="true" outlineLevel="0" collapsed="false">
      <c r="A709" s="29"/>
      <c r="B709" s="30" t="s">
        <v>2356</v>
      </c>
      <c r="C709" s="31" t="s">
        <v>138</v>
      </c>
      <c r="D709" s="31" t="s">
        <v>108</v>
      </c>
      <c r="E709" s="32" t="n">
        <v>2260</v>
      </c>
      <c r="F709" s="32" t="n">
        <v>1200</v>
      </c>
      <c r="G709" s="32" t="n">
        <v>250</v>
      </c>
      <c r="H709" s="33" t="n">
        <v>1</v>
      </c>
      <c r="I709" s="34" t="n">
        <f aca="false">E709*H709+N(F709)+N(G709)</f>
        <v>3710</v>
      </c>
      <c r="J709" s="32" t="n">
        <f aca="false">ROUND(IFERROR(ROUND(IF(OR(ISNUMBER(SEARCH("week",C709)),ISNUMBER(SEARCH("minggu",C709))),IFERROR(_xlfn.NUMBERVALUE(SUBSTITUTE(LEFT(TRIM(C709),FIND(" ",TRIM(C709)&amp;" ")-1),",","."),"."),LEFT(SUBSTITUTE(LEFT(TRIM(C709),FIND(" ",TRIM(C709)&amp;" ")-1),",","."),FIND("/",SUBSTITUTE(LEFT(TRIM(C709),FIND(" ",TRIM(C709)&amp;" ")-1),",","."))-1)/MID(SUBSTITUTE(LEFT(TRIM(C709),FIND(" ",TRIM(C709)&amp;" ")-1),",","."),FIND("/",SUBSTITUTE(LEFT(TRIM(C709),FIND(" ",TRIM(C709)&amp;" ")-1),",","."))+1,9))*12/52,IF(ISNUMBER(SEARCH("month",C709)),IFERROR(_xlfn.NUMBERVALUE(SUBSTITUTE(LEFT(TRIM(C709),FIND(" ",TRIM(C709)&amp;" ")-1),",","."),"."),LEFT(SUBSTITUTE(LEFT(TRIM(C709),FIND(" ",TRIM(C709)&amp;" ")-1),",","."),FIND("/",SUBSTITUTE(LEFT(TRIM(C709),FIND(" ",TRIM(C709)&amp;" ")-1),",","."))-1)/MID(SUBSTITUTE(LEFT(TRIM(C709),FIND(" ",TRIM(C709)&amp;" ")-1),",","."),FIND("/",SUBSTITUTE(LEFT(TRIM(C709),FIND(" ",TRIM(C709)&amp;" ")-1),",","."))+1,9)),IF(ISNUMBER(SEARCH("yea",C709)),IFERROR(_xlfn.NUMBERVALUE(SUBSTITUTE(LEFT(TRIM(C709),FIND(" ",TRIM(C709)&amp;" ")-1),",","."),"."),LEFT(SUBSTITUTE(LEFT(TRIM(C709),FIND(" ",TRIM(C709)&amp;" ")-1),",","."),FIND("/",SUBSTITUTE(LEFT(TRIM(C709),FIND(" ",TRIM(C709)&amp;" ")-1),",","."))-1)/MID(SUBSTITUTE(LEFT(TRIM(C709),FIND(" ",TRIM(C709)&amp;" ")-1),",","."),FIND("/",SUBSTITUTE(LEFT(TRIM(C709),FIND(" ",TRIM(C709)&amp;" ")-1),",","."))+1,9))*12,NA()))),0),30)*'Aturan &amp; Tarif'!$B$4,2)</f>
        <v>1703.4</v>
      </c>
      <c r="K709" s="32" t="n">
        <f aca="false">'Aturan &amp; Tarif'!$B$5</f>
        <v>2050</v>
      </c>
      <c r="L709" s="32" t="n">
        <f aca="false">'Aturan &amp; Tarif'!$B$6</f>
        <v>350</v>
      </c>
      <c r="M709" s="35" t="n">
        <f aca="false">I709+J709+K709+L709</f>
        <v>7813.4</v>
      </c>
      <c r="N709" s="37" t="s">
        <v>134</v>
      </c>
    </row>
    <row r="710" customFormat="false" ht="37.5" hidden="false" customHeight="true" outlineLevel="0" collapsed="false">
      <c r="A710" s="29"/>
      <c r="B710" s="30" t="s">
        <v>1596</v>
      </c>
      <c r="C710" s="31" t="s">
        <v>107</v>
      </c>
      <c r="D710" s="31" t="s">
        <v>108</v>
      </c>
      <c r="E710" s="32" t="n">
        <v>1750</v>
      </c>
      <c r="F710" s="32" t="n">
        <v>300</v>
      </c>
      <c r="G710" s="32" t="n">
        <v>250</v>
      </c>
      <c r="H710" s="33" t="n">
        <v>1</v>
      </c>
      <c r="I710" s="34" t="n">
        <f aca="false">E710*H710+N(F710)+N(G710)</f>
        <v>2300</v>
      </c>
      <c r="J710" s="32" t="n">
        <f aca="false">ROUND(IFERROR(ROUND(IF(OR(ISNUMBER(SEARCH("week",C710)),ISNUMBER(SEARCH("minggu",C710))),IFERROR(_xlfn.NUMBERVALUE(SUBSTITUTE(LEFT(TRIM(C710),FIND(" ",TRIM(C710)&amp;" ")-1),",","."),"."),LEFT(SUBSTITUTE(LEFT(TRIM(C710),FIND(" ",TRIM(C710)&amp;" ")-1),",","."),FIND("/",SUBSTITUTE(LEFT(TRIM(C710),FIND(" ",TRIM(C710)&amp;" ")-1),",","."))-1)/MID(SUBSTITUTE(LEFT(TRIM(C710),FIND(" ",TRIM(C710)&amp;" ")-1),",","."),FIND("/",SUBSTITUTE(LEFT(TRIM(C710),FIND(" ",TRIM(C710)&amp;" ")-1),",","."))+1,9))*12/52,IF(ISNUMBER(SEARCH("month",C710)),IFERROR(_xlfn.NUMBERVALUE(SUBSTITUTE(LEFT(TRIM(C710),FIND(" ",TRIM(C710)&amp;" ")-1),",","."),"."),LEFT(SUBSTITUTE(LEFT(TRIM(C710),FIND(" ",TRIM(C710)&amp;" ")-1),",","."),FIND("/",SUBSTITUTE(LEFT(TRIM(C710),FIND(" ",TRIM(C710)&amp;" ")-1),",","."))-1)/MID(SUBSTITUTE(LEFT(TRIM(C710),FIND(" ",TRIM(C710)&amp;" ")-1),",","."),FIND("/",SUBSTITUTE(LEFT(TRIM(C710),FIND(" ",TRIM(C710)&amp;" ")-1),",","."))+1,9)),IF(ISNUMBER(SEARCH("yea",C710)),IFERROR(_xlfn.NUMBERVALUE(SUBSTITUTE(LEFT(TRIM(C710),FIND(" ",TRIM(C710)&amp;" ")-1),",","."),"."),LEFT(SUBSTITUTE(LEFT(TRIM(C710),FIND(" ",TRIM(C710)&amp;" ")-1),",","."),FIND("/",SUBSTITUTE(LEFT(TRIM(C710),FIND(" ",TRIM(C710)&amp;" ")-1),",","."))-1)/MID(SUBSTITUTE(LEFT(TRIM(C710),FIND(" ",TRIM(C710)&amp;" ")-1),",","."),FIND("/",SUBSTITUTE(LEFT(TRIM(C710),FIND(" ",TRIM(C710)&amp;" ")-1),",","."))+1,9))*12,NA()))),0),24)*'Aturan &amp; Tarif'!$B$4,2)</f>
        <v>1362.72</v>
      </c>
      <c r="K710" s="32" t="n">
        <f aca="false">'Aturan &amp; Tarif'!$B$5</f>
        <v>2050</v>
      </c>
      <c r="L710" s="32" t="n">
        <f aca="false">'Aturan &amp; Tarif'!$B$6</f>
        <v>350</v>
      </c>
      <c r="M710" s="35" t="n">
        <f aca="false">I710+J710+K710+L710</f>
        <v>6062.72</v>
      </c>
      <c r="N710" s="37" t="s">
        <v>134</v>
      </c>
    </row>
    <row r="711" customFormat="false" ht="25.5" hidden="false" customHeight="true" outlineLevel="0" collapsed="false">
      <c r="A711" s="29"/>
      <c r="B711" s="30" t="s">
        <v>625</v>
      </c>
      <c r="C711" s="31" t="s">
        <v>107</v>
      </c>
      <c r="D711" s="31" t="s">
        <v>108</v>
      </c>
      <c r="E711" s="32" t="n">
        <v>1750</v>
      </c>
      <c r="F711" s="32" t="n">
        <v>300</v>
      </c>
      <c r="G711" s="32" t="n">
        <v>250</v>
      </c>
      <c r="H711" s="33" t="n">
        <v>1</v>
      </c>
      <c r="I711" s="34" t="n">
        <f aca="false">E711*H711+N(F711)+N(G711)</f>
        <v>2300</v>
      </c>
      <c r="J711" s="32" t="n">
        <f aca="false">ROUND(IFERROR(ROUND(IF(OR(ISNUMBER(SEARCH("week",C711)),ISNUMBER(SEARCH("minggu",C711))),IFERROR(_xlfn.NUMBERVALUE(SUBSTITUTE(LEFT(TRIM(C711),FIND(" ",TRIM(C711)&amp;" ")-1),",","."),"."),LEFT(SUBSTITUTE(LEFT(TRIM(C711),FIND(" ",TRIM(C711)&amp;" ")-1),",","."),FIND("/",SUBSTITUTE(LEFT(TRIM(C711),FIND(" ",TRIM(C711)&amp;" ")-1),",","."))-1)/MID(SUBSTITUTE(LEFT(TRIM(C711),FIND(" ",TRIM(C711)&amp;" ")-1),",","."),FIND("/",SUBSTITUTE(LEFT(TRIM(C711),FIND(" ",TRIM(C711)&amp;" ")-1),",","."))+1,9))*12/52,IF(ISNUMBER(SEARCH("month",C711)),IFERROR(_xlfn.NUMBERVALUE(SUBSTITUTE(LEFT(TRIM(C711),FIND(" ",TRIM(C711)&amp;" ")-1),",","."),"."),LEFT(SUBSTITUTE(LEFT(TRIM(C711),FIND(" ",TRIM(C711)&amp;" ")-1),",","."),FIND("/",SUBSTITUTE(LEFT(TRIM(C711),FIND(" ",TRIM(C711)&amp;" ")-1),",","."))-1)/MID(SUBSTITUTE(LEFT(TRIM(C711),FIND(" ",TRIM(C711)&amp;" ")-1),",","."),FIND("/",SUBSTITUTE(LEFT(TRIM(C711),FIND(" ",TRIM(C711)&amp;" ")-1),",","."))+1,9)),IF(ISNUMBER(SEARCH("yea",C711)),IFERROR(_xlfn.NUMBERVALUE(SUBSTITUTE(LEFT(TRIM(C711),FIND(" ",TRIM(C711)&amp;" ")-1),",","."),"."),LEFT(SUBSTITUTE(LEFT(TRIM(C711),FIND(" ",TRIM(C711)&amp;" ")-1),",","."),FIND("/",SUBSTITUTE(LEFT(TRIM(C711),FIND(" ",TRIM(C711)&amp;" ")-1),",","."))-1)/MID(SUBSTITUTE(LEFT(TRIM(C711),FIND(" ",TRIM(C711)&amp;" ")-1),",","."),FIND("/",SUBSTITUTE(LEFT(TRIM(C711),FIND(" ",TRIM(C711)&amp;" ")-1),",","."))+1,9))*12,NA()))),0),24)*'Aturan &amp; Tarif'!$B$4,2)</f>
        <v>1362.72</v>
      </c>
      <c r="K711" s="32" t="n">
        <f aca="false">'Aturan &amp; Tarif'!$B$5</f>
        <v>2050</v>
      </c>
      <c r="L711" s="32" t="n">
        <f aca="false">'Aturan &amp; Tarif'!$B$6</f>
        <v>350</v>
      </c>
      <c r="M711" s="35" t="n">
        <f aca="false">I711+J711+K711+L711</f>
        <v>6062.72</v>
      </c>
      <c r="N711" s="37" t="s">
        <v>134</v>
      </c>
    </row>
    <row r="712" customFormat="false" ht="37.5" hidden="false" customHeight="true" outlineLevel="0" collapsed="false">
      <c r="A712" s="29"/>
      <c r="B712" s="30" t="s">
        <v>1979</v>
      </c>
      <c r="C712" s="31" t="s">
        <v>107</v>
      </c>
      <c r="D712" s="31" t="s">
        <v>108</v>
      </c>
      <c r="E712" s="32" t="n">
        <v>1815</v>
      </c>
      <c r="F712" s="32" t="n">
        <v>1000</v>
      </c>
      <c r="G712" s="32" t="n">
        <v>250</v>
      </c>
      <c r="H712" s="33" t="n">
        <v>1</v>
      </c>
      <c r="I712" s="34" t="n">
        <f aca="false">E712*H712+N(F712)+N(G712)</f>
        <v>3065</v>
      </c>
      <c r="J712" s="32" t="n">
        <f aca="false">ROUND(IFERROR(ROUND(IF(OR(ISNUMBER(SEARCH("week",C712)),ISNUMBER(SEARCH("minggu",C712))),IFERROR(_xlfn.NUMBERVALUE(SUBSTITUTE(LEFT(TRIM(C712),FIND(" ",TRIM(C712)&amp;" ")-1),",","."),"."),LEFT(SUBSTITUTE(LEFT(TRIM(C712),FIND(" ",TRIM(C712)&amp;" ")-1),",","."),FIND("/",SUBSTITUTE(LEFT(TRIM(C712),FIND(" ",TRIM(C712)&amp;" ")-1),",","."))-1)/MID(SUBSTITUTE(LEFT(TRIM(C712),FIND(" ",TRIM(C712)&amp;" ")-1),",","."),FIND("/",SUBSTITUTE(LEFT(TRIM(C712),FIND(" ",TRIM(C712)&amp;" ")-1),",","."))+1,9))*12/52,IF(ISNUMBER(SEARCH("month",C712)),IFERROR(_xlfn.NUMBERVALUE(SUBSTITUTE(LEFT(TRIM(C712),FIND(" ",TRIM(C712)&amp;" ")-1),",","."),"."),LEFT(SUBSTITUTE(LEFT(TRIM(C712),FIND(" ",TRIM(C712)&amp;" ")-1),",","."),FIND("/",SUBSTITUTE(LEFT(TRIM(C712),FIND(" ",TRIM(C712)&amp;" ")-1),",","."))-1)/MID(SUBSTITUTE(LEFT(TRIM(C712),FIND(" ",TRIM(C712)&amp;" ")-1),",","."),FIND("/",SUBSTITUTE(LEFT(TRIM(C712),FIND(" ",TRIM(C712)&amp;" ")-1),",","."))+1,9)),IF(ISNUMBER(SEARCH("yea",C712)),IFERROR(_xlfn.NUMBERVALUE(SUBSTITUTE(LEFT(TRIM(C712),FIND(" ",TRIM(C712)&amp;" ")-1),",","."),"."),LEFT(SUBSTITUTE(LEFT(TRIM(C712),FIND(" ",TRIM(C712)&amp;" ")-1),",","."),FIND("/",SUBSTITUTE(LEFT(TRIM(C712),FIND(" ",TRIM(C712)&amp;" ")-1),",","."))-1)/MID(SUBSTITUTE(LEFT(TRIM(C712),FIND(" ",TRIM(C712)&amp;" ")-1),",","."),FIND("/",SUBSTITUTE(LEFT(TRIM(C712),FIND(" ",TRIM(C712)&amp;" ")-1),",","."))+1,9))*12,NA()))),0),24)*'Aturan &amp; Tarif'!$B$4,2)</f>
        <v>1362.72</v>
      </c>
      <c r="K712" s="32" t="n">
        <f aca="false">'Aturan &amp; Tarif'!$B$5</f>
        <v>2050</v>
      </c>
      <c r="L712" s="32" t="n">
        <f aca="false">'Aturan &amp; Tarif'!$B$6</f>
        <v>350</v>
      </c>
      <c r="M712" s="35" t="n">
        <f aca="false">I712+J712+K712+L712</f>
        <v>6827.72</v>
      </c>
      <c r="N712" s="37" t="s">
        <v>134</v>
      </c>
    </row>
    <row r="713" customFormat="false" ht="37.5" hidden="false" customHeight="true" outlineLevel="0" collapsed="false">
      <c r="A713" s="29"/>
      <c r="B713" s="30" t="s">
        <v>139</v>
      </c>
      <c r="C713" s="31" t="s">
        <v>127</v>
      </c>
      <c r="D713" s="31" t="s">
        <v>108</v>
      </c>
      <c r="E713" s="32" t="n">
        <v>1670</v>
      </c>
      <c r="F713" s="32" t="n">
        <v>1200</v>
      </c>
      <c r="G713" s="32" t="n">
        <v>250</v>
      </c>
      <c r="H713" s="33" t="n">
        <v>1</v>
      </c>
      <c r="I713" s="34" t="n">
        <f aca="false">E713*H713+N(F713)+N(G713)</f>
        <v>3120</v>
      </c>
      <c r="J713" s="32" t="n">
        <f aca="false">ROUND(IFERROR(ROUND(IF(OR(ISNUMBER(SEARCH("week",C713)),ISNUMBER(SEARCH("minggu",C713))),IFERROR(_xlfn.NUMBERVALUE(SUBSTITUTE(LEFT(TRIM(C713),FIND(" ",TRIM(C713)&amp;" ")-1),",","."),"."),LEFT(SUBSTITUTE(LEFT(TRIM(C713),FIND(" ",TRIM(C713)&amp;" ")-1),",","."),FIND("/",SUBSTITUTE(LEFT(TRIM(C713),FIND(" ",TRIM(C713)&amp;" ")-1),",","."))-1)/MID(SUBSTITUTE(LEFT(TRIM(C713),FIND(" ",TRIM(C713)&amp;" ")-1),",","."),FIND("/",SUBSTITUTE(LEFT(TRIM(C713),FIND(" ",TRIM(C713)&amp;" ")-1),",","."))+1,9))*12/52,IF(ISNUMBER(SEARCH("month",C713)),IFERROR(_xlfn.NUMBERVALUE(SUBSTITUTE(LEFT(TRIM(C713),FIND(" ",TRIM(C713)&amp;" ")-1),",","."),"."),LEFT(SUBSTITUTE(LEFT(TRIM(C713),FIND(" ",TRIM(C713)&amp;" ")-1),",","."),FIND("/",SUBSTITUTE(LEFT(TRIM(C713),FIND(" ",TRIM(C713)&amp;" ")-1),",","."))-1)/MID(SUBSTITUTE(LEFT(TRIM(C713),FIND(" ",TRIM(C713)&amp;" ")-1),",","."),FIND("/",SUBSTITUTE(LEFT(TRIM(C713),FIND(" ",TRIM(C713)&amp;" ")-1),",","."))+1,9)),IF(ISNUMBER(SEARCH("yea",C713)),IFERROR(_xlfn.NUMBERVALUE(SUBSTITUTE(LEFT(TRIM(C713),FIND(" ",TRIM(C713)&amp;" ")-1),",","."),"."),LEFT(SUBSTITUTE(LEFT(TRIM(C713),FIND(" ",TRIM(C713)&amp;" ")-1),",","."),FIND("/",SUBSTITUTE(LEFT(TRIM(C713),FIND(" ",TRIM(C713)&amp;" ")-1),",","."))-1)/MID(SUBSTITUTE(LEFT(TRIM(C713),FIND(" ",TRIM(C713)&amp;" ")-1),",","."),FIND("/",SUBSTITUTE(LEFT(TRIM(C713),FIND(" ",TRIM(C713)&amp;" ")-1),",","."))+1,9))*12,NA()))),0),36)*'Aturan &amp; Tarif'!$B$4,2)</f>
        <v>2044.08</v>
      </c>
      <c r="K713" s="32" t="n">
        <f aca="false">'Aturan &amp; Tarif'!$B$5</f>
        <v>2050</v>
      </c>
      <c r="L713" s="32" t="n">
        <f aca="false">'Aturan &amp; Tarif'!$B$6</f>
        <v>350</v>
      </c>
      <c r="M713" s="35" t="n">
        <f aca="false">I713+J713+K713+L713</f>
        <v>7564.08</v>
      </c>
      <c r="N713" s="37" t="s">
        <v>134</v>
      </c>
    </row>
    <row r="714" customFormat="false" ht="37.5" hidden="false" customHeight="true" outlineLevel="0" collapsed="false">
      <c r="A714" s="29"/>
      <c r="B714" s="30" t="s">
        <v>2357</v>
      </c>
      <c r="C714" s="31" t="s">
        <v>127</v>
      </c>
      <c r="D714" s="31" t="s">
        <v>108</v>
      </c>
      <c r="E714" s="32" t="n">
        <v>1670</v>
      </c>
      <c r="F714" s="32" t="n">
        <v>1500</v>
      </c>
      <c r="G714" s="32" t="n">
        <v>250</v>
      </c>
      <c r="H714" s="33" t="n">
        <v>1</v>
      </c>
      <c r="I714" s="34" t="n">
        <f aca="false">E714*H714+N(F714)+N(G714)</f>
        <v>3420</v>
      </c>
      <c r="J714" s="32" t="n">
        <f aca="false">ROUND(IFERROR(ROUND(IF(OR(ISNUMBER(SEARCH("week",C714)),ISNUMBER(SEARCH("minggu",C714))),IFERROR(_xlfn.NUMBERVALUE(SUBSTITUTE(LEFT(TRIM(C714),FIND(" ",TRIM(C714)&amp;" ")-1),",","."),"."),LEFT(SUBSTITUTE(LEFT(TRIM(C714),FIND(" ",TRIM(C714)&amp;" ")-1),",","."),FIND("/",SUBSTITUTE(LEFT(TRIM(C714),FIND(" ",TRIM(C714)&amp;" ")-1),",","."))-1)/MID(SUBSTITUTE(LEFT(TRIM(C714),FIND(" ",TRIM(C714)&amp;" ")-1),",","."),FIND("/",SUBSTITUTE(LEFT(TRIM(C714),FIND(" ",TRIM(C714)&amp;" ")-1),",","."))+1,9))*12/52,IF(ISNUMBER(SEARCH("month",C714)),IFERROR(_xlfn.NUMBERVALUE(SUBSTITUTE(LEFT(TRIM(C714),FIND(" ",TRIM(C714)&amp;" ")-1),",","."),"."),LEFT(SUBSTITUTE(LEFT(TRIM(C714),FIND(" ",TRIM(C714)&amp;" ")-1),",","."),FIND("/",SUBSTITUTE(LEFT(TRIM(C714),FIND(" ",TRIM(C714)&amp;" ")-1),",","."))-1)/MID(SUBSTITUTE(LEFT(TRIM(C714),FIND(" ",TRIM(C714)&amp;" ")-1),",","."),FIND("/",SUBSTITUTE(LEFT(TRIM(C714),FIND(" ",TRIM(C714)&amp;" ")-1),",","."))+1,9)),IF(ISNUMBER(SEARCH("yea",C714)),IFERROR(_xlfn.NUMBERVALUE(SUBSTITUTE(LEFT(TRIM(C714),FIND(" ",TRIM(C714)&amp;" ")-1),",","."),"."),LEFT(SUBSTITUTE(LEFT(TRIM(C714),FIND(" ",TRIM(C714)&amp;" ")-1),",","."),FIND("/",SUBSTITUTE(LEFT(TRIM(C714),FIND(" ",TRIM(C714)&amp;" ")-1),",","."))-1)/MID(SUBSTITUTE(LEFT(TRIM(C714),FIND(" ",TRIM(C714)&amp;" ")-1),",","."),FIND("/",SUBSTITUTE(LEFT(TRIM(C714),FIND(" ",TRIM(C714)&amp;" ")-1),",","."))+1,9))*12,NA()))),0),36)*'Aturan &amp; Tarif'!$B$4,2)</f>
        <v>2044.08</v>
      </c>
      <c r="K714" s="32" t="n">
        <f aca="false">'Aturan &amp; Tarif'!$B$5</f>
        <v>2050</v>
      </c>
      <c r="L714" s="32" t="n">
        <f aca="false">'Aturan &amp; Tarif'!$B$6</f>
        <v>350</v>
      </c>
      <c r="M714" s="35" t="n">
        <f aca="false">I714+J714+K714+L714</f>
        <v>7864.08</v>
      </c>
      <c r="N714" s="37" t="s">
        <v>134</v>
      </c>
    </row>
    <row r="715" customFormat="false" ht="37.5" hidden="false" customHeight="true" outlineLevel="0" collapsed="false">
      <c r="A715" s="39" t="s">
        <v>2358</v>
      </c>
      <c r="B715" s="40" t="s">
        <v>2359</v>
      </c>
      <c r="C715" s="41" t="s">
        <v>127</v>
      </c>
      <c r="D715" s="41" t="s">
        <v>108</v>
      </c>
      <c r="E715" s="42" t="n">
        <v>1500</v>
      </c>
      <c r="F715" s="42" t="n">
        <v>50</v>
      </c>
      <c r="G715" s="42" t="n">
        <v>200</v>
      </c>
      <c r="H715" s="43" t="n">
        <v>1</v>
      </c>
      <c r="I715" s="34" t="n">
        <f aca="false">E715*H715+N(F715)+N(G715)</f>
        <v>1750</v>
      </c>
      <c r="J715" s="42" t="n">
        <f aca="false">ROUND(IFERROR(ROUND(IF(OR(ISNUMBER(SEARCH("week",C715)),ISNUMBER(SEARCH("minggu",C715))),IFERROR(_xlfn.NUMBERVALUE(SUBSTITUTE(LEFT(TRIM(C715),FIND(" ",TRIM(C715)&amp;" ")-1),",","."),"."),LEFT(SUBSTITUTE(LEFT(TRIM(C715),FIND(" ",TRIM(C715)&amp;" ")-1),",","."),FIND("/",SUBSTITUTE(LEFT(TRIM(C715),FIND(" ",TRIM(C715)&amp;" ")-1),",","."))-1)/MID(SUBSTITUTE(LEFT(TRIM(C715),FIND(" ",TRIM(C715)&amp;" ")-1),",","."),FIND("/",SUBSTITUTE(LEFT(TRIM(C715),FIND(" ",TRIM(C715)&amp;" ")-1),",","."))+1,9))*12/52,IF(ISNUMBER(SEARCH("month",C715)),IFERROR(_xlfn.NUMBERVALUE(SUBSTITUTE(LEFT(TRIM(C715),FIND(" ",TRIM(C715)&amp;" ")-1),",","."),"."),LEFT(SUBSTITUTE(LEFT(TRIM(C715),FIND(" ",TRIM(C715)&amp;" ")-1),",","."),FIND("/",SUBSTITUTE(LEFT(TRIM(C715),FIND(" ",TRIM(C715)&amp;" ")-1),",","."))-1)/MID(SUBSTITUTE(LEFT(TRIM(C715),FIND(" ",TRIM(C715)&amp;" ")-1),",","."),FIND("/",SUBSTITUTE(LEFT(TRIM(C715),FIND(" ",TRIM(C715)&amp;" ")-1),",","."))+1,9)),IF(ISNUMBER(SEARCH("yea",C715)),IFERROR(_xlfn.NUMBERVALUE(SUBSTITUTE(LEFT(TRIM(C715),FIND(" ",TRIM(C715)&amp;" ")-1),",","."),"."),LEFT(SUBSTITUTE(LEFT(TRIM(C715),FIND(" ",TRIM(C715)&amp;" ")-1),",","."),FIND("/",SUBSTITUTE(LEFT(TRIM(C715),FIND(" ",TRIM(C715)&amp;" ")-1),",","."))-1)/MID(SUBSTITUTE(LEFT(TRIM(C715),FIND(" ",TRIM(C715)&amp;" ")-1),",","."),FIND("/",SUBSTITUTE(LEFT(TRIM(C715),FIND(" ",TRIM(C715)&amp;" ")-1),",","."))+1,9))*12,NA()))),0),36)*'Aturan &amp; Tarif'!$B$4,2)</f>
        <v>2044.08</v>
      </c>
      <c r="K715" s="42" t="n">
        <f aca="false">'Aturan &amp; Tarif'!$B$5</f>
        <v>2050</v>
      </c>
      <c r="L715" s="42" t="n">
        <f aca="false">'Aturan &amp; Tarif'!$B$6</f>
        <v>350</v>
      </c>
      <c r="M715" s="35" t="n">
        <f aca="false">I715+J715+K715+L715</f>
        <v>6194.08</v>
      </c>
      <c r="N715" s="45" t="s">
        <v>134</v>
      </c>
    </row>
    <row r="716" customFormat="false" ht="14.25" hidden="false" customHeight="true" outlineLevel="0" collapsed="false">
      <c r="A716" s="39"/>
      <c r="B716" s="40" t="s">
        <v>2360</v>
      </c>
      <c r="C716" s="41" t="s">
        <v>107</v>
      </c>
      <c r="D716" s="41" t="s">
        <v>108</v>
      </c>
      <c r="E716" s="42" t="n">
        <v>1350</v>
      </c>
      <c r="F716" s="42" t="n">
        <v>75</v>
      </c>
      <c r="G716" s="42" t="n">
        <v>200</v>
      </c>
      <c r="H716" s="43" t="n">
        <v>1</v>
      </c>
      <c r="I716" s="34" t="n">
        <f aca="false">E716*H716+N(F716)+N(G716)</f>
        <v>1625</v>
      </c>
      <c r="J716" s="42" t="n">
        <f aca="false">ROUND(IFERROR(ROUND(IF(OR(ISNUMBER(SEARCH("week",C716)),ISNUMBER(SEARCH("minggu",C716))),IFERROR(_xlfn.NUMBERVALUE(SUBSTITUTE(LEFT(TRIM(C716),FIND(" ",TRIM(C716)&amp;" ")-1),",","."),"."),LEFT(SUBSTITUTE(LEFT(TRIM(C716),FIND(" ",TRIM(C716)&amp;" ")-1),",","."),FIND("/",SUBSTITUTE(LEFT(TRIM(C716),FIND(" ",TRIM(C716)&amp;" ")-1),",","."))-1)/MID(SUBSTITUTE(LEFT(TRIM(C716),FIND(" ",TRIM(C716)&amp;" ")-1),",","."),FIND("/",SUBSTITUTE(LEFT(TRIM(C716),FIND(" ",TRIM(C716)&amp;" ")-1),",","."))+1,9))*12/52,IF(ISNUMBER(SEARCH("month",C716)),IFERROR(_xlfn.NUMBERVALUE(SUBSTITUTE(LEFT(TRIM(C716),FIND(" ",TRIM(C716)&amp;" ")-1),",","."),"."),LEFT(SUBSTITUTE(LEFT(TRIM(C716),FIND(" ",TRIM(C716)&amp;" ")-1),",","."),FIND("/",SUBSTITUTE(LEFT(TRIM(C716),FIND(" ",TRIM(C716)&amp;" ")-1),",","."))-1)/MID(SUBSTITUTE(LEFT(TRIM(C716),FIND(" ",TRIM(C716)&amp;" ")-1),",","."),FIND("/",SUBSTITUTE(LEFT(TRIM(C716),FIND(" ",TRIM(C716)&amp;" ")-1),",","."))+1,9)),IF(ISNUMBER(SEARCH("yea",C716)),IFERROR(_xlfn.NUMBERVALUE(SUBSTITUTE(LEFT(TRIM(C716),FIND(" ",TRIM(C716)&amp;" ")-1),",","."),"."),LEFT(SUBSTITUTE(LEFT(TRIM(C716),FIND(" ",TRIM(C716)&amp;" ")-1),",","."),FIND("/",SUBSTITUTE(LEFT(TRIM(C716),FIND(" ",TRIM(C716)&amp;" ")-1),",","."))-1)/MID(SUBSTITUTE(LEFT(TRIM(C716),FIND(" ",TRIM(C716)&amp;" ")-1),",","."),FIND("/",SUBSTITUTE(LEFT(TRIM(C716),FIND(" ",TRIM(C716)&amp;" ")-1),",","."))+1,9))*12,NA()))),0),24)*'Aturan &amp; Tarif'!$B$4,2)</f>
        <v>1362.72</v>
      </c>
      <c r="K716" s="42" t="n">
        <f aca="false">'Aturan &amp; Tarif'!$B$5</f>
        <v>2050</v>
      </c>
      <c r="L716" s="42" t="n">
        <f aca="false">'Aturan &amp; Tarif'!$B$6</f>
        <v>350</v>
      </c>
      <c r="M716" s="35" t="n">
        <f aca="false">I716+J716+K716+L716</f>
        <v>5387.72</v>
      </c>
      <c r="N716" s="44" t="s">
        <v>131</v>
      </c>
    </row>
    <row r="717" customFormat="false" ht="60" hidden="false" customHeight="true" outlineLevel="0" collapsed="false">
      <c r="A717" s="39"/>
      <c r="B717" s="40" t="s">
        <v>2361</v>
      </c>
      <c r="C717" s="41" t="s">
        <v>127</v>
      </c>
      <c r="D717" s="41" t="s">
        <v>108</v>
      </c>
      <c r="E717" s="42" t="n">
        <v>1350</v>
      </c>
      <c r="F717" s="42" t="n">
        <v>75</v>
      </c>
      <c r="G717" s="42" t="n">
        <v>200</v>
      </c>
      <c r="H717" s="43" t="n">
        <v>1</v>
      </c>
      <c r="I717" s="34" t="n">
        <f aca="false">E717*H717+N(F717)+N(G717)</f>
        <v>1625</v>
      </c>
      <c r="J717" s="42" t="n">
        <f aca="false">ROUND(IFERROR(ROUND(IF(OR(ISNUMBER(SEARCH("week",C717)),ISNUMBER(SEARCH("minggu",C717))),IFERROR(_xlfn.NUMBERVALUE(SUBSTITUTE(LEFT(TRIM(C717),FIND(" ",TRIM(C717)&amp;" ")-1),",","."),"."),LEFT(SUBSTITUTE(LEFT(TRIM(C717),FIND(" ",TRIM(C717)&amp;" ")-1),",","."),FIND("/",SUBSTITUTE(LEFT(TRIM(C717),FIND(" ",TRIM(C717)&amp;" ")-1),",","."))-1)/MID(SUBSTITUTE(LEFT(TRIM(C717),FIND(" ",TRIM(C717)&amp;" ")-1),",","."),FIND("/",SUBSTITUTE(LEFT(TRIM(C717),FIND(" ",TRIM(C717)&amp;" ")-1),",","."))+1,9))*12/52,IF(ISNUMBER(SEARCH("month",C717)),IFERROR(_xlfn.NUMBERVALUE(SUBSTITUTE(LEFT(TRIM(C717),FIND(" ",TRIM(C717)&amp;" ")-1),",","."),"."),LEFT(SUBSTITUTE(LEFT(TRIM(C717),FIND(" ",TRIM(C717)&amp;" ")-1),",","."),FIND("/",SUBSTITUTE(LEFT(TRIM(C717),FIND(" ",TRIM(C717)&amp;" ")-1),",","."))-1)/MID(SUBSTITUTE(LEFT(TRIM(C717),FIND(" ",TRIM(C717)&amp;" ")-1),",","."),FIND("/",SUBSTITUTE(LEFT(TRIM(C717),FIND(" ",TRIM(C717)&amp;" ")-1),",","."))+1,9)),IF(ISNUMBER(SEARCH("yea",C717)),IFERROR(_xlfn.NUMBERVALUE(SUBSTITUTE(LEFT(TRIM(C717),FIND(" ",TRIM(C717)&amp;" ")-1),",","."),"."),LEFT(SUBSTITUTE(LEFT(TRIM(C717),FIND(" ",TRIM(C717)&amp;" ")-1),",","."),FIND("/",SUBSTITUTE(LEFT(TRIM(C717),FIND(" ",TRIM(C717)&amp;" ")-1),",","."))-1)/MID(SUBSTITUTE(LEFT(TRIM(C717),FIND(" ",TRIM(C717)&amp;" ")-1),",","."),FIND("/",SUBSTITUTE(LEFT(TRIM(C717),FIND(" ",TRIM(C717)&amp;" ")-1),",","."))+1,9))*12,NA()))),0),36)*'Aturan &amp; Tarif'!$B$4,2)</f>
        <v>2044.08</v>
      </c>
      <c r="K717" s="42" t="n">
        <f aca="false">'Aturan &amp; Tarif'!$B$5</f>
        <v>2050</v>
      </c>
      <c r="L717" s="42" t="n">
        <f aca="false">'Aturan &amp; Tarif'!$B$6</f>
        <v>350</v>
      </c>
      <c r="M717" s="35" t="n">
        <f aca="false">I717+J717+K717+L717</f>
        <v>6069.08</v>
      </c>
      <c r="N717" s="44" t="s">
        <v>131</v>
      </c>
    </row>
    <row r="718" customFormat="false" ht="37.5" hidden="false" customHeight="true" outlineLevel="0" collapsed="false">
      <c r="A718" s="39"/>
      <c r="B718" s="40" t="s">
        <v>1979</v>
      </c>
      <c r="C718" s="41" t="s">
        <v>107</v>
      </c>
      <c r="D718" s="41" t="s">
        <v>108</v>
      </c>
      <c r="E718" s="42" t="n">
        <v>2100</v>
      </c>
      <c r="F718" s="42" t="n">
        <v>125</v>
      </c>
      <c r="G718" s="42" t="n">
        <v>200</v>
      </c>
      <c r="H718" s="43" t="n">
        <v>1</v>
      </c>
      <c r="I718" s="34" t="n">
        <f aca="false">E718*H718+N(F718)+N(G718)</f>
        <v>2425</v>
      </c>
      <c r="J718" s="42" t="n">
        <f aca="false">ROUND(IFERROR(ROUND(IF(OR(ISNUMBER(SEARCH("week",C718)),ISNUMBER(SEARCH("minggu",C718))),IFERROR(_xlfn.NUMBERVALUE(SUBSTITUTE(LEFT(TRIM(C718),FIND(" ",TRIM(C718)&amp;" ")-1),",","."),"."),LEFT(SUBSTITUTE(LEFT(TRIM(C718),FIND(" ",TRIM(C718)&amp;" ")-1),",","."),FIND("/",SUBSTITUTE(LEFT(TRIM(C718),FIND(" ",TRIM(C718)&amp;" ")-1),",","."))-1)/MID(SUBSTITUTE(LEFT(TRIM(C718),FIND(" ",TRIM(C718)&amp;" ")-1),",","."),FIND("/",SUBSTITUTE(LEFT(TRIM(C718),FIND(" ",TRIM(C718)&amp;" ")-1),",","."))+1,9))*12/52,IF(ISNUMBER(SEARCH("month",C718)),IFERROR(_xlfn.NUMBERVALUE(SUBSTITUTE(LEFT(TRIM(C718),FIND(" ",TRIM(C718)&amp;" ")-1),",","."),"."),LEFT(SUBSTITUTE(LEFT(TRIM(C718),FIND(" ",TRIM(C718)&amp;" ")-1),",","."),FIND("/",SUBSTITUTE(LEFT(TRIM(C718),FIND(" ",TRIM(C718)&amp;" ")-1),",","."))-1)/MID(SUBSTITUTE(LEFT(TRIM(C718),FIND(" ",TRIM(C718)&amp;" ")-1),",","."),FIND("/",SUBSTITUTE(LEFT(TRIM(C718),FIND(" ",TRIM(C718)&amp;" ")-1),",","."))+1,9)),IF(ISNUMBER(SEARCH("yea",C718)),IFERROR(_xlfn.NUMBERVALUE(SUBSTITUTE(LEFT(TRIM(C718),FIND(" ",TRIM(C718)&amp;" ")-1),",","."),"."),LEFT(SUBSTITUTE(LEFT(TRIM(C718),FIND(" ",TRIM(C718)&amp;" ")-1),",","."),FIND("/",SUBSTITUTE(LEFT(TRIM(C718),FIND(" ",TRIM(C718)&amp;" ")-1),",","."))-1)/MID(SUBSTITUTE(LEFT(TRIM(C718),FIND(" ",TRIM(C718)&amp;" ")-1),",","."),FIND("/",SUBSTITUTE(LEFT(TRIM(C718),FIND(" ",TRIM(C718)&amp;" ")-1),",","."))+1,9))*12,NA()))),0),24)*'Aturan &amp; Tarif'!$B$4,2)</f>
        <v>1362.72</v>
      </c>
      <c r="K718" s="42" t="n">
        <f aca="false">'Aturan &amp; Tarif'!$B$5</f>
        <v>2050</v>
      </c>
      <c r="L718" s="42" t="n">
        <f aca="false">'Aturan &amp; Tarif'!$B$6</f>
        <v>350</v>
      </c>
      <c r="M718" s="35" t="n">
        <f aca="false">I718+J718+K718+L718</f>
        <v>6187.72</v>
      </c>
      <c r="N718" s="45" t="s">
        <v>134</v>
      </c>
    </row>
    <row r="719" customFormat="false" ht="37.5" hidden="false" customHeight="true" outlineLevel="0" collapsed="false">
      <c r="A719" s="39"/>
      <c r="B719" s="40" t="s">
        <v>2362</v>
      </c>
      <c r="C719" s="41" t="s">
        <v>191</v>
      </c>
      <c r="D719" s="41" t="s">
        <v>108</v>
      </c>
      <c r="E719" s="42" t="n">
        <v>2100</v>
      </c>
      <c r="F719" s="42" t="n">
        <v>125</v>
      </c>
      <c r="G719" s="42" t="n">
        <v>200</v>
      </c>
      <c r="H719" s="43" t="n">
        <v>1</v>
      </c>
      <c r="I719" s="34" t="n">
        <f aca="false">E719*H719+N(F719)+N(G719)</f>
        <v>2425</v>
      </c>
      <c r="J719" s="42" t="n">
        <f aca="false">ROUND(IFERROR(ROUND(IF(OR(ISNUMBER(SEARCH("week",C719)),ISNUMBER(SEARCH("minggu",C719))),IFERROR(_xlfn.NUMBERVALUE(SUBSTITUTE(LEFT(TRIM(C719),FIND(" ",TRIM(C719)&amp;" ")-1),",","."),"."),LEFT(SUBSTITUTE(LEFT(TRIM(C719),FIND(" ",TRIM(C719)&amp;" ")-1),",","."),FIND("/",SUBSTITUTE(LEFT(TRIM(C719),FIND(" ",TRIM(C719)&amp;" ")-1),",","."))-1)/MID(SUBSTITUTE(LEFT(TRIM(C719),FIND(" ",TRIM(C719)&amp;" ")-1),",","."),FIND("/",SUBSTITUTE(LEFT(TRIM(C719),FIND(" ",TRIM(C719)&amp;" ")-1),",","."))+1,9))*12/52,IF(ISNUMBER(SEARCH("month",C719)),IFERROR(_xlfn.NUMBERVALUE(SUBSTITUTE(LEFT(TRIM(C719),FIND(" ",TRIM(C719)&amp;" ")-1),",","."),"."),LEFT(SUBSTITUTE(LEFT(TRIM(C719),FIND(" ",TRIM(C719)&amp;" ")-1),",","."),FIND("/",SUBSTITUTE(LEFT(TRIM(C719),FIND(" ",TRIM(C719)&amp;" ")-1),",","."))-1)/MID(SUBSTITUTE(LEFT(TRIM(C719),FIND(" ",TRIM(C719)&amp;" ")-1),",","."),FIND("/",SUBSTITUTE(LEFT(TRIM(C719),FIND(" ",TRIM(C719)&amp;" ")-1),",","."))+1,9)),IF(ISNUMBER(SEARCH("yea",C719)),IFERROR(_xlfn.NUMBERVALUE(SUBSTITUTE(LEFT(TRIM(C719),FIND(" ",TRIM(C719)&amp;" ")-1),",","."),"."),LEFT(SUBSTITUTE(LEFT(TRIM(C719),FIND(" ",TRIM(C719)&amp;" ")-1),",","."),FIND("/",SUBSTITUTE(LEFT(TRIM(C719),FIND(" ",TRIM(C719)&amp;" ")-1),",","."))-1)/MID(SUBSTITUTE(LEFT(TRIM(C719),FIND(" ",TRIM(C719)&amp;" ")-1),",","."),FIND("/",SUBSTITUTE(LEFT(TRIM(C719),FIND(" ",TRIM(C719)&amp;" ")-1),",","."))+1,9))*12,NA()))),0),48)*'Aturan &amp; Tarif'!$B$4,2)</f>
        <v>2725.44</v>
      </c>
      <c r="K719" s="42" t="n">
        <f aca="false">'Aturan &amp; Tarif'!$B$5</f>
        <v>2050</v>
      </c>
      <c r="L719" s="42" t="n">
        <f aca="false">'Aturan &amp; Tarif'!$B$6</f>
        <v>350</v>
      </c>
      <c r="M719" s="35" t="n">
        <f aca="false">I719+J719+K719+L719</f>
        <v>7550.44</v>
      </c>
      <c r="N719" s="45" t="s">
        <v>134</v>
      </c>
    </row>
    <row r="720" customFormat="false" ht="37.5" hidden="false" customHeight="true" outlineLevel="0" collapsed="false">
      <c r="A720" s="39"/>
      <c r="B720" s="40" t="s">
        <v>2363</v>
      </c>
      <c r="C720" s="41" t="s">
        <v>107</v>
      </c>
      <c r="D720" s="41" t="s">
        <v>108</v>
      </c>
      <c r="E720" s="42" t="n">
        <v>2100</v>
      </c>
      <c r="F720" s="42" t="n">
        <v>250</v>
      </c>
      <c r="G720" s="42" t="n">
        <v>500</v>
      </c>
      <c r="H720" s="43" t="n">
        <v>1</v>
      </c>
      <c r="I720" s="34" t="n">
        <f aca="false">E720*H720+N(F720)+N(G720)</f>
        <v>2850</v>
      </c>
      <c r="J720" s="42" t="n">
        <f aca="false">ROUND(IFERROR(ROUND(IF(OR(ISNUMBER(SEARCH("week",C720)),ISNUMBER(SEARCH("minggu",C720))),IFERROR(_xlfn.NUMBERVALUE(SUBSTITUTE(LEFT(TRIM(C720),FIND(" ",TRIM(C720)&amp;" ")-1),",","."),"."),LEFT(SUBSTITUTE(LEFT(TRIM(C720),FIND(" ",TRIM(C720)&amp;" ")-1),",","."),FIND("/",SUBSTITUTE(LEFT(TRIM(C720),FIND(" ",TRIM(C720)&amp;" ")-1),",","."))-1)/MID(SUBSTITUTE(LEFT(TRIM(C720),FIND(" ",TRIM(C720)&amp;" ")-1),",","."),FIND("/",SUBSTITUTE(LEFT(TRIM(C720),FIND(" ",TRIM(C720)&amp;" ")-1),",","."))+1,9))*12/52,IF(ISNUMBER(SEARCH("month",C720)),IFERROR(_xlfn.NUMBERVALUE(SUBSTITUTE(LEFT(TRIM(C720),FIND(" ",TRIM(C720)&amp;" ")-1),",","."),"."),LEFT(SUBSTITUTE(LEFT(TRIM(C720),FIND(" ",TRIM(C720)&amp;" ")-1),",","."),FIND("/",SUBSTITUTE(LEFT(TRIM(C720),FIND(" ",TRIM(C720)&amp;" ")-1),",","."))-1)/MID(SUBSTITUTE(LEFT(TRIM(C720),FIND(" ",TRIM(C720)&amp;" ")-1),",","."),FIND("/",SUBSTITUTE(LEFT(TRIM(C720),FIND(" ",TRIM(C720)&amp;" ")-1),",","."))+1,9)),IF(ISNUMBER(SEARCH("yea",C720)),IFERROR(_xlfn.NUMBERVALUE(SUBSTITUTE(LEFT(TRIM(C720),FIND(" ",TRIM(C720)&amp;" ")-1),",","."),"."),LEFT(SUBSTITUTE(LEFT(TRIM(C720),FIND(" ",TRIM(C720)&amp;" ")-1),",","."),FIND("/",SUBSTITUTE(LEFT(TRIM(C720),FIND(" ",TRIM(C720)&amp;" ")-1),",","."))-1)/MID(SUBSTITUTE(LEFT(TRIM(C720),FIND(" ",TRIM(C720)&amp;" ")-1),",","."),FIND("/",SUBSTITUTE(LEFT(TRIM(C720),FIND(" ",TRIM(C720)&amp;" ")-1),",","."))+1,9))*12,NA()))),0),24)*'Aturan &amp; Tarif'!$B$4,2)</f>
        <v>1362.72</v>
      </c>
      <c r="K720" s="42" t="n">
        <f aca="false">'Aturan &amp; Tarif'!$B$5</f>
        <v>2050</v>
      </c>
      <c r="L720" s="42" t="n">
        <f aca="false">'Aturan &amp; Tarif'!$B$6</f>
        <v>350</v>
      </c>
      <c r="M720" s="35" t="n">
        <f aca="false">I720+J720+K720+L720</f>
        <v>6612.72</v>
      </c>
      <c r="N720" s="45" t="s">
        <v>134</v>
      </c>
    </row>
    <row r="721" customFormat="false" ht="25.5" hidden="false" customHeight="true" outlineLevel="0" collapsed="false">
      <c r="A721" s="29" t="s">
        <v>2364</v>
      </c>
      <c r="B721" s="30" t="s">
        <v>2365</v>
      </c>
      <c r="C721" s="31" t="s">
        <v>130</v>
      </c>
      <c r="D721" s="31" t="s">
        <v>108</v>
      </c>
      <c r="E721" s="32" t="n">
        <v>4575</v>
      </c>
      <c r="F721" s="32"/>
      <c r="G721" s="32" t="n">
        <v>100</v>
      </c>
      <c r="H721" s="33" t="n">
        <v>2</v>
      </c>
      <c r="I721" s="34" t="n">
        <f aca="false">E721*H721+N(F721)+N(G721)</f>
        <v>9250</v>
      </c>
      <c r="J721" s="32" t="n">
        <f aca="false">ROUND(IFERROR(ROUND(IF(OR(ISNUMBER(SEARCH("week",C721)),ISNUMBER(SEARCH("minggu",C721))),IFERROR(_xlfn.NUMBERVALUE(SUBSTITUTE(LEFT(TRIM(C721),FIND(" ",TRIM(C721)&amp;" ")-1),",","."),"."),LEFT(SUBSTITUTE(LEFT(TRIM(C721),FIND(" ",TRIM(C721)&amp;" ")-1),",","."),FIND("/",SUBSTITUTE(LEFT(TRIM(C721),FIND(" ",TRIM(C721)&amp;" ")-1),",","."))-1)/MID(SUBSTITUTE(LEFT(TRIM(C721),FIND(" ",TRIM(C721)&amp;" ")-1),",","."),FIND("/",SUBSTITUTE(LEFT(TRIM(C721),FIND(" ",TRIM(C721)&amp;" ")-1),",","."))+1,9))*12/52,IF(ISNUMBER(SEARCH("month",C721)),IFERROR(_xlfn.NUMBERVALUE(SUBSTITUTE(LEFT(TRIM(C721),FIND(" ",TRIM(C721)&amp;" ")-1),",","."),"."),LEFT(SUBSTITUTE(LEFT(TRIM(C721),FIND(" ",TRIM(C721)&amp;" ")-1),",","."),FIND("/",SUBSTITUTE(LEFT(TRIM(C721),FIND(" ",TRIM(C721)&amp;" ")-1),",","."))-1)/MID(SUBSTITUTE(LEFT(TRIM(C721),FIND(" ",TRIM(C721)&amp;" ")-1),",","."),FIND("/",SUBSTITUTE(LEFT(TRIM(C721),FIND(" ",TRIM(C721)&amp;" ")-1),",","."))+1,9)),IF(ISNUMBER(SEARCH("yea",C721)),IFERROR(_xlfn.NUMBERVALUE(SUBSTITUTE(LEFT(TRIM(C721),FIND(" ",TRIM(C721)&amp;" ")-1),",","."),"."),LEFT(SUBSTITUTE(LEFT(TRIM(C721),FIND(" ",TRIM(C721)&amp;" ")-1),",","."),FIND("/",SUBSTITUTE(LEFT(TRIM(C721),FIND(" ",TRIM(C721)&amp;" ")-1),",","."))-1)/MID(SUBSTITUTE(LEFT(TRIM(C721),FIND(" ",TRIM(C721)&amp;" ")-1),",","."),FIND("/",SUBSTITUTE(LEFT(TRIM(C721),FIND(" ",TRIM(C721)&amp;" ")-1),",","."))+1,9))*12,NA()))),0),12)*'Aturan &amp; Tarif'!$B$4,2)</f>
        <v>681.36</v>
      </c>
      <c r="K721" s="32" t="n">
        <f aca="false">'Aturan &amp; Tarif'!$B$5</f>
        <v>2050</v>
      </c>
      <c r="L721" s="32" t="n">
        <f aca="false">'Aturan &amp; Tarif'!$B$6</f>
        <v>350</v>
      </c>
      <c r="M721" s="35" t="n">
        <f aca="false">I721+J721+K721+L721</f>
        <v>12331.36</v>
      </c>
      <c r="N721" s="37" t="s">
        <v>2366</v>
      </c>
    </row>
    <row r="722" customFormat="false" ht="48.75" hidden="false" customHeight="true" outlineLevel="0" collapsed="false">
      <c r="A722" s="29"/>
      <c r="B722" s="30" t="s">
        <v>2367</v>
      </c>
      <c r="C722" s="31" t="s">
        <v>107</v>
      </c>
      <c r="D722" s="31" t="s">
        <v>108</v>
      </c>
      <c r="E722" s="32" t="n">
        <v>3500</v>
      </c>
      <c r="F722" s="32"/>
      <c r="G722" s="32" t="n">
        <v>100</v>
      </c>
      <c r="H722" s="33" t="n">
        <v>2</v>
      </c>
      <c r="I722" s="34" t="n">
        <f aca="false">E722*H722+N(F722)+N(G722)</f>
        <v>7100</v>
      </c>
      <c r="J722" s="32" t="n">
        <f aca="false">ROUND(IFERROR(ROUND(IF(OR(ISNUMBER(SEARCH("week",C722)),ISNUMBER(SEARCH("minggu",C722))),IFERROR(_xlfn.NUMBERVALUE(SUBSTITUTE(LEFT(TRIM(C722),FIND(" ",TRIM(C722)&amp;" ")-1),",","."),"."),LEFT(SUBSTITUTE(LEFT(TRIM(C722),FIND(" ",TRIM(C722)&amp;" ")-1),",","."),FIND("/",SUBSTITUTE(LEFT(TRIM(C722),FIND(" ",TRIM(C722)&amp;" ")-1),",","."))-1)/MID(SUBSTITUTE(LEFT(TRIM(C722),FIND(" ",TRIM(C722)&amp;" ")-1),",","."),FIND("/",SUBSTITUTE(LEFT(TRIM(C722),FIND(" ",TRIM(C722)&amp;" ")-1),",","."))+1,9))*12/52,IF(ISNUMBER(SEARCH("month",C722)),IFERROR(_xlfn.NUMBERVALUE(SUBSTITUTE(LEFT(TRIM(C722),FIND(" ",TRIM(C722)&amp;" ")-1),",","."),"."),LEFT(SUBSTITUTE(LEFT(TRIM(C722),FIND(" ",TRIM(C722)&amp;" ")-1),",","."),FIND("/",SUBSTITUTE(LEFT(TRIM(C722),FIND(" ",TRIM(C722)&amp;" ")-1),",","."))-1)/MID(SUBSTITUTE(LEFT(TRIM(C722),FIND(" ",TRIM(C722)&amp;" ")-1),",","."),FIND("/",SUBSTITUTE(LEFT(TRIM(C722),FIND(" ",TRIM(C722)&amp;" ")-1),",","."))+1,9)),IF(ISNUMBER(SEARCH("yea",C722)),IFERROR(_xlfn.NUMBERVALUE(SUBSTITUTE(LEFT(TRIM(C722),FIND(" ",TRIM(C722)&amp;" ")-1),",","."),"."),LEFT(SUBSTITUTE(LEFT(TRIM(C722),FIND(" ",TRIM(C722)&amp;" ")-1),",","."),FIND("/",SUBSTITUTE(LEFT(TRIM(C722),FIND(" ",TRIM(C722)&amp;" ")-1),",","."))-1)/MID(SUBSTITUTE(LEFT(TRIM(C722),FIND(" ",TRIM(C722)&amp;" ")-1),",","."),FIND("/",SUBSTITUTE(LEFT(TRIM(C722),FIND(" ",TRIM(C722)&amp;" ")-1),",","."))+1,9))*12,NA()))),0),24)*'Aturan &amp; Tarif'!$B$4,2)</f>
        <v>1362.72</v>
      </c>
      <c r="K722" s="32" t="n">
        <f aca="false">'Aturan &amp; Tarif'!$B$5</f>
        <v>2050</v>
      </c>
      <c r="L722" s="32" t="n">
        <f aca="false">'Aturan &amp; Tarif'!$B$6</f>
        <v>350</v>
      </c>
      <c r="M722" s="35" t="n">
        <f aca="false">I722+J722+K722+L722</f>
        <v>10862.72</v>
      </c>
      <c r="N722" s="36" t="s">
        <v>2368</v>
      </c>
    </row>
    <row r="723" customFormat="false" ht="25.5" hidden="false" customHeight="true" outlineLevel="0" collapsed="false">
      <c r="A723" s="29"/>
      <c r="B723" s="30" t="s">
        <v>2369</v>
      </c>
      <c r="C723" s="31" t="s">
        <v>107</v>
      </c>
      <c r="D723" s="31" t="s">
        <v>108</v>
      </c>
      <c r="E723" s="32" t="n">
        <v>4325</v>
      </c>
      <c r="F723" s="32"/>
      <c r="G723" s="32" t="n">
        <v>100</v>
      </c>
      <c r="H723" s="33" t="n">
        <v>2</v>
      </c>
      <c r="I723" s="34" t="n">
        <f aca="false">E723*H723+N(F723)+N(G723)</f>
        <v>8750</v>
      </c>
      <c r="J723" s="32" t="n">
        <f aca="false">ROUND(IFERROR(ROUND(IF(OR(ISNUMBER(SEARCH("week",C723)),ISNUMBER(SEARCH("minggu",C723))),IFERROR(_xlfn.NUMBERVALUE(SUBSTITUTE(LEFT(TRIM(C723),FIND(" ",TRIM(C723)&amp;" ")-1),",","."),"."),LEFT(SUBSTITUTE(LEFT(TRIM(C723),FIND(" ",TRIM(C723)&amp;" ")-1),",","."),FIND("/",SUBSTITUTE(LEFT(TRIM(C723),FIND(" ",TRIM(C723)&amp;" ")-1),",","."))-1)/MID(SUBSTITUTE(LEFT(TRIM(C723),FIND(" ",TRIM(C723)&amp;" ")-1),",","."),FIND("/",SUBSTITUTE(LEFT(TRIM(C723),FIND(" ",TRIM(C723)&amp;" ")-1),",","."))+1,9))*12/52,IF(ISNUMBER(SEARCH("month",C723)),IFERROR(_xlfn.NUMBERVALUE(SUBSTITUTE(LEFT(TRIM(C723),FIND(" ",TRIM(C723)&amp;" ")-1),",","."),"."),LEFT(SUBSTITUTE(LEFT(TRIM(C723),FIND(" ",TRIM(C723)&amp;" ")-1),",","."),FIND("/",SUBSTITUTE(LEFT(TRIM(C723),FIND(" ",TRIM(C723)&amp;" ")-1),",","."))-1)/MID(SUBSTITUTE(LEFT(TRIM(C723),FIND(" ",TRIM(C723)&amp;" ")-1),",","."),FIND("/",SUBSTITUTE(LEFT(TRIM(C723),FIND(" ",TRIM(C723)&amp;" ")-1),",","."))+1,9)),IF(ISNUMBER(SEARCH("yea",C723)),IFERROR(_xlfn.NUMBERVALUE(SUBSTITUTE(LEFT(TRIM(C723),FIND(" ",TRIM(C723)&amp;" ")-1),",","."),"."),LEFT(SUBSTITUTE(LEFT(TRIM(C723),FIND(" ",TRIM(C723)&amp;" ")-1),",","."),FIND("/",SUBSTITUTE(LEFT(TRIM(C723),FIND(" ",TRIM(C723)&amp;" ")-1),",","."))-1)/MID(SUBSTITUTE(LEFT(TRIM(C723),FIND(" ",TRIM(C723)&amp;" ")-1),",","."),FIND("/",SUBSTITUTE(LEFT(TRIM(C723),FIND(" ",TRIM(C723)&amp;" ")-1),",","."))+1,9))*12,NA()))),0),24)*'Aturan &amp; Tarif'!$B$4,2)</f>
        <v>1362.72</v>
      </c>
      <c r="K723" s="32" t="n">
        <f aca="false">'Aturan &amp; Tarif'!$B$5</f>
        <v>2050</v>
      </c>
      <c r="L723" s="32" t="n">
        <f aca="false">'Aturan &amp; Tarif'!$B$6</f>
        <v>350</v>
      </c>
      <c r="M723" s="35" t="n">
        <f aca="false">I723+J723+K723+L723</f>
        <v>12512.72</v>
      </c>
      <c r="N723" s="36" t="s">
        <v>2368</v>
      </c>
    </row>
    <row r="724" customFormat="false" ht="25.5" hidden="false" customHeight="true" outlineLevel="0" collapsed="false">
      <c r="A724" s="29"/>
      <c r="B724" s="30" t="s">
        <v>2370</v>
      </c>
      <c r="C724" s="31" t="s">
        <v>113</v>
      </c>
      <c r="D724" s="31" t="s">
        <v>108</v>
      </c>
      <c r="E724" s="32" t="n">
        <v>6775</v>
      </c>
      <c r="F724" s="32"/>
      <c r="G724" s="32" t="n">
        <v>100</v>
      </c>
      <c r="H724" s="33" t="n">
        <v>2</v>
      </c>
      <c r="I724" s="34" t="n">
        <f aca="false">E724*H724+N(F724)+N(G724)</f>
        <v>13650</v>
      </c>
      <c r="J724" s="32" t="n">
        <f aca="false">ROUND(IFERROR(ROUND(IF(OR(ISNUMBER(SEARCH("week",C724)),ISNUMBER(SEARCH("minggu",C724))),IFERROR(_xlfn.NUMBERVALUE(SUBSTITUTE(LEFT(TRIM(C724),FIND(" ",TRIM(C724)&amp;" ")-1),",","."),"."),LEFT(SUBSTITUTE(LEFT(TRIM(C724),FIND(" ",TRIM(C724)&amp;" ")-1),",","."),FIND("/",SUBSTITUTE(LEFT(TRIM(C724),FIND(" ",TRIM(C724)&amp;" ")-1),",","."))-1)/MID(SUBSTITUTE(LEFT(TRIM(C724),FIND(" ",TRIM(C724)&amp;" ")-1),",","."),FIND("/",SUBSTITUTE(LEFT(TRIM(C724),FIND(" ",TRIM(C724)&amp;" ")-1),",","."))+1,9))*12/52,IF(ISNUMBER(SEARCH("month",C724)),IFERROR(_xlfn.NUMBERVALUE(SUBSTITUTE(LEFT(TRIM(C724),FIND(" ",TRIM(C724)&amp;" ")-1),",","."),"."),LEFT(SUBSTITUTE(LEFT(TRIM(C724),FIND(" ",TRIM(C724)&amp;" ")-1),",","."),FIND("/",SUBSTITUTE(LEFT(TRIM(C724),FIND(" ",TRIM(C724)&amp;" ")-1),",","."))-1)/MID(SUBSTITUTE(LEFT(TRIM(C724),FIND(" ",TRIM(C724)&amp;" ")-1),",","."),FIND("/",SUBSTITUTE(LEFT(TRIM(C724),FIND(" ",TRIM(C724)&amp;" ")-1),",","."))+1,9)),IF(ISNUMBER(SEARCH("yea",C724)),IFERROR(_xlfn.NUMBERVALUE(SUBSTITUTE(LEFT(TRIM(C724),FIND(" ",TRIM(C724)&amp;" ")-1),",","."),"."),LEFT(SUBSTITUTE(LEFT(TRIM(C724),FIND(" ",TRIM(C724)&amp;" ")-1),",","."),FIND("/",SUBSTITUTE(LEFT(TRIM(C724),FIND(" ",TRIM(C724)&amp;" ")-1),",","."))-1)/MID(SUBSTITUTE(LEFT(TRIM(C724),FIND(" ",TRIM(C724)&amp;" ")-1),",","."),FIND("/",SUBSTITUTE(LEFT(TRIM(C724),FIND(" ",TRIM(C724)&amp;" ")-1),",","."))+1,9))*12,NA()))),0),18)*'Aturan &amp; Tarif'!$B$4,2)</f>
        <v>1022.04</v>
      </c>
      <c r="K724" s="32" t="n">
        <f aca="false">'Aturan &amp; Tarif'!$B$5</f>
        <v>2050</v>
      </c>
      <c r="L724" s="32" t="n">
        <f aca="false">'Aturan &amp; Tarif'!$B$6</f>
        <v>350</v>
      </c>
      <c r="M724" s="35" t="n">
        <f aca="false">I724+J724+K724+L724</f>
        <v>17072.04</v>
      </c>
      <c r="N724" s="36" t="s">
        <v>2368</v>
      </c>
    </row>
    <row r="725" customFormat="false" ht="25.5" hidden="false" customHeight="true" outlineLevel="0" collapsed="false">
      <c r="A725" s="29"/>
      <c r="B725" s="30" t="s">
        <v>2371</v>
      </c>
      <c r="C725" s="31" t="s">
        <v>113</v>
      </c>
      <c r="D725" s="31" t="s">
        <v>108</v>
      </c>
      <c r="E725" s="32" t="n">
        <v>4675</v>
      </c>
      <c r="F725" s="32"/>
      <c r="G725" s="32" t="n">
        <v>100</v>
      </c>
      <c r="H725" s="33" t="n">
        <v>2</v>
      </c>
      <c r="I725" s="34" t="n">
        <f aca="false">E725*H725+N(F725)+N(G725)</f>
        <v>9450</v>
      </c>
      <c r="J725" s="32" t="n">
        <f aca="false">ROUND(IFERROR(ROUND(IF(OR(ISNUMBER(SEARCH("week",C725)),ISNUMBER(SEARCH("minggu",C725))),IFERROR(_xlfn.NUMBERVALUE(SUBSTITUTE(LEFT(TRIM(C725),FIND(" ",TRIM(C725)&amp;" ")-1),",","."),"."),LEFT(SUBSTITUTE(LEFT(TRIM(C725),FIND(" ",TRIM(C725)&amp;" ")-1),",","."),FIND("/",SUBSTITUTE(LEFT(TRIM(C725),FIND(" ",TRIM(C725)&amp;" ")-1),",","."))-1)/MID(SUBSTITUTE(LEFT(TRIM(C725),FIND(" ",TRIM(C725)&amp;" ")-1),",","."),FIND("/",SUBSTITUTE(LEFT(TRIM(C725),FIND(" ",TRIM(C725)&amp;" ")-1),",","."))+1,9))*12/52,IF(ISNUMBER(SEARCH("month",C725)),IFERROR(_xlfn.NUMBERVALUE(SUBSTITUTE(LEFT(TRIM(C725),FIND(" ",TRIM(C725)&amp;" ")-1),",","."),"."),LEFT(SUBSTITUTE(LEFT(TRIM(C725),FIND(" ",TRIM(C725)&amp;" ")-1),",","."),FIND("/",SUBSTITUTE(LEFT(TRIM(C725),FIND(" ",TRIM(C725)&amp;" ")-1),",","."))-1)/MID(SUBSTITUTE(LEFT(TRIM(C725),FIND(" ",TRIM(C725)&amp;" ")-1),",","."),FIND("/",SUBSTITUTE(LEFT(TRIM(C725),FIND(" ",TRIM(C725)&amp;" ")-1),",","."))+1,9)),IF(ISNUMBER(SEARCH("yea",C725)),IFERROR(_xlfn.NUMBERVALUE(SUBSTITUTE(LEFT(TRIM(C725),FIND(" ",TRIM(C725)&amp;" ")-1),",","."),"."),LEFT(SUBSTITUTE(LEFT(TRIM(C725),FIND(" ",TRIM(C725)&amp;" ")-1),",","."),FIND("/",SUBSTITUTE(LEFT(TRIM(C725),FIND(" ",TRIM(C725)&amp;" ")-1),",","."))-1)/MID(SUBSTITUTE(LEFT(TRIM(C725),FIND(" ",TRIM(C725)&amp;" ")-1),",","."),FIND("/",SUBSTITUTE(LEFT(TRIM(C725),FIND(" ",TRIM(C725)&amp;" ")-1),",","."))+1,9))*12,NA()))),0),18)*'Aturan &amp; Tarif'!$B$4,2)</f>
        <v>1022.04</v>
      </c>
      <c r="K725" s="32" t="n">
        <f aca="false">'Aturan &amp; Tarif'!$B$5</f>
        <v>2050</v>
      </c>
      <c r="L725" s="32" t="n">
        <f aca="false">'Aturan &amp; Tarif'!$B$6</f>
        <v>350</v>
      </c>
      <c r="M725" s="35" t="n">
        <f aca="false">I725+J725+K725+L725</f>
        <v>12872.04</v>
      </c>
      <c r="N725" s="36" t="s">
        <v>2368</v>
      </c>
    </row>
    <row r="726" customFormat="false" ht="37.5" hidden="false" customHeight="true" outlineLevel="0" collapsed="false">
      <c r="A726" s="29"/>
      <c r="B726" s="30" t="s">
        <v>2372</v>
      </c>
      <c r="C726" s="31" t="s">
        <v>127</v>
      </c>
      <c r="D726" s="31" t="s">
        <v>108</v>
      </c>
      <c r="E726" s="32" t="n">
        <v>4340</v>
      </c>
      <c r="F726" s="32"/>
      <c r="G726" s="32" t="n">
        <v>100</v>
      </c>
      <c r="H726" s="33" t="n">
        <v>2</v>
      </c>
      <c r="I726" s="34" t="n">
        <f aca="false">E726*H726+N(F726)+N(G726)</f>
        <v>8780</v>
      </c>
      <c r="J726" s="32" t="n">
        <f aca="false">ROUND(IFERROR(ROUND(IF(OR(ISNUMBER(SEARCH("week",C726)),ISNUMBER(SEARCH("minggu",C726))),IFERROR(_xlfn.NUMBERVALUE(SUBSTITUTE(LEFT(TRIM(C726),FIND(" ",TRIM(C726)&amp;" ")-1),",","."),"."),LEFT(SUBSTITUTE(LEFT(TRIM(C726),FIND(" ",TRIM(C726)&amp;" ")-1),",","."),FIND("/",SUBSTITUTE(LEFT(TRIM(C726),FIND(" ",TRIM(C726)&amp;" ")-1),",","."))-1)/MID(SUBSTITUTE(LEFT(TRIM(C726),FIND(" ",TRIM(C726)&amp;" ")-1),",","."),FIND("/",SUBSTITUTE(LEFT(TRIM(C726),FIND(" ",TRIM(C726)&amp;" ")-1),",","."))+1,9))*12/52,IF(ISNUMBER(SEARCH("month",C726)),IFERROR(_xlfn.NUMBERVALUE(SUBSTITUTE(LEFT(TRIM(C726),FIND(" ",TRIM(C726)&amp;" ")-1),",","."),"."),LEFT(SUBSTITUTE(LEFT(TRIM(C726),FIND(" ",TRIM(C726)&amp;" ")-1),",","."),FIND("/",SUBSTITUTE(LEFT(TRIM(C726),FIND(" ",TRIM(C726)&amp;" ")-1),",","."))-1)/MID(SUBSTITUTE(LEFT(TRIM(C726),FIND(" ",TRIM(C726)&amp;" ")-1),",","."),FIND("/",SUBSTITUTE(LEFT(TRIM(C726),FIND(" ",TRIM(C726)&amp;" ")-1),",","."))+1,9)),IF(ISNUMBER(SEARCH("yea",C726)),IFERROR(_xlfn.NUMBERVALUE(SUBSTITUTE(LEFT(TRIM(C726),FIND(" ",TRIM(C726)&amp;" ")-1),",","."),"."),LEFT(SUBSTITUTE(LEFT(TRIM(C726),FIND(" ",TRIM(C726)&amp;" ")-1),",","."),FIND("/",SUBSTITUTE(LEFT(TRIM(C726),FIND(" ",TRIM(C726)&amp;" ")-1),",","."))-1)/MID(SUBSTITUTE(LEFT(TRIM(C726),FIND(" ",TRIM(C726)&amp;" ")-1),",","."),FIND("/",SUBSTITUTE(LEFT(TRIM(C726),FIND(" ",TRIM(C726)&amp;" ")-1),",","."))+1,9))*12,NA()))),0),36)*'Aturan &amp; Tarif'!$B$4,2)</f>
        <v>2044.08</v>
      </c>
      <c r="K726" s="32" t="n">
        <f aca="false">'Aturan &amp; Tarif'!$B$5</f>
        <v>2050</v>
      </c>
      <c r="L726" s="32" t="n">
        <f aca="false">'Aturan &amp; Tarif'!$B$6</f>
        <v>350</v>
      </c>
      <c r="M726" s="35" t="n">
        <f aca="false">I726+J726+K726+L726</f>
        <v>13224.08</v>
      </c>
      <c r="N726" s="37" t="s">
        <v>2373</v>
      </c>
    </row>
    <row r="727" customFormat="false" ht="25.5" hidden="false" customHeight="true" outlineLevel="0" collapsed="false">
      <c r="A727" s="29"/>
      <c r="B727" s="30" t="s">
        <v>2372</v>
      </c>
      <c r="C727" s="31" t="s">
        <v>107</v>
      </c>
      <c r="D727" s="31" t="s">
        <v>108</v>
      </c>
      <c r="E727" s="32" t="n">
        <v>4340</v>
      </c>
      <c r="F727" s="32"/>
      <c r="G727" s="32" t="n">
        <v>100</v>
      </c>
      <c r="H727" s="33" t="n">
        <v>2</v>
      </c>
      <c r="I727" s="34" t="n">
        <f aca="false">E727*H727+N(F727)+N(G727)</f>
        <v>8780</v>
      </c>
      <c r="J727" s="32" t="n">
        <f aca="false">ROUND(IFERROR(ROUND(IF(OR(ISNUMBER(SEARCH("week",C727)),ISNUMBER(SEARCH("minggu",C727))),IFERROR(_xlfn.NUMBERVALUE(SUBSTITUTE(LEFT(TRIM(C727),FIND(" ",TRIM(C727)&amp;" ")-1),",","."),"."),LEFT(SUBSTITUTE(LEFT(TRIM(C727),FIND(" ",TRIM(C727)&amp;" ")-1),",","."),FIND("/",SUBSTITUTE(LEFT(TRIM(C727),FIND(" ",TRIM(C727)&amp;" ")-1),",","."))-1)/MID(SUBSTITUTE(LEFT(TRIM(C727),FIND(" ",TRIM(C727)&amp;" ")-1),",","."),FIND("/",SUBSTITUTE(LEFT(TRIM(C727),FIND(" ",TRIM(C727)&amp;" ")-1),",","."))+1,9))*12/52,IF(ISNUMBER(SEARCH("month",C727)),IFERROR(_xlfn.NUMBERVALUE(SUBSTITUTE(LEFT(TRIM(C727),FIND(" ",TRIM(C727)&amp;" ")-1),",","."),"."),LEFT(SUBSTITUTE(LEFT(TRIM(C727),FIND(" ",TRIM(C727)&amp;" ")-1),",","."),FIND("/",SUBSTITUTE(LEFT(TRIM(C727),FIND(" ",TRIM(C727)&amp;" ")-1),",","."))-1)/MID(SUBSTITUTE(LEFT(TRIM(C727),FIND(" ",TRIM(C727)&amp;" ")-1),",","."),FIND("/",SUBSTITUTE(LEFT(TRIM(C727),FIND(" ",TRIM(C727)&amp;" ")-1),",","."))+1,9)),IF(ISNUMBER(SEARCH("yea",C727)),IFERROR(_xlfn.NUMBERVALUE(SUBSTITUTE(LEFT(TRIM(C727),FIND(" ",TRIM(C727)&amp;" ")-1),",","."),"."),LEFT(SUBSTITUTE(LEFT(TRIM(C727),FIND(" ",TRIM(C727)&amp;" ")-1),",","."),FIND("/",SUBSTITUTE(LEFT(TRIM(C727),FIND(" ",TRIM(C727)&amp;" ")-1),",","."))-1)/MID(SUBSTITUTE(LEFT(TRIM(C727),FIND(" ",TRIM(C727)&amp;" ")-1),",","."),FIND("/",SUBSTITUTE(LEFT(TRIM(C727),FIND(" ",TRIM(C727)&amp;" ")-1),",","."))+1,9))*12,NA()))),0),24)*'Aturan &amp; Tarif'!$B$4,2)</f>
        <v>1362.72</v>
      </c>
      <c r="K727" s="32" t="n">
        <f aca="false">'Aturan &amp; Tarif'!$B$5</f>
        <v>2050</v>
      </c>
      <c r="L727" s="32" t="n">
        <f aca="false">'Aturan &amp; Tarif'!$B$6</f>
        <v>350</v>
      </c>
      <c r="M727" s="35" t="n">
        <f aca="false">I727+J727+K727+L727</f>
        <v>12542.72</v>
      </c>
      <c r="N727" s="37" t="s">
        <v>2373</v>
      </c>
    </row>
    <row r="728" customFormat="false" ht="25.5" hidden="false" customHeight="true" outlineLevel="0" collapsed="false">
      <c r="A728" s="29"/>
      <c r="B728" s="30" t="s">
        <v>2374</v>
      </c>
      <c r="C728" s="31" t="s">
        <v>138</v>
      </c>
      <c r="D728" s="31" t="s">
        <v>108</v>
      </c>
      <c r="E728" s="32" t="n">
        <v>4340</v>
      </c>
      <c r="F728" s="32"/>
      <c r="G728" s="32" t="n">
        <v>100</v>
      </c>
      <c r="H728" s="33" t="n">
        <v>2</v>
      </c>
      <c r="I728" s="34" t="n">
        <f aca="false">E728*H728+N(F728)+N(G728)</f>
        <v>8780</v>
      </c>
      <c r="J728" s="32" t="n">
        <f aca="false">ROUND(IFERROR(ROUND(IF(OR(ISNUMBER(SEARCH("week",C728)),ISNUMBER(SEARCH("minggu",C728))),IFERROR(_xlfn.NUMBERVALUE(SUBSTITUTE(LEFT(TRIM(C728),FIND(" ",TRIM(C728)&amp;" ")-1),",","."),"."),LEFT(SUBSTITUTE(LEFT(TRIM(C728),FIND(" ",TRIM(C728)&amp;" ")-1),",","."),FIND("/",SUBSTITUTE(LEFT(TRIM(C728),FIND(" ",TRIM(C728)&amp;" ")-1),",","."))-1)/MID(SUBSTITUTE(LEFT(TRIM(C728),FIND(" ",TRIM(C728)&amp;" ")-1),",","."),FIND("/",SUBSTITUTE(LEFT(TRIM(C728),FIND(" ",TRIM(C728)&amp;" ")-1),",","."))+1,9))*12/52,IF(ISNUMBER(SEARCH("month",C728)),IFERROR(_xlfn.NUMBERVALUE(SUBSTITUTE(LEFT(TRIM(C728),FIND(" ",TRIM(C728)&amp;" ")-1),",","."),"."),LEFT(SUBSTITUTE(LEFT(TRIM(C728),FIND(" ",TRIM(C728)&amp;" ")-1),",","."),FIND("/",SUBSTITUTE(LEFT(TRIM(C728),FIND(" ",TRIM(C728)&amp;" ")-1),",","."))-1)/MID(SUBSTITUTE(LEFT(TRIM(C728),FIND(" ",TRIM(C728)&amp;" ")-1),",","."),FIND("/",SUBSTITUTE(LEFT(TRIM(C728),FIND(" ",TRIM(C728)&amp;" ")-1),",","."))+1,9)),IF(ISNUMBER(SEARCH("yea",C728)),IFERROR(_xlfn.NUMBERVALUE(SUBSTITUTE(LEFT(TRIM(C728),FIND(" ",TRIM(C728)&amp;" ")-1),",","."),"."),LEFT(SUBSTITUTE(LEFT(TRIM(C728),FIND(" ",TRIM(C728)&amp;" ")-1),",","."),FIND("/",SUBSTITUTE(LEFT(TRIM(C728),FIND(" ",TRIM(C728)&amp;" ")-1),",","."))-1)/MID(SUBSTITUTE(LEFT(TRIM(C728),FIND(" ",TRIM(C728)&amp;" ")-1),",","."),FIND("/",SUBSTITUTE(LEFT(TRIM(C728),FIND(" ",TRIM(C728)&amp;" ")-1),",","."))+1,9))*12,NA()))),0),30)*'Aturan &amp; Tarif'!$B$4,2)</f>
        <v>1703.4</v>
      </c>
      <c r="K728" s="32" t="n">
        <f aca="false">'Aturan &amp; Tarif'!$B$5</f>
        <v>2050</v>
      </c>
      <c r="L728" s="32" t="n">
        <f aca="false">'Aturan &amp; Tarif'!$B$6</f>
        <v>350</v>
      </c>
      <c r="M728" s="35" t="n">
        <f aca="false">I728+J728+K728+L728</f>
        <v>12883.4</v>
      </c>
      <c r="N728" s="37" t="s">
        <v>2373</v>
      </c>
    </row>
    <row r="729" customFormat="false" ht="25.5" hidden="false" customHeight="true" outlineLevel="0" collapsed="false">
      <c r="A729" s="29"/>
      <c r="B729" s="30" t="s">
        <v>2375</v>
      </c>
      <c r="C729" s="31" t="s">
        <v>127</v>
      </c>
      <c r="D729" s="31" t="s">
        <v>108</v>
      </c>
      <c r="E729" s="32" t="n">
        <v>4340</v>
      </c>
      <c r="F729" s="32"/>
      <c r="G729" s="32" t="n">
        <v>100</v>
      </c>
      <c r="H729" s="33" t="n">
        <v>2</v>
      </c>
      <c r="I729" s="34" t="n">
        <f aca="false">E729*H729+N(F729)+N(G729)</f>
        <v>8780</v>
      </c>
      <c r="J729" s="32" t="n">
        <f aca="false">ROUND(IFERROR(ROUND(IF(OR(ISNUMBER(SEARCH("week",C729)),ISNUMBER(SEARCH("minggu",C729))),IFERROR(_xlfn.NUMBERVALUE(SUBSTITUTE(LEFT(TRIM(C729),FIND(" ",TRIM(C729)&amp;" ")-1),",","."),"."),LEFT(SUBSTITUTE(LEFT(TRIM(C729),FIND(" ",TRIM(C729)&amp;" ")-1),",","."),FIND("/",SUBSTITUTE(LEFT(TRIM(C729),FIND(" ",TRIM(C729)&amp;" ")-1),",","."))-1)/MID(SUBSTITUTE(LEFT(TRIM(C729),FIND(" ",TRIM(C729)&amp;" ")-1),",","."),FIND("/",SUBSTITUTE(LEFT(TRIM(C729),FIND(" ",TRIM(C729)&amp;" ")-1),",","."))+1,9))*12/52,IF(ISNUMBER(SEARCH("month",C729)),IFERROR(_xlfn.NUMBERVALUE(SUBSTITUTE(LEFT(TRIM(C729),FIND(" ",TRIM(C729)&amp;" ")-1),",","."),"."),LEFT(SUBSTITUTE(LEFT(TRIM(C729),FIND(" ",TRIM(C729)&amp;" ")-1),",","."),FIND("/",SUBSTITUTE(LEFT(TRIM(C729),FIND(" ",TRIM(C729)&amp;" ")-1),",","."))-1)/MID(SUBSTITUTE(LEFT(TRIM(C729),FIND(" ",TRIM(C729)&amp;" ")-1),",","."),FIND("/",SUBSTITUTE(LEFT(TRIM(C729),FIND(" ",TRIM(C729)&amp;" ")-1),",","."))+1,9)),IF(ISNUMBER(SEARCH("yea",C729)),IFERROR(_xlfn.NUMBERVALUE(SUBSTITUTE(LEFT(TRIM(C729),FIND(" ",TRIM(C729)&amp;" ")-1),",","."),"."),LEFT(SUBSTITUTE(LEFT(TRIM(C729),FIND(" ",TRIM(C729)&amp;" ")-1),",","."),FIND("/",SUBSTITUTE(LEFT(TRIM(C729),FIND(" ",TRIM(C729)&amp;" ")-1),",","."))-1)/MID(SUBSTITUTE(LEFT(TRIM(C729),FIND(" ",TRIM(C729)&amp;" ")-1),",","."),FIND("/",SUBSTITUTE(LEFT(TRIM(C729),FIND(" ",TRIM(C729)&amp;" ")-1),",","."))+1,9))*12,NA()))),0),36)*'Aturan &amp; Tarif'!$B$4,2)</f>
        <v>2044.08</v>
      </c>
      <c r="K729" s="32" t="n">
        <f aca="false">'Aturan &amp; Tarif'!$B$5</f>
        <v>2050</v>
      </c>
      <c r="L729" s="32" t="n">
        <f aca="false">'Aturan &amp; Tarif'!$B$6</f>
        <v>350</v>
      </c>
      <c r="M729" s="35" t="n">
        <f aca="false">I729+J729+K729+L729</f>
        <v>13224.08</v>
      </c>
      <c r="N729" s="37" t="s">
        <v>2373</v>
      </c>
    </row>
    <row r="730" customFormat="false" ht="60" hidden="false" customHeight="true" outlineLevel="0" collapsed="false">
      <c r="A730" s="29"/>
      <c r="B730" s="30" t="s">
        <v>2376</v>
      </c>
      <c r="C730" s="31" t="s">
        <v>107</v>
      </c>
      <c r="D730" s="31" t="s">
        <v>108</v>
      </c>
      <c r="E730" s="32" t="n">
        <v>4340</v>
      </c>
      <c r="F730" s="32"/>
      <c r="G730" s="32" t="n">
        <v>100</v>
      </c>
      <c r="H730" s="33" t="n">
        <v>2</v>
      </c>
      <c r="I730" s="34" t="n">
        <f aca="false">E730*H730+N(F730)+N(G730)</f>
        <v>8780</v>
      </c>
      <c r="J730" s="32" t="n">
        <f aca="false">ROUND(IFERROR(ROUND(IF(OR(ISNUMBER(SEARCH("week",C730)),ISNUMBER(SEARCH("minggu",C730))),IFERROR(_xlfn.NUMBERVALUE(SUBSTITUTE(LEFT(TRIM(C730),FIND(" ",TRIM(C730)&amp;" ")-1),",","."),"."),LEFT(SUBSTITUTE(LEFT(TRIM(C730),FIND(" ",TRIM(C730)&amp;" ")-1),",","."),FIND("/",SUBSTITUTE(LEFT(TRIM(C730),FIND(" ",TRIM(C730)&amp;" ")-1),",","."))-1)/MID(SUBSTITUTE(LEFT(TRIM(C730),FIND(" ",TRIM(C730)&amp;" ")-1),",","."),FIND("/",SUBSTITUTE(LEFT(TRIM(C730),FIND(" ",TRIM(C730)&amp;" ")-1),",","."))+1,9))*12/52,IF(ISNUMBER(SEARCH("month",C730)),IFERROR(_xlfn.NUMBERVALUE(SUBSTITUTE(LEFT(TRIM(C730),FIND(" ",TRIM(C730)&amp;" ")-1),",","."),"."),LEFT(SUBSTITUTE(LEFT(TRIM(C730),FIND(" ",TRIM(C730)&amp;" ")-1),",","."),FIND("/",SUBSTITUTE(LEFT(TRIM(C730),FIND(" ",TRIM(C730)&amp;" ")-1),",","."))-1)/MID(SUBSTITUTE(LEFT(TRIM(C730),FIND(" ",TRIM(C730)&amp;" ")-1),",","."),FIND("/",SUBSTITUTE(LEFT(TRIM(C730),FIND(" ",TRIM(C730)&amp;" ")-1),",","."))+1,9)),IF(ISNUMBER(SEARCH("yea",C730)),IFERROR(_xlfn.NUMBERVALUE(SUBSTITUTE(LEFT(TRIM(C730),FIND(" ",TRIM(C730)&amp;" ")-1),",","."),"."),LEFT(SUBSTITUTE(LEFT(TRIM(C730),FIND(" ",TRIM(C730)&amp;" ")-1),",","."),FIND("/",SUBSTITUTE(LEFT(TRIM(C730),FIND(" ",TRIM(C730)&amp;" ")-1),",","."))-1)/MID(SUBSTITUTE(LEFT(TRIM(C730),FIND(" ",TRIM(C730)&amp;" ")-1),",","."),FIND("/",SUBSTITUTE(LEFT(TRIM(C730),FIND(" ",TRIM(C730)&amp;" ")-1),",","."))+1,9))*12,NA()))),0),24)*'Aturan &amp; Tarif'!$B$4,2)</f>
        <v>1362.72</v>
      </c>
      <c r="K730" s="32" t="n">
        <f aca="false">'Aturan &amp; Tarif'!$B$5</f>
        <v>2050</v>
      </c>
      <c r="L730" s="32" t="n">
        <f aca="false">'Aturan &amp; Tarif'!$B$6</f>
        <v>350</v>
      </c>
      <c r="M730" s="35" t="n">
        <f aca="false">I730+J730+K730+L730</f>
        <v>12542.72</v>
      </c>
      <c r="N730" s="37" t="s">
        <v>2373</v>
      </c>
    </row>
    <row r="731" customFormat="false" ht="37.5" hidden="false" customHeight="true" outlineLevel="0" collapsed="false">
      <c r="A731" s="29"/>
      <c r="B731" s="30" t="s">
        <v>2377</v>
      </c>
      <c r="C731" s="31" t="s">
        <v>107</v>
      </c>
      <c r="D731" s="31" t="s">
        <v>108</v>
      </c>
      <c r="E731" s="32" t="n">
        <v>3975</v>
      </c>
      <c r="F731" s="32"/>
      <c r="G731" s="32" t="n">
        <v>100</v>
      </c>
      <c r="H731" s="33" t="n">
        <v>2</v>
      </c>
      <c r="I731" s="34" t="n">
        <f aca="false">E731*H731+N(F731)+N(G731)</f>
        <v>8050</v>
      </c>
      <c r="J731" s="32" t="n">
        <f aca="false">ROUND(IFERROR(ROUND(IF(OR(ISNUMBER(SEARCH("week",C731)),ISNUMBER(SEARCH("minggu",C731))),IFERROR(_xlfn.NUMBERVALUE(SUBSTITUTE(LEFT(TRIM(C731),FIND(" ",TRIM(C731)&amp;" ")-1),",","."),"."),LEFT(SUBSTITUTE(LEFT(TRIM(C731),FIND(" ",TRIM(C731)&amp;" ")-1),",","."),FIND("/",SUBSTITUTE(LEFT(TRIM(C731),FIND(" ",TRIM(C731)&amp;" ")-1),",","."))-1)/MID(SUBSTITUTE(LEFT(TRIM(C731),FIND(" ",TRIM(C731)&amp;" ")-1),",","."),FIND("/",SUBSTITUTE(LEFT(TRIM(C731),FIND(" ",TRIM(C731)&amp;" ")-1),",","."))+1,9))*12/52,IF(ISNUMBER(SEARCH("month",C731)),IFERROR(_xlfn.NUMBERVALUE(SUBSTITUTE(LEFT(TRIM(C731),FIND(" ",TRIM(C731)&amp;" ")-1),",","."),"."),LEFT(SUBSTITUTE(LEFT(TRIM(C731),FIND(" ",TRIM(C731)&amp;" ")-1),",","."),FIND("/",SUBSTITUTE(LEFT(TRIM(C731),FIND(" ",TRIM(C731)&amp;" ")-1),",","."))-1)/MID(SUBSTITUTE(LEFT(TRIM(C731),FIND(" ",TRIM(C731)&amp;" ")-1),",","."),FIND("/",SUBSTITUTE(LEFT(TRIM(C731),FIND(" ",TRIM(C731)&amp;" ")-1),",","."))+1,9)),IF(ISNUMBER(SEARCH("yea",C731)),IFERROR(_xlfn.NUMBERVALUE(SUBSTITUTE(LEFT(TRIM(C731),FIND(" ",TRIM(C731)&amp;" ")-1),",","."),"."),LEFT(SUBSTITUTE(LEFT(TRIM(C731),FIND(" ",TRIM(C731)&amp;" ")-1),",","."),FIND("/",SUBSTITUTE(LEFT(TRIM(C731),FIND(" ",TRIM(C731)&amp;" ")-1),",","."))-1)/MID(SUBSTITUTE(LEFT(TRIM(C731),FIND(" ",TRIM(C731)&amp;" ")-1),",","."),FIND("/",SUBSTITUTE(LEFT(TRIM(C731),FIND(" ",TRIM(C731)&amp;" ")-1),",","."))+1,9))*12,NA()))),0),24)*'Aturan &amp; Tarif'!$B$4,2)</f>
        <v>1362.72</v>
      </c>
      <c r="K731" s="32" t="n">
        <f aca="false">'Aturan &amp; Tarif'!$B$5</f>
        <v>2050</v>
      </c>
      <c r="L731" s="32" t="n">
        <f aca="false">'Aturan &amp; Tarif'!$B$6</f>
        <v>350</v>
      </c>
      <c r="M731" s="35" t="n">
        <f aca="false">I731+J731+K731+L731</f>
        <v>11812.72</v>
      </c>
      <c r="N731" s="36" t="s">
        <v>2368</v>
      </c>
    </row>
    <row r="732" customFormat="false" ht="60" hidden="false" customHeight="true" outlineLevel="0" collapsed="false">
      <c r="A732" s="29"/>
      <c r="B732" s="30" t="s">
        <v>2378</v>
      </c>
      <c r="C732" s="31" t="s">
        <v>344</v>
      </c>
      <c r="D732" s="31" t="s">
        <v>108</v>
      </c>
      <c r="E732" s="32" t="n">
        <v>4025</v>
      </c>
      <c r="F732" s="32"/>
      <c r="G732" s="32" t="n">
        <v>100</v>
      </c>
      <c r="H732" s="33" t="n">
        <v>2</v>
      </c>
      <c r="I732" s="34" t="n">
        <f aca="false">E732*H732+N(F732)+N(G732)</f>
        <v>8150</v>
      </c>
      <c r="J732" s="32" t="n">
        <f aca="false">ROUND(IFERROR(ROUND(IF(OR(ISNUMBER(SEARCH("week",C732)),ISNUMBER(SEARCH("minggu",C732))),IFERROR(_xlfn.NUMBERVALUE(SUBSTITUTE(LEFT(TRIM(C732),FIND(" ",TRIM(C732)&amp;" ")-1),",","."),"."),LEFT(SUBSTITUTE(LEFT(TRIM(C732),FIND(" ",TRIM(C732)&amp;" ")-1),",","."),FIND("/",SUBSTITUTE(LEFT(TRIM(C732),FIND(" ",TRIM(C732)&amp;" ")-1),",","."))-1)/MID(SUBSTITUTE(LEFT(TRIM(C732),FIND(" ",TRIM(C732)&amp;" ")-1),",","."),FIND("/",SUBSTITUTE(LEFT(TRIM(C732),FIND(" ",TRIM(C732)&amp;" ")-1),",","."))+1,9))*12/52,IF(ISNUMBER(SEARCH("month",C732)),IFERROR(_xlfn.NUMBERVALUE(SUBSTITUTE(LEFT(TRIM(C732),FIND(" ",TRIM(C732)&amp;" ")-1),",","."),"."),LEFT(SUBSTITUTE(LEFT(TRIM(C732),FIND(" ",TRIM(C732)&amp;" ")-1),",","."),FIND("/",SUBSTITUTE(LEFT(TRIM(C732),FIND(" ",TRIM(C732)&amp;" ")-1),",","."))-1)/MID(SUBSTITUTE(LEFT(TRIM(C732),FIND(" ",TRIM(C732)&amp;" ")-1),",","."),FIND("/",SUBSTITUTE(LEFT(TRIM(C732),FIND(" ",TRIM(C732)&amp;" ")-1),",","."))+1,9)),IF(ISNUMBER(SEARCH("yea",C732)),IFERROR(_xlfn.NUMBERVALUE(SUBSTITUTE(LEFT(TRIM(C732),FIND(" ",TRIM(C732)&amp;" ")-1),",","."),"."),LEFT(SUBSTITUTE(LEFT(TRIM(C732),FIND(" ",TRIM(C732)&amp;" ")-1),",","."),FIND("/",SUBSTITUTE(LEFT(TRIM(C732),FIND(" ",TRIM(C732)&amp;" ")-1),",","."))-1)/MID(SUBSTITUTE(LEFT(TRIM(C732),FIND(" ",TRIM(C732)&amp;" ")-1),",","."),FIND("/",SUBSTITUTE(LEFT(TRIM(C732),FIND(" ",TRIM(C732)&amp;" ")-1),",","."))+1,9))*12,NA()))),0),6)*'Aturan &amp; Tarif'!$B$4,2)</f>
        <v>340.68</v>
      </c>
      <c r="K732" s="32" t="n">
        <f aca="false">'Aturan &amp; Tarif'!$B$5</f>
        <v>2050</v>
      </c>
      <c r="L732" s="32" t="n">
        <f aca="false">'Aturan &amp; Tarif'!$B$6</f>
        <v>350</v>
      </c>
      <c r="M732" s="35" t="n">
        <f aca="false">I732+J732+K732+L732</f>
        <v>10890.68</v>
      </c>
      <c r="N732" s="37" t="s">
        <v>2366</v>
      </c>
    </row>
    <row r="733" customFormat="false" ht="37.5" hidden="false" customHeight="true" outlineLevel="0" collapsed="false">
      <c r="A733" s="29"/>
      <c r="B733" s="30" t="s">
        <v>2379</v>
      </c>
      <c r="C733" s="31" t="s">
        <v>127</v>
      </c>
      <c r="D733" s="31" t="s">
        <v>108</v>
      </c>
      <c r="E733" s="32" t="n">
        <v>4340</v>
      </c>
      <c r="F733" s="32"/>
      <c r="G733" s="32" t="n">
        <v>100</v>
      </c>
      <c r="H733" s="33" t="n">
        <v>2</v>
      </c>
      <c r="I733" s="34" t="n">
        <f aca="false">E733*H733+N(F733)+N(G733)</f>
        <v>8780</v>
      </c>
      <c r="J733" s="32" t="n">
        <f aca="false">ROUND(IFERROR(ROUND(IF(OR(ISNUMBER(SEARCH("week",C733)),ISNUMBER(SEARCH("minggu",C733))),IFERROR(_xlfn.NUMBERVALUE(SUBSTITUTE(LEFT(TRIM(C733),FIND(" ",TRIM(C733)&amp;" ")-1),",","."),"."),LEFT(SUBSTITUTE(LEFT(TRIM(C733),FIND(" ",TRIM(C733)&amp;" ")-1),",","."),FIND("/",SUBSTITUTE(LEFT(TRIM(C733),FIND(" ",TRIM(C733)&amp;" ")-1),",","."))-1)/MID(SUBSTITUTE(LEFT(TRIM(C733),FIND(" ",TRIM(C733)&amp;" ")-1),",","."),FIND("/",SUBSTITUTE(LEFT(TRIM(C733),FIND(" ",TRIM(C733)&amp;" ")-1),",","."))+1,9))*12/52,IF(ISNUMBER(SEARCH("month",C733)),IFERROR(_xlfn.NUMBERVALUE(SUBSTITUTE(LEFT(TRIM(C733),FIND(" ",TRIM(C733)&amp;" ")-1),",","."),"."),LEFT(SUBSTITUTE(LEFT(TRIM(C733),FIND(" ",TRIM(C733)&amp;" ")-1),",","."),FIND("/",SUBSTITUTE(LEFT(TRIM(C733),FIND(" ",TRIM(C733)&amp;" ")-1),",","."))-1)/MID(SUBSTITUTE(LEFT(TRIM(C733),FIND(" ",TRIM(C733)&amp;" ")-1),",","."),FIND("/",SUBSTITUTE(LEFT(TRIM(C733),FIND(" ",TRIM(C733)&amp;" ")-1),",","."))+1,9)),IF(ISNUMBER(SEARCH("yea",C733)),IFERROR(_xlfn.NUMBERVALUE(SUBSTITUTE(LEFT(TRIM(C733),FIND(" ",TRIM(C733)&amp;" ")-1),",","."),"."),LEFT(SUBSTITUTE(LEFT(TRIM(C733),FIND(" ",TRIM(C733)&amp;" ")-1),",","."),FIND("/",SUBSTITUTE(LEFT(TRIM(C733),FIND(" ",TRIM(C733)&amp;" ")-1),",","."))-1)/MID(SUBSTITUTE(LEFT(TRIM(C733),FIND(" ",TRIM(C733)&amp;" ")-1),",","."),FIND("/",SUBSTITUTE(LEFT(TRIM(C733),FIND(" ",TRIM(C733)&amp;" ")-1),",","."))+1,9))*12,NA()))),0),36)*'Aturan &amp; Tarif'!$B$4,2)</f>
        <v>2044.08</v>
      </c>
      <c r="K733" s="32" t="n">
        <f aca="false">'Aturan &amp; Tarif'!$B$5</f>
        <v>2050</v>
      </c>
      <c r="L733" s="32" t="n">
        <f aca="false">'Aturan &amp; Tarif'!$B$6</f>
        <v>350</v>
      </c>
      <c r="M733" s="35" t="n">
        <f aca="false">I733+J733+K733+L733</f>
        <v>13224.08</v>
      </c>
      <c r="N733" s="37" t="s">
        <v>2373</v>
      </c>
    </row>
    <row r="734" customFormat="false" ht="25.5" hidden="false" customHeight="true" outlineLevel="0" collapsed="false">
      <c r="A734" s="29"/>
      <c r="B734" s="30" t="s">
        <v>2380</v>
      </c>
      <c r="C734" s="31" t="s">
        <v>107</v>
      </c>
      <c r="D734" s="31" t="s">
        <v>108</v>
      </c>
      <c r="E734" s="32" t="n">
        <v>4340</v>
      </c>
      <c r="F734" s="32"/>
      <c r="G734" s="32" t="n">
        <v>100</v>
      </c>
      <c r="H734" s="33" t="n">
        <v>2</v>
      </c>
      <c r="I734" s="34" t="n">
        <f aca="false">E734*H734+N(F734)+N(G734)</f>
        <v>8780</v>
      </c>
      <c r="J734" s="32" t="n">
        <f aca="false">ROUND(IFERROR(ROUND(IF(OR(ISNUMBER(SEARCH("week",C734)),ISNUMBER(SEARCH("minggu",C734))),IFERROR(_xlfn.NUMBERVALUE(SUBSTITUTE(LEFT(TRIM(C734),FIND(" ",TRIM(C734)&amp;" ")-1),",","."),"."),LEFT(SUBSTITUTE(LEFT(TRIM(C734),FIND(" ",TRIM(C734)&amp;" ")-1),",","."),FIND("/",SUBSTITUTE(LEFT(TRIM(C734),FIND(" ",TRIM(C734)&amp;" ")-1),",","."))-1)/MID(SUBSTITUTE(LEFT(TRIM(C734),FIND(" ",TRIM(C734)&amp;" ")-1),",","."),FIND("/",SUBSTITUTE(LEFT(TRIM(C734),FIND(" ",TRIM(C734)&amp;" ")-1),",","."))+1,9))*12/52,IF(ISNUMBER(SEARCH("month",C734)),IFERROR(_xlfn.NUMBERVALUE(SUBSTITUTE(LEFT(TRIM(C734),FIND(" ",TRIM(C734)&amp;" ")-1),",","."),"."),LEFT(SUBSTITUTE(LEFT(TRIM(C734),FIND(" ",TRIM(C734)&amp;" ")-1),",","."),FIND("/",SUBSTITUTE(LEFT(TRIM(C734),FIND(" ",TRIM(C734)&amp;" ")-1),",","."))-1)/MID(SUBSTITUTE(LEFT(TRIM(C734),FIND(" ",TRIM(C734)&amp;" ")-1),",","."),FIND("/",SUBSTITUTE(LEFT(TRIM(C734),FIND(" ",TRIM(C734)&amp;" ")-1),",","."))+1,9)),IF(ISNUMBER(SEARCH("yea",C734)),IFERROR(_xlfn.NUMBERVALUE(SUBSTITUTE(LEFT(TRIM(C734),FIND(" ",TRIM(C734)&amp;" ")-1),",","."),"."),LEFT(SUBSTITUTE(LEFT(TRIM(C734),FIND(" ",TRIM(C734)&amp;" ")-1),",","."),FIND("/",SUBSTITUTE(LEFT(TRIM(C734),FIND(" ",TRIM(C734)&amp;" ")-1),",","."))-1)/MID(SUBSTITUTE(LEFT(TRIM(C734),FIND(" ",TRIM(C734)&amp;" ")-1),",","."),FIND("/",SUBSTITUTE(LEFT(TRIM(C734),FIND(" ",TRIM(C734)&amp;" ")-1),",","."))+1,9))*12,NA()))),0),24)*'Aturan &amp; Tarif'!$B$4,2)</f>
        <v>1362.72</v>
      </c>
      <c r="K734" s="32" t="n">
        <f aca="false">'Aturan &amp; Tarif'!$B$5</f>
        <v>2050</v>
      </c>
      <c r="L734" s="32" t="n">
        <f aca="false">'Aturan &amp; Tarif'!$B$6</f>
        <v>350</v>
      </c>
      <c r="M734" s="35" t="n">
        <f aca="false">I734+J734+K734+L734</f>
        <v>12542.72</v>
      </c>
      <c r="N734" s="37" t="s">
        <v>2373</v>
      </c>
    </row>
    <row r="735" customFormat="false" ht="37.5" hidden="false" customHeight="true" outlineLevel="0" collapsed="false">
      <c r="A735" s="29"/>
      <c r="B735" s="30" t="s">
        <v>2381</v>
      </c>
      <c r="C735" s="31" t="s">
        <v>107</v>
      </c>
      <c r="D735" s="31" t="s">
        <v>108</v>
      </c>
      <c r="E735" s="32" t="n">
        <v>4340</v>
      </c>
      <c r="F735" s="32"/>
      <c r="G735" s="32" t="n">
        <v>100</v>
      </c>
      <c r="H735" s="33" t="n">
        <v>2</v>
      </c>
      <c r="I735" s="34" t="n">
        <f aca="false">E735*H735+N(F735)+N(G735)</f>
        <v>8780</v>
      </c>
      <c r="J735" s="32" t="n">
        <f aca="false">ROUND(IFERROR(ROUND(IF(OR(ISNUMBER(SEARCH("week",C735)),ISNUMBER(SEARCH("minggu",C735))),IFERROR(_xlfn.NUMBERVALUE(SUBSTITUTE(LEFT(TRIM(C735),FIND(" ",TRIM(C735)&amp;" ")-1),",","."),"."),LEFT(SUBSTITUTE(LEFT(TRIM(C735),FIND(" ",TRIM(C735)&amp;" ")-1),",","."),FIND("/",SUBSTITUTE(LEFT(TRIM(C735),FIND(" ",TRIM(C735)&amp;" ")-1),",","."))-1)/MID(SUBSTITUTE(LEFT(TRIM(C735),FIND(" ",TRIM(C735)&amp;" ")-1),",","."),FIND("/",SUBSTITUTE(LEFT(TRIM(C735),FIND(" ",TRIM(C735)&amp;" ")-1),",","."))+1,9))*12/52,IF(ISNUMBER(SEARCH("month",C735)),IFERROR(_xlfn.NUMBERVALUE(SUBSTITUTE(LEFT(TRIM(C735),FIND(" ",TRIM(C735)&amp;" ")-1),",","."),"."),LEFT(SUBSTITUTE(LEFT(TRIM(C735),FIND(" ",TRIM(C735)&amp;" ")-1),",","."),FIND("/",SUBSTITUTE(LEFT(TRIM(C735),FIND(" ",TRIM(C735)&amp;" ")-1),",","."))-1)/MID(SUBSTITUTE(LEFT(TRIM(C735),FIND(" ",TRIM(C735)&amp;" ")-1),",","."),FIND("/",SUBSTITUTE(LEFT(TRIM(C735),FIND(" ",TRIM(C735)&amp;" ")-1),",","."))+1,9)),IF(ISNUMBER(SEARCH("yea",C735)),IFERROR(_xlfn.NUMBERVALUE(SUBSTITUTE(LEFT(TRIM(C735),FIND(" ",TRIM(C735)&amp;" ")-1),",","."),"."),LEFT(SUBSTITUTE(LEFT(TRIM(C735),FIND(" ",TRIM(C735)&amp;" ")-1),",","."),FIND("/",SUBSTITUTE(LEFT(TRIM(C735),FIND(" ",TRIM(C735)&amp;" ")-1),",","."))-1)/MID(SUBSTITUTE(LEFT(TRIM(C735),FIND(" ",TRIM(C735)&amp;" ")-1),",","."),FIND("/",SUBSTITUTE(LEFT(TRIM(C735),FIND(" ",TRIM(C735)&amp;" ")-1),",","."))+1,9))*12,NA()))),0),24)*'Aturan &amp; Tarif'!$B$4,2)</f>
        <v>1362.72</v>
      </c>
      <c r="K735" s="32" t="n">
        <f aca="false">'Aturan &amp; Tarif'!$B$5</f>
        <v>2050</v>
      </c>
      <c r="L735" s="32" t="n">
        <f aca="false">'Aturan &amp; Tarif'!$B$6</f>
        <v>350</v>
      </c>
      <c r="M735" s="35" t="n">
        <f aca="false">I735+J735+K735+L735</f>
        <v>12542.72</v>
      </c>
      <c r="N735" s="37" t="s">
        <v>2373</v>
      </c>
    </row>
    <row r="736" customFormat="false" ht="25.5" hidden="false" customHeight="true" outlineLevel="0" collapsed="false">
      <c r="A736" s="29"/>
      <c r="B736" s="30" t="s">
        <v>2382</v>
      </c>
      <c r="C736" s="31" t="s">
        <v>344</v>
      </c>
      <c r="D736" s="31" t="s">
        <v>108</v>
      </c>
      <c r="E736" s="32" t="n">
        <v>4250</v>
      </c>
      <c r="F736" s="32"/>
      <c r="G736" s="32" t="n">
        <v>100</v>
      </c>
      <c r="H736" s="33" t="n">
        <v>2</v>
      </c>
      <c r="I736" s="34" t="n">
        <f aca="false">E736*H736+N(F736)+N(G736)</f>
        <v>8600</v>
      </c>
      <c r="J736" s="32" t="n">
        <f aca="false">ROUND(IFERROR(ROUND(IF(OR(ISNUMBER(SEARCH("week",C736)),ISNUMBER(SEARCH("minggu",C736))),IFERROR(_xlfn.NUMBERVALUE(SUBSTITUTE(LEFT(TRIM(C736),FIND(" ",TRIM(C736)&amp;" ")-1),",","."),"."),LEFT(SUBSTITUTE(LEFT(TRIM(C736),FIND(" ",TRIM(C736)&amp;" ")-1),",","."),FIND("/",SUBSTITUTE(LEFT(TRIM(C736),FIND(" ",TRIM(C736)&amp;" ")-1),",","."))-1)/MID(SUBSTITUTE(LEFT(TRIM(C736),FIND(" ",TRIM(C736)&amp;" ")-1),",","."),FIND("/",SUBSTITUTE(LEFT(TRIM(C736),FIND(" ",TRIM(C736)&amp;" ")-1),",","."))+1,9))*12/52,IF(ISNUMBER(SEARCH("month",C736)),IFERROR(_xlfn.NUMBERVALUE(SUBSTITUTE(LEFT(TRIM(C736),FIND(" ",TRIM(C736)&amp;" ")-1),",","."),"."),LEFT(SUBSTITUTE(LEFT(TRIM(C736),FIND(" ",TRIM(C736)&amp;" ")-1),",","."),FIND("/",SUBSTITUTE(LEFT(TRIM(C736),FIND(" ",TRIM(C736)&amp;" ")-1),",","."))-1)/MID(SUBSTITUTE(LEFT(TRIM(C736),FIND(" ",TRIM(C736)&amp;" ")-1),",","."),FIND("/",SUBSTITUTE(LEFT(TRIM(C736),FIND(" ",TRIM(C736)&amp;" ")-1),",","."))+1,9)),IF(ISNUMBER(SEARCH("yea",C736)),IFERROR(_xlfn.NUMBERVALUE(SUBSTITUTE(LEFT(TRIM(C736),FIND(" ",TRIM(C736)&amp;" ")-1),",","."),"."),LEFT(SUBSTITUTE(LEFT(TRIM(C736),FIND(" ",TRIM(C736)&amp;" ")-1),",","."),FIND("/",SUBSTITUTE(LEFT(TRIM(C736),FIND(" ",TRIM(C736)&amp;" ")-1),",","."))-1)/MID(SUBSTITUTE(LEFT(TRIM(C736),FIND(" ",TRIM(C736)&amp;" ")-1),",","."),FIND("/",SUBSTITUTE(LEFT(TRIM(C736),FIND(" ",TRIM(C736)&amp;" ")-1),",","."))+1,9))*12,NA()))),0),6)*'Aturan &amp; Tarif'!$B$4,2)</f>
        <v>340.68</v>
      </c>
      <c r="K736" s="32" t="n">
        <f aca="false">'Aturan &amp; Tarif'!$B$5</f>
        <v>2050</v>
      </c>
      <c r="L736" s="32" t="n">
        <f aca="false">'Aturan &amp; Tarif'!$B$6</f>
        <v>350</v>
      </c>
      <c r="M736" s="35" t="n">
        <f aca="false">I736+J736+K736+L736</f>
        <v>11340.68</v>
      </c>
      <c r="N736" s="37" t="s">
        <v>2366</v>
      </c>
    </row>
    <row r="737" customFormat="false" ht="25.5" hidden="false" customHeight="true" outlineLevel="0" collapsed="false">
      <c r="A737" s="29"/>
      <c r="B737" s="30" t="s">
        <v>2383</v>
      </c>
      <c r="C737" s="31" t="s">
        <v>344</v>
      </c>
      <c r="D737" s="31" t="s">
        <v>108</v>
      </c>
      <c r="E737" s="32" t="n">
        <v>5215</v>
      </c>
      <c r="F737" s="32"/>
      <c r="G737" s="32" t="n">
        <v>100</v>
      </c>
      <c r="H737" s="33" t="n">
        <v>2</v>
      </c>
      <c r="I737" s="34" t="n">
        <f aca="false">E737*H737+N(F737)+N(G737)</f>
        <v>10530</v>
      </c>
      <c r="J737" s="32" t="n">
        <f aca="false">ROUND(IFERROR(ROUND(IF(OR(ISNUMBER(SEARCH("week",C737)),ISNUMBER(SEARCH("minggu",C737))),IFERROR(_xlfn.NUMBERVALUE(SUBSTITUTE(LEFT(TRIM(C737),FIND(" ",TRIM(C737)&amp;" ")-1),",","."),"."),LEFT(SUBSTITUTE(LEFT(TRIM(C737),FIND(" ",TRIM(C737)&amp;" ")-1),",","."),FIND("/",SUBSTITUTE(LEFT(TRIM(C737),FIND(" ",TRIM(C737)&amp;" ")-1),",","."))-1)/MID(SUBSTITUTE(LEFT(TRIM(C737),FIND(" ",TRIM(C737)&amp;" ")-1),",","."),FIND("/",SUBSTITUTE(LEFT(TRIM(C737),FIND(" ",TRIM(C737)&amp;" ")-1),",","."))+1,9))*12/52,IF(ISNUMBER(SEARCH("month",C737)),IFERROR(_xlfn.NUMBERVALUE(SUBSTITUTE(LEFT(TRIM(C737),FIND(" ",TRIM(C737)&amp;" ")-1),",","."),"."),LEFT(SUBSTITUTE(LEFT(TRIM(C737),FIND(" ",TRIM(C737)&amp;" ")-1),",","."),FIND("/",SUBSTITUTE(LEFT(TRIM(C737),FIND(" ",TRIM(C737)&amp;" ")-1),",","."))-1)/MID(SUBSTITUTE(LEFT(TRIM(C737),FIND(" ",TRIM(C737)&amp;" ")-1),",","."),FIND("/",SUBSTITUTE(LEFT(TRIM(C737),FIND(" ",TRIM(C737)&amp;" ")-1),",","."))+1,9)),IF(ISNUMBER(SEARCH("yea",C737)),IFERROR(_xlfn.NUMBERVALUE(SUBSTITUTE(LEFT(TRIM(C737),FIND(" ",TRIM(C737)&amp;" ")-1),",","."),"."),LEFT(SUBSTITUTE(LEFT(TRIM(C737),FIND(" ",TRIM(C737)&amp;" ")-1),",","."),FIND("/",SUBSTITUTE(LEFT(TRIM(C737),FIND(" ",TRIM(C737)&amp;" ")-1),",","."))-1)/MID(SUBSTITUTE(LEFT(TRIM(C737),FIND(" ",TRIM(C737)&amp;" ")-1),",","."),FIND("/",SUBSTITUTE(LEFT(TRIM(C737),FIND(" ",TRIM(C737)&amp;" ")-1),",","."))+1,9))*12,NA()))),0),6)*'Aturan &amp; Tarif'!$B$4,2)</f>
        <v>340.68</v>
      </c>
      <c r="K737" s="32" t="n">
        <f aca="false">'Aturan &amp; Tarif'!$B$5</f>
        <v>2050</v>
      </c>
      <c r="L737" s="32" t="n">
        <f aca="false">'Aturan &amp; Tarif'!$B$6</f>
        <v>350</v>
      </c>
      <c r="M737" s="35" t="n">
        <f aca="false">I737+J737+K737+L737</f>
        <v>13270.68</v>
      </c>
      <c r="N737" s="37" t="s">
        <v>2366</v>
      </c>
    </row>
    <row r="738" customFormat="false" ht="25.5" hidden="false" customHeight="true" outlineLevel="0" collapsed="false">
      <c r="A738" s="29"/>
      <c r="B738" s="30" t="s">
        <v>2384</v>
      </c>
      <c r="C738" s="31" t="s">
        <v>127</v>
      </c>
      <c r="D738" s="31" t="s">
        <v>108</v>
      </c>
      <c r="E738" s="32" t="n">
        <v>4340</v>
      </c>
      <c r="F738" s="32"/>
      <c r="G738" s="32" t="n">
        <v>100</v>
      </c>
      <c r="H738" s="33" t="n">
        <v>2</v>
      </c>
      <c r="I738" s="34" t="n">
        <f aca="false">E738*H738+N(F738)+N(G738)</f>
        <v>8780</v>
      </c>
      <c r="J738" s="32" t="n">
        <f aca="false">ROUND(IFERROR(ROUND(IF(OR(ISNUMBER(SEARCH("week",C738)),ISNUMBER(SEARCH("minggu",C738))),IFERROR(_xlfn.NUMBERVALUE(SUBSTITUTE(LEFT(TRIM(C738),FIND(" ",TRIM(C738)&amp;" ")-1),",","."),"."),LEFT(SUBSTITUTE(LEFT(TRIM(C738),FIND(" ",TRIM(C738)&amp;" ")-1),",","."),FIND("/",SUBSTITUTE(LEFT(TRIM(C738),FIND(" ",TRIM(C738)&amp;" ")-1),",","."))-1)/MID(SUBSTITUTE(LEFT(TRIM(C738),FIND(" ",TRIM(C738)&amp;" ")-1),",","."),FIND("/",SUBSTITUTE(LEFT(TRIM(C738),FIND(" ",TRIM(C738)&amp;" ")-1),",","."))+1,9))*12/52,IF(ISNUMBER(SEARCH("month",C738)),IFERROR(_xlfn.NUMBERVALUE(SUBSTITUTE(LEFT(TRIM(C738),FIND(" ",TRIM(C738)&amp;" ")-1),",","."),"."),LEFT(SUBSTITUTE(LEFT(TRIM(C738),FIND(" ",TRIM(C738)&amp;" ")-1),",","."),FIND("/",SUBSTITUTE(LEFT(TRIM(C738),FIND(" ",TRIM(C738)&amp;" ")-1),",","."))-1)/MID(SUBSTITUTE(LEFT(TRIM(C738),FIND(" ",TRIM(C738)&amp;" ")-1),",","."),FIND("/",SUBSTITUTE(LEFT(TRIM(C738),FIND(" ",TRIM(C738)&amp;" ")-1),",","."))+1,9)),IF(ISNUMBER(SEARCH("yea",C738)),IFERROR(_xlfn.NUMBERVALUE(SUBSTITUTE(LEFT(TRIM(C738),FIND(" ",TRIM(C738)&amp;" ")-1),",","."),"."),LEFT(SUBSTITUTE(LEFT(TRIM(C738),FIND(" ",TRIM(C738)&amp;" ")-1),",","."),FIND("/",SUBSTITUTE(LEFT(TRIM(C738),FIND(" ",TRIM(C738)&amp;" ")-1),",","."))-1)/MID(SUBSTITUTE(LEFT(TRIM(C738),FIND(" ",TRIM(C738)&amp;" ")-1),",","."),FIND("/",SUBSTITUTE(LEFT(TRIM(C738),FIND(" ",TRIM(C738)&amp;" ")-1),",","."))+1,9))*12,NA()))),0),36)*'Aturan &amp; Tarif'!$B$4,2)</f>
        <v>2044.08</v>
      </c>
      <c r="K738" s="32" t="n">
        <f aca="false">'Aturan &amp; Tarif'!$B$5</f>
        <v>2050</v>
      </c>
      <c r="L738" s="32" t="n">
        <f aca="false">'Aturan &amp; Tarif'!$B$6</f>
        <v>350</v>
      </c>
      <c r="M738" s="35" t="n">
        <f aca="false">I738+J738+K738+L738</f>
        <v>13224.08</v>
      </c>
      <c r="N738" s="37" t="s">
        <v>2373</v>
      </c>
    </row>
    <row r="739" customFormat="false" ht="25.5" hidden="false" customHeight="true" outlineLevel="0" collapsed="false">
      <c r="A739" s="29"/>
      <c r="B739" s="30" t="s">
        <v>2385</v>
      </c>
      <c r="C739" s="31" t="s">
        <v>113</v>
      </c>
      <c r="D739" s="31" t="s">
        <v>108</v>
      </c>
      <c r="E739" s="32" t="n">
        <v>5250</v>
      </c>
      <c r="F739" s="32"/>
      <c r="G739" s="32" t="n">
        <v>100</v>
      </c>
      <c r="H739" s="33" t="n">
        <v>2</v>
      </c>
      <c r="I739" s="34" t="n">
        <f aca="false">E739*H739+N(F739)+N(G739)</f>
        <v>10600</v>
      </c>
      <c r="J739" s="32" t="n">
        <f aca="false">ROUND(IFERROR(ROUND(IF(OR(ISNUMBER(SEARCH("week",C739)),ISNUMBER(SEARCH("minggu",C739))),IFERROR(_xlfn.NUMBERVALUE(SUBSTITUTE(LEFT(TRIM(C739),FIND(" ",TRIM(C739)&amp;" ")-1),",","."),"."),LEFT(SUBSTITUTE(LEFT(TRIM(C739),FIND(" ",TRIM(C739)&amp;" ")-1),",","."),FIND("/",SUBSTITUTE(LEFT(TRIM(C739),FIND(" ",TRIM(C739)&amp;" ")-1),",","."))-1)/MID(SUBSTITUTE(LEFT(TRIM(C739),FIND(" ",TRIM(C739)&amp;" ")-1),",","."),FIND("/",SUBSTITUTE(LEFT(TRIM(C739),FIND(" ",TRIM(C739)&amp;" ")-1),",","."))+1,9))*12/52,IF(ISNUMBER(SEARCH("month",C739)),IFERROR(_xlfn.NUMBERVALUE(SUBSTITUTE(LEFT(TRIM(C739),FIND(" ",TRIM(C739)&amp;" ")-1),",","."),"."),LEFT(SUBSTITUTE(LEFT(TRIM(C739),FIND(" ",TRIM(C739)&amp;" ")-1),",","."),FIND("/",SUBSTITUTE(LEFT(TRIM(C739),FIND(" ",TRIM(C739)&amp;" ")-1),",","."))-1)/MID(SUBSTITUTE(LEFT(TRIM(C739),FIND(" ",TRIM(C739)&amp;" ")-1),",","."),FIND("/",SUBSTITUTE(LEFT(TRIM(C739),FIND(" ",TRIM(C739)&amp;" ")-1),",","."))+1,9)),IF(ISNUMBER(SEARCH("yea",C739)),IFERROR(_xlfn.NUMBERVALUE(SUBSTITUTE(LEFT(TRIM(C739),FIND(" ",TRIM(C739)&amp;" ")-1),",","."),"."),LEFT(SUBSTITUTE(LEFT(TRIM(C739),FIND(" ",TRIM(C739)&amp;" ")-1),",","."),FIND("/",SUBSTITUTE(LEFT(TRIM(C739),FIND(" ",TRIM(C739)&amp;" ")-1),",","."))-1)/MID(SUBSTITUTE(LEFT(TRIM(C739),FIND(" ",TRIM(C739)&amp;" ")-1),",","."),FIND("/",SUBSTITUTE(LEFT(TRIM(C739),FIND(" ",TRIM(C739)&amp;" ")-1),",","."))+1,9))*12,NA()))),0),18)*'Aturan &amp; Tarif'!$B$4,2)</f>
        <v>1022.04</v>
      </c>
      <c r="K739" s="32" t="n">
        <f aca="false">'Aturan &amp; Tarif'!$B$5</f>
        <v>2050</v>
      </c>
      <c r="L739" s="32" t="n">
        <f aca="false">'Aturan &amp; Tarif'!$B$6</f>
        <v>350</v>
      </c>
      <c r="M739" s="35" t="n">
        <f aca="false">I739+J739+K739+L739</f>
        <v>14022.04</v>
      </c>
      <c r="N739" s="36" t="s">
        <v>2368</v>
      </c>
    </row>
    <row r="740" customFormat="false" ht="37.5" hidden="false" customHeight="true" outlineLevel="0" collapsed="false">
      <c r="A740" s="29"/>
      <c r="B740" s="30" t="s">
        <v>2386</v>
      </c>
      <c r="C740" s="31" t="s">
        <v>107</v>
      </c>
      <c r="D740" s="31" t="s">
        <v>108</v>
      </c>
      <c r="E740" s="32" t="n">
        <v>3525</v>
      </c>
      <c r="F740" s="32"/>
      <c r="G740" s="32" t="n">
        <v>100</v>
      </c>
      <c r="H740" s="33" t="n">
        <v>2</v>
      </c>
      <c r="I740" s="34" t="n">
        <f aca="false">E740*H740+N(F740)+N(G740)</f>
        <v>7150</v>
      </c>
      <c r="J740" s="32" t="n">
        <f aca="false">ROUND(IFERROR(ROUND(IF(OR(ISNUMBER(SEARCH("week",C740)),ISNUMBER(SEARCH("minggu",C740))),IFERROR(_xlfn.NUMBERVALUE(SUBSTITUTE(LEFT(TRIM(C740),FIND(" ",TRIM(C740)&amp;" ")-1),",","."),"."),LEFT(SUBSTITUTE(LEFT(TRIM(C740),FIND(" ",TRIM(C740)&amp;" ")-1),",","."),FIND("/",SUBSTITUTE(LEFT(TRIM(C740),FIND(" ",TRIM(C740)&amp;" ")-1),",","."))-1)/MID(SUBSTITUTE(LEFT(TRIM(C740),FIND(" ",TRIM(C740)&amp;" ")-1),",","."),FIND("/",SUBSTITUTE(LEFT(TRIM(C740),FIND(" ",TRIM(C740)&amp;" ")-1),",","."))+1,9))*12/52,IF(ISNUMBER(SEARCH("month",C740)),IFERROR(_xlfn.NUMBERVALUE(SUBSTITUTE(LEFT(TRIM(C740),FIND(" ",TRIM(C740)&amp;" ")-1),",","."),"."),LEFT(SUBSTITUTE(LEFT(TRIM(C740),FIND(" ",TRIM(C740)&amp;" ")-1),",","."),FIND("/",SUBSTITUTE(LEFT(TRIM(C740),FIND(" ",TRIM(C740)&amp;" ")-1),",","."))-1)/MID(SUBSTITUTE(LEFT(TRIM(C740),FIND(" ",TRIM(C740)&amp;" ")-1),",","."),FIND("/",SUBSTITUTE(LEFT(TRIM(C740),FIND(" ",TRIM(C740)&amp;" ")-1),",","."))+1,9)),IF(ISNUMBER(SEARCH("yea",C740)),IFERROR(_xlfn.NUMBERVALUE(SUBSTITUTE(LEFT(TRIM(C740),FIND(" ",TRIM(C740)&amp;" ")-1),",","."),"."),LEFT(SUBSTITUTE(LEFT(TRIM(C740),FIND(" ",TRIM(C740)&amp;" ")-1),",","."),FIND("/",SUBSTITUTE(LEFT(TRIM(C740),FIND(" ",TRIM(C740)&amp;" ")-1),",","."))-1)/MID(SUBSTITUTE(LEFT(TRIM(C740),FIND(" ",TRIM(C740)&amp;" ")-1),",","."),FIND("/",SUBSTITUTE(LEFT(TRIM(C740),FIND(" ",TRIM(C740)&amp;" ")-1),",","."))+1,9))*12,NA()))),0),24)*'Aturan &amp; Tarif'!$B$4,2)</f>
        <v>1362.72</v>
      </c>
      <c r="K740" s="32" t="n">
        <f aca="false">'Aturan &amp; Tarif'!$B$5</f>
        <v>2050</v>
      </c>
      <c r="L740" s="32" t="n">
        <f aca="false">'Aturan &amp; Tarif'!$B$6</f>
        <v>350</v>
      </c>
      <c r="M740" s="35" t="n">
        <f aca="false">I740+J740+K740+L740</f>
        <v>10912.72</v>
      </c>
      <c r="N740" s="36" t="s">
        <v>2368</v>
      </c>
    </row>
    <row r="741" customFormat="false" ht="83.25" hidden="false" customHeight="true" outlineLevel="0" collapsed="false">
      <c r="A741" s="29"/>
      <c r="B741" s="30" t="s">
        <v>2387</v>
      </c>
      <c r="C741" s="31" t="s">
        <v>107</v>
      </c>
      <c r="D741" s="31" t="s">
        <v>108</v>
      </c>
      <c r="E741" s="32" t="n">
        <v>3125</v>
      </c>
      <c r="F741" s="32"/>
      <c r="G741" s="32" t="n">
        <v>100</v>
      </c>
      <c r="H741" s="33" t="n">
        <v>2</v>
      </c>
      <c r="I741" s="34" t="n">
        <f aca="false">E741*H741+N(F741)+N(G741)</f>
        <v>6350</v>
      </c>
      <c r="J741" s="32" t="n">
        <f aca="false">ROUND(IFERROR(ROUND(IF(OR(ISNUMBER(SEARCH("week",C741)),ISNUMBER(SEARCH("minggu",C741))),IFERROR(_xlfn.NUMBERVALUE(SUBSTITUTE(LEFT(TRIM(C741),FIND(" ",TRIM(C741)&amp;" ")-1),",","."),"."),LEFT(SUBSTITUTE(LEFT(TRIM(C741),FIND(" ",TRIM(C741)&amp;" ")-1),",","."),FIND("/",SUBSTITUTE(LEFT(TRIM(C741),FIND(" ",TRIM(C741)&amp;" ")-1),",","."))-1)/MID(SUBSTITUTE(LEFT(TRIM(C741),FIND(" ",TRIM(C741)&amp;" ")-1),",","."),FIND("/",SUBSTITUTE(LEFT(TRIM(C741),FIND(" ",TRIM(C741)&amp;" ")-1),",","."))+1,9))*12/52,IF(ISNUMBER(SEARCH("month",C741)),IFERROR(_xlfn.NUMBERVALUE(SUBSTITUTE(LEFT(TRIM(C741),FIND(" ",TRIM(C741)&amp;" ")-1),",","."),"."),LEFT(SUBSTITUTE(LEFT(TRIM(C741),FIND(" ",TRIM(C741)&amp;" ")-1),",","."),FIND("/",SUBSTITUTE(LEFT(TRIM(C741),FIND(" ",TRIM(C741)&amp;" ")-1),",","."))-1)/MID(SUBSTITUTE(LEFT(TRIM(C741),FIND(" ",TRIM(C741)&amp;" ")-1),",","."),FIND("/",SUBSTITUTE(LEFT(TRIM(C741),FIND(" ",TRIM(C741)&amp;" ")-1),",","."))+1,9)),IF(ISNUMBER(SEARCH("yea",C741)),IFERROR(_xlfn.NUMBERVALUE(SUBSTITUTE(LEFT(TRIM(C741),FIND(" ",TRIM(C741)&amp;" ")-1),",","."),"."),LEFT(SUBSTITUTE(LEFT(TRIM(C741),FIND(" ",TRIM(C741)&amp;" ")-1),",","."),FIND("/",SUBSTITUTE(LEFT(TRIM(C741),FIND(" ",TRIM(C741)&amp;" ")-1),",","."))-1)/MID(SUBSTITUTE(LEFT(TRIM(C741),FIND(" ",TRIM(C741)&amp;" ")-1),",","."),FIND("/",SUBSTITUTE(LEFT(TRIM(C741),FIND(" ",TRIM(C741)&amp;" ")-1),",","."))+1,9))*12,NA()))),0),24)*'Aturan &amp; Tarif'!$B$4,2)</f>
        <v>1362.72</v>
      </c>
      <c r="K741" s="32" t="n">
        <f aca="false">'Aturan &amp; Tarif'!$B$5</f>
        <v>2050</v>
      </c>
      <c r="L741" s="32" t="n">
        <f aca="false">'Aturan &amp; Tarif'!$B$6</f>
        <v>350</v>
      </c>
      <c r="M741" s="35" t="n">
        <f aca="false">I741+J741+K741+L741</f>
        <v>10112.72</v>
      </c>
      <c r="N741" s="36" t="s">
        <v>2368</v>
      </c>
    </row>
    <row r="742" customFormat="false" ht="72" hidden="false" customHeight="true" outlineLevel="0" collapsed="false">
      <c r="A742" s="29"/>
      <c r="B742" s="30" t="s">
        <v>2388</v>
      </c>
      <c r="C742" s="31" t="s">
        <v>191</v>
      </c>
      <c r="D742" s="31" t="s">
        <v>108</v>
      </c>
      <c r="E742" s="32" t="n">
        <v>3880</v>
      </c>
      <c r="F742" s="32"/>
      <c r="G742" s="32" t="n">
        <v>100</v>
      </c>
      <c r="H742" s="33" t="n">
        <v>2</v>
      </c>
      <c r="I742" s="34" t="n">
        <f aca="false">E742*H742+N(F742)+N(G742)</f>
        <v>7860</v>
      </c>
      <c r="J742" s="32" t="n">
        <f aca="false">ROUND(IFERROR(ROUND(IF(OR(ISNUMBER(SEARCH("week",C742)),ISNUMBER(SEARCH("minggu",C742))),IFERROR(_xlfn.NUMBERVALUE(SUBSTITUTE(LEFT(TRIM(C742),FIND(" ",TRIM(C742)&amp;" ")-1),",","."),"."),LEFT(SUBSTITUTE(LEFT(TRIM(C742),FIND(" ",TRIM(C742)&amp;" ")-1),",","."),FIND("/",SUBSTITUTE(LEFT(TRIM(C742),FIND(" ",TRIM(C742)&amp;" ")-1),",","."))-1)/MID(SUBSTITUTE(LEFT(TRIM(C742),FIND(" ",TRIM(C742)&amp;" ")-1),",","."),FIND("/",SUBSTITUTE(LEFT(TRIM(C742),FIND(" ",TRIM(C742)&amp;" ")-1),",","."))+1,9))*12/52,IF(ISNUMBER(SEARCH("month",C742)),IFERROR(_xlfn.NUMBERVALUE(SUBSTITUTE(LEFT(TRIM(C742),FIND(" ",TRIM(C742)&amp;" ")-1),",","."),"."),LEFT(SUBSTITUTE(LEFT(TRIM(C742),FIND(" ",TRIM(C742)&amp;" ")-1),",","."),FIND("/",SUBSTITUTE(LEFT(TRIM(C742),FIND(" ",TRIM(C742)&amp;" ")-1),",","."))-1)/MID(SUBSTITUTE(LEFT(TRIM(C742),FIND(" ",TRIM(C742)&amp;" ")-1),",","."),FIND("/",SUBSTITUTE(LEFT(TRIM(C742),FIND(" ",TRIM(C742)&amp;" ")-1),",","."))+1,9)),IF(ISNUMBER(SEARCH("yea",C742)),IFERROR(_xlfn.NUMBERVALUE(SUBSTITUTE(LEFT(TRIM(C742),FIND(" ",TRIM(C742)&amp;" ")-1),",","."),"."),LEFT(SUBSTITUTE(LEFT(TRIM(C742),FIND(" ",TRIM(C742)&amp;" ")-1),",","."),FIND("/",SUBSTITUTE(LEFT(TRIM(C742),FIND(" ",TRIM(C742)&amp;" ")-1),",","."))-1)/MID(SUBSTITUTE(LEFT(TRIM(C742),FIND(" ",TRIM(C742)&amp;" ")-1),",","."),FIND("/",SUBSTITUTE(LEFT(TRIM(C742),FIND(" ",TRIM(C742)&amp;" ")-1),",","."))+1,9))*12,NA()))),0),48)*'Aturan &amp; Tarif'!$B$4,2)</f>
        <v>2725.44</v>
      </c>
      <c r="K742" s="32" t="n">
        <f aca="false">'Aturan &amp; Tarif'!$B$5</f>
        <v>2050</v>
      </c>
      <c r="L742" s="32" t="n">
        <f aca="false">'Aturan &amp; Tarif'!$B$6</f>
        <v>350</v>
      </c>
      <c r="M742" s="35" t="n">
        <f aca="false">I742+J742+K742+L742</f>
        <v>12985.44</v>
      </c>
      <c r="N742" s="37" t="s">
        <v>2373</v>
      </c>
    </row>
    <row r="743" customFormat="false" ht="37.5" hidden="false" customHeight="true" outlineLevel="0" collapsed="false">
      <c r="A743" s="29"/>
      <c r="B743" s="30" t="s">
        <v>2389</v>
      </c>
      <c r="C743" s="31" t="s">
        <v>138</v>
      </c>
      <c r="D743" s="31" t="s">
        <v>108</v>
      </c>
      <c r="E743" s="32" t="n">
        <v>3880</v>
      </c>
      <c r="F743" s="32"/>
      <c r="G743" s="32" t="n">
        <v>100</v>
      </c>
      <c r="H743" s="33" t="n">
        <v>2</v>
      </c>
      <c r="I743" s="34" t="n">
        <f aca="false">E743*H743+N(F743)+N(G743)</f>
        <v>7860</v>
      </c>
      <c r="J743" s="32" t="n">
        <f aca="false">ROUND(IFERROR(ROUND(IF(OR(ISNUMBER(SEARCH("week",C743)),ISNUMBER(SEARCH("minggu",C743))),IFERROR(_xlfn.NUMBERVALUE(SUBSTITUTE(LEFT(TRIM(C743),FIND(" ",TRIM(C743)&amp;" ")-1),",","."),"."),LEFT(SUBSTITUTE(LEFT(TRIM(C743),FIND(" ",TRIM(C743)&amp;" ")-1),",","."),FIND("/",SUBSTITUTE(LEFT(TRIM(C743),FIND(" ",TRIM(C743)&amp;" ")-1),",","."))-1)/MID(SUBSTITUTE(LEFT(TRIM(C743),FIND(" ",TRIM(C743)&amp;" ")-1),",","."),FIND("/",SUBSTITUTE(LEFT(TRIM(C743),FIND(" ",TRIM(C743)&amp;" ")-1),",","."))+1,9))*12/52,IF(ISNUMBER(SEARCH("month",C743)),IFERROR(_xlfn.NUMBERVALUE(SUBSTITUTE(LEFT(TRIM(C743),FIND(" ",TRIM(C743)&amp;" ")-1),",","."),"."),LEFT(SUBSTITUTE(LEFT(TRIM(C743),FIND(" ",TRIM(C743)&amp;" ")-1),",","."),FIND("/",SUBSTITUTE(LEFT(TRIM(C743),FIND(" ",TRIM(C743)&amp;" ")-1),",","."))-1)/MID(SUBSTITUTE(LEFT(TRIM(C743),FIND(" ",TRIM(C743)&amp;" ")-1),",","."),FIND("/",SUBSTITUTE(LEFT(TRIM(C743),FIND(" ",TRIM(C743)&amp;" ")-1),",","."))+1,9)),IF(ISNUMBER(SEARCH("yea",C743)),IFERROR(_xlfn.NUMBERVALUE(SUBSTITUTE(LEFT(TRIM(C743),FIND(" ",TRIM(C743)&amp;" ")-1),",","."),"."),LEFT(SUBSTITUTE(LEFT(TRIM(C743),FIND(" ",TRIM(C743)&amp;" ")-1),",","."),FIND("/",SUBSTITUTE(LEFT(TRIM(C743),FIND(" ",TRIM(C743)&amp;" ")-1),",","."))-1)/MID(SUBSTITUTE(LEFT(TRIM(C743),FIND(" ",TRIM(C743)&amp;" ")-1),",","."),FIND("/",SUBSTITUTE(LEFT(TRIM(C743),FIND(" ",TRIM(C743)&amp;" ")-1),",","."))+1,9))*12,NA()))),0),30)*'Aturan &amp; Tarif'!$B$4,2)</f>
        <v>1703.4</v>
      </c>
      <c r="K743" s="32" t="n">
        <f aca="false">'Aturan &amp; Tarif'!$B$5</f>
        <v>2050</v>
      </c>
      <c r="L743" s="32" t="n">
        <f aca="false">'Aturan &amp; Tarif'!$B$6</f>
        <v>350</v>
      </c>
      <c r="M743" s="35" t="n">
        <f aca="false">I743+J743+K743+L743</f>
        <v>11963.4</v>
      </c>
      <c r="N743" s="37" t="s">
        <v>2373</v>
      </c>
    </row>
    <row r="744" customFormat="false" ht="48.75" hidden="false" customHeight="true" outlineLevel="0" collapsed="false">
      <c r="A744" s="29"/>
      <c r="B744" s="30" t="s">
        <v>2390</v>
      </c>
      <c r="C744" s="31" t="s">
        <v>107</v>
      </c>
      <c r="D744" s="31" t="s">
        <v>108</v>
      </c>
      <c r="E744" s="32" t="n">
        <v>3350</v>
      </c>
      <c r="F744" s="32"/>
      <c r="G744" s="32" t="n">
        <v>100</v>
      </c>
      <c r="H744" s="33" t="n">
        <v>2</v>
      </c>
      <c r="I744" s="34" t="n">
        <f aca="false">E744*H744+N(F744)+N(G744)</f>
        <v>6800</v>
      </c>
      <c r="J744" s="32" t="n">
        <f aca="false">ROUND(IFERROR(ROUND(IF(OR(ISNUMBER(SEARCH("week",C744)),ISNUMBER(SEARCH("minggu",C744))),IFERROR(_xlfn.NUMBERVALUE(SUBSTITUTE(LEFT(TRIM(C744),FIND(" ",TRIM(C744)&amp;" ")-1),",","."),"."),LEFT(SUBSTITUTE(LEFT(TRIM(C744),FIND(" ",TRIM(C744)&amp;" ")-1),",","."),FIND("/",SUBSTITUTE(LEFT(TRIM(C744),FIND(" ",TRIM(C744)&amp;" ")-1),",","."))-1)/MID(SUBSTITUTE(LEFT(TRIM(C744),FIND(" ",TRIM(C744)&amp;" ")-1),",","."),FIND("/",SUBSTITUTE(LEFT(TRIM(C744),FIND(" ",TRIM(C744)&amp;" ")-1),",","."))+1,9))*12/52,IF(ISNUMBER(SEARCH("month",C744)),IFERROR(_xlfn.NUMBERVALUE(SUBSTITUTE(LEFT(TRIM(C744),FIND(" ",TRIM(C744)&amp;" ")-1),",","."),"."),LEFT(SUBSTITUTE(LEFT(TRIM(C744),FIND(" ",TRIM(C744)&amp;" ")-1),",","."),FIND("/",SUBSTITUTE(LEFT(TRIM(C744),FIND(" ",TRIM(C744)&amp;" ")-1),",","."))-1)/MID(SUBSTITUTE(LEFT(TRIM(C744),FIND(" ",TRIM(C744)&amp;" ")-1),",","."),FIND("/",SUBSTITUTE(LEFT(TRIM(C744),FIND(" ",TRIM(C744)&amp;" ")-1),",","."))+1,9)),IF(ISNUMBER(SEARCH("yea",C744)),IFERROR(_xlfn.NUMBERVALUE(SUBSTITUTE(LEFT(TRIM(C744),FIND(" ",TRIM(C744)&amp;" ")-1),",","."),"."),LEFT(SUBSTITUTE(LEFT(TRIM(C744),FIND(" ",TRIM(C744)&amp;" ")-1),",","."),FIND("/",SUBSTITUTE(LEFT(TRIM(C744),FIND(" ",TRIM(C744)&amp;" ")-1),",","."))-1)/MID(SUBSTITUTE(LEFT(TRIM(C744),FIND(" ",TRIM(C744)&amp;" ")-1),",","."),FIND("/",SUBSTITUTE(LEFT(TRIM(C744),FIND(" ",TRIM(C744)&amp;" ")-1),",","."))+1,9))*12,NA()))),0),24)*'Aturan &amp; Tarif'!$B$4,2)</f>
        <v>1362.72</v>
      </c>
      <c r="K744" s="32" t="n">
        <f aca="false">'Aturan &amp; Tarif'!$B$5</f>
        <v>2050</v>
      </c>
      <c r="L744" s="32" t="n">
        <f aca="false">'Aturan &amp; Tarif'!$B$6</f>
        <v>350</v>
      </c>
      <c r="M744" s="35" t="n">
        <f aca="false">I744+J744+K744+L744</f>
        <v>10562.72</v>
      </c>
      <c r="N744" s="36" t="s">
        <v>2368</v>
      </c>
    </row>
    <row r="745" customFormat="false" ht="72" hidden="false" customHeight="true" outlineLevel="0" collapsed="false">
      <c r="A745" s="29"/>
      <c r="B745" s="30" t="s">
        <v>2391</v>
      </c>
      <c r="C745" s="31" t="s">
        <v>107</v>
      </c>
      <c r="D745" s="31" t="s">
        <v>108</v>
      </c>
      <c r="E745" s="32" t="n">
        <v>4510</v>
      </c>
      <c r="F745" s="32"/>
      <c r="G745" s="32" t="n">
        <v>100</v>
      </c>
      <c r="H745" s="33" t="n">
        <v>2</v>
      </c>
      <c r="I745" s="34" t="n">
        <f aca="false">E745*H745+N(F745)+N(G745)</f>
        <v>9120</v>
      </c>
      <c r="J745" s="32" t="n">
        <f aca="false">ROUND(IFERROR(ROUND(IF(OR(ISNUMBER(SEARCH("week",C745)),ISNUMBER(SEARCH("minggu",C745))),IFERROR(_xlfn.NUMBERVALUE(SUBSTITUTE(LEFT(TRIM(C745),FIND(" ",TRIM(C745)&amp;" ")-1),",","."),"."),LEFT(SUBSTITUTE(LEFT(TRIM(C745),FIND(" ",TRIM(C745)&amp;" ")-1),",","."),FIND("/",SUBSTITUTE(LEFT(TRIM(C745),FIND(" ",TRIM(C745)&amp;" ")-1),",","."))-1)/MID(SUBSTITUTE(LEFT(TRIM(C745),FIND(" ",TRIM(C745)&amp;" ")-1),",","."),FIND("/",SUBSTITUTE(LEFT(TRIM(C745),FIND(" ",TRIM(C745)&amp;" ")-1),",","."))+1,9))*12/52,IF(ISNUMBER(SEARCH("month",C745)),IFERROR(_xlfn.NUMBERVALUE(SUBSTITUTE(LEFT(TRIM(C745),FIND(" ",TRIM(C745)&amp;" ")-1),",","."),"."),LEFT(SUBSTITUTE(LEFT(TRIM(C745),FIND(" ",TRIM(C745)&amp;" ")-1),",","."),FIND("/",SUBSTITUTE(LEFT(TRIM(C745),FIND(" ",TRIM(C745)&amp;" ")-1),",","."))-1)/MID(SUBSTITUTE(LEFT(TRIM(C745),FIND(" ",TRIM(C745)&amp;" ")-1),",","."),FIND("/",SUBSTITUTE(LEFT(TRIM(C745),FIND(" ",TRIM(C745)&amp;" ")-1),",","."))+1,9)),IF(ISNUMBER(SEARCH("yea",C745)),IFERROR(_xlfn.NUMBERVALUE(SUBSTITUTE(LEFT(TRIM(C745),FIND(" ",TRIM(C745)&amp;" ")-1),",","."),"."),LEFT(SUBSTITUTE(LEFT(TRIM(C745),FIND(" ",TRIM(C745)&amp;" ")-1),",","."),FIND("/",SUBSTITUTE(LEFT(TRIM(C745),FIND(" ",TRIM(C745)&amp;" ")-1),",","."))-1)/MID(SUBSTITUTE(LEFT(TRIM(C745),FIND(" ",TRIM(C745)&amp;" ")-1),",","."),FIND("/",SUBSTITUTE(LEFT(TRIM(C745),FIND(" ",TRIM(C745)&amp;" ")-1),",","."))+1,9))*12,NA()))),0),24)*'Aturan &amp; Tarif'!$B$4,2)</f>
        <v>1362.72</v>
      </c>
      <c r="K745" s="32" t="n">
        <f aca="false">'Aturan &amp; Tarif'!$B$5</f>
        <v>2050</v>
      </c>
      <c r="L745" s="32" t="n">
        <f aca="false">'Aturan &amp; Tarif'!$B$6</f>
        <v>350</v>
      </c>
      <c r="M745" s="35" t="n">
        <f aca="false">I745+J745+K745+L745</f>
        <v>12882.72</v>
      </c>
      <c r="N745" s="37" t="s">
        <v>2366</v>
      </c>
    </row>
    <row r="746" customFormat="false" ht="37.5" hidden="false" customHeight="true" outlineLevel="0" collapsed="false">
      <c r="A746" s="29"/>
      <c r="B746" s="30" t="s">
        <v>2392</v>
      </c>
      <c r="C746" s="31" t="s">
        <v>107</v>
      </c>
      <c r="D746" s="31" t="s">
        <v>108</v>
      </c>
      <c r="E746" s="32" t="n">
        <v>3580</v>
      </c>
      <c r="F746" s="32"/>
      <c r="G746" s="32" t="n">
        <v>100</v>
      </c>
      <c r="H746" s="33" t="n">
        <v>2</v>
      </c>
      <c r="I746" s="34" t="n">
        <f aca="false">E746*H746+N(F746)+N(G746)</f>
        <v>7260</v>
      </c>
      <c r="J746" s="32" t="n">
        <f aca="false">ROUND(IFERROR(ROUND(IF(OR(ISNUMBER(SEARCH("week",C746)),ISNUMBER(SEARCH("minggu",C746))),IFERROR(_xlfn.NUMBERVALUE(SUBSTITUTE(LEFT(TRIM(C746),FIND(" ",TRIM(C746)&amp;" ")-1),",","."),"."),LEFT(SUBSTITUTE(LEFT(TRIM(C746),FIND(" ",TRIM(C746)&amp;" ")-1),",","."),FIND("/",SUBSTITUTE(LEFT(TRIM(C746),FIND(" ",TRIM(C746)&amp;" ")-1),",","."))-1)/MID(SUBSTITUTE(LEFT(TRIM(C746),FIND(" ",TRIM(C746)&amp;" ")-1),",","."),FIND("/",SUBSTITUTE(LEFT(TRIM(C746),FIND(" ",TRIM(C746)&amp;" ")-1),",","."))+1,9))*12/52,IF(ISNUMBER(SEARCH("month",C746)),IFERROR(_xlfn.NUMBERVALUE(SUBSTITUTE(LEFT(TRIM(C746),FIND(" ",TRIM(C746)&amp;" ")-1),",","."),"."),LEFT(SUBSTITUTE(LEFT(TRIM(C746),FIND(" ",TRIM(C746)&amp;" ")-1),",","."),FIND("/",SUBSTITUTE(LEFT(TRIM(C746),FIND(" ",TRIM(C746)&amp;" ")-1),",","."))-1)/MID(SUBSTITUTE(LEFT(TRIM(C746),FIND(" ",TRIM(C746)&amp;" ")-1),",","."),FIND("/",SUBSTITUTE(LEFT(TRIM(C746),FIND(" ",TRIM(C746)&amp;" ")-1),",","."))+1,9)),IF(ISNUMBER(SEARCH("yea",C746)),IFERROR(_xlfn.NUMBERVALUE(SUBSTITUTE(LEFT(TRIM(C746),FIND(" ",TRIM(C746)&amp;" ")-1),",","."),"."),LEFT(SUBSTITUTE(LEFT(TRIM(C746),FIND(" ",TRIM(C746)&amp;" ")-1),",","."),FIND("/",SUBSTITUTE(LEFT(TRIM(C746),FIND(" ",TRIM(C746)&amp;" ")-1),",","."))-1)/MID(SUBSTITUTE(LEFT(TRIM(C746),FIND(" ",TRIM(C746)&amp;" ")-1),",","."),FIND("/",SUBSTITUTE(LEFT(TRIM(C746),FIND(" ",TRIM(C746)&amp;" ")-1),",","."))+1,9))*12,NA()))),0),24)*'Aturan &amp; Tarif'!$B$4,2)</f>
        <v>1362.72</v>
      </c>
      <c r="K746" s="32" t="n">
        <f aca="false">'Aturan &amp; Tarif'!$B$5</f>
        <v>2050</v>
      </c>
      <c r="L746" s="32" t="n">
        <f aca="false">'Aturan &amp; Tarif'!$B$6</f>
        <v>350</v>
      </c>
      <c r="M746" s="35" t="n">
        <f aca="false">I746+J746+K746+L746</f>
        <v>11022.72</v>
      </c>
      <c r="N746" s="37" t="s">
        <v>2366</v>
      </c>
    </row>
    <row r="747" customFormat="false" ht="37.5" hidden="false" customHeight="true" outlineLevel="0" collapsed="false">
      <c r="A747" s="29"/>
      <c r="B747" s="30" t="s">
        <v>2393</v>
      </c>
      <c r="C747" s="31" t="s">
        <v>130</v>
      </c>
      <c r="D747" s="31" t="s">
        <v>108</v>
      </c>
      <c r="E747" s="32" t="n">
        <v>5000</v>
      </c>
      <c r="F747" s="32"/>
      <c r="G747" s="32" t="n">
        <v>100</v>
      </c>
      <c r="H747" s="33" t="n">
        <v>2</v>
      </c>
      <c r="I747" s="34" t="n">
        <f aca="false">E747*H747+N(F747)+N(G747)</f>
        <v>10100</v>
      </c>
      <c r="J747" s="32" t="n">
        <f aca="false">ROUND(IFERROR(ROUND(IF(OR(ISNUMBER(SEARCH("week",C747)),ISNUMBER(SEARCH("minggu",C747))),IFERROR(_xlfn.NUMBERVALUE(SUBSTITUTE(LEFT(TRIM(C747),FIND(" ",TRIM(C747)&amp;" ")-1),",","."),"."),LEFT(SUBSTITUTE(LEFT(TRIM(C747),FIND(" ",TRIM(C747)&amp;" ")-1),",","."),FIND("/",SUBSTITUTE(LEFT(TRIM(C747),FIND(" ",TRIM(C747)&amp;" ")-1),",","."))-1)/MID(SUBSTITUTE(LEFT(TRIM(C747),FIND(" ",TRIM(C747)&amp;" ")-1),",","."),FIND("/",SUBSTITUTE(LEFT(TRIM(C747),FIND(" ",TRIM(C747)&amp;" ")-1),",","."))+1,9))*12/52,IF(ISNUMBER(SEARCH("month",C747)),IFERROR(_xlfn.NUMBERVALUE(SUBSTITUTE(LEFT(TRIM(C747),FIND(" ",TRIM(C747)&amp;" ")-1),",","."),"."),LEFT(SUBSTITUTE(LEFT(TRIM(C747),FIND(" ",TRIM(C747)&amp;" ")-1),",","."),FIND("/",SUBSTITUTE(LEFT(TRIM(C747),FIND(" ",TRIM(C747)&amp;" ")-1),",","."))-1)/MID(SUBSTITUTE(LEFT(TRIM(C747),FIND(" ",TRIM(C747)&amp;" ")-1),",","."),FIND("/",SUBSTITUTE(LEFT(TRIM(C747),FIND(" ",TRIM(C747)&amp;" ")-1),",","."))+1,9)),IF(ISNUMBER(SEARCH("yea",C747)),IFERROR(_xlfn.NUMBERVALUE(SUBSTITUTE(LEFT(TRIM(C747),FIND(" ",TRIM(C747)&amp;" ")-1),",","."),"."),LEFT(SUBSTITUTE(LEFT(TRIM(C747),FIND(" ",TRIM(C747)&amp;" ")-1),",","."),FIND("/",SUBSTITUTE(LEFT(TRIM(C747),FIND(" ",TRIM(C747)&amp;" ")-1),",","."))-1)/MID(SUBSTITUTE(LEFT(TRIM(C747),FIND(" ",TRIM(C747)&amp;" ")-1),",","."),FIND("/",SUBSTITUTE(LEFT(TRIM(C747),FIND(" ",TRIM(C747)&amp;" ")-1),",","."))+1,9))*12,NA()))),0),12)*'Aturan &amp; Tarif'!$B$4,2)</f>
        <v>681.36</v>
      </c>
      <c r="K747" s="32" t="n">
        <f aca="false">'Aturan &amp; Tarif'!$B$5</f>
        <v>2050</v>
      </c>
      <c r="L747" s="32" t="n">
        <f aca="false">'Aturan &amp; Tarif'!$B$6</f>
        <v>350</v>
      </c>
      <c r="M747" s="35" t="n">
        <f aca="false">I747+J747+K747+L747</f>
        <v>13181.36</v>
      </c>
      <c r="N747" s="37" t="s">
        <v>2366</v>
      </c>
    </row>
    <row r="748" customFormat="false" ht="37.5" hidden="false" customHeight="true" outlineLevel="0" collapsed="false">
      <c r="A748" s="29"/>
      <c r="B748" s="30" t="s">
        <v>2394</v>
      </c>
      <c r="C748" s="31" t="s">
        <v>130</v>
      </c>
      <c r="D748" s="31" t="s">
        <v>108</v>
      </c>
      <c r="E748" s="32" t="n">
        <v>4237.5</v>
      </c>
      <c r="F748" s="32"/>
      <c r="G748" s="32" t="n">
        <v>100</v>
      </c>
      <c r="H748" s="33" t="n">
        <v>2</v>
      </c>
      <c r="I748" s="34" t="n">
        <f aca="false">E748*H748+N(F748)+N(G748)</f>
        <v>8575</v>
      </c>
      <c r="J748" s="32" t="n">
        <f aca="false">ROUND(IFERROR(ROUND(IF(OR(ISNUMBER(SEARCH("week",C748)),ISNUMBER(SEARCH("minggu",C748))),IFERROR(_xlfn.NUMBERVALUE(SUBSTITUTE(LEFT(TRIM(C748),FIND(" ",TRIM(C748)&amp;" ")-1),",","."),"."),LEFT(SUBSTITUTE(LEFT(TRIM(C748),FIND(" ",TRIM(C748)&amp;" ")-1),",","."),FIND("/",SUBSTITUTE(LEFT(TRIM(C748),FIND(" ",TRIM(C748)&amp;" ")-1),",","."))-1)/MID(SUBSTITUTE(LEFT(TRIM(C748),FIND(" ",TRIM(C748)&amp;" ")-1),",","."),FIND("/",SUBSTITUTE(LEFT(TRIM(C748),FIND(" ",TRIM(C748)&amp;" ")-1),",","."))+1,9))*12/52,IF(ISNUMBER(SEARCH("month",C748)),IFERROR(_xlfn.NUMBERVALUE(SUBSTITUTE(LEFT(TRIM(C748),FIND(" ",TRIM(C748)&amp;" ")-1),",","."),"."),LEFT(SUBSTITUTE(LEFT(TRIM(C748),FIND(" ",TRIM(C748)&amp;" ")-1),",","."),FIND("/",SUBSTITUTE(LEFT(TRIM(C748),FIND(" ",TRIM(C748)&amp;" ")-1),",","."))-1)/MID(SUBSTITUTE(LEFT(TRIM(C748),FIND(" ",TRIM(C748)&amp;" ")-1),",","."),FIND("/",SUBSTITUTE(LEFT(TRIM(C748),FIND(" ",TRIM(C748)&amp;" ")-1),",","."))+1,9)),IF(ISNUMBER(SEARCH("yea",C748)),IFERROR(_xlfn.NUMBERVALUE(SUBSTITUTE(LEFT(TRIM(C748),FIND(" ",TRIM(C748)&amp;" ")-1),",","."),"."),LEFT(SUBSTITUTE(LEFT(TRIM(C748),FIND(" ",TRIM(C748)&amp;" ")-1),",","."),FIND("/",SUBSTITUTE(LEFT(TRIM(C748),FIND(" ",TRIM(C748)&amp;" ")-1),",","."))-1)/MID(SUBSTITUTE(LEFT(TRIM(C748),FIND(" ",TRIM(C748)&amp;" ")-1),",","."),FIND("/",SUBSTITUTE(LEFT(TRIM(C748),FIND(" ",TRIM(C748)&amp;" ")-1),",","."))+1,9))*12,NA()))),0),12)*'Aturan &amp; Tarif'!$B$4,2)</f>
        <v>681.36</v>
      </c>
      <c r="K748" s="32" t="n">
        <f aca="false">'Aturan &amp; Tarif'!$B$5</f>
        <v>2050</v>
      </c>
      <c r="L748" s="32" t="n">
        <f aca="false">'Aturan &amp; Tarif'!$B$6</f>
        <v>350</v>
      </c>
      <c r="M748" s="35" t="n">
        <f aca="false">I748+J748+K748+L748</f>
        <v>11656.36</v>
      </c>
      <c r="N748" s="37" t="s">
        <v>2366</v>
      </c>
    </row>
    <row r="749" customFormat="false" ht="25.5" hidden="false" customHeight="true" outlineLevel="0" collapsed="false">
      <c r="A749" s="29"/>
      <c r="B749" s="30" t="s">
        <v>2395</v>
      </c>
      <c r="C749" s="31" t="s">
        <v>130</v>
      </c>
      <c r="D749" s="31" t="s">
        <v>108</v>
      </c>
      <c r="E749" s="32" t="n">
        <v>3732</v>
      </c>
      <c r="F749" s="32"/>
      <c r="G749" s="32" t="n">
        <v>100</v>
      </c>
      <c r="H749" s="33" t="n">
        <v>2</v>
      </c>
      <c r="I749" s="34" t="n">
        <f aca="false">E749*H749+N(F749)+N(G749)</f>
        <v>7564</v>
      </c>
      <c r="J749" s="32" t="n">
        <f aca="false">ROUND(IFERROR(ROUND(IF(OR(ISNUMBER(SEARCH("week",C749)),ISNUMBER(SEARCH("minggu",C749))),IFERROR(_xlfn.NUMBERVALUE(SUBSTITUTE(LEFT(TRIM(C749),FIND(" ",TRIM(C749)&amp;" ")-1),",","."),"."),LEFT(SUBSTITUTE(LEFT(TRIM(C749),FIND(" ",TRIM(C749)&amp;" ")-1),",","."),FIND("/",SUBSTITUTE(LEFT(TRIM(C749),FIND(" ",TRIM(C749)&amp;" ")-1),",","."))-1)/MID(SUBSTITUTE(LEFT(TRIM(C749),FIND(" ",TRIM(C749)&amp;" ")-1),",","."),FIND("/",SUBSTITUTE(LEFT(TRIM(C749),FIND(" ",TRIM(C749)&amp;" ")-1),",","."))+1,9))*12/52,IF(ISNUMBER(SEARCH("month",C749)),IFERROR(_xlfn.NUMBERVALUE(SUBSTITUTE(LEFT(TRIM(C749),FIND(" ",TRIM(C749)&amp;" ")-1),",","."),"."),LEFT(SUBSTITUTE(LEFT(TRIM(C749),FIND(" ",TRIM(C749)&amp;" ")-1),",","."),FIND("/",SUBSTITUTE(LEFT(TRIM(C749),FIND(" ",TRIM(C749)&amp;" ")-1),",","."))-1)/MID(SUBSTITUTE(LEFT(TRIM(C749),FIND(" ",TRIM(C749)&amp;" ")-1),",","."),FIND("/",SUBSTITUTE(LEFT(TRIM(C749),FIND(" ",TRIM(C749)&amp;" ")-1),",","."))+1,9)),IF(ISNUMBER(SEARCH("yea",C749)),IFERROR(_xlfn.NUMBERVALUE(SUBSTITUTE(LEFT(TRIM(C749),FIND(" ",TRIM(C749)&amp;" ")-1),",","."),"."),LEFT(SUBSTITUTE(LEFT(TRIM(C749),FIND(" ",TRIM(C749)&amp;" ")-1),",","."),FIND("/",SUBSTITUTE(LEFT(TRIM(C749),FIND(" ",TRIM(C749)&amp;" ")-1),",","."))-1)/MID(SUBSTITUTE(LEFT(TRIM(C749),FIND(" ",TRIM(C749)&amp;" ")-1),",","."),FIND("/",SUBSTITUTE(LEFT(TRIM(C749),FIND(" ",TRIM(C749)&amp;" ")-1),",","."))+1,9))*12,NA()))),0),12)*'Aturan &amp; Tarif'!$B$4,2)</f>
        <v>681.36</v>
      </c>
      <c r="K749" s="32" t="n">
        <f aca="false">'Aturan &amp; Tarif'!$B$5</f>
        <v>2050</v>
      </c>
      <c r="L749" s="32" t="n">
        <f aca="false">'Aturan &amp; Tarif'!$B$6</f>
        <v>350</v>
      </c>
      <c r="M749" s="35" t="n">
        <f aca="false">I749+J749+K749+L749</f>
        <v>10645.36</v>
      </c>
      <c r="N749" s="37" t="s">
        <v>2366</v>
      </c>
    </row>
    <row r="750" customFormat="false" ht="37.5" hidden="false" customHeight="true" outlineLevel="0" collapsed="false">
      <c r="A750" s="29"/>
      <c r="B750" s="30" t="s">
        <v>2396</v>
      </c>
      <c r="C750" s="31" t="s">
        <v>138</v>
      </c>
      <c r="D750" s="31" t="s">
        <v>108</v>
      </c>
      <c r="E750" s="32" t="n">
        <v>5100</v>
      </c>
      <c r="F750" s="32"/>
      <c r="G750" s="32" t="n">
        <v>100</v>
      </c>
      <c r="H750" s="33" t="n">
        <v>2</v>
      </c>
      <c r="I750" s="34" t="n">
        <f aca="false">E750*H750+N(F750)+N(G750)</f>
        <v>10300</v>
      </c>
      <c r="J750" s="32" t="n">
        <f aca="false">ROUND(IFERROR(ROUND(IF(OR(ISNUMBER(SEARCH("week",C750)),ISNUMBER(SEARCH("minggu",C750))),IFERROR(_xlfn.NUMBERVALUE(SUBSTITUTE(LEFT(TRIM(C750),FIND(" ",TRIM(C750)&amp;" ")-1),",","."),"."),LEFT(SUBSTITUTE(LEFT(TRIM(C750),FIND(" ",TRIM(C750)&amp;" ")-1),",","."),FIND("/",SUBSTITUTE(LEFT(TRIM(C750),FIND(" ",TRIM(C750)&amp;" ")-1),",","."))-1)/MID(SUBSTITUTE(LEFT(TRIM(C750),FIND(" ",TRIM(C750)&amp;" ")-1),",","."),FIND("/",SUBSTITUTE(LEFT(TRIM(C750),FIND(" ",TRIM(C750)&amp;" ")-1),",","."))+1,9))*12/52,IF(ISNUMBER(SEARCH("month",C750)),IFERROR(_xlfn.NUMBERVALUE(SUBSTITUTE(LEFT(TRIM(C750),FIND(" ",TRIM(C750)&amp;" ")-1),",","."),"."),LEFT(SUBSTITUTE(LEFT(TRIM(C750),FIND(" ",TRIM(C750)&amp;" ")-1),",","."),FIND("/",SUBSTITUTE(LEFT(TRIM(C750),FIND(" ",TRIM(C750)&amp;" ")-1),",","."))-1)/MID(SUBSTITUTE(LEFT(TRIM(C750),FIND(" ",TRIM(C750)&amp;" ")-1),",","."),FIND("/",SUBSTITUTE(LEFT(TRIM(C750),FIND(" ",TRIM(C750)&amp;" ")-1),",","."))+1,9)),IF(ISNUMBER(SEARCH("yea",C750)),IFERROR(_xlfn.NUMBERVALUE(SUBSTITUTE(LEFT(TRIM(C750),FIND(" ",TRIM(C750)&amp;" ")-1),",","."),"."),LEFT(SUBSTITUTE(LEFT(TRIM(C750),FIND(" ",TRIM(C750)&amp;" ")-1),",","."),FIND("/",SUBSTITUTE(LEFT(TRIM(C750),FIND(" ",TRIM(C750)&amp;" ")-1),",","."))-1)/MID(SUBSTITUTE(LEFT(TRIM(C750),FIND(" ",TRIM(C750)&amp;" ")-1),",","."),FIND("/",SUBSTITUTE(LEFT(TRIM(C750),FIND(" ",TRIM(C750)&amp;" ")-1),",","."))+1,9))*12,NA()))),0),30)*'Aturan &amp; Tarif'!$B$4,2)</f>
        <v>1703.4</v>
      </c>
      <c r="K750" s="32" t="n">
        <f aca="false">'Aturan &amp; Tarif'!$B$5</f>
        <v>2050</v>
      </c>
      <c r="L750" s="32" t="n">
        <f aca="false">'Aturan &amp; Tarif'!$B$6</f>
        <v>350</v>
      </c>
      <c r="M750" s="35" t="n">
        <f aca="false">I750+J750+K750+L750</f>
        <v>14403.4</v>
      </c>
      <c r="N750" s="36" t="s">
        <v>2397</v>
      </c>
    </row>
    <row r="751" customFormat="false" ht="25.5" hidden="false" customHeight="true" outlineLevel="0" collapsed="false">
      <c r="A751" s="29"/>
      <c r="B751" s="30" t="s">
        <v>2398</v>
      </c>
      <c r="C751" s="31" t="s">
        <v>107</v>
      </c>
      <c r="D751" s="31" t="s">
        <v>108</v>
      </c>
      <c r="E751" s="32" t="n">
        <v>8288</v>
      </c>
      <c r="F751" s="32"/>
      <c r="G751" s="32" t="n">
        <v>100</v>
      </c>
      <c r="H751" s="33" t="n">
        <v>2</v>
      </c>
      <c r="I751" s="34" t="n">
        <f aca="false">E751*H751+N(F751)+N(G751)</f>
        <v>16676</v>
      </c>
      <c r="J751" s="32" t="n">
        <f aca="false">ROUND(IFERROR(ROUND(IF(OR(ISNUMBER(SEARCH("week",C751)),ISNUMBER(SEARCH("minggu",C751))),IFERROR(_xlfn.NUMBERVALUE(SUBSTITUTE(LEFT(TRIM(C751),FIND(" ",TRIM(C751)&amp;" ")-1),",","."),"."),LEFT(SUBSTITUTE(LEFT(TRIM(C751),FIND(" ",TRIM(C751)&amp;" ")-1),",","."),FIND("/",SUBSTITUTE(LEFT(TRIM(C751),FIND(" ",TRIM(C751)&amp;" ")-1),",","."))-1)/MID(SUBSTITUTE(LEFT(TRIM(C751),FIND(" ",TRIM(C751)&amp;" ")-1),",","."),FIND("/",SUBSTITUTE(LEFT(TRIM(C751),FIND(" ",TRIM(C751)&amp;" ")-1),",","."))+1,9))*12/52,IF(ISNUMBER(SEARCH("month",C751)),IFERROR(_xlfn.NUMBERVALUE(SUBSTITUTE(LEFT(TRIM(C751),FIND(" ",TRIM(C751)&amp;" ")-1),",","."),"."),LEFT(SUBSTITUTE(LEFT(TRIM(C751),FIND(" ",TRIM(C751)&amp;" ")-1),",","."),FIND("/",SUBSTITUTE(LEFT(TRIM(C751),FIND(" ",TRIM(C751)&amp;" ")-1),",","."))-1)/MID(SUBSTITUTE(LEFT(TRIM(C751),FIND(" ",TRIM(C751)&amp;" ")-1),",","."),FIND("/",SUBSTITUTE(LEFT(TRIM(C751),FIND(" ",TRIM(C751)&amp;" ")-1),",","."))+1,9)),IF(ISNUMBER(SEARCH("yea",C751)),IFERROR(_xlfn.NUMBERVALUE(SUBSTITUTE(LEFT(TRIM(C751),FIND(" ",TRIM(C751)&amp;" ")-1),",","."),"."),LEFT(SUBSTITUTE(LEFT(TRIM(C751),FIND(" ",TRIM(C751)&amp;" ")-1),",","."),FIND("/",SUBSTITUTE(LEFT(TRIM(C751),FIND(" ",TRIM(C751)&amp;" ")-1),",","."))-1)/MID(SUBSTITUTE(LEFT(TRIM(C751),FIND(" ",TRIM(C751)&amp;" ")-1),",","."),FIND("/",SUBSTITUTE(LEFT(TRIM(C751),FIND(" ",TRIM(C751)&amp;" ")-1),",","."))+1,9))*12,NA()))),0),24)*'Aturan &amp; Tarif'!$B$4,2)</f>
        <v>1362.72</v>
      </c>
      <c r="K751" s="32" t="n">
        <f aca="false">'Aturan &amp; Tarif'!$B$5</f>
        <v>2050</v>
      </c>
      <c r="L751" s="32" t="n">
        <f aca="false">'Aturan &amp; Tarif'!$B$6</f>
        <v>350</v>
      </c>
      <c r="M751" s="35" t="n">
        <f aca="false">I751+J751+K751+L751</f>
        <v>20438.72</v>
      </c>
      <c r="N751" s="36" t="s">
        <v>2399</v>
      </c>
    </row>
    <row r="752" customFormat="false" ht="37.5" hidden="false" customHeight="true" outlineLevel="0" collapsed="false">
      <c r="A752" s="29"/>
      <c r="B752" s="30" t="s">
        <v>2400</v>
      </c>
      <c r="C752" s="31" t="s">
        <v>107</v>
      </c>
      <c r="D752" s="31" t="s">
        <v>108</v>
      </c>
      <c r="E752" s="32" t="n">
        <v>4357</v>
      </c>
      <c r="F752" s="32"/>
      <c r="G752" s="32" t="n">
        <v>100</v>
      </c>
      <c r="H752" s="33" t="n">
        <v>2</v>
      </c>
      <c r="I752" s="34" t="n">
        <f aca="false">E752*H752+N(F752)+N(G752)</f>
        <v>8814</v>
      </c>
      <c r="J752" s="32" t="n">
        <f aca="false">ROUND(IFERROR(ROUND(IF(OR(ISNUMBER(SEARCH("week",C752)),ISNUMBER(SEARCH("minggu",C752))),IFERROR(_xlfn.NUMBERVALUE(SUBSTITUTE(LEFT(TRIM(C752),FIND(" ",TRIM(C752)&amp;" ")-1),",","."),"."),LEFT(SUBSTITUTE(LEFT(TRIM(C752),FIND(" ",TRIM(C752)&amp;" ")-1),",","."),FIND("/",SUBSTITUTE(LEFT(TRIM(C752),FIND(" ",TRIM(C752)&amp;" ")-1),",","."))-1)/MID(SUBSTITUTE(LEFT(TRIM(C752),FIND(" ",TRIM(C752)&amp;" ")-1),",","."),FIND("/",SUBSTITUTE(LEFT(TRIM(C752),FIND(" ",TRIM(C752)&amp;" ")-1),",","."))+1,9))*12/52,IF(ISNUMBER(SEARCH("month",C752)),IFERROR(_xlfn.NUMBERVALUE(SUBSTITUTE(LEFT(TRIM(C752),FIND(" ",TRIM(C752)&amp;" ")-1),",","."),"."),LEFT(SUBSTITUTE(LEFT(TRIM(C752),FIND(" ",TRIM(C752)&amp;" ")-1),",","."),FIND("/",SUBSTITUTE(LEFT(TRIM(C752),FIND(" ",TRIM(C752)&amp;" ")-1),",","."))-1)/MID(SUBSTITUTE(LEFT(TRIM(C752),FIND(" ",TRIM(C752)&amp;" ")-1),",","."),FIND("/",SUBSTITUTE(LEFT(TRIM(C752),FIND(" ",TRIM(C752)&amp;" ")-1),",","."))+1,9)),IF(ISNUMBER(SEARCH("yea",C752)),IFERROR(_xlfn.NUMBERVALUE(SUBSTITUTE(LEFT(TRIM(C752),FIND(" ",TRIM(C752)&amp;" ")-1),",","."),"."),LEFT(SUBSTITUTE(LEFT(TRIM(C752),FIND(" ",TRIM(C752)&amp;" ")-1),",","."),FIND("/",SUBSTITUTE(LEFT(TRIM(C752),FIND(" ",TRIM(C752)&amp;" ")-1),",","."))-1)/MID(SUBSTITUTE(LEFT(TRIM(C752),FIND(" ",TRIM(C752)&amp;" ")-1),",","."),FIND("/",SUBSTITUTE(LEFT(TRIM(C752),FIND(" ",TRIM(C752)&amp;" ")-1),",","."))+1,9))*12,NA()))),0),24)*'Aturan &amp; Tarif'!$B$4,2)</f>
        <v>1362.72</v>
      </c>
      <c r="K752" s="32" t="n">
        <f aca="false">'Aturan &amp; Tarif'!$B$5</f>
        <v>2050</v>
      </c>
      <c r="L752" s="32" t="n">
        <f aca="false">'Aturan &amp; Tarif'!$B$6</f>
        <v>350</v>
      </c>
      <c r="M752" s="35" t="n">
        <f aca="false">I752+J752+K752+L752</f>
        <v>12576.72</v>
      </c>
      <c r="N752" s="36" t="s">
        <v>2368</v>
      </c>
    </row>
    <row r="753" customFormat="false" ht="48.75" hidden="false" customHeight="true" outlineLevel="0" collapsed="false">
      <c r="A753" s="29"/>
      <c r="B753" s="30" t="s">
        <v>2401</v>
      </c>
      <c r="C753" s="31" t="s">
        <v>127</v>
      </c>
      <c r="D753" s="31" t="s">
        <v>108</v>
      </c>
      <c r="E753" s="32" t="n">
        <v>6025</v>
      </c>
      <c r="F753" s="32"/>
      <c r="G753" s="32" t="n">
        <v>100</v>
      </c>
      <c r="H753" s="33" t="n">
        <v>2</v>
      </c>
      <c r="I753" s="34" t="n">
        <f aca="false">E753*H753+N(F753)+N(G753)</f>
        <v>12150</v>
      </c>
      <c r="J753" s="32" t="n">
        <f aca="false">ROUND(IFERROR(ROUND(IF(OR(ISNUMBER(SEARCH("week",C753)),ISNUMBER(SEARCH("minggu",C753))),IFERROR(_xlfn.NUMBERVALUE(SUBSTITUTE(LEFT(TRIM(C753),FIND(" ",TRIM(C753)&amp;" ")-1),",","."),"."),LEFT(SUBSTITUTE(LEFT(TRIM(C753),FIND(" ",TRIM(C753)&amp;" ")-1),",","."),FIND("/",SUBSTITUTE(LEFT(TRIM(C753),FIND(" ",TRIM(C753)&amp;" ")-1),",","."))-1)/MID(SUBSTITUTE(LEFT(TRIM(C753),FIND(" ",TRIM(C753)&amp;" ")-1),",","."),FIND("/",SUBSTITUTE(LEFT(TRIM(C753),FIND(" ",TRIM(C753)&amp;" ")-1),",","."))+1,9))*12/52,IF(ISNUMBER(SEARCH("month",C753)),IFERROR(_xlfn.NUMBERVALUE(SUBSTITUTE(LEFT(TRIM(C753),FIND(" ",TRIM(C753)&amp;" ")-1),",","."),"."),LEFT(SUBSTITUTE(LEFT(TRIM(C753),FIND(" ",TRIM(C753)&amp;" ")-1),",","."),FIND("/",SUBSTITUTE(LEFT(TRIM(C753),FIND(" ",TRIM(C753)&amp;" ")-1),",","."))-1)/MID(SUBSTITUTE(LEFT(TRIM(C753),FIND(" ",TRIM(C753)&amp;" ")-1),",","."),FIND("/",SUBSTITUTE(LEFT(TRIM(C753),FIND(" ",TRIM(C753)&amp;" ")-1),",","."))+1,9)),IF(ISNUMBER(SEARCH("yea",C753)),IFERROR(_xlfn.NUMBERVALUE(SUBSTITUTE(LEFT(TRIM(C753),FIND(" ",TRIM(C753)&amp;" ")-1),",","."),"."),LEFT(SUBSTITUTE(LEFT(TRIM(C753),FIND(" ",TRIM(C753)&amp;" ")-1),",","."),FIND("/",SUBSTITUTE(LEFT(TRIM(C753),FIND(" ",TRIM(C753)&amp;" ")-1),",","."))-1)/MID(SUBSTITUTE(LEFT(TRIM(C753),FIND(" ",TRIM(C753)&amp;" ")-1),",","."),FIND("/",SUBSTITUTE(LEFT(TRIM(C753),FIND(" ",TRIM(C753)&amp;" ")-1),",","."))+1,9))*12,NA()))),0),36)*'Aturan &amp; Tarif'!$B$4,2)</f>
        <v>2044.08</v>
      </c>
      <c r="K753" s="32" t="n">
        <f aca="false">'Aturan &amp; Tarif'!$B$5</f>
        <v>2050</v>
      </c>
      <c r="L753" s="32" t="n">
        <f aca="false">'Aturan &amp; Tarif'!$B$6</f>
        <v>350</v>
      </c>
      <c r="M753" s="35" t="n">
        <f aca="false">I753+J753+K753+L753</f>
        <v>16594.08</v>
      </c>
      <c r="N753" s="36" t="s">
        <v>2368</v>
      </c>
    </row>
    <row r="754" customFormat="false" ht="37.5" hidden="false" customHeight="true" outlineLevel="0" collapsed="false">
      <c r="A754" s="29"/>
      <c r="B754" s="30" t="s">
        <v>2402</v>
      </c>
      <c r="C754" s="31" t="s">
        <v>107</v>
      </c>
      <c r="D754" s="31" t="s">
        <v>108</v>
      </c>
      <c r="E754" s="32" t="n">
        <v>5625</v>
      </c>
      <c r="F754" s="32"/>
      <c r="G754" s="32" t="n">
        <v>100</v>
      </c>
      <c r="H754" s="33" t="n">
        <v>2</v>
      </c>
      <c r="I754" s="34" t="n">
        <f aca="false">E754*H754+N(F754)+N(G754)</f>
        <v>11350</v>
      </c>
      <c r="J754" s="32" t="n">
        <f aca="false">ROUND(IFERROR(ROUND(IF(OR(ISNUMBER(SEARCH("week",C754)),ISNUMBER(SEARCH("minggu",C754))),IFERROR(_xlfn.NUMBERVALUE(SUBSTITUTE(LEFT(TRIM(C754),FIND(" ",TRIM(C754)&amp;" ")-1),",","."),"."),LEFT(SUBSTITUTE(LEFT(TRIM(C754),FIND(" ",TRIM(C754)&amp;" ")-1),",","."),FIND("/",SUBSTITUTE(LEFT(TRIM(C754),FIND(" ",TRIM(C754)&amp;" ")-1),",","."))-1)/MID(SUBSTITUTE(LEFT(TRIM(C754),FIND(" ",TRIM(C754)&amp;" ")-1),",","."),FIND("/",SUBSTITUTE(LEFT(TRIM(C754),FIND(" ",TRIM(C754)&amp;" ")-1),",","."))+1,9))*12/52,IF(ISNUMBER(SEARCH("month",C754)),IFERROR(_xlfn.NUMBERVALUE(SUBSTITUTE(LEFT(TRIM(C754),FIND(" ",TRIM(C754)&amp;" ")-1),",","."),"."),LEFT(SUBSTITUTE(LEFT(TRIM(C754),FIND(" ",TRIM(C754)&amp;" ")-1),",","."),FIND("/",SUBSTITUTE(LEFT(TRIM(C754),FIND(" ",TRIM(C754)&amp;" ")-1),",","."))-1)/MID(SUBSTITUTE(LEFT(TRIM(C754),FIND(" ",TRIM(C754)&amp;" ")-1),",","."),FIND("/",SUBSTITUTE(LEFT(TRIM(C754),FIND(" ",TRIM(C754)&amp;" ")-1),",","."))+1,9)),IF(ISNUMBER(SEARCH("yea",C754)),IFERROR(_xlfn.NUMBERVALUE(SUBSTITUTE(LEFT(TRIM(C754),FIND(" ",TRIM(C754)&amp;" ")-1),",","."),"."),LEFT(SUBSTITUTE(LEFT(TRIM(C754),FIND(" ",TRIM(C754)&amp;" ")-1),",","."),FIND("/",SUBSTITUTE(LEFT(TRIM(C754),FIND(" ",TRIM(C754)&amp;" ")-1),",","."))-1)/MID(SUBSTITUTE(LEFT(TRIM(C754),FIND(" ",TRIM(C754)&amp;" ")-1),",","."),FIND("/",SUBSTITUTE(LEFT(TRIM(C754),FIND(" ",TRIM(C754)&amp;" ")-1),",","."))+1,9))*12,NA()))),0),24)*'Aturan &amp; Tarif'!$B$4,2)</f>
        <v>1362.72</v>
      </c>
      <c r="K754" s="32" t="n">
        <f aca="false">'Aturan &amp; Tarif'!$B$5</f>
        <v>2050</v>
      </c>
      <c r="L754" s="32" t="n">
        <f aca="false">'Aturan &amp; Tarif'!$B$6</f>
        <v>350</v>
      </c>
      <c r="M754" s="35" t="n">
        <f aca="false">I754+J754+K754+L754</f>
        <v>15112.72</v>
      </c>
      <c r="N754" s="36" t="s">
        <v>2368</v>
      </c>
    </row>
    <row r="755" customFormat="false" ht="48.75" hidden="false" customHeight="true" outlineLevel="0" collapsed="false">
      <c r="A755" s="29"/>
      <c r="B755" s="30" t="s">
        <v>2403</v>
      </c>
      <c r="C755" s="31" t="s">
        <v>113</v>
      </c>
      <c r="D755" s="31" t="s">
        <v>108</v>
      </c>
      <c r="E755" s="32" t="n">
        <v>8500</v>
      </c>
      <c r="F755" s="32"/>
      <c r="G755" s="32" t="n">
        <v>100</v>
      </c>
      <c r="H755" s="33" t="n">
        <v>2</v>
      </c>
      <c r="I755" s="34" t="n">
        <f aca="false">E755*H755+N(F755)+N(G755)</f>
        <v>17100</v>
      </c>
      <c r="J755" s="32" t="n">
        <f aca="false">ROUND(IFERROR(ROUND(IF(OR(ISNUMBER(SEARCH("week",C755)),ISNUMBER(SEARCH("minggu",C755))),IFERROR(_xlfn.NUMBERVALUE(SUBSTITUTE(LEFT(TRIM(C755),FIND(" ",TRIM(C755)&amp;" ")-1),",","."),"."),LEFT(SUBSTITUTE(LEFT(TRIM(C755),FIND(" ",TRIM(C755)&amp;" ")-1),",","."),FIND("/",SUBSTITUTE(LEFT(TRIM(C755),FIND(" ",TRIM(C755)&amp;" ")-1),",","."))-1)/MID(SUBSTITUTE(LEFT(TRIM(C755),FIND(" ",TRIM(C755)&amp;" ")-1),",","."),FIND("/",SUBSTITUTE(LEFT(TRIM(C755),FIND(" ",TRIM(C755)&amp;" ")-1),",","."))+1,9))*12/52,IF(ISNUMBER(SEARCH("month",C755)),IFERROR(_xlfn.NUMBERVALUE(SUBSTITUTE(LEFT(TRIM(C755),FIND(" ",TRIM(C755)&amp;" ")-1),",","."),"."),LEFT(SUBSTITUTE(LEFT(TRIM(C755),FIND(" ",TRIM(C755)&amp;" ")-1),",","."),FIND("/",SUBSTITUTE(LEFT(TRIM(C755),FIND(" ",TRIM(C755)&amp;" ")-1),",","."))-1)/MID(SUBSTITUTE(LEFT(TRIM(C755),FIND(" ",TRIM(C755)&amp;" ")-1),",","."),FIND("/",SUBSTITUTE(LEFT(TRIM(C755),FIND(" ",TRIM(C755)&amp;" ")-1),",","."))+1,9)),IF(ISNUMBER(SEARCH("yea",C755)),IFERROR(_xlfn.NUMBERVALUE(SUBSTITUTE(LEFT(TRIM(C755),FIND(" ",TRIM(C755)&amp;" ")-1),",","."),"."),LEFT(SUBSTITUTE(LEFT(TRIM(C755),FIND(" ",TRIM(C755)&amp;" ")-1),",","."),FIND("/",SUBSTITUTE(LEFT(TRIM(C755),FIND(" ",TRIM(C755)&amp;" ")-1),",","."))-1)/MID(SUBSTITUTE(LEFT(TRIM(C755),FIND(" ",TRIM(C755)&amp;" ")-1),",","."),FIND("/",SUBSTITUTE(LEFT(TRIM(C755),FIND(" ",TRIM(C755)&amp;" ")-1),",","."))+1,9))*12,NA()))),0),18)*'Aturan &amp; Tarif'!$B$4,2)</f>
        <v>1022.04</v>
      </c>
      <c r="K755" s="32" t="n">
        <f aca="false">'Aturan &amp; Tarif'!$B$5</f>
        <v>2050</v>
      </c>
      <c r="L755" s="32" t="n">
        <f aca="false">'Aturan &amp; Tarif'!$B$6</f>
        <v>350</v>
      </c>
      <c r="M755" s="35" t="n">
        <f aca="false">I755+J755+K755+L755</f>
        <v>20522.04</v>
      </c>
      <c r="N755" s="36" t="s">
        <v>2368</v>
      </c>
    </row>
    <row r="756" customFormat="false" ht="25.5" hidden="false" customHeight="true" outlineLevel="0" collapsed="false">
      <c r="A756" s="29"/>
      <c r="B756" s="30" t="s">
        <v>2404</v>
      </c>
      <c r="C756" s="31" t="s">
        <v>113</v>
      </c>
      <c r="D756" s="31" t="s">
        <v>108</v>
      </c>
      <c r="E756" s="32" t="n">
        <v>8500</v>
      </c>
      <c r="F756" s="32"/>
      <c r="G756" s="32" t="n">
        <v>100</v>
      </c>
      <c r="H756" s="33" t="n">
        <v>2</v>
      </c>
      <c r="I756" s="34" t="n">
        <f aca="false">E756*H756+N(F756)+N(G756)</f>
        <v>17100</v>
      </c>
      <c r="J756" s="32" t="n">
        <f aca="false">ROUND(IFERROR(ROUND(IF(OR(ISNUMBER(SEARCH("week",C756)),ISNUMBER(SEARCH("minggu",C756))),IFERROR(_xlfn.NUMBERVALUE(SUBSTITUTE(LEFT(TRIM(C756),FIND(" ",TRIM(C756)&amp;" ")-1),",","."),"."),LEFT(SUBSTITUTE(LEFT(TRIM(C756),FIND(" ",TRIM(C756)&amp;" ")-1),",","."),FIND("/",SUBSTITUTE(LEFT(TRIM(C756),FIND(" ",TRIM(C756)&amp;" ")-1),",","."))-1)/MID(SUBSTITUTE(LEFT(TRIM(C756),FIND(" ",TRIM(C756)&amp;" ")-1),",","."),FIND("/",SUBSTITUTE(LEFT(TRIM(C756),FIND(" ",TRIM(C756)&amp;" ")-1),",","."))+1,9))*12/52,IF(ISNUMBER(SEARCH("month",C756)),IFERROR(_xlfn.NUMBERVALUE(SUBSTITUTE(LEFT(TRIM(C756),FIND(" ",TRIM(C756)&amp;" ")-1),",","."),"."),LEFT(SUBSTITUTE(LEFT(TRIM(C756),FIND(" ",TRIM(C756)&amp;" ")-1),",","."),FIND("/",SUBSTITUTE(LEFT(TRIM(C756),FIND(" ",TRIM(C756)&amp;" ")-1),",","."))-1)/MID(SUBSTITUTE(LEFT(TRIM(C756),FIND(" ",TRIM(C756)&amp;" ")-1),",","."),FIND("/",SUBSTITUTE(LEFT(TRIM(C756),FIND(" ",TRIM(C756)&amp;" ")-1),",","."))+1,9)),IF(ISNUMBER(SEARCH("yea",C756)),IFERROR(_xlfn.NUMBERVALUE(SUBSTITUTE(LEFT(TRIM(C756),FIND(" ",TRIM(C756)&amp;" ")-1),",","."),"."),LEFT(SUBSTITUTE(LEFT(TRIM(C756),FIND(" ",TRIM(C756)&amp;" ")-1),",","."),FIND("/",SUBSTITUTE(LEFT(TRIM(C756),FIND(" ",TRIM(C756)&amp;" ")-1),",","."))-1)/MID(SUBSTITUTE(LEFT(TRIM(C756),FIND(" ",TRIM(C756)&amp;" ")-1),",","."),FIND("/",SUBSTITUTE(LEFT(TRIM(C756),FIND(" ",TRIM(C756)&amp;" ")-1),",","."))+1,9))*12,NA()))),0),18)*'Aturan &amp; Tarif'!$B$4,2)</f>
        <v>1022.04</v>
      </c>
      <c r="K756" s="32" t="n">
        <f aca="false">'Aturan &amp; Tarif'!$B$5</f>
        <v>2050</v>
      </c>
      <c r="L756" s="32" t="n">
        <f aca="false">'Aturan &amp; Tarif'!$B$6</f>
        <v>350</v>
      </c>
      <c r="M756" s="35" t="n">
        <f aca="false">I756+J756+K756+L756</f>
        <v>20522.04</v>
      </c>
      <c r="N756" s="36" t="s">
        <v>2368</v>
      </c>
    </row>
    <row r="757" customFormat="false" ht="37.5" hidden="false" customHeight="true" outlineLevel="0" collapsed="false">
      <c r="A757" s="29"/>
      <c r="B757" s="30" t="s">
        <v>2405</v>
      </c>
      <c r="C757" s="31" t="s">
        <v>113</v>
      </c>
      <c r="D757" s="31" t="s">
        <v>108</v>
      </c>
      <c r="E757" s="32" t="n">
        <v>8500</v>
      </c>
      <c r="F757" s="32"/>
      <c r="G757" s="32" t="n">
        <v>100</v>
      </c>
      <c r="H757" s="33" t="n">
        <v>2</v>
      </c>
      <c r="I757" s="34" t="n">
        <f aca="false">E757*H757+N(F757)+N(G757)</f>
        <v>17100</v>
      </c>
      <c r="J757" s="32" t="n">
        <f aca="false">ROUND(IFERROR(ROUND(IF(OR(ISNUMBER(SEARCH("week",C757)),ISNUMBER(SEARCH("minggu",C757))),IFERROR(_xlfn.NUMBERVALUE(SUBSTITUTE(LEFT(TRIM(C757),FIND(" ",TRIM(C757)&amp;" ")-1),",","."),"."),LEFT(SUBSTITUTE(LEFT(TRIM(C757),FIND(" ",TRIM(C757)&amp;" ")-1),",","."),FIND("/",SUBSTITUTE(LEFT(TRIM(C757),FIND(" ",TRIM(C757)&amp;" ")-1),",","."))-1)/MID(SUBSTITUTE(LEFT(TRIM(C757),FIND(" ",TRIM(C757)&amp;" ")-1),",","."),FIND("/",SUBSTITUTE(LEFT(TRIM(C757),FIND(" ",TRIM(C757)&amp;" ")-1),",","."))+1,9))*12/52,IF(ISNUMBER(SEARCH("month",C757)),IFERROR(_xlfn.NUMBERVALUE(SUBSTITUTE(LEFT(TRIM(C757),FIND(" ",TRIM(C757)&amp;" ")-1),",","."),"."),LEFT(SUBSTITUTE(LEFT(TRIM(C757),FIND(" ",TRIM(C757)&amp;" ")-1),",","."),FIND("/",SUBSTITUTE(LEFT(TRIM(C757),FIND(" ",TRIM(C757)&amp;" ")-1),",","."))-1)/MID(SUBSTITUTE(LEFT(TRIM(C757),FIND(" ",TRIM(C757)&amp;" ")-1),",","."),FIND("/",SUBSTITUTE(LEFT(TRIM(C757),FIND(" ",TRIM(C757)&amp;" ")-1),",","."))+1,9)),IF(ISNUMBER(SEARCH("yea",C757)),IFERROR(_xlfn.NUMBERVALUE(SUBSTITUTE(LEFT(TRIM(C757),FIND(" ",TRIM(C757)&amp;" ")-1),",","."),"."),LEFT(SUBSTITUTE(LEFT(TRIM(C757),FIND(" ",TRIM(C757)&amp;" ")-1),",","."),FIND("/",SUBSTITUTE(LEFT(TRIM(C757),FIND(" ",TRIM(C757)&amp;" ")-1),",","."))-1)/MID(SUBSTITUTE(LEFT(TRIM(C757),FIND(" ",TRIM(C757)&amp;" ")-1),",","."),FIND("/",SUBSTITUTE(LEFT(TRIM(C757),FIND(" ",TRIM(C757)&amp;" ")-1),",","."))+1,9))*12,NA()))),0),18)*'Aturan &amp; Tarif'!$B$4,2)</f>
        <v>1022.04</v>
      </c>
      <c r="K757" s="32" t="n">
        <f aca="false">'Aturan &amp; Tarif'!$B$5</f>
        <v>2050</v>
      </c>
      <c r="L757" s="32" t="n">
        <f aca="false">'Aturan &amp; Tarif'!$B$6</f>
        <v>350</v>
      </c>
      <c r="M757" s="35" t="n">
        <f aca="false">I757+J757+K757+L757</f>
        <v>20522.04</v>
      </c>
      <c r="N757" s="36" t="s">
        <v>2368</v>
      </c>
    </row>
    <row r="758" customFormat="false" ht="37.5" hidden="false" customHeight="true" outlineLevel="0" collapsed="false">
      <c r="A758" s="29"/>
      <c r="B758" s="30" t="s">
        <v>2406</v>
      </c>
      <c r="C758" s="31" t="s">
        <v>113</v>
      </c>
      <c r="D758" s="31" t="s">
        <v>108</v>
      </c>
      <c r="E758" s="32" t="n">
        <v>3667</v>
      </c>
      <c r="F758" s="32"/>
      <c r="G758" s="32" t="n">
        <v>100</v>
      </c>
      <c r="H758" s="33" t="n">
        <v>2</v>
      </c>
      <c r="I758" s="34" t="n">
        <f aca="false">E758*H758+N(F758)+N(G758)</f>
        <v>7434</v>
      </c>
      <c r="J758" s="32" t="n">
        <f aca="false">ROUND(IFERROR(ROUND(IF(OR(ISNUMBER(SEARCH("week",C758)),ISNUMBER(SEARCH("minggu",C758))),IFERROR(_xlfn.NUMBERVALUE(SUBSTITUTE(LEFT(TRIM(C758),FIND(" ",TRIM(C758)&amp;" ")-1),",","."),"."),LEFT(SUBSTITUTE(LEFT(TRIM(C758),FIND(" ",TRIM(C758)&amp;" ")-1),",","."),FIND("/",SUBSTITUTE(LEFT(TRIM(C758),FIND(" ",TRIM(C758)&amp;" ")-1),",","."))-1)/MID(SUBSTITUTE(LEFT(TRIM(C758),FIND(" ",TRIM(C758)&amp;" ")-1),",","."),FIND("/",SUBSTITUTE(LEFT(TRIM(C758),FIND(" ",TRIM(C758)&amp;" ")-1),",","."))+1,9))*12/52,IF(ISNUMBER(SEARCH("month",C758)),IFERROR(_xlfn.NUMBERVALUE(SUBSTITUTE(LEFT(TRIM(C758),FIND(" ",TRIM(C758)&amp;" ")-1),",","."),"."),LEFT(SUBSTITUTE(LEFT(TRIM(C758),FIND(" ",TRIM(C758)&amp;" ")-1),",","."),FIND("/",SUBSTITUTE(LEFT(TRIM(C758),FIND(" ",TRIM(C758)&amp;" ")-1),",","."))-1)/MID(SUBSTITUTE(LEFT(TRIM(C758),FIND(" ",TRIM(C758)&amp;" ")-1),",","."),FIND("/",SUBSTITUTE(LEFT(TRIM(C758),FIND(" ",TRIM(C758)&amp;" ")-1),",","."))+1,9)),IF(ISNUMBER(SEARCH("yea",C758)),IFERROR(_xlfn.NUMBERVALUE(SUBSTITUTE(LEFT(TRIM(C758),FIND(" ",TRIM(C758)&amp;" ")-1),",","."),"."),LEFT(SUBSTITUTE(LEFT(TRIM(C758),FIND(" ",TRIM(C758)&amp;" ")-1),",","."),FIND("/",SUBSTITUTE(LEFT(TRIM(C758),FIND(" ",TRIM(C758)&amp;" ")-1),",","."))-1)/MID(SUBSTITUTE(LEFT(TRIM(C758),FIND(" ",TRIM(C758)&amp;" ")-1),",","."),FIND("/",SUBSTITUTE(LEFT(TRIM(C758),FIND(" ",TRIM(C758)&amp;" ")-1),",","."))+1,9))*12,NA()))),0),18)*'Aturan &amp; Tarif'!$B$4,2)</f>
        <v>1022.04</v>
      </c>
      <c r="K758" s="32" t="n">
        <f aca="false">'Aturan &amp; Tarif'!$B$5</f>
        <v>2050</v>
      </c>
      <c r="L758" s="32" t="n">
        <f aca="false">'Aturan &amp; Tarif'!$B$6</f>
        <v>350</v>
      </c>
      <c r="M758" s="35" t="n">
        <f aca="false">I758+J758+K758+L758</f>
        <v>10856.04</v>
      </c>
      <c r="N758" s="37" t="s">
        <v>2366</v>
      </c>
    </row>
    <row r="759" customFormat="false" ht="25.5" hidden="false" customHeight="true" outlineLevel="0" collapsed="false">
      <c r="A759" s="29"/>
      <c r="B759" s="30" t="s">
        <v>2407</v>
      </c>
      <c r="C759" s="31" t="s">
        <v>2408</v>
      </c>
      <c r="D759" s="31" t="s">
        <v>108</v>
      </c>
      <c r="E759" s="32" t="n">
        <v>3738</v>
      </c>
      <c r="F759" s="32"/>
      <c r="G759" s="32" t="n">
        <v>100</v>
      </c>
      <c r="H759" s="33" t="n">
        <v>2</v>
      </c>
      <c r="I759" s="34" t="n">
        <f aca="false">E759*H759+N(F759)+N(G759)</f>
        <v>7576</v>
      </c>
      <c r="J759" s="32" t="n">
        <f aca="false">ROUND(IFERROR(ROUND(IF(OR(ISNUMBER(SEARCH("week",C759)),ISNUMBER(SEARCH("minggu",C759))),IFERROR(_xlfn.NUMBERVALUE(SUBSTITUTE(LEFT(TRIM(C759),FIND(" ",TRIM(C759)&amp;" ")-1),",","."),"."),LEFT(SUBSTITUTE(LEFT(TRIM(C759),FIND(" ",TRIM(C759)&amp;" ")-1),",","."),FIND("/",SUBSTITUTE(LEFT(TRIM(C759),FIND(" ",TRIM(C759)&amp;" ")-1),",","."))-1)/MID(SUBSTITUTE(LEFT(TRIM(C759),FIND(" ",TRIM(C759)&amp;" ")-1),",","."),FIND("/",SUBSTITUTE(LEFT(TRIM(C759),FIND(" ",TRIM(C759)&amp;" ")-1),",","."))+1,9))*12/52,IF(ISNUMBER(SEARCH("month",C759)),IFERROR(_xlfn.NUMBERVALUE(SUBSTITUTE(LEFT(TRIM(C759),FIND(" ",TRIM(C759)&amp;" ")-1),",","."),"."),LEFT(SUBSTITUTE(LEFT(TRIM(C759),FIND(" ",TRIM(C759)&amp;" ")-1),",","."),FIND("/",SUBSTITUTE(LEFT(TRIM(C759),FIND(" ",TRIM(C759)&amp;" ")-1),",","."))-1)/MID(SUBSTITUTE(LEFT(TRIM(C759),FIND(" ",TRIM(C759)&amp;" ")-1),",","."),FIND("/",SUBSTITUTE(LEFT(TRIM(C759),FIND(" ",TRIM(C759)&amp;" ")-1),",","."))+1,9)),IF(ISNUMBER(SEARCH("yea",C759)),IFERROR(_xlfn.NUMBERVALUE(SUBSTITUTE(LEFT(TRIM(C759),FIND(" ",TRIM(C759)&amp;" ")-1),",","."),"."),LEFT(SUBSTITUTE(LEFT(TRIM(C759),FIND(" ",TRIM(C759)&amp;" ")-1),",","."),FIND("/",SUBSTITUTE(LEFT(TRIM(C759),FIND(" ",TRIM(C759)&amp;" ")-1),",","."))-1)/MID(SUBSTITUTE(LEFT(TRIM(C759),FIND(" ",TRIM(C759)&amp;" ")-1),",","."),FIND("/",SUBSTITUTE(LEFT(TRIM(C759),FIND(" ",TRIM(C759)&amp;" ")-1),",","."))+1,9))*12,NA()))),0),30)*'Aturan &amp; Tarif'!$B$4,2)</f>
        <v>1703.4</v>
      </c>
      <c r="K759" s="32" t="n">
        <f aca="false">'Aturan &amp; Tarif'!$B$5</f>
        <v>2050</v>
      </c>
      <c r="L759" s="32" t="n">
        <f aca="false">'Aturan &amp; Tarif'!$B$6</f>
        <v>350</v>
      </c>
      <c r="M759" s="35" t="n">
        <f aca="false">I759+J759+K759+L759</f>
        <v>11679.4</v>
      </c>
      <c r="N759" s="36" t="s">
        <v>2368</v>
      </c>
    </row>
    <row r="760" customFormat="false" ht="37.5" hidden="false" customHeight="true" outlineLevel="0" collapsed="false">
      <c r="A760" s="29"/>
      <c r="B760" s="30" t="s">
        <v>2409</v>
      </c>
      <c r="C760" s="31" t="s">
        <v>130</v>
      </c>
      <c r="D760" s="31" t="s">
        <v>108</v>
      </c>
      <c r="E760" s="32" t="n">
        <v>4788</v>
      </c>
      <c r="F760" s="32"/>
      <c r="G760" s="32" t="n">
        <v>100</v>
      </c>
      <c r="H760" s="33" t="n">
        <v>2</v>
      </c>
      <c r="I760" s="34" t="n">
        <f aca="false">E760*H760+N(F760)+N(G760)</f>
        <v>9676</v>
      </c>
      <c r="J760" s="32" t="n">
        <f aca="false">ROUND(IFERROR(ROUND(IF(OR(ISNUMBER(SEARCH("week",C760)),ISNUMBER(SEARCH("minggu",C760))),IFERROR(_xlfn.NUMBERVALUE(SUBSTITUTE(LEFT(TRIM(C760),FIND(" ",TRIM(C760)&amp;" ")-1),",","."),"."),LEFT(SUBSTITUTE(LEFT(TRIM(C760),FIND(" ",TRIM(C760)&amp;" ")-1),",","."),FIND("/",SUBSTITUTE(LEFT(TRIM(C760),FIND(" ",TRIM(C760)&amp;" ")-1),",","."))-1)/MID(SUBSTITUTE(LEFT(TRIM(C760),FIND(" ",TRIM(C760)&amp;" ")-1),",","."),FIND("/",SUBSTITUTE(LEFT(TRIM(C760),FIND(" ",TRIM(C760)&amp;" ")-1),",","."))+1,9))*12/52,IF(ISNUMBER(SEARCH("month",C760)),IFERROR(_xlfn.NUMBERVALUE(SUBSTITUTE(LEFT(TRIM(C760),FIND(" ",TRIM(C760)&amp;" ")-1),",","."),"."),LEFT(SUBSTITUTE(LEFT(TRIM(C760),FIND(" ",TRIM(C760)&amp;" ")-1),",","."),FIND("/",SUBSTITUTE(LEFT(TRIM(C760),FIND(" ",TRIM(C760)&amp;" ")-1),",","."))-1)/MID(SUBSTITUTE(LEFT(TRIM(C760),FIND(" ",TRIM(C760)&amp;" ")-1),",","."),FIND("/",SUBSTITUTE(LEFT(TRIM(C760),FIND(" ",TRIM(C760)&amp;" ")-1),",","."))+1,9)),IF(ISNUMBER(SEARCH("yea",C760)),IFERROR(_xlfn.NUMBERVALUE(SUBSTITUTE(LEFT(TRIM(C760),FIND(" ",TRIM(C760)&amp;" ")-1),",","."),"."),LEFT(SUBSTITUTE(LEFT(TRIM(C760),FIND(" ",TRIM(C760)&amp;" ")-1),",","."),FIND("/",SUBSTITUTE(LEFT(TRIM(C760),FIND(" ",TRIM(C760)&amp;" ")-1),",","."))-1)/MID(SUBSTITUTE(LEFT(TRIM(C760),FIND(" ",TRIM(C760)&amp;" ")-1),",","."),FIND("/",SUBSTITUTE(LEFT(TRIM(C760),FIND(" ",TRIM(C760)&amp;" ")-1),",","."))+1,9))*12,NA()))),0),12)*'Aturan &amp; Tarif'!$B$4,2)</f>
        <v>681.36</v>
      </c>
      <c r="K760" s="32" t="n">
        <f aca="false">'Aturan &amp; Tarif'!$B$5</f>
        <v>2050</v>
      </c>
      <c r="L760" s="32" t="n">
        <f aca="false">'Aturan &amp; Tarif'!$B$6</f>
        <v>350</v>
      </c>
      <c r="M760" s="35" t="n">
        <f aca="false">I760+J760+K760+L760</f>
        <v>12757.36</v>
      </c>
      <c r="N760" s="37" t="s">
        <v>2366</v>
      </c>
    </row>
    <row r="761" customFormat="false" ht="25.5" hidden="false" customHeight="true" outlineLevel="0" collapsed="false">
      <c r="A761" s="29"/>
      <c r="B761" s="30" t="s">
        <v>2410</v>
      </c>
      <c r="C761" s="31" t="s">
        <v>113</v>
      </c>
      <c r="D761" s="31" t="s">
        <v>108</v>
      </c>
      <c r="E761" s="32" t="n">
        <v>5113</v>
      </c>
      <c r="F761" s="32"/>
      <c r="G761" s="32" t="n">
        <v>100</v>
      </c>
      <c r="H761" s="33" t="n">
        <v>2</v>
      </c>
      <c r="I761" s="34" t="n">
        <f aca="false">E761*H761+N(F761)+N(G761)</f>
        <v>10326</v>
      </c>
      <c r="J761" s="32" t="n">
        <f aca="false">ROUND(IFERROR(ROUND(IF(OR(ISNUMBER(SEARCH("week",C761)),ISNUMBER(SEARCH("minggu",C761))),IFERROR(_xlfn.NUMBERVALUE(SUBSTITUTE(LEFT(TRIM(C761),FIND(" ",TRIM(C761)&amp;" ")-1),",","."),"."),LEFT(SUBSTITUTE(LEFT(TRIM(C761),FIND(" ",TRIM(C761)&amp;" ")-1),",","."),FIND("/",SUBSTITUTE(LEFT(TRIM(C761),FIND(" ",TRIM(C761)&amp;" ")-1),",","."))-1)/MID(SUBSTITUTE(LEFT(TRIM(C761),FIND(" ",TRIM(C761)&amp;" ")-1),",","."),FIND("/",SUBSTITUTE(LEFT(TRIM(C761),FIND(" ",TRIM(C761)&amp;" ")-1),",","."))+1,9))*12/52,IF(ISNUMBER(SEARCH("month",C761)),IFERROR(_xlfn.NUMBERVALUE(SUBSTITUTE(LEFT(TRIM(C761),FIND(" ",TRIM(C761)&amp;" ")-1),",","."),"."),LEFT(SUBSTITUTE(LEFT(TRIM(C761),FIND(" ",TRIM(C761)&amp;" ")-1),",","."),FIND("/",SUBSTITUTE(LEFT(TRIM(C761),FIND(" ",TRIM(C761)&amp;" ")-1),",","."))-1)/MID(SUBSTITUTE(LEFT(TRIM(C761),FIND(" ",TRIM(C761)&amp;" ")-1),",","."),FIND("/",SUBSTITUTE(LEFT(TRIM(C761),FIND(" ",TRIM(C761)&amp;" ")-1),",","."))+1,9)),IF(ISNUMBER(SEARCH("yea",C761)),IFERROR(_xlfn.NUMBERVALUE(SUBSTITUTE(LEFT(TRIM(C761),FIND(" ",TRIM(C761)&amp;" ")-1),",","."),"."),LEFT(SUBSTITUTE(LEFT(TRIM(C761),FIND(" ",TRIM(C761)&amp;" ")-1),",","."),FIND("/",SUBSTITUTE(LEFT(TRIM(C761),FIND(" ",TRIM(C761)&amp;" ")-1),",","."))-1)/MID(SUBSTITUTE(LEFT(TRIM(C761),FIND(" ",TRIM(C761)&amp;" ")-1),",","."),FIND("/",SUBSTITUTE(LEFT(TRIM(C761),FIND(" ",TRIM(C761)&amp;" ")-1),",","."))+1,9))*12,NA()))),0),18)*'Aturan &amp; Tarif'!$B$4,2)</f>
        <v>1022.04</v>
      </c>
      <c r="K761" s="32" t="n">
        <f aca="false">'Aturan &amp; Tarif'!$B$5</f>
        <v>2050</v>
      </c>
      <c r="L761" s="32" t="n">
        <f aca="false">'Aturan &amp; Tarif'!$B$6</f>
        <v>350</v>
      </c>
      <c r="M761" s="35" t="n">
        <f aca="false">I761+J761+K761+L761</f>
        <v>13748.04</v>
      </c>
      <c r="N761" s="36" t="s">
        <v>2368</v>
      </c>
    </row>
    <row r="762" customFormat="false" ht="25.5" hidden="false" customHeight="true" outlineLevel="0" collapsed="false">
      <c r="A762" s="29"/>
      <c r="B762" s="30" t="s">
        <v>2411</v>
      </c>
      <c r="C762" s="31" t="s">
        <v>113</v>
      </c>
      <c r="D762" s="31" t="s">
        <v>108</v>
      </c>
      <c r="E762" s="32" t="n">
        <v>5113</v>
      </c>
      <c r="F762" s="32"/>
      <c r="G762" s="32" t="n">
        <v>100</v>
      </c>
      <c r="H762" s="33" t="n">
        <v>2</v>
      </c>
      <c r="I762" s="34" t="n">
        <f aca="false">E762*H762+N(F762)+N(G762)</f>
        <v>10326</v>
      </c>
      <c r="J762" s="32" t="n">
        <f aca="false">ROUND(IFERROR(ROUND(IF(OR(ISNUMBER(SEARCH("week",C762)),ISNUMBER(SEARCH("minggu",C762))),IFERROR(_xlfn.NUMBERVALUE(SUBSTITUTE(LEFT(TRIM(C762),FIND(" ",TRIM(C762)&amp;" ")-1),",","."),"."),LEFT(SUBSTITUTE(LEFT(TRIM(C762),FIND(" ",TRIM(C762)&amp;" ")-1),",","."),FIND("/",SUBSTITUTE(LEFT(TRIM(C762),FIND(" ",TRIM(C762)&amp;" ")-1),",","."))-1)/MID(SUBSTITUTE(LEFT(TRIM(C762),FIND(" ",TRIM(C762)&amp;" ")-1),",","."),FIND("/",SUBSTITUTE(LEFT(TRIM(C762),FIND(" ",TRIM(C762)&amp;" ")-1),",","."))+1,9))*12/52,IF(ISNUMBER(SEARCH("month",C762)),IFERROR(_xlfn.NUMBERVALUE(SUBSTITUTE(LEFT(TRIM(C762),FIND(" ",TRIM(C762)&amp;" ")-1),",","."),"."),LEFT(SUBSTITUTE(LEFT(TRIM(C762),FIND(" ",TRIM(C762)&amp;" ")-1),",","."),FIND("/",SUBSTITUTE(LEFT(TRIM(C762),FIND(" ",TRIM(C762)&amp;" ")-1),",","."))-1)/MID(SUBSTITUTE(LEFT(TRIM(C762),FIND(" ",TRIM(C762)&amp;" ")-1),",","."),FIND("/",SUBSTITUTE(LEFT(TRIM(C762),FIND(" ",TRIM(C762)&amp;" ")-1),",","."))+1,9)),IF(ISNUMBER(SEARCH("yea",C762)),IFERROR(_xlfn.NUMBERVALUE(SUBSTITUTE(LEFT(TRIM(C762),FIND(" ",TRIM(C762)&amp;" ")-1),",","."),"."),LEFT(SUBSTITUTE(LEFT(TRIM(C762),FIND(" ",TRIM(C762)&amp;" ")-1),",","."),FIND("/",SUBSTITUTE(LEFT(TRIM(C762),FIND(" ",TRIM(C762)&amp;" ")-1),",","."))-1)/MID(SUBSTITUTE(LEFT(TRIM(C762),FIND(" ",TRIM(C762)&amp;" ")-1),",","."),FIND("/",SUBSTITUTE(LEFT(TRIM(C762),FIND(" ",TRIM(C762)&amp;" ")-1),",","."))+1,9))*12,NA()))),0),18)*'Aturan &amp; Tarif'!$B$4,2)</f>
        <v>1022.04</v>
      </c>
      <c r="K762" s="32" t="n">
        <f aca="false">'Aturan &amp; Tarif'!$B$5</f>
        <v>2050</v>
      </c>
      <c r="L762" s="32" t="n">
        <f aca="false">'Aturan &amp; Tarif'!$B$6</f>
        <v>350</v>
      </c>
      <c r="M762" s="35" t="n">
        <f aca="false">I762+J762+K762+L762</f>
        <v>13748.04</v>
      </c>
      <c r="N762" s="36" t="s">
        <v>2368</v>
      </c>
    </row>
    <row r="763" customFormat="false" ht="25.5" hidden="false" customHeight="true" outlineLevel="0" collapsed="false">
      <c r="A763" s="29"/>
      <c r="B763" s="30" t="s">
        <v>2412</v>
      </c>
      <c r="C763" s="31" t="s">
        <v>113</v>
      </c>
      <c r="D763" s="31" t="s">
        <v>108</v>
      </c>
      <c r="E763" s="32" t="n">
        <v>5113</v>
      </c>
      <c r="F763" s="32"/>
      <c r="G763" s="32" t="n">
        <v>100</v>
      </c>
      <c r="H763" s="33" t="n">
        <v>2</v>
      </c>
      <c r="I763" s="34" t="n">
        <f aca="false">E763*H763+N(F763)+N(G763)</f>
        <v>10326</v>
      </c>
      <c r="J763" s="32" t="n">
        <f aca="false">ROUND(IFERROR(ROUND(IF(OR(ISNUMBER(SEARCH("week",C763)),ISNUMBER(SEARCH("minggu",C763))),IFERROR(_xlfn.NUMBERVALUE(SUBSTITUTE(LEFT(TRIM(C763),FIND(" ",TRIM(C763)&amp;" ")-1),",","."),"."),LEFT(SUBSTITUTE(LEFT(TRIM(C763),FIND(" ",TRIM(C763)&amp;" ")-1),",","."),FIND("/",SUBSTITUTE(LEFT(TRIM(C763),FIND(" ",TRIM(C763)&amp;" ")-1),",","."))-1)/MID(SUBSTITUTE(LEFT(TRIM(C763),FIND(" ",TRIM(C763)&amp;" ")-1),",","."),FIND("/",SUBSTITUTE(LEFT(TRIM(C763),FIND(" ",TRIM(C763)&amp;" ")-1),",","."))+1,9))*12/52,IF(ISNUMBER(SEARCH("month",C763)),IFERROR(_xlfn.NUMBERVALUE(SUBSTITUTE(LEFT(TRIM(C763),FIND(" ",TRIM(C763)&amp;" ")-1),",","."),"."),LEFT(SUBSTITUTE(LEFT(TRIM(C763),FIND(" ",TRIM(C763)&amp;" ")-1),",","."),FIND("/",SUBSTITUTE(LEFT(TRIM(C763),FIND(" ",TRIM(C763)&amp;" ")-1),",","."))-1)/MID(SUBSTITUTE(LEFT(TRIM(C763),FIND(" ",TRIM(C763)&amp;" ")-1),",","."),FIND("/",SUBSTITUTE(LEFT(TRIM(C763),FIND(" ",TRIM(C763)&amp;" ")-1),",","."))+1,9)),IF(ISNUMBER(SEARCH("yea",C763)),IFERROR(_xlfn.NUMBERVALUE(SUBSTITUTE(LEFT(TRIM(C763),FIND(" ",TRIM(C763)&amp;" ")-1),",","."),"."),LEFT(SUBSTITUTE(LEFT(TRIM(C763),FIND(" ",TRIM(C763)&amp;" ")-1),",","."),FIND("/",SUBSTITUTE(LEFT(TRIM(C763),FIND(" ",TRIM(C763)&amp;" ")-1),",","."))-1)/MID(SUBSTITUTE(LEFT(TRIM(C763),FIND(" ",TRIM(C763)&amp;" ")-1),",","."),FIND("/",SUBSTITUTE(LEFT(TRIM(C763),FIND(" ",TRIM(C763)&amp;" ")-1),",","."))+1,9))*12,NA()))),0),18)*'Aturan &amp; Tarif'!$B$4,2)</f>
        <v>1022.04</v>
      </c>
      <c r="K763" s="32" t="n">
        <f aca="false">'Aturan &amp; Tarif'!$B$5</f>
        <v>2050</v>
      </c>
      <c r="L763" s="32" t="n">
        <f aca="false">'Aturan &amp; Tarif'!$B$6</f>
        <v>350</v>
      </c>
      <c r="M763" s="35" t="n">
        <f aca="false">I763+J763+K763+L763</f>
        <v>13748.04</v>
      </c>
      <c r="N763" s="36" t="s">
        <v>2368</v>
      </c>
    </row>
    <row r="764" customFormat="false" ht="37.5" hidden="false" customHeight="true" outlineLevel="0" collapsed="false">
      <c r="A764" s="29"/>
      <c r="B764" s="30" t="s">
        <v>2413</v>
      </c>
      <c r="C764" s="31" t="s">
        <v>113</v>
      </c>
      <c r="D764" s="31" t="s">
        <v>108</v>
      </c>
      <c r="E764" s="32" t="n">
        <v>5113</v>
      </c>
      <c r="F764" s="32"/>
      <c r="G764" s="32" t="n">
        <v>100</v>
      </c>
      <c r="H764" s="33" t="n">
        <v>2</v>
      </c>
      <c r="I764" s="34" t="n">
        <f aca="false">E764*H764+N(F764)+N(G764)</f>
        <v>10326</v>
      </c>
      <c r="J764" s="32" t="n">
        <f aca="false">ROUND(IFERROR(ROUND(IF(OR(ISNUMBER(SEARCH("week",C764)),ISNUMBER(SEARCH("minggu",C764))),IFERROR(_xlfn.NUMBERVALUE(SUBSTITUTE(LEFT(TRIM(C764),FIND(" ",TRIM(C764)&amp;" ")-1),",","."),"."),LEFT(SUBSTITUTE(LEFT(TRIM(C764),FIND(" ",TRIM(C764)&amp;" ")-1),",","."),FIND("/",SUBSTITUTE(LEFT(TRIM(C764),FIND(" ",TRIM(C764)&amp;" ")-1),",","."))-1)/MID(SUBSTITUTE(LEFT(TRIM(C764),FIND(" ",TRIM(C764)&amp;" ")-1),",","."),FIND("/",SUBSTITUTE(LEFT(TRIM(C764),FIND(" ",TRIM(C764)&amp;" ")-1),",","."))+1,9))*12/52,IF(ISNUMBER(SEARCH("month",C764)),IFERROR(_xlfn.NUMBERVALUE(SUBSTITUTE(LEFT(TRIM(C764),FIND(" ",TRIM(C764)&amp;" ")-1),",","."),"."),LEFT(SUBSTITUTE(LEFT(TRIM(C764),FIND(" ",TRIM(C764)&amp;" ")-1),",","."),FIND("/",SUBSTITUTE(LEFT(TRIM(C764),FIND(" ",TRIM(C764)&amp;" ")-1),",","."))-1)/MID(SUBSTITUTE(LEFT(TRIM(C764),FIND(" ",TRIM(C764)&amp;" ")-1),",","."),FIND("/",SUBSTITUTE(LEFT(TRIM(C764),FIND(" ",TRIM(C764)&amp;" ")-1),",","."))+1,9)),IF(ISNUMBER(SEARCH("yea",C764)),IFERROR(_xlfn.NUMBERVALUE(SUBSTITUTE(LEFT(TRIM(C764),FIND(" ",TRIM(C764)&amp;" ")-1),",","."),"."),LEFT(SUBSTITUTE(LEFT(TRIM(C764),FIND(" ",TRIM(C764)&amp;" ")-1),",","."),FIND("/",SUBSTITUTE(LEFT(TRIM(C764),FIND(" ",TRIM(C764)&amp;" ")-1),",","."))-1)/MID(SUBSTITUTE(LEFT(TRIM(C764),FIND(" ",TRIM(C764)&amp;" ")-1),",","."),FIND("/",SUBSTITUTE(LEFT(TRIM(C764),FIND(" ",TRIM(C764)&amp;" ")-1),",","."))+1,9))*12,NA()))),0),18)*'Aturan &amp; Tarif'!$B$4,2)</f>
        <v>1022.04</v>
      </c>
      <c r="K764" s="32" t="n">
        <f aca="false">'Aturan &amp; Tarif'!$B$5</f>
        <v>2050</v>
      </c>
      <c r="L764" s="32" t="n">
        <f aca="false">'Aturan &amp; Tarif'!$B$6</f>
        <v>350</v>
      </c>
      <c r="M764" s="35" t="n">
        <f aca="false">I764+J764+K764+L764</f>
        <v>13748.04</v>
      </c>
      <c r="N764" s="36" t="s">
        <v>2368</v>
      </c>
    </row>
    <row r="765" customFormat="false" ht="25.5" hidden="false" customHeight="true" outlineLevel="0" collapsed="false">
      <c r="A765" s="29"/>
      <c r="B765" s="30" t="s">
        <v>2414</v>
      </c>
      <c r="C765" s="31" t="s">
        <v>344</v>
      </c>
      <c r="D765" s="31" t="s">
        <v>108</v>
      </c>
      <c r="E765" s="32" t="n">
        <v>6675</v>
      </c>
      <c r="F765" s="32"/>
      <c r="G765" s="32" t="n">
        <v>100</v>
      </c>
      <c r="H765" s="33" t="n">
        <v>2</v>
      </c>
      <c r="I765" s="34" t="n">
        <f aca="false">E765*H765+N(F765)+N(G765)</f>
        <v>13450</v>
      </c>
      <c r="J765" s="32" t="n">
        <f aca="false">ROUND(IFERROR(ROUND(IF(OR(ISNUMBER(SEARCH("week",C765)),ISNUMBER(SEARCH("minggu",C765))),IFERROR(_xlfn.NUMBERVALUE(SUBSTITUTE(LEFT(TRIM(C765),FIND(" ",TRIM(C765)&amp;" ")-1),",","."),"."),LEFT(SUBSTITUTE(LEFT(TRIM(C765),FIND(" ",TRIM(C765)&amp;" ")-1),",","."),FIND("/",SUBSTITUTE(LEFT(TRIM(C765),FIND(" ",TRIM(C765)&amp;" ")-1),",","."))-1)/MID(SUBSTITUTE(LEFT(TRIM(C765),FIND(" ",TRIM(C765)&amp;" ")-1),",","."),FIND("/",SUBSTITUTE(LEFT(TRIM(C765),FIND(" ",TRIM(C765)&amp;" ")-1),",","."))+1,9))*12/52,IF(ISNUMBER(SEARCH("month",C765)),IFERROR(_xlfn.NUMBERVALUE(SUBSTITUTE(LEFT(TRIM(C765),FIND(" ",TRIM(C765)&amp;" ")-1),",","."),"."),LEFT(SUBSTITUTE(LEFT(TRIM(C765),FIND(" ",TRIM(C765)&amp;" ")-1),",","."),FIND("/",SUBSTITUTE(LEFT(TRIM(C765),FIND(" ",TRIM(C765)&amp;" ")-1),",","."))-1)/MID(SUBSTITUTE(LEFT(TRIM(C765),FIND(" ",TRIM(C765)&amp;" ")-1),",","."),FIND("/",SUBSTITUTE(LEFT(TRIM(C765),FIND(" ",TRIM(C765)&amp;" ")-1),",","."))+1,9)),IF(ISNUMBER(SEARCH("yea",C765)),IFERROR(_xlfn.NUMBERVALUE(SUBSTITUTE(LEFT(TRIM(C765),FIND(" ",TRIM(C765)&amp;" ")-1),",","."),"."),LEFT(SUBSTITUTE(LEFT(TRIM(C765),FIND(" ",TRIM(C765)&amp;" ")-1),",","."),FIND("/",SUBSTITUTE(LEFT(TRIM(C765),FIND(" ",TRIM(C765)&amp;" ")-1),",","."))-1)/MID(SUBSTITUTE(LEFT(TRIM(C765),FIND(" ",TRIM(C765)&amp;" ")-1),",","."),FIND("/",SUBSTITUTE(LEFT(TRIM(C765),FIND(" ",TRIM(C765)&amp;" ")-1),",","."))+1,9))*12,NA()))),0),6)*'Aturan &amp; Tarif'!$B$4,2)</f>
        <v>340.68</v>
      </c>
      <c r="K765" s="32" t="n">
        <f aca="false">'Aturan &amp; Tarif'!$B$5</f>
        <v>2050</v>
      </c>
      <c r="L765" s="32" t="n">
        <f aca="false">'Aturan &amp; Tarif'!$B$6</f>
        <v>350</v>
      </c>
      <c r="M765" s="35" t="n">
        <f aca="false">I765+J765+K765+L765</f>
        <v>16190.68</v>
      </c>
      <c r="N765" s="37" t="s">
        <v>2366</v>
      </c>
    </row>
    <row r="766" customFormat="false" ht="25.5" hidden="false" customHeight="true" outlineLevel="0" collapsed="false">
      <c r="A766" s="29"/>
      <c r="B766" s="30" t="s">
        <v>2415</v>
      </c>
      <c r="C766" s="31" t="s">
        <v>127</v>
      </c>
      <c r="D766" s="31" t="s">
        <v>108</v>
      </c>
      <c r="E766" s="32" t="n">
        <v>5760</v>
      </c>
      <c r="F766" s="32"/>
      <c r="G766" s="32" t="n">
        <v>100</v>
      </c>
      <c r="H766" s="33" t="n">
        <v>2</v>
      </c>
      <c r="I766" s="34" t="n">
        <f aca="false">E766*H766+N(F766)+N(G766)</f>
        <v>11620</v>
      </c>
      <c r="J766" s="32" t="n">
        <f aca="false">ROUND(IFERROR(ROUND(IF(OR(ISNUMBER(SEARCH("week",C766)),ISNUMBER(SEARCH("minggu",C766))),IFERROR(_xlfn.NUMBERVALUE(SUBSTITUTE(LEFT(TRIM(C766),FIND(" ",TRIM(C766)&amp;" ")-1),",","."),"."),LEFT(SUBSTITUTE(LEFT(TRIM(C766),FIND(" ",TRIM(C766)&amp;" ")-1),",","."),FIND("/",SUBSTITUTE(LEFT(TRIM(C766),FIND(" ",TRIM(C766)&amp;" ")-1),",","."))-1)/MID(SUBSTITUTE(LEFT(TRIM(C766),FIND(" ",TRIM(C766)&amp;" ")-1),",","."),FIND("/",SUBSTITUTE(LEFT(TRIM(C766),FIND(" ",TRIM(C766)&amp;" ")-1),",","."))+1,9))*12/52,IF(ISNUMBER(SEARCH("month",C766)),IFERROR(_xlfn.NUMBERVALUE(SUBSTITUTE(LEFT(TRIM(C766),FIND(" ",TRIM(C766)&amp;" ")-1),",","."),"."),LEFT(SUBSTITUTE(LEFT(TRIM(C766),FIND(" ",TRIM(C766)&amp;" ")-1),",","."),FIND("/",SUBSTITUTE(LEFT(TRIM(C766),FIND(" ",TRIM(C766)&amp;" ")-1),",","."))-1)/MID(SUBSTITUTE(LEFT(TRIM(C766),FIND(" ",TRIM(C766)&amp;" ")-1),",","."),FIND("/",SUBSTITUTE(LEFT(TRIM(C766),FIND(" ",TRIM(C766)&amp;" ")-1),",","."))+1,9)),IF(ISNUMBER(SEARCH("yea",C766)),IFERROR(_xlfn.NUMBERVALUE(SUBSTITUTE(LEFT(TRIM(C766),FIND(" ",TRIM(C766)&amp;" ")-1),",","."),"."),LEFT(SUBSTITUTE(LEFT(TRIM(C766),FIND(" ",TRIM(C766)&amp;" ")-1),",","."),FIND("/",SUBSTITUTE(LEFT(TRIM(C766),FIND(" ",TRIM(C766)&amp;" ")-1),",","."))-1)/MID(SUBSTITUTE(LEFT(TRIM(C766),FIND(" ",TRIM(C766)&amp;" ")-1),",","."),FIND("/",SUBSTITUTE(LEFT(TRIM(C766),FIND(" ",TRIM(C766)&amp;" ")-1),",","."))+1,9))*12,NA()))),0),36)*'Aturan &amp; Tarif'!$B$4,2)</f>
        <v>2044.08</v>
      </c>
      <c r="K766" s="32" t="n">
        <f aca="false">'Aturan &amp; Tarif'!$B$5</f>
        <v>2050</v>
      </c>
      <c r="L766" s="32" t="n">
        <f aca="false">'Aturan &amp; Tarif'!$B$6</f>
        <v>350</v>
      </c>
      <c r="M766" s="35" t="n">
        <f aca="false">I766+J766+K766+L766</f>
        <v>16064.08</v>
      </c>
      <c r="N766" s="37" t="s">
        <v>2373</v>
      </c>
    </row>
    <row r="767" customFormat="false" ht="25.5" hidden="false" customHeight="true" outlineLevel="0" collapsed="false">
      <c r="A767" s="29"/>
      <c r="B767" s="30" t="s">
        <v>2416</v>
      </c>
      <c r="C767" s="31" t="s">
        <v>107</v>
      </c>
      <c r="D767" s="31" t="s">
        <v>108</v>
      </c>
      <c r="E767" s="32" t="n">
        <v>5760</v>
      </c>
      <c r="F767" s="32"/>
      <c r="G767" s="32" t="n">
        <v>100</v>
      </c>
      <c r="H767" s="33" t="n">
        <v>2</v>
      </c>
      <c r="I767" s="34" t="n">
        <f aca="false">E767*H767+N(F767)+N(G767)</f>
        <v>11620</v>
      </c>
      <c r="J767" s="32" t="n">
        <f aca="false">ROUND(IFERROR(ROUND(IF(OR(ISNUMBER(SEARCH("week",C767)),ISNUMBER(SEARCH("minggu",C767))),IFERROR(_xlfn.NUMBERVALUE(SUBSTITUTE(LEFT(TRIM(C767),FIND(" ",TRIM(C767)&amp;" ")-1),",","."),"."),LEFT(SUBSTITUTE(LEFT(TRIM(C767),FIND(" ",TRIM(C767)&amp;" ")-1),",","."),FIND("/",SUBSTITUTE(LEFT(TRIM(C767),FIND(" ",TRIM(C767)&amp;" ")-1),",","."))-1)/MID(SUBSTITUTE(LEFT(TRIM(C767),FIND(" ",TRIM(C767)&amp;" ")-1),",","."),FIND("/",SUBSTITUTE(LEFT(TRIM(C767),FIND(" ",TRIM(C767)&amp;" ")-1),",","."))+1,9))*12/52,IF(ISNUMBER(SEARCH("month",C767)),IFERROR(_xlfn.NUMBERVALUE(SUBSTITUTE(LEFT(TRIM(C767),FIND(" ",TRIM(C767)&amp;" ")-1),",","."),"."),LEFT(SUBSTITUTE(LEFT(TRIM(C767),FIND(" ",TRIM(C767)&amp;" ")-1),",","."),FIND("/",SUBSTITUTE(LEFT(TRIM(C767),FIND(" ",TRIM(C767)&amp;" ")-1),",","."))-1)/MID(SUBSTITUTE(LEFT(TRIM(C767),FIND(" ",TRIM(C767)&amp;" ")-1),",","."),FIND("/",SUBSTITUTE(LEFT(TRIM(C767),FIND(" ",TRIM(C767)&amp;" ")-1),",","."))+1,9)),IF(ISNUMBER(SEARCH("yea",C767)),IFERROR(_xlfn.NUMBERVALUE(SUBSTITUTE(LEFT(TRIM(C767),FIND(" ",TRIM(C767)&amp;" ")-1),",","."),"."),LEFT(SUBSTITUTE(LEFT(TRIM(C767),FIND(" ",TRIM(C767)&amp;" ")-1),",","."),FIND("/",SUBSTITUTE(LEFT(TRIM(C767),FIND(" ",TRIM(C767)&amp;" ")-1),",","."))-1)/MID(SUBSTITUTE(LEFT(TRIM(C767),FIND(" ",TRIM(C767)&amp;" ")-1),",","."),FIND("/",SUBSTITUTE(LEFT(TRIM(C767),FIND(" ",TRIM(C767)&amp;" ")-1),",","."))+1,9))*12,NA()))),0),24)*'Aturan &amp; Tarif'!$B$4,2)</f>
        <v>1362.72</v>
      </c>
      <c r="K767" s="32" t="n">
        <f aca="false">'Aturan &amp; Tarif'!$B$5</f>
        <v>2050</v>
      </c>
      <c r="L767" s="32" t="n">
        <f aca="false">'Aturan &amp; Tarif'!$B$6</f>
        <v>350</v>
      </c>
      <c r="M767" s="35" t="n">
        <f aca="false">I767+J767+K767+L767</f>
        <v>15382.72</v>
      </c>
      <c r="N767" s="37" t="s">
        <v>2373</v>
      </c>
    </row>
    <row r="768" customFormat="false" ht="37.5" hidden="false" customHeight="true" outlineLevel="0" collapsed="false">
      <c r="A768" s="29"/>
      <c r="B768" s="30" t="s">
        <v>2417</v>
      </c>
      <c r="C768" s="31" t="s">
        <v>127</v>
      </c>
      <c r="D768" s="31" t="s">
        <v>108</v>
      </c>
      <c r="E768" s="32" t="n">
        <v>5760</v>
      </c>
      <c r="F768" s="32"/>
      <c r="G768" s="32" t="n">
        <v>100</v>
      </c>
      <c r="H768" s="33" t="n">
        <v>2</v>
      </c>
      <c r="I768" s="34" t="n">
        <f aca="false">E768*H768+N(F768)+N(G768)</f>
        <v>11620</v>
      </c>
      <c r="J768" s="32" t="n">
        <f aca="false">ROUND(IFERROR(ROUND(IF(OR(ISNUMBER(SEARCH("week",C768)),ISNUMBER(SEARCH("minggu",C768))),IFERROR(_xlfn.NUMBERVALUE(SUBSTITUTE(LEFT(TRIM(C768),FIND(" ",TRIM(C768)&amp;" ")-1),",","."),"."),LEFT(SUBSTITUTE(LEFT(TRIM(C768),FIND(" ",TRIM(C768)&amp;" ")-1),",","."),FIND("/",SUBSTITUTE(LEFT(TRIM(C768),FIND(" ",TRIM(C768)&amp;" ")-1),",","."))-1)/MID(SUBSTITUTE(LEFT(TRIM(C768),FIND(" ",TRIM(C768)&amp;" ")-1),",","."),FIND("/",SUBSTITUTE(LEFT(TRIM(C768),FIND(" ",TRIM(C768)&amp;" ")-1),",","."))+1,9))*12/52,IF(ISNUMBER(SEARCH("month",C768)),IFERROR(_xlfn.NUMBERVALUE(SUBSTITUTE(LEFT(TRIM(C768),FIND(" ",TRIM(C768)&amp;" ")-1),",","."),"."),LEFT(SUBSTITUTE(LEFT(TRIM(C768),FIND(" ",TRIM(C768)&amp;" ")-1),",","."),FIND("/",SUBSTITUTE(LEFT(TRIM(C768),FIND(" ",TRIM(C768)&amp;" ")-1),",","."))-1)/MID(SUBSTITUTE(LEFT(TRIM(C768),FIND(" ",TRIM(C768)&amp;" ")-1),",","."),FIND("/",SUBSTITUTE(LEFT(TRIM(C768),FIND(" ",TRIM(C768)&amp;" ")-1),",","."))+1,9)),IF(ISNUMBER(SEARCH("yea",C768)),IFERROR(_xlfn.NUMBERVALUE(SUBSTITUTE(LEFT(TRIM(C768),FIND(" ",TRIM(C768)&amp;" ")-1),",","."),"."),LEFT(SUBSTITUTE(LEFT(TRIM(C768),FIND(" ",TRIM(C768)&amp;" ")-1),",","."),FIND("/",SUBSTITUTE(LEFT(TRIM(C768),FIND(" ",TRIM(C768)&amp;" ")-1),",","."))-1)/MID(SUBSTITUTE(LEFT(TRIM(C768),FIND(" ",TRIM(C768)&amp;" ")-1),",","."),FIND("/",SUBSTITUTE(LEFT(TRIM(C768),FIND(" ",TRIM(C768)&amp;" ")-1),",","."))+1,9))*12,NA()))),0),36)*'Aturan &amp; Tarif'!$B$4,2)</f>
        <v>2044.08</v>
      </c>
      <c r="K768" s="32" t="n">
        <f aca="false">'Aturan &amp; Tarif'!$B$5</f>
        <v>2050</v>
      </c>
      <c r="L768" s="32" t="n">
        <f aca="false">'Aturan &amp; Tarif'!$B$6</f>
        <v>350</v>
      </c>
      <c r="M768" s="35" t="n">
        <f aca="false">I768+J768+K768+L768</f>
        <v>16064.08</v>
      </c>
      <c r="N768" s="37" t="s">
        <v>2373</v>
      </c>
    </row>
    <row r="769" customFormat="false" ht="14.25" hidden="false" customHeight="true" outlineLevel="0" collapsed="false">
      <c r="A769" s="29"/>
      <c r="B769" s="30" t="s">
        <v>2418</v>
      </c>
      <c r="C769" s="31" t="s">
        <v>107</v>
      </c>
      <c r="D769" s="31" t="s">
        <v>108</v>
      </c>
      <c r="E769" s="32" t="n">
        <v>5760</v>
      </c>
      <c r="F769" s="32"/>
      <c r="G769" s="32" t="n">
        <v>100</v>
      </c>
      <c r="H769" s="33" t="n">
        <v>2</v>
      </c>
      <c r="I769" s="34" t="n">
        <f aca="false">E769*H769+N(F769)+N(G769)</f>
        <v>11620</v>
      </c>
      <c r="J769" s="32" t="n">
        <f aca="false">ROUND(IFERROR(ROUND(IF(OR(ISNUMBER(SEARCH("week",C769)),ISNUMBER(SEARCH("minggu",C769))),IFERROR(_xlfn.NUMBERVALUE(SUBSTITUTE(LEFT(TRIM(C769),FIND(" ",TRIM(C769)&amp;" ")-1),",","."),"."),LEFT(SUBSTITUTE(LEFT(TRIM(C769),FIND(" ",TRIM(C769)&amp;" ")-1),",","."),FIND("/",SUBSTITUTE(LEFT(TRIM(C769),FIND(" ",TRIM(C769)&amp;" ")-1),",","."))-1)/MID(SUBSTITUTE(LEFT(TRIM(C769),FIND(" ",TRIM(C769)&amp;" ")-1),",","."),FIND("/",SUBSTITUTE(LEFT(TRIM(C769),FIND(" ",TRIM(C769)&amp;" ")-1),",","."))+1,9))*12/52,IF(ISNUMBER(SEARCH("month",C769)),IFERROR(_xlfn.NUMBERVALUE(SUBSTITUTE(LEFT(TRIM(C769),FIND(" ",TRIM(C769)&amp;" ")-1),",","."),"."),LEFT(SUBSTITUTE(LEFT(TRIM(C769),FIND(" ",TRIM(C769)&amp;" ")-1),",","."),FIND("/",SUBSTITUTE(LEFT(TRIM(C769),FIND(" ",TRIM(C769)&amp;" ")-1),",","."))-1)/MID(SUBSTITUTE(LEFT(TRIM(C769),FIND(" ",TRIM(C769)&amp;" ")-1),",","."),FIND("/",SUBSTITUTE(LEFT(TRIM(C769),FIND(" ",TRIM(C769)&amp;" ")-1),",","."))+1,9)),IF(ISNUMBER(SEARCH("yea",C769)),IFERROR(_xlfn.NUMBERVALUE(SUBSTITUTE(LEFT(TRIM(C769),FIND(" ",TRIM(C769)&amp;" ")-1),",","."),"."),LEFT(SUBSTITUTE(LEFT(TRIM(C769),FIND(" ",TRIM(C769)&amp;" ")-1),",","."),FIND("/",SUBSTITUTE(LEFT(TRIM(C769),FIND(" ",TRIM(C769)&amp;" ")-1),",","."))-1)/MID(SUBSTITUTE(LEFT(TRIM(C769),FIND(" ",TRIM(C769)&amp;" ")-1),",","."),FIND("/",SUBSTITUTE(LEFT(TRIM(C769),FIND(" ",TRIM(C769)&amp;" ")-1),",","."))+1,9))*12,NA()))),0),24)*'Aturan &amp; Tarif'!$B$4,2)</f>
        <v>1362.72</v>
      </c>
      <c r="K769" s="32" t="n">
        <f aca="false">'Aturan &amp; Tarif'!$B$5</f>
        <v>2050</v>
      </c>
      <c r="L769" s="32" t="n">
        <f aca="false">'Aturan &amp; Tarif'!$B$6</f>
        <v>350</v>
      </c>
      <c r="M769" s="35" t="n">
        <f aca="false">I769+J769+K769+L769</f>
        <v>15382.72</v>
      </c>
      <c r="N769" s="37" t="s">
        <v>2373</v>
      </c>
    </row>
    <row r="770" customFormat="false" ht="25.5" hidden="false" customHeight="true" outlineLevel="0" collapsed="false">
      <c r="A770" s="29"/>
      <c r="B770" s="30" t="s">
        <v>2419</v>
      </c>
      <c r="C770" s="31" t="s">
        <v>130</v>
      </c>
      <c r="D770" s="31" t="s">
        <v>108</v>
      </c>
      <c r="E770" s="32" t="n">
        <v>6663</v>
      </c>
      <c r="F770" s="32"/>
      <c r="G770" s="32" t="n">
        <v>100</v>
      </c>
      <c r="H770" s="33" t="n">
        <v>2</v>
      </c>
      <c r="I770" s="34" t="n">
        <f aca="false">E770*H770+N(F770)+N(G770)</f>
        <v>13426</v>
      </c>
      <c r="J770" s="32" t="n">
        <f aca="false">ROUND(IFERROR(ROUND(IF(OR(ISNUMBER(SEARCH("week",C770)),ISNUMBER(SEARCH("minggu",C770))),IFERROR(_xlfn.NUMBERVALUE(SUBSTITUTE(LEFT(TRIM(C770),FIND(" ",TRIM(C770)&amp;" ")-1),",","."),"."),LEFT(SUBSTITUTE(LEFT(TRIM(C770),FIND(" ",TRIM(C770)&amp;" ")-1),",","."),FIND("/",SUBSTITUTE(LEFT(TRIM(C770),FIND(" ",TRIM(C770)&amp;" ")-1),",","."))-1)/MID(SUBSTITUTE(LEFT(TRIM(C770),FIND(" ",TRIM(C770)&amp;" ")-1),",","."),FIND("/",SUBSTITUTE(LEFT(TRIM(C770),FIND(" ",TRIM(C770)&amp;" ")-1),",","."))+1,9))*12/52,IF(ISNUMBER(SEARCH("month",C770)),IFERROR(_xlfn.NUMBERVALUE(SUBSTITUTE(LEFT(TRIM(C770),FIND(" ",TRIM(C770)&amp;" ")-1),",","."),"."),LEFT(SUBSTITUTE(LEFT(TRIM(C770),FIND(" ",TRIM(C770)&amp;" ")-1),",","."),FIND("/",SUBSTITUTE(LEFT(TRIM(C770),FIND(" ",TRIM(C770)&amp;" ")-1),",","."))-1)/MID(SUBSTITUTE(LEFT(TRIM(C770),FIND(" ",TRIM(C770)&amp;" ")-1),",","."),FIND("/",SUBSTITUTE(LEFT(TRIM(C770),FIND(" ",TRIM(C770)&amp;" ")-1),",","."))+1,9)),IF(ISNUMBER(SEARCH("yea",C770)),IFERROR(_xlfn.NUMBERVALUE(SUBSTITUTE(LEFT(TRIM(C770),FIND(" ",TRIM(C770)&amp;" ")-1),",","."),"."),LEFT(SUBSTITUTE(LEFT(TRIM(C770),FIND(" ",TRIM(C770)&amp;" ")-1),",","."),FIND("/",SUBSTITUTE(LEFT(TRIM(C770),FIND(" ",TRIM(C770)&amp;" ")-1),",","."))-1)/MID(SUBSTITUTE(LEFT(TRIM(C770),FIND(" ",TRIM(C770)&amp;" ")-1),",","."),FIND("/",SUBSTITUTE(LEFT(TRIM(C770),FIND(" ",TRIM(C770)&amp;" ")-1),",","."))+1,9))*12,NA()))),0),12)*'Aturan &amp; Tarif'!$B$4,2)</f>
        <v>681.36</v>
      </c>
      <c r="K770" s="32" t="n">
        <f aca="false">'Aturan &amp; Tarif'!$B$5</f>
        <v>2050</v>
      </c>
      <c r="L770" s="32" t="n">
        <f aca="false">'Aturan &amp; Tarif'!$B$6</f>
        <v>350</v>
      </c>
      <c r="M770" s="35" t="n">
        <f aca="false">I770+J770+K770+L770</f>
        <v>16507.36</v>
      </c>
      <c r="N770" s="37" t="s">
        <v>2366</v>
      </c>
    </row>
    <row r="771" customFormat="false" ht="72" hidden="false" customHeight="true" outlineLevel="0" collapsed="false">
      <c r="A771" s="29"/>
      <c r="B771" s="30" t="s">
        <v>2420</v>
      </c>
      <c r="C771" s="31" t="s">
        <v>130</v>
      </c>
      <c r="D771" s="31" t="s">
        <v>108</v>
      </c>
      <c r="E771" s="32" t="n">
        <v>6944</v>
      </c>
      <c r="F771" s="32"/>
      <c r="G771" s="32" t="n">
        <v>100</v>
      </c>
      <c r="H771" s="33" t="n">
        <v>2</v>
      </c>
      <c r="I771" s="34" t="n">
        <f aca="false">E771*H771+N(F771)+N(G771)</f>
        <v>13988</v>
      </c>
      <c r="J771" s="32" t="n">
        <f aca="false">ROUND(IFERROR(ROUND(IF(OR(ISNUMBER(SEARCH("week",C771)),ISNUMBER(SEARCH("minggu",C771))),IFERROR(_xlfn.NUMBERVALUE(SUBSTITUTE(LEFT(TRIM(C771),FIND(" ",TRIM(C771)&amp;" ")-1),",","."),"."),LEFT(SUBSTITUTE(LEFT(TRIM(C771),FIND(" ",TRIM(C771)&amp;" ")-1),",","."),FIND("/",SUBSTITUTE(LEFT(TRIM(C771),FIND(" ",TRIM(C771)&amp;" ")-1),",","."))-1)/MID(SUBSTITUTE(LEFT(TRIM(C771),FIND(" ",TRIM(C771)&amp;" ")-1),",","."),FIND("/",SUBSTITUTE(LEFT(TRIM(C771),FIND(" ",TRIM(C771)&amp;" ")-1),",","."))+1,9))*12/52,IF(ISNUMBER(SEARCH("month",C771)),IFERROR(_xlfn.NUMBERVALUE(SUBSTITUTE(LEFT(TRIM(C771),FIND(" ",TRIM(C771)&amp;" ")-1),",","."),"."),LEFT(SUBSTITUTE(LEFT(TRIM(C771),FIND(" ",TRIM(C771)&amp;" ")-1),",","."),FIND("/",SUBSTITUTE(LEFT(TRIM(C771),FIND(" ",TRIM(C771)&amp;" ")-1),",","."))-1)/MID(SUBSTITUTE(LEFT(TRIM(C771),FIND(" ",TRIM(C771)&amp;" ")-1),",","."),FIND("/",SUBSTITUTE(LEFT(TRIM(C771),FIND(" ",TRIM(C771)&amp;" ")-1),",","."))+1,9)),IF(ISNUMBER(SEARCH("yea",C771)),IFERROR(_xlfn.NUMBERVALUE(SUBSTITUTE(LEFT(TRIM(C771),FIND(" ",TRIM(C771)&amp;" ")-1),",","."),"."),LEFT(SUBSTITUTE(LEFT(TRIM(C771),FIND(" ",TRIM(C771)&amp;" ")-1),",","."),FIND("/",SUBSTITUTE(LEFT(TRIM(C771),FIND(" ",TRIM(C771)&amp;" ")-1),",","."))-1)/MID(SUBSTITUTE(LEFT(TRIM(C771),FIND(" ",TRIM(C771)&amp;" ")-1),",","."),FIND("/",SUBSTITUTE(LEFT(TRIM(C771),FIND(" ",TRIM(C771)&amp;" ")-1),",","."))+1,9))*12,NA()))),0),12)*'Aturan &amp; Tarif'!$B$4,2)</f>
        <v>681.36</v>
      </c>
      <c r="K771" s="32" t="n">
        <f aca="false">'Aturan &amp; Tarif'!$B$5</f>
        <v>2050</v>
      </c>
      <c r="L771" s="32" t="n">
        <f aca="false">'Aturan &amp; Tarif'!$B$6</f>
        <v>350</v>
      </c>
      <c r="M771" s="35" t="n">
        <f aca="false">I771+J771+K771+L771</f>
        <v>17069.36</v>
      </c>
      <c r="N771" s="37" t="s">
        <v>2366</v>
      </c>
    </row>
    <row r="772" customFormat="false" ht="72" hidden="false" customHeight="true" outlineLevel="0" collapsed="false">
      <c r="A772" s="29"/>
      <c r="B772" s="30" t="s">
        <v>2421</v>
      </c>
      <c r="C772" s="31" t="s">
        <v>130</v>
      </c>
      <c r="D772" s="31" t="s">
        <v>108</v>
      </c>
      <c r="E772" s="32" t="n">
        <v>4682</v>
      </c>
      <c r="F772" s="32"/>
      <c r="G772" s="32" t="n">
        <v>100</v>
      </c>
      <c r="H772" s="33" t="n">
        <v>2</v>
      </c>
      <c r="I772" s="34" t="n">
        <f aca="false">E772*H772+N(F772)+N(G772)</f>
        <v>9464</v>
      </c>
      <c r="J772" s="32" t="n">
        <f aca="false">ROUND(IFERROR(ROUND(IF(OR(ISNUMBER(SEARCH("week",C772)),ISNUMBER(SEARCH("minggu",C772))),IFERROR(_xlfn.NUMBERVALUE(SUBSTITUTE(LEFT(TRIM(C772),FIND(" ",TRIM(C772)&amp;" ")-1),",","."),"."),LEFT(SUBSTITUTE(LEFT(TRIM(C772),FIND(" ",TRIM(C772)&amp;" ")-1),",","."),FIND("/",SUBSTITUTE(LEFT(TRIM(C772),FIND(" ",TRIM(C772)&amp;" ")-1),",","."))-1)/MID(SUBSTITUTE(LEFT(TRIM(C772),FIND(" ",TRIM(C772)&amp;" ")-1),",","."),FIND("/",SUBSTITUTE(LEFT(TRIM(C772),FIND(" ",TRIM(C772)&amp;" ")-1),",","."))+1,9))*12/52,IF(ISNUMBER(SEARCH("month",C772)),IFERROR(_xlfn.NUMBERVALUE(SUBSTITUTE(LEFT(TRIM(C772),FIND(" ",TRIM(C772)&amp;" ")-1),",","."),"."),LEFT(SUBSTITUTE(LEFT(TRIM(C772),FIND(" ",TRIM(C772)&amp;" ")-1),",","."),FIND("/",SUBSTITUTE(LEFT(TRIM(C772),FIND(" ",TRIM(C772)&amp;" ")-1),",","."))-1)/MID(SUBSTITUTE(LEFT(TRIM(C772),FIND(" ",TRIM(C772)&amp;" ")-1),",","."),FIND("/",SUBSTITUTE(LEFT(TRIM(C772),FIND(" ",TRIM(C772)&amp;" ")-1),",","."))+1,9)),IF(ISNUMBER(SEARCH("yea",C772)),IFERROR(_xlfn.NUMBERVALUE(SUBSTITUTE(LEFT(TRIM(C772),FIND(" ",TRIM(C772)&amp;" ")-1),",","."),"."),LEFT(SUBSTITUTE(LEFT(TRIM(C772),FIND(" ",TRIM(C772)&amp;" ")-1),",","."),FIND("/",SUBSTITUTE(LEFT(TRIM(C772),FIND(" ",TRIM(C772)&amp;" ")-1),",","."))-1)/MID(SUBSTITUTE(LEFT(TRIM(C772),FIND(" ",TRIM(C772)&amp;" ")-1),",","."),FIND("/",SUBSTITUTE(LEFT(TRIM(C772),FIND(" ",TRIM(C772)&amp;" ")-1),",","."))+1,9))*12,NA()))),0),12)*'Aturan &amp; Tarif'!$B$4,2)</f>
        <v>681.36</v>
      </c>
      <c r="K772" s="32" t="n">
        <f aca="false">'Aturan &amp; Tarif'!$B$5</f>
        <v>2050</v>
      </c>
      <c r="L772" s="32" t="n">
        <f aca="false">'Aturan &amp; Tarif'!$B$6</f>
        <v>350</v>
      </c>
      <c r="M772" s="35" t="n">
        <f aca="false">I772+J772+K772+L772</f>
        <v>12545.36</v>
      </c>
      <c r="N772" s="37" t="s">
        <v>2366</v>
      </c>
    </row>
    <row r="773" customFormat="false" ht="37.5" hidden="false" customHeight="true" outlineLevel="0" collapsed="false">
      <c r="A773" s="29"/>
      <c r="B773" s="30" t="s">
        <v>2422</v>
      </c>
      <c r="C773" s="31" t="s">
        <v>130</v>
      </c>
      <c r="D773" s="31" t="s">
        <v>108</v>
      </c>
      <c r="E773" s="32" t="n">
        <v>4988</v>
      </c>
      <c r="F773" s="32"/>
      <c r="G773" s="32" t="n">
        <v>100</v>
      </c>
      <c r="H773" s="33" t="n">
        <v>2</v>
      </c>
      <c r="I773" s="34" t="n">
        <f aca="false">E773*H773+N(F773)+N(G773)</f>
        <v>10076</v>
      </c>
      <c r="J773" s="32" t="n">
        <f aca="false">ROUND(IFERROR(ROUND(IF(OR(ISNUMBER(SEARCH("week",C773)),ISNUMBER(SEARCH("minggu",C773))),IFERROR(_xlfn.NUMBERVALUE(SUBSTITUTE(LEFT(TRIM(C773),FIND(" ",TRIM(C773)&amp;" ")-1),",","."),"."),LEFT(SUBSTITUTE(LEFT(TRIM(C773),FIND(" ",TRIM(C773)&amp;" ")-1),",","."),FIND("/",SUBSTITUTE(LEFT(TRIM(C773),FIND(" ",TRIM(C773)&amp;" ")-1),",","."))-1)/MID(SUBSTITUTE(LEFT(TRIM(C773),FIND(" ",TRIM(C773)&amp;" ")-1),",","."),FIND("/",SUBSTITUTE(LEFT(TRIM(C773),FIND(" ",TRIM(C773)&amp;" ")-1),",","."))+1,9))*12/52,IF(ISNUMBER(SEARCH("month",C773)),IFERROR(_xlfn.NUMBERVALUE(SUBSTITUTE(LEFT(TRIM(C773),FIND(" ",TRIM(C773)&amp;" ")-1),",","."),"."),LEFT(SUBSTITUTE(LEFT(TRIM(C773),FIND(" ",TRIM(C773)&amp;" ")-1),",","."),FIND("/",SUBSTITUTE(LEFT(TRIM(C773),FIND(" ",TRIM(C773)&amp;" ")-1),",","."))-1)/MID(SUBSTITUTE(LEFT(TRIM(C773),FIND(" ",TRIM(C773)&amp;" ")-1),",","."),FIND("/",SUBSTITUTE(LEFT(TRIM(C773),FIND(" ",TRIM(C773)&amp;" ")-1),",","."))+1,9)),IF(ISNUMBER(SEARCH("yea",C773)),IFERROR(_xlfn.NUMBERVALUE(SUBSTITUTE(LEFT(TRIM(C773),FIND(" ",TRIM(C773)&amp;" ")-1),",","."),"."),LEFT(SUBSTITUTE(LEFT(TRIM(C773),FIND(" ",TRIM(C773)&amp;" ")-1),",","."),FIND("/",SUBSTITUTE(LEFT(TRIM(C773),FIND(" ",TRIM(C773)&amp;" ")-1),",","."))-1)/MID(SUBSTITUTE(LEFT(TRIM(C773),FIND(" ",TRIM(C773)&amp;" ")-1),",","."),FIND("/",SUBSTITUTE(LEFT(TRIM(C773),FIND(" ",TRIM(C773)&amp;" ")-1),",","."))+1,9))*12,NA()))),0),12)*'Aturan &amp; Tarif'!$B$4,2)</f>
        <v>681.36</v>
      </c>
      <c r="K773" s="32" t="n">
        <f aca="false">'Aturan &amp; Tarif'!$B$5</f>
        <v>2050</v>
      </c>
      <c r="L773" s="32" t="n">
        <f aca="false">'Aturan &amp; Tarif'!$B$6</f>
        <v>350</v>
      </c>
      <c r="M773" s="35" t="n">
        <f aca="false">I773+J773+K773+L773</f>
        <v>13157.36</v>
      </c>
      <c r="N773" s="36" t="s">
        <v>2368</v>
      </c>
    </row>
    <row r="774" customFormat="false" ht="25.5" hidden="false" customHeight="true" outlineLevel="0" collapsed="false">
      <c r="A774" s="29"/>
      <c r="B774" s="30" t="s">
        <v>2423</v>
      </c>
      <c r="C774" s="31" t="s">
        <v>344</v>
      </c>
      <c r="D774" s="31" t="s">
        <v>108</v>
      </c>
      <c r="E774" s="32" t="n">
        <v>8400</v>
      </c>
      <c r="F774" s="32"/>
      <c r="G774" s="32" t="n">
        <v>100</v>
      </c>
      <c r="H774" s="33" t="n">
        <v>2</v>
      </c>
      <c r="I774" s="34" t="n">
        <f aca="false">E774*H774+N(F774)+N(G774)</f>
        <v>16900</v>
      </c>
      <c r="J774" s="32" t="n">
        <f aca="false">ROUND(IFERROR(ROUND(IF(OR(ISNUMBER(SEARCH("week",C774)),ISNUMBER(SEARCH("minggu",C774))),IFERROR(_xlfn.NUMBERVALUE(SUBSTITUTE(LEFT(TRIM(C774),FIND(" ",TRIM(C774)&amp;" ")-1),",","."),"."),LEFT(SUBSTITUTE(LEFT(TRIM(C774),FIND(" ",TRIM(C774)&amp;" ")-1),",","."),FIND("/",SUBSTITUTE(LEFT(TRIM(C774),FIND(" ",TRIM(C774)&amp;" ")-1),",","."))-1)/MID(SUBSTITUTE(LEFT(TRIM(C774),FIND(" ",TRIM(C774)&amp;" ")-1),",","."),FIND("/",SUBSTITUTE(LEFT(TRIM(C774),FIND(" ",TRIM(C774)&amp;" ")-1),",","."))+1,9))*12/52,IF(ISNUMBER(SEARCH("month",C774)),IFERROR(_xlfn.NUMBERVALUE(SUBSTITUTE(LEFT(TRIM(C774),FIND(" ",TRIM(C774)&amp;" ")-1),",","."),"."),LEFT(SUBSTITUTE(LEFT(TRIM(C774),FIND(" ",TRIM(C774)&amp;" ")-1),",","."),FIND("/",SUBSTITUTE(LEFT(TRIM(C774),FIND(" ",TRIM(C774)&amp;" ")-1),",","."))-1)/MID(SUBSTITUTE(LEFT(TRIM(C774),FIND(" ",TRIM(C774)&amp;" ")-1),",","."),FIND("/",SUBSTITUTE(LEFT(TRIM(C774),FIND(" ",TRIM(C774)&amp;" ")-1),",","."))+1,9)),IF(ISNUMBER(SEARCH("yea",C774)),IFERROR(_xlfn.NUMBERVALUE(SUBSTITUTE(LEFT(TRIM(C774),FIND(" ",TRIM(C774)&amp;" ")-1),",","."),"."),LEFT(SUBSTITUTE(LEFT(TRIM(C774),FIND(" ",TRIM(C774)&amp;" ")-1),",","."),FIND("/",SUBSTITUTE(LEFT(TRIM(C774),FIND(" ",TRIM(C774)&amp;" ")-1),",","."))-1)/MID(SUBSTITUTE(LEFT(TRIM(C774),FIND(" ",TRIM(C774)&amp;" ")-1),",","."),FIND("/",SUBSTITUTE(LEFT(TRIM(C774),FIND(" ",TRIM(C774)&amp;" ")-1),",","."))+1,9))*12,NA()))),0),6)*'Aturan &amp; Tarif'!$B$4,2)</f>
        <v>340.68</v>
      </c>
      <c r="K774" s="32" t="n">
        <f aca="false">'Aturan &amp; Tarif'!$B$5</f>
        <v>2050</v>
      </c>
      <c r="L774" s="32" t="n">
        <f aca="false">'Aturan &amp; Tarif'!$B$6</f>
        <v>350</v>
      </c>
      <c r="M774" s="35" t="n">
        <f aca="false">I774+J774+K774+L774</f>
        <v>19640.68</v>
      </c>
      <c r="N774" s="37" t="s">
        <v>2366</v>
      </c>
    </row>
    <row r="775" customFormat="false" ht="37.5" hidden="false" customHeight="true" outlineLevel="0" collapsed="false">
      <c r="A775" s="29"/>
      <c r="B775" s="30" t="s">
        <v>2424</v>
      </c>
      <c r="C775" s="31" t="s">
        <v>344</v>
      </c>
      <c r="D775" s="31" t="s">
        <v>108</v>
      </c>
      <c r="E775" s="32" t="n">
        <v>6150</v>
      </c>
      <c r="F775" s="32"/>
      <c r="G775" s="32" t="n">
        <v>100</v>
      </c>
      <c r="H775" s="33" t="n">
        <v>2</v>
      </c>
      <c r="I775" s="34" t="n">
        <f aca="false">E775*H775+N(F775)+N(G775)</f>
        <v>12400</v>
      </c>
      <c r="J775" s="32" t="n">
        <f aca="false">ROUND(IFERROR(ROUND(IF(OR(ISNUMBER(SEARCH("week",C775)),ISNUMBER(SEARCH("minggu",C775))),IFERROR(_xlfn.NUMBERVALUE(SUBSTITUTE(LEFT(TRIM(C775),FIND(" ",TRIM(C775)&amp;" ")-1),",","."),"."),LEFT(SUBSTITUTE(LEFT(TRIM(C775),FIND(" ",TRIM(C775)&amp;" ")-1),",","."),FIND("/",SUBSTITUTE(LEFT(TRIM(C775),FIND(" ",TRIM(C775)&amp;" ")-1),",","."))-1)/MID(SUBSTITUTE(LEFT(TRIM(C775),FIND(" ",TRIM(C775)&amp;" ")-1),",","."),FIND("/",SUBSTITUTE(LEFT(TRIM(C775),FIND(" ",TRIM(C775)&amp;" ")-1),",","."))+1,9))*12/52,IF(ISNUMBER(SEARCH("month",C775)),IFERROR(_xlfn.NUMBERVALUE(SUBSTITUTE(LEFT(TRIM(C775),FIND(" ",TRIM(C775)&amp;" ")-1),",","."),"."),LEFT(SUBSTITUTE(LEFT(TRIM(C775),FIND(" ",TRIM(C775)&amp;" ")-1),",","."),FIND("/",SUBSTITUTE(LEFT(TRIM(C775),FIND(" ",TRIM(C775)&amp;" ")-1),",","."))-1)/MID(SUBSTITUTE(LEFT(TRIM(C775),FIND(" ",TRIM(C775)&amp;" ")-1),",","."),FIND("/",SUBSTITUTE(LEFT(TRIM(C775),FIND(" ",TRIM(C775)&amp;" ")-1),",","."))+1,9)),IF(ISNUMBER(SEARCH("yea",C775)),IFERROR(_xlfn.NUMBERVALUE(SUBSTITUTE(LEFT(TRIM(C775),FIND(" ",TRIM(C775)&amp;" ")-1),",","."),"."),LEFT(SUBSTITUTE(LEFT(TRIM(C775),FIND(" ",TRIM(C775)&amp;" ")-1),",","."),FIND("/",SUBSTITUTE(LEFT(TRIM(C775),FIND(" ",TRIM(C775)&amp;" ")-1),",","."))-1)/MID(SUBSTITUTE(LEFT(TRIM(C775),FIND(" ",TRIM(C775)&amp;" ")-1),",","."),FIND("/",SUBSTITUTE(LEFT(TRIM(C775),FIND(" ",TRIM(C775)&amp;" ")-1),",","."))+1,9))*12,NA()))),0),6)*'Aturan &amp; Tarif'!$B$4,2)</f>
        <v>340.68</v>
      </c>
      <c r="K775" s="32" t="n">
        <f aca="false">'Aturan &amp; Tarif'!$B$5</f>
        <v>2050</v>
      </c>
      <c r="L775" s="32" t="n">
        <f aca="false">'Aturan &amp; Tarif'!$B$6</f>
        <v>350</v>
      </c>
      <c r="M775" s="35" t="n">
        <f aca="false">I775+J775+K775+L775</f>
        <v>15140.68</v>
      </c>
      <c r="N775" s="37" t="s">
        <v>2366</v>
      </c>
    </row>
    <row r="776" customFormat="false" ht="25.5" hidden="false" customHeight="true" outlineLevel="0" collapsed="false">
      <c r="A776" s="29"/>
      <c r="B776" s="30" t="s">
        <v>2425</v>
      </c>
      <c r="C776" s="31" t="s">
        <v>130</v>
      </c>
      <c r="D776" s="31" t="s">
        <v>108</v>
      </c>
      <c r="E776" s="32" t="n">
        <v>9100</v>
      </c>
      <c r="F776" s="32"/>
      <c r="G776" s="32" t="n">
        <v>100</v>
      </c>
      <c r="H776" s="33" t="n">
        <v>2</v>
      </c>
      <c r="I776" s="34" t="n">
        <f aca="false">E776*H776+N(F776)+N(G776)</f>
        <v>18300</v>
      </c>
      <c r="J776" s="32" t="n">
        <f aca="false">ROUND(IFERROR(ROUND(IF(OR(ISNUMBER(SEARCH("week",C776)),ISNUMBER(SEARCH("minggu",C776))),IFERROR(_xlfn.NUMBERVALUE(SUBSTITUTE(LEFT(TRIM(C776),FIND(" ",TRIM(C776)&amp;" ")-1),",","."),"."),LEFT(SUBSTITUTE(LEFT(TRIM(C776),FIND(" ",TRIM(C776)&amp;" ")-1),",","."),FIND("/",SUBSTITUTE(LEFT(TRIM(C776),FIND(" ",TRIM(C776)&amp;" ")-1),",","."))-1)/MID(SUBSTITUTE(LEFT(TRIM(C776),FIND(" ",TRIM(C776)&amp;" ")-1),",","."),FIND("/",SUBSTITUTE(LEFT(TRIM(C776),FIND(" ",TRIM(C776)&amp;" ")-1),",","."))+1,9))*12/52,IF(ISNUMBER(SEARCH("month",C776)),IFERROR(_xlfn.NUMBERVALUE(SUBSTITUTE(LEFT(TRIM(C776),FIND(" ",TRIM(C776)&amp;" ")-1),",","."),"."),LEFT(SUBSTITUTE(LEFT(TRIM(C776),FIND(" ",TRIM(C776)&amp;" ")-1),",","."),FIND("/",SUBSTITUTE(LEFT(TRIM(C776),FIND(" ",TRIM(C776)&amp;" ")-1),",","."))-1)/MID(SUBSTITUTE(LEFT(TRIM(C776),FIND(" ",TRIM(C776)&amp;" ")-1),",","."),FIND("/",SUBSTITUTE(LEFT(TRIM(C776),FIND(" ",TRIM(C776)&amp;" ")-1),",","."))+1,9)),IF(ISNUMBER(SEARCH("yea",C776)),IFERROR(_xlfn.NUMBERVALUE(SUBSTITUTE(LEFT(TRIM(C776),FIND(" ",TRIM(C776)&amp;" ")-1),",","."),"."),LEFT(SUBSTITUTE(LEFT(TRIM(C776),FIND(" ",TRIM(C776)&amp;" ")-1),",","."),FIND("/",SUBSTITUTE(LEFT(TRIM(C776),FIND(" ",TRIM(C776)&amp;" ")-1),",","."))-1)/MID(SUBSTITUTE(LEFT(TRIM(C776),FIND(" ",TRIM(C776)&amp;" ")-1),",","."),FIND("/",SUBSTITUTE(LEFT(TRIM(C776),FIND(" ",TRIM(C776)&amp;" ")-1),",","."))+1,9))*12,NA()))),0),12)*'Aturan &amp; Tarif'!$B$4,2)</f>
        <v>681.36</v>
      </c>
      <c r="K776" s="32" t="n">
        <f aca="false">'Aturan &amp; Tarif'!$B$5</f>
        <v>2050</v>
      </c>
      <c r="L776" s="32" t="n">
        <f aca="false">'Aturan &amp; Tarif'!$B$6</f>
        <v>350</v>
      </c>
      <c r="M776" s="35" t="n">
        <f aca="false">I776+J776+K776+L776</f>
        <v>21381.36</v>
      </c>
      <c r="N776" s="37" t="s">
        <v>2366</v>
      </c>
    </row>
    <row r="777" customFormat="false" ht="25.5" hidden="false" customHeight="true" outlineLevel="0" collapsed="false">
      <c r="A777" s="29"/>
      <c r="B777" s="30" t="s">
        <v>2426</v>
      </c>
      <c r="C777" s="31" t="s">
        <v>130</v>
      </c>
      <c r="D777" s="31" t="s">
        <v>108</v>
      </c>
      <c r="E777" s="32" t="n">
        <v>9100</v>
      </c>
      <c r="F777" s="32"/>
      <c r="G777" s="32" t="n">
        <v>100</v>
      </c>
      <c r="H777" s="33" t="n">
        <v>2</v>
      </c>
      <c r="I777" s="34" t="n">
        <f aca="false">E777*H777+N(F777)+N(G777)</f>
        <v>18300</v>
      </c>
      <c r="J777" s="32" t="n">
        <f aca="false">ROUND(IFERROR(ROUND(IF(OR(ISNUMBER(SEARCH("week",C777)),ISNUMBER(SEARCH("minggu",C777))),IFERROR(_xlfn.NUMBERVALUE(SUBSTITUTE(LEFT(TRIM(C777),FIND(" ",TRIM(C777)&amp;" ")-1),",","."),"."),LEFT(SUBSTITUTE(LEFT(TRIM(C777),FIND(" ",TRIM(C777)&amp;" ")-1),",","."),FIND("/",SUBSTITUTE(LEFT(TRIM(C777),FIND(" ",TRIM(C777)&amp;" ")-1),",","."))-1)/MID(SUBSTITUTE(LEFT(TRIM(C777),FIND(" ",TRIM(C777)&amp;" ")-1),",","."),FIND("/",SUBSTITUTE(LEFT(TRIM(C777),FIND(" ",TRIM(C777)&amp;" ")-1),",","."))+1,9))*12/52,IF(ISNUMBER(SEARCH("month",C777)),IFERROR(_xlfn.NUMBERVALUE(SUBSTITUTE(LEFT(TRIM(C777),FIND(" ",TRIM(C777)&amp;" ")-1),",","."),"."),LEFT(SUBSTITUTE(LEFT(TRIM(C777),FIND(" ",TRIM(C777)&amp;" ")-1),",","."),FIND("/",SUBSTITUTE(LEFT(TRIM(C777),FIND(" ",TRIM(C777)&amp;" ")-1),",","."))-1)/MID(SUBSTITUTE(LEFT(TRIM(C777),FIND(" ",TRIM(C777)&amp;" ")-1),",","."),FIND("/",SUBSTITUTE(LEFT(TRIM(C777),FIND(" ",TRIM(C777)&amp;" ")-1),",","."))+1,9)),IF(ISNUMBER(SEARCH("yea",C777)),IFERROR(_xlfn.NUMBERVALUE(SUBSTITUTE(LEFT(TRIM(C777),FIND(" ",TRIM(C777)&amp;" ")-1),",","."),"."),LEFT(SUBSTITUTE(LEFT(TRIM(C777),FIND(" ",TRIM(C777)&amp;" ")-1),",","."),FIND("/",SUBSTITUTE(LEFT(TRIM(C777),FIND(" ",TRIM(C777)&amp;" ")-1),",","."))-1)/MID(SUBSTITUTE(LEFT(TRIM(C777),FIND(" ",TRIM(C777)&amp;" ")-1),",","."),FIND("/",SUBSTITUTE(LEFT(TRIM(C777),FIND(" ",TRIM(C777)&amp;" ")-1),",","."))+1,9))*12,NA()))),0),12)*'Aturan &amp; Tarif'!$B$4,2)</f>
        <v>681.36</v>
      </c>
      <c r="K777" s="32" t="n">
        <f aca="false">'Aturan &amp; Tarif'!$B$5</f>
        <v>2050</v>
      </c>
      <c r="L777" s="32" t="n">
        <f aca="false">'Aturan &amp; Tarif'!$B$6</f>
        <v>350</v>
      </c>
      <c r="M777" s="35" t="n">
        <f aca="false">I777+J777+K777+L777</f>
        <v>21381.36</v>
      </c>
      <c r="N777" s="37" t="s">
        <v>2366</v>
      </c>
    </row>
    <row r="778" customFormat="false" ht="37.5" hidden="false" customHeight="true" outlineLevel="0" collapsed="false">
      <c r="A778" s="29"/>
      <c r="B778" s="30" t="s">
        <v>2427</v>
      </c>
      <c r="C778" s="31" t="s">
        <v>130</v>
      </c>
      <c r="D778" s="31" t="s">
        <v>108</v>
      </c>
      <c r="E778" s="32" t="n">
        <v>6060</v>
      </c>
      <c r="F778" s="32"/>
      <c r="G778" s="32" t="n">
        <v>100</v>
      </c>
      <c r="H778" s="33" t="n">
        <v>2</v>
      </c>
      <c r="I778" s="34" t="n">
        <f aca="false">E778*H778+N(F778)+N(G778)</f>
        <v>12220</v>
      </c>
      <c r="J778" s="32" t="n">
        <f aca="false">ROUND(IFERROR(ROUND(IF(OR(ISNUMBER(SEARCH("week",C778)),ISNUMBER(SEARCH("minggu",C778))),IFERROR(_xlfn.NUMBERVALUE(SUBSTITUTE(LEFT(TRIM(C778),FIND(" ",TRIM(C778)&amp;" ")-1),",","."),"."),LEFT(SUBSTITUTE(LEFT(TRIM(C778),FIND(" ",TRIM(C778)&amp;" ")-1),",","."),FIND("/",SUBSTITUTE(LEFT(TRIM(C778),FIND(" ",TRIM(C778)&amp;" ")-1),",","."))-1)/MID(SUBSTITUTE(LEFT(TRIM(C778),FIND(" ",TRIM(C778)&amp;" ")-1),",","."),FIND("/",SUBSTITUTE(LEFT(TRIM(C778),FIND(" ",TRIM(C778)&amp;" ")-1),",","."))+1,9))*12/52,IF(ISNUMBER(SEARCH("month",C778)),IFERROR(_xlfn.NUMBERVALUE(SUBSTITUTE(LEFT(TRIM(C778),FIND(" ",TRIM(C778)&amp;" ")-1),",","."),"."),LEFT(SUBSTITUTE(LEFT(TRIM(C778),FIND(" ",TRIM(C778)&amp;" ")-1),",","."),FIND("/",SUBSTITUTE(LEFT(TRIM(C778),FIND(" ",TRIM(C778)&amp;" ")-1),",","."))-1)/MID(SUBSTITUTE(LEFT(TRIM(C778),FIND(" ",TRIM(C778)&amp;" ")-1),",","."),FIND("/",SUBSTITUTE(LEFT(TRIM(C778),FIND(" ",TRIM(C778)&amp;" ")-1),",","."))+1,9)),IF(ISNUMBER(SEARCH("yea",C778)),IFERROR(_xlfn.NUMBERVALUE(SUBSTITUTE(LEFT(TRIM(C778),FIND(" ",TRIM(C778)&amp;" ")-1),",","."),"."),LEFT(SUBSTITUTE(LEFT(TRIM(C778),FIND(" ",TRIM(C778)&amp;" ")-1),",","."),FIND("/",SUBSTITUTE(LEFT(TRIM(C778),FIND(" ",TRIM(C778)&amp;" ")-1),",","."))-1)/MID(SUBSTITUTE(LEFT(TRIM(C778),FIND(" ",TRIM(C778)&amp;" ")-1),",","."),FIND("/",SUBSTITUTE(LEFT(TRIM(C778),FIND(" ",TRIM(C778)&amp;" ")-1),",","."))+1,9))*12,NA()))),0),12)*'Aturan &amp; Tarif'!$B$4,2)</f>
        <v>681.36</v>
      </c>
      <c r="K778" s="32" t="n">
        <f aca="false">'Aturan &amp; Tarif'!$B$5</f>
        <v>2050</v>
      </c>
      <c r="L778" s="32" t="n">
        <f aca="false">'Aturan &amp; Tarif'!$B$6</f>
        <v>350</v>
      </c>
      <c r="M778" s="35" t="n">
        <f aca="false">I778+J778+K778+L778</f>
        <v>15301.36</v>
      </c>
      <c r="N778" s="37" t="s">
        <v>2366</v>
      </c>
    </row>
    <row r="779" customFormat="false" ht="25.5" hidden="false" customHeight="true" outlineLevel="0" collapsed="false">
      <c r="A779" s="29"/>
      <c r="B779" s="30" t="s">
        <v>2428</v>
      </c>
      <c r="C779" s="31" t="s">
        <v>127</v>
      </c>
      <c r="D779" s="31" t="s">
        <v>108</v>
      </c>
      <c r="E779" s="32" t="n">
        <v>6060</v>
      </c>
      <c r="F779" s="32"/>
      <c r="G779" s="32" t="n">
        <v>100</v>
      </c>
      <c r="H779" s="33" t="n">
        <v>2</v>
      </c>
      <c r="I779" s="34" t="n">
        <f aca="false">E779*H779+N(F779)+N(G779)</f>
        <v>12220</v>
      </c>
      <c r="J779" s="32" t="n">
        <f aca="false">ROUND(IFERROR(ROUND(IF(OR(ISNUMBER(SEARCH("week",C779)),ISNUMBER(SEARCH("minggu",C779))),IFERROR(_xlfn.NUMBERVALUE(SUBSTITUTE(LEFT(TRIM(C779),FIND(" ",TRIM(C779)&amp;" ")-1),",","."),"."),LEFT(SUBSTITUTE(LEFT(TRIM(C779),FIND(" ",TRIM(C779)&amp;" ")-1),",","."),FIND("/",SUBSTITUTE(LEFT(TRIM(C779),FIND(" ",TRIM(C779)&amp;" ")-1),",","."))-1)/MID(SUBSTITUTE(LEFT(TRIM(C779),FIND(" ",TRIM(C779)&amp;" ")-1),",","."),FIND("/",SUBSTITUTE(LEFT(TRIM(C779),FIND(" ",TRIM(C779)&amp;" ")-1),",","."))+1,9))*12/52,IF(ISNUMBER(SEARCH("month",C779)),IFERROR(_xlfn.NUMBERVALUE(SUBSTITUTE(LEFT(TRIM(C779),FIND(" ",TRIM(C779)&amp;" ")-1),",","."),"."),LEFT(SUBSTITUTE(LEFT(TRIM(C779),FIND(" ",TRIM(C779)&amp;" ")-1),",","."),FIND("/",SUBSTITUTE(LEFT(TRIM(C779),FIND(" ",TRIM(C779)&amp;" ")-1),",","."))-1)/MID(SUBSTITUTE(LEFT(TRIM(C779),FIND(" ",TRIM(C779)&amp;" ")-1),",","."),FIND("/",SUBSTITUTE(LEFT(TRIM(C779),FIND(" ",TRIM(C779)&amp;" ")-1),",","."))+1,9)),IF(ISNUMBER(SEARCH("yea",C779)),IFERROR(_xlfn.NUMBERVALUE(SUBSTITUTE(LEFT(TRIM(C779),FIND(" ",TRIM(C779)&amp;" ")-1),",","."),"."),LEFT(SUBSTITUTE(LEFT(TRIM(C779),FIND(" ",TRIM(C779)&amp;" ")-1),",","."),FIND("/",SUBSTITUTE(LEFT(TRIM(C779),FIND(" ",TRIM(C779)&amp;" ")-1),",","."))-1)/MID(SUBSTITUTE(LEFT(TRIM(C779),FIND(" ",TRIM(C779)&amp;" ")-1),",","."),FIND("/",SUBSTITUTE(LEFT(TRIM(C779),FIND(" ",TRIM(C779)&amp;" ")-1),",","."))+1,9))*12,NA()))),0),36)*'Aturan &amp; Tarif'!$B$4,2)</f>
        <v>2044.08</v>
      </c>
      <c r="K779" s="32" t="n">
        <f aca="false">'Aturan &amp; Tarif'!$B$5</f>
        <v>2050</v>
      </c>
      <c r="L779" s="32" t="n">
        <f aca="false">'Aturan &amp; Tarif'!$B$6</f>
        <v>350</v>
      </c>
      <c r="M779" s="35" t="n">
        <f aca="false">I779+J779+K779+L779</f>
        <v>16664.08</v>
      </c>
      <c r="N779" s="37" t="s">
        <v>2373</v>
      </c>
    </row>
    <row r="780" customFormat="false" ht="25.5" hidden="false" customHeight="true" outlineLevel="0" collapsed="false">
      <c r="A780" s="29"/>
      <c r="B780" s="30" t="s">
        <v>2429</v>
      </c>
      <c r="C780" s="31" t="s">
        <v>107</v>
      </c>
      <c r="D780" s="31" t="s">
        <v>108</v>
      </c>
      <c r="E780" s="32" t="n">
        <v>4988</v>
      </c>
      <c r="F780" s="32"/>
      <c r="G780" s="32" t="n">
        <v>100</v>
      </c>
      <c r="H780" s="33" t="n">
        <v>2</v>
      </c>
      <c r="I780" s="34" t="n">
        <f aca="false">E780*H780+N(F780)+N(G780)</f>
        <v>10076</v>
      </c>
      <c r="J780" s="32" t="n">
        <f aca="false">ROUND(IFERROR(ROUND(IF(OR(ISNUMBER(SEARCH("week",C780)),ISNUMBER(SEARCH("minggu",C780))),IFERROR(_xlfn.NUMBERVALUE(SUBSTITUTE(LEFT(TRIM(C780),FIND(" ",TRIM(C780)&amp;" ")-1),",","."),"."),LEFT(SUBSTITUTE(LEFT(TRIM(C780),FIND(" ",TRIM(C780)&amp;" ")-1),",","."),FIND("/",SUBSTITUTE(LEFT(TRIM(C780),FIND(" ",TRIM(C780)&amp;" ")-1),",","."))-1)/MID(SUBSTITUTE(LEFT(TRIM(C780),FIND(" ",TRIM(C780)&amp;" ")-1),",","."),FIND("/",SUBSTITUTE(LEFT(TRIM(C780),FIND(" ",TRIM(C780)&amp;" ")-1),",","."))+1,9))*12/52,IF(ISNUMBER(SEARCH("month",C780)),IFERROR(_xlfn.NUMBERVALUE(SUBSTITUTE(LEFT(TRIM(C780),FIND(" ",TRIM(C780)&amp;" ")-1),",","."),"."),LEFT(SUBSTITUTE(LEFT(TRIM(C780),FIND(" ",TRIM(C780)&amp;" ")-1),",","."),FIND("/",SUBSTITUTE(LEFT(TRIM(C780),FIND(" ",TRIM(C780)&amp;" ")-1),",","."))-1)/MID(SUBSTITUTE(LEFT(TRIM(C780),FIND(" ",TRIM(C780)&amp;" ")-1),",","."),FIND("/",SUBSTITUTE(LEFT(TRIM(C780),FIND(" ",TRIM(C780)&amp;" ")-1),",","."))+1,9)),IF(ISNUMBER(SEARCH("yea",C780)),IFERROR(_xlfn.NUMBERVALUE(SUBSTITUTE(LEFT(TRIM(C780),FIND(" ",TRIM(C780)&amp;" ")-1),",","."),"."),LEFT(SUBSTITUTE(LEFT(TRIM(C780),FIND(" ",TRIM(C780)&amp;" ")-1),",","."),FIND("/",SUBSTITUTE(LEFT(TRIM(C780),FIND(" ",TRIM(C780)&amp;" ")-1),",","."))-1)/MID(SUBSTITUTE(LEFT(TRIM(C780),FIND(" ",TRIM(C780)&amp;" ")-1),",","."),FIND("/",SUBSTITUTE(LEFT(TRIM(C780),FIND(" ",TRIM(C780)&amp;" ")-1),",","."))+1,9))*12,NA()))),0),24)*'Aturan &amp; Tarif'!$B$4,2)</f>
        <v>1362.72</v>
      </c>
      <c r="K780" s="32" t="n">
        <f aca="false">'Aturan &amp; Tarif'!$B$5</f>
        <v>2050</v>
      </c>
      <c r="L780" s="32" t="n">
        <f aca="false">'Aturan &amp; Tarif'!$B$6</f>
        <v>350</v>
      </c>
      <c r="M780" s="35" t="n">
        <f aca="false">I780+J780+K780+L780</f>
        <v>13838.72</v>
      </c>
      <c r="N780" s="36" t="s">
        <v>2368</v>
      </c>
    </row>
    <row r="781" customFormat="false" ht="25.5" hidden="false" customHeight="true" outlineLevel="0" collapsed="false">
      <c r="A781" s="29"/>
      <c r="B781" s="30" t="s">
        <v>2430</v>
      </c>
      <c r="C781" s="31" t="s">
        <v>127</v>
      </c>
      <c r="D781" s="31" t="s">
        <v>108</v>
      </c>
      <c r="E781" s="32" t="n">
        <v>4988</v>
      </c>
      <c r="F781" s="32"/>
      <c r="G781" s="32" t="n">
        <v>100</v>
      </c>
      <c r="H781" s="33" t="n">
        <v>2</v>
      </c>
      <c r="I781" s="34" t="n">
        <f aca="false">E781*H781+N(F781)+N(G781)</f>
        <v>10076</v>
      </c>
      <c r="J781" s="32" t="n">
        <f aca="false">ROUND(IFERROR(ROUND(IF(OR(ISNUMBER(SEARCH("week",C781)),ISNUMBER(SEARCH("minggu",C781))),IFERROR(_xlfn.NUMBERVALUE(SUBSTITUTE(LEFT(TRIM(C781),FIND(" ",TRIM(C781)&amp;" ")-1),",","."),"."),LEFT(SUBSTITUTE(LEFT(TRIM(C781),FIND(" ",TRIM(C781)&amp;" ")-1),",","."),FIND("/",SUBSTITUTE(LEFT(TRIM(C781),FIND(" ",TRIM(C781)&amp;" ")-1),",","."))-1)/MID(SUBSTITUTE(LEFT(TRIM(C781),FIND(" ",TRIM(C781)&amp;" ")-1),",","."),FIND("/",SUBSTITUTE(LEFT(TRIM(C781),FIND(" ",TRIM(C781)&amp;" ")-1),",","."))+1,9))*12/52,IF(ISNUMBER(SEARCH("month",C781)),IFERROR(_xlfn.NUMBERVALUE(SUBSTITUTE(LEFT(TRIM(C781),FIND(" ",TRIM(C781)&amp;" ")-1),",","."),"."),LEFT(SUBSTITUTE(LEFT(TRIM(C781),FIND(" ",TRIM(C781)&amp;" ")-1),",","."),FIND("/",SUBSTITUTE(LEFT(TRIM(C781),FIND(" ",TRIM(C781)&amp;" ")-1),",","."))-1)/MID(SUBSTITUTE(LEFT(TRIM(C781),FIND(" ",TRIM(C781)&amp;" ")-1),",","."),FIND("/",SUBSTITUTE(LEFT(TRIM(C781),FIND(" ",TRIM(C781)&amp;" ")-1),",","."))+1,9)),IF(ISNUMBER(SEARCH("yea",C781)),IFERROR(_xlfn.NUMBERVALUE(SUBSTITUTE(LEFT(TRIM(C781),FIND(" ",TRIM(C781)&amp;" ")-1),",","."),"."),LEFT(SUBSTITUTE(LEFT(TRIM(C781),FIND(" ",TRIM(C781)&amp;" ")-1),",","."),FIND("/",SUBSTITUTE(LEFT(TRIM(C781),FIND(" ",TRIM(C781)&amp;" ")-1),",","."))-1)/MID(SUBSTITUTE(LEFT(TRIM(C781),FIND(" ",TRIM(C781)&amp;" ")-1),",","."),FIND("/",SUBSTITUTE(LEFT(TRIM(C781),FIND(" ",TRIM(C781)&amp;" ")-1),",","."))+1,9))*12,NA()))),0),36)*'Aturan &amp; Tarif'!$B$4,2)</f>
        <v>2044.08</v>
      </c>
      <c r="K781" s="32" t="n">
        <f aca="false">'Aturan &amp; Tarif'!$B$5</f>
        <v>2050</v>
      </c>
      <c r="L781" s="32" t="n">
        <f aca="false">'Aturan &amp; Tarif'!$B$6</f>
        <v>350</v>
      </c>
      <c r="M781" s="35" t="n">
        <f aca="false">I781+J781+K781+L781</f>
        <v>14520.08</v>
      </c>
      <c r="N781" s="36" t="s">
        <v>2368</v>
      </c>
    </row>
    <row r="782" customFormat="false" ht="72" hidden="false" customHeight="true" outlineLevel="0" collapsed="false">
      <c r="A782" s="29"/>
      <c r="B782" s="30" t="s">
        <v>2431</v>
      </c>
      <c r="C782" s="31" t="s">
        <v>113</v>
      </c>
      <c r="D782" s="31" t="s">
        <v>108</v>
      </c>
      <c r="E782" s="32" t="n">
        <v>7138</v>
      </c>
      <c r="F782" s="32"/>
      <c r="G782" s="32" t="n">
        <v>100</v>
      </c>
      <c r="H782" s="33" t="n">
        <v>2</v>
      </c>
      <c r="I782" s="34" t="n">
        <f aca="false">E782*H782+N(F782)+N(G782)</f>
        <v>14376</v>
      </c>
      <c r="J782" s="32" t="n">
        <f aca="false">ROUND(IFERROR(ROUND(IF(OR(ISNUMBER(SEARCH("week",C782)),ISNUMBER(SEARCH("minggu",C782))),IFERROR(_xlfn.NUMBERVALUE(SUBSTITUTE(LEFT(TRIM(C782),FIND(" ",TRIM(C782)&amp;" ")-1),",","."),"."),LEFT(SUBSTITUTE(LEFT(TRIM(C782),FIND(" ",TRIM(C782)&amp;" ")-1),",","."),FIND("/",SUBSTITUTE(LEFT(TRIM(C782),FIND(" ",TRIM(C782)&amp;" ")-1),",","."))-1)/MID(SUBSTITUTE(LEFT(TRIM(C782),FIND(" ",TRIM(C782)&amp;" ")-1),",","."),FIND("/",SUBSTITUTE(LEFT(TRIM(C782),FIND(" ",TRIM(C782)&amp;" ")-1),",","."))+1,9))*12/52,IF(ISNUMBER(SEARCH("month",C782)),IFERROR(_xlfn.NUMBERVALUE(SUBSTITUTE(LEFT(TRIM(C782),FIND(" ",TRIM(C782)&amp;" ")-1),",","."),"."),LEFT(SUBSTITUTE(LEFT(TRIM(C782),FIND(" ",TRIM(C782)&amp;" ")-1),",","."),FIND("/",SUBSTITUTE(LEFT(TRIM(C782),FIND(" ",TRIM(C782)&amp;" ")-1),",","."))-1)/MID(SUBSTITUTE(LEFT(TRIM(C782),FIND(" ",TRIM(C782)&amp;" ")-1),",","."),FIND("/",SUBSTITUTE(LEFT(TRIM(C782),FIND(" ",TRIM(C782)&amp;" ")-1),",","."))+1,9)),IF(ISNUMBER(SEARCH("yea",C782)),IFERROR(_xlfn.NUMBERVALUE(SUBSTITUTE(LEFT(TRIM(C782),FIND(" ",TRIM(C782)&amp;" ")-1),",","."),"."),LEFT(SUBSTITUTE(LEFT(TRIM(C782),FIND(" ",TRIM(C782)&amp;" ")-1),",","."),FIND("/",SUBSTITUTE(LEFT(TRIM(C782),FIND(" ",TRIM(C782)&amp;" ")-1),",","."))-1)/MID(SUBSTITUTE(LEFT(TRIM(C782),FIND(" ",TRIM(C782)&amp;" ")-1),",","."),FIND("/",SUBSTITUTE(LEFT(TRIM(C782),FIND(" ",TRIM(C782)&amp;" ")-1),",","."))+1,9))*12,NA()))),0),18)*'Aturan &amp; Tarif'!$B$4,2)</f>
        <v>1022.04</v>
      </c>
      <c r="K782" s="32" t="n">
        <f aca="false">'Aturan &amp; Tarif'!$B$5</f>
        <v>2050</v>
      </c>
      <c r="L782" s="32" t="n">
        <f aca="false">'Aturan &amp; Tarif'!$B$6</f>
        <v>350</v>
      </c>
      <c r="M782" s="35" t="n">
        <f aca="false">I782+J782+K782+L782</f>
        <v>17798.04</v>
      </c>
      <c r="N782" s="36" t="s">
        <v>2368</v>
      </c>
    </row>
    <row r="783" customFormat="false" ht="25.5" hidden="false" customHeight="true" outlineLevel="0" collapsed="false">
      <c r="A783" s="29"/>
      <c r="B783" s="30" t="s">
        <v>2432</v>
      </c>
      <c r="C783" s="31" t="s">
        <v>127</v>
      </c>
      <c r="D783" s="31" t="s">
        <v>108</v>
      </c>
      <c r="E783" s="32" t="n">
        <v>6060</v>
      </c>
      <c r="F783" s="32"/>
      <c r="G783" s="32" t="n">
        <v>100</v>
      </c>
      <c r="H783" s="33" t="n">
        <v>2</v>
      </c>
      <c r="I783" s="34" t="n">
        <f aca="false">E783*H783+N(F783)+N(G783)</f>
        <v>12220</v>
      </c>
      <c r="J783" s="32" t="n">
        <f aca="false">ROUND(IFERROR(ROUND(IF(OR(ISNUMBER(SEARCH("week",C783)),ISNUMBER(SEARCH("minggu",C783))),IFERROR(_xlfn.NUMBERVALUE(SUBSTITUTE(LEFT(TRIM(C783),FIND(" ",TRIM(C783)&amp;" ")-1),",","."),"."),LEFT(SUBSTITUTE(LEFT(TRIM(C783),FIND(" ",TRIM(C783)&amp;" ")-1),",","."),FIND("/",SUBSTITUTE(LEFT(TRIM(C783),FIND(" ",TRIM(C783)&amp;" ")-1),",","."))-1)/MID(SUBSTITUTE(LEFT(TRIM(C783),FIND(" ",TRIM(C783)&amp;" ")-1),",","."),FIND("/",SUBSTITUTE(LEFT(TRIM(C783),FIND(" ",TRIM(C783)&amp;" ")-1),",","."))+1,9))*12/52,IF(ISNUMBER(SEARCH("month",C783)),IFERROR(_xlfn.NUMBERVALUE(SUBSTITUTE(LEFT(TRIM(C783),FIND(" ",TRIM(C783)&amp;" ")-1),",","."),"."),LEFT(SUBSTITUTE(LEFT(TRIM(C783),FIND(" ",TRIM(C783)&amp;" ")-1),",","."),FIND("/",SUBSTITUTE(LEFT(TRIM(C783),FIND(" ",TRIM(C783)&amp;" ")-1),",","."))-1)/MID(SUBSTITUTE(LEFT(TRIM(C783),FIND(" ",TRIM(C783)&amp;" ")-1),",","."),FIND("/",SUBSTITUTE(LEFT(TRIM(C783),FIND(" ",TRIM(C783)&amp;" ")-1),",","."))+1,9)),IF(ISNUMBER(SEARCH("yea",C783)),IFERROR(_xlfn.NUMBERVALUE(SUBSTITUTE(LEFT(TRIM(C783),FIND(" ",TRIM(C783)&amp;" ")-1),",","."),"."),LEFT(SUBSTITUTE(LEFT(TRIM(C783),FIND(" ",TRIM(C783)&amp;" ")-1),",","."),FIND("/",SUBSTITUTE(LEFT(TRIM(C783),FIND(" ",TRIM(C783)&amp;" ")-1),",","."))-1)/MID(SUBSTITUTE(LEFT(TRIM(C783),FIND(" ",TRIM(C783)&amp;" ")-1),",","."),FIND("/",SUBSTITUTE(LEFT(TRIM(C783),FIND(" ",TRIM(C783)&amp;" ")-1),",","."))+1,9))*12,NA()))),0),36)*'Aturan &amp; Tarif'!$B$4,2)</f>
        <v>2044.08</v>
      </c>
      <c r="K783" s="32" t="n">
        <f aca="false">'Aturan &amp; Tarif'!$B$5</f>
        <v>2050</v>
      </c>
      <c r="L783" s="32" t="n">
        <f aca="false">'Aturan &amp; Tarif'!$B$6</f>
        <v>350</v>
      </c>
      <c r="M783" s="35" t="n">
        <f aca="false">I783+J783+K783+L783</f>
        <v>16664.08</v>
      </c>
      <c r="N783" s="37" t="s">
        <v>2373</v>
      </c>
    </row>
    <row r="784" customFormat="false" ht="25.5" hidden="false" customHeight="true" outlineLevel="0" collapsed="false">
      <c r="A784" s="29"/>
      <c r="B784" s="30" t="s">
        <v>2433</v>
      </c>
      <c r="C784" s="31" t="s">
        <v>113</v>
      </c>
      <c r="D784" s="31" t="s">
        <v>108</v>
      </c>
      <c r="E784" s="32" t="n">
        <v>4400</v>
      </c>
      <c r="F784" s="32"/>
      <c r="G784" s="32" t="n">
        <v>100</v>
      </c>
      <c r="H784" s="33" t="n">
        <v>2</v>
      </c>
      <c r="I784" s="34" t="n">
        <f aca="false">E784*H784+N(F784)+N(G784)</f>
        <v>8900</v>
      </c>
      <c r="J784" s="32" t="n">
        <f aca="false">ROUND(IFERROR(ROUND(IF(OR(ISNUMBER(SEARCH("week",C784)),ISNUMBER(SEARCH("minggu",C784))),IFERROR(_xlfn.NUMBERVALUE(SUBSTITUTE(LEFT(TRIM(C784),FIND(" ",TRIM(C784)&amp;" ")-1),",","."),"."),LEFT(SUBSTITUTE(LEFT(TRIM(C784),FIND(" ",TRIM(C784)&amp;" ")-1),",","."),FIND("/",SUBSTITUTE(LEFT(TRIM(C784),FIND(" ",TRIM(C784)&amp;" ")-1),",","."))-1)/MID(SUBSTITUTE(LEFT(TRIM(C784),FIND(" ",TRIM(C784)&amp;" ")-1),",","."),FIND("/",SUBSTITUTE(LEFT(TRIM(C784),FIND(" ",TRIM(C784)&amp;" ")-1),",","."))+1,9))*12/52,IF(ISNUMBER(SEARCH("month",C784)),IFERROR(_xlfn.NUMBERVALUE(SUBSTITUTE(LEFT(TRIM(C784),FIND(" ",TRIM(C784)&amp;" ")-1),",","."),"."),LEFT(SUBSTITUTE(LEFT(TRIM(C784),FIND(" ",TRIM(C784)&amp;" ")-1),",","."),FIND("/",SUBSTITUTE(LEFT(TRIM(C784),FIND(" ",TRIM(C784)&amp;" ")-1),",","."))-1)/MID(SUBSTITUTE(LEFT(TRIM(C784),FIND(" ",TRIM(C784)&amp;" ")-1),",","."),FIND("/",SUBSTITUTE(LEFT(TRIM(C784),FIND(" ",TRIM(C784)&amp;" ")-1),",","."))+1,9)),IF(ISNUMBER(SEARCH("yea",C784)),IFERROR(_xlfn.NUMBERVALUE(SUBSTITUTE(LEFT(TRIM(C784),FIND(" ",TRIM(C784)&amp;" ")-1),",","."),"."),LEFT(SUBSTITUTE(LEFT(TRIM(C784),FIND(" ",TRIM(C784)&amp;" ")-1),",","."),FIND("/",SUBSTITUTE(LEFT(TRIM(C784),FIND(" ",TRIM(C784)&amp;" ")-1),",","."))-1)/MID(SUBSTITUTE(LEFT(TRIM(C784),FIND(" ",TRIM(C784)&amp;" ")-1),",","."),FIND("/",SUBSTITUTE(LEFT(TRIM(C784),FIND(" ",TRIM(C784)&amp;" ")-1),",","."))+1,9))*12,NA()))),0),18)*'Aturan &amp; Tarif'!$B$4,2)</f>
        <v>1022.04</v>
      </c>
      <c r="K784" s="32" t="n">
        <f aca="false">'Aturan &amp; Tarif'!$B$5</f>
        <v>2050</v>
      </c>
      <c r="L784" s="32" t="n">
        <f aca="false">'Aturan &amp; Tarif'!$B$6</f>
        <v>350</v>
      </c>
      <c r="M784" s="35" t="n">
        <f aca="false">I784+J784+K784+L784</f>
        <v>12322.04</v>
      </c>
      <c r="N784" s="36" t="s">
        <v>2368</v>
      </c>
    </row>
    <row r="785" customFormat="false" ht="37.5" hidden="false" customHeight="true" outlineLevel="0" collapsed="false">
      <c r="A785" s="29"/>
      <c r="B785" s="30" t="s">
        <v>2434</v>
      </c>
      <c r="C785" s="31" t="s">
        <v>113</v>
      </c>
      <c r="D785" s="31" t="s">
        <v>108</v>
      </c>
      <c r="E785" s="32" t="n">
        <v>4400</v>
      </c>
      <c r="F785" s="32"/>
      <c r="G785" s="32" t="n">
        <v>100</v>
      </c>
      <c r="H785" s="33" t="n">
        <v>2</v>
      </c>
      <c r="I785" s="34" t="n">
        <f aca="false">E785*H785+N(F785)+N(G785)</f>
        <v>8900</v>
      </c>
      <c r="J785" s="32" t="n">
        <f aca="false">ROUND(IFERROR(ROUND(IF(OR(ISNUMBER(SEARCH("week",C785)),ISNUMBER(SEARCH("minggu",C785))),IFERROR(_xlfn.NUMBERVALUE(SUBSTITUTE(LEFT(TRIM(C785),FIND(" ",TRIM(C785)&amp;" ")-1),",","."),"."),LEFT(SUBSTITUTE(LEFT(TRIM(C785),FIND(" ",TRIM(C785)&amp;" ")-1),",","."),FIND("/",SUBSTITUTE(LEFT(TRIM(C785),FIND(" ",TRIM(C785)&amp;" ")-1),",","."))-1)/MID(SUBSTITUTE(LEFT(TRIM(C785),FIND(" ",TRIM(C785)&amp;" ")-1),",","."),FIND("/",SUBSTITUTE(LEFT(TRIM(C785),FIND(" ",TRIM(C785)&amp;" ")-1),",","."))+1,9))*12/52,IF(ISNUMBER(SEARCH("month",C785)),IFERROR(_xlfn.NUMBERVALUE(SUBSTITUTE(LEFT(TRIM(C785),FIND(" ",TRIM(C785)&amp;" ")-1),",","."),"."),LEFT(SUBSTITUTE(LEFT(TRIM(C785),FIND(" ",TRIM(C785)&amp;" ")-1),",","."),FIND("/",SUBSTITUTE(LEFT(TRIM(C785),FIND(" ",TRIM(C785)&amp;" ")-1),",","."))-1)/MID(SUBSTITUTE(LEFT(TRIM(C785),FIND(" ",TRIM(C785)&amp;" ")-1),",","."),FIND("/",SUBSTITUTE(LEFT(TRIM(C785),FIND(" ",TRIM(C785)&amp;" ")-1),",","."))+1,9)),IF(ISNUMBER(SEARCH("yea",C785)),IFERROR(_xlfn.NUMBERVALUE(SUBSTITUTE(LEFT(TRIM(C785),FIND(" ",TRIM(C785)&amp;" ")-1),",","."),"."),LEFT(SUBSTITUTE(LEFT(TRIM(C785),FIND(" ",TRIM(C785)&amp;" ")-1),",","."),FIND("/",SUBSTITUTE(LEFT(TRIM(C785),FIND(" ",TRIM(C785)&amp;" ")-1),",","."))-1)/MID(SUBSTITUTE(LEFT(TRIM(C785),FIND(" ",TRIM(C785)&amp;" ")-1),",","."),FIND("/",SUBSTITUTE(LEFT(TRIM(C785),FIND(" ",TRIM(C785)&amp;" ")-1),",","."))+1,9))*12,NA()))),0),18)*'Aturan &amp; Tarif'!$B$4,2)</f>
        <v>1022.04</v>
      </c>
      <c r="K785" s="32" t="n">
        <f aca="false">'Aturan &amp; Tarif'!$B$5</f>
        <v>2050</v>
      </c>
      <c r="L785" s="32" t="n">
        <f aca="false">'Aturan &amp; Tarif'!$B$6</f>
        <v>350</v>
      </c>
      <c r="M785" s="35" t="n">
        <f aca="false">I785+J785+K785+L785</f>
        <v>12322.04</v>
      </c>
      <c r="N785" s="36" t="s">
        <v>2368</v>
      </c>
    </row>
    <row r="786" customFormat="false" ht="25.5" hidden="false" customHeight="true" outlineLevel="0" collapsed="false">
      <c r="A786" s="29"/>
      <c r="B786" s="30" t="s">
        <v>2435</v>
      </c>
      <c r="C786" s="31" t="s">
        <v>113</v>
      </c>
      <c r="D786" s="31" t="s">
        <v>108</v>
      </c>
      <c r="E786" s="32" t="n">
        <v>4400</v>
      </c>
      <c r="F786" s="32"/>
      <c r="G786" s="32" t="n">
        <v>100</v>
      </c>
      <c r="H786" s="33" t="n">
        <v>2</v>
      </c>
      <c r="I786" s="34" t="n">
        <f aca="false">E786*H786+N(F786)+N(G786)</f>
        <v>8900</v>
      </c>
      <c r="J786" s="32" t="n">
        <f aca="false">ROUND(IFERROR(ROUND(IF(OR(ISNUMBER(SEARCH("week",C786)),ISNUMBER(SEARCH("minggu",C786))),IFERROR(_xlfn.NUMBERVALUE(SUBSTITUTE(LEFT(TRIM(C786),FIND(" ",TRIM(C786)&amp;" ")-1),",","."),"."),LEFT(SUBSTITUTE(LEFT(TRIM(C786),FIND(" ",TRIM(C786)&amp;" ")-1),",","."),FIND("/",SUBSTITUTE(LEFT(TRIM(C786),FIND(" ",TRIM(C786)&amp;" ")-1),",","."))-1)/MID(SUBSTITUTE(LEFT(TRIM(C786),FIND(" ",TRIM(C786)&amp;" ")-1),",","."),FIND("/",SUBSTITUTE(LEFT(TRIM(C786),FIND(" ",TRIM(C786)&amp;" ")-1),",","."))+1,9))*12/52,IF(ISNUMBER(SEARCH("month",C786)),IFERROR(_xlfn.NUMBERVALUE(SUBSTITUTE(LEFT(TRIM(C786),FIND(" ",TRIM(C786)&amp;" ")-1),",","."),"."),LEFT(SUBSTITUTE(LEFT(TRIM(C786),FIND(" ",TRIM(C786)&amp;" ")-1),",","."),FIND("/",SUBSTITUTE(LEFT(TRIM(C786),FIND(" ",TRIM(C786)&amp;" ")-1),",","."))-1)/MID(SUBSTITUTE(LEFT(TRIM(C786),FIND(" ",TRIM(C786)&amp;" ")-1),",","."),FIND("/",SUBSTITUTE(LEFT(TRIM(C786),FIND(" ",TRIM(C786)&amp;" ")-1),",","."))+1,9)),IF(ISNUMBER(SEARCH("yea",C786)),IFERROR(_xlfn.NUMBERVALUE(SUBSTITUTE(LEFT(TRIM(C786),FIND(" ",TRIM(C786)&amp;" ")-1),",","."),"."),LEFT(SUBSTITUTE(LEFT(TRIM(C786),FIND(" ",TRIM(C786)&amp;" ")-1),",","."),FIND("/",SUBSTITUTE(LEFT(TRIM(C786),FIND(" ",TRIM(C786)&amp;" ")-1),",","."))-1)/MID(SUBSTITUTE(LEFT(TRIM(C786),FIND(" ",TRIM(C786)&amp;" ")-1),",","."),FIND("/",SUBSTITUTE(LEFT(TRIM(C786),FIND(" ",TRIM(C786)&amp;" ")-1),",","."))+1,9))*12,NA()))),0),18)*'Aturan &amp; Tarif'!$B$4,2)</f>
        <v>1022.04</v>
      </c>
      <c r="K786" s="32" t="n">
        <f aca="false">'Aturan &amp; Tarif'!$B$5</f>
        <v>2050</v>
      </c>
      <c r="L786" s="32" t="n">
        <f aca="false">'Aturan &amp; Tarif'!$B$6</f>
        <v>350</v>
      </c>
      <c r="M786" s="35" t="n">
        <f aca="false">I786+J786+K786+L786</f>
        <v>12322.04</v>
      </c>
      <c r="N786" s="36" t="s">
        <v>2368</v>
      </c>
    </row>
    <row r="787" customFormat="false" ht="14.25" hidden="false" customHeight="true" outlineLevel="0" collapsed="false">
      <c r="A787" s="29"/>
      <c r="B787" s="30" t="s">
        <v>2436</v>
      </c>
      <c r="C787" s="31" t="s">
        <v>107</v>
      </c>
      <c r="D787" s="31" t="s">
        <v>108</v>
      </c>
      <c r="E787" s="32" t="n">
        <v>6600</v>
      </c>
      <c r="F787" s="32"/>
      <c r="G787" s="32" t="n">
        <v>100</v>
      </c>
      <c r="H787" s="33" t="n">
        <v>2</v>
      </c>
      <c r="I787" s="34" t="n">
        <f aca="false">E787*H787+N(F787)+N(G787)</f>
        <v>13300</v>
      </c>
      <c r="J787" s="32" t="n">
        <f aca="false">ROUND(IFERROR(ROUND(IF(OR(ISNUMBER(SEARCH("week",C787)),ISNUMBER(SEARCH("minggu",C787))),IFERROR(_xlfn.NUMBERVALUE(SUBSTITUTE(LEFT(TRIM(C787),FIND(" ",TRIM(C787)&amp;" ")-1),",","."),"."),LEFT(SUBSTITUTE(LEFT(TRIM(C787),FIND(" ",TRIM(C787)&amp;" ")-1),",","."),FIND("/",SUBSTITUTE(LEFT(TRIM(C787),FIND(" ",TRIM(C787)&amp;" ")-1),",","."))-1)/MID(SUBSTITUTE(LEFT(TRIM(C787),FIND(" ",TRIM(C787)&amp;" ")-1),",","."),FIND("/",SUBSTITUTE(LEFT(TRIM(C787),FIND(" ",TRIM(C787)&amp;" ")-1),",","."))+1,9))*12/52,IF(ISNUMBER(SEARCH("month",C787)),IFERROR(_xlfn.NUMBERVALUE(SUBSTITUTE(LEFT(TRIM(C787),FIND(" ",TRIM(C787)&amp;" ")-1),",","."),"."),LEFT(SUBSTITUTE(LEFT(TRIM(C787),FIND(" ",TRIM(C787)&amp;" ")-1),",","."),FIND("/",SUBSTITUTE(LEFT(TRIM(C787),FIND(" ",TRIM(C787)&amp;" ")-1),",","."))-1)/MID(SUBSTITUTE(LEFT(TRIM(C787),FIND(" ",TRIM(C787)&amp;" ")-1),",","."),FIND("/",SUBSTITUTE(LEFT(TRIM(C787),FIND(" ",TRIM(C787)&amp;" ")-1),",","."))+1,9)),IF(ISNUMBER(SEARCH("yea",C787)),IFERROR(_xlfn.NUMBERVALUE(SUBSTITUTE(LEFT(TRIM(C787),FIND(" ",TRIM(C787)&amp;" ")-1),",","."),"."),LEFT(SUBSTITUTE(LEFT(TRIM(C787),FIND(" ",TRIM(C787)&amp;" ")-1),",","."),FIND("/",SUBSTITUTE(LEFT(TRIM(C787),FIND(" ",TRIM(C787)&amp;" ")-1),",","."))-1)/MID(SUBSTITUTE(LEFT(TRIM(C787),FIND(" ",TRIM(C787)&amp;" ")-1),",","."),FIND("/",SUBSTITUTE(LEFT(TRIM(C787),FIND(" ",TRIM(C787)&amp;" ")-1),",","."))+1,9))*12,NA()))),0),24)*'Aturan &amp; Tarif'!$B$4,2)</f>
        <v>1362.72</v>
      </c>
      <c r="K787" s="32" t="n">
        <f aca="false">'Aturan &amp; Tarif'!$B$5</f>
        <v>2050</v>
      </c>
      <c r="L787" s="32" t="n">
        <f aca="false">'Aturan &amp; Tarif'!$B$6</f>
        <v>350</v>
      </c>
      <c r="M787" s="35" t="n">
        <f aca="false">I787+J787+K787+L787</f>
        <v>17062.72</v>
      </c>
      <c r="N787" s="37" t="s">
        <v>2373</v>
      </c>
    </row>
    <row r="788" customFormat="false" ht="25.5" hidden="false" customHeight="true" outlineLevel="0" collapsed="false">
      <c r="A788" s="29"/>
      <c r="B788" s="30" t="s">
        <v>2437</v>
      </c>
      <c r="C788" s="31" t="s">
        <v>130</v>
      </c>
      <c r="D788" s="31" t="s">
        <v>108</v>
      </c>
      <c r="E788" s="32" t="n">
        <v>4163</v>
      </c>
      <c r="F788" s="32"/>
      <c r="G788" s="32" t="n">
        <v>100</v>
      </c>
      <c r="H788" s="33" t="n">
        <v>2</v>
      </c>
      <c r="I788" s="34" t="n">
        <f aca="false">E788*H788+N(F788)+N(G788)</f>
        <v>8426</v>
      </c>
      <c r="J788" s="32" t="n">
        <f aca="false">ROUND(IFERROR(ROUND(IF(OR(ISNUMBER(SEARCH("week",C788)),ISNUMBER(SEARCH("minggu",C788))),IFERROR(_xlfn.NUMBERVALUE(SUBSTITUTE(LEFT(TRIM(C788),FIND(" ",TRIM(C788)&amp;" ")-1),",","."),"."),LEFT(SUBSTITUTE(LEFT(TRIM(C788),FIND(" ",TRIM(C788)&amp;" ")-1),",","."),FIND("/",SUBSTITUTE(LEFT(TRIM(C788),FIND(" ",TRIM(C788)&amp;" ")-1),",","."))-1)/MID(SUBSTITUTE(LEFT(TRIM(C788),FIND(" ",TRIM(C788)&amp;" ")-1),",","."),FIND("/",SUBSTITUTE(LEFT(TRIM(C788),FIND(" ",TRIM(C788)&amp;" ")-1),",","."))+1,9))*12/52,IF(ISNUMBER(SEARCH("month",C788)),IFERROR(_xlfn.NUMBERVALUE(SUBSTITUTE(LEFT(TRIM(C788),FIND(" ",TRIM(C788)&amp;" ")-1),",","."),"."),LEFT(SUBSTITUTE(LEFT(TRIM(C788),FIND(" ",TRIM(C788)&amp;" ")-1),",","."),FIND("/",SUBSTITUTE(LEFT(TRIM(C788),FIND(" ",TRIM(C788)&amp;" ")-1),",","."))-1)/MID(SUBSTITUTE(LEFT(TRIM(C788),FIND(" ",TRIM(C788)&amp;" ")-1),",","."),FIND("/",SUBSTITUTE(LEFT(TRIM(C788),FIND(" ",TRIM(C788)&amp;" ")-1),",","."))+1,9)),IF(ISNUMBER(SEARCH("yea",C788)),IFERROR(_xlfn.NUMBERVALUE(SUBSTITUTE(LEFT(TRIM(C788),FIND(" ",TRIM(C788)&amp;" ")-1),",","."),"."),LEFT(SUBSTITUTE(LEFT(TRIM(C788),FIND(" ",TRIM(C788)&amp;" ")-1),",","."),FIND("/",SUBSTITUTE(LEFT(TRIM(C788),FIND(" ",TRIM(C788)&amp;" ")-1),",","."))-1)/MID(SUBSTITUTE(LEFT(TRIM(C788),FIND(" ",TRIM(C788)&amp;" ")-1),",","."),FIND("/",SUBSTITUTE(LEFT(TRIM(C788),FIND(" ",TRIM(C788)&amp;" ")-1),",","."))+1,9))*12,NA()))),0),12)*'Aturan &amp; Tarif'!$B$4,2)</f>
        <v>681.36</v>
      </c>
      <c r="K788" s="32" t="n">
        <f aca="false">'Aturan &amp; Tarif'!$B$5</f>
        <v>2050</v>
      </c>
      <c r="L788" s="32" t="n">
        <f aca="false">'Aturan &amp; Tarif'!$B$6</f>
        <v>350</v>
      </c>
      <c r="M788" s="35" t="n">
        <f aca="false">I788+J788+K788+L788</f>
        <v>11507.36</v>
      </c>
      <c r="N788" s="37" t="s">
        <v>2366</v>
      </c>
    </row>
    <row r="789" customFormat="false" ht="25.5" hidden="false" customHeight="true" outlineLevel="0" collapsed="false">
      <c r="A789" s="29"/>
      <c r="B789" s="30" t="s">
        <v>2438</v>
      </c>
      <c r="C789" s="31" t="s">
        <v>113</v>
      </c>
      <c r="D789" s="31" t="s">
        <v>108</v>
      </c>
      <c r="E789" s="32" t="n">
        <v>7388</v>
      </c>
      <c r="F789" s="32"/>
      <c r="G789" s="32" t="n">
        <v>100</v>
      </c>
      <c r="H789" s="33" t="n">
        <v>2</v>
      </c>
      <c r="I789" s="34" t="n">
        <f aca="false">E789*H789+N(F789)+N(G789)</f>
        <v>14876</v>
      </c>
      <c r="J789" s="32" t="n">
        <f aca="false">ROUND(IFERROR(ROUND(IF(OR(ISNUMBER(SEARCH("week",C789)),ISNUMBER(SEARCH("minggu",C789))),IFERROR(_xlfn.NUMBERVALUE(SUBSTITUTE(LEFT(TRIM(C789),FIND(" ",TRIM(C789)&amp;" ")-1),",","."),"."),LEFT(SUBSTITUTE(LEFT(TRIM(C789),FIND(" ",TRIM(C789)&amp;" ")-1),",","."),FIND("/",SUBSTITUTE(LEFT(TRIM(C789),FIND(" ",TRIM(C789)&amp;" ")-1),",","."))-1)/MID(SUBSTITUTE(LEFT(TRIM(C789),FIND(" ",TRIM(C789)&amp;" ")-1),",","."),FIND("/",SUBSTITUTE(LEFT(TRIM(C789),FIND(" ",TRIM(C789)&amp;" ")-1),",","."))+1,9))*12/52,IF(ISNUMBER(SEARCH("month",C789)),IFERROR(_xlfn.NUMBERVALUE(SUBSTITUTE(LEFT(TRIM(C789),FIND(" ",TRIM(C789)&amp;" ")-1),",","."),"."),LEFT(SUBSTITUTE(LEFT(TRIM(C789),FIND(" ",TRIM(C789)&amp;" ")-1),",","."),FIND("/",SUBSTITUTE(LEFT(TRIM(C789),FIND(" ",TRIM(C789)&amp;" ")-1),",","."))-1)/MID(SUBSTITUTE(LEFT(TRIM(C789),FIND(" ",TRIM(C789)&amp;" ")-1),",","."),FIND("/",SUBSTITUTE(LEFT(TRIM(C789),FIND(" ",TRIM(C789)&amp;" ")-1),",","."))+1,9)),IF(ISNUMBER(SEARCH("yea",C789)),IFERROR(_xlfn.NUMBERVALUE(SUBSTITUTE(LEFT(TRIM(C789),FIND(" ",TRIM(C789)&amp;" ")-1),",","."),"."),LEFT(SUBSTITUTE(LEFT(TRIM(C789),FIND(" ",TRIM(C789)&amp;" ")-1),",","."),FIND("/",SUBSTITUTE(LEFT(TRIM(C789),FIND(" ",TRIM(C789)&amp;" ")-1),",","."))-1)/MID(SUBSTITUTE(LEFT(TRIM(C789),FIND(" ",TRIM(C789)&amp;" ")-1),",","."),FIND("/",SUBSTITUTE(LEFT(TRIM(C789),FIND(" ",TRIM(C789)&amp;" ")-1),",","."))+1,9))*12,NA()))),0),18)*'Aturan &amp; Tarif'!$B$4,2)</f>
        <v>1022.04</v>
      </c>
      <c r="K789" s="32" t="n">
        <f aca="false">'Aturan &amp; Tarif'!$B$5</f>
        <v>2050</v>
      </c>
      <c r="L789" s="32" t="n">
        <f aca="false">'Aturan &amp; Tarif'!$B$6</f>
        <v>350</v>
      </c>
      <c r="M789" s="35" t="n">
        <f aca="false">I789+J789+K789+L789</f>
        <v>18298.04</v>
      </c>
      <c r="N789" s="36" t="s">
        <v>2368</v>
      </c>
    </row>
    <row r="790" customFormat="false" ht="83.25" hidden="false" customHeight="true" outlineLevel="0" collapsed="false">
      <c r="A790" s="29"/>
      <c r="B790" s="30" t="s">
        <v>2439</v>
      </c>
      <c r="C790" s="31" t="s">
        <v>127</v>
      </c>
      <c r="D790" s="31" t="s">
        <v>108</v>
      </c>
      <c r="E790" s="32" t="n">
        <v>6260</v>
      </c>
      <c r="F790" s="32"/>
      <c r="G790" s="32" t="n">
        <v>100</v>
      </c>
      <c r="H790" s="33" t="n">
        <v>2</v>
      </c>
      <c r="I790" s="34" t="n">
        <f aca="false">E790*H790+N(F790)+N(G790)</f>
        <v>12620</v>
      </c>
      <c r="J790" s="32" t="n">
        <f aca="false">ROUND(IFERROR(ROUND(IF(OR(ISNUMBER(SEARCH("week",C790)),ISNUMBER(SEARCH("minggu",C790))),IFERROR(_xlfn.NUMBERVALUE(SUBSTITUTE(LEFT(TRIM(C790),FIND(" ",TRIM(C790)&amp;" ")-1),",","."),"."),LEFT(SUBSTITUTE(LEFT(TRIM(C790),FIND(" ",TRIM(C790)&amp;" ")-1),",","."),FIND("/",SUBSTITUTE(LEFT(TRIM(C790),FIND(" ",TRIM(C790)&amp;" ")-1),",","."))-1)/MID(SUBSTITUTE(LEFT(TRIM(C790),FIND(" ",TRIM(C790)&amp;" ")-1),",","."),FIND("/",SUBSTITUTE(LEFT(TRIM(C790),FIND(" ",TRIM(C790)&amp;" ")-1),",","."))+1,9))*12/52,IF(ISNUMBER(SEARCH("month",C790)),IFERROR(_xlfn.NUMBERVALUE(SUBSTITUTE(LEFT(TRIM(C790),FIND(" ",TRIM(C790)&amp;" ")-1),",","."),"."),LEFT(SUBSTITUTE(LEFT(TRIM(C790),FIND(" ",TRIM(C790)&amp;" ")-1),",","."),FIND("/",SUBSTITUTE(LEFT(TRIM(C790),FIND(" ",TRIM(C790)&amp;" ")-1),",","."))-1)/MID(SUBSTITUTE(LEFT(TRIM(C790),FIND(" ",TRIM(C790)&amp;" ")-1),",","."),FIND("/",SUBSTITUTE(LEFT(TRIM(C790),FIND(" ",TRIM(C790)&amp;" ")-1),",","."))+1,9)),IF(ISNUMBER(SEARCH("yea",C790)),IFERROR(_xlfn.NUMBERVALUE(SUBSTITUTE(LEFT(TRIM(C790),FIND(" ",TRIM(C790)&amp;" ")-1),",","."),"."),LEFT(SUBSTITUTE(LEFT(TRIM(C790),FIND(" ",TRIM(C790)&amp;" ")-1),",","."),FIND("/",SUBSTITUTE(LEFT(TRIM(C790),FIND(" ",TRIM(C790)&amp;" ")-1),",","."))-1)/MID(SUBSTITUTE(LEFT(TRIM(C790),FIND(" ",TRIM(C790)&amp;" ")-1),",","."),FIND("/",SUBSTITUTE(LEFT(TRIM(C790),FIND(" ",TRIM(C790)&amp;" ")-1),",","."))+1,9))*12,NA()))),0),36)*'Aturan &amp; Tarif'!$B$4,2)</f>
        <v>2044.08</v>
      </c>
      <c r="K790" s="32" t="n">
        <f aca="false">'Aturan &amp; Tarif'!$B$5</f>
        <v>2050</v>
      </c>
      <c r="L790" s="32" t="n">
        <f aca="false">'Aturan &amp; Tarif'!$B$6</f>
        <v>350</v>
      </c>
      <c r="M790" s="35" t="n">
        <f aca="false">I790+J790+K790+L790</f>
        <v>17064.08</v>
      </c>
      <c r="N790" s="37" t="s">
        <v>2373</v>
      </c>
    </row>
    <row r="791" customFormat="false" ht="14.25" hidden="false" customHeight="true" outlineLevel="0" collapsed="false">
      <c r="A791" s="29" t="s">
        <v>2440</v>
      </c>
      <c r="B791" s="30" t="s">
        <v>2441</v>
      </c>
      <c r="C791" s="31" t="s">
        <v>159</v>
      </c>
      <c r="D791" s="31" t="s">
        <v>108</v>
      </c>
      <c r="E791" s="32" t="n">
        <v>5500</v>
      </c>
      <c r="F791" s="32"/>
      <c r="G791" s="32" t="n">
        <v>300</v>
      </c>
      <c r="H791" s="33" t="n">
        <v>2</v>
      </c>
      <c r="I791" s="34" t="n">
        <f aca="false">E791*H791+N(F791)+N(G791)</f>
        <v>11300</v>
      </c>
      <c r="J791" s="32" t="n">
        <f aca="false">ROUND(IFERROR(ROUND(IF(OR(ISNUMBER(SEARCH("week",C791)),ISNUMBER(SEARCH("minggu",C791))),IFERROR(_xlfn.NUMBERVALUE(SUBSTITUTE(LEFT(TRIM(C791),FIND(" ",TRIM(C791)&amp;" ")-1),",","."),"."),LEFT(SUBSTITUTE(LEFT(TRIM(C791),FIND(" ",TRIM(C791)&amp;" ")-1),",","."),FIND("/",SUBSTITUTE(LEFT(TRIM(C791),FIND(" ",TRIM(C791)&amp;" ")-1),",","."))-1)/MID(SUBSTITUTE(LEFT(TRIM(C791),FIND(" ",TRIM(C791)&amp;" ")-1),",","."),FIND("/",SUBSTITUTE(LEFT(TRIM(C791),FIND(" ",TRIM(C791)&amp;" ")-1),",","."))+1,9))*12/52,IF(ISNUMBER(SEARCH("month",C791)),IFERROR(_xlfn.NUMBERVALUE(SUBSTITUTE(LEFT(TRIM(C791),FIND(" ",TRIM(C791)&amp;" ")-1),",","."),"."),LEFT(SUBSTITUTE(LEFT(TRIM(C791),FIND(" ",TRIM(C791)&amp;" ")-1),",","."),FIND("/",SUBSTITUTE(LEFT(TRIM(C791),FIND(" ",TRIM(C791)&amp;" ")-1),",","."))-1)/MID(SUBSTITUTE(LEFT(TRIM(C791),FIND(" ",TRIM(C791)&amp;" ")-1),",","."),FIND("/",SUBSTITUTE(LEFT(TRIM(C791),FIND(" ",TRIM(C791)&amp;" ")-1),",","."))+1,9)),IF(ISNUMBER(SEARCH("yea",C791)),IFERROR(_xlfn.NUMBERVALUE(SUBSTITUTE(LEFT(TRIM(C791),FIND(" ",TRIM(C791)&amp;" ")-1),",","."),"."),LEFT(SUBSTITUTE(LEFT(TRIM(C791),FIND(" ",TRIM(C791)&amp;" ")-1),",","."),FIND("/",SUBSTITUTE(LEFT(TRIM(C791),FIND(" ",TRIM(C791)&amp;" ")-1),",","."))-1)/MID(SUBSTITUTE(LEFT(TRIM(C791),FIND(" ",TRIM(C791)&amp;" ")-1),",","."),FIND("/",SUBSTITUTE(LEFT(TRIM(C791),FIND(" ",TRIM(C791)&amp;" ")-1),",","."))+1,9))*12,NA()))),0),6)*'Aturan &amp; Tarif'!$B$4,2)</f>
        <v>340.68</v>
      </c>
      <c r="K791" s="32" t="n">
        <f aca="false">'Aturan &amp; Tarif'!$B$5</f>
        <v>2050</v>
      </c>
      <c r="L791" s="32" t="n">
        <f aca="false">'Aturan &amp; Tarif'!$B$6</f>
        <v>350</v>
      </c>
      <c r="M791" s="35" t="n">
        <f aca="false">I791+J791+K791+L791</f>
        <v>14040.68</v>
      </c>
      <c r="N791" s="37" t="s">
        <v>2442</v>
      </c>
    </row>
    <row r="792" customFormat="false" ht="25.5" hidden="false" customHeight="true" outlineLevel="0" collapsed="false">
      <c r="A792" s="29"/>
      <c r="B792" s="30" t="s">
        <v>343</v>
      </c>
      <c r="C792" s="31" t="s">
        <v>159</v>
      </c>
      <c r="D792" s="31" t="s">
        <v>108</v>
      </c>
      <c r="E792" s="32" t="n">
        <v>4500</v>
      </c>
      <c r="F792" s="32"/>
      <c r="G792" s="32" t="n">
        <v>300</v>
      </c>
      <c r="H792" s="33" t="n">
        <v>2</v>
      </c>
      <c r="I792" s="34" t="n">
        <f aca="false">E792*H792+N(F792)+N(G792)</f>
        <v>9300</v>
      </c>
      <c r="J792" s="32" t="n">
        <f aca="false">ROUND(IFERROR(ROUND(IF(OR(ISNUMBER(SEARCH("week",C792)),ISNUMBER(SEARCH("minggu",C792))),IFERROR(_xlfn.NUMBERVALUE(SUBSTITUTE(LEFT(TRIM(C792),FIND(" ",TRIM(C792)&amp;" ")-1),",","."),"."),LEFT(SUBSTITUTE(LEFT(TRIM(C792),FIND(" ",TRIM(C792)&amp;" ")-1),",","."),FIND("/",SUBSTITUTE(LEFT(TRIM(C792),FIND(" ",TRIM(C792)&amp;" ")-1),",","."))-1)/MID(SUBSTITUTE(LEFT(TRIM(C792),FIND(" ",TRIM(C792)&amp;" ")-1),",","."),FIND("/",SUBSTITUTE(LEFT(TRIM(C792),FIND(" ",TRIM(C792)&amp;" ")-1),",","."))+1,9))*12/52,IF(ISNUMBER(SEARCH("month",C792)),IFERROR(_xlfn.NUMBERVALUE(SUBSTITUTE(LEFT(TRIM(C792),FIND(" ",TRIM(C792)&amp;" ")-1),",","."),"."),LEFT(SUBSTITUTE(LEFT(TRIM(C792),FIND(" ",TRIM(C792)&amp;" ")-1),",","."),FIND("/",SUBSTITUTE(LEFT(TRIM(C792),FIND(" ",TRIM(C792)&amp;" ")-1),",","."))-1)/MID(SUBSTITUTE(LEFT(TRIM(C792),FIND(" ",TRIM(C792)&amp;" ")-1),",","."),FIND("/",SUBSTITUTE(LEFT(TRIM(C792),FIND(" ",TRIM(C792)&amp;" ")-1),",","."))+1,9)),IF(ISNUMBER(SEARCH("yea",C792)),IFERROR(_xlfn.NUMBERVALUE(SUBSTITUTE(LEFT(TRIM(C792),FIND(" ",TRIM(C792)&amp;" ")-1),",","."),"."),LEFT(SUBSTITUTE(LEFT(TRIM(C792),FIND(" ",TRIM(C792)&amp;" ")-1),",","."),FIND("/",SUBSTITUTE(LEFT(TRIM(C792),FIND(" ",TRIM(C792)&amp;" ")-1),",","."))-1)/MID(SUBSTITUTE(LEFT(TRIM(C792),FIND(" ",TRIM(C792)&amp;" ")-1),",","."),FIND("/",SUBSTITUTE(LEFT(TRIM(C792),FIND(" ",TRIM(C792)&amp;" ")-1),",","."))+1,9))*12,NA()))),0),6)*'Aturan &amp; Tarif'!$B$4,2)</f>
        <v>340.68</v>
      </c>
      <c r="K792" s="32" t="n">
        <f aca="false">'Aturan &amp; Tarif'!$B$5</f>
        <v>2050</v>
      </c>
      <c r="L792" s="32" t="n">
        <f aca="false">'Aturan &amp; Tarif'!$B$6</f>
        <v>350</v>
      </c>
      <c r="M792" s="35" t="n">
        <f aca="false">I792+J792+K792+L792</f>
        <v>12040.68</v>
      </c>
      <c r="N792" s="37" t="s">
        <v>2442</v>
      </c>
    </row>
    <row r="793" customFormat="false" ht="14.25" hidden="false" customHeight="true" outlineLevel="0" collapsed="false">
      <c r="A793" s="29"/>
      <c r="B793" s="30" t="s">
        <v>2443</v>
      </c>
      <c r="C793" s="31" t="s">
        <v>159</v>
      </c>
      <c r="D793" s="31" t="s">
        <v>108</v>
      </c>
      <c r="E793" s="32" t="n">
        <v>4500</v>
      </c>
      <c r="F793" s="32"/>
      <c r="G793" s="32" t="n">
        <v>300</v>
      </c>
      <c r="H793" s="33" t="n">
        <v>2</v>
      </c>
      <c r="I793" s="34" t="n">
        <f aca="false">E793*H793+N(F793)+N(G793)</f>
        <v>9300</v>
      </c>
      <c r="J793" s="32" t="n">
        <f aca="false">ROUND(IFERROR(ROUND(IF(OR(ISNUMBER(SEARCH("week",C793)),ISNUMBER(SEARCH("minggu",C793))),IFERROR(_xlfn.NUMBERVALUE(SUBSTITUTE(LEFT(TRIM(C793),FIND(" ",TRIM(C793)&amp;" ")-1),",","."),"."),LEFT(SUBSTITUTE(LEFT(TRIM(C793),FIND(" ",TRIM(C793)&amp;" ")-1),",","."),FIND("/",SUBSTITUTE(LEFT(TRIM(C793),FIND(" ",TRIM(C793)&amp;" ")-1),",","."))-1)/MID(SUBSTITUTE(LEFT(TRIM(C793),FIND(" ",TRIM(C793)&amp;" ")-1),",","."),FIND("/",SUBSTITUTE(LEFT(TRIM(C793),FIND(" ",TRIM(C793)&amp;" ")-1),",","."))+1,9))*12/52,IF(ISNUMBER(SEARCH("month",C793)),IFERROR(_xlfn.NUMBERVALUE(SUBSTITUTE(LEFT(TRIM(C793),FIND(" ",TRIM(C793)&amp;" ")-1),",","."),"."),LEFT(SUBSTITUTE(LEFT(TRIM(C793),FIND(" ",TRIM(C793)&amp;" ")-1),",","."),FIND("/",SUBSTITUTE(LEFT(TRIM(C793),FIND(" ",TRIM(C793)&amp;" ")-1),",","."))-1)/MID(SUBSTITUTE(LEFT(TRIM(C793),FIND(" ",TRIM(C793)&amp;" ")-1),",","."),FIND("/",SUBSTITUTE(LEFT(TRIM(C793),FIND(" ",TRIM(C793)&amp;" ")-1),",","."))+1,9)),IF(ISNUMBER(SEARCH("yea",C793)),IFERROR(_xlfn.NUMBERVALUE(SUBSTITUTE(LEFT(TRIM(C793),FIND(" ",TRIM(C793)&amp;" ")-1),",","."),"."),LEFT(SUBSTITUTE(LEFT(TRIM(C793),FIND(" ",TRIM(C793)&amp;" ")-1),",","."),FIND("/",SUBSTITUTE(LEFT(TRIM(C793),FIND(" ",TRIM(C793)&amp;" ")-1),",","."))-1)/MID(SUBSTITUTE(LEFT(TRIM(C793),FIND(" ",TRIM(C793)&amp;" ")-1),",","."),FIND("/",SUBSTITUTE(LEFT(TRIM(C793),FIND(" ",TRIM(C793)&amp;" ")-1),",","."))+1,9))*12,NA()))),0),6)*'Aturan &amp; Tarif'!$B$4,2)</f>
        <v>340.68</v>
      </c>
      <c r="K793" s="32" t="n">
        <f aca="false">'Aturan &amp; Tarif'!$B$5</f>
        <v>2050</v>
      </c>
      <c r="L793" s="32" t="n">
        <f aca="false">'Aturan &amp; Tarif'!$B$6</f>
        <v>350</v>
      </c>
      <c r="M793" s="35" t="n">
        <f aca="false">I793+J793+K793+L793</f>
        <v>12040.68</v>
      </c>
      <c r="N793" s="37" t="s">
        <v>2442</v>
      </c>
    </row>
    <row r="794" customFormat="false" ht="14.25" hidden="false" customHeight="true" outlineLevel="0" collapsed="false">
      <c r="A794" s="29"/>
      <c r="B794" s="30" t="s">
        <v>2444</v>
      </c>
      <c r="C794" s="31" t="s">
        <v>107</v>
      </c>
      <c r="D794" s="31" t="s">
        <v>108</v>
      </c>
      <c r="E794" s="32" t="n">
        <v>5500</v>
      </c>
      <c r="F794" s="32"/>
      <c r="G794" s="32" t="n">
        <v>300</v>
      </c>
      <c r="H794" s="33" t="n">
        <v>2</v>
      </c>
      <c r="I794" s="34" t="n">
        <f aca="false">E794*H794+N(F794)+N(G794)</f>
        <v>11300</v>
      </c>
      <c r="J794" s="32" t="n">
        <f aca="false">ROUND(IFERROR(ROUND(IF(OR(ISNUMBER(SEARCH("week",C794)),ISNUMBER(SEARCH("minggu",C794))),IFERROR(_xlfn.NUMBERVALUE(SUBSTITUTE(LEFT(TRIM(C794),FIND(" ",TRIM(C794)&amp;" ")-1),",","."),"."),LEFT(SUBSTITUTE(LEFT(TRIM(C794),FIND(" ",TRIM(C794)&amp;" ")-1),",","."),FIND("/",SUBSTITUTE(LEFT(TRIM(C794),FIND(" ",TRIM(C794)&amp;" ")-1),",","."))-1)/MID(SUBSTITUTE(LEFT(TRIM(C794),FIND(" ",TRIM(C794)&amp;" ")-1),",","."),FIND("/",SUBSTITUTE(LEFT(TRIM(C794),FIND(" ",TRIM(C794)&amp;" ")-1),",","."))+1,9))*12/52,IF(ISNUMBER(SEARCH("month",C794)),IFERROR(_xlfn.NUMBERVALUE(SUBSTITUTE(LEFT(TRIM(C794),FIND(" ",TRIM(C794)&amp;" ")-1),",","."),"."),LEFT(SUBSTITUTE(LEFT(TRIM(C794),FIND(" ",TRIM(C794)&amp;" ")-1),",","."),FIND("/",SUBSTITUTE(LEFT(TRIM(C794),FIND(" ",TRIM(C794)&amp;" ")-1),",","."))-1)/MID(SUBSTITUTE(LEFT(TRIM(C794),FIND(" ",TRIM(C794)&amp;" ")-1),",","."),FIND("/",SUBSTITUTE(LEFT(TRIM(C794),FIND(" ",TRIM(C794)&amp;" ")-1),",","."))+1,9)),IF(ISNUMBER(SEARCH("yea",C794)),IFERROR(_xlfn.NUMBERVALUE(SUBSTITUTE(LEFT(TRIM(C794),FIND(" ",TRIM(C794)&amp;" ")-1),",","."),"."),LEFT(SUBSTITUTE(LEFT(TRIM(C794),FIND(" ",TRIM(C794)&amp;" ")-1),",","."),FIND("/",SUBSTITUTE(LEFT(TRIM(C794),FIND(" ",TRIM(C794)&amp;" ")-1),",","."))-1)/MID(SUBSTITUTE(LEFT(TRIM(C794),FIND(" ",TRIM(C794)&amp;" ")-1),",","."),FIND("/",SUBSTITUTE(LEFT(TRIM(C794),FIND(" ",TRIM(C794)&amp;" ")-1),",","."))+1,9))*12,NA()))),0),24)*'Aturan &amp; Tarif'!$B$4,2)</f>
        <v>1362.72</v>
      </c>
      <c r="K794" s="32" t="n">
        <f aca="false">'Aturan &amp; Tarif'!$B$5</f>
        <v>2050</v>
      </c>
      <c r="L794" s="32" t="n">
        <f aca="false">'Aturan &amp; Tarif'!$B$6</f>
        <v>350</v>
      </c>
      <c r="M794" s="35" t="n">
        <f aca="false">I794+J794+K794+L794</f>
        <v>15062.72</v>
      </c>
      <c r="N794" s="37" t="s">
        <v>2442</v>
      </c>
    </row>
    <row r="795" customFormat="false" ht="37.5" hidden="false" customHeight="true" outlineLevel="0" collapsed="false">
      <c r="A795" s="29"/>
      <c r="B795" s="30" t="s">
        <v>870</v>
      </c>
      <c r="C795" s="31" t="s">
        <v>107</v>
      </c>
      <c r="D795" s="31" t="s">
        <v>108</v>
      </c>
      <c r="E795" s="32" t="n">
        <v>4500</v>
      </c>
      <c r="F795" s="32"/>
      <c r="G795" s="32" t="n">
        <v>300</v>
      </c>
      <c r="H795" s="33" t="n">
        <v>2</v>
      </c>
      <c r="I795" s="34" t="n">
        <f aca="false">E795*H795+N(F795)+N(G795)</f>
        <v>9300</v>
      </c>
      <c r="J795" s="32" t="n">
        <f aca="false">ROUND(IFERROR(ROUND(IF(OR(ISNUMBER(SEARCH("week",C795)),ISNUMBER(SEARCH("minggu",C795))),IFERROR(_xlfn.NUMBERVALUE(SUBSTITUTE(LEFT(TRIM(C795),FIND(" ",TRIM(C795)&amp;" ")-1),",","."),"."),LEFT(SUBSTITUTE(LEFT(TRIM(C795),FIND(" ",TRIM(C795)&amp;" ")-1),",","."),FIND("/",SUBSTITUTE(LEFT(TRIM(C795),FIND(" ",TRIM(C795)&amp;" ")-1),",","."))-1)/MID(SUBSTITUTE(LEFT(TRIM(C795),FIND(" ",TRIM(C795)&amp;" ")-1),",","."),FIND("/",SUBSTITUTE(LEFT(TRIM(C795),FIND(" ",TRIM(C795)&amp;" ")-1),",","."))+1,9))*12/52,IF(ISNUMBER(SEARCH("month",C795)),IFERROR(_xlfn.NUMBERVALUE(SUBSTITUTE(LEFT(TRIM(C795),FIND(" ",TRIM(C795)&amp;" ")-1),",","."),"."),LEFT(SUBSTITUTE(LEFT(TRIM(C795),FIND(" ",TRIM(C795)&amp;" ")-1),",","."),FIND("/",SUBSTITUTE(LEFT(TRIM(C795),FIND(" ",TRIM(C795)&amp;" ")-1),",","."))-1)/MID(SUBSTITUTE(LEFT(TRIM(C795),FIND(" ",TRIM(C795)&amp;" ")-1),",","."),FIND("/",SUBSTITUTE(LEFT(TRIM(C795),FIND(" ",TRIM(C795)&amp;" ")-1),",","."))+1,9)),IF(ISNUMBER(SEARCH("yea",C795)),IFERROR(_xlfn.NUMBERVALUE(SUBSTITUTE(LEFT(TRIM(C795),FIND(" ",TRIM(C795)&amp;" ")-1),",","."),"."),LEFT(SUBSTITUTE(LEFT(TRIM(C795),FIND(" ",TRIM(C795)&amp;" ")-1),",","."),FIND("/",SUBSTITUTE(LEFT(TRIM(C795),FIND(" ",TRIM(C795)&amp;" ")-1),",","."))-1)/MID(SUBSTITUTE(LEFT(TRIM(C795),FIND(" ",TRIM(C795)&amp;" ")-1),",","."),FIND("/",SUBSTITUTE(LEFT(TRIM(C795),FIND(" ",TRIM(C795)&amp;" ")-1),",","."))+1,9))*12,NA()))),0),24)*'Aturan &amp; Tarif'!$B$4,2)</f>
        <v>1362.72</v>
      </c>
      <c r="K795" s="32" t="n">
        <f aca="false">'Aturan &amp; Tarif'!$B$5</f>
        <v>2050</v>
      </c>
      <c r="L795" s="32" t="n">
        <f aca="false">'Aturan &amp; Tarif'!$B$6</f>
        <v>350</v>
      </c>
      <c r="M795" s="35" t="n">
        <f aca="false">I795+J795+K795+L795</f>
        <v>13062.72</v>
      </c>
      <c r="N795" s="37" t="s">
        <v>2442</v>
      </c>
    </row>
    <row r="796" customFormat="false" ht="25.5" hidden="false" customHeight="true" outlineLevel="0" collapsed="false">
      <c r="A796" s="29"/>
      <c r="B796" s="30" t="s">
        <v>2445</v>
      </c>
      <c r="C796" s="31" t="s">
        <v>113</v>
      </c>
      <c r="D796" s="31" t="s">
        <v>108</v>
      </c>
      <c r="E796" s="32" t="n">
        <v>4500</v>
      </c>
      <c r="F796" s="32"/>
      <c r="G796" s="32" t="n">
        <v>300</v>
      </c>
      <c r="H796" s="33" t="n">
        <v>2</v>
      </c>
      <c r="I796" s="34" t="n">
        <f aca="false">E796*H796+N(F796)+N(G796)</f>
        <v>9300</v>
      </c>
      <c r="J796" s="32" t="n">
        <f aca="false">ROUND(IFERROR(ROUND(IF(OR(ISNUMBER(SEARCH("week",C796)),ISNUMBER(SEARCH("minggu",C796))),IFERROR(_xlfn.NUMBERVALUE(SUBSTITUTE(LEFT(TRIM(C796),FIND(" ",TRIM(C796)&amp;" ")-1),",","."),"."),LEFT(SUBSTITUTE(LEFT(TRIM(C796),FIND(" ",TRIM(C796)&amp;" ")-1),",","."),FIND("/",SUBSTITUTE(LEFT(TRIM(C796),FIND(" ",TRIM(C796)&amp;" ")-1),",","."))-1)/MID(SUBSTITUTE(LEFT(TRIM(C796),FIND(" ",TRIM(C796)&amp;" ")-1),",","."),FIND("/",SUBSTITUTE(LEFT(TRIM(C796),FIND(" ",TRIM(C796)&amp;" ")-1),",","."))+1,9))*12/52,IF(ISNUMBER(SEARCH("month",C796)),IFERROR(_xlfn.NUMBERVALUE(SUBSTITUTE(LEFT(TRIM(C796),FIND(" ",TRIM(C796)&amp;" ")-1),",","."),"."),LEFT(SUBSTITUTE(LEFT(TRIM(C796),FIND(" ",TRIM(C796)&amp;" ")-1),",","."),FIND("/",SUBSTITUTE(LEFT(TRIM(C796),FIND(" ",TRIM(C796)&amp;" ")-1),",","."))-1)/MID(SUBSTITUTE(LEFT(TRIM(C796),FIND(" ",TRIM(C796)&amp;" ")-1),",","."),FIND("/",SUBSTITUTE(LEFT(TRIM(C796),FIND(" ",TRIM(C796)&amp;" ")-1),",","."))+1,9)),IF(ISNUMBER(SEARCH("yea",C796)),IFERROR(_xlfn.NUMBERVALUE(SUBSTITUTE(LEFT(TRIM(C796),FIND(" ",TRIM(C796)&amp;" ")-1),",","."),"."),LEFT(SUBSTITUTE(LEFT(TRIM(C796),FIND(" ",TRIM(C796)&amp;" ")-1),",","."),FIND("/",SUBSTITUTE(LEFT(TRIM(C796),FIND(" ",TRIM(C796)&amp;" ")-1),",","."))-1)/MID(SUBSTITUTE(LEFT(TRIM(C796),FIND(" ",TRIM(C796)&amp;" ")-1),",","."),FIND("/",SUBSTITUTE(LEFT(TRIM(C796),FIND(" ",TRIM(C796)&amp;" ")-1),",","."))+1,9))*12,NA()))),0),18)*'Aturan &amp; Tarif'!$B$4,2)</f>
        <v>1022.04</v>
      </c>
      <c r="K796" s="32" t="n">
        <f aca="false">'Aturan &amp; Tarif'!$B$5</f>
        <v>2050</v>
      </c>
      <c r="L796" s="32" t="n">
        <f aca="false">'Aturan &amp; Tarif'!$B$6</f>
        <v>350</v>
      </c>
      <c r="M796" s="35" t="n">
        <f aca="false">I796+J796+K796+L796</f>
        <v>12722.04</v>
      </c>
      <c r="N796" s="37" t="s">
        <v>2442</v>
      </c>
    </row>
    <row r="797" customFormat="false" ht="48.75" hidden="false" customHeight="true" outlineLevel="0" collapsed="false">
      <c r="A797" s="29"/>
      <c r="B797" s="30" t="s">
        <v>2446</v>
      </c>
      <c r="C797" s="31" t="s">
        <v>107</v>
      </c>
      <c r="D797" s="31" t="s">
        <v>108</v>
      </c>
      <c r="E797" s="32" t="n">
        <v>4500</v>
      </c>
      <c r="F797" s="32"/>
      <c r="G797" s="32" t="n">
        <v>300</v>
      </c>
      <c r="H797" s="33" t="n">
        <v>2</v>
      </c>
      <c r="I797" s="34" t="n">
        <f aca="false">E797*H797+N(F797)+N(G797)</f>
        <v>9300</v>
      </c>
      <c r="J797" s="32" t="n">
        <f aca="false">ROUND(IFERROR(ROUND(IF(OR(ISNUMBER(SEARCH("week",C797)),ISNUMBER(SEARCH("minggu",C797))),IFERROR(_xlfn.NUMBERVALUE(SUBSTITUTE(LEFT(TRIM(C797),FIND(" ",TRIM(C797)&amp;" ")-1),",","."),"."),LEFT(SUBSTITUTE(LEFT(TRIM(C797),FIND(" ",TRIM(C797)&amp;" ")-1),",","."),FIND("/",SUBSTITUTE(LEFT(TRIM(C797),FIND(" ",TRIM(C797)&amp;" ")-1),",","."))-1)/MID(SUBSTITUTE(LEFT(TRIM(C797),FIND(" ",TRIM(C797)&amp;" ")-1),",","."),FIND("/",SUBSTITUTE(LEFT(TRIM(C797),FIND(" ",TRIM(C797)&amp;" ")-1),",","."))+1,9))*12/52,IF(ISNUMBER(SEARCH("month",C797)),IFERROR(_xlfn.NUMBERVALUE(SUBSTITUTE(LEFT(TRIM(C797),FIND(" ",TRIM(C797)&amp;" ")-1),",","."),"."),LEFT(SUBSTITUTE(LEFT(TRIM(C797),FIND(" ",TRIM(C797)&amp;" ")-1),",","."),FIND("/",SUBSTITUTE(LEFT(TRIM(C797),FIND(" ",TRIM(C797)&amp;" ")-1),",","."))-1)/MID(SUBSTITUTE(LEFT(TRIM(C797),FIND(" ",TRIM(C797)&amp;" ")-1),",","."),FIND("/",SUBSTITUTE(LEFT(TRIM(C797),FIND(" ",TRIM(C797)&amp;" ")-1),",","."))+1,9)),IF(ISNUMBER(SEARCH("yea",C797)),IFERROR(_xlfn.NUMBERVALUE(SUBSTITUTE(LEFT(TRIM(C797),FIND(" ",TRIM(C797)&amp;" ")-1),",","."),"."),LEFT(SUBSTITUTE(LEFT(TRIM(C797),FIND(" ",TRIM(C797)&amp;" ")-1),",","."),FIND("/",SUBSTITUTE(LEFT(TRIM(C797),FIND(" ",TRIM(C797)&amp;" ")-1),",","."))-1)/MID(SUBSTITUTE(LEFT(TRIM(C797),FIND(" ",TRIM(C797)&amp;" ")-1),",","."),FIND("/",SUBSTITUTE(LEFT(TRIM(C797),FIND(" ",TRIM(C797)&amp;" ")-1),",","."))+1,9))*12,NA()))),0),24)*'Aturan &amp; Tarif'!$B$4,2)</f>
        <v>1362.72</v>
      </c>
      <c r="K797" s="32" t="n">
        <f aca="false">'Aturan &amp; Tarif'!$B$5</f>
        <v>2050</v>
      </c>
      <c r="L797" s="32" t="n">
        <f aca="false">'Aturan &amp; Tarif'!$B$6</f>
        <v>350</v>
      </c>
      <c r="M797" s="35" t="n">
        <f aca="false">I797+J797+K797+L797</f>
        <v>13062.72</v>
      </c>
      <c r="N797" s="37" t="s">
        <v>2442</v>
      </c>
    </row>
    <row r="798" customFormat="false" ht="48.75" hidden="false" customHeight="true" outlineLevel="0" collapsed="false">
      <c r="A798" s="29"/>
      <c r="B798" s="30" t="s">
        <v>2234</v>
      </c>
      <c r="C798" s="31" t="s">
        <v>127</v>
      </c>
      <c r="D798" s="31" t="s">
        <v>108</v>
      </c>
      <c r="E798" s="32" t="n">
        <v>4300</v>
      </c>
      <c r="F798" s="32"/>
      <c r="G798" s="32" t="n">
        <v>300</v>
      </c>
      <c r="H798" s="33" t="n">
        <v>2</v>
      </c>
      <c r="I798" s="34" t="n">
        <f aca="false">E798*H798+N(F798)+N(G798)</f>
        <v>8900</v>
      </c>
      <c r="J798" s="32" t="n">
        <f aca="false">ROUND(IFERROR(ROUND(IF(OR(ISNUMBER(SEARCH("week",C798)),ISNUMBER(SEARCH("minggu",C798))),IFERROR(_xlfn.NUMBERVALUE(SUBSTITUTE(LEFT(TRIM(C798),FIND(" ",TRIM(C798)&amp;" ")-1),",","."),"."),LEFT(SUBSTITUTE(LEFT(TRIM(C798),FIND(" ",TRIM(C798)&amp;" ")-1),",","."),FIND("/",SUBSTITUTE(LEFT(TRIM(C798),FIND(" ",TRIM(C798)&amp;" ")-1),",","."))-1)/MID(SUBSTITUTE(LEFT(TRIM(C798),FIND(" ",TRIM(C798)&amp;" ")-1),",","."),FIND("/",SUBSTITUTE(LEFT(TRIM(C798),FIND(" ",TRIM(C798)&amp;" ")-1),",","."))+1,9))*12/52,IF(ISNUMBER(SEARCH("month",C798)),IFERROR(_xlfn.NUMBERVALUE(SUBSTITUTE(LEFT(TRIM(C798),FIND(" ",TRIM(C798)&amp;" ")-1),",","."),"."),LEFT(SUBSTITUTE(LEFT(TRIM(C798),FIND(" ",TRIM(C798)&amp;" ")-1),",","."),FIND("/",SUBSTITUTE(LEFT(TRIM(C798),FIND(" ",TRIM(C798)&amp;" ")-1),",","."))-1)/MID(SUBSTITUTE(LEFT(TRIM(C798),FIND(" ",TRIM(C798)&amp;" ")-1),",","."),FIND("/",SUBSTITUTE(LEFT(TRIM(C798),FIND(" ",TRIM(C798)&amp;" ")-1),",","."))+1,9)),IF(ISNUMBER(SEARCH("yea",C798)),IFERROR(_xlfn.NUMBERVALUE(SUBSTITUTE(LEFT(TRIM(C798),FIND(" ",TRIM(C798)&amp;" ")-1),",","."),"."),LEFT(SUBSTITUTE(LEFT(TRIM(C798),FIND(" ",TRIM(C798)&amp;" ")-1),",","."),FIND("/",SUBSTITUTE(LEFT(TRIM(C798),FIND(" ",TRIM(C798)&amp;" ")-1),",","."))-1)/MID(SUBSTITUTE(LEFT(TRIM(C798),FIND(" ",TRIM(C798)&amp;" ")-1),",","."),FIND("/",SUBSTITUTE(LEFT(TRIM(C798),FIND(" ",TRIM(C798)&amp;" ")-1),",","."))+1,9))*12,NA()))),0),36)*'Aturan &amp; Tarif'!$B$4,2)</f>
        <v>2044.08</v>
      </c>
      <c r="K798" s="32" t="n">
        <f aca="false">'Aturan &amp; Tarif'!$B$5</f>
        <v>2050</v>
      </c>
      <c r="L798" s="32" t="n">
        <f aca="false">'Aturan &amp; Tarif'!$B$6</f>
        <v>350</v>
      </c>
      <c r="M798" s="35" t="n">
        <f aca="false">I798+J798+K798+L798</f>
        <v>13344.08</v>
      </c>
      <c r="N798" s="37" t="s">
        <v>2442</v>
      </c>
    </row>
    <row r="799" customFormat="false" ht="25.5" hidden="false" customHeight="true" outlineLevel="0" collapsed="false">
      <c r="A799" s="29"/>
      <c r="B799" s="30" t="s">
        <v>2447</v>
      </c>
      <c r="C799" s="31" t="s">
        <v>127</v>
      </c>
      <c r="D799" s="31" t="s">
        <v>108</v>
      </c>
      <c r="E799" s="32" t="n">
        <v>4300</v>
      </c>
      <c r="F799" s="32"/>
      <c r="G799" s="32" t="n">
        <v>300</v>
      </c>
      <c r="H799" s="33" t="n">
        <v>2</v>
      </c>
      <c r="I799" s="34" t="n">
        <f aca="false">E799*H799+N(F799)+N(G799)</f>
        <v>8900</v>
      </c>
      <c r="J799" s="32" t="n">
        <f aca="false">ROUND(IFERROR(ROUND(IF(OR(ISNUMBER(SEARCH("week",C799)),ISNUMBER(SEARCH("minggu",C799))),IFERROR(_xlfn.NUMBERVALUE(SUBSTITUTE(LEFT(TRIM(C799),FIND(" ",TRIM(C799)&amp;" ")-1),",","."),"."),LEFT(SUBSTITUTE(LEFT(TRIM(C799),FIND(" ",TRIM(C799)&amp;" ")-1),",","."),FIND("/",SUBSTITUTE(LEFT(TRIM(C799),FIND(" ",TRIM(C799)&amp;" ")-1),",","."))-1)/MID(SUBSTITUTE(LEFT(TRIM(C799),FIND(" ",TRIM(C799)&amp;" ")-1),",","."),FIND("/",SUBSTITUTE(LEFT(TRIM(C799),FIND(" ",TRIM(C799)&amp;" ")-1),",","."))+1,9))*12/52,IF(ISNUMBER(SEARCH("month",C799)),IFERROR(_xlfn.NUMBERVALUE(SUBSTITUTE(LEFT(TRIM(C799),FIND(" ",TRIM(C799)&amp;" ")-1),",","."),"."),LEFT(SUBSTITUTE(LEFT(TRIM(C799),FIND(" ",TRIM(C799)&amp;" ")-1),",","."),FIND("/",SUBSTITUTE(LEFT(TRIM(C799),FIND(" ",TRIM(C799)&amp;" ")-1),",","."))-1)/MID(SUBSTITUTE(LEFT(TRIM(C799),FIND(" ",TRIM(C799)&amp;" ")-1),",","."),FIND("/",SUBSTITUTE(LEFT(TRIM(C799),FIND(" ",TRIM(C799)&amp;" ")-1),",","."))+1,9)),IF(ISNUMBER(SEARCH("yea",C799)),IFERROR(_xlfn.NUMBERVALUE(SUBSTITUTE(LEFT(TRIM(C799),FIND(" ",TRIM(C799)&amp;" ")-1),",","."),"."),LEFT(SUBSTITUTE(LEFT(TRIM(C799),FIND(" ",TRIM(C799)&amp;" ")-1),",","."),FIND("/",SUBSTITUTE(LEFT(TRIM(C799),FIND(" ",TRIM(C799)&amp;" ")-1),",","."))-1)/MID(SUBSTITUTE(LEFT(TRIM(C799),FIND(" ",TRIM(C799)&amp;" ")-1),",","."),FIND("/",SUBSTITUTE(LEFT(TRIM(C799),FIND(" ",TRIM(C799)&amp;" ")-1),",","."))+1,9))*12,NA()))),0),36)*'Aturan &amp; Tarif'!$B$4,2)</f>
        <v>2044.08</v>
      </c>
      <c r="K799" s="32" t="n">
        <f aca="false">'Aturan &amp; Tarif'!$B$5</f>
        <v>2050</v>
      </c>
      <c r="L799" s="32" t="n">
        <f aca="false">'Aturan &amp; Tarif'!$B$6</f>
        <v>350</v>
      </c>
      <c r="M799" s="35" t="n">
        <f aca="false">I799+J799+K799+L799</f>
        <v>13344.08</v>
      </c>
      <c r="N799" s="37" t="s">
        <v>2442</v>
      </c>
    </row>
    <row r="800" customFormat="false" ht="25.5" hidden="false" customHeight="true" outlineLevel="0" collapsed="false">
      <c r="A800" s="29" t="s">
        <v>2448</v>
      </c>
      <c r="B800" s="30" t="s">
        <v>1978</v>
      </c>
      <c r="C800" s="31" t="s">
        <v>138</v>
      </c>
      <c r="D800" s="31" t="s">
        <v>108</v>
      </c>
      <c r="E800" s="32" t="n">
        <v>2000</v>
      </c>
      <c r="F800" s="32" t="n">
        <v>200</v>
      </c>
      <c r="G800" s="32" t="n">
        <v>250</v>
      </c>
      <c r="H800" s="33" t="n">
        <v>1</v>
      </c>
      <c r="I800" s="34" t="n">
        <f aca="false">E800*H800+N(F800)+N(G800)</f>
        <v>2450</v>
      </c>
      <c r="J800" s="32" t="n">
        <f aca="false">ROUND(IFERROR(ROUND(IF(OR(ISNUMBER(SEARCH("week",C800)),ISNUMBER(SEARCH("minggu",C800))),IFERROR(_xlfn.NUMBERVALUE(SUBSTITUTE(LEFT(TRIM(C800),FIND(" ",TRIM(C800)&amp;" ")-1),",","."),"."),LEFT(SUBSTITUTE(LEFT(TRIM(C800),FIND(" ",TRIM(C800)&amp;" ")-1),",","."),FIND("/",SUBSTITUTE(LEFT(TRIM(C800),FIND(" ",TRIM(C800)&amp;" ")-1),",","."))-1)/MID(SUBSTITUTE(LEFT(TRIM(C800),FIND(" ",TRIM(C800)&amp;" ")-1),",","."),FIND("/",SUBSTITUTE(LEFT(TRIM(C800),FIND(" ",TRIM(C800)&amp;" ")-1),",","."))+1,9))*12/52,IF(ISNUMBER(SEARCH("month",C800)),IFERROR(_xlfn.NUMBERVALUE(SUBSTITUTE(LEFT(TRIM(C800),FIND(" ",TRIM(C800)&amp;" ")-1),",","."),"."),LEFT(SUBSTITUTE(LEFT(TRIM(C800),FIND(" ",TRIM(C800)&amp;" ")-1),",","."),FIND("/",SUBSTITUTE(LEFT(TRIM(C800),FIND(" ",TRIM(C800)&amp;" ")-1),",","."))-1)/MID(SUBSTITUTE(LEFT(TRIM(C800),FIND(" ",TRIM(C800)&amp;" ")-1),",","."),FIND("/",SUBSTITUTE(LEFT(TRIM(C800),FIND(" ",TRIM(C800)&amp;" ")-1),",","."))+1,9)),IF(ISNUMBER(SEARCH("yea",C800)),IFERROR(_xlfn.NUMBERVALUE(SUBSTITUTE(LEFT(TRIM(C800),FIND(" ",TRIM(C800)&amp;" ")-1),",","."),"."),LEFT(SUBSTITUTE(LEFT(TRIM(C800),FIND(" ",TRIM(C800)&amp;" ")-1),",","."),FIND("/",SUBSTITUTE(LEFT(TRIM(C800),FIND(" ",TRIM(C800)&amp;" ")-1),",","."))-1)/MID(SUBSTITUTE(LEFT(TRIM(C800),FIND(" ",TRIM(C800)&amp;" ")-1),",","."),FIND("/",SUBSTITUTE(LEFT(TRIM(C800),FIND(" ",TRIM(C800)&amp;" ")-1),",","."))+1,9))*12,NA()))),0),30)*'Aturan &amp; Tarif'!$B$4,2)</f>
        <v>1703.4</v>
      </c>
      <c r="K800" s="32" t="n">
        <f aca="false">'Aturan &amp; Tarif'!$B$5</f>
        <v>2050</v>
      </c>
      <c r="L800" s="32" t="n">
        <f aca="false">'Aturan &amp; Tarif'!$B$6</f>
        <v>350</v>
      </c>
      <c r="M800" s="35" t="n">
        <f aca="false">I800+J800+K800+L800</f>
        <v>6553.4</v>
      </c>
      <c r="N800" s="37" t="s">
        <v>134</v>
      </c>
    </row>
    <row r="801" customFormat="false" ht="37.5" hidden="false" customHeight="true" outlineLevel="0" collapsed="false">
      <c r="A801" s="29"/>
      <c r="B801" s="30" t="s">
        <v>2449</v>
      </c>
      <c r="C801" s="31" t="s">
        <v>107</v>
      </c>
      <c r="D801" s="31" t="s">
        <v>108</v>
      </c>
      <c r="E801" s="32" t="n">
        <v>1500</v>
      </c>
      <c r="F801" s="32" t="n">
        <v>50</v>
      </c>
      <c r="G801" s="32" t="n">
        <v>250</v>
      </c>
      <c r="H801" s="33" t="n">
        <v>1</v>
      </c>
      <c r="I801" s="34" t="n">
        <f aca="false">E801*H801+N(F801)+N(G801)</f>
        <v>1800</v>
      </c>
      <c r="J801" s="32" t="n">
        <f aca="false">ROUND(IFERROR(ROUND(IF(OR(ISNUMBER(SEARCH("week",C801)),ISNUMBER(SEARCH("minggu",C801))),IFERROR(_xlfn.NUMBERVALUE(SUBSTITUTE(LEFT(TRIM(C801),FIND(" ",TRIM(C801)&amp;" ")-1),",","."),"."),LEFT(SUBSTITUTE(LEFT(TRIM(C801),FIND(" ",TRIM(C801)&amp;" ")-1),",","."),FIND("/",SUBSTITUTE(LEFT(TRIM(C801),FIND(" ",TRIM(C801)&amp;" ")-1),",","."))-1)/MID(SUBSTITUTE(LEFT(TRIM(C801),FIND(" ",TRIM(C801)&amp;" ")-1),",","."),FIND("/",SUBSTITUTE(LEFT(TRIM(C801),FIND(" ",TRIM(C801)&amp;" ")-1),",","."))+1,9))*12/52,IF(ISNUMBER(SEARCH("month",C801)),IFERROR(_xlfn.NUMBERVALUE(SUBSTITUTE(LEFT(TRIM(C801),FIND(" ",TRIM(C801)&amp;" ")-1),",","."),"."),LEFT(SUBSTITUTE(LEFT(TRIM(C801),FIND(" ",TRIM(C801)&amp;" ")-1),",","."),FIND("/",SUBSTITUTE(LEFT(TRIM(C801),FIND(" ",TRIM(C801)&amp;" ")-1),",","."))-1)/MID(SUBSTITUTE(LEFT(TRIM(C801),FIND(" ",TRIM(C801)&amp;" ")-1),",","."),FIND("/",SUBSTITUTE(LEFT(TRIM(C801),FIND(" ",TRIM(C801)&amp;" ")-1),",","."))+1,9)),IF(ISNUMBER(SEARCH("yea",C801)),IFERROR(_xlfn.NUMBERVALUE(SUBSTITUTE(LEFT(TRIM(C801),FIND(" ",TRIM(C801)&amp;" ")-1),",","."),"."),LEFT(SUBSTITUTE(LEFT(TRIM(C801),FIND(" ",TRIM(C801)&amp;" ")-1),",","."),FIND("/",SUBSTITUTE(LEFT(TRIM(C801),FIND(" ",TRIM(C801)&amp;" ")-1),",","."))-1)/MID(SUBSTITUTE(LEFT(TRIM(C801),FIND(" ",TRIM(C801)&amp;" ")-1),",","."),FIND("/",SUBSTITUTE(LEFT(TRIM(C801),FIND(" ",TRIM(C801)&amp;" ")-1),",","."))+1,9))*12,NA()))),0),24)*'Aturan &amp; Tarif'!$B$4,2)</f>
        <v>1362.72</v>
      </c>
      <c r="K801" s="32" t="n">
        <f aca="false">'Aturan &amp; Tarif'!$B$5</f>
        <v>2050</v>
      </c>
      <c r="L801" s="32" t="n">
        <f aca="false">'Aturan &amp; Tarif'!$B$6</f>
        <v>350</v>
      </c>
      <c r="M801" s="35" t="n">
        <f aca="false">I801+J801+K801+L801</f>
        <v>5562.72</v>
      </c>
      <c r="N801" s="37" t="s">
        <v>134</v>
      </c>
    </row>
    <row r="802" customFormat="false" ht="14.25" hidden="false" customHeight="true" outlineLevel="0" collapsed="false">
      <c r="A802" s="29"/>
      <c r="B802" s="30" t="s">
        <v>2023</v>
      </c>
      <c r="C802" s="31" t="s">
        <v>127</v>
      </c>
      <c r="D802" s="31" t="s">
        <v>108</v>
      </c>
      <c r="E802" s="32" t="n">
        <v>1500</v>
      </c>
      <c r="F802" s="32" t="n">
        <v>50</v>
      </c>
      <c r="G802" s="32" t="n">
        <v>250</v>
      </c>
      <c r="H802" s="33" t="n">
        <v>1</v>
      </c>
      <c r="I802" s="34" t="n">
        <f aca="false">E802*H802+N(F802)+N(G802)</f>
        <v>1800</v>
      </c>
      <c r="J802" s="32" t="n">
        <f aca="false">ROUND(IFERROR(ROUND(IF(OR(ISNUMBER(SEARCH("week",C802)),ISNUMBER(SEARCH("minggu",C802))),IFERROR(_xlfn.NUMBERVALUE(SUBSTITUTE(LEFT(TRIM(C802),FIND(" ",TRIM(C802)&amp;" ")-1),",","."),"."),LEFT(SUBSTITUTE(LEFT(TRIM(C802),FIND(" ",TRIM(C802)&amp;" ")-1),",","."),FIND("/",SUBSTITUTE(LEFT(TRIM(C802),FIND(" ",TRIM(C802)&amp;" ")-1),",","."))-1)/MID(SUBSTITUTE(LEFT(TRIM(C802),FIND(" ",TRIM(C802)&amp;" ")-1),",","."),FIND("/",SUBSTITUTE(LEFT(TRIM(C802),FIND(" ",TRIM(C802)&amp;" ")-1),",","."))+1,9))*12/52,IF(ISNUMBER(SEARCH("month",C802)),IFERROR(_xlfn.NUMBERVALUE(SUBSTITUTE(LEFT(TRIM(C802),FIND(" ",TRIM(C802)&amp;" ")-1),",","."),"."),LEFT(SUBSTITUTE(LEFT(TRIM(C802),FIND(" ",TRIM(C802)&amp;" ")-1),",","."),FIND("/",SUBSTITUTE(LEFT(TRIM(C802),FIND(" ",TRIM(C802)&amp;" ")-1),",","."))-1)/MID(SUBSTITUTE(LEFT(TRIM(C802),FIND(" ",TRIM(C802)&amp;" ")-1),",","."),FIND("/",SUBSTITUTE(LEFT(TRIM(C802),FIND(" ",TRIM(C802)&amp;" ")-1),",","."))+1,9)),IF(ISNUMBER(SEARCH("yea",C802)),IFERROR(_xlfn.NUMBERVALUE(SUBSTITUTE(LEFT(TRIM(C802),FIND(" ",TRIM(C802)&amp;" ")-1),",","."),"."),LEFT(SUBSTITUTE(LEFT(TRIM(C802),FIND(" ",TRIM(C802)&amp;" ")-1),",","."),FIND("/",SUBSTITUTE(LEFT(TRIM(C802),FIND(" ",TRIM(C802)&amp;" ")-1),",","."))-1)/MID(SUBSTITUTE(LEFT(TRIM(C802),FIND(" ",TRIM(C802)&amp;" ")-1),",","."),FIND("/",SUBSTITUTE(LEFT(TRIM(C802),FIND(" ",TRIM(C802)&amp;" ")-1),",","."))+1,9))*12,NA()))),0),36)*'Aturan &amp; Tarif'!$B$4,2)</f>
        <v>2044.08</v>
      </c>
      <c r="K802" s="32" t="n">
        <f aca="false">'Aturan &amp; Tarif'!$B$5</f>
        <v>2050</v>
      </c>
      <c r="L802" s="32" t="n">
        <f aca="false">'Aturan &amp; Tarif'!$B$6</f>
        <v>350</v>
      </c>
      <c r="M802" s="35" t="n">
        <f aca="false">I802+J802+K802+L802</f>
        <v>6244.08</v>
      </c>
      <c r="N802" s="37" t="s">
        <v>134</v>
      </c>
    </row>
    <row r="803" customFormat="false" ht="48.75" hidden="false" customHeight="true" outlineLevel="0" collapsed="false">
      <c r="A803" s="29"/>
      <c r="B803" s="30" t="s">
        <v>2450</v>
      </c>
      <c r="C803" s="31" t="s">
        <v>130</v>
      </c>
      <c r="D803" s="31" t="s">
        <v>108</v>
      </c>
      <c r="E803" s="32" t="n">
        <v>2000</v>
      </c>
      <c r="F803" s="32" t="n">
        <v>50</v>
      </c>
      <c r="G803" s="32" t="n">
        <v>250</v>
      </c>
      <c r="H803" s="33" t="n">
        <v>1</v>
      </c>
      <c r="I803" s="34" t="n">
        <f aca="false">E803*H803+N(F803)+N(G803)</f>
        <v>2300</v>
      </c>
      <c r="J803" s="32" t="n">
        <f aca="false">ROUND(IFERROR(ROUND(IF(OR(ISNUMBER(SEARCH("week",C803)),ISNUMBER(SEARCH("minggu",C803))),IFERROR(_xlfn.NUMBERVALUE(SUBSTITUTE(LEFT(TRIM(C803),FIND(" ",TRIM(C803)&amp;" ")-1),",","."),"."),LEFT(SUBSTITUTE(LEFT(TRIM(C803),FIND(" ",TRIM(C803)&amp;" ")-1),",","."),FIND("/",SUBSTITUTE(LEFT(TRIM(C803),FIND(" ",TRIM(C803)&amp;" ")-1),",","."))-1)/MID(SUBSTITUTE(LEFT(TRIM(C803),FIND(" ",TRIM(C803)&amp;" ")-1),",","."),FIND("/",SUBSTITUTE(LEFT(TRIM(C803),FIND(" ",TRIM(C803)&amp;" ")-1),",","."))+1,9))*12/52,IF(ISNUMBER(SEARCH("month",C803)),IFERROR(_xlfn.NUMBERVALUE(SUBSTITUTE(LEFT(TRIM(C803),FIND(" ",TRIM(C803)&amp;" ")-1),",","."),"."),LEFT(SUBSTITUTE(LEFT(TRIM(C803),FIND(" ",TRIM(C803)&amp;" ")-1),",","."),FIND("/",SUBSTITUTE(LEFT(TRIM(C803),FIND(" ",TRIM(C803)&amp;" ")-1),",","."))-1)/MID(SUBSTITUTE(LEFT(TRIM(C803),FIND(" ",TRIM(C803)&amp;" ")-1),",","."),FIND("/",SUBSTITUTE(LEFT(TRIM(C803),FIND(" ",TRIM(C803)&amp;" ")-1),",","."))+1,9)),IF(ISNUMBER(SEARCH("yea",C803)),IFERROR(_xlfn.NUMBERVALUE(SUBSTITUTE(LEFT(TRIM(C803),FIND(" ",TRIM(C803)&amp;" ")-1),",","."),"."),LEFT(SUBSTITUTE(LEFT(TRIM(C803),FIND(" ",TRIM(C803)&amp;" ")-1),",","."),FIND("/",SUBSTITUTE(LEFT(TRIM(C803),FIND(" ",TRIM(C803)&amp;" ")-1),",","."))-1)/MID(SUBSTITUTE(LEFT(TRIM(C803),FIND(" ",TRIM(C803)&amp;" ")-1),",","."),FIND("/",SUBSTITUTE(LEFT(TRIM(C803),FIND(" ",TRIM(C803)&amp;" ")-1),",","."))+1,9))*12,NA()))),0),12)*'Aturan &amp; Tarif'!$B$4,2)</f>
        <v>681.36</v>
      </c>
      <c r="K803" s="32" t="n">
        <f aca="false">'Aturan &amp; Tarif'!$B$5</f>
        <v>2050</v>
      </c>
      <c r="L803" s="32" t="n">
        <f aca="false">'Aturan &amp; Tarif'!$B$6</f>
        <v>350</v>
      </c>
      <c r="M803" s="35" t="n">
        <f aca="false">I803+J803+K803+L803</f>
        <v>5381.36</v>
      </c>
      <c r="N803" s="36" t="s">
        <v>1905</v>
      </c>
    </row>
    <row r="804" customFormat="false" ht="25.5" hidden="false" customHeight="true" outlineLevel="0" collapsed="false">
      <c r="A804" s="29"/>
      <c r="B804" s="30" t="s">
        <v>2451</v>
      </c>
      <c r="C804" s="31" t="s">
        <v>113</v>
      </c>
      <c r="D804" s="31" t="s">
        <v>108</v>
      </c>
      <c r="E804" s="32" t="n">
        <v>2000</v>
      </c>
      <c r="F804" s="32" t="n">
        <v>200</v>
      </c>
      <c r="G804" s="32" t="n">
        <v>250</v>
      </c>
      <c r="H804" s="33" t="n">
        <v>1</v>
      </c>
      <c r="I804" s="34" t="n">
        <f aca="false">E804*H804+N(F804)+N(G804)</f>
        <v>2450</v>
      </c>
      <c r="J804" s="32" t="n">
        <f aca="false">ROUND(IFERROR(ROUND(IF(OR(ISNUMBER(SEARCH("week",C804)),ISNUMBER(SEARCH("minggu",C804))),IFERROR(_xlfn.NUMBERVALUE(SUBSTITUTE(LEFT(TRIM(C804),FIND(" ",TRIM(C804)&amp;" ")-1),",","."),"."),LEFT(SUBSTITUTE(LEFT(TRIM(C804),FIND(" ",TRIM(C804)&amp;" ")-1),",","."),FIND("/",SUBSTITUTE(LEFT(TRIM(C804),FIND(" ",TRIM(C804)&amp;" ")-1),",","."))-1)/MID(SUBSTITUTE(LEFT(TRIM(C804),FIND(" ",TRIM(C804)&amp;" ")-1),",","."),FIND("/",SUBSTITUTE(LEFT(TRIM(C804),FIND(" ",TRIM(C804)&amp;" ")-1),",","."))+1,9))*12/52,IF(ISNUMBER(SEARCH("month",C804)),IFERROR(_xlfn.NUMBERVALUE(SUBSTITUTE(LEFT(TRIM(C804),FIND(" ",TRIM(C804)&amp;" ")-1),",","."),"."),LEFT(SUBSTITUTE(LEFT(TRIM(C804),FIND(" ",TRIM(C804)&amp;" ")-1),",","."),FIND("/",SUBSTITUTE(LEFT(TRIM(C804),FIND(" ",TRIM(C804)&amp;" ")-1),",","."))-1)/MID(SUBSTITUTE(LEFT(TRIM(C804),FIND(" ",TRIM(C804)&amp;" ")-1),",","."),FIND("/",SUBSTITUTE(LEFT(TRIM(C804),FIND(" ",TRIM(C804)&amp;" ")-1),",","."))+1,9)),IF(ISNUMBER(SEARCH("yea",C804)),IFERROR(_xlfn.NUMBERVALUE(SUBSTITUTE(LEFT(TRIM(C804),FIND(" ",TRIM(C804)&amp;" ")-1),",","."),"."),LEFT(SUBSTITUTE(LEFT(TRIM(C804),FIND(" ",TRIM(C804)&amp;" ")-1),",","."),FIND("/",SUBSTITUTE(LEFT(TRIM(C804),FIND(" ",TRIM(C804)&amp;" ")-1),",","."))-1)/MID(SUBSTITUTE(LEFT(TRIM(C804),FIND(" ",TRIM(C804)&amp;" ")-1),",","."),FIND("/",SUBSTITUTE(LEFT(TRIM(C804),FIND(" ",TRIM(C804)&amp;" ")-1),",","."))+1,9))*12,NA()))),0),18)*'Aturan &amp; Tarif'!$B$4,2)</f>
        <v>1022.04</v>
      </c>
      <c r="K804" s="32" t="n">
        <f aca="false">'Aturan &amp; Tarif'!$B$5</f>
        <v>2050</v>
      </c>
      <c r="L804" s="32" t="n">
        <f aca="false">'Aturan &amp; Tarif'!$B$6</f>
        <v>350</v>
      </c>
      <c r="M804" s="35" t="n">
        <f aca="false">I804+J804+K804+L804</f>
        <v>5872.04</v>
      </c>
      <c r="N804" s="37" t="s">
        <v>134</v>
      </c>
    </row>
    <row r="805" customFormat="false" ht="25.5" hidden="false" customHeight="true" outlineLevel="0" collapsed="false">
      <c r="A805" s="29"/>
      <c r="B805" s="30" t="s">
        <v>2452</v>
      </c>
      <c r="C805" s="31" t="s">
        <v>138</v>
      </c>
      <c r="D805" s="31" t="s">
        <v>108</v>
      </c>
      <c r="E805" s="32" t="n">
        <v>2000</v>
      </c>
      <c r="F805" s="32" t="n">
        <v>200</v>
      </c>
      <c r="G805" s="32" t="n">
        <v>250</v>
      </c>
      <c r="H805" s="33" t="n">
        <v>1</v>
      </c>
      <c r="I805" s="34" t="n">
        <f aca="false">E805*H805+N(F805)+N(G805)</f>
        <v>2450</v>
      </c>
      <c r="J805" s="32" t="n">
        <f aca="false">ROUND(IFERROR(ROUND(IF(OR(ISNUMBER(SEARCH("week",C805)),ISNUMBER(SEARCH("minggu",C805))),IFERROR(_xlfn.NUMBERVALUE(SUBSTITUTE(LEFT(TRIM(C805),FIND(" ",TRIM(C805)&amp;" ")-1),",","."),"."),LEFT(SUBSTITUTE(LEFT(TRIM(C805),FIND(" ",TRIM(C805)&amp;" ")-1),",","."),FIND("/",SUBSTITUTE(LEFT(TRIM(C805),FIND(" ",TRIM(C805)&amp;" ")-1),",","."))-1)/MID(SUBSTITUTE(LEFT(TRIM(C805),FIND(" ",TRIM(C805)&amp;" ")-1),",","."),FIND("/",SUBSTITUTE(LEFT(TRIM(C805),FIND(" ",TRIM(C805)&amp;" ")-1),",","."))+1,9))*12/52,IF(ISNUMBER(SEARCH("month",C805)),IFERROR(_xlfn.NUMBERVALUE(SUBSTITUTE(LEFT(TRIM(C805),FIND(" ",TRIM(C805)&amp;" ")-1),",","."),"."),LEFT(SUBSTITUTE(LEFT(TRIM(C805),FIND(" ",TRIM(C805)&amp;" ")-1),",","."),FIND("/",SUBSTITUTE(LEFT(TRIM(C805),FIND(" ",TRIM(C805)&amp;" ")-1),",","."))-1)/MID(SUBSTITUTE(LEFT(TRIM(C805),FIND(" ",TRIM(C805)&amp;" ")-1),",","."),FIND("/",SUBSTITUTE(LEFT(TRIM(C805),FIND(" ",TRIM(C805)&amp;" ")-1),",","."))+1,9)),IF(ISNUMBER(SEARCH("yea",C805)),IFERROR(_xlfn.NUMBERVALUE(SUBSTITUTE(LEFT(TRIM(C805),FIND(" ",TRIM(C805)&amp;" ")-1),",","."),"."),LEFT(SUBSTITUTE(LEFT(TRIM(C805),FIND(" ",TRIM(C805)&amp;" ")-1),",","."),FIND("/",SUBSTITUTE(LEFT(TRIM(C805),FIND(" ",TRIM(C805)&amp;" ")-1),",","."))-1)/MID(SUBSTITUTE(LEFT(TRIM(C805),FIND(" ",TRIM(C805)&amp;" ")-1),",","."),FIND("/",SUBSTITUTE(LEFT(TRIM(C805),FIND(" ",TRIM(C805)&amp;" ")-1),",","."))+1,9))*12,NA()))),0),30)*'Aturan &amp; Tarif'!$B$4,2)</f>
        <v>1703.4</v>
      </c>
      <c r="K805" s="32" t="n">
        <f aca="false">'Aturan &amp; Tarif'!$B$5</f>
        <v>2050</v>
      </c>
      <c r="L805" s="32" t="n">
        <f aca="false">'Aturan &amp; Tarif'!$B$6</f>
        <v>350</v>
      </c>
      <c r="M805" s="35" t="n">
        <f aca="false">I805+J805+K805+L805</f>
        <v>6553.4</v>
      </c>
      <c r="N805" s="37" t="s">
        <v>134</v>
      </c>
    </row>
    <row r="806" customFormat="false" ht="25.5" hidden="false" customHeight="true" outlineLevel="0" collapsed="false">
      <c r="A806" s="29"/>
      <c r="B806" s="30" t="s">
        <v>2062</v>
      </c>
      <c r="C806" s="31" t="s">
        <v>107</v>
      </c>
      <c r="D806" s="31" t="s">
        <v>108</v>
      </c>
      <c r="E806" s="32" t="n">
        <v>1500</v>
      </c>
      <c r="F806" s="32" t="n">
        <v>50</v>
      </c>
      <c r="G806" s="32" t="n">
        <v>250</v>
      </c>
      <c r="H806" s="33" t="n">
        <v>1</v>
      </c>
      <c r="I806" s="34" t="n">
        <f aca="false">E806*H806+N(F806)+N(G806)</f>
        <v>1800</v>
      </c>
      <c r="J806" s="32" t="n">
        <f aca="false">ROUND(IFERROR(ROUND(IF(OR(ISNUMBER(SEARCH("week",C806)),ISNUMBER(SEARCH("minggu",C806))),IFERROR(_xlfn.NUMBERVALUE(SUBSTITUTE(LEFT(TRIM(C806),FIND(" ",TRIM(C806)&amp;" ")-1),",","."),"."),LEFT(SUBSTITUTE(LEFT(TRIM(C806),FIND(" ",TRIM(C806)&amp;" ")-1),",","."),FIND("/",SUBSTITUTE(LEFT(TRIM(C806),FIND(" ",TRIM(C806)&amp;" ")-1),",","."))-1)/MID(SUBSTITUTE(LEFT(TRIM(C806),FIND(" ",TRIM(C806)&amp;" ")-1),",","."),FIND("/",SUBSTITUTE(LEFT(TRIM(C806),FIND(" ",TRIM(C806)&amp;" ")-1),",","."))+1,9))*12/52,IF(ISNUMBER(SEARCH("month",C806)),IFERROR(_xlfn.NUMBERVALUE(SUBSTITUTE(LEFT(TRIM(C806),FIND(" ",TRIM(C806)&amp;" ")-1),",","."),"."),LEFT(SUBSTITUTE(LEFT(TRIM(C806),FIND(" ",TRIM(C806)&amp;" ")-1),",","."),FIND("/",SUBSTITUTE(LEFT(TRIM(C806),FIND(" ",TRIM(C806)&amp;" ")-1),",","."))-1)/MID(SUBSTITUTE(LEFT(TRIM(C806),FIND(" ",TRIM(C806)&amp;" ")-1),",","."),FIND("/",SUBSTITUTE(LEFT(TRIM(C806),FIND(" ",TRIM(C806)&amp;" ")-1),",","."))+1,9)),IF(ISNUMBER(SEARCH("yea",C806)),IFERROR(_xlfn.NUMBERVALUE(SUBSTITUTE(LEFT(TRIM(C806),FIND(" ",TRIM(C806)&amp;" ")-1),",","."),"."),LEFT(SUBSTITUTE(LEFT(TRIM(C806),FIND(" ",TRIM(C806)&amp;" ")-1),",","."),FIND("/",SUBSTITUTE(LEFT(TRIM(C806),FIND(" ",TRIM(C806)&amp;" ")-1),",","."))-1)/MID(SUBSTITUTE(LEFT(TRIM(C806),FIND(" ",TRIM(C806)&amp;" ")-1),",","."),FIND("/",SUBSTITUTE(LEFT(TRIM(C806),FIND(" ",TRIM(C806)&amp;" ")-1),",","."))+1,9))*12,NA()))),0),24)*'Aturan &amp; Tarif'!$B$4,2)</f>
        <v>1362.72</v>
      </c>
      <c r="K806" s="32" t="n">
        <f aca="false">'Aturan &amp; Tarif'!$B$5</f>
        <v>2050</v>
      </c>
      <c r="L806" s="32" t="n">
        <f aca="false">'Aturan &amp; Tarif'!$B$6</f>
        <v>350</v>
      </c>
      <c r="M806" s="35" t="n">
        <f aca="false">I806+J806+K806+L806</f>
        <v>5562.72</v>
      </c>
      <c r="N806" s="37" t="s">
        <v>134</v>
      </c>
    </row>
    <row r="807" customFormat="false" ht="83.25" hidden="false" customHeight="true" outlineLevel="0" collapsed="false">
      <c r="A807" s="29" t="s">
        <v>2453</v>
      </c>
      <c r="B807" s="30" t="s">
        <v>2454</v>
      </c>
      <c r="C807" s="31" t="s">
        <v>138</v>
      </c>
      <c r="D807" s="31" t="s">
        <v>108</v>
      </c>
      <c r="E807" s="32" t="n">
        <v>1500</v>
      </c>
      <c r="F807" s="32" t="n">
        <v>50</v>
      </c>
      <c r="G807" s="32" t="n">
        <v>250</v>
      </c>
      <c r="H807" s="33" t="n">
        <v>1</v>
      </c>
      <c r="I807" s="34" t="n">
        <f aca="false">E807*H807+N(F807)+N(G807)</f>
        <v>1800</v>
      </c>
      <c r="J807" s="32" t="n">
        <f aca="false">ROUND(IFERROR(ROUND(IF(OR(ISNUMBER(SEARCH("week",C807)),ISNUMBER(SEARCH("minggu",C807))),IFERROR(_xlfn.NUMBERVALUE(SUBSTITUTE(LEFT(TRIM(C807),FIND(" ",TRIM(C807)&amp;" ")-1),",","."),"."),LEFT(SUBSTITUTE(LEFT(TRIM(C807),FIND(" ",TRIM(C807)&amp;" ")-1),",","."),FIND("/",SUBSTITUTE(LEFT(TRIM(C807),FIND(" ",TRIM(C807)&amp;" ")-1),",","."))-1)/MID(SUBSTITUTE(LEFT(TRIM(C807),FIND(" ",TRIM(C807)&amp;" ")-1),",","."),FIND("/",SUBSTITUTE(LEFT(TRIM(C807),FIND(" ",TRIM(C807)&amp;" ")-1),",","."))+1,9))*12/52,IF(ISNUMBER(SEARCH("month",C807)),IFERROR(_xlfn.NUMBERVALUE(SUBSTITUTE(LEFT(TRIM(C807),FIND(" ",TRIM(C807)&amp;" ")-1),",","."),"."),LEFT(SUBSTITUTE(LEFT(TRIM(C807),FIND(" ",TRIM(C807)&amp;" ")-1),",","."),FIND("/",SUBSTITUTE(LEFT(TRIM(C807),FIND(" ",TRIM(C807)&amp;" ")-1),",","."))-1)/MID(SUBSTITUTE(LEFT(TRIM(C807),FIND(" ",TRIM(C807)&amp;" ")-1),",","."),FIND("/",SUBSTITUTE(LEFT(TRIM(C807),FIND(" ",TRIM(C807)&amp;" ")-1),",","."))+1,9)),IF(ISNUMBER(SEARCH("yea",C807)),IFERROR(_xlfn.NUMBERVALUE(SUBSTITUTE(LEFT(TRIM(C807),FIND(" ",TRIM(C807)&amp;" ")-1),",","."),"."),LEFT(SUBSTITUTE(LEFT(TRIM(C807),FIND(" ",TRIM(C807)&amp;" ")-1),",","."),FIND("/",SUBSTITUTE(LEFT(TRIM(C807),FIND(" ",TRIM(C807)&amp;" ")-1),",","."))-1)/MID(SUBSTITUTE(LEFT(TRIM(C807),FIND(" ",TRIM(C807)&amp;" ")-1),",","."),FIND("/",SUBSTITUTE(LEFT(TRIM(C807),FIND(" ",TRIM(C807)&amp;" ")-1),",","."))+1,9))*12,NA()))),0),30)*'Aturan &amp; Tarif'!$B$4,2)</f>
        <v>1703.4</v>
      </c>
      <c r="K807" s="32" t="n">
        <f aca="false">'Aturan &amp; Tarif'!$B$5</f>
        <v>2050</v>
      </c>
      <c r="L807" s="32" t="n">
        <f aca="false">'Aturan &amp; Tarif'!$B$6</f>
        <v>350</v>
      </c>
      <c r="M807" s="35" t="n">
        <f aca="false">I807+J807+K807+L807</f>
        <v>5903.4</v>
      </c>
      <c r="N807" s="37" t="s">
        <v>134</v>
      </c>
    </row>
    <row r="808" customFormat="false" ht="14.25" hidden="false" customHeight="true" outlineLevel="0" collapsed="false">
      <c r="A808" s="29"/>
      <c r="B808" s="30" t="s">
        <v>2059</v>
      </c>
      <c r="C808" s="31" t="s">
        <v>107</v>
      </c>
      <c r="D808" s="31" t="s">
        <v>108</v>
      </c>
      <c r="E808" s="32" t="n">
        <v>1500</v>
      </c>
      <c r="F808" s="32" t="n">
        <v>50</v>
      </c>
      <c r="G808" s="32" t="n">
        <v>250</v>
      </c>
      <c r="H808" s="33" t="n">
        <v>1</v>
      </c>
      <c r="I808" s="34" t="n">
        <f aca="false">E808*H808+N(F808)+N(G808)</f>
        <v>1800</v>
      </c>
      <c r="J808" s="32" t="n">
        <f aca="false">ROUND(IFERROR(ROUND(IF(OR(ISNUMBER(SEARCH("week",C808)),ISNUMBER(SEARCH("minggu",C808))),IFERROR(_xlfn.NUMBERVALUE(SUBSTITUTE(LEFT(TRIM(C808),FIND(" ",TRIM(C808)&amp;" ")-1),",","."),"."),LEFT(SUBSTITUTE(LEFT(TRIM(C808),FIND(" ",TRIM(C808)&amp;" ")-1),",","."),FIND("/",SUBSTITUTE(LEFT(TRIM(C808),FIND(" ",TRIM(C808)&amp;" ")-1),",","."))-1)/MID(SUBSTITUTE(LEFT(TRIM(C808),FIND(" ",TRIM(C808)&amp;" ")-1),",","."),FIND("/",SUBSTITUTE(LEFT(TRIM(C808),FIND(" ",TRIM(C808)&amp;" ")-1),",","."))+1,9))*12/52,IF(ISNUMBER(SEARCH("month",C808)),IFERROR(_xlfn.NUMBERVALUE(SUBSTITUTE(LEFT(TRIM(C808),FIND(" ",TRIM(C808)&amp;" ")-1),",","."),"."),LEFT(SUBSTITUTE(LEFT(TRIM(C808),FIND(" ",TRIM(C808)&amp;" ")-1),",","."),FIND("/",SUBSTITUTE(LEFT(TRIM(C808),FIND(" ",TRIM(C808)&amp;" ")-1),",","."))-1)/MID(SUBSTITUTE(LEFT(TRIM(C808),FIND(" ",TRIM(C808)&amp;" ")-1),",","."),FIND("/",SUBSTITUTE(LEFT(TRIM(C808),FIND(" ",TRIM(C808)&amp;" ")-1),",","."))+1,9)),IF(ISNUMBER(SEARCH("yea",C808)),IFERROR(_xlfn.NUMBERVALUE(SUBSTITUTE(LEFT(TRIM(C808),FIND(" ",TRIM(C808)&amp;" ")-1),",","."),"."),LEFT(SUBSTITUTE(LEFT(TRIM(C808),FIND(" ",TRIM(C808)&amp;" ")-1),",","."),FIND("/",SUBSTITUTE(LEFT(TRIM(C808),FIND(" ",TRIM(C808)&amp;" ")-1),",","."))-1)/MID(SUBSTITUTE(LEFT(TRIM(C808),FIND(" ",TRIM(C808)&amp;" ")-1),",","."),FIND("/",SUBSTITUTE(LEFT(TRIM(C808),FIND(" ",TRIM(C808)&amp;" ")-1),",","."))+1,9))*12,NA()))),0),24)*'Aturan &amp; Tarif'!$B$4,2)</f>
        <v>1362.72</v>
      </c>
      <c r="K808" s="32" t="n">
        <f aca="false">'Aturan &amp; Tarif'!$B$5</f>
        <v>2050</v>
      </c>
      <c r="L808" s="32" t="n">
        <f aca="false">'Aturan &amp; Tarif'!$B$6</f>
        <v>350</v>
      </c>
      <c r="M808" s="35" t="n">
        <f aca="false">I808+J808+K808+L808</f>
        <v>5562.72</v>
      </c>
      <c r="N808" s="37" t="s">
        <v>134</v>
      </c>
    </row>
    <row r="809" customFormat="false" ht="25.5" hidden="false" customHeight="true" outlineLevel="0" collapsed="false">
      <c r="A809" s="29"/>
      <c r="B809" s="30" t="s">
        <v>2455</v>
      </c>
      <c r="C809" s="31" t="s">
        <v>136</v>
      </c>
      <c r="D809" s="31" t="s">
        <v>108</v>
      </c>
      <c r="E809" s="32" t="n">
        <v>1500</v>
      </c>
      <c r="F809" s="32" t="n">
        <v>50</v>
      </c>
      <c r="G809" s="32" t="n">
        <v>250</v>
      </c>
      <c r="H809" s="33" t="n">
        <v>1</v>
      </c>
      <c r="I809" s="34" t="n">
        <f aca="false">E809*H809+N(F809)+N(G809)</f>
        <v>1800</v>
      </c>
      <c r="J809" s="32" t="n">
        <f aca="false">ROUND(IFERROR(ROUND(IF(OR(ISNUMBER(SEARCH("week",C809)),ISNUMBER(SEARCH("minggu",C809))),IFERROR(_xlfn.NUMBERVALUE(SUBSTITUTE(LEFT(TRIM(C809),FIND(" ",TRIM(C809)&amp;" ")-1),",","."),"."),LEFT(SUBSTITUTE(LEFT(TRIM(C809),FIND(" ",TRIM(C809)&amp;" ")-1),",","."),FIND("/",SUBSTITUTE(LEFT(TRIM(C809),FIND(" ",TRIM(C809)&amp;" ")-1),",","."))-1)/MID(SUBSTITUTE(LEFT(TRIM(C809),FIND(" ",TRIM(C809)&amp;" ")-1),",","."),FIND("/",SUBSTITUTE(LEFT(TRIM(C809),FIND(" ",TRIM(C809)&amp;" ")-1),",","."))+1,9))*12/52,IF(ISNUMBER(SEARCH("month",C809)),IFERROR(_xlfn.NUMBERVALUE(SUBSTITUTE(LEFT(TRIM(C809),FIND(" ",TRIM(C809)&amp;" ")-1),",","."),"."),LEFT(SUBSTITUTE(LEFT(TRIM(C809),FIND(" ",TRIM(C809)&amp;" ")-1),",","."),FIND("/",SUBSTITUTE(LEFT(TRIM(C809),FIND(" ",TRIM(C809)&amp;" ")-1),",","."))-1)/MID(SUBSTITUTE(LEFT(TRIM(C809),FIND(" ",TRIM(C809)&amp;" ")-1),",","."),FIND("/",SUBSTITUTE(LEFT(TRIM(C809),FIND(" ",TRIM(C809)&amp;" ")-1),",","."))+1,9)),IF(ISNUMBER(SEARCH("yea",C809)),IFERROR(_xlfn.NUMBERVALUE(SUBSTITUTE(LEFT(TRIM(C809),FIND(" ",TRIM(C809)&amp;" ")-1),",","."),"."),LEFT(SUBSTITUTE(LEFT(TRIM(C809),FIND(" ",TRIM(C809)&amp;" ")-1),",","."),FIND("/",SUBSTITUTE(LEFT(TRIM(C809),FIND(" ",TRIM(C809)&amp;" ")-1),",","."))-1)/MID(SUBSTITUTE(LEFT(TRIM(C809),FIND(" ",TRIM(C809)&amp;" ")-1),",","."),FIND("/",SUBSTITUTE(LEFT(TRIM(C809),FIND(" ",TRIM(C809)&amp;" ")-1),",","."))+1,9))*12,NA()))),0),42)*'Aturan &amp; Tarif'!$B$4,2)</f>
        <v>2384.76</v>
      </c>
      <c r="K809" s="32" t="n">
        <f aca="false">'Aturan &amp; Tarif'!$B$5</f>
        <v>2050</v>
      </c>
      <c r="L809" s="32" t="n">
        <f aca="false">'Aturan &amp; Tarif'!$B$6</f>
        <v>350</v>
      </c>
      <c r="M809" s="35" t="n">
        <f aca="false">I809+J809+K809+L809</f>
        <v>6584.76</v>
      </c>
      <c r="N809" s="37" t="s">
        <v>134</v>
      </c>
    </row>
    <row r="810" customFormat="false" ht="25.5" hidden="false" customHeight="true" outlineLevel="0" collapsed="false">
      <c r="A810" s="29"/>
      <c r="B810" s="30" t="s">
        <v>430</v>
      </c>
      <c r="C810" s="31" t="s">
        <v>127</v>
      </c>
      <c r="D810" s="31" t="s">
        <v>108</v>
      </c>
      <c r="E810" s="32" t="n">
        <v>1500</v>
      </c>
      <c r="F810" s="32" t="n">
        <v>50</v>
      </c>
      <c r="G810" s="32" t="n">
        <v>250</v>
      </c>
      <c r="H810" s="33" t="n">
        <v>1</v>
      </c>
      <c r="I810" s="34" t="n">
        <f aca="false">E810*H810+N(F810)+N(G810)</f>
        <v>1800</v>
      </c>
      <c r="J810" s="32" t="n">
        <f aca="false">ROUND(IFERROR(ROUND(IF(OR(ISNUMBER(SEARCH("week",C810)),ISNUMBER(SEARCH("minggu",C810))),IFERROR(_xlfn.NUMBERVALUE(SUBSTITUTE(LEFT(TRIM(C810),FIND(" ",TRIM(C810)&amp;" ")-1),",","."),"."),LEFT(SUBSTITUTE(LEFT(TRIM(C810),FIND(" ",TRIM(C810)&amp;" ")-1),",","."),FIND("/",SUBSTITUTE(LEFT(TRIM(C810),FIND(" ",TRIM(C810)&amp;" ")-1),",","."))-1)/MID(SUBSTITUTE(LEFT(TRIM(C810),FIND(" ",TRIM(C810)&amp;" ")-1),",","."),FIND("/",SUBSTITUTE(LEFT(TRIM(C810),FIND(" ",TRIM(C810)&amp;" ")-1),",","."))+1,9))*12/52,IF(ISNUMBER(SEARCH("month",C810)),IFERROR(_xlfn.NUMBERVALUE(SUBSTITUTE(LEFT(TRIM(C810),FIND(" ",TRIM(C810)&amp;" ")-1),",","."),"."),LEFT(SUBSTITUTE(LEFT(TRIM(C810),FIND(" ",TRIM(C810)&amp;" ")-1),",","."),FIND("/",SUBSTITUTE(LEFT(TRIM(C810),FIND(" ",TRIM(C810)&amp;" ")-1),",","."))-1)/MID(SUBSTITUTE(LEFT(TRIM(C810),FIND(" ",TRIM(C810)&amp;" ")-1),",","."),FIND("/",SUBSTITUTE(LEFT(TRIM(C810),FIND(" ",TRIM(C810)&amp;" ")-1),",","."))+1,9)),IF(ISNUMBER(SEARCH("yea",C810)),IFERROR(_xlfn.NUMBERVALUE(SUBSTITUTE(LEFT(TRIM(C810),FIND(" ",TRIM(C810)&amp;" ")-1),",","."),"."),LEFT(SUBSTITUTE(LEFT(TRIM(C810),FIND(" ",TRIM(C810)&amp;" ")-1),",","."),FIND("/",SUBSTITUTE(LEFT(TRIM(C810),FIND(" ",TRIM(C810)&amp;" ")-1),",","."))-1)/MID(SUBSTITUTE(LEFT(TRIM(C810),FIND(" ",TRIM(C810)&amp;" ")-1),",","."),FIND("/",SUBSTITUTE(LEFT(TRIM(C810),FIND(" ",TRIM(C810)&amp;" ")-1),",","."))+1,9))*12,NA()))),0),36)*'Aturan &amp; Tarif'!$B$4,2)</f>
        <v>2044.08</v>
      </c>
      <c r="K810" s="32" t="n">
        <f aca="false">'Aturan &amp; Tarif'!$B$5</f>
        <v>2050</v>
      </c>
      <c r="L810" s="32" t="n">
        <f aca="false">'Aturan &amp; Tarif'!$B$6</f>
        <v>350</v>
      </c>
      <c r="M810" s="35" t="n">
        <f aca="false">I810+J810+K810+L810</f>
        <v>6244.08</v>
      </c>
      <c r="N810" s="37" t="s">
        <v>134</v>
      </c>
    </row>
    <row r="811" customFormat="false" ht="25.5" hidden="false" customHeight="true" outlineLevel="0" collapsed="false">
      <c r="A811" s="29"/>
      <c r="B811" s="30" t="s">
        <v>148</v>
      </c>
      <c r="C811" s="31" t="s">
        <v>127</v>
      </c>
      <c r="D811" s="31" t="s">
        <v>108</v>
      </c>
      <c r="E811" s="32" t="n">
        <v>2250</v>
      </c>
      <c r="F811" s="32" t="n">
        <v>1500</v>
      </c>
      <c r="G811" s="32" t="n">
        <v>250</v>
      </c>
      <c r="H811" s="33" t="n">
        <v>1</v>
      </c>
      <c r="I811" s="34" t="n">
        <f aca="false">E811*H811+N(F811)+N(G811)</f>
        <v>4000</v>
      </c>
      <c r="J811" s="32" t="n">
        <f aca="false">ROUND(IFERROR(ROUND(IF(OR(ISNUMBER(SEARCH("week",C811)),ISNUMBER(SEARCH("minggu",C811))),IFERROR(_xlfn.NUMBERVALUE(SUBSTITUTE(LEFT(TRIM(C811),FIND(" ",TRIM(C811)&amp;" ")-1),",","."),"."),LEFT(SUBSTITUTE(LEFT(TRIM(C811),FIND(" ",TRIM(C811)&amp;" ")-1),",","."),FIND("/",SUBSTITUTE(LEFT(TRIM(C811),FIND(" ",TRIM(C811)&amp;" ")-1),",","."))-1)/MID(SUBSTITUTE(LEFT(TRIM(C811),FIND(" ",TRIM(C811)&amp;" ")-1),",","."),FIND("/",SUBSTITUTE(LEFT(TRIM(C811),FIND(" ",TRIM(C811)&amp;" ")-1),",","."))+1,9))*12/52,IF(ISNUMBER(SEARCH("month",C811)),IFERROR(_xlfn.NUMBERVALUE(SUBSTITUTE(LEFT(TRIM(C811),FIND(" ",TRIM(C811)&amp;" ")-1),",","."),"."),LEFT(SUBSTITUTE(LEFT(TRIM(C811),FIND(" ",TRIM(C811)&amp;" ")-1),",","."),FIND("/",SUBSTITUTE(LEFT(TRIM(C811),FIND(" ",TRIM(C811)&amp;" ")-1),",","."))-1)/MID(SUBSTITUTE(LEFT(TRIM(C811),FIND(" ",TRIM(C811)&amp;" ")-1),",","."),FIND("/",SUBSTITUTE(LEFT(TRIM(C811),FIND(" ",TRIM(C811)&amp;" ")-1),",","."))+1,9)),IF(ISNUMBER(SEARCH("yea",C811)),IFERROR(_xlfn.NUMBERVALUE(SUBSTITUTE(LEFT(TRIM(C811),FIND(" ",TRIM(C811)&amp;" ")-1),",","."),"."),LEFT(SUBSTITUTE(LEFT(TRIM(C811),FIND(" ",TRIM(C811)&amp;" ")-1),",","."),FIND("/",SUBSTITUTE(LEFT(TRIM(C811),FIND(" ",TRIM(C811)&amp;" ")-1),",","."))-1)/MID(SUBSTITUTE(LEFT(TRIM(C811),FIND(" ",TRIM(C811)&amp;" ")-1),",","."),FIND("/",SUBSTITUTE(LEFT(TRIM(C811),FIND(" ",TRIM(C811)&amp;" ")-1),",","."))+1,9))*12,NA()))),0),36)*'Aturan &amp; Tarif'!$B$4,2)</f>
        <v>2044.08</v>
      </c>
      <c r="K811" s="32" t="n">
        <f aca="false">'Aturan &amp; Tarif'!$B$5</f>
        <v>2050</v>
      </c>
      <c r="L811" s="32" t="n">
        <f aca="false">'Aturan &amp; Tarif'!$B$6</f>
        <v>350</v>
      </c>
      <c r="M811" s="35" t="n">
        <f aca="false">I811+J811+K811+L811</f>
        <v>8444.08</v>
      </c>
      <c r="N811" s="37" t="s">
        <v>134</v>
      </c>
    </row>
    <row r="812" customFormat="false" ht="25.5" hidden="false" customHeight="true" outlineLevel="0" collapsed="false">
      <c r="A812" s="29"/>
      <c r="B812" s="30" t="s">
        <v>806</v>
      </c>
      <c r="C812" s="31" t="s">
        <v>245</v>
      </c>
      <c r="D812" s="31" t="s">
        <v>108</v>
      </c>
      <c r="E812" s="32" t="n">
        <v>2250</v>
      </c>
      <c r="F812" s="32" t="n">
        <v>1500</v>
      </c>
      <c r="G812" s="32" t="n">
        <v>250</v>
      </c>
      <c r="H812" s="33" t="n">
        <v>1</v>
      </c>
      <c r="I812" s="34" t="n">
        <f aca="false">E812*H812+N(F812)+N(G812)</f>
        <v>4000</v>
      </c>
      <c r="J812" s="32" t="n">
        <f aca="false">ROUND(IFERROR(ROUND(IF(OR(ISNUMBER(SEARCH("week",C812)),ISNUMBER(SEARCH("minggu",C812))),IFERROR(_xlfn.NUMBERVALUE(SUBSTITUTE(LEFT(TRIM(C812),FIND(" ",TRIM(C812)&amp;" ")-1),",","."),"."),LEFT(SUBSTITUTE(LEFT(TRIM(C812),FIND(" ",TRIM(C812)&amp;" ")-1),",","."),FIND("/",SUBSTITUTE(LEFT(TRIM(C812),FIND(" ",TRIM(C812)&amp;" ")-1),",","."))-1)/MID(SUBSTITUTE(LEFT(TRIM(C812),FIND(" ",TRIM(C812)&amp;" ")-1),",","."),FIND("/",SUBSTITUTE(LEFT(TRIM(C812),FIND(" ",TRIM(C812)&amp;" ")-1),",","."))+1,9))*12/52,IF(ISNUMBER(SEARCH("month",C812)),IFERROR(_xlfn.NUMBERVALUE(SUBSTITUTE(LEFT(TRIM(C812),FIND(" ",TRIM(C812)&amp;" ")-1),",","."),"."),LEFT(SUBSTITUTE(LEFT(TRIM(C812),FIND(" ",TRIM(C812)&amp;" ")-1),",","."),FIND("/",SUBSTITUTE(LEFT(TRIM(C812),FIND(" ",TRIM(C812)&amp;" ")-1),",","."))-1)/MID(SUBSTITUTE(LEFT(TRIM(C812),FIND(" ",TRIM(C812)&amp;" ")-1),",","."),FIND("/",SUBSTITUTE(LEFT(TRIM(C812),FIND(" ",TRIM(C812)&amp;" ")-1),",","."))+1,9)),IF(ISNUMBER(SEARCH("yea",C812)),IFERROR(_xlfn.NUMBERVALUE(SUBSTITUTE(LEFT(TRIM(C812),FIND(" ",TRIM(C812)&amp;" ")-1),",","."),"."),LEFT(SUBSTITUTE(LEFT(TRIM(C812),FIND(" ",TRIM(C812)&amp;" ")-1),",","."),FIND("/",SUBSTITUTE(LEFT(TRIM(C812),FIND(" ",TRIM(C812)&amp;" ")-1),",","."))-1)/MID(SUBSTITUTE(LEFT(TRIM(C812),FIND(" ",TRIM(C812)&amp;" ")-1),",","."),FIND("/",SUBSTITUTE(LEFT(TRIM(C812),FIND(" ",TRIM(C812)&amp;" ")-1),",","."))+1,9))*12,NA()))),0),60)*'Aturan &amp; Tarif'!$B$4,2)</f>
        <v>3406.8</v>
      </c>
      <c r="K812" s="32" t="n">
        <f aca="false">'Aturan &amp; Tarif'!$B$5</f>
        <v>2050</v>
      </c>
      <c r="L812" s="32" t="n">
        <f aca="false">'Aturan &amp; Tarif'!$B$6</f>
        <v>350</v>
      </c>
      <c r="M812" s="35" t="n">
        <f aca="false">I812+J812+K812+L812</f>
        <v>9806.8</v>
      </c>
      <c r="N812" s="37" t="s">
        <v>134</v>
      </c>
    </row>
    <row r="813" customFormat="false" ht="25.5" hidden="false" customHeight="true" outlineLevel="0" collapsed="false">
      <c r="A813" s="29"/>
      <c r="B813" s="30" t="s">
        <v>2456</v>
      </c>
      <c r="C813" s="31" t="s">
        <v>107</v>
      </c>
      <c r="D813" s="31" t="s">
        <v>108</v>
      </c>
      <c r="E813" s="32" t="n">
        <v>2200</v>
      </c>
      <c r="F813" s="32" t="n">
        <v>500</v>
      </c>
      <c r="G813" s="32" t="n">
        <v>250</v>
      </c>
      <c r="H813" s="33" t="n">
        <v>1</v>
      </c>
      <c r="I813" s="34" t="n">
        <f aca="false">E813*H813+N(F813)+N(G813)</f>
        <v>2950</v>
      </c>
      <c r="J813" s="32" t="n">
        <f aca="false">ROUND(IFERROR(ROUND(IF(OR(ISNUMBER(SEARCH("week",C813)),ISNUMBER(SEARCH("minggu",C813))),IFERROR(_xlfn.NUMBERVALUE(SUBSTITUTE(LEFT(TRIM(C813),FIND(" ",TRIM(C813)&amp;" ")-1),",","."),"."),LEFT(SUBSTITUTE(LEFT(TRIM(C813),FIND(" ",TRIM(C813)&amp;" ")-1),",","."),FIND("/",SUBSTITUTE(LEFT(TRIM(C813),FIND(" ",TRIM(C813)&amp;" ")-1),",","."))-1)/MID(SUBSTITUTE(LEFT(TRIM(C813),FIND(" ",TRIM(C813)&amp;" ")-1),",","."),FIND("/",SUBSTITUTE(LEFT(TRIM(C813),FIND(" ",TRIM(C813)&amp;" ")-1),",","."))+1,9))*12/52,IF(ISNUMBER(SEARCH("month",C813)),IFERROR(_xlfn.NUMBERVALUE(SUBSTITUTE(LEFT(TRIM(C813),FIND(" ",TRIM(C813)&amp;" ")-1),",","."),"."),LEFT(SUBSTITUTE(LEFT(TRIM(C813),FIND(" ",TRIM(C813)&amp;" ")-1),",","."),FIND("/",SUBSTITUTE(LEFT(TRIM(C813),FIND(" ",TRIM(C813)&amp;" ")-1),",","."))-1)/MID(SUBSTITUTE(LEFT(TRIM(C813),FIND(" ",TRIM(C813)&amp;" ")-1),",","."),FIND("/",SUBSTITUTE(LEFT(TRIM(C813),FIND(" ",TRIM(C813)&amp;" ")-1),",","."))+1,9)),IF(ISNUMBER(SEARCH("yea",C813)),IFERROR(_xlfn.NUMBERVALUE(SUBSTITUTE(LEFT(TRIM(C813),FIND(" ",TRIM(C813)&amp;" ")-1),",","."),"."),LEFT(SUBSTITUTE(LEFT(TRIM(C813),FIND(" ",TRIM(C813)&amp;" ")-1),",","."),FIND("/",SUBSTITUTE(LEFT(TRIM(C813),FIND(" ",TRIM(C813)&amp;" ")-1),",","."))-1)/MID(SUBSTITUTE(LEFT(TRIM(C813),FIND(" ",TRIM(C813)&amp;" ")-1),",","."),FIND("/",SUBSTITUTE(LEFT(TRIM(C813),FIND(" ",TRIM(C813)&amp;" ")-1),",","."))+1,9))*12,NA()))),0),24)*'Aturan &amp; Tarif'!$B$4,2)</f>
        <v>1362.72</v>
      </c>
      <c r="K813" s="32" t="n">
        <f aca="false">'Aturan &amp; Tarif'!$B$5</f>
        <v>2050</v>
      </c>
      <c r="L813" s="32" t="n">
        <f aca="false">'Aturan &amp; Tarif'!$B$6</f>
        <v>350</v>
      </c>
      <c r="M813" s="35" t="n">
        <f aca="false">I813+J813+K813+L813</f>
        <v>6712.72</v>
      </c>
      <c r="N813" s="37" t="s">
        <v>134</v>
      </c>
    </row>
    <row r="814" customFormat="false" ht="60" hidden="false" customHeight="true" outlineLevel="0" collapsed="false">
      <c r="A814" s="39" t="s">
        <v>2457</v>
      </c>
      <c r="B814" s="40" t="s">
        <v>2458</v>
      </c>
      <c r="C814" s="41" t="s">
        <v>130</v>
      </c>
      <c r="D814" s="41" t="s">
        <v>108</v>
      </c>
      <c r="E814" s="42" t="n">
        <v>7900</v>
      </c>
      <c r="F814" s="42"/>
      <c r="G814" s="42"/>
      <c r="H814" s="43" t="n">
        <v>2</v>
      </c>
      <c r="I814" s="34" t="n">
        <f aca="false">E814*H814+N(F814)+N(G814)</f>
        <v>15800</v>
      </c>
      <c r="J814" s="42" t="n">
        <f aca="false">ROUND(IFERROR(ROUND(IF(OR(ISNUMBER(SEARCH("week",C814)),ISNUMBER(SEARCH("minggu",C814))),IFERROR(_xlfn.NUMBERVALUE(SUBSTITUTE(LEFT(TRIM(C814),FIND(" ",TRIM(C814)&amp;" ")-1),",","."),"."),LEFT(SUBSTITUTE(LEFT(TRIM(C814),FIND(" ",TRIM(C814)&amp;" ")-1),",","."),FIND("/",SUBSTITUTE(LEFT(TRIM(C814),FIND(" ",TRIM(C814)&amp;" ")-1),",","."))-1)/MID(SUBSTITUTE(LEFT(TRIM(C814),FIND(" ",TRIM(C814)&amp;" ")-1),",","."),FIND("/",SUBSTITUTE(LEFT(TRIM(C814),FIND(" ",TRIM(C814)&amp;" ")-1),",","."))+1,9))*12/52,IF(ISNUMBER(SEARCH("month",C814)),IFERROR(_xlfn.NUMBERVALUE(SUBSTITUTE(LEFT(TRIM(C814),FIND(" ",TRIM(C814)&amp;" ")-1),",","."),"."),LEFT(SUBSTITUTE(LEFT(TRIM(C814),FIND(" ",TRIM(C814)&amp;" ")-1),",","."),FIND("/",SUBSTITUTE(LEFT(TRIM(C814),FIND(" ",TRIM(C814)&amp;" ")-1),",","."))-1)/MID(SUBSTITUTE(LEFT(TRIM(C814),FIND(" ",TRIM(C814)&amp;" ")-1),",","."),FIND("/",SUBSTITUTE(LEFT(TRIM(C814),FIND(" ",TRIM(C814)&amp;" ")-1),",","."))+1,9)),IF(ISNUMBER(SEARCH("yea",C814)),IFERROR(_xlfn.NUMBERVALUE(SUBSTITUTE(LEFT(TRIM(C814),FIND(" ",TRIM(C814)&amp;" ")-1),",","."),"."),LEFT(SUBSTITUTE(LEFT(TRIM(C814),FIND(" ",TRIM(C814)&amp;" ")-1),",","."),FIND("/",SUBSTITUTE(LEFT(TRIM(C814),FIND(" ",TRIM(C814)&amp;" ")-1),",","."))-1)/MID(SUBSTITUTE(LEFT(TRIM(C814),FIND(" ",TRIM(C814)&amp;" ")-1),",","."),FIND("/",SUBSTITUTE(LEFT(TRIM(C814),FIND(" ",TRIM(C814)&amp;" ")-1),",","."))+1,9))*12,NA()))),0),12)*'Aturan &amp; Tarif'!$B$4,2)</f>
        <v>681.36</v>
      </c>
      <c r="K814" s="42" t="n">
        <f aca="false">'Aturan &amp; Tarif'!$B$5</f>
        <v>2050</v>
      </c>
      <c r="L814" s="42" t="n">
        <f aca="false">'Aturan &amp; Tarif'!$B$6</f>
        <v>350</v>
      </c>
      <c r="M814" s="35" t="n">
        <f aca="false">I814+J814+K814+L814</f>
        <v>18881.36</v>
      </c>
      <c r="N814" s="45" t="s">
        <v>2459</v>
      </c>
    </row>
    <row r="815" customFormat="false" ht="60" hidden="false" customHeight="true" outlineLevel="0" collapsed="false">
      <c r="A815" s="39"/>
      <c r="B815" s="40" t="s">
        <v>2460</v>
      </c>
      <c r="C815" s="41" t="s">
        <v>127</v>
      </c>
      <c r="D815" s="41" t="s">
        <v>108</v>
      </c>
      <c r="E815" s="42" t="n">
        <v>7900</v>
      </c>
      <c r="F815" s="42"/>
      <c r="G815" s="42"/>
      <c r="H815" s="43" t="n">
        <v>2</v>
      </c>
      <c r="I815" s="34" t="n">
        <f aca="false">E815*H815+N(F815)+N(G815)</f>
        <v>15800</v>
      </c>
      <c r="J815" s="42" t="n">
        <f aca="false">ROUND(IFERROR(ROUND(IF(OR(ISNUMBER(SEARCH("week",C815)),ISNUMBER(SEARCH("minggu",C815))),IFERROR(_xlfn.NUMBERVALUE(SUBSTITUTE(LEFT(TRIM(C815),FIND(" ",TRIM(C815)&amp;" ")-1),",","."),"."),LEFT(SUBSTITUTE(LEFT(TRIM(C815),FIND(" ",TRIM(C815)&amp;" ")-1),",","."),FIND("/",SUBSTITUTE(LEFT(TRIM(C815),FIND(" ",TRIM(C815)&amp;" ")-1),",","."))-1)/MID(SUBSTITUTE(LEFT(TRIM(C815),FIND(" ",TRIM(C815)&amp;" ")-1),",","."),FIND("/",SUBSTITUTE(LEFT(TRIM(C815),FIND(" ",TRIM(C815)&amp;" ")-1),",","."))+1,9))*12/52,IF(ISNUMBER(SEARCH("month",C815)),IFERROR(_xlfn.NUMBERVALUE(SUBSTITUTE(LEFT(TRIM(C815),FIND(" ",TRIM(C815)&amp;" ")-1),",","."),"."),LEFT(SUBSTITUTE(LEFT(TRIM(C815),FIND(" ",TRIM(C815)&amp;" ")-1),",","."),FIND("/",SUBSTITUTE(LEFT(TRIM(C815),FIND(" ",TRIM(C815)&amp;" ")-1),",","."))-1)/MID(SUBSTITUTE(LEFT(TRIM(C815),FIND(" ",TRIM(C815)&amp;" ")-1),",","."),FIND("/",SUBSTITUTE(LEFT(TRIM(C815),FIND(" ",TRIM(C815)&amp;" ")-1),",","."))+1,9)),IF(ISNUMBER(SEARCH("yea",C815)),IFERROR(_xlfn.NUMBERVALUE(SUBSTITUTE(LEFT(TRIM(C815),FIND(" ",TRIM(C815)&amp;" ")-1),",","."),"."),LEFT(SUBSTITUTE(LEFT(TRIM(C815),FIND(" ",TRIM(C815)&amp;" ")-1),",","."),FIND("/",SUBSTITUTE(LEFT(TRIM(C815),FIND(" ",TRIM(C815)&amp;" ")-1),",","."))-1)/MID(SUBSTITUTE(LEFT(TRIM(C815),FIND(" ",TRIM(C815)&amp;" ")-1),",","."),FIND("/",SUBSTITUTE(LEFT(TRIM(C815),FIND(" ",TRIM(C815)&amp;" ")-1),",","."))+1,9))*12,NA()))),0),36)*'Aturan &amp; Tarif'!$B$4,2)</f>
        <v>2044.08</v>
      </c>
      <c r="K815" s="42" t="n">
        <f aca="false">'Aturan &amp; Tarif'!$B$5</f>
        <v>2050</v>
      </c>
      <c r="L815" s="42" t="n">
        <f aca="false">'Aturan &amp; Tarif'!$B$6</f>
        <v>350</v>
      </c>
      <c r="M815" s="35" t="n">
        <f aca="false">I815+J815+K815+L815</f>
        <v>20244.08</v>
      </c>
      <c r="N815" s="45" t="s">
        <v>2461</v>
      </c>
    </row>
    <row r="816" customFormat="false" ht="60" hidden="false" customHeight="true" outlineLevel="0" collapsed="false">
      <c r="A816" s="39"/>
      <c r="B816" s="40" t="s">
        <v>1032</v>
      </c>
      <c r="C816" s="41" t="s">
        <v>130</v>
      </c>
      <c r="D816" s="41" t="s">
        <v>108</v>
      </c>
      <c r="E816" s="42" t="n">
        <v>7900</v>
      </c>
      <c r="F816" s="42"/>
      <c r="G816" s="42"/>
      <c r="H816" s="43" t="n">
        <v>2</v>
      </c>
      <c r="I816" s="34" t="n">
        <f aca="false">E816*H816+N(F816)+N(G816)</f>
        <v>15800</v>
      </c>
      <c r="J816" s="42" t="n">
        <f aca="false">ROUND(IFERROR(ROUND(IF(OR(ISNUMBER(SEARCH("week",C816)),ISNUMBER(SEARCH("minggu",C816))),IFERROR(_xlfn.NUMBERVALUE(SUBSTITUTE(LEFT(TRIM(C816),FIND(" ",TRIM(C816)&amp;" ")-1),",","."),"."),LEFT(SUBSTITUTE(LEFT(TRIM(C816),FIND(" ",TRIM(C816)&amp;" ")-1),",","."),FIND("/",SUBSTITUTE(LEFT(TRIM(C816),FIND(" ",TRIM(C816)&amp;" ")-1),",","."))-1)/MID(SUBSTITUTE(LEFT(TRIM(C816),FIND(" ",TRIM(C816)&amp;" ")-1),",","."),FIND("/",SUBSTITUTE(LEFT(TRIM(C816),FIND(" ",TRIM(C816)&amp;" ")-1),",","."))+1,9))*12/52,IF(ISNUMBER(SEARCH("month",C816)),IFERROR(_xlfn.NUMBERVALUE(SUBSTITUTE(LEFT(TRIM(C816),FIND(" ",TRIM(C816)&amp;" ")-1),",","."),"."),LEFT(SUBSTITUTE(LEFT(TRIM(C816),FIND(" ",TRIM(C816)&amp;" ")-1),",","."),FIND("/",SUBSTITUTE(LEFT(TRIM(C816),FIND(" ",TRIM(C816)&amp;" ")-1),",","."))-1)/MID(SUBSTITUTE(LEFT(TRIM(C816),FIND(" ",TRIM(C816)&amp;" ")-1),",","."),FIND("/",SUBSTITUTE(LEFT(TRIM(C816),FIND(" ",TRIM(C816)&amp;" ")-1),",","."))+1,9)),IF(ISNUMBER(SEARCH("yea",C816)),IFERROR(_xlfn.NUMBERVALUE(SUBSTITUTE(LEFT(TRIM(C816),FIND(" ",TRIM(C816)&amp;" ")-1),",","."),"."),LEFT(SUBSTITUTE(LEFT(TRIM(C816),FIND(" ",TRIM(C816)&amp;" ")-1),",","."),FIND("/",SUBSTITUTE(LEFT(TRIM(C816),FIND(" ",TRIM(C816)&amp;" ")-1),",","."))-1)/MID(SUBSTITUTE(LEFT(TRIM(C816),FIND(" ",TRIM(C816)&amp;" ")-1),",","."),FIND("/",SUBSTITUTE(LEFT(TRIM(C816),FIND(" ",TRIM(C816)&amp;" ")-1),",","."))+1,9))*12,NA()))),0),12)*'Aturan &amp; Tarif'!$B$4,2)</f>
        <v>681.36</v>
      </c>
      <c r="K816" s="42" t="n">
        <f aca="false">'Aturan &amp; Tarif'!$B$5</f>
        <v>2050</v>
      </c>
      <c r="L816" s="42" t="n">
        <f aca="false">'Aturan &amp; Tarif'!$B$6</f>
        <v>350</v>
      </c>
      <c r="M816" s="35" t="n">
        <f aca="false">I816+J816+K816+L816</f>
        <v>18881.36</v>
      </c>
      <c r="N816" s="44" t="s">
        <v>1033</v>
      </c>
    </row>
    <row r="817" customFormat="false" ht="60" hidden="false" customHeight="true" outlineLevel="0" collapsed="false">
      <c r="A817" s="39"/>
      <c r="B817" s="40" t="s">
        <v>321</v>
      </c>
      <c r="C817" s="41" t="s">
        <v>127</v>
      </c>
      <c r="D817" s="41" t="s">
        <v>108</v>
      </c>
      <c r="E817" s="42" t="n">
        <v>7900</v>
      </c>
      <c r="F817" s="42"/>
      <c r="G817" s="42"/>
      <c r="H817" s="43" t="n">
        <v>2</v>
      </c>
      <c r="I817" s="34" t="n">
        <f aca="false">E817*H817+N(F817)+N(G817)</f>
        <v>15800</v>
      </c>
      <c r="J817" s="42" t="n">
        <f aca="false">ROUND(IFERROR(ROUND(IF(OR(ISNUMBER(SEARCH("week",C817)),ISNUMBER(SEARCH("minggu",C817))),IFERROR(_xlfn.NUMBERVALUE(SUBSTITUTE(LEFT(TRIM(C817),FIND(" ",TRIM(C817)&amp;" ")-1),",","."),"."),LEFT(SUBSTITUTE(LEFT(TRIM(C817),FIND(" ",TRIM(C817)&amp;" ")-1),",","."),FIND("/",SUBSTITUTE(LEFT(TRIM(C817),FIND(" ",TRIM(C817)&amp;" ")-1),",","."))-1)/MID(SUBSTITUTE(LEFT(TRIM(C817),FIND(" ",TRIM(C817)&amp;" ")-1),",","."),FIND("/",SUBSTITUTE(LEFT(TRIM(C817),FIND(" ",TRIM(C817)&amp;" ")-1),",","."))+1,9))*12/52,IF(ISNUMBER(SEARCH("month",C817)),IFERROR(_xlfn.NUMBERVALUE(SUBSTITUTE(LEFT(TRIM(C817),FIND(" ",TRIM(C817)&amp;" ")-1),",","."),"."),LEFT(SUBSTITUTE(LEFT(TRIM(C817),FIND(" ",TRIM(C817)&amp;" ")-1),",","."),FIND("/",SUBSTITUTE(LEFT(TRIM(C817),FIND(" ",TRIM(C817)&amp;" ")-1),",","."))-1)/MID(SUBSTITUTE(LEFT(TRIM(C817),FIND(" ",TRIM(C817)&amp;" ")-1),",","."),FIND("/",SUBSTITUTE(LEFT(TRIM(C817),FIND(" ",TRIM(C817)&amp;" ")-1),",","."))+1,9)),IF(ISNUMBER(SEARCH("yea",C817)),IFERROR(_xlfn.NUMBERVALUE(SUBSTITUTE(LEFT(TRIM(C817),FIND(" ",TRIM(C817)&amp;" ")-1),",","."),"."),LEFT(SUBSTITUTE(LEFT(TRIM(C817),FIND(" ",TRIM(C817)&amp;" ")-1),",","."),FIND("/",SUBSTITUTE(LEFT(TRIM(C817),FIND(" ",TRIM(C817)&amp;" ")-1),",","."))-1)/MID(SUBSTITUTE(LEFT(TRIM(C817),FIND(" ",TRIM(C817)&amp;" ")-1),",","."),FIND("/",SUBSTITUTE(LEFT(TRIM(C817),FIND(" ",TRIM(C817)&amp;" ")-1),",","."))+1,9))*12,NA()))),0),36)*'Aturan &amp; Tarif'!$B$4,2)</f>
        <v>2044.08</v>
      </c>
      <c r="K817" s="42" t="n">
        <f aca="false">'Aturan &amp; Tarif'!$B$5</f>
        <v>2050</v>
      </c>
      <c r="L817" s="42" t="n">
        <f aca="false">'Aturan &amp; Tarif'!$B$6</f>
        <v>350</v>
      </c>
      <c r="M817" s="35" t="n">
        <f aca="false">I817+J817+K817+L817</f>
        <v>20244.08</v>
      </c>
      <c r="N817" s="44" t="s">
        <v>1034</v>
      </c>
    </row>
    <row r="818" customFormat="false" ht="60" hidden="false" customHeight="true" outlineLevel="0" collapsed="false">
      <c r="A818" s="39"/>
      <c r="B818" s="40" t="s">
        <v>1035</v>
      </c>
      <c r="C818" s="41" t="s">
        <v>130</v>
      </c>
      <c r="D818" s="41" t="s">
        <v>108</v>
      </c>
      <c r="E818" s="42" t="n">
        <v>7900</v>
      </c>
      <c r="F818" s="42"/>
      <c r="G818" s="42"/>
      <c r="H818" s="43" t="n">
        <v>2</v>
      </c>
      <c r="I818" s="34" t="n">
        <f aca="false">E818*H818+N(F818)+N(G818)</f>
        <v>15800</v>
      </c>
      <c r="J818" s="42" t="n">
        <f aca="false">ROUND(IFERROR(ROUND(IF(OR(ISNUMBER(SEARCH("week",C818)),ISNUMBER(SEARCH("minggu",C818))),IFERROR(_xlfn.NUMBERVALUE(SUBSTITUTE(LEFT(TRIM(C818),FIND(" ",TRIM(C818)&amp;" ")-1),",","."),"."),LEFT(SUBSTITUTE(LEFT(TRIM(C818),FIND(" ",TRIM(C818)&amp;" ")-1),",","."),FIND("/",SUBSTITUTE(LEFT(TRIM(C818),FIND(" ",TRIM(C818)&amp;" ")-1),",","."))-1)/MID(SUBSTITUTE(LEFT(TRIM(C818),FIND(" ",TRIM(C818)&amp;" ")-1),",","."),FIND("/",SUBSTITUTE(LEFT(TRIM(C818),FIND(" ",TRIM(C818)&amp;" ")-1),",","."))+1,9))*12/52,IF(ISNUMBER(SEARCH("month",C818)),IFERROR(_xlfn.NUMBERVALUE(SUBSTITUTE(LEFT(TRIM(C818),FIND(" ",TRIM(C818)&amp;" ")-1),",","."),"."),LEFT(SUBSTITUTE(LEFT(TRIM(C818),FIND(" ",TRIM(C818)&amp;" ")-1),",","."),FIND("/",SUBSTITUTE(LEFT(TRIM(C818),FIND(" ",TRIM(C818)&amp;" ")-1),",","."))-1)/MID(SUBSTITUTE(LEFT(TRIM(C818),FIND(" ",TRIM(C818)&amp;" ")-1),",","."),FIND("/",SUBSTITUTE(LEFT(TRIM(C818),FIND(" ",TRIM(C818)&amp;" ")-1),",","."))+1,9)),IF(ISNUMBER(SEARCH("yea",C818)),IFERROR(_xlfn.NUMBERVALUE(SUBSTITUTE(LEFT(TRIM(C818),FIND(" ",TRIM(C818)&amp;" ")-1),",","."),"."),LEFT(SUBSTITUTE(LEFT(TRIM(C818),FIND(" ",TRIM(C818)&amp;" ")-1),",","."),FIND("/",SUBSTITUTE(LEFT(TRIM(C818),FIND(" ",TRIM(C818)&amp;" ")-1),",","."))-1)/MID(SUBSTITUTE(LEFT(TRIM(C818),FIND(" ",TRIM(C818)&amp;" ")-1),",","."),FIND("/",SUBSTITUTE(LEFT(TRIM(C818),FIND(" ",TRIM(C818)&amp;" ")-1),",","."))+1,9))*12,NA()))),0),12)*'Aturan &amp; Tarif'!$B$4,2)</f>
        <v>681.36</v>
      </c>
      <c r="K818" s="42" t="n">
        <f aca="false">'Aturan &amp; Tarif'!$B$5</f>
        <v>2050</v>
      </c>
      <c r="L818" s="42" t="n">
        <f aca="false">'Aturan &amp; Tarif'!$B$6</f>
        <v>350</v>
      </c>
      <c r="M818" s="35" t="n">
        <f aca="false">I818+J818+K818+L818</f>
        <v>18881.36</v>
      </c>
      <c r="N818" s="44" t="s">
        <v>1036</v>
      </c>
    </row>
    <row r="819" customFormat="false" ht="60" hidden="false" customHeight="true" outlineLevel="0" collapsed="false">
      <c r="A819" s="39"/>
      <c r="B819" s="40" t="s">
        <v>1037</v>
      </c>
      <c r="C819" s="41" t="s">
        <v>127</v>
      </c>
      <c r="D819" s="41" t="s">
        <v>108</v>
      </c>
      <c r="E819" s="42" t="n">
        <v>7900</v>
      </c>
      <c r="F819" s="42"/>
      <c r="G819" s="42"/>
      <c r="H819" s="43" t="n">
        <v>2</v>
      </c>
      <c r="I819" s="34" t="n">
        <f aca="false">E819*H819+N(F819)+N(G819)</f>
        <v>15800</v>
      </c>
      <c r="J819" s="42" t="n">
        <f aca="false">ROUND(IFERROR(ROUND(IF(OR(ISNUMBER(SEARCH("week",C819)),ISNUMBER(SEARCH("minggu",C819))),IFERROR(_xlfn.NUMBERVALUE(SUBSTITUTE(LEFT(TRIM(C819),FIND(" ",TRIM(C819)&amp;" ")-1),",","."),"."),LEFT(SUBSTITUTE(LEFT(TRIM(C819),FIND(" ",TRIM(C819)&amp;" ")-1),",","."),FIND("/",SUBSTITUTE(LEFT(TRIM(C819),FIND(" ",TRIM(C819)&amp;" ")-1),",","."))-1)/MID(SUBSTITUTE(LEFT(TRIM(C819),FIND(" ",TRIM(C819)&amp;" ")-1),",","."),FIND("/",SUBSTITUTE(LEFT(TRIM(C819),FIND(" ",TRIM(C819)&amp;" ")-1),",","."))+1,9))*12/52,IF(ISNUMBER(SEARCH("month",C819)),IFERROR(_xlfn.NUMBERVALUE(SUBSTITUTE(LEFT(TRIM(C819),FIND(" ",TRIM(C819)&amp;" ")-1),",","."),"."),LEFT(SUBSTITUTE(LEFT(TRIM(C819),FIND(" ",TRIM(C819)&amp;" ")-1),",","."),FIND("/",SUBSTITUTE(LEFT(TRIM(C819),FIND(" ",TRIM(C819)&amp;" ")-1),",","."))-1)/MID(SUBSTITUTE(LEFT(TRIM(C819),FIND(" ",TRIM(C819)&amp;" ")-1),",","."),FIND("/",SUBSTITUTE(LEFT(TRIM(C819),FIND(" ",TRIM(C819)&amp;" ")-1),",","."))+1,9)),IF(ISNUMBER(SEARCH("yea",C819)),IFERROR(_xlfn.NUMBERVALUE(SUBSTITUTE(LEFT(TRIM(C819),FIND(" ",TRIM(C819)&amp;" ")-1),",","."),"."),LEFT(SUBSTITUTE(LEFT(TRIM(C819),FIND(" ",TRIM(C819)&amp;" ")-1),",","."),FIND("/",SUBSTITUTE(LEFT(TRIM(C819),FIND(" ",TRIM(C819)&amp;" ")-1),",","."))-1)/MID(SUBSTITUTE(LEFT(TRIM(C819),FIND(" ",TRIM(C819)&amp;" ")-1),",","."),FIND("/",SUBSTITUTE(LEFT(TRIM(C819),FIND(" ",TRIM(C819)&amp;" ")-1),",","."))+1,9))*12,NA()))),0),36)*'Aturan &amp; Tarif'!$B$4,2)</f>
        <v>2044.08</v>
      </c>
      <c r="K819" s="42" t="n">
        <f aca="false">'Aturan &amp; Tarif'!$B$5</f>
        <v>2050</v>
      </c>
      <c r="L819" s="42" t="n">
        <f aca="false">'Aturan &amp; Tarif'!$B$6</f>
        <v>350</v>
      </c>
      <c r="M819" s="35" t="n">
        <f aca="false">I819+J819+K819+L819</f>
        <v>20244.08</v>
      </c>
      <c r="N819" s="44" t="s">
        <v>1036</v>
      </c>
    </row>
    <row r="820" customFormat="false" ht="60" hidden="false" customHeight="true" outlineLevel="0" collapsed="false">
      <c r="A820" s="39"/>
      <c r="B820" s="40" t="s">
        <v>1038</v>
      </c>
      <c r="C820" s="41" t="s">
        <v>127</v>
      </c>
      <c r="D820" s="41" t="s">
        <v>108</v>
      </c>
      <c r="E820" s="42" t="n">
        <v>7900</v>
      </c>
      <c r="F820" s="42"/>
      <c r="G820" s="42"/>
      <c r="H820" s="43" t="n">
        <v>2</v>
      </c>
      <c r="I820" s="34" t="n">
        <f aca="false">E820*H820+N(F820)+N(G820)</f>
        <v>15800</v>
      </c>
      <c r="J820" s="42" t="n">
        <f aca="false">ROUND(IFERROR(ROUND(IF(OR(ISNUMBER(SEARCH("week",C820)),ISNUMBER(SEARCH("minggu",C820))),IFERROR(_xlfn.NUMBERVALUE(SUBSTITUTE(LEFT(TRIM(C820),FIND(" ",TRIM(C820)&amp;" ")-1),",","."),"."),LEFT(SUBSTITUTE(LEFT(TRIM(C820),FIND(" ",TRIM(C820)&amp;" ")-1),",","."),FIND("/",SUBSTITUTE(LEFT(TRIM(C820),FIND(" ",TRIM(C820)&amp;" ")-1),",","."))-1)/MID(SUBSTITUTE(LEFT(TRIM(C820),FIND(" ",TRIM(C820)&amp;" ")-1),",","."),FIND("/",SUBSTITUTE(LEFT(TRIM(C820),FIND(" ",TRIM(C820)&amp;" ")-1),",","."))+1,9))*12/52,IF(ISNUMBER(SEARCH("month",C820)),IFERROR(_xlfn.NUMBERVALUE(SUBSTITUTE(LEFT(TRIM(C820),FIND(" ",TRIM(C820)&amp;" ")-1),",","."),"."),LEFT(SUBSTITUTE(LEFT(TRIM(C820),FIND(" ",TRIM(C820)&amp;" ")-1),",","."),FIND("/",SUBSTITUTE(LEFT(TRIM(C820),FIND(" ",TRIM(C820)&amp;" ")-1),",","."))-1)/MID(SUBSTITUTE(LEFT(TRIM(C820),FIND(" ",TRIM(C820)&amp;" ")-1),",","."),FIND("/",SUBSTITUTE(LEFT(TRIM(C820),FIND(" ",TRIM(C820)&amp;" ")-1),",","."))+1,9)),IF(ISNUMBER(SEARCH("yea",C820)),IFERROR(_xlfn.NUMBERVALUE(SUBSTITUTE(LEFT(TRIM(C820),FIND(" ",TRIM(C820)&amp;" ")-1),",","."),"."),LEFT(SUBSTITUTE(LEFT(TRIM(C820),FIND(" ",TRIM(C820)&amp;" ")-1),",","."),FIND("/",SUBSTITUTE(LEFT(TRIM(C820),FIND(" ",TRIM(C820)&amp;" ")-1),",","."))-1)/MID(SUBSTITUTE(LEFT(TRIM(C820),FIND(" ",TRIM(C820)&amp;" ")-1),",","."),FIND("/",SUBSTITUTE(LEFT(TRIM(C820),FIND(" ",TRIM(C820)&amp;" ")-1),",","."))+1,9))*12,NA()))),0),36)*'Aturan &amp; Tarif'!$B$4,2)</f>
        <v>2044.08</v>
      </c>
      <c r="K820" s="42" t="n">
        <f aca="false">'Aturan &amp; Tarif'!$B$5</f>
        <v>2050</v>
      </c>
      <c r="L820" s="42" t="n">
        <f aca="false">'Aturan &amp; Tarif'!$B$6</f>
        <v>350</v>
      </c>
      <c r="M820" s="35" t="n">
        <f aca="false">I820+J820+K820+L820</f>
        <v>20244.08</v>
      </c>
      <c r="N820" s="44" t="s">
        <v>1039</v>
      </c>
    </row>
    <row r="821" customFormat="false" ht="60" hidden="false" customHeight="true" outlineLevel="0" collapsed="false">
      <c r="A821" s="39"/>
      <c r="B821" s="40" t="s">
        <v>1040</v>
      </c>
      <c r="C821" s="41" t="s">
        <v>127</v>
      </c>
      <c r="D821" s="41" t="s">
        <v>108</v>
      </c>
      <c r="E821" s="42" t="n">
        <v>7900</v>
      </c>
      <c r="F821" s="42"/>
      <c r="G821" s="42"/>
      <c r="H821" s="43" t="n">
        <v>2</v>
      </c>
      <c r="I821" s="34" t="n">
        <f aca="false">E821*H821+N(F821)+N(G821)</f>
        <v>15800</v>
      </c>
      <c r="J821" s="42" t="n">
        <f aca="false">ROUND(IFERROR(ROUND(IF(OR(ISNUMBER(SEARCH("week",C821)),ISNUMBER(SEARCH("minggu",C821))),IFERROR(_xlfn.NUMBERVALUE(SUBSTITUTE(LEFT(TRIM(C821),FIND(" ",TRIM(C821)&amp;" ")-1),",","."),"."),LEFT(SUBSTITUTE(LEFT(TRIM(C821),FIND(" ",TRIM(C821)&amp;" ")-1),",","."),FIND("/",SUBSTITUTE(LEFT(TRIM(C821),FIND(" ",TRIM(C821)&amp;" ")-1),",","."))-1)/MID(SUBSTITUTE(LEFT(TRIM(C821),FIND(" ",TRIM(C821)&amp;" ")-1),",","."),FIND("/",SUBSTITUTE(LEFT(TRIM(C821),FIND(" ",TRIM(C821)&amp;" ")-1),",","."))+1,9))*12/52,IF(ISNUMBER(SEARCH("month",C821)),IFERROR(_xlfn.NUMBERVALUE(SUBSTITUTE(LEFT(TRIM(C821),FIND(" ",TRIM(C821)&amp;" ")-1),",","."),"."),LEFT(SUBSTITUTE(LEFT(TRIM(C821),FIND(" ",TRIM(C821)&amp;" ")-1),",","."),FIND("/",SUBSTITUTE(LEFT(TRIM(C821),FIND(" ",TRIM(C821)&amp;" ")-1),",","."))-1)/MID(SUBSTITUTE(LEFT(TRIM(C821),FIND(" ",TRIM(C821)&amp;" ")-1),",","."),FIND("/",SUBSTITUTE(LEFT(TRIM(C821),FIND(" ",TRIM(C821)&amp;" ")-1),",","."))+1,9)),IF(ISNUMBER(SEARCH("yea",C821)),IFERROR(_xlfn.NUMBERVALUE(SUBSTITUTE(LEFT(TRIM(C821),FIND(" ",TRIM(C821)&amp;" ")-1),",","."),"."),LEFT(SUBSTITUTE(LEFT(TRIM(C821),FIND(" ",TRIM(C821)&amp;" ")-1),",","."),FIND("/",SUBSTITUTE(LEFT(TRIM(C821),FIND(" ",TRIM(C821)&amp;" ")-1),",","."))-1)/MID(SUBSTITUTE(LEFT(TRIM(C821),FIND(" ",TRIM(C821)&amp;" ")-1),",","."),FIND("/",SUBSTITUTE(LEFT(TRIM(C821),FIND(" ",TRIM(C821)&amp;" ")-1),",","."))+1,9))*12,NA()))),0),36)*'Aturan &amp; Tarif'!$B$4,2)</f>
        <v>2044.08</v>
      </c>
      <c r="K821" s="42" t="n">
        <f aca="false">'Aturan &amp; Tarif'!$B$5</f>
        <v>2050</v>
      </c>
      <c r="L821" s="42" t="n">
        <f aca="false">'Aturan &amp; Tarif'!$B$6</f>
        <v>350</v>
      </c>
      <c r="M821" s="35" t="n">
        <f aca="false">I821+J821+K821+L821</f>
        <v>20244.08</v>
      </c>
      <c r="N821" s="44" t="s">
        <v>1041</v>
      </c>
    </row>
    <row r="822" customFormat="false" ht="60" hidden="false" customHeight="true" outlineLevel="0" collapsed="false">
      <c r="A822" s="39"/>
      <c r="B822" s="40" t="s">
        <v>1042</v>
      </c>
      <c r="C822" s="41" t="s">
        <v>130</v>
      </c>
      <c r="D822" s="41" t="s">
        <v>108</v>
      </c>
      <c r="E822" s="42" t="n">
        <v>7900</v>
      </c>
      <c r="F822" s="42"/>
      <c r="G822" s="42"/>
      <c r="H822" s="43" t="n">
        <v>2</v>
      </c>
      <c r="I822" s="34" t="n">
        <f aca="false">E822*H822+N(F822)+N(G822)</f>
        <v>15800</v>
      </c>
      <c r="J822" s="42" t="n">
        <f aca="false">ROUND(IFERROR(ROUND(IF(OR(ISNUMBER(SEARCH("week",C822)),ISNUMBER(SEARCH("minggu",C822))),IFERROR(_xlfn.NUMBERVALUE(SUBSTITUTE(LEFT(TRIM(C822),FIND(" ",TRIM(C822)&amp;" ")-1),",","."),"."),LEFT(SUBSTITUTE(LEFT(TRIM(C822),FIND(" ",TRIM(C822)&amp;" ")-1),",","."),FIND("/",SUBSTITUTE(LEFT(TRIM(C822),FIND(" ",TRIM(C822)&amp;" ")-1),",","."))-1)/MID(SUBSTITUTE(LEFT(TRIM(C822),FIND(" ",TRIM(C822)&amp;" ")-1),",","."),FIND("/",SUBSTITUTE(LEFT(TRIM(C822),FIND(" ",TRIM(C822)&amp;" ")-1),",","."))+1,9))*12/52,IF(ISNUMBER(SEARCH("month",C822)),IFERROR(_xlfn.NUMBERVALUE(SUBSTITUTE(LEFT(TRIM(C822),FIND(" ",TRIM(C822)&amp;" ")-1),",","."),"."),LEFT(SUBSTITUTE(LEFT(TRIM(C822),FIND(" ",TRIM(C822)&amp;" ")-1),",","."),FIND("/",SUBSTITUTE(LEFT(TRIM(C822),FIND(" ",TRIM(C822)&amp;" ")-1),",","."))-1)/MID(SUBSTITUTE(LEFT(TRIM(C822),FIND(" ",TRIM(C822)&amp;" ")-1),",","."),FIND("/",SUBSTITUTE(LEFT(TRIM(C822),FIND(" ",TRIM(C822)&amp;" ")-1),",","."))+1,9)),IF(ISNUMBER(SEARCH("yea",C822)),IFERROR(_xlfn.NUMBERVALUE(SUBSTITUTE(LEFT(TRIM(C822),FIND(" ",TRIM(C822)&amp;" ")-1),",","."),"."),LEFT(SUBSTITUTE(LEFT(TRIM(C822),FIND(" ",TRIM(C822)&amp;" ")-1),",","."),FIND("/",SUBSTITUTE(LEFT(TRIM(C822),FIND(" ",TRIM(C822)&amp;" ")-1),",","."))-1)/MID(SUBSTITUTE(LEFT(TRIM(C822),FIND(" ",TRIM(C822)&amp;" ")-1),",","."),FIND("/",SUBSTITUTE(LEFT(TRIM(C822),FIND(" ",TRIM(C822)&amp;" ")-1),",","."))+1,9))*12,NA()))),0),12)*'Aturan &amp; Tarif'!$B$4,2)</f>
        <v>681.36</v>
      </c>
      <c r="K822" s="42" t="n">
        <f aca="false">'Aturan &amp; Tarif'!$B$5</f>
        <v>2050</v>
      </c>
      <c r="L822" s="42" t="n">
        <f aca="false">'Aturan &amp; Tarif'!$B$6</f>
        <v>350</v>
      </c>
      <c r="M822" s="35" t="n">
        <f aca="false">I822+J822+K822+L822</f>
        <v>18881.36</v>
      </c>
      <c r="N822" s="44" t="s">
        <v>1043</v>
      </c>
    </row>
    <row r="823" customFormat="false" ht="60" hidden="false" customHeight="true" outlineLevel="0" collapsed="false">
      <c r="A823" s="39"/>
      <c r="B823" s="40" t="s">
        <v>1044</v>
      </c>
      <c r="C823" s="41" t="s">
        <v>127</v>
      </c>
      <c r="D823" s="41" t="s">
        <v>108</v>
      </c>
      <c r="E823" s="42" t="n">
        <v>7900</v>
      </c>
      <c r="F823" s="42"/>
      <c r="G823" s="42"/>
      <c r="H823" s="43" t="n">
        <v>2</v>
      </c>
      <c r="I823" s="34" t="n">
        <f aca="false">E823*H823+N(F823)+N(G823)</f>
        <v>15800</v>
      </c>
      <c r="J823" s="42" t="n">
        <f aca="false">ROUND(IFERROR(ROUND(IF(OR(ISNUMBER(SEARCH("week",C823)),ISNUMBER(SEARCH("minggu",C823))),IFERROR(_xlfn.NUMBERVALUE(SUBSTITUTE(LEFT(TRIM(C823),FIND(" ",TRIM(C823)&amp;" ")-1),",","."),"."),LEFT(SUBSTITUTE(LEFT(TRIM(C823),FIND(" ",TRIM(C823)&amp;" ")-1),",","."),FIND("/",SUBSTITUTE(LEFT(TRIM(C823),FIND(" ",TRIM(C823)&amp;" ")-1),",","."))-1)/MID(SUBSTITUTE(LEFT(TRIM(C823),FIND(" ",TRIM(C823)&amp;" ")-1),",","."),FIND("/",SUBSTITUTE(LEFT(TRIM(C823),FIND(" ",TRIM(C823)&amp;" ")-1),",","."))+1,9))*12/52,IF(ISNUMBER(SEARCH("month",C823)),IFERROR(_xlfn.NUMBERVALUE(SUBSTITUTE(LEFT(TRIM(C823),FIND(" ",TRIM(C823)&amp;" ")-1),",","."),"."),LEFT(SUBSTITUTE(LEFT(TRIM(C823),FIND(" ",TRIM(C823)&amp;" ")-1),",","."),FIND("/",SUBSTITUTE(LEFT(TRIM(C823),FIND(" ",TRIM(C823)&amp;" ")-1),",","."))-1)/MID(SUBSTITUTE(LEFT(TRIM(C823),FIND(" ",TRIM(C823)&amp;" ")-1),",","."),FIND("/",SUBSTITUTE(LEFT(TRIM(C823),FIND(" ",TRIM(C823)&amp;" ")-1),",","."))+1,9)),IF(ISNUMBER(SEARCH("yea",C823)),IFERROR(_xlfn.NUMBERVALUE(SUBSTITUTE(LEFT(TRIM(C823),FIND(" ",TRIM(C823)&amp;" ")-1),",","."),"."),LEFT(SUBSTITUTE(LEFT(TRIM(C823),FIND(" ",TRIM(C823)&amp;" ")-1),",","."),FIND("/",SUBSTITUTE(LEFT(TRIM(C823),FIND(" ",TRIM(C823)&amp;" ")-1),",","."))-1)/MID(SUBSTITUTE(LEFT(TRIM(C823),FIND(" ",TRIM(C823)&amp;" ")-1),",","."),FIND("/",SUBSTITUTE(LEFT(TRIM(C823),FIND(" ",TRIM(C823)&amp;" ")-1),",","."))+1,9))*12,NA()))),0),36)*'Aturan &amp; Tarif'!$B$4,2)</f>
        <v>2044.08</v>
      </c>
      <c r="K823" s="42" t="n">
        <f aca="false">'Aturan &amp; Tarif'!$B$5</f>
        <v>2050</v>
      </c>
      <c r="L823" s="42" t="n">
        <f aca="false">'Aturan &amp; Tarif'!$B$6</f>
        <v>350</v>
      </c>
      <c r="M823" s="35" t="n">
        <f aca="false">I823+J823+K823+L823</f>
        <v>20244.08</v>
      </c>
      <c r="N823" s="44" t="s">
        <v>1045</v>
      </c>
    </row>
    <row r="824" customFormat="false" ht="60" hidden="false" customHeight="true" outlineLevel="0" collapsed="false">
      <c r="A824" s="39"/>
      <c r="B824" s="40" t="s">
        <v>1046</v>
      </c>
      <c r="C824" s="41" t="s">
        <v>127</v>
      </c>
      <c r="D824" s="41" t="s">
        <v>108</v>
      </c>
      <c r="E824" s="42" t="n">
        <v>7900</v>
      </c>
      <c r="F824" s="42"/>
      <c r="G824" s="42"/>
      <c r="H824" s="43" t="n">
        <v>2</v>
      </c>
      <c r="I824" s="34" t="n">
        <f aca="false">E824*H824+N(F824)+N(G824)</f>
        <v>15800</v>
      </c>
      <c r="J824" s="42" t="n">
        <f aca="false">ROUND(IFERROR(ROUND(IF(OR(ISNUMBER(SEARCH("week",C824)),ISNUMBER(SEARCH("minggu",C824))),IFERROR(_xlfn.NUMBERVALUE(SUBSTITUTE(LEFT(TRIM(C824),FIND(" ",TRIM(C824)&amp;" ")-1),",","."),"."),LEFT(SUBSTITUTE(LEFT(TRIM(C824),FIND(" ",TRIM(C824)&amp;" ")-1),",","."),FIND("/",SUBSTITUTE(LEFT(TRIM(C824),FIND(" ",TRIM(C824)&amp;" ")-1),",","."))-1)/MID(SUBSTITUTE(LEFT(TRIM(C824),FIND(" ",TRIM(C824)&amp;" ")-1),",","."),FIND("/",SUBSTITUTE(LEFT(TRIM(C824),FIND(" ",TRIM(C824)&amp;" ")-1),",","."))+1,9))*12/52,IF(ISNUMBER(SEARCH("month",C824)),IFERROR(_xlfn.NUMBERVALUE(SUBSTITUTE(LEFT(TRIM(C824),FIND(" ",TRIM(C824)&amp;" ")-1),",","."),"."),LEFT(SUBSTITUTE(LEFT(TRIM(C824),FIND(" ",TRIM(C824)&amp;" ")-1),",","."),FIND("/",SUBSTITUTE(LEFT(TRIM(C824),FIND(" ",TRIM(C824)&amp;" ")-1),",","."))-1)/MID(SUBSTITUTE(LEFT(TRIM(C824),FIND(" ",TRIM(C824)&amp;" ")-1),",","."),FIND("/",SUBSTITUTE(LEFT(TRIM(C824),FIND(" ",TRIM(C824)&amp;" ")-1),",","."))+1,9)),IF(ISNUMBER(SEARCH("yea",C824)),IFERROR(_xlfn.NUMBERVALUE(SUBSTITUTE(LEFT(TRIM(C824),FIND(" ",TRIM(C824)&amp;" ")-1),",","."),"."),LEFT(SUBSTITUTE(LEFT(TRIM(C824),FIND(" ",TRIM(C824)&amp;" ")-1),",","."),FIND("/",SUBSTITUTE(LEFT(TRIM(C824),FIND(" ",TRIM(C824)&amp;" ")-1),",","."))-1)/MID(SUBSTITUTE(LEFT(TRIM(C824),FIND(" ",TRIM(C824)&amp;" ")-1),",","."),FIND("/",SUBSTITUTE(LEFT(TRIM(C824),FIND(" ",TRIM(C824)&amp;" ")-1),",","."))+1,9))*12,NA()))),0),36)*'Aturan &amp; Tarif'!$B$4,2)</f>
        <v>2044.08</v>
      </c>
      <c r="K824" s="42" t="n">
        <f aca="false">'Aturan &amp; Tarif'!$B$5</f>
        <v>2050</v>
      </c>
      <c r="L824" s="42" t="n">
        <f aca="false">'Aturan &amp; Tarif'!$B$6</f>
        <v>350</v>
      </c>
      <c r="M824" s="35" t="n">
        <f aca="false">I824+J824+K824+L824</f>
        <v>20244.08</v>
      </c>
      <c r="N824" s="44" t="s">
        <v>1047</v>
      </c>
    </row>
    <row r="825" customFormat="false" ht="60" hidden="false" customHeight="true" outlineLevel="0" collapsed="false">
      <c r="A825" s="39"/>
      <c r="B825" s="40" t="s">
        <v>167</v>
      </c>
      <c r="C825" s="41" t="s">
        <v>113</v>
      </c>
      <c r="D825" s="41" t="s">
        <v>108</v>
      </c>
      <c r="E825" s="42" t="n">
        <v>9000</v>
      </c>
      <c r="F825" s="42"/>
      <c r="G825" s="42"/>
      <c r="H825" s="43" t="n">
        <v>2</v>
      </c>
      <c r="I825" s="34" t="n">
        <f aca="false">E825*H825+N(F825)+N(G825)</f>
        <v>18000</v>
      </c>
      <c r="J825" s="42" t="n">
        <f aca="false">ROUND(IFERROR(ROUND(IF(OR(ISNUMBER(SEARCH("week",C825)),ISNUMBER(SEARCH("minggu",C825))),IFERROR(_xlfn.NUMBERVALUE(SUBSTITUTE(LEFT(TRIM(C825),FIND(" ",TRIM(C825)&amp;" ")-1),",","."),"."),LEFT(SUBSTITUTE(LEFT(TRIM(C825),FIND(" ",TRIM(C825)&amp;" ")-1),",","."),FIND("/",SUBSTITUTE(LEFT(TRIM(C825),FIND(" ",TRIM(C825)&amp;" ")-1),",","."))-1)/MID(SUBSTITUTE(LEFT(TRIM(C825),FIND(" ",TRIM(C825)&amp;" ")-1),",","."),FIND("/",SUBSTITUTE(LEFT(TRIM(C825),FIND(" ",TRIM(C825)&amp;" ")-1),",","."))+1,9))*12/52,IF(ISNUMBER(SEARCH("month",C825)),IFERROR(_xlfn.NUMBERVALUE(SUBSTITUTE(LEFT(TRIM(C825),FIND(" ",TRIM(C825)&amp;" ")-1),",","."),"."),LEFT(SUBSTITUTE(LEFT(TRIM(C825),FIND(" ",TRIM(C825)&amp;" ")-1),",","."),FIND("/",SUBSTITUTE(LEFT(TRIM(C825),FIND(" ",TRIM(C825)&amp;" ")-1),",","."))-1)/MID(SUBSTITUTE(LEFT(TRIM(C825),FIND(" ",TRIM(C825)&amp;" ")-1),",","."),FIND("/",SUBSTITUTE(LEFT(TRIM(C825),FIND(" ",TRIM(C825)&amp;" ")-1),",","."))+1,9)),IF(ISNUMBER(SEARCH("yea",C825)),IFERROR(_xlfn.NUMBERVALUE(SUBSTITUTE(LEFT(TRIM(C825),FIND(" ",TRIM(C825)&amp;" ")-1),",","."),"."),LEFT(SUBSTITUTE(LEFT(TRIM(C825),FIND(" ",TRIM(C825)&amp;" ")-1),",","."),FIND("/",SUBSTITUTE(LEFT(TRIM(C825),FIND(" ",TRIM(C825)&amp;" ")-1),",","."))-1)/MID(SUBSTITUTE(LEFT(TRIM(C825),FIND(" ",TRIM(C825)&amp;" ")-1),",","."),FIND("/",SUBSTITUTE(LEFT(TRIM(C825),FIND(" ",TRIM(C825)&amp;" ")-1),",","."))+1,9))*12,NA()))),0),18)*'Aturan &amp; Tarif'!$B$4,2)</f>
        <v>1022.04</v>
      </c>
      <c r="K825" s="42" t="n">
        <f aca="false">'Aturan &amp; Tarif'!$B$5</f>
        <v>2050</v>
      </c>
      <c r="L825" s="42" t="n">
        <f aca="false">'Aturan &amp; Tarif'!$B$6</f>
        <v>350</v>
      </c>
      <c r="M825" s="35" t="n">
        <f aca="false">I825+J825+K825+L825</f>
        <v>21422.04</v>
      </c>
      <c r="N825" s="44" t="s">
        <v>2462</v>
      </c>
    </row>
    <row r="826" customFormat="false" ht="14.25" hidden="false" customHeight="true" outlineLevel="0" collapsed="false">
      <c r="A826" s="39"/>
      <c r="B826" s="40" t="s">
        <v>2463</v>
      </c>
      <c r="C826" s="41" t="s">
        <v>107</v>
      </c>
      <c r="D826" s="41" t="s">
        <v>108</v>
      </c>
      <c r="E826" s="42" t="n">
        <v>9000</v>
      </c>
      <c r="F826" s="42"/>
      <c r="G826" s="42"/>
      <c r="H826" s="43" t="n">
        <v>2</v>
      </c>
      <c r="I826" s="34" t="n">
        <f aca="false">E826*H826+N(F826)+N(G826)</f>
        <v>18000</v>
      </c>
      <c r="J826" s="42" t="n">
        <f aca="false">ROUND(IFERROR(ROUND(IF(OR(ISNUMBER(SEARCH("week",C826)),ISNUMBER(SEARCH("minggu",C826))),IFERROR(_xlfn.NUMBERVALUE(SUBSTITUTE(LEFT(TRIM(C826),FIND(" ",TRIM(C826)&amp;" ")-1),",","."),"."),LEFT(SUBSTITUTE(LEFT(TRIM(C826),FIND(" ",TRIM(C826)&amp;" ")-1),",","."),FIND("/",SUBSTITUTE(LEFT(TRIM(C826),FIND(" ",TRIM(C826)&amp;" ")-1),",","."))-1)/MID(SUBSTITUTE(LEFT(TRIM(C826),FIND(" ",TRIM(C826)&amp;" ")-1),",","."),FIND("/",SUBSTITUTE(LEFT(TRIM(C826),FIND(" ",TRIM(C826)&amp;" ")-1),",","."))+1,9))*12/52,IF(ISNUMBER(SEARCH("month",C826)),IFERROR(_xlfn.NUMBERVALUE(SUBSTITUTE(LEFT(TRIM(C826),FIND(" ",TRIM(C826)&amp;" ")-1),",","."),"."),LEFT(SUBSTITUTE(LEFT(TRIM(C826),FIND(" ",TRIM(C826)&amp;" ")-1),",","."),FIND("/",SUBSTITUTE(LEFT(TRIM(C826),FIND(" ",TRIM(C826)&amp;" ")-1),",","."))-1)/MID(SUBSTITUTE(LEFT(TRIM(C826),FIND(" ",TRIM(C826)&amp;" ")-1),",","."),FIND("/",SUBSTITUTE(LEFT(TRIM(C826),FIND(" ",TRIM(C826)&amp;" ")-1),",","."))+1,9)),IF(ISNUMBER(SEARCH("yea",C826)),IFERROR(_xlfn.NUMBERVALUE(SUBSTITUTE(LEFT(TRIM(C826),FIND(" ",TRIM(C826)&amp;" ")-1),",","."),"."),LEFT(SUBSTITUTE(LEFT(TRIM(C826),FIND(" ",TRIM(C826)&amp;" ")-1),",","."),FIND("/",SUBSTITUTE(LEFT(TRIM(C826),FIND(" ",TRIM(C826)&amp;" ")-1),",","."))-1)/MID(SUBSTITUTE(LEFT(TRIM(C826),FIND(" ",TRIM(C826)&amp;" ")-1),",","."),FIND("/",SUBSTITUTE(LEFT(TRIM(C826),FIND(" ",TRIM(C826)&amp;" ")-1),",","."))+1,9))*12,NA()))),0),24)*'Aturan &amp; Tarif'!$B$4,2)</f>
        <v>1362.72</v>
      </c>
      <c r="K826" s="42" t="n">
        <f aca="false">'Aturan &amp; Tarif'!$B$5</f>
        <v>2050</v>
      </c>
      <c r="L826" s="42" t="n">
        <f aca="false">'Aturan &amp; Tarif'!$B$6</f>
        <v>350</v>
      </c>
      <c r="M826" s="35" t="n">
        <f aca="false">I826+J826+K826+L826</f>
        <v>21762.72</v>
      </c>
      <c r="N826" s="44" t="s">
        <v>2464</v>
      </c>
    </row>
    <row r="827" customFormat="false" ht="25.5" hidden="false" customHeight="true" outlineLevel="0" collapsed="false">
      <c r="A827" s="39"/>
      <c r="B827" s="40" t="s">
        <v>1048</v>
      </c>
      <c r="C827" s="41" t="s">
        <v>344</v>
      </c>
      <c r="D827" s="41" t="s">
        <v>108</v>
      </c>
      <c r="E827" s="42" t="n">
        <v>4500</v>
      </c>
      <c r="F827" s="42"/>
      <c r="G827" s="42"/>
      <c r="H827" s="43" t="n">
        <v>2</v>
      </c>
      <c r="I827" s="34" t="n">
        <f aca="false">E827*H827+N(F827)+N(G827)</f>
        <v>9000</v>
      </c>
      <c r="J827" s="42" t="n">
        <f aca="false">ROUND(IFERROR(ROUND(IF(OR(ISNUMBER(SEARCH("week",C827)),ISNUMBER(SEARCH("minggu",C827))),IFERROR(_xlfn.NUMBERVALUE(SUBSTITUTE(LEFT(TRIM(C827),FIND(" ",TRIM(C827)&amp;" ")-1),",","."),"."),LEFT(SUBSTITUTE(LEFT(TRIM(C827),FIND(" ",TRIM(C827)&amp;" ")-1),",","."),FIND("/",SUBSTITUTE(LEFT(TRIM(C827),FIND(" ",TRIM(C827)&amp;" ")-1),",","."))-1)/MID(SUBSTITUTE(LEFT(TRIM(C827),FIND(" ",TRIM(C827)&amp;" ")-1),",","."),FIND("/",SUBSTITUTE(LEFT(TRIM(C827),FIND(" ",TRIM(C827)&amp;" ")-1),",","."))+1,9))*12/52,IF(ISNUMBER(SEARCH("month",C827)),IFERROR(_xlfn.NUMBERVALUE(SUBSTITUTE(LEFT(TRIM(C827),FIND(" ",TRIM(C827)&amp;" ")-1),",","."),"."),LEFT(SUBSTITUTE(LEFT(TRIM(C827),FIND(" ",TRIM(C827)&amp;" ")-1),",","."),FIND("/",SUBSTITUTE(LEFT(TRIM(C827),FIND(" ",TRIM(C827)&amp;" ")-1),",","."))-1)/MID(SUBSTITUTE(LEFT(TRIM(C827),FIND(" ",TRIM(C827)&amp;" ")-1),",","."),FIND("/",SUBSTITUTE(LEFT(TRIM(C827),FIND(" ",TRIM(C827)&amp;" ")-1),",","."))+1,9)),IF(ISNUMBER(SEARCH("yea",C827)),IFERROR(_xlfn.NUMBERVALUE(SUBSTITUTE(LEFT(TRIM(C827),FIND(" ",TRIM(C827)&amp;" ")-1),",","."),"."),LEFT(SUBSTITUTE(LEFT(TRIM(C827),FIND(" ",TRIM(C827)&amp;" ")-1),",","."),FIND("/",SUBSTITUTE(LEFT(TRIM(C827),FIND(" ",TRIM(C827)&amp;" ")-1),",","."))-1)/MID(SUBSTITUTE(LEFT(TRIM(C827),FIND(" ",TRIM(C827)&amp;" ")-1),",","."),FIND("/",SUBSTITUTE(LEFT(TRIM(C827),FIND(" ",TRIM(C827)&amp;" ")-1),",","."))+1,9))*12,NA()))),0),6)*'Aturan &amp; Tarif'!$B$4,2)</f>
        <v>340.68</v>
      </c>
      <c r="K827" s="42" t="n">
        <f aca="false">'Aturan &amp; Tarif'!$B$5</f>
        <v>2050</v>
      </c>
      <c r="L827" s="42" t="n">
        <f aca="false">'Aturan &amp; Tarif'!$B$6</f>
        <v>350</v>
      </c>
      <c r="M827" s="35" t="n">
        <f aca="false">I827+J827+K827+L827</f>
        <v>11740.68</v>
      </c>
      <c r="N827" s="44" t="s">
        <v>1049</v>
      </c>
    </row>
    <row r="828" customFormat="false" ht="14.25" hidden="false" customHeight="true" outlineLevel="0" collapsed="false">
      <c r="A828" s="39"/>
      <c r="B828" s="40" t="s">
        <v>1050</v>
      </c>
      <c r="C828" s="41" t="s">
        <v>130</v>
      </c>
      <c r="D828" s="41" t="s">
        <v>108</v>
      </c>
      <c r="E828" s="42" t="n">
        <v>9000</v>
      </c>
      <c r="F828" s="42"/>
      <c r="G828" s="42"/>
      <c r="H828" s="43" t="n">
        <v>2</v>
      </c>
      <c r="I828" s="34" t="n">
        <f aca="false">E828*H828+N(F828)+N(G828)</f>
        <v>18000</v>
      </c>
      <c r="J828" s="42" t="n">
        <f aca="false">ROUND(IFERROR(ROUND(IF(OR(ISNUMBER(SEARCH("week",C828)),ISNUMBER(SEARCH("minggu",C828))),IFERROR(_xlfn.NUMBERVALUE(SUBSTITUTE(LEFT(TRIM(C828),FIND(" ",TRIM(C828)&amp;" ")-1),",","."),"."),LEFT(SUBSTITUTE(LEFT(TRIM(C828),FIND(" ",TRIM(C828)&amp;" ")-1),",","."),FIND("/",SUBSTITUTE(LEFT(TRIM(C828),FIND(" ",TRIM(C828)&amp;" ")-1),",","."))-1)/MID(SUBSTITUTE(LEFT(TRIM(C828),FIND(" ",TRIM(C828)&amp;" ")-1),",","."),FIND("/",SUBSTITUTE(LEFT(TRIM(C828),FIND(" ",TRIM(C828)&amp;" ")-1),",","."))+1,9))*12/52,IF(ISNUMBER(SEARCH("month",C828)),IFERROR(_xlfn.NUMBERVALUE(SUBSTITUTE(LEFT(TRIM(C828),FIND(" ",TRIM(C828)&amp;" ")-1),",","."),"."),LEFT(SUBSTITUTE(LEFT(TRIM(C828),FIND(" ",TRIM(C828)&amp;" ")-1),",","."),FIND("/",SUBSTITUTE(LEFT(TRIM(C828),FIND(" ",TRIM(C828)&amp;" ")-1),",","."))-1)/MID(SUBSTITUTE(LEFT(TRIM(C828),FIND(" ",TRIM(C828)&amp;" ")-1),",","."),FIND("/",SUBSTITUTE(LEFT(TRIM(C828),FIND(" ",TRIM(C828)&amp;" ")-1),",","."))+1,9)),IF(ISNUMBER(SEARCH("yea",C828)),IFERROR(_xlfn.NUMBERVALUE(SUBSTITUTE(LEFT(TRIM(C828),FIND(" ",TRIM(C828)&amp;" ")-1),",","."),"."),LEFT(SUBSTITUTE(LEFT(TRIM(C828),FIND(" ",TRIM(C828)&amp;" ")-1),",","."),FIND("/",SUBSTITUTE(LEFT(TRIM(C828),FIND(" ",TRIM(C828)&amp;" ")-1),",","."))-1)/MID(SUBSTITUTE(LEFT(TRIM(C828),FIND(" ",TRIM(C828)&amp;" ")-1),",","."),FIND("/",SUBSTITUTE(LEFT(TRIM(C828),FIND(" ",TRIM(C828)&amp;" ")-1),",","."))+1,9))*12,NA()))),0),12)*'Aturan &amp; Tarif'!$B$4,2)</f>
        <v>681.36</v>
      </c>
      <c r="K828" s="42" t="n">
        <f aca="false">'Aturan &amp; Tarif'!$B$5</f>
        <v>2050</v>
      </c>
      <c r="L828" s="42" t="n">
        <f aca="false">'Aturan &amp; Tarif'!$B$6</f>
        <v>350</v>
      </c>
      <c r="M828" s="35" t="n">
        <f aca="false">I828+J828+K828+L828</f>
        <v>21081.36</v>
      </c>
      <c r="N828" s="44" t="s">
        <v>1051</v>
      </c>
    </row>
    <row r="829" customFormat="false" ht="60" hidden="false" customHeight="true" outlineLevel="0" collapsed="false">
      <c r="A829" s="39"/>
      <c r="B829" s="40" t="s">
        <v>348</v>
      </c>
      <c r="C829" s="41" t="s">
        <v>113</v>
      </c>
      <c r="D829" s="41" t="s">
        <v>108</v>
      </c>
      <c r="E829" s="42" t="n">
        <v>9000</v>
      </c>
      <c r="F829" s="42"/>
      <c r="G829" s="42"/>
      <c r="H829" s="43" t="n">
        <v>2</v>
      </c>
      <c r="I829" s="34" t="n">
        <f aca="false">E829*H829+N(F829)+N(G829)</f>
        <v>18000</v>
      </c>
      <c r="J829" s="42" t="n">
        <f aca="false">ROUND(IFERROR(ROUND(IF(OR(ISNUMBER(SEARCH("week",C829)),ISNUMBER(SEARCH("minggu",C829))),IFERROR(_xlfn.NUMBERVALUE(SUBSTITUTE(LEFT(TRIM(C829),FIND(" ",TRIM(C829)&amp;" ")-1),",","."),"."),LEFT(SUBSTITUTE(LEFT(TRIM(C829),FIND(" ",TRIM(C829)&amp;" ")-1),",","."),FIND("/",SUBSTITUTE(LEFT(TRIM(C829),FIND(" ",TRIM(C829)&amp;" ")-1),",","."))-1)/MID(SUBSTITUTE(LEFT(TRIM(C829),FIND(" ",TRIM(C829)&amp;" ")-1),",","."),FIND("/",SUBSTITUTE(LEFT(TRIM(C829),FIND(" ",TRIM(C829)&amp;" ")-1),",","."))+1,9))*12/52,IF(ISNUMBER(SEARCH("month",C829)),IFERROR(_xlfn.NUMBERVALUE(SUBSTITUTE(LEFT(TRIM(C829),FIND(" ",TRIM(C829)&amp;" ")-1),",","."),"."),LEFT(SUBSTITUTE(LEFT(TRIM(C829),FIND(" ",TRIM(C829)&amp;" ")-1),",","."),FIND("/",SUBSTITUTE(LEFT(TRIM(C829),FIND(" ",TRIM(C829)&amp;" ")-1),",","."))-1)/MID(SUBSTITUTE(LEFT(TRIM(C829),FIND(" ",TRIM(C829)&amp;" ")-1),",","."),FIND("/",SUBSTITUTE(LEFT(TRIM(C829),FIND(" ",TRIM(C829)&amp;" ")-1),",","."))+1,9)),IF(ISNUMBER(SEARCH("yea",C829)),IFERROR(_xlfn.NUMBERVALUE(SUBSTITUTE(LEFT(TRIM(C829),FIND(" ",TRIM(C829)&amp;" ")-1),",","."),"."),LEFT(SUBSTITUTE(LEFT(TRIM(C829),FIND(" ",TRIM(C829)&amp;" ")-1),",","."),FIND("/",SUBSTITUTE(LEFT(TRIM(C829),FIND(" ",TRIM(C829)&amp;" ")-1),",","."))-1)/MID(SUBSTITUTE(LEFT(TRIM(C829),FIND(" ",TRIM(C829)&amp;" ")-1),",","."),FIND("/",SUBSTITUTE(LEFT(TRIM(C829),FIND(" ",TRIM(C829)&amp;" ")-1),",","."))+1,9))*12,NA()))),0),18)*'Aturan &amp; Tarif'!$B$4,2)</f>
        <v>1022.04</v>
      </c>
      <c r="K829" s="42" t="n">
        <f aca="false">'Aturan &amp; Tarif'!$B$5</f>
        <v>2050</v>
      </c>
      <c r="L829" s="42" t="n">
        <f aca="false">'Aturan &amp; Tarif'!$B$6</f>
        <v>350</v>
      </c>
      <c r="M829" s="35" t="n">
        <f aca="false">I829+J829+K829+L829</f>
        <v>21422.04</v>
      </c>
      <c r="N829" s="44" t="s">
        <v>1052</v>
      </c>
    </row>
    <row r="830" customFormat="false" ht="60" hidden="false" customHeight="true" outlineLevel="0" collapsed="false">
      <c r="A830" s="39"/>
      <c r="B830" s="40" t="s">
        <v>1053</v>
      </c>
      <c r="C830" s="41" t="s">
        <v>107</v>
      </c>
      <c r="D830" s="41" t="s">
        <v>108</v>
      </c>
      <c r="E830" s="42" t="n">
        <v>9000</v>
      </c>
      <c r="F830" s="42"/>
      <c r="G830" s="42"/>
      <c r="H830" s="43" t="n">
        <v>2</v>
      </c>
      <c r="I830" s="34" t="n">
        <f aca="false">E830*H830+N(F830)+N(G830)</f>
        <v>18000</v>
      </c>
      <c r="J830" s="42" t="n">
        <f aca="false">ROUND(IFERROR(ROUND(IF(OR(ISNUMBER(SEARCH("week",C830)),ISNUMBER(SEARCH("minggu",C830))),IFERROR(_xlfn.NUMBERVALUE(SUBSTITUTE(LEFT(TRIM(C830),FIND(" ",TRIM(C830)&amp;" ")-1),",","."),"."),LEFT(SUBSTITUTE(LEFT(TRIM(C830),FIND(" ",TRIM(C830)&amp;" ")-1),",","."),FIND("/",SUBSTITUTE(LEFT(TRIM(C830),FIND(" ",TRIM(C830)&amp;" ")-1),",","."))-1)/MID(SUBSTITUTE(LEFT(TRIM(C830),FIND(" ",TRIM(C830)&amp;" ")-1),",","."),FIND("/",SUBSTITUTE(LEFT(TRIM(C830),FIND(" ",TRIM(C830)&amp;" ")-1),",","."))+1,9))*12/52,IF(ISNUMBER(SEARCH("month",C830)),IFERROR(_xlfn.NUMBERVALUE(SUBSTITUTE(LEFT(TRIM(C830),FIND(" ",TRIM(C830)&amp;" ")-1),",","."),"."),LEFT(SUBSTITUTE(LEFT(TRIM(C830),FIND(" ",TRIM(C830)&amp;" ")-1),",","."),FIND("/",SUBSTITUTE(LEFT(TRIM(C830),FIND(" ",TRIM(C830)&amp;" ")-1),",","."))-1)/MID(SUBSTITUTE(LEFT(TRIM(C830),FIND(" ",TRIM(C830)&amp;" ")-1),",","."),FIND("/",SUBSTITUTE(LEFT(TRIM(C830),FIND(" ",TRIM(C830)&amp;" ")-1),",","."))+1,9)),IF(ISNUMBER(SEARCH("yea",C830)),IFERROR(_xlfn.NUMBERVALUE(SUBSTITUTE(LEFT(TRIM(C830),FIND(" ",TRIM(C830)&amp;" ")-1),",","."),"."),LEFT(SUBSTITUTE(LEFT(TRIM(C830),FIND(" ",TRIM(C830)&amp;" ")-1),",","."),FIND("/",SUBSTITUTE(LEFT(TRIM(C830),FIND(" ",TRIM(C830)&amp;" ")-1),",","."))-1)/MID(SUBSTITUTE(LEFT(TRIM(C830),FIND(" ",TRIM(C830)&amp;" ")-1),",","."),FIND("/",SUBSTITUTE(LEFT(TRIM(C830),FIND(" ",TRIM(C830)&amp;" ")-1),",","."))+1,9))*12,NA()))),0),24)*'Aturan &amp; Tarif'!$B$4,2)</f>
        <v>1362.72</v>
      </c>
      <c r="K830" s="42" t="n">
        <f aca="false">'Aturan &amp; Tarif'!$B$5</f>
        <v>2050</v>
      </c>
      <c r="L830" s="42" t="n">
        <f aca="false">'Aturan &amp; Tarif'!$B$6</f>
        <v>350</v>
      </c>
      <c r="M830" s="35" t="n">
        <f aca="false">I830+J830+K830+L830</f>
        <v>21762.72</v>
      </c>
      <c r="N830" s="44" t="s">
        <v>1054</v>
      </c>
    </row>
    <row r="831" customFormat="false" ht="60" hidden="false" customHeight="true" outlineLevel="0" collapsed="false">
      <c r="A831" s="39"/>
      <c r="B831" s="40" t="s">
        <v>1055</v>
      </c>
      <c r="C831" s="41" t="s">
        <v>107</v>
      </c>
      <c r="D831" s="41" t="s">
        <v>108</v>
      </c>
      <c r="E831" s="42" t="n">
        <v>9000</v>
      </c>
      <c r="F831" s="42"/>
      <c r="G831" s="42"/>
      <c r="H831" s="43" t="n">
        <v>2</v>
      </c>
      <c r="I831" s="34" t="n">
        <f aca="false">E831*H831+N(F831)+N(G831)</f>
        <v>18000</v>
      </c>
      <c r="J831" s="42" t="n">
        <f aca="false">ROUND(IFERROR(ROUND(IF(OR(ISNUMBER(SEARCH("week",C831)),ISNUMBER(SEARCH("minggu",C831))),IFERROR(_xlfn.NUMBERVALUE(SUBSTITUTE(LEFT(TRIM(C831),FIND(" ",TRIM(C831)&amp;" ")-1),",","."),"."),LEFT(SUBSTITUTE(LEFT(TRIM(C831),FIND(" ",TRIM(C831)&amp;" ")-1),",","."),FIND("/",SUBSTITUTE(LEFT(TRIM(C831),FIND(" ",TRIM(C831)&amp;" ")-1),",","."))-1)/MID(SUBSTITUTE(LEFT(TRIM(C831),FIND(" ",TRIM(C831)&amp;" ")-1),",","."),FIND("/",SUBSTITUTE(LEFT(TRIM(C831),FIND(" ",TRIM(C831)&amp;" ")-1),",","."))+1,9))*12/52,IF(ISNUMBER(SEARCH("month",C831)),IFERROR(_xlfn.NUMBERVALUE(SUBSTITUTE(LEFT(TRIM(C831),FIND(" ",TRIM(C831)&amp;" ")-1),",","."),"."),LEFT(SUBSTITUTE(LEFT(TRIM(C831),FIND(" ",TRIM(C831)&amp;" ")-1),",","."),FIND("/",SUBSTITUTE(LEFT(TRIM(C831),FIND(" ",TRIM(C831)&amp;" ")-1),",","."))-1)/MID(SUBSTITUTE(LEFT(TRIM(C831),FIND(" ",TRIM(C831)&amp;" ")-1),",","."),FIND("/",SUBSTITUTE(LEFT(TRIM(C831),FIND(" ",TRIM(C831)&amp;" ")-1),",","."))+1,9)),IF(ISNUMBER(SEARCH("yea",C831)),IFERROR(_xlfn.NUMBERVALUE(SUBSTITUTE(LEFT(TRIM(C831),FIND(" ",TRIM(C831)&amp;" ")-1),",","."),"."),LEFT(SUBSTITUTE(LEFT(TRIM(C831),FIND(" ",TRIM(C831)&amp;" ")-1),",","."),FIND("/",SUBSTITUTE(LEFT(TRIM(C831),FIND(" ",TRIM(C831)&amp;" ")-1),",","."))-1)/MID(SUBSTITUTE(LEFT(TRIM(C831),FIND(" ",TRIM(C831)&amp;" ")-1),",","."),FIND("/",SUBSTITUTE(LEFT(TRIM(C831),FIND(" ",TRIM(C831)&amp;" ")-1),",","."))+1,9))*12,NA()))),0),24)*'Aturan &amp; Tarif'!$B$4,2)</f>
        <v>1362.72</v>
      </c>
      <c r="K831" s="42" t="n">
        <f aca="false">'Aturan &amp; Tarif'!$B$5</f>
        <v>2050</v>
      </c>
      <c r="L831" s="42" t="n">
        <f aca="false">'Aturan &amp; Tarif'!$B$6</f>
        <v>350</v>
      </c>
      <c r="M831" s="35" t="n">
        <f aca="false">I831+J831+K831+L831</f>
        <v>21762.72</v>
      </c>
      <c r="N831" s="44" t="s">
        <v>1056</v>
      </c>
    </row>
    <row r="832" customFormat="false" ht="60" hidden="false" customHeight="true" outlineLevel="0" collapsed="false">
      <c r="A832" s="39"/>
      <c r="B832" s="40" t="s">
        <v>1057</v>
      </c>
      <c r="C832" s="41" t="s">
        <v>107</v>
      </c>
      <c r="D832" s="41" t="s">
        <v>108</v>
      </c>
      <c r="E832" s="42" t="n">
        <v>7950</v>
      </c>
      <c r="F832" s="42"/>
      <c r="G832" s="42"/>
      <c r="H832" s="43" t="n">
        <v>2</v>
      </c>
      <c r="I832" s="34" t="n">
        <f aca="false">E832*H832+N(F832)+N(G832)</f>
        <v>15900</v>
      </c>
      <c r="J832" s="42" t="n">
        <f aca="false">ROUND(IFERROR(ROUND(IF(OR(ISNUMBER(SEARCH("week",C832)),ISNUMBER(SEARCH("minggu",C832))),IFERROR(_xlfn.NUMBERVALUE(SUBSTITUTE(LEFT(TRIM(C832),FIND(" ",TRIM(C832)&amp;" ")-1),",","."),"."),LEFT(SUBSTITUTE(LEFT(TRIM(C832),FIND(" ",TRIM(C832)&amp;" ")-1),",","."),FIND("/",SUBSTITUTE(LEFT(TRIM(C832),FIND(" ",TRIM(C832)&amp;" ")-1),",","."))-1)/MID(SUBSTITUTE(LEFT(TRIM(C832),FIND(" ",TRIM(C832)&amp;" ")-1),",","."),FIND("/",SUBSTITUTE(LEFT(TRIM(C832),FIND(" ",TRIM(C832)&amp;" ")-1),",","."))+1,9))*12/52,IF(ISNUMBER(SEARCH("month",C832)),IFERROR(_xlfn.NUMBERVALUE(SUBSTITUTE(LEFT(TRIM(C832),FIND(" ",TRIM(C832)&amp;" ")-1),",","."),"."),LEFT(SUBSTITUTE(LEFT(TRIM(C832),FIND(" ",TRIM(C832)&amp;" ")-1),",","."),FIND("/",SUBSTITUTE(LEFT(TRIM(C832),FIND(" ",TRIM(C832)&amp;" ")-1),",","."))-1)/MID(SUBSTITUTE(LEFT(TRIM(C832),FIND(" ",TRIM(C832)&amp;" ")-1),",","."),FIND("/",SUBSTITUTE(LEFT(TRIM(C832),FIND(" ",TRIM(C832)&amp;" ")-1),",","."))+1,9)),IF(ISNUMBER(SEARCH("yea",C832)),IFERROR(_xlfn.NUMBERVALUE(SUBSTITUTE(LEFT(TRIM(C832),FIND(" ",TRIM(C832)&amp;" ")-1),",","."),"."),LEFT(SUBSTITUTE(LEFT(TRIM(C832),FIND(" ",TRIM(C832)&amp;" ")-1),",","."),FIND("/",SUBSTITUTE(LEFT(TRIM(C832),FIND(" ",TRIM(C832)&amp;" ")-1),",","."))-1)/MID(SUBSTITUTE(LEFT(TRIM(C832),FIND(" ",TRIM(C832)&amp;" ")-1),",","."),FIND("/",SUBSTITUTE(LEFT(TRIM(C832),FIND(" ",TRIM(C832)&amp;" ")-1),",","."))+1,9))*12,NA()))),0),24)*'Aturan &amp; Tarif'!$B$4,2)</f>
        <v>1362.72</v>
      </c>
      <c r="K832" s="42" t="n">
        <f aca="false">'Aturan &amp; Tarif'!$B$5</f>
        <v>2050</v>
      </c>
      <c r="L832" s="42" t="n">
        <f aca="false">'Aturan &amp; Tarif'!$B$6</f>
        <v>350</v>
      </c>
      <c r="M832" s="35" t="n">
        <f aca="false">I832+J832+K832+L832</f>
        <v>19662.72</v>
      </c>
      <c r="N832" s="44" t="s">
        <v>1058</v>
      </c>
    </row>
    <row r="833" customFormat="false" ht="60" hidden="false" customHeight="true" outlineLevel="0" collapsed="false">
      <c r="A833" s="39"/>
      <c r="B833" s="40" t="s">
        <v>1059</v>
      </c>
      <c r="C833" s="41" t="s">
        <v>113</v>
      </c>
      <c r="D833" s="41" t="s">
        <v>108</v>
      </c>
      <c r="E833" s="42" t="n">
        <v>9000</v>
      </c>
      <c r="F833" s="42"/>
      <c r="G833" s="42"/>
      <c r="H833" s="43" t="n">
        <v>2</v>
      </c>
      <c r="I833" s="34" t="n">
        <f aca="false">E833*H833+N(F833)+N(G833)</f>
        <v>18000</v>
      </c>
      <c r="J833" s="42" t="n">
        <f aca="false">ROUND(IFERROR(ROUND(IF(OR(ISNUMBER(SEARCH("week",C833)),ISNUMBER(SEARCH("minggu",C833))),IFERROR(_xlfn.NUMBERVALUE(SUBSTITUTE(LEFT(TRIM(C833),FIND(" ",TRIM(C833)&amp;" ")-1),",","."),"."),LEFT(SUBSTITUTE(LEFT(TRIM(C833),FIND(" ",TRIM(C833)&amp;" ")-1),",","."),FIND("/",SUBSTITUTE(LEFT(TRIM(C833),FIND(" ",TRIM(C833)&amp;" ")-1),",","."))-1)/MID(SUBSTITUTE(LEFT(TRIM(C833),FIND(" ",TRIM(C833)&amp;" ")-1),",","."),FIND("/",SUBSTITUTE(LEFT(TRIM(C833),FIND(" ",TRIM(C833)&amp;" ")-1),",","."))+1,9))*12/52,IF(ISNUMBER(SEARCH("month",C833)),IFERROR(_xlfn.NUMBERVALUE(SUBSTITUTE(LEFT(TRIM(C833),FIND(" ",TRIM(C833)&amp;" ")-1),",","."),"."),LEFT(SUBSTITUTE(LEFT(TRIM(C833),FIND(" ",TRIM(C833)&amp;" ")-1),",","."),FIND("/",SUBSTITUTE(LEFT(TRIM(C833),FIND(" ",TRIM(C833)&amp;" ")-1),",","."))-1)/MID(SUBSTITUTE(LEFT(TRIM(C833),FIND(" ",TRIM(C833)&amp;" ")-1),",","."),FIND("/",SUBSTITUTE(LEFT(TRIM(C833),FIND(" ",TRIM(C833)&amp;" ")-1),",","."))+1,9)),IF(ISNUMBER(SEARCH("yea",C833)),IFERROR(_xlfn.NUMBERVALUE(SUBSTITUTE(LEFT(TRIM(C833),FIND(" ",TRIM(C833)&amp;" ")-1),",","."),"."),LEFT(SUBSTITUTE(LEFT(TRIM(C833),FIND(" ",TRIM(C833)&amp;" ")-1),",","."),FIND("/",SUBSTITUTE(LEFT(TRIM(C833),FIND(" ",TRIM(C833)&amp;" ")-1),",","."))-1)/MID(SUBSTITUTE(LEFT(TRIM(C833),FIND(" ",TRIM(C833)&amp;" ")-1),",","."),FIND("/",SUBSTITUTE(LEFT(TRIM(C833),FIND(" ",TRIM(C833)&amp;" ")-1),",","."))+1,9))*12,NA()))),0),18)*'Aturan &amp; Tarif'!$B$4,2)</f>
        <v>1022.04</v>
      </c>
      <c r="K833" s="42" t="n">
        <f aca="false">'Aturan &amp; Tarif'!$B$5</f>
        <v>2050</v>
      </c>
      <c r="L833" s="42" t="n">
        <f aca="false">'Aturan &amp; Tarif'!$B$6</f>
        <v>350</v>
      </c>
      <c r="M833" s="35" t="n">
        <f aca="false">I833+J833+K833+L833</f>
        <v>21422.04</v>
      </c>
      <c r="N833" s="44" t="s">
        <v>1060</v>
      </c>
    </row>
    <row r="834" customFormat="false" ht="60" hidden="false" customHeight="true" outlineLevel="0" collapsed="false">
      <c r="A834" s="39"/>
      <c r="B834" s="40" t="s">
        <v>1061</v>
      </c>
      <c r="C834" s="41" t="s">
        <v>107</v>
      </c>
      <c r="D834" s="41" t="s">
        <v>108</v>
      </c>
      <c r="E834" s="42" t="n">
        <v>9000</v>
      </c>
      <c r="F834" s="42"/>
      <c r="G834" s="42"/>
      <c r="H834" s="43" t="n">
        <v>2</v>
      </c>
      <c r="I834" s="34" t="n">
        <f aca="false">E834*H834+N(F834)+N(G834)</f>
        <v>18000</v>
      </c>
      <c r="J834" s="42" t="n">
        <f aca="false">ROUND(IFERROR(ROUND(IF(OR(ISNUMBER(SEARCH("week",C834)),ISNUMBER(SEARCH("minggu",C834))),IFERROR(_xlfn.NUMBERVALUE(SUBSTITUTE(LEFT(TRIM(C834),FIND(" ",TRIM(C834)&amp;" ")-1),",","."),"."),LEFT(SUBSTITUTE(LEFT(TRIM(C834),FIND(" ",TRIM(C834)&amp;" ")-1),",","."),FIND("/",SUBSTITUTE(LEFT(TRIM(C834),FIND(" ",TRIM(C834)&amp;" ")-1),",","."))-1)/MID(SUBSTITUTE(LEFT(TRIM(C834),FIND(" ",TRIM(C834)&amp;" ")-1),",","."),FIND("/",SUBSTITUTE(LEFT(TRIM(C834),FIND(" ",TRIM(C834)&amp;" ")-1),",","."))+1,9))*12/52,IF(ISNUMBER(SEARCH("month",C834)),IFERROR(_xlfn.NUMBERVALUE(SUBSTITUTE(LEFT(TRIM(C834),FIND(" ",TRIM(C834)&amp;" ")-1),",","."),"."),LEFT(SUBSTITUTE(LEFT(TRIM(C834),FIND(" ",TRIM(C834)&amp;" ")-1),",","."),FIND("/",SUBSTITUTE(LEFT(TRIM(C834),FIND(" ",TRIM(C834)&amp;" ")-1),",","."))-1)/MID(SUBSTITUTE(LEFT(TRIM(C834),FIND(" ",TRIM(C834)&amp;" ")-1),",","."),FIND("/",SUBSTITUTE(LEFT(TRIM(C834),FIND(" ",TRIM(C834)&amp;" ")-1),",","."))+1,9)),IF(ISNUMBER(SEARCH("yea",C834)),IFERROR(_xlfn.NUMBERVALUE(SUBSTITUTE(LEFT(TRIM(C834),FIND(" ",TRIM(C834)&amp;" ")-1),",","."),"."),LEFT(SUBSTITUTE(LEFT(TRIM(C834),FIND(" ",TRIM(C834)&amp;" ")-1),",","."),FIND("/",SUBSTITUTE(LEFT(TRIM(C834),FIND(" ",TRIM(C834)&amp;" ")-1),",","."))-1)/MID(SUBSTITUTE(LEFT(TRIM(C834),FIND(" ",TRIM(C834)&amp;" ")-1),",","."),FIND("/",SUBSTITUTE(LEFT(TRIM(C834),FIND(" ",TRIM(C834)&amp;" ")-1),",","."))+1,9))*12,NA()))),0),24)*'Aturan &amp; Tarif'!$B$4,2)</f>
        <v>1362.72</v>
      </c>
      <c r="K834" s="42" t="n">
        <f aca="false">'Aturan &amp; Tarif'!$B$5</f>
        <v>2050</v>
      </c>
      <c r="L834" s="42" t="n">
        <f aca="false">'Aturan &amp; Tarif'!$B$6</f>
        <v>350</v>
      </c>
      <c r="M834" s="35" t="n">
        <f aca="false">I834+J834+K834+L834</f>
        <v>21762.72</v>
      </c>
      <c r="N834" s="44" t="s">
        <v>1062</v>
      </c>
    </row>
    <row r="835" customFormat="false" ht="60" hidden="false" customHeight="true" outlineLevel="0" collapsed="false">
      <c r="A835" s="39"/>
      <c r="B835" s="40" t="s">
        <v>1063</v>
      </c>
      <c r="C835" s="41" t="s">
        <v>130</v>
      </c>
      <c r="D835" s="41" t="s">
        <v>108</v>
      </c>
      <c r="E835" s="42" t="n">
        <v>4500</v>
      </c>
      <c r="F835" s="42"/>
      <c r="G835" s="42"/>
      <c r="H835" s="43" t="n">
        <v>2</v>
      </c>
      <c r="I835" s="34" t="n">
        <f aca="false">E835*H835+N(F835)+N(G835)</f>
        <v>9000</v>
      </c>
      <c r="J835" s="42" t="n">
        <f aca="false">ROUND(IFERROR(ROUND(IF(OR(ISNUMBER(SEARCH("week",C835)),ISNUMBER(SEARCH("minggu",C835))),IFERROR(_xlfn.NUMBERVALUE(SUBSTITUTE(LEFT(TRIM(C835),FIND(" ",TRIM(C835)&amp;" ")-1),",","."),"."),LEFT(SUBSTITUTE(LEFT(TRIM(C835),FIND(" ",TRIM(C835)&amp;" ")-1),",","."),FIND("/",SUBSTITUTE(LEFT(TRIM(C835),FIND(" ",TRIM(C835)&amp;" ")-1),",","."))-1)/MID(SUBSTITUTE(LEFT(TRIM(C835),FIND(" ",TRIM(C835)&amp;" ")-1),",","."),FIND("/",SUBSTITUTE(LEFT(TRIM(C835),FIND(" ",TRIM(C835)&amp;" ")-1),",","."))+1,9))*12/52,IF(ISNUMBER(SEARCH("month",C835)),IFERROR(_xlfn.NUMBERVALUE(SUBSTITUTE(LEFT(TRIM(C835),FIND(" ",TRIM(C835)&amp;" ")-1),",","."),"."),LEFT(SUBSTITUTE(LEFT(TRIM(C835),FIND(" ",TRIM(C835)&amp;" ")-1),",","."),FIND("/",SUBSTITUTE(LEFT(TRIM(C835),FIND(" ",TRIM(C835)&amp;" ")-1),",","."))-1)/MID(SUBSTITUTE(LEFT(TRIM(C835),FIND(" ",TRIM(C835)&amp;" ")-1),",","."),FIND("/",SUBSTITUTE(LEFT(TRIM(C835),FIND(" ",TRIM(C835)&amp;" ")-1),",","."))+1,9)),IF(ISNUMBER(SEARCH("yea",C835)),IFERROR(_xlfn.NUMBERVALUE(SUBSTITUTE(LEFT(TRIM(C835),FIND(" ",TRIM(C835)&amp;" ")-1),",","."),"."),LEFT(SUBSTITUTE(LEFT(TRIM(C835),FIND(" ",TRIM(C835)&amp;" ")-1),",","."),FIND("/",SUBSTITUTE(LEFT(TRIM(C835),FIND(" ",TRIM(C835)&amp;" ")-1),",","."))-1)/MID(SUBSTITUTE(LEFT(TRIM(C835),FIND(" ",TRIM(C835)&amp;" ")-1),",","."),FIND("/",SUBSTITUTE(LEFT(TRIM(C835),FIND(" ",TRIM(C835)&amp;" ")-1),",","."))+1,9))*12,NA()))),0),12)*'Aturan &amp; Tarif'!$B$4,2)</f>
        <v>681.36</v>
      </c>
      <c r="K835" s="42" t="n">
        <f aca="false">'Aturan &amp; Tarif'!$B$5</f>
        <v>2050</v>
      </c>
      <c r="L835" s="42" t="n">
        <f aca="false">'Aturan &amp; Tarif'!$B$6</f>
        <v>350</v>
      </c>
      <c r="M835" s="35" t="n">
        <f aca="false">I835+J835+K835+L835</f>
        <v>12081.36</v>
      </c>
      <c r="N835" s="45" t="s">
        <v>1064</v>
      </c>
    </row>
    <row r="836" customFormat="false" ht="60" hidden="false" customHeight="true" outlineLevel="0" collapsed="false">
      <c r="A836" s="39"/>
      <c r="B836" s="40" t="s">
        <v>1065</v>
      </c>
      <c r="C836" s="41" t="s">
        <v>130</v>
      </c>
      <c r="D836" s="41" t="s">
        <v>108</v>
      </c>
      <c r="E836" s="42" t="n">
        <v>4500</v>
      </c>
      <c r="F836" s="42"/>
      <c r="G836" s="42"/>
      <c r="H836" s="43" t="n">
        <v>2</v>
      </c>
      <c r="I836" s="34" t="n">
        <f aca="false">E836*H836+N(F836)+N(G836)</f>
        <v>9000</v>
      </c>
      <c r="J836" s="42" t="n">
        <f aca="false">ROUND(IFERROR(ROUND(IF(OR(ISNUMBER(SEARCH("week",C836)),ISNUMBER(SEARCH("minggu",C836))),IFERROR(_xlfn.NUMBERVALUE(SUBSTITUTE(LEFT(TRIM(C836),FIND(" ",TRIM(C836)&amp;" ")-1),",","."),"."),LEFT(SUBSTITUTE(LEFT(TRIM(C836),FIND(" ",TRIM(C836)&amp;" ")-1),",","."),FIND("/",SUBSTITUTE(LEFT(TRIM(C836),FIND(" ",TRIM(C836)&amp;" ")-1),",","."))-1)/MID(SUBSTITUTE(LEFT(TRIM(C836),FIND(" ",TRIM(C836)&amp;" ")-1),",","."),FIND("/",SUBSTITUTE(LEFT(TRIM(C836),FIND(" ",TRIM(C836)&amp;" ")-1),",","."))+1,9))*12/52,IF(ISNUMBER(SEARCH("month",C836)),IFERROR(_xlfn.NUMBERVALUE(SUBSTITUTE(LEFT(TRIM(C836),FIND(" ",TRIM(C836)&amp;" ")-1),",","."),"."),LEFT(SUBSTITUTE(LEFT(TRIM(C836),FIND(" ",TRIM(C836)&amp;" ")-1),",","."),FIND("/",SUBSTITUTE(LEFT(TRIM(C836),FIND(" ",TRIM(C836)&amp;" ")-1),",","."))-1)/MID(SUBSTITUTE(LEFT(TRIM(C836),FIND(" ",TRIM(C836)&amp;" ")-1),",","."),FIND("/",SUBSTITUTE(LEFT(TRIM(C836),FIND(" ",TRIM(C836)&amp;" ")-1),",","."))+1,9)),IF(ISNUMBER(SEARCH("yea",C836)),IFERROR(_xlfn.NUMBERVALUE(SUBSTITUTE(LEFT(TRIM(C836),FIND(" ",TRIM(C836)&amp;" ")-1),",","."),"."),LEFT(SUBSTITUTE(LEFT(TRIM(C836),FIND(" ",TRIM(C836)&amp;" ")-1),",","."),FIND("/",SUBSTITUTE(LEFT(TRIM(C836),FIND(" ",TRIM(C836)&amp;" ")-1),",","."))-1)/MID(SUBSTITUTE(LEFT(TRIM(C836),FIND(" ",TRIM(C836)&amp;" ")-1),",","."),FIND("/",SUBSTITUTE(LEFT(TRIM(C836),FIND(" ",TRIM(C836)&amp;" ")-1),",","."))+1,9))*12,NA()))),0),12)*'Aturan &amp; Tarif'!$B$4,2)</f>
        <v>681.36</v>
      </c>
      <c r="K836" s="42" t="n">
        <f aca="false">'Aturan &amp; Tarif'!$B$5</f>
        <v>2050</v>
      </c>
      <c r="L836" s="42" t="n">
        <f aca="false">'Aturan &amp; Tarif'!$B$6</f>
        <v>350</v>
      </c>
      <c r="M836" s="35" t="n">
        <f aca="false">I836+J836+K836+L836</f>
        <v>12081.36</v>
      </c>
      <c r="N836" s="45" t="s">
        <v>1066</v>
      </c>
    </row>
    <row r="837" customFormat="false" ht="60" hidden="false" customHeight="true" outlineLevel="0" collapsed="false">
      <c r="A837" s="39"/>
      <c r="B837" s="40" t="s">
        <v>1067</v>
      </c>
      <c r="C837" s="41" t="s">
        <v>130</v>
      </c>
      <c r="D837" s="41" t="s">
        <v>108</v>
      </c>
      <c r="E837" s="42" t="n">
        <v>9000</v>
      </c>
      <c r="F837" s="42"/>
      <c r="G837" s="42"/>
      <c r="H837" s="43" t="n">
        <v>2</v>
      </c>
      <c r="I837" s="34" t="n">
        <f aca="false">E837*H837+N(F837)+N(G837)</f>
        <v>18000</v>
      </c>
      <c r="J837" s="42" t="n">
        <f aca="false">ROUND(IFERROR(ROUND(IF(OR(ISNUMBER(SEARCH("week",C837)),ISNUMBER(SEARCH("minggu",C837))),IFERROR(_xlfn.NUMBERVALUE(SUBSTITUTE(LEFT(TRIM(C837),FIND(" ",TRIM(C837)&amp;" ")-1),",","."),"."),LEFT(SUBSTITUTE(LEFT(TRIM(C837),FIND(" ",TRIM(C837)&amp;" ")-1),",","."),FIND("/",SUBSTITUTE(LEFT(TRIM(C837),FIND(" ",TRIM(C837)&amp;" ")-1),",","."))-1)/MID(SUBSTITUTE(LEFT(TRIM(C837),FIND(" ",TRIM(C837)&amp;" ")-1),",","."),FIND("/",SUBSTITUTE(LEFT(TRIM(C837),FIND(" ",TRIM(C837)&amp;" ")-1),",","."))+1,9))*12/52,IF(ISNUMBER(SEARCH("month",C837)),IFERROR(_xlfn.NUMBERVALUE(SUBSTITUTE(LEFT(TRIM(C837),FIND(" ",TRIM(C837)&amp;" ")-1),",","."),"."),LEFT(SUBSTITUTE(LEFT(TRIM(C837),FIND(" ",TRIM(C837)&amp;" ")-1),",","."),FIND("/",SUBSTITUTE(LEFT(TRIM(C837),FIND(" ",TRIM(C837)&amp;" ")-1),",","."))-1)/MID(SUBSTITUTE(LEFT(TRIM(C837),FIND(" ",TRIM(C837)&amp;" ")-1),",","."),FIND("/",SUBSTITUTE(LEFT(TRIM(C837),FIND(" ",TRIM(C837)&amp;" ")-1),",","."))+1,9)),IF(ISNUMBER(SEARCH("yea",C837)),IFERROR(_xlfn.NUMBERVALUE(SUBSTITUTE(LEFT(TRIM(C837),FIND(" ",TRIM(C837)&amp;" ")-1),",","."),"."),LEFT(SUBSTITUTE(LEFT(TRIM(C837),FIND(" ",TRIM(C837)&amp;" ")-1),",","."),FIND("/",SUBSTITUTE(LEFT(TRIM(C837),FIND(" ",TRIM(C837)&amp;" ")-1),",","."))-1)/MID(SUBSTITUTE(LEFT(TRIM(C837),FIND(" ",TRIM(C837)&amp;" ")-1),",","."),FIND("/",SUBSTITUTE(LEFT(TRIM(C837),FIND(" ",TRIM(C837)&amp;" ")-1),",","."))+1,9))*12,NA()))),0),12)*'Aturan &amp; Tarif'!$B$4,2)</f>
        <v>681.36</v>
      </c>
      <c r="K837" s="42" t="n">
        <f aca="false">'Aturan &amp; Tarif'!$B$5</f>
        <v>2050</v>
      </c>
      <c r="L837" s="42" t="n">
        <f aca="false">'Aturan &amp; Tarif'!$B$6</f>
        <v>350</v>
      </c>
      <c r="M837" s="35" t="n">
        <f aca="false">I837+J837+K837+L837</f>
        <v>21081.36</v>
      </c>
      <c r="N837" s="45" t="s">
        <v>1068</v>
      </c>
    </row>
    <row r="838" customFormat="false" ht="25.5" hidden="false" customHeight="true" outlineLevel="0" collapsed="false">
      <c r="A838" s="39"/>
      <c r="B838" s="40" t="s">
        <v>1069</v>
      </c>
      <c r="C838" s="41" t="s">
        <v>130</v>
      </c>
      <c r="D838" s="41" t="s">
        <v>108</v>
      </c>
      <c r="E838" s="42" t="n">
        <v>9000</v>
      </c>
      <c r="F838" s="42"/>
      <c r="G838" s="42"/>
      <c r="H838" s="43" t="n">
        <v>2</v>
      </c>
      <c r="I838" s="34" t="n">
        <f aca="false">E838*H838+N(F838)+N(G838)</f>
        <v>18000</v>
      </c>
      <c r="J838" s="42" t="n">
        <f aca="false">ROUND(IFERROR(ROUND(IF(OR(ISNUMBER(SEARCH("week",C838)),ISNUMBER(SEARCH("minggu",C838))),IFERROR(_xlfn.NUMBERVALUE(SUBSTITUTE(LEFT(TRIM(C838),FIND(" ",TRIM(C838)&amp;" ")-1),",","."),"."),LEFT(SUBSTITUTE(LEFT(TRIM(C838),FIND(" ",TRIM(C838)&amp;" ")-1),",","."),FIND("/",SUBSTITUTE(LEFT(TRIM(C838),FIND(" ",TRIM(C838)&amp;" ")-1),",","."))-1)/MID(SUBSTITUTE(LEFT(TRIM(C838),FIND(" ",TRIM(C838)&amp;" ")-1),",","."),FIND("/",SUBSTITUTE(LEFT(TRIM(C838),FIND(" ",TRIM(C838)&amp;" ")-1),",","."))+1,9))*12/52,IF(ISNUMBER(SEARCH("month",C838)),IFERROR(_xlfn.NUMBERVALUE(SUBSTITUTE(LEFT(TRIM(C838),FIND(" ",TRIM(C838)&amp;" ")-1),",","."),"."),LEFT(SUBSTITUTE(LEFT(TRIM(C838),FIND(" ",TRIM(C838)&amp;" ")-1),",","."),FIND("/",SUBSTITUTE(LEFT(TRIM(C838),FIND(" ",TRIM(C838)&amp;" ")-1),",","."))-1)/MID(SUBSTITUTE(LEFT(TRIM(C838),FIND(" ",TRIM(C838)&amp;" ")-1),",","."),FIND("/",SUBSTITUTE(LEFT(TRIM(C838),FIND(" ",TRIM(C838)&amp;" ")-1),",","."))+1,9)),IF(ISNUMBER(SEARCH("yea",C838)),IFERROR(_xlfn.NUMBERVALUE(SUBSTITUTE(LEFT(TRIM(C838),FIND(" ",TRIM(C838)&amp;" ")-1),",","."),"."),LEFT(SUBSTITUTE(LEFT(TRIM(C838),FIND(" ",TRIM(C838)&amp;" ")-1),",","."),FIND("/",SUBSTITUTE(LEFT(TRIM(C838),FIND(" ",TRIM(C838)&amp;" ")-1),",","."))-1)/MID(SUBSTITUTE(LEFT(TRIM(C838),FIND(" ",TRIM(C838)&amp;" ")-1),",","."),FIND("/",SUBSTITUTE(LEFT(TRIM(C838),FIND(" ",TRIM(C838)&amp;" ")-1),",","."))+1,9))*12,NA()))),0),12)*'Aturan &amp; Tarif'!$B$4,2)</f>
        <v>681.36</v>
      </c>
      <c r="K838" s="42" t="n">
        <f aca="false">'Aturan &amp; Tarif'!$B$5</f>
        <v>2050</v>
      </c>
      <c r="L838" s="42" t="n">
        <f aca="false">'Aturan &amp; Tarif'!$B$6</f>
        <v>350</v>
      </c>
      <c r="M838" s="35" t="n">
        <f aca="false">I838+J838+K838+L838</f>
        <v>21081.36</v>
      </c>
      <c r="N838" s="44" t="s">
        <v>1036</v>
      </c>
    </row>
    <row r="839" customFormat="false" ht="60" hidden="false" customHeight="true" outlineLevel="0" collapsed="false">
      <c r="A839" s="39"/>
      <c r="B839" s="40" t="s">
        <v>1070</v>
      </c>
      <c r="C839" s="41" t="s">
        <v>107</v>
      </c>
      <c r="D839" s="41" t="s">
        <v>108</v>
      </c>
      <c r="E839" s="42" t="n">
        <v>9000</v>
      </c>
      <c r="F839" s="42"/>
      <c r="G839" s="42"/>
      <c r="H839" s="43" t="n">
        <v>2</v>
      </c>
      <c r="I839" s="34" t="n">
        <f aca="false">E839*H839+N(F839)+N(G839)</f>
        <v>18000</v>
      </c>
      <c r="J839" s="42" t="n">
        <f aca="false">ROUND(IFERROR(ROUND(IF(OR(ISNUMBER(SEARCH("week",C839)),ISNUMBER(SEARCH("minggu",C839))),IFERROR(_xlfn.NUMBERVALUE(SUBSTITUTE(LEFT(TRIM(C839),FIND(" ",TRIM(C839)&amp;" ")-1),",","."),"."),LEFT(SUBSTITUTE(LEFT(TRIM(C839),FIND(" ",TRIM(C839)&amp;" ")-1),",","."),FIND("/",SUBSTITUTE(LEFT(TRIM(C839),FIND(" ",TRIM(C839)&amp;" ")-1),",","."))-1)/MID(SUBSTITUTE(LEFT(TRIM(C839),FIND(" ",TRIM(C839)&amp;" ")-1),",","."),FIND("/",SUBSTITUTE(LEFT(TRIM(C839),FIND(" ",TRIM(C839)&amp;" ")-1),",","."))+1,9))*12/52,IF(ISNUMBER(SEARCH("month",C839)),IFERROR(_xlfn.NUMBERVALUE(SUBSTITUTE(LEFT(TRIM(C839),FIND(" ",TRIM(C839)&amp;" ")-1),",","."),"."),LEFT(SUBSTITUTE(LEFT(TRIM(C839),FIND(" ",TRIM(C839)&amp;" ")-1),",","."),FIND("/",SUBSTITUTE(LEFT(TRIM(C839),FIND(" ",TRIM(C839)&amp;" ")-1),",","."))-1)/MID(SUBSTITUTE(LEFT(TRIM(C839),FIND(" ",TRIM(C839)&amp;" ")-1),",","."),FIND("/",SUBSTITUTE(LEFT(TRIM(C839),FIND(" ",TRIM(C839)&amp;" ")-1),",","."))+1,9)),IF(ISNUMBER(SEARCH("yea",C839)),IFERROR(_xlfn.NUMBERVALUE(SUBSTITUTE(LEFT(TRIM(C839),FIND(" ",TRIM(C839)&amp;" ")-1),",","."),"."),LEFT(SUBSTITUTE(LEFT(TRIM(C839),FIND(" ",TRIM(C839)&amp;" ")-1),",","."),FIND("/",SUBSTITUTE(LEFT(TRIM(C839),FIND(" ",TRIM(C839)&amp;" ")-1),",","."))-1)/MID(SUBSTITUTE(LEFT(TRIM(C839),FIND(" ",TRIM(C839)&amp;" ")-1),",","."),FIND("/",SUBSTITUTE(LEFT(TRIM(C839),FIND(" ",TRIM(C839)&amp;" ")-1),",","."))+1,9))*12,NA()))),0),24)*'Aturan &amp; Tarif'!$B$4,2)</f>
        <v>1362.72</v>
      </c>
      <c r="K839" s="42" t="n">
        <f aca="false">'Aturan &amp; Tarif'!$B$5</f>
        <v>2050</v>
      </c>
      <c r="L839" s="42" t="n">
        <f aca="false">'Aturan &amp; Tarif'!$B$6</f>
        <v>350</v>
      </c>
      <c r="M839" s="35" t="n">
        <f aca="false">I839+J839+K839+L839</f>
        <v>21762.72</v>
      </c>
      <c r="N839" s="44" t="s">
        <v>1036</v>
      </c>
    </row>
    <row r="840" customFormat="false" ht="60" hidden="false" customHeight="true" outlineLevel="0" collapsed="false">
      <c r="A840" s="39"/>
      <c r="B840" s="40" t="s">
        <v>1071</v>
      </c>
      <c r="C840" s="41" t="s">
        <v>107</v>
      </c>
      <c r="D840" s="41" t="s">
        <v>108</v>
      </c>
      <c r="E840" s="42" t="n">
        <v>9000</v>
      </c>
      <c r="F840" s="42"/>
      <c r="G840" s="42"/>
      <c r="H840" s="43" t="n">
        <v>2</v>
      </c>
      <c r="I840" s="34" t="n">
        <f aca="false">E840*H840+N(F840)+N(G840)</f>
        <v>18000</v>
      </c>
      <c r="J840" s="42" t="n">
        <f aca="false">ROUND(IFERROR(ROUND(IF(OR(ISNUMBER(SEARCH("week",C840)),ISNUMBER(SEARCH("minggu",C840))),IFERROR(_xlfn.NUMBERVALUE(SUBSTITUTE(LEFT(TRIM(C840),FIND(" ",TRIM(C840)&amp;" ")-1),",","."),"."),LEFT(SUBSTITUTE(LEFT(TRIM(C840),FIND(" ",TRIM(C840)&amp;" ")-1),",","."),FIND("/",SUBSTITUTE(LEFT(TRIM(C840),FIND(" ",TRIM(C840)&amp;" ")-1),",","."))-1)/MID(SUBSTITUTE(LEFT(TRIM(C840),FIND(" ",TRIM(C840)&amp;" ")-1),",","."),FIND("/",SUBSTITUTE(LEFT(TRIM(C840),FIND(" ",TRIM(C840)&amp;" ")-1),",","."))+1,9))*12/52,IF(ISNUMBER(SEARCH("month",C840)),IFERROR(_xlfn.NUMBERVALUE(SUBSTITUTE(LEFT(TRIM(C840),FIND(" ",TRIM(C840)&amp;" ")-1),",","."),"."),LEFT(SUBSTITUTE(LEFT(TRIM(C840),FIND(" ",TRIM(C840)&amp;" ")-1),",","."),FIND("/",SUBSTITUTE(LEFT(TRIM(C840),FIND(" ",TRIM(C840)&amp;" ")-1),",","."))-1)/MID(SUBSTITUTE(LEFT(TRIM(C840),FIND(" ",TRIM(C840)&amp;" ")-1),",","."),FIND("/",SUBSTITUTE(LEFT(TRIM(C840),FIND(" ",TRIM(C840)&amp;" ")-1),",","."))+1,9)),IF(ISNUMBER(SEARCH("yea",C840)),IFERROR(_xlfn.NUMBERVALUE(SUBSTITUTE(LEFT(TRIM(C840),FIND(" ",TRIM(C840)&amp;" ")-1),",","."),"."),LEFT(SUBSTITUTE(LEFT(TRIM(C840),FIND(" ",TRIM(C840)&amp;" ")-1),",","."),FIND("/",SUBSTITUTE(LEFT(TRIM(C840),FIND(" ",TRIM(C840)&amp;" ")-1),",","."))-1)/MID(SUBSTITUTE(LEFT(TRIM(C840),FIND(" ",TRIM(C840)&amp;" ")-1),",","."),FIND("/",SUBSTITUTE(LEFT(TRIM(C840),FIND(" ",TRIM(C840)&amp;" ")-1),",","."))+1,9))*12,NA()))),0),24)*'Aturan &amp; Tarif'!$B$4,2)</f>
        <v>1362.72</v>
      </c>
      <c r="K840" s="42" t="n">
        <f aca="false">'Aturan &amp; Tarif'!$B$5</f>
        <v>2050</v>
      </c>
      <c r="L840" s="42" t="n">
        <f aca="false">'Aturan &amp; Tarif'!$B$6</f>
        <v>350</v>
      </c>
      <c r="M840" s="35" t="n">
        <f aca="false">I840+J840+K840+L840</f>
        <v>21762.72</v>
      </c>
      <c r="N840" s="44" t="s">
        <v>1072</v>
      </c>
    </row>
    <row r="841" customFormat="false" ht="60" hidden="false" customHeight="true" outlineLevel="0" collapsed="false">
      <c r="A841" s="39"/>
      <c r="B841" s="40" t="s">
        <v>1073</v>
      </c>
      <c r="C841" s="41" t="s">
        <v>344</v>
      </c>
      <c r="D841" s="41" t="s">
        <v>108</v>
      </c>
      <c r="E841" s="42" t="n">
        <v>4500</v>
      </c>
      <c r="F841" s="42"/>
      <c r="G841" s="42"/>
      <c r="H841" s="43" t="n">
        <v>2</v>
      </c>
      <c r="I841" s="34" t="n">
        <f aca="false">E841*H841+N(F841)+N(G841)</f>
        <v>9000</v>
      </c>
      <c r="J841" s="42" t="n">
        <f aca="false">ROUND(IFERROR(ROUND(IF(OR(ISNUMBER(SEARCH("week",C841)),ISNUMBER(SEARCH("minggu",C841))),IFERROR(_xlfn.NUMBERVALUE(SUBSTITUTE(LEFT(TRIM(C841),FIND(" ",TRIM(C841)&amp;" ")-1),",","."),"."),LEFT(SUBSTITUTE(LEFT(TRIM(C841),FIND(" ",TRIM(C841)&amp;" ")-1),",","."),FIND("/",SUBSTITUTE(LEFT(TRIM(C841),FIND(" ",TRIM(C841)&amp;" ")-1),",","."))-1)/MID(SUBSTITUTE(LEFT(TRIM(C841),FIND(" ",TRIM(C841)&amp;" ")-1),",","."),FIND("/",SUBSTITUTE(LEFT(TRIM(C841),FIND(" ",TRIM(C841)&amp;" ")-1),",","."))+1,9))*12/52,IF(ISNUMBER(SEARCH("month",C841)),IFERROR(_xlfn.NUMBERVALUE(SUBSTITUTE(LEFT(TRIM(C841),FIND(" ",TRIM(C841)&amp;" ")-1),",","."),"."),LEFT(SUBSTITUTE(LEFT(TRIM(C841),FIND(" ",TRIM(C841)&amp;" ")-1),",","."),FIND("/",SUBSTITUTE(LEFT(TRIM(C841),FIND(" ",TRIM(C841)&amp;" ")-1),",","."))-1)/MID(SUBSTITUTE(LEFT(TRIM(C841),FIND(" ",TRIM(C841)&amp;" ")-1),",","."),FIND("/",SUBSTITUTE(LEFT(TRIM(C841),FIND(" ",TRIM(C841)&amp;" ")-1),",","."))+1,9)),IF(ISNUMBER(SEARCH("yea",C841)),IFERROR(_xlfn.NUMBERVALUE(SUBSTITUTE(LEFT(TRIM(C841),FIND(" ",TRIM(C841)&amp;" ")-1),",","."),"."),LEFT(SUBSTITUTE(LEFT(TRIM(C841),FIND(" ",TRIM(C841)&amp;" ")-1),",","."),FIND("/",SUBSTITUTE(LEFT(TRIM(C841),FIND(" ",TRIM(C841)&amp;" ")-1),",","."))-1)/MID(SUBSTITUTE(LEFT(TRIM(C841),FIND(" ",TRIM(C841)&amp;" ")-1),",","."),FIND("/",SUBSTITUTE(LEFT(TRIM(C841),FIND(" ",TRIM(C841)&amp;" ")-1),",","."))+1,9))*12,NA()))),0),6)*'Aturan &amp; Tarif'!$B$4,2)</f>
        <v>340.68</v>
      </c>
      <c r="K841" s="42" t="n">
        <f aca="false">'Aturan &amp; Tarif'!$B$5</f>
        <v>2050</v>
      </c>
      <c r="L841" s="42" t="n">
        <f aca="false">'Aturan &amp; Tarif'!$B$6</f>
        <v>350</v>
      </c>
      <c r="M841" s="35" t="n">
        <f aca="false">I841+J841+K841+L841</f>
        <v>11740.68</v>
      </c>
      <c r="N841" s="44" t="s">
        <v>1036</v>
      </c>
    </row>
    <row r="842" customFormat="false" ht="60" hidden="false" customHeight="true" outlineLevel="0" collapsed="false">
      <c r="A842" s="39"/>
      <c r="B842" s="40" t="s">
        <v>1074</v>
      </c>
      <c r="C842" s="41" t="s">
        <v>130</v>
      </c>
      <c r="D842" s="41" t="s">
        <v>108</v>
      </c>
      <c r="E842" s="42" t="n">
        <v>9000</v>
      </c>
      <c r="F842" s="42"/>
      <c r="G842" s="42"/>
      <c r="H842" s="43" t="n">
        <v>2</v>
      </c>
      <c r="I842" s="34" t="n">
        <f aca="false">E842*H842+N(F842)+N(G842)</f>
        <v>18000</v>
      </c>
      <c r="J842" s="42" t="n">
        <f aca="false">ROUND(IFERROR(ROUND(IF(OR(ISNUMBER(SEARCH("week",C842)),ISNUMBER(SEARCH("minggu",C842))),IFERROR(_xlfn.NUMBERVALUE(SUBSTITUTE(LEFT(TRIM(C842),FIND(" ",TRIM(C842)&amp;" ")-1),",","."),"."),LEFT(SUBSTITUTE(LEFT(TRIM(C842),FIND(" ",TRIM(C842)&amp;" ")-1),",","."),FIND("/",SUBSTITUTE(LEFT(TRIM(C842),FIND(" ",TRIM(C842)&amp;" ")-1),",","."))-1)/MID(SUBSTITUTE(LEFT(TRIM(C842),FIND(" ",TRIM(C842)&amp;" ")-1),",","."),FIND("/",SUBSTITUTE(LEFT(TRIM(C842),FIND(" ",TRIM(C842)&amp;" ")-1),",","."))+1,9))*12/52,IF(ISNUMBER(SEARCH("month",C842)),IFERROR(_xlfn.NUMBERVALUE(SUBSTITUTE(LEFT(TRIM(C842),FIND(" ",TRIM(C842)&amp;" ")-1),",","."),"."),LEFT(SUBSTITUTE(LEFT(TRIM(C842),FIND(" ",TRIM(C842)&amp;" ")-1),",","."),FIND("/",SUBSTITUTE(LEFT(TRIM(C842),FIND(" ",TRIM(C842)&amp;" ")-1),",","."))-1)/MID(SUBSTITUTE(LEFT(TRIM(C842),FIND(" ",TRIM(C842)&amp;" ")-1),",","."),FIND("/",SUBSTITUTE(LEFT(TRIM(C842),FIND(" ",TRIM(C842)&amp;" ")-1),",","."))+1,9)),IF(ISNUMBER(SEARCH("yea",C842)),IFERROR(_xlfn.NUMBERVALUE(SUBSTITUTE(LEFT(TRIM(C842),FIND(" ",TRIM(C842)&amp;" ")-1),",","."),"."),LEFT(SUBSTITUTE(LEFT(TRIM(C842),FIND(" ",TRIM(C842)&amp;" ")-1),",","."),FIND("/",SUBSTITUTE(LEFT(TRIM(C842),FIND(" ",TRIM(C842)&amp;" ")-1),",","."))-1)/MID(SUBSTITUTE(LEFT(TRIM(C842),FIND(" ",TRIM(C842)&amp;" ")-1),",","."),FIND("/",SUBSTITUTE(LEFT(TRIM(C842),FIND(" ",TRIM(C842)&amp;" ")-1),",","."))+1,9))*12,NA()))),0),12)*'Aturan &amp; Tarif'!$B$4,2)</f>
        <v>681.36</v>
      </c>
      <c r="K842" s="42" t="n">
        <f aca="false">'Aturan &amp; Tarif'!$B$5</f>
        <v>2050</v>
      </c>
      <c r="L842" s="42" t="n">
        <f aca="false">'Aturan &amp; Tarif'!$B$6</f>
        <v>350</v>
      </c>
      <c r="M842" s="35" t="n">
        <f aca="false">I842+J842+K842+L842</f>
        <v>21081.36</v>
      </c>
      <c r="N842" s="44" t="s">
        <v>1036</v>
      </c>
    </row>
    <row r="843" customFormat="false" ht="60" hidden="false" customHeight="true" outlineLevel="0" collapsed="false">
      <c r="A843" s="39"/>
      <c r="B843" s="40" t="s">
        <v>1075</v>
      </c>
      <c r="C843" s="41" t="s">
        <v>113</v>
      </c>
      <c r="D843" s="41" t="s">
        <v>108</v>
      </c>
      <c r="E843" s="42" t="n">
        <v>9000</v>
      </c>
      <c r="F843" s="42"/>
      <c r="G843" s="42"/>
      <c r="H843" s="43" t="n">
        <v>2</v>
      </c>
      <c r="I843" s="34" t="n">
        <f aca="false">E843*H843+N(F843)+N(G843)</f>
        <v>18000</v>
      </c>
      <c r="J843" s="42" t="n">
        <f aca="false">ROUND(IFERROR(ROUND(IF(OR(ISNUMBER(SEARCH("week",C843)),ISNUMBER(SEARCH("minggu",C843))),IFERROR(_xlfn.NUMBERVALUE(SUBSTITUTE(LEFT(TRIM(C843),FIND(" ",TRIM(C843)&amp;" ")-1),",","."),"."),LEFT(SUBSTITUTE(LEFT(TRIM(C843),FIND(" ",TRIM(C843)&amp;" ")-1),",","."),FIND("/",SUBSTITUTE(LEFT(TRIM(C843),FIND(" ",TRIM(C843)&amp;" ")-1),",","."))-1)/MID(SUBSTITUTE(LEFT(TRIM(C843),FIND(" ",TRIM(C843)&amp;" ")-1),",","."),FIND("/",SUBSTITUTE(LEFT(TRIM(C843),FIND(" ",TRIM(C843)&amp;" ")-1),",","."))+1,9))*12/52,IF(ISNUMBER(SEARCH("month",C843)),IFERROR(_xlfn.NUMBERVALUE(SUBSTITUTE(LEFT(TRIM(C843),FIND(" ",TRIM(C843)&amp;" ")-1),",","."),"."),LEFT(SUBSTITUTE(LEFT(TRIM(C843),FIND(" ",TRIM(C843)&amp;" ")-1),",","."),FIND("/",SUBSTITUTE(LEFT(TRIM(C843),FIND(" ",TRIM(C843)&amp;" ")-1),",","."))-1)/MID(SUBSTITUTE(LEFT(TRIM(C843),FIND(" ",TRIM(C843)&amp;" ")-1),",","."),FIND("/",SUBSTITUTE(LEFT(TRIM(C843),FIND(" ",TRIM(C843)&amp;" ")-1),",","."))+1,9)),IF(ISNUMBER(SEARCH("yea",C843)),IFERROR(_xlfn.NUMBERVALUE(SUBSTITUTE(LEFT(TRIM(C843),FIND(" ",TRIM(C843)&amp;" ")-1),",","."),"."),LEFT(SUBSTITUTE(LEFT(TRIM(C843),FIND(" ",TRIM(C843)&amp;" ")-1),",","."),FIND("/",SUBSTITUTE(LEFT(TRIM(C843),FIND(" ",TRIM(C843)&amp;" ")-1),",","."))-1)/MID(SUBSTITUTE(LEFT(TRIM(C843),FIND(" ",TRIM(C843)&amp;" ")-1),",","."),FIND("/",SUBSTITUTE(LEFT(TRIM(C843),FIND(" ",TRIM(C843)&amp;" ")-1),",","."))+1,9))*12,NA()))),0),18)*'Aturan &amp; Tarif'!$B$4,2)</f>
        <v>1022.04</v>
      </c>
      <c r="K843" s="42" t="n">
        <f aca="false">'Aturan &amp; Tarif'!$B$5</f>
        <v>2050</v>
      </c>
      <c r="L843" s="42" t="n">
        <f aca="false">'Aturan &amp; Tarif'!$B$6</f>
        <v>350</v>
      </c>
      <c r="M843" s="35" t="n">
        <f aca="false">I843+J843+K843+L843</f>
        <v>21422.04</v>
      </c>
      <c r="N843" s="44" t="s">
        <v>1036</v>
      </c>
    </row>
    <row r="844" customFormat="false" ht="60" hidden="false" customHeight="true" outlineLevel="0" collapsed="false">
      <c r="A844" s="39"/>
      <c r="B844" s="40" t="s">
        <v>1076</v>
      </c>
      <c r="C844" s="41" t="s">
        <v>107</v>
      </c>
      <c r="D844" s="41" t="s">
        <v>108</v>
      </c>
      <c r="E844" s="42" t="n">
        <v>9000</v>
      </c>
      <c r="F844" s="42"/>
      <c r="G844" s="42"/>
      <c r="H844" s="43" t="n">
        <v>2</v>
      </c>
      <c r="I844" s="34" t="n">
        <f aca="false">E844*H844+N(F844)+N(G844)</f>
        <v>18000</v>
      </c>
      <c r="J844" s="42" t="n">
        <f aca="false">ROUND(IFERROR(ROUND(IF(OR(ISNUMBER(SEARCH("week",C844)),ISNUMBER(SEARCH("minggu",C844))),IFERROR(_xlfn.NUMBERVALUE(SUBSTITUTE(LEFT(TRIM(C844),FIND(" ",TRIM(C844)&amp;" ")-1),",","."),"."),LEFT(SUBSTITUTE(LEFT(TRIM(C844),FIND(" ",TRIM(C844)&amp;" ")-1),",","."),FIND("/",SUBSTITUTE(LEFT(TRIM(C844),FIND(" ",TRIM(C844)&amp;" ")-1),",","."))-1)/MID(SUBSTITUTE(LEFT(TRIM(C844),FIND(" ",TRIM(C844)&amp;" ")-1),",","."),FIND("/",SUBSTITUTE(LEFT(TRIM(C844),FIND(" ",TRIM(C844)&amp;" ")-1),",","."))+1,9))*12/52,IF(ISNUMBER(SEARCH("month",C844)),IFERROR(_xlfn.NUMBERVALUE(SUBSTITUTE(LEFT(TRIM(C844),FIND(" ",TRIM(C844)&amp;" ")-1),",","."),"."),LEFT(SUBSTITUTE(LEFT(TRIM(C844),FIND(" ",TRIM(C844)&amp;" ")-1),",","."),FIND("/",SUBSTITUTE(LEFT(TRIM(C844),FIND(" ",TRIM(C844)&amp;" ")-1),",","."))-1)/MID(SUBSTITUTE(LEFT(TRIM(C844),FIND(" ",TRIM(C844)&amp;" ")-1),",","."),FIND("/",SUBSTITUTE(LEFT(TRIM(C844),FIND(" ",TRIM(C844)&amp;" ")-1),",","."))+1,9)),IF(ISNUMBER(SEARCH("yea",C844)),IFERROR(_xlfn.NUMBERVALUE(SUBSTITUTE(LEFT(TRIM(C844),FIND(" ",TRIM(C844)&amp;" ")-1),",","."),"."),LEFT(SUBSTITUTE(LEFT(TRIM(C844),FIND(" ",TRIM(C844)&amp;" ")-1),",","."),FIND("/",SUBSTITUTE(LEFT(TRIM(C844),FIND(" ",TRIM(C844)&amp;" ")-1),",","."))-1)/MID(SUBSTITUTE(LEFT(TRIM(C844),FIND(" ",TRIM(C844)&amp;" ")-1),",","."),FIND("/",SUBSTITUTE(LEFT(TRIM(C844),FIND(" ",TRIM(C844)&amp;" ")-1),",","."))+1,9))*12,NA()))),0),24)*'Aturan &amp; Tarif'!$B$4,2)</f>
        <v>1362.72</v>
      </c>
      <c r="K844" s="42" t="n">
        <f aca="false">'Aturan &amp; Tarif'!$B$5</f>
        <v>2050</v>
      </c>
      <c r="L844" s="42" t="n">
        <f aca="false">'Aturan &amp; Tarif'!$B$6</f>
        <v>350</v>
      </c>
      <c r="M844" s="35" t="n">
        <f aca="false">I844+J844+K844+L844</f>
        <v>21762.72</v>
      </c>
      <c r="N844" s="44" t="s">
        <v>1036</v>
      </c>
    </row>
    <row r="845" customFormat="false" ht="60" hidden="false" customHeight="true" outlineLevel="0" collapsed="false">
      <c r="A845" s="39"/>
      <c r="B845" s="40" t="s">
        <v>1055</v>
      </c>
      <c r="C845" s="41" t="s">
        <v>107</v>
      </c>
      <c r="D845" s="41" t="s">
        <v>108</v>
      </c>
      <c r="E845" s="42" t="n">
        <v>9000</v>
      </c>
      <c r="F845" s="42"/>
      <c r="G845" s="42"/>
      <c r="H845" s="43" t="n">
        <v>2</v>
      </c>
      <c r="I845" s="34" t="n">
        <f aca="false">E845*H845+N(F845)+N(G845)</f>
        <v>18000</v>
      </c>
      <c r="J845" s="42" t="n">
        <f aca="false">ROUND(IFERROR(ROUND(IF(OR(ISNUMBER(SEARCH("week",C845)),ISNUMBER(SEARCH("minggu",C845))),IFERROR(_xlfn.NUMBERVALUE(SUBSTITUTE(LEFT(TRIM(C845),FIND(" ",TRIM(C845)&amp;" ")-1),",","."),"."),LEFT(SUBSTITUTE(LEFT(TRIM(C845),FIND(" ",TRIM(C845)&amp;" ")-1),",","."),FIND("/",SUBSTITUTE(LEFT(TRIM(C845),FIND(" ",TRIM(C845)&amp;" ")-1),",","."))-1)/MID(SUBSTITUTE(LEFT(TRIM(C845),FIND(" ",TRIM(C845)&amp;" ")-1),",","."),FIND("/",SUBSTITUTE(LEFT(TRIM(C845),FIND(" ",TRIM(C845)&amp;" ")-1),",","."))+1,9))*12/52,IF(ISNUMBER(SEARCH("month",C845)),IFERROR(_xlfn.NUMBERVALUE(SUBSTITUTE(LEFT(TRIM(C845),FIND(" ",TRIM(C845)&amp;" ")-1),",","."),"."),LEFT(SUBSTITUTE(LEFT(TRIM(C845),FIND(" ",TRIM(C845)&amp;" ")-1),",","."),FIND("/",SUBSTITUTE(LEFT(TRIM(C845),FIND(" ",TRIM(C845)&amp;" ")-1),",","."))-1)/MID(SUBSTITUTE(LEFT(TRIM(C845),FIND(" ",TRIM(C845)&amp;" ")-1),",","."),FIND("/",SUBSTITUTE(LEFT(TRIM(C845),FIND(" ",TRIM(C845)&amp;" ")-1),",","."))+1,9)),IF(ISNUMBER(SEARCH("yea",C845)),IFERROR(_xlfn.NUMBERVALUE(SUBSTITUTE(LEFT(TRIM(C845),FIND(" ",TRIM(C845)&amp;" ")-1),",","."),"."),LEFT(SUBSTITUTE(LEFT(TRIM(C845),FIND(" ",TRIM(C845)&amp;" ")-1),",","."),FIND("/",SUBSTITUTE(LEFT(TRIM(C845),FIND(" ",TRIM(C845)&amp;" ")-1),",","."))-1)/MID(SUBSTITUTE(LEFT(TRIM(C845),FIND(" ",TRIM(C845)&amp;" ")-1),",","."),FIND("/",SUBSTITUTE(LEFT(TRIM(C845),FIND(" ",TRIM(C845)&amp;" ")-1),",","."))+1,9))*12,NA()))),0),24)*'Aturan &amp; Tarif'!$B$4,2)</f>
        <v>1362.72</v>
      </c>
      <c r="K845" s="42" t="n">
        <f aca="false">'Aturan &amp; Tarif'!$B$5</f>
        <v>2050</v>
      </c>
      <c r="L845" s="42" t="n">
        <f aca="false">'Aturan &amp; Tarif'!$B$6</f>
        <v>350</v>
      </c>
      <c r="M845" s="35" t="n">
        <f aca="false">I845+J845+K845+L845</f>
        <v>21762.72</v>
      </c>
      <c r="N845" s="44" t="s">
        <v>1056</v>
      </c>
    </row>
    <row r="846" customFormat="false" ht="60" hidden="false" customHeight="true" outlineLevel="0" collapsed="false">
      <c r="A846" s="39"/>
      <c r="B846" s="40" t="s">
        <v>1077</v>
      </c>
      <c r="C846" s="41" t="s">
        <v>107</v>
      </c>
      <c r="D846" s="41" t="s">
        <v>108</v>
      </c>
      <c r="E846" s="42" t="n">
        <v>7950</v>
      </c>
      <c r="F846" s="42"/>
      <c r="G846" s="42"/>
      <c r="H846" s="43" t="n">
        <v>2</v>
      </c>
      <c r="I846" s="34" t="n">
        <f aca="false">E846*H846+N(F846)+N(G846)</f>
        <v>15900</v>
      </c>
      <c r="J846" s="42" t="n">
        <f aca="false">ROUND(IFERROR(ROUND(IF(OR(ISNUMBER(SEARCH("week",C846)),ISNUMBER(SEARCH("minggu",C846))),IFERROR(_xlfn.NUMBERVALUE(SUBSTITUTE(LEFT(TRIM(C846),FIND(" ",TRIM(C846)&amp;" ")-1),",","."),"."),LEFT(SUBSTITUTE(LEFT(TRIM(C846),FIND(" ",TRIM(C846)&amp;" ")-1),",","."),FIND("/",SUBSTITUTE(LEFT(TRIM(C846),FIND(" ",TRIM(C846)&amp;" ")-1),",","."))-1)/MID(SUBSTITUTE(LEFT(TRIM(C846),FIND(" ",TRIM(C846)&amp;" ")-1),",","."),FIND("/",SUBSTITUTE(LEFT(TRIM(C846),FIND(" ",TRIM(C846)&amp;" ")-1),",","."))+1,9))*12/52,IF(ISNUMBER(SEARCH("month",C846)),IFERROR(_xlfn.NUMBERVALUE(SUBSTITUTE(LEFT(TRIM(C846),FIND(" ",TRIM(C846)&amp;" ")-1),",","."),"."),LEFT(SUBSTITUTE(LEFT(TRIM(C846),FIND(" ",TRIM(C846)&amp;" ")-1),",","."),FIND("/",SUBSTITUTE(LEFT(TRIM(C846),FIND(" ",TRIM(C846)&amp;" ")-1),",","."))-1)/MID(SUBSTITUTE(LEFT(TRIM(C846),FIND(" ",TRIM(C846)&amp;" ")-1),",","."),FIND("/",SUBSTITUTE(LEFT(TRIM(C846),FIND(" ",TRIM(C846)&amp;" ")-1),",","."))+1,9)),IF(ISNUMBER(SEARCH("yea",C846)),IFERROR(_xlfn.NUMBERVALUE(SUBSTITUTE(LEFT(TRIM(C846),FIND(" ",TRIM(C846)&amp;" ")-1),",","."),"."),LEFT(SUBSTITUTE(LEFT(TRIM(C846),FIND(" ",TRIM(C846)&amp;" ")-1),",","."),FIND("/",SUBSTITUTE(LEFT(TRIM(C846),FIND(" ",TRIM(C846)&amp;" ")-1),",","."))-1)/MID(SUBSTITUTE(LEFT(TRIM(C846),FIND(" ",TRIM(C846)&amp;" ")-1),",","."),FIND("/",SUBSTITUTE(LEFT(TRIM(C846),FIND(" ",TRIM(C846)&amp;" ")-1),",","."))+1,9))*12,NA()))),0),24)*'Aturan &amp; Tarif'!$B$4,2)</f>
        <v>1362.72</v>
      </c>
      <c r="K846" s="42" t="n">
        <f aca="false">'Aturan &amp; Tarif'!$B$5</f>
        <v>2050</v>
      </c>
      <c r="L846" s="42" t="n">
        <f aca="false">'Aturan &amp; Tarif'!$B$6</f>
        <v>350</v>
      </c>
      <c r="M846" s="35" t="n">
        <f aca="false">I846+J846+K846+L846</f>
        <v>19662.72</v>
      </c>
      <c r="N846" s="44" t="s">
        <v>1036</v>
      </c>
    </row>
    <row r="847" customFormat="false" ht="60" hidden="false" customHeight="true" outlineLevel="0" collapsed="false">
      <c r="A847" s="39"/>
      <c r="B847" s="40" t="s">
        <v>1078</v>
      </c>
      <c r="C847" s="41" t="s">
        <v>107</v>
      </c>
      <c r="D847" s="41" t="s">
        <v>108</v>
      </c>
      <c r="E847" s="42" t="n">
        <v>20635</v>
      </c>
      <c r="F847" s="42"/>
      <c r="G847" s="42"/>
      <c r="H847" s="43" t="n">
        <v>2</v>
      </c>
      <c r="I847" s="34" t="n">
        <f aca="false">E847*H847+N(F847)+N(G847)</f>
        <v>41270</v>
      </c>
      <c r="J847" s="42" t="n">
        <f aca="false">ROUND(IFERROR(ROUND(IF(OR(ISNUMBER(SEARCH("week",C847)),ISNUMBER(SEARCH("minggu",C847))),IFERROR(_xlfn.NUMBERVALUE(SUBSTITUTE(LEFT(TRIM(C847),FIND(" ",TRIM(C847)&amp;" ")-1),",","."),"."),LEFT(SUBSTITUTE(LEFT(TRIM(C847),FIND(" ",TRIM(C847)&amp;" ")-1),",","."),FIND("/",SUBSTITUTE(LEFT(TRIM(C847),FIND(" ",TRIM(C847)&amp;" ")-1),",","."))-1)/MID(SUBSTITUTE(LEFT(TRIM(C847),FIND(" ",TRIM(C847)&amp;" ")-1),",","."),FIND("/",SUBSTITUTE(LEFT(TRIM(C847),FIND(" ",TRIM(C847)&amp;" ")-1),",","."))+1,9))*12/52,IF(ISNUMBER(SEARCH("month",C847)),IFERROR(_xlfn.NUMBERVALUE(SUBSTITUTE(LEFT(TRIM(C847),FIND(" ",TRIM(C847)&amp;" ")-1),",","."),"."),LEFT(SUBSTITUTE(LEFT(TRIM(C847),FIND(" ",TRIM(C847)&amp;" ")-1),",","."),FIND("/",SUBSTITUTE(LEFT(TRIM(C847),FIND(" ",TRIM(C847)&amp;" ")-1),",","."))-1)/MID(SUBSTITUTE(LEFT(TRIM(C847),FIND(" ",TRIM(C847)&amp;" ")-1),",","."),FIND("/",SUBSTITUTE(LEFT(TRIM(C847),FIND(" ",TRIM(C847)&amp;" ")-1),",","."))+1,9)),IF(ISNUMBER(SEARCH("yea",C847)),IFERROR(_xlfn.NUMBERVALUE(SUBSTITUTE(LEFT(TRIM(C847),FIND(" ",TRIM(C847)&amp;" ")-1),",","."),"."),LEFT(SUBSTITUTE(LEFT(TRIM(C847),FIND(" ",TRIM(C847)&amp;" ")-1),",","."),FIND("/",SUBSTITUTE(LEFT(TRIM(C847),FIND(" ",TRIM(C847)&amp;" ")-1),",","."))-1)/MID(SUBSTITUTE(LEFT(TRIM(C847),FIND(" ",TRIM(C847)&amp;" ")-1),",","."),FIND("/",SUBSTITUTE(LEFT(TRIM(C847),FIND(" ",TRIM(C847)&amp;" ")-1),",","."))+1,9))*12,NA()))),0),24)*'Aturan &amp; Tarif'!$B$4,2)</f>
        <v>1362.72</v>
      </c>
      <c r="K847" s="42" t="n">
        <f aca="false">'Aturan &amp; Tarif'!$B$5</f>
        <v>2050</v>
      </c>
      <c r="L847" s="42" t="n">
        <f aca="false">'Aturan &amp; Tarif'!$B$6</f>
        <v>350</v>
      </c>
      <c r="M847" s="35" t="n">
        <f aca="false">I847+J847+K847+L847</f>
        <v>45032.72</v>
      </c>
      <c r="N847" s="45" t="s">
        <v>1079</v>
      </c>
    </row>
    <row r="848" customFormat="false" ht="60" hidden="false" customHeight="true" outlineLevel="0" collapsed="false">
      <c r="A848" s="39"/>
      <c r="B848" s="40" t="s">
        <v>2465</v>
      </c>
      <c r="C848" s="41" t="s">
        <v>130</v>
      </c>
      <c r="D848" s="41" t="s">
        <v>108</v>
      </c>
      <c r="E848" s="42" t="n">
        <v>9375</v>
      </c>
      <c r="F848" s="42"/>
      <c r="G848" s="42"/>
      <c r="H848" s="43" t="n">
        <v>2</v>
      </c>
      <c r="I848" s="34" t="n">
        <f aca="false">E848*H848+N(F848)+N(G848)</f>
        <v>18750</v>
      </c>
      <c r="J848" s="42" t="n">
        <f aca="false">ROUND(IFERROR(ROUND(IF(OR(ISNUMBER(SEARCH("week",C848)),ISNUMBER(SEARCH("minggu",C848))),IFERROR(_xlfn.NUMBERVALUE(SUBSTITUTE(LEFT(TRIM(C848),FIND(" ",TRIM(C848)&amp;" ")-1),",","."),"."),LEFT(SUBSTITUTE(LEFT(TRIM(C848),FIND(" ",TRIM(C848)&amp;" ")-1),",","."),FIND("/",SUBSTITUTE(LEFT(TRIM(C848),FIND(" ",TRIM(C848)&amp;" ")-1),",","."))-1)/MID(SUBSTITUTE(LEFT(TRIM(C848),FIND(" ",TRIM(C848)&amp;" ")-1),",","."),FIND("/",SUBSTITUTE(LEFT(TRIM(C848),FIND(" ",TRIM(C848)&amp;" ")-1),",","."))+1,9))*12/52,IF(ISNUMBER(SEARCH("month",C848)),IFERROR(_xlfn.NUMBERVALUE(SUBSTITUTE(LEFT(TRIM(C848),FIND(" ",TRIM(C848)&amp;" ")-1),",","."),"."),LEFT(SUBSTITUTE(LEFT(TRIM(C848),FIND(" ",TRIM(C848)&amp;" ")-1),",","."),FIND("/",SUBSTITUTE(LEFT(TRIM(C848),FIND(" ",TRIM(C848)&amp;" ")-1),",","."))-1)/MID(SUBSTITUTE(LEFT(TRIM(C848),FIND(" ",TRIM(C848)&amp;" ")-1),",","."),FIND("/",SUBSTITUTE(LEFT(TRIM(C848),FIND(" ",TRIM(C848)&amp;" ")-1),",","."))+1,9)),IF(ISNUMBER(SEARCH("yea",C848)),IFERROR(_xlfn.NUMBERVALUE(SUBSTITUTE(LEFT(TRIM(C848),FIND(" ",TRIM(C848)&amp;" ")-1),",","."),"."),LEFT(SUBSTITUTE(LEFT(TRIM(C848),FIND(" ",TRIM(C848)&amp;" ")-1),",","."),FIND("/",SUBSTITUTE(LEFT(TRIM(C848),FIND(" ",TRIM(C848)&amp;" ")-1),",","."))-1)/MID(SUBSTITUTE(LEFT(TRIM(C848),FIND(" ",TRIM(C848)&amp;" ")-1),",","."),FIND("/",SUBSTITUTE(LEFT(TRIM(C848),FIND(" ",TRIM(C848)&amp;" ")-1),",","."))+1,9))*12,NA()))),0),12)*'Aturan &amp; Tarif'!$B$4,2)</f>
        <v>681.36</v>
      </c>
      <c r="K848" s="42" t="n">
        <f aca="false">'Aturan &amp; Tarif'!$B$5</f>
        <v>2050</v>
      </c>
      <c r="L848" s="42" t="n">
        <f aca="false">'Aturan &amp; Tarif'!$B$6</f>
        <v>350</v>
      </c>
      <c r="M848" s="35" t="n">
        <f aca="false">I848+J848+K848+L848</f>
        <v>21831.36</v>
      </c>
      <c r="N848" s="44" t="s">
        <v>2466</v>
      </c>
    </row>
    <row r="849" customFormat="false" ht="60" hidden="false" customHeight="true" outlineLevel="0" collapsed="false">
      <c r="A849" s="39"/>
      <c r="B849" s="40" t="s">
        <v>1080</v>
      </c>
      <c r="C849" s="41" t="s">
        <v>113</v>
      </c>
      <c r="D849" s="41" t="s">
        <v>108</v>
      </c>
      <c r="E849" s="42" t="n">
        <v>6250</v>
      </c>
      <c r="F849" s="42"/>
      <c r="G849" s="42"/>
      <c r="H849" s="43" t="n">
        <v>2</v>
      </c>
      <c r="I849" s="34" t="n">
        <f aca="false">E849*H849+N(F849)+N(G849)</f>
        <v>12500</v>
      </c>
      <c r="J849" s="42" t="n">
        <f aca="false">ROUND(IFERROR(ROUND(IF(OR(ISNUMBER(SEARCH("week",C849)),ISNUMBER(SEARCH("minggu",C849))),IFERROR(_xlfn.NUMBERVALUE(SUBSTITUTE(LEFT(TRIM(C849),FIND(" ",TRIM(C849)&amp;" ")-1),",","."),"."),LEFT(SUBSTITUTE(LEFT(TRIM(C849),FIND(" ",TRIM(C849)&amp;" ")-1),",","."),FIND("/",SUBSTITUTE(LEFT(TRIM(C849),FIND(" ",TRIM(C849)&amp;" ")-1),",","."))-1)/MID(SUBSTITUTE(LEFT(TRIM(C849),FIND(" ",TRIM(C849)&amp;" ")-1),",","."),FIND("/",SUBSTITUTE(LEFT(TRIM(C849),FIND(" ",TRIM(C849)&amp;" ")-1),",","."))+1,9))*12/52,IF(ISNUMBER(SEARCH("month",C849)),IFERROR(_xlfn.NUMBERVALUE(SUBSTITUTE(LEFT(TRIM(C849),FIND(" ",TRIM(C849)&amp;" ")-1),",","."),"."),LEFT(SUBSTITUTE(LEFT(TRIM(C849),FIND(" ",TRIM(C849)&amp;" ")-1),",","."),FIND("/",SUBSTITUTE(LEFT(TRIM(C849),FIND(" ",TRIM(C849)&amp;" ")-1),",","."))-1)/MID(SUBSTITUTE(LEFT(TRIM(C849),FIND(" ",TRIM(C849)&amp;" ")-1),",","."),FIND("/",SUBSTITUTE(LEFT(TRIM(C849),FIND(" ",TRIM(C849)&amp;" ")-1),",","."))+1,9)),IF(ISNUMBER(SEARCH("yea",C849)),IFERROR(_xlfn.NUMBERVALUE(SUBSTITUTE(LEFT(TRIM(C849),FIND(" ",TRIM(C849)&amp;" ")-1),",","."),"."),LEFT(SUBSTITUTE(LEFT(TRIM(C849),FIND(" ",TRIM(C849)&amp;" ")-1),",","."),FIND("/",SUBSTITUTE(LEFT(TRIM(C849),FIND(" ",TRIM(C849)&amp;" ")-1),",","."))-1)/MID(SUBSTITUTE(LEFT(TRIM(C849),FIND(" ",TRIM(C849)&amp;" ")-1),",","."),FIND("/",SUBSTITUTE(LEFT(TRIM(C849),FIND(" ",TRIM(C849)&amp;" ")-1),",","."))+1,9))*12,NA()))),0),18)*'Aturan &amp; Tarif'!$B$4,2)</f>
        <v>1022.04</v>
      </c>
      <c r="K849" s="42" t="n">
        <f aca="false">'Aturan &amp; Tarif'!$B$5</f>
        <v>2050</v>
      </c>
      <c r="L849" s="42" t="n">
        <f aca="false">'Aturan &amp; Tarif'!$B$6</f>
        <v>350</v>
      </c>
      <c r="M849" s="35" t="n">
        <f aca="false">I849+J849+K849+L849</f>
        <v>15922.04</v>
      </c>
      <c r="N849" s="44" t="s">
        <v>2467</v>
      </c>
    </row>
    <row r="850" customFormat="false" ht="60" hidden="false" customHeight="true" outlineLevel="0" collapsed="false">
      <c r="A850" s="39"/>
      <c r="B850" s="40" t="s">
        <v>1082</v>
      </c>
      <c r="C850" s="41" t="s">
        <v>127</v>
      </c>
      <c r="D850" s="41" t="s">
        <v>108</v>
      </c>
      <c r="E850" s="42" t="n">
        <v>9375</v>
      </c>
      <c r="F850" s="42"/>
      <c r="G850" s="42"/>
      <c r="H850" s="43" t="n">
        <v>2</v>
      </c>
      <c r="I850" s="34" t="n">
        <f aca="false">E850*H850+N(F850)+N(G850)</f>
        <v>18750</v>
      </c>
      <c r="J850" s="42" t="n">
        <f aca="false">ROUND(IFERROR(ROUND(IF(OR(ISNUMBER(SEARCH("week",C850)),ISNUMBER(SEARCH("minggu",C850))),IFERROR(_xlfn.NUMBERVALUE(SUBSTITUTE(LEFT(TRIM(C850),FIND(" ",TRIM(C850)&amp;" ")-1),",","."),"."),LEFT(SUBSTITUTE(LEFT(TRIM(C850),FIND(" ",TRIM(C850)&amp;" ")-1),",","."),FIND("/",SUBSTITUTE(LEFT(TRIM(C850),FIND(" ",TRIM(C850)&amp;" ")-1),",","."))-1)/MID(SUBSTITUTE(LEFT(TRIM(C850),FIND(" ",TRIM(C850)&amp;" ")-1),",","."),FIND("/",SUBSTITUTE(LEFT(TRIM(C850),FIND(" ",TRIM(C850)&amp;" ")-1),",","."))+1,9))*12/52,IF(ISNUMBER(SEARCH("month",C850)),IFERROR(_xlfn.NUMBERVALUE(SUBSTITUTE(LEFT(TRIM(C850),FIND(" ",TRIM(C850)&amp;" ")-1),",","."),"."),LEFT(SUBSTITUTE(LEFT(TRIM(C850),FIND(" ",TRIM(C850)&amp;" ")-1),",","."),FIND("/",SUBSTITUTE(LEFT(TRIM(C850),FIND(" ",TRIM(C850)&amp;" ")-1),",","."))-1)/MID(SUBSTITUTE(LEFT(TRIM(C850),FIND(" ",TRIM(C850)&amp;" ")-1),",","."),FIND("/",SUBSTITUTE(LEFT(TRIM(C850),FIND(" ",TRIM(C850)&amp;" ")-1),",","."))+1,9)),IF(ISNUMBER(SEARCH("yea",C850)),IFERROR(_xlfn.NUMBERVALUE(SUBSTITUTE(LEFT(TRIM(C850),FIND(" ",TRIM(C850)&amp;" ")-1),",","."),"."),LEFT(SUBSTITUTE(LEFT(TRIM(C850),FIND(" ",TRIM(C850)&amp;" ")-1),",","."),FIND("/",SUBSTITUTE(LEFT(TRIM(C850),FIND(" ",TRIM(C850)&amp;" ")-1),",","."))-1)/MID(SUBSTITUTE(LEFT(TRIM(C850),FIND(" ",TRIM(C850)&amp;" ")-1),",","."),FIND("/",SUBSTITUTE(LEFT(TRIM(C850),FIND(" ",TRIM(C850)&amp;" ")-1),",","."))+1,9))*12,NA()))),0),36)*'Aturan &amp; Tarif'!$B$4,2)</f>
        <v>2044.08</v>
      </c>
      <c r="K850" s="42" t="n">
        <f aca="false">'Aturan &amp; Tarif'!$B$5</f>
        <v>2050</v>
      </c>
      <c r="L850" s="42" t="n">
        <f aca="false">'Aturan &amp; Tarif'!$B$6</f>
        <v>350</v>
      </c>
      <c r="M850" s="35" t="n">
        <f aca="false">I850+J850+K850+L850</f>
        <v>23194.08</v>
      </c>
      <c r="N850" s="44" t="s">
        <v>2468</v>
      </c>
    </row>
    <row r="851" customFormat="false" ht="60" hidden="false" customHeight="true" outlineLevel="0" collapsed="false">
      <c r="A851" s="39"/>
      <c r="B851" s="40" t="s">
        <v>1084</v>
      </c>
      <c r="C851" s="41" t="s">
        <v>130</v>
      </c>
      <c r="D851" s="41" t="s">
        <v>108</v>
      </c>
      <c r="E851" s="42" t="n">
        <v>9375</v>
      </c>
      <c r="F851" s="42"/>
      <c r="G851" s="42"/>
      <c r="H851" s="43" t="n">
        <v>2</v>
      </c>
      <c r="I851" s="34" t="n">
        <f aca="false">E851*H851+N(F851)+N(G851)</f>
        <v>18750</v>
      </c>
      <c r="J851" s="42" t="n">
        <f aca="false">ROUND(IFERROR(ROUND(IF(OR(ISNUMBER(SEARCH("week",C851)),ISNUMBER(SEARCH("minggu",C851))),IFERROR(_xlfn.NUMBERVALUE(SUBSTITUTE(LEFT(TRIM(C851),FIND(" ",TRIM(C851)&amp;" ")-1),",","."),"."),LEFT(SUBSTITUTE(LEFT(TRIM(C851),FIND(" ",TRIM(C851)&amp;" ")-1),",","."),FIND("/",SUBSTITUTE(LEFT(TRIM(C851),FIND(" ",TRIM(C851)&amp;" ")-1),",","."))-1)/MID(SUBSTITUTE(LEFT(TRIM(C851),FIND(" ",TRIM(C851)&amp;" ")-1),",","."),FIND("/",SUBSTITUTE(LEFT(TRIM(C851),FIND(" ",TRIM(C851)&amp;" ")-1),",","."))+1,9))*12/52,IF(ISNUMBER(SEARCH("month",C851)),IFERROR(_xlfn.NUMBERVALUE(SUBSTITUTE(LEFT(TRIM(C851),FIND(" ",TRIM(C851)&amp;" ")-1),",","."),"."),LEFT(SUBSTITUTE(LEFT(TRIM(C851),FIND(" ",TRIM(C851)&amp;" ")-1),",","."),FIND("/",SUBSTITUTE(LEFT(TRIM(C851),FIND(" ",TRIM(C851)&amp;" ")-1),",","."))-1)/MID(SUBSTITUTE(LEFT(TRIM(C851),FIND(" ",TRIM(C851)&amp;" ")-1),",","."),FIND("/",SUBSTITUTE(LEFT(TRIM(C851),FIND(" ",TRIM(C851)&amp;" ")-1),",","."))+1,9)),IF(ISNUMBER(SEARCH("yea",C851)),IFERROR(_xlfn.NUMBERVALUE(SUBSTITUTE(LEFT(TRIM(C851),FIND(" ",TRIM(C851)&amp;" ")-1),",","."),"."),LEFT(SUBSTITUTE(LEFT(TRIM(C851),FIND(" ",TRIM(C851)&amp;" ")-1),",","."),FIND("/",SUBSTITUTE(LEFT(TRIM(C851),FIND(" ",TRIM(C851)&amp;" ")-1),",","."))-1)/MID(SUBSTITUTE(LEFT(TRIM(C851),FIND(" ",TRIM(C851)&amp;" ")-1),",","."),FIND("/",SUBSTITUTE(LEFT(TRIM(C851),FIND(" ",TRIM(C851)&amp;" ")-1),",","."))+1,9))*12,NA()))),0),12)*'Aturan &amp; Tarif'!$B$4,2)</f>
        <v>681.36</v>
      </c>
      <c r="K851" s="42" t="n">
        <f aca="false">'Aturan &amp; Tarif'!$B$5</f>
        <v>2050</v>
      </c>
      <c r="L851" s="42" t="n">
        <f aca="false">'Aturan &amp; Tarif'!$B$6</f>
        <v>350</v>
      </c>
      <c r="M851" s="35" t="n">
        <f aca="false">I851+J851+K851+L851</f>
        <v>21831.36</v>
      </c>
      <c r="N851" s="44" t="s">
        <v>1085</v>
      </c>
    </row>
    <row r="852" customFormat="false" ht="60" hidden="false" customHeight="true" outlineLevel="0" collapsed="false">
      <c r="A852" s="39"/>
      <c r="B852" s="40" t="s">
        <v>1086</v>
      </c>
      <c r="C852" s="41" t="s">
        <v>130</v>
      </c>
      <c r="D852" s="41" t="s">
        <v>108</v>
      </c>
      <c r="E852" s="42" t="n">
        <v>9375</v>
      </c>
      <c r="F852" s="42"/>
      <c r="G852" s="42"/>
      <c r="H852" s="43" t="n">
        <v>2</v>
      </c>
      <c r="I852" s="34" t="n">
        <f aca="false">E852*H852+N(F852)+N(G852)</f>
        <v>18750</v>
      </c>
      <c r="J852" s="42" t="n">
        <f aca="false">ROUND(IFERROR(ROUND(IF(OR(ISNUMBER(SEARCH("week",C852)),ISNUMBER(SEARCH("minggu",C852))),IFERROR(_xlfn.NUMBERVALUE(SUBSTITUTE(LEFT(TRIM(C852),FIND(" ",TRIM(C852)&amp;" ")-1),",","."),"."),LEFT(SUBSTITUTE(LEFT(TRIM(C852),FIND(" ",TRIM(C852)&amp;" ")-1),",","."),FIND("/",SUBSTITUTE(LEFT(TRIM(C852),FIND(" ",TRIM(C852)&amp;" ")-1),",","."))-1)/MID(SUBSTITUTE(LEFT(TRIM(C852),FIND(" ",TRIM(C852)&amp;" ")-1),",","."),FIND("/",SUBSTITUTE(LEFT(TRIM(C852),FIND(" ",TRIM(C852)&amp;" ")-1),",","."))+1,9))*12/52,IF(ISNUMBER(SEARCH("month",C852)),IFERROR(_xlfn.NUMBERVALUE(SUBSTITUTE(LEFT(TRIM(C852),FIND(" ",TRIM(C852)&amp;" ")-1),",","."),"."),LEFT(SUBSTITUTE(LEFT(TRIM(C852),FIND(" ",TRIM(C852)&amp;" ")-1),",","."),FIND("/",SUBSTITUTE(LEFT(TRIM(C852),FIND(" ",TRIM(C852)&amp;" ")-1),",","."))-1)/MID(SUBSTITUTE(LEFT(TRIM(C852),FIND(" ",TRIM(C852)&amp;" ")-1),",","."),FIND("/",SUBSTITUTE(LEFT(TRIM(C852),FIND(" ",TRIM(C852)&amp;" ")-1),",","."))+1,9)),IF(ISNUMBER(SEARCH("yea",C852)),IFERROR(_xlfn.NUMBERVALUE(SUBSTITUTE(LEFT(TRIM(C852),FIND(" ",TRIM(C852)&amp;" ")-1),",","."),"."),LEFT(SUBSTITUTE(LEFT(TRIM(C852),FIND(" ",TRIM(C852)&amp;" ")-1),",","."),FIND("/",SUBSTITUTE(LEFT(TRIM(C852),FIND(" ",TRIM(C852)&amp;" ")-1),",","."))-1)/MID(SUBSTITUTE(LEFT(TRIM(C852),FIND(" ",TRIM(C852)&amp;" ")-1),",","."),FIND("/",SUBSTITUTE(LEFT(TRIM(C852),FIND(" ",TRIM(C852)&amp;" ")-1),",","."))+1,9))*12,NA()))),0),12)*'Aturan &amp; Tarif'!$B$4,2)</f>
        <v>681.36</v>
      </c>
      <c r="K852" s="42" t="n">
        <f aca="false">'Aturan &amp; Tarif'!$B$5</f>
        <v>2050</v>
      </c>
      <c r="L852" s="42" t="n">
        <f aca="false">'Aturan &amp; Tarif'!$B$6</f>
        <v>350</v>
      </c>
      <c r="M852" s="35" t="n">
        <f aca="false">I852+J852+K852+L852</f>
        <v>21831.36</v>
      </c>
      <c r="N852" s="44" t="s">
        <v>1087</v>
      </c>
    </row>
    <row r="853" customFormat="false" ht="60" hidden="false" customHeight="true" outlineLevel="0" collapsed="false">
      <c r="A853" s="39"/>
      <c r="B853" s="40" t="s">
        <v>1088</v>
      </c>
      <c r="C853" s="41" t="s">
        <v>127</v>
      </c>
      <c r="D853" s="41" t="s">
        <v>108</v>
      </c>
      <c r="E853" s="42" t="n">
        <v>9375</v>
      </c>
      <c r="F853" s="42"/>
      <c r="G853" s="42"/>
      <c r="H853" s="43" t="n">
        <v>2</v>
      </c>
      <c r="I853" s="34" t="n">
        <f aca="false">E853*H853+N(F853)+N(G853)</f>
        <v>18750</v>
      </c>
      <c r="J853" s="42" t="n">
        <f aca="false">ROUND(IFERROR(ROUND(IF(OR(ISNUMBER(SEARCH("week",C853)),ISNUMBER(SEARCH("minggu",C853))),IFERROR(_xlfn.NUMBERVALUE(SUBSTITUTE(LEFT(TRIM(C853),FIND(" ",TRIM(C853)&amp;" ")-1),",","."),"."),LEFT(SUBSTITUTE(LEFT(TRIM(C853),FIND(" ",TRIM(C853)&amp;" ")-1),",","."),FIND("/",SUBSTITUTE(LEFT(TRIM(C853),FIND(" ",TRIM(C853)&amp;" ")-1),",","."))-1)/MID(SUBSTITUTE(LEFT(TRIM(C853),FIND(" ",TRIM(C853)&amp;" ")-1),",","."),FIND("/",SUBSTITUTE(LEFT(TRIM(C853),FIND(" ",TRIM(C853)&amp;" ")-1),",","."))+1,9))*12/52,IF(ISNUMBER(SEARCH("month",C853)),IFERROR(_xlfn.NUMBERVALUE(SUBSTITUTE(LEFT(TRIM(C853),FIND(" ",TRIM(C853)&amp;" ")-1),",","."),"."),LEFT(SUBSTITUTE(LEFT(TRIM(C853),FIND(" ",TRIM(C853)&amp;" ")-1),",","."),FIND("/",SUBSTITUTE(LEFT(TRIM(C853),FIND(" ",TRIM(C853)&amp;" ")-1),",","."))-1)/MID(SUBSTITUTE(LEFT(TRIM(C853),FIND(" ",TRIM(C853)&amp;" ")-1),",","."),FIND("/",SUBSTITUTE(LEFT(TRIM(C853),FIND(" ",TRIM(C853)&amp;" ")-1),",","."))+1,9)),IF(ISNUMBER(SEARCH("yea",C853)),IFERROR(_xlfn.NUMBERVALUE(SUBSTITUTE(LEFT(TRIM(C853),FIND(" ",TRIM(C853)&amp;" ")-1),",","."),"."),LEFT(SUBSTITUTE(LEFT(TRIM(C853),FIND(" ",TRIM(C853)&amp;" ")-1),",","."),FIND("/",SUBSTITUTE(LEFT(TRIM(C853),FIND(" ",TRIM(C853)&amp;" ")-1),",","."))-1)/MID(SUBSTITUTE(LEFT(TRIM(C853),FIND(" ",TRIM(C853)&amp;" ")-1),",","."),FIND("/",SUBSTITUTE(LEFT(TRIM(C853),FIND(" ",TRIM(C853)&amp;" ")-1),",","."))+1,9))*12,NA()))),0),36)*'Aturan &amp; Tarif'!$B$4,2)</f>
        <v>2044.08</v>
      </c>
      <c r="K853" s="42" t="n">
        <f aca="false">'Aturan &amp; Tarif'!$B$5</f>
        <v>2050</v>
      </c>
      <c r="L853" s="42" t="n">
        <f aca="false">'Aturan &amp; Tarif'!$B$6</f>
        <v>350</v>
      </c>
      <c r="M853" s="35" t="n">
        <f aca="false">I853+J853+K853+L853</f>
        <v>23194.08</v>
      </c>
      <c r="N853" s="44" t="s">
        <v>1089</v>
      </c>
    </row>
    <row r="854" customFormat="false" ht="60" hidden="false" customHeight="true" outlineLevel="0" collapsed="false">
      <c r="A854" s="39"/>
      <c r="B854" s="40" t="s">
        <v>1090</v>
      </c>
      <c r="C854" s="41" t="s">
        <v>127</v>
      </c>
      <c r="D854" s="41" t="s">
        <v>108</v>
      </c>
      <c r="E854" s="42" t="n">
        <v>9375</v>
      </c>
      <c r="F854" s="42"/>
      <c r="G854" s="42"/>
      <c r="H854" s="43" t="n">
        <v>2</v>
      </c>
      <c r="I854" s="34" t="n">
        <f aca="false">E854*H854+N(F854)+N(G854)</f>
        <v>18750</v>
      </c>
      <c r="J854" s="42" t="n">
        <f aca="false">ROUND(IFERROR(ROUND(IF(OR(ISNUMBER(SEARCH("week",C854)),ISNUMBER(SEARCH("minggu",C854))),IFERROR(_xlfn.NUMBERVALUE(SUBSTITUTE(LEFT(TRIM(C854),FIND(" ",TRIM(C854)&amp;" ")-1),",","."),"."),LEFT(SUBSTITUTE(LEFT(TRIM(C854),FIND(" ",TRIM(C854)&amp;" ")-1),",","."),FIND("/",SUBSTITUTE(LEFT(TRIM(C854),FIND(" ",TRIM(C854)&amp;" ")-1),",","."))-1)/MID(SUBSTITUTE(LEFT(TRIM(C854),FIND(" ",TRIM(C854)&amp;" ")-1),",","."),FIND("/",SUBSTITUTE(LEFT(TRIM(C854),FIND(" ",TRIM(C854)&amp;" ")-1),",","."))+1,9))*12/52,IF(ISNUMBER(SEARCH("month",C854)),IFERROR(_xlfn.NUMBERVALUE(SUBSTITUTE(LEFT(TRIM(C854),FIND(" ",TRIM(C854)&amp;" ")-1),",","."),"."),LEFT(SUBSTITUTE(LEFT(TRIM(C854),FIND(" ",TRIM(C854)&amp;" ")-1),",","."),FIND("/",SUBSTITUTE(LEFT(TRIM(C854),FIND(" ",TRIM(C854)&amp;" ")-1),",","."))-1)/MID(SUBSTITUTE(LEFT(TRIM(C854),FIND(" ",TRIM(C854)&amp;" ")-1),",","."),FIND("/",SUBSTITUTE(LEFT(TRIM(C854),FIND(" ",TRIM(C854)&amp;" ")-1),",","."))+1,9)),IF(ISNUMBER(SEARCH("yea",C854)),IFERROR(_xlfn.NUMBERVALUE(SUBSTITUTE(LEFT(TRIM(C854),FIND(" ",TRIM(C854)&amp;" ")-1),",","."),"."),LEFT(SUBSTITUTE(LEFT(TRIM(C854),FIND(" ",TRIM(C854)&amp;" ")-1),",","."),FIND("/",SUBSTITUTE(LEFT(TRIM(C854),FIND(" ",TRIM(C854)&amp;" ")-1),",","."))-1)/MID(SUBSTITUTE(LEFT(TRIM(C854),FIND(" ",TRIM(C854)&amp;" ")-1),",","."),FIND("/",SUBSTITUTE(LEFT(TRIM(C854),FIND(" ",TRIM(C854)&amp;" ")-1),",","."))+1,9))*12,NA()))),0),36)*'Aturan &amp; Tarif'!$B$4,2)</f>
        <v>2044.08</v>
      </c>
      <c r="K854" s="42" t="n">
        <f aca="false">'Aturan &amp; Tarif'!$B$5</f>
        <v>2050</v>
      </c>
      <c r="L854" s="42" t="n">
        <f aca="false">'Aturan &amp; Tarif'!$B$6</f>
        <v>350</v>
      </c>
      <c r="M854" s="35" t="n">
        <f aca="false">I854+J854+K854+L854</f>
        <v>23194.08</v>
      </c>
      <c r="N854" s="44" t="s">
        <v>1091</v>
      </c>
    </row>
    <row r="855" customFormat="false" ht="60" hidden="false" customHeight="true" outlineLevel="0" collapsed="false">
      <c r="A855" s="39"/>
      <c r="B855" s="40" t="s">
        <v>1092</v>
      </c>
      <c r="C855" s="41" t="s">
        <v>107</v>
      </c>
      <c r="D855" s="41" t="s">
        <v>108</v>
      </c>
      <c r="E855" s="42" t="n">
        <v>6250</v>
      </c>
      <c r="F855" s="42"/>
      <c r="G855" s="42"/>
      <c r="H855" s="43" t="n">
        <v>2</v>
      </c>
      <c r="I855" s="34" t="n">
        <f aca="false">E855*H855+N(F855)+N(G855)</f>
        <v>12500</v>
      </c>
      <c r="J855" s="42" t="n">
        <f aca="false">ROUND(IFERROR(ROUND(IF(OR(ISNUMBER(SEARCH("week",C855)),ISNUMBER(SEARCH("minggu",C855))),IFERROR(_xlfn.NUMBERVALUE(SUBSTITUTE(LEFT(TRIM(C855),FIND(" ",TRIM(C855)&amp;" ")-1),",","."),"."),LEFT(SUBSTITUTE(LEFT(TRIM(C855),FIND(" ",TRIM(C855)&amp;" ")-1),",","."),FIND("/",SUBSTITUTE(LEFT(TRIM(C855),FIND(" ",TRIM(C855)&amp;" ")-1),",","."))-1)/MID(SUBSTITUTE(LEFT(TRIM(C855),FIND(" ",TRIM(C855)&amp;" ")-1),",","."),FIND("/",SUBSTITUTE(LEFT(TRIM(C855),FIND(" ",TRIM(C855)&amp;" ")-1),",","."))+1,9))*12/52,IF(ISNUMBER(SEARCH("month",C855)),IFERROR(_xlfn.NUMBERVALUE(SUBSTITUTE(LEFT(TRIM(C855),FIND(" ",TRIM(C855)&amp;" ")-1),",","."),"."),LEFT(SUBSTITUTE(LEFT(TRIM(C855),FIND(" ",TRIM(C855)&amp;" ")-1),",","."),FIND("/",SUBSTITUTE(LEFT(TRIM(C855),FIND(" ",TRIM(C855)&amp;" ")-1),",","."))-1)/MID(SUBSTITUTE(LEFT(TRIM(C855),FIND(" ",TRIM(C855)&amp;" ")-1),",","."),FIND("/",SUBSTITUTE(LEFT(TRIM(C855),FIND(" ",TRIM(C855)&amp;" ")-1),",","."))+1,9)),IF(ISNUMBER(SEARCH("yea",C855)),IFERROR(_xlfn.NUMBERVALUE(SUBSTITUTE(LEFT(TRIM(C855),FIND(" ",TRIM(C855)&amp;" ")-1),",","."),"."),LEFT(SUBSTITUTE(LEFT(TRIM(C855),FIND(" ",TRIM(C855)&amp;" ")-1),",","."),FIND("/",SUBSTITUTE(LEFT(TRIM(C855),FIND(" ",TRIM(C855)&amp;" ")-1),",","."))-1)/MID(SUBSTITUTE(LEFT(TRIM(C855),FIND(" ",TRIM(C855)&amp;" ")-1),",","."),FIND("/",SUBSTITUTE(LEFT(TRIM(C855),FIND(" ",TRIM(C855)&amp;" ")-1),",","."))+1,9))*12,NA()))),0),24)*'Aturan &amp; Tarif'!$B$4,2)</f>
        <v>1362.72</v>
      </c>
      <c r="K855" s="42" t="n">
        <f aca="false">'Aturan &amp; Tarif'!$B$5</f>
        <v>2050</v>
      </c>
      <c r="L855" s="42" t="n">
        <f aca="false">'Aturan &amp; Tarif'!$B$6</f>
        <v>350</v>
      </c>
      <c r="M855" s="35" t="n">
        <f aca="false">I855+J855+K855+L855</f>
        <v>16262.72</v>
      </c>
      <c r="N855" s="44" t="s">
        <v>1093</v>
      </c>
    </row>
    <row r="856" customFormat="false" ht="60" hidden="false" customHeight="true" outlineLevel="0" collapsed="false">
      <c r="A856" s="39"/>
      <c r="B856" s="40" t="s">
        <v>1094</v>
      </c>
      <c r="C856" s="41" t="s">
        <v>130</v>
      </c>
      <c r="D856" s="41" t="s">
        <v>108</v>
      </c>
      <c r="E856" s="42" t="n">
        <v>6250</v>
      </c>
      <c r="F856" s="42"/>
      <c r="G856" s="42"/>
      <c r="H856" s="43" t="n">
        <v>2</v>
      </c>
      <c r="I856" s="34" t="n">
        <f aca="false">E856*H856+N(F856)+N(G856)</f>
        <v>12500</v>
      </c>
      <c r="J856" s="42" t="n">
        <f aca="false">ROUND(IFERROR(ROUND(IF(OR(ISNUMBER(SEARCH("week",C856)),ISNUMBER(SEARCH("minggu",C856))),IFERROR(_xlfn.NUMBERVALUE(SUBSTITUTE(LEFT(TRIM(C856),FIND(" ",TRIM(C856)&amp;" ")-1),",","."),"."),LEFT(SUBSTITUTE(LEFT(TRIM(C856),FIND(" ",TRIM(C856)&amp;" ")-1),",","."),FIND("/",SUBSTITUTE(LEFT(TRIM(C856),FIND(" ",TRIM(C856)&amp;" ")-1),",","."))-1)/MID(SUBSTITUTE(LEFT(TRIM(C856),FIND(" ",TRIM(C856)&amp;" ")-1),",","."),FIND("/",SUBSTITUTE(LEFT(TRIM(C856),FIND(" ",TRIM(C856)&amp;" ")-1),",","."))+1,9))*12/52,IF(ISNUMBER(SEARCH("month",C856)),IFERROR(_xlfn.NUMBERVALUE(SUBSTITUTE(LEFT(TRIM(C856),FIND(" ",TRIM(C856)&amp;" ")-1),",","."),"."),LEFT(SUBSTITUTE(LEFT(TRIM(C856),FIND(" ",TRIM(C856)&amp;" ")-1),",","."),FIND("/",SUBSTITUTE(LEFT(TRIM(C856),FIND(" ",TRIM(C856)&amp;" ")-1),",","."))-1)/MID(SUBSTITUTE(LEFT(TRIM(C856),FIND(" ",TRIM(C856)&amp;" ")-1),",","."),FIND("/",SUBSTITUTE(LEFT(TRIM(C856),FIND(" ",TRIM(C856)&amp;" ")-1),",","."))+1,9)),IF(ISNUMBER(SEARCH("yea",C856)),IFERROR(_xlfn.NUMBERVALUE(SUBSTITUTE(LEFT(TRIM(C856),FIND(" ",TRIM(C856)&amp;" ")-1),",","."),"."),LEFT(SUBSTITUTE(LEFT(TRIM(C856),FIND(" ",TRIM(C856)&amp;" ")-1),",","."),FIND("/",SUBSTITUTE(LEFT(TRIM(C856),FIND(" ",TRIM(C856)&amp;" ")-1),",","."))-1)/MID(SUBSTITUTE(LEFT(TRIM(C856),FIND(" ",TRIM(C856)&amp;" ")-1),",","."),FIND("/",SUBSTITUTE(LEFT(TRIM(C856),FIND(" ",TRIM(C856)&amp;" ")-1),",","."))+1,9))*12,NA()))),0),12)*'Aturan &amp; Tarif'!$B$4,2)</f>
        <v>681.36</v>
      </c>
      <c r="K856" s="42" t="n">
        <f aca="false">'Aturan &amp; Tarif'!$B$5</f>
        <v>2050</v>
      </c>
      <c r="L856" s="42" t="n">
        <f aca="false">'Aturan &amp; Tarif'!$B$6</f>
        <v>350</v>
      </c>
      <c r="M856" s="35" t="n">
        <f aca="false">I856+J856+K856+L856</f>
        <v>15581.36</v>
      </c>
      <c r="N856" s="44" t="s">
        <v>1095</v>
      </c>
    </row>
    <row r="857" customFormat="false" ht="60" hidden="false" customHeight="true" outlineLevel="0" collapsed="false">
      <c r="A857" s="39"/>
      <c r="B857" s="40" t="s">
        <v>1096</v>
      </c>
      <c r="C857" s="41" t="s">
        <v>130</v>
      </c>
      <c r="D857" s="41" t="s">
        <v>108</v>
      </c>
      <c r="E857" s="42" t="n">
        <v>9375</v>
      </c>
      <c r="F857" s="42"/>
      <c r="G857" s="42"/>
      <c r="H857" s="43" t="n">
        <v>2</v>
      </c>
      <c r="I857" s="34" t="n">
        <f aca="false">E857*H857+N(F857)+N(G857)</f>
        <v>18750</v>
      </c>
      <c r="J857" s="42" t="n">
        <f aca="false">ROUND(IFERROR(ROUND(IF(OR(ISNUMBER(SEARCH("week",C857)),ISNUMBER(SEARCH("minggu",C857))),IFERROR(_xlfn.NUMBERVALUE(SUBSTITUTE(LEFT(TRIM(C857),FIND(" ",TRIM(C857)&amp;" ")-1),",","."),"."),LEFT(SUBSTITUTE(LEFT(TRIM(C857),FIND(" ",TRIM(C857)&amp;" ")-1),",","."),FIND("/",SUBSTITUTE(LEFT(TRIM(C857),FIND(" ",TRIM(C857)&amp;" ")-1),",","."))-1)/MID(SUBSTITUTE(LEFT(TRIM(C857),FIND(" ",TRIM(C857)&amp;" ")-1),",","."),FIND("/",SUBSTITUTE(LEFT(TRIM(C857),FIND(" ",TRIM(C857)&amp;" ")-1),",","."))+1,9))*12/52,IF(ISNUMBER(SEARCH("month",C857)),IFERROR(_xlfn.NUMBERVALUE(SUBSTITUTE(LEFT(TRIM(C857),FIND(" ",TRIM(C857)&amp;" ")-1),",","."),"."),LEFT(SUBSTITUTE(LEFT(TRIM(C857),FIND(" ",TRIM(C857)&amp;" ")-1),",","."),FIND("/",SUBSTITUTE(LEFT(TRIM(C857),FIND(" ",TRIM(C857)&amp;" ")-1),",","."))-1)/MID(SUBSTITUTE(LEFT(TRIM(C857),FIND(" ",TRIM(C857)&amp;" ")-1),",","."),FIND("/",SUBSTITUTE(LEFT(TRIM(C857),FIND(" ",TRIM(C857)&amp;" ")-1),",","."))+1,9)),IF(ISNUMBER(SEARCH("yea",C857)),IFERROR(_xlfn.NUMBERVALUE(SUBSTITUTE(LEFT(TRIM(C857),FIND(" ",TRIM(C857)&amp;" ")-1),",","."),"."),LEFT(SUBSTITUTE(LEFT(TRIM(C857),FIND(" ",TRIM(C857)&amp;" ")-1),",","."),FIND("/",SUBSTITUTE(LEFT(TRIM(C857),FIND(" ",TRIM(C857)&amp;" ")-1),",","."))-1)/MID(SUBSTITUTE(LEFT(TRIM(C857),FIND(" ",TRIM(C857)&amp;" ")-1),",","."),FIND("/",SUBSTITUTE(LEFT(TRIM(C857),FIND(" ",TRIM(C857)&amp;" ")-1),",","."))+1,9))*12,NA()))),0),12)*'Aturan &amp; Tarif'!$B$4,2)</f>
        <v>681.36</v>
      </c>
      <c r="K857" s="42" t="n">
        <f aca="false">'Aturan &amp; Tarif'!$B$5</f>
        <v>2050</v>
      </c>
      <c r="L857" s="42" t="n">
        <f aca="false">'Aturan &amp; Tarif'!$B$6</f>
        <v>350</v>
      </c>
      <c r="M857" s="35" t="n">
        <f aca="false">I857+J857+K857+L857</f>
        <v>21831.36</v>
      </c>
      <c r="N857" s="44" t="s">
        <v>2469</v>
      </c>
    </row>
    <row r="858" customFormat="false" ht="60" hidden="false" customHeight="true" outlineLevel="0" collapsed="false">
      <c r="A858" s="39"/>
      <c r="B858" s="40" t="s">
        <v>1098</v>
      </c>
      <c r="C858" s="41" t="s">
        <v>127</v>
      </c>
      <c r="D858" s="41" t="s">
        <v>108</v>
      </c>
      <c r="E858" s="42" t="n">
        <v>9375</v>
      </c>
      <c r="F858" s="42"/>
      <c r="G858" s="42"/>
      <c r="H858" s="43" t="n">
        <v>2</v>
      </c>
      <c r="I858" s="34" t="n">
        <f aca="false">E858*H858+N(F858)+N(G858)</f>
        <v>18750</v>
      </c>
      <c r="J858" s="42" t="n">
        <f aca="false">ROUND(IFERROR(ROUND(IF(OR(ISNUMBER(SEARCH("week",C858)),ISNUMBER(SEARCH("minggu",C858))),IFERROR(_xlfn.NUMBERVALUE(SUBSTITUTE(LEFT(TRIM(C858),FIND(" ",TRIM(C858)&amp;" ")-1),",","."),"."),LEFT(SUBSTITUTE(LEFT(TRIM(C858),FIND(" ",TRIM(C858)&amp;" ")-1),",","."),FIND("/",SUBSTITUTE(LEFT(TRIM(C858),FIND(" ",TRIM(C858)&amp;" ")-1),",","."))-1)/MID(SUBSTITUTE(LEFT(TRIM(C858),FIND(" ",TRIM(C858)&amp;" ")-1),",","."),FIND("/",SUBSTITUTE(LEFT(TRIM(C858),FIND(" ",TRIM(C858)&amp;" ")-1),",","."))+1,9))*12/52,IF(ISNUMBER(SEARCH("month",C858)),IFERROR(_xlfn.NUMBERVALUE(SUBSTITUTE(LEFT(TRIM(C858),FIND(" ",TRIM(C858)&amp;" ")-1),",","."),"."),LEFT(SUBSTITUTE(LEFT(TRIM(C858),FIND(" ",TRIM(C858)&amp;" ")-1),",","."),FIND("/",SUBSTITUTE(LEFT(TRIM(C858),FIND(" ",TRIM(C858)&amp;" ")-1),",","."))-1)/MID(SUBSTITUTE(LEFT(TRIM(C858),FIND(" ",TRIM(C858)&amp;" ")-1),",","."),FIND("/",SUBSTITUTE(LEFT(TRIM(C858),FIND(" ",TRIM(C858)&amp;" ")-1),",","."))+1,9)),IF(ISNUMBER(SEARCH("yea",C858)),IFERROR(_xlfn.NUMBERVALUE(SUBSTITUTE(LEFT(TRIM(C858),FIND(" ",TRIM(C858)&amp;" ")-1),",","."),"."),LEFT(SUBSTITUTE(LEFT(TRIM(C858),FIND(" ",TRIM(C858)&amp;" ")-1),",","."),FIND("/",SUBSTITUTE(LEFT(TRIM(C858),FIND(" ",TRIM(C858)&amp;" ")-1),",","."))-1)/MID(SUBSTITUTE(LEFT(TRIM(C858),FIND(" ",TRIM(C858)&amp;" ")-1),",","."),FIND("/",SUBSTITUTE(LEFT(TRIM(C858),FIND(" ",TRIM(C858)&amp;" ")-1),",","."))+1,9))*12,NA()))),0),36)*'Aturan &amp; Tarif'!$B$4,2)</f>
        <v>2044.08</v>
      </c>
      <c r="K858" s="42" t="n">
        <f aca="false">'Aturan &amp; Tarif'!$B$5</f>
        <v>2050</v>
      </c>
      <c r="L858" s="42" t="n">
        <f aca="false">'Aturan &amp; Tarif'!$B$6</f>
        <v>350</v>
      </c>
      <c r="M858" s="35" t="n">
        <f aca="false">I858+J858+K858+L858</f>
        <v>23194.08</v>
      </c>
      <c r="N858" s="44" t="s">
        <v>1099</v>
      </c>
    </row>
    <row r="859" customFormat="false" ht="60" hidden="false" customHeight="true" outlineLevel="0" collapsed="false">
      <c r="A859" s="39"/>
      <c r="B859" s="40" t="s">
        <v>1100</v>
      </c>
      <c r="C859" s="41" t="s">
        <v>127</v>
      </c>
      <c r="D859" s="41" t="s">
        <v>108</v>
      </c>
      <c r="E859" s="42" t="n">
        <v>9375</v>
      </c>
      <c r="F859" s="42"/>
      <c r="G859" s="42"/>
      <c r="H859" s="43" t="n">
        <v>2</v>
      </c>
      <c r="I859" s="34" t="n">
        <f aca="false">E859*H859+N(F859)+N(G859)</f>
        <v>18750</v>
      </c>
      <c r="J859" s="42" t="n">
        <f aca="false">ROUND(IFERROR(ROUND(IF(OR(ISNUMBER(SEARCH("week",C859)),ISNUMBER(SEARCH("minggu",C859))),IFERROR(_xlfn.NUMBERVALUE(SUBSTITUTE(LEFT(TRIM(C859),FIND(" ",TRIM(C859)&amp;" ")-1),",","."),"."),LEFT(SUBSTITUTE(LEFT(TRIM(C859),FIND(" ",TRIM(C859)&amp;" ")-1),",","."),FIND("/",SUBSTITUTE(LEFT(TRIM(C859),FIND(" ",TRIM(C859)&amp;" ")-1),",","."))-1)/MID(SUBSTITUTE(LEFT(TRIM(C859),FIND(" ",TRIM(C859)&amp;" ")-1),",","."),FIND("/",SUBSTITUTE(LEFT(TRIM(C859),FIND(" ",TRIM(C859)&amp;" ")-1),",","."))+1,9))*12/52,IF(ISNUMBER(SEARCH("month",C859)),IFERROR(_xlfn.NUMBERVALUE(SUBSTITUTE(LEFT(TRIM(C859),FIND(" ",TRIM(C859)&amp;" ")-1),",","."),"."),LEFT(SUBSTITUTE(LEFT(TRIM(C859),FIND(" ",TRIM(C859)&amp;" ")-1),",","."),FIND("/",SUBSTITUTE(LEFT(TRIM(C859),FIND(" ",TRIM(C859)&amp;" ")-1),",","."))-1)/MID(SUBSTITUTE(LEFT(TRIM(C859),FIND(" ",TRIM(C859)&amp;" ")-1),",","."),FIND("/",SUBSTITUTE(LEFT(TRIM(C859),FIND(" ",TRIM(C859)&amp;" ")-1),",","."))+1,9)),IF(ISNUMBER(SEARCH("yea",C859)),IFERROR(_xlfn.NUMBERVALUE(SUBSTITUTE(LEFT(TRIM(C859),FIND(" ",TRIM(C859)&amp;" ")-1),",","."),"."),LEFT(SUBSTITUTE(LEFT(TRIM(C859),FIND(" ",TRIM(C859)&amp;" ")-1),",","."),FIND("/",SUBSTITUTE(LEFT(TRIM(C859),FIND(" ",TRIM(C859)&amp;" ")-1),",","."))-1)/MID(SUBSTITUTE(LEFT(TRIM(C859),FIND(" ",TRIM(C859)&amp;" ")-1),",","."),FIND("/",SUBSTITUTE(LEFT(TRIM(C859),FIND(" ",TRIM(C859)&amp;" ")-1),",","."))+1,9))*12,NA()))),0),36)*'Aturan &amp; Tarif'!$B$4,2)</f>
        <v>2044.08</v>
      </c>
      <c r="K859" s="42" t="n">
        <f aca="false">'Aturan &amp; Tarif'!$B$5</f>
        <v>2050</v>
      </c>
      <c r="L859" s="42" t="n">
        <f aca="false">'Aturan &amp; Tarif'!$B$6</f>
        <v>350</v>
      </c>
      <c r="M859" s="35" t="n">
        <f aca="false">I859+J859+K859+L859</f>
        <v>23194.08</v>
      </c>
      <c r="N859" s="44" t="s">
        <v>2470</v>
      </c>
    </row>
    <row r="860" customFormat="false" ht="60" hidden="false" customHeight="true" outlineLevel="0" collapsed="false">
      <c r="A860" s="39"/>
      <c r="B860" s="40" t="s">
        <v>2471</v>
      </c>
      <c r="C860" s="41" t="s">
        <v>127</v>
      </c>
      <c r="D860" s="41" t="s">
        <v>108</v>
      </c>
      <c r="E860" s="42" t="n">
        <v>6250</v>
      </c>
      <c r="F860" s="42"/>
      <c r="G860" s="42"/>
      <c r="H860" s="43" t="n">
        <v>2</v>
      </c>
      <c r="I860" s="34" t="n">
        <f aca="false">E860*H860+N(F860)+N(G860)</f>
        <v>12500</v>
      </c>
      <c r="J860" s="42" t="n">
        <f aca="false">ROUND(IFERROR(ROUND(IF(OR(ISNUMBER(SEARCH("week",C860)),ISNUMBER(SEARCH("minggu",C860))),IFERROR(_xlfn.NUMBERVALUE(SUBSTITUTE(LEFT(TRIM(C860),FIND(" ",TRIM(C860)&amp;" ")-1),",","."),"."),LEFT(SUBSTITUTE(LEFT(TRIM(C860),FIND(" ",TRIM(C860)&amp;" ")-1),",","."),FIND("/",SUBSTITUTE(LEFT(TRIM(C860),FIND(" ",TRIM(C860)&amp;" ")-1),",","."))-1)/MID(SUBSTITUTE(LEFT(TRIM(C860),FIND(" ",TRIM(C860)&amp;" ")-1),",","."),FIND("/",SUBSTITUTE(LEFT(TRIM(C860),FIND(" ",TRIM(C860)&amp;" ")-1),",","."))+1,9))*12/52,IF(ISNUMBER(SEARCH("month",C860)),IFERROR(_xlfn.NUMBERVALUE(SUBSTITUTE(LEFT(TRIM(C860),FIND(" ",TRIM(C860)&amp;" ")-1),",","."),"."),LEFT(SUBSTITUTE(LEFT(TRIM(C860),FIND(" ",TRIM(C860)&amp;" ")-1),",","."),FIND("/",SUBSTITUTE(LEFT(TRIM(C860),FIND(" ",TRIM(C860)&amp;" ")-1),",","."))-1)/MID(SUBSTITUTE(LEFT(TRIM(C860),FIND(" ",TRIM(C860)&amp;" ")-1),",","."),FIND("/",SUBSTITUTE(LEFT(TRIM(C860),FIND(" ",TRIM(C860)&amp;" ")-1),",","."))+1,9)),IF(ISNUMBER(SEARCH("yea",C860)),IFERROR(_xlfn.NUMBERVALUE(SUBSTITUTE(LEFT(TRIM(C860),FIND(" ",TRIM(C860)&amp;" ")-1),",","."),"."),LEFT(SUBSTITUTE(LEFT(TRIM(C860),FIND(" ",TRIM(C860)&amp;" ")-1),",","."),FIND("/",SUBSTITUTE(LEFT(TRIM(C860),FIND(" ",TRIM(C860)&amp;" ")-1),",","."))-1)/MID(SUBSTITUTE(LEFT(TRIM(C860),FIND(" ",TRIM(C860)&amp;" ")-1),",","."),FIND("/",SUBSTITUTE(LEFT(TRIM(C860),FIND(" ",TRIM(C860)&amp;" ")-1),",","."))+1,9))*12,NA()))),0),36)*'Aturan &amp; Tarif'!$B$4,2)</f>
        <v>2044.08</v>
      </c>
      <c r="K860" s="42" t="n">
        <f aca="false">'Aturan &amp; Tarif'!$B$5</f>
        <v>2050</v>
      </c>
      <c r="L860" s="42" t="n">
        <f aca="false">'Aturan &amp; Tarif'!$B$6</f>
        <v>350</v>
      </c>
      <c r="M860" s="35" t="n">
        <f aca="false">I860+J860+K860+L860</f>
        <v>16944.08</v>
      </c>
      <c r="N860" s="44" t="s">
        <v>2472</v>
      </c>
    </row>
    <row r="861" customFormat="false" ht="60" hidden="false" customHeight="true" outlineLevel="0" collapsed="false">
      <c r="A861" s="39"/>
      <c r="B861" s="40" t="s">
        <v>2473</v>
      </c>
      <c r="C861" s="41" t="s">
        <v>113</v>
      </c>
      <c r="D861" s="41" t="s">
        <v>108</v>
      </c>
      <c r="E861" s="42" t="n">
        <v>6250</v>
      </c>
      <c r="F861" s="42"/>
      <c r="G861" s="42"/>
      <c r="H861" s="43" t="n">
        <v>2</v>
      </c>
      <c r="I861" s="34" t="n">
        <f aca="false">E861*H861+N(F861)+N(G861)</f>
        <v>12500</v>
      </c>
      <c r="J861" s="42" t="n">
        <f aca="false">ROUND(IFERROR(ROUND(IF(OR(ISNUMBER(SEARCH("week",C861)),ISNUMBER(SEARCH("minggu",C861))),IFERROR(_xlfn.NUMBERVALUE(SUBSTITUTE(LEFT(TRIM(C861),FIND(" ",TRIM(C861)&amp;" ")-1),",","."),"."),LEFT(SUBSTITUTE(LEFT(TRIM(C861),FIND(" ",TRIM(C861)&amp;" ")-1),",","."),FIND("/",SUBSTITUTE(LEFT(TRIM(C861),FIND(" ",TRIM(C861)&amp;" ")-1),",","."))-1)/MID(SUBSTITUTE(LEFT(TRIM(C861),FIND(" ",TRIM(C861)&amp;" ")-1),",","."),FIND("/",SUBSTITUTE(LEFT(TRIM(C861),FIND(" ",TRIM(C861)&amp;" ")-1),",","."))+1,9))*12/52,IF(ISNUMBER(SEARCH("month",C861)),IFERROR(_xlfn.NUMBERVALUE(SUBSTITUTE(LEFT(TRIM(C861),FIND(" ",TRIM(C861)&amp;" ")-1),",","."),"."),LEFT(SUBSTITUTE(LEFT(TRIM(C861),FIND(" ",TRIM(C861)&amp;" ")-1),",","."),FIND("/",SUBSTITUTE(LEFT(TRIM(C861),FIND(" ",TRIM(C861)&amp;" ")-1),",","."))-1)/MID(SUBSTITUTE(LEFT(TRIM(C861),FIND(" ",TRIM(C861)&amp;" ")-1),",","."),FIND("/",SUBSTITUTE(LEFT(TRIM(C861),FIND(" ",TRIM(C861)&amp;" ")-1),",","."))+1,9)),IF(ISNUMBER(SEARCH("yea",C861)),IFERROR(_xlfn.NUMBERVALUE(SUBSTITUTE(LEFT(TRIM(C861),FIND(" ",TRIM(C861)&amp;" ")-1),",","."),"."),LEFT(SUBSTITUTE(LEFT(TRIM(C861),FIND(" ",TRIM(C861)&amp;" ")-1),",","."),FIND("/",SUBSTITUTE(LEFT(TRIM(C861),FIND(" ",TRIM(C861)&amp;" ")-1),",","."))-1)/MID(SUBSTITUTE(LEFT(TRIM(C861),FIND(" ",TRIM(C861)&amp;" ")-1),",","."),FIND("/",SUBSTITUTE(LEFT(TRIM(C861),FIND(" ",TRIM(C861)&amp;" ")-1),",","."))+1,9))*12,NA()))),0),18)*'Aturan &amp; Tarif'!$B$4,2)</f>
        <v>1022.04</v>
      </c>
      <c r="K861" s="42" t="n">
        <f aca="false">'Aturan &amp; Tarif'!$B$5</f>
        <v>2050</v>
      </c>
      <c r="L861" s="42" t="n">
        <f aca="false">'Aturan &amp; Tarif'!$B$6</f>
        <v>350</v>
      </c>
      <c r="M861" s="35" t="n">
        <f aca="false">I861+J861+K861+L861</f>
        <v>15922.04</v>
      </c>
      <c r="N861" s="44" t="s">
        <v>2474</v>
      </c>
    </row>
    <row r="862" customFormat="false" ht="60" hidden="false" customHeight="true" outlineLevel="0" collapsed="false">
      <c r="A862" s="39"/>
      <c r="B862" s="40" t="s">
        <v>2475</v>
      </c>
      <c r="C862" s="41" t="s">
        <v>127</v>
      </c>
      <c r="D862" s="41" t="s">
        <v>108</v>
      </c>
      <c r="E862" s="42" t="n">
        <v>9375</v>
      </c>
      <c r="F862" s="42"/>
      <c r="G862" s="42"/>
      <c r="H862" s="43" t="n">
        <v>2</v>
      </c>
      <c r="I862" s="34" t="n">
        <f aca="false">E862*H862+N(F862)+N(G862)</f>
        <v>18750</v>
      </c>
      <c r="J862" s="42" t="n">
        <f aca="false">ROUND(IFERROR(ROUND(IF(OR(ISNUMBER(SEARCH("week",C862)),ISNUMBER(SEARCH("minggu",C862))),IFERROR(_xlfn.NUMBERVALUE(SUBSTITUTE(LEFT(TRIM(C862),FIND(" ",TRIM(C862)&amp;" ")-1),",","."),"."),LEFT(SUBSTITUTE(LEFT(TRIM(C862),FIND(" ",TRIM(C862)&amp;" ")-1),",","."),FIND("/",SUBSTITUTE(LEFT(TRIM(C862),FIND(" ",TRIM(C862)&amp;" ")-1),",","."))-1)/MID(SUBSTITUTE(LEFT(TRIM(C862),FIND(" ",TRIM(C862)&amp;" ")-1),",","."),FIND("/",SUBSTITUTE(LEFT(TRIM(C862),FIND(" ",TRIM(C862)&amp;" ")-1),",","."))+1,9))*12/52,IF(ISNUMBER(SEARCH("month",C862)),IFERROR(_xlfn.NUMBERVALUE(SUBSTITUTE(LEFT(TRIM(C862),FIND(" ",TRIM(C862)&amp;" ")-1),",","."),"."),LEFT(SUBSTITUTE(LEFT(TRIM(C862),FIND(" ",TRIM(C862)&amp;" ")-1),",","."),FIND("/",SUBSTITUTE(LEFT(TRIM(C862),FIND(" ",TRIM(C862)&amp;" ")-1),",","."))-1)/MID(SUBSTITUTE(LEFT(TRIM(C862),FIND(" ",TRIM(C862)&amp;" ")-1),",","."),FIND("/",SUBSTITUTE(LEFT(TRIM(C862),FIND(" ",TRIM(C862)&amp;" ")-1),",","."))+1,9)),IF(ISNUMBER(SEARCH("yea",C862)),IFERROR(_xlfn.NUMBERVALUE(SUBSTITUTE(LEFT(TRIM(C862),FIND(" ",TRIM(C862)&amp;" ")-1),",","."),"."),LEFT(SUBSTITUTE(LEFT(TRIM(C862),FIND(" ",TRIM(C862)&amp;" ")-1),",","."),FIND("/",SUBSTITUTE(LEFT(TRIM(C862),FIND(" ",TRIM(C862)&amp;" ")-1),",","."))-1)/MID(SUBSTITUTE(LEFT(TRIM(C862),FIND(" ",TRIM(C862)&amp;" ")-1),",","."),FIND("/",SUBSTITUTE(LEFT(TRIM(C862),FIND(" ",TRIM(C862)&amp;" ")-1),",","."))+1,9))*12,NA()))),0),36)*'Aturan &amp; Tarif'!$B$4,2)</f>
        <v>2044.08</v>
      </c>
      <c r="K862" s="42" t="n">
        <f aca="false">'Aturan &amp; Tarif'!$B$5</f>
        <v>2050</v>
      </c>
      <c r="L862" s="42" t="n">
        <f aca="false">'Aturan &amp; Tarif'!$B$6</f>
        <v>350</v>
      </c>
      <c r="M862" s="35" t="n">
        <f aca="false">I862+J862+K862+L862</f>
        <v>23194.08</v>
      </c>
      <c r="N862" s="44" t="s">
        <v>2476</v>
      </c>
    </row>
    <row r="863" customFormat="false" ht="60" hidden="false" customHeight="true" outlineLevel="0" collapsed="false">
      <c r="A863" s="39"/>
      <c r="B863" s="40" t="s">
        <v>2477</v>
      </c>
      <c r="C863" s="41" t="s">
        <v>113</v>
      </c>
      <c r="D863" s="41" t="s">
        <v>108</v>
      </c>
      <c r="E863" s="42" t="n">
        <v>6250</v>
      </c>
      <c r="F863" s="42"/>
      <c r="G863" s="42"/>
      <c r="H863" s="43" t="n">
        <v>2</v>
      </c>
      <c r="I863" s="34" t="n">
        <f aca="false">E863*H863+N(F863)+N(G863)</f>
        <v>12500</v>
      </c>
      <c r="J863" s="42" t="n">
        <f aca="false">ROUND(IFERROR(ROUND(IF(OR(ISNUMBER(SEARCH("week",C863)),ISNUMBER(SEARCH("minggu",C863))),IFERROR(_xlfn.NUMBERVALUE(SUBSTITUTE(LEFT(TRIM(C863),FIND(" ",TRIM(C863)&amp;" ")-1),",","."),"."),LEFT(SUBSTITUTE(LEFT(TRIM(C863),FIND(" ",TRIM(C863)&amp;" ")-1),",","."),FIND("/",SUBSTITUTE(LEFT(TRIM(C863),FIND(" ",TRIM(C863)&amp;" ")-1),",","."))-1)/MID(SUBSTITUTE(LEFT(TRIM(C863),FIND(" ",TRIM(C863)&amp;" ")-1),",","."),FIND("/",SUBSTITUTE(LEFT(TRIM(C863),FIND(" ",TRIM(C863)&amp;" ")-1),",","."))+1,9))*12/52,IF(ISNUMBER(SEARCH("month",C863)),IFERROR(_xlfn.NUMBERVALUE(SUBSTITUTE(LEFT(TRIM(C863),FIND(" ",TRIM(C863)&amp;" ")-1),",","."),"."),LEFT(SUBSTITUTE(LEFT(TRIM(C863),FIND(" ",TRIM(C863)&amp;" ")-1),",","."),FIND("/",SUBSTITUTE(LEFT(TRIM(C863),FIND(" ",TRIM(C863)&amp;" ")-1),",","."))-1)/MID(SUBSTITUTE(LEFT(TRIM(C863),FIND(" ",TRIM(C863)&amp;" ")-1),",","."),FIND("/",SUBSTITUTE(LEFT(TRIM(C863),FIND(" ",TRIM(C863)&amp;" ")-1),",","."))+1,9)),IF(ISNUMBER(SEARCH("yea",C863)),IFERROR(_xlfn.NUMBERVALUE(SUBSTITUTE(LEFT(TRIM(C863),FIND(" ",TRIM(C863)&amp;" ")-1),",","."),"."),LEFT(SUBSTITUTE(LEFT(TRIM(C863),FIND(" ",TRIM(C863)&amp;" ")-1),",","."),FIND("/",SUBSTITUTE(LEFT(TRIM(C863),FIND(" ",TRIM(C863)&amp;" ")-1),",","."))-1)/MID(SUBSTITUTE(LEFT(TRIM(C863),FIND(" ",TRIM(C863)&amp;" ")-1),",","."),FIND("/",SUBSTITUTE(LEFT(TRIM(C863),FIND(" ",TRIM(C863)&amp;" ")-1),",","."))+1,9))*12,NA()))),0),18)*'Aturan &amp; Tarif'!$B$4,2)</f>
        <v>1022.04</v>
      </c>
      <c r="K863" s="42" t="n">
        <f aca="false">'Aturan &amp; Tarif'!$B$5</f>
        <v>2050</v>
      </c>
      <c r="L863" s="42" t="n">
        <f aca="false">'Aturan &amp; Tarif'!$B$6</f>
        <v>350</v>
      </c>
      <c r="M863" s="35" t="n">
        <f aca="false">I863+J863+K863+L863</f>
        <v>15922.04</v>
      </c>
      <c r="N863" s="44" t="s">
        <v>2478</v>
      </c>
    </row>
    <row r="864" customFormat="false" ht="60" hidden="false" customHeight="true" outlineLevel="0" collapsed="false">
      <c r="A864" s="39"/>
      <c r="B864" s="40" t="s">
        <v>2479</v>
      </c>
      <c r="C864" s="41" t="s">
        <v>344</v>
      </c>
      <c r="D864" s="41" t="s">
        <v>108</v>
      </c>
      <c r="E864" s="42" t="n">
        <v>4450</v>
      </c>
      <c r="F864" s="42"/>
      <c r="G864" s="42"/>
      <c r="H864" s="43" t="n">
        <v>2</v>
      </c>
      <c r="I864" s="34" t="n">
        <f aca="false">E864*H864+N(F864)+N(G864)</f>
        <v>8900</v>
      </c>
      <c r="J864" s="42" t="n">
        <f aca="false">ROUND(IFERROR(ROUND(IF(OR(ISNUMBER(SEARCH("week",C864)),ISNUMBER(SEARCH("minggu",C864))),IFERROR(_xlfn.NUMBERVALUE(SUBSTITUTE(LEFT(TRIM(C864),FIND(" ",TRIM(C864)&amp;" ")-1),",","."),"."),LEFT(SUBSTITUTE(LEFT(TRIM(C864),FIND(" ",TRIM(C864)&amp;" ")-1),",","."),FIND("/",SUBSTITUTE(LEFT(TRIM(C864),FIND(" ",TRIM(C864)&amp;" ")-1),",","."))-1)/MID(SUBSTITUTE(LEFT(TRIM(C864),FIND(" ",TRIM(C864)&amp;" ")-1),",","."),FIND("/",SUBSTITUTE(LEFT(TRIM(C864),FIND(" ",TRIM(C864)&amp;" ")-1),",","."))+1,9))*12/52,IF(ISNUMBER(SEARCH("month",C864)),IFERROR(_xlfn.NUMBERVALUE(SUBSTITUTE(LEFT(TRIM(C864),FIND(" ",TRIM(C864)&amp;" ")-1),",","."),"."),LEFT(SUBSTITUTE(LEFT(TRIM(C864),FIND(" ",TRIM(C864)&amp;" ")-1),",","."),FIND("/",SUBSTITUTE(LEFT(TRIM(C864),FIND(" ",TRIM(C864)&amp;" ")-1),",","."))-1)/MID(SUBSTITUTE(LEFT(TRIM(C864),FIND(" ",TRIM(C864)&amp;" ")-1),",","."),FIND("/",SUBSTITUTE(LEFT(TRIM(C864),FIND(" ",TRIM(C864)&amp;" ")-1),",","."))+1,9)),IF(ISNUMBER(SEARCH("yea",C864)),IFERROR(_xlfn.NUMBERVALUE(SUBSTITUTE(LEFT(TRIM(C864),FIND(" ",TRIM(C864)&amp;" ")-1),",","."),"."),LEFT(SUBSTITUTE(LEFT(TRIM(C864),FIND(" ",TRIM(C864)&amp;" ")-1),",","."),FIND("/",SUBSTITUTE(LEFT(TRIM(C864),FIND(" ",TRIM(C864)&amp;" ")-1),",","."))-1)/MID(SUBSTITUTE(LEFT(TRIM(C864),FIND(" ",TRIM(C864)&amp;" ")-1),",","."),FIND("/",SUBSTITUTE(LEFT(TRIM(C864),FIND(" ",TRIM(C864)&amp;" ")-1),",","."))+1,9))*12,NA()))),0),6)*'Aturan &amp; Tarif'!$B$4,2)</f>
        <v>340.68</v>
      </c>
      <c r="K864" s="42" t="n">
        <f aca="false">'Aturan &amp; Tarif'!$B$5</f>
        <v>2050</v>
      </c>
      <c r="L864" s="42" t="n">
        <f aca="false">'Aturan &amp; Tarif'!$B$6</f>
        <v>350</v>
      </c>
      <c r="M864" s="35" t="n">
        <f aca="false">I864+J864+K864+L864</f>
        <v>11640.68</v>
      </c>
      <c r="N864" s="44" t="s">
        <v>2480</v>
      </c>
    </row>
    <row r="865" customFormat="false" ht="60" hidden="false" customHeight="true" outlineLevel="0" collapsed="false">
      <c r="A865" s="39"/>
      <c r="B865" s="40" t="s">
        <v>2481</v>
      </c>
      <c r="C865" s="41" t="s">
        <v>107</v>
      </c>
      <c r="D865" s="41" t="s">
        <v>108</v>
      </c>
      <c r="E865" s="42" t="n">
        <v>8900</v>
      </c>
      <c r="F865" s="42"/>
      <c r="G865" s="42"/>
      <c r="H865" s="43" t="n">
        <v>2</v>
      </c>
      <c r="I865" s="34" t="n">
        <f aca="false">E865*H865+N(F865)+N(G865)</f>
        <v>17800</v>
      </c>
      <c r="J865" s="42" t="n">
        <f aca="false">ROUND(IFERROR(ROUND(IF(OR(ISNUMBER(SEARCH("week",C865)),ISNUMBER(SEARCH("minggu",C865))),IFERROR(_xlfn.NUMBERVALUE(SUBSTITUTE(LEFT(TRIM(C865),FIND(" ",TRIM(C865)&amp;" ")-1),",","."),"."),LEFT(SUBSTITUTE(LEFT(TRIM(C865),FIND(" ",TRIM(C865)&amp;" ")-1),",","."),FIND("/",SUBSTITUTE(LEFT(TRIM(C865),FIND(" ",TRIM(C865)&amp;" ")-1),",","."))-1)/MID(SUBSTITUTE(LEFT(TRIM(C865),FIND(" ",TRIM(C865)&amp;" ")-1),",","."),FIND("/",SUBSTITUTE(LEFT(TRIM(C865),FIND(" ",TRIM(C865)&amp;" ")-1),",","."))+1,9))*12/52,IF(ISNUMBER(SEARCH("month",C865)),IFERROR(_xlfn.NUMBERVALUE(SUBSTITUTE(LEFT(TRIM(C865),FIND(" ",TRIM(C865)&amp;" ")-1),",","."),"."),LEFT(SUBSTITUTE(LEFT(TRIM(C865),FIND(" ",TRIM(C865)&amp;" ")-1),",","."),FIND("/",SUBSTITUTE(LEFT(TRIM(C865),FIND(" ",TRIM(C865)&amp;" ")-1),",","."))-1)/MID(SUBSTITUTE(LEFT(TRIM(C865),FIND(" ",TRIM(C865)&amp;" ")-1),",","."),FIND("/",SUBSTITUTE(LEFT(TRIM(C865),FIND(" ",TRIM(C865)&amp;" ")-1),",","."))+1,9)),IF(ISNUMBER(SEARCH("yea",C865)),IFERROR(_xlfn.NUMBERVALUE(SUBSTITUTE(LEFT(TRIM(C865),FIND(" ",TRIM(C865)&amp;" ")-1),",","."),"."),LEFT(SUBSTITUTE(LEFT(TRIM(C865),FIND(" ",TRIM(C865)&amp;" ")-1),",","."),FIND("/",SUBSTITUTE(LEFT(TRIM(C865),FIND(" ",TRIM(C865)&amp;" ")-1),",","."))-1)/MID(SUBSTITUTE(LEFT(TRIM(C865),FIND(" ",TRIM(C865)&amp;" ")-1),",","."),FIND("/",SUBSTITUTE(LEFT(TRIM(C865),FIND(" ",TRIM(C865)&amp;" ")-1),",","."))+1,9))*12,NA()))),0),24)*'Aturan &amp; Tarif'!$B$4,2)</f>
        <v>1362.72</v>
      </c>
      <c r="K865" s="42" t="n">
        <f aca="false">'Aturan &amp; Tarif'!$B$5</f>
        <v>2050</v>
      </c>
      <c r="L865" s="42" t="n">
        <f aca="false">'Aturan &amp; Tarif'!$B$6</f>
        <v>350</v>
      </c>
      <c r="M865" s="35" t="n">
        <f aca="false">I865+J865+K865+L865</f>
        <v>21562.72</v>
      </c>
      <c r="N865" s="44" t="s">
        <v>2482</v>
      </c>
    </row>
    <row r="866" customFormat="false" ht="60" hidden="false" customHeight="true" outlineLevel="0" collapsed="false">
      <c r="A866" s="39"/>
      <c r="B866" s="40" t="s">
        <v>1035</v>
      </c>
      <c r="C866" s="41" t="s">
        <v>130</v>
      </c>
      <c r="D866" s="41" t="s">
        <v>108</v>
      </c>
      <c r="E866" s="42" t="n">
        <v>7900</v>
      </c>
      <c r="F866" s="42"/>
      <c r="G866" s="42"/>
      <c r="H866" s="43" t="n">
        <v>2</v>
      </c>
      <c r="I866" s="34" t="n">
        <f aca="false">E866*H866+N(F866)+N(G866)</f>
        <v>15800</v>
      </c>
      <c r="J866" s="42" t="n">
        <f aca="false">ROUND(IFERROR(ROUND(IF(OR(ISNUMBER(SEARCH("week",C866)),ISNUMBER(SEARCH("minggu",C866))),IFERROR(_xlfn.NUMBERVALUE(SUBSTITUTE(LEFT(TRIM(C866),FIND(" ",TRIM(C866)&amp;" ")-1),",","."),"."),LEFT(SUBSTITUTE(LEFT(TRIM(C866),FIND(" ",TRIM(C866)&amp;" ")-1),",","."),FIND("/",SUBSTITUTE(LEFT(TRIM(C866),FIND(" ",TRIM(C866)&amp;" ")-1),",","."))-1)/MID(SUBSTITUTE(LEFT(TRIM(C866),FIND(" ",TRIM(C866)&amp;" ")-1),",","."),FIND("/",SUBSTITUTE(LEFT(TRIM(C866),FIND(" ",TRIM(C866)&amp;" ")-1),",","."))+1,9))*12/52,IF(ISNUMBER(SEARCH("month",C866)),IFERROR(_xlfn.NUMBERVALUE(SUBSTITUTE(LEFT(TRIM(C866),FIND(" ",TRIM(C866)&amp;" ")-1),",","."),"."),LEFT(SUBSTITUTE(LEFT(TRIM(C866),FIND(" ",TRIM(C866)&amp;" ")-1),",","."),FIND("/",SUBSTITUTE(LEFT(TRIM(C866),FIND(" ",TRIM(C866)&amp;" ")-1),",","."))-1)/MID(SUBSTITUTE(LEFT(TRIM(C866),FIND(" ",TRIM(C866)&amp;" ")-1),",","."),FIND("/",SUBSTITUTE(LEFT(TRIM(C866),FIND(" ",TRIM(C866)&amp;" ")-1),",","."))+1,9)),IF(ISNUMBER(SEARCH("yea",C866)),IFERROR(_xlfn.NUMBERVALUE(SUBSTITUTE(LEFT(TRIM(C866),FIND(" ",TRIM(C866)&amp;" ")-1),",","."),"."),LEFT(SUBSTITUTE(LEFT(TRIM(C866),FIND(" ",TRIM(C866)&amp;" ")-1),",","."),FIND("/",SUBSTITUTE(LEFT(TRIM(C866),FIND(" ",TRIM(C866)&amp;" ")-1),",","."))-1)/MID(SUBSTITUTE(LEFT(TRIM(C866),FIND(" ",TRIM(C866)&amp;" ")-1),",","."),FIND("/",SUBSTITUTE(LEFT(TRIM(C866),FIND(" ",TRIM(C866)&amp;" ")-1),",","."))+1,9))*12,NA()))),0),12)*'Aturan &amp; Tarif'!$B$4,2)</f>
        <v>681.36</v>
      </c>
      <c r="K866" s="42" t="n">
        <f aca="false">'Aturan &amp; Tarif'!$B$5</f>
        <v>2050</v>
      </c>
      <c r="L866" s="42" t="n">
        <f aca="false">'Aturan &amp; Tarif'!$B$6</f>
        <v>350</v>
      </c>
      <c r="M866" s="35" t="n">
        <f aca="false">I866+J866+K866+L866</f>
        <v>18881.36</v>
      </c>
      <c r="N866" s="44" t="s">
        <v>1036</v>
      </c>
    </row>
    <row r="867" customFormat="false" ht="60" hidden="false" customHeight="true" outlineLevel="0" collapsed="false">
      <c r="A867" s="39"/>
      <c r="B867" s="40" t="s">
        <v>1037</v>
      </c>
      <c r="C867" s="41" t="s">
        <v>127</v>
      </c>
      <c r="D867" s="41" t="s">
        <v>108</v>
      </c>
      <c r="E867" s="42" t="n">
        <v>7900</v>
      </c>
      <c r="F867" s="42"/>
      <c r="G867" s="42"/>
      <c r="H867" s="43" t="n">
        <v>2</v>
      </c>
      <c r="I867" s="34" t="n">
        <f aca="false">E867*H867+N(F867)+N(G867)</f>
        <v>15800</v>
      </c>
      <c r="J867" s="42" t="n">
        <f aca="false">ROUND(IFERROR(ROUND(IF(OR(ISNUMBER(SEARCH("week",C867)),ISNUMBER(SEARCH("minggu",C867))),IFERROR(_xlfn.NUMBERVALUE(SUBSTITUTE(LEFT(TRIM(C867),FIND(" ",TRIM(C867)&amp;" ")-1),",","."),"."),LEFT(SUBSTITUTE(LEFT(TRIM(C867),FIND(" ",TRIM(C867)&amp;" ")-1),",","."),FIND("/",SUBSTITUTE(LEFT(TRIM(C867),FIND(" ",TRIM(C867)&amp;" ")-1),",","."))-1)/MID(SUBSTITUTE(LEFT(TRIM(C867),FIND(" ",TRIM(C867)&amp;" ")-1),",","."),FIND("/",SUBSTITUTE(LEFT(TRIM(C867),FIND(" ",TRIM(C867)&amp;" ")-1),",","."))+1,9))*12/52,IF(ISNUMBER(SEARCH("month",C867)),IFERROR(_xlfn.NUMBERVALUE(SUBSTITUTE(LEFT(TRIM(C867),FIND(" ",TRIM(C867)&amp;" ")-1),",","."),"."),LEFT(SUBSTITUTE(LEFT(TRIM(C867),FIND(" ",TRIM(C867)&amp;" ")-1),",","."),FIND("/",SUBSTITUTE(LEFT(TRIM(C867),FIND(" ",TRIM(C867)&amp;" ")-1),",","."))-1)/MID(SUBSTITUTE(LEFT(TRIM(C867),FIND(" ",TRIM(C867)&amp;" ")-1),",","."),FIND("/",SUBSTITUTE(LEFT(TRIM(C867),FIND(" ",TRIM(C867)&amp;" ")-1),",","."))+1,9)),IF(ISNUMBER(SEARCH("yea",C867)),IFERROR(_xlfn.NUMBERVALUE(SUBSTITUTE(LEFT(TRIM(C867),FIND(" ",TRIM(C867)&amp;" ")-1),",","."),"."),LEFT(SUBSTITUTE(LEFT(TRIM(C867),FIND(" ",TRIM(C867)&amp;" ")-1),",","."),FIND("/",SUBSTITUTE(LEFT(TRIM(C867),FIND(" ",TRIM(C867)&amp;" ")-1),",","."))-1)/MID(SUBSTITUTE(LEFT(TRIM(C867),FIND(" ",TRIM(C867)&amp;" ")-1),",","."),FIND("/",SUBSTITUTE(LEFT(TRIM(C867),FIND(" ",TRIM(C867)&amp;" ")-1),",","."))+1,9))*12,NA()))),0),36)*'Aturan &amp; Tarif'!$B$4,2)</f>
        <v>2044.08</v>
      </c>
      <c r="K867" s="42" t="n">
        <f aca="false">'Aturan &amp; Tarif'!$B$5</f>
        <v>2050</v>
      </c>
      <c r="L867" s="42" t="n">
        <f aca="false">'Aturan &amp; Tarif'!$B$6</f>
        <v>350</v>
      </c>
      <c r="M867" s="35" t="n">
        <f aca="false">I867+J867+K867+L867</f>
        <v>20244.08</v>
      </c>
      <c r="N867" s="44" t="s">
        <v>1036</v>
      </c>
    </row>
    <row r="868" customFormat="false" ht="60" hidden="false" customHeight="true" outlineLevel="0" collapsed="false">
      <c r="A868" s="39"/>
      <c r="B868" s="40" t="s">
        <v>1779</v>
      </c>
      <c r="C868" s="41" t="s">
        <v>130</v>
      </c>
      <c r="D868" s="41" t="s">
        <v>108</v>
      </c>
      <c r="E868" s="42" t="n">
        <v>9375</v>
      </c>
      <c r="F868" s="42"/>
      <c r="G868" s="42"/>
      <c r="H868" s="43" t="n">
        <v>2</v>
      </c>
      <c r="I868" s="34" t="n">
        <f aca="false">E868*H868+N(F868)+N(G868)</f>
        <v>18750</v>
      </c>
      <c r="J868" s="42" t="n">
        <f aca="false">ROUND(IFERROR(ROUND(IF(OR(ISNUMBER(SEARCH("week",C868)),ISNUMBER(SEARCH("minggu",C868))),IFERROR(_xlfn.NUMBERVALUE(SUBSTITUTE(LEFT(TRIM(C868),FIND(" ",TRIM(C868)&amp;" ")-1),",","."),"."),LEFT(SUBSTITUTE(LEFT(TRIM(C868),FIND(" ",TRIM(C868)&amp;" ")-1),",","."),FIND("/",SUBSTITUTE(LEFT(TRIM(C868),FIND(" ",TRIM(C868)&amp;" ")-1),",","."))-1)/MID(SUBSTITUTE(LEFT(TRIM(C868),FIND(" ",TRIM(C868)&amp;" ")-1),",","."),FIND("/",SUBSTITUTE(LEFT(TRIM(C868),FIND(" ",TRIM(C868)&amp;" ")-1),",","."))+1,9))*12/52,IF(ISNUMBER(SEARCH("month",C868)),IFERROR(_xlfn.NUMBERVALUE(SUBSTITUTE(LEFT(TRIM(C868),FIND(" ",TRIM(C868)&amp;" ")-1),",","."),"."),LEFT(SUBSTITUTE(LEFT(TRIM(C868),FIND(" ",TRIM(C868)&amp;" ")-1),",","."),FIND("/",SUBSTITUTE(LEFT(TRIM(C868),FIND(" ",TRIM(C868)&amp;" ")-1),",","."))-1)/MID(SUBSTITUTE(LEFT(TRIM(C868),FIND(" ",TRIM(C868)&amp;" ")-1),",","."),FIND("/",SUBSTITUTE(LEFT(TRIM(C868),FIND(" ",TRIM(C868)&amp;" ")-1),",","."))+1,9)),IF(ISNUMBER(SEARCH("yea",C868)),IFERROR(_xlfn.NUMBERVALUE(SUBSTITUTE(LEFT(TRIM(C868),FIND(" ",TRIM(C868)&amp;" ")-1),",","."),"."),LEFT(SUBSTITUTE(LEFT(TRIM(C868),FIND(" ",TRIM(C868)&amp;" ")-1),",","."),FIND("/",SUBSTITUTE(LEFT(TRIM(C868),FIND(" ",TRIM(C868)&amp;" ")-1),",","."))-1)/MID(SUBSTITUTE(LEFT(TRIM(C868),FIND(" ",TRIM(C868)&amp;" ")-1),",","."),FIND("/",SUBSTITUTE(LEFT(TRIM(C868),FIND(" ",TRIM(C868)&amp;" ")-1),",","."))+1,9))*12,NA()))),0),12)*'Aturan &amp; Tarif'!$B$4,2)</f>
        <v>681.36</v>
      </c>
      <c r="K868" s="42" t="n">
        <f aca="false">'Aturan &amp; Tarif'!$B$5</f>
        <v>2050</v>
      </c>
      <c r="L868" s="42" t="n">
        <f aca="false">'Aturan &amp; Tarif'!$B$6</f>
        <v>350</v>
      </c>
      <c r="M868" s="35" t="n">
        <f aca="false">I868+J868+K868+L868</f>
        <v>21831.36</v>
      </c>
      <c r="N868" s="44" t="s">
        <v>1103</v>
      </c>
    </row>
    <row r="869" customFormat="false" ht="60" hidden="false" customHeight="true" outlineLevel="0" collapsed="false">
      <c r="A869" s="39"/>
      <c r="B869" s="40" t="s">
        <v>1276</v>
      </c>
      <c r="C869" s="41" t="s">
        <v>127</v>
      </c>
      <c r="D869" s="41" t="s">
        <v>108</v>
      </c>
      <c r="E869" s="42" t="n">
        <v>9375</v>
      </c>
      <c r="F869" s="42"/>
      <c r="G869" s="42"/>
      <c r="H869" s="43" t="n">
        <v>2</v>
      </c>
      <c r="I869" s="34" t="n">
        <f aca="false">E869*H869+N(F869)+N(G869)</f>
        <v>18750</v>
      </c>
      <c r="J869" s="42" t="n">
        <f aca="false">ROUND(IFERROR(ROUND(IF(OR(ISNUMBER(SEARCH("week",C869)),ISNUMBER(SEARCH("minggu",C869))),IFERROR(_xlfn.NUMBERVALUE(SUBSTITUTE(LEFT(TRIM(C869),FIND(" ",TRIM(C869)&amp;" ")-1),",","."),"."),LEFT(SUBSTITUTE(LEFT(TRIM(C869),FIND(" ",TRIM(C869)&amp;" ")-1),",","."),FIND("/",SUBSTITUTE(LEFT(TRIM(C869),FIND(" ",TRIM(C869)&amp;" ")-1),",","."))-1)/MID(SUBSTITUTE(LEFT(TRIM(C869),FIND(" ",TRIM(C869)&amp;" ")-1),",","."),FIND("/",SUBSTITUTE(LEFT(TRIM(C869),FIND(" ",TRIM(C869)&amp;" ")-1),",","."))+1,9))*12/52,IF(ISNUMBER(SEARCH("month",C869)),IFERROR(_xlfn.NUMBERVALUE(SUBSTITUTE(LEFT(TRIM(C869),FIND(" ",TRIM(C869)&amp;" ")-1),",","."),"."),LEFT(SUBSTITUTE(LEFT(TRIM(C869),FIND(" ",TRIM(C869)&amp;" ")-1),",","."),FIND("/",SUBSTITUTE(LEFT(TRIM(C869),FIND(" ",TRIM(C869)&amp;" ")-1),",","."))-1)/MID(SUBSTITUTE(LEFT(TRIM(C869),FIND(" ",TRIM(C869)&amp;" ")-1),",","."),FIND("/",SUBSTITUTE(LEFT(TRIM(C869),FIND(" ",TRIM(C869)&amp;" ")-1),",","."))+1,9)),IF(ISNUMBER(SEARCH("yea",C869)),IFERROR(_xlfn.NUMBERVALUE(SUBSTITUTE(LEFT(TRIM(C869),FIND(" ",TRIM(C869)&amp;" ")-1),",","."),"."),LEFT(SUBSTITUTE(LEFT(TRIM(C869),FIND(" ",TRIM(C869)&amp;" ")-1),",","."),FIND("/",SUBSTITUTE(LEFT(TRIM(C869),FIND(" ",TRIM(C869)&amp;" ")-1),",","."))-1)/MID(SUBSTITUTE(LEFT(TRIM(C869),FIND(" ",TRIM(C869)&amp;" ")-1),",","."),FIND("/",SUBSTITUTE(LEFT(TRIM(C869),FIND(" ",TRIM(C869)&amp;" ")-1),",","."))+1,9))*12,NA()))),0),36)*'Aturan &amp; Tarif'!$B$4,2)</f>
        <v>2044.08</v>
      </c>
      <c r="K869" s="42" t="n">
        <f aca="false">'Aturan &amp; Tarif'!$B$5</f>
        <v>2050</v>
      </c>
      <c r="L869" s="42" t="n">
        <f aca="false">'Aturan &amp; Tarif'!$B$6</f>
        <v>350</v>
      </c>
      <c r="M869" s="35" t="n">
        <f aca="false">I869+J869+K869+L869</f>
        <v>23194.08</v>
      </c>
      <c r="N869" s="44" t="s">
        <v>2483</v>
      </c>
    </row>
    <row r="870" customFormat="false" ht="60" hidden="false" customHeight="true" outlineLevel="0" collapsed="false">
      <c r="A870" s="39"/>
      <c r="B870" s="40" t="s">
        <v>2484</v>
      </c>
      <c r="C870" s="41" t="s">
        <v>130</v>
      </c>
      <c r="D870" s="41" t="s">
        <v>108</v>
      </c>
      <c r="E870" s="42" t="n">
        <v>9375</v>
      </c>
      <c r="F870" s="42"/>
      <c r="G870" s="42"/>
      <c r="H870" s="43" t="n">
        <v>2</v>
      </c>
      <c r="I870" s="34" t="n">
        <f aca="false">E870*H870+N(F870)+N(G870)</f>
        <v>18750</v>
      </c>
      <c r="J870" s="42" t="n">
        <f aca="false">ROUND(IFERROR(ROUND(IF(OR(ISNUMBER(SEARCH("week",C870)),ISNUMBER(SEARCH("minggu",C870))),IFERROR(_xlfn.NUMBERVALUE(SUBSTITUTE(LEFT(TRIM(C870),FIND(" ",TRIM(C870)&amp;" ")-1),",","."),"."),LEFT(SUBSTITUTE(LEFT(TRIM(C870),FIND(" ",TRIM(C870)&amp;" ")-1),",","."),FIND("/",SUBSTITUTE(LEFT(TRIM(C870),FIND(" ",TRIM(C870)&amp;" ")-1),",","."))-1)/MID(SUBSTITUTE(LEFT(TRIM(C870),FIND(" ",TRIM(C870)&amp;" ")-1),",","."),FIND("/",SUBSTITUTE(LEFT(TRIM(C870),FIND(" ",TRIM(C870)&amp;" ")-1),",","."))+1,9))*12/52,IF(ISNUMBER(SEARCH("month",C870)),IFERROR(_xlfn.NUMBERVALUE(SUBSTITUTE(LEFT(TRIM(C870),FIND(" ",TRIM(C870)&amp;" ")-1),",","."),"."),LEFT(SUBSTITUTE(LEFT(TRIM(C870),FIND(" ",TRIM(C870)&amp;" ")-1),",","."),FIND("/",SUBSTITUTE(LEFT(TRIM(C870),FIND(" ",TRIM(C870)&amp;" ")-1),",","."))-1)/MID(SUBSTITUTE(LEFT(TRIM(C870),FIND(" ",TRIM(C870)&amp;" ")-1),",","."),FIND("/",SUBSTITUTE(LEFT(TRIM(C870),FIND(" ",TRIM(C870)&amp;" ")-1),",","."))+1,9)),IF(ISNUMBER(SEARCH("yea",C870)),IFERROR(_xlfn.NUMBERVALUE(SUBSTITUTE(LEFT(TRIM(C870),FIND(" ",TRIM(C870)&amp;" ")-1),",","."),"."),LEFT(SUBSTITUTE(LEFT(TRIM(C870),FIND(" ",TRIM(C870)&amp;" ")-1),",","."),FIND("/",SUBSTITUTE(LEFT(TRIM(C870),FIND(" ",TRIM(C870)&amp;" ")-1),",","."))-1)/MID(SUBSTITUTE(LEFT(TRIM(C870),FIND(" ",TRIM(C870)&amp;" ")-1),",","."),FIND("/",SUBSTITUTE(LEFT(TRIM(C870),FIND(" ",TRIM(C870)&amp;" ")-1),",","."))+1,9))*12,NA()))),0),12)*'Aturan &amp; Tarif'!$B$4,2)</f>
        <v>681.36</v>
      </c>
      <c r="K870" s="42" t="n">
        <f aca="false">'Aturan &amp; Tarif'!$B$5</f>
        <v>2050</v>
      </c>
      <c r="L870" s="42" t="n">
        <f aca="false">'Aturan &amp; Tarif'!$B$6</f>
        <v>350</v>
      </c>
      <c r="M870" s="35" t="n">
        <f aca="false">I870+J870+K870+L870</f>
        <v>21831.36</v>
      </c>
      <c r="N870" s="44" t="s">
        <v>1036</v>
      </c>
    </row>
    <row r="871" customFormat="false" ht="60" hidden="false" customHeight="true" outlineLevel="0" collapsed="false">
      <c r="A871" s="39"/>
      <c r="B871" s="40" t="s">
        <v>2485</v>
      </c>
      <c r="C871" s="41" t="s">
        <v>127</v>
      </c>
      <c r="D871" s="41" t="s">
        <v>108</v>
      </c>
      <c r="E871" s="42" t="n">
        <v>9375</v>
      </c>
      <c r="F871" s="42"/>
      <c r="G871" s="42"/>
      <c r="H871" s="43" t="n">
        <v>2</v>
      </c>
      <c r="I871" s="34" t="n">
        <f aca="false">E871*H871+N(F871)+N(G871)</f>
        <v>18750</v>
      </c>
      <c r="J871" s="42" t="n">
        <f aca="false">ROUND(IFERROR(ROUND(IF(OR(ISNUMBER(SEARCH("week",C871)),ISNUMBER(SEARCH("minggu",C871))),IFERROR(_xlfn.NUMBERVALUE(SUBSTITUTE(LEFT(TRIM(C871),FIND(" ",TRIM(C871)&amp;" ")-1),",","."),"."),LEFT(SUBSTITUTE(LEFT(TRIM(C871),FIND(" ",TRIM(C871)&amp;" ")-1),",","."),FIND("/",SUBSTITUTE(LEFT(TRIM(C871),FIND(" ",TRIM(C871)&amp;" ")-1),",","."))-1)/MID(SUBSTITUTE(LEFT(TRIM(C871),FIND(" ",TRIM(C871)&amp;" ")-1),",","."),FIND("/",SUBSTITUTE(LEFT(TRIM(C871),FIND(" ",TRIM(C871)&amp;" ")-1),",","."))+1,9))*12/52,IF(ISNUMBER(SEARCH("month",C871)),IFERROR(_xlfn.NUMBERVALUE(SUBSTITUTE(LEFT(TRIM(C871),FIND(" ",TRIM(C871)&amp;" ")-1),",","."),"."),LEFT(SUBSTITUTE(LEFT(TRIM(C871),FIND(" ",TRIM(C871)&amp;" ")-1),",","."),FIND("/",SUBSTITUTE(LEFT(TRIM(C871),FIND(" ",TRIM(C871)&amp;" ")-1),",","."))-1)/MID(SUBSTITUTE(LEFT(TRIM(C871),FIND(" ",TRIM(C871)&amp;" ")-1),",","."),FIND("/",SUBSTITUTE(LEFT(TRIM(C871),FIND(" ",TRIM(C871)&amp;" ")-1),",","."))+1,9)),IF(ISNUMBER(SEARCH("yea",C871)),IFERROR(_xlfn.NUMBERVALUE(SUBSTITUTE(LEFT(TRIM(C871),FIND(" ",TRIM(C871)&amp;" ")-1),",","."),"."),LEFT(SUBSTITUTE(LEFT(TRIM(C871),FIND(" ",TRIM(C871)&amp;" ")-1),",","."),FIND("/",SUBSTITUTE(LEFT(TRIM(C871),FIND(" ",TRIM(C871)&amp;" ")-1),",","."))-1)/MID(SUBSTITUTE(LEFT(TRIM(C871),FIND(" ",TRIM(C871)&amp;" ")-1),",","."),FIND("/",SUBSTITUTE(LEFT(TRIM(C871),FIND(" ",TRIM(C871)&amp;" ")-1),",","."))+1,9))*12,NA()))),0),36)*'Aturan &amp; Tarif'!$B$4,2)</f>
        <v>2044.08</v>
      </c>
      <c r="K871" s="42" t="n">
        <f aca="false">'Aturan &amp; Tarif'!$B$5</f>
        <v>2050</v>
      </c>
      <c r="L871" s="42" t="n">
        <f aca="false">'Aturan &amp; Tarif'!$B$6</f>
        <v>350</v>
      </c>
      <c r="M871" s="35" t="n">
        <f aca="false">I871+J871+K871+L871</f>
        <v>23194.08</v>
      </c>
      <c r="N871" s="44" t="s">
        <v>2486</v>
      </c>
    </row>
    <row r="872" customFormat="false" ht="60" hidden="false" customHeight="true" outlineLevel="0" collapsed="false">
      <c r="A872" s="39"/>
      <c r="B872" s="40" t="s">
        <v>1104</v>
      </c>
      <c r="C872" s="41" t="s">
        <v>130</v>
      </c>
      <c r="D872" s="41" t="s">
        <v>108</v>
      </c>
      <c r="E872" s="42" t="n">
        <v>7900</v>
      </c>
      <c r="F872" s="42"/>
      <c r="G872" s="42"/>
      <c r="H872" s="43" t="n">
        <v>2</v>
      </c>
      <c r="I872" s="34" t="n">
        <f aca="false">E872*H872+N(F872)+N(G872)</f>
        <v>15800</v>
      </c>
      <c r="J872" s="42" t="n">
        <f aca="false">ROUND(IFERROR(ROUND(IF(OR(ISNUMBER(SEARCH("week",C872)),ISNUMBER(SEARCH("minggu",C872))),IFERROR(_xlfn.NUMBERVALUE(SUBSTITUTE(LEFT(TRIM(C872),FIND(" ",TRIM(C872)&amp;" ")-1),",","."),"."),LEFT(SUBSTITUTE(LEFT(TRIM(C872),FIND(" ",TRIM(C872)&amp;" ")-1),",","."),FIND("/",SUBSTITUTE(LEFT(TRIM(C872),FIND(" ",TRIM(C872)&amp;" ")-1),",","."))-1)/MID(SUBSTITUTE(LEFT(TRIM(C872),FIND(" ",TRIM(C872)&amp;" ")-1),",","."),FIND("/",SUBSTITUTE(LEFT(TRIM(C872),FIND(" ",TRIM(C872)&amp;" ")-1),",","."))+1,9))*12/52,IF(ISNUMBER(SEARCH("month",C872)),IFERROR(_xlfn.NUMBERVALUE(SUBSTITUTE(LEFT(TRIM(C872),FIND(" ",TRIM(C872)&amp;" ")-1),",","."),"."),LEFT(SUBSTITUTE(LEFT(TRIM(C872),FIND(" ",TRIM(C872)&amp;" ")-1),",","."),FIND("/",SUBSTITUTE(LEFT(TRIM(C872),FIND(" ",TRIM(C872)&amp;" ")-1),",","."))-1)/MID(SUBSTITUTE(LEFT(TRIM(C872),FIND(" ",TRIM(C872)&amp;" ")-1),",","."),FIND("/",SUBSTITUTE(LEFT(TRIM(C872),FIND(" ",TRIM(C872)&amp;" ")-1),",","."))+1,9)),IF(ISNUMBER(SEARCH("yea",C872)),IFERROR(_xlfn.NUMBERVALUE(SUBSTITUTE(LEFT(TRIM(C872),FIND(" ",TRIM(C872)&amp;" ")-1),",","."),"."),LEFT(SUBSTITUTE(LEFT(TRIM(C872),FIND(" ",TRIM(C872)&amp;" ")-1),",","."),FIND("/",SUBSTITUTE(LEFT(TRIM(C872),FIND(" ",TRIM(C872)&amp;" ")-1),",","."))-1)/MID(SUBSTITUTE(LEFT(TRIM(C872),FIND(" ",TRIM(C872)&amp;" ")-1),",","."),FIND("/",SUBSTITUTE(LEFT(TRIM(C872),FIND(" ",TRIM(C872)&amp;" ")-1),",","."))+1,9))*12,NA()))),0),12)*'Aturan &amp; Tarif'!$B$4,2)</f>
        <v>681.36</v>
      </c>
      <c r="K872" s="42" t="n">
        <f aca="false">'Aturan &amp; Tarif'!$B$5</f>
        <v>2050</v>
      </c>
      <c r="L872" s="42" t="n">
        <f aca="false">'Aturan &amp; Tarif'!$B$6</f>
        <v>350</v>
      </c>
      <c r="M872" s="35" t="n">
        <f aca="false">I872+J872+K872+L872</f>
        <v>18881.36</v>
      </c>
      <c r="N872" s="44" t="s">
        <v>1105</v>
      </c>
    </row>
    <row r="873" customFormat="false" ht="60" hidden="false" customHeight="true" outlineLevel="0" collapsed="false">
      <c r="A873" s="39"/>
      <c r="B873" s="40" t="s">
        <v>335</v>
      </c>
      <c r="C873" s="41" t="s">
        <v>127</v>
      </c>
      <c r="D873" s="41" t="s">
        <v>108</v>
      </c>
      <c r="E873" s="42" t="n">
        <v>7900</v>
      </c>
      <c r="F873" s="42"/>
      <c r="G873" s="42"/>
      <c r="H873" s="43" t="n">
        <v>2</v>
      </c>
      <c r="I873" s="34" t="n">
        <f aca="false">E873*H873+N(F873)+N(G873)</f>
        <v>15800</v>
      </c>
      <c r="J873" s="42" t="n">
        <f aca="false">ROUND(IFERROR(ROUND(IF(OR(ISNUMBER(SEARCH("week",C873)),ISNUMBER(SEARCH("minggu",C873))),IFERROR(_xlfn.NUMBERVALUE(SUBSTITUTE(LEFT(TRIM(C873),FIND(" ",TRIM(C873)&amp;" ")-1),",","."),"."),LEFT(SUBSTITUTE(LEFT(TRIM(C873),FIND(" ",TRIM(C873)&amp;" ")-1),",","."),FIND("/",SUBSTITUTE(LEFT(TRIM(C873),FIND(" ",TRIM(C873)&amp;" ")-1),",","."))-1)/MID(SUBSTITUTE(LEFT(TRIM(C873),FIND(" ",TRIM(C873)&amp;" ")-1),",","."),FIND("/",SUBSTITUTE(LEFT(TRIM(C873),FIND(" ",TRIM(C873)&amp;" ")-1),",","."))+1,9))*12/52,IF(ISNUMBER(SEARCH("month",C873)),IFERROR(_xlfn.NUMBERVALUE(SUBSTITUTE(LEFT(TRIM(C873),FIND(" ",TRIM(C873)&amp;" ")-1),",","."),"."),LEFT(SUBSTITUTE(LEFT(TRIM(C873),FIND(" ",TRIM(C873)&amp;" ")-1),",","."),FIND("/",SUBSTITUTE(LEFT(TRIM(C873),FIND(" ",TRIM(C873)&amp;" ")-1),",","."))-1)/MID(SUBSTITUTE(LEFT(TRIM(C873),FIND(" ",TRIM(C873)&amp;" ")-1),",","."),FIND("/",SUBSTITUTE(LEFT(TRIM(C873),FIND(" ",TRIM(C873)&amp;" ")-1),",","."))+1,9)),IF(ISNUMBER(SEARCH("yea",C873)),IFERROR(_xlfn.NUMBERVALUE(SUBSTITUTE(LEFT(TRIM(C873),FIND(" ",TRIM(C873)&amp;" ")-1),",","."),"."),LEFT(SUBSTITUTE(LEFT(TRIM(C873),FIND(" ",TRIM(C873)&amp;" ")-1),",","."),FIND("/",SUBSTITUTE(LEFT(TRIM(C873),FIND(" ",TRIM(C873)&amp;" ")-1),",","."))-1)/MID(SUBSTITUTE(LEFT(TRIM(C873),FIND(" ",TRIM(C873)&amp;" ")-1),",","."),FIND("/",SUBSTITUTE(LEFT(TRIM(C873),FIND(" ",TRIM(C873)&amp;" ")-1),",","."))+1,9))*12,NA()))),0),36)*'Aturan &amp; Tarif'!$B$4,2)</f>
        <v>2044.08</v>
      </c>
      <c r="K873" s="42" t="n">
        <f aca="false">'Aturan &amp; Tarif'!$B$5</f>
        <v>2050</v>
      </c>
      <c r="L873" s="42" t="n">
        <f aca="false">'Aturan &amp; Tarif'!$B$6</f>
        <v>350</v>
      </c>
      <c r="M873" s="35" t="n">
        <f aca="false">I873+J873+K873+L873</f>
        <v>20244.08</v>
      </c>
      <c r="N873" s="44" t="s">
        <v>1106</v>
      </c>
    </row>
    <row r="874" customFormat="false" ht="60" hidden="false" customHeight="true" outlineLevel="0" collapsed="false">
      <c r="A874" s="39"/>
      <c r="B874" s="40" t="s">
        <v>2487</v>
      </c>
      <c r="C874" s="41" t="s">
        <v>127</v>
      </c>
      <c r="D874" s="41" t="s">
        <v>108</v>
      </c>
      <c r="E874" s="42" t="n">
        <v>9375</v>
      </c>
      <c r="F874" s="42"/>
      <c r="G874" s="42"/>
      <c r="H874" s="43" t="n">
        <v>2</v>
      </c>
      <c r="I874" s="34" t="n">
        <f aca="false">E874*H874+N(F874)+N(G874)</f>
        <v>18750</v>
      </c>
      <c r="J874" s="42" t="n">
        <f aca="false">ROUND(IFERROR(ROUND(IF(OR(ISNUMBER(SEARCH("week",C874)),ISNUMBER(SEARCH("minggu",C874))),IFERROR(_xlfn.NUMBERVALUE(SUBSTITUTE(LEFT(TRIM(C874),FIND(" ",TRIM(C874)&amp;" ")-1),",","."),"."),LEFT(SUBSTITUTE(LEFT(TRIM(C874),FIND(" ",TRIM(C874)&amp;" ")-1),",","."),FIND("/",SUBSTITUTE(LEFT(TRIM(C874),FIND(" ",TRIM(C874)&amp;" ")-1),",","."))-1)/MID(SUBSTITUTE(LEFT(TRIM(C874),FIND(" ",TRIM(C874)&amp;" ")-1),",","."),FIND("/",SUBSTITUTE(LEFT(TRIM(C874),FIND(" ",TRIM(C874)&amp;" ")-1),",","."))+1,9))*12/52,IF(ISNUMBER(SEARCH("month",C874)),IFERROR(_xlfn.NUMBERVALUE(SUBSTITUTE(LEFT(TRIM(C874),FIND(" ",TRIM(C874)&amp;" ")-1),",","."),"."),LEFT(SUBSTITUTE(LEFT(TRIM(C874),FIND(" ",TRIM(C874)&amp;" ")-1),",","."),FIND("/",SUBSTITUTE(LEFT(TRIM(C874),FIND(" ",TRIM(C874)&amp;" ")-1),",","."))-1)/MID(SUBSTITUTE(LEFT(TRIM(C874),FIND(" ",TRIM(C874)&amp;" ")-1),",","."),FIND("/",SUBSTITUTE(LEFT(TRIM(C874),FIND(" ",TRIM(C874)&amp;" ")-1),",","."))+1,9)),IF(ISNUMBER(SEARCH("yea",C874)),IFERROR(_xlfn.NUMBERVALUE(SUBSTITUTE(LEFT(TRIM(C874),FIND(" ",TRIM(C874)&amp;" ")-1),",","."),"."),LEFT(SUBSTITUTE(LEFT(TRIM(C874),FIND(" ",TRIM(C874)&amp;" ")-1),",","."),FIND("/",SUBSTITUTE(LEFT(TRIM(C874),FIND(" ",TRIM(C874)&amp;" ")-1),",","."))-1)/MID(SUBSTITUTE(LEFT(TRIM(C874),FIND(" ",TRIM(C874)&amp;" ")-1),",","."),FIND("/",SUBSTITUTE(LEFT(TRIM(C874),FIND(" ",TRIM(C874)&amp;" ")-1),",","."))+1,9))*12,NA()))),0),36)*'Aturan &amp; Tarif'!$B$4,2)</f>
        <v>2044.08</v>
      </c>
      <c r="K874" s="42" t="n">
        <f aca="false">'Aturan &amp; Tarif'!$B$5</f>
        <v>2050</v>
      </c>
      <c r="L874" s="42" t="n">
        <f aca="false">'Aturan &amp; Tarif'!$B$6</f>
        <v>350</v>
      </c>
      <c r="M874" s="35" t="n">
        <f aca="false">I874+J874+K874+L874</f>
        <v>23194.08</v>
      </c>
      <c r="N874" s="44" t="s">
        <v>1036</v>
      </c>
    </row>
    <row r="875" customFormat="false" ht="60" hidden="false" customHeight="true" outlineLevel="0" collapsed="false">
      <c r="A875" s="39"/>
      <c r="B875" s="40" t="s">
        <v>1069</v>
      </c>
      <c r="C875" s="41" t="s">
        <v>130</v>
      </c>
      <c r="D875" s="41" t="s">
        <v>108</v>
      </c>
      <c r="E875" s="42" t="n">
        <v>9000</v>
      </c>
      <c r="F875" s="42"/>
      <c r="G875" s="42"/>
      <c r="H875" s="43" t="n">
        <v>2</v>
      </c>
      <c r="I875" s="34" t="n">
        <f aca="false">E875*H875+N(F875)+N(G875)</f>
        <v>18000</v>
      </c>
      <c r="J875" s="42" t="n">
        <f aca="false">ROUND(IFERROR(ROUND(IF(OR(ISNUMBER(SEARCH("week",C875)),ISNUMBER(SEARCH("minggu",C875))),IFERROR(_xlfn.NUMBERVALUE(SUBSTITUTE(LEFT(TRIM(C875),FIND(" ",TRIM(C875)&amp;" ")-1),",","."),"."),LEFT(SUBSTITUTE(LEFT(TRIM(C875),FIND(" ",TRIM(C875)&amp;" ")-1),",","."),FIND("/",SUBSTITUTE(LEFT(TRIM(C875),FIND(" ",TRIM(C875)&amp;" ")-1),",","."))-1)/MID(SUBSTITUTE(LEFT(TRIM(C875),FIND(" ",TRIM(C875)&amp;" ")-1),",","."),FIND("/",SUBSTITUTE(LEFT(TRIM(C875),FIND(" ",TRIM(C875)&amp;" ")-1),",","."))+1,9))*12/52,IF(ISNUMBER(SEARCH("month",C875)),IFERROR(_xlfn.NUMBERVALUE(SUBSTITUTE(LEFT(TRIM(C875),FIND(" ",TRIM(C875)&amp;" ")-1),",","."),"."),LEFT(SUBSTITUTE(LEFT(TRIM(C875),FIND(" ",TRIM(C875)&amp;" ")-1),",","."),FIND("/",SUBSTITUTE(LEFT(TRIM(C875),FIND(" ",TRIM(C875)&amp;" ")-1),",","."))-1)/MID(SUBSTITUTE(LEFT(TRIM(C875),FIND(" ",TRIM(C875)&amp;" ")-1),",","."),FIND("/",SUBSTITUTE(LEFT(TRIM(C875),FIND(" ",TRIM(C875)&amp;" ")-1),",","."))+1,9)),IF(ISNUMBER(SEARCH("yea",C875)),IFERROR(_xlfn.NUMBERVALUE(SUBSTITUTE(LEFT(TRIM(C875),FIND(" ",TRIM(C875)&amp;" ")-1),",","."),"."),LEFT(SUBSTITUTE(LEFT(TRIM(C875),FIND(" ",TRIM(C875)&amp;" ")-1),",","."),FIND("/",SUBSTITUTE(LEFT(TRIM(C875),FIND(" ",TRIM(C875)&amp;" ")-1),",","."))-1)/MID(SUBSTITUTE(LEFT(TRIM(C875),FIND(" ",TRIM(C875)&amp;" ")-1),",","."),FIND("/",SUBSTITUTE(LEFT(TRIM(C875),FIND(" ",TRIM(C875)&amp;" ")-1),",","."))+1,9))*12,NA()))),0),12)*'Aturan &amp; Tarif'!$B$4,2)</f>
        <v>681.36</v>
      </c>
      <c r="K875" s="42" t="n">
        <f aca="false">'Aturan &amp; Tarif'!$B$5</f>
        <v>2050</v>
      </c>
      <c r="L875" s="42" t="n">
        <f aca="false">'Aturan &amp; Tarif'!$B$6</f>
        <v>350</v>
      </c>
      <c r="M875" s="35" t="n">
        <f aca="false">I875+J875+K875+L875</f>
        <v>21081.36</v>
      </c>
      <c r="N875" s="44" t="s">
        <v>1036</v>
      </c>
    </row>
    <row r="876" customFormat="false" ht="60" hidden="false" customHeight="true" outlineLevel="0" collapsed="false">
      <c r="A876" s="39"/>
      <c r="B876" s="40" t="s">
        <v>1070</v>
      </c>
      <c r="C876" s="41" t="s">
        <v>107</v>
      </c>
      <c r="D876" s="41" t="s">
        <v>108</v>
      </c>
      <c r="E876" s="42" t="n">
        <v>9000</v>
      </c>
      <c r="F876" s="42"/>
      <c r="G876" s="42"/>
      <c r="H876" s="43" t="n">
        <v>2</v>
      </c>
      <c r="I876" s="34" t="n">
        <f aca="false">E876*H876+N(F876)+N(G876)</f>
        <v>18000</v>
      </c>
      <c r="J876" s="42" t="n">
        <f aca="false">ROUND(IFERROR(ROUND(IF(OR(ISNUMBER(SEARCH("week",C876)),ISNUMBER(SEARCH("minggu",C876))),IFERROR(_xlfn.NUMBERVALUE(SUBSTITUTE(LEFT(TRIM(C876),FIND(" ",TRIM(C876)&amp;" ")-1),",","."),"."),LEFT(SUBSTITUTE(LEFT(TRIM(C876),FIND(" ",TRIM(C876)&amp;" ")-1),",","."),FIND("/",SUBSTITUTE(LEFT(TRIM(C876),FIND(" ",TRIM(C876)&amp;" ")-1),",","."))-1)/MID(SUBSTITUTE(LEFT(TRIM(C876),FIND(" ",TRIM(C876)&amp;" ")-1),",","."),FIND("/",SUBSTITUTE(LEFT(TRIM(C876),FIND(" ",TRIM(C876)&amp;" ")-1),",","."))+1,9))*12/52,IF(ISNUMBER(SEARCH("month",C876)),IFERROR(_xlfn.NUMBERVALUE(SUBSTITUTE(LEFT(TRIM(C876),FIND(" ",TRIM(C876)&amp;" ")-1),",","."),"."),LEFT(SUBSTITUTE(LEFT(TRIM(C876),FIND(" ",TRIM(C876)&amp;" ")-1),",","."),FIND("/",SUBSTITUTE(LEFT(TRIM(C876),FIND(" ",TRIM(C876)&amp;" ")-1),",","."))-1)/MID(SUBSTITUTE(LEFT(TRIM(C876),FIND(" ",TRIM(C876)&amp;" ")-1),",","."),FIND("/",SUBSTITUTE(LEFT(TRIM(C876),FIND(" ",TRIM(C876)&amp;" ")-1),",","."))+1,9)),IF(ISNUMBER(SEARCH("yea",C876)),IFERROR(_xlfn.NUMBERVALUE(SUBSTITUTE(LEFT(TRIM(C876),FIND(" ",TRIM(C876)&amp;" ")-1),",","."),"."),LEFT(SUBSTITUTE(LEFT(TRIM(C876),FIND(" ",TRIM(C876)&amp;" ")-1),",","."),FIND("/",SUBSTITUTE(LEFT(TRIM(C876),FIND(" ",TRIM(C876)&amp;" ")-1),",","."))-1)/MID(SUBSTITUTE(LEFT(TRIM(C876),FIND(" ",TRIM(C876)&amp;" ")-1),",","."),FIND("/",SUBSTITUTE(LEFT(TRIM(C876),FIND(" ",TRIM(C876)&amp;" ")-1),",","."))+1,9))*12,NA()))),0),24)*'Aturan &amp; Tarif'!$B$4,2)</f>
        <v>1362.72</v>
      </c>
      <c r="K876" s="42" t="n">
        <f aca="false">'Aturan &amp; Tarif'!$B$5</f>
        <v>2050</v>
      </c>
      <c r="L876" s="42" t="n">
        <f aca="false">'Aturan &amp; Tarif'!$B$6</f>
        <v>350</v>
      </c>
      <c r="M876" s="35" t="n">
        <f aca="false">I876+J876+K876+L876</f>
        <v>21762.72</v>
      </c>
      <c r="N876" s="44" t="s">
        <v>1036</v>
      </c>
    </row>
    <row r="877" customFormat="false" ht="60" hidden="false" customHeight="true" outlineLevel="0" collapsed="false">
      <c r="A877" s="39"/>
      <c r="B877" s="40" t="s">
        <v>1115</v>
      </c>
      <c r="C877" s="41" t="s">
        <v>130</v>
      </c>
      <c r="D877" s="41" t="s">
        <v>108</v>
      </c>
      <c r="E877" s="42" t="n">
        <v>4500</v>
      </c>
      <c r="F877" s="42"/>
      <c r="G877" s="42"/>
      <c r="H877" s="43" t="n">
        <v>2</v>
      </c>
      <c r="I877" s="34" t="n">
        <f aca="false">E877*H877+N(F877)+N(G877)</f>
        <v>9000</v>
      </c>
      <c r="J877" s="42" t="n">
        <f aca="false">ROUND(IFERROR(ROUND(IF(OR(ISNUMBER(SEARCH("week",C877)),ISNUMBER(SEARCH("minggu",C877))),IFERROR(_xlfn.NUMBERVALUE(SUBSTITUTE(LEFT(TRIM(C877),FIND(" ",TRIM(C877)&amp;" ")-1),",","."),"."),LEFT(SUBSTITUTE(LEFT(TRIM(C877),FIND(" ",TRIM(C877)&amp;" ")-1),",","."),FIND("/",SUBSTITUTE(LEFT(TRIM(C877),FIND(" ",TRIM(C877)&amp;" ")-1),",","."))-1)/MID(SUBSTITUTE(LEFT(TRIM(C877),FIND(" ",TRIM(C877)&amp;" ")-1),",","."),FIND("/",SUBSTITUTE(LEFT(TRIM(C877),FIND(" ",TRIM(C877)&amp;" ")-1),",","."))+1,9))*12/52,IF(ISNUMBER(SEARCH("month",C877)),IFERROR(_xlfn.NUMBERVALUE(SUBSTITUTE(LEFT(TRIM(C877),FIND(" ",TRIM(C877)&amp;" ")-1),",","."),"."),LEFT(SUBSTITUTE(LEFT(TRIM(C877),FIND(" ",TRIM(C877)&amp;" ")-1),",","."),FIND("/",SUBSTITUTE(LEFT(TRIM(C877),FIND(" ",TRIM(C877)&amp;" ")-1),",","."))-1)/MID(SUBSTITUTE(LEFT(TRIM(C877),FIND(" ",TRIM(C877)&amp;" ")-1),",","."),FIND("/",SUBSTITUTE(LEFT(TRIM(C877),FIND(" ",TRIM(C877)&amp;" ")-1),",","."))+1,9)),IF(ISNUMBER(SEARCH("yea",C877)),IFERROR(_xlfn.NUMBERVALUE(SUBSTITUTE(LEFT(TRIM(C877),FIND(" ",TRIM(C877)&amp;" ")-1),",","."),"."),LEFT(SUBSTITUTE(LEFT(TRIM(C877),FIND(" ",TRIM(C877)&amp;" ")-1),",","."),FIND("/",SUBSTITUTE(LEFT(TRIM(C877),FIND(" ",TRIM(C877)&amp;" ")-1),",","."))-1)/MID(SUBSTITUTE(LEFT(TRIM(C877),FIND(" ",TRIM(C877)&amp;" ")-1),",","."),FIND("/",SUBSTITUTE(LEFT(TRIM(C877),FIND(" ",TRIM(C877)&amp;" ")-1),",","."))+1,9))*12,NA()))),0),12)*'Aturan &amp; Tarif'!$B$4,2)</f>
        <v>681.36</v>
      </c>
      <c r="K877" s="42" t="n">
        <f aca="false">'Aturan &amp; Tarif'!$B$5</f>
        <v>2050</v>
      </c>
      <c r="L877" s="42" t="n">
        <f aca="false">'Aturan &amp; Tarif'!$B$6</f>
        <v>350</v>
      </c>
      <c r="M877" s="35" t="n">
        <f aca="false">I877+J877+K877+L877</f>
        <v>12081.36</v>
      </c>
      <c r="N877" s="44" t="s">
        <v>1116</v>
      </c>
    </row>
    <row r="878" customFormat="false" ht="60" hidden="false" customHeight="true" outlineLevel="0" collapsed="false">
      <c r="A878" s="39"/>
      <c r="B878" s="40" t="s">
        <v>1117</v>
      </c>
      <c r="C878" s="41" t="s">
        <v>130</v>
      </c>
      <c r="D878" s="41" t="s">
        <v>108</v>
      </c>
      <c r="E878" s="42" t="n">
        <v>9000</v>
      </c>
      <c r="F878" s="42"/>
      <c r="G878" s="42"/>
      <c r="H878" s="43" t="n">
        <v>2</v>
      </c>
      <c r="I878" s="34" t="n">
        <f aca="false">E878*H878+N(F878)+N(G878)</f>
        <v>18000</v>
      </c>
      <c r="J878" s="42" t="n">
        <f aca="false">ROUND(IFERROR(ROUND(IF(OR(ISNUMBER(SEARCH("week",C878)),ISNUMBER(SEARCH("minggu",C878))),IFERROR(_xlfn.NUMBERVALUE(SUBSTITUTE(LEFT(TRIM(C878),FIND(" ",TRIM(C878)&amp;" ")-1),",","."),"."),LEFT(SUBSTITUTE(LEFT(TRIM(C878),FIND(" ",TRIM(C878)&amp;" ")-1),",","."),FIND("/",SUBSTITUTE(LEFT(TRIM(C878),FIND(" ",TRIM(C878)&amp;" ")-1),",","."))-1)/MID(SUBSTITUTE(LEFT(TRIM(C878),FIND(" ",TRIM(C878)&amp;" ")-1),",","."),FIND("/",SUBSTITUTE(LEFT(TRIM(C878),FIND(" ",TRIM(C878)&amp;" ")-1),",","."))+1,9))*12/52,IF(ISNUMBER(SEARCH("month",C878)),IFERROR(_xlfn.NUMBERVALUE(SUBSTITUTE(LEFT(TRIM(C878),FIND(" ",TRIM(C878)&amp;" ")-1),",","."),"."),LEFT(SUBSTITUTE(LEFT(TRIM(C878),FIND(" ",TRIM(C878)&amp;" ")-1),",","."),FIND("/",SUBSTITUTE(LEFT(TRIM(C878),FIND(" ",TRIM(C878)&amp;" ")-1),",","."))-1)/MID(SUBSTITUTE(LEFT(TRIM(C878),FIND(" ",TRIM(C878)&amp;" ")-1),",","."),FIND("/",SUBSTITUTE(LEFT(TRIM(C878),FIND(" ",TRIM(C878)&amp;" ")-1),",","."))+1,9)),IF(ISNUMBER(SEARCH("yea",C878)),IFERROR(_xlfn.NUMBERVALUE(SUBSTITUTE(LEFT(TRIM(C878),FIND(" ",TRIM(C878)&amp;" ")-1),",","."),"."),LEFT(SUBSTITUTE(LEFT(TRIM(C878),FIND(" ",TRIM(C878)&amp;" ")-1),",","."),FIND("/",SUBSTITUTE(LEFT(TRIM(C878),FIND(" ",TRIM(C878)&amp;" ")-1),",","."))-1)/MID(SUBSTITUTE(LEFT(TRIM(C878),FIND(" ",TRIM(C878)&amp;" ")-1),",","."),FIND("/",SUBSTITUTE(LEFT(TRIM(C878),FIND(" ",TRIM(C878)&amp;" ")-1),",","."))+1,9))*12,NA()))),0),12)*'Aturan &amp; Tarif'!$B$4,2)</f>
        <v>681.36</v>
      </c>
      <c r="K878" s="42" t="n">
        <f aca="false">'Aturan &amp; Tarif'!$B$5</f>
        <v>2050</v>
      </c>
      <c r="L878" s="42" t="n">
        <f aca="false">'Aturan &amp; Tarif'!$B$6</f>
        <v>350</v>
      </c>
      <c r="M878" s="35" t="n">
        <f aca="false">I878+J878+K878+L878</f>
        <v>21081.36</v>
      </c>
      <c r="N878" s="44" t="s">
        <v>1118</v>
      </c>
    </row>
    <row r="879" customFormat="false" ht="60" hidden="false" customHeight="true" outlineLevel="0" collapsed="false">
      <c r="A879" s="39"/>
      <c r="B879" s="40" t="s">
        <v>349</v>
      </c>
      <c r="C879" s="41" t="s">
        <v>107</v>
      </c>
      <c r="D879" s="41" t="s">
        <v>108</v>
      </c>
      <c r="E879" s="42" t="n">
        <v>9000</v>
      </c>
      <c r="F879" s="42"/>
      <c r="G879" s="42"/>
      <c r="H879" s="43" t="n">
        <v>2</v>
      </c>
      <c r="I879" s="34" t="n">
        <f aca="false">E879*H879+N(F879)+N(G879)</f>
        <v>18000</v>
      </c>
      <c r="J879" s="42" t="n">
        <f aca="false">ROUND(IFERROR(ROUND(IF(OR(ISNUMBER(SEARCH("week",C879)),ISNUMBER(SEARCH("minggu",C879))),IFERROR(_xlfn.NUMBERVALUE(SUBSTITUTE(LEFT(TRIM(C879),FIND(" ",TRIM(C879)&amp;" ")-1),",","."),"."),LEFT(SUBSTITUTE(LEFT(TRIM(C879),FIND(" ",TRIM(C879)&amp;" ")-1),",","."),FIND("/",SUBSTITUTE(LEFT(TRIM(C879),FIND(" ",TRIM(C879)&amp;" ")-1),",","."))-1)/MID(SUBSTITUTE(LEFT(TRIM(C879),FIND(" ",TRIM(C879)&amp;" ")-1),",","."),FIND("/",SUBSTITUTE(LEFT(TRIM(C879),FIND(" ",TRIM(C879)&amp;" ")-1),",","."))+1,9))*12/52,IF(ISNUMBER(SEARCH("month",C879)),IFERROR(_xlfn.NUMBERVALUE(SUBSTITUTE(LEFT(TRIM(C879),FIND(" ",TRIM(C879)&amp;" ")-1),",","."),"."),LEFT(SUBSTITUTE(LEFT(TRIM(C879),FIND(" ",TRIM(C879)&amp;" ")-1),",","."),FIND("/",SUBSTITUTE(LEFT(TRIM(C879),FIND(" ",TRIM(C879)&amp;" ")-1),",","."))-1)/MID(SUBSTITUTE(LEFT(TRIM(C879),FIND(" ",TRIM(C879)&amp;" ")-1),",","."),FIND("/",SUBSTITUTE(LEFT(TRIM(C879),FIND(" ",TRIM(C879)&amp;" ")-1),",","."))+1,9)),IF(ISNUMBER(SEARCH("yea",C879)),IFERROR(_xlfn.NUMBERVALUE(SUBSTITUTE(LEFT(TRIM(C879),FIND(" ",TRIM(C879)&amp;" ")-1),",","."),"."),LEFT(SUBSTITUTE(LEFT(TRIM(C879),FIND(" ",TRIM(C879)&amp;" ")-1),",","."),FIND("/",SUBSTITUTE(LEFT(TRIM(C879),FIND(" ",TRIM(C879)&amp;" ")-1),",","."))-1)/MID(SUBSTITUTE(LEFT(TRIM(C879),FIND(" ",TRIM(C879)&amp;" ")-1),",","."),FIND("/",SUBSTITUTE(LEFT(TRIM(C879),FIND(" ",TRIM(C879)&amp;" ")-1),",","."))+1,9))*12,NA()))),0),24)*'Aturan &amp; Tarif'!$B$4,2)</f>
        <v>1362.72</v>
      </c>
      <c r="K879" s="42" t="n">
        <f aca="false">'Aturan &amp; Tarif'!$B$5</f>
        <v>2050</v>
      </c>
      <c r="L879" s="42" t="n">
        <f aca="false">'Aturan &amp; Tarif'!$B$6</f>
        <v>350</v>
      </c>
      <c r="M879" s="35" t="n">
        <f aca="false">I879+J879+K879+L879</f>
        <v>21762.72</v>
      </c>
      <c r="N879" s="44" t="s">
        <v>1119</v>
      </c>
    </row>
    <row r="880" customFormat="false" ht="60" hidden="false" customHeight="true" outlineLevel="0" collapsed="false">
      <c r="A880" s="39"/>
      <c r="B880" s="40" t="s">
        <v>1120</v>
      </c>
      <c r="C880" s="41" t="s">
        <v>107</v>
      </c>
      <c r="D880" s="41" t="s">
        <v>108</v>
      </c>
      <c r="E880" s="42" t="n">
        <v>9000</v>
      </c>
      <c r="F880" s="42"/>
      <c r="G880" s="42"/>
      <c r="H880" s="43" t="n">
        <v>2</v>
      </c>
      <c r="I880" s="34" t="n">
        <f aca="false">E880*H880+N(F880)+N(G880)</f>
        <v>18000</v>
      </c>
      <c r="J880" s="42" t="n">
        <f aca="false">ROUND(IFERROR(ROUND(IF(OR(ISNUMBER(SEARCH("week",C880)),ISNUMBER(SEARCH("minggu",C880))),IFERROR(_xlfn.NUMBERVALUE(SUBSTITUTE(LEFT(TRIM(C880),FIND(" ",TRIM(C880)&amp;" ")-1),",","."),"."),LEFT(SUBSTITUTE(LEFT(TRIM(C880),FIND(" ",TRIM(C880)&amp;" ")-1),",","."),FIND("/",SUBSTITUTE(LEFT(TRIM(C880),FIND(" ",TRIM(C880)&amp;" ")-1),",","."))-1)/MID(SUBSTITUTE(LEFT(TRIM(C880),FIND(" ",TRIM(C880)&amp;" ")-1),",","."),FIND("/",SUBSTITUTE(LEFT(TRIM(C880),FIND(" ",TRIM(C880)&amp;" ")-1),",","."))+1,9))*12/52,IF(ISNUMBER(SEARCH("month",C880)),IFERROR(_xlfn.NUMBERVALUE(SUBSTITUTE(LEFT(TRIM(C880),FIND(" ",TRIM(C880)&amp;" ")-1),",","."),"."),LEFT(SUBSTITUTE(LEFT(TRIM(C880),FIND(" ",TRIM(C880)&amp;" ")-1),",","."),FIND("/",SUBSTITUTE(LEFT(TRIM(C880),FIND(" ",TRIM(C880)&amp;" ")-1),",","."))-1)/MID(SUBSTITUTE(LEFT(TRIM(C880),FIND(" ",TRIM(C880)&amp;" ")-1),",","."),FIND("/",SUBSTITUTE(LEFT(TRIM(C880),FIND(" ",TRIM(C880)&amp;" ")-1),",","."))+1,9)),IF(ISNUMBER(SEARCH("yea",C880)),IFERROR(_xlfn.NUMBERVALUE(SUBSTITUTE(LEFT(TRIM(C880),FIND(" ",TRIM(C880)&amp;" ")-1),",","."),"."),LEFT(SUBSTITUTE(LEFT(TRIM(C880),FIND(" ",TRIM(C880)&amp;" ")-1),",","."),FIND("/",SUBSTITUTE(LEFT(TRIM(C880),FIND(" ",TRIM(C880)&amp;" ")-1),",","."))-1)/MID(SUBSTITUTE(LEFT(TRIM(C880),FIND(" ",TRIM(C880)&amp;" ")-1),",","."),FIND("/",SUBSTITUTE(LEFT(TRIM(C880),FIND(" ",TRIM(C880)&amp;" ")-1),",","."))+1,9))*12,NA()))),0),24)*'Aturan &amp; Tarif'!$B$4,2)</f>
        <v>1362.72</v>
      </c>
      <c r="K880" s="42" t="n">
        <f aca="false">'Aturan &amp; Tarif'!$B$5</f>
        <v>2050</v>
      </c>
      <c r="L880" s="42" t="n">
        <f aca="false">'Aturan &amp; Tarif'!$B$6</f>
        <v>350</v>
      </c>
      <c r="M880" s="35" t="n">
        <f aca="false">I880+J880+K880+L880</f>
        <v>21762.72</v>
      </c>
      <c r="N880" s="44" t="s">
        <v>1121</v>
      </c>
    </row>
    <row r="881" customFormat="false" ht="60" hidden="false" customHeight="true" outlineLevel="0" collapsed="false">
      <c r="A881" s="39"/>
      <c r="B881" s="40" t="s">
        <v>2488</v>
      </c>
      <c r="C881" s="41" t="s">
        <v>107</v>
      </c>
      <c r="D881" s="41" t="s">
        <v>108</v>
      </c>
      <c r="E881" s="42" t="n">
        <v>9950</v>
      </c>
      <c r="F881" s="42"/>
      <c r="G881" s="42"/>
      <c r="H881" s="43" t="n">
        <v>2</v>
      </c>
      <c r="I881" s="34" t="n">
        <f aca="false">E881*H881+N(F881)+N(G881)</f>
        <v>19900</v>
      </c>
      <c r="J881" s="42" t="n">
        <f aca="false">ROUND(IFERROR(ROUND(IF(OR(ISNUMBER(SEARCH("week",C881)),ISNUMBER(SEARCH("minggu",C881))),IFERROR(_xlfn.NUMBERVALUE(SUBSTITUTE(LEFT(TRIM(C881),FIND(" ",TRIM(C881)&amp;" ")-1),",","."),"."),LEFT(SUBSTITUTE(LEFT(TRIM(C881),FIND(" ",TRIM(C881)&amp;" ")-1),",","."),FIND("/",SUBSTITUTE(LEFT(TRIM(C881),FIND(" ",TRIM(C881)&amp;" ")-1),",","."))-1)/MID(SUBSTITUTE(LEFT(TRIM(C881),FIND(" ",TRIM(C881)&amp;" ")-1),",","."),FIND("/",SUBSTITUTE(LEFT(TRIM(C881),FIND(" ",TRIM(C881)&amp;" ")-1),",","."))+1,9))*12/52,IF(ISNUMBER(SEARCH("month",C881)),IFERROR(_xlfn.NUMBERVALUE(SUBSTITUTE(LEFT(TRIM(C881),FIND(" ",TRIM(C881)&amp;" ")-1),",","."),"."),LEFT(SUBSTITUTE(LEFT(TRIM(C881),FIND(" ",TRIM(C881)&amp;" ")-1),",","."),FIND("/",SUBSTITUTE(LEFT(TRIM(C881),FIND(" ",TRIM(C881)&amp;" ")-1),",","."))-1)/MID(SUBSTITUTE(LEFT(TRIM(C881),FIND(" ",TRIM(C881)&amp;" ")-1),",","."),FIND("/",SUBSTITUTE(LEFT(TRIM(C881),FIND(" ",TRIM(C881)&amp;" ")-1),",","."))+1,9)),IF(ISNUMBER(SEARCH("yea",C881)),IFERROR(_xlfn.NUMBERVALUE(SUBSTITUTE(LEFT(TRIM(C881),FIND(" ",TRIM(C881)&amp;" ")-1),",","."),"."),LEFT(SUBSTITUTE(LEFT(TRIM(C881),FIND(" ",TRIM(C881)&amp;" ")-1),",","."),FIND("/",SUBSTITUTE(LEFT(TRIM(C881),FIND(" ",TRIM(C881)&amp;" ")-1),",","."))-1)/MID(SUBSTITUTE(LEFT(TRIM(C881),FIND(" ",TRIM(C881)&amp;" ")-1),",","."),FIND("/",SUBSTITUTE(LEFT(TRIM(C881),FIND(" ",TRIM(C881)&amp;" ")-1),",","."))+1,9))*12,NA()))),0),24)*'Aturan &amp; Tarif'!$B$4,2)</f>
        <v>1362.72</v>
      </c>
      <c r="K881" s="42" t="n">
        <f aca="false">'Aturan &amp; Tarif'!$B$5</f>
        <v>2050</v>
      </c>
      <c r="L881" s="42" t="n">
        <f aca="false">'Aturan &amp; Tarif'!$B$6</f>
        <v>350</v>
      </c>
      <c r="M881" s="35" t="n">
        <f aca="false">I881+J881+K881+L881</f>
        <v>23662.72</v>
      </c>
      <c r="N881" s="44" t="s">
        <v>1036</v>
      </c>
    </row>
    <row r="882" customFormat="false" ht="60" hidden="false" customHeight="true" outlineLevel="0" collapsed="false">
      <c r="A882" s="39"/>
      <c r="B882" s="40" t="s">
        <v>2489</v>
      </c>
      <c r="C882" s="41" t="s">
        <v>344</v>
      </c>
      <c r="D882" s="41" t="s">
        <v>108</v>
      </c>
      <c r="E882" s="42" t="n">
        <v>3513</v>
      </c>
      <c r="F882" s="42"/>
      <c r="G882" s="42"/>
      <c r="H882" s="43" t="n">
        <v>2</v>
      </c>
      <c r="I882" s="34" t="n">
        <f aca="false">E882*H882+N(F882)+N(G882)</f>
        <v>7026</v>
      </c>
      <c r="J882" s="42" t="n">
        <f aca="false">ROUND(IFERROR(ROUND(IF(OR(ISNUMBER(SEARCH("week",C882)),ISNUMBER(SEARCH("minggu",C882))),IFERROR(_xlfn.NUMBERVALUE(SUBSTITUTE(LEFT(TRIM(C882),FIND(" ",TRIM(C882)&amp;" ")-1),",","."),"."),LEFT(SUBSTITUTE(LEFT(TRIM(C882),FIND(" ",TRIM(C882)&amp;" ")-1),",","."),FIND("/",SUBSTITUTE(LEFT(TRIM(C882),FIND(" ",TRIM(C882)&amp;" ")-1),",","."))-1)/MID(SUBSTITUTE(LEFT(TRIM(C882),FIND(" ",TRIM(C882)&amp;" ")-1),",","."),FIND("/",SUBSTITUTE(LEFT(TRIM(C882),FIND(" ",TRIM(C882)&amp;" ")-1),",","."))+1,9))*12/52,IF(ISNUMBER(SEARCH("month",C882)),IFERROR(_xlfn.NUMBERVALUE(SUBSTITUTE(LEFT(TRIM(C882),FIND(" ",TRIM(C882)&amp;" ")-1),",","."),"."),LEFT(SUBSTITUTE(LEFT(TRIM(C882),FIND(" ",TRIM(C882)&amp;" ")-1),",","."),FIND("/",SUBSTITUTE(LEFT(TRIM(C882),FIND(" ",TRIM(C882)&amp;" ")-1),",","."))-1)/MID(SUBSTITUTE(LEFT(TRIM(C882),FIND(" ",TRIM(C882)&amp;" ")-1),",","."),FIND("/",SUBSTITUTE(LEFT(TRIM(C882),FIND(" ",TRIM(C882)&amp;" ")-1),",","."))+1,9)),IF(ISNUMBER(SEARCH("yea",C882)),IFERROR(_xlfn.NUMBERVALUE(SUBSTITUTE(LEFT(TRIM(C882),FIND(" ",TRIM(C882)&amp;" ")-1),",","."),"."),LEFT(SUBSTITUTE(LEFT(TRIM(C882),FIND(" ",TRIM(C882)&amp;" ")-1),",","."),FIND("/",SUBSTITUTE(LEFT(TRIM(C882),FIND(" ",TRIM(C882)&amp;" ")-1),",","."))-1)/MID(SUBSTITUTE(LEFT(TRIM(C882),FIND(" ",TRIM(C882)&amp;" ")-1),",","."),FIND("/",SUBSTITUTE(LEFT(TRIM(C882),FIND(" ",TRIM(C882)&amp;" ")-1),",","."))+1,9))*12,NA()))),0),6)*'Aturan &amp; Tarif'!$B$4,2)</f>
        <v>340.68</v>
      </c>
      <c r="K882" s="42" t="n">
        <f aca="false">'Aturan &amp; Tarif'!$B$5</f>
        <v>2050</v>
      </c>
      <c r="L882" s="42" t="n">
        <f aca="false">'Aturan &amp; Tarif'!$B$6</f>
        <v>350</v>
      </c>
      <c r="M882" s="35" t="n">
        <f aca="false">I882+J882+K882+L882</f>
        <v>9766.68</v>
      </c>
      <c r="N882" s="44" t="s">
        <v>2490</v>
      </c>
    </row>
    <row r="883" customFormat="false" ht="60" hidden="false" customHeight="true" outlineLevel="0" collapsed="false">
      <c r="A883" s="39"/>
      <c r="B883" s="40" t="s">
        <v>2491</v>
      </c>
      <c r="C883" s="41" t="s">
        <v>130</v>
      </c>
      <c r="D883" s="41" t="s">
        <v>108</v>
      </c>
      <c r="E883" s="42" t="n">
        <v>7025</v>
      </c>
      <c r="F883" s="42"/>
      <c r="G883" s="42"/>
      <c r="H883" s="43" t="n">
        <v>2</v>
      </c>
      <c r="I883" s="34" t="n">
        <f aca="false">E883*H883+N(F883)+N(G883)</f>
        <v>14050</v>
      </c>
      <c r="J883" s="42" t="n">
        <f aca="false">ROUND(IFERROR(ROUND(IF(OR(ISNUMBER(SEARCH("week",C883)),ISNUMBER(SEARCH("minggu",C883))),IFERROR(_xlfn.NUMBERVALUE(SUBSTITUTE(LEFT(TRIM(C883),FIND(" ",TRIM(C883)&amp;" ")-1),",","."),"."),LEFT(SUBSTITUTE(LEFT(TRIM(C883),FIND(" ",TRIM(C883)&amp;" ")-1),",","."),FIND("/",SUBSTITUTE(LEFT(TRIM(C883),FIND(" ",TRIM(C883)&amp;" ")-1),",","."))-1)/MID(SUBSTITUTE(LEFT(TRIM(C883),FIND(" ",TRIM(C883)&amp;" ")-1),",","."),FIND("/",SUBSTITUTE(LEFT(TRIM(C883),FIND(" ",TRIM(C883)&amp;" ")-1),",","."))+1,9))*12/52,IF(ISNUMBER(SEARCH("month",C883)),IFERROR(_xlfn.NUMBERVALUE(SUBSTITUTE(LEFT(TRIM(C883),FIND(" ",TRIM(C883)&amp;" ")-1),",","."),"."),LEFT(SUBSTITUTE(LEFT(TRIM(C883),FIND(" ",TRIM(C883)&amp;" ")-1),",","."),FIND("/",SUBSTITUTE(LEFT(TRIM(C883),FIND(" ",TRIM(C883)&amp;" ")-1),",","."))-1)/MID(SUBSTITUTE(LEFT(TRIM(C883),FIND(" ",TRIM(C883)&amp;" ")-1),",","."),FIND("/",SUBSTITUTE(LEFT(TRIM(C883),FIND(" ",TRIM(C883)&amp;" ")-1),",","."))+1,9)),IF(ISNUMBER(SEARCH("yea",C883)),IFERROR(_xlfn.NUMBERVALUE(SUBSTITUTE(LEFT(TRIM(C883),FIND(" ",TRIM(C883)&amp;" ")-1),",","."),"."),LEFT(SUBSTITUTE(LEFT(TRIM(C883),FIND(" ",TRIM(C883)&amp;" ")-1),",","."),FIND("/",SUBSTITUTE(LEFT(TRIM(C883),FIND(" ",TRIM(C883)&amp;" ")-1),",","."))-1)/MID(SUBSTITUTE(LEFT(TRIM(C883),FIND(" ",TRIM(C883)&amp;" ")-1),",","."),FIND("/",SUBSTITUTE(LEFT(TRIM(C883),FIND(" ",TRIM(C883)&amp;" ")-1),",","."))+1,9))*12,NA()))),0),12)*'Aturan &amp; Tarif'!$B$4,2)</f>
        <v>681.36</v>
      </c>
      <c r="K883" s="42" t="n">
        <f aca="false">'Aturan &amp; Tarif'!$B$5</f>
        <v>2050</v>
      </c>
      <c r="L883" s="42" t="n">
        <f aca="false">'Aturan &amp; Tarif'!$B$6</f>
        <v>350</v>
      </c>
      <c r="M883" s="35" t="n">
        <f aca="false">I883+J883+K883+L883</f>
        <v>17131.36</v>
      </c>
      <c r="N883" s="44" t="s">
        <v>2492</v>
      </c>
    </row>
    <row r="884" customFormat="false" ht="60" hidden="false" customHeight="true" outlineLevel="0" collapsed="false">
      <c r="A884" s="39"/>
      <c r="B884" s="40" t="s">
        <v>2493</v>
      </c>
      <c r="C884" s="41" t="s">
        <v>113</v>
      </c>
      <c r="D884" s="41" t="s">
        <v>108</v>
      </c>
      <c r="E884" s="42" t="n">
        <v>7025</v>
      </c>
      <c r="F884" s="42"/>
      <c r="G884" s="42"/>
      <c r="H884" s="43" t="n">
        <v>2</v>
      </c>
      <c r="I884" s="34" t="n">
        <f aca="false">E884*H884+N(F884)+N(G884)</f>
        <v>14050</v>
      </c>
      <c r="J884" s="42" t="n">
        <f aca="false">ROUND(IFERROR(ROUND(IF(OR(ISNUMBER(SEARCH("week",C884)),ISNUMBER(SEARCH("minggu",C884))),IFERROR(_xlfn.NUMBERVALUE(SUBSTITUTE(LEFT(TRIM(C884),FIND(" ",TRIM(C884)&amp;" ")-1),",","."),"."),LEFT(SUBSTITUTE(LEFT(TRIM(C884),FIND(" ",TRIM(C884)&amp;" ")-1),",","."),FIND("/",SUBSTITUTE(LEFT(TRIM(C884),FIND(" ",TRIM(C884)&amp;" ")-1),",","."))-1)/MID(SUBSTITUTE(LEFT(TRIM(C884),FIND(" ",TRIM(C884)&amp;" ")-1),",","."),FIND("/",SUBSTITUTE(LEFT(TRIM(C884),FIND(" ",TRIM(C884)&amp;" ")-1),",","."))+1,9))*12/52,IF(ISNUMBER(SEARCH("month",C884)),IFERROR(_xlfn.NUMBERVALUE(SUBSTITUTE(LEFT(TRIM(C884),FIND(" ",TRIM(C884)&amp;" ")-1),",","."),"."),LEFT(SUBSTITUTE(LEFT(TRIM(C884),FIND(" ",TRIM(C884)&amp;" ")-1),",","."),FIND("/",SUBSTITUTE(LEFT(TRIM(C884),FIND(" ",TRIM(C884)&amp;" ")-1),",","."))-1)/MID(SUBSTITUTE(LEFT(TRIM(C884),FIND(" ",TRIM(C884)&amp;" ")-1),",","."),FIND("/",SUBSTITUTE(LEFT(TRIM(C884),FIND(" ",TRIM(C884)&amp;" ")-1),",","."))+1,9)),IF(ISNUMBER(SEARCH("yea",C884)),IFERROR(_xlfn.NUMBERVALUE(SUBSTITUTE(LEFT(TRIM(C884),FIND(" ",TRIM(C884)&amp;" ")-1),",","."),"."),LEFT(SUBSTITUTE(LEFT(TRIM(C884),FIND(" ",TRIM(C884)&amp;" ")-1),",","."),FIND("/",SUBSTITUTE(LEFT(TRIM(C884),FIND(" ",TRIM(C884)&amp;" ")-1),",","."))-1)/MID(SUBSTITUTE(LEFT(TRIM(C884),FIND(" ",TRIM(C884)&amp;" ")-1),",","."),FIND("/",SUBSTITUTE(LEFT(TRIM(C884),FIND(" ",TRIM(C884)&amp;" ")-1),",","."))+1,9))*12,NA()))),0),18)*'Aturan &amp; Tarif'!$B$4,2)</f>
        <v>1022.04</v>
      </c>
      <c r="K884" s="42" t="n">
        <f aca="false">'Aturan &amp; Tarif'!$B$5</f>
        <v>2050</v>
      </c>
      <c r="L884" s="42" t="n">
        <f aca="false">'Aturan &amp; Tarif'!$B$6</f>
        <v>350</v>
      </c>
      <c r="M884" s="35" t="n">
        <f aca="false">I884+J884+K884+L884</f>
        <v>17472.04</v>
      </c>
      <c r="N884" s="44" t="s">
        <v>2494</v>
      </c>
    </row>
    <row r="885" customFormat="false" ht="60" hidden="false" customHeight="true" outlineLevel="0" collapsed="false">
      <c r="A885" s="39"/>
      <c r="B885" s="40" t="s">
        <v>2495</v>
      </c>
      <c r="C885" s="41" t="s">
        <v>107</v>
      </c>
      <c r="D885" s="41" t="s">
        <v>108</v>
      </c>
      <c r="E885" s="42" t="n">
        <v>7025</v>
      </c>
      <c r="F885" s="42"/>
      <c r="G885" s="42"/>
      <c r="H885" s="43" t="n">
        <v>2</v>
      </c>
      <c r="I885" s="34" t="n">
        <f aca="false">E885*H885+N(F885)+N(G885)</f>
        <v>14050</v>
      </c>
      <c r="J885" s="42" t="n">
        <f aca="false">ROUND(IFERROR(ROUND(IF(OR(ISNUMBER(SEARCH("week",C885)),ISNUMBER(SEARCH("minggu",C885))),IFERROR(_xlfn.NUMBERVALUE(SUBSTITUTE(LEFT(TRIM(C885),FIND(" ",TRIM(C885)&amp;" ")-1),",","."),"."),LEFT(SUBSTITUTE(LEFT(TRIM(C885),FIND(" ",TRIM(C885)&amp;" ")-1),",","."),FIND("/",SUBSTITUTE(LEFT(TRIM(C885),FIND(" ",TRIM(C885)&amp;" ")-1),",","."))-1)/MID(SUBSTITUTE(LEFT(TRIM(C885),FIND(" ",TRIM(C885)&amp;" ")-1),",","."),FIND("/",SUBSTITUTE(LEFT(TRIM(C885),FIND(" ",TRIM(C885)&amp;" ")-1),",","."))+1,9))*12/52,IF(ISNUMBER(SEARCH("month",C885)),IFERROR(_xlfn.NUMBERVALUE(SUBSTITUTE(LEFT(TRIM(C885),FIND(" ",TRIM(C885)&amp;" ")-1),",","."),"."),LEFT(SUBSTITUTE(LEFT(TRIM(C885),FIND(" ",TRIM(C885)&amp;" ")-1),",","."),FIND("/",SUBSTITUTE(LEFT(TRIM(C885),FIND(" ",TRIM(C885)&amp;" ")-1),",","."))-1)/MID(SUBSTITUTE(LEFT(TRIM(C885),FIND(" ",TRIM(C885)&amp;" ")-1),",","."),FIND("/",SUBSTITUTE(LEFT(TRIM(C885),FIND(" ",TRIM(C885)&amp;" ")-1),",","."))+1,9)),IF(ISNUMBER(SEARCH("yea",C885)),IFERROR(_xlfn.NUMBERVALUE(SUBSTITUTE(LEFT(TRIM(C885),FIND(" ",TRIM(C885)&amp;" ")-1),",","."),"."),LEFT(SUBSTITUTE(LEFT(TRIM(C885),FIND(" ",TRIM(C885)&amp;" ")-1),",","."),FIND("/",SUBSTITUTE(LEFT(TRIM(C885),FIND(" ",TRIM(C885)&amp;" ")-1),",","."))-1)/MID(SUBSTITUTE(LEFT(TRIM(C885),FIND(" ",TRIM(C885)&amp;" ")-1),",","."),FIND("/",SUBSTITUTE(LEFT(TRIM(C885),FIND(" ",TRIM(C885)&amp;" ")-1),",","."))+1,9))*12,NA()))),0),24)*'Aturan &amp; Tarif'!$B$4,2)</f>
        <v>1362.72</v>
      </c>
      <c r="K885" s="42" t="n">
        <f aca="false">'Aturan &amp; Tarif'!$B$5</f>
        <v>2050</v>
      </c>
      <c r="L885" s="42" t="n">
        <f aca="false">'Aturan &amp; Tarif'!$B$6</f>
        <v>350</v>
      </c>
      <c r="M885" s="35" t="n">
        <f aca="false">I885+J885+K885+L885</f>
        <v>17812.72</v>
      </c>
      <c r="N885" s="44" t="s">
        <v>2496</v>
      </c>
    </row>
    <row r="886" customFormat="false" ht="60" hidden="false" customHeight="true" outlineLevel="0" collapsed="false">
      <c r="A886" s="39"/>
      <c r="B886" s="40" t="s">
        <v>2497</v>
      </c>
      <c r="C886" s="41" t="s">
        <v>130</v>
      </c>
      <c r="D886" s="41" t="s">
        <v>108</v>
      </c>
      <c r="E886" s="42" t="n">
        <v>7025</v>
      </c>
      <c r="F886" s="42"/>
      <c r="G886" s="42"/>
      <c r="H886" s="43" t="n">
        <v>2</v>
      </c>
      <c r="I886" s="34" t="n">
        <f aca="false">E886*H886+N(F886)+N(G886)</f>
        <v>14050</v>
      </c>
      <c r="J886" s="42" t="n">
        <f aca="false">ROUND(IFERROR(ROUND(IF(OR(ISNUMBER(SEARCH("week",C886)),ISNUMBER(SEARCH("minggu",C886))),IFERROR(_xlfn.NUMBERVALUE(SUBSTITUTE(LEFT(TRIM(C886),FIND(" ",TRIM(C886)&amp;" ")-1),",","."),"."),LEFT(SUBSTITUTE(LEFT(TRIM(C886),FIND(" ",TRIM(C886)&amp;" ")-1),",","."),FIND("/",SUBSTITUTE(LEFT(TRIM(C886),FIND(" ",TRIM(C886)&amp;" ")-1),",","."))-1)/MID(SUBSTITUTE(LEFT(TRIM(C886),FIND(" ",TRIM(C886)&amp;" ")-1),",","."),FIND("/",SUBSTITUTE(LEFT(TRIM(C886),FIND(" ",TRIM(C886)&amp;" ")-1),",","."))+1,9))*12/52,IF(ISNUMBER(SEARCH("month",C886)),IFERROR(_xlfn.NUMBERVALUE(SUBSTITUTE(LEFT(TRIM(C886),FIND(" ",TRIM(C886)&amp;" ")-1),",","."),"."),LEFT(SUBSTITUTE(LEFT(TRIM(C886),FIND(" ",TRIM(C886)&amp;" ")-1),",","."),FIND("/",SUBSTITUTE(LEFT(TRIM(C886),FIND(" ",TRIM(C886)&amp;" ")-1),",","."))-1)/MID(SUBSTITUTE(LEFT(TRIM(C886),FIND(" ",TRIM(C886)&amp;" ")-1),",","."),FIND("/",SUBSTITUTE(LEFT(TRIM(C886),FIND(" ",TRIM(C886)&amp;" ")-1),",","."))+1,9)),IF(ISNUMBER(SEARCH("yea",C886)),IFERROR(_xlfn.NUMBERVALUE(SUBSTITUTE(LEFT(TRIM(C886),FIND(" ",TRIM(C886)&amp;" ")-1),",","."),"."),LEFT(SUBSTITUTE(LEFT(TRIM(C886),FIND(" ",TRIM(C886)&amp;" ")-1),",","."),FIND("/",SUBSTITUTE(LEFT(TRIM(C886),FIND(" ",TRIM(C886)&amp;" ")-1),",","."))-1)/MID(SUBSTITUTE(LEFT(TRIM(C886),FIND(" ",TRIM(C886)&amp;" ")-1),",","."),FIND("/",SUBSTITUTE(LEFT(TRIM(C886),FIND(" ",TRIM(C886)&amp;" ")-1),",","."))+1,9))*12,NA()))),0),12)*'Aturan &amp; Tarif'!$B$4,2)</f>
        <v>681.36</v>
      </c>
      <c r="K886" s="42" t="n">
        <f aca="false">'Aturan &amp; Tarif'!$B$5</f>
        <v>2050</v>
      </c>
      <c r="L886" s="42" t="n">
        <f aca="false">'Aturan &amp; Tarif'!$B$6</f>
        <v>350</v>
      </c>
      <c r="M886" s="35" t="n">
        <f aca="false">I886+J886+K886+L886</f>
        <v>17131.36</v>
      </c>
      <c r="N886" s="44" t="s">
        <v>2498</v>
      </c>
    </row>
    <row r="887" customFormat="false" ht="60" hidden="false" customHeight="true" outlineLevel="0" collapsed="false">
      <c r="A887" s="39"/>
      <c r="B887" s="40" t="s">
        <v>2499</v>
      </c>
      <c r="C887" s="41" t="s">
        <v>113</v>
      </c>
      <c r="D887" s="41" t="s">
        <v>108</v>
      </c>
      <c r="E887" s="42" t="n">
        <v>7025</v>
      </c>
      <c r="F887" s="42"/>
      <c r="G887" s="42"/>
      <c r="H887" s="43" t="n">
        <v>2</v>
      </c>
      <c r="I887" s="34" t="n">
        <f aca="false">E887*H887+N(F887)+N(G887)</f>
        <v>14050</v>
      </c>
      <c r="J887" s="42" t="n">
        <f aca="false">ROUND(IFERROR(ROUND(IF(OR(ISNUMBER(SEARCH("week",C887)),ISNUMBER(SEARCH("minggu",C887))),IFERROR(_xlfn.NUMBERVALUE(SUBSTITUTE(LEFT(TRIM(C887),FIND(" ",TRIM(C887)&amp;" ")-1),",","."),"."),LEFT(SUBSTITUTE(LEFT(TRIM(C887),FIND(" ",TRIM(C887)&amp;" ")-1),",","."),FIND("/",SUBSTITUTE(LEFT(TRIM(C887),FIND(" ",TRIM(C887)&amp;" ")-1),",","."))-1)/MID(SUBSTITUTE(LEFT(TRIM(C887),FIND(" ",TRIM(C887)&amp;" ")-1),",","."),FIND("/",SUBSTITUTE(LEFT(TRIM(C887),FIND(" ",TRIM(C887)&amp;" ")-1),",","."))+1,9))*12/52,IF(ISNUMBER(SEARCH("month",C887)),IFERROR(_xlfn.NUMBERVALUE(SUBSTITUTE(LEFT(TRIM(C887),FIND(" ",TRIM(C887)&amp;" ")-1),",","."),"."),LEFT(SUBSTITUTE(LEFT(TRIM(C887),FIND(" ",TRIM(C887)&amp;" ")-1),",","."),FIND("/",SUBSTITUTE(LEFT(TRIM(C887),FIND(" ",TRIM(C887)&amp;" ")-1),",","."))-1)/MID(SUBSTITUTE(LEFT(TRIM(C887),FIND(" ",TRIM(C887)&amp;" ")-1),",","."),FIND("/",SUBSTITUTE(LEFT(TRIM(C887),FIND(" ",TRIM(C887)&amp;" ")-1),",","."))+1,9)),IF(ISNUMBER(SEARCH("yea",C887)),IFERROR(_xlfn.NUMBERVALUE(SUBSTITUTE(LEFT(TRIM(C887),FIND(" ",TRIM(C887)&amp;" ")-1),",","."),"."),LEFT(SUBSTITUTE(LEFT(TRIM(C887),FIND(" ",TRIM(C887)&amp;" ")-1),",","."),FIND("/",SUBSTITUTE(LEFT(TRIM(C887),FIND(" ",TRIM(C887)&amp;" ")-1),",","."))-1)/MID(SUBSTITUTE(LEFT(TRIM(C887),FIND(" ",TRIM(C887)&amp;" ")-1),",","."),FIND("/",SUBSTITUTE(LEFT(TRIM(C887),FIND(" ",TRIM(C887)&amp;" ")-1),",","."))+1,9))*12,NA()))),0),18)*'Aturan &amp; Tarif'!$B$4,2)</f>
        <v>1022.04</v>
      </c>
      <c r="K887" s="42" t="n">
        <f aca="false">'Aturan &amp; Tarif'!$B$5</f>
        <v>2050</v>
      </c>
      <c r="L887" s="42" t="n">
        <f aca="false">'Aturan &amp; Tarif'!$B$6</f>
        <v>350</v>
      </c>
      <c r="M887" s="35" t="n">
        <f aca="false">I887+J887+K887+L887</f>
        <v>17472.04</v>
      </c>
      <c r="N887" s="44" t="s">
        <v>2500</v>
      </c>
    </row>
    <row r="888" customFormat="false" ht="60" hidden="false" customHeight="true" outlineLevel="0" collapsed="false">
      <c r="A888" s="39"/>
      <c r="B888" s="40" t="s">
        <v>2501</v>
      </c>
      <c r="C888" s="41" t="s">
        <v>107</v>
      </c>
      <c r="D888" s="41" t="s">
        <v>108</v>
      </c>
      <c r="E888" s="42" t="n">
        <v>7025</v>
      </c>
      <c r="F888" s="42"/>
      <c r="G888" s="42"/>
      <c r="H888" s="43" t="n">
        <v>2</v>
      </c>
      <c r="I888" s="34" t="n">
        <f aca="false">E888*H888+N(F888)+N(G888)</f>
        <v>14050</v>
      </c>
      <c r="J888" s="42" t="n">
        <f aca="false">ROUND(IFERROR(ROUND(IF(OR(ISNUMBER(SEARCH("week",C888)),ISNUMBER(SEARCH("minggu",C888))),IFERROR(_xlfn.NUMBERVALUE(SUBSTITUTE(LEFT(TRIM(C888),FIND(" ",TRIM(C888)&amp;" ")-1),",","."),"."),LEFT(SUBSTITUTE(LEFT(TRIM(C888),FIND(" ",TRIM(C888)&amp;" ")-1),",","."),FIND("/",SUBSTITUTE(LEFT(TRIM(C888),FIND(" ",TRIM(C888)&amp;" ")-1),",","."))-1)/MID(SUBSTITUTE(LEFT(TRIM(C888),FIND(" ",TRIM(C888)&amp;" ")-1),",","."),FIND("/",SUBSTITUTE(LEFT(TRIM(C888),FIND(" ",TRIM(C888)&amp;" ")-1),",","."))+1,9))*12/52,IF(ISNUMBER(SEARCH("month",C888)),IFERROR(_xlfn.NUMBERVALUE(SUBSTITUTE(LEFT(TRIM(C888),FIND(" ",TRIM(C888)&amp;" ")-1),",","."),"."),LEFT(SUBSTITUTE(LEFT(TRIM(C888),FIND(" ",TRIM(C888)&amp;" ")-1),",","."),FIND("/",SUBSTITUTE(LEFT(TRIM(C888),FIND(" ",TRIM(C888)&amp;" ")-1),",","."))-1)/MID(SUBSTITUTE(LEFT(TRIM(C888),FIND(" ",TRIM(C888)&amp;" ")-1),",","."),FIND("/",SUBSTITUTE(LEFT(TRIM(C888),FIND(" ",TRIM(C888)&amp;" ")-1),",","."))+1,9)),IF(ISNUMBER(SEARCH("yea",C888)),IFERROR(_xlfn.NUMBERVALUE(SUBSTITUTE(LEFT(TRIM(C888),FIND(" ",TRIM(C888)&amp;" ")-1),",","."),"."),LEFT(SUBSTITUTE(LEFT(TRIM(C888),FIND(" ",TRIM(C888)&amp;" ")-1),",","."),FIND("/",SUBSTITUTE(LEFT(TRIM(C888),FIND(" ",TRIM(C888)&amp;" ")-1),",","."))-1)/MID(SUBSTITUTE(LEFT(TRIM(C888),FIND(" ",TRIM(C888)&amp;" ")-1),",","."),FIND("/",SUBSTITUTE(LEFT(TRIM(C888),FIND(" ",TRIM(C888)&amp;" ")-1),",","."))+1,9))*12,NA()))),0),24)*'Aturan &amp; Tarif'!$B$4,2)</f>
        <v>1362.72</v>
      </c>
      <c r="K888" s="42" t="n">
        <f aca="false">'Aturan &amp; Tarif'!$B$5</f>
        <v>2050</v>
      </c>
      <c r="L888" s="42" t="n">
        <f aca="false">'Aturan &amp; Tarif'!$B$6</f>
        <v>350</v>
      </c>
      <c r="M888" s="35" t="n">
        <f aca="false">I888+J888+K888+L888</f>
        <v>17812.72</v>
      </c>
      <c r="N888" s="44" t="s">
        <v>2502</v>
      </c>
    </row>
    <row r="889" customFormat="false" ht="14.25" hidden="false" customHeight="true" outlineLevel="0" collapsed="false">
      <c r="A889" s="39"/>
      <c r="B889" s="40" t="s">
        <v>2503</v>
      </c>
      <c r="C889" s="41" t="s">
        <v>130</v>
      </c>
      <c r="D889" s="41" t="s">
        <v>108</v>
      </c>
      <c r="E889" s="42" t="n">
        <v>7025</v>
      </c>
      <c r="F889" s="42"/>
      <c r="G889" s="42"/>
      <c r="H889" s="43" t="n">
        <v>2</v>
      </c>
      <c r="I889" s="34" t="n">
        <f aca="false">E889*H889+N(F889)+N(G889)</f>
        <v>14050</v>
      </c>
      <c r="J889" s="42" t="n">
        <f aca="false">ROUND(IFERROR(ROUND(IF(OR(ISNUMBER(SEARCH("week",C889)),ISNUMBER(SEARCH("minggu",C889))),IFERROR(_xlfn.NUMBERVALUE(SUBSTITUTE(LEFT(TRIM(C889),FIND(" ",TRIM(C889)&amp;" ")-1),",","."),"."),LEFT(SUBSTITUTE(LEFT(TRIM(C889),FIND(" ",TRIM(C889)&amp;" ")-1),",","."),FIND("/",SUBSTITUTE(LEFT(TRIM(C889),FIND(" ",TRIM(C889)&amp;" ")-1),",","."))-1)/MID(SUBSTITUTE(LEFT(TRIM(C889),FIND(" ",TRIM(C889)&amp;" ")-1),",","."),FIND("/",SUBSTITUTE(LEFT(TRIM(C889),FIND(" ",TRIM(C889)&amp;" ")-1),",","."))+1,9))*12/52,IF(ISNUMBER(SEARCH("month",C889)),IFERROR(_xlfn.NUMBERVALUE(SUBSTITUTE(LEFT(TRIM(C889),FIND(" ",TRIM(C889)&amp;" ")-1),",","."),"."),LEFT(SUBSTITUTE(LEFT(TRIM(C889),FIND(" ",TRIM(C889)&amp;" ")-1),",","."),FIND("/",SUBSTITUTE(LEFT(TRIM(C889),FIND(" ",TRIM(C889)&amp;" ")-1),",","."))-1)/MID(SUBSTITUTE(LEFT(TRIM(C889),FIND(" ",TRIM(C889)&amp;" ")-1),",","."),FIND("/",SUBSTITUTE(LEFT(TRIM(C889),FIND(" ",TRIM(C889)&amp;" ")-1),",","."))+1,9)),IF(ISNUMBER(SEARCH("yea",C889)),IFERROR(_xlfn.NUMBERVALUE(SUBSTITUTE(LEFT(TRIM(C889),FIND(" ",TRIM(C889)&amp;" ")-1),",","."),"."),LEFT(SUBSTITUTE(LEFT(TRIM(C889),FIND(" ",TRIM(C889)&amp;" ")-1),",","."),FIND("/",SUBSTITUTE(LEFT(TRIM(C889),FIND(" ",TRIM(C889)&amp;" ")-1),",","."))-1)/MID(SUBSTITUTE(LEFT(TRIM(C889),FIND(" ",TRIM(C889)&amp;" ")-1),",","."),FIND("/",SUBSTITUTE(LEFT(TRIM(C889),FIND(" ",TRIM(C889)&amp;" ")-1),",","."))+1,9))*12,NA()))),0),12)*'Aturan &amp; Tarif'!$B$4,2)</f>
        <v>681.36</v>
      </c>
      <c r="K889" s="42" t="n">
        <f aca="false">'Aturan &amp; Tarif'!$B$5</f>
        <v>2050</v>
      </c>
      <c r="L889" s="42" t="n">
        <f aca="false">'Aturan &amp; Tarif'!$B$6</f>
        <v>350</v>
      </c>
      <c r="M889" s="35" t="n">
        <f aca="false">I889+J889+K889+L889</f>
        <v>17131.36</v>
      </c>
      <c r="N889" s="44" t="s">
        <v>2504</v>
      </c>
    </row>
    <row r="890" customFormat="false" ht="60" hidden="false" customHeight="true" outlineLevel="0" collapsed="false">
      <c r="A890" s="39"/>
      <c r="B890" s="40" t="s">
        <v>2505</v>
      </c>
      <c r="C890" s="41" t="s">
        <v>113</v>
      </c>
      <c r="D890" s="41" t="s">
        <v>108</v>
      </c>
      <c r="E890" s="42" t="n">
        <v>7025</v>
      </c>
      <c r="F890" s="42"/>
      <c r="G890" s="42"/>
      <c r="H890" s="43" t="n">
        <v>2</v>
      </c>
      <c r="I890" s="34" t="n">
        <f aca="false">E890*H890+N(F890)+N(G890)</f>
        <v>14050</v>
      </c>
      <c r="J890" s="42" t="n">
        <f aca="false">ROUND(IFERROR(ROUND(IF(OR(ISNUMBER(SEARCH("week",C890)),ISNUMBER(SEARCH("minggu",C890))),IFERROR(_xlfn.NUMBERVALUE(SUBSTITUTE(LEFT(TRIM(C890),FIND(" ",TRIM(C890)&amp;" ")-1),",","."),"."),LEFT(SUBSTITUTE(LEFT(TRIM(C890),FIND(" ",TRIM(C890)&amp;" ")-1),",","."),FIND("/",SUBSTITUTE(LEFT(TRIM(C890),FIND(" ",TRIM(C890)&amp;" ")-1),",","."))-1)/MID(SUBSTITUTE(LEFT(TRIM(C890),FIND(" ",TRIM(C890)&amp;" ")-1),",","."),FIND("/",SUBSTITUTE(LEFT(TRIM(C890),FIND(" ",TRIM(C890)&amp;" ")-1),",","."))+1,9))*12/52,IF(ISNUMBER(SEARCH("month",C890)),IFERROR(_xlfn.NUMBERVALUE(SUBSTITUTE(LEFT(TRIM(C890),FIND(" ",TRIM(C890)&amp;" ")-1),",","."),"."),LEFT(SUBSTITUTE(LEFT(TRIM(C890),FIND(" ",TRIM(C890)&amp;" ")-1),",","."),FIND("/",SUBSTITUTE(LEFT(TRIM(C890),FIND(" ",TRIM(C890)&amp;" ")-1),",","."))-1)/MID(SUBSTITUTE(LEFT(TRIM(C890),FIND(" ",TRIM(C890)&amp;" ")-1),",","."),FIND("/",SUBSTITUTE(LEFT(TRIM(C890),FIND(" ",TRIM(C890)&amp;" ")-1),",","."))+1,9)),IF(ISNUMBER(SEARCH("yea",C890)),IFERROR(_xlfn.NUMBERVALUE(SUBSTITUTE(LEFT(TRIM(C890),FIND(" ",TRIM(C890)&amp;" ")-1),",","."),"."),LEFT(SUBSTITUTE(LEFT(TRIM(C890),FIND(" ",TRIM(C890)&amp;" ")-1),",","."),FIND("/",SUBSTITUTE(LEFT(TRIM(C890),FIND(" ",TRIM(C890)&amp;" ")-1),",","."))-1)/MID(SUBSTITUTE(LEFT(TRIM(C890),FIND(" ",TRIM(C890)&amp;" ")-1),",","."),FIND("/",SUBSTITUTE(LEFT(TRIM(C890),FIND(" ",TRIM(C890)&amp;" ")-1),",","."))+1,9))*12,NA()))),0),18)*'Aturan &amp; Tarif'!$B$4,2)</f>
        <v>1022.04</v>
      </c>
      <c r="K890" s="42" t="n">
        <f aca="false">'Aturan &amp; Tarif'!$B$5</f>
        <v>2050</v>
      </c>
      <c r="L890" s="42" t="n">
        <f aca="false">'Aturan &amp; Tarif'!$B$6</f>
        <v>350</v>
      </c>
      <c r="M890" s="35" t="n">
        <f aca="false">I890+J890+K890+L890</f>
        <v>17472.04</v>
      </c>
      <c r="N890" s="44" t="s">
        <v>2506</v>
      </c>
    </row>
    <row r="891" customFormat="false" ht="60" hidden="false" customHeight="true" outlineLevel="0" collapsed="false">
      <c r="A891" s="39"/>
      <c r="B891" s="40" t="s">
        <v>2507</v>
      </c>
      <c r="C891" s="41" t="s">
        <v>107</v>
      </c>
      <c r="D891" s="41" t="s">
        <v>108</v>
      </c>
      <c r="E891" s="42" t="n">
        <v>7025</v>
      </c>
      <c r="F891" s="42"/>
      <c r="G891" s="42"/>
      <c r="H891" s="43" t="n">
        <v>2</v>
      </c>
      <c r="I891" s="34" t="n">
        <f aca="false">E891*H891+N(F891)+N(G891)</f>
        <v>14050</v>
      </c>
      <c r="J891" s="42" t="n">
        <f aca="false">ROUND(IFERROR(ROUND(IF(OR(ISNUMBER(SEARCH("week",C891)),ISNUMBER(SEARCH("minggu",C891))),IFERROR(_xlfn.NUMBERVALUE(SUBSTITUTE(LEFT(TRIM(C891),FIND(" ",TRIM(C891)&amp;" ")-1),",","."),"."),LEFT(SUBSTITUTE(LEFT(TRIM(C891),FIND(" ",TRIM(C891)&amp;" ")-1),",","."),FIND("/",SUBSTITUTE(LEFT(TRIM(C891),FIND(" ",TRIM(C891)&amp;" ")-1),",","."))-1)/MID(SUBSTITUTE(LEFT(TRIM(C891),FIND(" ",TRIM(C891)&amp;" ")-1),",","."),FIND("/",SUBSTITUTE(LEFT(TRIM(C891),FIND(" ",TRIM(C891)&amp;" ")-1),",","."))+1,9))*12/52,IF(ISNUMBER(SEARCH("month",C891)),IFERROR(_xlfn.NUMBERVALUE(SUBSTITUTE(LEFT(TRIM(C891),FIND(" ",TRIM(C891)&amp;" ")-1),",","."),"."),LEFT(SUBSTITUTE(LEFT(TRIM(C891),FIND(" ",TRIM(C891)&amp;" ")-1),",","."),FIND("/",SUBSTITUTE(LEFT(TRIM(C891),FIND(" ",TRIM(C891)&amp;" ")-1),",","."))-1)/MID(SUBSTITUTE(LEFT(TRIM(C891),FIND(" ",TRIM(C891)&amp;" ")-1),",","."),FIND("/",SUBSTITUTE(LEFT(TRIM(C891),FIND(" ",TRIM(C891)&amp;" ")-1),",","."))+1,9)),IF(ISNUMBER(SEARCH("yea",C891)),IFERROR(_xlfn.NUMBERVALUE(SUBSTITUTE(LEFT(TRIM(C891),FIND(" ",TRIM(C891)&amp;" ")-1),",","."),"."),LEFT(SUBSTITUTE(LEFT(TRIM(C891),FIND(" ",TRIM(C891)&amp;" ")-1),",","."),FIND("/",SUBSTITUTE(LEFT(TRIM(C891),FIND(" ",TRIM(C891)&amp;" ")-1),",","."))-1)/MID(SUBSTITUTE(LEFT(TRIM(C891),FIND(" ",TRIM(C891)&amp;" ")-1),",","."),FIND("/",SUBSTITUTE(LEFT(TRIM(C891),FIND(" ",TRIM(C891)&amp;" ")-1),",","."))+1,9))*12,NA()))),0),24)*'Aturan &amp; Tarif'!$B$4,2)</f>
        <v>1362.72</v>
      </c>
      <c r="K891" s="42" t="n">
        <f aca="false">'Aturan &amp; Tarif'!$B$5</f>
        <v>2050</v>
      </c>
      <c r="L891" s="42" t="n">
        <f aca="false">'Aturan &amp; Tarif'!$B$6</f>
        <v>350</v>
      </c>
      <c r="M891" s="35" t="n">
        <f aca="false">I891+J891+K891+L891</f>
        <v>17812.72</v>
      </c>
      <c r="N891" s="44" t="s">
        <v>2508</v>
      </c>
    </row>
    <row r="892" customFormat="false" ht="60" hidden="false" customHeight="true" outlineLevel="0" collapsed="false">
      <c r="A892" s="39"/>
      <c r="B892" s="40" t="s">
        <v>1126</v>
      </c>
      <c r="C892" s="41" t="s">
        <v>130</v>
      </c>
      <c r="D892" s="41" t="s">
        <v>108</v>
      </c>
      <c r="E892" s="42" t="n">
        <v>7333</v>
      </c>
      <c r="F892" s="42"/>
      <c r="G892" s="42"/>
      <c r="H892" s="43" t="n">
        <v>2</v>
      </c>
      <c r="I892" s="34" t="n">
        <f aca="false">E892*H892+N(F892)+N(G892)</f>
        <v>14666</v>
      </c>
      <c r="J892" s="42" t="n">
        <f aca="false">ROUND(IFERROR(ROUND(IF(OR(ISNUMBER(SEARCH("week",C892)),ISNUMBER(SEARCH("minggu",C892))),IFERROR(_xlfn.NUMBERVALUE(SUBSTITUTE(LEFT(TRIM(C892),FIND(" ",TRIM(C892)&amp;" ")-1),",","."),"."),LEFT(SUBSTITUTE(LEFT(TRIM(C892),FIND(" ",TRIM(C892)&amp;" ")-1),",","."),FIND("/",SUBSTITUTE(LEFT(TRIM(C892),FIND(" ",TRIM(C892)&amp;" ")-1),",","."))-1)/MID(SUBSTITUTE(LEFT(TRIM(C892),FIND(" ",TRIM(C892)&amp;" ")-1),",","."),FIND("/",SUBSTITUTE(LEFT(TRIM(C892),FIND(" ",TRIM(C892)&amp;" ")-1),",","."))+1,9))*12/52,IF(ISNUMBER(SEARCH("month",C892)),IFERROR(_xlfn.NUMBERVALUE(SUBSTITUTE(LEFT(TRIM(C892),FIND(" ",TRIM(C892)&amp;" ")-1),",","."),"."),LEFT(SUBSTITUTE(LEFT(TRIM(C892),FIND(" ",TRIM(C892)&amp;" ")-1),",","."),FIND("/",SUBSTITUTE(LEFT(TRIM(C892),FIND(" ",TRIM(C892)&amp;" ")-1),",","."))-1)/MID(SUBSTITUTE(LEFT(TRIM(C892),FIND(" ",TRIM(C892)&amp;" ")-1),",","."),FIND("/",SUBSTITUTE(LEFT(TRIM(C892),FIND(" ",TRIM(C892)&amp;" ")-1),",","."))+1,9)),IF(ISNUMBER(SEARCH("yea",C892)),IFERROR(_xlfn.NUMBERVALUE(SUBSTITUTE(LEFT(TRIM(C892),FIND(" ",TRIM(C892)&amp;" ")-1),",","."),"."),LEFT(SUBSTITUTE(LEFT(TRIM(C892),FIND(" ",TRIM(C892)&amp;" ")-1),",","."),FIND("/",SUBSTITUTE(LEFT(TRIM(C892),FIND(" ",TRIM(C892)&amp;" ")-1),",","."))-1)/MID(SUBSTITUTE(LEFT(TRIM(C892),FIND(" ",TRIM(C892)&amp;" ")-1),",","."),FIND("/",SUBSTITUTE(LEFT(TRIM(C892),FIND(" ",TRIM(C892)&amp;" ")-1),",","."))+1,9))*12,NA()))),0),12)*'Aturan &amp; Tarif'!$B$4,2)</f>
        <v>681.36</v>
      </c>
      <c r="K892" s="42" t="n">
        <f aca="false">'Aturan &amp; Tarif'!$B$5</f>
        <v>2050</v>
      </c>
      <c r="L892" s="42" t="n">
        <f aca="false">'Aturan &amp; Tarif'!$B$6</f>
        <v>350</v>
      </c>
      <c r="M892" s="35" t="n">
        <f aca="false">I892+J892+K892+L892</f>
        <v>17747.36</v>
      </c>
      <c r="N892" s="44" t="s">
        <v>1127</v>
      </c>
    </row>
    <row r="893" customFormat="false" ht="60" hidden="false" customHeight="true" outlineLevel="0" collapsed="false">
      <c r="A893" s="39"/>
      <c r="B893" s="40" t="s">
        <v>1130</v>
      </c>
      <c r="C893" s="41" t="s">
        <v>191</v>
      </c>
      <c r="D893" s="41" t="s">
        <v>108</v>
      </c>
      <c r="E893" s="42" t="n">
        <v>7333</v>
      </c>
      <c r="F893" s="42"/>
      <c r="G893" s="42"/>
      <c r="H893" s="43" t="n">
        <v>2</v>
      </c>
      <c r="I893" s="34" t="n">
        <f aca="false">E893*H893+N(F893)+N(G893)</f>
        <v>14666</v>
      </c>
      <c r="J893" s="42" t="n">
        <f aca="false">ROUND(IFERROR(ROUND(IF(OR(ISNUMBER(SEARCH("week",C893)),ISNUMBER(SEARCH("minggu",C893))),IFERROR(_xlfn.NUMBERVALUE(SUBSTITUTE(LEFT(TRIM(C893),FIND(" ",TRIM(C893)&amp;" ")-1),",","."),"."),LEFT(SUBSTITUTE(LEFT(TRIM(C893),FIND(" ",TRIM(C893)&amp;" ")-1),",","."),FIND("/",SUBSTITUTE(LEFT(TRIM(C893),FIND(" ",TRIM(C893)&amp;" ")-1),",","."))-1)/MID(SUBSTITUTE(LEFT(TRIM(C893),FIND(" ",TRIM(C893)&amp;" ")-1),",","."),FIND("/",SUBSTITUTE(LEFT(TRIM(C893),FIND(" ",TRIM(C893)&amp;" ")-1),",","."))+1,9))*12/52,IF(ISNUMBER(SEARCH("month",C893)),IFERROR(_xlfn.NUMBERVALUE(SUBSTITUTE(LEFT(TRIM(C893),FIND(" ",TRIM(C893)&amp;" ")-1),",","."),"."),LEFT(SUBSTITUTE(LEFT(TRIM(C893),FIND(" ",TRIM(C893)&amp;" ")-1),",","."),FIND("/",SUBSTITUTE(LEFT(TRIM(C893),FIND(" ",TRIM(C893)&amp;" ")-1),",","."))-1)/MID(SUBSTITUTE(LEFT(TRIM(C893),FIND(" ",TRIM(C893)&amp;" ")-1),",","."),FIND("/",SUBSTITUTE(LEFT(TRIM(C893),FIND(" ",TRIM(C893)&amp;" ")-1),",","."))+1,9)),IF(ISNUMBER(SEARCH("yea",C893)),IFERROR(_xlfn.NUMBERVALUE(SUBSTITUTE(LEFT(TRIM(C893),FIND(" ",TRIM(C893)&amp;" ")-1),",","."),"."),LEFT(SUBSTITUTE(LEFT(TRIM(C893),FIND(" ",TRIM(C893)&amp;" ")-1),",","."),FIND("/",SUBSTITUTE(LEFT(TRIM(C893),FIND(" ",TRIM(C893)&amp;" ")-1),",","."))-1)/MID(SUBSTITUTE(LEFT(TRIM(C893),FIND(" ",TRIM(C893)&amp;" ")-1),",","."),FIND("/",SUBSTITUTE(LEFT(TRIM(C893),FIND(" ",TRIM(C893)&amp;" ")-1),",","."))+1,9))*12,NA()))),0),48)*'Aturan &amp; Tarif'!$B$4,2)</f>
        <v>2725.44</v>
      </c>
      <c r="K893" s="42" t="n">
        <f aca="false">'Aturan &amp; Tarif'!$B$5</f>
        <v>2050</v>
      </c>
      <c r="L893" s="42" t="n">
        <f aca="false">'Aturan &amp; Tarif'!$B$6</f>
        <v>350</v>
      </c>
      <c r="M893" s="35" t="n">
        <f aca="false">I893+J893+K893+L893</f>
        <v>19791.44</v>
      </c>
      <c r="N893" s="44" t="s">
        <v>1131</v>
      </c>
    </row>
    <row r="894" customFormat="false" ht="60" hidden="false" customHeight="true" outlineLevel="0" collapsed="false">
      <c r="A894" s="39"/>
      <c r="B894" s="40" t="s">
        <v>1132</v>
      </c>
      <c r="C894" s="41" t="s">
        <v>127</v>
      </c>
      <c r="D894" s="41" t="s">
        <v>108</v>
      </c>
      <c r="E894" s="42" t="n">
        <v>7333</v>
      </c>
      <c r="F894" s="42"/>
      <c r="G894" s="42"/>
      <c r="H894" s="43" t="n">
        <v>2</v>
      </c>
      <c r="I894" s="34" t="n">
        <f aca="false">E894*H894+N(F894)+N(G894)</f>
        <v>14666</v>
      </c>
      <c r="J894" s="42" t="n">
        <f aca="false">ROUND(IFERROR(ROUND(IF(OR(ISNUMBER(SEARCH("week",C894)),ISNUMBER(SEARCH("minggu",C894))),IFERROR(_xlfn.NUMBERVALUE(SUBSTITUTE(LEFT(TRIM(C894),FIND(" ",TRIM(C894)&amp;" ")-1),",","."),"."),LEFT(SUBSTITUTE(LEFT(TRIM(C894),FIND(" ",TRIM(C894)&amp;" ")-1),",","."),FIND("/",SUBSTITUTE(LEFT(TRIM(C894),FIND(" ",TRIM(C894)&amp;" ")-1),",","."))-1)/MID(SUBSTITUTE(LEFT(TRIM(C894),FIND(" ",TRIM(C894)&amp;" ")-1),",","."),FIND("/",SUBSTITUTE(LEFT(TRIM(C894),FIND(" ",TRIM(C894)&amp;" ")-1),",","."))+1,9))*12/52,IF(ISNUMBER(SEARCH("month",C894)),IFERROR(_xlfn.NUMBERVALUE(SUBSTITUTE(LEFT(TRIM(C894),FIND(" ",TRIM(C894)&amp;" ")-1),",","."),"."),LEFT(SUBSTITUTE(LEFT(TRIM(C894),FIND(" ",TRIM(C894)&amp;" ")-1),",","."),FIND("/",SUBSTITUTE(LEFT(TRIM(C894),FIND(" ",TRIM(C894)&amp;" ")-1),",","."))-1)/MID(SUBSTITUTE(LEFT(TRIM(C894),FIND(" ",TRIM(C894)&amp;" ")-1),",","."),FIND("/",SUBSTITUTE(LEFT(TRIM(C894),FIND(" ",TRIM(C894)&amp;" ")-1),",","."))+1,9)),IF(ISNUMBER(SEARCH("yea",C894)),IFERROR(_xlfn.NUMBERVALUE(SUBSTITUTE(LEFT(TRIM(C894),FIND(" ",TRIM(C894)&amp;" ")-1),",","."),"."),LEFT(SUBSTITUTE(LEFT(TRIM(C894),FIND(" ",TRIM(C894)&amp;" ")-1),",","."),FIND("/",SUBSTITUTE(LEFT(TRIM(C894),FIND(" ",TRIM(C894)&amp;" ")-1),",","."))-1)/MID(SUBSTITUTE(LEFT(TRIM(C894),FIND(" ",TRIM(C894)&amp;" ")-1),",","."),FIND("/",SUBSTITUTE(LEFT(TRIM(C894),FIND(" ",TRIM(C894)&amp;" ")-1),",","."))+1,9))*12,NA()))),0),36)*'Aturan &amp; Tarif'!$B$4,2)</f>
        <v>2044.08</v>
      </c>
      <c r="K894" s="42" t="n">
        <f aca="false">'Aturan &amp; Tarif'!$B$5</f>
        <v>2050</v>
      </c>
      <c r="L894" s="42" t="n">
        <f aca="false">'Aturan &amp; Tarif'!$B$6</f>
        <v>350</v>
      </c>
      <c r="M894" s="35" t="n">
        <f aca="false">I894+J894+K894+L894</f>
        <v>19110.08</v>
      </c>
      <c r="N894" s="44" t="s">
        <v>1133</v>
      </c>
    </row>
    <row r="895" customFormat="false" ht="60" hidden="false" customHeight="true" outlineLevel="0" collapsed="false">
      <c r="A895" s="39"/>
      <c r="B895" s="40" t="s">
        <v>1134</v>
      </c>
      <c r="C895" s="41" t="s">
        <v>127</v>
      </c>
      <c r="D895" s="41" t="s">
        <v>108</v>
      </c>
      <c r="E895" s="42" t="n">
        <v>7333</v>
      </c>
      <c r="F895" s="42"/>
      <c r="G895" s="42"/>
      <c r="H895" s="43" t="n">
        <v>2</v>
      </c>
      <c r="I895" s="34" t="n">
        <f aca="false">E895*H895+N(F895)+N(G895)</f>
        <v>14666</v>
      </c>
      <c r="J895" s="42" t="n">
        <f aca="false">ROUND(IFERROR(ROUND(IF(OR(ISNUMBER(SEARCH("week",C895)),ISNUMBER(SEARCH("minggu",C895))),IFERROR(_xlfn.NUMBERVALUE(SUBSTITUTE(LEFT(TRIM(C895),FIND(" ",TRIM(C895)&amp;" ")-1),",","."),"."),LEFT(SUBSTITUTE(LEFT(TRIM(C895),FIND(" ",TRIM(C895)&amp;" ")-1),",","."),FIND("/",SUBSTITUTE(LEFT(TRIM(C895),FIND(" ",TRIM(C895)&amp;" ")-1),",","."))-1)/MID(SUBSTITUTE(LEFT(TRIM(C895),FIND(" ",TRIM(C895)&amp;" ")-1),",","."),FIND("/",SUBSTITUTE(LEFT(TRIM(C895),FIND(" ",TRIM(C895)&amp;" ")-1),",","."))+1,9))*12/52,IF(ISNUMBER(SEARCH("month",C895)),IFERROR(_xlfn.NUMBERVALUE(SUBSTITUTE(LEFT(TRIM(C895),FIND(" ",TRIM(C895)&amp;" ")-1),",","."),"."),LEFT(SUBSTITUTE(LEFT(TRIM(C895),FIND(" ",TRIM(C895)&amp;" ")-1),",","."),FIND("/",SUBSTITUTE(LEFT(TRIM(C895),FIND(" ",TRIM(C895)&amp;" ")-1),",","."))-1)/MID(SUBSTITUTE(LEFT(TRIM(C895),FIND(" ",TRIM(C895)&amp;" ")-1),",","."),FIND("/",SUBSTITUTE(LEFT(TRIM(C895),FIND(" ",TRIM(C895)&amp;" ")-1),",","."))+1,9)),IF(ISNUMBER(SEARCH("yea",C895)),IFERROR(_xlfn.NUMBERVALUE(SUBSTITUTE(LEFT(TRIM(C895),FIND(" ",TRIM(C895)&amp;" ")-1),",","."),"."),LEFT(SUBSTITUTE(LEFT(TRIM(C895),FIND(" ",TRIM(C895)&amp;" ")-1),",","."),FIND("/",SUBSTITUTE(LEFT(TRIM(C895),FIND(" ",TRIM(C895)&amp;" ")-1),",","."))-1)/MID(SUBSTITUTE(LEFT(TRIM(C895),FIND(" ",TRIM(C895)&amp;" ")-1),",","."),FIND("/",SUBSTITUTE(LEFT(TRIM(C895),FIND(" ",TRIM(C895)&amp;" ")-1),",","."))+1,9))*12,NA()))),0),36)*'Aturan &amp; Tarif'!$B$4,2)</f>
        <v>2044.08</v>
      </c>
      <c r="K895" s="42" t="n">
        <f aca="false">'Aturan &amp; Tarif'!$B$5</f>
        <v>2050</v>
      </c>
      <c r="L895" s="42" t="n">
        <f aca="false">'Aturan &amp; Tarif'!$B$6</f>
        <v>350</v>
      </c>
      <c r="M895" s="35" t="n">
        <f aca="false">I895+J895+K895+L895</f>
        <v>19110.08</v>
      </c>
      <c r="N895" s="44" t="s">
        <v>1781</v>
      </c>
    </row>
    <row r="896" customFormat="false" ht="60" hidden="false" customHeight="true" outlineLevel="0" collapsed="false">
      <c r="A896" s="39"/>
      <c r="B896" s="40" t="s">
        <v>265</v>
      </c>
      <c r="C896" s="41" t="s">
        <v>127</v>
      </c>
      <c r="D896" s="41" t="s">
        <v>108</v>
      </c>
      <c r="E896" s="42" t="n">
        <v>8750</v>
      </c>
      <c r="F896" s="42"/>
      <c r="G896" s="42"/>
      <c r="H896" s="43" t="n">
        <v>2</v>
      </c>
      <c r="I896" s="34" t="n">
        <f aca="false">E896*H896+N(F896)+N(G896)</f>
        <v>17500</v>
      </c>
      <c r="J896" s="42" t="n">
        <f aca="false">ROUND(IFERROR(ROUND(IF(OR(ISNUMBER(SEARCH("week",C896)),ISNUMBER(SEARCH("minggu",C896))),IFERROR(_xlfn.NUMBERVALUE(SUBSTITUTE(LEFT(TRIM(C896),FIND(" ",TRIM(C896)&amp;" ")-1),",","."),"."),LEFT(SUBSTITUTE(LEFT(TRIM(C896),FIND(" ",TRIM(C896)&amp;" ")-1),",","."),FIND("/",SUBSTITUTE(LEFT(TRIM(C896),FIND(" ",TRIM(C896)&amp;" ")-1),",","."))-1)/MID(SUBSTITUTE(LEFT(TRIM(C896),FIND(" ",TRIM(C896)&amp;" ")-1),",","."),FIND("/",SUBSTITUTE(LEFT(TRIM(C896),FIND(" ",TRIM(C896)&amp;" ")-1),",","."))+1,9))*12/52,IF(ISNUMBER(SEARCH("month",C896)),IFERROR(_xlfn.NUMBERVALUE(SUBSTITUTE(LEFT(TRIM(C896),FIND(" ",TRIM(C896)&amp;" ")-1),",","."),"."),LEFT(SUBSTITUTE(LEFT(TRIM(C896),FIND(" ",TRIM(C896)&amp;" ")-1),",","."),FIND("/",SUBSTITUTE(LEFT(TRIM(C896),FIND(" ",TRIM(C896)&amp;" ")-1),",","."))-1)/MID(SUBSTITUTE(LEFT(TRIM(C896),FIND(" ",TRIM(C896)&amp;" ")-1),",","."),FIND("/",SUBSTITUTE(LEFT(TRIM(C896),FIND(" ",TRIM(C896)&amp;" ")-1),",","."))+1,9)),IF(ISNUMBER(SEARCH("yea",C896)),IFERROR(_xlfn.NUMBERVALUE(SUBSTITUTE(LEFT(TRIM(C896),FIND(" ",TRIM(C896)&amp;" ")-1),",","."),"."),LEFT(SUBSTITUTE(LEFT(TRIM(C896),FIND(" ",TRIM(C896)&amp;" ")-1),",","."),FIND("/",SUBSTITUTE(LEFT(TRIM(C896),FIND(" ",TRIM(C896)&amp;" ")-1),",","."))-1)/MID(SUBSTITUTE(LEFT(TRIM(C896),FIND(" ",TRIM(C896)&amp;" ")-1),",","."),FIND("/",SUBSTITUTE(LEFT(TRIM(C896),FIND(" ",TRIM(C896)&amp;" ")-1),",","."))+1,9))*12,NA()))),0),36)*'Aturan &amp; Tarif'!$B$4,2)</f>
        <v>2044.08</v>
      </c>
      <c r="K896" s="42" t="n">
        <f aca="false">'Aturan &amp; Tarif'!$B$5</f>
        <v>2050</v>
      </c>
      <c r="L896" s="42" t="n">
        <f aca="false">'Aturan &amp; Tarif'!$B$6</f>
        <v>350</v>
      </c>
      <c r="M896" s="35" t="n">
        <f aca="false">I896+J896+K896+L896</f>
        <v>21944.08</v>
      </c>
      <c r="N896" s="44" t="s">
        <v>1136</v>
      </c>
    </row>
    <row r="897" customFormat="false" ht="60" hidden="false" customHeight="true" outlineLevel="0" collapsed="false">
      <c r="A897" s="39"/>
      <c r="B897" s="40" t="s">
        <v>1137</v>
      </c>
      <c r="C897" s="41" t="s">
        <v>127</v>
      </c>
      <c r="D897" s="41" t="s">
        <v>108</v>
      </c>
      <c r="E897" s="42" t="n">
        <v>7333</v>
      </c>
      <c r="F897" s="42"/>
      <c r="G897" s="42"/>
      <c r="H897" s="43" t="n">
        <v>2</v>
      </c>
      <c r="I897" s="34" t="n">
        <f aca="false">E897*H897+N(F897)+N(G897)</f>
        <v>14666</v>
      </c>
      <c r="J897" s="42" t="n">
        <f aca="false">ROUND(IFERROR(ROUND(IF(OR(ISNUMBER(SEARCH("week",C897)),ISNUMBER(SEARCH("minggu",C897))),IFERROR(_xlfn.NUMBERVALUE(SUBSTITUTE(LEFT(TRIM(C897),FIND(" ",TRIM(C897)&amp;" ")-1),",","."),"."),LEFT(SUBSTITUTE(LEFT(TRIM(C897),FIND(" ",TRIM(C897)&amp;" ")-1),",","."),FIND("/",SUBSTITUTE(LEFT(TRIM(C897),FIND(" ",TRIM(C897)&amp;" ")-1),",","."))-1)/MID(SUBSTITUTE(LEFT(TRIM(C897),FIND(" ",TRIM(C897)&amp;" ")-1),",","."),FIND("/",SUBSTITUTE(LEFT(TRIM(C897),FIND(" ",TRIM(C897)&amp;" ")-1),",","."))+1,9))*12/52,IF(ISNUMBER(SEARCH("month",C897)),IFERROR(_xlfn.NUMBERVALUE(SUBSTITUTE(LEFT(TRIM(C897),FIND(" ",TRIM(C897)&amp;" ")-1),",","."),"."),LEFT(SUBSTITUTE(LEFT(TRIM(C897),FIND(" ",TRIM(C897)&amp;" ")-1),",","."),FIND("/",SUBSTITUTE(LEFT(TRIM(C897),FIND(" ",TRIM(C897)&amp;" ")-1),",","."))-1)/MID(SUBSTITUTE(LEFT(TRIM(C897),FIND(" ",TRIM(C897)&amp;" ")-1),",","."),FIND("/",SUBSTITUTE(LEFT(TRIM(C897),FIND(" ",TRIM(C897)&amp;" ")-1),",","."))+1,9)),IF(ISNUMBER(SEARCH("yea",C897)),IFERROR(_xlfn.NUMBERVALUE(SUBSTITUTE(LEFT(TRIM(C897),FIND(" ",TRIM(C897)&amp;" ")-1),",","."),"."),LEFT(SUBSTITUTE(LEFT(TRIM(C897),FIND(" ",TRIM(C897)&amp;" ")-1),",","."),FIND("/",SUBSTITUTE(LEFT(TRIM(C897),FIND(" ",TRIM(C897)&amp;" ")-1),",","."))-1)/MID(SUBSTITUTE(LEFT(TRIM(C897),FIND(" ",TRIM(C897)&amp;" ")-1),",","."),FIND("/",SUBSTITUTE(LEFT(TRIM(C897),FIND(" ",TRIM(C897)&amp;" ")-1),",","."))+1,9))*12,NA()))),0),36)*'Aturan &amp; Tarif'!$B$4,2)</f>
        <v>2044.08</v>
      </c>
      <c r="K897" s="42" t="n">
        <f aca="false">'Aturan &amp; Tarif'!$B$5</f>
        <v>2050</v>
      </c>
      <c r="L897" s="42" t="n">
        <f aca="false">'Aturan &amp; Tarif'!$B$6</f>
        <v>350</v>
      </c>
      <c r="M897" s="35" t="n">
        <f aca="false">I897+J897+K897+L897</f>
        <v>19110.08</v>
      </c>
      <c r="N897" s="44" t="s">
        <v>1138</v>
      </c>
    </row>
    <row r="898" customFormat="false" ht="60" hidden="false" customHeight="true" outlineLevel="0" collapsed="false">
      <c r="A898" s="39"/>
      <c r="B898" s="40" t="s">
        <v>575</v>
      </c>
      <c r="C898" s="41" t="s">
        <v>127</v>
      </c>
      <c r="D898" s="41" t="s">
        <v>108</v>
      </c>
      <c r="E898" s="42" t="n">
        <v>8637</v>
      </c>
      <c r="F898" s="42"/>
      <c r="G898" s="42"/>
      <c r="H898" s="43" t="n">
        <v>2</v>
      </c>
      <c r="I898" s="34" t="n">
        <f aca="false">E898*H898+N(F898)+N(G898)</f>
        <v>17274</v>
      </c>
      <c r="J898" s="42" t="n">
        <f aca="false">ROUND(IFERROR(ROUND(IF(OR(ISNUMBER(SEARCH("week",C898)),ISNUMBER(SEARCH("minggu",C898))),IFERROR(_xlfn.NUMBERVALUE(SUBSTITUTE(LEFT(TRIM(C898),FIND(" ",TRIM(C898)&amp;" ")-1),",","."),"."),LEFT(SUBSTITUTE(LEFT(TRIM(C898),FIND(" ",TRIM(C898)&amp;" ")-1),",","."),FIND("/",SUBSTITUTE(LEFT(TRIM(C898),FIND(" ",TRIM(C898)&amp;" ")-1),",","."))-1)/MID(SUBSTITUTE(LEFT(TRIM(C898),FIND(" ",TRIM(C898)&amp;" ")-1),",","."),FIND("/",SUBSTITUTE(LEFT(TRIM(C898),FIND(" ",TRIM(C898)&amp;" ")-1),",","."))+1,9))*12/52,IF(ISNUMBER(SEARCH("month",C898)),IFERROR(_xlfn.NUMBERVALUE(SUBSTITUTE(LEFT(TRIM(C898),FIND(" ",TRIM(C898)&amp;" ")-1),",","."),"."),LEFT(SUBSTITUTE(LEFT(TRIM(C898),FIND(" ",TRIM(C898)&amp;" ")-1),",","."),FIND("/",SUBSTITUTE(LEFT(TRIM(C898),FIND(" ",TRIM(C898)&amp;" ")-1),",","."))-1)/MID(SUBSTITUTE(LEFT(TRIM(C898),FIND(" ",TRIM(C898)&amp;" ")-1),",","."),FIND("/",SUBSTITUTE(LEFT(TRIM(C898),FIND(" ",TRIM(C898)&amp;" ")-1),",","."))+1,9)),IF(ISNUMBER(SEARCH("yea",C898)),IFERROR(_xlfn.NUMBERVALUE(SUBSTITUTE(LEFT(TRIM(C898),FIND(" ",TRIM(C898)&amp;" ")-1),",","."),"."),LEFT(SUBSTITUTE(LEFT(TRIM(C898),FIND(" ",TRIM(C898)&amp;" ")-1),",","."),FIND("/",SUBSTITUTE(LEFT(TRIM(C898),FIND(" ",TRIM(C898)&amp;" ")-1),",","."))-1)/MID(SUBSTITUTE(LEFT(TRIM(C898),FIND(" ",TRIM(C898)&amp;" ")-1),",","."),FIND("/",SUBSTITUTE(LEFT(TRIM(C898),FIND(" ",TRIM(C898)&amp;" ")-1),",","."))+1,9))*12,NA()))),0),36)*'Aturan &amp; Tarif'!$B$4,2)</f>
        <v>2044.08</v>
      </c>
      <c r="K898" s="42" t="n">
        <f aca="false">'Aturan &amp; Tarif'!$B$5</f>
        <v>2050</v>
      </c>
      <c r="L898" s="42" t="n">
        <f aca="false">'Aturan &amp; Tarif'!$B$6</f>
        <v>350</v>
      </c>
      <c r="M898" s="35" t="n">
        <f aca="false">I898+J898+K898+L898</f>
        <v>21718.08</v>
      </c>
      <c r="N898" s="45" t="s">
        <v>1139</v>
      </c>
    </row>
    <row r="899" customFormat="false" ht="60" hidden="false" customHeight="true" outlineLevel="0" collapsed="false">
      <c r="A899" s="39"/>
      <c r="B899" s="40" t="s">
        <v>560</v>
      </c>
      <c r="C899" s="41" t="s">
        <v>344</v>
      </c>
      <c r="D899" s="41" t="s">
        <v>108</v>
      </c>
      <c r="E899" s="42" t="n">
        <v>3975</v>
      </c>
      <c r="F899" s="42"/>
      <c r="G899" s="42"/>
      <c r="H899" s="43" t="n">
        <v>2</v>
      </c>
      <c r="I899" s="34" t="n">
        <f aca="false">E899*H899+N(F899)+N(G899)</f>
        <v>7950</v>
      </c>
      <c r="J899" s="42" t="n">
        <f aca="false">ROUND(IFERROR(ROUND(IF(OR(ISNUMBER(SEARCH("week",C899)),ISNUMBER(SEARCH("minggu",C899))),IFERROR(_xlfn.NUMBERVALUE(SUBSTITUTE(LEFT(TRIM(C899),FIND(" ",TRIM(C899)&amp;" ")-1),",","."),"."),LEFT(SUBSTITUTE(LEFT(TRIM(C899),FIND(" ",TRIM(C899)&amp;" ")-1),",","."),FIND("/",SUBSTITUTE(LEFT(TRIM(C899),FIND(" ",TRIM(C899)&amp;" ")-1),",","."))-1)/MID(SUBSTITUTE(LEFT(TRIM(C899),FIND(" ",TRIM(C899)&amp;" ")-1),",","."),FIND("/",SUBSTITUTE(LEFT(TRIM(C899),FIND(" ",TRIM(C899)&amp;" ")-1),",","."))+1,9))*12/52,IF(ISNUMBER(SEARCH("month",C899)),IFERROR(_xlfn.NUMBERVALUE(SUBSTITUTE(LEFT(TRIM(C899),FIND(" ",TRIM(C899)&amp;" ")-1),",","."),"."),LEFT(SUBSTITUTE(LEFT(TRIM(C899),FIND(" ",TRIM(C899)&amp;" ")-1),",","."),FIND("/",SUBSTITUTE(LEFT(TRIM(C899),FIND(" ",TRIM(C899)&amp;" ")-1),",","."))-1)/MID(SUBSTITUTE(LEFT(TRIM(C899),FIND(" ",TRIM(C899)&amp;" ")-1),",","."),FIND("/",SUBSTITUTE(LEFT(TRIM(C899),FIND(" ",TRIM(C899)&amp;" ")-1),",","."))+1,9)),IF(ISNUMBER(SEARCH("yea",C899)),IFERROR(_xlfn.NUMBERVALUE(SUBSTITUTE(LEFT(TRIM(C899),FIND(" ",TRIM(C899)&amp;" ")-1),",","."),"."),LEFT(SUBSTITUTE(LEFT(TRIM(C899),FIND(" ",TRIM(C899)&amp;" ")-1),",","."),FIND("/",SUBSTITUTE(LEFT(TRIM(C899),FIND(" ",TRIM(C899)&amp;" ")-1),",","."))-1)/MID(SUBSTITUTE(LEFT(TRIM(C899),FIND(" ",TRIM(C899)&amp;" ")-1),",","."),FIND("/",SUBSTITUTE(LEFT(TRIM(C899),FIND(" ",TRIM(C899)&amp;" ")-1),",","."))+1,9))*12,NA()))),0),6)*'Aturan &amp; Tarif'!$B$4,2)</f>
        <v>340.68</v>
      </c>
      <c r="K899" s="42" t="n">
        <f aca="false">'Aturan &amp; Tarif'!$B$5</f>
        <v>2050</v>
      </c>
      <c r="L899" s="42" t="n">
        <f aca="false">'Aturan &amp; Tarif'!$B$6</f>
        <v>350</v>
      </c>
      <c r="M899" s="35" t="n">
        <f aca="false">I899+J899+K899+L899</f>
        <v>10690.68</v>
      </c>
      <c r="N899" s="44" t="s">
        <v>1140</v>
      </c>
    </row>
    <row r="900" customFormat="false" ht="25.5" hidden="false" customHeight="true" outlineLevel="0" collapsed="false">
      <c r="A900" s="39"/>
      <c r="B900" s="40" t="s">
        <v>559</v>
      </c>
      <c r="C900" s="41" t="s">
        <v>130</v>
      </c>
      <c r="D900" s="41" t="s">
        <v>108</v>
      </c>
      <c r="E900" s="42" t="n">
        <v>7950</v>
      </c>
      <c r="F900" s="42"/>
      <c r="G900" s="42"/>
      <c r="H900" s="43" t="n">
        <v>2</v>
      </c>
      <c r="I900" s="34" t="n">
        <f aca="false">E900*H900+N(F900)+N(G900)</f>
        <v>15900</v>
      </c>
      <c r="J900" s="42" t="n">
        <f aca="false">ROUND(IFERROR(ROUND(IF(OR(ISNUMBER(SEARCH("week",C900)),ISNUMBER(SEARCH("minggu",C900))),IFERROR(_xlfn.NUMBERVALUE(SUBSTITUTE(LEFT(TRIM(C900),FIND(" ",TRIM(C900)&amp;" ")-1),",","."),"."),LEFT(SUBSTITUTE(LEFT(TRIM(C900),FIND(" ",TRIM(C900)&amp;" ")-1),",","."),FIND("/",SUBSTITUTE(LEFT(TRIM(C900),FIND(" ",TRIM(C900)&amp;" ")-1),",","."))-1)/MID(SUBSTITUTE(LEFT(TRIM(C900),FIND(" ",TRIM(C900)&amp;" ")-1),",","."),FIND("/",SUBSTITUTE(LEFT(TRIM(C900),FIND(" ",TRIM(C900)&amp;" ")-1),",","."))+1,9))*12/52,IF(ISNUMBER(SEARCH("month",C900)),IFERROR(_xlfn.NUMBERVALUE(SUBSTITUTE(LEFT(TRIM(C900),FIND(" ",TRIM(C900)&amp;" ")-1),",","."),"."),LEFT(SUBSTITUTE(LEFT(TRIM(C900),FIND(" ",TRIM(C900)&amp;" ")-1),",","."),FIND("/",SUBSTITUTE(LEFT(TRIM(C900),FIND(" ",TRIM(C900)&amp;" ")-1),",","."))-1)/MID(SUBSTITUTE(LEFT(TRIM(C900),FIND(" ",TRIM(C900)&amp;" ")-1),",","."),FIND("/",SUBSTITUTE(LEFT(TRIM(C900),FIND(" ",TRIM(C900)&amp;" ")-1),",","."))+1,9)),IF(ISNUMBER(SEARCH("yea",C900)),IFERROR(_xlfn.NUMBERVALUE(SUBSTITUTE(LEFT(TRIM(C900),FIND(" ",TRIM(C900)&amp;" ")-1),",","."),"."),LEFT(SUBSTITUTE(LEFT(TRIM(C900),FIND(" ",TRIM(C900)&amp;" ")-1),",","."),FIND("/",SUBSTITUTE(LEFT(TRIM(C900),FIND(" ",TRIM(C900)&amp;" ")-1),",","."))-1)/MID(SUBSTITUTE(LEFT(TRIM(C900),FIND(" ",TRIM(C900)&amp;" ")-1),",","."),FIND("/",SUBSTITUTE(LEFT(TRIM(C900),FIND(" ",TRIM(C900)&amp;" ")-1),",","."))+1,9))*12,NA()))),0),12)*'Aturan &amp; Tarif'!$B$4,2)</f>
        <v>681.36</v>
      </c>
      <c r="K900" s="42" t="n">
        <f aca="false">'Aturan &amp; Tarif'!$B$5</f>
        <v>2050</v>
      </c>
      <c r="L900" s="42" t="n">
        <f aca="false">'Aturan &amp; Tarif'!$B$6</f>
        <v>350</v>
      </c>
      <c r="M900" s="35" t="n">
        <f aca="false">I900+J900+K900+L900</f>
        <v>18981.36</v>
      </c>
      <c r="N900" s="44" t="s">
        <v>1141</v>
      </c>
    </row>
    <row r="901" customFormat="false" ht="25.5" hidden="false" customHeight="true" outlineLevel="0" collapsed="false">
      <c r="A901" s="39"/>
      <c r="B901" s="40" t="s">
        <v>283</v>
      </c>
      <c r="C901" s="41" t="s">
        <v>113</v>
      </c>
      <c r="D901" s="41" t="s">
        <v>108</v>
      </c>
      <c r="E901" s="42" t="n">
        <v>7950</v>
      </c>
      <c r="F901" s="42"/>
      <c r="G901" s="42"/>
      <c r="H901" s="43" t="n">
        <v>2</v>
      </c>
      <c r="I901" s="34" t="n">
        <f aca="false">E901*H901+N(F901)+N(G901)</f>
        <v>15900</v>
      </c>
      <c r="J901" s="42" t="n">
        <f aca="false">ROUND(IFERROR(ROUND(IF(OR(ISNUMBER(SEARCH("week",C901)),ISNUMBER(SEARCH("minggu",C901))),IFERROR(_xlfn.NUMBERVALUE(SUBSTITUTE(LEFT(TRIM(C901),FIND(" ",TRIM(C901)&amp;" ")-1),",","."),"."),LEFT(SUBSTITUTE(LEFT(TRIM(C901),FIND(" ",TRIM(C901)&amp;" ")-1),",","."),FIND("/",SUBSTITUTE(LEFT(TRIM(C901),FIND(" ",TRIM(C901)&amp;" ")-1),",","."))-1)/MID(SUBSTITUTE(LEFT(TRIM(C901),FIND(" ",TRIM(C901)&amp;" ")-1),",","."),FIND("/",SUBSTITUTE(LEFT(TRIM(C901),FIND(" ",TRIM(C901)&amp;" ")-1),",","."))+1,9))*12/52,IF(ISNUMBER(SEARCH("month",C901)),IFERROR(_xlfn.NUMBERVALUE(SUBSTITUTE(LEFT(TRIM(C901),FIND(" ",TRIM(C901)&amp;" ")-1),",","."),"."),LEFT(SUBSTITUTE(LEFT(TRIM(C901),FIND(" ",TRIM(C901)&amp;" ")-1),",","."),FIND("/",SUBSTITUTE(LEFT(TRIM(C901),FIND(" ",TRIM(C901)&amp;" ")-1),",","."))-1)/MID(SUBSTITUTE(LEFT(TRIM(C901),FIND(" ",TRIM(C901)&amp;" ")-1),",","."),FIND("/",SUBSTITUTE(LEFT(TRIM(C901),FIND(" ",TRIM(C901)&amp;" ")-1),",","."))+1,9)),IF(ISNUMBER(SEARCH("yea",C901)),IFERROR(_xlfn.NUMBERVALUE(SUBSTITUTE(LEFT(TRIM(C901),FIND(" ",TRIM(C901)&amp;" ")-1),",","."),"."),LEFT(SUBSTITUTE(LEFT(TRIM(C901),FIND(" ",TRIM(C901)&amp;" ")-1),",","."),FIND("/",SUBSTITUTE(LEFT(TRIM(C901),FIND(" ",TRIM(C901)&amp;" ")-1),",","."))-1)/MID(SUBSTITUTE(LEFT(TRIM(C901),FIND(" ",TRIM(C901)&amp;" ")-1),",","."),FIND("/",SUBSTITUTE(LEFT(TRIM(C901),FIND(" ",TRIM(C901)&amp;" ")-1),",","."))+1,9))*12,NA()))),0),18)*'Aturan &amp; Tarif'!$B$4,2)</f>
        <v>1022.04</v>
      </c>
      <c r="K901" s="42" t="n">
        <f aca="false">'Aturan &amp; Tarif'!$B$5</f>
        <v>2050</v>
      </c>
      <c r="L901" s="42" t="n">
        <f aca="false">'Aturan &amp; Tarif'!$B$6</f>
        <v>350</v>
      </c>
      <c r="M901" s="35" t="n">
        <f aca="false">I901+J901+K901+L901</f>
        <v>19322.04</v>
      </c>
      <c r="N901" s="44" t="s">
        <v>1142</v>
      </c>
    </row>
    <row r="902" customFormat="false" ht="25.5" hidden="false" customHeight="true" outlineLevel="0" collapsed="false">
      <c r="A902" s="39"/>
      <c r="B902" s="40" t="s">
        <v>1143</v>
      </c>
      <c r="C902" s="41" t="s">
        <v>107</v>
      </c>
      <c r="D902" s="41" t="s">
        <v>108</v>
      </c>
      <c r="E902" s="42" t="n">
        <v>7950</v>
      </c>
      <c r="F902" s="42"/>
      <c r="G902" s="42"/>
      <c r="H902" s="43" t="n">
        <v>2</v>
      </c>
      <c r="I902" s="34" t="n">
        <f aca="false">E902*H902+N(F902)+N(G902)</f>
        <v>15900</v>
      </c>
      <c r="J902" s="42" t="n">
        <f aca="false">ROUND(IFERROR(ROUND(IF(OR(ISNUMBER(SEARCH("week",C902)),ISNUMBER(SEARCH("minggu",C902))),IFERROR(_xlfn.NUMBERVALUE(SUBSTITUTE(LEFT(TRIM(C902),FIND(" ",TRIM(C902)&amp;" ")-1),",","."),"."),LEFT(SUBSTITUTE(LEFT(TRIM(C902),FIND(" ",TRIM(C902)&amp;" ")-1),",","."),FIND("/",SUBSTITUTE(LEFT(TRIM(C902),FIND(" ",TRIM(C902)&amp;" ")-1),",","."))-1)/MID(SUBSTITUTE(LEFT(TRIM(C902),FIND(" ",TRIM(C902)&amp;" ")-1),",","."),FIND("/",SUBSTITUTE(LEFT(TRIM(C902),FIND(" ",TRIM(C902)&amp;" ")-1),",","."))+1,9))*12/52,IF(ISNUMBER(SEARCH("month",C902)),IFERROR(_xlfn.NUMBERVALUE(SUBSTITUTE(LEFT(TRIM(C902),FIND(" ",TRIM(C902)&amp;" ")-1),",","."),"."),LEFT(SUBSTITUTE(LEFT(TRIM(C902),FIND(" ",TRIM(C902)&amp;" ")-1),",","."),FIND("/",SUBSTITUTE(LEFT(TRIM(C902),FIND(" ",TRIM(C902)&amp;" ")-1),",","."))-1)/MID(SUBSTITUTE(LEFT(TRIM(C902),FIND(" ",TRIM(C902)&amp;" ")-1),",","."),FIND("/",SUBSTITUTE(LEFT(TRIM(C902),FIND(" ",TRIM(C902)&amp;" ")-1),",","."))+1,9)),IF(ISNUMBER(SEARCH("yea",C902)),IFERROR(_xlfn.NUMBERVALUE(SUBSTITUTE(LEFT(TRIM(C902),FIND(" ",TRIM(C902)&amp;" ")-1),",","."),"."),LEFT(SUBSTITUTE(LEFT(TRIM(C902),FIND(" ",TRIM(C902)&amp;" ")-1),",","."),FIND("/",SUBSTITUTE(LEFT(TRIM(C902),FIND(" ",TRIM(C902)&amp;" ")-1),",","."))-1)/MID(SUBSTITUTE(LEFT(TRIM(C902),FIND(" ",TRIM(C902)&amp;" ")-1),",","."),FIND("/",SUBSTITUTE(LEFT(TRIM(C902),FIND(" ",TRIM(C902)&amp;" ")-1),",","."))+1,9))*12,NA()))),0),24)*'Aturan &amp; Tarif'!$B$4,2)</f>
        <v>1362.72</v>
      </c>
      <c r="K902" s="42" t="n">
        <f aca="false">'Aturan &amp; Tarif'!$B$5</f>
        <v>2050</v>
      </c>
      <c r="L902" s="42" t="n">
        <f aca="false">'Aturan &amp; Tarif'!$B$6</f>
        <v>350</v>
      </c>
      <c r="M902" s="35" t="n">
        <f aca="false">I902+J902+K902+L902</f>
        <v>19662.72</v>
      </c>
      <c r="N902" s="44" t="s">
        <v>1144</v>
      </c>
    </row>
    <row r="903" customFormat="false" ht="60" hidden="false" customHeight="true" outlineLevel="0" collapsed="false">
      <c r="A903" s="39"/>
      <c r="B903" s="40" t="s">
        <v>1057</v>
      </c>
      <c r="C903" s="41" t="s">
        <v>107</v>
      </c>
      <c r="D903" s="41" t="s">
        <v>108</v>
      </c>
      <c r="E903" s="42" t="n">
        <v>7950</v>
      </c>
      <c r="F903" s="42"/>
      <c r="G903" s="42"/>
      <c r="H903" s="43" t="n">
        <v>2</v>
      </c>
      <c r="I903" s="34" t="n">
        <f aca="false">E903*H903+N(F903)+N(G903)</f>
        <v>15900</v>
      </c>
      <c r="J903" s="42" t="n">
        <f aca="false">ROUND(IFERROR(ROUND(IF(OR(ISNUMBER(SEARCH("week",C903)),ISNUMBER(SEARCH("minggu",C903))),IFERROR(_xlfn.NUMBERVALUE(SUBSTITUTE(LEFT(TRIM(C903),FIND(" ",TRIM(C903)&amp;" ")-1),",","."),"."),LEFT(SUBSTITUTE(LEFT(TRIM(C903),FIND(" ",TRIM(C903)&amp;" ")-1),",","."),FIND("/",SUBSTITUTE(LEFT(TRIM(C903),FIND(" ",TRIM(C903)&amp;" ")-1),",","."))-1)/MID(SUBSTITUTE(LEFT(TRIM(C903),FIND(" ",TRIM(C903)&amp;" ")-1),",","."),FIND("/",SUBSTITUTE(LEFT(TRIM(C903),FIND(" ",TRIM(C903)&amp;" ")-1),",","."))+1,9))*12/52,IF(ISNUMBER(SEARCH("month",C903)),IFERROR(_xlfn.NUMBERVALUE(SUBSTITUTE(LEFT(TRIM(C903),FIND(" ",TRIM(C903)&amp;" ")-1),",","."),"."),LEFT(SUBSTITUTE(LEFT(TRIM(C903),FIND(" ",TRIM(C903)&amp;" ")-1),",","."),FIND("/",SUBSTITUTE(LEFT(TRIM(C903),FIND(" ",TRIM(C903)&amp;" ")-1),",","."))-1)/MID(SUBSTITUTE(LEFT(TRIM(C903),FIND(" ",TRIM(C903)&amp;" ")-1),",","."),FIND("/",SUBSTITUTE(LEFT(TRIM(C903),FIND(" ",TRIM(C903)&amp;" ")-1),",","."))+1,9)),IF(ISNUMBER(SEARCH("yea",C903)),IFERROR(_xlfn.NUMBERVALUE(SUBSTITUTE(LEFT(TRIM(C903),FIND(" ",TRIM(C903)&amp;" ")-1),",","."),"."),LEFT(SUBSTITUTE(LEFT(TRIM(C903),FIND(" ",TRIM(C903)&amp;" ")-1),",","."),FIND("/",SUBSTITUTE(LEFT(TRIM(C903),FIND(" ",TRIM(C903)&amp;" ")-1),",","."))-1)/MID(SUBSTITUTE(LEFT(TRIM(C903),FIND(" ",TRIM(C903)&amp;" ")-1),",","."),FIND("/",SUBSTITUTE(LEFT(TRIM(C903),FIND(" ",TRIM(C903)&amp;" ")-1),",","."))+1,9))*12,NA()))),0),24)*'Aturan &amp; Tarif'!$B$4,2)</f>
        <v>1362.72</v>
      </c>
      <c r="K903" s="42" t="n">
        <f aca="false">'Aturan &amp; Tarif'!$B$5</f>
        <v>2050</v>
      </c>
      <c r="L903" s="42" t="n">
        <f aca="false">'Aturan &amp; Tarif'!$B$6</f>
        <v>350</v>
      </c>
      <c r="M903" s="35" t="n">
        <f aca="false">I903+J903+K903+L903</f>
        <v>19662.72</v>
      </c>
      <c r="N903" s="44" t="s">
        <v>1058</v>
      </c>
    </row>
    <row r="904" customFormat="false" ht="60" hidden="false" customHeight="true" outlineLevel="0" collapsed="false">
      <c r="A904" s="39"/>
      <c r="B904" s="40" t="s">
        <v>1077</v>
      </c>
      <c r="C904" s="41" t="s">
        <v>107</v>
      </c>
      <c r="D904" s="41" t="s">
        <v>108</v>
      </c>
      <c r="E904" s="42" t="n">
        <v>7950</v>
      </c>
      <c r="F904" s="42"/>
      <c r="G904" s="42"/>
      <c r="H904" s="43" t="n">
        <v>2</v>
      </c>
      <c r="I904" s="34" t="n">
        <f aca="false">E904*H904+N(F904)+N(G904)</f>
        <v>15900</v>
      </c>
      <c r="J904" s="42" t="n">
        <f aca="false">ROUND(IFERROR(ROUND(IF(OR(ISNUMBER(SEARCH("week",C904)),ISNUMBER(SEARCH("minggu",C904))),IFERROR(_xlfn.NUMBERVALUE(SUBSTITUTE(LEFT(TRIM(C904),FIND(" ",TRIM(C904)&amp;" ")-1),",","."),"."),LEFT(SUBSTITUTE(LEFT(TRIM(C904),FIND(" ",TRIM(C904)&amp;" ")-1),",","."),FIND("/",SUBSTITUTE(LEFT(TRIM(C904),FIND(" ",TRIM(C904)&amp;" ")-1),",","."))-1)/MID(SUBSTITUTE(LEFT(TRIM(C904),FIND(" ",TRIM(C904)&amp;" ")-1),",","."),FIND("/",SUBSTITUTE(LEFT(TRIM(C904),FIND(" ",TRIM(C904)&amp;" ")-1),",","."))+1,9))*12/52,IF(ISNUMBER(SEARCH("month",C904)),IFERROR(_xlfn.NUMBERVALUE(SUBSTITUTE(LEFT(TRIM(C904),FIND(" ",TRIM(C904)&amp;" ")-1),",","."),"."),LEFT(SUBSTITUTE(LEFT(TRIM(C904),FIND(" ",TRIM(C904)&amp;" ")-1),",","."),FIND("/",SUBSTITUTE(LEFT(TRIM(C904),FIND(" ",TRIM(C904)&amp;" ")-1),",","."))-1)/MID(SUBSTITUTE(LEFT(TRIM(C904),FIND(" ",TRIM(C904)&amp;" ")-1),",","."),FIND("/",SUBSTITUTE(LEFT(TRIM(C904),FIND(" ",TRIM(C904)&amp;" ")-1),",","."))+1,9)),IF(ISNUMBER(SEARCH("yea",C904)),IFERROR(_xlfn.NUMBERVALUE(SUBSTITUTE(LEFT(TRIM(C904),FIND(" ",TRIM(C904)&amp;" ")-1),",","."),"."),LEFT(SUBSTITUTE(LEFT(TRIM(C904),FIND(" ",TRIM(C904)&amp;" ")-1),",","."),FIND("/",SUBSTITUTE(LEFT(TRIM(C904),FIND(" ",TRIM(C904)&amp;" ")-1),",","."))-1)/MID(SUBSTITUTE(LEFT(TRIM(C904),FIND(" ",TRIM(C904)&amp;" ")-1),",","."),FIND("/",SUBSTITUTE(LEFT(TRIM(C904),FIND(" ",TRIM(C904)&amp;" ")-1),",","."))+1,9))*12,NA()))),0),24)*'Aturan &amp; Tarif'!$B$4,2)</f>
        <v>1362.72</v>
      </c>
      <c r="K904" s="42" t="n">
        <f aca="false">'Aturan &amp; Tarif'!$B$5</f>
        <v>2050</v>
      </c>
      <c r="L904" s="42" t="n">
        <f aca="false">'Aturan &amp; Tarif'!$B$6</f>
        <v>350</v>
      </c>
      <c r="M904" s="35" t="n">
        <f aca="false">I904+J904+K904+L904</f>
        <v>19662.72</v>
      </c>
      <c r="N904" s="44" t="s">
        <v>1036</v>
      </c>
    </row>
    <row r="905" customFormat="false" ht="25.5" hidden="false" customHeight="true" outlineLevel="0" collapsed="false">
      <c r="A905" s="39"/>
      <c r="B905" s="40" t="s">
        <v>1145</v>
      </c>
      <c r="C905" s="41" t="s">
        <v>113</v>
      </c>
      <c r="D905" s="41" t="s">
        <v>108</v>
      </c>
      <c r="E905" s="42" t="n">
        <v>6563</v>
      </c>
      <c r="F905" s="42"/>
      <c r="G905" s="42"/>
      <c r="H905" s="43" t="n">
        <v>2</v>
      </c>
      <c r="I905" s="34" t="n">
        <f aca="false">E905*H905+N(F905)+N(G905)</f>
        <v>13126</v>
      </c>
      <c r="J905" s="42" t="n">
        <f aca="false">ROUND(IFERROR(ROUND(IF(OR(ISNUMBER(SEARCH("week",C905)),ISNUMBER(SEARCH("minggu",C905))),IFERROR(_xlfn.NUMBERVALUE(SUBSTITUTE(LEFT(TRIM(C905),FIND(" ",TRIM(C905)&amp;" ")-1),",","."),"."),LEFT(SUBSTITUTE(LEFT(TRIM(C905),FIND(" ",TRIM(C905)&amp;" ")-1),",","."),FIND("/",SUBSTITUTE(LEFT(TRIM(C905),FIND(" ",TRIM(C905)&amp;" ")-1),",","."))-1)/MID(SUBSTITUTE(LEFT(TRIM(C905),FIND(" ",TRIM(C905)&amp;" ")-1),",","."),FIND("/",SUBSTITUTE(LEFT(TRIM(C905),FIND(" ",TRIM(C905)&amp;" ")-1),",","."))+1,9))*12/52,IF(ISNUMBER(SEARCH("month",C905)),IFERROR(_xlfn.NUMBERVALUE(SUBSTITUTE(LEFT(TRIM(C905),FIND(" ",TRIM(C905)&amp;" ")-1),",","."),"."),LEFT(SUBSTITUTE(LEFT(TRIM(C905),FIND(" ",TRIM(C905)&amp;" ")-1),",","."),FIND("/",SUBSTITUTE(LEFT(TRIM(C905),FIND(" ",TRIM(C905)&amp;" ")-1),",","."))-1)/MID(SUBSTITUTE(LEFT(TRIM(C905),FIND(" ",TRIM(C905)&amp;" ")-1),",","."),FIND("/",SUBSTITUTE(LEFT(TRIM(C905),FIND(" ",TRIM(C905)&amp;" ")-1),",","."))+1,9)),IF(ISNUMBER(SEARCH("yea",C905)),IFERROR(_xlfn.NUMBERVALUE(SUBSTITUTE(LEFT(TRIM(C905),FIND(" ",TRIM(C905)&amp;" ")-1),",","."),"."),LEFT(SUBSTITUTE(LEFT(TRIM(C905),FIND(" ",TRIM(C905)&amp;" ")-1),",","."),FIND("/",SUBSTITUTE(LEFT(TRIM(C905),FIND(" ",TRIM(C905)&amp;" ")-1),",","."))-1)/MID(SUBSTITUTE(LEFT(TRIM(C905),FIND(" ",TRIM(C905)&amp;" ")-1),",","."),FIND("/",SUBSTITUTE(LEFT(TRIM(C905),FIND(" ",TRIM(C905)&amp;" ")-1),",","."))+1,9))*12,NA()))),0),18)*'Aturan &amp; Tarif'!$B$4,2)</f>
        <v>1022.04</v>
      </c>
      <c r="K905" s="42" t="n">
        <f aca="false">'Aturan &amp; Tarif'!$B$5</f>
        <v>2050</v>
      </c>
      <c r="L905" s="42" t="n">
        <f aca="false">'Aturan &amp; Tarif'!$B$6</f>
        <v>350</v>
      </c>
      <c r="M905" s="35" t="n">
        <f aca="false">I905+J905+K905+L905</f>
        <v>16548.04</v>
      </c>
      <c r="N905" s="44" t="s">
        <v>1146</v>
      </c>
    </row>
    <row r="906" customFormat="false" ht="25.5" hidden="false" customHeight="true" outlineLevel="0" collapsed="false">
      <c r="A906" s="39"/>
      <c r="B906" s="40" t="s">
        <v>2509</v>
      </c>
      <c r="C906" s="41" t="s">
        <v>130</v>
      </c>
      <c r="D906" s="41" t="s">
        <v>108</v>
      </c>
      <c r="E906" s="42" t="n">
        <v>7900</v>
      </c>
      <c r="F906" s="42"/>
      <c r="G906" s="42"/>
      <c r="H906" s="43" t="n">
        <v>2</v>
      </c>
      <c r="I906" s="34" t="n">
        <f aca="false">E906*H906+N(F906)+N(G906)</f>
        <v>15800</v>
      </c>
      <c r="J906" s="42" t="n">
        <f aca="false">ROUND(IFERROR(ROUND(IF(OR(ISNUMBER(SEARCH("week",C906)),ISNUMBER(SEARCH("minggu",C906))),IFERROR(_xlfn.NUMBERVALUE(SUBSTITUTE(LEFT(TRIM(C906),FIND(" ",TRIM(C906)&amp;" ")-1),",","."),"."),LEFT(SUBSTITUTE(LEFT(TRIM(C906),FIND(" ",TRIM(C906)&amp;" ")-1),",","."),FIND("/",SUBSTITUTE(LEFT(TRIM(C906),FIND(" ",TRIM(C906)&amp;" ")-1),",","."))-1)/MID(SUBSTITUTE(LEFT(TRIM(C906),FIND(" ",TRIM(C906)&amp;" ")-1),",","."),FIND("/",SUBSTITUTE(LEFT(TRIM(C906),FIND(" ",TRIM(C906)&amp;" ")-1),",","."))+1,9))*12/52,IF(ISNUMBER(SEARCH("month",C906)),IFERROR(_xlfn.NUMBERVALUE(SUBSTITUTE(LEFT(TRIM(C906),FIND(" ",TRIM(C906)&amp;" ")-1),",","."),"."),LEFT(SUBSTITUTE(LEFT(TRIM(C906),FIND(" ",TRIM(C906)&amp;" ")-1),",","."),FIND("/",SUBSTITUTE(LEFT(TRIM(C906),FIND(" ",TRIM(C906)&amp;" ")-1),",","."))-1)/MID(SUBSTITUTE(LEFT(TRIM(C906),FIND(" ",TRIM(C906)&amp;" ")-1),",","."),FIND("/",SUBSTITUTE(LEFT(TRIM(C906),FIND(" ",TRIM(C906)&amp;" ")-1),",","."))+1,9)),IF(ISNUMBER(SEARCH("yea",C906)),IFERROR(_xlfn.NUMBERVALUE(SUBSTITUTE(LEFT(TRIM(C906),FIND(" ",TRIM(C906)&amp;" ")-1),",","."),"."),LEFT(SUBSTITUTE(LEFT(TRIM(C906),FIND(" ",TRIM(C906)&amp;" ")-1),",","."),FIND("/",SUBSTITUTE(LEFT(TRIM(C906),FIND(" ",TRIM(C906)&amp;" ")-1),",","."))-1)/MID(SUBSTITUTE(LEFT(TRIM(C906),FIND(" ",TRIM(C906)&amp;" ")-1),",","."),FIND("/",SUBSTITUTE(LEFT(TRIM(C906),FIND(" ",TRIM(C906)&amp;" ")-1),",","."))+1,9))*12,NA()))),0),12)*'Aturan &amp; Tarif'!$B$4,2)</f>
        <v>681.36</v>
      </c>
      <c r="K906" s="42" t="n">
        <f aca="false">'Aturan &amp; Tarif'!$B$5</f>
        <v>2050</v>
      </c>
      <c r="L906" s="42" t="n">
        <f aca="false">'Aturan &amp; Tarif'!$B$6</f>
        <v>350</v>
      </c>
      <c r="M906" s="35" t="n">
        <f aca="false">I906+J906+K906+L906</f>
        <v>18881.36</v>
      </c>
      <c r="N906" s="44" t="s">
        <v>2510</v>
      </c>
    </row>
    <row r="907" customFormat="false" ht="60" hidden="false" customHeight="true" outlineLevel="0" collapsed="false">
      <c r="A907" s="39"/>
      <c r="B907" s="40" t="s">
        <v>1147</v>
      </c>
      <c r="C907" s="41" t="s">
        <v>127</v>
      </c>
      <c r="D907" s="41" t="s">
        <v>108</v>
      </c>
      <c r="E907" s="42" t="n">
        <v>7900</v>
      </c>
      <c r="F907" s="42"/>
      <c r="G907" s="42"/>
      <c r="H907" s="43" t="n">
        <v>2</v>
      </c>
      <c r="I907" s="34" t="n">
        <f aca="false">E907*H907+N(F907)+N(G907)</f>
        <v>15800</v>
      </c>
      <c r="J907" s="42" t="n">
        <f aca="false">ROUND(IFERROR(ROUND(IF(OR(ISNUMBER(SEARCH("week",C907)),ISNUMBER(SEARCH("minggu",C907))),IFERROR(_xlfn.NUMBERVALUE(SUBSTITUTE(LEFT(TRIM(C907),FIND(" ",TRIM(C907)&amp;" ")-1),",","."),"."),LEFT(SUBSTITUTE(LEFT(TRIM(C907),FIND(" ",TRIM(C907)&amp;" ")-1),",","."),FIND("/",SUBSTITUTE(LEFT(TRIM(C907),FIND(" ",TRIM(C907)&amp;" ")-1),",","."))-1)/MID(SUBSTITUTE(LEFT(TRIM(C907),FIND(" ",TRIM(C907)&amp;" ")-1),",","."),FIND("/",SUBSTITUTE(LEFT(TRIM(C907),FIND(" ",TRIM(C907)&amp;" ")-1),",","."))+1,9))*12/52,IF(ISNUMBER(SEARCH("month",C907)),IFERROR(_xlfn.NUMBERVALUE(SUBSTITUTE(LEFT(TRIM(C907),FIND(" ",TRIM(C907)&amp;" ")-1),",","."),"."),LEFT(SUBSTITUTE(LEFT(TRIM(C907),FIND(" ",TRIM(C907)&amp;" ")-1),",","."),FIND("/",SUBSTITUTE(LEFT(TRIM(C907),FIND(" ",TRIM(C907)&amp;" ")-1),",","."))-1)/MID(SUBSTITUTE(LEFT(TRIM(C907),FIND(" ",TRIM(C907)&amp;" ")-1),",","."),FIND("/",SUBSTITUTE(LEFT(TRIM(C907),FIND(" ",TRIM(C907)&amp;" ")-1),",","."))+1,9)),IF(ISNUMBER(SEARCH("yea",C907)),IFERROR(_xlfn.NUMBERVALUE(SUBSTITUTE(LEFT(TRIM(C907),FIND(" ",TRIM(C907)&amp;" ")-1),",","."),"."),LEFT(SUBSTITUTE(LEFT(TRIM(C907),FIND(" ",TRIM(C907)&amp;" ")-1),",","."),FIND("/",SUBSTITUTE(LEFT(TRIM(C907),FIND(" ",TRIM(C907)&amp;" ")-1),",","."))-1)/MID(SUBSTITUTE(LEFT(TRIM(C907),FIND(" ",TRIM(C907)&amp;" ")-1),",","."),FIND("/",SUBSTITUTE(LEFT(TRIM(C907),FIND(" ",TRIM(C907)&amp;" ")-1),",","."))+1,9))*12,NA()))),0),36)*'Aturan &amp; Tarif'!$B$4,2)</f>
        <v>2044.08</v>
      </c>
      <c r="K907" s="42" t="n">
        <f aca="false">'Aturan &amp; Tarif'!$B$5</f>
        <v>2050</v>
      </c>
      <c r="L907" s="42" t="n">
        <f aca="false">'Aturan &amp; Tarif'!$B$6</f>
        <v>350</v>
      </c>
      <c r="M907" s="35" t="n">
        <f aca="false">I907+J907+K907+L907</f>
        <v>20244.08</v>
      </c>
      <c r="N907" s="44" t="s">
        <v>2511</v>
      </c>
    </row>
    <row r="908" customFormat="false" ht="60" hidden="false" customHeight="true" outlineLevel="0" collapsed="false">
      <c r="A908" s="39"/>
      <c r="B908" s="40" t="s">
        <v>1040</v>
      </c>
      <c r="C908" s="41" t="s">
        <v>127</v>
      </c>
      <c r="D908" s="41" t="s">
        <v>108</v>
      </c>
      <c r="E908" s="42" t="n">
        <v>7900</v>
      </c>
      <c r="F908" s="42"/>
      <c r="G908" s="42"/>
      <c r="H908" s="43" t="n">
        <v>2</v>
      </c>
      <c r="I908" s="34" t="n">
        <f aca="false">E908*H908+N(F908)+N(G908)</f>
        <v>15800</v>
      </c>
      <c r="J908" s="42" t="n">
        <f aca="false">ROUND(IFERROR(ROUND(IF(OR(ISNUMBER(SEARCH("week",C908)),ISNUMBER(SEARCH("minggu",C908))),IFERROR(_xlfn.NUMBERVALUE(SUBSTITUTE(LEFT(TRIM(C908),FIND(" ",TRIM(C908)&amp;" ")-1),",","."),"."),LEFT(SUBSTITUTE(LEFT(TRIM(C908),FIND(" ",TRIM(C908)&amp;" ")-1),",","."),FIND("/",SUBSTITUTE(LEFT(TRIM(C908),FIND(" ",TRIM(C908)&amp;" ")-1),",","."))-1)/MID(SUBSTITUTE(LEFT(TRIM(C908),FIND(" ",TRIM(C908)&amp;" ")-1),",","."),FIND("/",SUBSTITUTE(LEFT(TRIM(C908),FIND(" ",TRIM(C908)&amp;" ")-1),",","."))+1,9))*12/52,IF(ISNUMBER(SEARCH("month",C908)),IFERROR(_xlfn.NUMBERVALUE(SUBSTITUTE(LEFT(TRIM(C908),FIND(" ",TRIM(C908)&amp;" ")-1),",","."),"."),LEFT(SUBSTITUTE(LEFT(TRIM(C908),FIND(" ",TRIM(C908)&amp;" ")-1),",","."),FIND("/",SUBSTITUTE(LEFT(TRIM(C908),FIND(" ",TRIM(C908)&amp;" ")-1),",","."))-1)/MID(SUBSTITUTE(LEFT(TRIM(C908),FIND(" ",TRIM(C908)&amp;" ")-1),",","."),FIND("/",SUBSTITUTE(LEFT(TRIM(C908),FIND(" ",TRIM(C908)&amp;" ")-1),",","."))+1,9)),IF(ISNUMBER(SEARCH("yea",C908)),IFERROR(_xlfn.NUMBERVALUE(SUBSTITUTE(LEFT(TRIM(C908),FIND(" ",TRIM(C908)&amp;" ")-1),",","."),"."),LEFT(SUBSTITUTE(LEFT(TRIM(C908),FIND(" ",TRIM(C908)&amp;" ")-1),",","."),FIND("/",SUBSTITUTE(LEFT(TRIM(C908),FIND(" ",TRIM(C908)&amp;" ")-1),",","."))-1)/MID(SUBSTITUTE(LEFT(TRIM(C908),FIND(" ",TRIM(C908)&amp;" ")-1),",","."),FIND("/",SUBSTITUTE(LEFT(TRIM(C908),FIND(" ",TRIM(C908)&amp;" ")-1),",","."))+1,9))*12,NA()))),0),36)*'Aturan &amp; Tarif'!$B$4,2)</f>
        <v>2044.08</v>
      </c>
      <c r="K908" s="42" t="n">
        <f aca="false">'Aturan &amp; Tarif'!$B$5</f>
        <v>2050</v>
      </c>
      <c r="L908" s="42" t="n">
        <f aca="false">'Aturan &amp; Tarif'!$B$6</f>
        <v>350</v>
      </c>
      <c r="M908" s="35" t="n">
        <f aca="false">I908+J908+K908+L908</f>
        <v>20244.08</v>
      </c>
      <c r="N908" s="44" t="s">
        <v>1041</v>
      </c>
    </row>
    <row r="909" customFormat="false" ht="60" hidden="false" customHeight="true" outlineLevel="0" collapsed="false">
      <c r="A909" s="39"/>
      <c r="B909" s="40" t="s">
        <v>1149</v>
      </c>
      <c r="C909" s="41" t="s">
        <v>130</v>
      </c>
      <c r="D909" s="41" t="s">
        <v>108</v>
      </c>
      <c r="E909" s="42" t="n">
        <v>9372</v>
      </c>
      <c r="F909" s="42"/>
      <c r="G909" s="42"/>
      <c r="H909" s="43" t="n">
        <v>2</v>
      </c>
      <c r="I909" s="34" t="n">
        <f aca="false">E909*H909+N(F909)+N(G909)</f>
        <v>18744</v>
      </c>
      <c r="J909" s="42" t="n">
        <f aca="false">ROUND(IFERROR(ROUND(IF(OR(ISNUMBER(SEARCH("week",C909)),ISNUMBER(SEARCH("minggu",C909))),IFERROR(_xlfn.NUMBERVALUE(SUBSTITUTE(LEFT(TRIM(C909),FIND(" ",TRIM(C909)&amp;" ")-1),",","."),"."),LEFT(SUBSTITUTE(LEFT(TRIM(C909),FIND(" ",TRIM(C909)&amp;" ")-1),",","."),FIND("/",SUBSTITUTE(LEFT(TRIM(C909),FIND(" ",TRIM(C909)&amp;" ")-1),",","."))-1)/MID(SUBSTITUTE(LEFT(TRIM(C909),FIND(" ",TRIM(C909)&amp;" ")-1),",","."),FIND("/",SUBSTITUTE(LEFT(TRIM(C909),FIND(" ",TRIM(C909)&amp;" ")-1),",","."))+1,9))*12/52,IF(ISNUMBER(SEARCH("month",C909)),IFERROR(_xlfn.NUMBERVALUE(SUBSTITUTE(LEFT(TRIM(C909),FIND(" ",TRIM(C909)&amp;" ")-1),",","."),"."),LEFT(SUBSTITUTE(LEFT(TRIM(C909),FIND(" ",TRIM(C909)&amp;" ")-1),",","."),FIND("/",SUBSTITUTE(LEFT(TRIM(C909),FIND(" ",TRIM(C909)&amp;" ")-1),",","."))-1)/MID(SUBSTITUTE(LEFT(TRIM(C909),FIND(" ",TRIM(C909)&amp;" ")-1),",","."),FIND("/",SUBSTITUTE(LEFT(TRIM(C909),FIND(" ",TRIM(C909)&amp;" ")-1),",","."))+1,9)),IF(ISNUMBER(SEARCH("yea",C909)),IFERROR(_xlfn.NUMBERVALUE(SUBSTITUTE(LEFT(TRIM(C909),FIND(" ",TRIM(C909)&amp;" ")-1),",","."),"."),LEFT(SUBSTITUTE(LEFT(TRIM(C909),FIND(" ",TRIM(C909)&amp;" ")-1),",","."),FIND("/",SUBSTITUTE(LEFT(TRIM(C909),FIND(" ",TRIM(C909)&amp;" ")-1),",","."))-1)/MID(SUBSTITUTE(LEFT(TRIM(C909),FIND(" ",TRIM(C909)&amp;" ")-1),",","."),FIND("/",SUBSTITUTE(LEFT(TRIM(C909),FIND(" ",TRIM(C909)&amp;" ")-1),",","."))+1,9))*12,NA()))),0),12)*'Aturan &amp; Tarif'!$B$4,2)</f>
        <v>681.36</v>
      </c>
      <c r="K909" s="42" t="n">
        <f aca="false">'Aturan &amp; Tarif'!$B$5</f>
        <v>2050</v>
      </c>
      <c r="L909" s="42" t="n">
        <f aca="false">'Aturan &amp; Tarif'!$B$6</f>
        <v>350</v>
      </c>
      <c r="M909" s="35" t="n">
        <f aca="false">I909+J909+K909+L909</f>
        <v>21825.36</v>
      </c>
      <c r="N909" s="45" t="s">
        <v>2512</v>
      </c>
    </row>
    <row r="910" customFormat="false" ht="60" hidden="false" customHeight="true" outlineLevel="0" collapsed="false">
      <c r="A910" s="39"/>
      <c r="B910" s="40" t="s">
        <v>2513</v>
      </c>
      <c r="C910" s="41" t="s">
        <v>107</v>
      </c>
      <c r="D910" s="41" t="s">
        <v>108</v>
      </c>
      <c r="E910" s="42" t="n">
        <v>9372</v>
      </c>
      <c r="F910" s="42"/>
      <c r="G910" s="42"/>
      <c r="H910" s="43" t="n">
        <v>2</v>
      </c>
      <c r="I910" s="34" t="n">
        <f aca="false">E910*H910+N(F910)+N(G910)</f>
        <v>18744</v>
      </c>
      <c r="J910" s="42" t="n">
        <f aca="false">ROUND(IFERROR(ROUND(IF(OR(ISNUMBER(SEARCH("week",C910)),ISNUMBER(SEARCH("minggu",C910))),IFERROR(_xlfn.NUMBERVALUE(SUBSTITUTE(LEFT(TRIM(C910),FIND(" ",TRIM(C910)&amp;" ")-1),",","."),"."),LEFT(SUBSTITUTE(LEFT(TRIM(C910),FIND(" ",TRIM(C910)&amp;" ")-1),",","."),FIND("/",SUBSTITUTE(LEFT(TRIM(C910),FIND(" ",TRIM(C910)&amp;" ")-1),",","."))-1)/MID(SUBSTITUTE(LEFT(TRIM(C910),FIND(" ",TRIM(C910)&amp;" ")-1),",","."),FIND("/",SUBSTITUTE(LEFT(TRIM(C910),FIND(" ",TRIM(C910)&amp;" ")-1),",","."))+1,9))*12/52,IF(ISNUMBER(SEARCH("month",C910)),IFERROR(_xlfn.NUMBERVALUE(SUBSTITUTE(LEFT(TRIM(C910),FIND(" ",TRIM(C910)&amp;" ")-1),",","."),"."),LEFT(SUBSTITUTE(LEFT(TRIM(C910),FIND(" ",TRIM(C910)&amp;" ")-1),",","."),FIND("/",SUBSTITUTE(LEFT(TRIM(C910),FIND(" ",TRIM(C910)&amp;" ")-1),",","."))-1)/MID(SUBSTITUTE(LEFT(TRIM(C910),FIND(" ",TRIM(C910)&amp;" ")-1),",","."),FIND("/",SUBSTITUTE(LEFT(TRIM(C910),FIND(" ",TRIM(C910)&amp;" ")-1),",","."))+1,9)),IF(ISNUMBER(SEARCH("yea",C910)),IFERROR(_xlfn.NUMBERVALUE(SUBSTITUTE(LEFT(TRIM(C910),FIND(" ",TRIM(C910)&amp;" ")-1),",","."),"."),LEFT(SUBSTITUTE(LEFT(TRIM(C910),FIND(" ",TRIM(C910)&amp;" ")-1),",","."),FIND("/",SUBSTITUTE(LEFT(TRIM(C910),FIND(" ",TRIM(C910)&amp;" ")-1),",","."))-1)/MID(SUBSTITUTE(LEFT(TRIM(C910),FIND(" ",TRIM(C910)&amp;" ")-1),",","."),FIND("/",SUBSTITUTE(LEFT(TRIM(C910),FIND(" ",TRIM(C910)&amp;" ")-1),",","."))+1,9))*12,NA()))),0),24)*'Aturan &amp; Tarif'!$B$4,2)</f>
        <v>1362.72</v>
      </c>
      <c r="K910" s="42" t="n">
        <f aca="false">'Aturan &amp; Tarif'!$B$5</f>
        <v>2050</v>
      </c>
      <c r="L910" s="42" t="n">
        <f aca="false">'Aturan &amp; Tarif'!$B$6</f>
        <v>350</v>
      </c>
      <c r="M910" s="35" t="n">
        <f aca="false">I910+J910+K910+L910</f>
        <v>22506.72</v>
      </c>
      <c r="N910" s="45" t="s">
        <v>2514</v>
      </c>
    </row>
    <row r="911" customFormat="false" ht="60" hidden="false" customHeight="true" outlineLevel="0" collapsed="false">
      <c r="A911" s="39"/>
      <c r="B911" s="40" t="s">
        <v>2515</v>
      </c>
      <c r="C911" s="41" t="s">
        <v>127</v>
      </c>
      <c r="D911" s="41" t="s">
        <v>108</v>
      </c>
      <c r="E911" s="42" t="n">
        <v>9372</v>
      </c>
      <c r="F911" s="42"/>
      <c r="G911" s="42"/>
      <c r="H911" s="43" t="n">
        <v>2</v>
      </c>
      <c r="I911" s="34" t="n">
        <f aca="false">E911*H911+N(F911)+N(G911)</f>
        <v>18744</v>
      </c>
      <c r="J911" s="42" t="n">
        <f aca="false">ROUND(IFERROR(ROUND(IF(OR(ISNUMBER(SEARCH("week",C911)),ISNUMBER(SEARCH("minggu",C911))),IFERROR(_xlfn.NUMBERVALUE(SUBSTITUTE(LEFT(TRIM(C911),FIND(" ",TRIM(C911)&amp;" ")-1),",","."),"."),LEFT(SUBSTITUTE(LEFT(TRIM(C911),FIND(" ",TRIM(C911)&amp;" ")-1),",","."),FIND("/",SUBSTITUTE(LEFT(TRIM(C911),FIND(" ",TRIM(C911)&amp;" ")-1),",","."))-1)/MID(SUBSTITUTE(LEFT(TRIM(C911),FIND(" ",TRIM(C911)&amp;" ")-1),",","."),FIND("/",SUBSTITUTE(LEFT(TRIM(C911),FIND(" ",TRIM(C911)&amp;" ")-1),",","."))+1,9))*12/52,IF(ISNUMBER(SEARCH("month",C911)),IFERROR(_xlfn.NUMBERVALUE(SUBSTITUTE(LEFT(TRIM(C911),FIND(" ",TRIM(C911)&amp;" ")-1),",","."),"."),LEFT(SUBSTITUTE(LEFT(TRIM(C911),FIND(" ",TRIM(C911)&amp;" ")-1),",","."),FIND("/",SUBSTITUTE(LEFT(TRIM(C911),FIND(" ",TRIM(C911)&amp;" ")-1),",","."))-1)/MID(SUBSTITUTE(LEFT(TRIM(C911),FIND(" ",TRIM(C911)&amp;" ")-1),",","."),FIND("/",SUBSTITUTE(LEFT(TRIM(C911),FIND(" ",TRIM(C911)&amp;" ")-1),",","."))+1,9)),IF(ISNUMBER(SEARCH("yea",C911)),IFERROR(_xlfn.NUMBERVALUE(SUBSTITUTE(LEFT(TRIM(C911),FIND(" ",TRIM(C911)&amp;" ")-1),",","."),"."),LEFT(SUBSTITUTE(LEFT(TRIM(C911),FIND(" ",TRIM(C911)&amp;" ")-1),",","."),FIND("/",SUBSTITUTE(LEFT(TRIM(C911),FIND(" ",TRIM(C911)&amp;" ")-1),",","."))-1)/MID(SUBSTITUTE(LEFT(TRIM(C911),FIND(" ",TRIM(C911)&amp;" ")-1),",","."),FIND("/",SUBSTITUTE(LEFT(TRIM(C911),FIND(" ",TRIM(C911)&amp;" ")-1),",","."))+1,9))*12,NA()))),0),36)*'Aturan &amp; Tarif'!$B$4,2)</f>
        <v>2044.08</v>
      </c>
      <c r="K911" s="42" t="n">
        <f aca="false">'Aturan &amp; Tarif'!$B$5</f>
        <v>2050</v>
      </c>
      <c r="L911" s="42" t="n">
        <f aca="false">'Aturan &amp; Tarif'!$B$6</f>
        <v>350</v>
      </c>
      <c r="M911" s="35" t="n">
        <f aca="false">I911+J911+K911+L911</f>
        <v>23188.08</v>
      </c>
      <c r="N911" s="45" t="s">
        <v>2516</v>
      </c>
    </row>
    <row r="912" customFormat="false" ht="60" hidden="false" customHeight="true" outlineLevel="0" collapsed="false">
      <c r="A912" s="39"/>
      <c r="B912" s="40" t="s">
        <v>1783</v>
      </c>
      <c r="C912" s="41" t="s">
        <v>344</v>
      </c>
      <c r="D912" s="41" t="s">
        <v>108</v>
      </c>
      <c r="E912" s="42" t="n">
        <v>5248</v>
      </c>
      <c r="F912" s="42"/>
      <c r="G912" s="42"/>
      <c r="H912" s="43" t="n">
        <v>2</v>
      </c>
      <c r="I912" s="34" t="n">
        <f aca="false">E912*H912+N(F912)+N(G912)</f>
        <v>10496</v>
      </c>
      <c r="J912" s="42" t="n">
        <f aca="false">ROUND(IFERROR(ROUND(IF(OR(ISNUMBER(SEARCH("week",C912)),ISNUMBER(SEARCH("minggu",C912))),IFERROR(_xlfn.NUMBERVALUE(SUBSTITUTE(LEFT(TRIM(C912),FIND(" ",TRIM(C912)&amp;" ")-1),",","."),"."),LEFT(SUBSTITUTE(LEFT(TRIM(C912),FIND(" ",TRIM(C912)&amp;" ")-1),",","."),FIND("/",SUBSTITUTE(LEFT(TRIM(C912),FIND(" ",TRIM(C912)&amp;" ")-1),",","."))-1)/MID(SUBSTITUTE(LEFT(TRIM(C912),FIND(" ",TRIM(C912)&amp;" ")-1),",","."),FIND("/",SUBSTITUTE(LEFT(TRIM(C912),FIND(" ",TRIM(C912)&amp;" ")-1),",","."))+1,9))*12/52,IF(ISNUMBER(SEARCH("month",C912)),IFERROR(_xlfn.NUMBERVALUE(SUBSTITUTE(LEFT(TRIM(C912),FIND(" ",TRIM(C912)&amp;" ")-1),",","."),"."),LEFT(SUBSTITUTE(LEFT(TRIM(C912),FIND(" ",TRIM(C912)&amp;" ")-1),",","."),FIND("/",SUBSTITUTE(LEFT(TRIM(C912),FIND(" ",TRIM(C912)&amp;" ")-1),",","."))-1)/MID(SUBSTITUTE(LEFT(TRIM(C912),FIND(" ",TRIM(C912)&amp;" ")-1),",","."),FIND("/",SUBSTITUTE(LEFT(TRIM(C912),FIND(" ",TRIM(C912)&amp;" ")-1),",","."))+1,9)),IF(ISNUMBER(SEARCH("yea",C912)),IFERROR(_xlfn.NUMBERVALUE(SUBSTITUTE(LEFT(TRIM(C912),FIND(" ",TRIM(C912)&amp;" ")-1),",","."),"."),LEFT(SUBSTITUTE(LEFT(TRIM(C912),FIND(" ",TRIM(C912)&amp;" ")-1),",","."),FIND("/",SUBSTITUTE(LEFT(TRIM(C912),FIND(" ",TRIM(C912)&amp;" ")-1),",","."))-1)/MID(SUBSTITUTE(LEFT(TRIM(C912),FIND(" ",TRIM(C912)&amp;" ")-1),",","."),FIND("/",SUBSTITUTE(LEFT(TRIM(C912),FIND(" ",TRIM(C912)&amp;" ")-1),",","."))+1,9))*12,NA()))),0),6)*'Aturan &amp; Tarif'!$B$4,2)</f>
        <v>340.68</v>
      </c>
      <c r="K912" s="42" t="n">
        <f aca="false">'Aturan &amp; Tarif'!$B$5</f>
        <v>2050</v>
      </c>
      <c r="L912" s="42" t="n">
        <f aca="false">'Aturan &amp; Tarif'!$B$6</f>
        <v>350</v>
      </c>
      <c r="M912" s="35" t="n">
        <f aca="false">I912+J912+K912+L912</f>
        <v>13236.68</v>
      </c>
      <c r="N912" s="44" t="s">
        <v>1784</v>
      </c>
    </row>
    <row r="913" customFormat="false" ht="14.25" hidden="false" customHeight="true" outlineLevel="0" collapsed="false">
      <c r="A913" s="39"/>
      <c r="B913" s="40" t="s">
        <v>2517</v>
      </c>
      <c r="C913" s="41" t="s">
        <v>344</v>
      </c>
      <c r="D913" s="41" t="s">
        <v>108</v>
      </c>
      <c r="E913" s="42" t="n">
        <v>5700</v>
      </c>
      <c r="F913" s="42"/>
      <c r="G913" s="42"/>
      <c r="H913" s="43" t="n">
        <v>2</v>
      </c>
      <c r="I913" s="34" t="n">
        <f aca="false">E913*H913+N(F913)+N(G913)</f>
        <v>11400</v>
      </c>
      <c r="J913" s="42" t="n">
        <f aca="false">ROUND(IFERROR(ROUND(IF(OR(ISNUMBER(SEARCH("week",C913)),ISNUMBER(SEARCH("minggu",C913))),IFERROR(_xlfn.NUMBERVALUE(SUBSTITUTE(LEFT(TRIM(C913),FIND(" ",TRIM(C913)&amp;" ")-1),",","."),"."),LEFT(SUBSTITUTE(LEFT(TRIM(C913),FIND(" ",TRIM(C913)&amp;" ")-1),",","."),FIND("/",SUBSTITUTE(LEFT(TRIM(C913),FIND(" ",TRIM(C913)&amp;" ")-1),",","."))-1)/MID(SUBSTITUTE(LEFT(TRIM(C913),FIND(" ",TRIM(C913)&amp;" ")-1),",","."),FIND("/",SUBSTITUTE(LEFT(TRIM(C913),FIND(" ",TRIM(C913)&amp;" ")-1),",","."))+1,9))*12/52,IF(ISNUMBER(SEARCH("month",C913)),IFERROR(_xlfn.NUMBERVALUE(SUBSTITUTE(LEFT(TRIM(C913),FIND(" ",TRIM(C913)&amp;" ")-1),",","."),"."),LEFT(SUBSTITUTE(LEFT(TRIM(C913),FIND(" ",TRIM(C913)&amp;" ")-1),",","."),FIND("/",SUBSTITUTE(LEFT(TRIM(C913),FIND(" ",TRIM(C913)&amp;" ")-1),",","."))-1)/MID(SUBSTITUTE(LEFT(TRIM(C913),FIND(" ",TRIM(C913)&amp;" ")-1),",","."),FIND("/",SUBSTITUTE(LEFT(TRIM(C913),FIND(" ",TRIM(C913)&amp;" ")-1),",","."))+1,9)),IF(ISNUMBER(SEARCH("yea",C913)),IFERROR(_xlfn.NUMBERVALUE(SUBSTITUTE(LEFT(TRIM(C913),FIND(" ",TRIM(C913)&amp;" ")-1),",","."),"."),LEFT(SUBSTITUTE(LEFT(TRIM(C913),FIND(" ",TRIM(C913)&amp;" ")-1),",","."),FIND("/",SUBSTITUTE(LEFT(TRIM(C913),FIND(" ",TRIM(C913)&amp;" ")-1),",","."))-1)/MID(SUBSTITUTE(LEFT(TRIM(C913),FIND(" ",TRIM(C913)&amp;" ")-1),",","."),FIND("/",SUBSTITUTE(LEFT(TRIM(C913),FIND(" ",TRIM(C913)&amp;" ")-1),",","."))+1,9))*12,NA()))),0),6)*'Aturan &amp; Tarif'!$B$4,2)</f>
        <v>340.68</v>
      </c>
      <c r="K913" s="42" t="n">
        <f aca="false">'Aturan &amp; Tarif'!$B$5</f>
        <v>2050</v>
      </c>
      <c r="L913" s="42" t="n">
        <f aca="false">'Aturan &amp; Tarif'!$B$6</f>
        <v>350</v>
      </c>
      <c r="M913" s="35" t="n">
        <f aca="false">I913+J913+K913+L913</f>
        <v>14140.68</v>
      </c>
      <c r="N913" s="44" t="s">
        <v>2518</v>
      </c>
    </row>
    <row r="914" customFormat="false" ht="60" hidden="false" customHeight="true" outlineLevel="0" collapsed="false">
      <c r="A914" s="39"/>
      <c r="B914" s="40" t="s">
        <v>1785</v>
      </c>
      <c r="C914" s="41" t="s">
        <v>107</v>
      </c>
      <c r="D914" s="41" t="s">
        <v>108</v>
      </c>
      <c r="E914" s="42" t="n">
        <v>10495</v>
      </c>
      <c r="F914" s="42"/>
      <c r="G914" s="42"/>
      <c r="H914" s="43" t="n">
        <v>2</v>
      </c>
      <c r="I914" s="34" t="n">
        <f aca="false">E914*H914+N(F914)+N(G914)</f>
        <v>20990</v>
      </c>
      <c r="J914" s="42" t="n">
        <f aca="false">ROUND(IFERROR(ROUND(IF(OR(ISNUMBER(SEARCH("week",C914)),ISNUMBER(SEARCH("minggu",C914))),IFERROR(_xlfn.NUMBERVALUE(SUBSTITUTE(LEFT(TRIM(C914),FIND(" ",TRIM(C914)&amp;" ")-1),",","."),"."),LEFT(SUBSTITUTE(LEFT(TRIM(C914),FIND(" ",TRIM(C914)&amp;" ")-1),",","."),FIND("/",SUBSTITUTE(LEFT(TRIM(C914),FIND(" ",TRIM(C914)&amp;" ")-1),",","."))-1)/MID(SUBSTITUTE(LEFT(TRIM(C914),FIND(" ",TRIM(C914)&amp;" ")-1),",","."),FIND("/",SUBSTITUTE(LEFT(TRIM(C914),FIND(" ",TRIM(C914)&amp;" ")-1),",","."))+1,9))*12/52,IF(ISNUMBER(SEARCH("month",C914)),IFERROR(_xlfn.NUMBERVALUE(SUBSTITUTE(LEFT(TRIM(C914),FIND(" ",TRIM(C914)&amp;" ")-1),",","."),"."),LEFT(SUBSTITUTE(LEFT(TRIM(C914),FIND(" ",TRIM(C914)&amp;" ")-1),",","."),FIND("/",SUBSTITUTE(LEFT(TRIM(C914),FIND(" ",TRIM(C914)&amp;" ")-1),",","."))-1)/MID(SUBSTITUTE(LEFT(TRIM(C914),FIND(" ",TRIM(C914)&amp;" ")-1),",","."),FIND("/",SUBSTITUTE(LEFT(TRIM(C914),FIND(" ",TRIM(C914)&amp;" ")-1),",","."))+1,9)),IF(ISNUMBER(SEARCH("yea",C914)),IFERROR(_xlfn.NUMBERVALUE(SUBSTITUTE(LEFT(TRIM(C914),FIND(" ",TRIM(C914)&amp;" ")-1),",","."),"."),LEFT(SUBSTITUTE(LEFT(TRIM(C914),FIND(" ",TRIM(C914)&amp;" ")-1),",","."),FIND("/",SUBSTITUTE(LEFT(TRIM(C914),FIND(" ",TRIM(C914)&amp;" ")-1),",","."))-1)/MID(SUBSTITUTE(LEFT(TRIM(C914),FIND(" ",TRIM(C914)&amp;" ")-1),",","."),FIND("/",SUBSTITUTE(LEFT(TRIM(C914),FIND(" ",TRIM(C914)&amp;" ")-1),",","."))+1,9))*12,NA()))),0),24)*'Aturan &amp; Tarif'!$B$4,2)</f>
        <v>1362.72</v>
      </c>
      <c r="K914" s="42" t="n">
        <f aca="false">'Aturan &amp; Tarif'!$B$5</f>
        <v>2050</v>
      </c>
      <c r="L914" s="42" t="n">
        <f aca="false">'Aturan &amp; Tarif'!$B$6</f>
        <v>350</v>
      </c>
      <c r="M914" s="35" t="n">
        <f aca="false">I914+J914+K914+L914</f>
        <v>24752.72</v>
      </c>
      <c r="N914" s="45" t="s">
        <v>1786</v>
      </c>
    </row>
    <row r="915" customFormat="false" ht="25.5" hidden="false" customHeight="true" outlineLevel="0" collapsed="false">
      <c r="A915" s="39"/>
      <c r="B915" s="40" t="s">
        <v>2519</v>
      </c>
      <c r="C915" s="41" t="s">
        <v>107</v>
      </c>
      <c r="D915" s="41" t="s">
        <v>108</v>
      </c>
      <c r="E915" s="42" t="n">
        <v>11400</v>
      </c>
      <c r="F915" s="42"/>
      <c r="G915" s="42"/>
      <c r="H915" s="43" t="n">
        <v>2</v>
      </c>
      <c r="I915" s="34" t="n">
        <f aca="false">E915*H915+N(F915)+N(G915)</f>
        <v>22800</v>
      </c>
      <c r="J915" s="42" t="n">
        <f aca="false">ROUND(IFERROR(ROUND(IF(OR(ISNUMBER(SEARCH("week",C915)),ISNUMBER(SEARCH("minggu",C915))),IFERROR(_xlfn.NUMBERVALUE(SUBSTITUTE(LEFT(TRIM(C915),FIND(" ",TRIM(C915)&amp;" ")-1),",","."),"."),LEFT(SUBSTITUTE(LEFT(TRIM(C915),FIND(" ",TRIM(C915)&amp;" ")-1),",","."),FIND("/",SUBSTITUTE(LEFT(TRIM(C915),FIND(" ",TRIM(C915)&amp;" ")-1),",","."))-1)/MID(SUBSTITUTE(LEFT(TRIM(C915),FIND(" ",TRIM(C915)&amp;" ")-1),",","."),FIND("/",SUBSTITUTE(LEFT(TRIM(C915),FIND(" ",TRIM(C915)&amp;" ")-1),",","."))+1,9))*12/52,IF(ISNUMBER(SEARCH("month",C915)),IFERROR(_xlfn.NUMBERVALUE(SUBSTITUTE(LEFT(TRIM(C915),FIND(" ",TRIM(C915)&amp;" ")-1),",","."),"."),LEFT(SUBSTITUTE(LEFT(TRIM(C915),FIND(" ",TRIM(C915)&amp;" ")-1),",","."),FIND("/",SUBSTITUTE(LEFT(TRIM(C915),FIND(" ",TRIM(C915)&amp;" ")-1),",","."))-1)/MID(SUBSTITUTE(LEFT(TRIM(C915),FIND(" ",TRIM(C915)&amp;" ")-1),",","."),FIND("/",SUBSTITUTE(LEFT(TRIM(C915),FIND(" ",TRIM(C915)&amp;" ")-1),",","."))+1,9)),IF(ISNUMBER(SEARCH("yea",C915)),IFERROR(_xlfn.NUMBERVALUE(SUBSTITUTE(LEFT(TRIM(C915),FIND(" ",TRIM(C915)&amp;" ")-1),",","."),"."),LEFT(SUBSTITUTE(LEFT(TRIM(C915),FIND(" ",TRIM(C915)&amp;" ")-1),",","."),FIND("/",SUBSTITUTE(LEFT(TRIM(C915),FIND(" ",TRIM(C915)&amp;" ")-1),",","."))-1)/MID(SUBSTITUTE(LEFT(TRIM(C915),FIND(" ",TRIM(C915)&amp;" ")-1),",","."),FIND("/",SUBSTITUTE(LEFT(TRIM(C915),FIND(" ",TRIM(C915)&amp;" ")-1),",","."))+1,9))*12,NA()))),0),24)*'Aturan &amp; Tarif'!$B$4,2)</f>
        <v>1362.72</v>
      </c>
      <c r="K915" s="42" t="n">
        <f aca="false">'Aturan &amp; Tarif'!$B$5</f>
        <v>2050</v>
      </c>
      <c r="L915" s="42" t="n">
        <f aca="false">'Aturan &amp; Tarif'!$B$6</f>
        <v>350</v>
      </c>
      <c r="M915" s="35" t="n">
        <f aca="false">I915+J915+K915+L915</f>
        <v>26562.72</v>
      </c>
      <c r="N915" s="45" t="s">
        <v>2520</v>
      </c>
    </row>
    <row r="916" customFormat="false" ht="14.25" hidden="false" customHeight="true" outlineLevel="0" collapsed="false">
      <c r="A916" s="39"/>
      <c r="B916" s="40" t="s">
        <v>1151</v>
      </c>
      <c r="C916" s="41" t="s">
        <v>344</v>
      </c>
      <c r="D916" s="41" t="s">
        <v>108</v>
      </c>
      <c r="E916" s="42" t="n">
        <v>3688</v>
      </c>
      <c r="F916" s="42"/>
      <c r="G916" s="42"/>
      <c r="H916" s="43" t="n">
        <v>2</v>
      </c>
      <c r="I916" s="34" t="n">
        <f aca="false">E916*H916+N(F916)+N(G916)</f>
        <v>7376</v>
      </c>
      <c r="J916" s="42" t="n">
        <f aca="false">ROUND(IFERROR(ROUND(IF(OR(ISNUMBER(SEARCH("week",C916)),ISNUMBER(SEARCH("minggu",C916))),IFERROR(_xlfn.NUMBERVALUE(SUBSTITUTE(LEFT(TRIM(C916),FIND(" ",TRIM(C916)&amp;" ")-1),",","."),"."),LEFT(SUBSTITUTE(LEFT(TRIM(C916),FIND(" ",TRIM(C916)&amp;" ")-1),",","."),FIND("/",SUBSTITUTE(LEFT(TRIM(C916),FIND(" ",TRIM(C916)&amp;" ")-1),",","."))-1)/MID(SUBSTITUTE(LEFT(TRIM(C916),FIND(" ",TRIM(C916)&amp;" ")-1),",","."),FIND("/",SUBSTITUTE(LEFT(TRIM(C916),FIND(" ",TRIM(C916)&amp;" ")-1),",","."))+1,9))*12/52,IF(ISNUMBER(SEARCH("month",C916)),IFERROR(_xlfn.NUMBERVALUE(SUBSTITUTE(LEFT(TRIM(C916),FIND(" ",TRIM(C916)&amp;" ")-1),",","."),"."),LEFT(SUBSTITUTE(LEFT(TRIM(C916),FIND(" ",TRIM(C916)&amp;" ")-1),",","."),FIND("/",SUBSTITUTE(LEFT(TRIM(C916),FIND(" ",TRIM(C916)&amp;" ")-1),",","."))-1)/MID(SUBSTITUTE(LEFT(TRIM(C916),FIND(" ",TRIM(C916)&amp;" ")-1),",","."),FIND("/",SUBSTITUTE(LEFT(TRIM(C916),FIND(" ",TRIM(C916)&amp;" ")-1),",","."))+1,9)),IF(ISNUMBER(SEARCH("yea",C916)),IFERROR(_xlfn.NUMBERVALUE(SUBSTITUTE(LEFT(TRIM(C916),FIND(" ",TRIM(C916)&amp;" ")-1),",","."),"."),LEFT(SUBSTITUTE(LEFT(TRIM(C916),FIND(" ",TRIM(C916)&amp;" ")-1),",","."),FIND("/",SUBSTITUTE(LEFT(TRIM(C916),FIND(" ",TRIM(C916)&amp;" ")-1),",","."))-1)/MID(SUBSTITUTE(LEFT(TRIM(C916),FIND(" ",TRIM(C916)&amp;" ")-1),",","."),FIND("/",SUBSTITUTE(LEFT(TRIM(C916),FIND(" ",TRIM(C916)&amp;" ")-1),",","."))+1,9))*12,NA()))),0),6)*'Aturan &amp; Tarif'!$B$4,2)</f>
        <v>340.68</v>
      </c>
      <c r="K916" s="42" t="n">
        <f aca="false">'Aturan &amp; Tarif'!$B$5</f>
        <v>2050</v>
      </c>
      <c r="L916" s="42" t="n">
        <f aca="false">'Aturan &amp; Tarif'!$B$6</f>
        <v>350</v>
      </c>
      <c r="M916" s="35" t="n">
        <f aca="false">I916+J916+K916+L916</f>
        <v>10116.68</v>
      </c>
      <c r="N916" s="44" t="s">
        <v>1152</v>
      </c>
    </row>
    <row r="917" customFormat="false" ht="14.25" hidden="false" customHeight="true" outlineLevel="0" collapsed="false">
      <c r="A917" s="39"/>
      <c r="B917" s="40" t="s">
        <v>1153</v>
      </c>
      <c r="C917" s="41" t="s">
        <v>130</v>
      </c>
      <c r="D917" s="41" t="s">
        <v>108</v>
      </c>
      <c r="E917" s="42" t="n">
        <v>7375</v>
      </c>
      <c r="F917" s="42"/>
      <c r="G917" s="42"/>
      <c r="H917" s="43" t="n">
        <v>2</v>
      </c>
      <c r="I917" s="34" t="n">
        <f aca="false">E917*H917+N(F917)+N(G917)</f>
        <v>14750</v>
      </c>
      <c r="J917" s="42" t="n">
        <f aca="false">ROUND(IFERROR(ROUND(IF(OR(ISNUMBER(SEARCH("week",C917)),ISNUMBER(SEARCH("minggu",C917))),IFERROR(_xlfn.NUMBERVALUE(SUBSTITUTE(LEFT(TRIM(C917),FIND(" ",TRIM(C917)&amp;" ")-1),",","."),"."),LEFT(SUBSTITUTE(LEFT(TRIM(C917),FIND(" ",TRIM(C917)&amp;" ")-1),",","."),FIND("/",SUBSTITUTE(LEFT(TRIM(C917),FIND(" ",TRIM(C917)&amp;" ")-1),",","."))-1)/MID(SUBSTITUTE(LEFT(TRIM(C917),FIND(" ",TRIM(C917)&amp;" ")-1),",","."),FIND("/",SUBSTITUTE(LEFT(TRIM(C917),FIND(" ",TRIM(C917)&amp;" ")-1),",","."))+1,9))*12/52,IF(ISNUMBER(SEARCH("month",C917)),IFERROR(_xlfn.NUMBERVALUE(SUBSTITUTE(LEFT(TRIM(C917),FIND(" ",TRIM(C917)&amp;" ")-1),",","."),"."),LEFT(SUBSTITUTE(LEFT(TRIM(C917),FIND(" ",TRIM(C917)&amp;" ")-1),",","."),FIND("/",SUBSTITUTE(LEFT(TRIM(C917),FIND(" ",TRIM(C917)&amp;" ")-1),",","."))-1)/MID(SUBSTITUTE(LEFT(TRIM(C917),FIND(" ",TRIM(C917)&amp;" ")-1),",","."),FIND("/",SUBSTITUTE(LEFT(TRIM(C917),FIND(" ",TRIM(C917)&amp;" ")-1),",","."))+1,9)),IF(ISNUMBER(SEARCH("yea",C917)),IFERROR(_xlfn.NUMBERVALUE(SUBSTITUTE(LEFT(TRIM(C917),FIND(" ",TRIM(C917)&amp;" ")-1),",","."),"."),LEFT(SUBSTITUTE(LEFT(TRIM(C917),FIND(" ",TRIM(C917)&amp;" ")-1),",","."),FIND("/",SUBSTITUTE(LEFT(TRIM(C917),FIND(" ",TRIM(C917)&amp;" ")-1),",","."))-1)/MID(SUBSTITUTE(LEFT(TRIM(C917),FIND(" ",TRIM(C917)&amp;" ")-1),",","."),FIND("/",SUBSTITUTE(LEFT(TRIM(C917),FIND(" ",TRIM(C917)&amp;" ")-1),",","."))+1,9))*12,NA()))),0),12)*'Aturan &amp; Tarif'!$B$4,2)</f>
        <v>681.36</v>
      </c>
      <c r="K917" s="42" t="n">
        <f aca="false">'Aturan &amp; Tarif'!$B$5</f>
        <v>2050</v>
      </c>
      <c r="L917" s="42" t="n">
        <f aca="false">'Aturan &amp; Tarif'!$B$6</f>
        <v>350</v>
      </c>
      <c r="M917" s="35" t="n">
        <f aca="false">I917+J917+K917+L917</f>
        <v>17831.36</v>
      </c>
      <c r="N917" s="44" t="s">
        <v>1154</v>
      </c>
    </row>
    <row r="918" customFormat="false" ht="25.5" hidden="false" customHeight="true" outlineLevel="0" collapsed="false">
      <c r="A918" s="39"/>
      <c r="B918" s="40" t="s">
        <v>1155</v>
      </c>
      <c r="C918" s="41" t="s">
        <v>107</v>
      </c>
      <c r="D918" s="41" t="s">
        <v>108</v>
      </c>
      <c r="E918" s="42" t="n">
        <v>7375</v>
      </c>
      <c r="F918" s="42"/>
      <c r="G918" s="42"/>
      <c r="H918" s="43" t="n">
        <v>2</v>
      </c>
      <c r="I918" s="34" t="n">
        <f aca="false">E918*H918+N(F918)+N(G918)</f>
        <v>14750</v>
      </c>
      <c r="J918" s="42" t="n">
        <f aca="false">ROUND(IFERROR(ROUND(IF(OR(ISNUMBER(SEARCH("week",C918)),ISNUMBER(SEARCH("minggu",C918))),IFERROR(_xlfn.NUMBERVALUE(SUBSTITUTE(LEFT(TRIM(C918),FIND(" ",TRIM(C918)&amp;" ")-1),",","."),"."),LEFT(SUBSTITUTE(LEFT(TRIM(C918),FIND(" ",TRIM(C918)&amp;" ")-1),",","."),FIND("/",SUBSTITUTE(LEFT(TRIM(C918),FIND(" ",TRIM(C918)&amp;" ")-1),",","."))-1)/MID(SUBSTITUTE(LEFT(TRIM(C918),FIND(" ",TRIM(C918)&amp;" ")-1),",","."),FIND("/",SUBSTITUTE(LEFT(TRIM(C918),FIND(" ",TRIM(C918)&amp;" ")-1),",","."))+1,9))*12/52,IF(ISNUMBER(SEARCH("month",C918)),IFERROR(_xlfn.NUMBERVALUE(SUBSTITUTE(LEFT(TRIM(C918),FIND(" ",TRIM(C918)&amp;" ")-1),",","."),"."),LEFT(SUBSTITUTE(LEFT(TRIM(C918),FIND(" ",TRIM(C918)&amp;" ")-1),",","."),FIND("/",SUBSTITUTE(LEFT(TRIM(C918),FIND(" ",TRIM(C918)&amp;" ")-1),",","."))-1)/MID(SUBSTITUTE(LEFT(TRIM(C918),FIND(" ",TRIM(C918)&amp;" ")-1),",","."),FIND("/",SUBSTITUTE(LEFT(TRIM(C918),FIND(" ",TRIM(C918)&amp;" ")-1),",","."))+1,9)),IF(ISNUMBER(SEARCH("yea",C918)),IFERROR(_xlfn.NUMBERVALUE(SUBSTITUTE(LEFT(TRIM(C918),FIND(" ",TRIM(C918)&amp;" ")-1),",","."),"."),LEFT(SUBSTITUTE(LEFT(TRIM(C918),FIND(" ",TRIM(C918)&amp;" ")-1),",","."),FIND("/",SUBSTITUTE(LEFT(TRIM(C918),FIND(" ",TRIM(C918)&amp;" ")-1),",","."))-1)/MID(SUBSTITUTE(LEFT(TRIM(C918),FIND(" ",TRIM(C918)&amp;" ")-1),",","."),FIND("/",SUBSTITUTE(LEFT(TRIM(C918),FIND(" ",TRIM(C918)&amp;" ")-1),",","."))+1,9))*12,NA()))),0),24)*'Aturan &amp; Tarif'!$B$4,2)</f>
        <v>1362.72</v>
      </c>
      <c r="K918" s="42" t="n">
        <f aca="false">'Aturan &amp; Tarif'!$B$5</f>
        <v>2050</v>
      </c>
      <c r="L918" s="42" t="n">
        <f aca="false">'Aturan &amp; Tarif'!$B$6</f>
        <v>350</v>
      </c>
      <c r="M918" s="35" t="n">
        <f aca="false">I918+J918+K918+L918</f>
        <v>18512.72</v>
      </c>
      <c r="N918" s="44" t="s">
        <v>1156</v>
      </c>
    </row>
    <row r="919" customFormat="false" ht="14.25" hidden="false" customHeight="true" outlineLevel="0" collapsed="false">
      <c r="A919" s="39"/>
      <c r="B919" s="40" t="s">
        <v>407</v>
      </c>
      <c r="C919" s="41" t="s">
        <v>107</v>
      </c>
      <c r="D919" s="41" t="s">
        <v>108</v>
      </c>
      <c r="E919" s="42" t="n">
        <v>7375</v>
      </c>
      <c r="F919" s="42"/>
      <c r="G919" s="42"/>
      <c r="H919" s="43" t="n">
        <v>2</v>
      </c>
      <c r="I919" s="34" t="n">
        <f aca="false">E919*H919+N(F919)+N(G919)</f>
        <v>14750</v>
      </c>
      <c r="J919" s="42" t="n">
        <f aca="false">ROUND(IFERROR(ROUND(IF(OR(ISNUMBER(SEARCH("week",C919)),ISNUMBER(SEARCH("minggu",C919))),IFERROR(_xlfn.NUMBERVALUE(SUBSTITUTE(LEFT(TRIM(C919),FIND(" ",TRIM(C919)&amp;" ")-1),",","."),"."),LEFT(SUBSTITUTE(LEFT(TRIM(C919),FIND(" ",TRIM(C919)&amp;" ")-1),",","."),FIND("/",SUBSTITUTE(LEFT(TRIM(C919),FIND(" ",TRIM(C919)&amp;" ")-1),",","."))-1)/MID(SUBSTITUTE(LEFT(TRIM(C919),FIND(" ",TRIM(C919)&amp;" ")-1),",","."),FIND("/",SUBSTITUTE(LEFT(TRIM(C919),FIND(" ",TRIM(C919)&amp;" ")-1),",","."))+1,9))*12/52,IF(ISNUMBER(SEARCH("month",C919)),IFERROR(_xlfn.NUMBERVALUE(SUBSTITUTE(LEFT(TRIM(C919),FIND(" ",TRIM(C919)&amp;" ")-1),",","."),"."),LEFT(SUBSTITUTE(LEFT(TRIM(C919),FIND(" ",TRIM(C919)&amp;" ")-1),",","."),FIND("/",SUBSTITUTE(LEFT(TRIM(C919),FIND(" ",TRIM(C919)&amp;" ")-1),",","."))-1)/MID(SUBSTITUTE(LEFT(TRIM(C919),FIND(" ",TRIM(C919)&amp;" ")-1),",","."),FIND("/",SUBSTITUTE(LEFT(TRIM(C919),FIND(" ",TRIM(C919)&amp;" ")-1),",","."))+1,9)),IF(ISNUMBER(SEARCH("yea",C919)),IFERROR(_xlfn.NUMBERVALUE(SUBSTITUTE(LEFT(TRIM(C919),FIND(" ",TRIM(C919)&amp;" ")-1),",","."),"."),LEFT(SUBSTITUTE(LEFT(TRIM(C919),FIND(" ",TRIM(C919)&amp;" ")-1),",","."),FIND("/",SUBSTITUTE(LEFT(TRIM(C919),FIND(" ",TRIM(C919)&amp;" ")-1),",","."))-1)/MID(SUBSTITUTE(LEFT(TRIM(C919),FIND(" ",TRIM(C919)&amp;" ")-1),",","."),FIND("/",SUBSTITUTE(LEFT(TRIM(C919),FIND(" ",TRIM(C919)&amp;" ")-1),",","."))+1,9))*12,NA()))),0),24)*'Aturan &amp; Tarif'!$B$4,2)</f>
        <v>1362.72</v>
      </c>
      <c r="K919" s="42" t="n">
        <f aca="false">'Aturan &amp; Tarif'!$B$5</f>
        <v>2050</v>
      </c>
      <c r="L919" s="42" t="n">
        <f aca="false">'Aturan &amp; Tarif'!$B$6</f>
        <v>350</v>
      </c>
      <c r="M919" s="35" t="n">
        <f aca="false">I919+J919+K919+L919</f>
        <v>18512.72</v>
      </c>
      <c r="N919" s="44" t="s">
        <v>1157</v>
      </c>
    </row>
    <row r="920" customFormat="false" ht="14.25" hidden="false" customHeight="true" outlineLevel="0" collapsed="false">
      <c r="A920" s="39"/>
      <c r="B920" s="40" t="s">
        <v>406</v>
      </c>
      <c r="C920" s="41" t="s">
        <v>127</v>
      </c>
      <c r="D920" s="41" t="s">
        <v>108</v>
      </c>
      <c r="E920" s="42" t="n">
        <v>7375</v>
      </c>
      <c r="F920" s="42"/>
      <c r="G920" s="42"/>
      <c r="H920" s="43" t="n">
        <v>2</v>
      </c>
      <c r="I920" s="34" t="n">
        <f aca="false">E920*H920+N(F920)+N(G920)</f>
        <v>14750</v>
      </c>
      <c r="J920" s="42" t="n">
        <f aca="false">ROUND(IFERROR(ROUND(IF(OR(ISNUMBER(SEARCH("week",C920)),ISNUMBER(SEARCH("minggu",C920))),IFERROR(_xlfn.NUMBERVALUE(SUBSTITUTE(LEFT(TRIM(C920),FIND(" ",TRIM(C920)&amp;" ")-1),",","."),"."),LEFT(SUBSTITUTE(LEFT(TRIM(C920),FIND(" ",TRIM(C920)&amp;" ")-1),",","."),FIND("/",SUBSTITUTE(LEFT(TRIM(C920),FIND(" ",TRIM(C920)&amp;" ")-1),",","."))-1)/MID(SUBSTITUTE(LEFT(TRIM(C920),FIND(" ",TRIM(C920)&amp;" ")-1),",","."),FIND("/",SUBSTITUTE(LEFT(TRIM(C920),FIND(" ",TRIM(C920)&amp;" ")-1),",","."))+1,9))*12/52,IF(ISNUMBER(SEARCH("month",C920)),IFERROR(_xlfn.NUMBERVALUE(SUBSTITUTE(LEFT(TRIM(C920),FIND(" ",TRIM(C920)&amp;" ")-1),",","."),"."),LEFT(SUBSTITUTE(LEFT(TRIM(C920),FIND(" ",TRIM(C920)&amp;" ")-1),",","."),FIND("/",SUBSTITUTE(LEFT(TRIM(C920),FIND(" ",TRIM(C920)&amp;" ")-1),",","."))-1)/MID(SUBSTITUTE(LEFT(TRIM(C920),FIND(" ",TRIM(C920)&amp;" ")-1),",","."),FIND("/",SUBSTITUTE(LEFT(TRIM(C920),FIND(" ",TRIM(C920)&amp;" ")-1),",","."))+1,9)),IF(ISNUMBER(SEARCH("yea",C920)),IFERROR(_xlfn.NUMBERVALUE(SUBSTITUTE(LEFT(TRIM(C920),FIND(" ",TRIM(C920)&amp;" ")-1),",","."),"."),LEFT(SUBSTITUTE(LEFT(TRIM(C920),FIND(" ",TRIM(C920)&amp;" ")-1),",","."),FIND("/",SUBSTITUTE(LEFT(TRIM(C920),FIND(" ",TRIM(C920)&amp;" ")-1),",","."))-1)/MID(SUBSTITUTE(LEFT(TRIM(C920),FIND(" ",TRIM(C920)&amp;" ")-1),",","."),FIND("/",SUBSTITUTE(LEFT(TRIM(C920),FIND(" ",TRIM(C920)&amp;" ")-1),",","."))+1,9))*12,NA()))),0),36)*'Aturan &amp; Tarif'!$B$4,2)</f>
        <v>2044.08</v>
      </c>
      <c r="K920" s="42" t="n">
        <f aca="false">'Aturan &amp; Tarif'!$B$5</f>
        <v>2050</v>
      </c>
      <c r="L920" s="42" t="n">
        <f aca="false">'Aturan &amp; Tarif'!$B$6</f>
        <v>350</v>
      </c>
      <c r="M920" s="35" t="n">
        <f aca="false">I920+J920+K920+L920</f>
        <v>19194.08</v>
      </c>
      <c r="N920" s="44" t="s">
        <v>1158</v>
      </c>
    </row>
    <row r="921" customFormat="false" ht="25.5" hidden="false" customHeight="true" outlineLevel="0" collapsed="false">
      <c r="A921" s="39"/>
      <c r="B921" s="40" t="s">
        <v>1159</v>
      </c>
      <c r="C921" s="41" t="s">
        <v>127</v>
      </c>
      <c r="D921" s="41" t="s">
        <v>108</v>
      </c>
      <c r="E921" s="42" t="n">
        <v>7375</v>
      </c>
      <c r="F921" s="42"/>
      <c r="G921" s="42"/>
      <c r="H921" s="43" t="n">
        <v>2</v>
      </c>
      <c r="I921" s="34" t="n">
        <f aca="false">E921*H921+N(F921)+N(G921)</f>
        <v>14750</v>
      </c>
      <c r="J921" s="42" t="n">
        <f aca="false">ROUND(IFERROR(ROUND(IF(OR(ISNUMBER(SEARCH("week",C921)),ISNUMBER(SEARCH("minggu",C921))),IFERROR(_xlfn.NUMBERVALUE(SUBSTITUTE(LEFT(TRIM(C921),FIND(" ",TRIM(C921)&amp;" ")-1),",","."),"."),LEFT(SUBSTITUTE(LEFT(TRIM(C921),FIND(" ",TRIM(C921)&amp;" ")-1),",","."),FIND("/",SUBSTITUTE(LEFT(TRIM(C921),FIND(" ",TRIM(C921)&amp;" ")-1),",","."))-1)/MID(SUBSTITUTE(LEFT(TRIM(C921),FIND(" ",TRIM(C921)&amp;" ")-1),",","."),FIND("/",SUBSTITUTE(LEFT(TRIM(C921),FIND(" ",TRIM(C921)&amp;" ")-1),",","."))+1,9))*12/52,IF(ISNUMBER(SEARCH("month",C921)),IFERROR(_xlfn.NUMBERVALUE(SUBSTITUTE(LEFT(TRIM(C921),FIND(" ",TRIM(C921)&amp;" ")-1),",","."),"."),LEFT(SUBSTITUTE(LEFT(TRIM(C921),FIND(" ",TRIM(C921)&amp;" ")-1),",","."),FIND("/",SUBSTITUTE(LEFT(TRIM(C921),FIND(" ",TRIM(C921)&amp;" ")-1),",","."))-1)/MID(SUBSTITUTE(LEFT(TRIM(C921),FIND(" ",TRIM(C921)&amp;" ")-1),",","."),FIND("/",SUBSTITUTE(LEFT(TRIM(C921),FIND(" ",TRIM(C921)&amp;" ")-1),",","."))+1,9)),IF(ISNUMBER(SEARCH("yea",C921)),IFERROR(_xlfn.NUMBERVALUE(SUBSTITUTE(LEFT(TRIM(C921),FIND(" ",TRIM(C921)&amp;" ")-1),",","."),"."),LEFT(SUBSTITUTE(LEFT(TRIM(C921),FIND(" ",TRIM(C921)&amp;" ")-1),",","."),FIND("/",SUBSTITUTE(LEFT(TRIM(C921),FIND(" ",TRIM(C921)&amp;" ")-1),",","."))-1)/MID(SUBSTITUTE(LEFT(TRIM(C921),FIND(" ",TRIM(C921)&amp;" ")-1),",","."),FIND("/",SUBSTITUTE(LEFT(TRIM(C921),FIND(" ",TRIM(C921)&amp;" ")-1),",","."))+1,9))*12,NA()))),0),36)*'Aturan &amp; Tarif'!$B$4,2)</f>
        <v>2044.08</v>
      </c>
      <c r="K921" s="42" t="n">
        <f aca="false">'Aturan &amp; Tarif'!$B$5</f>
        <v>2050</v>
      </c>
      <c r="L921" s="42" t="n">
        <f aca="false">'Aturan &amp; Tarif'!$B$6</f>
        <v>350</v>
      </c>
      <c r="M921" s="35" t="n">
        <f aca="false">I921+J921+K921+L921</f>
        <v>19194.08</v>
      </c>
      <c r="N921" s="44" t="s">
        <v>1160</v>
      </c>
    </row>
    <row r="922" customFormat="false" ht="14.25" hidden="false" customHeight="true" outlineLevel="0" collapsed="false">
      <c r="A922" s="39"/>
      <c r="B922" s="40" t="s">
        <v>1161</v>
      </c>
      <c r="C922" s="41" t="s">
        <v>127</v>
      </c>
      <c r="D922" s="41" t="s">
        <v>108</v>
      </c>
      <c r="E922" s="42" t="n">
        <v>7375</v>
      </c>
      <c r="F922" s="42"/>
      <c r="G922" s="42"/>
      <c r="H922" s="43" t="n">
        <v>2</v>
      </c>
      <c r="I922" s="34" t="n">
        <f aca="false">E922*H922+N(F922)+N(G922)</f>
        <v>14750</v>
      </c>
      <c r="J922" s="42" t="n">
        <f aca="false">ROUND(IFERROR(ROUND(IF(OR(ISNUMBER(SEARCH("week",C922)),ISNUMBER(SEARCH("minggu",C922))),IFERROR(_xlfn.NUMBERVALUE(SUBSTITUTE(LEFT(TRIM(C922),FIND(" ",TRIM(C922)&amp;" ")-1),",","."),"."),LEFT(SUBSTITUTE(LEFT(TRIM(C922),FIND(" ",TRIM(C922)&amp;" ")-1),",","."),FIND("/",SUBSTITUTE(LEFT(TRIM(C922),FIND(" ",TRIM(C922)&amp;" ")-1),",","."))-1)/MID(SUBSTITUTE(LEFT(TRIM(C922),FIND(" ",TRIM(C922)&amp;" ")-1),",","."),FIND("/",SUBSTITUTE(LEFT(TRIM(C922),FIND(" ",TRIM(C922)&amp;" ")-1),",","."))+1,9))*12/52,IF(ISNUMBER(SEARCH("month",C922)),IFERROR(_xlfn.NUMBERVALUE(SUBSTITUTE(LEFT(TRIM(C922),FIND(" ",TRIM(C922)&amp;" ")-1),",","."),"."),LEFT(SUBSTITUTE(LEFT(TRIM(C922),FIND(" ",TRIM(C922)&amp;" ")-1),",","."),FIND("/",SUBSTITUTE(LEFT(TRIM(C922),FIND(" ",TRIM(C922)&amp;" ")-1),",","."))-1)/MID(SUBSTITUTE(LEFT(TRIM(C922),FIND(" ",TRIM(C922)&amp;" ")-1),",","."),FIND("/",SUBSTITUTE(LEFT(TRIM(C922),FIND(" ",TRIM(C922)&amp;" ")-1),",","."))+1,9)),IF(ISNUMBER(SEARCH("yea",C922)),IFERROR(_xlfn.NUMBERVALUE(SUBSTITUTE(LEFT(TRIM(C922),FIND(" ",TRIM(C922)&amp;" ")-1),",","."),"."),LEFT(SUBSTITUTE(LEFT(TRIM(C922),FIND(" ",TRIM(C922)&amp;" ")-1),",","."),FIND("/",SUBSTITUTE(LEFT(TRIM(C922),FIND(" ",TRIM(C922)&amp;" ")-1),",","."))-1)/MID(SUBSTITUTE(LEFT(TRIM(C922),FIND(" ",TRIM(C922)&amp;" ")-1),",","."),FIND("/",SUBSTITUTE(LEFT(TRIM(C922),FIND(" ",TRIM(C922)&amp;" ")-1),",","."))+1,9))*12,NA()))),0),36)*'Aturan &amp; Tarif'!$B$4,2)</f>
        <v>2044.08</v>
      </c>
      <c r="K922" s="42" t="n">
        <f aca="false">'Aturan &amp; Tarif'!$B$5</f>
        <v>2050</v>
      </c>
      <c r="L922" s="42" t="n">
        <f aca="false">'Aturan &amp; Tarif'!$B$6</f>
        <v>350</v>
      </c>
      <c r="M922" s="35" t="n">
        <f aca="false">I922+J922+K922+L922</f>
        <v>19194.08</v>
      </c>
      <c r="N922" s="45" t="s">
        <v>1162</v>
      </c>
    </row>
    <row r="923" customFormat="false" ht="60" hidden="false" customHeight="true" outlineLevel="0" collapsed="false">
      <c r="A923" s="29" t="s">
        <v>2521</v>
      </c>
      <c r="B923" s="30" t="s">
        <v>265</v>
      </c>
      <c r="C923" s="31" t="s">
        <v>127</v>
      </c>
      <c r="D923" s="31" t="s">
        <v>108</v>
      </c>
      <c r="E923" s="32" t="n">
        <v>10737.5</v>
      </c>
      <c r="F923" s="32"/>
      <c r="G923" s="32"/>
      <c r="H923" s="33" t="n">
        <v>2</v>
      </c>
      <c r="I923" s="34" t="n">
        <f aca="false">E923*H923+N(F923)+N(G923)</f>
        <v>21475</v>
      </c>
      <c r="J923" s="32" t="n">
        <f aca="false">ROUND(IFERROR(ROUND(IF(OR(ISNUMBER(SEARCH("week",C923)),ISNUMBER(SEARCH("minggu",C923))),IFERROR(_xlfn.NUMBERVALUE(SUBSTITUTE(LEFT(TRIM(C923),FIND(" ",TRIM(C923)&amp;" ")-1),",","."),"."),LEFT(SUBSTITUTE(LEFT(TRIM(C923),FIND(" ",TRIM(C923)&amp;" ")-1),",","."),FIND("/",SUBSTITUTE(LEFT(TRIM(C923),FIND(" ",TRIM(C923)&amp;" ")-1),",","."))-1)/MID(SUBSTITUTE(LEFT(TRIM(C923),FIND(" ",TRIM(C923)&amp;" ")-1),",","."),FIND("/",SUBSTITUTE(LEFT(TRIM(C923),FIND(" ",TRIM(C923)&amp;" ")-1),",","."))+1,9))*12/52,IF(ISNUMBER(SEARCH("month",C923)),IFERROR(_xlfn.NUMBERVALUE(SUBSTITUTE(LEFT(TRIM(C923),FIND(" ",TRIM(C923)&amp;" ")-1),",","."),"."),LEFT(SUBSTITUTE(LEFT(TRIM(C923),FIND(" ",TRIM(C923)&amp;" ")-1),",","."),FIND("/",SUBSTITUTE(LEFT(TRIM(C923),FIND(" ",TRIM(C923)&amp;" ")-1),",","."))-1)/MID(SUBSTITUTE(LEFT(TRIM(C923),FIND(" ",TRIM(C923)&amp;" ")-1),",","."),FIND("/",SUBSTITUTE(LEFT(TRIM(C923),FIND(" ",TRIM(C923)&amp;" ")-1),",","."))+1,9)),IF(ISNUMBER(SEARCH("yea",C923)),IFERROR(_xlfn.NUMBERVALUE(SUBSTITUTE(LEFT(TRIM(C923),FIND(" ",TRIM(C923)&amp;" ")-1),",","."),"."),LEFT(SUBSTITUTE(LEFT(TRIM(C923),FIND(" ",TRIM(C923)&amp;" ")-1),",","."),FIND("/",SUBSTITUTE(LEFT(TRIM(C923),FIND(" ",TRIM(C923)&amp;" ")-1),",","."))-1)/MID(SUBSTITUTE(LEFT(TRIM(C923),FIND(" ",TRIM(C923)&amp;" ")-1),",","."),FIND("/",SUBSTITUTE(LEFT(TRIM(C923),FIND(" ",TRIM(C923)&amp;" ")-1),",","."))+1,9))*12,NA()))),0),36)*'Aturan &amp; Tarif'!$B$4,2)</f>
        <v>2044.08</v>
      </c>
      <c r="K923" s="32" t="n">
        <f aca="false">'Aturan &amp; Tarif'!$B$5</f>
        <v>2050</v>
      </c>
      <c r="L923" s="32" t="n">
        <f aca="false">'Aturan &amp; Tarif'!$B$6</f>
        <v>350</v>
      </c>
      <c r="M923" s="35" t="n">
        <f aca="false">I923+J923+K923+L923</f>
        <v>25919.08</v>
      </c>
      <c r="N923" s="36" t="s">
        <v>2522</v>
      </c>
    </row>
    <row r="924" customFormat="false" ht="14.25" hidden="false" customHeight="true" outlineLevel="0" collapsed="false">
      <c r="A924" s="29"/>
      <c r="B924" s="30" t="s">
        <v>321</v>
      </c>
      <c r="C924" s="31" t="s">
        <v>127</v>
      </c>
      <c r="D924" s="31" t="s">
        <v>108</v>
      </c>
      <c r="E924" s="32" t="n">
        <v>9487.5</v>
      </c>
      <c r="F924" s="32"/>
      <c r="G924" s="32"/>
      <c r="H924" s="33" t="n">
        <v>2</v>
      </c>
      <c r="I924" s="34" t="n">
        <f aca="false">E924*H924+N(F924)+N(G924)</f>
        <v>18975</v>
      </c>
      <c r="J924" s="32" t="n">
        <f aca="false">ROUND(IFERROR(ROUND(IF(OR(ISNUMBER(SEARCH("week",C924)),ISNUMBER(SEARCH("minggu",C924))),IFERROR(_xlfn.NUMBERVALUE(SUBSTITUTE(LEFT(TRIM(C924),FIND(" ",TRIM(C924)&amp;" ")-1),",","."),"."),LEFT(SUBSTITUTE(LEFT(TRIM(C924),FIND(" ",TRIM(C924)&amp;" ")-1),",","."),FIND("/",SUBSTITUTE(LEFT(TRIM(C924),FIND(" ",TRIM(C924)&amp;" ")-1),",","."))-1)/MID(SUBSTITUTE(LEFT(TRIM(C924),FIND(" ",TRIM(C924)&amp;" ")-1),",","."),FIND("/",SUBSTITUTE(LEFT(TRIM(C924),FIND(" ",TRIM(C924)&amp;" ")-1),",","."))+1,9))*12/52,IF(ISNUMBER(SEARCH("month",C924)),IFERROR(_xlfn.NUMBERVALUE(SUBSTITUTE(LEFT(TRIM(C924),FIND(" ",TRIM(C924)&amp;" ")-1),",","."),"."),LEFT(SUBSTITUTE(LEFT(TRIM(C924),FIND(" ",TRIM(C924)&amp;" ")-1),",","."),FIND("/",SUBSTITUTE(LEFT(TRIM(C924),FIND(" ",TRIM(C924)&amp;" ")-1),",","."))-1)/MID(SUBSTITUTE(LEFT(TRIM(C924),FIND(" ",TRIM(C924)&amp;" ")-1),",","."),FIND("/",SUBSTITUTE(LEFT(TRIM(C924),FIND(" ",TRIM(C924)&amp;" ")-1),",","."))+1,9)),IF(ISNUMBER(SEARCH("yea",C924)),IFERROR(_xlfn.NUMBERVALUE(SUBSTITUTE(LEFT(TRIM(C924),FIND(" ",TRIM(C924)&amp;" ")-1),",","."),"."),LEFT(SUBSTITUTE(LEFT(TRIM(C924),FIND(" ",TRIM(C924)&amp;" ")-1),",","."),FIND("/",SUBSTITUTE(LEFT(TRIM(C924),FIND(" ",TRIM(C924)&amp;" ")-1),",","."))-1)/MID(SUBSTITUTE(LEFT(TRIM(C924),FIND(" ",TRIM(C924)&amp;" ")-1),",","."),FIND("/",SUBSTITUTE(LEFT(TRIM(C924),FIND(" ",TRIM(C924)&amp;" ")-1),",","."))+1,9))*12,NA()))),0),36)*'Aturan &amp; Tarif'!$B$4,2)</f>
        <v>2044.08</v>
      </c>
      <c r="K924" s="32" t="n">
        <f aca="false">'Aturan &amp; Tarif'!$B$5</f>
        <v>2050</v>
      </c>
      <c r="L924" s="32" t="n">
        <f aca="false">'Aturan &amp; Tarif'!$B$6</f>
        <v>350</v>
      </c>
      <c r="M924" s="35" t="n">
        <f aca="false">I924+J924+K924+L924</f>
        <v>23419.08</v>
      </c>
      <c r="N924" s="36" t="s">
        <v>2523</v>
      </c>
    </row>
    <row r="925" customFormat="false" ht="14.25" hidden="false" customHeight="true" outlineLevel="0" collapsed="false">
      <c r="A925" s="29"/>
      <c r="B925" s="30" t="s">
        <v>247</v>
      </c>
      <c r="C925" s="31" t="s">
        <v>127</v>
      </c>
      <c r="D925" s="31" t="s">
        <v>108</v>
      </c>
      <c r="E925" s="32" t="n">
        <v>9987.5</v>
      </c>
      <c r="F925" s="32"/>
      <c r="G925" s="32"/>
      <c r="H925" s="33" t="n">
        <v>2</v>
      </c>
      <c r="I925" s="34" t="n">
        <f aca="false">E925*H925+N(F925)+N(G925)</f>
        <v>19975</v>
      </c>
      <c r="J925" s="32" t="n">
        <f aca="false">ROUND(IFERROR(ROUND(IF(OR(ISNUMBER(SEARCH("week",C925)),ISNUMBER(SEARCH("minggu",C925))),IFERROR(_xlfn.NUMBERVALUE(SUBSTITUTE(LEFT(TRIM(C925),FIND(" ",TRIM(C925)&amp;" ")-1),",","."),"."),LEFT(SUBSTITUTE(LEFT(TRIM(C925),FIND(" ",TRIM(C925)&amp;" ")-1),",","."),FIND("/",SUBSTITUTE(LEFT(TRIM(C925),FIND(" ",TRIM(C925)&amp;" ")-1),",","."))-1)/MID(SUBSTITUTE(LEFT(TRIM(C925),FIND(" ",TRIM(C925)&amp;" ")-1),",","."),FIND("/",SUBSTITUTE(LEFT(TRIM(C925),FIND(" ",TRIM(C925)&amp;" ")-1),",","."))+1,9))*12/52,IF(ISNUMBER(SEARCH("month",C925)),IFERROR(_xlfn.NUMBERVALUE(SUBSTITUTE(LEFT(TRIM(C925),FIND(" ",TRIM(C925)&amp;" ")-1),",","."),"."),LEFT(SUBSTITUTE(LEFT(TRIM(C925),FIND(" ",TRIM(C925)&amp;" ")-1),",","."),FIND("/",SUBSTITUTE(LEFT(TRIM(C925),FIND(" ",TRIM(C925)&amp;" ")-1),",","."))-1)/MID(SUBSTITUTE(LEFT(TRIM(C925),FIND(" ",TRIM(C925)&amp;" ")-1),",","."),FIND("/",SUBSTITUTE(LEFT(TRIM(C925),FIND(" ",TRIM(C925)&amp;" ")-1),",","."))+1,9)),IF(ISNUMBER(SEARCH("yea",C925)),IFERROR(_xlfn.NUMBERVALUE(SUBSTITUTE(LEFT(TRIM(C925),FIND(" ",TRIM(C925)&amp;" ")-1),",","."),"."),LEFT(SUBSTITUTE(LEFT(TRIM(C925),FIND(" ",TRIM(C925)&amp;" ")-1),",","."),FIND("/",SUBSTITUTE(LEFT(TRIM(C925),FIND(" ",TRIM(C925)&amp;" ")-1),",","."))-1)/MID(SUBSTITUTE(LEFT(TRIM(C925),FIND(" ",TRIM(C925)&amp;" ")-1),",","."),FIND("/",SUBSTITUTE(LEFT(TRIM(C925),FIND(" ",TRIM(C925)&amp;" ")-1),",","."))+1,9))*12,NA()))),0),36)*'Aturan &amp; Tarif'!$B$4,2)</f>
        <v>2044.08</v>
      </c>
      <c r="K925" s="32" t="n">
        <f aca="false">'Aturan &amp; Tarif'!$B$5</f>
        <v>2050</v>
      </c>
      <c r="L925" s="32" t="n">
        <f aca="false">'Aturan &amp; Tarif'!$B$6</f>
        <v>350</v>
      </c>
      <c r="M925" s="35" t="n">
        <f aca="false">I925+J925+K925+L925</f>
        <v>24419.08</v>
      </c>
      <c r="N925" s="36" t="s">
        <v>2524</v>
      </c>
    </row>
    <row r="926" customFormat="false" ht="25.5" hidden="false" customHeight="true" outlineLevel="0" collapsed="false">
      <c r="A926" s="29"/>
      <c r="B926" s="30" t="s">
        <v>165</v>
      </c>
      <c r="C926" s="31" t="s">
        <v>107</v>
      </c>
      <c r="D926" s="31" t="s">
        <v>108</v>
      </c>
      <c r="E926" s="32" t="n">
        <v>8522</v>
      </c>
      <c r="F926" s="32"/>
      <c r="G926" s="32"/>
      <c r="H926" s="33" t="n">
        <v>2</v>
      </c>
      <c r="I926" s="34" t="n">
        <f aca="false">E926*H926+N(F926)+N(G926)</f>
        <v>17044</v>
      </c>
      <c r="J926" s="32" t="n">
        <f aca="false">ROUND(IFERROR(ROUND(IF(OR(ISNUMBER(SEARCH("week",C926)),ISNUMBER(SEARCH("minggu",C926))),IFERROR(_xlfn.NUMBERVALUE(SUBSTITUTE(LEFT(TRIM(C926),FIND(" ",TRIM(C926)&amp;" ")-1),",","."),"."),LEFT(SUBSTITUTE(LEFT(TRIM(C926),FIND(" ",TRIM(C926)&amp;" ")-1),",","."),FIND("/",SUBSTITUTE(LEFT(TRIM(C926),FIND(" ",TRIM(C926)&amp;" ")-1),",","."))-1)/MID(SUBSTITUTE(LEFT(TRIM(C926),FIND(" ",TRIM(C926)&amp;" ")-1),",","."),FIND("/",SUBSTITUTE(LEFT(TRIM(C926),FIND(" ",TRIM(C926)&amp;" ")-1),",","."))+1,9))*12/52,IF(ISNUMBER(SEARCH("month",C926)),IFERROR(_xlfn.NUMBERVALUE(SUBSTITUTE(LEFT(TRIM(C926),FIND(" ",TRIM(C926)&amp;" ")-1),",","."),"."),LEFT(SUBSTITUTE(LEFT(TRIM(C926),FIND(" ",TRIM(C926)&amp;" ")-1),",","."),FIND("/",SUBSTITUTE(LEFT(TRIM(C926),FIND(" ",TRIM(C926)&amp;" ")-1),",","."))-1)/MID(SUBSTITUTE(LEFT(TRIM(C926),FIND(" ",TRIM(C926)&amp;" ")-1),",","."),FIND("/",SUBSTITUTE(LEFT(TRIM(C926),FIND(" ",TRIM(C926)&amp;" ")-1),",","."))+1,9)),IF(ISNUMBER(SEARCH("yea",C926)),IFERROR(_xlfn.NUMBERVALUE(SUBSTITUTE(LEFT(TRIM(C926),FIND(" ",TRIM(C926)&amp;" ")-1),",","."),"."),LEFT(SUBSTITUTE(LEFT(TRIM(C926),FIND(" ",TRIM(C926)&amp;" ")-1),",","."),FIND("/",SUBSTITUTE(LEFT(TRIM(C926),FIND(" ",TRIM(C926)&amp;" ")-1),",","."))-1)/MID(SUBSTITUTE(LEFT(TRIM(C926),FIND(" ",TRIM(C926)&amp;" ")-1),",","."),FIND("/",SUBSTITUTE(LEFT(TRIM(C926),FIND(" ",TRIM(C926)&amp;" ")-1),",","."))+1,9))*12,NA()))),0),24)*'Aturan &amp; Tarif'!$B$4,2)</f>
        <v>1362.72</v>
      </c>
      <c r="K926" s="32" t="n">
        <f aca="false">'Aturan &amp; Tarif'!$B$5</f>
        <v>2050</v>
      </c>
      <c r="L926" s="32" t="n">
        <f aca="false">'Aturan &amp; Tarif'!$B$6</f>
        <v>350</v>
      </c>
      <c r="M926" s="35" t="n">
        <f aca="false">I926+J926+K926+L926</f>
        <v>20806.72</v>
      </c>
      <c r="N926" s="36" t="s">
        <v>2525</v>
      </c>
    </row>
    <row r="927" customFormat="false" ht="60" hidden="false" customHeight="true" outlineLevel="0" collapsed="false">
      <c r="A927" s="29"/>
      <c r="B927" s="30" t="s">
        <v>257</v>
      </c>
      <c r="C927" s="31" t="s">
        <v>107</v>
      </c>
      <c r="D927" s="31" t="s">
        <v>108</v>
      </c>
      <c r="E927" s="32" t="n">
        <v>9987.5</v>
      </c>
      <c r="F927" s="32"/>
      <c r="G927" s="32"/>
      <c r="H927" s="33" t="n">
        <v>2</v>
      </c>
      <c r="I927" s="34" t="n">
        <f aca="false">E927*H927+N(F927)+N(G927)</f>
        <v>19975</v>
      </c>
      <c r="J927" s="32" t="n">
        <f aca="false">ROUND(IFERROR(ROUND(IF(OR(ISNUMBER(SEARCH("week",C927)),ISNUMBER(SEARCH("minggu",C927))),IFERROR(_xlfn.NUMBERVALUE(SUBSTITUTE(LEFT(TRIM(C927),FIND(" ",TRIM(C927)&amp;" ")-1),",","."),"."),LEFT(SUBSTITUTE(LEFT(TRIM(C927),FIND(" ",TRIM(C927)&amp;" ")-1),",","."),FIND("/",SUBSTITUTE(LEFT(TRIM(C927),FIND(" ",TRIM(C927)&amp;" ")-1),",","."))-1)/MID(SUBSTITUTE(LEFT(TRIM(C927),FIND(" ",TRIM(C927)&amp;" ")-1),",","."),FIND("/",SUBSTITUTE(LEFT(TRIM(C927),FIND(" ",TRIM(C927)&amp;" ")-1),",","."))+1,9))*12/52,IF(ISNUMBER(SEARCH("month",C927)),IFERROR(_xlfn.NUMBERVALUE(SUBSTITUTE(LEFT(TRIM(C927),FIND(" ",TRIM(C927)&amp;" ")-1),",","."),"."),LEFT(SUBSTITUTE(LEFT(TRIM(C927),FIND(" ",TRIM(C927)&amp;" ")-1),",","."),FIND("/",SUBSTITUTE(LEFT(TRIM(C927),FIND(" ",TRIM(C927)&amp;" ")-1),",","."))-1)/MID(SUBSTITUTE(LEFT(TRIM(C927),FIND(" ",TRIM(C927)&amp;" ")-1),",","."),FIND("/",SUBSTITUTE(LEFT(TRIM(C927),FIND(" ",TRIM(C927)&amp;" ")-1),",","."))+1,9)),IF(ISNUMBER(SEARCH("yea",C927)),IFERROR(_xlfn.NUMBERVALUE(SUBSTITUTE(LEFT(TRIM(C927),FIND(" ",TRIM(C927)&amp;" ")-1),",","."),"."),LEFT(SUBSTITUTE(LEFT(TRIM(C927),FIND(" ",TRIM(C927)&amp;" ")-1),",","."),FIND("/",SUBSTITUTE(LEFT(TRIM(C927),FIND(" ",TRIM(C927)&amp;" ")-1),",","."))-1)/MID(SUBSTITUTE(LEFT(TRIM(C927),FIND(" ",TRIM(C927)&amp;" ")-1),",","."),FIND("/",SUBSTITUTE(LEFT(TRIM(C927),FIND(" ",TRIM(C927)&amp;" ")-1),",","."))+1,9))*12,NA()))),0),24)*'Aturan &amp; Tarif'!$B$4,2)</f>
        <v>1362.72</v>
      </c>
      <c r="K927" s="32" t="n">
        <f aca="false">'Aturan &amp; Tarif'!$B$5</f>
        <v>2050</v>
      </c>
      <c r="L927" s="32" t="n">
        <f aca="false">'Aturan &amp; Tarif'!$B$6</f>
        <v>350</v>
      </c>
      <c r="M927" s="35" t="n">
        <f aca="false">I927+J927+K927+L927</f>
        <v>23737.72</v>
      </c>
      <c r="N927" s="36" t="s">
        <v>2523</v>
      </c>
    </row>
    <row r="928" customFormat="false" ht="25.5" hidden="false" customHeight="true" outlineLevel="0" collapsed="false">
      <c r="A928" s="29"/>
      <c r="B928" s="30" t="s">
        <v>2526</v>
      </c>
      <c r="C928" s="31" t="s">
        <v>107</v>
      </c>
      <c r="D928" s="31" t="s">
        <v>108</v>
      </c>
      <c r="E928" s="32" t="n">
        <v>6647</v>
      </c>
      <c r="F928" s="32"/>
      <c r="G928" s="32"/>
      <c r="H928" s="33" t="n">
        <v>2</v>
      </c>
      <c r="I928" s="34" t="n">
        <f aca="false">E928*H928+N(F928)+N(G928)</f>
        <v>13294</v>
      </c>
      <c r="J928" s="32" t="n">
        <f aca="false">ROUND(IFERROR(ROUND(IF(OR(ISNUMBER(SEARCH("week",C928)),ISNUMBER(SEARCH("minggu",C928))),IFERROR(_xlfn.NUMBERVALUE(SUBSTITUTE(LEFT(TRIM(C928),FIND(" ",TRIM(C928)&amp;" ")-1),",","."),"."),LEFT(SUBSTITUTE(LEFT(TRIM(C928),FIND(" ",TRIM(C928)&amp;" ")-1),",","."),FIND("/",SUBSTITUTE(LEFT(TRIM(C928),FIND(" ",TRIM(C928)&amp;" ")-1),",","."))-1)/MID(SUBSTITUTE(LEFT(TRIM(C928),FIND(" ",TRIM(C928)&amp;" ")-1),",","."),FIND("/",SUBSTITUTE(LEFT(TRIM(C928),FIND(" ",TRIM(C928)&amp;" ")-1),",","."))+1,9))*12/52,IF(ISNUMBER(SEARCH("month",C928)),IFERROR(_xlfn.NUMBERVALUE(SUBSTITUTE(LEFT(TRIM(C928),FIND(" ",TRIM(C928)&amp;" ")-1),",","."),"."),LEFT(SUBSTITUTE(LEFT(TRIM(C928),FIND(" ",TRIM(C928)&amp;" ")-1),",","."),FIND("/",SUBSTITUTE(LEFT(TRIM(C928),FIND(" ",TRIM(C928)&amp;" ")-1),",","."))-1)/MID(SUBSTITUTE(LEFT(TRIM(C928),FIND(" ",TRIM(C928)&amp;" ")-1),",","."),FIND("/",SUBSTITUTE(LEFT(TRIM(C928),FIND(" ",TRIM(C928)&amp;" ")-1),",","."))+1,9)),IF(ISNUMBER(SEARCH("yea",C928)),IFERROR(_xlfn.NUMBERVALUE(SUBSTITUTE(LEFT(TRIM(C928),FIND(" ",TRIM(C928)&amp;" ")-1),",","."),"."),LEFT(SUBSTITUTE(LEFT(TRIM(C928),FIND(" ",TRIM(C928)&amp;" ")-1),",","."),FIND("/",SUBSTITUTE(LEFT(TRIM(C928),FIND(" ",TRIM(C928)&amp;" ")-1),",","."))-1)/MID(SUBSTITUTE(LEFT(TRIM(C928),FIND(" ",TRIM(C928)&amp;" ")-1),",","."),FIND("/",SUBSTITUTE(LEFT(TRIM(C928),FIND(" ",TRIM(C928)&amp;" ")-1),",","."))+1,9))*12,NA()))),0),24)*'Aturan &amp; Tarif'!$B$4,2)</f>
        <v>1362.72</v>
      </c>
      <c r="K928" s="32" t="n">
        <f aca="false">'Aturan &amp; Tarif'!$B$5</f>
        <v>2050</v>
      </c>
      <c r="L928" s="32" t="n">
        <f aca="false">'Aturan &amp; Tarif'!$B$6</f>
        <v>350</v>
      </c>
      <c r="M928" s="35" t="n">
        <f aca="false">I928+J928+K928+L928</f>
        <v>17056.72</v>
      </c>
      <c r="N928" s="36" t="s">
        <v>2523</v>
      </c>
    </row>
    <row r="929" customFormat="false" ht="37.5" hidden="false" customHeight="true" outlineLevel="0" collapsed="false">
      <c r="A929" s="29" t="s">
        <v>2527</v>
      </c>
      <c r="B929" s="30" t="s">
        <v>2528</v>
      </c>
      <c r="C929" s="31" t="s">
        <v>138</v>
      </c>
      <c r="D929" s="31" t="s">
        <v>108</v>
      </c>
      <c r="E929" s="32" t="n">
        <v>1400</v>
      </c>
      <c r="F929" s="32" t="n">
        <v>150</v>
      </c>
      <c r="G929" s="32" t="n">
        <v>200</v>
      </c>
      <c r="H929" s="33" t="n">
        <v>1</v>
      </c>
      <c r="I929" s="34" t="n">
        <f aca="false">E929*H929+N(F929)+N(G929)</f>
        <v>1750</v>
      </c>
      <c r="J929" s="32" t="n">
        <f aca="false">ROUND(IFERROR(ROUND(IF(OR(ISNUMBER(SEARCH("week",C929)),ISNUMBER(SEARCH("minggu",C929))),IFERROR(_xlfn.NUMBERVALUE(SUBSTITUTE(LEFT(TRIM(C929),FIND(" ",TRIM(C929)&amp;" ")-1),",","."),"."),LEFT(SUBSTITUTE(LEFT(TRIM(C929),FIND(" ",TRIM(C929)&amp;" ")-1),",","."),FIND("/",SUBSTITUTE(LEFT(TRIM(C929),FIND(" ",TRIM(C929)&amp;" ")-1),",","."))-1)/MID(SUBSTITUTE(LEFT(TRIM(C929),FIND(" ",TRIM(C929)&amp;" ")-1),",","."),FIND("/",SUBSTITUTE(LEFT(TRIM(C929),FIND(" ",TRIM(C929)&amp;" ")-1),",","."))+1,9))*12/52,IF(ISNUMBER(SEARCH("month",C929)),IFERROR(_xlfn.NUMBERVALUE(SUBSTITUTE(LEFT(TRIM(C929),FIND(" ",TRIM(C929)&amp;" ")-1),",","."),"."),LEFT(SUBSTITUTE(LEFT(TRIM(C929),FIND(" ",TRIM(C929)&amp;" ")-1),",","."),FIND("/",SUBSTITUTE(LEFT(TRIM(C929),FIND(" ",TRIM(C929)&amp;" ")-1),",","."))-1)/MID(SUBSTITUTE(LEFT(TRIM(C929),FIND(" ",TRIM(C929)&amp;" ")-1),",","."),FIND("/",SUBSTITUTE(LEFT(TRIM(C929),FIND(" ",TRIM(C929)&amp;" ")-1),",","."))+1,9)),IF(ISNUMBER(SEARCH("yea",C929)),IFERROR(_xlfn.NUMBERVALUE(SUBSTITUTE(LEFT(TRIM(C929),FIND(" ",TRIM(C929)&amp;" ")-1),",","."),"."),LEFT(SUBSTITUTE(LEFT(TRIM(C929),FIND(" ",TRIM(C929)&amp;" ")-1),",","."),FIND("/",SUBSTITUTE(LEFT(TRIM(C929),FIND(" ",TRIM(C929)&amp;" ")-1),",","."))-1)/MID(SUBSTITUTE(LEFT(TRIM(C929),FIND(" ",TRIM(C929)&amp;" ")-1),",","."),FIND("/",SUBSTITUTE(LEFT(TRIM(C929),FIND(" ",TRIM(C929)&amp;" ")-1),",","."))+1,9))*12,NA()))),0),30)*'Aturan &amp; Tarif'!$B$4,2)</f>
        <v>1703.4</v>
      </c>
      <c r="K929" s="32" t="n">
        <f aca="false">'Aturan &amp; Tarif'!$B$5</f>
        <v>2050</v>
      </c>
      <c r="L929" s="32" t="n">
        <f aca="false">'Aturan &amp; Tarif'!$B$6</f>
        <v>350</v>
      </c>
      <c r="M929" s="35" t="n">
        <f aca="false">I929+J929+K929+L929</f>
        <v>5853.4</v>
      </c>
      <c r="N929" s="36" t="s">
        <v>131</v>
      </c>
    </row>
    <row r="930" customFormat="false" ht="25.5" hidden="false" customHeight="true" outlineLevel="0" collapsed="false">
      <c r="A930" s="29"/>
      <c r="B930" s="30" t="s">
        <v>2529</v>
      </c>
      <c r="C930" s="31" t="s">
        <v>191</v>
      </c>
      <c r="D930" s="31" t="s">
        <v>108</v>
      </c>
      <c r="E930" s="32" t="n">
        <v>1400</v>
      </c>
      <c r="F930" s="32" t="n">
        <v>150</v>
      </c>
      <c r="G930" s="32" t="n">
        <v>200</v>
      </c>
      <c r="H930" s="33" t="n">
        <v>1</v>
      </c>
      <c r="I930" s="34" t="n">
        <f aca="false">E930*H930+N(F930)+N(G930)</f>
        <v>1750</v>
      </c>
      <c r="J930" s="32" t="n">
        <f aca="false">ROUND(IFERROR(ROUND(IF(OR(ISNUMBER(SEARCH("week",C930)),ISNUMBER(SEARCH("minggu",C930))),IFERROR(_xlfn.NUMBERVALUE(SUBSTITUTE(LEFT(TRIM(C930),FIND(" ",TRIM(C930)&amp;" ")-1),",","."),"."),LEFT(SUBSTITUTE(LEFT(TRIM(C930),FIND(" ",TRIM(C930)&amp;" ")-1),",","."),FIND("/",SUBSTITUTE(LEFT(TRIM(C930),FIND(" ",TRIM(C930)&amp;" ")-1),",","."))-1)/MID(SUBSTITUTE(LEFT(TRIM(C930),FIND(" ",TRIM(C930)&amp;" ")-1),",","."),FIND("/",SUBSTITUTE(LEFT(TRIM(C930),FIND(" ",TRIM(C930)&amp;" ")-1),",","."))+1,9))*12/52,IF(ISNUMBER(SEARCH("month",C930)),IFERROR(_xlfn.NUMBERVALUE(SUBSTITUTE(LEFT(TRIM(C930),FIND(" ",TRIM(C930)&amp;" ")-1),",","."),"."),LEFT(SUBSTITUTE(LEFT(TRIM(C930),FIND(" ",TRIM(C930)&amp;" ")-1),",","."),FIND("/",SUBSTITUTE(LEFT(TRIM(C930),FIND(" ",TRIM(C930)&amp;" ")-1),",","."))-1)/MID(SUBSTITUTE(LEFT(TRIM(C930),FIND(" ",TRIM(C930)&amp;" ")-1),",","."),FIND("/",SUBSTITUTE(LEFT(TRIM(C930),FIND(" ",TRIM(C930)&amp;" ")-1),",","."))+1,9)),IF(ISNUMBER(SEARCH("yea",C930)),IFERROR(_xlfn.NUMBERVALUE(SUBSTITUTE(LEFT(TRIM(C930),FIND(" ",TRIM(C930)&amp;" ")-1),",","."),"."),LEFT(SUBSTITUTE(LEFT(TRIM(C930),FIND(" ",TRIM(C930)&amp;" ")-1),",","."),FIND("/",SUBSTITUTE(LEFT(TRIM(C930),FIND(" ",TRIM(C930)&amp;" ")-1),",","."))-1)/MID(SUBSTITUTE(LEFT(TRIM(C930),FIND(" ",TRIM(C930)&amp;" ")-1),",","."),FIND("/",SUBSTITUTE(LEFT(TRIM(C930),FIND(" ",TRIM(C930)&amp;" ")-1),",","."))+1,9))*12,NA()))),0),48)*'Aturan &amp; Tarif'!$B$4,2)</f>
        <v>2725.44</v>
      </c>
      <c r="K930" s="32" t="n">
        <f aca="false">'Aturan &amp; Tarif'!$B$5</f>
        <v>2050</v>
      </c>
      <c r="L930" s="32" t="n">
        <f aca="false">'Aturan &amp; Tarif'!$B$6</f>
        <v>350</v>
      </c>
      <c r="M930" s="35" t="n">
        <f aca="false">I930+J930+K930+L930</f>
        <v>6875.44</v>
      </c>
      <c r="N930" s="36" t="s">
        <v>131</v>
      </c>
    </row>
    <row r="931" customFormat="false" ht="25.5" hidden="false" customHeight="true" outlineLevel="0" collapsed="false">
      <c r="A931" s="29"/>
      <c r="B931" s="30" t="s">
        <v>2530</v>
      </c>
      <c r="C931" s="31" t="s">
        <v>138</v>
      </c>
      <c r="D931" s="31" t="s">
        <v>108</v>
      </c>
      <c r="E931" s="32" t="n">
        <v>1400</v>
      </c>
      <c r="F931" s="32" t="n">
        <v>100</v>
      </c>
      <c r="G931" s="32" t="n">
        <v>200</v>
      </c>
      <c r="H931" s="33" t="n">
        <v>1</v>
      </c>
      <c r="I931" s="34" t="n">
        <f aca="false">E931*H931+N(F931)+N(G931)</f>
        <v>1700</v>
      </c>
      <c r="J931" s="32" t="n">
        <f aca="false">ROUND(IFERROR(ROUND(IF(OR(ISNUMBER(SEARCH("week",C931)),ISNUMBER(SEARCH("minggu",C931))),IFERROR(_xlfn.NUMBERVALUE(SUBSTITUTE(LEFT(TRIM(C931),FIND(" ",TRIM(C931)&amp;" ")-1),",","."),"."),LEFT(SUBSTITUTE(LEFT(TRIM(C931),FIND(" ",TRIM(C931)&amp;" ")-1),",","."),FIND("/",SUBSTITUTE(LEFT(TRIM(C931),FIND(" ",TRIM(C931)&amp;" ")-1),",","."))-1)/MID(SUBSTITUTE(LEFT(TRIM(C931),FIND(" ",TRIM(C931)&amp;" ")-1),",","."),FIND("/",SUBSTITUTE(LEFT(TRIM(C931),FIND(" ",TRIM(C931)&amp;" ")-1),",","."))+1,9))*12/52,IF(ISNUMBER(SEARCH("month",C931)),IFERROR(_xlfn.NUMBERVALUE(SUBSTITUTE(LEFT(TRIM(C931),FIND(" ",TRIM(C931)&amp;" ")-1),",","."),"."),LEFT(SUBSTITUTE(LEFT(TRIM(C931),FIND(" ",TRIM(C931)&amp;" ")-1),",","."),FIND("/",SUBSTITUTE(LEFT(TRIM(C931),FIND(" ",TRIM(C931)&amp;" ")-1),",","."))-1)/MID(SUBSTITUTE(LEFT(TRIM(C931),FIND(" ",TRIM(C931)&amp;" ")-1),",","."),FIND("/",SUBSTITUTE(LEFT(TRIM(C931),FIND(" ",TRIM(C931)&amp;" ")-1),",","."))+1,9)),IF(ISNUMBER(SEARCH("yea",C931)),IFERROR(_xlfn.NUMBERVALUE(SUBSTITUTE(LEFT(TRIM(C931),FIND(" ",TRIM(C931)&amp;" ")-1),",","."),"."),LEFT(SUBSTITUTE(LEFT(TRIM(C931),FIND(" ",TRIM(C931)&amp;" ")-1),",","."),FIND("/",SUBSTITUTE(LEFT(TRIM(C931),FIND(" ",TRIM(C931)&amp;" ")-1),",","."))-1)/MID(SUBSTITUTE(LEFT(TRIM(C931),FIND(" ",TRIM(C931)&amp;" ")-1),",","."),FIND("/",SUBSTITUTE(LEFT(TRIM(C931),FIND(" ",TRIM(C931)&amp;" ")-1),",","."))+1,9))*12,NA()))),0),30)*'Aturan &amp; Tarif'!$B$4,2)</f>
        <v>1703.4</v>
      </c>
      <c r="K931" s="32" t="n">
        <f aca="false">'Aturan &amp; Tarif'!$B$5</f>
        <v>2050</v>
      </c>
      <c r="L931" s="32" t="n">
        <f aca="false">'Aturan &amp; Tarif'!$B$6</f>
        <v>350</v>
      </c>
      <c r="M931" s="35" t="n">
        <f aca="false">I931+J931+K931+L931</f>
        <v>5803.4</v>
      </c>
      <c r="N931" s="36" t="s">
        <v>131</v>
      </c>
    </row>
    <row r="932" customFormat="false" ht="37.5" hidden="false" customHeight="true" outlineLevel="0" collapsed="false">
      <c r="A932" s="29"/>
      <c r="B932" s="30" t="s">
        <v>2531</v>
      </c>
      <c r="C932" s="31" t="s">
        <v>191</v>
      </c>
      <c r="D932" s="31" t="s">
        <v>108</v>
      </c>
      <c r="E932" s="32" t="n">
        <v>1400</v>
      </c>
      <c r="F932" s="32" t="n">
        <v>100</v>
      </c>
      <c r="G932" s="32" t="n">
        <v>200</v>
      </c>
      <c r="H932" s="33" t="n">
        <v>1</v>
      </c>
      <c r="I932" s="34" t="n">
        <f aca="false">E932*H932+N(F932)+N(G932)</f>
        <v>1700</v>
      </c>
      <c r="J932" s="32" t="n">
        <f aca="false">ROUND(IFERROR(ROUND(IF(OR(ISNUMBER(SEARCH("week",C932)),ISNUMBER(SEARCH("minggu",C932))),IFERROR(_xlfn.NUMBERVALUE(SUBSTITUTE(LEFT(TRIM(C932),FIND(" ",TRIM(C932)&amp;" ")-1),",","."),"."),LEFT(SUBSTITUTE(LEFT(TRIM(C932),FIND(" ",TRIM(C932)&amp;" ")-1),",","."),FIND("/",SUBSTITUTE(LEFT(TRIM(C932),FIND(" ",TRIM(C932)&amp;" ")-1),",","."))-1)/MID(SUBSTITUTE(LEFT(TRIM(C932),FIND(" ",TRIM(C932)&amp;" ")-1),",","."),FIND("/",SUBSTITUTE(LEFT(TRIM(C932),FIND(" ",TRIM(C932)&amp;" ")-1),",","."))+1,9))*12/52,IF(ISNUMBER(SEARCH("month",C932)),IFERROR(_xlfn.NUMBERVALUE(SUBSTITUTE(LEFT(TRIM(C932),FIND(" ",TRIM(C932)&amp;" ")-1),",","."),"."),LEFT(SUBSTITUTE(LEFT(TRIM(C932),FIND(" ",TRIM(C932)&amp;" ")-1),",","."),FIND("/",SUBSTITUTE(LEFT(TRIM(C932),FIND(" ",TRIM(C932)&amp;" ")-1),",","."))-1)/MID(SUBSTITUTE(LEFT(TRIM(C932),FIND(" ",TRIM(C932)&amp;" ")-1),",","."),FIND("/",SUBSTITUTE(LEFT(TRIM(C932),FIND(" ",TRIM(C932)&amp;" ")-1),",","."))+1,9)),IF(ISNUMBER(SEARCH("yea",C932)),IFERROR(_xlfn.NUMBERVALUE(SUBSTITUTE(LEFT(TRIM(C932),FIND(" ",TRIM(C932)&amp;" ")-1),",","."),"."),LEFT(SUBSTITUTE(LEFT(TRIM(C932),FIND(" ",TRIM(C932)&amp;" ")-1),",","."),FIND("/",SUBSTITUTE(LEFT(TRIM(C932),FIND(" ",TRIM(C932)&amp;" ")-1),",","."))-1)/MID(SUBSTITUTE(LEFT(TRIM(C932),FIND(" ",TRIM(C932)&amp;" ")-1),",","."),FIND("/",SUBSTITUTE(LEFT(TRIM(C932),FIND(" ",TRIM(C932)&amp;" ")-1),",","."))+1,9))*12,NA()))),0),48)*'Aturan &amp; Tarif'!$B$4,2)</f>
        <v>2725.44</v>
      </c>
      <c r="K932" s="32" t="n">
        <f aca="false">'Aturan &amp; Tarif'!$B$5</f>
        <v>2050</v>
      </c>
      <c r="L932" s="32" t="n">
        <f aca="false">'Aturan &amp; Tarif'!$B$6</f>
        <v>350</v>
      </c>
      <c r="M932" s="35" t="n">
        <f aca="false">I932+J932+K932+L932</f>
        <v>6825.44</v>
      </c>
      <c r="N932" s="36" t="s">
        <v>131</v>
      </c>
    </row>
    <row r="933" customFormat="false" ht="25.5" hidden="false" customHeight="true" outlineLevel="0" collapsed="false">
      <c r="A933" s="29"/>
      <c r="B933" s="30" t="s">
        <v>2532</v>
      </c>
      <c r="C933" s="31" t="s">
        <v>127</v>
      </c>
      <c r="D933" s="31" t="s">
        <v>108</v>
      </c>
      <c r="E933" s="32" t="n">
        <v>1400</v>
      </c>
      <c r="F933" s="32" t="n">
        <v>150</v>
      </c>
      <c r="G933" s="32" t="n">
        <v>200</v>
      </c>
      <c r="H933" s="33" t="n">
        <v>1</v>
      </c>
      <c r="I933" s="34" t="n">
        <f aca="false">E933*H933+N(F933)+N(G933)</f>
        <v>1750</v>
      </c>
      <c r="J933" s="32" t="n">
        <f aca="false">ROUND(IFERROR(ROUND(IF(OR(ISNUMBER(SEARCH("week",C933)),ISNUMBER(SEARCH("minggu",C933))),IFERROR(_xlfn.NUMBERVALUE(SUBSTITUTE(LEFT(TRIM(C933),FIND(" ",TRIM(C933)&amp;" ")-1),",","."),"."),LEFT(SUBSTITUTE(LEFT(TRIM(C933),FIND(" ",TRIM(C933)&amp;" ")-1),",","."),FIND("/",SUBSTITUTE(LEFT(TRIM(C933),FIND(" ",TRIM(C933)&amp;" ")-1),",","."))-1)/MID(SUBSTITUTE(LEFT(TRIM(C933),FIND(" ",TRIM(C933)&amp;" ")-1),",","."),FIND("/",SUBSTITUTE(LEFT(TRIM(C933),FIND(" ",TRIM(C933)&amp;" ")-1),",","."))+1,9))*12/52,IF(ISNUMBER(SEARCH("month",C933)),IFERROR(_xlfn.NUMBERVALUE(SUBSTITUTE(LEFT(TRIM(C933),FIND(" ",TRIM(C933)&amp;" ")-1),",","."),"."),LEFT(SUBSTITUTE(LEFT(TRIM(C933),FIND(" ",TRIM(C933)&amp;" ")-1),",","."),FIND("/",SUBSTITUTE(LEFT(TRIM(C933),FIND(" ",TRIM(C933)&amp;" ")-1),",","."))-1)/MID(SUBSTITUTE(LEFT(TRIM(C933),FIND(" ",TRIM(C933)&amp;" ")-1),",","."),FIND("/",SUBSTITUTE(LEFT(TRIM(C933),FIND(" ",TRIM(C933)&amp;" ")-1),",","."))+1,9)),IF(ISNUMBER(SEARCH("yea",C933)),IFERROR(_xlfn.NUMBERVALUE(SUBSTITUTE(LEFT(TRIM(C933),FIND(" ",TRIM(C933)&amp;" ")-1),",","."),"."),LEFT(SUBSTITUTE(LEFT(TRIM(C933),FIND(" ",TRIM(C933)&amp;" ")-1),",","."),FIND("/",SUBSTITUTE(LEFT(TRIM(C933),FIND(" ",TRIM(C933)&amp;" ")-1),",","."))-1)/MID(SUBSTITUTE(LEFT(TRIM(C933),FIND(" ",TRIM(C933)&amp;" ")-1),",","."),FIND("/",SUBSTITUTE(LEFT(TRIM(C933),FIND(" ",TRIM(C933)&amp;" ")-1),",","."))+1,9))*12,NA()))),0),36)*'Aturan &amp; Tarif'!$B$4,2)</f>
        <v>2044.08</v>
      </c>
      <c r="K933" s="32" t="n">
        <f aca="false">'Aturan &amp; Tarif'!$B$5</f>
        <v>2050</v>
      </c>
      <c r="L933" s="32" t="n">
        <f aca="false">'Aturan &amp; Tarif'!$B$6</f>
        <v>350</v>
      </c>
      <c r="M933" s="35" t="n">
        <f aca="false">I933+J933+K933+L933</f>
        <v>6194.08</v>
      </c>
      <c r="N933" s="36" t="s">
        <v>131</v>
      </c>
    </row>
    <row r="934" customFormat="false" ht="25.5" hidden="false" customHeight="true" outlineLevel="0" collapsed="false">
      <c r="A934" s="29"/>
      <c r="B934" s="30" t="s">
        <v>2533</v>
      </c>
      <c r="C934" s="31" t="s">
        <v>495</v>
      </c>
      <c r="D934" s="31" t="s">
        <v>108</v>
      </c>
      <c r="E934" s="32" t="n">
        <v>1400</v>
      </c>
      <c r="F934" s="32" t="n">
        <v>150</v>
      </c>
      <c r="G934" s="32" t="n">
        <v>200</v>
      </c>
      <c r="H934" s="33" t="n">
        <v>1</v>
      </c>
      <c r="I934" s="34" t="n">
        <f aca="false">E934*H934+N(F934)+N(G934)</f>
        <v>1750</v>
      </c>
      <c r="J934" s="32" t="n">
        <f aca="false">ROUND(IFERROR(ROUND(IF(OR(ISNUMBER(SEARCH("week",C934)),ISNUMBER(SEARCH("minggu",C934))),IFERROR(_xlfn.NUMBERVALUE(SUBSTITUTE(LEFT(TRIM(C934),FIND(" ",TRIM(C934)&amp;" ")-1),",","."),"."),LEFT(SUBSTITUTE(LEFT(TRIM(C934),FIND(" ",TRIM(C934)&amp;" ")-1),",","."),FIND("/",SUBSTITUTE(LEFT(TRIM(C934),FIND(" ",TRIM(C934)&amp;" ")-1),",","."))-1)/MID(SUBSTITUTE(LEFT(TRIM(C934),FIND(" ",TRIM(C934)&amp;" ")-1),",","."),FIND("/",SUBSTITUTE(LEFT(TRIM(C934),FIND(" ",TRIM(C934)&amp;" ")-1),",","."))+1,9))*12/52,IF(ISNUMBER(SEARCH("month",C934)),IFERROR(_xlfn.NUMBERVALUE(SUBSTITUTE(LEFT(TRIM(C934),FIND(" ",TRIM(C934)&amp;" ")-1),",","."),"."),LEFT(SUBSTITUTE(LEFT(TRIM(C934),FIND(" ",TRIM(C934)&amp;" ")-1),",","."),FIND("/",SUBSTITUTE(LEFT(TRIM(C934),FIND(" ",TRIM(C934)&amp;" ")-1),",","."))-1)/MID(SUBSTITUTE(LEFT(TRIM(C934),FIND(" ",TRIM(C934)&amp;" ")-1),",","."),FIND("/",SUBSTITUTE(LEFT(TRIM(C934),FIND(" ",TRIM(C934)&amp;" ")-1),",","."))+1,9)),IF(ISNUMBER(SEARCH("yea",C934)),IFERROR(_xlfn.NUMBERVALUE(SUBSTITUTE(LEFT(TRIM(C934),FIND(" ",TRIM(C934)&amp;" ")-1),",","."),"."),LEFT(SUBSTITUTE(LEFT(TRIM(C934),FIND(" ",TRIM(C934)&amp;" ")-1),",","."),FIND("/",SUBSTITUTE(LEFT(TRIM(C934),FIND(" ",TRIM(C934)&amp;" ")-1),",","."))-1)/MID(SUBSTITUTE(LEFT(TRIM(C934),FIND(" ",TRIM(C934)&amp;" ")-1),",","."),FIND("/",SUBSTITUTE(LEFT(TRIM(C934),FIND(" ",TRIM(C934)&amp;" ")-1),",","."))+1,9))*12,NA()))),0),54)*'Aturan &amp; Tarif'!$B$4,2)</f>
        <v>3066.12</v>
      </c>
      <c r="K934" s="32" t="n">
        <f aca="false">'Aturan &amp; Tarif'!$B$5</f>
        <v>2050</v>
      </c>
      <c r="L934" s="32" t="n">
        <f aca="false">'Aturan &amp; Tarif'!$B$6</f>
        <v>350</v>
      </c>
      <c r="M934" s="35" t="n">
        <f aca="false">I934+J934+K934+L934</f>
        <v>7216.12</v>
      </c>
      <c r="N934" s="36" t="s">
        <v>131</v>
      </c>
    </row>
    <row r="935" customFormat="false" ht="25.5" hidden="false" customHeight="true" outlineLevel="0" collapsed="false">
      <c r="A935" s="29"/>
      <c r="B935" s="30" t="s">
        <v>2534</v>
      </c>
      <c r="C935" s="31" t="s">
        <v>127</v>
      </c>
      <c r="D935" s="31" t="s">
        <v>108</v>
      </c>
      <c r="E935" s="32" t="n">
        <v>1400</v>
      </c>
      <c r="F935" s="32" t="n">
        <v>150</v>
      </c>
      <c r="G935" s="32" t="n">
        <v>200</v>
      </c>
      <c r="H935" s="33" t="n">
        <v>1</v>
      </c>
      <c r="I935" s="34" t="n">
        <f aca="false">E935*H935+N(F935)+N(G935)</f>
        <v>1750</v>
      </c>
      <c r="J935" s="32" t="n">
        <f aca="false">ROUND(IFERROR(ROUND(IF(OR(ISNUMBER(SEARCH("week",C935)),ISNUMBER(SEARCH("minggu",C935))),IFERROR(_xlfn.NUMBERVALUE(SUBSTITUTE(LEFT(TRIM(C935),FIND(" ",TRIM(C935)&amp;" ")-1),",","."),"."),LEFT(SUBSTITUTE(LEFT(TRIM(C935),FIND(" ",TRIM(C935)&amp;" ")-1),",","."),FIND("/",SUBSTITUTE(LEFT(TRIM(C935),FIND(" ",TRIM(C935)&amp;" ")-1),",","."))-1)/MID(SUBSTITUTE(LEFT(TRIM(C935),FIND(" ",TRIM(C935)&amp;" ")-1),",","."),FIND("/",SUBSTITUTE(LEFT(TRIM(C935),FIND(" ",TRIM(C935)&amp;" ")-1),",","."))+1,9))*12/52,IF(ISNUMBER(SEARCH("month",C935)),IFERROR(_xlfn.NUMBERVALUE(SUBSTITUTE(LEFT(TRIM(C935),FIND(" ",TRIM(C935)&amp;" ")-1),",","."),"."),LEFT(SUBSTITUTE(LEFT(TRIM(C935),FIND(" ",TRIM(C935)&amp;" ")-1),",","."),FIND("/",SUBSTITUTE(LEFT(TRIM(C935),FIND(" ",TRIM(C935)&amp;" ")-1),",","."))-1)/MID(SUBSTITUTE(LEFT(TRIM(C935),FIND(" ",TRIM(C935)&amp;" ")-1),",","."),FIND("/",SUBSTITUTE(LEFT(TRIM(C935),FIND(" ",TRIM(C935)&amp;" ")-1),",","."))+1,9)),IF(ISNUMBER(SEARCH("yea",C935)),IFERROR(_xlfn.NUMBERVALUE(SUBSTITUTE(LEFT(TRIM(C935),FIND(" ",TRIM(C935)&amp;" ")-1),",","."),"."),LEFT(SUBSTITUTE(LEFT(TRIM(C935),FIND(" ",TRIM(C935)&amp;" ")-1),",","."),FIND("/",SUBSTITUTE(LEFT(TRIM(C935),FIND(" ",TRIM(C935)&amp;" ")-1),",","."))-1)/MID(SUBSTITUTE(LEFT(TRIM(C935),FIND(" ",TRIM(C935)&amp;" ")-1),",","."),FIND("/",SUBSTITUTE(LEFT(TRIM(C935),FIND(" ",TRIM(C935)&amp;" ")-1),",","."))+1,9))*12,NA()))),0),36)*'Aturan &amp; Tarif'!$B$4,2)</f>
        <v>2044.08</v>
      </c>
      <c r="K935" s="32" t="n">
        <f aca="false">'Aturan &amp; Tarif'!$B$5</f>
        <v>2050</v>
      </c>
      <c r="L935" s="32" t="n">
        <f aca="false">'Aturan &amp; Tarif'!$B$6</f>
        <v>350</v>
      </c>
      <c r="M935" s="35" t="n">
        <f aca="false">I935+J935+K935+L935</f>
        <v>6194.08</v>
      </c>
      <c r="N935" s="36" t="s">
        <v>131</v>
      </c>
    </row>
    <row r="936" customFormat="false" ht="25.5" hidden="false" customHeight="true" outlineLevel="0" collapsed="false">
      <c r="A936" s="29"/>
      <c r="B936" s="30" t="s">
        <v>2535</v>
      </c>
      <c r="C936" s="31" t="s">
        <v>495</v>
      </c>
      <c r="D936" s="31" t="s">
        <v>108</v>
      </c>
      <c r="E936" s="32" t="n">
        <v>1400</v>
      </c>
      <c r="F936" s="32" t="n">
        <v>150</v>
      </c>
      <c r="G936" s="32" t="n">
        <v>200</v>
      </c>
      <c r="H936" s="33" t="n">
        <v>1</v>
      </c>
      <c r="I936" s="34" t="n">
        <f aca="false">E936*H936+N(F936)+N(G936)</f>
        <v>1750</v>
      </c>
      <c r="J936" s="32" t="n">
        <f aca="false">ROUND(IFERROR(ROUND(IF(OR(ISNUMBER(SEARCH("week",C936)),ISNUMBER(SEARCH("minggu",C936))),IFERROR(_xlfn.NUMBERVALUE(SUBSTITUTE(LEFT(TRIM(C936),FIND(" ",TRIM(C936)&amp;" ")-1),",","."),"."),LEFT(SUBSTITUTE(LEFT(TRIM(C936),FIND(" ",TRIM(C936)&amp;" ")-1),",","."),FIND("/",SUBSTITUTE(LEFT(TRIM(C936),FIND(" ",TRIM(C936)&amp;" ")-1),",","."))-1)/MID(SUBSTITUTE(LEFT(TRIM(C936),FIND(" ",TRIM(C936)&amp;" ")-1),",","."),FIND("/",SUBSTITUTE(LEFT(TRIM(C936),FIND(" ",TRIM(C936)&amp;" ")-1),",","."))+1,9))*12/52,IF(ISNUMBER(SEARCH("month",C936)),IFERROR(_xlfn.NUMBERVALUE(SUBSTITUTE(LEFT(TRIM(C936),FIND(" ",TRIM(C936)&amp;" ")-1),",","."),"."),LEFT(SUBSTITUTE(LEFT(TRIM(C936),FIND(" ",TRIM(C936)&amp;" ")-1),",","."),FIND("/",SUBSTITUTE(LEFT(TRIM(C936),FIND(" ",TRIM(C936)&amp;" ")-1),",","."))-1)/MID(SUBSTITUTE(LEFT(TRIM(C936),FIND(" ",TRIM(C936)&amp;" ")-1),",","."),FIND("/",SUBSTITUTE(LEFT(TRIM(C936),FIND(" ",TRIM(C936)&amp;" ")-1),",","."))+1,9)),IF(ISNUMBER(SEARCH("yea",C936)),IFERROR(_xlfn.NUMBERVALUE(SUBSTITUTE(LEFT(TRIM(C936),FIND(" ",TRIM(C936)&amp;" ")-1),",","."),"."),LEFT(SUBSTITUTE(LEFT(TRIM(C936),FIND(" ",TRIM(C936)&amp;" ")-1),",","."),FIND("/",SUBSTITUTE(LEFT(TRIM(C936),FIND(" ",TRIM(C936)&amp;" ")-1),",","."))-1)/MID(SUBSTITUTE(LEFT(TRIM(C936),FIND(" ",TRIM(C936)&amp;" ")-1),",","."),FIND("/",SUBSTITUTE(LEFT(TRIM(C936),FIND(" ",TRIM(C936)&amp;" ")-1),",","."))+1,9))*12,NA()))),0),54)*'Aturan &amp; Tarif'!$B$4,2)</f>
        <v>3066.12</v>
      </c>
      <c r="K936" s="32" t="n">
        <f aca="false">'Aturan &amp; Tarif'!$B$5</f>
        <v>2050</v>
      </c>
      <c r="L936" s="32" t="n">
        <f aca="false">'Aturan &amp; Tarif'!$B$6</f>
        <v>350</v>
      </c>
      <c r="M936" s="35" t="n">
        <f aca="false">I936+J936+K936+L936</f>
        <v>7216.12</v>
      </c>
      <c r="N936" s="36" t="s">
        <v>131</v>
      </c>
    </row>
    <row r="937" customFormat="false" ht="14.25" hidden="false" customHeight="true" outlineLevel="0" collapsed="false">
      <c r="A937" s="29"/>
      <c r="B937" s="30" t="s">
        <v>2536</v>
      </c>
      <c r="C937" s="31" t="s">
        <v>191</v>
      </c>
      <c r="D937" s="31" t="s">
        <v>108</v>
      </c>
      <c r="E937" s="32" t="n">
        <v>1600</v>
      </c>
      <c r="F937" s="32" t="n">
        <v>50</v>
      </c>
      <c r="G937" s="32" t="n">
        <v>200</v>
      </c>
      <c r="H937" s="33" t="n">
        <v>1</v>
      </c>
      <c r="I937" s="34" t="n">
        <f aca="false">E937*H937+N(F937)+N(G937)</f>
        <v>1850</v>
      </c>
      <c r="J937" s="32" t="n">
        <f aca="false">ROUND(IFERROR(ROUND(IF(OR(ISNUMBER(SEARCH("week",C937)),ISNUMBER(SEARCH("minggu",C937))),IFERROR(_xlfn.NUMBERVALUE(SUBSTITUTE(LEFT(TRIM(C937),FIND(" ",TRIM(C937)&amp;" ")-1),",","."),"."),LEFT(SUBSTITUTE(LEFT(TRIM(C937),FIND(" ",TRIM(C937)&amp;" ")-1),",","."),FIND("/",SUBSTITUTE(LEFT(TRIM(C937),FIND(" ",TRIM(C937)&amp;" ")-1),",","."))-1)/MID(SUBSTITUTE(LEFT(TRIM(C937),FIND(" ",TRIM(C937)&amp;" ")-1),",","."),FIND("/",SUBSTITUTE(LEFT(TRIM(C937),FIND(" ",TRIM(C937)&amp;" ")-1),",","."))+1,9))*12/52,IF(ISNUMBER(SEARCH("month",C937)),IFERROR(_xlfn.NUMBERVALUE(SUBSTITUTE(LEFT(TRIM(C937),FIND(" ",TRIM(C937)&amp;" ")-1),",","."),"."),LEFT(SUBSTITUTE(LEFT(TRIM(C937),FIND(" ",TRIM(C937)&amp;" ")-1),",","."),FIND("/",SUBSTITUTE(LEFT(TRIM(C937),FIND(" ",TRIM(C937)&amp;" ")-1),",","."))-1)/MID(SUBSTITUTE(LEFT(TRIM(C937),FIND(" ",TRIM(C937)&amp;" ")-1),",","."),FIND("/",SUBSTITUTE(LEFT(TRIM(C937),FIND(" ",TRIM(C937)&amp;" ")-1),",","."))+1,9)),IF(ISNUMBER(SEARCH("yea",C937)),IFERROR(_xlfn.NUMBERVALUE(SUBSTITUTE(LEFT(TRIM(C937),FIND(" ",TRIM(C937)&amp;" ")-1),",","."),"."),LEFT(SUBSTITUTE(LEFT(TRIM(C937),FIND(" ",TRIM(C937)&amp;" ")-1),",","."),FIND("/",SUBSTITUTE(LEFT(TRIM(C937),FIND(" ",TRIM(C937)&amp;" ")-1),",","."))-1)/MID(SUBSTITUTE(LEFT(TRIM(C937),FIND(" ",TRIM(C937)&amp;" ")-1),",","."),FIND("/",SUBSTITUTE(LEFT(TRIM(C937),FIND(" ",TRIM(C937)&amp;" ")-1),",","."))+1,9))*12,NA()))),0),48)*'Aturan &amp; Tarif'!$B$4,2)</f>
        <v>2725.44</v>
      </c>
      <c r="K937" s="32" t="n">
        <f aca="false">'Aturan &amp; Tarif'!$B$5</f>
        <v>2050</v>
      </c>
      <c r="L937" s="32" t="n">
        <f aca="false">'Aturan &amp; Tarif'!$B$6</f>
        <v>350</v>
      </c>
      <c r="M937" s="35" t="n">
        <f aca="false">I937+J937+K937+L937</f>
        <v>6975.44</v>
      </c>
      <c r="N937" s="37" t="s">
        <v>134</v>
      </c>
    </row>
    <row r="938" customFormat="false" ht="25.5" hidden="false" customHeight="true" outlineLevel="0" collapsed="false">
      <c r="A938" s="29"/>
      <c r="B938" s="30" t="s">
        <v>2537</v>
      </c>
      <c r="C938" s="31" t="s">
        <v>495</v>
      </c>
      <c r="D938" s="31" t="s">
        <v>108</v>
      </c>
      <c r="E938" s="32" t="n">
        <v>1600</v>
      </c>
      <c r="F938" s="32" t="n">
        <v>50</v>
      </c>
      <c r="G938" s="32" t="n">
        <v>200</v>
      </c>
      <c r="H938" s="33" t="n">
        <v>1</v>
      </c>
      <c r="I938" s="34" t="n">
        <f aca="false">E938*H938+N(F938)+N(G938)</f>
        <v>1850</v>
      </c>
      <c r="J938" s="32" t="n">
        <f aca="false">ROUND(IFERROR(ROUND(IF(OR(ISNUMBER(SEARCH("week",C938)),ISNUMBER(SEARCH("minggu",C938))),IFERROR(_xlfn.NUMBERVALUE(SUBSTITUTE(LEFT(TRIM(C938),FIND(" ",TRIM(C938)&amp;" ")-1),",","."),"."),LEFT(SUBSTITUTE(LEFT(TRIM(C938),FIND(" ",TRIM(C938)&amp;" ")-1),",","."),FIND("/",SUBSTITUTE(LEFT(TRIM(C938),FIND(" ",TRIM(C938)&amp;" ")-1),",","."))-1)/MID(SUBSTITUTE(LEFT(TRIM(C938),FIND(" ",TRIM(C938)&amp;" ")-1),",","."),FIND("/",SUBSTITUTE(LEFT(TRIM(C938),FIND(" ",TRIM(C938)&amp;" ")-1),",","."))+1,9))*12/52,IF(ISNUMBER(SEARCH("month",C938)),IFERROR(_xlfn.NUMBERVALUE(SUBSTITUTE(LEFT(TRIM(C938),FIND(" ",TRIM(C938)&amp;" ")-1),",","."),"."),LEFT(SUBSTITUTE(LEFT(TRIM(C938),FIND(" ",TRIM(C938)&amp;" ")-1),",","."),FIND("/",SUBSTITUTE(LEFT(TRIM(C938),FIND(" ",TRIM(C938)&amp;" ")-1),",","."))-1)/MID(SUBSTITUTE(LEFT(TRIM(C938),FIND(" ",TRIM(C938)&amp;" ")-1),",","."),FIND("/",SUBSTITUTE(LEFT(TRIM(C938),FIND(" ",TRIM(C938)&amp;" ")-1),",","."))+1,9)),IF(ISNUMBER(SEARCH("yea",C938)),IFERROR(_xlfn.NUMBERVALUE(SUBSTITUTE(LEFT(TRIM(C938),FIND(" ",TRIM(C938)&amp;" ")-1),",","."),"."),LEFT(SUBSTITUTE(LEFT(TRIM(C938),FIND(" ",TRIM(C938)&amp;" ")-1),",","."),FIND("/",SUBSTITUTE(LEFT(TRIM(C938),FIND(" ",TRIM(C938)&amp;" ")-1),",","."))-1)/MID(SUBSTITUTE(LEFT(TRIM(C938),FIND(" ",TRIM(C938)&amp;" ")-1),",","."),FIND("/",SUBSTITUTE(LEFT(TRIM(C938),FIND(" ",TRIM(C938)&amp;" ")-1),",","."))+1,9))*12,NA()))),0),54)*'Aturan &amp; Tarif'!$B$4,2)</f>
        <v>3066.12</v>
      </c>
      <c r="K938" s="32" t="n">
        <f aca="false">'Aturan &amp; Tarif'!$B$5</f>
        <v>2050</v>
      </c>
      <c r="L938" s="32" t="n">
        <f aca="false">'Aturan &amp; Tarif'!$B$6</f>
        <v>350</v>
      </c>
      <c r="M938" s="35" t="n">
        <f aca="false">I938+J938+K938+L938</f>
        <v>7316.12</v>
      </c>
      <c r="N938" s="37" t="s">
        <v>134</v>
      </c>
    </row>
    <row r="939" customFormat="false" ht="37.5" hidden="false" customHeight="true" outlineLevel="0" collapsed="false">
      <c r="A939" s="29"/>
      <c r="B939" s="30" t="s">
        <v>2538</v>
      </c>
      <c r="C939" s="31" t="s">
        <v>107</v>
      </c>
      <c r="D939" s="31" t="s">
        <v>108</v>
      </c>
      <c r="E939" s="32" t="n">
        <v>2600</v>
      </c>
      <c r="F939" s="32" t="n">
        <v>950</v>
      </c>
      <c r="G939" s="32" t="n">
        <v>200</v>
      </c>
      <c r="H939" s="33" t="n">
        <v>1</v>
      </c>
      <c r="I939" s="34" t="n">
        <f aca="false">E939*H939+N(F939)+N(G939)</f>
        <v>3750</v>
      </c>
      <c r="J939" s="32" t="n">
        <f aca="false">ROUND(IFERROR(ROUND(IF(OR(ISNUMBER(SEARCH("week",C939)),ISNUMBER(SEARCH("minggu",C939))),IFERROR(_xlfn.NUMBERVALUE(SUBSTITUTE(LEFT(TRIM(C939),FIND(" ",TRIM(C939)&amp;" ")-1),",","."),"."),LEFT(SUBSTITUTE(LEFT(TRIM(C939),FIND(" ",TRIM(C939)&amp;" ")-1),",","."),FIND("/",SUBSTITUTE(LEFT(TRIM(C939),FIND(" ",TRIM(C939)&amp;" ")-1),",","."))-1)/MID(SUBSTITUTE(LEFT(TRIM(C939),FIND(" ",TRIM(C939)&amp;" ")-1),",","."),FIND("/",SUBSTITUTE(LEFT(TRIM(C939),FIND(" ",TRIM(C939)&amp;" ")-1),",","."))+1,9))*12/52,IF(ISNUMBER(SEARCH("month",C939)),IFERROR(_xlfn.NUMBERVALUE(SUBSTITUTE(LEFT(TRIM(C939),FIND(" ",TRIM(C939)&amp;" ")-1),",","."),"."),LEFT(SUBSTITUTE(LEFT(TRIM(C939),FIND(" ",TRIM(C939)&amp;" ")-1),",","."),FIND("/",SUBSTITUTE(LEFT(TRIM(C939),FIND(" ",TRIM(C939)&amp;" ")-1),",","."))-1)/MID(SUBSTITUTE(LEFT(TRIM(C939),FIND(" ",TRIM(C939)&amp;" ")-1),",","."),FIND("/",SUBSTITUTE(LEFT(TRIM(C939),FIND(" ",TRIM(C939)&amp;" ")-1),",","."))+1,9)),IF(ISNUMBER(SEARCH("yea",C939)),IFERROR(_xlfn.NUMBERVALUE(SUBSTITUTE(LEFT(TRIM(C939),FIND(" ",TRIM(C939)&amp;" ")-1),",","."),"."),LEFT(SUBSTITUTE(LEFT(TRIM(C939),FIND(" ",TRIM(C939)&amp;" ")-1),",","."),FIND("/",SUBSTITUTE(LEFT(TRIM(C939),FIND(" ",TRIM(C939)&amp;" ")-1),",","."))-1)/MID(SUBSTITUTE(LEFT(TRIM(C939),FIND(" ",TRIM(C939)&amp;" ")-1),",","."),FIND("/",SUBSTITUTE(LEFT(TRIM(C939),FIND(" ",TRIM(C939)&amp;" ")-1),",","."))+1,9))*12,NA()))),0),24)*'Aturan &amp; Tarif'!$B$4,2)</f>
        <v>1362.72</v>
      </c>
      <c r="K939" s="32" t="n">
        <f aca="false">'Aturan &amp; Tarif'!$B$5</f>
        <v>2050</v>
      </c>
      <c r="L939" s="32" t="n">
        <f aca="false">'Aturan &amp; Tarif'!$B$6</f>
        <v>350</v>
      </c>
      <c r="M939" s="35" t="n">
        <f aca="false">I939+J939+K939+L939</f>
        <v>7512.72</v>
      </c>
      <c r="N939" s="36" t="s">
        <v>131</v>
      </c>
    </row>
    <row r="940" customFormat="false" ht="37.5" hidden="false" customHeight="true" outlineLevel="0" collapsed="false">
      <c r="A940" s="29"/>
      <c r="B940" s="30" t="s">
        <v>2539</v>
      </c>
      <c r="C940" s="31" t="s">
        <v>127</v>
      </c>
      <c r="D940" s="31" t="s">
        <v>108</v>
      </c>
      <c r="E940" s="32" t="n">
        <v>2600</v>
      </c>
      <c r="F940" s="32" t="n">
        <v>950</v>
      </c>
      <c r="G940" s="32" t="n">
        <v>200</v>
      </c>
      <c r="H940" s="33" t="n">
        <v>1</v>
      </c>
      <c r="I940" s="34" t="n">
        <f aca="false">E940*H940+N(F940)+N(G940)</f>
        <v>3750</v>
      </c>
      <c r="J940" s="32" t="n">
        <f aca="false">ROUND(IFERROR(ROUND(IF(OR(ISNUMBER(SEARCH("week",C940)),ISNUMBER(SEARCH("minggu",C940))),IFERROR(_xlfn.NUMBERVALUE(SUBSTITUTE(LEFT(TRIM(C940),FIND(" ",TRIM(C940)&amp;" ")-1),",","."),"."),LEFT(SUBSTITUTE(LEFT(TRIM(C940),FIND(" ",TRIM(C940)&amp;" ")-1),",","."),FIND("/",SUBSTITUTE(LEFT(TRIM(C940),FIND(" ",TRIM(C940)&amp;" ")-1),",","."))-1)/MID(SUBSTITUTE(LEFT(TRIM(C940),FIND(" ",TRIM(C940)&amp;" ")-1),",","."),FIND("/",SUBSTITUTE(LEFT(TRIM(C940),FIND(" ",TRIM(C940)&amp;" ")-1),",","."))+1,9))*12/52,IF(ISNUMBER(SEARCH("month",C940)),IFERROR(_xlfn.NUMBERVALUE(SUBSTITUTE(LEFT(TRIM(C940),FIND(" ",TRIM(C940)&amp;" ")-1),",","."),"."),LEFT(SUBSTITUTE(LEFT(TRIM(C940),FIND(" ",TRIM(C940)&amp;" ")-1),",","."),FIND("/",SUBSTITUTE(LEFT(TRIM(C940),FIND(" ",TRIM(C940)&amp;" ")-1),",","."))-1)/MID(SUBSTITUTE(LEFT(TRIM(C940),FIND(" ",TRIM(C940)&amp;" ")-1),",","."),FIND("/",SUBSTITUTE(LEFT(TRIM(C940),FIND(" ",TRIM(C940)&amp;" ")-1),",","."))+1,9)),IF(ISNUMBER(SEARCH("yea",C940)),IFERROR(_xlfn.NUMBERVALUE(SUBSTITUTE(LEFT(TRIM(C940),FIND(" ",TRIM(C940)&amp;" ")-1),",","."),"."),LEFT(SUBSTITUTE(LEFT(TRIM(C940),FIND(" ",TRIM(C940)&amp;" ")-1),",","."),FIND("/",SUBSTITUTE(LEFT(TRIM(C940),FIND(" ",TRIM(C940)&amp;" ")-1),",","."))-1)/MID(SUBSTITUTE(LEFT(TRIM(C940),FIND(" ",TRIM(C940)&amp;" ")-1),",","."),FIND("/",SUBSTITUTE(LEFT(TRIM(C940),FIND(" ",TRIM(C940)&amp;" ")-1),",","."))+1,9))*12,NA()))),0),36)*'Aturan &amp; Tarif'!$B$4,2)</f>
        <v>2044.08</v>
      </c>
      <c r="K940" s="32" t="n">
        <f aca="false">'Aturan &amp; Tarif'!$B$5</f>
        <v>2050</v>
      </c>
      <c r="L940" s="32" t="n">
        <f aca="false">'Aturan &amp; Tarif'!$B$6</f>
        <v>350</v>
      </c>
      <c r="M940" s="35" t="n">
        <f aca="false">I940+J940+K940+L940</f>
        <v>8194.08</v>
      </c>
      <c r="N940" s="36" t="s">
        <v>131</v>
      </c>
    </row>
    <row r="941" customFormat="false" ht="37.5" hidden="false" customHeight="true" outlineLevel="0" collapsed="false">
      <c r="A941" s="39" t="s">
        <v>2540</v>
      </c>
      <c r="B941" s="40" t="s">
        <v>2541</v>
      </c>
      <c r="C941" s="41" t="s">
        <v>107</v>
      </c>
      <c r="D941" s="41" t="s">
        <v>108</v>
      </c>
      <c r="E941" s="42" t="n">
        <v>1500</v>
      </c>
      <c r="F941" s="42" t="n">
        <v>60</v>
      </c>
      <c r="G941" s="42" t="n">
        <v>250</v>
      </c>
      <c r="H941" s="43" t="n">
        <v>2</v>
      </c>
      <c r="I941" s="34" t="n">
        <f aca="false">E941*H941+N(F941)*H941+N(G941)</f>
        <v>3370</v>
      </c>
      <c r="J941" s="42" t="n">
        <f aca="false">ROUND(IFERROR(ROUND(IF(OR(ISNUMBER(SEARCH("week",C941)),ISNUMBER(SEARCH("minggu",C941))),IFERROR(_xlfn.NUMBERVALUE(SUBSTITUTE(LEFT(TRIM(C941),FIND(" ",TRIM(C941)&amp;" ")-1),",","."),"."),LEFT(SUBSTITUTE(LEFT(TRIM(C941),FIND(" ",TRIM(C941)&amp;" ")-1),",","."),FIND("/",SUBSTITUTE(LEFT(TRIM(C941),FIND(" ",TRIM(C941)&amp;" ")-1),",","."))-1)/MID(SUBSTITUTE(LEFT(TRIM(C941),FIND(" ",TRIM(C941)&amp;" ")-1),",","."),FIND("/",SUBSTITUTE(LEFT(TRIM(C941),FIND(" ",TRIM(C941)&amp;" ")-1),",","."))+1,9))*12/52,IF(ISNUMBER(SEARCH("month",C941)),IFERROR(_xlfn.NUMBERVALUE(SUBSTITUTE(LEFT(TRIM(C941),FIND(" ",TRIM(C941)&amp;" ")-1),",","."),"."),LEFT(SUBSTITUTE(LEFT(TRIM(C941),FIND(" ",TRIM(C941)&amp;" ")-1),",","."),FIND("/",SUBSTITUTE(LEFT(TRIM(C941),FIND(" ",TRIM(C941)&amp;" ")-1),",","."))-1)/MID(SUBSTITUTE(LEFT(TRIM(C941),FIND(" ",TRIM(C941)&amp;" ")-1),",","."),FIND("/",SUBSTITUTE(LEFT(TRIM(C941),FIND(" ",TRIM(C941)&amp;" ")-1),",","."))+1,9)),IF(ISNUMBER(SEARCH("yea",C941)),IFERROR(_xlfn.NUMBERVALUE(SUBSTITUTE(LEFT(TRIM(C941),FIND(" ",TRIM(C941)&amp;" ")-1),",","."),"."),LEFT(SUBSTITUTE(LEFT(TRIM(C941),FIND(" ",TRIM(C941)&amp;" ")-1),",","."),FIND("/",SUBSTITUTE(LEFT(TRIM(C941),FIND(" ",TRIM(C941)&amp;" ")-1),",","."))-1)/MID(SUBSTITUTE(LEFT(TRIM(C941),FIND(" ",TRIM(C941)&amp;" ")-1),",","."),FIND("/",SUBSTITUTE(LEFT(TRIM(C941),FIND(" ",TRIM(C941)&amp;" ")-1),",","."))+1,9))*12,NA()))),0),24)*'Aturan &amp; Tarif'!$B$4,2)</f>
        <v>1362.72</v>
      </c>
      <c r="K941" s="42" t="n">
        <f aca="false">'Aturan &amp; Tarif'!$B$5</f>
        <v>2050</v>
      </c>
      <c r="L941" s="42" t="n">
        <f aca="false">'Aturan &amp; Tarif'!$B$6</f>
        <v>350</v>
      </c>
      <c r="M941" s="35" t="n">
        <f aca="false">I941+J941+K941+L941</f>
        <v>7132.72</v>
      </c>
      <c r="N941" s="45" t="s">
        <v>2542</v>
      </c>
    </row>
    <row r="942" customFormat="false" ht="14.25" hidden="false" customHeight="true" outlineLevel="0" collapsed="false">
      <c r="A942" s="39"/>
      <c r="B942" s="40" t="s">
        <v>2543</v>
      </c>
      <c r="C942" s="41" t="s">
        <v>127</v>
      </c>
      <c r="D942" s="41" t="s">
        <v>108</v>
      </c>
      <c r="E942" s="42" t="n">
        <v>1500</v>
      </c>
      <c r="F942" s="42" t="n">
        <v>60</v>
      </c>
      <c r="G942" s="42" t="n">
        <v>250</v>
      </c>
      <c r="H942" s="43" t="n">
        <v>2</v>
      </c>
      <c r="I942" s="34" t="n">
        <f aca="false">E942*H942+N(F942)*H942+N(G942)</f>
        <v>3370</v>
      </c>
      <c r="J942" s="42" t="n">
        <f aca="false">ROUND(IFERROR(ROUND(IF(OR(ISNUMBER(SEARCH("week",C942)),ISNUMBER(SEARCH("minggu",C942))),IFERROR(_xlfn.NUMBERVALUE(SUBSTITUTE(LEFT(TRIM(C942),FIND(" ",TRIM(C942)&amp;" ")-1),",","."),"."),LEFT(SUBSTITUTE(LEFT(TRIM(C942),FIND(" ",TRIM(C942)&amp;" ")-1),",","."),FIND("/",SUBSTITUTE(LEFT(TRIM(C942),FIND(" ",TRIM(C942)&amp;" ")-1),",","."))-1)/MID(SUBSTITUTE(LEFT(TRIM(C942),FIND(" ",TRIM(C942)&amp;" ")-1),",","."),FIND("/",SUBSTITUTE(LEFT(TRIM(C942),FIND(" ",TRIM(C942)&amp;" ")-1),",","."))+1,9))*12/52,IF(ISNUMBER(SEARCH("month",C942)),IFERROR(_xlfn.NUMBERVALUE(SUBSTITUTE(LEFT(TRIM(C942),FIND(" ",TRIM(C942)&amp;" ")-1),",","."),"."),LEFT(SUBSTITUTE(LEFT(TRIM(C942),FIND(" ",TRIM(C942)&amp;" ")-1),",","."),FIND("/",SUBSTITUTE(LEFT(TRIM(C942),FIND(" ",TRIM(C942)&amp;" ")-1),",","."))-1)/MID(SUBSTITUTE(LEFT(TRIM(C942),FIND(" ",TRIM(C942)&amp;" ")-1),",","."),FIND("/",SUBSTITUTE(LEFT(TRIM(C942),FIND(" ",TRIM(C942)&amp;" ")-1),",","."))+1,9)),IF(ISNUMBER(SEARCH("yea",C942)),IFERROR(_xlfn.NUMBERVALUE(SUBSTITUTE(LEFT(TRIM(C942),FIND(" ",TRIM(C942)&amp;" ")-1),",","."),"."),LEFT(SUBSTITUTE(LEFT(TRIM(C942),FIND(" ",TRIM(C942)&amp;" ")-1),",","."),FIND("/",SUBSTITUTE(LEFT(TRIM(C942),FIND(" ",TRIM(C942)&amp;" ")-1),",","."))-1)/MID(SUBSTITUTE(LEFT(TRIM(C942),FIND(" ",TRIM(C942)&amp;" ")-1),",","."),FIND("/",SUBSTITUTE(LEFT(TRIM(C942),FIND(" ",TRIM(C942)&amp;" ")-1),",","."))+1,9))*12,NA()))),0),36)*'Aturan &amp; Tarif'!$B$4,2)</f>
        <v>2044.08</v>
      </c>
      <c r="K942" s="42" t="n">
        <f aca="false">'Aturan &amp; Tarif'!$B$5</f>
        <v>2050</v>
      </c>
      <c r="L942" s="42" t="n">
        <f aca="false">'Aturan &amp; Tarif'!$B$6</f>
        <v>350</v>
      </c>
      <c r="M942" s="35" t="n">
        <f aca="false">I942+J942+K942+L942</f>
        <v>7814.08</v>
      </c>
      <c r="N942" s="45" t="s">
        <v>2542</v>
      </c>
    </row>
    <row r="943" customFormat="false" ht="25.5" hidden="false" customHeight="true" outlineLevel="0" collapsed="false">
      <c r="A943" s="39"/>
      <c r="B943" s="40" t="s">
        <v>2544</v>
      </c>
      <c r="C943" s="41" t="s">
        <v>191</v>
      </c>
      <c r="D943" s="41" t="s">
        <v>108</v>
      </c>
      <c r="E943" s="42" t="n">
        <v>1500</v>
      </c>
      <c r="F943" s="42" t="n">
        <v>60</v>
      </c>
      <c r="G943" s="42" t="n">
        <v>250</v>
      </c>
      <c r="H943" s="43" t="n">
        <v>2</v>
      </c>
      <c r="I943" s="34" t="n">
        <f aca="false">E943*H943+N(F943)*H943+N(G943)</f>
        <v>3370</v>
      </c>
      <c r="J943" s="42" t="n">
        <f aca="false">ROUND(IFERROR(ROUND(IF(OR(ISNUMBER(SEARCH("week",C943)),ISNUMBER(SEARCH("minggu",C943))),IFERROR(_xlfn.NUMBERVALUE(SUBSTITUTE(LEFT(TRIM(C943),FIND(" ",TRIM(C943)&amp;" ")-1),",","."),"."),LEFT(SUBSTITUTE(LEFT(TRIM(C943),FIND(" ",TRIM(C943)&amp;" ")-1),",","."),FIND("/",SUBSTITUTE(LEFT(TRIM(C943),FIND(" ",TRIM(C943)&amp;" ")-1),",","."))-1)/MID(SUBSTITUTE(LEFT(TRIM(C943),FIND(" ",TRIM(C943)&amp;" ")-1),",","."),FIND("/",SUBSTITUTE(LEFT(TRIM(C943),FIND(" ",TRIM(C943)&amp;" ")-1),",","."))+1,9))*12/52,IF(ISNUMBER(SEARCH("month",C943)),IFERROR(_xlfn.NUMBERVALUE(SUBSTITUTE(LEFT(TRIM(C943),FIND(" ",TRIM(C943)&amp;" ")-1),",","."),"."),LEFT(SUBSTITUTE(LEFT(TRIM(C943),FIND(" ",TRIM(C943)&amp;" ")-1),",","."),FIND("/",SUBSTITUTE(LEFT(TRIM(C943),FIND(" ",TRIM(C943)&amp;" ")-1),",","."))-1)/MID(SUBSTITUTE(LEFT(TRIM(C943),FIND(" ",TRIM(C943)&amp;" ")-1),",","."),FIND("/",SUBSTITUTE(LEFT(TRIM(C943),FIND(" ",TRIM(C943)&amp;" ")-1),",","."))+1,9)),IF(ISNUMBER(SEARCH("yea",C943)),IFERROR(_xlfn.NUMBERVALUE(SUBSTITUTE(LEFT(TRIM(C943),FIND(" ",TRIM(C943)&amp;" ")-1),",","."),"."),LEFT(SUBSTITUTE(LEFT(TRIM(C943),FIND(" ",TRIM(C943)&amp;" ")-1),",","."),FIND("/",SUBSTITUTE(LEFT(TRIM(C943),FIND(" ",TRIM(C943)&amp;" ")-1),",","."))-1)/MID(SUBSTITUTE(LEFT(TRIM(C943),FIND(" ",TRIM(C943)&amp;" ")-1),",","."),FIND("/",SUBSTITUTE(LEFT(TRIM(C943),FIND(" ",TRIM(C943)&amp;" ")-1),",","."))+1,9))*12,NA()))),0),48)*'Aturan &amp; Tarif'!$B$4,2)</f>
        <v>2725.44</v>
      </c>
      <c r="K943" s="42" t="n">
        <f aca="false">'Aturan &amp; Tarif'!$B$5</f>
        <v>2050</v>
      </c>
      <c r="L943" s="42" t="n">
        <f aca="false">'Aturan &amp; Tarif'!$B$6</f>
        <v>350</v>
      </c>
      <c r="M943" s="35" t="n">
        <f aca="false">I943+J943+K943+L943</f>
        <v>8495.44</v>
      </c>
      <c r="N943" s="45" t="s">
        <v>2542</v>
      </c>
    </row>
    <row r="944" customFormat="false" ht="25.5" hidden="false" customHeight="true" outlineLevel="0" collapsed="false">
      <c r="A944" s="39"/>
      <c r="B944" s="40" t="s">
        <v>2545</v>
      </c>
      <c r="C944" s="41" t="s">
        <v>2024</v>
      </c>
      <c r="D944" s="41" t="s">
        <v>108</v>
      </c>
      <c r="E944" s="42" t="n">
        <v>1500</v>
      </c>
      <c r="F944" s="42" t="n">
        <v>60</v>
      </c>
      <c r="G944" s="42" t="n">
        <v>250</v>
      </c>
      <c r="H944" s="43" t="n">
        <v>2</v>
      </c>
      <c r="I944" s="34" t="n">
        <f aca="false">E944*H944+N(F944)*H944+N(G944)</f>
        <v>3370</v>
      </c>
      <c r="J944" s="42" t="n">
        <f aca="false">ROUND(IFERROR(ROUND(IF(OR(ISNUMBER(SEARCH("week",C944)),ISNUMBER(SEARCH("minggu",C944))),IFERROR(_xlfn.NUMBERVALUE(SUBSTITUTE(LEFT(TRIM(C944),FIND(" ",TRIM(C944)&amp;" ")-1),",","."),"."),LEFT(SUBSTITUTE(LEFT(TRIM(C944),FIND(" ",TRIM(C944)&amp;" ")-1),",","."),FIND("/",SUBSTITUTE(LEFT(TRIM(C944),FIND(" ",TRIM(C944)&amp;" ")-1),",","."))-1)/MID(SUBSTITUTE(LEFT(TRIM(C944),FIND(" ",TRIM(C944)&amp;" ")-1),",","."),FIND("/",SUBSTITUTE(LEFT(TRIM(C944),FIND(" ",TRIM(C944)&amp;" ")-1),",","."))+1,9))*12/52,IF(ISNUMBER(SEARCH("month",C944)),IFERROR(_xlfn.NUMBERVALUE(SUBSTITUTE(LEFT(TRIM(C944),FIND(" ",TRIM(C944)&amp;" ")-1),",","."),"."),LEFT(SUBSTITUTE(LEFT(TRIM(C944),FIND(" ",TRIM(C944)&amp;" ")-1),",","."),FIND("/",SUBSTITUTE(LEFT(TRIM(C944),FIND(" ",TRIM(C944)&amp;" ")-1),",","."))-1)/MID(SUBSTITUTE(LEFT(TRIM(C944),FIND(" ",TRIM(C944)&amp;" ")-1),",","."),FIND("/",SUBSTITUTE(LEFT(TRIM(C944),FIND(" ",TRIM(C944)&amp;" ")-1),",","."))+1,9)),IF(ISNUMBER(SEARCH("yea",C944)),IFERROR(_xlfn.NUMBERVALUE(SUBSTITUTE(LEFT(TRIM(C944),FIND(" ",TRIM(C944)&amp;" ")-1),",","."),"."),LEFT(SUBSTITUTE(LEFT(TRIM(C944),FIND(" ",TRIM(C944)&amp;" ")-1),",","."),FIND("/",SUBSTITUTE(LEFT(TRIM(C944),FIND(" ",TRIM(C944)&amp;" ")-1),",","."))-1)/MID(SUBSTITUTE(LEFT(TRIM(C944),FIND(" ",TRIM(C944)&amp;" ")-1),",","."),FIND("/",SUBSTITUTE(LEFT(TRIM(C944),FIND(" ",TRIM(C944)&amp;" ")-1),",","."))+1,9))*12,NA()))),0),54)*'Aturan &amp; Tarif'!$B$4,2)</f>
        <v>3066.12</v>
      </c>
      <c r="K944" s="42" t="n">
        <f aca="false">'Aturan &amp; Tarif'!$B$5</f>
        <v>2050</v>
      </c>
      <c r="L944" s="42" t="n">
        <f aca="false">'Aturan &amp; Tarif'!$B$6</f>
        <v>350</v>
      </c>
      <c r="M944" s="35" t="n">
        <f aca="false">I944+J944+K944+L944</f>
        <v>8836.12</v>
      </c>
      <c r="N944" s="45" t="s">
        <v>2542</v>
      </c>
    </row>
    <row r="945" customFormat="false" ht="25.5" hidden="false" customHeight="true" outlineLevel="0" collapsed="false">
      <c r="A945" s="39"/>
      <c r="B945" s="40" t="s">
        <v>496</v>
      </c>
      <c r="C945" s="41" t="s">
        <v>138</v>
      </c>
      <c r="D945" s="41" t="s">
        <v>108</v>
      </c>
      <c r="E945" s="42" t="n">
        <v>1500</v>
      </c>
      <c r="F945" s="42" t="n">
        <v>60</v>
      </c>
      <c r="G945" s="42" t="n">
        <v>250</v>
      </c>
      <c r="H945" s="43" t="n">
        <v>2</v>
      </c>
      <c r="I945" s="34" t="n">
        <f aca="false">E945*H945+N(F945)*H945+N(G945)</f>
        <v>3370</v>
      </c>
      <c r="J945" s="42" t="n">
        <f aca="false">ROUND(IFERROR(ROUND(IF(OR(ISNUMBER(SEARCH("week",C945)),ISNUMBER(SEARCH("minggu",C945))),IFERROR(_xlfn.NUMBERVALUE(SUBSTITUTE(LEFT(TRIM(C945),FIND(" ",TRIM(C945)&amp;" ")-1),",","."),"."),LEFT(SUBSTITUTE(LEFT(TRIM(C945),FIND(" ",TRIM(C945)&amp;" ")-1),",","."),FIND("/",SUBSTITUTE(LEFT(TRIM(C945),FIND(" ",TRIM(C945)&amp;" ")-1),",","."))-1)/MID(SUBSTITUTE(LEFT(TRIM(C945),FIND(" ",TRIM(C945)&amp;" ")-1),",","."),FIND("/",SUBSTITUTE(LEFT(TRIM(C945),FIND(" ",TRIM(C945)&amp;" ")-1),",","."))+1,9))*12/52,IF(ISNUMBER(SEARCH("month",C945)),IFERROR(_xlfn.NUMBERVALUE(SUBSTITUTE(LEFT(TRIM(C945),FIND(" ",TRIM(C945)&amp;" ")-1),",","."),"."),LEFT(SUBSTITUTE(LEFT(TRIM(C945),FIND(" ",TRIM(C945)&amp;" ")-1),",","."),FIND("/",SUBSTITUTE(LEFT(TRIM(C945),FIND(" ",TRIM(C945)&amp;" ")-1),",","."))-1)/MID(SUBSTITUTE(LEFT(TRIM(C945),FIND(" ",TRIM(C945)&amp;" ")-1),",","."),FIND("/",SUBSTITUTE(LEFT(TRIM(C945),FIND(" ",TRIM(C945)&amp;" ")-1),",","."))+1,9)),IF(ISNUMBER(SEARCH("yea",C945)),IFERROR(_xlfn.NUMBERVALUE(SUBSTITUTE(LEFT(TRIM(C945),FIND(" ",TRIM(C945)&amp;" ")-1),",","."),"."),LEFT(SUBSTITUTE(LEFT(TRIM(C945),FIND(" ",TRIM(C945)&amp;" ")-1),",","."),FIND("/",SUBSTITUTE(LEFT(TRIM(C945),FIND(" ",TRIM(C945)&amp;" ")-1),",","."))-1)/MID(SUBSTITUTE(LEFT(TRIM(C945),FIND(" ",TRIM(C945)&amp;" ")-1),",","."),FIND("/",SUBSTITUTE(LEFT(TRIM(C945),FIND(" ",TRIM(C945)&amp;" ")-1),",","."))+1,9))*12,NA()))),0),30)*'Aturan &amp; Tarif'!$B$4,2)</f>
        <v>1703.4</v>
      </c>
      <c r="K945" s="42" t="n">
        <f aca="false">'Aturan &amp; Tarif'!$B$5</f>
        <v>2050</v>
      </c>
      <c r="L945" s="42" t="n">
        <f aca="false">'Aturan &amp; Tarif'!$B$6</f>
        <v>350</v>
      </c>
      <c r="M945" s="35" t="n">
        <f aca="false">I945+J945+K945+L945</f>
        <v>7473.4</v>
      </c>
      <c r="N945" s="45" t="s">
        <v>2542</v>
      </c>
    </row>
    <row r="946" customFormat="false" ht="25.5" hidden="false" customHeight="true" outlineLevel="0" collapsed="false">
      <c r="A946" s="39"/>
      <c r="B946" s="40" t="s">
        <v>2546</v>
      </c>
      <c r="C946" s="41" t="s">
        <v>191</v>
      </c>
      <c r="D946" s="41" t="s">
        <v>108</v>
      </c>
      <c r="E946" s="42" t="n">
        <v>1500</v>
      </c>
      <c r="F946" s="42" t="n">
        <v>60</v>
      </c>
      <c r="G946" s="42" t="n">
        <v>250</v>
      </c>
      <c r="H946" s="43" t="n">
        <v>2</v>
      </c>
      <c r="I946" s="34" t="n">
        <f aca="false">E946*H946+N(F946)*H946+N(G946)</f>
        <v>3370</v>
      </c>
      <c r="J946" s="42" t="n">
        <f aca="false">ROUND(IFERROR(ROUND(IF(OR(ISNUMBER(SEARCH("week",C946)),ISNUMBER(SEARCH("minggu",C946))),IFERROR(_xlfn.NUMBERVALUE(SUBSTITUTE(LEFT(TRIM(C946),FIND(" ",TRIM(C946)&amp;" ")-1),",","."),"."),LEFT(SUBSTITUTE(LEFT(TRIM(C946),FIND(" ",TRIM(C946)&amp;" ")-1),",","."),FIND("/",SUBSTITUTE(LEFT(TRIM(C946),FIND(" ",TRIM(C946)&amp;" ")-1),",","."))-1)/MID(SUBSTITUTE(LEFT(TRIM(C946),FIND(" ",TRIM(C946)&amp;" ")-1),",","."),FIND("/",SUBSTITUTE(LEFT(TRIM(C946),FIND(" ",TRIM(C946)&amp;" ")-1),",","."))+1,9))*12/52,IF(ISNUMBER(SEARCH("month",C946)),IFERROR(_xlfn.NUMBERVALUE(SUBSTITUTE(LEFT(TRIM(C946),FIND(" ",TRIM(C946)&amp;" ")-1),",","."),"."),LEFT(SUBSTITUTE(LEFT(TRIM(C946),FIND(" ",TRIM(C946)&amp;" ")-1),",","."),FIND("/",SUBSTITUTE(LEFT(TRIM(C946),FIND(" ",TRIM(C946)&amp;" ")-1),",","."))-1)/MID(SUBSTITUTE(LEFT(TRIM(C946),FIND(" ",TRIM(C946)&amp;" ")-1),",","."),FIND("/",SUBSTITUTE(LEFT(TRIM(C946),FIND(" ",TRIM(C946)&amp;" ")-1),",","."))+1,9)),IF(ISNUMBER(SEARCH("yea",C946)),IFERROR(_xlfn.NUMBERVALUE(SUBSTITUTE(LEFT(TRIM(C946),FIND(" ",TRIM(C946)&amp;" ")-1),",","."),"."),LEFT(SUBSTITUTE(LEFT(TRIM(C946),FIND(" ",TRIM(C946)&amp;" ")-1),",","."),FIND("/",SUBSTITUTE(LEFT(TRIM(C946),FIND(" ",TRIM(C946)&amp;" ")-1),",","."))-1)/MID(SUBSTITUTE(LEFT(TRIM(C946),FIND(" ",TRIM(C946)&amp;" ")-1),",","."),FIND("/",SUBSTITUTE(LEFT(TRIM(C946),FIND(" ",TRIM(C946)&amp;" ")-1),",","."))+1,9))*12,NA()))),0),48)*'Aturan &amp; Tarif'!$B$4,2)</f>
        <v>2725.44</v>
      </c>
      <c r="K946" s="42" t="n">
        <f aca="false">'Aturan &amp; Tarif'!$B$5</f>
        <v>2050</v>
      </c>
      <c r="L946" s="42" t="n">
        <f aca="false">'Aturan &amp; Tarif'!$B$6</f>
        <v>350</v>
      </c>
      <c r="M946" s="35" t="n">
        <f aca="false">I946+J946+K946+L946</f>
        <v>8495.44</v>
      </c>
      <c r="N946" s="45" t="s">
        <v>2542</v>
      </c>
    </row>
    <row r="947" customFormat="false" ht="14.25" hidden="false" customHeight="true" outlineLevel="0" collapsed="false">
      <c r="A947" s="39"/>
      <c r="B947" s="40" t="s">
        <v>2547</v>
      </c>
      <c r="C947" s="41" t="s">
        <v>127</v>
      </c>
      <c r="D947" s="41" t="s">
        <v>108</v>
      </c>
      <c r="E947" s="42" t="n">
        <v>1750</v>
      </c>
      <c r="F947" s="42" t="n">
        <v>60</v>
      </c>
      <c r="G947" s="42" t="n">
        <v>250</v>
      </c>
      <c r="H947" s="43" t="n">
        <v>2</v>
      </c>
      <c r="I947" s="34" t="n">
        <f aca="false">E947*H947+N(F947)*H947+N(G947)</f>
        <v>3870</v>
      </c>
      <c r="J947" s="42" t="n">
        <f aca="false">ROUND(IFERROR(ROUND(IF(OR(ISNUMBER(SEARCH("week",C947)),ISNUMBER(SEARCH("minggu",C947))),IFERROR(_xlfn.NUMBERVALUE(SUBSTITUTE(LEFT(TRIM(C947),FIND(" ",TRIM(C947)&amp;" ")-1),",","."),"."),LEFT(SUBSTITUTE(LEFT(TRIM(C947),FIND(" ",TRIM(C947)&amp;" ")-1),",","."),FIND("/",SUBSTITUTE(LEFT(TRIM(C947),FIND(" ",TRIM(C947)&amp;" ")-1),",","."))-1)/MID(SUBSTITUTE(LEFT(TRIM(C947),FIND(" ",TRIM(C947)&amp;" ")-1),",","."),FIND("/",SUBSTITUTE(LEFT(TRIM(C947),FIND(" ",TRIM(C947)&amp;" ")-1),",","."))+1,9))*12/52,IF(ISNUMBER(SEARCH("month",C947)),IFERROR(_xlfn.NUMBERVALUE(SUBSTITUTE(LEFT(TRIM(C947),FIND(" ",TRIM(C947)&amp;" ")-1),",","."),"."),LEFT(SUBSTITUTE(LEFT(TRIM(C947),FIND(" ",TRIM(C947)&amp;" ")-1),",","."),FIND("/",SUBSTITUTE(LEFT(TRIM(C947),FIND(" ",TRIM(C947)&amp;" ")-1),",","."))-1)/MID(SUBSTITUTE(LEFT(TRIM(C947),FIND(" ",TRIM(C947)&amp;" ")-1),",","."),FIND("/",SUBSTITUTE(LEFT(TRIM(C947),FIND(" ",TRIM(C947)&amp;" ")-1),",","."))+1,9)),IF(ISNUMBER(SEARCH("yea",C947)),IFERROR(_xlfn.NUMBERVALUE(SUBSTITUTE(LEFT(TRIM(C947),FIND(" ",TRIM(C947)&amp;" ")-1),",","."),"."),LEFT(SUBSTITUTE(LEFT(TRIM(C947),FIND(" ",TRIM(C947)&amp;" ")-1),",","."),FIND("/",SUBSTITUTE(LEFT(TRIM(C947),FIND(" ",TRIM(C947)&amp;" ")-1),",","."))-1)/MID(SUBSTITUTE(LEFT(TRIM(C947),FIND(" ",TRIM(C947)&amp;" ")-1),",","."),FIND("/",SUBSTITUTE(LEFT(TRIM(C947),FIND(" ",TRIM(C947)&amp;" ")-1),",","."))+1,9))*12,NA()))),0),36)*'Aturan &amp; Tarif'!$B$4,2)</f>
        <v>2044.08</v>
      </c>
      <c r="K947" s="42" t="n">
        <f aca="false">'Aturan &amp; Tarif'!$B$5</f>
        <v>2050</v>
      </c>
      <c r="L947" s="42" t="n">
        <f aca="false">'Aturan &amp; Tarif'!$B$6</f>
        <v>350</v>
      </c>
      <c r="M947" s="35" t="n">
        <f aca="false">I947+J947+K947+L947</f>
        <v>8314.08</v>
      </c>
      <c r="N947" s="45" t="s">
        <v>2542</v>
      </c>
    </row>
    <row r="948" customFormat="false" ht="48.75" hidden="false" customHeight="true" outlineLevel="0" collapsed="false">
      <c r="A948" s="39" t="s">
        <v>2548</v>
      </c>
      <c r="B948" s="40" t="s">
        <v>1025</v>
      </c>
      <c r="C948" s="41" t="s">
        <v>138</v>
      </c>
      <c r="D948" s="41" t="s">
        <v>108</v>
      </c>
      <c r="E948" s="42" t="n">
        <v>1500</v>
      </c>
      <c r="F948" s="42" t="n">
        <v>50</v>
      </c>
      <c r="G948" s="42" t="n">
        <v>250</v>
      </c>
      <c r="H948" s="43" t="n">
        <v>1</v>
      </c>
      <c r="I948" s="34" t="n">
        <f aca="false">E948*H948+N(F948)+N(G948)</f>
        <v>1800</v>
      </c>
      <c r="J948" s="42" t="n">
        <f aca="false">ROUND(IFERROR(ROUND(IF(OR(ISNUMBER(SEARCH("week",C948)),ISNUMBER(SEARCH("minggu",C948))),IFERROR(_xlfn.NUMBERVALUE(SUBSTITUTE(LEFT(TRIM(C948),FIND(" ",TRIM(C948)&amp;" ")-1),",","."),"."),LEFT(SUBSTITUTE(LEFT(TRIM(C948),FIND(" ",TRIM(C948)&amp;" ")-1),",","."),FIND("/",SUBSTITUTE(LEFT(TRIM(C948),FIND(" ",TRIM(C948)&amp;" ")-1),",","."))-1)/MID(SUBSTITUTE(LEFT(TRIM(C948),FIND(" ",TRIM(C948)&amp;" ")-1),",","."),FIND("/",SUBSTITUTE(LEFT(TRIM(C948),FIND(" ",TRIM(C948)&amp;" ")-1),",","."))+1,9))*12/52,IF(ISNUMBER(SEARCH("month",C948)),IFERROR(_xlfn.NUMBERVALUE(SUBSTITUTE(LEFT(TRIM(C948),FIND(" ",TRIM(C948)&amp;" ")-1),",","."),"."),LEFT(SUBSTITUTE(LEFT(TRIM(C948),FIND(" ",TRIM(C948)&amp;" ")-1),",","."),FIND("/",SUBSTITUTE(LEFT(TRIM(C948),FIND(" ",TRIM(C948)&amp;" ")-1),",","."))-1)/MID(SUBSTITUTE(LEFT(TRIM(C948),FIND(" ",TRIM(C948)&amp;" ")-1),",","."),FIND("/",SUBSTITUTE(LEFT(TRIM(C948),FIND(" ",TRIM(C948)&amp;" ")-1),",","."))+1,9)),IF(ISNUMBER(SEARCH("yea",C948)),IFERROR(_xlfn.NUMBERVALUE(SUBSTITUTE(LEFT(TRIM(C948),FIND(" ",TRIM(C948)&amp;" ")-1),",","."),"."),LEFT(SUBSTITUTE(LEFT(TRIM(C948),FIND(" ",TRIM(C948)&amp;" ")-1),",","."),FIND("/",SUBSTITUTE(LEFT(TRIM(C948),FIND(" ",TRIM(C948)&amp;" ")-1),",","."))-1)/MID(SUBSTITUTE(LEFT(TRIM(C948),FIND(" ",TRIM(C948)&amp;" ")-1),",","."),FIND("/",SUBSTITUTE(LEFT(TRIM(C948),FIND(" ",TRIM(C948)&amp;" ")-1),",","."))+1,9))*12,NA()))),0),30)*'Aturan &amp; Tarif'!$B$4,2)</f>
        <v>1703.4</v>
      </c>
      <c r="K948" s="42" t="n">
        <f aca="false">'Aturan &amp; Tarif'!$B$5</f>
        <v>2050</v>
      </c>
      <c r="L948" s="42" t="n">
        <f aca="false">'Aturan &amp; Tarif'!$B$6</f>
        <v>350</v>
      </c>
      <c r="M948" s="35" t="n">
        <f aca="false">I948+J948+K948+L948</f>
        <v>5903.4</v>
      </c>
      <c r="N948" s="45" t="s">
        <v>134</v>
      </c>
    </row>
    <row r="949" customFormat="false" ht="25.5" hidden="false" customHeight="true" outlineLevel="0" collapsed="false">
      <c r="A949" s="39"/>
      <c r="B949" s="40" t="s">
        <v>2356</v>
      </c>
      <c r="C949" s="41" t="s">
        <v>136</v>
      </c>
      <c r="D949" s="41" t="s">
        <v>108</v>
      </c>
      <c r="E949" s="42" t="n">
        <v>1500</v>
      </c>
      <c r="F949" s="42" t="n">
        <v>50</v>
      </c>
      <c r="G949" s="42" t="n">
        <v>250</v>
      </c>
      <c r="H949" s="43" t="n">
        <v>1</v>
      </c>
      <c r="I949" s="34" t="n">
        <f aca="false">E949*H949+N(F949)+N(G949)</f>
        <v>1800</v>
      </c>
      <c r="J949" s="42" t="n">
        <f aca="false">ROUND(IFERROR(ROUND(IF(OR(ISNUMBER(SEARCH("week",C949)),ISNUMBER(SEARCH("minggu",C949))),IFERROR(_xlfn.NUMBERVALUE(SUBSTITUTE(LEFT(TRIM(C949),FIND(" ",TRIM(C949)&amp;" ")-1),",","."),"."),LEFT(SUBSTITUTE(LEFT(TRIM(C949),FIND(" ",TRIM(C949)&amp;" ")-1),",","."),FIND("/",SUBSTITUTE(LEFT(TRIM(C949),FIND(" ",TRIM(C949)&amp;" ")-1),",","."))-1)/MID(SUBSTITUTE(LEFT(TRIM(C949),FIND(" ",TRIM(C949)&amp;" ")-1),",","."),FIND("/",SUBSTITUTE(LEFT(TRIM(C949),FIND(" ",TRIM(C949)&amp;" ")-1),",","."))+1,9))*12/52,IF(ISNUMBER(SEARCH("month",C949)),IFERROR(_xlfn.NUMBERVALUE(SUBSTITUTE(LEFT(TRIM(C949),FIND(" ",TRIM(C949)&amp;" ")-1),",","."),"."),LEFT(SUBSTITUTE(LEFT(TRIM(C949),FIND(" ",TRIM(C949)&amp;" ")-1),",","."),FIND("/",SUBSTITUTE(LEFT(TRIM(C949),FIND(" ",TRIM(C949)&amp;" ")-1),",","."))-1)/MID(SUBSTITUTE(LEFT(TRIM(C949),FIND(" ",TRIM(C949)&amp;" ")-1),",","."),FIND("/",SUBSTITUTE(LEFT(TRIM(C949),FIND(" ",TRIM(C949)&amp;" ")-1),",","."))+1,9)),IF(ISNUMBER(SEARCH("yea",C949)),IFERROR(_xlfn.NUMBERVALUE(SUBSTITUTE(LEFT(TRIM(C949),FIND(" ",TRIM(C949)&amp;" ")-1),",","."),"."),LEFT(SUBSTITUTE(LEFT(TRIM(C949),FIND(" ",TRIM(C949)&amp;" ")-1),",","."),FIND("/",SUBSTITUTE(LEFT(TRIM(C949),FIND(" ",TRIM(C949)&amp;" ")-1),",","."))-1)/MID(SUBSTITUTE(LEFT(TRIM(C949),FIND(" ",TRIM(C949)&amp;" ")-1),",","."),FIND("/",SUBSTITUTE(LEFT(TRIM(C949),FIND(" ",TRIM(C949)&amp;" ")-1),",","."))+1,9))*12,NA()))),0),42)*'Aturan &amp; Tarif'!$B$4,2)</f>
        <v>2384.76</v>
      </c>
      <c r="K949" s="42" t="n">
        <f aca="false">'Aturan &amp; Tarif'!$B$5</f>
        <v>2050</v>
      </c>
      <c r="L949" s="42" t="n">
        <f aca="false">'Aturan &amp; Tarif'!$B$6</f>
        <v>350</v>
      </c>
      <c r="M949" s="35" t="n">
        <f aca="false">I949+J949+K949+L949</f>
        <v>6584.76</v>
      </c>
      <c r="N949" s="45" t="s">
        <v>134</v>
      </c>
    </row>
    <row r="950" customFormat="false" ht="25.5" hidden="false" customHeight="true" outlineLevel="0" collapsed="false">
      <c r="A950" s="39"/>
      <c r="B950" s="40" t="s">
        <v>496</v>
      </c>
      <c r="C950" s="41" t="s">
        <v>138</v>
      </c>
      <c r="D950" s="41" t="s">
        <v>108</v>
      </c>
      <c r="E950" s="42" t="n">
        <v>1500</v>
      </c>
      <c r="F950" s="42" t="n">
        <v>50</v>
      </c>
      <c r="G950" s="42" t="n">
        <v>250</v>
      </c>
      <c r="H950" s="43" t="n">
        <v>1</v>
      </c>
      <c r="I950" s="34" t="n">
        <f aca="false">E950*H950+N(F950)+N(G950)</f>
        <v>1800</v>
      </c>
      <c r="J950" s="42" t="n">
        <f aca="false">ROUND(IFERROR(ROUND(IF(OR(ISNUMBER(SEARCH("week",C950)),ISNUMBER(SEARCH("minggu",C950))),IFERROR(_xlfn.NUMBERVALUE(SUBSTITUTE(LEFT(TRIM(C950),FIND(" ",TRIM(C950)&amp;" ")-1),",","."),"."),LEFT(SUBSTITUTE(LEFT(TRIM(C950),FIND(" ",TRIM(C950)&amp;" ")-1),",","."),FIND("/",SUBSTITUTE(LEFT(TRIM(C950),FIND(" ",TRIM(C950)&amp;" ")-1),",","."))-1)/MID(SUBSTITUTE(LEFT(TRIM(C950),FIND(" ",TRIM(C950)&amp;" ")-1),",","."),FIND("/",SUBSTITUTE(LEFT(TRIM(C950),FIND(" ",TRIM(C950)&amp;" ")-1),",","."))+1,9))*12/52,IF(ISNUMBER(SEARCH("month",C950)),IFERROR(_xlfn.NUMBERVALUE(SUBSTITUTE(LEFT(TRIM(C950),FIND(" ",TRIM(C950)&amp;" ")-1),",","."),"."),LEFT(SUBSTITUTE(LEFT(TRIM(C950),FIND(" ",TRIM(C950)&amp;" ")-1),",","."),FIND("/",SUBSTITUTE(LEFT(TRIM(C950),FIND(" ",TRIM(C950)&amp;" ")-1),",","."))-1)/MID(SUBSTITUTE(LEFT(TRIM(C950),FIND(" ",TRIM(C950)&amp;" ")-1),",","."),FIND("/",SUBSTITUTE(LEFT(TRIM(C950),FIND(" ",TRIM(C950)&amp;" ")-1),",","."))+1,9)),IF(ISNUMBER(SEARCH("yea",C950)),IFERROR(_xlfn.NUMBERVALUE(SUBSTITUTE(LEFT(TRIM(C950),FIND(" ",TRIM(C950)&amp;" ")-1),",","."),"."),LEFT(SUBSTITUTE(LEFT(TRIM(C950),FIND(" ",TRIM(C950)&amp;" ")-1),",","."),FIND("/",SUBSTITUTE(LEFT(TRIM(C950),FIND(" ",TRIM(C950)&amp;" ")-1),",","."))-1)/MID(SUBSTITUTE(LEFT(TRIM(C950),FIND(" ",TRIM(C950)&amp;" ")-1),",","."),FIND("/",SUBSTITUTE(LEFT(TRIM(C950),FIND(" ",TRIM(C950)&amp;" ")-1),",","."))+1,9))*12,NA()))),0),30)*'Aturan &amp; Tarif'!$B$4,2)</f>
        <v>1703.4</v>
      </c>
      <c r="K950" s="42" t="n">
        <f aca="false">'Aturan &amp; Tarif'!$B$5</f>
        <v>2050</v>
      </c>
      <c r="L950" s="42" t="n">
        <f aca="false">'Aturan &amp; Tarif'!$B$6</f>
        <v>350</v>
      </c>
      <c r="M950" s="35" t="n">
        <f aca="false">I950+J950+K950+L950</f>
        <v>5903.4</v>
      </c>
      <c r="N950" s="45" t="s">
        <v>134</v>
      </c>
    </row>
    <row r="951" customFormat="false" ht="25.5" hidden="false" customHeight="true" outlineLevel="0" collapsed="false">
      <c r="A951" s="39"/>
      <c r="B951" s="40" t="s">
        <v>1993</v>
      </c>
      <c r="C951" s="41" t="s">
        <v>191</v>
      </c>
      <c r="D951" s="41" t="s">
        <v>108</v>
      </c>
      <c r="E951" s="42" t="n">
        <v>1500</v>
      </c>
      <c r="F951" s="42" t="n">
        <v>50</v>
      </c>
      <c r="G951" s="42" t="n">
        <v>250</v>
      </c>
      <c r="H951" s="43" t="n">
        <v>1</v>
      </c>
      <c r="I951" s="34" t="n">
        <f aca="false">E951*H951+N(F951)+N(G951)</f>
        <v>1800</v>
      </c>
      <c r="J951" s="42" t="n">
        <f aca="false">ROUND(IFERROR(ROUND(IF(OR(ISNUMBER(SEARCH("week",C951)),ISNUMBER(SEARCH("minggu",C951))),IFERROR(_xlfn.NUMBERVALUE(SUBSTITUTE(LEFT(TRIM(C951),FIND(" ",TRIM(C951)&amp;" ")-1),",","."),"."),LEFT(SUBSTITUTE(LEFT(TRIM(C951),FIND(" ",TRIM(C951)&amp;" ")-1),",","."),FIND("/",SUBSTITUTE(LEFT(TRIM(C951),FIND(" ",TRIM(C951)&amp;" ")-1),",","."))-1)/MID(SUBSTITUTE(LEFT(TRIM(C951),FIND(" ",TRIM(C951)&amp;" ")-1),",","."),FIND("/",SUBSTITUTE(LEFT(TRIM(C951),FIND(" ",TRIM(C951)&amp;" ")-1),",","."))+1,9))*12/52,IF(ISNUMBER(SEARCH("month",C951)),IFERROR(_xlfn.NUMBERVALUE(SUBSTITUTE(LEFT(TRIM(C951),FIND(" ",TRIM(C951)&amp;" ")-1),",","."),"."),LEFT(SUBSTITUTE(LEFT(TRIM(C951),FIND(" ",TRIM(C951)&amp;" ")-1),",","."),FIND("/",SUBSTITUTE(LEFT(TRIM(C951),FIND(" ",TRIM(C951)&amp;" ")-1),",","."))-1)/MID(SUBSTITUTE(LEFT(TRIM(C951),FIND(" ",TRIM(C951)&amp;" ")-1),",","."),FIND("/",SUBSTITUTE(LEFT(TRIM(C951),FIND(" ",TRIM(C951)&amp;" ")-1),",","."))+1,9)),IF(ISNUMBER(SEARCH("yea",C951)),IFERROR(_xlfn.NUMBERVALUE(SUBSTITUTE(LEFT(TRIM(C951),FIND(" ",TRIM(C951)&amp;" ")-1),",","."),"."),LEFT(SUBSTITUTE(LEFT(TRIM(C951),FIND(" ",TRIM(C951)&amp;" ")-1),",","."),FIND("/",SUBSTITUTE(LEFT(TRIM(C951),FIND(" ",TRIM(C951)&amp;" ")-1),",","."))-1)/MID(SUBSTITUTE(LEFT(TRIM(C951),FIND(" ",TRIM(C951)&amp;" ")-1),",","."),FIND("/",SUBSTITUTE(LEFT(TRIM(C951),FIND(" ",TRIM(C951)&amp;" ")-1),",","."))+1,9))*12,NA()))),0),48)*'Aturan &amp; Tarif'!$B$4,2)</f>
        <v>2725.44</v>
      </c>
      <c r="K951" s="42" t="n">
        <f aca="false">'Aturan &amp; Tarif'!$B$5</f>
        <v>2050</v>
      </c>
      <c r="L951" s="42" t="n">
        <f aca="false">'Aturan &amp; Tarif'!$B$6</f>
        <v>350</v>
      </c>
      <c r="M951" s="35" t="n">
        <f aca="false">I951+J951+K951+L951</f>
        <v>6925.44</v>
      </c>
      <c r="N951" s="45" t="s">
        <v>134</v>
      </c>
    </row>
    <row r="952" customFormat="false" ht="25.5" hidden="false" customHeight="true" outlineLevel="0" collapsed="false">
      <c r="A952" s="39"/>
      <c r="B952" s="40" t="s">
        <v>2450</v>
      </c>
      <c r="C952" s="41" t="s">
        <v>130</v>
      </c>
      <c r="D952" s="41" t="s">
        <v>108</v>
      </c>
      <c r="E952" s="42" t="n">
        <v>2000</v>
      </c>
      <c r="F952" s="42" t="n">
        <v>50</v>
      </c>
      <c r="G952" s="42" t="n">
        <v>250</v>
      </c>
      <c r="H952" s="43" t="n">
        <v>1</v>
      </c>
      <c r="I952" s="34" t="n">
        <f aca="false">E952*H952+N(F952)+N(G952)</f>
        <v>2300</v>
      </c>
      <c r="J952" s="42" t="n">
        <f aca="false">ROUND(IFERROR(ROUND(IF(OR(ISNUMBER(SEARCH("week",C952)),ISNUMBER(SEARCH("minggu",C952))),IFERROR(_xlfn.NUMBERVALUE(SUBSTITUTE(LEFT(TRIM(C952),FIND(" ",TRIM(C952)&amp;" ")-1),",","."),"."),LEFT(SUBSTITUTE(LEFT(TRIM(C952),FIND(" ",TRIM(C952)&amp;" ")-1),",","."),FIND("/",SUBSTITUTE(LEFT(TRIM(C952),FIND(" ",TRIM(C952)&amp;" ")-1),",","."))-1)/MID(SUBSTITUTE(LEFT(TRIM(C952),FIND(" ",TRIM(C952)&amp;" ")-1),",","."),FIND("/",SUBSTITUTE(LEFT(TRIM(C952),FIND(" ",TRIM(C952)&amp;" ")-1),",","."))+1,9))*12/52,IF(ISNUMBER(SEARCH("month",C952)),IFERROR(_xlfn.NUMBERVALUE(SUBSTITUTE(LEFT(TRIM(C952),FIND(" ",TRIM(C952)&amp;" ")-1),",","."),"."),LEFT(SUBSTITUTE(LEFT(TRIM(C952),FIND(" ",TRIM(C952)&amp;" ")-1),",","."),FIND("/",SUBSTITUTE(LEFT(TRIM(C952),FIND(" ",TRIM(C952)&amp;" ")-1),",","."))-1)/MID(SUBSTITUTE(LEFT(TRIM(C952),FIND(" ",TRIM(C952)&amp;" ")-1),",","."),FIND("/",SUBSTITUTE(LEFT(TRIM(C952),FIND(" ",TRIM(C952)&amp;" ")-1),",","."))+1,9)),IF(ISNUMBER(SEARCH("yea",C952)),IFERROR(_xlfn.NUMBERVALUE(SUBSTITUTE(LEFT(TRIM(C952),FIND(" ",TRIM(C952)&amp;" ")-1),",","."),"."),LEFT(SUBSTITUTE(LEFT(TRIM(C952),FIND(" ",TRIM(C952)&amp;" ")-1),",","."),FIND("/",SUBSTITUTE(LEFT(TRIM(C952),FIND(" ",TRIM(C952)&amp;" ")-1),",","."))-1)/MID(SUBSTITUTE(LEFT(TRIM(C952),FIND(" ",TRIM(C952)&amp;" ")-1),",","."),FIND("/",SUBSTITUTE(LEFT(TRIM(C952),FIND(" ",TRIM(C952)&amp;" ")-1),",","."))+1,9))*12,NA()))),0),12)*'Aturan &amp; Tarif'!$B$4,2)</f>
        <v>681.36</v>
      </c>
      <c r="K952" s="42" t="n">
        <f aca="false">'Aturan &amp; Tarif'!$B$5</f>
        <v>2050</v>
      </c>
      <c r="L952" s="42" t="n">
        <f aca="false">'Aturan &amp; Tarif'!$B$6</f>
        <v>350</v>
      </c>
      <c r="M952" s="35" t="n">
        <f aca="false">I952+J952+K952+L952</f>
        <v>5381.36</v>
      </c>
      <c r="N952" s="44" t="s">
        <v>1905</v>
      </c>
    </row>
    <row r="953" customFormat="false" ht="37.5" hidden="false" customHeight="true" outlineLevel="0" collapsed="false">
      <c r="A953" s="39"/>
      <c r="B953" s="40" t="s">
        <v>2549</v>
      </c>
      <c r="C953" s="41" t="s">
        <v>107</v>
      </c>
      <c r="D953" s="41" t="s">
        <v>108</v>
      </c>
      <c r="E953" s="42" t="n">
        <v>1500</v>
      </c>
      <c r="F953" s="42" t="n">
        <v>50</v>
      </c>
      <c r="G953" s="42" t="n">
        <v>250</v>
      </c>
      <c r="H953" s="43" t="n">
        <v>1</v>
      </c>
      <c r="I953" s="34" t="n">
        <f aca="false">E953*H953+N(F953)+N(G953)</f>
        <v>1800</v>
      </c>
      <c r="J953" s="42" t="n">
        <f aca="false">ROUND(IFERROR(ROUND(IF(OR(ISNUMBER(SEARCH("week",C953)),ISNUMBER(SEARCH("minggu",C953))),IFERROR(_xlfn.NUMBERVALUE(SUBSTITUTE(LEFT(TRIM(C953),FIND(" ",TRIM(C953)&amp;" ")-1),",","."),"."),LEFT(SUBSTITUTE(LEFT(TRIM(C953),FIND(" ",TRIM(C953)&amp;" ")-1),",","."),FIND("/",SUBSTITUTE(LEFT(TRIM(C953),FIND(" ",TRIM(C953)&amp;" ")-1),",","."))-1)/MID(SUBSTITUTE(LEFT(TRIM(C953),FIND(" ",TRIM(C953)&amp;" ")-1),",","."),FIND("/",SUBSTITUTE(LEFT(TRIM(C953),FIND(" ",TRIM(C953)&amp;" ")-1),",","."))+1,9))*12/52,IF(ISNUMBER(SEARCH("month",C953)),IFERROR(_xlfn.NUMBERVALUE(SUBSTITUTE(LEFT(TRIM(C953),FIND(" ",TRIM(C953)&amp;" ")-1),",","."),"."),LEFT(SUBSTITUTE(LEFT(TRIM(C953),FIND(" ",TRIM(C953)&amp;" ")-1),",","."),FIND("/",SUBSTITUTE(LEFT(TRIM(C953),FIND(" ",TRIM(C953)&amp;" ")-1),",","."))-1)/MID(SUBSTITUTE(LEFT(TRIM(C953),FIND(" ",TRIM(C953)&amp;" ")-1),",","."),FIND("/",SUBSTITUTE(LEFT(TRIM(C953),FIND(" ",TRIM(C953)&amp;" ")-1),",","."))+1,9)),IF(ISNUMBER(SEARCH("yea",C953)),IFERROR(_xlfn.NUMBERVALUE(SUBSTITUTE(LEFT(TRIM(C953),FIND(" ",TRIM(C953)&amp;" ")-1),",","."),"."),LEFT(SUBSTITUTE(LEFT(TRIM(C953),FIND(" ",TRIM(C953)&amp;" ")-1),",","."),FIND("/",SUBSTITUTE(LEFT(TRIM(C953),FIND(" ",TRIM(C953)&amp;" ")-1),",","."))-1)/MID(SUBSTITUTE(LEFT(TRIM(C953),FIND(" ",TRIM(C953)&amp;" ")-1),",","."),FIND("/",SUBSTITUTE(LEFT(TRIM(C953),FIND(" ",TRIM(C953)&amp;" ")-1),",","."))+1,9))*12,NA()))),0),24)*'Aturan &amp; Tarif'!$B$4,2)</f>
        <v>1362.72</v>
      </c>
      <c r="K953" s="42" t="n">
        <f aca="false">'Aturan &amp; Tarif'!$B$5</f>
        <v>2050</v>
      </c>
      <c r="L953" s="42" t="n">
        <f aca="false">'Aturan &amp; Tarif'!$B$6</f>
        <v>350</v>
      </c>
      <c r="M953" s="35" t="n">
        <f aca="false">I953+J953+K953+L953</f>
        <v>5562.72</v>
      </c>
      <c r="N953" s="45" t="s">
        <v>134</v>
      </c>
    </row>
    <row r="954" customFormat="false" ht="25.5" hidden="false" customHeight="true" outlineLevel="0" collapsed="false">
      <c r="A954" s="39"/>
      <c r="B954" s="40" t="s">
        <v>2550</v>
      </c>
      <c r="C954" s="41" t="s">
        <v>127</v>
      </c>
      <c r="D954" s="41" t="s">
        <v>108</v>
      </c>
      <c r="E954" s="42" t="n">
        <v>1500</v>
      </c>
      <c r="F954" s="42" t="n">
        <v>50</v>
      </c>
      <c r="G954" s="42" t="n">
        <v>250</v>
      </c>
      <c r="H954" s="43" t="n">
        <v>1</v>
      </c>
      <c r="I954" s="34" t="n">
        <f aca="false">E954*H954+N(F954)+N(G954)</f>
        <v>1800</v>
      </c>
      <c r="J954" s="42" t="n">
        <f aca="false">ROUND(IFERROR(ROUND(IF(OR(ISNUMBER(SEARCH("week",C954)),ISNUMBER(SEARCH("minggu",C954))),IFERROR(_xlfn.NUMBERVALUE(SUBSTITUTE(LEFT(TRIM(C954),FIND(" ",TRIM(C954)&amp;" ")-1),",","."),"."),LEFT(SUBSTITUTE(LEFT(TRIM(C954),FIND(" ",TRIM(C954)&amp;" ")-1),",","."),FIND("/",SUBSTITUTE(LEFT(TRIM(C954),FIND(" ",TRIM(C954)&amp;" ")-1),",","."))-1)/MID(SUBSTITUTE(LEFT(TRIM(C954),FIND(" ",TRIM(C954)&amp;" ")-1),",","."),FIND("/",SUBSTITUTE(LEFT(TRIM(C954),FIND(" ",TRIM(C954)&amp;" ")-1),",","."))+1,9))*12/52,IF(ISNUMBER(SEARCH("month",C954)),IFERROR(_xlfn.NUMBERVALUE(SUBSTITUTE(LEFT(TRIM(C954),FIND(" ",TRIM(C954)&amp;" ")-1),",","."),"."),LEFT(SUBSTITUTE(LEFT(TRIM(C954),FIND(" ",TRIM(C954)&amp;" ")-1),",","."),FIND("/",SUBSTITUTE(LEFT(TRIM(C954),FIND(" ",TRIM(C954)&amp;" ")-1),",","."))-1)/MID(SUBSTITUTE(LEFT(TRIM(C954),FIND(" ",TRIM(C954)&amp;" ")-1),",","."),FIND("/",SUBSTITUTE(LEFT(TRIM(C954),FIND(" ",TRIM(C954)&amp;" ")-1),",","."))+1,9)),IF(ISNUMBER(SEARCH("yea",C954)),IFERROR(_xlfn.NUMBERVALUE(SUBSTITUTE(LEFT(TRIM(C954),FIND(" ",TRIM(C954)&amp;" ")-1),",","."),"."),LEFT(SUBSTITUTE(LEFT(TRIM(C954),FIND(" ",TRIM(C954)&amp;" ")-1),",","."),FIND("/",SUBSTITUTE(LEFT(TRIM(C954),FIND(" ",TRIM(C954)&amp;" ")-1),",","."))-1)/MID(SUBSTITUTE(LEFT(TRIM(C954),FIND(" ",TRIM(C954)&amp;" ")-1),",","."),FIND("/",SUBSTITUTE(LEFT(TRIM(C954),FIND(" ",TRIM(C954)&amp;" ")-1),",","."))+1,9))*12,NA()))),0),36)*'Aturan &amp; Tarif'!$B$4,2)</f>
        <v>2044.08</v>
      </c>
      <c r="K954" s="42" t="n">
        <f aca="false">'Aturan &amp; Tarif'!$B$5</f>
        <v>2050</v>
      </c>
      <c r="L954" s="42" t="n">
        <f aca="false">'Aturan &amp; Tarif'!$B$6</f>
        <v>350</v>
      </c>
      <c r="M954" s="35" t="n">
        <f aca="false">I954+J954+K954+L954</f>
        <v>6244.08</v>
      </c>
      <c r="N954" s="45" t="s">
        <v>134</v>
      </c>
    </row>
    <row r="955" customFormat="false" ht="37.5" hidden="false" customHeight="true" outlineLevel="0" collapsed="false">
      <c r="A955" s="39"/>
      <c r="B955" s="40" t="s">
        <v>2551</v>
      </c>
      <c r="C955" s="41" t="s">
        <v>191</v>
      </c>
      <c r="D955" s="41" t="s">
        <v>108</v>
      </c>
      <c r="E955" s="42" t="n">
        <v>1500</v>
      </c>
      <c r="F955" s="42" t="n">
        <v>50</v>
      </c>
      <c r="G955" s="42" t="n">
        <v>250</v>
      </c>
      <c r="H955" s="43" t="n">
        <v>1</v>
      </c>
      <c r="I955" s="34" t="n">
        <f aca="false">E955*H955+N(F955)+N(G955)</f>
        <v>1800</v>
      </c>
      <c r="J955" s="42" t="n">
        <f aca="false">ROUND(IFERROR(ROUND(IF(OR(ISNUMBER(SEARCH("week",C955)),ISNUMBER(SEARCH("minggu",C955))),IFERROR(_xlfn.NUMBERVALUE(SUBSTITUTE(LEFT(TRIM(C955),FIND(" ",TRIM(C955)&amp;" ")-1),",","."),"."),LEFT(SUBSTITUTE(LEFT(TRIM(C955),FIND(" ",TRIM(C955)&amp;" ")-1),",","."),FIND("/",SUBSTITUTE(LEFT(TRIM(C955),FIND(" ",TRIM(C955)&amp;" ")-1),",","."))-1)/MID(SUBSTITUTE(LEFT(TRIM(C955),FIND(" ",TRIM(C955)&amp;" ")-1),",","."),FIND("/",SUBSTITUTE(LEFT(TRIM(C955),FIND(" ",TRIM(C955)&amp;" ")-1),",","."))+1,9))*12/52,IF(ISNUMBER(SEARCH("month",C955)),IFERROR(_xlfn.NUMBERVALUE(SUBSTITUTE(LEFT(TRIM(C955),FIND(" ",TRIM(C955)&amp;" ")-1),",","."),"."),LEFT(SUBSTITUTE(LEFT(TRIM(C955),FIND(" ",TRIM(C955)&amp;" ")-1),",","."),FIND("/",SUBSTITUTE(LEFT(TRIM(C955),FIND(" ",TRIM(C955)&amp;" ")-1),",","."))-1)/MID(SUBSTITUTE(LEFT(TRIM(C955),FIND(" ",TRIM(C955)&amp;" ")-1),",","."),FIND("/",SUBSTITUTE(LEFT(TRIM(C955),FIND(" ",TRIM(C955)&amp;" ")-1),",","."))+1,9)),IF(ISNUMBER(SEARCH("yea",C955)),IFERROR(_xlfn.NUMBERVALUE(SUBSTITUTE(LEFT(TRIM(C955),FIND(" ",TRIM(C955)&amp;" ")-1),",","."),"."),LEFT(SUBSTITUTE(LEFT(TRIM(C955),FIND(" ",TRIM(C955)&amp;" ")-1),",","."),FIND("/",SUBSTITUTE(LEFT(TRIM(C955),FIND(" ",TRIM(C955)&amp;" ")-1),",","."))-1)/MID(SUBSTITUTE(LEFT(TRIM(C955),FIND(" ",TRIM(C955)&amp;" ")-1),",","."),FIND("/",SUBSTITUTE(LEFT(TRIM(C955),FIND(" ",TRIM(C955)&amp;" ")-1),",","."))+1,9))*12,NA()))),0),48)*'Aturan &amp; Tarif'!$B$4,2)</f>
        <v>2725.44</v>
      </c>
      <c r="K955" s="42" t="n">
        <f aca="false">'Aturan &amp; Tarif'!$B$5</f>
        <v>2050</v>
      </c>
      <c r="L955" s="42" t="n">
        <f aca="false">'Aturan &amp; Tarif'!$B$6</f>
        <v>350</v>
      </c>
      <c r="M955" s="35" t="n">
        <f aca="false">I955+J955+K955+L955</f>
        <v>6925.44</v>
      </c>
      <c r="N955" s="45" t="s">
        <v>134</v>
      </c>
    </row>
    <row r="956" customFormat="false" ht="14.25" hidden="false" customHeight="true" outlineLevel="0" collapsed="false">
      <c r="A956" s="39"/>
      <c r="B956" s="40" t="s">
        <v>2552</v>
      </c>
      <c r="C956" s="41" t="s">
        <v>127</v>
      </c>
      <c r="D956" s="41" t="s">
        <v>108</v>
      </c>
      <c r="E956" s="42" t="n">
        <v>1500</v>
      </c>
      <c r="F956" s="42" t="n">
        <v>50</v>
      </c>
      <c r="G956" s="42" t="n">
        <v>250</v>
      </c>
      <c r="H956" s="43" t="n">
        <v>1</v>
      </c>
      <c r="I956" s="34" t="n">
        <f aca="false">E956*H956+N(F956)+N(G956)</f>
        <v>1800</v>
      </c>
      <c r="J956" s="42" t="n">
        <f aca="false">ROUND(IFERROR(ROUND(IF(OR(ISNUMBER(SEARCH("week",C956)),ISNUMBER(SEARCH("minggu",C956))),IFERROR(_xlfn.NUMBERVALUE(SUBSTITUTE(LEFT(TRIM(C956),FIND(" ",TRIM(C956)&amp;" ")-1),",","."),"."),LEFT(SUBSTITUTE(LEFT(TRIM(C956),FIND(" ",TRIM(C956)&amp;" ")-1),",","."),FIND("/",SUBSTITUTE(LEFT(TRIM(C956),FIND(" ",TRIM(C956)&amp;" ")-1),",","."))-1)/MID(SUBSTITUTE(LEFT(TRIM(C956),FIND(" ",TRIM(C956)&amp;" ")-1),",","."),FIND("/",SUBSTITUTE(LEFT(TRIM(C956),FIND(" ",TRIM(C956)&amp;" ")-1),",","."))+1,9))*12/52,IF(ISNUMBER(SEARCH("month",C956)),IFERROR(_xlfn.NUMBERVALUE(SUBSTITUTE(LEFT(TRIM(C956),FIND(" ",TRIM(C956)&amp;" ")-1),",","."),"."),LEFT(SUBSTITUTE(LEFT(TRIM(C956),FIND(" ",TRIM(C956)&amp;" ")-1),",","."),FIND("/",SUBSTITUTE(LEFT(TRIM(C956),FIND(" ",TRIM(C956)&amp;" ")-1),",","."))-1)/MID(SUBSTITUTE(LEFT(TRIM(C956),FIND(" ",TRIM(C956)&amp;" ")-1),",","."),FIND("/",SUBSTITUTE(LEFT(TRIM(C956),FIND(" ",TRIM(C956)&amp;" ")-1),",","."))+1,9)),IF(ISNUMBER(SEARCH("yea",C956)),IFERROR(_xlfn.NUMBERVALUE(SUBSTITUTE(LEFT(TRIM(C956),FIND(" ",TRIM(C956)&amp;" ")-1),",","."),"."),LEFT(SUBSTITUTE(LEFT(TRIM(C956),FIND(" ",TRIM(C956)&amp;" ")-1),",","."),FIND("/",SUBSTITUTE(LEFT(TRIM(C956),FIND(" ",TRIM(C956)&amp;" ")-1),",","."))-1)/MID(SUBSTITUTE(LEFT(TRIM(C956),FIND(" ",TRIM(C956)&amp;" ")-1),",","."),FIND("/",SUBSTITUTE(LEFT(TRIM(C956),FIND(" ",TRIM(C956)&amp;" ")-1),",","."))+1,9))*12,NA()))),0),36)*'Aturan &amp; Tarif'!$B$4,2)</f>
        <v>2044.08</v>
      </c>
      <c r="K956" s="42" t="n">
        <f aca="false">'Aturan &amp; Tarif'!$B$5</f>
        <v>2050</v>
      </c>
      <c r="L956" s="42" t="n">
        <f aca="false">'Aturan &amp; Tarif'!$B$6</f>
        <v>350</v>
      </c>
      <c r="M956" s="35" t="n">
        <f aca="false">I956+J956+K956+L956</f>
        <v>6244.08</v>
      </c>
      <c r="N956" s="45" t="s">
        <v>134</v>
      </c>
    </row>
    <row r="957" customFormat="false" ht="25.5" hidden="false" customHeight="true" outlineLevel="0" collapsed="false">
      <c r="A957" s="39"/>
      <c r="B957" s="40" t="s">
        <v>2553</v>
      </c>
      <c r="C957" s="41" t="s">
        <v>191</v>
      </c>
      <c r="D957" s="41" t="s">
        <v>108</v>
      </c>
      <c r="E957" s="42" t="n">
        <v>1500</v>
      </c>
      <c r="F957" s="42" t="n">
        <v>50</v>
      </c>
      <c r="G957" s="42" t="n">
        <v>250</v>
      </c>
      <c r="H957" s="43" t="n">
        <v>1</v>
      </c>
      <c r="I957" s="34" t="n">
        <f aca="false">E957*H957+N(F957)+N(G957)</f>
        <v>1800</v>
      </c>
      <c r="J957" s="42" t="n">
        <f aca="false">ROUND(IFERROR(ROUND(IF(OR(ISNUMBER(SEARCH("week",C957)),ISNUMBER(SEARCH("minggu",C957))),IFERROR(_xlfn.NUMBERVALUE(SUBSTITUTE(LEFT(TRIM(C957),FIND(" ",TRIM(C957)&amp;" ")-1),",","."),"."),LEFT(SUBSTITUTE(LEFT(TRIM(C957),FIND(" ",TRIM(C957)&amp;" ")-1),",","."),FIND("/",SUBSTITUTE(LEFT(TRIM(C957),FIND(" ",TRIM(C957)&amp;" ")-1),",","."))-1)/MID(SUBSTITUTE(LEFT(TRIM(C957),FIND(" ",TRIM(C957)&amp;" ")-1),",","."),FIND("/",SUBSTITUTE(LEFT(TRIM(C957),FIND(" ",TRIM(C957)&amp;" ")-1),",","."))+1,9))*12/52,IF(ISNUMBER(SEARCH("month",C957)),IFERROR(_xlfn.NUMBERVALUE(SUBSTITUTE(LEFT(TRIM(C957),FIND(" ",TRIM(C957)&amp;" ")-1),",","."),"."),LEFT(SUBSTITUTE(LEFT(TRIM(C957),FIND(" ",TRIM(C957)&amp;" ")-1),",","."),FIND("/",SUBSTITUTE(LEFT(TRIM(C957),FIND(" ",TRIM(C957)&amp;" ")-1),",","."))-1)/MID(SUBSTITUTE(LEFT(TRIM(C957),FIND(" ",TRIM(C957)&amp;" ")-1),",","."),FIND("/",SUBSTITUTE(LEFT(TRIM(C957),FIND(" ",TRIM(C957)&amp;" ")-1),",","."))+1,9)),IF(ISNUMBER(SEARCH("yea",C957)),IFERROR(_xlfn.NUMBERVALUE(SUBSTITUTE(LEFT(TRIM(C957),FIND(" ",TRIM(C957)&amp;" ")-1),",","."),"."),LEFT(SUBSTITUTE(LEFT(TRIM(C957),FIND(" ",TRIM(C957)&amp;" ")-1),",","."),FIND("/",SUBSTITUTE(LEFT(TRIM(C957),FIND(" ",TRIM(C957)&amp;" ")-1),",","."))-1)/MID(SUBSTITUTE(LEFT(TRIM(C957),FIND(" ",TRIM(C957)&amp;" ")-1),",","."),FIND("/",SUBSTITUTE(LEFT(TRIM(C957),FIND(" ",TRIM(C957)&amp;" ")-1),",","."))+1,9))*12,NA()))),0),48)*'Aturan &amp; Tarif'!$B$4,2)</f>
        <v>2725.44</v>
      </c>
      <c r="K957" s="42" t="n">
        <f aca="false">'Aturan &amp; Tarif'!$B$5</f>
        <v>2050</v>
      </c>
      <c r="L957" s="42" t="n">
        <f aca="false">'Aturan &amp; Tarif'!$B$6</f>
        <v>350</v>
      </c>
      <c r="M957" s="35" t="n">
        <f aca="false">I957+J957+K957+L957</f>
        <v>6925.44</v>
      </c>
      <c r="N957" s="45" t="s">
        <v>134</v>
      </c>
    </row>
    <row r="958" customFormat="false" ht="48.75" hidden="false" customHeight="true" outlineLevel="0" collapsed="false">
      <c r="A958" s="39"/>
      <c r="B958" s="40" t="s">
        <v>2554</v>
      </c>
      <c r="C958" s="41" t="s">
        <v>107</v>
      </c>
      <c r="D958" s="41" t="s">
        <v>108</v>
      </c>
      <c r="E958" s="42" t="n">
        <v>1500</v>
      </c>
      <c r="F958" s="42" t="n">
        <v>50</v>
      </c>
      <c r="G958" s="42" t="n">
        <v>250</v>
      </c>
      <c r="H958" s="43" t="n">
        <v>1</v>
      </c>
      <c r="I958" s="34" t="n">
        <f aca="false">E958*H958+N(F958)+N(G958)</f>
        <v>1800</v>
      </c>
      <c r="J958" s="42" t="n">
        <f aca="false">ROUND(IFERROR(ROUND(IF(OR(ISNUMBER(SEARCH("week",C958)),ISNUMBER(SEARCH("minggu",C958))),IFERROR(_xlfn.NUMBERVALUE(SUBSTITUTE(LEFT(TRIM(C958),FIND(" ",TRIM(C958)&amp;" ")-1),",","."),"."),LEFT(SUBSTITUTE(LEFT(TRIM(C958),FIND(" ",TRIM(C958)&amp;" ")-1),",","."),FIND("/",SUBSTITUTE(LEFT(TRIM(C958),FIND(" ",TRIM(C958)&amp;" ")-1),",","."))-1)/MID(SUBSTITUTE(LEFT(TRIM(C958),FIND(" ",TRIM(C958)&amp;" ")-1),",","."),FIND("/",SUBSTITUTE(LEFT(TRIM(C958),FIND(" ",TRIM(C958)&amp;" ")-1),",","."))+1,9))*12/52,IF(ISNUMBER(SEARCH("month",C958)),IFERROR(_xlfn.NUMBERVALUE(SUBSTITUTE(LEFT(TRIM(C958),FIND(" ",TRIM(C958)&amp;" ")-1),",","."),"."),LEFT(SUBSTITUTE(LEFT(TRIM(C958),FIND(" ",TRIM(C958)&amp;" ")-1),",","."),FIND("/",SUBSTITUTE(LEFT(TRIM(C958),FIND(" ",TRIM(C958)&amp;" ")-1),",","."))-1)/MID(SUBSTITUTE(LEFT(TRIM(C958),FIND(" ",TRIM(C958)&amp;" ")-1),",","."),FIND("/",SUBSTITUTE(LEFT(TRIM(C958),FIND(" ",TRIM(C958)&amp;" ")-1),",","."))+1,9)),IF(ISNUMBER(SEARCH("yea",C958)),IFERROR(_xlfn.NUMBERVALUE(SUBSTITUTE(LEFT(TRIM(C958),FIND(" ",TRIM(C958)&amp;" ")-1),",","."),"."),LEFT(SUBSTITUTE(LEFT(TRIM(C958),FIND(" ",TRIM(C958)&amp;" ")-1),",","."),FIND("/",SUBSTITUTE(LEFT(TRIM(C958),FIND(" ",TRIM(C958)&amp;" ")-1),",","."))-1)/MID(SUBSTITUTE(LEFT(TRIM(C958),FIND(" ",TRIM(C958)&amp;" ")-1),",","."),FIND("/",SUBSTITUTE(LEFT(TRIM(C958),FIND(" ",TRIM(C958)&amp;" ")-1),",","."))+1,9))*12,NA()))),0),24)*'Aturan &amp; Tarif'!$B$4,2)</f>
        <v>1362.72</v>
      </c>
      <c r="K958" s="42" t="n">
        <f aca="false">'Aturan &amp; Tarif'!$B$5</f>
        <v>2050</v>
      </c>
      <c r="L958" s="42" t="n">
        <f aca="false">'Aturan &amp; Tarif'!$B$6</f>
        <v>350</v>
      </c>
      <c r="M958" s="35" t="n">
        <f aca="false">I958+J958+K958+L958</f>
        <v>5562.72</v>
      </c>
      <c r="N958" s="45" t="s">
        <v>134</v>
      </c>
    </row>
    <row r="959" customFormat="false" ht="25.5" hidden="false" customHeight="true" outlineLevel="0" collapsed="false">
      <c r="A959" s="39" t="s">
        <v>2555</v>
      </c>
      <c r="B959" s="40" t="s">
        <v>2536</v>
      </c>
      <c r="C959" s="41" t="s">
        <v>138</v>
      </c>
      <c r="D959" s="41" t="s">
        <v>108</v>
      </c>
      <c r="E959" s="42" t="n">
        <v>2000</v>
      </c>
      <c r="F959" s="42" t="n">
        <v>150</v>
      </c>
      <c r="G959" s="42" t="n">
        <v>250</v>
      </c>
      <c r="H959" s="43" t="n">
        <v>1</v>
      </c>
      <c r="I959" s="34" t="n">
        <f aca="false">E959*H959+N(F959)+N(G959)</f>
        <v>2400</v>
      </c>
      <c r="J959" s="42" t="n">
        <f aca="false">ROUND(IFERROR(ROUND(IF(OR(ISNUMBER(SEARCH("week",C959)),ISNUMBER(SEARCH("minggu",C959))),IFERROR(_xlfn.NUMBERVALUE(SUBSTITUTE(LEFT(TRIM(C959),FIND(" ",TRIM(C959)&amp;" ")-1),",","."),"."),LEFT(SUBSTITUTE(LEFT(TRIM(C959),FIND(" ",TRIM(C959)&amp;" ")-1),",","."),FIND("/",SUBSTITUTE(LEFT(TRIM(C959),FIND(" ",TRIM(C959)&amp;" ")-1),",","."))-1)/MID(SUBSTITUTE(LEFT(TRIM(C959),FIND(" ",TRIM(C959)&amp;" ")-1),",","."),FIND("/",SUBSTITUTE(LEFT(TRIM(C959),FIND(" ",TRIM(C959)&amp;" ")-1),",","."))+1,9))*12/52,IF(ISNUMBER(SEARCH("month",C959)),IFERROR(_xlfn.NUMBERVALUE(SUBSTITUTE(LEFT(TRIM(C959),FIND(" ",TRIM(C959)&amp;" ")-1),",","."),"."),LEFT(SUBSTITUTE(LEFT(TRIM(C959),FIND(" ",TRIM(C959)&amp;" ")-1),",","."),FIND("/",SUBSTITUTE(LEFT(TRIM(C959),FIND(" ",TRIM(C959)&amp;" ")-1),",","."))-1)/MID(SUBSTITUTE(LEFT(TRIM(C959),FIND(" ",TRIM(C959)&amp;" ")-1),",","."),FIND("/",SUBSTITUTE(LEFT(TRIM(C959),FIND(" ",TRIM(C959)&amp;" ")-1),",","."))+1,9)),IF(ISNUMBER(SEARCH("yea",C959)),IFERROR(_xlfn.NUMBERVALUE(SUBSTITUTE(LEFT(TRIM(C959),FIND(" ",TRIM(C959)&amp;" ")-1),",","."),"."),LEFT(SUBSTITUTE(LEFT(TRIM(C959),FIND(" ",TRIM(C959)&amp;" ")-1),",","."),FIND("/",SUBSTITUTE(LEFT(TRIM(C959),FIND(" ",TRIM(C959)&amp;" ")-1),",","."))-1)/MID(SUBSTITUTE(LEFT(TRIM(C959),FIND(" ",TRIM(C959)&amp;" ")-1),",","."),FIND("/",SUBSTITUTE(LEFT(TRIM(C959),FIND(" ",TRIM(C959)&amp;" ")-1),",","."))+1,9))*12,NA()))),0),30)*'Aturan &amp; Tarif'!$B$4,2)</f>
        <v>1703.4</v>
      </c>
      <c r="K959" s="42" t="n">
        <f aca="false">'Aturan &amp; Tarif'!$B$5</f>
        <v>2050</v>
      </c>
      <c r="L959" s="42" t="n">
        <f aca="false">'Aturan &amp; Tarif'!$B$6</f>
        <v>350</v>
      </c>
      <c r="M959" s="35" t="n">
        <f aca="false">I959+J959+K959+L959</f>
        <v>6503.4</v>
      </c>
      <c r="N959" s="45" t="s">
        <v>134</v>
      </c>
    </row>
    <row r="960" customFormat="false" ht="25.5" hidden="false" customHeight="true" outlineLevel="0" collapsed="false">
      <c r="A960" s="39"/>
      <c r="B960" s="40" t="s">
        <v>2556</v>
      </c>
      <c r="C960" s="41" t="s">
        <v>136</v>
      </c>
      <c r="D960" s="41" t="s">
        <v>108</v>
      </c>
      <c r="E960" s="42" t="n">
        <v>2000</v>
      </c>
      <c r="F960" s="42" t="n">
        <v>150</v>
      </c>
      <c r="G960" s="42" t="n">
        <v>250</v>
      </c>
      <c r="H960" s="43" t="n">
        <v>1</v>
      </c>
      <c r="I960" s="34" t="n">
        <f aca="false">E960*H960+N(F960)+N(G960)</f>
        <v>2400</v>
      </c>
      <c r="J960" s="42" t="n">
        <f aca="false">ROUND(IFERROR(ROUND(IF(OR(ISNUMBER(SEARCH("week",C960)),ISNUMBER(SEARCH("minggu",C960))),IFERROR(_xlfn.NUMBERVALUE(SUBSTITUTE(LEFT(TRIM(C960),FIND(" ",TRIM(C960)&amp;" ")-1),",","."),"."),LEFT(SUBSTITUTE(LEFT(TRIM(C960),FIND(" ",TRIM(C960)&amp;" ")-1),",","."),FIND("/",SUBSTITUTE(LEFT(TRIM(C960),FIND(" ",TRIM(C960)&amp;" ")-1),",","."))-1)/MID(SUBSTITUTE(LEFT(TRIM(C960),FIND(" ",TRIM(C960)&amp;" ")-1),",","."),FIND("/",SUBSTITUTE(LEFT(TRIM(C960),FIND(" ",TRIM(C960)&amp;" ")-1),",","."))+1,9))*12/52,IF(ISNUMBER(SEARCH("month",C960)),IFERROR(_xlfn.NUMBERVALUE(SUBSTITUTE(LEFT(TRIM(C960),FIND(" ",TRIM(C960)&amp;" ")-1),",","."),"."),LEFT(SUBSTITUTE(LEFT(TRIM(C960),FIND(" ",TRIM(C960)&amp;" ")-1),",","."),FIND("/",SUBSTITUTE(LEFT(TRIM(C960),FIND(" ",TRIM(C960)&amp;" ")-1),",","."))-1)/MID(SUBSTITUTE(LEFT(TRIM(C960),FIND(" ",TRIM(C960)&amp;" ")-1),",","."),FIND("/",SUBSTITUTE(LEFT(TRIM(C960),FIND(" ",TRIM(C960)&amp;" ")-1),",","."))+1,9)),IF(ISNUMBER(SEARCH("yea",C960)),IFERROR(_xlfn.NUMBERVALUE(SUBSTITUTE(LEFT(TRIM(C960),FIND(" ",TRIM(C960)&amp;" ")-1),",","."),"."),LEFT(SUBSTITUTE(LEFT(TRIM(C960),FIND(" ",TRIM(C960)&amp;" ")-1),",","."),FIND("/",SUBSTITUTE(LEFT(TRIM(C960),FIND(" ",TRIM(C960)&amp;" ")-1),",","."))-1)/MID(SUBSTITUTE(LEFT(TRIM(C960),FIND(" ",TRIM(C960)&amp;" ")-1),",","."),FIND("/",SUBSTITUTE(LEFT(TRIM(C960),FIND(" ",TRIM(C960)&amp;" ")-1),",","."))+1,9))*12,NA()))),0),42)*'Aturan &amp; Tarif'!$B$4,2)</f>
        <v>2384.76</v>
      </c>
      <c r="K960" s="42" t="n">
        <f aca="false">'Aturan &amp; Tarif'!$B$5</f>
        <v>2050</v>
      </c>
      <c r="L960" s="42" t="n">
        <f aca="false">'Aturan &amp; Tarif'!$B$6</f>
        <v>350</v>
      </c>
      <c r="M960" s="35" t="n">
        <f aca="false">I960+J960+K960+L960</f>
        <v>7184.76</v>
      </c>
      <c r="N960" s="45" t="s">
        <v>134</v>
      </c>
    </row>
    <row r="961" customFormat="false" ht="25.5" hidden="false" customHeight="true" outlineLevel="0" collapsed="false">
      <c r="A961" s="39"/>
      <c r="B961" s="40" t="s">
        <v>422</v>
      </c>
      <c r="C961" s="41" t="s">
        <v>2557</v>
      </c>
      <c r="D961" s="41" t="s">
        <v>108</v>
      </c>
      <c r="E961" s="42" t="n">
        <v>2000</v>
      </c>
      <c r="F961" s="42" t="n">
        <v>950</v>
      </c>
      <c r="G961" s="42" t="n">
        <v>250</v>
      </c>
      <c r="H961" s="43" t="n">
        <v>1</v>
      </c>
      <c r="I961" s="34" t="n">
        <f aca="false">E961*H961+N(F961)+N(G961)</f>
        <v>3200</v>
      </c>
      <c r="J961" s="42" t="n">
        <f aca="false">ROUND(IFERROR(ROUND(IF(OR(ISNUMBER(SEARCH("week",C961)),ISNUMBER(SEARCH("minggu",C961))),IFERROR(_xlfn.NUMBERVALUE(SUBSTITUTE(LEFT(TRIM(C961),FIND(" ",TRIM(C961)&amp;" ")-1),",","."),"."),LEFT(SUBSTITUTE(LEFT(TRIM(C961),FIND(" ",TRIM(C961)&amp;" ")-1),",","."),FIND("/",SUBSTITUTE(LEFT(TRIM(C961),FIND(" ",TRIM(C961)&amp;" ")-1),",","."))-1)/MID(SUBSTITUTE(LEFT(TRIM(C961),FIND(" ",TRIM(C961)&amp;" ")-1),",","."),FIND("/",SUBSTITUTE(LEFT(TRIM(C961),FIND(" ",TRIM(C961)&amp;" ")-1),",","."))+1,9))*12/52,IF(ISNUMBER(SEARCH("month",C961)),IFERROR(_xlfn.NUMBERVALUE(SUBSTITUTE(LEFT(TRIM(C961),FIND(" ",TRIM(C961)&amp;" ")-1),",","."),"."),LEFT(SUBSTITUTE(LEFT(TRIM(C961),FIND(" ",TRIM(C961)&amp;" ")-1),",","."),FIND("/",SUBSTITUTE(LEFT(TRIM(C961),FIND(" ",TRIM(C961)&amp;" ")-1),",","."))-1)/MID(SUBSTITUTE(LEFT(TRIM(C961),FIND(" ",TRIM(C961)&amp;" ")-1),",","."),FIND("/",SUBSTITUTE(LEFT(TRIM(C961),FIND(" ",TRIM(C961)&amp;" ")-1),",","."))+1,9)),IF(ISNUMBER(SEARCH("yea",C961)),IFERROR(_xlfn.NUMBERVALUE(SUBSTITUTE(LEFT(TRIM(C961),FIND(" ",TRIM(C961)&amp;" ")-1),",","."),"."),LEFT(SUBSTITUTE(LEFT(TRIM(C961),FIND(" ",TRIM(C961)&amp;" ")-1),",","."),FIND("/",SUBSTITUTE(LEFT(TRIM(C961),FIND(" ",TRIM(C961)&amp;" ")-1),",","."))-1)/MID(SUBSTITUTE(LEFT(TRIM(C961),FIND(" ",TRIM(C961)&amp;" ")-1),",","."),FIND("/",SUBSTITUTE(LEFT(TRIM(C961),FIND(" ",TRIM(C961)&amp;" ")-1),",","."))+1,9))*12,NA()))),0),18)*'Aturan &amp; Tarif'!$B$4,2)</f>
        <v>1022.04</v>
      </c>
      <c r="K961" s="42" t="n">
        <f aca="false">'Aturan &amp; Tarif'!$B$5</f>
        <v>2050</v>
      </c>
      <c r="L961" s="42" t="n">
        <f aca="false">'Aturan &amp; Tarif'!$B$6</f>
        <v>350</v>
      </c>
      <c r="M961" s="35" t="n">
        <f aca="false">I961+J961+K961+L961</f>
        <v>6622.04</v>
      </c>
      <c r="N961" s="45" t="s">
        <v>134</v>
      </c>
    </row>
    <row r="962" customFormat="false" ht="14.25" hidden="false" customHeight="true" outlineLevel="0" collapsed="false">
      <c r="A962" s="39"/>
      <c r="B962" s="40" t="s">
        <v>148</v>
      </c>
      <c r="C962" s="41" t="s">
        <v>107</v>
      </c>
      <c r="D962" s="41" t="s">
        <v>108</v>
      </c>
      <c r="E962" s="42" t="n">
        <v>2000</v>
      </c>
      <c r="F962" s="42" t="n">
        <v>950</v>
      </c>
      <c r="G962" s="42" t="n">
        <v>250</v>
      </c>
      <c r="H962" s="43" t="n">
        <v>1</v>
      </c>
      <c r="I962" s="34" t="n">
        <f aca="false">E962*H962+N(F962)+N(G962)</f>
        <v>3200</v>
      </c>
      <c r="J962" s="42" t="n">
        <f aca="false">ROUND(IFERROR(ROUND(IF(OR(ISNUMBER(SEARCH("week",C962)),ISNUMBER(SEARCH("minggu",C962))),IFERROR(_xlfn.NUMBERVALUE(SUBSTITUTE(LEFT(TRIM(C962),FIND(" ",TRIM(C962)&amp;" ")-1),",","."),"."),LEFT(SUBSTITUTE(LEFT(TRIM(C962),FIND(" ",TRIM(C962)&amp;" ")-1),",","."),FIND("/",SUBSTITUTE(LEFT(TRIM(C962),FIND(" ",TRIM(C962)&amp;" ")-1),",","."))-1)/MID(SUBSTITUTE(LEFT(TRIM(C962),FIND(" ",TRIM(C962)&amp;" ")-1),",","."),FIND("/",SUBSTITUTE(LEFT(TRIM(C962),FIND(" ",TRIM(C962)&amp;" ")-1),",","."))+1,9))*12/52,IF(ISNUMBER(SEARCH("month",C962)),IFERROR(_xlfn.NUMBERVALUE(SUBSTITUTE(LEFT(TRIM(C962),FIND(" ",TRIM(C962)&amp;" ")-1),",","."),"."),LEFT(SUBSTITUTE(LEFT(TRIM(C962),FIND(" ",TRIM(C962)&amp;" ")-1),",","."),FIND("/",SUBSTITUTE(LEFT(TRIM(C962),FIND(" ",TRIM(C962)&amp;" ")-1),",","."))-1)/MID(SUBSTITUTE(LEFT(TRIM(C962),FIND(" ",TRIM(C962)&amp;" ")-1),",","."),FIND("/",SUBSTITUTE(LEFT(TRIM(C962),FIND(" ",TRIM(C962)&amp;" ")-1),",","."))+1,9)),IF(ISNUMBER(SEARCH("yea",C962)),IFERROR(_xlfn.NUMBERVALUE(SUBSTITUTE(LEFT(TRIM(C962),FIND(" ",TRIM(C962)&amp;" ")-1),",","."),"."),LEFT(SUBSTITUTE(LEFT(TRIM(C962),FIND(" ",TRIM(C962)&amp;" ")-1),",","."),FIND("/",SUBSTITUTE(LEFT(TRIM(C962),FIND(" ",TRIM(C962)&amp;" ")-1),",","."))-1)/MID(SUBSTITUTE(LEFT(TRIM(C962),FIND(" ",TRIM(C962)&amp;" ")-1),",","."),FIND("/",SUBSTITUTE(LEFT(TRIM(C962),FIND(" ",TRIM(C962)&amp;" ")-1),",","."))+1,9))*12,NA()))),0),24)*'Aturan &amp; Tarif'!$B$4,2)</f>
        <v>1362.72</v>
      </c>
      <c r="K962" s="42" t="n">
        <f aca="false">'Aturan &amp; Tarif'!$B$5</f>
        <v>2050</v>
      </c>
      <c r="L962" s="42" t="n">
        <f aca="false">'Aturan &amp; Tarif'!$B$6</f>
        <v>350</v>
      </c>
      <c r="M962" s="35" t="n">
        <f aca="false">I962+J962+K962+L962</f>
        <v>6962.72</v>
      </c>
      <c r="N962" s="45" t="s">
        <v>134</v>
      </c>
    </row>
    <row r="963" customFormat="false" ht="25.5" hidden="false" customHeight="true" outlineLevel="0" collapsed="false">
      <c r="A963" s="39"/>
      <c r="B963" s="40" t="s">
        <v>806</v>
      </c>
      <c r="C963" s="41" t="s">
        <v>127</v>
      </c>
      <c r="D963" s="41" t="s">
        <v>108</v>
      </c>
      <c r="E963" s="42" t="n">
        <v>2000</v>
      </c>
      <c r="F963" s="42" t="n">
        <v>950</v>
      </c>
      <c r="G963" s="42" t="n">
        <v>250</v>
      </c>
      <c r="H963" s="43" t="n">
        <v>1</v>
      </c>
      <c r="I963" s="34" t="n">
        <f aca="false">E963*H963+N(F963)+N(G963)</f>
        <v>3200</v>
      </c>
      <c r="J963" s="42" t="n">
        <f aca="false">ROUND(IFERROR(ROUND(IF(OR(ISNUMBER(SEARCH("week",C963)),ISNUMBER(SEARCH("minggu",C963))),IFERROR(_xlfn.NUMBERVALUE(SUBSTITUTE(LEFT(TRIM(C963),FIND(" ",TRIM(C963)&amp;" ")-1),",","."),"."),LEFT(SUBSTITUTE(LEFT(TRIM(C963),FIND(" ",TRIM(C963)&amp;" ")-1),",","."),FIND("/",SUBSTITUTE(LEFT(TRIM(C963),FIND(" ",TRIM(C963)&amp;" ")-1),",","."))-1)/MID(SUBSTITUTE(LEFT(TRIM(C963),FIND(" ",TRIM(C963)&amp;" ")-1),",","."),FIND("/",SUBSTITUTE(LEFT(TRIM(C963),FIND(" ",TRIM(C963)&amp;" ")-1),",","."))+1,9))*12/52,IF(ISNUMBER(SEARCH("month",C963)),IFERROR(_xlfn.NUMBERVALUE(SUBSTITUTE(LEFT(TRIM(C963),FIND(" ",TRIM(C963)&amp;" ")-1),",","."),"."),LEFT(SUBSTITUTE(LEFT(TRIM(C963),FIND(" ",TRIM(C963)&amp;" ")-1),",","."),FIND("/",SUBSTITUTE(LEFT(TRIM(C963),FIND(" ",TRIM(C963)&amp;" ")-1),",","."))-1)/MID(SUBSTITUTE(LEFT(TRIM(C963),FIND(" ",TRIM(C963)&amp;" ")-1),",","."),FIND("/",SUBSTITUTE(LEFT(TRIM(C963),FIND(" ",TRIM(C963)&amp;" ")-1),",","."))+1,9)),IF(ISNUMBER(SEARCH("yea",C963)),IFERROR(_xlfn.NUMBERVALUE(SUBSTITUTE(LEFT(TRIM(C963),FIND(" ",TRIM(C963)&amp;" ")-1),",","."),"."),LEFT(SUBSTITUTE(LEFT(TRIM(C963),FIND(" ",TRIM(C963)&amp;" ")-1),",","."),FIND("/",SUBSTITUTE(LEFT(TRIM(C963),FIND(" ",TRIM(C963)&amp;" ")-1),",","."))-1)/MID(SUBSTITUTE(LEFT(TRIM(C963),FIND(" ",TRIM(C963)&amp;" ")-1),",","."),FIND("/",SUBSTITUTE(LEFT(TRIM(C963),FIND(" ",TRIM(C963)&amp;" ")-1),",","."))+1,9))*12,NA()))),0),36)*'Aturan &amp; Tarif'!$B$4,2)</f>
        <v>2044.08</v>
      </c>
      <c r="K963" s="42" t="n">
        <f aca="false">'Aturan &amp; Tarif'!$B$5</f>
        <v>2050</v>
      </c>
      <c r="L963" s="42" t="n">
        <f aca="false">'Aturan &amp; Tarif'!$B$6</f>
        <v>350</v>
      </c>
      <c r="M963" s="35" t="n">
        <f aca="false">I963+J963+K963+L963</f>
        <v>7644.08</v>
      </c>
      <c r="N963" s="45" t="s">
        <v>134</v>
      </c>
    </row>
    <row r="964" customFormat="false" ht="37.5" hidden="false" customHeight="true" outlineLevel="0" collapsed="false">
      <c r="A964" s="39"/>
      <c r="B964" s="40" t="s">
        <v>1025</v>
      </c>
      <c r="C964" s="41" t="s">
        <v>107</v>
      </c>
      <c r="D964" s="41" t="s">
        <v>108</v>
      </c>
      <c r="E964" s="42" t="n">
        <v>1500</v>
      </c>
      <c r="F964" s="42" t="n">
        <v>50</v>
      </c>
      <c r="G964" s="42" t="n">
        <v>250</v>
      </c>
      <c r="H964" s="43" t="n">
        <v>1</v>
      </c>
      <c r="I964" s="34" t="n">
        <f aca="false">E964*H964+N(F964)+N(G964)</f>
        <v>1800</v>
      </c>
      <c r="J964" s="42" t="n">
        <f aca="false">ROUND(IFERROR(ROUND(IF(OR(ISNUMBER(SEARCH("week",C964)),ISNUMBER(SEARCH("minggu",C964))),IFERROR(_xlfn.NUMBERVALUE(SUBSTITUTE(LEFT(TRIM(C964),FIND(" ",TRIM(C964)&amp;" ")-1),",","."),"."),LEFT(SUBSTITUTE(LEFT(TRIM(C964),FIND(" ",TRIM(C964)&amp;" ")-1),",","."),FIND("/",SUBSTITUTE(LEFT(TRIM(C964),FIND(" ",TRIM(C964)&amp;" ")-1),",","."))-1)/MID(SUBSTITUTE(LEFT(TRIM(C964),FIND(" ",TRIM(C964)&amp;" ")-1),",","."),FIND("/",SUBSTITUTE(LEFT(TRIM(C964),FIND(" ",TRIM(C964)&amp;" ")-1),",","."))+1,9))*12/52,IF(ISNUMBER(SEARCH("month",C964)),IFERROR(_xlfn.NUMBERVALUE(SUBSTITUTE(LEFT(TRIM(C964),FIND(" ",TRIM(C964)&amp;" ")-1),",","."),"."),LEFT(SUBSTITUTE(LEFT(TRIM(C964),FIND(" ",TRIM(C964)&amp;" ")-1),",","."),FIND("/",SUBSTITUTE(LEFT(TRIM(C964),FIND(" ",TRIM(C964)&amp;" ")-1),",","."))-1)/MID(SUBSTITUTE(LEFT(TRIM(C964),FIND(" ",TRIM(C964)&amp;" ")-1),",","."),FIND("/",SUBSTITUTE(LEFT(TRIM(C964),FIND(" ",TRIM(C964)&amp;" ")-1),",","."))+1,9)),IF(ISNUMBER(SEARCH("yea",C964)),IFERROR(_xlfn.NUMBERVALUE(SUBSTITUTE(LEFT(TRIM(C964),FIND(" ",TRIM(C964)&amp;" ")-1),",","."),"."),LEFT(SUBSTITUTE(LEFT(TRIM(C964),FIND(" ",TRIM(C964)&amp;" ")-1),",","."),FIND("/",SUBSTITUTE(LEFT(TRIM(C964),FIND(" ",TRIM(C964)&amp;" ")-1),",","."))-1)/MID(SUBSTITUTE(LEFT(TRIM(C964),FIND(" ",TRIM(C964)&amp;" ")-1),",","."),FIND("/",SUBSTITUTE(LEFT(TRIM(C964),FIND(" ",TRIM(C964)&amp;" ")-1),",","."))+1,9))*12,NA()))),0),24)*'Aturan &amp; Tarif'!$B$4,2)</f>
        <v>1362.72</v>
      </c>
      <c r="K964" s="42" t="n">
        <f aca="false">'Aturan &amp; Tarif'!$B$5</f>
        <v>2050</v>
      </c>
      <c r="L964" s="42" t="n">
        <f aca="false">'Aturan &amp; Tarif'!$B$6</f>
        <v>350</v>
      </c>
      <c r="M964" s="35" t="n">
        <f aca="false">I964+J964+K964+L964</f>
        <v>5562.72</v>
      </c>
      <c r="N964" s="45" t="s">
        <v>134</v>
      </c>
    </row>
    <row r="965" customFormat="false" ht="25.5" hidden="false" customHeight="true" outlineLevel="0" collapsed="false">
      <c r="A965" s="39"/>
      <c r="B965" s="40" t="s">
        <v>2356</v>
      </c>
      <c r="C965" s="41" t="s">
        <v>127</v>
      </c>
      <c r="D965" s="41" t="s">
        <v>108</v>
      </c>
      <c r="E965" s="42" t="n">
        <v>1500</v>
      </c>
      <c r="F965" s="42" t="n">
        <v>50</v>
      </c>
      <c r="G965" s="42" t="n">
        <v>250</v>
      </c>
      <c r="H965" s="43" t="n">
        <v>1</v>
      </c>
      <c r="I965" s="34" t="n">
        <f aca="false">E965*H965+N(F965)+N(G965)</f>
        <v>1800</v>
      </c>
      <c r="J965" s="42" t="n">
        <f aca="false">ROUND(IFERROR(ROUND(IF(OR(ISNUMBER(SEARCH("week",C965)),ISNUMBER(SEARCH("minggu",C965))),IFERROR(_xlfn.NUMBERVALUE(SUBSTITUTE(LEFT(TRIM(C965),FIND(" ",TRIM(C965)&amp;" ")-1),",","."),"."),LEFT(SUBSTITUTE(LEFT(TRIM(C965),FIND(" ",TRIM(C965)&amp;" ")-1),",","."),FIND("/",SUBSTITUTE(LEFT(TRIM(C965),FIND(" ",TRIM(C965)&amp;" ")-1),",","."))-1)/MID(SUBSTITUTE(LEFT(TRIM(C965),FIND(" ",TRIM(C965)&amp;" ")-1),",","."),FIND("/",SUBSTITUTE(LEFT(TRIM(C965),FIND(" ",TRIM(C965)&amp;" ")-1),",","."))+1,9))*12/52,IF(ISNUMBER(SEARCH("month",C965)),IFERROR(_xlfn.NUMBERVALUE(SUBSTITUTE(LEFT(TRIM(C965),FIND(" ",TRIM(C965)&amp;" ")-1),",","."),"."),LEFT(SUBSTITUTE(LEFT(TRIM(C965),FIND(" ",TRIM(C965)&amp;" ")-1),",","."),FIND("/",SUBSTITUTE(LEFT(TRIM(C965),FIND(" ",TRIM(C965)&amp;" ")-1),",","."))-1)/MID(SUBSTITUTE(LEFT(TRIM(C965),FIND(" ",TRIM(C965)&amp;" ")-1),",","."),FIND("/",SUBSTITUTE(LEFT(TRIM(C965),FIND(" ",TRIM(C965)&amp;" ")-1),",","."))+1,9)),IF(ISNUMBER(SEARCH("yea",C965)),IFERROR(_xlfn.NUMBERVALUE(SUBSTITUTE(LEFT(TRIM(C965),FIND(" ",TRIM(C965)&amp;" ")-1),",","."),"."),LEFT(SUBSTITUTE(LEFT(TRIM(C965),FIND(" ",TRIM(C965)&amp;" ")-1),",","."),FIND("/",SUBSTITUTE(LEFT(TRIM(C965),FIND(" ",TRIM(C965)&amp;" ")-1),",","."))-1)/MID(SUBSTITUTE(LEFT(TRIM(C965),FIND(" ",TRIM(C965)&amp;" ")-1),",","."),FIND("/",SUBSTITUTE(LEFT(TRIM(C965),FIND(" ",TRIM(C965)&amp;" ")-1),",","."))+1,9))*12,NA()))),0),36)*'Aturan &amp; Tarif'!$B$4,2)</f>
        <v>2044.08</v>
      </c>
      <c r="K965" s="42" t="n">
        <f aca="false">'Aturan &amp; Tarif'!$B$5</f>
        <v>2050</v>
      </c>
      <c r="L965" s="42" t="n">
        <f aca="false">'Aturan &amp; Tarif'!$B$6</f>
        <v>350</v>
      </c>
      <c r="M965" s="35" t="n">
        <f aca="false">I965+J965+K965+L965</f>
        <v>6244.08</v>
      </c>
      <c r="N965" s="45" t="s">
        <v>134</v>
      </c>
    </row>
    <row r="966" customFormat="false" ht="25.5" hidden="false" customHeight="true" outlineLevel="0" collapsed="false">
      <c r="A966" s="39"/>
      <c r="B966" s="40" t="s">
        <v>2449</v>
      </c>
      <c r="C966" s="41" t="s">
        <v>107</v>
      </c>
      <c r="D966" s="41" t="s">
        <v>108</v>
      </c>
      <c r="E966" s="42" t="n">
        <v>1500</v>
      </c>
      <c r="F966" s="42" t="n">
        <v>50</v>
      </c>
      <c r="G966" s="42" t="n">
        <v>250</v>
      </c>
      <c r="H966" s="43" t="n">
        <v>1</v>
      </c>
      <c r="I966" s="34" t="n">
        <f aca="false">E966*H966+N(F966)+N(G966)</f>
        <v>1800</v>
      </c>
      <c r="J966" s="42" t="n">
        <f aca="false">ROUND(IFERROR(ROUND(IF(OR(ISNUMBER(SEARCH("week",C966)),ISNUMBER(SEARCH("minggu",C966))),IFERROR(_xlfn.NUMBERVALUE(SUBSTITUTE(LEFT(TRIM(C966),FIND(" ",TRIM(C966)&amp;" ")-1),",","."),"."),LEFT(SUBSTITUTE(LEFT(TRIM(C966),FIND(" ",TRIM(C966)&amp;" ")-1),",","."),FIND("/",SUBSTITUTE(LEFT(TRIM(C966),FIND(" ",TRIM(C966)&amp;" ")-1),",","."))-1)/MID(SUBSTITUTE(LEFT(TRIM(C966),FIND(" ",TRIM(C966)&amp;" ")-1),",","."),FIND("/",SUBSTITUTE(LEFT(TRIM(C966),FIND(" ",TRIM(C966)&amp;" ")-1),",","."))+1,9))*12/52,IF(ISNUMBER(SEARCH("month",C966)),IFERROR(_xlfn.NUMBERVALUE(SUBSTITUTE(LEFT(TRIM(C966),FIND(" ",TRIM(C966)&amp;" ")-1),",","."),"."),LEFT(SUBSTITUTE(LEFT(TRIM(C966),FIND(" ",TRIM(C966)&amp;" ")-1),",","."),FIND("/",SUBSTITUTE(LEFT(TRIM(C966),FIND(" ",TRIM(C966)&amp;" ")-1),",","."))-1)/MID(SUBSTITUTE(LEFT(TRIM(C966),FIND(" ",TRIM(C966)&amp;" ")-1),",","."),FIND("/",SUBSTITUTE(LEFT(TRIM(C966),FIND(" ",TRIM(C966)&amp;" ")-1),",","."))+1,9)),IF(ISNUMBER(SEARCH("yea",C966)),IFERROR(_xlfn.NUMBERVALUE(SUBSTITUTE(LEFT(TRIM(C966),FIND(" ",TRIM(C966)&amp;" ")-1),",","."),"."),LEFT(SUBSTITUTE(LEFT(TRIM(C966),FIND(" ",TRIM(C966)&amp;" ")-1),",","."),FIND("/",SUBSTITUTE(LEFT(TRIM(C966),FIND(" ",TRIM(C966)&amp;" ")-1),",","."))-1)/MID(SUBSTITUTE(LEFT(TRIM(C966),FIND(" ",TRIM(C966)&amp;" ")-1),",","."),FIND("/",SUBSTITUTE(LEFT(TRIM(C966),FIND(" ",TRIM(C966)&amp;" ")-1),",","."))+1,9))*12,NA()))),0),24)*'Aturan &amp; Tarif'!$B$4,2)</f>
        <v>1362.72</v>
      </c>
      <c r="K966" s="42" t="n">
        <f aca="false">'Aturan &amp; Tarif'!$B$5</f>
        <v>2050</v>
      </c>
      <c r="L966" s="42" t="n">
        <f aca="false">'Aturan &amp; Tarif'!$B$6</f>
        <v>350</v>
      </c>
      <c r="M966" s="35" t="n">
        <f aca="false">I966+J966+K966+L966</f>
        <v>5562.72</v>
      </c>
      <c r="N966" s="45" t="s">
        <v>134</v>
      </c>
    </row>
    <row r="967" customFormat="false" ht="25.5" hidden="false" customHeight="true" outlineLevel="0" collapsed="false">
      <c r="A967" s="39"/>
      <c r="B967" s="40" t="s">
        <v>2023</v>
      </c>
      <c r="C967" s="41" t="s">
        <v>127</v>
      </c>
      <c r="D967" s="41" t="s">
        <v>108</v>
      </c>
      <c r="E967" s="42" t="n">
        <v>1500</v>
      </c>
      <c r="F967" s="42" t="n">
        <v>50</v>
      </c>
      <c r="G967" s="42" t="n">
        <v>250</v>
      </c>
      <c r="H967" s="43" t="n">
        <v>1</v>
      </c>
      <c r="I967" s="34" t="n">
        <f aca="false">E967*H967+N(F967)+N(G967)</f>
        <v>1800</v>
      </c>
      <c r="J967" s="42" t="n">
        <f aca="false">ROUND(IFERROR(ROUND(IF(OR(ISNUMBER(SEARCH("week",C967)),ISNUMBER(SEARCH("minggu",C967))),IFERROR(_xlfn.NUMBERVALUE(SUBSTITUTE(LEFT(TRIM(C967),FIND(" ",TRIM(C967)&amp;" ")-1),",","."),"."),LEFT(SUBSTITUTE(LEFT(TRIM(C967),FIND(" ",TRIM(C967)&amp;" ")-1),",","."),FIND("/",SUBSTITUTE(LEFT(TRIM(C967),FIND(" ",TRIM(C967)&amp;" ")-1),",","."))-1)/MID(SUBSTITUTE(LEFT(TRIM(C967),FIND(" ",TRIM(C967)&amp;" ")-1),",","."),FIND("/",SUBSTITUTE(LEFT(TRIM(C967),FIND(" ",TRIM(C967)&amp;" ")-1),",","."))+1,9))*12/52,IF(ISNUMBER(SEARCH("month",C967)),IFERROR(_xlfn.NUMBERVALUE(SUBSTITUTE(LEFT(TRIM(C967),FIND(" ",TRIM(C967)&amp;" ")-1),",","."),"."),LEFT(SUBSTITUTE(LEFT(TRIM(C967),FIND(" ",TRIM(C967)&amp;" ")-1),",","."),FIND("/",SUBSTITUTE(LEFT(TRIM(C967),FIND(" ",TRIM(C967)&amp;" ")-1),",","."))-1)/MID(SUBSTITUTE(LEFT(TRIM(C967),FIND(" ",TRIM(C967)&amp;" ")-1),",","."),FIND("/",SUBSTITUTE(LEFT(TRIM(C967),FIND(" ",TRIM(C967)&amp;" ")-1),",","."))+1,9)),IF(ISNUMBER(SEARCH("yea",C967)),IFERROR(_xlfn.NUMBERVALUE(SUBSTITUTE(LEFT(TRIM(C967),FIND(" ",TRIM(C967)&amp;" ")-1),",","."),"."),LEFT(SUBSTITUTE(LEFT(TRIM(C967),FIND(" ",TRIM(C967)&amp;" ")-1),",","."),FIND("/",SUBSTITUTE(LEFT(TRIM(C967),FIND(" ",TRIM(C967)&amp;" ")-1),",","."))-1)/MID(SUBSTITUTE(LEFT(TRIM(C967),FIND(" ",TRIM(C967)&amp;" ")-1),",","."),FIND("/",SUBSTITUTE(LEFT(TRIM(C967),FIND(" ",TRIM(C967)&amp;" ")-1),",","."))+1,9))*12,NA()))),0),36)*'Aturan &amp; Tarif'!$B$4,2)</f>
        <v>2044.08</v>
      </c>
      <c r="K967" s="42" t="n">
        <f aca="false">'Aturan &amp; Tarif'!$B$5</f>
        <v>2050</v>
      </c>
      <c r="L967" s="42" t="n">
        <f aca="false">'Aturan &amp; Tarif'!$B$6</f>
        <v>350</v>
      </c>
      <c r="M967" s="35" t="n">
        <f aca="false">I967+J967+K967+L967</f>
        <v>6244.08</v>
      </c>
      <c r="N967" s="45" t="s">
        <v>134</v>
      </c>
    </row>
    <row r="968" customFormat="false" ht="37.5" hidden="false" customHeight="true" outlineLevel="0" collapsed="false">
      <c r="A968" s="39" t="s">
        <v>2558</v>
      </c>
      <c r="B968" s="40" t="s">
        <v>1817</v>
      </c>
      <c r="C968" s="41" t="s">
        <v>138</v>
      </c>
      <c r="D968" s="41" t="s">
        <v>108</v>
      </c>
      <c r="E968" s="42" t="n">
        <v>3250</v>
      </c>
      <c r="F968" s="42" t="n">
        <v>300</v>
      </c>
      <c r="G968" s="42" t="n">
        <v>250</v>
      </c>
      <c r="H968" s="43" t="n">
        <v>1</v>
      </c>
      <c r="I968" s="34" t="n">
        <f aca="false">E968*H968+N(F968)+N(G968)</f>
        <v>3800</v>
      </c>
      <c r="J968" s="42" t="n">
        <f aca="false">ROUND(IFERROR(ROUND(IF(OR(ISNUMBER(SEARCH("week",C968)),ISNUMBER(SEARCH("minggu",C968))),IFERROR(_xlfn.NUMBERVALUE(SUBSTITUTE(LEFT(TRIM(C968),FIND(" ",TRIM(C968)&amp;" ")-1),",","."),"."),LEFT(SUBSTITUTE(LEFT(TRIM(C968),FIND(" ",TRIM(C968)&amp;" ")-1),",","."),FIND("/",SUBSTITUTE(LEFT(TRIM(C968),FIND(" ",TRIM(C968)&amp;" ")-1),",","."))-1)/MID(SUBSTITUTE(LEFT(TRIM(C968),FIND(" ",TRIM(C968)&amp;" ")-1),",","."),FIND("/",SUBSTITUTE(LEFT(TRIM(C968),FIND(" ",TRIM(C968)&amp;" ")-1),",","."))+1,9))*12/52,IF(ISNUMBER(SEARCH("month",C968)),IFERROR(_xlfn.NUMBERVALUE(SUBSTITUTE(LEFT(TRIM(C968),FIND(" ",TRIM(C968)&amp;" ")-1),",","."),"."),LEFT(SUBSTITUTE(LEFT(TRIM(C968),FIND(" ",TRIM(C968)&amp;" ")-1),",","."),FIND("/",SUBSTITUTE(LEFT(TRIM(C968),FIND(" ",TRIM(C968)&amp;" ")-1),",","."))-1)/MID(SUBSTITUTE(LEFT(TRIM(C968),FIND(" ",TRIM(C968)&amp;" ")-1),",","."),FIND("/",SUBSTITUTE(LEFT(TRIM(C968),FIND(" ",TRIM(C968)&amp;" ")-1),",","."))+1,9)),IF(ISNUMBER(SEARCH("yea",C968)),IFERROR(_xlfn.NUMBERVALUE(SUBSTITUTE(LEFT(TRIM(C968),FIND(" ",TRIM(C968)&amp;" ")-1),",","."),"."),LEFT(SUBSTITUTE(LEFT(TRIM(C968),FIND(" ",TRIM(C968)&amp;" ")-1),",","."),FIND("/",SUBSTITUTE(LEFT(TRIM(C968),FIND(" ",TRIM(C968)&amp;" ")-1),",","."))-1)/MID(SUBSTITUTE(LEFT(TRIM(C968),FIND(" ",TRIM(C968)&amp;" ")-1),",","."),FIND("/",SUBSTITUTE(LEFT(TRIM(C968),FIND(" ",TRIM(C968)&amp;" ")-1),",","."))+1,9))*12,NA()))),0),30)*'Aturan &amp; Tarif'!$B$4,2)</f>
        <v>1703.4</v>
      </c>
      <c r="K968" s="42" t="n">
        <f aca="false">'Aturan &amp; Tarif'!$B$5</f>
        <v>2050</v>
      </c>
      <c r="L968" s="42" t="n">
        <f aca="false">'Aturan &amp; Tarif'!$B$6</f>
        <v>350</v>
      </c>
      <c r="M968" s="35" t="n">
        <f aca="false">I968+J968+K968+L968</f>
        <v>7903.4</v>
      </c>
      <c r="N968" s="45" t="s">
        <v>2559</v>
      </c>
    </row>
    <row r="969" customFormat="false" ht="25.5" hidden="false" customHeight="true" outlineLevel="0" collapsed="false">
      <c r="A969" s="39"/>
      <c r="B969" s="40" t="s">
        <v>2560</v>
      </c>
      <c r="C969" s="41" t="s">
        <v>191</v>
      </c>
      <c r="D969" s="41" t="s">
        <v>108</v>
      </c>
      <c r="E969" s="42" t="n">
        <v>3250</v>
      </c>
      <c r="F969" s="42" t="n">
        <v>300</v>
      </c>
      <c r="G969" s="42" t="n">
        <v>250</v>
      </c>
      <c r="H969" s="43" t="n">
        <v>1</v>
      </c>
      <c r="I969" s="34" t="n">
        <f aca="false">E969*H969+N(F969)+N(G969)</f>
        <v>3800</v>
      </c>
      <c r="J969" s="42" t="n">
        <f aca="false">ROUND(IFERROR(ROUND(IF(OR(ISNUMBER(SEARCH("week",C969)),ISNUMBER(SEARCH("minggu",C969))),IFERROR(_xlfn.NUMBERVALUE(SUBSTITUTE(LEFT(TRIM(C969),FIND(" ",TRIM(C969)&amp;" ")-1),",","."),"."),LEFT(SUBSTITUTE(LEFT(TRIM(C969),FIND(" ",TRIM(C969)&amp;" ")-1),",","."),FIND("/",SUBSTITUTE(LEFT(TRIM(C969),FIND(" ",TRIM(C969)&amp;" ")-1),",","."))-1)/MID(SUBSTITUTE(LEFT(TRIM(C969),FIND(" ",TRIM(C969)&amp;" ")-1),",","."),FIND("/",SUBSTITUTE(LEFT(TRIM(C969),FIND(" ",TRIM(C969)&amp;" ")-1),",","."))+1,9))*12/52,IF(ISNUMBER(SEARCH("month",C969)),IFERROR(_xlfn.NUMBERVALUE(SUBSTITUTE(LEFT(TRIM(C969),FIND(" ",TRIM(C969)&amp;" ")-1),",","."),"."),LEFT(SUBSTITUTE(LEFT(TRIM(C969),FIND(" ",TRIM(C969)&amp;" ")-1),",","."),FIND("/",SUBSTITUTE(LEFT(TRIM(C969),FIND(" ",TRIM(C969)&amp;" ")-1),",","."))-1)/MID(SUBSTITUTE(LEFT(TRIM(C969),FIND(" ",TRIM(C969)&amp;" ")-1),",","."),FIND("/",SUBSTITUTE(LEFT(TRIM(C969),FIND(" ",TRIM(C969)&amp;" ")-1),",","."))+1,9)),IF(ISNUMBER(SEARCH("yea",C969)),IFERROR(_xlfn.NUMBERVALUE(SUBSTITUTE(LEFT(TRIM(C969),FIND(" ",TRIM(C969)&amp;" ")-1),",","."),"."),LEFT(SUBSTITUTE(LEFT(TRIM(C969),FIND(" ",TRIM(C969)&amp;" ")-1),",","."),FIND("/",SUBSTITUTE(LEFT(TRIM(C969),FIND(" ",TRIM(C969)&amp;" ")-1),",","."))-1)/MID(SUBSTITUTE(LEFT(TRIM(C969),FIND(" ",TRIM(C969)&amp;" ")-1),",","."),FIND("/",SUBSTITUTE(LEFT(TRIM(C969),FIND(" ",TRIM(C969)&amp;" ")-1),",","."))+1,9))*12,NA()))),0),48)*'Aturan &amp; Tarif'!$B$4,2)</f>
        <v>2725.44</v>
      </c>
      <c r="K969" s="42" t="n">
        <f aca="false">'Aturan &amp; Tarif'!$B$5</f>
        <v>2050</v>
      </c>
      <c r="L969" s="42" t="n">
        <f aca="false">'Aturan &amp; Tarif'!$B$6</f>
        <v>350</v>
      </c>
      <c r="M969" s="35" t="n">
        <f aca="false">I969+J969+K969+L969</f>
        <v>8925.44</v>
      </c>
      <c r="N969" s="45" t="s">
        <v>2559</v>
      </c>
    </row>
    <row r="970" customFormat="false" ht="14.25" hidden="false" customHeight="true" outlineLevel="0" collapsed="false">
      <c r="A970" s="39"/>
      <c r="B970" s="40" t="s">
        <v>1984</v>
      </c>
      <c r="C970" s="41" t="s">
        <v>138</v>
      </c>
      <c r="D970" s="41" t="s">
        <v>108</v>
      </c>
      <c r="E970" s="42" t="n">
        <v>3250</v>
      </c>
      <c r="F970" s="42" t="n">
        <v>450</v>
      </c>
      <c r="G970" s="42" t="n">
        <v>250</v>
      </c>
      <c r="H970" s="43" t="n">
        <v>1</v>
      </c>
      <c r="I970" s="34" t="n">
        <f aca="false">E970*H970+N(F970)+N(G970)</f>
        <v>3950</v>
      </c>
      <c r="J970" s="42" t="n">
        <f aca="false">ROUND(IFERROR(ROUND(IF(OR(ISNUMBER(SEARCH("week",C970)),ISNUMBER(SEARCH("minggu",C970))),IFERROR(_xlfn.NUMBERVALUE(SUBSTITUTE(LEFT(TRIM(C970),FIND(" ",TRIM(C970)&amp;" ")-1),",","."),"."),LEFT(SUBSTITUTE(LEFT(TRIM(C970),FIND(" ",TRIM(C970)&amp;" ")-1),",","."),FIND("/",SUBSTITUTE(LEFT(TRIM(C970),FIND(" ",TRIM(C970)&amp;" ")-1),",","."))-1)/MID(SUBSTITUTE(LEFT(TRIM(C970),FIND(" ",TRIM(C970)&amp;" ")-1),",","."),FIND("/",SUBSTITUTE(LEFT(TRIM(C970),FIND(" ",TRIM(C970)&amp;" ")-1),",","."))+1,9))*12/52,IF(ISNUMBER(SEARCH("month",C970)),IFERROR(_xlfn.NUMBERVALUE(SUBSTITUTE(LEFT(TRIM(C970),FIND(" ",TRIM(C970)&amp;" ")-1),",","."),"."),LEFT(SUBSTITUTE(LEFT(TRIM(C970),FIND(" ",TRIM(C970)&amp;" ")-1),",","."),FIND("/",SUBSTITUTE(LEFT(TRIM(C970),FIND(" ",TRIM(C970)&amp;" ")-1),",","."))-1)/MID(SUBSTITUTE(LEFT(TRIM(C970),FIND(" ",TRIM(C970)&amp;" ")-1),",","."),FIND("/",SUBSTITUTE(LEFT(TRIM(C970),FIND(" ",TRIM(C970)&amp;" ")-1),",","."))+1,9)),IF(ISNUMBER(SEARCH("yea",C970)),IFERROR(_xlfn.NUMBERVALUE(SUBSTITUTE(LEFT(TRIM(C970),FIND(" ",TRIM(C970)&amp;" ")-1),",","."),"."),LEFT(SUBSTITUTE(LEFT(TRIM(C970),FIND(" ",TRIM(C970)&amp;" ")-1),",","."),FIND("/",SUBSTITUTE(LEFT(TRIM(C970),FIND(" ",TRIM(C970)&amp;" ")-1),",","."))-1)/MID(SUBSTITUTE(LEFT(TRIM(C970),FIND(" ",TRIM(C970)&amp;" ")-1),",","."),FIND("/",SUBSTITUTE(LEFT(TRIM(C970),FIND(" ",TRIM(C970)&amp;" ")-1),",","."))+1,9))*12,NA()))),0),30)*'Aturan &amp; Tarif'!$B$4,2)</f>
        <v>1703.4</v>
      </c>
      <c r="K970" s="42" t="n">
        <f aca="false">'Aturan &amp; Tarif'!$B$5</f>
        <v>2050</v>
      </c>
      <c r="L970" s="42" t="n">
        <f aca="false">'Aturan &amp; Tarif'!$B$6</f>
        <v>350</v>
      </c>
      <c r="M970" s="35" t="n">
        <f aca="false">I970+J970+K970+L970</f>
        <v>8053.4</v>
      </c>
      <c r="N970" s="45" t="s">
        <v>2561</v>
      </c>
    </row>
    <row r="971" customFormat="false" ht="25.5" hidden="false" customHeight="true" outlineLevel="0" collapsed="false">
      <c r="A971" s="39"/>
      <c r="B971" s="40" t="s">
        <v>1025</v>
      </c>
      <c r="C971" s="41" t="s">
        <v>127</v>
      </c>
      <c r="D971" s="41" t="s">
        <v>108</v>
      </c>
      <c r="E971" s="42" t="n">
        <v>3250</v>
      </c>
      <c r="F971" s="42" t="n">
        <v>450</v>
      </c>
      <c r="G971" s="42" t="n">
        <v>250</v>
      </c>
      <c r="H971" s="43" t="n">
        <v>1</v>
      </c>
      <c r="I971" s="34" t="n">
        <f aca="false">E971*H971+N(F971)+N(G971)</f>
        <v>3950</v>
      </c>
      <c r="J971" s="42" t="n">
        <f aca="false">ROUND(IFERROR(ROUND(IF(OR(ISNUMBER(SEARCH("week",C971)),ISNUMBER(SEARCH("minggu",C971))),IFERROR(_xlfn.NUMBERVALUE(SUBSTITUTE(LEFT(TRIM(C971),FIND(" ",TRIM(C971)&amp;" ")-1),",","."),"."),LEFT(SUBSTITUTE(LEFT(TRIM(C971),FIND(" ",TRIM(C971)&amp;" ")-1),",","."),FIND("/",SUBSTITUTE(LEFT(TRIM(C971),FIND(" ",TRIM(C971)&amp;" ")-1),",","."))-1)/MID(SUBSTITUTE(LEFT(TRIM(C971),FIND(" ",TRIM(C971)&amp;" ")-1),",","."),FIND("/",SUBSTITUTE(LEFT(TRIM(C971),FIND(" ",TRIM(C971)&amp;" ")-1),",","."))+1,9))*12/52,IF(ISNUMBER(SEARCH("month",C971)),IFERROR(_xlfn.NUMBERVALUE(SUBSTITUTE(LEFT(TRIM(C971),FIND(" ",TRIM(C971)&amp;" ")-1),",","."),"."),LEFT(SUBSTITUTE(LEFT(TRIM(C971),FIND(" ",TRIM(C971)&amp;" ")-1),",","."),FIND("/",SUBSTITUTE(LEFT(TRIM(C971),FIND(" ",TRIM(C971)&amp;" ")-1),",","."))-1)/MID(SUBSTITUTE(LEFT(TRIM(C971),FIND(" ",TRIM(C971)&amp;" ")-1),",","."),FIND("/",SUBSTITUTE(LEFT(TRIM(C971),FIND(" ",TRIM(C971)&amp;" ")-1),",","."))+1,9)),IF(ISNUMBER(SEARCH("yea",C971)),IFERROR(_xlfn.NUMBERVALUE(SUBSTITUTE(LEFT(TRIM(C971),FIND(" ",TRIM(C971)&amp;" ")-1),",","."),"."),LEFT(SUBSTITUTE(LEFT(TRIM(C971),FIND(" ",TRIM(C971)&amp;" ")-1),",","."),FIND("/",SUBSTITUTE(LEFT(TRIM(C971),FIND(" ",TRIM(C971)&amp;" ")-1),",","."))-1)/MID(SUBSTITUTE(LEFT(TRIM(C971),FIND(" ",TRIM(C971)&amp;" ")-1),",","."),FIND("/",SUBSTITUTE(LEFT(TRIM(C971),FIND(" ",TRIM(C971)&amp;" ")-1),",","."))+1,9))*12,NA()))),0),36)*'Aturan &amp; Tarif'!$B$4,2)</f>
        <v>2044.08</v>
      </c>
      <c r="K971" s="42" t="n">
        <f aca="false">'Aturan &amp; Tarif'!$B$5</f>
        <v>2050</v>
      </c>
      <c r="L971" s="42" t="n">
        <f aca="false">'Aturan &amp; Tarif'!$B$6</f>
        <v>350</v>
      </c>
      <c r="M971" s="35" t="n">
        <f aca="false">I971+J971+K971+L971</f>
        <v>8394.08</v>
      </c>
      <c r="N971" s="45" t="s">
        <v>2559</v>
      </c>
    </row>
    <row r="972" customFormat="false" ht="25.5" hidden="false" customHeight="true" outlineLevel="0" collapsed="false">
      <c r="A972" s="39"/>
      <c r="B972" s="40" t="s">
        <v>2562</v>
      </c>
      <c r="C972" s="41" t="s">
        <v>191</v>
      </c>
      <c r="D972" s="41" t="s">
        <v>108</v>
      </c>
      <c r="E972" s="42" t="n">
        <v>3250</v>
      </c>
      <c r="F972" s="42" t="n">
        <v>450</v>
      </c>
      <c r="G972" s="42" t="n">
        <v>250</v>
      </c>
      <c r="H972" s="43" t="n">
        <v>1</v>
      </c>
      <c r="I972" s="34" t="n">
        <f aca="false">E972*H972+N(F972)+N(G972)</f>
        <v>3950</v>
      </c>
      <c r="J972" s="42" t="n">
        <f aca="false">ROUND(IFERROR(ROUND(IF(OR(ISNUMBER(SEARCH("week",C972)),ISNUMBER(SEARCH("minggu",C972))),IFERROR(_xlfn.NUMBERVALUE(SUBSTITUTE(LEFT(TRIM(C972),FIND(" ",TRIM(C972)&amp;" ")-1),",","."),"."),LEFT(SUBSTITUTE(LEFT(TRIM(C972),FIND(" ",TRIM(C972)&amp;" ")-1),",","."),FIND("/",SUBSTITUTE(LEFT(TRIM(C972),FIND(" ",TRIM(C972)&amp;" ")-1),",","."))-1)/MID(SUBSTITUTE(LEFT(TRIM(C972),FIND(" ",TRIM(C972)&amp;" ")-1),",","."),FIND("/",SUBSTITUTE(LEFT(TRIM(C972),FIND(" ",TRIM(C972)&amp;" ")-1),",","."))+1,9))*12/52,IF(ISNUMBER(SEARCH("month",C972)),IFERROR(_xlfn.NUMBERVALUE(SUBSTITUTE(LEFT(TRIM(C972),FIND(" ",TRIM(C972)&amp;" ")-1),",","."),"."),LEFT(SUBSTITUTE(LEFT(TRIM(C972),FIND(" ",TRIM(C972)&amp;" ")-1),",","."),FIND("/",SUBSTITUTE(LEFT(TRIM(C972),FIND(" ",TRIM(C972)&amp;" ")-1),",","."))-1)/MID(SUBSTITUTE(LEFT(TRIM(C972),FIND(" ",TRIM(C972)&amp;" ")-1),",","."),FIND("/",SUBSTITUTE(LEFT(TRIM(C972),FIND(" ",TRIM(C972)&amp;" ")-1),",","."))+1,9)),IF(ISNUMBER(SEARCH("yea",C972)),IFERROR(_xlfn.NUMBERVALUE(SUBSTITUTE(LEFT(TRIM(C972),FIND(" ",TRIM(C972)&amp;" ")-1),",","."),"."),LEFT(SUBSTITUTE(LEFT(TRIM(C972),FIND(" ",TRIM(C972)&amp;" ")-1),",","."),FIND("/",SUBSTITUTE(LEFT(TRIM(C972),FIND(" ",TRIM(C972)&amp;" ")-1),",","."))-1)/MID(SUBSTITUTE(LEFT(TRIM(C972),FIND(" ",TRIM(C972)&amp;" ")-1),",","."),FIND("/",SUBSTITUTE(LEFT(TRIM(C972),FIND(" ",TRIM(C972)&amp;" ")-1),",","."))+1,9))*12,NA()))),0),48)*'Aturan &amp; Tarif'!$B$4,2)</f>
        <v>2725.44</v>
      </c>
      <c r="K972" s="42" t="n">
        <f aca="false">'Aturan &amp; Tarif'!$B$5</f>
        <v>2050</v>
      </c>
      <c r="L972" s="42" t="n">
        <f aca="false">'Aturan &amp; Tarif'!$B$6</f>
        <v>350</v>
      </c>
      <c r="M972" s="35" t="n">
        <f aca="false">I972+J972+K972+L972</f>
        <v>9075.44</v>
      </c>
      <c r="N972" s="45" t="s">
        <v>2559</v>
      </c>
    </row>
    <row r="973" customFormat="false" ht="25.5" hidden="false" customHeight="true" outlineLevel="0" collapsed="false">
      <c r="A973" s="39"/>
      <c r="B973" s="40" t="s">
        <v>2563</v>
      </c>
      <c r="C973" s="41" t="s">
        <v>138</v>
      </c>
      <c r="D973" s="41" t="s">
        <v>108</v>
      </c>
      <c r="E973" s="42" t="n">
        <v>3250</v>
      </c>
      <c r="F973" s="42" t="n">
        <v>450</v>
      </c>
      <c r="G973" s="42" t="n">
        <v>250</v>
      </c>
      <c r="H973" s="43" t="n">
        <v>1</v>
      </c>
      <c r="I973" s="34" t="n">
        <f aca="false">E973*H973+N(F973)+N(G973)</f>
        <v>3950</v>
      </c>
      <c r="J973" s="42" t="n">
        <f aca="false">ROUND(IFERROR(ROUND(IF(OR(ISNUMBER(SEARCH("week",C973)),ISNUMBER(SEARCH("minggu",C973))),IFERROR(_xlfn.NUMBERVALUE(SUBSTITUTE(LEFT(TRIM(C973),FIND(" ",TRIM(C973)&amp;" ")-1),",","."),"."),LEFT(SUBSTITUTE(LEFT(TRIM(C973),FIND(" ",TRIM(C973)&amp;" ")-1),",","."),FIND("/",SUBSTITUTE(LEFT(TRIM(C973),FIND(" ",TRIM(C973)&amp;" ")-1),",","."))-1)/MID(SUBSTITUTE(LEFT(TRIM(C973),FIND(" ",TRIM(C973)&amp;" ")-1),",","."),FIND("/",SUBSTITUTE(LEFT(TRIM(C973),FIND(" ",TRIM(C973)&amp;" ")-1),",","."))+1,9))*12/52,IF(ISNUMBER(SEARCH("month",C973)),IFERROR(_xlfn.NUMBERVALUE(SUBSTITUTE(LEFT(TRIM(C973),FIND(" ",TRIM(C973)&amp;" ")-1),",","."),"."),LEFT(SUBSTITUTE(LEFT(TRIM(C973),FIND(" ",TRIM(C973)&amp;" ")-1),",","."),FIND("/",SUBSTITUTE(LEFT(TRIM(C973),FIND(" ",TRIM(C973)&amp;" ")-1),",","."))-1)/MID(SUBSTITUTE(LEFT(TRIM(C973),FIND(" ",TRIM(C973)&amp;" ")-1),",","."),FIND("/",SUBSTITUTE(LEFT(TRIM(C973),FIND(" ",TRIM(C973)&amp;" ")-1),",","."))+1,9)),IF(ISNUMBER(SEARCH("yea",C973)),IFERROR(_xlfn.NUMBERVALUE(SUBSTITUTE(LEFT(TRIM(C973),FIND(" ",TRIM(C973)&amp;" ")-1),",","."),"."),LEFT(SUBSTITUTE(LEFT(TRIM(C973),FIND(" ",TRIM(C973)&amp;" ")-1),",","."),FIND("/",SUBSTITUTE(LEFT(TRIM(C973),FIND(" ",TRIM(C973)&amp;" ")-1),",","."))-1)/MID(SUBSTITUTE(LEFT(TRIM(C973),FIND(" ",TRIM(C973)&amp;" ")-1),",","."),FIND("/",SUBSTITUTE(LEFT(TRIM(C973),FIND(" ",TRIM(C973)&amp;" ")-1),",","."))+1,9))*12,NA()))),0),30)*'Aturan &amp; Tarif'!$B$4,2)</f>
        <v>1703.4</v>
      </c>
      <c r="K973" s="42" t="n">
        <f aca="false">'Aturan &amp; Tarif'!$B$5</f>
        <v>2050</v>
      </c>
      <c r="L973" s="42" t="n">
        <f aca="false">'Aturan &amp; Tarif'!$B$6</f>
        <v>350</v>
      </c>
      <c r="M973" s="35" t="n">
        <f aca="false">I973+J973+K973+L973</f>
        <v>8053.4</v>
      </c>
      <c r="N973" s="45" t="s">
        <v>2559</v>
      </c>
    </row>
    <row r="974" customFormat="false" ht="14.25" hidden="false" customHeight="true" outlineLevel="0" collapsed="false">
      <c r="A974" s="39"/>
      <c r="B974" s="40" t="s">
        <v>1967</v>
      </c>
      <c r="C974" s="41" t="s">
        <v>127</v>
      </c>
      <c r="D974" s="41" t="s">
        <v>108</v>
      </c>
      <c r="E974" s="42" t="n">
        <v>3250</v>
      </c>
      <c r="F974" s="42" t="n">
        <v>450</v>
      </c>
      <c r="G974" s="42" t="n">
        <v>250</v>
      </c>
      <c r="H974" s="43" t="n">
        <v>1</v>
      </c>
      <c r="I974" s="34" t="n">
        <f aca="false">E974*H974+N(F974)+N(G974)</f>
        <v>3950</v>
      </c>
      <c r="J974" s="42" t="n">
        <f aca="false">ROUND(IFERROR(ROUND(IF(OR(ISNUMBER(SEARCH("week",C974)),ISNUMBER(SEARCH("minggu",C974))),IFERROR(_xlfn.NUMBERVALUE(SUBSTITUTE(LEFT(TRIM(C974),FIND(" ",TRIM(C974)&amp;" ")-1),",","."),"."),LEFT(SUBSTITUTE(LEFT(TRIM(C974),FIND(" ",TRIM(C974)&amp;" ")-1),",","."),FIND("/",SUBSTITUTE(LEFT(TRIM(C974),FIND(" ",TRIM(C974)&amp;" ")-1),",","."))-1)/MID(SUBSTITUTE(LEFT(TRIM(C974),FIND(" ",TRIM(C974)&amp;" ")-1),",","."),FIND("/",SUBSTITUTE(LEFT(TRIM(C974),FIND(" ",TRIM(C974)&amp;" ")-1),",","."))+1,9))*12/52,IF(ISNUMBER(SEARCH("month",C974)),IFERROR(_xlfn.NUMBERVALUE(SUBSTITUTE(LEFT(TRIM(C974),FIND(" ",TRIM(C974)&amp;" ")-1),",","."),"."),LEFT(SUBSTITUTE(LEFT(TRIM(C974),FIND(" ",TRIM(C974)&amp;" ")-1),",","."),FIND("/",SUBSTITUTE(LEFT(TRIM(C974),FIND(" ",TRIM(C974)&amp;" ")-1),",","."))-1)/MID(SUBSTITUTE(LEFT(TRIM(C974),FIND(" ",TRIM(C974)&amp;" ")-1),",","."),FIND("/",SUBSTITUTE(LEFT(TRIM(C974),FIND(" ",TRIM(C974)&amp;" ")-1),",","."))+1,9)),IF(ISNUMBER(SEARCH("yea",C974)),IFERROR(_xlfn.NUMBERVALUE(SUBSTITUTE(LEFT(TRIM(C974),FIND(" ",TRIM(C974)&amp;" ")-1),",","."),"."),LEFT(SUBSTITUTE(LEFT(TRIM(C974),FIND(" ",TRIM(C974)&amp;" ")-1),",","."),FIND("/",SUBSTITUTE(LEFT(TRIM(C974),FIND(" ",TRIM(C974)&amp;" ")-1),",","."))-1)/MID(SUBSTITUTE(LEFT(TRIM(C974),FIND(" ",TRIM(C974)&amp;" ")-1),",","."),FIND("/",SUBSTITUTE(LEFT(TRIM(C974),FIND(" ",TRIM(C974)&amp;" ")-1),",","."))+1,9))*12,NA()))),0),36)*'Aturan &amp; Tarif'!$B$4,2)</f>
        <v>2044.08</v>
      </c>
      <c r="K974" s="42" t="n">
        <f aca="false">'Aturan &amp; Tarif'!$B$5</f>
        <v>2050</v>
      </c>
      <c r="L974" s="42" t="n">
        <f aca="false">'Aturan &amp; Tarif'!$B$6</f>
        <v>350</v>
      </c>
      <c r="M974" s="35" t="n">
        <f aca="false">I974+J974+K974+L974</f>
        <v>8394.08</v>
      </c>
      <c r="N974" s="45" t="s">
        <v>2561</v>
      </c>
    </row>
    <row r="975" customFormat="false" ht="14.25" hidden="false" customHeight="true" outlineLevel="0" collapsed="false">
      <c r="A975" s="39"/>
      <c r="B975" s="40" t="s">
        <v>2564</v>
      </c>
      <c r="C975" s="41" t="s">
        <v>1987</v>
      </c>
      <c r="D975" s="41" t="s">
        <v>108</v>
      </c>
      <c r="E975" s="42" t="n">
        <v>3250</v>
      </c>
      <c r="F975" s="42" t="n">
        <v>450</v>
      </c>
      <c r="G975" s="42" t="n">
        <v>250</v>
      </c>
      <c r="H975" s="43" t="n">
        <v>1</v>
      </c>
      <c r="I975" s="34" t="n">
        <f aca="false">E975*H975+N(F975)+N(G975)</f>
        <v>3950</v>
      </c>
      <c r="J975" s="42" t="n">
        <f aca="false">ROUND(IFERROR(ROUND(IF(OR(ISNUMBER(SEARCH("week",C975)),ISNUMBER(SEARCH("minggu",C975))),IFERROR(_xlfn.NUMBERVALUE(SUBSTITUTE(LEFT(TRIM(C975),FIND(" ",TRIM(C975)&amp;" ")-1),",","."),"."),LEFT(SUBSTITUTE(LEFT(TRIM(C975),FIND(" ",TRIM(C975)&amp;" ")-1),",","."),FIND("/",SUBSTITUTE(LEFT(TRIM(C975),FIND(" ",TRIM(C975)&amp;" ")-1),",","."))-1)/MID(SUBSTITUTE(LEFT(TRIM(C975),FIND(" ",TRIM(C975)&amp;" ")-1),",","."),FIND("/",SUBSTITUTE(LEFT(TRIM(C975),FIND(" ",TRIM(C975)&amp;" ")-1),",","."))+1,9))*12/52,IF(ISNUMBER(SEARCH("month",C975)),IFERROR(_xlfn.NUMBERVALUE(SUBSTITUTE(LEFT(TRIM(C975),FIND(" ",TRIM(C975)&amp;" ")-1),",","."),"."),LEFT(SUBSTITUTE(LEFT(TRIM(C975),FIND(" ",TRIM(C975)&amp;" ")-1),",","."),FIND("/",SUBSTITUTE(LEFT(TRIM(C975),FIND(" ",TRIM(C975)&amp;" ")-1),",","."))-1)/MID(SUBSTITUTE(LEFT(TRIM(C975),FIND(" ",TRIM(C975)&amp;" ")-1),",","."),FIND("/",SUBSTITUTE(LEFT(TRIM(C975),FIND(" ",TRIM(C975)&amp;" ")-1),",","."))+1,9)),IF(ISNUMBER(SEARCH("yea",C975)),IFERROR(_xlfn.NUMBERVALUE(SUBSTITUTE(LEFT(TRIM(C975),FIND(" ",TRIM(C975)&amp;" ")-1),",","."),"."),LEFT(SUBSTITUTE(LEFT(TRIM(C975),FIND(" ",TRIM(C975)&amp;" ")-1),",","."),FIND("/",SUBSTITUTE(LEFT(TRIM(C975),FIND(" ",TRIM(C975)&amp;" ")-1),",","."))-1)/MID(SUBSTITUTE(LEFT(TRIM(C975),FIND(" ",TRIM(C975)&amp;" ")-1),",","."),FIND("/",SUBSTITUTE(LEFT(TRIM(C975),FIND(" ",TRIM(C975)&amp;" ")-1),",","."))+1,9))*12,NA()))),0),42)*'Aturan &amp; Tarif'!$B$4,2)</f>
        <v>2384.76</v>
      </c>
      <c r="K975" s="42" t="n">
        <f aca="false">'Aturan &amp; Tarif'!$B$5</f>
        <v>2050</v>
      </c>
      <c r="L975" s="42" t="n">
        <f aca="false">'Aturan &amp; Tarif'!$B$6</f>
        <v>350</v>
      </c>
      <c r="M975" s="35" t="n">
        <f aca="false">I975+J975+K975+L975</f>
        <v>8734.76</v>
      </c>
      <c r="N975" s="45" t="s">
        <v>2561</v>
      </c>
    </row>
    <row r="976" customFormat="false" ht="25.5" hidden="false" customHeight="true" outlineLevel="0" collapsed="false">
      <c r="A976" s="39"/>
      <c r="B976" s="40" t="s">
        <v>2565</v>
      </c>
      <c r="C976" s="41" t="s">
        <v>107</v>
      </c>
      <c r="D976" s="41" t="s">
        <v>108</v>
      </c>
      <c r="E976" s="42" t="n">
        <v>3250</v>
      </c>
      <c r="F976" s="42" t="n">
        <v>1500</v>
      </c>
      <c r="G976" s="42" t="n">
        <v>250</v>
      </c>
      <c r="H976" s="43" t="n">
        <v>1</v>
      </c>
      <c r="I976" s="34" t="n">
        <f aca="false">E976*H976+N(F976)+N(G976)</f>
        <v>5000</v>
      </c>
      <c r="J976" s="42" t="n">
        <f aca="false">ROUND(IFERROR(ROUND(IF(OR(ISNUMBER(SEARCH("week",C976)),ISNUMBER(SEARCH("minggu",C976))),IFERROR(_xlfn.NUMBERVALUE(SUBSTITUTE(LEFT(TRIM(C976),FIND(" ",TRIM(C976)&amp;" ")-1),",","."),"."),LEFT(SUBSTITUTE(LEFT(TRIM(C976),FIND(" ",TRIM(C976)&amp;" ")-1),",","."),FIND("/",SUBSTITUTE(LEFT(TRIM(C976),FIND(" ",TRIM(C976)&amp;" ")-1),",","."))-1)/MID(SUBSTITUTE(LEFT(TRIM(C976),FIND(" ",TRIM(C976)&amp;" ")-1),",","."),FIND("/",SUBSTITUTE(LEFT(TRIM(C976),FIND(" ",TRIM(C976)&amp;" ")-1),",","."))+1,9))*12/52,IF(ISNUMBER(SEARCH("month",C976)),IFERROR(_xlfn.NUMBERVALUE(SUBSTITUTE(LEFT(TRIM(C976),FIND(" ",TRIM(C976)&amp;" ")-1),",","."),"."),LEFT(SUBSTITUTE(LEFT(TRIM(C976),FIND(" ",TRIM(C976)&amp;" ")-1),",","."),FIND("/",SUBSTITUTE(LEFT(TRIM(C976),FIND(" ",TRIM(C976)&amp;" ")-1),",","."))-1)/MID(SUBSTITUTE(LEFT(TRIM(C976),FIND(" ",TRIM(C976)&amp;" ")-1),",","."),FIND("/",SUBSTITUTE(LEFT(TRIM(C976),FIND(" ",TRIM(C976)&amp;" ")-1),",","."))+1,9)),IF(ISNUMBER(SEARCH("yea",C976)),IFERROR(_xlfn.NUMBERVALUE(SUBSTITUTE(LEFT(TRIM(C976),FIND(" ",TRIM(C976)&amp;" ")-1),",","."),"."),LEFT(SUBSTITUTE(LEFT(TRIM(C976),FIND(" ",TRIM(C976)&amp;" ")-1),",","."),FIND("/",SUBSTITUTE(LEFT(TRIM(C976),FIND(" ",TRIM(C976)&amp;" ")-1),",","."))-1)/MID(SUBSTITUTE(LEFT(TRIM(C976),FIND(" ",TRIM(C976)&amp;" ")-1),",","."),FIND("/",SUBSTITUTE(LEFT(TRIM(C976),FIND(" ",TRIM(C976)&amp;" ")-1),",","."))+1,9))*12,NA()))),0),24)*'Aturan &amp; Tarif'!$B$4,2)</f>
        <v>1362.72</v>
      </c>
      <c r="K976" s="42" t="n">
        <f aca="false">'Aturan &amp; Tarif'!$B$5</f>
        <v>2050</v>
      </c>
      <c r="L976" s="42" t="n">
        <f aca="false">'Aturan &amp; Tarif'!$B$6</f>
        <v>350</v>
      </c>
      <c r="M976" s="35" t="n">
        <f aca="false">I976+J976+K976+L976</f>
        <v>8762.72</v>
      </c>
      <c r="N976" s="45" t="s">
        <v>2559</v>
      </c>
    </row>
    <row r="977" customFormat="false" ht="25.5" hidden="false" customHeight="true" outlineLevel="0" collapsed="false">
      <c r="A977" s="39"/>
      <c r="B977" s="40" t="s">
        <v>2566</v>
      </c>
      <c r="C977" s="41" t="s">
        <v>1987</v>
      </c>
      <c r="D977" s="41" t="s">
        <v>108</v>
      </c>
      <c r="E977" s="42" t="n">
        <v>3250</v>
      </c>
      <c r="F977" s="42" t="n">
        <v>1500</v>
      </c>
      <c r="G977" s="42" t="n">
        <v>250</v>
      </c>
      <c r="H977" s="43" t="n">
        <v>1</v>
      </c>
      <c r="I977" s="34" t="n">
        <f aca="false">E977*H977+N(F977)+N(G977)</f>
        <v>5000</v>
      </c>
      <c r="J977" s="42" t="n">
        <f aca="false">ROUND(IFERROR(ROUND(IF(OR(ISNUMBER(SEARCH("week",C977)),ISNUMBER(SEARCH("minggu",C977))),IFERROR(_xlfn.NUMBERVALUE(SUBSTITUTE(LEFT(TRIM(C977),FIND(" ",TRIM(C977)&amp;" ")-1),",","."),"."),LEFT(SUBSTITUTE(LEFT(TRIM(C977),FIND(" ",TRIM(C977)&amp;" ")-1),",","."),FIND("/",SUBSTITUTE(LEFT(TRIM(C977),FIND(" ",TRIM(C977)&amp;" ")-1),",","."))-1)/MID(SUBSTITUTE(LEFT(TRIM(C977),FIND(" ",TRIM(C977)&amp;" ")-1),",","."),FIND("/",SUBSTITUTE(LEFT(TRIM(C977),FIND(" ",TRIM(C977)&amp;" ")-1),",","."))+1,9))*12/52,IF(ISNUMBER(SEARCH("month",C977)),IFERROR(_xlfn.NUMBERVALUE(SUBSTITUTE(LEFT(TRIM(C977),FIND(" ",TRIM(C977)&amp;" ")-1),",","."),"."),LEFT(SUBSTITUTE(LEFT(TRIM(C977),FIND(" ",TRIM(C977)&amp;" ")-1),",","."),FIND("/",SUBSTITUTE(LEFT(TRIM(C977),FIND(" ",TRIM(C977)&amp;" ")-1),",","."))-1)/MID(SUBSTITUTE(LEFT(TRIM(C977),FIND(" ",TRIM(C977)&amp;" ")-1),",","."),FIND("/",SUBSTITUTE(LEFT(TRIM(C977),FIND(" ",TRIM(C977)&amp;" ")-1),",","."))+1,9)),IF(ISNUMBER(SEARCH("yea",C977)),IFERROR(_xlfn.NUMBERVALUE(SUBSTITUTE(LEFT(TRIM(C977),FIND(" ",TRIM(C977)&amp;" ")-1),",","."),"."),LEFT(SUBSTITUTE(LEFT(TRIM(C977),FIND(" ",TRIM(C977)&amp;" ")-1),",","."),FIND("/",SUBSTITUTE(LEFT(TRIM(C977),FIND(" ",TRIM(C977)&amp;" ")-1),",","."))-1)/MID(SUBSTITUTE(LEFT(TRIM(C977),FIND(" ",TRIM(C977)&amp;" ")-1),",","."),FIND("/",SUBSTITUTE(LEFT(TRIM(C977),FIND(" ",TRIM(C977)&amp;" ")-1),",","."))+1,9))*12,NA()))),0),42)*'Aturan &amp; Tarif'!$B$4,2)</f>
        <v>2384.76</v>
      </c>
      <c r="K977" s="42" t="n">
        <f aca="false">'Aturan &amp; Tarif'!$B$5</f>
        <v>2050</v>
      </c>
      <c r="L977" s="42" t="n">
        <f aca="false">'Aturan &amp; Tarif'!$B$6</f>
        <v>350</v>
      </c>
      <c r="M977" s="35" t="n">
        <f aca="false">I977+J977+K977+L977</f>
        <v>9784.76</v>
      </c>
      <c r="N977" s="45" t="s">
        <v>2559</v>
      </c>
    </row>
    <row r="978" customFormat="false" ht="25.5" hidden="false" customHeight="true" outlineLevel="0" collapsed="false">
      <c r="A978" s="39"/>
      <c r="B978" s="40" t="s">
        <v>2567</v>
      </c>
      <c r="C978" s="41" t="s">
        <v>107</v>
      </c>
      <c r="D978" s="41" t="s">
        <v>108</v>
      </c>
      <c r="E978" s="42" t="n">
        <v>3250</v>
      </c>
      <c r="F978" s="42" t="n">
        <v>1000</v>
      </c>
      <c r="G978" s="42" t="n">
        <v>250</v>
      </c>
      <c r="H978" s="43" t="n">
        <v>1</v>
      </c>
      <c r="I978" s="34" t="n">
        <f aca="false">E978*H978+N(F978)+N(G978)</f>
        <v>4500</v>
      </c>
      <c r="J978" s="42" t="n">
        <f aca="false">ROUND(IFERROR(ROUND(IF(OR(ISNUMBER(SEARCH("week",C978)),ISNUMBER(SEARCH("minggu",C978))),IFERROR(_xlfn.NUMBERVALUE(SUBSTITUTE(LEFT(TRIM(C978),FIND(" ",TRIM(C978)&amp;" ")-1),",","."),"."),LEFT(SUBSTITUTE(LEFT(TRIM(C978),FIND(" ",TRIM(C978)&amp;" ")-1),",","."),FIND("/",SUBSTITUTE(LEFT(TRIM(C978),FIND(" ",TRIM(C978)&amp;" ")-1),",","."))-1)/MID(SUBSTITUTE(LEFT(TRIM(C978),FIND(" ",TRIM(C978)&amp;" ")-1),",","."),FIND("/",SUBSTITUTE(LEFT(TRIM(C978),FIND(" ",TRIM(C978)&amp;" ")-1),",","."))+1,9))*12/52,IF(ISNUMBER(SEARCH("month",C978)),IFERROR(_xlfn.NUMBERVALUE(SUBSTITUTE(LEFT(TRIM(C978),FIND(" ",TRIM(C978)&amp;" ")-1),",","."),"."),LEFT(SUBSTITUTE(LEFT(TRIM(C978),FIND(" ",TRIM(C978)&amp;" ")-1),",","."),FIND("/",SUBSTITUTE(LEFT(TRIM(C978),FIND(" ",TRIM(C978)&amp;" ")-1),",","."))-1)/MID(SUBSTITUTE(LEFT(TRIM(C978),FIND(" ",TRIM(C978)&amp;" ")-1),",","."),FIND("/",SUBSTITUTE(LEFT(TRIM(C978),FIND(" ",TRIM(C978)&amp;" ")-1),",","."))+1,9)),IF(ISNUMBER(SEARCH("yea",C978)),IFERROR(_xlfn.NUMBERVALUE(SUBSTITUTE(LEFT(TRIM(C978),FIND(" ",TRIM(C978)&amp;" ")-1),",","."),"."),LEFT(SUBSTITUTE(LEFT(TRIM(C978),FIND(" ",TRIM(C978)&amp;" ")-1),",","."),FIND("/",SUBSTITUTE(LEFT(TRIM(C978),FIND(" ",TRIM(C978)&amp;" ")-1),",","."))-1)/MID(SUBSTITUTE(LEFT(TRIM(C978),FIND(" ",TRIM(C978)&amp;" ")-1),",","."),FIND("/",SUBSTITUTE(LEFT(TRIM(C978),FIND(" ",TRIM(C978)&amp;" ")-1),",","."))+1,9))*12,NA()))),0),24)*'Aturan &amp; Tarif'!$B$4,2)</f>
        <v>1362.72</v>
      </c>
      <c r="K978" s="42" t="n">
        <f aca="false">'Aturan &amp; Tarif'!$B$5</f>
        <v>2050</v>
      </c>
      <c r="L978" s="42" t="n">
        <f aca="false">'Aturan &amp; Tarif'!$B$6</f>
        <v>350</v>
      </c>
      <c r="M978" s="35" t="n">
        <f aca="false">I978+J978+K978+L978</f>
        <v>8262.72</v>
      </c>
      <c r="N978" s="45" t="s">
        <v>2561</v>
      </c>
    </row>
    <row r="979" customFormat="false" ht="14.25" hidden="false" customHeight="true" outlineLevel="0" collapsed="false">
      <c r="A979" s="39"/>
      <c r="B979" s="40" t="s">
        <v>1693</v>
      </c>
      <c r="C979" s="41" t="s">
        <v>107</v>
      </c>
      <c r="D979" s="41" t="s">
        <v>108</v>
      </c>
      <c r="E979" s="42" t="n">
        <v>3250</v>
      </c>
      <c r="F979" s="42" t="n">
        <v>1000</v>
      </c>
      <c r="G979" s="42" t="n">
        <v>250</v>
      </c>
      <c r="H979" s="43" t="n">
        <v>1</v>
      </c>
      <c r="I979" s="34" t="n">
        <f aca="false">E979*H979+N(F979)+N(G979)</f>
        <v>4500</v>
      </c>
      <c r="J979" s="42" t="n">
        <f aca="false">ROUND(IFERROR(ROUND(IF(OR(ISNUMBER(SEARCH("week",C979)),ISNUMBER(SEARCH("minggu",C979))),IFERROR(_xlfn.NUMBERVALUE(SUBSTITUTE(LEFT(TRIM(C979),FIND(" ",TRIM(C979)&amp;" ")-1),",","."),"."),LEFT(SUBSTITUTE(LEFT(TRIM(C979),FIND(" ",TRIM(C979)&amp;" ")-1),",","."),FIND("/",SUBSTITUTE(LEFT(TRIM(C979),FIND(" ",TRIM(C979)&amp;" ")-1),",","."))-1)/MID(SUBSTITUTE(LEFT(TRIM(C979),FIND(" ",TRIM(C979)&amp;" ")-1),",","."),FIND("/",SUBSTITUTE(LEFT(TRIM(C979),FIND(" ",TRIM(C979)&amp;" ")-1),",","."))+1,9))*12/52,IF(ISNUMBER(SEARCH("month",C979)),IFERROR(_xlfn.NUMBERVALUE(SUBSTITUTE(LEFT(TRIM(C979),FIND(" ",TRIM(C979)&amp;" ")-1),",","."),"."),LEFT(SUBSTITUTE(LEFT(TRIM(C979),FIND(" ",TRIM(C979)&amp;" ")-1),",","."),FIND("/",SUBSTITUTE(LEFT(TRIM(C979),FIND(" ",TRIM(C979)&amp;" ")-1),",","."))-1)/MID(SUBSTITUTE(LEFT(TRIM(C979),FIND(" ",TRIM(C979)&amp;" ")-1),",","."),FIND("/",SUBSTITUTE(LEFT(TRIM(C979),FIND(" ",TRIM(C979)&amp;" ")-1),",","."))+1,9)),IF(ISNUMBER(SEARCH("yea",C979)),IFERROR(_xlfn.NUMBERVALUE(SUBSTITUTE(LEFT(TRIM(C979),FIND(" ",TRIM(C979)&amp;" ")-1),",","."),"."),LEFT(SUBSTITUTE(LEFT(TRIM(C979),FIND(" ",TRIM(C979)&amp;" ")-1),",","."),FIND("/",SUBSTITUTE(LEFT(TRIM(C979),FIND(" ",TRIM(C979)&amp;" ")-1),",","."))-1)/MID(SUBSTITUTE(LEFT(TRIM(C979),FIND(" ",TRIM(C979)&amp;" ")-1),",","."),FIND("/",SUBSTITUTE(LEFT(TRIM(C979),FIND(" ",TRIM(C979)&amp;" ")-1),",","."))+1,9))*12,NA()))),0),24)*'Aturan &amp; Tarif'!$B$4,2)</f>
        <v>1362.72</v>
      </c>
      <c r="K979" s="42" t="n">
        <f aca="false">'Aturan &amp; Tarif'!$B$5</f>
        <v>2050</v>
      </c>
      <c r="L979" s="42" t="n">
        <f aca="false">'Aturan &amp; Tarif'!$B$6</f>
        <v>350</v>
      </c>
      <c r="M979" s="35" t="n">
        <f aca="false">I979+J979+K979+L979</f>
        <v>8262.72</v>
      </c>
      <c r="N979" s="45" t="s">
        <v>2561</v>
      </c>
    </row>
    <row r="980" customFormat="false" ht="14.25" hidden="false" customHeight="true" outlineLevel="0" collapsed="false">
      <c r="A980" s="39"/>
      <c r="B980" s="40" t="s">
        <v>2568</v>
      </c>
      <c r="C980" s="41" t="s">
        <v>113</v>
      </c>
      <c r="D980" s="41" t="s">
        <v>108</v>
      </c>
      <c r="E980" s="42" t="n">
        <v>2000</v>
      </c>
      <c r="F980" s="42" t="n">
        <v>500</v>
      </c>
      <c r="G980" s="42" t="n">
        <v>250</v>
      </c>
      <c r="H980" s="43" t="n">
        <v>1</v>
      </c>
      <c r="I980" s="34" t="n">
        <f aca="false">E980*H980+N(F980)+N(G980)</f>
        <v>2750</v>
      </c>
      <c r="J980" s="42" t="n">
        <f aca="false">ROUND(IFERROR(ROUND(IF(OR(ISNUMBER(SEARCH("week",C980)),ISNUMBER(SEARCH("minggu",C980))),IFERROR(_xlfn.NUMBERVALUE(SUBSTITUTE(LEFT(TRIM(C980),FIND(" ",TRIM(C980)&amp;" ")-1),",","."),"."),LEFT(SUBSTITUTE(LEFT(TRIM(C980),FIND(" ",TRIM(C980)&amp;" ")-1),",","."),FIND("/",SUBSTITUTE(LEFT(TRIM(C980),FIND(" ",TRIM(C980)&amp;" ")-1),",","."))-1)/MID(SUBSTITUTE(LEFT(TRIM(C980),FIND(" ",TRIM(C980)&amp;" ")-1),",","."),FIND("/",SUBSTITUTE(LEFT(TRIM(C980),FIND(" ",TRIM(C980)&amp;" ")-1),",","."))+1,9))*12/52,IF(ISNUMBER(SEARCH("month",C980)),IFERROR(_xlfn.NUMBERVALUE(SUBSTITUTE(LEFT(TRIM(C980),FIND(" ",TRIM(C980)&amp;" ")-1),",","."),"."),LEFT(SUBSTITUTE(LEFT(TRIM(C980),FIND(" ",TRIM(C980)&amp;" ")-1),",","."),FIND("/",SUBSTITUTE(LEFT(TRIM(C980),FIND(" ",TRIM(C980)&amp;" ")-1),",","."))-1)/MID(SUBSTITUTE(LEFT(TRIM(C980),FIND(" ",TRIM(C980)&amp;" ")-1),",","."),FIND("/",SUBSTITUTE(LEFT(TRIM(C980),FIND(" ",TRIM(C980)&amp;" ")-1),",","."))+1,9)),IF(ISNUMBER(SEARCH("yea",C980)),IFERROR(_xlfn.NUMBERVALUE(SUBSTITUTE(LEFT(TRIM(C980),FIND(" ",TRIM(C980)&amp;" ")-1),",","."),"."),LEFT(SUBSTITUTE(LEFT(TRIM(C980),FIND(" ",TRIM(C980)&amp;" ")-1),",","."),FIND("/",SUBSTITUTE(LEFT(TRIM(C980),FIND(" ",TRIM(C980)&amp;" ")-1),",","."))-1)/MID(SUBSTITUTE(LEFT(TRIM(C980),FIND(" ",TRIM(C980)&amp;" ")-1),",","."),FIND("/",SUBSTITUTE(LEFT(TRIM(C980),FIND(" ",TRIM(C980)&amp;" ")-1),",","."))+1,9))*12,NA()))),0),18)*'Aturan &amp; Tarif'!$B$4,2)</f>
        <v>1022.04</v>
      </c>
      <c r="K980" s="42" t="n">
        <f aca="false">'Aturan &amp; Tarif'!$B$5</f>
        <v>2050</v>
      </c>
      <c r="L980" s="42" t="n">
        <f aca="false">'Aturan &amp; Tarif'!$B$6</f>
        <v>350</v>
      </c>
      <c r="M980" s="35" t="n">
        <f aca="false">I980+J980+K980+L980</f>
        <v>6172.04</v>
      </c>
      <c r="N980" s="45" t="s">
        <v>2561</v>
      </c>
    </row>
    <row r="981" customFormat="false" ht="25.5" hidden="false" customHeight="true" outlineLevel="0" collapsed="false">
      <c r="A981" s="39"/>
      <c r="B981" s="40" t="s">
        <v>2569</v>
      </c>
      <c r="C981" s="41" t="s">
        <v>107</v>
      </c>
      <c r="D981" s="41" t="s">
        <v>108</v>
      </c>
      <c r="E981" s="42" t="n">
        <v>2400</v>
      </c>
      <c r="F981" s="42" t="n">
        <v>1000</v>
      </c>
      <c r="G981" s="42" t="n">
        <v>250</v>
      </c>
      <c r="H981" s="43" t="n">
        <v>1</v>
      </c>
      <c r="I981" s="34" t="n">
        <f aca="false">E981*H981+N(F981)+N(G981)</f>
        <v>3650</v>
      </c>
      <c r="J981" s="42" t="n">
        <f aca="false">ROUND(IFERROR(ROUND(IF(OR(ISNUMBER(SEARCH("week",C981)),ISNUMBER(SEARCH("minggu",C981))),IFERROR(_xlfn.NUMBERVALUE(SUBSTITUTE(LEFT(TRIM(C981),FIND(" ",TRIM(C981)&amp;" ")-1),",","."),"."),LEFT(SUBSTITUTE(LEFT(TRIM(C981),FIND(" ",TRIM(C981)&amp;" ")-1),",","."),FIND("/",SUBSTITUTE(LEFT(TRIM(C981),FIND(" ",TRIM(C981)&amp;" ")-1),",","."))-1)/MID(SUBSTITUTE(LEFT(TRIM(C981),FIND(" ",TRIM(C981)&amp;" ")-1),",","."),FIND("/",SUBSTITUTE(LEFT(TRIM(C981),FIND(" ",TRIM(C981)&amp;" ")-1),",","."))+1,9))*12/52,IF(ISNUMBER(SEARCH("month",C981)),IFERROR(_xlfn.NUMBERVALUE(SUBSTITUTE(LEFT(TRIM(C981),FIND(" ",TRIM(C981)&amp;" ")-1),",","."),"."),LEFT(SUBSTITUTE(LEFT(TRIM(C981),FIND(" ",TRIM(C981)&amp;" ")-1),",","."),FIND("/",SUBSTITUTE(LEFT(TRIM(C981),FIND(" ",TRIM(C981)&amp;" ")-1),",","."))-1)/MID(SUBSTITUTE(LEFT(TRIM(C981),FIND(" ",TRIM(C981)&amp;" ")-1),",","."),FIND("/",SUBSTITUTE(LEFT(TRIM(C981),FIND(" ",TRIM(C981)&amp;" ")-1),",","."))+1,9)),IF(ISNUMBER(SEARCH("yea",C981)),IFERROR(_xlfn.NUMBERVALUE(SUBSTITUTE(LEFT(TRIM(C981),FIND(" ",TRIM(C981)&amp;" ")-1),",","."),"."),LEFT(SUBSTITUTE(LEFT(TRIM(C981),FIND(" ",TRIM(C981)&amp;" ")-1),",","."),FIND("/",SUBSTITUTE(LEFT(TRIM(C981),FIND(" ",TRIM(C981)&amp;" ")-1),",","."))-1)/MID(SUBSTITUTE(LEFT(TRIM(C981),FIND(" ",TRIM(C981)&amp;" ")-1),",","."),FIND("/",SUBSTITUTE(LEFT(TRIM(C981),FIND(" ",TRIM(C981)&amp;" ")-1),",","."))+1,9))*12,NA()))),0),24)*'Aturan &amp; Tarif'!$B$4,2)</f>
        <v>1362.72</v>
      </c>
      <c r="K981" s="42" t="n">
        <f aca="false">'Aturan &amp; Tarif'!$B$5</f>
        <v>2050</v>
      </c>
      <c r="L981" s="42" t="n">
        <f aca="false">'Aturan &amp; Tarif'!$B$6</f>
        <v>350</v>
      </c>
      <c r="M981" s="35" t="n">
        <f aca="false">I981+J981+K981+L981</f>
        <v>7412.72</v>
      </c>
      <c r="N981" s="45" t="s">
        <v>2561</v>
      </c>
    </row>
    <row r="982" customFormat="false" ht="25.5" hidden="false" customHeight="true" outlineLevel="0" collapsed="false">
      <c r="A982" s="39" t="s">
        <v>2570</v>
      </c>
      <c r="B982" s="40" t="s">
        <v>2571</v>
      </c>
      <c r="C982" s="41" t="s">
        <v>127</v>
      </c>
      <c r="D982" s="41" t="s">
        <v>108</v>
      </c>
      <c r="E982" s="42" t="n">
        <v>8125</v>
      </c>
      <c r="F982" s="42"/>
      <c r="G982" s="42"/>
      <c r="H982" s="43" t="n">
        <v>2</v>
      </c>
      <c r="I982" s="34" t="n">
        <f aca="false">E982*H982+N(F982)+N(G982)</f>
        <v>16250</v>
      </c>
      <c r="J982" s="42" t="n">
        <f aca="false">ROUND(IFERROR(ROUND(IF(OR(ISNUMBER(SEARCH("week",C982)),ISNUMBER(SEARCH("minggu",C982))),IFERROR(_xlfn.NUMBERVALUE(SUBSTITUTE(LEFT(TRIM(C982),FIND(" ",TRIM(C982)&amp;" ")-1),",","."),"."),LEFT(SUBSTITUTE(LEFT(TRIM(C982),FIND(" ",TRIM(C982)&amp;" ")-1),",","."),FIND("/",SUBSTITUTE(LEFT(TRIM(C982),FIND(" ",TRIM(C982)&amp;" ")-1),",","."))-1)/MID(SUBSTITUTE(LEFT(TRIM(C982),FIND(" ",TRIM(C982)&amp;" ")-1),",","."),FIND("/",SUBSTITUTE(LEFT(TRIM(C982),FIND(" ",TRIM(C982)&amp;" ")-1),",","."))+1,9))*12/52,IF(ISNUMBER(SEARCH("month",C982)),IFERROR(_xlfn.NUMBERVALUE(SUBSTITUTE(LEFT(TRIM(C982),FIND(" ",TRIM(C982)&amp;" ")-1),",","."),"."),LEFT(SUBSTITUTE(LEFT(TRIM(C982),FIND(" ",TRIM(C982)&amp;" ")-1),",","."),FIND("/",SUBSTITUTE(LEFT(TRIM(C982),FIND(" ",TRIM(C982)&amp;" ")-1),",","."))-1)/MID(SUBSTITUTE(LEFT(TRIM(C982),FIND(" ",TRIM(C982)&amp;" ")-1),",","."),FIND("/",SUBSTITUTE(LEFT(TRIM(C982),FIND(" ",TRIM(C982)&amp;" ")-1),",","."))+1,9)),IF(ISNUMBER(SEARCH("yea",C982)),IFERROR(_xlfn.NUMBERVALUE(SUBSTITUTE(LEFT(TRIM(C982),FIND(" ",TRIM(C982)&amp;" ")-1),",","."),"."),LEFT(SUBSTITUTE(LEFT(TRIM(C982),FIND(" ",TRIM(C982)&amp;" ")-1),",","."),FIND("/",SUBSTITUTE(LEFT(TRIM(C982),FIND(" ",TRIM(C982)&amp;" ")-1),",","."))-1)/MID(SUBSTITUTE(LEFT(TRIM(C982),FIND(" ",TRIM(C982)&amp;" ")-1),",","."),FIND("/",SUBSTITUTE(LEFT(TRIM(C982),FIND(" ",TRIM(C982)&amp;" ")-1),",","."))+1,9))*12,NA()))),0),36)*'Aturan &amp; Tarif'!$B$4,2)</f>
        <v>2044.08</v>
      </c>
      <c r="K982" s="42" t="n">
        <f aca="false">'Aturan &amp; Tarif'!$B$5</f>
        <v>2050</v>
      </c>
      <c r="L982" s="42" t="n">
        <f aca="false">'Aturan &amp; Tarif'!$B$6</f>
        <v>350</v>
      </c>
      <c r="M982" s="35" t="n">
        <f aca="false">I982+J982+K982+L982</f>
        <v>20694.08</v>
      </c>
      <c r="N982" s="45" t="s">
        <v>2572</v>
      </c>
    </row>
    <row r="983" customFormat="false" ht="25.5" hidden="false" customHeight="true" outlineLevel="0" collapsed="false">
      <c r="A983" s="39"/>
      <c r="B983" s="40" t="s">
        <v>2573</v>
      </c>
      <c r="C983" s="41" t="s">
        <v>127</v>
      </c>
      <c r="D983" s="41" t="s">
        <v>108</v>
      </c>
      <c r="E983" s="42" t="n">
        <v>8125</v>
      </c>
      <c r="F983" s="42"/>
      <c r="G983" s="42"/>
      <c r="H983" s="43" t="n">
        <v>2</v>
      </c>
      <c r="I983" s="34" t="n">
        <f aca="false">E983*H983+N(F983)+N(G983)</f>
        <v>16250</v>
      </c>
      <c r="J983" s="42" t="n">
        <f aca="false">ROUND(IFERROR(ROUND(IF(OR(ISNUMBER(SEARCH("week",C983)),ISNUMBER(SEARCH("minggu",C983))),IFERROR(_xlfn.NUMBERVALUE(SUBSTITUTE(LEFT(TRIM(C983),FIND(" ",TRIM(C983)&amp;" ")-1),",","."),"."),LEFT(SUBSTITUTE(LEFT(TRIM(C983),FIND(" ",TRIM(C983)&amp;" ")-1),",","."),FIND("/",SUBSTITUTE(LEFT(TRIM(C983),FIND(" ",TRIM(C983)&amp;" ")-1),",","."))-1)/MID(SUBSTITUTE(LEFT(TRIM(C983),FIND(" ",TRIM(C983)&amp;" ")-1),",","."),FIND("/",SUBSTITUTE(LEFT(TRIM(C983),FIND(" ",TRIM(C983)&amp;" ")-1),",","."))+1,9))*12/52,IF(ISNUMBER(SEARCH("month",C983)),IFERROR(_xlfn.NUMBERVALUE(SUBSTITUTE(LEFT(TRIM(C983),FIND(" ",TRIM(C983)&amp;" ")-1),",","."),"."),LEFT(SUBSTITUTE(LEFT(TRIM(C983),FIND(" ",TRIM(C983)&amp;" ")-1),",","."),FIND("/",SUBSTITUTE(LEFT(TRIM(C983),FIND(" ",TRIM(C983)&amp;" ")-1),",","."))-1)/MID(SUBSTITUTE(LEFT(TRIM(C983),FIND(" ",TRIM(C983)&amp;" ")-1),",","."),FIND("/",SUBSTITUTE(LEFT(TRIM(C983),FIND(" ",TRIM(C983)&amp;" ")-1),",","."))+1,9)),IF(ISNUMBER(SEARCH("yea",C983)),IFERROR(_xlfn.NUMBERVALUE(SUBSTITUTE(LEFT(TRIM(C983),FIND(" ",TRIM(C983)&amp;" ")-1),",","."),"."),LEFT(SUBSTITUTE(LEFT(TRIM(C983),FIND(" ",TRIM(C983)&amp;" ")-1),",","."),FIND("/",SUBSTITUTE(LEFT(TRIM(C983),FIND(" ",TRIM(C983)&amp;" ")-1),",","."))-1)/MID(SUBSTITUTE(LEFT(TRIM(C983),FIND(" ",TRIM(C983)&amp;" ")-1),",","."),FIND("/",SUBSTITUTE(LEFT(TRIM(C983),FIND(" ",TRIM(C983)&amp;" ")-1),",","."))+1,9))*12,NA()))),0),36)*'Aturan &amp; Tarif'!$B$4,2)</f>
        <v>2044.08</v>
      </c>
      <c r="K983" s="42" t="n">
        <f aca="false">'Aturan &amp; Tarif'!$B$5</f>
        <v>2050</v>
      </c>
      <c r="L983" s="42" t="n">
        <f aca="false">'Aturan &amp; Tarif'!$B$6</f>
        <v>350</v>
      </c>
      <c r="M983" s="35" t="n">
        <f aca="false">I983+J983+K983+L983</f>
        <v>20694.08</v>
      </c>
      <c r="N983" s="45" t="s">
        <v>2572</v>
      </c>
    </row>
    <row r="984" customFormat="false" ht="25.5" hidden="false" customHeight="true" outlineLevel="0" collapsed="false">
      <c r="A984" s="39"/>
      <c r="B984" s="40" t="s">
        <v>2574</v>
      </c>
      <c r="C984" s="41" t="s">
        <v>127</v>
      </c>
      <c r="D984" s="41" t="s">
        <v>108</v>
      </c>
      <c r="E984" s="42" t="n">
        <v>8694</v>
      </c>
      <c r="F984" s="42"/>
      <c r="G984" s="42"/>
      <c r="H984" s="43" t="n">
        <v>2</v>
      </c>
      <c r="I984" s="34" t="n">
        <f aca="false">E984*H984+N(F984)+N(G984)</f>
        <v>17388</v>
      </c>
      <c r="J984" s="42" t="n">
        <f aca="false">ROUND(IFERROR(ROUND(IF(OR(ISNUMBER(SEARCH("week",C984)),ISNUMBER(SEARCH("minggu",C984))),IFERROR(_xlfn.NUMBERVALUE(SUBSTITUTE(LEFT(TRIM(C984),FIND(" ",TRIM(C984)&amp;" ")-1),",","."),"."),LEFT(SUBSTITUTE(LEFT(TRIM(C984),FIND(" ",TRIM(C984)&amp;" ")-1),",","."),FIND("/",SUBSTITUTE(LEFT(TRIM(C984),FIND(" ",TRIM(C984)&amp;" ")-1),",","."))-1)/MID(SUBSTITUTE(LEFT(TRIM(C984),FIND(" ",TRIM(C984)&amp;" ")-1),",","."),FIND("/",SUBSTITUTE(LEFT(TRIM(C984),FIND(" ",TRIM(C984)&amp;" ")-1),",","."))+1,9))*12/52,IF(ISNUMBER(SEARCH("month",C984)),IFERROR(_xlfn.NUMBERVALUE(SUBSTITUTE(LEFT(TRIM(C984),FIND(" ",TRIM(C984)&amp;" ")-1),",","."),"."),LEFT(SUBSTITUTE(LEFT(TRIM(C984),FIND(" ",TRIM(C984)&amp;" ")-1),",","."),FIND("/",SUBSTITUTE(LEFT(TRIM(C984),FIND(" ",TRIM(C984)&amp;" ")-1),",","."))-1)/MID(SUBSTITUTE(LEFT(TRIM(C984),FIND(" ",TRIM(C984)&amp;" ")-1),",","."),FIND("/",SUBSTITUTE(LEFT(TRIM(C984),FIND(" ",TRIM(C984)&amp;" ")-1),",","."))+1,9)),IF(ISNUMBER(SEARCH("yea",C984)),IFERROR(_xlfn.NUMBERVALUE(SUBSTITUTE(LEFT(TRIM(C984),FIND(" ",TRIM(C984)&amp;" ")-1),",","."),"."),LEFT(SUBSTITUTE(LEFT(TRIM(C984),FIND(" ",TRIM(C984)&amp;" ")-1),",","."),FIND("/",SUBSTITUTE(LEFT(TRIM(C984),FIND(" ",TRIM(C984)&amp;" ")-1),",","."))-1)/MID(SUBSTITUTE(LEFT(TRIM(C984),FIND(" ",TRIM(C984)&amp;" ")-1),",","."),FIND("/",SUBSTITUTE(LEFT(TRIM(C984),FIND(" ",TRIM(C984)&amp;" ")-1),",","."))+1,9))*12,NA()))),0),36)*'Aturan &amp; Tarif'!$B$4,2)</f>
        <v>2044.08</v>
      </c>
      <c r="K984" s="42" t="n">
        <f aca="false">'Aturan &amp; Tarif'!$B$5</f>
        <v>2050</v>
      </c>
      <c r="L984" s="42" t="n">
        <f aca="false">'Aturan &amp; Tarif'!$B$6</f>
        <v>350</v>
      </c>
      <c r="M984" s="35" t="n">
        <f aca="false">I984+J984+K984+L984</f>
        <v>21832.08</v>
      </c>
      <c r="N984" s="45" t="s">
        <v>2572</v>
      </c>
    </row>
    <row r="985" customFormat="false" ht="25.5" hidden="false" customHeight="true" outlineLevel="0" collapsed="false">
      <c r="A985" s="39"/>
      <c r="B985" s="40" t="s">
        <v>2575</v>
      </c>
      <c r="C985" s="41" t="s">
        <v>127</v>
      </c>
      <c r="D985" s="41" t="s">
        <v>108</v>
      </c>
      <c r="E985" s="42" t="n">
        <v>8694</v>
      </c>
      <c r="F985" s="42"/>
      <c r="G985" s="42"/>
      <c r="H985" s="43" t="n">
        <v>2</v>
      </c>
      <c r="I985" s="34" t="n">
        <f aca="false">E985*H985+N(F985)+N(G985)</f>
        <v>17388</v>
      </c>
      <c r="J985" s="42" t="n">
        <f aca="false">ROUND(IFERROR(ROUND(IF(OR(ISNUMBER(SEARCH("week",C985)),ISNUMBER(SEARCH("minggu",C985))),IFERROR(_xlfn.NUMBERVALUE(SUBSTITUTE(LEFT(TRIM(C985),FIND(" ",TRIM(C985)&amp;" ")-1),",","."),"."),LEFT(SUBSTITUTE(LEFT(TRIM(C985),FIND(" ",TRIM(C985)&amp;" ")-1),",","."),FIND("/",SUBSTITUTE(LEFT(TRIM(C985),FIND(" ",TRIM(C985)&amp;" ")-1),",","."))-1)/MID(SUBSTITUTE(LEFT(TRIM(C985),FIND(" ",TRIM(C985)&amp;" ")-1),",","."),FIND("/",SUBSTITUTE(LEFT(TRIM(C985),FIND(" ",TRIM(C985)&amp;" ")-1),",","."))+1,9))*12/52,IF(ISNUMBER(SEARCH("month",C985)),IFERROR(_xlfn.NUMBERVALUE(SUBSTITUTE(LEFT(TRIM(C985),FIND(" ",TRIM(C985)&amp;" ")-1),",","."),"."),LEFT(SUBSTITUTE(LEFT(TRIM(C985),FIND(" ",TRIM(C985)&amp;" ")-1),",","."),FIND("/",SUBSTITUTE(LEFT(TRIM(C985),FIND(" ",TRIM(C985)&amp;" ")-1),",","."))-1)/MID(SUBSTITUTE(LEFT(TRIM(C985),FIND(" ",TRIM(C985)&amp;" ")-1),",","."),FIND("/",SUBSTITUTE(LEFT(TRIM(C985),FIND(" ",TRIM(C985)&amp;" ")-1),",","."))+1,9)),IF(ISNUMBER(SEARCH("yea",C985)),IFERROR(_xlfn.NUMBERVALUE(SUBSTITUTE(LEFT(TRIM(C985),FIND(" ",TRIM(C985)&amp;" ")-1),",","."),"."),LEFT(SUBSTITUTE(LEFT(TRIM(C985),FIND(" ",TRIM(C985)&amp;" ")-1),",","."),FIND("/",SUBSTITUTE(LEFT(TRIM(C985),FIND(" ",TRIM(C985)&amp;" ")-1),",","."))-1)/MID(SUBSTITUTE(LEFT(TRIM(C985),FIND(" ",TRIM(C985)&amp;" ")-1),",","."),FIND("/",SUBSTITUTE(LEFT(TRIM(C985),FIND(" ",TRIM(C985)&amp;" ")-1),",","."))+1,9))*12,NA()))),0),36)*'Aturan &amp; Tarif'!$B$4,2)</f>
        <v>2044.08</v>
      </c>
      <c r="K985" s="42" t="n">
        <f aca="false">'Aturan &amp; Tarif'!$B$5</f>
        <v>2050</v>
      </c>
      <c r="L985" s="42" t="n">
        <f aca="false">'Aturan &amp; Tarif'!$B$6</f>
        <v>350</v>
      </c>
      <c r="M985" s="35" t="n">
        <f aca="false">I985+J985+K985+L985</f>
        <v>21832.08</v>
      </c>
      <c r="N985" s="45" t="s">
        <v>2572</v>
      </c>
    </row>
    <row r="986" customFormat="false" ht="25.5" hidden="false" customHeight="true" outlineLevel="0" collapsed="false">
      <c r="A986" s="39"/>
      <c r="B986" s="40" t="s">
        <v>2576</v>
      </c>
      <c r="C986" s="41" t="s">
        <v>191</v>
      </c>
      <c r="D986" s="41" t="s">
        <v>108</v>
      </c>
      <c r="E986" s="42" t="n">
        <v>8694</v>
      </c>
      <c r="F986" s="42"/>
      <c r="G986" s="42"/>
      <c r="H986" s="43" t="n">
        <v>2</v>
      </c>
      <c r="I986" s="34" t="n">
        <f aca="false">E986*H986+N(F986)+N(G986)</f>
        <v>17388</v>
      </c>
      <c r="J986" s="42" t="n">
        <f aca="false">ROUND(IFERROR(ROUND(IF(OR(ISNUMBER(SEARCH("week",C986)),ISNUMBER(SEARCH("minggu",C986))),IFERROR(_xlfn.NUMBERVALUE(SUBSTITUTE(LEFT(TRIM(C986),FIND(" ",TRIM(C986)&amp;" ")-1),",","."),"."),LEFT(SUBSTITUTE(LEFT(TRIM(C986),FIND(" ",TRIM(C986)&amp;" ")-1),",","."),FIND("/",SUBSTITUTE(LEFT(TRIM(C986),FIND(" ",TRIM(C986)&amp;" ")-1),",","."))-1)/MID(SUBSTITUTE(LEFT(TRIM(C986),FIND(" ",TRIM(C986)&amp;" ")-1),",","."),FIND("/",SUBSTITUTE(LEFT(TRIM(C986),FIND(" ",TRIM(C986)&amp;" ")-1),",","."))+1,9))*12/52,IF(ISNUMBER(SEARCH("month",C986)),IFERROR(_xlfn.NUMBERVALUE(SUBSTITUTE(LEFT(TRIM(C986),FIND(" ",TRIM(C986)&amp;" ")-1),",","."),"."),LEFT(SUBSTITUTE(LEFT(TRIM(C986),FIND(" ",TRIM(C986)&amp;" ")-1),",","."),FIND("/",SUBSTITUTE(LEFT(TRIM(C986),FIND(" ",TRIM(C986)&amp;" ")-1),",","."))-1)/MID(SUBSTITUTE(LEFT(TRIM(C986),FIND(" ",TRIM(C986)&amp;" ")-1),",","."),FIND("/",SUBSTITUTE(LEFT(TRIM(C986),FIND(" ",TRIM(C986)&amp;" ")-1),",","."))+1,9)),IF(ISNUMBER(SEARCH("yea",C986)),IFERROR(_xlfn.NUMBERVALUE(SUBSTITUTE(LEFT(TRIM(C986),FIND(" ",TRIM(C986)&amp;" ")-1),",","."),"."),LEFT(SUBSTITUTE(LEFT(TRIM(C986),FIND(" ",TRIM(C986)&amp;" ")-1),",","."),FIND("/",SUBSTITUTE(LEFT(TRIM(C986),FIND(" ",TRIM(C986)&amp;" ")-1),",","."))-1)/MID(SUBSTITUTE(LEFT(TRIM(C986),FIND(" ",TRIM(C986)&amp;" ")-1),",","."),FIND("/",SUBSTITUTE(LEFT(TRIM(C986),FIND(" ",TRIM(C986)&amp;" ")-1),",","."))+1,9))*12,NA()))),0),48)*'Aturan &amp; Tarif'!$B$4,2)</f>
        <v>2725.44</v>
      </c>
      <c r="K986" s="42" t="n">
        <f aca="false">'Aturan &amp; Tarif'!$B$5</f>
        <v>2050</v>
      </c>
      <c r="L986" s="42" t="n">
        <f aca="false">'Aturan &amp; Tarif'!$B$6</f>
        <v>350</v>
      </c>
      <c r="M986" s="35" t="n">
        <f aca="false">I986+J986+K986+L986</f>
        <v>22513.44</v>
      </c>
      <c r="N986" s="45" t="s">
        <v>2572</v>
      </c>
    </row>
    <row r="987" customFormat="false" ht="25.5" hidden="false" customHeight="true" outlineLevel="0" collapsed="false">
      <c r="A987" s="39"/>
      <c r="B987" s="40" t="s">
        <v>2577</v>
      </c>
      <c r="C987" s="41" t="s">
        <v>127</v>
      </c>
      <c r="D987" s="41" t="s">
        <v>108</v>
      </c>
      <c r="E987" s="42" t="n">
        <v>8694</v>
      </c>
      <c r="F987" s="42"/>
      <c r="G987" s="42"/>
      <c r="H987" s="43" t="n">
        <v>2</v>
      </c>
      <c r="I987" s="34" t="n">
        <f aca="false">E987*H987+N(F987)+N(G987)</f>
        <v>17388</v>
      </c>
      <c r="J987" s="42" t="n">
        <f aca="false">ROUND(IFERROR(ROUND(IF(OR(ISNUMBER(SEARCH("week",C987)),ISNUMBER(SEARCH("minggu",C987))),IFERROR(_xlfn.NUMBERVALUE(SUBSTITUTE(LEFT(TRIM(C987),FIND(" ",TRIM(C987)&amp;" ")-1),",","."),"."),LEFT(SUBSTITUTE(LEFT(TRIM(C987),FIND(" ",TRIM(C987)&amp;" ")-1),",","."),FIND("/",SUBSTITUTE(LEFT(TRIM(C987),FIND(" ",TRIM(C987)&amp;" ")-1),",","."))-1)/MID(SUBSTITUTE(LEFT(TRIM(C987),FIND(" ",TRIM(C987)&amp;" ")-1),",","."),FIND("/",SUBSTITUTE(LEFT(TRIM(C987),FIND(" ",TRIM(C987)&amp;" ")-1),",","."))+1,9))*12/52,IF(ISNUMBER(SEARCH("month",C987)),IFERROR(_xlfn.NUMBERVALUE(SUBSTITUTE(LEFT(TRIM(C987),FIND(" ",TRIM(C987)&amp;" ")-1),",","."),"."),LEFT(SUBSTITUTE(LEFT(TRIM(C987),FIND(" ",TRIM(C987)&amp;" ")-1),",","."),FIND("/",SUBSTITUTE(LEFT(TRIM(C987),FIND(" ",TRIM(C987)&amp;" ")-1),",","."))-1)/MID(SUBSTITUTE(LEFT(TRIM(C987),FIND(" ",TRIM(C987)&amp;" ")-1),",","."),FIND("/",SUBSTITUTE(LEFT(TRIM(C987),FIND(" ",TRIM(C987)&amp;" ")-1),",","."))+1,9)),IF(ISNUMBER(SEARCH("yea",C987)),IFERROR(_xlfn.NUMBERVALUE(SUBSTITUTE(LEFT(TRIM(C987),FIND(" ",TRIM(C987)&amp;" ")-1),",","."),"."),LEFT(SUBSTITUTE(LEFT(TRIM(C987),FIND(" ",TRIM(C987)&amp;" ")-1),",","."),FIND("/",SUBSTITUTE(LEFT(TRIM(C987),FIND(" ",TRIM(C987)&amp;" ")-1),",","."))-1)/MID(SUBSTITUTE(LEFT(TRIM(C987),FIND(" ",TRIM(C987)&amp;" ")-1),",","."),FIND("/",SUBSTITUTE(LEFT(TRIM(C987),FIND(" ",TRIM(C987)&amp;" ")-1),",","."))+1,9))*12,NA()))),0),36)*'Aturan &amp; Tarif'!$B$4,2)</f>
        <v>2044.08</v>
      </c>
      <c r="K987" s="42" t="n">
        <f aca="false">'Aturan &amp; Tarif'!$B$5</f>
        <v>2050</v>
      </c>
      <c r="L987" s="42" t="n">
        <f aca="false">'Aturan &amp; Tarif'!$B$6</f>
        <v>350</v>
      </c>
      <c r="M987" s="35" t="n">
        <f aca="false">I987+J987+K987+L987</f>
        <v>21832.08</v>
      </c>
      <c r="N987" s="45" t="s">
        <v>2572</v>
      </c>
    </row>
    <row r="988" customFormat="false" ht="72" hidden="false" customHeight="true" outlineLevel="0" collapsed="false">
      <c r="A988" s="39"/>
      <c r="B988" s="40" t="s">
        <v>2578</v>
      </c>
      <c r="C988" s="41" t="s">
        <v>127</v>
      </c>
      <c r="D988" s="41" t="s">
        <v>108</v>
      </c>
      <c r="E988" s="42" t="n">
        <v>8694</v>
      </c>
      <c r="F988" s="42"/>
      <c r="G988" s="42"/>
      <c r="H988" s="43" t="n">
        <v>2</v>
      </c>
      <c r="I988" s="34" t="n">
        <f aca="false">E988*H988+N(F988)+N(G988)</f>
        <v>17388</v>
      </c>
      <c r="J988" s="42" t="n">
        <f aca="false">ROUND(IFERROR(ROUND(IF(OR(ISNUMBER(SEARCH("week",C988)),ISNUMBER(SEARCH("minggu",C988))),IFERROR(_xlfn.NUMBERVALUE(SUBSTITUTE(LEFT(TRIM(C988),FIND(" ",TRIM(C988)&amp;" ")-1),",","."),"."),LEFT(SUBSTITUTE(LEFT(TRIM(C988),FIND(" ",TRIM(C988)&amp;" ")-1),",","."),FIND("/",SUBSTITUTE(LEFT(TRIM(C988),FIND(" ",TRIM(C988)&amp;" ")-1),",","."))-1)/MID(SUBSTITUTE(LEFT(TRIM(C988),FIND(" ",TRIM(C988)&amp;" ")-1),",","."),FIND("/",SUBSTITUTE(LEFT(TRIM(C988),FIND(" ",TRIM(C988)&amp;" ")-1),",","."))+1,9))*12/52,IF(ISNUMBER(SEARCH("month",C988)),IFERROR(_xlfn.NUMBERVALUE(SUBSTITUTE(LEFT(TRIM(C988),FIND(" ",TRIM(C988)&amp;" ")-1),",","."),"."),LEFT(SUBSTITUTE(LEFT(TRIM(C988),FIND(" ",TRIM(C988)&amp;" ")-1),",","."),FIND("/",SUBSTITUTE(LEFT(TRIM(C988),FIND(" ",TRIM(C988)&amp;" ")-1),",","."))-1)/MID(SUBSTITUTE(LEFT(TRIM(C988),FIND(" ",TRIM(C988)&amp;" ")-1),",","."),FIND("/",SUBSTITUTE(LEFT(TRIM(C988),FIND(" ",TRIM(C988)&amp;" ")-1),",","."))+1,9)),IF(ISNUMBER(SEARCH("yea",C988)),IFERROR(_xlfn.NUMBERVALUE(SUBSTITUTE(LEFT(TRIM(C988),FIND(" ",TRIM(C988)&amp;" ")-1),",","."),"."),LEFT(SUBSTITUTE(LEFT(TRIM(C988),FIND(" ",TRIM(C988)&amp;" ")-1),",","."),FIND("/",SUBSTITUTE(LEFT(TRIM(C988),FIND(" ",TRIM(C988)&amp;" ")-1),",","."))-1)/MID(SUBSTITUTE(LEFT(TRIM(C988),FIND(" ",TRIM(C988)&amp;" ")-1),",","."),FIND("/",SUBSTITUTE(LEFT(TRIM(C988),FIND(" ",TRIM(C988)&amp;" ")-1),",","."))+1,9))*12,NA()))),0),36)*'Aturan &amp; Tarif'!$B$4,2)</f>
        <v>2044.08</v>
      </c>
      <c r="K988" s="42" t="n">
        <f aca="false">'Aturan &amp; Tarif'!$B$5</f>
        <v>2050</v>
      </c>
      <c r="L988" s="42" t="n">
        <f aca="false">'Aturan &amp; Tarif'!$B$6</f>
        <v>350</v>
      </c>
      <c r="M988" s="35" t="n">
        <f aca="false">I988+J988+K988+L988</f>
        <v>21832.08</v>
      </c>
      <c r="N988" s="45" t="s">
        <v>2572</v>
      </c>
    </row>
    <row r="989" customFormat="false" ht="83.25" hidden="false" customHeight="true" outlineLevel="0" collapsed="false">
      <c r="A989" s="39"/>
      <c r="B989" s="40" t="s">
        <v>2579</v>
      </c>
      <c r="C989" s="41" t="s">
        <v>127</v>
      </c>
      <c r="D989" s="41" t="s">
        <v>108</v>
      </c>
      <c r="E989" s="42" t="n">
        <v>8967</v>
      </c>
      <c r="F989" s="42"/>
      <c r="G989" s="42"/>
      <c r="H989" s="43" t="n">
        <v>2</v>
      </c>
      <c r="I989" s="34" t="n">
        <f aca="false">E989*H989+N(F989)+N(G989)</f>
        <v>17934</v>
      </c>
      <c r="J989" s="42" t="n">
        <f aca="false">ROUND(IFERROR(ROUND(IF(OR(ISNUMBER(SEARCH("week",C989)),ISNUMBER(SEARCH("minggu",C989))),IFERROR(_xlfn.NUMBERVALUE(SUBSTITUTE(LEFT(TRIM(C989),FIND(" ",TRIM(C989)&amp;" ")-1),",","."),"."),LEFT(SUBSTITUTE(LEFT(TRIM(C989),FIND(" ",TRIM(C989)&amp;" ")-1),",","."),FIND("/",SUBSTITUTE(LEFT(TRIM(C989),FIND(" ",TRIM(C989)&amp;" ")-1),",","."))-1)/MID(SUBSTITUTE(LEFT(TRIM(C989),FIND(" ",TRIM(C989)&amp;" ")-1),",","."),FIND("/",SUBSTITUTE(LEFT(TRIM(C989),FIND(" ",TRIM(C989)&amp;" ")-1),",","."))+1,9))*12/52,IF(ISNUMBER(SEARCH("month",C989)),IFERROR(_xlfn.NUMBERVALUE(SUBSTITUTE(LEFT(TRIM(C989),FIND(" ",TRIM(C989)&amp;" ")-1),",","."),"."),LEFT(SUBSTITUTE(LEFT(TRIM(C989),FIND(" ",TRIM(C989)&amp;" ")-1),",","."),FIND("/",SUBSTITUTE(LEFT(TRIM(C989),FIND(" ",TRIM(C989)&amp;" ")-1),",","."))-1)/MID(SUBSTITUTE(LEFT(TRIM(C989),FIND(" ",TRIM(C989)&amp;" ")-1),",","."),FIND("/",SUBSTITUTE(LEFT(TRIM(C989),FIND(" ",TRIM(C989)&amp;" ")-1),",","."))+1,9)),IF(ISNUMBER(SEARCH("yea",C989)),IFERROR(_xlfn.NUMBERVALUE(SUBSTITUTE(LEFT(TRIM(C989),FIND(" ",TRIM(C989)&amp;" ")-1),",","."),"."),LEFT(SUBSTITUTE(LEFT(TRIM(C989),FIND(" ",TRIM(C989)&amp;" ")-1),",","."),FIND("/",SUBSTITUTE(LEFT(TRIM(C989),FIND(" ",TRIM(C989)&amp;" ")-1),",","."))-1)/MID(SUBSTITUTE(LEFT(TRIM(C989),FIND(" ",TRIM(C989)&amp;" ")-1),",","."),FIND("/",SUBSTITUTE(LEFT(TRIM(C989),FIND(" ",TRIM(C989)&amp;" ")-1),",","."))+1,9))*12,NA()))),0),36)*'Aturan &amp; Tarif'!$B$4,2)</f>
        <v>2044.08</v>
      </c>
      <c r="K989" s="42" t="n">
        <f aca="false">'Aturan &amp; Tarif'!$B$5</f>
        <v>2050</v>
      </c>
      <c r="L989" s="42" t="n">
        <f aca="false">'Aturan &amp; Tarif'!$B$6</f>
        <v>350</v>
      </c>
      <c r="M989" s="35" t="n">
        <f aca="false">I989+J989+K989+L989</f>
        <v>22378.08</v>
      </c>
      <c r="N989" s="45" t="s">
        <v>2572</v>
      </c>
    </row>
    <row r="990" customFormat="false" ht="48.75" hidden="false" customHeight="true" outlineLevel="0" collapsed="false">
      <c r="A990" s="39"/>
      <c r="B990" s="40" t="s">
        <v>2580</v>
      </c>
      <c r="C990" s="41" t="s">
        <v>127</v>
      </c>
      <c r="D990" s="41" t="s">
        <v>108</v>
      </c>
      <c r="E990" s="42" t="n">
        <v>8967</v>
      </c>
      <c r="F990" s="42"/>
      <c r="G990" s="42"/>
      <c r="H990" s="43" t="n">
        <v>2</v>
      </c>
      <c r="I990" s="34" t="n">
        <f aca="false">E990*H990+N(F990)+N(G990)</f>
        <v>17934</v>
      </c>
      <c r="J990" s="42" t="n">
        <f aca="false">ROUND(IFERROR(ROUND(IF(OR(ISNUMBER(SEARCH("week",C990)),ISNUMBER(SEARCH("minggu",C990))),IFERROR(_xlfn.NUMBERVALUE(SUBSTITUTE(LEFT(TRIM(C990),FIND(" ",TRIM(C990)&amp;" ")-1),",","."),"."),LEFT(SUBSTITUTE(LEFT(TRIM(C990),FIND(" ",TRIM(C990)&amp;" ")-1),",","."),FIND("/",SUBSTITUTE(LEFT(TRIM(C990),FIND(" ",TRIM(C990)&amp;" ")-1),",","."))-1)/MID(SUBSTITUTE(LEFT(TRIM(C990),FIND(" ",TRIM(C990)&amp;" ")-1),",","."),FIND("/",SUBSTITUTE(LEFT(TRIM(C990),FIND(" ",TRIM(C990)&amp;" ")-1),",","."))+1,9))*12/52,IF(ISNUMBER(SEARCH("month",C990)),IFERROR(_xlfn.NUMBERVALUE(SUBSTITUTE(LEFT(TRIM(C990),FIND(" ",TRIM(C990)&amp;" ")-1),",","."),"."),LEFT(SUBSTITUTE(LEFT(TRIM(C990),FIND(" ",TRIM(C990)&amp;" ")-1),",","."),FIND("/",SUBSTITUTE(LEFT(TRIM(C990),FIND(" ",TRIM(C990)&amp;" ")-1),",","."))-1)/MID(SUBSTITUTE(LEFT(TRIM(C990),FIND(" ",TRIM(C990)&amp;" ")-1),",","."),FIND("/",SUBSTITUTE(LEFT(TRIM(C990),FIND(" ",TRIM(C990)&amp;" ")-1),",","."))+1,9)),IF(ISNUMBER(SEARCH("yea",C990)),IFERROR(_xlfn.NUMBERVALUE(SUBSTITUTE(LEFT(TRIM(C990),FIND(" ",TRIM(C990)&amp;" ")-1),",","."),"."),LEFT(SUBSTITUTE(LEFT(TRIM(C990),FIND(" ",TRIM(C990)&amp;" ")-1),",","."),FIND("/",SUBSTITUTE(LEFT(TRIM(C990),FIND(" ",TRIM(C990)&amp;" ")-1),",","."))-1)/MID(SUBSTITUTE(LEFT(TRIM(C990),FIND(" ",TRIM(C990)&amp;" ")-1),",","."),FIND("/",SUBSTITUTE(LEFT(TRIM(C990),FIND(" ",TRIM(C990)&amp;" ")-1),",","."))+1,9))*12,NA()))),0),36)*'Aturan &amp; Tarif'!$B$4,2)</f>
        <v>2044.08</v>
      </c>
      <c r="K990" s="42" t="n">
        <f aca="false">'Aturan &amp; Tarif'!$B$5</f>
        <v>2050</v>
      </c>
      <c r="L990" s="42" t="n">
        <f aca="false">'Aturan &amp; Tarif'!$B$6</f>
        <v>350</v>
      </c>
      <c r="M990" s="35" t="n">
        <f aca="false">I990+J990+K990+L990</f>
        <v>22378.08</v>
      </c>
      <c r="N990" s="45" t="s">
        <v>2572</v>
      </c>
    </row>
    <row r="991" customFormat="false" ht="60" hidden="false" customHeight="true" outlineLevel="0" collapsed="false">
      <c r="A991" s="39"/>
      <c r="B991" s="40" t="s">
        <v>2581</v>
      </c>
      <c r="C991" s="41" t="s">
        <v>127</v>
      </c>
      <c r="D991" s="41" t="s">
        <v>108</v>
      </c>
      <c r="E991" s="42" t="n">
        <v>10229</v>
      </c>
      <c r="F991" s="42"/>
      <c r="G991" s="42"/>
      <c r="H991" s="43" t="n">
        <v>2</v>
      </c>
      <c r="I991" s="34" t="n">
        <f aca="false">E991*H991+N(F991)+N(G991)</f>
        <v>20458</v>
      </c>
      <c r="J991" s="42" t="n">
        <f aca="false">ROUND(IFERROR(ROUND(IF(OR(ISNUMBER(SEARCH("week",C991)),ISNUMBER(SEARCH("minggu",C991))),IFERROR(_xlfn.NUMBERVALUE(SUBSTITUTE(LEFT(TRIM(C991),FIND(" ",TRIM(C991)&amp;" ")-1),",","."),"."),LEFT(SUBSTITUTE(LEFT(TRIM(C991),FIND(" ",TRIM(C991)&amp;" ")-1),",","."),FIND("/",SUBSTITUTE(LEFT(TRIM(C991),FIND(" ",TRIM(C991)&amp;" ")-1),",","."))-1)/MID(SUBSTITUTE(LEFT(TRIM(C991),FIND(" ",TRIM(C991)&amp;" ")-1),",","."),FIND("/",SUBSTITUTE(LEFT(TRIM(C991),FIND(" ",TRIM(C991)&amp;" ")-1),",","."))+1,9))*12/52,IF(ISNUMBER(SEARCH("month",C991)),IFERROR(_xlfn.NUMBERVALUE(SUBSTITUTE(LEFT(TRIM(C991),FIND(" ",TRIM(C991)&amp;" ")-1),",","."),"."),LEFT(SUBSTITUTE(LEFT(TRIM(C991),FIND(" ",TRIM(C991)&amp;" ")-1),",","."),FIND("/",SUBSTITUTE(LEFT(TRIM(C991),FIND(" ",TRIM(C991)&amp;" ")-1),",","."))-1)/MID(SUBSTITUTE(LEFT(TRIM(C991),FIND(" ",TRIM(C991)&amp;" ")-1),",","."),FIND("/",SUBSTITUTE(LEFT(TRIM(C991),FIND(" ",TRIM(C991)&amp;" ")-1),",","."))+1,9)),IF(ISNUMBER(SEARCH("yea",C991)),IFERROR(_xlfn.NUMBERVALUE(SUBSTITUTE(LEFT(TRIM(C991),FIND(" ",TRIM(C991)&amp;" ")-1),",","."),"."),LEFT(SUBSTITUTE(LEFT(TRIM(C991),FIND(" ",TRIM(C991)&amp;" ")-1),",","."),FIND("/",SUBSTITUTE(LEFT(TRIM(C991),FIND(" ",TRIM(C991)&amp;" ")-1),",","."))-1)/MID(SUBSTITUTE(LEFT(TRIM(C991),FIND(" ",TRIM(C991)&amp;" ")-1),",","."),FIND("/",SUBSTITUTE(LEFT(TRIM(C991),FIND(" ",TRIM(C991)&amp;" ")-1),",","."))+1,9))*12,NA()))),0),36)*'Aturan &amp; Tarif'!$B$4,2)</f>
        <v>2044.08</v>
      </c>
      <c r="K991" s="42" t="n">
        <f aca="false">'Aturan &amp; Tarif'!$B$5</f>
        <v>2050</v>
      </c>
      <c r="L991" s="42" t="n">
        <f aca="false">'Aturan &amp; Tarif'!$B$6</f>
        <v>350</v>
      </c>
      <c r="M991" s="35" t="n">
        <f aca="false">I991+J991+K991+L991</f>
        <v>24902.08</v>
      </c>
      <c r="N991" s="45" t="s">
        <v>2572</v>
      </c>
    </row>
    <row r="992" customFormat="false" ht="83.25" hidden="false" customHeight="true" outlineLevel="0" collapsed="false">
      <c r="A992" s="39"/>
      <c r="B992" s="40" t="s">
        <v>2582</v>
      </c>
      <c r="C992" s="41" t="s">
        <v>191</v>
      </c>
      <c r="D992" s="41" t="s">
        <v>108</v>
      </c>
      <c r="E992" s="42" t="n">
        <v>10229</v>
      </c>
      <c r="F992" s="42"/>
      <c r="G992" s="42"/>
      <c r="H992" s="43" t="n">
        <v>2</v>
      </c>
      <c r="I992" s="34" t="n">
        <f aca="false">E992*H992+N(F992)+N(G992)</f>
        <v>20458</v>
      </c>
      <c r="J992" s="42" t="n">
        <f aca="false">ROUND(IFERROR(ROUND(IF(OR(ISNUMBER(SEARCH("week",C992)),ISNUMBER(SEARCH("minggu",C992))),IFERROR(_xlfn.NUMBERVALUE(SUBSTITUTE(LEFT(TRIM(C992),FIND(" ",TRIM(C992)&amp;" ")-1),",","."),"."),LEFT(SUBSTITUTE(LEFT(TRIM(C992),FIND(" ",TRIM(C992)&amp;" ")-1),",","."),FIND("/",SUBSTITUTE(LEFT(TRIM(C992),FIND(" ",TRIM(C992)&amp;" ")-1),",","."))-1)/MID(SUBSTITUTE(LEFT(TRIM(C992),FIND(" ",TRIM(C992)&amp;" ")-1),",","."),FIND("/",SUBSTITUTE(LEFT(TRIM(C992),FIND(" ",TRIM(C992)&amp;" ")-1),",","."))+1,9))*12/52,IF(ISNUMBER(SEARCH("month",C992)),IFERROR(_xlfn.NUMBERVALUE(SUBSTITUTE(LEFT(TRIM(C992),FIND(" ",TRIM(C992)&amp;" ")-1),",","."),"."),LEFT(SUBSTITUTE(LEFT(TRIM(C992),FIND(" ",TRIM(C992)&amp;" ")-1),",","."),FIND("/",SUBSTITUTE(LEFT(TRIM(C992),FIND(" ",TRIM(C992)&amp;" ")-1),",","."))-1)/MID(SUBSTITUTE(LEFT(TRIM(C992),FIND(" ",TRIM(C992)&amp;" ")-1),",","."),FIND("/",SUBSTITUTE(LEFT(TRIM(C992),FIND(" ",TRIM(C992)&amp;" ")-1),",","."))+1,9)),IF(ISNUMBER(SEARCH("yea",C992)),IFERROR(_xlfn.NUMBERVALUE(SUBSTITUTE(LEFT(TRIM(C992),FIND(" ",TRIM(C992)&amp;" ")-1),",","."),"."),LEFT(SUBSTITUTE(LEFT(TRIM(C992),FIND(" ",TRIM(C992)&amp;" ")-1),",","."),FIND("/",SUBSTITUTE(LEFT(TRIM(C992),FIND(" ",TRIM(C992)&amp;" ")-1),",","."))-1)/MID(SUBSTITUTE(LEFT(TRIM(C992),FIND(" ",TRIM(C992)&amp;" ")-1),",","."),FIND("/",SUBSTITUTE(LEFT(TRIM(C992),FIND(" ",TRIM(C992)&amp;" ")-1),",","."))+1,9))*12,NA()))),0),48)*'Aturan &amp; Tarif'!$B$4,2)</f>
        <v>2725.44</v>
      </c>
      <c r="K992" s="42" t="n">
        <f aca="false">'Aturan &amp; Tarif'!$B$5</f>
        <v>2050</v>
      </c>
      <c r="L992" s="42" t="n">
        <f aca="false">'Aturan &amp; Tarif'!$B$6</f>
        <v>350</v>
      </c>
      <c r="M992" s="35" t="n">
        <f aca="false">I992+J992+K992+L992</f>
        <v>25583.44</v>
      </c>
      <c r="N992" s="45" t="s">
        <v>2572</v>
      </c>
    </row>
    <row r="993" customFormat="false" ht="25.5" hidden="false" customHeight="true" outlineLevel="0" collapsed="false">
      <c r="A993" s="39"/>
      <c r="B993" s="40" t="s">
        <v>2583</v>
      </c>
      <c r="C993" s="41" t="s">
        <v>127</v>
      </c>
      <c r="D993" s="41" t="s">
        <v>108</v>
      </c>
      <c r="E993" s="42" t="n">
        <v>10229</v>
      </c>
      <c r="F993" s="42"/>
      <c r="G993" s="42"/>
      <c r="H993" s="43" t="n">
        <v>2</v>
      </c>
      <c r="I993" s="34" t="n">
        <f aca="false">E993*H993+N(F993)+N(G993)</f>
        <v>20458</v>
      </c>
      <c r="J993" s="42" t="n">
        <f aca="false">ROUND(IFERROR(ROUND(IF(OR(ISNUMBER(SEARCH("week",C993)),ISNUMBER(SEARCH("minggu",C993))),IFERROR(_xlfn.NUMBERVALUE(SUBSTITUTE(LEFT(TRIM(C993),FIND(" ",TRIM(C993)&amp;" ")-1),",","."),"."),LEFT(SUBSTITUTE(LEFT(TRIM(C993),FIND(" ",TRIM(C993)&amp;" ")-1),",","."),FIND("/",SUBSTITUTE(LEFT(TRIM(C993),FIND(" ",TRIM(C993)&amp;" ")-1),",","."))-1)/MID(SUBSTITUTE(LEFT(TRIM(C993),FIND(" ",TRIM(C993)&amp;" ")-1),",","."),FIND("/",SUBSTITUTE(LEFT(TRIM(C993),FIND(" ",TRIM(C993)&amp;" ")-1),",","."))+1,9))*12/52,IF(ISNUMBER(SEARCH("month",C993)),IFERROR(_xlfn.NUMBERVALUE(SUBSTITUTE(LEFT(TRIM(C993),FIND(" ",TRIM(C993)&amp;" ")-1),",","."),"."),LEFT(SUBSTITUTE(LEFT(TRIM(C993),FIND(" ",TRIM(C993)&amp;" ")-1),",","."),FIND("/",SUBSTITUTE(LEFT(TRIM(C993),FIND(" ",TRIM(C993)&amp;" ")-1),",","."))-1)/MID(SUBSTITUTE(LEFT(TRIM(C993),FIND(" ",TRIM(C993)&amp;" ")-1),",","."),FIND("/",SUBSTITUTE(LEFT(TRIM(C993),FIND(" ",TRIM(C993)&amp;" ")-1),",","."))+1,9)),IF(ISNUMBER(SEARCH("yea",C993)),IFERROR(_xlfn.NUMBERVALUE(SUBSTITUTE(LEFT(TRIM(C993),FIND(" ",TRIM(C993)&amp;" ")-1),",","."),"."),LEFT(SUBSTITUTE(LEFT(TRIM(C993),FIND(" ",TRIM(C993)&amp;" ")-1),",","."),FIND("/",SUBSTITUTE(LEFT(TRIM(C993),FIND(" ",TRIM(C993)&amp;" ")-1),",","."))-1)/MID(SUBSTITUTE(LEFT(TRIM(C993),FIND(" ",TRIM(C993)&amp;" ")-1),",","."),FIND("/",SUBSTITUTE(LEFT(TRIM(C993),FIND(" ",TRIM(C993)&amp;" ")-1),",","."))+1,9))*12,NA()))),0),36)*'Aturan &amp; Tarif'!$B$4,2)</f>
        <v>2044.08</v>
      </c>
      <c r="K993" s="42" t="n">
        <f aca="false">'Aturan &amp; Tarif'!$B$5</f>
        <v>2050</v>
      </c>
      <c r="L993" s="42" t="n">
        <f aca="false">'Aturan &amp; Tarif'!$B$6</f>
        <v>350</v>
      </c>
      <c r="M993" s="35" t="n">
        <f aca="false">I993+J993+K993+L993</f>
        <v>24902.08</v>
      </c>
      <c r="N993" s="45" t="s">
        <v>2572</v>
      </c>
    </row>
    <row r="994" customFormat="false" ht="25.5" hidden="false" customHeight="true" outlineLevel="0" collapsed="false">
      <c r="A994" s="39"/>
      <c r="B994" s="40" t="s">
        <v>2584</v>
      </c>
      <c r="C994" s="41" t="s">
        <v>127</v>
      </c>
      <c r="D994" s="41" t="s">
        <v>108</v>
      </c>
      <c r="E994" s="42" t="n">
        <v>10229</v>
      </c>
      <c r="F994" s="42"/>
      <c r="G994" s="42"/>
      <c r="H994" s="43" t="n">
        <v>2</v>
      </c>
      <c r="I994" s="34" t="n">
        <f aca="false">E994*H994+N(F994)+N(G994)</f>
        <v>20458</v>
      </c>
      <c r="J994" s="42" t="n">
        <f aca="false">ROUND(IFERROR(ROUND(IF(OR(ISNUMBER(SEARCH("week",C994)),ISNUMBER(SEARCH("minggu",C994))),IFERROR(_xlfn.NUMBERVALUE(SUBSTITUTE(LEFT(TRIM(C994),FIND(" ",TRIM(C994)&amp;" ")-1),",","."),"."),LEFT(SUBSTITUTE(LEFT(TRIM(C994),FIND(" ",TRIM(C994)&amp;" ")-1),",","."),FIND("/",SUBSTITUTE(LEFT(TRIM(C994),FIND(" ",TRIM(C994)&amp;" ")-1),",","."))-1)/MID(SUBSTITUTE(LEFT(TRIM(C994),FIND(" ",TRIM(C994)&amp;" ")-1),",","."),FIND("/",SUBSTITUTE(LEFT(TRIM(C994),FIND(" ",TRIM(C994)&amp;" ")-1),",","."))+1,9))*12/52,IF(ISNUMBER(SEARCH("month",C994)),IFERROR(_xlfn.NUMBERVALUE(SUBSTITUTE(LEFT(TRIM(C994),FIND(" ",TRIM(C994)&amp;" ")-1),",","."),"."),LEFT(SUBSTITUTE(LEFT(TRIM(C994),FIND(" ",TRIM(C994)&amp;" ")-1),",","."),FIND("/",SUBSTITUTE(LEFT(TRIM(C994),FIND(" ",TRIM(C994)&amp;" ")-1),",","."))-1)/MID(SUBSTITUTE(LEFT(TRIM(C994),FIND(" ",TRIM(C994)&amp;" ")-1),",","."),FIND("/",SUBSTITUTE(LEFT(TRIM(C994),FIND(" ",TRIM(C994)&amp;" ")-1),",","."))+1,9)),IF(ISNUMBER(SEARCH("yea",C994)),IFERROR(_xlfn.NUMBERVALUE(SUBSTITUTE(LEFT(TRIM(C994),FIND(" ",TRIM(C994)&amp;" ")-1),",","."),"."),LEFT(SUBSTITUTE(LEFT(TRIM(C994),FIND(" ",TRIM(C994)&amp;" ")-1),",","."),FIND("/",SUBSTITUTE(LEFT(TRIM(C994),FIND(" ",TRIM(C994)&amp;" ")-1),",","."))-1)/MID(SUBSTITUTE(LEFT(TRIM(C994),FIND(" ",TRIM(C994)&amp;" ")-1),",","."),FIND("/",SUBSTITUTE(LEFT(TRIM(C994),FIND(" ",TRIM(C994)&amp;" ")-1),",","."))+1,9))*12,NA()))),0),36)*'Aturan &amp; Tarif'!$B$4,2)</f>
        <v>2044.08</v>
      </c>
      <c r="K994" s="42" t="n">
        <f aca="false">'Aturan &amp; Tarif'!$B$5</f>
        <v>2050</v>
      </c>
      <c r="L994" s="42" t="n">
        <f aca="false">'Aturan &amp; Tarif'!$B$6</f>
        <v>350</v>
      </c>
      <c r="M994" s="35" t="n">
        <f aca="false">I994+J994+K994+L994</f>
        <v>24902.08</v>
      </c>
      <c r="N994" s="45" t="s">
        <v>2572</v>
      </c>
    </row>
    <row r="995" customFormat="false" ht="25.5" hidden="false" customHeight="true" outlineLevel="0" collapsed="false">
      <c r="A995" s="39"/>
      <c r="B995" s="40" t="s">
        <v>2585</v>
      </c>
      <c r="C995" s="41" t="s">
        <v>191</v>
      </c>
      <c r="D995" s="41" t="s">
        <v>108</v>
      </c>
      <c r="E995" s="42" t="n">
        <v>10229</v>
      </c>
      <c r="F995" s="42"/>
      <c r="G995" s="42"/>
      <c r="H995" s="43" t="n">
        <v>2</v>
      </c>
      <c r="I995" s="34" t="n">
        <f aca="false">E995*H995+N(F995)+N(G995)</f>
        <v>20458</v>
      </c>
      <c r="J995" s="42" t="n">
        <f aca="false">ROUND(IFERROR(ROUND(IF(OR(ISNUMBER(SEARCH("week",C995)),ISNUMBER(SEARCH("minggu",C995))),IFERROR(_xlfn.NUMBERVALUE(SUBSTITUTE(LEFT(TRIM(C995),FIND(" ",TRIM(C995)&amp;" ")-1),",","."),"."),LEFT(SUBSTITUTE(LEFT(TRIM(C995),FIND(" ",TRIM(C995)&amp;" ")-1),",","."),FIND("/",SUBSTITUTE(LEFT(TRIM(C995),FIND(" ",TRIM(C995)&amp;" ")-1),",","."))-1)/MID(SUBSTITUTE(LEFT(TRIM(C995),FIND(" ",TRIM(C995)&amp;" ")-1),",","."),FIND("/",SUBSTITUTE(LEFT(TRIM(C995),FIND(" ",TRIM(C995)&amp;" ")-1),",","."))+1,9))*12/52,IF(ISNUMBER(SEARCH("month",C995)),IFERROR(_xlfn.NUMBERVALUE(SUBSTITUTE(LEFT(TRIM(C995),FIND(" ",TRIM(C995)&amp;" ")-1),",","."),"."),LEFT(SUBSTITUTE(LEFT(TRIM(C995),FIND(" ",TRIM(C995)&amp;" ")-1),",","."),FIND("/",SUBSTITUTE(LEFT(TRIM(C995),FIND(" ",TRIM(C995)&amp;" ")-1),",","."))-1)/MID(SUBSTITUTE(LEFT(TRIM(C995),FIND(" ",TRIM(C995)&amp;" ")-1),",","."),FIND("/",SUBSTITUTE(LEFT(TRIM(C995),FIND(" ",TRIM(C995)&amp;" ")-1),",","."))+1,9)),IF(ISNUMBER(SEARCH("yea",C995)),IFERROR(_xlfn.NUMBERVALUE(SUBSTITUTE(LEFT(TRIM(C995),FIND(" ",TRIM(C995)&amp;" ")-1),",","."),"."),LEFT(SUBSTITUTE(LEFT(TRIM(C995),FIND(" ",TRIM(C995)&amp;" ")-1),",","."),FIND("/",SUBSTITUTE(LEFT(TRIM(C995),FIND(" ",TRIM(C995)&amp;" ")-1),",","."))-1)/MID(SUBSTITUTE(LEFT(TRIM(C995),FIND(" ",TRIM(C995)&amp;" ")-1),",","."),FIND("/",SUBSTITUTE(LEFT(TRIM(C995),FIND(" ",TRIM(C995)&amp;" ")-1),",","."))+1,9))*12,NA()))),0),48)*'Aturan &amp; Tarif'!$B$4,2)</f>
        <v>2725.44</v>
      </c>
      <c r="K995" s="42" t="n">
        <f aca="false">'Aturan &amp; Tarif'!$B$5</f>
        <v>2050</v>
      </c>
      <c r="L995" s="42" t="n">
        <f aca="false">'Aturan &amp; Tarif'!$B$6</f>
        <v>350</v>
      </c>
      <c r="M995" s="35" t="n">
        <f aca="false">I995+J995+K995+L995</f>
        <v>25583.44</v>
      </c>
      <c r="N995" s="45" t="s">
        <v>2572</v>
      </c>
    </row>
    <row r="996" customFormat="false" ht="60" hidden="false" customHeight="true" outlineLevel="0" collapsed="false">
      <c r="A996" s="39"/>
      <c r="B996" s="40" t="s">
        <v>2586</v>
      </c>
      <c r="C996" s="41" t="s">
        <v>191</v>
      </c>
      <c r="D996" s="41" t="s">
        <v>108</v>
      </c>
      <c r="E996" s="42" t="n">
        <v>10229</v>
      </c>
      <c r="F996" s="42"/>
      <c r="G996" s="42"/>
      <c r="H996" s="43" t="n">
        <v>2</v>
      </c>
      <c r="I996" s="34" t="n">
        <f aca="false">E996*H996+N(F996)+N(G996)</f>
        <v>20458</v>
      </c>
      <c r="J996" s="42" t="n">
        <f aca="false">ROUND(IFERROR(ROUND(IF(OR(ISNUMBER(SEARCH("week",C996)),ISNUMBER(SEARCH("minggu",C996))),IFERROR(_xlfn.NUMBERVALUE(SUBSTITUTE(LEFT(TRIM(C996),FIND(" ",TRIM(C996)&amp;" ")-1),",","."),"."),LEFT(SUBSTITUTE(LEFT(TRIM(C996),FIND(" ",TRIM(C996)&amp;" ")-1),",","."),FIND("/",SUBSTITUTE(LEFT(TRIM(C996),FIND(" ",TRIM(C996)&amp;" ")-1),",","."))-1)/MID(SUBSTITUTE(LEFT(TRIM(C996),FIND(" ",TRIM(C996)&amp;" ")-1),",","."),FIND("/",SUBSTITUTE(LEFT(TRIM(C996),FIND(" ",TRIM(C996)&amp;" ")-1),",","."))+1,9))*12/52,IF(ISNUMBER(SEARCH("month",C996)),IFERROR(_xlfn.NUMBERVALUE(SUBSTITUTE(LEFT(TRIM(C996),FIND(" ",TRIM(C996)&amp;" ")-1),",","."),"."),LEFT(SUBSTITUTE(LEFT(TRIM(C996),FIND(" ",TRIM(C996)&amp;" ")-1),",","."),FIND("/",SUBSTITUTE(LEFT(TRIM(C996),FIND(" ",TRIM(C996)&amp;" ")-1),",","."))-1)/MID(SUBSTITUTE(LEFT(TRIM(C996),FIND(" ",TRIM(C996)&amp;" ")-1),",","."),FIND("/",SUBSTITUTE(LEFT(TRIM(C996),FIND(" ",TRIM(C996)&amp;" ")-1),",","."))+1,9)),IF(ISNUMBER(SEARCH("yea",C996)),IFERROR(_xlfn.NUMBERVALUE(SUBSTITUTE(LEFT(TRIM(C996),FIND(" ",TRIM(C996)&amp;" ")-1),",","."),"."),LEFT(SUBSTITUTE(LEFT(TRIM(C996),FIND(" ",TRIM(C996)&amp;" ")-1),",","."),FIND("/",SUBSTITUTE(LEFT(TRIM(C996),FIND(" ",TRIM(C996)&amp;" ")-1),",","."))-1)/MID(SUBSTITUTE(LEFT(TRIM(C996),FIND(" ",TRIM(C996)&amp;" ")-1),",","."),FIND("/",SUBSTITUTE(LEFT(TRIM(C996),FIND(" ",TRIM(C996)&amp;" ")-1),",","."))+1,9))*12,NA()))),0),48)*'Aturan &amp; Tarif'!$B$4,2)</f>
        <v>2725.44</v>
      </c>
      <c r="K996" s="42" t="n">
        <f aca="false">'Aturan &amp; Tarif'!$B$5</f>
        <v>2050</v>
      </c>
      <c r="L996" s="42" t="n">
        <f aca="false">'Aturan &amp; Tarif'!$B$6</f>
        <v>350</v>
      </c>
      <c r="M996" s="35" t="n">
        <f aca="false">I996+J996+K996+L996</f>
        <v>25583.44</v>
      </c>
      <c r="N996" s="45" t="s">
        <v>2572</v>
      </c>
    </row>
    <row r="997" customFormat="false" ht="25.5" hidden="false" customHeight="true" outlineLevel="0" collapsed="false">
      <c r="A997" s="39"/>
      <c r="B997" s="40" t="s">
        <v>2587</v>
      </c>
      <c r="C997" s="41" t="s">
        <v>191</v>
      </c>
      <c r="D997" s="41" t="s">
        <v>108</v>
      </c>
      <c r="E997" s="42" t="n">
        <v>10229</v>
      </c>
      <c r="F997" s="42"/>
      <c r="G997" s="42"/>
      <c r="H997" s="43" t="n">
        <v>2</v>
      </c>
      <c r="I997" s="34" t="n">
        <f aca="false">E997*H997+N(F997)+N(G997)</f>
        <v>20458</v>
      </c>
      <c r="J997" s="42" t="n">
        <f aca="false">ROUND(IFERROR(ROUND(IF(OR(ISNUMBER(SEARCH("week",C997)),ISNUMBER(SEARCH("minggu",C997))),IFERROR(_xlfn.NUMBERVALUE(SUBSTITUTE(LEFT(TRIM(C997),FIND(" ",TRIM(C997)&amp;" ")-1),",","."),"."),LEFT(SUBSTITUTE(LEFT(TRIM(C997),FIND(" ",TRIM(C997)&amp;" ")-1),",","."),FIND("/",SUBSTITUTE(LEFT(TRIM(C997),FIND(" ",TRIM(C997)&amp;" ")-1),",","."))-1)/MID(SUBSTITUTE(LEFT(TRIM(C997),FIND(" ",TRIM(C997)&amp;" ")-1),",","."),FIND("/",SUBSTITUTE(LEFT(TRIM(C997),FIND(" ",TRIM(C997)&amp;" ")-1),",","."))+1,9))*12/52,IF(ISNUMBER(SEARCH("month",C997)),IFERROR(_xlfn.NUMBERVALUE(SUBSTITUTE(LEFT(TRIM(C997),FIND(" ",TRIM(C997)&amp;" ")-1),",","."),"."),LEFT(SUBSTITUTE(LEFT(TRIM(C997),FIND(" ",TRIM(C997)&amp;" ")-1),",","."),FIND("/",SUBSTITUTE(LEFT(TRIM(C997),FIND(" ",TRIM(C997)&amp;" ")-1),",","."))-1)/MID(SUBSTITUTE(LEFT(TRIM(C997),FIND(" ",TRIM(C997)&amp;" ")-1),",","."),FIND("/",SUBSTITUTE(LEFT(TRIM(C997),FIND(" ",TRIM(C997)&amp;" ")-1),",","."))+1,9)),IF(ISNUMBER(SEARCH("yea",C997)),IFERROR(_xlfn.NUMBERVALUE(SUBSTITUTE(LEFT(TRIM(C997),FIND(" ",TRIM(C997)&amp;" ")-1),",","."),"."),LEFT(SUBSTITUTE(LEFT(TRIM(C997),FIND(" ",TRIM(C997)&amp;" ")-1),",","."),FIND("/",SUBSTITUTE(LEFT(TRIM(C997),FIND(" ",TRIM(C997)&amp;" ")-1),",","."))-1)/MID(SUBSTITUTE(LEFT(TRIM(C997),FIND(" ",TRIM(C997)&amp;" ")-1),",","."),FIND("/",SUBSTITUTE(LEFT(TRIM(C997),FIND(" ",TRIM(C997)&amp;" ")-1),",","."))+1,9))*12,NA()))),0),48)*'Aturan &amp; Tarif'!$B$4,2)</f>
        <v>2725.44</v>
      </c>
      <c r="K997" s="42" t="n">
        <f aca="false">'Aturan &amp; Tarif'!$B$5</f>
        <v>2050</v>
      </c>
      <c r="L997" s="42" t="n">
        <f aca="false">'Aturan &amp; Tarif'!$B$6</f>
        <v>350</v>
      </c>
      <c r="M997" s="35" t="n">
        <f aca="false">I997+J997+K997+L997</f>
        <v>25583.44</v>
      </c>
      <c r="N997" s="45" t="s">
        <v>2572</v>
      </c>
    </row>
    <row r="998" customFormat="false" ht="25.5" hidden="false" customHeight="true" outlineLevel="0" collapsed="false">
      <c r="A998" s="39"/>
      <c r="B998" s="40" t="s">
        <v>2588</v>
      </c>
      <c r="C998" s="41" t="s">
        <v>127</v>
      </c>
      <c r="D998" s="41" t="s">
        <v>108</v>
      </c>
      <c r="E998" s="42" t="n">
        <v>10229</v>
      </c>
      <c r="F998" s="42"/>
      <c r="G998" s="42"/>
      <c r="H998" s="43" t="n">
        <v>2</v>
      </c>
      <c r="I998" s="34" t="n">
        <f aca="false">E998*H998+N(F998)+N(G998)</f>
        <v>20458</v>
      </c>
      <c r="J998" s="42" t="n">
        <f aca="false">ROUND(IFERROR(ROUND(IF(OR(ISNUMBER(SEARCH("week",C998)),ISNUMBER(SEARCH("minggu",C998))),IFERROR(_xlfn.NUMBERVALUE(SUBSTITUTE(LEFT(TRIM(C998),FIND(" ",TRIM(C998)&amp;" ")-1),",","."),"."),LEFT(SUBSTITUTE(LEFT(TRIM(C998),FIND(" ",TRIM(C998)&amp;" ")-1),",","."),FIND("/",SUBSTITUTE(LEFT(TRIM(C998),FIND(" ",TRIM(C998)&amp;" ")-1),",","."))-1)/MID(SUBSTITUTE(LEFT(TRIM(C998),FIND(" ",TRIM(C998)&amp;" ")-1),",","."),FIND("/",SUBSTITUTE(LEFT(TRIM(C998),FIND(" ",TRIM(C998)&amp;" ")-1),",","."))+1,9))*12/52,IF(ISNUMBER(SEARCH("month",C998)),IFERROR(_xlfn.NUMBERVALUE(SUBSTITUTE(LEFT(TRIM(C998),FIND(" ",TRIM(C998)&amp;" ")-1),",","."),"."),LEFT(SUBSTITUTE(LEFT(TRIM(C998),FIND(" ",TRIM(C998)&amp;" ")-1),",","."),FIND("/",SUBSTITUTE(LEFT(TRIM(C998),FIND(" ",TRIM(C998)&amp;" ")-1),",","."))-1)/MID(SUBSTITUTE(LEFT(TRIM(C998),FIND(" ",TRIM(C998)&amp;" ")-1),",","."),FIND("/",SUBSTITUTE(LEFT(TRIM(C998),FIND(" ",TRIM(C998)&amp;" ")-1),",","."))+1,9)),IF(ISNUMBER(SEARCH("yea",C998)),IFERROR(_xlfn.NUMBERVALUE(SUBSTITUTE(LEFT(TRIM(C998),FIND(" ",TRIM(C998)&amp;" ")-1),",","."),"."),LEFT(SUBSTITUTE(LEFT(TRIM(C998),FIND(" ",TRIM(C998)&amp;" ")-1),",","."),FIND("/",SUBSTITUTE(LEFT(TRIM(C998),FIND(" ",TRIM(C998)&amp;" ")-1),",","."))-1)/MID(SUBSTITUTE(LEFT(TRIM(C998),FIND(" ",TRIM(C998)&amp;" ")-1),",","."),FIND("/",SUBSTITUTE(LEFT(TRIM(C998),FIND(" ",TRIM(C998)&amp;" ")-1),",","."))+1,9))*12,NA()))),0),36)*'Aturan &amp; Tarif'!$B$4,2)</f>
        <v>2044.08</v>
      </c>
      <c r="K998" s="42" t="n">
        <f aca="false">'Aturan &amp; Tarif'!$B$5</f>
        <v>2050</v>
      </c>
      <c r="L998" s="42" t="n">
        <f aca="false">'Aturan &amp; Tarif'!$B$6</f>
        <v>350</v>
      </c>
      <c r="M998" s="35" t="n">
        <f aca="false">I998+J998+K998+L998</f>
        <v>24902.08</v>
      </c>
      <c r="N998" s="45" t="s">
        <v>2572</v>
      </c>
    </row>
    <row r="999" customFormat="false" ht="25.5" hidden="false" customHeight="true" outlineLevel="0" collapsed="false">
      <c r="A999" s="39"/>
      <c r="B999" s="40" t="s">
        <v>2589</v>
      </c>
      <c r="C999" s="41" t="s">
        <v>127</v>
      </c>
      <c r="D999" s="41" t="s">
        <v>108</v>
      </c>
      <c r="E999" s="42" t="n">
        <v>9560</v>
      </c>
      <c r="F999" s="42"/>
      <c r="G999" s="42"/>
      <c r="H999" s="43" t="n">
        <v>2</v>
      </c>
      <c r="I999" s="34" t="n">
        <f aca="false">E999*H999+N(F999)+N(G999)</f>
        <v>19120</v>
      </c>
      <c r="J999" s="42" t="n">
        <f aca="false">ROUND(IFERROR(ROUND(IF(OR(ISNUMBER(SEARCH("week",C999)),ISNUMBER(SEARCH("minggu",C999))),IFERROR(_xlfn.NUMBERVALUE(SUBSTITUTE(LEFT(TRIM(C999),FIND(" ",TRIM(C999)&amp;" ")-1),",","."),"."),LEFT(SUBSTITUTE(LEFT(TRIM(C999),FIND(" ",TRIM(C999)&amp;" ")-1),",","."),FIND("/",SUBSTITUTE(LEFT(TRIM(C999),FIND(" ",TRIM(C999)&amp;" ")-1),",","."))-1)/MID(SUBSTITUTE(LEFT(TRIM(C999),FIND(" ",TRIM(C999)&amp;" ")-1),",","."),FIND("/",SUBSTITUTE(LEFT(TRIM(C999),FIND(" ",TRIM(C999)&amp;" ")-1),",","."))+1,9))*12/52,IF(ISNUMBER(SEARCH("month",C999)),IFERROR(_xlfn.NUMBERVALUE(SUBSTITUTE(LEFT(TRIM(C999),FIND(" ",TRIM(C999)&amp;" ")-1),",","."),"."),LEFT(SUBSTITUTE(LEFT(TRIM(C999),FIND(" ",TRIM(C999)&amp;" ")-1),",","."),FIND("/",SUBSTITUTE(LEFT(TRIM(C999),FIND(" ",TRIM(C999)&amp;" ")-1),",","."))-1)/MID(SUBSTITUTE(LEFT(TRIM(C999),FIND(" ",TRIM(C999)&amp;" ")-1),",","."),FIND("/",SUBSTITUTE(LEFT(TRIM(C999),FIND(" ",TRIM(C999)&amp;" ")-1),",","."))+1,9)),IF(ISNUMBER(SEARCH("yea",C999)),IFERROR(_xlfn.NUMBERVALUE(SUBSTITUTE(LEFT(TRIM(C999),FIND(" ",TRIM(C999)&amp;" ")-1),",","."),"."),LEFT(SUBSTITUTE(LEFT(TRIM(C999),FIND(" ",TRIM(C999)&amp;" ")-1),",","."),FIND("/",SUBSTITUTE(LEFT(TRIM(C999),FIND(" ",TRIM(C999)&amp;" ")-1),",","."))-1)/MID(SUBSTITUTE(LEFT(TRIM(C999),FIND(" ",TRIM(C999)&amp;" ")-1),",","."),FIND("/",SUBSTITUTE(LEFT(TRIM(C999),FIND(" ",TRIM(C999)&amp;" ")-1),",","."))+1,9))*12,NA()))),0),36)*'Aturan &amp; Tarif'!$B$4,2)</f>
        <v>2044.08</v>
      </c>
      <c r="K999" s="42" t="n">
        <f aca="false">'Aturan &amp; Tarif'!$B$5</f>
        <v>2050</v>
      </c>
      <c r="L999" s="42" t="n">
        <f aca="false">'Aturan &amp; Tarif'!$B$6</f>
        <v>350</v>
      </c>
      <c r="M999" s="35" t="n">
        <f aca="false">I999+J999+K999+L999</f>
        <v>23564.08</v>
      </c>
      <c r="N999" s="45" t="s">
        <v>2572</v>
      </c>
    </row>
    <row r="1000" customFormat="false" ht="25.5" hidden="false" customHeight="true" outlineLevel="0" collapsed="false">
      <c r="A1000" s="39"/>
      <c r="B1000" s="40" t="s">
        <v>2590</v>
      </c>
      <c r="C1000" s="41" t="s">
        <v>127</v>
      </c>
      <c r="D1000" s="41" t="s">
        <v>108</v>
      </c>
      <c r="E1000" s="42" t="n">
        <v>9560</v>
      </c>
      <c r="F1000" s="42"/>
      <c r="G1000" s="42"/>
      <c r="H1000" s="43" t="n">
        <v>2</v>
      </c>
      <c r="I1000" s="34" t="n">
        <f aca="false">E1000*H1000+N(F1000)+N(G1000)</f>
        <v>19120</v>
      </c>
      <c r="J1000" s="42" t="n">
        <f aca="false">ROUND(IFERROR(ROUND(IF(OR(ISNUMBER(SEARCH("week",C1000)),ISNUMBER(SEARCH("minggu",C1000))),IFERROR(_xlfn.NUMBERVALUE(SUBSTITUTE(LEFT(TRIM(C1000),FIND(" ",TRIM(C1000)&amp;" ")-1),",","."),"."),LEFT(SUBSTITUTE(LEFT(TRIM(C1000),FIND(" ",TRIM(C1000)&amp;" ")-1),",","."),FIND("/",SUBSTITUTE(LEFT(TRIM(C1000),FIND(" ",TRIM(C1000)&amp;" ")-1),",","."))-1)/MID(SUBSTITUTE(LEFT(TRIM(C1000),FIND(" ",TRIM(C1000)&amp;" ")-1),",","."),FIND("/",SUBSTITUTE(LEFT(TRIM(C1000),FIND(" ",TRIM(C1000)&amp;" ")-1),",","."))+1,9))*12/52,IF(ISNUMBER(SEARCH("month",C1000)),IFERROR(_xlfn.NUMBERVALUE(SUBSTITUTE(LEFT(TRIM(C1000),FIND(" ",TRIM(C1000)&amp;" ")-1),",","."),"."),LEFT(SUBSTITUTE(LEFT(TRIM(C1000),FIND(" ",TRIM(C1000)&amp;" ")-1),",","."),FIND("/",SUBSTITUTE(LEFT(TRIM(C1000),FIND(" ",TRIM(C1000)&amp;" ")-1),",","."))-1)/MID(SUBSTITUTE(LEFT(TRIM(C1000),FIND(" ",TRIM(C1000)&amp;" ")-1),",","."),FIND("/",SUBSTITUTE(LEFT(TRIM(C1000),FIND(" ",TRIM(C1000)&amp;" ")-1),",","."))+1,9)),IF(ISNUMBER(SEARCH("yea",C1000)),IFERROR(_xlfn.NUMBERVALUE(SUBSTITUTE(LEFT(TRIM(C1000),FIND(" ",TRIM(C1000)&amp;" ")-1),",","."),"."),LEFT(SUBSTITUTE(LEFT(TRIM(C1000),FIND(" ",TRIM(C1000)&amp;" ")-1),",","."),FIND("/",SUBSTITUTE(LEFT(TRIM(C1000),FIND(" ",TRIM(C1000)&amp;" ")-1),",","."))-1)/MID(SUBSTITUTE(LEFT(TRIM(C1000),FIND(" ",TRIM(C1000)&amp;" ")-1),",","."),FIND("/",SUBSTITUTE(LEFT(TRIM(C1000),FIND(" ",TRIM(C1000)&amp;" ")-1),",","."))+1,9))*12,NA()))),0),36)*'Aturan &amp; Tarif'!$B$4,2)</f>
        <v>2044.08</v>
      </c>
      <c r="K1000" s="42" t="n">
        <f aca="false">'Aturan &amp; Tarif'!$B$5</f>
        <v>2050</v>
      </c>
      <c r="L1000" s="42" t="n">
        <f aca="false">'Aturan &amp; Tarif'!$B$6</f>
        <v>350</v>
      </c>
      <c r="M1000" s="35" t="n">
        <f aca="false">I1000+J1000+K1000+L1000</f>
        <v>23564.08</v>
      </c>
      <c r="N1000" s="45" t="s">
        <v>2591</v>
      </c>
    </row>
    <row r="1001" customFormat="false" ht="25.5" hidden="false" customHeight="true" outlineLevel="0" collapsed="false">
      <c r="A1001" s="39"/>
      <c r="B1001" s="40" t="s">
        <v>2592</v>
      </c>
      <c r="C1001" s="41" t="s">
        <v>127</v>
      </c>
      <c r="D1001" s="41" t="s">
        <v>108</v>
      </c>
      <c r="E1001" s="42" t="n">
        <v>9560</v>
      </c>
      <c r="F1001" s="42"/>
      <c r="G1001" s="42"/>
      <c r="H1001" s="43" t="n">
        <v>2</v>
      </c>
      <c r="I1001" s="34" t="n">
        <f aca="false">E1001*H1001+N(F1001)+N(G1001)</f>
        <v>19120</v>
      </c>
      <c r="J1001" s="42" t="n">
        <f aca="false">ROUND(IFERROR(ROUND(IF(OR(ISNUMBER(SEARCH("week",C1001)),ISNUMBER(SEARCH("minggu",C1001))),IFERROR(_xlfn.NUMBERVALUE(SUBSTITUTE(LEFT(TRIM(C1001),FIND(" ",TRIM(C1001)&amp;" ")-1),",","."),"."),LEFT(SUBSTITUTE(LEFT(TRIM(C1001),FIND(" ",TRIM(C1001)&amp;" ")-1),",","."),FIND("/",SUBSTITUTE(LEFT(TRIM(C1001),FIND(" ",TRIM(C1001)&amp;" ")-1),",","."))-1)/MID(SUBSTITUTE(LEFT(TRIM(C1001),FIND(" ",TRIM(C1001)&amp;" ")-1),",","."),FIND("/",SUBSTITUTE(LEFT(TRIM(C1001),FIND(" ",TRIM(C1001)&amp;" ")-1),",","."))+1,9))*12/52,IF(ISNUMBER(SEARCH("month",C1001)),IFERROR(_xlfn.NUMBERVALUE(SUBSTITUTE(LEFT(TRIM(C1001),FIND(" ",TRIM(C1001)&amp;" ")-1),",","."),"."),LEFT(SUBSTITUTE(LEFT(TRIM(C1001),FIND(" ",TRIM(C1001)&amp;" ")-1),",","."),FIND("/",SUBSTITUTE(LEFT(TRIM(C1001),FIND(" ",TRIM(C1001)&amp;" ")-1),",","."))-1)/MID(SUBSTITUTE(LEFT(TRIM(C1001),FIND(" ",TRIM(C1001)&amp;" ")-1),",","."),FIND("/",SUBSTITUTE(LEFT(TRIM(C1001),FIND(" ",TRIM(C1001)&amp;" ")-1),",","."))+1,9)),IF(ISNUMBER(SEARCH("yea",C1001)),IFERROR(_xlfn.NUMBERVALUE(SUBSTITUTE(LEFT(TRIM(C1001),FIND(" ",TRIM(C1001)&amp;" ")-1),",","."),"."),LEFT(SUBSTITUTE(LEFT(TRIM(C1001),FIND(" ",TRIM(C1001)&amp;" ")-1),",","."),FIND("/",SUBSTITUTE(LEFT(TRIM(C1001),FIND(" ",TRIM(C1001)&amp;" ")-1),",","."))-1)/MID(SUBSTITUTE(LEFT(TRIM(C1001),FIND(" ",TRIM(C1001)&amp;" ")-1),",","."),FIND("/",SUBSTITUTE(LEFT(TRIM(C1001),FIND(" ",TRIM(C1001)&amp;" ")-1),",","."))+1,9))*12,NA()))),0),36)*'Aturan &amp; Tarif'!$B$4,2)</f>
        <v>2044.08</v>
      </c>
      <c r="K1001" s="42" t="n">
        <f aca="false">'Aturan &amp; Tarif'!$B$5</f>
        <v>2050</v>
      </c>
      <c r="L1001" s="42" t="n">
        <f aca="false">'Aturan &amp; Tarif'!$B$6</f>
        <v>350</v>
      </c>
      <c r="M1001" s="35" t="n">
        <f aca="false">I1001+J1001+K1001+L1001</f>
        <v>23564.08</v>
      </c>
      <c r="N1001" s="45" t="s">
        <v>2572</v>
      </c>
    </row>
    <row r="1002" customFormat="false" ht="25.5" hidden="false" customHeight="true" outlineLevel="0" collapsed="false">
      <c r="A1002" s="39"/>
      <c r="B1002" s="40" t="s">
        <v>2593</v>
      </c>
      <c r="C1002" s="41" t="s">
        <v>127</v>
      </c>
      <c r="D1002" s="41" t="s">
        <v>108</v>
      </c>
      <c r="E1002" s="42" t="n">
        <v>10032</v>
      </c>
      <c r="F1002" s="42"/>
      <c r="G1002" s="42"/>
      <c r="H1002" s="43" t="n">
        <v>2</v>
      </c>
      <c r="I1002" s="34" t="n">
        <f aca="false">E1002*H1002+N(F1002)+N(G1002)</f>
        <v>20064</v>
      </c>
      <c r="J1002" s="42" t="n">
        <f aca="false">ROUND(IFERROR(ROUND(IF(OR(ISNUMBER(SEARCH("week",C1002)),ISNUMBER(SEARCH("minggu",C1002))),IFERROR(_xlfn.NUMBERVALUE(SUBSTITUTE(LEFT(TRIM(C1002),FIND(" ",TRIM(C1002)&amp;" ")-1),",","."),"."),LEFT(SUBSTITUTE(LEFT(TRIM(C1002),FIND(" ",TRIM(C1002)&amp;" ")-1),",","."),FIND("/",SUBSTITUTE(LEFT(TRIM(C1002),FIND(" ",TRIM(C1002)&amp;" ")-1),",","."))-1)/MID(SUBSTITUTE(LEFT(TRIM(C1002),FIND(" ",TRIM(C1002)&amp;" ")-1),",","."),FIND("/",SUBSTITUTE(LEFT(TRIM(C1002),FIND(" ",TRIM(C1002)&amp;" ")-1),",","."))+1,9))*12/52,IF(ISNUMBER(SEARCH("month",C1002)),IFERROR(_xlfn.NUMBERVALUE(SUBSTITUTE(LEFT(TRIM(C1002),FIND(" ",TRIM(C1002)&amp;" ")-1),",","."),"."),LEFT(SUBSTITUTE(LEFT(TRIM(C1002),FIND(" ",TRIM(C1002)&amp;" ")-1),",","."),FIND("/",SUBSTITUTE(LEFT(TRIM(C1002),FIND(" ",TRIM(C1002)&amp;" ")-1),",","."))-1)/MID(SUBSTITUTE(LEFT(TRIM(C1002),FIND(" ",TRIM(C1002)&amp;" ")-1),",","."),FIND("/",SUBSTITUTE(LEFT(TRIM(C1002),FIND(" ",TRIM(C1002)&amp;" ")-1),",","."))+1,9)),IF(ISNUMBER(SEARCH("yea",C1002)),IFERROR(_xlfn.NUMBERVALUE(SUBSTITUTE(LEFT(TRIM(C1002),FIND(" ",TRIM(C1002)&amp;" ")-1),",","."),"."),LEFT(SUBSTITUTE(LEFT(TRIM(C1002),FIND(" ",TRIM(C1002)&amp;" ")-1),",","."),FIND("/",SUBSTITUTE(LEFT(TRIM(C1002),FIND(" ",TRIM(C1002)&amp;" ")-1),",","."))-1)/MID(SUBSTITUTE(LEFT(TRIM(C1002),FIND(" ",TRIM(C1002)&amp;" ")-1),",","."),FIND("/",SUBSTITUTE(LEFT(TRIM(C1002),FIND(" ",TRIM(C1002)&amp;" ")-1),",","."))+1,9))*12,NA()))),0),36)*'Aturan &amp; Tarif'!$B$4,2)</f>
        <v>2044.08</v>
      </c>
      <c r="K1002" s="42" t="n">
        <f aca="false">'Aturan &amp; Tarif'!$B$5</f>
        <v>2050</v>
      </c>
      <c r="L1002" s="42" t="n">
        <f aca="false">'Aturan &amp; Tarif'!$B$6</f>
        <v>350</v>
      </c>
      <c r="M1002" s="35" t="n">
        <f aca="false">I1002+J1002+K1002+L1002</f>
        <v>24508.08</v>
      </c>
      <c r="N1002" s="45" t="s">
        <v>2572</v>
      </c>
    </row>
    <row r="1003" customFormat="false" ht="25.5" hidden="false" customHeight="true" outlineLevel="0" collapsed="false">
      <c r="A1003" s="39"/>
      <c r="B1003" s="40" t="s">
        <v>2594</v>
      </c>
      <c r="C1003" s="41" t="s">
        <v>127</v>
      </c>
      <c r="D1003" s="41" t="s">
        <v>108</v>
      </c>
      <c r="E1003" s="42" t="n">
        <v>10032</v>
      </c>
      <c r="F1003" s="42"/>
      <c r="G1003" s="42"/>
      <c r="H1003" s="43" t="n">
        <v>2</v>
      </c>
      <c r="I1003" s="34" t="n">
        <f aca="false">E1003*H1003+N(F1003)+N(G1003)</f>
        <v>20064</v>
      </c>
      <c r="J1003" s="42" t="n">
        <f aca="false">ROUND(IFERROR(ROUND(IF(OR(ISNUMBER(SEARCH("week",C1003)),ISNUMBER(SEARCH("minggu",C1003))),IFERROR(_xlfn.NUMBERVALUE(SUBSTITUTE(LEFT(TRIM(C1003),FIND(" ",TRIM(C1003)&amp;" ")-1),",","."),"."),LEFT(SUBSTITUTE(LEFT(TRIM(C1003),FIND(" ",TRIM(C1003)&amp;" ")-1),",","."),FIND("/",SUBSTITUTE(LEFT(TRIM(C1003),FIND(" ",TRIM(C1003)&amp;" ")-1),",","."))-1)/MID(SUBSTITUTE(LEFT(TRIM(C1003),FIND(" ",TRIM(C1003)&amp;" ")-1),",","."),FIND("/",SUBSTITUTE(LEFT(TRIM(C1003),FIND(" ",TRIM(C1003)&amp;" ")-1),",","."))+1,9))*12/52,IF(ISNUMBER(SEARCH("month",C1003)),IFERROR(_xlfn.NUMBERVALUE(SUBSTITUTE(LEFT(TRIM(C1003),FIND(" ",TRIM(C1003)&amp;" ")-1),",","."),"."),LEFT(SUBSTITUTE(LEFT(TRIM(C1003),FIND(" ",TRIM(C1003)&amp;" ")-1),",","."),FIND("/",SUBSTITUTE(LEFT(TRIM(C1003),FIND(" ",TRIM(C1003)&amp;" ")-1),",","."))-1)/MID(SUBSTITUTE(LEFT(TRIM(C1003),FIND(" ",TRIM(C1003)&amp;" ")-1),",","."),FIND("/",SUBSTITUTE(LEFT(TRIM(C1003),FIND(" ",TRIM(C1003)&amp;" ")-1),",","."))+1,9)),IF(ISNUMBER(SEARCH("yea",C1003)),IFERROR(_xlfn.NUMBERVALUE(SUBSTITUTE(LEFT(TRIM(C1003),FIND(" ",TRIM(C1003)&amp;" ")-1),",","."),"."),LEFT(SUBSTITUTE(LEFT(TRIM(C1003),FIND(" ",TRIM(C1003)&amp;" ")-1),",","."),FIND("/",SUBSTITUTE(LEFT(TRIM(C1003),FIND(" ",TRIM(C1003)&amp;" ")-1),",","."))-1)/MID(SUBSTITUTE(LEFT(TRIM(C1003),FIND(" ",TRIM(C1003)&amp;" ")-1),",","."),FIND("/",SUBSTITUTE(LEFT(TRIM(C1003),FIND(" ",TRIM(C1003)&amp;" ")-1),",","."))+1,9))*12,NA()))),0),36)*'Aturan &amp; Tarif'!$B$4,2)</f>
        <v>2044.08</v>
      </c>
      <c r="K1003" s="42" t="n">
        <f aca="false">'Aturan &amp; Tarif'!$B$5</f>
        <v>2050</v>
      </c>
      <c r="L1003" s="42" t="n">
        <f aca="false">'Aturan &amp; Tarif'!$B$6</f>
        <v>350</v>
      </c>
      <c r="M1003" s="35" t="n">
        <f aca="false">I1003+J1003+K1003+L1003</f>
        <v>24508.08</v>
      </c>
      <c r="N1003" s="45" t="s">
        <v>2572</v>
      </c>
    </row>
    <row r="1004" customFormat="false" ht="25.5" hidden="false" customHeight="true" outlineLevel="0" collapsed="false">
      <c r="A1004" s="39"/>
      <c r="B1004" s="40" t="s">
        <v>2595</v>
      </c>
      <c r="C1004" s="41" t="s">
        <v>127</v>
      </c>
      <c r="D1004" s="41" t="s">
        <v>108</v>
      </c>
      <c r="E1004" s="42" t="n">
        <v>9560</v>
      </c>
      <c r="F1004" s="42"/>
      <c r="G1004" s="42"/>
      <c r="H1004" s="43" t="n">
        <v>2</v>
      </c>
      <c r="I1004" s="34" t="n">
        <f aca="false">E1004*H1004+N(F1004)+N(G1004)</f>
        <v>19120</v>
      </c>
      <c r="J1004" s="42" t="n">
        <f aca="false">ROUND(IFERROR(ROUND(IF(OR(ISNUMBER(SEARCH("week",C1004)),ISNUMBER(SEARCH("minggu",C1004))),IFERROR(_xlfn.NUMBERVALUE(SUBSTITUTE(LEFT(TRIM(C1004),FIND(" ",TRIM(C1004)&amp;" ")-1),",","."),"."),LEFT(SUBSTITUTE(LEFT(TRIM(C1004),FIND(" ",TRIM(C1004)&amp;" ")-1),",","."),FIND("/",SUBSTITUTE(LEFT(TRIM(C1004),FIND(" ",TRIM(C1004)&amp;" ")-1),",","."))-1)/MID(SUBSTITUTE(LEFT(TRIM(C1004),FIND(" ",TRIM(C1004)&amp;" ")-1),",","."),FIND("/",SUBSTITUTE(LEFT(TRIM(C1004),FIND(" ",TRIM(C1004)&amp;" ")-1),",","."))+1,9))*12/52,IF(ISNUMBER(SEARCH("month",C1004)),IFERROR(_xlfn.NUMBERVALUE(SUBSTITUTE(LEFT(TRIM(C1004),FIND(" ",TRIM(C1004)&amp;" ")-1),",","."),"."),LEFT(SUBSTITUTE(LEFT(TRIM(C1004),FIND(" ",TRIM(C1004)&amp;" ")-1),",","."),FIND("/",SUBSTITUTE(LEFT(TRIM(C1004),FIND(" ",TRIM(C1004)&amp;" ")-1),",","."))-1)/MID(SUBSTITUTE(LEFT(TRIM(C1004),FIND(" ",TRIM(C1004)&amp;" ")-1),",","."),FIND("/",SUBSTITUTE(LEFT(TRIM(C1004),FIND(" ",TRIM(C1004)&amp;" ")-1),",","."))+1,9)),IF(ISNUMBER(SEARCH("yea",C1004)),IFERROR(_xlfn.NUMBERVALUE(SUBSTITUTE(LEFT(TRIM(C1004),FIND(" ",TRIM(C1004)&amp;" ")-1),",","."),"."),LEFT(SUBSTITUTE(LEFT(TRIM(C1004),FIND(" ",TRIM(C1004)&amp;" ")-1),",","."),FIND("/",SUBSTITUTE(LEFT(TRIM(C1004),FIND(" ",TRIM(C1004)&amp;" ")-1),",","."))-1)/MID(SUBSTITUTE(LEFT(TRIM(C1004),FIND(" ",TRIM(C1004)&amp;" ")-1),",","."),FIND("/",SUBSTITUTE(LEFT(TRIM(C1004),FIND(" ",TRIM(C1004)&amp;" ")-1),",","."))+1,9))*12,NA()))),0),36)*'Aturan &amp; Tarif'!$B$4,2)</f>
        <v>2044.08</v>
      </c>
      <c r="K1004" s="42" t="n">
        <f aca="false">'Aturan &amp; Tarif'!$B$5</f>
        <v>2050</v>
      </c>
      <c r="L1004" s="42" t="n">
        <f aca="false">'Aturan &amp; Tarif'!$B$6</f>
        <v>350</v>
      </c>
      <c r="M1004" s="35" t="n">
        <f aca="false">I1004+J1004+K1004+L1004</f>
        <v>23564.08</v>
      </c>
      <c r="N1004" s="45" t="s">
        <v>2572</v>
      </c>
    </row>
    <row r="1005" customFormat="false" ht="25.5" hidden="false" customHeight="true" outlineLevel="0" collapsed="false">
      <c r="A1005" s="39"/>
      <c r="B1005" s="40" t="s">
        <v>2596</v>
      </c>
      <c r="C1005" s="41" t="s">
        <v>127</v>
      </c>
      <c r="D1005" s="41" t="s">
        <v>108</v>
      </c>
      <c r="E1005" s="42" t="n">
        <v>8694</v>
      </c>
      <c r="F1005" s="42"/>
      <c r="G1005" s="42"/>
      <c r="H1005" s="43" t="n">
        <v>2</v>
      </c>
      <c r="I1005" s="34" t="n">
        <f aca="false">E1005*H1005+N(F1005)+N(G1005)</f>
        <v>17388</v>
      </c>
      <c r="J1005" s="42" t="n">
        <f aca="false">ROUND(IFERROR(ROUND(IF(OR(ISNUMBER(SEARCH("week",C1005)),ISNUMBER(SEARCH("minggu",C1005))),IFERROR(_xlfn.NUMBERVALUE(SUBSTITUTE(LEFT(TRIM(C1005),FIND(" ",TRIM(C1005)&amp;" ")-1),",","."),"."),LEFT(SUBSTITUTE(LEFT(TRIM(C1005),FIND(" ",TRIM(C1005)&amp;" ")-1),",","."),FIND("/",SUBSTITUTE(LEFT(TRIM(C1005),FIND(" ",TRIM(C1005)&amp;" ")-1),",","."))-1)/MID(SUBSTITUTE(LEFT(TRIM(C1005),FIND(" ",TRIM(C1005)&amp;" ")-1),",","."),FIND("/",SUBSTITUTE(LEFT(TRIM(C1005),FIND(" ",TRIM(C1005)&amp;" ")-1),",","."))+1,9))*12/52,IF(ISNUMBER(SEARCH("month",C1005)),IFERROR(_xlfn.NUMBERVALUE(SUBSTITUTE(LEFT(TRIM(C1005),FIND(" ",TRIM(C1005)&amp;" ")-1),",","."),"."),LEFT(SUBSTITUTE(LEFT(TRIM(C1005),FIND(" ",TRIM(C1005)&amp;" ")-1),",","."),FIND("/",SUBSTITUTE(LEFT(TRIM(C1005),FIND(" ",TRIM(C1005)&amp;" ")-1),",","."))-1)/MID(SUBSTITUTE(LEFT(TRIM(C1005),FIND(" ",TRIM(C1005)&amp;" ")-1),",","."),FIND("/",SUBSTITUTE(LEFT(TRIM(C1005),FIND(" ",TRIM(C1005)&amp;" ")-1),",","."))+1,9)),IF(ISNUMBER(SEARCH("yea",C1005)),IFERROR(_xlfn.NUMBERVALUE(SUBSTITUTE(LEFT(TRIM(C1005),FIND(" ",TRIM(C1005)&amp;" ")-1),",","."),"."),LEFT(SUBSTITUTE(LEFT(TRIM(C1005),FIND(" ",TRIM(C1005)&amp;" ")-1),",","."),FIND("/",SUBSTITUTE(LEFT(TRIM(C1005),FIND(" ",TRIM(C1005)&amp;" ")-1),",","."))-1)/MID(SUBSTITUTE(LEFT(TRIM(C1005),FIND(" ",TRIM(C1005)&amp;" ")-1),",","."),FIND("/",SUBSTITUTE(LEFT(TRIM(C1005),FIND(" ",TRIM(C1005)&amp;" ")-1),",","."))+1,9))*12,NA()))),0),36)*'Aturan &amp; Tarif'!$B$4,2)</f>
        <v>2044.08</v>
      </c>
      <c r="K1005" s="42" t="n">
        <f aca="false">'Aturan &amp; Tarif'!$B$5</f>
        <v>2050</v>
      </c>
      <c r="L1005" s="42" t="n">
        <f aca="false">'Aturan &amp; Tarif'!$B$6</f>
        <v>350</v>
      </c>
      <c r="M1005" s="35" t="n">
        <f aca="false">I1005+J1005+K1005+L1005</f>
        <v>21832.08</v>
      </c>
      <c r="N1005" s="45" t="s">
        <v>2572</v>
      </c>
    </row>
    <row r="1006" customFormat="false" ht="25.5" hidden="false" customHeight="true" outlineLevel="0" collapsed="false">
      <c r="A1006" s="39"/>
      <c r="B1006" s="40" t="s">
        <v>2597</v>
      </c>
      <c r="C1006" s="41" t="s">
        <v>127</v>
      </c>
      <c r="D1006" s="41" t="s">
        <v>108</v>
      </c>
      <c r="E1006" s="42" t="n">
        <v>10530</v>
      </c>
      <c r="F1006" s="42"/>
      <c r="G1006" s="42"/>
      <c r="H1006" s="43" t="n">
        <v>2</v>
      </c>
      <c r="I1006" s="34" t="n">
        <f aca="false">E1006*H1006+N(F1006)+N(G1006)</f>
        <v>21060</v>
      </c>
      <c r="J1006" s="42" t="n">
        <f aca="false">ROUND(IFERROR(ROUND(IF(OR(ISNUMBER(SEARCH("week",C1006)),ISNUMBER(SEARCH("minggu",C1006))),IFERROR(_xlfn.NUMBERVALUE(SUBSTITUTE(LEFT(TRIM(C1006),FIND(" ",TRIM(C1006)&amp;" ")-1),",","."),"."),LEFT(SUBSTITUTE(LEFT(TRIM(C1006),FIND(" ",TRIM(C1006)&amp;" ")-1),",","."),FIND("/",SUBSTITUTE(LEFT(TRIM(C1006),FIND(" ",TRIM(C1006)&amp;" ")-1),",","."))-1)/MID(SUBSTITUTE(LEFT(TRIM(C1006),FIND(" ",TRIM(C1006)&amp;" ")-1),",","."),FIND("/",SUBSTITUTE(LEFT(TRIM(C1006),FIND(" ",TRIM(C1006)&amp;" ")-1),",","."))+1,9))*12/52,IF(ISNUMBER(SEARCH("month",C1006)),IFERROR(_xlfn.NUMBERVALUE(SUBSTITUTE(LEFT(TRIM(C1006),FIND(" ",TRIM(C1006)&amp;" ")-1),",","."),"."),LEFT(SUBSTITUTE(LEFT(TRIM(C1006),FIND(" ",TRIM(C1006)&amp;" ")-1),",","."),FIND("/",SUBSTITUTE(LEFT(TRIM(C1006),FIND(" ",TRIM(C1006)&amp;" ")-1),",","."))-1)/MID(SUBSTITUTE(LEFT(TRIM(C1006),FIND(" ",TRIM(C1006)&amp;" ")-1),",","."),FIND("/",SUBSTITUTE(LEFT(TRIM(C1006),FIND(" ",TRIM(C1006)&amp;" ")-1),",","."))+1,9)),IF(ISNUMBER(SEARCH("yea",C1006)),IFERROR(_xlfn.NUMBERVALUE(SUBSTITUTE(LEFT(TRIM(C1006),FIND(" ",TRIM(C1006)&amp;" ")-1),",","."),"."),LEFT(SUBSTITUTE(LEFT(TRIM(C1006),FIND(" ",TRIM(C1006)&amp;" ")-1),",","."),FIND("/",SUBSTITUTE(LEFT(TRIM(C1006),FIND(" ",TRIM(C1006)&amp;" ")-1),",","."))-1)/MID(SUBSTITUTE(LEFT(TRIM(C1006),FIND(" ",TRIM(C1006)&amp;" ")-1),",","."),FIND("/",SUBSTITUTE(LEFT(TRIM(C1006),FIND(" ",TRIM(C1006)&amp;" ")-1),",","."))+1,9))*12,NA()))),0),36)*'Aturan &amp; Tarif'!$B$4,2)</f>
        <v>2044.08</v>
      </c>
      <c r="K1006" s="42" t="n">
        <f aca="false">'Aturan &amp; Tarif'!$B$5</f>
        <v>2050</v>
      </c>
      <c r="L1006" s="42" t="n">
        <f aca="false">'Aturan &amp; Tarif'!$B$6</f>
        <v>350</v>
      </c>
      <c r="M1006" s="35" t="n">
        <f aca="false">I1006+J1006+K1006+L1006</f>
        <v>25504.08</v>
      </c>
      <c r="N1006" s="45" t="s">
        <v>2572</v>
      </c>
    </row>
    <row r="1007" customFormat="false" ht="25.5" hidden="false" customHeight="true" outlineLevel="0" collapsed="false">
      <c r="A1007" s="39"/>
      <c r="B1007" s="40" t="s">
        <v>2598</v>
      </c>
      <c r="C1007" s="41" t="s">
        <v>127</v>
      </c>
      <c r="D1007" s="41" t="s">
        <v>108</v>
      </c>
      <c r="E1007" s="42" t="n">
        <v>8694</v>
      </c>
      <c r="F1007" s="42"/>
      <c r="G1007" s="42"/>
      <c r="H1007" s="43" t="n">
        <v>2</v>
      </c>
      <c r="I1007" s="34" t="n">
        <f aca="false">E1007*H1007+N(F1007)+N(G1007)</f>
        <v>17388</v>
      </c>
      <c r="J1007" s="42" t="n">
        <f aca="false">ROUND(IFERROR(ROUND(IF(OR(ISNUMBER(SEARCH("week",C1007)),ISNUMBER(SEARCH("minggu",C1007))),IFERROR(_xlfn.NUMBERVALUE(SUBSTITUTE(LEFT(TRIM(C1007),FIND(" ",TRIM(C1007)&amp;" ")-1),",","."),"."),LEFT(SUBSTITUTE(LEFT(TRIM(C1007),FIND(" ",TRIM(C1007)&amp;" ")-1),",","."),FIND("/",SUBSTITUTE(LEFT(TRIM(C1007),FIND(" ",TRIM(C1007)&amp;" ")-1),",","."))-1)/MID(SUBSTITUTE(LEFT(TRIM(C1007),FIND(" ",TRIM(C1007)&amp;" ")-1),",","."),FIND("/",SUBSTITUTE(LEFT(TRIM(C1007),FIND(" ",TRIM(C1007)&amp;" ")-1),",","."))+1,9))*12/52,IF(ISNUMBER(SEARCH("month",C1007)),IFERROR(_xlfn.NUMBERVALUE(SUBSTITUTE(LEFT(TRIM(C1007),FIND(" ",TRIM(C1007)&amp;" ")-1),",","."),"."),LEFT(SUBSTITUTE(LEFT(TRIM(C1007),FIND(" ",TRIM(C1007)&amp;" ")-1),",","."),FIND("/",SUBSTITUTE(LEFT(TRIM(C1007),FIND(" ",TRIM(C1007)&amp;" ")-1),",","."))-1)/MID(SUBSTITUTE(LEFT(TRIM(C1007),FIND(" ",TRIM(C1007)&amp;" ")-1),",","."),FIND("/",SUBSTITUTE(LEFT(TRIM(C1007),FIND(" ",TRIM(C1007)&amp;" ")-1),",","."))+1,9)),IF(ISNUMBER(SEARCH("yea",C1007)),IFERROR(_xlfn.NUMBERVALUE(SUBSTITUTE(LEFT(TRIM(C1007),FIND(" ",TRIM(C1007)&amp;" ")-1),",","."),"."),LEFT(SUBSTITUTE(LEFT(TRIM(C1007),FIND(" ",TRIM(C1007)&amp;" ")-1),",","."),FIND("/",SUBSTITUTE(LEFT(TRIM(C1007),FIND(" ",TRIM(C1007)&amp;" ")-1),",","."))-1)/MID(SUBSTITUTE(LEFT(TRIM(C1007),FIND(" ",TRIM(C1007)&amp;" ")-1),",","."),FIND("/",SUBSTITUTE(LEFT(TRIM(C1007),FIND(" ",TRIM(C1007)&amp;" ")-1),",","."))+1,9))*12,NA()))),0),36)*'Aturan &amp; Tarif'!$B$4,2)</f>
        <v>2044.08</v>
      </c>
      <c r="K1007" s="42" t="n">
        <f aca="false">'Aturan &amp; Tarif'!$B$5</f>
        <v>2050</v>
      </c>
      <c r="L1007" s="42" t="n">
        <f aca="false">'Aturan &amp; Tarif'!$B$6</f>
        <v>350</v>
      </c>
      <c r="M1007" s="35" t="n">
        <f aca="false">I1007+J1007+K1007+L1007</f>
        <v>21832.08</v>
      </c>
      <c r="N1007" s="45" t="s">
        <v>2572</v>
      </c>
    </row>
    <row r="1008" customFormat="false" ht="25.5" hidden="false" customHeight="true" outlineLevel="0" collapsed="false">
      <c r="A1008" s="39"/>
      <c r="B1008" s="40" t="s">
        <v>2599</v>
      </c>
      <c r="C1008" s="41" t="s">
        <v>127</v>
      </c>
      <c r="D1008" s="41" t="s">
        <v>108</v>
      </c>
      <c r="E1008" s="42" t="n">
        <v>9314</v>
      </c>
      <c r="F1008" s="42"/>
      <c r="G1008" s="42"/>
      <c r="H1008" s="43" t="n">
        <v>2</v>
      </c>
      <c r="I1008" s="34" t="n">
        <f aca="false">E1008*H1008+N(F1008)+N(G1008)</f>
        <v>18628</v>
      </c>
      <c r="J1008" s="42" t="n">
        <f aca="false">ROUND(IFERROR(ROUND(IF(OR(ISNUMBER(SEARCH("week",C1008)),ISNUMBER(SEARCH("minggu",C1008))),IFERROR(_xlfn.NUMBERVALUE(SUBSTITUTE(LEFT(TRIM(C1008),FIND(" ",TRIM(C1008)&amp;" ")-1),",","."),"."),LEFT(SUBSTITUTE(LEFT(TRIM(C1008),FIND(" ",TRIM(C1008)&amp;" ")-1),",","."),FIND("/",SUBSTITUTE(LEFT(TRIM(C1008),FIND(" ",TRIM(C1008)&amp;" ")-1),",","."))-1)/MID(SUBSTITUTE(LEFT(TRIM(C1008),FIND(" ",TRIM(C1008)&amp;" ")-1),",","."),FIND("/",SUBSTITUTE(LEFT(TRIM(C1008),FIND(" ",TRIM(C1008)&amp;" ")-1),",","."))+1,9))*12/52,IF(ISNUMBER(SEARCH("month",C1008)),IFERROR(_xlfn.NUMBERVALUE(SUBSTITUTE(LEFT(TRIM(C1008),FIND(" ",TRIM(C1008)&amp;" ")-1),",","."),"."),LEFT(SUBSTITUTE(LEFT(TRIM(C1008),FIND(" ",TRIM(C1008)&amp;" ")-1),",","."),FIND("/",SUBSTITUTE(LEFT(TRIM(C1008),FIND(" ",TRIM(C1008)&amp;" ")-1),",","."))-1)/MID(SUBSTITUTE(LEFT(TRIM(C1008),FIND(" ",TRIM(C1008)&amp;" ")-1),",","."),FIND("/",SUBSTITUTE(LEFT(TRIM(C1008),FIND(" ",TRIM(C1008)&amp;" ")-1),",","."))+1,9)),IF(ISNUMBER(SEARCH("yea",C1008)),IFERROR(_xlfn.NUMBERVALUE(SUBSTITUTE(LEFT(TRIM(C1008),FIND(" ",TRIM(C1008)&amp;" ")-1),",","."),"."),LEFT(SUBSTITUTE(LEFT(TRIM(C1008),FIND(" ",TRIM(C1008)&amp;" ")-1),",","."),FIND("/",SUBSTITUTE(LEFT(TRIM(C1008),FIND(" ",TRIM(C1008)&amp;" ")-1),",","."))-1)/MID(SUBSTITUTE(LEFT(TRIM(C1008),FIND(" ",TRIM(C1008)&amp;" ")-1),",","."),FIND("/",SUBSTITUTE(LEFT(TRIM(C1008),FIND(" ",TRIM(C1008)&amp;" ")-1),",","."))+1,9))*12,NA()))),0),36)*'Aturan &amp; Tarif'!$B$4,2)</f>
        <v>2044.08</v>
      </c>
      <c r="K1008" s="42" t="n">
        <f aca="false">'Aturan &amp; Tarif'!$B$5</f>
        <v>2050</v>
      </c>
      <c r="L1008" s="42" t="n">
        <f aca="false">'Aturan &amp; Tarif'!$B$6</f>
        <v>350</v>
      </c>
      <c r="M1008" s="35" t="n">
        <f aca="false">I1008+J1008+K1008+L1008</f>
        <v>23072.08</v>
      </c>
      <c r="N1008" s="45" t="s">
        <v>2572</v>
      </c>
    </row>
    <row r="1009" customFormat="false" ht="25.5" hidden="false" customHeight="true" outlineLevel="0" collapsed="false">
      <c r="A1009" s="39"/>
      <c r="B1009" s="40" t="s">
        <v>2600</v>
      </c>
      <c r="C1009" s="41" t="s">
        <v>191</v>
      </c>
      <c r="D1009" s="41" t="s">
        <v>108</v>
      </c>
      <c r="E1009" s="42" t="n">
        <v>9440</v>
      </c>
      <c r="F1009" s="42"/>
      <c r="G1009" s="42"/>
      <c r="H1009" s="43" t="n">
        <v>2</v>
      </c>
      <c r="I1009" s="34" t="n">
        <f aca="false">E1009*H1009+N(F1009)+N(G1009)</f>
        <v>18880</v>
      </c>
      <c r="J1009" s="42" t="n">
        <f aca="false">ROUND(IFERROR(ROUND(IF(OR(ISNUMBER(SEARCH("week",C1009)),ISNUMBER(SEARCH("minggu",C1009))),IFERROR(_xlfn.NUMBERVALUE(SUBSTITUTE(LEFT(TRIM(C1009),FIND(" ",TRIM(C1009)&amp;" ")-1),",","."),"."),LEFT(SUBSTITUTE(LEFT(TRIM(C1009),FIND(" ",TRIM(C1009)&amp;" ")-1),",","."),FIND("/",SUBSTITUTE(LEFT(TRIM(C1009),FIND(" ",TRIM(C1009)&amp;" ")-1),",","."))-1)/MID(SUBSTITUTE(LEFT(TRIM(C1009),FIND(" ",TRIM(C1009)&amp;" ")-1),",","."),FIND("/",SUBSTITUTE(LEFT(TRIM(C1009),FIND(" ",TRIM(C1009)&amp;" ")-1),",","."))+1,9))*12/52,IF(ISNUMBER(SEARCH("month",C1009)),IFERROR(_xlfn.NUMBERVALUE(SUBSTITUTE(LEFT(TRIM(C1009),FIND(" ",TRIM(C1009)&amp;" ")-1),",","."),"."),LEFT(SUBSTITUTE(LEFT(TRIM(C1009),FIND(" ",TRIM(C1009)&amp;" ")-1),",","."),FIND("/",SUBSTITUTE(LEFT(TRIM(C1009),FIND(" ",TRIM(C1009)&amp;" ")-1),",","."))-1)/MID(SUBSTITUTE(LEFT(TRIM(C1009),FIND(" ",TRIM(C1009)&amp;" ")-1),",","."),FIND("/",SUBSTITUTE(LEFT(TRIM(C1009),FIND(" ",TRIM(C1009)&amp;" ")-1),",","."))+1,9)),IF(ISNUMBER(SEARCH("yea",C1009)),IFERROR(_xlfn.NUMBERVALUE(SUBSTITUTE(LEFT(TRIM(C1009),FIND(" ",TRIM(C1009)&amp;" ")-1),",","."),"."),LEFT(SUBSTITUTE(LEFT(TRIM(C1009),FIND(" ",TRIM(C1009)&amp;" ")-1),",","."),FIND("/",SUBSTITUTE(LEFT(TRIM(C1009),FIND(" ",TRIM(C1009)&amp;" ")-1),",","."))-1)/MID(SUBSTITUTE(LEFT(TRIM(C1009),FIND(" ",TRIM(C1009)&amp;" ")-1),",","."),FIND("/",SUBSTITUTE(LEFT(TRIM(C1009),FIND(" ",TRIM(C1009)&amp;" ")-1),",","."))+1,9))*12,NA()))),0),48)*'Aturan &amp; Tarif'!$B$4,2)</f>
        <v>2725.44</v>
      </c>
      <c r="K1009" s="42" t="n">
        <f aca="false">'Aturan &amp; Tarif'!$B$5</f>
        <v>2050</v>
      </c>
      <c r="L1009" s="42" t="n">
        <f aca="false">'Aturan &amp; Tarif'!$B$6</f>
        <v>350</v>
      </c>
      <c r="M1009" s="35" t="n">
        <f aca="false">I1009+J1009+K1009+L1009</f>
        <v>24005.44</v>
      </c>
      <c r="N1009" s="45" t="s">
        <v>2572</v>
      </c>
    </row>
    <row r="1010" customFormat="false" ht="25.5" hidden="false" customHeight="true" outlineLevel="0" collapsed="false">
      <c r="A1010" s="39"/>
      <c r="B1010" s="40" t="s">
        <v>2601</v>
      </c>
      <c r="C1010" s="41" t="s">
        <v>191</v>
      </c>
      <c r="D1010" s="41" t="s">
        <v>108</v>
      </c>
      <c r="E1010" s="42" t="n">
        <v>9440</v>
      </c>
      <c r="F1010" s="42"/>
      <c r="G1010" s="42"/>
      <c r="H1010" s="43" t="n">
        <v>2</v>
      </c>
      <c r="I1010" s="34" t="n">
        <f aca="false">E1010*H1010+N(F1010)+N(G1010)</f>
        <v>18880</v>
      </c>
      <c r="J1010" s="42" t="n">
        <f aca="false">ROUND(IFERROR(ROUND(IF(OR(ISNUMBER(SEARCH("week",C1010)),ISNUMBER(SEARCH("minggu",C1010))),IFERROR(_xlfn.NUMBERVALUE(SUBSTITUTE(LEFT(TRIM(C1010),FIND(" ",TRIM(C1010)&amp;" ")-1),",","."),"."),LEFT(SUBSTITUTE(LEFT(TRIM(C1010),FIND(" ",TRIM(C1010)&amp;" ")-1),",","."),FIND("/",SUBSTITUTE(LEFT(TRIM(C1010),FIND(" ",TRIM(C1010)&amp;" ")-1),",","."))-1)/MID(SUBSTITUTE(LEFT(TRIM(C1010),FIND(" ",TRIM(C1010)&amp;" ")-1),",","."),FIND("/",SUBSTITUTE(LEFT(TRIM(C1010),FIND(" ",TRIM(C1010)&amp;" ")-1),",","."))+1,9))*12/52,IF(ISNUMBER(SEARCH("month",C1010)),IFERROR(_xlfn.NUMBERVALUE(SUBSTITUTE(LEFT(TRIM(C1010),FIND(" ",TRIM(C1010)&amp;" ")-1),",","."),"."),LEFT(SUBSTITUTE(LEFT(TRIM(C1010),FIND(" ",TRIM(C1010)&amp;" ")-1),",","."),FIND("/",SUBSTITUTE(LEFT(TRIM(C1010),FIND(" ",TRIM(C1010)&amp;" ")-1),",","."))-1)/MID(SUBSTITUTE(LEFT(TRIM(C1010),FIND(" ",TRIM(C1010)&amp;" ")-1),",","."),FIND("/",SUBSTITUTE(LEFT(TRIM(C1010),FIND(" ",TRIM(C1010)&amp;" ")-1),",","."))+1,9)),IF(ISNUMBER(SEARCH("yea",C1010)),IFERROR(_xlfn.NUMBERVALUE(SUBSTITUTE(LEFT(TRIM(C1010),FIND(" ",TRIM(C1010)&amp;" ")-1),",","."),"."),LEFT(SUBSTITUTE(LEFT(TRIM(C1010),FIND(" ",TRIM(C1010)&amp;" ")-1),",","."),FIND("/",SUBSTITUTE(LEFT(TRIM(C1010),FIND(" ",TRIM(C1010)&amp;" ")-1),",","."))-1)/MID(SUBSTITUTE(LEFT(TRIM(C1010),FIND(" ",TRIM(C1010)&amp;" ")-1),",","."),FIND("/",SUBSTITUTE(LEFT(TRIM(C1010),FIND(" ",TRIM(C1010)&amp;" ")-1),",","."))+1,9))*12,NA()))),0),48)*'Aturan &amp; Tarif'!$B$4,2)</f>
        <v>2725.44</v>
      </c>
      <c r="K1010" s="42" t="n">
        <f aca="false">'Aturan &amp; Tarif'!$B$5</f>
        <v>2050</v>
      </c>
      <c r="L1010" s="42" t="n">
        <f aca="false">'Aturan &amp; Tarif'!$B$6</f>
        <v>350</v>
      </c>
      <c r="M1010" s="35" t="n">
        <f aca="false">I1010+J1010+K1010+L1010</f>
        <v>24005.44</v>
      </c>
      <c r="N1010" s="45" t="s">
        <v>2572</v>
      </c>
    </row>
    <row r="1011" customFormat="false" ht="37.5" hidden="false" customHeight="true" outlineLevel="0" collapsed="false">
      <c r="A1011" s="39"/>
      <c r="B1011" s="40" t="s">
        <v>2602</v>
      </c>
      <c r="C1011" s="41" t="s">
        <v>191</v>
      </c>
      <c r="D1011" s="41" t="s">
        <v>108</v>
      </c>
      <c r="E1011" s="42" t="n">
        <v>9440</v>
      </c>
      <c r="F1011" s="42"/>
      <c r="G1011" s="42"/>
      <c r="H1011" s="43" t="n">
        <v>2</v>
      </c>
      <c r="I1011" s="34" t="n">
        <f aca="false">E1011*H1011+N(F1011)+N(G1011)</f>
        <v>18880</v>
      </c>
      <c r="J1011" s="42" t="n">
        <f aca="false">ROUND(IFERROR(ROUND(IF(OR(ISNUMBER(SEARCH("week",C1011)),ISNUMBER(SEARCH("minggu",C1011))),IFERROR(_xlfn.NUMBERVALUE(SUBSTITUTE(LEFT(TRIM(C1011),FIND(" ",TRIM(C1011)&amp;" ")-1),",","."),"."),LEFT(SUBSTITUTE(LEFT(TRIM(C1011),FIND(" ",TRIM(C1011)&amp;" ")-1),",","."),FIND("/",SUBSTITUTE(LEFT(TRIM(C1011),FIND(" ",TRIM(C1011)&amp;" ")-1),",","."))-1)/MID(SUBSTITUTE(LEFT(TRIM(C1011),FIND(" ",TRIM(C1011)&amp;" ")-1),",","."),FIND("/",SUBSTITUTE(LEFT(TRIM(C1011),FIND(" ",TRIM(C1011)&amp;" ")-1),",","."))+1,9))*12/52,IF(ISNUMBER(SEARCH("month",C1011)),IFERROR(_xlfn.NUMBERVALUE(SUBSTITUTE(LEFT(TRIM(C1011),FIND(" ",TRIM(C1011)&amp;" ")-1),",","."),"."),LEFT(SUBSTITUTE(LEFT(TRIM(C1011),FIND(" ",TRIM(C1011)&amp;" ")-1),",","."),FIND("/",SUBSTITUTE(LEFT(TRIM(C1011),FIND(" ",TRIM(C1011)&amp;" ")-1),",","."))-1)/MID(SUBSTITUTE(LEFT(TRIM(C1011),FIND(" ",TRIM(C1011)&amp;" ")-1),",","."),FIND("/",SUBSTITUTE(LEFT(TRIM(C1011),FIND(" ",TRIM(C1011)&amp;" ")-1),",","."))+1,9)),IF(ISNUMBER(SEARCH("yea",C1011)),IFERROR(_xlfn.NUMBERVALUE(SUBSTITUTE(LEFT(TRIM(C1011),FIND(" ",TRIM(C1011)&amp;" ")-1),",","."),"."),LEFT(SUBSTITUTE(LEFT(TRIM(C1011),FIND(" ",TRIM(C1011)&amp;" ")-1),",","."),FIND("/",SUBSTITUTE(LEFT(TRIM(C1011),FIND(" ",TRIM(C1011)&amp;" ")-1),",","."))-1)/MID(SUBSTITUTE(LEFT(TRIM(C1011),FIND(" ",TRIM(C1011)&amp;" ")-1),",","."),FIND("/",SUBSTITUTE(LEFT(TRIM(C1011),FIND(" ",TRIM(C1011)&amp;" ")-1),",","."))+1,9))*12,NA()))),0),48)*'Aturan &amp; Tarif'!$B$4,2)</f>
        <v>2725.44</v>
      </c>
      <c r="K1011" s="42" t="n">
        <f aca="false">'Aturan &amp; Tarif'!$B$5</f>
        <v>2050</v>
      </c>
      <c r="L1011" s="42" t="n">
        <f aca="false">'Aturan &amp; Tarif'!$B$6</f>
        <v>350</v>
      </c>
      <c r="M1011" s="35" t="n">
        <f aca="false">I1011+J1011+K1011+L1011</f>
        <v>24005.44</v>
      </c>
      <c r="N1011" s="45" t="s">
        <v>2572</v>
      </c>
    </row>
    <row r="1012" customFormat="false" ht="25.5" hidden="false" customHeight="true" outlineLevel="0" collapsed="false">
      <c r="A1012" s="39"/>
      <c r="B1012" s="40" t="s">
        <v>2603</v>
      </c>
      <c r="C1012" s="41" t="s">
        <v>495</v>
      </c>
      <c r="D1012" s="41" t="s">
        <v>108</v>
      </c>
      <c r="E1012" s="42" t="n">
        <v>9440</v>
      </c>
      <c r="F1012" s="42"/>
      <c r="G1012" s="42"/>
      <c r="H1012" s="43" t="n">
        <v>2</v>
      </c>
      <c r="I1012" s="34" t="n">
        <f aca="false">E1012*H1012+N(F1012)+N(G1012)</f>
        <v>18880</v>
      </c>
      <c r="J1012" s="42" t="n">
        <f aca="false">ROUND(IFERROR(ROUND(IF(OR(ISNUMBER(SEARCH("week",C1012)),ISNUMBER(SEARCH("minggu",C1012))),IFERROR(_xlfn.NUMBERVALUE(SUBSTITUTE(LEFT(TRIM(C1012),FIND(" ",TRIM(C1012)&amp;" ")-1),",","."),"."),LEFT(SUBSTITUTE(LEFT(TRIM(C1012),FIND(" ",TRIM(C1012)&amp;" ")-1),",","."),FIND("/",SUBSTITUTE(LEFT(TRIM(C1012),FIND(" ",TRIM(C1012)&amp;" ")-1),",","."))-1)/MID(SUBSTITUTE(LEFT(TRIM(C1012),FIND(" ",TRIM(C1012)&amp;" ")-1),",","."),FIND("/",SUBSTITUTE(LEFT(TRIM(C1012),FIND(" ",TRIM(C1012)&amp;" ")-1),",","."))+1,9))*12/52,IF(ISNUMBER(SEARCH("month",C1012)),IFERROR(_xlfn.NUMBERVALUE(SUBSTITUTE(LEFT(TRIM(C1012),FIND(" ",TRIM(C1012)&amp;" ")-1),",","."),"."),LEFT(SUBSTITUTE(LEFT(TRIM(C1012),FIND(" ",TRIM(C1012)&amp;" ")-1),",","."),FIND("/",SUBSTITUTE(LEFT(TRIM(C1012),FIND(" ",TRIM(C1012)&amp;" ")-1),",","."))-1)/MID(SUBSTITUTE(LEFT(TRIM(C1012),FIND(" ",TRIM(C1012)&amp;" ")-1),",","."),FIND("/",SUBSTITUTE(LEFT(TRIM(C1012),FIND(" ",TRIM(C1012)&amp;" ")-1),",","."))+1,9)),IF(ISNUMBER(SEARCH("yea",C1012)),IFERROR(_xlfn.NUMBERVALUE(SUBSTITUTE(LEFT(TRIM(C1012),FIND(" ",TRIM(C1012)&amp;" ")-1),",","."),"."),LEFT(SUBSTITUTE(LEFT(TRIM(C1012),FIND(" ",TRIM(C1012)&amp;" ")-1),",","."),FIND("/",SUBSTITUTE(LEFT(TRIM(C1012),FIND(" ",TRIM(C1012)&amp;" ")-1),",","."))-1)/MID(SUBSTITUTE(LEFT(TRIM(C1012),FIND(" ",TRIM(C1012)&amp;" ")-1),",","."),FIND("/",SUBSTITUTE(LEFT(TRIM(C1012),FIND(" ",TRIM(C1012)&amp;" ")-1),",","."))+1,9))*12,NA()))),0),54)*'Aturan &amp; Tarif'!$B$4,2)</f>
        <v>3066.12</v>
      </c>
      <c r="K1012" s="42" t="n">
        <f aca="false">'Aturan &amp; Tarif'!$B$5</f>
        <v>2050</v>
      </c>
      <c r="L1012" s="42" t="n">
        <f aca="false">'Aturan &amp; Tarif'!$B$6</f>
        <v>350</v>
      </c>
      <c r="M1012" s="35" t="n">
        <f aca="false">I1012+J1012+K1012+L1012</f>
        <v>24346.12</v>
      </c>
      <c r="N1012" s="45" t="s">
        <v>2572</v>
      </c>
    </row>
    <row r="1013" customFormat="false" ht="25.5" hidden="false" customHeight="true" outlineLevel="0" collapsed="false">
      <c r="A1013" s="39"/>
      <c r="B1013" s="40" t="s">
        <v>2604</v>
      </c>
      <c r="C1013" s="41" t="s">
        <v>191</v>
      </c>
      <c r="D1013" s="41" t="s">
        <v>108</v>
      </c>
      <c r="E1013" s="42" t="n">
        <v>9440</v>
      </c>
      <c r="F1013" s="42"/>
      <c r="G1013" s="42"/>
      <c r="H1013" s="43" t="n">
        <v>2</v>
      </c>
      <c r="I1013" s="34" t="n">
        <f aca="false">E1013*H1013+N(F1013)+N(G1013)</f>
        <v>18880</v>
      </c>
      <c r="J1013" s="42" t="n">
        <f aca="false">ROUND(IFERROR(ROUND(IF(OR(ISNUMBER(SEARCH("week",C1013)),ISNUMBER(SEARCH("minggu",C1013))),IFERROR(_xlfn.NUMBERVALUE(SUBSTITUTE(LEFT(TRIM(C1013),FIND(" ",TRIM(C1013)&amp;" ")-1),",","."),"."),LEFT(SUBSTITUTE(LEFT(TRIM(C1013),FIND(" ",TRIM(C1013)&amp;" ")-1),",","."),FIND("/",SUBSTITUTE(LEFT(TRIM(C1013),FIND(" ",TRIM(C1013)&amp;" ")-1),",","."))-1)/MID(SUBSTITUTE(LEFT(TRIM(C1013),FIND(" ",TRIM(C1013)&amp;" ")-1),",","."),FIND("/",SUBSTITUTE(LEFT(TRIM(C1013),FIND(" ",TRIM(C1013)&amp;" ")-1),",","."))+1,9))*12/52,IF(ISNUMBER(SEARCH("month",C1013)),IFERROR(_xlfn.NUMBERVALUE(SUBSTITUTE(LEFT(TRIM(C1013),FIND(" ",TRIM(C1013)&amp;" ")-1),",","."),"."),LEFT(SUBSTITUTE(LEFT(TRIM(C1013),FIND(" ",TRIM(C1013)&amp;" ")-1),",","."),FIND("/",SUBSTITUTE(LEFT(TRIM(C1013),FIND(" ",TRIM(C1013)&amp;" ")-1),",","."))-1)/MID(SUBSTITUTE(LEFT(TRIM(C1013),FIND(" ",TRIM(C1013)&amp;" ")-1),",","."),FIND("/",SUBSTITUTE(LEFT(TRIM(C1013),FIND(" ",TRIM(C1013)&amp;" ")-1),",","."))+1,9)),IF(ISNUMBER(SEARCH("yea",C1013)),IFERROR(_xlfn.NUMBERVALUE(SUBSTITUTE(LEFT(TRIM(C1013),FIND(" ",TRIM(C1013)&amp;" ")-1),",","."),"."),LEFT(SUBSTITUTE(LEFT(TRIM(C1013),FIND(" ",TRIM(C1013)&amp;" ")-1),",","."),FIND("/",SUBSTITUTE(LEFT(TRIM(C1013),FIND(" ",TRIM(C1013)&amp;" ")-1),",","."))-1)/MID(SUBSTITUTE(LEFT(TRIM(C1013),FIND(" ",TRIM(C1013)&amp;" ")-1),",","."),FIND("/",SUBSTITUTE(LEFT(TRIM(C1013),FIND(" ",TRIM(C1013)&amp;" ")-1),",","."))+1,9))*12,NA()))),0),48)*'Aturan &amp; Tarif'!$B$4,2)</f>
        <v>2725.44</v>
      </c>
      <c r="K1013" s="42" t="n">
        <f aca="false">'Aturan &amp; Tarif'!$B$5</f>
        <v>2050</v>
      </c>
      <c r="L1013" s="42" t="n">
        <f aca="false">'Aturan &amp; Tarif'!$B$6</f>
        <v>350</v>
      </c>
      <c r="M1013" s="35" t="n">
        <f aca="false">I1013+J1013+K1013+L1013</f>
        <v>24005.44</v>
      </c>
      <c r="N1013" s="45" t="s">
        <v>2572</v>
      </c>
    </row>
    <row r="1014" customFormat="false" ht="37.5" hidden="false" customHeight="true" outlineLevel="0" collapsed="false">
      <c r="A1014" s="39"/>
      <c r="B1014" s="40" t="s">
        <v>2605</v>
      </c>
      <c r="C1014" s="41" t="s">
        <v>191</v>
      </c>
      <c r="D1014" s="41" t="s">
        <v>108</v>
      </c>
      <c r="E1014" s="42" t="n">
        <v>9440</v>
      </c>
      <c r="F1014" s="42"/>
      <c r="G1014" s="42"/>
      <c r="H1014" s="43" t="n">
        <v>2</v>
      </c>
      <c r="I1014" s="34" t="n">
        <f aca="false">E1014*H1014+N(F1014)+N(G1014)</f>
        <v>18880</v>
      </c>
      <c r="J1014" s="42" t="n">
        <f aca="false">ROUND(IFERROR(ROUND(IF(OR(ISNUMBER(SEARCH("week",C1014)),ISNUMBER(SEARCH("minggu",C1014))),IFERROR(_xlfn.NUMBERVALUE(SUBSTITUTE(LEFT(TRIM(C1014),FIND(" ",TRIM(C1014)&amp;" ")-1),",","."),"."),LEFT(SUBSTITUTE(LEFT(TRIM(C1014),FIND(" ",TRIM(C1014)&amp;" ")-1),",","."),FIND("/",SUBSTITUTE(LEFT(TRIM(C1014),FIND(" ",TRIM(C1014)&amp;" ")-1),",","."))-1)/MID(SUBSTITUTE(LEFT(TRIM(C1014),FIND(" ",TRIM(C1014)&amp;" ")-1),",","."),FIND("/",SUBSTITUTE(LEFT(TRIM(C1014),FIND(" ",TRIM(C1014)&amp;" ")-1),",","."))+1,9))*12/52,IF(ISNUMBER(SEARCH("month",C1014)),IFERROR(_xlfn.NUMBERVALUE(SUBSTITUTE(LEFT(TRIM(C1014),FIND(" ",TRIM(C1014)&amp;" ")-1),",","."),"."),LEFT(SUBSTITUTE(LEFT(TRIM(C1014),FIND(" ",TRIM(C1014)&amp;" ")-1),",","."),FIND("/",SUBSTITUTE(LEFT(TRIM(C1014),FIND(" ",TRIM(C1014)&amp;" ")-1),",","."))-1)/MID(SUBSTITUTE(LEFT(TRIM(C1014),FIND(" ",TRIM(C1014)&amp;" ")-1),",","."),FIND("/",SUBSTITUTE(LEFT(TRIM(C1014),FIND(" ",TRIM(C1014)&amp;" ")-1),",","."))+1,9)),IF(ISNUMBER(SEARCH("yea",C1014)),IFERROR(_xlfn.NUMBERVALUE(SUBSTITUTE(LEFT(TRIM(C1014),FIND(" ",TRIM(C1014)&amp;" ")-1),",","."),"."),LEFT(SUBSTITUTE(LEFT(TRIM(C1014),FIND(" ",TRIM(C1014)&amp;" ")-1),",","."),FIND("/",SUBSTITUTE(LEFT(TRIM(C1014),FIND(" ",TRIM(C1014)&amp;" ")-1),",","."))-1)/MID(SUBSTITUTE(LEFT(TRIM(C1014),FIND(" ",TRIM(C1014)&amp;" ")-1),",","."),FIND("/",SUBSTITUTE(LEFT(TRIM(C1014),FIND(" ",TRIM(C1014)&amp;" ")-1),",","."))+1,9))*12,NA()))),0),48)*'Aturan &amp; Tarif'!$B$4,2)</f>
        <v>2725.44</v>
      </c>
      <c r="K1014" s="42" t="n">
        <f aca="false">'Aturan &amp; Tarif'!$B$5</f>
        <v>2050</v>
      </c>
      <c r="L1014" s="42" t="n">
        <f aca="false">'Aturan &amp; Tarif'!$B$6</f>
        <v>350</v>
      </c>
      <c r="M1014" s="35" t="n">
        <f aca="false">I1014+J1014+K1014+L1014</f>
        <v>24005.44</v>
      </c>
      <c r="N1014" s="45" t="s">
        <v>2572</v>
      </c>
    </row>
    <row r="1015" customFormat="false" ht="25.5" hidden="false" customHeight="true" outlineLevel="0" collapsed="false">
      <c r="A1015" s="39"/>
      <c r="B1015" s="40" t="s">
        <v>2606</v>
      </c>
      <c r="C1015" s="41" t="s">
        <v>191</v>
      </c>
      <c r="D1015" s="41" t="s">
        <v>108</v>
      </c>
      <c r="E1015" s="42" t="n">
        <v>9440</v>
      </c>
      <c r="F1015" s="42"/>
      <c r="G1015" s="42"/>
      <c r="H1015" s="43" t="n">
        <v>2</v>
      </c>
      <c r="I1015" s="34" t="n">
        <f aca="false">E1015*H1015+N(F1015)+N(G1015)</f>
        <v>18880</v>
      </c>
      <c r="J1015" s="42" t="n">
        <f aca="false">ROUND(IFERROR(ROUND(IF(OR(ISNUMBER(SEARCH("week",C1015)),ISNUMBER(SEARCH("minggu",C1015))),IFERROR(_xlfn.NUMBERVALUE(SUBSTITUTE(LEFT(TRIM(C1015),FIND(" ",TRIM(C1015)&amp;" ")-1),",","."),"."),LEFT(SUBSTITUTE(LEFT(TRIM(C1015),FIND(" ",TRIM(C1015)&amp;" ")-1),",","."),FIND("/",SUBSTITUTE(LEFT(TRIM(C1015),FIND(" ",TRIM(C1015)&amp;" ")-1),",","."))-1)/MID(SUBSTITUTE(LEFT(TRIM(C1015),FIND(" ",TRIM(C1015)&amp;" ")-1),",","."),FIND("/",SUBSTITUTE(LEFT(TRIM(C1015),FIND(" ",TRIM(C1015)&amp;" ")-1),",","."))+1,9))*12/52,IF(ISNUMBER(SEARCH("month",C1015)),IFERROR(_xlfn.NUMBERVALUE(SUBSTITUTE(LEFT(TRIM(C1015),FIND(" ",TRIM(C1015)&amp;" ")-1),",","."),"."),LEFT(SUBSTITUTE(LEFT(TRIM(C1015),FIND(" ",TRIM(C1015)&amp;" ")-1),",","."),FIND("/",SUBSTITUTE(LEFT(TRIM(C1015),FIND(" ",TRIM(C1015)&amp;" ")-1),",","."))-1)/MID(SUBSTITUTE(LEFT(TRIM(C1015),FIND(" ",TRIM(C1015)&amp;" ")-1),",","."),FIND("/",SUBSTITUTE(LEFT(TRIM(C1015),FIND(" ",TRIM(C1015)&amp;" ")-1),",","."))+1,9)),IF(ISNUMBER(SEARCH("yea",C1015)),IFERROR(_xlfn.NUMBERVALUE(SUBSTITUTE(LEFT(TRIM(C1015),FIND(" ",TRIM(C1015)&amp;" ")-1),",","."),"."),LEFT(SUBSTITUTE(LEFT(TRIM(C1015),FIND(" ",TRIM(C1015)&amp;" ")-1),",","."),FIND("/",SUBSTITUTE(LEFT(TRIM(C1015),FIND(" ",TRIM(C1015)&amp;" ")-1),",","."))-1)/MID(SUBSTITUTE(LEFT(TRIM(C1015),FIND(" ",TRIM(C1015)&amp;" ")-1),",","."),FIND("/",SUBSTITUTE(LEFT(TRIM(C1015),FIND(" ",TRIM(C1015)&amp;" ")-1),",","."))+1,9))*12,NA()))),0),48)*'Aturan &amp; Tarif'!$B$4,2)</f>
        <v>2725.44</v>
      </c>
      <c r="K1015" s="42" t="n">
        <f aca="false">'Aturan &amp; Tarif'!$B$5</f>
        <v>2050</v>
      </c>
      <c r="L1015" s="42" t="n">
        <f aca="false">'Aturan &amp; Tarif'!$B$6</f>
        <v>350</v>
      </c>
      <c r="M1015" s="35" t="n">
        <f aca="false">I1015+J1015+K1015+L1015</f>
        <v>24005.44</v>
      </c>
      <c r="N1015" s="45" t="s">
        <v>2572</v>
      </c>
    </row>
    <row r="1016" customFormat="false" ht="37.5" hidden="false" customHeight="true" outlineLevel="0" collapsed="false">
      <c r="A1016" s="39"/>
      <c r="B1016" s="40" t="s">
        <v>2607</v>
      </c>
      <c r="C1016" s="41" t="s">
        <v>191</v>
      </c>
      <c r="D1016" s="41" t="s">
        <v>108</v>
      </c>
      <c r="E1016" s="42" t="n">
        <v>9440</v>
      </c>
      <c r="F1016" s="42"/>
      <c r="G1016" s="42"/>
      <c r="H1016" s="43" t="n">
        <v>2</v>
      </c>
      <c r="I1016" s="34" t="n">
        <f aca="false">E1016*H1016+N(F1016)+N(G1016)</f>
        <v>18880</v>
      </c>
      <c r="J1016" s="42" t="n">
        <f aca="false">ROUND(IFERROR(ROUND(IF(OR(ISNUMBER(SEARCH("week",C1016)),ISNUMBER(SEARCH("minggu",C1016))),IFERROR(_xlfn.NUMBERVALUE(SUBSTITUTE(LEFT(TRIM(C1016),FIND(" ",TRIM(C1016)&amp;" ")-1),",","."),"."),LEFT(SUBSTITUTE(LEFT(TRIM(C1016),FIND(" ",TRIM(C1016)&amp;" ")-1),",","."),FIND("/",SUBSTITUTE(LEFT(TRIM(C1016),FIND(" ",TRIM(C1016)&amp;" ")-1),",","."))-1)/MID(SUBSTITUTE(LEFT(TRIM(C1016),FIND(" ",TRIM(C1016)&amp;" ")-1),",","."),FIND("/",SUBSTITUTE(LEFT(TRIM(C1016),FIND(" ",TRIM(C1016)&amp;" ")-1),",","."))+1,9))*12/52,IF(ISNUMBER(SEARCH("month",C1016)),IFERROR(_xlfn.NUMBERVALUE(SUBSTITUTE(LEFT(TRIM(C1016),FIND(" ",TRIM(C1016)&amp;" ")-1),",","."),"."),LEFT(SUBSTITUTE(LEFT(TRIM(C1016),FIND(" ",TRIM(C1016)&amp;" ")-1),",","."),FIND("/",SUBSTITUTE(LEFT(TRIM(C1016),FIND(" ",TRIM(C1016)&amp;" ")-1),",","."))-1)/MID(SUBSTITUTE(LEFT(TRIM(C1016),FIND(" ",TRIM(C1016)&amp;" ")-1),",","."),FIND("/",SUBSTITUTE(LEFT(TRIM(C1016),FIND(" ",TRIM(C1016)&amp;" ")-1),",","."))+1,9)),IF(ISNUMBER(SEARCH("yea",C1016)),IFERROR(_xlfn.NUMBERVALUE(SUBSTITUTE(LEFT(TRIM(C1016),FIND(" ",TRIM(C1016)&amp;" ")-1),",","."),"."),LEFT(SUBSTITUTE(LEFT(TRIM(C1016),FIND(" ",TRIM(C1016)&amp;" ")-1),",","."),FIND("/",SUBSTITUTE(LEFT(TRIM(C1016),FIND(" ",TRIM(C1016)&amp;" ")-1),",","."))-1)/MID(SUBSTITUTE(LEFT(TRIM(C1016),FIND(" ",TRIM(C1016)&amp;" ")-1),",","."),FIND("/",SUBSTITUTE(LEFT(TRIM(C1016),FIND(" ",TRIM(C1016)&amp;" ")-1),",","."))+1,9))*12,NA()))),0),48)*'Aturan &amp; Tarif'!$B$4,2)</f>
        <v>2725.44</v>
      </c>
      <c r="K1016" s="42" t="n">
        <f aca="false">'Aturan &amp; Tarif'!$B$5</f>
        <v>2050</v>
      </c>
      <c r="L1016" s="42" t="n">
        <f aca="false">'Aturan &amp; Tarif'!$B$6</f>
        <v>350</v>
      </c>
      <c r="M1016" s="35" t="n">
        <f aca="false">I1016+J1016+K1016+L1016</f>
        <v>24005.44</v>
      </c>
      <c r="N1016" s="45" t="s">
        <v>2572</v>
      </c>
    </row>
    <row r="1017" customFormat="false" ht="37.5" hidden="false" customHeight="true" outlineLevel="0" collapsed="false">
      <c r="A1017" s="39"/>
      <c r="B1017" s="40" t="s">
        <v>2608</v>
      </c>
      <c r="C1017" s="41" t="s">
        <v>191</v>
      </c>
      <c r="D1017" s="41" t="s">
        <v>108</v>
      </c>
      <c r="E1017" s="42" t="n">
        <v>9539</v>
      </c>
      <c r="F1017" s="42"/>
      <c r="G1017" s="42"/>
      <c r="H1017" s="43" t="n">
        <v>2</v>
      </c>
      <c r="I1017" s="34" t="n">
        <f aca="false">E1017*H1017+N(F1017)+N(G1017)</f>
        <v>19078</v>
      </c>
      <c r="J1017" s="42" t="n">
        <f aca="false">ROUND(IFERROR(ROUND(IF(OR(ISNUMBER(SEARCH("week",C1017)),ISNUMBER(SEARCH("minggu",C1017))),IFERROR(_xlfn.NUMBERVALUE(SUBSTITUTE(LEFT(TRIM(C1017),FIND(" ",TRIM(C1017)&amp;" ")-1),",","."),"."),LEFT(SUBSTITUTE(LEFT(TRIM(C1017),FIND(" ",TRIM(C1017)&amp;" ")-1),",","."),FIND("/",SUBSTITUTE(LEFT(TRIM(C1017),FIND(" ",TRIM(C1017)&amp;" ")-1),",","."))-1)/MID(SUBSTITUTE(LEFT(TRIM(C1017),FIND(" ",TRIM(C1017)&amp;" ")-1),",","."),FIND("/",SUBSTITUTE(LEFT(TRIM(C1017),FIND(" ",TRIM(C1017)&amp;" ")-1),",","."))+1,9))*12/52,IF(ISNUMBER(SEARCH("month",C1017)),IFERROR(_xlfn.NUMBERVALUE(SUBSTITUTE(LEFT(TRIM(C1017),FIND(" ",TRIM(C1017)&amp;" ")-1),",","."),"."),LEFT(SUBSTITUTE(LEFT(TRIM(C1017),FIND(" ",TRIM(C1017)&amp;" ")-1),",","."),FIND("/",SUBSTITUTE(LEFT(TRIM(C1017),FIND(" ",TRIM(C1017)&amp;" ")-1),",","."))-1)/MID(SUBSTITUTE(LEFT(TRIM(C1017),FIND(" ",TRIM(C1017)&amp;" ")-1),",","."),FIND("/",SUBSTITUTE(LEFT(TRIM(C1017),FIND(" ",TRIM(C1017)&amp;" ")-1),",","."))+1,9)),IF(ISNUMBER(SEARCH("yea",C1017)),IFERROR(_xlfn.NUMBERVALUE(SUBSTITUTE(LEFT(TRIM(C1017),FIND(" ",TRIM(C1017)&amp;" ")-1),",","."),"."),LEFT(SUBSTITUTE(LEFT(TRIM(C1017),FIND(" ",TRIM(C1017)&amp;" ")-1),",","."),FIND("/",SUBSTITUTE(LEFT(TRIM(C1017),FIND(" ",TRIM(C1017)&amp;" ")-1),",","."))-1)/MID(SUBSTITUTE(LEFT(TRIM(C1017),FIND(" ",TRIM(C1017)&amp;" ")-1),",","."),FIND("/",SUBSTITUTE(LEFT(TRIM(C1017),FIND(" ",TRIM(C1017)&amp;" ")-1),",","."))+1,9))*12,NA()))),0),48)*'Aturan &amp; Tarif'!$B$4,2)</f>
        <v>2725.44</v>
      </c>
      <c r="K1017" s="42" t="n">
        <f aca="false">'Aturan &amp; Tarif'!$B$5</f>
        <v>2050</v>
      </c>
      <c r="L1017" s="42" t="n">
        <f aca="false">'Aturan &amp; Tarif'!$B$6</f>
        <v>350</v>
      </c>
      <c r="M1017" s="35" t="n">
        <f aca="false">I1017+J1017+K1017+L1017</f>
        <v>24203.44</v>
      </c>
      <c r="N1017" s="45" t="s">
        <v>2572</v>
      </c>
    </row>
    <row r="1018" customFormat="false" ht="37.5" hidden="false" customHeight="true" outlineLevel="0" collapsed="false">
      <c r="A1018" s="39"/>
      <c r="B1018" s="40" t="s">
        <v>2609</v>
      </c>
      <c r="C1018" s="41" t="s">
        <v>245</v>
      </c>
      <c r="D1018" s="41" t="s">
        <v>108</v>
      </c>
      <c r="E1018" s="42" t="n">
        <v>9539</v>
      </c>
      <c r="F1018" s="42"/>
      <c r="G1018" s="42"/>
      <c r="H1018" s="43" t="n">
        <v>2</v>
      </c>
      <c r="I1018" s="34" t="n">
        <f aca="false">E1018*H1018+N(F1018)+N(G1018)</f>
        <v>19078</v>
      </c>
      <c r="J1018" s="42" t="n">
        <f aca="false">ROUND(IFERROR(ROUND(IF(OR(ISNUMBER(SEARCH("week",C1018)),ISNUMBER(SEARCH("minggu",C1018))),IFERROR(_xlfn.NUMBERVALUE(SUBSTITUTE(LEFT(TRIM(C1018),FIND(" ",TRIM(C1018)&amp;" ")-1),",","."),"."),LEFT(SUBSTITUTE(LEFT(TRIM(C1018),FIND(" ",TRIM(C1018)&amp;" ")-1),",","."),FIND("/",SUBSTITUTE(LEFT(TRIM(C1018),FIND(" ",TRIM(C1018)&amp;" ")-1),",","."))-1)/MID(SUBSTITUTE(LEFT(TRIM(C1018),FIND(" ",TRIM(C1018)&amp;" ")-1),",","."),FIND("/",SUBSTITUTE(LEFT(TRIM(C1018),FIND(" ",TRIM(C1018)&amp;" ")-1),",","."))+1,9))*12/52,IF(ISNUMBER(SEARCH("month",C1018)),IFERROR(_xlfn.NUMBERVALUE(SUBSTITUTE(LEFT(TRIM(C1018),FIND(" ",TRIM(C1018)&amp;" ")-1),",","."),"."),LEFT(SUBSTITUTE(LEFT(TRIM(C1018),FIND(" ",TRIM(C1018)&amp;" ")-1),",","."),FIND("/",SUBSTITUTE(LEFT(TRIM(C1018),FIND(" ",TRIM(C1018)&amp;" ")-1),",","."))-1)/MID(SUBSTITUTE(LEFT(TRIM(C1018),FIND(" ",TRIM(C1018)&amp;" ")-1),",","."),FIND("/",SUBSTITUTE(LEFT(TRIM(C1018),FIND(" ",TRIM(C1018)&amp;" ")-1),",","."))+1,9)),IF(ISNUMBER(SEARCH("yea",C1018)),IFERROR(_xlfn.NUMBERVALUE(SUBSTITUTE(LEFT(TRIM(C1018),FIND(" ",TRIM(C1018)&amp;" ")-1),",","."),"."),LEFT(SUBSTITUTE(LEFT(TRIM(C1018),FIND(" ",TRIM(C1018)&amp;" ")-1),",","."),FIND("/",SUBSTITUTE(LEFT(TRIM(C1018),FIND(" ",TRIM(C1018)&amp;" ")-1),",","."))-1)/MID(SUBSTITUTE(LEFT(TRIM(C1018),FIND(" ",TRIM(C1018)&amp;" ")-1),",","."),FIND("/",SUBSTITUTE(LEFT(TRIM(C1018),FIND(" ",TRIM(C1018)&amp;" ")-1),",","."))+1,9))*12,NA()))),0),60)*'Aturan &amp; Tarif'!$B$4,2)</f>
        <v>3406.8</v>
      </c>
      <c r="K1018" s="42" t="n">
        <f aca="false">'Aturan &amp; Tarif'!$B$5</f>
        <v>2050</v>
      </c>
      <c r="L1018" s="42" t="n">
        <f aca="false">'Aturan &amp; Tarif'!$B$6</f>
        <v>350</v>
      </c>
      <c r="M1018" s="35" t="n">
        <f aca="false">I1018+J1018+K1018+L1018</f>
        <v>24884.8</v>
      </c>
      <c r="N1018" s="45" t="s">
        <v>2572</v>
      </c>
    </row>
    <row r="1019" customFormat="false" ht="37.5" hidden="false" customHeight="true" outlineLevel="0" collapsed="false">
      <c r="A1019" s="39"/>
      <c r="B1019" s="40" t="s">
        <v>2610</v>
      </c>
      <c r="C1019" s="41" t="s">
        <v>245</v>
      </c>
      <c r="D1019" s="41" t="s">
        <v>108</v>
      </c>
      <c r="E1019" s="42" t="n">
        <v>9539</v>
      </c>
      <c r="F1019" s="42"/>
      <c r="G1019" s="42"/>
      <c r="H1019" s="43" t="n">
        <v>2</v>
      </c>
      <c r="I1019" s="34" t="n">
        <f aca="false">E1019*H1019+N(F1019)+N(G1019)</f>
        <v>19078</v>
      </c>
      <c r="J1019" s="42" t="n">
        <f aca="false">ROUND(IFERROR(ROUND(IF(OR(ISNUMBER(SEARCH("week",C1019)),ISNUMBER(SEARCH("minggu",C1019))),IFERROR(_xlfn.NUMBERVALUE(SUBSTITUTE(LEFT(TRIM(C1019),FIND(" ",TRIM(C1019)&amp;" ")-1),",","."),"."),LEFT(SUBSTITUTE(LEFT(TRIM(C1019),FIND(" ",TRIM(C1019)&amp;" ")-1),",","."),FIND("/",SUBSTITUTE(LEFT(TRIM(C1019),FIND(" ",TRIM(C1019)&amp;" ")-1),",","."))-1)/MID(SUBSTITUTE(LEFT(TRIM(C1019),FIND(" ",TRIM(C1019)&amp;" ")-1),",","."),FIND("/",SUBSTITUTE(LEFT(TRIM(C1019),FIND(" ",TRIM(C1019)&amp;" ")-1),",","."))+1,9))*12/52,IF(ISNUMBER(SEARCH("month",C1019)),IFERROR(_xlfn.NUMBERVALUE(SUBSTITUTE(LEFT(TRIM(C1019),FIND(" ",TRIM(C1019)&amp;" ")-1),",","."),"."),LEFT(SUBSTITUTE(LEFT(TRIM(C1019),FIND(" ",TRIM(C1019)&amp;" ")-1),",","."),FIND("/",SUBSTITUTE(LEFT(TRIM(C1019),FIND(" ",TRIM(C1019)&amp;" ")-1),",","."))-1)/MID(SUBSTITUTE(LEFT(TRIM(C1019),FIND(" ",TRIM(C1019)&amp;" ")-1),",","."),FIND("/",SUBSTITUTE(LEFT(TRIM(C1019),FIND(" ",TRIM(C1019)&amp;" ")-1),",","."))+1,9)),IF(ISNUMBER(SEARCH("yea",C1019)),IFERROR(_xlfn.NUMBERVALUE(SUBSTITUTE(LEFT(TRIM(C1019),FIND(" ",TRIM(C1019)&amp;" ")-1),",","."),"."),LEFT(SUBSTITUTE(LEFT(TRIM(C1019),FIND(" ",TRIM(C1019)&amp;" ")-1),",","."),FIND("/",SUBSTITUTE(LEFT(TRIM(C1019),FIND(" ",TRIM(C1019)&amp;" ")-1),",","."))-1)/MID(SUBSTITUTE(LEFT(TRIM(C1019),FIND(" ",TRIM(C1019)&amp;" ")-1),",","."),FIND("/",SUBSTITUTE(LEFT(TRIM(C1019),FIND(" ",TRIM(C1019)&amp;" ")-1),",","."))+1,9))*12,NA()))),0),60)*'Aturan &amp; Tarif'!$B$4,2)</f>
        <v>3406.8</v>
      </c>
      <c r="K1019" s="42" t="n">
        <f aca="false">'Aturan &amp; Tarif'!$B$5</f>
        <v>2050</v>
      </c>
      <c r="L1019" s="42" t="n">
        <f aca="false">'Aturan &amp; Tarif'!$B$6</f>
        <v>350</v>
      </c>
      <c r="M1019" s="35" t="n">
        <f aca="false">I1019+J1019+K1019+L1019</f>
        <v>24884.8</v>
      </c>
      <c r="N1019" s="45" t="s">
        <v>2572</v>
      </c>
    </row>
    <row r="1020" customFormat="false" ht="37.5" hidden="false" customHeight="true" outlineLevel="0" collapsed="false">
      <c r="A1020" s="39"/>
      <c r="B1020" s="40" t="s">
        <v>2611</v>
      </c>
      <c r="C1020" s="41" t="s">
        <v>245</v>
      </c>
      <c r="D1020" s="41" t="s">
        <v>108</v>
      </c>
      <c r="E1020" s="42" t="n">
        <v>9539</v>
      </c>
      <c r="F1020" s="42"/>
      <c r="G1020" s="42"/>
      <c r="H1020" s="43" t="n">
        <v>2</v>
      </c>
      <c r="I1020" s="34" t="n">
        <f aca="false">E1020*H1020+N(F1020)+N(G1020)</f>
        <v>19078</v>
      </c>
      <c r="J1020" s="42" t="n">
        <f aca="false">ROUND(IFERROR(ROUND(IF(OR(ISNUMBER(SEARCH("week",C1020)),ISNUMBER(SEARCH("minggu",C1020))),IFERROR(_xlfn.NUMBERVALUE(SUBSTITUTE(LEFT(TRIM(C1020),FIND(" ",TRIM(C1020)&amp;" ")-1),",","."),"."),LEFT(SUBSTITUTE(LEFT(TRIM(C1020),FIND(" ",TRIM(C1020)&amp;" ")-1),",","."),FIND("/",SUBSTITUTE(LEFT(TRIM(C1020),FIND(" ",TRIM(C1020)&amp;" ")-1),",","."))-1)/MID(SUBSTITUTE(LEFT(TRIM(C1020),FIND(" ",TRIM(C1020)&amp;" ")-1),",","."),FIND("/",SUBSTITUTE(LEFT(TRIM(C1020),FIND(" ",TRIM(C1020)&amp;" ")-1),",","."))+1,9))*12/52,IF(ISNUMBER(SEARCH("month",C1020)),IFERROR(_xlfn.NUMBERVALUE(SUBSTITUTE(LEFT(TRIM(C1020),FIND(" ",TRIM(C1020)&amp;" ")-1),",","."),"."),LEFT(SUBSTITUTE(LEFT(TRIM(C1020),FIND(" ",TRIM(C1020)&amp;" ")-1),",","."),FIND("/",SUBSTITUTE(LEFT(TRIM(C1020),FIND(" ",TRIM(C1020)&amp;" ")-1),",","."))-1)/MID(SUBSTITUTE(LEFT(TRIM(C1020),FIND(" ",TRIM(C1020)&amp;" ")-1),",","."),FIND("/",SUBSTITUTE(LEFT(TRIM(C1020),FIND(" ",TRIM(C1020)&amp;" ")-1),",","."))+1,9)),IF(ISNUMBER(SEARCH("yea",C1020)),IFERROR(_xlfn.NUMBERVALUE(SUBSTITUTE(LEFT(TRIM(C1020),FIND(" ",TRIM(C1020)&amp;" ")-1),",","."),"."),LEFT(SUBSTITUTE(LEFT(TRIM(C1020),FIND(" ",TRIM(C1020)&amp;" ")-1),",","."),FIND("/",SUBSTITUTE(LEFT(TRIM(C1020),FIND(" ",TRIM(C1020)&amp;" ")-1),",","."))-1)/MID(SUBSTITUTE(LEFT(TRIM(C1020),FIND(" ",TRIM(C1020)&amp;" ")-1),",","."),FIND("/",SUBSTITUTE(LEFT(TRIM(C1020),FIND(" ",TRIM(C1020)&amp;" ")-1),",","."))+1,9))*12,NA()))),0),60)*'Aturan &amp; Tarif'!$B$4,2)</f>
        <v>3406.8</v>
      </c>
      <c r="K1020" s="42" t="n">
        <f aca="false">'Aturan &amp; Tarif'!$B$5</f>
        <v>2050</v>
      </c>
      <c r="L1020" s="42" t="n">
        <f aca="false">'Aturan &amp; Tarif'!$B$6</f>
        <v>350</v>
      </c>
      <c r="M1020" s="35" t="n">
        <f aca="false">I1020+J1020+K1020+L1020</f>
        <v>24884.8</v>
      </c>
      <c r="N1020" s="45" t="s">
        <v>2572</v>
      </c>
    </row>
    <row r="1021" customFormat="false" ht="25.5" hidden="false" customHeight="true" outlineLevel="0" collapsed="false">
      <c r="A1021" s="39"/>
      <c r="B1021" s="40" t="s">
        <v>2612</v>
      </c>
      <c r="C1021" s="41" t="s">
        <v>245</v>
      </c>
      <c r="D1021" s="41" t="s">
        <v>108</v>
      </c>
      <c r="E1021" s="42" t="n">
        <v>9539</v>
      </c>
      <c r="F1021" s="42"/>
      <c r="G1021" s="42"/>
      <c r="H1021" s="43" t="n">
        <v>2</v>
      </c>
      <c r="I1021" s="34" t="n">
        <f aca="false">E1021*H1021+N(F1021)+N(G1021)</f>
        <v>19078</v>
      </c>
      <c r="J1021" s="42" t="n">
        <f aca="false">ROUND(IFERROR(ROUND(IF(OR(ISNUMBER(SEARCH("week",C1021)),ISNUMBER(SEARCH("minggu",C1021))),IFERROR(_xlfn.NUMBERVALUE(SUBSTITUTE(LEFT(TRIM(C1021),FIND(" ",TRIM(C1021)&amp;" ")-1),",","."),"."),LEFT(SUBSTITUTE(LEFT(TRIM(C1021),FIND(" ",TRIM(C1021)&amp;" ")-1),",","."),FIND("/",SUBSTITUTE(LEFT(TRIM(C1021),FIND(" ",TRIM(C1021)&amp;" ")-1),",","."))-1)/MID(SUBSTITUTE(LEFT(TRIM(C1021),FIND(" ",TRIM(C1021)&amp;" ")-1),",","."),FIND("/",SUBSTITUTE(LEFT(TRIM(C1021),FIND(" ",TRIM(C1021)&amp;" ")-1),",","."))+1,9))*12/52,IF(ISNUMBER(SEARCH("month",C1021)),IFERROR(_xlfn.NUMBERVALUE(SUBSTITUTE(LEFT(TRIM(C1021),FIND(" ",TRIM(C1021)&amp;" ")-1),",","."),"."),LEFT(SUBSTITUTE(LEFT(TRIM(C1021),FIND(" ",TRIM(C1021)&amp;" ")-1),",","."),FIND("/",SUBSTITUTE(LEFT(TRIM(C1021),FIND(" ",TRIM(C1021)&amp;" ")-1),",","."))-1)/MID(SUBSTITUTE(LEFT(TRIM(C1021),FIND(" ",TRIM(C1021)&amp;" ")-1),",","."),FIND("/",SUBSTITUTE(LEFT(TRIM(C1021),FIND(" ",TRIM(C1021)&amp;" ")-1),",","."))+1,9)),IF(ISNUMBER(SEARCH("yea",C1021)),IFERROR(_xlfn.NUMBERVALUE(SUBSTITUTE(LEFT(TRIM(C1021),FIND(" ",TRIM(C1021)&amp;" ")-1),",","."),"."),LEFT(SUBSTITUTE(LEFT(TRIM(C1021),FIND(" ",TRIM(C1021)&amp;" ")-1),",","."),FIND("/",SUBSTITUTE(LEFT(TRIM(C1021),FIND(" ",TRIM(C1021)&amp;" ")-1),",","."))-1)/MID(SUBSTITUTE(LEFT(TRIM(C1021),FIND(" ",TRIM(C1021)&amp;" ")-1),",","."),FIND("/",SUBSTITUTE(LEFT(TRIM(C1021),FIND(" ",TRIM(C1021)&amp;" ")-1),",","."))+1,9))*12,NA()))),0),60)*'Aturan &amp; Tarif'!$B$4,2)</f>
        <v>3406.8</v>
      </c>
      <c r="K1021" s="42" t="n">
        <f aca="false">'Aturan &amp; Tarif'!$B$5</f>
        <v>2050</v>
      </c>
      <c r="L1021" s="42" t="n">
        <f aca="false">'Aturan &amp; Tarif'!$B$6</f>
        <v>350</v>
      </c>
      <c r="M1021" s="35" t="n">
        <f aca="false">I1021+J1021+K1021+L1021</f>
        <v>24884.8</v>
      </c>
      <c r="N1021" s="45" t="s">
        <v>2572</v>
      </c>
    </row>
    <row r="1022" customFormat="false" ht="25.5" hidden="false" customHeight="true" outlineLevel="0" collapsed="false">
      <c r="A1022" s="39"/>
      <c r="B1022" s="40" t="s">
        <v>2613</v>
      </c>
      <c r="C1022" s="41" t="s">
        <v>245</v>
      </c>
      <c r="D1022" s="41" t="s">
        <v>108</v>
      </c>
      <c r="E1022" s="42" t="n">
        <v>9539</v>
      </c>
      <c r="F1022" s="42"/>
      <c r="G1022" s="42"/>
      <c r="H1022" s="43" t="n">
        <v>2</v>
      </c>
      <c r="I1022" s="34" t="n">
        <f aca="false">E1022*H1022+N(F1022)+N(G1022)</f>
        <v>19078</v>
      </c>
      <c r="J1022" s="42" t="n">
        <f aca="false">ROUND(IFERROR(ROUND(IF(OR(ISNUMBER(SEARCH("week",C1022)),ISNUMBER(SEARCH("minggu",C1022))),IFERROR(_xlfn.NUMBERVALUE(SUBSTITUTE(LEFT(TRIM(C1022),FIND(" ",TRIM(C1022)&amp;" ")-1),",","."),"."),LEFT(SUBSTITUTE(LEFT(TRIM(C1022),FIND(" ",TRIM(C1022)&amp;" ")-1),",","."),FIND("/",SUBSTITUTE(LEFT(TRIM(C1022),FIND(" ",TRIM(C1022)&amp;" ")-1),",","."))-1)/MID(SUBSTITUTE(LEFT(TRIM(C1022),FIND(" ",TRIM(C1022)&amp;" ")-1),",","."),FIND("/",SUBSTITUTE(LEFT(TRIM(C1022),FIND(" ",TRIM(C1022)&amp;" ")-1),",","."))+1,9))*12/52,IF(ISNUMBER(SEARCH("month",C1022)),IFERROR(_xlfn.NUMBERVALUE(SUBSTITUTE(LEFT(TRIM(C1022),FIND(" ",TRIM(C1022)&amp;" ")-1),",","."),"."),LEFT(SUBSTITUTE(LEFT(TRIM(C1022),FIND(" ",TRIM(C1022)&amp;" ")-1),",","."),FIND("/",SUBSTITUTE(LEFT(TRIM(C1022),FIND(" ",TRIM(C1022)&amp;" ")-1),",","."))-1)/MID(SUBSTITUTE(LEFT(TRIM(C1022),FIND(" ",TRIM(C1022)&amp;" ")-1),",","."),FIND("/",SUBSTITUTE(LEFT(TRIM(C1022),FIND(" ",TRIM(C1022)&amp;" ")-1),",","."))+1,9)),IF(ISNUMBER(SEARCH("yea",C1022)),IFERROR(_xlfn.NUMBERVALUE(SUBSTITUTE(LEFT(TRIM(C1022),FIND(" ",TRIM(C1022)&amp;" ")-1),",","."),"."),LEFT(SUBSTITUTE(LEFT(TRIM(C1022),FIND(" ",TRIM(C1022)&amp;" ")-1),",","."),FIND("/",SUBSTITUTE(LEFT(TRIM(C1022),FIND(" ",TRIM(C1022)&amp;" ")-1),",","."))-1)/MID(SUBSTITUTE(LEFT(TRIM(C1022),FIND(" ",TRIM(C1022)&amp;" ")-1),",","."),FIND("/",SUBSTITUTE(LEFT(TRIM(C1022),FIND(" ",TRIM(C1022)&amp;" ")-1),",","."))+1,9))*12,NA()))),0),60)*'Aturan &amp; Tarif'!$B$4,2)</f>
        <v>3406.8</v>
      </c>
      <c r="K1022" s="42" t="n">
        <f aca="false">'Aturan &amp; Tarif'!$B$5</f>
        <v>2050</v>
      </c>
      <c r="L1022" s="42" t="n">
        <f aca="false">'Aturan &amp; Tarif'!$B$6</f>
        <v>350</v>
      </c>
      <c r="M1022" s="35" t="n">
        <f aca="false">I1022+J1022+K1022+L1022</f>
        <v>24884.8</v>
      </c>
      <c r="N1022" s="45" t="s">
        <v>2572</v>
      </c>
    </row>
    <row r="1023" customFormat="false" ht="37.5" hidden="false" customHeight="true" outlineLevel="0" collapsed="false">
      <c r="A1023" s="39"/>
      <c r="B1023" s="40" t="s">
        <v>2614</v>
      </c>
      <c r="C1023" s="41" t="s">
        <v>245</v>
      </c>
      <c r="D1023" s="41" t="s">
        <v>108</v>
      </c>
      <c r="E1023" s="42" t="n">
        <v>9539</v>
      </c>
      <c r="F1023" s="42"/>
      <c r="G1023" s="42"/>
      <c r="H1023" s="43" t="n">
        <v>2</v>
      </c>
      <c r="I1023" s="34" t="n">
        <f aca="false">E1023*H1023+N(F1023)+N(G1023)</f>
        <v>19078</v>
      </c>
      <c r="J1023" s="42" t="n">
        <f aca="false">ROUND(IFERROR(ROUND(IF(OR(ISNUMBER(SEARCH("week",C1023)),ISNUMBER(SEARCH("minggu",C1023))),IFERROR(_xlfn.NUMBERVALUE(SUBSTITUTE(LEFT(TRIM(C1023),FIND(" ",TRIM(C1023)&amp;" ")-1),",","."),"."),LEFT(SUBSTITUTE(LEFT(TRIM(C1023),FIND(" ",TRIM(C1023)&amp;" ")-1),",","."),FIND("/",SUBSTITUTE(LEFT(TRIM(C1023),FIND(" ",TRIM(C1023)&amp;" ")-1),",","."))-1)/MID(SUBSTITUTE(LEFT(TRIM(C1023),FIND(" ",TRIM(C1023)&amp;" ")-1),",","."),FIND("/",SUBSTITUTE(LEFT(TRIM(C1023),FIND(" ",TRIM(C1023)&amp;" ")-1),",","."))+1,9))*12/52,IF(ISNUMBER(SEARCH("month",C1023)),IFERROR(_xlfn.NUMBERVALUE(SUBSTITUTE(LEFT(TRIM(C1023),FIND(" ",TRIM(C1023)&amp;" ")-1),",","."),"."),LEFT(SUBSTITUTE(LEFT(TRIM(C1023),FIND(" ",TRIM(C1023)&amp;" ")-1),",","."),FIND("/",SUBSTITUTE(LEFT(TRIM(C1023),FIND(" ",TRIM(C1023)&amp;" ")-1),",","."))-1)/MID(SUBSTITUTE(LEFT(TRIM(C1023),FIND(" ",TRIM(C1023)&amp;" ")-1),",","."),FIND("/",SUBSTITUTE(LEFT(TRIM(C1023),FIND(" ",TRIM(C1023)&amp;" ")-1),",","."))+1,9)),IF(ISNUMBER(SEARCH("yea",C1023)),IFERROR(_xlfn.NUMBERVALUE(SUBSTITUTE(LEFT(TRIM(C1023),FIND(" ",TRIM(C1023)&amp;" ")-1),",","."),"."),LEFT(SUBSTITUTE(LEFT(TRIM(C1023),FIND(" ",TRIM(C1023)&amp;" ")-1),",","."),FIND("/",SUBSTITUTE(LEFT(TRIM(C1023),FIND(" ",TRIM(C1023)&amp;" ")-1),",","."))-1)/MID(SUBSTITUTE(LEFT(TRIM(C1023),FIND(" ",TRIM(C1023)&amp;" ")-1),",","."),FIND("/",SUBSTITUTE(LEFT(TRIM(C1023),FIND(" ",TRIM(C1023)&amp;" ")-1),",","."))+1,9))*12,NA()))),0),60)*'Aturan &amp; Tarif'!$B$4,2)</f>
        <v>3406.8</v>
      </c>
      <c r="K1023" s="42" t="n">
        <f aca="false">'Aturan &amp; Tarif'!$B$5</f>
        <v>2050</v>
      </c>
      <c r="L1023" s="42" t="n">
        <f aca="false">'Aturan &amp; Tarif'!$B$6</f>
        <v>350</v>
      </c>
      <c r="M1023" s="35" t="n">
        <f aca="false">I1023+J1023+K1023+L1023</f>
        <v>24884.8</v>
      </c>
      <c r="N1023" s="45" t="s">
        <v>2572</v>
      </c>
    </row>
    <row r="1024" customFormat="false" ht="25.5" hidden="false" customHeight="true" outlineLevel="0" collapsed="false">
      <c r="A1024" s="39"/>
      <c r="B1024" s="40" t="s">
        <v>2615</v>
      </c>
      <c r="C1024" s="41" t="s">
        <v>245</v>
      </c>
      <c r="D1024" s="41" t="s">
        <v>108</v>
      </c>
      <c r="E1024" s="42" t="n">
        <v>9539</v>
      </c>
      <c r="F1024" s="42"/>
      <c r="G1024" s="42"/>
      <c r="H1024" s="43" t="n">
        <v>2</v>
      </c>
      <c r="I1024" s="34" t="n">
        <f aca="false">E1024*H1024+N(F1024)+N(G1024)</f>
        <v>19078</v>
      </c>
      <c r="J1024" s="42" t="n">
        <f aca="false">ROUND(IFERROR(ROUND(IF(OR(ISNUMBER(SEARCH("week",C1024)),ISNUMBER(SEARCH("minggu",C1024))),IFERROR(_xlfn.NUMBERVALUE(SUBSTITUTE(LEFT(TRIM(C1024),FIND(" ",TRIM(C1024)&amp;" ")-1),",","."),"."),LEFT(SUBSTITUTE(LEFT(TRIM(C1024),FIND(" ",TRIM(C1024)&amp;" ")-1),",","."),FIND("/",SUBSTITUTE(LEFT(TRIM(C1024),FIND(" ",TRIM(C1024)&amp;" ")-1),",","."))-1)/MID(SUBSTITUTE(LEFT(TRIM(C1024),FIND(" ",TRIM(C1024)&amp;" ")-1),",","."),FIND("/",SUBSTITUTE(LEFT(TRIM(C1024),FIND(" ",TRIM(C1024)&amp;" ")-1),",","."))+1,9))*12/52,IF(ISNUMBER(SEARCH("month",C1024)),IFERROR(_xlfn.NUMBERVALUE(SUBSTITUTE(LEFT(TRIM(C1024),FIND(" ",TRIM(C1024)&amp;" ")-1),",","."),"."),LEFT(SUBSTITUTE(LEFT(TRIM(C1024),FIND(" ",TRIM(C1024)&amp;" ")-1),",","."),FIND("/",SUBSTITUTE(LEFT(TRIM(C1024),FIND(" ",TRIM(C1024)&amp;" ")-1),",","."))-1)/MID(SUBSTITUTE(LEFT(TRIM(C1024),FIND(" ",TRIM(C1024)&amp;" ")-1),",","."),FIND("/",SUBSTITUTE(LEFT(TRIM(C1024),FIND(" ",TRIM(C1024)&amp;" ")-1),",","."))+1,9)),IF(ISNUMBER(SEARCH("yea",C1024)),IFERROR(_xlfn.NUMBERVALUE(SUBSTITUTE(LEFT(TRIM(C1024),FIND(" ",TRIM(C1024)&amp;" ")-1),",","."),"."),LEFT(SUBSTITUTE(LEFT(TRIM(C1024),FIND(" ",TRIM(C1024)&amp;" ")-1),",","."),FIND("/",SUBSTITUTE(LEFT(TRIM(C1024),FIND(" ",TRIM(C1024)&amp;" ")-1),",","."))-1)/MID(SUBSTITUTE(LEFT(TRIM(C1024),FIND(" ",TRIM(C1024)&amp;" ")-1),",","."),FIND("/",SUBSTITUTE(LEFT(TRIM(C1024),FIND(" ",TRIM(C1024)&amp;" ")-1),",","."))+1,9))*12,NA()))),0),60)*'Aturan &amp; Tarif'!$B$4,2)</f>
        <v>3406.8</v>
      </c>
      <c r="K1024" s="42" t="n">
        <f aca="false">'Aturan &amp; Tarif'!$B$5</f>
        <v>2050</v>
      </c>
      <c r="L1024" s="42" t="n">
        <f aca="false">'Aturan &amp; Tarif'!$B$6</f>
        <v>350</v>
      </c>
      <c r="M1024" s="35" t="n">
        <f aca="false">I1024+J1024+K1024+L1024</f>
        <v>24884.8</v>
      </c>
      <c r="N1024" s="45" t="s">
        <v>2572</v>
      </c>
    </row>
    <row r="1025" customFormat="false" ht="25.5" hidden="false" customHeight="true" outlineLevel="0" collapsed="false">
      <c r="A1025" s="39"/>
      <c r="B1025" s="40" t="s">
        <v>2616</v>
      </c>
      <c r="C1025" s="41" t="s">
        <v>245</v>
      </c>
      <c r="D1025" s="41" t="s">
        <v>108</v>
      </c>
      <c r="E1025" s="42" t="n">
        <v>9539</v>
      </c>
      <c r="F1025" s="42"/>
      <c r="G1025" s="42"/>
      <c r="H1025" s="43" t="n">
        <v>2</v>
      </c>
      <c r="I1025" s="34" t="n">
        <f aca="false">E1025*H1025+N(F1025)+N(G1025)</f>
        <v>19078</v>
      </c>
      <c r="J1025" s="42" t="n">
        <f aca="false">ROUND(IFERROR(ROUND(IF(OR(ISNUMBER(SEARCH("week",C1025)),ISNUMBER(SEARCH("minggu",C1025))),IFERROR(_xlfn.NUMBERVALUE(SUBSTITUTE(LEFT(TRIM(C1025),FIND(" ",TRIM(C1025)&amp;" ")-1),",","."),"."),LEFT(SUBSTITUTE(LEFT(TRIM(C1025),FIND(" ",TRIM(C1025)&amp;" ")-1),",","."),FIND("/",SUBSTITUTE(LEFT(TRIM(C1025),FIND(" ",TRIM(C1025)&amp;" ")-1),",","."))-1)/MID(SUBSTITUTE(LEFT(TRIM(C1025),FIND(" ",TRIM(C1025)&amp;" ")-1),",","."),FIND("/",SUBSTITUTE(LEFT(TRIM(C1025),FIND(" ",TRIM(C1025)&amp;" ")-1),",","."))+1,9))*12/52,IF(ISNUMBER(SEARCH("month",C1025)),IFERROR(_xlfn.NUMBERVALUE(SUBSTITUTE(LEFT(TRIM(C1025),FIND(" ",TRIM(C1025)&amp;" ")-1),",","."),"."),LEFT(SUBSTITUTE(LEFT(TRIM(C1025),FIND(" ",TRIM(C1025)&amp;" ")-1),",","."),FIND("/",SUBSTITUTE(LEFT(TRIM(C1025),FIND(" ",TRIM(C1025)&amp;" ")-1),",","."))-1)/MID(SUBSTITUTE(LEFT(TRIM(C1025),FIND(" ",TRIM(C1025)&amp;" ")-1),",","."),FIND("/",SUBSTITUTE(LEFT(TRIM(C1025),FIND(" ",TRIM(C1025)&amp;" ")-1),",","."))+1,9)),IF(ISNUMBER(SEARCH("yea",C1025)),IFERROR(_xlfn.NUMBERVALUE(SUBSTITUTE(LEFT(TRIM(C1025),FIND(" ",TRIM(C1025)&amp;" ")-1),",","."),"."),LEFT(SUBSTITUTE(LEFT(TRIM(C1025),FIND(" ",TRIM(C1025)&amp;" ")-1),",","."),FIND("/",SUBSTITUTE(LEFT(TRIM(C1025),FIND(" ",TRIM(C1025)&amp;" ")-1),",","."))-1)/MID(SUBSTITUTE(LEFT(TRIM(C1025),FIND(" ",TRIM(C1025)&amp;" ")-1),",","."),FIND("/",SUBSTITUTE(LEFT(TRIM(C1025),FIND(" ",TRIM(C1025)&amp;" ")-1),",","."))+1,9))*12,NA()))),0),60)*'Aturan &amp; Tarif'!$B$4,2)</f>
        <v>3406.8</v>
      </c>
      <c r="K1025" s="42" t="n">
        <f aca="false">'Aturan &amp; Tarif'!$B$5</f>
        <v>2050</v>
      </c>
      <c r="L1025" s="42" t="n">
        <f aca="false">'Aturan &amp; Tarif'!$B$6</f>
        <v>350</v>
      </c>
      <c r="M1025" s="35" t="n">
        <f aca="false">I1025+J1025+K1025+L1025</f>
        <v>24884.8</v>
      </c>
      <c r="N1025" s="45" t="s">
        <v>2572</v>
      </c>
    </row>
    <row r="1026" customFormat="false" ht="37.5" hidden="false" customHeight="true" outlineLevel="0" collapsed="false">
      <c r="A1026" s="39"/>
      <c r="B1026" s="40" t="s">
        <v>2617</v>
      </c>
      <c r="C1026" s="41" t="s">
        <v>245</v>
      </c>
      <c r="D1026" s="41" t="s">
        <v>108</v>
      </c>
      <c r="E1026" s="42" t="n">
        <v>9539</v>
      </c>
      <c r="F1026" s="42"/>
      <c r="G1026" s="42"/>
      <c r="H1026" s="43" t="n">
        <v>2</v>
      </c>
      <c r="I1026" s="34" t="n">
        <f aca="false">E1026*H1026+N(F1026)+N(G1026)</f>
        <v>19078</v>
      </c>
      <c r="J1026" s="42" t="n">
        <f aca="false">ROUND(IFERROR(ROUND(IF(OR(ISNUMBER(SEARCH("week",C1026)),ISNUMBER(SEARCH("minggu",C1026))),IFERROR(_xlfn.NUMBERVALUE(SUBSTITUTE(LEFT(TRIM(C1026),FIND(" ",TRIM(C1026)&amp;" ")-1),",","."),"."),LEFT(SUBSTITUTE(LEFT(TRIM(C1026),FIND(" ",TRIM(C1026)&amp;" ")-1),",","."),FIND("/",SUBSTITUTE(LEFT(TRIM(C1026),FIND(" ",TRIM(C1026)&amp;" ")-1),",","."))-1)/MID(SUBSTITUTE(LEFT(TRIM(C1026),FIND(" ",TRIM(C1026)&amp;" ")-1),",","."),FIND("/",SUBSTITUTE(LEFT(TRIM(C1026),FIND(" ",TRIM(C1026)&amp;" ")-1),",","."))+1,9))*12/52,IF(ISNUMBER(SEARCH("month",C1026)),IFERROR(_xlfn.NUMBERVALUE(SUBSTITUTE(LEFT(TRIM(C1026),FIND(" ",TRIM(C1026)&amp;" ")-1),",","."),"."),LEFT(SUBSTITUTE(LEFT(TRIM(C1026),FIND(" ",TRIM(C1026)&amp;" ")-1),",","."),FIND("/",SUBSTITUTE(LEFT(TRIM(C1026),FIND(" ",TRIM(C1026)&amp;" ")-1),",","."))-1)/MID(SUBSTITUTE(LEFT(TRIM(C1026),FIND(" ",TRIM(C1026)&amp;" ")-1),",","."),FIND("/",SUBSTITUTE(LEFT(TRIM(C1026),FIND(" ",TRIM(C1026)&amp;" ")-1),",","."))+1,9)),IF(ISNUMBER(SEARCH("yea",C1026)),IFERROR(_xlfn.NUMBERVALUE(SUBSTITUTE(LEFT(TRIM(C1026),FIND(" ",TRIM(C1026)&amp;" ")-1),",","."),"."),LEFT(SUBSTITUTE(LEFT(TRIM(C1026),FIND(" ",TRIM(C1026)&amp;" ")-1),",","."),FIND("/",SUBSTITUTE(LEFT(TRIM(C1026),FIND(" ",TRIM(C1026)&amp;" ")-1),",","."))-1)/MID(SUBSTITUTE(LEFT(TRIM(C1026),FIND(" ",TRIM(C1026)&amp;" ")-1),",","."),FIND("/",SUBSTITUTE(LEFT(TRIM(C1026),FIND(" ",TRIM(C1026)&amp;" ")-1),",","."))+1,9))*12,NA()))),0),60)*'Aturan &amp; Tarif'!$B$4,2)</f>
        <v>3406.8</v>
      </c>
      <c r="K1026" s="42" t="n">
        <f aca="false">'Aturan &amp; Tarif'!$B$5</f>
        <v>2050</v>
      </c>
      <c r="L1026" s="42" t="n">
        <f aca="false">'Aturan &amp; Tarif'!$B$6</f>
        <v>350</v>
      </c>
      <c r="M1026" s="35" t="n">
        <f aca="false">I1026+J1026+K1026+L1026</f>
        <v>24884.8</v>
      </c>
      <c r="N1026" s="45" t="s">
        <v>2572</v>
      </c>
    </row>
    <row r="1027" customFormat="false" ht="83.25" hidden="false" customHeight="true" outlineLevel="0" collapsed="false">
      <c r="A1027" s="39"/>
      <c r="B1027" s="40" t="s">
        <v>2618</v>
      </c>
      <c r="C1027" s="41" t="s">
        <v>245</v>
      </c>
      <c r="D1027" s="41" t="s">
        <v>108</v>
      </c>
      <c r="E1027" s="42" t="n">
        <v>9539</v>
      </c>
      <c r="F1027" s="42"/>
      <c r="G1027" s="42"/>
      <c r="H1027" s="43" t="n">
        <v>2</v>
      </c>
      <c r="I1027" s="34" t="n">
        <f aca="false">E1027*H1027+N(F1027)+N(G1027)</f>
        <v>19078</v>
      </c>
      <c r="J1027" s="42" t="n">
        <f aca="false">ROUND(IFERROR(ROUND(IF(OR(ISNUMBER(SEARCH("week",C1027)),ISNUMBER(SEARCH("minggu",C1027))),IFERROR(_xlfn.NUMBERVALUE(SUBSTITUTE(LEFT(TRIM(C1027),FIND(" ",TRIM(C1027)&amp;" ")-1),",","."),"."),LEFT(SUBSTITUTE(LEFT(TRIM(C1027),FIND(" ",TRIM(C1027)&amp;" ")-1),",","."),FIND("/",SUBSTITUTE(LEFT(TRIM(C1027),FIND(" ",TRIM(C1027)&amp;" ")-1),",","."))-1)/MID(SUBSTITUTE(LEFT(TRIM(C1027),FIND(" ",TRIM(C1027)&amp;" ")-1),",","."),FIND("/",SUBSTITUTE(LEFT(TRIM(C1027),FIND(" ",TRIM(C1027)&amp;" ")-1),",","."))+1,9))*12/52,IF(ISNUMBER(SEARCH("month",C1027)),IFERROR(_xlfn.NUMBERVALUE(SUBSTITUTE(LEFT(TRIM(C1027),FIND(" ",TRIM(C1027)&amp;" ")-1),",","."),"."),LEFT(SUBSTITUTE(LEFT(TRIM(C1027),FIND(" ",TRIM(C1027)&amp;" ")-1),",","."),FIND("/",SUBSTITUTE(LEFT(TRIM(C1027),FIND(" ",TRIM(C1027)&amp;" ")-1),",","."))-1)/MID(SUBSTITUTE(LEFT(TRIM(C1027),FIND(" ",TRIM(C1027)&amp;" ")-1),",","."),FIND("/",SUBSTITUTE(LEFT(TRIM(C1027),FIND(" ",TRIM(C1027)&amp;" ")-1),",","."))+1,9)),IF(ISNUMBER(SEARCH("yea",C1027)),IFERROR(_xlfn.NUMBERVALUE(SUBSTITUTE(LEFT(TRIM(C1027),FIND(" ",TRIM(C1027)&amp;" ")-1),",","."),"."),LEFT(SUBSTITUTE(LEFT(TRIM(C1027),FIND(" ",TRIM(C1027)&amp;" ")-1),",","."),FIND("/",SUBSTITUTE(LEFT(TRIM(C1027),FIND(" ",TRIM(C1027)&amp;" ")-1),",","."))-1)/MID(SUBSTITUTE(LEFT(TRIM(C1027),FIND(" ",TRIM(C1027)&amp;" ")-1),",","."),FIND("/",SUBSTITUTE(LEFT(TRIM(C1027),FIND(" ",TRIM(C1027)&amp;" ")-1),",","."))+1,9))*12,NA()))),0),60)*'Aturan &amp; Tarif'!$B$4,2)</f>
        <v>3406.8</v>
      </c>
      <c r="K1027" s="42" t="n">
        <f aca="false">'Aturan &amp; Tarif'!$B$5</f>
        <v>2050</v>
      </c>
      <c r="L1027" s="42" t="n">
        <f aca="false">'Aturan &amp; Tarif'!$B$6</f>
        <v>350</v>
      </c>
      <c r="M1027" s="35" t="n">
        <f aca="false">I1027+J1027+K1027+L1027</f>
        <v>24884.8</v>
      </c>
      <c r="N1027" s="45" t="s">
        <v>2572</v>
      </c>
    </row>
    <row r="1028" customFormat="false" ht="48.75" hidden="false" customHeight="true" outlineLevel="0" collapsed="false">
      <c r="A1028" s="39"/>
      <c r="B1028" s="40" t="s">
        <v>2619</v>
      </c>
      <c r="C1028" s="41" t="s">
        <v>245</v>
      </c>
      <c r="D1028" s="41" t="s">
        <v>108</v>
      </c>
      <c r="E1028" s="42" t="n">
        <v>9539</v>
      </c>
      <c r="F1028" s="42"/>
      <c r="G1028" s="42"/>
      <c r="H1028" s="43" t="n">
        <v>2</v>
      </c>
      <c r="I1028" s="34" t="n">
        <f aca="false">E1028*H1028+N(F1028)+N(G1028)</f>
        <v>19078</v>
      </c>
      <c r="J1028" s="42" t="n">
        <f aca="false">ROUND(IFERROR(ROUND(IF(OR(ISNUMBER(SEARCH("week",C1028)),ISNUMBER(SEARCH("minggu",C1028))),IFERROR(_xlfn.NUMBERVALUE(SUBSTITUTE(LEFT(TRIM(C1028),FIND(" ",TRIM(C1028)&amp;" ")-1),",","."),"."),LEFT(SUBSTITUTE(LEFT(TRIM(C1028),FIND(" ",TRIM(C1028)&amp;" ")-1),",","."),FIND("/",SUBSTITUTE(LEFT(TRIM(C1028),FIND(" ",TRIM(C1028)&amp;" ")-1),",","."))-1)/MID(SUBSTITUTE(LEFT(TRIM(C1028),FIND(" ",TRIM(C1028)&amp;" ")-1),",","."),FIND("/",SUBSTITUTE(LEFT(TRIM(C1028),FIND(" ",TRIM(C1028)&amp;" ")-1),",","."))+1,9))*12/52,IF(ISNUMBER(SEARCH("month",C1028)),IFERROR(_xlfn.NUMBERVALUE(SUBSTITUTE(LEFT(TRIM(C1028),FIND(" ",TRIM(C1028)&amp;" ")-1),",","."),"."),LEFT(SUBSTITUTE(LEFT(TRIM(C1028),FIND(" ",TRIM(C1028)&amp;" ")-1),",","."),FIND("/",SUBSTITUTE(LEFT(TRIM(C1028),FIND(" ",TRIM(C1028)&amp;" ")-1),",","."))-1)/MID(SUBSTITUTE(LEFT(TRIM(C1028),FIND(" ",TRIM(C1028)&amp;" ")-1),",","."),FIND("/",SUBSTITUTE(LEFT(TRIM(C1028),FIND(" ",TRIM(C1028)&amp;" ")-1),",","."))+1,9)),IF(ISNUMBER(SEARCH("yea",C1028)),IFERROR(_xlfn.NUMBERVALUE(SUBSTITUTE(LEFT(TRIM(C1028),FIND(" ",TRIM(C1028)&amp;" ")-1),",","."),"."),LEFT(SUBSTITUTE(LEFT(TRIM(C1028),FIND(" ",TRIM(C1028)&amp;" ")-1),",","."),FIND("/",SUBSTITUTE(LEFT(TRIM(C1028),FIND(" ",TRIM(C1028)&amp;" ")-1),",","."))-1)/MID(SUBSTITUTE(LEFT(TRIM(C1028),FIND(" ",TRIM(C1028)&amp;" ")-1),",","."),FIND("/",SUBSTITUTE(LEFT(TRIM(C1028),FIND(" ",TRIM(C1028)&amp;" ")-1),",","."))+1,9))*12,NA()))),0),60)*'Aturan &amp; Tarif'!$B$4,2)</f>
        <v>3406.8</v>
      </c>
      <c r="K1028" s="42" t="n">
        <f aca="false">'Aturan &amp; Tarif'!$B$5</f>
        <v>2050</v>
      </c>
      <c r="L1028" s="42" t="n">
        <f aca="false">'Aturan &amp; Tarif'!$B$6</f>
        <v>350</v>
      </c>
      <c r="M1028" s="35" t="n">
        <f aca="false">I1028+J1028+K1028+L1028</f>
        <v>24884.8</v>
      </c>
      <c r="N1028" s="45" t="s">
        <v>2572</v>
      </c>
    </row>
    <row r="1029" customFormat="false" ht="83.25" hidden="false" customHeight="true" outlineLevel="0" collapsed="false">
      <c r="A1029" s="39"/>
      <c r="B1029" s="40" t="s">
        <v>2620</v>
      </c>
      <c r="C1029" s="41" t="s">
        <v>245</v>
      </c>
      <c r="D1029" s="41" t="s">
        <v>108</v>
      </c>
      <c r="E1029" s="42" t="n">
        <v>9539</v>
      </c>
      <c r="F1029" s="42"/>
      <c r="G1029" s="42"/>
      <c r="H1029" s="43" t="n">
        <v>2</v>
      </c>
      <c r="I1029" s="34" t="n">
        <f aca="false">E1029*H1029+N(F1029)+N(G1029)</f>
        <v>19078</v>
      </c>
      <c r="J1029" s="42" t="n">
        <f aca="false">ROUND(IFERROR(ROUND(IF(OR(ISNUMBER(SEARCH("week",C1029)),ISNUMBER(SEARCH("minggu",C1029))),IFERROR(_xlfn.NUMBERVALUE(SUBSTITUTE(LEFT(TRIM(C1029),FIND(" ",TRIM(C1029)&amp;" ")-1),",","."),"."),LEFT(SUBSTITUTE(LEFT(TRIM(C1029),FIND(" ",TRIM(C1029)&amp;" ")-1),",","."),FIND("/",SUBSTITUTE(LEFT(TRIM(C1029),FIND(" ",TRIM(C1029)&amp;" ")-1),",","."))-1)/MID(SUBSTITUTE(LEFT(TRIM(C1029),FIND(" ",TRIM(C1029)&amp;" ")-1),",","."),FIND("/",SUBSTITUTE(LEFT(TRIM(C1029),FIND(" ",TRIM(C1029)&amp;" ")-1),",","."))+1,9))*12/52,IF(ISNUMBER(SEARCH("month",C1029)),IFERROR(_xlfn.NUMBERVALUE(SUBSTITUTE(LEFT(TRIM(C1029),FIND(" ",TRIM(C1029)&amp;" ")-1),",","."),"."),LEFT(SUBSTITUTE(LEFT(TRIM(C1029),FIND(" ",TRIM(C1029)&amp;" ")-1),",","."),FIND("/",SUBSTITUTE(LEFT(TRIM(C1029),FIND(" ",TRIM(C1029)&amp;" ")-1),",","."))-1)/MID(SUBSTITUTE(LEFT(TRIM(C1029),FIND(" ",TRIM(C1029)&amp;" ")-1),",","."),FIND("/",SUBSTITUTE(LEFT(TRIM(C1029),FIND(" ",TRIM(C1029)&amp;" ")-1),",","."))+1,9)),IF(ISNUMBER(SEARCH("yea",C1029)),IFERROR(_xlfn.NUMBERVALUE(SUBSTITUTE(LEFT(TRIM(C1029),FIND(" ",TRIM(C1029)&amp;" ")-1),",","."),"."),LEFT(SUBSTITUTE(LEFT(TRIM(C1029),FIND(" ",TRIM(C1029)&amp;" ")-1),",","."),FIND("/",SUBSTITUTE(LEFT(TRIM(C1029),FIND(" ",TRIM(C1029)&amp;" ")-1),",","."))-1)/MID(SUBSTITUTE(LEFT(TRIM(C1029),FIND(" ",TRIM(C1029)&amp;" ")-1),",","."),FIND("/",SUBSTITUTE(LEFT(TRIM(C1029),FIND(" ",TRIM(C1029)&amp;" ")-1),",","."))+1,9))*12,NA()))),0),60)*'Aturan &amp; Tarif'!$B$4,2)</f>
        <v>3406.8</v>
      </c>
      <c r="K1029" s="42" t="n">
        <f aca="false">'Aturan &amp; Tarif'!$B$5</f>
        <v>2050</v>
      </c>
      <c r="L1029" s="42" t="n">
        <f aca="false">'Aturan &amp; Tarif'!$B$6</f>
        <v>350</v>
      </c>
      <c r="M1029" s="35" t="n">
        <f aca="false">I1029+J1029+K1029+L1029</f>
        <v>24884.8</v>
      </c>
      <c r="N1029" s="45" t="s">
        <v>2572</v>
      </c>
    </row>
    <row r="1030" customFormat="false" ht="83.25" hidden="false" customHeight="true" outlineLevel="0" collapsed="false">
      <c r="A1030" s="39"/>
      <c r="B1030" s="40" t="s">
        <v>2621</v>
      </c>
      <c r="C1030" s="41" t="s">
        <v>245</v>
      </c>
      <c r="D1030" s="41" t="s">
        <v>108</v>
      </c>
      <c r="E1030" s="42" t="n">
        <v>9539</v>
      </c>
      <c r="F1030" s="42"/>
      <c r="G1030" s="42"/>
      <c r="H1030" s="43" t="n">
        <v>2</v>
      </c>
      <c r="I1030" s="34" t="n">
        <f aca="false">E1030*H1030+N(F1030)+N(G1030)</f>
        <v>19078</v>
      </c>
      <c r="J1030" s="42" t="n">
        <f aca="false">ROUND(IFERROR(ROUND(IF(OR(ISNUMBER(SEARCH("week",C1030)),ISNUMBER(SEARCH("minggu",C1030))),IFERROR(_xlfn.NUMBERVALUE(SUBSTITUTE(LEFT(TRIM(C1030),FIND(" ",TRIM(C1030)&amp;" ")-1),",","."),"."),LEFT(SUBSTITUTE(LEFT(TRIM(C1030),FIND(" ",TRIM(C1030)&amp;" ")-1),",","."),FIND("/",SUBSTITUTE(LEFT(TRIM(C1030),FIND(" ",TRIM(C1030)&amp;" ")-1),",","."))-1)/MID(SUBSTITUTE(LEFT(TRIM(C1030),FIND(" ",TRIM(C1030)&amp;" ")-1),",","."),FIND("/",SUBSTITUTE(LEFT(TRIM(C1030),FIND(" ",TRIM(C1030)&amp;" ")-1),",","."))+1,9))*12/52,IF(ISNUMBER(SEARCH("month",C1030)),IFERROR(_xlfn.NUMBERVALUE(SUBSTITUTE(LEFT(TRIM(C1030),FIND(" ",TRIM(C1030)&amp;" ")-1),",","."),"."),LEFT(SUBSTITUTE(LEFT(TRIM(C1030),FIND(" ",TRIM(C1030)&amp;" ")-1),",","."),FIND("/",SUBSTITUTE(LEFT(TRIM(C1030),FIND(" ",TRIM(C1030)&amp;" ")-1),",","."))-1)/MID(SUBSTITUTE(LEFT(TRIM(C1030),FIND(" ",TRIM(C1030)&amp;" ")-1),",","."),FIND("/",SUBSTITUTE(LEFT(TRIM(C1030),FIND(" ",TRIM(C1030)&amp;" ")-1),",","."))+1,9)),IF(ISNUMBER(SEARCH("yea",C1030)),IFERROR(_xlfn.NUMBERVALUE(SUBSTITUTE(LEFT(TRIM(C1030),FIND(" ",TRIM(C1030)&amp;" ")-1),",","."),"."),LEFT(SUBSTITUTE(LEFT(TRIM(C1030),FIND(" ",TRIM(C1030)&amp;" ")-1),",","."),FIND("/",SUBSTITUTE(LEFT(TRIM(C1030),FIND(" ",TRIM(C1030)&amp;" ")-1),",","."))-1)/MID(SUBSTITUTE(LEFT(TRIM(C1030),FIND(" ",TRIM(C1030)&amp;" ")-1),",","."),FIND("/",SUBSTITUTE(LEFT(TRIM(C1030),FIND(" ",TRIM(C1030)&amp;" ")-1),",","."))+1,9))*12,NA()))),0),60)*'Aturan &amp; Tarif'!$B$4,2)</f>
        <v>3406.8</v>
      </c>
      <c r="K1030" s="42" t="n">
        <f aca="false">'Aturan &amp; Tarif'!$B$5</f>
        <v>2050</v>
      </c>
      <c r="L1030" s="42" t="n">
        <f aca="false">'Aturan &amp; Tarif'!$B$6</f>
        <v>350</v>
      </c>
      <c r="M1030" s="35" t="n">
        <f aca="false">I1030+J1030+K1030+L1030</f>
        <v>24884.8</v>
      </c>
      <c r="N1030" s="45" t="s">
        <v>2572</v>
      </c>
    </row>
    <row r="1031" customFormat="false" ht="25.5" hidden="false" customHeight="true" outlineLevel="0" collapsed="false">
      <c r="A1031" s="39"/>
      <c r="B1031" s="40" t="s">
        <v>2622</v>
      </c>
      <c r="C1031" s="41" t="s">
        <v>127</v>
      </c>
      <c r="D1031" s="41" t="s">
        <v>108</v>
      </c>
      <c r="E1031" s="42" t="n">
        <v>9263</v>
      </c>
      <c r="F1031" s="42"/>
      <c r="G1031" s="42"/>
      <c r="H1031" s="43" t="n">
        <v>2</v>
      </c>
      <c r="I1031" s="34" t="n">
        <f aca="false">E1031*H1031+N(F1031)+N(G1031)</f>
        <v>18526</v>
      </c>
      <c r="J1031" s="42" t="n">
        <f aca="false">ROUND(IFERROR(ROUND(IF(OR(ISNUMBER(SEARCH("week",C1031)),ISNUMBER(SEARCH("minggu",C1031))),IFERROR(_xlfn.NUMBERVALUE(SUBSTITUTE(LEFT(TRIM(C1031),FIND(" ",TRIM(C1031)&amp;" ")-1),",","."),"."),LEFT(SUBSTITUTE(LEFT(TRIM(C1031),FIND(" ",TRIM(C1031)&amp;" ")-1),",","."),FIND("/",SUBSTITUTE(LEFT(TRIM(C1031),FIND(" ",TRIM(C1031)&amp;" ")-1),",","."))-1)/MID(SUBSTITUTE(LEFT(TRIM(C1031),FIND(" ",TRIM(C1031)&amp;" ")-1),",","."),FIND("/",SUBSTITUTE(LEFT(TRIM(C1031),FIND(" ",TRIM(C1031)&amp;" ")-1),",","."))+1,9))*12/52,IF(ISNUMBER(SEARCH("month",C1031)),IFERROR(_xlfn.NUMBERVALUE(SUBSTITUTE(LEFT(TRIM(C1031),FIND(" ",TRIM(C1031)&amp;" ")-1),",","."),"."),LEFT(SUBSTITUTE(LEFT(TRIM(C1031),FIND(" ",TRIM(C1031)&amp;" ")-1),",","."),FIND("/",SUBSTITUTE(LEFT(TRIM(C1031),FIND(" ",TRIM(C1031)&amp;" ")-1),",","."))-1)/MID(SUBSTITUTE(LEFT(TRIM(C1031),FIND(" ",TRIM(C1031)&amp;" ")-1),",","."),FIND("/",SUBSTITUTE(LEFT(TRIM(C1031),FIND(" ",TRIM(C1031)&amp;" ")-1),",","."))+1,9)),IF(ISNUMBER(SEARCH("yea",C1031)),IFERROR(_xlfn.NUMBERVALUE(SUBSTITUTE(LEFT(TRIM(C1031),FIND(" ",TRIM(C1031)&amp;" ")-1),",","."),"."),LEFT(SUBSTITUTE(LEFT(TRIM(C1031),FIND(" ",TRIM(C1031)&amp;" ")-1),",","."),FIND("/",SUBSTITUTE(LEFT(TRIM(C1031),FIND(" ",TRIM(C1031)&amp;" ")-1),",","."))-1)/MID(SUBSTITUTE(LEFT(TRIM(C1031),FIND(" ",TRIM(C1031)&amp;" ")-1),",","."),FIND("/",SUBSTITUTE(LEFT(TRIM(C1031),FIND(" ",TRIM(C1031)&amp;" ")-1),",","."))+1,9))*12,NA()))),0),36)*'Aturan &amp; Tarif'!$B$4,2)</f>
        <v>2044.08</v>
      </c>
      <c r="K1031" s="42" t="n">
        <f aca="false">'Aturan &amp; Tarif'!$B$5</f>
        <v>2050</v>
      </c>
      <c r="L1031" s="42" t="n">
        <f aca="false">'Aturan &amp; Tarif'!$B$6</f>
        <v>350</v>
      </c>
      <c r="M1031" s="35" t="n">
        <f aca="false">I1031+J1031+K1031+L1031</f>
        <v>22970.08</v>
      </c>
      <c r="N1031" s="45" t="s">
        <v>2572</v>
      </c>
    </row>
    <row r="1032" customFormat="false" ht="25.5" hidden="false" customHeight="true" outlineLevel="0" collapsed="false">
      <c r="A1032" s="39"/>
      <c r="B1032" s="40" t="s">
        <v>2623</v>
      </c>
      <c r="C1032" s="41" t="s">
        <v>245</v>
      </c>
      <c r="D1032" s="41" t="s">
        <v>108</v>
      </c>
      <c r="E1032" s="42" t="n">
        <v>21380</v>
      </c>
      <c r="F1032" s="42"/>
      <c r="G1032" s="42"/>
      <c r="H1032" s="43" t="n">
        <v>2</v>
      </c>
      <c r="I1032" s="34" t="n">
        <f aca="false">E1032*H1032+N(F1032)+N(G1032)</f>
        <v>42760</v>
      </c>
      <c r="J1032" s="42" t="n">
        <f aca="false">ROUND(IFERROR(ROUND(IF(OR(ISNUMBER(SEARCH("week",C1032)),ISNUMBER(SEARCH("minggu",C1032))),IFERROR(_xlfn.NUMBERVALUE(SUBSTITUTE(LEFT(TRIM(C1032),FIND(" ",TRIM(C1032)&amp;" ")-1),",","."),"."),LEFT(SUBSTITUTE(LEFT(TRIM(C1032),FIND(" ",TRIM(C1032)&amp;" ")-1),",","."),FIND("/",SUBSTITUTE(LEFT(TRIM(C1032),FIND(" ",TRIM(C1032)&amp;" ")-1),",","."))-1)/MID(SUBSTITUTE(LEFT(TRIM(C1032),FIND(" ",TRIM(C1032)&amp;" ")-1),",","."),FIND("/",SUBSTITUTE(LEFT(TRIM(C1032),FIND(" ",TRIM(C1032)&amp;" ")-1),",","."))+1,9))*12/52,IF(ISNUMBER(SEARCH("month",C1032)),IFERROR(_xlfn.NUMBERVALUE(SUBSTITUTE(LEFT(TRIM(C1032),FIND(" ",TRIM(C1032)&amp;" ")-1),",","."),"."),LEFT(SUBSTITUTE(LEFT(TRIM(C1032),FIND(" ",TRIM(C1032)&amp;" ")-1),",","."),FIND("/",SUBSTITUTE(LEFT(TRIM(C1032),FIND(" ",TRIM(C1032)&amp;" ")-1),",","."))-1)/MID(SUBSTITUTE(LEFT(TRIM(C1032),FIND(" ",TRIM(C1032)&amp;" ")-1),",","."),FIND("/",SUBSTITUTE(LEFT(TRIM(C1032),FIND(" ",TRIM(C1032)&amp;" ")-1),",","."))+1,9)),IF(ISNUMBER(SEARCH("yea",C1032)),IFERROR(_xlfn.NUMBERVALUE(SUBSTITUTE(LEFT(TRIM(C1032),FIND(" ",TRIM(C1032)&amp;" ")-1),",","."),"."),LEFT(SUBSTITUTE(LEFT(TRIM(C1032),FIND(" ",TRIM(C1032)&amp;" ")-1),",","."),FIND("/",SUBSTITUTE(LEFT(TRIM(C1032),FIND(" ",TRIM(C1032)&amp;" ")-1),",","."))-1)/MID(SUBSTITUTE(LEFT(TRIM(C1032),FIND(" ",TRIM(C1032)&amp;" ")-1),",","."),FIND("/",SUBSTITUTE(LEFT(TRIM(C1032),FIND(" ",TRIM(C1032)&amp;" ")-1),",","."))+1,9))*12,NA()))),0),60)*'Aturan &amp; Tarif'!$B$4,2)</f>
        <v>3406.8</v>
      </c>
      <c r="K1032" s="42" t="n">
        <f aca="false">'Aturan &amp; Tarif'!$B$5</f>
        <v>2050</v>
      </c>
      <c r="L1032" s="42" t="n">
        <f aca="false">'Aturan &amp; Tarif'!$B$6</f>
        <v>350</v>
      </c>
      <c r="M1032" s="35" t="n">
        <f aca="false">I1032+J1032+K1032+L1032</f>
        <v>48566.8</v>
      </c>
      <c r="N1032" s="45" t="s">
        <v>2572</v>
      </c>
    </row>
    <row r="1033" customFormat="false" ht="25.5" hidden="false" customHeight="true" outlineLevel="0" collapsed="false">
      <c r="A1033" s="39"/>
      <c r="B1033" s="40" t="s">
        <v>2624</v>
      </c>
      <c r="C1033" s="41" t="s">
        <v>127</v>
      </c>
      <c r="D1033" s="41" t="s">
        <v>108</v>
      </c>
      <c r="E1033" s="42" t="n">
        <v>9709</v>
      </c>
      <c r="F1033" s="42"/>
      <c r="G1033" s="42"/>
      <c r="H1033" s="43" t="n">
        <v>2</v>
      </c>
      <c r="I1033" s="34" t="n">
        <f aca="false">E1033*H1033+N(F1033)+N(G1033)</f>
        <v>19418</v>
      </c>
      <c r="J1033" s="42" t="n">
        <f aca="false">ROUND(IFERROR(ROUND(IF(OR(ISNUMBER(SEARCH("week",C1033)),ISNUMBER(SEARCH("minggu",C1033))),IFERROR(_xlfn.NUMBERVALUE(SUBSTITUTE(LEFT(TRIM(C1033),FIND(" ",TRIM(C1033)&amp;" ")-1),",","."),"."),LEFT(SUBSTITUTE(LEFT(TRIM(C1033),FIND(" ",TRIM(C1033)&amp;" ")-1),",","."),FIND("/",SUBSTITUTE(LEFT(TRIM(C1033),FIND(" ",TRIM(C1033)&amp;" ")-1),",","."))-1)/MID(SUBSTITUTE(LEFT(TRIM(C1033),FIND(" ",TRIM(C1033)&amp;" ")-1),",","."),FIND("/",SUBSTITUTE(LEFT(TRIM(C1033),FIND(" ",TRIM(C1033)&amp;" ")-1),",","."))+1,9))*12/52,IF(ISNUMBER(SEARCH("month",C1033)),IFERROR(_xlfn.NUMBERVALUE(SUBSTITUTE(LEFT(TRIM(C1033),FIND(" ",TRIM(C1033)&amp;" ")-1),",","."),"."),LEFT(SUBSTITUTE(LEFT(TRIM(C1033),FIND(" ",TRIM(C1033)&amp;" ")-1),",","."),FIND("/",SUBSTITUTE(LEFT(TRIM(C1033),FIND(" ",TRIM(C1033)&amp;" ")-1),",","."))-1)/MID(SUBSTITUTE(LEFT(TRIM(C1033),FIND(" ",TRIM(C1033)&amp;" ")-1),",","."),FIND("/",SUBSTITUTE(LEFT(TRIM(C1033),FIND(" ",TRIM(C1033)&amp;" ")-1),",","."))+1,9)),IF(ISNUMBER(SEARCH("yea",C1033)),IFERROR(_xlfn.NUMBERVALUE(SUBSTITUTE(LEFT(TRIM(C1033),FIND(" ",TRIM(C1033)&amp;" ")-1),",","."),"."),LEFT(SUBSTITUTE(LEFT(TRIM(C1033),FIND(" ",TRIM(C1033)&amp;" ")-1),",","."),FIND("/",SUBSTITUTE(LEFT(TRIM(C1033),FIND(" ",TRIM(C1033)&amp;" ")-1),",","."))-1)/MID(SUBSTITUTE(LEFT(TRIM(C1033),FIND(" ",TRIM(C1033)&amp;" ")-1),",","."),FIND("/",SUBSTITUTE(LEFT(TRIM(C1033),FIND(" ",TRIM(C1033)&amp;" ")-1),",","."))+1,9))*12,NA()))),0),36)*'Aturan &amp; Tarif'!$B$4,2)</f>
        <v>2044.08</v>
      </c>
      <c r="K1033" s="42" t="n">
        <f aca="false">'Aturan &amp; Tarif'!$B$5</f>
        <v>2050</v>
      </c>
      <c r="L1033" s="42" t="n">
        <f aca="false">'Aturan &amp; Tarif'!$B$6</f>
        <v>350</v>
      </c>
      <c r="M1033" s="35" t="n">
        <f aca="false">I1033+J1033+K1033+L1033</f>
        <v>23862.08</v>
      </c>
      <c r="N1033" s="45" t="s">
        <v>2572</v>
      </c>
    </row>
    <row r="1034" customFormat="false" ht="25.5" hidden="false" customHeight="true" outlineLevel="0" collapsed="false">
      <c r="A1034" s="39"/>
      <c r="B1034" s="40" t="s">
        <v>2625</v>
      </c>
      <c r="C1034" s="41" t="s">
        <v>191</v>
      </c>
      <c r="D1034" s="41" t="s">
        <v>108</v>
      </c>
      <c r="E1034" s="42" t="n">
        <v>9263</v>
      </c>
      <c r="F1034" s="42"/>
      <c r="G1034" s="42"/>
      <c r="H1034" s="43" t="n">
        <v>2</v>
      </c>
      <c r="I1034" s="34" t="n">
        <f aca="false">E1034*H1034+N(F1034)+N(G1034)</f>
        <v>18526</v>
      </c>
      <c r="J1034" s="42" t="n">
        <f aca="false">ROUND(IFERROR(ROUND(IF(OR(ISNUMBER(SEARCH("week",C1034)),ISNUMBER(SEARCH("minggu",C1034))),IFERROR(_xlfn.NUMBERVALUE(SUBSTITUTE(LEFT(TRIM(C1034),FIND(" ",TRIM(C1034)&amp;" ")-1),",","."),"."),LEFT(SUBSTITUTE(LEFT(TRIM(C1034),FIND(" ",TRIM(C1034)&amp;" ")-1),",","."),FIND("/",SUBSTITUTE(LEFT(TRIM(C1034),FIND(" ",TRIM(C1034)&amp;" ")-1),",","."))-1)/MID(SUBSTITUTE(LEFT(TRIM(C1034),FIND(" ",TRIM(C1034)&amp;" ")-1),",","."),FIND("/",SUBSTITUTE(LEFT(TRIM(C1034),FIND(" ",TRIM(C1034)&amp;" ")-1),",","."))+1,9))*12/52,IF(ISNUMBER(SEARCH("month",C1034)),IFERROR(_xlfn.NUMBERVALUE(SUBSTITUTE(LEFT(TRIM(C1034),FIND(" ",TRIM(C1034)&amp;" ")-1),",","."),"."),LEFT(SUBSTITUTE(LEFT(TRIM(C1034),FIND(" ",TRIM(C1034)&amp;" ")-1),",","."),FIND("/",SUBSTITUTE(LEFT(TRIM(C1034),FIND(" ",TRIM(C1034)&amp;" ")-1),",","."))-1)/MID(SUBSTITUTE(LEFT(TRIM(C1034),FIND(" ",TRIM(C1034)&amp;" ")-1),",","."),FIND("/",SUBSTITUTE(LEFT(TRIM(C1034),FIND(" ",TRIM(C1034)&amp;" ")-1),",","."))+1,9)),IF(ISNUMBER(SEARCH("yea",C1034)),IFERROR(_xlfn.NUMBERVALUE(SUBSTITUTE(LEFT(TRIM(C1034),FIND(" ",TRIM(C1034)&amp;" ")-1),",","."),"."),LEFT(SUBSTITUTE(LEFT(TRIM(C1034),FIND(" ",TRIM(C1034)&amp;" ")-1),",","."),FIND("/",SUBSTITUTE(LEFT(TRIM(C1034),FIND(" ",TRIM(C1034)&amp;" ")-1),",","."))-1)/MID(SUBSTITUTE(LEFT(TRIM(C1034),FIND(" ",TRIM(C1034)&amp;" ")-1),",","."),FIND("/",SUBSTITUTE(LEFT(TRIM(C1034),FIND(" ",TRIM(C1034)&amp;" ")-1),",","."))+1,9))*12,NA()))),0),48)*'Aturan &amp; Tarif'!$B$4,2)</f>
        <v>2725.44</v>
      </c>
      <c r="K1034" s="42" t="n">
        <f aca="false">'Aturan &amp; Tarif'!$B$5</f>
        <v>2050</v>
      </c>
      <c r="L1034" s="42" t="n">
        <f aca="false">'Aturan &amp; Tarif'!$B$6</f>
        <v>350</v>
      </c>
      <c r="M1034" s="35" t="n">
        <f aca="false">I1034+J1034+K1034+L1034</f>
        <v>23651.44</v>
      </c>
      <c r="N1034" s="45" t="s">
        <v>2572</v>
      </c>
    </row>
    <row r="1035" customFormat="false" ht="25.5" hidden="false" customHeight="true" outlineLevel="0" collapsed="false">
      <c r="A1035" s="39"/>
      <c r="B1035" s="40" t="s">
        <v>2626</v>
      </c>
      <c r="C1035" s="41" t="s">
        <v>127</v>
      </c>
      <c r="D1035" s="41" t="s">
        <v>108</v>
      </c>
      <c r="E1035" s="42" t="n">
        <v>9263</v>
      </c>
      <c r="F1035" s="42"/>
      <c r="G1035" s="42"/>
      <c r="H1035" s="43" t="n">
        <v>2</v>
      </c>
      <c r="I1035" s="34" t="n">
        <f aca="false">E1035*H1035+N(F1035)+N(G1035)</f>
        <v>18526</v>
      </c>
      <c r="J1035" s="42" t="n">
        <f aca="false">ROUND(IFERROR(ROUND(IF(OR(ISNUMBER(SEARCH("week",C1035)),ISNUMBER(SEARCH("minggu",C1035))),IFERROR(_xlfn.NUMBERVALUE(SUBSTITUTE(LEFT(TRIM(C1035),FIND(" ",TRIM(C1035)&amp;" ")-1),",","."),"."),LEFT(SUBSTITUTE(LEFT(TRIM(C1035),FIND(" ",TRIM(C1035)&amp;" ")-1),",","."),FIND("/",SUBSTITUTE(LEFT(TRIM(C1035),FIND(" ",TRIM(C1035)&amp;" ")-1),",","."))-1)/MID(SUBSTITUTE(LEFT(TRIM(C1035),FIND(" ",TRIM(C1035)&amp;" ")-1),",","."),FIND("/",SUBSTITUTE(LEFT(TRIM(C1035),FIND(" ",TRIM(C1035)&amp;" ")-1),",","."))+1,9))*12/52,IF(ISNUMBER(SEARCH("month",C1035)),IFERROR(_xlfn.NUMBERVALUE(SUBSTITUTE(LEFT(TRIM(C1035),FIND(" ",TRIM(C1035)&amp;" ")-1),",","."),"."),LEFT(SUBSTITUTE(LEFT(TRIM(C1035),FIND(" ",TRIM(C1035)&amp;" ")-1),",","."),FIND("/",SUBSTITUTE(LEFT(TRIM(C1035),FIND(" ",TRIM(C1035)&amp;" ")-1),",","."))-1)/MID(SUBSTITUTE(LEFT(TRIM(C1035),FIND(" ",TRIM(C1035)&amp;" ")-1),",","."),FIND("/",SUBSTITUTE(LEFT(TRIM(C1035),FIND(" ",TRIM(C1035)&amp;" ")-1),",","."))+1,9)),IF(ISNUMBER(SEARCH("yea",C1035)),IFERROR(_xlfn.NUMBERVALUE(SUBSTITUTE(LEFT(TRIM(C1035),FIND(" ",TRIM(C1035)&amp;" ")-1),",","."),"."),LEFT(SUBSTITUTE(LEFT(TRIM(C1035),FIND(" ",TRIM(C1035)&amp;" ")-1),",","."),FIND("/",SUBSTITUTE(LEFT(TRIM(C1035),FIND(" ",TRIM(C1035)&amp;" ")-1),",","."))-1)/MID(SUBSTITUTE(LEFT(TRIM(C1035),FIND(" ",TRIM(C1035)&amp;" ")-1),",","."),FIND("/",SUBSTITUTE(LEFT(TRIM(C1035),FIND(" ",TRIM(C1035)&amp;" ")-1),",","."))+1,9))*12,NA()))),0),36)*'Aturan &amp; Tarif'!$B$4,2)</f>
        <v>2044.08</v>
      </c>
      <c r="K1035" s="42" t="n">
        <f aca="false">'Aturan &amp; Tarif'!$B$5</f>
        <v>2050</v>
      </c>
      <c r="L1035" s="42" t="n">
        <f aca="false">'Aturan &amp; Tarif'!$B$6</f>
        <v>350</v>
      </c>
      <c r="M1035" s="35" t="n">
        <f aca="false">I1035+J1035+K1035+L1035</f>
        <v>22970.08</v>
      </c>
      <c r="N1035" s="45" t="s">
        <v>2572</v>
      </c>
    </row>
    <row r="1036" customFormat="false" ht="83.25" hidden="false" customHeight="true" outlineLevel="0" collapsed="false">
      <c r="A1036" s="39"/>
      <c r="B1036" s="40" t="s">
        <v>2627</v>
      </c>
      <c r="C1036" s="41" t="s">
        <v>127</v>
      </c>
      <c r="D1036" s="41" t="s">
        <v>108</v>
      </c>
      <c r="E1036" s="42" t="n">
        <v>9908</v>
      </c>
      <c r="F1036" s="42"/>
      <c r="G1036" s="42"/>
      <c r="H1036" s="43" t="n">
        <v>2</v>
      </c>
      <c r="I1036" s="34" t="n">
        <f aca="false">E1036*H1036+N(F1036)+N(G1036)</f>
        <v>19816</v>
      </c>
      <c r="J1036" s="42" t="n">
        <f aca="false">ROUND(IFERROR(ROUND(IF(OR(ISNUMBER(SEARCH("week",C1036)),ISNUMBER(SEARCH("minggu",C1036))),IFERROR(_xlfn.NUMBERVALUE(SUBSTITUTE(LEFT(TRIM(C1036),FIND(" ",TRIM(C1036)&amp;" ")-1),",","."),"."),LEFT(SUBSTITUTE(LEFT(TRIM(C1036),FIND(" ",TRIM(C1036)&amp;" ")-1),",","."),FIND("/",SUBSTITUTE(LEFT(TRIM(C1036),FIND(" ",TRIM(C1036)&amp;" ")-1),",","."))-1)/MID(SUBSTITUTE(LEFT(TRIM(C1036),FIND(" ",TRIM(C1036)&amp;" ")-1),",","."),FIND("/",SUBSTITUTE(LEFT(TRIM(C1036),FIND(" ",TRIM(C1036)&amp;" ")-1),",","."))+1,9))*12/52,IF(ISNUMBER(SEARCH("month",C1036)),IFERROR(_xlfn.NUMBERVALUE(SUBSTITUTE(LEFT(TRIM(C1036),FIND(" ",TRIM(C1036)&amp;" ")-1),",","."),"."),LEFT(SUBSTITUTE(LEFT(TRIM(C1036),FIND(" ",TRIM(C1036)&amp;" ")-1),",","."),FIND("/",SUBSTITUTE(LEFT(TRIM(C1036),FIND(" ",TRIM(C1036)&amp;" ")-1),",","."))-1)/MID(SUBSTITUTE(LEFT(TRIM(C1036),FIND(" ",TRIM(C1036)&amp;" ")-1),",","."),FIND("/",SUBSTITUTE(LEFT(TRIM(C1036),FIND(" ",TRIM(C1036)&amp;" ")-1),",","."))+1,9)),IF(ISNUMBER(SEARCH("yea",C1036)),IFERROR(_xlfn.NUMBERVALUE(SUBSTITUTE(LEFT(TRIM(C1036),FIND(" ",TRIM(C1036)&amp;" ")-1),",","."),"."),LEFT(SUBSTITUTE(LEFT(TRIM(C1036),FIND(" ",TRIM(C1036)&amp;" ")-1),",","."),FIND("/",SUBSTITUTE(LEFT(TRIM(C1036),FIND(" ",TRIM(C1036)&amp;" ")-1),",","."))-1)/MID(SUBSTITUTE(LEFT(TRIM(C1036),FIND(" ",TRIM(C1036)&amp;" ")-1),",","."),FIND("/",SUBSTITUTE(LEFT(TRIM(C1036),FIND(" ",TRIM(C1036)&amp;" ")-1),",","."))+1,9))*12,NA()))),0),36)*'Aturan &amp; Tarif'!$B$4,2)</f>
        <v>2044.08</v>
      </c>
      <c r="K1036" s="42" t="n">
        <f aca="false">'Aturan &amp; Tarif'!$B$5</f>
        <v>2050</v>
      </c>
      <c r="L1036" s="42" t="n">
        <f aca="false">'Aturan &amp; Tarif'!$B$6</f>
        <v>350</v>
      </c>
      <c r="M1036" s="35" t="n">
        <f aca="false">I1036+J1036+K1036+L1036</f>
        <v>24260.08</v>
      </c>
      <c r="N1036" s="45" t="s">
        <v>2572</v>
      </c>
    </row>
    <row r="1037" customFormat="false" ht="25.5" hidden="false" customHeight="true" outlineLevel="0" collapsed="false">
      <c r="A1037" s="39"/>
      <c r="B1037" s="40" t="s">
        <v>2628</v>
      </c>
      <c r="C1037" s="41" t="s">
        <v>127</v>
      </c>
      <c r="D1037" s="41" t="s">
        <v>108</v>
      </c>
      <c r="E1037" s="42" t="n">
        <v>9908</v>
      </c>
      <c r="F1037" s="42"/>
      <c r="G1037" s="42"/>
      <c r="H1037" s="43" t="n">
        <v>2</v>
      </c>
      <c r="I1037" s="34" t="n">
        <f aca="false">E1037*H1037+N(F1037)+N(G1037)</f>
        <v>19816</v>
      </c>
      <c r="J1037" s="42" t="n">
        <f aca="false">ROUND(IFERROR(ROUND(IF(OR(ISNUMBER(SEARCH("week",C1037)),ISNUMBER(SEARCH("minggu",C1037))),IFERROR(_xlfn.NUMBERVALUE(SUBSTITUTE(LEFT(TRIM(C1037),FIND(" ",TRIM(C1037)&amp;" ")-1),",","."),"."),LEFT(SUBSTITUTE(LEFT(TRIM(C1037),FIND(" ",TRIM(C1037)&amp;" ")-1),",","."),FIND("/",SUBSTITUTE(LEFT(TRIM(C1037),FIND(" ",TRIM(C1037)&amp;" ")-1),",","."))-1)/MID(SUBSTITUTE(LEFT(TRIM(C1037),FIND(" ",TRIM(C1037)&amp;" ")-1),",","."),FIND("/",SUBSTITUTE(LEFT(TRIM(C1037),FIND(" ",TRIM(C1037)&amp;" ")-1),",","."))+1,9))*12/52,IF(ISNUMBER(SEARCH("month",C1037)),IFERROR(_xlfn.NUMBERVALUE(SUBSTITUTE(LEFT(TRIM(C1037),FIND(" ",TRIM(C1037)&amp;" ")-1),",","."),"."),LEFT(SUBSTITUTE(LEFT(TRIM(C1037),FIND(" ",TRIM(C1037)&amp;" ")-1),",","."),FIND("/",SUBSTITUTE(LEFT(TRIM(C1037),FIND(" ",TRIM(C1037)&amp;" ")-1),",","."))-1)/MID(SUBSTITUTE(LEFT(TRIM(C1037),FIND(" ",TRIM(C1037)&amp;" ")-1),",","."),FIND("/",SUBSTITUTE(LEFT(TRIM(C1037),FIND(" ",TRIM(C1037)&amp;" ")-1),",","."))+1,9)),IF(ISNUMBER(SEARCH("yea",C1037)),IFERROR(_xlfn.NUMBERVALUE(SUBSTITUTE(LEFT(TRIM(C1037),FIND(" ",TRIM(C1037)&amp;" ")-1),",","."),"."),LEFT(SUBSTITUTE(LEFT(TRIM(C1037),FIND(" ",TRIM(C1037)&amp;" ")-1),",","."),FIND("/",SUBSTITUTE(LEFT(TRIM(C1037),FIND(" ",TRIM(C1037)&amp;" ")-1),",","."))-1)/MID(SUBSTITUTE(LEFT(TRIM(C1037),FIND(" ",TRIM(C1037)&amp;" ")-1),",","."),FIND("/",SUBSTITUTE(LEFT(TRIM(C1037),FIND(" ",TRIM(C1037)&amp;" ")-1),",","."))+1,9))*12,NA()))),0),36)*'Aturan &amp; Tarif'!$B$4,2)</f>
        <v>2044.08</v>
      </c>
      <c r="K1037" s="42" t="n">
        <f aca="false">'Aturan &amp; Tarif'!$B$5</f>
        <v>2050</v>
      </c>
      <c r="L1037" s="42" t="n">
        <f aca="false">'Aturan &amp; Tarif'!$B$6</f>
        <v>350</v>
      </c>
      <c r="M1037" s="35" t="n">
        <f aca="false">I1037+J1037+K1037+L1037</f>
        <v>24260.08</v>
      </c>
      <c r="N1037" s="45" t="s">
        <v>2572</v>
      </c>
    </row>
    <row r="1038" customFormat="false" ht="25.5" hidden="false" customHeight="true" outlineLevel="0" collapsed="false">
      <c r="A1038" s="39"/>
      <c r="B1038" s="40" t="s">
        <v>2629</v>
      </c>
      <c r="C1038" s="41" t="s">
        <v>127</v>
      </c>
      <c r="D1038" s="41" t="s">
        <v>108</v>
      </c>
      <c r="E1038" s="42" t="n">
        <v>9908</v>
      </c>
      <c r="F1038" s="42"/>
      <c r="G1038" s="42"/>
      <c r="H1038" s="43" t="n">
        <v>2</v>
      </c>
      <c r="I1038" s="34" t="n">
        <f aca="false">E1038*H1038+N(F1038)+N(G1038)</f>
        <v>19816</v>
      </c>
      <c r="J1038" s="42" t="n">
        <f aca="false">ROUND(IFERROR(ROUND(IF(OR(ISNUMBER(SEARCH("week",C1038)),ISNUMBER(SEARCH("minggu",C1038))),IFERROR(_xlfn.NUMBERVALUE(SUBSTITUTE(LEFT(TRIM(C1038),FIND(" ",TRIM(C1038)&amp;" ")-1),",","."),"."),LEFT(SUBSTITUTE(LEFT(TRIM(C1038),FIND(" ",TRIM(C1038)&amp;" ")-1),",","."),FIND("/",SUBSTITUTE(LEFT(TRIM(C1038),FIND(" ",TRIM(C1038)&amp;" ")-1),",","."))-1)/MID(SUBSTITUTE(LEFT(TRIM(C1038),FIND(" ",TRIM(C1038)&amp;" ")-1),",","."),FIND("/",SUBSTITUTE(LEFT(TRIM(C1038),FIND(" ",TRIM(C1038)&amp;" ")-1),",","."))+1,9))*12/52,IF(ISNUMBER(SEARCH("month",C1038)),IFERROR(_xlfn.NUMBERVALUE(SUBSTITUTE(LEFT(TRIM(C1038),FIND(" ",TRIM(C1038)&amp;" ")-1),",","."),"."),LEFT(SUBSTITUTE(LEFT(TRIM(C1038),FIND(" ",TRIM(C1038)&amp;" ")-1),",","."),FIND("/",SUBSTITUTE(LEFT(TRIM(C1038),FIND(" ",TRIM(C1038)&amp;" ")-1),",","."))-1)/MID(SUBSTITUTE(LEFT(TRIM(C1038),FIND(" ",TRIM(C1038)&amp;" ")-1),",","."),FIND("/",SUBSTITUTE(LEFT(TRIM(C1038),FIND(" ",TRIM(C1038)&amp;" ")-1),",","."))+1,9)),IF(ISNUMBER(SEARCH("yea",C1038)),IFERROR(_xlfn.NUMBERVALUE(SUBSTITUTE(LEFT(TRIM(C1038),FIND(" ",TRIM(C1038)&amp;" ")-1),",","."),"."),LEFT(SUBSTITUTE(LEFT(TRIM(C1038),FIND(" ",TRIM(C1038)&amp;" ")-1),",","."),FIND("/",SUBSTITUTE(LEFT(TRIM(C1038),FIND(" ",TRIM(C1038)&amp;" ")-1),",","."))-1)/MID(SUBSTITUTE(LEFT(TRIM(C1038),FIND(" ",TRIM(C1038)&amp;" ")-1),",","."),FIND("/",SUBSTITUTE(LEFT(TRIM(C1038),FIND(" ",TRIM(C1038)&amp;" ")-1),",","."))+1,9))*12,NA()))),0),36)*'Aturan &amp; Tarif'!$B$4,2)</f>
        <v>2044.08</v>
      </c>
      <c r="K1038" s="42" t="n">
        <f aca="false">'Aturan &amp; Tarif'!$B$5</f>
        <v>2050</v>
      </c>
      <c r="L1038" s="42" t="n">
        <f aca="false">'Aturan &amp; Tarif'!$B$6</f>
        <v>350</v>
      </c>
      <c r="M1038" s="35" t="n">
        <f aca="false">I1038+J1038+K1038+L1038</f>
        <v>24260.08</v>
      </c>
      <c r="N1038" s="45" t="s">
        <v>2572</v>
      </c>
    </row>
    <row r="1039" customFormat="false" ht="37.5" hidden="false" customHeight="true" outlineLevel="0" collapsed="false">
      <c r="A1039" s="39"/>
      <c r="B1039" s="40" t="s">
        <v>2630</v>
      </c>
      <c r="C1039" s="41" t="s">
        <v>127</v>
      </c>
      <c r="D1039" s="41" t="s">
        <v>108</v>
      </c>
      <c r="E1039" s="42" t="n">
        <v>9908</v>
      </c>
      <c r="F1039" s="42"/>
      <c r="G1039" s="42"/>
      <c r="H1039" s="43" t="n">
        <v>2</v>
      </c>
      <c r="I1039" s="34" t="n">
        <f aca="false">E1039*H1039+N(F1039)+N(G1039)</f>
        <v>19816</v>
      </c>
      <c r="J1039" s="42" t="n">
        <f aca="false">ROUND(IFERROR(ROUND(IF(OR(ISNUMBER(SEARCH("week",C1039)),ISNUMBER(SEARCH("minggu",C1039))),IFERROR(_xlfn.NUMBERVALUE(SUBSTITUTE(LEFT(TRIM(C1039),FIND(" ",TRIM(C1039)&amp;" ")-1),",","."),"."),LEFT(SUBSTITUTE(LEFT(TRIM(C1039),FIND(" ",TRIM(C1039)&amp;" ")-1),",","."),FIND("/",SUBSTITUTE(LEFT(TRIM(C1039),FIND(" ",TRIM(C1039)&amp;" ")-1),",","."))-1)/MID(SUBSTITUTE(LEFT(TRIM(C1039),FIND(" ",TRIM(C1039)&amp;" ")-1),",","."),FIND("/",SUBSTITUTE(LEFT(TRIM(C1039),FIND(" ",TRIM(C1039)&amp;" ")-1),",","."))+1,9))*12/52,IF(ISNUMBER(SEARCH("month",C1039)),IFERROR(_xlfn.NUMBERVALUE(SUBSTITUTE(LEFT(TRIM(C1039),FIND(" ",TRIM(C1039)&amp;" ")-1),",","."),"."),LEFT(SUBSTITUTE(LEFT(TRIM(C1039),FIND(" ",TRIM(C1039)&amp;" ")-1),",","."),FIND("/",SUBSTITUTE(LEFT(TRIM(C1039),FIND(" ",TRIM(C1039)&amp;" ")-1),",","."))-1)/MID(SUBSTITUTE(LEFT(TRIM(C1039),FIND(" ",TRIM(C1039)&amp;" ")-1),",","."),FIND("/",SUBSTITUTE(LEFT(TRIM(C1039),FIND(" ",TRIM(C1039)&amp;" ")-1),",","."))+1,9)),IF(ISNUMBER(SEARCH("yea",C1039)),IFERROR(_xlfn.NUMBERVALUE(SUBSTITUTE(LEFT(TRIM(C1039),FIND(" ",TRIM(C1039)&amp;" ")-1),",","."),"."),LEFT(SUBSTITUTE(LEFT(TRIM(C1039),FIND(" ",TRIM(C1039)&amp;" ")-1),",","."),FIND("/",SUBSTITUTE(LEFT(TRIM(C1039),FIND(" ",TRIM(C1039)&amp;" ")-1),",","."))-1)/MID(SUBSTITUTE(LEFT(TRIM(C1039),FIND(" ",TRIM(C1039)&amp;" ")-1),",","."),FIND("/",SUBSTITUTE(LEFT(TRIM(C1039),FIND(" ",TRIM(C1039)&amp;" ")-1),",","."))+1,9))*12,NA()))),0),36)*'Aturan &amp; Tarif'!$B$4,2)</f>
        <v>2044.08</v>
      </c>
      <c r="K1039" s="42" t="n">
        <f aca="false">'Aturan &amp; Tarif'!$B$5</f>
        <v>2050</v>
      </c>
      <c r="L1039" s="42" t="n">
        <f aca="false">'Aturan &amp; Tarif'!$B$6</f>
        <v>350</v>
      </c>
      <c r="M1039" s="35" t="n">
        <f aca="false">I1039+J1039+K1039+L1039</f>
        <v>24260.08</v>
      </c>
      <c r="N1039" s="45" t="s">
        <v>2572</v>
      </c>
    </row>
    <row r="1040" customFormat="false" ht="37.5" hidden="false" customHeight="true" outlineLevel="0" collapsed="false">
      <c r="A1040" s="39"/>
      <c r="B1040" s="40" t="s">
        <v>2631</v>
      </c>
      <c r="C1040" s="41" t="s">
        <v>127</v>
      </c>
      <c r="D1040" s="41" t="s">
        <v>108</v>
      </c>
      <c r="E1040" s="42" t="n">
        <v>8125</v>
      </c>
      <c r="F1040" s="42"/>
      <c r="G1040" s="42"/>
      <c r="H1040" s="43" t="n">
        <v>2</v>
      </c>
      <c r="I1040" s="34" t="n">
        <f aca="false">E1040*H1040+N(F1040)+N(G1040)</f>
        <v>16250</v>
      </c>
      <c r="J1040" s="42" t="n">
        <f aca="false">ROUND(IFERROR(ROUND(IF(OR(ISNUMBER(SEARCH("week",C1040)),ISNUMBER(SEARCH("minggu",C1040))),IFERROR(_xlfn.NUMBERVALUE(SUBSTITUTE(LEFT(TRIM(C1040),FIND(" ",TRIM(C1040)&amp;" ")-1),",","."),"."),LEFT(SUBSTITUTE(LEFT(TRIM(C1040),FIND(" ",TRIM(C1040)&amp;" ")-1),",","."),FIND("/",SUBSTITUTE(LEFT(TRIM(C1040),FIND(" ",TRIM(C1040)&amp;" ")-1),",","."))-1)/MID(SUBSTITUTE(LEFT(TRIM(C1040),FIND(" ",TRIM(C1040)&amp;" ")-1),",","."),FIND("/",SUBSTITUTE(LEFT(TRIM(C1040),FIND(" ",TRIM(C1040)&amp;" ")-1),",","."))+1,9))*12/52,IF(ISNUMBER(SEARCH("month",C1040)),IFERROR(_xlfn.NUMBERVALUE(SUBSTITUTE(LEFT(TRIM(C1040),FIND(" ",TRIM(C1040)&amp;" ")-1),",","."),"."),LEFT(SUBSTITUTE(LEFT(TRIM(C1040),FIND(" ",TRIM(C1040)&amp;" ")-1),",","."),FIND("/",SUBSTITUTE(LEFT(TRIM(C1040),FIND(" ",TRIM(C1040)&amp;" ")-1),",","."))-1)/MID(SUBSTITUTE(LEFT(TRIM(C1040),FIND(" ",TRIM(C1040)&amp;" ")-1),",","."),FIND("/",SUBSTITUTE(LEFT(TRIM(C1040),FIND(" ",TRIM(C1040)&amp;" ")-1),",","."))+1,9)),IF(ISNUMBER(SEARCH("yea",C1040)),IFERROR(_xlfn.NUMBERVALUE(SUBSTITUTE(LEFT(TRIM(C1040),FIND(" ",TRIM(C1040)&amp;" ")-1),",","."),"."),LEFT(SUBSTITUTE(LEFT(TRIM(C1040),FIND(" ",TRIM(C1040)&amp;" ")-1),",","."),FIND("/",SUBSTITUTE(LEFT(TRIM(C1040),FIND(" ",TRIM(C1040)&amp;" ")-1),",","."))-1)/MID(SUBSTITUTE(LEFT(TRIM(C1040),FIND(" ",TRIM(C1040)&amp;" ")-1),",","."),FIND("/",SUBSTITUTE(LEFT(TRIM(C1040),FIND(" ",TRIM(C1040)&amp;" ")-1),",","."))+1,9))*12,NA()))),0),36)*'Aturan &amp; Tarif'!$B$4,2)</f>
        <v>2044.08</v>
      </c>
      <c r="K1040" s="42" t="n">
        <f aca="false">'Aturan &amp; Tarif'!$B$5</f>
        <v>2050</v>
      </c>
      <c r="L1040" s="42" t="n">
        <f aca="false">'Aturan &amp; Tarif'!$B$6</f>
        <v>350</v>
      </c>
      <c r="M1040" s="35" t="n">
        <f aca="false">I1040+J1040+K1040+L1040</f>
        <v>20694.08</v>
      </c>
      <c r="N1040" s="45" t="s">
        <v>2572</v>
      </c>
    </row>
    <row r="1041" customFormat="false" ht="37.5" hidden="false" customHeight="true" outlineLevel="0" collapsed="false">
      <c r="A1041" s="39"/>
      <c r="B1041" s="40" t="s">
        <v>2632</v>
      </c>
      <c r="C1041" s="41" t="s">
        <v>127</v>
      </c>
      <c r="D1041" s="41" t="s">
        <v>108</v>
      </c>
      <c r="E1041" s="42" t="n">
        <v>8125</v>
      </c>
      <c r="F1041" s="42"/>
      <c r="G1041" s="42"/>
      <c r="H1041" s="43" t="n">
        <v>2</v>
      </c>
      <c r="I1041" s="34" t="n">
        <f aca="false">E1041*H1041+N(F1041)+N(G1041)</f>
        <v>16250</v>
      </c>
      <c r="J1041" s="42" t="n">
        <f aca="false">ROUND(IFERROR(ROUND(IF(OR(ISNUMBER(SEARCH("week",C1041)),ISNUMBER(SEARCH("minggu",C1041))),IFERROR(_xlfn.NUMBERVALUE(SUBSTITUTE(LEFT(TRIM(C1041),FIND(" ",TRIM(C1041)&amp;" ")-1),",","."),"."),LEFT(SUBSTITUTE(LEFT(TRIM(C1041),FIND(" ",TRIM(C1041)&amp;" ")-1),",","."),FIND("/",SUBSTITUTE(LEFT(TRIM(C1041),FIND(" ",TRIM(C1041)&amp;" ")-1),",","."))-1)/MID(SUBSTITUTE(LEFT(TRIM(C1041),FIND(" ",TRIM(C1041)&amp;" ")-1),",","."),FIND("/",SUBSTITUTE(LEFT(TRIM(C1041),FIND(" ",TRIM(C1041)&amp;" ")-1),",","."))+1,9))*12/52,IF(ISNUMBER(SEARCH("month",C1041)),IFERROR(_xlfn.NUMBERVALUE(SUBSTITUTE(LEFT(TRIM(C1041),FIND(" ",TRIM(C1041)&amp;" ")-1),",","."),"."),LEFT(SUBSTITUTE(LEFT(TRIM(C1041),FIND(" ",TRIM(C1041)&amp;" ")-1),",","."),FIND("/",SUBSTITUTE(LEFT(TRIM(C1041),FIND(" ",TRIM(C1041)&amp;" ")-1),",","."))-1)/MID(SUBSTITUTE(LEFT(TRIM(C1041),FIND(" ",TRIM(C1041)&amp;" ")-1),",","."),FIND("/",SUBSTITUTE(LEFT(TRIM(C1041),FIND(" ",TRIM(C1041)&amp;" ")-1),",","."))+1,9)),IF(ISNUMBER(SEARCH("yea",C1041)),IFERROR(_xlfn.NUMBERVALUE(SUBSTITUTE(LEFT(TRIM(C1041),FIND(" ",TRIM(C1041)&amp;" ")-1),",","."),"."),LEFT(SUBSTITUTE(LEFT(TRIM(C1041),FIND(" ",TRIM(C1041)&amp;" ")-1),",","."),FIND("/",SUBSTITUTE(LEFT(TRIM(C1041),FIND(" ",TRIM(C1041)&amp;" ")-1),",","."))-1)/MID(SUBSTITUTE(LEFT(TRIM(C1041),FIND(" ",TRIM(C1041)&amp;" ")-1),",","."),FIND("/",SUBSTITUTE(LEFT(TRIM(C1041),FIND(" ",TRIM(C1041)&amp;" ")-1),",","."))+1,9))*12,NA()))),0),36)*'Aturan &amp; Tarif'!$B$4,2)</f>
        <v>2044.08</v>
      </c>
      <c r="K1041" s="42" t="n">
        <f aca="false">'Aturan &amp; Tarif'!$B$5</f>
        <v>2050</v>
      </c>
      <c r="L1041" s="42" t="n">
        <f aca="false">'Aturan &amp; Tarif'!$B$6</f>
        <v>350</v>
      </c>
      <c r="M1041" s="35" t="n">
        <f aca="false">I1041+J1041+K1041+L1041</f>
        <v>20694.08</v>
      </c>
      <c r="N1041" s="45" t="s">
        <v>2572</v>
      </c>
    </row>
    <row r="1042" customFormat="false" ht="37.5" hidden="false" customHeight="true" outlineLevel="0" collapsed="false">
      <c r="A1042" s="39"/>
      <c r="B1042" s="40" t="s">
        <v>2633</v>
      </c>
      <c r="C1042" s="41" t="s">
        <v>127</v>
      </c>
      <c r="D1042" s="41" t="s">
        <v>108</v>
      </c>
      <c r="E1042" s="42" t="n">
        <v>8125</v>
      </c>
      <c r="F1042" s="42"/>
      <c r="G1042" s="42"/>
      <c r="H1042" s="43" t="n">
        <v>2</v>
      </c>
      <c r="I1042" s="34" t="n">
        <f aca="false">E1042*H1042+N(F1042)+N(G1042)</f>
        <v>16250</v>
      </c>
      <c r="J1042" s="42" t="n">
        <f aca="false">ROUND(IFERROR(ROUND(IF(OR(ISNUMBER(SEARCH("week",C1042)),ISNUMBER(SEARCH("minggu",C1042))),IFERROR(_xlfn.NUMBERVALUE(SUBSTITUTE(LEFT(TRIM(C1042),FIND(" ",TRIM(C1042)&amp;" ")-1),",","."),"."),LEFT(SUBSTITUTE(LEFT(TRIM(C1042),FIND(" ",TRIM(C1042)&amp;" ")-1),",","."),FIND("/",SUBSTITUTE(LEFT(TRIM(C1042),FIND(" ",TRIM(C1042)&amp;" ")-1),",","."))-1)/MID(SUBSTITUTE(LEFT(TRIM(C1042),FIND(" ",TRIM(C1042)&amp;" ")-1),",","."),FIND("/",SUBSTITUTE(LEFT(TRIM(C1042),FIND(" ",TRIM(C1042)&amp;" ")-1),",","."))+1,9))*12/52,IF(ISNUMBER(SEARCH("month",C1042)),IFERROR(_xlfn.NUMBERVALUE(SUBSTITUTE(LEFT(TRIM(C1042),FIND(" ",TRIM(C1042)&amp;" ")-1),",","."),"."),LEFT(SUBSTITUTE(LEFT(TRIM(C1042),FIND(" ",TRIM(C1042)&amp;" ")-1),",","."),FIND("/",SUBSTITUTE(LEFT(TRIM(C1042),FIND(" ",TRIM(C1042)&amp;" ")-1),",","."))-1)/MID(SUBSTITUTE(LEFT(TRIM(C1042),FIND(" ",TRIM(C1042)&amp;" ")-1),",","."),FIND("/",SUBSTITUTE(LEFT(TRIM(C1042),FIND(" ",TRIM(C1042)&amp;" ")-1),",","."))+1,9)),IF(ISNUMBER(SEARCH("yea",C1042)),IFERROR(_xlfn.NUMBERVALUE(SUBSTITUTE(LEFT(TRIM(C1042),FIND(" ",TRIM(C1042)&amp;" ")-1),",","."),"."),LEFT(SUBSTITUTE(LEFT(TRIM(C1042),FIND(" ",TRIM(C1042)&amp;" ")-1),",","."),FIND("/",SUBSTITUTE(LEFT(TRIM(C1042),FIND(" ",TRIM(C1042)&amp;" ")-1),",","."))-1)/MID(SUBSTITUTE(LEFT(TRIM(C1042),FIND(" ",TRIM(C1042)&amp;" ")-1),",","."),FIND("/",SUBSTITUTE(LEFT(TRIM(C1042),FIND(" ",TRIM(C1042)&amp;" ")-1),",","."))+1,9))*12,NA()))),0),36)*'Aturan &amp; Tarif'!$B$4,2)</f>
        <v>2044.08</v>
      </c>
      <c r="K1042" s="42" t="n">
        <f aca="false">'Aturan &amp; Tarif'!$B$5</f>
        <v>2050</v>
      </c>
      <c r="L1042" s="42" t="n">
        <f aca="false">'Aturan &amp; Tarif'!$B$6</f>
        <v>350</v>
      </c>
      <c r="M1042" s="35" t="n">
        <f aca="false">I1042+J1042+K1042+L1042</f>
        <v>20694.08</v>
      </c>
      <c r="N1042" s="45" t="s">
        <v>2572</v>
      </c>
    </row>
    <row r="1043" customFormat="false" ht="25.5" hidden="false" customHeight="true" outlineLevel="0" collapsed="false">
      <c r="A1043" s="39"/>
      <c r="B1043" s="40" t="s">
        <v>2634</v>
      </c>
      <c r="C1043" s="41" t="s">
        <v>127</v>
      </c>
      <c r="D1043" s="41" t="s">
        <v>108</v>
      </c>
      <c r="E1043" s="42" t="n">
        <v>8125</v>
      </c>
      <c r="F1043" s="42"/>
      <c r="G1043" s="42"/>
      <c r="H1043" s="43" t="n">
        <v>2</v>
      </c>
      <c r="I1043" s="34" t="n">
        <f aca="false">E1043*H1043+N(F1043)+N(G1043)</f>
        <v>16250</v>
      </c>
      <c r="J1043" s="42" t="n">
        <f aca="false">ROUND(IFERROR(ROUND(IF(OR(ISNUMBER(SEARCH("week",C1043)),ISNUMBER(SEARCH("minggu",C1043))),IFERROR(_xlfn.NUMBERVALUE(SUBSTITUTE(LEFT(TRIM(C1043),FIND(" ",TRIM(C1043)&amp;" ")-1),",","."),"."),LEFT(SUBSTITUTE(LEFT(TRIM(C1043),FIND(" ",TRIM(C1043)&amp;" ")-1),",","."),FIND("/",SUBSTITUTE(LEFT(TRIM(C1043),FIND(" ",TRIM(C1043)&amp;" ")-1),",","."))-1)/MID(SUBSTITUTE(LEFT(TRIM(C1043),FIND(" ",TRIM(C1043)&amp;" ")-1),",","."),FIND("/",SUBSTITUTE(LEFT(TRIM(C1043),FIND(" ",TRIM(C1043)&amp;" ")-1),",","."))+1,9))*12/52,IF(ISNUMBER(SEARCH("month",C1043)),IFERROR(_xlfn.NUMBERVALUE(SUBSTITUTE(LEFT(TRIM(C1043),FIND(" ",TRIM(C1043)&amp;" ")-1),",","."),"."),LEFT(SUBSTITUTE(LEFT(TRIM(C1043),FIND(" ",TRIM(C1043)&amp;" ")-1),",","."),FIND("/",SUBSTITUTE(LEFT(TRIM(C1043),FIND(" ",TRIM(C1043)&amp;" ")-1),",","."))-1)/MID(SUBSTITUTE(LEFT(TRIM(C1043),FIND(" ",TRIM(C1043)&amp;" ")-1),",","."),FIND("/",SUBSTITUTE(LEFT(TRIM(C1043),FIND(" ",TRIM(C1043)&amp;" ")-1),",","."))+1,9)),IF(ISNUMBER(SEARCH("yea",C1043)),IFERROR(_xlfn.NUMBERVALUE(SUBSTITUTE(LEFT(TRIM(C1043),FIND(" ",TRIM(C1043)&amp;" ")-1),",","."),"."),LEFT(SUBSTITUTE(LEFT(TRIM(C1043),FIND(" ",TRIM(C1043)&amp;" ")-1),",","."),FIND("/",SUBSTITUTE(LEFT(TRIM(C1043),FIND(" ",TRIM(C1043)&amp;" ")-1),",","."))-1)/MID(SUBSTITUTE(LEFT(TRIM(C1043),FIND(" ",TRIM(C1043)&amp;" ")-1),",","."),FIND("/",SUBSTITUTE(LEFT(TRIM(C1043),FIND(" ",TRIM(C1043)&amp;" ")-1),",","."))+1,9))*12,NA()))),0),36)*'Aturan &amp; Tarif'!$B$4,2)</f>
        <v>2044.08</v>
      </c>
      <c r="K1043" s="42" t="n">
        <f aca="false">'Aturan &amp; Tarif'!$B$5</f>
        <v>2050</v>
      </c>
      <c r="L1043" s="42" t="n">
        <f aca="false">'Aturan &amp; Tarif'!$B$6</f>
        <v>350</v>
      </c>
      <c r="M1043" s="35" t="n">
        <f aca="false">I1043+J1043+K1043+L1043</f>
        <v>20694.08</v>
      </c>
      <c r="N1043" s="45" t="s">
        <v>2572</v>
      </c>
    </row>
    <row r="1044" customFormat="false" ht="25.5" hidden="false" customHeight="true" outlineLevel="0" collapsed="false">
      <c r="A1044" s="39"/>
      <c r="B1044" s="40" t="s">
        <v>2635</v>
      </c>
      <c r="C1044" s="41" t="s">
        <v>127</v>
      </c>
      <c r="D1044" s="41" t="s">
        <v>108</v>
      </c>
      <c r="E1044" s="42" t="n">
        <v>8125</v>
      </c>
      <c r="F1044" s="42"/>
      <c r="G1044" s="42"/>
      <c r="H1044" s="43" t="n">
        <v>2</v>
      </c>
      <c r="I1044" s="34" t="n">
        <f aca="false">E1044*H1044+N(F1044)+N(G1044)</f>
        <v>16250</v>
      </c>
      <c r="J1044" s="42" t="n">
        <f aca="false">ROUND(IFERROR(ROUND(IF(OR(ISNUMBER(SEARCH("week",C1044)),ISNUMBER(SEARCH("minggu",C1044))),IFERROR(_xlfn.NUMBERVALUE(SUBSTITUTE(LEFT(TRIM(C1044),FIND(" ",TRIM(C1044)&amp;" ")-1),",","."),"."),LEFT(SUBSTITUTE(LEFT(TRIM(C1044),FIND(" ",TRIM(C1044)&amp;" ")-1),",","."),FIND("/",SUBSTITUTE(LEFT(TRIM(C1044),FIND(" ",TRIM(C1044)&amp;" ")-1),",","."))-1)/MID(SUBSTITUTE(LEFT(TRIM(C1044),FIND(" ",TRIM(C1044)&amp;" ")-1),",","."),FIND("/",SUBSTITUTE(LEFT(TRIM(C1044),FIND(" ",TRIM(C1044)&amp;" ")-1),",","."))+1,9))*12/52,IF(ISNUMBER(SEARCH("month",C1044)),IFERROR(_xlfn.NUMBERVALUE(SUBSTITUTE(LEFT(TRIM(C1044),FIND(" ",TRIM(C1044)&amp;" ")-1),",","."),"."),LEFT(SUBSTITUTE(LEFT(TRIM(C1044),FIND(" ",TRIM(C1044)&amp;" ")-1),",","."),FIND("/",SUBSTITUTE(LEFT(TRIM(C1044),FIND(" ",TRIM(C1044)&amp;" ")-1),",","."))-1)/MID(SUBSTITUTE(LEFT(TRIM(C1044),FIND(" ",TRIM(C1044)&amp;" ")-1),",","."),FIND("/",SUBSTITUTE(LEFT(TRIM(C1044),FIND(" ",TRIM(C1044)&amp;" ")-1),",","."))+1,9)),IF(ISNUMBER(SEARCH("yea",C1044)),IFERROR(_xlfn.NUMBERVALUE(SUBSTITUTE(LEFT(TRIM(C1044),FIND(" ",TRIM(C1044)&amp;" ")-1),",","."),"."),LEFT(SUBSTITUTE(LEFT(TRIM(C1044),FIND(" ",TRIM(C1044)&amp;" ")-1),",","."),FIND("/",SUBSTITUTE(LEFT(TRIM(C1044),FIND(" ",TRIM(C1044)&amp;" ")-1),",","."))-1)/MID(SUBSTITUTE(LEFT(TRIM(C1044),FIND(" ",TRIM(C1044)&amp;" ")-1),",","."),FIND("/",SUBSTITUTE(LEFT(TRIM(C1044),FIND(" ",TRIM(C1044)&amp;" ")-1),",","."))+1,9))*12,NA()))),0),36)*'Aturan &amp; Tarif'!$B$4,2)</f>
        <v>2044.08</v>
      </c>
      <c r="K1044" s="42" t="n">
        <f aca="false">'Aturan &amp; Tarif'!$B$5</f>
        <v>2050</v>
      </c>
      <c r="L1044" s="42" t="n">
        <f aca="false">'Aturan &amp; Tarif'!$B$6</f>
        <v>350</v>
      </c>
      <c r="M1044" s="35" t="n">
        <f aca="false">I1044+J1044+K1044+L1044</f>
        <v>20694.08</v>
      </c>
      <c r="N1044" s="45" t="s">
        <v>2572</v>
      </c>
    </row>
    <row r="1045" customFormat="false" ht="25.5" hidden="false" customHeight="true" outlineLevel="0" collapsed="false">
      <c r="A1045" s="39"/>
      <c r="B1045" s="40" t="s">
        <v>2636</v>
      </c>
      <c r="C1045" s="41" t="s">
        <v>127</v>
      </c>
      <c r="D1045" s="41" t="s">
        <v>108</v>
      </c>
      <c r="E1045" s="42" t="n">
        <v>8125</v>
      </c>
      <c r="F1045" s="42"/>
      <c r="G1045" s="42"/>
      <c r="H1045" s="43" t="n">
        <v>2</v>
      </c>
      <c r="I1045" s="34" t="n">
        <f aca="false">E1045*H1045+N(F1045)+N(G1045)</f>
        <v>16250</v>
      </c>
      <c r="J1045" s="42" t="n">
        <f aca="false">ROUND(IFERROR(ROUND(IF(OR(ISNUMBER(SEARCH("week",C1045)),ISNUMBER(SEARCH("minggu",C1045))),IFERROR(_xlfn.NUMBERVALUE(SUBSTITUTE(LEFT(TRIM(C1045),FIND(" ",TRIM(C1045)&amp;" ")-1),",","."),"."),LEFT(SUBSTITUTE(LEFT(TRIM(C1045),FIND(" ",TRIM(C1045)&amp;" ")-1),",","."),FIND("/",SUBSTITUTE(LEFT(TRIM(C1045),FIND(" ",TRIM(C1045)&amp;" ")-1),",","."))-1)/MID(SUBSTITUTE(LEFT(TRIM(C1045),FIND(" ",TRIM(C1045)&amp;" ")-1),",","."),FIND("/",SUBSTITUTE(LEFT(TRIM(C1045),FIND(" ",TRIM(C1045)&amp;" ")-1),",","."))+1,9))*12/52,IF(ISNUMBER(SEARCH("month",C1045)),IFERROR(_xlfn.NUMBERVALUE(SUBSTITUTE(LEFT(TRIM(C1045),FIND(" ",TRIM(C1045)&amp;" ")-1),",","."),"."),LEFT(SUBSTITUTE(LEFT(TRIM(C1045),FIND(" ",TRIM(C1045)&amp;" ")-1),",","."),FIND("/",SUBSTITUTE(LEFT(TRIM(C1045),FIND(" ",TRIM(C1045)&amp;" ")-1),",","."))-1)/MID(SUBSTITUTE(LEFT(TRIM(C1045),FIND(" ",TRIM(C1045)&amp;" ")-1),",","."),FIND("/",SUBSTITUTE(LEFT(TRIM(C1045),FIND(" ",TRIM(C1045)&amp;" ")-1),",","."))+1,9)),IF(ISNUMBER(SEARCH("yea",C1045)),IFERROR(_xlfn.NUMBERVALUE(SUBSTITUTE(LEFT(TRIM(C1045),FIND(" ",TRIM(C1045)&amp;" ")-1),",","."),"."),LEFT(SUBSTITUTE(LEFT(TRIM(C1045),FIND(" ",TRIM(C1045)&amp;" ")-1),",","."),FIND("/",SUBSTITUTE(LEFT(TRIM(C1045),FIND(" ",TRIM(C1045)&amp;" ")-1),",","."))-1)/MID(SUBSTITUTE(LEFT(TRIM(C1045),FIND(" ",TRIM(C1045)&amp;" ")-1),",","."),FIND("/",SUBSTITUTE(LEFT(TRIM(C1045),FIND(" ",TRIM(C1045)&amp;" ")-1),",","."))+1,9))*12,NA()))),0),36)*'Aturan &amp; Tarif'!$B$4,2)</f>
        <v>2044.08</v>
      </c>
      <c r="K1045" s="42" t="n">
        <f aca="false">'Aturan &amp; Tarif'!$B$5</f>
        <v>2050</v>
      </c>
      <c r="L1045" s="42" t="n">
        <f aca="false">'Aturan &amp; Tarif'!$B$6</f>
        <v>350</v>
      </c>
      <c r="M1045" s="35" t="n">
        <f aca="false">I1045+J1045+K1045+L1045</f>
        <v>20694.08</v>
      </c>
      <c r="N1045" s="45" t="s">
        <v>2572</v>
      </c>
    </row>
    <row r="1046" customFormat="false" ht="37.5" hidden="false" customHeight="true" outlineLevel="0" collapsed="false">
      <c r="A1046" s="39"/>
      <c r="B1046" s="40" t="s">
        <v>2637</v>
      </c>
      <c r="C1046" s="41" t="s">
        <v>127</v>
      </c>
      <c r="D1046" s="41" t="s">
        <v>108</v>
      </c>
      <c r="E1046" s="42" t="n">
        <v>8125</v>
      </c>
      <c r="F1046" s="42"/>
      <c r="G1046" s="42"/>
      <c r="H1046" s="43" t="n">
        <v>2</v>
      </c>
      <c r="I1046" s="34" t="n">
        <f aca="false">E1046*H1046+N(F1046)+N(G1046)</f>
        <v>16250</v>
      </c>
      <c r="J1046" s="42" t="n">
        <f aca="false">ROUND(IFERROR(ROUND(IF(OR(ISNUMBER(SEARCH("week",C1046)),ISNUMBER(SEARCH("minggu",C1046))),IFERROR(_xlfn.NUMBERVALUE(SUBSTITUTE(LEFT(TRIM(C1046),FIND(" ",TRIM(C1046)&amp;" ")-1),",","."),"."),LEFT(SUBSTITUTE(LEFT(TRIM(C1046),FIND(" ",TRIM(C1046)&amp;" ")-1),",","."),FIND("/",SUBSTITUTE(LEFT(TRIM(C1046),FIND(" ",TRIM(C1046)&amp;" ")-1),",","."))-1)/MID(SUBSTITUTE(LEFT(TRIM(C1046),FIND(" ",TRIM(C1046)&amp;" ")-1),",","."),FIND("/",SUBSTITUTE(LEFT(TRIM(C1046),FIND(" ",TRIM(C1046)&amp;" ")-1),",","."))+1,9))*12/52,IF(ISNUMBER(SEARCH("month",C1046)),IFERROR(_xlfn.NUMBERVALUE(SUBSTITUTE(LEFT(TRIM(C1046),FIND(" ",TRIM(C1046)&amp;" ")-1),",","."),"."),LEFT(SUBSTITUTE(LEFT(TRIM(C1046),FIND(" ",TRIM(C1046)&amp;" ")-1),",","."),FIND("/",SUBSTITUTE(LEFT(TRIM(C1046),FIND(" ",TRIM(C1046)&amp;" ")-1),",","."))-1)/MID(SUBSTITUTE(LEFT(TRIM(C1046),FIND(" ",TRIM(C1046)&amp;" ")-1),",","."),FIND("/",SUBSTITUTE(LEFT(TRIM(C1046),FIND(" ",TRIM(C1046)&amp;" ")-1),",","."))+1,9)),IF(ISNUMBER(SEARCH("yea",C1046)),IFERROR(_xlfn.NUMBERVALUE(SUBSTITUTE(LEFT(TRIM(C1046),FIND(" ",TRIM(C1046)&amp;" ")-1),",","."),"."),LEFT(SUBSTITUTE(LEFT(TRIM(C1046),FIND(" ",TRIM(C1046)&amp;" ")-1),",","."),FIND("/",SUBSTITUTE(LEFT(TRIM(C1046),FIND(" ",TRIM(C1046)&amp;" ")-1),",","."))-1)/MID(SUBSTITUTE(LEFT(TRIM(C1046),FIND(" ",TRIM(C1046)&amp;" ")-1),",","."),FIND("/",SUBSTITUTE(LEFT(TRIM(C1046),FIND(" ",TRIM(C1046)&amp;" ")-1),",","."))+1,9))*12,NA()))),0),36)*'Aturan &amp; Tarif'!$B$4,2)</f>
        <v>2044.08</v>
      </c>
      <c r="K1046" s="42" t="n">
        <f aca="false">'Aturan &amp; Tarif'!$B$5</f>
        <v>2050</v>
      </c>
      <c r="L1046" s="42" t="n">
        <f aca="false">'Aturan &amp; Tarif'!$B$6</f>
        <v>350</v>
      </c>
      <c r="M1046" s="35" t="n">
        <f aca="false">I1046+J1046+K1046+L1046</f>
        <v>20694.08</v>
      </c>
      <c r="N1046" s="45" t="s">
        <v>2572</v>
      </c>
    </row>
    <row r="1047" customFormat="false" ht="25.5" hidden="false" customHeight="true" outlineLevel="0" collapsed="false">
      <c r="A1047" s="39"/>
      <c r="B1047" s="40" t="s">
        <v>2638</v>
      </c>
      <c r="C1047" s="41" t="s">
        <v>191</v>
      </c>
      <c r="D1047" s="41" t="s">
        <v>108</v>
      </c>
      <c r="E1047" s="42" t="n">
        <v>8125</v>
      </c>
      <c r="F1047" s="42"/>
      <c r="G1047" s="42"/>
      <c r="H1047" s="43" t="n">
        <v>2</v>
      </c>
      <c r="I1047" s="34" t="n">
        <f aca="false">E1047*H1047+N(F1047)+N(G1047)</f>
        <v>16250</v>
      </c>
      <c r="J1047" s="42" t="n">
        <f aca="false">ROUND(IFERROR(ROUND(IF(OR(ISNUMBER(SEARCH("week",C1047)),ISNUMBER(SEARCH("minggu",C1047))),IFERROR(_xlfn.NUMBERVALUE(SUBSTITUTE(LEFT(TRIM(C1047),FIND(" ",TRIM(C1047)&amp;" ")-1),",","."),"."),LEFT(SUBSTITUTE(LEFT(TRIM(C1047),FIND(" ",TRIM(C1047)&amp;" ")-1),",","."),FIND("/",SUBSTITUTE(LEFT(TRIM(C1047),FIND(" ",TRIM(C1047)&amp;" ")-1),",","."))-1)/MID(SUBSTITUTE(LEFT(TRIM(C1047),FIND(" ",TRIM(C1047)&amp;" ")-1),",","."),FIND("/",SUBSTITUTE(LEFT(TRIM(C1047),FIND(" ",TRIM(C1047)&amp;" ")-1),",","."))+1,9))*12/52,IF(ISNUMBER(SEARCH("month",C1047)),IFERROR(_xlfn.NUMBERVALUE(SUBSTITUTE(LEFT(TRIM(C1047),FIND(" ",TRIM(C1047)&amp;" ")-1),",","."),"."),LEFT(SUBSTITUTE(LEFT(TRIM(C1047),FIND(" ",TRIM(C1047)&amp;" ")-1),",","."),FIND("/",SUBSTITUTE(LEFT(TRIM(C1047),FIND(" ",TRIM(C1047)&amp;" ")-1),",","."))-1)/MID(SUBSTITUTE(LEFT(TRIM(C1047),FIND(" ",TRIM(C1047)&amp;" ")-1),",","."),FIND("/",SUBSTITUTE(LEFT(TRIM(C1047),FIND(" ",TRIM(C1047)&amp;" ")-1),",","."))+1,9)),IF(ISNUMBER(SEARCH("yea",C1047)),IFERROR(_xlfn.NUMBERVALUE(SUBSTITUTE(LEFT(TRIM(C1047),FIND(" ",TRIM(C1047)&amp;" ")-1),",","."),"."),LEFT(SUBSTITUTE(LEFT(TRIM(C1047),FIND(" ",TRIM(C1047)&amp;" ")-1),",","."),FIND("/",SUBSTITUTE(LEFT(TRIM(C1047),FIND(" ",TRIM(C1047)&amp;" ")-1),",","."))-1)/MID(SUBSTITUTE(LEFT(TRIM(C1047),FIND(" ",TRIM(C1047)&amp;" ")-1),",","."),FIND("/",SUBSTITUTE(LEFT(TRIM(C1047),FIND(" ",TRIM(C1047)&amp;" ")-1),",","."))+1,9))*12,NA()))),0),48)*'Aturan &amp; Tarif'!$B$4,2)</f>
        <v>2725.44</v>
      </c>
      <c r="K1047" s="42" t="n">
        <f aca="false">'Aturan &amp; Tarif'!$B$5</f>
        <v>2050</v>
      </c>
      <c r="L1047" s="42" t="n">
        <f aca="false">'Aturan &amp; Tarif'!$B$6</f>
        <v>350</v>
      </c>
      <c r="M1047" s="35" t="n">
        <f aca="false">I1047+J1047+K1047+L1047</f>
        <v>21375.44</v>
      </c>
      <c r="N1047" s="45" t="s">
        <v>2572</v>
      </c>
    </row>
    <row r="1048" customFormat="false" ht="83.25" hidden="false" customHeight="true" outlineLevel="0" collapsed="false">
      <c r="A1048" s="39"/>
      <c r="B1048" s="40" t="s">
        <v>2639</v>
      </c>
      <c r="C1048" s="41" t="s">
        <v>127</v>
      </c>
      <c r="D1048" s="41" t="s">
        <v>108</v>
      </c>
      <c r="E1048" s="42" t="n">
        <v>8967</v>
      </c>
      <c r="F1048" s="42"/>
      <c r="G1048" s="42"/>
      <c r="H1048" s="43" t="n">
        <v>2</v>
      </c>
      <c r="I1048" s="34" t="n">
        <f aca="false">E1048*H1048+N(F1048)+N(G1048)</f>
        <v>17934</v>
      </c>
      <c r="J1048" s="42" t="n">
        <f aca="false">ROUND(IFERROR(ROUND(IF(OR(ISNUMBER(SEARCH("week",C1048)),ISNUMBER(SEARCH("minggu",C1048))),IFERROR(_xlfn.NUMBERVALUE(SUBSTITUTE(LEFT(TRIM(C1048),FIND(" ",TRIM(C1048)&amp;" ")-1),",","."),"."),LEFT(SUBSTITUTE(LEFT(TRIM(C1048),FIND(" ",TRIM(C1048)&amp;" ")-1),",","."),FIND("/",SUBSTITUTE(LEFT(TRIM(C1048),FIND(" ",TRIM(C1048)&amp;" ")-1),",","."))-1)/MID(SUBSTITUTE(LEFT(TRIM(C1048),FIND(" ",TRIM(C1048)&amp;" ")-1),",","."),FIND("/",SUBSTITUTE(LEFT(TRIM(C1048),FIND(" ",TRIM(C1048)&amp;" ")-1),",","."))+1,9))*12/52,IF(ISNUMBER(SEARCH("month",C1048)),IFERROR(_xlfn.NUMBERVALUE(SUBSTITUTE(LEFT(TRIM(C1048),FIND(" ",TRIM(C1048)&amp;" ")-1),",","."),"."),LEFT(SUBSTITUTE(LEFT(TRIM(C1048),FIND(" ",TRIM(C1048)&amp;" ")-1),",","."),FIND("/",SUBSTITUTE(LEFT(TRIM(C1048),FIND(" ",TRIM(C1048)&amp;" ")-1),",","."))-1)/MID(SUBSTITUTE(LEFT(TRIM(C1048),FIND(" ",TRIM(C1048)&amp;" ")-1),",","."),FIND("/",SUBSTITUTE(LEFT(TRIM(C1048),FIND(" ",TRIM(C1048)&amp;" ")-1),",","."))+1,9)),IF(ISNUMBER(SEARCH("yea",C1048)),IFERROR(_xlfn.NUMBERVALUE(SUBSTITUTE(LEFT(TRIM(C1048),FIND(" ",TRIM(C1048)&amp;" ")-1),",","."),"."),LEFT(SUBSTITUTE(LEFT(TRIM(C1048),FIND(" ",TRIM(C1048)&amp;" ")-1),",","."),FIND("/",SUBSTITUTE(LEFT(TRIM(C1048),FIND(" ",TRIM(C1048)&amp;" ")-1),",","."))-1)/MID(SUBSTITUTE(LEFT(TRIM(C1048),FIND(" ",TRIM(C1048)&amp;" ")-1),",","."),FIND("/",SUBSTITUTE(LEFT(TRIM(C1048),FIND(" ",TRIM(C1048)&amp;" ")-1),",","."))+1,9))*12,NA()))),0),36)*'Aturan &amp; Tarif'!$B$4,2)</f>
        <v>2044.08</v>
      </c>
      <c r="K1048" s="42" t="n">
        <f aca="false">'Aturan &amp; Tarif'!$B$5</f>
        <v>2050</v>
      </c>
      <c r="L1048" s="42" t="n">
        <f aca="false">'Aturan &amp; Tarif'!$B$6</f>
        <v>350</v>
      </c>
      <c r="M1048" s="35" t="n">
        <f aca="false">I1048+J1048+K1048+L1048</f>
        <v>22378.08</v>
      </c>
      <c r="N1048" s="45" t="s">
        <v>2572</v>
      </c>
    </row>
    <row r="1049" customFormat="false" ht="37.5" hidden="false" customHeight="true" outlineLevel="0" collapsed="false">
      <c r="A1049" s="39"/>
      <c r="B1049" s="40" t="s">
        <v>2640</v>
      </c>
      <c r="C1049" s="41" t="s">
        <v>127</v>
      </c>
      <c r="D1049" s="41" t="s">
        <v>108</v>
      </c>
      <c r="E1049" s="42" t="n">
        <v>8125</v>
      </c>
      <c r="F1049" s="42"/>
      <c r="G1049" s="42"/>
      <c r="H1049" s="43" t="n">
        <v>2</v>
      </c>
      <c r="I1049" s="34" t="n">
        <f aca="false">E1049*H1049+N(F1049)+N(G1049)</f>
        <v>16250</v>
      </c>
      <c r="J1049" s="42" t="n">
        <f aca="false">ROUND(IFERROR(ROUND(IF(OR(ISNUMBER(SEARCH("week",C1049)),ISNUMBER(SEARCH("minggu",C1049))),IFERROR(_xlfn.NUMBERVALUE(SUBSTITUTE(LEFT(TRIM(C1049),FIND(" ",TRIM(C1049)&amp;" ")-1),",","."),"."),LEFT(SUBSTITUTE(LEFT(TRIM(C1049),FIND(" ",TRIM(C1049)&amp;" ")-1),",","."),FIND("/",SUBSTITUTE(LEFT(TRIM(C1049),FIND(" ",TRIM(C1049)&amp;" ")-1),",","."))-1)/MID(SUBSTITUTE(LEFT(TRIM(C1049),FIND(" ",TRIM(C1049)&amp;" ")-1),",","."),FIND("/",SUBSTITUTE(LEFT(TRIM(C1049),FIND(" ",TRIM(C1049)&amp;" ")-1),",","."))+1,9))*12/52,IF(ISNUMBER(SEARCH("month",C1049)),IFERROR(_xlfn.NUMBERVALUE(SUBSTITUTE(LEFT(TRIM(C1049),FIND(" ",TRIM(C1049)&amp;" ")-1),",","."),"."),LEFT(SUBSTITUTE(LEFT(TRIM(C1049),FIND(" ",TRIM(C1049)&amp;" ")-1),",","."),FIND("/",SUBSTITUTE(LEFT(TRIM(C1049),FIND(" ",TRIM(C1049)&amp;" ")-1),",","."))-1)/MID(SUBSTITUTE(LEFT(TRIM(C1049),FIND(" ",TRIM(C1049)&amp;" ")-1),",","."),FIND("/",SUBSTITUTE(LEFT(TRIM(C1049),FIND(" ",TRIM(C1049)&amp;" ")-1),",","."))+1,9)),IF(ISNUMBER(SEARCH("yea",C1049)),IFERROR(_xlfn.NUMBERVALUE(SUBSTITUTE(LEFT(TRIM(C1049),FIND(" ",TRIM(C1049)&amp;" ")-1),",","."),"."),LEFT(SUBSTITUTE(LEFT(TRIM(C1049),FIND(" ",TRIM(C1049)&amp;" ")-1),",","."),FIND("/",SUBSTITUTE(LEFT(TRIM(C1049),FIND(" ",TRIM(C1049)&amp;" ")-1),",","."))-1)/MID(SUBSTITUTE(LEFT(TRIM(C1049),FIND(" ",TRIM(C1049)&amp;" ")-1),",","."),FIND("/",SUBSTITUTE(LEFT(TRIM(C1049),FIND(" ",TRIM(C1049)&amp;" ")-1),",","."))+1,9))*12,NA()))),0),36)*'Aturan &amp; Tarif'!$B$4,2)</f>
        <v>2044.08</v>
      </c>
      <c r="K1049" s="42" t="n">
        <f aca="false">'Aturan &amp; Tarif'!$B$5</f>
        <v>2050</v>
      </c>
      <c r="L1049" s="42" t="n">
        <f aca="false">'Aturan &amp; Tarif'!$B$6</f>
        <v>350</v>
      </c>
      <c r="M1049" s="35" t="n">
        <f aca="false">I1049+J1049+K1049+L1049</f>
        <v>20694.08</v>
      </c>
      <c r="N1049" s="45" t="s">
        <v>2572</v>
      </c>
    </row>
    <row r="1050" customFormat="false" ht="25.5" hidden="false" customHeight="true" outlineLevel="0" collapsed="false">
      <c r="A1050" s="39"/>
      <c r="B1050" s="40" t="s">
        <v>2641</v>
      </c>
      <c r="C1050" s="41" t="s">
        <v>127</v>
      </c>
      <c r="D1050" s="41" t="s">
        <v>108</v>
      </c>
      <c r="E1050" s="42" t="n">
        <v>8125</v>
      </c>
      <c r="F1050" s="42"/>
      <c r="G1050" s="42"/>
      <c r="H1050" s="43" t="n">
        <v>2</v>
      </c>
      <c r="I1050" s="34" t="n">
        <f aca="false">E1050*H1050+N(F1050)+N(G1050)</f>
        <v>16250</v>
      </c>
      <c r="J1050" s="42" t="n">
        <f aca="false">ROUND(IFERROR(ROUND(IF(OR(ISNUMBER(SEARCH("week",C1050)),ISNUMBER(SEARCH("minggu",C1050))),IFERROR(_xlfn.NUMBERVALUE(SUBSTITUTE(LEFT(TRIM(C1050),FIND(" ",TRIM(C1050)&amp;" ")-1),",","."),"."),LEFT(SUBSTITUTE(LEFT(TRIM(C1050),FIND(" ",TRIM(C1050)&amp;" ")-1),",","."),FIND("/",SUBSTITUTE(LEFT(TRIM(C1050),FIND(" ",TRIM(C1050)&amp;" ")-1),",","."))-1)/MID(SUBSTITUTE(LEFT(TRIM(C1050),FIND(" ",TRIM(C1050)&amp;" ")-1),",","."),FIND("/",SUBSTITUTE(LEFT(TRIM(C1050),FIND(" ",TRIM(C1050)&amp;" ")-1),",","."))+1,9))*12/52,IF(ISNUMBER(SEARCH("month",C1050)),IFERROR(_xlfn.NUMBERVALUE(SUBSTITUTE(LEFT(TRIM(C1050),FIND(" ",TRIM(C1050)&amp;" ")-1),",","."),"."),LEFT(SUBSTITUTE(LEFT(TRIM(C1050),FIND(" ",TRIM(C1050)&amp;" ")-1),",","."),FIND("/",SUBSTITUTE(LEFT(TRIM(C1050),FIND(" ",TRIM(C1050)&amp;" ")-1),",","."))-1)/MID(SUBSTITUTE(LEFT(TRIM(C1050),FIND(" ",TRIM(C1050)&amp;" ")-1),",","."),FIND("/",SUBSTITUTE(LEFT(TRIM(C1050),FIND(" ",TRIM(C1050)&amp;" ")-1),",","."))+1,9)),IF(ISNUMBER(SEARCH("yea",C1050)),IFERROR(_xlfn.NUMBERVALUE(SUBSTITUTE(LEFT(TRIM(C1050),FIND(" ",TRIM(C1050)&amp;" ")-1),",","."),"."),LEFT(SUBSTITUTE(LEFT(TRIM(C1050),FIND(" ",TRIM(C1050)&amp;" ")-1),",","."),FIND("/",SUBSTITUTE(LEFT(TRIM(C1050),FIND(" ",TRIM(C1050)&amp;" ")-1),",","."))-1)/MID(SUBSTITUTE(LEFT(TRIM(C1050),FIND(" ",TRIM(C1050)&amp;" ")-1),",","."),FIND("/",SUBSTITUTE(LEFT(TRIM(C1050),FIND(" ",TRIM(C1050)&amp;" ")-1),",","."))+1,9))*12,NA()))),0),36)*'Aturan &amp; Tarif'!$B$4,2)</f>
        <v>2044.08</v>
      </c>
      <c r="K1050" s="42" t="n">
        <f aca="false">'Aturan &amp; Tarif'!$B$5</f>
        <v>2050</v>
      </c>
      <c r="L1050" s="42" t="n">
        <f aca="false">'Aturan &amp; Tarif'!$B$6</f>
        <v>350</v>
      </c>
      <c r="M1050" s="35" t="n">
        <f aca="false">I1050+J1050+K1050+L1050</f>
        <v>20694.08</v>
      </c>
      <c r="N1050" s="45" t="s">
        <v>2572</v>
      </c>
    </row>
    <row r="1051" customFormat="false" ht="37.5" hidden="false" customHeight="true" outlineLevel="0" collapsed="false">
      <c r="A1051" s="39"/>
      <c r="B1051" s="40" t="s">
        <v>2642</v>
      </c>
      <c r="C1051" s="41" t="s">
        <v>127</v>
      </c>
      <c r="D1051" s="41" t="s">
        <v>108</v>
      </c>
      <c r="E1051" s="42" t="n">
        <v>8125</v>
      </c>
      <c r="F1051" s="42"/>
      <c r="G1051" s="42"/>
      <c r="H1051" s="43" t="n">
        <v>2</v>
      </c>
      <c r="I1051" s="34" t="n">
        <f aca="false">E1051*H1051+N(F1051)+N(G1051)</f>
        <v>16250</v>
      </c>
      <c r="J1051" s="42" t="n">
        <f aca="false">ROUND(IFERROR(ROUND(IF(OR(ISNUMBER(SEARCH("week",C1051)),ISNUMBER(SEARCH("minggu",C1051))),IFERROR(_xlfn.NUMBERVALUE(SUBSTITUTE(LEFT(TRIM(C1051),FIND(" ",TRIM(C1051)&amp;" ")-1),",","."),"."),LEFT(SUBSTITUTE(LEFT(TRIM(C1051),FIND(" ",TRIM(C1051)&amp;" ")-1),",","."),FIND("/",SUBSTITUTE(LEFT(TRIM(C1051),FIND(" ",TRIM(C1051)&amp;" ")-1),",","."))-1)/MID(SUBSTITUTE(LEFT(TRIM(C1051),FIND(" ",TRIM(C1051)&amp;" ")-1),",","."),FIND("/",SUBSTITUTE(LEFT(TRIM(C1051),FIND(" ",TRIM(C1051)&amp;" ")-1),",","."))+1,9))*12/52,IF(ISNUMBER(SEARCH("month",C1051)),IFERROR(_xlfn.NUMBERVALUE(SUBSTITUTE(LEFT(TRIM(C1051),FIND(" ",TRIM(C1051)&amp;" ")-1),",","."),"."),LEFT(SUBSTITUTE(LEFT(TRIM(C1051),FIND(" ",TRIM(C1051)&amp;" ")-1),",","."),FIND("/",SUBSTITUTE(LEFT(TRIM(C1051),FIND(" ",TRIM(C1051)&amp;" ")-1),",","."))-1)/MID(SUBSTITUTE(LEFT(TRIM(C1051),FIND(" ",TRIM(C1051)&amp;" ")-1),",","."),FIND("/",SUBSTITUTE(LEFT(TRIM(C1051),FIND(" ",TRIM(C1051)&amp;" ")-1),",","."))+1,9)),IF(ISNUMBER(SEARCH("yea",C1051)),IFERROR(_xlfn.NUMBERVALUE(SUBSTITUTE(LEFT(TRIM(C1051),FIND(" ",TRIM(C1051)&amp;" ")-1),",","."),"."),LEFT(SUBSTITUTE(LEFT(TRIM(C1051),FIND(" ",TRIM(C1051)&amp;" ")-1),",","."),FIND("/",SUBSTITUTE(LEFT(TRIM(C1051),FIND(" ",TRIM(C1051)&amp;" ")-1),",","."))-1)/MID(SUBSTITUTE(LEFT(TRIM(C1051),FIND(" ",TRIM(C1051)&amp;" ")-1),",","."),FIND("/",SUBSTITUTE(LEFT(TRIM(C1051),FIND(" ",TRIM(C1051)&amp;" ")-1),",","."))+1,9))*12,NA()))),0),36)*'Aturan &amp; Tarif'!$B$4,2)</f>
        <v>2044.08</v>
      </c>
      <c r="K1051" s="42" t="n">
        <f aca="false">'Aturan &amp; Tarif'!$B$5</f>
        <v>2050</v>
      </c>
      <c r="L1051" s="42" t="n">
        <f aca="false">'Aturan &amp; Tarif'!$B$6</f>
        <v>350</v>
      </c>
      <c r="M1051" s="35" t="n">
        <f aca="false">I1051+J1051+K1051+L1051</f>
        <v>20694.08</v>
      </c>
      <c r="N1051" s="45" t="s">
        <v>2572</v>
      </c>
    </row>
    <row r="1052" customFormat="false" ht="37.5" hidden="false" customHeight="true" outlineLevel="0" collapsed="false">
      <c r="A1052" s="39"/>
      <c r="B1052" s="40" t="s">
        <v>2643</v>
      </c>
      <c r="C1052" s="41" t="s">
        <v>191</v>
      </c>
      <c r="D1052" s="41" t="s">
        <v>108</v>
      </c>
      <c r="E1052" s="42" t="n">
        <v>8125</v>
      </c>
      <c r="F1052" s="42"/>
      <c r="G1052" s="42"/>
      <c r="H1052" s="43" t="n">
        <v>2</v>
      </c>
      <c r="I1052" s="34" t="n">
        <f aca="false">E1052*H1052+N(F1052)+N(G1052)</f>
        <v>16250</v>
      </c>
      <c r="J1052" s="42" t="n">
        <f aca="false">ROUND(IFERROR(ROUND(IF(OR(ISNUMBER(SEARCH("week",C1052)),ISNUMBER(SEARCH("minggu",C1052))),IFERROR(_xlfn.NUMBERVALUE(SUBSTITUTE(LEFT(TRIM(C1052),FIND(" ",TRIM(C1052)&amp;" ")-1),",","."),"."),LEFT(SUBSTITUTE(LEFT(TRIM(C1052),FIND(" ",TRIM(C1052)&amp;" ")-1),",","."),FIND("/",SUBSTITUTE(LEFT(TRIM(C1052),FIND(" ",TRIM(C1052)&amp;" ")-1),",","."))-1)/MID(SUBSTITUTE(LEFT(TRIM(C1052),FIND(" ",TRIM(C1052)&amp;" ")-1),",","."),FIND("/",SUBSTITUTE(LEFT(TRIM(C1052),FIND(" ",TRIM(C1052)&amp;" ")-1),",","."))+1,9))*12/52,IF(ISNUMBER(SEARCH("month",C1052)),IFERROR(_xlfn.NUMBERVALUE(SUBSTITUTE(LEFT(TRIM(C1052),FIND(" ",TRIM(C1052)&amp;" ")-1),",","."),"."),LEFT(SUBSTITUTE(LEFT(TRIM(C1052),FIND(" ",TRIM(C1052)&amp;" ")-1),",","."),FIND("/",SUBSTITUTE(LEFT(TRIM(C1052),FIND(" ",TRIM(C1052)&amp;" ")-1),",","."))-1)/MID(SUBSTITUTE(LEFT(TRIM(C1052),FIND(" ",TRIM(C1052)&amp;" ")-1),",","."),FIND("/",SUBSTITUTE(LEFT(TRIM(C1052),FIND(" ",TRIM(C1052)&amp;" ")-1),",","."))+1,9)),IF(ISNUMBER(SEARCH("yea",C1052)),IFERROR(_xlfn.NUMBERVALUE(SUBSTITUTE(LEFT(TRIM(C1052),FIND(" ",TRIM(C1052)&amp;" ")-1),",","."),"."),LEFT(SUBSTITUTE(LEFT(TRIM(C1052),FIND(" ",TRIM(C1052)&amp;" ")-1),",","."),FIND("/",SUBSTITUTE(LEFT(TRIM(C1052),FIND(" ",TRIM(C1052)&amp;" ")-1),",","."))-1)/MID(SUBSTITUTE(LEFT(TRIM(C1052),FIND(" ",TRIM(C1052)&amp;" ")-1),",","."),FIND("/",SUBSTITUTE(LEFT(TRIM(C1052),FIND(" ",TRIM(C1052)&amp;" ")-1),",","."))+1,9))*12,NA()))),0),48)*'Aturan &amp; Tarif'!$B$4,2)</f>
        <v>2725.44</v>
      </c>
      <c r="K1052" s="42" t="n">
        <f aca="false">'Aturan &amp; Tarif'!$B$5</f>
        <v>2050</v>
      </c>
      <c r="L1052" s="42" t="n">
        <f aca="false">'Aturan &amp; Tarif'!$B$6</f>
        <v>350</v>
      </c>
      <c r="M1052" s="35" t="n">
        <f aca="false">I1052+J1052+K1052+L1052</f>
        <v>21375.44</v>
      </c>
      <c r="N1052" s="45" t="s">
        <v>2572</v>
      </c>
    </row>
    <row r="1053" customFormat="false" ht="37.5" hidden="false" customHeight="true" outlineLevel="0" collapsed="false">
      <c r="A1053" s="39"/>
      <c r="B1053" s="40" t="s">
        <v>2644</v>
      </c>
      <c r="C1053" s="41" t="s">
        <v>191</v>
      </c>
      <c r="D1053" s="41" t="s">
        <v>108</v>
      </c>
      <c r="E1053" s="42" t="n">
        <v>8125</v>
      </c>
      <c r="F1053" s="42"/>
      <c r="G1053" s="42"/>
      <c r="H1053" s="43" t="n">
        <v>2</v>
      </c>
      <c r="I1053" s="34" t="n">
        <f aca="false">E1053*H1053+N(F1053)+N(G1053)</f>
        <v>16250</v>
      </c>
      <c r="J1053" s="42" t="n">
        <f aca="false">ROUND(IFERROR(ROUND(IF(OR(ISNUMBER(SEARCH("week",C1053)),ISNUMBER(SEARCH("minggu",C1053))),IFERROR(_xlfn.NUMBERVALUE(SUBSTITUTE(LEFT(TRIM(C1053),FIND(" ",TRIM(C1053)&amp;" ")-1),",","."),"."),LEFT(SUBSTITUTE(LEFT(TRIM(C1053),FIND(" ",TRIM(C1053)&amp;" ")-1),",","."),FIND("/",SUBSTITUTE(LEFT(TRIM(C1053),FIND(" ",TRIM(C1053)&amp;" ")-1),",","."))-1)/MID(SUBSTITUTE(LEFT(TRIM(C1053),FIND(" ",TRIM(C1053)&amp;" ")-1),",","."),FIND("/",SUBSTITUTE(LEFT(TRIM(C1053),FIND(" ",TRIM(C1053)&amp;" ")-1),",","."))+1,9))*12/52,IF(ISNUMBER(SEARCH("month",C1053)),IFERROR(_xlfn.NUMBERVALUE(SUBSTITUTE(LEFT(TRIM(C1053),FIND(" ",TRIM(C1053)&amp;" ")-1),",","."),"."),LEFT(SUBSTITUTE(LEFT(TRIM(C1053),FIND(" ",TRIM(C1053)&amp;" ")-1),",","."),FIND("/",SUBSTITUTE(LEFT(TRIM(C1053),FIND(" ",TRIM(C1053)&amp;" ")-1),",","."))-1)/MID(SUBSTITUTE(LEFT(TRIM(C1053),FIND(" ",TRIM(C1053)&amp;" ")-1),",","."),FIND("/",SUBSTITUTE(LEFT(TRIM(C1053),FIND(" ",TRIM(C1053)&amp;" ")-1),",","."))+1,9)),IF(ISNUMBER(SEARCH("yea",C1053)),IFERROR(_xlfn.NUMBERVALUE(SUBSTITUTE(LEFT(TRIM(C1053),FIND(" ",TRIM(C1053)&amp;" ")-1),",","."),"."),LEFT(SUBSTITUTE(LEFT(TRIM(C1053),FIND(" ",TRIM(C1053)&amp;" ")-1),",","."),FIND("/",SUBSTITUTE(LEFT(TRIM(C1053),FIND(" ",TRIM(C1053)&amp;" ")-1),",","."))-1)/MID(SUBSTITUTE(LEFT(TRIM(C1053),FIND(" ",TRIM(C1053)&amp;" ")-1),",","."),FIND("/",SUBSTITUTE(LEFT(TRIM(C1053),FIND(" ",TRIM(C1053)&amp;" ")-1),",","."))+1,9))*12,NA()))),0),48)*'Aturan &amp; Tarif'!$B$4,2)</f>
        <v>2725.44</v>
      </c>
      <c r="K1053" s="42" t="n">
        <f aca="false">'Aturan &amp; Tarif'!$B$5</f>
        <v>2050</v>
      </c>
      <c r="L1053" s="42" t="n">
        <f aca="false">'Aturan &amp; Tarif'!$B$6</f>
        <v>350</v>
      </c>
      <c r="M1053" s="35" t="n">
        <f aca="false">I1053+J1053+K1053+L1053</f>
        <v>21375.44</v>
      </c>
      <c r="N1053" s="45" t="s">
        <v>2572</v>
      </c>
    </row>
    <row r="1054" customFormat="false" ht="25.5" hidden="false" customHeight="true" outlineLevel="0" collapsed="false">
      <c r="A1054" s="39"/>
      <c r="B1054" s="40" t="s">
        <v>2645</v>
      </c>
      <c r="C1054" s="41" t="s">
        <v>191</v>
      </c>
      <c r="D1054" s="41" t="s">
        <v>108</v>
      </c>
      <c r="E1054" s="42" t="n">
        <v>8125</v>
      </c>
      <c r="F1054" s="42"/>
      <c r="G1054" s="42"/>
      <c r="H1054" s="43" t="n">
        <v>2</v>
      </c>
      <c r="I1054" s="34" t="n">
        <f aca="false">E1054*H1054+N(F1054)+N(G1054)</f>
        <v>16250</v>
      </c>
      <c r="J1054" s="42" t="n">
        <f aca="false">ROUND(IFERROR(ROUND(IF(OR(ISNUMBER(SEARCH("week",C1054)),ISNUMBER(SEARCH("minggu",C1054))),IFERROR(_xlfn.NUMBERVALUE(SUBSTITUTE(LEFT(TRIM(C1054),FIND(" ",TRIM(C1054)&amp;" ")-1),",","."),"."),LEFT(SUBSTITUTE(LEFT(TRIM(C1054),FIND(" ",TRIM(C1054)&amp;" ")-1),",","."),FIND("/",SUBSTITUTE(LEFT(TRIM(C1054),FIND(" ",TRIM(C1054)&amp;" ")-1),",","."))-1)/MID(SUBSTITUTE(LEFT(TRIM(C1054),FIND(" ",TRIM(C1054)&amp;" ")-1),",","."),FIND("/",SUBSTITUTE(LEFT(TRIM(C1054),FIND(" ",TRIM(C1054)&amp;" ")-1),",","."))+1,9))*12/52,IF(ISNUMBER(SEARCH("month",C1054)),IFERROR(_xlfn.NUMBERVALUE(SUBSTITUTE(LEFT(TRIM(C1054),FIND(" ",TRIM(C1054)&amp;" ")-1),",","."),"."),LEFT(SUBSTITUTE(LEFT(TRIM(C1054),FIND(" ",TRIM(C1054)&amp;" ")-1),",","."),FIND("/",SUBSTITUTE(LEFT(TRIM(C1054),FIND(" ",TRIM(C1054)&amp;" ")-1),",","."))-1)/MID(SUBSTITUTE(LEFT(TRIM(C1054),FIND(" ",TRIM(C1054)&amp;" ")-1),",","."),FIND("/",SUBSTITUTE(LEFT(TRIM(C1054),FIND(" ",TRIM(C1054)&amp;" ")-1),",","."))+1,9)),IF(ISNUMBER(SEARCH("yea",C1054)),IFERROR(_xlfn.NUMBERVALUE(SUBSTITUTE(LEFT(TRIM(C1054),FIND(" ",TRIM(C1054)&amp;" ")-1),",","."),"."),LEFT(SUBSTITUTE(LEFT(TRIM(C1054),FIND(" ",TRIM(C1054)&amp;" ")-1),",","."),FIND("/",SUBSTITUTE(LEFT(TRIM(C1054),FIND(" ",TRIM(C1054)&amp;" ")-1),",","."))-1)/MID(SUBSTITUTE(LEFT(TRIM(C1054),FIND(" ",TRIM(C1054)&amp;" ")-1),",","."),FIND("/",SUBSTITUTE(LEFT(TRIM(C1054),FIND(" ",TRIM(C1054)&amp;" ")-1),",","."))+1,9))*12,NA()))),0),48)*'Aturan &amp; Tarif'!$B$4,2)</f>
        <v>2725.44</v>
      </c>
      <c r="K1054" s="42" t="n">
        <f aca="false">'Aturan &amp; Tarif'!$B$5</f>
        <v>2050</v>
      </c>
      <c r="L1054" s="42" t="n">
        <f aca="false">'Aturan &amp; Tarif'!$B$6</f>
        <v>350</v>
      </c>
      <c r="M1054" s="35" t="n">
        <f aca="false">I1054+J1054+K1054+L1054</f>
        <v>21375.44</v>
      </c>
      <c r="N1054" s="45" t="s">
        <v>2572</v>
      </c>
    </row>
    <row r="1055" customFormat="false" ht="25.5" hidden="false" customHeight="true" outlineLevel="0" collapsed="false">
      <c r="A1055" s="39"/>
      <c r="B1055" s="40" t="s">
        <v>2646</v>
      </c>
      <c r="C1055" s="41" t="s">
        <v>127</v>
      </c>
      <c r="D1055" s="41" t="s">
        <v>108</v>
      </c>
      <c r="E1055" s="42" t="n">
        <v>9908</v>
      </c>
      <c r="F1055" s="42"/>
      <c r="G1055" s="42"/>
      <c r="H1055" s="43" t="n">
        <v>2</v>
      </c>
      <c r="I1055" s="34" t="n">
        <f aca="false">E1055*H1055+N(F1055)+N(G1055)</f>
        <v>19816</v>
      </c>
      <c r="J1055" s="42" t="n">
        <f aca="false">ROUND(IFERROR(ROUND(IF(OR(ISNUMBER(SEARCH("week",C1055)),ISNUMBER(SEARCH("minggu",C1055))),IFERROR(_xlfn.NUMBERVALUE(SUBSTITUTE(LEFT(TRIM(C1055),FIND(" ",TRIM(C1055)&amp;" ")-1),",","."),"."),LEFT(SUBSTITUTE(LEFT(TRIM(C1055),FIND(" ",TRIM(C1055)&amp;" ")-1),",","."),FIND("/",SUBSTITUTE(LEFT(TRIM(C1055),FIND(" ",TRIM(C1055)&amp;" ")-1),",","."))-1)/MID(SUBSTITUTE(LEFT(TRIM(C1055),FIND(" ",TRIM(C1055)&amp;" ")-1),",","."),FIND("/",SUBSTITUTE(LEFT(TRIM(C1055),FIND(" ",TRIM(C1055)&amp;" ")-1),",","."))+1,9))*12/52,IF(ISNUMBER(SEARCH("month",C1055)),IFERROR(_xlfn.NUMBERVALUE(SUBSTITUTE(LEFT(TRIM(C1055),FIND(" ",TRIM(C1055)&amp;" ")-1),",","."),"."),LEFT(SUBSTITUTE(LEFT(TRIM(C1055),FIND(" ",TRIM(C1055)&amp;" ")-1),",","."),FIND("/",SUBSTITUTE(LEFT(TRIM(C1055),FIND(" ",TRIM(C1055)&amp;" ")-1),",","."))-1)/MID(SUBSTITUTE(LEFT(TRIM(C1055),FIND(" ",TRIM(C1055)&amp;" ")-1),",","."),FIND("/",SUBSTITUTE(LEFT(TRIM(C1055),FIND(" ",TRIM(C1055)&amp;" ")-1),",","."))+1,9)),IF(ISNUMBER(SEARCH("yea",C1055)),IFERROR(_xlfn.NUMBERVALUE(SUBSTITUTE(LEFT(TRIM(C1055),FIND(" ",TRIM(C1055)&amp;" ")-1),",","."),"."),LEFT(SUBSTITUTE(LEFT(TRIM(C1055),FIND(" ",TRIM(C1055)&amp;" ")-1),",","."),FIND("/",SUBSTITUTE(LEFT(TRIM(C1055),FIND(" ",TRIM(C1055)&amp;" ")-1),",","."))-1)/MID(SUBSTITUTE(LEFT(TRIM(C1055),FIND(" ",TRIM(C1055)&amp;" ")-1),",","."),FIND("/",SUBSTITUTE(LEFT(TRIM(C1055),FIND(" ",TRIM(C1055)&amp;" ")-1),",","."))+1,9))*12,NA()))),0),36)*'Aturan &amp; Tarif'!$B$4,2)</f>
        <v>2044.08</v>
      </c>
      <c r="K1055" s="42" t="n">
        <f aca="false">'Aturan &amp; Tarif'!$B$5</f>
        <v>2050</v>
      </c>
      <c r="L1055" s="42" t="n">
        <f aca="false">'Aturan &amp; Tarif'!$B$6</f>
        <v>350</v>
      </c>
      <c r="M1055" s="35" t="n">
        <f aca="false">I1055+J1055+K1055+L1055</f>
        <v>24260.08</v>
      </c>
      <c r="N1055" s="45" t="s">
        <v>2572</v>
      </c>
    </row>
    <row r="1056" customFormat="false" ht="37.5" hidden="false" customHeight="true" outlineLevel="0" collapsed="false">
      <c r="A1056" s="39"/>
      <c r="B1056" s="40" t="s">
        <v>2647</v>
      </c>
      <c r="C1056" s="41" t="s">
        <v>127</v>
      </c>
      <c r="D1056" s="41" t="s">
        <v>108</v>
      </c>
      <c r="E1056" s="42" t="n">
        <v>8694</v>
      </c>
      <c r="F1056" s="42"/>
      <c r="G1056" s="42"/>
      <c r="H1056" s="43" t="n">
        <v>2</v>
      </c>
      <c r="I1056" s="34" t="n">
        <f aca="false">E1056*H1056+N(F1056)+N(G1056)</f>
        <v>17388</v>
      </c>
      <c r="J1056" s="42" t="n">
        <f aca="false">ROUND(IFERROR(ROUND(IF(OR(ISNUMBER(SEARCH("week",C1056)),ISNUMBER(SEARCH("minggu",C1056))),IFERROR(_xlfn.NUMBERVALUE(SUBSTITUTE(LEFT(TRIM(C1056),FIND(" ",TRIM(C1056)&amp;" ")-1),",","."),"."),LEFT(SUBSTITUTE(LEFT(TRIM(C1056),FIND(" ",TRIM(C1056)&amp;" ")-1),",","."),FIND("/",SUBSTITUTE(LEFT(TRIM(C1056),FIND(" ",TRIM(C1056)&amp;" ")-1),",","."))-1)/MID(SUBSTITUTE(LEFT(TRIM(C1056),FIND(" ",TRIM(C1056)&amp;" ")-1),",","."),FIND("/",SUBSTITUTE(LEFT(TRIM(C1056),FIND(" ",TRIM(C1056)&amp;" ")-1),",","."))+1,9))*12/52,IF(ISNUMBER(SEARCH("month",C1056)),IFERROR(_xlfn.NUMBERVALUE(SUBSTITUTE(LEFT(TRIM(C1056),FIND(" ",TRIM(C1056)&amp;" ")-1),",","."),"."),LEFT(SUBSTITUTE(LEFT(TRIM(C1056),FIND(" ",TRIM(C1056)&amp;" ")-1),",","."),FIND("/",SUBSTITUTE(LEFT(TRIM(C1056),FIND(" ",TRIM(C1056)&amp;" ")-1),",","."))-1)/MID(SUBSTITUTE(LEFT(TRIM(C1056),FIND(" ",TRIM(C1056)&amp;" ")-1),",","."),FIND("/",SUBSTITUTE(LEFT(TRIM(C1056),FIND(" ",TRIM(C1056)&amp;" ")-1),",","."))+1,9)),IF(ISNUMBER(SEARCH("yea",C1056)),IFERROR(_xlfn.NUMBERVALUE(SUBSTITUTE(LEFT(TRIM(C1056),FIND(" ",TRIM(C1056)&amp;" ")-1),",","."),"."),LEFT(SUBSTITUTE(LEFT(TRIM(C1056),FIND(" ",TRIM(C1056)&amp;" ")-1),",","."),FIND("/",SUBSTITUTE(LEFT(TRIM(C1056),FIND(" ",TRIM(C1056)&amp;" ")-1),",","."))-1)/MID(SUBSTITUTE(LEFT(TRIM(C1056),FIND(" ",TRIM(C1056)&amp;" ")-1),",","."),FIND("/",SUBSTITUTE(LEFT(TRIM(C1056),FIND(" ",TRIM(C1056)&amp;" ")-1),",","."))+1,9))*12,NA()))),0),36)*'Aturan &amp; Tarif'!$B$4,2)</f>
        <v>2044.08</v>
      </c>
      <c r="K1056" s="42" t="n">
        <f aca="false">'Aturan &amp; Tarif'!$B$5</f>
        <v>2050</v>
      </c>
      <c r="L1056" s="42" t="n">
        <f aca="false">'Aturan &amp; Tarif'!$B$6</f>
        <v>350</v>
      </c>
      <c r="M1056" s="35" t="n">
        <f aca="false">I1056+J1056+K1056+L1056</f>
        <v>21832.08</v>
      </c>
      <c r="N1056" s="45" t="s">
        <v>2648</v>
      </c>
    </row>
    <row r="1057" customFormat="false" ht="37.5" hidden="false" customHeight="true" outlineLevel="0" collapsed="false">
      <c r="A1057" s="39"/>
      <c r="B1057" s="40" t="s">
        <v>2649</v>
      </c>
      <c r="C1057" s="41" t="s">
        <v>127</v>
      </c>
      <c r="D1057" s="41" t="s">
        <v>108</v>
      </c>
      <c r="E1057" s="42" t="n">
        <v>8125</v>
      </c>
      <c r="F1057" s="42"/>
      <c r="G1057" s="42"/>
      <c r="H1057" s="43" t="n">
        <v>2</v>
      </c>
      <c r="I1057" s="34" t="n">
        <f aca="false">E1057*H1057+N(F1057)+N(G1057)</f>
        <v>16250</v>
      </c>
      <c r="J1057" s="42" t="n">
        <f aca="false">ROUND(IFERROR(ROUND(IF(OR(ISNUMBER(SEARCH("week",C1057)),ISNUMBER(SEARCH("minggu",C1057))),IFERROR(_xlfn.NUMBERVALUE(SUBSTITUTE(LEFT(TRIM(C1057),FIND(" ",TRIM(C1057)&amp;" ")-1),",","."),"."),LEFT(SUBSTITUTE(LEFT(TRIM(C1057),FIND(" ",TRIM(C1057)&amp;" ")-1),",","."),FIND("/",SUBSTITUTE(LEFT(TRIM(C1057),FIND(" ",TRIM(C1057)&amp;" ")-1),",","."))-1)/MID(SUBSTITUTE(LEFT(TRIM(C1057),FIND(" ",TRIM(C1057)&amp;" ")-1),",","."),FIND("/",SUBSTITUTE(LEFT(TRIM(C1057),FIND(" ",TRIM(C1057)&amp;" ")-1),",","."))+1,9))*12/52,IF(ISNUMBER(SEARCH("month",C1057)),IFERROR(_xlfn.NUMBERVALUE(SUBSTITUTE(LEFT(TRIM(C1057),FIND(" ",TRIM(C1057)&amp;" ")-1),",","."),"."),LEFT(SUBSTITUTE(LEFT(TRIM(C1057),FIND(" ",TRIM(C1057)&amp;" ")-1),",","."),FIND("/",SUBSTITUTE(LEFT(TRIM(C1057),FIND(" ",TRIM(C1057)&amp;" ")-1),",","."))-1)/MID(SUBSTITUTE(LEFT(TRIM(C1057),FIND(" ",TRIM(C1057)&amp;" ")-1),",","."),FIND("/",SUBSTITUTE(LEFT(TRIM(C1057),FIND(" ",TRIM(C1057)&amp;" ")-1),",","."))+1,9)),IF(ISNUMBER(SEARCH("yea",C1057)),IFERROR(_xlfn.NUMBERVALUE(SUBSTITUTE(LEFT(TRIM(C1057),FIND(" ",TRIM(C1057)&amp;" ")-1),",","."),"."),LEFT(SUBSTITUTE(LEFT(TRIM(C1057),FIND(" ",TRIM(C1057)&amp;" ")-1),",","."),FIND("/",SUBSTITUTE(LEFT(TRIM(C1057),FIND(" ",TRIM(C1057)&amp;" ")-1),",","."))-1)/MID(SUBSTITUTE(LEFT(TRIM(C1057),FIND(" ",TRIM(C1057)&amp;" ")-1),",","."),FIND("/",SUBSTITUTE(LEFT(TRIM(C1057),FIND(" ",TRIM(C1057)&amp;" ")-1),",","."))+1,9))*12,NA()))),0),36)*'Aturan &amp; Tarif'!$B$4,2)</f>
        <v>2044.08</v>
      </c>
      <c r="K1057" s="42" t="n">
        <f aca="false">'Aturan &amp; Tarif'!$B$5</f>
        <v>2050</v>
      </c>
      <c r="L1057" s="42" t="n">
        <f aca="false">'Aturan &amp; Tarif'!$B$6</f>
        <v>350</v>
      </c>
      <c r="M1057" s="35" t="n">
        <f aca="false">I1057+J1057+K1057+L1057</f>
        <v>20694.08</v>
      </c>
      <c r="N1057" s="45" t="s">
        <v>2648</v>
      </c>
    </row>
    <row r="1058" customFormat="false" ht="37.5" hidden="false" customHeight="true" outlineLevel="0" collapsed="false">
      <c r="A1058" s="39"/>
      <c r="B1058" s="40" t="s">
        <v>2650</v>
      </c>
      <c r="C1058" s="41" t="s">
        <v>127</v>
      </c>
      <c r="D1058" s="41" t="s">
        <v>108</v>
      </c>
      <c r="E1058" s="42" t="n">
        <v>8125</v>
      </c>
      <c r="F1058" s="42"/>
      <c r="G1058" s="42"/>
      <c r="H1058" s="43" t="n">
        <v>2</v>
      </c>
      <c r="I1058" s="34" t="n">
        <f aca="false">E1058*H1058+N(F1058)+N(G1058)</f>
        <v>16250</v>
      </c>
      <c r="J1058" s="42" t="n">
        <f aca="false">ROUND(IFERROR(ROUND(IF(OR(ISNUMBER(SEARCH("week",C1058)),ISNUMBER(SEARCH("minggu",C1058))),IFERROR(_xlfn.NUMBERVALUE(SUBSTITUTE(LEFT(TRIM(C1058),FIND(" ",TRIM(C1058)&amp;" ")-1),",","."),"."),LEFT(SUBSTITUTE(LEFT(TRIM(C1058),FIND(" ",TRIM(C1058)&amp;" ")-1),",","."),FIND("/",SUBSTITUTE(LEFT(TRIM(C1058),FIND(" ",TRIM(C1058)&amp;" ")-1),",","."))-1)/MID(SUBSTITUTE(LEFT(TRIM(C1058),FIND(" ",TRIM(C1058)&amp;" ")-1),",","."),FIND("/",SUBSTITUTE(LEFT(TRIM(C1058),FIND(" ",TRIM(C1058)&amp;" ")-1),",","."))+1,9))*12/52,IF(ISNUMBER(SEARCH("month",C1058)),IFERROR(_xlfn.NUMBERVALUE(SUBSTITUTE(LEFT(TRIM(C1058),FIND(" ",TRIM(C1058)&amp;" ")-1),",","."),"."),LEFT(SUBSTITUTE(LEFT(TRIM(C1058),FIND(" ",TRIM(C1058)&amp;" ")-1),",","."),FIND("/",SUBSTITUTE(LEFT(TRIM(C1058),FIND(" ",TRIM(C1058)&amp;" ")-1),",","."))-1)/MID(SUBSTITUTE(LEFT(TRIM(C1058),FIND(" ",TRIM(C1058)&amp;" ")-1),",","."),FIND("/",SUBSTITUTE(LEFT(TRIM(C1058),FIND(" ",TRIM(C1058)&amp;" ")-1),",","."))+1,9)),IF(ISNUMBER(SEARCH("yea",C1058)),IFERROR(_xlfn.NUMBERVALUE(SUBSTITUTE(LEFT(TRIM(C1058),FIND(" ",TRIM(C1058)&amp;" ")-1),",","."),"."),LEFT(SUBSTITUTE(LEFT(TRIM(C1058),FIND(" ",TRIM(C1058)&amp;" ")-1),",","."),FIND("/",SUBSTITUTE(LEFT(TRIM(C1058),FIND(" ",TRIM(C1058)&amp;" ")-1),",","."))-1)/MID(SUBSTITUTE(LEFT(TRIM(C1058),FIND(" ",TRIM(C1058)&amp;" ")-1),",","."),FIND("/",SUBSTITUTE(LEFT(TRIM(C1058),FIND(" ",TRIM(C1058)&amp;" ")-1),",","."))+1,9))*12,NA()))),0),36)*'Aturan &amp; Tarif'!$B$4,2)</f>
        <v>2044.08</v>
      </c>
      <c r="K1058" s="42" t="n">
        <f aca="false">'Aturan &amp; Tarif'!$B$5</f>
        <v>2050</v>
      </c>
      <c r="L1058" s="42" t="n">
        <f aca="false">'Aturan &amp; Tarif'!$B$6</f>
        <v>350</v>
      </c>
      <c r="M1058" s="35" t="n">
        <f aca="false">I1058+J1058+K1058+L1058</f>
        <v>20694.08</v>
      </c>
      <c r="N1058" s="45" t="s">
        <v>2572</v>
      </c>
    </row>
    <row r="1059" customFormat="false" ht="25.5" hidden="false" customHeight="true" outlineLevel="0" collapsed="false">
      <c r="A1059" s="39"/>
      <c r="B1059" s="40" t="s">
        <v>2651</v>
      </c>
      <c r="C1059" s="41" t="s">
        <v>127</v>
      </c>
      <c r="D1059" s="41" t="s">
        <v>108</v>
      </c>
      <c r="E1059" s="42" t="n">
        <v>8125</v>
      </c>
      <c r="F1059" s="42"/>
      <c r="G1059" s="42"/>
      <c r="H1059" s="43" t="n">
        <v>2</v>
      </c>
      <c r="I1059" s="34" t="n">
        <f aca="false">E1059*H1059+N(F1059)+N(G1059)</f>
        <v>16250</v>
      </c>
      <c r="J1059" s="42" t="n">
        <f aca="false">ROUND(IFERROR(ROUND(IF(OR(ISNUMBER(SEARCH("week",C1059)),ISNUMBER(SEARCH("minggu",C1059))),IFERROR(_xlfn.NUMBERVALUE(SUBSTITUTE(LEFT(TRIM(C1059),FIND(" ",TRIM(C1059)&amp;" ")-1),",","."),"."),LEFT(SUBSTITUTE(LEFT(TRIM(C1059),FIND(" ",TRIM(C1059)&amp;" ")-1),",","."),FIND("/",SUBSTITUTE(LEFT(TRIM(C1059),FIND(" ",TRIM(C1059)&amp;" ")-1),",","."))-1)/MID(SUBSTITUTE(LEFT(TRIM(C1059),FIND(" ",TRIM(C1059)&amp;" ")-1),",","."),FIND("/",SUBSTITUTE(LEFT(TRIM(C1059),FIND(" ",TRIM(C1059)&amp;" ")-1),",","."))+1,9))*12/52,IF(ISNUMBER(SEARCH("month",C1059)),IFERROR(_xlfn.NUMBERVALUE(SUBSTITUTE(LEFT(TRIM(C1059),FIND(" ",TRIM(C1059)&amp;" ")-1),",","."),"."),LEFT(SUBSTITUTE(LEFT(TRIM(C1059),FIND(" ",TRIM(C1059)&amp;" ")-1),",","."),FIND("/",SUBSTITUTE(LEFT(TRIM(C1059),FIND(" ",TRIM(C1059)&amp;" ")-1),",","."))-1)/MID(SUBSTITUTE(LEFT(TRIM(C1059),FIND(" ",TRIM(C1059)&amp;" ")-1),",","."),FIND("/",SUBSTITUTE(LEFT(TRIM(C1059),FIND(" ",TRIM(C1059)&amp;" ")-1),",","."))+1,9)),IF(ISNUMBER(SEARCH("yea",C1059)),IFERROR(_xlfn.NUMBERVALUE(SUBSTITUTE(LEFT(TRIM(C1059),FIND(" ",TRIM(C1059)&amp;" ")-1),",","."),"."),LEFT(SUBSTITUTE(LEFT(TRIM(C1059),FIND(" ",TRIM(C1059)&amp;" ")-1),",","."),FIND("/",SUBSTITUTE(LEFT(TRIM(C1059),FIND(" ",TRIM(C1059)&amp;" ")-1),",","."))-1)/MID(SUBSTITUTE(LEFT(TRIM(C1059),FIND(" ",TRIM(C1059)&amp;" ")-1),",","."),FIND("/",SUBSTITUTE(LEFT(TRIM(C1059),FIND(" ",TRIM(C1059)&amp;" ")-1),",","."))+1,9))*12,NA()))),0),36)*'Aturan &amp; Tarif'!$B$4,2)</f>
        <v>2044.08</v>
      </c>
      <c r="K1059" s="42" t="n">
        <f aca="false">'Aturan &amp; Tarif'!$B$5</f>
        <v>2050</v>
      </c>
      <c r="L1059" s="42" t="n">
        <f aca="false">'Aturan &amp; Tarif'!$B$6</f>
        <v>350</v>
      </c>
      <c r="M1059" s="35" t="n">
        <f aca="false">I1059+J1059+K1059+L1059</f>
        <v>20694.08</v>
      </c>
      <c r="N1059" s="45" t="s">
        <v>2572</v>
      </c>
    </row>
    <row r="1060" customFormat="false" ht="25.5" hidden="false" customHeight="true" outlineLevel="0" collapsed="false">
      <c r="A1060" s="39"/>
      <c r="B1060" s="40" t="s">
        <v>2652</v>
      </c>
      <c r="C1060" s="41" t="s">
        <v>191</v>
      </c>
      <c r="D1060" s="41" t="s">
        <v>108</v>
      </c>
      <c r="E1060" s="42" t="n">
        <v>8967</v>
      </c>
      <c r="F1060" s="42"/>
      <c r="G1060" s="42"/>
      <c r="H1060" s="43" t="n">
        <v>2</v>
      </c>
      <c r="I1060" s="34" t="n">
        <f aca="false">E1060*H1060+N(F1060)+N(G1060)</f>
        <v>17934</v>
      </c>
      <c r="J1060" s="42" t="n">
        <f aca="false">ROUND(IFERROR(ROUND(IF(OR(ISNUMBER(SEARCH("week",C1060)),ISNUMBER(SEARCH("minggu",C1060))),IFERROR(_xlfn.NUMBERVALUE(SUBSTITUTE(LEFT(TRIM(C1060),FIND(" ",TRIM(C1060)&amp;" ")-1),",","."),"."),LEFT(SUBSTITUTE(LEFT(TRIM(C1060),FIND(" ",TRIM(C1060)&amp;" ")-1),",","."),FIND("/",SUBSTITUTE(LEFT(TRIM(C1060),FIND(" ",TRIM(C1060)&amp;" ")-1),",","."))-1)/MID(SUBSTITUTE(LEFT(TRIM(C1060),FIND(" ",TRIM(C1060)&amp;" ")-1),",","."),FIND("/",SUBSTITUTE(LEFT(TRIM(C1060),FIND(" ",TRIM(C1060)&amp;" ")-1),",","."))+1,9))*12/52,IF(ISNUMBER(SEARCH("month",C1060)),IFERROR(_xlfn.NUMBERVALUE(SUBSTITUTE(LEFT(TRIM(C1060),FIND(" ",TRIM(C1060)&amp;" ")-1),",","."),"."),LEFT(SUBSTITUTE(LEFT(TRIM(C1060),FIND(" ",TRIM(C1060)&amp;" ")-1),",","."),FIND("/",SUBSTITUTE(LEFT(TRIM(C1060),FIND(" ",TRIM(C1060)&amp;" ")-1),",","."))-1)/MID(SUBSTITUTE(LEFT(TRIM(C1060),FIND(" ",TRIM(C1060)&amp;" ")-1),",","."),FIND("/",SUBSTITUTE(LEFT(TRIM(C1060),FIND(" ",TRIM(C1060)&amp;" ")-1),",","."))+1,9)),IF(ISNUMBER(SEARCH("yea",C1060)),IFERROR(_xlfn.NUMBERVALUE(SUBSTITUTE(LEFT(TRIM(C1060),FIND(" ",TRIM(C1060)&amp;" ")-1),",","."),"."),LEFT(SUBSTITUTE(LEFT(TRIM(C1060),FIND(" ",TRIM(C1060)&amp;" ")-1),",","."),FIND("/",SUBSTITUTE(LEFT(TRIM(C1060),FIND(" ",TRIM(C1060)&amp;" ")-1),",","."))-1)/MID(SUBSTITUTE(LEFT(TRIM(C1060),FIND(" ",TRIM(C1060)&amp;" ")-1),",","."),FIND("/",SUBSTITUTE(LEFT(TRIM(C1060),FIND(" ",TRIM(C1060)&amp;" ")-1),",","."))+1,9))*12,NA()))),0),48)*'Aturan &amp; Tarif'!$B$4,2)</f>
        <v>2725.44</v>
      </c>
      <c r="K1060" s="42" t="n">
        <f aca="false">'Aturan &amp; Tarif'!$B$5</f>
        <v>2050</v>
      </c>
      <c r="L1060" s="42" t="n">
        <f aca="false">'Aturan &amp; Tarif'!$B$6</f>
        <v>350</v>
      </c>
      <c r="M1060" s="35" t="n">
        <f aca="false">I1060+J1060+K1060+L1060</f>
        <v>23059.44</v>
      </c>
      <c r="N1060" s="45" t="s">
        <v>2572</v>
      </c>
    </row>
    <row r="1061" customFormat="false" ht="37.5" hidden="false" customHeight="true" outlineLevel="0" collapsed="false">
      <c r="A1061" s="39"/>
      <c r="B1061" s="40" t="s">
        <v>2653</v>
      </c>
      <c r="C1061" s="41" t="s">
        <v>191</v>
      </c>
      <c r="D1061" s="41" t="s">
        <v>108</v>
      </c>
      <c r="E1061" s="42" t="n">
        <v>8125</v>
      </c>
      <c r="F1061" s="42"/>
      <c r="G1061" s="42"/>
      <c r="H1061" s="43" t="n">
        <v>2</v>
      </c>
      <c r="I1061" s="34" t="n">
        <f aca="false">E1061*H1061+N(F1061)+N(G1061)</f>
        <v>16250</v>
      </c>
      <c r="J1061" s="42" t="n">
        <f aca="false">ROUND(IFERROR(ROUND(IF(OR(ISNUMBER(SEARCH("week",C1061)),ISNUMBER(SEARCH("minggu",C1061))),IFERROR(_xlfn.NUMBERVALUE(SUBSTITUTE(LEFT(TRIM(C1061),FIND(" ",TRIM(C1061)&amp;" ")-1),",","."),"."),LEFT(SUBSTITUTE(LEFT(TRIM(C1061),FIND(" ",TRIM(C1061)&amp;" ")-1),",","."),FIND("/",SUBSTITUTE(LEFT(TRIM(C1061),FIND(" ",TRIM(C1061)&amp;" ")-1),",","."))-1)/MID(SUBSTITUTE(LEFT(TRIM(C1061),FIND(" ",TRIM(C1061)&amp;" ")-1),",","."),FIND("/",SUBSTITUTE(LEFT(TRIM(C1061),FIND(" ",TRIM(C1061)&amp;" ")-1),",","."))+1,9))*12/52,IF(ISNUMBER(SEARCH("month",C1061)),IFERROR(_xlfn.NUMBERVALUE(SUBSTITUTE(LEFT(TRIM(C1061),FIND(" ",TRIM(C1061)&amp;" ")-1),",","."),"."),LEFT(SUBSTITUTE(LEFT(TRIM(C1061),FIND(" ",TRIM(C1061)&amp;" ")-1),",","."),FIND("/",SUBSTITUTE(LEFT(TRIM(C1061),FIND(" ",TRIM(C1061)&amp;" ")-1),",","."))-1)/MID(SUBSTITUTE(LEFT(TRIM(C1061),FIND(" ",TRIM(C1061)&amp;" ")-1),",","."),FIND("/",SUBSTITUTE(LEFT(TRIM(C1061),FIND(" ",TRIM(C1061)&amp;" ")-1),",","."))+1,9)),IF(ISNUMBER(SEARCH("yea",C1061)),IFERROR(_xlfn.NUMBERVALUE(SUBSTITUTE(LEFT(TRIM(C1061),FIND(" ",TRIM(C1061)&amp;" ")-1),",","."),"."),LEFT(SUBSTITUTE(LEFT(TRIM(C1061),FIND(" ",TRIM(C1061)&amp;" ")-1),",","."),FIND("/",SUBSTITUTE(LEFT(TRIM(C1061),FIND(" ",TRIM(C1061)&amp;" ")-1),",","."))-1)/MID(SUBSTITUTE(LEFT(TRIM(C1061),FIND(" ",TRIM(C1061)&amp;" ")-1),",","."),FIND("/",SUBSTITUTE(LEFT(TRIM(C1061),FIND(" ",TRIM(C1061)&amp;" ")-1),",","."))+1,9))*12,NA()))),0),48)*'Aturan &amp; Tarif'!$B$4,2)</f>
        <v>2725.44</v>
      </c>
      <c r="K1061" s="42" t="n">
        <f aca="false">'Aturan &amp; Tarif'!$B$5</f>
        <v>2050</v>
      </c>
      <c r="L1061" s="42" t="n">
        <f aca="false">'Aturan &amp; Tarif'!$B$6</f>
        <v>350</v>
      </c>
      <c r="M1061" s="35" t="n">
        <f aca="false">I1061+J1061+K1061+L1061</f>
        <v>21375.44</v>
      </c>
      <c r="N1061" s="45" t="s">
        <v>2572</v>
      </c>
    </row>
    <row r="1062" customFormat="false" ht="25.5" hidden="false" customHeight="true" outlineLevel="0" collapsed="false">
      <c r="A1062" s="39"/>
      <c r="B1062" s="40" t="s">
        <v>2654</v>
      </c>
      <c r="C1062" s="41" t="s">
        <v>191</v>
      </c>
      <c r="D1062" s="41" t="s">
        <v>108</v>
      </c>
      <c r="E1062" s="42" t="n">
        <v>8694</v>
      </c>
      <c r="F1062" s="42"/>
      <c r="G1062" s="42"/>
      <c r="H1062" s="43" t="n">
        <v>2</v>
      </c>
      <c r="I1062" s="34" t="n">
        <f aca="false">E1062*H1062+N(F1062)+N(G1062)</f>
        <v>17388</v>
      </c>
      <c r="J1062" s="42" t="n">
        <f aca="false">ROUND(IFERROR(ROUND(IF(OR(ISNUMBER(SEARCH("week",C1062)),ISNUMBER(SEARCH("minggu",C1062))),IFERROR(_xlfn.NUMBERVALUE(SUBSTITUTE(LEFT(TRIM(C1062),FIND(" ",TRIM(C1062)&amp;" ")-1),",","."),"."),LEFT(SUBSTITUTE(LEFT(TRIM(C1062),FIND(" ",TRIM(C1062)&amp;" ")-1),",","."),FIND("/",SUBSTITUTE(LEFT(TRIM(C1062),FIND(" ",TRIM(C1062)&amp;" ")-1),",","."))-1)/MID(SUBSTITUTE(LEFT(TRIM(C1062),FIND(" ",TRIM(C1062)&amp;" ")-1),",","."),FIND("/",SUBSTITUTE(LEFT(TRIM(C1062),FIND(" ",TRIM(C1062)&amp;" ")-1),",","."))+1,9))*12/52,IF(ISNUMBER(SEARCH("month",C1062)),IFERROR(_xlfn.NUMBERVALUE(SUBSTITUTE(LEFT(TRIM(C1062),FIND(" ",TRIM(C1062)&amp;" ")-1),",","."),"."),LEFT(SUBSTITUTE(LEFT(TRIM(C1062),FIND(" ",TRIM(C1062)&amp;" ")-1),",","."),FIND("/",SUBSTITUTE(LEFT(TRIM(C1062),FIND(" ",TRIM(C1062)&amp;" ")-1),",","."))-1)/MID(SUBSTITUTE(LEFT(TRIM(C1062),FIND(" ",TRIM(C1062)&amp;" ")-1),",","."),FIND("/",SUBSTITUTE(LEFT(TRIM(C1062),FIND(" ",TRIM(C1062)&amp;" ")-1),",","."))+1,9)),IF(ISNUMBER(SEARCH("yea",C1062)),IFERROR(_xlfn.NUMBERVALUE(SUBSTITUTE(LEFT(TRIM(C1062),FIND(" ",TRIM(C1062)&amp;" ")-1),",","."),"."),LEFT(SUBSTITUTE(LEFT(TRIM(C1062),FIND(" ",TRIM(C1062)&amp;" ")-1),",","."),FIND("/",SUBSTITUTE(LEFT(TRIM(C1062),FIND(" ",TRIM(C1062)&amp;" ")-1),",","."))-1)/MID(SUBSTITUTE(LEFT(TRIM(C1062),FIND(" ",TRIM(C1062)&amp;" ")-1),",","."),FIND("/",SUBSTITUTE(LEFT(TRIM(C1062),FIND(" ",TRIM(C1062)&amp;" ")-1),",","."))+1,9))*12,NA()))),0),48)*'Aturan &amp; Tarif'!$B$4,2)</f>
        <v>2725.44</v>
      </c>
      <c r="K1062" s="42" t="n">
        <f aca="false">'Aturan &amp; Tarif'!$B$5</f>
        <v>2050</v>
      </c>
      <c r="L1062" s="42" t="n">
        <f aca="false">'Aturan &amp; Tarif'!$B$6</f>
        <v>350</v>
      </c>
      <c r="M1062" s="35" t="n">
        <f aca="false">I1062+J1062+K1062+L1062</f>
        <v>22513.44</v>
      </c>
      <c r="N1062" s="45" t="s">
        <v>2648</v>
      </c>
    </row>
    <row r="1063" customFormat="false" ht="25.5" hidden="false" customHeight="true" outlineLevel="0" collapsed="false">
      <c r="A1063" s="39"/>
      <c r="B1063" s="40" t="s">
        <v>2655</v>
      </c>
      <c r="C1063" s="41" t="s">
        <v>191</v>
      </c>
      <c r="D1063" s="41" t="s">
        <v>108</v>
      </c>
      <c r="E1063" s="42" t="n">
        <v>8694</v>
      </c>
      <c r="F1063" s="42"/>
      <c r="G1063" s="42"/>
      <c r="H1063" s="43" t="n">
        <v>2</v>
      </c>
      <c r="I1063" s="34" t="n">
        <f aca="false">E1063*H1063+N(F1063)+N(G1063)</f>
        <v>17388</v>
      </c>
      <c r="J1063" s="42" t="n">
        <f aca="false">ROUND(IFERROR(ROUND(IF(OR(ISNUMBER(SEARCH("week",C1063)),ISNUMBER(SEARCH("minggu",C1063))),IFERROR(_xlfn.NUMBERVALUE(SUBSTITUTE(LEFT(TRIM(C1063),FIND(" ",TRIM(C1063)&amp;" ")-1),",","."),"."),LEFT(SUBSTITUTE(LEFT(TRIM(C1063),FIND(" ",TRIM(C1063)&amp;" ")-1),",","."),FIND("/",SUBSTITUTE(LEFT(TRIM(C1063),FIND(" ",TRIM(C1063)&amp;" ")-1),",","."))-1)/MID(SUBSTITUTE(LEFT(TRIM(C1063),FIND(" ",TRIM(C1063)&amp;" ")-1),",","."),FIND("/",SUBSTITUTE(LEFT(TRIM(C1063),FIND(" ",TRIM(C1063)&amp;" ")-1),",","."))+1,9))*12/52,IF(ISNUMBER(SEARCH("month",C1063)),IFERROR(_xlfn.NUMBERVALUE(SUBSTITUTE(LEFT(TRIM(C1063),FIND(" ",TRIM(C1063)&amp;" ")-1),",","."),"."),LEFT(SUBSTITUTE(LEFT(TRIM(C1063),FIND(" ",TRIM(C1063)&amp;" ")-1),",","."),FIND("/",SUBSTITUTE(LEFT(TRIM(C1063),FIND(" ",TRIM(C1063)&amp;" ")-1),",","."))-1)/MID(SUBSTITUTE(LEFT(TRIM(C1063),FIND(" ",TRIM(C1063)&amp;" ")-1),",","."),FIND("/",SUBSTITUTE(LEFT(TRIM(C1063),FIND(" ",TRIM(C1063)&amp;" ")-1),",","."))+1,9)),IF(ISNUMBER(SEARCH("yea",C1063)),IFERROR(_xlfn.NUMBERVALUE(SUBSTITUTE(LEFT(TRIM(C1063),FIND(" ",TRIM(C1063)&amp;" ")-1),",","."),"."),LEFT(SUBSTITUTE(LEFT(TRIM(C1063),FIND(" ",TRIM(C1063)&amp;" ")-1),",","."),FIND("/",SUBSTITUTE(LEFT(TRIM(C1063),FIND(" ",TRIM(C1063)&amp;" ")-1),",","."))-1)/MID(SUBSTITUTE(LEFT(TRIM(C1063),FIND(" ",TRIM(C1063)&amp;" ")-1),",","."),FIND("/",SUBSTITUTE(LEFT(TRIM(C1063),FIND(" ",TRIM(C1063)&amp;" ")-1),",","."))+1,9))*12,NA()))),0),48)*'Aturan &amp; Tarif'!$B$4,2)</f>
        <v>2725.44</v>
      </c>
      <c r="K1063" s="42" t="n">
        <f aca="false">'Aturan &amp; Tarif'!$B$5</f>
        <v>2050</v>
      </c>
      <c r="L1063" s="42" t="n">
        <f aca="false">'Aturan &amp; Tarif'!$B$6</f>
        <v>350</v>
      </c>
      <c r="M1063" s="35" t="n">
        <f aca="false">I1063+J1063+K1063+L1063</f>
        <v>22513.44</v>
      </c>
      <c r="N1063" s="45" t="s">
        <v>2648</v>
      </c>
    </row>
    <row r="1064" customFormat="false" ht="25.5" hidden="false" customHeight="true" outlineLevel="0" collapsed="false">
      <c r="A1064" s="39"/>
      <c r="B1064" s="40" t="s">
        <v>2656</v>
      </c>
      <c r="C1064" s="41" t="s">
        <v>191</v>
      </c>
      <c r="D1064" s="41" t="s">
        <v>108</v>
      </c>
      <c r="E1064" s="42" t="n">
        <v>8694</v>
      </c>
      <c r="F1064" s="42"/>
      <c r="G1064" s="42"/>
      <c r="H1064" s="43" t="n">
        <v>2</v>
      </c>
      <c r="I1064" s="34" t="n">
        <f aca="false">E1064*H1064+N(F1064)+N(G1064)</f>
        <v>17388</v>
      </c>
      <c r="J1064" s="42" t="n">
        <f aca="false">ROUND(IFERROR(ROUND(IF(OR(ISNUMBER(SEARCH("week",C1064)),ISNUMBER(SEARCH("minggu",C1064))),IFERROR(_xlfn.NUMBERVALUE(SUBSTITUTE(LEFT(TRIM(C1064),FIND(" ",TRIM(C1064)&amp;" ")-1),",","."),"."),LEFT(SUBSTITUTE(LEFT(TRIM(C1064),FIND(" ",TRIM(C1064)&amp;" ")-1),",","."),FIND("/",SUBSTITUTE(LEFT(TRIM(C1064),FIND(" ",TRIM(C1064)&amp;" ")-1),",","."))-1)/MID(SUBSTITUTE(LEFT(TRIM(C1064),FIND(" ",TRIM(C1064)&amp;" ")-1),",","."),FIND("/",SUBSTITUTE(LEFT(TRIM(C1064),FIND(" ",TRIM(C1064)&amp;" ")-1),",","."))+1,9))*12/52,IF(ISNUMBER(SEARCH("month",C1064)),IFERROR(_xlfn.NUMBERVALUE(SUBSTITUTE(LEFT(TRIM(C1064),FIND(" ",TRIM(C1064)&amp;" ")-1),",","."),"."),LEFT(SUBSTITUTE(LEFT(TRIM(C1064),FIND(" ",TRIM(C1064)&amp;" ")-1),",","."),FIND("/",SUBSTITUTE(LEFT(TRIM(C1064),FIND(" ",TRIM(C1064)&amp;" ")-1),",","."))-1)/MID(SUBSTITUTE(LEFT(TRIM(C1064),FIND(" ",TRIM(C1064)&amp;" ")-1),",","."),FIND("/",SUBSTITUTE(LEFT(TRIM(C1064),FIND(" ",TRIM(C1064)&amp;" ")-1),",","."))+1,9)),IF(ISNUMBER(SEARCH("yea",C1064)),IFERROR(_xlfn.NUMBERVALUE(SUBSTITUTE(LEFT(TRIM(C1064),FIND(" ",TRIM(C1064)&amp;" ")-1),",","."),"."),LEFT(SUBSTITUTE(LEFT(TRIM(C1064),FIND(" ",TRIM(C1064)&amp;" ")-1),",","."),FIND("/",SUBSTITUTE(LEFT(TRIM(C1064),FIND(" ",TRIM(C1064)&amp;" ")-1),",","."))-1)/MID(SUBSTITUTE(LEFT(TRIM(C1064),FIND(" ",TRIM(C1064)&amp;" ")-1),",","."),FIND("/",SUBSTITUTE(LEFT(TRIM(C1064),FIND(" ",TRIM(C1064)&amp;" ")-1),",","."))+1,9))*12,NA()))),0),48)*'Aturan &amp; Tarif'!$B$4,2)</f>
        <v>2725.44</v>
      </c>
      <c r="K1064" s="42" t="n">
        <f aca="false">'Aturan &amp; Tarif'!$B$5</f>
        <v>2050</v>
      </c>
      <c r="L1064" s="42" t="n">
        <f aca="false">'Aturan &amp; Tarif'!$B$6</f>
        <v>350</v>
      </c>
      <c r="M1064" s="35" t="n">
        <f aca="false">I1064+J1064+K1064+L1064</f>
        <v>22513.44</v>
      </c>
      <c r="N1064" s="45" t="s">
        <v>2648</v>
      </c>
    </row>
    <row r="1065" customFormat="false" ht="25.5" hidden="false" customHeight="true" outlineLevel="0" collapsed="false">
      <c r="A1065" s="39"/>
      <c r="B1065" s="40" t="s">
        <v>2657</v>
      </c>
      <c r="C1065" s="41" t="s">
        <v>245</v>
      </c>
      <c r="D1065" s="41" t="s">
        <v>108</v>
      </c>
      <c r="E1065" s="42" t="n">
        <v>8125</v>
      </c>
      <c r="F1065" s="42"/>
      <c r="G1065" s="42"/>
      <c r="H1065" s="43" t="n">
        <v>2</v>
      </c>
      <c r="I1065" s="34" t="n">
        <f aca="false">E1065*H1065+N(F1065)+N(G1065)</f>
        <v>16250</v>
      </c>
      <c r="J1065" s="42" t="n">
        <f aca="false">ROUND(IFERROR(ROUND(IF(OR(ISNUMBER(SEARCH("week",C1065)),ISNUMBER(SEARCH("minggu",C1065))),IFERROR(_xlfn.NUMBERVALUE(SUBSTITUTE(LEFT(TRIM(C1065),FIND(" ",TRIM(C1065)&amp;" ")-1),",","."),"."),LEFT(SUBSTITUTE(LEFT(TRIM(C1065),FIND(" ",TRIM(C1065)&amp;" ")-1),",","."),FIND("/",SUBSTITUTE(LEFT(TRIM(C1065),FIND(" ",TRIM(C1065)&amp;" ")-1),",","."))-1)/MID(SUBSTITUTE(LEFT(TRIM(C1065),FIND(" ",TRIM(C1065)&amp;" ")-1),",","."),FIND("/",SUBSTITUTE(LEFT(TRIM(C1065),FIND(" ",TRIM(C1065)&amp;" ")-1),",","."))+1,9))*12/52,IF(ISNUMBER(SEARCH("month",C1065)),IFERROR(_xlfn.NUMBERVALUE(SUBSTITUTE(LEFT(TRIM(C1065),FIND(" ",TRIM(C1065)&amp;" ")-1),",","."),"."),LEFT(SUBSTITUTE(LEFT(TRIM(C1065),FIND(" ",TRIM(C1065)&amp;" ")-1),",","."),FIND("/",SUBSTITUTE(LEFT(TRIM(C1065),FIND(" ",TRIM(C1065)&amp;" ")-1),",","."))-1)/MID(SUBSTITUTE(LEFT(TRIM(C1065),FIND(" ",TRIM(C1065)&amp;" ")-1),",","."),FIND("/",SUBSTITUTE(LEFT(TRIM(C1065),FIND(" ",TRIM(C1065)&amp;" ")-1),",","."))+1,9)),IF(ISNUMBER(SEARCH("yea",C1065)),IFERROR(_xlfn.NUMBERVALUE(SUBSTITUTE(LEFT(TRIM(C1065),FIND(" ",TRIM(C1065)&amp;" ")-1),",","."),"."),LEFT(SUBSTITUTE(LEFT(TRIM(C1065),FIND(" ",TRIM(C1065)&amp;" ")-1),",","."),FIND("/",SUBSTITUTE(LEFT(TRIM(C1065),FIND(" ",TRIM(C1065)&amp;" ")-1),",","."))-1)/MID(SUBSTITUTE(LEFT(TRIM(C1065),FIND(" ",TRIM(C1065)&amp;" ")-1),",","."),FIND("/",SUBSTITUTE(LEFT(TRIM(C1065),FIND(" ",TRIM(C1065)&amp;" ")-1),",","."))+1,9))*12,NA()))),0),60)*'Aturan &amp; Tarif'!$B$4,2)</f>
        <v>3406.8</v>
      </c>
      <c r="K1065" s="42" t="n">
        <f aca="false">'Aturan &amp; Tarif'!$B$5</f>
        <v>2050</v>
      </c>
      <c r="L1065" s="42" t="n">
        <f aca="false">'Aturan &amp; Tarif'!$B$6</f>
        <v>350</v>
      </c>
      <c r="M1065" s="35" t="n">
        <f aca="false">I1065+J1065+K1065+L1065</f>
        <v>22056.8</v>
      </c>
      <c r="N1065" s="45" t="s">
        <v>2572</v>
      </c>
    </row>
    <row r="1066" customFormat="false" ht="25.5" hidden="false" customHeight="true" outlineLevel="0" collapsed="false">
      <c r="A1066" s="39"/>
      <c r="B1066" s="40" t="s">
        <v>2658</v>
      </c>
      <c r="C1066" s="41" t="s">
        <v>191</v>
      </c>
      <c r="D1066" s="41" t="s">
        <v>108</v>
      </c>
      <c r="E1066" s="42" t="n">
        <v>8967</v>
      </c>
      <c r="F1066" s="42"/>
      <c r="G1066" s="42"/>
      <c r="H1066" s="43" t="n">
        <v>2</v>
      </c>
      <c r="I1066" s="34" t="n">
        <f aca="false">E1066*H1066+N(F1066)+N(G1066)</f>
        <v>17934</v>
      </c>
      <c r="J1066" s="42" t="n">
        <f aca="false">ROUND(IFERROR(ROUND(IF(OR(ISNUMBER(SEARCH("week",C1066)),ISNUMBER(SEARCH("minggu",C1066))),IFERROR(_xlfn.NUMBERVALUE(SUBSTITUTE(LEFT(TRIM(C1066),FIND(" ",TRIM(C1066)&amp;" ")-1),",","."),"."),LEFT(SUBSTITUTE(LEFT(TRIM(C1066),FIND(" ",TRIM(C1066)&amp;" ")-1),",","."),FIND("/",SUBSTITUTE(LEFT(TRIM(C1066),FIND(" ",TRIM(C1066)&amp;" ")-1),",","."))-1)/MID(SUBSTITUTE(LEFT(TRIM(C1066),FIND(" ",TRIM(C1066)&amp;" ")-1),",","."),FIND("/",SUBSTITUTE(LEFT(TRIM(C1066),FIND(" ",TRIM(C1066)&amp;" ")-1),",","."))+1,9))*12/52,IF(ISNUMBER(SEARCH("month",C1066)),IFERROR(_xlfn.NUMBERVALUE(SUBSTITUTE(LEFT(TRIM(C1066),FIND(" ",TRIM(C1066)&amp;" ")-1),",","."),"."),LEFT(SUBSTITUTE(LEFT(TRIM(C1066),FIND(" ",TRIM(C1066)&amp;" ")-1),",","."),FIND("/",SUBSTITUTE(LEFT(TRIM(C1066),FIND(" ",TRIM(C1066)&amp;" ")-1),",","."))-1)/MID(SUBSTITUTE(LEFT(TRIM(C1066),FIND(" ",TRIM(C1066)&amp;" ")-1),",","."),FIND("/",SUBSTITUTE(LEFT(TRIM(C1066),FIND(" ",TRIM(C1066)&amp;" ")-1),",","."))+1,9)),IF(ISNUMBER(SEARCH("yea",C1066)),IFERROR(_xlfn.NUMBERVALUE(SUBSTITUTE(LEFT(TRIM(C1066),FIND(" ",TRIM(C1066)&amp;" ")-1),",","."),"."),LEFT(SUBSTITUTE(LEFT(TRIM(C1066),FIND(" ",TRIM(C1066)&amp;" ")-1),",","."),FIND("/",SUBSTITUTE(LEFT(TRIM(C1066),FIND(" ",TRIM(C1066)&amp;" ")-1),",","."))-1)/MID(SUBSTITUTE(LEFT(TRIM(C1066),FIND(" ",TRIM(C1066)&amp;" ")-1),",","."),FIND("/",SUBSTITUTE(LEFT(TRIM(C1066),FIND(" ",TRIM(C1066)&amp;" ")-1),",","."))+1,9))*12,NA()))),0),48)*'Aturan &amp; Tarif'!$B$4,2)</f>
        <v>2725.44</v>
      </c>
      <c r="K1066" s="42" t="n">
        <f aca="false">'Aturan &amp; Tarif'!$B$5</f>
        <v>2050</v>
      </c>
      <c r="L1066" s="42" t="n">
        <f aca="false">'Aturan &amp; Tarif'!$B$6</f>
        <v>350</v>
      </c>
      <c r="M1066" s="35" t="n">
        <f aca="false">I1066+J1066+K1066+L1066</f>
        <v>23059.44</v>
      </c>
      <c r="N1066" s="45" t="s">
        <v>2572</v>
      </c>
    </row>
    <row r="1067" customFormat="false" ht="25.5" hidden="false" customHeight="true" outlineLevel="0" collapsed="false">
      <c r="A1067" s="39"/>
      <c r="B1067" s="40" t="s">
        <v>2659</v>
      </c>
      <c r="C1067" s="41" t="s">
        <v>191</v>
      </c>
      <c r="D1067" s="41" t="s">
        <v>108</v>
      </c>
      <c r="E1067" s="42" t="n">
        <v>8125</v>
      </c>
      <c r="F1067" s="42"/>
      <c r="G1067" s="42"/>
      <c r="H1067" s="43" t="n">
        <v>2</v>
      </c>
      <c r="I1067" s="34" t="n">
        <f aca="false">E1067*H1067+N(F1067)+N(G1067)</f>
        <v>16250</v>
      </c>
      <c r="J1067" s="42" t="n">
        <f aca="false">ROUND(IFERROR(ROUND(IF(OR(ISNUMBER(SEARCH("week",C1067)),ISNUMBER(SEARCH("minggu",C1067))),IFERROR(_xlfn.NUMBERVALUE(SUBSTITUTE(LEFT(TRIM(C1067),FIND(" ",TRIM(C1067)&amp;" ")-1),",","."),"."),LEFT(SUBSTITUTE(LEFT(TRIM(C1067),FIND(" ",TRIM(C1067)&amp;" ")-1),",","."),FIND("/",SUBSTITUTE(LEFT(TRIM(C1067),FIND(" ",TRIM(C1067)&amp;" ")-1),",","."))-1)/MID(SUBSTITUTE(LEFT(TRIM(C1067),FIND(" ",TRIM(C1067)&amp;" ")-1),",","."),FIND("/",SUBSTITUTE(LEFT(TRIM(C1067),FIND(" ",TRIM(C1067)&amp;" ")-1),",","."))+1,9))*12/52,IF(ISNUMBER(SEARCH("month",C1067)),IFERROR(_xlfn.NUMBERVALUE(SUBSTITUTE(LEFT(TRIM(C1067),FIND(" ",TRIM(C1067)&amp;" ")-1),",","."),"."),LEFT(SUBSTITUTE(LEFT(TRIM(C1067),FIND(" ",TRIM(C1067)&amp;" ")-1),",","."),FIND("/",SUBSTITUTE(LEFT(TRIM(C1067),FIND(" ",TRIM(C1067)&amp;" ")-1),",","."))-1)/MID(SUBSTITUTE(LEFT(TRIM(C1067),FIND(" ",TRIM(C1067)&amp;" ")-1),",","."),FIND("/",SUBSTITUTE(LEFT(TRIM(C1067),FIND(" ",TRIM(C1067)&amp;" ")-1),",","."))+1,9)),IF(ISNUMBER(SEARCH("yea",C1067)),IFERROR(_xlfn.NUMBERVALUE(SUBSTITUTE(LEFT(TRIM(C1067),FIND(" ",TRIM(C1067)&amp;" ")-1),",","."),"."),LEFT(SUBSTITUTE(LEFT(TRIM(C1067),FIND(" ",TRIM(C1067)&amp;" ")-1),",","."),FIND("/",SUBSTITUTE(LEFT(TRIM(C1067),FIND(" ",TRIM(C1067)&amp;" ")-1),",","."))-1)/MID(SUBSTITUTE(LEFT(TRIM(C1067),FIND(" ",TRIM(C1067)&amp;" ")-1),",","."),FIND("/",SUBSTITUTE(LEFT(TRIM(C1067),FIND(" ",TRIM(C1067)&amp;" ")-1),",","."))+1,9))*12,NA()))),0),48)*'Aturan &amp; Tarif'!$B$4,2)</f>
        <v>2725.44</v>
      </c>
      <c r="K1067" s="42" t="n">
        <f aca="false">'Aturan &amp; Tarif'!$B$5</f>
        <v>2050</v>
      </c>
      <c r="L1067" s="42" t="n">
        <f aca="false">'Aturan &amp; Tarif'!$B$6</f>
        <v>350</v>
      </c>
      <c r="M1067" s="35" t="n">
        <f aca="false">I1067+J1067+K1067+L1067</f>
        <v>21375.44</v>
      </c>
      <c r="N1067" s="45" t="s">
        <v>2572</v>
      </c>
    </row>
    <row r="1068" customFormat="false" ht="25.5" hidden="false" customHeight="true" outlineLevel="0" collapsed="false">
      <c r="A1068" s="39"/>
      <c r="B1068" s="40" t="s">
        <v>2660</v>
      </c>
      <c r="C1068" s="41" t="s">
        <v>191</v>
      </c>
      <c r="D1068" s="41" t="s">
        <v>108</v>
      </c>
      <c r="E1068" s="42" t="n">
        <v>9908</v>
      </c>
      <c r="F1068" s="42"/>
      <c r="G1068" s="42"/>
      <c r="H1068" s="43" t="n">
        <v>2</v>
      </c>
      <c r="I1068" s="34" t="n">
        <f aca="false">E1068*H1068+N(F1068)+N(G1068)</f>
        <v>19816</v>
      </c>
      <c r="J1068" s="42" t="n">
        <f aca="false">ROUND(IFERROR(ROUND(IF(OR(ISNUMBER(SEARCH("week",C1068)),ISNUMBER(SEARCH("minggu",C1068))),IFERROR(_xlfn.NUMBERVALUE(SUBSTITUTE(LEFT(TRIM(C1068),FIND(" ",TRIM(C1068)&amp;" ")-1),",","."),"."),LEFT(SUBSTITUTE(LEFT(TRIM(C1068),FIND(" ",TRIM(C1068)&amp;" ")-1),",","."),FIND("/",SUBSTITUTE(LEFT(TRIM(C1068),FIND(" ",TRIM(C1068)&amp;" ")-1),",","."))-1)/MID(SUBSTITUTE(LEFT(TRIM(C1068),FIND(" ",TRIM(C1068)&amp;" ")-1),",","."),FIND("/",SUBSTITUTE(LEFT(TRIM(C1068),FIND(" ",TRIM(C1068)&amp;" ")-1),",","."))+1,9))*12/52,IF(ISNUMBER(SEARCH("month",C1068)),IFERROR(_xlfn.NUMBERVALUE(SUBSTITUTE(LEFT(TRIM(C1068),FIND(" ",TRIM(C1068)&amp;" ")-1),",","."),"."),LEFT(SUBSTITUTE(LEFT(TRIM(C1068),FIND(" ",TRIM(C1068)&amp;" ")-1),",","."),FIND("/",SUBSTITUTE(LEFT(TRIM(C1068),FIND(" ",TRIM(C1068)&amp;" ")-1),",","."))-1)/MID(SUBSTITUTE(LEFT(TRIM(C1068),FIND(" ",TRIM(C1068)&amp;" ")-1),",","."),FIND("/",SUBSTITUTE(LEFT(TRIM(C1068),FIND(" ",TRIM(C1068)&amp;" ")-1),",","."))+1,9)),IF(ISNUMBER(SEARCH("yea",C1068)),IFERROR(_xlfn.NUMBERVALUE(SUBSTITUTE(LEFT(TRIM(C1068),FIND(" ",TRIM(C1068)&amp;" ")-1),",","."),"."),LEFT(SUBSTITUTE(LEFT(TRIM(C1068),FIND(" ",TRIM(C1068)&amp;" ")-1),",","."),FIND("/",SUBSTITUTE(LEFT(TRIM(C1068),FIND(" ",TRIM(C1068)&amp;" ")-1),",","."))-1)/MID(SUBSTITUTE(LEFT(TRIM(C1068),FIND(" ",TRIM(C1068)&amp;" ")-1),",","."),FIND("/",SUBSTITUTE(LEFT(TRIM(C1068),FIND(" ",TRIM(C1068)&amp;" ")-1),",","."))+1,9))*12,NA()))),0),48)*'Aturan &amp; Tarif'!$B$4,2)</f>
        <v>2725.44</v>
      </c>
      <c r="K1068" s="42" t="n">
        <f aca="false">'Aturan &amp; Tarif'!$B$5</f>
        <v>2050</v>
      </c>
      <c r="L1068" s="42" t="n">
        <f aca="false">'Aturan &amp; Tarif'!$B$6</f>
        <v>350</v>
      </c>
      <c r="M1068" s="35" t="n">
        <f aca="false">I1068+J1068+K1068+L1068</f>
        <v>24941.44</v>
      </c>
      <c r="N1068" s="45" t="s">
        <v>2572</v>
      </c>
    </row>
    <row r="1069" customFormat="false" ht="25.5" hidden="false" customHeight="true" outlineLevel="0" collapsed="false">
      <c r="A1069" s="39"/>
      <c r="B1069" s="40" t="s">
        <v>2661</v>
      </c>
      <c r="C1069" s="41" t="s">
        <v>191</v>
      </c>
      <c r="D1069" s="41" t="s">
        <v>108</v>
      </c>
      <c r="E1069" s="42" t="n">
        <v>9908</v>
      </c>
      <c r="F1069" s="42"/>
      <c r="G1069" s="42"/>
      <c r="H1069" s="43" t="n">
        <v>2</v>
      </c>
      <c r="I1069" s="34" t="n">
        <f aca="false">E1069*H1069+N(F1069)+N(G1069)</f>
        <v>19816</v>
      </c>
      <c r="J1069" s="42" t="n">
        <f aca="false">ROUND(IFERROR(ROUND(IF(OR(ISNUMBER(SEARCH("week",C1069)),ISNUMBER(SEARCH("minggu",C1069))),IFERROR(_xlfn.NUMBERVALUE(SUBSTITUTE(LEFT(TRIM(C1069),FIND(" ",TRIM(C1069)&amp;" ")-1),",","."),"."),LEFT(SUBSTITUTE(LEFT(TRIM(C1069),FIND(" ",TRIM(C1069)&amp;" ")-1),",","."),FIND("/",SUBSTITUTE(LEFT(TRIM(C1069),FIND(" ",TRIM(C1069)&amp;" ")-1),",","."))-1)/MID(SUBSTITUTE(LEFT(TRIM(C1069),FIND(" ",TRIM(C1069)&amp;" ")-1),",","."),FIND("/",SUBSTITUTE(LEFT(TRIM(C1069),FIND(" ",TRIM(C1069)&amp;" ")-1),",","."))+1,9))*12/52,IF(ISNUMBER(SEARCH("month",C1069)),IFERROR(_xlfn.NUMBERVALUE(SUBSTITUTE(LEFT(TRIM(C1069),FIND(" ",TRIM(C1069)&amp;" ")-1),",","."),"."),LEFT(SUBSTITUTE(LEFT(TRIM(C1069),FIND(" ",TRIM(C1069)&amp;" ")-1),",","."),FIND("/",SUBSTITUTE(LEFT(TRIM(C1069),FIND(" ",TRIM(C1069)&amp;" ")-1),",","."))-1)/MID(SUBSTITUTE(LEFT(TRIM(C1069),FIND(" ",TRIM(C1069)&amp;" ")-1),",","."),FIND("/",SUBSTITUTE(LEFT(TRIM(C1069),FIND(" ",TRIM(C1069)&amp;" ")-1),",","."))+1,9)),IF(ISNUMBER(SEARCH("yea",C1069)),IFERROR(_xlfn.NUMBERVALUE(SUBSTITUTE(LEFT(TRIM(C1069),FIND(" ",TRIM(C1069)&amp;" ")-1),",","."),"."),LEFT(SUBSTITUTE(LEFT(TRIM(C1069),FIND(" ",TRIM(C1069)&amp;" ")-1),",","."),FIND("/",SUBSTITUTE(LEFT(TRIM(C1069),FIND(" ",TRIM(C1069)&amp;" ")-1),",","."))-1)/MID(SUBSTITUTE(LEFT(TRIM(C1069),FIND(" ",TRIM(C1069)&amp;" ")-1),",","."),FIND("/",SUBSTITUTE(LEFT(TRIM(C1069),FIND(" ",TRIM(C1069)&amp;" ")-1),",","."))+1,9))*12,NA()))),0),48)*'Aturan &amp; Tarif'!$B$4,2)</f>
        <v>2725.44</v>
      </c>
      <c r="K1069" s="42" t="n">
        <f aca="false">'Aturan &amp; Tarif'!$B$5</f>
        <v>2050</v>
      </c>
      <c r="L1069" s="42" t="n">
        <f aca="false">'Aturan &amp; Tarif'!$B$6</f>
        <v>350</v>
      </c>
      <c r="M1069" s="35" t="n">
        <f aca="false">I1069+J1069+K1069+L1069</f>
        <v>24941.44</v>
      </c>
      <c r="N1069" s="45" t="s">
        <v>2572</v>
      </c>
    </row>
    <row r="1070" customFormat="false" ht="25.5" hidden="false" customHeight="true" outlineLevel="0" collapsed="false">
      <c r="A1070" s="39"/>
      <c r="B1070" s="40" t="s">
        <v>2662</v>
      </c>
      <c r="C1070" s="41" t="s">
        <v>245</v>
      </c>
      <c r="D1070" s="41" t="s">
        <v>108</v>
      </c>
      <c r="E1070" s="42" t="n">
        <v>10229</v>
      </c>
      <c r="F1070" s="42"/>
      <c r="G1070" s="42"/>
      <c r="H1070" s="43" t="n">
        <v>2</v>
      </c>
      <c r="I1070" s="34" t="n">
        <f aca="false">E1070*H1070+N(F1070)+N(G1070)</f>
        <v>20458</v>
      </c>
      <c r="J1070" s="42" t="n">
        <f aca="false">ROUND(IFERROR(ROUND(IF(OR(ISNUMBER(SEARCH("week",C1070)),ISNUMBER(SEARCH("minggu",C1070))),IFERROR(_xlfn.NUMBERVALUE(SUBSTITUTE(LEFT(TRIM(C1070),FIND(" ",TRIM(C1070)&amp;" ")-1),",","."),"."),LEFT(SUBSTITUTE(LEFT(TRIM(C1070),FIND(" ",TRIM(C1070)&amp;" ")-1),",","."),FIND("/",SUBSTITUTE(LEFT(TRIM(C1070),FIND(" ",TRIM(C1070)&amp;" ")-1),",","."))-1)/MID(SUBSTITUTE(LEFT(TRIM(C1070),FIND(" ",TRIM(C1070)&amp;" ")-1),",","."),FIND("/",SUBSTITUTE(LEFT(TRIM(C1070),FIND(" ",TRIM(C1070)&amp;" ")-1),",","."))+1,9))*12/52,IF(ISNUMBER(SEARCH("month",C1070)),IFERROR(_xlfn.NUMBERVALUE(SUBSTITUTE(LEFT(TRIM(C1070),FIND(" ",TRIM(C1070)&amp;" ")-1),",","."),"."),LEFT(SUBSTITUTE(LEFT(TRIM(C1070),FIND(" ",TRIM(C1070)&amp;" ")-1),",","."),FIND("/",SUBSTITUTE(LEFT(TRIM(C1070),FIND(" ",TRIM(C1070)&amp;" ")-1),",","."))-1)/MID(SUBSTITUTE(LEFT(TRIM(C1070),FIND(" ",TRIM(C1070)&amp;" ")-1),",","."),FIND("/",SUBSTITUTE(LEFT(TRIM(C1070),FIND(" ",TRIM(C1070)&amp;" ")-1),",","."))+1,9)),IF(ISNUMBER(SEARCH("yea",C1070)),IFERROR(_xlfn.NUMBERVALUE(SUBSTITUTE(LEFT(TRIM(C1070),FIND(" ",TRIM(C1070)&amp;" ")-1),",","."),"."),LEFT(SUBSTITUTE(LEFT(TRIM(C1070),FIND(" ",TRIM(C1070)&amp;" ")-1),",","."),FIND("/",SUBSTITUTE(LEFT(TRIM(C1070),FIND(" ",TRIM(C1070)&amp;" ")-1),",","."))-1)/MID(SUBSTITUTE(LEFT(TRIM(C1070),FIND(" ",TRIM(C1070)&amp;" ")-1),",","."),FIND("/",SUBSTITUTE(LEFT(TRIM(C1070),FIND(" ",TRIM(C1070)&amp;" ")-1),",","."))+1,9))*12,NA()))),0),60)*'Aturan &amp; Tarif'!$B$4,2)</f>
        <v>3406.8</v>
      </c>
      <c r="K1070" s="42" t="n">
        <f aca="false">'Aturan &amp; Tarif'!$B$5</f>
        <v>2050</v>
      </c>
      <c r="L1070" s="42" t="n">
        <f aca="false">'Aturan &amp; Tarif'!$B$6</f>
        <v>350</v>
      </c>
      <c r="M1070" s="35" t="n">
        <f aca="false">I1070+J1070+K1070+L1070</f>
        <v>26264.8</v>
      </c>
      <c r="N1070" s="45" t="s">
        <v>2572</v>
      </c>
    </row>
    <row r="1071" customFormat="false" ht="25.5" hidden="false" customHeight="true" outlineLevel="0" collapsed="false">
      <c r="A1071" s="39"/>
      <c r="B1071" s="40" t="s">
        <v>2663</v>
      </c>
      <c r="C1071" s="41" t="s">
        <v>191</v>
      </c>
      <c r="D1071" s="41" t="s">
        <v>108</v>
      </c>
      <c r="E1071" s="42" t="n">
        <v>8694</v>
      </c>
      <c r="F1071" s="42"/>
      <c r="G1071" s="42"/>
      <c r="H1071" s="43" t="n">
        <v>2</v>
      </c>
      <c r="I1071" s="34" t="n">
        <f aca="false">E1071*H1071+N(F1071)+N(G1071)</f>
        <v>17388</v>
      </c>
      <c r="J1071" s="42" t="n">
        <f aca="false">ROUND(IFERROR(ROUND(IF(OR(ISNUMBER(SEARCH("week",C1071)),ISNUMBER(SEARCH("minggu",C1071))),IFERROR(_xlfn.NUMBERVALUE(SUBSTITUTE(LEFT(TRIM(C1071),FIND(" ",TRIM(C1071)&amp;" ")-1),",","."),"."),LEFT(SUBSTITUTE(LEFT(TRIM(C1071),FIND(" ",TRIM(C1071)&amp;" ")-1),",","."),FIND("/",SUBSTITUTE(LEFT(TRIM(C1071),FIND(" ",TRIM(C1071)&amp;" ")-1),",","."))-1)/MID(SUBSTITUTE(LEFT(TRIM(C1071),FIND(" ",TRIM(C1071)&amp;" ")-1),",","."),FIND("/",SUBSTITUTE(LEFT(TRIM(C1071),FIND(" ",TRIM(C1071)&amp;" ")-1),",","."))+1,9))*12/52,IF(ISNUMBER(SEARCH("month",C1071)),IFERROR(_xlfn.NUMBERVALUE(SUBSTITUTE(LEFT(TRIM(C1071),FIND(" ",TRIM(C1071)&amp;" ")-1),",","."),"."),LEFT(SUBSTITUTE(LEFT(TRIM(C1071),FIND(" ",TRIM(C1071)&amp;" ")-1),",","."),FIND("/",SUBSTITUTE(LEFT(TRIM(C1071),FIND(" ",TRIM(C1071)&amp;" ")-1),",","."))-1)/MID(SUBSTITUTE(LEFT(TRIM(C1071),FIND(" ",TRIM(C1071)&amp;" ")-1),",","."),FIND("/",SUBSTITUTE(LEFT(TRIM(C1071),FIND(" ",TRIM(C1071)&amp;" ")-1),",","."))+1,9)),IF(ISNUMBER(SEARCH("yea",C1071)),IFERROR(_xlfn.NUMBERVALUE(SUBSTITUTE(LEFT(TRIM(C1071),FIND(" ",TRIM(C1071)&amp;" ")-1),",","."),"."),LEFT(SUBSTITUTE(LEFT(TRIM(C1071),FIND(" ",TRIM(C1071)&amp;" ")-1),",","."),FIND("/",SUBSTITUTE(LEFT(TRIM(C1071),FIND(" ",TRIM(C1071)&amp;" ")-1),",","."))-1)/MID(SUBSTITUTE(LEFT(TRIM(C1071),FIND(" ",TRIM(C1071)&amp;" ")-1),",","."),FIND("/",SUBSTITUTE(LEFT(TRIM(C1071),FIND(" ",TRIM(C1071)&amp;" ")-1),",","."))+1,9))*12,NA()))),0),48)*'Aturan &amp; Tarif'!$B$4,2)</f>
        <v>2725.44</v>
      </c>
      <c r="K1071" s="42" t="n">
        <f aca="false">'Aturan &amp; Tarif'!$B$5</f>
        <v>2050</v>
      </c>
      <c r="L1071" s="42" t="n">
        <f aca="false">'Aturan &amp; Tarif'!$B$6</f>
        <v>350</v>
      </c>
      <c r="M1071" s="35" t="n">
        <f aca="false">I1071+J1071+K1071+L1071</f>
        <v>22513.44</v>
      </c>
      <c r="N1071" s="45" t="s">
        <v>2572</v>
      </c>
    </row>
    <row r="1072" customFormat="false" ht="25.5" hidden="false" customHeight="true" outlineLevel="0" collapsed="false">
      <c r="A1072" s="39"/>
      <c r="B1072" s="40" t="s">
        <v>2664</v>
      </c>
      <c r="C1072" s="41" t="s">
        <v>113</v>
      </c>
      <c r="D1072" s="41" t="s">
        <v>108</v>
      </c>
      <c r="E1072" s="42" t="n">
        <v>8684</v>
      </c>
      <c r="F1072" s="42"/>
      <c r="G1072" s="42"/>
      <c r="H1072" s="43" t="n">
        <v>2</v>
      </c>
      <c r="I1072" s="34" t="n">
        <f aca="false">E1072*H1072+N(F1072)+N(G1072)</f>
        <v>17368</v>
      </c>
      <c r="J1072" s="42" t="n">
        <f aca="false">ROUND(IFERROR(ROUND(IF(OR(ISNUMBER(SEARCH("week",C1072)),ISNUMBER(SEARCH("minggu",C1072))),IFERROR(_xlfn.NUMBERVALUE(SUBSTITUTE(LEFT(TRIM(C1072),FIND(" ",TRIM(C1072)&amp;" ")-1),",","."),"."),LEFT(SUBSTITUTE(LEFT(TRIM(C1072),FIND(" ",TRIM(C1072)&amp;" ")-1),",","."),FIND("/",SUBSTITUTE(LEFT(TRIM(C1072),FIND(" ",TRIM(C1072)&amp;" ")-1),",","."))-1)/MID(SUBSTITUTE(LEFT(TRIM(C1072),FIND(" ",TRIM(C1072)&amp;" ")-1),",","."),FIND("/",SUBSTITUTE(LEFT(TRIM(C1072),FIND(" ",TRIM(C1072)&amp;" ")-1),",","."))+1,9))*12/52,IF(ISNUMBER(SEARCH("month",C1072)),IFERROR(_xlfn.NUMBERVALUE(SUBSTITUTE(LEFT(TRIM(C1072),FIND(" ",TRIM(C1072)&amp;" ")-1),",","."),"."),LEFT(SUBSTITUTE(LEFT(TRIM(C1072),FIND(" ",TRIM(C1072)&amp;" ")-1),",","."),FIND("/",SUBSTITUTE(LEFT(TRIM(C1072),FIND(" ",TRIM(C1072)&amp;" ")-1),",","."))-1)/MID(SUBSTITUTE(LEFT(TRIM(C1072),FIND(" ",TRIM(C1072)&amp;" ")-1),",","."),FIND("/",SUBSTITUTE(LEFT(TRIM(C1072),FIND(" ",TRIM(C1072)&amp;" ")-1),",","."))+1,9)),IF(ISNUMBER(SEARCH("yea",C1072)),IFERROR(_xlfn.NUMBERVALUE(SUBSTITUTE(LEFT(TRIM(C1072),FIND(" ",TRIM(C1072)&amp;" ")-1),",","."),"."),LEFT(SUBSTITUTE(LEFT(TRIM(C1072),FIND(" ",TRIM(C1072)&amp;" ")-1),",","."),FIND("/",SUBSTITUTE(LEFT(TRIM(C1072),FIND(" ",TRIM(C1072)&amp;" ")-1),",","."))-1)/MID(SUBSTITUTE(LEFT(TRIM(C1072),FIND(" ",TRIM(C1072)&amp;" ")-1),",","."),FIND("/",SUBSTITUTE(LEFT(TRIM(C1072),FIND(" ",TRIM(C1072)&amp;" ")-1),",","."))+1,9))*12,NA()))),0),18)*'Aturan &amp; Tarif'!$B$4,2)</f>
        <v>1022.04</v>
      </c>
      <c r="K1072" s="42" t="n">
        <f aca="false">'Aturan &amp; Tarif'!$B$5</f>
        <v>2050</v>
      </c>
      <c r="L1072" s="42" t="n">
        <f aca="false">'Aturan &amp; Tarif'!$B$6</f>
        <v>350</v>
      </c>
      <c r="M1072" s="35" t="n">
        <f aca="false">I1072+J1072+K1072+L1072</f>
        <v>20790.04</v>
      </c>
      <c r="N1072" s="45" t="s">
        <v>2665</v>
      </c>
    </row>
    <row r="1073" customFormat="false" ht="25.5" hidden="false" customHeight="true" outlineLevel="0" collapsed="false">
      <c r="A1073" s="39"/>
      <c r="B1073" s="40" t="s">
        <v>2666</v>
      </c>
      <c r="C1073" s="41" t="s">
        <v>107</v>
      </c>
      <c r="D1073" s="41" t="s">
        <v>108</v>
      </c>
      <c r="E1073" s="42" t="n">
        <v>8843</v>
      </c>
      <c r="F1073" s="42"/>
      <c r="G1073" s="42"/>
      <c r="H1073" s="43" t="n">
        <v>2</v>
      </c>
      <c r="I1073" s="34" t="n">
        <f aca="false">E1073*H1073+N(F1073)+N(G1073)</f>
        <v>17686</v>
      </c>
      <c r="J1073" s="42" t="n">
        <f aca="false">ROUND(IFERROR(ROUND(IF(OR(ISNUMBER(SEARCH("week",C1073)),ISNUMBER(SEARCH("minggu",C1073))),IFERROR(_xlfn.NUMBERVALUE(SUBSTITUTE(LEFT(TRIM(C1073),FIND(" ",TRIM(C1073)&amp;" ")-1),",","."),"."),LEFT(SUBSTITUTE(LEFT(TRIM(C1073),FIND(" ",TRIM(C1073)&amp;" ")-1),",","."),FIND("/",SUBSTITUTE(LEFT(TRIM(C1073),FIND(" ",TRIM(C1073)&amp;" ")-1),",","."))-1)/MID(SUBSTITUTE(LEFT(TRIM(C1073),FIND(" ",TRIM(C1073)&amp;" ")-1),",","."),FIND("/",SUBSTITUTE(LEFT(TRIM(C1073),FIND(" ",TRIM(C1073)&amp;" ")-1),",","."))+1,9))*12/52,IF(ISNUMBER(SEARCH("month",C1073)),IFERROR(_xlfn.NUMBERVALUE(SUBSTITUTE(LEFT(TRIM(C1073),FIND(" ",TRIM(C1073)&amp;" ")-1),",","."),"."),LEFT(SUBSTITUTE(LEFT(TRIM(C1073),FIND(" ",TRIM(C1073)&amp;" ")-1),",","."),FIND("/",SUBSTITUTE(LEFT(TRIM(C1073),FIND(" ",TRIM(C1073)&amp;" ")-1),",","."))-1)/MID(SUBSTITUTE(LEFT(TRIM(C1073),FIND(" ",TRIM(C1073)&amp;" ")-1),",","."),FIND("/",SUBSTITUTE(LEFT(TRIM(C1073),FIND(" ",TRIM(C1073)&amp;" ")-1),",","."))+1,9)),IF(ISNUMBER(SEARCH("yea",C1073)),IFERROR(_xlfn.NUMBERVALUE(SUBSTITUTE(LEFT(TRIM(C1073),FIND(" ",TRIM(C1073)&amp;" ")-1),",","."),"."),LEFT(SUBSTITUTE(LEFT(TRIM(C1073),FIND(" ",TRIM(C1073)&amp;" ")-1),",","."),FIND("/",SUBSTITUTE(LEFT(TRIM(C1073),FIND(" ",TRIM(C1073)&amp;" ")-1),",","."))-1)/MID(SUBSTITUTE(LEFT(TRIM(C1073),FIND(" ",TRIM(C1073)&amp;" ")-1),",","."),FIND("/",SUBSTITUTE(LEFT(TRIM(C1073),FIND(" ",TRIM(C1073)&amp;" ")-1),",","."))+1,9))*12,NA()))),0),24)*'Aturan &amp; Tarif'!$B$4,2)</f>
        <v>1362.72</v>
      </c>
      <c r="K1073" s="42" t="n">
        <f aca="false">'Aturan &amp; Tarif'!$B$5</f>
        <v>2050</v>
      </c>
      <c r="L1073" s="42" t="n">
        <f aca="false">'Aturan &amp; Tarif'!$B$6</f>
        <v>350</v>
      </c>
      <c r="M1073" s="35" t="n">
        <f aca="false">I1073+J1073+K1073+L1073</f>
        <v>21448.72</v>
      </c>
      <c r="N1073" s="45" t="s">
        <v>2665</v>
      </c>
    </row>
    <row r="1074" customFormat="false" ht="25.5" hidden="false" customHeight="true" outlineLevel="0" collapsed="false">
      <c r="A1074" s="39"/>
      <c r="B1074" s="40" t="s">
        <v>2667</v>
      </c>
      <c r="C1074" s="41" t="s">
        <v>107</v>
      </c>
      <c r="D1074" s="41" t="s">
        <v>108</v>
      </c>
      <c r="E1074" s="42" t="n">
        <v>9835</v>
      </c>
      <c r="F1074" s="42"/>
      <c r="G1074" s="42"/>
      <c r="H1074" s="43" t="n">
        <v>2</v>
      </c>
      <c r="I1074" s="34" t="n">
        <f aca="false">E1074*H1074+N(F1074)+N(G1074)</f>
        <v>19670</v>
      </c>
      <c r="J1074" s="42" t="n">
        <f aca="false">ROUND(IFERROR(ROUND(IF(OR(ISNUMBER(SEARCH("week",C1074)),ISNUMBER(SEARCH("minggu",C1074))),IFERROR(_xlfn.NUMBERVALUE(SUBSTITUTE(LEFT(TRIM(C1074),FIND(" ",TRIM(C1074)&amp;" ")-1),",","."),"."),LEFT(SUBSTITUTE(LEFT(TRIM(C1074),FIND(" ",TRIM(C1074)&amp;" ")-1),",","."),FIND("/",SUBSTITUTE(LEFT(TRIM(C1074),FIND(" ",TRIM(C1074)&amp;" ")-1),",","."))-1)/MID(SUBSTITUTE(LEFT(TRIM(C1074),FIND(" ",TRIM(C1074)&amp;" ")-1),",","."),FIND("/",SUBSTITUTE(LEFT(TRIM(C1074),FIND(" ",TRIM(C1074)&amp;" ")-1),",","."))+1,9))*12/52,IF(ISNUMBER(SEARCH("month",C1074)),IFERROR(_xlfn.NUMBERVALUE(SUBSTITUTE(LEFT(TRIM(C1074),FIND(" ",TRIM(C1074)&amp;" ")-1),",","."),"."),LEFT(SUBSTITUTE(LEFT(TRIM(C1074),FIND(" ",TRIM(C1074)&amp;" ")-1),",","."),FIND("/",SUBSTITUTE(LEFT(TRIM(C1074),FIND(" ",TRIM(C1074)&amp;" ")-1),",","."))-1)/MID(SUBSTITUTE(LEFT(TRIM(C1074),FIND(" ",TRIM(C1074)&amp;" ")-1),",","."),FIND("/",SUBSTITUTE(LEFT(TRIM(C1074),FIND(" ",TRIM(C1074)&amp;" ")-1),",","."))+1,9)),IF(ISNUMBER(SEARCH("yea",C1074)),IFERROR(_xlfn.NUMBERVALUE(SUBSTITUTE(LEFT(TRIM(C1074),FIND(" ",TRIM(C1074)&amp;" ")-1),",","."),"."),LEFT(SUBSTITUTE(LEFT(TRIM(C1074),FIND(" ",TRIM(C1074)&amp;" ")-1),",","."),FIND("/",SUBSTITUTE(LEFT(TRIM(C1074),FIND(" ",TRIM(C1074)&amp;" ")-1),",","."))-1)/MID(SUBSTITUTE(LEFT(TRIM(C1074),FIND(" ",TRIM(C1074)&amp;" ")-1),",","."),FIND("/",SUBSTITUTE(LEFT(TRIM(C1074),FIND(" ",TRIM(C1074)&amp;" ")-1),",","."))+1,9))*12,NA()))),0),24)*'Aturan &amp; Tarif'!$B$4,2)</f>
        <v>1362.72</v>
      </c>
      <c r="K1074" s="42" t="n">
        <f aca="false">'Aturan &amp; Tarif'!$B$5</f>
        <v>2050</v>
      </c>
      <c r="L1074" s="42" t="n">
        <f aca="false">'Aturan &amp; Tarif'!$B$6</f>
        <v>350</v>
      </c>
      <c r="M1074" s="35" t="n">
        <f aca="false">I1074+J1074+K1074+L1074</f>
        <v>23432.72</v>
      </c>
      <c r="N1074" s="45" t="s">
        <v>2665</v>
      </c>
    </row>
    <row r="1075" customFormat="false" ht="37.5" hidden="false" customHeight="true" outlineLevel="0" collapsed="false">
      <c r="A1075" s="39"/>
      <c r="B1075" s="40" t="s">
        <v>2668</v>
      </c>
      <c r="C1075" s="41" t="s">
        <v>344</v>
      </c>
      <c r="D1075" s="41" t="s">
        <v>108</v>
      </c>
      <c r="E1075" s="42" t="n">
        <v>4918</v>
      </c>
      <c r="F1075" s="42"/>
      <c r="G1075" s="42"/>
      <c r="H1075" s="43" t="n">
        <v>2</v>
      </c>
      <c r="I1075" s="34" t="n">
        <f aca="false">E1075*H1075+N(F1075)+N(G1075)</f>
        <v>9836</v>
      </c>
      <c r="J1075" s="42" t="n">
        <f aca="false">ROUND(IFERROR(ROUND(IF(OR(ISNUMBER(SEARCH("week",C1075)),ISNUMBER(SEARCH("minggu",C1075))),IFERROR(_xlfn.NUMBERVALUE(SUBSTITUTE(LEFT(TRIM(C1075),FIND(" ",TRIM(C1075)&amp;" ")-1),",","."),"."),LEFT(SUBSTITUTE(LEFT(TRIM(C1075),FIND(" ",TRIM(C1075)&amp;" ")-1),",","."),FIND("/",SUBSTITUTE(LEFT(TRIM(C1075),FIND(" ",TRIM(C1075)&amp;" ")-1),",","."))-1)/MID(SUBSTITUTE(LEFT(TRIM(C1075),FIND(" ",TRIM(C1075)&amp;" ")-1),",","."),FIND("/",SUBSTITUTE(LEFT(TRIM(C1075),FIND(" ",TRIM(C1075)&amp;" ")-1),",","."))+1,9))*12/52,IF(ISNUMBER(SEARCH("month",C1075)),IFERROR(_xlfn.NUMBERVALUE(SUBSTITUTE(LEFT(TRIM(C1075),FIND(" ",TRIM(C1075)&amp;" ")-1),",","."),"."),LEFT(SUBSTITUTE(LEFT(TRIM(C1075),FIND(" ",TRIM(C1075)&amp;" ")-1),",","."),FIND("/",SUBSTITUTE(LEFT(TRIM(C1075),FIND(" ",TRIM(C1075)&amp;" ")-1),",","."))-1)/MID(SUBSTITUTE(LEFT(TRIM(C1075),FIND(" ",TRIM(C1075)&amp;" ")-1),",","."),FIND("/",SUBSTITUTE(LEFT(TRIM(C1075),FIND(" ",TRIM(C1075)&amp;" ")-1),",","."))+1,9)),IF(ISNUMBER(SEARCH("yea",C1075)),IFERROR(_xlfn.NUMBERVALUE(SUBSTITUTE(LEFT(TRIM(C1075),FIND(" ",TRIM(C1075)&amp;" ")-1),",","."),"."),LEFT(SUBSTITUTE(LEFT(TRIM(C1075),FIND(" ",TRIM(C1075)&amp;" ")-1),",","."),FIND("/",SUBSTITUTE(LEFT(TRIM(C1075),FIND(" ",TRIM(C1075)&amp;" ")-1),",","."))-1)/MID(SUBSTITUTE(LEFT(TRIM(C1075),FIND(" ",TRIM(C1075)&amp;" ")-1),",","."),FIND("/",SUBSTITUTE(LEFT(TRIM(C1075),FIND(" ",TRIM(C1075)&amp;" ")-1),",","."))+1,9))*12,NA()))),0),6)*'Aturan &amp; Tarif'!$B$4,2)</f>
        <v>340.68</v>
      </c>
      <c r="K1075" s="42" t="n">
        <f aca="false">'Aturan &amp; Tarif'!$B$5</f>
        <v>2050</v>
      </c>
      <c r="L1075" s="42" t="n">
        <f aca="false">'Aturan &amp; Tarif'!$B$6</f>
        <v>350</v>
      </c>
      <c r="M1075" s="35" t="n">
        <f aca="false">I1075+J1075+K1075+L1075</f>
        <v>12576.68</v>
      </c>
      <c r="N1075" s="45" t="s">
        <v>2665</v>
      </c>
    </row>
    <row r="1076" customFormat="false" ht="25.5" hidden="false" customHeight="true" outlineLevel="0" collapsed="false">
      <c r="A1076" s="39"/>
      <c r="B1076" s="40" t="s">
        <v>2669</v>
      </c>
      <c r="C1076" s="41" t="s">
        <v>107</v>
      </c>
      <c r="D1076" s="41" t="s">
        <v>108</v>
      </c>
      <c r="E1076" s="42" t="n">
        <v>9835</v>
      </c>
      <c r="F1076" s="42"/>
      <c r="G1076" s="42"/>
      <c r="H1076" s="43" t="n">
        <v>2</v>
      </c>
      <c r="I1076" s="34" t="n">
        <f aca="false">E1076*H1076+N(F1076)+N(G1076)</f>
        <v>19670</v>
      </c>
      <c r="J1076" s="42" t="n">
        <f aca="false">ROUND(IFERROR(ROUND(IF(OR(ISNUMBER(SEARCH("week",C1076)),ISNUMBER(SEARCH("minggu",C1076))),IFERROR(_xlfn.NUMBERVALUE(SUBSTITUTE(LEFT(TRIM(C1076),FIND(" ",TRIM(C1076)&amp;" ")-1),",","."),"."),LEFT(SUBSTITUTE(LEFT(TRIM(C1076),FIND(" ",TRIM(C1076)&amp;" ")-1),",","."),FIND("/",SUBSTITUTE(LEFT(TRIM(C1076),FIND(" ",TRIM(C1076)&amp;" ")-1),",","."))-1)/MID(SUBSTITUTE(LEFT(TRIM(C1076),FIND(" ",TRIM(C1076)&amp;" ")-1),",","."),FIND("/",SUBSTITUTE(LEFT(TRIM(C1076),FIND(" ",TRIM(C1076)&amp;" ")-1),",","."))+1,9))*12/52,IF(ISNUMBER(SEARCH("month",C1076)),IFERROR(_xlfn.NUMBERVALUE(SUBSTITUTE(LEFT(TRIM(C1076),FIND(" ",TRIM(C1076)&amp;" ")-1),",","."),"."),LEFT(SUBSTITUTE(LEFT(TRIM(C1076),FIND(" ",TRIM(C1076)&amp;" ")-1),",","."),FIND("/",SUBSTITUTE(LEFT(TRIM(C1076),FIND(" ",TRIM(C1076)&amp;" ")-1),",","."))-1)/MID(SUBSTITUTE(LEFT(TRIM(C1076),FIND(" ",TRIM(C1076)&amp;" ")-1),",","."),FIND("/",SUBSTITUTE(LEFT(TRIM(C1076),FIND(" ",TRIM(C1076)&amp;" ")-1),",","."))+1,9)),IF(ISNUMBER(SEARCH("yea",C1076)),IFERROR(_xlfn.NUMBERVALUE(SUBSTITUTE(LEFT(TRIM(C1076),FIND(" ",TRIM(C1076)&amp;" ")-1),",","."),"."),LEFT(SUBSTITUTE(LEFT(TRIM(C1076),FIND(" ",TRIM(C1076)&amp;" ")-1),",","."),FIND("/",SUBSTITUTE(LEFT(TRIM(C1076),FIND(" ",TRIM(C1076)&amp;" ")-1),",","."))-1)/MID(SUBSTITUTE(LEFT(TRIM(C1076),FIND(" ",TRIM(C1076)&amp;" ")-1),",","."),FIND("/",SUBSTITUTE(LEFT(TRIM(C1076),FIND(" ",TRIM(C1076)&amp;" ")-1),",","."))+1,9))*12,NA()))),0),24)*'Aturan &amp; Tarif'!$B$4,2)</f>
        <v>1362.72</v>
      </c>
      <c r="K1076" s="42" t="n">
        <f aca="false">'Aturan &amp; Tarif'!$B$5</f>
        <v>2050</v>
      </c>
      <c r="L1076" s="42" t="n">
        <f aca="false">'Aturan &amp; Tarif'!$B$6</f>
        <v>350</v>
      </c>
      <c r="M1076" s="35" t="n">
        <f aca="false">I1076+J1076+K1076+L1076</f>
        <v>23432.72</v>
      </c>
      <c r="N1076" s="45" t="s">
        <v>2665</v>
      </c>
    </row>
    <row r="1077" customFormat="false" ht="25.5" hidden="false" customHeight="true" outlineLevel="0" collapsed="false">
      <c r="A1077" s="39"/>
      <c r="B1077" s="40" t="s">
        <v>2670</v>
      </c>
      <c r="C1077" s="41" t="s">
        <v>344</v>
      </c>
      <c r="D1077" s="41" t="s">
        <v>108</v>
      </c>
      <c r="E1077" s="42" t="n">
        <v>4918</v>
      </c>
      <c r="F1077" s="42"/>
      <c r="G1077" s="42"/>
      <c r="H1077" s="43" t="n">
        <v>2</v>
      </c>
      <c r="I1077" s="34" t="n">
        <f aca="false">E1077*H1077+N(F1077)+N(G1077)</f>
        <v>9836</v>
      </c>
      <c r="J1077" s="42" t="n">
        <f aca="false">ROUND(IFERROR(ROUND(IF(OR(ISNUMBER(SEARCH("week",C1077)),ISNUMBER(SEARCH("minggu",C1077))),IFERROR(_xlfn.NUMBERVALUE(SUBSTITUTE(LEFT(TRIM(C1077),FIND(" ",TRIM(C1077)&amp;" ")-1),",","."),"."),LEFT(SUBSTITUTE(LEFT(TRIM(C1077),FIND(" ",TRIM(C1077)&amp;" ")-1),",","."),FIND("/",SUBSTITUTE(LEFT(TRIM(C1077),FIND(" ",TRIM(C1077)&amp;" ")-1),",","."))-1)/MID(SUBSTITUTE(LEFT(TRIM(C1077),FIND(" ",TRIM(C1077)&amp;" ")-1),",","."),FIND("/",SUBSTITUTE(LEFT(TRIM(C1077),FIND(" ",TRIM(C1077)&amp;" ")-1),",","."))+1,9))*12/52,IF(ISNUMBER(SEARCH("month",C1077)),IFERROR(_xlfn.NUMBERVALUE(SUBSTITUTE(LEFT(TRIM(C1077),FIND(" ",TRIM(C1077)&amp;" ")-1),",","."),"."),LEFT(SUBSTITUTE(LEFT(TRIM(C1077),FIND(" ",TRIM(C1077)&amp;" ")-1),",","."),FIND("/",SUBSTITUTE(LEFT(TRIM(C1077),FIND(" ",TRIM(C1077)&amp;" ")-1),",","."))-1)/MID(SUBSTITUTE(LEFT(TRIM(C1077),FIND(" ",TRIM(C1077)&amp;" ")-1),",","."),FIND("/",SUBSTITUTE(LEFT(TRIM(C1077),FIND(" ",TRIM(C1077)&amp;" ")-1),",","."))+1,9)),IF(ISNUMBER(SEARCH("yea",C1077)),IFERROR(_xlfn.NUMBERVALUE(SUBSTITUTE(LEFT(TRIM(C1077),FIND(" ",TRIM(C1077)&amp;" ")-1),",","."),"."),LEFT(SUBSTITUTE(LEFT(TRIM(C1077),FIND(" ",TRIM(C1077)&amp;" ")-1),",","."),FIND("/",SUBSTITUTE(LEFT(TRIM(C1077),FIND(" ",TRIM(C1077)&amp;" ")-1),",","."))-1)/MID(SUBSTITUTE(LEFT(TRIM(C1077),FIND(" ",TRIM(C1077)&amp;" ")-1),",","."),FIND("/",SUBSTITUTE(LEFT(TRIM(C1077),FIND(" ",TRIM(C1077)&amp;" ")-1),",","."))+1,9))*12,NA()))),0),6)*'Aturan &amp; Tarif'!$B$4,2)</f>
        <v>340.68</v>
      </c>
      <c r="K1077" s="42" t="n">
        <f aca="false">'Aturan &amp; Tarif'!$B$5</f>
        <v>2050</v>
      </c>
      <c r="L1077" s="42" t="n">
        <f aca="false">'Aturan &amp; Tarif'!$B$6</f>
        <v>350</v>
      </c>
      <c r="M1077" s="35" t="n">
        <f aca="false">I1077+J1077+K1077+L1077</f>
        <v>12576.68</v>
      </c>
      <c r="N1077" s="45" t="s">
        <v>2665</v>
      </c>
    </row>
    <row r="1078" customFormat="false" ht="25.5" hidden="false" customHeight="true" outlineLevel="0" collapsed="false">
      <c r="A1078" s="39"/>
      <c r="B1078" s="40" t="s">
        <v>2671</v>
      </c>
      <c r="C1078" s="41" t="s">
        <v>107</v>
      </c>
      <c r="D1078" s="41" t="s">
        <v>108</v>
      </c>
      <c r="E1078" s="42" t="n">
        <v>9835</v>
      </c>
      <c r="F1078" s="42"/>
      <c r="G1078" s="42"/>
      <c r="H1078" s="43" t="n">
        <v>2</v>
      </c>
      <c r="I1078" s="34" t="n">
        <f aca="false">E1078*H1078+N(F1078)+N(G1078)</f>
        <v>19670</v>
      </c>
      <c r="J1078" s="42" t="n">
        <f aca="false">ROUND(IFERROR(ROUND(IF(OR(ISNUMBER(SEARCH("week",C1078)),ISNUMBER(SEARCH("minggu",C1078))),IFERROR(_xlfn.NUMBERVALUE(SUBSTITUTE(LEFT(TRIM(C1078),FIND(" ",TRIM(C1078)&amp;" ")-1),",","."),"."),LEFT(SUBSTITUTE(LEFT(TRIM(C1078),FIND(" ",TRIM(C1078)&amp;" ")-1),",","."),FIND("/",SUBSTITUTE(LEFT(TRIM(C1078),FIND(" ",TRIM(C1078)&amp;" ")-1),",","."))-1)/MID(SUBSTITUTE(LEFT(TRIM(C1078),FIND(" ",TRIM(C1078)&amp;" ")-1),",","."),FIND("/",SUBSTITUTE(LEFT(TRIM(C1078),FIND(" ",TRIM(C1078)&amp;" ")-1),",","."))+1,9))*12/52,IF(ISNUMBER(SEARCH("month",C1078)),IFERROR(_xlfn.NUMBERVALUE(SUBSTITUTE(LEFT(TRIM(C1078),FIND(" ",TRIM(C1078)&amp;" ")-1),",","."),"."),LEFT(SUBSTITUTE(LEFT(TRIM(C1078),FIND(" ",TRIM(C1078)&amp;" ")-1),",","."),FIND("/",SUBSTITUTE(LEFT(TRIM(C1078),FIND(" ",TRIM(C1078)&amp;" ")-1),",","."))-1)/MID(SUBSTITUTE(LEFT(TRIM(C1078),FIND(" ",TRIM(C1078)&amp;" ")-1),",","."),FIND("/",SUBSTITUTE(LEFT(TRIM(C1078),FIND(" ",TRIM(C1078)&amp;" ")-1),",","."))+1,9)),IF(ISNUMBER(SEARCH("yea",C1078)),IFERROR(_xlfn.NUMBERVALUE(SUBSTITUTE(LEFT(TRIM(C1078),FIND(" ",TRIM(C1078)&amp;" ")-1),",","."),"."),LEFT(SUBSTITUTE(LEFT(TRIM(C1078),FIND(" ",TRIM(C1078)&amp;" ")-1),",","."),FIND("/",SUBSTITUTE(LEFT(TRIM(C1078),FIND(" ",TRIM(C1078)&amp;" ")-1),",","."))-1)/MID(SUBSTITUTE(LEFT(TRIM(C1078),FIND(" ",TRIM(C1078)&amp;" ")-1),",","."),FIND("/",SUBSTITUTE(LEFT(TRIM(C1078),FIND(" ",TRIM(C1078)&amp;" ")-1),",","."))+1,9))*12,NA()))),0),24)*'Aturan &amp; Tarif'!$B$4,2)</f>
        <v>1362.72</v>
      </c>
      <c r="K1078" s="42" t="n">
        <f aca="false">'Aturan &amp; Tarif'!$B$5</f>
        <v>2050</v>
      </c>
      <c r="L1078" s="42" t="n">
        <f aca="false">'Aturan &amp; Tarif'!$B$6</f>
        <v>350</v>
      </c>
      <c r="M1078" s="35" t="n">
        <f aca="false">I1078+J1078+K1078+L1078</f>
        <v>23432.72</v>
      </c>
      <c r="N1078" s="45" t="s">
        <v>2665</v>
      </c>
    </row>
    <row r="1079" customFormat="false" ht="25.5" hidden="false" customHeight="true" outlineLevel="0" collapsed="false">
      <c r="A1079" s="39"/>
      <c r="B1079" s="40" t="s">
        <v>2672</v>
      </c>
      <c r="C1079" s="41" t="s">
        <v>130</v>
      </c>
      <c r="D1079" s="41" t="s">
        <v>108</v>
      </c>
      <c r="E1079" s="42" t="n">
        <v>9835</v>
      </c>
      <c r="F1079" s="42"/>
      <c r="G1079" s="42"/>
      <c r="H1079" s="43" t="n">
        <v>2</v>
      </c>
      <c r="I1079" s="34" t="n">
        <f aca="false">E1079*H1079+N(F1079)+N(G1079)</f>
        <v>19670</v>
      </c>
      <c r="J1079" s="42" t="n">
        <f aca="false">ROUND(IFERROR(ROUND(IF(OR(ISNUMBER(SEARCH("week",C1079)),ISNUMBER(SEARCH("minggu",C1079))),IFERROR(_xlfn.NUMBERVALUE(SUBSTITUTE(LEFT(TRIM(C1079),FIND(" ",TRIM(C1079)&amp;" ")-1),",","."),"."),LEFT(SUBSTITUTE(LEFT(TRIM(C1079),FIND(" ",TRIM(C1079)&amp;" ")-1),",","."),FIND("/",SUBSTITUTE(LEFT(TRIM(C1079),FIND(" ",TRIM(C1079)&amp;" ")-1),",","."))-1)/MID(SUBSTITUTE(LEFT(TRIM(C1079),FIND(" ",TRIM(C1079)&amp;" ")-1),",","."),FIND("/",SUBSTITUTE(LEFT(TRIM(C1079),FIND(" ",TRIM(C1079)&amp;" ")-1),",","."))+1,9))*12/52,IF(ISNUMBER(SEARCH("month",C1079)),IFERROR(_xlfn.NUMBERVALUE(SUBSTITUTE(LEFT(TRIM(C1079),FIND(" ",TRIM(C1079)&amp;" ")-1),",","."),"."),LEFT(SUBSTITUTE(LEFT(TRIM(C1079),FIND(" ",TRIM(C1079)&amp;" ")-1),",","."),FIND("/",SUBSTITUTE(LEFT(TRIM(C1079),FIND(" ",TRIM(C1079)&amp;" ")-1),",","."))-1)/MID(SUBSTITUTE(LEFT(TRIM(C1079),FIND(" ",TRIM(C1079)&amp;" ")-1),",","."),FIND("/",SUBSTITUTE(LEFT(TRIM(C1079),FIND(" ",TRIM(C1079)&amp;" ")-1),",","."))+1,9)),IF(ISNUMBER(SEARCH("yea",C1079)),IFERROR(_xlfn.NUMBERVALUE(SUBSTITUTE(LEFT(TRIM(C1079),FIND(" ",TRIM(C1079)&amp;" ")-1),",","."),"."),LEFT(SUBSTITUTE(LEFT(TRIM(C1079),FIND(" ",TRIM(C1079)&amp;" ")-1),",","."),FIND("/",SUBSTITUTE(LEFT(TRIM(C1079),FIND(" ",TRIM(C1079)&amp;" ")-1),",","."))-1)/MID(SUBSTITUTE(LEFT(TRIM(C1079),FIND(" ",TRIM(C1079)&amp;" ")-1),",","."),FIND("/",SUBSTITUTE(LEFT(TRIM(C1079),FIND(" ",TRIM(C1079)&amp;" ")-1),",","."))+1,9))*12,NA()))),0),12)*'Aturan &amp; Tarif'!$B$4,2)</f>
        <v>681.36</v>
      </c>
      <c r="K1079" s="42" t="n">
        <f aca="false">'Aturan &amp; Tarif'!$B$5</f>
        <v>2050</v>
      </c>
      <c r="L1079" s="42" t="n">
        <f aca="false">'Aturan &amp; Tarif'!$B$6</f>
        <v>350</v>
      </c>
      <c r="M1079" s="35" t="n">
        <f aca="false">I1079+J1079+K1079+L1079</f>
        <v>22751.36</v>
      </c>
      <c r="N1079" s="45" t="s">
        <v>2665</v>
      </c>
    </row>
    <row r="1080" customFormat="false" ht="25.5" hidden="false" customHeight="true" outlineLevel="0" collapsed="false">
      <c r="A1080" s="39"/>
      <c r="B1080" s="40" t="s">
        <v>2673</v>
      </c>
      <c r="C1080" s="41" t="s">
        <v>130</v>
      </c>
      <c r="D1080" s="41" t="s">
        <v>108</v>
      </c>
      <c r="E1080" s="42" t="n">
        <v>9835</v>
      </c>
      <c r="F1080" s="42"/>
      <c r="G1080" s="42"/>
      <c r="H1080" s="43" t="n">
        <v>2</v>
      </c>
      <c r="I1080" s="34" t="n">
        <f aca="false">E1080*H1080+N(F1080)+N(G1080)</f>
        <v>19670</v>
      </c>
      <c r="J1080" s="42" t="n">
        <f aca="false">ROUND(IFERROR(ROUND(IF(OR(ISNUMBER(SEARCH("week",C1080)),ISNUMBER(SEARCH("minggu",C1080))),IFERROR(_xlfn.NUMBERVALUE(SUBSTITUTE(LEFT(TRIM(C1080),FIND(" ",TRIM(C1080)&amp;" ")-1),",","."),"."),LEFT(SUBSTITUTE(LEFT(TRIM(C1080),FIND(" ",TRIM(C1080)&amp;" ")-1),",","."),FIND("/",SUBSTITUTE(LEFT(TRIM(C1080),FIND(" ",TRIM(C1080)&amp;" ")-1),",","."))-1)/MID(SUBSTITUTE(LEFT(TRIM(C1080),FIND(" ",TRIM(C1080)&amp;" ")-1),",","."),FIND("/",SUBSTITUTE(LEFT(TRIM(C1080),FIND(" ",TRIM(C1080)&amp;" ")-1),",","."))+1,9))*12/52,IF(ISNUMBER(SEARCH("month",C1080)),IFERROR(_xlfn.NUMBERVALUE(SUBSTITUTE(LEFT(TRIM(C1080),FIND(" ",TRIM(C1080)&amp;" ")-1),",","."),"."),LEFT(SUBSTITUTE(LEFT(TRIM(C1080),FIND(" ",TRIM(C1080)&amp;" ")-1),",","."),FIND("/",SUBSTITUTE(LEFT(TRIM(C1080),FIND(" ",TRIM(C1080)&amp;" ")-1),",","."))-1)/MID(SUBSTITUTE(LEFT(TRIM(C1080),FIND(" ",TRIM(C1080)&amp;" ")-1),",","."),FIND("/",SUBSTITUTE(LEFT(TRIM(C1080),FIND(" ",TRIM(C1080)&amp;" ")-1),",","."))+1,9)),IF(ISNUMBER(SEARCH("yea",C1080)),IFERROR(_xlfn.NUMBERVALUE(SUBSTITUTE(LEFT(TRIM(C1080),FIND(" ",TRIM(C1080)&amp;" ")-1),",","."),"."),LEFT(SUBSTITUTE(LEFT(TRIM(C1080),FIND(" ",TRIM(C1080)&amp;" ")-1),",","."),FIND("/",SUBSTITUTE(LEFT(TRIM(C1080),FIND(" ",TRIM(C1080)&amp;" ")-1),",","."))-1)/MID(SUBSTITUTE(LEFT(TRIM(C1080),FIND(" ",TRIM(C1080)&amp;" ")-1),",","."),FIND("/",SUBSTITUTE(LEFT(TRIM(C1080),FIND(" ",TRIM(C1080)&amp;" ")-1),",","."))+1,9))*12,NA()))),0),12)*'Aturan &amp; Tarif'!$B$4,2)</f>
        <v>681.36</v>
      </c>
      <c r="K1080" s="42" t="n">
        <f aca="false">'Aturan &amp; Tarif'!$B$5</f>
        <v>2050</v>
      </c>
      <c r="L1080" s="42" t="n">
        <f aca="false">'Aturan &amp; Tarif'!$B$6</f>
        <v>350</v>
      </c>
      <c r="M1080" s="35" t="n">
        <f aca="false">I1080+J1080+K1080+L1080</f>
        <v>22751.36</v>
      </c>
      <c r="N1080" s="45" t="s">
        <v>2665</v>
      </c>
    </row>
    <row r="1081" customFormat="false" ht="25.5" hidden="false" customHeight="true" outlineLevel="0" collapsed="false">
      <c r="A1081" s="39"/>
      <c r="B1081" s="40" t="s">
        <v>2674</v>
      </c>
      <c r="C1081" s="41" t="s">
        <v>130</v>
      </c>
      <c r="D1081" s="41" t="s">
        <v>108</v>
      </c>
      <c r="E1081" s="42" t="n">
        <v>9835</v>
      </c>
      <c r="F1081" s="42"/>
      <c r="G1081" s="42"/>
      <c r="H1081" s="43" t="n">
        <v>2</v>
      </c>
      <c r="I1081" s="34" t="n">
        <f aca="false">E1081*H1081+N(F1081)+N(G1081)</f>
        <v>19670</v>
      </c>
      <c r="J1081" s="42" t="n">
        <f aca="false">ROUND(IFERROR(ROUND(IF(OR(ISNUMBER(SEARCH("week",C1081)),ISNUMBER(SEARCH("minggu",C1081))),IFERROR(_xlfn.NUMBERVALUE(SUBSTITUTE(LEFT(TRIM(C1081),FIND(" ",TRIM(C1081)&amp;" ")-1),",","."),"."),LEFT(SUBSTITUTE(LEFT(TRIM(C1081),FIND(" ",TRIM(C1081)&amp;" ")-1),",","."),FIND("/",SUBSTITUTE(LEFT(TRIM(C1081),FIND(" ",TRIM(C1081)&amp;" ")-1),",","."))-1)/MID(SUBSTITUTE(LEFT(TRIM(C1081),FIND(" ",TRIM(C1081)&amp;" ")-1),",","."),FIND("/",SUBSTITUTE(LEFT(TRIM(C1081),FIND(" ",TRIM(C1081)&amp;" ")-1),",","."))+1,9))*12/52,IF(ISNUMBER(SEARCH("month",C1081)),IFERROR(_xlfn.NUMBERVALUE(SUBSTITUTE(LEFT(TRIM(C1081),FIND(" ",TRIM(C1081)&amp;" ")-1),",","."),"."),LEFT(SUBSTITUTE(LEFT(TRIM(C1081),FIND(" ",TRIM(C1081)&amp;" ")-1),",","."),FIND("/",SUBSTITUTE(LEFT(TRIM(C1081),FIND(" ",TRIM(C1081)&amp;" ")-1),",","."))-1)/MID(SUBSTITUTE(LEFT(TRIM(C1081),FIND(" ",TRIM(C1081)&amp;" ")-1),",","."),FIND("/",SUBSTITUTE(LEFT(TRIM(C1081),FIND(" ",TRIM(C1081)&amp;" ")-1),",","."))+1,9)),IF(ISNUMBER(SEARCH("yea",C1081)),IFERROR(_xlfn.NUMBERVALUE(SUBSTITUTE(LEFT(TRIM(C1081),FIND(" ",TRIM(C1081)&amp;" ")-1),",","."),"."),LEFT(SUBSTITUTE(LEFT(TRIM(C1081),FIND(" ",TRIM(C1081)&amp;" ")-1),",","."),FIND("/",SUBSTITUTE(LEFT(TRIM(C1081),FIND(" ",TRIM(C1081)&amp;" ")-1),",","."))-1)/MID(SUBSTITUTE(LEFT(TRIM(C1081),FIND(" ",TRIM(C1081)&amp;" ")-1),",","."),FIND("/",SUBSTITUTE(LEFT(TRIM(C1081),FIND(" ",TRIM(C1081)&amp;" ")-1),",","."))+1,9))*12,NA()))),0),12)*'Aturan &amp; Tarif'!$B$4,2)</f>
        <v>681.36</v>
      </c>
      <c r="K1081" s="42" t="n">
        <f aca="false">'Aturan &amp; Tarif'!$B$5</f>
        <v>2050</v>
      </c>
      <c r="L1081" s="42" t="n">
        <f aca="false">'Aturan &amp; Tarif'!$B$6</f>
        <v>350</v>
      </c>
      <c r="M1081" s="35" t="n">
        <f aca="false">I1081+J1081+K1081+L1081</f>
        <v>22751.36</v>
      </c>
      <c r="N1081" s="45" t="s">
        <v>2665</v>
      </c>
    </row>
    <row r="1082" customFormat="false" ht="37.5" hidden="false" customHeight="true" outlineLevel="0" collapsed="false">
      <c r="A1082" s="39"/>
      <c r="B1082" s="40" t="s">
        <v>2675</v>
      </c>
      <c r="C1082" s="41" t="s">
        <v>107</v>
      </c>
      <c r="D1082" s="41" t="s">
        <v>108</v>
      </c>
      <c r="E1082" s="42" t="n">
        <v>9835</v>
      </c>
      <c r="F1082" s="42"/>
      <c r="G1082" s="42"/>
      <c r="H1082" s="43" t="n">
        <v>2</v>
      </c>
      <c r="I1082" s="34" t="n">
        <f aca="false">E1082*H1082+N(F1082)+N(G1082)</f>
        <v>19670</v>
      </c>
      <c r="J1082" s="42" t="n">
        <f aca="false">ROUND(IFERROR(ROUND(IF(OR(ISNUMBER(SEARCH("week",C1082)),ISNUMBER(SEARCH("minggu",C1082))),IFERROR(_xlfn.NUMBERVALUE(SUBSTITUTE(LEFT(TRIM(C1082),FIND(" ",TRIM(C1082)&amp;" ")-1),",","."),"."),LEFT(SUBSTITUTE(LEFT(TRIM(C1082),FIND(" ",TRIM(C1082)&amp;" ")-1),",","."),FIND("/",SUBSTITUTE(LEFT(TRIM(C1082),FIND(" ",TRIM(C1082)&amp;" ")-1),",","."))-1)/MID(SUBSTITUTE(LEFT(TRIM(C1082),FIND(" ",TRIM(C1082)&amp;" ")-1),",","."),FIND("/",SUBSTITUTE(LEFT(TRIM(C1082),FIND(" ",TRIM(C1082)&amp;" ")-1),",","."))+1,9))*12/52,IF(ISNUMBER(SEARCH("month",C1082)),IFERROR(_xlfn.NUMBERVALUE(SUBSTITUTE(LEFT(TRIM(C1082),FIND(" ",TRIM(C1082)&amp;" ")-1),",","."),"."),LEFT(SUBSTITUTE(LEFT(TRIM(C1082),FIND(" ",TRIM(C1082)&amp;" ")-1),",","."),FIND("/",SUBSTITUTE(LEFT(TRIM(C1082),FIND(" ",TRIM(C1082)&amp;" ")-1),",","."))-1)/MID(SUBSTITUTE(LEFT(TRIM(C1082),FIND(" ",TRIM(C1082)&amp;" ")-1),",","."),FIND("/",SUBSTITUTE(LEFT(TRIM(C1082),FIND(" ",TRIM(C1082)&amp;" ")-1),",","."))+1,9)),IF(ISNUMBER(SEARCH("yea",C1082)),IFERROR(_xlfn.NUMBERVALUE(SUBSTITUTE(LEFT(TRIM(C1082),FIND(" ",TRIM(C1082)&amp;" ")-1),",","."),"."),LEFT(SUBSTITUTE(LEFT(TRIM(C1082),FIND(" ",TRIM(C1082)&amp;" ")-1),",","."),FIND("/",SUBSTITUTE(LEFT(TRIM(C1082),FIND(" ",TRIM(C1082)&amp;" ")-1),",","."))-1)/MID(SUBSTITUTE(LEFT(TRIM(C1082),FIND(" ",TRIM(C1082)&amp;" ")-1),",","."),FIND("/",SUBSTITUTE(LEFT(TRIM(C1082),FIND(" ",TRIM(C1082)&amp;" ")-1),",","."))+1,9))*12,NA()))),0),24)*'Aturan &amp; Tarif'!$B$4,2)</f>
        <v>1362.72</v>
      </c>
      <c r="K1082" s="42" t="n">
        <f aca="false">'Aturan &amp; Tarif'!$B$5</f>
        <v>2050</v>
      </c>
      <c r="L1082" s="42" t="n">
        <f aca="false">'Aturan &amp; Tarif'!$B$6</f>
        <v>350</v>
      </c>
      <c r="M1082" s="35" t="n">
        <f aca="false">I1082+J1082+K1082+L1082</f>
        <v>23432.72</v>
      </c>
      <c r="N1082" s="45" t="s">
        <v>2665</v>
      </c>
    </row>
    <row r="1083" customFormat="false" ht="25.5" hidden="false" customHeight="true" outlineLevel="0" collapsed="false">
      <c r="A1083" s="39"/>
      <c r="B1083" s="40" t="s">
        <v>2676</v>
      </c>
      <c r="C1083" s="41" t="s">
        <v>344</v>
      </c>
      <c r="D1083" s="41" t="s">
        <v>108</v>
      </c>
      <c r="E1083" s="42" t="n">
        <v>4918</v>
      </c>
      <c r="F1083" s="42"/>
      <c r="G1083" s="42"/>
      <c r="H1083" s="43" t="n">
        <v>2</v>
      </c>
      <c r="I1083" s="34" t="n">
        <f aca="false">E1083*H1083+N(F1083)+N(G1083)</f>
        <v>9836</v>
      </c>
      <c r="J1083" s="42" t="n">
        <f aca="false">ROUND(IFERROR(ROUND(IF(OR(ISNUMBER(SEARCH("week",C1083)),ISNUMBER(SEARCH("minggu",C1083))),IFERROR(_xlfn.NUMBERVALUE(SUBSTITUTE(LEFT(TRIM(C1083),FIND(" ",TRIM(C1083)&amp;" ")-1),",","."),"."),LEFT(SUBSTITUTE(LEFT(TRIM(C1083),FIND(" ",TRIM(C1083)&amp;" ")-1),",","."),FIND("/",SUBSTITUTE(LEFT(TRIM(C1083),FIND(" ",TRIM(C1083)&amp;" ")-1),",","."))-1)/MID(SUBSTITUTE(LEFT(TRIM(C1083),FIND(" ",TRIM(C1083)&amp;" ")-1),",","."),FIND("/",SUBSTITUTE(LEFT(TRIM(C1083),FIND(" ",TRIM(C1083)&amp;" ")-1),",","."))+1,9))*12/52,IF(ISNUMBER(SEARCH("month",C1083)),IFERROR(_xlfn.NUMBERVALUE(SUBSTITUTE(LEFT(TRIM(C1083),FIND(" ",TRIM(C1083)&amp;" ")-1),",","."),"."),LEFT(SUBSTITUTE(LEFT(TRIM(C1083),FIND(" ",TRIM(C1083)&amp;" ")-1),",","."),FIND("/",SUBSTITUTE(LEFT(TRIM(C1083),FIND(" ",TRIM(C1083)&amp;" ")-1),",","."))-1)/MID(SUBSTITUTE(LEFT(TRIM(C1083),FIND(" ",TRIM(C1083)&amp;" ")-1),",","."),FIND("/",SUBSTITUTE(LEFT(TRIM(C1083),FIND(" ",TRIM(C1083)&amp;" ")-1),",","."))+1,9)),IF(ISNUMBER(SEARCH("yea",C1083)),IFERROR(_xlfn.NUMBERVALUE(SUBSTITUTE(LEFT(TRIM(C1083),FIND(" ",TRIM(C1083)&amp;" ")-1),",","."),"."),LEFT(SUBSTITUTE(LEFT(TRIM(C1083),FIND(" ",TRIM(C1083)&amp;" ")-1),",","."),FIND("/",SUBSTITUTE(LEFT(TRIM(C1083),FIND(" ",TRIM(C1083)&amp;" ")-1),",","."))-1)/MID(SUBSTITUTE(LEFT(TRIM(C1083),FIND(" ",TRIM(C1083)&amp;" ")-1),",","."),FIND("/",SUBSTITUTE(LEFT(TRIM(C1083),FIND(" ",TRIM(C1083)&amp;" ")-1),",","."))+1,9))*12,NA()))),0),6)*'Aturan &amp; Tarif'!$B$4,2)</f>
        <v>340.68</v>
      </c>
      <c r="K1083" s="42" t="n">
        <f aca="false">'Aturan &amp; Tarif'!$B$5</f>
        <v>2050</v>
      </c>
      <c r="L1083" s="42" t="n">
        <f aca="false">'Aturan &amp; Tarif'!$B$6</f>
        <v>350</v>
      </c>
      <c r="M1083" s="35" t="n">
        <f aca="false">I1083+J1083+K1083+L1083</f>
        <v>12576.68</v>
      </c>
      <c r="N1083" s="45" t="s">
        <v>2665</v>
      </c>
    </row>
    <row r="1084" customFormat="false" ht="37.5" hidden="false" customHeight="true" outlineLevel="0" collapsed="false">
      <c r="A1084" s="39"/>
      <c r="B1084" s="40" t="s">
        <v>2677</v>
      </c>
      <c r="C1084" s="41" t="s">
        <v>107</v>
      </c>
      <c r="D1084" s="41" t="s">
        <v>108</v>
      </c>
      <c r="E1084" s="42" t="n">
        <v>9835</v>
      </c>
      <c r="F1084" s="42"/>
      <c r="G1084" s="42"/>
      <c r="H1084" s="43" t="n">
        <v>2</v>
      </c>
      <c r="I1084" s="34" t="n">
        <f aca="false">E1084*H1084+N(F1084)+N(G1084)</f>
        <v>19670</v>
      </c>
      <c r="J1084" s="42" t="n">
        <f aca="false">ROUND(IFERROR(ROUND(IF(OR(ISNUMBER(SEARCH("week",C1084)),ISNUMBER(SEARCH("minggu",C1084))),IFERROR(_xlfn.NUMBERVALUE(SUBSTITUTE(LEFT(TRIM(C1084),FIND(" ",TRIM(C1084)&amp;" ")-1),",","."),"."),LEFT(SUBSTITUTE(LEFT(TRIM(C1084),FIND(" ",TRIM(C1084)&amp;" ")-1),",","."),FIND("/",SUBSTITUTE(LEFT(TRIM(C1084),FIND(" ",TRIM(C1084)&amp;" ")-1),",","."))-1)/MID(SUBSTITUTE(LEFT(TRIM(C1084),FIND(" ",TRIM(C1084)&amp;" ")-1),",","."),FIND("/",SUBSTITUTE(LEFT(TRIM(C1084),FIND(" ",TRIM(C1084)&amp;" ")-1),",","."))+1,9))*12/52,IF(ISNUMBER(SEARCH("month",C1084)),IFERROR(_xlfn.NUMBERVALUE(SUBSTITUTE(LEFT(TRIM(C1084),FIND(" ",TRIM(C1084)&amp;" ")-1),",","."),"."),LEFT(SUBSTITUTE(LEFT(TRIM(C1084),FIND(" ",TRIM(C1084)&amp;" ")-1),",","."),FIND("/",SUBSTITUTE(LEFT(TRIM(C1084),FIND(" ",TRIM(C1084)&amp;" ")-1),",","."))-1)/MID(SUBSTITUTE(LEFT(TRIM(C1084),FIND(" ",TRIM(C1084)&amp;" ")-1),",","."),FIND("/",SUBSTITUTE(LEFT(TRIM(C1084),FIND(" ",TRIM(C1084)&amp;" ")-1),",","."))+1,9)),IF(ISNUMBER(SEARCH("yea",C1084)),IFERROR(_xlfn.NUMBERVALUE(SUBSTITUTE(LEFT(TRIM(C1084),FIND(" ",TRIM(C1084)&amp;" ")-1),",","."),"."),LEFT(SUBSTITUTE(LEFT(TRIM(C1084),FIND(" ",TRIM(C1084)&amp;" ")-1),",","."),FIND("/",SUBSTITUTE(LEFT(TRIM(C1084),FIND(" ",TRIM(C1084)&amp;" ")-1),",","."))-1)/MID(SUBSTITUTE(LEFT(TRIM(C1084),FIND(" ",TRIM(C1084)&amp;" ")-1),",","."),FIND("/",SUBSTITUTE(LEFT(TRIM(C1084),FIND(" ",TRIM(C1084)&amp;" ")-1),",","."))+1,9))*12,NA()))),0),24)*'Aturan &amp; Tarif'!$B$4,2)</f>
        <v>1362.72</v>
      </c>
      <c r="K1084" s="42" t="n">
        <f aca="false">'Aturan &amp; Tarif'!$B$5</f>
        <v>2050</v>
      </c>
      <c r="L1084" s="42" t="n">
        <f aca="false">'Aturan &amp; Tarif'!$B$6</f>
        <v>350</v>
      </c>
      <c r="M1084" s="35" t="n">
        <f aca="false">I1084+J1084+K1084+L1084</f>
        <v>23432.72</v>
      </c>
      <c r="N1084" s="45" t="s">
        <v>2665</v>
      </c>
    </row>
    <row r="1085" customFormat="false" ht="25.5" hidden="false" customHeight="true" outlineLevel="0" collapsed="false">
      <c r="A1085" s="39"/>
      <c r="B1085" s="40" t="s">
        <v>2678</v>
      </c>
      <c r="C1085" s="41" t="s">
        <v>113</v>
      </c>
      <c r="D1085" s="41" t="s">
        <v>108</v>
      </c>
      <c r="E1085" s="42" t="n">
        <v>9835</v>
      </c>
      <c r="F1085" s="42"/>
      <c r="G1085" s="42"/>
      <c r="H1085" s="43" t="n">
        <v>2</v>
      </c>
      <c r="I1085" s="34" t="n">
        <f aca="false">E1085*H1085+N(F1085)+N(G1085)</f>
        <v>19670</v>
      </c>
      <c r="J1085" s="42" t="n">
        <f aca="false">ROUND(IFERROR(ROUND(IF(OR(ISNUMBER(SEARCH("week",C1085)),ISNUMBER(SEARCH("minggu",C1085))),IFERROR(_xlfn.NUMBERVALUE(SUBSTITUTE(LEFT(TRIM(C1085),FIND(" ",TRIM(C1085)&amp;" ")-1),",","."),"."),LEFT(SUBSTITUTE(LEFT(TRIM(C1085),FIND(" ",TRIM(C1085)&amp;" ")-1),",","."),FIND("/",SUBSTITUTE(LEFT(TRIM(C1085),FIND(" ",TRIM(C1085)&amp;" ")-1),",","."))-1)/MID(SUBSTITUTE(LEFT(TRIM(C1085),FIND(" ",TRIM(C1085)&amp;" ")-1),",","."),FIND("/",SUBSTITUTE(LEFT(TRIM(C1085),FIND(" ",TRIM(C1085)&amp;" ")-1),",","."))+1,9))*12/52,IF(ISNUMBER(SEARCH("month",C1085)),IFERROR(_xlfn.NUMBERVALUE(SUBSTITUTE(LEFT(TRIM(C1085),FIND(" ",TRIM(C1085)&amp;" ")-1),",","."),"."),LEFT(SUBSTITUTE(LEFT(TRIM(C1085),FIND(" ",TRIM(C1085)&amp;" ")-1),",","."),FIND("/",SUBSTITUTE(LEFT(TRIM(C1085),FIND(" ",TRIM(C1085)&amp;" ")-1),",","."))-1)/MID(SUBSTITUTE(LEFT(TRIM(C1085),FIND(" ",TRIM(C1085)&amp;" ")-1),",","."),FIND("/",SUBSTITUTE(LEFT(TRIM(C1085),FIND(" ",TRIM(C1085)&amp;" ")-1),",","."))+1,9)),IF(ISNUMBER(SEARCH("yea",C1085)),IFERROR(_xlfn.NUMBERVALUE(SUBSTITUTE(LEFT(TRIM(C1085),FIND(" ",TRIM(C1085)&amp;" ")-1),",","."),"."),LEFT(SUBSTITUTE(LEFT(TRIM(C1085),FIND(" ",TRIM(C1085)&amp;" ")-1),",","."),FIND("/",SUBSTITUTE(LEFT(TRIM(C1085),FIND(" ",TRIM(C1085)&amp;" ")-1),",","."))-1)/MID(SUBSTITUTE(LEFT(TRIM(C1085),FIND(" ",TRIM(C1085)&amp;" ")-1),",","."),FIND("/",SUBSTITUTE(LEFT(TRIM(C1085),FIND(" ",TRIM(C1085)&amp;" ")-1),",","."))+1,9))*12,NA()))),0),18)*'Aturan &amp; Tarif'!$B$4,2)</f>
        <v>1022.04</v>
      </c>
      <c r="K1085" s="42" t="n">
        <f aca="false">'Aturan &amp; Tarif'!$B$5</f>
        <v>2050</v>
      </c>
      <c r="L1085" s="42" t="n">
        <f aca="false">'Aturan &amp; Tarif'!$B$6</f>
        <v>350</v>
      </c>
      <c r="M1085" s="35" t="n">
        <f aca="false">I1085+J1085+K1085+L1085</f>
        <v>23092.04</v>
      </c>
      <c r="N1085" s="45" t="s">
        <v>2665</v>
      </c>
    </row>
    <row r="1086" customFormat="false" ht="25.5" hidden="false" customHeight="true" outlineLevel="0" collapsed="false">
      <c r="A1086" s="39"/>
      <c r="B1086" s="40" t="s">
        <v>2679</v>
      </c>
      <c r="C1086" s="41" t="s">
        <v>107</v>
      </c>
      <c r="D1086" s="41" t="s">
        <v>108</v>
      </c>
      <c r="E1086" s="42" t="n">
        <v>9835</v>
      </c>
      <c r="F1086" s="42"/>
      <c r="G1086" s="42"/>
      <c r="H1086" s="43" t="n">
        <v>2</v>
      </c>
      <c r="I1086" s="34" t="n">
        <f aca="false">E1086*H1086+N(F1086)+N(G1086)</f>
        <v>19670</v>
      </c>
      <c r="J1086" s="42" t="n">
        <f aca="false">ROUND(IFERROR(ROUND(IF(OR(ISNUMBER(SEARCH("week",C1086)),ISNUMBER(SEARCH("minggu",C1086))),IFERROR(_xlfn.NUMBERVALUE(SUBSTITUTE(LEFT(TRIM(C1086),FIND(" ",TRIM(C1086)&amp;" ")-1),",","."),"."),LEFT(SUBSTITUTE(LEFT(TRIM(C1086),FIND(" ",TRIM(C1086)&amp;" ")-1),",","."),FIND("/",SUBSTITUTE(LEFT(TRIM(C1086),FIND(" ",TRIM(C1086)&amp;" ")-1),",","."))-1)/MID(SUBSTITUTE(LEFT(TRIM(C1086),FIND(" ",TRIM(C1086)&amp;" ")-1),",","."),FIND("/",SUBSTITUTE(LEFT(TRIM(C1086),FIND(" ",TRIM(C1086)&amp;" ")-1),",","."))+1,9))*12/52,IF(ISNUMBER(SEARCH("month",C1086)),IFERROR(_xlfn.NUMBERVALUE(SUBSTITUTE(LEFT(TRIM(C1086),FIND(" ",TRIM(C1086)&amp;" ")-1),",","."),"."),LEFT(SUBSTITUTE(LEFT(TRIM(C1086),FIND(" ",TRIM(C1086)&amp;" ")-1),",","."),FIND("/",SUBSTITUTE(LEFT(TRIM(C1086),FIND(" ",TRIM(C1086)&amp;" ")-1),",","."))-1)/MID(SUBSTITUTE(LEFT(TRIM(C1086),FIND(" ",TRIM(C1086)&amp;" ")-1),",","."),FIND("/",SUBSTITUTE(LEFT(TRIM(C1086),FIND(" ",TRIM(C1086)&amp;" ")-1),",","."))+1,9)),IF(ISNUMBER(SEARCH("yea",C1086)),IFERROR(_xlfn.NUMBERVALUE(SUBSTITUTE(LEFT(TRIM(C1086),FIND(" ",TRIM(C1086)&amp;" ")-1),",","."),"."),LEFT(SUBSTITUTE(LEFT(TRIM(C1086),FIND(" ",TRIM(C1086)&amp;" ")-1),",","."),FIND("/",SUBSTITUTE(LEFT(TRIM(C1086),FIND(" ",TRIM(C1086)&amp;" ")-1),",","."))-1)/MID(SUBSTITUTE(LEFT(TRIM(C1086),FIND(" ",TRIM(C1086)&amp;" ")-1),",","."),FIND("/",SUBSTITUTE(LEFT(TRIM(C1086),FIND(" ",TRIM(C1086)&amp;" ")-1),",","."))+1,9))*12,NA()))),0),24)*'Aturan &amp; Tarif'!$B$4,2)</f>
        <v>1362.72</v>
      </c>
      <c r="K1086" s="42" t="n">
        <f aca="false">'Aturan &amp; Tarif'!$B$5</f>
        <v>2050</v>
      </c>
      <c r="L1086" s="42" t="n">
        <f aca="false">'Aturan &amp; Tarif'!$B$6</f>
        <v>350</v>
      </c>
      <c r="M1086" s="35" t="n">
        <f aca="false">I1086+J1086+K1086+L1086</f>
        <v>23432.72</v>
      </c>
      <c r="N1086" s="45" t="s">
        <v>2665</v>
      </c>
    </row>
    <row r="1087" customFormat="false" ht="25.5" hidden="false" customHeight="true" outlineLevel="0" collapsed="false">
      <c r="A1087" s="39"/>
      <c r="B1087" s="40" t="s">
        <v>2680</v>
      </c>
      <c r="C1087" s="41" t="s">
        <v>344</v>
      </c>
      <c r="D1087" s="41" t="s">
        <v>108</v>
      </c>
      <c r="E1087" s="42" t="n">
        <v>4918</v>
      </c>
      <c r="F1087" s="42"/>
      <c r="G1087" s="42"/>
      <c r="H1087" s="43" t="n">
        <v>2</v>
      </c>
      <c r="I1087" s="34" t="n">
        <f aca="false">E1087*H1087+N(F1087)+N(G1087)</f>
        <v>9836</v>
      </c>
      <c r="J1087" s="42" t="n">
        <f aca="false">ROUND(IFERROR(ROUND(IF(OR(ISNUMBER(SEARCH("week",C1087)),ISNUMBER(SEARCH("minggu",C1087))),IFERROR(_xlfn.NUMBERVALUE(SUBSTITUTE(LEFT(TRIM(C1087),FIND(" ",TRIM(C1087)&amp;" ")-1),",","."),"."),LEFT(SUBSTITUTE(LEFT(TRIM(C1087),FIND(" ",TRIM(C1087)&amp;" ")-1),",","."),FIND("/",SUBSTITUTE(LEFT(TRIM(C1087),FIND(" ",TRIM(C1087)&amp;" ")-1),",","."))-1)/MID(SUBSTITUTE(LEFT(TRIM(C1087),FIND(" ",TRIM(C1087)&amp;" ")-1),",","."),FIND("/",SUBSTITUTE(LEFT(TRIM(C1087),FIND(" ",TRIM(C1087)&amp;" ")-1),",","."))+1,9))*12/52,IF(ISNUMBER(SEARCH("month",C1087)),IFERROR(_xlfn.NUMBERVALUE(SUBSTITUTE(LEFT(TRIM(C1087),FIND(" ",TRIM(C1087)&amp;" ")-1),",","."),"."),LEFT(SUBSTITUTE(LEFT(TRIM(C1087),FIND(" ",TRIM(C1087)&amp;" ")-1),",","."),FIND("/",SUBSTITUTE(LEFT(TRIM(C1087),FIND(" ",TRIM(C1087)&amp;" ")-1),",","."))-1)/MID(SUBSTITUTE(LEFT(TRIM(C1087),FIND(" ",TRIM(C1087)&amp;" ")-1),",","."),FIND("/",SUBSTITUTE(LEFT(TRIM(C1087),FIND(" ",TRIM(C1087)&amp;" ")-1),",","."))+1,9)),IF(ISNUMBER(SEARCH("yea",C1087)),IFERROR(_xlfn.NUMBERVALUE(SUBSTITUTE(LEFT(TRIM(C1087),FIND(" ",TRIM(C1087)&amp;" ")-1),",","."),"."),LEFT(SUBSTITUTE(LEFT(TRIM(C1087),FIND(" ",TRIM(C1087)&amp;" ")-1),",","."),FIND("/",SUBSTITUTE(LEFT(TRIM(C1087),FIND(" ",TRIM(C1087)&amp;" ")-1),",","."))-1)/MID(SUBSTITUTE(LEFT(TRIM(C1087),FIND(" ",TRIM(C1087)&amp;" ")-1),",","."),FIND("/",SUBSTITUTE(LEFT(TRIM(C1087),FIND(" ",TRIM(C1087)&amp;" ")-1),",","."))+1,9))*12,NA()))),0),6)*'Aturan &amp; Tarif'!$B$4,2)</f>
        <v>340.68</v>
      </c>
      <c r="K1087" s="42" t="n">
        <f aca="false">'Aturan &amp; Tarif'!$B$5</f>
        <v>2050</v>
      </c>
      <c r="L1087" s="42" t="n">
        <f aca="false">'Aturan &amp; Tarif'!$B$6</f>
        <v>350</v>
      </c>
      <c r="M1087" s="35" t="n">
        <f aca="false">I1087+J1087+K1087+L1087</f>
        <v>12576.68</v>
      </c>
      <c r="N1087" s="45" t="s">
        <v>2665</v>
      </c>
    </row>
    <row r="1088" customFormat="false" ht="25.5" hidden="false" customHeight="true" outlineLevel="0" collapsed="false">
      <c r="A1088" s="39"/>
      <c r="B1088" s="40" t="s">
        <v>2681</v>
      </c>
      <c r="C1088" s="41" t="s">
        <v>107</v>
      </c>
      <c r="D1088" s="41" t="s">
        <v>108</v>
      </c>
      <c r="E1088" s="42" t="n">
        <v>10305</v>
      </c>
      <c r="F1088" s="42"/>
      <c r="G1088" s="42"/>
      <c r="H1088" s="43" t="n">
        <v>2</v>
      </c>
      <c r="I1088" s="34" t="n">
        <f aca="false">E1088*H1088+N(F1088)+N(G1088)</f>
        <v>20610</v>
      </c>
      <c r="J1088" s="42" t="n">
        <f aca="false">ROUND(IFERROR(ROUND(IF(OR(ISNUMBER(SEARCH("week",C1088)),ISNUMBER(SEARCH("minggu",C1088))),IFERROR(_xlfn.NUMBERVALUE(SUBSTITUTE(LEFT(TRIM(C1088),FIND(" ",TRIM(C1088)&amp;" ")-1),",","."),"."),LEFT(SUBSTITUTE(LEFT(TRIM(C1088),FIND(" ",TRIM(C1088)&amp;" ")-1),",","."),FIND("/",SUBSTITUTE(LEFT(TRIM(C1088),FIND(" ",TRIM(C1088)&amp;" ")-1),",","."))-1)/MID(SUBSTITUTE(LEFT(TRIM(C1088),FIND(" ",TRIM(C1088)&amp;" ")-1),",","."),FIND("/",SUBSTITUTE(LEFT(TRIM(C1088),FIND(" ",TRIM(C1088)&amp;" ")-1),",","."))+1,9))*12/52,IF(ISNUMBER(SEARCH("month",C1088)),IFERROR(_xlfn.NUMBERVALUE(SUBSTITUTE(LEFT(TRIM(C1088),FIND(" ",TRIM(C1088)&amp;" ")-1),",","."),"."),LEFT(SUBSTITUTE(LEFT(TRIM(C1088),FIND(" ",TRIM(C1088)&amp;" ")-1),",","."),FIND("/",SUBSTITUTE(LEFT(TRIM(C1088),FIND(" ",TRIM(C1088)&amp;" ")-1),",","."))-1)/MID(SUBSTITUTE(LEFT(TRIM(C1088),FIND(" ",TRIM(C1088)&amp;" ")-1),",","."),FIND("/",SUBSTITUTE(LEFT(TRIM(C1088),FIND(" ",TRIM(C1088)&amp;" ")-1),",","."))+1,9)),IF(ISNUMBER(SEARCH("yea",C1088)),IFERROR(_xlfn.NUMBERVALUE(SUBSTITUTE(LEFT(TRIM(C1088),FIND(" ",TRIM(C1088)&amp;" ")-1),",","."),"."),LEFT(SUBSTITUTE(LEFT(TRIM(C1088),FIND(" ",TRIM(C1088)&amp;" ")-1),",","."),FIND("/",SUBSTITUTE(LEFT(TRIM(C1088),FIND(" ",TRIM(C1088)&amp;" ")-1),",","."))-1)/MID(SUBSTITUTE(LEFT(TRIM(C1088),FIND(" ",TRIM(C1088)&amp;" ")-1),",","."),FIND("/",SUBSTITUTE(LEFT(TRIM(C1088),FIND(" ",TRIM(C1088)&amp;" ")-1),",","."))+1,9))*12,NA()))),0),24)*'Aturan &amp; Tarif'!$B$4,2)</f>
        <v>1362.72</v>
      </c>
      <c r="K1088" s="42" t="n">
        <f aca="false">'Aturan &amp; Tarif'!$B$5</f>
        <v>2050</v>
      </c>
      <c r="L1088" s="42" t="n">
        <f aca="false">'Aturan &amp; Tarif'!$B$6</f>
        <v>350</v>
      </c>
      <c r="M1088" s="35" t="n">
        <f aca="false">I1088+J1088+K1088+L1088</f>
        <v>24372.72</v>
      </c>
      <c r="N1088" s="45" t="s">
        <v>2665</v>
      </c>
    </row>
    <row r="1089" customFormat="false" ht="14.25" hidden="false" customHeight="true" outlineLevel="0" collapsed="false">
      <c r="A1089" s="39"/>
      <c r="B1089" s="40" t="s">
        <v>2682</v>
      </c>
      <c r="C1089" s="41" t="s">
        <v>107</v>
      </c>
      <c r="D1089" s="41" t="s">
        <v>108</v>
      </c>
      <c r="E1089" s="42" t="n">
        <v>10305</v>
      </c>
      <c r="F1089" s="42"/>
      <c r="G1089" s="42"/>
      <c r="H1089" s="43" t="n">
        <v>2</v>
      </c>
      <c r="I1089" s="34" t="n">
        <f aca="false">E1089*H1089+N(F1089)+N(G1089)</f>
        <v>20610</v>
      </c>
      <c r="J1089" s="42" t="n">
        <f aca="false">ROUND(IFERROR(ROUND(IF(OR(ISNUMBER(SEARCH("week",C1089)),ISNUMBER(SEARCH("minggu",C1089))),IFERROR(_xlfn.NUMBERVALUE(SUBSTITUTE(LEFT(TRIM(C1089),FIND(" ",TRIM(C1089)&amp;" ")-1),",","."),"."),LEFT(SUBSTITUTE(LEFT(TRIM(C1089),FIND(" ",TRIM(C1089)&amp;" ")-1),",","."),FIND("/",SUBSTITUTE(LEFT(TRIM(C1089),FIND(" ",TRIM(C1089)&amp;" ")-1),",","."))-1)/MID(SUBSTITUTE(LEFT(TRIM(C1089),FIND(" ",TRIM(C1089)&amp;" ")-1),",","."),FIND("/",SUBSTITUTE(LEFT(TRIM(C1089),FIND(" ",TRIM(C1089)&amp;" ")-1),",","."))+1,9))*12/52,IF(ISNUMBER(SEARCH("month",C1089)),IFERROR(_xlfn.NUMBERVALUE(SUBSTITUTE(LEFT(TRIM(C1089),FIND(" ",TRIM(C1089)&amp;" ")-1),",","."),"."),LEFT(SUBSTITUTE(LEFT(TRIM(C1089),FIND(" ",TRIM(C1089)&amp;" ")-1),",","."),FIND("/",SUBSTITUTE(LEFT(TRIM(C1089),FIND(" ",TRIM(C1089)&amp;" ")-1),",","."))-1)/MID(SUBSTITUTE(LEFT(TRIM(C1089),FIND(" ",TRIM(C1089)&amp;" ")-1),",","."),FIND("/",SUBSTITUTE(LEFT(TRIM(C1089),FIND(" ",TRIM(C1089)&amp;" ")-1),",","."))+1,9)),IF(ISNUMBER(SEARCH("yea",C1089)),IFERROR(_xlfn.NUMBERVALUE(SUBSTITUTE(LEFT(TRIM(C1089),FIND(" ",TRIM(C1089)&amp;" ")-1),",","."),"."),LEFT(SUBSTITUTE(LEFT(TRIM(C1089),FIND(" ",TRIM(C1089)&amp;" ")-1),",","."),FIND("/",SUBSTITUTE(LEFT(TRIM(C1089),FIND(" ",TRIM(C1089)&amp;" ")-1),",","."))-1)/MID(SUBSTITUTE(LEFT(TRIM(C1089),FIND(" ",TRIM(C1089)&amp;" ")-1),",","."),FIND("/",SUBSTITUTE(LEFT(TRIM(C1089),FIND(" ",TRIM(C1089)&amp;" ")-1),",","."))+1,9))*12,NA()))),0),24)*'Aturan &amp; Tarif'!$B$4,2)</f>
        <v>1362.72</v>
      </c>
      <c r="K1089" s="42" t="n">
        <f aca="false">'Aturan &amp; Tarif'!$B$5</f>
        <v>2050</v>
      </c>
      <c r="L1089" s="42" t="n">
        <f aca="false">'Aturan &amp; Tarif'!$B$6</f>
        <v>350</v>
      </c>
      <c r="M1089" s="35" t="n">
        <f aca="false">I1089+J1089+K1089+L1089</f>
        <v>24372.72</v>
      </c>
      <c r="N1089" s="45" t="s">
        <v>2665</v>
      </c>
    </row>
    <row r="1090" customFormat="false" ht="25.5" hidden="false" customHeight="true" outlineLevel="0" collapsed="false">
      <c r="A1090" s="39"/>
      <c r="B1090" s="40" t="s">
        <v>2683</v>
      </c>
      <c r="C1090" s="41" t="s">
        <v>138</v>
      </c>
      <c r="D1090" s="48" t="s">
        <v>108</v>
      </c>
      <c r="E1090" s="42" t="n">
        <v>10305</v>
      </c>
      <c r="F1090" s="42"/>
      <c r="G1090" s="42"/>
      <c r="H1090" s="50" t="n">
        <v>2</v>
      </c>
      <c r="I1090" s="34" t="n">
        <f aca="false">E1090*H1090+N(F1090)+N(G1090)</f>
        <v>20610</v>
      </c>
      <c r="J1090" s="42" t="n">
        <f aca="false">ROUND(IFERROR(ROUND(IF(OR(ISNUMBER(SEARCH("week",C1090)),ISNUMBER(SEARCH("minggu",C1090))),IFERROR(_xlfn.NUMBERVALUE(SUBSTITUTE(LEFT(TRIM(C1090),FIND(" ",TRIM(C1090)&amp;" ")-1),",","."),"."),LEFT(SUBSTITUTE(LEFT(TRIM(C1090),FIND(" ",TRIM(C1090)&amp;" ")-1),",","."),FIND("/",SUBSTITUTE(LEFT(TRIM(C1090),FIND(" ",TRIM(C1090)&amp;" ")-1),",","."))-1)/MID(SUBSTITUTE(LEFT(TRIM(C1090),FIND(" ",TRIM(C1090)&amp;" ")-1),",","."),FIND("/",SUBSTITUTE(LEFT(TRIM(C1090),FIND(" ",TRIM(C1090)&amp;" ")-1),",","."))+1,9))*12/52,IF(ISNUMBER(SEARCH("month",C1090)),IFERROR(_xlfn.NUMBERVALUE(SUBSTITUTE(LEFT(TRIM(C1090),FIND(" ",TRIM(C1090)&amp;" ")-1),",","."),"."),LEFT(SUBSTITUTE(LEFT(TRIM(C1090),FIND(" ",TRIM(C1090)&amp;" ")-1),",","."),FIND("/",SUBSTITUTE(LEFT(TRIM(C1090),FIND(" ",TRIM(C1090)&amp;" ")-1),",","."))-1)/MID(SUBSTITUTE(LEFT(TRIM(C1090),FIND(" ",TRIM(C1090)&amp;" ")-1),",","."),FIND("/",SUBSTITUTE(LEFT(TRIM(C1090),FIND(" ",TRIM(C1090)&amp;" ")-1),",","."))+1,9)),IF(ISNUMBER(SEARCH("yea",C1090)),IFERROR(_xlfn.NUMBERVALUE(SUBSTITUTE(LEFT(TRIM(C1090),FIND(" ",TRIM(C1090)&amp;" ")-1),",","."),"."),LEFT(SUBSTITUTE(LEFT(TRIM(C1090),FIND(" ",TRIM(C1090)&amp;" ")-1),",","."),FIND("/",SUBSTITUTE(LEFT(TRIM(C1090),FIND(" ",TRIM(C1090)&amp;" ")-1),",","."))-1)/MID(SUBSTITUTE(LEFT(TRIM(C1090),FIND(" ",TRIM(C1090)&amp;" ")-1),",","."),FIND("/",SUBSTITUTE(LEFT(TRIM(C1090),FIND(" ",TRIM(C1090)&amp;" ")-1),",","."))+1,9))*12,NA()))),0),30)*'Aturan &amp; Tarif'!$B$4,2)</f>
        <v>1703.4</v>
      </c>
      <c r="K1090" s="42" t="n">
        <f aca="false">'Aturan &amp; Tarif'!$B$5</f>
        <v>2050</v>
      </c>
      <c r="L1090" s="42" t="n">
        <f aca="false">'Aturan &amp; Tarif'!$B$6</f>
        <v>350</v>
      </c>
      <c r="M1090" s="35" t="n">
        <f aca="false">I1090+J1090+K1090+L1090</f>
        <v>24713.4</v>
      </c>
      <c r="N1090" s="44" t="s">
        <v>2665</v>
      </c>
    </row>
    <row r="1091" customFormat="false" ht="25.5" hidden="false" customHeight="true" outlineLevel="0" collapsed="false">
      <c r="A1091" s="39"/>
      <c r="B1091" s="40" t="s">
        <v>2684</v>
      </c>
      <c r="C1091" s="41" t="s">
        <v>107</v>
      </c>
      <c r="D1091" s="41" t="s">
        <v>108</v>
      </c>
      <c r="E1091" s="42" t="n">
        <v>10305</v>
      </c>
      <c r="F1091" s="42"/>
      <c r="G1091" s="42"/>
      <c r="H1091" s="43" t="n">
        <v>2</v>
      </c>
      <c r="I1091" s="34" t="n">
        <f aca="false">E1091*H1091+N(F1091)+N(G1091)</f>
        <v>20610</v>
      </c>
      <c r="J1091" s="42" t="n">
        <f aca="false">ROUND(IFERROR(ROUND(IF(OR(ISNUMBER(SEARCH("week",C1091)),ISNUMBER(SEARCH("minggu",C1091))),IFERROR(_xlfn.NUMBERVALUE(SUBSTITUTE(LEFT(TRIM(C1091),FIND(" ",TRIM(C1091)&amp;" ")-1),",","."),"."),LEFT(SUBSTITUTE(LEFT(TRIM(C1091),FIND(" ",TRIM(C1091)&amp;" ")-1),",","."),FIND("/",SUBSTITUTE(LEFT(TRIM(C1091),FIND(" ",TRIM(C1091)&amp;" ")-1),",","."))-1)/MID(SUBSTITUTE(LEFT(TRIM(C1091),FIND(" ",TRIM(C1091)&amp;" ")-1),",","."),FIND("/",SUBSTITUTE(LEFT(TRIM(C1091),FIND(" ",TRIM(C1091)&amp;" ")-1),",","."))+1,9))*12/52,IF(ISNUMBER(SEARCH("month",C1091)),IFERROR(_xlfn.NUMBERVALUE(SUBSTITUTE(LEFT(TRIM(C1091),FIND(" ",TRIM(C1091)&amp;" ")-1),",","."),"."),LEFT(SUBSTITUTE(LEFT(TRIM(C1091),FIND(" ",TRIM(C1091)&amp;" ")-1),",","."),FIND("/",SUBSTITUTE(LEFT(TRIM(C1091),FIND(" ",TRIM(C1091)&amp;" ")-1),",","."))-1)/MID(SUBSTITUTE(LEFT(TRIM(C1091),FIND(" ",TRIM(C1091)&amp;" ")-1),",","."),FIND("/",SUBSTITUTE(LEFT(TRIM(C1091),FIND(" ",TRIM(C1091)&amp;" ")-1),",","."))+1,9)),IF(ISNUMBER(SEARCH("yea",C1091)),IFERROR(_xlfn.NUMBERVALUE(SUBSTITUTE(LEFT(TRIM(C1091),FIND(" ",TRIM(C1091)&amp;" ")-1),",","."),"."),LEFT(SUBSTITUTE(LEFT(TRIM(C1091),FIND(" ",TRIM(C1091)&amp;" ")-1),",","."),FIND("/",SUBSTITUTE(LEFT(TRIM(C1091),FIND(" ",TRIM(C1091)&amp;" ")-1),",","."))-1)/MID(SUBSTITUTE(LEFT(TRIM(C1091),FIND(" ",TRIM(C1091)&amp;" ")-1),",","."),FIND("/",SUBSTITUTE(LEFT(TRIM(C1091),FIND(" ",TRIM(C1091)&amp;" ")-1),",","."))+1,9))*12,NA()))),0),24)*'Aturan &amp; Tarif'!$B$4,2)</f>
        <v>1362.72</v>
      </c>
      <c r="K1091" s="42" t="n">
        <f aca="false">'Aturan &amp; Tarif'!$B$5</f>
        <v>2050</v>
      </c>
      <c r="L1091" s="42" t="n">
        <f aca="false">'Aturan &amp; Tarif'!$B$6</f>
        <v>350</v>
      </c>
      <c r="M1091" s="35" t="n">
        <f aca="false">I1091+J1091+K1091+L1091</f>
        <v>24372.72</v>
      </c>
      <c r="N1091" s="45" t="s">
        <v>2665</v>
      </c>
    </row>
    <row r="1092" customFormat="false" ht="48.75" hidden="false" customHeight="true" outlineLevel="0" collapsed="false">
      <c r="A1092" s="39"/>
      <c r="B1092" s="40" t="s">
        <v>2685</v>
      </c>
      <c r="C1092" s="41" t="s">
        <v>113</v>
      </c>
      <c r="D1092" s="41" t="s">
        <v>108</v>
      </c>
      <c r="E1092" s="42" t="n">
        <v>10305</v>
      </c>
      <c r="F1092" s="42"/>
      <c r="G1092" s="42"/>
      <c r="H1092" s="43" t="n">
        <v>2</v>
      </c>
      <c r="I1092" s="34" t="n">
        <f aca="false">E1092*H1092+N(F1092)+N(G1092)</f>
        <v>20610</v>
      </c>
      <c r="J1092" s="42" t="n">
        <f aca="false">ROUND(IFERROR(ROUND(IF(OR(ISNUMBER(SEARCH("week",C1092)),ISNUMBER(SEARCH("minggu",C1092))),IFERROR(_xlfn.NUMBERVALUE(SUBSTITUTE(LEFT(TRIM(C1092),FIND(" ",TRIM(C1092)&amp;" ")-1),",","."),"."),LEFT(SUBSTITUTE(LEFT(TRIM(C1092),FIND(" ",TRIM(C1092)&amp;" ")-1),",","."),FIND("/",SUBSTITUTE(LEFT(TRIM(C1092),FIND(" ",TRIM(C1092)&amp;" ")-1),",","."))-1)/MID(SUBSTITUTE(LEFT(TRIM(C1092),FIND(" ",TRIM(C1092)&amp;" ")-1),",","."),FIND("/",SUBSTITUTE(LEFT(TRIM(C1092),FIND(" ",TRIM(C1092)&amp;" ")-1),",","."))+1,9))*12/52,IF(ISNUMBER(SEARCH("month",C1092)),IFERROR(_xlfn.NUMBERVALUE(SUBSTITUTE(LEFT(TRIM(C1092),FIND(" ",TRIM(C1092)&amp;" ")-1),",","."),"."),LEFT(SUBSTITUTE(LEFT(TRIM(C1092),FIND(" ",TRIM(C1092)&amp;" ")-1),",","."),FIND("/",SUBSTITUTE(LEFT(TRIM(C1092),FIND(" ",TRIM(C1092)&amp;" ")-1),",","."))-1)/MID(SUBSTITUTE(LEFT(TRIM(C1092),FIND(" ",TRIM(C1092)&amp;" ")-1),",","."),FIND("/",SUBSTITUTE(LEFT(TRIM(C1092),FIND(" ",TRIM(C1092)&amp;" ")-1),",","."))+1,9)),IF(ISNUMBER(SEARCH("yea",C1092)),IFERROR(_xlfn.NUMBERVALUE(SUBSTITUTE(LEFT(TRIM(C1092),FIND(" ",TRIM(C1092)&amp;" ")-1),",","."),"."),LEFT(SUBSTITUTE(LEFT(TRIM(C1092),FIND(" ",TRIM(C1092)&amp;" ")-1),",","."),FIND("/",SUBSTITUTE(LEFT(TRIM(C1092),FIND(" ",TRIM(C1092)&amp;" ")-1),",","."))-1)/MID(SUBSTITUTE(LEFT(TRIM(C1092),FIND(" ",TRIM(C1092)&amp;" ")-1),",","."),FIND("/",SUBSTITUTE(LEFT(TRIM(C1092),FIND(" ",TRIM(C1092)&amp;" ")-1),",","."))+1,9))*12,NA()))),0),18)*'Aturan &amp; Tarif'!$B$4,2)</f>
        <v>1022.04</v>
      </c>
      <c r="K1092" s="42" t="n">
        <f aca="false">'Aturan &amp; Tarif'!$B$5</f>
        <v>2050</v>
      </c>
      <c r="L1092" s="42" t="n">
        <f aca="false">'Aturan &amp; Tarif'!$B$6</f>
        <v>350</v>
      </c>
      <c r="M1092" s="35" t="n">
        <f aca="false">I1092+J1092+K1092+L1092</f>
        <v>24032.04</v>
      </c>
      <c r="N1092" s="45" t="s">
        <v>2665</v>
      </c>
    </row>
    <row r="1093" customFormat="false" ht="25.5" hidden="false" customHeight="true" outlineLevel="0" collapsed="false">
      <c r="A1093" s="39"/>
      <c r="B1093" s="40" t="s">
        <v>2686</v>
      </c>
      <c r="C1093" s="41" t="s">
        <v>130</v>
      </c>
      <c r="D1093" s="41" t="s">
        <v>108</v>
      </c>
      <c r="E1093" s="42" t="n">
        <v>10305</v>
      </c>
      <c r="F1093" s="42"/>
      <c r="G1093" s="42"/>
      <c r="H1093" s="43" t="n">
        <v>2</v>
      </c>
      <c r="I1093" s="34" t="n">
        <f aca="false">E1093*H1093+N(F1093)+N(G1093)</f>
        <v>20610</v>
      </c>
      <c r="J1093" s="42" t="n">
        <f aca="false">ROUND(IFERROR(ROUND(IF(OR(ISNUMBER(SEARCH("week",C1093)),ISNUMBER(SEARCH("minggu",C1093))),IFERROR(_xlfn.NUMBERVALUE(SUBSTITUTE(LEFT(TRIM(C1093),FIND(" ",TRIM(C1093)&amp;" ")-1),",","."),"."),LEFT(SUBSTITUTE(LEFT(TRIM(C1093),FIND(" ",TRIM(C1093)&amp;" ")-1),",","."),FIND("/",SUBSTITUTE(LEFT(TRIM(C1093),FIND(" ",TRIM(C1093)&amp;" ")-1),",","."))-1)/MID(SUBSTITUTE(LEFT(TRIM(C1093),FIND(" ",TRIM(C1093)&amp;" ")-1),",","."),FIND("/",SUBSTITUTE(LEFT(TRIM(C1093),FIND(" ",TRIM(C1093)&amp;" ")-1),",","."))+1,9))*12/52,IF(ISNUMBER(SEARCH("month",C1093)),IFERROR(_xlfn.NUMBERVALUE(SUBSTITUTE(LEFT(TRIM(C1093),FIND(" ",TRIM(C1093)&amp;" ")-1),",","."),"."),LEFT(SUBSTITUTE(LEFT(TRIM(C1093),FIND(" ",TRIM(C1093)&amp;" ")-1),",","."),FIND("/",SUBSTITUTE(LEFT(TRIM(C1093),FIND(" ",TRIM(C1093)&amp;" ")-1),",","."))-1)/MID(SUBSTITUTE(LEFT(TRIM(C1093),FIND(" ",TRIM(C1093)&amp;" ")-1),",","."),FIND("/",SUBSTITUTE(LEFT(TRIM(C1093),FIND(" ",TRIM(C1093)&amp;" ")-1),",","."))+1,9)),IF(ISNUMBER(SEARCH("yea",C1093)),IFERROR(_xlfn.NUMBERVALUE(SUBSTITUTE(LEFT(TRIM(C1093),FIND(" ",TRIM(C1093)&amp;" ")-1),",","."),"."),LEFT(SUBSTITUTE(LEFT(TRIM(C1093),FIND(" ",TRIM(C1093)&amp;" ")-1),",","."),FIND("/",SUBSTITUTE(LEFT(TRIM(C1093),FIND(" ",TRIM(C1093)&amp;" ")-1),",","."))-1)/MID(SUBSTITUTE(LEFT(TRIM(C1093),FIND(" ",TRIM(C1093)&amp;" ")-1),",","."),FIND("/",SUBSTITUTE(LEFT(TRIM(C1093),FIND(" ",TRIM(C1093)&amp;" ")-1),",","."))+1,9))*12,NA()))),0),12)*'Aturan &amp; Tarif'!$B$4,2)</f>
        <v>681.36</v>
      </c>
      <c r="K1093" s="42" t="n">
        <f aca="false">'Aturan &amp; Tarif'!$B$5</f>
        <v>2050</v>
      </c>
      <c r="L1093" s="42" t="n">
        <f aca="false">'Aturan &amp; Tarif'!$B$6</f>
        <v>350</v>
      </c>
      <c r="M1093" s="35" t="n">
        <f aca="false">I1093+J1093+K1093+L1093</f>
        <v>23691.36</v>
      </c>
      <c r="N1093" s="45" t="s">
        <v>2665</v>
      </c>
    </row>
    <row r="1094" customFormat="false" ht="25.5" hidden="false" customHeight="true" outlineLevel="0" collapsed="false">
      <c r="A1094" s="39"/>
      <c r="B1094" s="40" t="s">
        <v>2687</v>
      </c>
      <c r="C1094" s="41" t="s">
        <v>107</v>
      </c>
      <c r="D1094" s="41" t="s">
        <v>108</v>
      </c>
      <c r="E1094" s="42" t="n">
        <v>10305</v>
      </c>
      <c r="F1094" s="42"/>
      <c r="G1094" s="42"/>
      <c r="H1094" s="43" t="n">
        <v>2</v>
      </c>
      <c r="I1094" s="34" t="n">
        <f aca="false">E1094*H1094+N(F1094)+N(G1094)</f>
        <v>20610</v>
      </c>
      <c r="J1094" s="42" t="n">
        <f aca="false">ROUND(IFERROR(ROUND(IF(OR(ISNUMBER(SEARCH("week",C1094)),ISNUMBER(SEARCH("minggu",C1094))),IFERROR(_xlfn.NUMBERVALUE(SUBSTITUTE(LEFT(TRIM(C1094),FIND(" ",TRIM(C1094)&amp;" ")-1),",","."),"."),LEFT(SUBSTITUTE(LEFT(TRIM(C1094),FIND(" ",TRIM(C1094)&amp;" ")-1),",","."),FIND("/",SUBSTITUTE(LEFT(TRIM(C1094),FIND(" ",TRIM(C1094)&amp;" ")-1),",","."))-1)/MID(SUBSTITUTE(LEFT(TRIM(C1094),FIND(" ",TRIM(C1094)&amp;" ")-1),",","."),FIND("/",SUBSTITUTE(LEFT(TRIM(C1094),FIND(" ",TRIM(C1094)&amp;" ")-1),",","."))+1,9))*12/52,IF(ISNUMBER(SEARCH("month",C1094)),IFERROR(_xlfn.NUMBERVALUE(SUBSTITUTE(LEFT(TRIM(C1094),FIND(" ",TRIM(C1094)&amp;" ")-1),",","."),"."),LEFT(SUBSTITUTE(LEFT(TRIM(C1094),FIND(" ",TRIM(C1094)&amp;" ")-1),",","."),FIND("/",SUBSTITUTE(LEFT(TRIM(C1094),FIND(" ",TRIM(C1094)&amp;" ")-1),",","."))-1)/MID(SUBSTITUTE(LEFT(TRIM(C1094),FIND(" ",TRIM(C1094)&amp;" ")-1),",","."),FIND("/",SUBSTITUTE(LEFT(TRIM(C1094),FIND(" ",TRIM(C1094)&amp;" ")-1),",","."))+1,9)),IF(ISNUMBER(SEARCH("yea",C1094)),IFERROR(_xlfn.NUMBERVALUE(SUBSTITUTE(LEFT(TRIM(C1094),FIND(" ",TRIM(C1094)&amp;" ")-1),",","."),"."),LEFT(SUBSTITUTE(LEFT(TRIM(C1094),FIND(" ",TRIM(C1094)&amp;" ")-1),",","."),FIND("/",SUBSTITUTE(LEFT(TRIM(C1094),FIND(" ",TRIM(C1094)&amp;" ")-1),",","."))-1)/MID(SUBSTITUTE(LEFT(TRIM(C1094),FIND(" ",TRIM(C1094)&amp;" ")-1),",","."),FIND("/",SUBSTITUTE(LEFT(TRIM(C1094),FIND(" ",TRIM(C1094)&amp;" ")-1),",","."))+1,9))*12,NA()))),0),24)*'Aturan &amp; Tarif'!$B$4,2)</f>
        <v>1362.72</v>
      </c>
      <c r="K1094" s="42" t="n">
        <f aca="false">'Aturan &amp; Tarif'!$B$5</f>
        <v>2050</v>
      </c>
      <c r="L1094" s="42" t="n">
        <f aca="false">'Aturan &amp; Tarif'!$B$6</f>
        <v>350</v>
      </c>
      <c r="M1094" s="35" t="n">
        <f aca="false">I1094+J1094+K1094+L1094</f>
        <v>24372.72</v>
      </c>
      <c r="N1094" s="45" t="s">
        <v>2665</v>
      </c>
    </row>
    <row r="1095" customFormat="false" ht="25.5" hidden="false" customHeight="true" outlineLevel="0" collapsed="false">
      <c r="A1095" s="39"/>
      <c r="B1095" s="40" t="s">
        <v>2688</v>
      </c>
      <c r="C1095" s="41" t="s">
        <v>344</v>
      </c>
      <c r="D1095" s="41" t="s">
        <v>108</v>
      </c>
      <c r="E1095" s="42" t="n">
        <v>5153</v>
      </c>
      <c r="F1095" s="42"/>
      <c r="G1095" s="42"/>
      <c r="H1095" s="43" t="n">
        <v>2</v>
      </c>
      <c r="I1095" s="34" t="n">
        <f aca="false">E1095*H1095+N(F1095)+N(G1095)</f>
        <v>10306</v>
      </c>
      <c r="J1095" s="42" t="n">
        <f aca="false">ROUND(IFERROR(ROUND(IF(OR(ISNUMBER(SEARCH("week",C1095)),ISNUMBER(SEARCH("minggu",C1095))),IFERROR(_xlfn.NUMBERVALUE(SUBSTITUTE(LEFT(TRIM(C1095),FIND(" ",TRIM(C1095)&amp;" ")-1),",","."),"."),LEFT(SUBSTITUTE(LEFT(TRIM(C1095),FIND(" ",TRIM(C1095)&amp;" ")-1),",","."),FIND("/",SUBSTITUTE(LEFT(TRIM(C1095),FIND(" ",TRIM(C1095)&amp;" ")-1),",","."))-1)/MID(SUBSTITUTE(LEFT(TRIM(C1095),FIND(" ",TRIM(C1095)&amp;" ")-1),",","."),FIND("/",SUBSTITUTE(LEFT(TRIM(C1095),FIND(" ",TRIM(C1095)&amp;" ")-1),",","."))+1,9))*12/52,IF(ISNUMBER(SEARCH("month",C1095)),IFERROR(_xlfn.NUMBERVALUE(SUBSTITUTE(LEFT(TRIM(C1095),FIND(" ",TRIM(C1095)&amp;" ")-1),",","."),"."),LEFT(SUBSTITUTE(LEFT(TRIM(C1095),FIND(" ",TRIM(C1095)&amp;" ")-1),",","."),FIND("/",SUBSTITUTE(LEFT(TRIM(C1095),FIND(" ",TRIM(C1095)&amp;" ")-1),",","."))-1)/MID(SUBSTITUTE(LEFT(TRIM(C1095),FIND(" ",TRIM(C1095)&amp;" ")-1),",","."),FIND("/",SUBSTITUTE(LEFT(TRIM(C1095),FIND(" ",TRIM(C1095)&amp;" ")-1),",","."))+1,9)),IF(ISNUMBER(SEARCH("yea",C1095)),IFERROR(_xlfn.NUMBERVALUE(SUBSTITUTE(LEFT(TRIM(C1095),FIND(" ",TRIM(C1095)&amp;" ")-1),",","."),"."),LEFT(SUBSTITUTE(LEFT(TRIM(C1095),FIND(" ",TRIM(C1095)&amp;" ")-1),",","."),FIND("/",SUBSTITUTE(LEFT(TRIM(C1095),FIND(" ",TRIM(C1095)&amp;" ")-1),",","."))-1)/MID(SUBSTITUTE(LEFT(TRIM(C1095),FIND(" ",TRIM(C1095)&amp;" ")-1),",","."),FIND("/",SUBSTITUTE(LEFT(TRIM(C1095),FIND(" ",TRIM(C1095)&amp;" ")-1),",","."))+1,9))*12,NA()))),0),6)*'Aturan &amp; Tarif'!$B$4,2)</f>
        <v>340.68</v>
      </c>
      <c r="K1095" s="42" t="n">
        <f aca="false">'Aturan &amp; Tarif'!$B$5</f>
        <v>2050</v>
      </c>
      <c r="L1095" s="42" t="n">
        <f aca="false">'Aturan &amp; Tarif'!$B$6</f>
        <v>350</v>
      </c>
      <c r="M1095" s="35" t="n">
        <f aca="false">I1095+J1095+K1095+L1095</f>
        <v>13046.68</v>
      </c>
      <c r="N1095" s="45" t="s">
        <v>2665</v>
      </c>
    </row>
    <row r="1096" customFormat="false" ht="25.5" hidden="false" customHeight="true" outlineLevel="0" collapsed="false">
      <c r="A1096" s="39"/>
      <c r="B1096" s="40" t="s">
        <v>2689</v>
      </c>
      <c r="C1096" s="41" t="s">
        <v>130</v>
      </c>
      <c r="D1096" s="41" t="s">
        <v>108</v>
      </c>
      <c r="E1096" s="42" t="n">
        <v>10305</v>
      </c>
      <c r="F1096" s="42"/>
      <c r="G1096" s="42"/>
      <c r="H1096" s="43" t="n">
        <v>2</v>
      </c>
      <c r="I1096" s="34" t="n">
        <f aca="false">E1096*H1096+N(F1096)+N(G1096)</f>
        <v>20610</v>
      </c>
      <c r="J1096" s="42" t="n">
        <f aca="false">ROUND(IFERROR(ROUND(IF(OR(ISNUMBER(SEARCH("week",C1096)),ISNUMBER(SEARCH("minggu",C1096))),IFERROR(_xlfn.NUMBERVALUE(SUBSTITUTE(LEFT(TRIM(C1096),FIND(" ",TRIM(C1096)&amp;" ")-1),",","."),"."),LEFT(SUBSTITUTE(LEFT(TRIM(C1096),FIND(" ",TRIM(C1096)&amp;" ")-1),",","."),FIND("/",SUBSTITUTE(LEFT(TRIM(C1096),FIND(" ",TRIM(C1096)&amp;" ")-1),",","."))-1)/MID(SUBSTITUTE(LEFT(TRIM(C1096),FIND(" ",TRIM(C1096)&amp;" ")-1),",","."),FIND("/",SUBSTITUTE(LEFT(TRIM(C1096),FIND(" ",TRIM(C1096)&amp;" ")-1),",","."))+1,9))*12/52,IF(ISNUMBER(SEARCH("month",C1096)),IFERROR(_xlfn.NUMBERVALUE(SUBSTITUTE(LEFT(TRIM(C1096),FIND(" ",TRIM(C1096)&amp;" ")-1),",","."),"."),LEFT(SUBSTITUTE(LEFT(TRIM(C1096),FIND(" ",TRIM(C1096)&amp;" ")-1),",","."),FIND("/",SUBSTITUTE(LEFT(TRIM(C1096),FIND(" ",TRIM(C1096)&amp;" ")-1),",","."))-1)/MID(SUBSTITUTE(LEFT(TRIM(C1096),FIND(" ",TRIM(C1096)&amp;" ")-1),",","."),FIND("/",SUBSTITUTE(LEFT(TRIM(C1096),FIND(" ",TRIM(C1096)&amp;" ")-1),",","."))+1,9)),IF(ISNUMBER(SEARCH("yea",C1096)),IFERROR(_xlfn.NUMBERVALUE(SUBSTITUTE(LEFT(TRIM(C1096),FIND(" ",TRIM(C1096)&amp;" ")-1),",","."),"."),LEFT(SUBSTITUTE(LEFT(TRIM(C1096),FIND(" ",TRIM(C1096)&amp;" ")-1),",","."),FIND("/",SUBSTITUTE(LEFT(TRIM(C1096),FIND(" ",TRIM(C1096)&amp;" ")-1),",","."))-1)/MID(SUBSTITUTE(LEFT(TRIM(C1096),FIND(" ",TRIM(C1096)&amp;" ")-1),",","."),FIND("/",SUBSTITUTE(LEFT(TRIM(C1096),FIND(" ",TRIM(C1096)&amp;" ")-1),",","."))+1,9))*12,NA()))),0),12)*'Aturan &amp; Tarif'!$B$4,2)</f>
        <v>681.36</v>
      </c>
      <c r="K1096" s="42" t="n">
        <f aca="false">'Aturan &amp; Tarif'!$B$5</f>
        <v>2050</v>
      </c>
      <c r="L1096" s="42" t="n">
        <f aca="false">'Aturan &amp; Tarif'!$B$6</f>
        <v>350</v>
      </c>
      <c r="M1096" s="35" t="n">
        <f aca="false">I1096+J1096+K1096+L1096</f>
        <v>23691.36</v>
      </c>
      <c r="N1096" s="45" t="s">
        <v>2665</v>
      </c>
    </row>
    <row r="1097" customFormat="false" ht="25.5" hidden="false" customHeight="true" outlineLevel="0" collapsed="false">
      <c r="A1097" s="39"/>
      <c r="B1097" s="40" t="s">
        <v>2690</v>
      </c>
      <c r="C1097" s="41" t="s">
        <v>107</v>
      </c>
      <c r="D1097" s="41" t="s">
        <v>108</v>
      </c>
      <c r="E1097" s="42" t="n">
        <v>10305</v>
      </c>
      <c r="F1097" s="42"/>
      <c r="G1097" s="42"/>
      <c r="H1097" s="43" t="n">
        <v>2</v>
      </c>
      <c r="I1097" s="34" t="n">
        <f aca="false">E1097*H1097+N(F1097)+N(G1097)</f>
        <v>20610</v>
      </c>
      <c r="J1097" s="42" t="n">
        <f aca="false">ROUND(IFERROR(ROUND(IF(OR(ISNUMBER(SEARCH("week",C1097)),ISNUMBER(SEARCH("minggu",C1097))),IFERROR(_xlfn.NUMBERVALUE(SUBSTITUTE(LEFT(TRIM(C1097),FIND(" ",TRIM(C1097)&amp;" ")-1),",","."),"."),LEFT(SUBSTITUTE(LEFT(TRIM(C1097),FIND(" ",TRIM(C1097)&amp;" ")-1),",","."),FIND("/",SUBSTITUTE(LEFT(TRIM(C1097),FIND(" ",TRIM(C1097)&amp;" ")-1),",","."))-1)/MID(SUBSTITUTE(LEFT(TRIM(C1097),FIND(" ",TRIM(C1097)&amp;" ")-1),",","."),FIND("/",SUBSTITUTE(LEFT(TRIM(C1097),FIND(" ",TRIM(C1097)&amp;" ")-1),",","."))+1,9))*12/52,IF(ISNUMBER(SEARCH("month",C1097)),IFERROR(_xlfn.NUMBERVALUE(SUBSTITUTE(LEFT(TRIM(C1097),FIND(" ",TRIM(C1097)&amp;" ")-1),",","."),"."),LEFT(SUBSTITUTE(LEFT(TRIM(C1097),FIND(" ",TRIM(C1097)&amp;" ")-1),",","."),FIND("/",SUBSTITUTE(LEFT(TRIM(C1097),FIND(" ",TRIM(C1097)&amp;" ")-1),",","."))-1)/MID(SUBSTITUTE(LEFT(TRIM(C1097),FIND(" ",TRIM(C1097)&amp;" ")-1),",","."),FIND("/",SUBSTITUTE(LEFT(TRIM(C1097),FIND(" ",TRIM(C1097)&amp;" ")-1),",","."))+1,9)),IF(ISNUMBER(SEARCH("yea",C1097)),IFERROR(_xlfn.NUMBERVALUE(SUBSTITUTE(LEFT(TRIM(C1097),FIND(" ",TRIM(C1097)&amp;" ")-1),",","."),"."),LEFT(SUBSTITUTE(LEFT(TRIM(C1097),FIND(" ",TRIM(C1097)&amp;" ")-1),",","."),FIND("/",SUBSTITUTE(LEFT(TRIM(C1097),FIND(" ",TRIM(C1097)&amp;" ")-1),",","."))-1)/MID(SUBSTITUTE(LEFT(TRIM(C1097),FIND(" ",TRIM(C1097)&amp;" ")-1),",","."),FIND("/",SUBSTITUTE(LEFT(TRIM(C1097),FIND(" ",TRIM(C1097)&amp;" ")-1),",","."))+1,9))*12,NA()))),0),24)*'Aturan &amp; Tarif'!$B$4,2)</f>
        <v>1362.72</v>
      </c>
      <c r="K1097" s="42" t="n">
        <f aca="false">'Aturan &amp; Tarif'!$B$5</f>
        <v>2050</v>
      </c>
      <c r="L1097" s="42" t="n">
        <f aca="false">'Aturan &amp; Tarif'!$B$6</f>
        <v>350</v>
      </c>
      <c r="M1097" s="35" t="n">
        <f aca="false">I1097+J1097+K1097+L1097</f>
        <v>24372.72</v>
      </c>
      <c r="N1097" s="45" t="s">
        <v>2665</v>
      </c>
    </row>
    <row r="1098" customFormat="false" ht="25.5" hidden="false" customHeight="true" outlineLevel="0" collapsed="false">
      <c r="A1098" s="39"/>
      <c r="B1098" s="40" t="s">
        <v>2691</v>
      </c>
      <c r="C1098" s="41" t="s">
        <v>107</v>
      </c>
      <c r="D1098" s="41" t="s">
        <v>108</v>
      </c>
      <c r="E1098" s="42" t="n">
        <v>10305</v>
      </c>
      <c r="F1098" s="42"/>
      <c r="G1098" s="42"/>
      <c r="H1098" s="43" t="n">
        <v>2</v>
      </c>
      <c r="I1098" s="34" t="n">
        <f aca="false">E1098*H1098+N(F1098)+N(G1098)</f>
        <v>20610</v>
      </c>
      <c r="J1098" s="42" t="n">
        <f aca="false">ROUND(IFERROR(ROUND(IF(OR(ISNUMBER(SEARCH("week",C1098)),ISNUMBER(SEARCH("minggu",C1098))),IFERROR(_xlfn.NUMBERVALUE(SUBSTITUTE(LEFT(TRIM(C1098),FIND(" ",TRIM(C1098)&amp;" ")-1),",","."),"."),LEFT(SUBSTITUTE(LEFT(TRIM(C1098),FIND(" ",TRIM(C1098)&amp;" ")-1),",","."),FIND("/",SUBSTITUTE(LEFT(TRIM(C1098),FIND(" ",TRIM(C1098)&amp;" ")-1),",","."))-1)/MID(SUBSTITUTE(LEFT(TRIM(C1098),FIND(" ",TRIM(C1098)&amp;" ")-1),",","."),FIND("/",SUBSTITUTE(LEFT(TRIM(C1098),FIND(" ",TRIM(C1098)&amp;" ")-1),",","."))+1,9))*12/52,IF(ISNUMBER(SEARCH("month",C1098)),IFERROR(_xlfn.NUMBERVALUE(SUBSTITUTE(LEFT(TRIM(C1098),FIND(" ",TRIM(C1098)&amp;" ")-1),",","."),"."),LEFT(SUBSTITUTE(LEFT(TRIM(C1098),FIND(" ",TRIM(C1098)&amp;" ")-1),",","."),FIND("/",SUBSTITUTE(LEFT(TRIM(C1098),FIND(" ",TRIM(C1098)&amp;" ")-1),",","."))-1)/MID(SUBSTITUTE(LEFT(TRIM(C1098),FIND(" ",TRIM(C1098)&amp;" ")-1),",","."),FIND("/",SUBSTITUTE(LEFT(TRIM(C1098),FIND(" ",TRIM(C1098)&amp;" ")-1),",","."))+1,9)),IF(ISNUMBER(SEARCH("yea",C1098)),IFERROR(_xlfn.NUMBERVALUE(SUBSTITUTE(LEFT(TRIM(C1098),FIND(" ",TRIM(C1098)&amp;" ")-1),",","."),"."),LEFT(SUBSTITUTE(LEFT(TRIM(C1098),FIND(" ",TRIM(C1098)&amp;" ")-1),",","."),FIND("/",SUBSTITUTE(LEFT(TRIM(C1098),FIND(" ",TRIM(C1098)&amp;" ")-1),",","."))-1)/MID(SUBSTITUTE(LEFT(TRIM(C1098),FIND(" ",TRIM(C1098)&amp;" ")-1),",","."),FIND("/",SUBSTITUTE(LEFT(TRIM(C1098),FIND(" ",TRIM(C1098)&amp;" ")-1),",","."))+1,9))*12,NA()))),0),24)*'Aturan &amp; Tarif'!$B$4,2)</f>
        <v>1362.72</v>
      </c>
      <c r="K1098" s="42" t="n">
        <f aca="false">'Aturan &amp; Tarif'!$B$5</f>
        <v>2050</v>
      </c>
      <c r="L1098" s="42" t="n">
        <f aca="false">'Aturan &amp; Tarif'!$B$6</f>
        <v>350</v>
      </c>
      <c r="M1098" s="35" t="n">
        <f aca="false">I1098+J1098+K1098+L1098</f>
        <v>24372.72</v>
      </c>
      <c r="N1098" s="45" t="s">
        <v>2665</v>
      </c>
    </row>
    <row r="1099" customFormat="false" ht="25.5" hidden="false" customHeight="true" outlineLevel="0" collapsed="false">
      <c r="A1099" s="39"/>
      <c r="B1099" s="40" t="s">
        <v>2692</v>
      </c>
      <c r="C1099" s="41" t="s">
        <v>107</v>
      </c>
      <c r="D1099" s="41" t="s">
        <v>108</v>
      </c>
      <c r="E1099" s="42" t="n">
        <v>10305</v>
      </c>
      <c r="F1099" s="42"/>
      <c r="G1099" s="42"/>
      <c r="H1099" s="43" t="n">
        <v>2</v>
      </c>
      <c r="I1099" s="34" t="n">
        <f aca="false">E1099*H1099+N(F1099)+N(G1099)</f>
        <v>20610</v>
      </c>
      <c r="J1099" s="42" t="n">
        <f aca="false">ROUND(IFERROR(ROUND(IF(OR(ISNUMBER(SEARCH("week",C1099)),ISNUMBER(SEARCH("minggu",C1099))),IFERROR(_xlfn.NUMBERVALUE(SUBSTITUTE(LEFT(TRIM(C1099),FIND(" ",TRIM(C1099)&amp;" ")-1),",","."),"."),LEFT(SUBSTITUTE(LEFT(TRIM(C1099),FIND(" ",TRIM(C1099)&amp;" ")-1),",","."),FIND("/",SUBSTITUTE(LEFT(TRIM(C1099),FIND(" ",TRIM(C1099)&amp;" ")-1),",","."))-1)/MID(SUBSTITUTE(LEFT(TRIM(C1099),FIND(" ",TRIM(C1099)&amp;" ")-1),",","."),FIND("/",SUBSTITUTE(LEFT(TRIM(C1099),FIND(" ",TRIM(C1099)&amp;" ")-1),",","."))+1,9))*12/52,IF(ISNUMBER(SEARCH("month",C1099)),IFERROR(_xlfn.NUMBERVALUE(SUBSTITUTE(LEFT(TRIM(C1099),FIND(" ",TRIM(C1099)&amp;" ")-1),",","."),"."),LEFT(SUBSTITUTE(LEFT(TRIM(C1099),FIND(" ",TRIM(C1099)&amp;" ")-1),",","."),FIND("/",SUBSTITUTE(LEFT(TRIM(C1099),FIND(" ",TRIM(C1099)&amp;" ")-1),",","."))-1)/MID(SUBSTITUTE(LEFT(TRIM(C1099),FIND(" ",TRIM(C1099)&amp;" ")-1),",","."),FIND("/",SUBSTITUTE(LEFT(TRIM(C1099),FIND(" ",TRIM(C1099)&amp;" ")-1),",","."))+1,9)),IF(ISNUMBER(SEARCH("yea",C1099)),IFERROR(_xlfn.NUMBERVALUE(SUBSTITUTE(LEFT(TRIM(C1099),FIND(" ",TRIM(C1099)&amp;" ")-1),",","."),"."),LEFT(SUBSTITUTE(LEFT(TRIM(C1099),FIND(" ",TRIM(C1099)&amp;" ")-1),",","."),FIND("/",SUBSTITUTE(LEFT(TRIM(C1099),FIND(" ",TRIM(C1099)&amp;" ")-1),",","."))-1)/MID(SUBSTITUTE(LEFT(TRIM(C1099),FIND(" ",TRIM(C1099)&amp;" ")-1),",","."),FIND("/",SUBSTITUTE(LEFT(TRIM(C1099),FIND(" ",TRIM(C1099)&amp;" ")-1),",","."))+1,9))*12,NA()))),0),24)*'Aturan &amp; Tarif'!$B$4,2)</f>
        <v>1362.72</v>
      </c>
      <c r="K1099" s="42" t="n">
        <f aca="false">'Aturan &amp; Tarif'!$B$5</f>
        <v>2050</v>
      </c>
      <c r="L1099" s="42" t="n">
        <f aca="false">'Aturan &amp; Tarif'!$B$6</f>
        <v>350</v>
      </c>
      <c r="M1099" s="35" t="n">
        <f aca="false">I1099+J1099+K1099+L1099</f>
        <v>24372.72</v>
      </c>
      <c r="N1099" s="45" t="s">
        <v>2665</v>
      </c>
    </row>
    <row r="1100" customFormat="false" ht="25.5" hidden="false" customHeight="true" outlineLevel="0" collapsed="false">
      <c r="A1100" s="39"/>
      <c r="B1100" s="40" t="s">
        <v>2693</v>
      </c>
      <c r="C1100" s="41" t="s">
        <v>130</v>
      </c>
      <c r="D1100" s="41" t="s">
        <v>108</v>
      </c>
      <c r="E1100" s="42" t="n">
        <v>10305</v>
      </c>
      <c r="F1100" s="42"/>
      <c r="G1100" s="42"/>
      <c r="H1100" s="43" t="n">
        <v>2</v>
      </c>
      <c r="I1100" s="34" t="n">
        <f aca="false">E1100*H1100+N(F1100)+N(G1100)</f>
        <v>20610</v>
      </c>
      <c r="J1100" s="42" t="n">
        <f aca="false">ROUND(IFERROR(ROUND(IF(OR(ISNUMBER(SEARCH("week",C1100)),ISNUMBER(SEARCH("minggu",C1100))),IFERROR(_xlfn.NUMBERVALUE(SUBSTITUTE(LEFT(TRIM(C1100),FIND(" ",TRIM(C1100)&amp;" ")-1),",","."),"."),LEFT(SUBSTITUTE(LEFT(TRIM(C1100),FIND(" ",TRIM(C1100)&amp;" ")-1),",","."),FIND("/",SUBSTITUTE(LEFT(TRIM(C1100),FIND(" ",TRIM(C1100)&amp;" ")-1),",","."))-1)/MID(SUBSTITUTE(LEFT(TRIM(C1100),FIND(" ",TRIM(C1100)&amp;" ")-1),",","."),FIND("/",SUBSTITUTE(LEFT(TRIM(C1100),FIND(" ",TRIM(C1100)&amp;" ")-1),",","."))+1,9))*12/52,IF(ISNUMBER(SEARCH("month",C1100)),IFERROR(_xlfn.NUMBERVALUE(SUBSTITUTE(LEFT(TRIM(C1100),FIND(" ",TRIM(C1100)&amp;" ")-1),",","."),"."),LEFT(SUBSTITUTE(LEFT(TRIM(C1100),FIND(" ",TRIM(C1100)&amp;" ")-1),",","."),FIND("/",SUBSTITUTE(LEFT(TRIM(C1100),FIND(" ",TRIM(C1100)&amp;" ")-1),",","."))-1)/MID(SUBSTITUTE(LEFT(TRIM(C1100),FIND(" ",TRIM(C1100)&amp;" ")-1),",","."),FIND("/",SUBSTITUTE(LEFT(TRIM(C1100),FIND(" ",TRIM(C1100)&amp;" ")-1),",","."))+1,9)),IF(ISNUMBER(SEARCH("yea",C1100)),IFERROR(_xlfn.NUMBERVALUE(SUBSTITUTE(LEFT(TRIM(C1100),FIND(" ",TRIM(C1100)&amp;" ")-1),",","."),"."),LEFT(SUBSTITUTE(LEFT(TRIM(C1100),FIND(" ",TRIM(C1100)&amp;" ")-1),",","."),FIND("/",SUBSTITUTE(LEFT(TRIM(C1100),FIND(" ",TRIM(C1100)&amp;" ")-1),",","."))-1)/MID(SUBSTITUTE(LEFT(TRIM(C1100),FIND(" ",TRIM(C1100)&amp;" ")-1),",","."),FIND("/",SUBSTITUTE(LEFT(TRIM(C1100),FIND(" ",TRIM(C1100)&amp;" ")-1),",","."))+1,9))*12,NA()))),0),12)*'Aturan &amp; Tarif'!$B$4,2)</f>
        <v>681.36</v>
      </c>
      <c r="K1100" s="42" t="n">
        <f aca="false">'Aturan &amp; Tarif'!$B$5</f>
        <v>2050</v>
      </c>
      <c r="L1100" s="42" t="n">
        <f aca="false">'Aturan &amp; Tarif'!$B$6</f>
        <v>350</v>
      </c>
      <c r="M1100" s="35" t="n">
        <f aca="false">I1100+J1100+K1100+L1100</f>
        <v>23691.36</v>
      </c>
      <c r="N1100" s="45" t="s">
        <v>2665</v>
      </c>
    </row>
    <row r="1101" customFormat="false" ht="25.5" hidden="false" customHeight="true" outlineLevel="0" collapsed="false">
      <c r="A1101" s="39"/>
      <c r="B1101" s="40" t="s">
        <v>2694</v>
      </c>
      <c r="C1101" s="41" t="s">
        <v>107</v>
      </c>
      <c r="D1101" s="41" t="s">
        <v>108</v>
      </c>
      <c r="E1101" s="42" t="n">
        <v>9314</v>
      </c>
      <c r="F1101" s="42"/>
      <c r="G1101" s="42"/>
      <c r="H1101" s="43" t="n">
        <v>2</v>
      </c>
      <c r="I1101" s="34" t="n">
        <f aca="false">E1101*H1101+N(F1101)+N(G1101)</f>
        <v>18628</v>
      </c>
      <c r="J1101" s="42" t="n">
        <f aca="false">ROUND(IFERROR(ROUND(IF(OR(ISNUMBER(SEARCH("week",C1101)),ISNUMBER(SEARCH("minggu",C1101))),IFERROR(_xlfn.NUMBERVALUE(SUBSTITUTE(LEFT(TRIM(C1101),FIND(" ",TRIM(C1101)&amp;" ")-1),",","."),"."),LEFT(SUBSTITUTE(LEFT(TRIM(C1101),FIND(" ",TRIM(C1101)&amp;" ")-1),",","."),FIND("/",SUBSTITUTE(LEFT(TRIM(C1101),FIND(" ",TRIM(C1101)&amp;" ")-1),",","."))-1)/MID(SUBSTITUTE(LEFT(TRIM(C1101),FIND(" ",TRIM(C1101)&amp;" ")-1),",","."),FIND("/",SUBSTITUTE(LEFT(TRIM(C1101),FIND(" ",TRIM(C1101)&amp;" ")-1),",","."))+1,9))*12/52,IF(ISNUMBER(SEARCH("month",C1101)),IFERROR(_xlfn.NUMBERVALUE(SUBSTITUTE(LEFT(TRIM(C1101),FIND(" ",TRIM(C1101)&amp;" ")-1),",","."),"."),LEFT(SUBSTITUTE(LEFT(TRIM(C1101),FIND(" ",TRIM(C1101)&amp;" ")-1),",","."),FIND("/",SUBSTITUTE(LEFT(TRIM(C1101),FIND(" ",TRIM(C1101)&amp;" ")-1),",","."))-1)/MID(SUBSTITUTE(LEFT(TRIM(C1101),FIND(" ",TRIM(C1101)&amp;" ")-1),",","."),FIND("/",SUBSTITUTE(LEFT(TRIM(C1101),FIND(" ",TRIM(C1101)&amp;" ")-1),",","."))+1,9)),IF(ISNUMBER(SEARCH("yea",C1101)),IFERROR(_xlfn.NUMBERVALUE(SUBSTITUTE(LEFT(TRIM(C1101),FIND(" ",TRIM(C1101)&amp;" ")-1),",","."),"."),LEFT(SUBSTITUTE(LEFT(TRIM(C1101),FIND(" ",TRIM(C1101)&amp;" ")-1),",","."),FIND("/",SUBSTITUTE(LEFT(TRIM(C1101),FIND(" ",TRIM(C1101)&amp;" ")-1),",","."))-1)/MID(SUBSTITUTE(LEFT(TRIM(C1101),FIND(" ",TRIM(C1101)&amp;" ")-1),",","."),FIND("/",SUBSTITUTE(LEFT(TRIM(C1101),FIND(" ",TRIM(C1101)&amp;" ")-1),",","."))+1,9))*12,NA()))),0),24)*'Aturan &amp; Tarif'!$B$4,2)</f>
        <v>1362.72</v>
      </c>
      <c r="K1101" s="42" t="n">
        <f aca="false">'Aturan &amp; Tarif'!$B$5</f>
        <v>2050</v>
      </c>
      <c r="L1101" s="42" t="n">
        <f aca="false">'Aturan &amp; Tarif'!$B$6</f>
        <v>350</v>
      </c>
      <c r="M1101" s="35" t="n">
        <f aca="false">I1101+J1101+K1101+L1101</f>
        <v>22390.72</v>
      </c>
      <c r="N1101" s="45" t="s">
        <v>2665</v>
      </c>
    </row>
    <row r="1102" customFormat="false" ht="25.5" hidden="false" customHeight="true" outlineLevel="0" collapsed="false">
      <c r="A1102" s="39"/>
      <c r="B1102" s="40" t="s">
        <v>2695</v>
      </c>
      <c r="C1102" s="41" t="s">
        <v>130</v>
      </c>
      <c r="D1102" s="41" t="s">
        <v>108</v>
      </c>
      <c r="E1102" s="42" t="n">
        <v>9314</v>
      </c>
      <c r="F1102" s="42"/>
      <c r="G1102" s="42"/>
      <c r="H1102" s="43" t="n">
        <v>2</v>
      </c>
      <c r="I1102" s="34" t="n">
        <f aca="false">E1102*H1102+N(F1102)+N(G1102)</f>
        <v>18628</v>
      </c>
      <c r="J1102" s="42" t="n">
        <f aca="false">ROUND(IFERROR(ROUND(IF(OR(ISNUMBER(SEARCH("week",C1102)),ISNUMBER(SEARCH("minggu",C1102))),IFERROR(_xlfn.NUMBERVALUE(SUBSTITUTE(LEFT(TRIM(C1102),FIND(" ",TRIM(C1102)&amp;" ")-1),",","."),"."),LEFT(SUBSTITUTE(LEFT(TRIM(C1102),FIND(" ",TRIM(C1102)&amp;" ")-1),",","."),FIND("/",SUBSTITUTE(LEFT(TRIM(C1102),FIND(" ",TRIM(C1102)&amp;" ")-1),",","."))-1)/MID(SUBSTITUTE(LEFT(TRIM(C1102),FIND(" ",TRIM(C1102)&amp;" ")-1),",","."),FIND("/",SUBSTITUTE(LEFT(TRIM(C1102),FIND(" ",TRIM(C1102)&amp;" ")-1),",","."))+1,9))*12/52,IF(ISNUMBER(SEARCH("month",C1102)),IFERROR(_xlfn.NUMBERVALUE(SUBSTITUTE(LEFT(TRIM(C1102),FIND(" ",TRIM(C1102)&amp;" ")-1),",","."),"."),LEFT(SUBSTITUTE(LEFT(TRIM(C1102),FIND(" ",TRIM(C1102)&amp;" ")-1),",","."),FIND("/",SUBSTITUTE(LEFT(TRIM(C1102),FIND(" ",TRIM(C1102)&amp;" ")-1),",","."))-1)/MID(SUBSTITUTE(LEFT(TRIM(C1102),FIND(" ",TRIM(C1102)&amp;" ")-1),",","."),FIND("/",SUBSTITUTE(LEFT(TRIM(C1102),FIND(" ",TRIM(C1102)&amp;" ")-1),",","."))+1,9)),IF(ISNUMBER(SEARCH("yea",C1102)),IFERROR(_xlfn.NUMBERVALUE(SUBSTITUTE(LEFT(TRIM(C1102),FIND(" ",TRIM(C1102)&amp;" ")-1),",","."),"."),LEFT(SUBSTITUTE(LEFT(TRIM(C1102),FIND(" ",TRIM(C1102)&amp;" ")-1),",","."),FIND("/",SUBSTITUTE(LEFT(TRIM(C1102),FIND(" ",TRIM(C1102)&amp;" ")-1),",","."))-1)/MID(SUBSTITUTE(LEFT(TRIM(C1102),FIND(" ",TRIM(C1102)&amp;" ")-1),",","."),FIND("/",SUBSTITUTE(LEFT(TRIM(C1102),FIND(" ",TRIM(C1102)&amp;" ")-1),",","."))+1,9))*12,NA()))),0),12)*'Aturan &amp; Tarif'!$B$4,2)</f>
        <v>681.36</v>
      </c>
      <c r="K1102" s="42" t="n">
        <f aca="false">'Aturan &amp; Tarif'!$B$5</f>
        <v>2050</v>
      </c>
      <c r="L1102" s="42" t="n">
        <f aca="false">'Aturan &amp; Tarif'!$B$6</f>
        <v>350</v>
      </c>
      <c r="M1102" s="35" t="n">
        <f aca="false">I1102+J1102+K1102+L1102</f>
        <v>21709.36</v>
      </c>
      <c r="N1102" s="45" t="s">
        <v>2665</v>
      </c>
    </row>
    <row r="1103" customFormat="false" ht="25.5" hidden="false" customHeight="true" outlineLevel="0" collapsed="false">
      <c r="A1103" s="39"/>
      <c r="B1103" s="40" t="s">
        <v>2696</v>
      </c>
      <c r="C1103" s="41" t="s">
        <v>344</v>
      </c>
      <c r="D1103" s="41" t="s">
        <v>108</v>
      </c>
      <c r="E1103" s="42" t="n">
        <v>9314</v>
      </c>
      <c r="F1103" s="42"/>
      <c r="G1103" s="42"/>
      <c r="H1103" s="43" t="n">
        <v>2</v>
      </c>
      <c r="I1103" s="34" t="n">
        <f aca="false">E1103*H1103+N(F1103)+N(G1103)</f>
        <v>18628</v>
      </c>
      <c r="J1103" s="42" t="n">
        <f aca="false">ROUND(IFERROR(ROUND(IF(OR(ISNUMBER(SEARCH("week",C1103)),ISNUMBER(SEARCH("minggu",C1103))),IFERROR(_xlfn.NUMBERVALUE(SUBSTITUTE(LEFT(TRIM(C1103),FIND(" ",TRIM(C1103)&amp;" ")-1),",","."),"."),LEFT(SUBSTITUTE(LEFT(TRIM(C1103),FIND(" ",TRIM(C1103)&amp;" ")-1),",","."),FIND("/",SUBSTITUTE(LEFT(TRIM(C1103),FIND(" ",TRIM(C1103)&amp;" ")-1),",","."))-1)/MID(SUBSTITUTE(LEFT(TRIM(C1103),FIND(" ",TRIM(C1103)&amp;" ")-1),",","."),FIND("/",SUBSTITUTE(LEFT(TRIM(C1103),FIND(" ",TRIM(C1103)&amp;" ")-1),",","."))+1,9))*12/52,IF(ISNUMBER(SEARCH("month",C1103)),IFERROR(_xlfn.NUMBERVALUE(SUBSTITUTE(LEFT(TRIM(C1103),FIND(" ",TRIM(C1103)&amp;" ")-1),",","."),"."),LEFT(SUBSTITUTE(LEFT(TRIM(C1103),FIND(" ",TRIM(C1103)&amp;" ")-1),",","."),FIND("/",SUBSTITUTE(LEFT(TRIM(C1103),FIND(" ",TRIM(C1103)&amp;" ")-1),",","."))-1)/MID(SUBSTITUTE(LEFT(TRIM(C1103),FIND(" ",TRIM(C1103)&amp;" ")-1),",","."),FIND("/",SUBSTITUTE(LEFT(TRIM(C1103),FIND(" ",TRIM(C1103)&amp;" ")-1),",","."))+1,9)),IF(ISNUMBER(SEARCH("yea",C1103)),IFERROR(_xlfn.NUMBERVALUE(SUBSTITUTE(LEFT(TRIM(C1103),FIND(" ",TRIM(C1103)&amp;" ")-1),",","."),"."),LEFT(SUBSTITUTE(LEFT(TRIM(C1103),FIND(" ",TRIM(C1103)&amp;" ")-1),",","."),FIND("/",SUBSTITUTE(LEFT(TRIM(C1103),FIND(" ",TRIM(C1103)&amp;" ")-1),",","."))-1)/MID(SUBSTITUTE(LEFT(TRIM(C1103),FIND(" ",TRIM(C1103)&amp;" ")-1),",","."),FIND("/",SUBSTITUTE(LEFT(TRIM(C1103),FIND(" ",TRIM(C1103)&amp;" ")-1),",","."))+1,9))*12,NA()))),0),6)*'Aturan &amp; Tarif'!$B$4,2)</f>
        <v>340.68</v>
      </c>
      <c r="K1103" s="42" t="n">
        <f aca="false">'Aturan &amp; Tarif'!$B$5</f>
        <v>2050</v>
      </c>
      <c r="L1103" s="42" t="n">
        <f aca="false">'Aturan &amp; Tarif'!$B$6</f>
        <v>350</v>
      </c>
      <c r="M1103" s="35" t="n">
        <f aca="false">I1103+J1103+K1103+L1103</f>
        <v>21368.68</v>
      </c>
      <c r="N1103" s="45" t="s">
        <v>2665</v>
      </c>
    </row>
    <row r="1104" customFormat="false" ht="25.5" hidden="false" customHeight="true" outlineLevel="0" collapsed="false">
      <c r="A1104" s="39"/>
      <c r="B1104" s="40" t="s">
        <v>2697</v>
      </c>
      <c r="C1104" s="41" t="s">
        <v>107</v>
      </c>
      <c r="D1104" s="41" t="s">
        <v>108</v>
      </c>
      <c r="E1104" s="42" t="n">
        <v>9314</v>
      </c>
      <c r="F1104" s="42"/>
      <c r="G1104" s="42"/>
      <c r="H1104" s="43" t="n">
        <v>2</v>
      </c>
      <c r="I1104" s="34" t="n">
        <f aca="false">E1104*H1104+N(F1104)+N(G1104)</f>
        <v>18628</v>
      </c>
      <c r="J1104" s="42" t="n">
        <f aca="false">ROUND(IFERROR(ROUND(IF(OR(ISNUMBER(SEARCH("week",C1104)),ISNUMBER(SEARCH("minggu",C1104))),IFERROR(_xlfn.NUMBERVALUE(SUBSTITUTE(LEFT(TRIM(C1104),FIND(" ",TRIM(C1104)&amp;" ")-1),",","."),"."),LEFT(SUBSTITUTE(LEFT(TRIM(C1104),FIND(" ",TRIM(C1104)&amp;" ")-1),",","."),FIND("/",SUBSTITUTE(LEFT(TRIM(C1104),FIND(" ",TRIM(C1104)&amp;" ")-1),",","."))-1)/MID(SUBSTITUTE(LEFT(TRIM(C1104),FIND(" ",TRIM(C1104)&amp;" ")-1),",","."),FIND("/",SUBSTITUTE(LEFT(TRIM(C1104),FIND(" ",TRIM(C1104)&amp;" ")-1),",","."))+1,9))*12/52,IF(ISNUMBER(SEARCH("month",C1104)),IFERROR(_xlfn.NUMBERVALUE(SUBSTITUTE(LEFT(TRIM(C1104),FIND(" ",TRIM(C1104)&amp;" ")-1),",","."),"."),LEFT(SUBSTITUTE(LEFT(TRIM(C1104),FIND(" ",TRIM(C1104)&amp;" ")-1),",","."),FIND("/",SUBSTITUTE(LEFT(TRIM(C1104),FIND(" ",TRIM(C1104)&amp;" ")-1),",","."))-1)/MID(SUBSTITUTE(LEFT(TRIM(C1104),FIND(" ",TRIM(C1104)&amp;" ")-1),",","."),FIND("/",SUBSTITUTE(LEFT(TRIM(C1104),FIND(" ",TRIM(C1104)&amp;" ")-1),",","."))+1,9)),IF(ISNUMBER(SEARCH("yea",C1104)),IFERROR(_xlfn.NUMBERVALUE(SUBSTITUTE(LEFT(TRIM(C1104),FIND(" ",TRIM(C1104)&amp;" ")-1),",","."),"."),LEFT(SUBSTITUTE(LEFT(TRIM(C1104),FIND(" ",TRIM(C1104)&amp;" ")-1),",","."),FIND("/",SUBSTITUTE(LEFT(TRIM(C1104),FIND(" ",TRIM(C1104)&amp;" ")-1),",","."))-1)/MID(SUBSTITUTE(LEFT(TRIM(C1104),FIND(" ",TRIM(C1104)&amp;" ")-1),",","."),FIND("/",SUBSTITUTE(LEFT(TRIM(C1104),FIND(" ",TRIM(C1104)&amp;" ")-1),",","."))+1,9))*12,NA()))),0),24)*'Aturan &amp; Tarif'!$B$4,2)</f>
        <v>1362.72</v>
      </c>
      <c r="K1104" s="42" t="n">
        <f aca="false">'Aturan &amp; Tarif'!$B$5</f>
        <v>2050</v>
      </c>
      <c r="L1104" s="42" t="n">
        <f aca="false">'Aturan &amp; Tarif'!$B$6</f>
        <v>350</v>
      </c>
      <c r="M1104" s="35" t="n">
        <f aca="false">I1104+J1104+K1104+L1104</f>
        <v>22390.72</v>
      </c>
      <c r="N1104" s="45" t="s">
        <v>2665</v>
      </c>
    </row>
    <row r="1105" customFormat="false" ht="25.5" hidden="false" customHeight="true" outlineLevel="0" collapsed="false">
      <c r="A1105" s="39"/>
      <c r="B1105" s="40" t="s">
        <v>2698</v>
      </c>
      <c r="C1105" s="41" t="s">
        <v>130</v>
      </c>
      <c r="D1105" s="41" t="s">
        <v>108</v>
      </c>
      <c r="E1105" s="42" t="n">
        <v>9314</v>
      </c>
      <c r="F1105" s="42"/>
      <c r="G1105" s="42"/>
      <c r="H1105" s="43" t="n">
        <v>2</v>
      </c>
      <c r="I1105" s="34" t="n">
        <f aca="false">E1105*H1105+N(F1105)+N(G1105)</f>
        <v>18628</v>
      </c>
      <c r="J1105" s="42" t="n">
        <f aca="false">ROUND(IFERROR(ROUND(IF(OR(ISNUMBER(SEARCH("week",C1105)),ISNUMBER(SEARCH("minggu",C1105))),IFERROR(_xlfn.NUMBERVALUE(SUBSTITUTE(LEFT(TRIM(C1105),FIND(" ",TRIM(C1105)&amp;" ")-1),",","."),"."),LEFT(SUBSTITUTE(LEFT(TRIM(C1105),FIND(" ",TRIM(C1105)&amp;" ")-1),",","."),FIND("/",SUBSTITUTE(LEFT(TRIM(C1105),FIND(" ",TRIM(C1105)&amp;" ")-1),",","."))-1)/MID(SUBSTITUTE(LEFT(TRIM(C1105),FIND(" ",TRIM(C1105)&amp;" ")-1),",","."),FIND("/",SUBSTITUTE(LEFT(TRIM(C1105),FIND(" ",TRIM(C1105)&amp;" ")-1),",","."))+1,9))*12/52,IF(ISNUMBER(SEARCH("month",C1105)),IFERROR(_xlfn.NUMBERVALUE(SUBSTITUTE(LEFT(TRIM(C1105),FIND(" ",TRIM(C1105)&amp;" ")-1),",","."),"."),LEFT(SUBSTITUTE(LEFT(TRIM(C1105),FIND(" ",TRIM(C1105)&amp;" ")-1),",","."),FIND("/",SUBSTITUTE(LEFT(TRIM(C1105),FIND(" ",TRIM(C1105)&amp;" ")-1),",","."))-1)/MID(SUBSTITUTE(LEFT(TRIM(C1105),FIND(" ",TRIM(C1105)&amp;" ")-1),",","."),FIND("/",SUBSTITUTE(LEFT(TRIM(C1105),FIND(" ",TRIM(C1105)&amp;" ")-1),",","."))+1,9)),IF(ISNUMBER(SEARCH("yea",C1105)),IFERROR(_xlfn.NUMBERVALUE(SUBSTITUTE(LEFT(TRIM(C1105),FIND(" ",TRIM(C1105)&amp;" ")-1),",","."),"."),LEFT(SUBSTITUTE(LEFT(TRIM(C1105),FIND(" ",TRIM(C1105)&amp;" ")-1),",","."),FIND("/",SUBSTITUTE(LEFT(TRIM(C1105),FIND(" ",TRIM(C1105)&amp;" ")-1),",","."))-1)/MID(SUBSTITUTE(LEFT(TRIM(C1105),FIND(" ",TRIM(C1105)&amp;" ")-1),",","."),FIND("/",SUBSTITUTE(LEFT(TRIM(C1105),FIND(" ",TRIM(C1105)&amp;" ")-1),",","."))+1,9))*12,NA()))),0),12)*'Aturan &amp; Tarif'!$B$4,2)</f>
        <v>681.36</v>
      </c>
      <c r="K1105" s="42" t="n">
        <f aca="false">'Aturan &amp; Tarif'!$B$5</f>
        <v>2050</v>
      </c>
      <c r="L1105" s="42" t="n">
        <f aca="false">'Aturan &amp; Tarif'!$B$6</f>
        <v>350</v>
      </c>
      <c r="M1105" s="35" t="n">
        <f aca="false">I1105+J1105+K1105+L1105</f>
        <v>21709.36</v>
      </c>
      <c r="N1105" s="45" t="s">
        <v>2665</v>
      </c>
    </row>
    <row r="1106" customFormat="false" ht="25.5" hidden="false" customHeight="true" outlineLevel="0" collapsed="false">
      <c r="A1106" s="39"/>
      <c r="B1106" s="40" t="s">
        <v>2699</v>
      </c>
      <c r="C1106" s="41" t="s">
        <v>344</v>
      </c>
      <c r="D1106" s="41" t="s">
        <v>108</v>
      </c>
      <c r="E1106" s="42" t="n">
        <v>9314</v>
      </c>
      <c r="F1106" s="42"/>
      <c r="G1106" s="42"/>
      <c r="H1106" s="43" t="n">
        <v>2</v>
      </c>
      <c r="I1106" s="34" t="n">
        <f aca="false">E1106*H1106+N(F1106)+N(G1106)</f>
        <v>18628</v>
      </c>
      <c r="J1106" s="42" t="n">
        <f aca="false">ROUND(IFERROR(ROUND(IF(OR(ISNUMBER(SEARCH("week",C1106)),ISNUMBER(SEARCH("minggu",C1106))),IFERROR(_xlfn.NUMBERVALUE(SUBSTITUTE(LEFT(TRIM(C1106),FIND(" ",TRIM(C1106)&amp;" ")-1),",","."),"."),LEFT(SUBSTITUTE(LEFT(TRIM(C1106),FIND(" ",TRIM(C1106)&amp;" ")-1),",","."),FIND("/",SUBSTITUTE(LEFT(TRIM(C1106),FIND(" ",TRIM(C1106)&amp;" ")-1),",","."))-1)/MID(SUBSTITUTE(LEFT(TRIM(C1106),FIND(" ",TRIM(C1106)&amp;" ")-1),",","."),FIND("/",SUBSTITUTE(LEFT(TRIM(C1106),FIND(" ",TRIM(C1106)&amp;" ")-1),",","."))+1,9))*12/52,IF(ISNUMBER(SEARCH("month",C1106)),IFERROR(_xlfn.NUMBERVALUE(SUBSTITUTE(LEFT(TRIM(C1106),FIND(" ",TRIM(C1106)&amp;" ")-1),",","."),"."),LEFT(SUBSTITUTE(LEFT(TRIM(C1106),FIND(" ",TRIM(C1106)&amp;" ")-1),",","."),FIND("/",SUBSTITUTE(LEFT(TRIM(C1106),FIND(" ",TRIM(C1106)&amp;" ")-1),",","."))-1)/MID(SUBSTITUTE(LEFT(TRIM(C1106),FIND(" ",TRIM(C1106)&amp;" ")-1),",","."),FIND("/",SUBSTITUTE(LEFT(TRIM(C1106),FIND(" ",TRIM(C1106)&amp;" ")-1),",","."))+1,9)),IF(ISNUMBER(SEARCH("yea",C1106)),IFERROR(_xlfn.NUMBERVALUE(SUBSTITUTE(LEFT(TRIM(C1106),FIND(" ",TRIM(C1106)&amp;" ")-1),",","."),"."),LEFT(SUBSTITUTE(LEFT(TRIM(C1106),FIND(" ",TRIM(C1106)&amp;" ")-1),",","."),FIND("/",SUBSTITUTE(LEFT(TRIM(C1106),FIND(" ",TRIM(C1106)&amp;" ")-1),",","."))-1)/MID(SUBSTITUTE(LEFT(TRIM(C1106),FIND(" ",TRIM(C1106)&amp;" ")-1),",","."),FIND("/",SUBSTITUTE(LEFT(TRIM(C1106),FIND(" ",TRIM(C1106)&amp;" ")-1),",","."))+1,9))*12,NA()))),0),6)*'Aturan &amp; Tarif'!$B$4,2)</f>
        <v>340.68</v>
      </c>
      <c r="K1106" s="42" t="n">
        <f aca="false">'Aturan &amp; Tarif'!$B$5</f>
        <v>2050</v>
      </c>
      <c r="L1106" s="42" t="n">
        <f aca="false">'Aturan &amp; Tarif'!$B$6</f>
        <v>350</v>
      </c>
      <c r="M1106" s="35" t="n">
        <f aca="false">I1106+J1106+K1106+L1106</f>
        <v>21368.68</v>
      </c>
      <c r="N1106" s="45" t="s">
        <v>2665</v>
      </c>
    </row>
    <row r="1107" customFormat="false" ht="25.5" hidden="false" customHeight="true" outlineLevel="0" collapsed="false">
      <c r="A1107" s="39"/>
      <c r="B1107" s="40" t="s">
        <v>2700</v>
      </c>
      <c r="C1107" s="41" t="s">
        <v>107</v>
      </c>
      <c r="D1107" s="41" t="s">
        <v>108</v>
      </c>
      <c r="E1107" s="42" t="n">
        <v>8694</v>
      </c>
      <c r="F1107" s="42"/>
      <c r="G1107" s="42"/>
      <c r="H1107" s="43" t="n">
        <v>2</v>
      </c>
      <c r="I1107" s="34" t="n">
        <f aca="false">E1107*H1107+N(F1107)+N(G1107)</f>
        <v>17388</v>
      </c>
      <c r="J1107" s="42" t="n">
        <f aca="false">ROUND(IFERROR(ROUND(IF(OR(ISNUMBER(SEARCH("week",C1107)),ISNUMBER(SEARCH("minggu",C1107))),IFERROR(_xlfn.NUMBERVALUE(SUBSTITUTE(LEFT(TRIM(C1107),FIND(" ",TRIM(C1107)&amp;" ")-1),",","."),"."),LEFT(SUBSTITUTE(LEFT(TRIM(C1107),FIND(" ",TRIM(C1107)&amp;" ")-1),",","."),FIND("/",SUBSTITUTE(LEFT(TRIM(C1107),FIND(" ",TRIM(C1107)&amp;" ")-1),",","."))-1)/MID(SUBSTITUTE(LEFT(TRIM(C1107),FIND(" ",TRIM(C1107)&amp;" ")-1),",","."),FIND("/",SUBSTITUTE(LEFT(TRIM(C1107),FIND(" ",TRIM(C1107)&amp;" ")-1),",","."))+1,9))*12/52,IF(ISNUMBER(SEARCH("month",C1107)),IFERROR(_xlfn.NUMBERVALUE(SUBSTITUTE(LEFT(TRIM(C1107),FIND(" ",TRIM(C1107)&amp;" ")-1),",","."),"."),LEFT(SUBSTITUTE(LEFT(TRIM(C1107),FIND(" ",TRIM(C1107)&amp;" ")-1),",","."),FIND("/",SUBSTITUTE(LEFT(TRIM(C1107),FIND(" ",TRIM(C1107)&amp;" ")-1),",","."))-1)/MID(SUBSTITUTE(LEFT(TRIM(C1107),FIND(" ",TRIM(C1107)&amp;" ")-1),",","."),FIND("/",SUBSTITUTE(LEFT(TRIM(C1107),FIND(" ",TRIM(C1107)&amp;" ")-1),",","."))+1,9)),IF(ISNUMBER(SEARCH("yea",C1107)),IFERROR(_xlfn.NUMBERVALUE(SUBSTITUTE(LEFT(TRIM(C1107),FIND(" ",TRIM(C1107)&amp;" ")-1),",","."),"."),LEFT(SUBSTITUTE(LEFT(TRIM(C1107),FIND(" ",TRIM(C1107)&amp;" ")-1),",","."),FIND("/",SUBSTITUTE(LEFT(TRIM(C1107),FIND(" ",TRIM(C1107)&amp;" ")-1),",","."))-1)/MID(SUBSTITUTE(LEFT(TRIM(C1107),FIND(" ",TRIM(C1107)&amp;" ")-1),",","."),FIND("/",SUBSTITUTE(LEFT(TRIM(C1107),FIND(" ",TRIM(C1107)&amp;" ")-1),",","."))+1,9))*12,NA()))),0),24)*'Aturan &amp; Tarif'!$B$4,2)</f>
        <v>1362.72</v>
      </c>
      <c r="K1107" s="42" t="n">
        <f aca="false">'Aturan &amp; Tarif'!$B$5</f>
        <v>2050</v>
      </c>
      <c r="L1107" s="42" t="n">
        <f aca="false">'Aturan &amp; Tarif'!$B$6</f>
        <v>350</v>
      </c>
      <c r="M1107" s="35" t="n">
        <f aca="false">I1107+J1107+K1107+L1107</f>
        <v>21150.72</v>
      </c>
      <c r="N1107" s="45" t="s">
        <v>2665</v>
      </c>
    </row>
    <row r="1108" customFormat="false" ht="25.5" hidden="false" customHeight="true" outlineLevel="0" collapsed="false">
      <c r="A1108" s="39"/>
      <c r="B1108" s="40" t="s">
        <v>2701</v>
      </c>
      <c r="C1108" s="41" t="s">
        <v>130</v>
      </c>
      <c r="D1108" s="41" t="s">
        <v>108</v>
      </c>
      <c r="E1108" s="42" t="n">
        <v>9314</v>
      </c>
      <c r="F1108" s="42"/>
      <c r="G1108" s="42"/>
      <c r="H1108" s="43" t="n">
        <v>2</v>
      </c>
      <c r="I1108" s="34" t="n">
        <f aca="false">E1108*H1108+N(F1108)+N(G1108)</f>
        <v>18628</v>
      </c>
      <c r="J1108" s="42" t="n">
        <f aca="false">ROUND(IFERROR(ROUND(IF(OR(ISNUMBER(SEARCH("week",C1108)),ISNUMBER(SEARCH("minggu",C1108))),IFERROR(_xlfn.NUMBERVALUE(SUBSTITUTE(LEFT(TRIM(C1108),FIND(" ",TRIM(C1108)&amp;" ")-1),",","."),"."),LEFT(SUBSTITUTE(LEFT(TRIM(C1108),FIND(" ",TRIM(C1108)&amp;" ")-1),",","."),FIND("/",SUBSTITUTE(LEFT(TRIM(C1108),FIND(" ",TRIM(C1108)&amp;" ")-1),",","."))-1)/MID(SUBSTITUTE(LEFT(TRIM(C1108),FIND(" ",TRIM(C1108)&amp;" ")-1),",","."),FIND("/",SUBSTITUTE(LEFT(TRIM(C1108),FIND(" ",TRIM(C1108)&amp;" ")-1),",","."))+1,9))*12/52,IF(ISNUMBER(SEARCH("month",C1108)),IFERROR(_xlfn.NUMBERVALUE(SUBSTITUTE(LEFT(TRIM(C1108),FIND(" ",TRIM(C1108)&amp;" ")-1),",","."),"."),LEFT(SUBSTITUTE(LEFT(TRIM(C1108),FIND(" ",TRIM(C1108)&amp;" ")-1),",","."),FIND("/",SUBSTITUTE(LEFT(TRIM(C1108),FIND(" ",TRIM(C1108)&amp;" ")-1),",","."))-1)/MID(SUBSTITUTE(LEFT(TRIM(C1108),FIND(" ",TRIM(C1108)&amp;" ")-1),",","."),FIND("/",SUBSTITUTE(LEFT(TRIM(C1108),FIND(" ",TRIM(C1108)&amp;" ")-1),",","."))+1,9)),IF(ISNUMBER(SEARCH("yea",C1108)),IFERROR(_xlfn.NUMBERVALUE(SUBSTITUTE(LEFT(TRIM(C1108),FIND(" ",TRIM(C1108)&amp;" ")-1),",","."),"."),LEFT(SUBSTITUTE(LEFT(TRIM(C1108),FIND(" ",TRIM(C1108)&amp;" ")-1),",","."),FIND("/",SUBSTITUTE(LEFT(TRIM(C1108),FIND(" ",TRIM(C1108)&amp;" ")-1),",","."))-1)/MID(SUBSTITUTE(LEFT(TRIM(C1108),FIND(" ",TRIM(C1108)&amp;" ")-1),",","."),FIND("/",SUBSTITUTE(LEFT(TRIM(C1108),FIND(" ",TRIM(C1108)&amp;" ")-1),",","."))+1,9))*12,NA()))),0),12)*'Aturan &amp; Tarif'!$B$4,2)</f>
        <v>681.36</v>
      </c>
      <c r="K1108" s="42" t="n">
        <f aca="false">'Aturan &amp; Tarif'!$B$5</f>
        <v>2050</v>
      </c>
      <c r="L1108" s="42" t="n">
        <f aca="false">'Aturan &amp; Tarif'!$B$6</f>
        <v>350</v>
      </c>
      <c r="M1108" s="35" t="n">
        <f aca="false">I1108+J1108+K1108+L1108</f>
        <v>21709.36</v>
      </c>
      <c r="N1108" s="45" t="s">
        <v>2665</v>
      </c>
    </row>
    <row r="1109" customFormat="false" ht="14.25" hidden="false" customHeight="true" outlineLevel="0" collapsed="false">
      <c r="A1109" s="39"/>
      <c r="B1109" s="40" t="s">
        <v>2702</v>
      </c>
      <c r="C1109" s="41" t="s">
        <v>130</v>
      </c>
      <c r="D1109" s="41" t="s">
        <v>108</v>
      </c>
      <c r="E1109" s="42" t="n">
        <v>9314</v>
      </c>
      <c r="F1109" s="42"/>
      <c r="G1109" s="42"/>
      <c r="H1109" s="43" t="n">
        <v>2</v>
      </c>
      <c r="I1109" s="34" t="n">
        <f aca="false">E1109*H1109+N(F1109)+N(G1109)</f>
        <v>18628</v>
      </c>
      <c r="J1109" s="42" t="n">
        <f aca="false">ROUND(IFERROR(ROUND(IF(OR(ISNUMBER(SEARCH("week",C1109)),ISNUMBER(SEARCH("minggu",C1109))),IFERROR(_xlfn.NUMBERVALUE(SUBSTITUTE(LEFT(TRIM(C1109),FIND(" ",TRIM(C1109)&amp;" ")-1),",","."),"."),LEFT(SUBSTITUTE(LEFT(TRIM(C1109),FIND(" ",TRIM(C1109)&amp;" ")-1),",","."),FIND("/",SUBSTITUTE(LEFT(TRIM(C1109),FIND(" ",TRIM(C1109)&amp;" ")-1),",","."))-1)/MID(SUBSTITUTE(LEFT(TRIM(C1109),FIND(" ",TRIM(C1109)&amp;" ")-1),",","."),FIND("/",SUBSTITUTE(LEFT(TRIM(C1109),FIND(" ",TRIM(C1109)&amp;" ")-1),",","."))+1,9))*12/52,IF(ISNUMBER(SEARCH("month",C1109)),IFERROR(_xlfn.NUMBERVALUE(SUBSTITUTE(LEFT(TRIM(C1109),FIND(" ",TRIM(C1109)&amp;" ")-1),",","."),"."),LEFT(SUBSTITUTE(LEFT(TRIM(C1109),FIND(" ",TRIM(C1109)&amp;" ")-1),",","."),FIND("/",SUBSTITUTE(LEFT(TRIM(C1109),FIND(" ",TRIM(C1109)&amp;" ")-1),",","."))-1)/MID(SUBSTITUTE(LEFT(TRIM(C1109),FIND(" ",TRIM(C1109)&amp;" ")-1),",","."),FIND("/",SUBSTITUTE(LEFT(TRIM(C1109),FIND(" ",TRIM(C1109)&amp;" ")-1),",","."))+1,9)),IF(ISNUMBER(SEARCH("yea",C1109)),IFERROR(_xlfn.NUMBERVALUE(SUBSTITUTE(LEFT(TRIM(C1109),FIND(" ",TRIM(C1109)&amp;" ")-1),",","."),"."),LEFT(SUBSTITUTE(LEFT(TRIM(C1109),FIND(" ",TRIM(C1109)&amp;" ")-1),",","."),FIND("/",SUBSTITUTE(LEFT(TRIM(C1109),FIND(" ",TRIM(C1109)&amp;" ")-1),",","."))-1)/MID(SUBSTITUTE(LEFT(TRIM(C1109),FIND(" ",TRIM(C1109)&amp;" ")-1),",","."),FIND("/",SUBSTITUTE(LEFT(TRIM(C1109),FIND(" ",TRIM(C1109)&amp;" ")-1),",","."))+1,9))*12,NA()))),0),12)*'Aturan &amp; Tarif'!$B$4,2)</f>
        <v>681.36</v>
      </c>
      <c r="K1109" s="42" t="n">
        <f aca="false">'Aturan &amp; Tarif'!$B$5</f>
        <v>2050</v>
      </c>
      <c r="L1109" s="42" t="n">
        <f aca="false">'Aturan &amp; Tarif'!$B$6</f>
        <v>350</v>
      </c>
      <c r="M1109" s="35" t="n">
        <f aca="false">I1109+J1109+K1109+L1109</f>
        <v>21709.36</v>
      </c>
      <c r="N1109" s="45" t="s">
        <v>2665</v>
      </c>
    </row>
    <row r="1110" customFormat="false" ht="25.5" hidden="false" customHeight="true" outlineLevel="0" collapsed="false">
      <c r="A1110" s="39"/>
      <c r="B1110" s="40" t="s">
        <v>2703</v>
      </c>
      <c r="C1110" s="41" t="s">
        <v>130</v>
      </c>
      <c r="D1110" s="41" t="s">
        <v>108</v>
      </c>
      <c r="E1110" s="42" t="n">
        <v>9314</v>
      </c>
      <c r="F1110" s="42"/>
      <c r="G1110" s="42"/>
      <c r="H1110" s="43" t="n">
        <v>2</v>
      </c>
      <c r="I1110" s="34" t="n">
        <f aca="false">E1110*H1110+N(F1110)+N(G1110)</f>
        <v>18628</v>
      </c>
      <c r="J1110" s="42" t="n">
        <f aca="false">ROUND(IFERROR(ROUND(IF(OR(ISNUMBER(SEARCH("week",C1110)),ISNUMBER(SEARCH("minggu",C1110))),IFERROR(_xlfn.NUMBERVALUE(SUBSTITUTE(LEFT(TRIM(C1110),FIND(" ",TRIM(C1110)&amp;" ")-1),",","."),"."),LEFT(SUBSTITUTE(LEFT(TRIM(C1110),FIND(" ",TRIM(C1110)&amp;" ")-1),",","."),FIND("/",SUBSTITUTE(LEFT(TRIM(C1110),FIND(" ",TRIM(C1110)&amp;" ")-1),",","."))-1)/MID(SUBSTITUTE(LEFT(TRIM(C1110),FIND(" ",TRIM(C1110)&amp;" ")-1),",","."),FIND("/",SUBSTITUTE(LEFT(TRIM(C1110),FIND(" ",TRIM(C1110)&amp;" ")-1),",","."))+1,9))*12/52,IF(ISNUMBER(SEARCH("month",C1110)),IFERROR(_xlfn.NUMBERVALUE(SUBSTITUTE(LEFT(TRIM(C1110),FIND(" ",TRIM(C1110)&amp;" ")-1),",","."),"."),LEFT(SUBSTITUTE(LEFT(TRIM(C1110),FIND(" ",TRIM(C1110)&amp;" ")-1),",","."),FIND("/",SUBSTITUTE(LEFT(TRIM(C1110),FIND(" ",TRIM(C1110)&amp;" ")-1),",","."))-1)/MID(SUBSTITUTE(LEFT(TRIM(C1110),FIND(" ",TRIM(C1110)&amp;" ")-1),",","."),FIND("/",SUBSTITUTE(LEFT(TRIM(C1110),FIND(" ",TRIM(C1110)&amp;" ")-1),",","."))+1,9)),IF(ISNUMBER(SEARCH("yea",C1110)),IFERROR(_xlfn.NUMBERVALUE(SUBSTITUTE(LEFT(TRIM(C1110),FIND(" ",TRIM(C1110)&amp;" ")-1),",","."),"."),LEFT(SUBSTITUTE(LEFT(TRIM(C1110),FIND(" ",TRIM(C1110)&amp;" ")-1),",","."),FIND("/",SUBSTITUTE(LEFT(TRIM(C1110),FIND(" ",TRIM(C1110)&amp;" ")-1),",","."))-1)/MID(SUBSTITUTE(LEFT(TRIM(C1110),FIND(" ",TRIM(C1110)&amp;" ")-1),",","."),FIND("/",SUBSTITUTE(LEFT(TRIM(C1110),FIND(" ",TRIM(C1110)&amp;" ")-1),",","."))+1,9))*12,NA()))),0),12)*'Aturan &amp; Tarif'!$B$4,2)</f>
        <v>681.36</v>
      </c>
      <c r="K1110" s="42" t="n">
        <f aca="false">'Aturan &amp; Tarif'!$B$5</f>
        <v>2050</v>
      </c>
      <c r="L1110" s="42" t="n">
        <f aca="false">'Aturan &amp; Tarif'!$B$6</f>
        <v>350</v>
      </c>
      <c r="M1110" s="35" t="n">
        <f aca="false">I1110+J1110+K1110+L1110</f>
        <v>21709.36</v>
      </c>
      <c r="N1110" s="45" t="s">
        <v>2665</v>
      </c>
    </row>
    <row r="1111" customFormat="false" ht="25.5" hidden="false" customHeight="true" outlineLevel="0" collapsed="false">
      <c r="A1111" s="39"/>
      <c r="B1111" s="40" t="s">
        <v>2704</v>
      </c>
      <c r="C1111" s="41" t="s">
        <v>130</v>
      </c>
      <c r="D1111" s="41" t="s">
        <v>108</v>
      </c>
      <c r="E1111" s="42" t="n">
        <v>9314</v>
      </c>
      <c r="F1111" s="42"/>
      <c r="G1111" s="42"/>
      <c r="H1111" s="43" t="n">
        <v>2</v>
      </c>
      <c r="I1111" s="34" t="n">
        <f aca="false">E1111*H1111+N(F1111)+N(G1111)</f>
        <v>18628</v>
      </c>
      <c r="J1111" s="42" t="n">
        <f aca="false">ROUND(IFERROR(ROUND(IF(OR(ISNUMBER(SEARCH("week",C1111)),ISNUMBER(SEARCH("minggu",C1111))),IFERROR(_xlfn.NUMBERVALUE(SUBSTITUTE(LEFT(TRIM(C1111),FIND(" ",TRIM(C1111)&amp;" ")-1),",","."),"."),LEFT(SUBSTITUTE(LEFT(TRIM(C1111),FIND(" ",TRIM(C1111)&amp;" ")-1),",","."),FIND("/",SUBSTITUTE(LEFT(TRIM(C1111),FIND(" ",TRIM(C1111)&amp;" ")-1),",","."))-1)/MID(SUBSTITUTE(LEFT(TRIM(C1111),FIND(" ",TRIM(C1111)&amp;" ")-1),",","."),FIND("/",SUBSTITUTE(LEFT(TRIM(C1111),FIND(" ",TRIM(C1111)&amp;" ")-1),",","."))+1,9))*12/52,IF(ISNUMBER(SEARCH("month",C1111)),IFERROR(_xlfn.NUMBERVALUE(SUBSTITUTE(LEFT(TRIM(C1111),FIND(" ",TRIM(C1111)&amp;" ")-1),",","."),"."),LEFT(SUBSTITUTE(LEFT(TRIM(C1111),FIND(" ",TRIM(C1111)&amp;" ")-1),",","."),FIND("/",SUBSTITUTE(LEFT(TRIM(C1111),FIND(" ",TRIM(C1111)&amp;" ")-1),",","."))-1)/MID(SUBSTITUTE(LEFT(TRIM(C1111),FIND(" ",TRIM(C1111)&amp;" ")-1),",","."),FIND("/",SUBSTITUTE(LEFT(TRIM(C1111),FIND(" ",TRIM(C1111)&amp;" ")-1),",","."))+1,9)),IF(ISNUMBER(SEARCH("yea",C1111)),IFERROR(_xlfn.NUMBERVALUE(SUBSTITUTE(LEFT(TRIM(C1111),FIND(" ",TRIM(C1111)&amp;" ")-1),",","."),"."),LEFT(SUBSTITUTE(LEFT(TRIM(C1111),FIND(" ",TRIM(C1111)&amp;" ")-1),",","."),FIND("/",SUBSTITUTE(LEFT(TRIM(C1111),FIND(" ",TRIM(C1111)&amp;" ")-1),",","."))-1)/MID(SUBSTITUTE(LEFT(TRIM(C1111),FIND(" ",TRIM(C1111)&amp;" ")-1),",","."),FIND("/",SUBSTITUTE(LEFT(TRIM(C1111),FIND(" ",TRIM(C1111)&amp;" ")-1),",","."))+1,9))*12,NA()))),0),12)*'Aturan &amp; Tarif'!$B$4,2)</f>
        <v>681.36</v>
      </c>
      <c r="K1111" s="42" t="n">
        <f aca="false">'Aturan &amp; Tarif'!$B$5</f>
        <v>2050</v>
      </c>
      <c r="L1111" s="42" t="n">
        <f aca="false">'Aturan &amp; Tarif'!$B$6</f>
        <v>350</v>
      </c>
      <c r="M1111" s="35" t="n">
        <f aca="false">I1111+J1111+K1111+L1111</f>
        <v>21709.36</v>
      </c>
      <c r="N1111" s="45" t="s">
        <v>2665</v>
      </c>
    </row>
    <row r="1112" customFormat="false" ht="25.5" hidden="false" customHeight="true" outlineLevel="0" collapsed="false">
      <c r="A1112" s="39"/>
      <c r="B1112" s="40" t="s">
        <v>2705</v>
      </c>
      <c r="C1112" s="41" t="s">
        <v>130</v>
      </c>
      <c r="D1112" s="41" t="s">
        <v>108</v>
      </c>
      <c r="E1112" s="42" t="n">
        <v>9835</v>
      </c>
      <c r="F1112" s="42"/>
      <c r="G1112" s="42"/>
      <c r="H1112" s="43" t="n">
        <v>2</v>
      </c>
      <c r="I1112" s="34" t="n">
        <f aca="false">E1112*H1112+N(F1112)+N(G1112)</f>
        <v>19670</v>
      </c>
      <c r="J1112" s="42" t="n">
        <f aca="false">ROUND(IFERROR(ROUND(IF(OR(ISNUMBER(SEARCH("week",C1112)),ISNUMBER(SEARCH("minggu",C1112))),IFERROR(_xlfn.NUMBERVALUE(SUBSTITUTE(LEFT(TRIM(C1112),FIND(" ",TRIM(C1112)&amp;" ")-1),",","."),"."),LEFT(SUBSTITUTE(LEFT(TRIM(C1112),FIND(" ",TRIM(C1112)&amp;" ")-1),",","."),FIND("/",SUBSTITUTE(LEFT(TRIM(C1112),FIND(" ",TRIM(C1112)&amp;" ")-1),",","."))-1)/MID(SUBSTITUTE(LEFT(TRIM(C1112),FIND(" ",TRIM(C1112)&amp;" ")-1),",","."),FIND("/",SUBSTITUTE(LEFT(TRIM(C1112),FIND(" ",TRIM(C1112)&amp;" ")-1),",","."))+1,9))*12/52,IF(ISNUMBER(SEARCH("month",C1112)),IFERROR(_xlfn.NUMBERVALUE(SUBSTITUTE(LEFT(TRIM(C1112),FIND(" ",TRIM(C1112)&amp;" ")-1),",","."),"."),LEFT(SUBSTITUTE(LEFT(TRIM(C1112),FIND(" ",TRIM(C1112)&amp;" ")-1),",","."),FIND("/",SUBSTITUTE(LEFT(TRIM(C1112),FIND(" ",TRIM(C1112)&amp;" ")-1),",","."))-1)/MID(SUBSTITUTE(LEFT(TRIM(C1112),FIND(" ",TRIM(C1112)&amp;" ")-1),",","."),FIND("/",SUBSTITUTE(LEFT(TRIM(C1112),FIND(" ",TRIM(C1112)&amp;" ")-1),",","."))+1,9)),IF(ISNUMBER(SEARCH("yea",C1112)),IFERROR(_xlfn.NUMBERVALUE(SUBSTITUTE(LEFT(TRIM(C1112),FIND(" ",TRIM(C1112)&amp;" ")-1),",","."),"."),LEFT(SUBSTITUTE(LEFT(TRIM(C1112),FIND(" ",TRIM(C1112)&amp;" ")-1),",","."),FIND("/",SUBSTITUTE(LEFT(TRIM(C1112),FIND(" ",TRIM(C1112)&amp;" ")-1),",","."))-1)/MID(SUBSTITUTE(LEFT(TRIM(C1112),FIND(" ",TRIM(C1112)&amp;" ")-1),",","."),FIND("/",SUBSTITUTE(LEFT(TRIM(C1112),FIND(" ",TRIM(C1112)&amp;" ")-1),",","."))+1,9))*12,NA()))),0),12)*'Aturan &amp; Tarif'!$B$4,2)</f>
        <v>681.36</v>
      </c>
      <c r="K1112" s="42" t="n">
        <f aca="false">'Aturan &amp; Tarif'!$B$5</f>
        <v>2050</v>
      </c>
      <c r="L1112" s="42" t="n">
        <f aca="false">'Aturan &amp; Tarif'!$B$6</f>
        <v>350</v>
      </c>
      <c r="M1112" s="35" t="n">
        <f aca="false">I1112+J1112+K1112+L1112</f>
        <v>22751.36</v>
      </c>
      <c r="N1112" s="45" t="s">
        <v>2665</v>
      </c>
    </row>
    <row r="1113" customFormat="false" ht="25.5" hidden="false" customHeight="true" outlineLevel="0" collapsed="false">
      <c r="A1113" s="39"/>
      <c r="B1113" s="40" t="s">
        <v>2706</v>
      </c>
      <c r="C1113" s="41" t="s">
        <v>113</v>
      </c>
      <c r="D1113" s="41" t="s">
        <v>108</v>
      </c>
      <c r="E1113" s="42" t="n">
        <v>9835</v>
      </c>
      <c r="F1113" s="42"/>
      <c r="G1113" s="42"/>
      <c r="H1113" s="43" t="n">
        <v>2</v>
      </c>
      <c r="I1113" s="34" t="n">
        <f aca="false">E1113*H1113+N(F1113)+N(G1113)</f>
        <v>19670</v>
      </c>
      <c r="J1113" s="42" t="n">
        <f aca="false">ROUND(IFERROR(ROUND(IF(OR(ISNUMBER(SEARCH("week",C1113)),ISNUMBER(SEARCH("minggu",C1113))),IFERROR(_xlfn.NUMBERVALUE(SUBSTITUTE(LEFT(TRIM(C1113),FIND(" ",TRIM(C1113)&amp;" ")-1),",","."),"."),LEFT(SUBSTITUTE(LEFT(TRIM(C1113),FIND(" ",TRIM(C1113)&amp;" ")-1),",","."),FIND("/",SUBSTITUTE(LEFT(TRIM(C1113),FIND(" ",TRIM(C1113)&amp;" ")-1),",","."))-1)/MID(SUBSTITUTE(LEFT(TRIM(C1113),FIND(" ",TRIM(C1113)&amp;" ")-1),",","."),FIND("/",SUBSTITUTE(LEFT(TRIM(C1113),FIND(" ",TRIM(C1113)&amp;" ")-1),",","."))+1,9))*12/52,IF(ISNUMBER(SEARCH("month",C1113)),IFERROR(_xlfn.NUMBERVALUE(SUBSTITUTE(LEFT(TRIM(C1113),FIND(" ",TRIM(C1113)&amp;" ")-1),",","."),"."),LEFT(SUBSTITUTE(LEFT(TRIM(C1113),FIND(" ",TRIM(C1113)&amp;" ")-1),",","."),FIND("/",SUBSTITUTE(LEFT(TRIM(C1113),FIND(" ",TRIM(C1113)&amp;" ")-1),",","."))-1)/MID(SUBSTITUTE(LEFT(TRIM(C1113),FIND(" ",TRIM(C1113)&amp;" ")-1),",","."),FIND("/",SUBSTITUTE(LEFT(TRIM(C1113),FIND(" ",TRIM(C1113)&amp;" ")-1),",","."))+1,9)),IF(ISNUMBER(SEARCH("yea",C1113)),IFERROR(_xlfn.NUMBERVALUE(SUBSTITUTE(LEFT(TRIM(C1113),FIND(" ",TRIM(C1113)&amp;" ")-1),",","."),"."),LEFT(SUBSTITUTE(LEFT(TRIM(C1113),FIND(" ",TRIM(C1113)&amp;" ")-1),",","."),FIND("/",SUBSTITUTE(LEFT(TRIM(C1113),FIND(" ",TRIM(C1113)&amp;" ")-1),",","."))-1)/MID(SUBSTITUTE(LEFT(TRIM(C1113),FIND(" ",TRIM(C1113)&amp;" ")-1),",","."),FIND("/",SUBSTITUTE(LEFT(TRIM(C1113),FIND(" ",TRIM(C1113)&amp;" ")-1),",","."))+1,9))*12,NA()))),0),18)*'Aturan &amp; Tarif'!$B$4,2)</f>
        <v>1022.04</v>
      </c>
      <c r="K1113" s="42" t="n">
        <f aca="false">'Aturan &amp; Tarif'!$B$5</f>
        <v>2050</v>
      </c>
      <c r="L1113" s="42" t="n">
        <f aca="false">'Aturan &amp; Tarif'!$B$6</f>
        <v>350</v>
      </c>
      <c r="M1113" s="35" t="n">
        <f aca="false">I1113+J1113+K1113+L1113</f>
        <v>23092.04</v>
      </c>
      <c r="N1113" s="45" t="s">
        <v>2665</v>
      </c>
    </row>
    <row r="1114" customFormat="false" ht="60" hidden="false" customHeight="true" outlineLevel="0" collapsed="false">
      <c r="A1114" s="39"/>
      <c r="B1114" s="40" t="s">
        <v>2707</v>
      </c>
      <c r="C1114" s="41" t="s">
        <v>107</v>
      </c>
      <c r="D1114" s="41" t="s">
        <v>108</v>
      </c>
      <c r="E1114" s="42" t="n">
        <v>9835</v>
      </c>
      <c r="F1114" s="42"/>
      <c r="G1114" s="42"/>
      <c r="H1114" s="43" t="n">
        <v>2</v>
      </c>
      <c r="I1114" s="34" t="n">
        <f aca="false">E1114*H1114+N(F1114)+N(G1114)</f>
        <v>19670</v>
      </c>
      <c r="J1114" s="42" t="n">
        <f aca="false">ROUND(IFERROR(ROUND(IF(OR(ISNUMBER(SEARCH("week",C1114)),ISNUMBER(SEARCH("minggu",C1114))),IFERROR(_xlfn.NUMBERVALUE(SUBSTITUTE(LEFT(TRIM(C1114),FIND(" ",TRIM(C1114)&amp;" ")-1),",","."),"."),LEFT(SUBSTITUTE(LEFT(TRIM(C1114),FIND(" ",TRIM(C1114)&amp;" ")-1),",","."),FIND("/",SUBSTITUTE(LEFT(TRIM(C1114),FIND(" ",TRIM(C1114)&amp;" ")-1),",","."))-1)/MID(SUBSTITUTE(LEFT(TRIM(C1114),FIND(" ",TRIM(C1114)&amp;" ")-1),",","."),FIND("/",SUBSTITUTE(LEFT(TRIM(C1114),FIND(" ",TRIM(C1114)&amp;" ")-1),",","."))+1,9))*12/52,IF(ISNUMBER(SEARCH("month",C1114)),IFERROR(_xlfn.NUMBERVALUE(SUBSTITUTE(LEFT(TRIM(C1114),FIND(" ",TRIM(C1114)&amp;" ")-1),",","."),"."),LEFT(SUBSTITUTE(LEFT(TRIM(C1114),FIND(" ",TRIM(C1114)&amp;" ")-1),",","."),FIND("/",SUBSTITUTE(LEFT(TRIM(C1114),FIND(" ",TRIM(C1114)&amp;" ")-1),",","."))-1)/MID(SUBSTITUTE(LEFT(TRIM(C1114),FIND(" ",TRIM(C1114)&amp;" ")-1),",","."),FIND("/",SUBSTITUTE(LEFT(TRIM(C1114),FIND(" ",TRIM(C1114)&amp;" ")-1),",","."))+1,9)),IF(ISNUMBER(SEARCH("yea",C1114)),IFERROR(_xlfn.NUMBERVALUE(SUBSTITUTE(LEFT(TRIM(C1114),FIND(" ",TRIM(C1114)&amp;" ")-1),",","."),"."),LEFT(SUBSTITUTE(LEFT(TRIM(C1114),FIND(" ",TRIM(C1114)&amp;" ")-1),",","."),FIND("/",SUBSTITUTE(LEFT(TRIM(C1114),FIND(" ",TRIM(C1114)&amp;" ")-1),",","."))-1)/MID(SUBSTITUTE(LEFT(TRIM(C1114),FIND(" ",TRIM(C1114)&amp;" ")-1),",","."),FIND("/",SUBSTITUTE(LEFT(TRIM(C1114),FIND(" ",TRIM(C1114)&amp;" ")-1),",","."))+1,9))*12,NA()))),0),24)*'Aturan &amp; Tarif'!$B$4,2)</f>
        <v>1362.72</v>
      </c>
      <c r="K1114" s="42" t="n">
        <f aca="false">'Aturan &amp; Tarif'!$B$5</f>
        <v>2050</v>
      </c>
      <c r="L1114" s="42" t="n">
        <f aca="false">'Aturan &amp; Tarif'!$B$6</f>
        <v>350</v>
      </c>
      <c r="M1114" s="35" t="n">
        <f aca="false">I1114+J1114+K1114+L1114</f>
        <v>23432.72</v>
      </c>
      <c r="N1114" s="45" t="s">
        <v>2665</v>
      </c>
    </row>
    <row r="1115" customFormat="false" ht="37.5" hidden="false" customHeight="true" outlineLevel="0" collapsed="false">
      <c r="A1115" s="39"/>
      <c r="B1115" s="40" t="s">
        <v>2708</v>
      </c>
      <c r="C1115" s="41" t="s">
        <v>107</v>
      </c>
      <c r="D1115" s="41" t="s">
        <v>108</v>
      </c>
      <c r="E1115" s="42" t="n">
        <v>9314</v>
      </c>
      <c r="F1115" s="42"/>
      <c r="G1115" s="42"/>
      <c r="H1115" s="43" t="n">
        <v>2</v>
      </c>
      <c r="I1115" s="34" t="n">
        <f aca="false">E1115*H1115+N(F1115)+N(G1115)</f>
        <v>18628</v>
      </c>
      <c r="J1115" s="42" t="n">
        <f aca="false">ROUND(IFERROR(ROUND(IF(OR(ISNUMBER(SEARCH("week",C1115)),ISNUMBER(SEARCH("minggu",C1115))),IFERROR(_xlfn.NUMBERVALUE(SUBSTITUTE(LEFT(TRIM(C1115),FIND(" ",TRIM(C1115)&amp;" ")-1),",","."),"."),LEFT(SUBSTITUTE(LEFT(TRIM(C1115),FIND(" ",TRIM(C1115)&amp;" ")-1),",","."),FIND("/",SUBSTITUTE(LEFT(TRIM(C1115),FIND(" ",TRIM(C1115)&amp;" ")-1),",","."))-1)/MID(SUBSTITUTE(LEFT(TRIM(C1115),FIND(" ",TRIM(C1115)&amp;" ")-1),",","."),FIND("/",SUBSTITUTE(LEFT(TRIM(C1115),FIND(" ",TRIM(C1115)&amp;" ")-1),",","."))+1,9))*12/52,IF(ISNUMBER(SEARCH("month",C1115)),IFERROR(_xlfn.NUMBERVALUE(SUBSTITUTE(LEFT(TRIM(C1115),FIND(" ",TRIM(C1115)&amp;" ")-1),",","."),"."),LEFT(SUBSTITUTE(LEFT(TRIM(C1115),FIND(" ",TRIM(C1115)&amp;" ")-1),",","."),FIND("/",SUBSTITUTE(LEFT(TRIM(C1115),FIND(" ",TRIM(C1115)&amp;" ")-1),",","."))-1)/MID(SUBSTITUTE(LEFT(TRIM(C1115),FIND(" ",TRIM(C1115)&amp;" ")-1),",","."),FIND("/",SUBSTITUTE(LEFT(TRIM(C1115),FIND(" ",TRIM(C1115)&amp;" ")-1),",","."))+1,9)),IF(ISNUMBER(SEARCH("yea",C1115)),IFERROR(_xlfn.NUMBERVALUE(SUBSTITUTE(LEFT(TRIM(C1115),FIND(" ",TRIM(C1115)&amp;" ")-1),",","."),"."),LEFT(SUBSTITUTE(LEFT(TRIM(C1115),FIND(" ",TRIM(C1115)&amp;" ")-1),",","."),FIND("/",SUBSTITUTE(LEFT(TRIM(C1115),FIND(" ",TRIM(C1115)&amp;" ")-1),",","."))-1)/MID(SUBSTITUTE(LEFT(TRIM(C1115),FIND(" ",TRIM(C1115)&amp;" ")-1),",","."),FIND("/",SUBSTITUTE(LEFT(TRIM(C1115),FIND(" ",TRIM(C1115)&amp;" ")-1),",","."))+1,9))*12,NA()))),0),24)*'Aturan &amp; Tarif'!$B$4,2)</f>
        <v>1362.72</v>
      </c>
      <c r="K1115" s="42" t="n">
        <f aca="false">'Aturan &amp; Tarif'!$B$5</f>
        <v>2050</v>
      </c>
      <c r="L1115" s="42" t="n">
        <f aca="false">'Aturan &amp; Tarif'!$B$6</f>
        <v>350</v>
      </c>
      <c r="M1115" s="35" t="n">
        <f aca="false">I1115+J1115+K1115+L1115</f>
        <v>22390.72</v>
      </c>
      <c r="N1115" s="45" t="s">
        <v>2665</v>
      </c>
    </row>
    <row r="1116" customFormat="false" ht="37.5" hidden="false" customHeight="true" outlineLevel="0" collapsed="false">
      <c r="A1116" s="39"/>
      <c r="B1116" s="40" t="s">
        <v>2709</v>
      </c>
      <c r="C1116" s="41" t="s">
        <v>130</v>
      </c>
      <c r="D1116" s="41" t="s">
        <v>108</v>
      </c>
      <c r="E1116" s="42" t="n">
        <v>9314</v>
      </c>
      <c r="F1116" s="42"/>
      <c r="G1116" s="42"/>
      <c r="H1116" s="43" t="n">
        <v>2</v>
      </c>
      <c r="I1116" s="34" t="n">
        <f aca="false">E1116*H1116+N(F1116)+N(G1116)</f>
        <v>18628</v>
      </c>
      <c r="J1116" s="42" t="n">
        <f aca="false">ROUND(IFERROR(ROUND(IF(OR(ISNUMBER(SEARCH("week",C1116)),ISNUMBER(SEARCH("minggu",C1116))),IFERROR(_xlfn.NUMBERVALUE(SUBSTITUTE(LEFT(TRIM(C1116),FIND(" ",TRIM(C1116)&amp;" ")-1),",","."),"."),LEFT(SUBSTITUTE(LEFT(TRIM(C1116),FIND(" ",TRIM(C1116)&amp;" ")-1),",","."),FIND("/",SUBSTITUTE(LEFT(TRIM(C1116),FIND(" ",TRIM(C1116)&amp;" ")-1),",","."))-1)/MID(SUBSTITUTE(LEFT(TRIM(C1116),FIND(" ",TRIM(C1116)&amp;" ")-1),",","."),FIND("/",SUBSTITUTE(LEFT(TRIM(C1116),FIND(" ",TRIM(C1116)&amp;" ")-1),",","."))+1,9))*12/52,IF(ISNUMBER(SEARCH("month",C1116)),IFERROR(_xlfn.NUMBERVALUE(SUBSTITUTE(LEFT(TRIM(C1116),FIND(" ",TRIM(C1116)&amp;" ")-1),",","."),"."),LEFT(SUBSTITUTE(LEFT(TRIM(C1116),FIND(" ",TRIM(C1116)&amp;" ")-1),",","."),FIND("/",SUBSTITUTE(LEFT(TRIM(C1116),FIND(" ",TRIM(C1116)&amp;" ")-1),",","."))-1)/MID(SUBSTITUTE(LEFT(TRIM(C1116),FIND(" ",TRIM(C1116)&amp;" ")-1),",","."),FIND("/",SUBSTITUTE(LEFT(TRIM(C1116),FIND(" ",TRIM(C1116)&amp;" ")-1),",","."))+1,9)),IF(ISNUMBER(SEARCH("yea",C1116)),IFERROR(_xlfn.NUMBERVALUE(SUBSTITUTE(LEFT(TRIM(C1116),FIND(" ",TRIM(C1116)&amp;" ")-1),",","."),"."),LEFT(SUBSTITUTE(LEFT(TRIM(C1116),FIND(" ",TRIM(C1116)&amp;" ")-1),",","."),FIND("/",SUBSTITUTE(LEFT(TRIM(C1116),FIND(" ",TRIM(C1116)&amp;" ")-1),",","."))-1)/MID(SUBSTITUTE(LEFT(TRIM(C1116),FIND(" ",TRIM(C1116)&amp;" ")-1),",","."),FIND("/",SUBSTITUTE(LEFT(TRIM(C1116),FIND(" ",TRIM(C1116)&amp;" ")-1),",","."))+1,9))*12,NA()))),0),12)*'Aturan &amp; Tarif'!$B$4,2)</f>
        <v>681.36</v>
      </c>
      <c r="K1116" s="42" t="n">
        <f aca="false">'Aturan &amp; Tarif'!$B$5</f>
        <v>2050</v>
      </c>
      <c r="L1116" s="42" t="n">
        <f aca="false">'Aturan &amp; Tarif'!$B$6</f>
        <v>350</v>
      </c>
      <c r="M1116" s="35" t="n">
        <f aca="false">I1116+J1116+K1116+L1116</f>
        <v>21709.36</v>
      </c>
      <c r="N1116" s="45" t="s">
        <v>2665</v>
      </c>
    </row>
    <row r="1117" customFormat="false" ht="25.5" hidden="false" customHeight="true" outlineLevel="0" collapsed="false">
      <c r="A1117" s="39"/>
      <c r="B1117" s="40" t="s">
        <v>2710</v>
      </c>
      <c r="C1117" s="41" t="s">
        <v>344</v>
      </c>
      <c r="D1117" s="41" t="s">
        <v>108</v>
      </c>
      <c r="E1117" s="42" t="n">
        <v>4657</v>
      </c>
      <c r="F1117" s="42"/>
      <c r="G1117" s="42"/>
      <c r="H1117" s="43" t="n">
        <v>2</v>
      </c>
      <c r="I1117" s="34" t="n">
        <f aca="false">E1117*H1117+N(F1117)+N(G1117)</f>
        <v>9314</v>
      </c>
      <c r="J1117" s="42" t="n">
        <f aca="false">ROUND(IFERROR(ROUND(IF(OR(ISNUMBER(SEARCH("week",C1117)),ISNUMBER(SEARCH("minggu",C1117))),IFERROR(_xlfn.NUMBERVALUE(SUBSTITUTE(LEFT(TRIM(C1117),FIND(" ",TRIM(C1117)&amp;" ")-1),",","."),"."),LEFT(SUBSTITUTE(LEFT(TRIM(C1117),FIND(" ",TRIM(C1117)&amp;" ")-1),",","."),FIND("/",SUBSTITUTE(LEFT(TRIM(C1117),FIND(" ",TRIM(C1117)&amp;" ")-1),",","."))-1)/MID(SUBSTITUTE(LEFT(TRIM(C1117),FIND(" ",TRIM(C1117)&amp;" ")-1),",","."),FIND("/",SUBSTITUTE(LEFT(TRIM(C1117),FIND(" ",TRIM(C1117)&amp;" ")-1),",","."))+1,9))*12/52,IF(ISNUMBER(SEARCH("month",C1117)),IFERROR(_xlfn.NUMBERVALUE(SUBSTITUTE(LEFT(TRIM(C1117),FIND(" ",TRIM(C1117)&amp;" ")-1),",","."),"."),LEFT(SUBSTITUTE(LEFT(TRIM(C1117),FIND(" ",TRIM(C1117)&amp;" ")-1),",","."),FIND("/",SUBSTITUTE(LEFT(TRIM(C1117),FIND(" ",TRIM(C1117)&amp;" ")-1),",","."))-1)/MID(SUBSTITUTE(LEFT(TRIM(C1117),FIND(" ",TRIM(C1117)&amp;" ")-1),",","."),FIND("/",SUBSTITUTE(LEFT(TRIM(C1117),FIND(" ",TRIM(C1117)&amp;" ")-1),",","."))+1,9)),IF(ISNUMBER(SEARCH("yea",C1117)),IFERROR(_xlfn.NUMBERVALUE(SUBSTITUTE(LEFT(TRIM(C1117),FIND(" ",TRIM(C1117)&amp;" ")-1),",","."),"."),LEFT(SUBSTITUTE(LEFT(TRIM(C1117),FIND(" ",TRIM(C1117)&amp;" ")-1),",","."),FIND("/",SUBSTITUTE(LEFT(TRIM(C1117),FIND(" ",TRIM(C1117)&amp;" ")-1),",","."))-1)/MID(SUBSTITUTE(LEFT(TRIM(C1117),FIND(" ",TRIM(C1117)&amp;" ")-1),",","."),FIND("/",SUBSTITUTE(LEFT(TRIM(C1117),FIND(" ",TRIM(C1117)&amp;" ")-1),",","."))+1,9))*12,NA()))),0),6)*'Aturan &amp; Tarif'!$B$4,2)</f>
        <v>340.68</v>
      </c>
      <c r="K1117" s="42" t="n">
        <f aca="false">'Aturan &amp; Tarif'!$B$5</f>
        <v>2050</v>
      </c>
      <c r="L1117" s="42" t="n">
        <f aca="false">'Aturan &amp; Tarif'!$B$6</f>
        <v>350</v>
      </c>
      <c r="M1117" s="35" t="n">
        <f aca="false">I1117+J1117+K1117+L1117</f>
        <v>12054.68</v>
      </c>
      <c r="N1117" s="45" t="s">
        <v>2665</v>
      </c>
    </row>
    <row r="1118" customFormat="false" ht="25.5" hidden="false" customHeight="true" outlineLevel="0" collapsed="false">
      <c r="A1118" s="39"/>
      <c r="B1118" s="40" t="s">
        <v>2711</v>
      </c>
      <c r="C1118" s="41" t="s">
        <v>629</v>
      </c>
      <c r="D1118" s="41" t="s">
        <v>108</v>
      </c>
      <c r="E1118" s="42" t="n">
        <v>9686</v>
      </c>
      <c r="F1118" s="42"/>
      <c r="G1118" s="42"/>
      <c r="H1118" s="43" t="n">
        <v>2</v>
      </c>
      <c r="I1118" s="34" t="n">
        <f aca="false">E1118*H1118+N(F1118)+N(G1118)</f>
        <v>19372</v>
      </c>
      <c r="J1118" s="42" t="n">
        <f aca="false">ROUND(IFERROR(ROUND(IF(OR(ISNUMBER(SEARCH("week",C1118)),ISNUMBER(SEARCH("minggu",C1118))),IFERROR(_xlfn.NUMBERVALUE(SUBSTITUTE(LEFT(TRIM(C1118),FIND(" ",TRIM(C1118)&amp;" ")-1),",","."),"."),LEFT(SUBSTITUTE(LEFT(TRIM(C1118),FIND(" ",TRIM(C1118)&amp;" ")-1),",","."),FIND("/",SUBSTITUTE(LEFT(TRIM(C1118),FIND(" ",TRIM(C1118)&amp;" ")-1),",","."))-1)/MID(SUBSTITUTE(LEFT(TRIM(C1118),FIND(" ",TRIM(C1118)&amp;" ")-1),",","."),FIND("/",SUBSTITUTE(LEFT(TRIM(C1118),FIND(" ",TRIM(C1118)&amp;" ")-1),",","."))+1,9))*12/52,IF(ISNUMBER(SEARCH("month",C1118)),IFERROR(_xlfn.NUMBERVALUE(SUBSTITUTE(LEFT(TRIM(C1118),FIND(" ",TRIM(C1118)&amp;" ")-1),",","."),"."),LEFT(SUBSTITUTE(LEFT(TRIM(C1118),FIND(" ",TRIM(C1118)&amp;" ")-1),",","."),FIND("/",SUBSTITUTE(LEFT(TRIM(C1118),FIND(" ",TRIM(C1118)&amp;" ")-1),",","."))-1)/MID(SUBSTITUTE(LEFT(TRIM(C1118),FIND(" ",TRIM(C1118)&amp;" ")-1),",","."),FIND("/",SUBSTITUTE(LEFT(TRIM(C1118),FIND(" ",TRIM(C1118)&amp;" ")-1),",","."))+1,9)),IF(ISNUMBER(SEARCH("yea",C1118)),IFERROR(_xlfn.NUMBERVALUE(SUBSTITUTE(LEFT(TRIM(C1118),FIND(" ",TRIM(C1118)&amp;" ")-1),",","."),"."),LEFT(SUBSTITUTE(LEFT(TRIM(C1118),FIND(" ",TRIM(C1118)&amp;" ")-1),",","."),FIND("/",SUBSTITUTE(LEFT(TRIM(C1118),FIND(" ",TRIM(C1118)&amp;" ")-1),",","."))-1)/MID(SUBSTITUTE(LEFT(TRIM(C1118),FIND(" ",TRIM(C1118)&amp;" ")-1),",","."),FIND("/",SUBSTITUTE(LEFT(TRIM(C1118),FIND(" ",TRIM(C1118)&amp;" ")-1),",","."))+1,9))*12,NA()))),0),18)*'Aturan &amp; Tarif'!$B$4,2)</f>
        <v>1022.04</v>
      </c>
      <c r="K1118" s="42" t="n">
        <f aca="false">'Aturan &amp; Tarif'!$B$5</f>
        <v>2050</v>
      </c>
      <c r="L1118" s="42" t="n">
        <f aca="false">'Aturan &amp; Tarif'!$B$6</f>
        <v>350</v>
      </c>
      <c r="M1118" s="35" t="n">
        <f aca="false">I1118+J1118+K1118+L1118</f>
        <v>22794.04</v>
      </c>
      <c r="N1118" s="45" t="s">
        <v>2665</v>
      </c>
    </row>
    <row r="1119" customFormat="false" ht="37.5" hidden="false" customHeight="true" outlineLevel="0" collapsed="false">
      <c r="A1119" s="39"/>
      <c r="B1119" s="40" t="s">
        <v>2712</v>
      </c>
      <c r="C1119" s="41" t="s">
        <v>107</v>
      </c>
      <c r="D1119" s="41" t="s">
        <v>108</v>
      </c>
      <c r="E1119" s="42" t="n">
        <v>11138</v>
      </c>
      <c r="F1119" s="42"/>
      <c r="G1119" s="42"/>
      <c r="H1119" s="43" t="n">
        <v>2</v>
      </c>
      <c r="I1119" s="34" t="n">
        <f aca="false">E1119*H1119+N(F1119)+N(G1119)</f>
        <v>22276</v>
      </c>
      <c r="J1119" s="42" t="n">
        <f aca="false">ROUND(IFERROR(ROUND(IF(OR(ISNUMBER(SEARCH("week",C1119)),ISNUMBER(SEARCH("minggu",C1119))),IFERROR(_xlfn.NUMBERVALUE(SUBSTITUTE(LEFT(TRIM(C1119),FIND(" ",TRIM(C1119)&amp;" ")-1),",","."),"."),LEFT(SUBSTITUTE(LEFT(TRIM(C1119),FIND(" ",TRIM(C1119)&amp;" ")-1),",","."),FIND("/",SUBSTITUTE(LEFT(TRIM(C1119),FIND(" ",TRIM(C1119)&amp;" ")-1),",","."))-1)/MID(SUBSTITUTE(LEFT(TRIM(C1119),FIND(" ",TRIM(C1119)&amp;" ")-1),",","."),FIND("/",SUBSTITUTE(LEFT(TRIM(C1119),FIND(" ",TRIM(C1119)&amp;" ")-1),",","."))+1,9))*12/52,IF(ISNUMBER(SEARCH("month",C1119)),IFERROR(_xlfn.NUMBERVALUE(SUBSTITUTE(LEFT(TRIM(C1119),FIND(" ",TRIM(C1119)&amp;" ")-1),",","."),"."),LEFT(SUBSTITUTE(LEFT(TRIM(C1119),FIND(" ",TRIM(C1119)&amp;" ")-1),",","."),FIND("/",SUBSTITUTE(LEFT(TRIM(C1119),FIND(" ",TRIM(C1119)&amp;" ")-1),",","."))-1)/MID(SUBSTITUTE(LEFT(TRIM(C1119),FIND(" ",TRIM(C1119)&amp;" ")-1),",","."),FIND("/",SUBSTITUTE(LEFT(TRIM(C1119),FIND(" ",TRIM(C1119)&amp;" ")-1),",","."))+1,9)),IF(ISNUMBER(SEARCH("yea",C1119)),IFERROR(_xlfn.NUMBERVALUE(SUBSTITUTE(LEFT(TRIM(C1119),FIND(" ",TRIM(C1119)&amp;" ")-1),",","."),"."),LEFT(SUBSTITUTE(LEFT(TRIM(C1119),FIND(" ",TRIM(C1119)&amp;" ")-1),",","."),FIND("/",SUBSTITUTE(LEFT(TRIM(C1119),FIND(" ",TRIM(C1119)&amp;" ")-1),",","."))-1)/MID(SUBSTITUTE(LEFT(TRIM(C1119),FIND(" ",TRIM(C1119)&amp;" ")-1),",","."),FIND("/",SUBSTITUTE(LEFT(TRIM(C1119),FIND(" ",TRIM(C1119)&amp;" ")-1),",","."))+1,9))*12,NA()))),0),24)*'Aturan &amp; Tarif'!$B$4,2)</f>
        <v>1362.72</v>
      </c>
      <c r="K1119" s="42" t="n">
        <f aca="false">'Aturan &amp; Tarif'!$B$5</f>
        <v>2050</v>
      </c>
      <c r="L1119" s="42" t="n">
        <f aca="false">'Aturan &amp; Tarif'!$B$6</f>
        <v>350</v>
      </c>
      <c r="M1119" s="35" t="n">
        <f aca="false">I1119+J1119+K1119+L1119</f>
        <v>26038.72</v>
      </c>
      <c r="N1119" s="45" t="s">
        <v>2665</v>
      </c>
    </row>
    <row r="1120" customFormat="false" ht="25.5" hidden="false" customHeight="true" outlineLevel="0" collapsed="false">
      <c r="A1120" s="39"/>
      <c r="B1120" s="40" t="s">
        <v>2713</v>
      </c>
      <c r="C1120" s="41" t="s">
        <v>130</v>
      </c>
      <c r="D1120" s="41" t="s">
        <v>108</v>
      </c>
      <c r="E1120" s="42" t="n">
        <v>11891</v>
      </c>
      <c r="F1120" s="42"/>
      <c r="G1120" s="42"/>
      <c r="H1120" s="43" t="n">
        <v>2</v>
      </c>
      <c r="I1120" s="34" t="n">
        <f aca="false">E1120*H1120+N(F1120)+N(G1120)</f>
        <v>23782</v>
      </c>
      <c r="J1120" s="42" t="n">
        <f aca="false">ROUND(IFERROR(ROUND(IF(OR(ISNUMBER(SEARCH("week",C1120)),ISNUMBER(SEARCH("minggu",C1120))),IFERROR(_xlfn.NUMBERVALUE(SUBSTITUTE(LEFT(TRIM(C1120),FIND(" ",TRIM(C1120)&amp;" ")-1),",","."),"."),LEFT(SUBSTITUTE(LEFT(TRIM(C1120),FIND(" ",TRIM(C1120)&amp;" ")-1),",","."),FIND("/",SUBSTITUTE(LEFT(TRIM(C1120),FIND(" ",TRIM(C1120)&amp;" ")-1),",","."))-1)/MID(SUBSTITUTE(LEFT(TRIM(C1120),FIND(" ",TRIM(C1120)&amp;" ")-1),",","."),FIND("/",SUBSTITUTE(LEFT(TRIM(C1120),FIND(" ",TRIM(C1120)&amp;" ")-1),",","."))+1,9))*12/52,IF(ISNUMBER(SEARCH("month",C1120)),IFERROR(_xlfn.NUMBERVALUE(SUBSTITUTE(LEFT(TRIM(C1120),FIND(" ",TRIM(C1120)&amp;" ")-1),",","."),"."),LEFT(SUBSTITUTE(LEFT(TRIM(C1120),FIND(" ",TRIM(C1120)&amp;" ")-1),",","."),FIND("/",SUBSTITUTE(LEFT(TRIM(C1120),FIND(" ",TRIM(C1120)&amp;" ")-1),",","."))-1)/MID(SUBSTITUTE(LEFT(TRIM(C1120),FIND(" ",TRIM(C1120)&amp;" ")-1),",","."),FIND("/",SUBSTITUTE(LEFT(TRIM(C1120),FIND(" ",TRIM(C1120)&amp;" ")-1),",","."))+1,9)),IF(ISNUMBER(SEARCH("yea",C1120)),IFERROR(_xlfn.NUMBERVALUE(SUBSTITUTE(LEFT(TRIM(C1120),FIND(" ",TRIM(C1120)&amp;" ")-1),",","."),"."),LEFT(SUBSTITUTE(LEFT(TRIM(C1120),FIND(" ",TRIM(C1120)&amp;" ")-1),",","."),FIND("/",SUBSTITUTE(LEFT(TRIM(C1120),FIND(" ",TRIM(C1120)&amp;" ")-1),",","."))-1)/MID(SUBSTITUTE(LEFT(TRIM(C1120),FIND(" ",TRIM(C1120)&amp;" ")-1),",","."),FIND("/",SUBSTITUTE(LEFT(TRIM(C1120),FIND(" ",TRIM(C1120)&amp;" ")-1),",","."))+1,9))*12,NA()))),0),12)*'Aturan &amp; Tarif'!$B$4,2)</f>
        <v>681.36</v>
      </c>
      <c r="K1120" s="42" t="n">
        <f aca="false">'Aturan &amp; Tarif'!$B$5</f>
        <v>2050</v>
      </c>
      <c r="L1120" s="42" t="n">
        <f aca="false">'Aturan &amp; Tarif'!$B$6</f>
        <v>350</v>
      </c>
      <c r="M1120" s="35" t="n">
        <f aca="false">I1120+J1120+K1120+L1120</f>
        <v>26863.36</v>
      </c>
      <c r="N1120" s="45" t="s">
        <v>2665</v>
      </c>
    </row>
    <row r="1121" customFormat="false" ht="25.5" hidden="false" customHeight="true" outlineLevel="0" collapsed="false">
      <c r="A1121" s="39"/>
      <c r="B1121" s="40" t="s">
        <v>2714</v>
      </c>
      <c r="C1121" s="41" t="s">
        <v>107</v>
      </c>
      <c r="D1121" s="41" t="s">
        <v>108</v>
      </c>
      <c r="E1121" s="42" t="n">
        <v>11891</v>
      </c>
      <c r="F1121" s="42"/>
      <c r="G1121" s="42"/>
      <c r="H1121" s="43" t="n">
        <v>2</v>
      </c>
      <c r="I1121" s="34" t="n">
        <f aca="false">E1121*H1121+N(F1121)+N(G1121)</f>
        <v>23782</v>
      </c>
      <c r="J1121" s="42" t="n">
        <f aca="false">ROUND(IFERROR(ROUND(IF(OR(ISNUMBER(SEARCH("week",C1121)),ISNUMBER(SEARCH("minggu",C1121))),IFERROR(_xlfn.NUMBERVALUE(SUBSTITUTE(LEFT(TRIM(C1121),FIND(" ",TRIM(C1121)&amp;" ")-1),",","."),"."),LEFT(SUBSTITUTE(LEFT(TRIM(C1121),FIND(" ",TRIM(C1121)&amp;" ")-1),",","."),FIND("/",SUBSTITUTE(LEFT(TRIM(C1121),FIND(" ",TRIM(C1121)&amp;" ")-1),",","."))-1)/MID(SUBSTITUTE(LEFT(TRIM(C1121),FIND(" ",TRIM(C1121)&amp;" ")-1),",","."),FIND("/",SUBSTITUTE(LEFT(TRIM(C1121),FIND(" ",TRIM(C1121)&amp;" ")-1),",","."))+1,9))*12/52,IF(ISNUMBER(SEARCH("month",C1121)),IFERROR(_xlfn.NUMBERVALUE(SUBSTITUTE(LEFT(TRIM(C1121),FIND(" ",TRIM(C1121)&amp;" ")-1),",","."),"."),LEFT(SUBSTITUTE(LEFT(TRIM(C1121),FIND(" ",TRIM(C1121)&amp;" ")-1),",","."),FIND("/",SUBSTITUTE(LEFT(TRIM(C1121),FIND(" ",TRIM(C1121)&amp;" ")-1),",","."))-1)/MID(SUBSTITUTE(LEFT(TRIM(C1121),FIND(" ",TRIM(C1121)&amp;" ")-1),",","."),FIND("/",SUBSTITUTE(LEFT(TRIM(C1121),FIND(" ",TRIM(C1121)&amp;" ")-1),",","."))+1,9)),IF(ISNUMBER(SEARCH("yea",C1121)),IFERROR(_xlfn.NUMBERVALUE(SUBSTITUTE(LEFT(TRIM(C1121),FIND(" ",TRIM(C1121)&amp;" ")-1),",","."),"."),LEFT(SUBSTITUTE(LEFT(TRIM(C1121),FIND(" ",TRIM(C1121)&amp;" ")-1),",","."),FIND("/",SUBSTITUTE(LEFT(TRIM(C1121),FIND(" ",TRIM(C1121)&amp;" ")-1),",","."))-1)/MID(SUBSTITUTE(LEFT(TRIM(C1121),FIND(" ",TRIM(C1121)&amp;" ")-1),",","."),FIND("/",SUBSTITUTE(LEFT(TRIM(C1121),FIND(" ",TRIM(C1121)&amp;" ")-1),",","."))+1,9))*12,NA()))),0),24)*'Aturan &amp; Tarif'!$B$4,2)</f>
        <v>1362.72</v>
      </c>
      <c r="K1121" s="42" t="n">
        <f aca="false">'Aturan &amp; Tarif'!$B$5</f>
        <v>2050</v>
      </c>
      <c r="L1121" s="42" t="n">
        <f aca="false">'Aturan &amp; Tarif'!$B$6</f>
        <v>350</v>
      </c>
      <c r="M1121" s="35" t="n">
        <f aca="false">I1121+J1121+K1121+L1121</f>
        <v>27544.72</v>
      </c>
      <c r="N1121" s="45" t="s">
        <v>2665</v>
      </c>
    </row>
    <row r="1122" customFormat="false" ht="25.5" hidden="false" customHeight="true" outlineLevel="0" collapsed="false">
      <c r="A1122" s="39"/>
      <c r="B1122" s="40" t="s">
        <v>2715</v>
      </c>
      <c r="C1122" s="41" t="s">
        <v>130</v>
      </c>
      <c r="D1122" s="41" t="s">
        <v>108</v>
      </c>
      <c r="E1122" s="42" t="n">
        <v>11891</v>
      </c>
      <c r="F1122" s="42"/>
      <c r="G1122" s="42"/>
      <c r="H1122" s="43" t="n">
        <v>2</v>
      </c>
      <c r="I1122" s="34" t="n">
        <f aca="false">E1122*H1122+N(F1122)+N(G1122)</f>
        <v>23782</v>
      </c>
      <c r="J1122" s="42" t="n">
        <f aca="false">ROUND(IFERROR(ROUND(IF(OR(ISNUMBER(SEARCH("week",C1122)),ISNUMBER(SEARCH("minggu",C1122))),IFERROR(_xlfn.NUMBERVALUE(SUBSTITUTE(LEFT(TRIM(C1122),FIND(" ",TRIM(C1122)&amp;" ")-1),",","."),"."),LEFT(SUBSTITUTE(LEFT(TRIM(C1122),FIND(" ",TRIM(C1122)&amp;" ")-1),",","."),FIND("/",SUBSTITUTE(LEFT(TRIM(C1122),FIND(" ",TRIM(C1122)&amp;" ")-1),",","."))-1)/MID(SUBSTITUTE(LEFT(TRIM(C1122),FIND(" ",TRIM(C1122)&amp;" ")-1),",","."),FIND("/",SUBSTITUTE(LEFT(TRIM(C1122),FIND(" ",TRIM(C1122)&amp;" ")-1),",","."))+1,9))*12/52,IF(ISNUMBER(SEARCH("month",C1122)),IFERROR(_xlfn.NUMBERVALUE(SUBSTITUTE(LEFT(TRIM(C1122),FIND(" ",TRIM(C1122)&amp;" ")-1),",","."),"."),LEFT(SUBSTITUTE(LEFT(TRIM(C1122),FIND(" ",TRIM(C1122)&amp;" ")-1),",","."),FIND("/",SUBSTITUTE(LEFT(TRIM(C1122),FIND(" ",TRIM(C1122)&amp;" ")-1),",","."))-1)/MID(SUBSTITUTE(LEFT(TRIM(C1122),FIND(" ",TRIM(C1122)&amp;" ")-1),",","."),FIND("/",SUBSTITUTE(LEFT(TRIM(C1122),FIND(" ",TRIM(C1122)&amp;" ")-1),",","."))+1,9)),IF(ISNUMBER(SEARCH("yea",C1122)),IFERROR(_xlfn.NUMBERVALUE(SUBSTITUTE(LEFT(TRIM(C1122),FIND(" ",TRIM(C1122)&amp;" ")-1),",","."),"."),LEFT(SUBSTITUTE(LEFT(TRIM(C1122),FIND(" ",TRIM(C1122)&amp;" ")-1),",","."),FIND("/",SUBSTITUTE(LEFT(TRIM(C1122),FIND(" ",TRIM(C1122)&amp;" ")-1),",","."))-1)/MID(SUBSTITUTE(LEFT(TRIM(C1122),FIND(" ",TRIM(C1122)&amp;" ")-1),",","."),FIND("/",SUBSTITUTE(LEFT(TRIM(C1122),FIND(" ",TRIM(C1122)&amp;" ")-1),",","."))+1,9))*12,NA()))),0),12)*'Aturan &amp; Tarif'!$B$4,2)</f>
        <v>681.36</v>
      </c>
      <c r="K1122" s="42" t="n">
        <f aca="false">'Aturan &amp; Tarif'!$B$5</f>
        <v>2050</v>
      </c>
      <c r="L1122" s="42" t="n">
        <f aca="false">'Aturan &amp; Tarif'!$B$6</f>
        <v>350</v>
      </c>
      <c r="M1122" s="35" t="n">
        <f aca="false">I1122+J1122+K1122+L1122</f>
        <v>26863.36</v>
      </c>
      <c r="N1122" s="45" t="s">
        <v>2665</v>
      </c>
    </row>
    <row r="1123" customFormat="false" ht="25.5" hidden="false" customHeight="true" outlineLevel="0" collapsed="false">
      <c r="A1123" s="39"/>
      <c r="B1123" s="40" t="s">
        <v>2716</v>
      </c>
      <c r="C1123" s="41" t="s">
        <v>107</v>
      </c>
      <c r="D1123" s="41" t="s">
        <v>108</v>
      </c>
      <c r="E1123" s="42" t="n">
        <v>10305</v>
      </c>
      <c r="F1123" s="42"/>
      <c r="G1123" s="42"/>
      <c r="H1123" s="43" t="n">
        <v>2</v>
      </c>
      <c r="I1123" s="34" t="n">
        <f aca="false">E1123*H1123+N(F1123)+N(G1123)</f>
        <v>20610</v>
      </c>
      <c r="J1123" s="42" t="n">
        <f aca="false">ROUND(IFERROR(ROUND(IF(OR(ISNUMBER(SEARCH("week",C1123)),ISNUMBER(SEARCH("minggu",C1123))),IFERROR(_xlfn.NUMBERVALUE(SUBSTITUTE(LEFT(TRIM(C1123),FIND(" ",TRIM(C1123)&amp;" ")-1),",","."),"."),LEFT(SUBSTITUTE(LEFT(TRIM(C1123),FIND(" ",TRIM(C1123)&amp;" ")-1),",","."),FIND("/",SUBSTITUTE(LEFT(TRIM(C1123),FIND(" ",TRIM(C1123)&amp;" ")-1),",","."))-1)/MID(SUBSTITUTE(LEFT(TRIM(C1123),FIND(" ",TRIM(C1123)&amp;" ")-1),",","."),FIND("/",SUBSTITUTE(LEFT(TRIM(C1123),FIND(" ",TRIM(C1123)&amp;" ")-1),",","."))+1,9))*12/52,IF(ISNUMBER(SEARCH("month",C1123)),IFERROR(_xlfn.NUMBERVALUE(SUBSTITUTE(LEFT(TRIM(C1123),FIND(" ",TRIM(C1123)&amp;" ")-1),",","."),"."),LEFT(SUBSTITUTE(LEFT(TRIM(C1123),FIND(" ",TRIM(C1123)&amp;" ")-1),",","."),FIND("/",SUBSTITUTE(LEFT(TRIM(C1123),FIND(" ",TRIM(C1123)&amp;" ")-1),",","."))-1)/MID(SUBSTITUTE(LEFT(TRIM(C1123),FIND(" ",TRIM(C1123)&amp;" ")-1),",","."),FIND("/",SUBSTITUTE(LEFT(TRIM(C1123),FIND(" ",TRIM(C1123)&amp;" ")-1),",","."))+1,9)),IF(ISNUMBER(SEARCH("yea",C1123)),IFERROR(_xlfn.NUMBERVALUE(SUBSTITUTE(LEFT(TRIM(C1123),FIND(" ",TRIM(C1123)&amp;" ")-1),",","."),"."),LEFT(SUBSTITUTE(LEFT(TRIM(C1123),FIND(" ",TRIM(C1123)&amp;" ")-1),",","."),FIND("/",SUBSTITUTE(LEFT(TRIM(C1123),FIND(" ",TRIM(C1123)&amp;" ")-1),",","."))-1)/MID(SUBSTITUTE(LEFT(TRIM(C1123),FIND(" ",TRIM(C1123)&amp;" ")-1),",","."),FIND("/",SUBSTITUTE(LEFT(TRIM(C1123),FIND(" ",TRIM(C1123)&amp;" ")-1),",","."))+1,9))*12,NA()))),0),24)*'Aturan &amp; Tarif'!$B$4,2)</f>
        <v>1362.72</v>
      </c>
      <c r="K1123" s="42" t="n">
        <f aca="false">'Aturan &amp; Tarif'!$B$5</f>
        <v>2050</v>
      </c>
      <c r="L1123" s="42" t="n">
        <f aca="false">'Aturan &amp; Tarif'!$B$6</f>
        <v>350</v>
      </c>
      <c r="M1123" s="35" t="n">
        <f aca="false">I1123+J1123+K1123+L1123</f>
        <v>24372.72</v>
      </c>
      <c r="N1123" s="45" t="s">
        <v>2665</v>
      </c>
    </row>
    <row r="1124" customFormat="false" ht="25.5" hidden="false" customHeight="true" outlineLevel="0" collapsed="false">
      <c r="A1124" s="39"/>
      <c r="B1124" s="40" t="s">
        <v>2717</v>
      </c>
      <c r="C1124" s="41" t="s">
        <v>107</v>
      </c>
      <c r="D1124" s="41" t="s">
        <v>108</v>
      </c>
      <c r="E1124" s="42" t="n">
        <v>8694</v>
      </c>
      <c r="F1124" s="42"/>
      <c r="G1124" s="42"/>
      <c r="H1124" s="43" t="n">
        <v>2</v>
      </c>
      <c r="I1124" s="34" t="n">
        <f aca="false">E1124*H1124+N(F1124)+N(G1124)</f>
        <v>17388</v>
      </c>
      <c r="J1124" s="42" t="n">
        <f aca="false">ROUND(IFERROR(ROUND(IF(OR(ISNUMBER(SEARCH("week",C1124)),ISNUMBER(SEARCH("minggu",C1124))),IFERROR(_xlfn.NUMBERVALUE(SUBSTITUTE(LEFT(TRIM(C1124),FIND(" ",TRIM(C1124)&amp;" ")-1),",","."),"."),LEFT(SUBSTITUTE(LEFT(TRIM(C1124),FIND(" ",TRIM(C1124)&amp;" ")-1),",","."),FIND("/",SUBSTITUTE(LEFT(TRIM(C1124),FIND(" ",TRIM(C1124)&amp;" ")-1),",","."))-1)/MID(SUBSTITUTE(LEFT(TRIM(C1124),FIND(" ",TRIM(C1124)&amp;" ")-1),",","."),FIND("/",SUBSTITUTE(LEFT(TRIM(C1124),FIND(" ",TRIM(C1124)&amp;" ")-1),",","."))+1,9))*12/52,IF(ISNUMBER(SEARCH("month",C1124)),IFERROR(_xlfn.NUMBERVALUE(SUBSTITUTE(LEFT(TRIM(C1124),FIND(" ",TRIM(C1124)&amp;" ")-1),",","."),"."),LEFT(SUBSTITUTE(LEFT(TRIM(C1124),FIND(" ",TRIM(C1124)&amp;" ")-1),",","."),FIND("/",SUBSTITUTE(LEFT(TRIM(C1124),FIND(" ",TRIM(C1124)&amp;" ")-1),",","."))-1)/MID(SUBSTITUTE(LEFT(TRIM(C1124),FIND(" ",TRIM(C1124)&amp;" ")-1),",","."),FIND("/",SUBSTITUTE(LEFT(TRIM(C1124),FIND(" ",TRIM(C1124)&amp;" ")-1),",","."))+1,9)),IF(ISNUMBER(SEARCH("yea",C1124)),IFERROR(_xlfn.NUMBERVALUE(SUBSTITUTE(LEFT(TRIM(C1124),FIND(" ",TRIM(C1124)&amp;" ")-1),",","."),"."),LEFT(SUBSTITUTE(LEFT(TRIM(C1124),FIND(" ",TRIM(C1124)&amp;" ")-1),",","."),FIND("/",SUBSTITUTE(LEFT(TRIM(C1124),FIND(" ",TRIM(C1124)&amp;" ")-1),",","."))-1)/MID(SUBSTITUTE(LEFT(TRIM(C1124),FIND(" ",TRIM(C1124)&amp;" ")-1),",","."),FIND("/",SUBSTITUTE(LEFT(TRIM(C1124),FIND(" ",TRIM(C1124)&amp;" ")-1),",","."))+1,9))*12,NA()))),0),24)*'Aturan &amp; Tarif'!$B$4,2)</f>
        <v>1362.72</v>
      </c>
      <c r="K1124" s="42" t="n">
        <f aca="false">'Aturan &amp; Tarif'!$B$5</f>
        <v>2050</v>
      </c>
      <c r="L1124" s="42" t="n">
        <f aca="false">'Aturan &amp; Tarif'!$B$6</f>
        <v>350</v>
      </c>
      <c r="M1124" s="35" t="n">
        <f aca="false">I1124+J1124+K1124+L1124</f>
        <v>21150.72</v>
      </c>
      <c r="N1124" s="45" t="s">
        <v>2665</v>
      </c>
    </row>
    <row r="1125" customFormat="false" ht="25.5" hidden="false" customHeight="true" outlineLevel="0" collapsed="false">
      <c r="A1125" s="39"/>
      <c r="B1125" s="40" t="s">
        <v>2718</v>
      </c>
      <c r="C1125" s="41" t="s">
        <v>344</v>
      </c>
      <c r="D1125" s="41" t="s">
        <v>108</v>
      </c>
      <c r="E1125" s="42" t="n">
        <v>4347</v>
      </c>
      <c r="F1125" s="42"/>
      <c r="G1125" s="42"/>
      <c r="H1125" s="43" t="n">
        <v>2</v>
      </c>
      <c r="I1125" s="34" t="n">
        <f aca="false">E1125*H1125+N(F1125)+N(G1125)</f>
        <v>8694</v>
      </c>
      <c r="J1125" s="42" t="n">
        <f aca="false">ROUND(IFERROR(ROUND(IF(OR(ISNUMBER(SEARCH("week",C1125)),ISNUMBER(SEARCH("minggu",C1125))),IFERROR(_xlfn.NUMBERVALUE(SUBSTITUTE(LEFT(TRIM(C1125),FIND(" ",TRIM(C1125)&amp;" ")-1),",","."),"."),LEFT(SUBSTITUTE(LEFT(TRIM(C1125),FIND(" ",TRIM(C1125)&amp;" ")-1),",","."),FIND("/",SUBSTITUTE(LEFT(TRIM(C1125),FIND(" ",TRIM(C1125)&amp;" ")-1),",","."))-1)/MID(SUBSTITUTE(LEFT(TRIM(C1125),FIND(" ",TRIM(C1125)&amp;" ")-1),",","."),FIND("/",SUBSTITUTE(LEFT(TRIM(C1125),FIND(" ",TRIM(C1125)&amp;" ")-1),",","."))+1,9))*12/52,IF(ISNUMBER(SEARCH("month",C1125)),IFERROR(_xlfn.NUMBERVALUE(SUBSTITUTE(LEFT(TRIM(C1125),FIND(" ",TRIM(C1125)&amp;" ")-1),",","."),"."),LEFT(SUBSTITUTE(LEFT(TRIM(C1125),FIND(" ",TRIM(C1125)&amp;" ")-1),",","."),FIND("/",SUBSTITUTE(LEFT(TRIM(C1125),FIND(" ",TRIM(C1125)&amp;" ")-1),",","."))-1)/MID(SUBSTITUTE(LEFT(TRIM(C1125),FIND(" ",TRIM(C1125)&amp;" ")-1),",","."),FIND("/",SUBSTITUTE(LEFT(TRIM(C1125),FIND(" ",TRIM(C1125)&amp;" ")-1),",","."))+1,9)),IF(ISNUMBER(SEARCH("yea",C1125)),IFERROR(_xlfn.NUMBERVALUE(SUBSTITUTE(LEFT(TRIM(C1125),FIND(" ",TRIM(C1125)&amp;" ")-1),",","."),"."),LEFT(SUBSTITUTE(LEFT(TRIM(C1125),FIND(" ",TRIM(C1125)&amp;" ")-1),",","."),FIND("/",SUBSTITUTE(LEFT(TRIM(C1125),FIND(" ",TRIM(C1125)&amp;" ")-1),",","."))-1)/MID(SUBSTITUTE(LEFT(TRIM(C1125),FIND(" ",TRIM(C1125)&amp;" ")-1),",","."),FIND("/",SUBSTITUTE(LEFT(TRIM(C1125),FIND(" ",TRIM(C1125)&amp;" ")-1),",","."))+1,9))*12,NA()))),0),6)*'Aturan &amp; Tarif'!$B$4,2)</f>
        <v>340.68</v>
      </c>
      <c r="K1125" s="42" t="n">
        <f aca="false">'Aturan &amp; Tarif'!$B$5</f>
        <v>2050</v>
      </c>
      <c r="L1125" s="42" t="n">
        <f aca="false">'Aturan &amp; Tarif'!$B$6</f>
        <v>350</v>
      </c>
      <c r="M1125" s="35" t="n">
        <f aca="false">I1125+J1125+K1125+L1125</f>
        <v>11434.68</v>
      </c>
      <c r="N1125" s="45" t="s">
        <v>2665</v>
      </c>
    </row>
    <row r="1126" customFormat="false" ht="25.5" hidden="false" customHeight="true" outlineLevel="0" collapsed="false">
      <c r="A1126" s="39"/>
      <c r="B1126" s="40" t="s">
        <v>2719</v>
      </c>
      <c r="C1126" s="41" t="s">
        <v>107</v>
      </c>
      <c r="D1126" s="41" t="s">
        <v>108</v>
      </c>
      <c r="E1126" s="42" t="n">
        <v>8694</v>
      </c>
      <c r="F1126" s="42"/>
      <c r="G1126" s="42"/>
      <c r="H1126" s="43" t="n">
        <v>2</v>
      </c>
      <c r="I1126" s="34" t="n">
        <f aca="false">E1126*H1126+N(F1126)+N(G1126)</f>
        <v>17388</v>
      </c>
      <c r="J1126" s="42" t="n">
        <f aca="false">ROUND(IFERROR(ROUND(IF(OR(ISNUMBER(SEARCH("week",C1126)),ISNUMBER(SEARCH("minggu",C1126))),IFERROR(_xlfn.NUMBERVALUE(SUBSTITUTE(LEFT(TRIM(C1126),FIND(" ",TRIM(C1126)&amp;" ")-1),",","."),"."),LEFT(SUBSTITUTE(LEFT(TRIM(C1126),FIND(" ",TRIM(C1126)&amp;" ")-1),",","."),FIND("/",SUBSTITUTE(LEFT(TRIM(C1126),FIND(" ",TRIM(C1126)&amp;" ")-1),",","."))-1)/MID(SUBSTITUTE(LEFT(TRIM(C1126),FIND(" ",TRIM(C1126)&amp;" ")-1),",","."),FIND("/",SUBSTITUTE(LEFT(TRIM(C1126),FIND(" ",TRIM(C1126)&amp;" ")-1),",","."))+1,9))*12/52,IF(ISNUMBER(SEARCH("month",C1126)),IFERROR(_xlfn.NUMBERVALUE(SUBSTITUTE(LEFT(TRIM(C1126),FIND(" ",TRIM(C1126)&amp;" ")-1),",","."),"."),LEFT(SUBSTITUTE(LEFT(TRIM(C1126),FIND(" ",TRIM(C1126)&amp;" ")-1),",","."),FIND("/",SUBSTITUTE(LEFT(TRIM(C1126),FIND(" ",TRIM(C1126)&amp;" ")-1),",","."))-1)/MID(SUBSTITUTE(LEFT(TRIM(C1126),FIND(" ",TRIM(C1126)&amp;" ")-1),",","."),FIND("/",SUBSTITUTE(LEFT(TRIM(C1126),FIND(" ",TRIM(C1126)&amp;" ")-1),",","."))+1,9)),IF(ISNUMBER(SEARCH("yea",C1126)),IFERROR(_xlfn.NUMBERVALUE(SUBSTITUTE(LEFT(TRIM(C1126),FIND(" ",TRIM(C1126)&amp;" ")-1),",","."),"."),LEFT(SUBSTITUTE(LEFT(TRIM(C1126),FIND(" ",TRIM(C1126)&amp;" ")-1),",","."),FIND("/",SUBSTITUTE(LEFT(TRIM(C1126),FIND(" ",TRIM(C1126)&amp;" ")-1),",","."))-1)/MID(SUBSTITUTE(LEFT(TRIM(C1126),FIND(" ",TRIM(C1126)&amp;" ")-1),",","."),FIND("/",SUBSTITUTE(LEFT(TRIM(C1126),FIND(" ",TRIM(C1126)&amp;" ")-1),",","."))+1,9))*12,NA()))),0),24)*'Aturan &amp; Tarif'!$B$4,2)</f>
        <v>1362.72</v>
      </c>
      <c r="K1126" s="42" t="n">
        <f aca="false">'Aturan &amp; Tarif'!$B$5</f>
        <v>2050</v>
      </c>
      <c r="L1126" s="42" t="n">
        <f aca="false">'Aturan &amp; Tarif'!$B$6</f>
        <v>350</v>
      </c>
      <c r="M1126" s="35" t="n">
        <f aca="false">I1126+J1126+K1126+L1126</f>
        <v>21150.72</v>
      </c>
      <c r="N1126" s="45" t="s">
        <v>2665</v>
      </c>
    </row>
    <row r="1127" customFormat="false" ht="25.5" hidden="false" customHeight="true" outlineLevel="0" collapsed="false">
      <c r="A1127" s="39"/>
      <c r="B1127" s="40" t="s">
        <v>2720</v>
      </c>
      <c r="C1127" s="41" t="s">
        <v>130</v>
      </c>
      <c r="D1127" s="41" t="s">
        <v>108</v>
      </c>
      <c r="E1127" s="42" t="n">
        <v>8694</v>
      </c>
      <c r="F1127" s="42"/>
      <c r="G1127" s="42"/>
      <c r="H1127" s="43" t="n">
        <v>2</v>
      </c>
      <c r="I1127" s="34" t="n">
        <f aca="false">E1127*H1127+N(F1127)+N(G1127)</f>
        <v>17388</v>
      </c>
      <c r="J1127" s="42" t="n">
        <f aca="false">ROUND(IFERROR(ROUND(IF(OR(ISNUMBER(SEARCH("week",C1127)),ISNUMBER(SEARCH("minggu",C1127))),IFERROR(_xlfn.NUMBERVALUE(SUBSTITUTE(LEFT(TRIM(C1127),FIND(" ",TRIM(C1127)&amp;" ")-1),",","."),"."),LEFT(SUBSTITUTE(LEFT(TRIM(C1127),FIND(" ",TRIM(C1127)&amp;" ")-1),",","."),FIND("/",SUBSTITUTE(LEFT(TRIM(C1127),FIND(" ",TRIM(C1127)&amp;" ")-1),",","."))-1)/MID(SUBSTITUTE(LEFT(TRIM(C1127),FIND(" ",TRIM(C1127)&amp;" ")-1),",","."),FIND("/",SUBSTITUTE(LEFT(TRIM(C1127),FIND(" ",TRIM(C1127)&amp;" ")-1),",","."))+1,9))*12/52,IF(ISNUMBER(SEARCH("month",C1127)),IFERROR(_xlfn.NUMBERVALUE(SUBSTITUTE(LEFT(TRIM(C1127),FIND(" ",TRIM(C1127)&amp;" ")-1),",","."),"."),LEFT(SUBSTITUTE(LEFT(TRIM(C1127),FIND(" ",TRIM(C1127)&amp;" ")-1),",","."),FIND("/",SUBSTITUTE(LEFT(TRIM(C1127),FIND(" ",TRIM(C1127)&amp;" ")-1),",","."))-1)/MID(SUBSTITUTE(LEFT(TRIM(C1127),FIND(" ",TRIM(C1127)&amp;" ")-1),",","."),FIND("/",SUBSTITUTE(LEFT(TRIM(C1127),FIND(" ",TRIM(C1127)&amp;" ")-1),",","."))+1,9)),IF(ISNUMBER(SEARCH("yea",C1127)),IFERROR(_xlfn.NUMBERVALUE(SUBSTITUTE(LEFT(TRIM(C1127),FIND(" ",TRIM(C1127)&amp;" ")-1),",","."),"."),LEFT(SUBSTITUTE(LEFT(TRIM(C1127),FIND(" ",TRIM(C1127)&amp;" ")-1),",","."),FIND("/",SUBSTITUTE(LEFT(TRIM(C1127),FIND(" ",TRIM(C1127)&amp;" ")-1),",","."))-1)/MID(SUBSTITUTE(LEFT(TRIM(C1127),FIND(" ",TRIM(C1127)&amp;" ")-1),",","."),FIND("/",SUBSTITUTE(LEFT(TRIM(C1127),FIND(" ",TRIM(C1127)&amp;" ")-1),",","."))+1,9))*12,NA()))),0),12)*'Aturan &amp; Tarif'!$B$4,2)</f>
        <v>681.36</v>
      </c>
      <c r="K1127" s="42" t="n">
        <f aca="false">'Aturan &amp; Tarif'!$B$5</f>
        <v>2050</v>
      </c>
      <c r="L1127" s="42" t="n">
        <f aca="false">'Aturan &amp; Tarif'!$B$6</f>
        <v>350</v>
      </c>
      <c r="M1127" s="35" t="n">
        <f aca="false">I1127+J1127+K1127+L1127</f>
        <v>20469.36</v>
      </c>
      <c r="N1127" s="45" t="s">
        <v>2665</v>
      </c>
    </row>
    <row r="1128" customFormat="false" ht="25.5" hidden="false" customHeight="true" outlineLevel="0" collapsed="false">
      <c r="A1128" s="39"/>
      <c r="B1128" s="40" t="s">
        <v>2721</v>
      </c>
      <c r="C1128" s="41" t="s">
        <v>344</v>
      </c>
      <c r="D1128" s="41" t="s">
        <v>108</v>
      </c>
      <c r="E1128" s="42" t="n">
        <v>4347</v>
      </c>
      <c r="F1128" s="42"/>
      <c r="G1128" s="42"/>
      <c r="H1128" s="43" t="n">
        <v>2</v>
      </c>
      <c r="I1128" s="34" t="n">
        <f aca="false">E1128*H1128+N(F1128)+N(G1128)</f>
        <v>8694</v>
      </c>
      <c r="J1128" s="42" t="n">
        <f aca="false">ROUND(IFERROR(ROUND(IF(OR(ISNUMBER(SEARCH("week",C1128)),ISNUMBER(SEARCH("minggu",C1128))),IFERROR(_xlfn.NUMBERVALUE(SUBSTITUTE(LEFT(TRIM(C1128),FIND(" ",TRIM(C1128)&amp;" ")-1),",","."),"."),LEFT(SUBSTITUTE(LEFT(TRIM(C1128),FIND(" ",TRIM(C1128)&amp;" ")-1),",","."),FIND("/",SUBSTITUTE(LEFT(TRIM(C1128),FIND(" ",TRIM(C1128)&amp;" ")-1),",","."))-1)/MID(SUBSTITUTE(LEFT(TRIM(C1128),FIND(" ",TRIM(C1128)&amp;" ")-1),",","."),FIND("/",SUBSTITUTE(LEFT(TRIM(C1128),FIND(" ",TRIM(C1128)&amp;" ")-1),",","."))+1,9))*12/52,IF(ISNUMBER(SEARCH("month",C1128)),IFERROR(_xlfn.NUMBERVALUE(SUBSTITUTE(LEFT(TRIM(C1128),FIND(" ",TRIM(C1128)&amp;" ")-1),",","."),"."),LEFT(SUBSTITUTE(LEFT(TRIM(C1128),FIND(" ",TRIM(C1128)&amp;" ")-1),",","."),FIND("/",SUBSTITUTE(LEFT(TRIM(C1128),FIND(" ",TRIM(C1128)&amp;" ")-1),",","."))-1)/MID(SUBSTITUTE(LEFT(TRIM(C1128),FIND(" ",TRIM(C1128)&amp;" ")-1),",","."),FIND("/",SUBSTITUTE(LEFT(TRIM(C1128),FIND(" ",TRIM(C1128)&amp;" ")-1),",","."))+1,9)),IF(ISNUMBER(SEARCH("yea",C1128)),IFERROR(_xlfn.NUMBERVALUE(SUBSTITUTE(LEFT(TRIM(C1128),FIND(" ",TRIM(C1128)&amp;" ")-1),",","."),"."),LEFT(SUBSTITUTE(LEFT(TRIM(C1128),FIND(" ",TRIM(C1128)&amp;" ")-1),",","."),FIND("/",SUBSTITUTE(LEFT(TRIM(C1128),FIND(" ",TRIM(C1128)&amp;" ")-1),",","."))-1)/MID(SUBSTITUTE(LEFT(TRIM(C1128),FIND(" ",TRIM(C1128)&amp;" ")-1),",","."),FIND("/",SUBSTITUTE(LEFT(TRIM(C1128),FIND(" ",TRIM(C1128)&amp;" ")-1),",","."))+1,9))*12,NA()))),0),6)*'Aturan &amp; Tarif'!$B$4,2)</f>
        <v>340.68</v>
      </c>
      <c r="K1128" s="42" t="n">
        <f aca="false">'Aturan &amp; Tarif'!$B$5</f>
        <v>2050</v>
      </c>
      <c r="L1128" s="42" t="n">
        <f aca="false">'Aturan &amp; Tarif'!$B$6</f>
        <v>350</v>
      </c>
      <c r="M1128" s="35" t="n">
        <f aca="false">I1128+J1128+K1128+L1128</f>
        <v>11434.68</v>
      </c>
      <c r="N1128" s="45" t="s">
        <v>2665</v>
      </c>
    </row>
    <row r="1129" customFormat="false" ht="25.5" hidden="false" customHeight="true" outlineLevel="0" collapsed="false">
      <c r="A1129" s="39"/>
      <c r="B1129" s="40" t="s">
        <v>2722</v>
      </c>
      <c r="C1129" s="41" t="s">
        <v>107</v>
      </c>
      <c r="D1129" s="41" t="s">
        <v>108</v>
      </c>
      <c r="E1129" s="42" t="n">
        <v>8694</v>
      </c>
      <c r="F1129" s="42"/>
      <c r="G1129" s="42"/>
      <c r="H1129" s="43" t="n">
        <v>2</v>
      </c>
      <c r="I1129" s="34" t="n">
        <f aca="false">E1129*H1129+N(F1129)+N(G1129)</f>
        <v>17388</v>
      </c>
      <c r="J1129" s="42" t="n">
        <f aca="false">ROUND(IFERROR(ROUND(IF(OR(ISNUMBER(SEARCH("week",C1129)),ISNUMBER(SEARCH("minggu",C1129))),IFERROR(_xlfn.NUMBERVALUE(SUBSTITUTE(LEFT(TRIM(C1129),FIND(" ",TRIM(C1129)&amp;" ")-1),",","."),"."),LEFT(SUBSTITUTE(LEFT(TRIM(C1129),FIND(" ",TRIM(C1129)&amp;" ")-1),",","."),FIND("/",SUBSTITUTE(LEFT(TRIM(C1129),FIND(" ",TRIM(C1129)&amp;" ")-1),",","."))-1)/MID(SUBSTITUTE(LEFT(TRIM(C1129),FIND(" ",TRIM(C1129)&amp;" ")-1),",","."),FIND("/",SUBSTITUTE(LEFT(TRIM(C1129),FIND(" ",TRIM(C1129)&amp;" ")-1),",","."))+1,9))*12/52,IF(ISNUMBER(SEARCH("month",C1129)),IFERROR(_xlfn.NUMBERVALUE(SUBSTITUTE(LEFT(TRIM(C1129),FIND(" ",TRIM(C1129)&amp;" ")-1),",","."),"."),LEFT(SUBSTITUTE(LEFT(TRIM(C1129),FIND(" ",TRIM(C1129)&amp;" ")-1),",","."),FIND("/",SUBSTITUTE(LEFT(TRIM(C1129),FIND(" ",TRIM(C1129)&amp;" ")-1),",","."))-1)/MID(SUBSTITUTE(LEFT(TRIM(C1129),FIND(" ",TRIM(C1129)&amp;" ")-1),",","."),FIND("/",SUBSTITUTE(LEFT(TRIM(C1129),FIND(" ",TRIM(C1129)&amp;" ")-1),",","."))+1,9)),IF(ISNUMBER(SEARCH("yea",C1129)),IFERROR(_xlfn.NUMBERVALUE(SUBSTITUTE(LEFT(TRIM(C1129),FIND(" ",TRIM(C1129)&amp;" ")-1),",","."),"."),LEFT(SUBSTITUTE(LEFT(TRIM(C1129),FIND(" ",TRIM(C1129)&amp;" ")-1),",","."),FIND("/",SUBSTITUTE(LEFT(TRIM(C1129),FIND(" ",TRIM(C1129)&amp;" ")-1),",","."))-1)/MID(SUBSTITUTE(LEFT(TRIM(C1129),FIND(" ",TRIM(C1129)&amp;" ")-1),",","."),FIND("/",SUBSTITUTE(LEFT(TRIM(C1129),FIND(" ",TRIM(C1129)&amp;" ")-1),",","."))+1,9))*12,NA()))),0),24)*'Aturan &amp; Tarif'!$B$4,2)</f>
        <v>1362.72</v>
      </c>
      <c r="K1129" s="42" t="n">
        <f aca="false">'Aturan &amp; Tarif'!$B$5</f>
        <v>2050</v>
      </c>
      <c r="L1129" s="42" t="n">
        <f aca="false">'Aturan &amp; Tarif'!$B$6</f>
        <v>350</v>
      </c>
      <c r="M1129" s="35" t="n">
        <f aca="false">I1129+J1129+K1129+L1129</f>
        <v>21150.72</v>
      </c>
      <c r="N1129" s="45" t="s">
        <v>2665</v>
      </c>
    </row>
    <row r="1130" customFormat="false" ht="25.5" hidden="false" customHeight="true" outlineLevel="0" collapsed="false">
      <c r="A1130" s="39"/>
      <c r="B1130" s="40" t="s">
        <v>2723</v>
      </c>
      <c r="C1130" s="41" t="s">
        <v>107</v>
      </c>
      <c r="D1130" s="41" t="s">
        <v>108</v>
      </c>
      <c r="E1130" s="42" t="n">
        <v>8694</v>
      </c>
      <c r="F1130" s="42"/>
      <c r="G1130" s="42"/>
      <c r="H1130" s="43" t="n">
        <v>2</v>
      </c>
      <c r="I1130" s="34" t="n">
        <f aca="false">E1130*H1130+N(F1130)+N(G1130)</f>
        <v>17388</v>
      </c>
      <c r="J1130" s="42" t="n">
        <f aca="false">ROUND(IFERROR(ROUND(IF(OR(ISNUMBER(SEARCH("week",C1130)),ISNUMBER(SEARCH("minggu",C1130))),IFERROR(_xlfn.NUMBERVALUE(SUBSTITUTE(LEFT(TRIM(C1130),FIND(" ",TRIM(C1130)&amp;" ")-1),",","."),"."),LEFT(SUBSTITUTE(LEFT(TRIM(C1130),FIND(" ",TRIM(C1130)&amp;" ")-1),",","."),FIND("/",SUBSTITUTE(LEFT(TRIM(C1130),FIND(" ",TRIM(C1130)&amp;" ")-1),",","."))-1)/MID(SUBSTITUTE(LEFT(TRIM(C1130),FIND(" ",TRIM(C1130)&amp;" ")-1),",","."),FIND("/",SUBSTITUTE(LEFT(TRIM(C1130),FIND(" ",TRIM(C1130)&amp;" ")-1),",","."))+1,9))*12/52,IF(ISNUMBER(SEARCH("month",C1130)),IFERROR(_xlfn.NUMBERVALUE(SUBSTITUTE(LEFT(TRIM(C1130),FIND(" ",TRIM(C1130)&amp;" ")-1),",","."),"."),LEFT(SUBSTITUTE(LEFT(TRIM(C1130),FIND(" ",TRIM(C1130)&amp;" ")-1),",","."),FIND("/",SUBSTITUTE(LEFT(TRIM(C1130),FIND(" ",TRIM(C1130)&amp;" ")-1),",","."))-1)/MID(SUBSTITUTE(LEFT(TRIM(C1130),FIND(" ",TRIM(C1130)&amp;" ")-1),",","."),FIND("/",SUBSTITUTE(LEFT(TRIM(C1130),FIND(" ",TRIM(C1130)&amp;" ")-1),",","."))+1,9)),IF(ISNUMBER(SEARCH("yea",C1130)),IFERROR(_xlfn.NUMBERVALUE(SUBSTITUTE(LEFT(TRIM(C1130),FIND(" ",TRIM(C1130)&amp;" ")-1),",","."),"."),LEFT(SUBSTITUTE(LEFT(TRIM(C1130),FIND(" ",TRIM(C1130)&amp;" ")-1),",","."),FIND("/",SUBSTITUTE(LEFT(TRIM(C1130),FIND(" ",TRIM(C1130)&amp;" ")-1),",","."))-1)/MID(SUBSTITUTE(LEFT(TRIM(C1130),FIND(" ",TRIM(C1130)&amp;" ")-1),",","."),FIND("/",SUBSTITUTE(LEFT(TRIM(C1130),FIND(" ",TRIM(C1130)&amp;" ")-1),",","."))+1,9))*12,NA()))),0),24)*'Aturan &amp; Tarif'!$B$4,2)</f>
        <v>1362.72</v>
      </c>
      <c r="K1130" s="42" t="n">
        <f aca="false">'Aturan &amp; Tarif'!$B$5</f>
        <v>2050</v>
      </c>
      <c r="L1130" s="42" t="n">
        <f aca="false">'Aturan &amp; Tarif'!$B$6</f>
        <v>350</v>
      </c>
      <c r="M1130" s="35" t="n">
        <f aca="false">I1130+J1130+K1130+L1130</f>
        <v>21150.72</v>
      </c>
      <c r="N1130" s="45" t="s">
        <v>2665</v>
      </c>
    </row>
    <row r="1131" customFormat="false" ht="25.5" hidden="false" customHeight="true" outlineLevel="0" collapsed="false">
      <c r="A1131" s="39"/>
      <c r="B1131" s="40" t="s">
        <v>2724</v>
      </c>
      <c r="C1131" s="41" t="s">
        <v>138</v>
      </c>
      <c r="D1131" s="41" t="s">
        <v>108</v>
      </c>
      <c r="E1131" s="42" t="n">
        <v>8768</v>
      </c>
      <c r="F1131" s="42"/>
      <c r="G1131" s="42"/>
      <c r="H1131" s="43" t="n">
        <v>2</v>
      </c>
      <c r="I1131" s="34" t="n">
        <f aca="false">E1131*H1131+N(F1131)+N(G1131)</f>
        <v>17536</v>
      </c>
      <c r="J1131" s="42" t="n">
        <f aca="false">ROUND(IFERROR(ROUND(IF(OR(ISNUMBER(SEARCH("week",C1131)),ISNUMBER(SEARCH("minggu",C1131))),IFERROR(_xlfn.NUMBERVALUE(SUBSTITUTE(LEFT(TRIM(C1131),FIND(" ",TRIM(C1131)&amp;" ")-1),",","."),"."),LEFT(SUBSTITUTE(LEFT(TRIM(C1131),FIND(" ",TRIM(C1131)&amp;" ")-1),",","."),FIND("/",SUBSTITUTE(LEFT(TRIM(C1131),FIND(" ",TRIM(C1131)&amp;" ")-1),",","."))-1)/MID(SUBSTITUTE(LEFT(TRIM(C1131),FIND(" ",TRIM(C1131)&amp;" ")-1),",","."),FIND("/",SUBSTITUTE(LEFT(TRIM(C1131),FIND(" ",TRIM(C1131)&amp;" ")-1),",","."))+1,9))*12/52,IF(ISNUMBER(SEARCH("month",C1131)),IFERROR(_xlfn.NUMBERVALUE(SUBSTITUTE(LEFT(TRIM(C1131),FIND(" ",TRIM(C1131)&amp;" ")-1),",","."),"."),LEFT(SUBSTITUTE(LEFT(TRIM(C1131),FIND(" ",TRIM(C1131)&amp;" ")-1),",","."),FIND("/",SUBSTITUTE(LEFT(TRIM(C1131),FIND(" ",TRIM(C1131)&amp;" ")-1),",","."))-1)/MID(SUBSTITUTE(LEFT(TRIM(C1131),FIND(" ",TRIM(C1131)&amp;" ")-1),",","."),FIND("/",SUBSTITUTE(LEFT(TRIM(C1131),FIND(" ",TRIM(C1131)&amp;" ")-1),",","."))+1,9)),IF(ISNUMBER(SEARCH("yea",C1131)),IFERROR(_xlfn.NUMBERVALUE(SUBSTITUTE(LEFT(TRIM(C1131),FIND(" ",TRIM(C1131)&amp;" ")-1),",","."),"."),LEFT(SUBSTITUTE(LEFT(TRIM(C1131),FIND(" ",TRIM(C1131)&amp;" ")-1),",","."),FIND("/",SUBSTITUTE(LEFT(TRIM(C1131),FIND(" ",TRIM(C1131)&amp;" ")-1),",","."))-1)/MID(SUBSTITUTE(LEFT(TRIM(C1131),FIND(" ",TRIM(C1131)&amp;" ")-1),",","."),FIND("/",SUBSTITUTE(LEFT(TRIM(C1131),FIND(" ",TRIM(C1131)&amp;" ")-1),",","."))+1,9))*12,NA()))),0),30)*'Aturan &amp; Tarif'!$B$4,2)</f>
        <v>1703.4</v>
      </c>
      <c r="K1131" s="42" t="n">
        <f aca="false">'Aturan &amp; Tarif'!$B$5</f>
        <v>2050</v>
      </c>
      <c r="L1131" s="42" t="n">
        <f aca="false">'Aturan &amp; Tarif'!$B$6</f>
        <v>350</v>
      </c>
      <c r="M1131" s="35" t="n">
        <f aca="false">I1131+J1131+K1131+L1131</f>
        <v>21639.4</v>
      </c>
      <c r="N1131" s="45" t="s">
        <v>2665</v>
      </c>
    </row>
    <row r="1132" customFormat="false" ht="25.5" hidden="false" customHeight="true" outlineLevel="0" collapsed="false">
      <c r="A1132" s="39"/>
      <c r="B1132" s="40" t="s">
        <v>2725</v>
      </c>
      <c r="C1132" s="41" t="s">
        <v>107</v>
      </c>
      <c r="D1132" s="41" t="s">
        <v>108</v>
      </c>
      <c r="E1132" s="42" t="n">
        <v>8768</v>
      </c>
      <c r="F1132" s="42"/>
      <c r="G1132" s="42"/>
      <c r="H1132" s="43" t="n">
        <v>2</v>
      </c>
      <c r="I1132" s="34" t="n">
        <f aca="false">E1132*H1132+N(F1132)+N(G1132)</f>
        <v>17536</v>
      </c>
      <c r="J1132" s="42" t="n">
        <f aca="false">ROUND(IFERROR(ROUND(IF(OR(ISNUMBER(SEARCH("week",C1132)),ISNUMBER(SEARCH("minggu",C1132))),IFERROR(_xlfn.NUMBERVALUE(SUBSTITUTE(LEFT(TRIM(C1132),FIND(" ",TRIM(C1132)&amp;" ")-1),",","."),"."),LEFT(SUBSTITUTE(LEFT(TRIM(C1132),FIND(" ",TRIM(C1132)&amp;" ")-1),",","."),FIND("/",SUBSTITUTE(LEFT(TRIM(C1132),FIND(" ",TRIM(C1132)&amp;" ")-1),",","."))-1)/MID(SUBSTITUTE(LEFT(TRIM(C1132),FIND(" ",TRIM(C1132)&amp;" ")-1),",","."),FIND("/",SUBSTITUTE(LEFT(TRIM(C1132),FIND(" ",TRIM(C1132)&amp;" ")-1),",","."))+1,9))*12/52,IF(ISNUMBER(SEARCH("month",C1132)),IFERROR(_xlfn.NUMBERVALUE(SUBSTITUTE(LEFT(TRIM(C1132),FIND(" ",TRIM(C1132)&amp;" ")-1),",","."),"."),LEFT(SUBSTITUTE(LEFT(TRIM(C1132),FIND(" ",TRIM(C1132)&amp;" ")-1),",","."),FIND("/",SUBSTITUTE(LEFT(TRIM(C1132),FIND(" ",TRIM(C1132)&amp;" ")-1),",","."))-1)/MID(SUBSTITUTE(LEFT(TRIM(C1132),FIND(" ",TRIM(C1132)&amp;" ")-1),",","."),FIND("/",SUBSTITUTE(LEFT(TRIM(C1132),FIND(" ",TRIM(C1132)&amp;" ")-1),",","."))+1,9)),IF(ISNUMBER(SEARCH("yea",C1132)),IFERROR(_xlfn.NUMBERVALUE(SUBSTITUTE(LEFT(TRIM(C1132),FIND(" ",TRIM(C1132)&amp;" ")-1),",","."),"."),LEFT(SUBSTITUTE(LEFT(TRIM(C1132),FIND(" ",TRIM(C1132)&amp;" ")-1),",","."),FIND("/",SUBSTITUTE(LEFT(TRIM(C1132),FIND(" ",TRIM(C1132)&amp;" ")-1),",","."))-1)/MID(SUBSTITUTE(LEFT(TRIM(C1132),FIND(" ",TRIM(C1132)&amp;" ")-1),",","."),FIND("/",SUBSTITUTE(LEFT(TRIM(C1132),FIND(" ",TRIM(C1132)&amp;" ")-1),",","."))+1,9))*12,NA()))),0),24)*'Aturan &amp; Tarif'!$B$4,2)</f>
        <v>1362.72</v>
      </c>
      <c r="K1132" s="42" t="n">
        <f aca="false">'Aturan &amp; Tarif'!$B$5</f>
        <v>2050</v>
      </c>
      <c r="L1132" s="42" t="n">
        <f aca="false">'Aturan &amp; Tarif'!$B$6</f>
        <v>350</v>
      </c>
      <c r="M1132" s="35" t="n">
        <f aca="false">I1132+J1132+K1132+L1132</f>
        <v>21298.72</v>
      </c>
      <c r="N1132" s="45" t="s">
        <v>2665</v>
      </c>
    </row>
    <row r="1133" customFormat="false" ht="25.5" hidden="false" customHeight="true" outlineLevel="0" collapsed="false">
      <c r="A1133" s="39"/>
      <c r="B1133" s="40" t="s">
        <v>2726</v>
      </c>
      <c r="C1133" s="41" t="s">
        <v>107</v>
      </c>
      <c r="D1133" s="41" t="s">
        <v>108</v>
      </c>
      <c r="E1133" s="42" t="n">
        <v>8768</v>
      </c>
      <c r="F1133" s="42"/>
      <c r="G1133" s="42"/>
      <c r="H1133" s="43" t="n">
        <v>2</v>
      </c>
      <c r="I1133" s="34" t="n">
        <f aca="false">E1133*H1133+N(F1133)+N(G1133)</f>
        <v>17536</v>
      </c>
      <c r="J1133" s="42" t="n">
        <f aca="false">ROUND(IFERROR(ROUND(IF(OR(ISNUMBER(SEARCH("week",C1133)),ISNUMBER(SEARCH("minggu",C1133))),IFERROR(_xlfn.NUMBERVALUE(SUBSTITUTE(LEFT(TRIM(C1133),FIND(" ",TRIM(C1133)&amp;" ")-1),",","."),"."),LEFT(SUBSTITUTE(LEFT(TRIM(C1133),FIND(" ",TRIM(C1133)&amp;" ")-1),",","."),FIND("/",SUBSTITUTE(LEFT(TRIM(C1133),FIND(" ",TRIM(C1133)&amp;" ")-1),",","."))-1)/MID(SUBSTITUTE(LEFT(TRIM(C1133),FIND(" ",TRIM(C1133)&amp;" ")-1),",","."),FIND("/",SUBSTITUTE(LEFT(TRIM(C1133),FIND(" ",TRIM(C1133)&amp;" ")-1),",","."))+1,9))*12/52,IF(ISNUMBER(SEARCH("month",C1133)),IFERROR(_xlfn.NUMBERVALUE(SUBSTITUTE(LEFT(TRIM(C1133),FIND(" ",TRIM(C1133)&amp;" ")-1),",","."),"."),LEFT(SUBSTITUTE(LEFT(TRIM(C1133),FIND(" ",TRIM(C1133)&amp;" ")-1),",","."),FIND("/",SUBSTITUTE(LEFT(TRIM(C1133),FIND(" ",TRIM(C1133)&amp;" ")-1),",","."))-1)/MID(SUBSTITUTE(LEFT(TRIM(C1133),FIND(" ",TRIM(C1133)&amp;" ")-1),",","."),FIND("/",SUBSTITUTE(LEFT(TRIM(C1133),FIND(" ",TRIM(C1133)&amp;" ")-1),",","."))+1,9)),IF(ISNUMBER(SEARCH("yea",C1133)),IFERROR(_xlfn.NUMBERVALUE(SUBSTITUTE(LEFT(TRIM(C1133),FIND(" ",TRIM(C1133)&amp;" ")-1),",","."),"."),LEFT(SUBSTITUTE(LEFT(TRIM(C1133),FIND(" ",TRIM(C1133)&amp;" ")-1),",","."),FIND("/",SUBSTITUTE(LEFT(TRIM(C1133),FIND(" ",TRIM(C1133)&amp;" ")-1),",","."))-1)/MID(SUBSTITUTE(LEFT(TRIM(C1133),FIND(" ",TRIM(C1133)&amp;" ")-1),",","."),FIND("/",SUBSTITUTE(LEFT(TRIM(C1133),FIND(" ",TRIM(C1133)&amp;" ")-1),",","."))+1,9))*12,NA()))),0),24)*'Aturan &amp; Tarif'!$B$4,2)</f>
        <v>1362.72</v>
      </c>
      <c r="K1133" s="42" t="n">
        <f aca="false">'Aturan &amp; Tarif'!$B$5</f>
        <v>2050</v>
      </c>
      <c r="L1133" s="42" t="n">
        <f aca="false">'Aturan &amp; Tarif'!$B$6</f>
        <v>350</v>
      </c>
      <c r="M1133" s="35" t="n">
        <f aca="false">I1133+J1133+K1133+L1133</f>
        <v>21298.72</v>
      </c>
      <c r="N1133" s="45" t="s">
        <v>2665</v>
      </c>
    </row>
    <row r="1134" customFormat="false" ht="25.5" hidden="false" customHeight="true" outlineLevel="0" collapsed="false">
      <c r="A1134" s="39"/>
      <c r="B1134" s="40" t="s">
        <v>2727</v>
      </c>
      <c r="C1134" s="41" t="s">
        <v>107</v>
      </c>
      <c r="D1134" s="41" t="s">
        <v>108</v>
      </c>
      <c r="E1134" s="42" t="n">
        <v>8768</v>
      </c>
      <c r="F1134" s="42"/>
      <c r="G1134" s="42"/>
      <c r="H1134" s="43" t="n">
        <v>2</v>
      </c>
      <c r="I1134" s="34" t="n">
        <f aca="false">E1134*H1134+N(F1134)+N(G1134)</f>
        <v>17536</v>
      </c>
      <c r="J1134" s="42" t="n">
        <f aca="false">ROUND(IFERROR(ROUND(IF(OR(ISNUMBER(SEARCH("week",C1134)),ISNUMBER(SEARCH("minggu",C1134))),IFERROR(_xlfn.NUMBERVALUE(SUBSTITUTE(LEFT(TRIM(C1134),FIND(" ",TRIM(C1134)&amp;" ")-1),",","."),"."),LEFT(SUBSTITUTE(LEFT(TRIM(C1134),FIND(" ",TRIM(C1134)&amp;" ")-1),",","."),FIND("/",SUBSTITUTE(LEFT(TRIM(C1134),FIND(" ",TRIM(C1134)&amp;" ")-1),",","."))-1)/MID(SUBSTITUTE(LEFT(TRIM(C1134),FIND(" ",TRIM(C1134)&amp;" ")-1),",","."),FIND("/",SUBSTITUTE(LEFT(TRIM(C1134),FIND(" ",TRIM(C1134)&amp;" ")-1),",","."))+1,9))*12/52,IF(ISNUMBER(SEARCH("month",C1134)),IFERROR(_xlfn.NUMBERVALUE(SUBSTITUTE(LEFT(TRIM(C1134),FIND(" ",TRIM(C1134)&amp;" ")-1),",","."),"."),LEFT(SUBSTITUTE(LEFT(TRIM(C1134),FIND(" ",TRIM(C1134)&amp;" ")-1),",","."),FIND("/",SUBSTITUTE(LEFT(TRIM(C1134),FIND(" ",TRIM(C1134)&amp;" ")-1),",","."))-1)/MID(SUBSTITUTE(LEFT(TRIM(C1134),FIND(" ",TRIM(C1134)&amp;" ")-1),",","."),FIND("/",SUBSTITUTE(LEFT(TRIM(C1134),FIND(" ",TRIM(C1134)&amp;" ")-1),",","."))+1,9)),IF(ISNUMBER(SEARCH("yea",C1134)),IFERROR(_xlfn.NUMBERVALUE(SUBSTITUTE(LEFT(TRIM(C1134),FIND(" ",TRIM(C1134)&amp;" ")-1),",","."),"."),LEFT(SUBSTITUTE(LEFT(TRIM(C1134),FIND(" ",TRIM(C1134)&amp;" ")-1),",","."),FIND("/",SUBSTITUTE(LEFT(TRIM(C1134),FIND(" ",TRIM(C1134)&amp;" ")-1),",","."))-1)/MID(SUBSTITUTE(LEFT(TRIM(C1134),FIND(" ",TRIM(C1134)&amp;" ")-1),",","."),FIND("/",SUBSTITUTE(LEFT(TRIM(C1134),FIND(" ",TRIM(C1134)&amp;" ")-1),",","."))+1,9))*12,NA()))),0),24)*'Aturan &amp; Tarif'!$B$4,2)</f>
        <v>1362.72</v>
      </c>
      <c r="K1134" s="42" t="n">
        <f aca="false">'Aturan &amp; Tarif'!$B$5</f>
        <v>2050</v>
      </c>
      <c r="L1134" s="42" t="n">
        <f aca="false">'Aturan &amp; Tarif'!$B$6</f>
        <v>350</v>
      </c>
      <c r="M1134" s="35" t="n">
        <f aca="false">I1134+J1134+K1134+L1134</f>
        <v>21298.72</v>
      </c>
      <c r="N1134" s="45" t="s">
        <v>2665</v>
      </c>
    </row>
    <row r="1135" customFormat="false" ht="25.5" hidden="false" customHeight="true" outlineLevel="0" collapsed="false">
      <c r="A1135" s="39"/>
      <c r="B1135" s="40" t="s">
        <v>2728</v>
      </c>
      <c r="C1135" s="41" t="s">
        <v>107</v>
      </c>
      <c r="D1135" s="41" t="s">
        <v>108</v>
      </c>
      <c r="E1135" s="42" t="n">
        <v>8768</v>
      </c>
      <c r="F1135" s="42"/>
      <c r="G1135" s="42"/>
      <c r="H1135" s="43" t="n">
        <v>2</v>
      </c>
      <c r="I1135" s="34" t="n">
        <f aca="false">E1135*H1135+N(F1135)+N(G1135)</f>
        <v>17536</v>
      </c>
      <c r="J1135" s="42" t="n">
        <f aca="false">ROUND(IFERROR(ROUND(IF(OR(ISNUMBER(SEARCH("week",C1135)),ISNUMBER(SEARCH("minggu",C1135))),IFERROR(_xlfn.NUMBERVALUE(SUBSTITUTE(LEFT(TRIM(C1135),FIND(" ",TRIM(C1135)&amp;" ")-1),",","."),"."),LEFT(SUBSTITUTE(LEFT(TRIM(C1135),FIND(" ",TRIM(C1135)&amp;" ")-1),",","."),FIND("/",SUBSTITUTE(LEFT(TRIM(C1135),FIND(" ",TRIM(C1135)&amp;" ")-1),",","."))-1)/MID(SUBSTITUTE(LEFT(TRIM(C1135),FIND(" ",TRIM(C1135)&amp;" ")-1),",","."),FIND("/",SUBSTITUTE(LEFT(TRIM(C1135),FIND(" ",TRIM(C1135)&amp;" ")-1),",","."))+1,9))*12/52,IF(ISNUMBER(SEARCH("month",C1135)),IFERROR(_xlfn.NUMBERVALUE(SUBSTITUTE(LEFT(TRIM(C1135),FIND(" ",TRIM(C1135)&amp;" ")-1),",","."),"."),LEFT(SUBSTITUTE(LEFT(TRIM(C1135),FIND(" ",TRIM(C1135)&amp;" ")-1),",","."),FIND("/",SUBSTITUTE(LEFT(TRIM(C1135),FIND(" ",TRIM(C1135)&amp;" ")-1),",","."))-1)/MID(SUBSTITUTE(LEFT(TRIM(C1135),FIND(" ",TRIM(C1135)&amp;" ")-1),",","."),FIND("/",SUBSTITUTE(LEFT(TRIM(C1135),FIND(" ",TRIM(C1135)&amp;" ")-1),",","."))+1,9)),IF(ISNUMBER(SEARCH("yea",C1135)),IFERROR(_xlfn.NUMBERVALUE(SUBSTITUTE(LEFT(TRIM(C1135),FIND(" ",TRIM(C1135)&amp;" ")-1),",","."),"."),LEFT(SUBSTITUTE(LEFT(TRIM(C1135),FIND(" ",TRIM(C1135)&amp;" ")-1),",","."),FIND("/",SUBSTITUTE(LEFT(TRIM(C1135),FIND(" ",TRIM(C1135)&amp;" ")-1),",","."))-1)/MID(SUBSTITUTE(LEFT(TRIM(C1135),FIND(" ",TRIM(C1135)&amp;" ")-1),",","."),FIND("/",SUBSTITUTE(LEFT(TRIM(C1135),FIND(" ",TRIM(C1135)&amp;" ")-1),",","."))+1,9))*12,NA()))),0),24)*'Aturan &amp; Tarif'!$B$4,2)</f>
        <v>1362.72</v>
      </c>
      <c r="K1135" s="42" t="n">
        <f aca="false">'Aturan &amp; Tarif'!$B$5</f>
        <v>2050</v>
      </c>
      <c r="L1135" s="42" t="n">
        <f aca="false">'Aturan &amp; Tarif'!$B$6</f>
        <v>350</v>
      </c>
      <c r="M1135" s="35" t="n">
        <f aca="false">I1135+J1135+K1135+L1135</f>
        <v>21298.72</v>
      </c>
      <c r="N1135" s="45" t="s">
        <v>2665</v>
      </c>
    </row>
    <row r="1136" customFormat="false" ht="25.5" hidden="false" customHeight="true" outlineLevel="0" collapsed="false">
      <c r="A1136" s="39"/>
      <c r="B1136" s="40" t="s">
        <v>2729</v>
      </c>
      <c r="C1136" s="41" t="s">
        <v>130</v>
      </c>
      <c r="D1136" s="41" t="s">
        <v>108</v>
      </c>
      <c r="E1136" s="42" t="n">
        <v>8694</v>
      </c>
      <c r="F1136" s="42"/>
      <c r="G1136" s="42"/>
      <c r="H1136" s="43" t="n">
        <v>2</v>
      </c>
      <c r="I1136" s="34" t="n">
        <f aca="false">E1136*H1136+N(F1136)+N(G1136)</f>
        <v>17388</v>
      </c>
      <c r="J1136" s="42" t="n">
        <f aca="false">ROUND(IFERROR(ROUND(IF(OR(ISNUMBER(SEARCH("week",C1136)),ISNUMBER(SEARCH("minggu",C1136))),IFERROR(_xlfn.NUMBERVALUE(SUBSTITUTE(LEFT(TRIM(C1136),FIND(" ",TRIM(C1136)&amp;" ")-1),",","."),"."),LEFT(SUBSTITUTE(LEFT(TRIM(C1136),FIND(" ",TRIM(C1136)&amp;" ")-1),",","."),FIND("/",SUBSTITUTE(LEFT(TRIM(C1136),FIND(" ",TRIM(C1136)&amp;" ")-1),",","."))-1)/MID(SUBSTITUTE(LEFT(TRIM(C1136),FIND(" ",TRIM(C1136)&amp;" ")-1),",","."),FIND("/",SUBSTITUTE(LEFT(TRIM(C1136),FIND(" ",TRIM(C1136)&amp;" ")-1),",","."))+1,9))*12/52,IF(ISNUMBER(SEARCH("month",C1136)),IFERROR(_xlfn.NUMBERVALUE(SUBSTITUTE(LEFT(TRIM(C1136),FIND(" ",TRIM(C1136)&amp;" ")-1),",","."),"."),LEFT(SUBSTITUTE(LEFT(TRIM(C1136),FIND(" ",TRIM(C1136)&amp;" ")-1),",","."),FIND("/",SUBSTITUTE(LEFT(TRIM(C1136),FIND(" ",TRIM(C1136)&amp;" ")-1),",","."))-1)/MID(SUBSTITUTE(LEFT(TRIM(C1136),FIND(" ",TRIM(C1136)&amp;" ")-1),",","."),FIND("/",SUBSTITUTE(LEFT(TRIM(C1136),FIND(" ",TRIM(C1136)&amp;" ")-1),",","."))+1,9)),IF(ISNUMBER(SEARCH("yea",C1136)),IFERROR(_xlfn.NUMBERVALUE(SUBSTITUTE(LEFT(TRIM(C1136),FIND(" ",TRIM(C1136)&amp;" ")-1),",","."),"."),LEFT(SUBSTITUTE(LEFT(TRIM(C1136),FIND(" ",TRIM(C1136)&amp;" ")-1),",","."),FIND("/",SUBSTITUTE(LEFT(TRIM(C1136),FIND(" ",TRIM(C1136)&amp;" ")-1),",","."))-1)/MID(SUBSTITUTE(LEFT(TRIM(C1136),FIND(" ",TRIM(C1136)&amp;" ")-1),",","."),FIND("/",SUBSTITUTE(LEFT(TRIM(C1136),FIND(" ",TRIM(C1136)&amp;" ")-1),",","."))+1,9))*12,NA()))),0),12)*'Aturan &amp; Tarif'!$B$4,2)</f>
        <v>681.36</v>
      </c>
      <c r="K1136" s="42" t="n">
        <f aca="false">'Aturan &amp; Tarif'!$B$5</f>
        <v>2050</v>
      </c>
      <c r="L1136" s="42" t="n">
        <f aca="false">'Aturan &amp; Tarif'!$B$6</f>
        <v>350</v>
      </c>
      <c r="M1136" s="35" t="n">
        <f aca="false">I1136+J1136+K1136+L1136</f>
        <v>20469.36</v>
      </c>
      <c r="N1136" s="45" t="s">
        <v>2665</v>
      </c>
    </row>
    <row r="1137" customFormat="false" ht="25.5" hidden="false" customHeight="true" outlineLevel="0" collapsed="false">
      <c r="A1137" s="39"/>
      <c r="B1137" s="40" t="s">
        <v>2730</v>
      </c>
      <c r="C1137" s="41" t="s">
        <v>130</v>
      </c>
      <c r="D1137" s="41" t="s">
        <v>108</v>
      </c>
      <c r="E1137" s="42" t="n">
        <v>8694</v>
      </c>
      <c r="F1137" s="42"/>
      <c r="G1137" s="42"/>
      <c r="H1137" s="43" t="n">
        <v>2</v>
      </c>
      <c r="I1137" s="34" t="n">
        <f aca="false">E1137*H1137+N(F1137)+N(G1137)</f>
        <v>17388</v>
      </c>
      <c r="J1137" s="42" t="n">
        <f aca="false">ROUND(IFERROR(ROUND(IF(OR(ISNUMBER(SEARCH("week",C1137)),ISNUMBER(SEARCH("minggu",C1137))),IFERROR(_xlfn.NUMBERVALUE(SUBSTITUTE(LEFT(TRIM(C1137),FIND(" ",TRIM(C1137)&amp;" ")-1),",","."),"."),LEFT(SUBSTITUTE(LEFT(TRIM(C1137),FIND(" ",TRIM(C1137)&amp;" ")-1),",","."),FIND("/",SUBSTITUTE(LEFT(TRIM(C1137),FIND(" ",TRIM(C1137)&amp;" ")-1),",","."))-1)/MID(SUBSTITUTE(LEFT(TRIM(C1137),FIND(" ",TRIM(C1137)&amp;" ")-1),",","."),FIND("/",SUBSTITUTE(LEFT(TRIM(C1137),FIND(" ",TRIM(C1137)&amp;" ")-1),",","."))+1,9))*12/52,IF(ISNUMBER(SEARCH("month",C1137)),IFERROR(_xlfn.NUMBERVALUE(SUBSTITUTE(LEFT(TRIM(C1137),FIND(" ",TRIM(C1137)&amp;" ")-1),",","."),"."),LEFT(SUBSTITUTE(LEFT(TRIM(C1137),FIND(" ",TRIM(C1137)&amp;" ")-1),",","."),FIND("/",SUBSTITUTE(LEFT(TRIM(C1137),FIND(" ",TRIM(C1137)&amp;" ")-1),",","."))-1)/MID(SUBSTITUTE(LEFT(TRIM(C1137),FIND(" ",TRIM(C1137)&amp;" ")-1),",","."),FIND("/",SUBSTITUTE(LEFT(TRIM(C1137),FIND(" ",TRIM(C1137)&amp;" ")-1),",","."))+1,9)),IF(ISNUMBER(SEARCH("yea",C1137)),IFERROR(_xlfn.NUMBERVALUE(SUBSTITUTE(LEFT(TRIM(C1137),FIND(" ",TRIM(C1137)&amp;" ")-1),",","."),"."),LEFT(SUBSTITUTE(LEFT(TRIM(C1137),FIND(" ",TRIM(C1137)&amp;" ")-1),",","."),FIND("/",SUBSTITUTE(LEFT(TRIM(C1137),FIND(" ",TRIM(C1137)&amp;" ")-1),",","."))-1)/MID(SUBSTITUTE(LEFT(TRIM(C1137),FIND(" ",TRIM(C1137)&amp;" ")-1),",","."),FIND("/",SUBSTITUTE(LEFT(TRIM(C1137),FIND(" ",TRIM(C1137)&amp;" ")-1),",","."))+1,9))*12,NA()))),0),12)*'Aturan &amp; Tarif'!$B$4,2)</f>
        <v>681.36</v>
      </c>
      <c r="K1137" s="42" t="n">
        <f aca="false">'Aturan &amp; Tarif'!$B$5</f>
        <v>2050</v>
      </c>
      <c r="L1137" s="42" t="n">
        <f aca="false">'Aturan &amp; Tarif'!$B$6</f>
        <v>350</v>
      </c>
      <c r="M1137" s="35" t="n">
        <f aca="false">I1137+J1137+K1137+L1137</f>
        <v>20469.36</v>
      </c>
      <c r="N1137" s="45" t="s">
        <v>2665</v>
      </c>
    </row>
    <row r="1138" customFormat="false" ht="25.5" hidden="false" customHeight="true" outlineLevel="0" collapsed="false">
      <c r="A1138" s="39"/>
      <c r="B1138" s="40" t="s">
        <v>2731</v>
      </c>
      <c r="C1138" s="41" t="s">
        <v>107</v>
      </c>
      <c r="D1138" s="41" t="s">
        <v>108</v>
      </c>
      <c r="E1138" s="42" t="n">
        <v>9908</v>
      </c>
      <c r="F1138" s="42"/>
      <c r="G1138" s="42"/>
      <c r="H1138" s="43" t="n">
        <v>2</v>
      </c>
      <c r="I1138" s="34" t="n">
        <f aca="false">E1138*H1138+N(F1138)+N(G1138)</f>
        <v>19816</v>
      </c>
      <c r="J1138" s="42" t="n">
        <f aca="false">ROUND(IFERROR(ROUND(IF(OR(ISNUMBER(SEARCH("week",C1138)),ISNUMBER(SEARCH("minggu",C1138))),IFERROR(_xlfn.NUMBERVALUE(SUBSTITUTE(LEFT(TRIM(C1138),FIND(" ",TRIM(C1138)&amp;" ")-1),",","."),"."),LEFT(SUBSTITUTE(LEFT(TRIM(C1138),FIND(" ",TRIM(C1138)&amp;" ")-1),",","."),FIND("/",SUBSTITUTE(LEFT(TRIM(C1138),FIND(" ",TRIM(C1138)&amp;" ")-1),",","."))-1)/MID(SUBSTITUTE(LEFT(TRIM(C1138),FIND(" ",TRIM(C1138)&amp;" ")-1),",","."),FIND("/",SUBSTITUTE(LEFT(TRIM(C1138),FIND(" ",TRIM(C1138)&amp;" ")-1),",","."))+1,9))*12/52,IF(ISNUMBER(SEARCH("month",C1138)),IFERROR(_xlfn.NUMBERVALUE(SUBSTITUTE(LEFT(TRIM(C1138),FIND(" ",TRIM(C1138)&amp;" ")-1),",","."),"."),LEFT(SUBSTITUTE(LEFT(TRIM(C1138),FIND(" ",TRIM(C1138)&amp;" ")-1),",","."),FIND("/",SUBSTITUTE(LEFT(TRIM(C1138),FIND(" ",TRIM(C1138)&amp;" ")-1),",","."))-1)/MID(SUBSTITUTE(LEFT(TRIM(C1138),FIND(" ",TRIM(C1138)&amp;" ")-1),",","."),FIND("/",SUBSTITUTE(LEFT(TRIM(C1138),FIND(" ",TRIM(C1138)&amp;" ")-1),",","."))+1,9)),IF(ISNUMBER(SEARCH("yea",C1138)),IFERROR(_xlfn.NUMBERVALUE(SUBSTITUTE(LEFT(TRIM(C1138),FIND(" ",TRIM(C1138)&amp;" ")-1),",","."),"."),LEFT(SUBSTITUTE(LEFT(TRIM(C1138),FIND(" ",TRIM(C1138)&amp;" ")-1),",","."),FIND("/",SUBSTITUTE(LEFT(TRIM(C1138),FIND(" ",TRIM(C1138)&amp;" ")-1),",","."))-1)/MID(SUBSTITUTE(LEFT(TRIM(C1138),FIND(" ",TRIM(C1138)&amp;" ")-1),",","."),FIND("/",SUBSTITUTE(LEFT(TRIM(C1138),FIND(" ",TRIM(C1138)&amp;" ")-1),",","."))+1,9))*12,NA()))),0),24)*'Aturan &amp; Tarif'!$B$4,2)</f>
        <v>1362.72</v>
      </c>
      <c r="K1138" s="42" t="n">
        <f aca="false">'Aturan &amp; Tarif'!$B$5</f>
        <v>2050</v>
      </c>
      <c r="L1138" s="42" t="n">
        <f aca="false">'Aturan &amp; Tarif'!$B$6</f>
        <v>350</v>
      </c>
      <c r="M1138" s="35" t="n">
        <f aca="false">I1138+J1138+K1138+L1138</f>
        <v>23578.72</v>
      </c>
      <c r="N1138" s="45" t="s">
        <v>2665</v>
      </c>
    </row>
    <row r="1139" customFormat="false" ht="83.25" hidden="false" customHeight="true" outlineLevel="0" collapsed="false">
      <c r="A1139" s="39"/>
      <c r="B1139" s="40" t="s">
        <v>2732</v>
      </c>
      <c r="C1139" s="41" t="s">
        <v>107</v>
      </c>
      <c r="D1139" s="41" t="s">
        <v>108</v>
      </c>
      <c r="E1139" s="42" t="n">
        <v>9908</v>
      </c>
      <c r="F1139" s="42"/>
      <c r="G1139" s="42"/>
      <c r="H1139" s="43" t="n">
        <v>2</v>
      </c>
      <c r="I1139" s="34" t="n">
        <f aca="false">E1139*H1139+N(F1139)+N(G1139)</f>
        <v>19816</v>
      </c>
      <c r="J1139" s="42" t="n">
        <f aca="false">ROUND(IFERROR(ROUND(IF(OR(ISNUMBER(SEARCH("week",C1139)),ISNUMBER(SEARCH("minggu",C1139))),IFERROR(_xlfn.NUMBERVALUE(SUBSTITUTE(LEFT(TRIM(C1139),FIND(" ",TRIM(C1139)&amp;" ")-1),",","."),"."),LEFT(SUBSTITUTE(LEFT(TRIM(C1139),FIND(" ",TRIM(C1139)&amp;" ")-1),",","."),FIND("/",SUBSTITUTE(LEFT(TRIM(C1139),FIND(" ",TRIM(C1139)&amp;" ")-1),",","."))-1)/MID(SUBSTITUTE(LEFT(TRIM(C1139),FIND(" ",TRIM(C1139)&amp;" ")-1),",","."),FIND("/",SUBSTITUTE(LEFT(TRIM(C1139),FIND(" ",TRIM(C1139)&amp;" ")-1),",","."))+1,9))*12/52,IF(ISNUMBER(SEARCH("month",C1139)),IFERROR(_xlfn.NUMBERVALUE(SUBSTITUTE(LEFT(TRIM(C1139),FIND(" ",TRIM(C1139)&amp;" ")-1),",","."),"."),LEFT(SUBSTITUTE(LEFT(TRIM(C1139),FIND(" ",TRIM(C1139)&amp;" ")-1),",","."),FIND("/",SUBSTITUTE(LEFT(TRIM(C1139),FIND(" ",TRIM(C1139)&amp;" ")-1),",","."))-1)/MID(SUBSTITUTE(LEFT(TRIM(C1139),FIND(" ",TRIM(C1139)&amp;" ")-1),",","."),FIND("/",SUBSTITUTE(LEFT(TRIM(C1139),FIND(" ",TRIM(C1139)&amp;" ")-1),",","."))+1,9)),IF(ISNUMBER(SEARCH("yea",C1139)),IFERROR(_xlfn.NUMBERVALUE(SUBSTITUTE(LEFT(TRIM(C1139),FIND(" ",TRIM(C1139)&amp;" ")-1),",","."),"."),LEFT(SUBSTITUTE(LEFT(TRIM(C1139),FIND(" ",TRIM(C1139)&amp;" ")-1),",","."),FIND("/",SUBSTITUTE(LEFT(TRIM(C1139),FIND(" ",TRIM(C1139)&amp;" ")-1),",","."))-1)/MID(SUBSTITUTE(LEFT(TRIM(C1139),FIND(" ",TRIM(C1139)&amp;" ")-1),",","."),FIND("/",SUBSTITUTE(LEFT(TRIM(C1139),FIND(" ",TRIM(C1139)&amp;" ")-1),",","."))+1,9))*12,NA()))),0),24)*'Aturan &amp; Tarif'!$B$4,2)</f>
        <v>1362.72</v>
      </c>
      <c r="K1139" s="42" t="n">
        <f aca="false">'Aturan &amp; Tarif'!$B$5</f>
        <v>2050</v>
      </c>
      <c r="L1139" s="42" t="n">
        <f aca="false">'Aturan &amp; Tarif'!$B$6</f>
        <v>350</v>
      </c>
      <c r="M1139" s="35" t="n">
        <f aca="false">I1139+J1139+K1139+L1139</f>
        <v>23578.72</v>
      </c>
      <c r="N1139" s="45" t="s">
        <v>2665</v>
      </c>
    </row>
    <row r="1140" customFormat="false" ht="14.25" hidden="false" customHeight="true" outlineLevel="0" collapsed="false">
      <c r="A1140" s="39"/>
      <c r="B1140" s="40" t="s">
        <v>2733</v>
      </c>
      <c r="C1140" s="41" t="s">
        <v>344</v>
      </c>
      <c r="D1140" s="41" t="s">
        <v>108</v>
      </c>
      <c r="E1140" s="42" t="n">
        <v>4954</v>
      </c>
      <c r="F1140" s="42"/>
      <c r="G1140" s="42"/>
      <c r="H1140" s="43" t="n">
        <v>2</v>
      </c>
      <c r="I1140" s="34" t="n">
        <f aca="false">E1140*H1140+N(F1140)+N(G1140)</f>
        <v>9908</v>
      </c>
      <c r="J1140" s="42" t="n">
        <f aca="false">ROUND(IFERROR(ROUND(IF(OR(ISNUMBER(SEARCH("week",C1140)),ISNUMBER(SEARCH("minggu",C1140))),IFERROR(_xlfn.NUMBERVALUE(SUBSTITUTE(LEFT(TRIM(C1140),FIND(" ",TRIM(C1140)&amp;" ")-1),",","."),"."),LEFT(SUBSTITUTE(LEFT(TRIM(C1140),FIND(" ",TRIM(C1140)&amp;" ")-1),",","."),FIND("/",SUBSTITUTE(LEFT(TRIM(C1140),FIND(" ",TRIM(C1140)&amp;" ")-1),",","."))-1)/MID(SUBSTITUTE(LEFT(TRIM(C1140),FIND(" ",TRIM(C1140)&amp;" ")-1),",","."),FIND("/",SUBSTITUTE(LEFT(TRIM(C1140),FIND(" ",TRIM(C1140)&amp;" ")-1),",","."))+1,9))*12/52,IF(ISNUMBER(SEARCH("month",C1140)),IFERROR(_xlfn.NUMBERVALUE(SUBSTITUTE(LEFT(TRIM(C1140),FIND(" ",TRIM(C1140)&amp;" ")-1),",","."),"."),LEFT(SUBSTITUTE(LEFT(TRIM(C1140),FIND(" ",TRIM(C1140)&amp;" ")-1),",","."),FIND("/",SUBSTITUTE(LEFT(TRIM(C1140),FIND(" ",TRIM(C1140)&amp;" ")-1),",","."))-1)/MID(SUBSTITUTE(LEFT(TRIM(C1140),FIND(" ",TRIM(C1140)&amp;" ")-1),",","."),FIND("/",SUBSTITUTE(LEFT(TRIM(C1140),FIND(" ",TRIM(C1140)&amp;" ")-1),",","."))+1,9)),IF(ISNUMBER(SEARCH("yea",C1140)),IFERROR(_xlfn.NUMBERVALUE(SUBSTITUTE(LEFT(TRIM(C1140),FIND(" ",TRIM(C1140)&amp;" ")-1),",","."),"."),LEFT(SUBSTITUTE(LEFT(TRIM(C1140),FIND(" ",TRIM(C1140)&amp;" ")-1),",","."),FIND("/",SUBSTITUTE(LEFT(TRIM(C1140),FIND(" ",TRIM(C1140)&amp;" ")-1),",","."))-1)/MID(SUBSTITUTE(LEFT(TRIM(C1140),FIND(" ",TRIM(C1140)&amp;" ")-1),",","."),FIND("/",SUBSTITUTE(LEFT(TRIM(C1140),FIND(" ",TRIM(C1140)&amp;" ")-1),",","."))+1,9))*12,NA()))),0),6)*'Aturan &amp; Tarif'!$B$4,2)</f>
        <v>340.68</v>
      </c>
      <c r="K1140" s="42" t="n">
        <f aca="false">'Aturan &amp; Tarif'!$B$5</f>
        <v>2050</v>
      </c>
      <c r="L1140" s="42" t="n">
        <f aca="false">'Aturan &amp; Tarif'!$B$6</f>
        <v>350</v>
      </c>
      <c r="M1140" s="35" t="n">
        <f aca="false">I1140+J1140+K1140+L1140</f>
        <v>12648.68</v>
      </c>
      <c r="N1140" s="45" t="s">
        <v>2665</v>
      </c>
    </row>
    <row r="1141" customFormat="false" ht="14.25" hidden="false" customHeight="true" outlineLevel="0" collapsed="false">
      <c r="A1141" s="39"/>
      <c r="B1141" s="40" t="s">
        <v>2734</v>
      </c>
      <c r="C1141" s="41" t="s">
        <v>107</v>
      </c>
      <c r="D1141" s="41" t="s">
        <v>108</v>
      </c>
      <c r="E1141" s="42" t="n">
        <v>8272</v>
      </c>
      <c r="F1141" s="42"/>
      <c r="G1141" s="42"/>
      <c r="H1141" s="43" t="n">
        <v>2</v>
      </c>
      <c r="I1141" s="34" t="n">
        <f aca="false">E1141*H1141+N(F1141)+N(G1141)</f>
        <v>16544</v>
      </c>
      <c r="J1141" s="42" t="n">
        <f aca="false">ROUND(IFERROR(ROUND(IF(OR(ISNUMBER(SEARCH("week",C1141)),ISNUMBER(SEARCH("minggu",C1141))),IFERROR(_xlfn.NUMBERVALUE(SUBSTITUTE(LEFT(TRIM(C1141),FIND(" ",TRIM(C1141)&amp;" ")-1),",","."),"."),LEFT(SUBSTITUTE(LEFT(TRIM(C1141),FIND(" ",TRIM(C1141)&amp;" ")-1),",","."),FIND("/",SUBSTITUTE(LEFT(TRIM(C1141),FIND(" ",TRIM(C1141)&amp;" ")-1),",","."))-1)/MID(SUBSTITUTE(LEFT(TRIM(C1141),FIND(" ",TRIM(C1141)&amp;" ")-1),",","."),FIND("/",SUBSTITUTE(LEFT(TRIM(C1141),FIND(" ",TRIM(C1141)&amp;" ")-1),",","."))+1,9))*12/52,IF(ISNUMBER(SEARCH("month",C1141)),IFERROR(_xlfn.NUMBERVALUE(SUBSTITUTE(LEFT(TRIM(C1141),FIND(" ",TRIM(C1141)&amp;" ")-1),",","."),"."),LEFT(SUBSTITUTE(LEFT(TRIM(C1141),FIND(" ",TRIM(C1141)&amp;" ")-1),",","."),FIND("/",SUBSTITUTE(LEFT(TRIM(C1141),FIND(" ",TRIM(C1141)&amp;" ")-1),",","."))-1)/MID(SUBSTITUTE(LEFT(TRIM(C1141),FIND(" ",TRIM(C1141)&amp;" ")-1),",","."),FIND("/",SUBSTITUTE(LEFT(TRIM(C1141),FIND(" ",TRIM(C1141)&amp;" ")-1),",","."))+1,9)),IF(ISNUMBER(SEARCH("yea",C1141)),IFERROR(_xlfn.NUMBERVALUE(SUBSTITUTE(LEFT(TRIM(C1141),FIND(" ",TRIM(C1141)&amp;" ")-1),",","."),"."),LEFT(SUBSTITUTE(LEFT(TRIM(C1141),FIND(" ",TRIM(C1141)&amp;" ")-1),",","."),FIND("/",SUBSTITUTE(LEFT(TRIM(C1141),FIND(" ",TRIM(C1141)&amp;" ")-1),",","."))-1)/MID(SUBSTITUTE(LEFT(TRIM(C1141),FIND(" ",TRIM(C1141)&amp;" ")-1),",","."),FIND("/",SUBSTITUTE(LEFT(TRIM(C1141),FIND(" ",TRIM(C1141)&amp;" ")-1),",","."))+1,9))*12,NA()))),0),24)*'Aturan &amp; Tarif'!$B$4,2)</f>
        <v>1362.72</v>
      </c>
      <c r="K1141" s="42" t="n">
        <f aca="false">'Aturan &amp; Tarif'!$B$5</f>
        <v>2050</v>
      </c>
      <c r="L1141" s="42" t="n">
        <f aca="false">'Aturan &amp; Tarif'!$B$6</f>
        <v>350</v>
      </c>
      <c r="M1141" s="35" t="n">
        <f aca="false">I1141+J1141+K1141+L1141</f>
        <v>20306.72</v>
      </c>
      <c r="N1141" s="45" t="s">
        <v>2665</v>
      </c>
    </row>
    <row r="1142" customFormat="false" ht="14.25" hidden="false" customHeight="true" outlineLevel="0" collapsed="false">
      <c r="A1142" s="39"/>
      <c r="B1142" s="40" t="s">
        <v>2666</v>
      </c>
      <c r="C1142" s="41" t="s">
        <v>107</v>
      </c>
      <c r="D1142" s="41" t="s">
        <v>108</v>
      </c>
      <c r="E1142" s="42" t="n">
        <v>6632</v>
      </c>
      <c r="F1142" s="42"/>
      <c r="G1142" s="42"/>
      <c r="H1142" s="43" t="n">
        <v>2</v>
      </c>
      <c r="I1142" s="34" t="n">
        <f aca="false">E1142*H1142+N(F1142)+N(G1142)</f>
        <v>13264</v>
      </c>
      <c r="J1142" s="42" t="n">
        <f aca="false">ROUND(IFERROR(ROUND(IF(OR(ISNUMBER(SEARCH("week",C1142)),ISNUMBER(SEARCH("minggu",C1142))),IFERROR(_xlfn.NUMBERVALUE(SUBSTITUTE(LEFT(TRIM(C1142),FIND(" ",TRIM(C1142)&amp;" ")-1),",","."),"."),LEFT(SUBSTITUTE(LEFT(TRIM(C1142),FIND(" ",TRIM(C1142)&amp;" ")-1),",","."),FIND("/",SUBSTITUTE(LEFT(TRIM(C1142),FIND(" ",TRIM(C1142)&amp;" ")-1),",","."))-1)/MID(SUBSTITUTE(LEFT(TRIM(C1142),FIND(" ",TRIM(C1142)&amp;" ")-1),",","."),FIND("/",SUBSTITUTE(LEFT(TRIM(C1142),FIND(" ",TRIM(C1142)&amp;" ")-1),",","."))+1,9))*12/52,IF(ISNUMBER(SEARCH("month",C1142)),IFERROR(_xlfn.NUMBERVALUE(SUBSTITUTE(LEFT(TRIM(C1142),FIND(" ",TRIM(C1142)&amp;" ")-1),",","."),"."),LEFT(SUBSTITUTE(LEFT(TRIM(C1142),FIND(" ",TRIM(C1142)&amp;" ")-1),",","."),FIND("/",SUBSTITUTE(LEFT(TRIM(C1142),FIND(" ",TRIM(C1142)&amp;" ")-1),",","."))-1)/MID(SUBSTITUTE(LEFT(TRIM(C1142),FIND(" ",TRIM(C1142)&amp;" ")-1),",","."),FIND("/",SUBSTITUTE(LEFT(TRIM(C1142),FIND(" ",TRIM(C1142)&amp;" ")-1),",","."))+1,9)),IF(ISNUMBER(SEARCH("yea",C1142)),IFERROR(_xlfn.NUMBERVALUE(SUBSTITUTE(LEFT(TRIM(C1142),FIND(" ",TRIM(C1142)&amp;" ")-1),",","."),"."),LEFT(SUBSTITUTE(LEFT(TRIM(C1142),FIND(" ",TRIM(C1142)&amp;" ")-1),",","."),FIND("/",SUBSTITUTE(LEFT(TRIM(C1142),FIND(" ",TRIM(C1142)&amp;" ")-1),",","."))-1)/MID(SUBSTITUTE(LEFT(TRIM(C1142),FIND(" ",TRIM(C1142)&amp;" ")-1),",","."),FIND("/",SUBSTITUTE(LEFT(TRIM(C1142),FIND(" ",TRIM(C1142)&amp;" ")-1),",","."))+1,9))*12,NA()))),0),24)*'Aturan &amp; Tarif'!$B$4,2)</f>
        <v>1362.72</v>
      </c>
      <c r="K1142" s="42" t="n">
        <f aca="false">'Aturan &amp; Tarif'!$B$5</f>
        <v>2050</v>
      </c>
      <c r="L1142" s="42" t="n">
        <f aca="false">'Aturan &amp; Tarif'!$B$6</f>
        <v>350</v>
      </c>
      <c r="M1142" s="35" t="n">
        <f aca="false">I1142+J1142+K1142+L1142</f>
        <v>17026.72</v>
      </c>
      <c r="N1142" s="45" t="s">
        <v>2665</v>
      </c>
    </row>
    <row r="1143" customFormat="false" ht="37.5" hidden="false" customHeight="true" outlineLevel="0" collapsed="false">
      <c r="A1143" s="39"/>
      <c r="B1143" s="40" t="s">
        <v>2735</v>
      </c>
      <c r="C1143" s="41" t="s">
        <v>107</v>
      </c>
      <c r="D1143" s="41" t="s">
        <v>108</v>
      </c>
      <c r="E1143" s="42" t="n">
        <v>8694</v>
      </c>
      <c r="F1143" s="42"/>
      <c r="G1143" s="42"/>
      <c r="H1143" s="43" t="n">
        <v>2</v>
      </c>
      <c r="I1143" s="34" t="n">
        <f aca="false">E1143*H1143+N(F1143)+N(G1143)</f>
        <v>17388</v>
      </c>
      <c r="J1143" s="42" t="n">
        <f aca="false">ROUND(IFERROR(ROUND(IF(OR(ISNUMBER(SEARCH("week",C1143)),ISNUMBER(SEARCH("minggu",C1143))),IFERROR(_xlfn.NUMBERVALUE(SUBSTITUTE(LEFT(TRIM(C1143),FIND(" ",TRIM(C1143)&amp;" ")-1),",","."),"."),LEFT(SUBSTITUTE(LEFT(TRIM(C1143),FIND(" ",TRIM(C1143)&amp;" ")-1),",","."),FIND("/",SUBSTITUTE(LEFT(TRIM(C1143),FIND(" ",TRIM(C1143)&amp;" ")-1),",","."))-1)/MID(SUBSTITUTE(LEFT(TRIM(C1143),FIND(" ",TRIM(C1143)&amp;" ")-1),",","."),FIND("/",SUBSTITUTE(LEFT(TRIM(C1143),FIND(" ",TRIM(C1143)&amp;" ")-1),",","."))+1,9))*12/52,IF(ISNUMBER(SEARCH("month",C1143)),IFERROR(_xlfn.NUMBERVALUE(SUBSTITUTE(LEFT(TRIM(C1143),FIND(" ",TRIM(C1143)&amp;" ")-1),",","."),"."),LEFT(SUBSTITUTE(LEFT(TRIM(C1143),FIND(" ",TRIM(C1143)&amp;" ")-1),",","."),FIND("/",SUBSTITUTE(LEFT(TRIM(C1143),FIND(" ",TRIM(C1143)&amp;" ")-1),",","."))-1)/MID(SUBSTITUTE(LEFT(TRIM(C1143),FIND(" ",TRIM(C1143)&amp;" ")-1),",","."),FIND("/",SUBSTITUTE(LEFT(TRIM(C1143),FIND(" ",TRIM(C1143)&amp;" ")-1),",","."))+1,9)),IF(ISNUMBER(SEARCH("yea",C1143)),IFERROR(_xlfn.NUMBERVALUE(SUBSTITUTE(LEFT(TRIM(C1143),FIND(" ",TRIM(C1143)&amp;" ")-1),",","."),"."),LEFT(SUBSTITUTE(LEFT(TRIM(C1143),FIND(" ",TRIM(C1143)&amp;" ")-1),",","."),FIND("/",SUBSTITUTE(LEFT(TRIM(C1143),FIND(" ",TRIM(C1143)&amp;" ")-1),",","."))-1)/MID(SUBSTITUTE(LEFT(TRIM(C1143),FIND(" ",TRIM(C1143)&amp;" ")-1),",","."),FIND("/",SUBSTITUTE(LEFT(TRIM(C1143),FIND(" ",TRIM(C1143)&amp;" ")-1),",","."))+1,9))*12,NA()))),0),24)*'Aturan &amp; Tarif'!$B$4,2)</f>
        <v>1362.72</v>
      </c>
      <c r="K1143" s="42" t="n">
        <f aca="false">'Aturan &amp; Tarif'!$B$5</f>
        <v>2050</v>
      </c>
      <c r="L1143" s="42" t="n">
        <f aca="false">'Aturan &amp; Tarif'!$B$6</f>
        <v>350</v>
      </c>
      <c r="M1143" s="35" t="n">
        <f aca="false">I1143+J1143+K1143+L1143</f>
        <v>21150.72</v>
      </c>
      <c r="N1143" s="45" t="s">
        <v>2665</v>
      </c>
    </row>
    <row r="1144" customFormat="false" ht="14.25" hidden="false" customHeight="true" outlineLevel="0" collapsed="false">
      <c r="A1144" s="39"/>
      <c r="B1144" s="40" t="s">
        <v>2736</v>
      </c>
      <c r="C1144" s="41" t="s">
        <v>107</v>
      </c>
      <c r="D1144" s="41" t="s">
        <v>108</v>
      </c>
      <c r="E1144" s="42" t="n">
        <v>8694</v>
      </c>
      <c r="F1144" s="42"/>
      <c r="G1144" s="42"/>
      <c r="H1144" s="43" t="n">
        <v>2</v>
      </c>
      <c r="I1144" s="34" t="n">
        <f aca="false">E1144*H1144+N(F1144)+N(G1144)</f>
        <v>17388</v>
      </c>
      <c r="J1144" s="42" t="n">
        <f aca="false">ROUND(IFERROR(ROUND(IF(OR(ISNUMBER(SEARCH("week",C1144)),ISNUMBER(SEARCH("minggu",C1144))),IFERROR(_xlfn.NUMBERVALUE(SUBSTITUTE(LEFT(TRIM(C1144),FIND(" ",TRIM(C1144)&amp;" ")-1),",","."),"."),LEFT(SUBSTITUTE(LEFT(TRIM(C1144),FIND(" ",TRIM(C1144)&amp;" ")-1),",","."),FIND("/",SUBSTITUTE(LEFT(TRIM(C1144),FIND(" ",TRIM(C1144)&amp;" ")-1),",","."))-1)/MID(SUBSTITUTE(LEFT(TRIM(C1144),FIND(" ",TRIM(C1144)&amp;" ")-1),",","."),FIND("/",SUBSTITUTE(LEFT(TRIM(C1144),FIND(" ",TRIM(C1144)&amp;" ")-1),",","."))+1,9))*12/52,IF(ISNUMBER(SEARCH("month",C1144)),IFERROR(_xlfn.NUMBERVALUE(SUBSTITUTE(LEFT(TRIM(C1144),FIND(" ",TRIM(C1144)&amp;" ")-1),",","."),"."),LEFT(SUBSTITUTE(LEFT(TRIM(C1144),FIND(" ",TRIM(C1144)&amp;" ")-1),",","."),FIND("/",SUBSTITUTE(LEFT(TRIM(C1144),FIND(" ",TRIM(C1144)&amp;" ")-1),",","."))-1)/MID(SUBSTITUTE(LEFT(TRIM(C1144),FIND(" ",TRIM(C1144)&amp;" ")-1),",","."),FIND("/",SUBSTITUTE(LEFT(TRIM(C1144),FIND(" ",TRIM(C1144)&amp;" ")-1),",","."))+1,9)),IF(ISNUMBER(SEARCH("yea",C1144)),IFERROR(_xlfn.NUMBERVALUE(SUBSTITUTE(LEFT(TRIM(C1144),FIND(" ",TRIM(C1144)&amp;" ")-1),",","."),"."),LEFT(SUBSTITUTE(LEFT(TRIM(C1144),FIND(" ",TRIM(C1144)&amp;" ")-1),",","."),FIND("/",SUBSTITUTE(LEFT(TRIM(C1144),FIND(" ",TRIM(C1144)&amp;" ")-1),",","."))-1)/MID(SUBSTITUTE(LEFT(TRIM(C1144),FIND(" ",TRIM(C1144)&amp;" ")-1),",","."),FIND("/",SUBSTITUTE(LEFT(TRIM(C1144),FIND(" ",TRIM(C1144)&amp;" ")-1),",","."))+1,9))*12,NA()))),0),24)*'Aturan &amp; Tarif'!$B$4,2)</f>
        <v>1362.72</v>
      </c>
      <c r="K1144" s="42" t="n">
        <f aca="false">'Aturan &amp; Tarif'!$B$5</f>
        <v>2050</v>
      </c>
      <c r="L1144" s="42" t="n">
        <f aca="false">'Aturan &amp; Tarif'!$B$6</f>
        <v>350</v>
      </c>
      <c r="M1144" s="35" t="n">
        <f aca="false">I1144+J1144+K1144+L1144</f>
        <v>21150.72</v>
      </c>
      <c r="N1144" s="45" t="s">
        <v>2665</v>
      </c>
    </row>
    <row r="1145" customFormat="false" ht="14.25" hidden="false" customHeight="true" outlineLevel="0" collapsed="false">
      <c r="A1145" s="39"/>
      <c r="B1145" s="40" t="s">
        <v>2737</v>
      </c>
      <c r="C1145" s="41" t="s">
        <v>344</v>
      </c>
      <c r="D1145" s="41" t="s">
        <v>108</v>
      </c>
      <c r="E1145" s="42" t="n">
        <v>4347</v>
      </c>
      <c r="F1145" s="42"/>
      <c r="G1145" s="42"/>
      <c r="H1145" s="43" t="n">
        <v>2</v>
      </c>
      <c r="I1145" s="34" t="n">
        <f aca="false">E1145*H1145+N(F1145)+N(G1145)</f>
        <v>8694</v>
      </c>
      <c r="J1145" s="42" t="n">
        <f aca="false">ROUND(IFERROR(ROUND(IF(OR(ISNUMBER(SEARCH("week",C1145)),ISNUMBER(SEARCH("minggu",C1145))),IFERROR(_xlfn.NUMBERVALUE(SUBSTITUTE(LEFT(TRIM(C1145),FIND(" ",TRIM(C1145)&amp;" ")-1),",","."),"."),LEFT(SUBSTITUTE(LEFT(TRIM(C1145),FIND(" ",TRIM(C1145)&amp;" ")-1),",","."),FIND("/",SUBSTITUTE(LEFT(TRIM(C1145),FIND(" ",TRIM(C1145)&amp;" ")-1),",","."))-1)/MID(SUBSTITUTE(LEFT(TRIM(C1145),FIND(" ",TRIM(C1145)&amp;" ")-1),",","."),FIND("/",SUBSTITUTE(LEFT(TRIM(C1145),FIND(" ",TRIM(C1145)&amp;" ")-1),",","."))+1,9))*12/52,IF(ISNUMBER(SEARCH("month",C1145)),IFERROR(_xlfn.NUMBERVALUE(SUBSTITUTE(LEFT(TRIM(C1145),FIND(" ",TRIM(C1145)&amp;" ")-1),",","."),"."),LEFT(SUBSTITUTE(LEFT(TRIM(C1145),FIND(" ",TRIM(C1145)&amp;" ")-1),",","."),FIND("/",SUBSTITUTE(LEFT(TRIM(C1145),FIND(" ",TRIM(C1145)&amp;" ")-1),",","."))-1)/MID(SUBSTITUTE(LEFT(TRIM(C1145),FIND(" ",TRIM(C1145)&amp;" ")-1),",","."),FIND("/",SUBSTITUTE(LEFT(TRIM(C1145),FIND(" ",TRIM(C1145)&amp;" ")-1),",","."))+1,9)),IF(ISNUMBER(SEARCH("yea",C1145)),IFERROR(_xlfn.NUMBERVALUE(SUBSTITUTE(LEFT(TRIM(C1145),FIND(" ",TRIM(C1145)&amp;" ")-1),",","."),"."),LEFT(SUBSTITUTE(LEFT(TRIM(C1145),FIND(" ",TRIM(C1145)&amp;" ")-1),",","."),FIND("/",SUBSTITUTE(LEFT(TRIM(C1145),FIND(" ",TRIM(C1145)&amp;" ")-1),",","."))-1)/MID(SUBSTITUTE(LEFT(TRIM(C1145),FIND(" ",TRIM(C1145)&amp;" ")-1),",","."),FIND("/",SUBSTITUTE(LEFT(TRIM(C1145),FIND(" ",TRIM(C1145)&amp;" ")-1),",","."))+1,9))*12,NA()))),0),6)*'Aturan &amp; Tarif'!$B$4,2)</f>
        <v>340.68</v>
      </c>
      <c r="K1145" s="42" t="n">
        <f aca="false">'Aturan &amp; Tarif'!$B$5</f>
        <v>2050</v>
      </c>
      <c r="L1145" s="42" t="n">
        <f aca="false">'Aturan &amp; Tarif'!$B$6</f>
        <v>350</v>
      </c>
      <c r="M1145" s="35" t="n">
        <f aca="false">I1145+J1145+K1145+L1145</f>
        <v>11434.68</v>
      </c>
      <c r="N1145" s="45" t="s">
        <v>2665</v>
      </c>
    </row>
    <row r="1146" customFormat="false" ht="60" hidden="false" customHeight="true" outlineLevel="0" collapsed="false">
      <c r="A1146" s="39"/>
      <c r="B1146" s="40" t="s">
        <v>2738</v>
      </c>
      <c r="C1146" s="41" t="s">
        <v>130</v>
      </c>
      <c r="D1146" s="41" t="s">
        <v>108</v>
      </c>
      <c r="E1146" s="42" t="n">
        <v>8694</v>
      </c>
      <c r="F1146" s="42"/>
      <c r="G1146" s="42"/>
      <c r="H1146" s="43" t="n">
        <v>2</v>
      </c>
      <c r="I1146" s="34" t="n">
        <f aca="false">E1146*H1146+N(F1146)+N(G1146)</f>
        <v>17388</v>
      </c>
      <c r="J1146" s="42" t="n">
        <f aca="false">ROUND(IFERROR(ROUND(IF(OR(ISNUMBER(SEARCH("week",C1146)),ISNUMBER(SEARCH("minggu",C1146))),IFERROR(_xlfn.NUMBERVALUE(SUBSTITUTE(LEFT(TRIM(C1146),FIND(" ",TRIM(C1146)&amp;" ")-1),",","."),"."),LEFT(SUBSTITUTE(LEFT(TRIM(C1146),FIND(" ",TRIM(C1146)&amp;" ")-1),",","."),FIND("/",SUBSTITUTE(LEFT(TRIM(C1146),FIND(" ",TRIM(C1146)&amp;" ")-1),",","."))-1)/MID(SUBSTITUTE(LEFT(TRIM(C1146),FIND(" ",TRIM(C1146)&amp;" ")-1),",","."),FIND("/",SUBSTITUTE(LEFT(TRIM(C1146),FIND(" ",TRIM(C1146)&amp;" ")-1),",","."))+1,9))*12/52,IF(ISNUMBER(SEARCH("month",C1146)),IFERROR(_xlfn.NUMBERVALUE(SUBSTITUTE(LEFT(TRIM(C1146),FIND(" ",TRIM(C1146)&amp;" ")-1),",","."),"."),LEFT(SUBSTITUTE(LEFT(TRIM(C1146),FIND(" ",TRIM(C1146)&amp;" ")-1),",","."),FIND("/",SUBSTITUTE(LEFT(TRIM(C1146),FIND(" ",TRIM(C1146)&amp;" ")-1),",","."))-1)/MID(SUBSTITUTE(LEFT(TRIM(C1146),FIND(" ",TRIM(C1146)&amp;" ")-1),",","."),FIND("/",SUBSTITUTE(LEFT(TRIM(C1146),FIND(" ",TRIM(C1146)&amp;" ")-1),",","."))+1,9)),IF(ISNUMBER(SEARCH("yea",C1146)),IFERROR(_xlfn.NUMBERVALUE(SUBSTITUTE(LEFT(TRIM(C1146),FIND(" ",TRIM(C1146)&amp;" ")-1),",","."),"."),LEFT(SUBSTITUTE(LEFT(TRIM(C1146),FIND(" ",TRIM(C1146)&amp;" ")-1),",","."),FIND("/",SUBSTITUTE(LEFT(TRIM(C1146),FIND(" ",TRIM(C1146)&amp;" ")-1),",","."))-1)/MID(SUBSTITUTE(LEFT(TRIM(C1146),FIND(" ",TRIM(C1146)&amp;" ")-1),",","."),FIND("/",SUBSTITUTE(LEFT(TRIM(C1146),FIND(" ",TRIM(C1146)&amp;" ")-1),",","."))+1,9))*12,NA()))),0),12)*'Aturan &amp; Tarif'!$B$4,2)</f>
        <v>681.36</v>
      </c>
      <c r="K1146" s="42" t="n">
        <f aca="false">'Aturan &amp; Tarif'!$B$5</f>
        <v>2050</v>
      </c>
      <c r="L1146" s="42" t="n">
        <f aca="false">'Aturan &amp; Tarif'!$B$6</f>
        <v>350</v>
      </c>
      <c r="M1146" s="35" t="n">
        <f aca="false">I1146+J1146+K1146+L1146</f>
        <v>20469.36</v>
      </c>
      <c r="N1146" s="45" t="s">
        <v>2665</v>
      </c>
    </row>
    <row r="1147" customFormat="false" ht="25.5" hidden="false" customHeight="true" outlineLevel="0" collapsed="false">
      <c r="A1147" s="39"/>
      <c r="B1147" s="40" t="s">
        <v>2739</v>
      </c>
      <c r="C1147" s="41" t="s">
        <v>107</v>
      </c>
      <c r="D1147" s="41" t="s">
        <v>108</v>
      </c>
      <c r="E1147" s="42" t="n">
        <v>8694</v>
      </c>
      <c r="F1147" s="42"/>
      <c r="G1147" s="42"/>
      <c r="H1147" s="43" t="n">
        <v>2</v>
      </c>
      <c r="I1147" s="34" t="n">
        <f aca="false">E1147*H1147+N(F1147)+N(G1147)</f>
        <v>17388</v>
      </c>
      <c r="J1147" s="42" t="n">
        <f aca="false">ROUND(IFERROR(ROUND(IF(OR(ISNUMBER(SEARCH("week",C1147)),ISNUMBER(SEARCH("minggu",C1147))),IFERROR(_xlfn.NUMBERVALUE(SUBSTITUTE(LEFT(TRIM(C1147),FIND(" ",TRIM(C1147)&amp;" ")-1),",","."),"."),LEFT(SUBSTITUTE(LEFT(TRIM(C1147),FIND(" ",TRIM(C1147)&amp;" ")-1),",","."),FIND("/",SUBSTITUTE(LEFT(TRIM(C1147),FIND(" ",TRIM(C1147)&amp;" ")-1),",","."))-1)/MID(SUBSTITUTE(LEFT(TRIM(C1147),FIND(" ",TRIM(C1147)&amp;" ")-1),",","."),FIND("/",SUBSTITUTE(LEFT(TRIM(C1147),FIND(" ",TRIM(C1147)&amp;" ")-1),",","."))+1,9))*12/52,IF(ISNUMBER(SEARCH("month",C1147)),IFERROR(_xlfn.NUMBERVALUE(SUBSTITUTE(LEFT(TRIM(C1147),FIND(" ",TRIM(C1147)&amp;" ")-1),",","."),"."),LEFT(SUBSTITUTE(LEFT(TRIM(C1147),FIND(" ",TRIM(C1147)&amp;" ")-1),",","."),FIND("/",SUBSTITUTE(LEFT(TRIM(C1147),FIND(" ",TRIM(C1147)&amp;" ")-1),",","."))-1)/MID(SUBSTITUTE(LEFT(TRIM(C1147),FIND(" ",TRIM(C1147)&amp;" ")-1),",","."),FIND("/",SUBSTITUTE(LEFT(TRIM(C1147),FIND(" ",TRIM(C1147)&amp;" ")-1),",","."))+1,9)),IF(ISNUMBER(SEARCH("yea",C1147)),IFERROR(_xlfn.NUMBERVALUE(SUBSTITUTE(LEFT(TRIM(C1147),FIND(" ",TRIM(C1147)&amp;" ")-1),",","."),"."),LEFT(SUBSTITUTE(LEFT(TRIM(C1147),FIND(" ",TRIM(C1147)&amp;" ")-1),",","."),FIND("/",SUBSTITUTE(LEFT(TRIM(C1147),FIND(" ",TRIM(C1147)&amp;" ")-1),",","."))-1)/MID(SUBSTITUTE(LEFT(TRIM(C1147),FIND(" ",TRIM(C1147)&amp;" ")-1),",","."),FIND("/",SUBSTITUTE(LEFT(TRIM(C1147),FIND(" ",TRIM(C1147)&amp;" ")-1),",","."))+1,9))*12,NA()))),0),24)*'Aturan &amp; Tarif'!$B$4,2)</f>
        <v>1362.72</v>
      </c>
      <c r="K1147" s="42" t="n">
        <f aca="false">'Aturan &amp; Tarif'!$B$5</f>
        <v>2050</v>
      </c>
      <c r="L1147" s="42" t="n">
        <f aca="false">'Aturan &amp; Tarif'!$B$6</f>
        <v>350</v>
      </c>
      <c r="M1147" s="35" t="n">
        <f aca="false">I1147+J1147+K1147+L1147</f>
        <v>21150.72</v>
      </c>
      <c r="N1147" s="45" t="s">
        <v>2665</v>
      </c>
    </row>
    <row r="1148" customFormat="false" ht="25.5" hidden="false" customHeight="true" outlineLevel="0" collapsed="false">
      <c r="A1148" s="29" t="s">
        <v>2740</v>
      </c>
      <c r="B1148" s="30" t="s">
        <v>478</v>
      </c>
      <c r="C1148" s="31" t="s">
        <v>130</v>
      </c>
      <c r="D1148" s="31" t="s">
        <v>108</v>
      </c>
      <c r="E1148" s="32" t="n">
        <v>2750</v>
      </c>
      <c r="F1148" s="32" t="n">
        <v>250</v>
      </c>
      <c r="G1148" s="32" t="n">
        <v>500</v>
      </c>
      <c r="H1148" s="33" t="n">
        <v>1</v>
      </c>
      <c r="I1148" s="34" t="n">
        <f aca="false">E1148*H1148+N(F1148)+N(G1148)</f>
        <v>3500</v>
      </c>
      <c r="J1148" s="32" t="n">
        <f aca="false">ROUND(IFERROR(ROUND(IF(OR(ISNUMBER(SEARCH("week",C1148)),ISNUMBER(SEARCH("minggu",C1148))),IFERROR(_xlfn.NUMBERVALUE(SUBSTITUTE(LEFT(TRIM(C1148),FIND(" ",TRIM(C1148)&amp;" ")-1),",","."),"."),LEFT(SUBSTITUTE(LEFT(TRIM(C1148),FIND(" ",TRIM(C1148)&amp;" ")-1),",","."),FIND("/",SUBSTITUTE(LEFT(TRIM(C1148),FIND(" ",TRIM(C1148)&amp;" ")-1),",","."))-1)/MID(SUBSTITUTE(LEFT(TRIM(C1148),FIND(" ",TRIM(C1148)&amp;" ")-1),",","."),FIND("/",SUBSTITUTE(LEFT(TRIM(C1148),FIND(" ",TRIM(C1148)&amp;" ")-1),",","."))+1,9))*12/52,IF(ISNUMBER(SEARCH("month",C1148)),IFERROR(_xlfn.NUMBERVALUE(SUBSTITUTE(LEFT(TRIM(C1148),FIND(" ",TRIM(C1148)&amp;" ")-1),",","."),"."),LEFT(SUBSTITUTE(LEFT(TRIM(C1148),FIND(" ",TRIM(C1148)&amp;" ")-1),",","."),FIND("/",SUBSTITUTE(LEFT(TRIM(C1148),FIND(" ",TRIM(C1148)&amp;" ")-1),",","."))-1)/MID(SUBSTITUTE(LEFT(TRIM(C1148),FIND(" ",TRIM(C1148)&amp;" ")-1),",","."),FIND("/",SUBSTITUTE(LEFT(TRIM(C1148),FIND(" ",TRIM(C1148)&amp;" ")-1),",","."))+1,9)),IF(ISNUMBER(SEARCH("yea",C1148)),IFERROR(_xlfn.NUMBERVALUE(SUBSTITUTE(LEFT(TRIM(C1148),FIND(" ",TRIM(C1148)&amp;" ")-1),",","."),"."),LEFT(SUBSTITUTE(LEFT(TRIM(C1148),FIND(" ",TRIM(C1148)&amp;" ")-1),",","."),FIND("/",SUBSTITUTE(LEFT(TRIM(C1148),FIND(" ",TRIM(C1148)&amp;" ")-1),",","."))-1)/MID(SUBSTITUTE(LEFT(TRIM(C1148),FIND(" ",TRIM(C1148)&amp;" ")-1),",","."),FIND("/",SUBSTITUTE(LEFT(TRIM(C1148),FIND(" ",TRIM(C1148)&amp;" ")-1),",","."))+1,9))*12,NA()))),0),12)*'Aturan &amp; Tarif'!$B$4,2)</f>
        <v>681.36</v>
      </c>
      <c r="K1148" s="32" t="n">
        <f aca="false">'Aturan &amp; Tarif'!$B$5</f>
        <v>2050</v>
      </c>
      <c r="L1148" s="32" t="n">
        <f aca="false">'Aturan &amp; Tarif'!$B$6</f>
        <v>350</v>
      </c>
      <c r="M1148" s="35" t="n">
        <f aca="false">I1148+J1148+K1148+L1148</f>
        <v>6581.36</v>
      </c>
      <c r="N1148" s="36" t="s">
        <v>2741</v>
      </c>
    </row>
    <row r="1149" customFormat="false" ht="25.5" hidden="false" customHeight="true" outlineLevel="0" collapsed="false">
      <c r="A1149" s="29"/>
      <c r="B1149" s="30" t="s">
        <v>480</v>
      </c>
      <c r="C1149" s="31" t="s">
        <v>130</v>
      </c>
      <c r="D1149" s="31" t="s">
        <v>108</v>
      </c>
      <c r="E1149" s="32" t="n">
        <v>2750</v>
      </c>
      <c r="F1149" s="32" t="n">
        <v>250</v>
      </c>
      <c r="G1149" s="32" t="n">
        <v>500</v>
      </c>
      <c r="H1149" s="33" t="n">
        <v>1</v>
      </c>
      <c r="I1149" s="34" t="n">
        <f aca="false">E1149*H1149+N(F1149)+N(G1149)</f>
        <v>3500</v>
      </c>
      <c r="J1149" s="32" t="n">
        <f aca="false">ROUND(IFERROR(ROUND(IF(OR(ISNUMBER(SEARCH("week",C1149)),ISNUMBER(SEARCH("minggu",C1149))),IFERROR(_xlfn.NUMBERVALUE(SUBSTITUTE(LEFT(TRIM(C1149),FIND(" ",TRIM(C1149)&amp;" ")-1),",","."),"."),LEFT(SUBSTITUTE(LEFT(TRIM(C1149),FIND(" ",TRIM(C1149)&amp;" ")-1),",","."),FIND("/",SUBSTITUTE(LEFT(TRIM(C1149),FIND(" ",TRIM(C1149)&amp;" ")-1),",","."))-1)/MID(SUBSTITUTE(LEFT(TRIM(C1149),FIND(" ",TRIM(C1149)&amp;" ")-1),",","."),FIND("/",SUBSTITUTE(LEFT(TRIM(C1149),FIND(" ",TRIM(C1149)&amp;" ")-1),",","."))+1,9))*12/52,IF(ISNUMBER(SEARCH("month",C1149)),IFERROR(_xlfn.NUMBERVALUE(SUBSTITUTE(LEFT(TRIM(C1149),FIND(" ",TRIM(C1149)&amp;" ")-1),",","."),"."),LEFT(SUBSTITUTE(LEFT(TRIM(C1149),FIND(" ",TRIM(C1149)&amp;" ")-1),",","."),FIND("/",SUBSTITUTE(LEFT(TRIM(C1149),FIND(" ",TRIM(C1149)&amp;" ")-1),",","."))-1)/MID(SUBSTITUTE(LEFT(TRIM(C1149),FIND(" ",TRIM(C1149)&amp;" ")-1),",","."),FIND("/",SUBSTITUTE(LEFT(TRIM(C1149),FIND(" ",TRIM(C1149)&amp;" ")-1),",","."))+1,9)),IF(ISNUMBER(SEARCH("yea",C1149)),IFERROR(_xlfn.NUMBERVALUE(SUBSTITUTE(LEFT(TRIM(C1149),FIND(" ",TRIM(C1149)&amp;" ")-1),",","."),"."),LEFT(SUBSTITUTE(LEFT(TRIM(C1149),FIND(" ",TRIM(C1149)&amp;" ")-1),",","."),FIND("/",SUBSTITUTE(LEFT(TRIM(C1149),FIND(" ",TRIM(C1149)&amp;" ")-1),",","."))-1)/MID(SUBSTITUTE(LEFT(TRIM(C1149),FIND(" ",TRIM(C1149)&amp;" ")-1),",","."),FIND("/",SUBSTITUTE(LEFT(TRIM(C1149),FIND(" ",TRIM(C1149)&amp;" ")-1),",","."))+1,9))*12,NA()))),0),12)*'Aturan &amp; Tarif'!$B$4,2)</f>
        <v>681.36</v>
      </c>
      <c r="K1149" s="32" t="n">
        <f aca="false">'Aturan &amp; Tarif'!$B$5</f>
        <v>2050</v>
      </c>
      <c r="L1149" s="32" t="n">
        <f aca="false">'Aturan &amp; Tarif'!$B$6</f>
        <v>350</v>
      </c>
      <c r="M1149" s="35" t="n">
        <f aca="false">I1149+J1149+K1149+L1149</f>
        <v>6581.36</v>
      </c>
      <c r="N1149" s="37" t="s">
        <v>2742</v>
      </c>
    </row>
    <row r="1150" customFormat="false" ht="14.25" hidden="false" customHeight="true" outlineLevel="0" collapsed="false">
      <c r="A1150" s="29"/>
      <c r="B1150" s="30" t="s">
        <v>2743</v>
      </c>
      <c r="C1150" s="31" t="s">
        <v>191</v>
      </c>
      <c r="D1150" s="31" t="s">
        <v>108</v>
      </c>
      <c r="E1150" s="32" t="n">
        <v>2750</v>
      </c>
      <c r="F1150" s="32" t="n">
        <v>250</v>
      </c>
      <c r="G1150" s="32" t="n">
        <v>500</v>
      </c>
      <c r="H1150" s="33" t="n">
        <v>1</v>
      </c>
      <c r="I1150" s="34" t="n">
        <f aca="false">E1150*H1150+N(F1150)+N(G1150)</f>
        <v>3500</v>
      </c>
      <c r="J1150" s="32" t="n">
        <f aca="false">ROUND(IFERROR(ROUND(IF(OR(ISNUMBER(SEARCH("week",C1150)),ISNUMBER(SEARCH("minggu",C1150))),IFERROR(_xlfn.NUMBERVALUE(SUBSTITUTE(LEFT(TRIM(C1150),FIND(" ",TRIM(C1150)&amp;" ")-1),",","."),"."),LEFT(SUBSTITUTE(LEFT(TRIM(C1150),FIND(" ",TRIM(C1150)&amp;" ")-1),",","."),FIND("/",SUBSTITUTE(LEFT(TRIM(C1150),FIND(" ",TRIM(C1150)&amp;" ")-1),",","."))-1)/MID(SUBSTITUTE(LEFT(TRIM(C1150),FIND(" ",TRIM(C1150)&amp;" ")-1),",","."),FIND("/",SUBSTITUTE(LEFT(TRIM(C1150),FIND(" ",TRIM(C1150)&amp;" ")-1),",","."))+1,9))*12/52,IF(ISNUMBER(SEARCH("month",C1150)),IFERROR(_xlfn.NUMBERVALUE(SUBSTITUTE(LEFT(TRIM(C1150),FIND(" ",TRIM(C1150)&amp;" ")-1),",","."),"."),LEFT(SUBSTITUTE(LEFT(TRIM(C1150),FIND(" ",TRIM(C1150)&amp;" ")-1),",","."),FIND("/",SUBSTITUTE(LEFT(TRIM(C1150),FIND(" ",TRIM(C1150)&amp;" ")-1),",","."))-1)/MID(SUBSTITUTE(LEFT(TRIM(C1150),FIND(" ",TRIM(C1150)&amp;" ")-1),",","."),FIND("/",SUBSTITUTE(LEFT(TRIM(C1150),FIND(" ",TRIM(C1150)&amp;" ")-1),",","."))+1,9)),IF(ISNUMBER(SEARCH("yea",C1150)),IFERROR(_xlfn.NUMBERVALUE(SUBSTITUTE(LEFT(TRIM(C1150),FIND(" ",TRIM(C1150)&amp;" ")-1),",","."),"."),LEFT(SUBSTITUTE(LEFT(TRIM(C1150),FIND(" ",TRIM(C1150)&amp;" ")-1),",","."),FIND("/",SUBSTITUTE(LEFT(TRIM(C1150),FIND(" ",TRIM(C1150)&amp;" ")-1),",","."))-1)/MID(SUBSTITUTE(LEFT(TRIM(C1150),FIND(" ",TRIM(C1150)&amp;" ")-1),",","."),FIND("/",SUBSTITUTE(LEFT(TRIM(C1150),FIND(" ",TRIM(C1150)&amp;" ")-1),",","."))+1,9))*12,NA()))),0),48)*'Aturan &amp; Tarif'!$B$4,2)</f>
        <v>2725.44</v>
      </c>
      <c r="K1150" s="32" t="n">
        <f aca="false">'Aturan &amp; Tarif'!$B$5</f>
        <v>2050</v>
      </c>
      <c r="L1150" s="32" t="n">
        <f aca="false">'Aturan &amp; Tarif'!$B$6</f>
        <v>350</v>
      </c>
      <c r="M1150" s="35" t="n">
        <f aca="false">I1150+J1150+K1150+L1150</f>
        <v>8625.44</v>
      </c>
      <c r="N1150" s="36" t="s">
        <v>2744</v>
      </c>
    </row>
    <row r="1151" customFormat="false" ht="60" hidden="false" customHeight="true" outlineLevel="0" collapsed="false">
      <c r="A1151" s="39" t="s">
        <v>2745</v>
      </c>
      <c r="B1151" s="40" t="s">
        <v>877</v>
      </c>
      <c r="C1151" s="41" t="s">
        <v>138</v>
      </c>
      <c r="D1151" s="41" t="s">
        <v>108</v>
      </c>
      <c r="E1151" s="42" t="n">
        <v>1500</v>
      </c>
      <c r="F1151" s="42" t="n">
        <v>50</v>
      </c>
      <c r="G1151" s="42" t="n">
        <v>200</v>
      </c>
      <c r="H1151" s="43" t="n">
        <v>1</v>
      </c>
      <c r="I1151" s="34" t="n">
        <f aca="false">E1151*H1151+N(F1151)+N(G1151)</f>
        <v>1750</v>
      </c>
      <c r="J1151" s="42" t="n">
        <f aca="false">ROUND(IFERROR(ROUND(IF(OR(ISNUMBER(SEARCH("week",C1151)),ISNUMBER(SEARCH("minggu",C1151))),IFERROR(_xlfn.NUMBERVALUE(SUBSTITUTE(LEFT(TRIM(C1151),FIND(" ",TRIM(C1151)&amp;" ")-1),",","."),"."),LEFT(SUBSTITUTE(LEFT(TRIM(C1151),FIND(" ",TRIM(C1151)&amp;" ")-1),",","."),FIND("/",SUBSTITUTE(LEFT(TRIM(C1151),FIND(" ",TRIM(C1151)&amp;" ")-1),",","."))-1)/MID(SUBSTITUTE(LEFT(TRIM(C1151),FIND(" ",TRIM(C1151)&amp;" ")-1),",","."),FIND("/",SUBSTITUTE(LEFT(TRIM(C1151),FIND(" ",TRIM(C1151)&amp;" ")-1),",","."))+1,9))*12/52,IF(ISNUMBER(SEARCH("month",C1151)),IFERROR(_xlfn.NUMBERVALUE(SUBSTITUTE(LEFT(TRIM(C1151),FIND(" ",TRIM(C1151)&amp;" ")-1),",","."),"."),LEFT(SUBSTITUTE(LEFT(TRIM(C1151),FIND(" ",TRIM(C1151)&amp;" ")-1),",","."),FIND("/",SUBSTITUTE(LEFT(TRIM(C1151),FIND(" ",TRIM(C1151)&amp;" ")-1),",","."))-1)/MID(SUBSTITUTE(LEFT(TRIM(C1151),FIND(" ",TRIM(C1151)&amp;" ")-1),",","."),FIND("/",SUBSTITUTE(LEFT(TRIM(C1151),FIND(" ",TRIM(C1151)&amp;" ")-1),",","."))+1,9)),IF(ISNUMBER(SEARCH("yea",C1151)),IFERROR(_xlfn.NUMBERVALUE(SUBSTITUTE(LEFT(TRIM(C1151),FIND(" ",TRIM(C1151)&amp;" ")-1),",","."),"."),LEFT(SUBSTITUTE(LEFT(TRIM(C1151),FIND(" ",TRIM(C1151)&amp;" ")-1),",","."),FIND("/",SUBSTITUTE(LEFT(TRIM(C1151),FIND(" ",TRIM(C1151)&amp;" ")-1),",","."))-1)/MID(SUBSTITUTE(LEFT(TRIM(C1151),FIND(" ",TRIM(C1151)&amp;" ")-1),",","."),FIND("/",SUBSTITUTE(LEFT(TRIM(C1151),FIND(" ",TRIM(C1151)&amp;" ")-1),",","."))+1,9))*12,NA()))),0),30)*'Aturan &amp; Tarif'!$B$4,2)</f>
        <v>1703.4</v>
      </c>
      <c r="K1151" s="42" t="n">
        <f aca="false">'Aturan &amp; Tarif'!$B$5</f>
        <v>2050</v>
      </c>
      <c r="L1151" s="42" t="n">
        <f aca="false">'Aturan &amp; Tarif'!$B$6</f>
        <v>350</v>
      </c>
      <c r="M1151" s="35" t="n">
        <f aca="false">I1151+J1151+K1151+L1151</f>
        <v>5853.4</v>
      </c>
      <c r="N1151" s="44" t="s">
        <v>2746</v>
      </c>
    </row>
    <row r="1152" customFormat="false" ht="25.5" hidden="false" customHeight="true" outlineLevel="0" collapsed="false">
      <c r="A1152" s="39"/>
      <c r="B1152" s="40" t="s">
        <v>2747</v>
      </c>
      <c r="C1152" s="41" t="s">
        <v>136</v>
      </c>
      <c r="D1152" s="41" t="s">
        <v>108</v>
      </c>
      <c r="E1152" s="42" t="n">
        <v>1500</v>
      </c>
      <c r="F1152" s="42" t="n">
        <v>50</v>
      </c>
      <c r="G1152" s="42" t="n">
        <v>200</v>
      </c>
      <c r="H1152" s="43" t="n">
        <v>1</v>
      </c>
      <c r="I1152" s="34" t="n">
        <f aca="false">E1152*H1152+N(F1152)+N(G1152)</f>
        <v>1750</v>
      </c>
      <c r="J1152" s="42" t="n">
        <f aca="false">ROUND(IFERROR(ROUND(IF(OR(ISNUMBER(SEARCH("week",C1152)),ISNUMBER(SEARCH("minggu",C1152))),IFERROR(_xlfn.NUMBERVALUE(SUBSTITUTE(LEFT(TRIM(C1152),FIND(" ",TRIM(C1152)&amp;" ")-1),",","."),"."),LEFT(SUBSTITUTE(LEFT(TRIM(C1152),FIND(" ",TRIM(C1152)&amp;" ")-1),",","."),FIND("/",SUBSTITUTE(LEFT(TRIM(C1152),FIND(" ",TRIM(C1152)&amp;" ")-1),",","."))-1)/MID(SUBSTITUTE(LEFT(TRIM(C1152),FIND(" ",TRIM(C1152)&amp;" ")-1),",","."),FIND("/",SUBSTITUTE(LEFT(TRIM(C1152),FIND(" ",TRIM(C1152)&amp;" ")-1),",","."))+1,9))*12/52,IF(ISNUMBER(SEARCH("month",C1152)),IFERROR(_xlfn.NUMBERVALUE(SUBSTITUTE(LEFT(TRIM(C1152),FIND(" ",TRIM(C1152)&amp;" ")-1),",","."),"."),LEFT(SUBSTITUTE(LEFT(TRIM(C1152),FIND(" ",TRIM(C1152)&amp;" ")-1),",","."),FIND("/",SUBSTITUTE(LEFT(TRIM(C1152),FIND(" ",TRIM(C1152)&amp;" ")-1),",","."))-1)/MID(SUBSTITUTE(LEFT(TRIM(C1152),FIND(" ",TRIM(C1152)&amp;" ")-1),",","."),FIND("/",SUBSTITUTE(LEFT(TRIM(C1152),FIND(" ",TRIM(C1152)&amp;" ")-1),",","."))+1,9)),IF(ISNUMBER(SEARCH("yea",C1152)),IFERROR(_xlfn.NUMBERVALUE(SUBSTITUTE(LEFT(TRIM(C1152),FIND(" ",TRIM(C1152)&amp;" ")-1),",","."),"."),LEFT(SUBSTITUTE(LEFT(TRIM(C1152),FIND(" ",TRIM(C1152)&amp;" ")-1),",","."),FIND("/",SUBSTITUTE(LEFT(TRIM(C1152),FIND(" ",TRIM(C1152)&amp;" ")-1),",","."))-1)/MID(SUBSTITUTE(LEFT(TRIM(C1152),FIND(" ",TRIM(C1152)&amp;" ")-1),",","."),FIND("/",SUBSTITUTE(LEFT(TRIM(C1152),FIND(" ",TRIM(C1152)&amp;" ")-1),",","."))+1,9))*12,NA()))),0),42)*'Aturan &amp; Tarif'!$B$4,2)</f>
        <v>2384.76</v>
      </c>
      <c r="K1152" s="42" t="n">
        <f aca="false">'Aturan &amp; Tarif'!$B$5</f>
        <v>2050</v>
      </c>
      <c r="L1152" s="42" t="n">
        <f aca="false">'Aturan &amp; Tarif'!$B$6</f>
        <v>350</v>
      </c>
      <c r="M1152" s="35" t="n">
        <f aca="false">I1152+J1152+K1152+L1152</f>
        <v>6534.76</v>
      </c>
      <c r="N1152" s="45" t="s">
        <v>2748</v>
      </c>
    </row>
    <row r="1153" customFormat="false" ht="14.25" hidden="false" customHeight="true" outlineLevel="0" collapsed="false">
      <c r="A1153" s="39"/>
      <c r="B1153" s="40" t="s">
        <v>1818</v>
      </c>
      <c r="C1153" s="41" t="s">
        <v>138</v>
      </c>
      <c r="D1153" s="41" t="s">
        <v>108</v>
      </c>
      <c r="E1153" s="42" t="n">
        <v>1500</v>
      </c>
      <c r="F1153" s="42" t="n">
        <v>50</v>
      </c>
      <c r="G1153" s="42" t="n">
        <v>200</v>
      </c>
      <c r="H1153" s="43" t="n">
        <v>1</v>
      </c>
      <c r="I1153" s="34" t="n">
        <f aca="false">E1153*H1153+N(F1153)+N(G1153)</f>
        <v>1750</v>
      </c>
      <c r="J1153" s="42" t="n">
        <f aca="false">ROUND(IFERROR(ROUND(IF(OR(ISNUMBER(SEARCH("week",C1153)),ISNUMBER(SEARCH("minggu",C1153))),IFERROR(_xlfn.NUMBERVALUE(SUBSTITUTE(LEFT(TRIM(C1153),FIND(" ",TRIM(C1153)&amp;" ")-1),",","."),"."),LEFT(SUBSTITUTE(LEFT(TRIM(C1153),FIND(" ",TRIM(C1153)&amp;" ")-1),",","."),FIND("/",SUBSTITUTE(LEFT(TRIM(C1153),FIND(" ",TRIM(C1153)&amp;" ")-1),",","."))-1)/MID(SUBSTITUTE(LEFT(TRIM(C1153),FIND(" ",TRIM(C1153)&amp;" ")-1),",","."),FIND("/",SUBSTITUTE(LEFT(TRIM(C1153),FIND(" ",TRIM(C1153)&amp;" ")-1),",","."))+1,9))*12/52,IF(ISNUMBER(SEARCH("month",C1153)),IFERROR(_xlfn.NUMBERVALUE(SUBSTITUTE(LEFT(TRIM(C1153),FIND(" ",TRIM(C1153)&amp;" ")-1),",","."),"."),LEFT(SUBSTITUTE(LEFT(TRIM(C1153),FIND(" ",TRIM(C1153)&amp;" ")-1),",","."),FIND("/",SUBSTITUTE(LEFT(TRIM(C1153),FIND(" ",TRIM(C1153)&amp;" ")-1),",","."))-1)/MID(SUBSTITUTE(LEFT(TRIM(C1153),FIND(" ",TRIM(C1153)&amp;" ")-1),",","."),FIND("/",SUBSTITUTE(LEFT(TRIM(C1153),FIND(" ",TRIM(C1153)&amp;" ")-1),",","."))+1,9)),IF(ISNUMBER(SEARCH("yea",C1153)),IFERROR(_xlfn.NUMBERVALUE(SUBSTITUTE(LEFT(TRIM(C1153),FIND(" ",TRIM(C1153)&amp;" ")-1),",","."),"."),LEFT(SUBSTITUTE(LEFT(TRIM(C1153),FIND(" ",TRIM(C1153)&amp;" ")-1),",","."),FIND("/",SUBSTITUTE(LEFT(TRIM(C1153),FIND(" ",TRIM(C1153)&amp;" ")-1),",","."))-1)/MID(SUBSTITUTE(LEFT(TRIM(C1153),FIND(" ",TRIM(C1153)&amp;" ")-1),",","."),FIND("/",SUBSTITUTE(LEFT(TRIM(C1153),FIND(" ",TRIM(C1153)&amp;" ")-1),",","."))+1,9))*12,NA()))),0),30)*'Aturan &amp; Tarif'!$B$4,2)</f>
        <v>1703.4</v>
      </c>
      <c r="K1153" s="42" t="n">
        <f aca="false">'Aturan &amp; Tarif'!$B$5</f>
        <v>2050</v>
      </c>
      <c r="L1153" s="42" t="n">
        <f aca="false">'Aturan &amp; Tarif'!$B$6</f>
        <v>350</v>
      </c>
      <c r="M1153" s="35" t="n">
        <f aca="false">I1153+J1153+K1153+L1153</f>
        <v>5853.4</v>
      </c>
      <c r="N1153" s="45" t="s">
        <v>2748</v>
      </c>
    </row>
    <row r="1154" customFormat="false" ht="14.25" hidden="false" customHeight="true" outlineLevel="0" collapsed="false">
      <c r="A1154" s="39"/>
      <c r="B1154" s="40" t="s">
        <v>1967</v>
      </c>
      <c r="C1154" s="41" t="s">
        <v>138</v>
      </c>
      <c r="D1154" s="41" t="s">
        <v>108</v>
      </c>
      <c r="E1154" s="42" t="n">
        <v>1500</v>
      </c>
      <c r="F1154" s="42" t="n">
        <v>50</v>
      </c>
      <c r="G1154" s="42" t="n">
        <v>200</v>
      </c>
      <c r="H1154" s="43" t="n">
        <v>1</v>
      </c>
      <c r="I1154" s="34" t="n">
        <f aca="false">E1154*H1154+N(F1154)+N(G1154)</f>
        <v>1750</v>
      </c>
      <c r="J1154" s="42" t="n">
        <f aca="false">ROUND(IFERROR(ROUND(IF(OR(ISNUMBER(SEARCH("week",C1154)),ISNUMBER(SEARCH("minggu",C1154))),IFERROR(_xlfn.NUMBERVALUE(SUBSTITUTE(LEFT(TRIM(C1154),FIND(" ",TRIM(C1154)&amp;" ")-1),",","."),"."),LEFT(SUBSTITUTE(LEFT(TRIM(C1154),FIND(" ",TRIM(C1154)&amp;" ")-1),",","."),FIND("/",SUBSTITUTE(LEFT(TRIM(C1154),FIND(" ",TRIM(C1154)&amp;" ")-1),",","."))-1)/MID(SUBSTITUTE(LEFT(TRIM(C1154),FIND(" ",TRIM(C1154)&amp;" ")-1),",","."),FIND("/",SUBSTITUTE(LEFT(TRIM(C1154),FIND(" ",TRIM(C1154)&amp;" ")-1),",","."))+1,9))*12/52,IF(ISNUMBER(SEARCH("month",C1154)),IFERROR(_xlfn.NUMBERVALUE(SUBSTITUTE(LEFT(TRIM(C1154),FIND(" ",TRIM(C1154)&amp;" ")-1),",","."),"."),LEFT(SUBSTITUTE(LEFT(TRIM(C1154),FIND(" ",TRIM(C1154)&amp;" ")-1),",","."),FIND("/",SUBSTITUTE(LEFT(TRIM(C1154),FIND(" ",TRIM(C1154)&amp;" ")-1),",","."))-1)/MID(SUBSTITUTE(LEFT(TRIM(C1154),FIND(" ",TRIM(C1154)&amp;" ")-1),",","."),FIND("/",SUBSTITUTE(LEFT(TRIM(C1154),FIND(" ",TRIM(C1154)&amp;" ")-1),",","."))+1,9)),IF(ISNUMBER(SEARCH("yea",C1154)),IFERROR(_xlfn.NUMBERVALUE(SUBSTITUTE(LEFT(TRIM(C1154),FIND(" ",TRIM(C1154)&amp;" ")-1),",","."),"."),LEFT(SUBSTITUTE(LEFT(TRIM(C1154),FIND(" ",TRIM(C1154)&amp;" ")-1),",","."),FIND("/",SUBSTITUTE(LEFT(TRIM(C1154),FIND(" ",TRIM(C1154)&amp;" ")-1),",","."))-1)/MID(SUBSTITUTE(LEFT(TRIM(C1154),FIND(" ",TRIM(C1154)&amp;" ")-1),",","."),FIND("/",SUBSTITUTE(LEFT(TRIM(C1154),FIND(" ",TRIM(C1154)&amp;" ")-1),",","."))+1,9))*12,NA()))),0),30)*'Aturan &amp; Tarif'!$B$4,2)</f>
        <v>1703.4</v>
      </c>
      <c r="K1154" s="42" t="n">
        <f aca="false">'Aturan &amp; Tarif'!$B$5</f>
        <v>2050</v>
      </c>
      <c r="L1154" s="42" t="n">
        <f aca="false">'Aturan &amp; Tarif'!$B$6</f>
        <v>350</v>
      </c>
      <c r="M1154" s="35" t="n">
        <f aca="false">I1154+J1154+K1154+L1154</f>
        <v>5853.4</v>
      </c>
      <c r="N1154" s="45" t="s">
        <v>2748</v>
      </c>
    </row>
    <row r="1155" customFormat="false" ht="14.25" hidden="false" customHeight="true" outlineLevel="0" collapsed="false">
      <c r="A1155" s="39"/>
      <c r="B1155" s="40" t="s">
        <v>2324</v>
      </c>
      <c r="C1155" s="41" t="s">
        <v>136</v>
      </c>
      <c r="D1155" s="41" t="s">
        <v>108</v>
      </c>
      <c r="E1155" s="42" t="n">
        <v>1500</v>
      </c>
      <c r="F1155" s="42" t="n">
        <v>50</v>
      </c>
      <c r="G1155" s="42" t="n">
        <v>200</v>
      </c>
      <c r="H1155" s="43" t="n">
        <v>1</v>
      </c>
      <c r="I1155" s="34" t="n">
        <f aca="false">E1155*H1155+N(F1155)+N(G1155)</f>
        <v>1750</v>
      </c>
      <c r="J1155" s="42" t="n">
        <f aca="false">ROUND(IFERROR(ROUND(IF(OR(ISNUMBER(SEARCH("week",C1155)),ISNUMBER(SEARCH("minggu",C1155))),IFERROR(_xlfn.NUMBERVALUE(SUBSTITUTE(LEFT(TRIM(C1155),FIND(" ",TRIM(C1155)&amp;" ")-1),",","."),"."),LEFT(SUBSTITUTE(LEFT(TRIM(C1155),FIND(" ",TRIM(C1155)&amp;" ")-1),",","."),FIND("/",SUBSTITUTE(LEFT(TRIM(C1155),FIND(" ",TRIM(C1155)&amp;" ")-1),",","."))-1)/MID(SUBSTITUTE(LEFT(TRIM(C1155),FIND(" ",TRIM(C1155)&amp;" ")-1),",","."),FIND("/",SUBSTITUTE(LEFT(TRIM(C1155),FIND(" ",TRIM(C1155)&amp;" ")-1),",","."))+1,9))*12/52,IF(ISNUMBER(SEARCH("month",C1155)),IFERROR(_xlfn.NUMBERVALUE(SUBSTITUTE(LEFT(TRIM(C1155),FIND(" ",TRIM(C1155)&amp;" ")-1),",","."),"."),LEFT(SUBSTITUTE(LEFT(TRIM(C1155),FIND(" ",TRIM(C1155)&amp;" ")-1),",","."),FIND("/",SUBSTITUTE(LEFT(TRIM(C1155),FIND(" ",TRIM(C1155)&amp;" ")-1),",","."))-1)/MID(SUBSTITUTE(LEFT(TRIM(C1155),FIND(" ",TRIM(C1155)&amp;" ")-1),",","."),FIND("/",SUBSTITUTE(LEFT(TRIM(C1155),FIND(" ",TRIM(C1155)&amp;" ")-1),",","."))+1,9)),IF(ISNUMBER(SEARCH("yea",C1155)),IFERROR(_xlfn.NUMBERVALUE(SUBSTITUTE(LEFT(TRIM(C1155),FIND(" ",TRIM(C1155)&amp;" ")-1),",","."),"."),LEFT(SUBSTITUTE(LEFT(TRIM(C1155),FIND(" ",TRIM(C1155)&amp;" ")-1),",","."),FIND("/",SUBSTITUTE(LEFT(TRIM(C1155),FIND(" ",TRIM(C1155)&amp;" ")-1),",","."))-1)/MID(SUBSTITUTE(LEFT(TRIM(C1155),FIND(" ",TRIM(C1155)&amp;" ")-1),",","."),FIND("/",SUBSTITUTE(LEFT(TRIM(C1155),FIND(" ",TRIM(C1155)&amp;" ")-1),",","."))+1,9))*12,NA()))),0),42)*'Aturan &amp; Tarif'!$B$4,2)</f>
        <v>2384.76</v>
      </c>
      <c r="K1155" s="42" t="n">
        <f aca="false">'Aturan &amp; Tarif'!$B$5</f>
        <v>2050</v>
      </c>
      <c r="L1155" s="42" t="n">
        <f aca="false">'Aturan &amp; Tarif'!$B$6</f>
        <v>350</v>
      </c>
      <c r="M1155" s="35" t="n">
        <f aca="false">I1155+J1155+K1155+L1155</f>
        <v>6534.76</v>
      </c>
      <c r="N1155" s="45" t="s">
        <v>2748</v>
      </c>
    </row>
    <row r="1156" customFormat="false" ht="14.25" hidden="false" customHeight="true" outlineLevel="0" collapsed="false">
      <c r="A1156" s="39"/>
      <c r="B1156" s="40" t="s">
        <v>2749</v>
      </c>
      <c r="C1156" s="41" t="s">
        <v>138</v>
      </c>
      <c r="D1156" s="41" t="s">
        <v>108</v>
      </c>
      <c r="E1156" s="42" t="n">
        <v>1500</v>
      </c>
      <c r="F1156" s="42" t="n">
        <v>50</v>
      </c>
      <c r="G1156" s="42" t="n">
        <v>200</v>
      </c>
      <c r="H1156" s="43" t="n">
        <v>1</v>
      </c>
      <c r="I1156" s="34" t="n">
        <f aca="false">E1156*H1156+N(F1156)+N(G1156)</f>
        <v>1750</v>
      </c>
      <c r="J1156" s="42" t="n">
        <f aca="false">ROUND(IFERROR(ROUND(IF(OR(ISNUMBER(SEARCH("week",C1156)),ISNUMBER(SEARCH("minggu",C1156))),IFERROR(_xlfn.NUMBERVALUE(SUBSTITUTE(LEFT(TRIM(C1156),FIND(" ",TRIM(C1156)&amp;" ")-1),",","."),"."),LEFT(SUBSTITUTE(LEFT(TRIM(C1156),FIND(" ",TRIM(C1156)&amp;" ")-1),",","."),FIND("/",SUBSTITUTE(LEFT(TRIM(C1156),FIND(" ",TRIM(C1156)&amp;" ")-1),",","."))-1)/MID(SUBSTITUTE(LEFT(TRIM(C1156),FIND(" ",TRIM(C1156)&amp;" ")-1),",","."),FIND("/",SUBSTITUTE(LEFT(TRIM(C1156),FIND(" ",TRIM(C1156)&amp;" ")-1),",","."))+1,9))*12/52,IF(ISNUMBER(SEARCH("month",C1156)),IFERROR(_xlfn.NUMBERVALUE(SUBSTITUTE(LEFT(TRIM(C1156),FIND(" ",TRIM(C1156)&amp;" ")-1),",","."),"."),LEFT(SUBSTITUTE(LEFT(TRIM(C1156),FIND(" ",TRIM(C1156)&amp;" ")-1),",","."),FIND("/",SUBSTITUTE(LEFT(TRIM(C1156),FIND(" ",TRIM(C1156)&amp;" ")-1),",","."))-1)/MID(SUBSTITUTE(LEFT(TRIM(C1156),FIND(" ",TRIM(C1156)&amp;" ")-1),",","."),FIND("/",SUBSTITUTE(LEFT(TRIM(C1156),FIND(" ",TRIM(C1156)&amp;" ")-1),",","."))+1,9)),IF(ISNUMBER(SEARCH("yea",C1156)),IFERROR(_xlfn.NUMBERVALUE(SUBSTITUTE(LEFT(TRIM(C1156),FIND(" ",TRIM(C1156)&amp;" ")-1),",","."),"."),LEFT(SUBSTITUTE(LEFT(TRIM(C1156),FIND(" ",TRIM(C1156)&amp;" ")-1),",","."),FIND("/",SUBSTITUTE(LEFT(TRIM(C1156),FIND(" ",TRIM(C1156)&amp;" ")-1),",","."))-1)/MID(SUBSTITUTE(LEFT(TRIM(C1156),FIND(" ",TRIM(C1156)&amp;" ")-1),",","."),FIND("/",SUBSTITUTE(LEFT(TRIM(C1156),FIND(" ",TRIM(C1156)&amp;" ")-1),",","."))+1,9))*12,NA()))),0),30)*'Aturan &amp; Tarif'!$B$4,2)</f>
        <v>1703.4</v>
      </c>
      <c r="K1156" s="42" t="n">
        <f aca="false">'Aturan &amp; Tarif'!$B$5</f>
        <v>2050</v>
      </c>
      <c r="L1156" s="42" t="n">
        <f aca="false">'Aturan &amp; Tarif'!$B$6</f>
        <v>350</v>
      </c>
      <c r="M1156" s="35" t="n">
        <f aca="false">I1156+J1156+K1156+L1156</f>
        <v>5853.4</v>
      </c>
      <c r="N1156" s="45" t="s">
        <v>2748</v>
      </c>
    </row>
    <row r="1157" customFormat="false" ht="14.25" hidden="false" customHeight="true" outlineLevel="0" collapsed="false">
      <c r="A1157" s="39"/>
      <c r="B1157" s="40" t="s">
        <v>2750</v>
      </c>
      <c r="C1157" s="41" t="s">
        <v>495</v>
      </c>
      <c r="D1157" s="41" t="s">
        <v>108</v>
      </c>
      <c r="E1157" s="42" t="n">
        <v>1500</v>
      </c>
      <c r="F1157" s="42" t="n">
        <v>50</v>
      </c>
      <c r="G1157" s="42" t="n">
        <v>200</v>
      </c>
      <c r="H1157" s="43" t="n">
        <v>1</v>
      </c>
      <c r="I1157" s="34" t="n">
        <f aca="false">E1157*H1157+N(F1157)+N(G1157)</f>
        <v>1750</v>
      </c>
      <c r="J1157" s="42" t="n">
        <f aca="false">ROUND(IFERROR(ROUND(IF(OR(ISNUMBER(SEARCH("week",C1157)),ISNUMBER(SEARCH("minggu",C1157))),IFERROR(_xlfn.NUMBERVALUE(SUBSTITUTE(LEFT(TRIM(C1157),FIND(" ",TRIM(C1157)&amp;" ")-1),",","."),"."),LEFT(SUBSTITUTE(LEFT(TRIM(C1157),FIND(" ",TRIM(C1157)&amp;" ")-1),",","."),FIND("/",SUBSTITUTE(LEFT(TRIM(C1157),FIND(" ",TRIM(C1157)&amp;" ")-1),",","."))-1)/MID(SUBSTITUTE(LEFT(TRIM(C1157),FIND(" ",TRIM(C1157)&amp;" ")-1),",","."),FIND("/",SUBSTITUTE(LEFT(TRIM(C1157),FIND(" ",TRIM(C1157)&amp;" ")-1),",","."))+1,9))*12/52,IF(ISNUMBER(SEARCH("month",C1157)),IFERROR(_xlfn.NUMBERVALUE(SUBSTITUTE(LEFT(TRIM(C1157),FIND(" ",TRIM(C1157)&amp;" ")-1),",","."),"."),LEFT(SUBSTITUTE(LEFT(TRIM(C1157),FIND(" ",TRIM(C1157)&amp;" ")-1),",","."),FIND("/",SUBSTITUTE(LEFT(TRIM(C1157),FIND(" ",TRIM(C1157)&amp;" ")-1),",","."))-1)/MID(SUBSTITUTE(LEFT(TRIM(C1157),FIND(" ",TRIM(C1157)&amp;" ")-1),",","."),FIND("/",SUBSTITUTE(LEFT(TRIM(C1157),FIND(" ",TRIM(C1157)&amp;" ")-1),",","."))+1,9)),IF(ISNUMBER(SEARCH("yea",C1157)),IFERROR(_xlfn.NUMBERVALUE(SUBSTITUTE(LEFT(TRIM(C1157),FIND(" ",TRIM(C1157)&amp;" ")-1),",","."),"."),LEFT(SUBSTITUTE(LEFT(TRIM(C1157),FIND(" ",TRIM(C1157)&amp;" ")-1),",","."),FIND("/",SUBSTITUTE(LEFT(TRIM(C1157),FIND(" ",TRIM(C1157)&amp;" ")-1),",","."))-1)/MID(SUBSTITUTE(LEFT(TRIM(C1157),FIND(" ",TRIM(C1157)&amp;" ")-1),",","."),FIND("/",SUBSTITUTE(LEFT(TRIM(C1157),FIND(" ",TRIM(C1157)&amp;" ")-1),",","."))+1,9))*12,NA()))),0),54)*'Aturan &amp; Tarif'!$B$4,2)</f>
        <v>3066.12</v>
      </c>
      <c r="K1157" s="42" t="n">
        <f aca="false">'Aturan &amp; Tarif'!$B$5</f>
        <v>2050</v>
      </c>
      <c r="L1157" s="42" t="n">
        <f aca="false">'Aturan &amp; Tarif'!$B$6</f>
        <v>350</v>
      </c>
      <c r="M1157" s="35" t="n">
        <f aca="false">I1157+J1157+K1157+L1157</f>
        <v>7216.12</v>
      </c>
      <c r="N1157" s="45" t="s">
        <v>2748</v>
      </c>
    </row>
    <row r="1158" customFormat="false" ht="14.25" hidden="false" customHeight="true" outlineLevel="0" collapsed="false">
      <c r="A1158" s="39"/>
      <c r="B1158" s="40" t="s">
        <v>2062</v>
      </c>
      <c r="C1158" s="41" t="s">
        <v>138</v>
      </c>
      <c r="D1158" s="41" t="s">
        <v>108</v>
      </c>
      <c r="E1158" s="42" t="n">
        <v>1500</v>
      </c>
      <c r="F1158" s="42" t="n">
        <v>50</v>
      </c>
      <c r="G1158" s="42" t="n">
        <v>200</v>
      </c>
      <c r="H1158" s="43" t="n">
        <v>1</v>
      </c>
      <c r="I1158" s="34" t="n">
        <f aca="false">E1158*H1158+N(F1158)+N(G1158)</f>
        <v>1750</v>
      </c>
      <c r="J1158" s="42" t="n">
        <f aca="false">ROUND(IFERROR(ROUND(IF(OR(ISNUMBER(SEARCH("week",C1158)),ISNUMBER(SEARCH("minggu",C1158))),IFERROR(_xlfn.NUMBERVALUE(SUBSTITUTE(LEFT(TRIM(C1158),FIND(" ",TRIM(C1158)&amp;" ")-1),",","."),"."),LEFT(SUBSTITUTE(LEFT(TRIM(C1158),FIND(" ",TRIM(C1158)&amp;" ")-1),",","."),FIND("/",SUBSTITUTE(LEFT(TRIM(C1158),FIND(" ",TRIM(C1158)&amp;" ")-1),",","."))-1)/MID(SUBSTITUTE(LEFT(TRIM(C1158),FIND(" ",TRIM(C1158)&amp;" ")-1),",","."),FIND("/",SUBSTITUTE(LEFT(TRIM(C1158),FIND(" ",TRIM(C1158)&amp;" ")-1),",","."))+1,9))*12/52,IF(ISNUMBER(SEARCH("month",C1158)),IFERROR(_xlfn.NUMBERVALUE(SUBSTITUTE(LEFT(TRIM(C1158),FIND(" ",TRIM(C1158)&amp;" ")-1),",","."),"."),LEFT(SUBSTITUTE(LEFT(TRIM(C1158),FIND(" ",TRIM(C1158)&amp;" ")-1),",","."),FIND("/",SUBSTITUTE(LEFT(TRIM(C1158),FIND(" ",TRIM(C1158)&amp;" ")-1),",","."))-1)/MID(SUBSTITUTE(LEFT(TRIM(C1158),FIND(" ",TRIM(C1158)&amp;" ")-1),",","."),FIND("/",SUBSTITUTE(LEFT(TRIM(C1158),FIND(" ",TRIM(C1158)&amp;" ")-1),",","."))+1,9)),IF(ISNUMBER(SEARCH("yea",C1158)),IFERROR(_xlfn.NUMBERVALUE(SUBSTITUTE(LEFT(TRIM(C1158),FIND(" ",TRIM(C1158)&amp;" ")-1),",","."),"."),LEFT(SUBSTITUTE(LEFT(TRIM(C1158),FIND(" ",TRIM(C1158)&amp;" ")-1),",","."),FIND("/",SUBSTITUTE(LEFT(TRIM(C1158),FIND(" ",TRIM(C1158)&amp;" ")-1),",","."))-1)/MID(SUBSTITUTE(LEFT(TRIM(C1158),FIND(" ",TRIM(C1158)&amp;" ")-1),",","."),FIND("/",SUBSTITUTE(LEFT(TRIM(C1158),FIND(" ",TRIM(C1158)&amp;" ")-1),",","."))+1,9))*12,NA()))),0),30)*'Aturan &amp; Tarif'!$B$4,2)</f>
        <v>1703.4</v>
      </c>
      <c r="K1158" s="42" t="n">
        <f aca="false">'Aturan &amp; Tarif'!$B$5</f>
        <v>2050</v>
      </c>
      <c r="L1158" s="42" t="n">
        <f aca="false">'Aturan &amp; Tarif'!$B$6</f>
        <v>350</v>
      </c>
      <c r="M1158" s="35" t="n">
        <f aca="false">I1158+J1158+K1158+L1158</f>
        <v>5853.4</v>
      </c>
      <c r="N1158" s="45" t="s">
        <v>2748</v>
      </c>
    </row>
    <row r="1159" customFormat="false" ht="14.25" hidden="false" customHeight="true" outlineLevel="0" collapsed="false">
      <c r="A1159" s="39"/>
      <c r="B1159" s="40" t="s">
        <v>2063</v>
      </c>
      <c r="C1159" s="41" t="s">
        <v>191</v>
      </c>
      <c r="D1159" s="41" t="s">
        <v>108</v>
      </c>
      <c r="E1159" s="42" t="n">
        <v>1500</v>
      </c>
      <c r="F1159" s="42" t="n">
        <v>50</v>
      </c>
      <c r="G1159" s="42" t="n">
        <v>200</v>
      </c>
      <c r="H1159" s="43" t="n">
        <v>1</v>
      </c>
      <c r="I1159" s="34" t="n">
        <f aca="false">E1159*H1159+N(F1159)+N(G1159)</f>
        <v>1750</v>
      </c>
      <c r="J1159" s="42" t="n">
        <f aca="false">ROUND(IFERROR(ROUND(IF(OR(ISNUMBER(SEARCH("week",C1159)),ISNUMBER(SEARCH("minggu",C1159))),IFERROR(_xlfn.NUMBERVALUE(SUBSTITUTE(LEFT(TRIM(C1159),FIND(" ",TRIM(C1159)&amp;" ")-1),",","."),"."),LEFT(SUBSTITUTE(LEFT(TRIM(C1159),FIND(" ",TRIM(C1159)&amp;" ")-1),",","."),FIND("/",SUBSTITUTE(LEFT(TRIM(C1159),FIND(" ",TRIM(C1159)&amp;" ")-1),",","."))-1)/MID(SUBSTITUTE(LEFT(TRIM(C1159),FIND(" ",TRIM(C1159)&amp;" ")-1),",","."),FIND("/",SUBSTITUTE(LEFT(TRIM(C1159),FIND(" ",TRIM(C1159)&amp;" ")-1),",","."))+1,9))*12/52,IF(ISNUMBER(SEARCH("month",C1159)),IFERROR(_xlfn.NUMBERVALUE(SUBSTITUTE(LEFT(TRIM(C1159),FIND(" ",TRIM(C1159)&amp;" ")-1),",","."),"."),LEFT(SUBSTITUTE(LEFT(TRIM(C1159),FIND(" ",TRIM(C1159)&amp;" ")-1),",","."),FIND("/",SUBSTITUTE(LEFT(TRIM(C1159),FIND(" ",TRIM(C1159)&amp;" ")-1),",","."))-1)/MID(SUBSTITUTE(LEFT(TRIM(C1159),FIND(" ",TRIM(C1159)&amp;" ")-1),",","."),FIND("/",SUBSTITUTE(LEFT(TRIM(C1159),FIND(" ",TRIM(C1159)&amp;" ")-1),",","."))+1,9)),IF(ISNUMBER(SEARCH("yea",C1159)),IFERROR(_xlfn.NUMBERVALUE(SUBSTITUTE(LEFT(TRIM(C1159),FIND(" ",TRIM(C1159)&amp;" ")-1),",","."),"."),LEFT(SUBSTITUTE(LEFT(TRIM(C1159),FIND(" ",TRIM(C1159)&amp;" ")-1),",","."),FIND("/",SUBSTITUTE(LEFT(TRIM(C1159),FIND(" ",TRIM(C1159)&amp;" ")-1),",","."))-1)/MID(SUBSTITUTE(LEFT(TRIM(C1159),FIND(" ",TRIM(C1159)&amp;" ")-1),",","."),FIND("/",SUBSTITUTE(LEFT(TRIM(C1159),FIND(" ",TRIM(C1159)&amp;" ")-1),",","."))+1,9))*12,NA()))),0),48)*'Aturan &amp; Tarif'!$B$4,2)</f>
        <v>2725.44</v>
      </c>
      <c r="K1159" s="42" t="n">
        <f aca="false">'Aturan &amp; Tarif'!$B$5</f>
        <v>2050</v>
      </c>
      <c r="L1159" s="42" t="n">
        <f aca="false">'Aturan &amp; Tarif'!$B$6</f>
        <v>350</v>
      </c>
      <c r="M1159" s="35" t="n">
        <f aca="false">I1159+J1159+K1159+L1159</f>
        <v>6875.44</v>
      </c>
      <c r="N1159" s="45" t="s">
        <v>2748</v>
      </c>
    </row>
    <row r="1160" customFormat="false" ht="25.5" hidden="false" customHeight="true" outlineLevel="0" collapsed="false">
      <c r="A1160" s="39"/>
      <c r="B1160" s="40" t="s">
        <v>1025</v>
      </c>
      <c r="C1160" s="41" t="s">
        <v>136</v>
      </c>
      <c r="D1160" s="41" t="s">
        <v>108</v>
      </c>
      <c r="E1160" s="42" t="n">
        <v>1500</v>
      </c>
      <c r="F1160" s="42" t="n">
        <v>50</v>
      </c>
      <c r="G1160" s="42" t="n">
        <v>200</v>
      </c>
      <c r="H1160" s="43" t="n">
        <v>1</v>
      </c>
      <c r="I1160" s="34" t="n">
        <f aca="false">E1160*H1160+N(F1160)+N(G1160)</f>
        <v>1750</v>
      </c>
      <c r="J1160" s="42" t="n">
        <f aca="false">ROUND(IFERROR(ROUND(IF(OR(ISNUMBER(SEARCH("week",C1160)),ISNUMBER(SEARCH("minggu",C1160))),IFERROR(_xlfn.NUMBERVALUE(SUBSTITUTE(LEFT(TRIM(C1160),FIND(" ",TRIM(C1160)&amp;" ")-1),",","."),"."),LEFT(SUBSTITUTE(LEFT(TRIM(C1160),FIND(" ",TRIM(C1160)&amp;" ")-1),",","."),FIND("/",SUBSTITUTE(LEFT(TRIM(C1160),FIND(" ",TRIM(C1160)&amp;" ")-1),",","."))-1)/MID(SUBSTITUTE(LEFT(TRIM(C1160),FIND(" ",TRIM(C1160)&amp;" ")-1),",","."),FIND("/",SUBSTITUTE(LEFT(TRIM(C1160),FIND(" ",TRIM(C1160)&amp;" ")-1),",","."))+1,9))*12/52,IF(ISNUMBER(SEARCH("month",C1160)),IFERROR(_xlfn.NUMBERVALUE(SUBSTITUTE(LEFT(TRIM(C1160),FIND(" ",TRIM(C1160)&amp;" ")-1),",","."),"."),LEFT(SUBSTITUTE(LEFT(TRIM(C1160),FIND(" ",TRIM(C1160)&amp;" ")-1),",","."),FIND("/",SUBSTITUTE(LEFT(TRIM(C1160),FIND(" ",TRIM(C1160)&amp;" ")-1),",","."))-1)/MID(SUBSTITUTE(LEFT(TRIM(C1160),FIND(" ",TRIM(C1160)&amp;" ")-1),",","."),FIND("/",SUBSTITUTE(LEFT(TRIM(C1160),FIND(" ",TRIM(C1160)&amp;" ")-1),",","."))+1,9)),IF(ISNUMBER(SEARCH("yea",C1160)),IFERROR(_xlfn.NUMBERVALUE(SUBSTITUTE(LEFT(TRIM(C1160),FIND(" ",TRIM(C1160)&amp;" ")-1),",","."),"."),LEFT(SUBSTITUTE(LEFT(TRIM(C1160),FIND(" ",TRIM(C1160)&amp;" ")-1),",","."),FIND("/",SUBSTITUTE(LEFT(TRIM(C1160),FIND(" ",TRIM(C1160)&amp;" ")-1),",","."))-1)/MID(SUBSTITUTE(LEFT(TRIM(C1160),FIND(" ",TRIM(C1160)&amp;" ")-1),",","."),FIND("/",SUBSTITUTE(LEFT(TRIM(C1160),FIND(" ",TRIM(C1160)&amp;" ")-1),",","."))+1,9))*12,NA()))),0),42)*'Aturan &amp; Tarif'!$B$4,2)</f>
        <v>2384.76</v>
      </c>
      <c r="K1160" s="42" t="n">
        <f aca="false">'Aturan &amp; Tarif'!$B$5</f>
        <v>2050</v>
      </c>
      <c r="L1160" s="42" t="n">
        <f aca="false">'Aturan &amp; Tarif'!$B$6</f>
        <v>350</v>
      </c>
      <c r="M1160" s="35" t="n">
        <f aca="false">I1160+J1160+K1160+L1160</f>
        <v>6534.76</v>
      </c>
      <c r="N1160" s="45" t="s">
        <v>2748</v>
      </c>
    </row>
    <row r="1161" customFormat="false" ht="37.5" hidden="false" customHeight="true" outlineLevel="0" collapsed="false">
      <c r="A1161" s="39"/>
      <c r="B1161" s="40" t="s">
        <v>2751</v>
      </c>
      <c r="C1161" s="41" t="s">
        <v>245</v>
      </c>
      <c r="D1161" s="41" t="s">
        <v>108</v>
      </c>
      <c r="E1161" s="42" t="n">
        <v>1500</v>
      </c>
      <c r="F1161" s="42" t="n">
        <v>50</v>
      </c>
      <c r="G1161" s="42" t="n">
        <v>200</v>
      </c>
      <c r="H1161" s="43" t="n">
        <v>1</v>
      </c>
      <c r="I1161" s="34" t="n">
        <f aca="false">E1161*H1161+N(F1161)+N(G1161)</f>
        <v>1750</v>
      </c>
      <c r="J1161" s="42" t="n">
        <f aca="false">ROUND(IFERROR(ROUND(IF(OR(ISNUMBER(SEARCH("week",C1161)),ISNUMBER(SEARCH("minggu",C1161))),IFERROR(_xlfn.NUMBERVALUE(SUBSTITUTE(LEFT(TRIM(C1161),FIND(" ",TRIM(C1161)&amp;" ")-1),",","."),"."),LEFT(SUBSTITUTE(LEFT(TRIM(C1161),FIND(" ",TRIM(C1161)&amp;" ")-1),",","."),FIND("/",SUBSTITUTE(LEFT(TRIM(C1161),FIND(" ",TRIM(C1161)&amp;" ")-1),",","."))-1)/MID(SUBSTITUTE(LEFT(TRIM(C1161),FIND(" ",TRIM(C1161)&amp;" ")-1),",","."),FIND("/",SUBSTITUTE(LEFT(TRIM(C1161),FIND(" ",TRIM(C1161)&amp;" ")-1),",","."))+1,9))*12/52,IF(ISNUMBER(SEARCH("month",C1161)),IFERROR(_xlfn.NUMBERVALUE(SUBSTITUTE(LEFT(TRIM(C1161),FIND(" ",TRIM(C1161)&amp;" ")-1),",","."),"."),LEFT(SUBSTITUTE(LEFT(TRIM(C1161),FIND(" ",TRIM(C1161)&amp;" ")-1),",","."),FIND("/",SUBSTITUTE(LEFT(TRIM(C1161),FIND(" ",TRIM(C1161)&amp;" ")-1),",","."))-1)/MID(SUBSTITUTE(LEFT(TRIM(C1161),FIND(" ",TRIM(C1161)&amp;" ")-1),",","."),FIND("/",SUBSTITUTE(LEFT(TRIM(C1161),FIND(" ",TRIM(C1161)&amp;" ")-1),",","."))+1,9)),IF(ISNUMBER(SEARCH("yea",C1161)),IFERROR(_xlfn.NUMBERVALUE(SUBSTITUTE(LEFT(TRIM(C1161),FIND(" ",TRIM(C1161)&amp;" ")-1),",","."),"."),LEFT(SUBSTITUTE(LEFT(TRIM(C1161),FIND(" ",TRIM(C1161)&amp;" ")-1),",","."),FIND("/",SUBSTITUTE(LEFT(TRIM(C1161),FIND(" ",TRIM(C1161)&amp;" ")-1),",","."))-1)/MID(SUBSTITUTE(LEFT(TRIM(C1161),FIND(" ",TRIM(C1161)&amp;" ")-1),",","."),FIND("/",SUBSTITUTE(LEFT(TRIM(C1161),FIND(" ",TRIM(C1161)&amp;" ")-1),",","."))+1,9))*12,NA()))),0),60)*'Aturan &amp; Tarif'!$B$4,2)</f>
        <v>3406.8</v>
      </c>
      <c r="K1161" s="42" t="n">
        <f aca="false">'Aturan &amp; Tarif'!$B$5</f>
        <v>2050</v>
      </c>
      <c r="L1161" s="42" t="n">
        <f aca="false">'Aturan &amp; Tarif'!$B$6</f>
        <v>350</v>
      </c>
      <c r="M1161" s="35" t="n">
        <f aca="false">I1161+J1161+K1161+L1161</f>
        <v>7556.8</v>
      </c>
      <c r="N1161" s="44" t="s">
        <v>2752</v>
      </c>
    </row>
    <row r="1162" customFormat="false" ht="14.25" hidden="false" customHeight="true" outlineLevel="0" collapsed="false">
      <c r="A1162" s="39"/>
      <c r="B1162" s="40" t="s">
        <v>471</v>
      </c>
      <c r="C1162" s="41" t="s">
        <v>107</v>
      </c>
      <c r="D1162" s="41" t="s">
        <v>108</v>
      </c>
      <c r="E1162" s="42" t="n">
        <v>2000</v>
      </c>
      <c r="F1162" s="42" t="n">
        <v>200</v>
      </c>
      <c r="G1162" s="42" t="n">
        <v>200</v>
      </c>
      <c r="H1162" s="43" t="n">
        <v>1</v>
      </c>
      <c r="I1162" s="34" t="n">
        <f aca="false">E1162*H1162+N(F1162)+N(G1162)</f>
        <v>2400</v>
      </c>
      <c r="J1162" s="42" t="n">
        <f aca="false">ROUND(IFERROR(ROUND(IF(OR(ISNUMBER(SEARCH("week",C1162)),ISNUMBER(SEARCH("minggu",C1162))),IFERROR(_xlfn.NUMBERVALUE(SUBSTITUTE(LEFT(TRIM(C1162),FIND(" ",TRIM(C1162)&amp;" ")-1),",","."),"."),LEFT(SUBSTITUTE(LEFT(TRIM(C1162),FIND(" ",TRIM(C1162)&amp;" ")-1),",","."),FIND("/",SUBSTITUTE(LEFT(TRIM(C1162),FIND(" ",TRIM(C1162)&amp;" ")-1),",","."))-1)/MID(SUBSTITUTE(LEFT(TRIM(C1162),FIND(" ",TRIM(C1162)&amp;" ")-1),",","."),FIND("/",SUBSTITUTE(LEFT(TRIM(C1162),FIND(" ",TRIM(C1162)&amp;" ")-1),",","."))+1,9))*12/52,IF(ISNUMBER(SEARCH("month",C1162)),IFERROR(_xlfn.NUMBERVALUE(SUBSTITUTE(LEFT(TRIM(C1162),FIND(" ",TRIM(C1162)&amp;" ")-1),",","."),"."),LEFT(SUBSTITUTE(LEFT(TRIM(C1162),FIND(" ",TRIM(C1162)&amp;" ")-1),",","."),FIND("/",SUBSTITUTE(LEFT(TRIM(C1162),FIND(" ",TRIM(C1162)&amp;" ")-1),",","."))-1)/MID(SUBSTITUTE(LEFT(TRIM(C1162),FIND(" ",TRIM(C1162)&amp;" ")-1),",","."),FIND("/",SUBSTITUTE(LEFT(TRIM(C1162),FIND(" ",TRIM(C1162)&amp;" ")-1),",","."))+1,9)),IF(ISNUMBER(SEARCH("yea",C1162)),IFERROR(_xlfn.NUMBERVALUE(SUBSTITUTE(LEFT(TRIM(C1162),FIND(" ",TRIM(C1162)&amp;" ")-1),",","."),"."),LEFT(SUBSTITUTE(LEFT(TRIM(C1162),FIND(" ",TRIM(C1162)&amp;" ")-1),",","."),FIND("/",SUBSTITUTE(LEFT(TRIM(C1162),FIND(" ",TRIM(C1162)&amp;" ")-1),",","."))-1)/MID(SUBSTITUTE(LEFT(TRIM(C1162),FIND(" ",TRIM(C1162)&amp;" ")-1),",","."),FIND("/",SUBSTITUTE(LEFT(TRIM(C1162),FIND(" ",TRIM(C1162)&amp;" ")-1),",","."))+1,9))*12,NA()))),0),24)*'Aturan &amp; Tarif'!$B$4,2)</f>
        <v>1362.72</v>
      </c>
      <c r="K1162" s="42" t="n">
        <f aca="false">'Aturan &amp; Tarif'!$B$5</f>
        <v>2050</v>
      </c>
      <c r="L1162" s="42" t="n">
        <f aca="false">'Aturan &amp; Tarif'!$B$6</f>
        <v>350</v>
      </c>
      <c r="M1162" s="35" t="n">
        <f aca="false">I1162+J1162+K1162+L1162</f>
        <v>6162.72</v>
      </c>
      <c r="N1162" s="45" t="s">
        <v>2748</v>
      </c>
    </row>
    <row r="1163" customFormat="false" ht="14.25" hidden="false" customHeight="true" outlineLevel="0" collapsed="false">
      <c r="A1163" s="39"/>
      <c r="B1163" s="40" t="s">
        <v>2753</v>
      </c>
      <c r="C1163" s="41" t="s">
        <v>130</v>
      </c>
      <c r="D1163" s="41" t="s">
        <v>108</v>
      </c>
      <c r="E1163" s="42" t="n">
        <v>2000</v>
      </c>
      <c r="F1163" s="42" t="n">
        <v>200</v>
      </c>
      <c r="G1163" s="42" t="n">
        <v>200</v>
      </c>
      <c r="H1163" s="43" t="n">
        <v>1</v>
      </c>
      <c r="I1163" s="34" t="n">
        <f aca="false">E1163*H1163+N(F1163)+N(G1163)</f>
        <v>2400</v>
      </c>
      <c r="J1163" s="42" t="n">
        <f aca="false">ROUND(IFERROR(ROUND(IF(OR(ISNUMBER(SEARCH("week",C1163)),ISNUMBER(SEARCH("minggu",C1163))),IFERROR(_xlfn.NUMBERVALUE(SUBSTITUTE(LEFT(TRIM(C1163),FIND(" ",TRIM(C1163)&amp;" ")-1),",","."),"."),LEFT(SUBSTITUTE(LEFT(TRIM(C1163),FIND(" ",TRIM(C1163)&amp;" ")-1),",","."),FIND("/",SUBSTITUTE(LEFT(TRIM(C1163),FIND(" ",TRIM(C1163)&amp;" ")-1),",","."))-1)/MID(SUBSTITUTE(LEFT(TRIM(C1163),FIND(" ",TRIM(C1163)&amp;" ")-1),",","."),FIND("/",SUBSTITUTE(LEFT(TRIM(C1163),FIND(" ",TRIM(C1163)&amp;" ")-1),",","."))+1,9))*12/52,IF(ISNUMBER(SEARCH("month",C1163)),IFERROR(_xlfn.NUMBERVALUE(SUBSTITUTE(LEFT(TRIM(C1163),FIND(" ",TRIM(C1163)&amp;" ")-1),",","."),"."),LEFT(SUBSTITUTE(LEFT(TRIM(C1163),FIND(" ",TRIM(C1163)&amp;" ")-1),",","."),FIND("/",SUBSTITUTE(LEFT(TRIM(C1163),FIND(" ",TRIM(C1163)&amp;" ")-1),",","."))-1)/MID(SUBSTITUTE(LEFT(TRIM(C1163),FIND(" ",TRIM(C1163)&amp;" ")-1),",","."),FIND("/",SUBSTITUTE(LEFT(TRIM(C1163),FIND(" ",TRIM(C1163)&amp;" ")-1),",","."))+1,9)),IF(ISNUMBER(SEARCH("yea",C1163)),IFERROR(_xlfn.NUMBERVALUE(SUBSTITUTE(LEFT(TRIM(C1163),FIND(" ",TRIM(C1163)&amp;" ")-1),",","."),"."),LEFT(SUBSTITUTE(LEFT(TRIM(C1163),FIND(" ",TRIM(C1163)&amp;" ")-1),",","."),FIND("/",SUBSTITUTE(LEFT(TRIM(C1163),FIND(" ",TRIM(C1163)&amp;" ")-1),",","."))-1)/MID(SUBSTITUTE(LEFT(TRIM(C1163),FIND(" ",TRIM(C1163)&amp;" ")-1),",","."),FIND("/",SUBSTITUTE(LEFT(TRIM(C1163),FIND(" ",TRIM(C1163)&amp;" ")-1),",","."))+1,9))*12,NA()))),0),12)*'Aturan &amp; Tarif'!$B$4,2)</f>
        <v>681.36</v>
      </c>
      <c r="K1163" s="42" t="n">
        <f aca="false">'Aturan &amp; Tarif'!$B$5</f>
        <v>2050</v>
      </c>
      <c r="L1163" s="42" t="n">
        <f aca="false">'Aturan &amp; Tarif'!$B$6</f>
        <v>350</v>
      </c>
      <c r="M1163" s="35" t="n">
        <f aca="false">I1163+J1163+K1163+L1163</f>
        <v>5481.36</v>
      </c>
      <c r="N1163" s="45" t="s">
        <v>2748</v>
      </c>
    </row>
    <row r="1164" customFormat="false" ht="14.25" hidden="false" customHeight="true" outlineLevel="0" collapsed="false">
      <c r="A1164" s="39"/>
      <c r="B1164" s="40" t="s">
        <v>907</v>
      </c>
      <c r="C1164" s="41" t="s">
        <v>130</v>
      </c>
      <c r="D1164" s="41" t="s">
        <v>108</v>
      </c>
      <c r="E1164" s="42" t="n">
        <v>2000</v>
      </c>
      <c r="F1164" s="42" t="n">
        <v>200</v>
      </c>
      <c r="G1164" s="42" t="n">
        <v>200</v>
      </c>
      <c r="H1164" s="43" t="n">
        <v>1</v>
      </c>
      <c r="I1164" s="34" t="n">
        <f aca="false">E1164*H1164+N(F1164)+N(G1164)</f>
        <v>2400</v>
      </c>
      <c r="J1164" s="42" t="n">
        <f aca="false">ROUND(IFERROR(ROUND(IF(OR(ISNUMBER(SEARCH("week",C1164)),ISNUMBER(SEARCH("minggu",C1164))),IFERROR(_xlfn.NUMBERVALUE(SUBSTITUTE(LEFT(TRIM(C1164),FIND(" ",TRIM(C1164)&amp;" ")-1),",","."),"."),LEFT(SUBSTITUTE(LEFT(TRIM(C1164),FIND(" ",TRIM(C1164)&amp;" ")-1),",","."),FIND("/",SUBSTITUTE(LEFT(TRIM(C1164),FIND(" ",TRIM(C1164)&amp;" ")-1),",","."))-1)/MID(SUBSTITUTE(LEFT(TRIM(C1164),FIND(" ",TRIM(C1164)&amp;" ")-1),",","."),FIND("/",SUBSTITUTE(LEFT(TRIM(C1164),FIND(" ",TRIM(C1164)&amp;" ")-1),",","."))+1,9))*12/52,IF(ISNUMBER(SEARCH("month",C1164)),IFERROR(_xlfn.NUMBERVALUE(SUBSTITUTE(LEFT(TRIM(C1164),FIND(" ",TRIM(C1164)&amp;" ")-1),",","."),"."),LEFT(SUBSTITUTE(LEFT(TRIM(C1164),FIND(" ",TRIM(C1164)&amp;" ")-1),",","."),FIND("/",SUBSTITUTE(LEFT(TRIM(C1164),FIND(" ",TRIM(C1164)&amp;" ")-1),",","."))-1)/MID(SUBSTITUTE(LEFT(TRIM(C1164),FIND(" ",TRIM(C1164)&amp;" ")-1),",","."),FIND("/",SUBSTITUTE(LEFT(TRIM(C1164),FIND(" ",TRIM(C1164)&amp;" ")-1),",","."))+1,9)),IF(ISNUMBER(SEARCH("yea",C1164)),IFERROR(_xlfn.NUMBERVALUE(SUBSTITUTE(LEFT(TRIM(C1164),FIND(" ",TRIM(C1164)&amp;" ")-1),",","."),"."),LEFT(SUBSTITUTE(LEFT(TRIM(C1164),FIND(" ",TRIM(C1164)&amp;" ")-1),",","."),FIND("/",SUBSTITUTE(LEFT(TRIM(C1164),FIND(" ",TRIM(C1164)&amp;" ")-1),",","."))-1)/MID(SUBSTITUTE(LEFT(TRIM(C1164),FIND(" ",TRIM(C1164)&amp;" ")-1),",","."),FIND("/",SUBSTITUTE(LEFT(TRIM(C1164),FIND(" ",TRIM(C1164)&amp;" ")-1),",","."))+1,9))*12,NA()))),0),12)*'Aturan &amp; Tarif'!$B$4,2)</f>
        <v>681.36</v>
      </c>
      <c r="K1164" s="42" t="n">
        <f aca="false">'Aturan &amp; Tarif'!$B$5</f>
        <v>2050</v>
      </c>
      <c r="L1164" s="42" t="n">
        <f aca="false">'Aturan &amp; Tarif'!$B$6</f>
        <v>350</v>
      </c>
      <c r="M1164" s="35" t="n">
        <f aca="false">I1164+J1164+K1164+L1164</f>
        <v>5481.36</v>
      </c>
      <c r="N1164" s="45" t="s">
        <v>2748</v>
      </c>
    </row>
    <row r="1165" customFormat="false" ht="14.25" hidden="false" customHeight="true" outlineLevel="0" collapsed="false">
      <c r="A1165" s="39"/>
      <c r="B1165" s="40" t="s">
        <v>673</v>
      </c>
      <c r="C1165" s="41" t="s">
        <v>130</v>
      </c>
      <c r="D1165" s="41" t="s">
        <v>108</v>
      </c>
      <c r="E1165" s="42" t="n">
        <v>2000</v>
      </c>
      <c r="F1165" s="42" t="n">
        <v>200</v>
      </c>
      <c r="G1165" s="42" t="n">
        <v>200</v>
      </c>
      <c r="H1165" s="43" t="n">
        <v>1</v>
      </c>
      <c r="I1165" s="34" t="n">
        <f aca="false">E1165*H1165+N(F1165)+N(G1165)</f>
        <v>2400</v>
      </c>
      <c r="J1165" s="42" t="n">
        <f aca="false">ROUND(IFERROR(ROUND(IF(OR(ISNUMBER(SEARCH("week",C1165)),ISNUMBER(SEARCH("minggu",C1165))),IFERROR(_xlfn.NUMBERVALUE(SUBSTITUTE(LEFT(TRIM(C1165),FIND(" ",TRIM(C1165)&amp;" ")-1),",","."),"."),LEFT(SUBSTITUTE(LEFT(TRIM(C1165),FIND(" ",TRIM(C1165)&amp;" ")-1),",","."),FIND("/",SUBSTITUTE(LEFT(TRIM(C1165),FIND(" ",TRIM(C1165)&amp;" ")-1),",","."))-1)/MID(SUBSTITUTE(LEFT(TRIM(C1165),FIND(" ",TRIM(C1165)&amp;" ")-1),",","."),FIND("/",SUBSTITUTE(LEFT(TRIM(C1165),FIND(" ",TRIM(C1165)&amp;" ")-1),",","."))+1,9))*12/52,IF(ISNUMBER(SEARCH("month",C1165)),IFERROR(_xlfn.NUMBERVALUE(SUBSTITUTE(LEFT(TRIM(C1165),FIND(" ",TRIM(C1165)&amp;" ")-1),",","."),"."),LEFT(SUBSTITUTE(LEFT(TRIM(C1165),FIND(" ",TRIM(C1165)&amp;" ")-1),",","."),FIND("/",SUBSTITUTE(LEFT(TRIM(C1165),FIND(" ",TRIM(C1165)&amp;" ")-1),",","."))-1)/MID(SUBSTITUTE(LEFT(TRIM(C1165),FIND(" ",TRIM(C1165)&amp;" ")-1),",","."),FIND("/",SUBSTITUTE(LEFT(TRIM(C1165),FIND(" ",TRIM(C1165)&amp;" ")-1),",","."))+1,9)),IF(ISNUMBER(SEARCH("yea",C1165)),IFERROR(_xlfn.NUMBERVALUE(SUBSTITUTE(LEFT(TRIM(C1165),FIND(" ",TRIM(C1165)&amp;" ")-1),",","."),"."),LEFT(SUBSTITUTE(LEFT(TRIM(C1165),FIND(" ",TRIM(C1165)&amp;" ")-1),",","."),FIND("/",SUBSTITUTE(LEFT(TRIM(C1165),FIND(" ",TRIM(C1165)&amp;" ")-1),",","."))-1)/MID(SUBSTITUTE(LEFT(TRIM(C1165),FIND(" ",TRIM(C1165)&amp;" ")-1),",","."),FIND("/",SUBSTITUTE(LEFT(TRIM(C1165),FIND(" ",TRIM(C1165)&amp;" ")-1),",","."))+1,9))*12,NA()))),0),12)*'Aturan &amp; Tarif'!$B$4,2)</f>
        <v>681.36</v>
      </c>
      <c r="K1165" s="42" t="n">
        <f aca="false">'Aturan &amp; Tarif'!$B$5</f>
        <v>2050</v>
      </c>
      <c r="L1165" s="42" t="n">
        <f aca="false">'Aturan &amp; Tarif'!$B$6</f>
        <v>350</v>
      </c>
      <c r="M1165" s="35" t="n">
        <f aca="false">I1165+J1165+K1165+L1165</f>
        <v>5481.36</v>
      </c>
      <c r="N1165" s="45" t="s">
        <v>2748</v>
      </c>
    </row>
    <row r="1166" customFormat="false" ht="25.5" hidden="false" customHeight="true" outlineLevel="0" collapsed="false">
      <c r="A1166" s="39"/>
      <c r="B1166" s="40" t="s">
        <v>2754</v>
      </c>
      <c r="C1166" s="41" t="s">
        <v>127</v>
      </c>
      <c r="D1166" s="41" t="s">
        <v>108</v>
      </c>
      <c r="E1166" s="42" t="n">
        <v>2000</v>
      </c>
      <c r="F1166" s="42" t="n">
        <v>200</v>
      </c>
      <c r="G1166" s="42" t="n">
        <v>200</v>
      </c>
      <c r="H1166" s="43" t="n">
        <v>1</v>
      </c>
      <c r="I1166" s="34" t="n">
        <f aca="false">E1166*H1166+N(F1166)+N(G1166)</f>
        <v>2400</v>
      </c>
      <c r="J1166" s="42" t="n">
        <f aca="false">ROUND(IFERROR(ROUND(IF(OR(ISNUMBER(SEARCH("week",C1166)),ISNUMBER(SEARCH("minggu",C1166))),IFERROR(_xlfn.NUMBERVALUE(SUBSTITUTE(LEFT(TRIM(C1166),FIND(" ",TRIM(C1166)&amp;" ")-1),",","."),"."),LEFT(SUBSTITUTE(LEFT(TRIM(C1166),FIND(" ",TRIM(C1166)&amp;" ")-1),",","."),FIND("/",SUBSTITUTE(LEFT(TRIM(C1166),FIND(" ",TRIM(C1166)&amp;" ")-1),",","."))-1)/MID(SUBSTITUTE(LEFT(TRIM(C1166),FIND(" ",TRIM(C1166)&amp;" ")-1),",","."),FIND("/",SUBSTITUTE(LEFT(TRIM(C1166),FIND(" ",TRIM(C1166)&amp;" ")-1),",","."))+1,9))*12/52,IF(ISNUMBER(SEARCH("month",C1166)),IFERROR(_xlfn.NUMBERVALUE(SUBSTITUTE(LEFT(TRIM(C1166),FIND(" ",TRIM(C1166)&amp;" ")-1),",","."),"."),LEFT(SUBSTITUTE(LEFT(TRIM(C1166),FIND(" ",TRIM(C1166)&amp;" ")-1),",","."),FIND("/",SUBSTITUTE(LEFT(TRIM(C1166),FIND(" ",TRIM(C1166)&amp;" ")-1),",","."))-1)/MID(SUBSTITUTE(LEFT(TRIM(C1166),FIND(" ",TRIM(C1166)&amp;" ")-1),",","."),FIND("/",SUBSTITUTE(LEFT(TRIM(C1166),FIND(" ",TRIM(C1166)&amp;" ")-1),",","."))+1,9)),IF(ISNUMBER(SEARCH("yea",C1166)),IFERROR(_xlfn.NUMBERVALUE(SUBSTITUTE(LEFT(TRIM(C1166),FIND(" ",TRIM(C1166)&amp;" ")-1),",","."),"."),LEFT(SUBSTITUTE(LEFT(TRIM(C1166),FIND(" ",TRIM(C1166)&amp;" ")-1),",","."),FIND("/",SUBSTITUTE(LEFT(TRIM(C1166),FIND(" ",TRIM(C1166)&amp;" ")-1),",","."))-1)/MID(SUBSTITUTE(LEFT(TRIM(C1166),FIND(" ",TRIM(C1166)&amp;" ")-1),",","."),FIND("/",SUBSTITUTE(LEFT(TRIM(C1166),FIND(" ",TRIM(C1166)&amp;" ")-1),",","."))+1,9))*12,NA()))),0),36)*'Aturan &amp; Tarif'!$B$4,2)</f>
        <v>2044.08</v>
      </c>
      <c r="K1166" s="42" t="n">
        <f aca="false">'Aturan &amp; Tarif'!$B$5</f>
        <v>2050</v>
      </c>
      <c r="L1166" s="42" t="n">
        <f aca="false">'Aturan &amp; Tarif'!$B$6</f>
        <v>350</v>
      </c>
      <c r="M1166" s="35" t="n">
        <f aca="false">I1166+J1166+K1166+L1166</f>
        <v>6844.08</v>
      </c>
      <c r="N1166" s="45" t="s">
        <v>2748</v>
      </c>
    </row>
    <row r="1167" customFormat="false" ht="25.5" hidden="false" customHeight="true" outlineLevel="0" collapsed="false">
      <c r="A1167" s="39"/>
      <c r="B1167" s="40" t="s">
        <v>2755</v>
      </c>
      <c r="C1167" s="41" t="s">
        <v>107</v>
      </c>
      <c r="D1167" s="41" t="s">
        <v>108</v>
      </c>
      <c r="E1167" s="42" t="n">
        <v>2000</v>
      </c>
      <c r="F1167" s="42" t="n">
        <v>200</v>
      </c>
      <c r="G1167" s="42" t="n">
        <v>200</v>
      </c>
      <c r="H1167" s="43" t="n">
        <v>1</v>
      </c>
      <c r="I1167" s="34" t="n">
        <f aca="false">E1167*H1167+N(F1167)+N(G1167)</f>
        <v>2400</v>
      </c>
      <c r="J1167" s="42" t="n">
        <f aca="false">ROUND(IFERROR(ROUND(IF(OR(ISNUMBER(SEARCH("week",C1167)),ISNUMBER(SEARCH("minggu",C1167))),IFERROR(_xlfn.NUMBERVALUE(SUBSTITUTE(LEFT(TRIM(C1167),FIND(" ",TRIM(C1167)&amp;" ")-1),",","."),"."),LEFT(SUBSTITUTE(LEFT(TRIM(C1167),FIND(" ",TRIM(C1167)&amp;" ")-1),",","."),FIND("/",SUBSTITUTE(LEFT(TRIM(C1167),FIND(" ",TRIM(C1167)&amp;" ")-1),",","."))-1)/MID(SUBSTITUTE(LEFT(TRIM(C1167),FIND(" ",TRIM(C1167)&amp;" ")-1),",","."),FIND("/",SUBSTITUTE(LEFT(TRIM(C1167),FIND(" ",TRIM(C1167)&amp;" ")-1),",","."))+1,9))*12/52,IF(ISNUMBER(SEARCH("month",C1167)),IFERROR(_xlfn.NUMBERVALUE(SUBSTITUTE(LEFT(TRIM(C1167),FIND(" ",TRIM(C1167)&amp;" ")-1),",","."),"."),LEFT(SUBSTITUTE(LEFT(TRIM(C1167),FIND(" ",TRIM(C1167)&amp;" ")-1),",","."),FIND("/",SUBSTITUTE(LEFT(TRIM(C1167),FIND(" ",TRIM(C1167)&amp;" ")-1),",","."))-1)/MID(SUBSTITUTE(LEFT(TRIM(C1167),FIND(" ",TRIM(C1167)&amp;" ")-1),",","."),FIND("/",SUBSTITUTE(LEFT(TRIM(C1167),FIND(" ",TRIM(C1167)&amp;" ")-1),",","."))+1,9)),IF(ISNUMBER(SEARCH("yea",C1167)),IFERROR(_xlfn.NUMBERVALUE(SUBSTITUTE(LEFT(TRIM(C1167),FIND(" ",TRIM(C1167)&amp;" ")-1),",","."),"."),LEFT(SUBSTITUTE(LEFT(TRIM(C1167),FIND(" ",TRIM(C1167)&amp;" ")-1),",","."),FIND("/",SUBSTITUTE(LEFT(TRIM(C1167),FIND(" ",TRIM(C1167)&amp;" ")-1),",","."))-1)/MID(SUBSTITUTE(LEFT(TRIM(C1167),FIND(" ",TRIM(C1167)&amp;" ")-1),",","."),FIND("/",SUBSTITUTE(LEFT(TRIM(C1167),FIND(" ",TRIM(C1167)&amp;" ")-1),",","."))+1,9))*12,NA()))),0),24)*'Aturan &amp; Tarif'!$B$4,2)</f>
        <v>1362.72</v>
      </c>
      <c r="K1167" s="42" t="n">
        <f aca="false">'Aturan &amp; Tarif'!$B$5</f>
        <v>2050</v>
      </c>
      <c r="L1167" s="42" t="n">
        <f aca="false">'Aturan &amp; Tarif'!$B$6</f>
        <v>350</v>
      </c>
      <c r="M1167" s="35" t="n">
        <f aca="false">I1167+J1167+K1167+L1167</f>
        <v>6162.72</v>
      </c>
      <c r="N1167" s="45" t="s">
        <v>2748</v>
      </c>
    </row>
    <row r="1168" customFormat="false" ht="25.5" hidden="false" customHeight="true" outlineLevel="0" collapsed="false">
      <c r="A1168" s="39"/>
      <c r="B1168" s="40" t="s">
        <v>2756</v>
      </c>
      <c r="C1168" s="41" t="s">
        <v>107</v>
      </c>
      <c r="D1168" s="41" t="s">
        <v>108</v>
      </c>
      <c r="E1168" s="42" t="n">
        <v>2000</v>
      </c>
      <c r="F1168" s="42" t="n">
        <v>200</v>
      </c>
      <c r="G1168" s="42" t="n">
        <v>200</v>
      </c>
      <c r="H1168" s="43" t="n">
        <v>1</v>
      </c>
      <c r="I1168" s="34" t="n">
        <f aca="false">E1168*H1168+N(F1168)+N(G1168)</f>
        <v>2400</v>
      </c>
      <c r="J1168" s="42" t="n">
        <f aca="false">ROUND(IFERROR(ROUND(IF(OR(ISNUMBER(SEARCH("week",C1168)),ISNUMBER(SEARCH("minggu",C1168))),IFERROR(_xlfn.NUMBERVALUE(SUBSTITUTE(LEFT(TRIM(C1168),FIND(" ",TRIM(C1168)&amp;" ")-1),",","."),"."),LEFT(SUBSTITUTE(LEFT(TRIM(C1168),FIND(" ",TRIM(C1168)&amp;" ")-1),",","."),FIND("/",SUBSTITUTE(LEFT(TRIM(C1168),FIND(" ",TRIM(C1168)&amp;" ")-1),",","."))-1)/MID(SUBSTITUTE(LEFT(TRIM(C1168),FIND(" ",TRIM(C1168)&amp;" ")-1),",","."),FIND("/",SUBSTITUTE(LEFT(TRIM(C1168),FIND(" ",TRIM(C1168)&amp;" ")-1),",","."))+1,9))*12/52,IF(ISNUMBER(SEARCH("month",C1168)),IFERROR(_xlfn.NUMBERVALUE(SUBSTITUTE(LEFT(TRIM(C1168),FIND(" ",TRIM(C1168)&amp;" ")-1),",","."),"."),LEFT(SUBSTITUTE(LEFT(TRIM(C1168),FIND(" ",TRIM(C1168)&amp;" ")-1),",","."),FIND("/",SUBSTITUTE(LEFT(TRIM(C1168),FIND(" ",TRIM(C1168)&amp;" ")-1),",","."))-1)/MID(SUBSTITUTE(LEFT(TRIM(C1168),FIND(" ",TRIM(C1168)&amp;" ")-1),",","."),FIND("/",SUBSTITUTE(LEFT(TRIM(C1168),FIND(" ",TRIM(C1168)&amp;" ")-1),",","."))+1,9)),IF(ISNUMBER(SEARCH("yea",C1168)),IFERROR(_xlfn.NUMBERVALUE(SUBSTITUTE(LEFT(TRIM(C1168),FIND(" ",TRIM(C1168)&amp;" ")-1),",","."),"."),LEFT(SUBSTITUTE(LEFT(TRIM(C1168),FIND(" ",TRIM(C1168)&amp;" ")-1),",","."),FIND("/",SUBSTITUTE(LEFT(TRIM(C1168),FIND(" ",TRIM(C1168)&amp;" ")-1),",","."))-1)/MID(SUBSTITUTE(LEFT(TRIM(C1168),FIND(" ",TRIM(C1168)&amp;" ")-1),",","."),FIND("/",SUBSTITUTE(LEFT(TRIM(C1168),FIND(" ",TRIM(C1168)&amp;" ")-1),",","."))+1,9))*12,NA()))),0),24)*'Aturan &amp; Tarif'!$B$4,2)</f>
        <v>1362.72</v>
      </c>
      <c r="K1168" s="42" t="n">
        <f aca="false">'Aturan &amp; Tarif'!$B$5</f>
        <v>2050</v>
      </c>
      <c r="L1168" s="42" t="n">
        <f aca="false">'Aturan &amp; Tarif'!$B$6</f>
        <v>350</v>
      </c>
      <c r="M1168" s="35" t="n">
        <f aca="false">I1168+J1168+K1168+L1168</f>
        <v>6162.72</v>
      </c>
      <c r="N1168" s="45" t="s">
        <v>2748</v>
      </c>
    </row>
    <row r="1169" customFormat="false" ht="14.25" hidden="false" customHeight="true" outlineLevel="0" collapsed="false">
      <c r="A1169" s="39"/>
      <c r="B1169" s="40" t="s">
        <v>2757</v>
      </c>
      <c r="C1169" s="41" t="s">
        <v>107</v>
      </c>
      <c r="D1169" s="41" t="s">
        <v>108</v>
      </c>
      <c r="E1169" s="42" t="n">
        <v>2000</v>
      </c>
      <c r="F1169" s="42" t="n">
        <v>100</v>
      </c>
      <c r="G1169" s="42" t="n">
        <v>200</v>
      </c>
      <c r="H1169" s="43" t="n">
        <v>1</v>
      </c>
      <c r="I1169" s="34" t="n">
        <f aca="false">E1169*H1169+N(F1169)+N(G1169)</f>
        <v>2300</v>
      </c>
      <c r="J1169" s="42" t="n">
        <f aca="false">ROUND(IFERROR(ROUND(IF(OR(ISNUMBER(SEARCH("week",C1169)),ISNUMBER(SEARCH("minggu",C1169))),IFERROR(_xlfn.NUMBERVALUE(SUBSTITUTE(LEFT(TRIM(C1169),FIND(" ",TRIM(C1169)&amp;" ")-1),",","."),"."),LEFT(SUBSTITUTE(LEFT(TRIM(C1169),FIND(" ",TRIM(C1169)&amp;" ")-1),",","."),FIND("/",SUBSTITUTE(LEFT(TRIM(C1169),FIND(" ",TRIM(C1169)&amp;" ")-1),",","."))-1)/MID(SUBSTITUTE(LEFT(TRIM(C1169),FIND(" ",TRIM(C1169)&amp;" ")-1),",","."),FIND("/",SUBSTITUTE(LEFT(TRIM(C1169),FIND(" ",TRIM(C1169)&amp;" ")-1),",","."))+1,9))*12/52,IF(ISNUMBER(SEARCH("month",C1169)),IFERROR(_xlfn.NUMBERVALUE(SUBSTITUTE(LEFT(TRIM(C1169),FIND(" ",TRIM(C1169)&amp;" ")-1),",","."),"."),LEFT(SUBSTITUTE(LEFT(TRIM(C1169),FIND(" ",TRIM(C1169)&amp;" ")-1),",","."),FIND("/",SUBSTITUTE(LEFT(TRIM(C1169),FIND(" ",TRIM(C1169)&amp;" ")-1),",","."))-1)/MID(SUBSTITUTE(LEFT(TRIM(C1169),FIND(" ",TRIM(C1169)&amp;" ")-1),",","."),FIND("/",SUBSTITUTE(LEFT(TRIM(C1169),FIND(" ",TRIM(C1169)&amp;" ")-1),",","."))+1,9)),IF(ISNUMBER(SEARCH("yea",C1169)),IFERROR(_xlfn.NUMBERVALUE(SUBSTITUTE(LEFT(TRIM(C1169),FIND(" ",TRIM(C1169)&amp;" ")-1),",","."),"."),LEFT(SUBSTITUTE(LEFT(TRIM(C1169),FIND(" ",TRIM(C1169)&amp;" ")-1),",","."),FIND("/",SUBSTITUTE(LEFT(TRIM(C1169),FIND(" ",TRIM(C1169)&amp;" ")-1),",","."))-1)/MID(SUBSTITUTE(LEFT(TRIM(C1169),FIND(" ",TRIM(C1169)&amp;" ")-1),",","."),FIND("/",SUBSTITUTE(LEFT(TRIM(C1169),FIND(" ",TRIM(C1169)&amp;" ")-1),",","."))+1,9))*12,NA()))),0),24)*'Aturan &amp; Tarif'!$B$4,2)</f>
        <v>1362.72</v>
      </c>
      <c r="K1169" s="42" t="n">
        <f aca="false">'Aturan &amp; Tarif'!$B$5</f>
        <v>2050</v>
      </c>
      <c r="L1169" s="42" t="n">
        <f aca="false">'Aturan &amp; Tarif'!$B$6</f>
        <v>350</v>
      </c>
      <c r="M1169" s="35" t="n">
        <f aca="false">I1169+J1169+K1169+L1169</f>
        <v>6062.72</v>
      </c>
      <c r="N1169" s="45" t="s">
        <v>2748</v>
      </c>
    </row>
    <row r="1171" customFormat="false" ht="45.75" hidden="false" customHeight="true" outlineLevel="0" collapsed="false">
      <c r="A1171" s="38" t="s">
        <v>117</v>
      </c>
    </row>
    <row r="1172" customFormat="false" ht="27.75" hidden="false" customHeight="true" outlineLevel="0" collapsed="false">
      <c r="A1172" s="38" t="s">
        <v>118</v>
      </c>
    </row>
    <row r="1173" customFormat="false" ht="81.75" hidden="false" customHeight="true" outlineLevel="0" collapsed="false">
      <c r="A1173" s="38" t="s">
        <v>119</v>
      </c>
    </row>
    <row r="1174" customFormat="false" ht="45.75" hidden="false" customHeight="true" outlineLevel="0" collapsed="false">
      <c r="A1174" s="38" t="s">
        <v>120</v>
      </c>
    </row>
    <row r="1175" customFormat="false" ht="54.75" hidden="false" customHeight="true" outlineLevel="0" collapsed="false">
      <c r="A1175" s="38" t="s">
        <v>121</v>
      </c>
    </row>
    <row r="1176" customFormat="false" ht="15" hidden="false" customHeight="true" outlineLevel="0" collapsed="false">
      <c r="A1176" s="38" t="s">
        <v>2758</v>
      </c>
    </row>
    <row r="1177" customFormat="false" ht="15" hidden="false" customHeight="true" outlineLevel="0" collapsed="false">
      <c r="A1177" s="38" t="s">
        <v>2759</v>
      </c>
    </row>
    <row r="1178" customFormat="false" ht="18.75" hidden="false" customHeight="true" outlineLevel="0" collapsed="false">
      <c r="A1178" s="38" t="s">
        <v>2760</v>
      </c>
    </row>
    <row r="1179" customFormat="false" ht="18.75" hidden="false" customHeight="true" outlineLevel="0" collapsed="false">
      <c r="A1179" s="38" t="s">
        <v>2761</v>
      </c>
    </row>
    <row r="1180" customFormat="false" ht="27.75" hidden="false" customHeight="true" outlineLevel="0" collapsed="false">
      <c r="A1180" s="38" t="s">
        <v>122</v>
      </c>
    </row>
    <row r="1181" customFormat="false" ht="18.75" hidden="false" customHeight="true" outlineLevel="0" collapsed="false">
      <c r="A1181" s="38" t="s">
        <v>123</v>
      </c>
    </row>
  </sheetData>
  <autoFilter ref="A5:N1169"/>
  <conditionalFormatting sqref="J6:J1169">
    <cfRule type="expression" priority="2" aboveAverage="0" equalAverage="0" bottom="0" percent="0" rank="0" text="" dxfId="6">
      <formula>AND($E6&lt;&gt;"",OR(ISERROR(ROUND(IF(OR(ISNUMBER(SEARCH("week",C6)),ISNUMBER(SEARCH("minggu",C6))),IFERROR(_xlfn.NUMBERVALUE(SUBSTITUTE(LEFT(TRIM(C6),FIND("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")-1),",","."))+1,9))*12,NA()))),0)&lt;1,1),IFERROR(ROUND(IF(OR(ISNUMBER(SEARCH("week",C6)),ISNUMBER(SEARCH("minggu",C6))),IFERROR(_xlfn.NUMBERVALUE(SUBSTITUTE(LEFT(TRIM(C6),FIND("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")-1),",","."))+1,9))*12,NA()))),0)&gt;96,1)))</formula>
    </cfRule>
  </conditionalFormatting>
  <printOptions headings="false" gridLines="false" gridLinesSet="true" horizontalCentered="true" verticalCentered="false"/>
  <pageMargins left="0.3" right="0.3" top="0.5" bottom="0.5" header="0.2" footer="0.2"/>
  <pageSetup paperSize="9" scale="100" fitToWidth="1" fitToHeight="0" pageOrder="downThenOver" orientation="landscape" blackAndWhite="false" draft="false" cellComments="none" horizontalDpi="300" verticalDpi="300" copies="1"/>
  <headerFooter differentFirst="false" differentOddEven="false">
    <oddHeader>&amp;R&amp;8 OFFSHORE - SYDNEY</oddHeader>
    <oddFooter>&amp;L&amp;8 TEG Pricelist - harga bisa berubah sewaktu-waktu&amp;R&amp;8 Halaman &amp;P dari &amp;N</odd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594"/>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2" min="2" style="1" width="55"/>
    <col collapsed="false" customWidth="true" hidden="false" outlineLevel="0" max="3" min="3" style="1" width="14"/>
    <col collapsed="false" customWidth="true" hidden="false" outlineLevel="0" max="4" min="4" style="1" width="11"/>
    <col collapsed="false" customWidth="true" hidden="false" outlineLevel="0" max="5" min="5" style="1" width="12"/>
    <col collapsed="false" customWidth="true" hidden="false" outlineLevel="0" max="8" min="6" style="1" width="11"/>
    <col collapsed="false" customWidth="true" hidden="false" outlineLevel="0" max="9" min="9" style="1" width="15"/>
    <col collapsed="false" customWidth="true" hidden="false" outlineLevel="0" max="10" min="10" style="1" width="12"/>
    <col collapsed="false" customWidth="true" hidden="false" outlineLevel="0" max="12" min="11" style="1" width="10"/>
    <col collapsed="false" customWidth="true" hidden="false" outlineLevel="0" max="13" min="13" style="1" width="15"/>
    <col collapsed="false" customWidth="true" hidden="false" outlineLevel="0" max="14" min="14" style="1" width="110"/>
    <col collapsed="false" customWidth="true" hidden="false" outlineLevel="0" max="44" min="15" style="1" width="9"/>
  </cols>
  <sheetData>
    <row r="1" customFormat="false" ht="17.25" hidden="false" customHeight="true" outlineLevel="0" collapsed="false">
      <c r="A1" s="14" t="s">
        <v>2762</v>
      </c>
    </row>
    <row r="2" customFormat="false" ht="15" hidden="false" customHeight="true" outlineLevel="0" collapsed="false">
      <c r="A2" s="25" t="s">
        <v>91</v>
      </c>
    </row>
    <row r="3" customFormat="false" ht="15" hidden="false" customHeight="true" outlineLevel="0" collapsed="false">
      <c r="A3" s="26" t="s">
        <v>92</v>
      </c>
    </row>
    <row r="5" customFormat="false" ht="36" hidden="false" customHeight="true" outlineLevel="0" collapsed="false">
      <c r="A5" s="27" t="s">
        <v>93</v>
      </c>
      <c r="B5" s="27" t="s">
        <v>94</v>
      </c>
      <c r="C5" s="27" t="s">
        <v>95</v>
      </c>
      <c r="D5" s="27" t="s">
        <v>96</v>
      </c>
      <c r="E5" s="27" t="s">
        <v>97</v>
      </c>
      <c r="F5" s="27" t="s">
        <v>98</v>
      </c>
      <c r="G5" s="27" t="s">
        <v>99</v>
      </c>
      <c r="H5" s="27" t="s">
        <v>100</v>
      </c>
      <c r="I5" s="27" t="s">
        <v>101</v>
      </c>
      <c r="J5" s="27" t="s">
        <v>10</v>
      </c>
      <c r="K5" s="27" t="s">
        <v>102</v>
      </c>
      <c r="L5" s="27" t="s">
        <v>103</v>
      </c>
      <c r="M5" s="27" t="s">
        <v>104</v>
      </c>
      <c r="N5" s="28" t="s">
        <v>14</v>
      </c>
    </row>
    <row r="6" customFormat="false" ht="37.5" hidden="false" customHeight="true" outlineLevel="0" collapsed="false">
      <c r="A6" s="29" t="s">
        <v>2763</v>
      </c>
      <c r="B6" s="30" t="s">
        <v>2764</v>
      </c>
      <c r="C6" s="31" t="s">
        <v>127</v>
      </c>
      <c r="D6" s="31" t="s">
        <v>108</v>
      </c>
      <c r="E6" s="32" t="n">
        <v>5000</v>
      </c>
      <c r="F6" s="32" t="n">
        <v>120</v>
      </c>
      <c r="G6" s="32" t="n">
        <v>250</v>
      </c>
      <c r="H6" s="33" t="n">
        <v>2</v>
      </c>
      <c r="I6" s="34" t="n">
        <f aca="false">E6*H6+N(F6)+N(G6)</f>
        <v>10370</v>
      </c>
      <c r="J6" s="32" t="n">
        <f aca="false">ROUND(IFERROR(ROUND(IF(OR(ISNUMBER(SEARCH("week",C6)),ISNUMBER(SEARCH("minggu",C6))),IFERROR(_xlfn.NUMBERVALUE(SUBSTITUTE(LEFT(TRIM(C6),FIND("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")-1),",","."))+1,9))*12,NA()))),0),36)*'Aturan &amp; Tarif'!$B$4,2)</f>
        <v>2044.08</v>
      </c>
      <c r="K6" s="32" t="n">
        <f aca="false">'Aturan &amp; Tarif'!$B$5</f>
        <v>2050</v>
      </c>
      <c r="L6" s="32" t="n">
        <f aca="false">'Aturan &amp; Tarif'!$B$6</f>
        <v>350</v>
      </c>
      <c r="M6" s="35" t="n">
        <f aca="false">I6+J6+K6+L6</f>
        <v>14814.08</v>
      </c>
      <c r="N6" s="37" t="s">
        <v>829</v>
      </c>
    </row>
    <row r="7" customFormat="false" ht="14.25" hidden="false" customHeight="true" outlineLevel="0" collapsed="false">
      <c r="A7" s="29"/>
      <c r="B7" s="30" t="s">
        <v>625</v>
      </c>
      <c r="C7" s="31" t="s">
        <v>107</v>
      </c>
      <c r="D7" s="31" t="s">
        <v>108</v>
      </c>
      <c r="E7" s="32" t="n">
        <v>1500</v>
      </c>
      <c r="F7" s="32" t="n">
        <v>100</v>
      </c>
      <c r="G7" s="32" t="n">
        <v>200</v>
      </c>
      <c r="H7" s="33" t="n">
        <v>2</v>
      </c>
      <c r="I7" s="34" t="n">
        <f aca="false">E7*H7+N(F7)+N(G7)</f>
        <v>3300</v>
      </c>
      <c r="J7" s="32" t="n">
        <f aca="false">ROUND(IFERROR(ROUND(IF(OR(ISNUMBER(SEARCH("week",C7)),ISNUMBER(SEARCH("minggu",C7))),IFERROR(_xlfn.NUMBERVALUE(SUBSTITUTE(LEFT(TRIM(C7),FIND(" ",TRIM(C7)&amp;" ")-1),",","."),"."),LEFT(SUBSTITUTE(LEFT(TRIM(C7),FIND(" ",TRIM(C7)&amp;" ")-1),",","."),FIND("/",SUBSTITUTE(LEFT(TRIM(C7),FIND(" ",TRIM(C7)&amp;" ")-1),",","."))-1)/MID(SUBSTITUTE(LEFT(TRIM(C7),FIND(" ",TRIM(C7)&amp;" ")-1),",","."),FIND("/",SUBSTITUTE(LEFT(TRIM(C7),FIND(" ",TRIM(C7)&amp;" ")-1),",","."))+1,9))*12/52,IF(ISNUMBER(SEARCH("month",C7)),IFERROR(_xlfn.NUMBERVALUE(SUBSTITUTE(LEFT(TRIM(C7),FIND(" ",TRIM(C7)&amp;" ")-1),",","."),"."),LEFT(SUBSTITUTE(LEFT(TRIM(C7),FIND(" ",TRIM(C7)&amp;" ")-1),",","."),FIND("/",SUBSTITUTE(LEFT(TRIM(C7),FIND(" ",TRIM(C7)&amp;" ")-1),",","."))-1)/MID(SUBSTITUTE(LEFT(TRIM(C7),FIND(" ",TRIM(C7)&amp;" ")-1),",","."),FIND("/",SUBSTITUTE(LEFT(TRIM(C7),FIND(" ",TRIM(C7)&amp;" ")-1),",","."))+1,9)),IF(ISNUMBER(SEARCH("yea",C7)),IFERROR(_xlfn.NUMBERVALUE(SUBSTITUTE(LEFT(TRIM(C7),FIND(" ",TRIM(C7)&amp;" ")-1),",","."),"."),LEFT(SUBSTITUTE(LEFT(TRIM(C7),FIND(" ",TRIM(C7)&amp;" ")-1),",","."),FIND("/",SUBSTITUTE(LEFT(TRIM(C7),FIND(" ",TRIM(C7)&amp;" ")-1),",","."))-1)/MID(SUBSTITUTE(LEFT(TRIM(C7),FIND(" ",TRIM(C7)&amp;" ")-1),",","."),FIND("/",SUBSTITUTE(LEFT(TRIM(C7),FIND(" ",TRIM(C7)&amp;" ")-1),",","."))+1,9))*12,NA()))),0),24)*'Aturan &amp; Tarif'!$B$4,2)</f>
        <v>1362.72</v>
      </c>
      <c r="K7" s="32" t="n">
        <f aca="false">'Aturan &amp; Tarif'!$B$5</f>
        <v>2050</v>
      </c>
      <c r="L7" s="32" t="n">
        <f aca="false">'Aturan &amp; Tarif'!$B$6</f>
        <v>350</v>
      </c>
      <c r="M7" s="35" t="n">
        <f aca="false">I7+J7+K7+L7</f>
        <v>7062.72</v>
      </c>
      <c r="N7" s="37" t="s">
        <v>829</v>
      </c>
    </row>
    <row r="8" customFormat="false" ht="14.25" hidden="false" customHeight="true" outlineLevel="0" collapsed="false">
      <c r="A8" s="29"/>
      <c r="B8" s="30" t="s">
        <v>1829</v>
      </c>
      <c r="C8" s="31" t="s">
        <v>127</v>
      </c>
      <c r="D8" s="31" t="s">
        <v>108</v>
      </c>
      <c r="E8" s="32" t="n">
        <v>5000</v>
      </c>
      <c r="F8" s="32" t="n">
        <v>120</v>
      </c>
      <c r="G8" s="32" t="n">
        <v>250</v>
      </c>
      <c r="H8" s="33" t="n">
        <v>2</v>
      </c>
      <c r="I8" s="34" t="n">
        <f aca="false">E8*H8+N(F8)+N(G8)</f>
        <v>10370</v>
      </c>
      <c r="J8" s="32" t="n">
        <f aca="false">ROUND(IFERROR(ROUND(IF(OR(ISNUMBER(SEARCH("week",C8)),ISNUMBER(SEARCH("minggu",C8))),IFERROR(_xlfn.NUMBERVALUE(SUBSTITUTE(LEFT(TRIM(C8),FIND(" ",TRIM(C8)&amp;" ")-1),",","."),"."),LEFT(SUBSTITUTE(LEFT(TRIM(C8),FIND(" ",TRIM(C8)&amp;" ")-1),",","."),FIND("/",SUBSTITUTE(LEFT(TRIM(C8),FIND(" ",TRIM(C8)&amp;" ")-1),",","."))-1)/MID(SUBSTITUTE(LEFT(TRIM(C8),FIND(" ",TRIM(C8)&amp;" ")-1),",","."),FIND("/",SUBSTITUTE(LEFT(TRIM(C8),FIND(" ",TRIM(C8)&amp;" ")-1),",","."))+1,9))*12/52,IF(ISNUMBER(SEARCH("month",C8)),IFERROR(_xlfn.NUMBERVALUE(SUBSTITUTE(LEFT(TRIM(C8),FIND(" ",TRIM(C8)&amp;" ")-1),",","."),"."),LEFT(SUBSTITUTE(LEFT(TRIM(C8),FIND(" ",TRIM(C8)&amp;" ")-1),",","."),FIND("/",SUBSTITUTE(LEFT(TRIM(C8),FIND(" ",TRIM(C8)&amp;" ")-1),",","."))-1)/MID(SUBSTITUTE(LEFT(TRIM(C8),FIND(" ",TRIM(C8)&amp;" ")-1),",","."),FIND("/",SUBSTITUTE(LEFT(TRIM(C8),FIND(" ",TRIM(C8)&amp;" ")-1),",","."))+1,9)),IF(ISNUMBER(SEARCH("yea",C8)),IFERROR(_xlfn.NUMBERVALUE(SUBSTITUTE(LEFT(TRIM(C8),FIND(" ",TRIM(C8)&amp;" ")-1),",","."),"."),LEFT(SUBSTITUTE(LEFT(TRIM(C8),FIND(" ",TRIM(C8)&amp;" ")-1),",","."),FIND("/",SUBSTITUTE(LEFT(TRIM(C8),FIND(" ",TRIM(C8)&amp;" ")-1),",","."))-1)/MID(SUBSTITUTE(LEFT(TRIM(C8),FIND(" ",TRIM(C8)&amp;" ")-1),",","."),FIND("/",SUBSTITUTE(LEFT(TRIM(C8),FIND(" ",TRIM(C8)&amp;" ")-1),",","."))+1,9))*12,NA()))),0),36)*'Aturan &amp; Tarif'!$B$4,2)</f>
        <v>2044.08</v>
      </c>
      <c r="K8" s="32" t="n">
        <f aca="false">'Aturan &amp; Tarif'!$B$5</f>
        <v>2050</v>
      </c>
      <c r="L8" s="32" t="n">
        <f aca="false">'Aturan &amp; Tarif'!$B$6</f>
        <v>350</v>
      </c>
      <c r="M8" s="35" t="n">
        <f aca="false">I8+J8+K8+L8</f>
        <v>14814.08</v>
      </c>
      <c r="N8" s="37" t="s">
        <v>829</v>
      </c>
    </row>
    <row r="9" customFormat="false" ht="37.5" hidden="false" customHeight="true" outlineLevel="0" collapsed="false">
      <c r="A9" s="29"/>
      <c r="B9" s="30" t="s">
        <v>2765</v>
      </c>
      <c r="C9" s="31" t="s">
        <v>113</v>
      </c>
      <c r="D9" s="31" t="s">
        <v>108</v>
      </c>
      <c r="E9" s="32" t="n">
        <v>1500</v>
      </c>
      <c r="F9" s="32" t="n">
        <v>100</v>
      </c>
      <c r="G9" s="32" t="n">
        <v>200</v>
      </c>
      <c r="H9" s="33" t="n">
        <v>2</v>
      </c>
      <c r="I9" s="34" t="n">
        <f aca="false">E9*H9+N(F9)+N(G9)</f>
        <v>3300</v>
      </c>
      <c r="J9" s="32" t="n">
        <f aca="false">ROUND(IFERROR(ROUND(IF(OR(ISNUMBER(SEARCH("week",C9)),ISNUMBER(SEARCH("minggu",C9))),IFERROR(_xlfn.NUMBERVALUE(SUBSTITUTE(LEFT(TRIM(C9),FIND(" ",TRIM(C9)&amp;" ")-1),",","."),"."),LEFT(SUBSTITUTE(LEFT(TRIM(C9),FIND(" ",TRIM(C9)&amp;" ")-1),",","."),FIND("/",SUBSTITUTE(LEFT(TRIM(C9),FIND(" ",TRIM(C9)&amp;" ")-1),",","."))-1)/MID(SUBSTITUTE(LEFT(TRIM(C9),FIND(" ",TRIM(C9)&amp;" ")-1),",","."),FIND("/",SUBSTITUTE(LEFT(TRIM(C9),FIND(" ",TRIM(C9)&amp;" ")-1),",","."))+1,9))*12/52,IF(ISNUMBER(SEARCH("month",C9)),IFERROR(_xlfn.NUMBERVALUE(SUBSTITUTE(LEFT(TRIM(C9),FIND(" ",TRIM(C9)&amp;" ")-1),",","."),"."),LEFT(SUBSTITUTE(LEFT(TRIM(C9),FIND(" ",TRIM(C9)&amp;" ")-1),",","."),FIND("/",SUBSTITUTE(LEFT(TRIM(C9),FIND(" ",TRIM(C9)&amp;" ")-1),",","."))-1)/MID(SUBSTITUTE(LEFT(TRIM(C9),FIND(" ",TRIM(C9)&amp;" ")-1),",","."),FIND("/",SUBSTITUTE(LEFT(TRIM(C9),FIND(" ",TRIM(C9)&amp;" ")-1),",","."))+1,9)),IF(ISNUMBER(SEARCH("yea",C9)),IFERROR(_xlfn.NUMBERVALUE(SUBSTITUTE(LEFT(TRIM(C9),FIND(" ",TRIM(C9)&amp;" ")-1),",","."),"."),LEFT(SUBSTITUTE(LEFT(TRIM(C9),FIND(" ",TRIM(C9)&amp;" ")-1),",","."),FIND("/",SUBSTITUTE(LEFT(TRIM(C9),FIND(" ",TRIM(C9)&amp;" ")-1),",","."))-1)/MID(SUBSTITUTE(LEFT(TRIM(C9),FIND(" ",TRIM(C9)&amp;" ")-1),",","."),FIND("/",SUBSTITUTE(LEFT(TRIM(C9),FIND(" ",TRIM(C9)&amp;" ")-1),",","."))+1,9))*12,NA()))),0),18)*'Aturan &amp; Tarif'!$B$4,2)</f>
        <v>1022.04</v>
      </c>
      <c r="K9" s="32" t="n">
        <f aca="false">'Aturan &amp; Tarif'!$B$5</f>
        <v>2050</v>
      </c>
      <c r="L9" s="32" t="n">
        <f aca="false">'Aturan &amp; Tarif'!$B$6</f>
        <v>350</v>
      </c>
      <c r="M9" s="35" t="n">
        <f aca="false">I9+J9+K9+L9</f>
        <v>6722.04</v>
      </c>
      <c r="N9" s="36" t="s">
        <v>2766</v>
      </c>
    </row>
    <row r="10" customFormat="false" ht="25.5" hidden="false" customHeight="true" outlineLevel="0" collapsed="false">
      <c r="A10" s="29"/>
      <c r="B10" s="30" t="s">
        <v>1831</v>
      </c>
      <c r="C10" s="31" t="s">
        <v>127</v>
      </c>
      <c r="D10" s="31" t="s">
        <v>108</v>
      </c>
      <c r="E10" s="32" t="n">
        <v>5000</v>
      </c>
      <c r="F10" s="32" t="n">
        <v>120</v>
      </c>
      <c r="G10" s="32" t="n">
        <v>250</v>
      </c>
      <c r="H10" s="33" t="n">
        <v>2</v>
      </c>
      <c r="I10" s="34" t="n">
        <f aca="false">E10*H10+N(F10)+N(G10)</f>
        <v>10370</v>
      </c>
      <c r="J10" s="32" t="n">
        <f aca="false">ROUND(IFERROR(ROUND(IF(OR(ISNUMBER(SEARCH("week",C10)),ISNUMBER(SEARCH("minggu",C10))),IFERROR(_xlfn.NUMBERVALUE(SUBSTITUTE(LEFT(TRIM(C10),FIND(" ",TRIM(C10)&amp;" ")-1),",","."),"."),LEFT(SUBSTITUTE(LEFT(TRIM(C10),FIND(" ",TRIM(C10)&amp;" ")-1),",","."),FIND("/",SUBSTITUTE(LEFT(TRIM(C10),FIND(" ",TRIM(C10)&amp;" ")-1),",","."))-1)/MID(SUBSTITUTE(LEFT(TRIM(C10),FIND(" ",TRIM(C10)&amp;" ")-1),",","."),FIND("/",SUBSTITUTE(LEFT(TRIM(C10),FIND(" ",TRIM(C10)&amp;" ")-1),",","."))+1,9))*12/52,IF(ISNUMBER(SEARCH("month",C10)),IFERROR(_xlfn.NUMBERVALUE(SUBSTITUTE(LEFT(TRIM(C10),FIND(" ",TRIM(C10)&amp;" ")-1),",","."),"."),LEFT(SUBSTITUTE(LEFT(TRIM(C10),FIND(" ",TRIM(C10)&amp;" ")-1),",","."),FIND("/",SUBSTITUTE(LEFT(TRIM(C10),FIND(" ",TRIM(C10)&amp;" ")-1),",","."))-1)/MID(SUBSTITUTE(LEFT(TRIM(C10),FIND(" ",TRIM(C10)&amp;" ")-1),",","."),FIND("/",SUBSTITUTE(LEFT(TRIM(C10),FIND(" ",TRIM(C10)&amp;" ")-1),",","."))+1,9)),IF(ISNUMBER(SEARCH("yea",C10)),IFERROR(_xlfn.NUMBERVALUE(SUBSTITUTE(LEFT(TRIM(C10),FIND(" ",TRIM(C10)&amp;" ")-1),",","."),"."),LEFT(SUBSTITUTE(LEFT(TRIM(C10),FIND(" ",TRIM(C10)&amp;" ")-1),",","."),FIND("/",SUBSTITUTE(LEFT(TRIM(C10),FIND(" ",TRIM(C10)&amp;" ")-1),",","."))-1)/MID(SUBSTITUTE(LEFT(TRIM(C10),FIND(" ",TRIM(C10)&amp;" ")-1),",","."),FIND("/",SUBSTITUTE(LEFT(TRIM(C10),FIND(" ",TRIM(C10)&amp;" ")-1),",","."))+1,9))*12,NA()))),0),36)*'Aturan &amp; Tarif'!$B$4,2)</f>
        <v>2044.08</v>
      </c>
      <c r="K10" s="32" t="n">
        <f aca="false">'Aturan &amp; Tarif'!$B$5</f>
        <v>2050</v>
      </c>
      <c r="L10" s="32" t="n">
        <f aca="false">'Aturan &amp; Tarif'!$B$6</f>
        <v>350</v>
      </c>
      <c r="M10" s="35" t="n">
        <f aca="false">I10+J10+K10+L10</f>
        <v>14814.08</v>
      </c>
      <c r="N10" s="37" t="s">
        <v>829</v>
      </c>
    </row>
    <row r="11" customFormat="false" ht="25.5" hidden="false" customHeight="true" outlineLevel="0" collapsed="false">
      <c r="A11" s="29"/>
      <c r="B11" s="30" t="s">
        <v>1833</v>
      </c>
      <c r="C11" s="31" t="s">
        <v>107</v>
      </c>
      <c r="D11" s="31" t="s">
        <v>108</v>
      </c>
      <c r="E11" s="32" t="n">
        <v>5000</v>
      </c>
      <c r="F11" s="32" t="n">
        <v>120</v>
      </c>
      <c r="G11" s="32" t="n">
        <v>250</v>
      </c>
      <c r="H11" s="33" t="n">
        <v>2</v>
      </c>
      <c r="I11" s="34" t="n">
        <f aca="false">E11*H11+N(F11)+N(G11)</f>
        <v>10370</v>
      </c>
      <c r="J11" s="32" t="n">
        <f aca="false">ROUND(IFERROR(ROUND(IF(OR(ISNUMBER(SEARCH("week",C11)),ISNUMBER(SEARCH("minggu",C11))),IFERROR(_xlfn.NUMBERVALUE(SUBSTITUTE(LEFT(TRIM(C11),FIND(" ",TRIM(C11)&amp;" ")-1),",","."),"."),LEFT(SUBSTITUTE(LEFT(TRIM(C11),FIND(" ",TRIM(C11)&amp;" ")-1),",","."),FIND("/",SUBSTITUTE(LEFT(TRIM(C11),FIND(" ",TRIM(C11)&amp;" ")-1),",","."))-1)/MID(SUBSTITUTE(LEFT(TRIM(C11),FIND(" ",TRIM(C11)&amp;" ")-1),",","."),FIND("/",SUBSTITUTE(LEFT(TRIM(C11),FIND(" ",TRIM(C11)&amp;" ")-1),",","."))+1,9))*12/52,IF(ISNUMBER(SEARCH("month",C11)),IFERROR(_xlfn.NUMBERVALUE(SUBSTITUTE(LEFT(TRIM(C11),FIND(" ",TRIM(C11)&amp;" ")-1),",","."),"."),LEFT(SUBSTITUTE(LEFT(TRIM(C11),FIND(" ",TRIM(C11)&amp;" ")-1),",","."),FIND("/",SUBSTITUTE(LEFT(TRIM(C11),FIND(" ",TRIM(C11)&amp;" ")-1),",","."))-1)/MID(SUBSTITUTE(LEFT(TRIM(C11),FIND(" ",TRIM(C11)&amp;" ")-1),",","."),FIND("/",SUBSTITUTE(LEFT(TRIM(C11),FIND(" ",TRIM(C11)&amp;" ")-1),",","."))+1,9)),IF(ISNUMBER(SEARCH("yea",C11)),IFERROR(_xlfn.NUMBERVALUE(SUBSTITUTE(LEFT(TRIM(C11),FIND(" ",TRIM(C11)&amp;" ")-1),",","."),"."),LEFT(SUBSTITUTE(LEFT(TRIM(C11),FIND(" ",TRIM(C11)&amp;" ")-1),",","."),FIND("/",SUBSTITUTE(LEFT(TRIM(C11),FIND(" ",TRIM(C11)&amp;" ")-1),",","."))-1)/MID(SUBSTITUTE(LEFT(TRIM(C11),FIND(" ",TRIM(C11)&amp;" ")-1),",","."),FIND("/",SUBSTITUTE(LEFT(TRIM(C11),FIND(" ",TRIM(C11)&amp;" ")-1),",","."))+1,9))*12,NA()))),0),24)*'Aturan &amp; Tarif'!$B$4,2)</f>
        <v>1362.72</v>
      </c>
      <c r="K11" s="32" t="n">
        <f aca="false">'Aturan &amp; Tarif'!$B$5</f>
        <v>2050</v>
      </c>
      <c r="L11" s="32" t="n">
        <f aca="false">'Aturan &amp; Tarif'!$B$6</f>
        <v>350</v>
      </c>
      <c r="M11" s="35" t="n">
        <f aca="false">I11+J11+K11+L11</f>
        <v>14132.72</v>
      </c>
      <c r="N11" s="37" t="s">
        <v>829</v>
      </c>
    </row>
    <row r="12" customFormat="false" ht="25.5" hidden="false" customHeight="true" outlineLevel="0" collapsed="false">
      <c r="A12" s="29"/>
      <c r="B12" s="30" t="s">
        <v>422</v>
      </c>
      <c r="C12" s="31" t="s">
        <v>113</v>
      </c>
      <c r="D12" s="31" t="s">
        <v>108</v>
      </c>
      <c r="E12" s="32" t="n">
        <v>2700</v>
      </c>
      <c r="F12" s="32" t="n">
        <v>1990</v>
      </c>
      <c r="G12" s="32" t="n">
        <v>200</v>
      </c>
      <c r="H12" s="33" t="n">
        <v>2</v>
      </c>
      <c r="I12" s="34" t="n">
        <f aca="false">E12*H12+N(F12)+N(G12)</f>
        <v>7590</v>
      </c>
      <c r="J12" s="32" t="n">
        <f aca="false">ROUND(IFERROR(ROUND(IF(OR(ISNUMBER(SEARCH("week",C12)),ISNUMBER(SEARCH("minggu",C12))),IFERROR(_xlfn.NUMBERVALUE(SUBSTITUTE(LEFT(TRIM(C12),FIND(" ",TRIM(C12)&amp;" ")-1),",","."),"."),LEFT(SUBSTITUTE(LEFT(TRIM(C12),FIND(" ",TRIM(C12)&amp;" ")-1),",","."),FIND("/",SUBSTITUTE(LEFT(TRIM(C12),FIND(" ",TRIM(C12)&amp;" ")-1),",","."))-1)/MID(SUBSTITUTE(LEFT(TRIM(C12),FIND(" ",TRIM(C12)&amp;" ")-1),",","."),FIND("/",SUBSTITUTE(LEFT(TRIM(C12),FIND(" ",TRIM(C12)&amp;" ")-1),",","."))+1,9))*12/52,IF(ISNUMBER(SEARCH("month",C12)),IFERROR(_xlfn.NUMBERVALUE(SUBSTITUTE(LEFT(TRIM(C12),FIND(" ",TRIM(C12)&amp;" ")-1),",","."),"."),LEFT(SUBSTITUTE(LEFT(TRIM(C12),FIND(" ",TRIM(C12)&amp;" ")-1),",","."),FIND("/",SUBSTITUTE(LEFT(TRIM(C12),FIND(" ",TRIM(C12)&amp;" ")-1),",","."))-1)/MID(SUBSTITUTE(LEFT(TRIM(C12),FIND(" ",TRIM(C12)&amp;" ")-1),",","."),FIND("/",SUBSTITUTE(LEFT(TRIM(C12),FIND(" ",TRIM(C12)&amp;" ")-1),",","."))+1,9)),IF(ISNUMBER(SEARCH("yea",C12)),IFERROR(_xlfn.NUMBERVALUE(SUBSTITUTE(LEFT(TRIM(C12),FIND(" ",TRIM(C12)&amp;" ")-1),",","."),"."),LEFT(SUBSTITUTE(LEFT(TRIM(C12),FIND(" ",TRIM(C12)&amp;" ")-1),",","."),FIND("/",SUBSTITUTE(LEFT(TRIM(C12),FIND(" ",TRIM(C12)&amp;" ")-1),",","."))-1)/MID(SUBSTITUTE(LEFT(TRIM(C12),FIND(" ",TRIM(C12)&amp;" ")-1),",","."),FIND("/",SUBSTITUTE(LEFT(TRIM(C12),FIND(" ",TRIM(C12)&amp;" ")-1),",","."))+1,9))*12,NA()))),0),18)*'Aturan &amp; Tarif'!$B$4,2)</f>
        <v>1022.04</v>
      </c>
      <c r="K12" s="32" t="n">
        <f aca="false">'Aturan &amp; Tarif'!$B$5</f>
        <v>2050</v>
      </c>
      <c r="L12" s="32" t="n">
        <f aca="false">'Aturan &amp; Tarif'!$B$6</f>
        <v>350</v>
      </c>
      <c r="M12" s="35" t="n">
        <f aca="false">I12+J12+K12+L12</f>
        <v>11012.04</v>
      </c>
      <c r="N12" s="37" t="s">
        <v>829</v>
      </c>
    </row>
    <row r="13" customFormat="false" ht="25.5" hidden="false" customHeight="true" outlineLevel="0" collapsed="false">
      <c r="A13" s="29"/>
      <c r="B13" s="30" t="s">
        <v>2767</v>
      </c>
      <c r="C13" s="31" t="s">
        <v>127</v>
      </c>
      <c r="D13" s="31" t="s">
        <v>108</v>
      </c>
      <c r="E13" s="32" t="n">
        <v>2700</v>
      </c>
      <c r="F13" s="32" t="n">
        <v>1990</v>
      </c>
      <c r="G13" s="32" t="n">
        <v>200</v>
      </c>
      <c r="H13" s="33" t="n">
        <v>2</v>
      </c>
      <c r="I13" s="34" t="n">
        <f aca="false">E13*H13+N(F13)+N(G13)</f>
        <v>7590</v>
      </c>
      <c r="J13" s="32" t="n">
        <f aca="false">ROUND(IFERROR(ROUND(IF(OR(ISNUMBER(SEARCH("week",C13)),ISNUMBER(SEARCH("minggu",C13))),IFERROR(_xlfn.NUMBERVALUE(SUBSTITUTE(LEFT(TRIM(C13),FIND(" ",TRIM(C13)&amp;" ")-1),",","."),"."),LEFT(SUBSTITUTE(LEFT(TRIM(C13),FIND(" ",TRIM(C13)&amp;" ")-1),",","."),FIND("/",SUBSTITUTE(LEFT(TRIM(C13),FIND(" ",TRIM(C13)&amp;" ")-1),",","."))-1)/MID(SUBSTITUTE(LEFT(TRIM(C13),FIND(" ",TRIM(C13)&amp;" ")-1),",","."),FIND("/",SUBSTITUTE(LEFT(TRIM(C13),FIND(" ",TRIM(C13)&amp;" ")-1),",","."))+1,9))*12/52,IF(ISNUMBER(SEARCH("month",C13)),IFERROR(_xlfn.NUMBERVALUE(SUBSTITUTE(LEFT(TRIM(C13),FIND(" ",TRIM(C13)&amp;" ")-1),",","."),"."),LEFT(SUBSTITUTE(LEFT(TRIM(C13),FIND(" ",TRIM(C13)&amp;" ")-1),",","."),FIND("/",SUBSTITUTE(LEFT(TRIM(C13),FIND(" ",TRIM(C13)&amp;" ")-1),",","."))-1)/MID(SUBSTITUTE(LEFT(TRIM(C13),FIND(" ",TRIM(C13)&amp;" ")-1),",","."),FIND("/",SUBSTITUTE(LEFT(TRIM(C13),FIND(" ",TRIM(C13)&amp;" ")-1),",","."))+1,9)),IF(ISNUMBER(SEARCH("yea",C13)),IFERROR(_xlfn.NUMBERVALUE(SUBSTITUTE(LEFT(TRIM(C13),FIND(" ",TRIM(C13)&amp;" ")-1),",","."),"."),LEFT(SUBSTITUTE(LEFT(TRIM(C13),FIND(" ",TRIM(C13)&amp;" ")-1),",","."),FIND("/",SUBSTITUTE(LEFT(TRIM(C13),FIND(" ",TRIM(C13)&amp;" ")-1),",","."))-1)/MID(SUBSTITUTE(LEFT(TRIM(C13),FIND(" ",TRIM(C13)&amp;" ")-1),",","."),FIND("/",SUBSTITUTE(LEFT(TRIM(C13),FIND(" ",TRIM(C13)&amp;" ")-1),",","."))+1,9))*12,NA()))),0),36)*'Aturan &amp; Tarif'!$B$4,2)</f>
        <v>2044.08</v>
      </c>
      <c r="K13" s="32" t="n">
        <f aca="false">'Aturan &amp; Tarif'!$B$5</f>
        <v>2050</v>
      </c>
      <c r="L13" s="32" t="n">
        <f aca="false">'Aturan &amp; Tarif'!$B$6</f>
        <v>350</v>
      </c>
      <c r="M13" s="35" t="n">
        <f aca="false">I13+J13+K13+L13</f>
        <v>12034.08</v>
      </c>
      <c r="N13" s="37" t="s">
        <v>829</v>
      </c>
    </row>
    <row r="14" customFormat="false" ht="37.5" hidden="false" customHeight="true" outlineLevel="0" collapsed="false">
      <c r="A14" s="29"/>
      <c r="B14" s="30" t="s">
        <v>2768</v>
      </c>
      <c r="C14" s="31" t="s">
        <v>136</v>
      </c>
      <c r="D14" s="31" t="s">
        <v>108</v>
      </c>
      <c r="E14" s="32" t="n">
        <v>2700</v>
      </c>
      <c r="F14" s="32" t="n">
        <v>1990</v>
      </c>
      <c r="G14" s="32" t="n">
        <v>200</v>
      </c>
      <c r="H14" s="33" t="n">
        <v>2</v>
      </c>
      <c r="I14" s="34" t="n">
        <f aca="false">E14*H14+N(F14)+N(G14)</f>
        <v>7590</v>
      </c>
      <c r="J14" s="32" t="n">
        <f aca="false">ROUND(IFERROR(ROUND(IF(OR(ISNUMBER(SEARCH("week",C14)),ISNUMBER(SEARCH("minggu",C14))),IFERROR(_xlfn.NUMBERVALUE(SUBSTITUTE(LEFT(TRIM(C14),FIND(" ",TRIM(C14)&amp;" ")-1),",","."),"."),LEFT(SUBSTITUTE(LEFT(TRIM(C14),FIND(" ",TRIM(C14)&amp;" ")-1),",","."),FIND("/",SUBSTITUTE(LEFT(TRIM(C14),FIND(" ",TRIM(C14)&amp;" ")-1),",","."))-1)/MID(SUBSTITUTE(LEFT(TRIM(C14),FIND(" ",TRIM(C14)&amp;" ")-1),",","."),FIND("/",SUBSTITUTE(LEFT(TRIM(C14),FIND(" ",TRIM(C14)&amp;" ")-1),",","."))+1,9))*12/52,IF(ISNUMBER(SEARCH("month",C14)),IFERROR(_xlfn.NUMBERVALUE(SUBSTITUTE(LEFT(TRIM(C14),FIND(" ",TRIM(C14)&amp;" ")-1),",","."),"."),LEFT(SUBSTITUTE(LEFT(TRIM(C14),FIND(" ",TRIM(C14)&amp;" ")-1),",","."),FIND("/",SUBSTITUTE(LEFT(TRIM(C14),FIND(" ",TRIM(C14)&amp;" ")-1),",","."))-1)/MID(SUBSTITUTE(LEFT(TRIM(C14),FIND(" ",TRIM(C14)&amp;" ")-1),",","."),FIND("/",SUBSTITUTE(LEFT(TRIM(C14),FIND(" ",TRIM(C14)&amp;" ")-1),",","."))+1,9)),IF(ISNUMBER(SEARCH("yea",C14)),IFERROR(_xlfn.NUMBERVALUE(SUBSTITUTE(LEFT(TRIM(C14),FIND(" ",TRIM(C14)&amp;" ")-1),",","."),"."),LEFT(SUBSTITUTE(LEFT(TRIM(C14),FIND(" ",TRIM(C14)&amp;" ")-1),",","."),FIND("/",SUBSTITUTE(LEFT(TRIM(C14),FIND(" ",TRIM(C14)&amp;" ")-1),",","."))-1)/MID(SUBSTITUTE(LEFT(TRIM(C14),FIND(" ",TRIM(C14)&amp;" ")-1),",","."),FIND("/",SUBSTITUTE(LEFT(TRIM(C14),FIND(" ",TRIM(C14)&amp;" ")-1),",","."))+1,9))*12,NA()))),0),42)*'Aturan &amp; Tarif'!$B$4,2)</f>
        <v>2384.76</v>
      </c>
      <c r="K14" s="32" t="n">
        <f aca="false">'Aturan &amp; Tarif'!$B$5</f>
        <v>2050</v>
      </c>
      <c r="L14" s="32" t="n">
        <f aca="false">'Aturan &amp; Tarif'!$B$6</f>
        <v>350</v>
      </c>
      <c r="M14" s="35" t="n">
        <f aca="false">I14+J14+K14+L14</f>
        <v>12374.76</v>
      </c>
      <c r="N14" s="37" t="s">
        <v>829</v>
      </c>
    </row>
    <row r="15" customFormat="false" ht="37.5" hidden="false" customHeight="true" outlineLevel="0" collapsed="false">
      <c r="A15" s="29"/>
      <c r="B15" s="30" t="s">
        <v>1834</v>
      </c>
      <c r="C15" s="31" t="s">
        <v>107</v>
      </c>
      <c r="D15" s="31" t="s">
        <v>108</v>
      </c>
      <c r="E15" s="32" t="n">
        <v>1500</v>
      </c>
      <c r="F15" s="32" t="n">
        <v>100</v>
      </c>
      <c r="G15" s="32" t="n">
        <v>200</v>
      </c>
      <c r="H15" s="33" t="n">
        <v>2</v>
      </c>
      <c r="I15" s="34" t="n">
        <f aca="false">E15*H15+N(F15)+N(G15)</f>
        <v>3300</v>
      </c>
      <c r="J15" s="32" t="n">
        <f aca="false">ROUND(IFERROR(ROUND(IF(OR(ISNUMBER(SEARCH("week",C15)),ISNUMBER(SEARCH("minggu",C15))),IFERROR(_xlfn.NUMBERVALUE(SUBSTITUTE(LEFT(TRIM(C15),FIND(" ",TRIM(C15)&amp;" ")-1),",","."),"."),LEFT(SUBSTITUTE(LEFT(TRIM(C15),FIND(" ",TRIM(C15)&amp;" ")-1),",","."),FIND("/",SUBSTITUTE(LEFT(TRIM(C15),FIND(" ",TRIM(C15)&amp;" ")-1),",","."))-1)/MID(SUBSTITUTE(LEFT(TRIM(C15),FIND(" ",TRIM(C15)&amp;" ")-1),",","."),FIND("/",SUBSTITUTE(LEFT(TRIM(C15),FIND(" ",TRIM(C15)&amp;" ")-1),",","."))+1,9))*12/52,IF(ISNUMBER(SEARCH("month",C15)),IFERROR(_xlfn.NUMBERVALUE(SUBSTITUTE(LEFT(TRIM(C15),FIND(" ",TRIM(C15)&amp;" ")-1),",","."),"."),LEFT(SUBSTITUTE(LEFT(TRIM(C15),FIND(" ",TRIM(C15)&amp;" ")-1),",","."),FIND("/",SUBSTITUTE(LEFT(TRIM(C15),FIND(" ",TRIM(C15)&amp;" ")-1),",","."))-1)/MID(SUBSTITUTE(LEFT(TRIM(C15),FIND(" ",TRIM(C15)&amp;" ")-1),",","."),FIND("/",SUBSTITUTE(LEFT(TRIM(C15),FIND(" ",TRIM(C15)&amp;" ")-1),",","."))+1,9)),IF(ISNUMBER(SEARCH("yea",C15)),IFERROR(_xlfn.NUMBERVALUE(SUBSTITUTE(LEFT(TRIM(C15),FIND(" ",TRIM(C15)&amp;" ")-1),",","."),"."),LEFT(SUBSTITUTE(LEFT(TRIM(C15),FIND(" ",TRIM(C15)&amp;" ")-1),",","."),FIND("/",SUBSTITUTE(LEFT(TRIM(C15),FIND(" ",TRIM(C15)&amp;" ")-1),",","."))-1)/MID(SUBSTITUTE(LEFT(TRIM(C15),FIND(" ",TRIM(C15)&amp;" ")-1),",","."),FIND("/",SUBSTITUTE(LEFT(TRIM(C15),FIND(" ",TRIM(C15)&amp;" ")-1),",","."))+1,9))*12,NA()))),0),24)*'Aturan &amp; Tarif'!$B$4,2)</f>
        <v>1362.72</v>
      </c>
      <c r="K15" s="32" t="n">
        <f aca="false">'Aturan &amp; Tarif'!$B$5</f>
        <v>2050</v>
      </c>
      <c r="L15" s="32" t="n">
        <f aca="false">'Aturan &amp; Tarif'!$B$6</f>
        <v>350</v>
      </c>
      <c r="M15" s="35" t="n">
        <f aca="false">I15+J15+K15+L15</f>
        <v>7062.72</v>
      </c>
      <c r="N15" s="36" t="s">
        <v>2769</v>
      </c>
    </row>
    <row r="16" customFormat="false" ht="14.25" hidden="false" customHeight="true" outlineLevel="0" collapsed="false">
      <c r="A16" s="29"/>
      <c r="B16" s="30" t="s">
        <v>2770</v>
      </c>
      <c r="C16" s="31" t="s">
        <v>127</v>
      </c>
      <c r="D16" s="31" t="s">
        <v>108</v>
      </c>
      <c r="E16" s="32" t="n">
        <v>5000</v>
      </c>
      <c r="F16" s="32" t="n">
        <v>120</v>
      </c>
      <c r="G16" s="32" t="n">
        <v>250</v>
      </c>
      <c r="H16" s="33" t="n">
        <v>2</v>
      </c>
      <c r="I16" s="34" t="n">
        <f aca="false">E16*H16+N(F16)+N(G16)</f>
        <v>10370</v>
      </c>
      <c r="J16" s="32" t="n">
        <f aca="false">ROUND(IFERROR(ROUND(IF(OR(ISNUMBER(SEARCH("week",C16)),ISNUMBER(SEARCH("minggu",C16))),IFERROR(_xlfn.NUMBERVALUE(SUBSTITUTE(LEFT(TRIM(C16),FIND(" ",TRIM(C16)&amp;" ")-1),",","."),"."),LEFT(SUBSTITUTE(LEFT(TRIM(C16),FIND(" ",TRIM(C16)&amp;" ")-1),",","."),FIND("/",SUBSTITUTE(LEFT(TRIM(C16),FIND(" ",TRIM(C16)&amp;" ")-1),",","."))-1)/MID(SUBSTITUTE(LEFT(TRIM(C16),FIND(" ",TRIM(C16)&amp;" ")-1),",","."),FIND("/",SUBSTITUTE(LEFT(TRIM(C16),FIND(" ",TRIM(C16)&amp;" ")-1),",","."))+1,9))*12/52,IF(ISNUMBER(SEARCH("month",C16)),IFERROR(_xlfn.NUMBERVALUE(SUBSTITUTE(LEFT(TRIM(C16),FIND(" ",TRIM(C16)&amp;" ")-1),",","."),"."),LEFT(SUBSTITUTE(LEFT(TRIM(C16),FIND(" ",TRIM(C16)&amp;" ")-1),",","."),FIND("/",SUBSTITUTE(LEFT(TRIM(C16),FIND(" ",TRIM(C16)&amp;" ")-1),",","."))-1)/MID(SUBSTITUTE(LEFT(TRIM(C16),FIND(" ",TRIM(C16)&amp;" ")-1),",","."),FIND("/",SUBSTITUTE(LEFT(TRIM(C16),FIND(" ",TRIM(C16)&amp;" ")-1),",","."))+1,9)),IF(ISNUMBER(SEARCH("yea",C16)),IFERROR(_xlfn.NUMBERVALUE(SUBSTITUTE(LEFT(TRIM(C16),FIND(" ",TRIM(C16)&amp;" ")-1),",","."),"."),LEFT(SUBSTITUTE(LEFT(TRIM(C16),FIND(" ",TRIM(C16)&amp;" ")-1),",","."),FIND("/",SUBSTITUTE(LEFT(TRIM(C16),FIND(" ",TRIM(C16)&amp;" ")-1),",","."))-1)/MID(SUBSTITUTE(LEFT(TRIM(C16),FIND(" ",TRIM(C16)&amp;" ")-1),",","."),FIND("/",SUBSTITUTE(LEFT(TRIM(C16),FIND(" ",TRIM(C16)&amp;" ")-1),",","."))+1,9))*12,NA()))),0),36)*'Aturan &amp; Tarif'!$B$4,2)</f>
        <v>2044.08</v>
      </c>
      <c r="K16" s="32" t="n">
        <f aca="false">'Aturan &amp; Tarif'!$B$5</f>
        <v>2050</v>
      </c>
      <c r="L16" s="32" t="n">
        <f aca="false">'Aturan &amp; Tarif'!$B$6</f>
        <v>350</v>
      </c>
      <c r="M16" s="35" t="n">
        <f aca="false">I16+J16+K16+L16</f>
        <v>14814.08</v>
      </c>
      <c r="N16" s="37" t="s">
        <v>829</v>
      </c>
    </row>
    <row r="17" customFormat="false" ht="25.5" hidden="false" customHeight="true" outlineLevel="0" collapsed="false">
      <c r="A17" s="29"/>
      <c r="B17" s="30" t="s">
        <v>2771</v>
      </c>
      <c r="C17" s="31" t="s">
        <v>107</v>
      </c>
      <c r="D17" s="31" t="s">
        <v>108</v>
      </c>
      <c r="E17" s="32" t="n">
        <v>2300</v>
      </c>
      <c r="F17" s="32" t="n">
        <v>200</v>
      </c>
      <c r="G17" s="32" t="n">
        <v>200</v>
      </c>
      <c r="H17" s="33" t="n">
        <v>2</v>
      </c>
      <c r="I17" s="34" t="n">
        <f aca="false">E17*H17+N(F17)+N(G17)</f>
        <v>5000</v>
      </c>
      <c r="J17" s="32" t="n">
        <f aca="false">ROUND(IFERROR(ROUND(IF(OR(ISNUMBER(SEARCH("week",C17)),ISNUMBER(SEARCH("minggu",C17))),IFERROR(_xlfn.NUMBERVALUE(SUBSTITUTE(LEFT(TRIM(C17),FIND(" ",TRIM(C17)&amp;" ")-1),",","."),"."),LEFT(SUBSTITUTE(LEFT(TRIM(C17),FIND(" ",TRIM(C17)&amp;" ")-1),",","."),FIND("/",SUBSTITUTE(LEFT(TRIM(C17),FIND(" ",TRIM(C17)&amp;" ")-1),",","."))-1)/MID(SUBSTITUTE(LEFT(TRIM(C17),FIND(" ",TRIM(C17)&amp;" ")-1),",","."),FIND("/",SUBSTITUTE(LEFT(TRIM(C17),FIND(" ",TRIM(C17)&amp;" ")-1),",","."))+1,9))*12/52,IF(ISNUMBER(SEARCH("month",C17)),IFERROR(_xlfn.NUMBERVALUE(SUBSTITUTE(LEFT(TRIM(C17),FIND(" ",TRIM(C17)&amp;" ")-1),",","."),"."),LEFT(SUBSTITUTE(LEFT(TRIM(C17),FIND(" ",TRIM(C17)&amp;" ")-1),",","."),FIND("/",SUBSTITUTE(LEFT(TRIM(C17),FIND(" ",TRIM(C17)&amp;" ")-1),",","."))-1)/MID(SUBSTITUTE(LEFT(TRIM(C17),FIND(" ",TRIM(C17)&amp;" ")-1),",","."),FIND("/",SUBSTITUTE(LEFT(TRIM(C17),FIND(" ",TRIM(C17)&amp;" ")-1),",","."))+1,9)),IF(ISNUMBER(SEARCH("yea",C17)),IFERROR(_xlfn.NUMBERVALUE(SUBSTITUTE(LEFT(TRIM(C17),FIND(" ",TRIM(C17)&amp;" ")-1),",","."),"."),LEFT(SUBSTITUTE(LEFT(TRIM(C17),FIND(" ",TRIM(C17)&amp;" ")-1),",","."),FIND("/",SUBSTITUTE(LEFT(TRIM(C17),FIND(" ",TRIM(C17)&amp;" ")-1),",","."))-1)/MID(SUBSTITUTE(LEFT(TRIM(C17),FIND(" ",TRIM(C17)&amp;" ")-1),",","."),FIND("/",SUBSTITUTE(LEFT(TRIM(C17),FIND(" ",TRIM(C17)&amp;" ")-1),",","."))+1,9))*12,NA()))),0),24)*'Aturan &amp; Tarif'!$B$4,2)</f>
        <v>1362.72</v>
      </c>
      <c r="K17" s="32" t="n">
        <f aca="false">'Aturan &amp; Tarif'!$B$5</f>
        <v>2050</v>
      </c>
      <c r="L17" s="32" t="n">
        <f aca="false">'Aturan &amp; Tarif'!$B$6</f>
        <v>350</v>
      </c>
      <c r="M17" s="35" t="n">
        <f aca="false">I17+J17+K17+L17</f>
        <v>8762.72</v>
      </c>
      <c r="N17" s="37" t="s">
        <v>829</v>
      </c>
    </row>
    <row r="18" customFormat="false" ht="60" hidden="false" customHeight="true" outlineLevel="0" collapsed="false">
      <c r="A18" s="29" t="s">
        <v>2772</v>
      </c>
      <c r="B18" s="30" t="s">
        <v>1842</v>
      </c>
      <c r="C18" s="31" t="s">
        <v>127</v>
      </c>
      <c r="D18" s="31" t="s">
        <v>108</v>
      </c>
      <c r="E18" s="32" t="n">
        <v>5750</v>
      </c>
      <c r="F18" s="32"/>
      <c r="G18" s="32" t="n">
        <v>200</v>
      </c>
      <c r="H18" s="33" t="n">
        <v>2</v>
      </c>
      <c r="I18" s="34" t="n">
        <f aca="false">E18*H18+N(F18)+N(G18)</f>
        <v>11700</v>
      </c>
      <c r="J18" s="32" t="n">
        <f aca="false">ROUND(IFERROR(ROUND(IF(OR(ISNUMBER(SEARCH("week",C18)),ISNUMBER(SEARCH("minggu",C18))),IFERROR(_xlfn.NUMBERVALUE(SUBSTITUTE(LEFT(TRIM(C18),FIND(" ",TRIM(C18)&amp;" ")-1),",","."),"."),LEFT(SUBSTITUTE(LEFT(TRIM(C18),FIND(" ",TRIM(C18)&amp;" ")-1),",","."),FIND("/",SUBSTITUTE(LEFT(TRIM(C18),FIND(" ",TRIM(C18)&amp;" ")-1),",","."))-1)/MID(SUBSTITUTE(LEFT(TRIM(C18),FIND(" ",TRIM(C18)&amp;" ")-1),",","."),FIND("/",SUBSTITUTE(LEFT(TRIM(C18),FIND(" ",TRIM(C18)&amp;" ")-1),",","."))+1,9))*12/52,IF(ISNUMBER(SEARCH("month",C18)),IFERROR(_xlfn.NUMBERVALUE(SUBSTITUTE(LEFT(TRIM(C18),FIND(" ",TRIM(C18)&amp;" ")-1),",","."),"."),LEFT(SUBSTITUTE(LEFT(TRIM(C18),FIND(" ",TRIM(C18)&amp;" ")-1),",","."),FIND("/",SUBSTITUTE(LEFT(TRIM(C18),FIND(" ",TRIM(C18)&amp;" ")-1),",","."))-1)/MID(SUBSTITUTE(LEFT(TRIM(C18),FIND(" ",TRIM(C18)&amp;" ")-1),",","."),FIND("/",SUBSTITUTE(LEFT(TRIM(C18),FIND(" ",TRIM(C18)&amp;" ")-1),",","."))+1,9)),IF(ISNUMBER(SEARCH("yea",C18)),IFERROR(_xlfn.NUMBERVALUE(SUBSTITUTE(LEFT(TRIM(C18),FIND(" ",TRIM(C18)&amp;" ")-1),",","."),"."),LEFT(SUBSTITUTE(LEFT(TRIM(C18),FIND(" ",TRIM(C18)&amp;" ")-1),",","."),FIND("/",SUBSTITUTE(LEFT(TRIM(C18),FIND(" ",TRIM(C18)&amp;" ")-1),",","."))-1)/MID(SUBSTITUTE(LEFT(TRIM(C18),FIND(" ",TRIM(C18)&amp;" ")-1),",","."),FIND("/",SUBSTITUTE(LEFT(TRIM(C18),FIND(" ",TRIM(C18)&amp;" ")-1),",","."))+1,9))*12,NA()))),0),36)*'Aturan &amp; Tarif'!$B$4,2)</f>
        <v>2044.08</v>
      </c>
      <c r="K18" s="32" t="n">
        <f aca="false">'Aturan &amp; Tarif'!$B$5</f>
        <v>2050</v>
      </c>
      <c r="L18" s="32" t="n">
        <f aca="false">'Aturan &amp; Tarif'!$B$6</f>
        <v>350</v>
      </c>
      <c r="M18" s="35" t="n">
        <f aca="false">I18+J18+K18+L18</f>
        <v>16144.08</v>
      </c>
      <c r="N18" s="37" t="s">
        <v>2773</v>
      </c>
    </row>
    <row r="19" customFormat="false" ht="14.25" hidden="false" customHeight="true" outlineLevel="0" collapsed="false">
      <c r="A19" s="29"/>
      <c r="B19" s="30" t="s">
        <v>1844</v>
      </c>
      <c r="C19" s="31" t="s">
        <v>127</v>
      </c>
      <c r="D19" s="31" t="s">
        <v>108</v>
      </c>
      <c r="E19" s="32" t="n">
        <v>5750</v>
      </c>
      <c r="F19" s="32" t="n">
        <v>200</v>
      </c>
      <c r="G19" s="32" t="n">
        <v>200</v>
      </c>
      <c r="H19" s="33" t="n">
        <v>2</v>
      </c>
      <c r="I19" s="34" t="n">
        <f aca="false">E19*H19+N(F19)+N(G19)</f>
        <v>11900</v>
      </c>
      <c r="J19" s="32" t="n">
        <f aca="false">ROUND(IFERROR(ROUND(IF(OR(ISNUMBER(SEARCH("week",C19)),ISNUMBER(SEARCH("minggu",C19))),IFERROR(_xlfn.NUMBERVALUE(SUBSTITUTE(LEFT(TRIM(C19),FIND(" ",TRIM(C19)&amp;" ")-1),",","."),"."),LEFT(SUBSTITUTE(LEFT(TRIM(C19),FIND(" ",TRIM(C19)&amp;" ")-1),",","."),FIND("/",SUBSTITUTE(LEFT(TRIM(C19),FIND(" ",TRIM(C19)&amp;" ")-1),",","."))-1)/MID(SUBSTITUTE(LEFT(TRIM(C19),FIND(" ",TRIM(C19)&amp;" ")-1),",","."),FIND("/",SUBSTITUTE(LEFT(TRIM(C19),FIND(" ",TRIM(C19)&amp;" ")-1),",","."))+1,9))*12/52,IF(ISNUMBER(SEARCH("month",C19)),IFERROR(_xlfn.NUMBERVALUE(SUBSTITUTE(LEFT(TRIM(C19),FIND(" ",TRIM(C19)&amp;" ")-1),",","."),"."),LEFT(SUBSTITUTE(LEFT(TRIM(C19),FIND(" ",TRIM(C19)&amp;" ")-1),",","."),FIND("/",SUBSTITUTE(LEFT(TRIM(C19),FIND(" ",TRIM(C19)&amp;" ")-1),",","."))-1)/MID(SUBSTITUTE(LEFT(TRIM(C19),FIND(" ",TRIM(C19)&amp;" ")-1),",","."),FIND("/",SUBSTITUTE(LEFT(TRIM(C19),FIND(" ",TRIM(C19)&amp;" ")-1),",","."))+1,9)),IF(ISNUMBER(SEARCH("yea",C19)),IFERROR(_xlfn.NUMBERVALUE(SUBSTITUTE(LEFT(TRIM(C19),FIND(" ",TRIM(C19)&amp;" ")-1),",","."),"."),LEFT(SUBSTITUTE(LEFT(TRIM(C19),FIND(" ",TRIM(C19)&amp;" ")-1),",","."),FIND("/",SUBSTITUTE(LEFT(TRIM(C19),FIND(" ",TRIM(C19)&amp;" ")-1),",","."))-1)/MID(SUBSTITUTE(LEFT(TRIM(C19),FIND(" ",TRIM(C19)&amp;" ")-1),",","."),FIND("/",SUBSTITUTE(LEFT(TRIM(C19),FIND(" ",TRIM(C19)&amp;" ")-1),",","."))+1,9))*12,NA()))),0),36)*'Aturan &amp; Tarif'!$B$4,2)</f>
        <v>2044.08</v>
      </c>
      <c r="K19" s="32" t="n">
        <f aca="false">'Aturan &amp; Tarif'!$B$5</f>
        <v>2050</v>
      </c>
      <c r="L19" s="32" t="n">
        <f aca="false">'Aturan &amp; Tarif'!$B$6</f>
        <v>350</v>
      </c>
      <c r="M19" s="35" t="n">
        <f aca="false">I19+J19+K19+L19</f>
        <v>16344.08</v>
      </c>
      <c r="N19" s="36" t="s">
        <v>2774</v>
      </c>
    </row>
    <row r="20" customFormat="false" ht="60" hidden="false" customHeight="true" outlineLevel="0" collapsed="false">
      <c r="A20" s="29"/>
      <c r="B20" s="30" t="s">
        <v>1846</v>
      </c>
      <c r="C20" s="31" t="s">
        <v>127</v>
      </c>
      <c r="D20" s="31" t="s">
        <v>108</v>
      </c>
      <c r="E20" s="32" t="n">
        <v>5750</v>
      </c>
      <c r="F20" s="32"/>
      <c r="G20" s="32" t="n">
        <v>200</v>
      </c>
      <c r="H20" s="33" t="n">
        <v>2</v>
      </c>
      <c r="I20" s="34" t="n">
        <f aca="false">E20*H20+N(F20)+N(G20)</f>
        <v>11700</v>
      </c>
      <c r="J20" s="32" t="n">
        <f aca="false">ROUND(IFERROR(ROUND(IF(OR(ISNUMBER(SEARCH("week",C20)),ISNUMBER(SEARCH("minggu",C20))),IFERROR(_xlfn.NUMBERVALUE(SUBSTITUTE(LEFT(TRIM(C20),FIND(" ",TRIM(C20)&amp;" ")-1),",","."),"."),LEFT(SUBSTITUTE(LEFT(TRIM(C20),FIND(" ",TRIM(C20)&amp;" ")-1),",","."),FIND("/",SUBSTITUTE(LEFT(TRIM(C20),FIND(" ",TRIM(C20)&amp;" ")-1),",","."))-1)/MID(SUBSTITUTE(LEFT(TRIM(C20),FIND(" ",TRIM(C20)&amp;" ")-1),",","."),FIND("/",SUBSTITUTE(LEFT(TRIM(C20),FIND(" ",TRIM(C20)&amp;" ")-1),",","."))+1,9))*12/52,IF(ISNUMBER(SEARCH("month",C20)),IFERROR(_xlfn.NUMBERVALUE(SUBSTITUTE(LEFT(TRIM(C20),FIND(" ",TRIM(C20)&amp;" ")-1),",","."),"."),LEFT(SUBSTITUTE(LEFT(TRIM(C20),FIND(" ",TRIM(C20)&amp;" ")-1),",","."),FIND("/",SUBSTITUTE(LEFT(TRIM(C20),FIND(" ",TRIM(C20)&amp;" ")-1),",","."))-1)/MID(SUBSTITUTE(LEFT(TRIM(C20),FIND(" ",TRIM(C20)&amp;" ")-1),",","."),FIND("/",SUBSTITUTE(LEFT(TRIM(C20),FIND(" ",TRIM(C20)&amp;" ")-1),",","."))+1,9)),IF(ISNUMBER(SEARCH("yea",C20)),IFERROR(_xlfn.NUMBERVALUE(SUBSTITUTE(LEFT(TRIM(C20),FIND(" ",TRIM(C20)&amp;" ")-1),",","."),"."),LEFT(SUBSTITUTE(LEFT(TRIM(C20),FIND(" ",TRIM(C20)&amp;" ")-1),",","."),FIND("/",SUBSTITUTE(LEFT(TRIM(C20),FIND(" ",TRIM(C20)&amp;" ")-1),",","."))-1)/MID(SUBSTITUTE(LEFT(TRIM(C20),FIND(" ",TRIM(C20)&amp;" ")-1),",","."),FIND("/",SUBSTITUTE(LEFT(TRIM(C20),FIND(" ",TRIM(C20)&amp;" ")-1),",","."))+1,9))*12,NA()))),0),36)*'Aturan &amp; Tarif'!$B$4,2)</f>
        <v>2044.08</v>
      </c>
      <c r="K20" s="32" t="n">
        <f aca="false">'Aturan &amp; Tarif'!$B$5</f>
        <v>2050</v>
      </c>
      <c r="L20" s="32" t="n">
        <f aca="false">'Aturan &amp; Tarif'!$B$6</f>
        <v>350</v>
      </c>
      <c r="M20" s="35" t="n">
        <f aca="false">I20+J20+K20+L20</f>
        <v>16144.08</v>
      </c>
      <c r="N20" s="37" t="s">
        <v>1847</v>
      </c>
    </row>
    <row r="21" customFormat="false" ht="60" hidden="false" customHeight="true" outlineLevel="0" collapsed="false">
      <c r="A21" s="29"/>
      <c r="B21" s="30" t="s">
        <v>1848</v>
      </c>
      <c r="C21" s="31" t="s">
        <v>127</v>
      </c>
      <c r="D21" s="31" t="s">
        <v>108</v>
      </c>
      <c r="E21" s="32" t="n">
        <v>5750</v>
      </c>
      <c r="F21" s="32" t="n">
        <v>200</v>
      </c>
      <c r="G21" s="32" t="n">
        <v>200</v>
      </c>
      <c r="H21" s="33" t="n">
        <v>2</v>
      </c>
      <c r="I21" s="34" t="n">
        <f aca="false">E21*H21+N(F21)+N(G21)</f>
        <v>11900</v>
      </c>
      <c r="J21" s="32" t="n">
        <f aca="false">ROUND(IFERROR(ROUND(IF(OR(ISNUMBER(SEARCH("week",C21)),ISNUMBER(SEARCH("minggu",C21))),IFERROR(_xlfn.NUMBERVALUE(SUBSTITUTE(LEFT(TRIM(C21),FIND(" ",TRIM(C21)&amp;" ")-1),",","."),"."),LEFT(SUBSTITUTE(LEFT(TRIM(C21),FIND(" ",TRIM(C21)&amp;" ")-1),",","."),FIND("/",SUBSTITUTE(LEFT(TRIM(C21),FIND(" ",TRIM(C21)&amp;" ")-1),",","."))-1)/MID(SUBSTITUTE(LEFT(TRIM(C21),FIND(" ",TRIM(C21)&amp;" ")-1),",","."),FIND("/",SUBSTITUTE(LEFT(TRIM(C21),FIND(" ",TRIM(C21)&amp;" ")-1),",","."))+1,9))*12/52,IF(ISNUMBER(SEARCH("month",C21)),IFERROR(_xlfn.NUMBERVALUE(SUBSTITUTE(LEFT(TRIM(C21),FIND(" ",TRIM(C21)&amp;" ")-1),",","."),"."),LEFT(SUBSTITUTE(LEFT(TRIM(C21),FIND(" ",TRIM(C21)&amp;" ")-1),",","."),FIND("/",SUBSTITUTE(LEFT(TRIM(C21),FIND(" ",TRIM(C21)&amp;" ")-1),",","."))-1)/MID(SUBSTITUTE(LEFT(TRIM(C21),FIND(" ",TRIM(C21)&amp;" ")-1),",","."),FIND("/",SUBSTITUTE(LEFT(TRIM(C21),FIND(" ",TRIM(C21)&amp;" ")-1),",","."))+1,9)),IF(ISNUMBER(SEARCH("yea",C21)),IFERROR(_xlfn.NUMBERVALUE(SUBSTITUTE(LEFT(TRIM(C21),FIND(" ",TRIM(C21)&amp;" ")-1),",","."),"."),LEFT(SUBSTITUTE(LEFT(TRIM(C21),FIND(" ",TRIM(C21)&amp;" ")-1),",","."),FIND("/",SUBSTITUTE(LEFT(TRIM(C21),FIND(" ",TRIM(C21)&amp;" ")-1),",","."))-1)/MID(SUBSTITUTE(LEFT(TRIM(C21),FIND(" ",TRIM(C21)&amp;" ")-1),",","."),FIND("/",SUBSTITUTE(LEFT(TRIM(C21),FIND(" ",TRIM(C21)&amp;" ")-1),",","."))+1,9))*12,NA()))),0),36)*'Aturan &amp; Tarif'!$B$4,2)</f>
        <v>2044.08</v>
      </c>
      <c r="K21" s="32" t="n">
        <f aca="false">'Aturan &amp; Tarif'!$B$5</f>
        <v>2050</v>
      </c>
      <c r="L21" s="32" t="n">
        <f aca="false">'Aturan &amp; Tarif'!$B$6</f>
        <v>350</v>
      </c>
      <c r="M21" s="35" t="n">
        <f aca="false">I21+J21+K21+L21</f>
        <v>16344.08</v>
      </c>
      <c r="N21" s="36" t="s">
        <v>2775</v>
      </c>
    </row>
    <row r="22" customFormat="false" ht="14.25" hidden="false" customHeight="true" outlineLevel="0" collapsed="false">
      <c r="A22" s="29"/>
      <c r="B22" s="30" t="s">
        <v>2776</v>
      </c>
      <c r="C22" s="31" t="s">
        <v>127</v>
      </c>
      <c r="D22" s="31" t="s">
        <v>108</v>
      </c>
      <c r="E22" s="32" t="n">
        <v>5750</v>
      </c>
      <c r="F22" s="32"/>
      <c r="G22" s="32" t="n">
        <v>200</v>
      </c>
      <c r="H22" s="33" t="n">
        <v>2</v>
      </c>
      <c r="I22" s="34" t="n">
        <f aca="false">E22*H22+N(F22)+N(G22)</f>
        <v>11700</v>
      </c>
      <c r="J22" s="32" t="n">
        <f aca="false">ROUND(IFERROR(ROUND(IF(OR(ISNUMBER(SEARCH("week",C22)),ISNUMBER(SEARCH("minggu",C22))),IFERROR(_xlfn.NUMBERVALUE(SUBSTITUTE(LEFT(TRIM(C22),FIND(" ",TRIM(C22)&amp;" ")-1),",","."),"."),LEFT(SUBSTITUTE(LEFT(TRIM(C22),FIND(" ",TRIM(C22)&amp;" ")-1),",","."),FIND("/",SUBSTITUTE(LEFT(TRIM(C22),FIND(" ",TRIM(C22)&amp;" ")-1),",","."))-1)/MID(SUBSTITUTE(LEFT(TRIM(C22),FIND(" ",TRIM(C22)&amp;" ")-1),",","."),FIND("/",SUBSTITUTE(LEFT(TRIM(C22),FIND(" ",TRIM(C22)&amp;" ")-1),",","."))+1,9))*12/52,IF(ISNUMBER(SEARCH("month",C22)),IFERROR(_xlfn.NUMBERVALUE(SUBSTITUTE(LEFT(TRIM(C22),FIND(" ",TRIM(C22)&amp;" ")-1),",","."),"."),LEFT(SUBSTITUTE(LEFT(TRIM(C22),FIND(" ",TRIM(C22)&amp;" ")-1),",","."),FIND("/",SUBSTITUTE(LEFT(TRIM(C22),FIND(" ",TRIM(C22)&amp;" ")-1),",","."))-1)/MID(SUBSTITUTE(LEFT(TRIM(C22),FIND(" ",TRIM(C22)&amp;" ")-1),",","."),FIND("/",SUBSTITUTE(LEFT(TRIM(C22),FIND(" ",TRIM(C22)&amp;" ")-1),",","."))+1,9)),IF(ISNUMBER(SEARCH("yea",C22)),IFERROR(_xlfn.NUMBERVALUE(SUBSTITUTE(LEFT(TRIM(C22),FIND(" ",TRIM(C22)&amp;" ")-1),",","."),"."),LEFT(SUBSTITUTE(LEFT(TRIM(C22),FIND(" ",TRIM(C22)&amp;" ")-1),",","."),FIND("/",SUBSTITUTE(LEFT(TRIM(C22),FIND(" ",TRIM(C22)&amp;" ")-1),",","."))-1)/MID(SUBSTITUTE(LEFT(TRIM(C22),FIND(" ",TRIM(C22)&amp;" ")-1),",","."),FIND("/",SUBSTITUTE(LEFT(TRIM(C22),FIND(" ",TRIM(C22)&amp;" ")-1),",","."))+1,9))*12,NA()))),0),36)*'Aturan &amp; Tarif'!$B$4,2)</f>
        <v>2044.08</v>
      </c>
      <c r="K22" s="32" t="n">
        <f aca="false">'Aturan &amp; Tarif'!$B$5</f>
        <v>2050</v>
      </c>
      <c r="L22" s="32" t="n">
        <f aca="false">'Aturan &amp; Tarif'!$B$6</f>
        <v>350</v>
      </c>
      <c r="M22" s="35" t="n">
        <f aca="false">I22+J22+K22+L22</f>
        <v>16144.08</v>
      </c>
      <c r="N22" s="36" t="s">
        <v>2777</v>
      </c>
    </row>
    <row r="23" customFormat="false" ht="14.25" hidden="false" customHeight="true" outlineLevel="0" collapsed="false">
      <c r="A23" s="29"/>
      <c r="B23" s="30" t="s">
        <v>1852</v>
      </c>
      <c r="C23" s="31" t="s">
        <v>130</v>
      </c>
      <c r="D23" s="31" t="s">
        <v>108</v>
      </c>
      <c r="E23" s="32" t="n">
        <v>5750</v>
      </c>
      <c r="F23" s="32"/>
      <c r="G23" s="32" t="n">
        <v>200</v>
      </c>
      <c r="H23" s="33" t="n">
        <v>2</v>
      </c>
      <c r="I23" s="34" t="n">
        <f aca="false">E23*H23+N(F23)+N(G23)</f>
        <v>11700</v>
      </c>
      <c r="J23" s="32" t="n">
        <f aca="false">ROUND(IFERROR(ROUND(IF(OR(ISNUMBER(SEARCH("week",C23)),ISNUMBER(SEARCH("minggu",C23))),IFERROR(_xlfn.NUMBERVALUE(SUBSTITUTE(LEFT(TRIM(C23),FIND(" ",TRIM(C23)&amp;" ")-1),",","."),"."),LEFT(SUBSTITUTE(LEFT(TRIM(C23),FIND(" ",TRIM(C23)&amp;" ")-1),",","."),FIND("/",SUBSTITUTE(LEFT(TRIM(C23),FIND(" ",TRIM(C23)&amp;" ")-1),",","."))-1)/MID(SUBSTITUTE(LEFT(TRIM(C23),FIND(" ",TRIM(C23)&amp;" ")-1),",","."),FIND("/",SUBSTITUTE(LEFT(TRIM(C23),FIND(" ",TRIM(C23)&amp;" ")-1),",","."))+1,9))*12/52,IF(ISNUMBER(SEARCH("month",C23)),IFERROR(_xlfn.NUMBERVALUE(SUBSTITUTE(LEFT(TRIM(C23),FIND(" ",TRIM(C23)&amp;" ")-1),",","."),"."),LEFT(SUBSTITUTE(LEFT(TRIM(C23),FIND(" ",TRIM(C23)&amp;" ")-1),",","."),FIND("/",SUBSTITUTE(LEFT(TRIM(C23),FIND(" ",TRIM(C23)&amp;" ")-1),",","."))-1)/MID(SUBSTITUTE(LEFT(TRIM(C23),FIND(" ",TRIM(C23)&amp;" ")-1),",","."),FIND("/",SUBSTITUTE(LEFT(TRIM(C23),FIND(" ",TRIM(C23)&amp;" ")-1),",","."))+1,9)),IF(ISNUMBER(SEARCH("yea",C23)),IFERROR(_xlfn.NUMBERVALUE(SUBSTITUTE(LEFT(TRIM(C23),FIND(" ",TRIM(C23)&amp;" ")-1),",","."),"."),LEFT(SUBSTITUTE(LEFT(TRIM(C23),FIND(" ",TRIM(C23)&amp;" ")-1),",","."),FIND("/",SUBSTITUTE(LEFT(TRIM(C23),FIND(" ",TRIM(C23)&amp;" ")-1),",","."))-1)/MID(SUBSTITUTE(LEFT(TRIM(C23),FIND(" ",TRIM(C23)&amp;" ")-1),",","."),FIND("/",SUBSTITUTE(LEFT(TRIM(C23),FIND(" ",TRIM(C23)&amp;" ")-1),",","."))+1,9))*12,NA()))),0),12)*'Aturan &amp; Tarif'!$B$4,2)</f>
        <v>681.36</v>
      </c>
      <c r="K23" s="32" t="n">
        <f aca="false">'Aturan &amp; Tarif'!$B$5</f>
        <v>2050</v>
      </c>
      <c r="L23" s="32" t="n">
        <f aca="false">'Aturan &amp; Tarif'!$B$6</f>
        <v>350</v>
      </c>
      <c r="M23" s="35" t="n">
        <f aca="false">I23+J23+K23+L23</f>
        <v>14781.36</v>
      </c>
      <c r="N23" s="37" t="s">
        <v>1853</v>
      </c>
    </row>
    <row r="24" customFormat="false" ht="14.25" hidden="false" customHeight="true" outlineLevel="0" collapsed="false">
      <c r="A24" s="29"/>
      <c r="B24" s="30" t="s">
        <v>1854</v>
      </c>
      <c r="C24" s="31" t="s">
        <v>130</v>
      </c>
      <c r="D24" s="31" t="s">
        <v>108</v>
      </c>
      <c r="E24" s="32" t="n">
        <v>5750</v>
      </c>
      <c r="F24" s="32"/>
      <c r="G24" s="32" t="n">
        <v>200</v>
      </c>
      <c r="H24" s="33" t="n">
        <v>2</v>
      </c>
      <c r="I24" s="34" t="n">
        <f aca="false">E24*H24+N(F24)+N(G24)</f>
        <v>11700</v>
      </c>
      <c r="J24" s="32" t="n">
        <f aca="false">ROUND(IFERROR(ROUND(IF(OR(ISNUMBER(SEARCH("week",C24)),ISNUMBER(SEARCH("minggu",C24))),IFERROR(_xlfn.NUMBERVALUE(SUBSTITUTE(LEFT(TRIM(C24),FIND(" ",TRIM(C24)&amp;" ")-1),",","."),"."),LEFT(SUBSTITUTE(LEFT(TRIM(C24),FIND(" ",TRIM(C24)&amp;" ")-1),",","."),FIND("/",SUBSTITUTE(LEFT(TRIM(C24),FIND(" ",TRIM(C24)&amp;" ")-1),",","."))-1)/MID(SUBSTITUTE(LEFT(TRIM(C24),FIND(" ",TRIM(C24)&amp;" ")-1),",","."),FIND("/",SUBSTITUTE(LEFT(TRIM(C24),FIND(" ",TRIM(C24)&amp;" ")-1),",","."))+1,9))*12/52,IF(ISNUMBER(SEARCH("month",C24)),IFERROR(_xlfn.NUMBERVALUE(SUBSTITUTE(LEFT(TRIM(C24),FIND(" ",TRIM(C24)&amp;" ")-1),",","."),"."),LEFT(SUBSTITUTE(LEFT(TRIM(C24),FIND(" ",TRIM(C24)&amp;" ")-1),",","."),FIND("/",SUBSTITUTE(LEFT(TRIM(C24),FIND(" ",TRIM(C24)&amp;" ")-1),",","."))-1)/MID(SUBSTITUTE(LEFT(TRIM(C24),FIND(" ",TRIM(C24)&amp;" ")-1),",","."),FIND("/",SUBSTITUTE(LEFT(TRIM(C24),FIND(" ",TRIM(C24)&amp;" ")-1),",","."))+1,9)),IF(ISNUMBER(SEARCH("yea",C24)),IFERROR(_xlfn.NUMBERVALUE(SUBSTITUTE(LEFT(TRIM(C24),FIND(" ",TRIM(C24)&amp;" ")-1),",","."),"."),LEFT(SUBSTITUTE(LEFT(TRIM(C24),FIND(" ",TRIM(C24)&amp;" ")-1),",","."),FIND("/",SUBSTITUTE(LEFT(TRIM(C24),FIND(" ",TRIM(C24)&amp;" ")-1),",","."))-1)/MID(SUBSTITUTE(LEFT(TRIM(C24),FIND(" ",TRIM(C24)&amp;" ")-1),",","."),FIND("/",SUBSTITUTE(LEFT(TRIM(C24),FIND(" ",TRIM(C24)&amp;" ")-1),",","."))+1,9))*12,NA()))),0),12)*'Aturan &amp; Tarif'!$B$4,2)</f>
        <v>681.36</v>
      </c>
      <c r="K24" s="32" t="n">
        <f aca="false">'Aturan &amp; Tarif'!$B$5</f>
        <v>2050</v>
      </c>
      <c r="L24" s="32" t="n">
        <f aca="false">'Aturan &amp; Tarif'!$B$6</f>
        <v>350</v>
      </c>
      <c r="M24" s="35" t="n">
        <f aca="false">I24+J24+K24+L24</f>
        <v>14781.36</v>
      </c>
      <c r="N24" s="37" t="s">
        <v>1853</v>
      </c>
    </row>
    <row r="25" customFormat="false" ht="14.25" hidden="false" customHeight="true" outlineLevel="0" collapsed="false">
      <c r="A25" s="29"/>
      <c r="B25" s="30" t="s">
        <v>1855</v>
      </c>
      <c r="C25" s="31" t="s">
        <v>130</v>
      </c>
      <c r="D25" s="31" t="s">
        <v>108</v>
      </c>
      <c r="E25" s="32" t="n">
        <v>5750</v>
      </c>
      <c r="F25" s="32"/>
      <c r="G25" s="32" t="n">
        <v>200</v>
      </c>
      <c r="H25" s="33" t="n">
        <v>2</v>
      </c>
      <c r="I25" s="34" t="n">
        <f aca="false">E25*H25+N(F25)+N(G25)</f>
        <v>11700</v>
      </c>
      <c r="J25" s="32" t="n">
        <f aca="false">ROUND(IFERROR(ROUND(IF(OR(ISNUMBER(SEARCH("week",C25)),ISNUMBER(SEARCH("minggu",C25))),IFERROR(_xlfn.NUMBERVALUE(SUBSTITUTE(LEFT(TRIM(C25),FIND(" ",TRIM(C25)&amp;" ")-1),",","."),"."),LEFT(SUBSTITUTE(LEFT(TRIM(C25),FIND(" ",TRIM(C25)&amp;" ")-1),",","."),FIND("/",SUBSTITUTE(LEFT(TRIM(C25),FIND(" ",TRIM(C25)&amp;" ")-1),",","."))-1)/MID(SUBSTITUTE(LEFT(TRIM(C25),FIND(" ",TRIM(C25)&amp;" ")-1),",","."),FIND("/",SUBSTITUTE(LEFT(TRIM(C25),FIND(" ",TRIM(C25)&amp;" ")-1),",","."))+1,9))*12/52,IF(ISNUMBER(SEARCH("month",C25)),IFERROR(_xlfn.NUMBERVALUE(SUBSTITUTE(LEFT(TRIM(C25),FIND(" ",TRIM(C25)&amp;" ")-1),",","."),"."),LEFT(SUBSTITUTE(LEFT(TRIM(C25),FIND(" ",TRIM(C25)&amp;" ")-1),",","."),FIND("/",SUBSTITUTE(LEFT(TRIM(C25),FIND(" ",TRIM(C25)&amp;" ")-1),",","."))-1)/MID(SUBSTITUTE(LEFT(TRIM(C25),FIND(" ",TRIM(C25)&amp;" ")-1),",","."),FIND("/",SUBSTITUTE(LEFT(TRIM(C25),FIND(" ",TRIM(C25)&amp;" ")-1),",","."))+1,9)),IF(ISNUMBER(SEARCH("yea",C25)),IFERROR(_xlfn.NUMBERVALUE(SUBSTITUTE(LEFT(TRIM(C25),FIND(" ",TRIM(C25)&amp;" ")-1),",","."),"."),LEFT(SUBSTITUTE(LEFT(TRIM(C25),FIND(" ",TRIM(C25)&amp;" ")-1),",","."),FIND("/",SUBSTITUTE(LEFT(TRIM(C25),FIND(" ",TRIM(C25)&amp;" ")-1),",","."))-1)/MID(SUBSTITUTE(LEFT(TRIM(C25),FIND(" ",TRIM(C25)&amp;" ")-1),",","."),FIND("/",SUBSTITUTE(LEFT(TRIM(C25),FIND(" ",TRIM(C25)&amp;" ")-1),",","."))+1,9))*12,NA()))),0),12)*'Aturan &amp; Tarif'!$B$4,2)</f>
        <v>681.36</v>
      </c>
      <c r="K25" s="32" t="n">
        <f aca="false">'Aturan &amp; Tarif'!$B$5</f>
        <v>2050</v>
      </c>
      <c r="L25" s="32" t="n">
        <f aca="false">'Aturan &amp; Tarif'!$B$6</f>
        <v>350</v>
      </c>
      <c r="M25" s="35" t="n">
        <f aca="false">I25+J25+K25+L25</f>
        <v>14781.36</v>
      </c>
      <c r="N25" s="37" t="s">
        <v>1847</v>
      </c>
    </row>
    <row r="26" customFormat="false" ht="25.5" hidden="false" customHeight="true" outlineLevel="0" collapsed="false">
      <c r="A26" s="29"/>
      <c r="B26" s="30" t="s">
        <v>1856</v>
      </c>
      <c r="C26" s="31" t="s">
        <v>130</v>
      </c>
      <c r="D26" s="31" t="s">
        <v>108</v>
      </c>
      <c r="E26" s="32" t="n">
        <v>5750</v>
      </c>
      <c r="F26" s="32"/>
      <c r="G26" s="32" t="n">
        <v>200</v>
      </c>
      <c r="H26" s="33" t="n">
        <v>2</v>
      </c>
      <c r="I26" s="34" t="n">
        <f aca="false">E26*H26+N(F26)+N(G26)</f>
        <v>11700</v>
      </c>
      <c r="J26" s="32" t="n">
        <f aca="false">ROUND(IFERROR(ROUND(IF(OR(ISNUMBER(SEARCH("week",C26)),ISNUMBER(SEARCH("minggu",C26))),IFERROR(_xlfn.NUMBERVALUE(SUBSTITUTE(LEFT(TRIM(C26),FIND(" ",TRIM(C26)&amp;" ")-1),",","."),"."),LEFT(SUBSTITUTE(LEFT(TRIM(C26),FIND(" ",TRIM(C26)&amp;" ")-1),",","."),FIND("/",SUBSTITUTE(LEFT(TRIM(C26),FIND(" ",TRIM(C26)&amp;" ")-1),",","."))-1)/MID(SUBSTITUTE(LEFT(TRIM(C26),FIND(" ",TRIM(C26)&amp;" ")-1),",","."),FIND("/",SUBSTITUTE(LEFT(TRIM(C26),FIND(" ",TRIM(C26)&amp;" ")-1),",","."))+1,9))*12/52,IF(ISNUMBER(SEARCH("month",C26)),IFERROR(_xlfn.NUMBERVALUE(SUBSTITUTE(LEFT(TRIM(C26),FIND(" ",TRIM(C26)&amp;" ")-1),",","."),"."),LEFT(SUBSTITUTE(LEFT(TRIM(C26),FIND(" ",TRIM(C26)&amp;" ")-1),",","."),FIND("/",SUBSTITUTE(LEFT(TRIM(C26),FIND(" ",TRIM(C26)&amp;" ")-1),",","."))-1)/MID(SUBSTITUTE(LEFT(TRIM(C26),FIND(" ",TRIM(C26)&amp;" ")-1),",","."),FIND("/",SUBSTITUTE(LEFT(TRIM(C26),FIND(" ",TRIM(C26)&amp;" ")-1),",","."))+1,9)),IF(ISNUMBER(SEARCH("yea",C26)),IFERROR(_xlfn.NUMBERVALUE(SUBSTITUTE(LEFT(TRIM(C26),FIND(" ",TRIM(C26)&amp;" ")-1),",","."),"."),LEFT(SUBSTITUTE(LEFT(TRIM(C26),FIND(" ",TRIM(C26)&amp;" ")-1),",","."),FIND("/",SUBSTITUTE(LEFT(TRIM(C26),FIND(" ",TRIM(C26)&amp;" ")-1),",","."))-1)/MID(SUBSTITUTE(LEFT(TRIM(C26),FIND(" ",TRIM(C26)&amp;" ")-1),",","."),FIND("/",SUBSTITUTE(LEFT(TRIM(C26),FIND(" ",TRIM(C26)&amp;" ")-1),",","."))+1,9))*12,NA()))),0),12)*'Aturan &amp; Tarif'!$B$4,2)</f>
        <v>681.36</v>
      </c>
      <c r="K26" s="32" t="n">
        <f aca="false">'Aturan &amp; Tarif'!$B$5</f>
        <v>2050</v>
      </c>
      <c r="L26" s="32" t="n">
        <f aca="false">'Aturan &amp; Tarif'!$B$6</f>
        <v>350</v>
      </c>
      <c r="M26" s="35" t="n">
        <f aca="false">I26+J26+K26+L26</f>
        <v>14781.36</v>
      </c>
      <c r="N26" s="37" t="s">
        <v>1853</v>
      </c>
    </row>
    <row r="27" customFormat="false" ht="25.5" hidden="false" customHeight="true" outlineLevel="0" collapsed="false">
      <c r="A27" s="29"/>
      <c r="B27" s="30" t="s">
        <v>1857</v>
      </c>
      <c r="C27" s="31" t="s">
        <v>130</v>
      </c>
      <c r="D27" s="31" t="s">
        <v>108</v>
      </c>
      <c r="E27" s="32" t="n">
        <v>5750</v>
      </c>
      <c r="F27" s="32"/>
      <c r="G27" s="32" t="n">
        <v>200</v>
      </c>
      <c r="H27" s="33" t="n">
        <v>2</v>
      </c>
      <c r="I27" s="34" t="n">
        <f aca="false">E27*H27+N(F27)+N(G27)</f>
        <v>11700</v>
      </c>
      <c r="J27" s="32" t="n">
        <f aca="false">ROUND(IFERROR(ROUND(IF(OR(ISNUMBER(SEARCH("week",C27)),ISNUMBER(SEARCH("minggu",C27))),IFERROR(_xlfn.NUMBERVALUE(SUBSTITUTE(LEFT(TRIM(C27),FIND(" ",TRIM(C27)&amp;" ")-1),",","."),"."),LEFT(SUBSTITUTE(LEFT(TRIM(C27),FIND(" ",TRIM(C27)&amp;" ")-1),",","."),FIND("/",SUBSTITUTE(LEFT(TRIM(C27),FIND(" ",TRIM(C27)&amp;" ")-1),",","."))-1)/MID(SUBSTITUTE(LEFT(TRIM(C27),FIND(" ",TRIM(C27)&amp;" ")-1),",","."),FIND("/",SUBSTITUTE(LEFT(TRIM(C27),FIND(" ",TRIM(C27)&amp;" ")-1),",","."))+1,9))*12/52,IF(ISNUMBER(SEARCH("month",C27)),IFERROR(_xlfn.NUMBERVALUE(SUBSTITUTE(LEFT(TRIM(C27),FIND(" ",TRIM(C27)&amp;" ")-1),",","."),"."),LEFT(SUBSTITUTE(LEFT(TRIM(C27),FIND(" ",TRIM(C27)&amp;" ")-1),",","."),FIND("/",SUBSTITUTE(LEFT(TRIM(C27),FIND(" ",TRIM(C27)&amp;" ")-1),",","."))-1)/MID(SUBSTITUTE(LEFT(TRIM(C27),FIND(" ",TRIM(C27)&amp;" ")-1),",","."),FIND("/",SUBSTITUTE(LEFT(TRIM(C27),FIND(" ",TRIM(C27)&amp;" ")-1),",","."))+1,9)),IF(ISNUMBER(SEARCH("yea",C27)),IFERROR(_xlfn.NUMBERVALUE(SUBSTITUTE(LEFT(TRIM(C27),FIND(" ",TRIM(C27)&amp;" ")-1),",","."),"."),LEFT(SUBSTITUTE(LEFT(TRIM(C27),FIND(" ",TRIM(C27)&amp;" ")-1),",","."),FIND("/",SUBSTITUTE(LEFT(TRIM(C27),FIND(" ",TRIM(C27)&amp;" ")-1),",","."))-1)/MID(SUBSTITUTE(LEFT(TRIM(C27),FIND(" ",TRIM(C27)&amp;" ")-1),",","."),FIND("/",SUBSTITUTE(LEFT(TRIM(C27),FIND(" ",TRIM(C27)&amp;" ")-1),",","."))+1,9))*12,NA()))),0),12)*'Aturan &amp; Tarif'!$B$4,2)</f>
        <v>681.36</v>
      </c>
      <c r="K27" s="32" t="n">
        <f aca="false">'Aturan &amp; Tarif'!$B$5</f>
        <v>2050</v>
      </c>
      <c r="L27" s="32" t="n">
        <f aca="false">'Aturan &amp; Tarif'!$B$6</f>
        <v>350</v>
      </c>
      <c r="M27" s="35" t="n">
        <f aca="false">I27+J27+K27+L27</f>
        <v>14781.36</v>
      </c>
      <c r="N27" s="37" t="s">
        <v>1858</v>
      </c>
    </row>
    <row r="28" customFormat="false" ht="37.5" hidden="false" customHeight="true" outlineLevel="0" collapsed="false">
      <c r="A28" s="29"/>
      <c r="B28" s="30" t="s">
        <v>1859</v>
      </c>
      <c r="C28" s="31" t="s">
        <v>130</v>
      </c>
      <c r="D28" s="31" t="s">
        <v>108</v>
      </c>
      <c r="E28" s="32" t="n">
        <v>5750</v>
      </c>
      <c r="F28" s="32"/>
      <c r="G28" s="32" t="n">
        <v>200</v>
      </c>
      <c r="H28" s="33" t="n">
        <v>2</v>
      </c>
      <c r="I28" s="34" t="n">
        <f aca="false">E28*H28+N(F28)+N(G28)</f>
        <v>11700</v>
      </c>
      <c r="J28" s="32" t="n">
        <f aca="false">ROUND(IFERROR(ROUND(IF(OR(ISNUMBER(SEARCH("week",C28)),ISNUMBER(SEARCH("minggu",C28))),IFERROR(_xlfn.NUMBERVALUE(SUBSTITUTE(LEFT(TRIM(C28),FIND(" ",TRIM(C28)&amp;" ")-1),",","."),"."),LEFT(SUBSTITUTE(LEFT(TRIM(C28),FIND(" ",TRIM(C28)&amp;" ")-1),",","."),FIND("/",SUBSTITUTE(LEFT(TRIM(C28),FIND(" ",TRIM(C28)&amp;" ")-1),",","."))-1)/MID(SUBSTITUTE(LEFT(TRIM(C28),FIND(" ",TRIM(C28)&amp;" ")-1),",","."),FIND("/",SUBSTITUTE(LEFT(TRIM(C28),FIND(" ",TRIM(C28)&amp;" ")-1),",","."))+1,9))*12/52,IF(ISNUMBER(SEARCH("month",C28)),IFERROR(_xlfn.NUMBERVALUE(SUBSTITUTE(LEFT(TRIM(C28),FIND(" ",TRIM(C28)&amp;" ")-1),",","."),"."),LEFT(SUBSTITUTE(LEFT(TRIM(C28),FIND(" ",TRIM(C28)&amp;" ")-1),",","."),FIND("/",SUBSTITUTE(LEFT(TRIM(C28),FIND(" ",TRIM(C28)&amp;" ")-1),",","."))-1)/MID(SUBSTITUTE(LEFT(TRIM(C28),FIND(" ",TRIM(C28)&amp;" ")-1),",","."),FIND("/",SUBSTITUTE(LEFT(TRIM(C28),FIND(" ",TRIM(C28)&amp;" ")-1),",","."))+1,9)),IF(ISNUMBER(SEARCH("yea",C28)),IFERROR(_xlfn.NUMBERVALUE(SUBSTITUTE(LEFT(TRIM(C28),FIND(" ",TRIM(C28)&amp;" ")-1),",","."),"."),LEFT(SUBSTITUTE(LEFT(TRIM(C28),FIND(" ",TRIM(C28)&amp;" ")-1),",","."),FIND("/",SUBSTITUTE(LEFT(TRIM(C28),FIND(" ",TRIM(C28)&amp;" ")-1),",","."))-1)/MID(SUBSTITUTE(LEFT(TRIM(C28),FIND(" ",TRIM(C28)&amp;" ")-1),",","."),FIND("/",SUBSTITUTE(LEFT(TRIM(C28),FIND(" ",TRIM(C28)&amp;" ")-1),",","."))+1,9))*12,NA()))),0),12)*'Aturan &amp; Tarif'!$B$4,2)</f>
        <v>681.36</v>
      </c>
      <c r="K28" s="32" t="n">
        <f aca="false">'Aturan &amp; Tarif'!$B$5</f>
        <v>2050</v>
      </c>
      <c r="L28" s="32" t="n">
        <f aca="false">'Aturan &amp; Tarif'!$B$6</f>
        <v>350</v>
      </c>
      <c r="M28" s="35" t="n">
        <f aca="false">I28+J28+K28+L28</f>
        <v>14781.36</v>
      </c>
      <c r="N28" s="37" t="s">
        <v>1860</v>
      </c>
    </row>
    <row r="29" customFormat="false" ht="37.5" hidden="false" customHeight="true" outlineLevel="0" collapsed="false">
      <c r="A29" s="29" t="s">
        <v>2778</v>
      </c>
      <c r="B29" s="30" t="s">
        <v>634</v>
      </c>
      <c r="C29" s="31" t="s">
        <v>127</v>
      </c>
      <c r="D29" s="31" t="s">
        <v>108</v>
      </c>
      <c r="E29" s="32" t="n">
        <v>4995</v>
      </c>
      <c r="F29" s="32"/>
      <c r="G29" s="32" t="n">
        <v>250</v>
      </c>
      <c r="H29" s="33" t="n">
        <v>2</v>
      </c>
      <c r="I29" s="34" t="n">
        <f aca="false">E29*H29+N(F29)+N(G29)</f>
        <v>10240</v>
      </c>
      <c r="J29" s="32" t="n">
        <f aca="false">ROUND(IFERROR(ROUND(IF(OR(ISNUMBER(SEARCH("week",C29)),ISNUMBER(SEARCH("minggu",C29))),IFERROR(_xlfn.NUMBERVALUE(SUBSTITUTE(LEFT(TRIM(C29),FIND(" ",TRIM(C29)&amp;" ")-1),",","."),"."),LEFT(SUBSTITUTE(LEFT(TRIM(C29),FIND(" ",TRIM(C29)&amp;" ")-1),",","."),FIND("/",SUBSTITUTE(LEFT(TRIM(C29),FIND(" ",TRIM(C29)&amp;" ")-1),",","."))-1)/MID(SUBSTITUTE(LEFT(TRIM(C29),FIND(" ",TRIM(C29)&amp;" ")-1),",","."),FIND("/",SUBSTITUTE(LEFT(TRIM(C29),FIND(" ",TRIM(C29)&amp;" ")-1),",","."))+1,9))*12/52,IF(ISNUMBER(SEARCH("month",C29)),IFERROR(_xlfn.NUMBERVALUE(SUBSTITUTE(LEFT(TRIM(C29),FIND(" ",TRIM(C29)&amp;" ")-1),",","."),"."),LEFT(SUBSTITUTE(LEFT(TRIM(C29),FIND(" ",TRIM(C29)&amp;" ")-1),",","."),FIND("/",SUBSTITUTE(LEFT(TRIM(C29),FIND(" ",TRIM(C29)&amp;" ")-1),",","."))-1)/MID(SUBSTITUTE(LEFT(TRIM(C29),FIND(" ",TRIM(C29)&amp;" ")-1),",","."),FIND("/",SUBSTITUTE(LEFT(TRIM(C29),FIND(" ",TRIM(C29)&amp;" ")-1),",","."))+1,9)),IF(ISNUMBER(SEARCH("yea",C29)),IFERROR(_xlfn.NUMBERVALUE(SUBSTITUTE(LEFT(TRIM(C29),FIND(" ",TRIM(C29)&amp;" ")-1),",","."),"."),LEFT(SUBSTITUTE(LEFT(TRIM(C29),FIND(" ",TRIM(C29)&amp;" ")-1),",","."),FIND("/",SUBSTITUTE(LEFT(TRIM(C29),FIND(" ",TRIM(C29)&amp;" ")-1),",","."))-1)/MID(SUBSTITUTE(LEFT(TRIM(C29),FIND(" ",TRIM(C29)&amp;" ")-1),",","."),FIND("/",SUBSTITUTE(LEFT(TRIM(C29),FIND(" ",TRIM(C29)&amp;" ")-1),",","."))+1,9))*12,NA()))),0),36)*'Aturan &amp; Tarif'!$B$4,2)</f>
        <v>2044.08</v>
      </c>
      <c r="K29" s="32" t="n">
        <f aca="false">'Aturan &amp; Tarif'!$B$5</f>
        <v>2050</v>
      </c>
      <c r="L29" s="32" t="n">
        <f aca="false">'Aturan &amp; Tarif'!$B$6</f>
        <v>350</v>
      </c>
      <c r="M29" s="35" t="n">
        <f aca="false">I29+J29+K29+L29</f>
        <v>14684.08</v>
      </c>
      <c r="N29" s="36" t="s">
        <v>635</v>
      </c>
    </row>
    <row r="30" customFormat="false" ht="37.5" hidden="false" customHeight="true" outlineLevel="0" collapsed="false">
      <c r="A30" s="29"/>
      <c r="B30" s="30" t="s">
        <v>636</v>
      </c>
      <c r="C30" s="31" t="s">
        <v>127</v>
      </c>
      <c r="D30" s="31" t="s">
        <v>108</v>
      </c>
      <c r="E30" s="32" t="n">
        <v>4995</v>
      </c>
      <c r="F30" s="32"/>
      <c r="G30" s="32" t="n">
        <v>250</v>
      </c>
      <c r="H30" s="33" t="n">
        <v>2</v>
      </c>
      <c r="I30" s="34" t="n">
        <f aca="false">E30*H30+N(F30)+N(G30)</f>
        <v>10240</v>
      </c>
      <c r="J30" s="32" t="n">
        <f aca="false">ROUND(IFERROR(ROUND(IF(OR(ISNUMBER(SEARCH("week",C30)),ISNUMBER(SEARCH("minggu",C30))),IFERROR(_xlfn.NUMBERVALUE(SUBSTITUTE(LEFT(TRIM(C30),FIND(" ",TRIM(C30)&amp;" ")-1),",","."),"."),LEFT(SUBSTITUTE(LEFT(TRIM(C30),FIND(" ",TRIM(C30)&amp;" ")-1),",","."),FIND("/",SUBSTITUTE(LEFT(TRIM(C30),FIND(" ",TRIM(C30)&amp;" ")-1),",","."))-1)/MID(SUBSTITUTE(LEFT(TRIM(C30),FIND(" ",TRIM(C30)&amp;" ")-1),",","."),FIND("/",SUBSTITUTE(LEFT(TRIM(C30),FIND(" ",TRIM(C30)&amp;" ")-1),",","."))+1,9))*12/52,IF(ISNUMBER(SEARCH("month",C30)),IFERROR(_xlfn.NUMBERVALUE(SUBSTITUTE(LEFT(TRIM(C30),FIND(" ",TRIM(C30)&amp;" ")-1),",","."),"."),LEFT(SUBSTITUTE(LEFT(TRIM(C30),FIND(" ",TRIM(C30)&amp;" ")-1),",","."),FIND("/",SUBSTITUTE(LEFT(TRIM(C30),FIND(" ",TRIM(C30)&amp;" ")-1),",","."))-1)/MID(SUBSTITUTE(LEFT(TRIM(C30),FIND(" ",TRIM(C30)&amp;" ")-1),",","."),FIND("/",SUBSTITUTE(LEFT(TRIM(C30),FIND(" ",TRIM(C30)&amp;" ")-1),",","."))+1,9)),IF(ISNUMBER(SEARCH("yea",C30)),IFERROR(_xlfn.NUMBERVALUE(SUBSTITUTE(LEFT(TRIM(C30),FIND(" ",TRIM(C30)&amp;" ")-1),",","."),"."),LEFT(SUBSTITUTE(LEFT(TRIM(C30),FIND(" ",TRIM(C30)&amp;" ")-1),",","."),FIND("/",SUBSTITUTE(LEFT(TRIM(C30),FIND(" ",TRIM(C30)&amp;" ")-1),",","."))-1)/MID(SUBSTITUTE(LEFT(TRIM(C30),FIND(" ",TRIM(C30)&amp;" ")-1),",","."),FIND("/",SUBSTITUTE(LEFT(TRIM(C30),FIND(" ",TRIM(C30)&amp;" ")-1),",","."))+1,9))*12,NA()))),0),36)*'Aturan &amp; Tarif'!$B$4,2)</f>
        <v>2044.08</v>
      </c>
      <c r="K30" s="32" t="n">
        <f aca="false">'Aturan &amp; Tarif'!$B$5</f>
        <v>2050</v>
      </c>
      <c r="L30" s="32" t="n">
        <f aca="false">'Aturan &amp; Tarif'!$B$6</f>
        <v>350</v>
      </c>
      <c r="M30" s="35" t="n">
        <f aca="false">I30+J30+K30+L30</f>
        <v>14684.08</v>
      </c>
      <c r="N30" s="36" t="s">
        <v>635</v>
      </c>
    </row>
    <row r="31" customFormat="false" ht="37.5" hidden="false" customHeight="true" outlineLevel="0" collapsed="false">
      <c r="A31" s="29"/>
      <c r="B31" s="30" t="s">
        <v>637</v>
      </c>
      <c r="C31" s="31" t="s">
        <v>127</v>
      </c>
      <c r="D31" s="31" t="s">
        <v>108</v>
      </c>
      <c r="E31" s="32" t="n">
        <v>4995</v>
      </c>
      <c r="F31" s="32"/>
      <c r="G31" s="32" t="n">
        <v>250</v>
      </c>
      <c r="H31" s="33" t="n">
        <v>2</v>
      </c>
      <c r="I31" s="34" t="n">
        <f aca="false">E31*H31+N(F31)+N(G31)</f>
        <v>10240</v>
      </c>
      <c r="J31" s="32" t="n">
        <f aca="false">ROUND(IFERROR(ROUND(IF(OR(ISNUMBER(SEARCH("week",C31)),ISNUMBER(SEARCH("minggu",C31))),IFERROR(_xlfn.NUMBERVALUE(SUBSTITUTE(LEFT(TRIM(C31),FIND(" ",TRIM(C31)&amp;" ")-1),",","."),"."),LEFT(SUBSTITUTE(LEFT(TRIM(C31),FIND(" ",TRIM(C31)&amp;" ")-1),",","."),FIND("/",SUBSTITUTE(LEFT(TRIM(C31),FIND(" ",TRIM(C31)&amp;" ")-1),",","."))-1)/MID(SUBSTITUTE(LEFT(TRIM(C31),FIND(" ",TRIM(C31)&amp;" ")-1),",","."),FIND("/",SUBSTITUTE(LEFT(TRIM(C31),FIND(" ",TRIM(C31)&amp;" ")-1),",","."))+1,9))*12/52,IF(ISNUMBER(SEARCH("month",C31)),IFERROR(_xlfn.NUMBERVALUE(SUBSTITUTE(LEFT(TRIM(C31),FIND(" ",TRIM(C31)&amp;" ")-1),",","."),"."),LEFT(SUBSTITUTE(LEFT(TRIM(C31),FIND(" ",TRIM(C31)&amp;" ")-1),",","."),FIND("/",SUBSTITUTE(LEFT(TRIM(C31),FIND(" ",TRIM(C31)&amp;" ")-1),",","."))-1)/MID(SUBSTITUTE(LEFT(TRIM(C31),FIND(" ",TRIM(C31)&amp;" ")-1),",","."),FIND("/",SUBSTITUTE(LEFT(TRIM(C31),FIND(" ",TRIM(C31)&amp;" ")-1),",","."))+1,9)),IF(ISNUMBER(SEARCH("yea",C31)),IFERROR(_xlfn.NUMBERVALUE(SUBSTITUTE(LEFT(TRIM(C31),FIND(" ",TRIM(C31)&amp;" ")-1),",","."),"."),LEFT(SUBSTITUTE(LEFT(TRIM(C31),FIND(" ",TRIM(C31)&amp;" ")-1),",","."),FIND("/",SUBSTITUTE(LEFT(TRIM(C31),FIND(" ",TRIM(C31)&amp;" ")-1),",","."))-1)/MID(SUBSTITUTE(LEFT(TRIM(C31),FIND(" ",TRIM(C31)&amp;" ")-1),",","."),FIND("/",SUBSTITUTE(LEFT(TRIM(C31),FIND(" ",TRIM(C31)&amp;" ")-1),",","."))+1,9))*12,NA()))),0),36)*'Aturan &amp; Tarif'!$B$4,2)</f>
        <v>2044.08</v>
      </c>
      <c r="K31" s="32" t="n">
        <f aca="false">'Aturan &amp; Tarif'!$B$5</f>
        <v>2050</v>
      </c>
      <c r="L31" s="32" t="n">
        <f aca="false">'Aturan &amp; Tarif'!$B$6</f>
        <v>350</v>
      </c>
      <c r="M31" s="35" t="n">
        <f aca="false">I31+J31+K31+L31</f>
        <v>14684.08</v>
      </c>
      <c r="N31" s="36" t="s">
        <v>635</v>
      </c>
    </row>
    <row r="32" customFormat="false" ht="37.5" hidden="false" customHeight="true" outlineLevel="0" collapsed="false">
      <c r="A32" s="29"/>
      <c r="B32" s="30" t="s">
        <v>638</v>
      </c>
      <c r="C32" s="31" t="s">
        <v>127</v>
      </c>
      <c r="D32" s="31" t="s">
        <v>108</v>
      </c>
      <c r="E32" s="32" t="n">
        <v>4995</v>
      </c>
      <c r="F32" s="32"/>
      <c r="G32" s="32" t="n">
        <v>250</v>
      </c>
      <c r="H32" s="33" t="n">
        <v>2</v>
      </c>
      <c r="I32" s="34" t="n">
        <f aca="false">E32*H32+N(F32)+N(G32)</f>
        <v>10240</v>
      </c>
      <c r="J32" s="32" t="n">
        <f aca="false">ROUND(IFERROR(ROUND(IF(OR(ISNUMBER(SEARCH("week",C32)),ISNUMBER(SEARCH("minggu",C32))),IFERROR(_xlfn.NUMBERVALUE(SUBSTITUTE(LEFT(TRIM(C32),FIND(" ",TRIM(C32)&amp;" ")-1),",","."),"."),LEFT(SUBSTITUTE(LEFT(TRIM(C32),FIND(" ",TRIM(C32)&amp;" ")-1),",","."),FIND("/",SUBSTITUTE(LEFT(TRIM(C32),FIND(" ",TRIM(C32)&amp;" ")-1),",","."))-1)/MID(SUBSTITUTE(LEFT(TRIM(C32),FIND(" ",TRIM(C32)&amp;" ")-1),",","."),FIND("/",SUBSTITUTE(LEFT(TRIM(C32),FIND(" ",TRIM(C32)&amp;" ")-1),",","."))+1,9))*12/52,IF(ISNUMBER(SEARCH("month",C32)),IFERROR(_xlfn.NUMBERVALUE(SUBSTITUTE(LEFT(TRIM(C32),FIND(" ",TRIM(C32)&amp;" ")-1),",","."),"."),LEFT(SUBSTITUTE(LEFT(TRIM(C32),FIND(" ",TRIM(C32)&amp;" ")-1),",","."),FIND("/",SUBSTITUTE(LEFT(TRIM(C32),FIND(" ",TRIM(C32)&amp;" ")-1),",","."))-1)/MID(SUBSTITUTE(LEFT(TRIM(C32),FIND(" ",TRIM(C32)&amp;" ")-1),",","."),FIND("/",SUBSTITUTE(LEFT(TRIM(C32),FIND(" ",TRIM(C32)&amp;" ")-1),",","."))+1,9)),IF(ISNUMBER(SEARCH("yea",C32)),IFERROR(_xlfn.NUMBERVALUE(SUBSTITUTE(LEFT(TRIM(C32),FIND(" ",TRIM(C32)&amp;" ")-1),",","."),"."),LEFT(SUBSTITUTE(LEFT(TRIM(C32),FIND(" ",TRIM(C32)&amp;" ")-1),",","."),FIND("/",SUBSTITUTE(LEFT(TRIM(C32),FIND(" ",TRIM(C32)&amp;" ")-1),",","."))-1)/MID(SUBSTITUTE(LEFT(TRIM(C32),FIND(" ",TRIM(C32)&amp;" ")-1),",","."),FIND("/",SUBSTITUTE(LEFT(TRIM(C32),FIND(" ",TRIM(C32)&amp;" ")-1),",","."))+1,9))*12,NA()))),0),36)*'Aturan &amp; Tarif'!$B$4,2)</f>
        <v>2044.08</v>
      </c>
      <c r="K32" s="32" t="n">
        <f aca="false">'Aturan &amp; Tarif'!$B$5</f>
        <v>2050</v>
      </c>
      <c r="L32" s="32" t="n">
        <f aca="false">'Aturan &amp; Tarif'!$B$6</f>
        <v>350</v>
      </c>
      <c r="M32" s="35" t="n">
        <f aca="false">I32+J32+K32+L32</f>
        <v>14684.08</v>
      </c>
      <c r="N32" s="36" t="s">
        <v>635</v>
      </c>
    </row>
    <row r="33" customFormat="false" ht="25.5" hidden="false" customHeight="true" outlineLevel="0" collapsed="false">
      <c r="A33" s="29"/>
      <c r="B33" s="30" t="s">
        <v>639</v>
      </c>
      <c r="C33" s="31" t="s">
        <v>127</v>
      </c>
      <c r="D33" s="31" t="s">
        <v>108</v>
      </c>
      <c r="E33" s="32" t="n">
        <v>4995</v>
      </c>
      <c r="F33" s="32"/>
      <c r="G33" s="32" t="n">
        <v>250</v>
      </c>
      <c r="H33" s="33" t="n">
        <v>2</v>
      </c>
      <c r="I33" s="34" t="n">
        <f aca="false">E33*H33+N(F33)+N(G33)</f>
        <v>10240</v>
      </c>
      <c r="J33" s="32" t="n">
        <f aca="false">ROUND(IFERROR(ROUND(IF(OR(ISNUMBER(SEARCH("week",C33)),ISNUMBER(SEARCH("minggu",C33))),IFERROR(_xlfn.NUMBERVALUE(SUBSTITUTE(LEFT(TRIM(C33),FIND(" ",TRIM(C33)&amp;" ")-1),",","."),"."),LEFT(SUBSTITUTE(LEFT(TRIM(C33),FIND(" ",TRIM(C33)&amp;" ")-1),",","."),FIND("/",SUBSTITUTE(LEFT(TRIM(C33),FIND(" ",TRIM(C33)&amp;" ")-1),",","."))-1)/MID(SUBSTITUTE(LEFT(TRIM(C33),FIND(" ",TRIM(C33)&amp;" ")-1),",","."),FIND("/",SUBSTITUTE(LEFT(TRIM(C33),FIND(" ",TRIM(C33)&amp;" ")-1),",","."))+1,9))*12/52,IF(ISNUMBER(SEARCH("month",C33)),IFERROR(_xlfn.NUMBERVALUE(SUBSTITUTE(LEFT(TRIM(C33),FIND(" ",TRIM(C33)&amp;" ")-1),",","."),"."),LEFT(SUBSTITUTE(LEFT(TRIM(C33),FIND(" ",TRIM(C33)&amp;" ")-1),",","."),FIND("/",SUBSTITUTE(LEFT(TRIM(C33),FIND(" ",TRIM(C33)&amp;" ")-1),",","."))-1)/MID(SUBSTITUTE(LEFT(TRIM(C33),FIND(" ",TRIM(C33)&amp;" ")-1),",","."),FIND("/",SUBSTITUTE(LEFT(TRIM(C33),FIND(" ",TRIM(C33)&amp;" ")-1),",","."))+1,9)),IF(ISNUMBER(SEARCH("yea",C33)),IFERROR(_xlfn.NUMBERVALUE(SUBSTITUTE(LEFT(TRIM(C33),FIND(" ",TRIM(C33)&amp;" ")-1),",","."),"."),LEFT(SUBSTITUTE(LEFT(TRIM(C33),FIND(" ",TRIM(C33)&amp;" ")-1),",","."),FIND("/",SUBSTITUTE(LEFT(TRIM(C33),FIND(" ",TRIM(C33)&amp;" ")-1),",","."))-1)/MID(SUBSTITUTE(LEFT(TRIM(C33),FIND(" ",TRIM(C33)&amp;" ")-1),",","."),FIND("/",SUBSTITUTE(LEFT(TRIM(C33),FIND(" ",TRIM(C33)&amp;" ")-1),",","."))+1,9))*12,NA()))),0),36)*'Aturan &amp; Tarif'!$B$4,2)</f>
        <v>2044.08</v>
      </c>
      <c r="K33" s="32" t="n">
        <f aca="false">'Aturan &amp; Tarif'!$B$5</f>
        <v>2050</v>
      </c>
      <c r="L33" s="32" t="n">
        <f aca="false">'Aturan &amp; Tarif'!$B$6</f>
        <v>350</v>
      </c>
      <c r="M33" s="35" t="n">
        <f aca="false">I33+J33+K33+L33</f>
        <v>14684.08</v>
      </c>
      <c r="N33" s="36" t="s">
        <v>635</v>
      </c>
    </row>
    <row r="34" customFormat="false" ht="37.5" hidden="false" customHeight="true" outlineLevel="0" collapsed="false">
      <c r="A34" s="29"/>
      <c r="B34" s="30" t="s">
        <v>640</v>
      </c>
      <c r="C34" s="31" t="s">
        <v>107</v>
      </c>
      <c r="D34" s="31" t="s">
        <v>108</v>
      </c>
      <c r="E34" s="32" t="n">
        <v>4050</v>
      </c>
      <c r="F34" s="32"/>
      <c r="G34" s="32" t="n">
        <v>250</v>
      </c>
      <c r="H34" s="33" t="n">
        <v>2</v>
      </c>
      <c r="I34" s="34" t="n">
        <f aca="false">E34*H34+N(F34)+N(G34)</f>
        <v>8350</v>
      </c>
      <c r="J34" s="32" t="n">
        <f aca="false">ROUND(IFERROR(ROUND(IF(OR(ISNUMBER(SEARCH("week",C34)),ISNUMBER(SEARCH("minggu",C34))),IFERROR(_xlfn.NUMBERVALUE(SUBSTITUTE(LEFT(TRIM(C34),FIND(" ",TRIM(C34)&amp;" ")-1),",","."),"."),LEFT(SUBSTITUTE(LEFT(TRIM(C34),FIND(" ",TRIM(C34)&amp;" ")-1),",","."),FIND("/",SUBSTITUTE(LEFT(TRIM(C34),FIND(" ",TRIM(C34)&amp;" ")-1),",","."))-1)/MID(SUBSTITUTE(LEFT(TRIM(C34),FIND(" ",TRIM(C34)&amp;" ")-1),",","."),FIND("/",SUBSTITUTE(LEFT(TRIM(C34),FIND(" ",TRIM(C34)&amp;" ")-1),",","."))+1,9))*12/52,IF(ISNUMBER(SEARCH("month",C34)),IFERROR(_xlfn.NUMBERVALUE(SUBSTITUTE(LEFT(TRIM(C34),FIND(" ",TRIM(C34)&amp;" ")-1),",","."),"."),LEFT(SUBSTITUTE(LEFT(TRIM(C34),FIND(" ",TRIM(C34)&amp;" ")-1),",","."),FIND("/",SUBSTITUTE(LEFT(TRIM(C34),FIND(" ",TRIM(C34)&amp;" ")-1),",","."))-1)/MID(SUBSTITUTE(LEFT(TRIM(C34),FIND(" ",TRIM(C34)&amp;" ")-1),",","."),FIND("/",SUBSTITUTE(LEFT(TRIM(C34),FIND(" ",TRIM(C34)&amp;" ")-1),",","."))+1,9)),IF(ISNUMBER(SEARCH("yea",C34)),IFERROR(_xlfn.NUMBERVALUE(SUBSTITUTE(LEFT(TRIM(C34),FIND(" ",TRIM(C34)&amp;" ")-1),",","."),"."),LEFT(SUBSTITUTE(LEFT(TRIM(C34),FIND(" ",TRIM(C34)&amp;" ")-1),",","."),FIND("/",SUBSTITUTE(LEFT(TRIM(C34),FIND(" ",TRIM(C34)&amp;" ")-1),",","."))-1)/MID(SUBSTITUTE(LEFT(TRIM(C34),FIND(" ",TRIM(C34)&amp;" ")-1),",","."),FIND("/",SUBSTITUTE(LEFT(TRIM(C34),FIND(" ",TRIM(C34)&amp;" ")-1),",","."))+1,9))*12,NA()))),0),24)*'Aturan &amp; Tarif'!$B$4,2)</f>
        <v>1362.72</v>
      </c>
      <c r="K34" s="32" t="n">
        <f aca="false">'Aturan &amp; Tarif'!$B$5</f>
        <v>2050</v>
      </c>
      <c r="L34" s="32" t="n">
        <f aca="false">'Aturan &amp; Tarif'!$B$6</f>
        <v>350</v>
      </c>
      <c r="M34" s="35" t="n">
        <f aca="false">I34+J34+K34+L34</f>
        <v>12112.72</v>
      </c>
      <c r="N34" s="37" t="s">
        <v>641</v>
      </c>
    </row>
    <row r="35" customFormat="false" ht="37.5" hidden="false" customHeight="true" outlineLevel="0" collapsed="false">
      <c r="A35" s="29"/>
      <c r="B35" s="30" t="s">
        <v>642</v>
      </c>
      <c r="C35" s="31" t="s">
        <v>107</v>
      </c>
      <c r="D35" s="31" t="s">
        <v>108</v>
      </c>
      <c r="E35" s="32" t="n">
        <v>4050</v>
      </c>
      <c r="F35" s="32"/>
      <c r="G35" s="32" t="n">
        <v>250</v>
      </c>
      <c r="H35" s="33" t="n">
        <v>2</v>
      </c>
      <c r="I35" s="34" t="n">
        <f aca="false">E35*H35+N(F35)+N(G35)</f>
        <v>8350</v>
      </c>
      <c r="J35" s="32" t="n">
        <f aca="false">ROUND(IFERROR(ROUND(IF(OR(ISNUMBER(SEARCH("week",C35)),ISNUMBER(SEARCH("minggu",C35))),IFERROR(_xlfn.NUMBERVALUE(SUBSTITUTE(LEFT(TRIM(C35),FIND(" ",TRIM(C35)&amp;" ")-1),",","."),"."),LEFT(SUBSTITUTE(LEFT(TRIM(C35),FIND(" ",TRIM(C35)&amp;" ")-1),",","."),FIND("/",SUBSTITUTE(LEFT(TRIM(C35),FIND(" ",TRIM(C35)&amp;" ")-1),",","."))-1)/MID(SUBSTITUTE(LEFT(TRIM(C35),FIND(" ",TRIM(C35)&amp;" ")-1),",","."),FIND("/",SUBSTITUTE(LEFT(TRIM(C35),FIND(" ",TRIM(C35)&amp;" ")-1),",","."))+1,9))*12/52,IF(ISNUMBER(SEARCH("month",C35)),IFERROR(_xlfn.NUMBERVALUE(SUBSTITUTE(LEFT(TRIM(C35),FIND(" ",TRIM(C35)&amp;" ")-1),",","."),"."),LEFT(SUBSTITUTE(LEFT(TRIM(C35),FIND(" ",TRIM(C35)&amp;" ")-1),",","."),FIND("/",SUBSTITUTE(LEFT(TRIM(C35),FIND(" ",TRIM(C35)&amp;" ")-1),",","."))-1)/MID(SUBSTITUTE(LEFT(TRIM(C35),FIND(" ",TRIM(C35)&amp;" ")-1),",","."),FIND("/",SUBSTITUTE(LEFT(TRIM(C35),FIND(" ",TRIM(C35)&amp;" ")-1),",","."))+1,9)),IF(ISNUMBER(SEARCH("yea",C35)),IFERROR(_xlfn.NUMBERVALUE(SUBSTITUTE(LEFT(TRIM(C35),FIND(" ",TRIM(C35)&amp;" ")-1),",","."),"."),LEFT(SUBSTITUTE(LEFT(TRIM(C35),FIND(" ",TRIM(C35)&amp;" ")-1),",","."),FIND("/",SUBSTITUTE(LEFT(TRIM(C35),FIND(" ",TRIM(C35)&amp;" ")-1),",","."))-1)/MID(SUBSTITUTE(LEFT(TRIM(C35),FIND(" ",TRIM(C35)&amp;" ")-1),",","."),FIND("/",SUBSTITUTE(LEFT(TRIM(C35),FIND(" ",TRIM(C35)&amp;" ")-1),",","."))+1,9))*12,NA()))),0),24)*'Aturan &amp; Tarif'!$B$4,2)</f>
        <v>1362.72</v>
      </c>
      <c r="K35" s="32" t="n">
        <f aca="false">'Aturan &amp; Tarif'!$B$5</f>
        <v>2050</v>
      </c>
      <c r="L35" s="32" t="n">
        <f aca="false">'Aturan &amp; Tarif'!$B$6</f>
        <v>350</v>
      </c>
      <c r="M35" s="35" t="n">
        <f aca="false">I35+J35+K35+L35</f>
        <v>12112.72</v>
      </c>
      <c r="N35" s="37" t="s">
        <v>641</v>
      </c>
    </row>
    <row r="36" customFormat="false" ht="37.5" hidden="false" customHeight="true" outlineLevel="0" collapsed="false">
      <c r="A36" s="29"/>
      <c r="B36" s="30" t="s">
        <v>643</v>
      </c>
      <c r="C36" s="31" t="s">
        <v>107</v>
      </c>
      <c r="D36" s="31" t="s">
        <v>108</v>
      </c>
      <c r="E36" s="32" t="n">
        <v>4050</v>
      </c>
      <c r="F36" s="32"/>
      <c r="G36" s="32" t="n">
        <v>250</v>
      </c>
      <c r="H36" s="33" t="n">
        <v>2</v>
      </c>
      <c r="I36" s="34" t="n">
        <f aca="false">E36*H36+N(F36)+N(G36)</f>
        <v>8350</v>
      </c>
      <c r="J36" s="32" t="n">
        <f aca="false">ROUND(IFERROR(ROUND(IF(OR(ISNUMBER(SEARCH("week",C36)),ISNUMBER(SEARCH("minggu",C36))),IFERROR(_xlfn.NUMBERVALUE(SUBSTITUTE(LEFT(TRIM(C36),FIND(" ",TRIM(C36)&amp;" ")-1),",","."),"."),LEFT(SUBSTITUTE(LEFT(TRIM(C36),FIND(" ",TRIM(C36)&amp;" ")-1),",","."),FIND("/",SUBSTITUTE(LEFT(TRIM(C36),FIND(" ",TRIM(C36)&amp;" ")-1),",","."))-1)/MID(SUBSTITUTE(LEFT(TRIM(C36),FIND(" ",TRIM(C36)&amp;" ")-1),",","."),FIND("/",SUBSTITUTE(LEFT(TRIM(C36),FIND(" ",TRIM(C36)&amp;" ")-1),",","."))+1,9))*12/52,IF(ISNUMBER(SEARCH("month",C36)),IFERROR(_xlfn.NUMBERVALUE(SUBSTITUTE(LEFT(TRIM(C36),FIND(" ",TRIM(C36)&amp;" ")-1),",","."),"."),LEFT(SUBSTITUTE(LEFT(TRIM(C36),FIND(" ",TRIM(C36)&amp;" ")-1),",","."),FIND("/",SUBSTITUTE(LEFT(TRIM(C36),FIND(" ",TRIM(C36)&amp;" ")-1),",","."))-1)/MID(SUBSTITUTE(LEFT(TRIM(C36),FIND(" ",TRIM(C36)&amp;" ")-1),",","."),FIND("/",SUBSTITUTE(LEFT(TRIM(C36),FIND(" ",TRIM(C36)&amp;" ")-1),",","."))+1,9)),IF(ISNUMBER(SEARCH("yea",C36)),IFERROR(_xlfn.NUMBERVALUE(SUBSTITUTE(LEFT(TRIM(C36),FIND(" ",TRIM(C36)&amp;" ")-1),",","."),"."),LEFT(SUBSTITUTE(LEFT(TRIM(C36),FIND(" ",TRIM(C36)&amp;" ")-1),",","."),FIND("/",SUBSTITUTE(LEFT(TRIM(C36),FIND(" ",TRIM(C36)&amp;" ")-1),",","."))-1)/MID(SUBSTITUTE(LEFT(TRIM(C36),FIND(" ",TRIM(C36)&amp;" ")-1),",","."),FIND("/",SUBSTITUTE(LEFT(TRIM(C36),FIND(" ",TRIM(C36)&amp;" ")-1),",","."))+1,9))*12,NA()))),0),24)*'Aturan &amp; Tarif'!$B$4,2)</f>
        <v>1362.72</v>
      </c>
      <c r="K36" s="32" t="n">
        <f aca="false">'Aturan &amp; Tarif'!$B$5</f>
        <v>2050</v>
      </c>
      <c r="L36" s="32" t="n">
        <f aca="false">'Aturan &amp; Tarif'!$B$6</f>
        <v>350</v>
      </c>
      <c r="M36" s="35" t="n">
        <f aca="false">I36+J36+K36+L36</f>
        <v>12112.72</v>
      </c>
      <c r="N36" s="37" t="s">
        <v>641</v>
      </c>
    </row>
    <row r="37" customFormat="false" ht="37.5" hidden="false" customHeight="true" outlineLevel="0" collapsed="false">
      <c r="A37" s="29"/>
      <c r="B37" s="30" t="s">
        <v>644</v>
      </c>
      <c r="C37" s="31" t="s">
        <v>107</v>
      </c>
      <c r="D37" s="31" t="s">
        <v>108</v>
      </c>
      <c r="E37" s="32" t="n">
        <v>4050</v>
      </c>
      <c r="F37" s="32"/>
      <c r="G37" s="32" t="n">
        <v>250</v>
      </c>
      <c r="H37" s="33" t="n">
        <v>2</v>
      </c>
      <c r="I37" s="34" t="n">
        <f aca="false">E37*H37+N(F37)+N(G37)</f>
        <v>8350</v>
      </c>
      <c r="J37" s="32" t="n">
        <f aca="false">ROUND(IFERROR(ROUND(IF(OR(ISNUMBER(SEARCH("week",C37)),ISNUMBER(SEARCH("minggu",C37))),IFERROR(_xlfn.NUMBERVALUE(SUBSTITUTE(LEFT(TRIM(C37),FIND(" ",TRIM(C37)&amp;" ")-1),",","."),"."),LEFT(SUBSTITUTE(LEFT(TRIM(C37),FIND(" ",TRIM(C37)&amp;" ")-1),",","."),FIND("/",SUBSTITUTE(LEFT(TRIM(C37),FIND(" ",TRIM(C37)&amp;" ")-1),",","."))-1)/MID(SUBSTITUTE(LEFT(TRIM(C37),FIND(" ",TRIM(C37)&amp;" ")-1),",","."),FIND("/",SUBSTITUTE(LEFT(TRIM(C37),FIND(" ",TRIM(C37)&amp;" ")-1),",","."))+1,9))*12/52,IF(ISNUMBER(SEARCH("month",C37)),IFERROR(_xlfn.NUMBERVALUE(SUBSTITUTE(LEFT(TRIM(C37),FIND(" ",TRIM(C37)&amp;" ")-1),",","."),"."),LEFT(SUBSTITUTE(LEFT(TRIM(C37),FIND(" ",TRIM(C37)&amp;" ")-1),",","."),FIND("/",SUBSTITUTE(LEFT(TRIM(C37),FIND(" ",TRIM(C37)&amp;" ")-1),",","."))-1)/MID(SUBSTITUTE(LEFT(TRIM(C37),FIND(" ",TRIM(C37)&amp;" ")-1),",","."),FIND("/",SUBSTITUTE(LEFT(TRIM(C37),FIND(" ",TRIM(C37)&amp;" ")-1),",","."))+1,9)),IF(ISNUMBER(SEARCH("yea",C37)),IFERROR(_xlfn.NUMBERVALUE(SUBSTITUTE(LEFT(TRIM(C37),FIND(" ",TRIM(C37)&amp;" ")-1),",","."),"."),LEFT(SUBSTITUTE(LEFT(TRIM(C37),FIND(" ",TRIM(C37)&amp;" ")-1),",","."),FIND("/",SUBSTITUTE(LEFT(TRIM(C37),FIND(" ",TRIM(C37)&amp;" ")-1),",","."))-1)/MID(SUBSTITUTE(LEFT(TRIM(C37),FIND(" ",TRIM(C37)&amp;" ")-1),",","."),FIND("/",SUBSTITUTE(LEFT(TRIM(C37),FIND(" ",TRIM(C37)&amp;" ")-1),",","."))+1,9))*12,NA()))),0),24)*'Aturan &amp; Tarif'!$B$4,2)</f>
        <v>1362.72</v>
      </c>
      <c r="K37" s="32" t="n">
        <f aca="false">'Aturan &amp; Tarif'!$B$5</f>
        <v>2050</v>
      </c>
      <c r="L37" s="32" t="n">
        <f aca="false">'Aturan &amp; Tarif'!$B$6</f>
        <v>350</v>
      </c>
      <c r="M37" s="35" t="n">
        <f aca="false">I37+J37+K37+L37</f>
        <v>12112.72</v>
      </c>
      <c r="N37" s="37" t="s">
        <v>641</v>
      </c>
    </row>
    <row r="38" customFormat="false" ht="14.25" hidden="false" customHeight="true" outlineLevel="0" collapsed="false">
      <c r="A38" s="29"/>
      <c r="B38" s="30" t="s">
        <v>645</v>
      </c>
      <c r="C38" s="31" t="s">
        <v>107</v>
      </c>
      <c r="D38" s="31" t="s">
        <v>108</v>
      </c>
      <c r="E38" s="32" t="n">
        <v>4050</v>
      </c>
      <c r="F38" s="32"/>
      <c r="G38" s="32" t="n">
        <v>250</v>
      </c>
      <c r="H38" s="33" t="n">
        <v>2</v>
      </c>
      <c r="I38" s="34" t="n">
        <f aca="false">E38*H38+N(F38)+N(G38)</f>
        <v>8350</v>
      </c>
      <c r="J38" s="32" t="n">
        <f aca="false">ROUND(IFERROR(ROUND(IF(OR(ISNUMBER(SEARCH("week",C38)),ISNUMBER(SEARCH("minggu",C38))),IFERROR(_xlfn.NUMBERVALUE(SUBSTITUTE(LEFT(TRIM(C38),FIND(" ",TRIM(C38)&amp;" ")-1),",","."),"."),LEFT(SUBSTITUTE(LEFT(TRIM(C38),FIND(" ",TRIM(C38)&amp;" ")-1),",","."),FIND("/",SUBSTITUTE(LEFT(TRIM(C38),FIND(" ",TRIM(C38)&amp;" ")-1),",","."))-1)/MID(SUBSTITUTE(LEFT(TRIM(C38),FIND(" ",TRIM(C38)&amp;" ")-1),",","."),FIND("/",SUBSTITUTE(LEFT(TRIM(C38),FIND(" ",TRIM(C38)&amp;" ")-1),",","."))+1,9))*12/52,IF(ISNUMBER(SEARCH("month",C38)),IFERROR(_xlfn.NUMBERVALUE(SUBSTITUTE(LEFT(TRIM(C38),FIND(" ",TRIM(C38)&amp;" ")-1),",","."),"."),LEFT(SUBSTITUTE(LEFT(TRIM(C38),FIND(" ",TRIM(C38)&amp;" ")-1),",","."),FIND("/",SUBSTITUTE(LEFT(TRIM(C38),FIND(" ",TRIM(C38)&amp;" ")-1),",","."))-1)/MID(SUBSTITUTE(LEFT(TRIM(C38),FIND(" ",TRIM(C38)&amp;" ")-1),",","."),FIND("/",SUBSTITUTE(LEFT(TRIM(C38),FIND(" ",TRIM(C38)&amp;" ")-1),",","."))+1,9)),IF(ISNUMBER(SEARCH("yea",C38)),IFERROR(_xlfn.NUMBERVALUE(SUBSTITUTE(LEFT(TRIM(C38),FIND(" ",TRIM(C38)&amp;" ")-1),",","."),"."),LEFT(SUBSTITUTE(LEFT(TRIM(C38),FIND(" ",TRIM(C38)&amp;" ")-1),",","."),FIND("/",SUBSTITUTE(LEFT(TRIM(C38),FIND(" ",TRIM(C38)&amp;" ")-1),",","."))-1)/MID(SUBSTITUTE(LEFT(TRIM(C38),FIND(" ",TRIM(C38)&amp;" ")-1),",","."),FIND("/",SUBSTITUTE(LEFT(TRIM(C38),FIND(" ",TRIM(C38)&amp;" ")-1),",","."))+1,9))*12,NA()))),0),24)*'Aturan &amp; Tarif'!$B$4,2)</f>
        <v>1362.72</v>
      </c>
      <c r="K38" s="32" t="n">
        <f aca="false">'Aturan &amp; Tarif'!$B$5</f>
        <v>2050</v>
      </c>
      <c r="L38" s="32" t="n">
        <f aca="false">'Aturan &amp; Tarif'!$B$6</f>
        <v>350</v>
      </c>
      <c r="M38" s="35" t="n">
        <f aca="false">I38+J38+K38+L38</f>
        <v>12112.72</v>
      </c>
      <c r="N38" s="37" t="s">
        <v>641</v>
      </c>
    </row>
    <row r="39" customFormat="false" ht="14.25" hidden="false" customHeight="true" outlineLevel="0" collapsed="false">
      <c r="A39" s="29"/>
      <c r="B39" s="30" t="s">
        <v>646</v>
      </c>
      <c r="C39" s="31" t="s">
        <v>130</v>
      </c>
      <c r="D39" s="31" t="s">
        <v>108</v>
      </c>
      <c r="E39" s="32" t="n">
        <v>4050</v>
      </c>
      <c r="F39" s="32"/>
      <c r="G39" s="32" t="n">
        <v>250</v>
      </c>
      <c r="H39" s="33" t="n">
        <v>2</v>
      </c>
      <c r="I39" s="34" t="n">
        <f aca="false">E39*H39+N(F39)+N(G39)</f>
        <v>8350</v>
      </c>
      <c r="J39" s="32" t="n">
        <f aca="false">ROUND(IFERROR(ROUND(IF(OR(ISNUMBER(SEARCH("week",C39)),ISNUMBER(SEARCH("minggu",C39))),IFERROR(_xlfn.NUMBERVALUE(SUBSTITUTE(LEFT(TRIM(C39),FIND(" ",TRIM(C39)&amp;" ")-1),",","."),"."),LEFT(SUBSTITUTE(LEFT(TRIM(C39),FIND(" ",TRIM(C39)&amp;" ")-1),",","."),FIND("/",SUBSTITUTE(LEFT(TRIM(C39),FIND(" ",TRIM(C39)&amp;" ")-1),",","."))-1)/MID(SUBSTITUTE(LEFT(TRIM(C39),FIND(" ",TRIM(C39)&amp;" ")-1),",","."),FIND("/",SUBSTITUTE(LEFT(TRIM(C39),FIND(" ",TRIM(C39)&amp;" ")-1),",","."))+1,9))*12/52,IF(ISNUMBER(SEARCH("month",C39)),IFERROR(_xlfn.NUMBERVALUE(SUBSTITUTE(LEFT(TRIM(C39),FIND(" ",TRIM(C39)&amp;" ")-1),",","."),"."),LEFT(SUBSTITUTE(LEFT(TRIM(C39),FIND(" ",TRIM(C39)&amp;" ")-1),",","."),FIND("/",SUBSTITUTE(LEFT(TRIM(C39),FIND(" ",TRIM(C39)&amp;" ")-1),",","."))-1)/MID(SUBSTITUTE(LEFT(TRIM(C39),FIND(" ",TRIM(C39)&amp;" ")-1),",","."),FIND("/",SUBSTITUTE(LEFT(TRIM(C39),FIND(" ",TRIM(C39)&amp;" ")-1),",","."))+1,9)),IF(ISNUMBER(SEARCH("yea",C39)),IFERROR(_xlfn.NUMBERVALUE(SUBSTITUTE(LEFT(TRIM(C39),FIND(" ",TRIM(C39)&amp;" ")-1),",","."),"."),LEFT(SUBSTITUTE(LEFT(TRIM(C39),FIND(" ",TRIM(C39)&amp;" ")-1),",","."),FIND("/",SUBSTITUTE(LEFT(TRIM(C39),FIND(" ",TRIM(C39)&amp;" ")-1),",","."))-1)/MID(SUBSTITUTE(LEFT(TRIM(C39),FIND(" ",TRIM(C39)&amp;" ")-1),",","."),FIND("/",SUBSTITUTE(LEFT(TRIM(C39),FIND(" ",TRIM(C39)&amp;" ")-1),",","."))+1,9))*12,NA()))),0),12)*'Aturan &amp; Tarif'!$B$4,2)</f>
        <v>681.36</v>
      </c>
      <c r="K39" s="32" t="n">
        <f aca="false">'Aturan &amp; Tarif'!$B$5</f>
        <v>2050</v>
      </c>
      <c r="L39" s="32" t="n">
        <f aca="false">'Aturan &amp; Tarif'!$B$6</f>
        <v>350</v>
      </c>
      <c r="M39" s="35" t="n">
        <f aca="false">I39+J39+K39+L39</f>
        <v>11431.36</v>
      </c>
      <c r="N39" s="37" t="s">
        <v>641</v>
      </c>
    </row>
    <row r="40" customFormat="false" ht="25.5" hidden="false" customHeight="true" outlineLevel="0" collapsed="false">
      <c r="A40" s="29"/>
      <c r="B40" s="30" t="s">
        <v>647</v>
      </c>
      <c r="C40" s="31" t="s">
        <v>648</v>
      </c>
      <c r="D40" s="31" t="s">
        <v>108</v>
      </c>
      <c r="E40" s="32" t="n">
        <v>2700</v>
      </c>
      <c r="F40" s="32"/>
      <c r="G40" s="32" t="n">
        <v>250</v>
      </c>
      <c r="H40" s="33" t="n">
        <v>2</v>
      </c>
      <c r="I40" s="34" t="n">
        <f aca="false">E40*H40+N(F40)+N(G40)</f>
        <v>5650</v>
      </c>
      <c r="J40" s="32" t="n">
        <f aca="false">ROUND(IFERROR(ROUND(IF(OR(ISNUMBER(SEARCH("week",C40)),ISNUMBER(SEARCH("minggu",C40))),IFERROR(_xlfn.NUMBERVALUE(SUBSTITUTE(LEFT(TRIM(C40),FIND(" ",TRIM(C40)&amp;" ")-1),",","."),"."),LEFT(SUBSTITUTE(LEFT(TRIM(C40),FIND(" ",TRIM(C40)&amp;" ")-1),",","."),FIND("/",SUBSTITUTE(LEFT(TRIM(C40),FIND(" ",TRIM(C40)&amp;" ")-1),",","."))-1)/MID(SUBSTITUTE(LEFT(TRIM(C40),FIND(" ",TRIM(C40)&amp;" ")-1),",","."),FIND("/",SUBSTITUTE(LEFT(TRIM(C40),FIND(" ",TRIM(C40)&amp;" ")-1),",","."))+1,9))*12/52,IF(ISNUMBER(SEARCH("month",C40)),IFERROR(_xlfn.NUMBERVALUE(SUBSTITUTE(LEFT(TRIM(C40),FIND(" ",TRIM(C40)&amp;" ")-1),",","."),"."),LEFT(SUBSTITUTE(LEFT(TRIM(C40),FIND(" ",TRIM(C40)&amp;" ")-1),",","."),FIND("/",SUBSTITUTE(LEFT(TRIM(C40),FIND(" ",TRIM(C40)&amp;" ")-1),",","."))-1)/MID(SUBSTITUTE(LEFT(TRIM(C40),FIND(" ",TRIM(C40)&amp;" ")-1),",","."),FIND("/",SUBSTITUTE(LEFT(TRIM(C40),FIND(" ",TRIM(C40)&amp;" ")-1),",","."))+1,9)),IF(ISNUMBER(SEARCH("yea",C40)),IFERROR(_xlfn.NUMBERVALUE(SUBSTITUTE(LEFT(TRIM(C40),FIND(" ",TRIM(C40)&amp;" ")-1),",","."),"."),LEFT(SUBSTITUTE(LEFT(TRIM(C40),FIND(" ",TRIM(C40)&amp;" ")-1),",","."),FIND("/",SUBSTITUTE(LEFT(TRIM(C40),FIND(" ",TRIM(C40)&amp;" ")-1),",","."))-1)/MID(SUBSTITUTE(LEFT(TRIM(C40),FIND(" ",TRIM(C40)&amp;" ")-1),",","."),FIND("/",SUBSTITUTE(LEFT(TRIM(C40),FIND(" ",TRIM(C40)&amp;" ")-1),",","."))+1,9))*12,NA()))),0),8)*'Aturan &amp; Tarif'!$B$4,2)</f>
        <v>454.24</v>
      </c>
      <c r="K40" s="32" t="n">
        <f aca="false">'Aturan &amp; Tarif'!$B$5</f>
        <v>2050</v>
      </c>
      <c r="L40" s="32" t="n">
        <f aca="false">'Aturan &amp; Tarif'!$B$6</f>
        <v>350</v>
      </c>
      <c r="M40" s="35" t="n">
        <f aca="false">I40+J40+K40+L40</f>
        <v>8504.24</v>
      </c>
      <c r="N40" s="37" t="s">
        <v>641</v>
      </c>
    </row>
    <row r="41" customFormat="false" ht="25.5" hidden="false" customHeight="true" outlineLevel="0" collapsed="false">
      <c r="A41" s="29"/>
      <c r="B41" s="30" t="s">
        <v>649</v>
      </c>
      <c r="C41" s="31" t="s">
        <v>130</v>
      </c>
      <c r="D41" s="31" t="s">
        <v>108</v>
      </c>
      <c r="E41" s="32" t="n">
        <v>4050</v>
      </c>
      <c r="F41" s="32"/>
      <c r="G41" s="32" t="n">
        <v>250</v>
      </c>
      <c r="H41" s="33" t="n">
        <v>2</v>
      </c>
      <c r="I41" s="34" t="n">
        <f aca="false">E41*H41+N(F41)+N(G41)</f>
        <v>8350</v>
      </c>
      <c r="J41" s="32" t="n">
        <f aca="false">ROUND(IFERROR(ROUND(IF(OR(ISNUMBER(SEARCH("week",C41)),ISNUMBER(SEARCH("minggu",C41))),IFERROR(_xlfn.NUMBERVALUE(SUBSTITUTE(LEFT(TRIM(C41),FIND(" ",TRIM(C41)&amp;" ")-1),",","."),"."),LEFT(SUBSTITUTE(LEFT(TRIM(C41),FIND(" ",TRIM(C41)&amp;" ")-1),",","."),FIND("/",SUBSTITUTE(LEFT(TRIM(C41),FIND(" ",TRIM(C41)&amp;" ")-1),",","."))-1)/MID(SUBSTITUTE(LEFT(TRIM(C41),FIND(" ",TRIM(C41)&amp;" ")-1),",","."),FIND("/",SUBSTITUTE(LEFT(TRIM(C41),FIND(" ",TRIM(C41)&amp;" ")-1),",","."))+1,9))*12/52,IF(ISNUMBER(SEARCH("month",C41)),IFERROR(_xlfn.NUMBERVALUE(SUBSTITUTE(LEFT(TRIM(C41),FIND(" ",TRIM(C41)&amp;" ")-1),",","."),"."),LEFT(SUBSTITUTE(LEFT(TRIM(C41),FIND(" ",TRIM(C41)&amp;" ")-1),",","."),FIND("/",SUBSTITUTE(LEFT(TRIM(C41),FIND(" ",TRIM(C41)&amp;" ")-1),",","."))-1)/MID(SUBSTITUTE(LEFT(TRIM(C41),FIND(" ",TRIM(C41)&amp;" ")-1),",","."),FIND("/",SUBSTITUTE(LEFT(TRIM(C41),FIND(" ",TRIM(C41)&amp;" ")-1),",","."))+1,9)),IF(ISNUMBER(SEARCH("yea",C41)),IFERROR(_xlfn.NUMBERVALUE(SUBSTITUTE(LEFT(TRIM(C41),FIND(" ",TRIM(C41)&amp;" ")-1),",","."),"."),LEFT(SUBSTITUTE(LEFT(TRIM(C41),FIND(" ",TRIM(C41)&amp;" ")-1),",","."),FIND("/",SUBSTITUTE(LEFT(TRIM(C41),FIND(" ",TRIM(C41)&amp;" ")-1),",","."))-1)/MID(SUBSTITUTE(LEFT(TRIM(C41),FIND(" ",TRIM(C41)&amp;" ")-1),",","."),FIND("/",SUBSTITUTE(LEFT(TRIM(C41),FIND(" ",TRIM(C41)&amp;" ")-1),",","."))+1,9))*12,NA()))),0),12)*'Aturan &amp; Tarif'!$B$4,2)</f>
        <v>681.36</v>
      </c>
      <c r="K41" s="32" t="n">
        <f aca="false">'Aturan &amp; Tarif'!$B$5</f>
        <v>2050</v>
      </c>
      <c r="L41" s="32" t="n">
        <f aca="false">'Aturan &amp; Tarif'!$B$6</f>
        <v>350</v>
      </c>
      <c r="M41" s="35" t="n">
        <f aca="false">I41+J41+K41+L41</f>
        <v>11431.36</v>
      </c>
      <c r="N41" s="37" t="s">
        <v>641</v>
      </c>
    </row>
    <row r="42" customFormat="false" ht="37.5" hidden="false" customHeight="true" outlineLevel="0" collapsed="false">
      <c r="A42" s="29"/>
      <c r="B42" s="30" t="s">
        <v>650</v>
      </c>
      <c r="C42" s="31" t="s">
        <v>648</v>
      </c>
      <c r="D42" s="31" t="s">
        <v>108</v>
      </c>
      <c r="E42" s="32" t="n">
        <v>2700</v>
      </c>
      <c r="F42" s="32"/>
      <c r="G42" s="32" t="n">
        <v>250</v>
      </c>
      <c r="H42" s="33" t="n">
        <v>2</v>
      </c>
      <c r="I42" s="34" t="n">
        <f aca="false">E42*H42+N(F42)+N(G42)</f>
        <v>5650</v>
      </c>
      <c r="J42" s="32" t="n">
        <f aca="false">ROUND(IFERROR(ROUND(IF(OR(ISNUMBER(SEARCH("week",C42)),ISNUMBER(SEARCH("minggu",C42))),IFERROR(_xlfn.NUMBERVALUE(SUBSTITUTE(LEFT(TRIM(C42),FIND(" ",TRIM(C42)&amp;" ")-1),",","."),"."),LEFT(SUBSTITUTE(LEFT(TRIM(C42),FIND(" ",TRIM(C42)&amp;" ")-1),",","."),FIND("/",SUBSTITUTE(LEFT(TRIM(C42),FIND(" ",TRIM(C42)&amp;" ")-1),",","."))-1)/MID(SUBSTITUTE(LEFT(TRIM(C42),FIND(" ",TRIM(C42)&amp;" ")-1),",","."),FIND("/",SUBSTITUTE(LEFT(TRIM(C42),FIND(" ",TRIM(C42)&amp;" ")-1),",","."))+1,9))*12/52,IF(ISNUMBER(SEARCH("month",C42)),IFERROR(_xlfn.NUMBERVALUE(SUBSTITUTE(LEFT(TRIM(C42),FIND(" ",TRIM(C42)&amp;" ")-1),",","."),"."),LEFT(SUBSTITUTE(LEFT(TRIM(C42),FIND(" ",TRIM(C42)&amp;" ")-1),",","."),FIND("/",SUBSTITUTE(LEFT(TRIM(C42),FIND(" ",TRIM(C42)&amp;" ")-1),",","."))-1)/MID(SUBSTITUTE(LEFT(TRIM(C42),FIND(" ",TRIM(C42)&amp;" ")-1),",","."),FIND("/",SUBSTITUTE(LEFT(TRIM(C42),FIND(" ",TRIM(C42)&amp;" ")-1),",","."))+1,9)),IF(ISNUMBER(SEARCH("yea",C42)),IFERROR(_xlfn.NUMBERVALUE(SUBSTITUTE(LEFT(TRIM(C42),FIND(" ",TRIM(C42)&amp;" ")-1),",","."),"."),LEFT(SUBSTITUTE(LEFT(TRIM(C42),FIND(" ",TRIM(C42)&amp;" ")-1),",","."),FIND("/",SUBSTITUTE(LEFT(TRIM(C42),FIND(" ",TRIM(C42)&amp;" ")-1),",","."))-1)/MID(SUBSTITUTE(LEFT(TRIM(C42),FIND(" ",TRIM(C42)&amp;" ")-1),",","."),FIND("/",SUBSTITUTE(LEFT(TRIM(C42),FIND(" ",TRIM(C42)&amp;" ")-1),",","."))+1,9))*12,NA()))),0),8)*'Aturan &amp; Tarif'!$B$4,2)</f>
        <v>454.24</v>
      </c>
      <c r="K42" s="32" t="n">
        <f aca="false">'Aturan &amp; Tarif'!$B$5</f>
        <v>2050</v>
      </c>
      <c r="L42" s="32" t="n">
        <f aca="false">'Aturan &amp; Tarif'!$B$6</f>
        <v>350</v>
      </c>
      <c r="M42" s="35" t="n">
        <f aca="false">I42+J42+K42+L42</f>
        <v>8504.24</v>
      </c>
      <c r="N42" s="37" t="s">
        <v>641</v>
      </c>
    </row>
    <row r="43" customFormat="false" ht="37.5" hidden="false" customHeight="true" outlineLevel="0" collapsed="false">
      <c r="A43" s="29" t="s">
        <v>2779</v>
      </c>
      <c r="B43" s="30" t="s">
        <v>867</v>
      </c>
      <c r="C43" s="31" t="s">
        <v>127</v>
      </c>
      <c r="D43" s="31" t="s">
        <v>1863</v>
      </c>
      <c r="E43" s="32" t="n">
        <v>1470</v>
      </c>
      <c r="F43" s="32" t="n">
        <v>50</v>
      </c>
      <c r="G43" s="32" t="n">
        <v>250</v>
      </c>
      <c r="H43" s="33" t="n">
        <v>4</v>
      </c>
      <c r="I43" s="34" t="n">
        <f aca="false">E43*H43+N(F43)*H43+N(G43)</f>
        <v>6330</v>
      </c>
      <c r="J43" s="32" t="n">
        <f aca="false">ROUND(IFERROR(ROUND(IF(OR(ISNUMBER(SEARCH("week",C43)),ISNUMBER(SEARCH("minggu",C43))),IFERROR(_xlfn.NUMBERVALUE(SUBSTITUTE(LEFT(TRIM(C43),FIND(" ",TRIM(C43)&amp;" ")-1),",","."),"."),LEFT(SUBSTITUTE(LEFT(TRIM(C43),FIND(" ",TRIM(C43)&amp;" ")-1),",","."),FIND("/",SUBSTITUTE(LEFT(TRIM(C43),FIND(" ",TRIM(C43)&amp;" ")-1),",","."))-1)/MID(SUBSTITUTE(LEFT(TRIM(C43),FIND(" ",TRIM(C43)&amp;" ")-1),",","."),FIND("/",SUBSTITUTE(LEFT(TRIM(C43),FIND(" ",TRIM(C43)&amp;" ")-1),",","."))+1,9))*12/52,IF(ISNUMBER(SEARCH("month",C43)),IFERROR(_xlfn.NUMBERVALUE(SUBSTITUTE(LEFT(TRIM(C43),FIND(" ",TRIM(C43)&amp;" ")-1),",","."),"."),LEFT(SUBSTITUTE(LEFT(TRIM(C43),FIND(" ",TRIM(C43)&amp;" ")-1),",","."),FIND("/",SUBSTITUTE(LEFT(TRIM(C43),FIND(" ",TRIM(C43)&amp;" ")-1),",","."))-1)/MID(SUBSTITUTE(LEFT(TRIM(C43),FIND(" ",TRIM(C43)&amp;" ")-1),",","."),FIND("/",SUBSTITUTE(LEFT(TRIM(C43),FIND(" ",TRIM(C43)&amp;" ")-1),",","."))+1,9)),IF(ISNUMBER(SEARCH("yea",C43)),IFERROR(_xlfn.NUMBERVALUE(SUBSTITUTE(LEFT(TRIM(C43),FIND(" ",TRIM(C43)&amp;" ")-1),",","."),"."),LEFT(SUBSTITUTE(LEFT(TRIM(C43),FIND(" ",TRIM(C43)&amp;" ")-1),",","."),FIND("/",SUBSTITUTE(LEFT(TRIM(C43),FIND(" ",TRIM(C43)&amp;" ")-1),",","."))-1)/MID(SUBSTITUTE(LEFT(TRIM(C43),FIND(" ",TRIM(C43)&amp;" ")-1),",","."),FIND("/",SUBSTITUTE(LEFT(TRIM(C43),FIND(" ",TRIM(C43)&amp;" ")-1),",","."))+1,9))*12,NA()))),0),36)*'Aturan &amp; Tarif'!$B$4,2)</f>
        <v>2044.08</v>
      </c>
      <c r="K43" s="32" t="n">
        <f aca="false">'Aturan &amp; Tarif'!$B$5</f>
        <v>2050</v>
      </c>
      <c r="L43" s="32" t="n">
        <f aca="false">'Aturan &amp; Tarif'!$B$6</f>
        <v>350</v>
      </c>
      <c r="M43" s="35" t="n">
        <f aca="false">I43+J43+K43+L43</f>
        <v>10774.08</v>
      </c>
      <c r="N43" s="36" t="s">
        <v>1864</v>
      </c>
    </row>
    <row r="44" customFormat="false" ht="37.5" hidden="false" customHeight="true" outlineLevel="0" collapsed="false">
      <c r="A44" s="29"/>
      <c r="B44" s="30" t="s">
        <v>1865</v>
      </c>
      <c r="C44" s="31" t="s">
        <v>127</v>
      </c>
      <c r="D44" s="31" t="s">
        <v>1863</v>
      </c>
      <c r="E44" s="32" t="n">
        <v>1560</v>
      </c>
      <c r="F44" s="32" t="n">
        <v>50</v>
      </c>
      <c r="G44" s="32" t="n">
        <v>250</v>
      </c>
      <c r="H44" s="33" t="n">
        <v>4</v>
      </c>
      <c r="I44" s="34" t="n">
        <f aca="false">E44*H44+N(F44)*H44+N(G44)</f>
        <v>6690</v>
      </c>
      <c r="J44" s="32" t="n">
        <f aca="false">ROUND(IFERROR(ROUND(IF(OR(ISNUMBER(SEARCH("week",C44)),ISNUMBER(SEARCH("minggu",C44))),IFERROR(_xlfn.NUMBERVALUE(SUBSTITUTE(LEFT(TRIM(C44),FIND(" ",TRIM(C44)&amp;" ")-1),",","."),"."),LEFT(SUBSTITUTE(LEFT(TRIM(C44),FIND(" ",TRIM(C44)&amp;" ")-1),",","."),FIND("/",SUBSTITUTE(LEFT(TRIM(C44),FIND(" ",TRIM(C44)&amp;" ")-1),",","."))-1)/MID(SUBSTITUTE(LEFT(TRIM(C44),FIND(" ",TRIM(C44)&amp;" ")-1),",","."),FIND("/",SUBSTITUTE(LEFT(TRIM(C44),FIND(" ",TRIM(C44)&amp;" ")-1),",","."))+1,9))*12/52,IF(ISNUMBER(SEARCH("month",C44)),IFERROR(_xlfn.NUMBERVALUE(SUBSTITUTE(LEFT(TRIM(C44),FIND(" ",TRIM(C44)&amp;" ")-1),",","."),"."),LEFT(SUBSTITUTE(LEFT(TRIM(C44),FIND(" ",TRIM(C44)&amp;" ")-1),",","."),FIND("/",SUBSTITUTE(LEFT(TRIM(C44),FIND(" ",TRIM(C44)&amp;" ")-1),",","."))-1)/MID(SUBSTITUTE(LEFT(TRIM(C44),FIND(" ",TRIM(C44)&amp;" ")-1),",","."),FIND("/",SUBSTITUTE(LEFT(TRIM(C44),FIND(" ",TRIM(C44)&amp;" ")-1),",","."))+1,9)),IF(ISNUMBER(SEARCH("yea",C44)),IFERROR(_xlfn.NUMBERVALUE(SUBSTITUTE(LEFT(TRIM(C44),FIND(" ",TRIM(C44)&amp;" ")-1),",","."),"."),LEFT(SUBSTITUTE(LEFT(TRIM(C44),FIND(" ",TRIM(C44)&amp;" ")-1),",","."),FIND("/",SUBSTITUTE(LEFT(TRIM(C44),FIND(" ",TRIM(C44)&amp;" ")-1),",","."))-1)/MID(SUBSTITUTE(LEFT(TRIM(C44),FIND(" ",TRIM(C44)&amp;" ")-1),",","."),FIND("/",SUBSTITUTE(LEFT(TRIM(C44),FIND(" ",TRIM(C44)&amp;" ")-1),",","."))+1,9))*12,NA()))),0),36)*'Aturan &amp; Tarif'!$B$4,2)</f>
        <v>2044.08</v>
      </c>
      <c r="K44" s="32" t="n">
        <f aca="false">'Aturan &amp; Tarif'!$B$5</f>
        <v>2050</v>
      </c>
      <c r="L44" s="32" t="n">
        <f aca="false">'Aturan &amp; Tarif'!$B$6</f>
        <v>350</v>
      </c>
      <c r="M44" s="35" t="n">
        <f aca="false">I44+J44+K44+L44</f>
        <v>11134.08</v>
      </c>
      <c r="N44" s="36" t="s">
        <v>1866</v>
      </c>
    </row>
    <row r="45" customFormat="false" ht="37.5" hidden="false" customHeight="true" outlineLevel="0" collapsed="false">
      <c r="A45" s="29"/>
      <c r="B45" s="30" t="s">
        <v>1867</v>
      </c>
      <c r="C45" s="31" t="s">
        <v>127</v>
      </c>
      <c r="D45" s="31" t="s">
        <v>1863</v>
      </c>
      <c r="E45" s="32" t="n">
        <v>1560</v>
      </c>
      <c r="F45" s="32" t="n">
        <v>50</v>
      </c>
      <c r="G45" s="32" t="n">
        <v>250</v>
      </c>
      <c r="H45" s="33" t="n">
        <v>4</v>
      </c>
      <c r="I45" s="34" t="n">
        <f aca="false">E45*H45+N(F45)*H45+N(G45)</f>
        <v>6690</v>
      </c>
      <c r="J45" s="32" t="n">
        <f aca="false">ROUND(IFERROR(ROUND(IF(OR(ISNUMBER(SEARCH("week",C45)),ISNUMBER(SEARCH("minggu",C45))),IFERROR(_xlfn.NUMBERVALUE(SUBSTITUTE(LEFT(TRIM(C45),FIND(" ",TRIM(C45)&amp;" ")-1),",","."),"."),LEFT(SUBSTITUTE(LEFT(TRIM(C45),FIND(" ",TRIM(C45)&amp;" ")-1),",","."),FIND("/",SUBSTITUTE(LEFT(TRIM(C45),FIND(" ",TRIM(C45)&amp;" ")-1),",","."))-1)/MID(SUBSTITUTE(LEFT(TRIM(C45),FIND(" ",TRIM(C45)&amp;" ")-1),",","."),FIND("/",SUBSTITUTE(LEFT(TRIM(C45),FIND(" ",TRIM(C45)&amp;" ")-1),",","."))+1,9))*12/52,IF(ISNUMBER(SEARCH("month",C45)),IFERROR(_xlfn.NUMBERVALUE(SUBSTITUTE(LEFT(TRIM(C45),FIND(" ",TRIM(C45)&amp;" ")-1),",","."),"."),LEFT(SUBSTITUTE(LEFT(TRIM(C45),FIND(" ",TRIM(C45)&amp;" ")-1),",","."),FIND("/",SUBSTITUTE(LEFT(TRIM(C45),FIND(" ",TRIM(C45)&amp;" ")-1),",","."))-1)/MID(SUBSTITUTE(LEFT(TRIM(C45),FIND(" ",TRIM(C45)&amp;" ")-1),",","."),FIND("/",SUBSTITUTE(LEFT(TRIM(C45),FIND(" ",TRIM(C45)&amp;" ")-1),",","."))+1,9)),IF(ISNUMBER(SEARCH("yea",C45)),IFERROR(_xlfn.NUMBERVALUE(SUBSTITUTE(LEFT(TRIM(C45),FIND(" ",TRIM(C45)&amp;" ")-1),",","."),"."),LEFT(SUBSTITUTE(LEFT(TRIM(C45),FIND(" ",TRIM(C45)&amp;" ")-1),",","."),FIND("/",SUBSTITUTE(LEFT(TRIM(C45),FIND(" ",TRIM(C45)&amp;" ")-1),",","."))-1)/MID(SUBSTITUTE(LEFT(TRIM(C45),FIND(" ",TRIM(C45)&amp;" ")-1),",","."),FIND("/",SUBSTITUTE(LEFT(TRIM(C45),FIND(" ",TRIM(C45)&amp;" ")-1),",","."))+1,9))*12,NA()))),0),36)*'Aturan &amp; Tarif'!$B$4,2)</f>
        <v>2044.08</v>
      </c>
      <c r="K45" s="32" t="n">
        <f aca="false">'Aturan &amp; Tarif'!$B$5</f>
        <v>2050</v>
      </c>
      <c r="L45" s="32" t="n">
        <f aca="false">'Aturan &amp; Tarif'!$B$6</f>
        <v>350</v>
      </c>
      <c r="M45" s="35" t="n">
        <f aca="false">I45+J45+K45+L45</f>
        <v>11134.08</v>
      </c>
      <c r="N45" s="36" t="s">
        <v>1868</v>
      </c>
    </row>
    <row r="46" customFormat="false" ht="37.5" hidden="false" customHeight="true" outlineLevel="0" collapsed="false">
      <c r="A46" s="29"/>
      <c r="B46" s="30" t="s">
        <v>1869</v>
      </c>
      <c r="C46" s="31" t="s">
        <v>127</v>
      </c>
      <c r="D46" s="31" t="s">
        <v>1863</v>
      </c>
      <c r="E46" s="32" t="n">
        <v>1560</v>
      </c>
      <c r="F46" s="32" t="n">
        <v>50</v>
      </c>
      <c r="G46" s="32" t="n">
        <v>250</v>
      </c>
      <c r="H46" s="33" t="n">
        <v>4</v>
      </c>
      <c r="I46" s="34" t="n">
        <f aca="false">E46*H46+N(F46)*H46+N(G46)</f>
        <v>6690</v>
      </c>
      <c r="J46" s="32" t="n">
        <f aca="false">ROUND(IFERROR(ROUND(IF(OR(ISNUMBER(SEARCH("week",C46)),ISNUMBER(SEARCH("minggu",C46))),IFERROR(_xlfn.NUMBERVALUE(SUBSTITUTE(LEFT(TRIM(C46),FIND(" ",TRIM(C46)&amp;" ")-1),",","."),"."),LEFT(SUBSTITUTE(LEFT(TRIM(C46),FIND(" ",TRIM(C46)&amp;" ")-1),",","."),FIND("/",SUBSTITUTE(LEFT(TRIM(C46),FIND(" ",TRIM(C46)&amp;" ")-1),",","."))-1)/MID(SUBSTITUTE(LEFT(TRIM(C46),FIND(" ",TRIM(C46)&amp;" ")-1),",","."),FIND("/",SUBSTITUTE(LEFT(TRIM(C46),FIND(" ",TRIM(C46)&amp;" ")-1),",","."))+1,9))*12/52,IF(ISNUMBER(SEARCH("month",C46)),IFERROR(_xlfn.NUMBERVALUE(SUBSTITUTE(LEFT(TRIM(C46),FIND(" ",TRIM(C46)&amp;" ")-1),",","."),"."),LEFT(SUBSTITUTE(LEFT(TRIM(C46),FIND(" ",TRIM(C46)&amp;" ")-1),",","."),FIND("/",SUBSTITUTE(LEFT(TRIM(C46),FIND(" ",TRIM(C46)&amp;" ")-1),",","."))-1)/MID(SUBSTITUTE(LEFT(TRIM(C46),FIND(" ",TRIM(C46)&amp;" ")-1),",","."),FIND("/",SUBSTITUTE(LEFT(TRIM(C46),FIND(" ",TRIM(C46)&amp;" ")-1),",","."))+1,9)),IF(ISNUMBER(SEARCH("yea",C46)),IFERROR(_xlfn.NUMBERVALUE(SUBSTITUTE(LEFT(TRIM(C46),FIND(" ",TRIM(C46)&amp;" ")-1),",","."),"."),LEFT(SUBSTITUTE(LEFT(TRIM(C46),FIND(" ",TRIM(C46)&amp;" ")-1),",","."),FIND("/",SUBSTITUTE(LEFT(TRIM(C46),FIND(" ",TRIM(C46)&amp;" ")-1),",","."))-1)/MID(SUBSTITUTE(LEFT(TRIM(C46),FIND(" ",TRIM(C46)&amp;" ")-1),",","."),FIND("/",SUBSTITUTE(LEFT(TRIM(C46),FIND(" ",TRIM(C46)&amp;" ")-1),",","."))+1,9))*12,NA()))),0),36)*'Aturan &amp; Tarif'!$B$4,2)</f>
        <v>2044.08</v>
      </c>
      <c r="K46" s="32" t="n">
        <f aca="false">'Aturan &amp; Tarif'!$B$5</f>
        <v>2050</v>
      </c>
      <c r="L46" s="32" t="n">
        <f aca="false">'Aturan &amp; Tarif'!$B$6</f>
        <v>350</v>
      </c>
      <c r="M46" s="35" t="n">
        <f aca="false">I46+J46+K46+L46</f>
        <v>11134.08</v>
      </c>
      <c r="N46" s="36" t="s">
        <v>1870</v>
      </c>
    </row>
    <row r="47" customFormat="false" ht="37.5" hidden="false" customHeight="true" outlineLevel="0" collapsed="false">
      <c r="A47" s="29"/>
      <c r="B47" s="30" t="s">
        <v>1871</v>
      </c>
      <c r="C47" s="31" t="s">
        <v>127</v>
      </c>
      <c r="D47" s="31" t="s">
        <v>1863</v>
      </c>
      <c r="E47" s="32" t="n">
        <v>1560</v>
      </c>
      <c r="F47" s="32" t="n">
        <v>50</v>
      </c>
      <c r="G47" s="32" t="n">
        <v>250</v>
      </c>
      <c r="H47" s="33" t="n">
        <v>4</v>
      </c>
      <c r="I47" s="34" t="n">
        <f aca="false">E47*H47+N(F47)*H47+N(G47)</f>
        <v>6690</v>
      </c>
      <c r="J47" s="32" t="n">
        <f aca="false">ROUND(IFERROR(ROUND(IF(OR(ISNUMBER(SEARCH("week",C47)),ISNUMBER(SEARCH("minggu",C47))),IFERROR(_xlfn.NUMBERVALUE(SUBSTITUTE(LEFT(TRIM(C47),FIND(" ",TRIM(C47)&amp;" ")-1),",","."),"."),LEFT(SUBSTITUTE(LEFT(TRIM(C47),FIND(" ",TRIM(C47)&amp;" ")-1),",","."),FIND("/",SUBSTITUTE(LEFT(TRIM(C47),FIND(" ",TRIM(C47)&amp;" ")-1),",","."))-1)/MID(SUBSTITUTE(LEFT(TRIM(C47),FIND(" ",TRIM(C47)&amp;" ")-1),",","."),FIND("/",SUBSTITUTE(LEFT(TRIM(C47),FIND(" ",TRIM(C47)&amp;" ")-1),",","."))+1,9))*12/52,IF(ISNUMBER(SEARCH("month",C47)),IFERROR(_xlfn.NUMBERVALUE(SUBSTITUTE(LEFT(TRIM(C47),FIND(" ",TRIM(C47)&amp;" ")-1),",","."),"."),LEFT(SUBSTITUTE(LEFT(TRIM(C47),FIND(" ",TRIM(C47)&amp;" ")-1),",","."),FIND("/",SUBSTITUTE(LEFT(TRIM(C47),FIND(" ",TRIM(C47)&amp;" ")-1),",","."))-1)/MID(SUBSTITUTE(LEFT(TRIM(C47),FIND(" ",TRIM(C47)&amp;" ")-1),",","."),FIND("/",SUBSTITUTE(LEFT(TRIM(C47),FIND(" ",TRIM(C47)&amp;" ")-1),",","."))+1,9)),IF(ISNUMBER(SEARCH("yea",C47)),IFERROR(_xlfn.NUMBERVALUE(SUBSTITUTE(LEFT(TRIM(C47),FIND(" ",TRIM(C47)&amp;" ")-1),",","."),"."),LEFT(SUBSTITUTE(LEFT(TRIM(C47),FIND(" ",TRIM(C47)&amp;" ")-1),",","."),FIND("/",SUBSTITUTE(LEFT(TRIM(C47),FIND(" ",TRIM(C47)&amp;" ")-1),",","."))-1)/MID(SUBSTITUTE(LEFT(TRIM(C47),FIND(" ",TRIM(C47)&amp;" ")-1),",","."),FIND("/",SUBSTITUTE(LEFT(TRIM(C47),FIND(" ",TRIM(C47)&amp;" ")-1),",","."))+1,9))*12,NA()))),0),36)*'Aturan &amp; Tarif'!$B$4,2)</f>
        <v>2044.08</v>
      </c>
      <c r="K47" s="32" t="n">
        <f aca="false">'Aturan &amp; Tarif'!$B$5</f>
        <v>2050</v>
      </c>
      <c r="L47" s="32" t="n">
        <f aca="false">'Aturan &amp; Tarif'!$B$6</f>
        <v>350</v>
      </c>
      <c r="M47" s="35" t="n">
        <f aca="false">I47+J47+K47+L47</f>
        <v>11134.08</v>
      </c>
      <c r="N47" s="36" t="s">
        <v>1872</v>
      </c>
    </row>
    <row r="48" customFormat="false" ht="37.5" hidden="false" customHeight="true" outlineLevel="0" collapsed="false">
      <c r="A48" s="29"/>
      <c r="B48" s="30" t="s">
        <v>1873</v>
      </c>
      <c r="C48" s="31" t="s">
        <v>107</v>
      </c>
      <c r="D48" s="31" t="s">
        <v>1863</v>
      </c>
      <c r="E48" s="32" t="n">
        <v>2280</v>
      </c>
      <c r="F48" s="32" t="n">
        <v>50</v>
      </c>
      <c r="G48" s="32" t="n">
        <v>250</v>
      </c>
      <c r="H48" s="33" t="n">
        <v>4</v>
      </c>
      <c r="I48" s="34" t="n">
        <f aca="false">E48*H48+N(F48)*H48+N(G48)</f>
        <v>9570</v>
      </c>
      <c r="J48" s="32" t="n">
        <f aca="false">ROUND(IFERROR(ROUND(IF(OR(ISNUMBER(SEARCH("week",C48)),ISNUMBER(SEARCH("minggu",C48))),IFERROR(_xlfn.NUMBERVALUE(SUBSTITUTE(LEFT(TRIM(C48),FIND(" ",TRIM(C48)&amp;" ")-1),",","."),"."),LEFT(SUBSTITUTE(LEFT(TRIM(C48),FIND(" ",TRIM(C48)&amp;" ")-1),",","."),FIND("/",SUBSTITUTE(LEFT(TRIM(C48),FIND(" ",TRIM(C48)&amp;" ")-1),",","."))-1)/MID(SUBSTITUTE(LEFT(TRIM(C48),FIND(" ",TRIM(C48)&amp;" ")-1),",","."),FIND("/",SUBSTITUTE(LEFT(TRIM(C48),FIND(" ",TRIM(C48)&amp;" ")-1),",","."))+1,9))*12/52,IF(ISNUMBER(SEARCH("month",C48)),IFERROR(_xlfn.NUMBERVALUE(SUBSTITUTE(LEFT(TRIM(C48),FIND(" ",TRIM(C48)&amp;" ")-1),",","."),"."),LEFT(SUBSTITUTE(LEFT(TRIM(C48),FIND(" ",TRIM(C48)&amp;" ")-1),",","."),FIND("/",SUBSTITUTE(LEFT(TRIM(C48),FIND(" ",TRIM(C48)&amp;" ")-1),",","."))-1)/MID(SUBSTITUTE(LEFT(TRIM(C48),FIND(" ",TRIM(C48)&amp;" ")-1),",","."),FIND("/",SUBSTITUTE(LEFT(TRIM(C48),FIND(" ",TRIM(C48)&amp;" ")-1),",","."))+1,9)),IF(ISNUMBER(SEARCH("yea",C48)),IFERROR(_xlfn.NUMBERVALUE(SUBSTITUTE(LEFT(TRIM(C48),FIND(" ",TRIM(C48)&amp;" ")-1),",","."),"."),LEFT(SUBSTITUTE(LEFT(TRIM(C48),FIND(" ",TRIM(C48)&amp;" ")-1),",","."),FIND("/",SUBSTITUTE(LEFT(TRIM(C48),FIND(" ",TRIM(C48)&amp;" ")-1),",","."))-1)/MID(SUBSTITUTE(LEFT(TRIM(C48),FIND(" ",TRIM(C48)&amp;" ")-1),",","."),FIND("/",SUBSTITUTE(LEFT(TRIM(C48),FIND(" ",TRIM(C48)&amp;" ")-1),",","."))+1,9))*12,NA()))),0),24)*'Aturan &amp; Tarif'!$B$4,2)</f>
        <v>1362.72</v>
      </c>
      <c r="K48" s="32" t="n">
        <f aca="false">'Aturan &amp; Tarif'!$B$5</f>
        <v>2050</v>
      </c>
      <c r="L48" s="32" t="n">
        <f aca="false">'Aturan &amp; Tarif'!$B$6</f>
        <v>350</v>
      </c>
      <c r="M48" s="35" t="n">
        <f aca="false">I48+J48+K48+L48</f>
        <v>13332.72</v>
      </c>
      <c r="N48" s="36" t="s">
        <v>1874</v>
      </c>
    </row>
    <row r="49" customFormat="false" ht="37.5" hidden="false" customHeight="true" outlineLevel="0" collapsed="false">
      <c r="A49" s="29"/>
      <c r="B49" s="30" t="s">
        <v>1875</v>
      </c>
      <c r="C49" s="31" t="s">
        <v>107</v>
      </c>
      <c r="D49" s="31" t="s">
        <v>1863</v>
      </c>
      <c r="E49" s="32" t="n">
        <v>2460</v>
      </c>
      <c r="F49" s="32" t="n">
        <v>50</v>
      </c>
      <c r="G49" s="32" t="n">
        <v>250</v>
      </c>
      <c r="H49" s="33" t="n">
        <v>4</v>
      </c>
      <c r="I49" s="34" t="n">
        <f aca="false">E49*H49+N(F49)*H49+N(G49)</f>
        <v>10290</v>
      </c>
      <c r="J49" s="32" t="n">
        <f aca="false">ROUND(IFERROR(ROUND(IF(OR(ISNUMBER(SEARCH("week",C49)),ISNUMBER(SEARCH("minggu",C49))),IFERROR(_xlfn.NUMBERVALUE(SUBSTITUTE(LEFT(TRIM(C49),FIND(" ",TRIM(C49)&amp;" ")-1),",","."),"."),LEFT(SUBSTITUTE(LEFT(TRIM(C49),FIND(" ",TRIM(C49)&amp;" ")-1),",","."),FIND("/",SUBSTITUTE(LEFT(TRIM(C49),FIND(" ",TRIM(C49)&amp;" ")-1),",","."))-1)/MID(SUBSTITUTE(LEFT(TRIM(C49),FIND(" ",TRIM(C49)&amp;" ")-1),",","."),FIND("/",SUBSTITUTE(LEFT(TRIM(C49),FIND(" ",TRIM(C49)&amp;" ")-1),",","."))+1,9))*12/52,IF(ISNUMBER(SEARCH("month",C49)),IFERROR(_xlfn.NUMBERVALUE(SUBSTITUTE(LEFT(TRIM(C49),FIND(" ",TRIM(C49)&amp;" ")-1),",","."),"."),LEFT(SUBSTITUTE(LEFT(TRIM(C49),FIND(" ",TRIM(C49)&amp;" ")-1),",","."),FIND("/",SUBSTITUTE(LEFT(TRIM(C49),FIND(" ",TRIM(C49)&amp;" ")-1),",","."))-1)/MID(SUBSTITUTE(LEFT(TRIM(C49),FIND(" ",TRIM(C49)&amp;" ")-1),",","."),FIND("/",SUBSTITUTE(LEFT(TRIM(C49),FIND(" ",TRIM(C49)&amp;" ")-1),",","."))+1,9)),IF(ISNUMBER(SEARCH("yea",C49)),IFERROR(_xlfn.NUMBERVALUE(SUBSTITUTE(LEFT(TRIM(C49),FIND(" ",TRIM(C49)&amp;" ")-1),",","."),"."),LEFT(SUBSTITUTE(LEFT(TRIM(C49),FIND(" ",TRIM(C49)&amp;" ")-1),",","."),FIND("/",SUBSTITUTE(LEFT(TRIM(C49),FIND(" ",TRIM(C49)&amp;" ")-1),",","."))-1)/MID(SUBSTITUTE(LEFT(TRIM(C49),FIND(" ",TRIM(C49)&amp;" ")-1),",","."),FIND("/",SUBSTITUTE(LEFT(TRIM(C49),FIND(" ",TRIM(C49)&amp;" ")-1),",","."))+1,9))*12,NA()))),0),24)*'Aturan &amp; Tarif'!$B$4,2)</f>
        <v>1362.72</v>
      </c>
      <c r="K49" s="32" t="n">
        <f aca="false">'Aturan &amp; Tarif'!$B$5</f>
        <v>2050</v>
      </c>
      <c r="L49" s="32" t="n">
        <f aca="false">'Aturan &amp; Tarif'!$B$6</f>
        <v>350</v>
      </c>
      <c r="M49" s="35" t="n">
        <f aca="false">I49+J49+K49+L49</f>
        <v>14052.72</v>
      </c>
      <c r="N49" s="36" t="s">
        <v>1876</v>
      </c>
    </row>
    <row r="50" customFormat="false" ht="37.5" hidden="false" customHeight="true" outlineLevel="0" collapsed="false">
      <c r="A50" s="29"/>
      <c r="B50" s="30" t="s">
        <v>1877</v>
      </c>
      <c r="C50" s="31" t="s">
        <v>107</v>
      </c>
      <c r="D50" s="31" t="s">
        <v>1863</v>
      </c>
      <c r="E50" s="32" t="n">
        <v>2460</v>
      </c>
      <c r="F50" s="32" t="n">
        <v>50</v>
      </c>
      <c r="G50" s="32" t="n">
        <v>250</v>
      </c>
      <c r="H50" s="33" t="n">
        <v>4</v>
      </c>
      <c r="I50" s="34" t="n">
        <f aca="false">E50*H50+N(F50)*H50+N(G50)</f>
        <v>10290</v>
      </c>
      <c r="J50" s="32" t="n">
        <f aca="false">ROUND(IFERROR(ROUND(IF(OR(ISNUMBER(SEARCH("week",C50)),ISNUMBER(SEARCH("minggu",C50))),IFERROR(_xlfn.NUMBERVALUE(SUBSTITUTE(LEFT(TRIM(C50),FIND(" ",TRIM(C50)&amp;" ")-1),",","."),"."),LEFT(SUBSTITUTE(LEFT(TRIM(C50),FIND(" ",TRIM(C50)&amp;" ")-1),",","."),FIND("/",SUBSTITUTE(LEFT(TRIM(C50),FIND(" ",TRIM(C50)&amp;" ")-1),",","."))-1)/MID(SUBSTITUTE(LEFT(TRIM(C50),FIND(" ",TRIM(C50)&amp;" ")-1),",","."),FIND("/",SUBSTITUTE(LEFT(TRIM(C50),FIND(" ",TRIM(C50)&amp;" ")-1),",","."))+1,9))*12/52,IF(ISNUMBER(SEARCH("month",C50)),IFERROR(_xlfn.NUMBERVALUE(SUBSTITUTE(LEFT(TRIM(C50),FIND(" ",TRIM(C50)&amp;" ")-1),",","."),"."),LEFT(SUBSTITUTE(LEFT(TRIM(C50),FIND(" ",TRIM(C50)&amp;" ")-1),",","."),FIND("/",SUBSTITUTE(LEFT(TRIM(C50),FIND(" ",TRIM(C50)&amp;" ")-1),",","."))-1)/MID(SUBSTITUTE(LEFT(TRIM(C50),FIND(" ",TRIM(C50)&amp;" ")-1),",","."),FIND("/",SUBSTITUTE(LEFT(TRIM(C50),FIND(" ",TRIM(C50)&amp;" ")-1),",","."))+1,9)),IF(ISNUMBER(SEARCH("yea",C50)),IFERROR(_xlfn.NUMBERVALUE(SUBSTITUTE(LEFT(TRIM(C50),FIND(" ",TRIM(C50)&amp;" ")-1),",","."),"."),LEFT(SUBSTITUTE(LEFT(TRIM(C50),FIND(" ",TRIM(C50)&amp;" ")-1),",","."),FIND("/",SUBSTITUTE(LEFT(TRIM(C50),FIND(" ",TRIM(C50)&amp;" ")-1),",","."))-1)/MID(SUBSTITUTE(LEFT(TRIM(C50),FIND(" ",TRIM(C50)&amp;" ")-1),",","."),FIND("/",SUBSTITUTE(LEFT(TRIM(C50),FIND(" ",TRIM(C50)&amp;" ")-1),",","."))+1,9))*12,NA()))),0),24)*'Aturan &amp; Tarif'!$B$4,2)</f>
        <v>1362.72</v>
      </c>
      <c r="K50" s="32" t="n">
        <f aca="false">'Aturan &amp; Tarif'!$B$5</f>
        <v>2050</v>
      </c>
      <c r="L50" s="32" t="n">
        <f aca="false">'Aturan &amp; Tarif'!$B$6</f>
        <v>350</v>
      </c>
      <c r="M50" s="35" t="n">
        <f aca="false">I50+J50+K50+L50</f>
        <v>14052.72</v>
      </c>
      <c r="N50" s="36" t="s">
        <v>1878</v>
      </c>
    </row>
    <row r="51" customFormat="false" ht="37.5" hidden="false" customHeight="true" outlineLevel="0" collapsed="false">
      <c r="A51" s="29"/>
      <c r="B51" s="30" t="s">
        <v>1879</v>
      </c>
      <c r="C51" s="31" t="s">
        <v>107</v>
      </c>
      <c r="D51" s="31" t="s">
        <v>1863</v>
      </c>
      <c r="E51" s="32" t="n">
        <v>2280</v>
      </c>
      <c r="F51" s="32" t="n">
        <v>50</v>
      </c>
      <c r="G51" s="32" t="n">
        <v>250</v>
      </c>
      <c r="H51" s="33" t="n">
        <v>4</v>
      </c>
      <c r="I51" s="34" t="n">
        <f aca="false">E51*H51+N(F51)*H51+N(G51)</f>
        <v>9570</v>
      </c>
      <c r="J51" s="32" t="n">
        <f aca="false">ROUND(IFERROR(ROUND(IF(OR(ISNUMBER(SEARCH("week",C51)),ISNUMBER(SEARCH("minggu",C51))),IFERROR(_xlfn.NUMBERVALUE(SUBSTITUTE(LEFT(TRIM(C51),FIND(" ",TRIM(C51)&amp;" ")-1),",","."),"."),LEFT(SUBSTITUTE(LEFT(TRIM(C51),FIND(" ",TRIM(C51)&amp;" ")-1),",","."),FIND("/",SUBSTITUTE(LEFT(TRIM(C51),FIND(" ",TRIM(C51)&amp;" ")-1),",","."))-1)/MID(SUBSTITUTE(LEFT(TRIM(C51),FIND(" ",TRIM(C51)&amp;" ")-1),",","."),FIND("/",SUBSTITUTE(LEFT(TRIM(C51),FIND(" ",TRIM(C51)&amp;" ")-1),",","."))+1,9))*12/52,IF(ISNUMBER(SEARCH("month",C51)),IFERROR(_xlfn.NUMBERVALUE(SUBSTITUTE(LEFT(TRIM(C51),FIND(" ",TRIM(C51)&amp;" ")-1),",","."),"."),LEFT(SUBSTITUTE(LEFT(TRIM(C51),FIND(" ",TRIM(C51)&amp;" ")-1),",","."),FIND("/",SUBSTITUTE(LEFT(TRIM(C51),FIND(" ",TRIM(C51)&amp;" ")-1),",","."))-1)/MID(SUBSTITUTE(LEFT(TRIM(C51),FIND(" ",TRIM(C51)&amp;" ")-1),",","."),FIND("/",SUBSTITUTE(LEFT(TRIM(C51),FIND(" ",TRIM(C51)&amp;" ")-1),",","."))+1,9)),IF(ISNUMBER(SEARCH("yea",C51)),IFERROR(_xlfn.NUMBERVALUE(SUBSTITUTE(LEFT(TRIM(C51),FIND(" ",TRIM(C51)&amp;" ")-1),",","."),"."),LEFT(SUBSTITUTE(LEFT(TRIM(C51),FIND(" ",TRIM(C51)&amp;" ")-1),",","."),FIND("/",SUBSTITUTE(LEFT(TRIM(C51),FIND(" ",TRIM(C51)&amp;" ")-1),",","."))-1)/MID(SUBSTITUTE(LEFT(TRIM(C51),FIND(" ",TRIM(C51)&amp;" ")-1),",","."),FIND("/",SUBSTITUTE(LEFT(TRIM(C51),FIND(" ",TRIM(C51)&amp;" ")-1),",","."))+1,9))*12,NA()))),0),24)*'Aturan &amp; Tarif'!$B$4,2)</f>
        <v>1362.72</v>
      </c>
      <c r="K51" s="32" t="n">
        <f aca="false">'Aturan &amp; Tarif'!$B$5</f>
        <v>2050</v>
      </c>
      <c r="L51" s="32" t="n">
        <f aca="false">'Aturan &amp; Tarif'!$B$6</f>
        <v>350</v>
      </c>
      <c r="M51" s="35" t="n">
        <f aca="false">I51+J51+K51+L51</f>
        <v>13332.72</v>
      </c>
      <c r="N51" s="36" t="s">
        <v>1880</v>
      </c>
    </row>
    <row r="52" customFormat="false" ht="37.5" hidden="false" customHeight="true" outlineLevel="0" collapsed="false">
      <c r="A52" s="29"/>
      <c r="B52" s="30" t="s">
        <v>1881</v>
      </c>
      <c r="C52" s="31" t="s">
        <v>107</v>
      </c>
      <c r="D52" s="31" t="s">
        <v>1863</v>
      </c>
      <c r="E52" s="32" t="n">
        <v>2380</v>
      </c>
      <c r="F52" s="32" t="n">
        <v>50</v>
      </c>
      <c r="G52" s="32" t="n">
        <v>250</v>
      </c>
      <c r="H52" s="33" t="n">
        <v>4</v>
      </c>
      <c r="I52" s="34" t="n">
        <f aca="false">E52*H52+N(F52)*H52+N(G52)</f>
        <v>9970</v>
      </c>
      <c r="J52" s="32" t="n">
        <f aca="false">ROUND(IFERROR(ROUND(IF(OR(ISNUMBER(SEARCH("week",C52)),ISNUMBER(SEARCH("minggu",C52))),IFERROR(_xlfn.NUMBERVALUE(SUBSTITUTE(LEFT(TRIM(C52),FIND(" ",TRIM(C52)&amp;" ")-1),",","."),"."),LEFT(SUBSTITUTE(LEFT(TRIM(C52),FIND(" ",TRIM(C52)&amp;" ")-1),",","."),FIND("/",SUBSTITUTE(LEFT(TRIM(C52),FIND(" ",TRIM(C52)&amp;" ")-1),",","."))-1)/MID(SUBSTITUTE(LEFT(TRIM(C52),FIND(" ",TRIM(C52)&amp;" ")-1),",","."),FIND("/",SUBSTITUTE(LEFT(TRIM(C52),FIND(" ",TRIM(C52)&amp;" ")-1),",","."))+1,9))*12/52,IF(ISNUMBER(SEARCH("month",C52)),IFERROR(_xlfn.NUMBERVALUE(SUBSTITUTE(LEFT(TRIM(C52),FIND(" ",TRIM(C52)&amp;" ")-1),",","."),"."),LEFT(SUBSTITUTE(LEFT(TRIM(C52),FIND(" ",TRIM(C52)&amp;" ")-1),",","."),FIND("/",SUBSTITUTE(LEFT(TRIM(C52),FIND(" ",TRIM(C52)&amp;" ")-1),",","."))-1)/MID(SUBSTITUTE(LEFT(TRIM(C52),FIND(" ",TRIM(C52)&amp;" ")-1),",","."),FIND("/",SUBSTITUTE(LEFT(TRIM(C52),FIND(" ",TRIM(C52)&amp;" ")-1),",","."))+1,9)),IF(ISNUMBER(SEARCH("yea",C52)),IFERROR(_xlfn.NUMBERVALUE(SUBSTITUTE(LEFT(TRIM(C52),FIND(" ",TRIM(C52)&amp;" ")-1),",","."),"."),LEFT(SUBSTITUTE(LEFT(TRIM(C52),FIND(" ",TRIM(C52)&amp;" ")-1),",","."),FIND("/",SUBSTITUTE(LEFT(TRIM(C52),FIND(" ",TRIM(C52)&amp;" ")-1),",","."))-1)/MID(SUBSTITUTE(LEFT(TRIM(C52),FIND(" ",TRIM(C52)&amp;" ")-1),",","."),FIND("/",SUBSTITUTE(LEFT(TRIM(C52),FIND(" ",TRIM(C52)&amp;" ")-1),",","."))+1,9))*12,NA()))),0),24)*'Aturan &amp; Tarif'!$B$4,2)</f>
        <v>1362.72</v>
      </c>
      <c r="K52" s="32" t="n">
        <f aca="false">'Aturan &amp; Tarif'!$B$5</f>
        <v>2050</v>
      </c>
      <c r="L52" s="32" t="n">
        <f aca="false">'Aturan &amp; Tarif'!$B$6</f>
        <v>350</v>
      </c>
      <c r="M52" s="35" t="n">
        <f aca="false">I52+J52+K52+L52</f>
        <v>13732.72</v>
      </c>
      <c r="N52" s="36" t="s">
        <v>1882</v>
      </c>
    </row>
    <row r="53" customFormat="false" ht="37.5" hidden="false" customHeight="true" outlineLevel="0" collapsed="false">
      <c r="A53" s="29" t="s">
        <v>2780</v>
      </c>
      <c r="B53" s="30" t="s">
        <v>2781</v>
      </c>
      <c r="C53" s="31" t="s">
        <v>107</v>
      </c>
      <c r="D53" s="31" t="s">
        <v>108</v>
      </c>
      <c r="E53" s="32" t="n">
        <v>4750</v>
      </c>
      <c r="F53" s="32" t="n">
        <v>2300</v>
      </c>
      <c r="G53" s="32" t="n">
        <v>300</v>
      </c>
      <c r="H53" s="33" t="n">
        <v>2</v>
      </c>
      <c r="I53" s="34" t="n">
        <f aca="false">E53*H53+N(F53)+N(G53)</f>
        <v>12100</v>
      </c>
      <c r="J53" s="32" t="n">
        <f aca="false">ROUND(IFERROR(ROUND(IF(OR(ISNUMBER(SEARCH("week",C53)),ISNUMBER(SEARCH("minggu",C53))),IFERROR(_xlfn.NUMBERVALUE(SUBSTITUTE(LEFT(TRIM(C53),FIND(" ",TRIM(C53)&amp;" ")-1),",","."),"."),LEFT(SUBSTITUTE(LEFT(TRIM(C53),FIND(" ",TRIM(C53)&amp;" ")-1),",","."),FIND("/",SUBSTITUTE(LEFT(TRIM(C53),FIND(" ",TRIM(C53)&amp;" ")-1),",","."))-1)/MID(SUBSTITUTE(LEFT(TRIM(C53),FIND(" ",TRIM(C53)&amp;" ")-1),",","."),FIND("/",SUBSTITUTE(LEFT(TRIM(C53),FIND(" ",TRIM(C53)&amp;" ")-1),",","."))+1,9))*12/52,IF(ISNUMBER(SEARCH("month",C53)),IFERROR(_xlfn.NUMBERVALUE(SUBSTITUTE(LEFT(TRIM(C53),FIND(" ",TRIM(C53)&amp;" ")-1),",","."),"."),LEFT(SUBSTITUTE(LEFT(TRIM(C53),FIND(" ",TRIM(C53)&amp;" ")-1),",","."),FIND("/",SUBSTITUTE(LEFT(TRIM(C53),FIND(" ",TRIM(C53)&amp;" ")-1),",","."))-1)/MID(SUBSTITUTE(LEFT(TRIM(C53),FIND(" ",TRIM(C53)&amp;" ")-1),",","."),FIND("/",SUBSTITUTE(LEFT(TRIM(C53),FIND(" ",TRIM(C53)&amp;" ")-1),",","."))+1,9)),IF(ISNUMBER(SEARCH("yea",C53)),IFERROR(_xlfn.NUMBERVALUE(SUBSTITUTE(LEFT(TRIM(C53),FIND(" ",TRIM(C53)&amp;" ")-1),",","."),"."),LEFT(SUBSTITUTE(LEFT(TRIM(C53),FIND(" ",TRIM(C53)&amp;" ")-1),",","."),FIND("/",SUBSTITUTE(LEFT(TRIM(C53),FIND(" ",TRIM(C53)&amp;" ")-1),",","."))-1)/MID(SUBSTITUTE(LEFT(TRIM(C53),FIND(" ",TRIM(C53)&amp;" ")-1),",","."),FIND("/",SUBSTITUTE(LEFT(TRIM(C53),FIND(" ",TRIM(C53)&amp;" ")-1),",","."))+1,9))*12,NA()))),0),24)*'Aturan &amp; Tarif'!$B$4,2)</f>
        <v>1362.72</v>
      </c>
      <c r="K53" s="32" t="n">
        <f aca="false">'Aturan &amp; Tarif'!$B$5</f>
        <v>2050</v>
      </c>
      <c r="L53" s="32" t="n">
        <f aca="false">'Aturan &amp; Tarif'!$B$6</f>
        <v>350</v>
      </c>
      <c r="M53" s="35" t="n">
        <f aca="false">I53+J53+K53+L53</f>
        <v>15862.72</v>
      </c>
      <c r="N53" s="36" t="s">
        <v>2782</v>
      </c>
    </row>
    <row r="54" customFormat="false" ht="14.25" hidden="false" customHeight="true" outlineLevel="0" collapsed="false">
      <c r="A54" s="29"/>
      <c r="B54" s="30" t="s">
        <v>2783</v>
      </c>
      <c r="C54" s="31" t="s">
        <v>107</v>
      </c>
      <c r="D54" s="31" t="s">
        <v>108</v>
      </c>
      <c r="E54" s="32" t="n">
        <v>4750</v>
      </c>
      <c r="F54" s="32" t="n">
        <v>2300</v>
      </c>
      <c r="G54" s="32" t="n">
        <v>300</v>
      </c>
      <c r="H54" s="33" t="n">
        <v>2</v>
      </c>
      <c r="I54" s="34" t="n">
        <f aca="false">E54*H54+N(F54)+N(G54)</f>
        <v>12100</v>
      </c>
      <c r="J54" s="32" t="n">
        <f aca="false">ROUND(IFERROR(ROUND(IF(OR(ISNUMBER(SEARCH("week",C54)),ISNUMBER(SEARCH("minggu",C54))),IFERROR(_xlfn.NUMBERVALUE(SUBSTITUTE(LEFT(TRIM(C54),FIND(" ",TRIM(C54)&amp;" ")-1),",","."),"."),LEFT(SUBSTITUTE(LEFT(TRIM(C54),FIND(" ",TRIM(C54)&amp;" ")-1),",","."),FIND("/",SUBSTITUTE(LEFT(TRIM(C54),FIND(" ",TRIM(C54)&amp;" ")-1),",","."))-1)/MID(SUBSTITUTE(LEFT(TRIM(C54),FIND(" ",TRIM(C54)&amp;" ")-1),",","."),FIND("/",SUBSTITUTE(LEFT(TRIM(C54),FIND(" ",TRIM(C54)&amp;" ")-1),",","."))+1,9))*12/52,IF(ISNUMBER(SEARCH("month",C54)),IFERROR(_xlfn.NUMBERVALUE(SUBSTITUTE(LEFT(TRIM(C54),FIND(" ",TRIM(C54)&amp;" ")-1),",","."),"."),LEFT(SUBSTITUTE(LEFT(TRIM(C54),FIND(" ",TRIM(C54)&amp;" ")-1),",","."),FIND("/",SUBSTITUTE(LEFT(TRIM(C54),FIND(" ",TRIM(C54)&amp;" ")-1),",","."))-1)/MID(SUBSTITUTE(LEFT(TRIM(C54),FIND(" ",TRIM(C54)&amp;" ")-1),",","."),FIND("/",SUBSTITUTE(LEFT(TRIM(C54),FIND(" ",TRIM(C54)&amp;" ")-1),",","."))+1,9)),IF(ISNUMBER(SEARCH("yea",C54)),IFERROR(_xlfn.NUMBERVALUE(SUBSTITUTE(LEFT(TRIM(C54),FIND(" ",TRIM(C54)&amp;" ")-1),",","."),"."),LEFT(SUBSTITUTE(LEFT(TRIM(C54),FIND(" ",TRIM(C54)&amp;" ")-1),",","."),FIND("/",SUBSTITUTE(LEFT(TRIM(C54),FIND(" ",TRIM(C54)&amp;" ")-1),",","."))-1)/MID(SUBSTITUTE(LEFT(TRIM(C54),FIND(" ",TRIM(C54)&amp;" ")-1),",","."),FIND("/",SUBSTITUTE(LEFT(TRIM(C54),FIND(" ",TRIM(C54)&amp;" ")-1),",","."))+1,9))*12,NA()))),0),24)*'Aturan &amp; Tarif'!$B$4,2)</f>
        <v>1362.72</v>
      </c>
      <c r="K54" s="32" t="n">
        <f aca="false">'Aturan &amp; Tarif'!$B$5</f>
        <v>2050</v>
      </c>
      <c r="L54" s="32" t="n">
        <f aca="false">'Aturan &amp; Tarif'!$B$6</f>
        <v>350</v>
      </c>
      <c r="M54" s="35" t="n">
        <f aca="false">I54+J54+K54+L54</f>
        <v>15862.72</v>
      </c>
      <c r="N54" s="36" t="s">
        <v>2782</v>
      </c>
    </row>
    <row r="55" customFormat="false" ht="14.25" hidden="false" customHeight="true" outlineLevel="0" collapsed="false">
      <c r="A55" s="29"/>
      <c r="B55" s="30" t="s">
        <v>833</v>
      </c>
      <c r="C55" s="31" t="s">
        <v>107</v>
      </c>
      <c r="D55" s="31" t="s">
        <v>108</v>
      </c>
      <c r="E55" s="32" t="n">
        <v>2000</v>
      </c>
      <c r="F55" s="32" t="n">
        <v>0</v>
      </c>
      <c r="G55" s="32" t="n">
        <v>300</v>
      </c>
      <c r="H55" s="33" t="n">
        <v>2</v>
      </c>
      <c r="I55" s="34" t="n">
        <f aca="false">E55*H55+N(F55)+N(G55)</f>
        <v>4300</v>
      </c>
      <c r="J55" s="32" t="n">
        <f aca="false">ROUND(IFERROR(ROUND(IF(OR(ISNUMBER(SEARCH("week",C55)),ISNUMBER(SEARCH("minggu",C55))),IFERROR(_xlfn.NUMBERVALUE(SUBSTITUTE(LEFT(TRIM(C55),FIND(" ",TRIM(C55)&amp;" ")-1),",","."),"."),LEFT(SUBSTITUTE(LEFT(TRIM(C55),FIND(" ",TRIM(C55)&amp;" ")-1),",","."),FIND("/",SUBSTITUTE(LEFT(TRIM(C55),FIND(" ",TRIM(C55)&amp;" ")-1),",","."))-1)/MID(SUBSTITUTE(LEFT(TRIM(C55),FIND(" ",TRIM(C55)&amp;" ")-1),",","."),FIND("/",SUBSTITUTE(LEFT(TRIM(C55),FIND(" ",TRIM(C55)&amp;" ")-1),",","."))+1,9))*12/52,IF(ISNUMBER(SEARCH("month",C55)),IFERROR(_xlfn.NUMBERVALUE(SUBSTITUTE(LEFT(TRIM(C55),FIND(" ",TRIM(C55)&amp;" ")-1),",","."),"."),LEFT(SUBSTITUTE(LEFT(TRIM(C55),FIND(" ",TRIM(C55)&amp;" ")-1),",","."),FIND("/",SUBSTITUTE(LEFT(TRIM(C55),FIND(" ",TRIM(C55)&amp;" ")-1),",","."))-1)/MID(SUBSTITUTE(LEFT(TRIM(C55),FIND(" ",TRIM(C55)&amp;" ")-1),",","."),FIND("/",SUBSTITUTE(LEFT(TRIM(C55),FIND(" ",TRIM(C55)&amp;" ")-1),",","."))+1,9)),IF(ISNUMBER(SEARCH("yea",C55)),IFERROR(_xlfn.NUMBERVALUE(SUBSTITUTE(LEFT(TRIM(C55),FIND(" ",TRIM(C55)&amp;" ")-1),",","."),"."),LEFT(SUBSTITUTE(LEFT(TRIM(C55),FIND(" ",TRIM(C55)&amp;" ")-1),",","."),FIND("/",SUBSTITUTE(LEFT(TRIM(C55),FIND(" ",TRIM(C55)&amp;" ")-1),",","."))-1)/MID(SUBSTITUTE(LEFT(TRIM(C55),FIND(" ",TRIM(C55)&amp;" ")-1),",","."),FIND("/",SUBSTITUTE(LEFT(TRIM(C55),FIND(" ",TRIM(C55)&amp;" ")-1),",","."))+1,9))*12,NA()))),0),24)*'Aturan &amp; Tarif'!$B$4,2)</f>
        <v>1362.72</v>
      </c>
      <c r="K55" s="32" t="n">
        <f aca="false">'Aturan &amp; Tarif'!$B$5</f>
        <v>2050</v>
      </c>
      <c r="L55" s="32" t="n">
        <f aca="false">'Aturan &amp; Tarif'!$B$6</f>
        <v>350</v>
      </c>
      <c r="M55" s="35" t="n">
        <f aca="false">I55+J55+K55+L55</f>
        <v>8062.72</v>
      </c>
      <c r="N55" s="37" t="s">
        <v>834</v>
      </c>
    </row>
    <row r="56" customFormat="false" ht="25.5" hidden="false" customHeight="true" outlineLevel="0" collapsed="false">
      <c r="A56" s="29"/>
      <c r="B56" s="30" t="s">
        <v>835</v>
      </c>
      <c r="C56" s="31" t="s">
        <v>107</v>
      </c>
      <c r="D56" s="31" t="s">
        <v>108</v>
      </c>
      <c r="E56" s="32" t="n">
        <v>2315</v>
      </c>
      <c r="F56" s="32" t="n">
        <v>1000</v>
      </c>
      <c r="G56" s="32" t="n">
        <v>300</v>
      </c>
      <c r="H56" s="33" t="n">
        <v>2</v>
      </c>
      <c r="I56" s="34" t="n">
        <f aca="false">E56*H56+N(F56)+N(G56)</f>
        <v>5930</v>
      </c>
      <c r="J56" s="32" t="n">
        <f aca="false">ROUND(IFERROR(ROUND(IF(OR(ISNUMBER(SEARCH("week",C56)),ISNUMBER(SEARCH("minggu",C56))),IFERROR(_xlfn.NUMBERVALUE(SUBSTITUTE(LEFT(TRIM(C56),FIND(" ",TRIM(C56)&amp;" ")-1),",","."),"."),LEFT(SUBSTITUTE(LEFT(TRIM(C56),FIND(" ",TRIM(C56)&amp;" ")-1),",","."),FIND("/",SUBSTITUTE(LEFT(TRIM(C56),FIND(" ",TRIM(C56)&amp;" ")-1),",","."))-1)/MID(SUBSTITUTE(LEFT(TRIM(C56),FIND(" ",TRIM(C56)&amp;" ")-1),",","."),FIND("/",SUBSTITUTE(LEFT(TRIM(C56),FIND(" ",TRIM(C56)&amp;" ")-1),",","."))+1,9))*12/52,IF(ISNUMBER(SEARCH("month",C56)),IFERROR(_xlfn.NUMBERVALUE(SUBSTITUTE(LEFT(TRIM(C56),FIND(" ",TRIM(C56)&amp;" ")-1),",","."),"."),LEFT(SUBSTITUTE(LEFT(TRIM(C56),FIND(" ",TRIM(C56)&amp;" ")-1),",","."),FIND("/",SUBSTITUTE(LEFT(TRIM(C56),FIND(" ",TRIM(C56)&amp;" ")-1),",","."))-1)/MID(SUBSTITUTE(LEFT(TRIM(C56),FIND(" ",TRIM(C56)&amp;" ")-1),",","."),FIND("/",SUBSTITUTE(LEFT(TRIM(C56),FIND(" ",TRIM(C56)&amp;" ")-1),",","."))+1,9)),IF(ISNUMBER(SEARCH("yea",C56)),IFERROR(_xlfn.NUMBERVALUE(SUBSTITUTE(LEFT(TRIM(C56),FIND(" ",TRIM(C56)&amp;" ")-1),",","."),"."),LEFT(SUBSTITUTE(LEFT(TRIM(C56),FIND(" ",TRIM(C56)&amp;" ")-1),",","."),FIND("/",SUBSTITUTE(LEFT(TRIM(C56),FIND(" ",TRIM(C56)&amp;" ")-1),",","."))-1)/MID(SUBSTITUTE(LEFT(TRIM(C56),FIND(" ",TRIM(C56)&amp;" ")-1),",","."),FIND("/",SUBSTITUTE(LEFT(TRIM(C56),FIND(" ",TRIM(C56)&amp;" ")-1),",","."))+1,9))*12,NA()))),0),24)*'Aturan &amp; Tarif'!$B$4,2)</f>
        <v>1362.72</v>
      </c>
      <c r="K56" s="32" t="n">
        <f aca="false">'Aturan &amp; Tarif'!$B$5</f>
        <v>2050</v>
      </c>
      <c r="L56" s="32" t="n">
        <f aca="false">'Aturan &amp; Tarif'!$B$6</f>
        <v>350</v>
      </c>
      <c r="M56" s="35" t="n">
        <f aca="false">I56+J56+K56+L56</f>
        <v>9692.72</v>
      </c>
      <c r="N56" s="37" t="s">
        <v>836</v>
      </c>
    </row>
    <row r="57" customFormat="false" ht="37.5" hidden="false" customHeight="true" outlineLevel="0" collapsed="false">
      <c r="A57" s="29"/>
      <c r="B57" s="30" t="s">
        <v>837</v>
      </c>
      <c r="C57" s="31" t="s">
        <v>107</v>
      </c>
      <c r="D57" s="31" t="s">
        <v>108</v>
      </c>
      <c r="E57" s="32" t="n">
        <v>2375</v>
      </c>
      <c r="F57" s="32" t="n">
        <v>500</v>
      </c>
      <c r="G57" s="32" t="n">
        <v>300</v>
      </c>
      <c r="H57" s="33" t="n">
        <v>2</v>
      </c>
      <c r="I57" s="34" t="n">
        <f aca="false">E57*H57+N(F57)+N(G57)</f>
        <v>5550</v>
      </c>
      <c r="J57" s="32" t="n">
        <f aca="false">ROUND(IFERROR(ROUND(IF(OR(ISNUMBER(SEARCH("week",C57)),ISNUMBER(SEARCH("minggu",C57))),IFERROR(_xlfn.NUMBERVALUE(SUBSTITUTE(LEFT(TRIM(C57),FIND(" ",TRIM(C57)&amp;" ")-1),",","."),"."),LEFT(SUBSTITUTE(LEFT(TRIM(C57),FIND(" ",TRIM(C57)&amp;" ")-1),",","."),FIND("/",SUBSTITUTE(LEFT(TRIM(C57),FIND(" ",TRIM(C57)&amp;" ")-1),",","."))-1)/MID(SUBSTITUTE(LEFT(TRIM(C57),FIND(" ",TRIM(C57)&amp;" ")-1),",","."),FIND("/",SUBSTITUTE(LEFT(TRIM(C57),FIND(" ",TRIM(C57)&amp;" ")-1),",","."))+1,9))*12/52,IF(ISNUMBER(SEARCH("month",C57)),IFERROR(_xlfn.NUMBERVALUE(SUBSTITUTE(LEFT(TRIM(C57),FIND(" ",TRIM(C57)&amp;" ")-1),",","."),"."),LEFT(SUBSTITUTE(LEFT(TRIM(C57),FIND(" ",TRIM(C57)&amp;" ")-1),",","."),FIND("/",SUBSTITUTE(LEFT(TRIM(C57),FIND(" ",TRIM(C57)&amp;" ")-1),",","."))-1)/MID(SUBSTITUTE(LEFT(TRIM(C57),FIND(" ",TRIM(C57)&amp;" ")-1),",","."),FIND("/",SUBSTITUTE(LEFT(TRIM(C57),FIND(" ",TRIM(C57)&amp;" ")-1),",","."))+1,9)),IF(ISNUMBER(SEARCH("yea",C57)),IFERROR(_xlfn.NUMBERVALUE(SUBSTITUTE(LEFT(TRIM(C57),FIND(" ",TRIM(C57)&amp;" ")-1),",","."),"."),LEFT(SUBSTITUTE(LEFT(TRIM(C57),FIND(" ",TRIM(C57)&amp;" ")-1),",","."),FIND("/",SUBSTITUTE(LEFT(TRIM(C57),FIND(" ",TRIM(C57)&amp;" ")-1),",","."))-1)/MID(SUBSTITUTE(LEFT(TRIM(C57),FIND(" ",TRIM(C57)&amp;" ")-1),",","."),FIND("/",SUBSTITUTE(LEFT(TRIM(C57),FIND(" ",TRIM(C57)&amp;" ")-1),",","."))+1,9))*12,NA()))),0),24)*'Aturan &amp; Tarif'!$B$4,2)</f>
        <v>1362.72</v>
      </c>
      <c r="K57" s="32" t="n">
        <f aca="false">'Aturan &amp; Tarif'!$B$5</f>
        <v>2050</v>
      </c>
      <c r="L57" s="32" t="n">
        <f aca="false">'Aturan &amp; Tarif'!$B$6</f>
        <v>350</v>
      </c>
      <c r="M57" s="35" t="n">
        <f aca="false">I57+J57+K57+L57</f>
        <v>9312.72</v>
      </c>
      <c r="N57" s="37" t="s">
        <v>836</v>
      </c>
    </row>
    <row r="58" customFormat="false" ht="25.5" hidden="false" customHeight="true" outlineLevel="0" collapsed="false">
      <c r="A58" s="29"/>
      <c r="B58" s="30" t="s">
        <v>1561</v>
      </c>
      <c r="C58" s="31" t="s">
        <v>107</v>
      </c>
      <c r="D58" s="31" t="s">
        <v>108</v>
      </c>
      <c r="E58" s="32" t="n">
        <v>2250</v>
      </c>
      <c r="F58" s="32" t="n">
        <v>1500</v>
      </c>
      <c r="G58" s="32" t="n">
        <v>300</v>
      </c>
      <c r="H58" s="33" t="n">
        <v>2</v>
      </c>
      <c r="I58" s="34" t="n">
        <f aca="false">E58*H58+N(F58)+N(G58)</f>
        <v>6300</v>
      </c>
      <c r="J58" s="32" t="n">
        <f aca="false">ROUND(IFERROR(ROUND(IF(OR(ISNUMBER(SEARCH("week",C58)),ISNUMBER(SEARCH("minggu",C58))),IFERROR(_xlfn.NUMBERVALUE(SUBSTITUTE(LEFT(TRIM(C58),FIND(" ",TRIM(C58)&amp;" ")-1),",","."),"."),LEFT(SUBSTITUTE(LEFT(TRIM(C58),FIND(" ",TRIM(C58)&amp;" ")-1),",","."),FIND("/",SUBSTITUTE(LEFT(TRIM(C58),FIND(" ",TRIM(C58)&amp;" ")-1),",","."))-1)/MID(SUBSTITUTE(LEFT(TRIM(C58),FIND(" ",TRIM(C58)&amp;" ")-1),",","."),FIND("/",SUBSTITUTE(LEFT(TRIM(C58),FIND(" ",TRIM(C58)&amp;" ")-1),",","."))+1,9))*12/52,IF(ISNUMBER(SEARCH("month",C58)),IFERROR(_xlfn.NUMBERVALUE(SUBSTITUTE(LEFT(TRIM(C58),FIND(" ",TRIM(C58)&amp;" ")-1),",","."),"."),LEFT(SUBSTITUTE(LEFT(TRIM(C58),FIND(" ",TRIM(C58)&amp;" ")-1),",","."),FIND("/",SUBSTITUTE(LEFT(TRIM(C58),FIND(" ",TRIM(C58)&amp;" ")-1),",","."))-1)/MID(SUBSTITUTE(LEFT(TRIM(C58),FIND(" ",TRIM(C58)&amp;" ")-1),",","."),FIND("/",SUBSTITUTE(LEFT(TRIM(C58),FIND(" ",TRIM(C58)&amp;" ")-1),",","."))+1,9)),IF(ISNUMBER(SEARCH("yea",C58)),IFERROR(_xlfn.NUMBERVALUE(SUBSTITUTE(LEFT(TRIM(C58),FIND(" ",TRIM(C58)&amp;" ")-1),",","."),"."),LEFT(SUBSTITUTE(LEFT(TRIM(C58),FIND(" ",TRIM(C58)&amp;" ")-1),",","."),FIND("/",SUBSTITUTE(LEFT(TRIM(C58),FIND(" ",TRIM(C58)&amp;" ")-1),",","."))-1)/MID(SUBSTITUTE(LEFT(TRIM(C58),FIND(" ",TRIM(C58)&amp;" ")-1),",","."),FIND("/",SUBSTITUTE(LEFT(TRIM(C58),FIND(" ",TRIM(C58)&amp;" ")-1),",","."))+1,9))*12,NA()))),0),24)*'Aturan &amp; Tarif'!$B$4,2)</f>
        <v>1362.72</v>
      </c>
      <c r="K58" s="32" t="n">
        <f aca="false">'Aturan &amp; Tarif'!$B$5</f>
        <v>2050</v>
      </c>
      <c r="L58" s="32" t="n">
        <f aca="false">'Aturan &amp; Tarif'!$B$6</f>
        <v>350</v>
      </c>
      <c r="M58" s="35" t="n">
        <f aca="false">I58+J58+K58+L58</f>
        <v>10062.72</v>
      </c>
      <c r="N58" s="37" t="s">
        <v>836</v>
      </c>
    </row>
    <row r="59" customFormat="false" ht="25.5" hidden="false" customHeight="true" outlineLevel="0" collapsed="false">
      <c r="A59" s="29"/>
      <c r="B59" s="30" t="s">
        <v>1884</v>
      </c>
      <c r="C59" s="31" t="s">
        <v>107</v>
      </c>
      <c r="D59" s="31" t="s">
        <v>108</v>
      </c>
      <c r="E59" s="32" t="n">
        <v>2250</v>
      </c>
      <c r="F59" s="32" t="n">
        <v>0</v>
      </c>
      <c r="G59" s="32" t="n">
        <v>300</v>
      </c>
      <c r="H59" s="33" t="n">
        <v>2</v>
      </c>
      <c r="I59" s="34" t="n">
        <f aca="false">E59*H59+N(F59)+N(G59)</f>
        <v>4800</v>
      </c>
      <c r="J59" s="32" t="n">
        <f aca="false">ROUND(IFERROR(ROUND(IF(OR(ISNUMBER(SEARCH("week",C59)),ISNUMBER(SEARCH("minggu",C59))),IFERROR(_xlfn.NUMBERVALUE(SUBSTITUTE(LEFT(TRIM(C59),FIND(" ",TRIM(C59)&amp;" ")-1),",","."),"."),LEFT(SUBSTITUTE(LEFT(TRIM(C59),FIND(" ",TRIM(C59)&amp;" ")-1),",","."),FIND("/",SUBSTITUTE(LEFT(TRIM(C59),FIND(" ",TRIM(C59)&amp;" ")-1),",","."))-1)/MID(SUBSTITUTE(LEFT(TRIM(C59),FIND(" ",TRIM(C59)&amp;" ")-1),",","."),FIND("/",SUBSTITUTE(LEFT(TRIM(C59),FIND(" ",TRIM(C59)&amp;" ")-1),",","."))+1,9))*12/52,IF(ISNUMBER(SEARCH("month",C59)),IFERROR(_xlfn.NUMBERVALUE(SUBSTITUTE(LEFT(TRIM(C59),FIND(" ",TRIM(C59)&amp;" ")-1),",","."),"."),LEFT(SUBSTITUTE(LEFT(TRIM(C59),FIND(" ",TRIM(C59)&amp;" ")-1),",","."),FIND("/",SUBSTITUTE(LEFT(TRIM(C59),FIND(" ",TRIM(C59)&amp;" ")-1),",","."))-1)/MID(SUBSTITUTE(LEFT(TRIM(C59),FIND(" ",TRIM(C59)&amp;" ")-1),",","."),FIND("/",SUBSTITUTE(LEFT(TRIM(C59),FIND(" ",TRIM(C59)&amp;" ")-1),",","."))+1,9)),IF(ISNUMBER(SEARCH("yea",C59)),IFERROR(_xlfn.NUMBERVALUE(SUBSTITUTE(LEFT(TRIM(C59),FIND(" ",TRIM(C59)&amp;" ")-1),",","."),"."),LEFT(SUBSTITUTE(LEFT(TRIM(C59),FIND(" ",TRIM(C59)&amp;" ")-1),",","."),FIND("/",SUBSTITUTE(LEFT(TRIM(C59),FIND(" ",TRIM(C59)&amp;" ")-1),",","."))-1)/MID(SUBSTITUTE(LEFT(TRIM(C59),FIND(" ",TRIM(C59)&amp;" ")-1),",","."),FIND("/",SUBSTITUTE(LEFT(TRIM(C59),FIND(" ",TRIM(C59)&amp;" ")-1),",","."))+1,9))*12,NA()))),0),24)*'Aturan &amp; Tarif'!$B$4,2)</f>
        <v>1362.72</v>
      </c>
      <c r="K59" s="32" t="n">
        <f aca="false">'Aturan &amp; Tarif'!$B$5</f>
        <v>2050</v>
      </c>
      <c r="L59" s="32" t="n">
        <f aca="false">'Aturan &amp; Tarif'!$B$6</f>
        <v>350</v>
      </c>
      <c r="M59" s="35" t="n">
        <f aca="false">I59+J59+K59+L59</f>
        <v>8562.72</v>
      </c>
      <c r="N59" s="37" t="s">
        <v>834</v>
      </c>
    </row>
    <row r="60" customFormat="false" ht="48.75" hidden="false" customHeight="true" outlineLevel="0" collapsed="false">
      <c r="A60" s="29"/>
      <c r="B60" s="30" t="s">
        <v>1562</v>
      </c>
      <c r="C60" s="31" t="s">
        <v>107</v>
      </c>
      <c r="D60" s="31" t="s">
        <v>108</v>
      </c>
      <c r="E60" s="32" t="n">
        <v>2250</v>
      </c>
      <c r="F60" s="32" t="n">
        <v>0</v>
      </c>
      <c r="G60" s="32" t="n">
        <v>300</v>
      </c>
      <c r="H60" s="33" t="n">
        <v>2</v>
      </c>
      <c r="I60" s="34" t="n">
        <f aca="false">E60*H60+N(F60)+N(G60)</f>
        <v>4800</v>
      </c>
      <c r="J60" s="32" t="n">
        <f aca="false">ROUND(IFERROR(ROUND(IF(OR(ISNUMBER(SEARCH("week",C60)),ISNUMBER(SEARCH("minggu",C60))),IFERROR(_xlfn.NUMBERVALUE(SUBSTITUTE(LEFT(TRIM(C60),FIND(" ",TRIM(C60)&amp;" ")-1),",","."),"."),LEFT(SUBSTITUTE(LEFT(TRIM(C60),FIND(" ",TRIM(C60)&amp;" ")-1),",","."),FIND("/",SUBSTITUTE(LEFT(TRIM(C60),FIND(" ",TRIM(C60)&amp;" ")-1),",","."))-1)/MID(SUBSTITUTE(LEFT(TRIM(C60),FIND(" ",TRIM(C60)&amp;" ")-1),",","."),FIND("/",SUBSTITUTE(LEFT(TRIM(C60),FIND(" ",TRIM(C60)&amp;" ")-1),",","."))+1,9))*12/52,IF(ISNUMBER(SEARCH("month",C60)),IFERROR(_xlfn.NUMBERVALUE(SUBSTITUTE(LEFT(TRIM(C60),FIND(" ",TRIM(C60)&amp;" ")-1),",","."),"."),LEFT(SUBSTITUTE(LEFT(TRIM(C60),FIND(" ",TRIM(C60)&amp;" ")-1),",","."),FIND("/",SUBSTITUTE(LEFT(TRIM(C60),FIND(" ",TRIM(C60)&amp;" ")-1),",","."))-1)/MID(SUBSTITUTE(LEFT(TRIM(C60),FIND(" ",TRIM(C60)&amp;" ")-1),",","."),FIND("/",SUBSTITUTE(LEFT(TRIM(C60),FIND(" ",TRIM(C60)&amp;" ")-1),",","."))+1,9)),IF(ISNUMBER(SEARCH("yea",C60)),IFERROR(_xlfn.NUMBERVALUE(SUBSTITUTE(LEFT(TRIM(C60),FIND(" ",TRIM(C60)&amp;" ")-1),",","."),"."),LEFT(SUBSTITUTE(LEFT(TRIM(C60),FIND(" ",TRIM(C60)&amp;" ")-1),",","."),FIND("/",SUBSTITUTE(LEFT(TRIM(C60),FIND(" ",TRIM(C60)&amp;" ")-1),",","."))-1)/MID(SUBSTITUTE(LEFT(TRIM(C60),FIND(" ",TRIM(C60)&amp;" ")-1),",","."),FIND("/",SUBSTITUTE(LEFT(TRIM(C60),FIND(" ",TRIM(C60)&amp;" ")-1),",","."))+1,9))*12,NA()))),0),24)*'Aturan &amp; Tarif'!$B$4,2)</f>
        <v>1362.72</v>
      </c>
      <c r="K60" s="32" t="n">
        <f aca="false">'Aturan &amp; Tarif'!$B$5</f>
        <v>2050</v>
      </c>
      <c r="L60" s="32" t="n">
        <f aca="false">'Aturan &amp; Tarif'!$B$6</f>
        <v>350</v>
      </c>
      <c r="M60" s="35" t="n">
        <f aca="false">I60+J60+K60+L60</f>
        <v>8562.72</v>
      </c>
      <c r="N60" s="37" t="s">
        <v>834</v>
      </c>
    </row>
    <row r="61" customFormat="false" ht="48.75" hidden="false" customHeight="true" outlineLevel="0" collapsed="false">
      <c r="A61" s="39" t="s">
        <v>2784</v>
      </c>
      <c r="B61" s="40" t="s">
        <v>2785</v>
      </c>
      <c r="C61" s="41" t="s">
        <v>107</v>
      </c>
      <c r="D61" s="41" t="s">
        <v>108</v>
      </c>
      <c r="E61" s="42" t="n">
        <v>1875</v>
      </c>
      <c r="F61" s="42" t="n">
        <v>1250</v>
      </c>
      <c r="G61" s="42" t="n">
        <v>250</v>
      </c>
      <c r="H61" s="43" t="n">
        <v>1</v>
      </c>
      <c r="I61" s="34" t="n">
        <f aca="false">E61*H61+N(F61)+N(G61)</f>
        <v>3375</v>
      </c>
      <c r="J61" s="42" t="n">
        <f aca="false">ROUND(IFERROR(ROUND(IF(OR(ISNUMBER(SEARCH("week",C61)),ISNUMBER(SEARCH("minggu",C61))),IFERROR(_xlfn.NUMBERVALUE(SUBSTITUTE(LEFT(TRIM(C61),FIND(" ",TRIM(C61)&amp;" ")-1),",","."),"."),LEFT(SUBSTITUTE(LEFT(TRIM(C61),FIND(" ",TRIM(C61)&amp;" ")-1),",","."),FIND("/",SUBSTITUTE(LEFT(TRIM(C61),FIND(" ",TRIM(C61)&amp;" ")-1),",","."))-1)/MID(SUBSTITUTE(LEFT(TRIM(C61),FIND(" ",TRIM(C61)&amp;" ")-1),",","."),FIND("/",SUBSTITUTE(LEFT(TRIM(C61),FIND(" ",TRIM(C61)&amp;" ")-1),",","."))+1,9))*12/52,IF(ISNUMBER(SEARCH("month",C61)),IFERROR(_xlfn.NUMBERVALUE(SUBSTITUTE(LEFT(TRIM(C61),FIND(" ",TRIM(C61)&amp;" ")-1),",","."),"."),LEFT(SUBSTITUTE(LEFT(TRIM(C61),FIND(" ",TRIM(C61)&amp;" ")-1),",","."),FIND("/",SUBSTITUTE(LEFT(TRIM(C61),FIND(" ",TRIM(C61)&amp;" ")-1),",","."))-1)/MID(SUBSTITUTE(LEFT(TRIM(C61),FIND(" ",TRIM(C61)&amp;" ")-1),",","."),FIND("/",SUBSTITUTE(LEFT(TRIM(C61),FIND(" ",TRIM(C61)&amp;" ")-1),",","."))+1,9)),IF(ISNUMBER(SEARCH("yea",C61)),IFERROR(_xlfn.NUMBERVALUE(SUBSTITUTE(LEFT(TRIM(C61),FIND(" ",TRIM(C61)&amp;" ")-1),",","."),"."),LEFT(SUBSTITUTE(LEFT(TRIM(C61),FIND(" ",TRIM(C61)&amp;" ")-1),",","."),FIND("/",SUBSTITUTE(LEFT(TRIM(C61),FIND(" ",TRIM(C61)&amp;" ")-1),",","."))-1)/MID(SUBSTITUTE(LEFT(TRIM(C61),FIND(" ",TRIM(C61)&amp;" ")-1),",","."),FIND("/",SUBSTITUTE(LEFT(TRIM(C61),FIND(" ",TRIM(C61)&amp;" ")-1),",","."))+1,9))*12,NA()))),0),24)*'Aturan &amp; Tarif'!$B$4,2)</f>
        <v>1362.72</v>
      </c>
      <c r="K61" s="42" t="n">
        <f aca="false">'Aturan &amp; Tarif'!$B$5</f>
        <v>2050</v>
      </c>
      <c r="L61" s="42" t="n">
        <f aca="false">'Aturan &amp; Tarif'!$B$6</f>
        <v>350</v>
      </c>
      <c r="M61" s="35" t="n">
        <f aca="false">I61+J61+K61+L61</f>
        <v>7137.72</v>
      </c>
      <c r="N61" s="44" t="s">
        <v>2786</v>
      </c>
    </row>
    <row r="62" customFormat="false" ht="48.75" hidden="false" customHeight="true" outlineLevel="0" collapsed="false">
      <c r="A62" s="39"/>
      <c r="B62" s="40" t="s">
        <v>2787</v>
      </c>
      <c r="C62" s="41" t="s">
        <v>127</v>
      </c>
      <c r="D62" s="41" t="s">
        <v>108</v>
      </c>
      <c r="E62" s="42" t="n">
        <v>1875</v>
      </c>
      <c r="F62" s="42" t="n">
        <v>1250</v>
      </c>
      <c r="G62" s="42" t="n">
        <v>250</v>
      </c>
      <c r="H62" s="43" t="n">
        <v>1</v>
      </c>
      <c r="I62" s="34" t="n">
        <f aca="false">E62*H62+N(F62)+N(G62)</f>
        <v>3375</v>
      </c>
      <c r="J62" s="42" t="n">
        <f aca="false">ROUND(IFERROR(ROUND(IF(OR(ISNUMBER(SEARCH("week",C62)),ISNUMBER(SEARCH("minggu",C62))),IFERROR(_xlfn.NUMBERVALUE(SUBSTITUTE(LEFT(TRIM(C62),FIND(" ",TRIM(C62)&amp;" ")-1),",","."),"."),LEFT(SUBSTITUTE(LEFT(TRIM(C62),FIND(" ",TRIM(C62)&amp;" ")-1),",","."),FIND("/",SUBSTITUTE(LEFT(TRIM(C62),FIND(" ",TRIM(C62)&amp;" ")-1),",","."))-1)/MID(SUBSTITUTE(LEFT(TRIM(C62),FIND(" ",TRIM(C62)&amp;" ")-1),",","."),FIND("/",SUBSTITUTE(LEFT(TRIM(C62),FIND(" ",TRIM(C62)&amp;" ")-1),",","."))+1,9))*12/52,IF(ISNUMBER(SEARCH("month",C62)),IFERROR(_xlfn.NUMBERVALUE(SUBSTITUTE(LEFT(TRIM(C62),FIND(" ",TRIM(C62)&amp;" ")-1),",","."),"."),LEFT(SUBSTITUTE(LEFT(TRIM(C62),FIND(" ",TRIM(C62)&amp;" ")-1),",","."),FIND("/",SUBSTITUTE(LEFT(TRIM(C62),FIND(" ",TRIM(C62)&amp;" ")-1),",","."))-1)/MID(SUBSTITUTE(LEFT(TRIM(C62),FIND(" ",TRIM(C62)&amp;" ")-1),",","."),FIND("/",SUBSTITUTE(LEFT(TRIM(C62),FIND(" ",TRIM(C62)&amp;" ")-1),",","."))+1,9)),IF(ISNUMBER(SEARCH("yea",C62)),IFERROR(_xlfn.NUMBERVALUE(SUBSTITUTE(LEFT(TRIM(C62),FIND(" ",TRIM(C62)&amp;" ")-1),",","."),"."),LEFT(SUBSTITUTE(LEFT(TRIM(C62),FIND(" ",TRIM(C62)&amp;" ")-1),",","."),FIND("/",SUBSTITUTE(LEFT(TRIM(C62),FIND(" ",TRIM(C62)&amp;" ")-1),",","."))-1)/MID(SUBSTITUTE(LEFT(TRIM(C62),FIND(" ",TRIM(C62)&amp;" ")-1),",","."),FIND("/",SUBSTITUTE(LEFT(TRIM(C62),FIND(" ",TRIM(C62)&amp;" ")-1),",","."))+1,9))*12,NA()))),0),36)*'Aturan &amp; Tarif'!$B$4,2)</f>
        <v>2044.08</v>
      </c>
      <c r="K62" s="42" t="n">
        <f aca="false">'Aturan &amp; Tarif'!$B$5</f>
        <v>2050</v>
      </c>
      <c r="L62" s="42" t="n">
        <f aca="false">'Aturan &amp; Tarif'!$B$6</f>
        <v>350</v>
      </c>
      <c r="M62" s="35" t="n">
        <f aca="false">I62+J62+K62+L62</f>
        <v>7819.08</v>
      </c>
      <c r="N62" s="44" t="s">
        <v>2786</v>
      </c>
    </row>
    <row r="63" customFormat="false" ht="37.5" hidden="false" customHeight="true" outlineLevel="0" collapsed="false">
      <c r="A63" s="39"/>
      <c r="B63" s="40" t="s">
        <v>2788</v>
      </c>
      <c r="C63" s="41" t="s">
        <v>127</v>
      </c>
      <c r="D63" s="41" t="s">
        <v>108</v>
      </c>
      <c r="E63" s="42" t="n">
        <v>2000</v>
      </c>
      <c r="F63" s="42" t="n">
        <v>1250</v>
      </c>
      <c r="G63" s="42" t="n">
        <v>250</v>
      </c>
      <c r="H63" s="43" t="n">
        <v>1</v>
      </c>
      <c r="I63" s="34" t="n">
        <f aca="false">E63*H63+N(F63)+N(G63)</f>
        <v>3500</v>
      </c>
      <c r="J63" s="42" t="n">
        <f aca="false">ROUND(IFERROR(ROUND(IF(OR(ISNUMBER(SEARCH("week",C63)),ISNUMBER(SEARCH("minggu",C63))),IFERROR(_xlfn.NUMBERVALUE(SUBSTITUTE(LEFT(TRIM(C63),FIND(" ",TRIM(C63)&amp;" ")-1),",","."),"."),LEFT(SUBSTITUTE(LEFT(TRIM(C63),FIND(" ",TRIM(C63)&amp;" ")-1),",","."),FIND("/",SUBSTITUTE(LEFT(TRIM(C63),FIND(" ",TRIM(C63)&amp;" ")-1),",","."))-1)/MID(SUBSTITUTE(LEFT(TRIM(C63),FIND(" ",TRIM(C63)&amp;" ")-1),",","."),FIND("/",SUBSTITUTE(LEFT(TRIM(C63),FIND(" ",TRIM(C63)&amp;" ")-1),",","."))+1,9))*12/52,IF(ISNUMBER(SEARCH("month",C63)),IFERROR(_xlfn.NUMBERVALUE(SUBSTITUTE(LEFT(TRIM(C63),FIND(" ",TRIM(C63)&amp;" ")-1),",","."),"."),LEFT(SUBSTITUTE(LEFT(TRIM(C63),FIND(" ",TRIM(C63)&amp;" ")-1),",","."),FIND("/",SUBSTITUTE(LEFT(TRIM(C63),FIND(" ",TRIM(C63)&amp;" ")-1),",","."))-1)/MID(SUBSTITUTE(LEFT(TRIM(C63),FIND(" ",TRIM(C63)&amp;" ")-1),",","."),FIND("/",SUBSTITUTE(LEFT(TRIM(C63),FIND(" ",TRIM(C63)&amp;" ")-1),",","."))+1,9)),IF(ISNUMBER(SEARCH("yea",C63)),IFERROR(_xlfn.NUMBERVALUE(SUBSTITUTE(LEFT(TRIM(C63),FIND(" ",TRIM(C63)&amp;" ")-1),",","."),"."),LEFT(SUBSTITUTE(LEFT(TRIM(C63),FIND(" ",TRIM(C63)&amp;" ")-1),",","."),FIND("/",SUBSTITUTE(LEFT(TRIM(C63),FIND(" ",TRIM(C63)&amp;" ")-1),",","."))-1)/MID(SUBSTITUTE(LEFT(TRIM(C63),FIND(" ",TRIM(C63)&amp;" ")-1),",","."),FIND("/",SUBSTITUTE(LEFT(TRIM(C63),FIND(" ",TRIM(C63)&amp;" ")-1),",","."))+1,9))*12,NA()))),0),36)*'Aturan &amp; Tarif'!$B$4,2)</f>
        <v>2044.08</v>
      </c>
      <c r="K63" s="42" t="n">
        <f aca="false">'Aturan &amp; Tarif'!$B$5</f>
        <v>2050</v>
      </c>
      <c r="L63" s="42" t="n">
        <f aca="false">'Aturan &amp; Tarif'!$B$6</f>
        <v>350</v>
      </c>
      <c r="M63" s="35" t="n">
        <f aca="false">I63+J63+K63+L63</f>
        <v>7944.08</v>
      </c>
      <c r="N63" s="44" t="s">
        <v>2789</v>
      </c>
    </row>
    <row r="64" customFormat="false" ht="37.5" hidden="false" customHeight="true" outlineLevel="0" collapsed="false">
      <c r="A64" s="39"/>
      <c r="B64" s="40" t="s">
        <v>881</v>
      </c>
      <c r="C64" s="41" t="s">
        <v>107</v>
      </c>
      <c r="D64" s="41" t="s">
        <v>108</v>
      </c>
      <c r="E64" s="42" t="n">
        <v>2625</v>
      </c>
      <c r="F64" s="42" t="n">
        <v>1500</v>
      </c>
      <c r="G64" s="42" t="n">
        <v>250</v>
      </c>
      <c r="H64" s="43" t="n">
        <v>1</v>
      </c>
      <c r="I64" s="34" t="n">
        <f aca="false">E64*H64+N(F64)+N(G64)</f>
        <v>4375</v>
      </c>
      <c r="J64" s="42" t="n">
        <f aca="false">ROUND(IFERROR(ROUND(IF(OR(ISNUMBER(SEARCH("week",C64)),ISNUMBER(SEARCH("minggu",C64))),IFERROR(_xlfn.NUMBERVALUE(SUBSTITUTE(LEFT(TRIM(C64),FIND(" ",TRIM(C64)&amp;" ")-1),",","."),"."),LEFT(SUBSTITUTE(LEFT(TRIM(C64),FIND(" ",TRIM(C64)&amp;" ")-1),",","."),FIND("/",SUBSTITUTE(LEFT(TRIM(C64),FIND(" ",TRIM(C64)&amp;" ")-1),",","."))-1)/MID(SUBSTITUTE(LEFT(TRIM(C64),FIND(" ",TRIM(C64)&amp;" ")-1),",","."),FIND("/",SUBSTITUTE(LEFT(TRIM(C64),FIND(" ",TRIM(C64)&amp;" ")-1),",","."))+1,9))*12/52,IF(ISNUMBER(SEARCH("month",C64)),IFERROR(_xlfn.NUMBERVALUE(SUBSTITUTE(LEFT(TRIM(C64),FIND(" ",TRIM(C64)&amp;" ")-1),",","."),"."),LEFT(SUBSTITUTE(LEFT(TRIM(C64),FIND(" ",TRIM(C64)&amp;" ")-1),",","."),FIND("/",SUBSTITUTE(LEFT(TRIM(C64),FIND(" ",TRIM(C64)&amp;" ")-1),",","."))-1)/MID(SUBSTITUTE(LEFT(TRIM(C64),FIND(" ",TRIM(C64)&amp;" ")-1),",","."),FIND("/",SUBSTITUTE(LEFT(TRIM(C64),FIND(" ",TRIM(C64)&amp;" ")-1),",","."))+1,9)),IF(ISNUMBER(SEARCH("yea",C64)),IFERROR(_xlfn.NUMBERVALUE(SUBSTITUTE(LEFT(TRIM(C64),FIND(" ",TRIM(C64)&amp;" ")-1),",","."),"."),LEFT(SUBSTITUTE(LEFT(TRIM(C64),FIND(" ",TRIM(C64)&amp;" ")-1),",","."),FIND("/",SUBSTITUTE(LEFT(TRIM(C64),FIND(" ",TRIM(C64)&amp;" ")-1),",","."))-1)/MID(SUBSTITUTE(LEFT(TRIM(C64),FIND(" ",TRIM(C64)&amp;" ")-1),",","."),FIND("/",SUBSTITUTE(LEFT(TRIM(C64),FIND(" ",TRIM(C64)&amp;" ")-1),",","."))+1,9))*12,NA()))),0),24)*'Aturan &amp; Tarif'!$B$4,2)</f>
        <v>1362.72</v>
      </c>
      <c r="K64" s="42" t="n">
        <f aca="false">'Aturan &amp; Tarif'!$B$5</f>
        <v>2050</v>
      </c>
      <c r="L64" s="42" t="n">
        <f aca="false">'Aturan &amp; Tarif'!$B$6</f>
        <v>350</v>
      </c>
      <c r="M64" s="35" t="n">
        <f aca="false">I64+J64+K64+L64</f>
        <v>8137.72</v>
      </c>
      <c r="N64" s="44" t="s">
        <v>2790</v>
      </c>
    </row>
    <row r="65" customFormat="false" ht="37.5" hidden="false" customHeight="true" outlineLevel="0" collapsed="false">
      <c r="A65" s="29" t="s">
        <v>2791</v>
      </c>
      <c r="B65" s="30" t="s">
        <v>2792</v>
      </c>
      <c r="C65" s="31" t="s">
        <v>107</v>
      </c>
      <c r="D65" s="31" t="s">
        <v>108</v>
      </c>
      <c r="E65" s="32" t="n">
        <v>1625</v>
      </c>
      <c r="F65" s="32" t="n">
        <v>200</v>
      </c>
      <c r="G65" s="32" t="n">
        <v>250</v>
      </c>
      <c r="H65" s="33" t="n">
        <v>1</v>
      </c>
      <c r="I65" s="34" t="n">
        <f aca="false">E65*H65+N(F65)+N(G65)</f>
        <v>2075</v>
      </c>
      <c r="J65" s="32" t="n">
        <f aca="false">ROUND(IFERROR(ROUND(IF(OR(ISNUMBER(SEARCH("week",C65)),ISNUMBER(SEARCH("minggu",C65))),IFERROR(_xlfn.NUMBERVALUE(SUBSTITUTE(LEFT(TRIM(C65),FIND(" ",TRIM(C65)&amp;" ")-1),",","."),"."),LEFT(SUBSTITUTE(LEFT(TRIM(C65),FIND(" ",TRIM(C65)&amp;" ")-1),",","."),FIND("/",SUBSTITUTE(LEFT(TRIM(C65),FIND(" ",TRIM(C65)&amp;" ")-1),",","."))-1)/MID(SUBSTITUTE(LEFT(TRIM(C65),FIND(" ",TRIM(C65)&amp;" ")-1),",","."),FIND("/",SUBSTITUTE(LEFT(TRIM(C65),FIND(" ",TRIM(C65)&amp;" ")-1),",","."))+1,9))*12/52,IF(ISNUMBER(SEARCH("month",C65)),IFERROR(_xlfn.NUMBERVALUE(SUBSTITUTE(LEFT(TRIM(C65),FIND(" ",TRIM(C65)&amp;" ")-1),",","."),"."),LEFT(SUBSTITUTE(LEFT(TRIM(C65),FIND(" ",TRIM(C65)&amp;" ")-1),",","."),FIND("/",SUBSTITUTE(LEFT(TRIM(C65),FIND(" ",TRIM(C65)&amp;" ")-1),",","."))-1)/MID(SUBSTITUTE(LEFT(TRIM(C65),FIND(" ",TRIM(C65)&amp;" ")-1),",","."),FIND("/",SUBSTITUTE(LEFT(TRIM(C65),FIND(" ",TRIM(C65)&amp;" ")-1),",","."))+1,9)),IF(ISNUMBER(SEARCH("yea",C65)),IFERROR(_xlfn.NUMBERVALUE(SUBSTITUTE(LEFT(TRIM(C65),FIND(" ",TRIM(C65)&amp;" ")-1),",","."),"."),LEFT(SUBSTITUTE(LEFT(TRIM(C65),FIND(" ",TRIM(C65)&amp;" ")-1),",","."),FIND("/",SUBSTITUTE(LEFT(TRIM(C65),FIND(" ",TRIM(C65)&amp;" ")-1),",","."))-1)/MID(SUBSTITUTE(LEFT(TRIM(C65),FIND(" ",TRIM(C65)&amp;" ")-1),",","."),FIND("/",SUBSTITUTE(LEFT(TRIM(C65),FIND(" ",TRIM(C65)&amp;" ")-1),",","."))+1,9))*12,NA()))),0),24)*'Aturan &amp; Tarif'!$B$4,2)</f>
        <v>1362.72</v>
      </c>
      <c r="K65" s="32" t="n">
        <f aca="false">'Aturan &amp; Tarif'!$B$5</f>
        <v>2050</v>
      </c>
      <c r="L65" s="32" t="n">
        <f aca="false">'Aturan &amp; Tarif'!$B$6</f>
        <v>350</v>
      </c>
      <c r="M65" s="35" t="n">
        <f aca="false">I65+J65+K65+L65</f>
        <v>5837.72</v>
      </c>
      <c r="N65" s="37" t="s">
        <v>134</v>
      </c>
    </row>
    <row r="66" customFormat="false" ht="14.25" hidden="false" customHeight="true" outlineLevel="0" collapsed="false">
      <c r="A66" s="29"/>
      <c r="B66" s="30" t="s">
        <v>2793</v>
      </c>
      <c r="C66" s="31" t="s">
        <v>127</v>
      </c>
      <c r="D66" s="31" t="s">
        <v>108</v>
      </c>
      <c r="E66" s="32" t="n">
        <v>1625</v>
      </c>
      <c r="F66" s="32" t="n">
        <v>200</v>
      </c>
      <c r="G66" s="32" t="n">
        <v>250</v>
      </c>
      <c r="H66" s="33" t="n">
        <v>1</v>
      </c>
      <c r="I66" s="34" t="n">
        <f aca="false">E66*H66+N(F66)+N(G66)</f>
        <v>2075</v>
      </c>
      <c r="J66" s="32" t="n">
        <f aca="false">ROUND(IFERROR(ROUND(IF(OR(ISNUMBER(SEARCH("week",C66)),ISNUMBER(SEARCH("minggu",C66))),IFERROR(_xlfn.NUMBERVALUE(SUBSTITUTE(LEFT(TRIM(C66),FIND(" ",TRIM(C66)&amp;" ")-1),",","."),"."),LEFT(SUBSTITUTE(LEFT(TRIM(C66),FIND(" ",TRIM(C66)&amp;" ")-1),",","."),FIND("/",SUBSTITUTE(LEFT(TRIM(C66),FIND(" ",TRIM(C66)&amp;" ")-1),",","."))-1)/MID(SUBSTITUTE(LEFT(TRIM(C66),FIND(" ",TRIM(C66)&amp;" ")-1),",","."),FIND("/",SUBSTITUTE(LEFT(TRIM(C66),FIND(" ",TRIM(C66)&amp;" ")-1),",","."))+1,9))*12/52,IF(ISNUMBER(SEARCH("month",C66)),IFERROR(_xlfn.NUMBERVALUE(SUBSTITUTE(LEFT(TRIM(C66),FIND(" ",TRIM(C66)&amp;" ")-1),",","."),"."),LEFT(SUBSTITUTE(LEFT(TRIM(C66),FIND(" ",TRIM(C66)&amp;" ")-1),",","."),FIND("/",SUBSTITUTE(LEFT(TRIM(C66),FIND(" ",TRIM(C66)&amp;" ")-1),",","."))-1)/MID(SUBSTITUTE(LEFT(TRIM(C66),FIND(" ",TRIM(C66)&amp;" ")-1),",","."),FIND("/",SUBSTITUTE(LEFT(TRIM(C66),FIND(" ",TRIM(C66)&amp;" ")-1),",","."))+1,9)),IF(ISNUMBER(SEARCH("yea",C66)),IFERROR(_xlfn.NUMBERVALUE(SUBSTITUTE(LEFT(TRIM(C66),FIND(" ",TRIM(C66)&amp;" ")-1),",","."),"."),LEFT(SUBSTITUTE(LEFT(TRIM(C66),FIND(" ",TRIM(C66)&amp;" ")-1),",","."),FIND("/",SUBSTITUTE(LEFT(TRIM(C66),FIND(" ",TRIM(C66)&amp;" ")-1),",","."))-1)/MID(SUBSTITUTE(LEFT(TRIM(C66),FIND(" ",TRIM(C66)&amp;" ")-1),",","."),FIND("/",SUBSTITUTE(LEFT(TRIM(C66),FIND(" ",TRIM(C66)&amp;" ")-1),",","."))+1,9))*12,NA()))),0),36)*'Aturan &amp; Tarif'!$B$4,2)</f>
        <v>2044.08</v>
      </c>
      <c r="K66" s="32" t="n">
        <f aca="false">'Aturan &amp; Tarif'!$B$5</f>
        <v>2050</v>
      </c>
      <c r="L66" s="32" t="n">
        <f aca="false">'Aturan &amp; Tarif'!$B$6</f>
        <v>350</v>
      </c>
      <c r="M66" s="35" t="n">
        <f aca="false">I66+J66+K66+L66</f>
        <v>6519.08</v>
      </c>
      <c r="N66" s="37" t="s">
        <v>134</v>
      </c>
    </row>
    <row r="67" customFormat="false" ht="25.5" hidden="false" customHeight="true" outlineLevel="0" collapsed="false">
      <c r="A67" s="29"/>
      <c r="B67" s="30" t="s">
        <v>2794</v>
      </c>
      <c r="C67" s="31" t="s">
        <v>107</v>
      </c>
      <c r="D67" s="31" t="s">
        <v>108</v>
      </c>
      <c r="E67" s="32" t="n">
        <v>1625</v>
      </c>
      <c r="F67" s="32" t="n">
        <v>200</v>
      </c>
      <c r="G67" s="32" t="n">
        <v>250</v>
      </c>
      <c r="H67" s="33" t="n">
        <v>1</v>
      </c>
      <c r="I67" s="34" t="n">
        <f aca="false">E67*H67+N(F67)+N(G67)</f>
        <v>2075</v>
      </c>
      <c r="J67" s="32" t="n">
        <f aca="false">ROUND(IFERROR(ROUND(IF(OR(ISNUMBER(SEARCH("week",C67)),ISNUMBER(SEARCH("minggu",C67))),IFERROR(_xlfn.NUMBERVALUE(SUBSTITUTE(LEFT(TRIM(C67),FIND(" ",TRIM(C67)&amp;" ")-1),",","."),"."),LEFT(SUBSTITUTE(LEFT(TRIM(C67),FIND(" ",TRIM(C67)&amp;" ")-1),",","."),FIND("/",SUBSTITUTE(LEFT(TRIM(C67),FIND(" ",TRIM(C67)&amp;" ")-1),",","."))-1)/MID(SUBSTITUTE(LEFT(TRIM(C67),FIND(" ",TRIM(C67)&amp;" ")-1),",","."),FIND("/",SUBSTITUTE(LEFT(TRIM(C67),FIND(" ",TRIM(C67)&amp;" ")-1),",","."))+1,9))*12/52,IF(ISNUMBER(SEARCH("month",C67)),IFERROR(_xlfn.NUMBERVALUE(SUBSTITUTE(LEFT(TRIM(C67),FIND(" ",TRIM(C67)&amp;" ")-1),",","."),"."),LEFT(SUBSTITUTE(LEFT(TRIM(C67),FIND(" ",TRIM(C67)&amp;" ")-1),",","."),FIND("/",SUBSTITUTE(LEFT(TRIM(C67),FIND(" ",TRIM(C67)&amp;" ")-1),",","."))-1)/MID(SUBSTITUTE(LEFT(TRIM(C67),FIND(" ",TRIM(C67)&amp;" ")-1),",","."),FIND("/",SUBSTITUTE(LEFT(TRIM(C67),FIND(" ",TRIM(C67)&amp;" ")-1),",","."))+1,9)),IF(ISNUMBER(SEARCH("yea",C67)),IFERROR(_xlfn.NUMBERVALUE(SUBSTITUTE(LEFT(TRIM(C67),FIND(" ",TRIM(C67)&amp;" ")-1),",","."),"."),LEFT(SUBSTITUTE(LEFT(TRIM(C67),FIND(" ",TRIM(C67)&amp;" ")-1),",","."),FIND("/",SUBSTITUTE(LEFT(TRIM(C67),FIND(" ",TRIM(C67)&amp;" ")-1),",","."))-1)/MID(SUBSTITUTE(LEFT(TRIM(C67),FIND(" ",TRIM(C67)&amp;" ")-1),",","."),FIND("/",SUBSTITUTE(LEFT(TRIM(C67),FIND(" ",TRIM(C67)&amp;" ")-1),",","."))+1,9))*12,NA()))),0),24)*'Aturan &amp; Tarif'!$B$4,2)</f>
        <v>1362.72</v>
      </c>
      <c r="K67" s="32" t="n">
        <f aca="false">'Aturan &amp; Tarif'!$B$5</f>
        <v>2050</v>
      </c>
      <c r="L67" s="32" t="n">
        <f aca="false">'Aturan &amp; Tarif'!$B$6</f>
        <v>350</v>
      </c>
      <c r="M67" s="35" t="n">
        <f aca="false">I67+J67+K67+L67</f>
        <v>5837.72</v>
      </c>
      <c r="N67" s="37" t="s">
        <v>134</v>
      </c>
    </row>
    <row r="68" customFormat="false" ht="25.5" hidden="false" customHeight="true" outlineLevel="0" collapsed="false">
      <c r="A68" s="29"/>
      <c r="B68" s="30" t="s">
        <v>2795</v>
      </c>
      <c r="C68" s="31" t="s">
        <v>127</v>
      </c>
      <c r="D68" s="31" t="s">
        <v>108</v>
      </c>
      <c r="E68" s="32" t="n">
        <v>1625</v>
      </c>
      <c r="F68" s="32" t="n">
        <v>200</v>
      </c>
      <c r="G68" s="32" t="n">
        <v>250</v>
      </c>
      <c r="H68" s="33" t="n">
        <v>1</v>
      </c>
      <c r="I68" s="34" t="n">
        <f aca="false">E68*H68+N(F68)+N(G68)</f>
        <v>2075</v>
      </c>
      <c r="J68" s="32" t="n">
        <f aca="false">ROUND(IFERROR(ROUND(IF(OR(ISNUMBER(SEARCH("week",C68)),ISNUMBER(SEARCH("minggu",C68))),IFERROR(_xlfn.NUMBERVALUE(SUBSTITUTE(LEFT(TRIM(C68),FIND(" ",TRIM(C68)&amp;" ")-1),",","."),"."),LEFT(SUBSTITUTE(LEFT(TRIM(C68),FIND(" ",TRIM(C68)&amp;" ")-1),",","."),FIND("/",SUBSTITUTE(LEFT(TRIM(C68),FIND(" ",TRIM(C68)&amp;" ")-1),",","."))-1)/MID(SUBSTITUTE(LEFT(TRIM(C68),FIND(" ",TRIM(C68)&amp;" ")-1),",","."),FIND("/",SUBSTITUTE(LEFT(TRIM(C68),FIND(" ",TRIM(C68)&amp;" ")-1),",","."))+1,9))*12/52,IF(ISNUMBER(SEARCH("month",C68)),IFERROR(_xlfn.NUMBERVALUE(SUBSTITUTE(LEFT(TRIM(C68),FIND(" ",TRIM(C68)&amp;" ")-1),",","."),"."),LEFT(SUBSTITUTE(LEFT(TRIM(C68),FIND(" ",TRIM(C68)&amp;" ")-1),",","."),FIND("/",SUBSTITUTE(LEFT(TRIM(C68),FIND(" ",TRIM(C68)&amp;" ")-1),",","."))-1)/MID(SUBSTITUTE(LEFT(TRIM(C68),FIND(" ",TRIM(C68)&amp;" ")-1),",","."),FIND("/",SUBSTITUTE(LEFT(TRIM(C68),FIND(" ",TRIM(C68)&amp;" ")-1),",","."))+1,9)),IF(ISNUMBER(SEARCH("yea",C68)),IFERROR(_xlfn.NUMBERVALUE(SUBSTITUTE(LEFT(TRIM(C68),FIND(" ",TRIM(C68)&amp;" ")-1),",","."),"."),LEFT(SUBSTITUTE(LEFT(TRIM(C68),FIND(" ",TRIM(C68)&amp;" ")-1),",","."),FIND("/",SUBSTITUTE(LEFT(TRIM(C68),FIND(" ",TRIM(C68)&amp;" ")-1),",","."))-1)/MID(SUBSTITUTE(LEFT(TRIM(C68),FIND(" ",TRIM(C68)&amp;" ")-1),",","."),FIND("/",SUBSTITUTE(LEFT(TRIM(C68),FIND(" ",TRIM(C68)&amp;" ")-1),",","."))+1,9))*12,NA()))),0),36)*'Aturan &amp; Tarif'!$B$4,2)</f>
        <v>2044.08</v>
      </c>
      <c r="K68" s="32" t="n">
        <f aca="false">'Aturan &amp; Tarif'!$B$5</f>
        <v>2050</v>
      </c>
      <c r="L68" s="32" t="n">
        <f aca="false">'Aturan &amp; Tarif'!$B$6</f>
        <v>350</v>
      </c>
      <c r="M68" s="35" t="n">
        <f aca="false">I68+J68+K68+L68</f>
        <v>6519.08</v>
      </c>
      <c r="N68" s="37" t="s">
        <v>134</v>
      </c>
    </row>
    <row r="69" customFormat="false" ht="14.25" hidden="false" customHeight="true" outlineLevel="0" collapsed="false">
      <c r="A69" s="29"/>
      <c r="B69" s="30" t="s">
        <v>471</v>
      </c>
      <c r="C69" s="31" t="s">
        <v>107</v>
      </c>
      <c r="D69" s="31" t="s">
        <v>108</v>
      </c>
      <c r="E69" s="32" t="n">
        <v>2500</v>
      </c>
      <c r="F69" s="32" t="n">
        <v>1750</v>
      </c>
      <c r="G69" s="32" t="n">
        <v>250</v>
      </c>
      <c r="H69" s="33" t="n">
        <v>1</v>
      </c>
      <c r="I69" s="34" t="n">
        <f aca="false">E69*H69+N(F69)+N(G69)</f>
        <v>4500</v>
      </c>
      <c r="J69" s="32" t="n">
        <f aca="false">ROUND(IFERROR(ROUND(IF(OR(ISNUMBER(SEARCH("week",C69)),ISNUMBER(SEARCH("minggu",C69))),IFERROR(_xlfn.NUMBERVALUE(SUBSTITUTE(LEFT(TRIM(C69),FIND(" ",TRIM(C69)&amp;" ")-1),",","."),"."),LEFT(SUBSTITUTE(LEFT(TRIM(C69),FIND(" ",TRIM(C69)&amp;" ")-1),",","."),FIND("/",SUBSTITUTE(LEFT(TRIM(C69),FIND(" ",TRIM(C69)&amp;" ")-1),",","."))-1)/MID(SUBSTITUTE(LEFT(TRIM(C69),FIND(" ",TRIM(C69)&amp;" ")-1),",","."),FIND("/",SUBSTITUTE(LEFT(TRIM(C69),FIND(" ",TRIM(C69)&amp;" ")-1),",","."))+1,9))*12/52,IF(ISNUMBER(SEARCH("month",C69)),IFERROR(_xlfn.NUMBERVALUE(SUBSTITUTE(LEFT(TRIM(C69),FIND(" ",TRIM(C69)&amp;" ")-1),",","."),"."),LEFT(SUBSTITUTE(LEFT(TRIM(C69),FIND(" ",TRIM(C69)&amp;" ")-1),",","."),FIND("/",SUBSTITUTE(LEFT(TRIM(C69),FIND(" ",TRIM(C69)&amp;" ")-1),",","."))-1)/MID(SUBSTITUTE(LEFT(TRIM(C69),FIND(" ",TRIM(C69)&amp;" ")-1),",","."),FIND("/",SUBSTITUTE(LEFT(TRIM(C69),FIND(" ",TRIM(C69)&amp;" ")-1),",","."))+1,9)),IF(ISNUMBER(SEARCH("yea",C69)),IFERROR(_xlfn.NUMBERVALUE(SUBSTITUTE(LEFT(TRIM(C69),FIND(" ",TRIM(C69)&amp;" ")-1),",","."),"."),LEFT(SUBSTITUTE(LEFT(TRIM(C69),FIND(" ",TRIM(C69)&amp;" ")-1),",","."),FIND("/",SUBSTITUTE(LEFT(TRIM(C69),FIND(" ",TRIM(C69)&amp;" ")-1),",","."))-1)/MID(SUBSTITUTE(LEFT(TRIM(C69),FIND(" ",TRIM(C69)&amp;" ")-1),",","."),FIND("/",SUBSTITUTE(LEFT(TRIM(C69),FIND(" ",TRIM(C69)&amp;" ")-1),",","."))+1,9))*12,NA()))),0),24)*'Aturan &amp; Tarif'!$B$4,2)</f>
        <v>1362.72</v>
      </c>
      <c r="K69" s="32" t="n">
        <f aca="false">'Aturan &amp; Tarif'!$B$5</f>
        <v>2050</v>
      </c>
      <c r="L69" s="32" t="n">
        <f aca="false">'Aturan &amp; Tarif'!$B$6</f>
        <v>350</v>
      </c>
      <c r="M69" s="35" t="n">
        <f aca="false">I69+J69+K69+L69</f>
        <v>8262.72</v>
      </c>
      <c r="N69" s="37" t="s">
        <v>134</v>
      </c>
    </row>
    <row r="70" customFormat="false" ht="25.5" hidden="false" customHeight="true" outlineLevel="0" collapsed="false">
      <c r="A70" s="29"/>
      <c r="B70" s="30" t="s">
        <v>2796</v>
      </c>
      <c r="C70" s="31" t="s">
        <v>136</v>
      </c>
      <c r="D70" s="31" t="s">
        <v>108</v>
      </c>
      <c r="E70" s="32" t="n">
        <v>2500</v>
      </c>
      <c r="F70" s="32" t="n">
        <v>1750</v>
      </c>
      <c r="G70" s="32" t="n">
        <v>250</v>
      </c>
      <c r="H70" s="33" t="n">
        <v>1</v>
      </c>
      <c r="I70" s="34" t="n">
        <f aca="false">E70*H70+N(F70)+N(G70)</f>
        <v>4500</v>
      </c>
      <c r="J70" s="32" t="n">
        <f aca="false">ROUND(IFERROR(ROUND(IF(OR(ISNUMBER(SEARCH("week",C70)),ISNUMBER(SEARCH("minggu",C70))),IFERROR(_xlfn.NUMBERVALUE(SUBSTITUTE(LEFT(TRIM(C70),FIND(" ",TRIM(C70)&amp;" ")-1),",","."),"."),LEFT(SUBSTITUTE(LEFT(TRIM(C70),FIND(" ",TRIM(C70)&amp;" ")-1),",","."),FIND("/",SUBSTITUTE(LEFT(TRIM(C70),FIND(" ",TRIM(C70)&amp;" ")-1),",","."))-1)/MID(SUBSTITUTE(LEFT(TRIM(C70),FIND(" ",TRIM(C70)&amp;" ")-1),",","."),FIND("/",SUBSTITUTE(LEFT(TRIM(C70),FIND(" ",TRIM(C70)&amp;" ")-1),",","."))+1,9))*12/52,IF(ISNUMBER(SEARCH("month",C70)),IFERROR(_xlfn.NUMBERVALUE(SUBSTITUTE(LEFT(TRIM(C70),FIND(" ",TRIM(C70)&amp;" ")-1),",","."),"."),LEFT(SUBSTITUTE(LEFT(TRIM(C70),FIND(" ",TRIM(C70)&amp;" ")-1),",","."),FIND("/",SUBSTITUTE(LEFT(TRIM(C70),FIND(" ",TRIM(C70)&amp;" ")-1),",","."))-1)/MID(SUBSTITUTE(LEFT(TRIM(C70),FIND(" ",TRIM(C70)&amp;" ")-1),",","."),FIND("/",SUBSTITUTE(LEFT(TRIM(C70),FIND(" ",TRIM(C70)&amp;" ")-1),",","."))+1,9)),IF(ISNUMBER(SEARCH("yea",C70)),IFERROR(_xlfn.NUMBERVALUE(SUBSTITUTE(LEFT(TRIM(C70),FIND(" ",TRIM(C70)&amp;" ")-1),",","."),"."),LEFT(SUBSTITUTE(LEFT(TRIM(C70),FIND(" ",TRIM(C70)&amp;" ")-1),",","."),FIND("/",SUBSTITUTE(LEFT(TRIM(C70),FIND(" ",TRIM(C70)&amp;" ")-1),",","."))-1)/MID(SUBSTITUTE(LEFT(TRIM(C70),FIND(" ",TRIM(C70)&amp;" ")-1),",","."),FIND("/",SUBSTITUTE(LEFT(TRIM(C70),FIND(" ",TRIM(C70)&amp;" ")-1),",","."))+1,9))*12,NA()))),0),42)*'Aturan &amp; Tarif'!$B$4,2)</f>
        <v>2384.76</v>
      </c>
      <c r="K70" s="32" t="n">
        <f aca="false">'Aturan &amp; Tarif'!$B$5</f>
        <v>2050</v>
      </c>
      <c r="L70" s="32" t="n">
        <f aca="false">'Aturan &amp; Tarif'!$B$6</f>
        <v>350</v>
      </c>
      <c r="M70" s="35" t="n">
        <f aca="false">I70+J70+K70+L70</f>
        <v>9284.76</v>
      </c>
      <c r="N70" s="37" t="s">
        <v>134</v>
      </c>
    </row>
    <row r="71" customFormat="false" ht="25.5" hidden="false" customHeight="true" outlineLevel="0" collapsed="false">
      <c r="A71" s="29"/>
      <c r="B71" s="30" t="s">
        <v>2797</v>
      </c>
      <c r="C71" s="31" t="s">
        <v>130</v>
      </c>
      <c r="D71" s="31" t="s">
        <v>108</v>
      </c>
      <c r="E71" s="32" t="n">
        <v>2750</v>
      </c>
      <c r="F71" s="32" t="n">
        <v>1750</v>
      </c>
      <c r="G71" s="32" t="n">
        <v>250</v>
      </c>
      <c r="H71" s="33" t="n">
        <v>1</v>
      </c>
      <c r="I71" s="34" t="n">
        <f aca="false">E71*H71+N(F71)+N(G71)</f>
        <v>4750</v>
      </c>
      <c r="J71" s="32" t="n">
        <f aca="false">ROUND(IFERROR(ROUND(IF(OR(ISNUMBER(SEARCH("week",C71)),ISNUMBER(SEARCH("minggu",C71))),IFERROR(_xlfn.NUMBERVALUE(SUBSTITUTE(LEFT(TRIM(C71),FIND(" ",TRIM(C71)&amp;" ")-1),",","."),"."),LEFT(SUBSTITUTE(LEFT(TRIM(C71),FIND(" ",TRIM(C71)&amp;" ")-1),",","."),FIND("/",SUBSTITUTE(LEFT(TRIM(C71),FIND(" ",TRIM(C71)&amp;" ")-1),",","."))-1)/MID(SUBSTITUTE(LEFT(TRIM(C71),FIND(" ",TRIM(C71)&amp;" ")-1),",","."),FIND("/",SUBSTITUTE(LEFT(TRIM(C71),FIND(" ",TRIM(C71)&amp;" ")-1),",","."))+1,9))*12/52,IF(ISNUMBER(SEARCH("month",C71)),IFERROR(_xlfn.NUMBERVALUE(SUBSTITUTE(LEFT(TRIM(C71),FIND(" ",TRIM(C71)&amp;" ")-1),",","."),"."),LEFT(SUBSTITUTE(LEFT(TRIM(C71),FIND(" ",TRIM(C71)&amp;" ")-1),",","."),FIND("/",SUBSTITUTE(LEFT(TRIM(C71),FIND(" ",TRIM(C71)&amp;" ")-1),",","."))-1)/MID(SUBSTITUTE(LEFT(TRIM(C71),FIND(" ",TRIM(C71)&amp;" ")-1),",","."),FIND("/",SUBSTITUTE(LEFT(TRIM(C71),FIND(" ",TRIM(C71)&amp;" ")-1),",","."))+1,9)),IF(ISNUMBER(SEARCH("yea",C71)),IFERROR(_xlfn.NUMBERVALUE(SUBSTITUTE(LEFT(TRIM(C71),FIND(" ",TRIM(C71)&amp;" ")-1),",","."),"."),LEFT(SUBSTITUTE(LEFT(TRIM(C71),FIND(" ",TRIM(C71)&amp;" ")-1),",","."),FIND("/",SUBSTITUTE(LEFT(TRIM(C71),FIND(" ",TRIM(C71)&amp;" ")-1),",","."))-1)/MID(SUBSTITUTE(LEFT(TRIM(C71),FIND(" ",TRIM(C71)&amp;" ")-1),",","."),FIND("/",SUBSTITUTE(LEFT(TRIM(C71),FIND(" ",TRIM(C71)&amp;" ")-1),",","."))+1,9))*12,NA()))),0),12)*'Aturan &amp; Tarif'!$B$4,2)</f>
        <v>681.36</v>
      </c>
      <c r="K71" s="32" t="n">
        <f aca="false">'Aturan &amp; Tarif'!$B$5</f>
        <v>2050</v>
      </c>
      <c r="L71" s="32" t="n">
        <f aca="false">'Aturan &amp; Tarif'!$B$6</f>
        <v>350</v>
      </c>
      <c r="M71" s="35" t="n">
        <f aca="false">I71+J71+K71+L71</f>
        <v>7831.36</v>
      </c>
      <c r="N71" s="37" t="s">
        <v>134</v>
      </c>
    </row>
    <row r="72" customFormat="false" ht="25.5" hidden="false" customHeight="true" outlineLevel="0" collapsed="false">
      <c r="A72" s="29"/>
      <c r="B72" s="30" t="s">
        <v>422</v>
      </c>
      <c r="C72" s="31" t="s">
        <v>113</v>
      </c>
      <c r="D72" s="31" t="s">
        <v>108</v>
      </c>
      <c r="E72" s="32" t="n">
        <v>2625</v>
      </c>
      <c r="F72" s="32" t="n">
        <v>1500</v>
      </c>
      <c r="G72" s="32" t="n">
        <v>250</v>
      </c>
      <c r="H72" s="33" t="n">
        <v>1</v>
      </c>
      <c r="I72" s="34" t="n">
        <f aca="false">E72*H72+N(F72)+N(G72)</f>
        <v>4375</v>
      </c>
      <c r="J72" s="32" t="n">
        <f aca="false">ROUND(IFERROR(ROUND(IF(OR(ISNUMBER(SEARCH("week",C72)),ISNUMBER(SEARCH("minggu",C72))),IFERROR(_xlfn.NUMBERVALUE(SUBSTITUTE(LEFT(TRIM(C72),FIND(" ",TRIM(C72)&amp;" ")-1),",","."),"."),LEFT(SUBSTITUTE(LEFT(TRIM(C72),FIND(" ",TRIM(C72)&amp;" ")-1),",","."),FIND("/",SUBSTITUTE(LEFT(TRIM(C72),FIND(" ",TRIM(C72)&amp;" ")-1),",","."))-1)/MID(SUBSTITUTE(LEFT(TRIM(C72),FIND(" ",TRIM(C72)&amp;" ")-1),",","."),FIND("/",SUBSTITUTE(LEFT(TRIM(C72),FIND(" ",TRIM(C72)&amp;" ")-1),",","."))+1,9))*12/52,IF(ISNUMBER(SEARCH("month",C72)),IFERROR(_xlfn.NUMBERVALUE(SUBSTITUTE(LEFT(TRIM(C72),FIND(" ",TRIM(C72)&amp;" ")-1),",","."),"."),LEFT(SUBSTITUTE(LEFT(TRIM(C72),FIND(" ",TRIM(C72)&amp;" ")-1),",","."),FIND("/",SUBSTITUTE(LEFT(TRIM(C72),FIND(" ",TRIM(C72)&amp;" ")-1),",","."))-1)/MID(SUBSTITUTE(LEFT(TRIM(C72),FIND(" ",TRIM(C72)&amp;" ")-1),",","."),FIND("/",SUBSTITUTE(LEFT(TRIM(C72),FIND(" ",TRIM(C72)&amp;" ")-1),",","."))+1,9)),IF(ISNUMBER(SEARCH("yea",C72)),IFERROR(_xlfn.NUMBERVALUE(SUBSTITUTE(LEFT(TRIM(C72),FIND(" ",TRIM(C72)&amp;" ")-1),",","."),"."),LEFT(SUBSTITUTE(LEFT(TRIM(C72),FIND(" ",TRIM(C72)&amp;" ")-1),",","."),FIND("/",SUBSTITUTE(LEFT(TRIM(C72),FIND(" ",TRIM(C72)&amp;" ")-1),",","."))-1)/MID(SUBSTITUTE(LEFT(TRIM(C72),FIND(" ",TRIM(C72)&amp;" ")-1),",","."),FIND("/",SUBSTITUTE(LEFT(TRIM(C72),FIND(" ",TRIM(C72)&amp;" ")-1),",","."))+1,9))*12,NA()))),0),18)*'Aturan &amp; Tarif'!$B$4,2)</f>
        <v>1022.04</v>
      </c>
      <c r="K72" s="32" t="n">
        <f aca="false">'Aturan &amp; Tarif'!$B$5</f>
        <v>2050</v>
      </c>
      <c r="L72" s="32" t="n">
        <f aca="false">'Aturan &amp; Tarif'!$B$6</f>
        <v>350</v>
      </c>
      <c r="M72" s="35" t="n">
        <f aca="false">I72+J72+K72+L72</f>
        <v>7797.04</v>
      </c>
      <c r="N72" s="37" t="s">
        <v>134</v>
      </c>
    </row>
    <row r="73" customFormat="false" ht="37.5" hidden="false" customHeight="true" outlineLevel="0" collapsed="false">
      <c r="A73" s="29"/>
      <c r="B73" s="30" t="s">
        <v>2798</v>
      </c>
      <c r="C73" s="31" t="s">
        <v>107</v>
      </c>
      <c r="D73" s="31" t="s">
        <v>108</v>
      </c>
      <c r="E73" s="32" t="n">
        <v>2625</v>
      </c>
      <c r="F73" s="32" t="n">
        <v>1500</v>
      </c>
      <c r="G73" s="32" t="n">
        <v>250</v>
      </c>
      <c r="H73" s="33" t="n">
        <v>1</v>
      </c>
      <c r="I73" s="34" t="n">
        <f aca="false">E73*H73+N(F73)+N(G73)</f>
        <v>4375</v>
      </c>
      <c r="J73" s="32" t="n">
        <f aca="false">ROUND(IFERROR(ROUND(IF(OR(ISNUMBER(SEARCH("week",C73)),ISNUMBER(SEARCH("minggu",C73))),IFERROR(_xlfn.NUMBERVALUE(SUBSTITUTE(LEFT(TRIM(C73),FIND(" ",TRIM(C73)&amp;" ")-1),",","."),"."),LEFT(SUBSTITUTE(LEFT(TRIM(C73),FIND(" ",TRIM(C73)&amp;" ")-1),",","."),FIND("/",SUBSTITUTE(LEFT(TRIM(C73),FIND(" ",TRIM(C73)&amp;" ")-1),",","."))-1)/MID(SUBSTITUTE(LEFT(TRIM(C73),FIND(" ",TRIM(C73)&amp;" ")-1),",","."),FIND("/",SUBSTITUTE(LEFT(TRIM(C73),FIND(" ",TRIM(C73)&amp;" ")-1),",","."))+1,9))*12/52,IF(ISNUMBER(SEARCH("month",C73)),IFERROR(_xlfn.NUMBERVALUE(SUBSTITUTE(LEFT(TRIM(C73),FIND(" ",TRIM(C73)&amp;" ")-1),",","."),"."),LEFT(SUBSTITUTE(LEFT(TRIM(C73),FIND(" ",TRIM(C73)&amp;" ")-1),",","."),FIND("/",SUBSTITUTE(LEFT(TRIM(C73),FIND(" ",TRIM(C73)&amp;" ")-1),",","."))-1)/MID(SUBSTITUTE(LEFT(TRIM(C73),FIND(" ",TRIM(C73)&amp;" ")-1),",","."),FIND("/",SUBSTITUTE(LEFT(TRIM(C73),FIND(" ",TRIM(C73)&amp;" ")-1),",","."))+1,9)),IF(ISNUMBER(SEARCH("yea",C73)),IFERROR(_xlfn.NUMBERVALUE(SUBSTITUTE(LEFT(TRIM(C73),FIND(" ",TRIM(C73)&amp;" ")-1),",","."),"."),LEFT(SUBSTITUTE(LEFT(TRIM(C73),FIND(" ",TRIM(C73)&amp;" ")-1),",","."),FIND("/",SUBSTITUTE(LEFT(TRIM(C73),FIND(" ",TRIM(C73)&amp;" ")-1),",","."))-1)/MID(SUBSTITUTE(LEFT(TRIM(C73),FIND(" ",TRIM(C73)&amp;" ")-1),",","."),FIND("/",SUBSTITUTE(LEFT(TRIM(C73),FIND(" ",TRIM(C73)&amp;" ")-1),",","."))+1,9))*12,NA()))),0),24)*'Aturan &amp; Tarif'!$B$4,2)</f>
        <v>1362.72</v>
      </c>
      <c r="K73" s="32" t="n">
        <f aca="false">'Aturan &amp; Tarif'!$B$5</f>
        <v>2050</v>
      </c>
      <c r="L73" s="32" t="n">
        <f aca="false">'Aturan &amp; Tarif'!$B$6</f>
        <v>350</v>
      </c>
      <c r="M73" s="35" t="n">
        <f aca="false">I73+J73+K73+L73</f>
        <v>8137.72</v>
      </c>
      <c r="N73" s="37" t="s">
        <v>134</v>
      </c>
    </row>
    <row r="74" customFormat="false" ht="37.5" hidden="false" customHeight="true" outlineLevel="0" collapsed="false">
      <c r="A74" s="29"/>
      <c r="B74" s="30" t="s">
        <v>2799</v>
      </c>
      <c r="C74" s="31" t="s">
        <v>127</v>
      </c>
      <c r="D74" s="31" t="s">
        <v>108</v>
      </c>
      <c r="E74" s="32" t="n">
        <v>2625</v>
      </c>
      <c r="F74" s="32" t="n">
        <v>1500</v>
      </c>
      <c r="G74" s="32" t="n">
        <v>250</v>
      </c>
      <c r="H74" s="33" t="n">
        <v>1</v>
      </c>
      <c r="I74" s="34" t="n">
        <f aca="false">E74*H74+N(F74)+N(G74)</f>
        <v>4375</v>
      </c>
      <c r="J74" s="32" t="n">
        <f aca="false">ROUND(IFERROR(ROUND(IF(OR(ISNUMBER(SEARCH("week",C74)),ISNUMBER(SEARCH("minggu",C74))),IFERROR(_xlfn.NUMBERVALUE(SUBSTITUTE(LEFT(TRIM(C74),FIND(" ",TRIM(C74)&amp;" ")-1),",","."),"."),LEFT(SUBSTITUTE(LEFT(TRIM(C74),FIND(" ",TRIM(C74)&amp;" ")-1),",","."),FIND("/",SUBSTITUTE(LEFT(TRIM(C74),FIND(" ",TRIM(C74)&amp;" ")-1),",","."))-1)/MID(SUBSTITUTE(LEFT(TRIM(C74),FIND(" ",TRIM(C74)&amp;" ")-1),",","."),FIND("/",SUBSTITUTE(LEFT(TRIM(C74),FIND(" ",TRIM(C74)&amp;" ")-1),",","."))+1,9))*12/52,IF(ISNUMBER(SEARCH("month",C74)),IFERROR(_xlfn.NUMBERVALUE(SUBSTITUTE(LEFT(TRIM(C74),FIND(" ",TRIM(C74)&amp;" ")-1),",","."),"."),LEFT(SUBSTITUTE(LEFT(TRIM(C74),FIND(" ",TRIM(C74)&amp;" ")-1),",","."),FIND("/",SUBSTITUTE(LEFT(TRIM(C74),FIND(" ",TRIM(C74)&amp;" ")-1),",","."))-1)/MID(SUBSTITUTE(LEFT(TRIM(C74),FIND(" ",TRIM(C74)&amp;" ")-1),",","."),FIND("/",SUBSTITUTE(LEFT(TRIM(C74),FIND(" ",TRIM(C74)&amp;" ")-1),",","."))+1,9)),IF(ISNUMBER(SEARCH("yea",C74)),IFERROR(_xlfn.NUMBERVALUE(SUBSTITUTE(LEFT(TRIM(C74),FIND(" ",TRIM(C74)&amp;" ")-1),",","."),"."),LEFT(SUBSTITUTE(LEFT(TRIM(C74),FIND(" ",TRIM(C74)&amp;" ")-1),",","."),FIND("/",SUBSTITUTE(LEFT(TRIM(C74),FIND(" ",TRIM(C74)&amp;" ")-1),",","."))-1)/MID(SUBSTITUTE(LEFT(TRIM(C74),FIND(" ",TRIM(C74)&amp;" ")-1),",","."),FIND("/",SUBSTITUTE(LEFT(TRIM(C74),FIND(" ",TRIM(C74)&amp;" ")-1),",","."))+1,9))*12,NA()))),0),36)*'Aturan &amp; Tarif'!$B$4,2)</f>
        <v>2044.08</v>
      </c>
      <c r="K74" s="32" t="n">
        <f aca="false">'Aturan &amp; Tarif'!$B$5</f>
        <v>2050</v>
      </c>
      <c r="L74" s="32" t="n">
        <f aca="false">'Aturan &amp; Tarif'!$B$6</f>
        <v>350</v>
      </c>
      <c r="M74" s="35" t="n">
        <f aca="false">I74+J74+K74+L74</f>
        <v>8819.08</v>
      </c>
      <c r="N74" s="37" t="s">
        <v>134</v>
      </c>
    </row>
    <row r="75" customFormat="false" ht="48.75" hidden="false" customHeight="true" outlineLevel="0" collapsed="false">
      <c r="A75" s="39" t="s">
        <v>2800</v>
      </c>
      <c r="B75" s="40" t="s">
        <v>2801</v>
      </c>
      <c r="C75" s="41" t="s">
        <v>107</v>
      </c>
      <c r="D75" s="41" t="s">
        <v>108</v>
      </c>
      <c r="E75" s="42" t="n">
        <v>3730</v>
      </c>
      <c r="F75" s="42"/>
      <c r="G75" s="42" t="n">
        <v>250</v>
      </c>
      <c r="H75" s="43" t="n">
        <v>2</v>
      </c>
      <c r="I75" s="34" t="n">
        <f aca="false">E75*H75+N(F75)+N(G75)</f>
        <v>7710</v>
      </c>
      <c r="J75" s="42" t="n">
        <f aca="false">ROUND(IFERROR(ROUND(IF(OR(ISNUMBER(SEARCH("week",C75)),ISNUMBER(SEARCH("minggu",C75))),IFERROR(_xlfn.NUMBERVALUE(SUBSTITUTE(LEFT(TRIM(C75),FIND(" ",TRIM(C75)&amp;" ")-1),",","."),"."),LEFT(SUBSTITUTE(LEFT(TRIM(C75),FIND(" ",TRIM(C75)&amp;" ")-1),",","."),FIND("/",SUBSTITUTE(LEFT(TRIM(C75),FIND(" ",TRIM(C75)&amp;" ")-1),",","."))-1)/MID(SUBSTITUTE(LEFT(TRIM(C75),FIND(" ",TRIM(C75)&amp;" ")-1),",","."),FIND("/",SUBSTITUTE(LEFT(TRIM(C75),FIND(" ",TRIM(C75)&amp;" ")-1),",","."))+1,9))*12/52,IF(ISNUMBER(SEARCH("month",C75)),IFERROR(_xlfn.NUMBERVALUE(SUBSTITUTE(LEFT(TRIM(C75),FIND(" ",TRIM(C75)&amp;" ")-1),",","."),"."),LEFT(SUBSTITUTE(LEFT(TRIM(C75),FIND(" ",TRIM(C75)&amp;" ")-1),",","."),FIND("/",SUBSTITUTE(LEFT(TRIM(C75),FIND(" ",TRIM(C75)&amp;" ")-1),",","."))-1)/MID(SUBSTITUTE(LEFT(TRIM(C75),FIND(" ",TRIM(C75)&amp;" ")-1),",","."),FIND("/",SUBSTITUTE(LEFT(TRIM(C75),FIND(" ",TRIM(C75)&amp;" ")-1),",","."))+1,9)),IF(ISNUMBER(SEARCH("yea",C75)),IFERROR(_xlfn.NUMBERVALUE(SUBSTITUTE(LEFT(TRIM(C75),FIND(" ",TRIM(C75)&amp;" ")-1),",","."),"."),LEFT(SUBSTITUTE(LEFT(TRIM(C75),FIND(" ",TRIM(C75)&amp;" ")-1),",","."),FIND("/",SUBSTITUTE(LEFT(TRIM(C75),FIND(" ",TRIM(C75)&amp;" ")-1),",","."))-1)/MID(SUBSTITUTE(LEFT(TRIM(C75),FIND(" ",TRIM(C75)&amp;" ")-1),",","."),FIND("/",SUBSTITUTE(LEFT(TRIM(C75),FIND(" ",TRIM(C75)&amp;" ")-1),",","."))+1,9))*12,NA()))),0),24)*'Aturan &amp; Tarif'!$B$4,2)</f>
        <v>1362.72</v>
      </c>
      <c r="K75" s="42" t="n">
        <f aca="false">'Aturan &amp; Tarif'!$B$5</f>
        <v>2050</v>
      </c>
      <c r="L75" s="42" t="n">
        <f aca="false">'Aturan &amp; Tarif'!$B$6</f>
        <v>350</v>
      </c>
      <c r="M75" s="35" t="n">
        <f aca="false">I75+J75+K75+L75</f>
        <v>11472.72</v>
      </c>
      <c r="N75" s="44" t="s">
        <v>2802</v>
      </c>
    </row>
    <row r="76" customFormat="false" ht="37.5" hidden="false" customHeight="true" outlineLevel="0" collapsed="false">
      <c r="A76" s="39"/>
      <c r="B76" s="40" t="s">
        <v>2803</v>
      </c>
      <c r="C76" s="41" t="s">
        <v>113</v>
      </c>
      <c r="D76" s="41" t="s">
        <v>108</v>
      </c>
      <c r="E76" s="42" t="n">
        <v>4481.25</v>
      </c>
      <c r="F76" s="42"/>
      <c r="G76" s="42" t="n">
        <v>250</v>
      </c>
      <c r="H76" s="43" t="n">
        <v>2</v>
      </c>
      <c r="I76" s="34" t="n">
        <f aca="false">E76*H76+N(F76)+N(G76)</f>
        <v>9212.5</v>
      </c>
      <c r="J76" s="42" t="n">
        <f aca="false">ROUND(IFERROR(ROUND(IF(OR(ISNUMBER(SEARCH("week",C76)),ISNUMBER(SEARCH("minggu",C76))),IFERROR(_xlfn.NUMBERVALUE(SUBSTITUTE(LEFT(TRIM(C76),FIND(" ",TRIM(C76)&amp;" ")-1),",","."),"."),LEFT(SUBSTITUTE(LEFT(TRIM(C76),FIND(" ",TRIM(C76)&amp;" ")-1),",","."),FIND("/",SUBSTITUTE(LEFT(TRIM(C76),FIND(" ",TRIM(C76)&amp;" ")-1),",","."))-1)/MID(SUBSTITUTE(LEFT(TRIM(C76),FIND(" ",TRIM(C76)&amp;" ")-1),",","."),FIND("/",SUBSTITUTE(LEFT(TRIM(C76),FIND(" ",TRIM(C76)&amp;" ")-1),",","."))+1,9))*12/52,IF(ISNUMBER(SEARCH("month",C76)),IFERROR(_xlfn.NUMBERVALUE(SUBSTITUTE(LEFT(TRIM(C76),FIND(" ",TRIM(C76)&amp;" ")-1),",","."),"."),LEFT(SUBSTITUTE(LEFT(TRIM(C76),FIND(" ",TRIM(C76)&amp;" ")-1),",","."),FIND("/",SUBSTITUTE(LEFT(TRIM(C76),FIND(" ",TRIM(C76)&amp;" ")-1),",","."))-1)/MID(SUBSTITUTE(LEFT(TRIM(C76),FIND(" ",TRIM(C76)&amp;" ")-1),",","."),FIND("/",SUBSTITUTE(LEFT(TRIM(C76),FIND(" ",TRIM(C76)&amp;" ")-1),",","."))+1,9)),IF(ISNUMBER(SEARCH("yea",C76)),IFERROR(_xlfn.NUMBERVALUE(SUBSTITUTE(LEFT(TRIM(C76),FIND(" ",TRIM(C76)&amp;" ")-1),",","."),"."),LEFT(SUBSTITUTE(LEFT(TRIM(C76),FIND(" ",TRIM(C76)&amp;" ")-1),",","."),FIND("/",SUBSTITUTE(LEFT(TRIM(C76),FIND(" ",TRIM(C76)&amp;" ")-1),",","."))-1)/MID(SUBSTITUTE(LEFT(TRIM(C76),FIND(" ",TRIM(C76)&amp;" ")-1),",","."),FIND("/",SUBSTITUTE(LEFT(TRIM(C76),FIND(" ",TRIM(C76)&amp;" ")-1),",","."))+1,9))*12,NA()))),0),18)*'Aturan &amp; Tarif'!$B$4,2)</f>
        <v>1022.04</v>
      </c>
      <c r="K76" s="42" t="n">
        <f aca="false">'Aturan &amp; Tarif'!$B$5</f>
        <v>2050</v>
      </c>
      <c r="L76" s="42" t="n">
        <f aca="false">'Aturan &amp; Tarif'!$B$6</f>
        <v>350</v>
      </c>
      <c r="M76" s="35" t="n">
        <f aca="false">I76+J76+K76+L76</f>
        <v>12634.54</v>
      </c>
      <c r="N76" s="44" t="s">
        <v>2804</v>
      </c>
    </row>
    <row r="77" customFormat="false" ht="37.5" hidden="false" customHeight="true" outlineLevel="0" collapsed="false">
      <c r="A77" s="39"/>
      <c r="B77" s="40" t="s">
        <v>2805</v>
      </c>
      <c r="C77" s="41" t="s">
        <v>107</v>
      </c>
      <c r="D77" s="41" t="s">
        <v>108</v>
      </c>
      <c r="E77" s="42" t="n">
        <v>3730</v>
      </c>
      <c r="F77" s="42"/>
      <c r="G77" s="42" t="n">
        <v>250</v>
      </c>
      <c r="H77" s="43" t="n">
        <v>2</v>
      </c>
      <c r="I77" s="34" t="n">
        <f aca="false">E77*H77+N(F77)+N(G77)</f>
        <v>7710</v>
      </c>
      <c r="J77" s="42" t="n">
        <f aca="false">ROUND(IFERROR(ROUND(IF(OR(ISNUMBER(SEARCH("week",C77)),ISNUMBER(SEARCH("minggu",C77))),IFERROR(_xlfn.NUMBERVALUE(SUBSTITUTE(LEFT(TRIM(C77),FIND(" ",TRIM(C77)&amp;" ")-1),",","."),"."),LEFT(SUBSTITUTE(LEFT(TRIM(C77),FIND(" ",TRIM(C77)&amp;" ")-1),",","."),FIND("/",SUBSTITUTE(LEFT(TRIM(C77),FIND(" ",TRIM(C77)&amp;" ")-1),",","."))-1)/MID(SUBSTITUTE(LEFT(TRIM(C77),FIND(" ",TRIM(C77)&amp;" ")-1),",","."),FIND("/",SUBSTITUTE(LEFT(TRIM(C77),FIND(" ",TRIM(C77)&amp;" ")-1),",","."))+1,9))*12/52,IF(ISNUMBER(SEARCH("month",C77)),IFERROR(_xlfn.NUMBERVALUE(SUBSTITUTE(LEFT(TRIM(C77),FIND(" ",TRIM(C77)&amp;" ")-1),",","."),"."),LEFT(SUBSTITUTE(LEFT(TRIM(C77),FIND(" ",TRIM(C77)&amp;" ")-1),",","."),FIND("/",SUBSTITUTE(LEFT(TRIM(C77),FIND(" ",TRIM(C77)&amp;" ")-1),",","."))-1)/MID(SUBSTITUTE(LEFT(TRIM(C77),FIND(" ",TRIM(C77)&amp;" ")-1),",","."),FIND("/",SUBSTITUTE(LEFT(TRIM(C77),FIND(" ",TRIM(C77)&amp;" ")-1),",","."))+1,9)),IF(ISNUMBER(SEARCH("yea",C77)),IFERROR(_xlfn.NUMBERVALUE(SUBSTITUTE(LEFT(TRIM(C77),FIND(" ",TRIM(C77)&amp;" ")-1),",","."),"."),LEFT(SUBSTITUTE(LEFT(TRIM(C77),FIND(" ",TRIM(C77)&amp;" ")-1),",","."),FIND("/",SUBSTITUTE(LEFT(TRIM(C77),FIND(" ",TRIM(C77)&amp;" ")-1),",","."))-1)/MID(SUBSTITUTE(LEFT(TRIM(C77),FIND(" ",TRIM(C77)&amp;" ")-1),",","."),FIND("/",SUBSTITUTE(LEFT(TRIM(C77),FIND(" ",TRIM(C77)&amp;" ")-1),",","."))+1,9))*12,NA()))),0),24)*'Aturan &amp; Tarif'!$B$4,2)</f>
        <v>1362.72</v>
      </c>
      <c r="K77" s="42" t="n">
        <f aca="false">'Aturan &amp; Tarif'!$B$5</f>
        <v>2050</v>
      </c>
      <c r="L77" s="42" t="n">
        <f aca="false">'Aturan &amp; Tarif'!$B$6</f>
        <v>350</v>
      </c>
      <c r="M77" s="35" t="n">
        <f aca="false">I77+J77+K77+L77</f>
        <v>11472.72</v>
      </c>
      <c r="N77" s="44" t="s">
        <v>2802</v>
      </c>
    </row>
    <row r="78" customFormat="false" ht="37.5" hidden="false" customHeight="true" outlineLevel="0" collapsed="false">
      <c r="A78" s="39" t="s">
        <v>2806</v>
      </c>
      <c r="B78" s="40" t="s">
        <v>594</v>
      </c>
      <c r="C78" s="41" t="s">
        <v>130</v>
      </c>
      <c r="D78" s="41" t="s">
        <v>737</v>
      </c>
      <c r="E78" s="42" t="n">
        <v>3000</v>
      </c>
      <c r="F78" s="42"/>
      <c r="G78" s="42" t="n">
        <v>200</v>
      </c>
      <c r="H78" s="43" t="n">
        <v>1</v>
      </c>
      <c r="I78" s="34" t="n">
        <f aca="false">E78*H78+N(F78)+N(G78)</f>
        <v>3200</v>
      </c>
      <c r="J78" s="42" t="n">
        <f aca="false">ROUND(IFERROR(ROUND(IF(OR(ISNUMBER(SEARCH("week",C78)),ISNUMBER(SEARCH("minggu",C78))),IFERROR(_xlfn.NUMBERVALUE(SUBSTITUTE(LEFT(TRIM(C78),FIND(" ",TRIM(C78)&amp;" ")-1),",","."),"."),LEFT(SUBSTITUTE(LEFT(TRIM(C78),FIND(" ",TRIM(C78)&amp;" ")-1),",","."),FIND("/",SUBSTITUTE(LEFT(TRIM(C78),FIND(" ",TRIM(C78)&amp;" ")-1),",","."))-1)/MID(SUBSTITUTE(LEFT(TRIM(C78),FIND(" ",TRIM(C78)&amp;" ")-1),",","."),FIND("/",SUBSTITUTE(LEFT(TRIM(C78),FIND(" ",TRIM(C78)&amp;" ")-1),",","."))+1,9))*12/52,IF(ISNUMBER(SEARCH("month",C78)),IFERROR(_xlfn.NUMBERVALUE(SUBSTITUTE(LEFT(TRIM(C78),FIND(" ",TRIM(C78)&amp;" ")-1),",","."),"."),LEFT(SUBSTITUTE(LEFT(TRIM(C78),FIND(" ",TRIM(C78)&amp;" ")-1),",","."),FIND("/",SUBSTITUTE(LEFT(TRIM(C78),FIND(" ",TRIM(C78)&amp;" ")-1),",","."))-1)/MID(SUBSTITUTE(LEFT(TRIM(C78),FIND(" ",TRIM(C78)&amp;" ")-1),",","."),FIND("/",SUBSTITUTE(LEFT(TRIM(C78),FIND(" ",TRIM(C78)&amp;" ")-1),",","."))+1,9)),IF(ISNUMBER(SEARCH("yea",C78)),IFERROR(_xlfn.NUMBERVALUE(SUBSTITUTE(LEFT(TRIM(C78),FIND(" ",TRIM(C78)&amp;" ")-1),",","."),"."),LEFT(SUBSTITUTE(LEFT(TRIM(C78),FIND(" ",TRIM(C78)&amp;" ")-1),",","."),FIND("/",SUBSTITUTE(LEFT(TRIM(C78),FIND(" ",TRIM(C78)&amp;" ")-1),",","."))-1)/MID(SUBSTITUTE(LEFT(TRIM(C78),FIND(" ",TRIM(C78)&amp;" ")-1),",","."),FIND("/",SUBSTITUTE(LEFT(TRIM(C78),FIND(" ",TRIM(C78)&amp;" ")-1),",","."))+1,9))*12,NA()))),0),12)*'Aturan &amp; Tarif'!$B$4,2)</f>
        <v>681.36</v>
      </c>
      <c r="K78" s="42" t="n">
        <f aca="false">'Aturan &amp; Tarif'!$B$5</f>
        <v>2050</v>
      </c>
      <c r="L78" s="42" t="n">
        <f aca="false">'Aturan &amp; Tarif'!$B$6</f>
        <v>350</v>
      </c>
      <c r="M78" s="35" t="n">
        <f aca="false">I78+J78+K78+L78</f>
        <v>6281.36</v>
      </c>
      <c r="N78" s="45" t="s">
        <v>846</v>
      </c>
    </row>
    <row r="79" customFormat="false" ht="37.5" hidden="false" customHeight="true" outlineLevel="0" collapsed="false">
      <c r="A79" s="39"/>
      <c r="B79" s="40" t="s">
        <v>335</v>
      </c>
      <c r="C79" s="41" t="s">
        <v>127</v>
      </c>
      <c r="D79" s="41" t="s">
        <v>737</v>
      </c>
      <c r="E79" s="42" t="n">
        <v>4500</v>
      </c>
      <c r="F79" s="42"/>
      <c r="G79" s="42" t="n">
        <v>200</v>
      </c>
      <c r="H79" s="43" t="n">
        <v>1</v>
      </c>
      <c r="I79" s="34" t="n">
        <f aca="false">E79*H79+N(F79)+N(G79)</f>
        <v>4700</v>
      </c>
      <c r="J79" s="42" t="n">
        <f aca="false">ROUND(IFERROR(ROUND(IF(OR(ISNUMBER(SEARCH("week",C79)),ISNUMBER(SEARCH("minggu",C79))),IFERROR(_xlfn.NUMBERVALUE(SUBSTITUTE(LEFT(TRIM(C79),FIND(" ",TRIM(C79)&amp;" ")-1),",","."),"."),LEFT(SUBSTITUTE(LEFT(TRIM(C79),FIND(" ",TRIM(C79)&amp;" ")-1),",","."),FIND("/",SUBSTITUTE(LEFT(TRIM(C79),FIND(" ",TRIM(C79)&amp;" ")-1),",","."))-1)/MID(SUBSTITUTE(LEFT(TRIM(C79),FIND(" ",TRIM(C79)&amp;" ")-1),",","."),FIND("/",SUBSTITUTE(LEFT(TRIM(C79),FIND(" ",TRIM(C79)&amp;" ")-1),",","."))+1,9))*12/52,IF(ISNUMBER(SEARCH("month",C79)),IFERROR(_xlfn.NUMBERVALUE(SUBSTITUTE(LEFT(TRIM(C79),FIND(" ",TRIM(C79)&amp;" ")-1),",","."),"."),LEFT(SUBSTITUTE(LEFT(TRIM(C79),FIND(" ",TRIM(C79)&amp;" ")-1),",","."),FIND("/",SUBSTITUTE(LEFT(TRIM(C79),FIND(" ",TRIM(C79)&amp;" ")-1),",","."))-1)/MID(SUBSTITUTE(LEFT(TRIM(C79),FIND(" ",TRIM(C79)&amp;" ")-1),",","."),FIND("/",SUBSTITUTE(LEFT(TRIM(C79),FIND(" ",TRIM(C79)&amp;" ")-1),",","."))+1,9)),IF(ISNUMBER(SEARCH("yea",C79)),IFERROR(_xlfn.NUMBERVALUE(SUBSTITUTE(LEFT(TRIM(C79),FIND(" ",TRIM(C79)&amp;" ")-1),",","."),"."),LEFT(SUBSTITUTE(LEFT(TRIM(C79),FIND(" ",TRIM(C79)&amp;" ")-1),",","."),FIND("/",SUBSTITUTE(LEFT(TRIM(C79),FIND(" ",TRIM(C79)&amp;" ")-1),",","."))-1)/MID(SUBSTITUTE(LEFT(TRIM(C79),FIND(" ",TRIM(C79)&amp;" ")-1),",","."),FIND("/",SUBSTITUTE(LEFT(TRIM(C79),FIND(" ",TRIM(C79)&amp;" ")-1),",","."))+1,9))*12,NA()))),0),36)*'Aturan &amp; Tarif'!$B$4,2)</f>
        <v>2044.08</v>
      </c>
      <c r="K79" s="42" t="n">
        <f aca="false">'Aturan &amp; Tarif'!$B$5</f>
        <v>2050</v>
      </c>
      <c r="L79" s="42" t="n">
        <f aca="false">'Aturan &amp; Tarif'!$B$6</f>
        <v>350</v>
      </c>
      <c r="M79" s="35" t="n">
        <f aca="false">I79+J79+K79+L79</f>
        <v>9144.08</v>
      </c>
      <c r="N79" s="44" t="s">
        <v>847</v>
      </c>
    </row>
    <row r="80" customFormat="false" ht="37.5" hidden="false" customHeight="true" outlineLevel="0" collapsed="false">
      <c r="A80" s="39"/>
      <c r="B80" s="40" t="s">
        <v>848</v>
      </c>
      <c r="C80" s="41" t="s">
        <v>130</v>
      </c>
      <c r="D80" s="41" t="s">
        <v>737</v>
      </c>
      <c r="E80" s="42" t="n">
        <v>3000</v>
      </c>
      <c r="F80" s="42"/>
      <c r="G80" s="42" t="n">
        <v>200</v>
      </c>
      <c r="H80" s="43" t="n">
        <v>1</v>
      </c>
      <c r="I80" s="34" t="n">
        <f aca="false">E80*H80+N(F80)+N(G80)</f>
        <v>3200</v>
      </c>
      <c r="J80" s="42" t="n">
        <f aca="false">ROUND(IFERROR(ROUND(IF(OR(ISNUMBER(SEARCH("week",C80)),ISNUMBER(SEARCH("minggu",C80))),IFERROR(_xlfn.NUMBERVALUE(SUBSTITUTE(LEFT(TRIM(C80),FIND(" ",TRIM(C80)&amp;" ")-1),",","."),"."),LEFT(SUBSTITUTE(LEFT(TRIM(C80),FIND(" ",TRIM(C80)&amp;" ")-1),",","."),FIND("/",SUBSTITUTE(LEFT(TRIM(C80),FIND(" ",TRIM(C80)&amp;" ")-1),",","."))-1)/MID(SUBSTITUTE(LEFT(TRIM(C80),FIND(" ",TRIM(C80)&amp;" ")-1),",","."),FIND("/",SUBSTITUTE(LEFT(TRIM(C80),FIND(" ",TRIM(C80)&amp;" ")-1),",","."))+1,9))*12/52,IF(ISNUMBER(SEARCH("month",C80)),IFERROR(_xlfn.NUMBERVALUE(SUBSTITUTE(LEFT(TRIM(C80),FIND(" ",TRIM(C80)&amp;" ")-1),",","."),"."),LEFT(SUBSTITUTE(LEFT(TRIM(C80),FIND(" ",TRIM(C80)&amp;" ")-1),",","."),FIND("/",SUBSTITUTE(LEFT(TRIM(C80),FIND(" ",TRIM(C80)&amp;" ")-1),",","."))-1)/MID(SUBSTITUTE(LEFT(TRIM(C80),FIND(" ",TRIM(C80)&amp;" ")-1),",","."),FIND("/",SUBSTITUTE(LEFT(TRIM(C80),FIND(" ",TRIM(C80)&amp;" ")-1),",","."))+1,9)),IF(ISNUMBER(SEARCH("yea",C80)),IFERROR(_xlfn.NUMBERVALUE(SUBSTITUTE(LEFT(TRIM(C80),FIND(" ",TRIM(C80)&amp;" ")-1),",","."),"."),LEFT(SUBSTITUTE(LEFT(TRIM(C80),FIND(" ",TRIM(C80)&amp;" ")-1),",","."),FIND("/",SUBSTITUTE(LEFT(TRIM(C80),FIND(" ",TRIM(C80)&amp;" ")-1),",","."))-1)/MID(SUBSTITUTE(LEFT(TRIM(C80),FIND(" ",TRIM(C80)&amp;" ")-1),",","."),FIND("/",SUBSTITUTE(LEFT(TRIM(C80),FIND(" ",TRIM(C80)&amp;" ")-1),",","."))+1,9))*12,NA()))),0),12)*'Aturan &amp; Tarif'!$B$4,2)</f>
        <v>681.36</v>
      </c>
      <c r="K80" s="42" t="n">
        <f aca="false">'Aturan &amp; Tarif'!$B$5</f>
        <v>2050</v>
      </c>
      <c r="L80" s="42" t="n">
        <f aca="false">'Aturan &amp; Tarif'!$B$6</f>
        <v>350</v>
      </c>
      <c r="M80" s="35" t="n">
        <f aca="false">I80+J80+K80+L80</f>
        <v>6281.36</v>
      </c>
      <c r="N80" s="44" t="s">
        <v>849</v>
      </c>
    </row>
    <row r="81" customFormat="false" ht="37.5" hidden="false" customHeight="true" outlineLevel="0" collapsed="false">
      <c r="A81" s="39"/>
      <c r="B81" s="40" t="s">
        <v>321</v>
      </c>
      <c r="C81" s="41" t="s">
        <v>127</v>
      </c>
      <c r="D81" s="41" t="s">
        <v>737</v>
      </c>
      <c r="E81" s="42" t="n">
        <v>4500</v>
      </c>
      <c r="F81" s="42"/>
      <c r="G81" s="42" t="n">
        <v>200</v>
      </c>
      <c r="H81" s="43" t="n">
        <v>1</v>
      </c>
      <c r="I81" s="34" t="n">
        <f aca="false">E81*H81+N(F81)+N(G81)</f>
        <v>4700</v>
      </c>
      <c r="J81" s="42" t="n">
        <f aca="false">ROUND(IFERROR(ROUND(IF(OR(ISNUMBER(SEARCH("week",C81)),ISNUMBER(SEARCH("minggu",C81))),IFERROR(_xlfn.NUMBERVALUE(SUBSTITUTE(LEFT(TRIM(C81),FIND(" ",TRIM(C81)&amp;" ")-1),",","."),"."),LEFT(SUBSTITUTE(LEFT(TRIM(C81),FIND(" ",TRIM(C81)&amp;" ")-1),",","."),FIND("/",SUBSTITUTE(LEFT(TRIM(C81),FIND(" ",TRIM(C81)&amp;" ")-1),",","."))-1)/MID(SUBSTITUTE(LEFT(TRIM(C81),FIND(" ",TRIM(C81)&amp;" ")-1),",","."),FIND("/",SUBSTITUTE(LEFT(TRIM(C81),FIND(" ",TRIM(C81)&amp;" ")-1),",","."))+1,9))*12/52,IF(ISNUMBER(SEARCH("month",C81)),IFERROR(_xlfn.NUMBERVALUE(SUBSTITUTE(LEFT(TRIM(C81),FIND(" ",TRIM(C81)&amp;" ")-1),",","."),"."),LEFT(SUBSTITUTE(LEFT(TRIM(C81),FIND(" ",TRIM(C81)&amp;" ")-1),",","."),FIND("/",SUBSTITUTE(LEFT(TRIM(C81),FIND(" ",TRIM(C81)&amp;" ")-1),",","."))-1)/MID(SUBSTITUTE(LEFT(TRIM(C81),FIND(" ",TRIM(C81)&amp;" ")-1),",","."),FIND("/",SUBSTITUTE(LEFT(TRIM(C81),FIND(" ",TRIM(C81)&amp;" ")-1),",","."))+1,9)),IF(ISNUMBER(SEARCH("yea",C81)),IFERROR(_xlfn.NUMBERVALUE(SUBSTITUTE(LEFT(TRIM(C81),FIND(" ",TRIM(C81)&amp;" ")-1),",","."),"."),LEFT(SUBSTITUTE(LEFT(TRIM(C81),FIND(" ",TRIM(C81)&amp;" ")-1),",","."),FIND("/",SUBSTITUTE(LEFT(TRIM(C81),FIND(" ",TRIM(C81)&amp;" ")-1),",","."))-1)/MID(SUBSTITUTE(LEFT(TRIM(C81),FIND(" ",TRIM(C81)&amp;" ")-1),",","."),FIND("/",SUBSTITUTE(LEFT(TRIM(C81),FIND(" ",TRIM(C81)&amp;" ")-1),",","."))+1,9))*12,NA()))),0),36)*'Aturan &amp; Tarif'!$B$4,2)</f>
        <v>2044.08</v>
      </c>
      <c r="K81" s="42" t="n">
        <f aca="false">'Aturan &amp; Tarif'!$B$5</f>
        <v>2050</v>
      </c>
      <c r="L81" s="42" t="n">
        <f aca="false">'Aturan &amp; Tarif'!$B$6</f>
        <v>350</v>
      </c>
      <c r="M81" s="35" t="n">
        <f aca="false">I81+J81+K81+L81</f>
        <v>9144.08</v>
      </c>
      <c r="N81" s="44" t="s">
        <v>847</v>
      </c>
    </row>
    <row r="82" customFormat="false" ht="37.5" hidden="false" customHeight="true" outlineLevel="0" collapsed="false">
      <c r="A82" s="39"/>
      <c r="B82" s="40" t="s">
        <v>850</v>
      </c>
      <c r="C82" s="41" t="s">
        <v>127</v>
      </c>
      <c r="D82" s="41" t="s">
        <v>737</v>
      </c>
      <c r="E82" s="42" t="n">
        <v>4500</v>
      </c>
      <c r="F82" s="42"/>
      <c r="G82" s="42" t="n">
        <v>200</v>
      </c>
      <c r="H82" s="43" t="n">
        <v>1</v>
      </c>
      <c r="I82" s="34" t="n">
        <f aca="false">E82*H82+N(F82)+N(G82)</f>
        <v>4700</v>
      </c>
      <c r="J82" s="42" t="n">
        <f aca="false">ROUND(IFERROR(ROUND(IF(OR(ISNUMBER(SEARCH("week",C82)),ISNUMBER(SEARCH("minggu",C82))),IFERROR(_xlfn.NUMBERVALUE(SUBSTITUTE(LEFT(TRIM(C82),FIND(" ",TRIM(C82)&amp;" ")-1),",","."),"."),LEFT(SUBSTITUTE(LEFT(TRIM(C82),FIND(" ",TRIM(C82)&amp;" ")-1),",","."),FIND("/",SUBSTITUTE(LEFT(TRIM(C82),FIND(" ",TRIM(C82)&amp;" ")-1),",","."))-1)/MID(SUBSTITUTE(LEFT(TRIM(C82),FIND(" ",TRIM(C82)&amp;" ")-1),",","."),FIND("/",SUBSTITUTE(LEFT(TRIM(C82),FIND(" ",TRIM(C82)&amp;" ")-1),",","."))+1,9))*12/52,IF(ISNUMBER(SEARCH("month",C82)),IFERROR(_xlfn.NUMBERVALUE(SUBSTITUTE(LEFT(TRIM(C82),FIND(" ",TRIM(C82)&amp;" ")-1),",","."),"."),LEFT(SUBSTITUTE(LEFT(TRIM(C82),FIND(" ",TRIM(C82)&amp;" ")-1),",","."),FIND("/",SUBSTITUTE(LEFT(TRIM(C82),FIND(" ",TRIM(C82)&amp;" ")-1),",","."))-1)/MID(SUBSTITUTE(LEFT(TRIM(C82),FIND(" ",TRIM(C82)&amp;" ")-1),",","."),FIND("/",SUBSTITUTE(LEFT(TRIM(C82),FIND(" ",TRIM(C82)&amp;" ")-1),",","."))+1,9)),IF(ISNUMBER(SEARCH("yea",C82)),IFERROR(_xlfn.NUMBERVALUE(SUBSTITUTE(LEFT(TRIM(C82),FIND(" ",TRIM(C82)&amp;" ")-1),",","."),"."),LEFT(SUBSTITUTE(LEFT(TRIM(C82),FIND(" ",TRIM(C82)&amp;" ")-1),",","."),FIND("/",SUBSTITUTE(LEFT(TRIM(C82),FIND(" ",TRIM(C82)&amp;" ")-1),",","."))-1)/MID(SUBSTITUTE(LEFT(TRIM(C82),FIND(" ",TRIM(C82)&amp;" ")-1),",","."),FIND("/",SUBSTITUTE(LEFT(TRIM(C82),FIND(" ",TRIM(C82)&amp;" ")-1),",","."))+1,9))*12,NA()))),0),36)*'Aturan &amp; Tarif'!$B$4,2)</f>
        <v>2044.08</v>
      </c>
      <c r="K82" s="42" t="n">
        <f aca="false">'Aturan &amp; Tarif'!$B$5</f>
        <v>2050</v>
      </c>
      <c r="L82" s="42" t="n">
        <f aca="false">'Aturan &amp; Tarif'!$B$6</f>
        <v>350</v>
      </c>
      <c r="M82" s="35" t="n">
        <f aca="false">I82+J82+K82+L82</f>
        <v>9144.08</v>
      </c>
      <c r="N82" s="44" t="s">
        <v>847</v>
      </c>
    </row>
    <row r="83" customFormat="false" ht="37.5" hidden="false" customHeight="true" outlineLevel="0" collapsed="false">
      <c r="A83" s="39"/>
      <c r="B83" s="40" t="s">
        <v>851</v>
      </c>
      <c r="C83" s="41" t="s">
        <v>852</v>
      </c>
      <c r="D83" s="41" t="s">
        <v>737</v>
      </c>
      <c r="E83" s="42" t="n">
        <v>7800</v>
      </c>
      <c r="F83" s="42"/>
      <c r="G83" s="42" t="n">
        <v>200</v>
      </c>
      <c r="H83" s="43" t="n">
        <v>1</v>
      </c>
      <c r="I83" s="34" t="n">
        <f aca="false">E83*H83+N(F83)+N(G83)</f>
        <v>8000</v>
      </c>
      <c r="J83" s="42" t="n">
        <f aca="false">ROUND(IFERROR(ROUND(IF(OR(ISNUMBER(SEARCH("week",C83)),ISNUMBER(SEARCH("minggu",C83))),IFERROR(_xlfn.NUMBERVALUE(SUBSTITUTE(LEFT(TRIM(C83),FIND(" ",TRIM(C83)&amp;" ")-1),",","."),"."),LEFT(SUBSTITUTE(LEFT(TRIM(C83),FIND(" ",TRIM(C83)&amp;" ")-1),",","."),FIND("/",SUBSTITUTE(LEFT(TRIM(C83),FIND(" ",TRIM(C83)&amp;" ")-1),",","."))-1)/MID(SUBSTITUTE(LEFT(TRIM(C83),FIND(" ",TRIM(C83)&amp;" ")-1),",","."),FIND("/",SUBSTITUTE(LEFT(TRIM(C83),FIND(" ",TRIM(C83)&amp;" ")-1),",","."))+1,9))*12/52,IF(ISNUMBER(SEARCH("month",C83)),IFERROR(_xlfn.NUMBERVALUE(SUBSTITUTE(LEFT(TRIM(C83),FIND(" ",TRIM(C83)&amp;" ")-1),",","."),"."),LEFT(SUBSTITUTE(LEFT(TRIM(C83),FIND(" ",TRIM(C83)&amp;" ")-1),",","."),FIND("/",SUBSTITUTE(LEFT(TRIM(C83),FIND(" ",TRIM(C83)&amp;" ")-1),",","."))-1)/MID(SUBSTITUTE(LEFT(TRIM(C83),FIND(" ",TRIM(C83)&amp;" ")-1),",","."),FIND("/",SUBSTITUTE(LEFT(TRIM(C83),FIND(" ",TRIM(C83)&amp;" ")-1),",","."))+1,9)),IF(ISNUMBER(SEARCH("yea",C83)),IFERROR(_xlfn.NUMBERVALUE(SUBSTITUTE(LEFT(TRIM(C83),FIND(" ",TRIM(C83)&amp;" ")-1),",","."),"."),LEFT(SUBSTITUTE(LEFT(TRIM(C83),FIND(" ",TRIM(C83)&amp;" ")-1),",","."),FIND("/",SUBSTITUTE(LEFT(TRIM(C83),FIND(" ",TRIM(C83)&amp;" ")-1),",","."))-1)/MID(SUBSTITUTE(LEFT(TRIM(C83),FIND(" ",TRIM(C83)&amp;" ")-1),",","."),FIND("/",SUBSTITUTE(LEFT(TRIM(C83),FIND(" ",TRIM(C83)&amp;" ")-1),",","."))+1,9))*12,NA()))),0),9)*'Aturan &amp; Tarif'!$B$4,2)</f>
        <v>511.02</v>
      </c>
      <c r="K83" s="42" t="n">
        <f aca="false">'Aturan &amp; Tarif'!$B$5</f>
        <v>2050</v>
      </c>
      <c r="L83" s="42" t="n">
        <f aca="false">'Aturan &amp; Tarif'!$B$6</f>
        <v>350</v>
      </c>
      <c r="M83" s="35" t="n">
        <f aca="false">I83+J83+K83+L83</f>
        <v>10911.02</v>
      </c>
      <c r="N83" s="44" t="s">
        <v>853</v>
      </c>
    </row>
    <row r="84" customFormat="false" ht="37.5" hidden="false" customHeight="true" outlineLevel="0" collapsed="false">
      <c r="A84" s="39"/>
      <c r="B84" s="40" t="s">
        <v>854</v>
      </c>
      <c r="C84" s="41" t="s">
        <v>130</v>
      </c>
      <c r="D84" s="41" t="s">
        <v>737</v>
      </c>
      <c r="E84" s="42" t="n">
        <v>7800</v>
      </c>
      <c r="F84" s="42"/>
      <c r="G84" s="42" t="n">
        <v>200</v>
      </c>
      <c r="H84" s="43" t="n">
        <v>1</v>
      </c>
      <c r="I84" s="34" t="n">
        <f aca="false">E84*H84+N(F84)+N(G84)</f>
        <v>8000</v>
      </c>
      <c r="J84" s="42" t="n">
        <f aca="false">ROUND(IFERROR(ROUND(IF(OR(ISNUMBER(SEARCH("week",C84)),ISNUMBER(SEARCH("minggu",C84))),IFERROR(_xlfn.NUMBERVALUE(SUBSTITUTE(LEFT(TRIM(C84),FIND(" ",TRIM(C84)&amp;" ")-1),",","."),"."),LEFT(SUBSTITUTE(LEFT(TRIM(C84),FIND(" ",TRIM(C84)&amp;" ")-1),",","."),FIND("/",SUBSTITUTE(LEFT(TRIM(C84),FIND(" ",TRIM(C84)&amp;" ")-1),",","."))-1)/MID(SUBSTITUTE(LEFT(TRIM(C84),FIND(" ",TRIM(C84)&amp;" ")-1),",","."),FIND("/",SUBSTITUTE(LEFT(TRIM(C84),FIND(" ",TRIM(C84)&amp;" ")-1),",","."))+1,9))*12/52,IF(ISNUMBER(SEARCH("month",C84)),IFERROR(_xlfn.NUMBERVALUE(SUBSTITUTE(LEFT(TRIM(C84),FIND(" ",TRIM(C84)&amp;" ")-1),",","."),"."),LEFT(SUBSTITUTE(LEFT(TRIM(C84),FIND(" ",TRIM(C84)&amp;" ")-1),",","."),FIND("/",SUBSTITUTE(LEFT(TRIM(C84),FIND(" ",TRIM(C84)&amp;" ")-1),",","."))-1)/MID(SUBSTITUTE(LEFT(TRIM(C84),FIND(" ",TRIM(C84)&amp;" ")-1),",","."),FIND("/",SUBSTITUTE(LEFT(TRIM(C84),FIND(" ",TRIM(C84)&amp;" ")-1),",","."))+1,9)),IF(ISNUMBER(SEARCH("yea",C84)),IFERROR(_xlfn.NUMBERVALUE(SUBSTITUTE(LEFT(TRIM(C84),FIND(" ",TRIM(C84)&amp;" ")-1),",","."),"."),LEFT(SUBSTITUTE(LEFT(TRIM(C84),FIND(" ",TRIM(C84)&amp;" ")-1),",","."),FIND("/",SUBSTITUTE(LEFT(TRIM(C84),FIND(" ",TRIM(C84)&amp;" ")-1),",","."))-1)/MID(SUBSTITUTE(LEFT(TRIM(C84),FIND(" ",TRIM(C84)&amp;" ")-1),",","."),FIND("/",SUBSTITUTE(LEFT(TRIM(C84),FIND(" ",TRIM(C84)&amp;" ")-1),",","."))+1,9))*12,NA()))),0),12)*'Aturan &amp; Tarif'!$B$4,2)</f>
        <v>681.36</v>
      </c>
      <c r="K84" s="42" t="n">
        <f aca="false">'Aturan &amp; Tarif'!$B$5</f>
        <v>2050</v>
      </c>
      <c r="L84" s="42" t="n">
        <f aca="false">'Aturan &amp; Tarif'!$B$6</f>
        <v>350</v>
      </c>
      <c r="M84" s="35" t="n">
        <f aca="false">I84+J84+K84+L84</f>
        <v>11081.36</v>
      </c>
      <c r="N84" s="44" t="s">
        <v>853</v>
      </c>
    </row>
    <row r="85" customFormat="false" ht="37.5" hidden="false" customHeight="true" outlineLevel="0" collapsed="false">
      <c r="A85" s="39"/>
      <c r="B85" s="40" t="s">
        <v>348</v>
      </c>
      <c r="C85" s="41" t="s">
        <v>107</v>
      </c>
      <c r="D85" s="41" t="s">
        <v>737</v>
      </c>
      <c r="E85" s="42" t="n">
        <v>7800</v>
      </c>
      <c r="F85" s="42"/>
      <c r="G85" s="42" t="n">
        <v>200</v>
      </c>
      <c r="H85" s="43" t="n">
        <v>1</v>
      </c>
      <c r="I85" s="34" t="n">
        <f aca="false">E85*H85+N(F85)+N(G85)</f>
        <v>8000</v>
      </c>
      <c r="J85" s="42" t="n">
        <f aca="false">ROUND(IFERROR(ROUND(IF(OR(ISNUMBER(SEARCH("week",C85)),ISNUMBER(SEARCH("minggu",C85))),IFERROR(_xlfn.NUMBERVALUE(SUBSTITUTE(LEFT(TRIM(C85),FIND(" ",TRIM(C85)&amp;" ")-1),",","."),"."),LEFT(SUBSTITUTE(LEFT(TRIM(C85),FIND(" ",TRIM(C85)&amp;" ")-1),",","."),FIND("/",SUBSTITUTE(LEFT(TRIM(C85),FIND(" ",TRIM(C85)&amp;" ")-1),",","."))-1)/MID(SUBSTITUTE(LEFT(TRIM(C85),FIND(" ",TRIM(C85)&amp;" ")-1),",","."),FIND("/",SUBSTITUTE(LEFT(TRIM(C85),FIND(" ",TRIM(C85)&amp;" ")-1),",","."))+1,9))*12/52,IF(ISNUMBER(SEARCH("month",C85)),IFERROR(_xlfn.NUMBERVALUE(SUBSTITUTE(LEFT(TRIM(C85),FIND(" ",TRIM(C85)&amp;" ")-1),",","."),"."),LEFT(SUBSTITUTE(LEFT(TRIM(C85),FIND(" ",TRIM(C85)&amp;" ")-1),",","."),FIND("/",SUBSTITUTE(LEFT(TRIM(C85),FIND(" ",TRIM(C85)&amp;" ")-1),",","."))-1)/MID(SUBSTITUTE(LEFT(TRIM(C85),FIND(" ",TRIM(C85)&amp;" ")-1),",","."),FIND("/",SUBSTITUTE(LEFT(TRIM(C85),FIND(" ",TRIM(C85)&amp;" ")-1),",","."))+1,9)),IF(ISNUMBER(SEARCH("yea",C85)),IFERROR(_xlfn.NUMBERVALUE(SUBSTITUTE(LEFT(TRIM(C85),FIND(" ",TRIM(C85)&amp;" ")-1),",","."),"."),LEFT(SUBSTITUTE(LEFT(TRIM(C85),FIND(" ",TRIM(C85)&amp;" ")-1),",","."),FIND("/",SUBSTITUTE(LEFT(TRIM(C85),FIND(" ",TRIM(C85)&amp;" ")-1),",","."))-1)/MID(SUBSTITUTE(LEFT(TRIM(C85),FIND(" ",TRIM(C85)&amp;" ")-1),",","."),FIND("/",SUBSTITUTE(LEFT(TRIM(C85),FIND(" ",TRIM(C85)&amp;" ")-1),",","."))+1,9))*12,NA()))),0),24)*'Aturan &amp; Tarif'!$B$4,2)</f>
        <v>1362.72</v>
      </c>
      <c r="K85" s="42" t="n">
        <f aca="false">'Aturan &amp; Tarif'!$B$5</f>
        <v>2050</v>
      </c>
      <c r="L85" s="42" t="n">
        <f aca="false">'Aturan &amp; Tarif'!$B$6</f>
        <v>350</v>
      </c>
      <c r="M85" s="35" t="n">
        <f aca="false">I85+J85+K85+L85</f>
        <v>11762.72</v>
      </c>
      <c r="N85" s="44" t="s">
        <v>855</v>
      </c>
    </row>
    <row r="86" customFormat="false" ht="37.5" hidden="false" customHeight="true" outlineLevel="0" collapsed="false">
      <c r="A86" s="39"/>
      <c r="B86" s="40" t="s">
        <v>856</v>
      </c>
      <c r="C86" s="41" t="s">
        <v>344</v>
      </c>
      <c r="D86" s="41" t="s">
        <v>737</v>
      </c>
      <c r="E86" s="42" t="n">
        <v>7800</v>
      </c>
      <c r="F86" s="42"/>
      <c r="G86" s="42" t="n">
        <v>200</v>
      </c>
      <c r="H86" s="43" t="n">
        <v>1</v>
      </c>
      <c r="I86" s="34" t="n">
        <f aca="false">E86*H86+N(F86)+N(G86)</f>
        <v>8000</v>
      </c>
      <c r="J86" s="42" t="n">
        <f aca="false">ROUND(IFERROR(ROUND(IF(OR(ISNUMBER(SEARCH("week",C86)),ISNUMBER(SEARCH("minggu",C86))),IFERROR(_xlfn.NUMBERVALUE(SUBSTITUTE(LEFT(TRIM(C86),FIND(" ",TRIM(C86)&amp;" ")-1),",","."),"."),LEFT(SUBSTITUTE(LEFT(TRIM(C86),FIND(" ",TRIM(C86)&amp;" ")-1),",","."),FIND("/",SUBSTITUTE(LEFT(TRIM(C86),FIND(" ",TRIM(C86)&amp;" ")-1),",","."))-1)/MID(SUBSTITUTE(LEFT(TRIM(C86),FIND(" ",TRIM(C86)&amp;" ")-1),",","."),FIND("/",SUBSTITUTE(LEFT(TRIM(C86),FIND(" ",TRIM(C86)&amp;" ")-1),",","."))+1,9))*12/52,IF(ISNUMBER(SEARCH("month",C86)),IFERROR(_xlfn.NUMBERVALUE(SUBSTITUTE(LEFT(TRIM(C86),FIND(" ",TRIM(C86)&amp;" ")-1),",","."),"."),LEFT(SUBSTITUTE(LEFT(TRIM(C86),FIND(" ",TRIM(C86)&amp;" ")-1),",","."),FIND("/",SUBSTITUTE(LEFT(TRIM(C86),FIND(" ",TRIM(C86)&amp;" ")-1),",","."))-1)/MID(SUBSTITUTE(LEFT(TRIM(C86),FIND(" ",TRIM(C86)&amp;" ")-1),",","."),FIND("/",SUBSTITUTE(LEFT(TRIM(C86),FIND(" ",TRIM(C86)&amp;" ")-1),",","."))+1,9)),IF(ISNUMBER(SEARCH("yea",C86)),IFERROR(_xlfn.NUMBERVALUE(SUBSTITUTE(LEFT(TRIM(C86),FIND(" ",TRIM(C86)&amp;" ")-1),",","."),"."),LEFT(SUBSTITUTE(LEFT(TRIM(C86),FIND(" ",TRIM(C86)&amp;" ")-1),",","."),FIND("/",SUBSTITUTE(LEFT(TRIM(C86),FIND(" ",TRIM(C86)&amp;" ")-1),",","."))-1)/MID(SUBSTITUTE(LEFT(TRIM(C86),FIND(" ",TRIM(C86)&amp;" ")-1),",","."),FIND("/",SUBSTITUTE(LEFT(TRIM(C86),FIND(" ",TRIM(C86)&amp;" ")-1),",","."))+1,9))*12,NA()))),0),6)*'Aturan &amp; Tarif'!$B$4,2)</f>
        <v>340.68</v>
      </c>
      <c r="K86" s="42" t="n">
        <f aca="false">'Aturan &amp; Tarif'!$B$5</f>
        <v>2050</v>
      </c>
      <c r="L86" s="42" t="n">
        <f aca="false">'Aturan &amp; Tarif'!$B$6</f>
        <v>350</v>
      </c>
      <c r="M86" s="35" t="n">
        <f aca="false">I86+J86+K86+L86</f>
        <v>10740.68</v>
      </c>
      <c r="N86" s="44" t="s">
        <v>853</v>
      </c>
    </row>
    <row r="87" customFormat="false" ht="37.5" hidden="false" customHeight="true" outlineLevel="0" collapsed="false">
      <c r="A87" s="39"/>
      <c r="B87" s="40" t="s">
        <v>349</v>
      </c>
      <c r="C87" s="41" t="s">
        <v>107</v>
      </c>
      <c r="D87" s="41" t="s">
        <v>737</v>
      </c>
      <c r="E87" s="42" t="n">
        <v>7800</v>
      </c>
      <c r="F87" s="42"/>
      <c r="G87" s="42" t="n">
        <v>200</v>
      </c>
      <c r="H87" s="43" t="n">
        <v>1</v>
      </c>
      <c r="I87" s="34" t="n">
        <f aca="false">E87*H87+N(F87)+N(G87)</f>
        <v>8000</v>
      </c>
      <c r="J87" s="42" t="n">
        <f aca="false">ROUND(IFERROR(ROUND(IF(OR(ISNUMBER(SEARCH("week",C87)),ISNUMBER(SEARCH("minggu",C87))),IFERROR(_xlfn.NUMBERVALUE(SUBSTITUTE(LEFT(TRIM(C87),FIND(" ",TRIM(C87)&amp;" ")-1),",","."),"."),LEFT(SUBSTITUTE(LEFT(TRIM(C87),FIND(" ",TRIM(C87)&amp;" ")-1),",","."),FIND("/",SUBSTITUTE(LEFT(TRIM(C87),FIND(" ",TRIM(C87)&amp;" ")-1),",","."))-1)/MID(SUBSTITUTE(LEFT(TRIM(C87),FIND(" ",TRIM(C87)&amp;" ")-1),",","."),FIND("/",SUBSTITUTE(LEFT(TRIM(C87),FIND(" ",TRIM(C87)&amp;" ")-1),",","."))+1,9))*12/52,IF(ISNUMBER(SEARCH("month",C87)),IFERROR(_xlfn.NUMBERVALUE(SUBSTITUTE(LEFT(TRIM(C87),FIND(" ",TRIM(C87)&amp;" ")-1),",","."),"."),LEFT(SUBSTITUTE(LEFT(TRIM(C87),FIND(" ",TRIM(C87)&amp;" ")-1),",","."),FIND("/",SUBSTITUTE(LEFT(TRIM(C87),FIND(" ",TRIM(C87)&amp;" ")-1),",","."))-1)/MID(SUBSTITUTE(LEFT(TRIM(C87),FIND(" ",TRIM(C87)&amp;" ")-1),",","."),FIND("/",SUBSTITUTE(LEFT(TRIM(C87),FIND(" ",TRIM(C87)&amp;" ")-1),",","."))+1,9)),IF(ISNUMBER(SEARCH("yea",C87)),IFERROR(_xlfn.NUMBERVALUE(SUBSTITUTE(LEFT(TRIM(C87),FIND(" ",TRIM(C87)&amp;" ")-1),",","."),"."),LEFT(SUBSTITUTE(LEFT(TRIM(C87),FIND(" ",TRIM(C87)&amp;" ")-1),",","."),FIND("/",SUBSTITUTE(LEFT(TRIM(C87),FIND(" ",TRIM(C87)&amp;" ")-1),",","."))-1)/MID(SUBSTITUTE(LEFT(TRIM(C87),FIND(" ",TRIM(C87)&amp;" ")-1),",","."),FIND("/",SUBSTITUTE(LEFT(TRIM(C87),FIND(" ",TRIM(C87)&amp;" ")-1),",","."))+1,9))*12,NA()))),0),24)*'Aturan &amp; Tarif'!$B$4,2)</f>
        <v>1362.72</v>
      </c>
      <c r="K87" s="42" t="n">
        <f aca="false">'Aturan &amp; Tarif'!$B$5</f>
        <v>2050</v>
      </c>
      <c r="L87" s="42" t="n">
        <f aca="false">'Aturan &amp; Tarif'!$B$6</f>
        <v>350</v>
      </c>
      <c r="M87" s="35" t="n">
        <f aca="false">I87+J87+K87+L87</f>
        <v>11762.72</v>
      </c>
      <c r="N87" s="44" t="s">
        <v>855</v>
      </c>
    </row>
    <row r="88" customFormat="false" ht="37.5" hidden="false" customHeight="true" outlineLevel="0" collapsed="false">
      <c r="A88" s="39"/>
      <c r="B88" s="40" t="s">
        <v>857</v>
      </c>
      <c r="C88" s="41" t="s">
        <v>852</v>
      </c>
      <c r="D88" s="41" t="s">
        <v>737</v>
      </c>
      <c r="E88" s="42" t="n">
        <v>7800</v>
      </c>
      <c r="F88" s="42"/>
      <c r="G88" s="42" t="n">
        <v>200</v>
      </c>
      <c r="H88" s="43" t="n">
        <v>1</v>
      </c>
      <c r="I88" s="34" t="n">
        <f aca="false">E88*H88+N(F88)+N(G88)</f>
        <v>8000</v>
      </c>
      <c r="J88" s="42" t="n">
        <f aca="false">ROUND(IFERROR(ROUND(IF(OR(ISNUMBER(SEARCH("week",C88)),ISNUMBER(SEARCH("minggu",C88))),IFERROR(_xlfn.NUMBERVALUE(SUBSTITUTE(LEFT(TRIM(C88),FIND(" ",TRIM(C88)&amp;" ")-1),",","."),"."),LEFT(SUBSTITUTE(LEFT(TRIM(C88),FIND(" ",TRIM(C88)&amp;" ")-1),",","."),FIND("/",SUBSTITUTE(LEFT(TRIM(C88),FIND(" ",TRIM(C88)&amp;" ")-1),",","."))-1)/MID(SUBSTITUTE(LEFT(TRIM(C88),FIND(" ",TRIM(C88)&amp;" ")-1),",","."),FIND("/",SUBSTITUTE(LEFT(TRIM(C88),FIND(" ",TRIM(C88)&amp;" ")-1),",","."))+1,9))*12/52,IF(ISNUMBER(SEARCH("month",C88)),IFERROR(_xlfn.NUMBERVALUE(SUBSTITUTE(LEFT(TRIM(C88),FIND(" ",TRIM(C88)&amp;" ")-1),",","."),"."),LEFT(SUBSTITUTE(LEFT(TRIM(C88),FIND(" ",TRIM(C88)&amp;" ")-1),",","."),FIND("/",SUBSTITUTE(LEFT(TRIM(C88),FIND(" ",TRIM(C88)&amp;" ")-1),",","."))-1)/MID(SUBSTITUTE(LEFT(TRIM(C88),FIND(" ",TRIM(C88)&amp;" ")-1),",","."),FIND("/",SUBSTITUTE(LEFT(TRIM(C88),FIND(" ",TRIM(C88)&amp;" ")-1),",","."))+1,9)),IF(ISNUMBER(SEARCH("yea",C88)),IFERROR(_xlfn.NUMBERVALUE(SUBSTITUTE(LEFT(TRIM(C88),FIND(" ",TRIM(C88)&amp;" ")-1),",","."),"."),LEFT(SUBSTITUTE(LEFT(TRIM(C88),FIND(" ",TRIM(C88)&amp;" ")-1),",","."),FIND("/",SUBSTITUTE(LEFT(TRIM(C88),FIND(" ",TRIM(C88)&amp;" ")-1),",","."))-1)/MID(SUBSTITUTE(LEFT(TRIM(C88),FIND(" ",TRIM(C88)&amp;" ")-1),",","."),FIND("/",SUBSTITUTE(LEFT(TRIM(C88),FIND(" ",TRIM(C88)&amp;" ")-1),",","."))+1,9))*12,NA()))),0),9)*'Aturan &amp; Tarif'!$B$4,2)</f>
        <v>511.02</v>
      </c>
      <c r="K88" s="42" t="n">
        <f aca="false">'Aturan &amp; Tarif'!$B$5</f>
        <v>2050</v>
      </c>
      <c r="L88" s="42" t="n">
        <f aca="false">'Aturan &amp; Tarif'!$B$6</f>
        <v>350</v>
      </c>
      <c r="M88" s="35" t="n">
        <f aca="false">I88+J88+K88+L88</f>
        <v>10911.02</v>
      </c>
      <c r="N88" s="44" t="s">
        <v>853</v>
      </c>
    </row>
    <row r="89" customFormat="false" ht="37.5" hidden="false" customHeight="true" outlineLevel="0" collapsed="false">
      <c r="A89" s="39"/>
      <c r="B89" s="40" t="s">
        <v>858</v>
      </c>
      <c r="C89" s="41" t="s">
        <v>130</v>
      </c>
      <c r="D89" s="41" t="s">
        <v>737</v>
      </c>
      <c r="E89" s="42" t="n">
        <v>7800</v>
      </c>
      <c r="F89" s="42"/>
      <c r="G89" s="42" t="n">
        <v>200</v>
      </c>
      <c r="H89" s="43" t="n">
        <v>1</v>
      </c>
      <c r="I89" s="34" t="n">
        <f aca="false">E89*H89+N(F89)+N(G89)</f>
        <v>8000</v>
      </c>
      <c r="J89" s="42" t="n">
        <f aca="false">ROUND(IFERROR(ROUND(IF(OR(ISNUMBER(SEARCH("week",C89)),ISNUMBER(SEARCH("minggu",C89))),IFERROR(_xlfn.NUMBERVALUE(SUBSTITUTE(LEFT(TRIM(C89),FIND(" ",TRIM(C89)&amp;" ")-1),",","."),"."),LEFT(SUBSTITUTE(LEFT(TRIM(C89),FIND(" ",TRIM(C89)&amp;" ")-1),",","."),FIND("/",SUBSTITUTE(LEFT(TRIM(C89),FIND(" ",TRIM(C89)&amp;" ")-1),",","."))-1)/MID(SUBSTITUTE(LEFT(TRIM(C89),FIND(" ",TRIM(C89)&amp;" ")-1),",","."),FIND("/",SUBSTITUTE(LEFT(TRIM(C89),FIND(" ",TRIM(C89)&amp;" ")-1),",","."))+1,9))*12/52,IF(ISNUMBER(SEARCH("month",C89)),IFERROR(_xlfn.NUMBERVALUE(SUBSTITUTE(LEFT(TRIM(C89),FIND(" ",TRIM(C89)&amp;" ")-1),",","."),"."),LEFT(SUBSTITUTE(LEFT(TRIM(C89),FIND(" ",TRIM(C89)&amp;" ")-1),",","."),FIND("/",SUBSTITUTE(LEFT(TRIM(C89),FIND(" ",TRIM(C89)&amp;" ")-1),",","."))-1)/MID(SUBSTITUTE(LEFT(TRIM(C89),FIND(" ",TRIM(C89)&amp;" ")-1),",","."),FIND("/",SUBSTITUTE(LEFT(TRIM(C89),FIND(" ",TRIM(C89)&amp;" ")-1),",","."))+1,9)),IF(ISNUMBER(SEARCH("yea",C89)),IFERROR(_xlfn.NUMBERVALUE(SUBSTITUTE(LEFT(TRIM(C89),FIND(" ",TRIM(C89)&amp;" ")-1),",","."),"."),LEFT(SUBSTITUTE(LEFT(TRIM(C89),FIND(" ",TRIM(C89)&amp;" ")-1),",","."),FIND("/",SUBSTITUTE(LEFT(TRIM(C89),FIND(" ",TRIM(C89)&amp;" ")-1),",","."))-1)/MID(SUBSTITUTE(LEFT(TRIM(C89),FIND(" ",TRIM(C89)&amp;" ")-1),",","."),FIND("/",SUBSTITUTE(LEFT(TRIM(C89),FIND(" ",TRIM(C89)&amp;" ")-1),",","."))+1,9))*12,NA()))),0),12)*'Aturan &amp; Tarif'!$B$4,2)</f>
        <v>681.36</v>
      </c>
      <c r="K89" s="42" t="n">
        <f aca="false">'Aturan &amp; Tarif'!$B$5</f>
        <v>2050</v>
      </c>
      <c r="L89" s="42" t="n">
        <f aca="false">'Aturan &amp; Tarif'!$B$6</f>
        <v>350</v>
      </c>
      <c r="M89" s="35" t="n">
        <f aca="false">I89+J89+K89+L89</f>
        <v>11081.36</v>
      </c>
      <c r="N89" s="44" t="s">
        <v>853</v>
      </c>
    </row>
    <row r="90" customFormat="false" ht="72" hidden="false" customHeight="true" outlineLevel="0" collapsed="false">
      <c r="A90" s="39"/>
      <c r="B90" s="40" t="s">
        <v>859</v>
      </c>
      <c r="C90" s="41" t="s">
        <v>107</v>
      </c>
      <c r="D90" s="41" t="s">
        <v>737</v>
      </c>
      <c r="E90" s="42" t="n">
        <v>7800</v>
      </c>
      <c r="F90" s="42"/>
      <c r="G90" s="42" t="n">
        <v>200</v>
      </c>
      <c r="H90" s="43" t="n">
        <v>1</v>
      </c>
      <c r="I90" s="34" t="n">
        <f aca="false">E90*H90+N(F90)+N(G90)</f>
        <v>8000</v>
      </c>
      <c r="J90" s="42" t="n">
        <f aca="false">ROUND(IFERROR(ROUND(IF(OR(ISNUMBER(SEARCH("week",C90)),ISNUMBER(SEARCH("minggu",C90))),IFERROR(_xlfn.NUMBERVALUE(SUBSTITUTE(LEFT(TRIM(C90),FIND(" ",TRIM(C90)&amp;" ")-1),",","."),"."),LEFT(SUBSTITUTE(LEFT(TRIM(C90),FIND(" ",TRIM(C90)&amp;" ")-1),",","."),FIND("/",SUBSTITUTE(LEFT(TRIM(C90),FIND(" ",TRIM(C90)&amp;" ")-1),",","."))-1)/MID(SUBSTITUTE(LEFT(TRIM(C90),FIND(" ",TRIM(C90)&amp;" ")-1),",","."),FIND("/",SUBSTITUTE(LEFT(TRIM(C90),FIND(" ",TRIM(C90)&amp;" ")-1),",","."))+1,9))*12/52,IF(ISNUMBER(SEARCH("month",C90)),IFERROR(_xlfn.NUMBERVALUE(SUBSTITUTE(LEFT(TRIM(C90),FIND(" ",TRIM(C90)&amp;" ")-1),",","."),"."),LEFT(SUBSTITUTE(LEFT(TRIM(C90),FIND(" ",TRIM(C90)&amp;" ")-1),",","."),FIND("/",SUBSTITUTE(LEFT(TRIM(C90),FIND(" ",TRIM(C90)&amp;" ")-1),",","."))-1)/MID(SUBSTITUTE(LEFT(TRIM(C90),FIND(" ",TRIM(C90)&amp;" ")-1),",","."),FIND("/",SUBSTITUTE(LEFT(TRIM(C90),FIND(" ",TRIM(C90)&amp;" ")-1),",","."))+1,9)),IF(ISNUMBER(SEARCH("yea",C90)),IFERROR(_xlfn.NUMBERVALUE(SUBSTITUTE(LEFT(TRIM(C90),FIND(" ",TRIM(C90)&amp;" ")-1),",","."),"."),LEFT(SUBSTITUTE(LEFT(TRIM(C90),FIND(" ",TRIM(C90)&amp;" ")-1),",","."),FIND("/",SUBSTITUTE(LEFT(TRIM(C90),FIND(" ",TRIM(C90)&amp;" ")-1),",","."))-1)/MID(SUBSTITUTE(LEFT(TRIM(C90),FIND(" ",TRIM(C90)&amp;" ")-1),",","."),FIND("/",SUBSTITUTE(LEFT(TRIM(C90),FIND(" ",TRIM(C90)&amp;" ")-1),",","."))+1,9))*12,NA()))),0),24)*'Aturan &amp; Tarif'!$B$4,2)</f>
        <v>1362.72</v>
      </c>
      <c r="K90" s="42" t="n">
        <f aca="false">'Aturan &amp; Tarif'!$B$5</f>
        <v>2050</v>
      </c>
      <c r="L90" s="42" t="n">
        <f aca="false">'Aturan &amp; Tarif'!$B$6</f>
        <v>350</v>
      </c>
      <c r="M90" s="35" t="n">
        <f aca="false">I90+J90+K90+L90</f>
        <v>11762.72</v>
      </c>
      <c r="N90" s="44" t="s">
        <v>855</v>
      </c>
    </row>
    <row r="91" customFormat="false" ht="25.5" hidden="false" customHeight="true" outlineLevel="0" collapsed="false">
      <c r="A91" s="39" t="s">
        <v>2807</v>
      </c>
      <c r="B91" s="40" t="s">
        <v>909</v>
      </c>
      <c r="C91" s="41" t="s">
        <v>107</v>
      </c>
      <c r="D91" s="41" t="s">
        <v>108</v>
      </c>
      <c r="E91" s="42" t="n">
        <v>2906.25</v>
      </c>
      <c r="F91" s="42" t="n">
        <v>1500</v>
      </c>
      <c r="G91" s="42" t="n">
        <v>250</v>
      </c>
      <c r="H91" s="43" t="n">
        <v>1</v>
      </c>
      <c r="I91" s="34" t="n">
        <f aca="false">E91*H91+N(F91)+N(G91)</f>
        <v>4656.25</v>
      </c>
      <c r="J91" s="42" t="n">
        <f aca="false">ROUND(IFERROR(ROUND(IF(OR(ISNUMBER(SEARCH("week",C91)),ISNUMBER(SEARCH("minggu",C91))),IFERROR(_xlfn.NUMBERVALUE(SUBSTITUTE(LEFT(TRIM(C91),FIND(" ",TRIM(C91)&amp;" ")-1),",","."),"."),LEFT(SUBSTITUTE(LEFT(TRIM(C91),FIND(" ",TRIM(C91)&amp;" ")-1),",","."),FIND("/",SUBSTITUTE(LEFT(TRIM(C91),FIND(" ",TRIM(C91)&amp;" ")-1),",","."))-1)/MID(SUBSTITUTE(LEFT(TRIM(C91),FIND(" ",TRIM(C91)&amp;" ")-1),",","."),FIND("/",SUBSTITUTE(LEFT(TRIM(C91),FIND(" ",TRIM(C91)&amp;" ")-1),",","."))+1,9))*12/52,IF(ISNUMBER(SEARCH("month",C91)),IFERROR(_xlfn.NUMBERVALUE(SUBSTITUTE(LEFT(TRIM(C91),FIND(" ",TRIM(C91)&amp;" ")-1),",","."),"."),LEFT(SUBSTITUTE(LEFT(TRIM(C91),FIND(" ",TRIM(C91)&amp;" ")-1),",","."),FIND("/",SUBSTITUTE(LEFT(TRIM(C91),FIND(" ",TRIM(C91)&amp;" ")-1),",","."))-1)/MID(SUBSTITUTE(LEFT(TRIM(C91),FIND(" ",TRIM(C91)&amp;" ")-1),",","."),FIND("/",SUBSTITUTE(LEFT(TRIM(C91),FIND(" ",TRIM(C91)&amp;" ")-1),",","."))+1,9)),IF(ISNUMBER(SEARCH("yea",C91)),IFERROR(_xlfn.NUMBERVALUE(SUBSTITUTE(LEFT(TRIM(C91),FIND(" ",TRIM(C91)&amp;" ")-1),",","."),"."),LEFT(SUBSTITUTE(LEFT(TRIM(C91),FIND(" ",TRIM(C91)&amp;" ")-1),",","."),FIND("/",SUBSTITUTE(LEFT(TRIM(C91),FIND(" ",TRIM(C91)&amp;" ")-1),",","."))-1)/MID(SUBSTITUTE(LEFT(TRIM(C91),FIND(" ",TRIM(C91)&amp;" ")-1),",","."),FIND("/",SUBSTITUTE(LEFT(TRIM(C91),FIND(" ",TRIM(C91)&amp;" ")-1),",","."))+1,9))*12,NA()))),0),24)*'Aturan &amp; Tarif'!$B$4,2)</f>
        <v>1362.72</v>
      </c>
      <c r="K91" s="42" t="n">
        <f aca="false">'Aturan &amp; Tarif'!$B$5</f>
        <v>2050</v>
      </c>
      <c r="L91" s="42" t="n">
        <f aca="false">'Aturan &amp; Tarif'!$B$6</f>
        <v>350</v>
      </c>
      <c r="M91" s="35" t="n">
        <f aca="false">I91+J91+K91+L91</f>
        <v>8418.97</v>
      </c>
      <c r="N91" s="45" t="s">
        <v>134</v>
      </c>
    </row>
    <row r="92" customFormat="false" ht="37.5" hidden="false" customHeight="true" outlineLevel="0" collapsed="false">
      <c r="A92" s="39"/>
      <c r="B92" s="40" t="s">
        <v>1580</v>
      </c>
      <c r="C92" s="41" t="s">
        <v>113</v>
      </c>
      <c r="D92" s="41" t="s">
        <v>108</v>
      </c>
      <c r="E92" s="42" t="n">
        <v>2833.33</v>
      </c>
      <c r="F92" s="42" t="n">
        <v>1500</v>
      </c>
      <c r="G92" s="42" t="n">
        <v>250</v>
      </c>
      <c r="H92" s="43" t="n">
        <v>1</v>
      </c>
      <c r="I92" s="34" t="n">
        <f aca="false">E92*H92+N(F92)+N(G92)</f>
        <v>4583.33</v>
      </c>
      <c r="J92" s="42" t="n">
        <f aca="false">ROUND(IFERROR(ROUND(IF(OR(ISNUMBER(SEARCH("week",C92)),ISNUMBER(SEARCH("minggu",C92))),IFERROR(_xlfn.NUMBERVALUE(SUBSTITUTE(LEFT(TRIM(C92),FIND(" ",TRIM(C92)&amp;" ")-1),",","."),"."),LEFT(SUBSTITUTE(LEFT(TRIM(C92),FIND(" ",TRIM(C92)&amp;" ")-1),",","."),FIND("/",SUBSTITUTE(LEFT(TRIM(C92),FIND(" ",TRIM(C92)&amp;" ")-1),",","."))-1)/MID(SUBSTITUTE(LEFT(TRIM(C92),FIND(" ",TRIM(C92)&amp;" ")-1),",","."),FIND("/",SUBSTITUTE(LEFT(TRIM(C92),FIND(" ",TRIM(C92)&amp;" ")-1),",","."))+1,9))*12/52,IF(ISNUMBER(SEARCH("month",C92)),IFERROR(_xlfn.NUMBERVALUE(SUBSTITUTE(LEFT(TRIM(C92),FIND(" ",TRIM(C92)&amp;" ")-1),",","."),"."),LEFT(SUBSTITUTE(LEFT(TRIM(C92),FIND(" ",TRIM(C92)&amp;" ")-1),",","."),FIND("/",SUBSTITUTE(LEFT(TRIM(C92),FIND(" ",TRIM(C92)&amp;" ")-1),",","."))-1)/MID(SUBSTITUTE(LEFT(TRIM(C92),FIND(" ",TRIM(C92)&amp;" ")-1),",","."),FIND("/",SUBSTITUTE(LEFT(TRIM(C92),FIND(" ",TRIM(C92)&amp;" ")-1),",","."))+1,9)),IF(ISNUMBER(SEARCH("yea",C92)),IFERROR(_xlfn.NUMBERVALUE(SUBSTITUTE(LEFT(TRIM(C92),FIND(" ",TRIM(C92)&amp;" ")-1),",","."),"."),LEFT(SUBSTITUTE(LEFT(TRIM(C92),FIND(" ",TRIM(C92)&amp;" ")-1),",","."),FIND("/",SUBSTITUTE(LEFT(TRIM(C92),FIND(" ",TRIM(C92)&amp;" ")-1),",","."))-1)/MID(SUBSTITUTE(LEFT(TRIM(C92),FIND(" ",TRIM(C92)&amp;" ")-1),",","."),FIND("/",SUBSTITUTE(LEFT(TRIM(C92),FIND(" ",TRIM(C92)&amp;" ")-1),",","."))+1,9))*12,NA()))),0),18)*'Aturan &amp; Tarif'!$B$4,2)</f>
        <v>1022.04</v>
      </c>
      <c r="K92" s="42" t="n">
        <f aca="false">'Aturan &amp; Tarif'!$B$5</f>
        <v>2050</v>
      </c>
      <c r="L92" s="42" t="n">
        <f aca="false">'Aturan &amp; Tarif'!$B$6</f>
        <v>350</v>
      </c>
      <c r="M92" s="35" t="n">
        <f aca="false">I92+J92+K92+L92</f>
        <v>8005.37</v>
      </c>
      <c r="N92" s="45" t="s">
        <v>134</v>
      </c>
    </row>
    <row r="93" customFormat="false" ht="37.5" hidden="false" customHeight="true" outlineLevel="0" collapsed="false">
      <c r="A93" s="39"/>
      <c r="B93" s="40" t="s">
        <v>1581</v>
      </c>
      <c r="C93" s="41" t="s">
        <v>107</v>
      </c>
      <c r="D93" s="41" t="s">
        <v>108</v>
      </c>
      <c r="E93" s="42" t="n">
        <v>2631.25</v>
      </c>
      <c r="F93" s="42" t="n">
        <v>2500</v>
      </c>
      <c r="G93" s="42" t="n">
        <v>250</v>
      </c>
      <c r="H93" s="43" t="n">
        <v>1</v>
      </c>
      <c r="I93" s="34" t="n">
        <f aca="false">E93*H93+N(F93)+N(G93)</f>
        <v>5381.25</v>
      </c>
      <c r="J93" s="42" t="n">
        <f aca="false">ROUND(IFERROR(ROUND(IF(OR(ISNUMBER(SEARCH("week",C93)),ISNUMBER(SEARCH("minggu",C93))),IFERROR(_xlfn.NUMBERVALUE(SUBSTITUTE(LEFT(TRIM(C93),FIND(" ",TRIM(C93)&amp;" ")-1),",","."),"."),LEFT(SUBSTITUTE(LEFT(TRIM(C93),FIND(" ",TRIM(C93)&amp;" ")-1),",","."),FIND("/",SUBSTITUTE(LEFT(TRIM(C93),FIND(" ",TRIM(C93)&amp;" ")-1),",","."))-1)/MID(SUBSTITUTE(LEFT(TRIM(C93),FIND(" ",TRIM(C93)&amp;" ")-1),",","."),FIND("/",SUBSTITUTE(LEFT(TRIM(C93),FIND(" ",TRIM(C93)&amp;" ")-1),",","."))+1,9))*12/52,IF(ISNUMBER(SEARCH("month",C93)),IFERROR(_xlfn.NUMBERVALUE(SUBSTITUTE(LEFT(TRIM(C93),FIND(" ",TRIM(C93)&amp;" ")-1),",","."),"."),LEFT(SUBSTITUTE(LEFT(TRIM(C93),FIND(" ",TRIM(C93)&amp;" ")-1),",","."),FIND("/",SUBSTITUTE(LEFT(TRIM(C93),FIND(" ",TRIM(C93)&amp;" ")-1),",","."))-1)/MID(SUBSTITUTE(LEFT(TRIM(C93),FIND(" ",TRIM(C93)&amp;" ")-1),",","."),FIND("/",SUBSTITUTE(LEFT(TRIM(C93),FIND(" ",TRIM(C93)&amp;" ")-1),",","."))+1,9)),IF(ISNUMBER(SEARCH("yea",C93)),IFERROR(_xlfn.NUMBERVALUE(SUBSTITUTE(LEFT(TRIM(C93),FIND(" ",TRIM(C93)&amp;" ")-1),",","."),"."),LEFT(SUBSTITUTE(LEFT(TRIM(C93),FIND(" ",TRIM(C93)&amp;" ")-1),",","."),FIND("/",SUBSTITUTE(LEFT(TRIM(C93),FIND(" ",TRIM(C93)&amp;" ")-1),",","."))-1)/MID(SUBSTITUTE(LEFT(TRIM(C93),FIND(" ",TRIM(C93)&amp;" ")-1),",","."),FIND("/",SUBSTITUTE(LEFT(TRIM(C93),FIND(" ",TRIM(C93)&amp;" ")-1),",","."))+1,9))*12,NA()))),0),24)*'Aturan &amp; Tarif'!$B$4,2)</f>
        <v>1362.72</v>
      </c>
      <c r="K93" s="42" t="n">
        <f aca="false">'Aturan &amp; Tarif'!$B$5</f>
        <v>2050</v>
      </c>
      <c r="L93" s="42" t="n">
        <f aca="false">'Aturan &amp; Tarif'!$B$6</f>
        <v>350</v>
      </c>
      <c r="M93" s="35" t="n">
        <f aca="false">I93+J93+K93+L93</f>
        <v>9143.97</v>
      </c>
      <c r="N93" s="45" t="s">
        <v>134</v>
      </c>
    </row>
    <row r="94" customFormat="false" ht="48.75" hidden="false" customHeight="true" outlineLevel="0" collapsed="false">
      <c r="A94" s="39"/>
      <c r="B94" s="40" t="s">
        <v>1582</v>
      </c>
      <c r="C94" s="41" t="s">
        <v>138</v>
      </c>
      <c r="D94" s="41" t="s">
        <v>108</v>
      </c>
      <c r="E94" s="42" t="n">
        <v>2325</v>
      </c>
      <c r="F94" s="42" t="n">
        <v>2500</v>
      </c>
      <c r="G94" s="42" t="n">
        <v>250</v>
      </c>
      <c r="H94" s="43" t="n">
        <v>1</v>
      </c>
      <c r="I94" s="34" t="n">
        <f aca="false">E94*H94+N(F94)+N(G94)</f>
        <v>5075</v>
      </c>
      <c r="J94" s="42" t="n">
        <f aca="false">ROUND(IFERROR(ROUND(IF(OR(ISNUMBER(SEARCH("week",C94)),ISNUMBER(SEARCH("minggu",C94))),IFERROR(_xlfn.NUMBERVALUE(SUBSTITUTE(LEFT(TRIM(C94),FIND(" ",TRIM(C94)&amp;" ")-1),",","."),"."),LEFT(SUBSTITUTE(LEFT(TRIM(C94),FIND(" ",TRIM(C94)&amp;" ")-1),",","."),FIND("/",SUBSTITUTE(LEFT(TRIM(C94),FIND(" ",TRIM(C94)&amp;" ")-1),",","."))-1)/MID(SUBSTITUTE(LEFT(TRIM(C94),FIND(" ",TRIM(C94)&amp;" ")-1),",","."),FIND("/",SUBSTITUTE(LEFT(TRIM(C94),FIND(" ",TRIM(C94)&amp;" ")-1),",","."))+1,9))*12/52,IF(ISNUMBER(SEARCH("month",C94)),IFERROR(_xlfn.NUMBERVALUE(SUBSTITUTE(LEFT(TRIM(C94),FIND(" ",TRIM(C94)&amp;" ")-1),",","."),"."),LEFT(SUBSTITUTE(LEFT(TRIM(C94),FIND(" ",TRIM(C94)&amp;" ")-1),",","."),FIND("/",SUBSTITUTE(LEFT(TRIM(C94),FIND(" ",TRIM(C94)&amp;" ")-1),",","."))-1)/MID(SUBSTITUTE(LEFT(TRIM(C94),FIND(" ",TRIM(C94)&amp;" ")-1),",","."),FIND("/",SUBSTITUTE(LEFT(TRIM(C94),FIND(" ",TRIM(C94)&amp;" ")-1),",","."))+1,9)),IF(ISNUMBER(SEARCH("yea",C94)),IFERROR(_xlfn.NUMBERVALUE(SUBSTITUTE(LEFT(TRIM(C94),FIND(" ",TRIM(C94)&amp;" ")-1),",","."),"."),LEFT(SUBSTITUTE(LEFT(TRIM(C94),FIND(" ",TRIM(C94)&amp;" ")-1),",","."),FIND("/",SUBSTITUTE(LEFT(TRIM(C94),FIND(" ",TRIM(C94)&amp;" ")-1),",","."))-1)/MID(SUBSTITUTE(LEFT(TRIM(C94),FIND(" ",TRIM(C94)&amp;" ")-1),",","."),FIND("/",SUBSTITUTE(LEFT(TRIM(C94),FIND(" ",TRIM(C94)&amp;" ")-1),",","."))+1,9))*12,NA()))),0),30)*'Aturan &amp; Tarif'!$B$4,2)</f>
        <v>1703.4</v>
      </c>
      <c r="K94" s="42" t="n">
        <f aca="false">'Aturan &amp; Tarif'!$B$5</f>
        <v>2050</v>
      </c>
      <c r="L94" s="42" t="n">
        <f aca="false">'Aturan &amp; Tarif'!$B$6</f>
        <v>350</v>
      </c>
      <c r="M94" s="35" t="n">
        <f aca="false">I94+J94+K94+L94</f>
        <v>9178.4</v>
      </c>
      <c r="N94" s="45" t="s">
        <v>134</v>
      </c>
    </row>
    <row r="95" customFormat="false" ht="14.25" hidden="false" customHeight="true" outlineLevel="0" collapsed="false">
      <c r="A95" s="29" t="s">
        <v>2808</v>
      </c>
      <c r="B95" s="30" t="s">
        <v>317</v>
      </c>
      <c r="C95" s="31" t="s">
        <v>127</v>
      </c>
      <c r="D95" s="31" t="s">
        <v>108</v>
      </c>
      <c r="E95" s="32" t="n">
        <v>8742</v>
      </c>
      <c r="F95" s="32"/>
      <c r="G95" s="32"/>
      <c r="H95" s="33" t="n">
        <v>2</v>
      </c>
      <c r="I95" s="34" t="n">
        <f aca="false">E95*H95+N(F95)+N(G95)</f>
        <v>17484</v>
      </c>
      <c r="J95" s="32" t="n">
        <f aca="false">ROUND(IFERROR(ROUND(IF(OR(ISNUMBER(SEARCH("week",C95)),ISNUMBER(SEARCH("minggu",C95))),IFERROR(_xlfn.NUMBERVALUE(SUBSTITUTE(LEFT(TRIM(C95),FIND(" ",TRIM(C95)&amp;" ")-1),",","."),"."),LEFT(SUBSTITUTE(LEFT(TRIM(C95),FIND(" ",TRIM(C95)&amp;" ")-1),",","."),FIND("/",SUBSTITUTE(LEFT(TRIM(C95),FIND(" ",TRIM(C95)&amp;" ")-1),",","."))-1)/MID(SUBSTITUTE(LEFT(TRIM(C95),FIND(" ",TRIM(C95)&amp;" ")-1),",","."),FIND("/",SUBSTITUTE(LEFT(TRIM(C95),FIND(" ",TRIM(C95)&amp;" ")-1),",","."))+1,9))*12/52,IF(ISNUMBER(SEARCH("month",C95)),IFERROR(_xlfn.NUMBERVALUE(SUBSTITUTE(LEFT(TRIM(C95),FIND(" ",TRIM(C95)&amp;" ")-1),",","."),"."),LEFT(SUBSTITUTE(LEFT(TRIM(C95),FIND(" ",TRIM(C95)&amp;" ")-1),",","."),FIND("/",SUBSTITUTE(LEFT(TRIM(C95),FIND(" ",TRIM(C95)&amp;" ")-1),",","."))-1)/MID(SUBSTITUTE(LEFT(TRIM(C95),FIND(" ",TRIM(C95)&amp;" ")-1),",","."),FIND("/",SUBSTITUTE(LEFT(TRIM(C95),FIND(" ",TRIM(C95)&amp;" ")-1),",","."))+1,9)),IF(ISNUMBER(SEARCH("yea",C95)),IFERROR(_xlfn.NUMBERVALUE(SUBSTITUTE(LEFT(TRIM(C95),FIND(" ",TRIM(C95)&amp;" ")-1),",","."),"."),LEFT(SUBSTITUTE(LEFT(TRIM(C95),FIND(" ",TRIM(C95)&amp;" ")-1),",","."),FIND("/",SUBSTITUTE(LEFT(TRIM(C95),FIND(" ",TRIM(C95)&amp;" ")-1),",","."))-1)/MID(SUBSTITUTE(LEFT(TRIM(C95),FIND(" ",TRIM(C95)&amp;" ")-1),",","."),FIND("/",SUBSTITUTE(LEFT(TRIM(C95),FIND(" ",TRIM(C95)&amp;" ")-1),",","."))+1,9))*12,NA()))),0),36)*'Aturan &amp; Tarif'!$B$4,2)</f>
        <v>2044.08</v>
      </c>
      <c r="K95" s="32" t="n">
        <f aca="false">'Aturan &amp; Tarif'!$B$5</f>
        <v>2050</v>
      </c>
      <c r="L95" s="32" t="n">
        <f aca="false">'Aturan &amp; Tarif'!$B$6</f>
        <v>350</v>
      </c>
      <c r="M95" s="35" t="n">
        <f aca="false">I95+J95+K95+L95</f>
        <v>21928.08</v>
      </c>
      <c r="N95" s="37" t="s">
        <v>318</v>
      </c>
    </row>
    <row r="96" customFormat="false" ht="14.25" hidden="false" customHeight="true" outlineLevel="0" collapsed="false">
      <c r="A96" s="29"/>
      <c r="B96" s="30" t="s">
        <v>319</v>
      </c>
      <c r="C96" s="31" t="s">
        <v>191</v>
      </c>
      <c r="D96" s="31" t="s">
        <v>108</v>
      </c>
      <c r="E96" s="32" t="n">
        <v>8742</v>
      </c>
      <c r="F96" s="32"/>
      <c r="G96" s="32"/>
      <c r="H96" s="33" t="n">
        <v>2</v>
      </c>
      <c r="I96" s="34" t="n">
        <f aca="false">E96*H96+N(F96)+N(G96)</f>
        <v>17484</v>
      </c>
      <c r="J96" s="32" t="n">
        <f aca="false">ROUND(IFERROR(ROUND(IF(OR(ISNUMBER(SEARCH("week",C96)),ISNUMBER(SEARCH("minggu",C96))),IFERROR(_xlfn.NUMBERVALUE(SUBSTITUTE(LEFT(TRIM(C96),FIND(" ",TRIM(C96)&amp;" ")-1),",","."),"."),LEFT(SUBSTITUTE(LEFT(TRIM(C96),FIND(" ",TRIM(C96)&amp;" ")-1),",","."),FIND("/",SUBSTITUTE(LEFT(TRIM(C96),FIND(" ",TRIM(C96)&amp;" ")-1),",","."))-1)/MID(SUBSTITUTE(LEFT(TRIM(C96),FIND(" ",TRIM(C96)&amp;" ")-1),",","."),FIND("/",SUBSTITUTE(LEFT(TRIM(C96),FIND(" ",TRIM(C96)&amp;" ")-1),",","."))+1,9))*12/52,IF(ISNUMBER(SEARCH("month",C96)),IFERROR(_xlfn.NUMBERVALUE(SUBSTITUTE(LEFT(TRIM(C96),FIND(" ",TRIM(C96)&amp;" ")-1),",","."),"."),LEFT(SUBSTITUTE(LEFT(TRIM(C96),FIND(" ",TRIM(C96)&amp;" ")-1),",","."),FIND("/",SUBSTITUTE(LEFT(TRIM(C96),FIND(" ",TRIM(C96)&amp;" ")-1),",","."))-1)/MID(SUBSTITUTE(LEFT(TRIM(C96),FIND(" ",TRIM(C96)&amp;" ")-1),",","."),FIND("/",SUBSTITUTE(LEFT(TRIM(C96),FIND(" ",TRIM(C96)&amp;" ")-1),",","."))+1,9)),IF(ISNUMBER(SEARCH("yea",C96)),IFERROR(_xlfn.NUMBERVALUE(SUBSTITUTE(LEFT(TRIM(C96),FIND(" ",TRIM(C96)&amp;" ")-1),",","."),"."),LEFT(SUBSTITUTE(LEFT(TRIM(C96),FIND(" ",TRIM(C96)&amp;" ")-1),",","."),FIND("/",SUBSTITUTE(LEFT(TRIM(C96),FIND(" ",TRIM(C96)&amp;" ")-1),",","."))-1)/MID(SUBSTITUTE(LEFT(TRIM(C96),FIND(" ",TRIM(C96)&amp;" ")-1),",","."),FIND("/",SUBSTITUTE(LEFT(TRIM(C96),FIND(" ",TRIM(C96)&amp;" ")-1),",","."))+1,9))*12,NA()))),0),48)*'Aturan &amp; Tarif'!$B$4,2)</f>
        <v>2725.44</v>
      </c>
      <c r="K96" s="32" t="n">
        <f aca="false">'Aturan &amp; Tarif'!$B$5</f>
        <v>2050</v>
      </c>
      <c r="L96" s="32" t="n">
        <f aca="false">'Aturan &amp; Tarif'!$B$6</f>
        <v>350</v>
      </c>
      <c r="M96" s="35" t="n">
        <f aca="false">I96+J96+K96+L96</f>
        <v>22609.44</v>
      </c>
      <c r="N96" s="37" t="s">
        <v>318</v>
      </c>
    </row>
    <row r="97" customFormat="false" ht="14.25" hidden="false" customHeight="true" outlineLevel="0" collapsed="false">
      <c r="A97" s="29"/>
      <c r="B97" s="30" t="s">
        <v>320</v>
      </c>
      <c r="C97" s="31" t="s">
        <v>245</v>
      </c>
      <c r="D97" s="31" t="s">
        <v>108</v>
      </c>
      <c r="E97" s="32" t="n">
        <v>9200</v>
      </c>
      <c r="F97" s="32"/>
      <c r="G97" s="32"/>
      <c r="H97" s="33" t="n">
        <v>2</v>
      </c>
      <c r="I97" s="34" t="n">
        <f aca="false">E97*H97+N(F97)+N(G97)</f>
        <v>18400</v>
      </c>
      <c r="J97" s="32" t="n">
        <f aca="false">ROUND(IFERROR(ROUND(IF(OR(ISNUMBER(SEARCH("week",C97)),ISNUMBER(SEARCH("minggu",C97))),IFERROR(_xlfn.NUMBERVALUE(SUBSTITUTE(LEFT(TRIM(C97),FIND(" ",TRIM(C97)&amp;" ")-1),",","."),"."),LEFT(SUBSTITUTE(LEFT(TRIM(C97),FIND(" ",TRIM(C97)&amp;" ")-1),",","."),FIND("/",SUBSTITUTE(LEFT(TRIM(C97),FIND(" ",TRIM(C97)&amp;" ")-1),",","."))-1)/MID(SUBSTITUTE(LEFT(TRIM(C97),FIND(" ",TRIM(C97)&amp;" ")-1),",","."),FIND("/",SUBSTITUTE(LEFT(TRIM(C97),FIND(" ",TRIM(C97)&amp;" ")-1),",","."))+1,9))*12/52,IF(ISNUMBER(SEARCH("month",C97)),IFERROR(_xlfn.NUMBERVALUE(SUBSTITUTE(LEFT(TRIM(C97),FIND(" ",TRIM(C97)&amp;" ")-1),",","."),"."),LEFT(SUBSTITUTE(LEFT(TRIM(C97),FIND(" ",TRIM(C97)&amp;" ")-1),",","."),FIND("/",SUBSTITUTE(LEFT(TRIM(C97),FIND(" ",TRIM(C97)&amp;" ")-1),",","."))-1)/MID(SUBSTITUTE(LEFT(TRIM(C97),FIND(" ",TRIM(C97)&amp;" ")-1),",","."),FIND("/",SUBSTITUTE(LEFT(TRIM(C97),FIND(" ",TRIM(C97)&amp;" ")-1),",","."))+1,9)),IF(ISNUMBER(SEARCH("yea",C97)),IFERROR(_xlfn.NUMBERVALUE(SUBSTITUTE(LEFT(TRIM(C97),FIND(" ",TRIM(C97)&amp;" ")-1),",","."),"."),LEFT(SUBSTITUTE(LEFT(TRIM(C97),FIND(" ",TRIM(C97)&amp;" ")-1),",","."),FIND("/",SUBSTITUTE(LEFT(TRIM(C97),FIND(" ",TRIM(C97)&amp;" ")-1),",","."))-1)/MID(SUBSTITUTE(LEFT(TRIM(C97),FIND(" ",TRIM(C97)&amp;" ")-1),",","."),FIND("/",SUBSTITUTE(LEFT(TRIM(C97),FIND(" ",TRIM(C97)&amp;" ")-1),",","."))+1,9))*12,NA()))),0),60)*'Aturan &amp; Tarif'!$B$4,2)</f>
        <v>3406.8</v>
      </c>
      <c r="K97" s="32" t="n">
        <f aca="false">'Aturan &amp; Tarif'!$B$5</f>
        <v>2050</v>
      </c>
      <c r="L97" s="32" t="n">
        <f aca="false">'Aturan &amp; Tarif'!$B$6</f>
        <v>350</v>
      </c>
      <c r="M97" s="35" t="n">
        <f aca="false">I97+J97+K97+L97</f>
        <v>24206.8</v>
      </c>
      <c r="N97" s="37" t="s">
        <v>318</v>
      </c>
    </row>
    <row r="98" customFormat="false" ht="37.5" hidden="false" customHeight="true" outlineLevel="0" collapsed="false">
      <c r="A98" s="29"/>
      <c r="B98" s="30" t="s">
        <v>321</v>
      </c>
      <c r="C98" s="31" t="s">
        <v>127</v>
      </c>
      <c r="D98" s="31" t="s">
        <v>108</v>
      </c>
      <c r="E98" s="32" t="n">
        <v>8742</v>
      </c>
      <c r="F98" s="32"/>
      <c r="G98" s="32"/>
      <c r="H98" s="33" t="n">
        <v>2</v>
      </c>
      <c r="I98" s="34" t="n">
        <f aca="false">E98*H98+N(F98)+N(G98)</f>
        <v>17484</v>
      </c>
      <c r="J98" s="32" t="n">
        <f aca="false">ROUND(IFERROR(ROUND(IF(OR(ISNUMBER(SEARCH("week",C98)),ISNUMBER(SEARCH("minggu",C98))),IFERROR(_xlfn.NUMBERVALUE(SUBSTITUTE(LEFT(TRIM(C98),FIND(" ",TRIM(C98)&amp;" ")-1),",","."),"."),LEFT(SUBSTITUTE(LEFT(TRIM(C98),FIND(" ",TRIM(C98)&amp;" ")-1),",","."),FIND("/",SUBSTITUTE(LEFT(TRIM(C98),FIND(" ",TRIM(C98)&amp;" ")-1),",","."))-1)/MID(SUBSTITUTE(LEFT(TRIM(C98),FIND(" ",TRIM(C98)&amp;" ")-1),",","."),FIND("/",SUBSTITUTE(LEFT(TRIM(C98),FIND(" ",TRIM(C98)&amp;" ")-1),",","."))+1,9))*12/52,IF(ISNUMBER(SEARCH("month",C98)),IFERROR(_xlfn.NUMBERVALUE(SUBSTITUTE(LEFT(TRIM(C98),FIND(" ",TRIM(C98)&amp;" ")-1),",","."),"."),LEFT(SUBSTITUTE(LEFT(TRIM(C98),FIND(" ",TRIM(C98)&amp;" ")-1),",","."),FIND("/",SUBSTITUTE(LEFT(TRIM(C98),FIND(" ",TRIM(C98)&amp;" ")-1),",","."))-1)/MID(SUBSTITUTE(LEFT(TRIM(C98),FIND(" ",TRIM(C98)&amp;" ")-1),",","."),FIND("/",SUBSTITUTE(LEFT(TRIM(C98),FIND(" ",TRIM(C98)&amp;" ")-1),",","."))+1,9)),IF(ISNUMBER(SEARCH("yea",C98)),IFERROR(_xlfn.NUMBERVALUE(SUBSTITUTE(LEFT(TRIM(C98),FIND(" ",TRIM(C98)&amp;" ")-1),",","."),"."),LEFT(SUBSTITUTE(LEFT(TRIM(C98),FIND(" ",TRIM(C98)&amp;" ")-1),",","."),FIND("/",SUBSTITUTE(LEFT(TRIM(C98),FIND(" ",TRIM(C98)&amp;" ")-1),",","."))-1)/MID(SUBSTITUTE(LEFT(TRIM(C98),FIND(" ",TRIM(C98)&amp;" ")-1),",","."),FIND("/",SUBSTITUTE(LEFT(TRIM(C98),FIND(" ",TRIM(C98)&amp;" ")-1),",","."))+1,9))*12,NA()))),0),36)*'Aturan &amp; Tarif'!$B$4,2)</f>
        <v>2044.08</v>
      </c>
      <c r="K98" s="32" t="n">
        <f aca="false">'Aturan &amp; Tarif'!$B$5</f>
        <v>2050</v>
      </c>
      <c r="L98" s="32" t="n">
        <f aca="false">'Aturan &amp; Tarif'!$B$6</f>
        <v>350</v>
      </c>
      <c r="M98" s="35" t="n">
        <f aca="false">I98+J98+K98+L98</f>
        <v>21928.08</v>
      </c>
      <c r="N98" s="37" t="s">
        <v>322</v>
      </c>
    </row>
    <row r="99" customFormat="false" ht="14.25" hidden="false" customHeight="true" outlineLevel="0" collapsed="false">
      <c r="A99" s="29"/>
      <c r="B99" s="30" t="s">
        <v>323</v>
      </c>
      <c r="C99" s="31" t="s">
        <v>245</v>
      </c>
      <c r="D99" s="31" t="s">
        <v>108</v>
      </c>
      <c r="E99" s="32" t="n">
        <v>8742</v>
      </c>
      <c r="F99" s="32"/>
      <c r="G99" s="32"/>
      <c r="H99" s="33" t="n">
        <v>2</v>
      </c>
      <c r="I99" s="34" t="n">
        <f aca="false">E99*H99+N(F99)+N(G99)</f>
        <v>17484</v>
      </c>
      <c r="J99" s="32" t="n">
        <f aca="false">ROUND(IFERROR(ROUND(IF(OR(ISNUMBER(SEARCH("week",C99)),ISNUMBER(SEARCH("minggu",C99))),IFERROR(_xlfn.NUMBERVALUE(SUBSTITUTE(LEFT(TRIM(C99),FIND(" ",TRIM(C99)&amp;" ")-1),",","."),"."),LEFT(SUBSTITUTE(LEFT(TRIM(C99),FIND(" ",TRIM(C99)&amp;" ")-1),",","."),FIND("/",SUBSTITUTE(LEFT(TRIM(C99),FIND(" ",TRIM(C99)&amp;" ")-1),",","."))-1)/MID(SUBSTITUTE(LEFT(TRIM(C99),FIND(" ",TRIM(C99)&amp;" ")-1),",","."),FIND("/",SUBSTITUTE(LEFT(TRIM(C99),FIND(" ",TRIM(C99)&amp;" ")-1),",","."))+1,9))*12/52,IF(ISNUMBER(SEARCH("month",C99)),IFERROR(_xlfn.NUMBERVALUE(SUBSTITUTE(LEFT(TRIM(C99),FIND(" ",TRIM(C99)&amp;" ")-1),",","."),"."),LEFT(SUBSTITUTE(LEFT(TRIM(C99),FIND(" ",TRIM(C99)&amp;" ")-1),",","."),FIND("/",SUBSTITUTE(LEFT(TRIM(C99),FIND(" ",TRIM(C99)&amp;" ")-1),",","."))-1)/MID(SUBSTITUTE(LEFT(TRIM(C99),FIND(" ",TRIM(C99)&amp;" ")-1),",","."),FIND("/",SUBSTITUTE(LEFT(TRIM(C99),FIND(" ",TRIM(C99)&amp;" ")-1),",","."))+1,9)),IF(ISNUMBER(SEARCH("yea",C99)),IFERROR(_xlfn.NUMBERVALUE(SUBSTITUTE(LEFT(TRIM(C99),FIND(" ",TRIM(C99)&amp;" ")-1),",","."),"."),LEFT(SUBSTITUTE(LEFT(TRIM(C99),FIND(" ",TRIM(C99)&amp;" ")-1),",","."),FIND("/",SUBSTITUTE(LEFT(TRIM(C99),FIND(" ",TRIM(C99)&amp;" ")-1),",","."))-1)/MID(SUBSTITUTE(LEFT(TRIM(C99),FIND(" ",TRIM(C99)&amp;" ")-1),",","."),FIND("/",SUBSTITUTE(LEFT(TRIM(C99),FIND(" ",TRIM(C99)&amp;" ")-1),",","."))+1,9))*12,NA()))),0),60)*'Aturan &amp; Tarif'!$B$4,2)</f>
        <v>3406.8</v>
      </c>
      <c r="K99" s="32" t="n">
        <f aca="false">'Aturan &amp; Tarif'!$B$5</f>
        <v>2050</v>
      </c>
      <c r="L99" s="32" t="n">
        <f aca="false">'Aturan &amp; Tarif'!$B$6</f>
        <v>350</v>
      </c>
      <c r="M99" s="35" t="n">
        <f aca="false">I99+J99+K99+L99</f>
        <v>23290.8</v>
      </c>
      <c r="N99" s="36" t="s">
        <v>324</v>
      </c>
    </row>
    <row r="100" customFormat="false" ht="14.25" hidden="false" customHeight="true" outlineLevel="0" collapsed="false">
      <c r="A100" s="29"/>
      <c r="B100" s="30" t="s">
        <v>325</v>
      </c>
      <c r="C100" s="31" t="s">
        <v>127</v>
      </c>
      <c r="D100" s="31" t="s">
        <v>108</v>
      </c>
      <c r="E100" s="32" t="n">
        <v>8742</v>
      </c>
      <c r="F100" s="32"/>
      <c r="G100" s="32"/>
      <c r="H100" s="33" t="n">
        <v>2</v>
      </c>
      <c r="I100" s="34" t="n">
        <f aca="false">E100*H100+N(F100)+N(G100)</f>
        <v>17484</v>
      </c>
      <c r="J100" s="32" t="n">
        <f aca="false">ROUND(IFERROR(ROUND(IF(OR(ISNUMBER(SEARCH("week",C100)),ISNUMBER(SEARCH("minggu",C100))),IFERROR(_xlfn.NUMBERVALUE(SUBSTITUTE(LEFT(TRIM(C100),FIND(" ",TRIM(C100)&amp;" ")-1),",","."),"."),LEFT(SUBSTITUTE(LEFT(TRIM(C100),FIND(" ",TRIM(C100)&amp;" ")-1),",","."),FIND("/",SUBSTITUTE(LEFT(TRIM(C100),FIND(" ",TRIM(C100)&amp;" ")-1),",","."))-1)/MID(SUBSTITUTE(LEFT(TRIM(C100),FIND(" ",TRIM(C100)&amp;" ")-1),",","."),FIND("/",SUBSTITUTE(LEFT(TRIM(C100),FIND(" ",TRIM(C100)&amp;" ")-1),",","."))+1,9))*12/52,IF(ISNUMBER(SEARCH("month",C100)),IFERROR(_xlfn.NUMBERVALUE(SUBSTITUTE(LEFT(TRIM(C100),FIND(" ",TRIM(C100)&amp;" ")-1),",","."),"."),LEFT(SUBSTITUTE(LEFT(TRIM(C100),FIND(" ",TRIM(C100)&amp;" ")-1),",","."),FIND("/",SUBSTITUTE(LEFT(TRIM(C100),FIND(" ",TRIM(C100)&amp;" ")-1),",","."))-1)/MID(SUBSTITUTE(LEFT(TRIM(C100),FIND(" ",TRIM(C100)&amp;" ")-1),",","."),FIND("/",SUBSTITUTE(LEFT(TRIM(C100),FIND(" ",TRIM(C100)&amp;" ")-1),",","."))+1,9)),IF(ISNUMBER(SEARCH("yea",C100)),IFERROR(_xlfn.NUMBERVALUE(SUBSTITUTE(LEFT(TRIM(C100),FIND(" ",TRIM(C100)&amp;" ")-1),",","."),"."),LEFT(SUBSTITUTE(LEFT(TRIM(C100),FIND(" ",TRIM(C100)&amp;" ")-1),",","."),FIND("/",SUBSTITUTE(LEFT(TRIM(C100),FIND(" ",TRIM(C100)&amp;" ")-1),",","."))-1)/MID(SUBSTITUTE(LEFT(TRIM(C100),FIND(" ",TRIM(C100)&amp;" ")-1),",","."),FIND("/",SUBSTITUTE(LEFT(TRIM(C100),FIND(" ",TRIM(C100)&amp;" ")-1),",","."))+1,9))*12,NA()))),0),36)*'Aturan &amp; Tarif'!$B$4,2)</f>
        <v>2044.08</v>
      </c>
      <c r="K100" s="32" t="n">
        <f aca="false">'Aturan &amp; Tarif'!$B$5</f>
        <v>2050</v>
      </c>
      <c r="L100" s="32" t="n">
        <f aca="false">'Aturan &amp; Tarif'!$B$6</f>
        <v>350</v>
      </c>
      <c r="M100" s="35" t="n">
        <f aca="false">I100+J100+K100+L100</f>
        <v>21928.08</v>
      </c>
      <c r="N100" s="37" t="s">
        <v>322</v>
      </c>
    </row>
    <row r="101" customFormat="false" ht="60" hidden="false" customHeight="true" outlineLevel="0" collapsed="false">
      <c r="A101" s="29"/>
      <c r="B101" s="30" t="s">
        <v>326</v>
      </c>
      <c r="C101" s="31" t="s">
        <v>245</v>
      </c>
      <c r="D101" s="31" t="s">
        <v>108</v>
      </c>
      <c r="E101" s="32" t="n">
        <v>9200</v>
      </c>
      <c r="F101" s="32"/>
      <c r="G101" s="32"/>
      <c r="H101" s="33" t="n">
        <v>2</v>
      </c>
      <c r="I101" s="34" t="n">
        <f aca="false">E101*H101+N(F101)+N(G101)</f>
        <v>18400</v>
      </c>
      <c r="J101" s="32" t="n">
        <f aca="false">ROUND(IFERROR(ROUND(IF(OR(ISNUMBER(SEARCH("week",C101)),ISNUMBER(SEARCH("minggu",C101))),IFERROR(_xlfn.NUMBERVALUE(SUBSTITUTE(LEFT(TRIM(C101),FIND(" ",TRIM(C101)&amp;" ")-1),",","."),"."),LEFT(SUBSTITUTE(LEFT(TRIM(C101),FIND(" ",TRIM(C101)&amp;" ")-1),",","."),FIND("/",SUBSTITUTE(LEFT(TRIM(C101),FIND(" ",TRIM(C101)&amp;" ")-1),",","."))-1)/MID(SUBSTITUTE(LEFT(TRIM(C101),FIND(" ",TRIM(C101)&amp;" ")-1),",","."),FIND("/",SUBSTITUTE(LEFT(TRIM(C101),FIND(" ",TRIM(C101)&amp;" ")-1),",","."))+1,9))*12/52,IF(ISNUMBER(SEARCH("month",C101)),IFERROR(_xlfn.NUMBERVALUE(SUBSTITUTE(LEFT(TRIM(C101),FIND(" ",TRIM(C101)&amp;" ")-1),",","."),"."),LEFT(SUBSTITUTE(LEFT(TRIM(C101),FIND(" ",TRIM(C101)&amp;" ")-1),",","."),FIND("/",SUBSTITUTE(LEFT(TRIM(C101),FIND(" ",TRIM(C101)&amp;" ")-1),",","."))-1)/MID(SUBSTITUTE(LEFT(TRIM(C101),FIND(" ",TRIM(C101)&amp;" ")-1),",","."),FIND("/",SUBSTITUTE(LEFT(TRIM(C101),FIND(" ",TRIM(C101)&amp;" ")-1),",","."))+1,9)),IF(ISNUMBER(SEARCH("yea",C101)),IFERROR(_xlfn.NUMBERVALUE(SUBSTITUTE(LEFT(TRIM(C101),FIND(" ",TRIM(C101)&amp;" ")-1),",","."),"."),LEFT(SUBSTITUTE(LEFT(TRIM(C101),FIND(" ",TRIM(C101)&amp;" ")-1),",","."),FIND("/",SUBSTITUTE(LEFT(TRIM(C101),FIND(" ",TRIM(C101)&amp;" ")-1),",","."))-1)/MID(SUBSTITUTE(LEFT(TRIM(C101),FIND(" ",TRIM(C101)&amp;" ")-1),",","."),FIND("/",SUBSTITUTE(LEFT(TRIM(C101),FIND(" ",TRIM(C101)&amp;" ")-1),",","."))+1,9))*12,NA()))),0),60)*'Aturan &amp; Tarif'!$B$4,2)</f>
        <v>3406.8</v>
      </c>
      <c r="K101" s="32" t="n">
        <f aca="false">'Aturan &amp; Tarif'!$B$5</f>
        <v>2050</v>
      </c>
      <c r="L101" s="32" t="n">
        <f aca="false">'Aturan &amp; Tarif'!$B$6</f>
        <v>350</v>
      </c>
      <c r="M101" s="35" t="n">
        <f aca="false">I101+J101+K101+L101</f>
        <v>24206.8</v>
      </c>
      <c r="N101" s="37" t="s">
        <v>318</v>
      </c>
    </row>
    <row r="102" customFormat="false" ht="25.5" hidden="false" customHeight="true" outlineLevel="0" collapsed="false">
      <c r="A102" s="29"/>
      <c r="B102" s="30" t="s">
        <v>327</v>
      </c>
      <c r="C102" s="31" t="s">
        <v>127</v>
      </c>
      <c r="D102" s="31" t="s">
        <v>108</v>
      </c>
      <c r="E102" s="32" t="n">
        <v>9750</v>
      </c>
      <c r="F102" s="32"/>
      <c r="G102" s="32"/>
      <c r="H102" s="33" t="n">
        <v>2</v>
      </c>
      <c r="I102" s="34" t="n">
        <f aca="false">E102*H102+N(F102)+N(G102)</f>
        <v>19500</v>
      </c>
      <c r="J102" s="32" t="n">
        <f aca="false">ROUND(IFERROR(ROUND(IF(OR(ISNUMBER(SEARCH("week",C102)),ISNUMBER(SEARCH("minggu",C102))),IFERROR(_xlfn.NUMBERVALUE(SUBSTITUTE(LEFT(TRIM(C102),FIND(" ",TRIM(C102)&amp;" ")-1),",","."),"."),LEFT(SUBSTITUTE(LEFT(TRIM(C102),FIND(" ",TRIM(C102)&amp;" ")-1),",","."),FIND("/",SUBSTITUTE(LEFT(TRIM(C102),FIND(" ",TRIM(C102)&amp;" ")-1),",","."))-1)/MID(SUBSTITUTE(LEFT(TRIM(C102),FIND(" ",TRIM(C102)&amp;" ")-1),",","."),FIND("/",SUBSTITUTE(LEFT(TRIM(C102),FIND(" ",TRIM(C102)&amp;" ")-1),",","."))+1,9))*12/52,IF(ISNUMBER(SEARCH("month",C102)),IFERROR(_xlfn.NUMBERVALUE(SUBSTITUTE(LEFT(TRIM(C102),FIND(" ",TRIM(C102)&amp;" ")-1),",","."),"."),LEFT(SUBSTITUTE(LEFT(TRIM(C102),FIND(" ",TRIM(C102)&amp;" ")-1),",","."),FIND("/",SUBSTITUTE(LEFT(TRIM(C102),FIND(" ",TRIM(C102)&amp;" ")-1),",","."))-1)/MID(SUBSTITUTE(LEFT(TRIM(C102),FIND(" ",TRIM(C102)&amp;" ")-1),",","."),FIND("/",SUBSTITUTE(LEFT(TRIM(C102),FIND(" ",TRIM(C102)&amp;" ")-1),",","."))+1,9)),IF(ISNUMBER(SEARCH("yea",C102)),IFERROR(_xlfn.NUMBERVALUE(SUBSTITUTE(LEFT(TRIM(C102),FIND(" ",TRIM(C102)&amp;" ")-1),",","."),"."),LEFT(SUBSTITUTE(LEFT(TRIM(C102),FIND(" ",TRIM(C102)&amp;" ")-1),",","."),FIND("/",SUBSTITUTE(LEFT(TRIM(C102),FIND(" ",TRIM(C102)&amp;" ")-1),",","."))-1)/MID(SUBSTITUTE(LEFT(TRIM(C102),FIND(" ",TRIM(C102)&amp;" ")-1),",","."),FIND("/",SUBSTITUTE(LEFT(TRIM(C102),FIND(" ",TRIM(C102)&amp;" ")-1),",","."))+1,9))*12,NA()))),0),36)*'Aturan &amp; Tarif'!$B$4,2)</f>
        <v>2044.08</v>
      </c>
      <c r="K102" s="32" t="n">
        <f aca="false">'Aturan &amp; Tarif'!$B$5</f>
        <v>2050</v>
      </c>
      <c r="L102" s="32" t="n">
        <f aca="false">'Aturan &amp; Tarif'!$B$6</f>
        <v>350</v>
      </c>
      <c r="M102" s="35" t="n">
        <f aca="false">I102+J102+K102+L102</f>
        <v>23944.08</v>
      </c>
      <c r="N102" s="36" t="s">
        <v>328</v>
      </c>
    </row>
    <row r="103" customFormat="false" ht="25.5" hidden="false" customHeight="true" outlineLevel="0" collapsed="false">
      <c r="A103" s="29"/>
      <c r="B103" s="30" t="s">
        <v>329</v>
      </c>
      <c r="C103" s="31" t="s">
        <v>191</v>
      </c>
      <c r="D103" s="31" t="s">
        <v>108</v>
      </c>
      <c r="E103" s="32" t="n">
        <v>9750</v>
      </c>
      <c r="F103" s="32"/>
      <c r="G103" s="32"/>
      <c r="H103" s="33" t="n">
        <v>2</v>
      </c>
      <c r="I103" s="34" t="n">
        <f aca="false">E103*H103+N(F103)+N(G103)</f>
        <v>19500</v>
      </c>
      <c r="J103" s="32" t="n">
        <f aca="false">ROUND(IFERROR(ROUND(IF(OR(ISNUMBER(SEARCH("week",C103)),ISNUMBER(SEARCH("minggu",C103))),IFERROR(_xlfn.NUMBERVALUE(SUBSTITUTE(LEFT(TRIM(C103),FIND(" ",TRIM(C103)&amp;" ")-1),",","."),"."),LEFT(SUBSTITUTE(LEFT(TRIM(C103),FIND(" ",TRIM(C103)&amp;" ")-1),",","."),FIND("/",SUBSTITUTE(LEFT(TRIM(C103),FIND(" ",TRIM(C103)&amp;" ")-1),",","."))-1)/MID(SUBSTITUTE(LEFT(TRIM(C103),FIND(" ",TRIM(C103)&amp;" ")-1),",","."),FIND("/",SUBSTITUTE(LEFT(TRIM(C103),FIND(" ",TRIM(C103)&amp;" ")-1),",","."))+1,9))*12/52,IF(ISNUMBER(SEARCH("month",C103)),IFERROR(_xlfn.NUMBERVALUE(SUBSTITUTE(LEFT(TRIM(C103),FIND(" ",TRIM(C103)&amp;" ")-1),",","."),"."),LEFT(SUBSTITUTE(LEFT(TRIM(C103),FIND(" ",TRIM(C103)&amp;" ")-1),",","."),FIND("/",SUBSTITUTE(LEFT(TRIM(C103),FIND(" ",TRIM(C103)&amp;" ")-1),",","."))-1)/MID(SUBSTITUTE(LEFT(TRIM(C103),FIND(" ",TRIM(C103)&amp;" ")-1),",","."),FIND("/",SUBSTITUTE(LEFT(TRIM(C103),FIND(" ",TRIM(C103)&amp;" ")-1),",","."))+1,9)),IF(ISNUMBER(SEARCH("yea",C103)),IFERROR(_xlfn.NUMBERVALUE(SUBSTITUTE(LEFT(TRIM(C103),FIND(" ",TRIM(C103)&amp;" ")-1),",","."),"."),LEFT(SUBSTITUTE(LEFT(TRIM(C103),FIND(" ",TRIM(C103)&amp;" ")-1),",","."),FIND("/",SUBSTITUTE(LEFT(TRIM(C103),FIND(" ",TRIM(C103)&amp;" ")-1),",","."))-1)/MID(SUBSTITUTE(LEFT(TRIM(C103),FIND(" ",TRIM(C103)&amp;" ")-1),",","."),FIND("/",SUBSTITUTE(LEFT(TRIM(C103),FIND(" ",TRIM(C103)&amp;" ")-1),",","."))+1,9))*12,NA()))),0),48)*'Aturan &amp; Tarif'!$B$4,2)</f>
        <v>2725.44</v>
      </c>
      <c r="K103" s="32" t="n">
        <f aca="false">'Aturan &amp; Tarif'!$B$5</f>
        <v>2050</v>
      </c>
      <c r="L103" s="32" t="n">
        <f aca="false">'Aturan &amp; Tarif'!$B$6</f>
        <v>350</v>
      </c>
      <c r="M103" s="35" t="n">
        <f aca="false">I103+J103+K103+L103</f>
        <v>24625.44</v>
      </c>
      <c r="N103" s="37" t="s">
        <v>318</v>
      </c>
    </row>
    <row r="104" customFormat="false" ht="25.5" hidden="false" customHeight="true" outlineLevel="0" collapsed="false">
      <c r="A104" s="29"/>
      <c r="B104" s="30" t="s">
        <v>330</v>
      </c>
      <c r="C104" s="31" t="s">
        <v>127</v>
      </c>
      <c r="D104" s="31" t="s">
        <v>108</v>
      </c>
      <c r="E104" s="32" t="n">
        <v>9200</v>
      </c>
      <c r="F104" s="32"/>
      <c r="G104" s="32"/>
      <c r="H104" s="33" t="n">
        <v>2</v>
      </c>
      <c r="I104" s="34" t="n">
        <f aca="false">E104*H104+N(F104)+N(G104)</f>
        <v>18400</v>
      </c>
      <c r="J104" s="32" t="n">
        <f aca="false">ROUND(IFERROR(ROUND(IF(OR(ISNUMBER(SEARCH("week",C104)),ISNUMBER(SEARCH("minggu",C104))),IFERROR(_xlfn.NUMBERVALUE(SUBSTITUTE(LEFT(TRIM(C104),FIND(" ",TRIM(C104)&amp;" ")-1),",","."),"."),LEFT(SUBSTITUTE(LEFT(TRIM(C104),FIND(" ",TRIM(C104)&amp;" ")-1),",","."),FIND("/",SUBSTITUTE(LEFT(TRIM(C104),FIND(" ",TRIM(C104)&amp;" ")-1),",","."))-1)/MID(SUBSTITUTE(LEFT(TRIM(C104),FIND(" ",TRIM(C104)&amp;" ")-1),",","."),FIND("/",SUBSTITUTE(LEFT(TRIM(C104),FIND(" ",TRIM(C104)&amp;" ")-1),",","."))+1,9))*12/52,IF(ISNUMBER(SEARCH("month",C104)),IFERROR(_xlfn.NUMBERVALUE(SUBSTITUTE(LEFT(TRIM(C104),FIND(" ",TRIM(C104)&amp;" ")-1),",","."),"."),LEFT(SUBSTITUTE(LEFT(TRIM(C104),FIND(" ",TRIM(C104)&amp;" ")-1),",","."),FIND("/",SUBSTITUTE(LEFT(TRIM(C104),FIND(" ",TRIM(C104)&amp;" ")-1),",","."))-1)/MID(SUBSTITUTE(LEFT(TRIM(C104),FIND(" ",TRIM(C104)&amp;" ")-1),",","."),FIND("/",SUBSTITUTE(LEFT(TRIM(C104),FIND(" ",TRIM(C104)&amp;" ")-1),",","."))+1,9)),IF(ISNUMBER(SEARCH("yea",C104)),IFERROR(_xlfn.NUMBERVALUE(SUBSTITUTE(LEFT(TRIM(C104),FIND(" ",TRIM(C104)&amp;" ")-1),",","."),"."),LEFT(SUBSTITUTE(LEFT(TRIM(C104),FIND(" ",TRIM(C104)&amp;" ")-1),",","."),FIND("/",SUBSTITUTE(LEFT(TRIM(C104),FIND(" ",TRIM(C104)&amp;" ")-1),",","."))-1)/MID(SUBSTITUTE(LEFT(TRIM(C104),FIND(" ",TRIM(C104)&amp;" ")-1),",","."),FIND("/",SUBSTITUTE(LEFT(TRIM(C104),FIND(" ",TRIM(C104)&amp;" ")-1),",","."))+1,9))*12,NA()))),0),36)*'Aturan &amp; Tarif'!$B$4,2)</f>
        <v>2044.08</v>
      </c>
      <c r="K104" s="32" t="n">
        <f aca="false">'Aturan &amp; Tarif'!$B$5</f>
        <v>2050</v>
      </c>
      <c r="L104" s="32" t="n">
        <f aca="false">'Aturan &amp; Tarif'!$B$6</f>
        <v>350</v>
      </c>
      <c r="M104" s="35" t="n">
        <f aca="false">I104+J104+K104+L104</f>
        <v>22844.08</v>
      </c>
      <c r="N104" s="37" t="s">
        <v>318</v>
      </c>
    </row>
    <row r="105" customFormat="false" ht="25.5" hidden="false" customHeight="true" outlineLevel="0" collapsed="false">
      <c r="A105" s="29"/>
      <c r="B105" s="30" t="s">
        <v>331</v>
      </c>
      <c r="C105" s="31" t="s">
        <v>245</v>
      </c>
      <c r="D105" s="31" t="s">
        <v>108</v>
      </c>
      <c r="E105" s="32" t="n">
        <v>9200</v>
      </c>
      <c r="F105" s="32"/>
      <c r="G105" s="32"/>
      <c r="H105" s="33" t="n">
        <v>2</v>
      </c>
      <c r="I105" s="34" t="n">
        <f aca="false">E105*H105+N(F105)+N(G105)</f>
        <v>18400</v>
      </c>
      <c r="J105" s="32" t="n">
        <f aca="false">ROUND(IFERROR(ROUND(IF(OR(ISNUMBER(SEARCH("week",C105)),ISNUMBER(SEARCH("minggu",C105))),IFERROR(_xlfn.NUMBERVALUE(SUBSTITUTE(LEFT(TRIM(C105),FIND(" ",TRIM(C105)&amp;" ")-1),",","."),"."),LEFT(SUBSTITUTE(LEFT(TRIM(C105),FIND(" ",TRIM(C105)&amp;" ")-1),",","."),FIND("/",SUBSTITUTE(LEFT(TRIM(C105),FIND(" ",TRIM(C105)&amp;" ")-1),",","."))-1)/MID(SUBSTITUTE(LEFT(TRIM(C105),FIND(" ",TRIM(C105)&amp;" ")-1),",","."),FIND("/",SUBSTITUTE(LEFT(TRIM(C105),FIND(" ",TRIM(C105)&amp;" ")-1),",","."))+1,9))*12/52,IF(ISNUMBER(SEARCH("month",C105)),IFERROR(_xlfn.NUMBERVALUE(SUBSTITUTE(LEFT(TRIM(C105),FIND(" ",TRIM(C105)&amp;" ")-1),",","."),"."),LEFT(SUBSTITUTE(LEFT(TRIM(C105),FIND(" ",TRIM(C105)&amp;" ")-1),",","."),FIND("/",SUBSTITUTE(LEFT(TRIM(C105),FIND(" ",TRIM(C105)&amp;" ")-1),",","."))-1)/MID(SUBSTITUTE(LEFT(TRIM(C105),FIND(" ",TRIM(C105)&amp;" ")-1),",","."),FIND("/",SUBSTITUTE(LEFT(TRIM(C105),FIND(" ",TRIM(C105)&amp;" ")-1),",","."))+1,9)),IF(ISNUMBER(SEARCH("yea",C105)),IFERROR(_xlfn.NUMBERVALUE(SUBSTITUTE(LEFT(TRIM(C105),FIND(" ",TRIM(C105)&amp;" ")-1),",","."),"."),LEFT(SUBSTITUTE(LEFT(TRIM(C105),FIND(" ",TRIM(C105)&amp;" ")-1),",","."),FIND("/",SUBSTITUTE(LEFT(TRIM(C105),FIND(" ",TRIM(C105)&amp;" ")-1),",","."))-1)/MID(SUBSTITUTE(LEFT(TRIM(C105),FIND(" ",TRIM(C105)&amp;" ")-1),",","."),FIND("/",SUBSTITUTE(LEFT(TRIM(C105),FIND(" ",TRIM(C105)&amp;" ")-1),",","."))+1,9))*12,NA()))),0),60)*'Aturan &amp; Tarif'!$B$4,2)</f>
        <v>3406.8</v>
      </c>
      <c r="K105" s="32" t="n">
        <f aca="false">'Aturan &amp; Tarif'!$B$5</f>
        <v>2050</v>
      </c>
      <c r="L105" s="32" t="n">
        <f aca="false">'Aturan &amp; Tarif'!$B$6</f>
        <v>350</v>
      </c>
      <c r="M105" s="35" t="n">
        <f aca="false">I105+J105+K105+L105</f>
        <v>24206.8</v>
      </c>
      <c r="N105" s="37" t="s">
        <v>318</v>
      </c>
    </row>
    <row r="106" customFormat="false" ht="25.5" hidden="false" customHeight="true" outlineLevel="0" collapsed="false">
      <c r="A106" s="29"/>
      <c r="B106" s="30" t="s">
        <v>332</v>
      </c>
      <c r="C106" s="31" t="s">
        <v>245</v>
      </c>
      <c r="D106" s="31" t="s">
        <v>108</v>
      </c>
      <c r="E106" s="32" t="n">
        <v>9200</v>
      </c>
      <c r="F106" s="32"/>
      <c r="G106" s="32"/>
      <c r="H106" s="33" t="n">
        <v>2</v>
      </c>
      <c r="I106" s="34" t="n">
        <f aca="false">E106*H106+N(F106)+N(G106)</f>
        <v>18400</v>
      </c>
      <c r="J106" s="32" t="n">
        <f aca="false">ROUND(IFERROR(ROUND(IF(OR(ISNUMBER(SEARCH("week",C106)),ISNUMBER(SEARCH("minggu",C106))),IFERROR(_xlfn.NUMBERVALUE(SUBSTITUTE(LEFT(TRIM(C106),FIND(" ",TRIM(C106)&amp;" ")-1),",","."),"."),LEFT(SUBSTITUTE(LEFT(TRIM(C106),FIND(" ",TRIM(C106)&amp;" ")-1),",","."),FIND("/",SUBSTITUTE(LEFT(TRIM(C106),FIND(" ",TRIM(C106)&amp;" ")-1),",","."))-1)/MID(SUBSTITUTE(LEFT(TRIM(C106),FIND(" ",TRIM(C106)&amp;" ")-1),",","."),FIND("/",SUBSTITUTE(LEFT(TRIM(C106),FIND(" ",TRIM(C106)&amp;" ")-1),",","."))+1,9))*12/52,IF(ISNUMBER(SEARCH("month",C106)),IFERROR(_xlfn.NUMBERVALUE(SUBSTITUTE(LEFT(TRIM(C106),FIND(" ",TRIM(C106)&amp;" ")-1),",","."),"."),LEFT(SUBSTITUTE(LEFT(TRIM(C106),FIND(" ",TRIM(C106)&amp;" ")-1),",","."),FIND("/",SUBSTITUTE(LEFT(TRIM(C106),FIND(" ",TRIM(C106)&amp;" ")-1),",","."))-1)/MID(SUBSTITUTE(LEFT(TRIM(C106),FIND(" ",TRIM(C106)&amp;" ")-1),",","."),FIND("/",SUBSTITUTE(LEFT(TRIM(C106),FIND(" ",TRIM(C106)&amp;" ")-1),",","."))+1,9)),IF(ISNUMBER(SEARCH("yea",C106)),IFERROR(_xlfn.NUMBERVALUE(SUBSTITUTE(LEFT(TRIM(C106),FIND(" ",TRIM(C106)&amp;" ")-1),",","."),"."),LEFT(SUBSTITUTE(LEFT(TRIM(C106),FIND(" ",TRIM(C106)&amp;" ")-1),",","."),FIND("/",SUBSTITUTE(LEFT(TRIM(C106),FIND(" ",TRIM(C106)&amp;" ")-1),",","."))-1)/MID(SUBSTITUTE(LEFT(TRIM(C106),FIND(" ",TRIM(C106)&amp;" ")-1),",","."),FIND("/",SUBSTITUTE(LEFT(TRIM(C106),FIND(" ",TRIM(C106)&amp;" ")-1),",","."))+1,9))*12,NA()))),0),60)*'Aturan &amp; Tarif'!$B$4,2)</f>
        <v>3406.8</v>
      </c>
      <c r="K106" s="32" t="n">
        <f aca="false">'Aturan &amp; Tarif'!$B$5</f>
        <v>2050</v>
      </c>
      <c r="L106" s="32" t="n">
        <f aca="false">'Aturan &amp; Tarif'!$B$6</f>
        <v>350</v>
      </c>
      <c r="M106" s="35" t="n">
        <f aca="false">I106+J106+K106+L106</f>
        <v>24206.8</v>
      </c>
      <c r="N106" s="37" t="s">
        <v>318</v>
      </c>
    </row>
    <row r="107" customFormat="false" ht="25.5" hidden="false" customHeight="true" outlineLevel="0" collapsed="false">
      <c r="A107" s="29"/>
      <c r="B107" s="30" t="s">
        <v>333</v>
      </c>
      <c r="C107" s="31" t="s">
        <v>191</v>
      </c>
      <c r="D107" s="31" t="s">
        <v>108</v>
      </c>
      <c r="E107" s="32" t="n">
        <v>9200</v>
      </c>
      <c r="F107" s="32"/>
      <c r="G107" s="32"/>
      <c r="H107" s="33" t="n">
        <v>2</v>
      </c>
      <c r="I107" s="34" t="n">
        <f aca="false">E107*H107+N(F107)+N(G107)</f>
        <v>18400</v>
      </c>
      <c r="J107" s="32" t="n">
        <f aca="false">ROUND(IFERROR(ROUND(IF(OR(ISNUMBER(SEARCH("week",C107)),ISNUMBER(SEARCH("minggu",C107))),IFERROR(_xlfn.NUMBERVALUE(SUBSTITUTE(LEFT(TRIM(C107),FIND(" ",TRIM(C107)&amp;" ")-1),",","."),"."),LEFT(SUBSTITUTE(LEFT(TRIM(C107),FIND(" ",TRIM(C107)&amp;" ")-1),",","."),FIND("/",SUBSTITUTE(LEFT(TRIM(C107),FIND(" ",TRIM(C107)&amp;" ")-1),",","."))-1)/MID(SUBSTITUTE(LEFT(TRIM(C107),FIND(" ",TRIM(C107)&amp;" ")-1),",","."),FIND("/",SUBSTITUTE(LEFT(TRIM(C107),FIND(" ",TRIM(C107)&amp;" ")-1),",","."))+1,9))*12/52,IF(ISNUMBER(SEARCH("month",C107)),IFERROR(_xlfn.NUMBERVALUE(SUBSTITUTE(LEFT(TRIM(C107),FIND(" ",TRIM(C107)&amp;" ")-1),",","."),"."),LEFT(SUBSTITUTE(LEFT(TRIM(C107),FIND(" ",TRIM(C107)&amp;" ")-1),",","."),FIND("/",SUBSTITUTE(LEFT(TRIM(C107),FIND(" ",TRIM(C107)&amp;" ")-1),",","."))-1)/MID(SUBSTITUTE(LEFT(TRIM(C107),FIND(" ",TRIM(C107)&amp;" ")-1),",","."),FIND("/",SUBSTITUTE(LEFT(TRIM(C107),FIND(" ",TRIM(C107)&amp;" ")-1),",","."))+1,9)),IF(ISNUMBER(SEARCH("yea",C107)),IFERROR(_xlfn.NUMBERVALUE(SUBSTITUTE(LEFT(TRIM(C107),FIND(" ",TRIM(C107)&amp;" ")-1),",","."),"."),LEFT(SUBSTITUTE(LEFT(TRIM(C107),FIND(" ",TRIM(C107)&amp;" ")-1),",","."),FIND("/",SUBSTITUTE(LEFT(TRIM(C107),FIND(" ",TRIM(C107)&amp;" ")-1),",","."))-1)/MID(SUBSTITUTE(LEFT(TRIM(C107),FIND(" ",TRIM(C107)&amp;" ")-1),",","."),FIND("/",SUBSTITUTE(LEFT(TRIM(C107),FIND(" ",TRIM(C107)&amp;" ")-1),",","."))+1,9))*12,NA()))),0),48)*'Aturan &amp; Tarif'!$B$4,2)</f>
        <v>2725.44</v>
      </c>
      <c r="K107" s="32" t="n">
        <f aca="false">'Aturan &amp; Tarif'!$B$5</f>
        <v>2050</v>
      </c>
      <c r="L107" s="32" t="n">
        <f aca="false">'Aturan &amp; Tarif'!$B$6</f>
        <v>350</v>
      </c>
      <c r="M107" s="35" t="n">
        <f aca="false">I107+J107+K107+L107</f>
        <v>23525.44</v>
      </c>
      <c r="N107" s="37" t="s">
        <v>318</v>
      </c>
    </row>
    <row r="108" customFormat="false" ht="14.25" hidden="false" customHeight="true" outlineLevel="0" collapsed="false">
      <c r="A108" s="29"/>
      <c r="B108" s="30" t="s">
        <v>334</v>
      </c>
      <c r="C108" s="31" t="s">
        <v>245</v>
      </c>
      <c r="D108" s="31" t="s">
        <v>108</v>
      </c>
      <c r="E108" s="32" t="n">
        <v>9200</v>
      </c>
      <c r="F108" s="32"/>
      <c r="G108" s="32"/>
      <c r="H108" s="33" t="n">
        <v>2</v>
      </c>
      <c r="I108" s="34" t="n">
        <f aca="false">E108*H108+N(F108)+N(G108)</f>
        <v>18400</v>
      </c>
      <c r="J108" s="32" t="n">
        <f aca="false">ROUND(IFERROR(ROUND(IF(OR(ISNUMBER(SEARCH("week",C108)),ISNUMBER(SEARCH("minggu",C108))),IFERROR(_xlfn.NUMBERVALUE(SUBSTITUTE(LEFT(TRIM(C108),FIND(" ",TRIM(C108)&amp;" ")-1),",","."),"."),LEFT(SUBSTITUTE(LEFT(TRIM(C108),FIND(" ",TRIM(C108)&amp;" ")-1),",","."),FIND("/",SUBSTITUTE(LEFT(TRIM(C108),FIND(" ",TRIM(C108)&amp;" ")-1),",","."))-1)/MID(SUBSTITUTE(LEFT(TRIM(C108),FIND(" ",TRIM(C108)&amp;" ")-1),",","."),FIND("/",SUBSTITUTE(LEFT(TRIM(C108),FIND(" ",TRIM(C108)&amp;" ")-1),",","."))+1,9))*12/52,IF(ISNUMBER(SEARCH("month",C108)),IFERROR(_xlfn.NUMBERVALUE(SUBSTITUTE(LEFT(TRIM(C108),FIND(" ",TRIM(C108)&amp;" ")-1),",","."),"."),LEFT(SUBSTITUTE(LEFT(TRIM(C108),FIND(" ",TRIM(C108)&amp;" ")-1),",","."),FIND("/",SUBSTITUTE(LEFT(TRIM(C108),FIND(" ",TRIM(C108)&amp;" ")-1),",","."))-1)/MID(SUBSTITUTE(LEFT(TRIM(C108),FIND(" ",TRIM(C108)&amp;" ")-1),",","."),FIND("/",SUBSTITUTE(LEFT(TRIM(C108),FIND(" ",TRIM(C108)&amp;" ")-1),",","."))+1,9)),IF(ISNUMBER(SEARCH("yea",C108)),IFERROR(_xlfn.NUMBERVALUE(SUBSTITUTE(LEFT(TRIM(C108),FIND(" ",TRIM(C108)&amp;" ")-1),",","."),"."),LEFT(SUBSTITUTE(LEFT(TRIM(C108),FIND(" ",TRIM(C108)&amp;" ")-1),",","."),FIND("/",SUBSTITUTE(LEFT(TRIM(C108),FIND(" ",TRIM(C108)&amp;" ")-1),",","."))-1)/MID(SUBSTITUTE(LEFT(TRIM(C108),FIND(" ",TRIM(C108)&amp;" ")-1),",","."),FIND("/",SUBSTITUTE(LEFT(TRIM(C108),FIND(" ",TRIM(C108)&amp;" ")-1),",","."))+1,9))*12,NA()))),0),60)*'Aturan &amp; Tarif'!$B$4,2)</f>
        <v>3406.8</v>
      </c>
      <c r="K108" s="32" t="n">
        <f aca="false">'Aturan &amp; Tarif'!$B$5</f>
        <v>2050</v>
      </c>
      <c r="L108" s="32" t="n">
        <f aca="false">'Aturan &amp; Tarif'!$B$6</f>
        <v>350</v>
      </c>
      <c r="M108" s="35" t="n">
        <f aca="false">I108+J108+K108+L108</f>
        <v>24206.8</v>
      </c>
      <c r="N108" s="37" t="s">
        <v>318</v>
      </c>
    </row>
    <row r="109" customFormat="false" ht="25.5" hidden="false" customHeight="true" outlineLevel="0" collapsed="false">
      <c r="A109" s="29"/>
      <c r="B109" s="30" t="s">
        <v>335</v>
      </c>
      <c r="C109" s="31" t="s">
        <v>127</v>
      </c>
      <c r="D109" s="31" t="s">
        <v>108</v>
      </c>
      <c r="E109" s="32" t="n">
        <v>8742</v>
      </c>
      <c r="F109" s="32"/>
      <c r="G109" s="32"/>
      <c r="H109" s="33" t="n">
        <v>2</v>
      </c>
      <c r="I109" s="34" t="n">
        <f aca="false">E109*H109+N(F109)+N(G109)</f>
        <v>17484</v>
      </c>
      <c r="J109" s="32" t="n">
        <f aca="false">ROUND(IFERROR(ROUND(IF(OR(ISNUMBER(SEARCH("week",C109)),ISNUMBER(SEARCH("minggu",C109))),IFERROR(_xlfn.NUMBERVALUE(SUBSTITUTE(LEFT(TRIM(C109),FIND(" ",TRIM(C109)&amp;" ")-1),",","."),"."),LEFT(SUBSTITUTE(LEFT(TRIM(C109),FIND(" ",TRIM(C109)&amp;" ")-1),",","."),FIND("/",SUBSTITUTE(LEFT(TRIM(C109),FIND(" ",TRIM(C109)&amp;" ")-1),",","."))-1)/MID(SUBSTITUTE(LEFT(TRIM(C109),FIND(" ",TRIM(C109)&amp;" ")-1),",","."),FIND("/",SUBSTITUTE(LEFT(TRIM(C109),FIND(" ",TRIM(C109)&amp;" ")-1),",","."))+1,9))*12/52,IF(ISNUMBER(SEARCH("month",C109)),IFERROR(_xlfn.NUMBERVALUE(SUBSTITUTE(LEFT(TRIM(C109),FIND(" ",TRIM(C109)&amp;" ")-1),",","."),"."),LEFT(SUBSTITUTE(LEFT(TRIM(C109),FIND(" ",TRIM(C109)&amp;" ")-1),",","."),FIND("/",SUBSTITUTE(LEFT(TRIM(C109),FIND(" ",TRIM(C109)&amp;" ")-1),",","."))-1)/MID(SUBSTITUTE(LEFT(TRIM(C109),FIND(" ",TRIM(C109)&amp;" ")-1),",","."),FIND("/",SUBSTITUTE(LEFT(TRIM(C109),FIND(" ",TRIM(C109)&amp;" ")-1),",","."))+1,9)),IF(ISNUMBER(SEARCH("yea",C109)),IFERROR(_xlfn.NUMBERVALUE(SUBSTITUTE(LEFT(TRIM(C109),FIND(" ",TRIM(C109)&amp;" ")-1),",","."),"."),LEFT(SUBSTITUTE(LEFT(TRIM(C109),FIND(" ",TRIM(C109)&amp;" ")-1),",","."),FIND("/",SUBSTITUTE(LEFT(TRIM(C109),FIND(" ",TRIM(C109)&amp;" ")-1),",","."))-1)/MID(SUBSTITUTE(LEFT(TRIM(C109),FIND(" ",TRIM(C109)&amp;" ")-1),",","."),FIND("/",SUBSTITUTE(LEFT(TRIM(C109),FIND(" ",TRIM(C109)&amp;" ")-1),",","."))+1,9))*12,NA()))),0),36)*'Aturan &amp; Tarif'!$B$4,2)</f>
        <v>2044.08</v>
      </c>
      <c r="K109" s="32" t="n">
        <f aca="false">'Aturan &amp; Tarif'!$B$5</f>
        <v>2050</v>
      </c>
      <c r="L109" s="32" t="n">
        <f aca="false">'Aturan &amp; Tarif'!$B$6</f>
        <v>350</v>
      </c>
      <c r="M109" s="35" t="n">
        <f aca="false">I109+J109+K109+L109</f>
        <v>21928.08</v>
      </c>
      <c r="N109" s="37" t="s">
        <v>318</v>
      </c>
    </row>
    <row r="110" customFormat="false" ht="14.25" hidden="false" customHeight="true" outlineLevel="0" collapsed="false">
      <c r="A110" s="29"/>
      <c r="B110" s="30" t="s">
        <v>336</v>
      </c>
      <c r="C110" s="31" t="s">
        <v>191</v>
      </c>
      <c r="D110" s="31" t="s">
        <v>108</v>
      </c>
      <c r="E110" s="32" t="n">
        <v>8742</v>
      </c>
      <c r="F110" s="32"/>
      <c r="G110" s="32"/>
      <c r="H110" s="33" t="n">
        <v>2</v>
      </c>
      <c r="I110" s="34" t="n">
        <f aca="false">E110*H110+N(F110)+N(G110)</f>
        <v>17484</v>
      </c>
      <c r="J110" s="32" t="n">
        <f aca="false">ROUND(IFERROR(ROUND(IF(OR(ISNUMBER(SEARCH("week",C110)),ISNUMBER(SEARCH("minggu",C110))),IFERROR(_xlfn.NUMBERVALUE(SUBSTITUTE(LEFT(TRIM(C110),FIND(" ",TRIM(C110)&amp;" ")-1),",","."),"."),LEFT(SUBSTITUTE(LEFT(TRIM(C110),FIND(" ",TRIM(C110)&amp;" ")-1),",","."),FIND("/",SUBSTITUTE(LEFT(TRIM(C110),FIND(" ",TRIM(C110)&amp;" ")-1),",","."))-1)/MID(SUBSTITUTE(LEFT(TRIM(C110),FIND(" ",TRIM(C110)&amp;" ")-1),",","."),FIND("/",SUBSTITUTE(LEFT(TRIM(C110),FIND(" ",TRIM(C110)&amp;" ")-1),",","."))+1,9))*12/52,IF(ISNUMBER(SEARCH("month",C110)),IFERROR(_xlfn.NUMBERVALUE(SUBSTITUTE(LEFT(TRIM(C110),FIND(" ",TRIM(C110)&amp;" ")-1),",","."),"."),LEFT(SUBSTITUTE(LEFT(TRIM(C110),FIND(" ",TRIM(C110)&amp;" ")-1),",","."),FIND("/",SUBSTITUTE(LEFT(TRIM(C110),FIND(" ",TRIM(C110)&amp;" ")-1),",","."))-1)/MID(SUBSTITUTE(LEFT(TRIM(C110),FIND(" ",TRIM(C110)&amp;" ")-1),",","."),FIND("/",SUBSTITUTE(LEFT(TRIM(C110),FIND(" ",TRIM(C110)&amp;" ")-1),",","."))+1,9)),IF(ISNUMBER(SEARCH("yea",C110)),IFERROR(_xlfn.NUMBERVALUE(SUBSTITUTE(LEFT(TRIM(C110),FIND(" ",TRIM(C110)&amp;" ")-1),",","."),"."),LEFT(SUBSTITUTE(LEFT(TRIM(C110),FIND(" ",TRIM(C110)&amp;" ")-1),",","."),FIND("/",SUBSTITUTE(LEFT(TRIM(C110),FIND(" ",TRIM(C110)&amp;" ")-1),",","."))-1)/MID(SUBSTITUTE(LEFT(TRIM(C110),FIND(" ",TRIM(C110)&amp;" ")-1),",","."),FIND("/",SUBSTITUTE(LEFT(TRIM(C110),FIND(" ",TRIM(C110)&amp;" ")-1),",","."))+1,9))*12,NA()))),0),48)*'Aturan &amp; Tarif'!$B$4,2)</f>
        <v>2725.44</v>
      </c>
      <c r="K110" s="32" t="n">
        <f aca="false">'Aturan &amp; Tarif'!$B$5</f>
        <v>2050</v>
      </c>
      <c r="L110" s="32" t="n">
        <f aca="false">'Aturan &amp; Tarif'!$B$6</f>
        <v>350</v>
      </c>
      <c r="M110" s="35" t="n">
        <f aca="false">I110+J110+K110+L110</f>
        <v>22609.44</v>
      </c>
      <c r="N110" s="37" t="s">
        <v>318</v>
      </c>
    </row>
    <row r="111" customFormat="false" ht="14.25" hidden="false" customHeight="true" outlineLevel="0" collapsed="false">
      <c r="A111" s="29"/>
      <c r="B111" s="30" t="s">
        <v>156</v>
      </c>
      <c r="C111" s="31" t="s">
        <v>191</v>
      </c>
      <c r="D111" s="31" t="s">
        <v>108</v>
      </c>
      <c r="E111" s="32" t="n">
        <v>9200</v>
      </c>
      <c r="F111" s="32"/>
      <c r="G111" s="32"/>
      <c r="H111" s="33" t="n">
        <v>2</v>
      </c>
      <c r="I111" s="34" t="n">
        <f aca="false">E111*H111+N(F111)+N(G111)</f>
        <v>18400</v>
      </c>
      <c r="J111" s="32" t="n">
        <f aca="false">ROUND(IFERROR(ROUND(IF(OR(ISNUMBER(SEARCH("week",C111)),ISNUMBER(SEARCH("minggu",C111))),IFERROR(_xlfn.NUMBERVALUE(SUBSTITUTE(LEFT(TRIM(C111),FIND(" ",TRIM(C111)&amp;" ")-1),",","."),"."),LEFT(SUBSTITUTE(LEFT(TRIM(C111),FIND(" ",TRIM(C111)&amp;" ")-1),",","."),FIND("/",SUBSTITUTE(LEFT(TRIM(C111),FIND(" ",TRIM(C111)&amp;" ")-1),",","."))-1)/MID(SUBSTITUTE(LEFT(TRIM(C111),FIND(" ",TRIM(C111)&amp;" ")-1),",","."),FIND("/",SUBSTITUTE(LEFT(TRIM(C111),FIND(" ",TRIM(C111)&amp;" ")-1),",","."))+1,9))*12/52,IF(ISNUMBER(SEARCH("month",C111)),IFERROR(_xlfn.NUMBERVALUE(SUBSTITUTE(LEFT(TRIM(C111),FIND(" ",TRIM(C111)&amp;" ")-1),",","."),"."),LEFT(SUBSTITUTE(LEFT(TRIM(C111),FIND(" ",TRIM(C111)&amp;" ")-1),",","."),FIND("/",SUBSTITUTE(LEFT(TRIM(C111),FIND(" ",TRIM(C111)&amp;" ")-1),",","."))-1)/MID(SUBSTITUTE(LEFT(TRIM(C111),FIND(" ",TRIM(C111)&amp;" ")-1),",","."),FIND("/",SUBSTITUTE(LEFT(TRIM(C111),FIND(" ",TRIM(C111)&amp;" ")-1),",","."))+1,9)),IF(ISNUMBER(SEARCH("yea",C111)),IFERROR(_xlfn.NUMBERVALUE(SUBSTITUTE(LEFT(TRIM(C111),FIND(" ",TRIM(C111)&amp;" ")-1),",","."),"."),LEFT(SUBSTITUTE(LEFT(TRIM(C111),FIND(" ",TRIM(C111)&amp;" ")-1),",","."),FIND("/",SUBSTITUTE(LEFT(TRIM(C111),FIND(" ",TRIM(C111)&amp;" ")-1),",","."))-1)/MID(SUBSTITUTE(LEFT(TRIM(C111),FIND(" ",TRIM(C111)&amp;" ")-1),",","."),FIND("/",SUBSTITUTE(LEFT(TRIM(C111),FIND(" ",TRIM(C111)&amp;" ")-1),",","."))+1,9))*12,NA()))),0),48)*'Aturan &amp; Tarif'!$B$4,2)</f>
        <v>2725.44</v>
      </c>
      <c r="K111" s="32" t="n">
        <f aca="false">'Aturan &amp; Tarif'!$B$5</f>
        <v>2050</v>
      </c>
      <c r="L111" s="32" t="n">
        <f aca="false">'Aturan &amp; Tarif'!$B$6</f>
        <v>350</v>
      </c>
      <c r="M111" s="35" t="n">
        <f aca="false">I111+J111+K111+L111</f>
        <v>23525.44</v>
      </c>
      <c r="N111" s="37" t="s">
        <v>318</v>
      </c>
    </row>
    <row r="112" customFormat="false" ht="25.5" hidden="false" customHeight="true" outlineLevel="0" collapsed="false">
      <c r="A112" s="29"/>
      <c r="B112" s="30" t="s">
        <v>337</v>
      </c>
      <c r="C112" s="31" t="s">
        <v>127</v>
      </c>
      <c r="D112" s="31" t="s">
        <v>108</v>
      </c>
      <c r="E112" s="32" t="n">
        <v>9200</v>
      </c>
      <c r="F112" s="32"/>
      <c r="G112" s="32"/>
      <c r="H112" s="33" t="n">
        <v>2</v>
      </c>
      <c r="I112" s="34" t="n">
        <f aca="false">E112*H112+N(F112)+N(G112)</f>
        <v>18400</v>
      </c>
      <c r="J112" s="32" t="n">
        <f aca="false">ROUND(IFERROR(ROUND(IF(OR(ISNUMBER(SEARCH("week",C112)),ISNUMBER(SEARCH("minggu",C112))),IFERROR(_xlfn.NUMBERVALUE(SUBSTITUTE(LEFT(TRIM(C112),FIND(" ",TRIM(C112)&amp;" ")-1),",","."),"."),LEFT(SUBSTITUTE(LEFT(TRIM(C112),FIND(" ",TRIM(C112)&amp;" ")-1),",","."),FIND("/",SUBSTITUTE(LEFT(TRIM(C112),FIND(" ",TRIM(C112)&amp;" ")-1),",","."))-1)/MID(SUBSTITUTE(LEFT(TRIM(C112),FIND(" ",TRIM(C112)&amp;" ")-1),",","."),FIND("/",SUBSTITUTE(LEFT(TRIM(C112),FIND(" ",TRIM(C112)&amp;" ")-1),",","."))+1,9))*12/52,IF(ISNUMBER(SEARCH("month",C112)),IFERROR(_xlfn.NUMBERVALUE(SUBSTITUTE(LEFT(TRIM(C112),FIND(" ",TRIM(C112)&amp;" ")-1),",","."),"."),LEFT(SUBSTITUTE(LEFT(TRIM(C112),FIND(" ",TRIM(C112)&amp;" ")-1),",","."),FIND("/",SUBSTITUTE(LEFT(TRIM(C112),FIND(" ",TRIM(C112)&amp;" ")-1),",","."))-1)/MID(SUBSTITUTE(LEFT(TRIM(C112),FIND(" ",TRIM(C112)&amp;" ")-1),",","."),FIND("/",SUBSTITUTE(LEFT(TRIM(C112),FIND(" ",TRIM(C112)&amp;" ")-1),",","."))+1,9)),IF(ISNUMBER(SEARCH("yea",C112)),IFERROR(_xlfn.NUMBERVALUE(SUBSTITUTE(LEFT(TRIM(C112),FIND(" ",TRIM(C112)&amp;" ")-1),",","."),"."),LEFT(SUBSTITUTE(LEFT(TRIM(C112),FIND(" ",TRIM(C112)&amp;" ")-1),",","."),FIND("/",SUBSTITUTE(LEFT(TRIM(C112),FIND(" ",TRIM(C112)&amp;" ")-1),",","."))-1)/MID(SUBSTITUTE(LEFT(TRIM(C112),FIND(" ",TRIM(C112)&amp;" ")-1),",","."),FIND("/",SUBSTITUTE(LEFT(TRIM(C112),FIND(" ",TRIM(C112)&amp;" ")-1),",","."))+1,9))*12,NA()))),0),36)*'Aturan &amp; Tarif'!$B$4,2)</f>
        <v>2044.08</v>
      </c>
      <c r="K112" s="32" t="n">
        <f aca="false">'Aturan &amp; Tarif'!$B$5</f>
        <v>2050</v>
      </c>
      <c r="L112" s="32" t="n">
        <f aca="false">'Aturan &amp; Tarif'!$B$6</f>
        <v>350</v>
      </c>
      <c r="M112" s="35" t="n">
        <f aca="false">I112+J112+K112+L112</f>
        <v>22844.08</v>
      </c>
      <c r="N112" s="37" t="s">
        <v>318</v>
      </c>
    </row>
    <row r="113" customFormat="false" ht="25.5" hidden="false" customHeight="true" outlineLevel="0" collapsed="false">
      <c r="A113" s="29"/>
      <c r="B113" s="30" t="s">
        <v>338</v>
      </c>
      <c r="C113" s="31" t="s">
        <v>191</v>
      </c>
      <c r="D113" s="31" t="s">
        <v>108</v>
      </c>
      <c r="E113" s="32" t="n">
        <v>9200</v>
      </c>
      <c r="F113" s="32"/>
      <c r="G113" s="32"/>
      <c r="H113" s="33" t="n">
        <v>2</v>
      </c>
      <c r="I113" s="34" t="n">
        <f aca="false">E113*H113+N(F113)+N(G113)</f>
        <v>18400</v>
      </c>
      <c r="J113" s="32" t="n">
        <f aca="false">ROUND(IFERROR(ROUND(IF(OR(ISNUMBER(SEARCH("week",C113)),ISNUMBER(SEARCH("minggu",C113))),IFERROR(_xlfn.NUMBERVALUE(SUBSTITUTE(LEFT(TRIM(C113),FIND(" ",TRIM(C113)&amp;" ")-1),",","."),"."),LEFT(SUBSTITUTE(LEFT(TRIM(C113),FIND(" ",TRIM(C113)&amp;" ")-1),",","."),FIND("/",SUBSTITUTE(LEFT(TRIM(C113),FIND(" ",TRIM(C113)&amp;" ")-1),",","."))-1)/MID(SUBSTITUTE(LEFT(TRIM(C113),FIND(" ",TRIM(C113)&amp;" ")-1),",","."),FIND("/",SUBSTITUTE(LEFT(TRIM(C113),FIND(" ",TRIM(C113)&amp;" ")-1),",","."))+1,9))*12/52,IF(ISNUMBER(SEARCH("month",C113)),IFERROR(_xlfn.NUMBERVALUE(SUBSTITUTE(LEFT(TRIM(C113),FIND(" ",TRIM(C113)&amp;" ")-1),",","."),"."),LEFT(SUBSTITUTE(LEFT(TRIM(C113),FIND(" ",TRIM(C113)&amp;" ")-1),",","."),FIND("/",SUBSTITUTE(LEFT(TRIM(C113),FIND(" ",TRIM(C113)&amp;" ")-1),",","."))-1)/MID(SUBSTITUTE(LEFT(TRIM(C113),FIND(" ",TRIM(C113)&amp;" ")-1),",","."),FIND("/",SUBSTITUTE(LEFT(TRIM(C113),FIND(" ",TRIM(C113)&amp;" ")-1),",","."))+1,9)),IF(ISNUMBER(SEARCH("yea",C113)),IFERROR(_xlfn.NUMBERVALUE(SUBSTITUTE(LEFT(TRIM(C113),FIND(" ",TRIM(C113)&amp;" ")-1),",","."),"."),LEFT(SUBSTITUTE(LEFT(TRIM(C113),FIND(" ",TRIM(C113)&amp;" ")-1),",","."),FIND("/",SUBSTITUTE(LEFT(TRIM(C113),FIND(" ",TRIM(C113)&amp;" ")-1),",","."))-1)/MID(SUBSTITUTE(LEFT(TRIM(C113),FIND(" ",TRIM(C113)&amp;" ")-1),",","."),FIND("/",SUBSTITUTE(LEFT(TRIM(C113),FIND(" ",TRIM(C113)&amp;" ")-1),",","."))+1,9))*12,NA()))),0),48)*'Aturan &amp; Tarif'!$B$4,2)</f>
        <v>2725.44</v>
      </c>
      <c r="K113" s="32" t="n">
        <f aca="false">'Aturan &amp; Tarif'!$B$5</f>
        <v>2050</v>
      </c>
      <c r="L113" s="32" t="n">
        <f aca="false">'Aturan &amp; Tarif'!$B$6</f>
        <v>350</v>
      </c>
      <c r="M113" s="35" t="n">
        <f aca="false">I113+J113+K113+L113</f>
        <v>23525.44</v>
      </c>
      <c r="N113" s="37" t="s">
        <v>318</v>
      </c>
    </row>
    <row r="114" customFormat="false" ht="25.5" hidden="false" customHeight="true" outlineLevel="0" collapsed="false">
      <c r="A114" s="29"/>
      <c r="B114" s="30" t="s">
        <v>339</v>
      </c>
      <c r="C114" s="31" t="s">
        <v>191</v>
      </c>
      <c r="D114" s="31" t="s">
        <v>108</v>
      </c>
      <c r="E114" s="32" t="n">
        <v>9200</v>
      </c>
      <c r="F114" s="32"/>
      <c r="G114" s="32"/>
      <c r="H114" s="33" t="n">
        <v>2</v>
      </c>
      <c r="I114" s="34" t="n">
        <f aca="false">E114*H114+N(F114)+N(G114)</f>
        <v>18400</v>
      </c>
      <c r="J114" s="32" t="n">
        <f aca="false">ROUND(IFERROR(ROUND(IF(OR(ISNUMBER(SEARCH("week",C114)),ISNUMBER(SEARCH("minggu",C114))),IFERROR(_xlfn.NUMBERVALUE(SUBSTITUTE(LEFT(TRIM(C114),FIND(" ",TRIM(C114)&amp;" ")-1),",","."),"."),LEFT(SUBSTITUTE(LEFT(TRIM(C114),FIND(" ",TRIM(C114)&amp;" ")-1),",","."),FIND("/",SUBSTITUTE(LEFT(TRIM(C114),FIND(" ",TRIM(C114)&amp;" ")-1),",","."))-1)/MID(SUBSTITUTE(LEFT(TRIM(C114),FIND(" ",TRIM(C114)&amp;" ")-1),",","."),FIND("/",SUBSTITUTE(LEFT(TRIM(C114),FIND(" ",TRIM(C114)&amp;" ")-1),",","."))+1,9))*12/52,IF(ISNUMBER(SEARCH("month",C114)),IFERROR(_xlfn.NUMBERVALUE(SUBSTITUTE(LEFT(TRIM(C114),FIND(" ",TRIM(C114)&amp;" ")-1),",","."),"."),LEFT(SUBSTITUTE(LEFT(TRIM(C114),FIND(" ",TRIM(C114)&amp;" ")-1),",","."),FIND("/",SUBSTITUTE(LEFT(TRIM(C114),FIND(" ",TRIM(C114)&amp;" ")-1),",","."))-1)/MID(SUBSTITUTE(LEFT(TRIM(C114),FIND(" ",TRIM(C114)&amp;" ")-1),",","."),FIND("/",SUBSTITUTE(LEFT(TRIM(C114),FIND(" ",TRIM(C114)&amp;" ")-1),",","."))+1,9)),IF(ISNUMBER(SEARCH("yea",C114)),IFERROR(_xlfn.NUMBERVALUE(SUBSTITUTE(LEFT(TRIM(C114),FIND(" ",TRIM(C114)&amp;" ")-1),",","."),"."),LEFT(SUBSTITUTE(LEFT(TRIM(C114),FIND(" ",TRIM(C114)&amp;" ")-1),",","."),FIND("/",SUBSTITUTE(LEFT(TRIM(C114),FIND(" ",TRIM(C114)&amp;" ")-1),",","."))-1)/MID(SUBSTITUTE(LEFT(TRIM(C114),FIND(" ",TRIM(C114)&amp;" ")-1),",","."),FIND("/",SUBSTITUTE(LEFT(TRIM(C114),FIND(" ",TRIM(C114)&amp;" ")-1),",","."))+1,9))*12,NA()))),0),48)*'Aturan &amp; Tarif'!$B$4,2)</f>
        <v>2725.44</v>
      </c>
      <c r="K114" s="32" t="n">
        <f aca="false">'Aturan &amp; Tarif'!$B$5</f>
        <v>2050</v>
      </c>
      <c r="L114" s="32" t="n">
        <f aca="false">'Aturan &amp; Tarif'!$B$6</f>
        <v>350</v>
      </c>
      <c r="M114" s="35" t="n">
        <f aca="false">I114+J114+K114+L114</f>
        <v>23525.44</v>
      </c>
      <c r="N114" s="37" t="s">
        <v>318</v>
      </c>
    </row>
    <row r="115" customFormat="false" ht="14.25" hidden="false" customHeight="true" outlineLevel="0" collapsed="false">
      <c r="A115" s="29"/>
      <c r="B115" s="30" t="s">
        <v>340</v>
      </c>
      <c r="C115" s="31" t="s">
        <v>191</v>
      </c>
      <c r="D115" s="31" t="s">
        <v>108</v>
      </c>
      <c r="E115" s="32" t="n">
        <v>8742</v>
      </c>
      <c r="F115" s="32"/>
      <c r="G115" s="32"/>
      <c r="H115" s="33" t="n">
        <v>2</v>
      </c>
      <c r="I115" s="34" t="n">
        <f aca="false">E115*H115+N(F115)+N(G115)</f>
        <v>17484</v>
      </c>
      <c r="J115" s="32" t="n">
        <f aca="false">ROUND(IFERROR(ROUND(IF(OR(ISNUMBER(SEARCH("week",C115)),ISNUMBER(SEARCH("minggu",C115))),IFERROR(_xlfn.NUMBERVALUE(SUBSTITUTE(LEFT(TRIM(C115),FIND(" ",TRIM(C115)&amp;" ")-1),",","."),"."),LEFT(SUBSTITUTE(LEFT(TRIM(C115),FIND(" ",TRIM(C115)&amp;" ")-1),",","."),FIND("/",SUBSTITUTE(LEFT(TRIM(C115),FIND(" ",TRIM(C115)&amp;" ")-1),",","."))-1)/MID(SUBSTITUTE(LEFT(TRIM(C115),FIND(" ",TRIM(C115)&amp;" ")-1),",","."),FIND("/",SUBSTITUTE(LEFT(TRIM(C115),FIND(" ",TRIM(C115)&amp;" ")-1),",","."))+1,9))*12/52,IF(ISNUMBER(SEARCH("month",C115)),IFERROR(_xlfn.NUMBERVALUE(SUBSTITUTE(LEFT(TRIM(C115),FIND(" ",TRIM(C115)&amp;" ")-1),",","."),"."),LEFT(SUBSTITUTE(LEFT(TRIM(C115),FIND(" ",TRIM(C115)&amp;" ")-1),",","."),FIND("/",SUBSTITUTE(LEFT(TRIM(C115),FIND(" ",TRIM(C115)&amp;" ")-1),",","."))-1)/MID(SUBSTITUTE(LEFT(TRIM(C115),FIND(" ",TRIM(C115)&amp;" ")-1),",","."),FIND("/",SUBSTITUTE(LEFT(TRIM(C115),FIND(" ",TRIM(C115)&amp;" ")-1),",","."))+1,9)),IF(ISNUMBER(SEARCH("yea",C115)),IFERROR(_xlfn.NUMBERVALUE(SUBSTITUTE(LEFT(TRIM(C115),FIND(" ",TRIM(C115)&amp;" ")-1),",","."),"."),LEFT(SUBSTITUTE(LEFT(TRIM(C115),FIND(" ",TRIM(C115)&amp;" ")-1),",","."),FIND("/",SUBSTITUTE(LEFT(TRIM(C115),FIND(" ",TRIM(C115)&amp;" ")-1),",","."))-1)/MID(SUBSTITUTE(LEFT(TRIM(C115),FIND(" ",TRIM(C115)&amp;" ")-1),",","."),FIND("/",SUBSTITUTE(LEFT(TRIM(C115),FIND(" ",TRIM(C115)&amp;" ")-1),",","."))+1,9))*12,NA()))),0),48)*'Aturan &amp; Tarif'!$B$4,2)</f>
        <v>2725.44</v>
      </c>
      <c r="K115" s="32" t="n">
        <f aca="false">'Aturan &amp; Tarif'!$B$5</f>
        <v>2050</v>
      </c>
      <c r="L115" s="32" t="n">
        <f aca="false">'Aturan &amp; Tarif'!$B$6</f>
        <v>350</v>
      </c>
      <c r="M115" s="35" t="n">
        <f aca="false">I115+J115+K115+L115</f>
        <v>22609.44</v>
      </c>
      <c r="N115" s="37" t="s">
        <v>318</v>
      </c>
    </row>
    <row r="116" customFormat="false" ht="14.25" hidden="false" customHeight="true" outlineLevel="0" collapsed="false">
      <c r="A116" s="29"/>
      <c r="B116" s="30" t="s">
        <v>341</v>
      </c>
      <c r="C116" s="31" t="s">
        <v>245</v>
      </c>
      <c r="D116" s="31" t="s">
        <v>108</v>
      </c>
      <c r="E116" s="32" t="n">
        <v>9200</v>
      </c>
      <c r="F116" s="32"/>
      <c r="G116" s="32"/>
      <c r="H116" s="33" t="n">
        <v>2</v>
      </c>
      <c r="I116" s="34" t="n">
        <f aca="false">E116*H116+N(F116)+N(G116)</f>
        <v>18400</v>
      </c>
      <c r="J116" s="32" t="n">
        <f aca="false">ROUND(IFERROR(ROUND(IF(OR(ISNUMBER(SEARCH("week",C116)),ISNUMBER(SEARCH("minggu",C116))),IFERROR(_xlfn.NUMBERVALUE(SUBSTITUTE(LEFT(TRIM(C116),FIND(" ",TRIM(C116)&amp;" ")-1),",","."),"."),LEFT(SUBSTITUTE(LEFT(TRIM(C116),FIND(" ",TRIM(C116)&amp;" ")-1),",","."),FIND("/",SUBSTITUTE(LEFT(TRIM(C116),FIND(" ",TRIM(C116)&amp;" ")-1),",","."))-1)/MID(SUBSTITUTE(LEFT(TRIM(C116),FIND(" ",TRIM(C116)&amp;" ")-1),",","."),FIND("/",SUBSTITUTE(LEFT(TRIM(C116),FIND(" ",TRIM(C116)&amp;" ")-1),",","."))+1,9))*12/52,IF(ISNUMBER(SEARCH("month",C116)),IFERROR(_xlfn.NUMBERVALUE(SUBSTITUTE(LEFT(TRIM(C116),FIND(" ",TRIM(C116)&amp;" ")-1),",","."),"."),LEFT(SUBSTITUTE(LEFT(TRIM(C116),FIND(" ",TRIM(C116)&amp;" ")-1),",","."),FIND("/",SUBSTITUTE(LEFT(TRIM(C116),FIND(" ",TRIM(C116)&amp;" ")-1),",","."))-1)/MID(SUBSTITUTE(LEFT(TRIM(C116),FIND(" ",TRIM(C116)&amp;" ")-1),",","."),FIND("/",SUBSTITUTE(LEFT(TRIM(C116),FIND(" ",TRIM(C116)&amp;" ")-1),",","."))+1,9)),IF(ISNUMBER(SEARCH("yea",C116)),IFERROR(_xlfn.NUMBERVALUE(SUBSTITUTE(LEFT(TRIM(C116),FIND(" ",TRIM(C116)&amp;" ")-1),",","."),"."),LEFT(SUBSTITUTE(LEFT(TRIM(C116),FIND(" ",TRIM(C116)&amp;" ")-1),",","."),FIND("/",SUBSTITUTE(LEFT(TRIM(C116),FIND(" ",TRIM(C116)&amp;" ")-1),",","."))-1)/MID(SUBSTITUTE(LEFT(TRIM(C116),FIND(" ",TRIM(C116)&amp;" ")-1),",","."),FIND("/",SUBSTITUTE(LEFT(TRIM(C116),FIND(" ",TRIM(C116)&amp;" ")-1),",","."))+1,9))*12,NA()))),0),60)*'Aturan &amp; Tarif'!$B$4,2)</f>
        <v>3406.8</v>
      </c>
      <c r="K116" s="32" t="n">
        <f aca="false">'Aturan &amp; Tarif'!$B$5</f>
        <v>2050</v>
      </c>
      <c r="L116" s="32" t="n">
        <f aca="false">'Aturan &amp; Tarif'!$B$6</f>
        <v>350</v>
      </c>
      <c r="M116" s="35" t="n">
        <f aca="false">I116+J116+K116+L116</f>
        <v>24206.8</v>
      </c>
      <c r="N116" s="37" t="s">
        <v>318</v>
      </c>
    </row>
    <row r="117" customFormat="false" ht="25.5" hidden="false" customHeight="true" outlineLevel="0" collapsed="false">
      <c r="A117" s="29"/>
      <c r="B117" s="30" t="s">
        <v>342</v>
      </c>
      <c r="C117" s="31" t="s">
        <v>245</v>
      </c>
      <c r="D117" s="31" t="s">
        <v>108</v>
      </c>
      <c r="E117" s="32" t="n">
        <v>9200</v>
      </c>
      <c r="F117" s="32"/>
      <c r="G117" s="32"/>
      <c r="H117" s="33" t="n">
        <v>2</v>
      </c>
      <c r="I117" s="34" t="n">
        <f aca="false">E117*H117+N(F117)+N(G117)</f>
        <v>18400</v>
      </c>
      <c r="J117" s="32" t="n">
        <f aca="false">ROUND(IFERROR(ROUND(IF(OR(ISNUMBER(SEARCH("week",C117)),ISNUMBER(SEARCH("minggu",C117))),IFERROR(_xlfn.NUMBERVALUE(SUBSTITUTE(LEFT(TRIM(C117),FIND(" ",TRIM(C117)&amp;" ")-1),",","."),"."),LEFT(SUBSTITUTE(LEFT(TRIM(C117),FIND(" ",TRIM(C117)&amp;" ")-1),",","."),FIND("/",SUBSTITUTE(LEFT(TRIM(C117),FIND(" ",TRIM(C117)&amp;" ")-1),",","."))-1)/MID(SUBSTITUTE(LEFT(TRIM(C117),FIND(" ",TRIM(C117)&amp;" ")-1),",","."),FIND("/",SUBSTITUTE(LEFT(TRIM(C117),FIND(" ",TRIM(C117)&amp;" ")-1),",","."))+1,9))*12/52,IF(ISNUMBER(SEARCH("month",C117)),IFERROR(_xlfn.NUMBERVALUE(SUBSTITUTE(LEFT(TRIM(C117),FIND(" ",TRIM(C117)&amp;" ")-1),",","."),"."),LEFT(SUBSTITUTE(LEFT(TRIM(C117),FIND(" ",TRIM(C117)&amp;" ")-1),",","."),FIND("/",SUBSTITUTE(LEFT(TRIM(C117),FIND(" ",TRIM(C117)&amp;" ")-1),",","."))-1)/MID(SUBSTITUTE(LEFT(TRIM(C117),FIND(" ",TRIM(C117)&amp;" ")-1),",","."),FIND("/",SUBSTITUTE(LEFT(TRIM(C117),FIND(" ",TRIM(C117)&amp;" ")-1),",","."))+1,9)),IF(ISNUMBER(SEARCH("yea",C117)),IFERROR(_xlfn.NUMBERVALUE(SUBSTITUTE(LEFT(TRIM(C117),FIND(" ",TRIM(C117)&amp;" ")-1),",","."),"."),LEFT(SUBSTITUTE(LEFT(TRIM(C117),FIND(" ",TRIM(C117)&amp;" ")-1),",","."),FIND("/",SUBSTITUTE(LEFT(TRIM(C117),FIND(" ",TRIM(C117)&amp;" ")-1),",","."))-1)/MID(SUBSTITUTE(LEFT(TRIM(C117),FIND(" ",TRIM(C117)&amp;" ")-1),",","."),FIND("/",SUBSTITUTE(LEFT(TRIM(C117),FIND(" ",TRIM(C117)&amp;" ")-1),",","."))+1,9))*12,NA()))),0),60)*'Aturan &amp; Tarif'!$B$4,2)</f>
        <v>3406.8</v>
      </c>
      <c r="K117" s="32" t="n">
        <f aca="false">'Aturan &amp; Tarif'!$B$5</f>
        <v>2050</v>
      </c>
      <c r="L117" s="32" t="n">
        <f aca="false">'Aturan &amp; Tarif'!$B$6</f>
        <v>350</v>
      </c>
      <c r="M117" s="35" t="n">
        <f aca="false">I117+J117+K117+L117</f>
        <v>24206.8</v>
      </c>
      <c r="N117" s="37" t="s">
        <v>318</v>
      </c>
    </row>
    <row r="118" customFormat="false" ht="25.5" hidden="false" customHeight="true" outlineLevel="0" collapsed="false">
      <c r="A118" s="29"/>
      <c r="B118" s="30" t="s">
        <v>343</v>
      </c>
      <c r="C118" s="31" t="s">
        <v>344</v>
      </c>
      <c r="D118" s="31" t="s">
        <v>108</v>
      </c>
      <c r="E118" s="32" t="n">
        <v>4762</v>
      </c>
      <c r="F118" s="32"/>
      <c r="G118" s="32"/>
      <c r="H118" s="33" t="n">
        <v>2</v>
      </c>
      <c r="I118" s="34" t="n">
        <f aca="false">E118*H118+N(F118)+N(G118)</f>
        <v>9524</v>
      </c>
      <c r="J118" s="32" t="n">
        <f aca="false">ROUND(IFERROR(ROUND(IF(OR(ISNUMBER(SEARCH("week",C118)),ISNUMBER(SEARCH("minggu",C118))),IFERROR(_xlfn.NUMBERVALUE(SUBSTITUTE(LEFT(TRIM(C118),FIND(" ",TRIM(C118)&amp;" ")-1),",","."),"."),LEFT(SUBSTITUTE(LEFT(TRIM(C118),FIND(" ",TRIM(C118)&amp;" ")-1),",","."),FIND("/",SUBSTITUTE(LEFT(TRIM(C118),FIND(" ",TRIM(C118)&amp;" ")-1),",","."))-1)/MID(SUBSTITUTE(LEFT(TRIM(C118),FIND(" ",TRIM(C118)&amp;" ")-1),",","."),FIND("/",SUBSTITUTE(LEFT(TRIM(C118),FIND(" ",TRIM(C118)&amp;" ")-1),",","."))+1,9))*12/52,IF(ISNUMBER(SEARCH("month",C118)),IFERROR(_xlfn.NUMBERVALUE(SUBSTITUTE(LEFT(TRIM(C118),FIND(" ",TRIM(C118)&amp;" ")-1),",","."),"."),LEFT(SUBSTITUTE(LEFT(TRIM(C118),FIND(" ",TRIM(C118)&amp;" ")-1),",","."),FIND("/",SUBSTITUTE(LEFT(TRIM(C118),FIND(" ",TRIM(C118)&amp;" ")-1),",","."))-1)/MID(SUBSTITUTE(LEFT(TRIM(C118),FIND(" ",TRIM(C118)&amp;" ")-1),",","."),FIND("/",SUBSTITUTE(LEFT(TRIM(C118),FIND(" ",TRIM(C118)&amp;" ")-1),",","."))+1,9)),IF(ISNUMBER(SEARCH("yea",C118)),IFERROR(_xlfn.NUMBERVALUE(SUBSTITUTE(LEFT(TRIM(C118),FIND(" ",TRIM(C118)&amp;" ")-1),",","."),"."),LEFT(SUBSTITUTE(LEFT(TRIM(C118),FIND(" ",TRIM(C118)&amp;" ")-1),",","."),FIND("/",SUBSTITUTE(LEFT(TRIM(C118),FIND(" ",TRIM(C118)&amp;" ")-1),",","."))-1)/MID(SUBSTITUTE(LEFT(TRIM(C118),FIND(" ",TRIM(C118)&amp;" ")-1),",","."),FIND("/",SUBSTITUTE(LEFT(TRIM(C118),FIND(" ",TRIM(C118)&amp;" ")-1),",","."))+1,9))*12,NA()))),0),6)*'Aturan &amp; Tarif'!$B$4,2)</f>
        <v>340.68</v>
      </c>
      <c r="K118" s="32" t="n">
        <f aca="false">'Aturan &amp; Tarif'!$B$5</f>
        <v>2050</v>
      </c>
      <c r="L118" s="32" t="n">
        <f aca="false">'Aturan &amp; Tarif'!$B$6</f>
        <v>350</v>
      </c>
      <c r="M118" s="35" t="n">
        <f aca="false">I118+J118+K118+L118</f>
        <v>12264.68</v>
      </c>
      <c r="N118" s="37" t="s">
        <v>345</v>
      </c>
    </row>
    <row r="119" customFormat="false" ht="25.5" hidden="false" customHeight="true" outlineLevel="0" collapsed="false">
      <c r="A119" s="29"/>
      <c r="B119" s="30" t="s">
        <v>346</v>
      </c>
      <c r="C119" s="31" t="s">
        <v>344</v>
      </c>
      <c r="D119" s="31" t="s">
        <v>108</v>
      </c>
      <c r="E119" s="32" t="n">
        <v>4762</v>
      </c>
      <c r="F119" s="32"/>
      <c r="G119" s="32"/>
      <c r="H119" s="33" t="n">
        <v>2</v>
      </c>
      <c r="I119" s="34" t="n">
        <f aca="false">E119*H119+N(F119)+N(G119)</f>
        <v>9524</v>
      </c>
      <c r="J119" s="32" t="n">
        <f aca="false">ROUND(IFERROR(ROUND(IF(OR(ISNUMBER(SEARCH("week",C119)),ISNUMBER(SEARCH("minggu",C119))),IFERROR(_xlfn.NUMBERVALUE(SUBSTITUTE(LEFT(TRIM(C119),FIND(" ",TRIM(C119)&amp;" ")-1),",","."),"."),LEFT(SUBSTITUTE(LEFT(TRIM(C119),FIND(" ",TRIM(C119)&amp;" ")-1),",","."),FIND("/",SUBSTITUTE(LEFT(TRIM(C119),FIND(" ",TRIM(C119)&amp;" ")-1),",","."))-1)/MID(SUBSTITUTE(LEFT(TRIM(C119),FIND(" ",TRIM(C119)&amp;" ")-1),",","."),FIND("/",SUBSTITUTE(LEFT(TRIM(C119),FIND(" ",TRIM(C119)&amp;" ")-1),",","."))+1,9))*12/52,IF(ISNUMBER(SEARCH("month",C119)),IFERROR(_xlfn.NUMBERVALUE(SUBSTITUTE(LEFT(TRIM(C119),FIND(" ",TRIM(C119)&amp;" ")-1),",","."),"."),LEFT(SUBSTITUTE(LEFT(TRIM(C119),FIND(" ",TRIM(C119)&amp;" ")-1),",","."),FIND("/",SUBSTITUTE(LEFT(TRIM(C119),FIND(" ",TRIM(C119)&amp;" ")-1),",","."))-1)/MID(SUBSTITUTE(LEFT(TRIM(C119),FIND(" ",TRIM(C119)&amp;" ")-1),",","."),FIND("/",SUBSTITUTE(LEFT(TRIM(C119),FIND(" ",TRIM(C119)&amp;" ")-1),",","."))+1,9)),IF(ISNUMBER(SEARCH("yea",C119)),IFERROR(_xlfn.NUMBERVALUE(SUBSTITUTE(LEFT(TRIM(C119),FIND(" ",TRIM(C119)&amp;" ")-1),",","."),"."),LEFT(SUBSTITUTE(LEFT(TRIM(C119),FIND(" ",TRIM(C119)&amp;" ")-1),",","."),FIND("/",SUBSTITUTE(LEFT(TRIM(C119),FIND(" ",TRIM(C119)&amp;" ")-1),",","."))-1)/MID(SUBSTITUTE(LEFT(TRIM(C119),FIND(" ",TRIM(C119)&amp;" ")-1),",","."),FIND("/",SUBSTITUTE(LEFT(TRIM(C119),FIND(" ",TRIM(C119)&amp;" ")-1),",","."))+1,9))*12,NA()))),0),6)*'Aturan &amp; Tarif'!$B$4,2)</f>
        <v>340.68</v>
      </c>
      <c r="K119" s="32" t="n">
        <f aca="false">'Aturan &amp; Tarif'!$B$5</f>
        <v>2050</v>
      </c>
      <c r="L119" s="32" t="n">
        <f aca="false">'Aturan &amp; Tarif'!$B$6</f>
        <v>350</v>
      </c>
      <c r="M119" s="35" t="n">
        <f aca="false">I119+J119+K119+L119</f>
        <v>12264.68</v>
      </c>
      <c r="N119" s="37" t="s">
        <v>345</v>
      </c>
    </row>
    <row r="120" customFormat="false" ht="14.25" hidden="false" customHeight="true" outlineLevel="0" collapsed="false">
      <c r="A120" s="29"/>
      <c r="B120" s="30" t="s">
        <v>347</v>
      </c>
      <c r="C120" s="31" t="s">
        <v>344</v>
      </c>
      <c r="D120" s="31" t="s">
        <v>108</v>
      </c>
      <c r="E120" s="32" t="n">
        <v>4614</v>
      </c>
      <c r="F120" s="32"/>
      <c r="G120" s="32"/>
      <c r="H120" s="33" t="n">
        <v>2</v>
      </c>
      <c r="I120" s="34" t="n">
        <f aca="false">E120*H120+N(F120)+N(G120)</f>
        <v>9228</v>
      </c>
      <c r="J120" s="32" t="n">
        <f aca="false">ROUND(IFERROR(ROUND(IF(OR(ISNUMBER(SEARCH("week",C120)),ISNUMBER(SEARCH("minggu",C120))),IFERROR(_xlfn.NUMBERVALUE(SUBSTITUTE(LEFT(TRIM(C120),FIND(" ",TRIM(C120)&amp;" ")-1),",","."),"."),LEFT(SUBSTITUTE(LEFT(TRIM(C120),FIND(" ",TRIM(C120)&amp;" ")-1),",","."),FIND("/",SUBSTITUTE(LEFT(TRIM(C120),FIND(" ",TRIM(C120)&amp;" ")-1),",","."))-1)/MID(SUBSTITUTE(LEFT(TRIM(C120),FIND(" ",TRIM(C120)&amp;" ")-1),",","."),FIND("/",SUBSTITUTE(LEFT(TRIM(C120),FIND(" ",TRIM(C120)&amp;" ")-1),",","."))+1,9))*12/52,IF(ISNUMBER(SEARCH("month",C120)),IFERROR(_xlfn.NUMBERVALUE(SUBSTITUTE(LEFT(TRIM(C120),FIND(" ",TRIM(C120)&amp;" ")-1),",","."),"."),LEFT(SUBSTITUTE(LEFT(TRIM(C120),FIND(" ",TRIM(C120)&amp;" ")-1),",","."),FIND("/",SUBSTITUTE(LEFT(TRIM(C120),FIND(" ",TRIM(C120)&amp;" ")-1),",","."))-1)/MID(SUBSTITUTE(LEFT(TRIM(C120),FIND(" ",TRIM(C120)&amp;" ")-1),",","."),FIND("/",SUBSTITUTE(LEFT(TRIM(C120),FIND(" ",TRIM(C120)&amp;" ")-1),",","."))+1,9)),IF(ISNUMBER(SEARCH("yea",C120)),IFERROR(_xlfn.NUMBERVALUE(SUBSTITUTE(LEFT(TRIM(C120),FIND(" ",TRIM(C120)&amp;" ")-1),",","."),"."),LEFT(SUBSTITUTE(LEFT(TRIM(C120),FIND(" ",TRIM(C120)&amp;" ")-1),",","."),FIND("/",SUBSTITUTE(LEFT(TRIM(C120),FIND(" ",TRIM(C120)&amp;" ")-1),",","."))-1)/MID(SUBSTITUTE(LEFT(TRIM(C120),FIND(" ",TRIM(C120)&amp;" ")-1),",","."),FIND("/",SUBSTITUTE(LEFT(TRIM(C120),FIND(" ",TRIM(C120)&amp;" ")-1),",","."))+1,9))*12,NA()))),0),6)*'Aturan &amp; Tarif'!$B$4,2)</f>
        <v>340.68</v>
      </c>
      <c r="K120" s="32" t="n">
        <f aca="false">'Aturan &amp; Tarif'!$B$5</f>
        <v>2050</v>
      </c>
      <c r="L120" s="32" t="n">
        <f aca="false">'Aturan &amp; Tarif'!$B$6</f>
        <v>350</v>
      </c>
      <c r="M120" s="35" t="n">
        <f aca="false">I120+J120+K120+L120</f>
        <v>11968.68</v>
      </c>
      <c r="N120" s="37" t="s">
        <v>345</v>
      </c>
    </row>
    <row r="121" customFormat="false" ht="14.25" hidden="false" customHeight="true" outlineLevel="0" collapsed="false">
      <c r="A121" s="29"/>
      <c r="B121" s="30" t="s">
        <v>348</v>
      </c>
      <c r="C121" s="31" t="s">
        <v>107</v>
      </c>
      <c r="D121" s="31" t="s">
        <v>108</v>
      </c>
      <c r="E121" s="32" t="n">
        <v>9524</v>
      </c>
      <c r="F121" s="32"/>
      <c r="G121" s="32"/>
      <c r="H121" s="33" t="n">
        <v>2</v>
      </c>
      <c r="I121" s="34" t="n">
        <f aca="false">E121*H121+N(F121)+N(G121)</f>
        <v>19048</v>
      </c>
      <c r="J121" s="32" t="n">
        <f aca="false">ROUND(IFERROR(ROUND(IF(OR(ISNUMBER(SEARCH("week",C121)),ISNUMBER(SEARCH("minggu",C121))),IFERROR(_xlfn.NUMBERVALUE(SUBSTITUTE(LEFT(TRIM(C121),FIND(" ",TRIM(C121)&amp;" ")-1),",","."),"."),LEFT(SUBSTITUTE(LEFT(TRIM(C121),FIND(" ",TRIM(C121)&amp;" ")-1),",","."),FIND("/",SUBSTITUTE(LEFT(TRIM(C121),FIND(" ",TRIM(C121)&amp;" ")-1),",","."))-1)/MID(SUBSTITUTE(LEFT(TRIM(C121),FIND(" ",TRIM(C121)&amp;" ")-1),",","."),FIND("/",SUBSTITUTE(LEFT(TRIM(C121),FIND(" ",TRIM(C121)&amp;" ")-1),",","."))+1,9))*12/52,IF(ISNUMBER(SEARCH("month",C121)),IFERROR(_xlfn.NUMBERVALUE(SUBSTITUTE(LEFT(TRIM(C121),FIND(" ",TRIM(C121)&amp;" ")-1),",","."),"."),LEFT(SUBSTITUTE(LEFT(TRIM(C121),FIND(" ",TRIM(C121)&amp;" ")-1),",","."),FIND("/",SUBSTITUTE(LEFT(TRIM(C121),FIND(" ",TRIM(C121)&amp;" ")-1),",","."))-1)/MID(SUBSTITUTE(LEFT(TRIM(C121),FIND(" ",TRIM(C121)&amp;" ")-1),",","."),FIND("/",SUBSTITUTE(LEFT(TRIM(C121),FIND(" ",TRIM(C121)&amp;" ")-1),",","."))+1,9)),IF(ISNUMBER(SEARCH("yea",C121)),IFERROR(_xlfn.NUMBERVALUE(SUBSTITUTE(LEFT(TRIM(C121),FIND(" ",TRIM(C121)&amp;" ")-1),",","."),"."),LEFT(SUBSTITUTE(LEFT(TRIM(C121),FIND(" ",TRIM(C121)&amp;" ")-1),",","."),FIND("/",SUBSTITUTE(LEFT(TRIM(C121),FIND(" ",TRIM(C121)&amp;" ")-1),",","."))-1)/MID(SUBSTITUTE(LEFT(TRIM(C121),FIND(" ",TRIM(C121)&amp;" ")-1),",","."),FIND("/",SUBSTITUTE(LEFT(TRIM(C121),FIND(" ",TRIM(C121)&amp;" ")-1),",","."))+1,9))*12,NA()))),0),24)*'Aturan &amp; Tarif'!$B$4,2)</f>
        <v>1362.72</v>
      </c>
      <c r="K121" s="32" t="n">
        <f aca="false">'Aturan &amp; Tarif'!$B$5</f>
        <v>2050</v>
      </c>
      <c r="L121" s="32" t="n">
        <f aca="false">'Aturan &amp; Tarif'!$B$6</f>
        <v>350</v>
      </c>
      <c r="M121" s="35" t="n">
        <f aca="false">I121+J121+K121+L121</f>
        <v>22810.72</v>
      </c>
      <c r="N121" s="37" t="s">
        <v>318</v>
      </c>
    </row>
    <row r="122" customFormat="false" ht="14.25" hidden="false" customHeight="true" outlineLevel="0" collapsed="false">
      <c r="A122" s="29"/>
      <c r="B122" s="30" t="s">
        <v>349</v>
      </c>
      <c r="C122" s="31" t="s">
        <v>107</v>
      </c>
      <c r="D122" s="31" t="s">
        <v>108</v>
      </c>
      <c r="E122" s="32" t="n">
        <v>9524</v>
      </c>
      <c r="F122" s="32"/>
      <c r="G122" s="32"/>
      <c r="H122" s="33" t="n">
        <v>2</v>
      </c>
      <c r="I122" s="34" t="n">
        <f aca="false">E122*H122+N(F122)+N(G122)</f>
        <v>19048</v>
      </c>
      <c r="J122" s="32" t="n">
        <f aca="false">ROUND(IFERROR(ROUND(IF(OR(ISNUMBER(SEARCH("week",C122)),ISNUMBER(SEARCH("minggu",C122))),IFERROR(_xlfn.NUMBERVALUE(SUBSTITUTE(LEFT(TRIM(C122),FIND(" ",TRIM(C122)&amp;" ")-1),",","."),"."),LEFT(SUBSTITUTE(LEFT(TRIM(C122),FIND(" ",TRIM(C122)&amp;" ")-1),",","."),FIND("/",SUBSTITUTE(LEFT(TRIM(C122),FIND(" ",TRIM(C122)&amp;" ")-1),",","."))-1)/MID(SUBSTITUTE(LEFT(TRIM(C122),FIND(" ",TRIM(C122)&amp;" ")-1),",","."),FIND("/",SUBSTITUTE(LEFT(TRIM(C122),FIND(" ",TRIM(C122)&amp;" ")-1),",","."))+1,9))*12/52,IF(ISNUMBER(SEARCH("month",C122)),IFERROR(_xlfn.NUMBERVALUE(SUBSTITUTE(LEFT(TRIM(C122),FIND(" ",TRIM(C122)&amp;" ")-1),",","."),"."),LEFT(SUBSTITUTE(LEFT(TRIM(C122),FIND(" ",TRIM(C122)&amp;" ")-1),",","."),FIND("/",SUBSTITUTE(LEFT(TRIM(C122),FIND(" ",TRIM(C122)&amp;" ")-1),",","."))-1)/MID(SUBSTITUTE(LEFT(TRIM(C122),FIND(" ",TRIM(C122)&amp;" ")-1),",","."),FIND("/",SUBSTITUTE(LEFT(TRIM(C122),FIND(" ",TRIM(C122)&amp;" ")-1),",","."))+1,9)),IF(ISNUMBER(SEARCH("yea",C122)),IFERROR(_xlfn.NUMBERVALUE(SUBSTITUTE(LEFT(TRIM(C122),FIND(" ",TRIM(C122)&amp;" ")-1),",","."),"."),LEFT(SUBSTITUTE(LEFT(TRIM(C122),FIND(" ",TRIM(C122)&amp;" ")-1),",","."),FIND("/",SUBSTITUTE(LEFT(TRIM(C122),FIND(" ",TRIM(C122)&amp;" ")-1),",","."))-1)/MID(SUBSTITUTE(LEFT(TRIM(C122),FIND(" ",TRIM(C122)&amp;" ")-1),",","."),FIND("/",SUBSTITUTE(LEFT(TRIM(C122),FIND(" ",TRIM(C122)&amp;" ")-1),",","."))+1,9))*12,NA()))),0),24)*'Aturan &amp; Tarif'!$B$4,2)</f>
        <v>1362.72</v>
      </c>
      <c r="K122" s="32" t="n">
        <f aca="false">'Aturan &amp; Tarif'!$B$5</f>
        <v>2050</v>
      </c>
      <c r="L122" s="32" t="n">
        <f aca="false">'Aturan &amp; Tarif'!$B$6</f>
        <v>350</v>
      </c>
      <c r="M122" s="35" t="n">
        <f aca="false">I122+J122+K122+L122</f>
        <v>22810.72</v>
      </c>
      <c r="N122" s="37" t="s">
        <v>318</v>
      </c>
    </row>
    <row r="123" customFormat="false" ht="14.25" hidden="false" customHeight="true" outlineLevel="0" collapsed="false">
      <c r="A123" s="29"/>
      <c r="B123" s="30" t="s">
        <v>167</v>
      </c>
      <c r="C123" s="31" t="s">
        <v>107</v>
      </c>
      <c r="D123" s="31" t="s">
        <v>108</v>
      </c>
      <c r="E123" s="32" t="n">
        <v>9524</v>
      </c>
      <c r="F123" s="32"/>
      <c r="G123" s="32"/>
      <c r="H123" s="33" t="n">
        <v>2</v>
      </c>
      <c r="I123" s="34" t="n">
        <f aca="false">E123*H123+N(F123)+N(G123)</f>
        <v>19048</v>
      </c>
      <c r="J123" s="32" t="n">
        <f aca="false">ROUND(IFERROR(ROUND(IF(OR(ISNUMBER(SEARCH("week",C123)),ISNUMBER(SEARCH("minggu",C123))),IFERROR(_xlfn.NUMBERVALUE(SUBSTITUTE(LEFT(TRIM(C123),FIND(" ",TRIM(C123)&amp;" ")-1),",","."),"."),LEFT(SUBSTITUTE(LEFT(TRIM(C123),FIND(" ",TRIM(C123)&amp;" ")-1),",","."),FIND("/",SUBSTITUTE(LEFT(TRIM(C123),FIND(" ",TRIM(C123)&amp;" ")-1),",","."))-1)/MID(SUBSTITUTE(LEFT(TRIM(C123),FIND(" ",TRIM(C123)&amp;" ")-1),",","."),FIND("/",SUBSTITUTE(LEFT(TRIM(C123),FIND(" ",TRIM(C123)&amp;" ")-1),",","."))+1,9))*12/52,IF(ISNUMBER(SEARCH("month",C123)),IFERROR(_xlfn.NUMBERVALUE(SUBSTITUTE(LEFT(TRIM(C123),FIND(" ",TRIM(C123)&amp;" ")-1),",","."),"."),LEFT(SUBSTITUTE(LEFT(TRIM(C123),FIND(" ",TRIM(C123)&amp;" ")-1),",","."),FIND("/",SUBSTITUTE(LEFT(TRIM(C123),FIND(" ",TRIM(C123)&amp;" ")-1),",","."))-1)/MID(SUBSTITUTE(LEFT(TRIM(C123),FIND(" ",TRIM(C123)&amp;" ")-1),",","."),FIND("/",SUBSTITUTE(LEFT(TRIM(C123),FIND(" ",TRIM(C123)&amp;" ")-1),",","."))+1,9)),IF(ISNUMBER(SEARCH("yea",C123)),IFERROR(_xlfn.NUMBERVALUE(SUBSTITUTE(LEFT(TRIM(C123),FIND(" ",TRIM(C123)&amp;" ")-1),",","."),"."),LEFT(SUBSTITUTE(LEFT(TRIM(C123),FIND(" ",TRIM(C123)&amp;" ")-1),",","."),FIND("/",SUBSTITUTE(LEFT(TRIM(C123),FIND(" ",TRIM(C123)&amp;" ")-1),",","."))-1)/MID(SUBSTITUTE(LEFT(TRIM(C123),FIND(" ",TRIM(C123)&amp;" ")-1),",","."),FIND("/",SUBSTITUTE(LEFT(TRIM(C123),FIND(" ",TRIM(C123)&amp;" ")-1),",","."))+1,9))*12,NA()))),0),24)*'Aturan &amp; Tarif'!$B$4,2)</f>
        <v>1362.72</v>
      </c>
      <c r="K123" s="32" t="n">
        <f aca="false">'Aturan &amp; Tarif'!$B$5</f>
        <v>2050</v>
      </c>
      <c r="L123" s="32" t="n">
        <f aca="false">'Aturan &amp; Tarif'!$B$6</f>
        <v>350</v>
      </c>
      <c r="M123" s="35" t="n">
        <f aca="false">I123+J123+K123+L123</f>
        <v>22810.72</v>
      </c>
      <c r="N123" s="37" t="s">
        <v>318</v>
      </c>
    </row>
    <row r="124" customFormat="false" ht="25.5" hidden="false" customHeight="true" outlineLevel="0" collapsed="false">
      <c r="A124" s="29"/>
      <c r="B124" s="30" t="s">
        <v>236</v>
      </c>
      <c r="C124" s="31" t="s">
        <v>127</v>
      </c>
      <c r="D124" s="31" t="s">
        <v>108</v>
      </c>
      <c r="E124" s="32" t="n">
        <v>8906</v>
      </c>
      <c r="F124" s="32"/>
      <c r="G124" s="32"/>
      <c r="H124" s="33" t="n">
        <v>2</v>
      </c>
      <c r="I124" s="34" t="n">
        <f aca="false">E124*H124+N(F124)+N(G124)</f>
        <v>17812</v>
      </c>
      <c r="J124" s="32" t="n">
        <f aca="false">ROUND(IFERROR(ROUND(IF(OR(ISNUMBER(SEARCH("week",C124)),ISNUMBER(SEARCH("minggu",C124))),IFERROR(_xlfn.NUMBERVALUE(SUBSTITUTE(LEFT(TRIM(C124),FIND(" ",TRIM(C124)&amp;" ")-1),",","."),"."),LEFT(SUBSTITUTE(LEFT(TRIM(C124),FIND(" ",TRIM(C124)&amp;" ")-1),",","."),FIND("/",SUBSTITUTE(LEFT(TRIM(C124),FIND(" ",TRIM(C124)&amp;" ")-1),",","."))-1)/MID(SUBSTITUTE(LEFT(TRIM(C124),FIND(" ",TRIM(C124)&amp;" ")-1),",","."),FIND("/",SUBSTITUTE(LEFT(TRIM(C124),FIND(" ",TRIM(C124)&amp;" ")-1),",","."))+1,9))*12/52,IF(ISNUMBER(SEARCH("month",C124)),IFERROR(_xlfn.NUMBERVALUE(SUBSTITUTE(LEFT(TRIM(C124),FIND(" ",TRIM(C124)&amp;" ")-1),",","."),"."),LEFT(SUBSTITUTE(LEFT(TRIM(C124),FIND(" ",TRIM(C124)&amp;" ")-1),",","."),FIND("/",SUBSTITUTE(LEFT(TRIM(C124),FIND(" ",TRIM(C124)&amp;" ")-1),",","."))-1)/MID(SUBSTITUTE(LEFT(TRIM(C124),FIND(" ",TRIM(C124)&amp;" ")-1),",","."),FIND("/",SUBSTITUTE(LEFT(TRIM(C124),FIND(" ",TRIM(C124)&amp;" ")-1),",","."))+1,9)),IF(ISNUMBER(SEARCH("yea",C124)),IFERROR(_xlfn.NUMBERVALUE(SUBSTITUTE(LEFT(TRIM(C124),FIND(" ",TRIM(C124)&amp;" ")-1),",","."),"."),LEFT(SUBSTITUTE(LEFT(TRIM(C124),FIND(" ",TRIM(C124)&amp;" ")-1),",","."),FIND("/",SUBSTITUTE(LEFT(TRIM(C124),FIND(" ",TRIM(C124)&amp;" ")-1),",","."))-1)/MID(SUBSTITUTE(LEFT(TRIM(C124),FIND(" ",TRIM(C124)&amp;" ")-1),",","."),FIND("/",SUBSTITUTE(LEFT(TRIM(C124),FIND(" ",TRIM(C124)&amp;" ")-1),",","."))+1,9))*12,NA()))),0),36)*'Aturan &amp; Tarif'!$B$4,2)</f>
        <v>2044.08</v>
      </c>
      <c r="K124" s="32" t="n">
        <f aca="false">'Aturan &amp; Tarif'!$B$5</f>
        <v>2050</v>
      </c>
      <c r="L124" s="32" t="n">
        <f aca="false">'Aturan &amp; Tarif'!$B$6</f>
        <v>350</v>
      </c>
      <c r="M124" s="35" t="n">
        <f aca="false">I124+J124+K124+L124</f>
        <v>22256.08</v>
      </c>
      <c r="N124" s="37" t="s">
        <v>318</v>
      </c>
    </row>
    <row r="125" customFormat="false" ht="25.5" hidden="false" customHeight="true" outlineLevel="0" collapsed="false">
      <c r="A125" s="29"/>
      <c r="B125" s="30" t="s">
        <v>350</v>
      </c>
      <c r="C125" s="31" t="s">
        <v>191</v>
      </c>
      <c r="D125" s="31" t="s">
        <v>108</v>
      </c>
      <c r="E125" s="32" t="n">
        <v>8906</v>
      </c>
      <c r="F125" s="32"/>
      <c r="G125" s="32"/>
      <c r="H125" s="33" t="n">
        <v>2</v>
      </c>
      <c r="I125" s="34" t="n">
        <f aca="false">E125*H125+N(F125)+N(G125)</f>
        <v>17812</v>
      </c>
      <c r="J125" s="32" t="n">
        <f aca="false">ROUND(IFERROR(ROUND(IF(OR(ISNUMBER(SEARCH("week",C125)),ISNUMBER(SEARCH("minggu",C125))),IFERROR(_xlfn.NUMBERVALUE(SUBSTITUTE(LEFT(TRIM(C125),FIND(" ",TRIM(C125)&amp;" ")-1),",","."),"."),LEFT(SUBSTITUTE(LEFT(TRIM(C125),FIND(" ",TRIM(C125)&amp;" ")-1),",","."),FIND("/",SUBSTITUTE(LEFT(TRIM(C125),FIND(" ",TRIM(C125)&amp;" ")-1),",","."))-1)/MID(SUBSTITUTE(LEFT(TRIM(C125),FIND(" ",TRIM(C125)&amp;" ")-1),",","."),FIND("/",SUBSTITUTE(LEFT(TRIM(C125),FIND(" ",TRIM(C125)&amp;" ")-1),",","."))+1,9))*12/52,IF(ISNUMBER(SEARCH("month",C125)),IFERROR(_xlfn.NUMBERVALUE(SUBSTITUTE(LEFT(TRIM(C125),FIND(" ",TRIM(C125)&amp;" ")-1),",","."),"."),LEFT(SUBSTITUTE(LEFT(TRIM(C125),FIND(" ",TRIM(C125)&amp;" ")-1),",","."),FIND("/",SUBSTITUTE(LEFT(TRIM(C125),FIND(" ",TRIM(C125)&amp;" ")-1),",","."))-1)/MID(SUBSTITUTE(LEFT(TRIM(C125),FIND(" ",TRIM(C125)&amp;" ")-1),",","."),FIND("/",SUBSTITUTE(LEFT(TRIM(C125),FIND(" ",TRIM(C125)&amp;" ")-1),",","."))+1,9)),IF(ISNUMBER(SEARCH("yea",C125)),IFERROR(_xlfn.NUMBERVALUE(SUBSTITUTE(LEFT(TRIM(C125),FIND(" ",TRIM(C125)&amp;" ")-1),",","."),"."),LEFT(SUBSTITUTE(LEFT(TRIM(C125),FIND(" ",TRIM(C125)&amp;" ")-1),",","."),FIND("/",SUBSTITUTE(LEFT(TRIM(C125),FIND(" ",TRIM(C125)&amp;" ")-1),",","."))-1)/MID(SUBSTITUTE(LEFT(TRIM(C125),FIND(" ",TRIM(C125)&amp;" ")-1),",","."),FIND("/",SUBSTITUTE(LEFT(TRIM(C125),FIND(" ",TRIM(C125)&amp;" ")-1),",","."))+1,9))*12,NA()))),0),48)*'Aturan &amp; Tarif'!$B$4,2)</f>
        <v>2725.44</v>
      </c>
      <c r="K125" s="32" t="n">
        <f aca="false">'Aturan &amp; Tarif'!$B$5</f>
        <v>2050</v>
      </c>
      <c r="L125" s="32" t="n">
        <f aca="false">'Aturan &amp; Tarif'!$B$6</f>
        <v>350</v>
      </c>
      <c r="M125" s="35" t="n">
        <f aca="false">I125+J125+K125+L125</f>
        <v>22937.44</v>
      </c>
      <c r="N125" s="37" t="s">
        <v>318</v>
      </c>
    </row>
    <row r="126" customFormat="false" ht="25.5" hidden="false" customHeight="true" outlineLevel="0" collapsed="false">
      <c r="A126" s="29"/>
      <c r="B126" s="30" t="s">
        <v>351</v>
      </c>
      <c r="C126" s="31" t="s">
        <v>191</v>
      </c>
      <c r="D126" s="31" t="s">
        <v>108</v>
      </c>
      <c r="E126" s="32" t="n">
        <v>8906</v>
      </c>
      <c r="F126" s="32"/>
      <c r="G126" s="32"/>
      <c r="H126" s="33" t="n">
        <v>2</v>
      </c>
      <c r="I126" s="34" t="n">
        <f aca="false">E126*H126+N(F126)+N(G126)</f>
        <v>17812</v>
      </c>
      <c r="J126" s="32" t="n">
        <f aca="false">ROUND(IFERROR(ROUND(IF(OR(ISNUMBER(SEARCH("week",C126)),ISNUMBER(SEARCH("minggu",C126))),IFERROR(_xlfn.NUMBERVALUE(SUBSTITUTE(LEFT(TRIM(C126),FIND(" ",TRIM(C126)&amp;" ")-1),",","."),"."),LEFT(SUBSTITUTE(LEFT(TRIM(C126),FIND(" ",TRIM(C126)&amp;" ")-1),",","."),FIND("/",SUBSTITUTE(LEFT(TRIM(C126),FIND(" ",TRIM(C126)&amp;" ")-1),",","."))-1)/MID(SUBSTITUTE(LEFT(TRIM(C126),FIND(" ",TRIM(C126)&amp;" ")-1),",","."),FIND("/",SUBSTITUTE(LEFT(TRIM(C126),FIND(" ",TRIM(C126)&amp;" ")-1),",","."))+1,9))*12/52,IF(ISNUMBER(SEARCH("month",C126)),IFERROR(_xlfn.NUMBERVALUE(SUBSTITUTE(LEFT(TRIM(C126),FIND(" ",TRIM(C126)&amp;" ")-1),",","."),"."),LEFT(SUBSTITUTE(LEFT(TRIM(C126),FIND(" ",TRIM(C126)&amp;" ")-1),",","."),FIND("/",SUBSTITUTE(LEFT(TRIM(C126),FIND(" ",TRIM(C126)&amp;" ")-1),",","."))-1)/MID(SUBSTITUTE(LEFT(TRIM(C126),FIND(" ",TRIM(C126)&amp;" ")-1),",","."),FIND("/",SUBSTITUTE(LEFT(TRIM(C126),FIND(" ",TRIM(C126)&amp;" ")-1),",","."))+1,9)),IF(ISNUMBER(SEARCH("yea",C126)),IFERROR(_xlfn.NUMBERVALUE(SUBSTITUTE(LEFT(TRIM(C126),FIND(" ",TRIM(C126)&amp;" ")-1),",","."),"."),LEFT(SUBSTITUTE(LEFT(TRIM(C126),FIND(" ",TRIM(C126)&amp;" ")-1),",","."),FIND("/",SUBSTITUTE(LEFT(TRIM(C126),FIND(" ",TRIM(C126)&amp;" ")-1),",","."))-1)/MID(SUBSTITUTE(LEFT(TRIM(C126),FIND(" ",TRIM(C126)&amp;" ")-1),",","."),FIND("/",SUBSTITUTE(LEFT(TRIM(C126),FIND(" ",TRIM(C126)&amp;" ")-1),",","."))+1,9))*12,NA()))),0),48)*'Aturan &amp; Tarif'!$B$4,2)</f>
        <v>2725.44</v>
      </c>
      <c r="K126" s="32" t="n">
        <f aca="false">'Aturan &amp; Tarif'!$B$5</f>
        <v>2050</v>
      </c>
      <c r="L126" s="32" t="n">
        <f aca="false">'Aturan &amp; Tarif'!$B$6</f>
        <v>350</v>
      </c>
      <c r="M126" s="35" t="n">
        <f aca="false">I126+J126+K126+L126</f>
        <v>22937.44</v>
      </c>
      <c r="N126" s="37" t="s">
        <v>318</v>
      </c>
    </row>
    <row r="127" customFormat="false" ht="25.5" hidden="false" customHeight="true" outlineLevel="0" collapsed="false">
      <c r="A127" s="29"/>
      <c r="B127" s="30" t="s">
        <v>352</v>
      </c>
      <c r="C127" s="31" t="s">
        <v>191</v>
      </c>
      <c r="D127" s="31" t="s">
        <v>108</v>
      </c>
      <c r="E127" s="32" t="n">
        <v>8906</v>
      </c>
      <c r="F127" s="32"/>
      <c r="G127" s="32"/>
      <c r="H127" s="33" t="n">
        <v>2</v>
      </c>
      <c r="I127" s="34" t="n">
        <f aca="false">E127*H127+N(F127)+N(G127)</f>
        <v>17812</v>
      </c>
      <c r="J127" s="32" t="n">
        <f aca="false">ROUND(IFERROR(ROUND(IF(OR(ISNUMBER(SEARCH("week",C127)),ISNUMBER(SEARCH("minggu",C127))),IFERROR(_xlfn.NUMBERVALUE(SUBSTITUTE(LEFT(TRIM(C127),FIND(" ",TRIM(C127)&amp;" ")-1),",","."),"."),LEFT(SUBSTITUTE(LEFT(TRIM(C127),FIND(" ",TRIM(C127)&amp;" ")-1),",","."),FIND("/",SUBSTITUTE(LEFT(TRIM(C127),FIND(" ",TRIM(C127)&amp;" ")-1),",","."))-1)/MID(SUBSTITUTE(LEFT(TRIM(C127),FIND(" ",TRIM(C127)&amp;" ")-1),",","."),FIND("/",SUBSTITUTE(LEFT(TRIM(C127),FIND(" ",TRIM(C127)&amp;" ")-1),",","."))+1,9))*12/52,IF(ISNUMBER(SEARCH("month",C127)),IFERROR(_xlfn.NUMBERVALUE(SUBSTITUTE(LEFT(TRIM(C127),FIND(" ",TRIM(C127)&amp;" ")-1),",","."),"."),LEFT(SUBSTITUTE(LEFT(TRIM(C127),FIND(" ",TRIM(C127)&amp;" ")-1),",","."),FIND("/",SUBSTITUTE(LEFT(TRIM(C127),FIND(" ",TRIM(C127)&amp;" ")-1),",","."))-1)/MID(SUBSTITUTE(LEFT(TRIM(C127),FIND(" ",TRIM(C127)&amp;" ")-1),",","."),FIND("/",SUBSTITUTE(LEFT(TRIM(C127),FIND(" ",TRIM(C127)&amp;" ")-1),",","."))+1,9)),IF(ISNUMBER(SEARCH("yea",C127)),IFERROR(_xlfn.NUMBERVALUE(SUBSTITUTE(LEFT(TRIM(C127),FIND(" ",TRIM(C127)&amp;" ")-1),",","."),"."),LEFT(SUBSTITUTE(LEFT(TRIM(C127),FIND(" ",TRIM(C127)&amp;" ")-1),",","."),FIND("/",SUBSTITUTE(LEFT(TRIM(C127),FIND(" ",TRIM(C127)&amp;" ")-1),",","."))-1)/MID(SUBSTITUTE(LEFT(TRIM(C127),FIND(" ",TRIM(C127)&amp;" ")-1),",","."),FIND("/",SUBSTITUTE(LEFT(TRIM(C127),FIND(" ",TRIM(C127)&amp;" ")-1),",","."))+1,9))*12,NA()))),0),48)*'Aturan &amp; Tarif'!$B$4,2)</f>
        <v>2725.44</v>
      </c>
      <c r="K127" s="32" t="n">
        <f aca="false">'Aturan &amp; Tarif'!$B$5</f>
        <v>2050</v>
      </c>
      <c r="L127" s="32" t="n">
        <f aca="false">'Aturan &amp; Tarif'!$B$6</f>
        <v>350</v>
      </c>
      <c r="M127" s="35" t="n">
        <f aca="false">I127+J127+K127+L127</f>
        <v>22937.44</v>
      </c>
      <c r="N127" s="37" t="s">
        <v>318</v>
      </c>
    </row>
    <row r="128" customFormat="false" ht="25.5" hidden="false" customHeight="true" outlineLevel="0" collapsed="false">
      <c r="A128" s="29"/>
      <c r="B128" s="30" t="s">
        <v>353</v>
      </c>
      <c r="C128" s="31" t="s">
        <v>191</v>
      </c>
      <c r="D128" s="31" t="s">
        <v>108</v>
      </c>
      <c r="E128" s="32" t="n">
        <v>8906</v>
      </c>
      <c r="F128" s="32"/>
      <c r="G128" s="32"/>
      <c r="H128" s="33" t="n">
        <v>2</v>
      </c>
      <c r="I128" s="34" t="n">
        <f aca="false">E128*H128+N(F128)+N(G128)</f>
        <v>17812</v>
      </c>
      <c r="J128" s="32" t="n">
        <f aca="false">ROUND(IFERROR(ROUND(IF(OR(ISNUMBER(SEARCH("week",C128)),ISNUMBER(SEARCH("minggu",C128))),IFERROR(_xlfn.NUMBERVALUE(SUBSTITUTE(LEFT(TRIM(C128),FIND(" ",TRIM(C128)&amp;" ")-1),",","."),"."),LEFT(SUBSTITUTE(LEFT(TRIM(C128),FIND(" ",TRIM(C128)&amp;" ")-1),",","."),FIND("/",SUBSTITUTE(LEFT(TRIM(C128),FIND(" ",TRIM(C128)&amp;" ")-1),",","."))-1)/MID(SUBSTITUTE(LEFT(TRIM(C128),FIND(" ",TRIM(C128)&amp;" ")-1),",","."),FIND("/",SUBSTITUTE(LEFT(TRIM(C128),FIND(" ",TRIM(C128)&amp;" ")-1),",","."))+1,9))*12/52,IF(ISNUMBER(SEARCH("month",C128)),IFERROR(_xlfn.NUMBERVALUE(SUBSTITUTE(LEFT(TRIM(C128),FIND(" ",TRIM(C128)&amp;" ")-1),",","."),"."),LEFT(SUBSTITUTE(LEFT(TRIM(C128),FIND(" ",TRIM(C128)&amp;" ")-1),",","."),FIND("/",SUBSTITUTE(LEFT(TRIM(C128),FIND(" ",TRIM(C128)&amp;" ")-1),",","."))-1)/MID(SUBSTITUTE(LEFT(TRIM(C128),FIND(" ",TRIM(C128)&amp;" ")-1),",","."),FIND("/",SUBSTITUTE(LEFT(TRIM(C128),FIND(" ",TRIM(C128)&amp;" ")-1),",","."))+1,9)),IF(ISNUMBER(SEARCH("yea",C128)),IFERROR(_xlfn.NUMBERVALUE(SUBSTITUTE(LEFT(TRIM(C128),FIND(" ",TRIM(C128)&amp;" ")-1),",","."),"."),LEFT(SUBSTITUTE(LEFT(TRIM(C128),FIND(" ",TRIM(C128)&amp;" ")-1),",","."),FIND("/",SUBSTITUTE(LEFT(TRIM(C128),FIND(" ",TRIM(C128)&amp;" ")-1),",","."))-1)/MID(SUBSTITUTE(LEFT(TRIM(C128),FIND(" ",TRIM(C128)&amp;" ")-1),",","."),FIND("/",SUBSTITUTE(LEFT(TRIM(C128),FIND(" ",TRIM(C128)&amp;" ")-1),",","."))+1,9))*12,NA()))),0),48)*'Aturan &amp; Tarif'!$B$4,2)</f>
        <v>2725.44</v>
      </c>
      <c r="K128" s="32" t="n">
        <f aca="false">'Aturan &amp; Tarif'!$B$5</f>
        <v>2050</v>
      </c>
      <c r="L128" s="32" t="n">
        <f aca="false">'Aturan &amp; Tarif'!$B$6</f>
        <v>350</v>
      </c>
      <c r="M128" s="35" t="n">
        <f aca="false">I128+J128+K128+L128</f>
        <v>22937.44</v>
      </c>
      <c r="N128" s="37" t="s">
        <v>318</v>
      </c>
    </row>
    <row r="129" customFormat="false" ht="14.25" hidden="false" customHeight="true" outlineLevel="0" collapsed="false">
      <c r="A129" s="29"/>
      <c r="B129" s="30" t="s">
        <v>354</v>
      </c>
      <c r="C129" s="31" t="s">
        <v>191</v>
      </c>
      <c r="D129" s="31" t="s">
        <v>108</v>
      </c>
      <c r="E129" s="32" t="n">
        <v>9706</v>
      </c>
      <c r="F129" s="32"/>
      <c r="G129" s="32"/>
      <c r="H129" s="33" t="n">
        <v>2</v>
      </c>
      <c r="I129" s="34" t="n">
        <f aca="false">E129*H129+N(F129)+N(G129)</f>
        <v>19412</v>
      </c>
      <c r="J129" s="32" t="n">
        <f aca="false">ROUND(IFERROR(ROUND(IF(OR(ISNUMBER(SEARCH("week",C129)),ISNUMBER(SEARCH("minggu",C129))),IFERROR(_xlfn.NUMBERVALUE(SUBSTITUTE(LEFT(TRIM(C129),FIND(" ",TRIM(C129)&amp;" ")-1),",","."),"."),LEFT(SUBSTITUTE(LEFT(TRIM(C129),FIND(" ",TRIM(C129)&amp;" ")-1),",","."),FIND("/",SUBSTITUTE(LEFT(TRIM(C129),FIND(" ",TRIM(C129)&amp;" ")-1),",","."))-1)/MID(SUBSTITUTE(LEFT(TRIM(C129),FIND(" ",TRIM(C129)&amp;" ")-1),",","."),FIND("/",SUBSTITUTE(LEFT(TRIM(C129),FIND(" ",TRIM(C129)&amp;" ")-1),",","."))+1,9))*12/52,IF(ISNUMBER(SEARCH("month",C129)),IFERROR(_xlfn.NUMBERVALUE(SUBSTITUTE(LEFT(TRIM(C129),FIND(" ",TRIM(C129)&amp;" ")-1),",","."),"."),LEFT(SUBSTITUTE(LEFT(TRIM(C129),FIND(" ",TRIM(C129)&amp;" ")-1),",","."),FIND("/",SUBSTITUTE(LEFT(TRIM(C129),FIND(" ",TRIM(C129)&amp;" ")-1),",","."))-1)/MID(SUBSTITUTE(LEFT(TRIM(C129),FIND(" ",TRIM(C129)&amp;" ")-1),",","."),FIND("/",SUBSTITUTE(LEFT(TRIM(C129),FIND(" ",TRIM(C129)&amp;" ")-1),",","."))+1,9)),IF(ISNUMBER(SEARCH("yea",C129)),IFERROR(_xlfn.NUMBERVALUE(SUBSTITUTE(LEFT(TRIM(C129),FIND(" ",TRIM(C129)&amp;" ")-1),",","."),"."),LEFT(SUBSTITUTE(LEFT(TRIM(C129),FIND(" ",TRIM(C129)&amp;" ")-1),",","."),FIND("/",SUBSTITUTE(LEFT(TRIM(C129),FIND(" ",TRIM(C129)&amp;" ")-1),",","."))-1)/MID(SUBSTITUTE(LEFT(TRIM(C129),FIND(" ",TRIM(C129)&amp;" ")-1),",","."),FIND("/",SUBSTITUTE(LEFT(TRIM(C129),FIND(" ",TRIM(C129)&amp;" ")-1),",","."))+1,9))*12,NA()))),0),48)*'Aturan &amp; Tarif'!$B$4,2)</f>
        <v>2725.44</v>
      </c>
      <c r="K129" s="32" t="n">
        <f aca="false">'Aturan &amp; Tarif'!$B$5</f>
        <v>2050</v>
      </c>
      <c r="L129" s="32" t="n">
        <f aca="false">'Aturan &amp; Tarif'!$B$6</f>
        <v>350</v>
      </c>
      <c r="M129" s="35" t="n">
        <f aca="false">I129+J129+K129+L129</f>
        <v>24537.44</v>
      </c>
      <c r="N129" s="37" t="s">
        <v>318</v>
      </c>
    </row>
    <row r="130" customFormat="false" ht="25.5" hidden="false" customHeight="true" outlineLevel="0" collapsed="false">
      <c r="A130" s="29"/>
      <c r="B130" s="30" t="s">
        <v>355</v>
      </c>
      <c r="C130" s="31" t="s">
        <v>127</v>
      </c>
      <c r="D130" s="31" t="s">
        <v>108</v>
      </c>
      <c r="E130" s="32" t="n">
        <v>8906</v>
      </c>
      <c r="F130" s="32"/>
      <c r="G130" s="32"/>
      <c r="H130" s="33" t="n">
        <v>2</v>
      </c>
      <c r="I130" s="34" t="n">
        <f aca="false">E130*H130+N(F130)+N(G130)</f>
        <v>17812</v>
      </c>
      <c r="J130" s="32" t="n">
        <f aca="false">ROUND(IFERROR(ROUND(IF(OR(ISNUMBER(SEARCH("week",C130)),ISNUMBER(SEARCH("minggu",C130))),IFERROR(_xlfn.NUMBERVALUE(SUBSTITUTE(LEFT(TRIM(C130),FIND(" ",TRIM(C130)&amp;" ")-1),",","."),"."),LEFT(SUBSTITUTE(LEFT(TRIM(C130),FIND(" ",TRIM(C130)&amp;" ")-1),",","."),FIND("/",SUBSTITUTE(LEFT(TRIM(C130),FIND(" ",TRIM(C130)&amp;" ")-1),",","."))-1)/MID(SUBSTITUTE(LEFT(TRIM(C130),FIND(" ",TRIM(C130)&amp;" ")-1),",","."),FIND("/",SUBSTITUTE(LEFT(TRIM(C130),FIND(" ",TRIM(C130)&amp;" ")-1),",","."))+1,9))*12/52,IF(ISNUMBER(SEARCH("month",C130)),IFERROR(_xlfn.NUMBERVALUE(SUBSTITUTE(LEFT(TRIM(C130),FIND(" ",TRIM(C130)&amp;" ")-1),",","."),"."),LEFT(SUBSTITUTE(LEFT(TRIM(C130),FIND(" ",TRIM(C130)&amp;" ")-1),",","."),FIND("/",SUBSTITUTE(LEFT(TRIM(C130),FIND(" ",TRIM(C130)&amp;" ")-1),",","."))-1)/MID(SUBSTITUTE(LEFT(TRIM(C130),FIND(" ",TRIM(C130)&amp;" ")-1),",","."),FIND("/",SUBSTITUTE(LEFT(TRIM(C130),FIND(" ",TRIM(C130)&amp;" ")-1),",","."))+1,9)),IF(ISNUMBER(SEARCH("yea",C130)),IFERROR(_xlfn.NUMBERVALUE(SUBSTITUTE(LEFT(TRIM(C130),FIND(" ",TRIM(C130)&amp;" ")-1),",","."),"."),LEFT(SUBSTITUTE(LEFT(TRIM(C130),FIND(" ",TRIM(C130)&amp;" ")-1),",","."),FIND("/",SUBSTITUTE(LEFT(TRIM(C130),FIND(" ",TRIM(C130)&amp;" ")-1),",","."))-1)/MID(SUBSTITUTE(LEFT(TRIM(C130),FIND(" ",TRIM(C130)&amp;" ")-1),",","."),FIND("/",SUBSTITUTE(LEFT(TRIM(C130),FIND(" ",TRIM(C130)&amp;" ")-1),",","."))+1,9))*12,NA()))),0),36)*'Aturan &amp; Tarif'!$B$4,2)</f>
        <v>2044.08</v>
      </c>
      <c r="K130" s="32" t="n">
        <f aca="false">'Aturan &amp; Tarif'!$B$5</f>
        <v>2050</v>
      </c>
      <c r="L130" s="32" t="n">
        <f aca="false">'Aturan &amp; Tarif'!$B$6</f>
        <v>350</v>
      </c>
      <c r="M130" s="35" t="n">
        <f aca="false">I130+J130+K130+L130</f>
        <v>22256.08</v>
      </c>
      <c r="N130" s="37" t="s">
        <v>318</v>
      </c>
    </row>
    <row r="131" customFormat="false" ht="14.25" hidden="false" customHeight="true" outlineLevel="0" collapsed="false">
      <c r="A131" s="29"/>
      <c r="B131" s="30" t="s">
        <v>356</v>
      </c>
      <c r="C131" s="31" t="s">
        <v>191</v>
      </c>
      <c r="D131" s="31" t="s">
        <v>108</v>
      </c>
      <c r="E131" s="32" t="n">
        <v>8906</v>
      </c>
      <c r="F131" s="32"/>
      <c r="G131" s="32"/>
      <c r="H131" s="33" t="n">
        <v>2</v>
      </c>
      <c r="I131" s="34" t="n">
        <f aca="false">E131*H131+N(F131)+N(G131)</f>
        <v>17812</v>
      </c>
      <c r="J131" s="32" t="n">
        <f aca="false">ROUND(IFERROR(ROUND(IF(OR(ISNUMBER(SEARCH("week",C131)),ISNUMBER(SEARCH("minggu",C131))),IFERROR(_xlfn.NUMBERVALUE(SUBSTITUTE(LEFT(TRIM(C131),FIND(" ",TRIM(C131)&amp;" ")-1),",","."),"."),LEFT(SUBSTITUTE(LEFT(TRIM(C131),FIND(" ",TRIM(C131)&amp;" ")-1),",","."),FIND("/",SUBSTITUTE(LEFT(TRIM(C131),FIND(" ",TRIM(C131)&amp;" ")-1),",","."))-1)/MID(SUBSTITUTE(LEFT(TRIM(C131),FIND(" ",TRIM(C131)&amp;" ")-1),",","."),FIND("/",SUBSTITUTE(LEFT(TRIM(C131),FIND(" ",TRIM(C131)&amp;" ")-1),",","."))+1,9))*12/52,IF(ISNUMBER(SEARCH("month",C131)),IFERROR(_xlfn.NUMBERVALUE(SUBSTITUTE(LEFT(TRIM(C131),FIND(" ",TRIM(C131)&amp;" ")-1),",","."),"."),LEFT(SUBSTITUTE(LEFT(TRIM(C131),FIND(" ",TRIM(C131)&amp;" ")-1),",","."),FIND("/",SUBSTITUTE(LEFT(TRIM(C131),FIND(" ",TRIM(C131)&amp;" ")-1),",","."))-1)/MID(SUBSTITUTE(LEFT(TRIM(C131),FIND(" ",TRIM(C131)&amp;" ")-1),",","."),FIND("/",SUBSTITUTE(LEFT(TRIM(C131),FIND(" ",TRIM(C131)&amp;" ")-1),",","."))+1,9)),IF(ISNUMBER(SEARCH("yea",C131)),IFERROR(_xlfn.NUMBERVALUE(SUBSTITUTE(LEFT(TRIM(C131),FIND(" ",TRIM(C131)&amp;" ")-1),",","."),"."),LEFT(SUBSTITUTE(LEFT(TRIM(C131),FIND(" ",TRIM(C131)&amp;" ")-1),",","."),FIND("/",SUBSTITUTE(LEFT(TRIM(C131),FIND(" ",TRIM(C131)&amp;" ")-1),",","."))-1)/MID(SUBSTITUTE(LEFT(TRIM(C131),FIND(" ",TRIM(C131)&amp;" ")-1),",","."),FIND("/",SUBSTITUTE(LEFT(TRIM(C131),FIND(" ",TRIM(C131)&amp;" ")-1),",","."))+1,9))*12,NA()))),0),48)*'Aturan &amp; Tarif'!$B$4,2)</f>
        <v>2725.44</v>
      </c>
      <c r="K131" s="32" t="n">
        <f aca="false">'Aturan &amp; Tarif'!$B$5</f>
        <v>2050</v>
      </c>
      <c r="L131" s="32" t="n">
        <f aca="false">'Aturan &amp; Tarif'!$B$6</f>
        <v>350</v>
      </c>
      <c r="M131" s="35" t="n">
        <f aca="false">I131+J131+K131+L131</f>
        <v>22937.44</v>
      </c>
      <c r="N131" s="37" t="s">
        <v>318</v>
      </c>
    </row>
    <row r="132" customFormat="false" ht="25.5" hidden="false" customHeight="true" outlineLevel="0" collapsed="false">
      <c r="A132" s="29"/>
      <c r="B132" s="30" t="s">
        <v>357</v>
      </c>
      <c r="C132" s="31" t="s">
        <v>191</v>
      </c>
      <c r="D132" s="31" t="s">
        <v>108</v>
      </c>
      <c r="E132" s="32" t="n">
        <v>8906</v>
      </c>
      <c r="F132" s="32"/>
      <c r="G132" s="32"/>
      <c r="H132" s="33" t="n">
        <v>2</v>
      </c>
      <c r="I132" s="34" t="n">
        <f aca="false">E132*H132+N(F132)+N(G132)</f>
        <v>17812</v>
      </c>
      <c r="J132" s="32" t="n">
        <f aca="false">ROUND(IFERROR(ROUND(IF(OR(ISNUMBER(SEARCH("week",C132)),ISNUMBER(SEARCH("minggu",C132))),IFERROR(_xlfn.NUMBERVALUE(SUBSTITUTE(LEFT(TRIM(C132),FIND(" ",TRIM(C132)&amp;" ")-1),",","."),"."),LEFT(SUBSTITUTE(LEFT(TRIM(C132),FIND(" ",TRIM(C132)&amp;" ")-1),",","."),FIND("/",SUBSTITUTE(LEFT(TRIM(C132),FIND(" ",TRIM(C132)&amp;" ")-1),",","."))-1)/MID(SUBSTITUTE(LEFT(TRIM(C132),FIND(" ",TRIM(C132)&amp;" ")-1),",","."),FIND("/",SUBSTITUTE(LEFT(TRIM(C132),FIND(" ",TRIM(C132)&amp;" ")-1),",","."))+1,9))*12/52,IF(ISNUMBER(SEARCH("month",C132)),IFERROR(_xlfn.NUMBERVALUE(SUBSTITUTE(LEFT(TRIM(C132),FIND(" ",TRIM(C132)&amp;" ")-1),",","."),"."),LEFT(SUBSTITUTE(LEFT(TRIM(C132),FIND(" ",TRIM(C132)&amp;" ")-1),",","."),FIND("/",SUBSTITUTE(LEFT(TRIM(C132),FIND(" ",TRIM(C132)&amp;" ")-1),",","."))-1)/MID(SUBSTITUTE(LEFT(TRIM(C132),FIND(" ",TRIM(C132)&amp;" ")-1),",","."),FIND("/",SUBSTITUTE(LEFT(TRIM(C132),FIND(" ",TRIM(C132)&amp;" ")-1),",","."))+1,9)),IF(ISNUMBER(SEARCH("yea",C132)),IFERROR(_xlfn.NUMBERVALUE(SUBSTITUTE(LEFT(TRIM(C132),FIND(" ",TRIM(C132)&amp;" ")-1),",","."),"."),LEFT(SUBSTITUTE(LEFT(TRIM(C132),FIND(" ",TRIM(C132)&amp;" ")-1),",","."),FIND("/",SUBSTITUTE(LEFT(TRIM(C132),FIND(" ",TRIM(C132)&amp;" ")-1),",","."))-1)/MID(SUBSTITUTE(LEFT(TRIM(C132),FIND(" ",TRIM(C132)&amp;" ")-1),",","."),FIND("/",SUBSTITUTE(LEFT(TRIM(C132),FIND(" ",TRIM(C132)&amp;" ")-1),",","."))+1,9))*12,NA()))),0),48)*'Aturan &amp; Tarif'!$B$4,2)</f>
        <v>2725.44</v>
      </c>
      <c r="K132" s="32" t="n">
        <f aca="false">'Aturan &amp; Tarif'!$B$5</f>
        <v>2050</v>
      </c>
      <c r="L132" s="32" t="n">
        <f aca="false">'Aturan &amp; Tarif'!$B$6</f>
        <v>350</v>
      </c>
      <c r="M132" s="35" t="n">
        <f aca="false">I132+J132+K132+L132</f>
        <v>22937.44</v>
      </c>
      <c r="N132" s="37" t="s">
        <v>318</v>
      </c>
    </row>
    <row r="133" customFormat="false" ht="14.25" hidden="false" customHeight="true" outlineLevel="0" collapsed="false">
      <c r="A133" s="29"/>
      <c r="B133" s="30" t="s">
        <v>358</v>
      </c>
      <c r="C133" s="31" t="s">
        <v>191</v>
      </c>
      <c r="D133" s="31" t="s">
        <v>108</v>
      </c>
      <c r="E133" s="32" t="n">
        <v>8906</v>
      </c>
      <c r="F133" s="32"/>
      <c r="G133" s="32"/>
      <c r="H133" s="33" t="n">
        <v>2</v>
      </c>
      <c r="I133" s="34" t="n">
        <f aca="false">E133*H133+N(F133)+N(G133)</f>
        <v>17812</v>
      </c>
      <c r="J133" s="32" t="n">
        <f aca="false">ROUND(IFERROR(ROUND(IF(OR(ISNUMBER(SEARCH("week",C133)),ISNUMBER(SEARCH("minggu",C133))),IFERROR(_xlfn.NUMBERVALUE(SUBSTITUTE(LEFT(TRIM(C133),FIND(" ",TRIM(C133)&amp;" ")-1),",","."),"."),LEFT(SUBSTITUTE(LEFT(TRIM(C133),FIND(" ",TRIM(C133)&amp;" ")-1),",","."),FIND("/",SUBSTITUTE(LEFT(TRIM(C133),FIND(" ",TRIM(C133)&amp;" ")-1),",","."))-1)/MID(SUBSTITUTE(LEFT(TRIM(C133),FIND(" ",TRIM(C133)&amp;" ")-1),",","."),FIND("/",SUBSTITUTE(LEFT(TRIM(C133),FIND(" ",TRIM(C133)&amp;" ")-1),",","."))+1,9))*12/52,IF(ISNUMBER(SEARCH("month",C133)),IFERROR(_xlfn.NUMBERVALUE(SUBSTITUTE(LEFT(TRIM(C133),FIND(" ",TRIM(C133)&amp;" ")-1),",","."),"."),LEFT(SUBSTITUTE(LEFT(TRIM(C133),FIND(" ",TRIM(C133)&amp;" ")-1),",","."),FIND("/",SUBSTITUTE(LEFT(TRIM(C133),FIND(" ",TRIM(C133)&amp;" ")-1),",","."))-1)/MID(SUBSTITUTE(LEFT(TRIM(C133),FIND(" ",TRIM(C133)&amp;" ")-1),",","."),FIND("/",SUBSTITUTE(LEFT(TRIM(C133),FIND(" ",TRIM(C133)&amp;" ")-1),",","."))+1,9)),IF(ISNUMBER(SEARCH("yea",C133)),IFERROR(_xlfn.NUMBERVALUE(SUBSTITUTE(LEFT(TRIM(C133),FIND(" ",TRIM(C133)&amp;" ")-1),",","."),"."),LEFT(SUBSTITUTE(LEFT(TRIM(C133),FIND(" ",TRIM(C133)&amp;" ")-1),",","."),FIND("/",SUBSTITUTE(LEFT(TRIM(C133),FIND(" ",TRIM(C133)&amp;" ")-1),",","."))-1)/MID(SUBSTITUTE(LEFT(TRIM(C133),FIND(" ",TRIM(C133)&amp;" ")-1),",","."),FIND("/",SUBSTITUTE(LEFT(TRIM(C133),FIND(" ",TRIM(C133)&amp;" ")-1),",","."))+1,9))*12,NA()))),0),48)*'Aturan &amp; Tarif'!$B$4,2)</f>
        <v>2725.44</v>
      </c>
      <c r="K133" s="32" t="n">
        <f aca="false">'Aturan &amp; Tarif'!$B$5</f>
        <v>2050</v>
      </c>
      <c r="L133" s="32" t="n">
        <f aca="false">'Aturan &amp; Tarif'!$B$6</f>
        <v>350</v>
      </c>
      <c r="M133" s="35" t="n">
        <f aca="false">I133+J133+K133+L133</f>
        <v>22937.44</v>
      </c>
      <c r="N133" s="37" t="s">
        <v>318</v>
      </c>
    </row>
    <row r="134" customFormat="false" ht="25.5" hidden="false" customHeight="true" outlineLevel="0" collapsed="false">
      <c r="A134" s="29"/>
      <c r="B134" s="30" t="s">
        <v>237</v>
      </c>
      <c r="C134" s="31" t="s">
        <v>191</v>
      </c>
      <c r="D134" s="31" t="s">
        <v>108</v>
      </c>
      <c r="E134" s="32" t="n">
        <v>8906</v>
      </c>
      <c r="F134" s="32"/>
      <c r="G134" s="32"/>
      <c r="H134" s="33" t="n">
        <v>2</v>
      </c>
      <c r="I134" s="34" t="n">
        <f aca="false">E134*H134+N(F134)+N(G134)</f>
        <v>17812</v>
      </c>
      <c r="J134" s="32" t="n">
        <f aca="false">ROUND(IFERROR(ROUND(IF(OR(ISNUMBER(SEARCH("week",C134)),ISNUMBER(SEARCH("minggu",C134))),IFERROR(_xlfn.NUMBERVALUE(SUBSTITUTE(LEFT(TRIM(C134),FIND(" ",TRIM(C134)&amp;" ")-1),",","."),"."),LEFT(SUBSTITUTE(LEFT(TRIM(C134),FIND(" ",TRIM(C134)&amp;" ")-1),",","."),FIND("/",SUBSTITUTE(LEFT(TRIM(C134),FIND(" ",TRIM(C134)&amp;" ")-1),",","."))-1)/MID(SUBSTITUTE(LEFT(TRIM(C134),FIND(" ",TRIM(C134)&amp;" ")-1),",","."),FIND("/",SUBSTITUTE(LEFT(TRIM(C134),FIND(" ",TRIM(C134)&amp;" ")-1),",","."))+1,9))*12/52,IF(ISNUMBER(SEARCH("month",C134)),IFERROR(_xlfn.NUMBERVALUE(SUBSTITUTE(LEFT(TRIM(C134),FIND(" ",TRIM(C134)&amp;" ")-1),",","."),"."),LEFT(SUBSTITUTE(LEFT(TRIM(C134),FIND(" ",TRIM(C134)&amp;" ")-1),",","."),FIND("/",SUBSTITUTE(LEFT(TRIM(C134),FIND(" ",TRIM(C134)&amp;" ")-1),",","."))-1)/MID(SUBSTITUTE(LEFT(TRIM(C134),FIND(" ",TRIM(C134)&amp;" ")-1),",","."),FIND("/",SUBSTITUTE(LEFT(TRIM(C134),FIND(" ",TRIM(C134)&amp;" ")-1),",","."))+1,9)),IF(ISNUMBER(SEARCH("yea",C134)),IFERROR(_xlfn.NUMBERVALUE(SUBSTITUTE(LEFT(TRIM(C134),FIND(" ",TRIM(C134)&amp;" ")-1),",","."),"."),LEFT(SUBSTITUTE(LEFT(TRIM(C134),FIND(" ",TRIM(C134)&amp;" ")-1),",","."),FIND("/",SUBSTITUTE(LEFT(TRIM(C134),FIND(" ",TRIM(C134)&amp;" ")-1),",","."))-1)/MID(SUBSTITUTE(LEFT(TRIM(C134),FIND(" ",TRIM(C134)&amp;" ")-1),",","."),FIND("/",SUBSTITUTE(LEFT(TRIM(C134),FIND(" ",TRIM(C134)&amp;" ")-1),",","."))+1,9))*12,NA()))),0),48)*'Aturan &amp; Tarif'!$B$4,2)</f>
        <v>2725.44</v>
      </c>
      <c r="K134" s="32" t="n">
        <f aca="false">'Aturan &amp; Tarif'!$B$5</f>
        <v>2050</v>
      </c>
      <c r="L134" s="32" t="n">
        <f aca="false">'Aturan &amp; Tarif'!$B$6</f>
        <v>350</v>
      </c>
      <c r="M134" s="35" t="n">
        <f aca="false">I134+J134+K134+L134</f>
        <v>22937.44</v>
      </c>
      <c r="N134" s="37" t="s">
        <v>318</v>
      </c>
    </row>
    <row r="135" customFormat="false" ht="14.25" hidden="false" customHeight="true" outlineLevel="0" collapsed="false">
      <c r="A135" s="29"/>
      <c r="B135" s="30" t="s">
        <v>359</v>
      </c>
      <c r="C135" s="31" t="s">
        <v>191</v>
      </c>
      <c r="D135" s="31" t="s">
        <v>108</v>
      </c>
      <c r="E135" s="32" t="n">
        <v>8906</v>
      </c>
      <c r="F135" s="32"/>
      <c r="G135" s="32"/>
      <c r="H135" s="33" t="n">
        <v>2</v>
      </c>
      <c r="I135" s="34" t="n">
        <f aca="false">E135*H135+N(F135)+N(G135)</f>
        <v>17812</v>
      </c>
      <c r="J135" s="32" t="n">
        <f aca="false">ROUND(IFERROR(ROUND(IF(OR(ISNUMBER(SEARCH("week",C135)),ISNUMBER(SEARCH("minggu",C135))),IFERROR(_xlfn.NUMBERVALUE(SUBSTITUTE(LEFT(TRIM(C135),FIND(" ",TRIM(C135)&amp;" ")-1),",","."),"."),LEFT(SUBSTITUTE(LEFT(TRIM(C135),FIND(" ",TRIM(C135)&amp;" ")-1),",","."),FIND("/",SUBSTITUTE(LEFT(TRIM(C135),FIND(" ",TRIM(C135)&amp;" ")-1),",","."))-1)/MID(SUBSTITUTE(LEFT(TRIM(C135),FIND(" ",TRIM(C135)&amp;" ")-1),",","."),FIND("/",SUBSTITUTE(LEFT(TRIM(C135),FIND(" ",TRIM(C135)&amp;" ")-1),",","."))+1,9))*12/52,IF(ISNUMBER(SEARCH("month",C135)),IFERROR(_xlfn.NUMBERVALUE(SUBSTITUTE(LEFT(TRIM(C135),FIND(" ",TRIM(C135)&amp;" ")-1),",","."),"."),LEFT(SUBSTITUTE(LEFT(TRIM(C135),FIND(" ",TRIM(C135)&amp;" ")-1),",","."),FIND("/",SUBSTITUTE(LEFT(TRIM(C135),FIND(" ",TRIM(C135)&amp;" ")-1),",","."))-1)/MID(SUBSTITUTE(LEFT(TRIM(C135),FIND(" ",TRIM(C135)&amp;" ")-1),",","."),FIND("/",SUBSTITUTE(LEFT(TRIM(C135),FIND(" ",TRIM(C135)&amp;" ")-1),",","."))+1,9)),IF(ISNUMBER(SEARCH("yea",C135)),IFERROR(_xlfn.NUMBERVALUE(SUBSTITUTE(LEFT(TRIM(C135),FIND(" ",TRIM(C135)&amp;" ")-1),",","."),"."),LEFT(SUBSTITUTE(LEFT(TRIM(C135),FIND(" ",TRIM(C135)&amp;" ")-1),",","."),FIND("/",SUBSTITUTE(LEFT(TRIM(C135),FIND(" ",TRIM(C135)&amp;" ")-1),",","."))-1)/MID(SUBSTITUTE(LEFT(TRIM(C135),FIND(" ",TRIM(C135)&amp;" ")-1),",","."),FIND("/",SUBSTITUTE(LEFT(TRIM(C135),FIND(" ",TRIM(C135)&amp;" ")-1),",","."))+1,9))*12,NA()))),0),48)*'Aturan &amp; Tarif'!$B$4,2)</f>
        <v>2725.44</v>
      </c>
      <c r="K135" s="32" t="n">
        <f aca="false">'Aturan &amp; Tarif'!$B$5</f>
        <v>2050</v>
      </c>
      <c r="L135" s="32" t="n">
        <f aca="false">'Aturan &amp; Tarif'!$B$6</f>
        <v>350</v>
      </c>
      <c r="M135" s="35" t="n">
        <f aca="false">I135+J135+K135+L135</f>
        <v>22937.44</v>
      </c>
      <c r="N135" s="37" t="s">
        <v>318</v>
      </c>
    </row>
    <row r="136" customFormat="false" ht="25.5" hidden="false" customHeight="true" outlineLevel="0" collapsed="false">
      <c r="A136" s="29"/>
      <c r="B136" s="30" t="s">
        <v>360</v>
      </c>
      <c r="C136" s="31" t="s">
        <v>191</v>
      </c>
      <c r="D136" s="31" t="s">
        <v>108</v>
      </c>
      <c r="E136" s="32" t="n">
        <v>8906</v>
      </c>
      <c r="F136" s="32"/>
      <c r="G136" s="32"/>
      <c r="H136" s="33" t="n">
        <v>2</v>
      </c>
      <c r="I136" s="34" t="n">
        <f aca="false">E136*H136+N(F136)+N(G136)</f>
        <v>17812</v>
      </c>
      <c r="J136" s="32" t="n">
        <f aca="false">ROUND(IFERROR(ROUND(IF(OR(ISNUMBER(SEARCH("week",C136)),ISNUMBER(SEARCH("minggu",C136))),IFERROR(_xlfn.NUMBERVALUE(SUBSTITUTE(LEFT(TRIM(C136),FIND(" ",TRIM(C136)&amp;" ")-1),",","."),"."),LEFT(SUBSTITUTE(LEFT(TRIM(C136),FIND(" ",TRIM(C136)&amp;" ")-1),",","."),FIND("/",SUBSTITUTE(LEFT(TRIM(C136),FIND(" ",TRIM(C136)&amp;" ")-1),",","."))-1)/MID(SUBSTITUTE(LEFT(TRIM(C136),FIND(" ",TRIM(C136)&amp;" ")-1),",","."),FIND("/",SUBSTITUTE(LEFT(TRIM(C136),FIND(" ",TRIM(C136)&amp;" ")-1),",","."))+1,9))*12/52,IF(ISNUMBER(SEARCH("month",C136)),IFERROR(_xlfn.NUMBERVALUE(SUBSTITUTE(LEFT(TRIM(C136),FIND(" ",TRIM(C136)&amp;" ")-1),",","."),"."),LEFT(SUBSTITUTE(LEFT(TRIM(C136),FIND(" ",TRIM(C136)&amp;" ")-1),",","."),FIND("/",SUBSTITUTE(LEFT(TRIM(C136),FIND(" ",TRIM(C136)&amp;" ")-1),",","."))-1)/MID(SUBSTITUTE(LEFT(TRIM(C136),FIND(" ",TRIM(C136)&amp;" ")-1),",","."),FIND("/",SUBSTITUTE(LEFT(TRIM(C136),FIND(" ",TRIM(C136)&amp;" ")-1),",","."))+1,9)),IF(ISNUMBER(SEARCH("yea",C136)),IFERROR(_xlfn.NUMBERVALUE(SUBSTITUTE(LEFT(TRIM(C136),FIND(" ",TRIM(C136)&amp;" ")-1),",","."),"."),LEFT(SUBSTITUTE(LEFT(TRIM(C136),FIND(" ",TRIM(C136)&amp;" ")-1),",","."),FIND("/",SUBSTITUTE(LEFT(TRIM(C136),FIND(" ",TRIM(C136)&amp;" ")-1),",","."))-1)/MID(SUBSTITUTE(LEFT(TRIM(C136),FIND(" ",TRIM(C136)&amp;" ")-1),",","."),FIND("/",SUBSTITUTE(LEFT(TRIM(C136),FIND(" ",TRIM(C136)&amp;" ")-1),",","."))+1,9))*12,NA()))),0),48)*'Aturan &amp; Tarif'!$B$4,2)</f>
        <v>2725.44</v>
      </c>
      <c r="K136" s="32" t="n">
        <f aca="false">'Aturan &amp; Tarif'!$B$5</f>
        <v>2050</v>
      </c>
      <c r="L136" s="32" t="n">
        <f aca="false">'Aturan &amp; Tarif'!$B$6</f>
        <v>350</v>
      </c>
      <c r="M136" s="35" t="n">
        <f aca="false">I136+J136+K136+L136</f>
        <v>22937.44</v>
      </c>
      <c r="N136" s="37" t="s">
        <v>318</v>
      </c>
    </row>
    <row r="137" customFormat="false" ht="37.5" hidden="false" customHeight="true" outlineLevel="0" collapsed="false">
      <c r="A137" s="29"/>
      <c r="B137" s="30" t="s">
        <v>361</v>
      </c>
      <c r="C137" s="31" t="s">
        <v>191</v>
      </c>
      <c r="D137" s="31" t="s">
        <v>108</v>
      </c>
      <c r="E137" s="32" t="n">
        <v>8906</v>
      </c>
      <c r="F137" s="32"/>
      <c r="G137" s="32"/>
      <c r="H137" s="33" t="n">
        <v>2</v>
      </c>
      <c r="I137" s="34" t="n">
        <f aca="false">E137*H137+N(F137)+N(G137)</f>
        <v>17812</v>
      </c>
      <c r="J137" s="32" t="n">
        <f aca="false">ROUND(IFERROR(ROUND(IF(OR(ISNUMBER(SEARCH("week",C137)),ISNUMBER(SEARCH("minggu",C137))),IFERROR(_xlfn.NUMBERVALUE(SUBSTITUTE(LEFT(TRIM(C137),FIND(" ",TRIM(C137)&amp;" ")-1),",","."),"."),LEFT(SUBSTITUTE(LEFT(TRIM(C137),FIND(" ",TRIM(C137)&amp;" ")-1),",","."),FIND("/",SUBSTITUTE(LEFT(TRIM(C137),FIND(" ",TRIM(C137)&amp;" ")-1),",","."))-1)/MID(SUBSTITUTE(LEFT(TRIM(C137),FIND(" ",TRIM(C137)&amp;" ")-1),",","."),FIND("/",SUBSTITUTE(LEFT(TRIM(C137),FIND(" ",TRIM(C137)&amp;" ")-1),",","."))+1,9))*12/52,IF(ISNUMBER(SEARCH("month",C137)),IFERROR(_xlfn.NUMBERVALUE(SUBSTITUTE(LEFT(TRIM(C137),FIND(" ",TRIM(C137)&amp;" ")-1),",","."),"."),LEFT(SUBSTITUTE(LEFT(TRIM(C137),FIND(" ",TRIM(C137)&amp;" ")-1),",","."),FIND("/",SUBSTITUTE(LEFT(TRIM(C137),FIND(" ",TRIM(C137)&amp;" ")-1),",","."))-1)/MID(SUBSTITUTE(LEFT(TRIM(C137),FIND(" ",TRIM(C137)&amp;" ")-1),",","."),FIND("/",SUBSTITUTE(LEFT(TRIM(C137),FIND(" ",TRIM(C137)&amp;" ")-1),",","."))+1,9)),IF(ISNUMBER(SEARCH("yea",C137)),IFERROR(_xlfn.NUMBERVALUE(SUBSTITUTE(LEFT(TRIM(C137),FIND(" ",TRIM(C137)&amp;" ")-1),",","."),"."),LEFT(SUBSTITUTE(LEFT(TRIM(C137),FIND(" ",TRIM(C137)&amp;" ")-1),",","."),FIND("/",SUBSTITUTE(LEFT(TRIM(C137),FIND(" ",TRIM(C137)&amp;" ")-1),",","."))-1)/MID(SUBSTITUTE(LEFT(TRIM(C137),FIND(" ",TRIM(C137)&amp;" ")-1),",","."),FIND("/",SUBSTITUTE(LEFT(TRIM(C137),FIND(" ",TRIM(C137)&amp;" ")-1),",","."))+1,9))*12,NA()))),0),48)*'Aturan &amp; Tarif'!$B$4,2)</f>
        <v>2725.44</v>
      </c>
      <c r="K137" s="32" t="n">
        <f aca="false">'Aturan &amp; Tarif'!$B$5</f>
        <v>2050</v>
      </c>
      <c r="L137" s="32" t="n">
        <f aca="false">'Aturan &amp; Tarif'!$B$6</f>
        <v>350</v>
      </c>
      <c r="M137" s="35" t="n">
        <f aca="false">I137+J137+K137+L137</f>
        <v>22937.44</v>
      </c>
      <c r="N137" s="37" t="s">
        <v>318</v>
      </c>
    </row>
    <row r="138" customFormat="false" ht="25.5" hidden="false" customHeight="true" outlineLevel="0" collapsed="false">
      <c r="A138" s="29"/>
      <c r="B138" s="30" t="s">
        <v>362</v>
      </c>
      <c r="C138" s="31" t="s">
        <v>191</v>
      </c>
      <c r="D138" s="31" t="s">
        <v>108</v>
      </c>
      <c r="E138" s="32" t="n">
        <v>8906</v>
      </c>
      <c r="F138" s="32"/>
      <c r="G138" s="32"/>
      <c r="H138" s="33" t="n">
        <v>2</v>
      </c>
      <c r="I138" s="34" t="n">
        <f aca="false">E138*H138+N(F138)+N(G138)</f>
        <v>17812</v>
      </c>
      <c r="J138" s="32" t="n">
        <f aca="false">ROUND(IFERROR(ROUND(IF(OR(ISNUMBER(SEARCH("week",C138)),ISNUMBER(SEARCH("minggu",C138))),IFERROR(_xlfn.NUMBERVALUE(SUBSTITUTE(LEFT(TRIM(C138),FIND(" ",TRIM(C138)&amp;" ")-1),",","."),"."),LEFT(SUBSTITUTE(LEFT(TRIM(C138),FIND(" ",TRIM(C138)&amp;" ")-1),",","."),FIND("/",SUBSTITUTE(LEFT(TRIM(C138),FIND(" ",TRIM(C138)&amp;" ")-1),",","."))-1)/MID(SUBSTITUTE(LEFT(TRIM(C138),FIND(" ",TRIM(C138)&amp;" ")-1),",","."),FIND("/",SUBSTITUTE(LEFT(TRIM(C138),FIND(" ",TRIM(C138)&amp;" ")-1),",","."))+1,9))*12/52,IF(ISNUMBER(SEARCH("month",C138)),IFERROR(_xlfn.NUMBERVALUE(SUBSTITUTE(LEFT(TRIM(C138),FIND(" ",TRIM(C138)&amp;" ")-1),",","."),"."),LEFT(SUBSTITUTE(LEFT(TRIM(C138),FIND(" ",TRIM(C138)&amp;" ")-1),",","."),FIND("/",SUBSTITUTE(LEFT(TRIM(C138),FIND(" ",TRIM(C138)&amp;" ")-1),",","."))-1)/MID(SUBSTITUTE(LEFT(TRIM(C138),FIND(" ",TRIM(C138)&amp;" ")-1),",","."),FIND("/",SUBSTITUTE(LEFT(TRIM(C138),FIND(" ",TRIM(C138)&amp;" ")-1),",","."))+1,9)),IF(ISNUMBER(SEARCH("yea",C138)),IFERROR(_xlfn.NUMBERVALUE(SUBSTITUTE(LEFT(TRIM(C138),FIND(" ",TRIM(C138)&amp;" ")-1),",","."),"."),LEFT(SUBSTITUTE(LEFT(TRIM(C138),FIND(" ",TRIM(C138)&amp;" ")-1),",","."),FIND("/",SUBSTITUTE(LEFT(TRIM(C138),FIND(" ",TRIM(C138)&amp;" ")-1),",","."))-1)/MID(SUBSTITUTE(LEFT(TRIM(C138),FIND(" ",TRIM(C138)&amp;" ")-1),",","."),FIND("/",SUBSTITUTE(LEFT(TRIM(C138),FIND(" ",TRIM(C138)&amp;" ")-1),",","."))+1,9))*12,NA()))),0),48)*'Aturan &amp; Tarif'!$B$4,2)</f>
        <v>2725.44</v>
      </c>
      <c r="K138" s="32" t="n">
        <f aca="false">'Aturan &amp; Tarif'!$B$5</f>
        <v>2050</v>
      </c>
      <c r="L138" s="32" t="n">
        <f aca="false">'Aturan &amp; Tarif'!$B$6</f>
        <v>350</v>
      </c>
      <c r="M138" s="35" t="n">
        <f aca="false">I138+J138+K138+L138</f>
        <v>22937.44</v>
      </c>
      <c r="N138" s="37" t="s">
        <v>318</v>
      </c>
    </row>
    <row r="139" customFormat="false" ht="25.5" hidden="false" customHeight="true" outlineLevel="0" collapsed="false">
      <c r="A139" s="29"/>
      <c r="B139" s="30" t="s">
        <v>363</v>
      </c>
      <c r="C139" s="31" t="s">
        <v>191</v>
      </c>
      <c r="D139" s="31" t="s">
        <v>108</v>
      </c>
      <c r="E139" s="32" t="n">
        <v>8906</v>
      </c>
      <c r="F139" s="32"/>
      <c r="G139" s="32"/>
      <c r="H139" s="33" t="n">
        <v>2</v>
      </c>
      <c r="I139" s="34" t="n">
        <f aca="false">E139*H139+N(F139)+N(G139)</f>
        <v>17812</v>
      </c>
      <c r="J139" s="32" t="n">
        <f aca="false">ROUND(IFERROR(ROUND(IF(OR(ISNUMBER(SEARCH("week",C139)),ISNUMBER(SEARCH("minggu",C139))),IFERROR(_xlfn.NUMBERVALUE(SUBSTITUTE(LEFT(TRIM(C139),FIND(" ",TRIM(C139)&amp;" ")-1),",","."),"."),LEFT(SUBSTITUTE(LEFT(TRIM(C139),FIND(" ",TRIM(C139)&amp;" ")-1),",","."),FIND("/",SUBSTITUTE(LEFT(TRIM(C139),FIND(" ",TRIM(C139)&amp;" ")-1),",","."))-1)/MID(SUBSTITUTE(LEFT(TRIM(C139),FIND(" ",TRIM(C139)&amp;" ")-1),",","."),FIND("/",SUBSTITUTE(LEFT(TRIM(C139),FIND(" ",TRIM(C139)&amp;" ")-1),",","."))+1,9))*12/52,IF(ISNUMBER(SEARCH("month",C139)),IFERROR(_xlfn.NUMBERVALUE(SUBSTITUTE(LEFT(TRIM(C139),FIND(" ",TRIM(C139)&amp;" ")-1),",","."),"."),LEFT(SUBSTITUTE(LEFT(TRIM(C139),FIND(" ",TRIM(C139)&amp;" ")-1),",","."),FIND("/",SUBSTITUTE(LEFT(TRIM(C139),FIND(" ",TRIM(C139)&amp;" ")-1),",","."))-1)/MID(SUBSTITUTE(LEFT(TRIM(C139),FIND(" ",TRIM(C139)&amp;" ")-1),",","."),FIND("/",SUBSTITUTE(LEFT(TRIM(C139),FIND(" ",TRIM(C139)&amp;" ")-1),",","."))+1,9)),IF(ISNUMBER(SEARCH("yea",C139)),IFERROR(_xlfn.NUMBERVALUE(SUBSTITUTE(LEFT(TRIM(C139),FIND(" ",TRIM(C139)&amp;" ")-1),",","."),"."),LEFT(SUBSTITUTE(LEFT(TRIM(C139),FIND(" ",TRIM(C139)&amp;" ")-1),",","."),FIND("/",SUBSTITUTE(LEFT(TRIM(C139),FIND(" ",TRIM(C139)&amp;" ")-1),",","."))-1)/MID(SUBSTITUTE(LEFT(TRIM(C139),FIND(" ",TRIM(C139)&amp;" ")-1),",","."),FIND("/",SUBSTITUTE(LEFT(TRIM(C139),FIND(" ",TRIM(C139)&amp;" ")-1),",","."))+1,9))*12,NA()))),0),48)*'Aturan &amp; Tarif'!$B$4,2)</f>
        <v>2725.44</v>
      </c>
      <c r="K139" s="32" t="n">
        <f aca="false">'Aturan &amp; Tarif'!$B$5</f>
        <v>2050</v>
      </c>
      <c r="L139" s="32" t="n">
        <f aca="false">'Aturan &amp; Tarif'!$B$6</f>
        <v>350</v>
      </c>
      <c r="M139" s="35" t="n">
        <f aca="false">I139+J139+K139+L139</f>
        <v>22937.44</v>
      </c>
      <c r="N139" s="37" t="s">
        <v>318</v>
      </c>
    </row>
    <row r="140" customFormat="false" ht="25.5" hidden="false" customHeight="true" outlineLevel="0" collapsed="false">
      <c r="A140" s="29"/>
      <c r="B140" s="30" t="s">
        <v>364</v>
      </c>
      <c r="C140" s="31" t="s">
        <v>191</v>
      </c>
      <c r="D140" s="31" t="s">
        <v>108</v>
      </c>
      <c r="E140" s="32" t="n">
        <v>8906</v>
      </c>
      <c r="F140" s="32"/>
      <c r="G140" s="32"/>
      <c r="H140" s="33" t="n">
        <v>2</v>
      </c>
      <c r="I140" s="34" t="n">
        <f aca="false">E140*H140+N(F140)+N(G140)</f>
        <v>17812</v>
      </c>
      <c r="J140" s="32" t="n">
        <f aca="false">ROUND(IFERROR(ROUND(IF(OR(ISNUMBER(SEARCH("week",C140)),ISNUMBER(SEARCH("minggu",C140))),IFERROR(_xlfn.NUMBERVALUE(SUBSTITUTE(LEFT(TRIM(C140),FIND(" ",TRIM(C140)&amp;" ")-1),",","."),"."),LEFT(SUBSTITUTE(LEFT(TRIM(C140),FIND(" ",TRIM(C140)&amp;" ")-1),",","."),FIND("/",SUBSTITUTE(LEFT(TRIM(C140),FIND(" ",TRIM(C140)&amp;" ")-1),",","."))-1)/MID(SUBSTITUTE(LEFT(TRIM(C140),FIND(" ",TRIM(C140)&amp;" ")-1),",","."),FIND("/",SUBSTITUTE(LEFT(TRIM(C140),FIND(" ",TRIM(C140)&amp;" ")-1),",","."))+1,9))*12/52,IF(ISNUMBER(SEARCH("month",C140)),IFERROR(_xlfn.NUMBERVALUE(SUBSTITUTE(LEFT(TRIM(C140),FIND(" ",TRIM(C140)&amp;" ")-1),",","."),"."),LEFT(SUBSTITUTE(LEFT(TRIM(C140),FIND(" ",TRIM(C140)&amp;" ")-1),",","."),FIND("/",SUBSTITUTE(LEFT(TRIM(C140),FIND(" ",TRIM(C140)&amp;" ")-1),",","."))-1)/MID(SUBSTITUTE(LEFT(TRIM(C140),FIND(" ",TRIM(C140)&amp;" ")-1),",","."),FIND("/",SUBSTITUTE(LEFT(TRIM(C140),FIND(" ",TRIM(C140)&amp;" ")-1),",","."))+1,9)),IF(ISNUMBER(SEARCH("yea",C140)),IFERROR(_xlfn.NUMBERVALUE(SUBSTITUTE(LEFT(TRIM(C140),FIND(" ",TRIM(C140)&amp;" ")-1),",","."),"."),LEFT(SUBSTITUTE(LEFT(TRIM(C140),FIND(" ",TRIM(C140)&amp;" ")-1),",","."),FIND("/",SUBSTITUTE(LEFT(TRIM(C140),FIND(" ",TRIM(C140)&amp;" ")-1),",","."))-1)/MID(SUBSTITUTE(LEFT(TRIM(C140),FIND(" ",TRIM(C140)&amp;" ")-1),",","."),FIND("/",SUBSTITUTE(LEFT(TRIM(C140),FIND(" ",TRIM(C140)&amp;" ")-1),",","."))+1,9))*12,NA()))),0),48)*'Aturan &amp; Tarif'!$B$4,2)</f>
        <v>2725.44</v>
      </c>
      <c r="K140" s="32" t="n">
        <f aca="false">'Aturan &amp; Tarif'!$B$5</f>
        <v>2050</v>
      </c>
      <c r="L140" s="32" t="n">
        <f aca="false">'Aturan &amp; Tarif'!$B$6</f>
        <v>350</v>
      </c>
      <c r="M140" s="35" t="n">
        <f aca="false">I140+J140+K140+L140</f>
        <v>22937.44</v>
      </c>
      <c r="N140" s="37" t="s">
        <v>318</v>
      </c>
    </row>
    <row r="141" customFormat="false" ht="25.5" hidden="false" customHeight="true" outlineLevel="0" collapsed="false">
      <c r="A141" s="29"/>
      <c r="B141" s="30" t="s">
        <v>365</v>
      </c>
      <c r="C141" s="31" t="s">
        <v>191</v>
      </c>
      <c r="D141" s="31" t="s">
        <v>108</v>
      </c>
      <c r="E141" s="32" t="n">
        <v>8906</v>
      </c>
      <c r="F141" s="32"/>
      <c r="G141" s="32"/>
      <c r="H141" s="33" t="n">
        <v>2</v>
      </c>
      <c r="I141" s="34" t="n">
        <f aca="false">E141*H141+N(F141)+N(G141)</f>
        <v>17812</v>
      </c>
      <c r="J141" s="32" t="n">
        <f aca="false">ROUND(IFERROR(ROUND(IF(OR(ISNUMBER(SEARCH("week",C141)),ISNUMBER(SEARCH("minggu",C141))),IFERROR(_xlfn.NUMBERVALUE(SUBSTITUTE(LEFT(TRIM(C141),FIND(" ",TRIM(C141)&amp;" ")-1),",","."),"."),LEFT(SUBSTITUTE(LEFT(TRIM(C141),FIND(" ",TRIM(C141)&amp;" ")-1),",","."),FIND("/",SUBSTITUTE(LEFT(TRIM(C141),FIND(" ",TRIM(C141)&amp;" ")-1),",","."))-1)/MID(SUBSTITUTE(LEFT(TRIM(C141),FIND(" ",TRIM(C141)&amp;" ")-1),",","."),FIND("/",SUBSTITUTE(LEFT(TRIM(C141),FIND(" ",TRIM(C141)&amp;" ")-1),",","."))+1,9))*12/52,IF(ISNUMBER(SEARCH("month",C141)),IFERROR(_xlfn.NUMBERVALUE(SUBSTITUTE(LEFT(TRIM(C141),FIND(" ",TRIM(C141)&amp;" ")-1),",","."),"."),LEFT(SUBSTITUTE(LEFT(TRIM(C141),FIND(" ",TRIM(C141)&amp;" ")-1),",","."),FIND("/",SUBSTITUTE(LEFT(TRIM(C141),FIND(" ",TRIM(C141)&amp;" ")-1),",","."))-1)/MID(SUBSTITUTE(LEFT(TRIM(C141),FIND(" ",TRIM(C141)&amp;" ")-1),",","."),FIND("/",SUBSTITUTE(LEFT(TRIM(C141),FIND(" ",TRIM(C141)&amp;" ")-1),",","."))+1,9)),IF(ISNUMBER(SEARCH("yea",C141)),IFERROR(_xlfn.NUMBERVALUE(SUBSTITUTE(LEFT(TRIM(C141),FIND(" ",TRIM(C141)&amp;" ")-1),",","."),"."),LEFT(SUBSTITUTE(LEFT(TRIM(C141),FIND(" ",TRIM(C141)&amp;" ")-1),",","."),FIND("/",SUBSTITUTE(LEFT(TRIM(C141),FIND(" ",TRIM(C141)&amp;" ")-1),",","."))-1)/MID(SUBSTITUTE(LEFT(TRIM(C141),FIND(" ",TRIM(C141)&amp;" ")-1),",","."),FIND("/",SUBSTITUTE(LEFT(TRIM(C141),FIND(" ",TRIM(C141)&amp;" ")-1),",","."))+1,9))*12,NA()))),0),48)*'Aturan &amp; Tarif'!$B$4,2)</f>
        <v>2725.44</v>
      </c>
      <c r="K141" s="32" t="n">
        <f aca="false">'Aturan &amp; Tarif'!$B$5</f>
        <v>2050</v>
      </c>
      <c r="L141" s="32" t="n">
        <f aca="false">'Aturan &amp; Tarif'!$B$6</f>
        <v>350</v>
      </c>
      <c r="M141" s="35" t="n">
        <f aca="false">I141+J141+K141+L141</f>
        <v>22937.44</v>
      </c>
      <c r="N141" s="37" t="s">
        <v>318</v>
      </c>
    </row>
    <row r="142" customFormat="false" ht="14.25" hidden="false" customHeight="true" outlineLevel="0" collapsed="false">
      <c r="A142" s="29"/>
      <c r="B142" s="30" t="s">
        <v>366</v>
      </c>
      <c r="C142" s="31" t="s">
        <v>191</v>
      </c>
      <c r="D142" s="31" t="s">
        <v>108</v>
      </c>
      <c r="E142" s="32" t="n">
        <v>8906</v>
      </c>
      <c r="F142" s="32"/>
      <c r="G142" s="32"/>
      <c r="H142" s="33" t="n">
        <v>2</v>
      </c>
      <c r="I142" s="34" t="n">
        <f aca="false">E142*H142+N(F142)+N(G142)</f>
        <v>17812</v>
      </c>
      <c r="J142" s="32" t="n">
        <f aca="false">ROUND(IFERROR(ROUND(IF(OR(ISNUMBER(SEARCH("week",C142)),ISNUMBER(SEARCH("minggu",C142))),IFERROR(_xlfn.NUMBERVALUE(SUBSTITUTE(LEFT(TRIM(C142),FIND(" ",TRIM(C142)&amp;" ")-1),",","."),"."),LEFT(SUBSTITUTE(LEFT(TRIM(C142),FIND(" ",TRIM(C142)&amp;" ")-1),",","."),FIND("/",SUBSTITUTE(LEFT(TRIM(C142),FIND(" ",TRIM(C142)&amp;" ")-1),",","."))-1)/MID(SUBSTITUTE(LEFT(TRIM(C142),FIND(" ",TRIM(C142)&amp;" ")-1),",","."),FIND("/",SUBSTITUTE(LEFT(TRIM(C142),FIND(" ",TRIM(C142)&amp;" ")-1),",","."))+1,9))*12/52,IF(ISNUMBER(SEARCH("month",C142)),IFERROR(_xlfn.NUMBERVALUE(SUBSTITUTE(LEFT(TRIM(C142),FIND(" ",TRIM(C142)&amp;" ")-1),",","."),"."),LEFT(SUBSTITUTE(LEFT(TRIM(C142),FIND(" ",TRIM(C142)&amp;" ")-1),",","."),FIND("/",SUBSTITUTE(LEFT(TRIM(C142),FIND(" ",TRIM(C142)&amp;" ")-1),",","."))-1)/MID(SUBSTITUTE(LEFT(TRIM(C142),FIND(" ",TRIM(C142)&amp;" ")-1),",","."),FIND("/",SUBSTITUTE(LEFT(TRIM(C142),FIND(" ",TRIM(C142)&amp;" ")-1),",","."))+1,9)),IF(ISNUMBER(SEARCH("yea",C142)),IFERROR(_xlfn.NUMBERVALUE(SUBSTITUTE(LEFT(TRIM(C142),FIND(" ",TRIM(C142)&amp;" ")-1),",","."),"."),LEFT(SUBSTITUTE(LEFT(TRIM(C142),FIND(" ",TRIM(C142)&amp;" ")-1),",","."),FIND("/",SUBSTITUTE(LEFT(TRIM(C142),FIND(" ",TRIM(C142)&amp;" ")-1),",","."))-1)/MID(SUBSTITUTE(LEFT(TRIM(C142),FIND(" ",TRIM(C142)&amp;" ")-1),",","."),FIND("/",SUBSTITUTE(LEFT(TRIM(C142),FIND(" ",TRIM(C142)&amp;" ")-1),",","."))+1,9))*12,NA()))),0),48)*'Aturan &amp; Tarif'!$B$4,2)</f>
        <v>2725.44</v>
      </c>
      <c r="K142" s="32" t="n">
        <f aca="false">'Aturan &amp; Tarif'!$B$5</f>
        <v>2050</v>
      </c>
      <c r="L142" s="32" t="n">
        <f aca="false">'Aturan &amp; Tarif'!$B$6</f>
        <v>350</v>
      </c>
      <c r="M142" s="35" t="n">
        <f aca="false">I142+J142+K142+L142</f>
        <v>22937.44</v>
      </c>
      <c r="N142" s="37" t="s">
        <v>318</v>
      </c>
    </row>
    <row r="143" customFormat="false" ht="25.5" hidden="false" customHeight="true" outlineLevel="0" collapsed="false">
      <c r="A143" s="29"/>
      <c r="B143" s="30" t="s">
        <v>367</v>
      </c>
      <c r="C143" s="31" t="s">
        <v>127</v>
      </c>
      <c r="D143" s="31" t="s">
        <v>108</v>
      </c>
      <c r="E143" s="32" t="n">
        <v>8906</v>
      </c>
      <c r="F143" s="32"/>
      <c r="G143" s="32"/>
      <c r="H143" s="33" t="n">
        <v>2</v>
      </c>
      <c r="I143" s="34" t="n">
        <f aca="false">E143*H143+N(F143)+N(G143)</f>
        <v>17812</v>
      </c>
      <c r="J143" s="32" t="n">
        <f aca="false">ROUND(IFERROR(ROUND(IF(OR(ISNUMBER(SEARCH("week",C143)),ISNUMBER(SEARCH("minggu",C143))),IFERROR(_xlfn.NUMBERVALUE(SUBSTITUTE(LEFT(TRIM(C143),FIND(" ",TRIM(C143)&amp;" ")-1),",","."),"."),LEFT(SUBSTITUTE(LEFT(TRIM(C143),FIND(" ",TRIM(C143)&amp;" ")-1),",","."),FIND("/",SUBSTITUTE(LEFT(TRIM(C143),FIND(" ",TRIM(C143)&amp;" ")-1),",","."))-1)/MID(SUBSTITUTE(LEFT(TRIM(C143),FIND(" ",TRIM(C143)&amp;" ")-1),",","."),FIND("/",SUBSTITUTE(LEFT(TRIM(C143),FIND(" ",TRIM(C143)&amp;" ")-1),",","."))+1,9))*12/52,IF(ISNUMBER(SEARCH("month",C143)),IFERROR(_xlfn.NUMBERVALUE(SUBSTITUTE(LEFT(TRIM(C143),FIND(" ",TRIM(C143)&amp;" ")-1),",","."),"."),LEFT(SUBSTITUTE(LEFT(TRIM(C143),FIND(" ",TRIM(C143)&amp;" ")-1),",","."),FIND("/",SUBSTITUTE(LEFT(TRIM(C143),FIND(" ",TRIM(C143)&amp;" ")-1),",","."))-1)/MID(SUBSTITUTE(LEFT(TRIM(C143),FIND(" ",TRIM(C143)&amp;" ")-1),",","."),FIND("/",SUBSTITUTE(LEFT(TRIM(C143),FIND(" ",TRIM(C143)&amp;" ")-1),",","."))+1,9)),IF(ISNUMBER(SEARCH("yea",C143)),IFERROR(_xlfn.NUMBERVALUE(SUBSTITUTE(LEFT(TRIM(C143),FIND(" ",TRIM(C143)&amp;" ")-1),",","."),"."),LEFT(SUBSTITUTE(LEFT(TRIM(C143),FIND(" ",TRIM(C143)&amp;" ")-1),",","."),FIND("/",SUBSTITUTE(LEFT(TRIM(C143),FIND(" ",TRIM(C143)&amp;" ")-1),",","."))-1)/MID(SUBSTITUTE(LEFT(TRIM(C143),FIND(" ",TRIM(C143)&amp;" ")-1),",","."),FIND("/",SUBSTITUTE(LEFT(TRIM(C143),FIND(" ",TRIM(C143)&amp;" ")-1),",","."))+1,9))*12,NA()))),0),36)*'Aturan &amp; Tarif'!$B$4,2)</f>
        <v>2044.08</v>
      </c>
      <c r="K143" s="32" t="n">
        <f aca="false">'Aturan &amp; Tarif'!$B$5</f>
        <v>2050</v>
      </c>
      <c r="L143" s="32" t="n">
        <f aca="false">'Aturan &amp; Tarif'!$B$6</f>
        <v>350</v>
      </c>
      <c r="M143" s="35" t="n">
        <f aca="false">I143+J143+K143+L143</f>
        <v>22256.08</v>
      </c>
      <c r="N143" s="37" t="s">
        <v>318</v>
      </c>
    </row>
    <row r="144" customFormat="false" ht="25.5" hidden="false" customHeight="true" outlineLevel="0" collapsed="false">
      <c r="A144" s="29"/>
      <c r="B144" s="30" t="s">
        <v>368</v>
      </c>
      <c r="C144" s="31" t="s">
        <v>191</v>
      </c>
      <c r="D144" s="31" t="s">
        <v>108</v>
      </c>
      <c r="E144" s="32" t="n">
        <v>8906</v>
      </c>
      <c r="F144" s="32"/>
      <c r="G144" s="32"/>
      <c r="H144" s="33" t="n">
        <v>2</v>
      </c>
      <c r="I144" s="34" t="n">
        <f aca="false">E144*H144+N(F144)+N(G144)</f>
        <v>17812</v>
      </c>
      <c r="J144" s="32" t="n">
        <f aca="false">ROUND(IFERROR(ROUND(IF(OR(ISNUMBER(SEARCH("week",C144)),ISNUMBER(SEARCH("minggu",C144))),IFERROR(_xlfn.NUMBERVALUE(SUBSTITUTE(LEFT(TRIM(C144),FIND(" ",TRIM(C144)&amp;" ")-1),",","."),"."),LEFT(SUBSTITUTE(LEFT(TRIM(C144),FIND(" ",TRIM(C144)&amp;" ")-1),",","."),FIND("/",SUBSTITUTE(LEFT(TRIM(C144),FIND(" ",TRIM(C144)&amp;" ")-1),",","."))-1)/MID(SUBSTITUTE(LEFT(TRIM(C144),FIND(" ",TRIM(C144)&amp;" ")-1),",","."),FIND("/",SUBSTITUTE(LEFT(TRIM(C144),FIND(" ",TRIM(C144)&amp;" ")-1),",","."))+1,9))*12/52,IF(ISNUMBER(SEARCH("month",C144)),IFERROR(_xlfn.NUMBERVALUE(SUBSTITUTE(LEFT(TRIM(C144),FIND(" ",TRIM(C144)&amp;" ")-1),",","."),"."),LEFT(SUBSTITUTE(LEFT(TRIM(C144),FIND(" ",TRIM(C144)&amp;" ")-1),",","."),FIND("/",SUBSTITUTE(LEFT(TRIM(C144),FIND(" ",TRIM(C144)&amp;" ")-1),",","."))-1)/MID(SUBSTITUTE(LEFT(TRIM(C144),FIND(" ",TRIM(C144)&amp;" ")-1),",","."),FIND("/",SUBSTITUTE(LEFT(TRIM(C144),FIND(" ",TRIM(C144)&amp;" ")-1),",","."))+1,9)),IF(ISNUMBER(SEARCH("yea",C144)),IFERROR(_xlfn.NUMBERVALUE(SUBSTITUTE(LEFT(TRIM(C144),FIND(" ",TRIM(C144)&amp;" ")-1),",","."),"."),LEFT(SUBSTITUTE(LEFT(TRIM(C144),FIND(" ",TRIM(C144)&amp;" ")-1),",","."),FIND("/",SUBSTITUTE(LEFT(TRIM(C144),FIND(" ",TRIM(C144)&amp;" ")-1),",","."))-1)/MID(SUBSTITUTE(LEFT(TRIM(C144),FIND(" ",TRIM(C144)&amp;" ")-1),",","."),FIND("/",SUBSTITUTE(LEFT(TRIM(C144),FIND(" ",TRIM(C144)&amp;" ")-1),",","."))+1,9))*12,NA()))),0),48)*'Aturan &amp; Tarif'!$B$4,2)</f>
        <v>2725.44</v>
      </c>
      <c r="K144" s="32" t="n">
        <f aca="false">'Aturan &amp; Tarif'!$B$5</f>
        <v>2050</v>
      </c>
      <c r="L144" s="32" t="n">
        <f aca="false">'Aturan &amp; Tarif'!$B$6</f>
        <v>350</v>
      </c>
      <c r="M144" s="35" t="n">
        <f aca="false">I144+J144+K144+L144</f>
        <v>22937.44</v>
      </c>
      <c r="N144" s="37" t="s">
        <v>318</v>
      </c>
    </row>
    <row r="145" customFormat="false" ht="25.5" hidden="false" customHeight="true" outlineLevel="0" collapsed="false">
      <c r="A145" s="29"/>
      <c r="B145" s="30" t="s">
        <v>369</v>
      </c>
      <c r="C145" s="31" t="s">
        <v>191</v>
      </c>
      <c r="D145" s="31" t="s">
        <v>108</v>
      </c>
      <c r="E145" s="32" t="n">
        <v>8906</v>
      </c>
      <c r="F145" s="32"/>
      <c r="G145" s="32"/>
      <c r="H145" s="33" t="n">
        <v>2</v>
      </c>
      <c r="I145" s="34" t="n">
        <f aca="false">E145*H145+N(F145)+N(G145)</f>
        <v>17812</v>
      </c>
      <c r="J145" s="32" t="n">
        <f aca="false">ROUND(IFERROR(ROUND(IF(OR(ISNUMBER(SEARCH("week",C145)),ISNUMBER(SEARCH("minggu",C145))),IFERROR(_xlfn.NUMBERVALUE(SUBSTITUTE(LEFT(TRIM(C145),FIND(" ",TRIM(C145)&amp;" ")-1),",","."),"."),LEFT(SUBSTITUTE(LEFT(TRIM(C145),FIND(" ",TRIM(C145)&amp;" ")-1),",","."),FIND("/",SUBSTITUTE(LEFT(TRIM(C145),FIND(" ",TRIM(C145)&amp;" ")-1),",","."))-1)/MID(SUBSTITUTE(LEFT(TRIM(C145),FIND(" ",TRIM(C145)&amp;" ")-1),",","."),FIND("/",SUBSTITUTE(LEFT(TRIM(C145),FIND(" ",TRIM(C145)&amp;" ")-1),",","."))+1,9))*12/52,IF(ISNUMBER(SEARCH("month",C145)),IFERROR(_xlfn.NUMBERVALUE(SUBSTITUTE(LEFT(TRIM(C145),FIND(" ",TRIM(C145)&amp;" ")-1),",","."),"."),LEFT(SUBSTITUTE(LEFT(TRIM(C145),FIND(" ",TRIM(C145)&amp;" ")-1),",","."),FIND("/",SUBSTITUTE(LEFT(TRIM(C145),FIND(" ",TRIM(C145)&amp;" ")-1),",","."))-1)/MID(SUBSTITUTE(LEFT(TRIM(C145),FIND(" ",TRIM(C145)&amp;" ")-1),",","."),FIND("/",SUBSTITUTE(LEFT(TRIM(C145),FIND(" ",TRIM(C145)&amp;" ")-1),",","."))+1,9)),IF(ISNUMBER(SEARCH("yea",C145)),IFERROR(_xlfn.NUMBERVALUE(SUBSTITUTE(LEFT(TRIM(C145),FIND(" ",TRIM(C145)&amp;" ")-1),",","."),"."),LEFT(SUBSTITUTE(LEFT(TRIM(C145),FIND(" ",TRIM(C145)&amp;" ")-1),",","."),FIND("/",SUBSTITUTE(LEFT(TRIM(C145),FIND(" ",TRIM(C145)&amp;" ")-1),",","."))-1)/MID(SUBSTITUTE(LEFT(TRIM(C145),FIND(" ",TRIM(C145)&amp;" ")-1),",","."),FIND("/",SUBSTITUTE(LEFT(TRIM(C145),FIND(" ",TRIM(C145)&amp;" ")-1),",","."))+1,9))*12,NA()))),0),48)*'Aturan &amp; Tarif'!$B$4,2)</f>
        <v>2725.44</v>
      </c>
      <c r="K145" s="32" t="n">
        <f aca="false">'Aturan &amp; Tarif'!$B$5</f>
        <v>2050</v>
      </c>
      <c r="L145" s="32" t="n">
        <f aca="false">'Aturan &amp; Tarif'!$B$6</f>
        <v>350</v>
      </c>
      <c r="M145" s="35" t="n">
        <f aca="false">I145+J145+K145+L145</f>
        <v>22937.44</v>
      </c>
      <c r="N145" s="37" t="s">
        <v>318</v>
      </c>
    </row>
    <row r="146" customFormat="false" ht="14.25" hidden="false" customHeight="true" outlineLevel="0" collapsed="false">
      <c r="A146" s="29"/>
      <c r="B146" s="30" t="s">
        <v>370</v>
      </c>
      <c r="C146" s="31" t="s">
        <v>191</v>
      </c>
      <c r="D146" s="31" t="s">
        <v>108</v>
      </c>
      <c r="E146" s="32" t="n">
        <v>8906</v>
      </c>
      <c r="F146" s="32"/>
      <c r="G146" s="32"/>
      <c r="H146" s="33" t="n">
        <v>2</v>
      </c>
      <c r="I146" s="34" t="n">
        <f aca="false">E146*H146+N(F146)+N(G146)</f>
        <v>17812</v>
      </c>
      <c r="J146" s="32" t="n">
        <f aca="false">ROUND(IFERROR(ROUND(IF(OR(ISNUMBER(SEARCH("week",C146)),ISNUMBER(SEARCH("minggu",C146))),IFERROR(_xlfn.NUMBERVALUE(SUBSTITUTE(LEFT(TRIM(C146),FIND(" ",TRIM(C146)&amp;" ")-1),",","."),"."),LEFT(SUBSTITUTE(LEFT(TRIM(C146),FIND(" ",TRIM(C146)&amp;" ")-1),",","."),FIND("/",SUBSTITUTE(LEFT(TRIM(C146),FIND(" ",TRIM(C146)&amp;" ")-1),",","."))-1)/MID(SUBSTITUTE(LEFT(TRIM(C146),FIND(" ",TRIM(C146)&amp;" ")-1),",","."),FIND("/",SUBSTITUTE(LEFT(TRIM(C146),FIND(" ",TRIM(C146)&amp;" ")-1),",","."))+1,9))*12/52,IF(ISNUMBER(SEARCH("month",C146)),IFERROR(_xlfn.NUMBERVALUE(SUBSTITUTE(LEFT(TRIM(C146),FIND(" ",TRIM(C146)&amp;" ")-1),",","."),"."),LEFT(SUBSTITUTE(LEFT(TRIM(C146),FIND(" ",TRIM(C146)&amp;" ")-1),",","."),FIND("/",SUBSTITUTE(LEFT(TRIM(C146),FIND(" ",TRIM(C146)&amp;" ")-1),",","."))-1)/MID(SUBSTITUTE(LEFT(TRIM(C146),FIND(" ",TRIM(C146)&amp;" ")-1),",","."),FIND("/",SUBSTITUTE(LEFT(TRIM(C146),FIND(" ",TRIM(C146)&amp;" ")-1),",","."))+1,9)),IF(ISNUMBER(SEARCH("yea",C146)),IFERROR(_xlfn.NUMBERVALUE(SUBSTITUTE(LEFT(TRIM(C146),FIND(" ",TRIM(C146)&amp;" ")-1),",","."),"."),LEFT(SUBSTITUTE(LEFT(TRIM(C146),FIND(" ",TRIM(C146)&amp;" ")-1),",","."),FIND("/",SUBSTITUTE(LEFT(TRIM(C146),FIND(" ",TRIM(C146)&amp;" ")-1),",","."))-1)/MID(SUBSTITUTE(LEFT(TRIM(C146),FIND(" ",TRIM(C146)&amp;" ")-1),",","."),FIND("/",SUBSTITUTE(LEFT(TRIM(C146),FIND(" ",TRIM(C146)&amp;" ")-1),",","."))+1,9))*12,NA()))),0),48)*'Aturan &amp; Tarif'!$B$4,2)</f>
        <v>2725.44</v>
      </c>
      <c r="K146" s="32" t="n">
        <f aca="false">'Aturan &amp; Tarif'!$B$5</f>
        <v>2050</v>
      </c>
      <c r="L146" s="32" t="n">
        <f aca="false">'Aturan &amp; Tarif'!$B$6</f>
        <v>350</v>
      </c>
      <c r="M146" s="35" t="n">
        <f aca="false">I146+J146+K146+L146</f>
        <v>22937.44</v>
      </c>
      <c r="N146" s="37" t="s">
        <v>318</v>
      </c>
    </row>
    <row r="147" customFormat="false" ht="14.25" hidden="false" customHeight="true" outlineLevel="0" collapsed="false">
      <c r="A147" s="29"/>
      <c r="B147" s="30" t="s">
        <v>371</v>
      </c>
      <c r="C147" s="31" t="s">
        <v>127</v>
      </c>
      <c r="D147" s="31" t="s">
        <v>108</v>
      </c>
      <c r="E147" s="32" t="n">
        <v>8906</v>
      </c>
      <c r="F147" s="32"/>
      <c r="G147" s="32"/>
      <c r="H147" s="33" t="n">
        <v>2</v>
      </c>
      <c r="I147" s="34" t="n">
        <f aca="false">E147*H147+N(F147)+N(G147)</f>
        <v>17812</v>
      </c>
      <c r="J147" s="32" t="n">
        <f aca="false">ROUND(IFERROR(ROUND(IF(OR(ISNUMBER(SEARCH("week",C147)),ISNUMBER(SEARCH("minggu",C147))),IFERROR(_xlfn.NUMBERVALUE(SUBSTITUTE(LEFT(TRIM(C147),FIND(" ",TRIM(C147)&amp;" ")-1),",","."),"."),LEFT(SUBSTITUTE(LEFT(TRIM(C147),FIND(" ",TRIM(C147)&amp;" ")-1),",","."),FIND("/",SUBSTITUTE(LEFT(TRIM(C147),FIND(" ",TRIM(C147)&amp;" ")-1),",","."))-1)/MID(SUBSTITUTE(LEFT(TRIM(C147),FIND(" ",TRIM(C147)&amp;" ")-1),",","."),FIND("/",SUBSTITUTE(LEFT(TRIM(C147),FIND(" ",TRIM(C147)&amp;" ")-1),",","."))+1,9))*12/52,IF(ISNUMBER(SEARCH("month",C147)),IFERROR(_xlfn.NUMBERVALUE(SUBSTITUTE(LEFT(TRIM(C147),FIND(" ",TRIM(C147)&amp;" ")-1),",","."),"."),LEFT(SUBSTITUTE(LEFT(TRIM(C147),FIND(" ",TRIM(C147)&amp;" ")-1),",","."),FIND("/",SUBSTITUTE(LEFT(TRIM(C147),FIND(" ",TRIM(C147)&amp;" ")-1),",","."))-1)/MID(SUBSTITUTE(LEFT(TRIM(C147),FIND(" ",TRIM(C147)&amp;" ")-1),",","."),FIND("/",SUBSTITUTE(LEFT(TRIM(C147),FIND(" ",TRIM(C147)&amp;" ")-1),",","."))+1,9)),IF(ISNUMBER(SEARCH("yea",C147)),IFERROR(_xlfn.NUMBERVALUE(SUBSTITUTE(LEFT(TRIM(C147),FIND(" ",TRIM(C147)&amp;" ")-1),",","."),"."),LEFT(SUBSTITUTE(LEFT(TRIM(C147),FIND(" ",TRIM(C147)&amp;" ")-1),",","."),FIND("/",SUBSTITUTE(LEFT(TRIM(C147),FIND(" ",TRIM(C147)&amp;" ")-1),",","."))-1)/MID(SUBSTITUTE(LEFT(TRIM(C147),FIND(" ",TRIM(C147)&amp;" ")-1),",","."),FIND("/",SUBSTITUTE(LEFT(TRIM(C147),FIND(" ",TRIM(C147)&amp;" ")-1),",","."))+1,9))*12,NA()))),0),36)*'Aturan &amp; Tarif'!$B$4,2)</f>
        <v>2044.08</v>
      </c>
      <c r="K147" s="32" t="n">
        <f aca="false">'Aturan &amp; Tarif'!$B$5</f>
        <v>2050</v>
      </c>
      <c r="L147" s="32" t="n">
        <f aca="false">'Aturan &amp; Tarif'!$B$6</f>
        <v>350</v>
      </c>
      <c r="M147" s="35" t="n">
        <f aca="false">I147+J147+K147+L147</f>
        <v>22256.08</v>
      </c>
      <c r="N147" s="37" t="s">
        <v>318</v>
      </c>
    </row>
    <row r="148" customFormat="false" ht="14.25" hidden="false" customHeight="true" outlineLevel="0" collapsed="false">
      <c r="A148" s="29"/>
      <c r="B148" s="30" t="s">
        <v>372</v>
      </c>
      <c r="C148" s="31" t="s">
        <v>127</v>
      </c>
      <c r="D148" s="31" t="s">
        <v>108</v>
      </c>
      <c r="E148" s="32" t="n">
        <v>8906</v>
      </c>
      <c r="F148" s="32"/>
      <c r="G148" s="32"/>
      <c r="H148" s="33" t="n">
        <v>2</v>
      </c>
      <c r="I148" s="34" t="n">
        <f aca="false">E148*H148+N(F148)+N(G148)</f>
        <v>17812</v>
      </c>
      <c r="J148" s="32" t="n">
        <f aca="false">ROUND(IFERROR(ROUND(IF(OR(ISNUMBER(SEARCH("week",C148)),ISNUMBER(SEARCH("minggu",C148))),IFERROR(_xlfn.NUMBERVALUE(SUBSTITUTE(LEFT(TRIM(C148),FIND(" ",TRIM(C148)&amp;" ")-1),",","."),"."),LEFT(SUBSTITUTE(LEFT(TRIM(C148),FIND(" ",TRIM(C148)&amp;" ")-1),",","."),FIND("/",SUBSTITUTE(LEFT(TRIM(C148),FIND(" ",TRIM(C148)&amp;" ")-1),",","."))-1)/MID(SUBSTITUTE(LEFT(TRIM(C148),FIND(" ",TRIM(C148)&amp;" ")-1),",","."),FIND("/",SUBSTITUTE(LEFT(TRIM(C148),FIND(" ",TRIM(C148)&amp;" ")-1),",","."))+1,9))*12/52,IF(ISNUMBER(SEARCH("month",C148)),IFERROR(_xlfn.NUMBERVALUE(SUBSTITUTE(LEFT(TRIM(C148),FIND(" ",TRIM(C148)&amp;" ")-1),",","."),"."),LEFT(SUBSTITUTE(LEFT(TRIM(C148),FIND(" ",TRIM(C148)&amp;" ")-1),",","."),FIND("/",SUBSTITUTE(LEFT(TRIM(C148),FIND(" ",TRIM(C148)&amp;" ")-1),",","."))-1)/MID(SUBSTITUTE(LEFT(TRIM(C148),FIND(" ",TRIM(C148)&amp;" ")-1),",","."),FIND("/",SUBSTITUTE(LEFT(TRIM(C148),FIND(" ",TRIM(C148)&amp;" ")-1),",","."))+1,9)),IF(ISNUMBER(SEARCH("yea",C148)),IFERROR(_xlfn.NUMBERVALUE(SUBSTITUTE(LEFT(TRIM(C148),FIND(" ",TRIM(C148)&amp;" ")-1),",","."),"."),LEFT(SUBSTITUTE(LEFT(TRIM(C148),FIND(" ",TRIM(C148)&amp;" ")-1),",","."),FIND("/",SUBSTITUTE(LEFT(TRIM(C148),FIND(" ",TRIM(C148)&amp;" ")-1),",","."))-1)/MID(SUBSTITUTE(LEFT(TRIM(C148),FIND(" ",TRIM(C148)&amp;" ")-1),",","."),FIND("/",SUBSTITUTE(LEFT(TRIM(C148),FIND(" ",TRIM(C148)&amp;" ")-1),",","."))+1,9))*12,NA()))),0),36)*'Aturan &amp; Tarif'!$B$4,2)</f>
        <v>2044.08</v>
      </c>
      <c r="K148" s="32" t="n">
        <f aca="false">'Aturan &amp; Tarif'!$B$5</f>
        <v>2050</v>
      </c>
      <c r="L148" s="32" t="n">
        <f aca="false">'Aturan &amp; Tarif'!$B$6</f>
        <v>350</v>
      </c>
      <c r="M148" s="35" t="n">
        <f aca="false">I148+J148+K148+L148</f>
        <v>22256.08</v>
      </c>
      <c r="N148" s="37" t="s">
        <v>318</v>
      </c>
    </row>
    <row r="149" customFormat="false" ht="25.5" hidden="false" customHeight="true" outlineLevel="0" collapsed="false">
      <c r="A149" s="29"/>
      <c r="B149" s="30" t="s">
        <v>373</v>
      </c>
      <c r="C149" s="31" t="s">
        <v>107</v>
      </c>
      <c r="D149" s="31" t="s">
        <v>108</v>
      </c>
      <c r="E149" s="32" t="n">
        <v>8906</v>
      </c>
      <c r="F149" s="32"/>
      <c r="G149" s="32"/>
      <c r="H149" s="33" t="n">
        <v>2</v>
      </c>
      <c r="I149" s="34" t="n">
        <f aca="false">E149*H149+N(F149)+N(G149)</f>
        <v>17812</v>
      </c>
      <c r="J149" s="32" t="n">
        <f aca="false">ROUND(IFERROR(ROUND(IF(OR(ISNUMBER(SEARCH("week",C149)),ISNUMBER(SEARCH("minggu",C149))),IFERROR(_xlfn.NUMBERVALUE(SUBSTITUTE(LEFT(TRIM(C149),FIND(" ",TRIM(C149)&amp;" ")-1),",","."),"."),LEFT(SUBSTITUTE(LEFT(TRIM(C149),FIND(" ",TRIM(C149)&amp;" ")-1),",","."),FIND("/",SUBSTITUTE(LEFT(TRIM(C149),FIND(" ",TRIM(C149)&amp;" ")-1),",","."))-1)/MID(SUBSTITUTE(LEFT(TRIM(C149),FIND(" ",TRIM(C149)&amp;" ")-1),",","."),FIND("/",SUBSTITUTE(LEFT(TRIM(C149),FIND(" ",TRIM(C149)&amp;" ")-1),",","."))+1,9))*12/52,IF(ISNUMBER(SEARCH("month",C149)),IFERROR(_xlfn.NUMBERVALUE(SUBSTITUTE(LEFT(TRIM(C149),FIND(" ",TRIM(C149)&amp;" ")-1),",","."),"."),LEFT(SUBSTITUTE(LEFT(TRIM(C149),FIND(" ",TRIM(C149)&amp;" ")-1),",","."),FIND("/",SUBSTITUTE(LEFT(TRIM(C149),FIND(" ",TRIM(C149)&amp;" ")-1),",","."))-1)/MID(SUBSTITUTE(LEFT(TRIM(C149),FIND(" ",TRIM(C149)&amp;" ")-1),",","."),FIND("/",SUBSTITUTE(LEFT(TRIM(C149),FIND(" ",TRIM(C149)&amp;" ")-1),",","."))+1,9)),IF(ISNUMBER(SEARCH("yea",C149)),IFERROR(_xlfn.NUMBERVALUE(SUBSTITUTE(LEFT(TRIM(C149),FIND(" ",TRIM(C149)&amp;" ")-1),",","."),"."),LEFT(SUBSTITUTE(LEFT(TRIM(C149),FIND(" ",TRIM(C149)&amp;" ")-1),",","."),FIND("/",SUBSTITUTE(LEFT(TRIM(C149),FIND(" ",TRIM(C149)&amp;" ")-1),",","."))-1)/MID(SUBSTITUTE(LEFT(TRIM(C149),FIND(" ",TRIM(C149)&amp;" ")-1),",","."),FIND("/",SUBSTITUTE(LEFT(TRIM(C149),FIND(" ",TRIM(C149)&amp;" ")-1),",","."))+1,9))*12,NA()))),0),24)*'Aturan &amp; Tarif'!$B$4,2)</f>
        <v>1362.72</v>
      </c>
      <c r="K149" s="32" t="n">
        <f aca="false">'Aturan &amp; Tarif'!$B$5</f>
        <v>2050</v>
      </c>
      <c r="L149" s="32" t="n">
        <f aca="false">'Aturan &amp; Tarif'!$B$6</f>
        <v>350</v>
      </c>
      <c r="M149" s="35" t="n">
        <f aca="false">I149+J149+K149+L149</f>
        <v>21574.72</v>
      </c>
      <c r="N149" s="37" t="s">
        <v>318</v>
      </c>
    </row>
    <row r="150" customFormat="false" ht="25.5" hidden="false" customHeight="true" outlineLevel="0" collapsed="false">
      <c r="A150" s="29"/>
      <c r="B150" s="30" t="s">
        <v>374</v>
      </c>
      <c r="C150" s="31" t="s">
        <v>107</v>
      </c>
      <c r="D150" s="31" t="s">
        <v>108</v>
      </c>
      <c r="E150" s="32" t="n">
        <v>8906</v>
      </c>
      <c r="F150" s="32"/>
      <c r="G150" s="32"/>
      <c r="H150" s="33" t="n">
        <v>2</v>
      </c>
      <c r="I150" s="34" t="n">
        <f aca="false">E150*H150+N(F150)+N(G150)</f>
        <v>17812</v>
      </c>
      <c r="J150" s="32" t="n">
        <f aca="false">ROUND(IFERROR(ROUND(IF(OR(ISNUMBER(SEARCH("week",C150)),ISNUMBER(SEARCH("minggu",C150))),IFERROR(_xlfn.NUMBERVALUE(SUBSTITUTE(LEFT(TRIM(C150),FIND(" ",TRIM(C150)&amp;" ")-1),",","."),"."),LEFT(SUBSTITUTE(LEFT(TRIM(C150),FIND(" ",TRIM(C150)&amp;" ")-1),",","."),FIND("/",SUBSTITUTE(LEFT(TRIM(C150),FIND(" ",TRIM(C150)&amp;" ")-1),",","."))-1)/MID(SUBSTITUTE(LEFT(TRIM(C150),FIND(" ",TRIM(C150)&amp;" ")-1),",","."),FIND("/",SUBSTITUTE(LEFT(TRIM(C150),FIND(" ",TRIM(C150)&amp;" ")-1),",","."))+1,9))*12/52,IF(ISNUMBER(SEARCH("month",C150)),IFERROR(_xlfn.NUMBERVALUE(SUBSTITUTE(LEFT(TRIM(C150),FIND(" ",TRIM(C150)&amp;" ")-1),",","."),"."),LEFT(SUBSTITUTE(LEFT(TRIM(C150),FIND(" ",TRIM(C150)&amp;" ")-1),",","."),FIND("/",SUBSTITUTE(LEFT(TRIM(C150),FIND(" ",TRIM(C150)&amp;" ")-1),",","."))-1)/MID(SUBSTITUTE(LEFT(TRIM(C150),FIND(" ",TRIM(C150)&amp;" ")-1),",","."),FIND("/",SUBSTITUTE(LEFT(TRIM(C150),FIND(" ",TRIM(C150)&amp;" ")-1),",","."))+1,9)),IF(ISNUMBER(SEARCH("yea",C150)),IFERROR(_xlfn.NUMBERVALUE(SUBSTITUTE(LEFT(TRIM(C150),FIND(" ",TRIM(C150)&amp;" ")-1),",","."),"."),LEFT(SUBSTITUTE(LEFT(TRIM(C150),FIND(" ",TRIM(C150)&amp;" ")-1),",","."),FIND("/",SUBSTITUTE(LEFT(TRIM(C150),FIND(" ",TRIM(C150)&amp;" ")-1),",","."))-1)/MID(SUBSTITUTE(LEFT(TRIM(C150),FIND(" ",TRIM(C150)&amp;" ")-1),",","."),FIND("/",SUBSTITUTE(LEFT(TRIM(C150),FIND(" ",TRIM(C150)&amp;" ")-1),",","."))+1,9))*12,NA()))),0),24)*'Aturan &amp; Tarif'!$B$4,2)</f>
        <v>1362.72</v>
      </c>
      <c r="K150" s="32" t="n">
        <f aca="false">'Aturan &amp; Tarif'!$B$5</f>
        <v>2050</v>
      </c>
      <c r="L150" s="32" t="n">
        <f aca="false">'Aturan &amp; Tarif'!$B$6</f>
        <v>350</v>
      </c>
      <c r="M150" s="35" t="n">
        <f aca="false">I150+J150+K150+L150</f>
        <v>21574.72</v>
      </c>
      <c r="N150" s="37" t="s">
        <v>318</v>
      </c>
    </row>
    <row r="151" customFormat="false" ht="14.25" hidden="false" customHeight="true" outlineLevel="0" collapsed="false">
      <c r="A151" s="29"/>
      <c r="B151" s="30" t="s">
        <v>375</v>
      </c>
      <c r="C151" s="31" t="s">
        <v>107</v>
      </c>
      <c r="D151" s="31" t="s">
        <v>108</v>
      </c>
      <c r="E151" s="32" t="n">
        <v>8906</v>
      </c>
      <c r="F151" s="32"/>
      <c r="G151" s="32"/>
      <c r="H151" s="33" t="n">
        <v>2</v>
      </c>
      <c r="I151" s="34" t="n">
        <f aca="false">E151*H151+N(F151)+N(G151)</f>
        <v>17812</v>
      </c>
      <c r="J151" s="32" t="n">
        <f aca="false">ROUND(IFERROR(ROUND(IF(OR(ISNUMBER(SEARCH("week",C151)),ISNUMBER(SEARCH("minggu",C151))),IFERROR(_xlfn.NUMBERVALUE(SUBSTITUTE(LEFT(TRIM(C151),FIND(" ",TRIM(C151)&amp;" ")-1),",","."),"."),LEFT(SUBSTITUTE(LEFT(TRIM(C151),FIND(" ",TRIM(C151)&amp;" ")-1),",","."),FIND("/",SUBSTITUTE(LEFT(TRIM(C151),FIND(" ",TRIM(C151)&amp;" ")-1),",","."))-1)/MID(SUBSTITUTE(LEFT(TRIM(C151),FIND(" ",TRIM(C151)&amp;" ")-1),",","."),FIND("/",SUBSTITUTE(LEFT(TRIM(C151),FIND(" ",TRIM(C151)&amp;" ")-1),",","."))+1,9))*12/52,IF(ISNUMBER(SEARCH("month",C151)),IFERROR(_xlfn.NUMBERVALUE(SUBSTITUTE(LEFT(TRIM(C151),FIND(" ",TRIM(C151)&amp;" ")-1),",","."),"."),LEFT(SUBSTITUTE(LEFT(TRIM(C151),FIND(" ",TRIM(C151)&amp;" ")-1),",","."),FIND("/",SUBSTITUTE(LEFT(TRIM(C151),FIND(" ",TRIM(C151)&amp;" ")-1),",","."))-1)/MID(SUBSTITUTE(LEFT(TRIM(C151),FIND(" ",TRIM(C151)&amp;" ")-1),",","."),FIND("/",SUBSTITUTE(LEFT(TRIM(C151),FIND(" ",TRIM(C151)&amp;" ")-1),",","."))+1,9)),IF(ISNUMBER(SEARCH("yea",C151)),IFERROR(_xlfn.NUMBERVALUE(SUBSTITUTE(LEFT(TRIM(C151),FIND(" ",TRIM(C151)&amp;" ")-1),",","."),"."),LEFT(SUBSTITUTE(LEFT(TRIM(C151),FIND(" ",TRIM(C151)&amp;" ")-1),",","."),FIND("/",SUBSTITUTE(LEFT(TRIM(C151),FIND(" ",TRIM(C151)&amp;" ")-1),",","."))-1)/MID(SUBSTITUTE(LEFT(TRIM(C151),FIND(" ",TRIM(C151)&amp;" ")-1),",","."),FIND("/",SUBSTITUTE(LEFT(TRIM(C151),FIND(" ",TRIM(C151)&amp;" ")-1),",","."))+1,9))*12,NA()))),0),24)*'Aturan &amp; Tarif'!$B$4,2)</f>
        <v>1362.72</v>
      </c>
      <c r="K151" s="32" t="n">
        <f aca="false">'Aturan &amp; Tarif'!$B$5</f>
        <v>2050</v>
      </c>
      <c r="L151" s="32" t="n">
        <f aca="false">'Aturan &amp; Tarif'!$B$6</f>
        <v>350</v>
      </c>
      <c r="M151" s="35" t="n">
        <f aca="false">I151+J151+K151+L151</f>
        <v>21574.72</v>
      </c>
      <c r="N151" s="37" t="s">
        <v>318</v>
      </c>
    </row>
    <row r="152" customFormat="false" ht="14.25" hidden="false" customHeight="true" outlineLevel="0" collapsed="false">
      <c r="A152" s="29"/>
      <c r="B152" s="30" t="s">
        <v>376</v>
      </c>
      <c r="C152" s="31" t="s">
        <v>107</v>
      </c>
      <c r="D152" s="31" t="s">
        <v>108</v>
      </c>
      <c r="E152" s="32" t="n">
        <v>8906</v>
      </c>
      <c r="F152" s="32"/>
      <c r="G152" s="32"/>
      <c r="H152" s="33" t="n">
        <v>2</v>
      </c>
      <c r="I152" s="34" t="n">
        <f aca="false">E152*H152+N(F152)+N(G152)</f>
        <v>17812</v>
      </c>
      <c r="J152" s="32" t="n">
        <f aca="false">ROUND(IFERROR(ROUND(IF(OR(ISNUMBER(SEARCH("week",C152)),ISNUMBER(SEARCH("minggu",C152))),IFERROR(_xlfn.NUMBERVALUE(SUBSTITUTE(LEFT(TRIM(C152),FIND(" ",TRIM(C152)&amp;" ")-1),",","."),"."),LEFT(SUBSTITUTE(LEFT(TRIM(C152),FIND(" ",TRIM(C152)&amp;" ")-1),",","."),FIND("/",SUBSTITUTE(LEFT(TRIM(C152),FIND(" ",TRIM(C152)&amp;" ")-1),",","."))-1)/MID(SUBSTITUTE(LEFT(TRIM(C152),FIND(" ",TRIM(C152)&amp;" ")-1),",","."),FIND("/",SUBSTITUTE(LEFT(TRIM(C152),FIND(" ",TRIM(C152)&amp;" ")-1),",","."))+1,9))*12/52,IF(ISNUMBER(SEARCH("month",C152)),IFERROR(_xlfn.NUMBERVALUE(SUBSTITUTE(LEFT(TRIM(C152),FIND(" ",TRIM(C152)&amp;" ")-1),",","."),"."),LEFT(SUBSTITUTE(LEFT(TRIM(C152),FIND(" ",TRIM(C152)&amp;" ")-1),",","."),FIND("/",SUBSTITUTE(LEFT(TRIM(C152),FIND(" ",TRIM(C152)&amp;" ")-1),",","."))-1)/MID(SUBSTITUTE(LEFT(TRIM(C152),FIND(" ",TRIM(C152)&amp;" ")-1),",","."),FIND("/",SUBSTITUTE(LEFT(TRIM(C152),FIND(" ",TRIM(C152)&amp;" ")-1),",","."))+1,9)),IF(ISNUMBER(SEARCH("yea",C152)),IFERROR(_xlfn.NUMBERVALUE(SUBSTITUTE(LEFT(TRIM(C152),FIND(" ",TRIM(C152)&amp;" ")-1),",","."),"."),LEFT(SUBSTITUTE(LEFT(TRIM(C152),FIND(" ",TRIM(C152)&amp;" ")-1),",","."),FIND("/",SUBSTITUTE(LEFT(TRIM(C152),FIND(" ",TRIM(C152)&amp;" ")-1),",","."))-1)/MID(SUBSTITUTE(LEFT(TRIM(C152),FIND(" ",TRIM(C152)&amp;" ")-1),",","."),FIND("/",SUBSTITUTE(LEFT(TRIM(C152),FIND(" ",TRIM(C152)&amp;" ")-1),",","."))+1,9))*12,NA()))),0),24)*'Aturan &amp; Tarif'!$B$4,2)</f>
        <v>1362.72</v>
      </c>
      <c r="K152" s="32" t="n">
        <f aca="false">'Aturan &amp; Tarif'!$B$5</f>
        <v>2050</v>
      </c>
      <c r="L152" s="32" t="n">
        <f aca="false">'Aturan &amp; Tarif'!$B$6</f>
        <v>350</v>
      </c>
      <c r="M152" s="35" t="n">
        <f aca="false">I152+J152+K152+L152</f>
        <v>21574.72</v>
      </c>
      <c r="N152" s="37" t="s">
        <v>318</v>
      </c>
    </row>
    <row r="153" customFormat="false" ht="25.5" hidden="false" customHeight="true" outlineLevel="0" collapsed="false">
      <c r="A153" s="29"/>
      <c r="B153" s="30" t="s">
        <v>377</v>
      </c>
      <c r="C153" s="31" t="s">
        <v>107</v>
      </c>
      <c r="D153" s="31" t="s">
        <v>108</v>
      </c>
      <c r="E153" s="32" t="n">
        <v>8906</v>
      </c>
      <c r="F153" s="32"/>
      <c r="G153" s="32"/>
      <c r="H153" s="33" t="n">
        <v>2</v>
      </c>
      <c r="I153" s="34" t="n">
        <f aca="false">E153*H153+N(F153)+N(G153)</f>
        <v>17812</v>
      </c>
      <c r="J153" s="32" t="n">
        <f aca="false">ROUND(IFERROR(ROUND(IF(OR(ISNUMBER(SEARCH("week",C153)),ISNUMBER(SEARCH("minggu",C153))),IFERROR(_xlfn.NUMBERVALUE(SUBSTITUTE(LEFT(TRIM(C153),FIND(" ",TRIM(C153)&amp;" ")-1),",","."),"."),LEFT(SUBSTITUTE(LEFT(TRIM(C153),FIND(" ",TRIM(C153)&amp;" ")-1),",","."),FIND("/",SUBSTITUTE(LEFT(TRIM(C153),FIND(" ",TRIM(C153)&amp;" ")-1),",","."))-1)/MID(SUBSTITUTE(LEFT(TRIM(C153),FIND(" ",TRIM(C153)&amp;" ")-1),",","."),FIND("/",SUBSTITUTE(LEFT(TRIM(C153),FIND(" ",TRIM(C153)&amp;" ")-1),",","."))+1,9))*12/52,IF(ISNUMBER(SEARCH("month",C153)),IFERROR(_xlfn.NUMBERVALUE(SUBSTITUTE(LEFT(TRIM(C153),FIND(" ",TRIM(C153)&amp;" ")-1),",","."),"."),LEFT(SUBSTITUTE(LEFT(TRIM(C153),FIND(" ",TRIM(C153)&amp;" ")-1),",","."),FIND("/",SUBSTITUTE(LEFT(TRIM(C153),FIND(" ",TRIM(C153)&amp;" ")-1),",","."))-1)/MID(SUBSTITUTE(LEFT(TRIM(C153),FIND(" ",TRIM(C153)&amp;" ")-1),",","."),FIND("/",SUBSTITUTE(LEFT(TRIM(C153),FIND(" ",TRIM(C153)&amp;" ")-1),",","."))+1,9)),IF(ISNUMBER(SEARCH("yea",C153)),IFERROR(_xlfn.NUMBERVALUE(SUBSTITUTE(LEFT(TRIM(C153),FIND(" ",TRIM(C153)&amp;" ")-1),",","."),"."),LEFT(SUBSTITUTE(LEFT(TRIM(C153),FIND(" ",TRIM(C153)&amp;" ")-1),",","."),FIND("/",SUBSTITUTE(LEFT(TRIM(C153),FIND(" ",TRIM(C153)&amp;" ")-1),",","."))-1)/MID(SUBSTITUTE(LEFT(TRIM(C153),FIND(" ",TRIM(C153)&amp;" ")-1),",","."),FIND("/",SUBSTITUTE(LEFT(TRIM(C153),FIND(" ",TRIM(C153)&amp;" ")-1),",","."))+1,9))*12,NA()))),0),24)*'Aturan &amp; Tarif'!$B$4,2)</f>
        <v>1362.72</v>
      </c>
      <c r="K153" s="32" t="n">
        <f aca="false">'Aturan &amp; Tarif'!$B$5</f>
        <v>2050</v>
      </c>
      <c r="L153" s="32" t="n">
        <f aca="false">'Aturan &amp; Tarif'!$B$6</f>
        <v>350</v>
      </c>
      <c r="M153" s="35" t="n">
        <f aca="false">I153+J153+K153+L153</f>
        <v>21574.72</v>
      </c>
      <c r="N153" s="37" t="s">
        <v>318</v>
      </c>
    </row>
    <row r="154" customFormat="false" ht="14.25" hidden="false" customHeight="true" outlineLevel="0" collapsed="false">
      <c r="A154" s="29"/>
      <c r="B154" s="30" t="s">
        <v>378</v>
      </c>
      <c r="C154" s="31" t="s">
        <v>107</v>
      </c>
      <c r="D154" s="31" t="s">
        <v>108</v>
      </c>
      <c r="E154" s="32" t="n">
        <v>8906</v>
      </c>
      <c r="F154" s="32"/>
      <c r="G154" s="32"/>
      <c r="H154" s="33" t="n">
        <v>2</v>
      </c>
      <c r="I154" s="34" t="n">
        <f aca="false">E154*H154+N(F154)+N(G154)</f>
        <v>17812</v>
      </c>
      <c r="J154" s="32" t="n">
        <f aca="false">ROUND(IFERROR(ROUND(IF(OR(ISNUMBER(SEARCH("week",C154)),ISNUMBER(SEARCH("minggu",C154))),IFERROR(_xlfn.NUMBERVALUE(SUBSTITUTE(LEFT(TRIM(C154),FIND(" ",TRIM(C154)&amp;" ")-1),",","."),"."),LEFT(SUBSTITUTE(LEFT(TRIM(C154),FIND(" ",TRIM(C154)&amp;" ")-1),",","."),FIND("/",SUBSTITUTE(LEFT(TRIM(C154),FIND(" ",TRIM(C154)&amp;" ")-1),",","."))-1)/MID(SUBSTITUTE(LEFT(TRIM(C154),FIND(" ",TRIM(C154)&amp;" ")-1),",","."),FIND("/",SUBSTITUTE(LEFT(TRIM(C154),FIND(" ",TRIM(C154)&amp;" ")-1),",","."))+1,9))*12/52,IF(ISNUMBER(SEARCH("month",C154)),IFERROR(_xlfn.NUMBERVALUE(SUBSTITUTE(LEFT(TRIM(C154),FIND(" ",TRIM(C154)&amp;" ")-1),",","."),"."),LEFT(SUBSTITUTE(LEFT(TRIM(C154),FIND(" ",TRIM(C154)&amp;" ")-1),",","."),FIND("/",SUBSTITUTE(LEFT(TRIM(C154),FIND(" ",TRIM(C154)&amp;" ")-1),",","."))-1)/MID(SUBSTITUTE(LEFT(TRIM(C154),FIND(" ",TRIM(C154)&amp;" ")-1),",","."),FIND("/",SUBSTITUTE(LEFT(TRIM(C154),FIND(" ",TRIM(C154)&amp;" ")-1),",","."))+1,9)),IF(ISNUMBER(SEARCH("yea",C154)),IFERROR(_xlfn.NUMBERVALUE(SUBSTITUTE(LEFT(TRIM(C154),FIND(" ",TRIM(C154)&amp;" ")-1),",","."),"."),LEFT(SUBSTITUTE(LEFT(TRIM(C154),FIND(" ",TRIM(C154)&amp;" ")-1),",","."),FIND("/",SUBSTITUTE(LEFT(TRIM(C154),FIND(" ",TRIM(C154)&amp;" ")-1),",","."))-1)/MID(SUBSTITUTE(LEFT(TRIM(C154),FIND(" ",TRIM(C154)&amp;" ")-1),",","."),FIND("/",SUBSTITUTE(LEFT(TRIM(C154),FIND(" ",TRIM(C154)&amp;" ")-1),",","."))+1,9))*12,NA()))),0),24)*'Aturan &amp; Tarif'!$B$4,2)</f>
        <v>1362.72</v>
      </c>
      <c r="K154" s="32" t="n">
        <f aca="false">'Aturan &amp; Tarif'!$B$5</f>
        <v>2050</v>
      </c>
      <c r="L154" s="32" t="n">
        <f aca="false">'Aturan &amp; Tarif'!$B$6</f>
        <v>350</v>
      </c>
      <c r="M154" s="35" t="n">
        <f aca="false">I154+J154+K154+L154</f>
        <v>21574.72</v>
      </c>
      <c r="N154" s="37" t="s">
        <v>318</v>
      </c>
    </row>
    <row r="155" customFormat="false" ht="25.5" hidden="false" customHeight="true" outlineLevel="0" collapsed="false">
      <c r="A155" s="29"/>
      <c r="B155" s="30" t="s">
        <v>379</v>
      </c>
      <c r="C155" s="31" t="s">
        <v>127</v>
      </c>
      <c r="D155" s="31" t="s">
        <v>108</v>
      </c>
      <c r="E155" s="32" t="n">
        <v>8098</v>
      </c>
      <c r="F155" s="32"/>
      <c r="G155" s="32"/>
      <c r="H155" s="33" t="n">
        <v>2</v>
      </c>
      <c r="I155" s="34" t="n">
        <f aca="false">E155*H155+N(F155)+N(G155)</f>
        <v>16196</v>
      </c>
      <c r="J155" s="32" t="n">
        <f aca="false">ROUND(IFERROR(ROUND(IF(OR(ISNUMBER(SEARCH("week",C155)),ISNUMBER(SEARCH("minggu",C155))),IFERROR(_xlfn.NUMBERVALUE(SUBSTITUTE(LEFT(TRIM(C155),FIND(" ",TRIM(C155)&amp;" ")-1),",","."),"."),LEFT(SUBSTITUTE(LEFT(TRIM(C155),FIND(" ",TRIM(C155)&amp;" ")-1),",","."),FIND("/",SUBSTITUTE(LEFT(TRIM(C155),FIND(" ",TRIM(C155)&amp;" ")-1),",","."))-1)/MID(SUBSTITUTE(LEFT(TRIM(C155),FIND(" ",TRIM(C155)&amp;" ")-1),",","."),FIND("/",SUBSTITUTE(LEFT(TRIM(C155),FIND(" ",TRIM(C155)&amp;" ")-1),",","."))+1,9))*12/52,IF(ISNUMBER(SEARCH("month",C155)),IFERROR(_xlfn.NUMBERVALUE(SUBSTITUTE(LEFT(TRIM(C155),FIND(" ",TRIM(C155)&amp;" ")-1),",","."),"."),LEFT(SUBSTITUTE(LEFT(TRIM(C155),FIND(" ",TRIM(C155)&amp;" ")-1),",","."),FIND("/",SUBSTITUTE(LEFT(TRIM(C155),FIND(" ",TRIM(C155)&amp;" ")-1),",","."))-1)/MID(SUBSTITUTE(LEFT(TRIM(C155),FIND(" ",TRIM(C155)&amp;" ")-1),",","."),FIND("/",SUBSTITUTE(LEFT(TRIM(C155),FIND(" ",TRIM(C155)&amp;" ")-1),",","."))+1,9)),IF(ISNUMBER(SEARCH("yea",C155)),IFERROR(_xlfn.NUMBERVALUE(SUBSTITUTE(LEFT(TRIM(C155),FIND(" ",TRIM(C155)&amp;" ")-1),",","."),"."),LEFT(SUBSTITUTE(LEFT(TRIM(C155),FIND(" ",TRIM(C155)&amp;" ")-1),",","."),FIND("/",SUBSTITUTE(LEFT(TRIM(C155),FIND(" ",TRIM(C155)&amp;" ")-1),",","."))-1)/MID(SUBSTITUTE(LEFT(TRIM(C155),FIND(" ",TRIM(C155)&amp;" ")-1),",","."),FIND("/",SUBSTITUTE(LEFT(TRIM(C155),FIND(" ",TRIM(C155)&amp;" ")-1),",","."))+1,9))*12,NA()))),0),36)*'Aturan &amp; Tarif'!$B$4,2)</f>
        <v>2044.08</v>
      </c>
      <c r="K155" s="32" t="n">
        <f aca="false">'Aturan &amp; Tarif'!$B$5</f>
        <v>2050</v>
      </c>
      <c r="L155" s="32" t="n">
        <f aca="false">'Aturan &amp; Tarif'!$B$6</f>
        <v>350</v>
      </c>
      <c r="M155" s="35" t="n">
        <f aca="false">I155+J155+K155+L155</f>
        <v>20640.08</v>
      </c>
      <c r="N155" s="37" t="s">
        <v>318</v>
      </c>
    </row>
    <row r="156" customFormat="false" ht="14.25" hidden="false" customHeight="true" outlineLevel="0" collapsed="false">
      <c r="A156" s="29"/>
      <c r="B156" s="30" t="s">
        <v>380</v>
      </c>
      <c r="C156" s="31" t="s">
        <v>191</v>
      </c>
      <c r="D156" s="31" t="s">
        <v>108</v>
      </c>
      <c r="E156" s="32" t="n">
        <v>8906</v>
      </c>
      <c r="F156" s="32"/>
      <c r="G156" s="32"/>
      <c r="H156" s="33" t="n">
        <v>2</v>
      </c>
      <c r="I156" s="34" t="n">
        <f aca="false">E156*H156+N(F156)+N(G156)</f>
        <v>17812</v>
      </c>
      <c r="J156" s="32" t="n">
        <f aca="false">ROUND(IFERROR(ROUND(IF(OR(ISNUMBER(SEARCH("week",C156)),ISNUMBER(SEARCH("minggu",C156))),IFERROR(_xlfn.NUMBERVALUE(SUBSTITUTE(LEFT(TRIM(C156),FIND(" ",TRIM(C156)&amp;" ")-1),",","."),"."),LEFT(SUBSTITUTE(LEFT(TRIM(C156),FIND(" ",TRIM(C156)&amp;" ")-1),",","."),FIND("/",SUBSTITUTE(LEFT(TRIM(C156),FIND(" ",TRIM(C156)&amp;" ")-1),",","."))-1)/MID(SUBSTITUTE(LEFT(TRIM(C156),FIND(" ",TRIM(C156)&amp;" ")-1),",","."),FIND("/",SUBSTITUTE(LEFT(TRIM(C156),FIND(" ",TRIM(C156)&amp;" ")-1),",","."))+1,9))*12/52,IF(ISNUMBER(SEARCH("month",C156)),IFERROR(_xlfn.NUMBERVALUE(SUBSTITUTE(LEFT(TRIM(C156),FIND(" ",TRIM(C156)&amp;" ")-1),",","."),"."),LEFT(SUBSTITUTE(LEFT(TRIM(C156),FIND(" ",TRIM(C156)&amp;" ")-1),",","."),FIND("/",SUBSTITUTE(LEFT(TRIM(C156),FIND(" ",TRIM(C156)&amp;" ")-1),",","."))-1)/MID(SUBSTITUTE(LEFT(TRIM(C156),FIND(" ",TRIM(C156)&amp;" ")-1),",","."),FIND("/",SUBSTITUTE(LEFT(TRIM(C156),FIND(" ",TRIM(C156)&amp;" ")-1),",","."))+1,9)),IF(ISNUMBER(SEARCH("yea",C156)),IFERROR(_xlfn.NUMBERVALUE(SUBSTITUTE(LEFT(TRIM(C156),FIND(" ",TRIM(C156)&amp;" ")-1),",","."),"."),LEFT(SUBSTITUTE(LEFT(TRIM(C156),FIND(" ",TRIM(C156)&amp;" ")-1),",","."),FIND("/",SUBSTITUTE(LEFT(TRIM(C156),FIND(" ",TRIM(C156)&amp;" ")-1),",","."))-1)/MID(SUBSTITUTE(LEFT(TRIM(C156),FIND(" ",TRIM(C156)&amp;" ")-1),",","."),FIND("/",SUBSTITUTE(LEFT(TRIM(C156),FIND(" ",TRIM(C156)&amp;" ")-1),",","."))+1,9))*12,NA()))),0),48)*'Aturan &amp; Tarif'!$B$4,2)</f>
        <v>2725.44</v>
      </c>
      <c r="K156" s="32" t="n">
        <f aca="false">'Aturan &amp; Tarif'!$B$5</f>
        <v>2050</v>
      </c>
      <c r="L156" s="32" t="n">
        <f aca="false">'Aturan &amp; Tarif'!$B$6</f>
        <v>350</v>
      </c>
      <c r="M156" s="35" t="n">
        <f aca="false">I156+J156+K156+L156</f>
        <v>22937.44</v>
      </c>
      <c r="N156" s="37" t="s">
        <v>318</v>
      </c>
    </row>
    <row r="157" customFormat="false" ht="25.5" hidden="false" customHeight="true" outlineLevel="0" collapsed="false">
      <c r="A157" s="29"/>
      <c r="B157" s="30" t="s">
        <v>381</v>
      </c>
      <c r="C157" s="31" t="s">
        <v>127</v>
      </c>
      <c r="D157" s="31" t="s">
        <v>108</v>
      </c>
      <c r="E157" s="32" t="n">
        <v>8098</v>
      </c>
      <c r="F157" s="32"/>
      <c r="G157" s="32"/>
      <c r="H157" s="33" t="n">
        <v>2</v>
      </c>
      <c r="I157" s="34" t="n">
        <f aca="false">E157*H157+N(F157)+N(G157)</f>
        <v>16196</v>
      </c>
      <c r="J157" s="32" t="n">
        <f aca="false">ROUND(IFERROR(ROUND(IF(OR(ISNUMBER(SEARCH("week",C157)),ISNUMBER(SEARCH("minggu",C157))),IFERROR(_xlfn.NUMBERVALUE(SUBSTITUTE(LEFT(TRIM(C157),FIND(" ",TRIM(C157)&amp;" ")-1),",","."),"."),LEFT(SUBSTITUTE(LEFT(TRIM(C157),FIND(" ",TRIM(C157)&amp;" ")-1),",","."),FIND("/",SUBSTITUTE(LEFT(TRIM(C157),FIND(" ",TRIM(C157)&amp;" ")-1),",","."))-1)/MID(SUBSTITUTE(LEFT(TRIM(C157),FIND(" ",TRIM(C157)&amp;" ")-1),",","."),FIND("/",SUBSTITUTE(LEFT(TRIM(C157),FIND(" ",TRIM(C157)&amp;" ")-1),",","."))+1,9))*12/52,IF(ISNUMBER(SEARCH("month",C157)),IFERROR(_xlfn.NUMBERVALUE(SUBSTITUTE(LEFT(TRIM(C157),FIND(" ",TRIM(C157)&amp;" ")-1),",","."),"."),LEFT(SUBSTITUTE(LEFT(TRIM(C157),FIND(" ",TRIM(C157)&amp;" ")-1),",","."),FIND("/",SUBSTITUTE(LEFT(TRIM(C157),FIND(" ",TRIM(C157)&amp;" ")-1),",","."))-1)/MID(SUBSTITUTE(LEFT(TRIM(C157),FIND(" ",TRIM(C157)&amp;" ")-1),",","."),FIND("/",SUBSTITUTE(LEFT(TRIM(C157),FIND(" ",TRIM(C157)&amp;" ")-1),",","."))+1,9)),IF(ISNUMBER(SEARCH("yea",C157)),IFERROR(_xlfn.NUMBERVALUE(SUBSTITUTE(LEFT(TRIM(C157),FIND(" ",TRIM(C157)&amp;" ")-1),",","."),"."),LEFT(SUBSTITUTE(LEFT(TRIM(C157),FIND(" ",TRIM(C157)&amp;" ")-1),",","."),FIND("/",SUBSTITUTE(LEFT(TRIM(C157),FIND(" ",TRIM(C157)&amp;" ")-1),",","."))-1)/MID(SUBSTITUTE(LEFT(TRIM(C157),FIND(" ",TRIM(C157)&amp;" ")-1),",","."),FIND("/",SUBSTITUTE(LEFT(TRIM(C157),FIND(" ",TRIM(C157)&amp;" ")-1),",","."))+1,9))*12,NA()))),0),36)*'Aturan &amp; Tarif'!$B$4,2)</f>
        <v>2044.08</v>
      </c>
      <c r="K157" s="32" t="n">
        <f aca="false">'Aturan &amp; Tarif'!$B$5</f>
        <v>2050</v>
      </c>
      <c r="L157" s="32" t="n">
        <f aca="false">'Aturan &amp; Tarif'!$B$6</f>
        <v>350</v>
      </c>
      <c r="M157" s="35" t="n">
        <f aca="false">I157+J157+K157+L157</f>
        <v>20640.08</v>
      </c>
      <c r="N157" s="37" t="s">
        <v>318</v>
      </c>
    </row>
    <row r="158" customFormat="false" ht="25.5" hidden="false" customHeight="true" outlineLevel="0" collapsed="false">
      <c r="A158" s="29"/>
      <c r="B158" s="30" t="s">
        <v>382</v>
      </c>
      <c r="C158" s="31" t="s">
        <v>191</v>
      </c>
      <c r="D158" s="31" t="s">
        <v>108</v>
      </c>
      <c r="E158" s="32" t="n">
        <v>8098</v>
      </c>
      <c r="F158" s="32"/>
      <c r="G158" s="32"/>
      <c r="H158" s="33" t="n">
        <v>2</v>
      </c>
      <c r="I158" s="34" t="n">
        <f aca="false">E158*H158+N(F158)+N(G158)</f>
        <v>16196</v>
      </c>
      <c r="J158" s="32" t="n">
        <f aca="false">ROUND(IFERROR(ROUND(IF(OR(ISNUMBER(SEARCH("week",C158)),ISNUMBER(SEARCH("minggu",C158))),IFERROR(_xlfn.NUMBERVALUE(SUBSTITUTE(LEFT(TRIM(C158),FIND(" ",TRIM(C158)&amp;" ")-1),",","."),"."),LEFT(SUBSTITUTE(LEFT(TRIM(C158),FIND(" ",TRIM(C158)&amp;" ")-1),",","."),FIND("/",SUBSTITUTE(LEFT(TRIM(C158),FIND(" ",TRIM(C158)&amp;" ")-1),",","."))-1)/MID(SUBSTITUTE(LEFT(TRIM(C158),FIND(" ",TRIM(C158)&amp;" ")-1),",","."),FIND("/",SUBSTITUTE(LEFT(TRIM(C158),FIND(" ",TRIM(C158)&amp;" ")-1),",","."))+1,9))*12/52,IF(ISNUMBER(SEARCH("month",C158)),IFERROR(_xlfn.NUMBERVALUE(SUBSTITUTE(LEFT(TRIM(C158),FIND(" ",TRIM(C158)&amp;" ")-1),",","."),"."),LEFT(SUBSTITUTE(LEFT(TRIM(C158),FIND(" ",TRIM(C158)&amp;" ")-1),",","."),FIND("/",SUBSTITUTE(LEFT(TRIM(C158),FIND(" ",TRIM(C158)&amp;" ")-1),",","."))-1)/MID(SUBSTITUTE(LEFT(TRIM(C158),FIND(" ",TRIM(C158)&amp;" ")-1),",","."),FIND("/",SUBSTITUTE(LEFT(TRIM(C158),FIND(" ",TRIM(C158)&amp;" ")-1),",","."))+1,9)),IF(ISNUMBER(SEARCH("yea",C158)),IFERROR(_xlfn.NUMBERVALUE(SUBSTITUTE(LEFT(TRIM(C158),FIND(" ",TRIM(C158)&amp;" ")-1),",","."),"."),LEFT(SUBSTITUTE(LEFT(TRIM(C158),FIND(" ",TRIM(C158)&amp;" ")-1),",","."),FIND("/",SUBSTITUTE(LEFT(TRIM(C158),FIND(" ",TRIM(C158)&amp;" ")-1),",","."))-1)/MID(SUBSTITUTE(LEFT(TRIM(C158),FIND(" ",TRIM(C158)&amp;" ")-1),",","."),FIND("/",SUBSTITUTE(LEFT(TRIM(C158),FIND(" ",TRIM(C158)&amp;" ")-1),",","."))+1,9))*12,NA()))),0),48)*'Aturan &amp; Tarif'!$B$4,2)</f>
        <v>2725.44</v>
      </c>
      <c r="K158" s="32" t="n">
        <f aca="false">'Aturan &amp; Tarif'!$B$5</f>
        <v>2050</v>
      </c>
      <c r="L158" s="32" t="n">
        <f aca="false">'Aturan &amp; Tarif'!$B$6</f>
        <v>350</v>
      </c>
      <c r="M158" s="35" t="n">
        <f aca="false">I158+J158+K158+L158</f>
        <v>21321.44</v>
      </c>
      <c r="N158" s="37" t="s">
        <v>318</v>
      </c>
    </row>
    <row r="159" customFormat="false" ht="14.25" hidden="false" customHeight="true" outlineLevel="0" collapsed="false">
      <c r="A159" s="29"/>
      <c r="B159" s="30" t="s">
        <v>383</v>
      </c>
      <c r="C159" s="31" t="s">
        <v>191</v>
      </c>
      <c r="D159" s="31" t="s">
        <v>108</v>
      </c>
      <c r="E159" s="32" t="n">
        <v>8906</v>
      </c>
      <c r="F159" s="32"/>
      <c r="G159" s="32"/>
      <c r="H159" s="33" t="n">
        <v>2</v>
      </c>
      <c r="I159" s="34" t="n">
        <f aca="false">E159*H159+N(F159)+N(G159)</f>
        <v>17812</v>
      </c>
      <c r="J159" s="32" t="n">
        <f aca="false">ROUND(IFERROR(ROUND(IF(OR(ISNUMBER(SEARCH("week",C159)),ISNUMBER(SEARCH("minggu",C159))),IFERROR(_xlfn.NUMBERVALUE(SUBSTITUTE(LEFT(TRIM(C159),FIND(" ",TRIM(C159)&amp;" ")-1),",","."),"."),LEFT(SUBSTITUTE(LEFT(TRIM(C159),FIND(" ",TRIM(C159)&amp;" ")-1),",","."),FIND("/",SUBSTITUTE(LEFT(TRIM(C159),FIND(" ",TRIM(C159)&amp;" ")-1),",","."))-1)/MID(SUBSTITUTE(LEFT(TRIM(C159),FIND(" ",TRIM(C159)&amp;" ")-1),",","."),FIND("/",SUBSTITUTE(LEFT(TRIM(C159),FIND(" ",TRIM(C159)&amp;" ")-1),",","."))+1,9))*12/52,IF(ISNUMBER(SEARCH("month",C159)),IFERROR(_xlfn.NUMBERVALUE(SUBSTITUTE(LEFT(TRIM(C159),FIND(" ",TRIM(C159)&amp;" ")-1),",","."),"."),LEFT(SUBSTITUTE(LEFT(TRIM(C159),FIND(" ",TRIM(C159)&amp;" ")-1),",","."),FIND("/",SUBSTITUTE(LEFT(TRIM(C159),FIND(" ",TRIM(C159)&amp;" ")-1),",","."))-1)/MID(SUBSTITUTE(LEFT(TRIM(C159),FIND(" ",TRIM(C159)&amp;" ")-1),",","."),FIND("/",SUBSTITUTE(LEFT(TRIM(C159),FIND(" ",TRIM(C159)&amp;" ")-1),",","."))+1,9)),IF(ISNUMBER(SEARCH("yea",C159)),IFERROR(_xlfn.NUMBERVALUE(SUBSTITUTE(LEFT(TRIM(C159),FIND(" ",TRIM(C159)&amp;" ")-1),",","."),"."),LEFT(SUBSTITUTE(LEFT(TRIM(C159),FIND(" ",TRIM(C159)&amp;" ")-1),",","."),FIND("/",SUBSTITUTE(LEFT(TRIM(C159),FIND(" ",TRIM(C159)&amp;" ")-1),",","."))-1)/MID(SUBSTITUTE(LEFT(TRIM(C159),FIND(" ",TRIM(C159)&amp;" ")-1),",","."),FIND("/",SUBSTITUTE(LEFT(TRIM(C159),FIND(" ",TRIM(C159)&amp;" ")-1),",","."))+1,9))*12,NA()))),0),48)*'Aturan &amp; Tarif'!$B$4,2)</f>
        <v>2725.44</v>
      </c>
      <c r="K159" s="32" t="n">
        <f aca="false">'Aturan &amp; Tarif'!$B$5</f>
        <v>2050</v>
      </c>
      <c r="L159" s="32" t="n">
        <f aca="false">'Aturan &amp; Tarif'!$B$6</f>
        <v>350</v>
      </c>
      <c r="M159" s="35" t="n">
        <f aca="false">I159+J159+K159+L159</f>
        <v>22937.44</v>
      </c>
      <c r="N159" s="37" t="s">
        <v>318</v>
      </c>
    </row>
    <row r="160" customFormat="false" ht="14.25" hidden="false" customHeight="true" outlineLevel="0" collapsed="false">
      <c r="A160" s="29"/>
      <c r="B160" s="30" t="s">
        <v>265</v>
      </c>
      <c r="C160" s="31" t="s">
        <v>127</v>
      </c>
      <c r="D160" s="31" t="s">
        <v>108</v>
      </c>
      <c r="E160" s="32" t="n">
        <v>9820</v>
      </c>
      <c r="F160" s="32"/>
      <c r="G160" s="32"/>
      <c r="H160" s="33" t="n">
        <v>2</v>
      </c>
      <c r="I160" s="34" t="n">
        <f aca="false">E160*H160+N(F160)+N(G160)</f>
        <v>19640</v>
      </c>
      <c r="J160" s="32" t="n">
        <f aca="false">ROUND(IFERROR(ROUND(IF(OR(ISNUMBER(SEARCH("week",C160)),ISNUMBER(SEARCH("minggu",C160))),IFERROR(_xlfn.NUMBERVALUE(SUBSTITUTE(LEFT(TRIM(C160),FIND(" ",TRIM(C160)&amp;" ")-1),",","."),"."),LEFT(SUBSTITUTE(LEFT(TRIM(C160),FIND(" ",TRIM(C160)&amp;" ")-1),",","."),FIND("/",SUBSTITUTE(LEFT(TRIM(C160),FIND(" ",TRIM(C160)&amp;" ")-1),",","."))-1)/MID(SUBSTITUTE(LEFT(TRIM(C160),FIND(" ",TRIM(C160)&amp;" ")-1),",","."),FIND("/",SUBSTITUTE(LEFT(TRIM(C160),FIND(" ",TRIM(C160)&amp;" ")-1),",","."))+1,9))*12/52,IF(ISNUMBER(SEARCH("month",C160)),IFERROR(_xlfn.NUMBERVALUE(SUBSTITUTE(LEFT(TRIM(C160),FIND(" ",TRIM(C160)&amp;" ")-1),",","."),"."),LEFT(SUBSTITUTE(LEFT(TRIM(C160),FIND(" ",TRIM(C160)&amp;" ")-1),",","."),FIND("/",SUBSTITUTE(LEFT(TRIM(C160),FIND(" ",TRIM(C160)&amp;" ")-1),",","."))-1)/MID(SUBSTITUTE(LEFT(TRIM(C160),FIND(" ",TRIM(C160)&amp;" ")-1),",","."),FIND("/",SUBSTITUTE(LEFT(TRIM(C160),FIND(" ",TRIM(C160)&amp;" ")-1),",","."))+1,9)),IF(ISNUMBER(SEARCH("yea",C160)),IFERROR(_xlfn.NUMBERVALUE(SUBSTITUTE(LEFT(TRIM(C160),FIND(" ",TRIM(C160)&amp;" ")-1),",","."),"."),LEFT(SUBSTITUTE(LEFT(TRIM(C160),FIND(" ",TRIM(C160)&amp;" ")-1),",","."),FIND("/",SUBSTITUTE(LEFT(TRIM(C160),FIND(" ",TRIM(C160)&amp;" ")-1),",","."))-1)/MID(SUBSTITUTE(LEFT(TRIM(C160),FIND(" ",TRIM(C160)&amp;" ")-1),",","."),FIND("/",SUBSTITUTE(LEFT(TRIM(C160),FIND(" ",TRIM(C160)&amp;" ")-1),",","."))+1,9))*12,NA()))),0),36)*'Aturan &amp; Tarif'!$B$4,2)</f>
        <v>2044.08</v>
      </c>
      <c r="K160" s="32" t="n">
        <f aca="false">'Aturan &amp; Tarif'!$B$5</f>
        <v>2050</v>
      </c>
      <c r="L160" s="32" t="n">
        <f aca="false">'Aturan &amp; Tarif'!$B$6</f>
        <v>350</v>
      </c>
      <c r="M160" s="35" t="n">
        <f aca="false">I160+J160+K160+L160</f>
        <v>24084.08</v>
      </c>
      <c r="N160" s="37" t="s">
        <v>318</v>
      </c>
    </row>
    <row r="161" customFormat="false" ht="14.25" hidden="false" customHeight="true" outlineLevel="0" collapsed="false">
      <c r="A161" s="29"/>
      <c r="B161" s="30" t="s">
        <v>384</v>
      </c>
      <c r="C161" s="31" t="s">
        <v>127</v>
      </c>
      <c r="D161" s="31" t="s">
        <v>108</v>
      </c>
      <c r="E161" s="32" t="n">
        <v>9820</v>
      </c>
      <c r="F161" s="32"/>
      <c r="G161" s="32"/>
      <c r="H161" s="33" t="n">
        <v>2</v>
      </c>
      <c r="I161" s="34" t="n">
        <f aca="false">E161*H161+N(F161)+N(G161)</f>
        <v>19640</v>
      </c>
      <c r="J161" s="32" t="n">
        <f aca="false">ROUND(IFERROR(ROUND(IF(OR(ISNUMBER(SEARCH("week",C161)),ISNUMBER(SEARCH("minggu",C161))),IFERROR(_xlfn.NUMBERVALUE(SUBSTITUTE(LEFT(TRIM(C161),FIND(" ",TRIM(C161)&amp;" ")-1),",","."),"."),LEFT(SUBSTITUTE(LEFT(TRIM(C161),FIND(" ",TRIM(C161)&amp;" ")-1),",","."),FIND("/",SUBSTITUTE(LEFT(TRIM(C161),FIND(" ",TRIM(C161)&amp;" ")-1),",","."))-1)/MID(SUBSTITUTE(LEFT(TRIM(C161),FIND(" ",TRIM(C161)&amp;" ")-1),",","."),FIND("/",SUBSTITUTE(LEFT(TRIM(C161),FIND(" ",TRIM(C161)&amp;" ")-1),",","."))+1,9))*12/52,IF(ISNUMBER(SEARCH("month",C161)),IFERROR(_xlfn.NUMBERVALUE(SUBSTITUTE(LEFT(TRIM(C161),FIND(" ",TRIM(C161)&amp;" ")-1),",","."),"."),LEFT(SUBSTITUTE(LEFT(TRIM(C161),FIND(" ",TRIM(C161)&amp;" ")-1),",","."),FIND("/",SUBSTITUTE(LEFT(TRIM(C161),FIND(" ",TRIM(C161)&amp;" ")-1),",","."))-1)/MID(SUBSTITUTE(LEFT(TRIM(C161),FIND(" ",TRIM(C161)&amp;" ")-1),",","."),FIND("/",SUBSTITUTE(LEFT(TRIM(C161),FIND(" ",TRIM(C161)&amp;" ")-1),",","."))+1,9)),IF(ISNUMBER(SEARCH("yea",C161)),IFERROR(_xlfn.NUMBERVALUE(SUBSTITUTE(LEFT(TRIM(C161),FIND(" ",TRIM(C161)&amp;" ")-1),",","."),"."),LEFT(SUBSTITUTE(LEFT(TRIM(C161),FIND(" ",TRIM(C161)&amp;" ")-1),",","."),FIND("/",SUBSTITUTE(LEFT(TRIM(C161),FIND(" ",TRIM(C161)&amp;" ")-1),",","."))-1)/MID(SUBSTITUTE(LEFT(TRIM(C161),FIND(" ",TRIM(C161)&amp;" ")-1),",","."),FIND("/",SUBSTITUTE(LEFT(TRIM(C161),FIND(" ",TRIM(C161)&amp;" ")-1),",","."))+1,9))*12,NA()))),0),36)*'Aturan &amp; Tarif'!$B$4,2)</f>
        <v>2044.08</v>
      </c>
      <c r="K161" s="32" t="n">
        <f aca="false">'Aturan &amp; Tarif'!$B$5</f>
        <v>2050</v>
      </c>
      <c r="L161" s="32" t="n">
        <f aca="false">'Aturan &amp; Tarif'!$B$6</f>
        <v>350</v>
      </c>
      <c r="M161" s="35" t="n">
        <f aca="false">I161+J161+K161+L161</f>
        <v>24084.08</v>
      </c>
      <c r="N161" s="37" t="s">
        <v>318</v>
      </c>
    </row>
    <row r="162" customFormat="false" ht="14.25" hidden="false" customHeight="true" outlineLevel="0" collapsed="false">
      <c r="A162" s="29"/>
      <c r="B162" s="30" t="s">
        <v>385</v>
      </c>
      <c r="C162" s="31" t="s">
        <v>127</v>
      </c>
      <c r="D162" s="31" t="s">
        <v>108</v>
      </c>
      <c r="E162" s="32" t="n">
        <v>8098</v>
      </c>
      <c r="F162" s="32"/>
      <c r="G162" s="32"/>
      <c r="H162" s="33" t="n">
        <v>2</v>
      </c>
      <c r="I162" s="34" t="n">
        <f aca="false">E162*H162+N(F162)+N(G162)</f>
        <v>16196</v>
      </c>
      <c r="J162" s="32" t="n">
        <f aca="false">ROUND(IFERROR(ROUND(IF(OR(ISNUMBER(SEARCH("week",C162)),ISNUMBER(SEARCH("minggu",C162))),IFERROR(_xlfn.NUMBERVALUE(SUBSTITUTE(LEFT(TRIM(C162),FIND(" ",TRIM(C162)&amp;" ")-1),",","."),"."),LEFT(SUBSTITUTE(LEFT(TRIM(C162),FIND(" ",TRIM(C162)&amp;" ")-1),",","."),FIND("/",SUBSTITUTE(LEFT(TRIM(C162),FIND(" ",TRIM(C162)&amp;" ")-1),",","."))-1)/MID(SUBSTITUTE(LEFT(TRIM(C162),FIND(" ",TRIM(C162)&amp;" ")-1),",","."),FIND("/",SUBSTITUTE(LEFT(TRIM(C162),FIND(" ",TRIM(C162)&amp;" ")-1),",","."))+1,9))*12/52,IF(ISNUMBER(SEARCH("month",C162)),IFERROR(_xlfn.NUMBERVALUE(SUBSTITUTE(LEFT(TRIM(C162),FIND(" ",TRIM(C162)&amp;" ")-1),",","."),"."),LEFT(SUBSTITUTE(LEFT(TRIM(C162),FIND(" ",TRIM(C162)&amp;" ")-1),",","."),FIND("/",SUBSTITUTE(LEFT(TRIM(C162),FIND(" ",TRIM(C162)&amp;" ")-1),",","."))-1)/MID(SUBSTITUTE(LEFT(TRIM(C162),FIND(" ",TRIM(C162)&amp;" ")-1),",","."),FIND("/",SUBSTITUTE(LEFT(TRIM(C162),FIND(" ",TRIM(C162)&amp;" ")-1),",","."))+1,9)),IF(ISNUMBER(SEARCH("yea",C162)),IFERROR(_xlfn.NUMBERVALUE(SUBSTITUTE(LEFT(TRIM(C162),FIND(" ",TRIM(C162)&amp;" ")-1),",","."),"."),LEFT(SUBSTITUTE(LEFT(TRIM(C162),FIND(" ",TRIM(C162)&amp;" ")-1),",","."),FIND("/",SUBSTITUTE(LEFT(TRIM(C162),FIND(" ",TRIM(C162)&amp;" ")-1),",","."))-1)/MID(SUBSTITUTE(LEFT(TRIM(C162),FIND(" ",TRIM(C162)&amp;" ")-1),",","."),FIND("/",SUBSTITUTE(LEFT(TRIM(C162),FIND(" ",TRIM(C162)&amp;" ")-1),",","."))+1,9))*12,NA()))),0),36)*'Aturan &amp; Tarif'!$B$4,2)</f>
        <v>2044.08</v>
      </c>
      <c r="K162" s="32" t="n">
        <f aca="false">'Aturan &amp; Tarif'!$B$5</f>
        <v>2050</v>
      </c>
      <c r="L162" s="32" t="n">
        <f aca="false">'Aturan &amp; Tarif'!$B$6</f>
        <v>350</v>
      </c>
      <c r="M162" s="35" t="n">
        <f aca="false">I162+J162+K162+L162</f>
        <v>20640.08</v>
      </c>
      <c r="N162" s="37" t="s">
        <v>318</v>
      </c>
    </row>
    <row r="163" customFormat="false" ht="72" hidden="false" customHeight="true" outlineLevel="0" collapsed="false">
      <c r="A163" s="29"/>
      <c r="B163" s="30" t="s">
        <v>386</v>
      </c>
      <c r="C163" s="31" t="s">
        <v>191</v>
      </c>
      <c r="D163" s="31" t="s">
        <v>108</v>
      </c>
      <c r="E163" s="32" t="n">
        <v>13136</v>
      </c>
      <c r="F163" s="32"/>
      <c r="G163" s="32"/>
      <c r="H163" s="33" t="n">
        <v>2</v>
      </c>
      <c r="I163" s="34" t="n">
        <f aca="false">E163*H163+N(F163)+N(G163)</f>
        <v>26272</v>
      </c>
      <c r="J163" s="32" t="n">
        <f aca="false">ROUND(IFERROR(ROUND(IF(OR(ISNUMBER(SEARCH("week",C163)),ISNUMBER(SEARCH("minggu",C163))),IFERROR(_xlfn.NUMBERVALUE(SUBSTITUTE(LEFT(TRIM(C163),FIND(" ",TRIM(C163)&amp;" ")-1),",","."),"."),LEFT(SUBSTITUTE(LEFT(TRIM(C163),FIND(" ",TRIM(C163)&amp;" ")-1),",","."),FIND("/",SUBSTITUTE(LEFT(TRIM(C163),FIND(" ",TRIM(C163)&amp;" ")-1),",","."))-1)/MID(SUBSTITUTE(LEFT(TRIM(C163),FIND(" ",TRIM(C163)&amp;" ")-1),",","."),FIND("/",SUBSTITUTE(LEFT(TRIM(C163),FIND(" ",TRIM(C163)&amp;" ")-1),",","."))+1,9))*12/52,IF(ISNUMBER(SEARCH("month",C163)),IFERROR(_xlfn.NUMBERVALUE(SUBSTITUTE(LEFT(TRIM(C163),FIND(" ",TRIM(C163)&amp;" ")-1),",","."),"."),LEFT(SUBSTITUTE(LEFT(TRIM(C163),FIND(" ",TRIM(C163)&amp;" ")-1),",","."),FIND("/",SUBSTITUTE(LEFT(TRIM(C163),FIND(" ",TRIM(C163)&amp;" ")-1),",","."))-1)/MID(SUBSTITUTE(LEFT(TRIM(C163),FIND(" ",TRIM(C163)&amp;" ")-1),",","."),FIND("/",SUBSTITUTE(LEFT(TRIM(C163),FIND(" ",TRIM(C163)&amp;" ")-1),",","."))+1,9)),IF(ISNUMBER(SEARCH("yea",C163)),IFERROR(_xlfn.NUMBERVALUE(SUBSTITUTE(LEFT(TRIM(C163),FIND(" ",TRIM(C163)&amp;" ")-1),",","."),"."),LEFT(SUBSTITUTE(LEFT(TRIM(C163),FIND(" ",TRIM(C163)&amp;" ")-1),",","."),FIND("/",SUBSTITUTE(LEFT(TRIM(C163),FIND(" ",TRIM(C163)&amp;" ")-1),",","."))-1)/MID(SUBSTITUTE(LEFT(TRIM(C163),FIND(" ",TRIM(C163)&amp;" ")-1),",","."),FIND("/",SUBSTITUTE(LEFT(TRIM(C163),FIND(" ",TRIM(C163)&amp;" ")-1),",","."))+1,9))*12,NA()))),0),48)*'Aturan &amp; Tarif'!$B$4,2)</f>
        <v>2725.44</v>
      </c>
      <c r="K163" s="32" t="n">
        <f aca="false">'Aturan &amp; Tarif'!$B$5</f>
        <v>2050</v>
      </c>
      <c r="L163" s="32" t="n">
        <f aca="false">'Aturan &amp; Tarif'!$B$6</f>
        <v>350</v>
      </c>
      <c r="M163" s="35" t="n">
        <f aca="false">I163+J163+K163+L163</f>
        <v>31397.44</v>
      </c>
      <c r="N163" s="37" t="s">
        <v>318</v>
      </c>
    </row>
    <row r="164" customFormat="false" ht="25.5" hidden="false" customHeight="true" outlineLevel="0" collapsed="false">
      <c r="A164" s="29"/>
      <c r="B164" s="30" t="s">
        <v>387</v>
      </c>
      <c r="C164" s="31" t="s">
        <v>191</v>
      </c>
      <c r="D164" s="31" t="s">
        <v>108</v>
      </c>
      <c r="E164" s="32" t="n">
        <v>13136</v>
      </c>
      <c r="F164" s="32"/>
      <c r="G164" s="32"/>
      <c r="H164" s="33" t="n">
        <v>2</v>
      </c>
      <c r="I164" s="34" t="n">
        <f aca="false">E164*H164+N(F164)+N(G164)</f>
        <v>26272</v>
      </c>
      <c r="J164" s="32" t="n">
        <f aca="false">ROUND(IFERROR(ROUND(IF(OR(ISNUMBER(SEARCH("week",C164)),ISNUMBER(SEARCH("minggu",C164))),IFERROR(_xlfn.NUMBERVALUE(SUBSTITUTE(LEFT(TRIM(C164),FIND(" ",TRIM(C164)&amp;" ")-1),",","."),"."),LEFT(SUBSTITUTE(LEFT(TRIM(C164),FIND(" ",TRIM(C164)&amp;" ")-1),",","."),FIND("/",SUBSTITUTE(LEFT(TRIM(C164),FIND(" ",TRIM(C164)&amp;" ")-1),",","."))-1)/MID(SUBSTITUTE(LEFT(TRIM(C164),FIND(" ",TRIM(C164)&amp;" ")-1),",","."),FIND("/",SUBSTITUTE(LEFT(TRIM(C164),FIND(" ",TRIM(C164)&amp;" ")-1),",","."))+1,9))*12/52,IF(ISNUMBER(SEARCH("month",C164)),IFERROR(_xlfn.NUMBERVALUE(SUBSTITUTE(LEFT(TRIM(C164),FIND(" ",TRIM(C164)&amp;" ")-1),",","."),"."),LEFT(SUBSTITUTE(LEFT(TRIM(C164),FIND(" ",TRIM(C164)&amp;" ")-1),",","."),FIND("/",SUBSTITUTE(LEFT(TRIM(C164),FIND(" ",TRIM(C164)&amp;" ")-1),",","."))-1)/MID(SUBSTITUTE(LEFT(TRIM(C164),FIND(" ",TRIM(C164)&amp;" ")-1),",","."),FIND("/",SUBSTITUTE(LEFT(TRIM(C164),FIND(" ",TRIM(C164)&amp;" ")-1),",","."))+1,9)),IF(ISNUMBER(SEARCH("yea",C164)),IFERROR(_xlfn.NUMBERVALUE(SUBSTITUTE(LEFT(TRIM(C164),FIND(" ",TRIM(C164)&amp;" ")-1),",","."),"."),LEFT(SUBSTITUTE(LEFT(TRIM(C164),FIND(" ",TRIM(C164)&amp;" ")-1),",","."),FIND("/",SUBSTITUTE(LEFT(TRIM(C164),FIND(" ",TRIM(C164)&amp;" ")-1),",","."))-1)/MID(SUBSTITUTE(LEFT(TRIM(C164),FIND(" ",TRIM(C164)&amp;" ")-1),",","."),FIND("/",SUBSTITUTE(LEFT(TRIM(C164),FIND(" ",TRIM(C164)&amp;" ")-1),",","."))+1,9))*12,NA()))),0),48)*'Aturan &amp; Tarif'!$B$4,2)</f>
        <v>2725.44</v>
      </c>
      <c r="K164" s="32" t="n">
        <f aca="false">'Aturan &amp; Tarif'!$B$5</f>
        <v>2050</v>
      </c>
      <c r="L164" s="32" t="n">
        <f aca="false">'Aturan &amp; Tarif'!$B$6</f>
        <v>350</v>
      </c>
      <c r="M164" s="35" t="n">
        <f aca="false">I164+J164+K164+L164</f>
        <v>31397.44</v>
      </c>
      <c r="N164" s="36" t="s">
        <v>388</v>
      </c>
    </row>
    <row r="165" customFormat="false" ht="37.5" hidden="false" customHeight="true" outlineLevel="0" collapsed="false">
      <c r="A165" s="29"/>
      <c r="B165" s="30" t="s">
        <v>389</v>
      </c>
      <c r="C165" s="31" t="s">
        <v>191</v>
      </c>
      <c r="D165" s="31" t="s">
        <v>108</v>
      </c>
      <c r="E165" s="32" t="n">
        <v>8098</v>
      </c>
      <c r="F165" s="32"/>
      <c r="G165" s="32"/>
      <c r="H165" s="33" t="n">
        <v>2</v>
      </c>
      <c r="I165" s="34" t="n">
        <f aca="false">E165*H165+N(F165)+N(G165)</f>
        <v>16196</v>
      </c>
      <c r="J165" s="32" t="n">
        <f aca="false">ROUND(IFERROR(ROUND(IF(OR(ISNUMBER(SEARCH("week",C165)),ISNUMBER(SEARCH("minggu",C165))),IFERROR(_xlfn.NUMBERVALUE(SUBSTITUTE(LEFT(TRIM(C165),FIND(" ",TRIM(C165)&amp;" ")-1),",","."),"."),LEFT(SUBSTITUTE(LEFT(TRIM(C165),FIND(" ",TRIM(C165)&amp;" ")-1),",","."),FIND("/",SUBSTITUTE(LEFT(TRIM(C165),FIND(" ",TRIM(C165)&amp;" ")-1),",","."))-1)/MID(SUBSTITUTE(LEFT(TRIM(C165),FIND(" ",TRIM(C165)&amp;" ")-1),",","."),FIND("/",SUBSTITUTE(LEFT(TRIM(C165),FIND(" ",TRIM(C165)&amp;" ")-1),",","."))+1,9))*12/52,IF(ISNUMBER(SEARCH("month",C165)),IFERROR(_xlfn.NUMBERVALUE(SUBSTITUTE(LEFT(TRIM(C165),FIND(" ",TRIM(C165)&amp;" ")-1),",","."),"."),LEFT(SUBSTITUTE(LEFT(TRIM(C165),FIND(" ",TRIM(C165)&amp;" ")-1),",","."),FIND("/",SUBSTITUTE(LEFT(TRIM(C165),FIND(" ",TRIM(C165)&amp;" ")-1),",","."))-1)/MID(SUBSTITUTE(LEFT(TRIM(C165),FIND(" ",TRIM(C165)&amp;" ")-1),",","."),FIND("/",SUBSTITUTE(LEFT(TRIM(C165),FIND(" ",TRIM(C165)&amp;" ")-1),",","."))+1,9)),IF(ISNUMBER(SEARCH("yea",C165)),IFERROR(_xlfn.NUMBERVALUE(SUBSTITUTE(LEFT(TRIM(C165),FIND(" ",TRIM(C165)&amp;" ")-1),",","."),"."),LEFT(SUBSTITUTE(LEFT(TRIM(C165),FIND(" ",TRIM(C165)&amp;" ")-1),",","."),FIND("/",SUBSTITUTE(LEFT(TRIM(C165),FIND(" ",TRIM(C165)&amp;" ")-1),",","."))-1)/MID(SUBSTITUTE(LEFT(TRIM(C165),FIND(" ",TRIM(C165)&amp;" ")-1),",","."),FIND("/",SUBSTITUTE(LEFT(TRIM(C165),FIND(" ",TRIM(C165)&amp;" ")-1),",","."))+1,9))*12,NA()))),0),48)*'Aturan &amp; Tarif'!$B$4,2)</f>
        <v>2725.44</v>
      </c>
      <c r="K165" s="32" t="n">
        <f aca="false">'Aturan &amp; Tarif'!$B$5</f>
        <v>2050</v>
      </c>
      <c r="L165" s="32" t="n">
        <f aca="false">'Aturan &amp; Tarif'!$B$6</f>
        <v>350</v>
      </c>
      <c r="M165" s="35" t="n">
        <f aca="false">I165+J165+K165+L165</f>
        <v>21321.44</v>
      </c>
      <c r="N165" s="37" t="s">
        <v>318</v>
      </c>
    </row>
    <row r="166" customFormat="false" ht="37.5" hidden="false" customHeight="true" outlineLevel="0" collapsed="false">
      <c r="A166" s="29"/>
      <c r="B166" s="30" t="s">
        <v>390</v>
      </c>
      <c r="C166" s="31" t="s">
        <v>191</v>
      </c>
      <c r="D166" s="31" t="s">
        <v>108</v>
      </c>
      <c r="E166" s="32" t="n">
        <v>8098</v>
      </c>
      <c r="F166" s="32"/>
      <c r="G166" s="32"/>
      <c r="H166" s="33" t="n">
        <v>2</v>
      </c>
      <c r="I166" s="34" t="n">
        <f aca="false">E166*H166+N(F166)+N(G166)</f>
        <v>16196</v>
      </c>
      <c r="J166" s="32" t="n">
        <f aca="false">ROUND(IFERROR(ROUND(IF(OR(ISNUMBER(SEARCH("week",C166)),ISNUMBER(SEARCH("minggu",C166))),IFERROR(_xlfn.NUMBERVALUE(SUBSTITUTE(LEFT(TRIM(C166),FIND(" ",TRIM(C166)&amp;" ")-1),",","."),"."),LEFT(SUBSTITUTE(LEFT(TRIM(C166),FIND(" ",TRIM(C166)&amp;" ")-1),",","."),FIND("/",SUBSTITUTE(LEFT(TRIM(C166),FIND(" ",TRIM(C166)&amp;" ")-1),",","."))-1)/MID(SUBSTITUTE(LEFT(TRIM(C166),FIND(" ",TRIM(C166)&amp;" ")-1),",","."),FIND("/",SUBSTITUTE(LEFT(TRIM(C166),FIND(" ",TRIM(C166)&amp;" ")-1),",","."))+1,9))*12/52,IF(ISNUMBER(SEARCH("month",C166)),IFERROR(_xlfn.NUMBERVALUE(SUBSTITUTE(LEFT(TRIM(C166),FIND(" ",TRIM(C166)&amp;" ")-1),",","."),"."),LEFT(SUBSTITUTE(LEFT(TRIM(C166),FIND(" ",TRIM(C166)&amp;" ")-1),",","."),FIND("/",SUBSTITUTE(LEFT(TRIM(C166),FIND(" ",TRIM(C166)&amp;" ")-1),",","."))-1)/MID(SUBSTITUTE(LEFT(TRIM(C166),FIND(" ",TRIM(C166)&amp;" ")-1),",","."),FIND("/",SUBSTITUTE(LEFT(TRIM(C166),FIND(" ",TRIM(C166)&amp;" ")-1),",","."))+1,9)),IF(ISNUMBER(SEARCH("yea",C166)),IFERROR(_xlfn.NUMBERVALUE(SUBSTITUTE(LEFT(TRIM(C166),FIND(" ",TRIM(C166)&amp;" ")-1),",","."),"."),LEFT(SUBSTITUTE(LEFT(TRIM(C166),FIND(" ",TRIM(C166)&amp;" ")-1),",","."),FIND("/",SUBSTITUTE(LEFT(TRIM(C166),FIND(" ",TRIM(C166)&amp;" ")-1),",","."))-1)/MID(SUBSTITUTE(LEFT(TRIM(C166),FIND(" ",TRIM(C166)&amp;" ")-1),",","."),FIND("/",SUBSTITUTE(LEFT(TRIM(C166),FIND(" ",TRIM(C166)&amp;" ")-1),",","."))+1,9))*12,NA()))),0),48)*'Aturan &amp; Tarif'!$B$4,2)</f>
        <v>2725.44</v>
      </c>
      <c r="K166" s="32" t="n">
        <f aca="false">'Aturan &amp; Tarif'!$B$5</f>
        <v>2050</v>
      </c>
      <c r="L166" s="32" t="n">
        <f aca="false">'Aturan &amp; Tarif'!$B$6</f>
        <v>350</v>
      </c>
      <c r="M166" s="35" t="n">
        <f aca="false">I166+J166+K166+L166</f>
        <v>21321.44</v>
      </c>
      <c r="N166" s="36" t="s">
        <v>391</v>
      </c>
    </row>
    <row r="167" customFormat="false" ht="25.5" hidden="false" customHeight="true" outlineLevel="0" collapsed="false">
      <c r="A167" s="29"/>
      <c r="B167" s="30" t="s">
        <v>392</v>
      </c>
      <c r="C167" s="31" t="s">
        <v>191</v>
      </c>
      <c r="D167" s="31" t="s">
        <v>108</v>
      </c>
      <c r="E167" s="32" t="n">
        <v>8098</v>
      </c>
      <c r="F167" s="32"/>
      <c r="G167" s="32"/>
      <c r="H167" s="33" t="n">
        <v>2</v>
      </c>
      <c r="I167" s="34" t="n">
        <f aca="false">E167*H167+N(F167)+N(G167)</f>
        <v>16196</v>
      </c>
      <c r="J167" s="32" t="n">
        <f aca="false">ROUND(IFERROR(ROUND(IF(OR(ISNUMBER(SEARCH("week",C167)),ISNUMBER(SEARCH("minggu",C167))),IFERROR(_xlfn.NUMBERVALUE(SUBSTITUTE(LEFT(TRIM(C167),FIND(" ",TRIM(C167)&amp;" ")-1),",","."),"."),LEFT(SUBSTITUTE(LEFT(TRIM(C167),FIND(" ",TRIM(C167)&amp;" ")-1),",","."),FIND("/",SUBSTITUTE(LEFT(TRIM(C167),FIND(" ",TRIM(C167)&amp;" ")-1),",","."))-1)/MID(SUBSTITUTE(LEFT(TRIM(C167),FIND(" ",TRIM(C167)&amp;" ")-1),",","."),FIND("/",SUBSTITUTE(LEFT(TRIM(C167),FIND(" ",TRIM(C167)&amp;" ")-1),",","."))+1,9))*12/52,IF(ISNUMBER(SEARCH("month",C167)),IFERROR(_xlfn.NUMBERVALUE(SUBSTITUTE(LEFT(TRIM(C167),FIND(" ",TRIM(C167)&amp;" ")-1),",","."),"."),LEFT(SUBSTITUTE(LEFT(TRIM(C167),FIND(" ",TRIM(C167)&amp;" ")-1),",","."),FIND("/",SUBSTITUTE(LEFT(TRIM(C167),FIND(" ",TRIM(C167)&amp;" ")-1),",","."))-1)/MID(SUBSTITUTE(LEFT(TRIM(C167),FIND(" ",TRIM(C167)&amp;" ")-1),",","."),FIND("/",SUBSTITUTE(LEFT(TRIM(C167),FIND(" ",TRIM(C167)&amp;" ")-1),",","."))+1,9)),IF(ISNUMBER(SEARCH("yea",C167)),IFERROR(_xlfn.NUMBERVALUE(SUBSTITUTE(LEFT(TRIM(C167),FIND(" ",TRIM(C167)&amp;" ")-1),",","."),"."),LEFT(SUBSTITUTE(LEFT(TRIM(C167),FIND(" ",TRIM(C167)&amp;" ")-1),",","."),FIND("/",SUBSTITUTE(LEFT(TRIM(C167),FIND(" ",TRIM(C167)&amp;" ")-1),",","."))-1)/MID(SUBSTITUTE(LEFT(TRIM(C167),FIND(" ",TRIM(C167)&amp;" ")-1),",","."),FIND("/",SUBSTITUTE(LEFT(TRIM(C167),FIND(" ",TRIM(C167)&amp;" ")-1),",","."))+1,9))*12,NA()))),0),48)*'Aturan &amp; Tarif'!$B$4,2)</f>
        <v>2725.44</v>
      </c>
      <c r="K167" s="32" t="n">
        <f aca="false">'Aturan &amp; Tarif'!$B$5</f>
        <v>2050</v>
      </c>
      <c r="L167" s="32" t="n">
        <f aca="false">'Aturan &amp; Tarif'!$B$6</f>
        <v>350</v>
      </c>
      <c r="M167" s="35" t="n">
        <f aca="false">I167+J167+K167+L167</f>
        <v>21321.44</v>
      </c>
      <c r="N167" s="36" t="s">
        <v>391</v>
      </c>
    </row>
    <row r="168" customFormat="false" ht="25.5" hidden="false" customHeight="true" outlineLevel="0" collapsed="false">
      <c r="A168" s="29"/>
      <c r="B168" s="30" t="s">
        <v>393</v>
      </c>
      <c r="C168" s="31" t="s">
        <v>191</v>
      </c>
      <c r="D168" s="31" t="s">
        <v>108</v>
      </c>
      <c r="E168" s="32" t="n">
        <v>8098</v>
      </c>
      <c r="F168" s="32"/>
      <c r="G168" s="32"/>
      <c r="H168" s="33" t="n">
        <v>2</v>
      </c>
      <c r="I168" s="34" t="n">
        <f aca="false">E168*H168+N(F168)+N(G168)</f>
        <v>16196</v>
      </c>
      <c r="J168" s="32" t="n">
        <f aca="false">ROUND(IFERROR(ROUND(IF(OR(ISNUMBER(SEARCH("week",C168)),ISNUMBER(SEARCH("minggu",C168))),IFERROR(_xlfn.NUMBERVALUE(SUBSTITUTE(LEFT(TRIM(C168),FIND(" ",TRIM(C168)&amp;" ")-1),",","."),"."),LEFT(SUBSTITUTE(LEFT(TRIM(C168),FIND(" ",TRIM(C168)&amp;" ")-1),",","."),FIND("/",SUBSTITUTE(LEFT(TRIM(C168),FIND(" ",TRIM(C168)&amp;" ")-1),",","."))-1)/MID(SUBSTITUTE(LEFT(TRIM(C168),FIND(" ",TRIM(C168)&amp;" ")-1),",","."),FIND("/",SUBSTITUTE(LEFT(TRIM(C168),FIND(" ",TRIM(C168)&amp;" ")-1),",","."))+1,9))*12/52,IF(ISNUMBER(SEARCH("month",C168)),IFERROR(_xlfn.NUMBERVALUE(SUBSTITUTE(LEFT(TRIM(C168),FIND(" ",TRIM(C168)&amp;" ")-1),",","."),"."),LEFT(SUBSTITUTE(LEFT(TRIM(C168),FIND(" ",TRIM(C168)&amp;" ")-1),",","."),FIND("/",SUBSTITUTE(LEFT(TRIM(C168),FIND(" ",TRIM(C168)&amp;" ")-1),",","."))-1)/MID(SUBSTITUTE(LEFT(TRIM(C168),FIND(" ",TRIM(C168)&amp;" ")-1),",","."),FIND("/",SUBSTITUTE(LEFT(TRIM(C168),FIND(" ",TRIM(C168)&amp;" ")-1),",","."))+1,9)),IF(ISNUMBER(SEARCH("yea",C168)),IFERROR(_xlfn.NUMBERVALUE(SUBSTITUTE(LEFT(TRIM(C168),FIND(" ",TRIM(C168)&amp;" ")-1),",","."),"."),LEFT(SUBSTITUTE(LEFT(TRIM(C168),FIND(" ",TRIM(C168)&amp;" ")-1),",","."),FIND("/",SUBSTITUTE(LEFT(TRIM(C168),FIND(" ",TRIM(C168)&amp;" ")-1),",","."))-1)/MID(SUBSTITUTE(LEFT(TRIM(C168),FIND(" ",TRIM(C168)&amp;" ")-1),",","."),FIND("/",SUBSTITUTE(LEFT(TRIM(C168),FIND(" ",TRIM(C168)&amp;" ")-1),",","."))+1,9))*12,NA()))),0),48)*'Aturan &amp; Tarif'!$B$4,2)</f>
        <v>2725.44</v>
      </c>
      <c r="K168" s="32" t="n">
        <f aca="false">'Aturan &amp; Tarif'!$B$5</f>
        <v>2050</v>
      </c>
      <c r="L168" s="32" t="n">
        <f aca="false">'Aturan &amp; Tarif'!$B$6</f>
        <v>350</v>
      </c>
      <c r="M168" s="35" t="n">
        <f aca="false">I168+J168+K168+L168</f>
        <v>21321.44</v>
      </c>
      <c r="N168" s="37" t="s">
        <v>322</v>
      </c>
    </row>
    <row r="169" customFormat="false" ht="25.5" hidden="false" customHeight="true" outlineLevel="0" collapsed="false">
      <c r="A169" s="29"/>
      <c r="B169" s="30" t="s">
        <v>394</v>
      </c>
      <c r="C169" s="31" t="s">
        <v>191</v>
      </c>
      <c r="D169" s="31" t="s">
        <v>108</v>
      </c>
      <c r="E169" s="32" t="n">
        <v>8098</v>
      </c>
      <c r="F169" s="32"/>
      <c r="G169" s="32"/>
      <c r="H169" s="33" t="n">
        <v>2</v>
      </c>
      <c r="I169" s="34" t="n">
        <f aca="false">E169*H169+N(F169)+N(G169)</f>
        <v>16196</v>
      </c>
      <c r="J169" s="32" t="n">
        <f aca="false">ROUND(IFERROR(ROUND(IF(OR(ISNUMBER(SEARCH("week",C169)),ISNUMBER(SEARCH("minggu",C169))),IFERROR(_xlfn.NUMBERVALUE(SUBSTITUTE(LEFT(TRIM(C169),FIND(" ",TRIM(C169)&amp;" ")-1),",","."),"."),LEFT(SUBSTITUTE(LEFT(TRIM(C169),FIND(" ",TRIM(C169)&amp;" ")-1),",","."),FIND("/",SUBSTITUTE(LEFT(TRIM(C169),FIND(" ",TRIM(C169)&amp;" ")-1),",","."))-1)/MID(SUBSTITUTE(LEFT(TRIM(C169),FIND(" ",TRIM(C169)&amp;" ")-1),",","."),FIND("/",SUBSTITUTE(LEFT(TRIM(C169),FIND(" ",TRIM(C169)&amp;" ")-1),",","."))+1,9))*12/52,IF(ISNUMBER(SEARCH("month",C169)),IFERROR(_xlfn.NUMBERVALUE(SUBSTITUTE(LEFT(TRIM(C169),FIND(" ",TRIM(C169)&amp;" ")-1),",","."),"."),LEFT(SUBSTITUTE(LEFT(TRIM(C169),FIND(" ",TRIM(C169)&amp;" ")-1),",","."),FIND("/",SUBSTITUTE(LEFT(TRIM(C169),FIND(" ",TRIM(C169)&amp;" ")-1),",","."))-1)/MID(SUBSTITUTE(LEFT(TRIM(C169),FIND(" ",TRIM(C169)&amp;" ")-1),",","."),FIND("/",SUBSTITUTE(LEFT(TRIM(C169),FIND(" ",TRIM(C169)&amp;" ")-1),",","."))+1,9)),IF(ISNUMBER(SEARCH("yea",C169)),IFERROR(_xlfn.NUMBERVALUE(SUBSTITUTE(LEFT(TRIM(C169),FIND(" ",TRIM(C169)&amp;" ")-1),",","."),"."),LEFT(SUBSTITUTE(LEFT(TRIM(C169),FIND(" ",TRIM(C169)&amp;" ")-1),",","."),FIND("/",SUBSTITUTE(LEFT(TRIM(C169),FIND(" ",TRIM(C169)&amp;" ")-1),",","."))-1)/MID(SUBSTITUTE(LEFT(TRIM(C169),FIND(" ",TRIM(C169)&amp;" ")-1),",","."),FIND("/",SUBSTITUTE(LEFT(TRIM(C169),FIND(" ",TRIM(C169)&amp;" ")-1),",","."))+1,9))*12,NA()))),0),48)*'Aturan &amp; Tarif'!$B$4,2)</f>
        <v>2725.44</v>
      </c>
      <c r="K169" s="32" t="n">
        <f aca="false">'Aturan &amp; Tarif'!$B$5</f>
        <v>2050</v>
      </c>
      <c r="L169" s="32" t="n">
        <f aca="false">'Aturan &amp; Tarif'!$B$6</f>
        <v>350</v>
      </c>
      <c r="M169" s="35" t="n">
        <f aca="false">I169+J169+K169+L169</f>
        <v>21321.44</v>
      </c>
      <c r="N169" s="37" t="s">
        <v>322</v>
      </c>
    </row>
    <row r="170" customFormat="false" ht="14.25" hidden="false" customHeight="true" outlineLevel="0" collapsed="false">
      <c r="A170" s="29"/>
      <c r="B170" s="30" t="s">
        <v>387</v>
      </c>
      <c r="C170" s="31" t="s">
        <v>191</v>
      </c>
      <c r="D170" s="31" t="s">
        <v>108</v>
      </c>
      <c r="E170" s="32" t="n">
        <v>8098</v>
      </c>
      <c r="F170" s="32"/>
      <c r="G170" s="32"/>
      <c r="H170" s="33" t="n">
        <v>2</v>
      </c>
      <c r="I170" s="34" t="n">
        <f aca="false">E170*H170+N(F170)+N(G170)</f>
        <v>16196</v>
      </c>
      <c r="J170" s="32" t="n">
        <f aca="false">ROUND(IFERROR(ROUND(IF(OR(ISNUMBER(SEARCH("week",C170)),ISNUMBER(SEARCH("minggu",C170))),IFERROR(_xlfn.NUMBERVALUE(SUBSTITUTE(LEFT(TRIM(C170),FIND(" ",TRIM(C170)&amp;" ")-1),",","."),"."),LEFT(SUBSTITUTE(LEFT(TRIM(C170),FIND(" ",TRIM(C170)&amp;" ")-1),",","."),FIND("/",SUBSTITUTE(LEFT(TRIM(C170),FIND(" ",TRIM(C170)&amp;" ")-1),",","."))-1)/MID(SUBSTITUTE(LEFT(TRIM(C170),FIND(" ",TRIM(C170)&amp;" ")-1),",","."),FIND("/",SUBSTITUTE(LEFT(TRIM(C170),FIND(" ",TRIM(C170)&amp;" ")-1),",","."))+1,9))*12/52,IF(ISNUMBER(SEARCH("month",C170)),IFERROR(_xlfn.NUMBERVALUE(SUBSTITUTE(LEFT(TRIM(C170),FIND(" ",TRIM(C170)&amp;" ")-1),",","."),"."),LEFT(SUBSTITUTE(LEFT(TRIM(C170),FIND(" ",TRIM(C170)&amp;" ")-1),",","."),FIND("/",SUBSTITUTE(LEFT(TRIM(C170),FIND(" ",TRIM(C170)&amp;" ")-1),",","."))-1)/MID(SUBSTITUTE(LEFT(TRIM(C170),FIND(" ",TRIM(C170)&amp;" ")-1),",","."),FIND("/",SUBSTITUTE(LEFT(TRIM(C170),FIND(" ",TRIM(C170)&amp;" ")-1),",","."))+1,9)),IF(ISNUMBER(SEARCH("yea",C170)),IFERROR(_xlfn.NUMBERVALUE(SUBSTITUTE(LEFT(TRIM(C170),FIND(" ",TRIM(C170)&amp;" ")-1),",","."),"."),LEFT(SUBSTITUTE(LEFT(TRIM(C170),FIND(" ",TRIM(C170)&amp;" ")-1),",","."),FIND("/",SUBSTITUTE(LEFT(TRIM(C170),FIND(" ",TRIM(C170)&amp;" ")-1),",","."))-1)/MID(SUBSTITUTE(LEFT(TRIM(C170),FIND(" ",TRIM(C170)&amp;" ")-1),",","."),FIND("/",SUBSTITUTE(LEFT(TRIM(C170),FIND(" ",TRIM(C170)&amp;" ")-1),",","."))+1,9))*12,NA()))),0),48)*'Aturan &amp; Tarif'!$B$4,2)</f>
        <v>2725.44</v>
      </c>
      <c r="K170" s="32" t="n">
        <f aca="false">'Aturan &amp; Tarif'!$B$5</f>
        <v>2050</v>
      </c>
      <c r="L170" s="32" t="n">
        <f aca="false">'Aturan &amp; Tarif'!$B$6</f>
        <v>350</v>
      </c>
      <c r="M170" s="35" t="n">
        <f aca="false">I170+J170+K170+L170</f>
        <v>21321.44</v>
      </c>
      <c r="N170" s="37" t="s">
        <v>322</v>
      </c>
    </row>
    <row r="171" customFormat="false" ht="14.25" hidden="false" customHeight="true" outlineLevel="0" collapsed="false">
      <c r="A171" s="29"/>
      <c r="B171" s="30" t="s">
        <v>395</v>
      </c>
      <c r="C171" s="31" t="s">
        <v>191</v>
      </c>
      <c r="D171" s="31" t="s">
        <v>108</v>
      </c>
      <c r="E171" s="32" t="n">
        <v>8098</v>
      </c>
      <c r="F171" s="32"/>
      <c r="G171" s="32"/>
      <c r="H171" s="33" t="n">
        <v>2</v>
      </c>
      <c r="I171" s="34" t="n">
        <f aca="false">E171*H171+N(F171)+N(G171)</f>
        <v>16196</v>
      </c>
      <c r="J171" s="32" t="n">
        <f aca="false">ROUND(IFERROR(ROUND(IF(OR(ISNUMBER(SEARCH("week",C171)),ISNUMBER(SEARCH("minggu",C171))),IFERROR(_xlfn.NUMBERVALUE(SUBSTITUTE(LEFT(TRIM(C171),FIND(" ",TRIM(C171)&amp;" ")-1),",","."),"."),LEFT(SUBSTITUTE(LEFT(TRIM(C171),FIND(" ",TRIM(C171)&amp;" ")-1),",","."),FIND("/",SUBSTITUTE(LEFT(TRIM(C171),FIND(" ",TRIM(C171)&amp;" ")-1),",","."))-1)/MID(SUBSTITUTE(LEFT(TRIM(C171),FIND(" ",TRIM(C171)&amp;" ")-1),",","."),FIND("/",SUBSTITUTE(LEFT(TRIM(C171),FIND(" ",TRIM(C171)&amp;" ")-1),",","."))+1,9))*12/52,IF(ISNUMBER(SEARCH("month",C171)),IFERROR(_xlfn.NUMBERVALUE(SUBSTITUTE(LEFT(TRIM(C171),FIND(" ",TRIM(C171)&amp;" ")-1),",","."),"."),LEFT(SUBSTITUTE(LEFT(TRIM(C171),FIND(" ",TRIM(C171)&amp;" ")-1),",","."),FIND("/",SUBSTITUTE(LEFT(TRIM(C171),FIND(" ",TRIM(C171)&amp;" ")-1),",","."))-1)/MID(SUBSTITUTE(LEFT(TRIM(C171),FIND(" ",TRIM(C171)&amp;" ")-1),",","."),FIND("/",SUBSTITUTE(LEFT(TRIM(C171),FIND(" ",TRIM(C171)&amp;" ")-1),",","."))+1,9)),IF(ISNUMBER(SEARCH("yea",C171)),IFERROR(_xlfn.NUMBERVALUE(SUBSTITUTE(LEFT(TRIM(C171),FIND(" ",TRIM(C171)&amp;" ")-1),",","."),"."),LEFT(SUBSTITUTE(LEFT(TRIM(C171),FIND(" ",TRIM(C171)&amp;" ")-1),",","."),FIND("/",SUBSTITUTE(LEFT(TRIM(C171),FIND(" ",TRIM(C171)&amp;" ")-1),",","."))-1)/MID(SUBSTITUTE(LEFT(TRIM(C171),FIND(" ",TRIM(C171)&amp;" ")-1),",","."),FIND("/",SUBSTITUTE(LEFT(TRIM(C171),FIND(" ",TRIM(C171)&amp;" ")-1),",","."))+1,9))*12,NA()))),0),48)*'Aturan &amp; Tarif'!$B$4,2)</f>
        <v>2725.44</v>
      </c>
      <c r="K171" s="32" t="n">
        <f aca="false">'Aturan &amp; Tarif'!$B$5</f>
        <v>2050</v>
      </c>
      <c r="L171" s="32" t="n">
        <f aca="false">'Aturan &amp; Tarif'!$B$6</f>
        <v>350</v>
      </c>
      <c r="M171" s="35" t="n">
        <f aca="false">I171+J171+K171+L171</f>
        <v>21321.44</v>
      </c>
      <c r="N171" s="37" t="s">
        <v>322</v>
      </c>
    </row>
    <row r="172" customFormat="false" ht="14.25" hidden="false" customHeight="true" outlineLevel="0" collapsed="false">
      <c r="A172" s="29"/>
      <c r="B172" s="30" t="s">
        <v>396</v>
      </c>
      <c r="C172" s="31" t="s">
        <v>191</v>
      </c>
      <c r="D172" s="31" t="s">
        <v>108</v>
      </c>
      <c r="E172" s="32" t="n">
        <v>13136</v>
      </c>
      <c r="F172" s="32"/>
      <c r="G172" s="32"/>
      <c r="H172" s="33" t="n">
        <v>2</v>
      </c>
      <c r="I172" s="34" t="n">
        <f aca="false">E172*H172+N(F172)+N(G172)</f>
        <v>26272</v>
      </c>
      <c r="J172" s="32" t="n">
        <f aca="false">ROUND(IFERROR(ROUND(IF(OR(ISNUMBER(SEARCH("week",C172)),ISNUMBER(SEARCH("minggu",C172))),IFERROR(_xlfn.NUMBERVALUE(SUBSTITUTE(LEFT(TRIM(C172),FIND(" ",TRIM(C172)&amp;" ")-1),",","."),"."),LEFT(SUBSTITUTE(LEFT(TRIM(C172),FIND(" ",TRIM(C172)&amp;" ")-1),",","."),FIND("/",SUBSTITUTE(LEFT(TRIM(C172),FIND(" ",TRIM(C172)&amp;" ")-1),",","."))-1)/MID(SUBSTITUTE(LEFT(TRIM(C172),FIND(" ",TRIM(C172)&amp;" ")-1),",","."),FIND("/",SUBSTITUTE(LEFT(TRIM(C172),FIND(" ",TRIM(C172)&amp;" ")-1),",","."))+1,9))*12/52,IF(ISNUMBER(SEARCH("month",C172)),IFERROR(_xlfn.NUMBERVALUE(SUBSTITUTE(LEFT(TRIM(C172),FIND(" ",TRIM(C172)&amp;" ")-1),",","."),"."),LEFT(SUBSTITUTE(LEFT(TRIM(C172),FIND(" ",TRIM(C172)&amp;" ")-1),",","."),FIND("/",SUBSTITUTE(LEFT(TRIM(C172),FIND(" ",TRIM(C172)&amp;" ")-1),",","."))-1)/MID(SUBSTITUTE(LEFT(TRIM(C172),FIND(" ",TRIM(C172)&amp;" ")-1),",","."),FIND("/",SUBSTITUTE(LEFT(TRIM(C172),FIND(" ",TRIM(C172)&amp;" ")-1),",","."))+1,9)),IF(ISNUMBER(SEARCH("yea",C172)),IFERROR(_xlfn.NUMBERVALUE(SUBSTITUTE(LEFT(TRIM(C172),FIND(" ",TRIM(C172)&amp;" ")-1),",","."),"."),LEFT(SUBSTITUTE(LEFT(TRIM(C172),FIND(" ",TRIM(C172)&amp;" ")-1),",","."),FIND("/",SUBSTITUTE(LEFT(TRIM(C172),FIND(" ",TRIM(C172)&amp;" ")-1),",","."))-1)/MID(SUBSTITUTE(LEFT(TRIM(C172),FIND(" ",TRIM(C172)&amp;" ")-1),",","."),FIND("/",SUBSTITUTE(LEFT(TRIM(C172),FIND(" ",TRIM(C172)&amp;" ")-1),",","."))+1,9))*12,NA()))),0),48)*'Aturan &amp; Tarif'!$B$4,2)</f>
        <v>2725.44</v>
      </c>
      <c r="K172" s="32" t="n">
        <f aca="false">'Aturan &amp; Tarif'!$B$5</f>
        <v>2050</v>
      </c>
      <c r="L172" s="32" t="n">
        <f aca="false">'Aturan &amp; Tarif'!$B$6</f>
        <v>350</v>
      </c>
      <c r="M172" s="35" t="n">
        <f aca="false">I172+J172+K172+L172</f>
        <v>31397.44</v>
      </c>
      <c r="N172" s="37" t="s">
        <v>318</v>
      </c>
    </row>
    <row r="173" customFormat="false" ht="14.25" hidden="false" customHeight="true" outlineLevel="0" collapsed="false">
      <c r="A173" s="29"/>
      <c r="B173" s="30" t="s">
        <v>397</v>
      </c>
      <c r="C173" s="31" t="s">
        <v>130</v>
      </c>
      <c r="D173" s="31" t="s">
        <v>108</v>
      </c>
      <c r="E173" s="32" t="n">
        <v>8018</v>
      </c>
      <c r="F173" s="32"/>
      <c r="G173" s="32"/>
      <c r="H173" s="33" t="n">
        <v>2</v>
      </c>
      <c r="I173" s="34" t="n">
        <f aca="false">E173*H173+N(F173)+N(G173)</f>
        <v>16036</v>
      </c>
      <c r="J173" s="32" t="n">
        <f aca="false">ROUND(IFERROR(ROUND(IF(OR(ISNUMBER(SEARCH("week",C173)),ISNUMBER(SEARCH("minggu",C173))),IFERROR(_xlfn.NUMBERVALUE(SUBSTITUTE(LEFT(TRIM(C173),FIND(" ",TRIM(C173)&amp;" ")-1),",","."),"."),LEFT(SUBSTITUTE(LEFT(TRIM(C173),FIND(" ",TRIM(C173)&amp;" ")-1),",","."),FIND("/",SUBSTITUTE(LEFT(TRIM(C173),FIND(" ",TRIM(C173)&amp;" ")-1),",","."))-1)/MID(SUBSTITUTE(LEFT(TRIM(C173),FIND(" ",TRIM(C173)&amp;" ")-1),",","."),FIND("/",SUBSTITUTE(LEFT(TRIM(C173),FIND(" ",TRIM(C173)&amp;" ")-1),",","."))+1,9))*12/52,IF(ISNUMBER(SEARCH("month",C173)),IFERROR(_xlfn.NUMBERVALUE(SUBSTITUTE(LEFT(TRIM(C173),FIND(" ",TRIM(C173)&amp;" ")-1),",","."),"."),LEFT(SUBSTITUTE(LEFT(TRIM(C173),FIND(" ",TRIM(C173)&amp;" ")-1),",","."),FIND("/",SUBSTITUTE(LEFT(TRIM(C173),FIND(" ",TRIM(C173)&amp;" ")-1),",","."))-1)/MID(SUBSTITUTE(LEFT(TRIM(C173),FIND(" ",TRIM(C173)&amp;" ")-1),",","."),FIND("/",SUBSTITUTE(LEFT(TRIM(C173),FIND(" ",TRIM(C173)&amp;" ")-1),",","."))+1,9)),IF(ISNUMBER(SEARCH("yea",C173)),IFERROR(_xlfn.NUMBERVALUE(SUBSTITUTE(LEFT(TRIM(C173),FIND(" ",TRIM(C173)&amp;" ")-1),",","."),"."),LEFT(SUBSTITUTE(LEFT(TRIM(C173),FIND(" ",TRIM(C173)&amp;" ")-1),",","."),FIND("/",SUBSTITUTE(LEFT(TRIM(C173),FIND(" ",TRIM(C173)&amp;" ")-1),",","."))-1)/MID(SUBSTITUTE(LEFT(TRIM(C173),FIND(" ",TRIM(C173)&amp;" ")-1),",","."),FIND("/",SUBSTITUTE(LEFT(TRIM(C173),FIND(" ",TRIM(C173)&amp;" ")-1),",","."))+1,9))*12,NA()))),0),12)*'Aturan &amp; Tarif'!$B$4,2)</f>
        <v>681.36</v>
      </c>
      <c r="K173" s="32" t="n">
        <f aca="false">'Aturan &amp; Tarif'!$B$5</f>
        <v>2050</v>
      </c>
      <c r="L173" s="32" t="n">
        <f aca="false">'Aturan &amp; Tarif'!$B$6</f>
        <v>350</v>
      </c>
      <c r="M173" s="35" t="n">
        <f aca="false">I173+J173+K173+L173</f>
        <v>19117.36</v>
      </c>
      <c r="N173" s="37" t="s">
        <v>318</v>
      </c>
    </row>
    <row r="174" customFormat="false" ht="14.25" hidden="false" customHeight="true" outlineLevel="0" collapsed="false">
      <c r="A174" s="29"/>
      <c r="B174" s="30" t="s">
        <v>398</v>
      </c>
      <c r="C174" s="31" t="s">
        <v>107</v>
      </c>
      <c r="D174" s="31" t="s">
        <v>108</v>
      </c>
      <c r="E174" s="32" t="n">
        <v>8018</v>
      </c>
      <c r="F174" s="32"/>
      <c r="G174" s="32"/>
      <c r="H174" s="33" t="n">
        <v>2</v>
      </c>
      <c r="I174" s="34" t="n">
        <f aca="false">E174*H174+N(F174)+N(G174)</f>
        <v>16036</v>
      </c>
      <c r="J174" s="32" t="n">
        <f aca="false">ROUND(IFERROR(ROUND(IF(OR(ISNUMBER(SEARCH("week",C174)),ISNUMBER(SEARCH("minggu",C174))),IFERROR(_xlfn.NUMBERVALUE(SUBSTITUTE(LEFT(TRIM(C174),FIND(" ",TRIM(C174)&amp;" ")-1),",","."),"."),LEFT(SUBSTITUTE(LEFT(TRIM(C174),FIND(" ",TRIM(C174)&amp;" ")-1),",","."),FIND("/",SUBSTITUTE(LEFT(TRIM(C174),FIND(" ",TRIM(C174)&amp;" ")-1),",","."))-1)/MID(SUBSTITUTE(LEFT(TRIM(C174),FIND(" ",TRIM(C174)&amp;" ")-1),",","."),FIND("/",SUBSTITUTE(LEFT(TRIM(C174),FIND(" ",TRIM(C174)&amp;" ")-1),",","."))+1,9))*12/52,IF(ISNUMBER(SEARCH("month",C174)),IFERROR(_xlfn.NUMBERVALUE(SUBSTITUTE(LEFT(TRIM(C174),FIND(" ",TRIM(C174)&amp;" ")-1),",","."),"."),LEFT(SUBSTITUTE(LEFT(TRIM(C174),FIND(" ",TRIM(C174)&amp;" ")-1),",","."),FIND("/",SUBSTITUTE(LEFT(TRIM(C174),FIND(" ",TRIM(C174)&amp;" ")-1),",","."))-1)/MID(SUBSTITUTE(LEFT(TRIM(C174),FIND(" ",TRIM(C174)&amp;" ")-1),",","."),FIND("/",SUBSTITUTE(LEFT(TRIM(C174),FIND(" ",TRIM(C174)&amp;" ")-1),",","."))+1,9)),IF(ISNUMBER(SEARCH("yea",C174)),IFERROR(_xlfn.NUMBERVALUE(SUBSTITUTE(LEFT(TRIM(C174),FIND(" ",TRIM(C174)&amp;" ")-1),",","."),"."),LEFT(SUBSTITUTE(LEFT(TRIM(C174),FIND(" ",TRIM(C174)&amp;" ")-1),",","."),FIND("/",SUBSTITUTE(LEFT(TRIM(C174),FIND(" ",TRIM(C174)&amp;" ")-1),",","."))-1)/MID(SUBSTITUTE(LEFT(TRIM(C174),FIND(" ",TRIM(C174)&amp;" ")-1),",","."),FIND("/",SUBSTITUTE(LEFT(TRIM(C174),FIND(" ",TRIM(C174)&amp;" ")-1),",","."))+1,9))*12,NA()))),0),24)*'Aturan &amp; Tarif'!$B$4,2)</f>
        <v>1362.72</v>
      </c>
      <c r="K174" s="32" t="n">
        <f aca="false">'Aturan &amp; Tarif'!$B$5</f>
        <v>2050</v>
      </c>
      <c r="L174" s="32" t="n">
        <f aca="false">'Aturan &amp; Tarif'!$B$6</f>
        <v>350</v>
      </c>
      <c r="M174" s="35" t="n">
        <f aca="false">I174+J174+K174+L174</f>
        <v>19798.72</v>
      </c>
      <c r="N174" s="37" t="s">
        <v>318</v>
      </c>
    </row>
    <row r="175" customFormat="false" ht="25.5" hidden="false" customHeight="true" outlineLevel="0" collapsed="false">
      <c r="A175" s="29"/>
      <c r="B175" s="30" t="s">
        <v>399</v>
      </c>
      <c r="C175" s="31" t="s">
        <v>107</v>
      </c>
      <c r="D175" s="31" t="s">
        <v>108</v>
      </c>
      <c r="E175" s="32" t="n">
        <v>11410</v>
      </c>
      <c r="F175" s="32"/>
      <c r="G175" s="32"/>
      <c r="H175" s="33" t="n">
        <v>2</v>
      </c>
      <c r="I175" s="34" t="n">
        <f aca="false">E175*H175+N(F175)+N(G175)</f>
        <v>22820</v>
      </c>
      <c r="J175" s="32" t="n">
        <f aca="false">ROUND(IFERROR(ROUND(IF(OR(ISNUMBER(SEARCH("week",C175)),ISNUMBER(SEARCH("minggu",C175))),IFERROR(_xlfn.NUMBERVALUE(SUBSTITUTE(LEFT(TRIM(C175),FIND(" ",TRIM(C175)&amp;" ")-1),",","."),"."),LEFT(SUBSTITUTE(LEFT(TRIM(C175),FIND(" ",TRIM(C175)&amp;" ")-1),",","."),FIND("/",SUBSTITUTE(LEFT(TRIM(C175),FIND(" ",TRIM(C175)&amp;" ")-1),",","."))-1)/MID(SUBSTITUTE(LEFT(TRIM(C175),FIND(" ",TRIM(C175)&amp;" ")-1),",","."),FIND("/",SUBSTITUTE(LEFT(TRIM(C175),FIND(" ",TRIM(C175)&amp;" ")-1),",","."))+1,9))*12/52,IF(ISNUMBER(SEARCH("month",C175)),IFERROR(_xlfn.NUMBERVALUE(SUBSTITUTE(LEFT(TRIM(C175),FIND(" ",TRIM(C175)&amp;" ")-1),",","."),"."),LEFT(SUBSTITUTE(LEFT(TRIM(C175),FIND(" ",TRIM(C175)&amp;" ")-1),",","."),FIND("/",SUBSTITUTE(LEFT(TRIM(C175),FIND(" ",TRIM(C175)&amp;" ")-1),",","."))-1)/MID(SUBSTITUTE(LEFT(TRIM(C175),FIND(" ",TRIM(C175)&amp;" ")-1),",","."),FIND("/",SUBSTITUTE(LEFT(TRIM(C175),FIND(" ",TRIM(C175)&amp;" ")-1),",","."))+1,9)),IF(ISNUMBER(SEARCH("yea",C175)),IFERROR(_xlfn.NUMBERVALUE(SUBSTITUTE(LEFT(TRIM(C175),FIND(" ",TRIM(C175)&amp;" ")-1),",","."),"."),LEFT(SUBSTITUTE(LEFT(TRIM(C175),FIND(" ",TRIM(C175)&amp;" ")-1),",","."),FIND("/",SUBSTITUTE(LEFT(TRIM(C175),FIND(" ",TRIM(C175)&amp;" ")-1),",","."))-1)/MID(SUBSTITUTE(LEFT(TRIM(C175),FIND(" ",TRIM(C175)&amp;" ")-1),",","."),FIND("/",SUBSTITUTE(LEFT(TRIM(C175),FIND(" ",TRIM(C175)&amp;" ")-1),",","."))+1,9))*12,NA()))),0),24)*'Aturan &amp; Tarif'!$B$4,2)</f>
        <v>1362.72</v>
      </c>
      <c r="K175" s="32" t="n">
        <f aca="false">'Aturan &amp; Tarif'!$B$5</f>
        <v>2050</v>
      </c>
      <c r="L175" s="32" t="n">
        <f aca="false">'Aturan &amp; Tarif'!$B$6</f>
        <v>350</v>
      </c>
      <c r="M175" s="35" t="n">
        <f aca="false">I175+J175+K175+L175</f>
        <v>26582.72</v>
      </c>
      <c r="N175" s="37" t="s">
        <v>318</v>
      </c>
    </row>
    <row r="176" customFormat="false" ht="14.25" hidden="false" customHeight="true" outlineLevel="0" collapsed="false">
      <c r="A176" s="29"/>
      <c r="B176" s="30" t="s">
        <v>400</v>
      </c>
      <c r="C176" s="31" t="s">
        <v>107</v>
      </c>
      <c r="D176" s="31" t="s">
        <v>108</v>
      </c>
      <c r="E176" s="32" t="n">
        <v>8172</v>
      </c>
      <c r="F176" s="32"/>
      <c r="G176" s="32"/>
      <c r="H176" s="33" t="n">
        <v>2</v>
      </c>
      <c r="I176" s="34" t="n">
        <f aca="false">E176*H176+N(F176)+N(G176)</f>
        <v>16344</v>
      </c>
      <c r="J176" s="32" t="n">
        <f aca="false">ROUND(IFERROR(ROUND(IF(OR(ISNUMBER(SEARCH("week",C176)),ISNUMBER(SEARCH("minggu",C176))),IFERROR(_xlfn.NUMBERVALUE(SUBSTITUTE(LEFT(TRIM(C176),FIND(" ",TRIM(C176)&amp;" ")-1),",","."),"."),LEFT(SUBSTITUTE(LEFT(TRIM(C176),FIND(" ",TRIM(C176)&amp;" ")-1),",","."),FIND("/",SUBSTITUTE(LEFT(TRIM(C176),FIND(" ",TRIM(C176)&amp;" ")-1),",","."))-1)/MID(SUBSTITUTE(LEFT(TRIM(C176),FIND(" ",TRIM(C176)&amp;" ")-1),",","."),FIND("/",SUBSTITUTE(LEFT(TRIM(C176),FIND(" ",TRIM(C176)&amp;" ")-1),",","."))+1,9))*12/52,IF(ISNUMBER(SEARCH("month",C176)),IFERROR(_xlfn.NUMBERVALUE(SUBSTITUTE(LEFT(TRIM(C176),FIND(" ",TRIM(C176)&amp;" ")-1),",","."),"."),LEFT(SUBSTITUTE(LEFT(TRIM(C176),FIND(" ",TRIM(C176)&amp;" ")-1),",","."),FIND("/",SUBSTITUTE(LEFT(TRIM(C176),FIND(" ",TRIM(C176)&amp;" ")-1),",","."))-1)/MID(SUBSTITUTE(LEFT(TRIM(C176),FIND(" ",TRIM(C176)&amp;" ")-1),",","."),FIND("/",SUBSTITUTE(LEFT(TRIM(C176),FIND(" ",TRIM(C176)&amp;" ")-1),",","."))+1,9)),IF(ISNUMBER(SEARCH("yea",C176)),IFERROR(_xlfn.NUMBERVALUE(SUBSTITUTE(LEFT(TRIM(C176),FIND(" ",TRIM(C176)&amp;" ")-1),",","."),"."),LEFT(SUBSTITUTE(LEFT(TRIM(C176),FIND(" ",TRIM(C176)&amp;" ")-1),",","."),FIND("/",SUBSTITUTE(LEFT(TRIM(C176),FIND(" ",TRIM(C176)&amp;" ")-1),",","."))-1)/MID(SUBSTITUTE(LEFT(TRIM(C176),FIND(" ",TRIM(C176)&amp;" ")-1),",","."),FIND("/",SUBSTITUTE(LEFT(TRIM(C176),FIND(" ",TRIM(C176)&amp;" ")-1),",","."))+1,9))*12,NA()))),0),24)*'Aturan &amp; Tarif'!$B$4,2)</f>
        <v>1362.72</v>
      </c>
      <c r="K176" s="32" t="n">
        <f aca="false">'Aturan &amp; Tarif'!$B$5</f>
        <v>2050</v>
      </c>
      <c r="L176" s="32" t="n">
        <f aca="false">'Aturan &amp; Tarif'!$B$6</f>
        <v>350</v>
      </c>
      <c r="M176" s="35" t="n">
        <f aca="false">I176+J176+K176+L176</f>
        <v>20106.72</v>
      </c>
      <c r="N176" s="37" t="s">
        <v>318</v>
      </c>
    </row>
    <row r="177" customFormat="false" ht="14.25" hidden="false" customHeight="true" outlineLevel="0" collapsed="false">
      <c r="A177" s="29"/>
      <c r="B177" s="30" t="s">
        <v>285</v>
      </c>
      <c r="C177" s="31" t="s">
        <v>107</v>
      </c>
      <c r="D177" s="31" t="s">
        <v>108</v>
      </c>
      <c r="E177" s="32" t="n">
        <v>9288</v>
      </c>
      <c r="F177" s="32"/>
      <c r="G177" s="32"/>
      <c r="H177" s="33" t="n">
        <v>2</v>
      </c>
      <c r="I177" s="34" t="n">
        <f aca="false">E177*H177+N(F177)+N(G177)</f>
        <v>18576</v>
      </c>
      <c r="J177" s="32" t="n">
        <f aca="false">ROUND(IFERROR(ROUND(IF(OR(ISNUMBER(SEARCH("week",C177)),ISNUMBER(SEARCH("minggu",C177))),IFERROR(_xlfn.NUMBERVALUE(SUBSTITUTE(LEFT(TRIM(C177),FIND(" ",TRIM(C177)&amp;" ")-1),",","."),"."),LEFT(SUBSTITUTE(LEFT(TRIM(C177),FIND(" ",TRIM(C177)&amp;" ")-1),",","."),FIND("/",SUBSTITUTE(LEFT(TRIM(C177),FIND(" ",TRIM(C177)&amp;" ")-1),",","."))-1)/MID(SUBSTITUTE(LEFT(TRIM(C177),FIND(" ",TRIM(C177)&amp;" ")-1),",","."),FIND("/",SUBSTITUTE(LEFT(TRIM(C177),FIND(" ",TRIM(C177)&amp;" ")-1),",","."))+1,9))*12/52,IF(ISNUMBER(SEARCH("month",C177)),IFERROR(_xlfn.NUMBERVALUE(SUBSTITUTE(LEFT(TRIM(C177),FIND(" ",TRIM(C177)&amp;" ")-1),",","."),"."),LEFT(SUBSTITUTE(LEFT(TRIM(C177),FIND(" ",TRIM(C177)&amp;" ")-1),",","."),FIND("/",SUBSTITUTE(LEFT(TRIM(C177),FIND(" ",TRIM(C177)&amp;" ")-1),",","."))-1)/MID(SUBSTITUTE(LEFT(TRIM(C177),FIND(" ",TRIM(C177)&amp;" ")-1),",","."),FIND("/",SUBSTITUTE(LEFT(TRIM(C177),FIND(" ",TRIM(C177)&amp;" ")-1),",","."))+1,9)),IF(ISNUMBER(SEARCH("yea",C177)),IFERROR(_xlfn.NUMBERVALUE(SUBSTITUTE(LEFT(TRIM(C177),FIND(" ",TRIM(C177)&amp;" ")-1),",","."),"."),LEFT(SUBSTITUTE(LEFT(TRIM(C177),FIND(" ",TRIM(C177)&amp;" ")-1),",","."),FIND("/",SUBSTITUTE(LEFT(TRIM(C177),FIND(" ",TRIM(C177)&amp;" ")-1),",","."))-1)/MID(SUBSTITUTE(LEFT(TRIM(C177),FIND(" ",TRIM(C177)&amp;" ")-1),",","."),FIND("/",SUBSTITUTE(LEFT(TRIM(C177),FIND(" ",TRIM(C177)&amp;" ")-1),",","."))+1,9))*12,NA()))),0),24)*'Aturan &amp; Tarif'!$B$4,2)</f>
        <v>1362.72</v>
      </c>
      <c r="K177" s="32" t="n">
        <f aca="false">'Aturan &amp; Tarif'!$B$5</f>
        <v>2050</v>
      </c>
      <c r="L177" s="32" t="n">
        <f aca="false">'Aturan &amp; Tarif'!$B$6</f>
        <v>350</v>
      </c>
      <c r="M177" s="35" t="n">
        <f aca="false">I177+J177+K177+L177</f>
        <v>22338.72</v>
      </c>
      <c r="N177" s="37" t="s">
        <v>318</v>
      </c>
    </row>
    <row r="178" customFormat="false" ht="25.5" hidden="false" customHeight="true" outlineLevel="0" collapsed="false">
      <c r="A178" s="29"/>
      <c r="B178" s="30" t="s">
        <v>287</v>
      </c>
      <c r="C178" s="31" t="s">
        <v>107</v>
      </c>
      <c r="D178" s="31" t="s">
        <v>108</v>
      </c>
      <c r="E178" s="32" t="n">
        <v>9288</v>
      </c>
      <c r="F178" s="32"/>
      <c r="G178" s="32"/>
      <c r="H178" s="33" t="n">
        <v>2</v>
      </c>
      <c r="I178" s="34" t="n">
        <f aca="false">E178*H178+N(F178)+N(G178)</f>
        <v>18576</v>
      </c>
      <c r="J178" s="32" t="n">
        <f aca="false">ROUND(IFERROR(ROUND(IF(OR(ISNUMBER(SEARCH("week",C178)),ISNUMBER(SEARCH("minggu",C178))),IFERROR(_xlfn.NUMBERVALUE(SUBSTITUTE(LEFT(TRIM(C178),FIND(" ",TRIM(C178)&amp;" ")-1),",","."),"."),LEFT(SUBSTITUTE(LEFT(TRIM(C178),FIND(" ",TRIM(C178)&amp;" ")-1),",","."),FIND("/",SUBSTITUTE(LEFT(TRIM(C178),FIND(" ",TRIM(C178)&amp;" ")-1),",","."))-1)/MID(SUBSTITUTE(LEFT(TRIM(C178),FIND(" ",TRIM(C178)&amp;" ")-1),",","."),FIND("/",SUBSTITUTE(LEFT(TRIM(C178),FIND(" ",TRIM(C178)&amp;" ")-1),",","."))+1,9))*12/52,IF(ISNUMBER(SEARCH("month",C178)),IFERROR(_xlfn.NUMBERVALUE(SUBSTITUTE(LEFT(TRIM(C178),FIND(" ",TRIM(C178)&amp;" ")-1),",","."),"."),LEFT(SUBSTITUTE(LEFT(TRIM(C178),FIND(" ",TRIM(C178)&amp;" ")-1),",","."),FIND("/",SUBSTITUTE(LEFT(TRIM(C178),FIND(" ",TRIM(C178)&amp;" ")-1),",","."))-1)/MID(SUBSTITUTE(LEFT(TRIM(C178),FIND(" ",TRIM(C178)&amp;" ")-1),",","."),FIND("/",SUBSTITUTE(LEFT(TRIM(C178),FIND(" ",TRIM(C178)&amp;" ")-1),",","."))+1,9)),IF(ISNUMBER(SEARCH("yea",C178)),IFERROR(_xlfn.NUMBERVALUE(SUBSTITUTE(LEFT(TRIM(C178),FIND(" ",TRIM(C178)&amp;" ")-1),",","."),"."),LEFT(SUBSTITUTE(LEFT(TRIM(C178),FIND(" ",TRIM(C178)&amp;" ")-1),",","."),FIND("/",SUBSTITUTE(LEFT(TRIM(C178),FIND(" ",TRIM(C178)&amp;" ")-1),",","."))-1)/MID(SUBSTITUTE(LEFT(TRIM(C178),FIND(" ",TRIM(C178)&amp;" ")-1),",","."),FIND("/",SUBSTITUTE(LEFT(TRIM(C178),FIND(" ",TRIM(C178)&amp;" ")-1),",","."))+1,9))*12,NA()))),0),24)*'Aturan &amp; Tarif'!$B$4,2)</f>
        <v>1362.72</v>
      </c>
      <c r="K178" s="32" t="n">
        <f aca="false">'Aturan &amp; Tarif'!$B$5</f>
        <v>2050</v>
      </c>
      <c r="L178" s="32" t="n">
        <f aca="false">'Aturan &amp; Tarif'!$B$6</f>
        <v>350</v>
      </c>
      <c r="M178" s="35" t="n">
        <f aca="false">I178+J178+K178+L178</f>
        <v>22338.72</v>
      </c>
      <c r="N178" s="37" t="s">
        <v>318</v>
      </c>
    </row>
    <row r="179" customFormat="false" ht="14.25" hidden="false" customHeight="true" outlineLevel="0" collapsed="false">
      <c r="A179" s="29"/>
      <c r="B179" s="30" t="s">
        <v>401</v>
      </c>
      <c r="C179" s="31" t="s">
        <v>107</v>
      </c>
      <c r="D179" s="31" t="s">
        <v>108</v>
      </c>
      <c r="E179" s="32" t="n">
        <v>9288</v>
      </c>
      <c r="F179" s="32"/>
      <c r="G179" s="32"/>
      <c r="H179" s="33" t="n">
        <v>2</v>
      </c>
      <c r="I179" s="34" t="n">
        <f aca="false">E179*H179+N(F179)+N(G179)</f>
        <v>18576</v>
      </c>
      <c r="J179" s="32" t="n">
        <f aca="false">ROUND(IFERROR(ROUND(IF(OR(ISNUMBER(SEARCH("week",C179)),ISNUMBER(SEARCH("minggu",C179))),IFERROR(_xlfn.NUMBERVALUE(SUBSTITUTE(LEFT(TRIM(C179),FIND(" ",TRIM(C179)&amp;" ")-1),",","."),"."),LEFT(SUBSTITUTE(LEFT(TRIM(C179),FIND(" ",TRIM(C179)&amp;" ")-1),",","."),FIND("/",SUBSTITUTE(LEFT(TRIM(C179),FIND(" ",TRIM(C179)&amp;" ")-1),",","."))-1)/MID(SUBSTITUTE(LEFT(TRIM(C179),FIND(" ",TRIM(C179)&amp;" ")-1),",","."),FIND("/",SUBSTITUTE(LEFT(TRIM(C179),FIND(" ",TRIM(C179)&amp;" ")-1),",","."))+1,9))*12/52,IF(ISNUMBER(SEARCH("month",C179)),IFERROR(_xlfn.NUMBERVALUE(SUBSTITUTE(LEFT(TRIM(C179),FIND(" ",TRIM(C179)&amp;" ")-1),",","."),"."),LEFT(SUBSTITUTE(LEFT(TRIM(C179),FIND(" ",TRIM(C179)&amp;" ")-1),",","."),FIND("/",SUBSTITUTE(LEFT(TRIM(C179),FIND(" ",TRIM(C179)&amp;" ")-1),",","."))-1)/MID(SUBSTITUTE(LEFT(TRIM(C179),FIND(" ",TRIM(C179)&amp;" ")-1),",","."),FIND("/",SUBSTITUTE(LEFT(TRIM(C179),FIND(" ",TRIM(C179)&amp;" ")-1),",","."))+1,9)),IF(ISNUMBER(SEARCH("yea",C179)),IFERROR(_xlfn.NUMBERVALUE(SUBSTITUTE(LEFT(TRIM(C179),FIND(" ",TRIM(C179)&amp;" ")-1),",","."),"."),LEFT(SUBSTITUTE(LEFT(TRIM(C179),FIND(" ",TRIM(C179)&amp;" ")-1),",","."),FIND("/",SUBSTITUTE(LEFT(TRIM(C179),FIND(" ",TRIM(C179)&amp;" ")-1),",","."))-1)/MID(SUBSTITUTE(LEFT(TRIM(C179),FIND(" ",TRIM(C179)&amp;" ")-1),",","."),FIND("/",SUBSTITUTE(LEFT(TRIM(C179),FIND(" ",TRIM(C179)&amp;" ")-1),",","."))+1,9))*12,NA()))),0),24)*'Aturan &amp; Tarif'!$B$4,2)</f>
        <v>1362.72</v>
      </c>
      <c r="K179" s="32" t="n">
        <f aca="false">'Aturan &amp; Tarif'!$B$5</f>
        <v>2050</v>
      </c>
      <c r="L179" s="32" t="n">
        <f aca="false">'Aturan &amp; Tarif'!$B$6</f>
        <v>350</v>
      </c>
      <c r="M179" s="35" t="n">
        <f aca="false">I179+J179+K179+L179</f>
        <v>22338.72</v>
      </c>
      <c r="N179" s="37" t="s">
        <v>318</v>
      </c>
    </row>
    <row r="180" customFormat="false" ht="25.5" hidden="false" customHeight="true" outlineLevel="0" collapsed="false">
      <c r="A180" s="29"/>
      <c r="B180" s="30" t="s">
        <v>283</v>
      </c>
      <c r="C180" s="31" t="s">
        <v>107</v>
      </c>
      <c r="D180" s="31" t="s">
        <v>108</v>
      </c>
      <c r="E180" s="32" t="n">
        <v>8018</v>
      </c>
      <c r="F180" s="32"/>
      <c r="G180" s="32"/>
      <c r="H180" s="33" t="n">
        <v>2</v>
      </c>
      <c r="I180" s="34" t="n">
        <f aca="false">E180*H180+N(F180)+N(G180)</f>
        <v>16036</v>
      </c>
      <c r="J180" s="32" t="n">
        <f aca="false">ROUND(IFERROR(ROUND(IF(OR(ISNUMBER(SEARCH("week",C180)),ISNUMBER(SEARCH("minggu",C180))),IFERROR(_xlfn.NUMBERVALUE(SUBSTITUTE(LEFT(TRIM(C180),FIND(" ",TRIM(C180)&amp;" ")-1),",","."),"."),LEFT(SUBSTITUTE(LEFT(TRIM(C180),FIND(" ",TRIM(C180)&amp;" ")-1),",","."),FIND("/",SUBSTITUTE(LEFT(TRIM(C180),FIND(" ",TRIM(C180)&amp;" ")-1),",","."))-1)/MID(SUBSTITUTE(LEFT(TRIM(C180),FIND(" ",TRIM(C180)&amp;" ")-1),",","."),FIND("/",SUBSTITUTE(LEFT(TRIM(C180),FIND(" ",TRIM(C180)&amp;" ")-1),",","."))+1,9))*12/52,IF(ISNUMBER(SEARCH("month",C180)),IFERROR(_xlfn.NUMBERVALUE(SUBSTITUTE(LEFT(TRIM(C180),FIND(" ",TRIM(C180)&amp;" ")-1),",","."),"."),LEFT(SUBSTITUTE(LEFT(TRIM(C180),FIND(" ",TRIM(C180)&amp;" ")-1),",","."),FIND("/",SUBSTITUTE(LEFT(TRIM(C180),FIND(" ",TRIM(C180)&amp;" ")-1),",","."))-1)/MID(SUBSTITUTE(LEFT(TRIM(C180),FIND(" ",TRIM(C180)&amp;" ")-1),",","."),FIND("/",SUBSTITUTE(LEFT(TRIM(C180),FIND(" ",TRIM(C180)&amp;" ")-1),",","."))+1,9)),IF(ISNUMBER(SEARCH("yea",C180)),IFERROR(_xlfn.NUMBERVALUE(SUBSTITUTE(LEFT(TRIM(C180),FIND(" ",TRIM(C180)&amp;" ")-1),",","."),"."),LEFT(SUBSTITUTE(LEFT(TRIM(C180),FIND(" ",TRIM(C180)&amp;" ")-1),",","."),FIND("/",SUBSTITUTE(LEFT(TRIM(C180),FIND(" ",TRIM(C180)&amp;" ")-1),",","."))-1)/MID(SUBSTITUTE(LEFT(TRIM(C180),FIND(" ",TRIM(C180)&amp;" ")-1),",","."),FIND("/",SUBSTITUTE(LEFT(TRIM(C180),FIND(" ",TRIM(C180)&amp;" ")-1),",","."))+1,9))*12,NA()))),0),24)*'Aturan &amp; Tarif'!$B$4,2)</f>
        <v>1362.72</v>
      </c>
      <c r="K180" s="32" t="n">
        <f aca="false">'Aturan &amp; Tarif'!$B$5</f>
        <v>2050</v>
      </c>
      <c r="L180" s="32" t="n">
        <f aca="false">'Aturan &amp; Tarif'!$B$6</f>
        <v>350</v>
      </c>
      <c r="M180" s="35" t="n">
        <f aca="false">I180+J180+K180+L180</f>
        <v>19798.72</v>
      </c>
      <c r="N180" s="37" t="s">
        <v>318</v>
      </c>
    </row>
    <row r="181" customFormat="false" ht="14.25" hidden="false" customHeight="true" outlineLevel="0" collapsed="false">
      <c r="A181" s="29"/>
      <c r="B181" s="30" t="s">
        <v>402</v>
      </c>
      <c r="C181" s="31" t="s">
        <v>107</v>
      </c>
      <c r="D181" s="31" t="s">
        <v>108</v>
      </c>
      <c r="E181" s="32" t="n">
        <v>8018</v>
      </c>
      <c r="F181" s="32"/>
      <c r="G181" s="32"/>
      <c r="H181" s="33" t="n">
        <v>2</v>
      </c>
      <c r="I181" s="34" t="n">
        <f aca="false">E181*H181+N(F181)+N(G181)</f>
        <v>16036</v>
      </c>
      <c r="J181" s="32" t="n">
        <f aca="false">ROUND(IFERROR(ROUND(IF(OR(ISNUMBER(SEARCH("week",C181)),ISNUMBER(SEARCH("minggu",C181))),IFERROR(_xlfn.NUMBERVALUE(SUBSTITUTE(LEFT(TRIM(C181),FIND(" ",TRIM(C181)&amp;" ")-1),",","."),"."),LEFT(SUBSTITUTE(LEFT(TRIM(C181),FIND(" ",TRIM(C181)&amp;" ")-1),",","."),FIND("/",SUBSTITUTE(LEFT(TRIM(C181),FIND(" ",TRIM(C181)&amp;" ")-1),",","."))-1)/MID(SUBSTITUTE(LEFT(TRIM(C181),FIND(" ",TRIM(C181)&amp;" ")-1),",","."),FIND("/",SUBSTITUTE(LEFT(TRIM(C181),FIND(" ",TRIM(C181)&amp;" ")-1),",","."))+1,9))*12/52,IF(ISNUMBER(SEARCH("month",C181)),IFERROR(_xlfn.NUMBERVALUE(SUBSTITUTE(LEFT(TRIM(C181),FIND(" ",TRIM(C181)&amp;" ")-1),",","."),"."),LEFT(SUBSTITUTE(LEFT(TRIM(C181),FIND(" ",TRIM(C181)&amp;" ")-1),",","."),FIND("/",SUBSTITUTE(LEFT(TRIM(C181),FIND(" ",TRIM(C181)&amp;" ")-1),",","."))-1)/MID(SUBSTITUTE(LEFT(TRIM(C181),FIND(" ",TRIM(C181)&amp;" ")-1),",","."),FIND("/",SUBSTITUTE(LEFT(TRIM(C181),FIND(" ",TRIM(C181)&amp;" ")-1),",","."))+1,9)),IF(ISNUMBER(SEARCH("yea",C181)),IFERROR(_xlfn.NUMBERVALUE(SUBSTITUTE(LEFT(TRIM(C181),FIND(" ",TRIM(C181)&amp;" ")-1),",","."),"."),LEFT(SUBSTITUTE(LEFT(TRIM(C181),FIND(" ",TRIM(C181)&amp;" ")-1),",","."),FIND("/",SUBSTITUTE(LEFT(TRIM(C181),FIND(" ",TRIM(C181)&amp;" ")-1),",","."))-1)/MID(SUBSTITUTE(LEFT(TRIM(C181),FIND(" ",TRIM(C181)&amp;" ")-1),",","."),FIND("/",SUBSTITUTE(LEFT(TRIM(C181),FIND(" ",TRIM(C181)&amp;" ")-1),",","."))+1,9))*12,NA()))),0),24)*'Aturan &amp; Tarif'!$B$4,2)</f>
        <v>1362.72</v>
      </c>
      <c r="K181" s="32" t="n">
        <f aca="false">'Aturan &amp; Tarif'!$B$5</f>
        <v>2050</v>
      </c>
      <c r="L181" s="32" t="n">
        <f aca="false">'Aturan &amp; Tarif'!$B$6</f>
        <v>350</v>
      </c>
      <c r="M181" s="35" t="n">
        <f aca="false">I181+J181+K181+L181</f>
        <v>19798.72</v>
      </c>
      <c r="N181" s="37" t="s">
        <v>318</v>
      </c>
    </row>
    <row r="182" customFormat="false" ht="14.25" hidden="false" customHeight="true" outlineLevel="0" collapsed="false">
      <c r="A182" s="29"/>
      <c r="B182" s="30" t="s">
        <v>289</v>
      </c>
      <c r="C182" s="31" t="s">
        <v>107</v>
      </c>
      <c r="D182" s="31" t="s">
        <v>108</v>
      </c>
      <c r="E182" s="32" t="n">
        <v>8018</v>
      </c>
      <c r="F182" s="32"/>
      <c r="G182" s="32"/>
      <c r="H182" s="33" t="n">
        <v>2</v>
      </c>
      <c r="I182" s="34" t="n">
        <f aca="false">E182*H182+N(F182)+N(G182)</f>
        <v>16036</v>
      </c>
      <c r="J182" s="32" t="n">
        <f aca="false">ROUND(IFERROR(ROUND(IF(OR(ISNUMBER(SEARCH("week",C182)),ISNUMBER(SEARCH("minggu",C182))),IFERROR(_xlfn.NUMBERVALUE(SUBSTITUTE(LEFT(TRIM(C182),FIND(" ",TRIM(C182)&amp;" ")-1),",","."),"."),LEFT(SUBSTITUTE(LEFT(TRIM(C182),FIND(" ",TRIM(C182)&amp;" ")-1),",","."),FIND("/",SUBSTITUTE(LEFT(TRIM(C182),FIND(" ",TRIM(C182)&amp;" ")-1),",","."))-1)/MID(SUBSTITUTE(LEFT(TRIM(C182),FIND(" ",TRIM(C182)&amp;" ")-1),",","."),FIND("/",SUBSTITUTE(LEFT(TRIM(C182),FIND(" ",TRIM(C182)&amp;" ")-1),",","."))+1,9))*12/52,IF(ISNUMBER(SEARCH("month",C182)),IFERROR(_xlfn.NUMBERVALUE(SUBSTITUTE(LEFT(TRIM(C182),FIND(" ",TRIM(C182)&amp;" ")-1),",","."),"."),LEFT(SUBSTITUTE(LEFT(TRIM(C182),FIND(" ",TRIM(C182)&amp;" ")-1),",","."),FIND("/",SUBSTITUTE(LEFT(TRIM(C182),FIND(" ",TRIM(C182)&amp;" ")-1),",","."))-1)/MID(SUBSTITUTE(LEFT(TRIM(C182),FIND(" ",TRIM(C182)&amp;" ")-1),",","."),FIND("/",SUBSTITUTE(LEFT(TRIM(C182),FIND(" ",TRIM(C182)&amp;" ")-1),",","."))+1,9)),IF(ISNUMBER(SEARCH("yea",C182)),IFERROR(_xlfn.NUMBERVALUE(SUBSTITUTE(LEFT(TRIM(C182),FIND(" ",TRIM(C182)&amp;" ")-1),",","."),"."),LEFT(SUBSTITUTE(LEFT(TRIM(C182),FIND(" ",TRIM(C182)&amp;" ")-1),",","."),FIND("/",SUBSTITUTE(LEFT(TRIM(C182),FIND(" ",TRIM(C182)&amp;" ")-1),",","."))-1)/MID(SUBSTITUTE(LEFT(TRIM(C182),FIND(" ",TRIM(C182)&amp;" ")-1),",","."),FIND("/",SUBSTITUTE(LEFT(TRIM(C182),FIND(" ",TRIM(C182)&amp;" ")-1),",","."))+1,9))*12,NA()))),0),24)*'Aturan &amp; Tarif'!$B$4,2)</f>
        <v>1362.72</v>
      </c>
      <c r="K182" s="32" t="n">
        <f aca="false">'Aturan &amp; Tarif'!$B$5</f>
        <v>2050</v>
      </c>
      <c r="L182" s="32" t="n">
        <f aca="false">'Aturan &amp; Tarif'!$B$6</f>
        <v>350</v>
      </c>
      <c r="M182" s="35" t="n">
        <f aca="false">I182+J182+K182+L182</f>
        <v>19798.72</v>
      </c>
      <c r="N182" s="37" t="s">
        <v>318</v>
      </c>
    </row>
    <row r="183" customFormat="false" ht="25.5" hidden="false" customHeight="true" outlineLevel="0" collapsed="false">
      <c r="A183" s="29"/>
      <c r="B183" s="30" t="s">
        <v>403</v>
      </c>
      <c r="C183" s="31" t="s">
        <v>127</v>
      </c>
      <c r="D183" s="31" t="s">
        <v>108</v>
      </c>
      <c r="E183" s="32" t="n">
        <v>7162</v>
      </c>
      <c r="F183" s="32"/>
      <c r="G183" s="32"/>
      <c r="H183" s="33" t="n">
        <v>2</v>
      </c>
      <c r="I183" s="34" t="n">
        <f aca="false">E183*H183+N(F183)+N(G183)</f>
        <v>14324</v>
      </c>
      <c r="J183" s="32" t="n">
        <f aca="false">ROUND(IFERROR(ROUND(IF(OR(ISNUMBER(SEARCH("week",C183)),ISNUMBER(SEARCH("minggu",C183))),IFERROR(_xlfn.NUMBERVALUE(SUBSTITUTE(LEFT(TRIM(C183),FIND(" ",TRIM(C183)&amp;" ")-1),",","."),"."),LEFT(SUBSTITUTE(LEFT(TRIM(C183),FIND(" ",TRIM(C183)&amp;" ")-1),",","."),FIND("/",SUBSTITUTE(LEFT(TRIM(C183),FIND(" ",TRIM(C183)&amp;" ")-1),",","."))-1)/MID(SUBSTITUTE(LEFT(TRIM(C183),FIND(" ",TRIM(C183)&amp;" ")-1),",","."),FIND("/",SUBSTITUTE(LEFT(TRIM(C183),FIND(" ",TRIM(C183)&amp;" ")-1),",","."))+1,9))*12/52,IF(ISNUMBER(SEARCH("month",C183)),IFERROR(_xlfn.NUMBERVALUE(SUBSTITUTE(LEFT(TRIM(C183),FIND(" ",TRIM(C183)&amp;" ")-1),",","."),"."),LEFT(SUBSTITUTE(LEFT(TRIM(C183),FIND(" ",TRIM(C183)&amp;" ")-1),",","."),FIND("/",SUBSTITUTE(LEFT(TRIM(C183),FIND(" ",TRIM(C183)&amp;" ")-1),",","."))-1)/MID(SUBSTITUTE(LEFT(TRIM(C183),FIND(" ",TRIM(C183)&amp;" ")-1),",","."),FIND("/",SUBSTITUTE(LEFT(TRIM(C183),FIND(" ",TRIM(C183)&amp;" ")-1),",","."))+1,9)),IF(ISNUMBER(SEARCH("yea",C183)),IFERROR(_xlfn.NUMBERVALUE(SUBSTITUTE(LEFT(TRIM(C183),FIND(" ",TRIM(C183)&amp;" ")-1),",","."),"."),LEFT(SUBSTITUTE(LEFT(TRIM(C183),FIND(" ",TRIM(C183)&amp;" ")-1),",","."),FIND("/",SUBSTITUTE(LEFT(TRIM(C183),FIND(" ",TRIM(C183)&amp;" ")-1),",","."))-1)/MID(SUBSTITUTE(LEFT(TRIM(C183),FIND(" ",TRIM(C183)&amp;" ")-1),",","."),FIND("/",SUBSTITUTE(LEFT(TRIM(C183),FIND(" ",TRIM(C183)&amp;" ")-1),",","."))+1,9))*12,NA()))),0),36)*'Aturan &amp; Tarif'!$B$4,2)</f>
        <v>2044.08</v>
      </c>
      <c r="K183" s="32" t="n">
        <f aca="false">'Aturan &amp; Tarif'!$B$5</f>
        <v>2050</v>
      </c>
      <c r="L183" s="32" t="n">
        <f aca="false">'Aturan &amp; Tarif'!$B$6</f>
        <v>350</v>
      </c>
      <c r="M183" s="35" t="n">
        <f aca="false">I183+J183+K183+L183</f>
        <v>18768.08</v>
      </c>
      <c r="N183" s="37" t="s">
        <v>318</v>
      </c>
    </row>
    <row r="184" customFormat="false" ht="14.25" hidden="false" customHeight="true" outlineLevel="0" collapsed="false">
      <c r="A184" s="29"/>
      <c r="B184" s="30" t="s">
        <v>404</v>
      </c>
      <c r="C184" s="31" t="s">
        <v>191</v>
      </c>
      <c r="D184" s="31" t="s">
        <v>108</v>
      </c>
      <c r="E184" s="32" t="n">
        <v>7162</v>
      </c>
      <c r="F184" s="32"/>
      <c r="G184" s="32"/>
      <c r="H184" s="33" t="n">
        <v>2</v>
      </c>
      <c r="I184" s="34" t="n">
        <f aca="false">E184*H184+N(F184)+N(G184)</f>
        <v>14324</v>
      </c>
      <c r="J184" s="32" t="n">
        <f aca="false">ROUND(IFERROR(ROUND(IF(OR(ISNUMBER(SEARCH("week",C184)),ISNUMBER(SEARCH("minggu",C184))),IFERROR(_xlfn.NUMBERVALUE(SUBSTITUTE(LEFT(TRIM(C184),FIND(" ",TRIM(C184)&amp;" ")-1),",","."),"."),LEFT(SUBSTITUTE(LEFT(TRIM(C184),FIND(" ",TRIM(C184)&amp;" ")-1),",","."),FIND("/",SUBSTITUTE(LEFT(TRIM(C184),FIND(" ",TRIM(C184)&amp;" ")-1),",","."))-1)/MID(SUBSTITUTE(LEFT(TRIM(C184),FIND(" ",TRIM(C184)&amp;" ")-1),",","."),FIND("/",SUBSTITUTE(LEFT(TRIM(C184),FIND(" ",TRIM(C184)&amp;" ")-1),",","."))+1,9))*12/52,IF(ISNUMBER(SEARCH("month",C184)),IFERROR(_xlfn.NUMBERVALUE(SUBSTITUTE(LEFT(TRIM(C184),FIND(" ",TRIM(C184)&amp;" ")-1),",","."),"."),LEFT(SUBSTITUTE(LEFT(TRIM(C184),FIND(" ",TRIM(C184)&amp;" ")-1),",","."),FIND("/",SUBSTITUTE(LEFT(TRIM(C184),FIND(" ",TRIM(C184)&amp;" ")-1),",","."))-1)/MID(SUBSTITUTE(LEFT(TRIM(C184),FIND(" ",TRIM(C184)&amp;" ")-1),",","."),FIND("/",SUBSTITUTE(LEFT(TRIM(C184),FIND(" ",TRIM(C184)&amp;" ")-1),",","."))+1,9)),IF(ISNUMBER(SEARCH("yea",C184)),IFERROR(_xlfn.NUMBERVALUE(SUBSTITUTE(LEFT(TRIM(C184),FIND(" ",TRIM(C184)&amp;" ")-1),",","."),"."),LEFT(SUBSTITUTE(LEFT(TRIM(C184),FIND(" ",TRIM(C184)&amp;" ")-1),",","."),FIND("/",SUBSTITUTE(LEFT(TRIM(C184),FIND(" ",TRIM(C184)&amp;" ")-1),",","."))-1)/MID(SUBSTITUTE(LEFT(TRIM(C184),FIND(" ",TRIM(C184)&amp;" ")-1),",","."),FIND("/",SUBSTITUTE(LEFT(TRIM(C184),FIND(" ",TRIM(C184)&amp;" ")-1),",","."))+1,9))*12,NA()))),0),48)*'Aturan &amp; Tarif'!$B$4,2)</f>
        <v>2725.44</v>
      </c>
      <c r="K184" s="32" t="n">
        <f aca="false">'Aturan &amp; Tarif'!$B$5</f>
        <v>2050</v>
      </c>
      <c r="L184" s="32" t="n">
        <f aca="false">'Aturan &amp; Tarif'!$B$6</f>
        <v>350</v>
      </c>
      <c r="M184" s="35" t="n">
        <f aca="false">I184+J184+K184+L184</f>
        <v>19449.44</v>
      </c>
      <c r="N184" s="37" t="s">
        <v>318</v>
      </c>
    </row>
    <row r="185" customFormat="false" ht="14.25" hidden="false" customHeight="true" outlineLevel="0" collapsed="false">
      <c r="A185" s="29"/>
      <c r="B185" s="30" t="s">
        <v>405</v>
      </c>
      <c r="C185" s="31" t="s">
        <v>127</v>
      </c>
      <c r="D185" s="31" t="s">
        <v>108</v>
      </c>
      <c r="E185" s="32" t="n">
        <v>8682</v>
      </c>
      <c r="F185" s="32"/>
      <c r="G185" s="32"/>
      <c r="H185" s="33" t="n">
        <v>2</v>
      </c>
      <c r="I185" s="34" t="n">
        <f aca="false">E185*H185+N(F185)+N(G185)</f>
        <v>17364</v>
      </c>
      <c r="J185" s="32" t="n">
        <f aca="false">ROUND(IFERROR(ROUND(IF(OR(ISNUMBER(SEARCH("week",C185)),ISNUMBER(SEARCH("minggu",C185))),IFERROR(_xlfn.NUMBERVALUE(SUBSTITUTE(LEFT(TRIM(C185),FIND(" ",TRIM(C185)&amp;" ")-1),",","."),"."),LEFT(SUBSTITUTE(LEFT(TRIM(C185),FIND(" ",TRIM(C185)&amp;" ")-1),",","."),FIND("/",SUBSTITUTE(LEFT(TRIM(C185),FIND(" ",TRIM(C185)&amp;" ")-1),",","."))-1)/MID(SUBSTITUTE(LEFT(TRIM(C185),FIND(" ",TRIM(C185)&amp;" ")-1),",","."),FIND("/",SUBSTITUTE(LEFT(TRIM(C185),FIND(" ",TRIM(C185)&amp;" ")-1),",","."))+1,9))*12/52,IF(ISNUMBER(SEARCH("month",C185)),IFERROR(_xlfn.NUMBERVALUE(SUBSTITUTE(LEFT(TRIM(C185),FIND(" ",TRIM(C185)&amp;" ")-1),",","."),"."),LEFT(SUBSTITUTE(LEFT(TRIM(C185),FIND(" ",TRIM(C185)&amp;" ")-1),",","."),FIND("/",SUBSTITUTE(LEFT(TRIM(C185),FIND(" ",TRIM(C185)&amp;" ")-1),",","."))-1)/MID(SUBSTITUTE(LEFT(TRIM(C185),FIND(" ",TRIM(C185)&amp;" ")-1),",","."),FIND("/",SUBSTITUTE(LEFT(TRIM(C185),FIND(" ",TRIM(C185)&amp;" ")-1),",","."))+1,9)),IF(ISNUMBER(SEARCH("yea",C185)),IFERROR(_xlfn.NUMBERVALUE(SUBSTITUTE(LEFT(TRIM(C185),FIND(" ",TRIM(C185)&amp;" ")-1),",","."),"."),LEFT(SUBSTITUTE(LEFT(TRIM(C185),FIND(" ",TRIM(C185)&amp;" ")-1),",","."),FIND("/",SUBSTITUTE(LEFT(TRIM(C185),FIND(" ",TRIM(C185)&amp;" ")-1),",","."))-1)/MID(SUBSTITUTE(LEFT(TRIM(C185),FIND(" ",TRIM(C185)&amp;" ")-1),",","."),FIND("/",SUBSTITUTE(LEFT(TRIM(C185),FIND(" ",TRIM(C185)&amp;" ")-1),",","."))+1,9))*12,NA()))),0),36)*'Aturan &amp; Tarif'!$B$4,2)</f>
        <v>2044.08</v>
      </c>
      <c r="K185" s="32" t="n">
        <f aca="false">'Aturan &amp; Tarif'!$B$5</f>
        <v>2050</v>
      </c>
      <c r="L185" s="32" t="n">
        <f aca="false">'Aturan &amp; Tarif'!$B$6</f>
        <v>350</v>
      </c>
      <c r="M185" s="35" t="n">
        <f aca="false">I185+J185+K185+L185</f>
        <v>21808.08</v>
      </c>
      <c r="N185" s="37" t="s">
        <v>318</v>
      </c>
    </row>
    <row r="186" customFormat="false" ht="14.25" hidden="false" customHeight="true" outlineLevel="0" collapsed="false">
      <c r="A186" s="29"/>
      <c r="B186" s="30" t="s">
        <v>406</v>
      </c>
      <c r="C186" s="31" t="s">
        <v>191</v>
      </c>
      <c r="D186" s="31" t="s">
        <v>108</v>
      </c>
      <c r="E186" s="32" t="n">
        <v>8682</v>
      </c>
      <c r="F186" s="32"/>
      <c r="G186" s="32"/>
      <c r="H186" s="33" t="n">
        <v>2</v>
      </c>
      <c r="I186" s="34" t="n">
        <f aca="false">E186*H186+N(F186)+N(G186)</f>
        <v>17364</v>
      </c>
      <c r="J186" s="32" t="n">
        <f aca="false">ROUND(IFERROR(ROUND(IF(OR(ISNUMBER(SEARCH("week",C186)),ISNUMBER(SEARCH("minggu",C186))),IFERROR(_xlfn.NUMBERVALUE(SUBSTITUTE(LEFT(TRIM(C186),FIND(" ",TRIM(C186)&amp;" ")-1),",","."),"."),LEFT(SUBSTITUTE(LEFT(TRIM(C186),FIND(" ",TRIM(C186)&amp;" ")-1),",","."),FIND("/",SUBSTITUTE(LEFT(TRIM(C186),FIND(" ",TRIM(C186)&amp;" ")-1),",","."))-1)/MID(SUBSTITUTE(LEFT(TRIM(C186),FIND(" ",TRIM(C186)&amp;" ")-1),",","."),FIND("/",SUBSTITUTE(LEFT(TRIM(C186),FIND(" ",TRIM(C186)&amp;" ")-1),",","."))+1,9))*12/52,IF(ISNUMBER(SEARCH("month",C186)),IFERROR(_xlfn.NUMBERVALUE(SUBSTITUTE(LEFT(TRIM(C186),FIND(" ",TRIM(C186)&amp;" ")-1),",","."),"."),LEFT(SUBSTITUTE(LEFT(TRIM(C186),FIND(" ",TRIM(C186)&amp;" ")-1),",","."),FIND("/",SUBSTITUTE(LEFT(TRIM(C186),FIND(" ",TRIM(C186)&amp;" ")-1),",","."))-1)/MID(SUBSTITUTE(LEFT(TRIM(C186),FIND(" ",TRIM(C186)&amp;" ")-1),",","."),FIND("/",SUBSTITUTE(LEFT(TRIM(C186),FIND(" ",TRIM(C186)&amp;" ")-1),",","."))+1,9)),IF(ISNUMBER(SEARCH("yea",C186)),IFERROR(_xlfn.NUMBERVALUE(SUBSTITUTE(LEFT(TRIM(C186),FIND(" ",TRIM(C186)&amp;" ")-1),",","."),"."),LEFT(SUBSTITUTE(LEFT(TRIM(C186),FIND(" ",TRIM(C186)&amp;" ")-1),",","."),FIND("/",SUBSTITUTE(LEFT(TRIM(C186),FIND(" ",TRIM(C186)&amp;" ")-1),",","."))-1)/MID(SUBSTITUTE(LEFT(TRIM(C186),FIND(" ",TRIM(C186)&amp;" ")-1),",","."),FIND("/",SUBSTITUTE(LEFT(TRIM(C186),FIND(" ",TRIM(C186)&amp;" ")-1),",","."))+1,9))*12,NA()))),0),48)*'Aturan &amp; Tarif'!$B$4,2)</f>
        <v>2725.44</v>
      </c>
      <c r="K186" s="32" t="n">
        <f aca="false">'Aturan &amp; Tarif'!$B$5</f>
        <v>2050</v>
      </c>
      <c r="L186" s="32" t="n">
        <f aca="false">'Aturan &amp; Tarif'!$B$6</f>
        <v>350</v>
      </c>
      <c r="M186" s="35" t="n">
        <f aca="false">I186+J186+K186+L186</f>
        <v>22489.44</v>
      </c>
      <c r="N186" s="37" t="s">
        <v>318</v>
      </c>
    </row>
    <row r="187" customFormat="false" ht="14.25" hidden="false" customHeight="true" outlineLevel="0" collapsed="false">
      <c r="A187" s="29"/>
      <c r="B187" s="30" t="s">
        <v>407</v>
      </c>
      <c r="C187" s="31" t="s">
        <v>107</v>
      </c>
      <c r="D187" s="31" t="s">
        <v>108</v>
      </c>
      <c r="E187" s="32" t="n">
        <v>8682</v>
      </c>
      <c r="F187" s="32"/>
      <c r="G187" s="32"/>
      <c r="H187" s="33" t="n">
        <v>2</v>
      </c>
      <c r="I187" s="34" t="n">
        <f aca="false">E187*H187+N(F187)+N(G187)</f>
        <v>17364</v>
      </c>
      <c r="J187" s="32" t="n">
        <f aca="false">ROUND(IFERROR(ROUND(IF(OR(ISNUMBER(SEARCH("week",C187)),ISNUMBER(SEARCH("minggu",C187))),IFERROR(_xlfn.NUMBERVALUE(SUBSTITUTE(LEFT(TRIM(C187),FIND(" ",TRIM(C187)&amp;" ")-1),",","."),"."),LEFT(SUBSTITUTE(LEFT(TRIM(C187),FIND(" ",TRIM(C187)&amp;" ")-1),",","."),FIND("/",SUBSTITUTE(LEFT(TRIM(C187),FIND(" ",TRIM(C187)&amp;" ")-1),",","."))-1)/MID(SUBSTITUTE(LEFT(TRIM(C187),FIND(" ",TRIM(C187)&amp;" ")-1),",","."),FIND("/",SUBSTITUTE(LEFT(TRIM(C187),FIND(" ",TRIM(C187)&amp;" ")-1),",","."))+1,9))*12/52,IF(ISNUMBER(SEARCH("month",C187)),IFERROR(_xlfn.NUMBERVALUE(SUBSTITUTE(LEFT(TRIM(C187),FIND(" ",TRIM(C187)&amp;" ")-1),",","."),"."),LEFT(SUBSTITUTE(LEFT(TRIM(C187),FIND(" ",TRIM(C187)&amp;" ")-1),",","."),FIND("/",SUBSTITUTE(LEFT(TRIM(C187),FIND(" ",TRIM(C187)&amp;" ")-1),",","."))-1)/MID(SUBSTITUTE(LEFT(TRIM(C187),FIND(" ",TRIM(C187)&amp;" ")-1),",","."),FIND("/",SUBSTITUTE(LEFT(TRIM(C187),FIND(" ",TRIM(C187)&amp;" ")-1),",","."))+1,9)),IF(ISNUMBER(SEARCH("yea",C187)),IFERROR(_xlfn.NUMBERVALUE(SUBSTITUTE(LEFT(TRIM(C187),FIND(" ",TRIM(C187)&amp;" ")-1),",","."),"."),LEFT(SUBSTITUTE(LEFT(TRIM(C187),FIND(" ",TRIM(C187)&amp;" ")-1),",","."),FIND("/",SUBSTITUTE(LEFT(TRIM(C187),FIND(" ",TRIM(C187)&amp;" ")-1),",","."))-1)/MID(SUBSTITUTE(LEFT(TRIM(C187),FIND(" ",TRIM(C187)&amp;" ")-1),",","."),FIND("/",SUBSTITUTE(LEFT(TRIM(C187),FIND(" ",TRIM(C187)&amp;" ")-1),",","."))+1,9))*12,NA()))),0),24)*'Aturan &amp; Tarif'!$B$4,2)</f>
        <v>1362.72</v>
      </c>
      <c r="K187" s="32" t="n">
        <f aca="false">'Aturan &amp; Tarif'!$B$5</f>
        <v>2050</v>
      </c>
      <c r="L187" s="32" t="n">
        <f aca="false">'Aturan &amp; Tarif'!$B$6</f>
        <v>350</v>
      </c>
      <c r="M187" s="35" t="n">
        <f aca="false">I187+J187+K187+L187</f>
        <v>21126.72</v>
      </c>
      <c r="N187" s="37" t="s">
        <v>318</v>
      </c>
    </row>
    <row r="188" customFormat="false" ht="14.25" hidden="false" customHeight="true" outlineLevel="0" collapsed="false">
      <c r="A188" s="29"/>
      <c r="B188" s="30" t="s">
        <v>408</v>
      </c>
      <c r="C188" s="31" t="s">
        <v>130</v>
      </c>
      <c r="D188" s="31" t="s">
        <v>108</v>
      </c>
      <c r="E188" s="32" t="n">
        <v>7086</v>
      </c>
      <c r="F188" s="32"/>
      <c r="G188" s="32"/>
      <c r="H188" s="33" t="n">
        <v>2</v>
      </c>
      <c r="I188" s="34" t="n">
        <f aca="false">E188*H188+N(F188)+N(G188)</f>
        <v>14172</v>
      </c>
      <c r="J188" s="32" t="n">
        <f aca="false">ROUND(IFERROR(ROUND(IF(OR(ISNUMBER(SEARCH("week",C188)),ISNUMBER(SEARCH("minggu",C188))),IFERROR(_xlfn.NUMBERVALUE(SUBSTITUTE(LEFT(TRIM(C188),FIND(" ",TRIM(C188)&amp;" ")-1),",","."),"."),LEFT(SUBSTITUTE(LEFT(TRIM(C188),FIND(" ",TRIM(C188)&amp;" ")-1),",","."),FIND("/",SUBSTITUTE(LEFT(TRIM(C188),FIND(" ",TRIM(C188)&amp;" ")-1),",","."))-1)/MID(SUBSTITUTE(LEFT(TRIM(C188),FIND(" ",TRIM(C188)&amp;" ")-1),",","."),FIND("/",SUBSTITUTE(LEFT(TRIM(C188),FIND(" ",TRIM(C188)&amp;" ")-1),",","."))+1,9))*12/52,IF(ISNUMBER(SEARCH("month",C188)),IFERROR(_xlfn.NUMBERVALUE(SUBSTITUTE(LEFT(TRIM(C188),FIND(" ",TRIM(C188)&amp;" ")-1),",","."),"."),LEFT(SUBSTITUTE(LEFT(TRIM(C188),FIND(" ",TRIM(C188)&amp;" ")-1),",","."),FIND("/",SUBSTITUTE(LEFT(TRIM(C188),FIND(" ",TRIM(C188)&amp;" ")-1),",","."))-1)/MID(SUBSTITUTE(LEFT(TRIM(C188),FIND(" ",TRIM(C188)&amp;" ")-1),",","."),FIND("/",SUBSTITUTE(LEFT(TRIM(C188),FIND(" ",TRIM(C188)&amp;" ")-1),",","."))+1,9)),IF(ISNUMBER(SEARCH("yea",C188)),IFERROR(_xlfn.NUMBERVALUE(SUBSTITUTE(LEFT(TRIM(C188),FIND(" ",TRIM(C188)&amp;" ")-1),",","."),"."),LEFT(SUBSTITUTE(LEFT(TRIM(C188),FIND(" ",TRIM(C188)&amp;" ")-1),",","."),FIND("/",SUBSTITUTE(LEFT(TRIM(C188),FIND(" ",TRIM(C188)&amp;" ")-1),",","."))-1)/MID(SUBSTITUTE(LEFT(TRIM(C188),FIND(" ",TRIM(C188)&amp;" ")-1),",","."),FIND("/",SUBSTITUTE(LEFT(TRIM(C188),FIND(" ",TRIM(C188)&amp;" ")-1),",","."))+1,9))*12,NA()))),0),12)*'Aturan &amp; Tarif'!$B$4,2)</f>
        <v>681.36</v>
      </c>
      <c r="K188" s="32" t="n">
        <f aca="false">'Aturan &amp; Tarif'!$B$5</f>
        <v>2050</v>
      </c>
      <c r="L188" s="32" t="n">
        <f aca="false">'Aturan &amp; Tarif'!$B$6</f>
        <v>350</v>
      </c>
      <c r="M188" s="35" t="n">
        <f aca="false">I188+J188+K188+L188</f>
        <v>17253.36</v>
      </c>
      <c r="N188" s="37" t="s">
        <v>318</v>
      </c>
    </row>
    <row r="189" customFormat="false" ht="14.25" hidden="false" customHeight="true" outlineLevel="0" collapsed="false">
      <c r="A189" s="29"/>
      <c r="B189" s="30" t="s">
        <v>409</v>
      </c>
      <c r="C189" s="31" t="s">
        <v>130</v>
      </c>
      <c r="D189" s="31" t="s">
        <v>108</v>
      </c>
      <c r="E189" s="32" t="n">
        <v>8058</v>
      </c>
      <c r="F189" s="32"/>
      <c r="G189" s="32"/>
      <c r="H189" s="33" t="n">
        <v>2</v>
      </c>
      <c r="I189" s="34" t="n">
        <f aca="false">E189*H189+N(F189)+N(G189)</f>
        <v>16116</v>
      </c>
      <c r="J189" s="32" t="n">
        <f aca="false">ROUND(IFERROR(ROUND(IF(OR(ISNUMBER(SEARCH("week",C189)),ISNUMBER(SEARCH("minggu",C189))),IFERROR(_xlfn.NUMBERVALUE(SUBSTITUTE(LEFT(TRIM(C189),FIND(" ",TRIM(C189)&amp;" ")-1),",","."),"."),LEFT(SUBSTITUTE(LEFT(TRIM(C189),FIND(" ",TRIM(C189)&amp;" ")-1),",","."),FIND("/",SUBSTITUTE(LEFT(TRIM(C189),FIND(" ",TRIM(C189)&amp;" ")-1),",","."))-1)/MID(SUBSTITUTE(LEFT(TRIM(C189),FIND(" ",TRIM(C189)&amp;" ")-1),",","."),FIND("/",SUBSTITUTE(LEFT(TRIM(C189),FIND(" ",TRIM(C189)&amp;" ")-1),",","."))+1,9))*12/52,IF(ISNUMBER(SEARCH("month",C189)),IFERROR(_xlfn.NUMBERVALUE(SUBSTITUTE(LEFT(TRIM(C189),FIND(" ",TRIM(C189)&amp;" ")-1),",","."),"."),LEFT(SUBSTITUTE(LEFT(TRIM(C189),FIND(" ",TRIM(C189)&amp;" ")-1),",","."),FIND("/",SUBSTITUTE(LEFT(TRIM(C189),FIND(" ",TRIM(C189)&amp;" ")-1),",","."))-1)/MID(SUBSTITUTE(LEFT(TRIM(C189),FIND(" ",TRIM(C189)&amp;" ")-1),",","."),FIND("/",SUBSTITUTE(LEFT(TRIM(C189),FIND(" ",TRIM(C189)&amp;" ")-1),",","."))+1,9)),IF(ISNUMBER(SEARCH("yea",C189)),IFERROR(_xlfn.NUMBERVALUE(SUBSTITUTE(LEFT(TRIM(C189),FIND(" ",TRIM(C189)&amp;" ")-1),",","."),"."),LEFT(SUBSTITUTE(LEFT(TRIM(C189),FIND(" ",TRIM(C189)&amp;" ")-1),",","."),FIND("/",SUBSTITUTE(LEFT(TRIM(C189),FIND(" ",TRIM(C189)&amp;" ")-1),",","."))-1)/MID(SUBSTITUTE(LEFT(TRIM(C189),FIND(" ",TRIM(C189)&amp;" ")-1),",","."),FIND("/",SUBSTITUTE(LEFT(TRIM(C189),FIND(" ",TRIM(C189)&amp;" ")-1),",","."))+1,9))*12,NA()))),0),12)*'Aturan &amp; Tarif'!$B$4,2)</f>
        <v>681.36</v>
      </c>
      <c r="K189" s="32" t="n">
        <f aca="false">'Aturan &amp; Tarif'!$B$5</f>
        <v>2050</v>
      </c>
      <c r="L189" s="32" t="n">
        <f aca="false">'Aturan &amp; Tarif'!$B$6</f>
        <v>350</v>
      </c>
      <c r="M189" s="35" t="n">
        <f aca="false">I189+J189+K189+L189</f>
        <v>19197.36</v>
      </c>
      <c r="N189" s="37" t="s">
        <v>318</v>
      </c>
    </row>
    <row r="190" customFormat="false" ht="25.5" hidden="false" customHeight="true" outlineLevel="0" collapsed="false">
      <c r="A190" s="29"/>
      <c r="B190" s="30" t="s">
        <v>410</v>
      </c>
      <c r="C190" s="31" t="s">
        <v>130</v>
      </c>
      <c r="D190" s="31" t="s">
        <v>108</v>
      </c>
      <c r="E190" s="32" t="n">
        <v>8480</v>
      </c>
      <c r="F190" s="32"/>
      <c r="G190" s="32"/>
      <c r="H190" s="33" t="n">
        <v>2</v>
      </c>
      <c r="I190" s="34" t="n">
        <f aca="false">E190*H190+N(F190)+N(G190)</f>
        <v>16960</v>
      </c>
      <c r="J190" s="32" t="n">
        <f aca="false">ROUND(IFERROR(ROUND(IF(OR(ISNUMBER(SEARCH("week",C190)),ISNUMBER(SEARCH("minggu",C190))),IFERROR(_xlfn.NUMBERVALUE(SUBSTITUTE(LEFT(TRIM(C190),FIND(" ",TRIM(C190)&amp;" ")-1),",","."),"."),LEFT(SUBSTITUTE(LEFT(TRIM(C190),FIND(" ",TRIM(C190)&amp;" ")-1),",","."),FIND("/",SUBSTITUTE(LEFT(TRIM(C190),FIND(" ",TRIM(C190)&amp;" ")-1),",","."))-1)/MID(SUBSTITUTE(LEFT(TRIM(C190),FIND(" ",TRIM(C190)&amp;" ")-1),",","."),FIND("/",SUBSTITUTE(LEFT(TRIM(C190),FIND(" ",TRIM(C190)&amp;" ")-1),",","."))+1,9))*12/52,IF(ISNUMBER(SEARCH("month",C190)),IFERROR(_xlfn.NUMBERVALUE(SUBSTITUTE(LEFT(TRIM(C190),FIND(" ",TRIM(C190)&amp;" ")-1),",","."),"."),LEFT(SUBSTITUTE(LEFT(TRIM(C190),FIND(" ",TRIM(C190)&amp;" ")-1),",","."),FIND("/",SUBSTITUTE(LEFT(TRIM(C190),FIND(" ",TRIM(C190)&amp;" ")-1),",","."))-1)/MID(SUBSTITUTE(LEFT(TRIM(C190),FIND(" ",TRIM(C190)&amp;" ")-1),",","."),FIND("/",SUBSTITUTE(LEFT(TRIM(C190),FIND(" ",TRIM(C190)&amp;" ")-1),",","."))+1,9)),IF(ISNUMBER(SEARCH("yea",C190)),IFERROR(_xlfn.NUMBERVALUE(SUBSTITUTE(LEFT(TRIM(C190),FIND(" ",TRIM(C190)&amp;" ")-1),",","."),"."),LEFT(SUBSTITUTE(LEFT(TRIM(C190),FIND(" ",TRIM(C190)&amp;" ")-1),",","."),FIND("/",SUBSTITUTE(LEFT(TRIM(C190),FIND(" ",TRIM(C190)&amp;" ")-1),",","."))-1)/MID(SUBSTITUTE(LEFT(TRIM(C190),FIND(" ",TRIM(C190)&amp;" ")-1),",","."),FIND("/",SUBSTITUTE(LEFT(TRIM(C190),FIND(" ",TRIM(C190)&amp;" ")-1),",","."))+1,9))*12,NA()))),0),12)*'Aturan &amp; Tarif'!$B$4,2)</f>
        <v>681.36</v>
      </c>
      <c r="K190" s="32" t="n">
        <f aca="false">'Aturan &amp; Tarif'!$B$5</f>
        <v>2050</v>
      </c>
      <c r="L190" s="32" t="n">
        <f aca="false">'Aturan &amp; Tarif'!$B$6</f>
        <v>350</v>
      </c>
      <c r="M190" s="35" t="n">
        <f aca="false">I190+J190+K190+L190</f>
        <v>20041.36</v>
      </c>
      <c r="N190" s="37" t="s">
        <v>318</v>
      </c>
    </row>
    <row r="191" customFormat="false" ht="14.25" hidden="false" customHeight="true" outlineLevel="0" collapsed="false">
      <c r="A191" s="29"/>
      <c r="B191" s="30" t="s">
        <v>411</v>
      </c>
      <c r="C191" s="31" t="s">
        <v>130</v>
      </c>
      <c r="D191" s="31" t="s">
        <v>108</v>
      </c>
      <c r="E191" s="32" t="n">
        <v>8906</v>
      </c>
      <c r="F191" s="32"/>
      <c r="G191" s="32"/>
      <c r="H191" s="33" t="n">
        <v>2</v>
      </c>
      <c r="I191" s="34" t="n">
        <f aca="false">E191*H191+N(F191)+N(G191)</f>
        <v>17812</v>
      </c>
      <c r="J191" s="32" t="n">
        <f aca="false">ROUND(IFERROR(ROUND(IF(OR(ISNUMBER(SEARCH("week",C191)),ISNUMBER(SEARCH("minggu",C191))),IFERROR(_xlfn.NUMBERVALUE(SUBSTITUTE(LEFT(TRIM(C191),FIND(" ",TRIM(C191)&amp;" ")-1),",","."),"."),LEFT(SUBSTITUTE(LEFT(TRIM(C191),FIND(" ",TRIM(C191)&amp;" ")-1),",","."),FIND("/",SUBSTITUTE(LEFT(TRIM(C191),FIND(" ",TRIM(C191)&amp;" ")-1),",","."))-1)/MID(SUBSTITUTE(LEFT(TRIM(C191),FIND(" ",TRIM(C191)&amp;" ")-1),",","."),FIND("/",SUBSTITUTE(LEFT(TRIM(C191),FIND(" ",TRIM(C191)&amp;" ")-1),",","."))+1,9))*12/52,IF(ISNUMBER(SEARCH("month",C191)),IFERROR(_xlfn.NUMBERVALUE(SUBSTITUTE(LEFT(TRIM(C191),FIND(" ",TRIM(C191)&amp;" ")-1),",","."),"."),LEFT(SUBSTITUTE(LEFT(TRIM(C191),FIND(" ",TRIM(C191)&amp;" ")-1),",","."),FIND("/",SUBSTITUTE(LEFT(TRIM(C191),FIND(" ",TRIM(C191)&amp;" ")-1),",","."))-1)/MID(SUBSTITUTE(LEFT(TRIM(C191),FIND(" ",TRIM(C191)&amp;" ")-1),",","."),FIND("/",SUBSTITUTE(LEFT(TRIM(C191),FIND(" ",TRIM(C191)&amp;" ")-1),",","."))+1,9)),IF(ISNUMBER(SEARCH("yea",C191)),IFERROR(_xlfn.NUMBERVALUE(SUBSTITUTE(LEFT(TRIM(C191),FIND(" ",TRIM(C191)&amp;" ")-1),",","."),"."),LEFT(SUBSTITUTE(LEFT(TRIM(C191),FIND(" ",TRIM(C191)&amp;" ")-1),",","."),FIND("/",SUBSTITUTE(LEFT(TRIM(C191),FIND(" ",TRIM(C191)&amp;" ")-1),",","."))-1)/MID(SUBSTITUTE(LEFT(TRIM(C191),FIND(" ",TRIM(C191)&amp;" ")-1),",","."),FIND("/",SUBSTITUTE(LEFT(TRIM(C191),FIND(" ",TRIM(C191)&amp;" ")-1),",","."))+1,9))*12,NA()))),0),12)*'Aturan &amp; Tarif'!$B$4,2)</f>
        <v>681.36</v>
      </c>
      <c r="K191" s="32" t="n">
        <f aca="false">'Aturan &amp; Tarif'!$B$5</f>
        <v>2050</v>
      </c>
      <c r="L191" s="32" t="n">
        <f aca="false">'Aturan &amp; Tarif'!$B$6</f>
        <v>350</v>
      </c>
      <c r="M191" s="35" t="n">
        <f aca="false">I191+J191+K191+L191</f>
        <v>20893.36</v>
      </c>
      <c r="N191" s="37" t="s">
        <v>318</v>
      </c>
    </row>
    <row r="192" customFormat="false" ht="14.25" hidden="false" customHeight="true" outlineLevel="0" collapsed="false">
      <c r="A192" s="29"/>
      <c r="B192" s="30" t="s">
        <v>412</v>
      </c>
      <c r="C192" s="31" t="s">
        <v>130</v>
      </c>
      <c r="D192" s="31" t="s">
        <v>108</v>
      </c>
      <c r="E192" s="32" t="n">
        <v>7086</v>
      </c>
      <c r="F192" s="32"/>
      <c r="G192" s="32"/>
      <c r="H192" s="33" t="n">
        <v>2</v>
      </c>
      <c r="I192" s="34" t="n">
        <f aca="false">E192*H192+N(F192)+N(G192)</f>
        <v>14172</v>
      </c>
      <c r="J192" s="32" t="n">
        <f aca="false">ROUND(IFERROR(ROUND(IF(OR(ISNUMBER(SEARCH("week",C192)),ISNUMBER(SEARCH("minggu",C192))),IFERROR(_xlfn.NUMBERVALUE(SUBSTITUTE(LEFT(TRIM(C192),FIND(" ",TRIM(C192)&amp;" ")-1),",","."),"."),LEFT(SUBSTITUTE(LEFT(TRIM(C192),FIND(" ",TRIM(C192)&amp;" ")-1),",","."),FIND("/",SUBSTITUTE(LEFT(TRIM(C192),FIND(" ",TRIM(C192)&amp;" ")-1),",","."))-1)/MID(SUBSTITUTE(LEFT(TRIM(C192),FIND(" ",TRIM(C192)&amp;" ")-1),",","."),FIND("/",SUBSTITUTE(LEFT(TRIM(C192),FIND(" ",TRIM(C192)&amp;" ")-1),",","."))+1,9))*12/52,IF(ISNUMBER(SEARCH("month",C192)),IFERROR(_xlfn.NUMBERVALUE(SUBSTITUTE(LEFT(TRIM(C192),FIND(" ",TRIM(C192)&amp;" ")-1),",","."),"."),LEFT(SUBSTITUTE(LEFT(TRIM(C192),FIND(" ",TRIM(C192)&amp;" ")-1),",","."),FIND("/",SUBSTITUTE(LEFT(TRIM(C192),FIND(" ",TRIM(C192)&amp;" ")-1),",","."))-1)/MID(SUBSTITUTE(LEFT(TRIM(C192),FIND(" ",TRIM(C192)&amp;" ")-1),",","."),FIND("/",SUBSTITUTE(LEFT(TRIM(C192),FIND(" ",TRIM(C192)&amp;" ")-1),",","."))+1,9)),IF(ISNUMBER(SEARCH("yea",C192)),IFERROR(_xlfn.NUMBERVALUE(SUBSTITUTE(LEFT(TRIM(C192),FIND(" ",TRIM(C192)&amp;" ")-1),",","."),"."),LEFT(SUBSTITUTE(LEFT(TRIM(C192),FIND(" ",TRIM(C192)&amp;" ")-1),",","."),FIND("/",SUBSTITUTE(LEFT(TRIM(C192),FIND(" ",TRIM(C192)&amp;" ")-1),",","."))-1)/MID(SUBSTITUTE(LEFT(TRIM(C192),FIND(" ",TRIM(C192)&amp;" ")-1),",","."),FIND("/",SUBSTITUTE(LEFT(TRIM(C192),FIND(" ",TRIM(C192)&amp;" ")-1),",","."))+1,9))*12,NA()))),0),12)*'Aturan &amp; Tarif'!$B$4,2)</f>
        <v>681.36</v>
      </c>
      <c r="K192" s="32" t="n">
        <f aca="false">'Aturan &amp; Tarif'!$B$5</f>
        <v>2050</v>
      </c>
      <c r="L192" s="32" t="n">
        <f aca="false">'Aturan &amp; Tarif'!$B$6</f>
        <v>350</v>
      </c>
      <c r="M192" s="35" t="n">
        <f aca="false">I192+J192+K192+L192</f>
        <v>17253.36</v>
      </c>
      <c r="N192" s="37" t="s">
        <v>318</v>
      </c>
    </row>
    <row r="193" customFormat="false" ht="14.25" hidden="false" customHeight="true" outlineLevel="0" collapsed="false">
      <c r="A193" s="29"/>
      <c r="B193" s="30" t="s">
        <v>872</v>
      </c>
      <c r="C193" s="31" t="s">
        <v>130</v>
      </c>
      <c r="D193" s="31" t="s">
        <v>108</v>
      </c>
      <c r="E193" s="32" t="n">
        <v>8058</v>
      </c>
      <c r="F193" s="32"/>
      <c r="G193" s="32"/>
      <c r="H193" s="33" t="n">
        <v>2</v>
      </c>
      <c r="I193" s="34" t="n">
        <f aca="false">E193*H193+N(F193)+N(G193)</f>
        <v>16116</v>
      </c>
      <c r="J193" s="32" t="n">
        <f aca="false">ROUND(IFERROR(ROUND(IF(OR(ISNUMBER(SEARCH("week",C193)),ISNUMBER(SEARCH("minggu",C193))),IFERROR(_xlfn.NUMBERVALUE(SUBSTITUTE(LEFT(TRIM(C193),FIND(" ",TRIM(C193)&amp;" ")-1),",","."),"."),LEFT(SUBSTITUTE(LEFT(TRIM(C193),FIND(" ",TRIM(C193)&amp;" ")-1),",","."),FIND("/",SUBSTITUTE(LEFT(TRIM(C193),FIND(" ",TRIM(C193)&amp;" ")-1),",","."))-1)/MID(SUBSTITUTE(LEFT(TRIM(C193),FIND(" ",TRIM(C193)&amp;" ")-1),",","."),FIND("/",SUBSTITUTE(LEFT(TRIM(C193),FIND(" ",TRIM(C193)&amp;" ")-1),",","."))+1,9))*12/52,IF(ISNUMBER(SEARCH("month",C193)),IFERROR(_xlfn.NUMBERVALUE(SUBSTITUTE(LEFT(TRIM(C193),FIND(" ",TRIM(C193)&amp;" ")-1),",","."),"."),LEFT(SUBSTITUTE(LEFT(TRIM(C193),FIND(" ",TRIM(C193)&amp;" ")-1),",","."),FIND("/",SUBSTITUTE(LEFT(TRIM(C193),FIND(" ",TRIM(C193)&amp;" ")-1),",","."))-1)/MID(SUBSTITUTE(LEFT(TRIM(C193),FIND(" ",TRIM(C193)&amp;" ")-1),",","."),FIND("/",SUBSTITUTE(LEFT(TRIM(C193),FIND(" ",TRIM(C193)&amp;" ")-1),",","."))+1,9)),IF(ISNUMBER(SEARCH("yea",C193)),IFERROR(_xlfn.NUMBERVALUE(SUBSTITUTE(LEFT(TRIM(C193),FIND(" ",TRIM(C193)&amp;" ")-1),",","."),"."),LEFT(SUBSTITUTE(LEFT(TRIM(C193),FIND(" ",TRIM(C193)&amp;" ")-1),",","."),FIND("/",SUBSTITUTE(LEFT(TRIM(C193),FIND(" ",TRIM(C193)&amp;" ")-1),",","."))-1)/MID(SUBSTITUTE(LEFT(TRIM(C193),FIND(" ",TRIM(C193)&amp;" ")-1),",","."),FIND("/",SUBSTITUTE(LEFT(TRIM(C193),FIND(" ",TRIM(C193)&amp;" ")-1),",","."))+1,9))*12,NA()))),0),12)*'Aturan &amp; Tarif'!$B$4,2)</f>
        <v>681.36</v>
      </c>
      <c r="K193" s="32" t="n">
        <f aca="false">'Aturan &amp; Tarif'!$B$5</f>
        <v>2050</v>
      </c>
      <c r="L193" s="32" t="n">
        <f aca="false">'Aturan &amp; Tarif'!$B$6</f>
        <v>350</v>
      </c>
      <c r="M193" s="35" t="n">
        <f aca="false">I193+J193+K193+L193</f>
        <v>19197.36</v>
      </c>
      <c r="N193" s="37" t="s">
        <v>318</v>
      </c>
    </row>
    <row r="194" customFormat="false" ht="14.25" hidden="false" customHeight="true" outlineLevel="0" collapsed="false">
      <c r="A194" s="29"/>
      <c r="B194" s="30" t="s">
        <v>414</v>
      </c>
      <c r="C194" s="31" t="s">
        <v>130</v>
      </c>
      <c r="D194" s="31" t="s">
        <v>108</v>
      </c>
      <c r="E194" s="32" t="n">
        <v>8906</v>
      </c>
      <c r="F194" s="32"/>
      <c r="G194" s="32"/>
      <c r="H194" s="33" t="n">
        <v>2</v>
      </c>
      <c r="I194" s="34" t="n">
        <f aca="false">E194*H194+N(F194)+N(G194)</f>
        <v>17812</v>
      </c>
      <c r="J194" s="32" t="n">
        <f aca="false">ROUND(IFERROR(ROUND(IF(OR(ISNUMBER(SEARCH("week",C194)),ISNUMBER(SEARCH("minggu",C194))),IFERROR(_xlfn.NUMBERVALUE(SUBSTITUTE(LEFT(TRIM(C194),FIND(" ",TRIM(C194)&amp;" ")-1),",","."),"."),LEFT(SUBSTITUTE(LEFT(TRIM(C194),FIND(" ",TRIM(C194)&amp;" ")-1),",","."),FIND("/",SUBSTITUTE(LEFT(TRIM(C194),FIND(" ",TRIM(C194)&amp;" ")-1),",","."))-1)/MID(SUBSTITUTE(LEFT(TRIM(C194),FIND(" ",TRIM(C194)&amp;" ")-1),",","."),FIND("/",SUBSTITUTE(LEFT(TRIM(C194),FIND(" ",TRIM(C194)&amp;" ")-1),",","."))+1,9))*12/52,IF(ISNUMBER(SEARCH("month",C194)),IFERROR(_xlfn.NUMBERVALUE(SUBSTITUTE(LEFT(TRIM(C194),FIND(" ",TRIM(C194)&amp;" ")-1),",","."),"."),LEFT(SUBSTITUTE(LEFT(TRIM(C194),FIND(" ",TRIM(C194)&amp;" ")-1),",","."),FIND("/",SUBSTITUTE(LEFT(TRIM(C194),FIND(" ",TRIM(C194)&amp;" ")-1),",","."))-1)/MID(SUBSTITUTE(LEFT(TRIM(C194),FIND(" ",TRIM(C194)&amp;" ")-1),",","."),FIND("/",SUBSTITUTE(LEFT(TRIM(C194),FIND(" ",TRIM(C194)&amp;" ")-1),",","."))+1,9)),IF(ISNUMBER(SEARCH("yea",C194)),IFERROR(_xlfn.NUMBERVALUE(SUBSTITUTE(LEFT(TRIM(C194),FIND(" ",TRIM(C194)&amp;" ")-1),",","."),"."),LEFT(SUBSTITUTE(LEFT(TRIM(C194),FIND(" ",TRIM(C194)&amp;" ")-1),",","."),FIND("/",SUBSTITUTE(LEFT(TRIM(C194),FIND(" ",TRIM(C194)&amp;" ")-1),",","."))-1)/MID(SUBSTITUTE(LEFT(TRIM(C194),FIND(" ",TRIM(C194)&amp;" ")-1),",","."),FIND("/",SUBSTITUTE(LEFT(TRIM(C194),FIND(" ",TRIM(C194)&amp;" ")-1),",","."))+1,9))*12,NA()))),0),12)*'Aturan &amp; Tarif'!$B$4,2)</f>
        <v>681.36</v>
      </c>
      <c r="K194" s="32" t="n">
        <f aca="false">'Aturan &amp; Tarif'!$B$5</f>
        <v>2050</v>
      </c>
      <c r="L194" s="32" t="n">
        <f aca="false">'Aturan &amp; Tarif'!$B$6</f>
        <v>350</v>
      </c>
      <c r="M194" s="35" t="n">
        <f aca="false">I194+J194+K194+L194</f>
        <v>20893.36</v>
      </c>
      <c r="N194" s="37" t="s">
        <v>318</v>
      </c>
    </row>
    <row r="195" customFormat="false" ht="14.25" hidden="false" customHeight="true" outlineLevel="0" collapsed="false">
      <c r="A195" s="29"/>
      <c r="B195" s="30" t="s">
        <v>415</v>
      </c>
      <c r="C195" s="31" t="s">
        <v>130</v>
      </c>
      <c r="D195" s="31" t="s">
        <v>108</v>
      </c>
      <c r="E195" s="32" t="n">
        <v>7086</v>
      </c>
      <c r="F195" s="32"/>
      <c r="G195" s="32"/>
      <c r="H195" s="33" t="n">
        <v>2</v>
      </c>
      <c r="I195" s="34" t="n">
        <f aca="false">E195*H195+N(F195)+N(G195)</f>
        <v>14172</v>
      </c>
      <c r="J195" s="32" t="n">
        <f aca="false">ROUND(IFERROR(ROUND(IF(OR(ISNUMBER(SEARCH("week",C195)),ISNUMBER(SEARCH("minggu",C195))),IFERROR(_xlfn.NUMBERVALUE(SUBSTITUTE(LEFT(TRIM(C195),FIND(" ",TRIM(C195)&amp;" ")-1),",","."),"."),LEFT(SUBSTITUTE(LEFT(TRIM(C195),FIND(" ",TRIM(C195)&amp;" ")-1),",","."),FIND("/",SUBSTITUTE(LEFT(TRIM(C195),FIND(" ",TRIM(C195)&amp;" ")-1),",","."))-1)/MID(SUBSTITUTE(LEFT(TRIM(C195),FIND(" ",TRIM(C195)&amp;" ")-1),",","."),FIND("/",SUBSTITUTE(LEFT(TRIM(C195),FIND(" ",TRIM(C195)&amp;" ")-1),",","."))+1,9))*12/52,IF(ISNUMBER(SEARCH("month",C195)),IFERROR(_xlfn.NUMBERVALUE(SUBSTITUTE(LEFT(TRIM(C195),FIND(" ",TRIM(C195)&amp;" ")-1),",","."),"."),LEFT(SUBSTITUTE(LEFT(TRIM(C195),FIND(" ",TRIM(C195)&amp;" ")-1),",","."),FIND("/",SUBSTITUTE(LEFT(TRIM(C195),FIND(" ",TRIM(C195)&amp;" ")-1),",","."))-1)/MID(SUBSTITUTE(LEFT(TRIM(C195),FIND(" ",TRIM(C195)&amp;" ")-1),",","."),FIND("/",SUBSTITUTE(LEFT(TRIM(C195),FIND(" ",TRIM(C195)&amp;" ")-1),",","."))+1,9)),IF(ISNUMBER(SEARCH("yea",C195)),IFERROR(_xlfn.NUMBERVALUE(SUBSTITUTE(LEFT(TRIM(C195),FIND(" ",TRIM(C195)&amp;" ")-1),",","."),"."),LEFT(SUBSTITUTE(LEFT(TRIM(C195),FIND(" ",TRIM(C195)&amp;" ")-1),",","."),FIND("/",SUBSTITUTE(LEFT(TRIM(C195),FIND(" ",TRIM(C195)&amp;" ")-1),",","."))-1)/MID(SUBSTITUTE(LEFT(TRIM(C195),FIND(" ",TRIM(C195)&amp;" ")-1),",","."),FIND("/",SUBSTITUTE(LEFT(TRIM(C195),FIND(" ",TRIM(C195)&amp;" ")-1),",","."))+1,9))*12,NA()))),0),12)*'Aturan &amp; Tarif'!$B$4,2)</f>
        <v>681.36</v>
      </c>
      <c r="K195" s="32" t="n">
        <f aca="false">'Aturan &amp; Tarif'!$B$5</f>
        <v>2050</v>
      </c>
      <c r="L195" s="32" t="n">
        <f aca="false">'Aturan &amp; Tarif'!$B$6</f>
        <v>350</v>
      </c>
      <c r="M195" s="35" t="n">
        <f aca="false">I195+J195+K195+L195</f>
        <v>17253.36</v>
      </c>
      <c r="N195" s="37" t="s">
        <v>318</v>
      </c>
    </row>
    <row r="196" customFormat="false" ht="14.25" hidden="false" customHeight="true" outlineLevel="0" collapsed="false">
      <c r="A196" s="29"/>
      <c r="B196" s="30" t="s">
        <v>416</v>
      </c>
      <c r="C196" s="31" t="s">
        <v>130</v>
      </c>
      <c r="D196" s="31" t="s">
        <v>108</v>
      </c>
      <c r="E196" s="32" t="n">
        <v>8906</v>
      </c>
      <c r="F196" s="32"/>
      <c r="G196" s="32"/>
      <c r="H196" s="33" t="n">
        <v>2</v>
      </c>
      <c r="I196" s="34" t="n">
        <f aca="false">E196*H196+N(F196)+N(G196)</f>
        <v>17812</v>
      </c>
      <c r="J196" s="32" t="n">
        <f aca="false">ROUND(IFERROR(ROUND(IF(OR(ISNUMBER(SEARCH("week",C196)),ISNUMBER(SEARCH("minggu",C196))),IFERROR(_xlfn.NUMBERVALUE(SUBSTITUTE(LEFT(TRIM(C196),FIND(" ",TRIM(C196)&amp;" ")-1),",","."),"."),LEFT(SUBSTITUTE(LEFT(TRIM(C196),FIND(" ",TRIM(C196)&amp;" ")-1),",","."),FIND("/",SUBSTITUTE(LEFT(TRIM(C196),FIND(" ",TRIM(C196)&amp;" ")-1),",","."))-1)/MID(SUBSTITUTE(LEFT(TRIM(C196),FIND(" ",TRIM(C196)&amp;" ")-1),",","."),FIND("/",SUBSTITUTE(LEFT(TRIM(C196),FIND(" ",TRIM(C196)&amp;" ")-1),",","."))+1,9))*12/52,IF(ISNUMBER(SEARCH("month",C196)),IFERROR(_xlfn.NUMBERVALUE(SUBSTITUTE(LEFT(TRIM(C196),FIND(" ",TRIM(C196)&amp;" ")-1),",","."),"."),LEFT(SUBSTITUTE(LEFT(TRIM(C196),FIND(" ",TRIM(C196)&amp;" ")-1),",","."),FIND("/",SUBSTITUTE(LEFT(TRIM(C196),FIND(" ",TRIM(C196)&amp;" ")-1),",","."))-1)/MID(SUBSTITUTE(LEFT(TRIM(C196),FIND(" ",TRIM(C196)&amp;" ")-1),",","."),FIND("/",SUBSTITUTE(LEFT(TRIM(C196),FIND(" ",TRIM(C196)&amp;" ")-1),",","."))+1,9)),IF(ISNUMBER(SEARCH("yea",C196)),IFERROR(_xlfn.NUMBERVALUE(SUBSTITUTE(LEFT(TRIM(C196),FIND(" ",TRIM(C196)&amp;" ")-1),",","."),"."),LEFT(SUBSTITUTE(LEFT(TRIM(C196),FIND(" ",TRIM(C196)&amp;" ")-1),",","."),FIND("/",SUBSTITUTE(LEFT(TRIM(C196),FIND(" ",TRIM(C196)&amp;" ")-1),",","."))-1)/MID(SUBSTITUTE(LEFT(TRIM(C196),FIND(" ",TRIM(C196)&amp;" ")-1),",","."),FIND("/",SUBSTITUTE(LEFT(TRIM(C196),FIND(" ",TRIM(C196)&amp;" ")-1),",","."))+1,9))*12,NA()))),0),12)*'Aturan &amp; Tarif'!$B$4,2)</f>
        <v>681.36</v>
      </c>
      <c r="K196" s="32" t="n">
        <f aca="false">'Aturan &amp; Tarif'!$B$5</f>
        <v>2050</v>
      </c>
      <c r="L196" s="32" t="n">
        <f aca="false">'Aturan &amp; Tarif'!$B$6</f>
        <v>350</v>
      </c>
      <c r="M196" s="35" t="n">
        <f aca="false">I196+J196+K196+L196</f>
        <v>20893.36</v>
      </c>
      <c r="N196" s="37" t="s">
        <v>318</v>
      </c>
    </row>
    <row r="197" customFormat="false" ht="14.25" hidden="false" customHeight="true" outlineLevel="0" collapsed="false">
      <c r="A197" s="29"/>
      <c r="B197" s="30" t="s">
        <v>417</v>
      </c>
      <c r="C197" s="31" t="s">
        <v>130</v>
      </c>
      <c r="D197" s="31" t="s">
        <v>108</v>
      </c>
      <c r="E197" s="32" t="n">
        <v>8906</v>
      </c>
      <c r="F197" s="32"/>
      <c r="G197" s="32"/>
      <c r="H197" s="33" t="n">
        <v>2</v>
      </c>
      <c r="I197" s="34" t="n">
        <f aca="false">E197*H197+N(F197)+N(G197)</f>
        <v>17812</v>
      </c>
      <c r="J197" s="32" t="n">
        <f aca="false">ROUND(IFERROR(ROUND(IF(OR(ISNUMBER(SEARCH("week",C197)),ISNUMBER(SEARCH("minggu",C197))),IFERROR(_xlfn.NUMBERVALUE(SUBSTITUTE(LEFT(TRIM(C197),FIND(" ",TRIM(C197)&amp;" ")-1),",","."),"."),LEFT(SUBSTITUTE(LEFT(TRIM(C197),FIND(" ",TRIM(C197)&amp;" ")-1),",","."),FIND("/",SUBSTITUTE(LEFT(TRIM(C197),FIND(" ",TRIM(C197)&amp;" ")-1),",","."))-1)/MID(SUBSTITUTE(LEFT(TRIM(C197),FIND(" ",TRIM(C197)&amp;" ")-1),",","."),FIND("/",SUBSTITUTE(LEFT(TRIM(C197),FIND(" ",TRIM(C197)&amp;" ")-1),",","."))+1,9))*12/52,IF(ISNUMBER(SEARCH("month",C197)),IFERROR(_xlfn.NUMBERVALUE(SUBSTITUTE(LEFT(TRIM(C197),FIND(" ",TRIM(C197)&amp;" ")-1),",","."),"."),LEFT(SUBSTITUTE(LEFT(TRIM(C197),FIND(" ",TRIM(C197)&amp;" ")-1),",","."),FIND("/",SUBSTITUTE(LEFT(TRIM(C197),FIND(" ",TRIM(C197)&amp;" ")-1),",","."))-1)/MID(SUBSTITUTE(LEFT(TRIM(C197),FIND(" ",TRIM(C197)&amp;" ")-1),",","."),FIND("/",SUBSTITUTE(LEFT(TRIM(C197),FIND(" ",TRIM(C197)&amp;" ")-1),",","."))+1,9)),IF(ISNUMBER(SEARCH("yea",C197)),IFERROR(_xlfn.NUMBERVALUE(SUBSTITUTE(LEFT(TRIM(C197),FIND(" ",TRIM(C197)&amp;" ")-1),",","."),"."),LEFT(SUBSTITUTE(LEFT(TRIM(C197),FIND(" ",TRIM(C197)&amp;" ")-1),",","."),FIND("/",SUBSTITUTE(LEFT(TRIM(C197),FIND(" ",TRIM(C197)&amp;" ")-1),",","."))-1)/MID(SUBSTITUTE(LEFT(TRIM(C197),FIND(" ",TRIM(C197)&amp;" ")-1),",","."),FIND("/",SUBSTITUTE(LEFT(TRIM(C197),FIND(" ",TRIM(C197)&amp;" ")-1),",","."))+1,9))*12,NA()))),0),12)*'Aturan &amp; Tarif'!$B$4,2)</f>
        <v>681.36</v>
      </c>
      <c r="K197" s="32" t="n">
        <f aca="false">'Aturan &amp; Tarif'!$B$5</f>
        <v>2050</v>
      </c>
      <c r="L197" s="32" t="n">
        <f aca="false">'Aturan &amp; Tarif'!$B$6</f>
        <v>350</v>
      </c>
      <c r="M197" s="35" t="n">
        <f aca="false">I197+J197+K197+L197</f>
        <v>20893.36</v>
      </c>
      <c r="N197" s="37" t="s">
        <v>318</v>
      </c>
    </row>
    <row r="198" customFormat="false" ht="25.5" hidden="false" customHeight="true" outlineLevel="0" collapsed="false">
      <c r="A198" s="29"/>
      <c r="B198" s="30" t="s">
        <v>418</v>
      </c>
      <c r="C198" s="31" t="s">
        <v>130</v>
      </c>
      <c r="D198" s="31" t="s">
        <v>108</v>
      </c>
      <c r="E198" s="32" t="n">
        <v>5780</v>
      </c>
      <c r="F198" s="32"/>
      <c r="G198" s="32"/>
      <c r="H198" s="33" t="n">
        <v>2</v>
      </c>
      <c r="I198" s="34" t="n">
        <f aca="false">E198*H198+N(F198)+N(G198)</f>
        <v>11560</v>
      </c>
      <c r="J198" s="32" t="n">
        <f aca="false">ROUND(IFERROR(ROUND(IF(OR(ISNUMBER(SEARCH("week",C198)),ISNUMBER(SEARCH("minggu",C198))),IFERROR(_xlfn.NUMBERVALUE(SUBSTITUTE(LEFT(TRIM(C198),FIND(" ",TRIM(C198)&amp;" ")-1),",","."),"."),LEFT(SUBSTITUTE(LEFT(TRIM(C198),FIND(" ",TRIM(C198)&amp;" ")-1),",","."),FIND("/",SUBSTITUTE(LEFT(TRIM(C198),FIND(" ",TRIM(C198)&amp;" ")-1),",","."))-1)/MID(SUBSTITUTE(LEFT(TRIM(C198),FIND(" ",TRIM(C198)&amp;" ")-1),",","."),FIND("/",SUBSTITUTE(LEFT(TRIM(C198),FIND(" ",TRIM(C198)&amp;" ")-1),",","."))+1,9))*12/52,IF(ISNUMBER(SEARCH("month",C198)),IFERROR(_xlfn.NUMBERVALUE(SUBSTITUTE(LEFT(TRIM(C198),FIND(" ",TRIM(C198)&amp;" ")-1),",","."),"."),LEFT(SUBSTITUTE(LEFT(TRIM(C198),FIND(" ",TRIM(C198)&amp;" ")-1),",","."),FIND("/",SUBSTITUTE(LEFT(TRIM(C198),FIND(" ",TRIM(C198)&amp;" ")-1),",","."))-1)/MID(SUBSTITUTE(LEFT(TRIM(C198),FIND(" ",TRIM(C198)&amp;" ")-1),",","."),FIND("/",SUBSTITUTE(LEFT(TRIM(C198),FIND(" ",TRIM(C198)&amp;" ")-1),",","."))+1,9)),IF(ISNUMBER(SEARCH("yea",C198)),IFERROR(_xlfn.NUMBERVALUE(SUBSTITUTE(LEFT(TRIM(C198),FIND(" ",TRIM(C198)&amp;" ")-1),",","."),"."),LEFT(SUBSTITUTE(LEFT(TRIM(C198),FIND(" ",TRIM(C198)&amp;" ")-1),",","."),FIND("/",SUBSTITUTE(LEFT(TRIM(C198),FIND(" ",TRIM(C198)&amp;" ")-1),",","."))-1)/MID(SUBSTITUTE(LEFT(TRIM(C198),FIND(" ",TRIM(C198)&amp;" ")-1),",","."),FIND("/",SUBSTITUTE(LEFT(TRIM(C198),FIND(" ",TRIM(C198)&amp;" ")-1),",","."))+1,9))*12,NA()))),0),12)*'Aturan &amp; Tarif'!$B$4,2)</f>
        <v>681.36</v>
      </c>
      <c r="K198" s="32" t="n">
        <f aca="false">'Aturan &amp; Tarif'!$B$5</f>
        <v>2050</v>
      </c>
      <c r="L198" s="32" t="n">
        <f aca="false">'Aturan &amp; Tarif'!$B$6</f>
        <v>350</v>
      </c>
      <c r="M198" s="35" t="n">
        <f aca="false">I198+J198+K198+L198</f>
        <v>14641.36</v>
      </c>
      <c r="N198" s="37" t="s">
        <v>318</v>
      </c>
    </row>
    <row r="199" customFormat="false" ht="37.5" hidden="false" customHeight="true" outlineLevel="0" collapsed="false">
      <c r="A199" s="29"/>
      <c r="B199" s="30" t="s">
        <v>419</v>
      </c>
      <c r="C199" s="31" t="s">
        <v>130</v>
      </c>
      <c r="D199" s="31" t="s">
        <v>108</v>
      </c>
      <c r="E199" s="32" t="n">
        <v>5000</v>
      </c>
      <c r="F199" s="32"/>
      <c r="G199" s="32"/>
      <c r="H199" s="33" t="n">
        <v>2</v>
      </c>
      <c r="I199" s="34" t="n">
        <f aca="false">E199*H199+N(F199)+N(G199)</f>
        <v>10000</v>
      </c>
      <c r="J199" s="32" t="n">
        <f aca="false">ROUND(IFERROR(ROUND(IF(OR(ISNUMBER(SEARCH("week",C199)),ISNUMBER(SEARCH("minggu",C199))),IFERROR(_xlfn.NUMBERVALUE(SUBSTITUTE(LEFT(TRIM(C199),FIND(" ",TRIM(C199)&amp;" ")-1),",","."),"."),LEFT(SUBSTITUTE(LEFT(TRIM(C199),FIND(" ",TRIM(C199)&amp;" ")-1),",","."),FIND("/",SUBSTITUTE(LEFT(TRIM(C199),FIND(" ",TRIM(C199)&amp;" ")-1),",","."))-1)/MID(SUBSTITUTE(LEFT(TRIM(C199),FIND(" ",TRIM(C199)&amp;" ")-1),",","."),FIND("/",SUBSTITUTE(LEFT(TRIM(C199),FIND(" ",TRIM(C199)&amp;" ")-1),",","."))+1,9))*12/52,IF(ISNUMBER(SEARCH("month",C199)),IFERROR(_xlfn.NUMBERVALUE(SUBSTITUTE(LEFT(TRIM(C199),FIND(" ",TRIM(C199)&amp;" ")-1),",","."),"."),LEFT(SUBSTITUTE(LEFT(TRIM(C199),FIND(" ",TRIM(C199)&amp;" ")-1),",","."),FIND("/",SUBSTITUTE(LEFT(TRIM(C199),FIND(" ",TRIM(C199)&amp;" ")-1),",","."))-1)/MID(SUBSTITUTE(LEFT(TRIM(C199),FIND(" ",TRIM(C199)&amp;" ")-1),",","."),FIND("/",SUBSTITUTE(LEFT(TRIM(C199),FIND(" ",TRIM(C199)&amp;" ")-1),",","."))+1,9)),IF(ISNUMBER(SEARCH("yea",C199)),IFERROR(_xlfn.NUMBERVALUE(SUBSTITUTE(LEFT(TRIM(C199),FIND(" ",TRIM(C199)&amp;" ")-1),",","."),"."),LEFT(SUBSTITUTE(LEFT(TRIM(C199),FIND(" ",TRIM(C199)&amp;" ")-1),",","."),FIND("/",SUBSTITUTE(LEFT(TRIM(C199),FIND(" ",TRIM(C199)&amp;" ")-1),",","."))-1)/MID(SUBSTITUTE(LEFT(TRIM(C199),FIND(" ",TRIM(C199)&amp;" ")-1),",","."),FIND("/",SUBSTITUTE(LEFT(TRIM(C199),FIND(" ",TRIM(C199)&amp;" ")-1),",","."))+1,9))*12,NA()))),0),12)*'Aturan &amp; Tarif'!$B$4,2)</f>
        <v>681.36</v>
      </c>
      <c r="K199" s="32" t="n">
        <f aca="false">'Aturan &amp; Tarif'!$B$5</f>
        <v>2050</v>
      </c>
      <c r="L199" s="32" t="n">
        <f aca="false">'Aturan &amp; Tarif'!$B$6</f>
        <v>350</v>
      </c>
      <c r="M199" s="35" t="n">
        <f aca="false">I199+J199+K199+L199</f>
        <v>13081.36</v>
      </c>
      <c r="N199" s="37" t="s">
        <v>318</v>
      </c>
    </row>
    <row r="200" customFormat="false" ht="48.75" hidden="false" customHeight="true" outlineLevel="0" collapsed="false">
      <c r="A200" s="39" t="s">
        <v>2809</v>
      </c>
      <c r="B200" s="40" t="s">
        <v>1606</v>
      </c>
      <c r="C200" s="41" t="s">
        <v>107</v>
      </c>
      <c r="D200" s="41" t="s">
        <v>108</v>
      </c>
      <c r="E200" s="42" t="n">
        <v>3750</v>
      </c>
      <c r="F200" s="42"/>
      <c r="G200" s="42" t="n">
        <v>250</v>
      </c>
      <c r="H200" s="43" t="n">
        <v>2</v>
      </c>
      <c r="I200" s="34" t="n">
        <f aca="false">E200*H200+N(F200)+N(G200)</f>
        <v>7750</v>
      </c>
      <c r="J200" s="42" t="n">
        <f aca="false">ROUND(IFERROR(ROUND(IF(OR(ISNUMBER(SEARCH("week",C200)),ISNUMBER(SEARCH("minggu",C200))),IFERROR(_xlfn.NUMBERVALUE(SUBSTITUTE(LEFT(TRIM(C200),FIND(" ",TRIM(C200)&amp;" ")-1),",","."),"."),LEFT(SUBSTITUTE(LEFT(TRIM(C200),FIND(" ",TRIM(C200)&amp;" ")-1),",","."),FIND("/",SUBSTITUTE(LEFT(TRIM(C200),FIND(" ",TRIM(C200)&amp;" ")-1),",","."))-1)/MID(SUBSTITUTE(LEFT(TRIM(C200),FIND(" ",TRIM(C200)&amp;" ")-1),",","."),FIND("/",SUBSTITUTE(LEFT(TRIM(C200),FIND(" ",TRIM(C200)&amp;" ")-1),",","."))+1,9))*12/52,IF(ISNUMBER(SEARCH("month",C200)),IFERROR(_xlfn.NUMBERVALUE(SUBSTITUTE(LEFT(TRIM(C200),FIND(" ",TRIM(C200)&amp;" ")-1),",","."),"."),LEFT(SUBSTITUTE(LEFT(TRIM(C200),FIND(" ",TRIM(C200)&amp;" ")-1),",","."),FIND("/",SUBSTITUTE(LEFT(TRIM(C200),FIND(" ",TRIM(C200)&amp;" ")-1),",","."))-1)/MID(SUBSTITUTE(LEFT(TRIM(C200),FIND(" ",TRIM(C200)&amp;" ")-1),",","."),FIND("/",SUBSTITUTE(LEFT(TRIM(C200),FIND(" ",TRIM(C200)&amp;" ")-1),",","."))+1,9)),IF(ISNUMBER(SEARCH("yea",C200)),IFERROR(_xlfn.NUMBERVALUE(SUBSTITUTE(LEFT(TRIM(C200),FIND(" ",TRIM(C200)&amp;" ")-1),",","."),"."),LEFT(SUBSTITUTE(LEFT(TRIM(C200),FIND(" ",TRIM(C200)&amp;" ")-1),",","."),FIND("/",SUBSTITUTE(LEFT(TRIM(C200),FIND(" ",TRIM(C200)&amp;" ")-1),",","."))-1)/MID(SUBSTITUTE(LEFT(TRIM(C200),FIND(" ",TRIM(C200)&amp;" ")-1),",","."),FIND("/",SUBSTITUTE(LEFT(TRIM(C200),FIND(" ",TRIM(C200)&amp;" ")-1),",","."))+1,9))*12,NA()))),0),24)*'Aturan &amp; Tarif'!$B$4,2)</f>
        <v>1362.72</v>
      </c>
      <c r="K200" s="42" t="n">
        <f aca="false">'Aturan &amp; Tarif'!$B$5</f>
        <v>2050</v>
      </c>
      <c r="L200" s="42" t="n">
        <f aca="false">'Aturan &amp; Tarif'!$B$6</f>
        <v>350</v>
      </c>
      <c r="M200" s="35" t="n">
        <f aca="false">I200+J200+K200+L200</f>
        <v>11512.72</v>
      </c>
      <c r="N200" s="45" t="s">
        <v>1614</v>
      </c>
    </row>
    <row r="201" customFormat="false" ht="25.5" hidden="false" customHeight="true" outlineLevel="0" collapsed="false">
      <c r="A201" s="39"/>
      <c r="B201" s="40" t="s">
        <v>343</v>
      </c>
      <c r="C201" s="41" t="s">
        <v>344</v>
      </c>
      <c r="D201" s="41" t="s">
        <v>108</v>
      </c>
      <c r="E201" s="42" t="n">
        <v>3500</v>
      </c>
      <c r="F201" s="42"/>
      <c r="G201" s="42" t="n">
        <v>250</v>
      </c>
      <c r="H201" s="43" t="n">
        <v>2</v>
      </c>
      <c r="I201" s="34" t="n">
        <f aca="false">E201*H201+N(F201)+N(G201)</f>
        <v>7250</v>
      </c>
      <c r="J201" s="42" t="n">
        <f aca="false">ROUND(IFERROR(ROUND(IF(OR(ISNUMBER(SEARCH("week",C201)),ISNUMBER(SEARCH("minggu",C201))),IFERROR(_xlfn.NUMBERVALUE(SUBSTITUTE(LEFT(TRIM(C201),FIND(" ",TRIM(C201)&amp;" ")-1),",","."),"."),LEFT(SUBSTITUTE(LEFT(TRIM(C201),FIND(" ",TRIM(C201)&amp;" ")-1),",","."),FIND("/",SUBSTITUTE(LEFT(TRIM(C201),FIND(" ",TRIM(C201)&amp;" ")-1),",","."))-1)/MID(SUBSTITUTE(LEFT(TRIM(C201),FIND(" ",TRIM(C201)&amp;" ")-1),",","."),FIND("/",SUBSTITUTE(LEFT(TRIM(C201),FIND(" ",TRIM(C201)&amp;" ")-1),",","."))+1,9))*12/52,IF(ISNUMBER(SEARCH("month",C201)),IFERROR(_xlfn.NUMBERVALUE(SUBSTITUTE(LEFT(TRIM(C201),FIND(" ",TRIM(C201)&amp;" ")-1),",","."),"."),LEFT(SUBSTITUTE(LEFT(TRIM(C201),FIND(" ",TRIM(C201)&amp;" ")-1),",","."),FIND("/",SUBSTITUTE(LEFT(TRIM(C201),FIND(" ",TRIM(C201)&amp;" ")-1),",","."))-1)/MID(SUBSTITUTE(LEFT(TRIM(C201),FIND(" ",TRIM(C201)&amp;" ")-1),",","."),FIND("/",SUBSTITUTE(LEFT(TRIM(C201),FIND(" ",TRIM(C201)&amp;" ")-1),",","."))+1,9)),IF(ISNUMBER(SEARCH("yea",C201)),IFERROR(_xlfn.NUMBERVALUE(SUBSTITUTE(LEFT(TRIM(C201),FIND(" ",TRIM(C201)&amp;" ")-1),",","."),"."),LEFT(SUBSTITUTE(LEFT(TRIM(C201),FIND(" ",TRIM(C201)&amp;" ")-1),",","."),FIND("/",SUBSTITUTE(LEFT(TRIM(C201),FIND(" ",TRIM(C201)&amp;" ")-1),",","."))-1)/MID(SUBSTITUTE(LEFT(TRIM(C201),FIND(" ",TRIM(C201)&amp;" ")-1),",","."),FIND("/",SUBSTITUTE(LEFT(TRIM(C201),FIND(" ",TRIM(C201)&amp;" ")-1),",","."))+1,9))*12,NA()))),0),6)*'Aturan &amp; Tarif'!$B$4,2)</f>
        <v>340.68</v>
      </c>
      <c r="K201" s="42" t="n">
        <f aca="false">'Aturan &amp; Tarif'!$B$5</f>
        <v>2050</v>
      </c>
      <c r="L201" s="42" t="n">
        <f aca="false">'Aturan &amp; Tarif'!$B$6</f>
        <v>350</v>
      </c>
      <c r="M201" s="35" t="n">
        <f aca="false">I201+J201+K201+L201</f>
        <v>9990.68</v>
      </c>
      <c r="N201" s="45" t="s">
        <v>1615</v>
      </c>
    </row>
    <row r="202" customFormat="false" ht="25.5" hidden="false" customHeight="true" outlineLevel="0" collapsed="false">
      <c r="A202" s="39"/>
      <c r="B202" s="40" t="s">
        <v>1608</v>
      </c>
      <c r="C202" s="41" t="s">
        <v>107</v>
      </c>
      <c r="D202" s="41" t="s">
        <v>108</v>
      </c>
      <c r="E202" s="42" t="n">
        <v>3862.5</v>
      </c>
      <c r="F202" s="42"/>
      <c r="G202" s="42" t="n">
        <v>250</v>
      </c>
      <c r="H202" s="43" t="n">
        <v>2</v>
      </c>
      <c r="I202" s="34" t="n">
        <f aca="false">E202*H202+N(F202)+N(G202)</f>
        <v>7975</v>
      </c>
      <c r="J202" s="42" t="n">
        <f aca="false">ROUND(IFERROR(ROUND(IF(OR(ISNUMBER(SEARCH("week",C202)),ISNUMBER(SEARCH("minggu",C202))),IFERROR(_xlfn.NUMBERVALUE(SUBSTITUTE(LEFT(TRIM(C202),FIND(" ",TRIM(C202)&amp;" ")-1),",","."),"."),LEFT(SUBSTITUTE(LEFT(TRIM(C202),FIND(" ",TRIM(C202)&amp;" ")-1),",","."),FIND("/",SUBSTITUTE(LEFT(TRIM(C202),FIND(" ",TRIM(C202)&amp;" ")-1),",","."))-1)/MID(SUBSTITUTE(LEFT(TRIM(C202),FIND(" ",TRIM(C202)&amp;" ")-1),",","."),FIND("/",SUBSTITUTE(LEFT(TRIM(C202),FIND(" ",TRIM(C202)&amp;" ")-1),",","."))+1,9))*12/52,IF(ISNUMBER(SEARCH("month",C202)),IFERROR(_xlfn.NUMBERVALUE(SUBSTITUTE(LEFT(TRIM(C202),FIND(" ",TRIM(C202)&amp;" ")-1),",","."),"."),LEFT(SUBSTITUTE(LEFT(TRIM(C202),FIND(" ",TRIM(C202)&amp;" ")-1),",","."),FIND("/",SUBSTITUTE(LEFT(TRIM(C202),FIND(" ",TRIM(C202)&amp;" ")-1),",","."))-1)/MID(SUBSTITUTE(LEFT(TRIM(C202),FIND(" ",TRIM(C202)&amp;" ")-1),",","."),FIND("/",SUBSTITUTE(LEFT(TRIM(C202),FIND(" ",TRIM(C202)&amp;" ")-1),",","."))+1,9)),IF(ISNUMBER(SEARCH("yea",C202)),IFERROR(_xlfn.NUMBERVALUE(SUBSTITUTE(LEFT(TRIM(C202),FIND(" ",TRIM(C202)&amp;" ")-1),",","."),"."),LEFT(SUBSTITUTE(LEFT(TRIM(C202),FIND(" ",TRIM(C202)&amp;" ")-1),",","."),FIND("/",SUBSTITUTE(LEFT(TRIM(C202),FIND(" ",TRIM(C202)&amp;" ")-1),",","."))-1)/MID(SUBSTITUTE(LEFT(TRIM(C202),FIND(" ",TRIM(C202)&amp;" ")-1),",","."),FIND("/",SUBSTITUTE(LEFT(TRIM(C202),FIND(" ",TRIM(C202)&amp;" ")-1),",","."))+1,9))*12,NA()))),0),24)*'Aturan &amp; Tarif'!$B$4,2)</f>
        <v>1362.72</v>
      </c>
      <c r="K202" s="42" t="n">
        <f aca="false">'Aturan &amp; Tarif'!$B$5</f>
        <v>2050</v>
      </c>
      <c r="L202" s="42" t="n">
        <f aca="false">'Aturan &amp; Tarif'!$B$6</f>
        <v>350</v>
      </c>
      <c r="M202" s="35" t="n">
        <f aca="false">I202+J202+K202+L202</f>
        <v>11737.72</v>
      </c>
      <c r="N202" s="45" t="s">
        <v>1616</v>
      </c>
    </row>
    <row r="203" customFormat="false" ht="25.5" hidden="false" customHeight="true" outlineLevel="0" collapsed="false">
      <c r="A203" s="39"/>
      <c r="B203" s="40" t="s">
        <v>1610</v>
      </c>
      <c r="C203" s="41" t="s">
        <v>107</v>
      </c>
      <c r="D203" s="41" t="s">
        <v>108</v>
      </c>
      <c r="E203" s="42" t="n">
        <v>3862.5</v>
      </c>
      <c r="F203" s="42"/>
      <c r="G203" s="42" t="n">
        <v>250</v>
      </c>
      <c r="H203" s="43" t="n">
        <v>2</v>
      </c>
      <c r="I203" s="34" t="n">
        <f aca="false">E203*H203+N(F203)+N(G203)</f>
        <v>7975</v>
      </c>
      <c r="J203" s="42" t="n">
        <f aca="false">ROUND(IFERROR(ROUND(IF(OR(ISNUMBER(SEARCH("week",C203)),ISNUMBER(SEARCH("minggu",C203))),IFERROR(_xlfn.NUMBERVALUE(SUBSTITUTE(LEFT(TRIM(C203),FIND(" ",TRIM(C203)&amp;" ")-1),",","."),"."),LEFT(SUBSTITUTE(LEFT(TRIM(C203),FIND(" ",TRIM(C203)&amp;" ")-1),",","."),FIND("/",SUBSTITUTE(LEFT(TRIM(C203),FIND(" ",TRIM(C203)&amp;" ")-1),",","."))-1)/MID(SUBSTITUTE(LEFT(TRIM(C203),FIND(" ",TRIM(C203)&amp;" ")-1),",","."),FIND("/",SUBSTITUTE(LEFT(TRIM(C203),FIND(" ",TRIM(C203)&amp;" ")-1),",","."))+1,9))*12/52,IF(ISNUMBER(SEARCH("month",C203)),IFERROR(_xlfn.NUMBERVALUE(SUBSTITUTE(LEFT(TRIM(C203),FIND(" ",TRIM(C203)&amp;" ")-1),",","."),"."),LEFT(SUBSTITUTE(LEFT(TRIM(C203),FIND(" ",TRIM(C203)&amp;" ")-1),",","."),FIND("/",SUBSTITUTE(LEFT(TRIM(C203),FIND(" ",TRIM(C203)&amp;" ")-1),",","."))-1)/MID(SUBSTITUTE(LEFT(TRIM(C203),FIND(" ",TRIM(C203)&amp;" ")-1),",","."),FIND("/",SUBSTITUTE(LEFT(TRIM(C203),FIND(" ",TRIM(C203)&amp;" ")-1),",","."))+1,9)),IF(ISNUMBER(SEARCH("yea",C203)),IFERROR(_xlfn.NUMBERVALUE(SUBSTITUTE(LEFT(TRIM(C203),FIND(" ",TRIM(C203)&amp;" ")-1),",","."),"."),LEFT(SUBSTITUTE(LEFT(TRIM(C203),FIND(" ",TRIM(C203)&amp;" ")-1),",","."),FIND("/",SUBSTITUTE(LEFT(TRIM(C203),FIND(" ",TRIM(C203)&amp;" ")-1),",","."))-1)/MID(SUBSTITUTE(LEFT(TRIM(C203),FIND(" ",TRIM(C203)&amp;" ")-1),",","."),FIND("/",SUBSTITUTE(LEFT(TRIM(C203),FIND(" ",TRIM(C203)&amp;" ")-1),",","."))+1,9))*12,NA()))),0),24)*'Aturan &amp; Tarif'!$B$4,2)</f>
        <v>1362.72</v>
      </c>
      <c r="K203" s="42" t="n">
        <f aca="false">'Aturan &amp; Tarif'!$B$5</f>
        <v>2050</v>
      </c>
      <c r="L203" s="42" t="n">
        <f aca="false">'Aturan &amp; Tarif'!$B$6</f>
        <v>350</v>
      </c>
      <c r="M203" s="35" t="n">
        <f aca="false">I203+J203+K203+L203</f>
        <v>11737.72</v>
      </c>
      <c r="N203" s="45" t="s">
        <v>1616</v>
      </c>
    </row>
    <row r="204" customFormat="false" ht="37.5" hidden="false" customHeight="true" outlineLevel="0" collapsed="false">
      <c r="A204" s="39"/>
      <c r="B204" s="40" t="s">
        <v>1611</v>
      </c>
      <c r="C204" s="41" t="s">
        <v>107</v>
      </c>
      <c r="D204" s="41" t="s">
        <v>108</v>
      </c>
      <c r="E204" s="42" t="n">
        <v>3862.5</v>
      </c>
      <c r="F204" s="42"/>
      <c r="G204" s="42" t="n">
        <v>250</v>
      </c>
      <c r="H204" s="43" t="n">
        <v>2</v>
      </c>
      <c r="I204" s="34" t="n">
        <f aca="false">E204*H204+N(F204)+N(G204)</f>
        <v>7975</v>
      </c>
      <c r="J204" s="42" t="n">
        <f aca="false">ROUND(IFERROR(ROUND(IF(OR(ISNUMBER(SEARCH("week",C204)),ISNUMBER(SEARCH("minggu",C204))),IFERROR(_xlfn.NUMBERVALUE(SUBSTITUTE(LEFT(TRIM(C204),FIND(" ",TRIM(C204)&amp;" ")-1),",","."),"."),LEFT(SUBSTITUTE(LEFT(TRIM(C204),FIND(" ",TRIM(C204)&amp;" ")-1),",","."),FIND("/",SUBSTITUTE(LEFT(TRIM(C204),FIND(" ",TRIM(C204)&amp;" ")-1),",","."))-1)/MID(SUBSTITUTE(LEFT(TRIM(C204),FIND(" ",TRIM(C204)&amp;" ")-1),",","."),FIND("/",SUBSTITUTE(LEFT(TRIM(C204),FIND(" ",TRIM(C204)&amp;" ")-1),",","."))+1,9))*12/52,IF(ISNUMBER(SEARCH("month",C204)),IFERROR(_xlfn.NUMBERVALUE(SUBSTITUTE(LEFT(TRIM(C204),FIND(" ",TRIM(C204)&amp;" ")-1),",","."),"."),LEFT(SUBSTITUTE(LEFT(TRIM(C204),FIND(" ",TRIM(C204)&amp;" ")-1),",","."),FIND("/",SUBSTITUTE(LEFT(TRIM(C204),FIND(" ",TRIM(C204)&amp;" ")-1),",","."))-1)/MID(SUBSTITUTE(LEFT(TRIM(C204),FIND(" ",TRIM(C204)&amp;" ")-1),",","."),FIND("/",SUBSTITUTE(LEFT(TRIM(C204),FIND(" ",TRIM(C204)&amp;" ")-1),",","."))+1,9)),IF(ISNUMBER(SEARCH("yea",C204)),IFERROR(_xlfn.NUMBERVALUE(SUBSTITUTE(LEFT(TRIM(C204),FIND(" ",TRIM(C204)&amp;" ")-1),",","."),"."),LEFT(SUBSTITUTE(LEFT(TRIM(C204),FIND(" ",TRIM(C204)&amp;" ")-1),",","."),FIND("/",SUBSTITUTE(LEFT(TRIM(C204),FIND(" ",TRIM(C204)&amp;" ")-1),",","."))-1)/MID(SUBSTITUTE(LEFT(TRIM(C204),FIND(" ",TRIM(C204)&amp;" ")-1),",","."),FIND("/",SUBSTITUTE(LEFT(TRIM(C204),FIND(" ",TRIM(C204)&amp;" ")-1),",","."))+1,9))*12,NA()))),0),24)*'Aturan &amp; Tarif'!$B$4,2)</f>
        <v>1362.72</v>
      </c>
      <c r="K204" s="42" t="n">
        <f aca="false">'Aturan &amp; Tarif'!$B$5</f>
        <v>2050</v>
      </c>
      <c r="L204" s="42" t="n">
        <f aca="false">'Aturan &amp; Tarif'!$B$6</f>
        <v>350</v>
      </c>
      <c r="M204" s="35" t="n">
        <f aca="false">I204+J204+K204+L204</f>
        <v>11737.72</v>
      </c>
      <c r="N204" s="45" t="s">
        <v>1616</v>
      </c>
    </row>
    <row r="205" customFormat="false" ht="14.25" hidden="false" customHeight="true" outlineLevel="0" collapsed="false">
      <c r="A205" s="39"/>
      <c r="B205" s="40" t="s">
        <v>335</v>
      </c>
      <c r="C205" s="41" t="s">
        <v>127</v>
      </c>
      <c r="D205" s="41" t="s">
        <v>108</v>
      </c>
      <c r="E205" s="42" t="n">
        <v>3000</v>
      </c>
      <c r="F205" s="42"/>
      <c r="G205" s="42" t="n">
        <v>250</v>
      </c>
      <c r="H205" s="43" t="n">
        <v>2</v>
      </c>
      <c r="I205" s="34" t="n">
        <f aca="false">E205*H205+N(F205)+N(G205)</f>
        <v>6250</v>
      </c>
      <c r="J205" s="42" t="n">
        <f aca="false">ROUND(IFERROR(ROUND(IF(OR(ISNUMBER(SEARCH("week",C205)),ISNUMBER(SEARCH("minggu",C205))),IFERROR(_xlfn.NUMBERVALUE(SUBSTITUTE(LEFT(TRIM(C205),FIND(" ",TRIM(C205)&amp;" ")-1),",","."),"."),LEFT(SUBSTITUTE(LEFT(TRIM(C205),FIND(" ",TRIM(C205)&amp;" ")-1),",","."),FIND("/",SUBSTITUTE(LEFT(TRIM(C205),FIND(" ",TRIM(C205)&amp;" ")-1),",","."))-1)/MID(SUBSTITUTE(LEFT(TRIM(C205),FIND(" ",TRIM(C205)&amp;" ")-1),",","."),FIND("/",SUBSTITUTE(LEFT(TRIM(C205),FIND(" ",TRIM(C205)&amp;" ")-1),",","."))+1,9))*12/52,IF(ISNUMBER(SEARCH("month",C205)),IFERROR(_xlfn.NUMBERVALUE(SUBSTITUTE(LEFT(TRIM(C205),FIND(" ",TRIM(C205)&amp;" ")-1),",","."),"."),LEFT(SUBSTITUTE(LEFT(TRIM(C205),FIND(" ",TRIM(C205)&amp;" ")-1),",","."),FIND("/",SUBSTITUTE(LEFT(TRIM(C205),FIND(" ",TRIM(C205)&amp;" ")-1),",","."))-1)/MID(SUBSTITUTE(LEFT(TRIM(C205),FIND(" ",TRIM(C205)&amp;" ")-1),",","."),FIND("/",SUBSTITUTE(LEFT(TRIM(C205),FIND(" ",TRIM(C205)&amp;" ")-1),",","."))+1,9)),IF(ISNUMBER(SEARCH("yea",C205)),IFERROR(_xlfn.NUMBERVALUE(SUBSTITUTE(LEFT(TRIM(C205),FIND(" ",TRIM(C205)&amp;" ")-1),",","."),"."),LEFT(SUBSTITUTE(LEFT(TRIM(C205),FIND(" ",TRIM(C205)&amp;" ")-1),",","."),FIND("/",SUBSTITUTE(LEFT(TRIM(C205),FIND(" ",TRIM(C205)&amp;" ")-1),",","."))-1)/MID(SUBSTITUTE(LEFT(TRIM(C205),FIND(" ",TRIM(C205)&amp;" ")-1),",","."),FIND("/",SUBSTITUTE(LEFT(TRIM(C205),FIND(" ",TRIM(C205)&amp;" ")-1),",","."))+1,9))*12,NA()))),0),36)*'Aturan &amp; Tarif'!$B$4,2)</f>
        <v>2044.08</v>
      </c>
      <c r="K205" s="42" t="n">
        <f aca="false">'Aturan &amp; Tarif'!$B$5</f>
        <v>2050</v>
      </c>
      <c r="L205" s="42" t="n">
        <f aca="false">'Aturan &amp; Tarif'!$B$6</f>
        <v>350</v>
      </c>
      <c r="M205" s="35" t="n">
        <f aca="false">I205+J205+K205+L205</f>
        <v>10694.08</v>
      </c>
      <c r="N205" s="45" t="s">
        <v>1617</v>
      </c>
    </row>
    <row r="206" customFormat="false" ht="37.5" hidden="false" customHeight="true" outlineLevel="0" collapsed="false">
      <c r="A206" s="29" t="s">
        <v>2810</v>
      </c>
      <c r="B206" s="30" t="s">
        <v>133</v>
      </c>
      <c r="C206" s="31" t="s">
        <v>107</v>
      </c>
      <c r="D206" s="31" t="s">
        <v>108</v>
      </c>
      <c r="E206" s="32" t="n">
        <v>3450</v>
      </c>
      <c r="F206" s="32" t="n">
        <v>800</v>
      </c>
      <c r="G206" s="32" t="n">
        <v>250</v>
      </c>
      <c r="H206" s="33" t="n">
        <v>1</v>
      </c>
      <c r="I206" s="34" t="n">
        <f aca="false">E206*H206+N(F206)+N(G206)</f>
        <v>4500</v>
      </c>
      <c r="J206" s="32" t="n">
        <f aca="false">ROUND(IFERROR(ROUND(IF(OR(ISNUMBER(SEARCH("week",C206)),ISNUMBER(SEARCH("minggu",C206))),IFERROR(_xlfn.NUMBERVALUE(SUBSTITUTE(LEFT(TRIM(C206),FIND(" ",TRIM(C206)&amp;" ")-1),",","."),"."),LEFT(SUBSTITUTE(LEFT(TRIM(C206),FIND(" ",TRIM(C206)&amp;" ")-1),",","."),FIND("/",SUBSTITUTE(LEFT(TRIM(C206),FIND(" ",TRIM(C206)&amp;" ")-1),",","."))-1)/MID(SUBSTITUTE(LEFT(TRIM(C206),FIND(" ",TRIM(C206)&amp;" ")-1),",","."),FIND("/",SUBSTITUTE(LEFT(TRIM(C206),FIND(" ",TRIM(C206)&amp;" ")-1),",","."))+1,9))*12/52,IF(ISNUMBER(SEARCH("month",C206)),IFERROR(_xlfn.NUMBERVALUE(SUBSTITUTE(LEFT(TRIM(C206),FIND(" ",TRIM(C206)&amp;" ")-1),",","."),"."),LEFT(SUBSTITUTE(LEFT(TRIM(C206),FIND(" ",TRIM(C206)&amp;" ")-1),",","."),FIND("/",SUBSTITUTE(LEFT(TRIM(C206),FIND(" ",TRIM(C206)&amp;" ")-1),",","."))-1)/MID(SUBSTITUTE(LEFT(TRIM(C206),FIND(" ",TRIM(C206)&amp;" ")-1),",","."),FIND("/",SUBSTITUTE(LEFT(TRIM(C206),FIND(" ",TRIM(C206)&amp;" ")-1),",","."))+1,9)),IF(ISNUMBER(SEARCH("yea",C206)),IFERROR(_xlfn.NUMBERVALUE(SUBSTITUTE(LEFT(TRIM(C206),FIND(" ",TRIM(C206)&amp;" ")-1),",","."),"."),LEFT(SUBSTITUTE(LEFT(TRIM(C206),FIND(" ",TRIM(C206)&amp;" ")-1),",","."),FIND("/",SUBSTITUTE(LEFT(TRIM(C206),FIND(" ",TRIM(C206)&amp;" ")-1),",","."))-1)/MID(SUBSTITUTE(LEFT(TRIM(C206),FIND(" ",TRIM(C206)&amp;" ")-1),",","."),FIND("/",SUBSTITUTE(LEFT(TRIM(C206),FIND(" ",TRIM(C206)&amp;" ")-1),",","."))+1,9))*12,NA()))),0),24)*'Aturan &amp; Tarif'!$B$4,2)</f>
        <v>1362.72</v>
      </c>
      <c r="K206" s="32" t="n">
        <f aca="false">'Aturan &amp; Tarif'!$B$5</f>
        <v>2050</v>
      </c>
      <c r="L206" s="32" t="n">
        <f aca="false">'Aturan &amp; Tarif'!$B$6</f>
        <v>350</v>
      </c>
      <c r="M206" s="35" t="n">
        <f aca="false">I206+J206+K206+L206</f>
        <v>8262.72</v>
      </c>
      <c r="N206" s="37" t="s">
        <v>134</v>
      </c>
    </row>
    <row r="207" customFormat="false" ht="37.5" hidden="false" customHeight="true" outlineLevel="0" collapsed="false">
      <c r="A207" s="29"/>
      <c r="B207" s="30" t="s">
        <v>135</v>
      </c>
      <c r="C207" s="31" t="s">
        <v>136</v>
      </c>
      <c r="D207" s="31" t="s">
        <v>108</v>
      </c>
      <c r="E207" s="32" t="n">
        <v>3050</v>
      </c>
      <c r="F207" s="32" t="n">
        <v>2000</v>
      </c>
      <c r="G207" s="32" t="n">
        <v>250</v>
      </c>
      <c r="H207" s="33" t="n">
        <v>1</v>
      </c>
      <c r="I207" s="34" t="n">
        <f aca="false">E207*H207+N(F207)+N(G207)</f>
        <v>5300</v>
      </c>
      <c r="J207" s="32" t="n">
        <f aca="false">ROUND(IFERROR(ROUND(IF(OR(ISNUMBER(SEARCH("week",C207)),ISNUMBER(SEARCH("minggu",C207))),IFERROR(_xlfn.NUMBERVALUE(SUBSTITUTE(LEFT(TRIM(C207),FIND(" ",TRIM(C207)&amp;" ")-1),",","."),"."),LEFT(SUBSTITUTE(LEFT(TRIM(C207),FIND(" ",TRIM(C207)&amp;" ")-1),",","."),FIND("/",SUBSTITUTE(LEFT(TRIM(C207),FIND(" ",TRIM(C207)&amp;" ")-1),",","."))-1)/MID(SUBSTITUTE(LEFT(TRIM(C207),FIND(" ",TRIM(C207)&amp;" ")-1),",","."),FIND("/",SUBSTITUTE(LEFT(TRIM(C207),FIND(" ",TRIM(C207)&amp;" ")-1),",","."))+1,9))*12/52,IF(ISNUMBER(SEARCH("month",C207)),IFERROR(_xlfn.NUMBERVALUE(SUBSTITUTE(LEFT(TRIM(C207),FIND(" ",TRIM(C207)&amp;" ")-1),",","."),"."),LEFT(SUBSTITUTE(LEFT(TRIM(C207),FIND(" ",TRIM(C207)&amp;" ")-1),",","."),FIND("/",SUBSTITUTE(LEFT(TRIM(C207),FIND(" ",TRIM(C207)&amp;" ")-1),",","."))-1)/MID(SUBSTITUTE(LEFT(TRIM(C207),FIND(" ",TRIM(C207)&amp;" ")-1),",","."),FIND("/",SUBSTITUTE(LEFT(TRIM(C207),FIND(" ",TRIM(C207)&amp;" ")-1),",","."))+1,9)),IF(ISNUMBER(SEARCH("yea",C207)),IFERROR(_xlfn.NUMBERVALUE(SUBSTITUTE(LEFT(TRIM(C207),FIND(" ",TRIM(C207)&amp;" ")-1),",","."),"."),LEFT(SUBSTITUTE(LEFT(TRIM(C207),FIND(" ",TRIM(C207)&amp;" ")-1),",","."),FIND("/",SUBSTITUTE(LEFT(TRIM(C207),FIND(" ",TRIM(C207)&amp;" ")-1),",","."))-1)/MID(SUBSTITUTE(LEFT(TRIM(C207),FIND(" ",TRIM(C207)&amp;" ")-1),",","."),FIND("/",SUBSTITUTE(LEFT(TRIM(C207),FIND(" ",TRIM(C207)&amp;" ")-1),",","."))+1,9))*12,NA()))),0),42)*'Aturan &amp; Tarif'!$B$4,2)</f>
        <v>2384.76</v>
      </c>
      <c r="K207" s="32" t="n">
        <f aca="false">'Aturan &amp; Tarif'!$B$5</f>
        <v>2050</v>
      </c>
      <c r="L207" s="32" t="n">
        <f aca="false">'Aturan &amp; Tarif'!$B$6</f>
        <v>350</v>
      </c>
      <c r="M207" s="35" t="n">
        <f aca="false">I207+J207+K207+L207</f>
        <v>10084.76</v>
      </c>
      <c r="N207" s="37" t="s">
        <v>134</v>
      </c>
    </row>
    <row r="208" customFormat="false" ht="25.5" hidden="false" customHeight="true" outlineLevel="0" collapsed="false">
      <c r="A208" s="29"/>
      <c r="B208" s="30" t="s">
        <v>137</v>
      </c>
      <c r="C208" s="31" t="s">
        <v>138</v>
      </c>
      <c r="D208" s="31" t="s">
        <v>108</v>
      </c>
      <c r="E208" s="32" t="n">
        <v>3450</v>
      </c>
      <c r="F208" s="32" t="n">
        <v>2000</v>
      </c>
      <c r="G208" s="32" t="n">
        <v>250</v>
      </c>
      <c r="H208" s="33" t="n">
        <v>1</v>
      </c>
      <c r="I208" s="34" t="n">
        <f aca="false">E208*H208+N(F208)+N(G208)</f>
        <v>5700</v>
      </c>
      <c r="J208" s="32" t="n">
        <f aca="false">ROUND(IFERROR(ROUND(IF(OR(ISNUMBER(SEARCH("week",C208)),ISNUMBER(SEARCH("minggu",C208))),IFERROR(_xlfn.NUMBERVALUE(SUBSTITUTE(LEFT(TRIM(C208),FIND(" ",TRIM(C208)&amp;" ")-1),",","."),"."),LEFT(SUBSTITUTE(LEFT(TRIM(C208),FIND(" ",TRIM(C208)&amp;" ")-1),",","."),FIND("/",SUBSTITUTE(LEFT(TRIM(C208),FIND(" ",TRIM(C208)&amp;" ")-1),",","."))-1)/MID(SUBSTITUTE(LEFT(TRIM(C208),FIND(" ",TRIM(C208)&amp;" ")-1),",","."),FIND("/",SUBSTITUTE(LEFT(TRIM(C208),FIND(" ",TRIM(C208)&amp;" ")-1),",","."))+1,9))*12/52,IF(ISNUMBER(SEARCH("month",C208)),IFERROR(_xlfn.NUMBERVALUE(SUBSTITUTE(LEFT(TRIM(C208),FIND(" ",TRIM(C208)&amp;" ")-1),",","."),"."),LEFT(SUBSTITUTE(LEFT(TRIM(C208),FIND(" ",TRIM(C208)&amp;" ")-1),",","."),FIND("/",SUBSTITUTE(LEFT(TRIM(C208),FIND(" ",TRIM(C208)&amp;" ")-1),",","."))-1)/MID(SUBSTITUTE(LEFT(TRIM(C208),FIND(" ",TRIM(C208)&amp;" ")-1),",","."),FIND("/",SUBSTITUTE(LEFT(TRIM(C208),FIND(" ",TRIM(C208)&amp;" ")-1),",","."))+1,9)),IF(ISNUMBER(SEARCH("yea",C208)),IFERROR(_xlfn.NUMBERVALUE(SUBSTITUTE(LEFT(TRIM(C208),FIND(" ",TRIM(C208)&amp;" ")-1),",","."),"."),LEFT(SUBSTITUTE(LEFT(TRIM(C208),FIND(" ",TRIM(C208)&amp;" ")-1),",","."),FIND("/",SUBSTITUTE(LEFT(TRIM(C208),FIND(" ",TRIM(C208)&amp;" ")-1),",","."))-1)/MID(SUBSTITUTE(LEFT(TRIM(C208),FIND(" ",TRIM(C208)&amp;" ")-1),",","."),FIND("/",SUBSTITUTE(LEFT(TRIM(C208),FIND(" ",TRIM(C208)&amp;" ")-1),",","."))+1,9))*12,NA()))),0),30)*'Aturan &amp; Tarif'!$B$4,2)</f>
        <v>1703.4</v>
      </c>
      <c r="K208" s="32" t="n">
        <f aca="false">'Aturan &amp; Tarif'!$B$5</f>
        <v>2050</v>
      </c>
      <c r="L208" s="32" t="n">
        <f aca="false">'Aturan &amp; Tarif'!$B$6</f>
        <v>350</v>
      </c>
      <c r="M208" s="35" t="n">
        <f aca="false">I208+J208+K208+L208</f>
        <v>9803.4</v>
      </c>
      <c r="N208" s="37" t="s">
        <v>134</v>
      </c>
    </row>
    <row r="209" customFormat="false" ht="25.5" hidden="false" customHeight="true" outlineLevel="0" collapsed="false">
      <c r="A209" s="29"/>
      <c r="B209" s="30" t="s">
        <v>139</v>
      </c>
      <c r="C209" s="31" t="s">
        <v>127</v>
      </c>
      <c r="D209" s="31" t="s">
        <v>108</v>
      </c>
      <c r="E209" s="32" t="n">
        <v>2850</v>
      </c>
      <c r="F209" s="32" t="n">
        <v>1600</v>
      </c>
      <c r="G209" s="32" t="n">
        <v>250</v>
      </c>
      <c r="H209" s="33" t="n">
        <v>1</v>
      </c>
      <c r="I209" s="34" t="n">
        <f aca="false">E209*H209+N(F209)+N(G209)</f>
        <v>4700</v>
      </c>
      <c r="J209" s="32" t="n">
        <f aca="false">ROUND(IFERROR(ROUND(IF(OR(ISNUMBER(SEARCH("week",C209)),ISNUMBER(SEARCH("minggu",C209))),IFERROR(_xlfn.NUMBERVALUE(SUBSTITUTE(LEFT(TRIM(C209),FIND(" ",TRIM(C209)&amp;" ")-1),",","."),"."),LEFT(SUBSTITUTE(LEFT(TRIM(C209),FIND(" ",TRIM(C209)&amp;" ")-1),",","."),FIND("/",SUBSTITUTE(LEFT(TRIM(C209),FIND(" ",TRIM(C209)&amp;" ")-1),",","."))-1)/MID(SUBSTITUTE(LEFT(TRIM(C209),FIND(" ",TRIM(C209)&amp;" ")-1),",","."),FIND("/",SUBSTITUTE(LEFT(TRIM(C209),FIND(" ",TRIM(C209)&amp;" ")-1),",","."))+1,9))*12/52,IF(ISNUMBER(SEARCH("month",C209)),IFERROR(_xlfn.NUMBERVALUE(SUBSTITUTE(LEFT(TRIM(C209),FIND(" ",TRIM(C209)&amp;" ")-1),",","."),"."),LEFT(SUBSTITUTE(LEFT(TRIM(C209),FIND(" ",TRIM(C209)&amp;" ")-1),",","."),FIND("/",SUBSTITUTE(LEFT(TRIM(C209),FIND(" ",TRIM(C209)&amp;" ")-1),",","."))-1)/MID(SUBSTITUTE(LEFT(TRIM(C209),FIND(" ",TRIM(C209)&amp;" ")-1),",","."),FIND("/",SUBSTITUTE(LEFT(TRIM(C209),FIND(" ",TRIM(C209)&amp;" ")-1),",","."))+1,9)),IF(ISNUMBER(SEARCH("yea",C209)),IFERROR(_xlfn.NUMBERVALUE(SUBSTITUTE(LEFT(TRIM(C209),FIND(" ",TRIM(C209)&amp;" ")-1),",","."),"."),LEFT(SUBSTITUTE(LEFT(TRIM(C209),FIND(" ",TRIM(C209)&amp;" ")-1),",","."),FIND("/",SUBSTITUTE(LEFT(TRIM(C209),FIND(" ",TRIM(C209)&amp;" ")-1),",","."))-1)/MID(SUBSTITUTE(LEFT(TRIM(C209),FIND(" ",TRIM(C209)&amp;" ")-1),",","."),FIND("/",SUBSTITUTE(LEFT(TRIM(C209),FIND(" ",TRIM(C209)&amp;" ")-1),",","."))+1,9))*12,NA()))),0),36)*'Aturan &amp; Tarif'!$B$4,2)</f>
        <v>2044.08</v>
      </c>
      <c r="K209" s="32" t="n">
        <f aca="false">'Aturan &amp; Tarif'!$B$5</f>
        <v>2050</v>
      </c>
      <c r="L209" s="32" t="n">
        <f aca="false">'Aturan &amp; Tarif'!$B$6</f>
        <v>350</v>
      </c>
      <c r="M209" s="35" t="n">
        <f aca="false">I209+J209+K209+L209</f>
        <v>9144.08</v>
      </c>
      <c r="N209" s="37" t="s">
        <v>134</v>
      </c>
    </row>
    <row r="210" customFormat="false" ht="25.5" hidden="false" customHeight="true" outlineLevel="0" collapsed="false">
      <c r="A210" s="29"/>
      <c r="B210" s="30" t="s">
        <v>140</v>
      </c>
      <c r="C210" s="31" t="s">
        <v>107</v>
      </c>
      <c r="D210" s="31" t="s">
        <v>108</v>
      </c>
      <c r="E210" s="32" t="n">
        <v>3250</v>
      </c>
      <c r="F210" s="32" t="n">
        <v>1600</v>
      </c>
      <c r="G210" s="32" t="n">
        <v>250</v>
      </c>
      <c r="H210" s="33" t="n">
        <v>1</v>
      </c>
      <c r="I210" s="34" t="n">
        <f aca="false">E210*H210+N(F210)+N(G210)</f>
        <v>5100</v>
      </c>
      <c r="J210" s="32" t="n">
        <f aca="false">ROUND(IFERROR(ROUND(IF(OR(ISNUMBER(SEARCH("week",C210)),ISNUMBER(SEARCH("minggu",C210))),IFERROR(_xlfn.NUMBERVALUE(SUBSTITUTE(LEFT(TRIM(C210),FIND(" ",TRIM(C210)&amp;" ")-1),",","."),"."),LEFT(SUBSTITUTE(LEFT(TRIM(C210),FIND(" ",TRIM(C210)&amp;" ")-1),",","."),FIND("/",SUBSTITUTE(LEFT(TRIM(C210),FIND(" ",TRIM(C210)&amp;" ")-1),",","."))-1)/MID(SUBSTITUTE(LEFT(TRIM(C210),FIND(" ",TRIM(C210)&amp;" ")-1),",","."),FIND("/",SUBSTITUTE(LEFT(TRIM(C210),FIND(" ",TRIM(C210)&amp;" ")-1),",","."))+1,9))*12/52,IF(ISNUMBER(SEARCH("month",C210)),IFERROR(_xlfn.NUMBERVALUE(SUBSTITUTE(LEFT(TRIM(C210),FIND(" ",TRIM(C210)&amp;" ")-1),",","."),"."),LEFT(SUBSTITUTE(LEFT(TRIM(C210),FIND(" ",TRIM(C210)&amp;" ")-1),",","."),FIND("/",SUBSTITUTE(LEFT(TRIM(C210),FIND(" ",TRIM(C210)&amp;" ")-1),",","."))-1)/MID(SUBSTITUTE(LEFT(TRIM(C210),FIND(" ",TRIM(C210)&amp;" ")-1),",","."),FIND("/",SUBSTITUTE(LEFT(TRIM(C210),FIND(" ",TRIM(C210)&amp;" ")-1),",","."))+1,9)),IF(ISNUMBER(SEARCH("yea",C210)),IFERROR(_xlfn.NUMBERVALUE(SUBSTITUTE(LEFT(TRIM(C210),FIND(" ",TRIM(C210)&amp;" ")-1),",","."),"."),LEFT(SUBSTITUTE(LEFT(TRIM(C210),FIND(" ",TRIM(C210)&amp;" ")-1),",","."),FIND("/",SUBSTITUTE(LEFT(TRIM(C210),FIND(" ",TRIM(C210)&amp;" ")-1),",","."))-1)/MID(SUBSTITUTE(LEFT(TRIM(C210),FIND(" ",TRIM(C210)&amp;" ")-1),",","."),FIND("/",SUBSTITUTE(LEFT(TRIM(C210),FIND(" ",TRIM(C210)&amp;" ")-1),",","."))+1,9))*12,NA()))),0),24)*'Aturan &amp; Tarif'!$B$4,2)</f>
        <v>1362.72</v>
      </c>
      <c r="K210" s="32" t="n">
        <f aca="false">'Aturan &amp; Tarif'!$B$5</f>
        <v>2050</v>
      </c>
      <c r="L210" s="32" t="n">
        <f aca="false">'Aturan &amp; Tarif'!$B$6</f>
        <v>350</v>
      </c>
      <c r="M210" s="35" t="n">
        <f aca="false">I210+J210+K210+L210</f>
        <v>8862.72</v>
      </c>
      <c r="N210" s="37" t="s">
        <v>134</v>
      </c>
    </row>
    <row r="211" customFormat="false" ht="25.5" hidden="false" customHeight="true" outlineLevel="0" collapsed="false">
      <c r="A211" s="29"/>
      <c r="B211" s="30" t="s">
        <v>141</v>
      </c>
      <c r="C211" s="31" t="s">
        <v>127</v>
      </c>
      <c r="D211" s="31" t="s">
        <v>108</v>
      </c>
      <c r="E211" s="32" t="n">
        <v>2750</v>
      </c>
      <c r="F211" s="32" t="n">
        <v>1700</v>
      </c>
      <c r="G211" s="32" t="n">
        <v>250</v>
      </c>
      <c r="H211" s="33" t="n">
        <v>1</v>
      </c>
      <c r="I211" s="34" t="n">
        <f aca="false">E211*H211+N(F211)+N(G211)</f>
        <v>4700</v>
      </c>
      <c r="J211" s="32" t="n">
        <f aca="false">ROUND(IFERROR(ROUND(IF(OR(ISNUMBER(SEARCH("week",C211)),ISNUMBER(SEARCH("minggu",C211))),IFERROR(_xlfn.NUMBERVALUE(SUBSTITUTE(LEFT(TRIM(C211),FIND(" ",TRIM(C211)&amp;" ")-1),",","."),"."),LEFT(SUBSTITUTE(LEFT(TRIM(C211),FIND(" ",TRIM(C211)&amp;" ")-1),",","."),FIND("/",SUBSTITUTE(LEFT(TRIM(C211),FIND(" ",TRIM(C211)&amp;" ")-1),",","."))-1)/MID(SUBSTITUTE(LEFT(TRIM(C211),FIND(" ",TRIM(C211)&amp;" ")-1),",","."),FIND("/",SUBSTITUTE(LEFT(TRIM(C211),FIND(" ",TRIM(C211)&amp;" ")-1),",","."))+1,9))*12/52,IF(ISNUMBER(SEARCH("month",C211)),IFERROR(_xlfn.NUMBERVALUE(SUBSTITUTE(LEFT(TRIM(C211),FIND(" ",TRIM(C211)&amp;" ")-1),",","."),"."),LEFT(SUBSTITUTE(LEFT(TRIM(C211),FIND(" ",TRIM(C211)&amp;" ")-1),",","."),FIND("/",SUBSTITUTE(LEFT(TRIM(C211),FIND(" ",TRIM(C211)&amp;" ")-1),",","."))-1)/MID(SUBSTITUTE(LEFT(TRIM(C211),FIND(" ",TRIM(C211)&amp;" ")-1),",","."),FIND("/",SUBSTITUTE(LEFT(TRIM(C211),FIND(" ",TRIM(C211)&amp;" ")-1),",","."))+1,9)),IF(ISNUMBER(SEARCH("yea",C211)),IFERROR(_xlfn.NUMBERVALUE(SUBSTITUTE(LEFT(TRIM(C211),FIND(" ",TRIM(C211)&amp;" ")-1),",","."),"."),LEFT(SUBSTITUTE(LEFT(TRIM(C211),FIND(" ",TRIM(C211)&amp;" ")-1),",","."),FIND("/",SUBSTITUTE(LEFT(TRIM(C211),FIND(" ",TRIM(C211)&amp;" ")-1),",","."))-1)/MID(SUBSTITUTE(LEFT(TRIM(C211),FIND(" ",TRIM(C211)&amp;" ")-1),",","."),FIND("/",SUBSTITUTE(LEFT(TRIM(C211),FIND(" ",TRIM(C211)&amp;" ")-1),",","."))+1,9))*12,NA()))),0),36)*'Aturan &amp; Tarif'!$B$4,2)</f>
        <v>2044.08</v>
      </c>
      <c r="K211" s="32" t="n">
        <f aca="false">'Aturan &amp; Tarif'!$B$5</f>
        <v>2050</v>
      </c>
      <c r="L211" s="32" t="n">
        <f aca="false">'Aturan &amp; Tarif'!$B$6</f>
        <v>350</v>
      </c>
      <c r="M211" s="35" t="n">
        <f aca="false">I211+J211+K211+L211</f>
        <v>9144.08</v>
      </c>
      <c r="N211" s="37" t="s">
        <v>134</v>
      </c>
    </row>
    <row r="212" customFormat="false" ht="25.5" hidden="false" customHeight="true" outlineLevel="0" collapsed="false">
      <c r="A212" s="29"/>
      <c r="B212" s="30" t="s">
        <v>142</v>
      </c>
      <c r="C212" s="31" t="s">
        <v>107</v>
      </c>
      <c r="D212" s="31" t="s">
        <v>108</v>
      </c>
      <c r="E212" s="32" t="n">
        <v>3125</v>
      </c>
      <c r="F212" s="32" t="n">
        <v>1700</v>
      </c>
      <c r="G212" s="32" t="n">
        <v>250</v>
      </c>
      <c r="H212" s="33" t="n">
        <v>1</v>
      </c>
      <c r="I212" s="34" t="n">
        <f aca="false">E212*H212+N(F212)+N(G212)</f>
        <v>5075</v>
      </c>
      <c r="J212" s="32" t="n">
        <f aca="false">ROUND(IFERROR(ROUND(IF(OR(ISNUMBER(SEARCH("week",C212)),ISNUMBER(SEARCH("minggu",C212))),IFERROR(_xlfn.NUMBERVALUE(SUBSTITUTE(LEFT(TRIM(C212),FIND(" ",TRIM(C212)&amp;" ")-1),",","."),"."),LEFT(SUBSTITUTE(LEFT(TRIM(C212),FIND(" ",TRIM(C212)&amp;" ")-1),",","."),FIND("/",SUBSTITUTE(LEFT(TRIM(C212),FIND(" ",TRIM(C212)&amp;" ")-1),",","."))-1)/MID(SUBSTITUTE(LEFT(TRIM(C212),FIND(" ",TRIM(C212)&amp;" ")-1),",","."),FIND("/",SUBSTITUTE(LEFT(TRIM(C212),FIND(" ",TRIM(C212)&amp;" ")-1),",","."))+1,9))*12/52,IF(ISNUMBER(SEARCH("month",C212)),IFERROR(_xlfn.NUMBERVALUE(SUBSTITUTE(LEFT(TRIM(C212),FIND(" ",TRIM(C212)&amp;" ")-1),",","."),"."),LEFT(SUBSTITUTE(LEFT(TRIM(C212),FIND(" ",TRIM(C212)&amp;" ")-1),",","."),FIND("/",SUBSTITUTE(LEFT(TRIM(C212),FIND(" ",TRIM(C212)&amp;" ")-1),",","."))-1)/MID(SUBSTITUTE(LEFT(TRIM(C212),FIND(" ",TRIM(C212)&amp;" ")-1),",","."),FIND("/",SUBSTITUTE(LEFT(TRIM(C212),FIND(" ",TRIM(C212)&amp;" ")-1),",","."))+1,9)),IF(ISNUMBER(SEARCH("yea",C212)),IFERROR(_xlfn.NUMBERVALUE(SUBSTITUTE(LEFT(TRIM(C212),FIND(" ",TRIM(C212)&amp;" ")-1),",","."),"."),LEFT(SUBSTITUTE(LEFT(TRIM(C212),FIND(" ",TRIM(C212)&amp;" ")-1),",","."),FIND("/",SUBSTITUTE(LEFT(TRIM(C212),FIND(" ",TRIM(C212)&amp;" ")-1),",","."))-1)/MID(SUBSTITUTE(LEFT(TRIM(C212),FIND(" ",TRIM(C212)&amp;" ")-1),",","."),FIND("/",SUBSTITUTE(LEFT(TRIM(C212),FIND(" ",TRIM(C212)&amp;" ")-1),",","."))+1,9))*12,NA()))),0),24)*'Aturan &amp; Tarif'!$B$4,2)</f>
        <v>1362.72</v>
      </c>
      <c r="K212" s="32" t="n">
        <f aca="false">'Aturan &amp; Tarif'!$B$5</f>
        <v>2050</v>
      </c>
      <c r="L212" s="32" t="n">
        <f aca="false">'Aturan &amp; Tarif'!$B$6</f>
        <v>350</v>
      </c>
      <c r="M212" s="35" t="n">
        <f aca="false">I212+J212+K212+L212</f>
        <v>8837.72</v>
      </c>
      <c r="N212" s="37" t="s">
        <v>134</v>
      </c>
    </row>
    <row r="213" customFormat="false" ht="25.5" hidden="false" customHeight="true" outlineLevel="0" collapsed="false">
      <c r="A213" s="29"/>
      <c r="B213" s="30" t="s">
        <v>143</v>
      </c>
      <c r="C213" s="31" t="s">
        <v>107</v>
      </c>
      <c r="D213" s="31" t="s">
        <v>108</v>
      </c>
      <c r="E213" s="32" t="n">
        <v>3750</v>
      </c>
      <c r="F213" s="32" t="n">
        <v>3000</v>
      </c>
      <c r="G213" s="32" t="n">
        <v>250</v>
      </c>
      <c r="H213" s="33" t="n">
        <v>1</v>
      </c>
      <c r="I213" s="34" t="n">
        <f aca="false">E213*H213+N(F213)+N(G213)</f>
        <v>7000</v>
      </c>
      <c r="J213" s="32" t="n">
        <f aca="false">ROUND(IFERROR(ROUND(IF(OR(ISNUMBER(SEARCH("week",C213)),ISNUMBER(SEARCH("minggu",C213))),IFERROR(_xlfn.NUMBERVALUE(SUBSTITUTE(LEFT(TRIM(C213),FIND(" ",TRIM(C213)&amp;" ")-1),",","."),"."),LEFT(SUBSTITUTE(LEFT(TRIM(C213),FIND(" ",TRIM(C213)&amp;" ")-1),",","."),FIND("/",SUBSTITUTE(LEFT(TRIM(C213),FIND(" ",TRIM(C213)&amp;" ")-1),",","."))-1)/MID(SUBSTITUTE(LEFT(TRIM(C213),FIND(" ",TRIM(C213)&amp;" ")-1),",","."),FIND("/",SUBSTITUTE(LEFT(TRIM(C213),FIND(" ",TRIM(C213)&amp;" ")-1),",","."))+1,9))*12/52,IF(ISNUMBER(SEARCH("month",C213)),IFERROR(_xlfn.NUMBERVALUE(SUBSTITUTE(LEFT(TRIM(C213),FIND(" ",TRIM(C213)&amp;" ")-1),",","."),"."),LEFT(SUBSTITUTE(LEFT(TRIM(C213),FIND(" ",TRIM(C213)&amp;" ")-1),",","."),FIND("/",SUBSTITUTE(LEFT(TRIM(C213),FIND(" ",TRIM(C213)&amp;" ")-1),",","."))-1)/MID(SUBSTITUTE(LEFT(TRIM(C213),FIND(" ",TRIM(C213)&amp;" ")-1),",","."),FIND("/",SUBSTITUTE(LEFT(TRIM(C213),FIND(" ",TRIM(C213)&amp;" ")-1),",","."))+1,9)),IF(ISNUMBER(SEARCH("yea",C213)),IFERROR(_xlfn.NUMBERVALUE(SUBSTITUTE(LEFT(TRIM(C213),FIND(" ",TRIM(C213)&amp;" ")-1),",","."),"."),LEFT(SUBSTITUTE(LEFT(TRIM(C213),FIND(" ",TRIM(C213)&amp;" ")-1),",","."),FIND("/",SUBSTITUTE(LEFT(TRIM(C213),FIND(" ",TRIM(C213)&amp;" ")-1),",","."))-1)/MID(SUBSTITUTE(LEFT(TRIM(C213),FIND(" ",TRIM(C213)&amp;" ")-1),",","."),FIND("/",SUBSTITUTE(LEFT(TRIM(C213),FIND(" ",TRIM(C213)&amp;" ")-1),",","."))+1,9))*12,NA()))),0),24)*'Aturan &amp; Tarif'!$B$4,2)</f>
        <v>1362.72</v>
      </c>
      <c r="K213" s="32" t="n">
        <f aca="false">'Aturan &amp; Tarif'!$B$5</f>
        <v>2050</v>
      </c>
      <c r="L213" s="32" t="n">
        <f aca="false">'Aturan &amp; Tarif'!$B$6</f>
        <v>350</v>
      </c>
      <c r="M213" s="35" t="n">
        <f aca="false">I213+J213+K213+L213</f>
        <v>10762.72</v>
      </c>
      <c r="N213" s="37" t="s">
        <v>134</v>
      </c>
    </row>
    <row r="214" customFormat="false" ht="25.5" hidden="false" customHeight="true" outlineLevel="0" collapsed="false">
      <c r="A214" s="29"/>
      <c r="B214" s="30" t="s">
        <v>144</v>
      </c>
      <c r="C214" s="31" t="s">
        <v>107</v>
      </c>
      <c r="D214" s="31" t="s">
        <v>108</v>
      </c>
      <c r="E214" s="32" t="n">
        <v>3750</v>
      </c>
      <c r="F214" s="32" t="n">
        <v>3000</v>
      </c>
      <c r="G214" s="32" t="n">
        <v>250</v>
      </c>
      <c r="H214" s="33" t="n">
        <v>1</v>
      </c>
      <c r="I214" s="34" t="n">
        <f aca="false">E214*H214+N(F214)+N(G214)</f>
        <v>7000</v>
      </c>
      <c r="J214" s="32" t="n">
        <f aca="false">ROUND(IFERROR(ROUND(IF(OR(ISNUMBER(SEARCH("week",C214)),ISNUMBER(SEARCH("minggu",C214))),IFERROR(_xlfn.NUMBERVALUE(SUBSTITUTE(LEFT(TRIM(C214),FIND(" ",TRIM(C214)&amp;" ")-1),",","."),"."),LEFT(SUBSTITUTE(LEFT(TRIM(C214),FIND(" ",TRIM(C214)&amp;" ")-1),",","."),FIND("/",SUBSTITUTE(LEFT(TRIM(C214),FIND(" ",TRIM(C214)&amp;" ")-1),",","."))-1)/MID(SUBSTITUTE(LEFT(TRIM(C214),FIND(" ",TRIM(C214)&amp;" ")-1),",","."),FIND("/",SUBSTITUTE(LEFT(TRIM(C214),FIND(" ",TRIM(C214)&amp;" ")-1),",","."))+1,9))*12/52,IF(ISNUMBER(SEARCH("month",C214)),IFERROR(_xlfn.NUMBERVALUE(SUBSTITUTE(LEFT(TRIM(C214),FIND(" ",TRIM(C214)&amp;" ")-1),",","."),"."),LEFT(SUBSTITUTE(LEFT(TRIM(C214),FIND(" ",TRIM(C214)&amp;" ")-1),",","."),FIND("/",SUBSTITUTE(LEFT(TRIM(C214),FIND(" ",TRIM(C214)&amp;" ")-1),",","."))-1)/MID(SUBSTITUTE(LEFT(TRIM(C214),FIND(" ",TRIM(C214)&amp;" ")-1),",","."),FIND("/",SUBSTITUTE(LEFT(TRIM(C214),FIND(" ",TRIM(C214)&amp;" ")-1),",","."))+1,9)),IF(ISNUMBER(SEARCH("yea",C214)),IFERROR(_xlfn.NUMBERVALUE(SUBSTITUTE(LEFT(TRIM(C214),FIND(" ",TRIM(C214)&amp;" ")-1),",","."),"."),LEFT(SUBSTITUTE(LEFT(TRIM(C214),FIND(" ",TRIM(C214)&amp;" ")-1),",","."),FIND("/",SUBSTITUTE(LEFT(TRIM(C214),FIND(" ",TRIM(C214)&amp;" ")-1),",","."))-1)/MID(SUBSTITUTE(LEFT(TRIM(C214),FIND(" ",TRIM(C214)&amp;" ")-1),",","."),FIND("/",SUBSTITUTE(LEFT(TRIM(C214),FIND(" ",TRIM(C214)&amp;" ")-1),",","."))+1,9))*12,NA()))),0),24)*'Aturan &amp; Tarif'!$B$4,2)</f>
        <v>1362.72</v>
      </c>
      <c r="K214" s="32" t="n">
        <f aca="false">'Aturan &amp; Tarif'!$B$5</f>
        <v>2050</v>
      </c>
      <c r="L214" s="32" t="n">
        <f aca="false">'Aturan &amp; Tarif'!$B$6</f>
        <v>350</v>
      </c>
      <c r="M214" s="35" t="n">
        <f aca="false">I214+J214+K214+L214</f>
        <v>10762.72</v>
      </c>
      <c r="N214" s="37" t="s">
        <v>134</v>
      </c>
    </row>
    <row r="215" customFormat="false" ht="25.5" hidden="false" customHeight="true" outlineLevel="0" collapsed="false">
      <c r="A215" s="29"/>
      <c r="B215" s="30" t="s">
        <v>810</v>
      </c>
      <c r="C215" s="31" t="s">
        <v>107</v>
      </c>
      <c r="D215" s="31" t="s">
        <v>108</v>
      </c>
      <c r="E215" s="32" t="n">
        <v>3750</v>
      </c>
      <c r="F215" s="32" t="n">
        <v>3000</v>
      </c>
      <c r="G215" s="32" t="n">
        <v>250</v>
      </c>
      <c r="H215" s="33" t="n">
        <v>1</v>
      </c>
      <c r="I215" s="34" t="n">
        <f aca="false">E215*H215+N(F215)+N(G215)</f>
        <v>7000</v>
      </c>
      <c r="J215" s="32" t="n">
        <f aca="false">ROUND(IFERROR(ROUND(IF(OR(ISNUMBER(SEARCH("week",C215)),ISNUMBER(SEARCH("minggu",C215))),IFERROR(_xlfn.NUMBERVALUE(SUBSTITUTE(LEFT(TRIM(C215),FIND(" ",TRIM(C215)&amp;" ")-1),",","."),"."),LEFT(SUBSTITUTE(LEFT(TRIM(C215),FIND(" ",TRIM(C215)&amp;" ")-1),",","."),FIND("/",SUBSTITUTE(LEFT(TRIM(C215),FIND(" ",TRIM(C215)&amp;" ")-1),",","."))-1)/MID(SUBSTITUTE(LEFT(TRIM(C215),FIND(" ",TRIM(C215)&amp;" ")-1),",","."),FIND("/",SUBSTITUTE(LEFT(TRIM(C215),FIND(" ",TRIM(C215)&amp;" ")-1),",","."))+1,9))*12/52,IF(ISNUMBER(SEARCH("month",C215)),IFERROR(_xlfn.NUMBERVALUE(SUBSTITUTE(LEFT(TRIM(C215),FIND(" ",TRIM(C215)&amp;" ")-1),",","."),"."),LEFT(SUBSTITUTE(LEFT(TRIM(C215),FIND(" ",TRIM(C215)&amp;" ")-1),",","."),FIND("/",SUBSTITUTE(LEFT(TRIM(C215),FIND(" ",TRIM(C215)&amp;" ")-1),",","."))-1)/MID(SUBSTITUTE(LEFT(TRIM(C215),FIND(" ",TRIM(C215)&amp;" ")-1),",","."),FIND("/",SUBSTITUTE(LEFT(TRIM(C215),FIND(" ",TRIM(C215)&amp;" ")-1),",","."))+1,9)),IF(ISNUMBER(SEARCH("yea",C215)),IFERROR(_xlfn.NUMBERVALUE(SUBSTITUTE(LEFT(TRIM(C215),FIND(" ",TRIM(C215)&amp;" ")-1),",","."),"."),LEFT(SUBSTITUTE(LEFT(TRIM(C215),FIND(" ",TRIM(C215)&amp;" ")-1),",","."),FIND("/",SUBSTITUTE(LEFT(TRIM(C215),FIND(" ",TRIM(C215)&amp;" ")-1),",","."))-1)/MID(SUBSTITUTE(LEFT(TRIM(C215),FIND(" ",TRIM(C215)&amp;" ")-1),",","."),FIND("/",SUBSTITUTE(LEFT(TRIM(C215),FIND(" ",TRIM(C215)&amp;" ")-1),",","."))+1,9))*12,NA()))),0),24)*'Aturan &amp; Tarif'!$B$4,2)</f>
        <v>1362.72</v>
      </c>
      <c r="K215" s="32" t="n">
        <f aca="false">'Aturan &amp; Tarif'!$B$5</f>
        <v>2050</v>
      </c>
      <c r="L215" s="32" t="n">
        <f aca="false">'Aturan &amp; Tarif'!$B$6</f>
        <v>350</v>
      </c>
      <c r="M215" s="35" t="n">
        <f aca="false">I215+J215+K215+L215</f>
        <v>10762.72</v>
      </c>
      <c r="N215" s="37" t="s">
        <v>134</v>
      </c>
    </row>
    <row r="216" customFormat="false" ht="37.5" hidden="false" customHeight="true" outlineLevel="0" collapsed="false">
      <c r="A216" s="29"/>
      <c r="B216" s="30" t="s">
        <v>809</v>
      </c>
      <c r="C216" s="31" t="s">
        <v>107</v>
      </c>
      <c r="D216" s="31" t="s">
        <v>108</v>
      </c>
      <c r="E216" s="32" t="n">
        <v>3750</v>
      </c>
      <c r="F216" s="32" t="n">
        <v>3000</v>
      </c>
      <c r="G216" s="32" t="n">
        <v>250</v>
      </c>
      <c r="H216" s="33" t="n">
        <v>1</v>
      </c>
      <c r="I216" s="34" t="n">
        <f aca="false">E216*H216+N(F216)+N(G216)</f>
        <v>7000</v>
      </c>
      <c r="J216" s="32" t="n">
        <f aca="false">ROUND(IFERROR(ROUND(IF(OR(ISNUMBER(SEARCH("week",C216)),ISNUMBER(SEARCH("minggu",C216))),IFERROR(_xlfn.NUMBERVALUE(SUBSTITUTE(LEFT(TRIM(C216),FIND(" ",TRIM(C216)&amp;" ")-1),",","."),"."),LEFT(SUBSTITUTE(LEFT(TRIM(C216),FIND(" ",TRIM(C216)&amp;" ")-1),",","."),FIND("/",SUBSTITUTE(LEFT(TRIM(C216),FIND(" ",TRIM(C216)&amp;" ")-1),",","."))-1)/MID(SUBSTITUTE(LEFT(TRIM(C216),FIND(" ",TRIM(C216)&amp;" ")-1),",","."),FIND("/",SUBSTITUTE(LEFT(TRIM(C216),FIND(" ",TRIM(C216)&amp;" ")-1),",","."))+1,9))*12/52,IF(ISNUMBER(SEARCH("month",C216)),IFERROR(_xlfn.NUMBERVALUE(SUBSTITUTE(LEFT(TRIM(C216),FIND(" ",TRIM(C216)&amp;" ")-1),",","."),"."),LEFT(SUBSTITUTE(LEFT(TRIM(C216),FIND(" ",TRIM(C216)&amp;" ")-1),",","."),FIND("/",SUBSTITUTE(LEFT(TRIM(C216),FIND(" ",TRIM(C216)&amp;" ")-1),",","."))-1)/MID(SUBSTITUTE(LEFT(TRIM(C216),FIND(" ",TRIM(C216)&amp;" ")-1),",","."),FIND("/",SUBSTITUTE(LEFT(TRIM(C216),FIND(" ",TRIM(C216)&amp;" ")-1),",","."))+1,9)),IF(ISNUMBER(SEARCH("yea",C216)),IFERROR(_xlfn.NUMBERVALUE(SUBSTITUTE(LEFT(TRIM(C216),FIND(" ",TRIM(C216)&amp;" ")-1),",","."),"."),LEFT(SUBSTITUTE(LEFT(TRIM(C216),FIND(" ",TRIM(C216)&amp;" ")-1),",","."),FIND("/",SUBSTITUTE(LEFT(TRIM(C216),FIND(" ",TRIM(C216)&amp;" ")-1),",","."))-1)/MID(SUBSTITUTE(LEFT(TRIM(C216),FIND(" ",TRIM(C216)&amp;" ")-1),",","."),FIND("/",SUBSTITUTE(LEFT(TRIM(C216),FIND(" ",TRIM(C216)&amp;" ")-1),",","."))+1,9))*12,NA()))),0),24)*'Aturan &amp; Tarif'!$B$4,2)</f>
        <v>1362.72</v>
      </c>
      <c r="K216" s="32" t="n">
        <f aca="false">'Aturan &amp; Tarif'!$B$5</f>
        <v>2050</v>
      </c>
      <c r="L216" s="32" t="n">
        <f aca="false">'Aturan &amp; Tarif'!$B$6</f>
        <v>350</v>
      </c>
      <c r="M216" s="35" t="n">
        <f aca="false">I216+J216+K216+L216</f>
        <v>10762.72</v>
      </c>
      <c r="N216" s="37" t="s">
        <v>134</v>
      </c>
    </row>
    <row r="217" customFormat="false" ht="37.5" hidden="false" customHeight="true" outlineLevel="0" collapsed="false">
      <c r="A217" s="29"/>
      <c r="B217" s="30" t="s">
        <v>2811</v>
      </c>
      <c r="C217" s="31" t="s">
        <v>107</v>
      </c>
      <c r="D217" s="31" t="s">
        <v>108</v>
      </c>
      <c r="E217" s="32" t="n">
        <v>3750</v>
      </c>
      <c r="F217" s="32" t="n">
        <v>3000</v>
      </c>
      <c r="G217" s="32" t="n">
        <v>250</v>
      </c>
      <c r="H217" s="33" t="n">
        <v>1</v>
      </c>
      <c r="I217" s="34" t="n">
        <f aca="false">E217*H217+N(F217)+N(G217)</f>
        <v>7000</v>
      </c>
      <c r="J217" s="32" t="n">
        <f aca="false">ROUND(IFERROR(ROUND(IF(OR(ISNUMBER(SEARCH("week",C217)),ISNUMBER(SEARCH("minggu",C217))),IFERROR(_xlfn.NUMBERVALUE(SUBSTITUTE(LEFT(TRIM(C217),FIND(" ",TRIM(C217)&amp;" ")-1),",","."),"."),LEFT(SUBSTITUTE(LEFT(TRIM(C217),FIND(" ",TRIM(C217)&amp;" ")-1),",","."),FIND("/",SUBSTITUTE(LEFT(TRIM(C217),FIND(" ",TRIM(C217)&amp;" ")-1),",","."))-1)/MID(SUBSTITUTE(LEFT(TRIM(C217),FIND(" ",TRIM(C217)&amp;" ")-1),",","."),FIND("/",SUBSTITUTE(LEFT(TRIM(C217),FIND(" ",TRIM(C217)&amp;" ")-1),",","."))+1,9))*12/52,IF(ISNUMBER(SEARCH("month",C217)),IFERROR(_xlfn.NUMBERVALUE(SUBSTITUTE(LEFT(TRIM(C217),FIND(" ",TRIM(C217)&amp;" ")-1),",","."),"."),LEFT(SUBSTITUTE(LEFT(TRIM(C217),FIND(" ",TRIM(C217)&amp;" ")-1),",","."),FIND("/",SUBSTITUTE(LEFT(TRIM(C217),FIND(" ",TRIM(C217)&amp;" ")-1),",","."))-1)/MID(SUBSTITUTE(LEFT(TRIM(C217),FIND(" ",TRIM(C217)&amp;" ")-1),",","."),FIND("/",SUBSTITUTE(LEFT(TRIM(C217),FIND(" ",TRIM(C217)&amp;" ")-1),",","."))+1,9)),IF(ISNUMBER(SEARCH("yea",C217)),IFERROR(_xlfn.NUMBERVALUE(SUBSTITUTE(LEFT(TRIM(C217),FIND(" ",TRIM(C217)&amp;" ")-1),",","."),"."),LEFT(SUBSTITUTE(LEFT(TRIM(C217),FIND(" ",TRIM(C217)&amp;" ")-1),",","."),FIND("/",SUBSTITUTE(LEFT(TRIM(C217),FIND(" ",TRIM(C217)&amp;" ")-1),",","."))-1)/MID(SUBSTITUTE(LEFT(TRIM(C217),FIND(" ",TRIM(C217)&amp;" ")-1),",","."),FIND("/",SUBSTITUTE(LEFT(TRIM(C217),FIND(" ",TRIM(C217)&amp;" ")-1),",","."))+1,9))*12,NA()))),0),24)*'Aturan &amp; Tarif'!$B$4,2)</f>
        <v>1362.72</v>
      </c>
      <c r="K217" s="32" t="n">
        <f aca="false">'Aturan &amp; Tarif'!$B$5</f>
        <v>2050</v>
      </c>
      <c r="L217" s="32" t="n">
        <f aca="false">'Aturan &amp; Tarif'!$B$6</f>
        <v>350</v>
      </c>
      <c r="M217" s="35" t="n">
        <f aca="false">I217+J217+K217+L217</f>
        <v>10762.72</v>
      </c>
      <c r="N217" s="37" t="s">
        <v>134</v>
      </c>
    </row>
    <row r="218" customFormat="false" ht="37.5" hidden="false" customHeight="true" outlineLevel="0" collapsed="false">
      <c r="A218" s="29"/>
      <c r="B218" s="30" t="s">
        <v>2812</v>
      </c>
      <c r="C218" s="31" t="s">
        <v>107</v>
      </c>
      <c r="D218" s="31" t="s">
        <v>108</v>
      </c>
      <c r="E218" s="32" t="n">
        <v>3750</v>
      </c>
      <c r="F218" s="32" t="n">
        <v>3000</v>
      </c>
      <c r="G218" s="32" t="n">
        <v>250</v>
      </c>
      <c r="H218" s="33" t="n">
        <v>1</v>
      </c>
      <c r="I218" s="34" t="n">
        <f aca="false">E218*H218+N(F218)+N(G218)</f>
        <v>7000</v>
      </c>
      <c r="J218" s="32" t="n">
        <f aca="false">ROUND(IFERROR(ROUND(IF(OR(ISNUMBER(SEARCH("week",C218)),ISNUMBER(SEARCH("minggu",C218))),IFERROR(_xlfn.NUMBERVALUE(SUBSTITUTE(LEFT(TRIM(C218),FIND(" ",TRIM(C218)&amp;" ")-1),",","."),"."),LEFT(SUBSTITUTE(LEFT(TRIM(C218),FIND(" ",TRIM(C218)&amp;" ")-1),",","."),FIND("/",SUBSTITUTE(LEFT(TRIM(C218),FIND(" ",TRIM(C218)&amp;" ")-1),",","."))-1)/MID(SUBSTITUTE(LEFT(TRIM(C218),FIND(" ",TRIM(C218)&amp;" ")-1),",","."),FIND("/",SUBSTITUTE(LEFT(TRIM(C218),FIND(" ",TRIM(C218)&amp;" ")-1),",","."))+1,9))*12/52,IF(ISNUMBER(SEARCH("month",C218)),IFERROR(_xlfn.NUMBERVALUE(SUBSTITUTE(LEFT(TRIM(C218),FIND(" ",TRIM(C218)&amp;" ")-1),",","."),"."),LEFT(SUBSTITUTE(LEFT(TRIM(C218),FIND(" ",TRIM(C218)&amp;" ")-1),",","."),FIND("/",SUBSTITUTE(LEFT(TRIM(C218),FIND(" ",TRIM(C218)&amp;" ")-1),",","."))-1)/MID(SUBSTITUTE(LEFT(TRIM(C218),FIND(" ",TRIM(C218)&amp;" ")-1),",","."),FIND("/",SUBSTITUTE(LEFT(TRIM(C218),FIND(" ",TRIM(C218)&amp;" ")-1),",","."))+1,9)),IF(ISNUMBER(SEARCH("yea",C218)),IFERROR(_xlfn.NUMBERVALUE(SUBSTITUTE(LEFT(TRIM(C218),FIND(" ",TRIM(C218)&amp;" ")-1),",","."),"."),LEFT(SUBSTITUTE(LEFT(TRIM(C218),FIND(" ",TRIM(C218)&amp;" ")-1),",","."),FIND("/",SUBSTITUTE(LEFT(TRIM(C218),FIND(" ",TRIM(C218)&amp;" ")-1),",","."))-1)/MID(SUBSTITUTE(LEFT(TRIM(C218),FIND(" ",TRIM(C218)&amp;" ")-1),",","."),FIND("/",SUBSTITUTE(LEFT(TRIM(C218),FIND(" ",TRIM(C218)&amp;" ")-1),",","."))+1,9))*12,NA()))),0),24)*'Aturan &amp; Tarif'!$B$4,2)</f>
        <v>1362.72</v>
      </c>
      <c r="K218" s="32" t="n">
        <f aca="false">'Aturan &amp; Tarif'!$B$5</f>
        <v>2050</v>
      </c>
      <c r="L218" s="32" t="n">
        <f aca="false">'Aturan &amp; Tarif'!$B$6</f>
        <v>350</v>
      </c>
      <c r="M218" s="35" t="n">
        <f aca="false">I218+J218+K218+L218</f>
        <v>10762.72</v>
      </c>
      <c r="N218" s="37" t="s">
        <v>134</v>
      </c>
    </row>
    <row r="219" customFormat="false" ht="37.5" hidden="false" customHeight="true" outlineLevel="0" collapsed="false">
      <c r="A219" s="29"/>
      <c r="B219" s="30" t="s">
        <v>807</v>
      </c>
      <c r="C219" s="31" t="s">
        <v>107</v>
      </c>
      <c r="D219" s="31" t="s">
        <v>108</v>
      </c>
      <c r="E219" s="32" t="n">
        <v>2850</v>
      </c>
      <c r="F219" s="32" t="n">
        <v>1800</v>
      </c>
      <c r="G219" s="32" t="n">
        <v>250</v>
      </c>
      <c r="H219" s="33" t="n">
        <v>1</v>
      </c>
      <c r="I219" s="34" t="n">
        <f aca="false">E219*H219+N(F219)+N(G219)</f>
        <v>4900</v>
      </c>
      <c r="J219" s="32" t="n">
        <f aca="false">ROUND(IFERROR(ROUND(IF(OR(ISNUMBER(SEARCH("week",C219)),ISNUMBER(SEARCH("minggu",C219))),IFERROR(_xlfn.NUMBERVALUE(SUBSTITUTE(LEFT(TRIM(C219),FIND(" ",TRIM(C219)&amp;" ")-1),",","."),"."),LEFT(SUBSTITUTE(LEFT(TRIM(C219),FIND(" ",TRIM(C219)&amp;" ")-1),",","."),FIND("/",SUBSTITUTE(LEFT(TRIM(C219),FIND(" ",TRIM(C219)&amp;" ")-1),",","."))-1)/MID(SUBSTITUTE(LEFT(TRIM(C219),FIND(" ",TRIM(C219)&amp;" ")-1),",","."),FIND("/",SUBSTITUTE(LEFT(TRIM(C219),FIND(" ",TRIM(C219)&amp;" ")-1),",","."))+1,9))*12/52,IF(ISNUMBER(SEARCH("month",C219)),IFERROR(_xlfn.NUMBERVALUE(SUBSTITUTE(LEFT(TRIM(C219),FIND(" ",TRIM(C219)&amp;" ")-1),",","."),"."),LEFT(SUBSTITUTE(LEFT(TRIM(C219),FIND(" ",TRIM(C219)&amp;" ")-1),",","."),FIND("/",SUBSTITUTE(LEFT(TRIM(C219),FIND(" ",TRIM(C219)&amp;" ")-1),",","."))-1)/MID(SUBSTITUTE(LEFT(TRIM(C219),FIND(" ",TRIM(C219)&amp;" ")-1),",","."),FIND("/",SUBSTITUTE(LEFT(TRIM(C219),FIND(" ",TRIM(C219)&amp;" ")-1),",","."))+1,9)),IF(ISNUMBER(SEARCH("yea",C219)),IFERROR(_xlfn.NUMBERVALUE(SUBSTITUTE(LEFT(TRIM(C219),FIND(" ",TRIM(C219)&amp;" ")-1),",","."),"."),LEFT(SUBSTITUTE(LEFT(TRIM(C219),FIND(" ",TRIM(C219)&amp;" ")-1),",","."),FIND("/",SUBSTITUTE(LEFT(TRIM(C219),FIND(" ",TRIM(C219)&amp;" ")-1),",","."))-1)/MID(SUBSTITUTE(LEFT(TRIM(C219),FIND(" ",TRIM(C219)&amp;" ")-1),",","."),FIND("/",SUBSTITUTE(LEFT(TRIM(C219),FIND(" ",TRIM(C219)&amp;" ")-1),",","."))+1,9))*12,NA()))),0),24)*'Aturan &amp; Tarif'!$B$4,2)</f>
        <v>1362.72</v>
      </c>
      <c r="K219" s="32" t="n">
        <f aca="false">'Aturan &amp; Tarif'!$B$5</f>
        <v>2050</v>
      </c>
      <c r="L219" s="32" t="n">
        <f aca="false">'Aturan &amp; Tarif'!$B$6</f>
        <v>350</v>
      </c>
      <c r="M219" s="35" t="n">
        <f aca="false">I219+J219+K219+L219</f>
        <v>8662.72</v>
      </c>
      <c r="N219" s="37" t="s">
        <v>134</v>
      </c>
    </row>
    <row r="220" customFormat="false" ht="14.25" hidden="false" customHeight="true" outlineLevel="0" collapsed="false">
      <c r="A220" s="29"/>
      <c r="B220" s="30" t="s">
        <v>2813</v>
      </c>
      <c r="C220" s="31" t="s">
        <v>107</v>
      </c>
      <c r="D220" s="31" t="s">
        <v>108</v>
      </c>
      <c r="E220" s="32" t="n">
        <v>2850</v>
      </c>
      <c r="F220" s="32" t="n">
        <v>1800</v>
      </c>
      <c r="G220" s="32" t="n">
        <v>250</v>
      </c>
      <c r="H220" s="33" t="n">
        <v>1</v>
      </c>
      <c r="I220" s="34" t="n">
        <f aca="false">E220*H220+N(F220)+N(G220)</f>
        <v>4900</v>
      </c>
      <c r="J220" s="32" t="n">
        <f aca="false">ROUND(IFERROR(ROUND(IF(OR(ISNUMBER(SEARCH("week",C220)),ISNUMBER(SEARCH("minggu",C220))),IFERROR(_xlfn.NUMBERVALUE(SUBSTITUTE(LEFT(TRIM(C220),FIND(" ",TRIM(C220)&amp;" ")-1),",","."),"."),LEFT(SUBSTITUTE(LEFT(TRIM(C220),FIND(" ",TRIM(C220)&amp;" ")-1),",","."),FIND("/",SUBSTITUTE(LEFT(TRIM(C220),FIND(" ",TRIM(C220)&amp;" ")-1),",","."))-1)/MID(SUBSTITUTE(LEFT(TRIM(C220),FIND(" ",TRIM(C220)&amp;" ")-1),",","."),FIND("/",SUBSTITUTE(LEFT(TRIM(C220),FIND(" ",TRIM(C220)&amp;" ")-1),",","."))+1,9))*12/52,IF(ISNUMBER(SEARCH("month",C220)),IFERROR(_xlfn.NUMBERVALUE(SUBSTITUTE(LEFT(TRIM(C220),FIND(" ",TRIM(C220)&amp;" ")-1),",","."),"."),LEFT(SUBSTITUTE(LEFT(TRIM(C220),FIND(" ",TRIM(C220)&amp;" ")-1),",","."),FIND("/",SUBSTITUTE(LEFT(TRIM(C220),FIND(" ",TRIM(C220)&amp;" ")-1),",","."))-1)/MID(SUBSTITUTE(LEFT(TRIM(C220),FIND(" ",TRIM(C220)&amp;" ")-1),",","."),FIND("/",SUBSTITUTE(LEFT(TRIM(C220),FIND(" ",TRIM(C220)&amp;" ")-1),",","."))+1,9)),IF(ISNUMBER(SEARCH("yea",C220)),IFERROR(_xlfn.NUMBERVALUE(SUBSTITUTE(LEFT(TRIM(C220),FIND(" ",TRIM(C220)&amp;" ")-1),",","."),"."),LEFT(SUBSTITUTE(LEFT(TRIM(C220),FIND(" ",TRIM(C220)&amp;" ")-1),",","."),FIND("/",SUBSTITUTE(LEFT(TRIM(C220),FIND(" ",TRIM(C220)&amp;" ")-1),",","."))-1)/MID(SUBSTITUTE(LEFT(TRIM(C220),FIND(" ",TRIM(C220)&amp;" ")-1),",","."),FIND("/",SUBSTITUTE(LEFT(TRIM(C220),FIND(" ",TRIM(C220)&amp;" ")-1),",","."))+1,9))*12,NA()))),0),24)*'Aturan &amp; Tarif'!$B$4,2)</f>
        <v>1362.72</v>
      </c>
      <c r="K220" s="32" t="n">
        <f aca="false">'Aturan &amp; Tarif'!$B$5</f>
        <v>2050</v>
      </c>
      <c r="L220" s="32" t="n">
        <f aca="false">'Aturan &amp; Tarif'!$B$6</f>
        <v>350</v>
      </c>
      <c r="M220" s="35" t="n">
        <f aca="false">I220+J220+K220+L220</f>
        <v>8662.72</v>
      </c>
      <c r="N220" s="37" t="s">
        <v>134</v>
      </c>
    </row>
    <row r="221" customFormat="false" ht="14.25" hidden="false" customHeight="true" outlineLevel="0" collapsed="false">
      <c r="A221" s="29"/>
      <c r="B221" s="30" t="s">
        <v>2814</v>
      </c>
      <c r="C221" s="31" t="s">
        <v>107</v>
      </c>
      <c r="D221" s="31" t="s">
        <v>108</v>
      </c>
      <c r="E221" s="32" t="n">
        <v>2750</v>
      </c>
      <c r="F221" s="32" t="n">
        <v>500</v>
      </c>
      <c r="G221" s="32" t="n">
        <v>250</v>
      </c>
      <c r="H221" s="33" t="n">
        <v>1</v>
      </c>
      <c r="I221" s="34" t="n">
        <f aca="false">E221*H221+N(F221)+N(G221)</f>
        <v>3500</v>
      </c>
      <c r="J221" s="32" t="n">
        <f aca="false">ROUND(IFERROR(ROUND(IF(OR(ISNUMBER(SEARCH("week",C221)),ISNUMBER(SEARCH("minggu",C221))),IFERROR(_xlfn.NUMBERVALUE(SUBSTITUTE(LEFT(TRIM(C221),FIND(" ",TRIM(C221)&amp;" ")-1),",","."),"."),LEFT(SUBSTITUTE(LEFT(TRIM(C221),FIND(" ",TRIM(C221)&amp;" ")-1),",","."),FIND("/",SUBSTITUTE(LEFT(TRIM(C221),FIND(" ",TRIM(C221)&amp;" ")-1),",","."))-1)/MID(SUBSTITUTE(LEFT(TRIM(C221),FIND(" ",TRIM(C221)&amp;" ")-1),",","."),FIND("/",SUBSTITUTE(LEFT(TRIM(C221),FIND(" ",TRIM(C221)&amp;" ")-1),",","."))+1,9))*12/52,IF(ISNUMBER(SEARCH("month",C221)),IFERROR(_xlfn.NUMBERVALUE(SUBSTITUTE(LEFT(TRIM(C221),FIND(" ",TRIM(C221)&amp;" ")-1),",","."),"."),LEFT(SUBSTITUTE(LEFT(TRIM(C221),FIND(" ",TRIM(C221)&amp;" ")-1),",","."),FIND("/",SUBSTITUTE(LEFT(TRIM(C221),FIND(" ",TRIM(C221)&amp;" ")-1),",","."))-1)/MID(SUBSTITUTE(LEFT(TRIM(C221),FIND(" ",TRIM(C221)&amp;" ")-1),",","."),FIND("/",SUBSTITUTE(LEFT(TRIM(C221),FIND(" ",TRIM(C221)&amp;" ")-1),",","."))+1,9)),IF(ISNUMBER(SEARCH("yea",C221)),IFERROR(_xlfn.NUMBERVALUE(SUBSTITUTE(LEFT(TRIM(C221),FIND(" ",TRIM(C221)&amp;" ")-1),",","."),"."),LEFT(SUBSTITUTE(LEFT(TRIM(C221),FIND(" ",TRIM(C221)&amp;" ")-1),",","."),FIND("/",SUBSTITUTE(LEFT(TRIM(C221),FIND(" ",TRIM(C221)&amp;" ")-1),",","."))-1)/MID(SUBSTITUTE(LEFT(TRIM(C221),FIND(" ",TRIM(C221)&amp;" ")-1),",","."),FIND("/",SUBSTITUTE(LEFT(TRIM(C221),FIND(" ",TRIM(C221)&amp;" ")-1),",","."))+1,9))*12,NA()))),0),24)*'Aturan &amp; Tarif'!$B$4,2)</f>
        <v>1362.72</v>
      </c>
      <c r="K221" s="32" t="n">
        <f aca="false">'Aturan &amp; Tarif'!$B$5</f>
        <v>2050</v>
      </c>
      <c r="L221" s="32" t="n">
        <f aca="false">'Aturan &amp; Tarif'!$B$6</f>
        <v>350</v>
      </c>
      <c r="M221" s="35" t="n">
        <f aca="false">I221+J221+K221+L221</f>
        <v>7262.72</v>
      </c>
      <c r="N221" s="37" t="s">
        <v>134</v>
      </c>
    </row>
    <row r="222" customFormat="false" ht="25.5" hidden="false" customHeight="true" outlineLevel="0" collapsed="false">
      <c r="A222" s="29"/>
      <c r="B222" s="30" t="s">
        <v>115</v>
      </c>
      <c r="C222" s="31" t="s">
        <v>107</v>
      </c>
      <c r="D222" s="31" t="s">
        <v>108</v>
      </c>
      <c r="E222" s="32" t="n">
        <v>2875</v>
      </c>
      <c r="F222" s="32" t="n">
        <v>700</v>
      </c>
      <c r="G222" s="32" t="n">
        <v>250</v>
      </c>
      <c r="H222" s="33" t="n">
        <v>1</v>
      </c>
      <c r="I222" s="34" t="n">
        <f aca="false">E222*H222+N(F222)+N(G222)</f>
        <v>3825</v>
      </c>
      <c r="J222" s="32" t="n">
        <f aca="false">ROUND(IFERROR(ROUND(IF(OR(ISNUMBER(SEARCH("week",C222)),ISNUMBER(SEARCH("minggu",C222))),IFERROR(_xlfn.NUMBERVALUE(SUBSTITUTE(LEFT(TRIM(C222),FIND(" ",TRIM(C222)&amp;" ")-1),",","."),"."),LEFT(SUBSTITUTE(LEFT(TRIM(C222),FIND(" ",TRIM(C222)&amp;" ")-1),",","."),FIND("/",SUBSTITUTE(LEFT(TRIM(C222),FIND(" ",TRIM(C222)&amp;" ")-1),",","."))-1)/MID(SUBSTITUTE(LEFT(TRIM(C222),FIND(" ",TRIM(C222)&amp;" ")-1),",","."),FIND("/",SUBSTITUTE(LEFT(TRIM(C222),FIND(" ",TRIM(C222)&amp;" ")-1),",","."))+1,9))*12/52,IF(ISNUMBER(SEARCH("month",C222)),IFERROR(_xlfn.NUMBERVALUE(SUBSTITUTE(LEFT(TRIM(C222),FIND(" ",TRIM(C222)&amp;" ")-1),",","."),"."),LEFT(SUBSTITUTE(LEFT(TRIM(C222),FIND(" ",TRIM(C222)&amp;" ")-1),",","."),FIND("/",SUBSTITUTE(LEFT(TRIM(C222),FIND(" ",TRIM(C222)&amp;" ")-1),",","."))-1)/MID(SUBSTITUTE(LEFT(TRIM(C222),FIND(" ",TRIM(C222)&amp;" ")-1),",","."),FIND("/",SUBSTITUTE(LEFT(TRIM(C222),FIND(" ",TRIM(C222)&amp;" ")-1),",","."))+1,9)),IF(ISNUMBER(SEARCH("yea",C222)),IFERROR(_xlfn.NUMBERVALUE(SUBSTITUTE(LEFT(TRIM(C222),FIND(" ",TRIM(C222)&amp;" ")-1),",","."),"."),LEFT(SUBSTITUTE(LEFT(TRIM(C222),FIND(" ",TRIM(C222)&amp;" ")-1),",","."),FIND("/",SUBSTITUTE(LEFT(TRIM(C222),FIND(" ",TRIM(C222)&amp;" ")-1),",","."))-1)/MID(SUBSTITUTE(LEFT(TRIM(C222),FIND(" ",TRIM(C222)&amp;" ")-1),",","."),FIND("/",SUBSTITUTE(LEFT(TRIM(C222),FIND(" ",TRIM(C222)&amp;" ")-1),",","."))+1,9))*12,NA()))),0),24)*'Aturan &amp; Tarif'!$B$4,2)</f>
        <v>1362.72</v>
      </c>
      <c r="K222" s="32" t="n">
        <f aca="false">'Aturan &amp; Tarif'!$B$5</f>
        <v>2050</v>
      </c>
      <c r="L222" s="32" t="n">
        <f aca="false">'Aturan &amp; Tarif'!$B$6</f>
        <v>350</v>
      </c>
      <c r="M222" s="35" t="n">
        <f aca="false">I222+J222+K222+L222</f>
        <v>7587.72</v>
      </c>
      <c r="N222" s="37" t="s">
        <v>134</v>
      </c>
    </row>
    <row r="223" customFormat="false" ht="48.75" hidden="false" customHeight="true" outlineLevel="0" collapsed="false">
      <c r="A223" s="29"/>
      <c r="B223" s="30" t="s">
        <v>145</v>
      </c>
      <c r="C223" s="31" t="s">
        <v>107</v>
      </c>
      <c r="D223" s="31" t="s">
        <v>108</v>
      </c>
      <c r="E223" s="32" t="n">
        <v>2375</v>
      </c>
      <c r="F223" s="32" t="n">
        <v>800</v>
      </c>
      <c r="G223" s="32" t="n">
        <v>250</v>
      </c>
      <c r="H223" s="33" t="n">
        <v>1</v>
      </c>
      <c r="I223" s="34" t="n">
        <f aca="false">E223*H223+N(F223)+N(G223)</f>
        <v>3425</v>
      </c>
      <c r="J223" s="32" t="n">
        <f aca="false">ROUND(IFERROR(ROUND(IF(OR(ISNUMBER(SEARCH("week",C223)),ISNUMBER(SEARCH("minggu",C223))),IFERROR(_xlfn.NUMBERVALUE(SUBSTITUTE(LEFT(TRIM(C223),FIND(" ",TRIM(C223)&amp;" ")-1),",","."),"."),LEFT(SUBSTITUTE(LEFT(TRIM(C223),FIND(" ",TRIM(C223)&amp;" ")-1),",","."),FIND("/",SUBSTITUTE(LEFT(TRIM(C223),FIND(" ",TRIM(C223)&amp;" ")-1),",","."))-1)/MID(SUBSTITUTE(LEFT(TRIM(C223),FIND(" ",TRIM(C223)&amp;" ")-1),",","."),FIND("/",SUBSTITUTE(LEFT(TRIM(C223),FIND(" ",TRIM(C223)&amp;" ")-1),",","."))+1,9))*12/52,IF(ISNUMBER(SEARCH("month",C223)),IFERROR(_xlfn.NUMBERVALUE(SUBSTITUTE(LEFT(TRIM(C223),FIND(" ",TRIM(C223)&amp;" ")-1),",","."),"."),LEFT(SUBSTITUTE(LEFT(TRIM(C223),FIND(" ",TRIM(C223)&amp;" ")-1),",","."),FIND("/",SUBSTITUTE(LEFT(TRIM(C223),FIND(" ",TRIM(C223)&amp;" ")-1),",","."))-1)/MID(SUBSTITUTE(LEFT(TRIM(C223),FIND(" ",TRIM(C223)&amp;" ")-1),",","."),FIND("/",SUBSTITUTE(LEFT(TRIM(C223),FIND(" ",TRIM(C223)&amp;" ")-1),",","."))+1,9)),IF(ISNUMBER(SEARCH("yea",C223)),IFERROR(_xlfn.NUMBERVALUE(SUBSTITUTE(LEFT(TRIM(C223),FIND(" ",TRIM(C223)&amp;" ")-1),",","."),"."),LEFT(SUBSTITUTE(LEFT(TRIM(C223),FIND(" ",TRIM(C223)&amp;" ")-1),",","."),FIND("/",SUBSTITUTE(LEFT(TRIM(C223),FIND(" ",TRIM(C223)&amp;" ")-1),",","."))-1)/MID(SUBSTITUTE(LEFT(TRIM(C223),FIND(" ",TRIM(C223)&amp;" ")-1),",","."),FIND("/",SUBSTITUTE(LEFT(TRIM(C223),FIND(" ",TRIM(C223)&amp;" ")-1),",","."))+1,9))*12,NA()))),0),24)*'Aturan &amp; Tarif'!$B$4,2)</f>
        <v>1362.72</v>
      </c>
      <c r="K223" s="32" t="n">
        <f aca="false">'Aturan &amp; Tarif'!$B$5</f>
        <v>2050</v>
      </c>
      <c r="L223" s="32" t="n">
        <f aca="false">'Aturan &amp; Tarif'!$B$6</f>
        <v>350</v>
      </c>
      <c r="M223" s="35" t="n">
        <f aca="false">I223+J223+K223+L223</f>
        <v>7187.72</v>
      </c>
      <c r="N223" s="37" t="s">
        <v>134</v>
      </c>
    </row>
    <row r="224" customFormat="false" ht="25.5" hidden="false" customHeight="true" outlineLevel="0" collapsed="false">
      <c r="A224" s="29"/>
      <c r="B224" s="30" t="s">
        <v>2815</v>
      </c>
      <c r="C224" s="31" t="s">
        <v>127</v>
      </c>
      <c r="D224" s="31" t="s">
        <v>108</v>
      </c>
      <c r="E224" s="32" t="n">
        <v>2600</v>
      </c>
      <c r="F224" s="32" t="n">
        <v>1300</v>
      </c>
      <c r="G224" s="32" t="n">
        <v>250</v>
      </c>
      <c r="H224" s="33" t="n">
        <v>1</v>
      </c>
      <c r="I224" s="34" t="n">
        <f aca="false">E224*H224+N(F224)+N(G224)</f>
        <v>4150</v>
      </c>
      <c r="J224" s="32" t="n">
        <f aca="false">ROUND(IFERROR(ROUND(IF(OR(ISNUMBER(SEARCH("week",C224)),ISNUMBER(SEARCH("minggu",C224))),IFERROR(_xlfn.NUMBERVALUE(SUBSTITUTE(LEFT(TRIM(C224),FIND(" ",TRIM(C224)&amp;" ")-1),",","."),"."),LEFT(SUBSTITUTE(LEFT(TRIM(C224),FIND(" ",TRIM(C224)&amp;" ")-1),",","."),FIND("/",SUBSTITUTE(LEFT(TRIM(C224),FIND(" ",TRIM(C224)&amp;" ")-1),",","."))-1)/MID(SUBSTITUTE(LEFT(TRIM(C224),FIND(" ",TRIM(C224)&amp;" ")-1),",","."),FIND("/",SUBSTITUTE(LEFT(TRIM(C224),FIND(" ",TRIM(C224)&amp;" ")-1),",","."))+1,9))*12/52,IF(ISNUMBER(SEARCH("month",C224)),IFERROR(_xlfn.NUMBERVALUE(SUBSTITUTE(LEFT(TRIM(C224),FIND(" ",TRIM(C224)&amp;" ")-1),",","."),"."),LEFT(SUBSTITUTE(LEFT(TRIM(C224),FIND(" ",TRIM(C224)&amp;" ")-1),",","."),FIND("/",SUBSTITUTE(LEFT(TRIM(C224),FIND(" ",TRIM(C224)&amp;" ")-1),",","."))-1)/MID(SUBSTITUTE(LEFT(TRIM(C224),FIND(" ",TRIM(C224)&amp;" ")-1),",","."),FIND("/",SUBSTITUTE(LEFT(TRIM(C224),FIND(" ",TRIM(C224)&amp;" ")-1),",","."))+1,9)),IF(ISNUMBER(SEARCH("yea",C224)),IFERROR(_xlfn.NUMBERVALUE(SUBSTITUTE(LEFT(TRIM(C224),FIND(" ",TRIM(C224)&amp;" ")-1),",","."),"."),LEFT(SUBSTITUTE(LEFT(TRIM(C224),FIND(" ",TRIM(C224)&amp;" ")-1),",","."),FIND("/",SUBSTITUTE(LEFT(TRIM(C224),FIND(" ",TRIM(C224)&amp;" ")-1),",","."))-1)/MID(SUBSTITUTE(LEFT(TRIM(C224),FIND(" ",TRIM(C224)&amp;" ")-1),",","."),FIND("/",SUBSTITUTE(LEFT(TRIM(C224),FIND(" ",TRIM(C224)&amp;" ")-1),",","."))+1,9))*12,NA()))),0),36)*'Aturan &amp; Tarif'!$B$4,2)</f>
        <v>2044.08</v>
      </c>
      <c r="K224" s="32" t="n">
        <f aca="false">'Aturan &amp; Tarif'!$B$5</f>
        <v>2050</v>
      </c>
      <c r="L224" s="32" t="n">
        <f aca="false">'Aturan &amp; Tarif'!$B$6</f>
        <v>350</v>
      </c>
      <c r="M224" s="35" t="n">
        <f aca="false">I224+J224+K224+L224</f>
        <v>8594.08</v>
      </c>
      <c r="N224" s="36" t="s">
        <v>1905</v>
      </c>
    </row>
    <row r="225" customFormat="false" ht="37.5" hidden="false" customHeight="true" outlineLevel="0" collapsed="false">
      <c r="A225" s="29"/>
      <c r="B225" s="30" t="s">
        <v>146</v>
      </c>
      <c r="C225" s="31" t="s">
        <v>113</v>
      </c>
      <c r="D225" s="31" t="s">
        <v>108</v>
      </c>
      <c r="E225" s="32" t="n">
        <v>3200</v>
      </c>
      <c r="F225" s="32" t="n">
        <v>1500</v>
      </c>
      <c r="G225" s="32" t="n">
        <v>250</v>
      </c>
      <c r="H225" s="33" t="n">
        <v>1</v>
      </c>
      <c r="I225" s="34" t="n">
        <f aca="false">E225*H225+N(F225)+N(G225)</f>
        <v>4950</v>
      </c>
      <c r="J225" s="32" t="n">
        <f aca="false">ROUND(IFERROR(ROUND(IF(OR(ISNUMBER(SEARCH("week",C225)),ISNUMBER(SEARCH("minggu",C225))),IFERROR(_xlfn.NUMBERVALUE(SUBSTITUTE(LEFT(TRIM(C225),FIND(" ",TRIM(C225)&amp;" ")-1),",","."),"."),LEFT(SUBSTITUTE(LEFT(TRIM(C225),FIND(" ",TRIM(C225)&amp;" ")-1),",","."),FIND("/",SUBSTITUTE(LEFT(TRIM(C225),FIND(" ",TRIM(C225)&amp;" ")-1),",","."))-1)/MID(SUBSTITUTE(LEFT(TRIM(C225),FIND(" ",TRIM(C225)&amp;" ")-1),",","."),FIND("/",SUBSTITUTE(LEFT(TRIM(C225),FIND(" ",TRIM(C225)&amp;" ")-1),",","."))+1,9))*12/52,IF(ISNUMBER(SEARCH("month",C225)),IFERROR(_xlfn.NUMBERVALUE(SUBSTITUTE(LEFT(TRIM(C225),FIND(" ",TRIM(C225)&amp;" ")-1),",","."),"."),LEFT(SUBSTITUTE(LEFT(TRIM(C225),FIND(" ",TRIM(C225)&amp;" ")-1),",","."),FIND("/",SUBSTITUTE(LEFT(TRIM(C225),FIND(" ",TRIM(C225)&amp;" ")-1),",","."))-1)/MID(SUBSTITUTE(LEFT(TRIM(C225),FIND(" ",TRIM(C225)&amp;" ")-1),",","."),FIND("/",SUBSTITUTE(LEFT(TRIM(C225),FIND(" ",TRIM(C225)&amp;" ")-1),",","."))+1,9)),IF(ISNUMBER(SEARCH("yea",C225)),IFERROR(_xlfn.NUMBERVALUE(SUBSTITUTE(LEFT(TRIM(C225),FIND(" ",TRIM(C225)&amp;" ")-1),",","."),"."),LEFT(SUBSTITUTE(LEFT(TRIM(C225),FIND(" ",TRIM(C225)&amp;" ")-1),",","."),FIND("/",SUBSTITUTE(LEFT(TRIM(C225),FIND(" ",TRIM(C225)&amp;" ")-1),",","."))-1)/MID(SUBSTITUTE(LEFT(TRIM(C225),FIND(" ",TRIM(C225)&amp;" ")-1),",","."),FIND("/",SUBSTITUTE(LEFT(TRIM(C225),FIND(" ",TRIM(C225)&amp;" ")-1),",","."))+1,9))*12,NA()))),0),18)*'Aturan &amp; Tarif'!$B$4,2)</f>
        <v>1022.04</v>
      </c>
      <c r="K225" s="32" t="n">
        <f aca="false">'Aturan &amp; Tarif'!$B$5</f>
        <v>2050</v>
      </c>
      <c r="L225" s="32" t="n">
        <f aca="false">'Aturan &amp; Tarif'!$B$6</f>
        <v>350</v>
      </c>
      <c r="M225" s="35" t="n">
        <f aca="false">I225+J225+K225+L225</f>
        <v>8372.04</v>
      </c>
      <c r="N225" s="37" t="s">
        <v>134</v>
      </c>
    </row>
    <row r="226" customFormat="false" ht="25.5" hidden="false" customHeight="true" outlineLevel="0" collapsed="false">
      <c r="A226" s="29"/>
      <c r="B226" s="30" t="s">
        <v>147</v>
      </c>
      <c r="C226" s="31" t="s">
        <v>107</v>
      </c>
      <c r="D226" s="31" t="s">
        <v>108</v>
      </c>
      <c r="E226" s="32" t="n">
        <v>2750</v>
      </c>
      <c r="F226" s="32" t="n">
        <v>1500</v>
      </c>
      <c r="G226" s="32" t="n">
        <v>250</v>
      </c>
      <c r="H226" s="33" t="n">
        <v>1</v>
      </c>
      <c r="I226" s="34" t="n">
        <f aca="false">E226*H226+N(F226)+N(G226)</f>
        <v>4500</v>
      </c>
      <c r="J226" s="32" t="n">
        <f aca="false">ROUND(IFERROR(ROUND(IF(OR(ISNUMBER(SEARCH("week",C226)),ISNUMBER(SEARCH("minggu",C226))),IFERROR(_xlfn.NUMBERVALUE(SUBSTITUTE(LEFT(TRIM(C226),FIND(" ",TRIM(C226)&amp;" ")-1),",","."),"."),LEFT(SUBSTITUTE(LEFT(TRIM(C226),FIND(" ",TRIM(C226)&amp;" ")-1),",","."),FIND("/",SUBSTITUTE(LEFT(TRIM(C226),FIND(" ",TRIM(C226)&amp;" ")-1),",","."))-1)/MID(SUBSTITUTE(LEFT(TRIM(C226),FIND(" ",TRIM(C226)&amp;" ")-1),",","."),FIND("/",SUBSTITUTE(LEFT(TRIM(C226),FIND(" ",TRIM(C226)&amp;" ")-1),",","."))+1,9))*12/52,IF(ISNUMBER(SEARCH("month",C226)),IFERROR(_xlfn.NUMBERVALUE(SUBSTITUTE(LEFT(TRIM(C226),FIND(" ",TRIM(C226)&amp;" ")-1),",","."),"."),LEFT(SUBSTITUTE(LEFT(TRIM(C226),FIND(" ",TRIM(C226)&amp;" ")-1),",","."),FIND("/",SUBSTITUTE(LEFT(TRIM(C226),FIND(" ",TRIM(C226)&amp;" ")-1),",","."))-1)/MID(SUBSTITUTE(LEFT(TRIM(C226),FIND(" ",TRIM(C226)&amp;" ")-1),",","."),FIND("/",SUBSTITUTE(LEFT(TRIM(C226),FIND(" ",TRIM(C226)&amp;" ")-1),",","."))+1,9)),IF(ISNUMBER(SEARCH("yea",C226)),IFERROR(_xlfn.NUMBERVALUE(SUBSTITUTE(LEFT(TRIM(C226),FIND(" ",TRIM(C226)&amp;" ")-1),",","."),"."),LEFT(SUBSTITUTE(LEFT(TRIM(C226),FIND(" ",TRIM(C226)&amp;" ")-1),",","."),FIND("/",SUBSTITUTE(LEFT(TRIM(C226),FIND(" ",TRIM(C226)&amp;" ")-1),",","."))-1)/MID(SUBSTITUTE(LEFT(TRIM(C226),FIND(" ",TRIM(C226)&amp;" ")-1),",","."),FIND("/",SUBSTITUTE(LEFT(TRIM(C226),FIND(" ",TRIM(C226)&amp;" ")-1),",","."))+1,9))*12,NA()))),0),24)*'Aturan &amp; Tarif'!$B$4,2)</f>
        <v>1362.72</v>
      </c>
      <c r="K226" s="32" t="n">
        <f aca="false">'Aturan &amp; Tarif'!$B$5</f>
        <v>2050</v>
      </c>
      <c r="L226" s="32" t="n">
        <f aca="false">'Aturan &amp; Tarif'!$B$6</f>
        <v>350</v>
      </c>
      <c r="M226" s="35" t="n">
        <f aca="false">I226+J226+K226+L226</f>
        <v>8262.72</v>
      </c>
      <c r="N226" s="37" t="s">
        <v>134</v>
      </c>
    </row>
    <row r="227" customFormat="false" ht="60" hidden="false" customHeight="true" outlineLevel="0" collapsed="false">
      <c r="A227" s="29"/>
      <c r="B227" s="30" t="s">
        <v>148</v>
      </c>
      <c r="C227" s="31" t="s">
        <v>113</v>
      </c>
      <c r="D227" s="31" t="s">
        <v>108</v>
      </c>
      <c r="E227" s="32" t="n">
        <v>3350</v>
      </c>
      <c r="F227" s="32" t="n">
        <v>1500</v>
      </c>
      <c r="G227" s="32" t="n">
        <v>250</v>
      </c>
      <c r="H227" s="33" t="n">
        <v>1</v>
      </c>
      <c r="I227" s="34" t="n">
        <f aca="false">E227*H227+N(F227)+N(G227)</f>
        <v>5100</v>
      </c>
      <c r="J227" s="32" t="n">
        <f aca="false">ROUND(IFERROR(ROUND(IF(OR(ISNUMBER(SEARCH("week",C227)),ISNUMBER(SEARCH("minggu",C227))),IFERROR(_xlfn.NUMBERVALUE(SUBSTITUTE(LEFT(TRIM(C227),FIND(" ",TRIM(C227)&amp;" ")-1),",","."),"."),LEFT(SUBSTITUTE(LEFT(TRIM(C227),FIND(" ",TRIM(C227)&amp;" ")-1),",","."),FIND("/",SUBSTITUTE(LEFT(TRIM(C227),FIND(" ",TRIM(C227)&amp;" ")-1),",","."))-1)/MID(SUBSTITUTE(LEFT(TRIM(C227),FIND(" ",TRIM(C227)&amp;" ")-1),",","."),FIND("/",SUBSTITUTE(LEFT(TRIM(C227),FIND(" ",TRIM(C227)&amp;" ")-1),",","."))+1,9))*12/52,IF(ISNUMBER(SEARCH("month",C227)),IFERROR(_xlfn.NUMBERVALUE(SUBSTITUTE(LEFT(TRIM(C227),FIND(" ",TRIM(C227)&amp;" ")-1),",","."),"."),LEFT(SUBSTITUTE(LEFT(TRIM(C227),FIND(" ",TRIM(C227)&amp;" ")-1),",","."),FIND("/",SUBSTITUTE(LEFT(TRIM(C227),FIND(" ",TRIM(C227)&amp;" ")-1),",","."))-1)/MID(SUBSTITUTE(LEFT(TRIM(C227),FIND(" ",TRIM(C227)&amp;" ")-1),",","."),FIND("/",SUBSTITUTE(LEFT(TRIM(C227),FIND(" ",TRIM(C227)&amp;" ")-1),",","."))+1,9)),IF(ISNUMBER(SEARCH("yea",C227)),IFERROR(_xlfn.NUMBERVALUE(SUBSTITUTE(LEFT(TRIM(C227),FIND(" ",TRIM(C227)&amp;" ")-1),",","."),"."),LEFT(SUBSTITUTE(LEFT(TRIM(C227),FIND(" ",TRIM(C227)&amp;" ")-1),",","."),FIND("/",SUBSTITUTE(LEFT(TRIM(C227),FIND(" ",TRIM(C227)&amp;" ")-1),",","."))-1)/MID(SUBSTITUTE(LEFT(TRIM(C227),FIND(" ",TRIM(C227)&amp;" ")-1),",","."),FIND("/",SUBSTITUTE(LEFT(TRIM(C227),FIND(" ",TRIM(C227)&amp;" ")-1),",","."))+1,9))*12,NA()))),0),18)*'Aturan &amp; Tarif'!$B$4,2)</f>
        <v>1022.04</v>
      </c>
      <c r="K227" s="32" t="n">
        <f aca="false">'Aturan &amp; Tarif'!$B$5</f>
        <v>2050</v>
      </c>
      <c r="L227" s="32" t="n">
        <f aca="false">'Aturan &amp; Tarif'!$B$6</f>
        <v>350</v>
      </c>
      <c r="M227" s="35" t="n">
        <f aca="false">I227+J227+K227+L227</f>
        <v>8522.04</v>
      </c>
      <c r="N227" s="37" t="s">
        <v>134</v>
      </c>
    </row>
    <row r="228" customFormat="false" ht="48.75" hidden="false" customHeight="true" outlineLevel="0" collapsed="false">
      <c r="A228" s="39" t="s">
        <v>2816</v>
      </c>
      <c r="B228" s="40" t="s">
        <v>470</v>
      </c>
      <c r="C228" s="41" t="s">
        <v>107</v>
      </c>
      <c r="D228" s="41" t="s">
        <v>108</v>
      </c>
      <c r="E228" s="42" t="n">
        <v>2740</v>
      </c>
      <c r="F228" s="42" t="n">
        <v>1000</v>
      </c>
      <c r="G228" s="42" t="n">
        <v>250</v>
      </c>
      <c r="H228" s="43" t="n">
        <v>1</v>
      </c>
      <c r="I228" s="34" t="n">
        <f aca="false">E228*H228+N(F228)+N(G228)</f>
        <v>3990</v>
      </c>
      <c r="J228" s="42" t="n">
        <f aca="false">ROUND(IFERROR(ROUND(IF(OR(ISNUMBER(SEARCH("week",C228)),ISNUMBER(SEARCH("minggu",C228))),IFERROR(_xlfn.NUMBERVALUE(SUBSTITUTE(LEFT(TRIM(C228),FIND(" ",TRIM(C228)&amp;" ")-1),",","."),"."),LEFT(SUBSTITUTE(LEFT(TRIM(C228),FIND(" ",TRIM(C228)&amp;" ")-1),",","."),FIND("/",SUBSTITUTE(LEFT(TRIM(C228),FIND(" ",TRIM(C228)&amp;" ")-1),",","."))-1)/MID(SUBSTITUTE(LEFT(TRIM(C228),FIND(" ",TRIM(C228)&amp;" ")-1),",","."),FIND("/",SUBSTITUTE(LEFT(TRIM(C228),FIND(" ",TRIM(C228)&amp;" ")-1),",","."))+1,9))*12/52,IF(ISNUMBER(SEARCH("month",C228)),IFERROR(_xlfn.NUMBERVALUE(SUBSTITUTE(LEFT(TRIM(C228),FIND(" ",TRIM(C228)&amp;" ")-1),",","."),"."),LEFT(SUBSTITUTE(LEFT(TRIM(C228),FIND(" ",TRIM(C228)&amp;" ")-1),",","."),FIND("/",SUBSTITUTE(LEFT(TRIM(C228),FIND(" ",TRIM(C228)&amp;" ")-1),",","."))-1)/MID(SUBSTITUTE(LEFT(TRIM(C228),FIND(" ",TRIM(C228)&amp;" ")-1),",","."),FIND("/",SUBSTITUTE(LEFT(TRIM(C228),FIND(" ",TRIM(C228)&amp;" ")-1),",","."))+1,9)),IF(ISNUMBER(SEARCH("yea",C228)),IFERROR(_xlfn.NUMBERVALUE(SUBSTITUTE(LEFT(TRIM(C228),FIND(" ",TRIM(C228)&amp;" ")-1),",","."),"."),LEFT(SUBSTITUTE(LEFT(TRIM(C228),FIND(" ",TRIM(C228)&amp;" ")-1),",","."),FIND("/",SUBSTITUTE(LEFT(TRIM(C228),FIND(" ",TRIM(C228)&amp;" ")-1),",","."))-1)/MID(SUBSTITUTE(LEFT(TRIM(C228),FIND(" ",TRIM(C228)&amp;" ")-1),",","."),FIND("/",SUBSTITUTE(LEFT(TRIM(C228),FIND(" ",TRIM(C228)&amp;" ")-1),",","."))+1,9))*12,NA()))),0),24)*'Aturan &amp; Tarif'!$B$4,2)</f>
        <v>1362.72</v>
      </c>
      <c r="K228" s="42" t="n">
        <f aca="false">'Aturan &amp; Tarif'!$B$5</f>
        <v>2050</v>
      </c>
      <c r="L228" s="42" t="n">
        <f aca="false">'Aturan &amp; Tarif'!$B$6</f>
        <v>350</v>
      </c>
      <c r="M228" s="35" t="n">
        <f aca="false">I228+J228+K228+L228</f>
        <v>7752.72</v>
      </c>
      <c r="N228" s="45" t="s">
        <v>134</v>
      </c>
    </row>
    <row r="229" customFormat="false" ht="14.25" hidden="false" customHeight="true" outlineLevel="0" collapsed="false">
      <c r="A229" s="39"/>
      <c r="B229" s="40" t="s">
        <v>2817</v>
      </c>
      <c r="C229" s="41" t="s">
        <v>138</v>
      </c>
      <c r="D229" s="41" t="s">
        <v>108</v>
      </c>
      <c r="E229" s="42" t="n">
        <v>2700</v>
      </c>
      <c r="F229" s="42" t="n">
        <v>1000</v>
      </c>
      <c r="G229" s="42" t="n">
        <v>250</v>
      </c>
      <c r="H229" s="43" t="n">
        <v>1</v>
      </c>
      <c r="I229" s="34" t="n">
        <f aca="false">E229*H229+N(F229)+N(G229)</f>
        <v>3950</v>
      </c>
      <c r="J229" s="42" t="n">
        <f aca="false">ROUND(IFERROR(ROUND(IF(OR(ISNUMBER(SEARCH("week",C229)),ISNUMBER(SEARCH("minggu",C229))),IFERROR(_xlfn.NUMBERVALUE(SUBSTITUTE(LEFT(TRIM(C229),FIND(" ",TRIM(C229)&amp;" ")-1),",","."),"."),LEFT(SUBSTITUTE(LEFT(TRIM(C229),FIND(" ",TRIM(C229)&amp;" ")-1),",","."),FIND("/",SUBSTITUTE(LEFT(TRIM(C229),FIND(" ",TRIM(C229)&amp;" ")-1),",","."))-1)/MID(SUBSTITUTE(LEFT(TRIM(C229),FIND(" ",TRIM(C229)&amp;" ")-1),",","."),FIND("/",SUBSTITUTE(LEFT(TRIM(C229),FIND(" ",TRIM(C229)&amp;" ")-1),",","."))+1,9))*12/52,IF(ISNUMBER(SEARCH("month",C229)),IFERROR(_xlfn.NUMBERVALUE(SUBSTITUTE(LEFT(TRIM(C229),FIND(" ",TRIM(C229)&amp;" ")-1),",","."),"."),LEFT(SUBSTITUTE(LEFT(TRIM(C229),FIND(" ",TRIM(C229)&amp;" ")-1),",","."),FIND("/",SUBSTITUTE(LEFT(TRIM(C229),FIND(" ",TRIM(C229)&amp;" ")-1),",","."))-1)/MID(SUBSTITUTE(LEFT(TRIM(C229),FIND(" ",TRIM(C229)&amp;" ")-1),",","."),FIND("/",SUBSTITUTE(LEFT(TRIM(C229),FIND(" ",TRIM(C229)&amp;" ")-1),",","."))+1,9)),IF(ISNUMBER(SEARCH("yea",C229)),IFERROR(_xlfn.NUMBERVALUE(SUBSTITUTE(LEFT(TRIM(C229),FIND(" ",TRIM(C229)&amp;" ")-1),",","."),"."),LEFT(SUBSTITUTE(LEFT(TRIM(C229),FIND(" ",TRIM(C229)&amp;" ")-1),",","."),FIND("/",SUBSTITUTE(LEFT(TRIM(C229),FIND(" ",TRIM(C229)&amp;" ")-1),",","."))-1)/MID(SUBSTITUTE(LEFT(TRIM(C229),FIND(" ",TRIM(C229)&amp;" ")-1),",","."),FIND("/",SUBSTITUTE(LEFT(TRIM(C229),FIND(" ",TRIM(C229)&amp;" ")-1),",","."))+1,9))*12,NA()))),0),30)*'Aturan &amp; Tarif'!$B$4,2)</f>
        <v>1703.4</v>
      </c>
      <c r="K229" s="42" t="n">
        <f aca="false">'Aturan &amp; Tarif'!$B$5</f>
        <v>2050</v>
      </c>
      <c r="L229" s="42" t="n">
        <f aca="false">'Aturan &amp; Tarif'!$B$6</f>
        <v>350</v>
      </c>
      <c r="M229" s="35" t="n">
        <f aca="false">I229+J229+K229+L229</f>
        <v>8053.4</v>
      </c>
      <c r="N229" s="45" t="s">
        <v>134</v>
      </c>
    </row>
    <row r="230" customFormat="false" ht="14.25" hidden="false" customHeight="true" outlineLevel="0" collapsed="false">
      <c r="A230" s="39"/>
      <c r="B230" s="40" t="s">
        <v>2818</v>
      </c>
      <c r="C230" s="41" t="s">
        <v>127</v>
      </c>
      <c r="D230" s="41" t="s">
        <v>108</v>
      </c>
      <c r="E230" s="42" t="n">
        <v>3000</v>
      </c>
      <c r="F230" s="42" t="n">
        <v>2750</v>
      </c>
      <c r="G230" s="42" t="n">
        <v>250</v>
      </c>
      <c r="H230" s="43" t="n">
        <v>1</v>
      </c>
      <c r="I230" s="34" t="n">
        <f aca="false">E230*H230+N(F230)+N(G230)</f>
        <v>6000</v>
      </c>
      <c r="J230" s="42" t="n">
        <f aca="false">ROUND(IFERROR(ROUND(IF(OR(ISNUMBER(SEARCH("week",C230)),ISNUMBER(SEARCH("minggu",C230))),IFERROR(_xlfn.NUMBERVALUE(SUBSTITUTE(LEFT(TRIM(C230),FIND(" ",TRIM(C230)&amp;" ")-1),",","."),"."),LEFT(SUBSTITUTE(LEFT(TRIM(C230),FIND(" ",TRIM(C230)&amp;" ")-1),",","."),FIND("/",SUBSTITUTE(LEFT(TRIM(C230),FIND(" ",TRIM(C230)&amp;" ")-1),",","."))-1)/MID(SUBSTITUTE(LEFT(TRIM(C230),FIND(" ",TRIM(C230)&amp;" ")-1),",","."),FIND("/",SUBSTITUTE(LEFT(TRIM(C230),FIND(" ",TRIM(C230)&amp;" ")-1),",","."))+1,9))*12/52,IF(ISNUMBER(SEARCH("month",C230)),IFERROR(_xlfn.NUMBERVALUE(SUBSTITUTE(LEFT(TRIM(C230),FIND(" ",TRIM(C230)&amp;" ")-1),",","."),"."),LEFT(SUBSTITUTE(LEFT(TRIM(C230),FIND(" ",TRIM(C230)&amp;" ")-1),",","."),FIND("/",SUBSTITUTE(LEFT(TRIM(C230),FIND(" ",TRIM(C230)&amp;" ")-1),",","."))-1)/MID(SUBSTITUTE(LEFT(TRIM(C230),FIND(" ",TRIM(C230)&amp;" ")-1),",","."),FIND("/",SUBSTITUTE(LEFT(TRIM(C230),FIND(" ",TRIM(C230)&amp;" ")-1),",","."))+1,9)),IF(ISNUMBER(SEARCH("yea",C230)),IFERROR(_xlfn.NUMBERVALUE(SUBSTITUTE(LEFT(TRIM(C230),FIND(" ",TRIM(C230)&amp;" ")-1),",","."),"."),LEFT(SUBSTITUTE(LEFT(TRIM(C230),FIND(" ",TRIM(C230)&amp;" ")-1),",","."),FIND("/",SUBSTITUTE(LEFT(TRIM(C230),FIND(" ",TRIM(C230)&amp;" ")-1),",","."))-1)/MID(SUBSTITUTE(LEFT(TRIM(C230),FIND(" ",TRIM(C230)&amp;" ")-1),",","."),FIND("/",SUBSTITUTE(LEFT(TRIM(C230),FIND(" ",TRIM(C230)&amp;" ")-1),",","."))+1,9))*12,NA()))),0),36)*'Aturan &amp; Tarif'!$B$4,2)</f>
        <v>2044.08</v>
      </c>
      <c r="K230" s="42" t="n">
        <f aca="false">'Aturan &amp; Tarif'!$B$5</f>
        <v>2050</v>
      </c>
      <c r="L230" s="42" t="n">
        <f aca="false">'Aturan &amp; Tarif'!$B$6</f>
        <v>350</v>
      </c>
      <c r="M230" s="35" t="n">
        <f aca="false">I230+J230+K230+L230</f>
        <v>10444.08</v>
      </c>
      <c r="N230" s="45" t="s">
        <v>134</v>
      </c>
    </row>
    <row r="231" customFormat="false" ht="14.25" hidden="false" customHeight="true" outlineLevel="0" collapsed="false">
      <c r="A231" s="39"/>
      <c r="B231" s="40" t="s">
        <v>2819</v>
      </c>
      <c r="C231" s="41" t="s">
        <v>107</v>
      </c>
      <c r="D231" s="41" t="s">
        <v>108</v>
      </c>
      <c r="E231" s="42" t="n">
        <v>3750</v>
      </c>
      <c r="F231" s="42" t="n">
        <v>1750</v>
      </c>
      <c r="G231" s="42" t="n">
        <v>250</v>
      </c>
      <c r="H231" s="43" t="n">
        <v>1</v>
      </c>
      <c r="I231" s="34" t="n">
        <f aca="false">E231*H231+N(F231)+N(G231)</f>
        <v>5750</v>
      </c>
      <c r="J231" s="42" t="n">
        <f aca="false">ROUND(IFERROR(ROUND(IF(OR(ISNUMBER(SEARCH("week",C231)),ISNUMBER(SEARCH("minggu",C231))),IFERROR(_xlfn.NUMBERVALUE(SUBSTITUTE(LEFT(TRIM(C231),FIND(" ",TRIM(C231)&amp;" ")-1),",","."),"."),LEFT(SUBSTITUTE(LEFT(TRIM(C231),FIND(" ",TRIM(C231)&amp;" ")-1),",","."),FIND("/",SUBSTITUTE(LEFT(TRIM(C231),FIND(" ",TRIM(C231)&amp;" ")-1),",","."))-1)/MID(SUBSTITUTE(LEFT(TRIM(C231),FIND(" ",TRIM(C231)&amp;" ")-1),",","."),FIND("/",SUBSTITUTE(LEFT(TRIM(C231),FIND(" ",TRIM(C231)&amp;" ")-1),",","."))+1,9))*12/52,IF(ISNUMBER(SEARCH("month",C231)),IFERROR(_xlfn.NUMBERVALUE(SUBSTITUTE(LEFT(TRIM(C231),FIND(" ",TRIM(C231)&amp;" ")-1),",","."),"."),LEFT(SUBSTITUTE(LEFT(TRIM(C231),FIND(" ",TRIM(C231)&amp;" ")-1),",","."),FIND("/",SUBSTITUTE(LEFT(TRIM(C231),FIND(" ",TRIM(C231)&amp;" ")-1),",","."))-1)/MID(SUBSTITUTE(LEFT(TRIM(C231),FIND(" ",TRIM(C231)&amp;" ")-1),",","."),FIND("/",SUBSTITUTE(LEFT(TRIM(C231),FIND(" ",TRIM(C231)&amp;" ")-1),",","."))+1,9)),IF(ISNUMBER(SEARCH("yea",C231)),IFERROR(_xlfn.NUMBERVALUE(SUBSTITUTE(LEFT(TRIM(C231),FIND(" ",TRIM(C231)&amp;" ")-1),",","."),"."),LEFT(SUBSTITUTE(LEFT(TRIM(C231),FIND(" ",TRIM(C231)&amp;" ")-1),",","."),FIND("/",SUBSTITUTE(LEFT(TRIM(C231),FIND(" ",TRIM(C231)&amp;" ")-1),",","."))-1)/MID(SUBSTITUTE(LEFT(TRIM(C231),FIND(" ",TRIM(C231)&amp;" ")-1),",","."),FIND("/",SUBSTITUTE(LEFT(TRIM(C231),FIND(" ",TRIM(C231)&amp;" ")-1),",","."))+1,9))*12,NA()))),0),24)*'Aturan &amp; Tarif'!$B$4,2)</f>
        <v>1362.72</v>
      </c>
      <c r="K231" s="42" t="n">
        <f aca="false">'Aturan &amp; Tarif'!$B$5</f>
        <v>2050</v>
      </c>
      <c r="L231" s="42" t="n">
        <f aca="false">'Aturan &amp; Tarif'!$B$6</f>
        <v>350</v>
      </c>
      <c r="M231" s="35" t="n">
        <f aca="false">I231+J231+K231+L231</f>
        <v>9512.72</v>
      </c>
      <c r="N231" s="45" t="s">
        <v>134</v>
      </c>
    </row>
    <row r="232" customFormat="false" ht="14.25" hidden="false" customHeight="true" outlineLevel="0" collapsed="false">
      <c r="A232" s="39"/>
      <c r="B232" s="40" t="s">
        <v>2216</v>
      </c>
      <c r="C232" s="41" t="s">
        <v>107</v>
      </c>
      <c r="D232" s="41" t="s">
        <v>108</v>
      </c>
      <c r="E232" s="42" t="n">
        <v>2315</v>
      </c>
      <c r="F232" s="42" t="n">
        <v>2500</v>
      </c>
      <c r="G232" s="42" t="n">
        <v>500</v>
      </c>
      <c r="H232" s="43" t="n">
        <v>1</v>
      </c>
      <c r="I232" s="34" t="n">
        <f aca="false">E232*H232+N(F232)+N(G232)</f>
        <v>5315</v>
      </c>
      <c r="J232" s="42" t="n">
        <f aca="false">ROUND(IFERROR(ROUND(IF(OR(ISNUMBER(SEARCH("week",C232)),ISNUMBER(SEARCH("minggu",C232))),IFERROR(_xlfn.NUMBERVALUE(SUBSTITUTE(LEFT(TRIM(C232),FIND(" ",TRIM(C232)&amp;" ")-1),",","."),"."),LEFT(SUBSTITUTE(LEFT(TRIM(C232),FIND(" ",TRIM(C232)&amp;" ")-1),",","."),FIND("/",SUBSTITUTE(LEFT(TRIM(C232),FIND(" ",TRIM(C232)&amp;" ")-1),",","."))-1)/MID(SUBSTITUTE(LEFT(TRIM(C232),FIND(" ",TRIM(C232)&amp;" ")-1),",","."),FIND("/",SUBSTITUTE(LEFT(TRIM(C232),FIND(" ",TRIM(C232)&amp;" ")-1),",","."))+1,9))*12/52,IF(ISNUMBER(SEARCH("month",C232)),IFERROR(_xlfn.NUMBERVALUE(SUBSTITUTE(LEFT(TRIM(C232),FIND(" ",TRIM(C232)&amp;" ")-1),",","."),"."),LEFT(SUBSTITUTE(LEFT(TRIM(C232),FIND(" ",TRIM(C232)&amp;" ")-1),",","."),FIND("/",SUBSTITUTE(LEFT(TRIM(C232),FIND(" ",TRIM(C232)&amp;" ")-1),",","."))-1)/MID(SUBSTITUTE(LEFT(TRIM(C232),FIND(" ",TRIM(C232)&amp;" ")-1),",","."),FIND("/",SUBSTITUTE(LEFT(TRIM(C232),FIND(" ",TRIM(C232)&amp;" ")-1),",","."))+1,9)),IF(ISNUMBER(SEARCH("yea",C232)),IFERROR(_xlfn.NUMBERVALUE(SUBSTITUTE(LEFT(TRIM(C232),FIND(" ",TRIM(C232)&amp;" ")-1),",","."),"."),LEFT(SUBSTITUTE(LEFT(TRIM(C232),FIND(" ",TRIM(C232)&amp;" ")-1),",","."),FIND("/",SUBSTITUTE(LEFT(TRIM(C232),FIND(" ",TRIM(C232)&amp;" ")-1),",","."))-1)/MID(SUBSTITUTE(LEFT(TRIM(C232),FIND(" ",TRIM(C232)&amp;" ")-1),",","."),FIND("/",SUBSTITUTE(LEFT(TRIM(C232),FIND(" ",TRIM(C232)&amp;" ")-1),",","."))+1,9))*12,NA()))),0),24)*'Aturan &amp; Tarif'!$B$4,2)</f>
        <v>1362.72</v>
      </c>
      <c r="K232" s="42" t="n">
        <f aca="false">'Aturan &amp; Tarif'!$B$5</f>
        <v>2050</v>
      </c>
      <c r="L232" s="42" t="n">
        <f aca="false">'Aturan &amp; Tarif'!$B$6</f>
        <v>350</v>
      </c>
      <c r="M232" s="35" t="n">
        <f aca="false">I232+J232+K232+L232</f>
        <v>9077.72</v>
      </c>
      <c r="N232" s="45" t="s">
        <v>134</v>
      </c>
    </row>
    <row r="233" customFormat="false" ht="14.25" hidden="false" customHeight="true" outlineLevel="0" collapsed="false">
      <c r="A233" s="39"/>
      <c r="B233" s="40" t="s">
        <v>665</v>
      </c>
      <c r="C233" s="41" t="s">
        <v>107</v>
      </c>
      <c r="D233" s="41" t="s">
        <v>108</v>
      </c>
      <c r="E233" s="42" t="n">
        <v>2315</v>
      </c>
      <c r="F233" s="42" t="n">
        <v>2500</v>
      </c>
      <c r="G233" s="42" t="n">
        <v>500</v>
      </c>
      <c r="H233" s="43" t="n">
        <v>1</v>
      </c>
      <c r="I233" s="34" t="n">
        <f aca="false">E233*H233+N(F233)+N(G233)</f>
        <v>5315</v>
      </c>
      <c r="J233" s="42" t="n">
        <f aca="false">ROUND(IFERROR(ROUND(IF(OR(ISNUMBER(SEARCH("week",C233)),ISNUMBER(SEARCH("minggu",C233))),IFERROR(_xlfn.NUMBERVALUE(SUBSTITUTE(LEFT(TRIM(C233),FIND(" ",TRIM(C233)&amp;" ")-1),",","."),"."),LEFT(SUBSTITUTE(LEFT(TRIM(C233),FIND(" ",TRIM(C233)&amp;" ")-1),",","."),FIND("/",SUBSTITUTE(LEFT(TRIM(C233),FIND(" ",TRIM(C233)&amp;" ")-1),",","."))-1)/MID(SUBSTITUTE(LEFT(TRIM(C233),FIND(" ",TRIM(C233)&amp;" ")-1),",","."),FIND("/",SUBSTITUTE(LEFT(TRIM(C233),FIND(" ",TRIM(C233)&amp;" ")-1),",","."))+1,9))*12/52,IF(ISNUMBER(SEARCH("month",C233)),IFERROR(_xlfn.NUMBERVALUE(SUBSTITUTE(LEFT(TRIM(C233),FIND(" ",TRIM(C233)&amp;" ")-1),",","."),"."),LEFT(SUBSTITUTE(LEFT(TRIM(C233),FIND(" ",TRIM(C233)&amp;" ")-1),",","."),FIND("/",SUBSTITUTE(LEFT(TRIM(C233),FIND(" ",TRIM(C233)&amp;" ")-1),",","."))-1)/MID(SUBSTITUTE(LEFT(TRIM(C233),FIND(" ",TRIM(C233)&amp;" ")-1),",","."),FIND("/",SUBSTITUTE(LEFT(TRIM(C233),FIND(" ",TRIM(C233)&amp;" ")-1),",","."))+1,9)),IF(ISNUMBER(SEARCH("yea",C233)),IFERROR(_xlfn.NUMBERVALUE(SUBSTITUTE(LEFT(TRIM(C233),FIND(" ",TRIM(C233)&amp;" ")-1),",","."),"."),LEFT(SUBSTITUTE(LEFT(TRIM(C233),FIND(" ",TRIM(C233)&amp;" ")-1),",","."),FIND("/",SUBSTITUTE(LEFT(TRIM(C233),FIND(" ",TRIM(C233)&amp;" ")-1),",","."))-1)/MID(SUBSTITUTE(LEFT(TRIM(C233),FIND(" ",TRIM(C233)&amp;" ")-1),",","."),FIND("/",SUBSTITUTE(LEFT(TRIM(C233),FIND(" ",TRIM(C233)&amp;" ")-1),",","."))+1,9))*12,NA()))),0),24)*'Aturan &amp; Tarif'!$B$4,2)</f>
        <v>1362.72</v>
      </c>
      <c r="K233" s="42" t="n">
        <f aca="false">'Aturan &amp; Tarif'!$B$5</f>
        <v>2050</v>
      </c>
      <c r="L233" s="42" t="n">
        <f aca="false">'Aturan &amp; Tarif'!$B$6</f>
        <v>350</v>
      </c>
      <c r="M233" s="35" t="n">
        <f aca="false">I233+J233+K233+L233</f>
        <v>9077.72</v>
      </c>
      <c r="N233" s="45" t="s">
        <v>134</v>
      </c>
    </row>
    <row r="234" customFormat="false" ht="48.75" hidden="false" customHeight="true" outlineLevel="0" collapsed="false">
      <c r="A234" s="39"/>
      <c r="B234" s="40" t="s">
        <v>666</v>
      </c>
      <c r="C234" s="41" t="s">
        <v>107</v>
      </c>
      <c r="D234" s="41" t="s">
        <v>108</v>
      </c>
      <c r="E234" s="42" t="n">
        <v>2315</v>
      </c>
      <c r="F234" s="42" t="n">
        <v>2500</v>
      </c>
      <c r="G234" s="42" t="n">
        <v>500</v>
      </c>
      <c r="H234" s="43" t="n">
        <v>1</v>
      </c>
      <c r="I234" s="34" t="n">
        <f aca="false">E234*H234+N(F234)+N(G234)</f>
        <v>5315</v>
      </c>
      <c r="J234" s="42" t="n">
        <f aca="false">ROUND(IFERROR(ROUND(IF(OR(ISNUMBER(SEARCH("week",C234)),ISNUMBER(SEARCH("minggu",C234))),IFERROR(_xlfn.NUMBERVALUE(SUBSTITUTE(LEFT(TRIM(C234),FIND(" ",TRIM(C234)&amp;" ")-1),",","."),"."),LEFT(SUBSTITUTE(LEFT(TRIM(C234),FIND(" ",TRIM(C234)&amp;" ")-1),",","."),FIND("/",SUBSTITUTE(LEFT(TRIM(C234),FIND(" ",TRIM(C234)&amp;" ")-1),",","."))-1)/MID(SUBSTITUTE(LEFT(TRIM(C234),FIND(" ",TRIM(C234)&amp;" ")-1),",","."),FIND("/",SUBSTITUTE(LEFT(TRIM(C234),FIND(" ",TRIM(C234)&amp;" ")-1),",","."))+1,9))*12/52,IF(ISNUMBER(SEARCH("month",C234)),IFERROR(_xlfn.NUMBERVALUE(SUBSTITUTE(LEFT(TRIM(C234),FIND(" ",TRIM(C234)&amp;" ")-1),",","."),"."),LEFT(SUBSTITUTE(LEFT(TRIM(C234),FIND(" ",TRIM(C234)&amp;" ")-1),",","."),FIND("/",SUBSTITUTE(LEFT(TRIM(C234),FIND(" ",TRIM(C234)&amp;" ")-1),",","."))-1)/MID(SUBSTITUTE(LEFT(TRIM(C234),FIND(" ",TRIM(C234)&amp;" ")-1),",","."),FIND("/",SUBSTITUTE(LEFT(TRIM(C234),FIND(" ",TRIM(C234)&amp;" ")-1),",","."))+1,9)),IF(ISNUMBER(SEARCH("yea",C234)),IFERROR(_xlfn.NUMBERVALUE(SUBSTITUTE(LEFT(TRIM(C234),FIND(" ",TRIM(C234)&amp;" ")-1),",","."),"."),LEFT(SUBSTITUTE(LEFT(TRIM(C234),FIND(" ",TRIM(C234)&amp;" ")-1),",","."),FIND("/",SUBSTITUTE(LEFT(TRIM(C234),FIND(" ",TRIM(C234)&amp;" ")-1),",","."))-1)/MID(SUBSTITUTE(LEFT(TRIM(C234),FIND(" ",TRIM(C234)&amp;" ")-1),",","."),FIND("/",SUBSTITUTE(LEFT(TRIM(C234),FIND(" ",TRIM(C234)&amp;" ")-1),",","."))+1,9))*12,NA()))),0),24)*'Aturan &amp; Tarif'!$B$4,2)</f>
        <v>1362.72</v>
      </c>
      <c r="K234" s="42" t="n">
        <f aca="false">'Aturan &amp; Tarif'!$B$5</f>
        <v>2050</v>
      </c>
      <c r="L234" s="42" t="n">
        <f aca="false">'Aturan &amp; Tarif'!$B$6</f>
        <v>350</v>
      </c>
      <c r="M234" s="35" t="n">
        <f aca="false">I234+J234+K234+L234</f>
        <v>9077.72</v>
      </c>
      <c r="N234" s="45" t="s">
        <v>134</v>
      </c>
    </row>
    <row r="235" customFormat="false" ht="25.5" hidden="false" customHeight="true" outlineLevel="0" collapsed="false">
      <c r="A235" s="39" t="s">
        <v>2820</v>
      </c>
      <c r="B235" s="40" t="s">
        <v>504</v>
      </c>
      <c r="C235" s="41" t="s">
        <v>127</v>
      </c>
      <c r="D235" s="41" t="s">
        <v>439</v>
      </c>
      <c r="E235" s="42" t="n">
        <v>8000</v>
      </c>
      <c r="F235" s="42"/>
      <c r="G235" s="42" t="n">
        <f aca="false">250+250</f>
        <v>500</v>
      </c>
      <c r="H235" s="43" t="n">
        <v>1</v>
      </c>
      <c r="I235" s="34" t="n">
        <f aca="false">E235*H235+N(F235)+N(G235)</f>
        <v>8500</v>
      </c>
      <c r="J235" s="42" t="n">
        <f aca="false">ROUND(IFERROR(ROUND(IF(OR(ISNUMBER(SEARCH("week",C235)),ISNUMBER(SEARCH("minggu",C235))),IFERROR(_xlfn.NUMBERVALUE(SUBSTITUTE(LEFT(TRIM(C235),FIND(" ",TRIM(C235)&amp;" ")-1),",","."),"."),LEFT(SUBSTITUTE(LEFT(TRIM(C235),FIND(" ",TRIM(C235)&amp;" ")-1),",","."),FIND("/",SUBSTITUTE(LEFT(TRIM(C235),FIND(" ",TRIM(C235)&amp;" ")-1),",","."))-1)/MID(SUBSTITUTE(LEFT(TRIM(C235),FIND(" ",TRIM(C235)&amp;" ")-1),",","."),FIND("/",SUBSTITUTE(LEFT(TRIM(C235),FIND(" ",TRIM(C235)&amp;" ")-1),",","."))+1,9))*12/52,IF(ISNUMBER(SEARCH("month",C235)),IFERROR(_xlfn.NUMBERVALUE(SUBSTITUTE(LEFT(TRIM(C235),FIND(" ",TRIM(C235)&amp;" ")-1),",","."),"."),LEFT(SUBSTITUTE(LEFT(TRIM(C235),FIND(" ",TRIM(C235)&amp;" ")-1),",","."),FIND("/",SUBSTITUTE(LEFT(TRIM(C235),FIND(" ",TRIM(C235)&amp;" ")-1),",","."))-1)/MID(SUBSTITUTE(LEFT(TRIM(C235),FIND(" ",TRIM(C235)&amp;" ")-1),",","."),FIND("/",SUBSTITUTE(LEFT(TRIM(C235),FIND(" ",TRIM(C235)&amp;" ")-1),",","."))+1,9)),IF(ISNUMBER(SEARCH("yea",C235)),IFERROR(_xlfn.NUMBERVALUE(SUBSTITUTE(LEFT(TRIM(C235),FIND(" ",TRIM(C235)&amp;" ")-1),",","."),"."),LEFT(SUBSTITUTE(LEFT(TRIM(C235),FIND(" ",TRIM(C235)&amp;" ")-1),",","."),FIND("/",SUBSTITUTE(LEFT(TRIM(C235),FIND(" ",TRIM(C235)&amp;" ")-1),",","."))-1)/MID(SUBSTITUTE(LEFT(TRIM(C235),FIND(" ",TRIM(C235)&amp;" ")-1),",","."),FIND("/",SUBSTITUTE(LEFT(TRIM(C235),FIND(" ",TRIM(C235)&amp;" ")-1),",","."))+1,9))*12,NA()))),0),36)*'Aturan &amp; Tarif'!$B$4,2)</f>
        <v>2044.08</v>
      </c>
      <c r="K235" s="42" t="n">
        <f aca="false">'Aturan &amp; Tarif'!$B$5</f>
        <v>2050</v>
      </c>
      <c r="L235" s="42" t="n">
        <f aca="false">'Aturan &amp; Tarif'!$B$6</f>
        <v>350</v>
      </c>
      <c r="M235" s="35" t="n">
        <f aca="false">I235+J235+K235+L235</f>
        <v>12944.08</v>
      </c>
      <c r="N235" s="44" t="s">
        <v>505</v>
      </c>
    </row>
    <row r="236" customFormat="false" ht="14.25" hidden="false" customHeight="true" outlineLevel="0" collapsed="false">
      <c r="A236" s="39"/>
      <c r="B236" s="40" t="s">
        <v>506</v>
      </c>
      <c r="C236" s="41" t="s">
        <v>127</v>
      </c>
      <c r="D236" s="41" t="s">
        <v>439</v>
      </c>
      <c r="E236" s="42" t="n">
        <v>8000</v>
      </c>
      <c r="F236" s="42"/>
      <c r="G236" s="42" t="n">
        <f aca="false">250+250</f>
        <v>500</v>
      </c>
      <c r="H236" s="43" t="n">
        <v>1</v>
      </c>
      <c r="I236" s="34" t="n">
        <f aca="false">E236*H236+N(F236)+N(G236)</f>
        <v>8500</v>
      </c>
      <c r="J236" s="42" t="n">
        <f aca="false">ROUND(IFERROR(ROUND(IF(OR(ISNUMBER(SEARCH("week",C236)),ISNUMBER(SEARCH("minggu",C236))),IFERROR(_xlfn.NUMBERVALUE(SUBSTITUTE(LEFT(TRIM(C236),FIND(" ",TRIM(C236)&amp;" ")-1),",","."),"."),LEFT(SUBSTITUTE(LEFT(TRIM(C236),FIND(" ",TRIM(C236)&amp;" ")-1),",","."),FIND("/",SUBSTITUTE(LEFT(TRIM(C236),FIND(" ",TRIM(C236)&amp;" ")-1),",","."))-1)/MID(SUBSTITUTE(LEFT(TRIM(C236),FIND(" ",TRIM(C236)&amp;" ")-1),",","."),FIND("/",SUBSTITUTE(LEFT(TRIM(C236),FIND(" ",TRIM(C236)&amp;" ")-1),",","."))+1,9))*12/52,IF(ISNUMBER(SEARCH("month",C236)),IFERROR(_xlfn.NUMBERVALUE(SUBSTITUTE(LEFT(TRIM(C236),FIND(" ",TRIM(C236)&amp;" ")-1),",","."),"."),LEFT(SUBSTITUTE(LEFT(TRIM(C236),FIND(" ",TRIM(C236)&amp;" ")-1),",","."),FIND("/",SUBSTITUTE(LEFT(TRIM(C236),FIND(" ",TRIM(C236)&amp;" ")-1),",","."))-1)/MID(SUBSTITUTE(LEFT(TRIM(C236),FIND(" ",TRIM(C236)&amp;" ")-1),",","."),FIND("/",SUBSTITUTE(LEFT(TRIM(C236),FIND(" ",TRIM(C236)&amp;" ")-1),",","."))+1,9)),IF(ISNUMBER(SEARCH("yea",C236)),IFERROR(_xlfn.NUMBERVALUE(SUBSTITUTE(LEFT(TRIM(C236),FIND(" ",TRIM(C236)&amp;" ")-1),",","."),"."),LEFT(SUBSTITUTE(LEFT(TRIM(C236),FIND(" ",TRIM(C236)&amp;" ")-1),",","."),FIND("/",SUBSTITUTE(LEFT(TRIM(C236),FIND(" ",TRIM(C236)&amp;" ")-1),",","."))-1)/MID(SUBSTITUTE(LEFT(TRIM(C236),FIND(" ",TRIM(C236)&amp;" ")-1),",","."),FIND("/",SUBSTITUTE(LEFT(TRIM(C236),FIND(" ",TRIM(C236)&amp;" ")-1),",","."))+1,9))*12,NA()))),0),36)*'Aturan &amp; Tarif'!$B$4,2)</f>
        <v>2044.08</v>
      </c>
      <c r="K236" s="42" t="n">
        <f aca="false">'Aturan &amp; Tarif'!$B$5</f>
        <v>2050</v>
      </c>
      <c r="L236" s="42" t="n">
        <f aca="false">'Aturan &amp; Tarif'!$B$6</f>
        <v>350</v>
      </c>
      <c r="M236" s="35" t="n">
        <f aca="false">I236+J236+K236+L236</f>
        <v>12944.08</v>
      </c>
      <c r="N236" s="45" t="s">
        <v>507</v>
      </c>
    </row>
    <row r="237" customFormat="false" ht="14.25" hidden="false" customHeight="true" outlineLevel="0" collapsed="false">
      <c r="A237" s="39"/>
      <c r="B237" s="40" t="s">
        <v>508</v>
      </c>
      <c r="C237" s="41" t="s">
        <v>127</v>
      </c>
      <c r="D237" s="41" t="s">
        <v>439</v>
      </c>
      <c r="E237" s="42" t="n">
        <v>8000</v>
      </c>
      <c r="F237" s="42"/>
      <c r="G237" s="42" t="n">
        <f aca="false">250+250</f>
        <v>500</v>
      </c>
      <c r="H237" s="43" t="n">
        <v>1</v>
      </c>
      <c r="I237" s="34" t="n">
        <f aca="false">E237*H237+N(F237)+N(G237)</f>
        <v>8500</v>
      </c>
      <c r="J237" s="42" t="n">
        <f aca="false">ROUND(IFERROR(ROUND(IF(OR(ISNUMBER(SEARCH("week",C237)),ISNUMBER(SEARCH("minggu",C237))),IFERROR(_xlfn.NUMBERVALUE(SUBSTITUTE(LEFT(TRIM(C237),FIND(" ",TRIM(C237)&amp;" ")-1),",","."),"."),LEFT(SUBSTITUTE(LEFT(TRIM(C237),FIND(" ",TRIM(C237)&amp;" ")-1),",","."),FIND("/",SUBSTITUTE(LEFT(TRIM(C237),FIND(" ",TRIM(C237)&amp;" ")-1),",","."))-1)/MID(SUBSTITUTE(LEFT(TRIM(C237),FIND(" ",TRIM(C237)&amp;" ")-1),",","."),FIND("/",SUBSTITUTE(LEFT(TRIM(C237),FIND(" ",TRIM(C237)&amp;" ")-1),",","."))+1,9))*12/52,IF(ISNUMBER(SEARCH("month",C237)),IFERROR(_xlfn.NUMBERVALUE(SUBSTITUTE(LEFT(TRIM(C237),FIND(" ",TRIM(C237)&amp;" ")-1),",","."),"."),LEFT(SUBSTITUTE(LEFT(TRIM(C237),FIND(" ",TRIM(C237)&amp;" ")-1),",","."),FIND("/",SUBSTITUTE(LEFT(TRIM(C237),FIND(" ",TRIM(C237)&amp;" ")-1),",","."))-1)/MID(SUBSTITUTE(LEFT(TRIM(C237),FIND(" ",TRIM(C237)&amp;" ")-1),",","."),FIND("/",SUBSTITUTE(LEFT(TRIM(C237),FIND(" ",TRIM(C237)&amp;" ")-1),",","."))+1,9)),IF(ISNUMBER(SEARCH("yea",C237)),IFERROR(_xlfn.NUMBERVALUE(SUBSTITUTE(LEFT(TRIM(C237),FIND(" ",TRIM(C237)&amp;" ")-1),",","."),"."),LEFT(SUBSTITUTE(LEFT(TRIM(C237),FIND(" ",TRIM(C237)&amp;" ")-1),",","."),FIND("/",SUBSTITUTE(LEFT(TRIM(C237),FIND(" ",TRIM(C237)&amp;" ")-1),",","."))-1)/MID(SUBSTITUTE(LEFT(TRIM(C237),FIND(" ",TRIM(C237)&amp;" ")-1),",","."),FIND("/",SUBSTITUTE(LEFT(TRIM(C237),FIND(" ",TRIM(C237)&amp;" ")-1),",","."))+1,9))*12,NA()))),0),36)*'Aturan &amp; Tarif'!$B$4,2)</f>
        <v>2044.08</v>
      </c>
      <c r="K237" s="42" t="n">
        <f aca="false">'Aturan &amp; Tarif'!$B$5</f>
        <v>2050</v>
      </c>
      <c r="L237" s="42" t="n">
        <f aca="false">'Aturan &amp; Tarif'!$B$6</f>
        <v>350</v>
      </c>
      <c r="M237" s="35" t="n">
        <f aca="false">I237+J237+K237+L237</f>
        <v>12944.08</v>
      </c>
      <c r="N237" s="45" t="s">
        <v>507</v>
      </c>
    </row>
    <row r="238" customFormat="false" ht="14.25" hidden="false" customHeight="true" outlineLevel="0" collapsed="false">
      <c r="A238" s="39"/>
      <c r="B238" s="40" t="s">
        <v>509</v>
      </c>
      <c r="C238" s="41" t="s">
        <v>127</v>
      </c>
      <c r="D238" s="41" t="s">
        <v>439</v>
      </c>
      <c r="E238" s="42" t="n">
        <v>8000</v>
      </c>
      <c r="F238" s="42"/>
      <c r="G238" s="42" t="n">
        <f aca="false">250+250</f>
        <v>500</v>
      </c>
      <c r="H238" s="43" t="n">
        <v>1</v>
      </c>
      <c r="I238" s="34" t="n">
        <f aca="false">E238*H238+N(F238)+N(G238)</f>
        <v>8500</v>
      </c>
      <c r="J238" s="42" t="n">
        <f aca="false">ROUND(IFERROR(ROUND(IF(OR(ISNUMBER(SEARCH("week",C238)),ISNUMBER(SEARCH("minggu",C238))),IFERROR(_xlfn.NUMBERVALUE(SUBSTITUTE(LEFT(TRIM(C238),FIND(" ",TRIM(C238)&amp;" ")-1),",","."),"."),LEFT(SUBSTITUTE(LEFT(TRIM(C238),FIND(" ",TRIM(C238)&amp;" ")-1),",","."),FIND("/",SUBSTITUTE(LEFT(TRIM(C238),FIND(" ",TRIM(C238)&amp;" ")-1),",","."))-1)/MID(SUBSTITUTE(LEFT(TRIM(C238),FIND(" ",TRIM(C238)&amp;" ")-1),",","."),FIND("/",SUBSTITUTE(LEFT(TRIM(C238),FIND(" ",TRIM(C238)&amp;" ")-1),",","."))+1,9))*12/52,IF(ISNUMBER(SEARCH("month",C238)),IFERROR(_xlfn.NUMBERVALUE(SUBSTITUTE(LEFT(TRIM(C238),FIND(" ",TRIM(C238)&amp;" ")-1),",","."),"."),LEFT(SUBSTITUTE(LEFT(TRIM(C238),FIND(" ",TRIM(C238)&amp;" ")-1),",","."),FIND("/",SUBSTITUTE(LEFT(TRIM(C238),FIND(" ",TRIM(C238)&amp;" ")-1),",","."))-1)/MID(SUBSTITUTE(LEFT(TRIM(C238),FIND(" ",TRIM(C238)&amp;" ")-1),",","."),FIND("/",SUBSTITUTE(LEFT(TRIM(C238),FIND(" ",TRIM(C238)&amp;" ")-1),",","."))+1,9)),IF(ISNUMBER(SEARCH("yea",C238)),IFERROR(_xlfn.NUMBERVALUE(SUBSTITUTE(LEFT(TRIM(C238),FIND(" ",TRIM(C238)&amp;" ")-1),",","."),"."),LEFT(SUBSTITUTE(LEFT(TRIM(C238),FIND(" ",TRIM(C238)&amp;" ")-1),",","."),FIND("/",SUBSTITUTE(LEFT(TRIM(C238),FIND(" ",TRIM(C238)&amp;" ")-1),",","."))-1)/MID(SUBSTITUTE(LEFT(TRIM(C238),FIND(" ",TRIM(C238)&amp;" ")-1),",","."),FIND("/",SUBSTITUTE(LEFT(TRIM(C238),FIND(" ",TRIM(C238)&amp;" ")-1),",","."))+1,9))*12,NA()))),0),36)*'Aturan &amp; Tarif'!$B$4,2)</f>
        <v>2044.08</v>
      </c>
      <c r="K238" s="42" t="n">
        <f aca="false">'Aturan &amp; Tarif'!$B$5</f>
        <v>2050</v>
      </c>
      <c r="L238" s="42" t="n">
        <f aca="false">'Aturan &amp; Tarif'!$B$6</f>
        <v>350</v>
      </c>
      <c r="M238" s="35" t="n">
        <f aca="false">I238+J238+K238+L238</f>
        <v>12944.08</v>
      </c>
      <c r="N238" s="45" t="s">
        <v>507</v>
      </c>
    </row>
    <row r="239" customFormat="false" ht="60" hidden="false" customHeight="true" outlineLevel="0" collapsed="false">
      <c r="A239" s="39"/>
      <c r="B239" s="40" t="s">
        <v>510</v>
      </c>
      <c r="C239" s="41" t="s">
        <v>127</v>
      </c>
      <c r="D239" s="41" t="s">
        <v>439</v>
      </c>
      <c r="E239" s="42" t="n">
        <v>8000</v>
      </c>
      <c r="F239" s="42"/>
      <c r="G239" s="42" t="n">
        <f aca="false">250+250</f>
        <v>500</v>
      </c>
      <c r="H239" s="43" t="n">
        <v>1</v>
      </c>
      <c r="I239" s="34" t="n">
        <f aca="false">E239*H239+N(F239)+N(G239)</f>
        <v>8500</v>
      </c>
      <c r="J239" s="42" t="n">
        <f aca="false">ROUND(IFERROR(ROUND(IF(OR(ISNUMBER(SEARCH("week",C239)),ISNUMBER(SEARCH("minggu",C239))),IFERROR(_xlfn.NUMBERVALUE(SUBSTITUTE(LEFT(TRIM(C239),FIND(" ",TRIM(C239)&amp;" ")-1),",","."),"."),LEFT(SUBSTITUTE(LEFT(TRIM(C239),FIND(" ",TRIM(C239)&amp;" ")-1),",","."),FIND("/",SUBSTITUTE(LEFT(TRIM(C239),FIND(" ",TRIM(C239)&amp;" ")-1),",","."))-1)/MID(SUBSTITUTE(LEFT(TRIM(C239),FIND(" ",TRIM(C239)&amp;" ")-1),",","."),FIND("/",SUBSTITUTE(LEFT(TRIM(C239),FIND(" ",TRIM(C239)&amp;" ")-1),",","."))+1,9))*12/52,IF(ISNUMBER(SEARCH("month",C239)),IFERROR(_xlfn.NUMBERVALUE(SUBSTITUTE(LEFT(TRIM(C239),FIND(" ",TRIM(C239)&amp;" ")-1),",","."),"."),LEFT(SUBSTITUTE(LEFT(TRIM(C239),FIND(" ",TRIM(C239)&amp;" ")-1),",","."),FIND("/",SUBSTITUTE(LEFT(TRIM(C239),FIND(" ",TRIM(C239)&amp;" ")-1),",","."))-1)/MID(SUBSTITUTE(LEFT(TRIM(C239),FIND(" ",TRIM(C239)&amp;" ")-1),",","."),FIND("/",SUBSTITUTE(LEFT(TRIM(C239),FIND(" ",TRIM(C239)&amp;" ")-1),",","."))+1,9)),IF(ISNUMBER(SEARCH("yea",C239)),IFERROR(_xlfn.NUMBERVALUE(SUBSTITUTE(LEFT(TRIM(C239),FIND(" ",TRIM(C239)&amp;" ")-1),",","."),"."),LEFT(SUBSTITUTE(LEFT(TRIM(C239),FIND(" ",TRIM(C239)&amp;" ")-1),",","."),FIND("/",SUBSTITUTE(LEFT(TRIM(C239),FIND(" ",TRIM(C239)&amp;" ")-1),",","."))-1)/MID(SUBSTITUTE(LEFT(TRIM(C239),FIND(" ",TRIM(C239)&amp;" ")-1),",","."),FIND("/",SUBSTITUTE(LEFT(TRIM(C239),FIND(" ",TRIM(C239)&amp;" ")-1),",","."))+1,9))*12,NA()))),0),36)*'Aturan &amp; Tarif'!$B$4,2)</f>
        <v>2044.08</v>
      </c>
      <c r="K239" s="42" t="n">
        <f aca="false">'Aturan &amp; Tarif'!$B$5</f>
        <v>2050</v>
      </c>
      <c r="L239" s="42" t="n">
        <f aca="false">'Aturan &amp; Tarif'!$B$6</f>
        <v>350</v>
      </c>
      <c r="M239" s="35" t="n">
        <f aca="false">I239+J239+K239+L239</f>
        <v>12944.08</v>
      </c>
      <c r="N239" s="45" t="s">
        <v>507</v>
      </c>
    </row>
    <row r="240" customFormat="false" ht="48.75" hidden="false" customHeight="true" outlineLevel="0" collapsed="false">
      <c r="A240" s="29" t="s">
        <v>2821</v>
      </c>
      <c r="B240" s="30" t="s">
        <v>1596</v>
      </c>
      <c r="C240" s="31" t="s">
        <v>107</v>
      </c>
      <c r="D240" s="31" t="s">
        <v>108</v>
      </c>
      <c r="E240" s="32" t="n">
        <v>2125</v>
      </c>
      <c r="F240" s="32" t="n">
        <v>350</v>
      </c>
      <c r="G240" s="32" t="n">
        <v>250</v>
      </c>
      <c r="H240" s="33" t="n">
        <v>1</v>
      </c>
      <c r="I240" s="34" t="n">
        <f aca="false">E240*H240+N(F240)+N(G240)</f>
        <v>2725</v>
      </c>
      <c r="J240" s="32" t="n">
        <f aca="false">ROUND(IFERROR(ROUND(IF(OR(ISNUMBER(SEARCH("week",C240)),ISNUMBER(SEARCH("minggu",C240))),IFERROR(_xlfn.NUMBERVALUE(SUBSTITUTE(LEFT(TRIM(C240),FIND(" ",TRIM(C240)&amp;" ")-1),",","."),"."),LEFT(SUBSTITUTE(LEFT(TRIM(C240),FIND(" ",TRIM(C240)&amp;" ")-1),",","."),FIND("/",SUBSTITUTE(LEFT(TRIM(C240),FIND(" ",TRIM(C240)&amp;" ")-1),",","."))-1)/MID(SUBSTITUTE(LEFT(TRIM(C240),FIND(" ",TRIM(C240)&amp;" ")-1),",","."),FIND("/",SUBSTITUTE(LEFT(TRIM(C240),FIND(" ",TRIM(C240)&amp;" ")-1),",","."))+1,9))*12/52,IF(ISNUMBER(SEARCH("month",C240)),IFERROR(_xlfn.NUMBERVALUE(SUBSTITUTE(LEFT(TRIM(C240),FIND(" ",TRIM(C240)&amp;" ")-1),",","."),"."),LEFT(SUBSTITUTE(LEFT(TRIM(C240),FIND(" ",TRIM(C240)&amp;" ")-1),",","."),FIND("/",SUBSTITUTE(LEFT(TRIM(C240),FIND(" ",TRIM(C240)&amp;" ")-1),",","."))-1)/MID(SUBSTITUTE(LEFT(TRIM(C240),FIND(" ",TRIM(C240)&amp;" ")-1),",","."),FIND("/",SUBSTITUTE(LEFT(TRIM(C240),FIND(" ",TRIM(C240)&amp;" ")-1),",","."))+1,9)),IF(ISNUMBER(SEARCH("yea",C240)),IFERROR(_xlfn.NUMBERVALUE(SUBSTITUTE(LEFT(TRIM(C240),FIND(" ",TRIM(C240)&amp;" ")-1),",","."),"."),LEFT(SUBSTITUTE(LEFT(TRIM(C240),FIND(" ",TRIM(C240)&amp;" ")-1),",","."),FIND("/",SUBSTITUTE(LEFT(TRIM(C240),FIND(" ",TRIM(C240)&amp;" ")-1),",","."))-1)/MID(SUBSTITUTE(LEFT(TRIM(C240),FIND(" ",TRIM(C240)&amp;" ")-1),",","."),FIND("/",SUBSTITUTE(LEFT(TRIM(C240),FIND(" ",TRIM(C240)&amp;" ")-1),",","."))+1,9))*12,NA()))),0),24)*'Aturan &amp; Tarif'!$B$4,2)</f>
        <v>1362.72</v>
      </c>
      <c r="K240" s="32" t="n">
        <f aca="false">'Aturan &amp; Tarif'!$B$5</f>
        <v>2050</v>
      </c>
      <c r="L240" s="32" t="n">
        <f aca="false">'Aturan &amp; Tarif'!$B$6</f>
        <v>350</v>
      </c>
      <c r="M240" s="35" t="n">
        <f aca="false">I240+J240+K240+L240</f>
        <v>6487.72</v>
      </c>
      <c r="N240" s="37" t="s">
        <v>134</v>
      </c>
    </row>
    <row r="241" customFormat="false" ht="48.75" hidden="false" customHeight="true" outlineLevel="0" collapsed="false">
      <c r="A241" s="29"/>
      <c r="B241" s="30" t="s">
        <v>2822</v>
      </c>
      <c r="C241" s="31" t="s">
        <v>113</v>
      </c>
      <c r="D241" s="31" t="s">
        <v>108</v>
      </c>
      <c r="E241" s="32" t="n">
        <v>1950</v>
      </c>
      <c r="F241" s="32" t="n">
        <v>150</v>
      </c>
      <c r="G241" s="32" t="n">
        <v>250</v>
      </c>
      <c r="H241" s="33" t="n">
        <v>1</v>
      </c>
      <c r="I241" s="34" t="n">
        <f aca="false">E241*H241+N(F241)+N(G241)</f>
        <v>2350</v>
      </c>
      <c r="J241" s="32" t="n">
        <f aca="false">ROUND(IFERROR(ROUND(IF(OR(ISNUMBER(SEARCH("week",C241)),ISNUMBER(SEARCH("minggu",C241))),IFERROR(_xlfn.NUMBERVALUE(SUBSTITUTE(LEFT(TRIM(C241),FIND(" ",TRIM(C241)&amp;" ")-1),",","."),"."),LEFT(SUBSTITUTE(LEFT(TRIM(C241),FIND(" ",TRIM(C241)&amp;" ")-1),",","."),FIND("/",SUBSTITUTE(LEFT(TRIM(C241),FIND(" ",TRIM(C241)&amp;" ")-1),",","."))-1)/MID(SUBSTITUTE(LEFT(TRIM(C241),FIND(" ",TRIM(C241)&amp;" ")-1),",","."),FIND("/",SUBSTITUTE(LEFT(TRIM(C241),FIND(" ",TRIM(C241)&amp;" ")-1),",","."))+1,9))*12/52,IF(ISNUMBER(SEARCH("month",C241)),IFERROR(_xlfn.NUMBERVALUE(SUBSTITUTE(LEFT(TRIM(C241),FIND(" ",TRIM(C241)&amp;" ")-1),",","."),"."),LEFT(SUBSTITUTE(LEFT(TRIM(C241),FIND(" ",TRIM(C241)&amp;" ")-1),",","."),FIND("/",SUBSTITUTE(LEFT(TRIM(C241),FIND(" ",TRIM(C241)&amp;" ")-1),",","."))-1)/MID(SUBSTITUTE(LEFT(TRIM(C241),FIND(" ",TRIM(C241)&amp;" ")-1),",","."),FIND("/",SUBSTITUTE(LEFT(TRIM(C241),FIND(" ",TRIM(C241)&amp;" ")-1),",","."))+1,9)),IF(ISNUMBER(SEARCH("yea",C241)),IFERROR(_xlfn.NUMBERVALUE(SUBSTITUTE(LEFT(TRIM(C241),FIND(" ",TRIM(C241)&amp;" ")-1),",","."),"."),LEFT(SUBSTITUTE(LEFT(TRIM(C241),FIND(" ",TRIM(C241)&amp;" ")-1),",","."),FIND("/",SUBSTITUTE(LEFT(TRIM(C241),FIND(" ",TRIM(C241)&amp;" ")-1),",","."))-1)/MID(SUBSTITUTE(LEFT(TRIM(C241),FIND(" ",TRIM(C241)&amp;" ")-1),",","."),FIND("/",SUBSTITUTE(LEFT(TRIM(C241),FIND(" ",TRIM(C241)&amp;" ")-1),",","."))+1,9))*12,NA()))),0),18)*'Aturan &amp; Tarif'!$B$4,2)</f>
        <v>1022.04</v>
      </c>
      <c r="K241" s="32" t="n">
        <f aca="false">'Aturan &amp; Tarif'!$B$5</f>
        <v>2050</v>
      </c>
      <c r="L241" s="32" t="n">
        <f aca="false">'Aturan &amp; Tarif'!$B$6</f>
        <v>350</v>
      </c>
      <c r="M241" s="35" t="n">
        <f aca="false">I241+J241+K241+L241</f>
        <v>5772.04</v>
      </c>
      <c r="N241" s="36" t="s">
        <v>2823</v>
      </c>
    </row>
    <row r="242" customFormat="false" ht="14.25" hidden="false" customHeight="true" outlineLevel="0" collapsed="false">
      <c r="A242" s="29"/>
      <c r="B242" s="30" t="s">
        <v>2824</v>
      </c>
      <c r="C242" s="31" t="s">
        <v>113</v>
      </c>
      <c r="D242" s="31" t="s">
        <v>108</v>
      </c>
      <c r="E242" s="32" t="n">
        <v>1950</v>
      </c>
      <c r="F242" s="32" t="n">
        <v>150</v>
      </c>
      <c r="G242" s="32" t="n">
        <v>250</v>
      </c>
      <c r="H242" s="33" t="n">
        <v>1</v>
      </c>
      <c r="I242" s="34" t="n">
        <f aca="false">E242*H242+N(F242)+N(G242)</f>
        <v>2350</v>
      </c>
      <c r="J242" s="32" t="n">
        <f aca="false">ROUND(IFERROR(ROUND(IF(OR(ISNUMBER(SEARCH("week",C242)),ISNUMBER(SEARCH("minggu",C242))),IFERROR(_xlfn.NUMBERVALUE(SUBSTITUTE(LEFT(TRIM(C242),FIND(" ",TRIM(C242)&amp;" ")-1),",","."),"."),LEFT(SUBSTITUTE(LEFT(TRIM(C242),FIND(" ",TRIM(C242)&amp;" ")-1),",","."),FIND("/",SUBSTITUTE(LEFT(TRIM(C242),FIND(" ",TRIM(C242)&amp;" ")-1),",","."))-1)/MID(SUBSTITUTE(LEFT(TRIM(C242),FIND(" ",TRIM(C242)&amp;" ")-1),",","."),FIND("/",SUBSTITUTE(LEFT(TRIM(C242),FIND(" ",TRIM(C242)&amp;" ")-1),",","."))+1,9))*12/52,IF(ISNUMBER(SEARCH("month",C242)),IFERROR(_xlfn.NUMBERVALUE(SUBSTITUTE(LEFT(TRIM(C242),FIND(" ",TRIM(C242)&amp;" ")-1),",","."),"."),LEFT(SUBSTITUTE(LEFT(TRIM(C242),FIND(" ",TRIM(C242)&amp;" ")-1),",","."),FIND("/",SUBSTITUTE(LEFT(TRIM(C242),FIND(" ",TRIM(C242)&amp;" ")-1),",","."))-1)/MID(SUBSTITUTE(LEFT(TRIM(C242),FIND(" ",TRIM(C242)&amp;" ")-1),",","."),FIND("/",SUBSTITUTE(LEFT(TRIM(C242),FIND(" ",TRIM(C242)&amp;" ")-1),",","."))+1,9)),IF(ISNUMBER(SEARCH("yea",C242)),IFERROR(_xlfn.NUMBERVALUE(SUBSTITUTE(LEFT(TRIM(C242),FIND(" ",TRIM(C242)&amp;" ")-1),",","."),"."),LEFT(SUBSTITUTE(LEFT(TRIM(C242),FIND(" ",TRIM(C242)&amp;" ")-1),",","."),FIND("/",SUBSTITUTE(LEFT(TRIM(C242),FIND(" ",TRIM(C242)&amp;" ")-1),",","."))-1)/MID(SUBSTITUTE(LEFT(TRIM(C242),FIND(" ",TRIM(C242)&amp;" ")-1),",","."),FIND("/",SUBSTITUTE(LEFT(TRIM(C242),FIND(" ",TRIM(C242)&amp;" ")-1),",","."))+1,9))*12,NA()))),0),18)*'Aturan &amp; Tarif'!$B$4,2)</f>
        <v>1022.04</v>
      </c>
      <c r="K242" s="32" t="n">
        <f aca="false">'Aturan &amp; Tarif'!$B$5</f>
        <v>2050</v>
      </c>
      <c r="L242" s="32" t="n">
        <f aca="false">'Aturan &amp; Tarif'!$B$6</f>
        <v>350</v>
      </c>
      <c r="M242" s="35" t="n">
        <f aca="false">I242+J242+K242+L242</f>
        <v>5772.04</v>
      </c>
      <c r="N242" s="36" t="s">
        <v>2823</v>
      </c>
    </row>
    <row r="243" customFormat="false" ht="83.25" hidden="false" customHeight="true" outlineLevel="0" collapsed="false">
      <c r="A243" s="29"/>
      <c r="B243" s="30" t="s">
        <v>880</v>
      </c>
      <c r="C243" s="31" t="s">
        <v>107</v>
      </c>
      <c r="D243" s="31" t="s">
        <v>108</v>
      </c>
      <c r="E243" s="32" t="n">
        <v>2187</v>
      </c>
      <c r="F243" s="32" t="n">
        <v>350</v>
      </c>
      <c r="G243" s="32" t="n">
        <v>250</v>
      </c>
      <c r="H243" s="33" t="n">
        <v>1</v>
      </c>
      <c r="I243" s="34" t="n">
        <f aca="false">E243*H243+N(F243)+N(G243)</f>
        <v>2787</v>
      </c>
      <c r="J243" s="32" t="n">
        <f aca="false">ROUND(IFERROR(ROUND(IF(OR(ISNUMBER(SEARCH("week",C243)),ISNUMBER(SEARCH("minggu",C243))),IFERROR(_xlfn.NUMBERVALUE(SUBSTITUTE(LEFT(TRIM(C243),FIND(" ",TRIM(C243)&amp;" ")-1),",","."),"."),LEFT(SUBSTITUTE(LEFT(TRIM(C243),FIND(" ",TRIM(C243)&amp;" ")-1),",","."),FIND("/",SUBSTITUTE(LEFT(TRIM(C243),FIND(" ",TRIM(C243)&amp;" ")-1),",","."))-1)/MID(SUBSTITUTE(LEFT(TRIM(C243),FIND(" ",TRIM(C243)&amp;" ")-1),",","."),FIND("/",SUBSTITUTE(LEFT(TRIM(C243),FIND(" ",TRIM(C243)&amp;" ")-1),",","."))+1,9))*12/52,IF(ISNUMBER(SEARCH("month",C243)),IFERROR(_xlfn.NUMBERVALUE(SUBSTITUTE(LEFT(TRIM(C243),FIND(" ",TRIM(C243)&amp;" ")-1),",","."),"."),LEFT(SUBSTITUTE(LEFT(TRIM(C243),FIND(" ",TRIM(C243)&amp;" ")-1),",","."),FIND("/",SUBSTITUTE(LEFT(TRIM(C243),FIND(" ",TRIM(C243)&amp;" ")-1),",","."))-1)/MID(SUBSTITUTE(LEFT(TRIM(C243),FIND(" ",TRIM(C243)&amp;" ")-1),",","."),FIND("/",SUBSTITUTE(LEFT(TRIM(C243),FIND(" ",TRIM(C243)&amp;" ")-1),",","."))+1,9)),IF(ISNUMBER(SEARCH("yea",C243)),IFERROR(_xlfn.NUMBERVALUE(SUBSTITUTE(LEFT(TRIM(C243),FIND(" ",TRIM(C243)&amp;" ")-1),",","."),"."),LEFT(SUBSTITUTE(LEFT(TRIM(C243),FIND(" ",TRIM(C243)&amp;" ")-1),",","."),FIND("/",SUBSTITUTE(LEFT(TRIM(C243),FIND(" ",TRIM(C243)&amp;" ")-1),",","."))-1)/MID(SUBSTITUTE(LEFT(TRIM(C243),FIND(" ",TRIM(C243)&amp;" ")-1),",","."),FIND("/",SUBSTITUTE(LEFT(TRIM(C243),FIND(" ",TRIM(C243)&amp;" ")-1),",","."))+1,9))*12,NA()))),0),24)*'Aturan &amp; Tarif'!$B$4,2)</f>
        <v>1362.72</v>
      </c>
      <c r="K243" s="32" t="n">
        <f aca="false">'Aturan &amp; Tarif'!$B$5</f>
        <v>2050</v>
      </c>
      <c r="L243" s="32" t="n">
        <f aca="false">'Aturan &amp; Tarif'!$B$6</f>
        <v>350</v>
      </c>
      <c r="M243" s="35" t="n">
        <f aca="false">I243+J243+K243+L243</f>
        <v>6549.72</v>
      </c>
      <c r="N243" s="37" t="s">
        <v>134</v>
      </c>
    </row>
    <row r="244" customFormat="false" ht="37.5" hidden="false" customHeight="true" outlineLevel="0" collapsed="false">
      <c r="A244" s="39" t="s">
        <v>2825</v>
      </c>
      <c r="B244" s="40" t="s">
        <v>148</v>
      </c>
      <c r="C244" s="41" t="s">
        <v>107</v>
      </c>
      <c r="D244" s="41" t="s">
        <v>108</v>
      </c>
      <c r="E244" s="42" t="n">
        <v>2000</v>
      </c>
      <c r="F244" s="42" t="n">
        <v>2000</v>
      </c>
      <c r="G244" s="42" t="n">
        <v>250</v>
      </c>
      <c r="H244" s="43" t="n">
        <v>2</v>
      </c>
      <c r="I244" s="34" t="n">
        <f aca="false">E244*H244+N(F244)+N(G244)</f>
        <v>6250</v>
      </c>
      <c r="J244" s="42" t="n">
        <f aca="false">ROUND(IFERROR(ROUND(IF(OR(ISNUMBER(SEARCH("week",C244)),ISNUMBER(SEARCH("minggu",C244))),IFERROR(_xlfn.NUMBERVALUE(SUBSTITUTE(LEFT(TRIM(C244),FIND(" ",TRIM(C244)&amp;" ")-1),",","."),"."),LEFT(SUBSTITUTE(LEFT(TRIM(C244),FIND(" ",TRIM(C244)&amp;" ")-1),",","."),FIND("/",SUBSTITUTE(LEFT(TRIM(C244),FIND(" ",TRIM(C244)&amp;" ")-1),",","."))-1)/MID(SUBSTITUTE(LEFT(TRIM(C244),FIND(" ",TRIM(C244)&amp;" ")-1),",","."),FIND("/",SUBSTITUTE(LEFT(TRIM(C244),FIND(" ",TRIM(C244)&amp;" ")-1),",","."))+1,9))*12/52,IF(ISNUMBER(SEARCH("month",C244)),IFERROR(_xlfn.NUMBERVALUE(SUBSTITUTE(LEFT(TRIM(C244),FIND(" ",TRIM(C244)&amp;" ")-1),",","."),"."),LEFT(SUBSTITUTE(LEFT(TRIM(C244),FIND(" ",TRIM(C244)&amp;" ")-1),",","."),FIND("/",SUBSTITUTE(LEFT(TRIM(C244),FIND(" ",TRIM(C244)&amp;" ")-1),",","."))-1)/MID(SUBSTITUTE(LEFT(TRIM(C244),FIND(" ",TRIM(C244)&amp;" ")-1),",","."),FIND("/",SUBSTITUTE(LEFT(TRIM(C244),FIND(" ",TRIM(C244)&amp;" ")-1),",","."))+1,9)),IF(ISNUMBER(SEARCH("yea",C244)),IFERROR(_xlfn.NUMBERVALUE(SUBSTITUTE(LEFT(TRIM(C244),FIND(" ",TRIM(C244)&amp;" ")-1),",","."),"."),LEFT(SUBSTITUTE(LEFT(TRIM(C244),FIND(" ",TRIM(C244)&amp;" ")-1),",","."),FIND("/",SUBSTITUTE(LEFT(TRIM(C244),FIND(" ",TRIM(C244)&amp;" ")-1),",","."))-1)/MID(SUBSTITUTE(LEFT(TRIM(C244),FIND(" ",TRIM(C244)&amp;" ")-1),",","."),FIND("/",SUBSTITUTE(LEFT(TRIM(C244),FIND(" ",TRIM(C244)&amp;" ")-1),",","."))+1,9))*12,NA()))),0),24)*'Aturan &amp; Tarif'!$B$4,2)</f>
        <v>1362.72</v>
      </c>
      <c r="K244" s="42" t="n">
        <f aca="false">'Aturan &amp; Tarif'!$B$5</f>
        <v>2050</v>
      </c>
      <c r="L244" s="42" t="n">
        <f aca="false">'Aturan &amp; Tarif'!$B$6</f>
        <v>350</v>
      </c>
      <c r="M244" s="35" t="n">
        <f aca="false">I244+J244+K244+L244</f>
        <v>10012.72</v>
      </c>
      <c r="N244" s="45" t="s">
        <v>2826</v>
      </c>
    </row>
    <row r="245" customFormat="false" ht="37.5" hidden="false" customHeight="true" outlineLevel="0" collapsed="false">
      <c r="A245" s="39" t="s">
        <v>2827</v>
      </c>
      <c r="B245" s="40" t="s">
        <v>2828</v>
      </c>
      <c r="C245" s="41" t="s">
        <v>107</v>
      </c>
      <c r="D245" s="41" t="s">
        <v>108</v>
      </c>
      <c r="E245" s="42" t="n">
        <v>3255.6</v>
      </c>
      <c r="F245" s="42" t="n">
        <v>500</v>
      </c>
      <c r="G245" s="42" t="n">
        <v>200</v>
      </c>
      <c r="H245" s="43" t="n">
        <v>1</v>
      </c>
      <c r="I245" s="34" t="n">
        <f aca="false">E245*H245+N(F245)+N(G245)</f>
        <v>3955.6</v>
      </c>
      <c r="J245" s="42" t="n">
        <f aca="false">ROUND(IFERROR(ROUND(IF(OR(ISNUMBER(SEARCH("week",C245)),ISNUMBER(SEARCH("minggu",C245))),IFERROR(_xlfn.NUMBERVALUE(SUBSTITUTE(LEFT(TRIM(C245),FIND(" ",TRIM(C245)&amp;" ")-1),",","."),"."),LEFT(SUBSTITUTE(LEFT(TRIM(C245),FIND(" ",TRIM(C245)&amp;" ")-1),",","."),FIND("/",SUBSTITUTE(LEFT(TRIM(C245),FIND(" ",TRIM(C245)&amp;" ")-1),",","."))-1)/MID(SUBSTITUTE(LEFT(TRIM(C245),FIND(" ",TRIM(C245)&amp;" ")-1),",","."),FIND("/",SUBSTITUTE(LEFT(TRIM(C245),FIND(" ",TRIM(C245)&amp;" ")-1),",","."))+1,9))*12/52,IF(ISNUMBER(SEARCH("month",C245)),IFERROR(_xlfn.NUMBERVALUE(SUBSTITUTE(LEFT(TRIM(C245),FIND(" ",TRIM(C245)&amp;" ")-1),",","."),"."),LEFT(SUBSTITUTE(LEFT(TRIM(C245),FIND(" ",TRIM(C245)&amp;" ")-1),",","."),FIND("/",SUBSTITUTE(LEFT(TRIM(C245),FIND(" ",TRIM(C245)&amp;" ")-1),",","."))-1)/MID(SUBSTITUTE(LEFT(TRIM(C245),FIND(" ",TRIM(C245)&amp;" ")-1),",","."),FIND("/",SUBSTITUTE(LEFT(TRIM(C245),FIND(" ",TRIM(C245)&amp;" ")-1),",","."))+1,9)),IF(ISNUMBER(SEARCH("yea",C245)),IFERROR(_xlfn.NUMBERVALUE(SUBSTITUTE(LEFT(TRIM(C245),FIND(" ",TRIM(C245)&amp;" ")-1),",","."),"."),LEFT(SUBSTITUTE(LEFT(TRIM(C245),FIND(" ",TRIM(C245)&amp;" ")-1),",","."),FIND("/",SUBSTITUTE(LEFT(TRIM(C245),FIND(" ",TRIM(C245)&amp;" ")-1),",","."))-1)/MID(SUBSTITUTE(LEFT(TRIM(C245),FIND(" ",TRIM(C245)&amp;" ")-1),",","."),FIND("/",SUBSTITUTE(LEFT(TRIM(C245),FIND(" ",TRIM(C245)&amp;" ")-1),",","."))+1,9))*12,NA()))),0),24)*'Aturan &amp; Tarif'!$B$4,2)</f>
        <v>1362.72</v>
      </c>
      <c r="K245" s="42" t="n">
        <f aca="false">'Aturan &amp; Tarif'!$B$5</f>
        <v>2050</v>
      </c>
      <c r="L245" s="42" t="n">
        <f aca="false">'Aturan &amp; Tarif'!$B$6</f>
        <v>350</v>
      </c>
      <c r="M245" s="35" t="n">
        <f aca="false">I245+J245+K245+L245</f>
        <v>7718.32</v>
      </c>
      <c r="N245" s="44" t="s">
        <v>131</v>
      </c>
    </row>
    <row r="246" customFormat="false" ht="14.25" hidden="false" customHeight="true" outlineLevel="0" collapsed="false">
      <c r="A246" s="39"/>
      <c r="B246" s="40" t="s">
        <v>2829</v>
      </c>
      <c r="C246" s="41" t="s">
        <v>136</v>
      </c>
      <c r="D246" s="41" t="s">
        <v>108</v>
      </c>
      <c r="E246" s="42" t="n">
        <v>3256</v>
      </c>
      <c r="F246" s="42" t="n">
        <v>500</v>
      </c>
      <c r="G246" s="42" t="n">
        <v>200</v>
      </c>
      <c r="H246" s="43" t="n">
        <v>1</v>
      </c>
      <c r="I246" s="34" t="n">
        <f aca="false">E246*H246+N(F246)+N(G246)</f>
        <v>3956</v>
      </c>
      <c r="J246" s="42" t="n">
        <f aca="false">ROUND(IFERROR(ROUND(IF(OR(ISNUMBER(SEARCH("week",C246)),ISNUMBER(SEARCH("minggu",C246))),IFERROR(_xlfn.NUMBERVALUE(SUBSTITUTE(LEFT(TRIM(C246),FIND(" ",TRIM(C246)&amp;" ")-1),",","."),"."),LEFT(SUBSTITUTE(LEFT(TRIM(C246),FIND(" ",TRIM(C246)&amp;" ")-1),",","."),FIND("/",SUBSTITUTE(LEFT(TRIM(C246),FIND(" ",TRIM(C246)&amp;" ")-1),",","."))-1)/MID(SUBSTITUTE(LEFT(TRIM(C246),FIND(" ",TRIM(C246)&amp;" ")-1),",","."),FIND("/",SUBSTITUTE(LEFT(TRIM(C246),FIND(" ",TRIM(C246)&amp;" ")-1),",","."))+1,9))*12/52,IF(ISNUMBER(SEARCH("month",C246)),IFERROR(_xlfn.NUMBERVALUE(SUBSTITUTE(LEFT(TRIM(C246),FIND(" ",TRIM(C246)&amp;" ")-1),",","."),"."),LEFT(SUBSTITUTE(LEFT(TRIM(C246),FIND(" ",TRIM(C246)&amp;" ")-1),",","."),FIND("/",SUBSTITUTE(LEFT(TRIM(C246),FIND(" ",TRIM(C246)&amp;" ")-1),",","."))-1)/MID(SUBSTITUTE(LEFT(TRIM(C246),FIND(" ",TRIM(C246)&amp;" ")-1),",","."),FIND("/",SUBSTITUTE(LEFT(TRIM(C246),FIND(" ",TRIM(C246)&amp;" ")-1),",","."))+1,9)),IF(ISNUMBER(SEARCH("yea",C246)),IFERROR(_xlfn.NUMBERVALUE(SUBSTITUTE(LEFT(TRIM(C246),FIND(" ",TRIM(C246)&amp;" ")-1),",","."),"."),LEFT(SUBSTITUTE(LEFT(TRIM(C246),FIND(" ",TRIM(C246)&amp;" ")-1),",","."),FIND("/",SUBSTITUTE(LEFT(TRIM(C246),FIND(" ",TRIM(C246)&amp;" ")-1),",","."))-1)/MID(SUBSTITUTE(LEFT(TRIM(C246),FIND(" ",TRIM(C246)&amp;" ")-1),",","."),FIND("/",SUBSTITUTE(LEFT(TRIM(C246),FIND(" ",TRIM(C246)&amp;" ")-1),",","."))+1,9))*12,NA()))),0),42)*'Aturan &amp; Tarif'!$B$4,2)</f>
        <v>2384.76</v>
      </c>
      <c r="K246" s="42" t="n">
        <f aca="false">'Aturan &amp; Tarif'!$B$5</f>
        <v>2050</v>
      </c>
      <c r="L246" s="42" t="n">
        <f aca="false">'Aturan &amp; Tarif'!$B$6</f>
        <v>350</v>
      </c>
      <c r="M246" s="35" t="n">
        <f aca="false">I246+J246+K246+L246</f>
        <v>8740.76</v>
      </c>
      <c r="N246" s="44" t="s">
        <v>131</v>
      </c>
    </row>
    <row r="247" customFormat="false" ht="14.25" hidden="false" customHeight="true" outlineLevel="0" collapsed="false">
      <c r="A247" s="39"/>
      <c r="B247" s="40" t="s">
        <v>621</v>
      </c>
      <c r="C247" s="41" t="s">
        <v>113</v>
      </c>
      <c r="D247" s="41" t="s">
        <v>108</v>
      </c>
      <c r="E247" s="42" t="n">
        <v>2466.6</v>
      </c>
      <c r="F247" s="42" t="n">
        <v>500</v>
      </c>
      <c r="G247" s="42" t="n">
        <v>200</v>
      </c>
      <c r="H247" s="43" t="n">
        <v>1</v>
      </c>
      <c r="I247" s="34" t="n">
        <f aca="false">E247*H247+N(F247)+N(G247)</f>
        <v>3166.6</v>
      </c>
      <c r="J247" s="42" t="n">
        <f aca="false">ROUND(IFERROR(ROUND(IF(OR(ISNUMBER(SEARCH("week",C247)),ISNUMBER(SEARCH("minggu",C247))),IFERROR(_xlfn.NUMBERVALUE(SUBSTITUTE(LEFT(TRIM(C247),FIND(" ",TRIM(C247)&amp;" ")-1),",","."),"."),LEFT(SUBSTITUTE(LEFT(TRIM(C247),FIND(" ",TRIM(C247)&amp;" ")-1),",","."),FIND("/",SUBSTITUTE(LEFT(TRIM(C247),FIND(" ",TRIM(C247)&amp;" ")-1),",","."))-1)/MID(SUBSTITUTE(LEFT(TRIM(C247),FIND(" ",TRIM(C247)&amp;" ")-1),",","."),FIND("/",SUBSTITUTE(LEFT(TRIM(C247),FIND(" ",TRIM(C247)&amp;" ")-1),",","."))+1,9))*12/52,IF(ISNUMBER(SEARCH("month",C247)),IFERROR(_xlfn.NUMBERVALUE(SUBSTITUTE(LEFT(TRIM(C247),FIND(" ",TRIM(C247)&amp;" ")-1),",","."),"."),LEFT(SUBSTITUTE(LEFT(TRIM(C247),FIND(" ",TRIM(C247)&amp;" ")-1),",","."),FIND("/",SUBSTITUTE(LEFT(TRIM(C247),FIND(" ",TRIM(C247)&amp;" ")-1),",","."))-1)/MID(SUBSTITUTE(LEFT(TRIM(C247),FIND(" ",TRIM(C247)&amp;" ")-1),",","."),FIND("/",SUBSTITUTE(LEFT(TRIM(C247),FIND(" ",TRIM(C247)&amp;" ")-1),",","."))+1,9)),IF(ISNUMBER(SEARCH("yea",C247)),IFERROR(_xlfn.NUMBERVALUE(SUBSTITUTE(LEFT(TRIM(C247),FIND(" ",TRIM(C247)&amp;" ")-1),",","."),"."),LEFT(SUBSTITUTE(LEFT(TRIM(C247),FIND(" ",TRIM(C247)&amp;" ")-1),",","."),FIND("/",SUBSTITUTE(LEFT(TRIM(C247),FIND(" ",TRIM(C247)&amp;" ")-1),",","."))-1)/MID(SUBSTITUTE(LEFT(TRIM(C247),FIND(" ",TRIM(C247)&amp;" ")-1),",","."),FIND("/",SUBSTITUTE(LEFT(TRIM(C247),FIND(" ",TRIM(C247)&amp;" ")-1),",","."))+1,9))*12,NA()))),0),18)*'Aturan &amp; Tarif'!$B$4,2)</f>
        <v>1022.04</v>
      </c>
      <c r="K247" s="42" t="n">
        <f aca="false">'Aturan &amp; Tarif'!$B$5</f>
        <v>2050</v>
      </c>
      <c r="L247" s="42" t="n">
        <f aca="false">'Aturan &amp; Tarif'!$B$6</f>
        <v>350</v>
      </c>
      <c r="M247" s="35" t="n">
        <f aca="false">I247+J247+K247+L247</f>
        <v>6588.64</v>
      </c>
      <c r="N247" s="45" t="s">
        <v>134</v>
      </c>
    </row>
    <row r="248" customFormat="false" ht="14.25" hidden="false" customHeight="true" outlineLevel="0" collapsed="false">
      <c r="A248" s="39"/>
      <c r="B248" s="40" t="s">
        <v>848</v>
      </c>
      <c r="C248" s="41" t="s">
        <v>130</v>
      </c>
      <c r="D248" s="41" t="s">
        <v>108</v>
      </c>
      <c r="E248" s="42" t="n">
        <v>2950</v>
      </c>
      <c r="F248" s="42" t="n">
        <v>500</v>
      </c>
      <c r="G248" s="42" t="n">
        <v>200</v>
      </c>
      <c r="H248" s="43" t="n">
        <v>1</v>
      </c>
      <c r="I248" s="34" t="n">
        <f aca="false">E248*H248+N(F248)+N(G248)</f>
        <v>3650</v>
      </c>
      <c r="J248" s="42" t="n">
        <f aca="false">ROUND(IFERROR(ROUND(IF(OR(ISNUMBER(SEARCH("week",C248)),ISNUMBER(SEARCH("minggu",C248))),IFERROR(_xlfn.NUMBERVALUE(SUBSTITUTE(LEFT(TRIM(C248),FIND(" ",TRIM(C248)&amp;" ")-1),",","."),"."),LEFT(SUBSTITUTE(LEFT(TRIM(C248),FIND(" ",TRIM(C248)&amp;" ")-1),",","."),FIND("/",SUBSTITUTE(LEFT(TRIM(C248),FIND(" ",TRIM(C248)&amp;" ")-1),",","."))-1)/MID(SUBSTITUTE(LEFT(TRIM(C248),FIND(" ",TRIM(C248)&amp;" ")-1),",","."),FIND("/",SUBSTITUTE(LEFT(TRIM(C248),FIND(" ",TRIM(C248)&amp;" ")-1),",","."))+1,9))*12/52,IF(ISNUMBER(SEARCH("month",C248)),IFERROR(_xlfn.NUMBERVALUE(SUBSTITUTE(LEFT(TRIM(C248),FIND(" ",TRIM(C248)&amp;" ")-1),",","."),"."),LEFT(SUBSTITUTE(LEFT(TRIM(C248),FIND(" ",TRIM(C248)&amp;" ")-1),",","."),FIND("/",SUBSTITUTE(LEFT(TRIM(C248),FIND(" ",TRIM(C248)&amp;" ")-1),",","."))-1)/MID(SUBSTITUTE(LEFT(TRIM(C248),FIND(" ",TRIM(C248)&amp;" ")-1),",","."),FIND("/",SUBSTITUTE(LEFT(TRIM(C248),FIND(" ",TRIM(C248)&amp;" ")-1),",","."))+1,9)),IF(ISNUMBER(SEARCH("yea",C248)),IFERROR(_xlfn.NUMBERVALUE(SUBSTITUTE(LEFT(TRIM(C248),FIND(" ",TRIM(C248)&amp;" ")-1),",","."),"."),LEFT(SUBSTITUTE(LEFT(TRIM(C248),FIND(" ",TRIM(C248)&amp;" ")-1),",","."),FIND("/",SUBSTITUTE(LEFT(TRIM(C248),FIND(" ",TRIM(C248)&amp;" ")-1),",","."))-1)/MID(SUBSTITUTE(LEFT(TRIM(C248),FIND(" ",TRIM(C248)&amp;" ")-1),",","."),FIND("/",SUBSTITUTE(LEFT(TRIM(C248),FIND(" ",TRIM(C248)&amp;" ")-1),",","."))+1,9))*12,NA()))),0),12)*'Aturan &amp; Tarif'!$B$4,2)</f>
        <v>681.36</v>
      </c>
      <c r="K248" s="42" t="n">
        <f aca="false">'Aturan &amp; Tarif'!$B$5</f>
        <v>2050</v>
      </c>
      <c r="L248" s="42" t="n">
        <f aca="false">'Aturan &amp; Tarif'!$B$6</f>
        <v>350</v>
      </c>
      <c r="M248" s="35" t="n">
        <f aca="false">I248+J248+K248+L248</f>
        <v>6731.36</v>
      </c>
      <c r="N248" s="45" t="s">
        <v>134</v>
      </c>
    </row>
    <row r="249" customFormat="false" ht="25.5" hidden="false" customHeight="true" outlineLevel="0" collapsed="false">
      <c r="A249" s="39"/>
      <c r="B249" s="40" t="s">
        <v>2830</v>
      </c>
      <c r="C249" s="41" t="s">
        <v>113</v>
      </c>
      <c r="D249" s="41" t="s">
        <v>108</v>
      </c>
      <c r="E249" s="42" t="n">
        <v>2466.66</v>
      </c>
      <c r="F249" s="42" t="n">
        <v>500</v>
      </c>
      <c r="G249" s="42" t="n">
        <v>200</v>
      </c>
      <c r="H249" s="43" t="n">
        <v>1</v>
      </c>
      <c r="I249" s="34" t="n">
        <f aca="false">E249*H249+N(F249)+N(G249)</f>
        <v>3166.66</v>
      </c>
      <c r="J249" s="42" t="n">
        <f aca="false">ROUND(IFERROR(ROUND(IF(OR(ISNUMBER(SEARCH("week",C249)),ISNUMBER(SEARCH("minggu",C249))),IFERROR(_xlfn.NUMBERVALUE(SUBSTITUTE(LEFT(TRIM(C249),FIND(" ",TRIM(C249)&amp;" ")-1),",","."),"."),LEFT(SUBSTITUTE(LEFT(TRIM(C249),FIND(" ",TRIM(C249)&amp;" ")-1),",","."),FIND("/",SUBSTITUTE(LEFT(TRIM(C249),FIND(" ",TRIM(C249)&amp;" ")-1),",","."))-1)/MID(SUBSTITUTE(LEFT(TRIM(C249),FIND(" ",TRIM(C249)&amp;" ")-1),",","."),FIND("/",SUBSTITUTE(LEFT(TRIM(C249),FIND(" ",TRIM(C249)&amp;" ")-1),",","."))+1,9))*12/52,IF(ISNUMBER(SEARCH("month",C249)),IFERROR(_xlfn.NUMBERVALUE(SUBSTITUTE(LEFT(TRIM(C249),FIND(" ",TRIM(C249)&amp;" ")-1),",","."),"."),LEFT(SUBSTITUTE(LEFT(TRIM(C249),FIND(" ",TRIM(C249)&amp;" ")-1),",","."),FIND("/",SUBSTITUTE(LEFT(TRIM(C249),FIND(" ",TRIM(C249)&amp;" ")-1),",","."))-1)/MID(SUBSTITUTE(LEFT(TRIM(C249),FIND(" ",TRIM(C249)&amp;" ")-1),",","."),FIND("/",SUBSTITUTE(LEFT(TRIM(C249),FIND(" ",TRIM(C249)&amp;" ")-1),",","."))+1,9)),IF(ISNUMBER(SEARCH("yea",C249)),IFERROR(_xlfn.NUMBERVALUE(SUBSTITUTE(LEFT(TRIM(C249),FIND(" ",TRIM(C249)&amp;" ")-1),",","."),"."),LEFT(SUBSTITUTE(LEFT(TRIM(C249),FIND(" ",TRIM(C249)&amp;" ")-1),",","."),FIND("/",SUBSTITUTE(LEFT(TRIM(C249),FIND(" ",TRIM(C249)&amp;" ")-1),",","."))-1)/MID(SUBSTITUTE(LEFT(TRIM(C249),FIND(" ",TRIM(C249)&amp;" ")-1),",","."),FIND("/",SUBSTITUTE(LEFT(TRIM(C249),FIND(" ",TRIM(C249)&amp;" ")-1),",","."))+1,9))*12,NA()))),0),18)*'Aturan &amp; Tarif'!$B$4,2)</f>
        <v>1022.04</v>
      </c>
      <c r="K249" s="42" t="n">
        <f aca="false">'Aturan &amp; Tarif'!$B$5</f>
        <v>2050</v>
      </c>
      <c r="L249" s="42" t="n">
        <f aca="false">'Aturan &amp; Tarif'!$B$6</f>
        <v>350</v>
      </c>
      <c r="M249" s="35" t="n">
        <f aca="false">I249+J249+K249+L249</f>
        <v>6588.7</v>
      </c>
      <c r="N249" s="45" t="s">
        <v>134</v>
      </c>
    </row>
    <row r="250" customFormat="false" ht="25.5" hidden="false" customHeight="true" outlineLevel="0" collapsed="false">
      <c r="A250" s="39"/>
      <c r="B250" s="40" t="s">
        <v>2831</v>
      </c>
      <c r="C250" s="41" t="s">
        <v>138</v>
      </c>
      <c r="D250" s="41" t="s">
        <v>108</v>
      </c>
      <c r="E250" s="42" t="n">
        <v>2950</v>
      </c>
      <c r="F250" s="42" t="n">
        <v>500</v>
      </c>
      <c r="G250" s="42" t="n">
        <v>200</v>
      </c>
      <c r="H250" s="43" t="n">
        <v>1</v>
      </c>
      <c r="I250" s="34" t="n">
        <f aca="false">E250*H250+N(F250)+N(G250)</f>
        <v>3650</v>
      </c>
      <c r="J250" s="42" t="n">
        <f aca="false">ROUND(IFERROR(ROUND(IF(OR(ISNUMBER(SEARCH("week",C250)),ISNUMBER(SEARCH("minggu",C250))),IFERROR(_xlfn.NUMBERVALUE(SUBSTITUTE(LEFT(TRIM(C250),FIND(" ",TRIM(C250)&amp;" ")-1),",","."),"."),LEFT(SUBSTITUTE(LEFT(TRIM(C250),FIND(" ",TRIM(C250)&amp;" ")-1),",","."),FIND("/",SUBSTITUTE(LEFT(TRIM(C250),FIND(" ",TRIM(C250)&amp;" ")-1),",","."))-1)/MID(SUBSTITUTE(LEFT(TRIM(C250),FIND(" ",TRIM(C250)&amp;" ")-1),",","."),FIND("/",SUBSTITUTE(LEFT(TRIM(C250),FIND(" ",TRIM(C250)&amp;" ")-1),",","."))+1,9))*12/52,IF(ISNUMBER(SEARCH("month",C250)),IFERROR(_xlfn.NUMBERVALUE(SUBSTITUTE(LEFT(TRIM(C250),FIND(" ",TRIM(C250)&amp;" ")-1),",","."),"."),LEFT(SUBSTITUTE(LEFT(TRIM(C250),FIND(" ",TRIM(C250)&amp;" ")-1),",","."),FIND("/",SUBSTITUTE(LEFT(TRIM(C250),FIND(" ",TRIM(C250)&amp;" ")-1),",","."))-1)/MID(SUBSTITUTE(LEFT(TRIM(C250),FIND(" ",TRIM(C250)&amp;" ")-1),",","."),FIND("/",SUBSTITUTE(LEFT(TRIM(C250),FIND(" ",TRIM(C250)&amp;" ")-1),",","."))+1,9)),IF(ISNUMBER(SEARCH("yea",C250)),IFERROR(_xlfn.NUMBERVALUE(SUBSTITUTE(LEFT(TRIM(C250),FIND(" ",TRIM(C250)&amp;" ")-1),",","."),"."),LEFT(SUBSTITUTE(LEFT(TRIM(C250),FIND(" ",TRIM(C250)&amp;" ")-1),",","."),FIND("/",SUBSTITUTE(LEFT(TRIM(C250),FIND(" ",TRIM(C250)&amp;" ")-1),",","."))-1)/MID(SUBSTITUTE(LEFT(TRIM(C250),FIND(" ",TRIM(C250)&amp;" ")-1),",","."),FIND("/",SUBSTITUTE(LEFT(TRIM(C250),FIND(" ",TRIM(C250)&amp;" ")-1),",","."))+1,9))*12,NA()))),0),30)*'Aturan &amp; Tarif'!$B$4,2)</f>
        <v>1703.4</v>
      </c>
      <c r="K250" s="42" t="n">
        <f aca="false">'Aturan &amp; Tarif'!$B$5</f>
        <v>2050</v>
      </c>
      <c r="L250" s="42" t="n">
        <f aca="false">'Aturan &amp; Tarif'!$B$6</f>
        <v>350</v>
      </c>
      <c r="M250" s="35" t="n">
        <f aca="false">I250+J250+K250+L250</f>
        <v>7753.4</v>
      </c>
      <c r="N250" s="44" t="s">
        <v>131</v>
      </c>
    </row>
    <row r="251" customFormat="false" ht="32.25" hidden="false" customHeight="true" outlineLevel="0" collapsed="false">
      <c r="A251" s="39"/>
      <c r="B251" s="40" t="s">
        <v>2832</v>
      </c>
      <c r="C251" s="41" t="s">
        <v>107</v>
      </c>
      <c r="D251" s="41" t="s">
        <v>108</v>
      </c>
      <c r="E251" s="42" t="n">
        <v>2875</v>
      </c>
      <c r="F251" s="42" t="n">
        <v>200</v>
      </c>
      <c r="G251" s="42" t="n">
        <v>800</v>
      </c>
      <c r="H251" s="43" t="n">
        <v>1</v>
      </c>
      <c r="I251" s="34" t="n">
        <f aca="false">E251*H251+N(F251)+N(G251)</f>
        <v>3875</v>
      </c>
      <c r="J251" s="42" t="n">
        <f aca="false">ROUND(IFERROR(ROUND(IF(OR(ISNUMBER(SEARCH("week",C251)),ISNUMBER(SEARCH("minggu",C251))),IFERROR(_xlfn.NUMBERVALUE(SUBSTITUTE(LEFT(TRIM(C251),FIND(" ",TRIM(C251)&amp;" ")-1),",","."),"."),LEFT(SUBSTITUTE(LEFT(TRIM(C251),FIND(" ",TRIM(C251)&amp;" ")-1),",","."),FIND("/",SUBSTITUTE(LEFT(TRIM(C251),FIND(" ",TRIM(C251)&amp;" ")-1),",","."))-1)/MID(SUBSTITUTE(LEFT(TRIM(C251),FIND(" ",TRIM(C251)&amp;" ")-1),",","."),FIND("/",SUBSTITUTE(LEFT(TRIM(C251),FIND(" ",TRIM(C251)&amp;" ")-1),",","."))+1,9))*12/52,IF(ISNUMBER(SEARCH("month",C251)),IFERROR(_xlfn.NUMBERVALUE(SUBSTITUTE(LEFT(TRIM(C251),FIND(" ",TRIM(C251)&amp;" ")-1),",","."),"."),LEFT(SUBSTITUTE(LEFT(TRIM(C251),FIND(" ",TRIM(C251)&amp;" ")-1),",","."),FIND("/",SUBSTITUTE(LEFT(TRIM(C251),FIND(" ",TRIM(C251)&amp;" ")-1),",","."))-1)/MID(SUBSTITUTE(LEFT(TRIM(C251),FIND(" ",TRIM(C251)&amp;" ")-1),",","."),FIND("/",SUBSTITUTE(LEFT(TRIM(C251),FIND(" ",TRIM(C251)&amp;" ")-1),",","."))+1,9)),IF(ISNUMBER(SEARCH("yea",C251)),IFERROR(_xlfn.NUMBERVALUE(SUBSTITUTE(LEFT(TRIM(C251),FIND(" ",TRIM(C251)&amp;" ")-1),",","."),"."),LEFT(SUBSTITUTE(LEFT(TRIM(C251),FIND(" ",TRIM(C251)&amp;" ")-1),",","."),FIND("/",SUBSTITUTE(LEFT(TRIM(C251),FIND(" ",TRIM(C251)&amp;" ")-1),",","."))-1)/MID(SUBSTITUTE(LEFT(TRIM(C251),FIND(" ",TRIM(C251)&amp;" ")-1),",","."),FIND("/",SUBSTITUTE(LEFT(TRIM(C251),FIND(" ",TRIM(C251)&amp;" ")-1),",","."))+1,9))*12,NA()))),0),24)*'Aturan &amp; Tarif'!$B$4,2)</f>
        <v>1362.72</v>
      </c>
      <c r="K251" s="42" t="n">
        <f aca="false">'Aturan &amp; Tarif'!$B$5</f>
        <v>2050</v>
      </c>
      <c r="L251" s="42" t="n">
        <f aca="false">'Aturan &amp; Tarif'!$B$6</f>
        <v>350</v>
      </c>
      <c r="M251" s="35" t="n">
        <f aca="false">I251+J251+K251+L251</f>
        <v>7637.72</v>
      </c>
      <c r="N251" s="45" t="s">
        <v>134</v>
      </c>
    </row>
    <row r="252" customFormat="false" ht="25.5" hidden="false" customHeight="true" outlineLevel="0" collapsed="false">
      <c r="A252" s="39" t="s">
        <v>2833</v>
      </c>
      <c r="B252" s="40" t="s">
        <v>896</v>
      </c>
      <c r="C252" s="41" t="s">
        <v>130</v>
      </c>
      <c r="D252" s="41" t="s">
        <v>108</v>
      </c>
      <c r="E252" s="42" t="n">
        <v>3000</v>
      </c>
      <c r="F252" s="42" t="n">
        <v>0</v>
      </c>
      <c r="G252" s="42" t="n">
        <v>250</v>
      </c>
      <c r="H252" s="43" t="n">
        <v>1</v>
      </c>
      <c r="I252" s="34" t="n">
        <f aca="false">E252*H252+N(F252)+N(G252)</f>
        <v>3250</v>
      </c>
      <c r="J252" s="42" t="n">
        <f aca="false">ROUND(IFERROR(ROUND(IF(OR(ISNUMBER(SEARCH("week",C252)),ISNUMBER(SEARCH("minggu",C252))),IFERROR(_xlfn.NUMBERVALUE(SUBSTITUTE(LEFT(TRIM(C252),FIND(" ",TRIM(C252)&amp;" ")-1),",","."),"."),LEFT(SUBSTITUTE(LEFT(TRIM(C252),FIND(" ",TRIM(C252)&amp;" ")-1),",","."),FIND("/",SUBSTITUTE(LEFT(TRIM(C252),FIND(" ",TRIM(C252)&amp;" ")-1),",","."))-1)/MID(SUBSTITUTE(LEFT(TRIM(C252),FIND(" ",TRIM(C252)&amp;" ")-1),",","."),FIND("/",SUBSTITUTE(LEFT(TRIM(C252),FIND(" ",TRIM(C252)&amp;" ")-1),",","."))+1,9))*12/52,IF(ISNUMBER(SEARCH("month",C252)),IFERROR(_xlfn.NUMBERVALUE(SUBSTITUTE(LEFT(TRIM(C252),FIND(" ",TRIM(C252)&amp;" ")-1),",","."),"."),LEFT(SUBSTITUTE(LEFT(TRIM(C252),FIND(" ",TRIM(C252)&amp;" ")-1),",","."),FIND("/",SUBSTITUTE(LEFT(TRIM(C252),FIND(" ",TRIM(C252)&amp;" ")-1),",","."))-1)/MID(SUBSTITUTE(LEFT(TRIM(C252),FIND(" ",TRIM(C252)&amp;" ")-1),",","."),FIND("/",SUBSTITUTE(LEFT(TRIM(C252),FIND(" ",TRIM(C252)&amp;" ")-1),",","."))+1,9)),IF(ISNUMBER(SEARCH("yea",C252)),IFERROR(_xlfn.NUMBERVALUE(SUBSTITUTE(LEFT(TRIM(C252),FIND(" ",TRIM(C252)&amp;" ")-1),",","."),"."),LEFT(SUBSTITUTE(LEFT(TRIM(C252),FIND(" ",TRIM(C252)&amp;" ")-1),",","."),FIND("/",SUBSTITUTE(LEFT(TRIM(C252),FIND(" ",TRIM(C252)&amp;" ")-1),",","."))-1)/MID(SUBSTITUTE(LEFT(TRIM(C252),FIND(" ",TRIM(C252)&amp;" ")-1),",","."),FIND("/",SUBSTITUTE(LEFT(TRIM(C252),FIND(" ",TRIM(C252)&amp;" ")-1),",","."))+1,9))*12,NA()))),0),12)*'Aturan &amp; Tarif'!$B$4,2)</f>
        <v>681.36</v>
      </c>
      <c r="K252" s="42" t="n">
        <f aca="false">'Aturan &amp; Tarif'!$B$5</f>
        <v>2050</v>
      </c>
      <c r="L252" s="42" t="n">
        <f aca="false">'Aturan &amp; Tarif'!$B$6</f>
        <v>350</v>
      </c>
      <c r="M252" s="35" t="n">
        <f aca="false">I252+J252+K252+L252</f>
        <v>6331.36</v>
      </c>
      <c r="N252" s="45" t="s">
        <v>2834</v>
      </c>
    </row>
    <row r="253" customFormat="false" ht="25.5" hidden="false" customHeight="true" outlineLevel="0" collapsed="false">
      <c r="A253" s="39"/>
      <c r="B253" s="40" t="s">
        <v>898</v>
      </c>
      <c r="C253" s="41" t="s">
        <v>107</v>
      </c>
      <c r="D253" s="41" t="s">
        <v>108</v>
      </c>
      <c r="E253" s="42" t="n">
        <v>1500</v>
      </c>
      <c r="F253" s="42" t="n">
        <v>0</v>
      </c>
      <c r="G253" s="42" t="n">
        <v>250</v>
      </c>
      <c r="H253" s="43" t="n">
        <v>1</v>
      </c>
      <c r="I253" s="34" t="n">
        <f aca="false">E253*H253+N(F253)+N(G253)</f>
        <v>1750</v>
      </c>
      <c r="J253" s="42" t="n">
        <f aca="false">ROUND(IFERROR(ROUND(IF(OR(ISNUMBER(SEARCH("week",C253)),ISNUMBER(SEARCH("minggu",C253))),IFERROR(_xlfn.NUMBERVALUE(SUBSTITUTE(LEFT(TRIM(C253),FIND(" ",TRIM(C253)&amp;" ")-1),",","."),"."),LEFT(SUBSTITUTE(LEFT(TRIM(C253),FIND(" ",TRIM(C253)&amp;" ")-1),",","."),FIND("/",SUBSTITUTE(LEFT(TRIM(C253),FIND(" ",TRIM(C253)&amp;" ")-1),",","."))-1)/MID(SUBSTITUTE(LEFT(TRIM(C253),FIND(" ",TRIM(C253)&amp;" ")-1),",","."),FIND("/",SUBSTITUTE(LEFT(TRIM(C253),FIND(" ",TRIM(C253)&amp;" ")-1),",","."))+1,9))*12/52,IF(ISNUMBER(SEARCH("month",C253)),IFERROR(_xlfn.NUMBERVALUE(SUBSTITUTE(LEFT(TRIM(C253),FIND(" ",TRIM(C253)&amp;" ")-1),",","."),"."),LEFT(SUBSTITUTE(LEFT(TRIM(C253),FIND(" ",TRIM(C253)&amp;" ")-1),",","."),FIND("/",SUBSTITUTE(LEFT(TRIM(C253),FIND(" ",TRIM(C253)&amp;" ")-1),",","."))-1)/MID(SUBSTITUTE(LEFT(TRIM(C253),FIND(" ",TRIM(C253)&amp;" ")-1),",","."),FIND("/",SUBSTITUTE(LEFT(TRIM(C253),FIND(" ",TRIM(C253)&amp;" ")-1),",","."))+1,9)),IF(ISNUMBER(SEARCH("yea",C253)),IFERROR(_xlfn.NUMBERVALUE(SUBSTITUTE(LEFT(TRIM(C253),FIND(" ",TRIM(C253)&amp;" ")-1),",","."),"."),LEFT(SUBSTITUTE(LEFT(TRIM(C253),FIND(" ",TRIM(C253)&amp;" ")-1),",","."),FIND("/",SUBSTITUTE(LEFT(TRIM(C253),FIND(" ",TRIM(C253)&amp;" ")-1),",","."))-1)/MID(SUBSTITUTE(LEFT(TRIM(C253),FIND(" ",TRIM(C253)&amp;" ")-1),",","."),FIND("/",SUBSTITUTE(LEFT(TRIM(C253),FIND(" ",TRIM(C253)&amp;" ")-1),",","."))+1,9))*12,NA()))),0),24)*'Aturan &amp; Tarif'!$B$4,2)</f>
        <v>1362.72</v>
      </c>
      <c r="K253" s="42" t="n">
        <f aca="false">'Aturan &amp; Tarif'!$B$5</f>
        <v>2050</v>
      </c>
      <c r="L253" s="42" t="n">
        <f aca="false">'Aturan &amp; Tarif'!$B$6</f>
        <v>350</v>
      </c>
      <c r="M253" s="35" t="n">
        <f aca="false">I253+J253+K253+L253</f>
        <v>5512.72</v>
      </c>
      <c r="N253" s="45" t="s">
        <v>899</v>
      </c>
    </row>
    <row r="254" customFormat="false" ht="25.5" hidden="false" customHeight="true" outlineLevel="0" collapsed="false">
      <c r="A254" s="39"/>
      <c r="B254" s="40" t="s">
        <v>900</v>
      </c>
      <c r="C254" s="41" t="s">
        <v>127</v>
      </c>
      <c r="D254" s="41" t="s">
        <v>108</v>
      </c>
      <c r="E254" s="42" t="n">
        <v>1500</v>
      </c>
      <c r="F254" s="42" t="n">
        <v>0</v>
      </c>
      <c r="G254" s="42" t="n">
        <v>250</v>
      </c>
      <c r="H254" s="43" t="n">
        <v>1</v>
      </c>
      <c r="I254" s="34" t="n">
        <f aca="false">E254*H254+N(F254)+N(G254)</f>
        <v>1750</v>
      </c>
      <c r="J254" s="42" t="n">
        <f aca="false">ROUND(IFERROR(ROUND(IF(OR(ISNUMBER(SEARCH("week",C254)),ISNUMBER(SEARCH("minggu",C254))),IFERROR(_xlfn.NUMBERVALUE(SUBSTITUTE(LEFT(TRIM(C254),FIND(" ",TRIM(C254)&amp;" ")-1),",","."),"."),LEFT(SUBSTITUTE(LEFT(TRIM(C254),FIND(" ",TRIM(C254)&amp;" ")-1),",","."),FIND("/",SUBSTITUTE(LEFT(TRIM(C254),FIND(" ",TRIM(C254)&amp;" ")-1),",","."))-1)/MID(SUBSTITUTE(LEFT(TRIM(C254),FIND(" ",TRIM(C254)&amp;" ")-1),",","."),FIND("/",SUBSTITUTE(LEFT(TRIM(C254),FIND(" ",TRIM(C254)&amp;" ")-1),",","."))+1,9))*12/52,IF(ISNUMBER(SEARCH("month",C254)),IFERROR(_xlfn.NUMBERVALUE(SUBSTITUTE(LEFT(TRIM(C254),FIND(" ",TRIM(C254)&amp;" ")-1),",","."),"."),LEFT(SUBSTITUTE(LEFT(TRIM(C254),FIND(" ",TRIM(C254)&amp;" ")-1),",","."),FIND("/",SUBSTITUTE(LEFT(TRIM(C254),FIND(" ",TRIM(C254)&amp;" ")-1),",","."))-1)/MID(SUBSTITUTE(LEFT(TRIM(C254),FIND(" ",TRIM(C254)&amp;" ")-1),",","."),FIND("/",SUBSTITUTE(LEFT(TRIM(C254),FIND(" ",TRIM(C254)&amp;" ")-1),",","."))+1,9)),IF(ISNUMBER(SEARCH("yea",C254)),IFERROR(_xlfn.NUMBERVALUE(SUBSTITUTE(LEFT(TRIM(C254),FIND(" ",TRIM(C254)&amp;" ")-1),",","."),"."),LEFT(SUBSTITUTE(LEFT(TRIM(C254),FIND(" ",TRIM(C254)&amp;" ")-1),",","."),FIND("/",SUBSTITUTE(LEFT(TRIM(C254),FIND(" ",TRIM(C254)&amp;" ")-1),",","."))-1)/MID(SUBSTITUTE(LEFT(TRIM(C254),FIND(" ",TRIM(C254)&amp;" ")-1),",","."),FIND("/",SUBSTITUTE(LEFT(TRIM(C254),FIND(" ",TRIM(C254)&amp;" ")-1),",","."))+1,9))*12,NA()))),0),36)*'Aturan &amp; Tarif'!$B$4,2)</f>
        <v>2044.08</v>
      </c>
      <c r="K254" s="42" t="n">
        <f aca="false">'Aturan &amp; Tarif'!$B$5</f>
        <v>2050</v>
      </c>
      <c r="L254" s="42" t="n">
        <f aca="false">'Aturan &amp; Tarif'!$B$6</f>
        <v>350</v>
      </c>
      <c r="M254" s="35" t="n">
        <f aca="false">I254+J254+K254+L254</f>
        <v>6194.08</v>
      </c>
      <c r="N254" s="45" t="s">
        <v>899</v>
      </c>
    </row>
    <row r="255" customFormat="false" ht="25.5" hidden="false" customHeight="true" outlineLevel="0" collapsed="false">
      <c r="A255" s="39"/>
      <c r="B255" s="40" t="s">
        <v>430</v>
      </c>
      <c r="C255" s="41" t="s">
        <v>127</v>
      </c>
      <c r="D255" s="41" t="s">
        <v>108</v>
      </c>
      <c r="E255" s="42" t="n">
        <v>1700</v>
      </c>
      <c r="F255" s="42" t="n">
        <v>0</v>
      </c>
      <c r="G255" s="42" t="n">
        <v>250</v>
      </c>
      <c r="H255" s="43" t="n">
        <v>1</v>
      </c>
      <c r="I255" s="34" t="n">
        <f aca="false">E255*H255+N(F255)+N(G255)</f>
        <v>1950</v>
      </c>
      <c r="J255" s="42" t="n">
        <f aca="false">ROUND(IFERROR(ROUND(IF(OR(ISNUMBER(SEARCH("week",C255)),ISNUMBER(SEARCH("minggu",C255))),IFERROR(_xlfn.NUMBERVALUE(SUBSTITUTE(LEFT(TRIM(C255),FIND(" ",TRIM(C255)&amp;" ")-1),",","."),"."),LEFT(SUBSTITUTE(LEFT(TRIM(C255),FIND(" ",TRIM(C255)&amp;" ")-1),",","."),FIND("/",SUBSTITUTE(LEFT(TRIM(C255),FIND(" ",TRIM(C255)&amp;" ")-1),",","."))-1)/MID(SUBSTITUTE(LEFT(TRIM(C255),FIND(" ",TRIM(C255)&amp;" ")-1),",","."),FIND("/",SUBSTITUTE(LEFT(TRIM(C255),FIND(" ",TRIM(C255)&amp;" ")-1),",","."))+1,9))*12/52,IF(ISNUMBER(SEARCH("month",C255)),IFERROR(_xlfn.NUMBERVALUE(SUBSTITUTE(LEFT(TRIM(C255),FIND(" ",TRIM(C255)&amp;" ")-1),",","."),"."),LEFT(SUBSTITUTE(LEFT(TRIM(C255),FIND(" ",TRIM(C255)&amp;" ")-1),",","."),FIND("/",SUBSTITUTE(LEFT(TRIM(C255),FIND(" ",TRIM(C255)&amp;" ")-1),",","."))-1)/MID(SUBSTITUTE(LEFT(TRIM(C255),FIND(" ",TRIM(C255)&amp;" ")-1),",","."),FIND("/",SUBSTITUTE(LEFT(TRIM(C255),FIND(" ",TRIM(C255)&amp;" ")-1),",","."))+1,9)),IF(ISNUMBER(SEARCH("yea",C255)),IFERROR(_xlfn.NUMBERVALUE(SUBSTITUTE(LEFT(TRIM(C255),FIND(" ",TRIM(C255)&amp;" ")-1),",","."),"."),LEFT(SUBSTITUTE(LEFT(TRIM(C255),FIND(" ",TRIM(C255)&amp;" ")-1),",","."),FIND("/",SUBSTITUTE(LEFT(TRIM(C255),FIND(" ",TRIM(C255)&amp;" ")-1),",","."))-1)/MID(SUBSTITUTE(LEFT(TRIM(C255),FIND(" ",TRIM(C255)&amp;" ")-1),",","."),FIND("/",SUBSTITUTE(LEFT(TRIM(C255),FIND(" ",TRIM(C255)&amp;" ")-1),",","."))+1,9))*12,NA()))),0),36)*'Aturan &amp; Tarif'!$B$4,2)</f>
        <v>2044.08</v>
      </c>
      <c r="K255" s="42" t="n">
        <f aca="false">'Aturan &amp; Tarif'!$B$5</f>
        <v>2050</v>
      </c>
      <c r="L255" s="42" t="n">
        <f aca="false">'Aturan &amp; Tarif'!$B$6</f>
        <v>350</v>
      </c>
      <c r="M255" s="35" t="n">
        <f aca="false">I255+J255+K255+L255</f>
        <v>6394.08</v>
      </c>
      <c r="N255" s="45" t="s">
        <v>899</v>
      </c>
    </row>
    <row r="256" customFormat="false" ht="60" hidden="false" customHeight="true" outlineLevel="0" collapsed="false">
      <c r="A256" s="39"/>
      <c r="B256" s="40" t="s">
        <v>465</v>
      </c>
      <c r="C256" s="41" t="s">
        <v>107</v>
      </c>
      <c r="D256" s="41" t="s">
        <v>108</v>
      </c>
      <c r="E256" s="42" t="n">
        <v>1500</v>
      </c>
      <c r="F256" s="42" t="n">
        <v>0</v>
      </c>
      <c r="G256" s="42" t="n">
        <v>250</v>
      </c>
      <c r="H256" s="43" t="n">
        <v>1</v>
      </c>
      <c r="I256" s="34" t="n">
        <f aca="false">E256*H256+N(F256)+N(G256)</f>
        <v>1750</v>
      </c>
      <c r="J256" s="42" t="n">
        <f aca="false">ROUND(IFERROR(ROUND(IF(OR(ISNUMBER(SEARCH("week",C256)),ISNUMBER(SEARCH("minggu",C256))),IFERROR(_xlfn.NUMBERVALUE(SUBSTITUTE(LEFT(TRIM(C256),FIND(" ",TRIM(C256)&amp;" ")-1),",","."),"."),LEFT(SUBSTITUTE(LEFT(TRIM(C256),FIND(" ",TRIM(C256)&amp;" ")-1),",","."),FIND("/",SUBSTITUTE(LEFT(TRIM(C256),FIND(" ",TRIM(C256)&amp;" ")-1),",","."))-1)/MID(SUBSTITUTE(LEFT(TRIM(C256),FIND(" ",TRIM(C256)&amp;" ")-1),",","."),FIND("/",SUBSTITUTE(LEFT(TRIM(C256),FIND(" ",TRIM(C256)&amp;" ")-1),",","."))+1,9))*12/52,IF(ISNUMBER(SEARCH("month",C256)),IFERROR(_xlfn.NUMBERVALUE(SUBSTITUTE(LEFT(TRIM(C256),FIND(" ",TRIM(C256)&amp;" ")-1),",","."),"."),LEFT(SUBSTITUTE(LEFT(TRIM(C256),FIND(" ",TRIM(C256)&amp;" ")-1),",","."),FIND("/",SUBSTITUTE(LEFT(TRIM(C256),FIND(" ",TRIM(C256)&amp;" ")-1),",","."))-1)/MID(SUBSTITUTE(LEFT(TRIM(C256),FIND(" ",TRIM(C256)&amp;" ")-1),",","."),FIND("/",SUBSTITUTE(LEFT(TRIM(C256),FIND(" ",TRIM(C256)&amp;" ")-1),",","."))+1,9)),IF(ISNUMBER(SEARCH("yea",C256)),IFERROR(_xlfn.NUMBERVALUE(SUBSTITUTE(LEFT(TRIM(C256),FIND(" ",TRIM(C256)&amp;" ")-1),",","."),"."),LEFT(SUBSTITUTE(LEFT(TRIM(C256),FIND(" ",TRIM(C256)&amp;" ")-1),",","."),FIND("/",SUBSTITUTE(LEFT(TRIM(C256),FIND(" ",TRIM(C256)&amp;" ")-1),",","."))-1)/MID(SUBSTITUTE(LEFT(TRIM(C256),FIND(" ",TRIM(C256)&amp;" ")-1),",","."),FIND("/",SUBSTITUTE(LEFT(TRIM(C256),FIND(" ",TRIM(C256)&amp;" ")-1),",","."))+1,9))*12,NA()))),0),24)*'Aturan &amp; Tarif'!$B$4,2)</f>
        <v>1362.72</v>
      </c>
      <c r="K256" s="42" t="n">
        <f aca="false">'Aturan &amp; Tarif'!$B$5</f>
        <v>2050</v>
      </c>
      <c r="L256" s="42" t="n">
        <f aca="false">'Aturan &amp; Tarif'!$B$6</f>
        <v>350</v>
      </c>
      <c r="M256" s="35" t="n">
        <f aca="false">I256+J256+K256+L256</f>
        <v>5512.72</v>
      </c>
      <c r="N256" s="45" t="s">
        <v>899</v>
      </c>
    </row>
    <row r="257" customFormat="false" ht="14.25" hidden="false" customHeight="true" outlineLevel="0" collapsed="false">
      <c r="A257" s="29" t="s">
        <v>2835</v>
      </c>
      <c r="B257" s="30" t="s">
        <v>471</v>
      </c>
      <c r="C257" s="31" t="s">
        <v>113</v>
      </c>
      <c r="D257" s="31" t="s">
        <v>108</v>
      </c>
      <c r="E257" s="32" t="n">
        <v>2167</v>
      </c>
      <c r="F257" s="32" t="n">
        <v>2000</v>
      </c>
      <c r="G257" s="32" t="n">
        <v>250</v>
      </c>
      <c r="H257" s="33" t="n">
        <v>1</v>
      </c>
      <c r="I257" s="34" t="n">
        <f aca="false">E257*H257+N(F257)+N(G257)</f>
        <v>4417</v>
      </c>
      <c r="J257" s="32" t="n">
        <f aca="false">ROUND(IFERROR(ROUND(IF(OR(ISNUMBER(SEARCH("week",C257)),ISNUMBER(SEARCH("minggu",C257))),IFERROR(_xlfn.NUMBERVALUE(SUBSTITUTE(LEFT(TRIM(C257),FIND(" ",TRIM(C257)&amp;" ")-1),",","."),"."),LEFT(SUBSTITUTE(LEFT(TRIM(C257),FIND(" ",TRIM(C257)&amp;" ")-1),",","."),FIND("/",SUBSTITUTE(LEFT(TRIM(C257),FIND(" ",TRIM(C257)&amp;" ")-1),",","."))-1)/MID(SUBSTITUTE(LEFT(TRIM(C257),FIND(" ",TRIM(C257)&amp;" ")-1),",","."),FIND("/",SUBSTITUTE(LEFT(TRIM(C257),FIND(" ",TRIM(C257)&amp;" ")-1),",","."))+1,9))*12/52,IF(ISNUMBER(SEARCH("month",C257)),IFERROR(_xlfn.NUMBERVALUE(SUBSTITUTE(LEFT(TRIM(C257),FIND(" ",TRIM(C257)&amp;" ")-1),",","."),"."),LEFT(SUBSTITUTE(LEFT(TRIM(C257),FIND(" ",TRIM(C257)&amp;" ")-1),",","."),FIND("/",SUBSTITUTE(LEFT(TRIM(C257),FIND(" ",TRIM(C257)&amp;" ")-1),",","."))-1)/MID(SUBSTITUTE(LEFT(TRIM(C257),FIND(" ",TRIM(C257)&amp;" ")-1),",","."),FIND("/",SUBSTITUTE(LEFT(TRIM(C257),FIND(" ",TRIM(C257)&amp;" ")-1),",","."))+1,9)),IF(ISNUMBER(SEARCH("yea",C257)),IFERROR(_xlfn.NUMBERVALUE(SUBSTITUTE(LEFT(TRIM(C257),FIND(" ",TRIM(C257)&amp;" ")-1),",","."),"."),LEFT(SUBSTITUTE(LEFT(TRIM(C257),FIND(" ",TRIM(C257)&amp;" ")-1),",","."),FIND("/",SUBSTITUTE(LEFT(TRIM(C257),FIND(" ",TRIM(C257)&amp;" ")-1),",","."))-1)/MID(SUBSTITUTE(LEFT(TRIM(C257),FIND(" ",TRIM(C257)&amp;" ")-1),",","."),FIND("/",SUBSTITUTE(LEFT(TRIM(C257),FIND(" ",TRIM(C257)&amp;" ")-1),",","."))+1,9))*12,NA()))),0),18)*'Aturan &amp; Tarif'!$B$4,2)</f>
        <v>1022.04</v>
      </c>
      <c r="K257" s="32" t="n">
        <f aca="false">'Aturan &amp; Tarif'!$B$5</f>
        <v>2050</v>
      </c>
      <c r="L257" s="32" t="n">
        <f aca="false">'Aturan &amp; Tarif'!$B$6</f>
        <v>350</v>
      </c>
      <c r="M257" s="35" t="n">
        <f aca="false">I257+J257+K257+L257</f>
        <v>7839.04</v>
      </c>
      <c r="N257" s="37" t="s">
        <v>134</v>
      </c>
    </row>
    <row r="258" customFormat="false" ht="25.5" hidden="false" customHeight="true" outlineLevel="0" collapsed="false">
      <c r="A258" s="29"/>
      <c r="B258" s="30" t="s">
        <v>673</v>
      </c>
      <c r="C258" s="31" t="s">
        <v>113</v>
      </c>
      <c r="D258" s="31" t="s">
        <v>108</v>
      </c>
      <c r="E258" s="32" t="n">
        <v>2083</v>
      </c>
      <c r="F258" s="32" t="n">
        <v>2000</v>
      </c>
      <c r="G258" s="32" t="n">
        <v>250</v>
      </c>
      <c r="H258" s="33" t="n">
        <v>1</v>
      </c>
      <c r="I258" s="34" t="n">
        <f aca="false">E258*H258+N(F258)+N(G258)</f>
        <v>4333</v>
      </c>
      <c r="J258" s="32" t="n">
        <f aca="false">ROUND(IFERROR(ROUND(IF(OR(ISNUMBER(SEARCH("week",C258)),ISNUMBER(SEARCH("minggu",C258))),IFERROR(_xlfn.NUMBERVALUE(SUBSTITUTE(LEFT(TRIM(C258),FIND(" ",TRIM(C258)&amp;" ")-1),",","."),"."),LEFT(SUBSTITUTE(LEFT(TRIM(C258),FIND(" ",TRIM(C258)&amp;" ")-1),",","."),FIND("/",SUBSTITUTE(LEFT(TRIM(C258),FIND(" ",TRIM(C258)&amp;" ")-1),",","."))-1)/MID(SUBSTITUTE(LEFT(TRIM(C258),FIND(" ",TRIM(C258)&amp;" ")-1),",","."),FIND("/",SUBSTITUTE(LEFT(TRIM(C258),FIND(" ",TRIM(C258)&amp;" ")-1),",","."))+1,9))*12/52,IF(ISNUMBER(SEARCH("month",C258)),IFERROR(_xlfn.NUMBERVALUE(SUBSTITUTE(LEFT(TRIM(C258),FIND(" ",TRIM(C258)&amp;" ")-1),",","."),"."),LEFT(SUBSTITUTE(LEFT(TRIM(C258),FIND(" ",TRIM(C258)&amp;" ")-1),",","."),FIND("/",SUBSTITUTE(LEFT(TRIM(C258),FIND(" ",TRIM(C258)&amp;" ")-1),",","."))-1)/MID(SUBSTITUTE(LEFT(TRIM(C258),FIND(" ",TRIM(C258)&amp;" ")-1),",","."),FIND("/",SUBSTITUTE(LEFT(TRIM(C258),FIND(" ",TRIM(C258)&amp;" ")-1),",","."))+1,9)),IF(ISNUMBER(SEARCH("yea",C258)),IFERROR(_xlfn.NUMBERVALUE(SUBSTITUTE(LEFT(TRIM(C258),FIND(" ",TRIM(C258)&amp;" ")-1),",","."),"."),LEFT(SUBSTITUTE(LEFT(TRIM(C258),FIND(" ",TRIM(C258)&amp;" ")-1),",","."),FIND("/",SUBSTITUTE(LEFT(TRIM(C258),FIND(" ",TRIM(C258)&amp;" ")-1),",","."))-1)/MID(SUBSTITUTE(LEFT(TRIM(C258),FIND(" ",TRIM(C258)&amp;" ")-1),",","."),FIND("/",SUBSTITUTE(LEFT(TRIM(C258),FIND(" ",TRIM(C258)&amp;" ")-1),",","."))+1,9))*12,NA()))),0),18)*'Aturan &amp; Tarif'!$B$4,2)</f>
        <v>1022.04</v>
      </c>
      <c r="K258" s="32" t="n">
        <f aca="false">'Aturan &amp; Tarif'!$B$5</f>
        <v>2050</v>
      </c>
      <c r="L258" s="32" t="n">
        <f aca="false">'Aturan &amp; Tarif'!$B$6</f>
        <v>350</v>
      </c>
      <c r="M258" s="35" t="n">
        <f aca="false">I258+J258+K258+L258</f>
        <v>7755.04</v>
      </c>
      <c r="N258" s="37" t="s">
        <v>134</v>
      </c>
    </row>
    <row r="259" customFormat="false" ht="37.5" hidden="false" customHeight="true" outlineLevel="0" collapsed="false">
      <c r="A259" s="29"/>
      <c r="B259" s="30" t="s">
        <v>677</v>
      </c>
      <c r="C259" s="31" t="s">
        <v>138</v>
      </c>
      <c r="D259" s="31" t="s">
        <v>108</v>
      </c>
      <c r="E259" s="32" t="n">
        <v>2167</v>
      </c>
      <c r="F259" s="32" t="n">
        <v>2000</v>
      </c>
      <c r="G259" s="32" t="n">
        <v>250</v>
      </c>
      <c r="H259" s="33" t="n">
        <v>1</v>
      </c>
      <c r="I259" s="34" t="n">
        <f aca="false">E259*H259+N(F259)+N(G259)</f>
        <v>4417</v>
      </c>
      <c r="J259" s="32" t="n">
        <f aca="false">ROUND(IFERROR(ROUND(IF(OR(ISNUMBER(SEARCH("week",C259)),ISNUMBER(SEARCH("minggu",C259))),IFERROR(_xlfn.NUMBERVALUE(SUBSTITUTE(LEFT(TRIM(C259),FIND(" ",TRIM(C259)&amp;" ")-1),",","."),"."),LEFT(SUBSTITUTE(LEFT(TRIM(C259),FIND(" ",TRIM(C259)&amp;" ")-1),",","."),FIND("/",SUBSTITUTE(LEFT(TRIM(C259),FIND(" ",TRIM(C259)&amp;" ")-1),",","."))-1)/MID(SUBSTITUTE(LEFT(TRIM(C259),FIND(" ",TRIM(C259)&amp;" ")-1),",","."),FIND("/",SUBSTITUTE(LEFT(TRIM(C259),FIND(" ",TRIM(C259)&amp;" ")-1),",","."))+1,9))*12/52,IF(ISNUMBER(SEARCH("month",C259)),IFERROR(_xlfn.NUMBERVALUE(SUBSTITUTE(LEFT(TRIM(C259),FIND(" ",TRIM(C259)&amp;" ")-1),",","."),"."),LEFT(SUBSTITUTE(LEFT(TRIM(C259),FIND(" ",TRIM(C259)&amp;" ")-1),",","."),FIND("/",SUBSTITUTE(LEFT(TRIM(C259),FIND(" ",TRIM(C259)&amp;" ")-1),",","."))-1)/MID(SUBSTITUTE(LEFT(TRIM(C259),FIND(" ",TRIM(C259)&amp;" ")-1),",","."),FIND("/",SUBSTITUTE(LEFT(TRIM(C259),FIND(" ",TRIM(C259)&amp;" ")-1),",","."))+1,9)),IF(ISNUMBER(SEARCH("yea",C259)),IFERROR(_xlfn.NUMBERVALUE(SUBSTITUTE(LEFT(TRIM(C259),FIND(" ",TRIM(C259)&amp;" ")-1),",","."),"."),LEFT(SUBSTITUTE(LEFT(TRIM(C259),FIND(" ",TRIM(C259)&amp;" ")-1),",","."),FIND("/",SUBSTITUTE(LEFT(TRIM(C259),FIND(" ",TRIM(C259)&amp;" ")-1),",","."))-1)/MID(SUBSTITUTE(LEFT(TRIM(C259),FIND(" ",TRIM(C259)&amp;" ")-1),",","."),FIND("/",SUBSTITUTE(LEFT(TRIM(C259),FIND(" ",TRIM(C259)&amp;" ")-1),",","."))+1,9))*12,NA()))),0),30)*'Aturan &amp; Tarif'!$B$4,2)</f>
        <v>1703.4</v>
      </c>
      <c r="K259" s="32" t="n">
        <f aca="false">'Aturan &amp; Tarif'!$B$5</f>
        <v>2050</v>
      </c>
      <c r="L259" s="32" t="n">
        <f aca="false">'Aturan &amp; Tarif'!$B$6</f>
        <v>350</v>
      </c>
      <c r="M259" s="35" t="n">
        <f aca="false">I259+J259+K259+L259</f>
        <v>8520.4</v>
      </c>
      <c r="N259" s="36" t="s">
        <v>131</v>
      </c>
    </row>
    <row r="260" customFormat="false" ht="37.5" hidden="false" customHeight="true" outlineLevel="0" collapsed="false">
      <c r="A260" s="29"/>
      <c r="B260" s="30" t="s">
        <v>678</v>
      </c>
      <c r="C260" s="31" t="s">
        <v>138</v>
      </c>
      <c r="D260" s="31" t="s">
        <v>108</v>
      </c>
      <c r="E260" s="32" t="n">
        <v>2083</v>
      </c>
      <c r="F260" s="32" t="n">
        <v>2000</v>
      </c>
      <c r="G260" s="32" t="n">
        <v>250</v>
      </c>
      <c r="H260" s="33" t="n">
        <v>1</v>
      </c>
      <c r="I260" s="34" t="n">
        <f aca="false">E260*H260+N(F260)+N(G260)</f>
        <v>4333</v>
      </c>
      <c r="J260" s="32" t="n">
        <f aca="false">ROUND(IFERROR(ROUND(IF(OR(ISNUMBER(SEARCH("week",C260)),ISNUMBER(SEARCH("minggu",C260))),IFERROR(_xlfn.NUMBERVALUE(SUBSTITUTE(LEFT(TRIM(C260),FIND(" ",TRIM(C260)&amp;" ")-1),",","."),"."),LEFT(SUBSTITUTE(LEFT(TRIM(C260),FIND(" ",TRIM(C260)&amp;" ")-1),",","."),FIND("/",SUBSTITUTE(LEFT(TRIM(C260),FIND(" ",TRIM(C260)&amp;" ")-1),",","."))-1)/MID(SUBSTITUTE(LEFT(TRIM(C260),FIND(" ",TRIM(C260)&amp;" ")-1),",","."),FIND("/",SUBSTITUTE(LEFT(TRIM(C260),FIND(" ",TRIM(C260)&amp;" ")-1),",","."))+1,9))*12/52,IF(ISNUMBER(SEARCH("month",C260)),IFERROR(_xlfn.NUMBERVALUE(SUBSTITUTE(LEFT(TRIM(C260),FIND(" ",TRIM(C260)&amp;" ")-1),",","."),"."),LEFT(SUBSTITUTE(LEFT(TRIM(C260),FIND(" ",TRIM(C260)&amp;" ")-1),",","."),FIND("/",SUBSTITUTE(LEFT(TRIM(C260),FIND(" ",TRIM(C260)&amp;" ")-1),",","."))-1)/MID(SUBSTITUTE(LEFT(TRIM(C260),FIND(" ",TRIM(C260)&amp;" ")-1),",","."),FIND("/",SUBSTITUTE(LEFT(TRIM(C260),FIND(" ",TRIM(C260)&amp;" ")-1),",","."))+1,9)),IF(ISNUMBER(SEARCH("yea",C260)),IFERROR(_xlfn.NUMBERVALUE(SUBSTITUTE(LEFT(TRIM(C260),FIND(" ",TRIM(C260)&amp;" ")-1),",","."),"."),LEFT(SUBSTITUTE(LEFT(TRIM(C260),FIND(" ",TRIM(C260)&amp;" ")-1),",","."),FIND("/",SUBSTITUTE(LEFT(TRIM(C260),FIND(" ",TRIM(C260)&amp;" ")-1),",","."))-1)/MID(SUBSTITUTE(LEFT(TRIM(C260),FIND(" ",TRIM(C260)&amp;" ")-1),",","."),FIND("/",SUBSTITUTE(LEFT(TRIM(C260),FIND(" ",TRIM(C260)&amp;" ")-1),",","."))+1,9))*12,NA()))),0),30)*'Aturan &amp; Tarif'!$B$4,2)</f>
        <v>1703.4</v>
      </c>
      <c r="K260" s="32" t="n">
        <f aca="false">'Aturan &amp; Tarif'!$B$5</f>
        <v>2050</v>
      </c>
      <c r="L260" s="32" t="n">
        <f aca="false">'Aturan &amp; Tarif'!$B$6</f>
        <v>350</v>
      </c>
      <c r="M260" s="35" t="n">
        <f aca="false">I260+J260+K260+L260</f>
        <v>8436.4</v>
      </c>
      <c r="N260" s="36" t="s">
        <v>131</v>
      </c>
    </row>
    <row r="261" customFormat="false" ht="37.5" hidden="false" customHeight="true" outlineLevel="0" collapsed="false">
      <c r="A261" s="29"/>
      <c r="B261" s="30" t="s">
        <v>679</v>
      </c>
      <c r="C261" s="31" t="s">
        <v>138</v>
      </c>
      <c r="D261" s="31" t="s">
        <v>108</v>
      </c>
      <c r="E261" s="32" t="n">
        <v>2167</v>
      </c>
      <c r="F261" s="32" t="n">
        <v>2000</v>
      </c>
      <c r="G261" s="32" t="n">
        <v>250</v>
      </c>
      <c r="H261" s="33" t="n">
        <v>1</v>
      </c>
      <c r="I261" s="34" t="n">
        <f aca="false">E261*H261+N(F261)+N(G261)</f>
        <v>4417</v>
      </c>
      <c r="J261" s="32" t="n">
        <f aca="false">ROUND(IFERROR(ROUND(IF(OR(ISNUMBER(SEARCH("week",C261)),ISNUMBER(SEARCH("minggu",C261))),IFERROR(_xlfn.NUMBERVALUE(SUBSTITUTE(LEFT(TRIM(C261),FIND(" ",TRIM(C261)&amp;" ")-1),",","."),"."),LEFT(SUBSTITUTE(LEFT(TRIM(C261),FIND(" ",TRIM(C261)&amp;" ")-1),",","."),FIND("/",SUBSTITUTE(LEFT(TRIM(C261),FIND(" ",TRIM(C261)&amp;" ")-1),",","."))-1)/MID(SUBSTITUTE(LEFT(TRIM(C261),FIND(" ",TRIM(C261)&amp;" ")-1),",","."),FIND("/",SUBSTITUTE(LEFT(TRIM(C261),FIND(" ",TRIM(C261)&amp;" ")-1),",","."))+1,9))*12/52,IF(ISNUMBER(SEARCH("month",C261)),IFERROR(_xlfn.NUMBERVALUE(SUBSTITUTE(LEFT(TRIM(C261),FIND(" ",TRIM(C261)&amp;" ")-1),",","."),"."),LEFT(SUBSTITUTE(LEFT(TRIM(C261),FIND(" ",TRIM(C261)&amp;" ")-1),",","."),FIND("/",SUBSTITUTE(LEFT(TRIM(C261),FIND(" ",TRIM(C261)&amp;" ")-1),",","."))-1)/MID(SUBSTITUTE(LEFT(TRIM(C261),FIND(" ",TRIM(C261)&amp;" ")-1),",","."),FIND("/",SUBSTITUTE(LEFT(TRIM(C261),FIND(" ",TRIM(C261)&amp;" ")-1),",","."))+1,9)),IF(ISNUMBER(SEARCH("yea",C261)),IFERROR(_xlfn.NUMBERVALUE(SUBSTITUTE(LEFT(TRIM(C261),FIND(" ",TRIM(C261)&amp;" ")-1),",","."),"."),LEFT(SUBSTITUTE(LEFT(TRIM(C261),FIND(" ",TRIM(C261)&amp;" ")-1),",","."),FIND("/",SUBSTITUTE(LEFT(TRIM(C261),FIND(" ",TRIM(C261)&amp;" ")-1),",","."))-1)/MID(SUBSTITUTE(LEFT(TRIM(C261),FIND(" ",TRIM(C261)&amp;" ")-1),",","."),FIND("/",SUBSTITUTE(LEFT(TRIM(C261),FIND(" ",TRIM(C261)&amp;" ")-1),",","."))+1,9))*12,NA()))),0),30)*'Aturan &amp; Tarif'!$B$4,2)</f>
        <v>1703.4</v>
      </c>
      <c r="K261" s="32" t="n">
        <f aca="false">'Aturan &amp; Tarif'!$B$5</f>
        <v>2050</v>
      </c>
      <c r="L261" s="32" t="n">
        <f aca="false">'Aturan &amp; Tarif'!$B$6</f>
        <v>350</v>
      </c>
      <c r="M261" s="35" t="n">
        <f aca="false">I261+J261+K261+L261</f>
        <v>8520.4</v>
      </c>
      <c r="N261" s="36" t="s">
        <v>131</v>
      </c>
    </row>
    <row r="262" customFormat="false" ht="48.75" hidden="false" customHeight="true" outlineLevel="0" collapsed="false">
      <c r="A262" s="29"/>
      <c r="B262" s="30" t="s">
        <v>680</v>
      </c>
      <c r="C262" s="31" t="s">
        <v>138</v>
      </c>
      <c r="D262" s="31" t="s">
        <v>108</v>
      </c>
      <c r="E262" s="32" t="n">
        <v>2083</v>
      </c>
      <c r="F262" s="32" t="n">
        <v>2000</v>
      </c>
      <c r="G262" s="32" t="n">
        <v>250</v>
      </c>
      <c r="H262" s="33" t="n">
        <v>1</v>
      </c>
      <c r="I262" s="34" t="n">
        <f aca="false">E262*H262+N(F262)+N(G262)</f>
        <v>4333</v>
      </c>
      <c r="J262" s="32" t="n">
        <f aca="false">ROUND(IFERROR(ROUND(IF(OR(ISNUMBER(SEARCH("week",C262)),ISNUMBER(SEARCH("minggu",C262))),IFERROR(_xlfn.NUMBERVALUE(SUBSTITUTE(LEFT(TRIM(C262),FIND(" ",TRIM(C262)&amp;" ")-1),",","."),"."),LEFT(SUBSTITUTE(LEFT(TRIM(C262),FIND(" ",TRIM(C262)&amp;" ")-1),",","."),FIND("/",SUBSTITUTE(LEFT(TRIM(C262),FIND(" ",TRIM(C262)&amp;" ")-1),",","."))-1)/MID(SUBSTITUTE(LEFT(TRIM(C262),FIND(" ",TRIM(C262)&amp;" ")-1),",","."),FIND("/",SUBSTITUTE(LEFT(TRIM(C262),FIND(" ",TRIM(C262)&amp;" ")-1),",","."))+1,9))*12/52,IF(ISNUMBER(SEARCH("month",C262)),IFERROR(_xlfn.NUMBERVALUE(SUBSTITUTE(LEFT(TRIM(C262),FIND(" ",TRIM(C262)&amp;" ")-1),",","."),"."),LEFT(SUBSTITUTE(LEFT(TRIM(C262),FIND(" ",TRIM(C262)&amp;" ")-1),",","."),FIND("/",SUBSTITUTE(LEFT(TRIM(C262),FIND(" ",TRIM(C262)&amp;" ")-1),",","."))-1)/MID(SUBSTITUTE(LEFT(TRIM(C262),FIND(" ",TRIM(C262)&amp;" ")-1),",","."),FIND("/",SUBSTITUTE(LEFT(TRIM(C262),FIND(" ",TRIM(C262)&amp;" ")-1),",","."))+1,9)),IF(ISNUMBER(SEARCH("yea",C262)),IFERROR(_xlfn.NUMBERVALUE(SUBSTITUTE(LEFT(TRIM(C262),FIND(" ",TRIM(C262)&amp;" ")-1),",","."),"."),LEFT(SUBSTITUTE(LEFT(TRIM(C262),FIND(" ",TRIM(C262)&amp;" ")-1),",","."),FIND("/",SUBSTITUTE(LEFT(TRIM(C262),FIND(" ",TRIM(C262)&amp;" ")-1),",","."))-1)/MID(SUBSTITUTE(LEFT(TRIM(C262),FIND(" ",TRIM(C262)&amp;" ")-1),",","."),FIND("/",SUBSTITUTE(LEFT(TRIM(C262),FIND(" ",TRIM(C262)&amp;" ")-1),",","."))+1,9))*12,NA()))),0),30)*'Aturan &amp; Tarif'!$B$4,2)</f>
        <v>1703.4</v>
      </c>
      <c r="K262" s="32" t="n">
        <f aca="false">'Aturan &amp; Tarif'!$B$5</f>
        <v>2050</v>
      </c>
      <c r="L262" s="32" t="n">
        <f aca="false">'Aturan &amp; Tarif'!$B$6</f>
        <v>350</v>
      </c>
      <c r="M262" s="35" t="n">
        <f aca="false">I262+J262+K262+L262</f>
        <v>8436.4</v>
      </c>
      <c r="N262" s="36" t="s">
        <v>131</v>
      </c>
    </row>
    <row r="263" customFormat="false" ht="37.5" hidden="false" customHeight="true" outlineLevel="0" collapsed="false">
      <c r="A263" s="29" t="s">
        <v>2836</v>
      </c>
      <c r="B263" s="30" t="s">
        <v>697</v>
      </c>
      <c r="C263" s="31" t="s">
        <v>107</v>
      </c>
      <c r="D263" s="31" t="s">
        <v>108</v>
      </c>
      <c r="E263" s="32" t="n">
        <v>1250</v>
      </c>
      <c r="F263" s="32" t="n">
        <v>120</v>
      </c>
      <c r="G263" s="32" t="n">
        <v>250</v>
      </c>
      <c r="H263" s="33" t="n">
        <v>2</v>
      </c>
      <c r="I263" s="34" t="n">
        <f aca="false">E263*H263+N(F263)+N(G263)</f>
        <v>2870</v>
      </c>
      <c r="J263" s="32" t="n">
        <f aca="false">ROUND(IFERROR(ROUND(IF(OR(ISNUMBER(SEARCH("week",C263)),ISNUMBER(SEARCH("minggu",C263))),IFERROR(_xlfn.NUMBERVALUE(SUBSTITUTE(LEFT(TRIM(C263),FIND(" ",TRIM(C263)&amp;" ")-1),",","."),"."),LEFT(SUBSTITUTE(LEFT(TRIM(C263),FIND(" ",TRIM(C263)&amp;" ")-1),",","."),FIND("/",SUBSTITUTE(LEFT(TRIM(C263),FIND(" ",TRIM(C263)&amp;" ")-1),",","."))-1)/MID(SUBSTITUTE(LEFT(TRIM(C263),FIND(" ",TRIM(C263)&amp;" ")-1),",","."),FIND("/",SUBSTITUTE(LEFT(TRIM(C263),FIND(" ",TRIM(C263)&amp;" ")-1),",","."))+1,9))*12/52,IF(ISNUMBER(SEARCH("month",C263)),IFERROR(_xlfn.NUMBERVALUE(SUBSTITUTE(LEFT(TRIM(C263),FIND(" ",TRIM(C263)&amp;" ")-1),",","."),"."),LEFT(SUBSTITUTE(LEFT(TRIM(C263),FIND(" ",TRIM(C263)&amp;" ")-1),",","."),FIND("/",SUBSTITUTE(LEFT(TRIM(C263),FIND(" ",TRIM(C263)&amp;" ")-1),",","."))-1)/MID(SUBSTITUTE(LEFT(TRIM(C263),FIND(" ",TRIM(C263)&amp;" ")-1),",","."),FIND("/",SUBSTITUTE(LEFT(TRIM(C263),FIND(" ",TRIM(C263)&amp;" ")-1),",","."))+1,9)),IF(ISNUMBER(SEARCH("yea",C263)),IFERROR(_xlfn.NUMBERVALUE(SUBSTITUTE(LEFT(TRIM(C263),FIND(" ",TRIM(C263)&amp;" ")-1),",","."),"."),LEFT(SUBSTITUTE(LEFT(TRIM(C263),FIND(" ",TRIM(C263)&amp;" ")-1),",","."),FIND("/",SUBSTITUTE(LEFT(TRIM(C263),FIND(" ",TRIM(C263)&amp;" ")-1),",","."))-1)/MID(SUBSTITUTE(LEFT(TRIM(C263),FIND(" ",TRIM(C263)&amp;" ")-1),",","."),FIND("/",SUBSTITUTE(LEFT(TRIM(C263),FIND(" ",TRIM(C263)&amp;" ")-1),",","."))+1,9))*12,NA()))),0),24)*'Aturan &amp; Tarif'!$B$4,2)</f>
        <v>1362.72</v>
      </c>
      <c r="K263" s="32" t="n">
        <f aca="false">'Aturan &amp; Tarif'!$B$5</f>
        <v>2050</v>
      </c>
      <c r="L263" s="32" t="n">
        <f aca="false">'Aturan &amp; Tarif'!$B$6</f>
        <v>350</v>
      </c>
      <c r="M263" s="35" t="n">
        <f aca="false">I263+J263+K263+L263</f>
        <v>6632.72</v>
      </c>
      <c r="N263" s="37" t="s">
        <v>698</v>
      </c>
    </row>
    <row r="264" customFormat="false" ht="48.75" hidden="false" customHeight="true" outlineLevel="0" collapsed="false">
      <c r="A264" s="29"/>
      <c r="B264" s="30" t="s">
        <v>699</v>
      </c>
      <c r="C264" s="31" t="s">
        <v>136</v>
      </c>
      <c r="D264" s="31" t="s">
        <v>108</v>
      </c>
      <c r="E264" s="32" t="n">
        <v>1250</v>
      </c>
      <c r="F264" s="32" t="n">
        <v>120</v>
      </c>
      <c r="G264" s="32" t="n">
        <v>250</v>
      </c>
      <c r="H264" s="33" t="n">
        <v>2</v>
      </c>
      <c r="I264" s="34" t="n">
        <f aca="false">E264*H264+N(F264)+N(G264)</f>
        <v>2870</v>
      </c>
      <c r="J264" s="32" t="n">
        <f aca="false">ROUND(IFERROR(ROUND(IF(OR(ISNUMBER(SEARCH("week",C264)),ISNUMBER(SEARCH("minggu",C264))),IFERROR(_xlfn.NUMBERVALUE(SUBSTITUTE(LEFT(TRIM(C264),FIND(" ",TRIM(C264)&amp;" ")-1),",","."),"."),LEFT(SUBSTITUTE(LEFT(TRIM(C264),FIND(" ",TRIM(C264)&amp;" ")-1),",","."),FIND("/",SUBSTITUTE(LEFT(TRIM(C264),FIND(" ",TRIM(C264)&amp;" ")-1),",","."))-1)/MID(SUBSTITUTE(LEFT(TRIM(C264),FIND(" ",TRIM(C264)&amp;" ")-1),",","."),FIND("/",SUBSTITUTE(LEFT(TRIM(C264),FIND(" ",TRIM(C264)&amp;" ")-1),",","."))+1,9))*12/52,IF(ISNUMBER(SEARCH("month",C264)),IFERROR(_xlfn.NUMBERVALUE(SUBSTITUTE(LEFT(TRIM(C264),FIND(" ",TRIM(C264)&amp;" ")-1),",","."),"."),LEFT(SUBSTITUTE(LEFT(TRIM(C264),FIND(" ",TRIM(C264)&amp;" ")-1),",","."),FIND("/",SUBSTITUTE(LEFT(TRIM(C264),FIND(" ",TRIM(C264)&amp;" ")-1),",","."))-1)/MID(SUBSTITUTE(LEFT(TRIM(C264),FIND(" ",TRIM(C264)&amp;" ")-1),",","."),FIND("/",SUBSTITUTE(LEFT(TRIM(C264),FIND(" ",TRIM(C264)&amp;" ")-1),",","."))+1,9)),IF(ISNUMBER(SEARCH("yea",C264)),IFERROR(_xlfn.NUMBERVALUE(SUBSTITUTE(LEFT(TRIM(C264),FIND(" ",TRIM(C264)&amp;" ")-1),",","."),"."),LEFT(SUBSTITUTE(LEFT(TRIM(C264),FIND(" ",TRIM(C264)&amp;" ")-1),",","."),FIND("/",SUBSTITUTE(LEFT(TRIM(C264),FIND(" ",TRIM(C264)&amp;" ")-1),",","."))-1)/MID(SUBSTITUTE(LEFT(TRIM(C264),FIND(" ",TRIM(C264)&amp;" ")-1),",","."),FIND("/",SUBSTITUTE(LEFT(TRIM(C264),FIND(" ",TRIM(C264)&amp;" ")-1),",","."))+1,9))*12,NA()))),0),42)*'Aturan &amp; Tarif'!$B$4,2)</f>
        <v>2384.76</v>
      </c>
      <c r="K264" s="32" t="n">
        <f aca="false">'Aturan &amp; Tarif'!$B$5</f>
        <v>2050</v>
      </c>
      <c r="L264" s="32" t="n">
        <f aca="false">'Aturan &amp; Tarif'!$B$6</f>
        <v>350</v>
      </c>
      <c r="M264" s="35" t="n">
        <f aca="false">I264+J264+K264+L264</f>
        <v>7654.76</v>
      </c>
      <c r="N264" s="36" t="s">
        <v>700</v>
      </c>
    </row>
    <row r="265" customFormat="false" ht="14.25" hidden="false" customHeight="true" outlineLevel="0" collapsed="false">
      <c r="A265" s="29"/>
      <c r="B265" s="30" t="s">
        <v>701</v>
      </c>
      <c r="C265" s="31" t="s">
        <v>107</v>
      </c>
      <c r="D265" s="31" t="s">
        <v>108</v>
      </c>
      <c r="E265" s="32" t="n">
        <v>1250</v>
      </c>
      <c r="F265" s="32" t="n">
        <v>120</v>
      </c>
      <c r="G265" s="32" t="n">
        <v>250</v>
      </c>
      <c r="H265" s="33" t="n">
        <v>2</v>
      </c>
      <c r="I265" s="34" t="n">
        <f aca="false">E265*H265+N(F265)+N(G265)</f>
        <v>2870</v>
      </c>
      <c r="J265" s="32" t="n">
        <f aca="false">ROUND(IFERROR(ROUND(IF(OR(ISNUMBER(SEARCH("week",C265)),ISNUMBER(SEARCH("minggu",C265))),IFERROR(_xlfn.NUMBERVALUE(SUBSTITUTE(LEFT(TRIM(C265),FIND(" ",TRIM(C265)&amp;" ")-1),",","."),"."),LEFT(SUBSTITUTE(LEFT(TRIM(C265),FIND(" ",TRIM(C265)&amp;" ")-1),",","."),FIND("/",SUBSTITUTE(LEFT(TRIM(C265),FIND(" ",TRIM(C265)&amp;" ")-1),",","."))-1)/MID(SUBSTITUTE(LEFT(TRIM(C265),FIND(" ",TRIM(C265)&amp;" ")-1),",","."),FIND("/",SUBSTITUTE(LEFT(TRIM(C265),FIND(" ",TRIM(C265)&amp;" ")-1),",","."))+1,9))*12/52,IF(ISNUMBER(SEARCH("month",C265)),IFERROR(_xlfn.NUMBERVALUE(SUBSTITUTE(LEFT(TRIM(C265),FIND(" ",TRIM(C265)&amp;" ")-1),",","."),"."),LEFT(SUBSTITUTE(LEFT(TRIM(C265),FIND(" ",TRIM(C265)&amp;" ")-1),",","."),FIND("/",SUBSTITUTE(LEFT(TRIM(C265),FIND(" ",TRIM(C265)&amp;" ")-1),",","."))-1)/MID(SUBSTITUTE(LEFT(TRIM(C265),FIND(" ",TRIM(C265)&amp;" ")-1),",","."),FIND("/",SUBSTITUTE(LEFT(TRIM(C265),FIND(" ",TRIM(C265)&amp;" ")-1),",","."))+1,9)),IF(ISNUMBER(SEARCH("yea",C265)),IFERROR(_xlfn.NUMBERVALUE(SUBSTITUTE(LEFT(TRIM(C265),FIND(" ",TRIM(C265)&amp;" ")-1),",","."),"."),LEFT(SUBSTITUTE(LEFT(TRIM(C265),FIND(" ",TRIM(C265)&amp;" ")-1),",","."),FIND("/",SUBSTITUTE(LEFT(TRIM(C265),FIND(" ",TRIM(C265)&amp;" ")-1),",","."))-1)/MID(SUBSTITUTE(LEFT(TRIM(C265),FIND(" ",TRIM(C265)&amp;" ")-1),",","."),FIND("/",SUBSTITUTE(LEFT(TRIM(C265),FIND(" ",TRIM(C265)&amp;" ")-1),",","."))+1,9))*12,NA()))),0),24)*'Aturan &amp; Tarif'!$B$4,2)</f>
        <v>1362.72</v>
      </c>
      <c r="K265" s="32" t="n">
        <f aca="false">'Aturan &amp; Tarif'!$B$5</f>
        <v>2050</v>
      </c>
      <c r="L265" s="32" t="n">
        <f aca="false">'Aturan &amp; Tarif'!$B$6</f>
        <v>350</v>
      </c>
      <c r="M265" s="35" t="n">
        <f aca="false">I265+J265+K265+L265</f>
        <v>6632.72</v>
      </c>
      <c r="N265" s="37" t="s">
        <v>702</v>
      </c>
    </row>
    <row r="266" customFormat="false" ht="37.5" hidden="false" customHeight="true" outlineLevel="0" collapsed="false">
      <c r="A266" s="29"/>
      <c r="B266" s="30" t="s">
        <v>703</v>
      </c>
      <c r="C266" s="31" t="s">
        <v>136</v>
      </c>
      <c r="D266" s="31" t="s">
        <v>108</v>
      </c>
      <c r="E266" s="32" t="n">
        <v>1250</v>
      </c>
      <c r="F266" s="32" t="n">
        <v>120</v>
      </c>
      <c r="G266" s="32" t="n">
        <v>250</v>
      </c>
      <c r="H266" s="33" t="n">
        <v>2</v>
      </c>
      <c r="I266" s="34" t="n">
        <f aca="false">E266*H266+N(F266)+N(G266)</f>
        <v>2870</v>
      </c>
      <c r="J266" s="32" t="n">
        <f aca="false">ROUND(IFERROR(ROUND(IF(OR(ISNUMBER(SEARCH("week",C266)),ISNUMBER(SEARCH("minggu",C266))),IFERROR(_xlfn.NUMBERVALUE(SUBSTITUTE(LEFT(TRIM(C266),FIND(" ",TRIM(C266)&amp;" ")-1),",","."),"."),LEFT(SUBSTITUTE(LEFT(TRIM(C266),FIND(" ",TRIM(C266)&amp;" ")-1),",","."),FIND("/",SUBSTITUTE(LEFT(TRIM(C266),FIND(" ",TRIM(C266)&amp;" ")-1),",","."))-1)/MID(SUBSTITUTE(LEFT(TRIM(C266),FIND(" ",TRIM(C266)&amp;" ")-1),",","."),FIND("/",SUBSTITUTE(LEFT(TRIM(C266),FIND(" ",TRIM(C266)&amp;" ")-1),",","."))+1,9))*12/52,IF(ISNUMBER(SEARCH("month",C266)),IFERROR(_xlfn.NUMBERVALUE(SUBSTITUTE(LEFT(TRIM(C266),FIND(" ",TRIM(C266)&amp;" ")-1),",","."),"."),LEFT(SUBSTITUTE(LEFT(TRIM(C266),FIND(" ",TRIM(C266)&amp;" ")-1),",","."),FIND("/",SUBSTITUTE(LEFT(TRIM(C266),FIND(" ",TRIM(C266)&amp;" ")-1),",","."))-1)/MID(SUBSTITUTE(LEFT(TRIM(C266),FIND(" ",TRIM(C266)&amp;" ")-1),",","."),FIND("/",SUBSTITUTE(LEFT(TRIM(C266),FIND(" ",TRIM(C266)&amp;" ")-1),",","."))+1,9)),IF(ISNUMBER(SEARCH("yea",C266)),IFERROR(_xlfn.NUMBERVALUE(SUBSTITUTE(LEFT(TRIM(C266),FIND(" ",TRIM(C266)&amp;" ")-1),",","."),"."),LEFT(SUBSTITUTE(LEFT(TRIM(C266),FIND(" ",TRIM(C266)&amp;" ")-1),",","."),FIND("/",SUBSTITUTE(LEFT(TRIM(C266),FIND(" ",TRIM(C266)&amp;" ")-1),",","."))-1)/MID(SUBSTITUTE(LEFT(TRIM(C266),FIND(" ",TRIM(C266)&amp;" ")-1),",","."),FIND("/",SUBSTITUTE(LEFT(TRIM(C266),FIND(" ",TRIM(C266)&amp;" ")-1),",","."))+1,9))*12,NA()))),0),42)*'Aturan &amp; Tarif'!$B$4,2)</f>
        <v>2384.76</v>
      </c>
      <c r="K266" s="32" t="n">
        <f aca="false">'Aturan &amp; Tarif'!$B$5</f>
        <v>2050</v>
      </c>
      <c r="L266" s="32" t="n">
        <f aca="false">'Aturan &amp; Tarif'!$B$6</f>
        <v>350</v>
      </c>
      <c r="M266" s="35" t="n">
        <f aca="false">I266+J266+K266+L266</f>
        <v>7654.76</v>
      </c>
      <c r="N266" s="36" t="s">
        <v>704</v>
      </c>
    </row>
    <row r="267" customFormat="false" ht="14.25" hidden="false" customHeight="true" outlineLevel="0" collapsed="false">
      <c r="A267" s="29"/>
      <c r="B267" s="30" t="s">
        <v>705</v>
      </c>
      <c r="C267" s="31" t="s">
        <v>706</v>
      </c>
      <c r="D267" s="31" t="s">
        <v>108</v>
      </c>
      <c r="E267" s="32" t="n">
        <v>1250</v>
      </c>
      <c r="F267" s="32" t="n">
        <v>120</v>
      </c>
      <c r="G267" s="32" t="n">
        <v>260</v>
      </c>
      <c r="H267" s="33" t="n">
        <v>2</v>
      </c>
      <c r="I267" s="34" t="n">
        <f aca="false">E267*H267+N(F267)+N(G267)</f>
        <v>2880</v>
      </c>
      <c r="J267" s="32" t="n">
        <f aca="false">ROUND(IFERROR(ROUND(IF(OR(ISNUMBER(SEARCH("week",C267)),ISNUMBER(SEARCH("minggu",C267))),IFERROR(_xlfn.NUMBERVALUE(SUBSTITUTE(LEFT(TRIM(C267),FIND(" ",TRIM(C267)&amp;" ")-1),",","."),"."),LEFT(SUBSTITUTE(LEFT(TRIM(C267),FIND(" ",TRIM(C267)&amp;" ")-1),",","."),FIND("/",SUBSTITUTE(LEFT(TRIM(C267),FIND(" ",TRIM(C267)&amp;" ")-1),",","."))-1)/MID(SUBSTITUTE(LEFT(TRIM(C267),FIND(" ",TRIM(C267)&amp;" ")-1),",","."),FIND("/",SUBSTITUTE(LEFT(TRIM(C267),FIND(" ",TRIM(C267)&amp;" ")-1),",","."))+1,9))*12/52,IF(ISNUMBER(SEARCH("month",C267)),IFERROR(_xlfn.NUMBERVALUE(SUBSTITUTE(LEFT(TRIM(C267),FIND(" ",TRIM(C267)&amp;" ")-1),",","."),"."),LEFT(SUBSTITUTE(LEFT(TRIM(C267),FIND(" ",TRIM(C267)&amp;" ")-1),",","."),FIND("/",SUBSTITUTE(LEFT(TRIM(C267),FIND(" ",TRIM(C267)&amp;" ")-1),",","."))-1)/MID(SUBSTITUTE(LEFT(TRIM(C267),FIND(" ",TRIM(C267)&amp;" ")-1),",","."),FIND("/",SUBSTITUTE(LEFT(TRIM(C267),FIND(" ",TRIM(C267)&amp;" ")-1),",","."))+1,9)),IF(ISNUMBER(SEARCH("yea",C267)),IFERROR(_xlfn.NUMBERVALUE(SUBSTITUTE(LEFT(TRIM(C267),FIND(" ",TRIM(C267)&amp;" ")-1),",","."),"."),LEFT(SUBSTITUTE(LEFT(TRIM(C267),FIND(" ",TRIM(C267)&amp;" ")-1),",","."),FIND("/",SUBSTITUTE(LEFT(TRIM(C267),FIND(" ",TRIM(C267)&amp;" ")-1),",","."))-1)/MID(SUBSTITUTE(LEFT(TRIM(C267),FIND(" ",TRIM(C267)&amp;" ")-1),",","."),FIND("/",SUBSTITUTE(LEFT(TRIM(C267),FIND(" ",TRIM(C267)&amp;" ")-1),",","."))+1,9))*12,NA()))),0),22)*'Aturan &amp; Tarif'!$B$4,2)</f>
        <v>1249.16</v>
      </c>
      <c r="K267" s="32" t="n">
        <f aca="false">'Aturan &amp; Tarif'!$B$5</f>
        <v>2050</v>
      </c>
      <c r="L267" s="32" t="n">
        <f aca="false">'Aturan &amp; Tarif'!$B$6</f>
        <v>350</v>
      </c>
      <c r="M267" s="35" t="n">
        <f aca="false">I267+J267+K267+L267</f>
        <v>6529.16</v>
      </c>
      <c r="N267" s="37" t="s">
        <v>707</v>
      </c>
    </row>
    <row r="268" customFormat="false" ht="37.5" hidden="false" customHeight="true" outlineLevel="0" collapsed="false">
      <c r="A268" s="29"/>
      <c r="B268" s="30" t="s">
        <v>708</v>
      </c>
      <c r="C268" s="31" t="s">
        <v>709</v>
      </c>
      <c r="D268" s="31" t="s">
        <v>108</v>
      </c>
      <c r="E268" s="32" t="n">
        <v>1250</v>
      </c>
      <c r="F268" s="32" t="n">
        <v>120</v>
      </c>
      <c r="G268" s="32" t="n">
        <v>260</v>
      </c>
      <c r="H268" s="33" t="n">
        <v>2</v>
      </c>
      <c r="I268" s="34" t="n">
        <f aca="false">E268*H268+N(F268)+N(G268)</f>
        <v>2880</v>
      </c>
      <c r="J268" s="32" t="n">
        <f aca="false">ROUND(IFERROR(ROUND(IF(OR(ISNUMBER(SEARCH("week",C268)),ISNUMBER(SEARCH("minggu",C268))),IFERROR(_xlfn.NUMBERVALUE(SUBSTITUTE(LEFT(TRIM(C268),FIND(" ",TRIM(C268)&amp;" ")-1),",","."),"."),LEFT(SUBSTITUTE(LEFT(TRIM(C268),FIND(" ",TRIM(C268)&amp;" ")-1),",","."),FIND("/",SUBSTITUTE(LEFT(TRIM(C268),FIND(" ",TRIM(C268)&amp;" ")-1),",","."))-1)/MID(SUBSTITUTE(LEFT(TRIM(C268),FIND(" ",TRIM(C268)&amp;" ")-1),",","."),FIND("/",SUBSTITUTE(LEFT(TRIM(C268),FIND(" ",TRIM(C268)&amp;" ")-1),",","."))+1,9))*12/52,IF(ISNUMBER(SEARCH("month",C268)),IFERROR(_xlfn.NUMBERVALUE(SUBSTITUTE(LEFT(TRIM(C268),FIND(" ",TRIM(C268)&amp;" ")-1),",","."),"."),LEFT(SUBSTITUTE(LEFT(TRIM(C268),FIND(" ",TRIM(C268)&amp;" ")-1),",","."),FIND("/",SUBSTITUTE(LEFT(TRIM(C268),FIND(" ",TRIM(C268)&amp;" ")-1),",","."))-1)/MID(SUBSTITUTE(LEFT(TRIM(C268),FIND(" ",TRIM(C268)&amp;" ")-1),",","."),FIND("/",SUBSTITUTE(LEFT(TRIM(C268),FIND(" ",TRIM(C268)&amp;" ")-1),",","."))+1,9)),IF(ISNUMBER(SEARCH("yea",C268)),IFERROR(_xlfn.NUMBERVALUE(SUBSTITUTE(LEFT(TRIM(C268),FIND(" ",TRIM(C268)&amp;" ")-1),",","."),"."),LEFT(SUBSTITUTE(LEFT(TRIM(C268),FIND(" ",TRIM(C268)&amp;" ")-1),",","."),FIND("/",SUBSTITUTE(LEFT(TRIM(C268),FIND(" ",TRIM(C268)&amp;" ")-1),",","."))-1)/MID(SUBSTITUTE(LEFT(TRIM(C268),FIND(" ",TRIM(C268)&amp;" ")-1),",","."),FIND("/",SUBSTITUTE(LEFT(TRIM(C268),FIND(" ",TRIM(C268)&amp;" ")-1),",","."))+1,9))*12,NA()))),0),40)*'Aturan &amp; Tarif'!$B$4,2)</f>
        <v>2271.2</v>
      </c>
      <c r="K268" s="32" t="n">
        <f aca="false">'Aturan &amp; Tarif'!$B$5</f>
        <v>2050</v>
      </c>
      <c r="L268" s="32" t="n">
        <f aca="false">'Aturan &amp; Tarif'!$B$6</f>
        <v>350</v>
      </c>
      <c r="M268" s="35" t="n">
        <f aca="false">I268+J268+K268+L268</f>
        <v>7551.2</v>
      </c>
      <c r="N268" s="36" t="s">
        <v>710</v>
      </c>
    </row>
    <row r="269" customFormat="false" ht="25.5" hidden="false" customHeight="true" outlineLevel="0" collapsed="false">
      <c r="A269" s="29"/>
      <c r="B269" s="30" t="s">
        <v>496</v>
      </c>
      <c r="C269" s="31" t="s">
        <v>706</v>
      </c>
      <c r="D269" s="31" t="s">
        <v>108</v>
      </c>
      <c r="E269" s="32" t="n">
        <v>1250</v>
      </c>
      <c r="F269" s="32" t="n">
        <v>120</v>
      </c>
      <c r="G269" s="32" t="n">
        <v>260</v>
      </c>
      <c r="H269" s="33" t="n">
        <v>2</v>
      </c>
      <c r="I269" s="34" t="n">
        <f aca="false">E269*H269+N(F269)+N(G269)</f>
        <v>2880</v>
      </c>
      <c r="J269" s="32" t="n">
        <f aca="false">ROUND(IFERROR(ROUND(IF(OR(ISNUMBER(SEARCH("week",C269)),ISNUMBER(SEARCH("minggu",C269))),IFERROR(_xlfn.NUMBERVALUE(SUBSTITUTE(LEFT(TRIM(C269),FIND(" ",TRIM(C269)&amp;" ")-1),",","."),"."),LEFT(SUBSTITUTE(LEFT(TRIM(C269),FIND(" ",TRIM(C269)&amp;" ")-1),",","."),FIND("/",SUBSTITUTE(LEFT(TRIM(C269),FIND(" ",TRIM(C269)&amp;" ")-1),",","."))-1)/MID(SUBSTITUTE(LEFT(TRIM(C269),FIND(" ",TRIM(C269)&amp;" ")-1),",","."),FIND("/",SUBSTITUTE(LEFT(TRIM(C269),FIND(" ",TRIM(C269)&amp;" ")-1),",","."))+1,9))*12/52,IF(ISNUMBER(SEARCH("month",C269)),IFERROR(_xlfn.NUMBERVALUE(SUBSTITUTE(LEFT(TRIM(C269),FIND(" ",TRIM(C269)&amp;" ")-1),",","."),"."),LEFT(SUBSTITUTE(LEFT(TRIM(C269),FIND(" ",TRIM(C269)&amp;" ")-1),",","."),FIND("/",SUBSTITUTE(LEFT(TRIM(C269),FIND(" ",TRIM(C269)&amp;" ")-1),",","."))-1)/MID(SUBSTITUTE(LEFT(TRIM(C269),FIND(" ",TRIM(C269)&amp;" ")-1),",","."),FIND("/",SUBSTITUTE(LEFT(TRIM(C269),FIND(" ",TRIM(C269)&amp;" ")-1),",","."))+1,9)),IF(ISNUMBER(SEARCH("yea",C269)),IFERROR(_xlfn.NUMBERVALUE(SUBSTITUTE(LEFT(TRIM(C269),FIND(" ",TRIM(C269)&amp;" ")-1),",","."),"."),LEFT(SUBSTITUTE(LEFT(TRIM(C269),FIND(" ",TRIM(C269)&amp;" ")-1),",","."),FIND("/",SUBSTITUTE(LEFT(TRIM(C269),FIND(" ",TRIM(C269)&amp;" ")-1),",","."))-1)/MID(SUBSTITUTE(LEFT(TRIM(C269),FIND(" ",TRIM(C269)&amp;" ")-1),",","."),FIND("/",SUBSTITUTE(LEFT(TRIM(C269),FIND(" ",TRIM(C269)&amp;" ")-1),",","."))+1,9))*12,NA()))),0),22)*'Aturan &amp; Tarif'!$B$4,2)</f>
        <v>1249.16</v>
      </c>
      <c r="K269" s="32" t="n">
        <f aca="false">'Aturan &amp; Tarif'!$B$5</f>
        <v>2050</v>
      </c>
      <c r="L269" s="32" t="n">
        <f aca="false">'Aturan &amp; Tarif'!$B$6</f>
        <v>350</v>
      </c>
      <c r="M269" s="35" t="n">
        <f aca="false">I269+J269+K269+L269</f>
        <v>6529.16</v>
      </c>
      <c r="N269" s="37" t="s">
        <v>707</v>
      </c>
    </row>
    <row r="270" customFormat="false" ht="37.5" hidden="false" customHeight="true" outlineLevel="0" collapsed="false">
      <c r="A270" s="29"/>
      <c r="B270" s="30" t="s">
        <v>2837</v>
      </c>
      <c r="C270" s="31" t="s">
        <v>709</v>
      </c>
      <c r="D270" s="31" t="s">
        <v>108</v>
      </c>
      <c r="E270" s="32" t="n">
        <v>1250</v>
      </c>
      <c r="F270" s="32" t="n">
        <v>120</v>
      </c>
      <c r="G270" s="32" t="n">
        <v>260</v>
      </c>
      <c r="H270" s="33" t="n">
        <v>2</v>
      </c>
      <c r="I270" s="34" t="n">
        <f aca="false">E270*H270+N(F270)+N(G270)</f>
        <v>2880</v>
      </c>
      <c r="J270" s="32" t="n">
        <f aca="false">ROUND(IFERROR(ROUND(IF(OR(ISNUMBER(SEARCH("week",C270)),ISNUMBER(SEARCH("minggu",C270))),IFERROR(_xlfn.NUMBERVALUE(SUBSTITUTE(LEFT(TRIM(C270),FIND(" ",TRIM(C270)&amp;" ")-1),",","."),"."),LEFT(SUBSTITUTE(LEFT(TRIM(C270),FIND(" ",TRIM(C270)&amp;" ")-1),",","."),FIND("/",SUBSTITUTE(LEFT(TRIM(C270),FIND(" ",TRIM(C270)&amp;" ")-1),",","."))-1)/MID(SUBSTITUTE(LEFT(TRIM(C270),FIND(" ",TRIM(C270)&amp;" ")-1),",","."),FIND("/",SUBSTITUTE(LEFT(TRIM(C270),FIND(" ",TRIM(C270)&amp;" ")-1),",","."))+1,9))*12/52,IF(ISNUMBER(SEARCH("month",C270)),IFERROR(_xlfn.NUMBERVALUE(SUBSTITUTE(LEFT(TRIM(C270),FIND(" ",TRIM(C270)&amp;" ")-1),",","."),"."),LEFT(SUBSTITUTE(LEFT(TRIM(C270),FIND(" ",TRIM(C270)&amp;" ")-1),",","."),FIND("/",SUBSTITUTE(LEFT(TRIM(C270),FIND(" ",TRIM(C270)&amp;" ")-1),",","."))-1)/MID(SUBSTITUTE(LEFT(TRIM(C270),FIND(" ",TRIM(C270)&amp;" ")-1),",","."),FIND("/",SUBSTITUTE(LEFT(TRIM(C270),FIND(" ",TRIM(C270)&amp;" ")-1),",","."))+1,9)),IF(ISNUMBER(SEARCH("yea",C270)),IFERROR(_xlfn.NUMBERVALUE(SUBSTITUTE(LEFT(TRIM(C270),FIND(" ",TRIM(C270)&amp;" ")-1),",","."),"."),LEFT(SUBSTITUTE(LEFT(TRIM(C270),FIND(" ",TRIM(C270)&amp;" ")-1),",","."),FIND("/",SUBSTITUTE(LEFT(TRIM(C270),FIND(" ",TRIM(C270)&amp;" ")-1),",","."))-1)/MID(SUBSTITUTE(LEFT(TRIM(C270),FIND(" ",TRIM(C270)&amp;" ")-1),",","."),FIND("/",SUBSTITUTE(LEFT(TRIM(C270),FIND(" ",TRIM(C270)&amp;" ")-1),",","."))+1,9))*12,NA()))),0),40)*'Aturan &amp; Tarif'!$B$4,2)</f>
        <v>2271.2</v>
      </c>
      <c r="K270" s="32" t="n">
        <f aca="false">'Aturan &amp; Tarif'!$B$5</f>
        <v>2050</v>
      </c>
      <c r="L270" s="32" t="n">
        <f aca="false">'Aturan &amp; Tarif'!$B$6</f>
        <v>350</v>
      </c>
      <c r="M270" s="35" t="n">
        <f aca="false">I270+J270+K270+L270</f>
        <v>7551.2</v>
      </c>
      <c r="N270" s="36" t="s">
        <v>1629</v>
      </c>
    </row>
    <row r="271" customFormat="false" ht="25.5" hidden="false" customHeight="true" outlineLevel="0" collapsed="false">
      <c r="A271" s="29"/>
      <c r="B271" s="30" t="s">
        <v>2838</v>
      </c>
      <c r="C271" s="31" t="s">
        <v>127</v>
      </c>
      <c r="D271" s="31" t="s">
        <v>108</v>
      </c>
      <c r="E271" s="32" t="n">
        <v>1250</v>
      </c>
      <c r="F271" s="32" t="n">
        <v>200</v>
      </c>
      <c r="G271" s="32" t="n">
        <v>260</v>
      </c>
      <c r="H271" s="33" t="n">
        <v>2</v>
      </c>
      <c r="I271" s="34" t="n">
        <f aca="false">E271*H271+N(F271)+N(G271)</f>
        <v>2960</v>
      </c>
      <c r="J271" s="32" t="n">
        <f aca="false">ROUND(IFERROR(ROUND(IF(OR(ISNUMBER(SEARCH("week",C271)),ISNUMBER(SEARCH("minggu",C271))),IFERROR(_xlfn.NUMBERVALUE(SUBSTITUTE(LEFT(TRIM(C271),FIND(" ",TRIM(C271)&amp;" ")-1),",","."),"."),LEFT(SUBSTITUTE(LEFT(TRIM(C271),FIND(" ",TRIM(C271)&amp;" ")-1),",","."),FIND("/",SUBSTITUTE(LEFT(TRIM(C271),FIND(" ",TRIM(C271)&amp;" ")-1),",","."))-1)/MID(SUBSTITUTE(LEFT(TRIM(C271),FIND(" ",TRIM(C271)&amp;" ")-1),",","."),FIND("/",SUBSTITUTE(LEFT(TRIM(C271),FIND(" ",TRIM(C271)&amp;" ")-1),",","."))+1,9))*12/52,IF(ISNUMBER(SEARCH("month",C271)),IFERROR(_xlfn.NUMBERVALUE(SUBSTITUTE(LEFT(TRIM(C271),FIND(" ",TRIM(C271)&amp;" ")-1),",","."),"."),LEFT(SUBSTITUTE(LEFT(TRIM(C271),FIND(" ",TRIM(C271)&amp;" ")-1),",","."),FIND("/",SUBSTITUTE(LEFT(TRIM(C271),FIND(" ",TRIM(C271)&amp;" ")-1),",","."))-1)/MID(SUBSTITUTE(LEFT(TRIM(C271),FIND(" ",TRIM(C271)&amp;" ")-1),",","."),FIND("/",SUBSTITUTE(LEFT(TRIM(C271),FIND(" ",TRIM(C271)&amp;" ")-1),",","."))+1,9)),IF(ISNUMBER(SEARCH("yea",C271)),IFERROR(_xlfn.NUMBERVALUE(SUBSTITUTE(LEFT(TRIM(C271),FIND(" ",TRIM(C271)&amp;" ")-1),",","."),"."),LEFT(SUBSTITUTE(LEFT(TRIM(C271),FIND(" ",TRIM(C271)&amp;" ")-1),",","."),FIND("/",SUBSTITUTE(LEFT(TRIM(C271),FIND(" ",TRIM(C271)&amp;" ")-1),",","."))-1)/MID(SUBSTITUTE(LEFT(TRIM(C271),FIND(" ",TRIM(C271)&amp;" ")-1),",","."),FIND("/",SUBSTITUTE(LEFT(TRIM(C271),FIND(" ",TRIM(C271)&amp;" ")-1),",","."))+1,9))*12,NA()))),0),36)*'Aturan &amp; Tarif'!$B$4,2)</f>
        <v>2044.08</v>
      </c>
      <c r="K271" s="32" t="n">
        <f aca="false">'Aturan &amp; Tarif'!$B$5</f>
        <v>2050</v>
      </c>
      <c r="L271" s="32" t="n">
        <f aca="false">'Aturan &amp; Tarif'!$B$6</f>
        <v>350</v>
      </c>
      <c r="M271" s="35" t="n">
        <f aca="false">I271+J271+K271+L271</f>
        <v>7404.08</v>
      </c>
      <c r="N271" s="36" t="s">
        <v>2079</v>
      </c>
    </row>
    <row r="272" customFormat="false" ht="25.5" hidden="false" customHeight="true" outlineLevel="0" collapsed="false">
      <c r="A272" s="29"/>
      <c r="B272" s="30" t="s">
        <v>2839</v>
      </c>
      <c r="C272" s="31" t="s">
        <v>107</v>
      </c>
      <c r="D272" s="31" t="s">
        <v>108</v>
      </c>
      <c r="E272" s="32" t="n">
        <v>1250</v>
      </c>
      <c r="F272" s="32" t="n">
        <v>240</v>
      </c>
      <c r="G272" s="32" t="n">
        <v>260</v>
      </c>
      <c r="H272" s="33" t="n">
        <v>2</v>
      </c>
      <c r="I272" s="34" t="n">
        <f aca="false">E272*H272+N(F272)+N(G272)</f>
        <v>3000</v>
      </c>
      <c r="J272" s="32" t="n">
        <f aca="false">ROUND(IFERROR(ROUND(IF(OR(ISNUMBER(SEARCH("week",C272)),ISNUMBER(SEARCH("minggu",C272))),IFERROR(_xlfn.NUMBERVALUE(SUBSTITUTE(LEFT(TRIM(C272),FIND(" ",TRIM(C272)&amp;" ")-1),",","."),"."),LEFT(SUBSTITUTE(LEFT(TRIM(C272),FIND(" ",TRIM(C272)&amp;" ")-1),",","."),FIND("/",SUBSTITUTE(LEFT(TRIM(C272),FIND(" ",TRIM(C272)&amp;" ")-1),",","."))-1)/MID(SUBSTITUTE(LEFT(TRIM(C272),FIND(" ",TRIM(C272)&amp;" ")-1),",","."),FIND("/",SUBSTITUTE(LEFT(TRIM(C272),FIND(" ",TRIM(C272)&amp;" ")-1),",","."))+1,9))*12/52,IF(ISNUMBER(SEARCH("month",C272)),IFERROR(_xlfn.NUMBERVALUE(SUBSTITUTE(LEFT(TRIM(C272),FIND(" ",TRIM(C272)&amp;" ")-1),",","."),"."),LEFT(SUBSTITUTE(LEFT(TRIM(C272),FIND(" ",TRIM(C272)&amp;" ")-1),",","."),FIND("/",SUBSTITUTE(LEFT(TRIM(C272),FIND(" ",TRIM(C272)&amp;" ")-1),",","."))-1)/MID(SUBSTITUTE(LEFT(TRIM(C272),FIND(" ",TRIM(C272)&amp;" ")-1),",","."),FIND("/",SUBSTITUTE(LEFT(TRIM(C272),FIND(" ",TRIM(C272)&amp;" ")-1),",","."))+1,9)),IF(ISNUMBER(SEARCH("yea",C272)),IFERROR(_xlfn.NUMBERVALUE(SUBSTITUTE(LEFT(TRIM(C272),FIND(" ",TRIM(C272)&amp;" ")-1),",","."),"."),LEFT(SUBSTITUTE(LEFT(TRIM(C272),FIND(" ",TRIM(C272)&amp;" ")-1),",","."),FIND("/",SUBSTITUTE(LEFT(TRIM(C272),FIND(" ",TRIM(C272)&amp;" ")-1),",","."))-1)/MID(SUBSTITUTE(LEFT(TRIM(C272),FIND(" ",TRIM(C272)&amp;" ")-1),",","."),FIND("/",SUBSTITUTE(LEFT(TRIM(C272),FIND(" ",TRIM(C272)&amp;" ")-1),",","."))+1,9))*12,NA()))),0),24)*'Aturan &amp; Tarif'!$B$4,2)</f>
        <v>1362.72</v>
      </c>
      <c r="K272" s="32" t="n">
        <f aca="false">'Aturan &amp; Tarif'!$B$5</f>
        <v>2050</v>
      </c>
      <c r="L272" s="32" t="n">
        <f aca="false">'Aturan &amp; Tarif'!$B$6</f>
        <v>350</v>
      </c>
      <c r="M272" s="35" t="n">
        <f aca="false">I272+J272+K272+L272</f>
        <v>6762.72</v>
      </c>
      <c r="N272" s="36" t="s">
        <v>1634</v>
      </c>
    </row>
    <row r="273" customFormat="false" ht="25.5" hidden="false" customHeight="true" outlineLevel="0" collapsed="false">
      <c r="A273" s="29"/>
      <c r="B273" s="30" t="s">
        <v>711</v>
      </c>
      <c r="C273" s="31" t="s">
        <v>712</v>
      </c>
      <c r="D273" s="31" t="s">
        <v>108</v>
      </c>
      <c r="E273" s="32" t="n">
        <v>1600</v>
      </c>
      <c r="F273" s="32" t="n">
        <v>500</v>
      </c>
      <c r="G273" s="32" t="n">
        <v>260</v>
      </c>
      <c r="H273" s="33" t="n">
        <v>2</v>
      </c>
      <c r="I273" s="34" t="n">
        <f aca="false">E273*H273+N(F273)+N(G273)</f>
        <v>3960</v>
      </c>
      <c r="J273" s="32" t="n">
        <f aca="false">ROUND(IFERROR(ROUND(IF(OR(ISNUMBER(SEARCH("week",C273)),ISNUMBER(SEARCH("minggu",C273))),IFERROR(_xlfn.NUMBERVALUE(SUBSTITUTE(LEFT(TRIM(C273),FIND(" ",TRIM(C273)&amp;" ")-1),",","."),"."),LEFT(SUBSTITUTE(LEFT(TRIM(C273),FIND(" ",TRIM(C273)&amp;" ")-1),",","."),FIND("/",SUBSTITUTE(LEFT(TRIM(C273),FIND(" ",TRIM(C273)&amp;" ")-1),",","."))-1)/MID(SUBSTITUTE(LEFT(TRIM(C273),FIND(" ",TRIM(C273)&amp;" ")-1),",","."),FIND("/",SUBSTITUTE(LEFT(TRIM(C273),FIND(" ",TRIM(C273)&amp;" ")-1),",","."))+1,9))*12/52,IF(ISNUMBER(SEARCH("month",C273)),IFERROR(_xlfn.NUMBERVALUE(SUBSTITUTE(LEFT(TRIM(C273),FIND(" ",TRIM(C273)&amp;" ")-1),",","."),"."),LEFT(SUBSTITUTE(LEFT(TRIM(C273),FIND(" ",TRIM(C273)&amp;" ")-1),",","."),FIND("/",SUBSTITUTE(LEFT(TRIM(C273),FIND(" ",TRIM(C273)&amp;" ")-1),",","."))-1)/MID(SUBSTITUTE(LEFT(TRIM(C273),FIND(" ",TRIM(C273)&amp;" ")-1),",","."),FIND("/",SUBSTITUTE(LEFT(TRIM(C273),FIND(" ",TRIM(C273)&amp;" ")-1),",","."))+1,9)),IF(ISNUMBER(SEARCH("yea",C273)),IFERROR(_xlfn.NUMBERVALUE(SUBSTITUTE(LEFT(TRIM(C273),FIND(" ",TRIM(C273)&amp;" ")-1),",","."),"."),LEFT(SUBSTITUTE(LEFT(TRIM(C273),FIND(" ",TRIM(C273)&amp;" ")-1),",","."),FIND("/",SUBSTITUTE(LEFT(TRIM(C273),FIND(" ",TRIM(C273)&amp;" ")-1),",","."))-1)/MID(SUBSTITUTE(LEFT(TRIM(C273),FIND(" ",TRIM(C273)&amp;" ")-1),",","."),FIND("/",SUBSTITUTE(LEFT(TRIM(C273),FIND(" ",TRIM(C273)&amp;" ")-1),",","."))+1,9))*12,NA()))),0),30)*'Aturan &amp; Tarif'!$B$4,2)</f>
        <v>1703.4</v>
      </c>
      <c r="K273" s="32" t="n">
        <f aca="false">'Aturan &amp; Tarif'!$B$5</f>
        <v>2050</v>
      </c>
      <c r="L273" s="32" t="n">
        <f aca="false">'Aturan &amp; Tarif'!$B$6</f>
        <v>350</v>
      </c>
      <c r="M273" s="35" t="n">
        <f aca="false">I273+J273+K273+L273</f>
        <v>8063.4</v>
      </c>
      <c r="N273" s="37" t="s">
        <v>713</v>
      </c>
    </row>
    <row r="274" customFormat="false" ht="37.5" hidden="false" customHeight="true" outlineLevel="0" collapsed="false">
      <c r="A274" s="29"/>
      <c r="B274" s="30" t="s">
        <v>714</v>
      </c>
      <c r="C274" s="31" t="s">
        <v>715</v>
      </c>
      <c r="D274" s="31" t="s">
        <v>108</v>
      </c>
      <c r="E274" s="32" t="n">
        <v>1950</v>
      </c>
      <c r="F274" s="32" t="n">
        <v>1700</v>
      </c>
      <c r="G274" s="32" t="n">
        <v>260</v>
      </c>
      <c r="H274" s="33" t="n">
        <v>2</v>
      </c>
      <c r="I274" s="34" t="n">
        <f aca="false">E274*H274+N(F274)+N(G274)</f>
        <v>5860</v>
      </c>
      <c r="J274" s="32" t="n">
        <f aca="false">ROUND(IFERROR(ROUND(IF(OR(ISNUMBER(SEARCH("week",C274)),ISNUMBER(SEARCH("minggu",C274))),IFERROR(_xlfn.NUMBERVALUE(SUBSTITUTE(LEFT(TRIM(C274),FIND(" ",TRIM(C274)&amp;" ")-1),",","."),"."),LEFT(SUBSTITUTE(LEFT(TRIM(C274),FIND(" ",TRIM(C274)&amp;" ")-1),",","."),FIND("/",SUBSTITUTE(LEFT(TRIM(C274),FIND(" ",TRIM(C274)&amp;" ")-1),",","."))-1)/MID(SUBSTITUTE(LEFT(TRIM(C274),FIND(" ",TRIM(C274)&amp;" ")-1),",","."),FIND("/",SUBSTITUTE(LEFT(TRIM(C274),FIND(" ",TRIM(C274)&amp;" ")-1),",","."))+1,9))*12/52,IF(ISNUMBER(SEARCH("month",C274)),IFERROR(_xlfn.NUMBERVALUE(SUBSTITUTE(LEFT(TRIM(C274),FIND(" ",TRIM(C274)&amp;" ")-1),",","."),"."),LEFT(SUBSTITUTE(LEFT(TRIM(C274),FIND(" ",TRIM(C274)&amp;" ")-1),",","."),FIND("/",SUBSTITUTE(LEFT(TRIM(C274),FIND(" ",TRIM(C274)&amp;" ")-1),",","."))-1)/MID(SUBSTITUTE(LEFT(TRIM(C274),FIND(" ",TRIM(C274)&amp;" ")-1),",","."),FIND("/",SUBSTITUTE(LEFT(TRIM(C274),FIND(" ",TRIM(C274)&amp;" ")-1),",","."))+1,9)),IF(ISNUMBER(SEARCH("yea",C274)),IFERROR(_xlfn.NUMBERVALUE(SUBSTITUTE(LEFT(TRIM(C274),FIND(" ",TRIM(C274)&amp;" ")-1),",","."),"."),LEFT(SUBSTITUTE(LEFT(TRIM(C274),FIND(" ",TRIM(C274)&amp;" ")-1),",","."),FIND("/",SUBSTITUTE(LEFT(TRIM(C274),FIND(" ",TRIM(C274)&amp;" ")-1),",","."))-1)/MID(SUBSTITUTE(LEFT(TRIM(C274),FIND(" ",TRIM(C274)&amp;" ")-1),",","."),FIND("/",SUBSTITUTE(LEFT(TRIM(C274),FIND(" ",TRIM(C274)&amp;" ")-1),",","."))+1,9))*12,NA()))),0),25)*'Aturan &amp; Tarif'!$B$4,2)</f>
        <v>1419.5</v>
      </c>
      <c r="K274" s="32" t="n">
        <f aca="false">'Aturan &amp; Tarif'!$B$5</f>
        <v>2050</v>
      </c>
      <c r="L274" s="32" t="n">
        <f aca="false">'Aturan &amp; Tarif'!$B$6</f>
        <v>350</v>
      </c>
      <c r="M274" s="35" t="n">
        <f aca="false">I274+J274+K274+L274</f>
        <v>9679.5</v>
      </c>
      <c r="N274" s="37" t="s">
        <v>716</v>
      </c>
    </row>
    <row r="275" customFormat="false" ht="37.5" hidden="false" customHeight="true" outlineLevel="0" collapsed="false">
      <c r="A275" s="29"/>
      <c r="B275" s="30" t="s">
        <v>717</v>
      </c>
      <c r="C275" s="31" t="s">
        <v>718</v>
      </c>
      <c r="D275" s="31" t="s">
        <v>108</v>
      </c>
      <c r="E275" s="32" t="n">
        <v>1950</v>
      </c>
      <c r="F275" s="32" t="n">
        <v>1700</v>
      </c>
      <c r="G275" s="32" t="n">
        <v>260</v>
      </c>
      <c r="H275" s="33" t="n">
        <v>2</v>
      </c>
      <c r="I275" s="34" t="n">
        <f aca="false">E275*H275+N(F275)+N(G275)</f>
        <v>5860</v>
      </c>
      <c r="J275" s="32" t="n">
        <f aca="false">ROUND(IFERROR(ROUND(IF(OR(ISNUMBER(SEARCH("week",C275)),ISNUMBER(SEARCH("minggu",C275))),IFERROR(_xlfn.NUMBERVALUE(SUBSTITUTE(LEFT(TRIM(C275),FIND(" ",TRIM(C275)&amp;" ")-1),",","."),"."),LEFT(SUBSTITUTE(LEFT(TRIM(C275),FIND(" ",TRIM(C275)&amp;" ")-1),",","."),FIND("/",SUBSTITUTE(LEFT(TRIM(C275),FIND(" ",TRIM(C275)&amp;" ")-1),",","."))-1)/MID(SUBSTITUTE(LEFT(TRIM(C275),FIND(" ",TRIM(C275)&amp;" ")-1),",","."),FIND("/",SUBSTITUTE(LEFT(TRIM(C275),FIND(" ",TRIM(C275)&amp;" ")-1),",","."))+1,9))*12/52,IF(ISNUMBER(SEARCH("month",C275)),IFERROR(_xlfn.NUMBERVALUE(SUBSTITUTE(LEFT(TRIM(C275),FIND(" ",TRIM(C275)&amp;" ")-1),",","."),"."),LEFT(SUBSTITUTE(LEFT(TRIM(C275),FIND(" ",TRIM(C275)&amp;" ")-1),",","."),FIND("/",SUBSTITUTE(LEFT(TRIM(C275),FIND(" ",TRIM(C275)&amp;" ")-1),",","."))-1)/MID(SUBSTITUTE(LEFT(TRIM(C275),FIND(" ",TRIM(C275)&amp;" ")-1),",","."),FIND("/",SUBSTITUTE(LEFT(TRIM(C275),FIND(" ",TRIM(C275)&amp;" ")-1),",","."))+1,9)),IF(ISNUMBER(SEARCH("yea",C275)),IFERROR(_xlfn.NUMBERVALUE(SUBSTITUTE(LEFT(TRIM(C275),FIND(" ",TRIM(C275)&amp;" ")-1),",","."),"."),LEFT(SUBSTITUTE(LEFT(TRIM(C275),FIND(" ",TRIM(C275)&amp;" ")-1),",","."),FIND("/",SUBSTITUTE(LEFT(TRIM(C275),FIND(" ",TRIM(C275)&amp;" ")-1),",","."))-1)/MID(SUBSTITUTE(LEFT(TRIM(C275),FIND(" ",TRIM(C275)&amp;" ")-1),",","."),FIND("/",SUBSTITUTE(LEFT(TRIM(C275),FIND(" ",TRIM(C275)&amp;" ")-1),",","."))+1,9))*12,NA()))),0),33)*'Aturan &amp; Tarif'!$B$4,2)</f>
        <v>1873.74</v>
      </c>
      <c r="K275" s="32" t="n">
        <f aca="false">'Aturan &amp; Tarif'!$B$5</f>
        <v>2050</v>
      </c>
      <c r="L275" s="32" t="n">
        <f aca="false">'Aturan &amp; Tarif'!$B$6</f>
        <v>350</v>
      </c>
      <c r="M275" s="35" t="n">
        <f aca="false">I275+J275+K275+L275</f>
        <v>10133.74</v>
      </c>
      <c r="N275" s="37" t="s">
        <v>719</v>
      </c>
    </row>
    <row r="276" customFormat="false" ht="25.5" hidden="false" customHeight="true" outlineLevel="0" collapsed="false">
      <c r="A276" s="29"/>
      <c r="B276" s="30" t="s">
        <v>720</v>
      </c>
      <c r="C276" s="31" t="s">
        <v>721</v>
      </c>
      <c r="D276" s="31" t="s">
        <v>108</v>
      </c>
      <c r="E276" s="32" t="n">
        <v>1600</v>
      </c>
      <c r="F276" s="32" t="n">
        <v>500</v>
      </c>
      <c r="G276" s="32" t="n">
        <v>260</v>
      </c>
      <c r="H276" s="33" t="n">
        <v>2</v>
      </c>
      <c r="I276" s="34" t="n">
        <f aca="false">E276*H276+N(F276)+N(G276)</f>
        <v>3960</v>
      </c>
      <c r="J276" s="32" t="n">
        <f aca="false">ROUND(IFERROR(ROUND(IF(OR(ISNUMBER(SEARCH("week",C276)),ISNUMBER(SEARCH("minggu",C276))),IFERROR(_xlfn.NUMBERVALUE(SUBSTITUTE(LEFT(TRIM(C276),FIND(" ",TRIM(C276)&amp;" ")-1),",","."),"."),LEFT(SUBSTITUTE(LEFT(TRIM(C276),FIND(" ",TRIM(C276)&amp;" ")-1),",","."),FIND("/",SUBSTITUTE(LEFT(TRIM(C276),FIND(" ",TRIM(C276)&amp;" ")-1),",","."))-1)/MID(SUBSTITUTE(LEFT(TRIM(C276),FIND(" ",TRIM(C276)&amp;" ")-1),",","."),FIND("/",SUBSTITUTE(LEFT(TRIM(C276),FIND(" ",TRIM(C276)&amp;" ")-1),",","."))+1,9))*12/52,IF(ISNUMBER(SEARCH("month",C276)),IFERROR(_xlfn.NUMBERVALUE(SUBSTITUTE(LEFT(TRIM(C276),FIND(" ",TRIM(C276)&amp;" ")-1),",","."),"."),LEFT(SUBSTITUTE(LEFT(TRIM(C276),FIND(" ",TRIM(C276)&amp;" ")-1),",","."),FIND("/",SUBSTITUTE(LEFT(TRIM(C276),FIND(" ",TRIM(C276)&amp;" ")-1),",","."))-1)/MID(SUBSTITUTE(LEFT(TRIM(C276),FIND(" ",TRIM(C276)&amp;" ")-1),",","."),FIND("/",SUBSTITUTE(LEFT(TRIM(C276),FIND(" ",TRIM(C276)&amp;" ")-1),",","."))+1,9)),IF(ISNUMBER(SEARCH("yea",C276)),IFERROR(_xlfn.NUMBERVALUE(SUBSTITUTE(LEFT(TRIM(C276),FIND(" ",TRIM(C276)&amp;" ")-1),",","."),"."),LEFT(SUBSTITUTE(LEFT(TRIM(C276),FIND(" ",TRIM(C276)&amp;" ")-1),",","."),FIND("/",SUBSTITUTE(LEFT(TRIM(C276),FIND(" ",TRIM(C276)&amp;" ")-1),",","."))-1)/MID(SUBSTITUTE(LEFT(TRIM(C276),FIND(" ",TRIM(C276)&amp;" ")-1),",","."),FIND("/",SUBSTITUTE(LEFT(TRIM(C276),FIND(" ",TRIM(C276)&amp;" ")-1),",","."))+1,9))*12,NA()))),0),19)*'Aturan &amp; Tarif'!$B$4,2)</f>
        <v>1078.82</v>
      </c>
      <c r="K276" s="32" t="n">
        <f aca="false">'Aturan &amp; Tarif'!$B$5</f>
        <v>2050</v>
      </c>
      <c r="L276" s="32" t="n">
        <f aca="false">'Aturan &amp; Tarif'!$B$6</f>
        <v>350</v>
      </c>
      <c r="M276" s="35" t="n">
        <f aca="false">I276+J276+K276+L276</f>
        <v>7438.82</v>
      </c>
      <c r="N276" s="37" t="s">
        <v>722</v>
      </c>
    </row>
    <row r="277" customFormat="false" ht="48.75" hidden="false" customHeight="true" outlineLevel="0" collapsed="false">
      <c r="A277" s="29"/>
      <c r="B277" s="30" t="s">
        <v>723</v>
      </c>
      <c r="C277" s="31" t="s">
        <v>724</v>
      </c>
      <c r="D277" s="31" t="s">
        <v>108</v>
      </c>
      <c r="E277" s="32" t="n">
        <v>1600</v>
      </c>
      <c r="F277" s="32" t="n">
        <v>500</v>
      </c>
      <c r="G277" s="32" t="n">
        <v>260</v>
      </c>
      <c r="H277" s="33" t="n">
        <v>2</v>
      </c>
      <c r="I277" s="34" t="n">
        <f aca="false">E277*H277+N(F277)+N(G277)</f>
        <v>3960</v>
      </c>
      <c r="J277" s="32" t="n">
        <f aca="false">ROUND(IFERROR(ROUND(IF(OR(ISNUMBER(SEARCH("week",C277)),ISNUMBER(SEARCH("minggu",C277))),IFERROR(_xlfn.NUMBERVALUE(SUBSTITUTE(LEFT(TRIM(C277),FIND(" ",TRIM(C277)&amp;" ")-1),",","."),"."),LEFT(SUBSTITUTE(LEFT(TRIM(C277),FIND(" ",TRIM(C277)&amp;" ")-1),",","."),FIND("/",SUBSTITUTE(LEFT(TRIM(C277),FIND(" ",TRIM(C277)&amp;" ")-1),",","."))-1)/MID(SUBSTITUTE(LEFT(TRIM(C277),FIND(" ",TRIM(C277)&amp;" ")-1),",","."),FIND("/",SUBSTITUTE(LEFT(TRIM(C277),FIND(" ",TRIM(C277)&amp;" ")-1),",","."))+1,9))*12/52,IF(ISNUMBER(SEARCH("month",C277)),IFERROR(_xlfn.NUMBERVALUE(SUBSTITUTE(LEFT(TRIM(C277),FIND(" ",TRIM(C277)&amp;" ")-1),",","."),"."),LEFT(SUBSTITUTE(LEFT(TRIM(C277),FIND(" ",TRIM(C277)&amp;" ")-1),",","."),FIND("/",SUBSTITUTE(LEFT(TRIM(C277),FIND(" ",TRIM(C277)&amp;" ")-1),",","."))-1)/MID(SUBSTITUTE(LEFT(TRIM(C277),FIND(" ",TRIM(C277)&amp;" ")-1),",","."),FIND("/",SUBSTITUTE(LEFT(TRIM(C277),FIND(" ",TRIM(C277)&amp;" ")-1),",","."))+1,9)),IF(ISNUMBER(SEARCH("yea",C277)),IFERROR(_xlfn.NUMBERVALUE(SUBSTITUTE(LEFT(TRIM(C277),FIND(" ",TRIM(C277)&amp;" ")-1),",","."),"."),LEFT(SUBSTITUTE(LEFT(TRIM(C277),FIND(" ",TRIM(C277)&amp;" ")-1),",","."),FIND("/",SUBSTITUTE(LEFT(TRIM(C277),FIND(" ",TRIM(C277)&amp;" ")-1),",","."))-1)/MID(SUBSTITUTE(LEFT(TRIM(C277),FIND(" ",TRIM(C277)&amp;" ")-1),",","."),FIND("/",SUBSTITUTE(LEFT(TRIM(C277),FIND(" ",TRIM(C277)&amp;" ")-1),",","."))+1,9))*12,NA()))),0),37)*'Aturan &amp; Tarif'!$B$4,2)</f>
        <v>2100.86</v>
      </c>
      <c r="K277" s="32" t="n">
        <f aca="false">'Aturan &amp; Tarif'!$B$5</f>
        <v>2050</v>
      </c>
      <c r="L277" s="32" t="n">
        <f aca="false">'Aturan &amp; Tarif'!$B$6</f>
        <v>350</v>
      </c>
      <c r="M277" s="35" t="n">
        <f aca="false">I277+J277+K277+L277</f>
        <v>8460.86</v>
      </c>
      <c r="N277" s="36" t="s">
        <v>725</v>
      </c>
    </row>
    <row r="278" customFormat="false" ht="25.5" hidden="false" customHeight="true" outlineLevel="0" collapsed="false">
      <c r="A278" s="29"/>
      <c r="B278" s="30" t="s">
        <v>2840</v>
      </c>
      <c r="C278" s="31" t="s">
        <v>107</v>
      </c>
      <c r="D278" s="31" t="s">
        <v>108</v>
      </c>
      <c r="E278" s="32" t="n">
        <v>1250</v>
      </c>
      <c r="F278" s="32" t="n">
        <v>240</v>
      </c>
      <c r="G278" s="32" t="n">
        <v>260</v>
      </c>
      <c r="H278" s="33" t="n">
        <v>2</v>
      </c>
      <c r="I278" s="34" t="n">
        <f aca="false">E278*H278+N(F278)+N(G278)</f>
        <v>3000</v>
      </c>
      <c r="J278" s="32" t="n">
        <f aca="false">ROUND(IFERROR(ROUND(IF(OR(ISNUMBER(SEARCH("week",C278)),ISNUMBER(SEARCH("minggu",C278))),IFERROR(_xlfn.NUMBERVALUE(SUBSTITUTE(LEFT(TRIM(C278),FIND(" ",TRIM(C278)&amp;" ")-1),",","."),"."),LEFT(SUBSTITUTE(LEFT(TRIM(C278),FIND(" ",TRIM(C278)&amp;" ")-1),",","."),FIND("/",SUBSTITUTE(LEFT(TRIM(C278),FIND(" ",TRIM(C278)&amp;" ")-1),",","."))-1)/MID(SUBSTITUTE(LEFT(TRIM(C278),FIND(" ",TRIM(C278)&amp;" ")-1),",","."),FIND("/",SUBSTITUTE(LEFT(TRIM(C278),FIND(" ",TRIM(C278)&amp;" ")-1),",","."))+1,9))*12/52,IF(ISNUMBER(SEARCH("month",C278)),IFERROR(_xlfn.NUMBERVALUE(SUBSTITUTE(LEFT(TRIM(C278),FIND(" ",TRIM(C278)&amp;" ")-1),",","."),"."),LEFT(SUBSTITUTE(LEFT(TRIM(C278),FIND(" ",TRIM(C278)&amp;" ")-1),",","."),FIND("/",SUBSTITUTE(LEFT(TRIM(C278),FIND(" ",TRIM(C278)&amp;" ")-1),",","."))-1)/MID(SUBSTITUTE(LEFT(TRIM(C278),FIND(" ",TRIM(C278)&amp;" ")-1),",","."),FIND("/",SUBSTITUTE(LEFT(TRIM(C278),FIND(" ",TRIM(C278)&amp;" ")-1),",","."))+1,9)),IF(ISNUMBER(SEARCH("yea",C278)),IFERROR(_xlfn.NUMBERVALUE(SUBSTITUTE(LEFT(TRIM(C278),FIND(" ",TRIM(C278)&amp;" ")-1),",","."),"."),LEFT(SUBSTITUTE(LEFT(TRIM(C278),FIND(" ",TRIM(C278)&amp;" ")-1),",","."),FIND("/",SUBSTITUTE(LEFT(TRIM(C278),FIND(" ",TRIM(C278)&amp;" ")-1),",","."))-1)/MID(SUBSTITUTE(LEFT(TRIM(C278),FIND(" ",TRIM(C278)&amp;" ")-1),",","."),FIND("/",SUBSTITUTE(LEFT(TRIM(C278),FIND(" ",TRIM(C278)&amp;" ")-1),",","."))+1,9))*12,NA()))),0),24)*'Aturan &amp; Tarif'!$B$4,2)</f>
        <v>1362.72</v>
      </c>
      <c r="K278" s="32" t="n">
        <f aca="false">'Aturan &amp; Tarif'!$B$5</f>
        <v>2050</v>
      </c>
      <c r="L278" s="32" t="n">
        <f aca="false">'Aturan &amp; Tarif'!$B$6</f>
        <v>350</v>
      </c>
      <c r="M278" s="35" t="n">
        <f aca="false">I278+J278+K278+L278</f>
        <v>6762.72</v>
      </c>
      <c r="N278" s="36" t="s">
        <v>1634</v>
      </c>
    </row>
    <row r="279" customFormat="false" ht="25.5" hidden="false" customHeight="true" outlineLevel="0" collapsed="false">
      <c r="A279" s="29"/>
      <c r="B279" s="30" t="s">
        <v>932</v>
      </c>
      <c r="C279" s="31" t="s">
        <v>107</v>
      </c>
      <c r="D279" s="31" t="s">
        <v>108</v>
      </c>
      <c r="E279" s="32" t="n">
        <v>1600</v>
      </c>
      <c r="F279" s="32" t="n">
        <v>500</v>
      </c>
      <c r="G279" s="32" t="n">
        <v>260</v>
      </c>
      <c r="H279" s="33" t="n">
        <v>2</v>
      </c>
      <c r="I279" s="34" t="n">
        <f aca="false">E279*H279+N(F279)+N(G279)</f>
        <v>3960</v>
      </c>
      <c r="J279" s="32" t="n">
        <f aca="false">ROUND(IFERROR(ROUND(IF(OR(ISNUMBER(SEARCH("week",C279)),ISNUMBER(SEARCH("minggu",C279))),IFERROR(_xlfn.NUMBERVALUE(SUBSTITUTE(LEFT(TRIM(C279),FIND(" ",TRIM(C279)&amp;" ")-1),",","."),"."),LEFT(SUBSTITUTE(LEFT(TRIM(C279),FIND(" ",TRIM(C279)&amp;" ")-1),",","."),FIND("/",SUBSTITUTE(LEFT(TRIM(C279),FIND(" ",TRIM(C279)&amp;" ")-1),",","."))-1)/MID(SUBSTITUTE(LEFT(TRIM(C279),FIND(" ",TRIM(C279)&amp;" ")-1),",","."),FIND("/",SUBSTITUTE(LEFT(TRIM(C279),FIND(" ",TRIM(C279)&amp;" ")-1),",","."))+1,9))*12/52,IF(ISNUMBER(SEARCH("month",C279)),IFERROR(_xlfn.NUMBERVALUE(SUBSTITUTE(LEFT(TRIM(C279),FIND(" ",TRIM(C279)&amp;" ")-1),",","."),"."),LEFT(SUBSTITUTE(LEFT(TRIM(C279),FIND(" ",TRIM(C279)&amp;" ")-1),",","."),FIND("/",SUBSTITUTE(LEFT(TRIM(C279),FIND(" ",TRIM(C279)&amp;" ")-1),",","."))-1)/MID(SUBSTITUTE(LEFT(TRIM(C279),FIND(" ",TRIM(C279)&amp;" ")-1),",","."),FIND("/",SUBSTITUTE(LEFT(TRIM(C279),FIND(" ",TRIM(C279)&amp;" ")-1),",","."))+1,9)),IF(ISNUMBER(SEARCH("yea",C279)),IFERROR(_xlfn.NUMBERVALUE(SUBSTITUTE(LEFT(TRIM(C279),FIND(" ",TRIM(C279)&amp;" ")-1),",","."),"."),LEFT(SUBSTITUTE(LEFT(TRIM(C279),FIND(" ",TRIM(C279)&amp;" ")-1),",","."),FIND("/",SUBSTITUTE(LEFT(TRIM(C279),FIND(" ",TRIM(C279)&amp;" ")-1),",","."))-1)/MID(SUBSTITUTE(LEFT(TRIM(C279),FIND(" ",TRIM(C279)&amp;" ")-1),",","."),FIND("/",SUBSTITUTE(LEFT(TRIM(C279),FIND(" ",TRIM(C279)&amp;" ")-1),",","."))+1,9))*12,NA()))),0),24)*'Aturan &amp; Tarif'!$B$4,2)</f>
        <v>1362.72</v>
      </c>
      <c r="K279" s="32" t="n">
        <f aca="false">'Aturan &amp; Tarif'!$B$5</f>
        <v>2050</v>
      </c>
      <c r="L279" s="32" t="n">
        <f aca="false">'Aturan &amp; Tarif'!$B$6</f>
        <v>350</v>
      </c>
      <c r="M279" s="35" t="n">
        <f aca="false">I279+J279+K279+L279</f>
        <v>7722.72</v>
      </c>
      <c r="N279" s="37" t="s">
        <v>2084</v>
      </c>
    </row>
    <row r="280" customFormat="false" ht="60" hidden="false" customHeight="true" outlineLevel="0" collapsed="false">
      <c r="A280" s="46" t="s">
        <v>2841</v>
      </c>
      <c r="B280" s="30" t="s">
        <v>2087</v>
      </c>
      <c r="C280" s="31" t="s">
        <v>127</v>
      </c>
      <c r="D280" s="31" t="s">
        <v>1863</v>
      </c>
      <c r="E280" s="32" t="n">
        <v>2012.5</v>
      </c>
      <c r="F280" s="32" t="n">
        <v>200</v>
      </c>
      <c r="G280" s="32" t="n">
        <v>260</v>
      </c>
      <c r="H280" s="33" t="n">
        <v>3</v>
      </c>
      <c r="I280" s="34" t="n">
        <f aca="false">E280*H280+N(F280)+N(G280)</f>
        <v>6497.5</v>
      </c>
      <c r="J280" s="32" t="n">
        <f aca="false">ROUND(IFERROR(ROUND(IF(OR(ISNUMBER(SEARCH("week",C280)),ISNUMBER(SEARCH("minggu",C280))),IFERROR(_xlfn.NUMBERVALUE(SUBSTITUTE(LEFT(TRIM(C280),FIND(" ",TRIM(C280)&amp;" ")-1),",","."),"."),LEFT(SUBSTITUTE(LEFT(TRIM(C280),FIND(" ",TRIM(C280)&amp;" ")-1),",","."),FIND("/",SUBSTITUTE(LEFT(TRIM(C280),FIND(" ",TRIM(C280)&amp;" ")-1),",","."))-1)/MID(SUBSTITUTE(LEFT(TRIM(C280),FIND(" ",TRIM(C280)&amp;" ")-1),",","."),FIND("/",SUBSTITUTE(LEFT(TRIM(C280),FIND(" ",TRIM(C280)&amp;" ")-1),",","."))+1,9))*12/52,IF(ISNUMBER(SEARCH("month",C280)),IFERROR(_xlfn.NUMBERVALUE(SUBSTITUTE(LEFT(TRIM(C280),FIND(" ",TRIM(C280)&amp;" ")-1),",","."),"."),LEFT(SUBSTITUTE(LEFT(TRIM(C280),FIND(" ",TRIM(C280)&amp;" ")-1),",","."),FIND("/",SUBSTITUTE(LEFT(TRIM(C280),FIND(" ",TRIM(C280)&amp;" ")-1),",","."))-1)/MID(SUBSTITUTE(LEFT(TRIM(C280),FIND(" ",TRIM(C280)&amp;" ")-1),",","."),FIND("/",SUBSTITUTE(LEFT(TRIM(C280),FIND(" ",TRIM(C280)&amp;" ")-1),",","."))+1,9)),IF(ISNUMBER(SEARCH("yea",C280)),IFERROR(_xlfn.NUMBERVALUE(SUBSTITUTE(LEFT(TRIM(C280),FIND(" ",TRIM(C280)&amp;" ")-1),",","."),"."),LEFT(SUBSTITUTE(LEFT(TRIM(C280),FIND(" ",TRIM(C280)&amp;" ")-1),",","."),FIND("/",SUBSTITUTE(LEFT(TRIM(C280),FIND(" ",TRIM(C280)&amp;" ")-1),",","."))-1)/MID(SUBSTITUTE(LEFT(TRIM(C280),FIND(" ",TRIM(C280)&amp;" ")-1),",","."),FIND("/",SUBSTITUTE(LEFT(TRIM(C280),FIND(" ",TRIM(C280)&amp;" ")-1),",","."))+1,9))*12,NA()))),0),36)*'Aturan &amp; Tarif'!$B$4,2)</f>
        <v>2044.08</v>
      </c>
      <c r="K280" s="32" t="n">
        <f aca="false">'Aturan &amp; Tarif'!$B$5</f>
        <v>2050</v>
      </c>
      <c r="L280" s="32" t="n">
        <f aca="false">'Aturan &amp; Tarif'!$B$6</f>
        <v>350</v>
      </c>
      <c r="M280" s="35" t="n">
        <f aca="false">I280+J280+K280+L280</f>
        <v>10941.58</v>
      </c>
      <c r="N280" s="36" t="s">
        <v>2088</v>
      </c>
    </row>
    <row r="281" customFormat="false" ht="60" hidden="false" customHeight="true" outlineLevel="0" collapsed="false">
      <c r="A281" s="29"/>
      <c r="B281" s="30" t="s">
        <v>2089</v>
      </c>
      <c r="C281" s="31" t="s">
        <v>127</v>
      </c>
      <c r="D281" s="31" t="s">
        <v>1863</v>
      </c>
      <c r="E281" s="32" t="n">
        <v>2012.5</v>
      </c>
      <c r="F281" s="32" t="n">
        <v>200</v>
      </c>
      <c r="G281" s="32" t="n">
        <v>260</v>
      </c>
      <c r="H281" s="33" t="n">
        <v>3</v>
      </c>
      <c r="I281" s="34" t="n">
        <f aca="false">E281*H281+N(F281)+N(G281)</f>
        <v>6497.5</v>
      </c>
      <c r="J281" s="32" t="n">
        <f aca="false">ROUND(IFERROR(ROUND(IF(OR(ISNUMBER(SEARCH("week",C281)),ISNUMBER(SEARCH("minggu",C281))),IFERROR(_xlfn.NUMBERVALUE(SUBSTITUTE(LEFT(TRIM(C281),FIND(" ",TRIM(C281)&amp;" ")-1),",","."),"."),LEFT(SUBSTITUTE(LEFT(TRIM(C281),FIND(" ",TRIM(C281)&amp;" ")-1),",","."),FIND("/",SUBSTITUTE(LEFT(TRIM(C281),FIND(" ",TRIM(C281)&amp;" ")-1),",","."))-1)/MID(SUBSTITUTE(LEFT(TRIM(C281),FIND(" ",TRIM(C281)&amp;" ")-1),",","."),FIND("/",SUBSTITUTE(LEFT(TRIM(C281),FIND(" ",TRIM(C281)&amp;" ")-1),",","."))+1,9))*12/52,IF(ISNUMBER(SEARCH("month",C281)),IFERROR(_xlfn.NUMBERVALUE(SUBSTITUTE(LEFT(TRIM(C281),FIND(" ",TRIM(C281)&amp;" ")-1),",","."),"."),LEFT(SUBSTITUTE(LEFT(TRIM(C281),FIND(" ",TRIM(C281)&amp;" ")-1),",","."),FIND("/",SUBSTITUTE(LEFT(TRIM(C281),FIND(" ",TRIM(C281)&amp;" ")-1),",","."))-1)/MID(SUBSTITUTE(LEFT(TRIM(C281),FIND(" ",TRIM(C281)&amp;" ")-1),",","."),FIND("/",SUBSTITUTE(LEFT(TRIM(C281),FIND(" ",TRIM(C281)&amp;" ")-1),",","."))+1,9)),IF(ISNUMBER(SEARCH("yea",C281)),IFERROR(_xlfn.NUMBERVALUE(SUBSTITUTE(LEFT(TRIM(C281),FIND(" ",TRIM(C281)&amp;" ")-1),",","."),"."),LEFT(SUBSTITUTE(LEFT(TRIM(C281),FIND(" ",TRIM(C281)&amp;" ")-1),",","."),FIND("/",SUBSTITUTE(LEFT(TRIM(C281),FIND(" ",TRIM(C281)&amp;" ")-1),",","."))-1)/MID(SUBSTITUTE(LEFT(TRIM(C281),FIND(" ",TRIM(C281)&amp;" ")-1),",","."),FIND("/",SUBSTITUTE(LEFT(TRIM(C281),FIND(" ",TRIM(C281)&amp;" ")-1),",","."))+1,9))*12,NA()))),0),36)*'Aturan &amp; Tarif'!$B$4,2)</f>
        <v>2044.08</v>
      </c>
      <c r="K281" s="32" t="n">
        <f aca="false">'Aturan &amp; Tarif'!$B$5</f>
        <v>2050</v>
      </c>
      <c r="L281" s="32" t="n">
        <f aca="false">'Aturan &amp; Tarif'!$B$6</f>
        <v>350</v>
      </c>
      <c r="M281" s="35" t="n">
        <f aca="false">I281+J281+K281+L281</f>
        <v>10941.58</v>
      </c>
      <c r="N281" s="36" t="s">
        <v>2088</v>
      </c>
    </row>
    <row r="282" customFormat="false" ht="60" hidden="false" customHeight="true" outlineLevel="0" collapsed="false">
      <c r="A282" s="29"/>
      <c r="B282" s="30" t="s">
        <v>2090</v>
      </c>
      <c r="C282" s="31" t="s">
        <v>127</v>
      </c>
      <c r="D282" s="31" t="s">
        <v>1863</v>
      </c>
      <c r="E282" s="32" t="n">
        <v>2012.5</v>
      </c>
      <c r="F282" s="32" t="n">
        <v>200</v>
      </c>
      <c r="G282" s="32" t="n">
        <v>260</v>
      </c>
      <c r="H282" s="33" t="n">
        <v>3</v>
      </c>
      <c r="I282" s="34" t="n">
        <f aca="false">E282*H282+N(F282)+N(G282)</f>
        <v>6497.5</v>
      </c>
      <c r="J282" s="32" t="n">
        <f aca="false">ROUND(IFERROR(ROUND(IF(OR(ISNUMBER(SEARCH("week",C282)),ISNUMBER(SEARCH("minggu",C282))),IFERROR(_xlfn.NUMBERVALUE(SUBSTITUTE(LEFT(TRIM(C282),FIND(" ",TRIM(C282)&amp;" ")-1),",","."),"."),LEFT(SUBSTITUTE(LEFT(TRIM(C282),FIND(" ",TRIM(C282)&amp;" ")-1),",","."),FIND("/",SUBSTITUTE(LEFT(TRIM(C282),FIND(" ",TRIM(C282)&amp;" ")-1),",","."))-1)/MID(SUBSTITUTE(LEFT(TRIM(C282),FIND(" ",TRIM(C282)&amp;" ")-1),",","."),FIND("/",SUBSTITUTE(LEFT(TRIM(C282),FIND(" ",TRIM(C282)&amp;" ")-1),",","."))+1,9))*12/52,IF(ISNUMBER(SEARCH("month",C282)),IFERROR(_xlfn.NUMBERVALUE(SUBSTITUTE(LEFT(TRIM(C282),FIND(" ",TRIM(C282)&amp;" ")-1),",","."),"."),LEFT(SUBSTITUTE(LEFT(TRIM(C282),FIND(" ",TRIM(C282)&amp;" ")-1),",","."),FIND("/",SUBSTITUTE(LEFT(TRIM(C282),FIND(" ",TRIM(C282)&amp;" ")-1),",","."))-1)/MID(SUBSTITUTE(LEFT(TRIM(C282),FIND(" ",TRIM(C282)&amp;" ")-1),",","."),FIND("/",SUBSTITUTE(LEFT(TRIM(C282),FIND(" ",TRIM(C282)&amp;" ")-1),",","."))+1,9)),IF(ISNUMBER(SEARCH("yea",C282)),IFERROR(_xlfn.NUMBERVALUE(SUBSTITUTE(LEFT(TRIM(C282),FIND(" ",TRIM(C282)&amp;" ")-1),",","."),"."),LEFT(SUBSTITUTE(LEFT(TRIM(C282),FIND(" ",TRIM(C282)&amp;" ")-1),",","."),FIND("/",SUBSTITUTE(LEFT(TRIM(C282),FIND(" ",TRIM(C282)&amp;" ")-1),",","."))-1)/MID(SUBSTITUTE(LEFT(TRIM(C282),FIND(" ",TRIM(C282)&amp;" ")-1),",","."),FIND("/",SUBSTITUTE(LEFT(TRIM(C282),FIND(" ",TRIM(C282)&amp;" ")-1),",","."))+1,9))*12,NA()))),0),36)*'Aturan &amp; Tarif'!$B$4,2)</f>
        <v>2044.08</v>
      </c>
      <c r="K282" s="32" t="n">
        <f aca="false">'Aturan &amp; Tarif'!$B$5</f>
        <v>2050</v>
      </c>
      <c r="L282" s="32" t="n">
        <f aca="false">'Aturan &amp; Tarif'!$B$6</f>
        <v>350</v>
      </c>
      <c r="M282" s="35" t="n">
        <f aca="false">I282+J282+K282+L282</f>
        <v>10941.58</v>
      </c>
      <c r="N282" s="36" t="s">
        <v>2088</v>
      </c>
    </row>
    <row r="283" customFormat="false" ht="37.5" hidden="false" customHeight="true" outlineLevel="0" collapsed="false">
      <c r="A283" s="29"/>
      <c r="B283" s="30" t="s">
        <v>2091</v>
      </c>
      <c r="C283" s="31" t="s">
        <v>127</v>
      </c>
      <c r="D283" s="31" t="s">
        <v>1863</v>
      </c>
      <c r="E283" s="32" t="n">
        <v>2012.5</v>
      </c>
      <c r="F283" s="32" t="n">
        <v>200</v>
      </c>
      <c r="G283" s="32" t="n">
        <v>260</v>
      </c>
      <c r="H283" s="33" t="n">
        <v>3</v>
      </c>
      <c r="I283" s="34" t="n">
        <f aca="false">E283*H283+N(F283)+N(G283)</f>
        <v>6497.5</v>
      </c>
      <c r="J283" s="32" t="n">
        <f aca="false">ROUND(IFERROR(ROUND(IF(OR(ISNUMBER(SEARCH("week",C283)),ISNUMBER(SEARCH("minggu",C283))),IFERROR(_xlfn.NUMBERVALUE(SUBSTITUTE(LEFT(TRIM(C283),FIND(" ",TRIM(C283)&amp;" ")-1),",","."),"."),LEFT(SUBSTITUTE(LEFT(TRIM(C283),FIND(" ",TRIM(C283)&amp;" ")-1),",","."),FIND("/",SUBSTITUTE(LEFT(TRIM(C283),FIND(" ",TRIM(C283)&amp;" ")-1),",","."))-1)/MID(SUBSTITUTE(LEFT(TRIM(C283),FIND(" ",TRIM(C283)&amp;" ")-1),",","."),FIND("/",SUBSTITUTE(LEFT(TRIM(C283),FIND(" ",TRIM(C283)&amp;" ")-1),",","."))+1,9))*12/52,IF(ISNUMBER(SEARCH("month",C283)),IFERROR(_xlfn.NUMBERVALUE(SUBSTITUTE(LEFT(TRIM(C283),FIND(" ",TRIM(C283)&amp;" ")-1),",","."),"."),LEFT(SUBSTITUTE(LEFT(TRIM(C283),FIND(" ",TRIM(C283)&amp;" ")-1),",","."),FIND("/",SUBSTITUTE(LEFT(TRIM(C283),FIND(" ",TRIM(C283)&amp;" ")-1),",","."))-1)/MID(SUBSTITUTE(LEFT(TRIM(C283),FIND(" ",TRIM(C283)&amp;" ")-1),",","."),FIND("/",SUBSTITUTE(LEFT(TRIM(C283),FIND(" ",TRIM(C283)&amp;" ")-1),",","."))+1,9)),IF(ISNUMBER(SEARCH("yea",C283)),IFERROR(_xlfn.NUMBERVALUE(SUBSTITUTE(LEFT(TRIM(C283),FIND(" ",TRIM(C283)&amp;" ")-1),",","."),"."),LEFT(SUBSTITUTE(LEFT(TRIM(C283),FIND(" ",TRIM(C283)&amp;" ")-1),",","."),FIND("/",SUBSTITUTE(LEFT(TRIM(C283),FIND(" ",TRIM(C283)&amp;" ")-1),",","."))-1)/MID(SUBSTITUTE(LEFT(TRIM(C283),FIND(" ",TRIM(C283)&amp;" ")-1),",","."),FIND("/",SUBSTITUTE(LEFT(TRIM(C283),FIND(" ",TRIM(C283)&amp;" ")-1),",","."))+1,9))*12,NA()))),0),36)*'Aturan &amp; Tarif'!$B$4,2)</f>
        <v>2044.08</v>
      </c>
      <c r="K283" s="32" t="n">
        <f aca="false">'Aturan &amp; Tarif'!$B$5</f>
        <v>2050</v>
      </c>
      <c r="L283" s="32" t="n">
        <f aca="false">'Aturan &amp; Tarif'!$B$6</f>
        <v>350</v>
      </c>
      <c r="M283" s="35" t="n">
        <f aca="false">I283+J283+K283+L283</f>
        <v>10941.58</v>
      </c>
      <c r="N283" s="36" t="s">
        <v>2088</v>
      </c>
    </row>
    <row r="284" customFormat="false" ht="72" hidden="false" customHeight="true" outlineLevel="0" collapsed="false">
      <c r="A284" s="29" t="s">
        <v>2842</v>
      </c>
      <c r="B284" s="30" t="s">
        <v>2843</v>
      </c>
      <c r="C284" s="31" t="s">
        <v>344</v>
      </c>
      <c r="D284" s="31" t="s">
        <v>737</v>
      </c>
      <c r="E284" s="32" t="n">
        <v>14700</v>
      </c>
      <c r="F284" s="32"/>
      <c r="G284" s="32" t="n">
        <v>200</v>
      </c>
      <c r="H284" s="33" t="n">
        <v>1</v>
      </c>
      <c r="I284" s="34" t="n">
        <f aca="false">E284*H284+N(F284)+N(G284)</f>
        <v>14900</v>
      </c>
      <c r="J284" s="32" t="n">
        <f aca="false">ROUND(IFERROR(ROUND(IF(OR(ISNUMBER(SEARCH("week",C284)),ISNUMBER(SEARCH("minggu",C284))),IFERROR(_xlfn.NUMBERVALUE(SUBSTITUTE(LEFT(TRIM(C284),FIND(" ",TRIM(C284)&amp;" ")-1),",","."),"."),LEFT(SUBSTITUTE(LEFT(TRIM(C284),FIND(" ",TRIM(C284)&amp;" ")-1),",","."),FIND("/",SUBSTITUTE(LEFT(TRIM(C284),FIND(" ",TRIM(C284)&amp;" ")-1),",","."))-1)/MID(SUBSTITUTE(LEFT(TRIM(C284),FIND(" ",TRIM(C284)&amp;" ")-1),",","."),FIND("/",SUBSTITUTE(LEFT(TRIM(C284),FIND(" ",TRIM(C284)&amp;" ")-1),",","."))+1,9))*12/52,IF(ISNUMBER(SEARCH("month",C284)),IFERROR(_xlfn.NUMBERVALUE(SUBSTITUTE(LEFT(TRIM(C284),FIND(" ",TRIM(C284)&amp;" ")-1),",","."),"."),LEFT(SUBSTITUTE(LEFT(TRIM(C284),FIND(" ",TRIM(C284)&amp;" ")-1),",","."),FIND("/",SUBSTITUTE(LEFT(TRIM(C284),FIND(" ",TRIM(C284)&amp;" ")-1),",","."))-1)/MID(SUBSTITUTE(LEFT(TRIM(C284),FIND(" ",TRIM(C284)&amp;" ")-1),",","."),FIND("/",SUBSTITUTE(LEFT(TRIM(C284),FIND(" ",TRIM(C284)&amp;" ")-1),",","."))+1,9)),IF(ISNUMBER(SEARCH("yea",C284)),IFERROR(_xlfn.NUMBERVALUE(SUBSTITUTE(LEFT(TRIM(C284),FIND(" ",TRIM(C284)&amp;" ")-1),",","."),"."),LEFT(SUBSTITUTE(LEFT(TRIM(C284),FIND(" ",TRIM(C284)&amp;" ")-1),",","."),FIND("/",SUBSTITUTE(LEFT(TRIM(C284),FIND(" ",TRIM(C284)&amp;" ")-1),",","."))-1)/MID(SUBSTITUTE(LEFT(TRIM(C284),FIND(" ",TRIM(C284)&amp;" ")-1),",","."),FIND("/",SUBSTITUTE(LEFT(TRIM(C284),FIND(" ",TRIM(C284)&amp;" ")-1),",","."))+1,9))*12,NA()))),0),6)*'Aturan &amp; Tarif'!$B$4,2)</f>
        <v>340.68</v>
      </c>
      <c r="K284" s="32" t="n">
        <f aca="false">'Aturan &amp; Tarif'!$B$5</f>
        <v>2050</v>
      </c>
      <c r="L284" s="32" t="n">
        <f aca="false">'Aturan &amp; Tarif'!$B$6</f>
        <v>350</v>
      </c>
      <c r="M284" s="35" t="n">
        <f aca="false">I284+J284+K284+L284</f>
        <v>17640.68</v>
      </c>
      <c r="N284" s="36" t="s">
        <v>2844</v>
      </c>
    </row>
    <row r="285" customFormat="false" ht="14.25" hidden="false" customHeight="true" outlineLevel="0" collapsed="false">
      <c r="A285" s="29"/>
      <c r="B285" s="30" t="s">
        <v>2845</v>
      </c>
      <c r="C285" s="31" t="s">
        <v>107</v>
      </c>
      <c r="D285" s="31" t="s">
        <v>737</v>
      </c>
      <c r="E285" s="32" t="n">
        <v>14700</v>
      </c>
      <c r="F285" s="32"/>
      <c r="G285" s="32" t="n">
        <v>200</v>
      </c>
      <c r="H285" s="33" t="n">
        <v>1</v>
      </c>
      <c r="I285" s="34" t="n">
        <f aca="false">E285*H285+N(F285)+N(G285)</f>
        <v>14900</v>
      </c>
      <c r="J285" s="32" t="n">
        <f aca="false">ROUND(IFERROR(ROUND(IF(OR(ISNUMBER(SEARCH("week",C285)),ISNUMBER(SEARCH("minggu",C285))),IFERROR(_xlfn.NUMBERVALUE(SUBSTITUTE(LEFT(TRIM(C285),FIND(" ",TRIM(C285)&amp;" ")-1),",","."),"."),LEFT(SUBSTITUTE(LEFT(TRIM(C285),FIND(" ",TRIM(C285)&amp;" ")-1),",","."),FIND("/",SUBSTITUTE(LEFT(TRIM(C285),FIND(" ",TRIM(C285)&amp;" ")-1),",","."))-1)/MID(SUBSTITUTE(LEFT(TRIM(C285),FIND(" ",TRIM(C285)&amp;" ")-1),",","."),FIND("/",SUBSTITUTE(LEFT(TRIM(C285),FIND(" ",TRIM(C285)&amp;" ")-1),",","."))+1,9))*12/52,IF(ISNUMBER(SEARCH("month",C285)),IFERROR(_xlfn.NUMBERVALUE(SUBSTITUTE(LEFT(TRIM(C285),FIND(" ",TRIM(C285)&amp;" ")-1),",","."),"."),LEFT(SUBSTITUTE(LEFT(TRIM(C285),FIND(" ",TRIM(C285)&amp;" ")-1),",","."),FIND("/",SUBSTITUTE(LEFT(TRIM(C285),FIND(" ",TRIM(C285)&amp;" ")-1),",","."))-1)/MID(SUBSTITUTE(LEFT(TRIM(C285),FIND(" ",TRIM(C285)&amp;" ")-1),",","."),FIND("/",SUBSTITUTE(LEFT(TRIM(C285),FIND(" ",TRIM(C285)&amp;" ")-1),",","."))+1,9)),IF(ISNUMBER(SEARCH("yea",C285)),IFERROR(_xlfn.NUMBERVALUE(SUBSTITUTE(LEFT(TRIM(C285),FIND(" ",TRIM(C285)&amp;" ")-1),",","."),"."),LEFT(SUBSTITUTE(LEFT(TRIM(C285),FIND(" ",TRIM(C285)&amp;" ")-1),",","."),FIND("/",SUBSTITUTE(LEFT(TRIM(C285),FIND(" ",TRIM(C285)&amp;" ")-1),",","."))-1)/MID(SUBSTITUTE(LEFT(TRIM(C285),FIND(" ",TRIM(C285)&amp;" ")-1),",","."),FIND("/",SUBSTITUTE(LEFT(TRIM(C285),FIND(" ",TRIM(C285)&amp;" ")-1),",","."))+1,9))*12,NA()))),0),24)*'Aturan &amp; Tarif'!$B$4,2)</f>
        <v>1362.72</v>
      </c>
      <c r="K285" s="32" t="n">
        <f aca="false">'Aturan &amp; Tarif'!$B$5</f>
        <v>2050</v>
      </c>
      <c r="L285" s="32" t="n">
        <f aca="false">'Aturan &amp; Tarif'!$B$6</f>
        <v>350</v>
      </c>
      <c r="M285" s="35" t="n">
        <f aca="false">I285+J285+K285+L285</f>
        <v>18662.72</v>
      </c>
      <c r="N285" s="36" t="s">
        <v>2846</v>
      </c>
    </row>
    <row r="286" customFormat="false" ht="37.5" hidden="false" customHeight="true" outlineLevel="0" collapsed="false">
      <c r="A286" s="29"/>
      <c r="B286" s="30" t="s">
        <v>2847</v>
      </c>
      <c r="C286" s="31" t="s">
        <v>107</v>
      </c>
      <c r="D286" s="31" t="s">
        <v>737</v>
      </c>
      <c r="E286" s="32" t="n">
        <v>8100</v>
      </c>
      <c r="F286" s="32"/>
      <c r="G286" s="32" t="n">
        <v>200</v>
      </c>
      <c r="H286" s="33" t="n">
        <v>1</v>
      </c>
      <c r="I286" s="34" t="n">
        <f aca="false">E286*H286+N(F286)+N(G286)</f>
        <v>8300</v>
      </c>
      <c r="J286" s="32" t="n">
        <f aca="false">ROUND(IFERROR(ROUND(IF(OR(ISNUMBER(SEARCH("week",C286)),ISNUMBER(SEARCH("minggu",C286))),IFERROR(_xlfn.NUMBERVALUE(SUBSTITUTE(LEFT(TRIM(C286),FIND(" ",TRIM(C286)&amp;" ")-1),",","."),"."),LEFT(SUBSTITUTE(LEFT(TRIM(C286),FIND(" ",TRIM(C286)&amp;" ")-1),",","."),FIND("/",SUBSTITUTE(LEFT(TRIM(C286),FIND(" ",TRIM(C286)&amp;" ")-1),",","."))-1)/MID(SUBSTITUTE(LEFT(TRIM(C286),FIND(" ",TRIM(C286)&amp;" ")-1),",","."),FIND("/",SUBSTITUTE(LEFT(TRIM(C286),FIND(" ",TRIM(C286)&amp;" ")-1),",","."))+1,9))*12/52,IF(ISNUMBER(SEARCH("month",C286)),IFERROR(_xlfn.NUMBERVALUE(SUBSTITUTE(LEFT(TRIM(C286),FIND(" ",TRIM(C286)&amp;" ")-1),",","."),"."),LEFT(SUBSTITUTE(LEFT(TRIM(C286),FIND(" ",TRIM(C286)&amp;" ")-1),",","."),FIND("/",SUBSTITUTE(LEFT(TRIM(C286),FIND(" ",TRIM(C286)&amp;" ")-1),",","."))-1)/MID(SUBSTITUTE(LEFT(TRIM(C286),FIND(" ",TRIM(C286)&amp;" ")-1),",","."),FIND("/",SUBSTITUTE(LEFT(TRIM(C286),FIND(" ",TRIM(C286)&amp;" ")-1),",","."))+1,9)),IF(ISNUMBER(SEARCH("yea",C286)),IFERROR(_xlfn.NUMBERVALUE(SUBSTITUTE(LEFT(TRIM(C286),FIND(" ",TRIM(C286)&amp;" ")-1),",","."),"."),LEFT(SUBSTITUTE(LEFT(TRIM(C286),FIND(" ",TRIM(C286)&amp;" ")-1),",","."),FIND("/",SUBSTITUTE(LEFT(TRIM(C286),FIND(" ",TRIM(C286)&amp;" ")-1),",","."))-1)/MID(SUBSTITUTE(LEFT(TRIM(C286),FIND(" ",TRIM(C286)&amp;" ")-1),",","."),FIND("/",SUBSTITUTE(LEFT(TRIM(C286),FIND(" ",TRIM(C286)&amp;" ")-1),",","."))+1,9))*12,NA()))),0),24)*'Aturan &amp; Tarif'!$B$4,2)</f>
        <v>1362.72</v>
      </c>
      <c r="K286" s="32" t="n">
        <f aca="false">'Aturan &amp; Tarif'!$B$5</f>
        <v>2050</v>
      </c>
      <c r="L286" s="32" t="n">
        <f aca="false">'Aturan &amp; Tarif'!$B$6</f>
        <v>350</v>
      </c>
      <c r="M286" s="35" t="n">
        <f aca="false">I286+J286+K286+L286</f>
        <v>12062.72</v>
      </c>
      <c r="N286" s="37" t="s">
        <v>2848</v>
      </c>
    </row>
    <row r="287" customFormat="false" ht="60" hidden="false" customHeight="true" outlineLevel="0" collapsed="false">
      <c r="A287" s="29" t="s">
        <v>2118</v>
      </c>
      <c r="B287" s="30" t="s">
        <v>2119</v>
      </c>
      <c r="C287" s="31" t="s">
        <v>107</v>
      </c>
      <c r="D287" s="31" t="s">
        <v>108</v>
      </c>
      <c r="E287" s="32" t="n">
        <v>2750</v>
      </c>
      <c r="F287" s="32" t="n">
        <v>500</v>
      </c>
      <c r="G287" s="32" t="n">
        <v>300</v>
      </c>
      <c r="H287" s="33" t="n">
        <v>1</v>
      </c>
      <c r="I287" s="34" t="n">
        <f aca="false">E287*H287+N(F287)+N(G287)</f>
        <v>3550</v>
      </c>
      <c r="J287" s="32" t="n">
        <f aca="false">ROUND(IFERROR(ROUND(IF(OR(ISNUMBER(SEARCH("week",C287)),ISNUMBER(SEARCH("minggu",C287))),IFERROR(_xlfn.NUMBERVALUE(SUBSTITUTE(LEFT(TRIM(C287),FIND(" ",TRIM(C287)&amp;" ")-1),",","."),"."),LEFT(SUBSTITUTE(LEFT(TRIM(C287),FIND(" ",TRIM(C287)&amp;" ")-1),",","."),FIND("/",SUBSTITUTE(LEFT(TRIM(C287),FIND(" ",TRIM(C287)&amp;" ")-1),",","."))-1)/MID(SUBSTITUTE(LEFT(TRIM(C287),FIND(" ",TRIM(C287)&amp;" ")-1),",","."),FIND("/",SUBSTITUTE(LEFT(TRIM(C287),FIND(" ",TRIM(C287)&amp;" ")-1),",","."))+1,9))*12/52,IF(ISNUMBER(SEARCH("month",C287)),IFERROR(_xlfn.NUMBERVALUE(SUBSTITUTE(LEFT(TRIM(C287),FIND(" ",TRIM(C287)&amp;" ")-1),",","."),"."),LEFT(SUBSTITUTE(LEFT(TRIM(C287),FIND(" ",TRIM(C287)&amp;" ")-1),",","."),FIND("/",SUBSTITUTE(LEFT(TRIM(C287),FIND(" ",TRIM(C287)&amp;" ")-1),",","."))-1)/MID(SUBSTITUTE(LEFT(TRIM(C287),FIND(" ",TRIM(C287)&amp;" ")-1),",","."),FIND("/",SUBSTITUTE(LEFT(TRIM(C287),FIND(" ",TRIM(C287)&amp;" ")-1),",","."))+1,9)),IF(ISNUMBER(SEARCH("yea",C287)),IFERROR(_xlfn.NUMBERVALUE(SUBSTITUTE(LEFT(TRIM(C287),FIND(" ",TRIM(C287)&amp;" ")-1),",","."),"."),LEFT(SUBSTITUTE(LEFT(TRIM(C287),FIND(" ",TRIM(C287)&amp;" ")-1),",","."),FIND("/",SUBSTITUTE(LEFT(TRIM(C287),FIND(" ",TRIM(C287)&amp;" ")-1),",","."))-1)/MID(SUBSTITUTE(LEFT(TRIM(C287),FIND(" ",TRIM(C287)&amp;" ")-1),",","."),FIND("/",SUBSTITUTE(LEFT(TRIM(C287),FIND(" ",TRIM(C287)&amp;" ")-1),",","."))+1,9))*12,NA()))),0),24)*'Aturan &amp; Tarif'!$B$4,2)</f>
        <v>1362.72</v>
      </c>
      <c r="K287" s="32" t="n">
        <f aca="false">'Aturan &amp; Tarif'!$B$5</f>
        <v>2050</v>
      </c>
      <c r="L287" s="32" t="n">
        <f aca="false">'Aturan &amp; Tarif'!$B$6</f>
        <v>350</v>
      </c>
      <c r="M287" s="35" t="n">
        <f aca="false">I287+J287+K287+L287</f>
        <v>7312.72</v>
      </c>
      <c r="N287" s="36" t="s">
        <v>2120</v>
      </c>
    </row>
    <row r="288" customFormat="false" ht="25.5" hidden="false" customHeight="true" outlineLevel="0" collapsed="false">
      <c r="A288" s="29"/>
      <c r="B288" s="30" t="s">
        <v>2849</v>
      </c>
      <c r="C288" s="31" t="s">
        <v>107</v>
      </c>
      <c r="D288" s="31" t="s">
        <v>108</v>
      </c>
      <c r="E288" s="32" t="n">
        <v>2500</v>
      </c>
      <c r="F288" s="32" t="n">
        <v>500</v>
      </c>
      <c r="G288" s="32" t="n">
        <v>300</v>
      </c>
      <c r="H288" s="33" t="n">
        <v>1</v>
      </c>
      <c r="I288" s="34" t="n">
        <f aca="false">E288*H288+N(F288)+N(G288)</f>
        <v>3300</v>
      </c>
      <c r="J288" s="32" t="n">
        <f aca="false">ROUND(IFERROR(ROUND(IF(OR(ISNUMBER(SEARCH("week",C288)),ISNUMBER(SEARCH("minggu",C288))),IFERROR(_xlfn.NUMBERVALUE(SUBSTITUTE(LEFT(TRIM(C288),FIND(" ",TRIM(C288)&amp;" ")-1),",","."),"."),LEFT(SUBSTITUTE(LEFT(TRIM(C288),FIND(" ",TRIM(C288)&amp;" ")-1),",","."),FIND("/",SUBSTITUTE(LEFT(TRIM(C288),FIND(" ",TRIM(C288)&amp;" ")-1),",","."))-1)/MID(SUBSTITUTE(LEFT(TRIM(C288),FIND(" ",TRIM(C288)&amp;" ")-1),",","."),FIND("/",SUBSTITUTE(LEFT(TRIM(C288),FIND(" ",TRIM(C288)&amp;" ")-1),",","."))+1,9))*12/52,IF(ISNUMBER(SEARCH("month",C288)),IFERROR(_xlfn.NUMBERVALUE(SUBSTITUTE(LEFT(TRIM(C288),FIND(" ",TRIM(C288)&amp;" ")-1),",","."),"."),LEFT(SUBSTITUTE(LEFT(TRIM(C288),FIND(" ",TRIM(C288)&amp;" ")-1),",","."),FIND("/",SUBSTITUTE(LEFT(TRIM(C288),FIND(" ",TRIM(C288)&amp;" ")-1),",","."))-1)/MID(SUBSTITUTE(LEFT(TRIM(C288),FIND(" ",TRIM(C288)&amp;" ")-1),",","."),FIND("/",SUBSTITUTE(LEFT(TRIM(C288),FIND(" ",TRIM(C288)&amp;" ")-1),",","."))+1,9)),IF(ISNUMBER(SEARCH("yea",C288)),IFERROR(_xlfn.NUMBERVALUE(SUBSTITUTE(LEFT(TRIM(C288),FIND(" ",TRIM(C288)&amp;" ")-1),",","."),"."),LEFT(SUBSTITUTE(LEFT(TRIM(C288),FIND(" ",TRIM(C288)&amp;" ")-1),",","."),FIND("/",SUBSTITUTE(LEFT(TRIM(C288),FIND(" ",TRIM(C288)&amp;" ")-1),",","."))-1)/MID(SUBSTITUTE(LEFT(TRIM(C288),FIND(" ",TRIM(C288)&amp;" ")-1),",","."),FIND("/",SUBSTITUTE(LEFT(TRIM(C288),FIND(" ",TRIM(C288)&amp;" ")-1),",","."))+1,9))*12,NA()))),0),24)*'Aturan &amp; Tarif'!$B$4,2)</f>
        <v>1362.72</v>
      </c>
      <c r="K288" s="32" t="n">
        <f aca="false">'Aturan &amp; Tarif'!$B$5</f>
        <v>2050</v>
      </c>
      <c r="L288" s="32" t="n">
        <f aca="false">'Aturan &amp; Tarif'!$B$6</f>
        <v>350</v>
      </c>
      <c r="M288" s="35" t="n">
        <f aca="false">I288+J288+K288+L288</f>
        <v>7062.72</v>
      </c>
      <c r="N288" s="37" t="s">
        <v>2850</v>
      </c>
    </row>
    <row r="289" customFormat="false" ht="14.25" hidden="false" customHeight="true" outlineLevel="0" collapsed="false">
      <c r="A289" s="29"/>
      <c r="B289" s="30" t="s">
        <v>2123</v>
      </c>
      <c r="C289" s="31" t="s">
        <v>107</v>
      </c>
      <c r="D289" s="31" t="s">
        <v>108</v>
      </c>
      <c r="E289" s="32" t="n">
        <v>2500</v>
      </c>
      <c r="F289" s="32" t="n">
        <v>350</v>
      </c>
      <c r="G289" s="32" t="n">
        <v>300</v>
      </c>
      <c r="H289" s="33" t="n">
        <v>1</v>
      </c>
      <c r="I289" s="34" t="n">
        <f aca="false">E289*H289+N(F289)+N(G289)</f>
        <v>3150</v>
      </c>
      <c r="J289" s="32" t="n">
        <f aca="false">ROUND(IFERROR(ROUND(IF(OR(ISNUMBER(SEARCH("week",C289)),ISNUMBER(SEARCH("minggu",C289))),IFERROR(_xlfn.NUMBERVALUE(SUBSTITUTE(LEFT(TRIM(C289),FIND(" ",TRIM(C289)&amp;" ")-1),",","."),"."),LEFT(SUBSTITUTE(LEFT(TRIM(C289),FIND(" ",TRIM(C289)&amp;" ")-1),",","."),FIND("/",SUBSTITUTE(LEFT(TRIM(C289),FIND(" ",TRIM(C289)&amp;" ")-1),",","."))-1)/MID(SUBSTITUTE(LEFT(TRIM(C289),FIND(" ",TRIM(C289)&amp;" ")-1),",","."),FIND("/",SUBSTITUTE(LEFT(TRIM(C289),FIND(" ",TRIM(C289)&amp;" ")-1),",","."))+1,9))*12/52,IF(ISNUMBER(SEARCH("month",C289)),IFERROR(_xlfn.NUMBERVALUE(SUBSTITUTE(LEFT(TRIM(C289),FIND(" ",TRIM(C289)&amp;" ")-1),",","."),"."),LEFT(SUBSTITUTE(LEFT(TRIM(C289),FIND(" ",TRIM(C289)&amp;" ")-1),",","."),FIND("/",SUBSTITUTE(LEFT(TRIM(C289),FIND(" ",TRIM(C289)&amp;" ")-1),",","."))-1)/MID(SUBSTITUTE(LEFT(TRIM(C289),FIND(" ",TRIM(C289)&amp;" ")-1),",","."),FIND("/",SUBSTITUTE(LEFT(TRIM(C289),FIND(" ",TRIM(C289)&amp;" ")-1),",","."))+1,9)),IF(ISNUMBER(SEARCH("yea",C289)),IFERROR(_xlfn.NUMBERVALUE(SUBSTITUTE(LEFT(TRIM(C289),FIND(" ",TRIM(C289)&amp;" ")-1),",","."),"."),LEFT(SUBSTITUTE(LEFT(TRIM(C289),FIND(" ",TRIM(C289)&amp;" ")-1),",","."),FIND("/",SUBSTITUTE(LEFT(TRIM(C289),FIND(" ",TRIM(C289)&amp;" ")-1),",","."))-1)/MID(SUBSTITUTE(LEFT(TRIM(C289),FIND(" ",TRIM(C289)&amp;" ")-1),",","."),FIND("/",SUBSTITUTE(LEFT(TRIM(C289),FIND(" ",TRIM(C289)&amp;" ")-1),",","."))+1,9))*12,NA()))),0),24)*'Aturan &amp; Tarif'!$B$4,2)</f>
        <v>1362.72</v>
      </c>
      <c r="K289" s="32" t="n">
        <f aca="false">'Aturan &amp; Tarif'!$B$5</f>
        <v>2050</v>
      </c>
      <c r="L289" s="32" t="n">
        <f aca="false">'Aturan &amp; Tarif'!$B$6</f>
        <v>350</v>
      </c>
      <c r="M289" s="35" t="n">
        <f aca="false">I289+J289+K289+L289</f>
        <v>6912.72</v>
      </c>
      <c r="N289" s="37" t="s">
        <v>2850</v>
      </c>
    </row>
    <row r="290" customFormat="false" ht="25.5" hidden="false" customHeight="true" outlineLevel="0" collapsed="false">
      <c r="A290" s="39" t="s">
        <v>2851</v>
      </c>
      <c r="B290" s="40" t="s">
        <v>967</v>
      </c>
      <c r="C290" s="41" t="s">
        <v>130</v>
      </c>
      <c r="D290" s="41" t="s">
        <v>737</v>
      </c>
      <c r="E290" s="42" t="n">
        <v>11520</v>
      </c>
      <c r="F290" s="42" t="n">
        <v>0</v>
      </c>
      <c r="G290" s="42" t="n">
        <v>300</v>
      </c>
      <c r="H290" s="43" t="n">
        <v>1</v>
      </c>
      <c r="I290" s="34" t="n">
        <f aca="false">E290*H290+N(F290)+N(G290)</f>
        <v>11820</v>
      </c>
      <c r="J290" s="42" t="n">
        <f aca="false">ROUND(IFERROR(ROUND(IF(OR(ISNUMBER(SEARCH("week",C290)),ISNUMBER(SEARCH("minggu",C290))),IFERROR(_xlfn.NUMBERVALUE(SUBSTITUTE(LEFT(TRIM(C290),FIND(" ",TRIM(C290)&amp;" ")-1),",","."),"."),LEFT(SUBSTITUTE(LEFT(TRIM(C290),FIND(" ",TRIM(C290)&amp;" ")-1),",","."),FIND("/",SUBSTITUTE(LEFT(TRIM(C290),FIND(" ",TRIM(C290)&amp;" ")-1),",","."))-1)/MID(SUBSTITUTE(LEFT(TRIM(C290),FIND(" ",TRIM(C290)&amp;" ")-1),",","."),FIND("/",SUBSTITUTE(LEFT(TRIM(C290),FIND(" ",TRIM(C290)&amp;" ")-1),",","."))+1,9))*12/52,IF(ISNUMBER(SEARCH("month",C290)),IFERROR(_xlfn.NUMBERVALUE(SUBSTITUTE(LEFT(TRIM(C290),FIND(" ",TRIM(C290)&amp;" ")-1),",","."),"."),LEFT(SUBSTITUTE(LEFT(TRIM(C290),FIND(" ",TRIM(C290)&amp;" ")-1),",","."),FIND("/",SUBSTITUTE(LEFT(TRIM(C290),FIND(" ",TRIM(C290)&amp;" ")-1),",","."))-1)/MID(SUBSTITUTE(LEFT(TRIM(C290),FIND(" ",TRIM(C290)&amp;" ")-1),",","."),FIND("/",SUBSTITUTE(LEFT(TRIM(C290),FIND(" ",TRIM(C290)&amp;" ")-1),",","."))+1,9)),IF(ISNUMBER(SEARCH("yea",C290)),IFERROR(_xlfn.NUMBERVALUE(SUBSTITUTE(LEFT(TRIM(C290),FIND(" ",TRIM(C290)&amp;" ")-1),",","."),"."),LEFT(SUBSTITUTE(LEFT(TRIM(C290),FIND(" ",TRIM(C290)&amp;" ")-1),",","."),FIND("/",SUBSTITUTE(LEFT(TRIM(C290),FIND(" ",TRIM(C290)&amp;" ")-1),",","."))-1)/MID(SUBSTITUTE(LEFT(TRIM(C290),FIND(" ",TRIM(C290)&amp;" ")-1),",","."),FIND("/",SUBSTITUTE(LEFT(TRIM(C290),FIND(" ",TRIM(C290)&amp;" ")-1),",","."))+1,9))*12,NA()))),0),12)*'Aturan &amp; Tarif'!$B$4,2)</f>
        <v>681.36</v>
      </c>
      <c r="K290" s="42" t="n">
        <f aca="false">'Aturan &amp; Tarif'!$B$5</f>
        <v>2050</v>
      </c>
      <c r="L290" s="42" t="n">
        <f aca="false">'Aturan &amp; Tarif'!$B$6</f>
        <v>350</v>
      </c>
      <c r="M290" s="35" t="n">
        <f aca="false">I290+J290+K290+L290</f>
        <v>14901.36</v>
      </c>
      <c r="N290" s="45" t="s">
        <v>738</v>
      </c>
    </row>
    <row r="291" customFormat="false" ht="25.5" hidden="false" customHeight="true" outlineLevel="0" collapsed="false">
      <c r="A291" s="39"/>
      <c r="B291" s="40" t="s">
        <v>968</v>
      </c>
      <c r="C291" s="41" t="s">
        <v>127</v>
      </c>
      <c r="D291" s="41" t="s">
        <v>737</v>
      </c>
      <c r="E291" s="42" t="n">
        <v>11520</v>
      </c>
      <c r="F291" s="42" t="n">
        <v>0</v>
      </c>
      <c r="G291" s="42" t="n">
        <v>300</v>
      </c>
      <c r="H291" s="43" t="n">
        <v>1</v>
      </c>
      <c r="I291" s="34" t="n">
        <f aca="false">E291*H291+N(F291)+N(G291)</f>
        <v>11820</v>
      </c>
      <c r="J291" s="42" t="n">
        <f aca="false">ROUND(IFERROR(ROUND(IF(OR(ISNUMBER(SEARCH("week",C291)),ISNUMBER(SEARCH("minggu",C291))),IFERROR(_xlfn.NUMBERVALUE(SUBSTITUTE(LEFT(TRIM(C291),FIND(" ",TRIM(C291)&amp;" ")-1),",","."),"."),LEFT(SUBSTITUTE(LEFT(TRIM(C291),FIND(" ",TRIM(C291)&amp;" ")-1),",","."),FIND("/",SUBSTITUTE(LEFT(TRIM(C291),FIND(" ",TRIM(C291)&amp;" ")-1),",","."))-1)/MID(SUBSTITUTE(LEFT(TRIM(C291),FIND(" ",TRIM(C291)&amp;" ")-1),",","."),FIND("/",SUBSTITUTE(LEFT(TRIM(C291),FIND(" ",TRIM(C291)&amp;" ")-1),",","."))+1,9))*12/52,IF(ISNUMBER(SEARCH("month",C291)),IFERROR(_xlfn.NUMBERVALUE(SUBSTITUTE(LEFT(TRIM(C291),FIND(" ",TRIM(C291)&amp;" ")-1),",","."),"."),LEFT(SUBSTITUTE(LEFT(TRIM(C291),FIND(" ",TRIM(C291)&amp;" ")-1),",","."),FIND("/",SUBSTITUTE(LEFT(TRIM(C291),FIND(" ",TRIM(C291)&amp;" ")-1),",","."))-1)/MID(SUBSTITUTE(LEFT(TRIM(C291),FIND(" ",TRIM(C291)&amp;" ")-1),",","."),FIND("/",SUBSTITUTE(LEFT(TRIM(C291),FIND(" ",TRIM(C291)&amp;" ")-1),",","."))+1,9)),IF(ISNUMBER(SEARCH("yea",C291)),IFERROR(_xlfn.NUMBERVALUE(SUBSTITUTE(LEFT(TRIM(C291),FIND(" ",TRIM(C291)&amp;" ")-1),",","."),"."),LEFT(SUBSTITUTE(LEFT(TRIM(C291),FIND(" ",TRIM(C291)&amp;" ")-1),",","."),FIND("/",SUBSTITUTE(LEFT(TRIM(C291),FIND(" ",TRIM(C291)&amp;" ")-1),",","."))-1)/MID(SUBSTITUTE(LEFT(TRIM(C291),FIND(" ",TRIM(C291)&amp;" ")-1),",","."),FIND("/",SUBSTITUTE(LEFT(TRIM(C291),FIND(" ",TRIM(C291)&amp;" ")-1),",","."))+1,9))*12,NA()))),0),36)*'Aturan &amp; Tarif'!$B$4,2)</f>
        <v>2044.08</v>
      </c>
      <c r="K291" s="42" t="n">
        <f aca="false">'Aturan &amp; Tarif'!$B$5</f>
        <v>2050</v>
      </c>
      <c r="L291" s="42" t="n">
        <f aca="false">'Aturan &amp; Tarif'!$B$6</f>
        <v>350</v>
      </c>
      <c r="M291" s="35" t="n">
        <f aca="false">I291+J291+K291+L291</f>
        <v>16264.08</v>
      </c>
      <c r="N291" s="45" t="s">
        <v>738</v>
      </c>
    </row>
    <row r="292" customFormat="false" ht="25.5" hidden="false" customHeight="true" outlineLevel="0" collapsed="false">
      <c r="A292" s="39"/>
      <c r="B292" s="40" t="s">
        <v>969</v>
      </c>
      <c r="C292" s="41" t="s">
        <v>344</v>
      </c>
      <c r="D292" s="41" t="s">
        <v>737</v>
      </c>
      <c r="E292" s="42" t="n">
        <v>19640</v>
      </c>
      <c r="F292" s="42" t="n">
        <v>0</v>
      </c>
      <c r="G292" s="42" t="n">
        <v>300</v>
      </c>
      <c r="H292" s="43" t="n">
        <v>1</v>
      </c>
      <c r="I292" s="34" t="n">
        <f aca="false">E292*H292+N(F292)+N(G292)</f>
        <v>19940</v>
      </c>
      <c r="J292" s="42" t="n">
        <f aca="false">ROUND(IFERROR(ROUND(IF(OR(ISNUMBER(SEARCH("week",C292)),ISNUMBER(SEARCH("minggu",C292))),IFERROR(_xlfn.NUMBERVALUE(SUBSTITUTE(LEFT(TRIM(C292),FIND(" ",TRIM(C292)&amp;" ")-1),",","."),"."),LEFT(SUBSTITUTE(LEFT(TRIM(C292),FIND(" ",TRIM(C292)&amp;" ")-1),",","."),FIND("/",SUBSTITUTE(LEFT(TRIM(C292),FIND(" ",TRIM(C292)&amp;" ")-1),",","."))-1)/MID(SUBSTITUTE(LEFT(TRIM(C292),FIND(" ",TRIM(C292)&amp;" ")-1),",","."),FIND("/",SUBSTITUTE(LEFT(TRIM(C292),FIND(" ",TRIM(C292)&amp;" ")-1),",","."))+1,9))*12/52,IF(ISNUMBER(SEARCH("month",C292)),IFERROR(_xlfn.NUMBERVALUE(SUBSTITUTE(LEFT(TRIM(C292),FIND(" ",TRIM(C292)&amp;" ")-1),",","."),"."),LEFT(SUBSTITUTE(LEFT(TRIM(C292),FIND(" ",TRIM(C292)&amp;" ")-1),",","."),FIND("/",SUBSTITUTE(LEFT(TRIM(C292),FIND(" ",TRIM(C292)&amp;" ")-1),",","."))-1)/MID(SUBSTITUTE(LEFT(TRIM(C292),FIND(" ",TRIM(C292)&amp;" ")-1),",","."),FIND("/",SUBSTITUTE(LEFT(TRIM(C292),FIND(" ",TRIM(C292)&amp;" ")-1),",","."))+1,9)),IF(ISNUMBER(SEARCH("yea",C292)),IFERROR(_xlfn.NUMBERVALUE(SUBSTITUTE(LEFT(TRIM(C292),FIND(" ",TRIM(C292)&amp;" ")-1),",","."),"."),LEFT(SUBSTITUTE(LEFT(TRIM(C292),FIND(" ",TRIM(C292)&amp;" ")-1),",","."),FIND("/",SUBSTITUTE(LEFT(TRIM(C292),FIND(" ",TRIM(C292)&amp;" ")-1),",","."))-1)/MID(SUBSTITUTE(LEFT(TRIM(C292),FIND(" ",TRIM(C292)&amp;" ")-1),",","."),FIND("/",SUBSTITUTE(LEFT(TRIM(C292),FIND(" ",TRIM(C292)&amp;" ")-1),",","."))+1,9))*12,NA()))),0),6)*'Aturan &amp; Tarif'!$B$4,2)</f>
        <v>340.68</v>
      </c>
      <c r="K292" s="42" t="n">
        <f aca="false">'Aturan &amp; Tarif'!$B$5</f>
        <v>2050</v>
      </c>
      <c r="L292" s="42" t="n">
        <f aca="false">'Aturan &amp; Tarif'!$B$6</f>
        <v>350</v>
      </c>
      <c r="M292" s="35" t="n">
        <f aca="false">I292+J292+K292+L292</f>
        <v>22680.68</v>
      </c>
      <c r="N292" s="45" t="s">
        <v>738</v>
      </c>
    </row>
    <row r="293" customFormat="false" ht="25.5" hidden="false" customHeight="true" outlineLevel="0" collapsed="false">
      <c r="A293" s="39"/>
      <c r="B293" s="40" t="s">
        <v>970</v>
      </c>
      <c r="C293" s="41" t="s">
        <v>130</v>
      </c>
      <c r="D293" s="41" t="s">
        <v>737</v>
      </c>
      <c r="E293" s="42" t="n">
        <v>19640</v>
      </c>
      <c r="F293" s="42" t="n">
        <v>0</v>
      </c>
      <c r="G293" s="42" t="n">
        <v>300</v>
      </c>
      <c r="H293" s="43" t="n">
        <v>1</v>
      </c>
      <c r="I293" s="34" t="n">
        <f aca="false">E293*H293+N(F293)+N(G293)</f>
        <v>19940</v>
      </c>
      <c r="J293" s="42" t="n">
        <f aca="false">ROUND(IFERROR(ROUND(IF(OR(ISNUMBER(SEARCH("week",C293)),ISNUMBER(SEARCH("minggu",C293))),IFERROR(_xlfn.NUMBERVALUE(SUBSTITUTE(LEFT(TRIM(C293),FIND(" ",TRIM(C293)&amp;" ")-1),",","."),"."),LEFT(SUBSTITUTE(LEFT(TRIM(C293),FIND(" ",TRIM(C293)&amp;" ")-1),",","."),FIND("/",SUBSTITUTE(LEFT(TRIM(C293),FIND(" ",TRIM(C293)&amp;" ")-1),",","."))-1)/MID(SUBSTITUTE(LEFT(TRIM(C293),FIND(" ",TRIM(C293)&amp;" ")-1),",","."),FIND("/",SUBSTITUTE(LEFT(TRIM(C293),FIND(" ",TRIM(C293)&amp;" ")-1),",","."))+1,9))*12/52,IF(ISNUMBER(SEARCH("month",C293)),IFERROR(_xlfn.NUMBERVALUE(SUBSTITUTE(LEFT(TRIM(C293),FIND(" ",TRIM(C293)&amp;" ")-1),",","."),"."),LEFT(SUBSTITUTE(LEFT(TRIM(C293),FIND(" ",TRIM(C293)&amp;" ")-1),",","."),FIND("/",SUBSTITUTE(LEFT(TRIM(C293),FIND(" ",TRIM(C293)&amp;" ")-1),",","."))-1)/MID(SUBSTITUTE(LEFT(TRIM(C293),FIND(" ",TRIM(C293)&amp;" ")-1),",","."),FIND("/",SUBSTITUTE(LEFT(TRIM(C293),FIND(" ",TRIM(C293)&amp;" ")-1),",","."))+1,9)),IF(ISNUMBER(SEARCH("yea",C293)),IFERROR(_xlfn.NUMBERVALUE(SUBSTITUTE(LEFT(TRIM(C293),FIND(" ",TRIM(C293)&amp;" ")-1),",","."),"."),LEFT(SUBSTITUTE(LEFT(TRIM(C293),FIND(" ",TRIM(C293)&amp;" ")-1),",","."),FIND("/",SUBSTITUTE(LEFT(TRIM(C293),FIND(" ",TRIM(C293)&amp;" ")-1),",","."))-1)/MID(SUBSTITUTE(LEFT(TRIM(C293),FIND(" ",TRIM(C293)&amp;" ")-1),",","."),FIND("/",SUBSTITUTE(LEFT(TRIM(C293),FIND(" ",TRIM(C293)&amp;" ")-1),",","."))+1,9))*12,NA()))),0),12)*'Aturan &amp; Tarif'!$B$4,2)</f>
        <v>681.36</v>
      </c>
      <c r="K293" s="42" t="n">
        <f aca="false">'Aturan &amp; Tarif'!$B$5</f>
        <v>2050</v>
      </c>
      <c r="L293" s="42" t="n">
        <f aca="false">'Aturan &amp; Tarif'!$B$6</f>
        <v>350</v>
      </c>
      <c r="M293" s="35" t="n">
        <f aca="false">I293+J293+K293+L293</f>
        <v>23021.36</v>
      </c>
      <c r="N293" s="45" t="s">
        <v>742</v>
      </c>
    </row>
    <row r="294" customFormat="false" ht="25.5" hidden="false" customHeight="true" outlineLevel="0" collapsed="false">
      <c r="A294" s="39"/>
      <c r="B294" s="40" t="s">
        <v>971</v>
      </c>
      <c r="C294" s="41" t="s">
        <v>113</v>
      </c>
      <c r="D294" s="41" t="s">
        <v>737</v>
      </c>
      <c r="E294" s="42" t="n">
        <v>19640</v>
      </c>
      <c r="F294" s="42" t="n">
        <v>0</v>
      </c>
      <c r="G294" s="42" t="n">
        <v>300</v>
      </c>
      <c r="H294" s="43" t="n">
        <v>1</v>
      </c>
      <c r="I294" s="34" t="n">
        <f aca="false">E294*H294+N(F294)+N(G294)</f>
        <v>19940</v>
      </c>
      <c r="J294" s="42" t="n">
        <f aca="false">ROUND(IFERROR(ROUND(IF(OR(ISNUMBER(SEARCH("week",C294)),ISNUMBER(SEARCH("minggu",C294))),IFERROR(_xlfn.NUMBERVALUE(SUBSTITUTE(LEFT(TRIM(C294),FIND(" ",TRIM(C294)&amp;" ")-1),",","."),"."),LEFT(SUBSTITUTE(LEFT(TRIM(C294),FIND(" ",TRIM(C294)&amp;" ")-1),",","."),FIND("/",SUBSTITUTE(LEFT(TRIM(C294),FIND(" ",TRIM(C294)&amp;" ")-1),",","."))-1)/MID(SUBSTITUTE(LEFT(TRIM(C294),FIND(" ",TRIM(C294)&amp;" ")-1),",","."),FIND("/",SUBSTITUTE(LEFT(TRIM(C294),FIND(" ",TRIM(C294)&amp;" ")-1),",","."))+1,9))*12/52,IF(ISNUMBER(SEARCH("month",C294)),IFERROR(_xlfn.NUMBERVALUE(SUBSTITUTE(LEFT(TRIM(C294),FIND(" ",TRIM(C294)&amp;" ")-1),",","."),"."),LEFT(SUBSTITUTE(LEFT(TRIM(C294),FIND(" ",TRIM(C294)&amp;" ")-1),",","."),FIND("/",SUBSTITUTE(LEFT(TRIM(C294),FIND(" ",TRIM(C294)&amp;" ")-1),",","."))-1)/MID(SUBSTITUTE(LEFT(TRIM(C294),FIND(" ",TRIM(C294)&amp;" ")-1),",","."),FIND("/",SUBSTITUTE(LEFT(TRIM(C294),FIND(" ",TRIM(C294)&amp;" ")-1),",","."))+1,9)),IF(ISNUMBER(SEARCH("yea",C294)),IFERROR(_xlfn.NUMBERVALUE(SUBSTITUTE(LEFT(TRIM(C294),FIND(" ",TRIM(C294)&amp;" ")-1),",","."),"."),LEFT(SUBSTITUTE(LEFT(TRIM(C294),FIND(" ",TRIM(C294)&amp;" ")-1),",","."),FIND("/",SUBSTITUTE(LEFT(TRIM(C294),FIND(" ",TRIM(C294)&amp;" ")-1),",","."))-1)/MID(SUBSTITUTE(LEFT(TRIM(C294),FIND(" ",TRIM(C294)&amp;" ")-1),",","."),FIND("/",SUBSTITUTE(LEFT(TRIM(C294),FIND(" ",TRIM(C294)&amp;" ")-1),",","."))+1,9))*12,NA()))),0),18)*'Aturan &amp; Tarif'!$B$4,2)</f>
        <v>1022.04</v>
      </c>
      <c r="K294" s="42" t="n">
        <f aca="false">'Aturan &amp; Tarif'!$B$5</f>
        <v>2050</v>
      </c>
      <c r="L294" s="42" t="n">
        <f aca="false">'Aturan &amp; Tarif'!$B$6</f>
        <v>350</v>
      </c>
      <c r="M294" s="35" t="n">
        <f aca="false">I294+J294+K294+L294</f>
        <v>23362.04</v>
      </c>
      <c r="N294" s="45" t="s">
        <v>744</v>
      </c>
    </row>
    <row r="295" customFormat="false" ht="25.5" hidden="false" customHeight="true" outlineLevel="0" collapsed="false">
      <c r="A295" s="39"/>
      <c r="B295" s="40" t="s">
        <v>972</v>
      </c>
      <c r="C295" s="41" t="s">
        <v>344</v>
      </c>
      <c r="D295" s="41" t="s">
        <v>737</v>
      </c>
      <c r="E295" s="42" t="n">
        <v>13600</v>
      </c>
      <c r="F295" s="42" t="n">
        <v>0</v>
      </c>
      <c r="G295" s="42" t="n">
        <v>300</v>
      </c>
      <c r="H295" s="43" t="n">
        <v>1</v>
      </c>
      <c r="I295" s="34" t="n">
        <f aca="false">E295*H295+N(F295)+N(G295)</f>
        <v>13900</v>
      </c>
      <c r="J295" s="42" t="n">
        <f aca="false">ROUND(IFERROR(ROUND(IF(OR(ISNUMBER(SEARCH("week",C295)),ISNUMBER(SEARCH("minggu",C295))),IFERROR(_xlfn.NUMBERVALUE(SUBSTITUTE(LEFT(TRIM(C295),FIND(" ",TRIM(C295)&amp;" ")-1),",","."),"."),LEFT(SUBSTITUTE(LEFT(TRIM(C295),FIND(" ",TRIM(C295)&amp;" ")-1),",","."),FIND("/",SUBSTITUTE(LEFT(TRIM(C295),FIND(" ",TRIM(C295)&amp;" ")-1),",","."))-1)/MID(SUBSTITUTE(LEFT(TRIM(C295),FIND(" ",TRIM(C295)&amp;" ")-1),",","."),FIND("/",SUBSTITUTE(LEFT(TRIM(C295),FIND(" ",TRIM(C295)&amp;" ")-1),",","."))+1,9))*12/52,IF(ISNUMBER(SEARCH("month",C295)),IFERROR(_xlfn.NUMBERVALUE(SUBSTITUTE(LEFT(TRIM(C295),FIND(" ",TRIM(C295)&amp;" ")-1),",","."),"."),LEFT(SUBSTITUTE(LEFT(TRIM(C295),FIND(" ",TRIM(C295)&amp;" ")-1),",","."),FIND("/",SUBSTITUTE(LEFT(TRIM(C295),FIND(" ",TRIM(C295)&amp;" ")-1),",","."))-1)/MID(SUBSTITUTE(LEFT(TRIM(C295),FIND(" ",TRIM(C295)&amp;" ")-1),",","."),FIND("/",SUBSTITUTE(LEFT(TRIM(C295),FIND(" ",TRIM(C295)&amp;" ")-1),",","."))+1,9)),IF(ISNUMBER(SEARCH("yea",C295)),IFERROR(_xlfn.NUMBERVALUE(SUBSTITUTE(LEFT(TRIM(C295),FIND(" ",TRIM(C295)&amp;" ")-1),",","."),"."),LEFT(SUBSTITUTE(LEFT(TRIM(C295),FIND(" ",TRIM(C295)&amp;" ")-1),",","."),FIND("/",SUBSTITUTE(LEFT(TRIM(C295),FIND(" ",TRIM(C295)&amp;" ")-1),",","."))-1)/MID(SUBSTITUTE(LEFT(TRIM(C295),FIND(" ",TRIM(C295)&amp;" ")-1),",","."),FIND("/",SUBSTITUTE(LEFT(TRIM(C295),FIND(" ",TRIM(C295)&amp;" ")-1),",","."))+1,9))*12,NA()))),0),6)*'Aturan &amp; Tarif'!$B$4,2)</f>
        <v>340.68</v>
      </c>
      <c r="K295" s="42" t="n">
        <f aca="false">'Aturan &amp; Tarif'!$B$5</f>
        <v>2050</v>
      </c>
      <c r="L295" s="42" t="n">
        <f aca="false">'Aturan &amp; Tarif'!$B$6</f>
        <v>350</v>
      </c>
      <c r="M295" s="35" t="n">
        <f aca="false">I295+J295+K295+L295</f>
        <v>16640.68</v>
      </c>
      <c r="N295" s="45" t="s">
        <v>738</v>
      </c>
    </row>
    <row r="296" customFormat="false" ht="25.5" hidden="false" customHeight="true" outlineLevel="0" collapsed="false">
      <c r="A296" s="39"/>
      <c r="B296" s="40" t="s">
        <v>973</v>
      </c>
      <c r="C296" s="41" t="s">
        <v>107</v>
      </c>
      <c r="D296" s="41" t="s">
        <v>737</v>
      </c>
      <c r="E296" s="42" t="n">
        <v>13600</v>
      </c>
      <c r="F296" s="42" t="n">
        <v>0</v>
      </c>
      <c r="G296" s="42" t="n">
        <v>300</v>
      </c>
      <c r="H296" s="43" t="n">
        <v>1</v>
      </c>
      <c r="I296" s="34" t="n">
        <f aca="false">E296*H296+N(F296)+N(G296)</f>
        <v>13900</v>
      </c>
      <c r="J296" s="42" t="n">
        <f aca="false">ROUND(IFERROR(ROUND(IF(OR(ISNUMBER(SEARCH("week",C296)),ISNUMBER(SEARCH("minggu",C296))),IFERROR(_xlfn.NUMBERVALUE(SUBSTITUTE(LEFT(TRIM(C296),FIND(" ",TRIM(C296)&amp;" ")-1),",","."),"."),LEFT(SUBSTITUTE(LEFT(TRIM(C296),FIND(" ",TRIM(C296)&amp;" ")-1),",","."),FIND("/",SUBSTITUTE(LEFT(TRIM(C296),FIND(" ",TRIM(C296)&amp;" ")-1),",","."))-1)/MID(SUBSTITUTE(LEFT(TRIM(C296),FIND(" ",TRIM(C296)&amp;" ")-1),",","."),FIND("/",SUBSTITUTE(LEFT(TRIM(C296),FIND(" ",TRIM(C296)&amp;" ")-1),",","."))+1,9))*12/52,IF(ISNUMBER(SEARCH("month",C296)),IFERROR(_xlfn.NUMBERVALUE(SUBSTITUTE(LEFT(TRIM(C296),FIND(" ",TRIM(C296)&amp;" ")-1),",","."),"."),LEFT(SUBSTITUTE(LEFT(TRIM(C296),FIND(" ",TRIM(C296)&amp;" ")-1),",","."),FIND("/",SUBSTITUTE(LEFT(TRIM(C296),FIND(" ",TRIM(C296)&amp;" ")-1),",","."))-1)/MID(SUBSTITUTE(LEFT(TRIM(C296),FIND(" ",TRIM(C296)&amp;" ")-1),",","."),FIND("/",SUBSTITUTE(LEFT(TRIM(C296),FIND(" ",TRIM(C296)&amp;" ")-1),",","."))+1,9)),IF(ISNUMBER(SEARCH("yea",C296)),IFERROR(_xlfn.NUMBERVALUE(SUBSTITUTE(LEFT(TRIM(C296),FIND(" ",TRIM(C296)&amp;" ")-1),",","."),"."),LEFT(SUBSTITUTE(LEFT(TRIM(C296),FIND(" ",TRIM(C296)&amp;" ")-1),",","."),FIND("/",SUBSTITUTE(LEFT(TRIM(C296),FIND(" ",TRIM(C296)&amp;" ")-1),",","."))-1)/MID(SUBSTITUTE(LEFT(TRIM(C296),FIND(" ",TRIM(C296)&amp;" ")-1),",","."),FIND("/",SUBSTITUTE(LEFT(TRIM(C296),FIND(" ",TRIM(C296)&amp;" ")-1),",","."))+1,9))*12,NA()))),0),24)*'Aturan &amp; Tarif'!$B$4,2)</f>
        <v>1362.72</v>
      </c>
      <c r="K296" s="42" t="n">
        <f aca="false">'Aturan &amp; Tarif'!$B$5</f>
        <v>2050</v>
      </c>
      <c r="L296" s="42" t="n">
        <f aca="false">'Aturan &amp; Tarif'!$B$6</f>
        <v>350</v>
      </c>
      <c r="M296" s="35" t="n">
        <f aca="false">I296+J296+K296+L296</f>
        <v>17662.72</v>
      </c>
      <c r="N296" s="45" t="s">
        <v>738</v>
      </c>
    </row>
    <row r="297" customFormat="false" ht="25.5" hidden="false" customHeight="true" outlineLevel="0" collapsed="false">
      <c r="A297" s="39"/>
      <c r="B297" s="40" t="s">
        <v>974</v>
      </c>
      <c r="C297" s="41" t="s">
        <v>113</v>
      </c>
      <c r="D297" s="41" t="s">
        <v>737</v>
      </c>
      <c r="E297" s="42" t="n">
        <v>13600</v>
      </c>
      <c r="F297" s="42" t="n">
        <v>0</v>
      </c>
      <c r="G297" s="42" t="n">
        <v>300</v>
      </c>
      <c r="H297" s="43" t="n">
        <v>1</v>
      </c>
      <c r="I297" s="34" t="n">
        <f aca="false">E297*H297+N(F297)+N(G297)</f>
        <v>13900</v>
      </c>
      <c r="J297" s="42" t="n">
        <f aca="false">ROUND(IFERROR(ROUND(IF(OR(ISNUMBER(SEARCH("week",C297)),ISNUMBER(SEARCH("minggu",C297))),IFERROR(_xlfn.NUMBERVALUE(SUBSTITUTE(LEFT(TRIM(C297),FIND(" ",TRIM(C297)&amp;" ")-1),",","."),"."),LEFT(SUBSTITUTE(LEFT(TRIM(C297),FIND(" ",TRIM(C297)&amp;" ")-1),",","."),FIND("/",SUBSTITUTE(LEFT(TRIM(C297),FIND(" ",TRIM(C297)&amp;" ")-1),",","."))-1)/MID(SUBSTITUTE(LEFT(TRIM(C297),FIND(" ",TRIM(C297)&amp;" ")-1),",","."),FIND("/",SUBSTITUTE(LEFT(TRIM(C297),FIND(" ",TRIM(C297)&amp;" ")-1),",","."))+1,9))*12/52,IF(ISNUMBER(SEARCH("month",C297)),IFERROR(_xlfn.NUMBERVALUE(SUBSTITUTE(LEFT(TRIM(C297),FIND(" ",TRIM(C297)&amp;" ")-1),",","."),"."),LEFT(SUBSTITUTE(LEFT(TRIM(C297),FIND(" ",TRIM(C297)&amp;" ")-1),",","."),FIND("/",SUBSTITUTE(LEFT(TRIM(C297),FIND(" ",TRIM(C297)&amp;" ")-1),",","."))-1)/MID(SUBSTITUTE(LEFT(TRIM(C297),FIND(" ",TRIM(C297)&amp;" ")-1),",","."),FIND("/",SUBSTITUTE(LEFT(TRIM(C297),FIND(" ",TRIM(C297)&amp;" ")-1),",","."))+1,9)),IF(ISNUMBER(SEARCH("yea",C297)),IFERROR(_xlfn.NUMBERVALUE(SUBSTITUTE(LEFT(TRIM(C297),FIND(" ",TRIM(C297)&amp;" ")-1),",","."),"."),LEFT(SUBSTITUTE(LEFT(TRIM(C297),FIND(" ",TRIM(C297)&amp;" ")-1),",","."),FIND("/",SUBSTITUTE(LEFT(TRIM(C297),FIND(" ",TRIM(C297)&amp;" ")-1),",","."))-1)/MID(SUBSTITUTE(LEFT(TRIM(C297),FIND(" ",TRIM(C297)&amp;" ")-1),",","."),FIND("/",SUBSTITUTE(LEFT(TRIM(C297),FIND(" ",TRIM(C297)&amp;" ")-1),",","."))+1,9))*12,NA()))),0),18)*'Aturan &amp; Tarif'!$B$4,2)</f>
        <v>1022.04</v>
      </c>
      <c r="K297" s="42" t="n">
        <f aca="false">'Aturan &amp; Tarif'!$B$5</f>
        <v>2050</v>
      </c>
      <c r="L297" s="42" t="n">
        <f aca="false">'Aturan &amp; Tarif'!$B$6</f>
        <v>350</v>
      </c>
      <c r="M297" s="35" t="n">
        <f aca="false">I297+J297+K297+L297</f>
        <v>17322.04</v>
      </c>
      <c r="N297" s="45" t="s">
        <v>738</v>
      </c>
    </row>
    <row r="298" customFormat="false" ht="25.5" hidden="false" customHeight="true" outlineLevel="0" collapsed="false">
      <c r="A298" s="39"/>
      <c r="B298" s="40" t="s">
        <v>975</v>
      </c>
      <c r="C298" s="41" t="s">
        <v>113</v>
      </c>
      <c r="D298" s="41" t="s">
        <v>737</v>
      </c>
      <c r="E298" s="42" t="n">
        <v>13600</v>
      </c>
      <c r="F298" s="42" t="n">
        <v>0</v>
      </c>
      <c r="G298" s="42" t="n">
        <v>300</v>
      </c>
      <c r="H298" s="43" t="n">
        <v>1</v>
      </c>
      <c r="I298" s="34" t="n">
        <f aca="false">E298*H298+N(F298)+N(G298)</f>
        <v>13900</v>
      </c>
      <c r="J298" s="42" t="n">
        <f aca="false">ROUND(IFERROR(ROUND(IF(OR(ISNUMBER(SEARCH("week",C298)),ISNUMBER(SEARCH("minggu",C298))),IFERROR(_xlfn.NUMBERVALUE(SUBSTITUTE(LEFT(TRIM(C298),FIND(" ",TRIM(C298)&amp;" ")-1),",","."),"."),LEFT(SUBSTITUTE(LEFT(TRIM(C298),FIND(" ",TRIM(C298)&amp;" ")-1),",","."),FIND("/",SUBSTITUTE(LEFT(TRIM(C298),FIND(" ",TRIM(C298)&amp;" ")-1),",","."))-1)/MID(SUBSTITUTE(LEFT(TRIM(C298),FIND(" ",TRIM(C298)&amp;" ")-1),",","."),FIND("/",SUBSTITUTE(LEFT(TRIM(C298),FIND(" ",TRIM(C298)&amp;" ")-1),",","."))+1,9))*12/52,IF(ISNUMBER(SEARCH("month",C298)),IFERROR(_xlfn.NUMBERVALUE(SUBSTITUTE(LEFT(TRIM(C298),FIND(" ",TRIM(C298)&amp;" ")-1),",","."),"."),LEFT(SUBSTITUTE(LEFT(TRIM(C298),FIND(" ",TRIM(C298)&amp;" ")-1),",","."),FIND("/",SUBSTITUTE(LEFT(TRIM(C298),FIND(" ",TRIM(C298)&amp;" ")-1),",","."))-1)/MID(SUBSTITUTE(LEFT(TRIM(C298),FIND(" ",TRIM(C298)&amp;" ")-1),",","."),FIND("/",SUBSTITUTE(LEFT(TRIM(C298),FIND(" ",TRIM(C298)&amp;" ")-1),",","."))+1,9)),IF(ISNUMBER(SEARCH("yea",C298)),IFERROR(_xlfn.NUMBERVALUE(SUBSTITUTE(LEFT(TRIM(C298),FIND(" ",TRIM(C298)&amp;" ")-1),",","."),"."),LEFT(SUBSTITUTE(LEFT(TRIM(C298),FIND(" ",TRIM(C298)&amp;" ")-1),",","."),FIND("/",SUBSTITUTE(LEFT(TRIM(C298),FIND(" ",TRIM(C298)&amp;" ")-1),",","."))-1)/MID(SUBSTITUTE(LEFT(TRIM(C298),FIND(" ",TRIM(C298)&amp;" ")-1),",","."),FIND("/",SUBSTITUTE(LEFT(TRIM(C298),FIND(" ",TRIM(C298)&amp;" ")-1),",","."))+1,9))*12,NA()))),0),18)*'Aturan &amp; Tarif'!$B$4,2)</f>
        <v>1022.04</v>
      </c>
      <c r="K298" s="42" t="n">
        <f aca="false">'Aturan &amp; Tarif'!$B$5</f>
        <v>2050</v>
      </c>
      <c r="L298" s="42" t="n">
        <f aca="false">'Aturan &amp; Tarif'!$B$6</f>
        <v>350</v>
      </c>
      <c r="M298" s="35" t="n">
        <f aca="false">I298+J298+K298+L298</f>
        <v>17322.04</v>
      </c>
      <c r="N298" s="45" t="s">
        <v>738</v>
      </c>
    </row>
    <row r="299" customFormat="false" ht="25.5" hidden="false" customHeight="true" outlineLevel="0" collapsed="false">
      <c r="A299" s="39"/>
      <c r="B299" s="40" t="s">
        <v>976</v>
      </c>
      <c r="C299" s="41" t="s">
        <v>107</v>
      </c>
      <c r="D299" s="41" t="s">
        <v>737</v>
      </c>
      <c r="E299" s="42" t="n">
        <v>13600</v>
      </c>
      <c r="F299" s="42" t="n">
        <v>0</v>
      </c>
      <c r="G299" s="42" t="n">
        <v>300</v>
      </c>
      <c r="H299" s="43" t="n">
        <v>1</v>
      </c>
      <c r="I299" s="34" t="n">
        <f aca="false">E299*H299+N(F299)+N(G299)</f>
        <v>13900</v>
      </c>
      <c r="J299" s="42" t="n">
        <f aca="false">ROUND(IFERROR(ROUND(IF(OR(ISNUMBER(SEARCH("week",C299)),ISNUMBER(SEARCH("minggu",C299))),IFERROR(_xlfn.NUMBERVALUE(SUBSTITUTE(LEFT(TRIM(C299),FIND(" ",TRIM(C299)&amp;" ")-1),",","."),"."),LEFT(SUBSTITUTE(LEFT(TRIM(C299),FIND(" ",TRIM(C299)&amp;" ")-1),",","."),FIND("/",SUBSTITUTE(LEFT(TRIM(C299),FIND(" ",TRIM(C299)&amp;" ")-1),",","."))-1)/MID(SUBSTITUTE(LEFT(TRIM(C299),FIND(" ",TRIM(C299)&amp;" ")-1),",","."),FIND("/",SUBSTITUTE(LEFT(TRIM(C299),FIND(" ",TRIM(C299)&amp;" ")-1),",","."))+1,9))*12/52,IF(ISNUMBER(SEARCH("month",C299)),IFERROR(_xlfn.NUMBERVALUE(SUBSTITUTE(LEFT(TRIM(C299),FIND(" ",TRIM(C299)&amp;" ")-1),",","."),"."),LEFT(SUBSTITUTE(LEFT(TRIM(C299),FIND(" ",TRIM(C299)&amp;" ")-1),",","."),FIND("/",SUBSTITUTE(LEFT(TRIM(C299),FIND(" ",TRIM(C299)&amp;" ")-1),",","."))-1)/MID(SUBSTITUTE(LEFT(TRIM(C299),FIND(" ",TRIM(C299)&amp;" ")-1),",","."),FIND("/",SUBSTITUTE(LEFT(TRIM(C299),FIND(" ",TRIM(C299)&amp;" ")-1),",","."))+1,9)),IF(ISNUMBER(SEARCH("yea",C299)),IFERROR(_xlfn.NUMBERVALUE(SUBSTITUTE(LEFT(TRIM(C299),FIND(" ",TRIM(C299)&amp;" ")-1),",","."),"."),LEFT(SUBSTITUTE(LEFT(TRIM(C299),FIND(" ",TRIM(C299)&amp;" ")-1),",","."),FIND("/",SUBSTITUTE(LEFT(TRIM(C299),FIND(" ",TRIM(C299)&amp;" ")-1),",","."))-1)/MID(SUBSTITUTE(LEFT(TRIM(C299),FIND(" ",TRIM(C299)&amp;" ")-1),",","."),FIND("/",SUBSTITUTE(LEFT(TRIM(C299),FIND(" ",TRIM(C299)&amp;" ")-1),",","."))+1,9))*12,NA()))),0),24)*'Aturan &amp; Tarif'!$B$4,2)</f>
        <v>1362.72</v>
      </c>
      <c r="K299" s="42" t="n">
        <f aca="false">'Aturan &amp; Tarif'!$B$5</f>
        <v>2050</v>
      </c>
      <c r="L299" s="42" t="n">
        <f aca="false">'Aturan &amp; Tarif'!$B$6</f>
        <v>350</v>
      </c>
      <c r="M299" s="35" t="n">
        <f aca="false">I299+J299+K299+L299</f>
        <v>17662.72</v>
      </c>
      <c r="N299" s="45" t="s">
        <v>738</v>
      </c>
    </row>
    <row r="300" customFormat="false" ht="25.5" hidden="false" customHeight="true" outlineLevel="0" collapsed="false">
      <c r="A300" s="39"/>
      <c r="B300" s="40" t="s">
        <v>2852</v>
      </c>
      <c r="C300" s="41" t="s">
        <v>138</v>
      </c>
      <c r="D300" s="41" t="s">
        <v>737</v>
      </c>
      <c r="E300" s="42" t="n">
        <v>13600</v>
      </c>
      <c r="F300" s="42" t="n">
        <v>0</v>
      </c>
      <c r="G300" s="42" t="n">
        <v>300</v>
      </c>
      <c r="H300" s="43" t="n">
        <v>1</v>
      </c>
      <c r="I300" s="34" t="n">
        <f aca="false">E300*H300+N(F300)+N(G300)</f>
        <v>13900</v>
      </c>
      <c r="J300" s="42" t="n">
        <f aca="false">ROUND(IFERROR(ROUND(IF(OR(ISNUMBER(SEARCH("week",C300)),ISNUMBER(SEARCH("minggu",C300))),IFERROR(_xlfn.NUMBERVALUE(SUBSTITUTE(LEFT(TRIM(C300),FIND(" ",TRIM(C300)&amp;" ")-1),",","."),"."),LEFT(SUBSTITUTE(LEFT(TRIM(C300),FIND(" ",TRIM(C300)&amp;" ")-1),",","."),FIND("/",SUBSTITUTE(LEFT(TRIM(C300),FIND(" ",TRIM(C300)&amp;" ")-1),",","."))-1)/MID(SUBSTITUTE(LEFT(TRIM(C300),FIND(" ",TRIM(C300)&amp;" ")-1),",","."),FIND("/",SUBSTITUTE(LEFT(TRIM(C300),FIND(" ",TRIM(C300)&amp;" ")-1),",","."))+1,9))*12/52,IF(ISNUMBER(SEARCH("month",C300)),IFERROR(_xlfn.NUMBERVALUE(SUBSTITUTE(LEFT(TRIM(C300),FIND(" ",TRIM(C300)&amp;" ")-1),",","."),"."),LEFT(SUBSTITUTE(LEFT(TRIM(C300),FIND(" ",TRIM(C300)&amp;" ")-1),",","."),FIND("/",SUBSTITUTE(LEFT(TRIM(C300),FIND(" ",TRIM(C300)&amp;" ")-1),",","."))-1)/MID(SUBSTITUTE(LEFT(TRIM(C300),FIND(" ",TRIM(C300)&amp;" ")-1),",","."),FIND("/",SUBSTITUTE(LEFT(TRIM(C300),FIND(" ",TRIM(C300)&amp;" ")-1),",","."))+1,9)),IF(ISNUMBER(SEARCH("yea",C300)),IFERROR(_xlfn.NUMBERVALUE(SUBSTITUTE(LEFT(TRIM(C300),FIND(" ",TRIM(C300)&amp;" ")-1),",","."),"."),LEFT(SUBSTITUTE(LEFT(TRIM(C300),FIND(" ",TRIM(C300)&amp;" ")-1),",","."),FIND("/",SUBSTITUTE(LEFT(TRIM(C300),FIND(" ",TRIM(C300)&amp;" ")-1),",","."))-1)/MID(SUBSTITUTE(LEFT(TRIM(C300),FIND(" ",TRIM(C300)&amp;" ")-1),",","."),FIND("/",SUBSTITUTE(LEFT(TRIM(C300),FIND(" ",TRIM(C300)&amp;" ")-1),",","."))+1,9))*12,NA()))),0),30)*'Aturan &amp; Tarif'!$B$4,2)</f>
        <v>1703.4</v>
      </c>
      <c r="K300" s="42" t="n">
        <f aca="false">'Aturan &amp; Tarif'!$B$5</f>
        <v>2050</v>
      </c>
      <c r="L300" s="42" t="n">
        <f aca="false">'Aturan &amp; Tarif'!$B$6</f>
        <v>350</v>
      </c>
      <c r="M300" s="35" t="n">
        <f aca="false">I300+J300+K300+L300</f>
        <v>18003.4</v>
      </c>
      <c r="N300" s="45" t="s">
        <v>738</v>
      </c>
    </row>
    <row r="301" customFormat="false" ht="25.5" hidden="false" customHeight="true" outlineLevel="0" collapsed="false">
      <c r="A301" s="39"/>
      <c r="B301" s="40" t="s">
        <v>2126</v>
      </c>
      <c r="C301" s="41" t="s">
        <v>344</v>
      </c>
      <c r="D301" s="41" t="s">
        <v>737</v>
      </c>
      <c r="E301" s="42" t="n">
        <v>14560</v>
      </c>
      <c r="F301" s="42" t="n">
        <v>0</v>
      </c>
      <c r="G301" s="42" t="n">
        <v>300</v>
      </c>
      <c r="H301" s="43" t="n">
        <v>1</v>
      </c>
      <c r="I301" s="34" t="n">
        <f aca="false">E301*H301+N(F301)+N(G301)</f>
        <v>14860</v>
      </c>
      <c r="J301" s="42" t="n">
        <f aca="false">ROUND(IFERROR(ROUND(IF(OR(ISNUMBER(SEARCH("week",C301)),ISNUMBER(SEARCH("minggu",C301))),IFERROR(_xlfn.NUMBERVALUE(SUBSTITUTE(LEFT(TRIM(C301),FIND(" ",TRIM(C301)&amp;" ")-1),",","."),"."),LEFT(SUBSTITUTE(LEFT(TRIM(C301),FIND(" ",TRIM(C301)&amp;" ")-1),",","."),FIND("/",SUBSTITUTE(LEFT(TRIM(C301),FIND(" ",TRIM(C301)&amp;" ")-1),",","."))-1)/MID(SUBSTITUTE(LEFT(TRIM(C301),FIND(" ",TRIM(C301)&amp;" ")-1),",","."),FIND("/",SUBSTITUTE(LEFT(TRIM(C301),FIND(" ",TRIM(C301)&amp;" ")-1),",","."))+1,9))*12/52,IF(ISNUMBER(SEARCH("month",C301)),IFERROR(_xlfn.NUMBERVALUE(SUBSTITUTE(LEFT(TRIM(C301),FIND(" ",TRIM(C301)&amp;" ")-1),",","."),"."),LEFT(SUBSTITUTE(LEFT(TRIM(C301),FIND(" ",TRIM(C301)&amp;" ")-1),",","."),FIND("/",SUBSTITUTE(LEFT(TRIM(C301),FIND(" ",TRIM(C301)&amp;" ")-1),",","."))-1)/MID(SUBSTITUTE(LEFT(TRIM(C301),FIND(" ",TRIM(C301)&amp;" ")-1),",","."),FIND("/",SUBSTITUTE(LEFT(TRIM(C301),FIND(" ",TRIM(C301)&amp;" ")-1),",","."))+1,9)),IF(ISNUMBER(SEARCH("yea",C301)),IFERROR(_xlfn.NUMBERVALUE(SUBSTITUTE(LEFT(TRIM(C301),FIND(" ",TRIM(C301)&amp;" ")-1),",","."),"."),LEFT(SUBSTITUTE(LEFT(TRIM(C301),FIND(" ",TRIM(C301)&amp;" ")-1),",","."),FIND("/",SUBSTITUTE(LEFT(TRIM(C301),FIND(" ",TRIM(C301)&amp;" ")-1),",","."))-1)/MID(SUBSTITUTE(LEFT(TRIM(C301),FIND(" ",TRIM(C301)&amp;" ")-1),",","."),FIND("/",SUBSTITUTE(LEFT(TRIM(C301),FIND(" ",TRIM(C301)&amp;" ")-1),",","."))+1,9))*12,NA()))),0),6)*'Aturan &amp; Tarif'!$B$4,2)</f>
        <v>340.68</v>
      </c>
      <c r="K301" s="42" t="n">
        <f aca="false">'Aturan &amp; Tarif'!$B$5</f>
        <v>2050</v>
      </c>
      <c r="L301" s="42" t="n">
        <f aca="false">'Aturan &amp; Tarif'!$B$6</f>
        <v>350</v>
      </c>
      <c r="M301" s="35" t="n">
        <f aca="false">I301+J301+K301+L301</f>
        <v>17600.68</v>
      </c>
      <c r="N301" s="45" t="s">
        <v>738</v>
      </c>
    </row>
    <row r="302" customFormat="false" ht="25.5" hidden="false" customHeight="true" outlineLevel="0" collapsed="false">
      <c r="A302" s="39"/>
      <c r="B302" s="40" t="s">
        <v>2127</v>
      </c>
      <c r="C302" s="41" t="s">
        <v>130</v>
      </c>
      <c r="D302" s="41" t="s">
        <v>737</v>
      </c>
      <c r="E302" s="42" t="n">
        <v>14560</v>
      </c>
      <c r="F302" s="42" t="n">
        <v>0</v>
      </c>
      <c r="G302" s="42" t="n">
        <v>300</v>
      </c>
      <c r="H302" s="43" t="n">
        <v>1</v>
      </c>
      <c r="I302" s="34" t="n">
        <f aca="false">E302*H302+N(F302)+N(G302)</f>
        <v>14860</v>
      </c>
      <c r="J302" s="42" t="n">
        <f aca="false">ROUND(IFERROR(ROUND(IF(OR(ISNUMBER(SEARCH("week",C302)),ISNUMBER(SEARCH("minggu",C302))),IFERROR(_xlfn.NUMBERVALUE(SUBSTITUTE(LEFT(TRIM(C302),FIND(" ",TRIM(C302)&amp;" ")-1),",","."),"."),LEFT(SUBSTITUTE(LEFT(TRIM(C302),FIND(" ",TRIM(C302)&amp;" ")-1),",","."),FIND("/",SUBSTITUTE(LEFT(TRIM(C302),FIND(" ",TRIM(C302)&amp;" ")-1),",","."))-1)/MID(SUBSTITUTE(LEFT(TRIM(C302),FIND(" ",TRIM(C302)&amp;" ")-1),",","."),FIND("/",SUBSTITUTE(LEFT(TRIM(C302),FIND(" ",TRIM(C302)&amp;" ")-1),",","."))+1,9))*12/52,IF(ISNUMBER(SEARCH("month",C302)),IFERROR(_xlfn.NUMBERVALUE(SUBSTITUTE(LEFT(TRIM(C302),FIND(" ",TRIM(C302)&amp;" ")-1),",","."),"."),LEFT(SUBSTITUTE(LEFT(TRIM(C302),FIND(" ",TRIM(C302)&amp;" ")-1),",","."),FIND("/",SUBSTITUTE(LEFT(TRIM(C302),FIND(" ",TRIM(C302)&amp;" ")-1),",","."))-1)/MID(SUBSTITUTE(LEFT(TRIM(C302),FIND(" ",TRIM(C302)&amp;" ")-1),",","."),FIND("/",SUBSTITUTE(LEFT(TRIM(C302),FIND(" ",TRIM(C302)&amp;" ")-1),",","."))+1,9)),IF(ISNUMBER(SEARCH("yea",C302)),IFERROR(_xlfn.NUMBERVALUE(SUBSTITUTE(LEFT(TRIM(C302),FIND(" ",TRIM(C302)&amp;" ")-1),",","."),"."),LEFT(SUBSTITUTE(LEFT(TRIM(C302),FIND(" ",TRIM(C302)&amp;" ")-1),",","."),FIND("/",SUBSTITUTE(LEFT(TRIM(C302),FIND(" ",TRIM(C302)&amp;" ")-1),",","."))-1)/MID(SUBSTITUTE(LEFT(TRIM(C302),FIND(" ",TRIM(C302)&amp;" ")-1),",","."),FIND("/",SUBSTITUTE(LEFT(TRIM(C302),FIND(" ",TRIM(C302)&amp;" ")-1),",","."))+1,9))*12,NA()))),0),12)*'Aturan &amp; Tarif'!$B$4,2)</f>
        <v>681.36</v>
      </c>
      <c r="K302" s="42" t="n">
        <f aca="false">'Aturan &amp; Tarif'!$B$5</f>
        <v>2050</v>
      </c>
      <c r="L302" s="42" t="n">
        <f aca="false">'Aturan &amp; Tarif'!$B$6</f>
        <v>350</v>
      </c>
      <c r="M302" s="35" t="n">
        <f aca="false">I302+J302+K302+L302</f>
        <v>17941.36</v>
      </c>
      <c r="N302" s="45" t="s">
        <v>738</v>
      </c>
    </row>
    <row r="303" customFormat="false" ht="25.5" hidden="false" customHeight="true" outlineLevel="0" collapsed="false">
      <c r="A303" s="39"/>
      <c r="B303" s="40" t="s">
        <v>1915</v>
      </c>
      <c r="C303" s="41" t="s">
        <v>113</v>
      </c>
      <c r="D303" s="41" t="s">
        <v>737</v>
      </c>
      <c r="E303" s="42" t="n">
        <v>14560</v>
      </c>
      <c r="F303" s="42" t="n">
        <v>0</v>
      </c>
      <c r="G303" s="42" t="n">
        <v>300</v>
      </c>
      <c r="H303" s="43" t="n">
        <v>1</v>
      </c>
      <c r="I303" s="34" t="n">
        <f aca="false">E303*H303+N(F303)+N(G303)</f>
        <v>14860</v>
      </c>
      <c r="J303" s="42" t="n">
        <f aca="false">ROUND(IFERROR(ROUND(IF(OR(ISNUMBER(SEARCH("week",C303)),ISNUMBER(SEARCH("minggu",C303))),IFERROR(_xlfn.NUMBERVALUE(SUBSTITUTE(LEFT(TRIM(C303),FIND(" ",TRIM(C303)&amp;" ")-1),",","."),"."),LEFT(SUBSTITUTE(LEFT(TRIM(C303),FIND(" ",TRIM(C303)&amp;" ")-1),",","."),FIND("/",SUBSTITUTE(LEFT(TRIM(C303),FIND(" ",TRIM(C303)&amp;" ")-1),",","."))-1)/MID(SUBSTITUTE(LEFT(TRIM(C303),FIND(" ",TRIM(C303)&amp;" ")-1),",","."),FIND("/",SUBSTITUTE(LEFT(TRIM(C303),FIND(" ",TRIM(C303)&amp;" ")-1),",","."))+1,9))*12/52,IF(ISNUMBER(SEARCH("month",C303)),IFERROR(_xlfn.NUMBERVALUE(SUBSTITUTE(LEFT(TRIM(C303),FIND(" ",TRIM(C303)&amp;" ")-1),",","."),"."),LEFT(SUBSTITUTE(LEFT(TRIM(C303),FIND(" ",TRIM(C303)&amp;" ")-1),",","."),FIND("/",SUBSTITUTE(LEFT(TRIM(C303),FIND(" ",TRIM(C303)&amp;" ")-1),",","."))-1)/MID(SUBSTITUTE(LEFT(TRIM(C303),FIND(" ",TRIM(C303)&amp;" ")-1),",","."),FIND("/",SUBSTITUTE(LEFT(TRIM(C303),FIND(" ",TRIM(C303)&amp;" ")-1),",","."))+1,9)),IF(ISNUMBER(SEARCH("yea",C303)),IFERROR(_xlfn.NUMBERVALUE(SUBSTITUTE(LEFT(TRIM(C303),FIND(" ",TRIM(C303)&amp;" ")-1),",","."),"."),LEFT(SUBSTITUTE(LEFT(TRIM(C303),FIND(" ",TRIM(C303)&amp;" ")-1),",","."),FIND("/",SUBSTITUTE(LEFT(TRIM(C303),FIND(" ",TRIM(C303)&amp;" ")-1),",","."))-1)/MID(SUBSTITUTE(LEFT(TRIM(C303),FIND(" ",TRIM(C303)&amp;" ")-1),",","."),FIND("/",SUBSTITUTE(LEFT(TRIM(C303),FIND(" ",TRIM(C303)&amp;" ")-1),",","."))+1,9))*12,NA()))),0),18)*'Aturan &amp; Tarif'!$B$4,2)</f>
        <v>1022.04</v>
      </c>
      <c r="K303" s="42" t="n">
        <f aca="false">'Aturan &amp; Tarif'!$B$5</f>
        <v>2050</v>
      </c>
      <c r="L303" s="42" t="n">
        <f aca="false">'Aturan &amp; Tarif'!$B$6</f>
        <v>350</v>
      </c>
      <c r="M303" s="35" t="n">
        <f aca="false">I303+J303+K303+L303</f>
        <v>18282.04</v>
      </c>
      <c r="N303" s="45" t="s">
        <v>738</v>
      </c>
    </row>
    <row r="304" customFormat="false" ht="48.75" hidden="false" customHeight="true" outlineLevel="0" collapsed="false">
      <c r="A304" s="39"/>
      <c r="B304" s="40" t="s">
        <v>2128</v>
      </c>
      <c r="C304" s="41" t="s">
        <v>107</v>
      </c>
      <c r="D304" s="41" t="s">
        <v>737</v>
      </c>
      <c r="E304" s="42" t="n">
        <v>14560</v>
      </c>
      <c r="F304" s="42" t="n">
        <v>0</v>
      </c>
      <c r="G304" s="42" t="n">
        <v>300</v>
      </c>
      <c r="H304" s="43" t="n">
        <v>1</v>
      </c>
      <c r="I304" s="34" t="n">
        <f aca="false">E304*H304+N(F304)+N(G304)</f>
        <v>14860</v>
      </c>
      <c r="J304" s="42" t="n">
        <f aca="false">ROUND(IFERROR(ROUND(IF(OR(ISNUMBER(SEARCH("week",C304)),ISNUMBER(SEARCH("minggu",C304))),IFERROR(_xlfn.NUMBERVALUE(SUBSTITUTE(LEFT(TRIM(C304),FIND(" ",TRIM(C304)&amp;" ")-1),",","."),"."),LEFT(SUBSTITUTE(LEFT(TRIM(C304),FIND(" ",TRIM(C304)&amp;" ")-1),",","."),FIND("/",SUBSTITUTE(LEFT(TRIM(C304),FIND(" ",TRIM(C304)&amp;" ")-1),",","."))-1)/MID(SUBSTITUTE(LEFT(TRIM(C304),FIND(" ",TRIM(C304)&amp;" ")-1),",","."),FIND("/",SUBSTITUTE(LEFT(TRIM(C304),FIND(" ",TRIM(C304)&amp;" ")-1),",","."))+1,9))*12/52,IF(ISNUMBER(SEARCH("month",C304)),IFERROR(_xlfn.NUMBERVALUE(SUBSTITUTE(LEFT(TRIM(C304),FIND(" ",TRIM(C304)&amp;" ")-1),",","."),"."),LEFT(SUBSTITUTE(LEFT(TRIM(C304),FIND(" ",TRIM(C304)&amp;" ")-1),",","."),FIND("/",SUBSTITUTE(LEFT(TRIM(C304),FIND(" ",TRIM(C304)&amp;" ")-1),",","."))-1)/MID(SUBSTITUTE(LEFT(TRIM(C304),FIND(" ",TRIM(C304)&amp;" ")-1),",","."),FIND("/",SUBSTITUTE(LEFT(TRIM(C304),FIND(" ",TRIM(C304)&amp;" ")-1),",","."))+1,9)),IF(ISNUMBER(SEARCH("yea",C304)),IFERROR(_xlfn.NUMBERVALUE(SUBSTITUTE(LEFT(TRIM(C304),FIND(" ",TRIM(C304)&amp;" ")-1),",","."),"."),LEFT(SUBSTITUTE(LEFT(TRIM(C304),FIND(" ",TRIM(C304)&amp;" ")-1),",","."),FIND("/",SUBSTITUTE(LEFT(TRIM(C304),FIND(" ",TRIM(C304)&amp;" ")-1),",","."))-1)/MID(SUBSTITUTE(LEFT(TRIM(C304),FIND(" ",TRIM(C304)&amp;" ")-1),",","."),FIND("/",SUBSTITUTE(LEFT(TRIM(C304),FIND(" ",TRIM(C304)&amp;" ")-1),",","."))+1,9))*12,NA()))),0),24)*'Aturan &amp; Tarif'!$B$4,2)</f>
        <v>1362.72</v>
      </c>
      <c r="K304" s="42" t="n">
        <f aca="false">'Aturan &amp; Tarif'!$B$5</f>
        <v>2050</v>
      </c>
      <c r="L304" s="42" t="n">
        <f aca="false">'Aturan &amp; Tarif'!$B$6</f>
        <v>350</v>
      </c>
      <c r="M304" s="35" t="n">
        <f aca="false">I304+J304+K304+L304</f>
        <v>18622.72</v>
      </c>
      <c r="N304" s="45" t="s">
        <v>738</v>
      </c>
    </row>
    <row r="305" customFormat="false" ht="12.75" hidden="false" customHeight="true" outlineLevel="0" collapsed="false">
      <c r="A305" s="47" t="s">
        <v>2853</v>
      </c>
      <c r="B305" s="40" t="s">
        <v>2130</v>
      </c>
      <c r="C305" s="41" t="s">
        <v>127</v>
      </c>
      <c r="D305" s="41" t="s">
        <v>737</v>
      </c>
      <c r="E305" s="42" t="n">
        <v>8240</v>
      </c>
      <c r="F305" s="42"/>
      <c r="G305" s="42" t="n">
        <v>250</v>
      </c>
      <c r="H305" s="43" t="n">
        <v>1</v>
      </c>
      <c r="I305" s="34" t="n">
        <f aca="false">E305*H305+N(F305)+N(G305)</f>
        <v>8490</v>
      </c>
      <c r="J305" s="42" t="n">
        <f aca="false">ROUND(IFERROR(ROUND(IF(OR(ISNUMBER(SEARCH("week",C305)),ISNUMBER(SEARCH("minggu",C305))),IFERROR(_xlfn.NUMBERVALUE(SUBSTITUTE(LEFT(TRIM(C305),FIND(" ",TRIM(C305)&amp;" ")-1),",","."),"."),LEFT(SUBSTITUTE(LEFT(TRIM(C305),FIND(" ",TRIM(C305)&amp;" ")-1),",","."),FIND("/",SUBSTITUTE(LEFT(TRIM(C305),FIND(" ",TRIM(C305)&amp;" ")-1),",","."))-1)/MID(SUBSTITUTE(LEFT(TRIM(C305),FIND(" ",TRIM(C305)&amp;" ")-1),",","."),FIND("/",SUBSTITUTE(LEFT(TRIM(C305),FIND(" ",TRIM(C305)&amp;" ")-1),",","."))+1,9))*12/52,IF(ISNUMBER(SEARCH("month",C305)),IFERROR(_xlfn.NUMBERVALUE(SUBSTITUTE(LEFT(TRIM(C305),FIND(" ",TRIM(C305)&amp;" ")-1),",","."),"."),LEFT(SUBSTITUTE(LEFT(TRIM(C305),FIND(" ",TRIM(C305)&amp;" ")-1),",","."),FIND("/",SUBSTITUTE(LEFT(TRIM(C305),FIND(" ",TRIM(C305)&amp;" ")-1),",","."))-1)/MID(SUBSTITUTE(LEFT(TRIM(C305),FIND(" ",TRIM(C305)&amp;" ")-1),",","."),FIND("/",SUBSTITUTE(LEFT(TRIM(C305),FIND(" ",TRIM(C305)&amp;" ")-1),",","."))+1,9)),IF(ISNUMBER(SEARCH("yea",C305)),IFERROR(_xlfn.NUMBERVALUE(SUBSTITUTE(LEFT(TRIM(C305),FIND(" ",TRIM(C305)&amp;" ")-1),",","."),"."),LEFT(SUBSTITUTE(LEFT(TRIM(C305),FIND(" ",TRIM(C305)&amp;" ")-1),",","."),FIND("/",SUBSTITUTE(LEFT(TRIM(C305),FIND(" ",TRIM(C305)&amp;" ")-1),",","."))-1)/MID(SUBSTITUTE(LEFT(TRIM(C305),FIND(" ",TRIM(C305)&amp;" ")-1),",","."),FIND("/",SUBSTITUTE(LEFT(TRIM(C305),FIND(" ",TRIM(C305)&amp;" ")-1),",","."))+1,9))*12,NA()))),0),36)*'Aturan &amp; Tarif'!$B$4,2)</f>
        <v>2044.08</v>
      </c>
      <c r="K305" s="42" t="n">
        <f aca="false">'Aturan &amp; Tarif'!$B$5</f>
        <v>2050</v>
      </c>
      <c r="L305" s="42" t="n">
        <f aca="false">'Aturan &amp; Tarif'!$B$6</f>
        <v>350</v>
      </c>
      <c r="M305" s="35" t="n">
        <f aca="false">I305+J305+K305+L305</f>
        <v>12934.08</v>
      </c>
      <c r="N305" s="45" t="s">
        <v>2131</v>
      </c>
    </row>
    <row r="306" customFormat="false" ht="12.75" hidden="false" customHeight="true" outlineLevel="0" collapsed="false">
      <c r="A306" s="47"/>
      <c r="B306" s="40" t="s">
        <v>2132</v>
      </c>
      <c r="C306" s="41" t="s">
        <v>127</v>
      </c>
      <c r="D306" s="41" t="s">
        <v>737</v>
      </c>
      <c r="E306" s="42" t="n">
        <v>8240</v>
      </c>
      <c r="F306" s="42"/>
      <c r="G306" s="42" t="n">
        <v>250</v>
      </c>
      <c r="H306" s="43" t="n">
        <v>1</v>
      </c>
      <c r="I306" s="34" t="n">
        <f aca="false">E306*H306+N(F306)+N(G306)</f>
        <v>8490</v>
      </c>
      <c r="J306" s="42" t="n">
        <f aca="false">ROUND(IFERROR(ROUND(IF(OR(ISNUMBER(SEARCH("week",C306)),ISNUMBER(SEARCH("minggu",C306))),IFERROR(_xlfn.NUMBERVALUE(SUBSTITUTE(LEFT(TRIM(C306),FIND(" ",TRIM(C306)&amp;" ")-1),",","."),"."),LEFT(SUBSTITUTE(LEFT(TRIM(C306),FIND(" ",TRIM(C306)&amp;" ")-1),",","."),FIND("/",SUBSTITUTE(LEFT(TRIM(C306),FIND(" ",TRIM(C306)&amp;" ")-1),",","."))-1)/MID(SUBSTITUTE(LEFT(TRIM(C306),FIND(" ",TRIM(C306)&amp;" ")-1),",","."),FIND("/",SUBSTITUTE(LEFT(TRIM(C306),FIND(" ",TRIM(C306)&amp;" ")-1),",","."))+1,9))*12/52,IF(ISNUMBER(SEARCH("month",C306)),IFERROR(_xlfn.NUMBERVALUE(SUBSTITUTE(LEFT(TRIM(C306),FIND(" ",TRIM(C306)&amp;" ")-1),",","."),"."),LEFT(SUBSTITUTE(LEFT(TRIM(C306),FIND(" ",TRIM(C306)&amp;" ")-1),",","."),FIND("/",SUBSTITUTE(LEFT(TRIM(C306),FIND(" ",TRIM(C306)&amp;" ")-1),",","."))-1)/MID(SUBSTITUTE(LEFT(TRIM(C306),FIND(" ",TRIM(C306)&amp;" ")-1),",","."),FIND("/",SUBSTITUTE(LEFT(TRIM(C306),FIND(" ",TRIM(C306)&amp;" ")-1),",","."))+1,9)),IF(ISNUMBER(SEARCH("yea",C306)),IFERROR(_xlfn.NUMBERVALUE(SUBSTITUTE(LEFT(TRIM(C306),FIND(" ",TRIM(C306)&amp;" ")-1),",","."),"."),LEFT(SUBSTITUTE(LEFT(TRIM(C306),FIND(" ",TRIM(C306)&amp;" ")-1),",","."),FIND("/",SUBSTITUTE(LEFT(TRIM(C306),FIND(" ",TRIM(C306)&amp;" ")-1),",","."))-1)/MID(SUBSTITUTE(LEFT(TRIM(C306),FIND(" ",TRIM(C306)&amp;" ")-1),",","."),FIND("/",SUBSTITUTE(LEFT(TRIM(C306),FIND(" ",TRIM(C306)&amp;" ")-1),",","."))+1,9))*12,NA()))),0),36)*'Aturan &amp; Tarif'!$B$4,2)</f>
        <v>2044.08</v>
      </c>
      <c r="K306" s="42" t="n">
        <f aca="false">'Aturan &amp; Tarif'!$B$5</f>
        <v>2050</v>
      </c>
      <c r="L306" s="42" t="n">
        <f aca="false">'Aturan &amp; Tarif'!$B$6</f>
        <v>350</v>
      </c>
      <c r="M306" s="35" t="n">
        <f aca="false">I306+J306+K306+L306</f>
        <v>12934.08</v>
      </c>
      <c r="N306" s="45" t="s">
        <v>2131</v>
      </c>
    </row>
    <row r="307" customFormat="false" ht="12.75" hidden="false" customHeight="true" outlineLevel="0" collapsed="false">
      <c r="A307" s="47"/>
      <c r="B307" s="40" t="s">
        <v>2133</v>
      </c>
      <c r="C307" s="41" t="s">
        <v>127</v>
      </c>
      <c r="D307" s="41" t="s">
        <v>737</v>
      </c>
      <c r="E307" s="42" t="n">
        <v>8240</v>
      </c>
      <c r="F307" s="42"/>
      <c r="G307" s="42" t="n">
        <v>250</v>
      </c>
      <c r="H307" s="43" t="n">
        <v>1</v>
      </c>
      <c r="I307" s="34" t="n">
        <f aca="false">E307*H307+N(F307)+N(G307)</f>
        <v>8490</v>
      </c>
      <c r="J307" s="42" t="n">
        <f aca="false">ROUND(IFERROR(ROUND(IF(OR(ISNUMBER(SEARCH("week",C307)),ISNUMBER(SEARCH("minggu",C307))),IFERROR(_xlfn.NUMBERVALUE(SUBSTITUTE(LEFT(TRIM(C307),FIND(" ",TRIM(C307)&amp;" ")-1),",","."),"."),LEFT(SUBSTITUTE(LEFT(TRIM(C307),FIND(" ",TRIM(C307)&amp;" ")-1),",","."),FIND("/",SUBSTITUTE(LEFT(TRIM(C307),FIND(" ",TRIM(C307)&amp;" ")-1),",","."))-1)/MID(SUBSTITUTE(LEFT(TRIM(C307),FIND(" ",TRIM(C307)&amp;" ")-1),",","."),FIND("/",SUBSTITUTE(LEFT(TRIM(C307),FIND(" ",TRIM(C307)&amp;" ")-1),",","."))+1,9))*12/52,IF(ISNUMBER(SEARCH("month",C307)),IFERROR(_xlfn.NUMBERVALUE(SUBSTITUTE(LEFT(TRIM(C307),FIND(" ",TRIM(C307)&amp;" ")-1),",","."),"."),LEFT(SUBSTITUTE(LEFT(TRIM(C307),FIND(" ",TRIM(C307)&amp;" ")-1),",","."),FIND("/",SUBSTITUTE(LEFT(TRIM(C307),FIND(" ",TRIM(C307)&amp;" ")-1),",","."))-1)/MID(SUBSTITUTE(LEFT(TRIM(C307),FIND(" ",TRIM(C307)&amp;" ")-1),",","."),FIND("/",SUBSTITUTE(LEFT(TRIM(C307),FIND(" ",TRIM(C307)&amp;" ")-1),",","."))+1,9)),IF(ISNUMBER(SEARCH("yea",C307)),IFERROR(_xlfn.NUMBERVALUE(SUBSTITUTE(LEFT(TRIM(C307),FIND(" ",TRIM(C307)&amp;" ")-1),",","."),"."),LEFT(SUBSTITUTE(LEFT(TRIM(C307),FIND(" ",TRIM(C307)&amp;" ")-1),",","."),FIND("/",SUBSTITUTE(LEFT(TRIM(C307),FIND(" ",TRIM(C307)&amp;" ")-1),",","."))-1)/MID(SUBSTITUTE(LEFT(TRIM(C307),FIND(" ",TRIM(C307)&amp;" ")-1),",","."),FIND("/",SUBSTITUTE(LEFT(TRIM(C307),FIND(" ",TRIM(C307)&amp;" ")-1),",","."))+1,9))*12,NA()))),0),36)*'Aturan &amp; Tarif'!$B$4,2)</f>
        <v>2044.08</v>
      </c>
      <c r="K307" s="42" t="n">
        <f aca="false">'Aturan &amp; Tarif'!$B$5</f>
        <v>2050</v>
      </c>
      <c r="L307" s="42" t="n">
        <f aca="false">'Aturan &amp; Tarif'!$B$6</f>
        <v>350</v>
      </c>
      <c r="M307" s="35" t="n">
        <f aca="false">I307+J307+K307+L307</f>
        <v>12934.08</v>
      </c>
      <c r="N307" s="45" t="s">
        <v>2131</v>
      </c>
    </row>
    <row r="308" customFormat="false" ht="12.75" hidden="false" customHeight="true" outlineLevel="0" collapsed="false">
      <c r="A308" s="47"/>
      <c r="B308" s="40" t="s">
        <v>2134</v>
      </c>
      <c r="C308" s="41" t="s">
        <v>127</v>
      </c>
      <c r="D308" s="41" t="s">
        <v>737</v>
      </c>
      <c r="E308" s="42" t="n">
        <v>8240</v>
      </c>
      <c r="F308" s="42"/>
      <c r="G308" s="42" t="n">
        <v>250</v>
      </c>
      <c r="H308" s="43" t="n">
        <v>1</v>
      </c>
      <c r="I308" s="34" t="n">
        <f aca="false">E308*H308+N(F308)+N(G308)</f>
        <v>8490</v>
      </c>
      <c r="J308" s="42" t="n">
        <f aca="false">ROUND(IFERROR(ROUND(IF(OR(ISNUMBER(SEARCH("week",C308)),ISNUMBER(SEARCH("minggu",C308))),IFERROR(_xlfn.NUMBERVALUE(SUBSTITUTE(LEFT(TRIM(C308),FIND(" ",TRIM(C308)&amp;" ")-1),",","."),"."),LEFT(SUBSTITUTE(LEFT(TRIM(C308),FIND(" ",TRIM(C308)&amp;" ")-1),",","."),FIND("/",SUBSTITUTE(LEFT(TRIM(C308),FIND(" ",TRIM(C308)&amp;" ")-1),",","."))-1)/MID(SUBSTITUTE(LEFT(TRIM(C308),FIND(" ",TRIM(C308)&amp;" ")-1),",","."),FIND("/",SUBSTITUTE(LEFT(TRIM(C308),FIND(" ",TRIM(C308)&amp;" ")-1),",","."))+1,9))*12/52,IF(ISNUMBER(SEARCH("month",C308)),IFERROR(_xlfn.NUMBERVALUE(SUBSTITUTE(LEFT(TRIM(C308),FIND(" ",TRIM(C308)&amp;" ")-1),",","."),"."),LEFT(SUBSTITUTE(LEFT(TRIM(C308),FIND(" ",TRIM(C308)&amp;" ")-1),",","."),FIND("/",SUBSTITUTE(LEFT(TRIM(C308),FIND(" ",TRIM(C308)&amp;" ")-1),",","."))-1)/MID(SUBSTITUTE(LEFT(TRIM(C308),FIND(" ",TRIM(C308)&amp;" ")-1),",","."),FIND("/",SUBSTITUTE(LEFT(TRIM(C308),FIND(" ",TRIM(C308)&amp;" ")-1),",","."))+1,9)),IF(ISNUMBER(SEARCH("yea",C308)),IFERROR(_xlfn.NUMBERVALUE(SUBSTITUTE(LEFT(TRIM(C308),FIND(" ",TRIM(C308)&amp;" ")-1),",","."),"."),LEFT(SUBSTITUTE(LEFT(TRIM(C308),FIND(" ",TRIM(C308)&amp;" ")-1),",","."),FIND("/",SUBSTITUTE(LEFT(TRIM(C308),FIND(" ",TRIM(C308)&amp;" ")-1),",","."))-1)/MID(SUBSTITUTE(LEFT(TRIM(C308),FIND(" ",TRIM(C308)&amp;" ")-1),",","."),FIND("/",SUBSTITUTE(LEFT(TRIM(C308),FIND(" ",TRIM(C308)&amp;" ")-1),",","."))+1,9))*12,NA()))),0),36)*'Aturan &amp; Tarif'!$B$4,2)</f>
        <v>2044.08</v>
      </c>
      <c r="K308" s="42" t="n">
        <f aca="false">'Aturan &amp; Tarif'!$B$5</f>
        <v>2050</v>
      </c>
      <c r="L308" s="42" t="n">
        <f aca="false">'Aturan &amp; Tarif'!$B$6</f>
        <v>350</v>
      </c>
      <c r="M308" s="35" t="n">
        <f aca="false">I308+J308+K308+L308</f>
        <v>12934.08</v>
      </c>
      <c r="N308" s="45" t="s">
        <v>2131</v>
      </c>
    </row>
    <row r="309" customFormat="false" ht="12.75" hidden="false" customHeight="true" outlineLevel="0" collapsed="false">
      <c r="A309" s="47"/>
      <c r="B309" s="40" t="s">
        <v>2135</v>
      </c>
      <c r="C309" s="41" t="s">
        <v>127</v>
      </c>
      <c r="D309" s="41" t="s">
        <v>737</v>
      </c>
      <c r="E309" s="42" t="n">
        <v>8240</v>
      </c>
      <c r="F309" s="42"/>
      <c r="G309" s="42" t="n">
        <v>250</v>
      </c>
      <c r="H309" s="43" t="n">
        <v>1</v>
      </c>
      <c r="I309" s="34" t="n">
        <f aca="false">E309*H309+N(F309)+N(G309)</f>
        <v>8490</v>
      </c>
      <c r="J309" s="42" t="n">
        <f aca="false">ROUND(IFERROR(ROUND(IF(OR(ISNUMBER(SEARCH("week",C309)),ISNUMBER(SEARCH("minggu",C309))),IFERROR(_xlfn.NUMBERVALUE(SUBSTITUTE(LEFT(TRIM(C309),FIND(" ",TRIM(C309)&amp;" ")-1),",","."),"."),LEFT(SUBSTITUTE(LEFT(TRIM(C309),FIND(" ",TRIM(C309)&amp;" ")-1),",","."),FIND("/",SUBSTITUTE(LEFT(TRIM(C309),FIND(" ",TRIM(C309)&amp;" ")-1),",","."))-1)/MID(SUBSTITUTE(LEFT(TRIM(C309),FIND(" ",TRIM(C309)&amp;" ")-1),",","."),FIND("/",SUBSTITUTE(LEFT(TRIM(C309),FIND(" ",TRIM(C309)&amp;" ")-1),",","."))+1,9))*12/52,IF(ISNUMBER(SEARCH("month",C309)),IFERROR(_xlfn.NUMBERVALUE(SUBSTITUTE(LEFT(TRIM(C309),FIND(" ",TRIM(C309)&amp;" ")-1),",","."),"."),LEFT(SUBSTITUTE(LEFT(TRIM(C309),FIND(" ",TRIM(C309)&amp;" ")-1),",","."),FIND("/",SUBSTITUTE(LEFT(TRIM(C309),FIND(" ",TRIM(C309)&amp;" ")-1),",","."))-1)/MID(SUBSTITUTE(LEFT(TRIM(C309),FIND(" ",TRIM(C309)&amp;" ")-1),",","."),FIND("/",SUBSTITUTE(LEFT(TRIM(C309),FIND(" ",TRIM(C309)&amp;" ")-1),",","."))+1,9)),IF(ISNUMBER(SEARCH("yea",C309)),IFERROR(_xlfn.NUMBERVALUE(SUBSTITUTE(LEFT(TRIM(C309),FIND(" ",TRIM(C309)&amp;" ")-1),",","."),"."),LEFT(SUBSTITUTE(LEFT(TRIM(C309),FIND(" ",TRIM(C309)&amp;" ")-1),",","."),FIND("/",SUBSTITUTE(LEFT(TRIM(C309),FIND(" ",TRIM(C309)&amp;" ")-1),",","."))-1)/MID(SUBSTITUTE(LEFT(TRIM(C309),FIND(" ",TRIM(C309)&amp;" ")-1),",","."),FIND("/",SUBSTITUTE(LEFT(TRIM(C309),FIND(" ",TRIM(C309)&amp;" ")-1),",","."))+1,9))*12,NA()))),0),36)*'Aturan &amp; Tarif'!$B$4,2)</f>
        <v>2044.08</v>
      </c>
      <c r="K309" s="42" t="n">
        <f aca="false">'Aturan &amp; Tarif'!$B$5</f>
        <v>2050</v>
      </c>
      <c r="L309" s="42" t="n">
        <f aca="false">'Aturan &amp; Tarif'!$B$6</f>
        <v>350</v>
      </c>
      <c r="M309" s="35" t="n">
        <f aca="false">I309+J309+K309+L309</f>
        <v>12934.08</v>
      </c>
      <c r="N309" s="45" t="s">
        <v>2131</v>
      </c>
    </row>
    <row r="310" customFormat="false" ht="12.75" hidden="false" customHeight="true" outlineLevel="0" collapsed="false">
      <c r="A310" s="47"/>
      <c r="B310" s="40" t="s">
        <v>2136</v>
      </c>
      <c r="C310" s="41" t="s">
        <v>127</v>
      </c>
      <c r="D310" s="41" t="s">
        <v>737</v>
      </c>
      <c r="E310" s="42" t="n">
        <v>8240</v>
      </c>
      <c r="F310" s="42"/>
      <c r="G310" s="42" t="n">
        <v>250</v>
      </c>
      <c r="H310" s="43" t="n">
        <v>1</v>
      </c>
      <c r="I310" s="34" t="n">
        <f aca="false">E310*H310+N(F310)+N(G310)</f>
        <v>8490</v>
      </c>
      <c r="J310" s="42" t="n">
        <f aca="false">ROUND(IFERROR(ROUND(IF(OR(ISNUMBER(SEARCH("week",C310)),ISNUMBER(SEARCH("minggu",C310))),IFERROR(_xlfn.NUMBERVALUE(SUBSTITUTE(LEFT(TRIM(C310),FIND(" ",TRIM(C310)&amp;" ")-1),",","."),"."),LEFT(SUBSTITUTE(LEFT(TRIM(C310),FIND(" ",TRIM(C310)&amp;" ")-1),",","."),FIND("/",SUBSTITUTE(LEFT(TRIM(C310),FIND(" ",TRIM(C310)&amp;" ")-1),",","."))-1)/MID(SUBSTITUTE(LEFT(TRIM(C310),FIND(" ",TRIM(C310)&amp;" ")-1),",","."),FIND("/",SUBSTITUTE(LEFT(TRIM(C310),FIND(" ",TRIM(C310)&amp;" ")-1),",","."))+1,9))*12/52,IF(ISNUMBER(SEARCH("month",C310)),IFERROR(_xlfn.NUMBERVALUE(SUBSTITUTE(LEFT(TRIM(C310),FIND(" ",TRIM(C310)&amp;" ")-1),",","."),"."),LEFT(SUBSTITUTE(LEFT(TRIM(C310),FIND(" ",TRIM(C310)&amp;" ")-1),",","."),FIND("/",SUBSTITUTE(LEFT(TRIM(C310),FIND(" ",TRIM(C310)&amp;" ")-1),",","."))-1)/MID(SUBSTITUTE(LEFT(TRIM(C310),FIND(" ",TRIM(C310)&amp;" ")-1),",","."),FIND("/",SUBSTITUTE(LEFT(TRIM(C310),FIND(" ",TRIM(C310)&amp;" ")-1),",","."))+1,9)),IF(ISNUMBER(SEARCH("yea",C310)),IFERROR(_xlfn.NUMBERVALUE(SUBSTITUTE(LEFT(TRIM(C310),FIND(" ",TRIM(C310)&amp;" ")-1),",","."),"."),LEFT(SUBSTITUTE(LEFT(TRIM(C310),FIND(" ",TRIM(C310)&amp;" ")-1),",","."),FIND("/",SUBSTITUTE(LEFT(TRIM(C310),FIND(" ",TRIM(C310)&amp;" ")-1),",","."))-1)/MID(SUBSTITUTE(LEFT(TRIM(C310),FIND(" ",TRIM(C310)&amp;" ")-1),",","."),FIND("/",SUBSTITUTE(LEFT(TRIM(C310),FIND(" ",TRIM(C310)&amp;" ")-1),",","."))+1,9))*12,NA()))),0),36)*'Aturan &amp; Tarif'!$B$4,2)</f>
        <v>2044.08</v>
      </c>
      <c r="K310" s="42" t="n">
        <f aca="false">'Aturan &amp; Tarif'!$B$5</f>
        <v>2050</v>
      </c>
      <c r="L310" s="42" t="n">
        <f aca="false">'Aturan &amp; Tarif'!$B$6</f>
        <v>350</v>
      </c>
      <c r="M310" s="35" t="n">
        <f aca="false">I310+J310+K310+L310</f>
        <v>12934.08</v>
      </c>
      <c r="N310" s="45" t="s">
        <v>2131</v>
      </c>
    </row>
    <row r="311" customFormat="false" ht="12.75" hidden="false" customHeight="true" outlineLevel="0" collapsed="false">
      <c r="A311" s="47"/>
      <c r="B311" s="40" t="s">
        <v>2137</v>
      </c>
      <c r="C311" s="41" t="s">
        <v>127</v>
      </c>
      <c r="D311" s="41" t="s">
        <v>737</v>
      </c>
      <c r="E311" s="42" t="n">
        <v>8240</v>
      </c>
      <c r="F311" s="42"/>
      <c r="G311" s="42" t="n">
        <v>250</v>
      </c>
      <c r="H311" s="43" t="n">
        <v>1</v>
      </c>
      <c r="I311" s="34" t="n">
        <f aca="false">E311*H311+N(F311)+N(G311)</f>
        <v>8490</v>
      </c>
      <c r="J311" s="42" t="n">
        <f aca="false">ROUND(IFERROR(ROUND(IF(OR(ISNUMBER(SEARCH("week",C311)),ISNUMBER(SEARCH("minggu",C311))),IFERROR(_xlfn.NUMBERVALUE(SUBSTITUTE(LEFT(TRIM(C311),FIND(" ",TRIM(C311)&amp;" ")-1),",","."),"."),LEFT(SUBSTITUTE(LEFT(TRIM(C311),FIND(" ",TRIM(C311)&amp;" ")-1),",","."),FIND("/",SUBSTITUTE(LEFT(TRIM(C311),FIND(" ",TRIM(C311)&amp;" ")-1),",","."))-1)/MID(SUBSTITUTE(LEFT(TRIM(C311),FIND(" ",TRIM(C311)&amp;" ")-1),",","."),FIND("/",SUBSTITUTE(LEFT(TRIM(C311),FIND(" ",TRIM(C311)&amp;" ")-1),",","."))+1,9))*12/52,IF(ISNUMBER(SEARCH("month",C311)),IFERROR(_xlfn.NUMBERVALUE(SUBSTITUTE(LEFT(TRIM(C311),FIND(" ",TRIM(C311)&amp;" ")-1),",","."),"."),LEFT(SUBSTITUTE(LEFT(TRIM(C311),FIND(" ",TRIM(C311)&amp;" ")-1),",","."),FIND("/",SUBSTITUTE(LEFT(TRIM(C311),FIND(" ",TRIM(C311)&amp;" ")-1),",","."))-1)/MID(SUBSTITUTE(LEFT(TRIM(C311),FIND(" ",TRIM(C311)&amp;" ")-1),",","."),FIND("/",SUBSTITUTE(LEFT(TRIM(C311),FIND(" ",TRIM(C311)&amp;" ")-1),",","."))+1,9)),IF(ISNUMBER(SEARCH("yea",C311)),IFERROR(_xlfn.NUMBERVALUE(SUBSTITUTE(LEFT(TRIM(C311),FIND(" ",TRIM(C311)&amp;" ")-1),",","."),"."),LEFT(SUBSTITUTE(LEFT(TRIM(C311),FIND(" ",TRIM(C311)&amp;" ")-1),",","."),FIND("/",SUBSTITUTE(LEFT(TRIM(C311),FIND(" ",TRIM(C311)&amp;" ")-1),",","."))-1)/MID(SUBSTITUTE(LEFT(TRIM(C311),FIND(" ",TRIM(C311)&amp;" ")-1),",","."),FIND("/",SUBSTITUTE(LEFT(TRIM(C311),FIND(" ",TRIM(C311)&amp;" ")-1),",","."))+1,9))*12,NA()))),0),36)*'Aturan &amp; Tarif'!$B$4,2)</f>
        <v>2044.08</v>
      </c>
      <c r="K311" s="42" t="n">
        <f aca="false">'Aturan &amp; Tarif'!$B$5</f>
        <v>2050</v>
      </c>
      <c r="L311" s="42" t="n">
        <f aca="false">'Aturan &amp; Tarif'!$B$6</f>
        <v>350</v>
      </c>
      <c r="M311" s="35" t="n">
        <f aca="false">I311+J311+K311+L311</f>
        <v>12934.08</v>
      </c>
      <c r="N311" s="45" t="s">
        <v>2131</v>
      </c>
    </row>
    <row r="312" customFormat="false" ht="21.75" hidden="false" customHeight="true" outlineLevel="0" collapsed="false">
      <c r="A312" s="47"/>
      <c r="B312" s="40" t="s">
        <v>2138</v>
      </c>
      <c r="C312" s="41" t="s">
        <v>127</v>
      </c>
      <c r="D312" s="41" t="s">
        <v>737</v>
      </c>
      <c r="E312" s="42" t="n">
        <v>8240</v>
      </c>
      <c r="F312" s="42"/>
      <c r="G312" s="42" t="n">
        <v>250</v>
      </c>
      <c r="H312" s="43" t="n">
        <v>1</v>
      </c>
      <c r="I312" s="34" t="n">
        <f aca="false">E312*H312+N(F312)+N(G312)</f>
        <v>8490</v>
      </c>
      <c r="J312" s="42" t="n">
        <f aca="false">ROUND(IFERROR(ROUND(IF(OR(ISNUMBER(SEARCH("week",C312)),ISNUMBER(SEARCH("minggu",C312))),IFERROR(_xlfn.NUMBERVALUE(SUBSTITUTE(LEFT(TRIM(C312),FIND(" ",TRIM(C312)&amp;" ")-1),",","."),"."),LEFT(SUBSTITUTE(LEFT(TRIM(C312),FIND(" ",TRIM(C312)&amp;" ")-1),",","."),FIND("/",SUBSTITUTE(LEFT(TRIM(C312),FIND(" ",TRIM(C312)&amp;" ")-1),",","."))-1)/MID(SUBSTITUTE(LEFT(TRIM(C312),FIND(" ",TRIM(C312)&amp;" ")-1),",","."),FIND("/",SUBSTITUTE(LEFT(TRIM(C312),FIND(" ",TRIM(C312)&amp;" ")-1),",","."))+1,9))*12/52,IF(ISNUMBER(SEARCH("month",C312)),IFERROR(_xlfn.NUMBERVALUE(SUBSTITUTE(LEFT(TRIM(C312),FIND(" ",TRIM(C312)&amp;" ")-1),",","."),"."),LEFT(SUBSTITUTE(LEFT(TRIM(C312),FIND(" ",TRIM(C312)&amp;" ")-1),",","."),FIND("/",SUBSTITUTE(LEFT(TRIM(C312),FIND(" ",TRIM(C312)&amp;" ")-1),",","."))-1)/MID(SUBSTITUTE(LEFT(TRIM(C312),FIND(" ",TRIM(C312)&amp;" ")-1),",","."),FIND("/",SUBSTITUTE(LEFT(TRIM(C312),FIND(" ",TRIM(C312)&amp;" ")-1),",","."))+1,9)),IF(ISNUMBER(SEARCH("yea",C312)),IFERROR(_xlfn.NUMBERVALUE(SUBSTITUTE(LEFT(TRIM(C312),FIND(" ",TRIM(C312)&amp;" ")-1),",","."),"."),LEFT(SUBSTITUTE(LEFT(TRIM(C312),FIND(" ",TRIM(C312)&amp;" ")-1),",","."),FIND("/",SUBSTITUTE(LEFT(TRIM(C312),FIND(" ",TRIM(C312)&amp;" ")-1),",","."))-1)/MID(SUBSTITUTE(LEFT(TRIM(C312),FIND(" ",TRIM(C312)&amp;" ")-1),",","."),FIND("/",SUBSTITUTE(LEFT(TRIM(C312),FIND(" ",TRIM(C312)&amp;" ")-1),",","."))+1,9))*12,NA()))),0),36)*'Aturan &amp; Tarif'!$B$4,2)</f>
        <v>2044.08</v>
      </c>
      <c r="K312" s="42" t="n">
        <f aca="false">'Aturan &amp; Tarif'!$B$5</f>
        <v>2050</v>
      </c>
      <c r="L312" s="42" t="n">
        <f aca="false">'Aturan &amp; Tarif'!$B$6</f>
        <v>350</v>
      </c>
      <c r="M312" s="35" t="n">
        <f aca="false">I312+J312+K312+L312</f>
        <v>12934.08</v>
      </c>
      <c r="N312" s="45" t="s">
        <v>2131</v>
      </c>
    </row>
    <row r="313" customFormat="false" ht="15" hidden="false" customHeight="true" outlineLevel="0" collapsed="false">
      <c r="A313" s="47"/>
      <c r="B313" s="40" t="s">
        <v>2139</v>
      </c>
      <c r="C313" s="41" t="s">
        <v>127</v>
      </c>
      <c r="D313" s="41" t="s">
        <v>737</v>
      </c>
      <c r="E313" s="42" t="n">
        <v>8240</v>
      </c>
      <c r="F313" s="42"/>
      <c r="G313" s="42" t="n">
        <v>250</v>
      </c>
      <c r="H313" s="43" t="n">
        <v>1</v>
      </c>
      <c r="I313" s="34" t="n">
        <f aca="false">E313*H313+N(F313)+N(G313)</f>
        <v>8490</v>
      </c>
      <c r="J313" s="42" t="n">
        <f aca="false">ROUND(IFERROR(ROUND(IF(OR(ISNUMBER(SEARCH("week",C313)),ISNUMBER(SEARCH("minggu",C313))),IFERROR(_xlfn.NUMBERVALUE(SUBSTITUTE(LEFT(TRIM(C313),FIND(" ",TRIM(C313)&amp;" ")-1),",","."),"."),LEFT(SUBSTITUTE(LEFT(TRIM(C313),FIND(" ",TRIM(C313)&amp;" ")-1),",","."),FIND("/",SUBSTITUTE(LEFT(TRIM(C313),FIND(" ",TRIM(C313)&amp;" ")-1),",","."))-1)/MID(SUBSTITUTE(LEFT(TRIM(C313),FIND(" ",TRIM(C313)&amp;" ")-1),",","."),FIND("/",SUBSTITUTE(LEFT(TRIM(C313),FIND(" ",TRIM(C313)&amp;" ")-1),",","."))+1,9))*12/52,IF(ISNUMBER(SEARCH("month",C313)),IFERROR(_xlfn.NUMBERVALUE(SUBSTITUTE(LEFT(TRIM(C313),FIND(" ",TRIM(C313)&amp;" ")-1),",","."),"."),LEFT(SUBSTITUTE(LEFT(TRIM(C313),FIND(" ",TRIM(C313)&amp;" ")-1),",","."),FIND("/",SUBSTITUTE(LEFT(TRIM(C313),FIND(" ",TRIM(C313)&amp;" ")-1),",","."))-1)/MID(SUBSTITUTE(LEFT(TRIM(C313),FIND(" ",TRIM(C313)&amp;" ")-1),",","."),FIND("/",SUBSTITUTE(LEFT(TRIM(C313),FIND(" ",TRIM(C313)&amp;" ")-1),",","."))+1,9)),IF(ISNUMBER(SEARCH("yea",C313)),IFERROR(_xlfn.NUMBERVALUE(SUBSTITUTE(LEFT(TRIM(C313),FIND(" ",TRIM(C313)&amp;" ")-1),",","."),"."),LEFT(SUBSTITUTE(LEFT(TRIM(C313),FIND(" ",TRIM(C313)&amp;" ")-1),",","."),FIND("/",SUBSTITUTE(LEFT(TRIM(C313),FIND(" ",TRIM(C313)&amp;" ")-1),",","."))-1)/MID(SUBSTITUTE(LEFT(TRIM(C313),FIND(" ",TRIM(C313)&amp;" ")-1),",","."),FIND("/",SUBSTITUTE(LEFT(TRIM(C313),FIND(" ",TRIM(C313)&amp;" ")-1),",","."))+1,9))*12,NA()))),0),36)*'Aturan &amp; Tarif'!$B$4,2)</f>
        <v>2044.08</v>
      </c>
      <c r="K313" s="42" t="n">
        <f aca="false">'Aturan &amp; Tarif'!$B$5</f>
        <v>2050</v>
      </c>
      <c r="L313" s="42" t="n">
        <f aca="false">'Aturan &amp; Tarif'!$B$6</f>
        <v>350</v>
      </c>
      <c r="M313" s="35" t="n">
        <f aca="false">I313+J313+K313+L313</f>
        <v>12934.08</v>
      </c>
      <c r="N313" s="45" t="s">
        <v>2131</v>
      </c>
    </row>
    <row r="314" customFormat="false" ht="21.75" hidden="false" customHeight="true" outlineLevel="0" collapsed="false">
      <c r="A314" s="47"/>
      <c r="B314" s="40" t="s">
        <v>2140</v>
      </c>
      <c r="C314" s="41" t="s">
        <v>127</v>
      </c>
      <c r="D314" s="41" t="s">
        <v>737</v>
      </c>
      <c r="E314" s="42" t="n">
        <v>8240</v>
      </c>
      <c r="F314" s="42"/>
      <c r="G314" s="42" t="n">
        <v>250</v>
      </c>
      <c r="H314" s="43" t="n">
        <v>1</v>
      </c>
      <c r="I314" s="34" t="n">
        <f aca="false">E314*H314+N(F314)+N(G314)</f>
        <v>8490</v>
      </c>
      <c r="J314" s="42" t="n">
        <f aca="false">ROUND(IFERROR(ROUND(IF(OR(ISNUMBER(SEARCH("week",C314)),ISNUMBER(SEARCH("minggu",C314))),IFERROR(_xlfn.NUMBERVALUE(SUBSTITUTE(LEFT(TRIM(C314),FIND(" ",TRIM(C314)&amp;" ")-1),",","."),"."),LEFT(SUBSTITUTE(LEFT(TRIM(C314),FIND(" ",TRIM(C314)&amp;" ")-1),",","."),FIND("/",SUBSTITUTE(LEFT(TRIM(C314),FIND(" ",TRIM(C314)&amp;" ")-1),",","."))-1)/MID(SUBSTITUTE(LEFT(TRIM(C314),FIND(" ",TRIM(C314)&amp;" ")-1),",","."),FIND("/",SUBSTITUTE(LEFT(TRIM(C314),FIND(" ",TRIM(C314)&amp;" ")-1),",","."))+1,9))*12/52,IF(ISNUMBER(SEARCH("month",C314)),IFERROR(_xlfn.NUMBERVALUE(SUBSTITUTE(LEFT(TRIM(C314),FIND(" ",TRIM(C314)&amp;" ")-1),",","."),"."),LEFT(SUBSTITUTE(LEFT(TRIM(C314),FIND(" ",TRIM(C314)&amp;" ")-1),",","."),FIND("/",SUBSTITUTE(LEFT(TRIM(C314),FIND(" ",TRIM(C314)&amp;" ")-1),",","."))-1)/MID(SUBSTITUTE(LEFT(TRIM(C314),FIND(" ",TRIM(C314)&amp;" ")-1),",","."),FIND("/",SUBSTITUTE(LEFT(TRIM(C314),FIND(" ",TRIM(C314)&amp;" ")-1),",","."))+1,9)),IF(ISNUMBER(SEARCH("yea",C314)),IFERROR(_xlfn.NUMBERVALUE(SUBSTITUTE(LEFT(TRIM(C314),FIND(" ",TRIM(C314)&amp;" ")-1),",","."),"."),LEFT(SUBSTITUTE(LEFT(TRIM(C314),FIND(" ",TRIM(C314)&amp;" ")-1),",","."),FIND("/",SUBSTITUTE(LEFT(TRIM(C314),FIND(" ",TRIM(C314)&amp;" ")-1),",","."))-1)/MID(SUBSTITUTE(LEFT(TRIM(C314),FIND(" ",TRIM(C314)&amp;" ")-1),",","."),FIND("/",SUBSTITUTE(LEFT(TRIM(C314),FIND(" ",TRIM(C314)&amp;" ")-1),",","."))+1,9))*12,NA()))),0),36)*'Aturan &amp; Tarif'!$B$4,2)</f>
        <v>2044.08</v>
      </c>
      <c r="K314" s="42" t="n">
        <f aca="false">'Aturan &amp; Tarif'!$B$5</f>
        <v>2050</v>
      </c>
      <c r="L314" s="42" t="n">
        <f aca="false">'Aturan &amp; Tarif'!$B$6</f>
        <v>350</v>
      </c>
      <c r="M314" s="35" t="n">
        <f aca="false">I314+J314+K314+L314</f>
        <v>12934.08</v>
      </c>
      <c r="N314" s="45" t="s">
        <v>2131</v>
      </c>
    </row>
    <row r="315" customFormat="false" ht="21.75" hidden="false" customHeight="true" outlineLevel="0" collapsed="false">
      <c r="A315" s="47"/>
      <c r="B315" s="40" t="s">
        <v>2141</v>
      </c>
      <c r="C315" s="41" t="s">
        <v>127</v>
      </c>
      <c r="D315" s="41" t="s">
        <v>737</v>
      </c>
      <c r="E315" s="42" t="n">
        <v>8800</v>
      </c>
      <c r="F315" s="42"/>
      <c r="G315" s="42" t="n">
        <v>250</v>
      </c>
      <c r="H315" s="43" t="n">
        <v>1</v>
      </c>
      <c r="I315" s="34" t="n">
        <f aca="false">E315*H315+N(F315)+N(G315)</f>
        <v>9050</v>
      </c>
      <c r="J315" s="42" t="n">
        <f aca="false">ROUND(IFERROR(ROUND(IF(OR(ISNUMBER(SEARCH("week",C315)),ISNUMBER(SEARCH("minggu",C315))),IFERROR(_xlfn.NUMBERVALUE(SUBSTITUTE(LEFT(TRIM(C315),FIND(" ",TRIM(C315)&amp;" ")-1),",","."),"."),LEFT(SUBSTITUTE(LEFT(TRIM(C315),FIND(" ",TRIM(C315)&amp;" ")-1),",","."),FIND("/",SUBSTITUTE(LEFT(TRIM(C315),FIND(" ",TRIM(C315)&amp;" ")-1),",","."))-1)/MID(SUBSTITUTE(LEFT(TRIM(C315),FIND(" ",TRIM(C315)&amp;" ")-1),",","."),FIND("/",SUBSTITUTE(LEFT(TRIM(C315),FIND(" ",TRIM(C315)&amp;" ")-1),",","."))+1,9))*12/52,IF(ISNUMBER(SEARCH("month",C315)),IFERROR(_xlfn.NUMBERVALUE(SUBSTITUTE(LEFT(TRIM(C315),FIND(" ",TRIM(C315)&amp;" ")-1),",","."),"."),LEFT(SUBSTITUTE(LEFT(TRIM(C315),FIND(" ",TRIM(C315)&amp;" ")-1),",","."),FIND("/",SUBSTITUTE(LEFT(TRIM(C315),FIND(" ",TRIM(C315)&amp;" ")-1),",","."))-1)/MID(SUBSTITUTE(LEFT(TRIM(C315),FIND(" ",TRIM(C315)&amp;" ")-1),",","."),FIND("/",SUBSTITUTE(LEFT(TRIM(C315),FIND(" ",TRIM(C315)&amp;" ")-1),",","."))+1,9)),IF(ISNUMBER(SEARCH("yea",C315)),IFERROR(_xlfn.NUMBERVALUE(SUBSTITUTE(LEFT(TRIM(C315),FIND(" ",TRIM(C315)&amp;" ")-1),",","."),"."),LEFT(SUBSTITUTE(LEFT(TRIM(C315),FIND(" ",TRIM(C315)&amp;" ")-1),",","."),FIND("/",SUBSTITUTE(LEFT(TRIM(C315),FIND(" ",TRIM(C315)&amp;" ")-1),",","."))-1)/MID(SUBSTITUTE(LEFT(TRIM(C315),FIND(" ",TRIM(C315)&amp;" ")-1),",","."),FIND("/",SUBSTITUTE(LEFT(TRIM(C315),FIND(" ",TRIM(C315)&amp;" ")-1),",","."))+1,9))*12,NA()))),0),36)*'Aturan &amp; Tarif'!$B$4,2)</f>
        <v>2044.08</v>
      </c>
      <c r="K315" s="42" t="n">
        <f aca="false">'Aturan &amp; Tarif'!$B$5</f>
        <v>2050</v>
      </c>
      <c r="L315" s="42" t="n">
        <f aca="false">'Aturan &amp; Tarif'!$B$6</f>
        <v>350</v>
      </c>
      <c r="M315" s="35" t="n">
        <f aca="false">I315+J315+K315+L315</f>
        <v>13494.08</v>
      </c>
      <c r="N315" s="45" t="s">
        <v>2142</v>
      </c>
    </row>
    <row r="316" customFormat="false" ht="15" hidden="false" customHeight="true" outlineLevel="0" collapsed="false">
      <c r="A316" s="47"/>
      <c r="B316" s="40" t="s">
        <v>2143</v>
      </c>
      <c r="C316" s="41" t="s">
        <v>127</v>
      </c>
      <c r="D316" s="41" t="s">
        <v>737</v>
      </c>
      <c r="E316" s="42" t="n">
        <v>8800</v>
      </c>
      <c r="F316" s="42"/>
      <c r="G316" s="42" t="n">
        <v>250</v>
      </c>
      <c r="H316" s="43" t="n">
        <v>1</v>
      </c>
      <c r="I316" s="34" t="n">
        <f aca="false">E316*H316+N(F316)+N(G316)</f>
        <v>9050</v>
      </c>
      <c r="J316" s="42" t="n">
        <f aca="false">ROUND(IFERROR(ROUND(IF(OR(ISNUMBER(SEARCH("week",C316)),ISNUMBER(SEARCH("minggu",C316))),IFERROR(_xlfn.NUMBERVALUE(SUBSTITUTE(LEFT(TRIM(C316),FIND(" ",TRIM(C316)&amp;" ")-1),",","."),"."),LEFT(SUBSTITUTE(LEFT(TRIM(C316),FIND(" ",TRIM(C316)&amp;" ")-1),",","."),FIND("/",SUBSTITUTE(LEFT(TRIM(C316),FIND(" ",TRIM(C316)&amp;" ")-1),",","."))-1)/MID(SUBSTITUTE(LEFT(TRIM(C316),FIND(" ",TRIM(C316)&amp;" ")-1),",","."),FIND("/",SUBSTITUTE(LEFT(TRIM(C316),FIND(" ",TRIM(C316)&amp;" ")-1),",","."))+1,9))*12/52,IF(ISNUMBER(SEARCH("month",C316)),IFERROR(_xlfn.NUMBERVALUE(SUBSTITUTE(LEFT(TRIM(C316),FIND(" ",TRIM(C316)&amp;" ")-1),",","."),"."),LEFT(SUBSTITUTE(LEFT(TRIM(C316),FIND(" ",TRIM(C316)&amp;" ")-1),",","."),FIND("/",SUBSTITUTE(LEFT(TRIM(C316),FIND(" ",TRIM(C316)&amp;" ")-1),",","."))-1)/MID(SUBSTITUTE(LEFT(TRIM(C316),FIND(" ",TRIM(C316)&amp;" ")-1),",","."),FIND("/",SUBSTITUTE(LEFT(TRIM(C316),FIND(" ",TRIM(C316)&amp;" ")-1),",","."))+1,9)),IF(ISNUMBER(SEARCH("yea",C316)),IFERROR(_xlfn.NUMBERVALUE(SUBSTITUTE(LEFT(TRIM(C316),FIND(" ",TRIM(C316)&amp;" ")-1),",","."),"."),LEFT(SUBSTITUTE(LEFT(TRIM(C316),FIND(" ",TRIM(C316)&amp;" ")-1),",","."),FIND("/",SUBSTITUTE(LEFT(TRIM(C316),FIND(" ",TRIM(C316)&amp;" ")-1),",","."))-1)/MID(SUBSTITUTE(LEFT(TRIM(C316),FIND(" ",TRIM(C316)&amp;" ")-1),",","."),FIND("/",SUBSTITUTE(LEFT(TRIM(C316),FIND(" ",TRIM(C316)&amp;" ")-1),",","."))+1,9))*12,NA()))),0),36)*'Aturan &amp; Tarif'!$B$4,2)</f>
        <v>2044.08</v>
      </c>
      <c r="K316" s="42" t="n">
        <f aca="false">'Aturan &amp; Tarif'!$B$5</f>
        <v>2050</v>
      </c>
      <c r="L316" s="42" t="n">
        <f aca="false">'Aturan &amp; Tarif'!$B$6</f>
        <v>350</v>
      </c>
      <c r="M316" s="35" t="n">
        <f aca="false">I316+J316+K316+L316</f>
        <v>13494.08</v>
      </c>
      <c r="N316" s="45" t="s">
        <v>2142</v>
      </c>
    </row>
    <row r="317" customFormat="false" ht="15" hidden="false" customHeight="true" outlineLevel="0" collapsed="false">
      <c r="A317" s="47"/>
      <c r="B317" s="40" t="s">
        <v>2144</v>
      </c>
      <c r="C317" s="41" t="s">
        <v>127</v>
      </c>
      <c r="D317" s="41" t="s">
        <v>737</v>
      </c>
      <c r="E317" s="42" t="n">
        <v>8800</v>
      </c>
      <c r="F317" s="42"/>
      <c r="G317" s="42" t="n">
        <v>250</v>
      </c>
      <c r="H317" s="43" t="n">
        <v>1</v>
      </c>
      <c r="I317" s="34" t="n">
        <f aca="false">E317*H317+N(F317)+N(G317)</f>
        <v>9050</v>
      </c>
      <c r="J317" s="42" t="n">
        <f aca="false">ROUND(IFERROR(ROUND(IF(OR(ISNUMBER(SEARCH("week",C317)),ISNUMBER(SEARCH("minggu",C317))),IFERROR(_xlfn.NUMBERVALUE(SUBSTITUTE(LEFT(TRIM(C317),FIND(" ",TRIM(C317)&amp;" ")-1),",","."),"."),LEFT(SUBSTITUTE(LEFT(TRIM(C317),FIND(" ",TRIM(C317)&amp;" ")-1),",","."),FIND("/",SUBSTITUTE(LEFT(TRIM(C317),FIND(" ",TRIM(C317)&amp;" ")-1),",","."))-1)/MID(SUBSTITUTE(LEFT(TRIM(C317),FIND(" ",TRIM(C317)&amp;" ")-1),",","."),FIND("/",SUBSTITUTE(LEFT(TRIM(C317),FIND(" ",TRIM(C317)&amp;" ")-1),",","."))+1,9))*12/52,IF(ISNUMBER(SEARCH("month",C317)),IFERROR(_xlfn.NUMBERVALUE(SUBSTITUTE(LEFT(TRIM(C317),FIND(" ",TRIM(C317)&amp;" ")-1),",","."),"."),LEFT(SUBSTITUTE(LEFT(TRIM(C317),FIND(" ",TRIM(C317)&amp;" ")-1),",","."),FIND("/",SUBSTITUTE(LEFT(TRIM(C317),FIND(" ",TRIM(C317)&amp;" ")-1),",","."))-1)/MID(SUBSTITUTE(LEFT(TRIM(C317),FIND(" ",TRIM(C317)&amp;" ")-1),",","."),FIND("/",SUBSTITUTE(LEFT(TRIM(C317),FIND(" ",TRIM(C317)&amp;" ")-1),",","."))+1,9)),IF(ISNUMBER(SEARCH("yea",C317)),IFERROR(_xlfn.NUMBERVALUE(SUBSTITUTE(LEFT(TRIM(C317),FIND(" ",TRIM(C317)&amp;" ")-1),",","."),"."),LEFT(SUBSTITUTE(LEFT(TRIM(C317),FIND(" ",TRIM(C317)&amp;" ")-1),",","."),FIND("/",SUBSTITUTE(LEFT(TRIM(C317),FIND(" ",TRIM(C317)&amp;" ")-1),",","."))-1)/MID(SUBSTITUTE(LEFT(TRIM(C317),FIND(" ",TRIM(C317)&amp;" ")-1),",","."),FIND("/",SUBSTITUTE(LEFT(TRIM(C317),FIND(" ",TRIM(C317)&amp;" ")-1),",","."))+1,9))*12,NA()))),0),36)*'Aturan &amp; Tarif'!$B$4,2)</f>
        <v>2044.08</v>
      </c>
      <c r="K317" s="42" t="n">
        <f aca="false">'Aturan &amp; Tarif'!$B$5</f>
        <v>2050</v>
      </c>
      <c r="L317" s="42" t="n">
        <f aca="false">'Aturan &amp; Tarif'!$B$6</f>
        <v>350</v>
      </c>
      <c r="M317" s="35" t="n">
        <f aca="false">I317+J317+K317+L317</f>
        <v>13494.08</v>
      </c>
      <c r="N317" s="45" t="s">
        <v>2142</v>
      </c>
    </row>
    <row r="318" customFormat="false" ht="21.75" hidden="false" customHeight="true" outlineLevel="0" collapsed="false">
      <c r="A318" s="47"/>
      <c r="B318" s="40" t="s">
        <v>2145</v>
      </c>
      <c r="C318" s="41" t="s">
        <v>127</v>
      </c>
      <c r="D318" s="41" t="s">
        <v>737</v>
      </c>
      <c r="E318" s="42" t="n">
        <v>8800</v>
      </c>
      <c r="F318" s="42"/>
      <c r="G318" s="42" t="n">
        <v>250</v>
      </c>
      <c r="H318" s="43" t="n">
        <v>1</v>
      </c>
      <c r="I318" s="34" t="n">
        <f aca="false">E318*H318+N(F318)+N(G318)</f>
        <v>9050</v>
      </c>
      <c r="J318" s="42" t="n">
        <f aca="false">ROUND(IFERROR(ROUND(IF(OR(ISNUMBER(SEARCH("week",C318)),ISNUMBER(SEARCH("minggu",C318))),IFERROR(_xlfn.NUMBERVALUE(SUBSTITUTE(LEFT(TRIM(C318),FIND(" ",TRIM(C318)&amp;" ")-1),",","."),"."),LEFT(SUBSTITUTE(LEFT(TRIM(C318),FIND(" ",TRIM(C318)&amp;" ")-1),",","."),FIND("/",SUBSTITUTE(LEFT(TRIM(C318),FIND(" ",TRIM(C318)&amp;" ")-1),",","."))-1)/MID(SUBSTITUTE(LEFT(TRIM(C318),FIND(" ",TRIM(C318)&amp;" ")-1),",","."),FIND("/",SUBSTITUTE(LEFT(TRIM(C318),FIND(" ",TRIM(C318)&amp;" ")-1),",","."))+1,9))*12/52,IF(ISNUMBER(SEARCH("month",C318)),IFERROR(_xlfn.NUMBERVALUE(SUBSTITUTE(LEFT(TRIM(C318),FIND(" ",TRIM(C318)&amp;" ")-1),",","."),"."),LEFT(SUBSTITUTE(LEFT(TRIM(C318),FIND(" ",TRIM(C318)&amp;" ")-1),",","."),FIND("/",SUBSTITUTE(LEFT(TRIM(C318),FIND(" ",TRIM(C318)&amp;" ")-1),",","."))-1)/MID(SUBSTITUTE(LEFT(TRIM(C318),FIND(" ",TRIM(C318)&amp;" ")-1),",","."),FIND("/",SUBSTITUTE(LEFT(TRIM(C318),FIND(" ",TRIM(C318)&amp;" ")-1),",","."))+1,9)),IF(ISNUMBER(SEARCH("yea",C318)),IFERROR(_xlfn.NUMBERVALUE(SUBSTITUTE(LEFT(TRIM(C318),FIND(" ",TRIM(C318)&amp;" ")-1),",","."),"."),LEFT(SUBSTITUTE(LEFT(TRIM(C318),FIND(" ",TRIM(C318)&amp;" ")-1),",","."),FIND("/",SUBSTITUTE(LEFT(TRIM(C318),FIND(" ",TRIM(C318)&amp;" ")-1),",","."))-1)/MID(SUBSTITUTE(LEFT(TRIM(C318),FIND(" ",TRIM(C318)&amp;" ")-1),",","."),FIND("/",SUBSTITUTE(LEFT(TRIM(C318),FIND(" ",TRIM(C318)&amp;" ")-1),",","."))+1,9))*12,NA()))),0),36)*'Aturan &amp; Tarif'!$B$4,2)</f>
        <v>2044.08</v>
      </c>
      <c r="K318" s="42" t="n">
        <f aca="false">'Aturan &amp; Tarif'!$B$5</f>
        <v>2050</v>
      </c>
      <c r="L318" s="42" t="n">
        <f aca="false">'Aturan &amp; Tarif'!$B$6</f>
        <v>350</v>
      </c>
      <c r="M318" s="35" t="n">
        <f aca="false">I318+J318+K318+L318</f>
        <v>13494.08</v>
      </c>
      <c r="N318" s="45" t="s">
        <v>2142</v>
      </c>
    </row>
    <row r="319" customFormat="false" ht="21.75" hidden="false" customHeight="true" outlineLevel="0" collapsed="false">
      <c r="A319" s="47"/>
      <c r="B319" s="40" t="s">
        <v>2146</v>
      </c>
      <c r="C319" s="41" t="s">
        <v>127</v>
      </c>
      <c r="D319" s="41" t="s">
        <v>737</v>
      </c>
      <c r="E319" s="42" t="n">
        <v>8800</v>
      </c>
      <c r="F319" s="42"/>
      <c r="G319" s="42" t="n">
        <v>250</v>
      </c>
      <c r="H319" s="43" t="n">
        <v>1</v>
      </c>
      <c r="I319" s="34" t="n">
        <f aca="false">E319*H319+N(F319)+N(G319)</f>
        <v>9050</v>
      </c>
      <c r="J319" s="42" t="n">
        <f aca="false">ROUND(IFERROR(ROUND(IF(OR(ISNUMBER(SEARCH("week",C319)),ISNUMBER(SEARCH("minggu",C319))),IFERROR(_xlfn.NUMBERVALUE(SUBSTITUTE(LEFT(TRIM(C319),FIND(" ",TRIM(C319)&amp;" ")-1),",","."),"."),LEFT(SUBSTITUTE(LEFT(TRIM(C319),FIND(" ",TRIM(C319)&amp;" ")-1),",","."),FIND("/",SUBSTITUTE(LEFT(TRIM(C319),FIND(" ",TRIM(C319)&amp;" ")-1),",","."))-1)/MID(SUBSTITUTE(LEFT(TRIM(C319),FIND(" ",TRIM(C319)&amp;" ")-1),",","."),FIND("/",SUBSTITUTE(LEFT(TRIM(C319),FIND(" ",TRIM(C319)&amp;" ")-1),",","."))+1,9))*12/52,IF(ISNUMBER(SEARCH("month",C319)),IFERROR(_xlfn.NUMBERVALUE(SUBSTITUTE(LEFT(TRIM(C319),FIND(" ",TRIM(C319)&amp;" ")-1),",","."),"."),LEFT(SUBSTITUTE(LEFT(TRIM(C319),FIND(" ",TRIM(C319)&amp;" ")-1),",","."),FIND("/",SUBSTITUTE(LEFT(TRIM(C319),FIND(" ",TRIM(C319)&amp;" ")-1),",","."))-1)/MID(SUBSTITUTE(LEFT(TRIM(C319),FIND(" ",TRIM(C319)&amp;" ")-1),",","."),FIND("/",SUBSTITUTE(LEFT(TRIM(C319),FIND(" ",TRIM(C319)&amp;" ")-1),",","."))+1,9)),IF(ISNUMBER(SEARCH("yea",C319)),IFERROR(_xlfn.NUMBERVALUE(SUBSTITUTE(LEFT(TRIM(C319),FIND(" ",TRIM(C319)&amp;" ")-1),",","."),"."),LEFT(SUBSTITUTE(LEFT(TRIM(C319),FIND(" ",TRIM(C319)&amp;" ")-1),",","."),FIND("/",SUBSTITUTE(LEFT(TRIM(C319),FIND(" ",TRIM(C319)&amp;" ")-1),",","."))-1)/MID(SUBSTITUTE(LEFT(TRIM(C319),FIND(" ",TRIM(C319)&amp;" ")-1),",","."),FIND("/",SUBSTITUTE(LEFT(TRIM(C319),FIND(" ",TRIM(C319)&amp;" ")-1),",","."))+1,9))*12,NA()))),0),36)*'Aturan &amp; Tarif'!$B$4,2)</f>
        <v>2044.08</v>
      </c>
      <c r="K319" s="42" t="n">
        <f aca="false">'Aturan &amp; Tarif'!$B$5</f>
        <v>2050</v>
      </c>
      <c r="L319" s="42" t="n">
        <f aca="false">'Aturan &amp; Tarif'!$B$6</f>
        <v>350</v>
      </c>
      <c r="M319" s="35" t="n">
        <f aca="false">I319+J319+K319+L319</f>
        <v>13494.08</v>
      </c>
      <c r="N319" s="45" t="s">
        <v>2142</v>
      </c>
    </row>
    <row r="320" customFormat="false" ht="21.75" hidden="false" customHeight="true" outlineLevel="0" collapsed="false">
      <c r="A320" s="47"/>
      <c r="B320" s="40" t="s">
        <v>2147</v>
      </c>
      <c r="C320" s="41" t="s">
        <v>107</v>
      </c>
      <c r="D320" s="41" t="s">
        <v>737</v>
      </c>
      <c r="E320" s="42"/>
      <c r="F320" s="42"/>
      <c r="G320" s="42" t="n">
        <v>250</v>
      </c>
      <c r="H320" s="43" t="n">
        <v>1</v>
      </c>
      <c r="I320" s="34" t="n">
        <f aca="false">E320*H320+N(F320)+N(G320)</f>
        <v>250</v>
      </c>
      <c r="J320" s="42" t="n">
        <f aca="false">ROUND(IFERROR(ROUND(IF(OR(ISNUMBER(SEARCH("week",C320)),ISNUMBER(SEARCH("minggu",C320))),IFERROR(_xlfn.NUMBERVALUE(SUBSTITUTE(LEFT(TRIM(C320),FIND(" ",TRIM(C320)&amp;" ")-1),",","."),"."),LEFT(SUBSTITUTE(LEFT(TRIM(C320),FIND(" ",TRIM(C320)&amp;" ")-1),",","."),FIND("/",SUBSTITUTE(LEFT(TRIM(C320),FIND(" ",TRIM(C320)&amp;" ")-1),",","."))-1)/MID(SUBSTITUTE(LEFT(TRIM(C320),FIND(" ",TRIM(C320)&amp;" ")-1),",","."),FIND("/",SUBSTITUTE(LEFT(TRIM(C320),FIND(" ",TRIM(C320)&amp;" ")-1),",","."))+1,9))*12/52,IF(ISNUMBER(SEARCH("month",C320)),IFERROR(_xlfn.NUMBERVALUE(SUBSTITUTE(LEFT(TRIM(C320),FIND(" ",TRIM(C320)&amp;" ")-1),",","."),"."),LEFT(SUBSTITUTE(LEFT(TRIM(C320),FIND(" ",TRIM(C320)&amp;" ")-1),",","."),FIND("/",SUBSTITUTE(LEFT(TRIM(C320),FIND(" ",TRIM(C320)&amp;" ")-1),",","."))-1)/MID(SUBSTITUTE(LEFT(TRIM(C320),FIND(" ",TRIM(C320)&amp;" ")-1),",","."),FIND("/",SUBSTITUTE(LEFT(TRIM(C320),FIND(" ",TRIM(C320)&amp;" ")-1),",","."))+1,9)),IF(ISNUMBER(SEARCH("yea",C320)),IFERROR(_xlfn.NUMBERVALUE(SUBSTITUTE(LEFT(TRIM(C320),FIND(" ",TRIM(C320)&amp;" ")-1),",","."),"."),LEFT(SUBSTITUTE(LEFT(TRIM(C320),FIND(" ",TRIM(C320)&amp;" ")-1),",","."),FIND("/",SUBSTITUTE(LEFT(TRIM(C320),FIND(" ",TRIM(C320)&amp;" ")-1),",","."))-1)/MID(SUBSTITUTE(LEFT(TRIM(C320),FIND(" ",TRIM(C320)&amp;" ")-1),",","."),FIND("/",SUBSTITUTE(LEFT(TRIM(C320),FIND(" ",TRIM(C320)&amp;" ")-1),",","."))+1,9))*12,NA()))),0),24)*'Aturan &amp; Tarif'!$B$4,2)</f>
        <v>1362.72</v>
      </c>
      <c r="K320" s="42" t="n">
        <f aca="false">'Aturan &amp; Tarif'!$B$5</f>
        <v>2050</v>
      </c>
      <c r="L320" s="42" t="n">
        <f aca="false">'Aturan &amp; Tarif'!$B$6</f>
        <v>350</v>
      </c>
      <c r="M320" s="35" t="n">
        <f aca="false">I320+J320+K320+L320</f>
        <v>4012.72</v>
      </c>
      <c r="N320" s="45" t="s">
        <v>2148</v>
      </c>
    </row>
    <row r="321" customFormat="false" ht="21.75" hidden="false" customHeight="true" outlineLevel="0" collapsed="false">
      <c r="A321" s="47"/>
      <c r="B321" s="40" t="s">
        <v>2149</v>
      </c>
      <c r="C321" s="41" t="s">
        <v>107</v>
      </c>
      <c r="D321" s="41" t="s">
        <v>737</v>
      </c>
      <c r="E321" s="42"/>
      <c r="F321" s="42"/>
      <c r="G321" s="42" t="n">
        <v>250</v>
      </c>
      <c r="H321" s="43" t="n">
        <v>1</v>
      </c>
      <c r="I321" s="34" t="n">
        <f aca="false">E321*H321+N(F321)+N(G321)</f>
        <v>250</v>
      </c>
      <c r="J321" s="42" t="n">
        <f aca="false">ROUND(IFERROR(ROUND(IF(OR(ISNUMBER(SEARCH("week",C321)),ISNUMBER(SEARCH("minggu",C321))),IFERROR(_xlfn.NUMBERVALUE(SUBSTITUTE(LEFT(TRIM(C321),FIND(" ",TRIM(C321)&amp;" ")-1),",","."),"."),LEFT(SUBSTITUTE(LEFT(TRIM(C321),FIND(" ",TRIM(C321)&amp;" ")-1),",","."),FIND("/",SUBSTITUTE(LEFT(TRIM(C321),FIND(" ",TRIM(C321)&amp;" ")-1),",","."))-1)/MID(SUBSTITUTE(LEFT(TRIM(C321),FIND(" ",TRIM(C321)&amp;" ")-1),",","."),FIND("/",SUBSTITUTE(LEFT(TRIM(C321),FIND(" ",TRIM(C321)&amp;" ")-1),",","."))+1,9))*12/52,IF(ISNUMBER(SEARCH("month",C321)),IFERROR(_xlfn.NUMBERVALUE(SUBSTITUTE(LEFT(TRIM(C321),FIND(" ",TRIM(C321)&amp;" ")-1),",","."),"."),LEFT(SUBSTITUTE(LEFT(TRIM(C321),FIND(" ",TRIM(C321)&amp;" ")-1),",","."),FIND("/",SUBSTITUTE(LEFT(TRIM(C321),FIND(" ",TRIM(C321)&amp;" ")-1),",","."))-1)/MID(SUBSTITUTE(LEFT(TRIM(C321),FIND(" ",TRIM(C321)&amp;" ")-1),",","."),FIND("/",SUBSTITUTE(LEFT(TRIM(C321),FIND(" ",TRIM(C321)&amp;" ")-1),",","."))+1,9)),IF(ISNUMBER(SEARCH("yea",C321)),IFERROR(_xlfn.NUMBERVALUE(SUBSTITUTE(LEFT(TRIM(C321),FIND(" ",TRIM(C321)&amp;" ")-1),",","."),"."),LEFT(SUBSTITUTE(LEFT(TRIM(C321),FIND(" ",TRIM(C321)&amp;" ")-1),",","."),FIND("/",SUBSTITUTE(LEFT(TRIM(C321),FIND(" ",TRIM(C321)&amp;" ")-1),",","."))-1)/MID(SUBSTITUTE(LEFT(TRIM(C321),FIND(" ",TRIM(C321)&amp;" ")-1),",","."),FIND("/",SUBSTITUTE(LEFT(TRIM(C321),FIND(" ",TRIM(C321)&amp;" ")-1),",","."))+1,9))*12,NA()))),0),24)*'Aturan &amp; Tarif'!$B$4,2)</f>
        <v>1362.72</v>
      </c>
      <c r="K321" s="42" t="n">
        <f aca="false">'Aturan &amp; Tarif'!$B$5</f>
        <v>2050</v>
      </c>
      <c r="L321" s="42" t="n">
        <f aca="false">'Aturan &amp; Tarif'!$B$6</f>
        <v>350</v>
      </c>
      <c r="M321" s="35" t="n">
        <f aca="false">I321+J321+K321+L321</f>
        <v>4012.72</v>
      </c>
      <c r="N321" s="45" t="s">
        <v>2148</v>
      </c>
    </row>
    <row r="322" customFormat="false" ht="25.5" hidden="false" customHeight="true" outlineLevel="0" collapsed="false">
      <c r="A322" s="39" t="s">
        <v>2854</v>
      </c>
      <c r="B322" s="40" t="s">
        <v>2855</v>
      </c>
      <c r="C322" s="41" t="s">
        <v>127</v>
      </c>
      <c r="D322" s="41" t="s">
        <v>108</v>
      </c>
      <c r="E322" s="42" t="n">
        <v>4583</v>
      </c>
      <c r="F322" s="42" t="n">
        <v>500</v>
      </c>
      <c r="G322" s="42" t="n">
        <v>250</v>
      </c>
      <c r="H322" s="43" t="n">
        <v>2</v>
      </c>
      <c r="I322" s="34" t="n">
        <f aca="false">E322*H322+N(F322)+N(G322)</f>
        <v>9916</v>
      </c>
      <c r="J322" s="42" t="n">
        <f aca="false">ROUND(IFERROR(ROUND(IF(OR(ISNUMBER(SEARCH("week",C322)),ISNUMBER(SEARCH("minggu",C322))),IFERROR(_xlfn.NUMBERVALUE(SUBSTITUTE(LEFT(TRIM(C322),FIND(" ",TRIM(C322)&amp;" ")-1),",","."),"."),LEFT(SUBSTITUTE(LEFT(TRIM(C322),FIND(" ",TRIM(C322)&amp;" ")-1),",","."),FIND("/",SUBSTITUTE(LEFT(TRIM(C322),FIND(" ",TRIM(C322)&amp;" ")-1),",","."))-1)/MID(SUBSTITUTE(LEFT(TRIM(C322),FIND(" ",TRIM(C322)&amp;" ")-1),",","."),FIND("/",SUBSTITUTE(LEFT(TRIM(C322),FIND(" ",TRIM(C322)&amp;" ")-1),",","."))+1,9))*12/52,IF(ISNUMBER(SEARCH("month",C322)),IFERROR(_xlfn.NUMBERVALUE(SUBSTITUTE(LEFT(TRIM(C322),FIND(" ",TRIM(C322)&amp;" ")-1),",","."),"."),LEFT(SUBSTITUTE(LEFT(TRIM(C322),FIND(" ",TRIM(C322)&amp;" ")-1),",","."),FIND("/",SUBSTITUTE(LEFT(TRIM(C322),FIND(" ",TRIM(C322)&amp;" ")-1),",","."))-1)/MID(SUBSTITUTE(LEFT(TRIM(C322),FIND(" ",TRIM(C322)&amp;" ")-1),",","."),FIND("/",SUBSTITUTE(LEFT(TRIM(C322),FIND(" ",TRIM(C322)&amp;" ")-1),",","."))+1,9)),IF(ISNUMBER(SEARCH("yea",C322)),IFERROR(_xlfn.NUMBERVALUE(SUBSTITUTE(LEFT(TRIM(C322),FIND(" ",TRIM(C322)&amp;" ")-1),",","."),"."),LEFT(SUBSTITUTE(LEFT(TRIM(C322),FIND(" ",TRIM(C322)&amp;" ")-1),",","."),FIND("/",SUBSTITUTE(LEFT(TRIM(C322),FIND(" ",TRIM(C322)&amp;" ")-1),",","."))-1)/MID(SUBSTITUTE(LEFT(TRIM(C322),FIND(" ",TRIM(C322)&amp;" ")-1),",","."),FIND("/",SUBSTITUTE(LEFT(TRIM(C322),FIND(" ",TRIM(C322)&amp;" ")-1),",","."))+1,9))*12,NA()))),0),36)*'Aturan &amp; Tarif'!$B$4,2)</f>
        <v>2044.08</v>
      </c>
      <c r="K322" s="42" t="n">
        <f aca="false">'Aturan &amp; Tarif'!$B$5</f>
        <v>2050</v>
      </c>
      <c r="L322" s="42" t="n">
        <f aca="false">'Aturan &amp; Tarif'!$B$6</f>
        <v>350</v>
      </c>
      <c r="M322" s="35" t="n">
        <f aca="false">I322+J322+K322+L322</f>
        <v>14360.08</v>
      </c>
      <c r="N322" s="45" t="s">
        <v>134</v>
      </c>
    </row>
    <row r="323" customFormat="false" ht="37.5" hidden="false" customHeight="true" outlineLevel="0" collapsed="false">
      <c r="A323" s="39"/>
      <c r="B323" s="40" t="s">
        <v>2856</v>
      </c>
      <c r="C323" s="41" t="s">
        <v>130</v>
      </c>
      <c r="D323" s="41" t="s">
        <v>108</v>
      </c>
      <c r="E323" s="42" t="n">
        <v>5000</v>
      </c>
      <c r="F323" s="42" t="n">
        <v>500</v>
      </c>
      <c r="G323" s="42" t="n">
        <v>250</v>
      </c>
      <c r="H323" s="43" t="n">
        <v>2</v>
      </c>
      <c r="I323" s="34" t="n">
        <f aca="false">E323*H323+N(F323)+N(G323)</f>
        <v>10750</v>
      </c>
      <c r="J323" s="42" t="n">
        <f aca="false">ROUND(IFERROR(ROUND(IF(OR(ISNUMBER(SEARCH("week",C323)),ISNUMBER(SEARCH("minggu",C323))),IFERROR(_xlfn.NUMBERVALUE(SUBSTITUTE(LEFT(TRIM(C323),FIND(" ",TRIM(C323)&amp;" ")-1),",","."),"."),LEFT(SUBSTITUTE(LEFT(TRIM(C323),FIND(" ",TRIM(C323)&amp;" ")-1),",","."),FIND("/",SUBSTITUTE(LEFT(TRIM(C323),FIND(" ",TRIM(C323)&amp;" ")-1),",","."))-1)/MID(SUBSTITUTE(LEFT(TRIM(C323),FIND(" ",TRIM(C323)&amp;" ")-1),",","."),FIND("/",SUBSTITUTE(LEFT(TRIM(C323),FIND(" ",TRIM(C323)&amp;" ")-1),",","."))+1,9))*12/52,IF(ISNUMBER(SEARCH("month",C323)),IFERROR(_xlfn.NUMBERVALUE(SUBSTITUTE(LEFT(TRIM(C323),FIND(" ",TRIM(C323)&amp;" ")-1),",","."),"."),LEFT(SUBSTITUTE(LEFT(TRIM(C323),FIND(" ",TRIM(C323)&amp;" ")-1),",","."),FIND("/",SUBSTITUTE(LEFT(TRIM(C323),FIND(" ",TRIM(C323)&amp;" ")-1),",","."))-1)/MID(SUBSTITUTE(LEFT(TRIM(C323),FIND(" ",TRIM(C323)&amp;" ")-1),",","."),FIND("/",SUBSTITUTE(LEFT(TRIM(C323),FIND(" ",TRIM(C323)&amp;" ")-1),",","."))+1,9)),IF(ISNUMBER(SEARCH("yea",C323)),IFERROR(_xlfn.NUMBERVALUE(SUBSTITUTE(LEFT(TRIM(C323),FIND(" ",TRIM(C323)&amp;" ")-1),",","."),"."),LEFT(SUBSTITUTE(LEFT(TRIM(C323),FIND(" ",TRIM(C323)&amp;" ")-1),",","."),FIND("/",SUBSTITUTE(LEFT(TRIM(C323),FIND(" ",TRIM(C323)&amp;" ")-1),",","."))-1)/MID(SUBSTITUTE(LEFT(TRIM(C323),FIND(" ",TRIM(C323)&amp;" ")-1),",","."),FIND("/",SUBSTITUTE(LEFT(TRIM(C323),FIND(" ",TRIM(C323)&amp;" ")-1),",","."))+1,9))*12,NA()))),0),12)*'Aturan &amp; Tarif'!$B$4,2)</f>
        <v>681.36</v>
      </c>
      <c r="K323" s="42" t="n">
        <f aca="false">'Aturan &amp; Tarif'!$B$5</f>
        <v>2050</v>
      </c>
      <c r="L323" s="42" t="n">
        <f aca="false">'Aturan &amp; Tarif'!$B$6</f>
        <v>350</v>
      </c>
      <c r="M323" s="35" t="n">
        <f aca="false">I323+J323+K323+L323</f>
        <v>13831.36</v>
      </c>
      <c r="N323" s="45" t="s">
        <v>134</v>
      </c>
    </row>
    <row r="324" customFormat="false" ht="14.25" hidden="false" customHeight="true" outlineLevel="0" collapsed="false">
      <c r="A324" s="29" t="s">
        <v>2857</v>
      </c>
      <c r="B324" s="30" t="s">
        <v>983</v>
      </c>
      <c r="C324" s="31" t="s">
        <v>113</v>
      </c>
      <c r="D324" s="31" t="s">
        <v>108</v>
      </c>
      <c r="E324" s="32" t="n">
        <v>6997.5</v>
      </c>
      <c r="F324" s="32"/>
      <c r="G324" s="32" t="n">
        <v>250</v>
      </c>
      <c r="H324" s="33" t="n">
        <v>2</v>
      </c>
      <c r="I324" s="34" t="n">
        <f aca="false">E324*H324+N(F324)+N(G324)</f>
        <v>14245</v>
      </c>
      <c r="J324" s="32" t="n">
        <f aca="false">ROUND(IFERROR(ROUND(IF(OR(ISNUMBER(SEARCH("week",C324)),ISNUMBER(SEARCH("minggu",C324))),IFERROR(_xlfn.NUMBERVALUE(SUBSTITUTE(LEFT(TRIM(C324),FIND(" ",TRIM(C324)&amp;" ")-1),",","."),"."),LEFT(SUBSTITUTE(LEFT(TRIM(C324),FIND(" ",TRIM(C324)&amp;" ")-1),",","."),FIND("/",SUBSTITUTE(LEFT(TRIM(C324),FIND(" ",TRIM(C324)&amp;" ")-1),",","."))-1)/MID(SUBSTITUTE(LEFT(TRIM(C324),FIND(" ",TRIM(C324)&amp;" ")-1),",","."),FIND("/",SUBSTITUTE(LEFT(TRIM(C324),FIND(" ",TRIM(C324)&amp;" ")-1),",","."))+1,9))*12/52,IF(ISNUMBER(SEARCH("month",C324)),IFERROR(_xlfn.NUMBERVALUE(SUBSTITUTE(LEFT(TRIM(C324),FIND(" ",TRIM(C324)&amp;" ")-1),",","."),"."),LEFT(SUBSTITUTE(LEFT(TRIM(C324),FIND(" ",TRIM(C324)&amp;" ")-1),",","."),FIND("/",SUBSTITUTE(LEFT(TRIM(C324),FIND(" ",TRIM(C324)&amp;" ")-1),",","."))-1)/MID(SUBSTITUTE(LEFT(TRIM(C324),FIND(" ",TRIM(C324)&amp;" ")-1),",","."),FIND("/",SUBSTITUTE(LEFT(TRIM(C324),FIND(" ",TRIM(C324)&amp;" ")-1),",","."))+1,9)),IF(ISNUMBER(SEARCH("yea",C324)),IFERROR(_xlfn.NUMBERVALUE(SUBSTITUTE(LEFT(TRIM(C324),FIND(" ",TRIM(C324)&amp;" ")-1),",","."),"."),LEFT(SUBSTITUTE(LEFT(TRIM(C324),FIND(" ",TRIM(C324)&amp;" ")-1),",","."),FIND("/",SUBSTITUTE(LEFT(TRIM(C324),FIND(" ",TRIM(C324)&amp;" ")-1),",","."))-1)/MID(SUBSTITUTE(LEFT(TRIM(C324),FIND(" ",TRIM(C324)&amp;" ")-1),",","."),FIND("/",SUBSTITUTE(LEFT(TRIM(C324),FIND(" ",TRIM(C324)&amp;" ")-1),",","."))+1,9))*12,NA()))),0),18)*'Aturan &amp; Tarif'!$B$4,2)</f>
        <v>1022.04</v>
      </c>
      <c r="K324" s="32" t="n">
        <f aca="false">'Aturan &amp; Tarif'!$B$5</f>
        <v>2050</v>
      </c>
      <c r="L324" s="32" t="n">
        <f aca="false">'Aturan &amp; Tarif'!$B$6</f>
        <v>350</v>
      </c>
      <c r="M324" s="35" t="n">
        <f aca="false">I324+J324+K324+L324</f>
        <v>17667.04</v>
      </c>
      <c r="N324" s="37" t="s">
        <v>1643</v>
      </c>
    </row>
    <row r="325" customFormat="false" ht="25.5" hidden="false" customHeight="true" outlineLevel="0" collapsed="false">
      <c r="A325" s="29"/>
      <c r="B325" s="30" t="s">
        <v>985</v>
      </c>
      <c r="C325" s="31" t="s">
        <v>344</v>
      </c>
      <c r="D325" s="31" t="s">
        <v>108</v>
      </c>
      <c r="E325" s="32" t="n">
        <v>6737</v>
      </c>
      <c r="F325" s="32"/>
      <c r="G325" s="32" t="n">
        <v>250</v>
      </c>
      <c r="H325" s="33" t="n">
        <v>2</v>
      </c>
      <c r="I325" s="34" t="n">
        <f aca="false">E325*H325+N(F325)+N(G325)</f>
        <v>13724</v>
      </c>
      <c r="J325" s="32" t="n">
        <f aca="false">ROUND(IFERROR(ROUND(IF(OR(ISNUMBER(SEARCH("week",C325)),ISNUMBER(SEARCH("minggu",C325))),IFERROR(_xlfn.NUMBERVALUE(SUBSTITUTE(LEFT(TRIM(C325),FIND(" ",TRIM(C325)&amp;" ")-1),",","."),"."),LEFT(SUBSTITUTE(LEFT(TRIM(C325),FIND(" ",TRIM(C325)&amp;" ")-1),",","."),FIND("/",SUBSTITUTE(LEFT(TRIM(C325),FIND(" ",TRIM(C325)&amp;" ")-1),",","."))-1)/MID(SUBSTITUTE(LEFT(TRIM(C325),FIND(" ",TRIM(C325)&amp;" ")-1),",","."),FIND("/",SUBSTITUTE(LEFT(TRIM(C325),FIND(" ",TRIM(C325)&amp;" ")-1),",","."))+1,9))*12/52,IF(ISNUMBER(SEARCH("month",C325)),IFERROR(_xlfn.NUMBERVALUE(SUBSTITUTE(LEFT(TRIM(C325),FIND(" ",TRIM(C325)&amp;" ")-1),",","."),"."),LEFT(SUBSTITUTE(LEFT(TRIM(C325),FIND(" ",TRIM(C325)&amp;" ")-1),",","."),FIND("/",SUBSTITUTE(LEFT(TRIM(C325),FIND(" ",TRIM(C325)&amp;" ")-1),",","."))-1)/MID(SUBSTITUTE(LEFT(TRIM(C325),FIND(" ",TRIM(C325)&amp;" ")-1),",","."),FIND("/",SUBSTITUTE(LEFT(TRIM(C325),FIND(" ",TRIM(C325)&amp;" ")-1),",","."))+1,9)),IF(ISNUMBER(SEARCH("yea",C325)),IFERROR(_xlfn.NUMBERVALUE(SUBSTITUTE(LEFT(TRIM(C325),FIND(" ",TRIM(C325)&amp;" ")-1),",","."),"."),LEFT(SUBSTITUTE(LEFT(TRIM(C325),FIND(" ",TRIM(C325)&amp;" ")-1),",","."),FIND("/",SUBSTITUTE(LEFT(TRIM(C325),FIND(" ",TRIM(C325)&amp;" ")-1),",","."))-1)/MID(SUBSTITUTE(LEFT(TRIM(C325),FIND(" ",TRIM(C325)&amp;" ")-1),",","."),FIND("/",SUBSTITUTE(LEFT(TRIM(C325),FIND(" ",TRIM(C325)&amp;" ")-1),",","."))+1,9))*12,NA()))),0),6)*'Aturan &amp; Tarif'!$B$4,2)</f>
        <v>340.68</v>
      </c>
      <c r="K325" s="32" t="n">
        <f aca="false">'Aturan &amp; Tarif'!$B$5</f>
        <v>2050</v>
      </c>
      <c r="L325" s="32" t="n">
        <f aca="false">'Aturan &amp; Tarif'!$B$6</f>
        <v>350</v>
      </c>
      <c r="M325" s="35" t="n">
        <f aca="false">I325+J325+K325+L325</f>
        <v>16464.68</v>
      </c>
      <c r="N325" s="37" t="s">
        <v>1644</v>
      </c>
    </row>
    <row r="326" customFormat="false" ht="60" hidden="false" customHeight="true" outlineLevel="0" collapsed="false">
      <c r="A326" s="29"/>
      <c r="B326" s="30" t="s">
        <v>987</v>
      </c>
      <c r="C326" s="31" t="s">
        <v>344</v>
      </c>
      <c r="D326" s="31" t="s">
        <v>108</v>
      </c>
      <c r="E326" s="32" t="n">
        <v>7298.5</v>
      </c>
      <c r="F326" s="32"/>
      <c r="G326" s="32" t="n">
        <v>250</v>
      </c>
      <c r="H326" s="33" t="n">
        <v>2</v>
      </c>
      <c r="I326" s="34" t="n">
        <f aca="false">E326*H326+N(F326)+N(G326)</f>
        <v>14847</v>
      </c>
      <c r="J326" s="32" t="n">
        <f aca="false">ROUND(IFERROR(ROUND(IF(OR(ISNUMBER(SEARCH("week",C326)),ISNUMBER(SEARCH("minggu",C326))),IFERROR(_xlfn.NUMBERVALUE(SUBSTITUTE(LEFT(TRIM(C326),FIND(" ",TRIM(C326)&amp;" ")-1),",","."),"."),LEFT(SUBSTITUTE(LEFT(TRIM(C326),FIND(" ",TRIM(C326)&amp;" ")-1),",","."),FIND("/",SUBSTITUTE(LEFT(TRIM(C326),FIND(" ",TRIM(C326)&amp;" ")-1),",","."))-1)/MID(SUBSTITUTE(LEFT(TRIM(C326),FIND(" ",TRIM(C326)&amp;" ")-1),",","."),FIND("/",SUBSTITUTE(LEFT(TRIM(C326),FIND(" ",TRIM(C326)&amp;" ")-1),",","."))+1,9))*12/52,IF(ISNUMBER(SEARCH("month",C326)),IFERROR(_xlfn.NUMBERVALUE(SUBSTITUTE(LEFT(TRIM(C326),FIND(" ",TRIM(C326)&amp;" ")-1),",","."),"."),LEFT(SUBSTITUTE(LEFT(TRIM(C326),FIND(" ",TRIM(C326)&amp;" ")-1),",","."),FIND("/",SUBSTITUTE(LEFT(TRIM(C326),FIND(" ",TRIM(C326)&amp;" ")-1),",","."))-1)/MID(SUBSTITUTE(LEFT(TRIM(C326),FIND(" ",TRIM(C326)&amp;" ")-1),",","."),FIND("/",SUBSTITUTE(LEFT(TRIM(C326),FIND(" ",TRIM(C326)&amp;" ")-1),",","."))+1,9)),IF(ISNUMBER(SEARCH("yea",C326)),IFERROR(_xlfn.NUMBERVALUE(SUBSTITUTE(LEFT(TRIM(C326),FIND(" ",TRIM(C326)&amp;" ")-1),",","."),"."),LEFT(SUBSTITUTE(LEFT(TRIM(C326),FIND(" ",TRIM(C326)&amp;" ")-1),",","."),FIND("/",SUBSTITUTE(LEFT(TRIM(C326),FIND(" ",TRIM(C326)&amp;" ")-1),",","."))-1)/MID(SUBSTITUTE(LEFT(TRIM(C326),FIND(" ",TRIM(C326)&amp;" ")-1),",","."),FIND("/",SUBSTITUTE(LEFT(TRIM(C326),FIND(" ",TRIM(C326)&amp;" ")-1),",","."))+1,9))*12,NA()))),0),6)*'Aturan &amp; Tarif'!$B$4,2)</f>
        <v>340.68</v>
      </c>
      <c r="K326" s="32" t="n">
        <f aca="false">'Aturan &amp; Tarif'!$B$5</f>
        <v>2050</v>
      </c>
      <c r="L326" s="32" t="n">
        <f aca="false">'Aturan &amp; Tarif'!$B$6</f>
        <v>350</v>
      </c>
      <c r="M326" s="35" t="n">
        <f aca="false">I326+J326+K326+L326</f>
        <v>17587.68</v>
      </c>
      <c r="N326" s="37" t="s">
        <v>1644</v>
      </c>
    </row>
    <row r="327" customFormat="false" ht="14.25" hidden="false" customHeight="true" outlineLevel="0" collapsed="false">
      <c r="A327" s="29"/>
      <c r="B327" s="30" t="s">
        <v>988</v>
      </c>
      <c r="C327" s="31" t="s">
        <v>138</v>
      </c>
      <c r="D327" s="31" t="s">
        <v>108</v>
      </c>
      <c r="E327" s="32" t="n">
        <v>7005.6</v>
      </c>
      <c r="F327" s="32"/>
      <c r="G327" s="32" t="n">
        <v>250</v>
      </c>
      <c r="H327" s="33" t="n">
        <v>2</v>
      </c>
      <c r="I327" s="34" t="n">
        <f aca="false">E327*H327+N(F327)+N(G327)</f>
        <v>14261.2</v>
      </c>
      <c r="J327" s="32" t="n">
        <f aca="false">ROUND(IFERROR(ROUND(IF(OR(ISNUMBER(SEARCH("week",C327)),ISNUMBER(SEARCH("minggu",C327))),IFERROR(_xlfn.NUMBERVALUE(SUBSTITUTE(LEFT(TRIM(C327),FIND(" ",TRIM(C327)&amp;" ")-1),",","."),"."),LEFT(SUBSTITUTE(LEFT(TRIM(C327),FIND(" ",TRIM(C327)&amp;" ")-1),",","."),FIND("/",SUBSTITUTE(LEFT(TRIM(C327),FIND(" ",TRIM(C327)&amp;" ")-1),",","."))-1)/MID(SUBSTITUTE(LEFT(TRIM(C327),FIND(" ",TRIM(C327)&amp;" ")-1),",","."),FIND("/",SUBSTITUTE(LEFT(TRIM(C327),FIND(" ",TRIM(C327)&amp;" ")-1),",","."))+1,9))*12/52,IF(ISNUMBER(SEARCH("month",C327)),IFERROR(_xlfn.NUMBERVALUE(SUBSTITUTE(LEFT(TRIM(C327),FIND(" ",TRIM(C327)&amp;" ")-1),",","."),"."),LEFT(SUBSTITUTE(LEFT(TRIM(C327),FIND(" ",TRIM(C327)&amp;" ")-1),",","."),FIND("/",SUBSTITUTE(LEFT(TRIM(C327),FIND(" ",TRIM(C327)&amp;" ")-1),",","."))-1)/MID(SUBSTITUTE(LEFT(TRIM(C327),FIND(" ",TRIM(C327)&amp;" ")-1),",","."),FIND("/",SUBSTITUTE(LEFT(TRIM(C327),FIND(" ",TRIM(C327)&amp;" ")-1),",","."))+1,9)),IF(ISNUMBER(SEARCH("yea",C327)),IFERROR(_xlfn.NUMBERVALUE(SUBSTITUTE(LEFT(TRIM(C327),FIND(" ",TRIM(C327)&amp;" ")-1),",","."),"."),LEFT(SUBSTITUTE(LEFT(TRIM(C327),FIND(" ",TRIM(C327)&amp;" ")-1),",","."),FIND("/",SUBSTITUTE(LEFT(TRIM(C327),FIND(" ",TRIM(C327)&amp;" ")-1),",","."))-1)/MID(SUBSTITUTE(LEFT(TRIM(C327),FIND(" ",TRIM(C327)&amp;" ")-1),",","."),FIND("/",SUBSTITUTE(LEFT(TRIM(C327),FIND(" ",TRIM(C327)&amp;" ")-1),",","."))+1,9))*12,NA()))),0),30)*'Aturan &amp; Tarif'!$B$4,2)</f>
        <v>1703.4</v>
      </c>
      <c r="K327" s="32" t="n">
        <f aca="false">'Aturan &amp; Tarif'!$B$5</f>
        <v>2050</v>
      </c>
      <c r="L327" s="32" t="n">
        <f aca="false">'Aturan &amp; Tarif'!$B$6</f>
        <v>350</v>
      </c>
      <c r="M327" s="35" t="n">
        <f aca="false">I327+J327+K327+L327</f>
        <v>18364.6</v>
      </c>
      <c r="N327" s="36" t="s">
        <v>1645</v>
      </c>
    </row>
    <row r="328" customFormat="false" ht="14.25" hidden="false" customHeight="true" outlineLevel="0" collapsed="false">
      <c r="A328" s="29"/>
      <c r="B328" s="30" t="s">
        <v>990</v>
      </c>
      <c r="C328" s="31" t="s">
        <v>113</v>
      </c>
      <c r="D328" s="31" t="s">
        <v>108</v>
      </c>
      <c r="E328" s="32" t="n">
        <v>6997.5</v>
      </c>
      <c r="F328" s="32"/>
      <c r="G328" s="32" t="n">
        <v>250</v>
      </c>
      <c r="H328" s="33" t="n">
        <v>2</v>
      </c>
      <c r="I328" s="34" t="n">
        <f aca="false">E328*H328+N(F328)+N(G328)</f>
        <v>14245</v>
      </c>
      <c r="J328" s="32" t="n">
        <f aca="false">ROUND(IFERROR(ROUND(IF(OR(ISNUMBER(SEARCH("week",C328)),ISNUMBER(SEARCH("minggu",C328))),IFERROR(_xlfn.NUMBERVALUE(SUBSTITUTE(LEFT(TRIM(C328),FIND(" ",TRIM(C328)&amp;" ")-1),",","."),"."),LEFT(SUBSTITUTE(LEFT(TRIM(C328),FIND(" ",TRIM(C328)&amp;" ")-1),",","."),FIND("/",SUBSTITUTE(LEFT(TRIM(C328),FIND(" ",TRIM(C328)&amp;" ")-1),",","."))-1)/MID(SUBSTITUTE(LEFT(TRIM(C328),FIND(" ",TRIM(C328)&amp;" ")-1),",","."),FIND("/",SUBSTITUTE(LEFT(TRIM(C328),FIND(" ",TRIM(C328)&amp;" ")-1),",","."))+1,9))*12/52,IF(ISNUMBER(SEARCH("month",C328)),IFERROR(_xlfn.NUMBERVALUE(SUBSTITUTE(LEFT(TRIM(C328),FIND(" ",TRIM(C328)&amp;" ")-1),",","."),"."),LEFT(SUBSTITUTE(LEFT(TRIM(C328),FIND(" ",TRIM(C328)&amp;" ")-1),",","."),FIND("/",SUBSTITUTE(LEFT(TRIM(C328),FIND(" ",TRIM(C328)&amp;" ")-1),",","."))-1)/MID(SUBSTITUTE(LEFT(TRIM(C328),FIND(" ",TRIM(C328)&amp;" ")-1),",","."),FIND("/",SUBSTITUTE(LEFT(TRIM(C328),FIND(" ",TRIM(C328)&amp;" ")-1),",","."))+1,9)),IF(ISNUMBER(SEARCH("yea",C328)),IFERROR(_xlfn.NUMBERVALUE(SUBSTITUTE(LEFT(TRIM(C328),FIND(" ",TRIM(C328)&amp;" ")-1),",","."),"."),LEFT(SUBSTITUTE(LEFT(TRIM(C328),FIND(" ",TRIM(C328)&amp;" ")-1),",","."),FIND("/",SUBSTITUTE(LEFT(TRIM(C328),FIND(" ",TRIM(C328)&amp;" ")-1),",","."))-1)/MID(SUBSTITUTE(LEFT(TRIM(C328),FIND(" ",TRIM(C328)&amp;" ")-1),",","."),FIND("/",SUBSTITUTE(LEFT(TRIM(C328),FIND(" ",TRIM(C328)&amp;" ")-1),",","."))+1,9))*12,NA()))),0),18)*'Aturan &amp; Tarif'!$B$4,2)</f>
        <v>1022.04</v>
      </c>
      <c r="K328" s="32" t="n">
        <f aca="false">'Aturan &amp; Tarif'!$B$5</f>
        <v>2050</v>
      </c>
      <c r="L328" s="32" t="n">
        <f aca="false">'Aturan &amp; Tarif'!$B$6</f>
        <v>350</v>
      </c>
      <c r="M328" s="35" t="n">
        <f aca="false">I328+J328+K328+L328</f>
        <v>17667.04</v>
      </c>
      <c r="N328" s="37" t="s">
        <v>1646</v>
      </c>
    </row>
    <row r="329" customFormat="false" ht="25.5" hidden="false" customHeight="true" outlineLevel="0" collapsed="false">
      <c r="A329" s="29"/>
      <c r="B329" s="30" t="s">
        <v>992</v>
      </c>
      <c r="C329" s="31" t="s">
        <v>344</v>
      </c>
      <c r="D329" s="31" t="s">
        <v>108</v>
      </c>
      <c r="E329" s="32" t="n">
        <v>6737</v>
      </c>
      <c r="F329" s="32"/>
      <c r="G329" s="32" t="n">
        <v>250</v>
      </c>
      <c r="H329" s="33" t="n">
        <v>2</v>
      </c>
      <c r="I329" s="34" t="n">
        <f aca="false">E329*H329+N(F329)+N(G329)</f>
        <v>13724</v>
      </c>
      <c r="J329" s="32" t="n">
        <f aca="false">ROUND(IFERROR(ROUND(IF(OR(ISNUMBER(SEARCH("week",C329)),ISNUMBER(SEARCH("minggu",C329))),IFERROR(_xlfn.NUMBERVALUE(SUBSTITUTE(LEFT(TRIM(C329),FIND(" ",TRIM(C329)&amp;" ")-1),",","."),"."),LEFT(SUBSTITUTE(LEFT(TRIM(C329),FIND(" ",TRIM(C329)&amp;" ")-1),",","."),FIND("/",SUBSTITUTE(LEFT(TRIM(C329),FIND(" ",TRIM(C329)&amp;" ")-1),",","."))-1)/MID(SUBSTITUTE(LEFT(TRIM(C329),FIND(" ",TRIM(C329)&amp;" ")-1),",","."),FIND("/",SUBSTITUTE(LEFT(TRIM(C329),FIND(" ",TRIM(C329)&amp;" ")-1),",","."))+1,9))*12/52,IF(ISNUMBER(SEARCH("month",C329)),IFERROR(_xlfn.NUMBERVALUE(SUBSTITUTE(LEFT(TRIM(C329),FIND(" ",TRIM(C329)&amp;" ")-1),",","."),"."),LEFT(SUBSTITUTE(LEFT(TRIM(C329),FIND(" ",TRIM(C329)&amp;" ")-1),",","."),FIND("/",SUBSTITUTE(LEFT(TRIM(C329),FIND(" ",TRIM(C329)&amp;" ")-1),",","."))-1)/MID(SUBSTITUTE(LEFT(TRIM(C329),FIND(" ",TRIM(C329)&amp;" ")-1),",","."),FIND("/",SUBSTITUTE(LEFT(TRIM(C329),FIND(" ",TRIM(C329)&amp;" ")-1),",","."))+1,9)),IF(ISNUMBER(SEARCH("yea",C329)),IFERROR(_xlfn.NUMBERVALUE(SUBSTITUTE(LEFT(TRIM(C329),FIND(" ",TRIM(C329)&amp;" ")-1),",","."),"."),LEFT(SUBSTITUTE(LEFT(TRIM(C329),FIND(" ",TRIM(C329)&amp;" ")-1),",","."),FIND("/",SUBSTITUTE(LEFT(TRIM(C329),FIND(" ",TRIM(C329)&amp;" ")-1),",","."))-1)/MID(SUBSTITUTE(LEFT(TRIM(C329),FIND(" ",TRIM(C329)&amp;" ")-1),",","."),FIND("/",SUBSTITUTE(LEFT(TRIM(C329),FIND(" ",TRIM(C329)&amp;" ")-1),",","."))+1,9))*12,NA()))),0),6)*'Aturan &amp; Tarif'!$B$4,2)</f>
        <v>340.68</v>
      </c>
      <c r="K329" s="32" t="n">
        <f aca="false">'Aturan &amp; Tarif'!$B$5</f>
        <v>2050</v>
      </c>
      <c r="L329" s="32" t="n">
        <f aca="false">'Aturan &amp; Tarif'!$B$6</f>
        <v>350</v>
      </c>
      <c r="M329" s="35" t="n">
        <f aca="false">I329+J329+K329+L329</f>
        <v>16464.68</v>
      </c>
      <c r="N329" s="37" t="s">
        <v>1644</v>
      </c>
    </row>
    <row r="330" customFormat="false" ht="60" hidden="false" customHeight="true" outlineLevel="0" collapsed="false">
      <c r="A330" s="29"/>
      <c r="B330" s="30" t="s">
        <v>987</v>
      </c>
      <c r="C330" s="31" t="s">
        <v>344</v>
      </c>
      <c r="D330" s="31" t="s">
        <v>108</v>
      </c>
      <c r="E330" s="32" t="n">
        <v>7298.5</v>
      </c>
      <c r="F330" s="32"/>
      <c r="G330" s="32" t="n">
        <v>250</v>
      </c>
      <c r="H330" s="33" t="n">
        <v>2</v>
      </c>
      <c r="I330" s="34" t="n">
        <f aca="false">E330*H330+N(F330)+N(G330)</f>
        <v>14847</v>
      </c>
      <c r="J330" s="32" t="n">
        <f aca="false">ROUND(IFERROR(ROUND(IF(OR(ISNUMBER(SEARCH("week",C330)),ISNUMBER(SEARCH("minggu",C330))),IFERROR(_xlfn.NUMBERVALUE(SUBSTITUTE(LEFT(TRIM(C330),FIND(" ",TRIM(C330)&amp;" ")-1),",","."),"."),LEFT(SUBSTITUTE(LEFT(TRIM(C330),FIND(" ",TRIM(C330)&amp;" ")-1),",","."),FIND("/",SUBSTITUTE(LEFT(TRIM(C330),FIND(" ",TRIM(C330)&amp;" ")-1),",","."))-1)/MID(SUBSTITUTE(LEFT(TRIM(C330),FIND(" ",TRIM(C330)&amp;" ")-1),",","."),FIND("/",SUBSTITUTE(LEFT(TRIM(C330),FIND(" ",TRIM(C330)&amp;" ")-1),",","."))+1,9))*12/52,IF(ISNUMBER(SEARCH("month",C330)),IFERROR(_xlfn.NUMBERVALUE(SUBSTITUTE(LEFT(TRIM(C330),FIND(" ",TRIM(C330)&amp;" ")-1),",","."),"."),LEFT(SUBSTITUTE(LEFT(TRIM(C330),FIND(" ",TRIM(C330)&amp;" ")-1),",","."),FIND("/",SUBSTITUTE(LEFT(TRIM(C330),FIND(" ",TRIM(C330)&amp;" ")-1),",","."))-1)/MID(SUBSTITUTE(LEFT(TRIM(C330),FIND(" ",TRIM(C330)&amp;" ")-1),",","."),FIND("/",SUBSTITUTE(LEFT(TRIM(C330),FIND(" ",TRIM(C330)&amp;" ")-1),",","."))+1,9)),IF(ISNUMBER(SEARCH("yea",C330)),IFERROR(_xlfn.NUMBERVALUE(SUBSTITUTE(LEFT(TRIM(C330),FIND(" ",TRIM(C330)&amp;" ")-1),",","."),"."),LEFT(SUBSTITUTE(LEFT(TRIM(C330),FIND(" ",TRIM(C330)&amp;" ")-1),",","."),FIND("/",SUBSTITUTE(LEFT(TRIM(C330),FIND(" ",TRIM(C330)&amp;" ")-1),",","."))-1)/MID(SUBSTITUTE(LEFT(TRIM(C330),FIND(" ",TRIM(C330)&amp;" ")-1),",","."),FIND("/",SUBSTITUTE(LEFT(TRIM(C330),FIND(" ",TRIM(C330)&amp;" ")-1),",","."))+1,9))*12,NA()))),0),6)*'Aturan &amp; Tarif'!$B$4,2)</f>
        <v>340.68</v>
      </c>
      <c r="K330" s="32" t="n">
        <f aca="false">'Aturan &amp; Tarif'!$B$5</f>
        <v>2050</v>
      </c>
      <c r="L330" s="32" t="n">
        <f aca="false">'Aturan &amp; Tarif'!$B$6</f>
        <v>350</v>
      </c>
      <c r="M330" s="35" t="n">
        <f aca="false">I330+J330+K330+L330</f>
        <v>17587.68</v>
      </c>
      <c r="N330" s="37" t="s">
        <v>1644</v>
      </c>
    </row>
    <row r="331" customFormat="false" ht="25.5" hidden="false" customHeight="true" outlineLevel="0" collapsed="false">
      <c r="A331" s="29"/>
      <c r="B331" s="30" t="s">
        <v>993</v>
      </c>
      <c r="C331" s="31" t="s">
        <v>138</v>
      </c>
      <c r="D331" s="31" t="s">
        <v>108</v>
      </c>
      <c r="E331" s="32" t="n">
        <v>7005.6</v>
      </c>
      <c r="F331" s="32"/>
      <c r="G331" s="32" t="n">
        <v>250</v>
      </c>
      <c r="H331" s="33" t="n">
        <v>2</v>
      </c>
      <c r="I331" s="34" t="n">
        <f aca="false">E331*H331+N(F331)+N(G331)</f>
        <v>14261.2</v>
      </c>
      <c r="J331" s="32" t="n">
        <f aca="false">ROUND(IFERROR(ROUND(IF(OR(ISNUMBER(SEARCH("week",C331)),ISNUMBER(SEARCH("minggu",C331))),IFERROR(_xlfn.NUMBERVALUE(SUBSTITUTE(LEFT(TRIM(C331),FIND(" ",TRIM(C331)&amp;" ")-1),",","."),"."),LEFT(SUBSTITUTE(LEFT(TRIM(C331),FIND(" ",TRIM(C331)&amp;" ")-1),",","."),FIND("/",SUBSTITUTE(LEFT(TRIM(C331),FIND(" ",TRIM(C331)&amp;" ")-1),",","."))-1)/MID(SUBSTITUTE(LEFT(TRIM(C331),FIND(" ",TRIM(C331)&amp;" ")-1),",","."),FIND("/",SUBSTITUTE(LEFT(TRIM(C331),FIND(" ",TRIM(C331)&amp;" ")-1),",","."))+1,9))*12/52,IF(ISNUMBER(SEARCH("month",C331)),IFERROR(_xlfn.NUMBERVALUE(SUBSTITUTE(LEFT(TRIM(C331),FIND(" ",TRIM(C331)&amp;" ")-1),",","."),"."),LEFT(SUBSTITUTE(LEFT(TRIM(C331),FIND(" ",TRIM(C331)&amp;" ")-1),",","."),FIND("/",SUBSTITUTE(LEFT(TRIM(C331),FIND(" ",TRIM(C331)&amp;" ")-1),",","."))-1)/MID(SUBSTITUTE(LEFT(TRIM(C331),FIND(" ",TRIM(C331)&amp;" ")-1),",","."),FIND("/",SUBSTITUTE(LEFT(TRIM(C331),FIND(" ",TRIM(C331)&amp;" ")-1),",","."))+1,9)),IF(ISNUMBER(SEARCH("yea",C331)),IFERROR(_xlfn.NUMBERVALUE(SUBSTITUTE(LEFT(TRIM(C331),FIND(" ",TRIM(C331)&amp;" ")-1),",","."),"."),LEFT(SUBSTITUTE(LEFT(TRIM(C331),FIND(" ",TRIM(C331)&amp;" ")-1),",","."),FIND("/",SUBSTITUTE(LEFT(TRIM(C331),FIND(" ",TRIM(C331)&amp;" ")-1),",","."))-1)/MID(SUBSTITUTE(LEFT(TRIM(C331),FIND(" ",TRIM(C331)&amp;" ")-1),",","."),FIND("/",SUBSTITUTE(LEFT(TRIM(C331),FIND(" ",TRIM(C331)&amp;" ")-1),",","."))+1,9))*12,NA()))),0),30)*'Aturan &amp; Tarif'!$B$4,2)</f>
        <v>1703.4</v>
      </c>
      <c r="K331" s="32" t="n">
        <f aca="false">'Aturan &amp; Tarif'!$B$5</f>
        <v>2050</v>
      </c>
      <c r="L331" s="32" t="n">
        <f aca="false">'Aturan &amp; Tarif'!$B$6</f>
        <v>350</v>
      </c>
      <c r="M331" s="35" t="n">
        <f aca="false">I331+J331+K331+L331</f>
        <v>18364.6</v>
      </c>
      <c r="N331" s="36" t="s">
        <v>1645</v>
      </c>
    </row>
    <row r="332" customFormat="false" ht="25.5" hidden="false" customHeight="true" outlineLevel="0" collapsed="false">
      <c r="A332" s="29"/>
      <c r="B332" s="30" t="s">
        <v>994</v>
      </c>
      <c r="C332" s="31" t="s">
        <v>127</v>
      </c>
      <c r="D332" s="31" t="s">
        <v>108</v>
      </c>
      <c r="E332" s="32" t="n">
        <v>5688.58</v>
      </c>
      <c r="F332" s="32"/>
      <c r="G332" s="32" t="n">
        <v>250</v>
      </c>
      <c r="H332" s="33" t="n">
        <v>2</v>
      </c>
      <c r="I332" s="34" t="n">
        <f aca="false">E332*H332+N(F332)+N(G332)</f>
        <v>11627.16</v>
      </c>
      <c r="J332" s="32" t="n">
        <f aca="false">ROUND(IFERROR(ROUND(IF(OR(ISNUMBER(SEARCH("week",C332)),ISNUMBER(SEARCH("minggu",C332))),IFERROR(_xlfn.NUMBERVALUE(SUBSTITUTE(LEFT(TRIM(C332),FIND(" ",TRIM(C332)&amp;" ")-1),",","."),"."),LEFT(SUBSTITUTE(LEFT(TRIM(C332),FIND(" ",TRIM(C332)&amp;" ")-1),",","."),FIND("/",SUBSTITUTE(LEFT(TRIM(C332),FIND(" ",TRIM(C332)&amp;" ")-1),",","."))-1)/MID(SUBSTITUTE(LEFT(TRIM(C332),FIND(" ",TRIM(C332)&amp;" ")-1),",","."),FIND("/",SUBSTITUTE(LEFT(TRIM(C332),FIND(" ",TRIM(C332)&amp;" ")-1),",","."))+1,9))*12/52,IF(ISNUMBER(SEARCH("month",C332)),IFERROR(_xlfn.NUMBERVALUE(SUBSTITUTE(LEFT(TRIM(C332),FIND(" ",TRIM(C332)&amp;" ")-1),",","."),"."),LEFT(SUBSTITUTE(LEFT(TRIM(C332),FIND(" ",TRIM(C332)&amp;" ")-1),",","."),FIND("/",SUBSTITUTE(LEFT(TRIM(C332),FIND(" ",TRIM(C332)&amp;" ")-1),",","."))-1)/MID(SUBSTITUTE(LEFT(TRIM(C332),FIND(" ",TRIM(C332)&amp;" ")-1),",","."),FIND("/",SUBSTITUTE(LEFT(TRIM(C332),FIND(" ",TRIM(C332)&amp;" ")-1),",","."))+1,9)),IF(ISNUMBER(SEARCH("yea",C332)),IFERROR(_xlfn.NUMBERVALUE(SUBSTITUTE(LEFT(TRIM(C332),FIND(" ",TRIM(C332)&amp;" ")-1),",","."),"."),LEFT(SUBSTITUTE(LEFT(TRIM(C332),FIND(" ",TRIM(C332)&amp;" ")-1),",","."),FIND("/",SUBSTITUTE(LEFT(TRIM(C332),FIND(" ",TRIM(C332)&amp;" ")-1),",","."))-1)/MID(SUBSTITUTE(LEFT(TRIM(C332),FIND(" ",TRIM(C332)&amp;" ")-1),",","."),FIND("/",SUBSTITUTE(LEFT(TRIM(C332),FIND(" ",TRIM(C332)&amp;" ")-1),",","."))+1,9))*12,NA()))),0),36)*'Aturan &amp; Tarif'!$B$4,2)</f>
        <v>2044.08</v>
      </c>
      <c r="K332" s="32" t="n">
        <f aca="false">'Aturan &amp; Tarif'!$B$5</f>
        <v>2050</v>
      </c>
      <c r="L332" s="32" t="n">
        <f aca="false">'Aturan &amp; Tarif'!$B$6</f>
        <v>350</v>
      </c>
      <c r="M332" s="35" t="n">
        <f aca="false">I332+J332+K332+L332</f>
        <v>16071.24</v>
      </c>
      <c r="N332" s="37" t="s">
        <v>1647</v>
      </c>
    </row>
    <row r="333" customFormat="false" ht="14.25" hidden="false" customHeight="true" outlineLevel="0" collapsed="false">
      <c r="A333" s="29"/>
      <c r="B333" s="30" t="s">
        <v>996</v>
      </c>
      <c r="C333" s="31" t="s">
        <v>127</v>
      </c>
      <c r="D333" s="31" t="s">
        <v>108</v>
      </c>
      <c r="E333" s="32" t="n">
        <v>5821.66</v>
      </c>
      <c r="F333" s="32"/>
      <c r="G333" s="32" t="n">
        <v>250</v>
      </c>
      <c r="H333" s="33" t="n">
        <v>2</v>
      </c>
      <c r="I333" s="34" t="n">
        <f aca="false">E333*H333+N(F333)+N(G333)</f>
        <v>11893.32</v>
      </c>
      <c r="J333" s="32" t="n">
        <f aca="false">ROUND(IFERROR(ROUND(IF(OR(ISNUMBER(SEARCH("week",C333)),ISNUMBER(SEARCH("minggu",C333))),IFERROR(_xlfn.NUMBERVALUE(SUBSTITUTE(LEFT(TRIM(C333),FIND(" ",TRIM(C333)&amp;" ")-1),",","."),"."),LEFT(SUBSTITUTE(LEFT(TRIM(C333),FIND(" ",TRIM(C333)&amp;" ")-1),",","."),FIND("/",SUBSTITUTE(LEFT(TRIM(C333),FIND(" ",TRIM(C333)&amp;" ")-1),",","."))-1)/MID(SUBSTITUTE(LEFT(TRIM(C333),FIND(" ",TRIM(C333)&amp;" ")-1),",","."),FIND("/",SUBSTITUTE(LEFT(TRIM(C333),FIND(" ",TRIM(C333)&amp;" ")-1),",","."))+1,9))*12/52,IF(ISNUMBER(SEARCH("month",C333)),IFERROR(_xlfn.NUMBERVALUE(SUBSTITUTE(LEFT(TRIM(C333),FIND(" ",TRIM(C333)&amp;" ")-1),",","."),"."),LEFT(SUBSTITUTE(LEFT(TRIM(C333),FIND(" ",TRIM(C333)&amp;" ")-1),",","."),FIND("/",SUBSTITUTE(LEFT(TRIM(C333),FIND(" ",TRIM(C333)&amp;" ")-1),",","."))-1)/MID(SUBSTITUTE(LEFT(TRIM(C333),FIND(" ",TRIM(C333)&amp;" ")-1),",","."),FIND("/",SUBSTITUTE(LEFT(TRIM(C333),FIND(" ",TRIM(C333)&amp;" ")-1),",","."))+1,9)),IF(ISNUMBER(SEARCH("yea",C333)),IFERROR(_xlfn.NUMBERVALUE(SUBSTITUTE(LEFT(TRIM(C333),FIND(" ",TRIM(C333)&amp;" ")-1),",","."),"."),LEFT(SUBSTITUTE(LEFT(TRIM(C333),FIND(" ",TRIM(C333)&amp;" ")-1),",","."),FIND("/",SUBSTITUTE(LEFT(TRIM(C333),FIND(" ",TRIM(C333)&amp;" ")-1),",","."))-1)/MID(SUBSTITUTE(LEFT(TRIM(C333),FIND(" ",TRIM(C333)&amp;" ")-1),",","."),FIND("/",SUBSTITUTE(LEFT(TRIM(C333),FIND(" ",TRIM(C333)&amp;" ")-1),",","."))+1,9))*12,NA()))),0),36)*'Aturan &amp; Tarif'!$B$4,2)</f>
        <v>2044.08</v>
      </c>
      <c r="K333" s="32" t="n">
        <f aca="false">'Aturan &amp; Tarif'!$B$5</f>
        <v>2050</v>
      </c>
      <c r="L333" s="32" t="n">
        <f aca="false">'Aturan &amp; Tarif'!$B$6</f>
        <v>350</v>
      </c>
      <c r="M333" s="35" t="n">
        <f aca="false">I333+J333+K333+L333</f>
        <v>16337.4</v>
      </c>
      <c r="N333" s="37" t="s">
        <v>1644</v>
      </c>
    </row>
    <row r="334" customFormat="false" ht="14.25" hidden="false" customHeight="true" outlineLevel="0" collapsed="false">
      <c r="A334" s="29"/>
      <c r="B334" s="30" t="s">
        <v>997</v>
      </c>
      <c r="C334" s="31" t="s">
        <v>107</v>
      </c>
      <c r="D334" s="31" t="s">
        <v>108</v>
      </c>
      <c r="E334" s="32" t="n">
        <v>6818.75</v>
      </c>
      <c r="F334" s="32"/>
      <c r="G334" s="32" t="n">
        <v>250</v>
      </c>
      <c r="H334" s="33" t="n">
        <v>2</v>
      </c>
      <c r="I334" s="34" t="n">
        <f aca="false">E334*H334+N(F334)+N(G334)</f>
        <v>13887.5</v>
      </c>
      <c r="J334" s="32" t="n">
        <f aca="false">ROUND(IFERROR(ROUND(IF(OR(ISNUMBER(SEARCH("week",C334)),ISNUMBER(SEARCH("minggu",C334))),IFERROR(_xlfn.NUMBERVALUE(SUBSTITUTE(LEFT(TRIM(C334),FIND(" ",TRIM(C334)&amp;" ")-1),",","."),"."),LEFT(SUBSTITUTE(LEFT(TRIM(C334),FIND(" ",TRIM(C334)&amp;" ")-1),",","."),FIND("/",SUBSTITUTE(LEFT(TRIM(C334),FIND(" ",TRIM(C334)&amp;" ")-1),",","."))-1)/MID(SUBSTITUTE(LEFT(TRIM(C334),FIND(" ",TRIM(C334)&amp;" ")-1),",","."),FIND("/",SUBSTITUTE(LEFT(TRIM(C334),FIND(" ",TRIM(C334)&amp;" ")-1),",","."))+1,9))*12/52,IF(ISNUMBER(SEARCH("month",C334)),IFERROR(_xlfn.NUMBERVALUE(SUBSTITUTE(LEFT(TRIM(C334),FIND(" ",TRIM(C334)&amp;" ")-1),",","."),"."),LEFT(SUBSTITUTE(LEFT(TRIM(C334),FIND(" ",TRIM(C334)&amp;" ")-1),",","."),FIND("/",SUBSTITUTE(LEFT(TRIM(C334),FIND(" ",TRIM(C334)&amp;" ")-1),",","."))-1)/MID(SUBSTITUTE(LEFT(TRIM(C334),FIND(" ",TRIM(C334)&amp;" ")-1),",","."),FIND("/",SUBSTITUTE(LEFT(TRIM(C334),FIND(" ",TRIM(C334)&amp;" ")-1),",","."))+1,9)),IF(ISNUMBER(SEARCH("yea",C334)),IFERROR(_xlfn.NUMBERVALUE(SUBSTITUTE(LEFT(TRIM(C334),FIND(" ",TRIM(C334)&amp;" ")-1),",","."),"."),LEFT(SUBSTITUTE(LEFT(TRIM(C334),FIND(" ",TRIM(C334)&amp;" ")-1),",","."),FIND("/",SUBSTITUTE(LEFT(TRIM(C334),FIND(" ",TRIM(C334)&amp;" ")-1),",","."))-1)/MID(SUBSTITUTE(LEFT(TRIM(C334),FIND(" ",TRIM(C334)&amp;" ")-1),",","."),FIND("/",SUBSTITUTE(LEFT(TRIM(C334),FIND(" ",TRIM(C334)&amp;" ")-1),",","."))+1,9))*12,NA()))),0),24)*'Aturan &amp; Tarif'!$B$4,2)</f>
        <v>1362.72</v>
      </c>
      <c r="K334" s="32" t="n">
        <f aca="false">'Aturan &amp; Tarif'!$B$5</f>
        <v>2050</v>
      </c>
      <c r="L334" s="32" t="n">
        <f aca="false">'Aturan &amp; Tarif'!$B$6</f>
        <v>350</v>
      </c>
      <c r="M334" s="35" t="n">
        <f aca="false">I334+J334+K334+L334</f>
        <v>17650.22</v>
      </c>
      <c r="N334" s="37" t="s">
        <v>1648</v>
      </c>
    </row>
    <row r="335" customFormat="false" ht="48.75" hidden="false" customHeight="true" outlineLevel="0" collapsed="false">
      <c r="A335" s="29"/>
      <c r="B335" s="30" t="s">
        <v>999</v>
      </c>
      <c r="C335" s="31" t="s">
        <v>107</v>
      </c>
      <c r="D335" s="31" t="s">
        <v>108</v>
      </c>
      <c r="E335" s="32" t="n">
        <v>6760</v>
      </c>
      <c r="F335" s="32"/>
      <c r="G335" s="32" t="n">
        <v>250</v>
      </c>
      <c r="H335" s="33" t="n">
        <v>2</v>
      </c>
      <c r="I335" s="34" t="n">
        <f aca="false">E335*H335+N(F335)+N(G335)</f>
        <v>13770</v>
      </c>
      <c r="J335" s="32" t="n">
        <f aca="false">ROUND(IFERROR(ROUND(IF(OR(ISNUMBER(SEARCH("week",C335)),ISNUMBER(SEARCH("minggu",C335))),IFERROR(_xlfn.NUMBERVALUE(SUBSTITUTE(LEFT(TRIM(C335),FIND(" ",TRIM(C335)&amp;" ")-1),",","."),"."),LEFT(SUBSTITUTE(LEFT(TRIM(C335),FIND(" ",TRIM(C335)&amp;" ")-1),",","."),FIND("/",SUBSTITUTE(LEFT(TRIM(C335),FIND(" ",TRIM(C335)&amp;" ")-1),",","."))-1)/MID(SUBSTITUTE(LEFT(TRIM(C335),FIND(" ",TRIM(C335)&amp;" ")-1),",","."),FIND("/",SUBSTITUTE(LEFT(TRIM(C335),FIND(" ",TRIM(C335)&amp;" ")-1),",","."))+1,9))*12/52,IF(ISNUMBER(SEARCH("month",C335)),IFERROR(_xlfn.NUMBERVALUE(SUBSTITUTE(LEFT(TRIM(C335),FIND(" ",TRIM(C335)&amp;" ")-1),",","."),"."),LEFT(SUBSTITUTE(LEFT(TRIM(C335),FIND(" ",TRIM(C335)&amp;" ")-1),",","."),FIND("/",SUBSTITUTE(LEFT(TRIM(C335),FIND(" ",TRIM(C335)&amp;" ")-1),",","."))-1)/MID(SUBSTITUTE(LEFT(TRIM(C335),FIND(" ",TRIM(C335)&amp;" ")-1),",","."),FIND("/",SUBSTITUTE(LEFT(TRIM(C335),FIND(" ",TRIM(C335)&amp;" ")-1),",","."))+1,9)),IF(ISNUMBER(SEARCH("yea",C335)),IFERROR(_xlfn.NUMBERVALUE(SUBSTITUTE(LEFT(TRIM(C335),FIND(" ",TRIM(C335)&amp;" ")-1),",","."),"."),LEFT(SUBSTITUTE(LEFT(TRIM(C335),FIND(" ",TRIM(C335)&amp;" ")-1),",","."),FIND("/",SUBSTITUTE(LEFT(TRIM(C335),FIND(" ",TRIM(C335)&amp;" ")-1),",","."))-1)/MID(SUBSTITUTE(LEFT(TRIM(C335),FIND(" ",TRIM(C335)&amp;" ")-1),",","."),FIND("/",SUBSTITUTE(LEFT(TRIM(C335),FIND(" ",TRIM(C335)&amp;" ")-1),",","."))+1,9))*12,NA()))),0),24)*'Aturan &amp; Tarif'!$B$4,2)</f>
        <v>1362.72</v>
      </c>
      <c r="K335" s="32" t="n">
        <f aca="false">'Aturan &amp; Tarif'!$B$5</f>
        <v>2050</v>
      </c>
      <c r="L335" s="32" t="n">
        <f aca="false">'Aturan &amp; Tarif'!$B$6</f>
        <v>350</v>
      </c>
      <c r="M335" s="35" t="n">
        <f aca="false">I335+J335+K335+L335</f>
        <v>17532.72</v>
      </c>
      <c r="N335" s="37" t="s">
        <v>1649</v>
      </c>
    </row>
    <row r="336" customFormat="false" ht="48.75" hidden="false" customHeight="true" outlineLevel="0" collapsed="false">
      <c r="A336" s="29" t="s">
        <v>2858</v>
      </c>
      <c r="B336" s="30" t="s">
        <v>2859</v>
      </c>
      <c r="C336" s="31" t="s">
        <v>113</v>
      </c>
      <c r="D336" s="31" t="s">
        <v>108</v>
      </c>
      <c r="E336" s="32" t="n">
        <v>2000</v>
      </c>
      <c r="F336" s="32" t="n">
        <v>1900</v>
      </c>
      <c r="G336" s="32" t="n">
        <v>250</v>
      </c>
      <c r="H336" s="33" t="n">
        <v>1</v>
      </c>
      <c r="I336" s="34" t="n">
        <f aca="false">E336*H336+N(F336)+N(G336)</f>
        <v>4150</v>
      </c>
      <c r="J336" s="32" t="n">
        <f aca="false">ROUND(IFERROR(ROUND(IF(OR(ISNUMBER(SEARCH("week",C336)),ISNUMBER(SEARCH("minggu",C336))),IFERROR(_xlfn.NUMBERVALUE(SUBSTITUTE(LEFT(TRIM(C336),FIND(" ",TRIM(C336)&amp;" ")-1),",","."),"."),LEFT(SUBSTITUTE(LEFT(TRIM(C336),FIND(" ",TRIM(C336)&amp;" ")-1),",","."),FIND("/",SUBSTITUTE(LEFT(TRIM(C336),FIND(" ",TRIM(C336)&amp;" ")-1),",","."))-1)/MID(SUBSTITUTE(LEFT(TRIM(C336),FIND(" ",TRIM(C336)&amp;" ")-1),",","."),FIND("/",SUBSTITUTE(LEFT(TRIM(C336),FIND(" ",TRIM(C336)&amp;" ")-1),",","."))+1,9))*12/52,IF(ISNUMBER(SEARCH("month",C336)),IFERROR(_xlfn.NUMBERVALUE(SUBSTITUTE(LEFT(TRIM(C336),FIND(" ",TRIM(C336)&amp;" ")-1),",","."),"."),LEFT(SUBSTITUTE(LEFT(TRIM(C336),FIND(" ",TRIM(C336)&amp;" ")-1),",","."),FIND("/",SUBSTITUTE(LEFT(TRIM(C336),FIND(" ",TRIM(C336)&amp;" ")-1),",","."))-1)/MID(SUBSTITUTE(LEFT(TRIM(C336),FIND(" ",TRIM(C336)&amp;" ")-1),",","."),FIND("/",SUBSTITUTE(LEFT(TRIM(C336),FIND(" ",TRIM(C336)&amp;" ")-1),",","."))+1,9)),IF(ISNUMBER(SEARCH("yea",C336)),IFERROR(_xlfn.NUMBERVALUE(SUBSTITUTE(LEFT(TRIM(C336),FIND(" ",TRIM(C336)&amp;" ")-1),",","."),"."),LEFT(SUBSTITUTE(LEFT(TRIM(C336),FIND(" ",TRIM(C336)&amp;" ")-1),",","."),FIND("/",SUBSTITUTE(LEFT(TRIM(C336),FIND(" ",TRIM(C336)&amp;" ")-1),",","."))-1)/MID(SUBSTITUTE(LEFT(TRIM(C336),FIND(" ",TRIM(C336)&amp;" ")-1),",","."),FIND("/",SUBSTITUTE(LEFT(TRIM(C336),FIND(" ",TRIM(C336)&amp;" ")-1),",","."))+1,9))*12,NA()))),0),18)*'Aturan &amp; Tarif'!$B$4,2)</f>
        <v>1022.04</v>
      </c>
      <c r="K336" s="32" t="n">
        <f aca="false">'Aturan &amp; Tarif'!$B$5</f>
        <v>2050</v>
      </c>
      <c r="L336" s="32" t="n">
        <f aca="false">'Aturan &amp; Tarif'!$B$6</f>
        <v>350</v>
      </c>
      <c r="M336" s="35" t="n">
        <f aca="false">I336+J336+K336+L336</f>
        <v>7572.04</v>
      </c>
      <c r="N336" s="36" t="s">
        <v>131</v>
      </c>
    </row>
    <row r="337" customFormat="false" ht="48.75" hidden="false" customHeight="true" outlineLevel="0" collapsed="false">
      <c r="A337" s="29"/>
      <c r="B337" s="30" t="s">
        <v>2860</v>
      </c>
      <c r="C337" s="31" t="s">
        <v>107</v>
      </c>
      <c r="D337" s="31" t="s">
        <v>108</v>
      </c>
      <c r="E337" s="32" t="n">
        <v>2000</v>
      </c>
      <c r="F337" s="32" t="n">
        <v>1900</v>
      </c>
      <c r="G337" s="32" t="n">
        <v>250</v>
      </c>
      <c r="H337" s="33" t="n">
        <v>1</v>
      </c>
      <c r="I337" s="34" t="n">
        <f aca="false">E337*H337+N(F337)+N(G337)</f>
        <v>4150</v>
      </c>
      <c r="J337" s="32" t="n">
        <f aca="false">ROUND(IFERROR(ROUND(IF(OR(ISNUMBER(SEARCH("week",C337)),ISNUMBER(SEARCH("minggu",C337))),IFERROR(_xlfn.NUMBERVALUE(SUBSTITUTE(LEFT(TRIM(C337),FIND(" ",TRIM(C337)&amp;" ")-1),",","."),"."),LEFT(SUBSTITUTE(LEFT(TRIM(C337),FIND(" ",TRIM(C337)&amp;" ")-1),",","."),FIND("/",SUBSTITUTE(LEFT(TRIM(C337),FIND(" ",TRIM(C337)&amp;" ")-1),",","."))-1)/MID(SUBSTITUTE(LEFT(TRIM(C337),FIND(" ",TRIM(C337)&amp;" ")-1),",","."),FIND("/",SUBSTITUTE(LEFT(TRIM(C337),FIND(" ",TRIM(C337)&amp;" ")-1),",","."))+1,9))*12/52,IF(ISNUMBER(SEARCH("month",C337)),IFERROR(_xlfn.NUMBERVALUE(SUBSTITUTE(LEFT(TRIM(C337),FIND(" ",TRIM(C337)&amp;" ")-1),",","."),"."),LEFT(SUBSTITUTE(LEFT(TRIM(C337),FIND(" ",TRIM(C337)&amp;" ")-1),",","."),FIND("/",SUBSTITUTE(LEFT(TRIM(C337),FIND(" ",TRIM(C337)&amp;" ")-1),",","."))-1)/MID(SUBSTITUTE(LEFT(TRIM(C337),FIND(" ",TRIM(C337)&amp;" ")-1),",","."),FIND("/",SUBSTITUTE(LEFT(TRIM(C337),FIND(" ",TRIM(C337)&amp;" ")-1),",","."))+1,9)),IF(ISNUMBER(SEARCH("yea",C337)),IFERROR(_xlfn.NUMBERVALUE(SUBSTITUTE(LEFT(TRIM(C337),FIND(" ",TRIM(C337)&amp;" ")-1),",","."),"."),LEFT(SUBSTITUTE(LEFT(TRIM(C337),FIND(" ",TRIM(C337)&amp;" ")-1),",","."),FIND("/",SUBSTITUTE(LEFT(TRIM(C337),FIND(" ",TRIM(C337)&amp;" ")-1),",","."))-1)/MID(SUBSTITUTE(LEFT(TRIM(C337),FIND(" ",TRIM(C337)&amp;" ")-1),",","."),FIND("/",SUBSTITUTE(LEFT(TRIM(C337),FIND(" ",TRIM(C337)&amp;" ")-1),",","."))+1,9))*12,NA()))),0),24)*'Aturan &amp; Tarif'!$B$4,2)</f>
        <v>1362.72</v>
      </c>
      <c r="K337" s="32" t="n">
        <f aca="false">'Aturan &amp; Tarif'!$B$5</f>
        <v>2050</v>
      </c>
      <c r="L337" s="32" t="n">
        <f aca="false">'Aturan &amp; Tarif'!$B$6</f>
        <v>350</v>
      </c>
      <c r="M337" s="35" t="n">
        <f aca="false">I337+J337+K337+L337</f>
        <v>7912.72</v>
      </c>
      <c r="N337" s="36" t="s">
        <v>131</v>
      </c>
    </row>
    <row r="338" customFormat="false" ht="48.75" hidden="false" customHeight="true" outlineLevel="0" collapsed="false">
      <c r="A338" s="29"/>
      <c r="B338" s="30" t="s">
        <v>2861</v>
      </c>
      <c r="C338" s="31" t="s">
        <v>138</v>
      </c>
      <c r="D338" s="31" t="s">
        <v>108</v>
      </c>
      <c r="E338" s="32" t="n">
        <v>2000</v>
      </c>
      <c r="F338" s="32" t="n">
        <v>1900</v>
      </c>
      <c r="G338" s="32" t="n">
        <v>250</v>
      </c>
      <c r="H338" s="33" t="n">
        <v>1</v>
      </c>
      <c r="I338" s="34" t="n">
        <f aca="false">E338*H338+N(F338)+N(G338)</f>
        <v>4150</v>
      </c>
      <c r="J338" s="32" t="n">
        <f aca="false">ROUND(IFERROR(ROUND(IF(OR(ISNUMBER(SEARCH("week",C338)),ISNUMBER(SEARCH("minggu",C338))),IFERROR(_xlfn.NUMBERVALUE(SUBSTITUTE(LEFT(TRIM(C338),FIND(" ",TRIM(C338)&amp;" ")-1),",","."),"."),LEFT(SUBSTITUTE(LEFT(TRIM(C338),FIND(" ",TRIM(C338)&amp;" ")-1),",","."),FIND("/",SUBSTITUTE(LEFT(TRIM(C338),FIND(" ",TRIM(C338)&amp;" ")-1),",","."))-1)/MID(SUBSTITUTE(LEFT(TRIM(C338),FIND(" ",TRIM(C338)&amp;" ")-1),",","."),FIND("/",SUBSTITUTE(LEFT(TRIM(C338),FIND(" ",TRIM(C338)&amp;" ")-1),",","."))+1,9))*12/52,IF(ISNUMBER(SEARCH("month",C338)),IFERROR(_xlfn.NUMBERVALUE(SUBSTITUTE(LEFT(TRIM(C338),FIND(" ",TRIM(C338)&amp;" ")-1),",","."),"."),LEFT(SUBSTITUTE(LEFT(TRIM(C338),FIND(" ",TRIM(C338)&amp;" ")-1),",","."),FIND("/",SUBSTITUTE(LEFT(TRIM(C338),FIND(" ",TRIM(C338)&amp;" ")-1),",","."))-1)/MID(SUBSTITUTE(LEFT(TRIM(C338),FIND(" ",TRIM(C338)&amp;" ")-1),",","."),FIND("/",SUBSTITUTE(LEFT(TRIM(C338),FIND(" ",TRIM(C338)&amp;" ")-1),",","."))+1,9)),IF(ISNUMBER(SEARCH("yea",C338)),IFERROR(_xlfn.NUMBERVALUE(SUBSTITUTE(LEFT(TRIM(C338),FIND(" ",TRIM(C338)&amp;" ")-1),",","."),"."),LEFT(SUBSTITUTE(LEFT(TRIM(C338),FIND(" ",TRIM(C338)&amp;" ")-1),",","."),FIND("/",SUBSTITUTE(LEFT(TRIM(C338),FIND(" ",TRIM(C338)&amp;" ")-1),",","."))-1)/MID(SUBSTITUTE(LEFT(TRIM(C338),FIND(" ",TRIM(C338)&amp;" ")-1),",","."),FIND("/",SUBSTITUTE(LEFT(TRIM(C338),FIND(" ",TRIM(C338)&amp;" ")-1),",","."))+1,9))*12,NA()))),0),30)*'Aturan &amp; Tarif'!$B$4,2)</f>
        <v>1703.4</v>
      </c>
      <c r="K338" s="32" t="n">
        <f aca="false">'Aturan &amp; Tarif'!$B$5</f>
        <v>2050</v>
      </c>
      <c r="L338" s="32" t="n">
        <f aca="false">'Aturan &amp; Tarif'!$B$6</f>
        <v>350</v>
      </c>
      <c r="M338" s="35" t="n">
        <f aca="false">I338+J338+K338+L338</f>
        <v>8253.4</v>
      </c>
      <c r="N338" s="36" t="s">
        <v>131</v>
      </c>
    </row>
    <row r="339" customFormat="false" ht="25.5" hidden="false" customHeight="true" outlineLevel="0" collapsed="false">
      <c r="A339" s="39" t="s">
        <v>2862</v>
      </c>
      <c r="B339" s="40" t="s">
        <v>1021</v>
      </c>
      <c r="C339" s="41" t="s">
        <v>107</v>
      </c>
      <c r="D339" s="41" t="s">
        <v>108</v>
      </c>
      <c r="E339" s="42" t="n">
        <v>2875</v>
      </c>
      <c r="F339" s="42" t="n">
        <v>1750</v>
      </c>
      <c r="G339" s="42" t="n">
        <v>250</v>
      </c>
      <c r="H339" s="43" t="n">
        <v>1</v>
      </c>
      <c r="I339" s="34" t="n">
        <f aca="false">E339*H339+N(F339)+N(G339)</f>
        <v>4875</v>
      </c>
      <c r="J339" s="42" t="n">
        <f aca="false">ROUND(IFERROR(ROUND(IF(OR(ISNUMBER(SEARCH("week",C339)),ISNUMBER(SEARCH("minggu",C339))),IFERROR(_xlfn.NUMBERVALUE(SUBSTITUTE(LEFT(TRIM(C339),FIND(" ",TRIM(C339)&amp;" ")-1),",","."),"."),LEFT(SUBSTITUTE(LEFT(TRIM(C339),FIND(" ",TRIM(C339)&amp;" ")-1),",","."),FIND("/",SUBSTITUTE(LEFT(TRIM(C339),FIND(" ",TRIM(C339)&amp;" ")-1),",","."))-1)/MID(SUBSTITUTE(LEFT(TRIM(C339),FIND(" ",TRIM(C339)&amp;" ")-1),",","."),FIND("/",SUBSTITUTE(LEFT(TRIM(C339),FIND(" ",TRIM(C339)&amp;" ")-1),",","."))+1,9))*12/52,IF(ISNUMBER(SEARCH("month",C339)),IFERROR(_xlfn.NUMBERVALUE(SUBSTITUTE(LEFT(TRIM(C339),FIND(" ",TRIM(C339)&amp;" ")-1),",","."),"."),LEFT(SUBSTITUTE(LEFT(TRIM(C339),FIND(" ",TRIM(C339)&amp;" ")-1),",","."),FIND("/",SUBSTITUTE(LEFT(TRIM(C339),FIND(" ",TRIM(C339)&amp;" ")-1),",","."))-1)/MID(SUBSTITUTE(LEFT(TRIM(C339),FIND(" ",TRIM(C339)&amp;" ")-1),",","."),FIND("/",SUBSTITUTE(LEFT(TRIM(C339),FIND(" ",TRIM(C339)&amp;" ")-1),",","."))+1,9)),IF(ISNUMBER(SEARCH("yea",C339)),IFERROR(_xlfn.NUMBERVALUE(SUBSTITUTE(LEFT(TRIM(C339),FIND(" ",TRIM(C339)&amp;" ")-1),",","."),"."),LEFT(SUBSTITUTE(LEFT(TRIM(C339),FIND(" ",TRIM(C339)&amp;" ")-1),",","."),FIND("/",SUBSTITUTE(LEFT(TRIM(C339),FIND(" ",TRIM(C339)&amp;" ")-1),",","."))-1)/MID(SUBSTITUTE(LEFT(TRIM(C339),FIND(" ",TRIM(C339)&amp;" ")-1),",","."),FIND("/",SUBSTITUTE(LEFT(TRIM(C339),FIND(" ",TRIM(C339)&amp;" ")-1),",","."))+1,9))*12,NA()))),0),24)*'Aturan &amp; Tarif'!$B$4,2)</f>
        <v>1362.72</v>
      </c>
      <c r="K339" s="42" t="n">
        <f aca="false">'Aturan &amp; Tarif'!$B$5</f>
        <v>2050</v>
      </c>
      <c r="L339" s="42" t="n">
        <f aca="false">'Aturan &amp; Tarif'!$B$6</f>
        <v>350</v>
      </c>
      <c r="M339" s="35" t="n">
        <f aca="false">I339+J339+K339+L339</f>
        <v>8637.72</v>
      </c>
      <c r="N339" s="45" t="s">
        <v>134</v>
      </c>
    </row>
    <row r="340" customFormat="false" ht="14.25" hidden="false" customHeight="true" outlineLevel="0" collapsed="false">
      <c r="A340" s="39"/>
      <c r="B340" s="40" t="s">
        <v>618</v>
      </c>
      <c r="C340" s="41" t="s">
        <v>138</v>
      </c>
      <c r="D340" s="41" t="s">
        <v>108</v>
      </c>
      <c r="E340" s="42" t="n">
        <v>3200</v>
      </c>
      <c r="F340" s="42" t="n">
        <v>1750</v>
      </c>
      <c r="G340" s="42" t="n">
        <v>250</v>
      </c>
      <c r="H340" s="43" t="n">
        <v>1</v>
      </c>
      <c r="I340" s="34" t="n">
        <f aca="false">E340*H340+N(F340)+N(G340)</f>
        <v>5200</v>
      </c>
      <c r="J340" s="42" t="n">
        <f aca="false">ROUND(IFERROR(ROUND(IF(OR(ISNUMBER(SEARCH("week",C340)),ISNUMBER(SEARCH("minggu",C340))),IFERROR(_xlfn.NUMBERVALUE(SUBSTITUTE(LEFT(TRIM(C340),FIND(" ",TRIM(C340)&amp;" ")-1),",","."),"."),LEFT(SUBSTITUTE(LEFT(TRIM(C340),FIND(" ",TRIM(C340)&amp;" ")-1),",","."),FIND("/",SUBSTITUTE(LEFT(TRIM(C340),FIND(" ",TRIM(C340)&amp;" ")-1),",","."))-1)/MID(SUBSTITUTE(LEFT(TRIM(C340),FIND(" ",TRIM(C340)&amp;" ")-1),",","."),FIND("/",SUBSTITUTE(LEFT(TRIM(C340),FIND(" ",TRIM(C340)&amp;" ")-1),",","."))+1,9))*12/52,IF(ISNUMBER(SEARCH("month",C340)),IFERROR(_xlfn.NUMBERVALUE(SUBSTITUTE(LEFT(TRIM(C340),FIND(" ",TRIM(C340)&amp;" ")-1),",","."),"."),LEFT(SUBSTITUTE(LEFT(TRIM(C340),FIND(" ",TRIM(C340)&amp;" ")-1),",","."),FIND("/",SUBSTITUTE(LEFT(TRIM(C340),FIND(" ",TRIM(C340)&amp;" ")-1),",","."))-1)/MID(SUBSTITUTE(LEFT(TRIM(C340),FIND(" ",TRIM(C340)&amp;" ")-1),",","."),FIND("/",SUBSTITUTE(LEFT(TRIM(C340),FIND(" ",TRIM(C340)&amp;" ")-1),",","."))+1,9)),IF(ISNUMBER(SEARCH("yea",C340)),IFERROR(_xlfn.NUMBERVALUE(SUBSTITUTE(LEFT(TRIM(C340),FIND(" ",TRIM(C340)&amp;" ")-1),",","."),"."),LEFT(SUBSTITUTE(LEFT(TRIM(C340),FIND(" ",TRIM(C340)&amp;" ")-1),",","."),FIND("/",SUBSTITUTE(LEFT(TRIM(C340),FIND(" ",TRIM(C340)&amp;" ")-1),",","."))-1)/MID(SUBSTITUTE(LEFT(TRIM(C340),FIND(" ",TRIM(C340)&amp;" ")-1),",","."),FIND("/",SUBSTITUTE(LEFT(TRIM(C340),FIND(" ",TRIM(C340)&amp;" ")-1),",","."))+1,9))*12,NA()))),0),30)*'Aturan &amp; Tarif'!$B$4,2)</f>
        <v>1703.4</v>
      </c>
      <c r="K340" s="42" t="n">
        <f aca="false">'Aturan &amp; Tarif'!$B$5</f>
        <v>2050</v>
      </c>
      <c r="L340" s="42" t="n">
        <f aca="false">'Aturan &amp; Tarif'!$B$6</f>
        <v>350</v>
      </c>
      <c r="M340" s="35" t="n">
        <f aca="false">I340+J340+K340+L340</f>
        <v>9303.4</v>
      </c>
      <c r="N340" s="45" t="s">
        <v>134</v>
      </c>
    </row>
    <row r="341" customFormat="false" ht="25.5" hidden="false" customHeight="true" outlineLevel="0" collapsed="false">
      <c r="A341" s="39"/>
      <c r="B341" s="40" t="s">
        <v>2863</v>
      </c>
      <c r="C341" s="41" t="s">
        <v>107</v>
      </c>
      <c r="D341" s="41" t="s">
        <v>108</v>
      </c>
      <c r="E341" s="42" t="n">
        <v>2875</v>
      </c>
      <c r="F341" s="42" t="n">
        <v>1000</v>
      </c>
      <c r="G341" s="42" t="n">
        <v>250</v>
      </c>
      <c r="H341" s="43" t="n">
        <v>1</v>
      </c>
      <c r="I341" s="34" t="n">
        <f aca="false">E341*H341+N(F341)+N(G341)</f>
        <v>4125</v>
      </c>
      <c r="J341" s="42" t="n">
        <f aca="false">ROUND(IFERROR(ROUND(IF(OR(ISNUMBER(SEARCH("week",C341)),ISNUMBER(SEARCH("minggu",C341))),IFERROR(_xlfn.NUMBERVALUE(SUBSTITUTE(LEFT(TRIM(C341),FIND(" ",TRIM(C341)&amp;" ")-1),",","."),"."),LEFT(SUBSTITUTE(LEFT(TRIM(C341),FIND(" ",TRIM(C341)&amp;" ")-1),",","."),FIND("/",SUBSTITUTE(LEFT(TRIM(C341),FIND(" ",TRIM(C341)&amp;" ")-1),",","."))-1)/MID(SUBSTITUTE(LEFT(TRIM(C341),FIND(" ",TRIM(C341)&amp;" ")-1),",","."),FIND("/",SUBSTITUTE(LEFT(TRIM(C341),FIND(" ",TRIM(C341)&amp;" ")-1),",","."))+1,9))*12/52,IF(ISNUMBER(SEARCH("month",C341)),IFERROR(_xlfn.NUMBERVALUE(SUBSTITUTE(LEFT(TRIM(C341),FIND(" ",TRIM(C341)&amp;" ")-1),",","."),"."),LEFT(SUBSTITUTE(LEFT(TRIM(C341),FIND(" ",TRIM(C341)&amp;" ")-1),",","."),FIND("/",SUBSTITUTE(LEFT(TRIM(C341),FIND(" ",TRIM(C341)&amp;" ")-1),",","."))-1)/MID(SUBSTITUTE(LEFT(TRIM(C341),FIND(" ",TRIM(C341)&amp;" ")-1),",","."),FIND("/",SUBSTITUTE(LEFT(TRIM(C341),FIND(" ",TRIM(C341)&amp;" ")-1),",","."))+1,9)),IF(ISNUMBER(SEARCH("yea",C341)),IFERROR(_xlfn.NUMBERVALUE(SUBSTITUTE(LEFT(TRIM(C341),FIND(" ",TRIM(C341)&amp;" ")-1),",","."),"."),LEFT(SUBSTITUTE(LEFT(TRIM(C341),FIND(" ",TRIM(C341)&amp;" ")-1),",","."),FIND("/",SUBSTITUTE(LEFT(TRIM(C341),FIND(" ",TRIM(C341)&amp;" ")-1),",","."))-1)/MID(SUBSTITUTE(LEFT(TRIM(C341),FIND(" ",TRIM(C341)&amp;" ")-1),",","."),FIND("/",SUBSTITUTE(LEFT(TRIM(C341),FIND(" ",TRIM(C341)&amp;" ")-1),",","."))+1,9))*12,NA()))),0),24)*'Aturan &amp; Tarif'!$B$4,2)</f>
        <v>1362.72</v>
      </c>
      <c r="K341" s="42" t="n">
        <f aca="false">'Aturan &amp; Tarif'!$B$5</f>
        <v>2050</v>
      </c>
      <c r="L341" s="42" t="n">
        <f aca="false">'Aturan &amp; Tarif'!$B$6</f>
        <v>350</v>
      </c>
      <c r="M341" s="35" t="n">
        <f aca="false">I341+J341+K341+L341</f>
        <v>7887.72</v>
      </c>
      <c r="N341" s="45" t="s">
        <v>134</v>
      </c>
    </row>
    <row r="342" customFormat="false" ht="14.25" hidden="false" customHeight="true" outlineLevel="0" collapsed="false">
      <c r="A342" s="39"/>
      <c r="B342" s="40" t="s">
        <v>2864</v>
      </c>
      <c r="C342" s="41" t="s">
        <v>127</v>
      </c>
      <c r="D342" s="41" t="s">
        <v>108</v>
      </c>
      <c r="E342" s="42" t="n">
        <v>2875</v>
      </c>
      <c r="F342" s="42" t="n">
        <v>1500</v>
      </c>
      <c r="G342" s="42" t="n">
        <v>250</v>
      </c>
      <c r="H342" s="43" t="n">
        <v>1</v>
      </c>
      <c r="I342" s="34" t="n">
        <f aca="false">E342*H342+N(F342)+N(G342)</f>
        <v>4625</v>
      </c>
      <c r="J342" s="42" t="n">
        <f aca="false">ROUND(IFERROR(ROUND(IF(OR(ISNUMBER(SEARCH("week",C342)),ISNUMBER(SEARCH("minggu",C342))),IFERROR(_xlfn.NUMBERVALUE(SUBSTITUTE(LEFT(TRIM(C342),FIND(" ",TRIM(C342)&amp;" ")-1),",","."),"."),LEFT(SUBSTITUTE(LEFT(TRIM(C342),FIND(" ",TRIM(C342)&amp;" ")-1),",","."),FIND("/",SUBSTITUTE(LEFT(TRIM(C342),FIND(" ",TRIM(C342)&amp;" ")-1),",","."))-1)/MID(SUBSTITUTE(LEFT(TRIM(C342),FIND(" ",TRIM(C342)&amp;" ")-1),",","."),FIND("/",SUBSTITUTE(LEFT(TRIM(C342),FIND(" ",TRIM(C342)&amp;" ")-1),",","."))+1,9))*12/52,IF(ISNUMBER(SEARCH("month",C342)),IFERROR(_xlfn.NUMBERVALUE(SUBSTITUTE(LEFT(TRIM(C342),FIND(" ",TRIM(C342)&amp;" ")-1),",","."),"."),LEFT(SUBSTITUTE(LEFT(TRIM(C342),FIND(" ",TRIM(C342)&amp;" ")-1),",","."),FIND("/",SUBSTITUTE(LEFT(TRIM(C342),FIND(" ",TRIM(C342)&amp;" ")-1),",","."))-1)/MID(SUBSTITUTE(LEFT(TRIM(C342),FIND(" ",TRIM(C342)&amp;" ")-1),",","."),FIND("/",SUBSTITUTE(LEFT(TRIM(C342),FIND(" ",TRIM(C342)&amp;" ")-1),",","."))+1,9)),IF(ISNUMBER(SEARCH("yea",C342)),IFERROR(_xlfn.NUMBERVALUE(SUBSTITUTE(LEFT(TRIM(C342),FIND(" ",TRIM(C342)&amp;" ")-1),",","."),"."),LEFT(SUBSTITUTE(LEFT(TRIM(C342),FIND(" ",TRIM(C342)&amp;" ")-1),",","."),FIND("/",SUBSTITUTE(LEFT(TRIM(C342),FIND(" ",TRIM(C342)&amp;" ")-1),",","."))-1)/MID(SUBSTITUTE(LEFT(TRIM(C342),FIND(" ",TRIM(C342)&amp;" ")-1),",","."),FIND("/",SUBSTITUTE(LEFT(TRIM(C342),FIND(" ",TRIM(C342)&amp;" ")-1),",","."))+1,9))*12,NA()))),0),36)*'Aturan &amp; Tarif'!$B$4,2)</f>
        <v>2044.08</v>
      </c>
      <c r="K342" s="42" t="n">
        <f aca="false">'Aturan &amp; Tarif'!$B$5</f>
        <v>2050</v>
      </c>
      <c r="L342" s="42" t="n">
        <f aca="false">'Aturan &amp; Tarif'!$B$6</f>
        <v>350</v>
      </c>
      <c r="M342" s="35" t="n">
        <f aca="false">I342+J342+K342+L342</f>
        <v>9069.08</v>
      </c>
      <c r="N342" s="45" t="s">
        <v>134</v>
      </c>
    </row>
    <row r="343" customFormat="false" ht="14.25" hidden="false" customHeight="true" outlineLevel="0" collapsed="false">
      <c r="A343" s="39"/>
      <c r="B343" s="40" t="s">
        <v>2865</v>
      </c>
      <c r="C343" s="41" t="s">
        <v>107</v>
      </c>
      <c r="D343" s="41" t="s">
        <v>108</v>
      </c>
      <c r="E343" s="42" t="n">
        <v>2875</v>
      </c>
      <c r="F343" s="42" t="n">
        <v>1000</v>
      </c>
      <c r="G343" s="42" t="n">
        <v>250</v>
      </c>
      <c r="H343" s="43" t="n">
        <v>1</v>
      </c>
      <c r="I343" s="34" t="n">
        <f aca="false">E343*H343+N(F343)+N(G343)</f>
        <v>4125</v>
      </c>
      <c r="J343" s="42" t="n">
        <f aca="false">ROUND(IFERROR(ROUND(IF(OR(ISNUMBER(SEARCH("week",C343)),ISNUMBER(SEARCH("minggu",C343))),IFERROR(_xlfn.NUMBERVALUE(SUBSTITUTE(LEFT(TRIM(C343),FIND(" ",TRIM(C343)&amp;" ")-1),",","."),"."),LEFT(SUBSTITUTE(LEFT(TRIM(C343),FIND(" ",TRIM(C343)&amp;" ")-1),",","."),FIND("/",SUBSTITUTE(LEFT(TRIM(C343),FIND(" ",TRIM(C343)&amp;" ")-1),",","."))-1)/MID(SUBSTITUTE(LEFT(TRIM(C343),FIND(" ",TRIM(C343)&amp;" ")-1),",","."),FIND("/",SUBSTITUTE(LEFT(TRIM(C343),FIND(" ",TRIM(C343)&amp;" ")-1),",","."))+1,9))*12/52,IF(ISNUMBER(SEARCH("month",C343)),IFERROR(_xlfn.NUMBERVALUE(SUBSTITUTE(LEFT(TRIM(C343),FIND(" ",TRIM(C343)&amp;" ")-1),",","."),"."),LEFT(SUBSTITUTE(LEFT(TRIM(C343),FIND(" ",TRIM(C343)&amp;" ")-1),",","."),FIND("/",SUBSTITUTE(LEFT(TRIM(C343),FIND(" ",TRIM(C343)&amp;" ")-1),",","."))-1)/MID(SUBSTITUTE(LEFT(TRIM(C343),FIND(" ",TRIM(C343)&amp;" ")-1),",","."),FIND("/",SUBSTITUTE(LEFT(TRIM(C343),FIND(" ",TRIM(C343)&amp;" ")-1),",","."))+1,9)),IF(ISNUMBER(SEARCH("yea",C343)),IFERROR(_xlfn.NUMBERVALUE(SUBSTITUTE(LEFT(TRIM(C343),FIND(" ",TRIM(C343)&amp;" ")-1),",","."),"."),LEFT(SUBSTITUTE(LEFT(TRIM(C343),FIND(" ",TRIM(C343)&amp;" ")-1),",","."),FIND("/",SUBSTITUTE(LEFT(TRIM(C343),FIND(" ",TRIM(C343)&amp;" ")-1),",","."))-1)/MID(SUBSTITUTE(LEFT(TRIM(C343),FIND(" ",TRIM(C343)&amp;" ")-1),",","."),FIND("/",SUBSTITUTE(LEFT(TRIM(C343),FIND(" ",TRIM(C343)&amp;" ")-1),",","."))+1,9))*12,NA()))),0),24)*'Aturan &amp; Tarif'!$B$4,2)</f>
        <v>1362.72</v>
      </c>
      <c r="K343" s="42" t="n">
        <f aca="false">'Aturan &amp; Tarif'!$B$5</f>
        <v>2050</v>
      </c>
      <c r="L343" s="42" t="n">
        <f aca="false">'Aturan &amp; Tarif'!$B$6</f>
        <v>350</v>
      </c>
      <c r="M343" s="35" t="n">
        <f aca="false">I343+J343+K343+L343</f>
        <v>7887.72</v>
      </c>
      <c r="N343" s="45" t="s">
        <v>134</v>
      </c>
    </row>
    <row r="344" customFormat="false" ht="37.5" hidden="false" customHeight="true" outlineLevel="0" collapsed="false">
      <c r="A344" s="39"/>
      <c r="B344" s="40" t="s">
        <v>840</v>
      </c>
      <c r="C344" s="41" t="s">
        <v>107</v>
      </c>
      <c r="D344" s="41" t="s">
        <v>108</v>
      </c>
      <c r="E344" s="42" t="n">
        <v>2625</v>
      </c>
      <c r="F344" s="42" t="n">
        <v>400</v>
      </c>
      <c r="G344" s="42" t="n">
        <v>250</v>
      </c>
      <c r="H344" s="43" t="n">
        <v>1</v>
      </c>
      <c r="I344" s="34" t="n">
        <f aca="false">E344*H344+N(F344)+N(G344)</f>
        <v>3275</v>
      </c>
      <c r="J344" s="42" t="n">
        <f aca="false">ROUND(IFERROR(ROUND(IF(OR(ISNUMBER(SEARCH("week",C344)),ISNUMBER(SEARCH("minggu",C344))),IFERROR(_xlfn.NUMBERVALUE(SUBSTITUTE(LEFT(TRIM(C344),FIND(" ",TRIM(C344)&amp;" ")-1),",","."),"."),LEFT(SUBSTITUTE(LEFT(TRIM(C344),FIND(" ",TRIM(C344)&amp;" ")-1),",","."),FIND("/",SUBSTITUTE(LEFT(TRIM(C344),FIND(" ",TRIM(C344)&amp;" ")-1),",","."))-1)/MID(SUBSTITUTE(LEFT(TRIM(C344),FIND(" ",TRIM(C344)&amp;" ")-1),",","."),FIND("/",SUBSTITUTE(LEFT(TRIM(C344),FIND(" ",TRIM(C344)&amp;" ")-1),",","."))+1,9))*12/52,IF(ISNUMBER(SEARCH("month",C344)),IFERROR(_xlfn.NUMBERVALUE(SUBSTITUTE(LEFT(TRIM(C344),FIND(" ",TRIM(C344)&amp;" ")-1),",","."),"."),LEFT(SUBSTITUTE(LEFT(TRIM(C344),FIND(" ",TRIM(C344)&amp;" ")-1),",","."),FIND("/",SUBSTITUTE(LEFT(TRIM(C344),FIND(" ",TRIM(C344)&amp;" ")-1),",","."))-1)/MID(SUBSTITUTE(LEFT(TRIM(C344),FIND(" ",TRIM(C344)&amp;" ")-1),",","."),FIND("/",SUBSTITUTE(LEFT(TRIM(C344),FIND(" ",TRIM(C344)&amp;" ")-1),",","."))+1,9)),IF(ISNUMBER(SEARCH("yea",C344)),IFERROR(_xlfn.NUMBERVALUE(SUBSTITUTE(LEFT(TRIM(C344),FIND(" ",TRIM(C344)&amp;" ")-1),",","."),"."),LEFT(SUBSTITUTE(LEFT(TRIM(C344),FIND(" ",TRIM(C344)&amp;" ")-1),",","."),FIND("/",SUBSTITUTE(LEFT(TRIM(C344),FIND(" ",TRIM(C344)&amp;" ")-1),",","."))-1)/MID(SUBSTITUTE(LEFT(TRIM(C344),FIND(" ",TRIM(C344)&amp;" ")-1),",","."),FIND("/",SUBSTITUTE(LEFT(TRIM(C344),FIND(" ",TRIM(C344)&amp;" ")-1),",","."))+1,9))*12,NA()))),0),24)*'Aturan &amp; Tarif'!$B$4,2)</f>
        <v>1362.72</v>
      </c>
      <c r="K344" s="42" t="n">
        <f aca="false">'Aturan &amp; Tarif'!$B$5</f>
        <v>2050</v>
      </c>
      <c r="L344" s="42" t="n">
        <f aca="false">'Aturan &amp; Tarif'!$B$6</f>
        <v>350</v>
      </c>
      <c r="M344" s="35" t="n">
        <f aca="false">I344+J344+K344+L344</f>
        <v>7037.72</v>
      </c>
      <c r="N344" s="45" t="s">
        <v>134</v>
      </c>
    </row>
    <row r="345" customFormat="false" ht="37.5" hidden="false" customHeight="true" outlineLevel="0" collapsed="false">
      <c r="A345" s="29" t="s">
        <v>2866</v>
      </c>
      <c r="B345" s="30" t="s">
        <v>1145</v>
      </c>
      <c r="C345" s="31" t="s">
        <v>2867</v>
      </c>
      <c r="D345" s="31" t="s">
        <v>108</v>
      </c>
      <c r="E345" s="32" t="n">
        <v>8750</v>
      </c>
      <c r="F345" s="32" t="n">
        <v>8250</v>
      </c>
      <c r="G345" s="32" t="n">
        <v>250</v>
      </c>
      <c r="H345" s="33" t="n">
        <v>1</v>
      </c>
      <c r="I345" s="34" t="n">
        <f aca="false">E345*H345+N(F345)+N(G345)</f>
        <v>17250</v>
      </c>
      <c r="J345" s="32" t="n">
        <f aca="false">ROUND(IFERROR(ROUND(IF(OR(ISNUMBER(SEARCH("week",C345)),ISNUMBER(SEARCH("minggu",C345))),IFERROR(_xlfn.NUMBERVALUE(SUBSTITUTE(LEFT(TRIM(C345),FIND(" ",TRIM(C345)&amp;" ")-1),",","."),"."),LEFT(SUBSTITUTE(LEFT(TRIM(C345),FIND(" ",TRIM(C345)&amp;" ")-1),",","."),FIND("/",SUBSTITUTE(LEFT(TRIM(C345),FIND(" ",TRIM(C345)&amp;" ")-1),",","."))-1)/MID(SUBSTITUTE(LEFT(TRIM(C345),FIND(" ",TRIM(C345)&amp;" ")-1),",","."),FIND("/",SUBSTITUTE(LEFT(TRIM(C345),FIND(" ",TRIM(C345)&amp;" ")-1),",","."))+1,9))*12/52,IF(ISNUMBER(SEARCH("month",C345)),IFERROR(_xlfn.NUMBERVALUE(SUBSTITUTE(LEFT(TRIM(C345),FIND(" ",TRIM(C345)&amp;" ")-1),",","."),"."),LEFT(SUBSTITUTE(LEFT(TRIM(C345),FIND(" ",TRIM(C345)&amp;" ")-1),",","."),FIND("/",SUBSTITUTE(LEFT(TRIM(C345),FIND(" ",TRIM(C345)&amp;" ")-1),",","."))-1)/MID(SUBSTITUTE(LEFT(TRIM(C345),FIND(" ",TRIM(C345)&amp;" ")-1),",","."),FIND("/",SUBSTITUTE(LEFT(TRIM(C345),FIND(" ",TRIM(C345)&amp;" ")-1),",","."))+1,9)),IF(ISNUMBER(SEARCH("yea",C345)),IFERROR(_xlfn.NUMBERVALUE(SUBSTITUTE(LEFT(TRIM(C345),FIND(" ",TRIM(C345)&amp;" ")-1),",","."),"."),LEFT(SUBSTITUTE(LEFT(TRIM(C345),FIND(" ",TRIM(C345)&amp;" ")-1),",","."),FIND("/",SUBSTITUTE(LEFT(TRIM(C345),FIND(" ",TRIM(C345)&amp;" ")-1),",","."))-1)/MID(SUBSTITUTE(LEFT(TRIM(C345),FIND(" ",TRIM(C345)&amp;" ")-1),",","."),FIND("/",SUBSTITUTE(LEFT(TRIM(C345),FIND(" ",TRIM(C345)&amp;" ")-1),",","."))+1,9))*12,NA()))),0),18)*'Aturan &amp; Tarif'!$B$4,2)</f>
        <v>1022.04</v>
      </c>
      <c r="K345" s="32" t="n">
        <f aca="false">'Aturan &amp; Tarif'!$B$5</f>
        <v>2050</v>
      </c>
      <c r="L345" s="32" t="n">
        <f aca="false">'Aturan &amp; Tarif'!$B$6</f>
        <v>350</v>
      </c>
      <c r="M345" s="35" t="n">
        <f aca="false">I345+J345+K345+L345</f>
        <v>20672.04</v>
      </c>
      <c r="N345" s="37" t="s">
        <v>2868</v>
      </c>
    </row>
    <row r="346" customFormat="false" ht="14.25" hidden="false" customHeight="true" outlineLevel="0" collapsed="false">
      <c r="A346" s="29"/>
      <c r="B346" s="30" t="s">
        <v>2869</v>
      </c>
      <c r="C346" s="31" t="s">
        <v>138</v>
      </c>
      <c r="D346" s="31" t="s">
        <v>108</v>
      </c>
      <c r="E346" s="32" t="n">
        <v>2625</v>
      </c>
      <c r="F346" s="32" t="n">
        <v>1000</v>
      </c>
      <c r="G346" s="32" t="n">
        <v>250</v>
      </c>
      <c r="H346" s="33" t="n">
        <v>1</v>
      </c>
      <c r="I346" s="34" t="n">
        <f aca="false">E346*H346+N(F346)+N(G346)</f>
        <v>3875</v>
      </c>
      <c r="J346" s="32" t="n">
        <f aca="false">ROUND(IFERROR(ROUND(IF(OR(ISNUMBER(SEARCH("week",C346)),ISNUMBER(SEARCH("minggu",C346))),IFERROR(_xlfn.NUMBERVALUE(SUBSTITUTE(LEFT(TRIM(C346),FIND(" ",TRIM(C346)&amp;" ")-1),",","."),"."),LEFT(SUBSTITUTE(LEFT(TRIM(C346),FIND(" ",TRIM(C346)&amp;" ")-1),",","."),FIND("/",SUBSTITUTE(LEFT(TRIM(C346),FIND(" ",TRIM(C346)&amp;" ")-1),",","."))-1)/MID(SUBSTITUTE(LEFT(TRIM(C346),FIND(" ",TRIM(C346)&amp;" ")-1),",","."),FIND("/",SUBSTITUTE(LEFT(TRIM(C346),FIND(" ",TRIM(C346)&amp;" ")-1),",","."))+1,9))*12/52,IF(ISNUMBER(SEARCH("month",C346)),IFERROR(_xlfn.NUMBERVALUE(SUBSTITUTE(LEFT(TRIM(C346),FIND(" ",TRIM(C346)&amp;" ")-1),",","."),"."),LEFT(SUBSTITUTE(LEFT(TRIM(C346),FIND(" ",TRIM(C346)&amp;" ")-1),",","."),FIND("/",SUBSTITUTE(LEFT(TRIM(C346),FIND(" ",TRIM(C346)&amp;" ")-1),",","."))-1)/MID(SUBSTITUTE(LEFT(TRIM(C346),FIND(" ",TRIM(C346)&amp;" ")-1),",","."),FIND("/",SUBSTITUTE(LEFT(TRIM(C346),FIND(" ",TRIM(C346)&amp;" ")-1),",","."))+1,9)),IF(ISNUMBER(SEARCH("yea",C346)),IFERROR(_xlfn.NUMBERVALUE(SUBSTITUTE(LEFT(TRIM(C346),FIND(" ",TRIM(C346)&amp;" ")-1),",","."),"."),LEFT(SUBSTITUTE(LEFT(TRIM(C346),FIND(" ",TRIM(C346)&amp;" ")-1),",","."),FIND("/",SUBSTITUTE(LEFT(TRIM(C346),FIND(" ",TRIM(C346)&amp;" ")-1),",","."))-1)/MID(SUBSTITUTE(LEFT(TRIM(C346),FIND(" ",TRIM(C346)&amp;" ")-1),",","."),FIND("/",SUBSTITUTE(LEFT(TRIM(C346),FIND(" ",TRIM(C346)&amp;" ")-1),",","."))+1,9))*12,NA()))),0),30)*'Aturan &amp; Tarif'!$B$4,2)</f>
        <v>1703.4</v>
      </c>
      <c r="K346" s="32" t="n">
        <f aca="false">'Aturan &amp; Tarif'!$B$5</f>
        <v>2050</v>
      </c>
      <c r="L346" s="32" t="n">
        <f aca="false">'Aturan &amp; Tarif'!$B$6</f>
        <v>350</v>
      </c>
      <c r="M346" s="35" t="n">
        <f aca="false">I346+J346+K346+L346</f>
        <v>7978.4</v>
      </c>
      <c r="N346" s="36" t="s">
        <v>2870</v>
      </c>
    </row>
    <row r="347" customFormat="false" ht="25.5" hidden="false" customHeight="true" outlineLevel="0" collapsed="false">
      <c r="A347" s="29"/>
      <c r="B347" s="30" t="s">
        <v>2871</v>
      </c>
      <c r="C347" s="31" t="s">
        <v>2872</v>
      </c>
      <c r="D347" s="31" t="s">
        <v>108</v>
      </c>
      <c r="E347" s="32" t="n">
        <v>6250</v>
      </c>
      <c r="F347" s="32" t="n">
        <v>2750</v>
      </c>
      <c r="G347" s="32" t="n">
        <v>250</v>
      </c>
      <c r="H347" s="33" t="n">
        <v>1</v>
      </c>
      <c r="I347" s="34" t="n">
        <f aca="false">E347*H347+N(F347)+N(G347)</f>
        <v>9250</v>
      </c>
      <c r="J347" s="32" t="n">
        <f aca="false">ROUND(IFERROR(ROUND(IF(OR(ISNUMBER(SEARCH("week",C347)),ISNUMBER(SEARCH("minggu",C347))),IFERROR(_xlfn.NUMBERVALUE(SUBSTITUTE(LEFT(TRIM(C347),FIND(" ",TRIM(C347)&amp;" ")-1),",","."),"."),LEFT(SUBSTITUTE(LEFT(TRIM(C347),FIND(" ",TRIM(C347)&amp;" ")-1),",","."),FIND("/",SUBSTITUTE(LEFT(TRIM(C347),FIND(" ",TRIM(C347)&amp;" ")-1),",","."))-1)/MID(SUBSTITUTE(LEFT(TRIM(C347),FIND(" ",TRIM(C347)&amp;" ")-1),",","."),FIND("/",SUBSTITUTE(LEFT(TRIM(C347),FIND(" ",TRIM(C347)&amp;" ")-1),",","."))+1,9))*12/52,IF(ISNUMBER(SEARCH("month",C347)),IFERROR(_xlfn.NUMBERVALUE(SUBSTITUTE(LEFT(TRIM(C347),FIND(" ",TRIM(C347)&amp;" ")-1),",","."),"."),LEFT(SUBSTITUTE(LEFT(TRIM(C347),FIND(" ",TRIM(C347)&amp;" ")-1),",","."),FIND("/",SUBSTITUTE(LEFT(TRIM(C347),FIND(" ",TRIM(C347)&amp;" ")-1),",","."))-1)/MID(SUBSTITUTE(LEFT(TRIM(C347),FIND(" ",TRIM(C347)&amp;" ")-1),",","."),FIND("/",SUBSTITUTE(LEFT(TRIM(C347),FIND(" ",TRIM(C347)&amp;" ")-1),",","."))+1,9)),IF(ISNUMBER(SEARCH("yea",C347)),IFERROR(_xlfn.NUMBERVALUE(SUBSTITUTE(LEFT(TRIM(C347),FIND(" ",TRIM(C347)&amp;" ")-1),",","."),"."),LEFT(SUBSTITUTE(LEFT(TRIM(C347),FIND(" ",TRIM(C347)&amp;" ")-1),",","."),FIND("/",SUBSTITUTE(LEFT(TRIM(C347),FIND(" ",TRIM(C347)&amp;" ")-1),",","."))-1)/MID(SUBSTITUTE(LEFT(TRIM(C347),FIND(" ",TRIM(C347)&amp;" ")-1),",","."),FIND("/",SUBSTITUTE(LEFT(TRIM(C347),FIND(" ",TRIM(C347)&amp;" ")-1),",","."))+1,9))*12,NA()))),0),22)*'Aturan &amp; Tarif'!$B$4,2)</f>
        <v>1249.16</v>
      </c>
      <c r="K347" s="32" t="n">
        <f aca="false">'Aturan &amp; Tarif'!$B$5</f>
        <v>2050</v>
      </c>
      <c r="L347" s="32" t="n">
        <f aca="false">'Aturan &amp; Tarif'!$B$6</f>
        <v>350</v>
      </c>
      <c r="M347" s="35" t="n">
        <f aca="false">I347+J347+K347+L347</f>
        <v>12899.16</v>
      </c>
      <c r="N347" s="37" t="s">
        <v>2873</v>
      </c>
    </row>
    <row r="348" customFormat="false" ht="60" hidden="false" customHeight="true" outlineLevel="0" collapsed="false">
      <c r="A348" s="29"/>
      <c r="B348" s="30" t="s">
        <v>2874</v>
      </c>
      <c r="C348" s="31" t="s">
        <v>2875</v>
      </c>
      <c r="D348" s="31" t="s">
        <v>108</v>
      </c>
      <c r="E348" s="32" t="n">
        <v>4450</v>
      </c>
      <c r="F348" s="32" t="n">
        <v>1000</v>
      </c>
      <c r="G348" s="32" t="n">
        <v>250</v>
      </c>
      <c r="H348" s="33" t="n">
        <v>1</v>
      </c>
      <c r="I348" s="34" t="n">
        <f aca="false">E348*H348+N(F348)+N(G348)</f>
        <v>5700</v>
      </c>
      <c r="J348" s="32" t="n">
        <f aca="false">ROUND(IFERROR(ROUND(IF(OR(ISNUMBER(SEARCH("week",C348)),ISNUMBER(SEARCH("minggu",C348))),IFERROR(_xlfn.NUMBERVALUE(SUBSTITUTE(LEFT(TRIM(C348),FIND(" ",TRIM(C348)&amp;" ")-1),",","."),"."),LEFT(SUBSTITUTE(LEFT(TRIM(C348),FIND(" ",TRIM(C348)&amp;" ")-1),",","."),FIND("/",SUBSTITUTE(LEFT(TRIM(C348),FIND(" ",TRIM(C348)&amp;" ")-1),",","."))-1)/MID(SUBSTITUTE(LEFT(TRIM(C348),FIND(" ",TRIM(C348)&amp;" ")-1),",","."),FIND("/",SUBSTITUTE(LEFT(TRIM(C348),FIND(" ",TRIM(C348)&amp;" ")-1),",","."))+1,9))*12/52,IF(ISNUMBER(SEARCH("month",C348)),IFERROR(_xlfn.NUMBERVALUE(SUBSTITUTE(LEFT(TRIM(C348),FIND(" ",TRIM(C348)&amp;" ")-1),",","."),"."),LEFT(SUBSTITUTE(LEFT(TRIM(C348),FIND(" ",TRIM(C348)&amp;" ")-1),",","."),FIND("/",SUBSTITUTE(LEFT(TRIM(C348),FIND(" ",TRIM(C348)&amp;" ")-1),",","."))-1)/MID(SUBSTITUTE(LEFT(TRIM(C348),FIND(" ",TRIM(C348)&amp;" ")-1),",","."),FIND("/",SUBSTITUTE(LEFT(TRIM(C348),FIND(" ",TRIM(C348)&amp;" ")-1),",","."))+1,9)),IF(ISNUMBER(SEARCH("yea",C348)),IFERROR(_xlfn.NUMBERVALUE(SUBSTITUTE(LEFT(TRIM(C348),FIND(" ",TRIM(C348)&amp;" ")-1),",","."),"."),LEFT(SUBSTITUTE(LEFT(TRIM(C348),FIND(" ",TRIM(C348)&amp;" ")-1),",","."),FIND("/",SUBSTITUTE(LEFT(TRIM(C348),FIND(" ",TRIM(C348)&amp;" ")-1),",","."))-1)/MID(SUBSTITUTE(LEFT(TRIM(C348),FIND(" ",TRIM(C348)&amp;" ")-1),",","."),FIND("/",SUBSTITUTE(LEFT(TRIM(C348),FIND(" ",TRIM(C348)&amp;" ")-1),",","."))+1,9))*12,NA()))),0),13)*'Aturan &amp; Tarif'!$B$4,2)</f>
        <v>738.14</v>
      </c>
      <c r="K348" s="32" t="n">
        <f aca="false">'Aturan &amp; Tarif'!$B$5</f>
        <v>2050</v>
      </c>
      <c r="L348" s="32" t="n">
        <f aca="false">'Aturan &amp; Tarif'!$B$6</f>
        <v>350</v>
      </c>
      <c r="M348" s="35" t="n">
        <f aca="false">I348+J348+K348+L348</f>
        <v>8838.14</v>
      </c>
      <c r="N348" s="37" t="s">
        <v>2876</v>
      </c>
    </row>
    <row r="349" customFormat="false" ht="48.75" hidden="false" customHeight="true" outlineLevel="0" collapsed="false">
      <c r="A349" s="29"/>
      <c r="B349" s="30" t="s">
        <v>2877</v>
      </c>
      <c r="C349" s="31" t="s">
        <v>113</v>
      </c>
      <c r="D349" s="31" t="s">
        <v>108</v>
      </c>
      <c r="E349" s="32" t="n">
        <v>4450</v>
      </c>
      <c r="F349" s="32" t="n">
        <v>1000</v>
      </c>
      <c r="G349" s="32" t="n">
        <v>250</v>
      </c>
      <c r="H349" s="33" t="n">
        <v>1</v>
      </c>
      <c r="I349" s="34" t="n">
        <f aca="false">E349*H349+N(F349)+N(G349)</f>
        <v>5700</v>
      </c>
      <c r="J349" s="32" t="n">
        <f aca="false">ROUND(IFERROR(ROUND(IF(OR(ISNUMBER(SEARCH("week",C349)),ISNUMBER(SEARCH("minggu",C349))),IFERROR(_xlfn.NUMBERVALUE(SUBSTITUTE(LEFT(TRIM(C349),FIND(" ",TRIM(C349)&amp;" ")-1),",","."),"."),LEFT(SUBSTITUTE(LEFT(TRIM(C349),FIND(" ",TRIM(C349)&amp;" ")-1),",","."),FIND("/",SUBSTITUTE(LEFT(TRIM(C349),FIND(" ",TRIM(C349)&amp;" ")-1),",","."))-1)/MID(SUBSTITUTE(LEFT(TRIM(C349),FIND(" ",TRIM(C349)&amp;" ")-1),",","."),FIND("/",SUBSTITUTE(LEFT(TRIM(C349),FIND(" ",TRIM(C349)&amp;" ")-1),",","."))+1,9))*12/52,IF(ISNUMBER(SEARCH("month",C349)),IFERROR(_xlfn.NUMBERVALUE(SUBSTITUTE(LEFT(TRIM(C349),FIND(" ",TRIM(C349)&amp;" ")-1),",","."),"."),LEFT(SUBSTITUTE(LEFT(TRIM(C349),FIND(" ",TRIM(C349)&amp;" ")-1),",","."),FIND("/",SUBSTITUTE(LEFT(TRIM(C349),FIND(" ",TRIM(C349)&amp;" ")-1),",","."))-1)/MID(SUBSTITUTE(LEFT(TRIM(C349),FIND(" ",TRIM(C349)&amp;" ")-1),",","."),FIND("/",SUBSTITUTE(LEFT(TRIM(C349),FIND(" ",TRIM(C349)&amp;" ")-1),",","."))+1,9)),IF(ISNUMBER(SEARCH("yea",C349)),IFERROR(_xlfn.NUMBERVALUE(SUBSTITUTE(LEFT(TRIM(C349),FIND(" ",TRIM(C349)&amp;" ")-1),",","."),"."),LEFT(SUBSTITUTE(LEFT(TRIM(C349),FIND(" ",TRIM(C349)&amp;" ")-1),",","."),FIND("/",SUBSTITUTE(LEFT(TRIM(C349),FIND(" ",TRIM(C349)&amp;" ")-1),",","."))-1)/MID(SUBSTITUTE(LEFT(TRIM(C349),FIND(" ",TRIM(C349)&amp;" ")-1),",","."),FIND("/",SUBSTITUTE(LEFT(TRIM(C349),FIND(" ",TRIM(C349)&amp;" ")-1),",","."))+1,9))*12,NA()))),0),18)*'Aturan &amp; Tarif'!$B$4,2)</f>
        <v>1022.04</v>
      </c>
      <c r="K349" s="32" t="n">
        <f aca="false">'Aturan &amp; Tarif'!$B$5</f>
        <v>2050</v>
      </c>
      <c r="L349" s="32" t="n">
        <f aca="false">'Aturan &amp; Tarif'!$B$6</f>
        <v>350</v>
      </c>
      <c r="M349" s="35" t="n">
        <f aca="false">I349+J349+K349+L349</f>
        <v>9122.04</v>
      </c>
      <c r="N349" s="36" t="s">
        <v>2878</v>
      </c>
    </row>
    <row r="350" customFormat="false" ht="48.75" hidden="false" customHeight="true" outlineLevel="0" collapsed="false">
      <c r="A350" s="29"/>
      <c r="B350" s="30" t="s">
        <v>2879</v>
      </c>
      <c r="C350" s="31" t="s">
        <v>107</v>
      </c>
      <c r="D350" s="31" t="s">
        <v>108</v>
      </c>
      <c r="E350" s="32" t="n">
        <v>4450</v>
      </c>
      <c r="F350" s="32" t="n">
        <v>1000</v>
      </c>
      <c r="G350" s="32" t="n">
        <v>250</v>
      </c>
      <c r="H350" s="33" t="n">
        <v>1</v>
      </c>
      <c r="I350" s="34" t="n">
        <f aca="false">E350*H350+N(F350)+N(G350)</f>
        <v>5700</v>
      </c>
      <c r="J350" s="32" t="n">
        <f aca="false">ROUND(IFERROR(ROUND(IF(OR(ISNUMBER(SEARCH("week",C350)),ISNUMBER(SEARCH("minggu",C350))),IFERROR(_xlfn.NUMBERVALUE(SUBSTITUTE(LEFT(TRIM(C350),FIND(" ",TRIM(C350)&amp;" ")-1),",","."),"."),LEFT(SUBSTITUTE(LEFT(TRIM(C350),FIND(" ",TRIM(C350)&amp;" ")-1),",","."),FIND("/",SUBSTITUTE(LEFT(TRIM(C350),FIND(" ",TRIM(C350)&amp;" ")-1),",","."))-1)/MID(SUBSTITUTE(LEFT(TRIM(C350),FIND(" ",TRIM(C350)&amp;" ")-1),",","."),FIND("/",SUBSTITUTE(LEFT(TRIM(C350),FIND(" ",TRIM(C350)&amp;" ")-1),",","."))+1,9))*12/52,IF(ISNUMBER(SEARCH("month",C350)),IFERROR(_xlfn.NUMBERVALUE(SUBSTITUTE(LEFT(TRIM(C350),FIND(" ",TRIM(C350)&amp;" ")-1),",","."),"."),LEFT(SUBSTITUTE(LEFT(TRIM(C350),FIND(" ",TRIM(C350)&amp;" ")-1),",","."),FIND("/",SUBSTITUTE(LEFT(TRIM(C350),FIND(" ",TRIM(C350)&amp;" ")-1),",","."))-1)/MID(SUBSTITUTE(LEFT(TRIM(C350),FIND(" ",TRIM(C350)&amp;" ")-1),",","."),FIND("/",SUBSTITUTE(LEFT(TRIM(C350),FIND(" ",TRIM(C350)&amp;" ")-1),",","."))+1,9)),IF(ISNUMBER(SEARCH("yea",C350)),IFERROR(_xlfn.NUMBERVALUE(SUBSTITUTE(LEFT(TRIM(C350),FIND(" ",TRIM(C350)&amp;" ")-1),",","."),"."),LEFT(SUBSTITUTE(LEFT(TRIM(C350),FIND(" ",TRIM(C350)&amp;" ")-1),",","."),FIND("/",SUBSTITUTE(LEFT(TRIM(C350),FIND(" ",TRIM(C350)&amp;" ")-1),",","."))-1)/MID(SUBSTITUTE(LEFT(TRIM(C350),FIND(" ",TRIM(C350)&amp;" ")-1),",","."),FIND("/",SUBSTITUTE(LEFT(TRIM(C350),FIND(" ",TRIM(C350)&amp;" ")-1),",","."))+1,9))*12,NA()))),0),24)*'Aturan &amp; Tarif'!$B$4,2)</f>
        <v>1362.72</v>
      </c>
      <c r="K350" s="32" t="n">
        <f aca="false">'Aturan &amp; Tarif'!$B$5</f>
        <v>2050</v>
      </c>
      <c r="L350" s="32" t="n">
        <f aca="false">'Aturan &amp; Tarif'!$B$6</f>
        <v>350</v>
      </c>
      <c r="M350" s="35" t="n">
        <f aca="false">I350+J350+K350+L350</f>
        <v>9462.72</v>
      </c>
      <c r="N350" s="36" t="s">
        <v>2880</v>
      </c>
    </row>
    <row r="351" customFormat="false" ht="37.5" hidden="false" customHeight="true" outlineLevel="0" collapsed="false">
      <c r="A351" s="39" t="s">
        <v>2881</v>
      </c>
      <c r="B351" s="40" t="s">
        <v>2234</v>
      </c>
      <c r="C351" s="41" t="s">
        <v>127</v>
      </c>
      <c r="D351" s="41" t="s">
        <v>108</v>
      </c>
      <c r="E351" s="42" t="n">
        <v>4500</v>
      </c>
      <c r="F351" s="42" t="n">
        <v>1500</v>
      </c>
      <c r="G351" s="42" t="n">
        <v>250</v>
      </c>
      <c r="H351" s="43" t="n">
        <v>2</v>
      </c>
      <c r="I351" s="34" t="n">
        <f aca="false">E351*H351+N(F351)+N(G351)</f>
        <v>10750</v>
      </c>
      <c r="J351" s="42" t="n">
        <f aca="false">ROUND(IFERROR(ROUND(IF(OR(ISNUMBER(SEARCH("week",C351)),ISNUMBER(SEARCH("minggu",C351))),IFERROR(_xlfn.NUMBERVALUE(SUBSTITUTE(LEFT(TRIM(C351),FIND(" ",TRIM(C351)&amp;" ")-1),",","."),"."),LEFT(SUBSTITUTE(LEFT(TRIM(C351),FIND(" ",TRIM(C351)&amp;" ")-1),",","."),FIND("/",SUBSTITUTE(LEFT(TRIM(C351),FIND(" ",TRIM(C351)&amp;" ")-1),",","."))-1)/MID(SUBSTITUTE(LEFT(TRIM(C351),FIND(" ",TRIM(C351)&amp;" ")-1),",","."),FIND("/",SUBSTITUTE(LEFT(TRIM(C351),FIND(" ",TRIM(C351)&amp;" ")-1),",","."))+1,9))*12/52,IF(ISNUMBER(SEARCH("month",C351)),IFERROR(_xlfn.NUMBERVALUE(SUBSTITUTE(LEFT(TRIM(C351),FIND(" ",TRIM(C351)&amp;" ")-1),",","."),"."),LEFT(SUBSTITUTE(LEFT(TRIM(C351),FIND(" ",TRIM(C351)&amp;" ")-1),",","."),FIND("/",SUBSTITUTE(LEFT(TRIM(C351),FIND(" ",TRIM(C351)&amp;" ")-1),",","."))-1)/MID(SUBSTITUTE(LEFT(TRIM(C351),FIND(" ",TRIM(C351)&amp;" ")-1),",","."),FIND("/",SUBSTITUTE(LEFT(TRIM(C351),FIND(" ",TRIM(C351)&amp;" ")-1),",","."))+1,9)),IF(ISNUMBER(SEARCH("yea",C351)),IFERROR(_xlfn.NUMBERVALUE(SUBSTITUTE(LEFT(TRIM(C351),FIND(" ",TRIM(C351)&amp;" ")-1),",","."),"."),LEFT(SUBSTITUTE(LEFT(TRIM(C351),FIND(" ",TRIM(C351)&amp;" ")-1),",","."),FIND("/",SUBSTITUTE(LEFT(TRIM(C351),FIND(" ",TRIM(C351)&amp;" ")-1),",","."))-1)/MID(SUBSTITUTE(LEFT(TRIM(C351),FIND(" ",TRIM(C351)&amp;" ")-1),",","."),FIND("/",SUBSTITUTE(LEFT(TRIM(C351),FIND(" ",TRIM(C351)&amp;" ")-1),",","."))+1,9))*12,NA()))),0),36)*'Aturan &amp; Tarif'!$B$4,2)</f>
        <v>2044.08</v>
      </c>
      <c r="K351" s="42" t="n">
        <f aca="false">'Aturan &amp; Tarif'!$B$5</f>
        <v>2050</v>
      </c>
      <c r="L351" s="42" t="n">
        <f aca="false">'Aturan &amp; Tarif'!$B$6</f>
        <v>350</v>
      </c>
      <c r="M351" s="35" t="n">
        <f aca="false">I351+J351+K351+L351</f>
        <v>15194.08</v>
      </c>
      <c r="N351" s="45" t="s">
        <v>2882</v>
      </c>
    </row>
    <row r="352" customFormat="false" ht="14.25" hidden="false" customHeight="true" outlineLevel="0" collapsed="false">
      <c r="A352" s="39"/>
      <c r="B352" s="40" t="s">
        <v>2236</v>
      </c>
      <c r="C352" s="41" t="s">
        <v>107</v>
      </c>
      <c r="D352" s="41" t="s">
        <v>108</v>
      </c>
      <c r="E352" s="42" t="n">
        <v>5500</v>
      </c>
      <c r="F352" s="42" t="n">
        <v>960</v>
      </c>
      <c r="G352" s="42" t="n">
        <v>250</v>
      </c>
      <c r="H352" s="43" t="n">
        <v>2</v>
      </c>
      <c r="I352" s="34" t="n">
        <f aca="false">E352*H352+N(F352)+N(G352)</f>
        <v>12210</v>
      </c>
      <c r="J352" s="42" t="n">
        <f aca="false">ROUND(IFERROR(ROUND(IF(OR(ISNUMBER(SEARCH("week",C352)),ISNUMBER(SEARCH("minggu",C352))),IFERROR(_xlfn.NUMBERVALUE(SUBSTITUTE(LEFT(TRIM(C352),FIND(" ",TRIM(C352)&amp;" ")-1),",","."),"."),LEFT(SUBSTITUTE(LEFT(TRIM(C352),FIND(" ",TRIM(C352)&amp;" ")-1),",","."),FIND("/",SUBSTITUTE(LEFT(TRIM(C352),FIND(" ",TRIM(C352)&amp;" ")-1),",","."))-1)/MID(SUBSTITUTE(LEFT(TRIM(C352),FIND(" ",TRIM(C352)&amp;" ")-1),",","."),FIND("/",SUBSTITUTE(LEFT(TRIM(C352),FIND(" ",TRIM(C352)&amp;" ")-1),",","."))+1,9))*12/52,IF(ISNUMBER(SEARCH("month",C352)),IFERROR(_xlfn.NUMBERVALUE(SUBSTITUTE(LEFT(TRIM(C352),FIND(" ",TRIM(C352)&amp;" ")-1),",","."),"."),LEFT(SUBSTITUTE(LEFT(TRIM(C352),FIND(" ",TRIM(C352)&amp;" ")-1),",","."),FIND("/",SUBSTITUTE(LEFT(TRIM(C352),FIND(" ",TRIM(C352)&amp;" ")-1),",","."))-1)/MID(SUBSTITUTE(LEFT(TRIM(C352),FIND(" ",TRIM(C352)&amp;" ")-1),",","."),FIND("/",SUBSTITUTE(LEFT(TRIM(C352),FIND(" ",TRIM(C352)&amp;" ")-1),",","."))+1,9)),IF(ISNUMBER(SEARCH("yea",C352)),IFERROR(_xlfn.NUMBERVALUE(SUBSTITUTE(LEFT(TRIM(C352),FIND(" ",TRIM(C352)&amp;" ")-1),",","."),"."),LEFT(SUBSTITUTE(LEFT(TRIM(C352),FIND(" ",TRIM(C352)&amp;" ")-1),",","."),FIND("/",SUBSTITUTE(LEFT(TRIM(C352),FIND(" ",TRIM(C352)&amp;" ")-1),",","."))-1)/MID(SUBSTITUTE(LEFT(TRIM(C352),FIND(" ",TRIM(C352)&amp;" ")-1),",","."),FIND("/",SUBSTITUTE(LEFT(TRIM(C352),FIND(" ",TRIM(C352)&amp;" ")-1),",","."))+1,9))*12,NA()))),0),24)*'Aturan &amp; Tarif'!$B$4,2)</f>
        <v>1362.72</v>
      </c>
      <c r="K352" s="42" t="n">
        <f aca="false">'Aturan &amp; Tarif'!$B$5</f>
        <v>2050</v>
      </c>
      <c r="L352" s="42" t="n">
        <f aca="false">'Aturan &amp; Tarif'!$B$6</f>
        <v>350</v>
      </c>
      <c r="M352" s="35" t="n">
        <f aca="false">I352+J352+K352+L352</f>
        <v>15972.72</v>
      </c>
      <c r="N352" s="45" t="s">
        <v>2883</v>
      </c>
    </row>
    <row r="353" customFormat="false" ht="25.5" hidden="false" customHeight="true" outlineLevel="0" collapsed="false">
      <c r="A353" s="39"/>
      <c r="B353" s="40" t="s">
        <v>2238</v>
      </c>
      <c r="C353" s="41" t="s">
        <v>127</v>
      </c>
      <c r="D353" s="41" t="s">
        <v>108</v>
      </c>
      <c r="E353" s="42" t="n">
        <v>4000</v>
      </c>
      <c r="F353" s="42" t="n">
        <v>750</v>
      </c>
      <c r="G353" s="42" t="n">
        <v>250</v>
      </c>
      <c r="H353" s="43" t="n">
        <v>2</v>
      </c>
      <c r="I353" s="34" t="n">
        <f aca="false">E353*H353+N(F353)+N(G353)</f>
        <v>9000</v>
      </c>
      <c r="J353" s="42" t="n">
        <f aca="false">ROUND(IFERROR(ROUND(IF(OR(ISNUMBER(SEARCH("week",C353)),ISNUMBER(SEARCH("minggu",C353))),IFERROR(_xlfn.NUMBERVALUE(SUBSTITUTE(LEFT(TRIM(C353),FIND(" ",TRIM(C353)&amp;" ")-1),",","."),"."),LEFT(SUBSTITUTE(LEFT(TRIM(C353),FIND(" ",TRIM(C353)&amp;" ")-1),",","."),FIND("/",SUBSTITUTE(LEFT(TRIM(C353),FIND(" ",TRIM(C353)&amp;" ")-1),",","."))-1)/MID(SUBSTITUTE(LEFT(TRIM(C353),FIND(" ",TRIM(C353)&amp;" ")-1),",","."),FIND("/",SUBSTITUTE(LEFT(TRIM(C353),FIND(" ",TRIM(C353)&amp;" ")-1),",","."))+1,9))*12/52,IF(ISNUMBER(SEARCH("month",C353)),IFERROR(_xlfn.NUMBERVALUE(SUBSTITUTE(LEFT(TRIM(C353),FIND(" ",TRIM(C353)&amp;" ")-1),",","."),"."),LEFT(SUBSTITUTE(LEFT(TRIM(C353),FIND(" ",TRIM(C353)&amp;" ")-1),",","."),FIND("/",SUBSTITUTE(LEFT(TRIM(C353),FIND(" ",TRIM(C353)&amp;" ")-1),",","."))-1)/MID(SUBSTITUTE(LEFT(TRIM(C353),FIND(" ",TRIM(C353)&amp;" ")-1),",","."),FIND("/",SUBSTITUTE(LEFT(TRIM(C353),FIND(" ",TRIM(C353)&amp;" ")-1),",","."))+1,9)),IF(ISNUMBER(SEARCH("yea",C353)),IFERROR(_xlfn.NUMBERVALUE(SUBSTITUTE(LEFT(TRIM(C353),FIND(" ",TRIM(C353)&amp;" ")-1),",","."),"."),LEFT(SUBSTITUTE(LEFT(TRIM(C353),FIND(" ",TRIM(C353)&amp;" ")-1),",","."),FIND("/",SUBSTITUTE(LEFT(TRIM(C353),FIND(" ",TRIM(C353)&amp;" ")-1),",","."))-1)/MID(SUBSTITUTE(LEFT(TRIM(C353),FIND(" ",TRIM(C353)&amp;" ")-1),",","."),FIND("/",SUBSTITUTE(LEFT(TRIM(C353),FIND(" ",TRIM(C353)&amp;" ")-1),",","."))+1,9))*12,NA()))),0),36)*'Aturan &amp; Tarif'!$B$4,2)</f>
        <v>2044.08</v>
      </c>
      <c r="K353" s="42" t="n">
        <f aca="false">'Aturan &amp; Tarif'!$B$5</f>
        <v>2050</v>
      </c>
      <c r="L353" s="42" t="n">
        <f aca="false">'Aturan &amp; Tarif'!$B$6</f>
        <v>350</v>
      </c>
      <c r="M353" s="35" t="n">
        <f aca="false">I353+J353+K353+L353</f>
        <v>13444.08</v>
      </c>
      <c r="N353" s="45" t="s">
        <v>2884</v>
      </c>
    </row>
    <row r="354" customFormat="false" ht="14.25" hidden="false" customHeight="true" outlineLevel="0" collapsed="false">
      <c r="A354" s="39"/>
      <c r="B354" s="40" t="s">
        <v>2240</v>
      </c>
      <c r="C354" s="41" t="s">
        <v>107</v>
      </c>
      <c r="D354" s="41" t="s">
        <v>108</v>
      </c>
      <c r="E354" s="42" t="n">
        <v>4250</v>
      </c>
      <c r="F354" s="42" t="n">
        <v>1000</v>
      </c>
      <c r="G354" s="42" t="n">
        <v>250</v>
      </c>
      <c r="H354" s="43" t="n">
        <v>2</v>
      </c>
      <c r="I354" s="34" t="n">
        <f aca="false">E354*H354+N(F354)+N(G354)</f>
        <v>9750</v>
      </c>
      <c r="J354" s="42" t="n">
        <f aca="false">ROUND(IFERROR(ROUND(IF(OR(ISNUMBER(SEARCH("week",C354)),ISNUMBER(SEARCH("minggu",C354))),IFERROR(_xlfn.NUMBERVALUE(SUBSTITUTE(LEFT(TRIM(C354),FIND(" ",TRIM(C354)&amp;" ")-1),",","."),"."),LEFT(SUBSTITUTE(LEFT(TRIM(C354),FIND(" ",TRIM(C354)&amp;" ")-1),",","."),FIND("/",SUBSTITUTE(LEFT(TRIM(C354),FIND(" ",TRIM(C354)&amp;" ")-1),",","."))-1)/MID(SUBSTITUTE(LEFT(TRIM(C354),FIND(" ",TRIM(C354)&amp;" ")-1),",","."),FIND("/",SUBSTITUTE(LEFT(TRIM(C354),FIND(" ",TRIM(C354)&amp;" ")-1),",","."))+1,9))*12/52,IF(ISNUMBER(SEARCH("month",C354)),IFERROR(_xlfn.NUMBERVALUE(SUBSTITUTE(LEFT(TRIM(C354),FIND(" ",TRIM(C354)&amp;" ")-1),",","."),"."),LEFT(SUBSTITUTE(LEFT(TRIM(C354),FIND(" ",TRIM(C354)&amp;" ")-1),",","."),FIND("/",SUBSTITUTE(LEFT(TRIM(C354),FIND(" ",TRIM(C354)&amp;" ")-1),",","."))-1)/MID(SUBSTITUTE(LEFT(TRIM(C354),FIND(" ",TRIM(C354)&amp;" ")-1),",","."),FIND("/",SUBSTITUTE(LEFT(TRIM(C354),FIND(" ",TRIM(C354)&amp;" ")-1),",","."))+1,9)),IF(ISNUMBER(SEARCH("yea",C354)),IFERROR(_xlfn.NUMBERVALUE(SUBSTITUTE(LEFT(TRIM(C354),FIND(" ",TRIM(C354)&amp;" ")-1),",","."),"."),LEFT(SUBSTITUTE(LEFT(TRIM(C354),FIND(" ",TRIM(C354)&amp;" ")-1),",","."),FIND("/",SUBSTITUTE(LEFT(TRIM(C354),FIND(" ",TRIM(C354)&amp;" ")-1),",","."))-1)/MID(SUBSTITUTE(LEFT(TRIM(C354),FIND(" ",TRIM(C354)&amp;" ")-1),",","."),FIND("/",SUBSTITUTE(LEFT(TRIM(C354),FIND(" ",TRIM(C354)&amp;" ")-1),",","."))+1,9))*12,NA()))),0),24)*'Aturan &amp; Tarif'!$B$4,2)</f>
        <v>1362.72</v>
      </c>
      <c r="K354" s="42" t="n">
        <f aca="false">'Aturan &amp; Tarif'!$B$5</f>
        <v>2050</v>
      </c>
      <c r="L354" s="42" t="n">
        <f aca="false">'Aturan &amp; Tarif'!$B$6</f>
        <v>350</v>
      </c>
      <c r="M354" s="35" t="n">
        <f aca="false">I354+J354+K354+L354</f>
        <v>13512.72</v>
      </c>
      <c r="N354" s="45" t="s">
        <v>2885</v>
      </c>
    </row>
    <row r="355" customFormat="false" ht="37.5" hidden="false" customHeight="true" outlineLevel="0" collapsed="false">
      <c r="A355" s="39"/>
      <c r="B355" s="40" t="s">
        <v>2242</v>
      </c>
      <c r="C355" s="41" t="s">
        <v>191</v>
      </c>
      <c r="D355" s="41" t="s">
        <v>108</v>
      </c>
      <c r="E355" s="42" t="n">
        <v>5500</v>
      </c>
      <c r="F355" s="42" t="n">
        <v>2000</v>
      </c>
      <c r="G355" s="42" t="n">
        <v>250</v>
      </c>
      <c r="H355" s="43" t="n">
        <v>2</v>
      </c>
      <c r="I355" s="34" t="n">
        <f aca="false">E355*H355+N(F355)+N(G355)</f>
        <v>13250</v>
      </c>
      <c r="J355" s="42" t="n">
        <f aca="false">ROUND(IFERROR(ROUND(IF(OR(ISNUMBER(SEARCH("week",C355)),ISNUMBER(SEARCH("minggu",C355))),IFERROR(_xlfn.NUMBERVALUE(SUBSTITUTE(LEFT(TRIM(C355),FIND(" ",TRIM(C355)&amp;" ")-1),",","."),"."),LEFT(SUBSTITUTE(LEFT(TRIM(C355),FIND(" ",TRIM(C355)&amp;" ")-1),",","."),FIND("/",SUBSTITUTE(LEFT(TRIM(C355),FIND(" ",TRIM(C355)&amp;" ")-1),",","."))-1)/MID(SUBSTITUTE(LEFT(TRIM(C355),FIND(" ",TRIM(C355)&amp;" ")-1),",","."),FIND("/",SUBSTITUTE(LEFT(TRIM(C355),FIND(" ",TRIM(C355)&amp;" ")-1),",","."))+1,9))*12/52,IF(ISNUMBER(SEARCH("month",C355)),IFERROR(_xlfn.NUMBERVALUE(SUBSTITUTE(LEFT(TRIM(C355),FIND(" ",TRIM(C355)&amp;" ")-1),",","."),"."),LEFT(SUBSTITUTE(LEFT(TRIM(C355),FIND(" ",TRIM(C355)&amp;" ")-1),",","."),FIND("/",SUBSTITUTE(LEFT(TRIM(C355),FIND(" ",TRIM(C355)&amp;" ")-1),",","."))-1)/MID(SUBSTITUTE(LEFT(TRIM(C355),FIND(" ",TRIM(C355)&amp;" ")-1),",","."),FIND("/",SUBSTITUTE(LEFT(TRIM(C355),FIND(" ",TRIM(C355)&amp;" ")-1),",","."))+1,9)),IF(ISNUMBER(SEARCH("yea",C355)),IFERROR(_xlfn.NUMBERVALUE(SUBSTITUTE(LEFT(TRIM(C355),FIND(" ",TRIM(C355)&amp;" ")-1),",","."),"."),LEFT(SUBSTITUTE(LEFT(TRIM(C355),FIND(" ",TRIM(C355)&amp;" ")-1),",","."),FIND("/",SUBSTITUTE(LEFT(TRIM(C355),FIND(" ",TRIM(C355)&amp;" ")-1),",","."))-1)/MID(SUBSTITUTE(LEFT(TRIM(C355),FIND(" ",TRIM(C355)&amp;" ")-1),",","."),FIND("/",SUBSTITUTE(LEFT(TRIM(C355),FIND(" ",TRIM(C355)&amp;" ")-1),",","."))+1,9))*12,NA()))),0),48)*'Aturan &amp; Tarif'!$B$4,2)</f>
        <v>2725.44</v>
      </c>
      <c r="K355" s="42" t="n">
        <f aca="false">'Aturan &amp; Tarif'!$B$5</f>
        <v>2050</v>
      </c>
      <c r="L355" s="42" t="n">
        <f aca="false">'Aturan &amp; Tarif'!$B$6</f>
        <v>350</v>
      </c>
      <c r="M355" s="35" t="n">
        <f aca="false">I355+J355+K355+L355</f>
        <v>18375.44</v>
      </c>
      <c r="N355" s="45" t="s">
        <v>2886</v>
      </c>
    </row>
    <row r="356" customFormat="false" ht="25.5" hidden="false" customHeight="true" outlineLevel="0" collapsed="false">
      <c r="A356" s="39"/>
      <c r="B356" s="40" t="s">
        <v>2244</v>
      </c>
      <c r="C356" s="41" t="s">
        <v>107</v>
      </c>
      <c r="D356" s="41" t="s">
        <v>108</v>
      </c>
      <c r="E356" s="42" t="n">
        <v>4250</v>
      </c>
      <c r="F356" s="42" t="n">
        <v>1000</v>
      </c>
      <c r="G356" s="42" t="n">
        <v>250</v>
      </c>
      <c r="H356" s="43" t="n">
        <v>2</v>
      </c>
      <c r="I356" s="34" t="n">
        <f aca="false">E356*H356+N(F356)+N(G356)</f>
        <v>9750</v>
      </c>
      <c r="J356" s="42" t="n">
        <f aca="false">ROUND(IFERROR(ROUND(IF(OR(ISNUMBER(SEARCH("week",C356)),ISNUMBER(SEARCH("minggu",C356))),IFERROR(_xlfn.NUMBERVALUE(SUBSTITUTE(LEFT(TRIM(C356),FIND(" ",TRIM(C356)&amp;" ")-1),",","."),"."),LEFT(SUBSTITUTE(LEFT(TRIM(C356),FIND(" ",TRIM(C356)&amp;" ")-1),",","."),FIND("/",SUBSTITUTE(LEFT(TRIM(C356),FIND(" ",TRIM(C356)&amp;" ")-1),",","."))-1)/MID(SUBSTITUTE(LEFT(TRIM(C356),FIND(" ",TRIM(C356)&amp;" ")-1),",","."),FIND("/",SUBSTITUTE(LEFT(TRIM(C356),FIND(" ",TRIM(C356)&amp;" ")-1),",","."))+1,9))*12/52,IF(ISNUMBER(SEARCH("month",C356)),IFERROR(_xlfn.NUMBERVALUE(SUBSTITUTE(LEFT(TRIM(C356),FIND(" ",TRIM(C356)&amp;" ")-1),",","."),"."),LEFT(SUBSTITUTE(LEFT(TRIM(C356),FIND(" ",TRIM(C356)&amp;" ")-1),",","."),FIND("/",SUBSTITUTE(LEFT(TRIM(C356),FIND(" ",TRIM(C356)&amp;" ")-1),",","."))-1)/MID(SUBSTITUTE(LEFT(TRIM(C356),FIND(" ",TRIM(C356)&amp;" ")-1),",","."),FIND("/",SUBSTITUTE(LEFT(TRIM(C356),FIND(" ",TRIM(C356)&amp;" ")-1),",","."))+1,9)),IF(ISNUMBER(SEARCH("yea",C356)),IFERROR(_xlfn.NUMBERVALUE(SUBSTITUTE(LEFT(TRIM(C356),FIND(" ",TRIM(C356)&amp;" ")-1),",","."),"."),LEFT(SUBSTITUTE(LEFT(TRIM(C356),FIND(" ",TRIM(C356)&amp;" ")-1),",","."),FIND("/",SUBSTITUTE(LEFT(TRIM(C356),FIND(" ",TRIM(C356)&amp;" ")-1),",","."))-1)/MID(SUBSTITUTE(LEFT(TRIM(C356),FIND(" ",TRIM(C356)&amp;" ")-1),",","."),FIND("/",SUBSTITUTE(LEFT(TRIM(C356),FIND(" ",TRIM(C356)&amp;" ")-1),",","."))+1,9))*12,NA()))),0),24)*'Aturan &amp; Tarif'!$B$4,2)</f>
        <v>1362.72</v>
      </c>
      <c r="K356" s="42" t="n">
        <f aca="false">'Aturan &amp; Tarif'!$B$5</f>
        <v>2050</v>
      </c>
      <c r="L356" s="42" t="n">
        <f aca="false">'Aturan &amp; Tarif'!$B$6</f>
        <v>350</v>
      </c>
      <c r="M356" s="35" t="n">
        <f aca="false">I356+J356+K356+L356</f>
        <v>13512.72</v>
      </c>
      <c r="N356" s="45" t="s">
        <v>2885</v>
      </c>
    </row>
    <row r="357" customFormat="false" ht="14.25" hidden="false" customHeight="true" outlineLevel="0" collapsed="false">
      <c r="A357" s="39"/>
      <c r="B357" s="40" t="s">
        <v>2245</v>
      </c>
      <c r="C357" s="41" t="s">
        <v>127</v>
      </c>
      <c r="D357" s="41" t="s">
        <v>108</v>
      </c>
      <c r="E357" s="42" t="n">
        <v>4500</v>
      </c>
      <c r="F357" s="42" t="n">
        <v>750</v>
      </c>
      <c r="G357" s="42" t="n">
        <v>250</v>
      </c>
      <c r="H357" s="43" t="n">
        <v>2</v>
      </c>
      <c r="I357" s="34" t="n">
        <f aca="false">E357*H357+N(F357)+N(G357)</f>
        <v>10000</v>
      </c>
      <c r="J357" s="42" t="n">
        <f aca="false">ROUND(IFERROR(ROUND(IF(OR(ISNUMBER(SEARCH("week",C357)),ISNUMBER(SEARCH("minggu",C357))),IFERROR(_xlfn.NUMBERVALUE(SUBSTITUTE(LEFT(TRIM(C357),FIND(" ",TRIM(C357)&amp;" ")-1),",","."),"."),LEFT(SUBSTITUTE(LEFT(TRIM(C357),FIND(" ",TRIM(C357)&amp;" ")-1),",","."),FIND("/",SUBSTITUTE(LEFT(TRIM(C357),FIND(" ",TRIM(C357)&amp;" ")-1),",","."))-1)/MID(SUBSTITUTE(LEFT(TRIM(C357),FIND(" ",TRIM(C357)&amp;" ")-1),",","."),FIND("/",SUBSTITUTE(LEFT(TRIM(C357),FIND(" ",TRIM(C357)&amp;" ")-1),",","."))+1,9))*12/52,IF(ISNUMBER(SEARCH("month",C357)),IFERROR(_xlfn.NUMBERVALUE(SUBSTITUTE(LEFT(TRIM(C357),FIND(" ",TRIM(C357)&amp;" ")-1),",","."),"."),LEFT(SUBSTITUTE(LEFT(TRIM(C357),FIND(" ",TRIM(C357)&amp;" ")-1),",","."),FIND("/",SUBSTITUTE(LEFT(TRIM(C357),FIND(" ",TRIM(C357)&amp;" ")-1),",","."))-1)/MID(SUBSTITUTE(LEFT(TRIM(C357),FIND(" ",TRIM(C357)&amp;" ")-1),",","."),FIND("/",SUBSTITUTE(LEFT(TRIM(C357),FIND(" ",TRIM(C357)&amp;" ")-1),",","."))+1,9)),IF(ISNUMBER(SEARCH("yea",C357)),IFERROR(_xlfn.NUMBERVALUE(SUBSTITUTE(LEFT(TRIM(C357),FIND(" ",TRIM(C357)&amp;" ")-1),",","."),"."),LEFT(SUBSTITUTE(LEFT(TRIM(C357),FIND(" ",TRIM(C357)&amp;" ")-1),",","."),FIND("/",SUBSTITUTE(LEFT(TRIM(C357),FIND(" ",TRIM(C357)&amp;" ")-1),",","."))-1)/MID(SUBSTITUTE(LEFT(TRIM(C357),FIND(" ",TRIM(C357)&amp;" ")-1),",","."),FIND("/",SUBSTITUTE(LEFT(TRIM(C357),FIND(" ",TRIM(C357)&amp;" ")-1),",","."))+1,9))*12,NA()))),0),36)*'Aturan &amp; Tarif'!$B$4,2)</f>
        <v>2044.08</v>
      </c>
      <c r="K357" s="42" t="n">
        <f aca="false">'Aturan &amp; Tarif'!$B$5</f>
        <v>2050</v>
      </c>
      <c r="L357" s="42" t="n">
        <f aca="false">'Aturan &amp; Tarif'!$B$6</f>
        <v>350</v>
      </c>
      <c r="M357" s="35" t="n">
        <f aca="false">I357+J357+K357+L357</f>
        <v>14444.08</v>
      </c>
      <c r="N357" s="45" t="s">
        <v>2887</v>
      </c>
    </row>
    <row r="358" customFormat="false" ht="14.25" hidden="false" customHeight="true" outlineLevel="0" collapsed="false">
      <c r="A358" s="39"/>
      <c r="B358" s="40" t="s">
        <v>2247</v>
      </c>
      <c r="C358" s="41" t="s">
        <v>191</v>
      </c>
      <c r="D358" s="41" t="s">
        <v>108</v>
      </c>
      <c r="E358" s="42" t="n">
        <v>4500</v>
      </c>
      <c r="F358" s="42" t="n">
        <v>2000</v>
      </c>
      <c r="G358" s="42" t="n">
        <v>250</v>
      </c>
      <c r="H358" s="43" t="n">
        <v>2</v>
      </c>
      <c r="I358" s="34" t="n">
        <f aca="false">E358*H358+N(F358)+N(G358)</f>
        <v>11250</v>
      </c>
      <c r="J358" s="42" t="n">
        <f aca="false">ROUND(IFERROR(ROUND(IF(OR(ISNUMBER(SEARCH("week",C358)),ISNUMBER(SEARCH("minggu",C358))),IFERROR(_xlfn.NUMBERVALUE(SUBSTITUTE(LEFT(TRIM(C358),FIND(" ",TRIM(C358)&amp;" ")-1),",","."),"."),LEFT(SUBSTITUTE(LEFT(TRIM(C358),FIND(" ",TRIM(C358)&amp;" ")-1),",","."),FIND("/",SUBSTITUTE(LEFT(TRIM(C358),FIND(" ",TRIM(C358)&amp;" ")-1),",","."))-1)/MID(SUBSTITUTE(LEFT(TRIM(C358),FIND(" ",TRIM(C358)&amp;" ")-1),",","."),FIND("/",SUBSTITUTE(LEFT(TRIM(C358),FIND(" ",TRIM(C358)&amp;" ")-1),",","."))+1,9))*12/52,IF(ISNUMBER(SEARCH("month",C358)),IFERROR(_xlfn.NUMBERVALUE(SUBSTITUTE(LEFT(TRIM(C358),FIND(" ",TRIM(C358)&amp;" ")-1),",","."),"."),LEFT(SUBSTITUTE(LEFT(TRIM(C358),FIND(" ",TRIM(C358)&amp;" ")-1),",","."),FIND("/",SUBSTITUTE(LEFT(TRIM(C358),FIND(" ",TRIM(C358)&amp;" ")-1),",","."))-1)/MID(SUBSTITUTE(LEFT(TRIM(C358),FIND(" ",TRIM(C358)&amp;" ")-1),",","."),FIND("/",SUBSTITUTE(LEFT(TRIM(C358),FIND(" ",TRIM(C358)&amp;" ")-1),",","."))+1,9)),IF(ISNUMBER(SEARCH("yea",C358)),IFERROR(_xlfn.NUMBERVALUE(SUBSTITUTE(LEFT(TRIM(C358),FIND(" ",TRIM(C358)&amp;" ")-1),",","."),"."),LEFT(SUBSTITUTE(LEFT(TRIM(C358),FIND(" ",TRIM(C358)&amp;" ")-1),",","."),FIND("/",SUBSTITUTE(LEFT(TRIM(C358),FIND(" ",TRIM(C358)&amp;" ")-1),",","."))-1)/MID(SUBSTITUTE(LEFT(TRIM(C358),FIND(" ",TRIM(C358)&amp;" ")-1),",","."),FIND("/",SUBSTITUTE(LEFT(TRIM(C358),FIND(" ",TRIM(C358)&amp;" ")-1),",","."))+1,9))*12,NA()))),0),48)*'Aturan &amp; Tarif'!$B$4,2)</f>
        <v>2725.44</v>
      </c>
      <c r="K358" s="42" t="n">
        <f aca="false">'Aturan &amp; Tarif'!$B$5</f>
        <v>2050</v>
      </c>
      <c r="L358" s="42" t="n">
        <f aca="false">'Aturan &amp; Tarif'!$B$6</f>
        <v>350</v>
      </c>
      <c r="M358" s="35" t="n">
        <f aca="false">I358+J358+K358+L358</f>
        <v>16375.44</v>
      </c>
      <c r="N358" s="45" t="s">
        <v>2888</v>
      </c>
    </row>
    <row r="359" customFormat="false" ht="48.75" hidden="false" customHeight="true" outlineLevel="0" collapsed="false">
      <c r="A359" s="39"/>
      <c r="B359" s="40" t="s">
        <v>2249</v>
      </c>
      <c r="C359" s="41" t="s">
        <v>107</v>
      </c>
      <c r="D359" s="41" t="s">
        <v>108</v>
      </c>
      <c r="E359" s="42" t="n">
        <v>4500</v>
      </c>
      <c r="F359" s="42" t="n">
        <v>1000</v>
      </c>
      <c r="G359" s="42" t="n">
        <v>250</v>
      </c>
      <c r="H359" s="43" t="n">
        <v>2</v>
      </c>
      <c r="I359" s="34" t="n">
        <f aca="false">E359*H359+N(F359)+N(G359)</f>
        <v>10250</v>
      </c>
      <c r="J359" s="42" t="n">
        <f aca="false">ROUND(IFERROR(ROUND(IF(OR(ISNUMBER(SEARCH("week",C359)),ISNUMBER(SEARCH("minggu",C359))),IFERROR(_xlfn.NUMBERVALUE(SUBSTITUTE(LEFT(TRIM(C359),FIND(" ",TRIM(C359)&amp;" ")-1),",","."),"."),LEFT(SUBSTITUTE(LEFT(TRIM(C359),FIND(" ",TRIM(C359)&amp;" ")-1),",","."),FIND("/",SUBSTITUTE(LEFT(TRIM(C359),FIND(" ",TRIM(C359)&amp;" ")-1),",","."))-1)/MID(SUBSTITUTE(LEFT(TRIM(C359),FIND(" ",TRIM(C359)&amp;" ")-1),",","."),FIND("/",SUBSTITUTE(LEFT(TRIM(C359),FIND(" ",TRIM(C359)&amp;" ")-1),",","."))+1,9))*12/52,IF(ISNUMBER(SEARCH("month",C359)),IFERROR(_xlfn.NUMBERVALUE(SUBSTITUTE(LEFT(TRIM(C359),FIND(" ",TRIM(C359)&amp;" ")-1),",","."),"."),LEFT(SUBSTITUTE(LEFT(TRIM(C359),FIND(" ",TRIM(C359)&amp;" ")-1),",","."),FIND("/",SUBSTITUTE(LEFT(TRIM(C359),FIND(" ",TRIM(C359)&amp;" ")-1),",","."))-1)/MID(SUBSTITUTE(LEFT(TRIM(C359),FIND(" ",TRIM(C359)&amp;" ")-1),",","."),FIND("/",SUBSTITUTE(LEFT(TRIM(C359),FIND(" ",TRIM(C359)&amp;" ")-1),",","."))+1,9)),IF(ISNUMBER(SEARCH("yea",C359)),IFERROR(_xlfn.NUMBERVALUE(SUBSTITUTE(LEFT(TRIM(C359),FIND(" ",TRIM(C359)&amp;" ")-1),",","."),"."),LEFT(SUBSTITUTE(LEFT(TRIM(C359),FIND(" ",TRIM(C359)&amp;" ")-1),",","."),FIND("/",SUBSTITUTE(LEFT(TRIM(C359),FIND(" ",TRIM(C359)&amp;" ")-1),",","."))-1)/MID(SUBSTITUTE(LEFT(TRIM(C359),FIND(" ",TRIM(C359)&amp;" ")-1),",","."),FIND("/",SUBSTITUTE(LEFT(TRIM(C359),FIND(" ",TRIM(C359)&amp;" ")-1),",","."))+1,9))*12,NA()))),0),24)*'Aturan &amp; Tarif'!$B$4,2)</f>
        <v>1362.72</v>
      </c>
      <c r="K359" s="42" t="n">
        <f aca="false">'Aturan &amp; Tarif'!$B$5</f>
        <v>2050</v>
      </c>
      <c r="L359" s="42" t="n">
        <f aca="false">'Aturan &amp; Tarif'!$B$6</f>
        <v>350</v>
      </c>
      <c r="M359" s="35" t="n">
        <f aca="false">I359+J359+K359+L359</f>
        <v>14012.72</v>
      </c>
      <c r="N359" s="45" t="s">
        <v>2889</v>
      </c>
    </row>
    <row r="360" customFormat="false" ht="48.75" hidden="false" customHeight="true" outlineLevel="0" collapsed="false">
      <c r="A360" s="29" t="s">
        <v>2890</v>
      </c>
      <c r="B360" s="30" t="s">
        <v>2891</v>
      </c>
      <c r="C360" s="31" t="s">
        <v>107</v>
      </c>
      <c r="D360" s="31" t="s">
        <v>108</v>
      </c>
      <c r="E360" s="32" t="n">
        <v>4000</v>
      </c>
      <c r="F360" s="32" t="n">
        <v>750</v>
      </c>
      <c r="G360" s="32" t="n">
        <v>300</v>
      </c>
      <c r="H360" s="33" t="n">
        <v>1</v>
      </c>
      <c r="I360" s="34" t="n">
        <f aca="false">E360*H360+N(F360)+N(G360)</f>
        <v>5050</v>
      </c>
      <c r="J360" s="32" t="n">
        <f aca="false">ROUND(IFERROR(ROUND(IF(OR(ISNUMBER(SEARCH("week",C360)),ISNUMBER(SEARCH("minggu",C360))),IFERROR(_xlfn.NUMBERVALUE(SUBSTITUTE(LEFT(TRIM(C360),FIND(" ",TRIM(C360)&amp;" ")-1),",","."),"."),LEFT(SUBSTITUTE(LEFT(TRIM(C360),FIND(" ",TRIM(C360)&amp;" ")-1),",","."),FIND("/",SUBSTITUTE(LEFT(TRIM(C360),FIND(" ",TRIM(C360)&amp;" ")-1),",","."))-1)/MID(SUBSTITUTE(LEFT(TRIM(C360),FIND(" ",TRIM(C360)&amp;" ")-1),",","."),FIND("/",SUBSTITUTE(LEFT(TRIM(C360),FIND(" ",TRIM(C360)&amp;" ")-1),",","."))+1,9))*12/52,IF(ISNUMBER(SEARCH("month",C360)),IFERROR(_xlfn.NUMBERVALUE(SUBSTITUTE(LEFT(TRIM(C360),FIND(" ",TRIM(C360)&amp;" ")-1),",","."),"."),LEFT(SUBSTITUTE(LEFT(TRIM(C360),FIND(" ",TRIM(C360)&amp;" ")-1),",","."),FIND("/",SUBSTITUTE(LEFT(TRIM(C360),FIND(" ",TRIM(C360)&amp;" ")-1),",","."))-1)/MID(SUBSTITUTE(LEFT(TRIM(C360),FIND(" ",TRIM(C360)&amp;" ")-1),",","."),FIND("/",SUBSTITUTE(LEFT(TRIM(C360),FIND(" ",TRIM(C360)&amp;" ")-1),",","."))+1,9)),IF(ISNUMBER(SEARCH("yea",C360)),IFERROR(_xlfn.NUMBERVALUE(SUBSTITUTE(LEFT(TRIM(C360),FIND(" ",TRIM(C360)&amp;" ")-1),",","."),"."),LEFT(SUBSTITUTE(LEFT(TRIM(C360),FIND(" ",TRIM(C360)&amp;" ")-1),",","."),FIND("/",SUBSTITUTE(LEFT(TRIM(C360),FIND(" ",TRIM(C360)&amp;" ")-1),",","."))-1)/MID(SUBSTITUTE(LEFT(TRIM(C360),FIND(" ",TRIM(C360)&amp;" ")-1),",","."),FIND("/",SUBSTITUTE(LEFT(TRIM(C360),FIND(" ",TRIM(C360)&amp;" ")-1),",","."))+1,9))*12,NA()))),0),24)*'Aturan &amp; Tarif'!$B$4,2)</f>
        <v>1362.72</v>
      </c>
      <c r="K360" s="32" t="n">
        <f aca="false">'Aturan &amp; Tarif'!$B$5</f>
        <v>2050</v>
      </c>
      <c r="L360" s="32" t="n">
        <f aca="false">'Aturan &amp; Tarif'!$B$6</f>
        <v>350</v>
      </c>
      <c r="M360" s="35" t="n">
        <f aca="false">I360+J360+K360+L360</f>
        <v>8812.72</v>
      </c>
      <c r="N360" s="36" t="s">
        <v>131</v>
      </c>
    </row>
    <row r="361" customFormat="false" ht="25.5" hidden="false" customHeight="true" outlineLevel="0" collapsed="false">
      <c r="A361" s="29"/>
      <c r="B361" s="30" t="s">
        <v>2892</v>
      </c>
      <c r="C361" s="31" t="s">
        <v>127</v>
      </c>
      <c r="D361" s="31" t="s">
        <v>108</v>
      </c>
      <c r="E361" s="32" t="n">
        <v>3300</v>
      </c>
      <c r="F361" s="32" t="n">
        <v>1150</v>
      </c>
      <c r="G361" s="32" t="n">
        <v>300</v>
      </c>
      <c r="H361" s="33" t="n">
        <v>1</v>
      </c>
      <c r="I361" s="34" t="n">
        <f aca="false">E361*H361+N(F361)+N(G361)</f>
        <v>4750</v>
      </c>
      <c r="J361" s="32" t="n">
        <f aca="false">ROUND(IFERROR(ROUND(IF(OR(ISNUMBER(SEARCH("week",C361)),ISNUMBER(SEARCH("minggu",C361))),IFERROR(_xlfn.NUMBERVALUE(SUBSTITUTE(LEFT(TRIM(C361),FIND(" ",TRIM(C361)&amp;" ")-1),",","."),"."),LEFT(SUBSTITUTE(LEFT(TRIM(C361),FIND(" ",TRIM(C361)&amp;" ")-1),",","."),FIND("/",SUBSTITUTE(LEFT(TRIM(C361),FIND(" ",TRIM(C361)&amp;" ")-1),",","."))-1)/MID(SUBSTITUTE(LEFT(TRIM(C361),FIND(" ",TRIM(C361)&amp;" ")-1),",","."),FIND("/",SUBSTITUTE(LEFT(TRIM(C361),FIND(" ",TRIM(C361)&amp;" ")-1),",","."))+1,9))*12/52,IF(ISNUMBER(SEARCH("month",C361)),IFERROR(_xlfn.NUMBERVALUE(SUBSTITUTE(LEFT(TRIM(C361),FIND(" ",TRIM(C361)&amp;" ")-1),",","."),"."),LEFT(SUBSTITUTE(LEFT(TRIM(C361),FIND(" ",TRIM(C361)&amp;" ")-1),",","."),FIND("/",SUBSTITUTE(LEFT(TRIM(C361),FIND(" ",TRIM(C361)&amp;" ")-1),",","."))-1)/MID(SUBSTITUTE(LEFT(TRIM(C361),FIND(" ",TRIM(C361)&amp;" ")-1),",","."),FIND("/",SUBSTITUTE(LEFT(TRIM(C361),FIND(" ",TRIM(C361)&amp;" ")-1),",","."))+1,9)),IF(ISNUMBER(SEARCH("yea",C361)),IFERROR(_xlfn.NUMBERVALUE(SUBSTITUTE(LEFT(TRIM(C361),FIND(" ",TRIM(C361)&amp;" ")-1),",","."),"."),LEFT(SUBSTITUTE(LEFT(TRIM(C361),FIND(" ",TRIM(C361)&amp;" ")-1),",","."),FIND("/",SUBSTITUTE(LEFT(TRIM(C361),FIND(" ",TRIM(C361)&amp;" ")-1),",","."))-1)/MID(SUBSTITUTE(LEFT(TRIM(C361),FIND(" ",TRIM(C361)&amp;" ")-1),",","."),FIND("/",SUBSTITUTE(LEFT(TRIM(C361),FIND(" ",TRIM(C361)&amp;" ")-1),",","."))+1,9))*12,NA()))),0),36)*'Aturan &amp; Tarif'!$B$4,2)</f>
        <v>2044.08</v>
      </c>
      <c r="K361" s="32" t="n">
        <f aca="false">'Aturan &amp; Tarif'!$B$5</f>
        <v>2050</v>
      </c>
      <c r="L361" s="32" t="n">
        <f aca="false">'Aturan &amp; Tarif'!$B$6</f>
        <v>350</v>
      </c>
      <c r="M361" s="35" t="n">
        <f aca="false">I361+J361+K361+L361</f>
        <v>9194.08</v>
      </c>
      <c r="N361" s="36" t="s">
        <v>131</v>
      </c>
    </row>
    <row r="362" customFormat="false" ht="25.5" hidden="false" customHeight="true" outlineLevel="0" collapsed="false">
      <c r="A362" s="29"/>
      <c r="B362" s="30" t="s">
        <v>2893</v>
      </c>
      <c r="C362" s="31" t="s">
        <v>127</v>
      </c>
      <c r="D362" s="31" t="s">
        <v>108</v>
      </c>
      <c r="E362" s="32" t="n">
        <v>3225</v>
      </c>
      <c r="F362" s="32" t="n">
        <v>500</v>
      </c>
      <c r="G362" s="32" t="n">
        <v>300</v>
      </c>
      <c r="H362" s="33" t="n">
        <v>1</v>
      </c>
      <c r="I362" s="34" t="n">
        <f aca="false">E362*H362+N(F362)+N(G362)</f>
        <v>4025</v>
      </c>
      <c r="J362" s="32" t="n">
        <f aca="false">ROUND(IFERROR(ROUND(IF(OR(ISNUMBER(SEARCH("week",C362)),ISNUMBER(SEARCH("minggu",C362))),IFERROR(_xlfn.NUMBERVALUE(SUBSTITUTE(LEFT(TRIM(C362),FIND(" ",TRIM(C362)&amp;" ")-1),",","."),"."),LEFT(SUBSTITUTE(LEFT(TRIM(C362),FIND(" ",TRIM(C362)&amp;" ")-1),",","."),FIND("/",SUBSTITUTE(LEFT(TRIM(C362),FIND(" ",TRIM(C362)&amp;" ")-1),",","."))-1)/MID(SUBSTITUTE(LEFT(TRIM(C362),FIND(" ",TRIM(C362)&amp;" ")-1),",","."),FIND("/",SUBSTITUTE(LEFT(TRIM(C362),FIND(" ",TRIM(C362)&amp;" ")-1),",","."))+1,9))*12/52,IF(ISNUMBER(SEARCH("month",C362)),IFERROR(_xlfn.NUMBERVALUE(SUBSTITUTE(LEFT(TRIM(C362),FIND(" ",TRIM(C362)&amp;" ")-1),",","."),"."),LEFT(SUBSTITUTE(LEFT(TRIM(C362),FIND(" ",TRIM(C362)&amp;" ")-1),",","."),FIND("/",SUBSTITUTE(LEFT(TRIM(C362),FIND(" ",TRIM(C362)&amp;" ")-1),",","."))-1)/MID(SUBSTITUTE(LEFT(TRIM(C362),FIND(" ",TRIM(C362)&amp;" ")-1),",","."),FIND("/",SUBSTITUTE(LEFT(TRIM(C362),FIND(" ",TRIM(C362)&amp;" ")-1),",","."))+1,9)),IF(ISNUMBER(SEARCH("yea",C362)),IFERROR(_xlfn.NUMBERVALUE(SUBSTITUTE(LEFT(TRIM(C362),FIND(" ",TRIM(C362)&amp;" ")-1),",","."),"."),LEFT(SUBSTITUTE(LEFT(TRIM(C362),FIND(" ",TRIM(C362)&amp;" ")-1),",","."),FIND("/",SUBSTITUTE(LEFT(TRIM(C362),FIND(" ",TRIM(C362)&amp;" ")-1),",","."))-1)/MID(SUBSTITUTE(LEFT(TRIM(C362),FIND(" ",TRIM(C362)&amp;" ")-1),",","."),FIND("/",SUBSTITUTE(LEFT(TRIM(C362),FIND(" ",TRIM(C362)&amp;" ")-1),",","."))+1,9))*12,NA()))),0),36)*'Aturan &amp; Tarif'!$B$4,2)</f>
        <v>2044.08</v>
      </c>
      <c r="K362" s="32" t="n">
        <f aca="false">'Aturan &amp; Tarif'!$B$5</f>
        <v>2050</v>
      </c>
      <c r="L362" s="32" t="n">
        <f aca="false">'Aturan &amp; Tarif'!$B$6</f>
        <v>350</v>
      </c>
      <c r="M362" s="35" t="n">
        <f aca="false">I362+J362+K362+L362</f>
        <v>8469.08</v>
      </c>
      <c r="N362" s="36" t="s">
        <v>131</v>
      </c>
    </row>
    <row r="363" customFormat="false" ht="14.25" hidden="false" customHeight="true" outlineLevel="0" collapsed="false">
      <c r="A363" s="29"/>
      <c r="B363" s="30" t="s">
        <v>2894</v>
      </c>
      <c r="C363" s="31" t="s">
        <v>107</v>
      </c>
      <c r="D363" s="31" t="s">
        <v>108</v>
      </c>
      <c r="E363" s="32" t="n">
        <v>2250</v>
      </c>
      <c r="F363" s="32" t="n">
        <v>700</v>
      </c>
      <c r="G363" s="32" t="n">
        <v>300</v>
      </c>
      <c r="H363" s="33" t="n">
        <v>1</v>
      </c>
      <c r="I363" s="34" t="n">
        <f aca="false">E363*H363+N(F363)+N(G363)</f>
        <v>3250</v>
      </c>
      <c r="J363" s="32" t="n">
        <f aca="false">ROUND(IFERROR(ROUND(IF(OR(ISNUMBER(SEARCH("week",C363)),ISNUMBER(SEARCH("minggu",C363))),IFERROR(_xlfn.NUMBERVALUE(SUBSTITUTE(LEFT(TRIM(C363),FIND(" ",TRIM(C363)&amp;" ")-1),",","."),"."),LEFT(SUBSTITUTE(LEFT(TRIM(C363),FIND(" ",TRIM(C363)&amp;" ")-1),",","."),FIND("/",SUBSTITUTE(LEFT(TRIM(C363),FIND(" ",TRIM(C363)&amp;" ")-1),",","."))-1)/MID(SUBSTITUTE(LEFT(TRIM(C363),FIND(" ",TRIM(C363)&amp;" ")-1),",","."),FIND("/",SUBSTITUTE(LEFT(TRIM(C363),FIND(" ",TRIM(C363)&amp;" ")-1),",","."))+1,9))*12/52,IF(ISNUMBER(SEARCH("month",C363)),IFERROR(_xlfn.NUMBERVALUE(SUBSTITUTE(LEFT(TRIM(C363),FIND(" ",TRIM(C363)&amp;" ")-1),",","."),"."),LEFT(SUBSTITUTE(LEFT(TRIM(C363),FIND(" ",TRIM(C363)&amp;" ")-1),",","."),FIND("/",SUBSTITUTE(LEFT(TRIM(C363),FIND(" ",TRIM(C363)&amp;" ")-1),",","."))-1)/MID(SUBSTITUTE(LEFT(TRIM(C363),FIND(" ",TRIM(C363)&amp;" ")-1),",","."),FIND("/",SUBSTITUTE(LEFT(TRIM(C363),FIND(" ",TRIM(C363)&amp;" ")-1),",","."))+1,9)),IF(ISNUMBER(SEARCH("yea",C363)),IFERROR(_xlfn.NUMBERVALUE(SUBSTITUTE(LEFT(TRIM(C363),FIND(" ",TRIM(C363)&amp;" ")-1),",","."),"."),LEFT(SUBSTITUTE(LEFT(TRIM(C363),FIND(" ",TRIM(C363)&amp;" ")-1),",","."),FIND("/",SUBSTITUTE(LEFT(TRIM(C363),FIND(" ",TRIM(C363)&amp;" ")-1),",","."))-1)/MID(SUBSTITUTE(LEFT(TRIM(C363),FIND(" ",TRIM(C363)&amp;" ")-1),",","."),FIND("/",SUBSTITUTE(LEFT(TRIM(C363),FIND(" ",TRIM(C363)&amp;" ")-1),",","."))+1,9))*12,NA()))),0),24)*'Aturan &amp; Tarif'!$B$4,2)</f>
        <v>1362.72</v>
      </c>
      <c r="K363" s="32" t="n">
        <f aca="false">'Aturan &amp; Tarif'!$B$5</f>
        <v>2050</v>
      </c>
      <c r="L363" s="32" t="n">
        <f aca="false">'Aturan &amp; Tarif'!$B$6</f>
        <v>350</v>
      </c>
      <c r="M363" s="35" t="n">
        <f aca="false">I363+J363+K363+L363</f>
        <v>7012.72</v>
      </c>
      <c r="N363" s="37" t="s">
        <v>134</v>
      </c>
    </row>
    <row r="364" customFormat="false" ht="25.5" hidden="false" customHeight="true" outlineLevel="0" collapsed="false">
      <c r="A364" s="29"/>
      <c r="B364" s="30" t="s">
        <v>2895</v>
      </c>
      <c r="C364" s="31" t="s">
        <v>107</v>
      </c>
      <c r="D364" s="31" t="s">
        <v>108</v>
      </c>
      <c r="E364" s="32" t="n">
        <v>3375</v>
      </c>
      <c r="F364" s="32" t="n">
        <v>200</v>
      </c>
      <c r="G364" s="32" t="n">
        <v>300</v>
      </c>
      <c r="H364" s="33" t="n">
        <v>1</v>
      </c>
      <c r="I364" s="34" t="n">
        <f aca="false">E364*H364+N(F364)+N(G364)</f>
        <v>3875</v>
      </c>
      <c r="J364" s="32" t="n">
        <f aca="false">ROUND(IFERROR(ROUND(IF(OR(ISNUMBER(SEARCH("week",C364)),ISNUMBER(SEARCH("minggu",C364))),IFERROR(_xlfn.NUMBERVALUE(SUBSTITUTE(LEFT(TRIM(C364),FIND(" ",TRIM(C364)&amp;" ")-1),",","."),"."),LEFT(SUBSTITUTE(LEFT(TRIM(C364),FIND(" ",TRIM(C364)&amp;" ")-1),",","."),FIND("/",SUBSTITUTE(LEFT(TRIM(C364),FIND(" ",TRIM(C364)&amp;" ")-1),",","."))-1)/MID(SUBSTITUTE(LEFT(TRIM(C364),FIND(" ",TRIM(C364)&amp;" ")-1),",","."),FIND("/",SUBSTITUTE(LEFT(TRIM(C364),FIND(" ",TRIM(C364)&amp;" ")-1),",","."))+1,9))*12/52,IF(ISNUMBER(SEARCH("month",C364)),IFERROR(_xlfn.NUMBERVALUE(SUBSTITUTE(LEFT(TRIM(C364),FIND(" ",TRIM(C364)&amp;" ")-1),",","."),"."),LEFT(SUBSTITUTE(LEFT(TRIM(C364),FIND(" ",TRIM(C364)&amp;" ")-1),",","."),FIND("/",SUBSTITUTE(LEFT(TRIM(C364),FIND(" ",TRIM(C364)&amp;" ")-1),",","."))-1)/MID(SUBSTITUTE(LEFT(TRIM(C364),FIND(" ",TRIM(C364)&amp;" ")-1),",","."),FIND("/",SUBSTITUTE(LEFT(TRIM(C364),FIND(" ",TRIM(C364)&amp;" ")-1),",","."))+1,9)),IF(ISNUMBER(SEARCH("yea",C364)),IFERROR(_xlfn.NUMBERVALUE(SUBSTITUTE(LEFT(TRIM(C364),FIND(" ",TRIM(C364)&amp;" ")-1),",","."),"."),LEFT(SUBSTITUTE(LEFT(TRIM(C364),FIND(" ",TRIM(C364)&amp;" ")-1),",","."),FIND("/",SUBSTITUTE(LEFT(TRIM(C364),FIND(" ",TRIM(C364)&amp;" ")-1),",","."))-1)/MID(SUBSTITUTE(LEFT(TRIM(C364),FIND(" ",TRIM(C364)&amp;" ")-1),",","."),FIND("/",SUBSTITUTE(LEFT(TRIM(C364),FIND(" ",TRIM(C364)&amp;" ")-1),",","."))+1,9))*12,NA()))),0),24)*'Aturan &amp; Tarif'!$B$4,2)</f>
        <v>1362.72</v>
      </c>
      <c r="K364" s="32" t="n">
        <f aca="false">'Aturan &amp; Tarif'!$B$5</f>
        <v>2050</v>
      </c>
      <c r="L364" s="32" t="n">
        <f aca="false">'Aturan &amp; Tarif'!$B$6</f>
        <v>350</v>
      </c>
      <c r="M364" s="35" t="n">
        <f aca="false">I364+J364+K364+L364</f>
        <v>7637.72</v>
      </c>
      <c r="N364" s="36" t="s">
        <v>131</v>
      </c>
    </row>
    <row r="365" customFormat="false" ht="72" hidden="false" customHeight="true" outlineLevel="0" collapsed="false">
      <c r="A365" s="29"/>
      <c r="B365" s="30" t="s">
        <v>2896</v>
      </c>
      <c r="C365" s="31" t="s">
        <v>138</v>
      </c>
      <c r="D365" s="31" t="s">
        <v>108</v>
      </c>
      <c r="E365" s="32" t="n">
        <v>3350</v>
      </c>
      <c r="F365" s="32" t="n">
        <v>200</v>
      </c>
      <c r="G365" s="32" t="n">
        <v>300</v>
      </c>
      <c r="H365" s="33" t="n">
        <v>1</v>
      </c>
      <c r="I365" s="34" t="n">
        <f aca="false">E365*H365+N(F365)+N(G365)</f>
        <v>3850</v>
      </c>
      <c r="J365" s="32" t="n">
        <f aca="false">ROUND(IFERROR(ROUND(IF(OR(ISNUMBER(SEARCH("week",C365)),ISNUMBER(SEARCH("minggu",C365))),IFERROR(_xlfn.NUMBERVALUE(SUBSTITUTE(LEFT(TRIM(C365),FIND(" ",TRIM(C365)&amp;" ")-1),",","."),"."),LEFT(SUBSTITUTE(LEFT(TRIM(C365),FIND(" ",TRIM(C365)&amp;" ")-1),",","."),FIND("/",SUBSTITUTE(LEFT(TRIM(C365),FIND(" ",TRIM(C365)&amp;" ")-1),",","."))-1)/MID(SUBSTITUTE(LEFT(TRIM(C365),FIND(" ",TRIM(C365)&amp;" ")-1),",","."),FIND("/",SUBSTITUTE(LEFT(TRIM(C365),FIND(" ",TRIM(C365)&amp;" ")-1),",","."))+1,9))*12/52,IF(ISNUMBER(SEARCH("month",C365)),IFERROR(_xlfn.NUMBERVALUE(SUBSTITUTE(LEFT(TRIM(C365),FIND(" ",TRIM(C365)&amp;" ")-1),",","."),"."),LEFT(SUBSTITUTE(LEFT(TRIM(C365),FIND(" ",TRIM(C365)&amp;" ")-1),",","."),FIND("/",SUBSTITUTE(LEFT(TRIM(C365),FIND(" ",TRIM(C365)&amp;" ")-1),",","."))-1)/MID(SUBSTITUTE(LEFT(TRIM(C365),FIND(" ",TRIM(C365)&amp;" ")-1),",","."),FIND("/",SUBSTITUTE(LEFT(TRIM(C365),FIND(" ",TRIM(C365)&amp;" ")-1),",","."))+1,9)),IF(ISNUMBER(SEARCH("yea",C365)),IFERROR(_xlfn.NUMBERVALUE(SUBSTITUTE(LEFT(TRIM(C365),FIND(" ",TRIM(C365)&amp;" ")-1),",","."),"."),LEFT(SUBSTITUTE(LEFT(TRIM(C365),FIND(" ",TRIM(C365)&amp;" ")-1),",","."),FIND("/",SUBSTITUTE(LEFT(TRIM(C365),FIND(" ",TRIM(C365)&amp;" ")-1),",","."))-1)/MID(SUBSTITUTE(LEFT(TRIM(C365),FIND(" ",TRIM(C365)&amp;" ")-1),",","."),FIND("/",SUBSTITUTE(LEFT(TRIM(C365),FIND(" ",TRIM(C365)&amp;" ")-1),",","."))+1,9))*12,NA()))),0),30)*'Aturan &amp; Tarif'!$B$4,2)</f>
        <v>1703.4</v>
      </c>
      <c r="K365" s="32" t="n">
        <f aca="false">'Aturan &amp; Tarif'!$B$5</f>
        <v>2050</v>
      </c>
      <c r="L365" s="32" t="n">
        <f aca="false">'Aturan &amp; Tarif'!$B$6</f>
        <v>350</v>
      </c>
      <c r="M365" s="35" t="n">
        <f aca="false">I365+J365+K365+L365</f>
        <v>7953.4</v>
      </c>
      <c r="N365" s="36" t="s">
        <v>957</v>
      </c>
    </row>
    <row r="366" customFormat="false" ht="48.75" hidden="false" customHeight="true" outlineLevel="0" collapsed="false">
      <c r="A366" s="29"/>
      <c r="B366" s="30" t="s">
        <v>2897</v>
      </c>
      <c r="C366" s="31" t="s">
        <v>138</v>
      </c>
      <c r="D366" s="31" t="s">
        <v>108</v>
      </c>
      <c r="E366" s="32" t="n">
        <v>3625</v>
      </c>
      <c r="F366" s="32" t="n">
        <v>1150</v>
      </c>
      <c r="G366" s="32" t="n">
        <v>300</v>
      </c>
      <c r="H366" s="33" t="n">
        <v>1</v>
      </c>
      <c r="I366" s="34" t="n">
        <f aca="false">E366*H366+N(F366)+N(G366)</f>
        <v>5075</v>
      </c>
      <c r="J366" s="32" t="n">
        <f aca="false">ROUND(IFERROR(ROUND(IF(OR(ISNUMBER(SEARCH("week",C366)),ISNUMBER(SEARCH("minggu",C366))),IFERROR(_xlfn.NUMBERVALUE(SUBSTITUTE(LEFT(TRIM(C366),FIND(" ",TRIM(C366)&amp;" ")-1),",","."),"."),LEFT(SUBSTITUTE(LEFT(TRIM(C366),FIND(" ",TRIM(C366)&amp;" ")-1),",","."),FIND("/",SUBSTITUTE(LEFT(TRIM(C366),FIND(" ",TRIM(C366)&amp;" ")-1),",","."))-1)/MID(SUBSTITUTE(LEFT(TRIM(C366),FIND(" ",TRIM(C366)&amp;" ")-1),",","."),FIND("/",SUBSTITUTE(LEFT(TRIM(C366),FIND(" ",TRIM(C366)&amp;" ")-1),",","."))+1,9))*12/52,IF(ISNUMBER(SEARCH("month",C366)),IFERROR(_xlfn.NUMBERVALUE(SUBSTITUTE(LEFT(TRIM(C366),FIND(" ",TRIM(C366)&amp;" ")-1),",","."),"."),LEFT(SUBSTITUTE(LEFT(TRIM(C366),FIND(" ",TRIM(C366)&amp;" ")-1),",","."),FIND("/",SUBSTITUTE(LEFT(TRIM(C366),FIND(" ",TRIM(C366)&amp;" ")-1),",","."))-1)/MID(SUBSTITUTE(LEFT(TRIM(C366),FIND(" ",TRIM(C366)&amp;" ")-1),",","."),FIND("/",SUBSTITUTE(LEFT(TRIM(C366),FIND(" ",TRIM(C366)&amp;" ")-1),",","."))+1,9)),IF(ISNUMBER(SEARCH("yea",C366)),IFERROR(_xlfn.NUMBERVALUE(SUBSTITUTE(LEFT(TRIM(C366),FIND(" ",TRIM(C366)&amp;" ")-1),",","."),"."),LEFT(SUBSTITUTE(LEFT(TRIM(C366),FIND(" ",TRIM(C366)&amp;" ")-1),",","."),FIND("/",SUBSTITUTE(LEFT(TRIM(C366),FIND(" ",TRIM(C366)&amp;" ")-1),",","."))-1)/MID(SUBSTITUTE(LEFT(TRIM(C366),FIND(" ",TRIM(C366)&amp;" ")-1),",","."),FIND("/",SUBSTITUTE(LEFT(TRIM(C366),FIND(" ",TRIM(C366)&amp;" ")-1),",","."))+1,9))*12,NA()))),0),30)*'Aturan &amp; Tarif'!$B$4,2)</f>
        <v>1703.4</v>
      </c>
      <c r="K366" s="32" t="n">
        <f aca="false">'Aturan &amp; Tarif'!$B$5</f>
        <v>2050</v>
      </c>
      <c r="L366" s="32" t="n">
        <f aca="false">'Aturan &amp; Tarif'!$B$6</f>
        <v>350</v>
      </c>
      <c r="M366" s="35" t="n">
        <f aca="false">I366+J366+K366+L366</f>
        <v>9178.4</v>
      </c>
      <c r="N366" s="36" t="s">
        <v>131</v>
      </c>
    </row>
    <row r="367" customFormat="false" ht="48.75" hidden="false" customHeight="true" outlineLevel="0" collapsed="false">
      <c r="A367" s="29"/>
      <c r="B367" s="30" t="s">
        <v>2898</v>
      </c>
      <c r="C367" s="31" t="s">
        <v>138</v>
      </c>
      <c r="D367" s="31" t="s">
        <v>108</v>
      </c>
      <c r="E367" s="32" t="n">
        <v>2125</v>
      </c>
      <c r="F367" s="32" t="n">
        <v>1150</v>
      </c>
      <c r="G367" s="32" t="n">
        <v>300</v>
      </c>
      <c r="H367" s="33" t="n">
        <v>1</v>
      </c>
      <c r="I367" s="34" t="n">
        <f aca="false">E367*H367+N(F367)+N(G367)</f>
        <v>3575</v>
      </c>
      <c r="J367" s="32" t="n">
        <f aca="false">ROUND(IFERROR(ROUND(IF(OR(ISNUMBER(SEARCH("week",C367)),ISNUMBER(SEARCH("minggu",C367))),IFERROR(_xlfn.NUMBERVALUE(SUBSTITUTE(LEFT(TRIM(C367),FIND(" ",TRIM(C367)&amp;" ")-1),",","."),"."),LEFT(SUBSTITUTE(LEFT(TRIM(C367),FIND(" ",TRIM(C367)&amp;" ")-1),",","."),FIND("/",SUBSTITUTE(LEFT(TRIM(C367),FIND(" ",TRIM(C367)&amp;" ")-1),",","."))-1)/MID(SUBSTITUTE(LEFT(TRIM(C367),FIND(" ",TRIM(C367)&amp;" ")-1),",","."),FIND("/",SUBSTITUTE(LEFT(TRIM(C367),FIND(" ",TRIM(C367)&amp;" ")-1),",","."))+1,9))*12/52,IF(ISNUMBER(SEARCH("month",C367)),IFERROR(_xlfn.NUMBERVALUE(SUBSTITUTE(LEFT(TRIM(C367),FIND(" ",TRIM(C367)&amp;" ")-1),",","."),"."),LEFT(SUBSTITUTE(LEFT(TRIM(C367),FIND(" ",TRIM(C367)&amp;" ")-1),",","."),FIND("/",SUBSTITUTE(LEFT(TRIM(C367),FIND(" ",TRIM(C367)&amp;" ")-1),",","."))-1)/MID(SUBSTITUTE(LEFT(TRIM(C367),FIND(" ",TRIM(C367)&amp;" ")-1),",","."),FIND("/",SUBSTITUTE(LEFT(TRIM(C367),FIND(" ",TRIM(C367)&amp;" ")-1),",","."))+1,9)),IF(ISNUMBER(SEARCH("yea",C367)),IFERROR(_xlfn.NUMBERVALUE(SUBSTITUTE(LEFT(TRIM(C367),FIND(" ",TRIM(C367)&amp;" ")-1),",","."),"."),LEFT(SUBSTITUTE(LEFT(TRIM(C367),FIND(" ",TRIM(C367)&amp;" ")-1),",","."),FIND("/",SUBSTITUTE(LEFT(TRIM(C367),FIND(" ",TRIM(C367)&amp;" ")-1),",","."))-1)/MID(SUBSTITUTE(LEFT(TRIM(C367),FIND(" ",TRIM(C367)&amp;" ")-1),",","."),FIND("/",SUBSTITUTE(LEFT(TRIM(C367),FIND(" ",TRIM(C367)&amp;" ")-1),",","."))+1,9))*12,NA()))),0),30)*'Aturan &amp; Tarif'!$B$4,2)</f>
        <v>1703.4</v>
      </c>
      <c r="K367" s="32" t="n">
        <f aca="false">'Aturan &amp; Tarif'!$B$5</f>
        <v>2050</v>
      </c>
      <c r="L367" s="32" t="n">
        <f aca="false">'Aturan &amp; Tarif'!$B$6</f>
        <v>350</v>
      </c>
      <c r="M367" s="35" t="n">
        <f aca="false">I367+J367+K367+L367</f>
        <v>7678.4</v>
      </c>
      <c r="N367" s="36" t="s">
        <v>131</v>
      </c>
    </row>
    <row r="368" customFormat="false" ht="25.5" hidden="false" customHeight="true" outlineLevel="0" collapsed="false">
      <c r="A368" s="29"/>
      <c r="B368" s="30" t="s">
        <v>2899</v>
      </c>
      <c r="C368" s="31" t="s">
        <v>138</v>
      </c>
      <c r="D368" s="31" t="s">
        <v>108</v>
      </c>
      <c r="E368" s="32" t="n">
        <v>2688</v>
      </c>
      <c r="F368" s="32" t="n">
        <v>1150</v>
      </c>
      <c r="G368" s="32" t="n">
        <v>300</v>
      </c>
      <c r="H368" s="33" t="n">
        <v>1</v>
      </c>
      <c r="I368" s="34" t="n">
        <f aca="false">E368*H368+N(F368)+N(G368)</f>
        <v>4138</v>
      </c>
      <c r="J368" s="32" t="n">
        <f aca="false">ROUND(IFERROR(ROUND(IF(OR(ISNUMBER(SEARCH("week",C368)),ISNUMBER(SEARCH("minggu",C368))),IFERROR(_xlfn.NUMBERVALUE(SUBSTITUTE(LEFT(TRIM(C368),FIND(" ",TRIM(C368)&amp;" ")-1),",","."),"."),LEFT(SUBSTITUTE(LEFT(TRIM(C368),FIND(" ",TRIM(C368)&amp;" ")-1),",","."),FIND("/",SUBSTITUTE(LEFT(TRIM(C368),FIND(" ",TRIM(C368)&amp;" ")-1),",","."))-1)/MID(SUBSTITUTE(LEFT(TRIM(C368),FIND(" ",TRIM(C368)&amp;" ")-1),",","."),FIND("/",SUBSTITUTE(LEFT(TRIM(C368),FIND(" ",TRIM(C368)&amp;" ")-1),",","."))+1,9))*12/52,IF(ISNUMBER(SEARCH("month",C368)),IFERROR(_xlfn.NUMBERVALUE(SUBSTITUTE(LEFT(TRIM(C368),FIND(" ",TRIM(C368)&amp;" ")-1),",","."),"."),LEFT(SUBSTITUTE(LEFT(TRIM(C368),FIND(" ",TRIM(C368)&amp;" ")-1),",","."),FIND("/",SUBSTITUTE(LEFT(TRIM(C368),FIND(" ",TRIM(C368)&amp;" ")-1),",","."))-1)/MID(SUBSTITUTE(LEFT(TRIM(C368),FIND(" ",TRIM(C368)&amp;" ")-1),",","."),FIND("/",SUBSTITUTE(LEFT(TRIM(C368),FIND(" ",TRIM(C368)&amp;" ")-1),",","."))+1,9)),IF(ISNUMBER(SEARCH("yea",C368)),IFERROR(_xlfn.NUMBERVALUE(SUBSTITUTE(LEFT(TRIM(C368),FIND(" ",TRIM(C368)&amp;" ")-1),",","."),"."),LEFT(SUBSTITUTE(LEFT(TRIM(C368),FIND(" ",TRIM(C368)&amp;" ")-1),",","."),FIND("/",SUBSTITUTE(LEFT(TRIM(C368),FIND(" ",TRIM(C368)&amp;" ")-1),",","."))-1)/MID(SUBSTITUTE(LEFT(TRIM(C368),FIND(" ",TRIM(C368)&amp;" ")-1),",","."),FIND("/",SUBSTITUTE(LEFT(TRIM(C368),FIND(" ",TRIM(C368)&amp;" ")-1),",","."))+1,9))*12,NA()))),0),30)*'Aturan &amp; Tarif'!$B$4,2)</f>
        <v>1703.4</v>
      </c>
      <c r="K368" s="32" t="n">
        <f aca="false">'Aturan &amp; Tarif'!$B$5</f>
        <v>2050</v>
      </c>
      <c r="L368" s="32" t="n">
        <f aca="false">'Aturan &amp; Tarif'!$B$6</f>
        <v>350</v>
      </c>
      <c r="M368" s="35" t="n">
        <f aca="false">I368+J368+K368+L368</f>
        <v>8241.4</v>
      </c>
      <c r="N368" s="36" t="s">
        <v>131</v>
      </c>
    </row>
    <row r="369" customFormat="false" ht="25.5" hidden="false" customHeight="true" outlineLevel="0" collapsed="false">
      <c r="A369" s="29"/>
      <c r="B369" s="30" t="s">
        <v>2900</v>
      </c>
      <c r="C369" s="31" t="s">
        <v>138</v>
      </c>
      <c r="D369" s="31" t="s">
        <v>108</v>
      </c>
      <c r="E369" s="32" t="n">
        <v>3625</v>
      </c>
      <c r="F369" s="32" t="n">
        <v>1150</v>
      </c>
      <c r="G369" s="32" t="n">
        <v>300</v>
      </c>
      <c r="H369" s="33" t="n">
        <v>1</v>
      </c>
      <c r="I369" s="34" t="n">
        <f aca="false">E369*H369+N(F369)+N(G369)</f>
        <v>5075</v>
      </c>
      <c r="J369" s="32" t="n">
        <f aca="false">ROUND(IFERROR(ROUND(IF(OR(ISNUMBER(SEARCH("week",C369)),ISNUMBER(SEARCH("minggu",C369))),IFERROR(_xlfn.NUMBERVALUE(SUBSTITUTE(LEFT(TRIM(C369),FIND(" ",TRIM(C369)&amp;" ")-1),",","."),"."),LEFT(SUBSTITUTE(LEFT(TRIM(C369),FIND(" ",TRIM(C369)&amp;" ")-1),",","."),FIND("/",SUBSTITUTE(LEFT(TRIM(C369),FIND(" ",TRIM(C369)&amp;" ")-1),",","."))-1)/MID(SUBSTITUTE(LEFT(TRIM(C369),FIND(" ",TRIM(C369)&amp;" ")-1),",","."),FIND("/",SUBSTITUTE(LEFT(TRIM(C369),FIND(" ",TRIM(C369)&amp;" ")-1),",","."))+1,9))*12/52,IF(ISNUMBER(SEARCH("month",C369)),IFERROR(_xlfn.NUMBERVALUE(SUBSTITUTE(LEFT(TRIM(C369),FIND(" ",TRIM(C369)&amp;" ")-1),",","."),"."),LEFT(SUBSTITUTE(LEFT(TRIM(C369),FIND(" ",TRIM(C369)&amp;" ")-1),",","."),FIND("/",SUBSTITUTE(LEFT(TRIM(C369),FIND(" ",TRIM(C369)&amp;" ")-1),",","."))-1)/MID(SUBSTITUTE(LEFT(TRIM(C369),FIND(" ",TRIM(C369)&amp;" ")-1),",","."),FIND("/",SUBSTITUTE(LEFT(TRIM(C369),FIND(" ",TRIM(C369)&amp;" ")-1),",","."))+1,9)),IF(ISNUMBER(SEARCH("yea",C369)),IFERROR(_xlfn.NUMBERVALUE(SUBSTITUTE(LEFT(TRIM(C369),FIND(" ",TRIM(C369)&amp;" ")-1),",","."),"."),LEFT(SUBSTITUTE(LEFT(TRIM(C369),FIND(" ",TRIM(C369)&amp;" ")-1),",","."),FIND("/",SUBSTITUTE(LEFT(TRIM(C369),FIND(" ",TRIM(C369)&amp;" ")-1),",","."))-1)/MID(SUBSTITUTE(LEFT(TRIM(C369),FIND(" ",TRIM(C369)&amp;" ")-1),",","."),FIND("/",SUBSTITUTE(LEFT(TRIM(C369),FIND(" ",TRIM(C369)&amp;" ")-1),",","."))+1,9))*12,NA()))),0),30)*'Aturan &amp; Tarif'!$B$4,2)</f>
        <v>1703.4</v>
      </c>
      <c r="K369" s="32" t="n">
        <f aca="false">'Aturan &amp; Tarif'!$B$5</f>
        <v>2050</v>
      </c>
      <c r="L369" s="32" t="n">
        <f aca="false">'Aturan &amp; Tarif'!$B$6</f>
        <v>350</v>
      </c>
      <c r="M369" s="35" t="n">
        <f aca="false">I369+J369+K369+L369</f>
        <v>9178.4</v>
      </c>
      <c r="N369" s="36" t="s">
        <v>131</v>
      </c>
    </row>
    <row r="370" customFormat="false" ht="37.5" hidden="false" customHeight="true" outlineLevel="0" collapsed="false">
      <c r="A370" s="39" t="s">
        <v>2901</v>
      </c>
      <c r="B370" s="40" t="s">
        <v>2864</v>
      </c>
      <c r="C370" s="41" t="s">
        <v>138</v>
      </c>
      <c r="D370" s="41" t="s">
        <v>108</v>
      </c>
      <c r="E370" s="42" t="n">
        <v>2600</v>
      </c>
      <c r="F370" s="42" t="n">
        <v>1000</v>
      </c>
      <c r="G370" s="42" t="n">
        <v>250</v>
      </c>
      <c r="H370" s="43" t="n">
        <v>1</v>
      </c>
      <c r="I370" s="34" t="n">
        <f aca="false">E370*H370+N(F370)+N(G370)</f>
        <v>3850</v>
      </c>
      <c r="J370" s="42" t="n">
        <f aca="false">ROUND(IFERROR(ROUND(IF(OR(ISNUMBER(SEARCH("week",C370)),ISNUMBER(SEARCH("minggu",C370))),IFERROR(_xlfn.NUMBERVALUE(SUBSTITUTE(LEFT(TRIM(C370),FIND(" ",TRIM(C370)&amp;" ")-1),",","."),"."),LEFT(SUBSTITUTE(LEFT(TRIM(C370),FIND(" ",TRIM(C370)&amp;" ")-1),",","."),FIND("/",SUBSTITUTE(LEFT(TRIM(C370),FIND(" ",TRIM(C370)&amp;" ")-1),",","."))-1)/MID(SUBSTITUTE(LEFT(TRIM(C370),FIND(" ",TRIM(C370)&amp;" ")-1),",","."),FIND("/",SUBSTITUTE(LEFT(TRIM(C370),FIND(" ",TRIM(C370)&amp;" ")-1),",","."))+1,9))*12/52,IF(ISNUMBER(SEARCH("month",C370)),IFERROR(_xlfn.NUMBERVALUE(SUBSTITUTE(LEFT(TRIM(C370),FIND(" ",TRIM(C370)&amp;" ")-1),",","."),"."),LEFT(SUBSTITUTE(LEFT(TRIM(C370),FIND(" ",TRIM(C370)&amp;" ")-1),",","."),FIND("/",SUBSTITUTE(LEFT(TRIM(C370),FIND(" ",TRIM(C370)&amp;" ")-1),",","."))-1)/MID(SUBSTITUTE(LEFT(TRIM(C370),FIND(" ",TRIM(C370)&amp;" ")-1),",","."),FIND("/",SUBSTITUTE(LEFT(TRIM(C370),FIND(" ",TRIM(C370)&amp;" ")-1),",","."))+1,9)),IF(ISNUMBER(SEARCH("yea",C370)),IFERROR(_xlfn.NUMBERVALUE(SUBSTITUTE(LEFT(TRIM(C370),FIND(" ",TRIM(C370)&amp;" ")-1),",","."),"."),LEFT(SUBSTITUTE(LEFT(TRIM(C370),FIND(" ",TRIM(C370)&amp;" ")-1),",","."),FIND("/",SUBSTITUTE(LEFT(TRIM(C370),FIND(" ",TRIM(C370)&amp;" ")-1),",","."))-1)/MID(SUBSTITUTE(LEFT(TRIM(C370),FIND(" ",TRIM(C370)&amp;" ")-1),",","."),FIND("/",SUBSTITUTE(LEFT(TRIM(C370),FIND(" ",TRIM(C370)&amp;" ")-1),",","."))+1,9))*12,NA()))),0),30)*'Aturan &amp; Tarif'!$B$4,2)</f>
        <v>1703.4</v>
      </c>
      <c r="K370" s="42" t="n">
        <f aca="false">'Aturan &amp; Tarif'!$B$5</f>
        <v>2050</v>
      </c>
      <c r="L370" s="42" t="n">
        <f aca="false">'Aturan &amp; Tarif'!$B$6</f>
        <v>350</v>
      </c>
      <c r="M370" s="35" t="n">
        <f aca="false">I370+J370+K370+L370</f>
        <v>7953.4</v>
      </c>
      <c r="N370" s="45" t="s">
        <v>134</v>
      </c>
    </row>
    <row r="371" customFormat="false" ht="25.5" hidden="false" customHeight="true" outlineLevel="0" collapsed="false">
      <c r="A371" s="39"/>
      <c r="B371" s="40" t="s">
        <v>474</v>
      </c>
      <c r="C371" s="41" t="s">
        <v>107</v>
      </c>
      <c r="D371" s="41" t="s">
        <v>108</v>
      </c>
      <c r="E371" s="42" t="n">
        <v>2815</v>
      </c>
      <c r="F371" s="42" t="n">
        <v>1200</v>
      </c>
      <c r="G371" s="42" t="n">
        <v>500</v>
      </c>
      <c r="H371" s="43" t="n">
        <v>1</v>
      </c>
      <c r="I371" s="34" t="n">
        <f aca="false">E371*H371+N(F371)+N(G371)</f>
        <v>4515</v>
      </c>
      <c r="J371" s="42" t="n">
        <f aca="false">ROUND(IFERROR(ROUND(IF(OR(ISNUMBER(SEARCH("week",C371)),ISNUMBER(SEARCH("minggu",C371))),IFERROR(_xlfn.NUMBERVALUE(SUBSTITUTE(LEFT(TRIM(C371),FIND(" ",TRIM(C371)&amp;" ")-1),",","."),"."),LEFT(SUBSTITUTE(LEFT(TRIM(C371),FIND(" ",TRIM(C371)&amp;" ")-1),",","."),FIND("/",SUBSTITUTE(LEFT(TRIM(C371),FIND(" ",TRIM(C371)&amp;" ")-1),",","."))-1)/MID(SUBSTITUTE(LEFT(TRIM(C371),FIND(" ",TRIM(C371)&amp;" ")-1),",","."),FIND("/",SUBSTITUTE(LEFT(TRIM(C371),FIND(" ",TRIM(C371)&amp;" ")-1),",","."))+1,9))*12/52,IF(ISNUMBER(SEARCH("month",C371)),IFERROR(_xlfn.NUMBERVALUE(SUBSTITUTE(LEFT(TRIM(C371),FIND(" ",TRIM(C371)&amp;" ")-1),",","."),"."),LEFT(SUBSTITUTE(LEFT(TRIM(C371),FIND(" ",TRIM(C371)&amp;" ")-1),",","."),FIND("/",SUBSTITUTE(LEFT(TRIM(C371),FIND(" ",TRIM(C371)&amp;" ")-1),",","."))-1)/MID(SUBSTITUTE(LEFT(TRIM(C371),FIND(" ",TRIM(C371)&amp;" ")-1),",","."),FIND("/",SUBSTITUTE(LEFT(TRIM(C371),FIND(" ",TRIM(C371)&amp;" ")-1),",","."))+1,9)),IF(ISNUMBER(SEARCH("yea",C371)),IFERROR(_xlfn.NUMBERVALUE(SUBSTITUTE(LEFT(TRIM(C371),FIND(" ",TRIM(C371)&amp;" ")-1),",","."),"."),LEFT(SUBSTITUTE(LEFT(TRIM(C371),FIND(" ",TRIM(C371)&amp;" ")-1),",","."),FIND("/",SUBSTITUTE(LEFT(TRIM(C371),FIND(" ",TRIM(C371)&amp;" ")-1),",","."))-1)/MID(SUBSTITUTE(LEFT(TRIM(C371),FIND(" ",TRIM(C371)&amp;" ")-1),",","."),FIND("/",SUBSTITUTE(LEFT(TRIM(C371),FIND(" ",TRIM(C371)&amp;" ")-1),",","."))+1,9))*12,NA()))),0),24)*'Aturan &amp; Tarif'!$B$4,2)</f>
        <v>1362.72</v>
      </c>
      <c r="K371" s="42" t="n">
        <f aca="false">'Aturan &amp; Tarif'!$B$5</f>
        <v>2050</v>
      </c>
      <c r="L371" s="42" t="n">
        <f aca="false">'Aturan &amp; Tarif'!$B$6</f>
        <v>350</v>
      </c>
      <c r="M371" s="35" t="n">
        <f aca="false">I371+J371+K371+L371</f>
        <v>8277.72</v>
      </c>
      <c r="N371" s="45" t="s">
        <v>134</v>
      </c>
    </row>
    <row r="372" customFormat="false" ht="25.5" hidden="false" customHeight="true" outlineLevel="0" collapsed="false">
      <c r="A372" s="39"/>
      <c r="B372" s="40" t="s">
        <v>475</v>
      </c>
      <c r="C372" s="41" t="s">
        <v>127</v>
      </c>
      <c r="D372" s="41" t="s">
        <v>108</v>
      </c>
      <c r="E372" s="42" t="n">
        <v>2375</v>
      </c>
      <c r="F372" s="42" t="n">
        <v>1100</v>
      </c>
      <c r="G372" s="42" t="n">
        <v>250</v>
      </c>
      <c r="H372" s="43" t="n">
        <v>1</v>
      </c>
      <c r="I372" s="34" t="n">
        <f aca="false">E372*H372+N(F372)+N(G372)</f>
        <v>3725</v>
      </c>
      <c r="J372" s="42" t="n">
        <f aca="false">ROUND(IFERROR(ROUND(IF(OR(ISNUMBER(SEARCH("week",C372)),ISNUMBER(SEARCH("minggu",C372))),IFERROR(_xlfn.NUMBERVALUE(SUBSTITUTE(LEFT(TRIM(C372),FIND(" ",TRIM(C372)&amp;" ")-1),",","."),"."),LEFT(SUBSTITUTE(LEFT(TRIM(C372),FIND(" ",TRIM(C372)&amp;" ")-1),",","."),FIND("/",SUBSTITUTE(LEFT(TRIM(C372),FIND(" ",TRIM(C372)&amp;" ")-1),",","."))-1)/MID(SUBSTITUTE(LEFT(TRIM(C372),FIND(" ",TRIM(C372)&amp;" ")-1),",","."),FIND("/",SUBSTITUTE(LEFT(TRIM(C372),FIND(" ",TRIM(C372)&amp;" ")-1),",","."))+1,9))*12/52,IF(ISNUMBER(SEARCH("month",C372)),IFERROR(_xlfn.NUMBERVALUE(SUBSTITUTE(LEFT(TRIM(C372),FIND(" ",TRIM(C372)&amp;" ")-1),",","."),"."),LEFT(SUBSTITUTE(LEFT(TRIM(C372),FIND(" ",TRIM(C372)&amp;" ")-1),",","."),FIND("/",SUBSTITUTE(LEFT(TRIM(C372),FIND(" ",TRIM(C372)&amp;" ")-1),",","."))-1)/MID(SUBSTITUTE(LEFT(TRIM(C372),FIND(" ",TRIM(C372)&amp;" ")-1),",","."),FIND("/",SUBSTITUTE(LEFT(TRIM(C372),FIND(" ",TRIM(C372)&amp;" ")-1),",","."))+1,9)),IF(ISNUMBER(SEARCH("yea",C372)),IFERROR(_xlfn.NUMBERVALUE(SUBSTITUTE(LEFT(TRIM(C372),FIND(" ",TRIM(C372)&amp;" ")-1),",","."),"."),LEFT(SUBSTITUTE(LEFT(TRIM(C372),FIND(" ",TRIM(C372)&amp;" ")-1),",","."),FIND("/",SUBSTITUTE(LEFT(TRIM(C372),FIND(" ",TRIM(C372)&amp;" ")-1),",","."))-1)/MID(SUBSTITUTE(LEFT(TRIM(C372),FIND(" ",TRIM(C372)&amp;" ")-1),",","."),FIND("/",SUBSTITUTE(LEFT(TRIM(C372),FIND(" ",TRIM(C372)&amp;" ")-1),",","."))+1,9))*12,NA()))),0),36)*'Aturan &amp; Tarif'!$B$4,2)</f>
        <v>2044.08</v>
      </c>
      <c r="K372" s="42" t="n">
        <f aca="false">'Aturan &amp; Tarif'!$B$5</f>
        <v>2050</v>
      </c>
      <c r="L372" s="42" t="n">
        <f aca="false">'Aturan &amp; Tarif'!$B$6</f>
        <v>350</v>
      </c>
      <c r="M372" s="35" t="n">
        <f aca="false">I372+J372+K372+L372</f>
        <v>8169.08</v>
      </c>
      <c r="N372" s="45" t="s">
        <v>134</v>
      </c>
    </row>
    <row r="373" customFormat="false" ht="48.75" hidden="false" customHeight="true" outlineLevel="0" collapsed="false">
      <c r="A373" s="39"/>
      <c r="B373" s="40" t="s">
        <v>476</v>
      </c>
      <c r="C373" s="41" t="s">
        <v>107</v>
      </c>
      <c r="D373" s="41" t="s">
        <v>108</v>
      </c>
      <c r="E373" s="42" t="n">
        <v>2000</v>
      </c>
      <c r="F373" s="42" t="n">
        <v>200</v>
      </c>
      <c r="G373" s="42" t="n">
        <v>250</v>
      </c>
      <c r="H373" s="43" t="n">
        <v>1</v>
      </c>
      <c r="I373" s="34" t="n">
        <f aca="false">E373*H373+N(F373)+N(G373)</f>
        <v>2450</v>
      </c>
      <c r="J373" s="42" t="n">
        <f aca="false">ROUND(IFERROR(ROUND(IF(OR(ISNUMBER(SEARCH("week",C373)),ISNUMBER(SEARCH("minggu",C373))),IFERROR(_xlfn.NUMBERVALUE(SUBSTITUTE(LEFT(TRIM(C373),FIND(" ",TRIM(C373)&amp;" ")-1),",","."),"."),LEFT(SUBSTITUTE(LEFT(TRIM(C373),FIND(" ",TRIM(C373)&amp;" ")-1),",","."),FIND("/",SUBSTITUTE(LEFT(TRIM(C373),FIND(" ",TRIM(C373)&amp;" ")-1),",","."))-1)/MID(SUBSTITUTE(LEFT(TRIM(C373),FIND(" ",TRIM(C373)&amp;" ")-1),",","."),FIND("/",SUBSTITUTE(LEFT(TRIM(C373),FIND(" ",TRIM(C373)&amp;" ")-1),",","."))+1,9))*12/52,IF(ISNUMBER(SEARCH("month",C373)),IFERROR(_xlfn.NUMBERVALUE(SUBSTITUTE(LEFT(TRIM(C373),FIND(" ",TRIM(C373)&amp;" ")-1),",","."),"."),LEFT(SUBSTITUTE(LEFT(TRIM(C373),FIND(" ",TRIM(C373)&amp;" ")-1),",","."),FIND("/",SUBSTITUTE(LEFT(TRIM(C373),FIND(" ",TRIM(C373)&amp;" ")-1),",","."))-1)/MID(SUBSTITUTE(LEFT(TRIM(C373),FIND(" ",TRIM(C373)&amp;" ")-1),",","."),FIND("/",SUBSTITUTE(LEFT(TRIM(C373),FIND(" ",TRIM(C373)&amp;" ")-1),",","."))+1,9)),IF(ISNUMBER(SEARCH("yea",C373)),IFERROR(_xlfn.NUMBERVALUE(SUBSTITUTE(LEFT(TRIM(C373),FIND(" ",TRIM(C373)&amp;" ")-1),",","."),"."),LEFT(SUBSTITUTE(LEFT(TRIM(C373),FIND(" ",TRIM(C373)&amp;" ")-1),",","."),FIND("/",SUBSTITUTE(LEFT(TRIM(C373),FIND(" ",TRIM(C373)&amp;" ")-1),",","."))-1)/MID(SUBSTITUTE(LEFT(TRIM(C373),FIND(" ",TRIM(C373)&amp;" ")-1),",","."),FIND("/",SUBSTITUTE(LEFT(TRIM(C373),FIND(" ",TRIM(C373)&amp;" ")-1),",","."))+1,9))*12,NA()))),0),24)*'Aturan &amp; Tarif'!$B$4,2)</f>
        <v>1362.72</v>
      </c>
      <c r="K373" s="42" t="n">
        <f aca="false">'Aturan &amp; Tarif'!$B$5</f>
        <v>2050</v>
      </c>
      <c r="L373" s="42" t="n">
        <f aca="false">'Aturan &amp; Tarif'!$B$6</f>
        <v>350</v>
      </c>
      <c r="M373" s="35" t="n">
        <f aca="false">I373+J373+K373+L373</f>
        <v>6212.72</v>
      </c>
      <c r="N373" s="45" t="s">
        <v>134</v>
      </c>
    </row>
    <row r="374" customFormat="false" ht="60" hidden="false" customHeight="true" outlineLevel="0" collapsed="false">
      <c r="A374" s="29" t="s">
        <v>2902</v>
      </c>
      <c r="B374" s="30" t="s">
        <v>2447</v>
      </c>
      <c r="C374" s="31" t="s">
        <v>127</v>
      </c>
      <c r="D374" s="31" t="s">
        <v>108</v>
      </c>
      <c r="E374" s="32" t="n">
        <v>4650</v>
      </c>
      <c r="F374" s="32" t="n">
        <v>350</v>
      </c>
      <c r="G374" s="32" t="n">
        <v>500</v>
      </c>
      <c r="H374" s="33" t="n">
        <v>2</v>
      </c>
      <c r="I374" s="34" t="n">
        <f aca="false">E374*H374+N(F374)+N(G374)</f>
        <v>10150</v>
      </c>
      <c r="J374" s="32" t="n">
        <f aca="false">ROUND(IFERROR(ROUND(IF(OR(ISNUMBER(SEARCH("week",C374)),ISNUMBER(SEARCH("minggu",C374))),IFERROR(_xlfn.NUMBERVALUE(SUBSTITUTE(LEFT(TRIM(C374),FIND(" ",TRIM(C374)&amp;" ")-1),",","."),"."),LEFT(SUBSTITUTE(LEFT(TRIM(C374),FIND(" ",TRIM(C374)&amp;" ")-1),",","."),FIND("/",SUBSTITUTE(LEFT(TRIM(C374),FIND(" ",TRIM(C374)&amp;" ")-1),",","."))-1)/MID(SUBSTITUTE(LEFT(TRIM(C374),FIND(" ",TRIM(C374)&amp;" ")-1),",","."),FIND("/",SUBSTITUTE(LEFT(TRIM(C374),FIND(" ",TRIM(C374)&amp;" ")-1),",","."))+1,9))*12/52,IF(ISNUMBER(SEARCH("month",C374)),IFERROR(_xlfn.NUMBERVALUE(SUBSTITUTE(LEFT(TRIM(C374),FIND(" ",TRIM(C374)&amp;" ")-1),",","."),"."),LEFT(SUBSTITUTE(LEFT(TRIM(C374),FIND(" ",TRIM(C374)&amp;" ")-1),",","."),FIND("/",SUBSTITUTE(LEFT(TRIM(C374),FIND(" ",TRIM(C374)&amp;" ")-1),",","."))-1)/MID(SUBSTITUTE(LEFT(TRIM(C374),FIND(" ",TRIM(C374)&amp;" ")-1),",","."),FIND("/",SUBSTITUTE(LEFT(TRIM(C374),FIND(" ",TRIM(C374)&amp;" ")-1),",","."))+1,9)),IF(ISNUMBER(SEARCH("yea",C374)),IFERROR(_xlfn.NUMBERVALUE(SUBSTITUTE(LEFT(TRIM(C374),FIND(" ",TRIM(C374)&amp;" ")-1),",","."),"."),LEFT(SUBSTITUTE(LEFT(TRIM(C374),FIND(" ",TRIM(C374)&amp;" ")-1),",","."),FIND("/",SUBSTITUTE(LEFT(TRIM(C374),FIND(" ",TRIM(C374)&amp;" ")-1),",","."))-1)/MID(SUBSTITUTE(LEFT(TRIM(C374),FIND(" ",TRIM(C374)&amp;" ")-1),",","."),FIND("/",SUBSTITUTE(LEFT(TRIM(C374),FIND(" ",TRIM(C374)&amp;" ")-1),",","."))+1,9))*12,NA()))),0),36)*'Aturan &amp; Tarif'!$B$4,2)</f>
        <v>2044.08</v>
      </c>
      <c r="K374" s="32" t="n">
        <f aca="false">'Aturan &amp; Tarif'!$B$5</f>
        <v>2050</v>
      </c>
      <c r="L374" s="32" t="n">
        <f aca="false">'Aturan &amp; Tarif'!$B$6</f>
        <v>350</v>
      </c>
      <c r="M374" s="35" t="n">
        <f aca="false">I374+J374+K374+L374</f>
        <v>14594.08</v>
      </c>
      <c r="N374" s="36" t="s">
        <v>2903</v>
      </c>
    </row>
    <row r="375" customFormat="false" ht="60" hidden="false" customHeight="true" outlineLevel="0" collapsed="false">
      <c r="A375" s="29"/>
      <c r="B375" s="30" t="s">
        <v>2904</v>
      </c>
      <c r="C375" s="31" t="s">
        <v>127</v>
      </c>
      <c r="D375" s="31" t="s">
        <v>108</v>
      </c>
      <c r="E375" s="32" t="n">
        <v>4650</v>
      </c>
      <c r="F375" s="32" t="n">
        <v>350</v>
      </c>
      <c r="G375" s="32" t="n">
        <v>500</v>
      </c>
      <c r="H375" s="33" t="n">
        <v>2</v>
      </c>
      <c r="I375" s="34" t="n">
        <f aca="false">E375*H375+N(F375)+N(G375)</f>
        <v>10150</v>
      </c>
      <c r="J375" s="32" t="n">
        <f aca="false">ROUND(IFERROR(ROUND(IF(OR(ISNUMBER(SEARCH("week",C375)),ISNUMBER(SEARCH("minggu",C375))),IFERROR(_xlfn.NUMBERVALUE(SUBSTITUTE(LEFT(TRIM(C375),FIND(" ",TRIM(C375)&amp;" ")-1),",","."),"."),LEFT(SUBSTITUTE(LEFT(TRIM(C375),FIND(" ",TRIM(C375)&amp;" ")-1),",","."),FIND("/",SUBSTITUTE(LEFT(TRIM(C375),FIND(" ",TRIM(C375)&amp;" ")-1),",","."))-1)/MID(SUBSTITUTE(LEFT(TRIM(C375),FIND(" ",TRIM(C375)&amp;" ")-1),",","."),FIND("/",SUBSTITUTE(LEFT(TRIM(C375),FIND(" ",TRIM(C375)&amp;" ")-1),",","."))+1,9))*12/52,IF(ISNUMBER(SEARCH("month",C375)),IFERROR(_xlfn.NUMBERVALUE(SUBSTITUTE(LEFT(TRIM(C375),FIND(" ",TRIM(C375)&amp;" ")-1),",","."),"."),LEFT(SUBSTITUTE(LEFT(TRIM(C375),FIND(" ",TRIM(C375)&amp;" ")-1),",","."),FIND("/",SUBSTITUTE(LEFT(TRIM(C375),FIND(" ",TRIM(C375)&amp;" ")-1),",","."))-1)/MID(SUBSTITUTE(LEFT(TRIM(C375),FIND(" ",TRIM(C375)&amp;" ")-1),",","."),FIND("/",SUBSTITUTE(LEFT(TRIM(C375),FIND(" ",TRIM(C375)&amp;" ")-1),",","."))+1,9)),IF(ISNUMBER(SEARCH("yea",C375)),IFERROR(_xlfn.NUMBERVALUE(SUBSTITUTE(LEFT(TRIM(C375),FIND(" ",TRIM(C375)&amp;" ")-1),",","."),"."),LEFT(SUBSTITUTE(LEFT(TRIM(C375),FIND(" ",TRIM(C375)&amp;" ")-1),",","."),FIND("/",SUBSTITUTE(LEFT(TRIM(C375),FIND(" ",TRIM(C375)&amp;" ")-1),",","."))-1)/MID(SUBSTITUTE(LEFT(TRIM(C375),FIND(" ",TRIM(C375)&amp;" ")-1),",","."),FIND("/",SUBSTITUTE(LEFT(TRIM(C375),FIND(" ",TRIM(C375)&amp;" ")-1),",","."))+1,9))*12,NA()))),0),36)*'Aturan &amp; Tarif'!$B$4,2)</f>
        <v>2044.08</v>
      </c>
      <c r="K375" s="32" t="n">
        <f aca="false">'Aturan &amp; Tarif'!$B$5</f>
        <v>2050</v>
      </c>
      <c r="L375" s="32" t="n">
        <f aca="false">'Aturan &amp; Tarif'!$B$6</f>
        <v>350</v>
      </c>
      <c r="M375" s="35" t="n">
        <f aca="false">I375+J375+K375+L375</f>
        <v>14594.08</v>
      </c>
      <c r="N375" s="36" t="s">
        <v>2903</v>
      </c>
    </row>
    <row r="376" customFormat="false" ht="60" hidden="false" customHeight="true" outlineLevel="0" collapsed="false">
      <c r="A376" s="29"/>
      <c r="B376" s="30" t="s">
        <v>2905</v>
      </c>
      <c r="C376" s="31" t="s">
        <v>107</v>
      </c>
      <c r="D376" s="31" t="s">
        <v>108</v>
      </c>
      <c r="E376" s="32" t="n">
        <v>4650</v>
      </c>
      <c r="F376" s="32" t="n">
        <v>350</v>
      </c>
      <c r="G376" s="32" t="n">
        <v>500</v>
      </c>
      <c r="H376" s="33" t="n">
        <v>2</v>
      </c>
      <c r="I376" s="34" t="n">
        <f aca="false">E376*H376+N(F376)+N(G376)</f>
        <v>10150</v>
      </c>
      <c r="J376" s="32" t="n">
        <f aca="false">ROUND(IFERROR(ROUND(IF(OR(ISNUMBER(SEARCH("week",C376)),ISNUMBER(SEARCH("minggu",C376))),IFERROR(_xlfn.NUMBERVALUE(SUBSTITUTE(LEFT(TRIM(C376),FIND(" ",TRIM(C376)&amp;" ")-1),",","."),"."),LEFT(SUBSTITUTE(LEFT(TRIM(C376),FIND(" ",TRIM(C376)&amp;" ")-1),",","."),FIND("/",SUBSTITUTE(LEFT(TRIM(C376),FIND(" ",TRIM(C376)&amp;" ")-1),",","."))-1)/MID(SUBSTITUTE(LEFT(TRIM(C376),FIND(" ",TRIM(C376)&amp;" ")-1),",","."),FIND("/",SUBSTITUTE(LEFT(TRIM(C376),FIND(" ",TRIM(C376)&amp;" ")-1),",","."))+1,9))*12/52,IF(ISNUMBER(SEARCH("month",C376)),IFERROR(_xlfn.NUMBERVALUE(SUBSTITUTE(LEFT(TRIM(C376),FIND(" ",TRIM(C376)&amp;" ")-1),",","."),"."),LEFT(SUBSTITUTE(LEFT(TRIM(C376),FIND(" ",TRIM(C376)&amp;" ")-1),",","."),FIND("/",SUBSTITUTE(LEFT(TRIM(C376),FIND(" ",TRIM(C376)&amp;" ")-1),",","."))-1)/MID(SUBSTITUTE(LEFT(TRIM(C376),FIND(" ",TRIM(C376)&amp;" ")-1),",","."),FIND("/",SUBSTITUTE(LEFT(TRIM(C376),FIND(" ",TRIM(C376)&amp;" ")-1),",","."))+1,9)),IF(ISNUMBER(SEARCH("yea",C376)),IFERROR(_xlfn.NUMBERVALUE(SUBSTITUTE(LEFT(TRIM(C376),FIND(" ",TRIM(C376)&amp;" ")-1),",","."),"."),LEFT(SUBSTITUTE(LEFT(TRIM(C376),FIND(" ",TRIM(C376)&amp;" ")-1),",","."),FIND("/",SUBSTITUTE(LEFT(TRIM(C376),FIND(" ",TRIM(C376)&amp;" ")-1),",","."))-1)/MID(SUBSTITUTE(LEFT(TRIM(C376),FIND(" ",TRIM(C376)&amp;" ")-1),",","."),FIND("/",SUBSTITUTE(LEFT(TRIM(C376),FIND(" ",TRIM(C376)&amp;" ")-1),",","."))+1,9))*12,NA()))),0),24)*'Aturan &amp; Tarif'!$B$4,2)</f>
        <v>1362.72</v>
      </c>
      <c r="K376" s="32" t="n">
        <f aca="false">'Aturan &amp; Tarif'!$B$5</f>
        <v>2050</v>
      </c>
      <c r="L376" s="32" t="n">
        <f aca="false">'Aturan &amp; Tarif'!$B$6</f>
        <v>350</v>
      </c>
      <c r="M376" s="35" t="n">
        <f aca="false">I376+J376+K376+L376</f>
        <v>13912.72</v>
      </c>
      <c r="N376" s="36" t="s">
        <v>2903</v>
      </c>
    </row>
    <row r="377" customFormat="false" ht="60" hidden="false" customHeight="true" outlineLevel="0" collapsed="false">
      <c r="A377" s="29"/>
      <c r="B377" s="30" t="s">
        <v>2445</v>
      </c>
      <c r="C377" s="31" t="s">
        <v>107</v>
      </c>
      <c r="D377" s="31" t="s">
        <v>108</v>
      </c>
      <c r="E377" s="32" t="n">
        <v>4650</v>
      </c>
      <c r="F377" s="32" t="n">
        <v>350</v>
      </c>
      <c r="G377" s="32" t="n">
        <v>500</v>
      </c>
      <c r="H377" s="33" t="n">
        <v>2</v>
      </c>
      <c r="I377" s="34" t="n">
        <f aca="false">E377*H377+N(F377)+N(G377)</f>
        <v>10150</v>
      </c>
      <c r="J377" s="32" t="n">
        <f aca="false">ROUND(IFERROR(ROUND(IF(OR(ISNUMBER(SEARCH("week",C377)),ISNUMBER(SEARCH("minggu",C377))),IFERROR(_xlfn.NUMBERVALUE(SUBSTITUTE(LEFT(TRIM(C377),FIND(" ",TRIM(C377)&amp;" ")-1),",","."),"."),LEFT(SUBSTITUTE(LEFT(TRIM(C377),FIND(" ",TRIM(C377)&amp;" ")-1),",","."),FIND("/",SUBSTITUTE(LEFT(TRIM(C377),FIND(" ",TRIM(C377)&amp;" ")-1),",","."))-1)/MID(SUBSTITUTE(LEFT(TRIM(C377),FIND(" ",TRIM(C377)&amp;" ")-1),",","."),FIND("/",SUBSTITUTE(LEFT(TRIM(C377),FIND(" ",TRIM(C377)&amp;" ")-1),",","."))+1,9))*12/52,IF(ISNUMBER(SEARCH("month",C377)),IFERROR(_xlfn.NUMBERVALUE(SUBSTITUTE(LEFT(TRIM(C377),FIND(" ",TRIM(C377)&amp;" ")-1),",","."),"."),LEFT(SUBSTITUTE(LEFT(TRIM(C377),FIND(" ",TRIM(C377)&amp;" ")-1),",","."),FIND("/",SUBSTITUTE(LEFT(TRIM(C377),FIND(" ",TRIM(C377)&amp;" ")-1),",","."))-1)/MID(SUBSTITUTE(LEFT(TRIM(C377),FIND(" ",TRIM(C377)&amp;" ")-1),",","."),FIND("/",SUBSTITUTE(LEFT(TRIM(C377),FIND(" ",TRIM(C377)&amp;" ")-1),",","."))+1,9)),IF(ISNUMBER(SEARCH("yea",C377)),IFERROR(_xlfn.NUMBERVALUE(SUBSTITUTE(LEFT(TRIM(C377),FIND(" ",TRIM(C377)&amp;" ")-1),",","."),"."),LEFT(SUBSTITUTE(LEFT(TRIM(C377),FIND(" ",TRIM(C377)&amp;" ")-1),",","."),FIND("/",SUBSTITUTE(LEFT(TRIM(C377),FIND(" ",TRIM(C377)&amp;" ")-1),",","."))-1)/MID(SUBSTITUTE(LEFT(TRIM(C377),FIND(" ",TRIM(C377)&amp;" ")-1),",","."),FIND("/",SUBSTITUTE(LEFT(TRIM(C377),FIND(" ",TRIM(C377)&amp;" ")-1),",","."))+1,9))*12,NA()))),0),24)*'Aturan &amp; Tarif'!$B$4,2)</f>
        <v>1362.72</v>
      </c>
      <c r="K377" s="32" t="n">
        <f aca="false">'Aturan &amp; Tarif'!$B$5</f>
        <v>2050</v>
      </c>
      <c r="L377" s="32" t="n">
        <f aca="false">'Aturan &amp; Tarif'!$B$6</f>
        <v>350</v>
      </c>
      <c r="M377" s="35" t="n">
        <f aca="false">I377+J377+K377+L377</f>
        <v>13912.72</v>
      </c>
      <c r="N377" s="36" t="s">
        <v>2903</v>
      </c>
    </row>
    <row r="378" customFormat="false" ht="60" hidden="false" customHeight="true" outlineLevel="0" collapsed="false">
      <c r="A378" s="29"/>
      <c r="B378" s="30" t="s">
        <v>2906</v>
      </c>
      <c r="C378" s="31" t="s">
        <v>127</v>
      </c>
      <c r="D378" s="31" t="s">
        <v>108</v>
      </c>
      <c r="E378" s="32" t="n">
        <v>4950</v>
      </c>
      <c r="F378" s="32" t="n">
        <v>350</v>
      </c>
      <c r="G378" s="32" t="n">
        <v>500</v>
      </c>
      <c r="H378" s="33" t="n">
        <v>2</v>
      </c>
      <c r="I378" s="34" t="n">
        <f aca="false">E378*H378+N(F378)+N(G378)</f>
        <v>10750</v>
      </c>
      <c r="J378" s="32" t="n">
        <f aca="false">ROUND(IFERROR(ROUND(IF(OR(ISNUMBER(SEARCH("week",C378)),ISNUMBER(SEARCH("minggu",C378))),IFERROR(_xlfn.NUMBERVALUE(SUBSTITUTE(LEFT(TRIM(C378),FIND(" ",TRIM(C378)&amp;" ")-1),",","."),"."),LEFT(SUBSTITUTE(LEFT(TRIM(C378),FIND(" ",TRIM(C378)&amp;" ")-1),",","."),FIND("/",SUBSTITUTE(LEFT(TRIM(C378),FIND(" ",TRIM(C378)&amp;" ")-1),",","."))-1)/MID(SUBSTITUTE(LEFT(TRIM(C378),FIND(" ",TRIM(C378)&amp;" ")-1),",","."),FIND("/",SUBSTITUTE(LEFT(TRIM(C378),FIND(" ",TRIM(C378)&amp;" ")-1),",","."))+1,9))*12/52,IF(ISNUMBER(SEARCH("month",C378)),IFERROR(_xlfn.NUMBERVALUE(SUBSTITUTE(LEFT(TRIM(C378),FIND(" ",TRIM(C378)&amp;" ")-1),",","."),"."),LEFT(SUBSTITUTE(LEFT(TRIM(C378),FIND(" ",TRIM(C378)&amp;" ")-1),",","."),FIND("/",SUBSTITUTE(LEFT(TRIM(C378),FIND(" ",TRIM(C378)&amp;" ")-1),",","."))-1)/MID(SUBSTITUTE(LEFT(TRIM(C378),FIND(" ",TRIM(C378)&amp;" ")-1),",","."),FIND("/",SUBSTITUTE(LEFT(TRIM(C378),FIND(" ",TRIM(C378)&amp;" ")-1),",","."))+1,9)),IF(ISNUMBER(SEARCH("yea",C378)),IFERROR(_xlfn.NUMBERVALUE(SUBSTITUTE(LEFT(TRIM(C378),FIND(" ",TRIM(C378)&amp;" ")-1),",","."),"."),LEFT(SUBSTITUTE(LEFT(TRIM(C378),FIND(" ",TRIM(C378)&amp;" ")-1),",","."),FIND("/",SUBSTITUTE(LEFT(TRIM(C378),FIND(" ",TRIM(C378)&amp;" ")-1),",","."))-1)/MID(SUBSTITUTE(LEFT(TRIM(C378),FIND(" ",TRIM(C378)&amp;" ")-1),",","."),FIND("/",SUBSTITUTE(LEFT(TRIM(C378),FIND(" ",TRIM(C378)&amp;" ")-1),",","."))+1,9))*12,NA()))),0),36)*'Aturan &amp; Tarif'!$B$4,2)</f>
        <v>2044.08</v>
      </c>
      <c r="K378" s="32" t="n">
        <f aca="false">'Aturan &amp; Tarif'!$B$5</f>
        <v>2050</v>
      </c>
      <c r="L378" s="32" t="n">
        <f aca="false">'Aturan &amp; Tarif'!$B$6</f>
        <v>350</v>
      </c>
      <c r="M378" s="35" t="n">
        <f aca="false">I378+J378+K378+L378</f>
        <v>15194.08</v>
      </c>
      <c r="N378" s="36" t="s">
        <v>2907</v>
      </c>
    </row>
    <row r="379" customFormat="false" ht="60" hidden="false" customHeight="true" outlineLevel="0" collapsed="false">
      <c r="A379" s="29"/>
      <c r="B379" s="30" t="s">
        <v>2234</v>
      </c>
      <c r="C379" s="31" t="s">
        <v>127</v>
      </c>
      <c r="D379" s="31" t="s">
        <v>108</v>
      </c>
      <c r="E379" s="32" t="n">
        <v>4950</v>
      </c>
      <c r="F379" s="32" t="n">
        <v>350</v>
      </c>
      <c r="G379" s="32" t="n">
        <v>500</v>
      </c>
      <c r="H379" s="33" t="n">
        <v>2</v>
      </c>
      <c r="I379" s="34" t="n">
        <f aca="false">E379*H379+N(F379)+N(G379)</f>
        <v>10750</v>
      </c>
      <c r="J379" s="32" t="n">
        <f aca="false">ROUND(IFERROR(ROUND(IF(OR(ISNUMBER(SEARCH("week",C379)),ISNUMBER(SEARCH("minggu",C379))),IFERROR(_xlfn.NUMBERVALUE(SUBSTITUTE(LEFT(TRIM(C379),FIND(" ",TRIM(C379)&amp;" ")-1),",","."),"."),LEFT(SUBSTITUTE(LEFT(TRIM(C379),FIND(" ",TRIM(C379)&amp;" ")-1),",","."),FIND("/",SUBSTITUTE(LEFT(TRIM(C379),FIND(" ",TRIM(C379)&amp;" ")-1),",","."))-1)/MID(SUBSTITUTE(LEFT(TRIM(C379),FIND(" ",TRIM(C379)&amp;" ")-1),",","."),FIND("/",SUBSTITUTE(LEFT(TRIM(C379),FIND(" ",TRIM(C379)&amp;" ")-1),",","."))+1,9))*12/52,IF(ISNUMBER(SEARCH("month",C379)),IFERROR(_xlfn.NUMBERVALUE(SUBSTITUTE(LEFT(TRIM(C379),FIND(" ",TRIM(C379)&amp;" ")-1),",","."),"."),LEFT(SUBSTITUTE(LEFT(TRIM(C379),FIND(" ",TRIM(C379)&amp;" ")-1),",","."),FIND("/",SUBSTITUTE(LEFT(TRIM(C379),FIND(" ",TRIM(C379)&amp;" ")-1),",","."))-1)/MID(SUBSTITUTE(LEFT(TRIM(C379),FIND(" ",TRIM(C379)&amp;" ")-1),",","."),FIND("/",SUBSTITUTE(LEFT(TRIM(C379),FIND(" ",TRIM(C379)&amp;" ")-1),",","."))+1,9)),IF(ISNUMBER(SEARCH("yea",C379)),IFERROR(_xlfn.NUMBERVALUE(SUBSTITUTE(LEFT(TRIM(C379),FIND(" ",TRIM(C379)&amp;" ")-1),",","."),"."),LEFT(SUBSTITUTE(LEFT(TRIM(C379),FIND(" ",TRIM(C379)&amp;" ")-1),",","."),FIND("/",SUBSTITUTE(LEFT(TRIM(C379),FIND(" ",TRIM(C379)&amp;" ")-1),",","."))-1)/MID(SUBSTITUTE(LEFT(TRIM(C379),FIND(" ",TRIM(C379)&amp;" ")-1),",","."),FIND("/",SUBSTITUTE(LEFT(TRIM(C379),FIND(" ",TRIM(C379)&amp;" ")-1),",","."))+1,9))*12,NA()))),0),36)*'Aturan &amp; Tarif'!$B$4,2)</f>
        <v>2044.08</v>
      </c>
      <c r="K379" s="32" t="n">
        <f aca="false">'Aturan &amp; Tarif'!$B$5</f>
        <v>2050</v>
      </c>
      <c r="L379" s="32" t="n">
        <f aca="false">'Aturan &amp; Tarif'!$B$6</f>
        <v>350</v>
      </c>
      <c r="M379" s="35" t="n">
        <f aca="false">I379+J379+K379+L379</f>
        <v>15194.08</v>
      </c>
      <c r="N379" s="36" t="s">
        <v>2908</v>
      </c>
    </row>
    <row r="380" customFormat="false" ht="60" hidden="false" customHeight="true" outlineLevel="0" collapsed="false">
      <c r="A380" s="29"/>
      <c r="B380" s="30" t="s">
        <v>2909</v>
      </c>
      <c r="C380" s="31" t="s">
        <v>130</v>
      </c>
      <c r="D380" s="31" t="s">
        <v>108</v>
      </c>
      <c r="E380" s="32" t="n">
        <v>4740</v>
      </c>
      <c r="F380" s="32" t="n">
        <v>350</v>
      </c>
      <c r="G380" s="32" t="n">
        <v>500</v>
      </c>
      <c r="H380" s="33" t="n">
        <v>2</v>
      </c>
      <c r="I380" s="34" t="n">
        <f aca="false">E380*H380+N(F380)+N(G380)</f>
        <v>10330</v>
      </c>
      <c r="J380" s="32" t="n">
        <f aca="false">ROUND(IFERROR(ROUND(IF(OR(ISNUMBER(SEARCH("week",C380)),ISNUMBER(SEARCH("minggu",C380))),IFERROR(_xlfn.NUMBERVALUE(SUBSTITUTE(LEFT(TRIM(C380),FIND(" ",TRIM(C380)&amp;" ")-1),",","."),"."),LEFT(SUBSTITUTE(LEFT(TRIM(C380),FIND(" ",TRIM(C380)&amp;" ")-1),",","."),FIND("/",SUBSTITUTE(LEFT(TRIM(C380),FIND(" ",TRIM(C380)&amp;" ")-1),",","."))-1)/MID(SUBSTITUTE(LEFT(TRIM(C380),FIND(" ",TRIM(C380)&amp;" ")-1),",","."),FIND("/",SUBSTITUTE(LEFT(TRIM(C380),FIND(" ",TRIM(C380)&amp;" ")-1),",","."))+1,9))*12/52,IF(ISNUMBER(SEARCH("month",C380)),IFERROR(_xlfn.NUMBERVALUE(SUBSTITUTE(LEFT(TRIM(C380),FIND(" ",TRIM(C380)&amp;" ")-1),",","."),"."),LEFT(SUBSTITUTE(LEFT(TRIM(C380),FIND(" ",TRIM(C380)&amp;" ")-1),",","."),FIND("/",SUBSTITUTE(LEFT(TRIM(C380),FIND(" ",TRIM(C380)&amp;" ")-1),",","."))-1)/MID(SUBSTITUTE(LEFT(TRIM(C380),FIND(" ",TRIM(C380)&amp;" ")-1),",","."),FIND("/",SUBSTITUTE(LEFT(TRIM(C380),FIND(" ",TRIM(C380)&amp;" ")-1),",","."))+1,9)),IF(ISNUMBER(SEARCH("yea",C380)),IFERROR(_xlfn.NUMBERVALUE(SUBSTITUTE(LEFT(TRIM(C380),FIND(" ",TRIM(C380)&amp;" ")-1),",","."),"."),LEFT(SUBSTITUTE(LEFT(TRIM(C380),FIND(" ",TRIM(C380)&amp;" ")-1),",","."),FIND("/",SUBSTITUTE(LEFT(TRIM(C380),FIND(" ",TRIM(C380)&amp;" ")-1),",","."))-1)/MID(SUBSTITUTE(LEFT(TRIM(C380),FIND(" ",TRIM(C380)&amp;" ")-1),",","."),FIND("/",SUBSTITUTE(LEFT(TRIM(C380),FIND(" ",TRIM(C380)&amp;" ")-1),",","."))+1,9))*12,NA()))),0),12)*'Aturan &amp; Tarif'!$B$4,2)</f>
        <v>681.36</v>
      </c>
      <c r="K380" s="32" t="n">
        <f aca="false">'Aturan &amp; Tarif'!$B$5</f>
        <v>2050</v>
      </c>
      <c r="L380" s="32" t="n">
        <f aca="false">'Aturan &amp; Tarif'!$B$6</f>
        <v>350</v>
      </c>
      <c r="M380" s="35" t="n">
        <f aca="false">I380+J380+K380+L380</f>
        <v>13411.36</v>
      </c>
      <c r="N380" s="36" t="s">
        <v>2910</v>
      </c>
    </row>
    <row r="381" customFormat="false" ht="48.75" hidden="false" customHeight="true" outlineLevel="0" collapsed="false">
      <c r="A381" s="29"/>
      <c r="B381" s="30" t="s">
        <v>2911</v>
      </c>
      <c r="C381" s="31" t="s">
        <v>107</v>
      </c>
      <c r="D381" s="31" t="s">
        <v>108</v>
      </c>
      <c r="E381" s="32" t="n">
        <v>4740</v>
      </c>
      <c r="F381" s="32" t="n">
        <v>350</v>
      </c>
      <c r="G381" s="32" t="n">
        <v>500</v>
      </c>
      <c r="H381" s="33" t="n">
        <v>2</v>
      </c>
      <c r="I381" s="34" t="n">
        <f aca="false">E381*H381+N(F381)+N(G381)</f>
        <v>10330</v>
      </c>
      <c r="J381" s="32" t="n">
        <f aca="false">ROUND(IFERROR(ROUND(IF(OR(ISNUMBER(SEARCH("week",C381)),ISNUMBER(SEARCH("minggu",C381))),IFERROR(_xlfn.NUMBERVALUE(SUBSTITUTE(LEFT(TRIM(C381),FIND(" ",TRIM(C381)&amp;" ")-1),",","."),"."),LEFT(SUBSTITUTE(LEFT(TRIM(C381),FIND(" ",TRIM(C381)&amp;" ")-1),",","."),FIND("/",SUBSTITUTE(LEFT(TRIM(C381),FIND(" ",TRIM(C381)&amp;" ")-1),",","."))-1)/MID(SUBSTITUTE(LEFT(TRIM(C381),FIND(" ",TRIM(C381)&amp;" ")-1),",","."),FIND("/",SUBSTITUTE(LEFT(TRIM(C381),FIND(" ",TRIM(C381)&amp;" ")-1),",","."))+1,9))*12/52,IF(ISNUMBER(SEARCH("month",C381)),IFERROR(_xlfn.NUMBERVALUE(SUBSTITUTE(LEFT(TRIM(C381),FIND(" ",TRIM(C381)&amp;" ")-1),",","."),"."),LEFT(SUBSTITUTE(LEFT(TRIM(C381),FIND(" ",TRIM(C381)&amp;" ")-1),",","."),FIND("/",SUBSTITUTE(LEFT(TRIM(C381),FIND(" ",TRIM(C381)&amp;" ")-1),",","."))-1)/MID(SUBSTITUTE(LEFT(TRIM(C381),FIND(" ",TRIM(C381)&amp;" ")-1),",","."),FIND("/",SUBSTITUTE(LEFT(TRIM(C381),FIND(" ",TRIM(C381)&amp;" ")-1),",","."))+1,9)),IF(ISNUMBER(SEARCH("yea",C381)),IFERROR(_xlfn.NUMBERVALUE(SUBSTITUTE(LEFT(TRIM(C381),FIND(" ",TRIM(C381)&amp;" ")-1),",","."),"."),LEFT(SUBSTITUTE(LEFT(TRIM(C381),FIND(" ",TRIM(C381)&amp;" ")-1),",","."),FIND("/",SUBSTITUTE(LEFT(TRIM(C381),FIND(" ",TRIM(C381)&amp;" ")-1),",","."))-1)/MID(SUBSTITUTE(LEFT(TRIM(C381),FIND(" ",TRIM(C381)&amp;" ")-1),",","."),FIND("/",SUBSTITUTE(LEFT(TRIM(C381),FIND(" ",TRIM(C381)&amp;" ")-1),",","."))+1,9))*12,NA()))),0),24)*'Aturan &amp; Tarif'!$B$4,2)</f>
        <v>1362.72</v>
      </c>
      <c r="K381" s="32" t="n">
        <f aca="false">'Aturan &amp; Tarif'!$B$5</f>
        <v>2050</v>
      </c>
      <c r="L381" s="32" t="n">
        <f aca="false">'Aturan &amp; Tarif'!$B$6</f>
        <v>350</v>
      </c>
      <c r="M381" s="35" t="n">
        <f aca="false">I381+J381+K381+L381</f>
        <v>14092.72</v>
      </c>
      <c r="N381" s="36" t="s">
        <v>2912</v>
      </c>
    </row>
    <row r="382" customFormat="false" ht="60" hidden="false" customHeight="true" outlineLevel="0" collapsed="false">
      <c r="A382" s="39" t="s">
        <v>2913</v>
      </c>
      <c r="B382" s="40" t="s">
        <v>2914</v>
      </c>
      <c r="C382" s="41" t="s">
        <v>107</v>
      </c>
      <c r="D382" s="41" t="s">
        <v>108</v>
      </c>
      <c r="E382" s="42" t="n">
        <v>2700</v>
      </c>
      <c r="F382" s="42" t="n">
        <v>1900</v>
      </c>
      <c r="G382" s="42" t="n">
        <v>250</v>
      </c>
      <c r="H382" s="43" t="n">
        <v>1</v>
      </c>
      <c r="I382" s="34" t="n">
        <f aca="false">E382*H382+N(F382)+N(G382)</f>
        <v>4850</v>
      </c>
      <c r="J382" s="42" t="n">
        <f aca="false">ROUND(IFERROR(ROUND(IF(OR(ISNUMBER(SEARCH("week",C382)),ISNUMBER(SEARCH("minggu",C382))),IFERROR(_xlfn.NUMBERVALUE(SUBSTITUTE(LEFT(TRIM(C382),FIND(" ",TRIM(C382)&amp;" ")-1),",","."),"."),LEFT(SUBSTITUTE(LEFT(TRIM(C382),FIND(" ",TRIM(C382)&amp;" ")-1),",","."),FIND("/",SUBSTITUTE(LEFT(TRIM(C382),FIND(" ",TRIM(C382)&amp;" ")-1),",","."))-1)/MID(SUBSTITUTE(LEFT(TRIM(C382),FIND(" ",TRIM(C382)&amp;" ")-1),",","."),FIND("/",SUBSTITUTE(LEFT(TRIM(C382),FIND(" ",TRIM(C382)&amp;" ")-1),",","."))+1,9))*12/52,IF(ISNUMBER(SEARCH("month",C382)),IFERROR(_xlfn.NUMBERVALUE(SUBSTITUTE(LEFT(TRIM(C382),FIND(" ",TRIM(C382)&amp;" ")-1),",","."),"."),LEFT(SUBSTITUTE(LEFT(TRIM(C382),FIND(" ",TRIM(C382)&amp;" ")-1),",","."),FIND("/",SUBSTITUTE(LEFT(TRIM(C382),FIND(" ",TRIM(C382)&amp;" ")-1),",","."))-1)/MID(SUBSTITUTE(LEFT(TRIM(C382),FIND(" ",TRIM(C382)&amp;" ")-1),",","."),FIND("/",SUBSTITUTE(LEFT(TRIM(C382),FIND(" ",TRIM(C382)&amp;" ")-1),",","."))+1,9)),IF(ISNUMBER(SEARCH("yea",C382)),IFERROR(_xlfn.NUMBERVALUE(SUBSTITUTE(LEFT(TRIM(C382),FIND(" ",TRIM(C382)&amp;" ")-1),",","."),"."),LEFT(SUBSTITUTE(LEFT(TRIM(C382),FIND(" ",TRIM(C382)&amp;" ")-1),",","."),FIND("/",SUBSTITUTE(LEFT(TRIM(C382),FIND(" ",TRIM(C382)&amp;" ")-1),",","."))-1)/MID(SUBSTITUTE(LEFT(TRIM(C382),FIND(" ",TRIM(C382)&amp;" ")-1),",","."),FIND("/",SUBSTITUTE(LEFT(TRIM(C382),FIND(" ",TRIM(C382)&amp;" ")-1),",","."))+1,9))*12,NA()))),0),24)*'Aturan &amp; Tarif'!$B$4,2)</f>
        <v>1362.72</v>
      </c>
      <c r="K382" s="42" t="n">
        <f aca="false">'Aturan &amp; Tarif'!$B$5</f>
        <v>2050</v>
      </c>
      <c r="L382" s="42" t="n">
        <f aca="false">'Aturan &amp; Tarif'!$B$6</f>
        <v>350</v>
      </c>
      <c r="M382" s="35" t="n">
        <f aca="false">I382+J382+K382+L382</f>
        <v>8612.72</v>
      </c>
      <c r="N382" s="44" t="s">
        <v>2915</v>
      </c>
    </row>
    <row r="383" customFormat="false" ht="48.75" hidden="false" customHeight="true" outlineLevel="0" collapsed="false">
      <c r="A383" s="39"/>
      <c r="B383" s="40" t="s">
        <v>2916</v>
      </c>
      <c r="C383" s="41" t="s">
        <v>127</v>
      </c>
      <c r="D383" s="41" t="s">
        <v>108</v>
      </c>
      <c r="E383" s="42" t="n">
        <v>2700</v>
      </c>
      <c r="F383" s="42" t="n">
        <v>1900</v>
      </c>
      <c r="G383" s="42" t="n">
        <v>250</v>
      </c>
      <c r="H383" s="43" t="n">
        <v>1</v>
      </c>
      <c r="I383" s="34" t="n">
        <f aca="false">E383*H383+N(F383)+N(G383)</f>
        <v>4850</v>
      </c>
      <c r="J383" s="42" t="n">
        <f aca="false">ROUND(IFERROR(ROUND(IF(OR(ISNUMBER(SEARCH("week",C383)),ISNUMBER(SEARCH("minggu",C383))),IFERROR(_xlfn.NUMBERVALUE(SUBSTITUTE(LEFT(TRIM(C383),FIND(" ",TRIM(C383)&amp;" ")-1),",","."),"."),LEFT(SUBSTITUTE(LEFT(TRIM(C383),FIND(" ",TRIM(C383)&amp;" ")-1),",","."),FIND("/",SUBSTITUTE(LEFT(TRIM(C383),FIND(" ",TRIM(C383)&amp;" ")-1),",","."))-1)/MID(SUBSTITUTE(LEFT(TRIM(C383),FIND(" ",TRIM(C383)&amp;" ")-1),",","."),FIND("/",SUBSTITUTE(LEFT(TRIM(C383),FIND(" ",TRIM(C383)&amp;" ")-1),",","."))+1,9))*12/52,IF(ISNUMBER(SEARCH("month",C383)),IFERROR(_xlfn.NUMBERVALUE(SUBSTITUTE(LEFT(TRIM(C383),FIND(" ",TRIM(C383)&amp;" ")-1),",","."),"."),LEFT(SUBSTITUTE(LEFT(TRIM(C383),FIND(" ",TRIM(C383)&amp;" ")-1),",","."),FIND("/",SUBSTITUTE(LEFT(TRIM(C383),FIND(" ",TRIM(C383)&amp;" ")-1),",","."))-1)/MID(SUBSTITUTE(LEFT(TRIM(C383),FIND(" ",TRIM(C383)&amp;" ")-1),",","."),FIND("/",SUBSTITUTE(LEFT(TRIM(C383),FIND(" ",TRIM(C383)&amp;" ")-1),",","."))+1,9)),IF(ISNUMBER(SEARCH("yea",C383)),IFERROR(_xlfn.NUMBERVALUE(SUBSTITUTE(LEFT(TRIM(C383),FIND(" ",TRIM(C383)&amp;" ")-1),",","."),"."),LEFT(SUBSTITUTE(LEFT(TRIM(C383),FIND(" ",TRIM(C383)&amp;" ")-1),",","."),FIND("/",SUBSTITUTE(LEFT(TRIM(C383),FIND(" ",TRIM(C383)&amp;" ")-1),",","."))-1)/MID(SUBSTITUTE(LEFT(TRIM(C383),FIND(" ",TRIM(C383)&amp;" ")-1),",","."),FIND("/",SUBSTITUTE(LEFT(TRIM(C383),FIND(" ",TRIM(C383)&amp;" ")-1),",","."))+1,9))*12,NA()))),0),36)*'Aturan &amp; Tarif'!$B$4,2)</f>
        <v>2044.08</v>
      </c>
      <c r="K383" s="42" t="n">
        <f aca="false">'Aturan &amp; Tarif'!$B$5</f>
        <v>2050</v>
      </c>
      <c r="L383" s="42" t="n">
        <f aca="false">'Aturan &amp; Tarif'!$B$6</f>
        <v>350</v>
      </c>
      <c r="M383" s="35" t="n">
        <f aca="false">I383+J383+K383+L383</f>
        <v>9294.08</v>
      </c>
      <c r="N383" s="44" t="s">
        <v>2915</v>
      </c>
    </row>
    <row r="384" customFormat="false" ht="25.5" hidden="false" customHeight="true" outlineLevel="0" collapsed="false">
      <c r="A384" s="39"/>
      <c r="B384" s="40" t="s">
        <v>2917</v>
      </c>
      <c r="C384" s="41" t="s">
        <v>113</v>
      </c>
      <c r="D384" s="41" t="s">
        <v>108</v>
      </c>
      <c r="E384" s="42" t="n">
        <v>2700</v>
      </c>
      <c r="F384" s="42" t="n">
        <v>1900</v>
      </c>
      <c r="G384" s="42" t="n">
        <v>250</v>
      </c>
      <c r="H384" s="43" t="n">
        <v>1</v>
      </c>
      <c r="I384" s="34" t="n">
        <f aca="false">E384*H384+N(F384)+N(G384)</f>
        <v>4850</v>
      </c>
      <c r="J384" s="42" t="n">
        <f aca="false">ROUND(IFERROR(ROUND(IF(OR(ISNUMBER(SEARCH("week",C384)),ISNUMBER(SEARCH("minggu",C384))),IFERROR(_xlfn.NUMBERVALUE(SUBSTITUTE(LEFT(TRIM(C384),FIND(" ",TRIM(C384)&amp;" ")-1),",","."),"."),LEFT(SUBSTITUTE(LEFT(TRIM(C384),FIND(" ",TRIM(C384)&amp;" ")-1),",","."),FIND("/",SUBSTITUTE(LEFT(TRIM(C384),FIND(" ",TRIM(C384)&amp;" ")-1),",","."))-1)/MID(SUBSTITUTE(LEFT(TRIM(C384),FIND(" ",TRIM(C384)&amp;" ")-1),",","."),FIND("/",SUBSTITUTE(LEFT(TRIM(C384),FIND(" ",TRIM(C384)&amp;" ")-1),",","."))+1,9))*12/52,IF(ISNUMBER(SEARCH("month",C384)),IFERROR(_xlfn.NUMBERVALUE(SUBSTITUTE(LEFT(TRIM(C384),FIND(" ",TRIM(C384)&amp;" ")-1),",","."),"."),LEFT(SUBSTITUTE(LEFT(TRIM(C384),FIND(" ",TRIM(C384)&amp;" ")-1),",","."),FIND("/",SUBSTITUTE(LEFT(TRIM(C384),FIND(" ",TRIM(C384)&amp;" ")-1),",","."))-1)/MID(SUBSTITUTE(LEFT(TRIM(C384),FIND(" ",TRIM(C384)&amp;" ")-1),",","."),FIND("/",SUBSTITUTE(LEFT(TRIM(C384),FIND(" ",TRIM(C384)&amp;" ")-1),",","."))+1,9)),IF(ISNUMBER(SEARCH("yea",C384)),IFERROR(_xlfn.NUMBERVALUE(SUBSTITUTE(LEFT(TRIM(C384),FIND(" ",TRIM(C384)&amp;" ")-1),",","."),"."),LEFT(SUBSTITUTE(LEFT(TRIM(C384),FIND(" ",TRIM(C384)&amp;" ")-1),",","."),FIND("/",SUBSTITUTE(LEFT(TRIM(C384),FIND(" ",TRIM(C384)&amp;" ")-1),",","."))-1)/MID(SUBSTITUTE(LEFT(TRIM(C384),FIND(" ",TRIM(C384)&amp;" ")-1),",","."),FIND("/",SUBSTITUTE(LEFT(TRIM(C384),FIND(" ",TRIM(C384)&amp;" ")-1),",","."))+1,9))*12,NA()))),0),18)*'Aturan &amp; Tarif'!$B$4,2)</f>
        <v>1022.04</v>
      </c>
      <c r="K384" s="42" t="n">
        <f aca="false">'Aturan &amp; Tarif'!$B$5</f>
        <v>2050</v>
      </c>
      <c r="L384" s="42" t="n">
        <f aca="false">'Aturan &amp; Tarif'!$B$6</f>
        <v>350</v>
      </c>
      <c r="M384" s="35" t="n">
        <f aca="false">I384+J384+K384+L384</f>
        <v>8272.04</v>
      </c>
      <c r="N384" s="44" t="s">
        <v>2915</v>
      </c>
    </row>
    <row r="385" customFormat="false" ht="48.75" hidden="false" customHeight="true" outlineLevel="0" collapsed="false">
      <c r="A385" s="39"/>
      <c r="B385" s="40" t="s">
        <v>2918</v>
      </c>
      <c r="C385" s="41" t="s">
        <v>107</v>
      </c>
      <c r="D385" s="41" t="s">
        <v>108</v>
      </c>
      <c r="E385" s="42" t="n">
        <v>2700</v>
      </c>
      <c r="F385" s="42" t="n">
        <v>1900</v>
      </c>
      <c r="G385" s="42" t="n">
        <v>250</v>
      </c>
      <c r="H385" s="43" t="n">
        <v>1</v>
      </c>
      <c r="I385" s="34" t="n">
        <f aca="false">E385*H385+N(F385)+N(G385)</f>
        <v>4850</v>
      </c>
      <c r="J385" s="42" t="n">
        <f aca="false">ROUND(IFERROR(ROUND(IF(OR(ISNUMBER(SEARCH("week",C385)),ISNUMBER(SEARCH("minggu",C385))),IFERROR(_xlfn.NUMBERVALUE(SUBSTITUTE(LEFT(TRIM(C385),FIND(" ",TRIM(C385)&amp;" ")-1),",","."),"."),LEFT(SUBSTITUTE(LEFT(TRIM(C385),FIND(" ",TRIM(C385)&amp;" ")-1),",","."),FIND("/",SUBSTITUTE(LEFT(TRIM(C385),FIND(" ",TRIM(C385)&amp;" ")-1),",","."))-1)/MID(SUBSTITUTE(LEFT(TRIM(C385),FIND(" ",TRIM(C385)&amp;" ")-1),",","."),FIND("/",SUBSTITUTE(LEFT(TRIM(C385),FIND(" ",TRIM(C385)&amp;" ")-1),",","."))+1,9))*12/52,IF(ISNUMBER(SEARCH("month",C385)),IFERROR(_xlfn.NUMBERVALUE(SUBSTITUTE(LEFT(TRIM(C385),FIND(" ",TRIM(C385)&amp;" ")-1),",","."),"."),LEFT(SUBSTITUTE(LEFT(TRIM(C385),FIND(" ",TRIM(C385)&amp;" ")-1),",","."),FIND("/",SUBSTITUTE(LEFT(TRIM(C385),FIND(" ",TRIM(C385)&amp;" ")-1),",","."))-1)/MID(SUBSTITUTE(LEFT(TRIM(C385),FIND(" ",TRIM(C385)&amp;" ")-1),",","."),FIND("/",SUBSTITUTE(LEFT(TRIM(C385),FIND(" ",TRIM(C385)&amp;" ")-1),",","."))+1,9)),IF(ISNUMBER(SEARCH("yea",C385)),IFERROR(_xlfn.NUMBERVALUE(SUBSTITUTE(LEFT(TRIM(C385),FIND(" ",TRIM(C385)&amp;" ")-1),",","."),"."),LEFT(SUBSTITUTE(LEFT(TRIM(C385),FIND(" ",TRIM(C385)&amp;" ")-1),",","."),FIND("/",SUBSTITUTE(LEFT(TRIM(C385),FIND(" ",TRIM(C385)&amp;" ")-1),",","."))-1)/MID(SUBSTITUTE(LEFT(TRIM(C385),FIND(" ",TRIM(C385)&amp;" ")-1),",","."),FIND("/",SUBSTITUTE(LEFT(TRIM(C385),FIND(" ",TRIM(C385)&amp;" ")-1),",","."))+1,9))*12,NA()))),0),24)*'Aturan &amp; Tarif'!$B$4,2)</f>
        <v>1362.72</v>
      </c>
      <c r="K385" s="42" t="n">
        <f aca="false">'Aturan &amp; Tarif'!$B$5</f>
        <v>2050</v>
      </c>
      <c r="L385" s="42" t="n">
        <f aca="false">'Aturan &amp; Tarif'!$B$6</f>
        <v>350</v>
      </c>
      <c r="M385" s="35" t="n">
        <f aca="false">I385+J385+K385+L385</f>
        <v>8612.72</v>
      </c>
      <c r="N385" s="45" t="s">
        <v>134</v>
      </c>
    </row>
    <row r="386" customFormat="false" ht="48.75" hidden="false" customHeight="true" outlineLevel="0" collapsed="false">
      <c r="A386" s="39"/>
      <c r="B386" s="40" t="s">
        <v>2919</v>
      </c>
      <c r="C386" s="41" t="s">
        <v>127</v>
      </c>
      <c r="D386" s="41" t="s">
        <v>108</v>
      </c>
      <c r="E386" s="42" t="n">
        <v>2700</v>
      </c>
      <c r="F386" s="42" t="n">
        <v>1900</v>
      </c>
      <c r="G386" s="42" t="n">
        <v>250</v>
      </c>
      <c r="H386" s="43" t="n">
        <v>1</v>
      </c>
      <c r="I386" s="34" t="n">
        <f aca="false">E386*H386+N(F386)+N(G386)</f>
        <v>4850</v>
      </c>
      <c r="J386" s="42" t="n">
        <f aca="false">ROUND(IFERROR(ROUND(IF(OR(ISNUMBER(SEARCH("week",C386)),ISNUMBER(SEARCH("minggu",C386))),IFERROR(_xlfn.NUMBERVALUE(SUBSTITUTE(LEFT(TRIM(C386),FIND(" ",TRIM(C386)&amp;" ")-1),",","."),"."),LEFT(SUBSTITUTE(LEFT(TRIM(C386),FIND(" ",TRIM(C386)&amp;" ")-1),",","."),FIND("/",SUBSTITUTE(LEFT(TRIM(C386),FIND(" ",TRIM(C386)&amp;" ")-1),",","."))-1)/MID(SUBSTITUTE(LEFT(TRIM(C386),FIND(" ",TRIM(C386)&amp;" ")-1),",","."),FIND("/",SUBSTITUTE(LEFT(TRIM(C386),FIND(" ",TRIM(C386)&amp;" ")-1),",","."))+1,9))*12/52,IF(ISNUMBER(SEARCH("month",C386)),IFERROR(_xlfn.NUMBERVALUE(SUBSTITUTE(LEFT(TRIM(C386),FIND(" ",TRIM(C386)&amp;" ")-1),",","."),"."),LEFT(SUBSTITUTE(LEFT(TRIM(C386),FIND(" ",TRIM(C386)&amp;" ")-1),",","."),FIND("/",SUBSTITUTE(LEFT(TRIM(C386),FIND(" ",TRIM(C386)&amp;" ")-1),",","."))-1)/MID(SUBSTITUTE(LEFT(TRIM(C386),FIND(" ",TRIM(C386)&amp;" ")-1),",","."),FIND("/",SUBSTITUTE(LEFT(TRIM(C386),FIND(" ",TRIM(C386)&amp;" ")-1),",","."))+1,9)),IF(ISNUMBER(SEARCH("yea",C386)),IFERROR(_xlfn.NUMBERVALUE(SUBSTITUTE(LEFT(TRIM(C386),FIND(" ",TRIM(C386)&amp;" ")-1),",","."),"."),LEFT(SUBSTITUTE(LEFT(TRIM(C386),FIND(" ",TRIM(C386)&amp;" ")-1),",","."),FIND("/",SUBSTITUTE(LEFT(TRIM(C386),FIND(" ",TRIM(C386)&amp;" ")-1),",","."))-1)/MID(SUBSTITUTE(LEFT(TRIM(C386),FIND(" ",TRIM(C386)&amp;" ")-1),",","."),FIND("/",SUBSTITUTE(LEFT(TRIM(C386),FIND(" ",TRIM(C386)&amp;" ")-1),",","."))+1,9))*12,NA()))),0),36)*'Aturan &amp; Tarif'!$B$4,2)</f>
        <v>2044.08</v>
      </c>
      <c r="K386" s="42" t="n">
        <f aca="false">'Aturan &amp; Tarif'!$B$5</f>
        <v>2050</v>
      </c>
      <c r="L386" s="42" t="n">
        <f aca="false">'Aturan &amp; Tarif'!$B$6</f>
        <v>350</v>
      </c>
      <c r="M386" s="35" t="n">
        <f aca="false">I386+J386+K386+L386</f>
        <v>9294.08</v>
      </c>
      <c r="N386" s="44" t="s">
        <v>131</v>
      </c>
    </row>
    <row r="387" customFormat="false" ht="37.5" hidden="false" customHeight="true" outlineLevel="0" collapsed="false">
      <c r="A387" s="39" t="s">
        <v>2920</v>
      </c>
      <c r="B387" s="40" t="s">
        <v>2921</v>
      </c>
      <c r="C387" s="41" t="s">
        <v>107</v>
      </c>
      <c r="D387" s="41" t="s">
        <v>108</v>
      </c>
      <c r="E387" s="42" t="n">
        <v>2500</v>
      </c>
      <c r="F387" s="42" t="n">
        <v>2500</v>
      </c>
      <c r="G387" s="42" t="n">
        <v>300</v>
      </c>
      <c r="H387" s="43" t="n">
        <v>1</v>
      </c>
      <c r="I387" s="34" t="n">
        <f aca="false">E387*H387+N(F387)+N(G387)</f>
        <v>5300</v>
      </c>
      <c r="J387" s="42" t="n">
        <f aca="false">ROUND(IFERROR(ROUND(IF(OR(ISNUMBER(SEARCH("week",C387)),ISNUMBER(SEARCH("minggu",C387))),IFERROR(_xlfn.NUMBERVALUE(SUBSTITUTE(LEFT(TRIM(C387),FIND(" ",TRIM(C387)&amp;" ")-1),",","."),"."),LEFT(SUBSTITUTE(LEFT(TRIM(C387),FIND(" ",TRIM(C387)&amp;" ")-1),",","."),FIND("/",SUBSTITUTE(LEFT(TRIM(C387),FIND(" ",TRIM(C387)&amp;" ")-1),",","."))-1)/MID(SUBSTITUTE(LEFT(TRIM(C387),FIND(" ",TRIM(C387)&amp;" ")-1),",","."),FIND("/",SUBSTITUTE(LEFT(TRIM(C387),FIND(" ",TRIM(C387)&amp;" ")-1),",","."))+1,9))*12/52,IF(ISNUMBER(SEARCH("month",C387)),IFERROR(_xlfn.NUMBERVALUE(SUBSTITUTE(LEFT(TRIM(C387),FIND(" ",TRIM(C387)&amp;" ")-1),",","."),"."),LEFT(SUBSTITUTE(LEFT(TRIM(C387),FIND(" ",TRIM(C387)&amp;" ")-1),",","."),FIND("/",SUBSTITUTE(LEFT(TRIM(C387),FIND(" ",TRIM(C387)&amp;" ")-1),",","."))-1)/MID(SUBSTITUTE(LEFT(TRIM(C387),FIND(" ",TRIM(C387)&amp;" ")-1),",","."),FIND("/",SUBSTITUTE(LEFT(TRIM(C387),FIND(" ",TRIM(C387)&amp;" ")-1),",","."))+1,9)),IF(ISNUMBER(SEARCH("yea",C387)),IFERROR(_xlfn.NUMBERVALUE(SUBSTITUTE(LEFT(TRIM(C387),FIND(" ",TRIM(C387)&amp;" ")-1),",","."),"."),LEFT(SUBSTITUTE(LEFT(TRIM(C387),FIND(" ",TRIM(C387)&amp;" ")-1),",","."),FIND("/",SUBSTITUTE(LEFT(TRIM(C387),FIND(" ",TRIM(C387)&amp;" ")-1),",","."))-1)/MID(SUBSTITUTE(LEFT(TRIM(C387),FIND(" ",TRIM(C387)&amp;" ")-1),",","."),FIND("/",SUBSTITUTE(LEFT(TRIM(C387),FIND(" ",TRIM(C387)&amp;" ")-1),",","."))+1,9))*12,NA()))),0),24)*'Aturan &amp; Tarif'!$B$4,2)</f>
        <v>1362.72</v>
      </c>
      <c r="K387" s="42" t="n">
        <f aca="false">'Aturan &amp; Tarif'!$B$5</f>
        <v>2050</v>
      </c>
      <c r="L387" s="42" t="n">
        <f aca="false">'Aturan &amp; Tarif'!$B$6</f>
        <v>350</v>
      </c>
      <c r="M387" s="35" t="n">
        <f aca="false">I387+J387+K387+L387</f>
        <v>9062.72</v>
      </c>
      <c r="N387" s="45" t="s">
        <v>2922</v>
      </c>
    </row>
    <row r="388" customFormat="false" ht="37.5" hidden="false" customHeight="true" outlineLevel="0" collapsed="false">
      <c r="A388" s="39"/>
      <c r="B388" s="40" t="s">
        <v>470</v>
      </c>
      <c r="C388" s="41" t="s">
        <v>107</v>
      </c>
      <c r="D388" s="41" t="s">
        <v>108</v>
      </c>
      <c r="E388" s="42" t="n">
        <v>2375</v>
      </c>
      <c r="F388" s="42" t="n">
        <v>3000</v>
      </c>
      <c r="G388" s="42" t="n">
        <v>250</v>
      </c>
      <c r="H388" s="43" t="n">
        <v>1</v>
      </c>
      <c r="I388" s="34" t="n">
        <f aca="false">E388*H388+N(F388)+N(G388)</f>
        <v>5625</v>
      </c>
      <c r="J388" s="42" t="n">
        <f aca="false">ROUND(IFERROR(ROUND(IF(OR(ISNUMBER(SEARCH("week",C388)),ISNUMBER(SEARCH("minggu",C388))),IFERROR(_xlfn.NUMBERVALUE(SUBSTITUTE(LEFT(TRIM(C388),FIND(" ",TRIM(C388)&amp;" ")-1),",","."),"."),LEFT(SUBSTITUTE(LEFT(TRIM(C388),FIND(" ",TRIM(C388)&amp;" ")-1),",","."),FIND("/",SUBSTITUTE(LEFT(TRIM(C388),FIND(" ",TRIM(C388)&amp;" ")-1),",","."))-1)/MID(SUBSTITUTE(LEFT(TRIM(C388),FIND(" ",TRIM(C388)&amp;" ")-1),",","."),FIND("/",SUBSTITUTE(LEFT(TRIM(C388),FIND(" ",TRIM(C388)&amp;" ")-1),",","."))+1,9))*12/52,IF(ISNUMBER(SEARCH("month",C388)),IFERROR(_xlfn.NUMBERVALUE(SUBSTITUTE(LEFT(TRIM(C388),FIND(" ",TRIM(C388)&amp;" ")-1),",","."),"."),LEFT(SUBSTITUTE(LEFT(TRIM(C388),FIND(" ",TRIM(C388)&amp;" ")-1),",","."),FIND("/",SUBSTITUTE(LEFT(TRIM(C388),FIND(" ",TRIM(C388)&amp;" ")-1),",","."))-1)/MID(SUBSTITUTE(LEFT(TRIM(C388),FIND(" ",TRIM(C388)&amp;" ")-1),",","."),FIND("/",SUBSTITUTE(LEFT(TRIM(C388),FIND(" ",TRIM(C388)&amp;" ")-1),",","."))+1,9)),IF(ISNUMBER(SEARCH("yea",C388)),IFERROR(_xlfn.NUMBERVALUE(SUBSTITUTE(LEFT(TRIM(C388),FIND(" ",TRIM(C388)&amp;" ")-1),",","."),"."),LEFT(SUBSTITUTE(LEFT(TRIM(C388),FIND(" ",TRIM(C388)&amp;" ")-1),",","."),FIND("/",SUBSTITUTE(LEFT(TRIM(C388),FIND(" ",TRIM(C388)&amp;" ")-1),",","."))-1)/MID(SUBSTITUTE(LEFT(TRIM(C388),FIND(" ",TRIM(C388)&amp;" ")-1),",","."),FIND("/",SUBSTITUTE(LEFT(TRIM(C388),FIND(" ",TRIM(C388)&amp;" ")-1),",","."))+1,9))*12,NA()))),0),24)*'Aturan &amp; Tarif'!$B$4,2)</f>
        <v>1362.72</v>
      </c>
      <c r="K388" s="42" t="n">
        <f aca="false">'Aturan &amp; Tarif'!$B$5</f>
        <v>2050</v>
      </c>
      <c r="L388" s="42" t="n">
        <f aca="false">'Aturan &amp; Tarif'!$B$6</f>
        <v>350</v>
      </c>
      <c r="M388" s="35" t="n">
        <f aca="false">I388+J388+K388+L388</f>
        <v>9387.72</v>
      </c>
      <c r="N388" s="45" t="s">
        <v>2922</v>
      </c>
    </row>
    <row r="389" customFormat="false" ht="25.5" hidden="false" customHeight="true" outlineLevel="0" collapsed="false">
      <c r="A389" s="39" t="s">
        <v>2923</v>
      </c>
      <c r="B389" s="40" t="s">
        <v>2924</v>
      </c>
      <c r="C389" s="41" t="s">
        <v>138</v>
      </c>
      <c r="D389" s="41" t="s">
        <v>108</v>
      </c>
      <c r="E389" s="42" t="n">
        <v>2375</v>
      </c>
      <c r="F389" s="42"/>
      <c r="G389" s="42" t="n">
        <v>500</v>
      </c>
      <c r="H389" s="43" t="n">
        <v>1</v>
      </c>
      <c r="I389" s="34" t="n">
        <f aca="false">E389*H389+N(F389)+N(G389)</f>
        <v>2875</v>
      </c>
      <c r="J389" s="42" t="n">
        <f aca="false">ROUND(IFERROR(ROUND(IF(OR(ISNUMBER(SEARCH("week",C389)),ISNUMBER(SEARCH("minggu",C389))),IFERROR(_xlfn.NUMBERVALUE(SUBSTITUTE(LEFT(TRIM(C389),FIND(" ",TRIM(C389)&amp;" ")-1),",","."),"."),LEFT(SUBSTITUTE(LEFT(TRIM(C389),FIND(" ",TRIM(C389)&amp;" ")-1),",","."),FIND("/",SUBSTITUTE(LEFT(TRIM(C389),FIND(" ",TRIM(C389)&amp;" ")-1),",","."))-1)/MID(SUBSTITUTE(LEFT(TRIM(C389),FIND(" ",TRIM(C389)&amp;" ")-1),",","."),FIND("/",SUBSTITUTE(LEFT(TRIM(C389),FIND(" ",TRIM(C389)&amp;" ")-1),",","."))+1,9))*12/52,IF(ISNUMBER(SEARCH("month",C389)),IFERROR(_xlfn.NUMBERVALUE(SUBSTITUTE(LEFT(TRIM(C389),FIND(" ",TRIM(C389)&amp;" ")-1),",","."),"."),LEFT(SUBSTITUTE(LEFT(TRIM(C389),FIND(" ",TRIM(C389)&amp;" ")-1),",","."),FIND("/",SUBSTITUTE(LEFT(TRIM(C389),FIND(" ",TRIM(C389)&amp;" ")-1),",","."))-1)/MID(SUBSTITUTE(LEFT(TRIM(C389),FIND(" ",TRIM(C389)&amp;" ")-1),",","."),FIND("/",SUBSTITUTE(LEFT(TRIM(C389),FIND(" ",TRIM(C389)&amp;" ")-1),",","."))+1,9)),IF(ISNUMBER(SEARCH("yea",C389)),IFERROR(_xlfn.NUMBERVALUE(SUBSTITUTE(LEFT(TRIM(C389),FIND(" ",TRIM(C389)&amp;" ")-1),",","."),"."),LEFT(SUBSTITUTE(LEFT(TRIM(C389),FIND(" ",TRIM(C389)&amp;" ")-1),",","."),FIND("/",SUBSTITUTE(LEFT(TRIM(C389),FIND(" ",TRIM(C389)&amp;" ")-1),",","."))-1)/MID(SUBSTITUTE(LEFT(TRIM(C389),FIND(" ",TRIM(C389)&amp;" ")-1),",","."),FIND("/",SUBSTITUTE(LEFT(TRIM(C389),FIND(" ",TRIM(C389)&amp;" ")-1),",","."))+1,9))*12,NA()))),0),30)*'Aturan &amp; Tarif'!$B$4,2)</f>
        <v>1703.4</v>
      </c>
      <c r="K389" s="42" t="n">
        <f aca="false">'Aturan &amp; Tarif'!$B$5</f>
        <v>2050</v>
      </c>
      <c r="L389" s="42" t="n">
        <f aca="false">'Aturan &amp; Tarif'!$B$6</f>
        <v>350</v>
      </c>
      <c r="M389" s="35" t="n">
        <f aca="false">I389+J389+K389+L389</f>
        <v>6978.4</v>
      </c>
      <c r="N389" s="44" t="s">
        <v>2925</v>
      </c>
    </row>
    <row r="390" customFormat="false" ht="37.5" hidden="false" customHeight="true" outlineLevel="0" collapsed="false">
      <c r="A390" s="39"/>
      <c r="B390" s="40" t="s">
        <v>2926</v>
      </c>
      <c r="C390" s="41" t="s">
        <v>107</v>
      </c>
      <c r="D390" s="41" t="s">
        <v>108</v>
      </c>
      <c r="E390" s="42" t="n">
        <v>2375</v>
      </c>
      <c r="F390" s="42"/>
      <c r="G390" s="42" t="n">
        <v>500</v>
      </c>
      <c r="H390" s="43" t="n">
        <v>1</v>
      </c>
      <c r="I390" s="34" t="n">
        <f aca="false">E390*H390+N(F390)+N(G390)</f>
        <v>2875</v>
      </c>
      <c r="J390" s="42" t="n">
        <f aca="false">ROUND(IFERROR(ROUND(IF(OR(ISNUMBER(SEARCH("week",C390)),ISNUMBER(SEARCH("minggu",C390))),IFERROR(_xlfn.NUMBERVALUE(SUBSTITUTE(LEFT(TRIM(C390),FIND(" ",TRIM(C390)&amp;" ")-1),",","."),"."),LEFT(SUBSTITUTE(LEFT(TRIM(C390),FIND(" ",TRIM(C390)&amp;" ")-1),",","."),FIND("/",SUBSTITUTE(LEFT(TRIM(C390),FIND(" ",TRIM(C390)&amp;" ")-1),",","."))-1)/MID(SUBSTITUTE(LEFT(TRIM(C390),FIND(" ",TRIM(C390)&amp;" ")-1),",","."),FIND("/",SUBSTITUTE(LEFT(TRIM(C390),FIND(" ",TRIM(C390)&amp;" ")-1),",","."))+1,9))*12/52,IF(ISNUMBER(SEARCH("month",C390)),IFERROR(_xlfn.NUMBERVALUE(SUBSTITUTE(LEFT(TRIM(C390),FIND(" ",TRIM(C390)&amp;" ")-1),",","."),"."),LEFT(SUBSTITUTE(LEFT(TRIM(C390),FIND(" ",TRIM(C390)&amp;" ")-1),",","."),FIND("/",SUBSTITUTE(LEFT(TRIM(C390),FIND(" ",TRIM(C390)&amp;" ")-1),",","."))-1)/MID(SUBSTITUTE(LEFT(TRIM(C390),FIND(" ",TRIM(C390)&amp;" ")-1),",","."),FIND("/",SUBSTITUTE(LEFT(TRIM(C390),FIND(" ",TRIM(C390)&amp;" ")-1),",","."))+1,9)),IF(ISNUMBER(SEARCH("yea",C390)),IFERROR(_xlfn.NUMBERVALUE(SUBSTITUTE(LEFT(TRIM(C390),FIND(" ",TRIM(C390)&amp;" ")-1),",","."),"."),LEFT(SUBSTITUTE(LEFT(TRIM(C390),FIND(" ",TRIM(C390)&amp;" ")-1),",","."),FIND("/",SUBSTITUTE(LEFT(TRIM(C390),FIND(" ",TRIM(C390)&amp;" ")-1),",","."))-1)/MID(SUBSTITUTE(LEFT(TRIM(C390),FIND(" ",TRIM(C390)&amp;" ")-1),",","."),FIND("/",SUBSTITUTE(LEFT(TRIM(C390),FIND(" ",TRIM(C390)&amp;" ")-1),",","."))+1,9))*12,NA()))),0),24)*'Aturan &amp; Tarif'!$B$4,2)</f>
        <v>1362.72</v>
      </c>
      <c r="K390" s="42" t="n">
        <f aca="false">'Aturan &amp; Tarif'!$B$5</f>
        <v>2050</v>
      </c>
      <c r="L390" s="42" t="n">
        <f aca="false">'Aturan &amp; Tarif'!$B$6</f>
        <v>350</v>
      </c>
      <c r="M390" s="35" t="n">
        <f aca="false">I390+J390+K390+L390</f>
        <v>6637.72</v>
      </c>
      <c r="N390" s="45" t="s">
        <v>2927</v>
      </c>
    </row>
    <row r="391" customFormat="false" ht="25.5" hidden="false" customHeight="true" outlineLevel="0" collapsed="false">
      <c r="A391" s="39"/>
      <c r="B391" s="40" t="s">
        <v>2928</v>
      </c>
      <c r="C391" s="41" t="s">
        <v>107</v>
      </c>
      <c r="D391" s="41" t="s">
        <v>108</v>
      </c>
      <c r="E391" s="42" t="n">
        <v>2312</v>
      </c>
      <c r="F391" s="42"/>
      <c r="G391" s="42" t="n">
        <v>500</v>
      </c>
      <c r="H391" s="43" t="n">
        <v>1</v>
      </c>
      <c r="I391" s="34" t="n">
        <f aca="false">E391*H391+N(F391)+N(G391)</f>
        <v>2812</v>
      </c>
      <c r="J391" s="42" t="n">
        <f aca="false">ROUND(IFERROR(ROUND(IF(OR(ISNUMBER(SEARCH("week",C391)),ISNUMBER(SEARCH("minggu",C391))),IFERROR(_xlfn.NUMBERVALUE(SUBSTITUTE(LEFT(TRIM(C391),FIND(" ",TRIM(C391)&amp;" ")-1),",","."),"."),LEFT(SUBSTITUTE(LEFT(TRIM(C391),FIND(" ",TRIM(C391)&amp;" ")-1),",","."),FIND("/",SUBSTITUTE(LEFT(TRIM(C391),FIND(" ",TRIM(C391)&amp;" ")-1),",","."))-1)/MID(SUBSTITUTE(LEFT(TRIM(C391),FIND(" ",TRIM(C391)&amp;" ")-1),",","."),FIND("/",SUBSTITUTE(LEFT(TRIM(C391),FIND(" ",TRIM(C391)&amp;" ")-1),",","."))+1,9))*12/52,IF(ISNUMBER(SEARCH("month",C391)),IFERROR(_xlfn.NUMBERVALUE(SUBSTITUTE(LEFT(TRIM(C391),FIND(" ",TRIM(C391)&amp;" ")-1),",","."),"."),LEFT(SUBSTITUTE(LEFT(TRIM(C391),FIND(" ",TRIM(C391)&amp;" ")-1),",","."),FIND("/",SUBSTITUTE(LEFT(TRIM(C391),FIND(" ",TRIM(C391)&amp;" ")-1),",","."))-1)/MID(SUBSTITUTE(LEFT(TRIM(C391),FIND(" ",TRIM(C391)&amp;" ")-1),",","."),FIND("/",SUBSTITUTE(LEFT(TRIM(C391),FIND(" ",TRIM(C391)&amp;" ")-1),",","."))+1,9)),IF(ISNUMBER(SEARCH("yea",C391)),IFERROR(_xlfn.NUMBERVALUE(SUBSTITUTE(LEFT(TRIM(C391),FIND(" ",TRIM(C391)&amp;" ")-1),",","."),"."),LEFT(SUBSTITUTE(LEFT(TRIM(C391),FIND(" ",TRIM(C391)&amp;" ")-1),",","."),FIND("/",SUBSTITUTE(LEFT(TRIM(C391),FIND(" ",TRIM(C391)&amp;" ")-1),",","."))-1)/MID(SUBSTITUTE(LEFT(TRIM(C391),FIND(" ",TRIM(C391)&amp;" ")-1),",","."),FIND("/",SUBSTITUTE(LEFT(TRIM(C391),FIND(" ",TRIM(C391)&amp;" ")-1),",","."))+1,9))*12,NA()))),0),24)*'Aturan &amp; Tarif'!$B$4,2)</f>
        <v>1362.72</v>
      </c>
      <c r="K391" s="42" t="n">
        <f aca="false">'Aturan &amp; Tarif'!$B$5</f>
        <v>2050</v>
      </c>
      <c r="L391" s="42" t="n">
        <f aca="false">'Aturan &amp; Tarif'!$B$6</f>
        <v>350</v>
      </c>
      <c r="M391" s="35" t="n">
        <f aca="false">I391+J391+K391+L391</f>
        <v>6574.72</v>
      </c>
      <c r="N391" s="45" t="s">
        <v>2929</v>
      </c>
    </row>
    <row r="392" customFormat="false" ht="37.5" hidden="false" customHeight="true" outlineLevel="0" collapsed="false">
      <c r="A392" s="39"/>
      <c r="B392" s="40" t="s">
        <v>2930</v>
      </c>
      <c r="C392" s="41" t="s">
        <v>113</v>
      </c>
      <c r="D392" s="41" t="s">
        <v>108</v>
      </c>
      <c r="E392" s="42" t="n">
        <v>2500</v>
      </c>
      <c r="F392" s="42" t="n">
        <v>1500</v>
      </c>
      <c r="G392" s="42" t="n">
        <v>300</v>
      </c>
      <c r="H392" s="43" t="n">
        <v>1</v>
      </c>
      <c r="I392" s="34" t="n">
        <f aca="false">E392*H392+N(F392)+N(G392)</f>
        <v>4300</v>
      </c>
      <c r="J392" s="42" t="n">
        <f aca="false">ROUND(IFERROR(ROUND(IF(OR(ISNUMBER(SEARCH("week",C392)),ISNUMBER(SEARCH("minggu",C392))),IFERROR(_xlfn.NUMBERVALUE(SUBSTITUTE(LEFT(TRIM(C392),FIND(" ",TRIM(C392)&amp;" ")-1),",","."),"."),LEFT(SUBSTITUTE(LEFT(TRIM(C392),FIND(" ",TRIM(C392)&amp;" ")-1),",","."),FIND("/",SUBSTITUTE(LEFT(TRIM(C392),FIND(" ",TRIM(C392)&amp;" ")-1),",","."))-1)/MID(SUBSTITUTE(LEFT(TRIM(C392),FIND(" ",TRIM(C392)&amp;" ")-1),",","."),FIND("/",SUBSTITUTE(LEFT(TRIM(C392),FIND(" ",TRIM(C392)&amp;" ")-1),",","."))+1,9))*12/52,IF(ISNUMBER(SEARCH("month",C392)),IFERROR(_xlfn.NUMBERVALUE(SUBSTITUTE(LEFT(TRIM(C392),FIND(" ",TRIM(C392)&amp;" ")-1),",","."),"."),LEFT(SUBSTITUTE(LEFT(TRIM(C392),FIND(" ",TRIM(C392)&amp;" ")-1),",","."),FIND("/",SUBSTITUTE(LEFT(TRIM(C392),FIND(" ",TRIM(C392)&amp;" ")-1),",","."))-1)/MID(SUBSTITUTE(LEFT(TRIM(C392),FIND(" ",TRIM(C392)&amp;" ")-1),",","."),FIND("/",SUBSTITUTE(LEFT(TRIM(C392),FIND(" ",TRIM(C392)&amp;" ")-1),",","."))+1,9)),IF(ISNUMBER(SEARCH("yea",C392)),IFERROR(_xlfn.NUMBERVALUE(SUBSTITUTE(LEFT(TRIM(C392),FIND(" ",TRIM(C392)&amp;" ")-1),",","."),"."),LEFT(SUBSTITUTE(LEFT(TRIM(C392),FIND(" ",TRIM(C392)&amp;" ")-1),",","."),FIND("/",SUBSTITUTE(LEFT(TRIM(C392),FIND(" ",TRIM(C392)&amp;" ")-1),",","."))-1)/MID(SUBSTITUTE(LEFT(TRIM(C392),FIND(" ",TRIM(C392)&amp;" ")-1),",","."),FIND("/",SUBSTITUTE(LEFT(TRIM(C392),FIND(" ",TRIM(C392)&amp;" ")-1),",","."))+1,9))*12,NA()))),0),18)*'Aturan &amp; Tarif'!$B$4,2)</f>
        <v>1022.04</v>
      </c>
      <c r="K392" s="42" t="n">
        <f aca="false">'Aturan &amp; Tarif'!$B$5</f>
        <v>2050</v>
      </c>
      <c r="L392" s="42" t="n">
        <f aca="false">'Aturan &amp; Tarif'!$B$6</f>
        <v>350</v>
      </c>
      <c r="M392" s="35" t="n">
        <f aca="false">I392+J392+K392+L392</f>
        <v>7722.04</v>
      </c>
      <c r="N392" s="45" t="s">
        <v>2931</v>
      </c>
    </row>
    <row r="393" customFormat="false" ht="25.5" hidden="false" customHeight="true" outlineLevel="0" collapsed="false">
      <c r="A393" s="39"/>
      <c r="B393" s="40" t="s">
        <v>2932</v>
      </c>
      <c r="C393" s="41" t="s">
        <v>138</v>
      </c>
      <c r="D393" s="41" t="s">
        <v>108</v>
      </c>
      <c r="E393" s="42" t="n">
        <v>2500</v>
      </c>
      <c r="F393" s="42" t="n">
        <v>1500</v>
      </c>
      <c r="G393" s="42" t="n">
        <v>300</v>
      </c>
      <c r="H393" s="43" t="n">
        <v>1</v>
      </c>
      <c r="I393" s="34" t="n">
        <f aca="false">E393*H393+N(F393)+N(G393)</f>
        <v>4300</v>
      </c>
      <c r="J393" s="42" t="n">
        <f aca="false">ROUND(IFERROR(ROUND(IF(OR(ISNUMBER(SEARCH("week",C393)),ISNUMBER(SEARCH("minggu",C393))),IFERROR(_xlfn.NUMBERVALUE(SUBSTITUTE(LEFT(TRIM(C393),FIND(" ",TRIM(C393)&amp;" ")-1),",","."),"."),LEFT(SUBSTITUTE(LEFT(TRIM(C393),FIND(" ",TRIM(C393)&amp;" ")-1),",","."),FIND("/",SUBSTITUTE(LEFT(TRIM(C393),FIND(" ",TRIM(C393)&amp;" ")-1),",","."))-1)/MID(SUBSTITUTE(LEFT(TRIM(C393),FIND(" ",TRIM(C393)&amp;" ")-1),",","."),FIND("/",SUBSTITUTE(LEFT(TRIM(C393),FIND(" ",TRIM(C393)&amp;" ")-1),",","."))+1,9))*12/52,IF(ISNUMBER(SEARCH("month",C393)),IFERROR(_xlfn.NUMBERVALUE(SUBSTITUTE(LEFT(TRIM(C393),FIND(" ",TRIM(C393)&amp;" ")-1),",","."),"."),LEFT(SUBSTITUTE(LEFT(TRIM(C393),FIND(" ",TRIM(C393)&amp;" ")-1),",","."),FIND("/",SUBSTITUTE(LEFT(TRIM(C393),FIND(" ",TRIM(C393)&amp;" ")-1),",","."))-1)/MID(SUBSTITUTE(LEFT(TRIM(C393),FIND(" ",TRIM(C393)&amp;" ")-1),",","."),FIND("/",SUBSTITUTE(LEFT(TRIM(C393),FIND(" ",TRIM(C393)&amp;" ")-1),",","."))+1,9)),IF(ISNUMBER(SEARCH("yea",C393)),IFERROR(_xlfn.NUMBERVALUE(SUBSTITUTE(LEFT(TRIM(C393),FIND(" ",TRIM(C393)&amp;" ")-1),",","."),"."),LEFT(SUBSTITUTE(LEFT(TRIM(C393),FIND(" ",TRIM(C393)&amp;" ")-1),",","."),FIND("/",SUBSTITUTE(LEFT(TRIM(C393),FIND(" ",TRIM(C393)&amp;" ")-1),",","."))-1)/MID(SUBSTITUTE(LEFT(TRIM(C393),FIND(" ",TRIM(C393)&amp;" ")-1),",","."),FIND("/",SUBSTITUTE(LEFT(TRIM(C393),FIND(" ",TRIM(C393)&amp;" ")-1),",","."))+1,9))*12,NA()))),0),30)*'Aturan &amp; Tarif'!$B$4,2)</f>
        <v>1703.4</v>
      </c>
      <c r="K393" s="42" t="n">
        <f aca="false">'Aturan &amp; Tarif'!$B$5</f>
        <v>2050</v>
      </c>
      <c r="L393" s="42" t="n">
        <f aca="false">'Aturan &amp; Tarif'!$B$6</f>
        <v>350</v>
      </c>
      <c r="M393" s="35" t="n">
        <f aca="false">I393+J393+K393+L393</f>
        <v>8403.4</v>
      </c>
      <c r="N393" s="45" t="s">
        <v>2933</v>
      </c>
    </row>
    <row r="394" customFormat="false" ht="37.5" hidden="false" customHeight="true" outlineLevel="0" collapsed="false">
      <c r="A394" s="39"/>
      <c r="B394" s="40" t="s">
        <v>2934</v>
      </c>
      <c r="C394" s="41" t="s">
        <v>113</v>
      </c>
      <c r="D394" s="41" t="s">
        <v>108</v>
      </c>
      <c r="E394" s="42" t="n">
        <v>2500</v>
      </c>
      <c r="F394" s="42" t="n">
        <v>1500</v>
      </c>
      <c r="G394" s="42" t="n">
        <v>300</v>
      </c>
      <c r="H394" s="43" t="n">
        <v>1</v>
      </c>
      <c r="I394" s="34" t="n">
        <f aca="false">E394*H394+N(F394)+N(G394)</f>
        <v>4300</v>
      </c>
      <c r="J394" s="42" t="n">
        <f aca="false">ROUND(IFERROR(ROUND(IF(OR(ISNUMBER(SEARCH("week",C394)),ISNUMBER(SEARCH("minggu",C394))),IFERROR(_xlfn.NUMBERVALUE(SUBSTITUTE(LEFT(TRIM(C394),FIND(" ",TRIM(C394)&amp;" ")-1),",","."),"."),LEFT(SUBSTITUTE(LEFT(TRIM(C394),FIND(" ",TRIM(C394)&amp;" ")-1),",","."),FIND("/",SUBSTITUTE(LEFT(TRIM(C394),FIND(" ",TRIM(C394)&amp;" ")-1),",","."))-1)/MID(SUBSTITUTE(LEFT(TRIM(C394),FIND(" ",TRIM(C394)&amp;" ")-1),",","."),FIND("/",SUBSTITUTE(LEFT(TRIM(C394),FIND(" ",TRIM(C394)&amp;" ")-1),",","."))+1,9))*12/52,IF(ISNUMBER(SEARCH("month",C394)),IFERROR(_xlfn.NUMBERVALUE(SUBSTITUTE(LEFT(TRIM(C394),FIND(" ",TRIM(C394)&amp;" ")-1),",","."),"."),LEFT(SUBSTITUTE(LEFT(TRIM(C394),FIND(" ",TRIM(C394)&amp;" ")-1),",","."),FIND("/",SUBSTITUTE(LEFT(TRIM(C394),FIND(" ",TRIM(C394)&amp;" ")-1),",","."))-1)/MID(SUBSTITUTE(LEFT(TRIM(C394),FIND(" ",TRIM(C394)&amp;" ")-1),",","."),FIND("/",SUBSTITUTE(LEFT(TRIM(C394),FIND(" ",TRIM(C394)&amp;" ")-1),",","."))+1,9)),IF(ISNUMBER(SEARCH("yea",C394)),IFERROR(_xlfn.NUMBERVALUE(SUBSTITUTE(LEFT(TRIM(C394),FIND(" ",TRIM(C394)&amp;" ")-1),",","."),"."),LEFT(SUBSTITUTE(LEFT(TRIM(C394),FIND(" ",TRIM(C394)&amp;" ")-1),",","."),FIND("/",SUBSTITUTE(LEFT(TRIM(C394),FIND(" ",TRIM(C394)&amp;" ")-1),",","."))-1)/MID(SUBSTITUTE(LEFT(TRIM(C394),FIND(" ",TRIM(C394)&amp;" ")-1),",","."),FIND("/",SUBSTITUTE(LEFT(TRIM(C394),FIND(" ",TRIM(C394)&amp;" ")-1),",","."))+1,9))*12,NA()))),0),18)*'Aturan &amp; Tarif'!$B$4,2)</f>
        <v>1022.04</v>
      </c>
      <c r="K394" s="42" t="n">
        <f aca="false">'Aturan &amp; Tarif'!$B$5</f>
        <v>2050</v>
      </c>
      <c r="L394" s="42" t="n">
        <f aca="false">'Aturan &amp; Tarif'!$B$6</f>
        <v>350</v>
      </c>
      <c r="M394" s="35" t="n">
        <f aca="false">I394+J394+K394+L394</f>
        <v>7722.04</v>
      </c>
      <c r="N394" s="45" t="s">
        <v>2935</v>
      </c>
    </row>
    <row r="395" customFormat="false" ht="25.5" hidden="false" customHeight="true" outlineLevel="0" collapsed="false">
      <c r="A395" s="39"/>
      <c r="B395" s="40" t="s">
        <v>2936</v>
      </c>
      <c r="C395" s="41" t="s">
        <v>138</v>
      </c>
      <c r="D395" s="41" t="s">
        <v>108</v>
      </c>
      <c r="E395" s="42" t="n">
        <v>2500</v>
      </c>
      <c r="F395" s="42" t="n">
        <v>1500</v>
      </c>
      <c r="G395" s="42" t="n">
        <v>300</v>
      </c>
      <c r="H395" s="43" t="n">
        <v>1</v>
      </c>
      <c r="I395" s="34" t="n">
        <f aca="false">E395*H395+N(F395)+N(G395)</f>
        <v>4300</v>
      </c>
      <c r="J395" s="42" t="n">
        <f aca="false">ROUND(IFERROR(ROUND(IF(OR(ISNUMBER(SEARCH("week",C395)),ISNUMBER(SEARCH("minggu",C395))),IFERROR(_xlfn.NUMBERVALUE(SUBSTITUTE(LEFT(TRIM(C395),FIND(" ",TRIM(C395)&amp;" ")-1),",","."),"."),LEFT(SUBSTITUTE(LEFT(TRIM(C395),FIND(" ",TRIM(C395)&amp;" ")-1),",","."),FIND("/",SUBSTITUTE(LEFT(TRIM(C395),FIND(" ",TRIM(C395)&amp;" ")-1),",","."))-1)/MID(SUBSTITUTE(LEFT(TRIM(C395),FIND(" ",TRIM(C395)&amp;" ")-1),",","."),FIND("/",SUBSTITUTE(LEFT(TRIM(C395),FIND(" ",TRIM(C395)&amp;" ")-1),",","."))+1,9))*12/52,IF(ISNUMBER(SEARCH("month",C395)),IFERROR(_xlfn.NUMBERVALUE(SUBSTITUTE(LEFT(TRIM(C395),FIND(" ",TRIM(C395)&amp;" ")-1),",","."),"."),LEFT(SUBSTITUTE(LEFT(TRIM(C395),FIND(" ",TRIM(C395)&amp;" ")-1),",","."),FIND("/",SUBSTITUTE(LEFT(TRIM(C395),FIND(" ",TRIM(C395)&amp;" ")-1),",","."))-1)/MID(SUBSTITUTE(LEFT(TRIM(C395),FIND(" ",TRIM(C395)&amp;" ")-1),",","."),FIND("/",SUBSTITUTE(LEFT(TRIM(C395),FIND(" ",TRIM(C395)&amp;" ")-1),",","."))+1,9)),IF(ISNUMBER(SEARCH("yea",C395)),IFERROR(_xlfn.NUMBERVALUE(SUBSTITUTE(LEFT(TRIM(C395),FIND(" ",TRIM(C395)&amp;" ")-1),",","."),"."),LEFT(SUBSTITUTE(LEFT(TRIM(C395),FIND(" ",TRIM(C395)&amp;" ")-1),",","."),FIND("/",SUBSTITUTE(LEFT(TRIM(C395),FIND(" ",TRIM(C395)&amp;" ")-1),",","."))-1)/MID(SUBSTITUTE(LEFT(TRIM(C395),FIND(" ",TRIM(C395)&amp;" ")-1),",","."),FIND("/",SUBSTITUTE(LEFT(TRIM(C395),FIND(" ",TRIM(C395)&amp;" ")-1),",","."))+1,9))*12,NA()))),0),30)*'Aturan &amp; Tarif'!$B$4,2)</f>
        <v>1703.4</v>
      </c>
      <c r="K395" s="42" t="n">
        <f aca="false">'Aturan &amp; Tarif'!$B$5</f>
        <v>2050</v>
      </c>
      <c r="L395" s="42" t="n">
        <f aca="false">'Aturan &amp; Tarif'!$B$6</f>
        <v>350</v>
      </c>
      <c r="M395" s="35" t="n">
        <f aca="false">I395+J395+K395+L395</f>
        <v>8403.4</v>
      </c>
      <c r="N395" s="45" t="s">
        <v>2937</v>
      </c>
    </row>
    <row r="396" customFormat="false" ht="37.5" hidden="false" customHeight="true" outlineLevel="0" collapsed="false">
      <c r="A396" s="39"/>
      <c r="B396" s="40" t="s">
        <v>2938</v>
      </c>
      <c r="C396" s="41" t="s">
        <v>113</v>
      </c>
      <c r="D396" s="41" t="s">
        <v>108</v>
      </c>
      <c r="E396" s="42" t="n">
        <v>2500</v>
      </c>
      <c r="F396" s="42" t="n">
        <v>1500</v>
      </c>
      <c r="G396" s="42" t="n">
        <v>300</v>
      </c>
      <c r="H396" s="43" t="n">
        <v>1</v>
      </c>
      <c r="I396" s="34" t="n">
        <f aca="false">E396*H396+N(F396)+N(G396)</f>
        <v>4300</v>
      </c>
      <c r="J396" s="42" t="n">
        <f aca="false">ROUND(IFERROR(ROUND(IF(OR(ISNUMBER(SEARCH("week",C396)),ISNUMBER(SEARCH("minggu",C396))),IFERROR(_xlfn.NUMBERVALUE(SUBSTITUTE(LEFT(TRIM(C396),FIND(" ",TRIM(C396)&amp;" ")-1),",","."),"."),LEFT(SUBSTITUTE(LEFT(TRIM(C396),FIND(" ",TRIM(C396)&amp;" ")-1),",","."),FIND("/",SUBSTITUTE(LEFT(TRIM(C396),FIND(" ",TRIM(C396)&amp;" ")-1),",","."))-1)/MID(SUBSTITUTE(LEFT(TRIM(C396),FIND(" ",TRIM(C396)&amp;" ")-1),",","."),FIND("/",SUBSTITUTE(LEFT(TRIM(C396),FIND(" ",TRIM(C396)&amp;" ")-1),",","."))+1,9))*12/52,IF(ISNUMBER(SEARCH("month",C396)),IFERROR(_xlfn.NUMBERVALUE(SUBSTITUTE(LEFT(TRIM(C396),FIND(" ",TRIM(C396)&amp;" ")-1),",","."),"."),LEFT(SUBSTITUTE(LEFT(TRIM(C396),FIND(" ",TRIM(C396)&amp;" ")-1),",","."),FIND("/",SUBSTITUTE(LEFT(TRIM(C396),FIND(" ",TRIM(C396)&amp;" ")-1),",","."))-1)/MID(SUBSTITUTE(LEFT(TRIM(C396),FIND(" ",TRIM(C396)&amp;" ")-1),",","."),FIND("/",SUBSTITUTE(LEFT(TRIM(C396),FIND(" ",TRIM(C396)&amp;" ")-1),",","."))+1,9)),IF(ISNUMBER(SEARCH("yea",C396)),IFERROR(_xlfn.NUMBERVALUE(SUBSTITUTE(LEFT(TRIM(C396),FIND(" ",TRIM(C396)&amp;" ")-1),",","."),"."),LEFT(SUBSTITUTE(LEFT(TRIM(C396),FIND(" ",TRIM(C396)&amp;" ")-1),",","."),FIND("/",SUBSTITUTE(LEFT(TRIM(C396),FIND(" ",TRIM(C396)&amp;" ")-1),",","."))-1)/MID(SUBSTITUTE(LEFT(TRIM(C396),FIND(" ",TRIM(C396)&amp;" ")-1),",","."),FIND("/",SUBSTITUTE(LEFT(TRIM(C396),FIND(" ",TRIM(C396)&amp;" ")-1),",","."))+1,9))*12,NA()))),0),18)*'Aturan &amp; Tarif'!$B$4,2)</f>
        <v>1022.04</v>
      </c>
      <c r="K396" s="42" t="n">
        <f aca="false">'Aturan &amp; Tarif'!$B$5</f>
        <v>2050</v>
      </c>
      <c r="L396" s="42" t="n">
        <f aca="false">'Aturan &amp; Tarif'!$B$6</f>
        <v>350</v>
      </c>
      <c r="M396" s="35" t="n">
        <f aca="false">I396+J396+K396+L396</f>
        <v>7722.04</v>
      </c>
      <c r="N396" s="45" t="s">
        <v>2939</v>
      </c>
    </row>
    <row r="397" customFormat="false" ht="37.5" hidden="false" customHeight="true" outlineLevel="0" collapsed="false">
      <c r="A397" s="39"/>
      <c r="B397" s="40" t="s">
        <v>2940</v>
      </c>
      <c r="C397" s="41" t="s">
        <v>138</v>
      </c>
      <c r="D397" s="41" t="s">
        <v>108</v>
      </c>
      <c r="E397" s="42" t="n">
        <v>2500</v>
      </c>
      <c r="F397" s="42" t="n">
        <v>1500</v>
      </c>
      <c r="G397" s="42" t="n">
        <v>300</v>
      </c>
      <c r="H397" s="43" t="n">
        <v>1</v>
      </c>
      <c r="I397" s="34" t="n">
        <f aca="false">E397*H397+N(F397)+N(G397)</f>
        <v>4300</v>
      </c>
      <c r="J397" s="42" t="n">
        <f aca="false">ROUND(IFERROR(ROUND(IF(OR(ISNUMBER(SEARCH("week",C397)),ISNUMBER(SEARCH("minggu",C397))),IFERROR(_xlfn.NUMBERVALUE(SUBSTITUTE(LEFT(TRIM(C397),FIND(" ",TRIM(C397)&amp;" ")-1),",","."),"."),LEFT(SUBSTITUTE(LEFT(TRIM(C397),FIND(" ",TRIM(C397)&amp;" ")-1),",","."),FIND("/",SUBSTITUTE(LEFT(TRIM(C397),FIND(" ",TRIM(C397)&amp;" ")-1),",","."))-1)/MID(SUBSTITUTE(LEFT(TRIM(C397),FIND(" ",TRIM(C397)&amp;" ")-1),",","."),FIND("/",SUBSTITUTE(LEFT(TRIM(C397),FIND(" ",TRIM(C397)&amp;" ")-1),",","."))+1,9))*12/52,IF(ISNUMBER(SEARCH("month",C397)),IFERROR(_xlfn.NUMBERVALUE(SUBSTITUTE(LEFT(TRIM(C397),FIND(" ",TRIM(C397)&amp;" ")-1),",","."),"."),LEFT(SUBSTITUTE(LEFT(TRIM(C397),FIND(" ",TRIM(C397)&amp;" ")-1),",","."),FIND("/",SUBSTITUTE(LEFT(TRIM(C397),FIND(" ",TRIM(C397)&amp;" ")-1),",","."))-1)/MID(SUBSTITUTE(LEFT(TRIM(C397),FIND(" ",TRIM(C397)&amp;" ")-1),",","."),FIND("/",SUBSTITUTE(LEFT(TRIM(C397),FIND(" ",TRIM(C397)&amp;" ")-1),",","."))+1,9)),IF(ISNUMBER(SEARCH("yea",C397)),IFERROR(_xlfn.NUMBERVALUE(SUBSTITUTE(LEFT(TRIM(C397),FIND(" ",TRIM(C397)&amp;" ")-1),",","."),"."),LEFT(SUBSTITUTE(LEFT(TRIM(C397),FIND(" ",TRIM(C397)&amp;" ")-1),",","."),FIND("/",SUBSTITUTE(LEFT(TRIM(C397),FIND(" ",TRIM(C397)&amp;" ")-1),",","."))-1)/MID(SUBSTITUTE(LEFT(TRIM(C397),FIND(" ",TRIM(C397)&amp;" ")-1),",","."),FIND("/",SUBSTITUTE(LEFT(TRIM(C397),FIND(" ",TRIM(C397)&amp;" ")-1),",","."))+1,9))*12,NA()))),0),30)*'Aturan &amp; Tarif'!$B$4,2)</f>
        <v>1703.4</v>
      </c>
      <c r="K397" s="42" t="n">
        <f aca="false">'Aturan &amp; Tarif'!$B$5</f>
        <v>2050</v>
      </c>
      <c r="L397" s="42" t="n">
        <f aca="false">'Aturan &amp; Tarif'!$B$6</f>
        <v>350</v>
      </c>
      <c r="M397" s="35" t="n">
        <f aca="false">I397+J397+K397+L397</f>
        <v>8403.4</v>
      </c>
      <c r="N397" s="45" t="s">
        <v>2941</v>
      </c>
    </row>
    <row r="398" customFormat="false" ht="60" hidden="false" customHeight="true" outlineLevel="0" collapsed="false">
      <c r="A398" s="29" t="s">
        <v>2942</v>
      </c>
      <c r="B398" s="30" t="s">
        <v>1651</v>
      </c>
      <c r="C398" s="31" t="s">
        <v>107</v>
      </c>
      <c r="D398" s="31" t="s">
        <v>108</v>
      </c>
      <c r="E398" s="32" t="n">
        <v>3650</v>
      </c>
      <c r="F398" s="32" t="n">
        <v>2500</v>
      </c>
      <c r="G398" s="32" t="n">
        <v>300</v>
      </c>
      <c r="H398" s="33" t="n">
        <v>1</v>
      </c>
      <c r="I398" s="34" t="n">
        <f aca="false">E398*H398+N(F398)+N(G398)</f>
        <v>6450</v>
      </c>
      <c r="J398" s="32" t="n">
        <f aca="false">ROUND(IFERROR(ROUND(IF(OR(ISNUMBER(SEARCH("week",C398)),ISNUMBER(SEARCH("minggu",C398))),IFERROR(_xlfn.NUMBERVALUE(SUBSTITUTE(LEFT(TRIM(C398),FIND(" ",TRIM(C398)&amp;" ")-1),",","."),"."),LEFT(SUBSTITUTE(LEFT(TRIM(C398),FIND(" ",TRIM(C398)&amp;" ")-1),",","."),FIND("/",SUBSTITUTE(LEFT(TRIM(C398),FIND(" ",TRIM(C398)&amp;" ")-1),",","."))-1)/MID(SUBSTITUTE(LEFT(TRIM(C398),FIND(" ",TRIM(C398)&amp;" ")-1),",","."),FIND("/",SUBSTITUTE(LEFT(TRIM(C398),FIND(" ",TRIM(C398)&amp;" ")-1),",","."))+1,9))*12/52,IF(ISNUMBER(SEARCH("month",C398)),IFERROR(_xlfn.NUMBERVALUE(SUBSTITUTE(LEFT(TRIM(C398),FIND(" ",TRIM(C398)&amp;" ")-1),",","."),"."),LEFT(SUBSTITUTE(LEFT(TRIM(C398),FIND(" ",TRIM(C398)&amp;" ")-1),",","."),FIND("/",SUBSTITUTE(LEFT(TRIM(C398),FIND(" ",TRIM(C398)&amp;" ")-1),",","."))-1)/MID(SUBSTITUTE(LEFT(TRIM(C398),FIND(" ",TRIM(C398)&amp;" ")-1),",","."),FIND("/",SUBSTITUTE(LEFT(TRIM(C398),FIND(" ",TRIM(C398)&amp;" ")-1),",","."))+1,9)),IF(ISNUMBER(SEARCH("yea",C398)),IFERROR(_xlfn.NUMBERVALUE(SUBSTITUTE(LEFT(TRIM(C398),FIND(" ",TRIM(C398)&amp;" ")-1),",","."),"."),LEFT(SUBSTITUTE(LEFT(TRIM(C398),FIND(" ",TRIM(C398)&amp;" ")-1),",","."),FIND("/",SUBSTITUTE(LEFT(TRIM(C398),FIND(" ",TRIM(C398)&amp;" ")-1),",","."))-1)/MID(SUBSTITUTE(LEFT(TRIM(C398),FIND(" ",TRIM(C398)&amp;" ")-1),",","."),FIND("/",SUBSTITUTE(LEFT(TRIM(C398),FIND(" ",TRIM(C398)&amp;" ")-1),",","."))+1,9))*12,NA()))),0),24)*'Aturan &amp; Tarif'!$B$4,2)</f>
        <v>1362.72</v>
      </c>
      <c r="K398" s="32" t="n">
        <f aca="false">'Aturan &amp; Tarif'!$B$5</f>
        <v>2050</v>
      </c>
      <c r="L398" s="32" t="n">
        <f aca="false">'Aturan &amp; Tarif'!$B$6</f>
        <v>350</v>
      </c>
      <c r="M398" s="35" t="n">
        <f aca="false">I398+J398+K398+L398</f>
        <v>10212.72</v>
      </c>
      <c r="N398" s="37" t="s">
        <v>134</v>
      </c>
    </row>
    <row r="399" customFormat="false" ht="37.5" hidden="false" customHeight="true" outlineLevel="0" collapsed="false">
      <c r="A399" s="29"/>
      <c r="B399" s="30" t="s">
        <v>465</v>
      </c>
      <c r="C399" s="31" t="s">
        <v>107</v>
      </c>
      <c r="D399" s="31" t="s">
        <v>108</v>
      </c>
      <c r="E399" s="32" t="n">
        <v>1875</v>
      </c>
      <c r="F399" s="32" t="n">
        <v>500</v>
      </c>
      <c r="G399" s="32" t="n">
        <v>300</v>
      </c>
      <c r="H399" s="33" t="n">
        <v>1</v>
      </c>
      <c r="I399" s="34" t="n">
        <f aca="false">E399*H399+N(F399)+N(G399)</f>
        <v>2675</v>
      </c>
      <c r="J399" s="32" t="n">
        <f aca="false">ROUND(IFERROR(ROUND(IF(OR(ISNUMBER(SEARCH("week",C399)),ISNUMBER(SEARCH("minggu",C399))),IFERROR(_xlfn.NUMBERVALUE(SUBSTITUTE(LEFT(TRIM(C399),FIND(" ",TRIM(C399)&amp;" ")-1),",","."),"."),LEFT(SUBSTITUTE(LEFT(TRIM(C399),FIND(" ",TRIM(C399)&amp;" ")-1),",","."),FIND("/",SUBSTITUTE(LEFT(TRIM(C399),FIND(" ",TRIM(C399)&amp;" ")-1),",","."))-1)/MID(SUBSTITUTE(LEFT(TRIM(C399),FIND(" ",TRIM(C399)&amp;" ")-1),",","."),FIND("/",SUBSTITUTE(LEFT(TRIM(C399),FIND(" ",TRIM(C399)&amp;" ")-1),",","."))+1,9))*12/52,IF(ISNUMBER(SEARCH("month",C399)),IFERROR(_xlfn.NUMBERVALUE(SUBSTITUTE(LEFT(TRIM(C399),FIND(" ",TRIM(C399)&amp;" ")-1),",","."),"."),LEFT(SUBSTITUTE(LEFT(TRIM(C399),FIND(" ",TRIM(C399)&amp;" ")-1),",","."),FIND("/",SUBSTITUTE(LEFT(TRIM(C399),FIND(" ",TRIM(C399)&amp;" ")-1),",","."))-1)/MID(SUBSTITUTE(LEFT(TRIM(C399),FIND(" ",TRIM(C399)&amp;" ")-1),",","."),FIND("/",SUBSTITUTE(LEFT(TRIM(C399),FIND(" ",TRIM(C399)&amp;" ")-1),",","."))+1,9)),IF(ISNUMBER(SEARCH("yea",C399)),IFERROR(_xlfn.NUMBERVALUE(SUBSTITUTE(LEFT(TRIM(C399),FIND(" ",TRIM(C399)&amp;" ")-1),",","."),"."),LEFT(SUBSTITUTE(LEFT(TRIM(C399),FIND(" ",TRIM(C399)&amp;" ")-1),",","."),FIND("/",SUBSTITUTE(LEFT(TRIM(C399),FIND(" ",TRIM(C399)&amp;" ")-1),",","."))-1)/MID(SUBSTITUTE(LEFT(TRIM(C399),FIND(" ",TRIM(C399)&amp;" ")-1),",","."),FIND("/",SUBSTITUTE(LEFT(TRIM(C399),FIND(" ",TRIM(C399)&amp;" ")-1),",","."))+1,9))*12,NA()))),0),24)*'Aturan &amp; Tarif'!$B$4,2)</f>
        <v>1362.72</v>
      </c>
      <c r="K399" s="32" t="n">
        <f aca="false">'Aturan &amp; Tarif'!$B$5</f>
        <v>2050</v>
      </c>
      <c r="L399" s="32" t="n">
        <f aca="false">'Aturan &amp; Tarif'!$B$6</f>
        <v>350</v>
      </c>
      <c r="M399" s="35" t="n">
        <f aca="false">I399+J399+K399+L399</f>
        <v>6437.72</v>
      </c>
      <c r="N399" s="36" t="s">
        <v>1652</v>
      </c>
    </row>
    <row r="400" customFormat="false" ht="72" hidden="false" customHeight="true" outlineLevel="0" collapsed="false">
      <c r="A400" s="29"/>
      <c r="B400" s="30" t="s">
        <v>470</v>
      </c>
      <c r="C400" s="31" t="s">
        <v>107</v>
      </c>
      <c r="D400" s="31" t="s">
        <v>108</v>
      </c>
      <c r="E400" s="32" t="n">
        <v>2750</v>
      </c>
      <c r="F400" s="32"/>
      <c r="G400" s="32" t="n">
        <v>300</v>
      </c>
      <c r="H400" s="33" t="n">
        <v>1</v>
      </c>
      <c r="I400" s="34" t="n">
        <f aca="false">E400*H400+N(F400)+N(G400)</f>
        <v>3050</v>
      </c>
      <c r="J400" s="32" t="n">
        <f aca="false">ROUND(IFERROR(ROUND(IF(OR(ISNUMBER(SEARCH("week",C400)),ISNUMBER(SEARCH("minggu",C400))),IFERROR(_xlfn.NUMBERVALUE(SUBSTITUTE(LEFT(TRIM(C400),FIND(" ",TRIM(C400)&amp;" ")-1),",","."),"."),LEFT(SUBSTITUTE(LEFT(TRIM(C400),FIND(" ",TRIM(C400)&amp;" ")-1),",","."),FIND("/",SUBSTITUTE(LEFT(TRIM(C400),FIND(" ",TRIM(C400)&amp;" ")-1),",","."))-1)/MID(SUBSTITUTE(LEFT(TRIM(C400),FIND(" ",TRIM(C400)&amp;" ")-1),",","."),FIND("/",SUBSTITUTE(LEFT(TRIM(C400),FIND(" ",TRIM(C400)&amp;" ")-1),",","."))+1,9))*12/52,IF(ISNUMBER(SEARCH("month",C400)),IFERROR(_xlfn.NUMBERVALUE(SUBSTITUTE(LEFT(TRIM(C400),FIND(" ",TRIM(C400)&amp;" ")-1),",","."),"."),LEFT(SUBSTITUTE(LEFT(TRIM(C400),FIND(" ",TRIM(C400)&amp;" ")-1),",","."),FIND("/",SUBSTITUTE(LEFT(TRIM(C400),FIND(" ",TRIM(C400)&amp;" ")-1),",","."))-1)/MID(SUBSTITUTE(LEFT(TRIM(C400),FIND(" ",TRIM(C400)&amp;" ")-1),",","."),FIND("/",SUBSTITUTE(LEFT(TRIM(C400),FIND(" ",TRIM(C400)&amp;" ")-1),",","."))+1,9)),IF(ISNUMBER(SEARCH("yea",C400)),IFERROR(_xlfn.NUMBERVALUE(SUBSTITUTE(LEFT(TRIM(C400),FIND(" ",TRIM(C400)&amp;" ")-1),",","."),"."),LEFT(SUBSTITUTE(LEFT(TRIM(C400),FIND(" ",TRIM(C400)&amp;" ")-1),",","."),FIND("/",SUBSTITUTE(LEFT(TRIM(C400),FIND(" ",TRIM(C400)&amp;" ")-1),",","."))-1)/MID(SUBSTITUTE(LEFT(TRIM(C400),FIND(" ",TRIM(C400)&amp;" ")-1),",","."),FIND("/",SUBSTITUTE(LEFT(TRIM(C400),FIND(" ",TRIM(C400)&amp;" ")-1),",","."))+1,9))*12,NA()))),0),24)*'Aturan &amp; Tarif'!$B$4,2)</f>
        <v>1362.72</v>
      </c>
      <c r="K400" s="32" t="n">
        <f aca="false">'Aturan &amp; Tarif'!$B$5</f>
        <v>2050</v>
      </c>
      <c r="L400" s="32" t="n">
        <f aca="false">'Aturan &amp; Tarif'!$B$6</f>
        <v>350</v>
      </c>
      <c r="M400" s="35" t="n">
        <f aca="false">I400+J400+K400+L400</f>
        <v>6812.72</v>
      </c>
      <c r="N400" s="37" t="s">
        <v>1653</v>
      </c>
    </row>
    <row r="401" customFormat="false" ht="25.5" hidden="false" customHeight="true" outlineLevel="0" collapsed="false">
      <c r="A401" s="29"/>
      <c r="B401" s="30" t="s">
        <v>1654</v>
      </c>
      <c r="C401" s="31" t="s">
        <v>138</v>
      </c>
      <c r="D401" s="31" t="s">
        <v>108</v>
      </c>
      <c r="E401" s="32" t="n">
        <v>2300</v>
      </c>
      <c r="F401" s="32" t="n">
        <v>2250</v>
      </c>
      <c r="G401" s="32" t="n">
        <v>300</v>
      </c>
      <c r="H401" s="33" t="n">
        <v>1</v>
      </c>
      <c r="I401" s="34" t="n">
        <f aca="false">E401*H401+N(F401)+N(G401)</f>
        <v>4850</v>
      </c>
      <c r="J401" s="32" t="n">
        <f aca="false">ROUND(IFERROR(ROUND(IF(OR(ISNUMBER(SEARCH("week",C401)),ISNUMBER(SEARCH("minggu",C401))),IFERROR(_xlfn.NUMBERVALUE(SUBSTITUTE(LEFT(TRIM(C401),FIND(" ",TRIM(C401)&amp;" ")-1),",","."),"."),LEFT(SUBSTITUTE(LEFT(TRIM(C401),FIND(" ",TRIM(C401)&amp;" ")-1),",","."),FIND("/",SUBSTITUTE(LEFT(TRIM(C401),FIND(" ",TRIM(C401)&amp;" ")-1),",","."))-1)/MID(SUBSTITUTE(LEFT(TRIM(C401),FIND(" ",TRIM(C401)&amp;" ")-1),",","."),FIND("/",SUBSTITUTE(LEFT(TRIM(C401),FIND(" ",TRIM(C401)&amp;" ")-1),",","."))+1,9))*12/52,IF(ISNUMBER(SEARCH("month",C401)),IFERROR(_xlfn.NUMBERVALUE(SUBSTITUTE(LEFT(TRIM(C401),FIND(" ",TRIM(C401)&amp;" ")-1),",","."),"."),LEFT(SUBSTITUTE(LEFT(TRIM(C401),FIND(" ",TRIM(C401)&amp;" ")-1),",","."),FIND("/",SUBSTITUTE(LEFT(TRIM(C401),FIND(" ",TRIM(C401)&amp;" ")-1),",","."))-1)/MID(SUBSTITUTE(LEFT(TRIM(C401),FIND(" ",TRIM(C401)&amp;" ")-1),",","."),FIND("/",SUBSTITUTE(LEFT(TRIM(C401),FIND(" ",TRIM(C401)&amp;" ")-1),",","."))+1,9)),IF(ISNUMBER(SEARCH("yea",C401)),IFERROR(_xlfn.NUMBERVALUE(SUBSTITUTE(LEFT(TRIM(C401),FIND(" ",TRIM(C401)&amp;" ")-1),",","."),"."),LEFT(SUBSTITUTE(LEFT(TRIM(C401),FIND(" ",TRIM(C401)&amp;" ")-1),",","."),FIND("/",SUBSTITUTE(LEFT(TRIM(C401),FIND(" ",TRIM(C401)&amp;" ")-1),",","."))-1)/MID(SUBSTITUTE(LEFT(TRIM(C401),FIND(" ",TRIM(C401)&amp;" ")-1),",","."),FIND("/",SUBSTITUTE(LEFT(TRIM(C401),FIND(" ",TRIM(C401)&amp;" ")-1),",","."))+1,9))*12,NA()))),0),30)*'Aturan &amp; Tarif'!$B$4,2)</f>
        <v>1703.4</v>
      </c>
      <c r="K401" s="32" t="n">
        <f aca="false">'Aturan &amp; Tarif'!$B$5</f>
        <v>2050</v>
      </c>
      <c r="L401" s="32" t="n">
        <f aca="false">'Aturan &amp; Tarif'!$B$6</f>
        <v>350</v>
      </c>
      <c r="M401" s="35" t="n">
        <f aca="false">I401+J401+K401+L401</f>
        <v>8953.4</v>
      </c>
      <c r="N401" s="36" t="s">
        <v>1655</v>
      </c>
    </row>
    <row r="402" customFormat="false" ht="37.5" hidden="false" customHeight="true" outlineLevel="0" collapsed="false">
      <c r="A402" s="29"/>
      <c r="B402" s="30" t="s">
        <v>1656</v>
      </c>
      <c r="C402" s="31" t="s">
        <v>191</v>
      </c>
      <c r="D402" s="31" t="s">
        <v>108</v>
      </c>
      <c r="E402" s="32" t="n">
        <v>3800</v>
      </c>
      <c r="F402" s="32"/>
      <c r="G402" s="32" t="n">
        <v>300</v>
      </c>
      <c r="H402" s="33" t="n">
        <v>1</v>
      </c>
      <c r="I402" s="34" t="n">
        <f aca="false">E402*H402+N(F402)+N(G402)</f>
        <v>4100</v>
      </c>
      <c r="J402" s="32" t="n">
        <f aca="false">ROUND(IFERROR(ROUND(IF(OR(ISNUMBER(SEARCH("week",C402)),ISNUMBER(SEARCH("minggu",C402))),IFERROR(_xlfn.NUMBERVALUE(SUBSTITUTE(LEFT(TRIM(C402),FIND(" ",TRIM(C402)&amp;" ")-1),",","."),"."),LEFT(SUBSTITUTE(LEFT(TRIM(C402),FIND(" ",TRIM(C402)&amp;" ")-1),",","."),FIND("/",SUBSTITUTE(LEFT(TRIM(C402),FIND(" ",TRIM(C402)&amp;" ")-1),",","."))-1)/MID(SUBSTITUTE(LEFT(TRIM(C402),FIND(" ",TRIM(C402)&amp;" ")-1),",","."),FIND("/",SUBSTITUTE(LEFT(TRIM(C402),FIND(" ",TRIM(C402)&amp;" ")-1),",","."))+1,9))*12/52,IF(ISNUMBER(SEARCH("month",C402)),IFERROR(_xlfn.NUMBERVALUE(SUBSTITUTE(LEFT(TRIM(C402),FIND(" ",TRIM(C402)&amp;" ")-1),",","."),"."),LEFT(SUBSTITUTE(LEFT(TRIM(C402),FIND(" ",TRIM(C402)&amp;" ")-1),",","."),FIND("/",SUBSTITUTE(LEFT(TRIM(C402),FIND(" ",TRIM(C402)&amp;" ")-1),",","."))-1)/MID(SUBSTITUTE(LEFT(TRIM(C402),FIND(" ",TRIM(C402)&amp;" ")-1),",","."),FIND("/",SUBSTITUTE(LEFT(TRIM(C402),FIND(" ",TRIM(C402)&amp;" ")-1),",","."))+1,9)),IF(ISNUMBER(SEARCH("yea",C402)),IFERROR(_xlfn.NUMBERVALUE(SUBSTITUTE(LEFT(TRIM(C402),FIND(" ",TRIM(C402)&amp;" ")-1),",","."),"."),LEFT(SUBSTITUTE(LEFT(TRIM(C402),FIND(" ",TRIM(C402)&amp;" ")-1),",","."),FIND("/",SUBSTITUTE(LEFT(TRIM(C402),FIND(" ",TRIM(C402)&amp;" ")-1),",","."))-1)/MID(SUBSTITUTE(LEFT(TRIM(C402),FIND(" ",TRIM(C402)&amp;" ")-1),",","."),FIND("/",SUBSTITUTE(LEFT(TRIM(C402),FIND(" ",TRIM(C402)&amp;" ")-1),",","."))+1,9))*12,NA()))),0),48)*'Aturan &amp; Tarif'!$B$4,2)</f>
        <v>2725.44</v>
      </c>
      <c r="K402" s="32" t="n">
        <f aca="false">'Aturan &amp; Tarif'!$B$5</f>
        <v>2050</v>
      </c>
      <c r="L402" s="32" t="n">
        <f aca="false">'Aturan &amp; Tarif'!$B$6</f>
        <v>350</v>
      </c>
      <c r="M402" s="35" t="n">
        <f aca="false">I402+J402+K402+L402</f>
        <v>9225.44</v>
      </c>
      <c r="N402" s="37" t="s">
        <v>1653</v>
      </c>
    </row>
    <row r="403" customFormat="false" ht="25.5" hidden="false" customHeight="true" outlineLevel="0" collapsed="false">
      <c r="A403" s="29"/>
      <c r="B403" s="30" t="s">
        <v>1657</v>
      </c>
      <c r="C403" s="31" t="s">
        <v>245</v>
      </c>
      <c r="D403" s="31" t="s">
        <v>108</v>
      </c>
      <c r="E403" s="32" t="n">
        <v>3800</v>
      </c>
      <c r="F403" s="32"/>
      <c r="G403" s="32" t="n">
        <v>300</v>
      </c>
      <c r="H403" s="33" t="n">
        <v>1</v>
      </c>
      <c r="I403" s="34" t="n">
        <f aca="false">E403*H403+N(F403)+N(G403)</f>
        <v>4100</v>
      </c>
      <c r="J403" s="32" t="n">
        <f aca="false">ROUND(IFERROR(ROUND(IF(OR(ISNUMBER(SEARCH("week",C403)),ISNUMBER(SEARCH("minggu",C403))),IFERROR(_xlfn.NUMBERVALUE(SUBSTITUTE(LEFT(TRIM(C403),FIND(" ",TRIM(C403)&amp;" ")-1),",","."),"."),LEFT(SUBSTITUTE(LEFT(TRIM(C403),FIND(" ",TRIM(C403)&amp;" ")-1),",","."),FIND("/",SUBSTITUTE(LEFT(TRIM(C403),FIND(" ",TRIM(C403)&amp;" ")-1),",","."))-1)/MID(SUBSTITUTE(LEFT(TRIM(C403),FIND(" ",TRIM(C403)&amp;" ")-1),",","."),FIND("/",SUBSTITUTE(LEFT(TRIM(C403),FIND(" ",TRIM(C403)&amp;" ")-1),",","."))+1,9))*12/52,IF(ISNUMBER(SEARCH("month",C403)),IFERROR(_xlfn.NUMBERVALUE(SUBSTITUTE(LEFT(TRIM(C403),FIND(" ",TRIM(C403)&amp;" ")-1),",","."),"."),LEFT(SUBSTITUTE(LEFT(TRIM(C403),FIND(" ",TRIM(C403)&amp;" ")-1),",","."),FIND("/",SUBSTITUTE(LEFT(TRIM(C403),FIND(" ",TRIM(C403)&amp;" ")-1),",","."))-1)/MID(SUBSTITUTE(LEFT(TRIM(C403),FIND(" ",TRIM(C403)&amp;" ")-1),",","."),FIND("/",SUBSTITUTE(LEFT(TRIM(C403),FIND(" ",TRIM(C403)&amp;" ")-1),",","."))+1,9)),IF(ISNUMBER(SEARCH("yea",C403)),IFERROR(_xlfn.NUMBERVALUE(SUBSTITUTE(LEFT(TRIM(C403),FIND(" ",TRIM(C403)&amp;" ")-1),",","."),"."),LEFT(SUBSTITUTE(LEFT(TRIM(C403),FIND(" ",TRIM(C403)&amp;" ")-1),",","."),FIND("/",SUBSTITUTE(LEFT(TRIM(C403),FIND(" ",TRIM(C403)&amp;" ")-1),",","."))-1)/MID(SUBSTITUTE(LEFT(TRIM(C403),FIND(" ",TRIM(C403)&amp;" ")-1),",","."),FIND("/",SUBSTITUTE(LEFT(TRIM(C403),FIND(" ",TRIM(C403)&amp;" ")-1),",","."))+1,9))*12,NA()))),0),60)*'Aturan &amp; Tarif'!$B$4,2)</f>
        <v>3406.8</v>
      </c>
      <c r="K403" s="32" t="n">
        <f aca="false">'Aturan &amp; Tarif'!$B$5</f>
        <v>2050</v>
      </c>
      <c r="L403" s="32" t="n">
        <f aca="false">'Aturan &amp; Tarif'!$B$6</f>
        <v>350</v>
      </c>
      <c r="M403" s="35" t="n">
        <f aca="false">I403+J403+K403+L403</f>
        <v>9906.8</v>
      </c>
      <c r="N403" s="37" t="s">
        <v>1658</v>
      </c>
    </row>
    <row r="404" customFormat="false" ht="37.5" hidden="false" customHeight="true" outlineLevel="0" collapsed="false">
      <c r="A404" s="29"/>
      <c r="B404" s="30" t="s">
        <v>1656</v>
      </c>
      <c r="C404" s="31" t="s">
        <v>191</v>
      </c>
      <c r="D404" s="31" t="s">
        <v>108</v>
      </c>
      <c r="E404" s="32" t="n">
        <v>3800</v>
      </c>
      <c r="F404" s="32"/>
      <c r="G404" s="32" t="n">
        <v>300</v>
      </c>
      <c r="H404" s="33" t="n">
        <v>1</v>
      </c>
      <c r="I404" s="34" t="n">
        <f aca="false">E404*H404+N(F404)+N(G404)</f>
        <v>4100</v>
      </c>
      <c r="J404" s="32" t="n">
        <f aca="false">ROUND(IFERROR(ROUND(IF(OR(ISNUMBER(SEARCH("week",C404)),ISNUMBER(SEARCH("minggu",C404))),IFERROR(_xlfn.NUMBERVALUE(SUBSTITUTE(LEFT(TRIM(C404),FIND(" ",TRIM(C404)&amp;" ")-1),",","."),"."),LEFT(SUBSTITUTE(LEFT(TRIM(C404),FIND(" ",TRIM(C404)&amp;" ")-1),",","."),FIND("/",SUBSTITUTE(LEFT(TRIM(C404),FIND(" ",TRIM(C404)&amp;" ")-1),",","."))-1)/MID(SUBSTITUTE(LEFT(TRIM(C404),FIND(" ",TRIM(C404)&amp;" ")-1),",","."),FIND("/",SUBSTITUTE(LEFT(TRIM(C404),FIND(" ",TRIM(C404)&amp;" ")-1),",","."))+1,9))*12/52,IF(ISNUMBER(SEARCH("month",C404)),IFERROR(_xlfn.NUMBERVALUE(SUBSTITUTE(LEFT(TRIM(C404),FIND(" ",TRIM(C404)&amp;" ")-1),",","."),"."),LEFT(SUBSTITUTE(LEFT(TRIM(C404),FIND(" ",TRIM(C404)&amp;" ")-1),",","."),FIND("/",SUBSTITUTE(LEFT(TRIM(C404),FIND(" ",TRIM(C404)&amp;" ")-1),",","."))-1)/MID(SUBSTITUTE(LEFT(TRIM(C404),FIND(" ",TRIM(C404)&amp;" ")-1),",","."),FIND("/",SUBSTITUTE(LEFT(TRIM(C404),FIND(" ",TRIM(C404)&amp;" ")-1),",","."))+1,9)),IF(ISNUMBER(SEARCH("yea",C404)),IFERROR(_xlfn.NUMBERVALUE(SUBSTITUTE(LEFT(TRIM(C404),FIND(" ",TRIM(C404)&amp;" ")-1),",","."),"."),LEFT(SUBSTITUTE(LEFT(TRIM(C404),FIND(" ",TRIM(C404)&amp;" ")-1),",","."),FIND("/",SUBSTITUTE(LEFT(TRIM(C404),FIND(" ",TRIM(C404)&amp;" ")-1),",","."))-1)/MID(SUBSTITUTE(LEFT(TRIM(C404),FIND(" ",TRIM(C404)&amp;" ")-1),",","."),FIND("/",SUBSTITUTE(LEFT(TRIM(C404),FIND(" ",TRIM(C404)&amp;" ")-1),",","."))+1,9))*12,NA()))),0),48)*'Aturan &amp; Tarif'!$B$4,2)</f>
        <v>2725.44</v>
      </c>
      <c r="K404" s="32" t="n">
        <f aca="false">'Aturan &amp; Tarif'!$B$5</f>
        <v>2050</v>
      </c>
      <c r="L404" s="32" t="n">
        <f aca="false">'Aturan &amp; Tarif'!$B$6</f>
        <v>350</v>
      </c>
      <c r="M404" s="35" t="n">
        <f aca="false">I404+J404+K404+L404</f>
        <v>9225.44</v>
      </c>
      <c r="N404" s="37" t="s">
        <v>1653</v>
      </c>
    </row>
    <row r="405" customFormat="false" ht="25.5" hidden="false" customHeight="true" outlineLevel="0" collapsed="false">
      <c r="A405" s="29"/>
      <c r="B405" s="30" t="s">
        <v>1659</v>
      </c>
      <c r="C405" s="31" t="s">
        <v>245</v>
      </c>
      <c r="D405" s="31" t="s">
        <v>108</v>
      </c>
      <c r="E405" s="32" t="n">
        <v>3800</v>
      </c>
      <c r="F405" s="32"/>
      <c r="G405" s="32" t="n">
        <v>300</v>
      </c>
      <c r="H405" s="33" t="n">
        <v>1</v>
      </c>
      <c r="I405" s="34" t="n">
        <f aca="false">E405*H405+N(F405)+N(G405)</f>
        <v>4100</v>
      </c>
      <c r="J405" s="32" t="n">
        <f aca="false">ROUND(IFERROR(ROUND(IF(OR(ISNUMBER(SEARCH("week",C405)),ISNUMBER(SEARCH("minggu",C405))),IFERROR(_xlfn.NUMBERVALUE(SUBSTITUTE(LEFT(TRIM(C405),FIND(" ",TRIM(C405)&amp;" ")-1),",","."),"."),LEFT(SUBSTITUTE(LEFT(TRIM(C405),FIND(" ",TRIM(C405)&amp;" ")-1),",","."),FIND("/",SUBSTITUTE(LEFT(TRIM(C405),FIND(" ",TRIM(C405)&amp;" ")-1),",","."))-1)/MID(SUBSTITUTE(LEFT(TRIM(C405),FIND(" ",TRIM(C405)&amp;" ")-1),",","."),FIND("/",SUBSTITUTE(LEFT(TRIM(C405),FIND(" ",TRIM(C405)&amp;" ")-1),",","."))+1,9))*12/52,IF(ISNUMBER(SEARCH("month",C405)),IFERROR(_xlfn.NUMBERVALUE(SUBSTITUTE(LEFT(TRIM(C405),FIND(" ",TRIM(C405)&amp;" ")-1),",","."),"."),LEFT(SUBSTITUTE(LEFT(TRIM(C405),FIND(" ",TRIM(C405)&amp;" ")-1),",","."),FIND("/",SUBSTITUTE(LEFT(TRIM(C405),FIND(" ",TRIM(C405)&amp;" ")-1),",","."))-1)/MID(SUBSTITUTE(LEFT(TRIM(C405),FIND(" ",TRIM(C405)&amp;" ")-1),",","."),FIND("/",SUBSTITUTE(LEFT(TRIM(C405),FIND(" ",TRIM(C405)&amp;" ")-1),",","."))+1,9)),IF(ISNUMBER(SEARCH("yea",C405)),IFERROR(_xlfn.NUMBERVALUE(SUBSTITUTE(LEFT(TRIM(C405),FIND(" ",TRIM(C405)&amp;" ")-1),",","."),"."),LEFT(SUBSTITUTE(LEFT(TRIM(C405),FIND(" ",TRIM(C405)&amp;" ")-1),",","."),FIND("/",SUBSTITUTE(LEFT(TRIM(C405),FIND(" ",TRIM(C405)&amp;" ")-1),",","."))-1)/MID(SUBSTITUTE(LEFT(TRIM(C405),FIND(" ",TRIM(C405)&amp;" ")-1),",","."),FIND("/",SUBSTITUTE(LEFT(TRIM(C405),FIND(" ",TRIM(C405)&amp;" ")-1),",","."))+1,9))*12,NA()))),0),60)*'Aturan &amp; Tarif'!$B$4,2)</f>
        <v>3406.8</v>
      </c>
      <c r="K405" s="32" t="n">
        <f aca="false">'Aturan &amp; Tarif'!$B$5</f>
        <v>2050</v>
      </c>
      <c r="L405" s="32" t="n">
        <f aca="false">'Aturan &amp; Tarif'!$B$6</f>
        <v>350</v>
      </c>
      <c r="M405" s="35" t="n">
        <f aca="false">I405+J405+K405+L405</f>
        <v>9906.8</v>
      </c>
      <c r="N405" s="37" t="s">
        <v>1658</v>
      </c>
    </row>
    <row r="406" customFormat="false" ht="25.5" hidden="false" customHeight="true" outlineLevel="0" collapsed="false">
      <c r="A406" s="29"/>
      <c r="B406" s="30" t="s">
        <v>2330</v>
      </c>
      <c r="C406" s="31" t="s">
        <v>191</v>
      </c>
      <c r="D406" s="31" t="s">
        <v>108</v>
      </c>
      <c r="E406" s="32" t="n">
        <v>1800</v>
      </c>
      <c r="F406" s="32" t="n">
        <v>250</v>
      </c>
      <c r="G406" s="32" t="n">
        <v>300</v>
      </c>
      <c r="H406" s="33" t="n">
        <v>1</v>
      </c>
      <c r="I406" s="34" t="n">
        <f aca="false">E406*H406+N(F406)+N(G406)</f>
        <v>2350</v>
      </c>
      <c r="J406" s="32" t="n">
        <f aca="false">ROUND(IFERROR(ROUND(IF(OR(ISNUMBER(SEARCH("week",C406)),ISNUMBER(SEARCH("minggu",C406))),IFERROR(_xlfn.NUMBERVALUE(SUBSTITUTE(LEFT(TRIM(C406),FIND(" ",TRIM(C406)&amp;" ")-1),",","."),"."),LEFT(SUBSTITUTE(LEFT(TRIM(C406),FIND(" ",TRIM(C406)&amp;" ")-1),",","."),FIND("/",SUBSTITUTE(LEFT(TRIM(C406),FIND(" ",TRIM(C406)&amp;" ")-1),",","."))-1)/MID(SUBSTITUTE(LEFT(TRIM(C406),FIND(" ",TRIM(C406)&amp;" ")-1),",","."),FIND("/",SUBSTITUTE(LEFT(TRIM(C406),FIND(" ",TRIM(C406)&amp;" ")-1),",","."))+1,9))*12/52,IF(ISNUMBER(SEARCH("month",C406)),IFERROR(_xlfn.NUMBERVALUE(SUBSTITUTE(LEFT(TRIM(C406),FIND(" ",TRIM(C406)&amp;" ")-1),",","."),"."),LEFT(SUBSTITUTE(LEFT(TRIM(C406),FIND(" ",TRIM(C406)&amp;" ")-1),",","."),FIND("/",SUBSTITUTE(LEFT(TRIM(C406),FIND(" ",TRIM(C406)&amp;" ")-1),",","."))-1)/MID(SUBSTITUTE(LEFT(TRIM(C406),FIND(" ",TRIM(C406)&amp;" ")-1),",","."),FIND("/",SUBSTITUTE(LEFT(TRIM(C406),FIND(" ",TRIM(C406)&amp;" ")-1),",","."))+1,9)),IF(ISNUMBER(SEARCH("yea",C406)),IFERROR(_xlfn.NUMBERVALUE(SUBSTITUTE(LEFT(TRIM(C406),FIND(" ",TRIM(C406)&amp;" ")-1),",","."),"."),LEFT(SUBSTITUTE(LEFT(TRIM(C406),FIND(" ",TRIM(C406)&amp;" ")-1),",","."),FIND("/",SUBSTITUTE(LEFT(TRIM(C406),FIND(" ",TRIM(C406)&amp;" ")-1),",","."))-1)/MID(SUBSTITUTE(LEFT(TRIM(C406),FIND(" ",TRIM(C406)&amp;" ")-1),",","."),FIND("/",SUBSTITUTE(LEFT(TRIM(C406),FIND(" ",TRIM(C406)&amp;" ")-1),",","."))+1,9))*12,NA()))),0),48)*'Aturan &amp; Tarif'!$B$4,2)</f>
        <v>2725.44</v>
      </c>
      <c r="K406" s="32" t="n">
        <f aca="false">'Aturan &amp; Tarif'!$B$5</f>
        <v>2050</v>
      </c>
      <c r="L406" s="32" t="n">
        <f aca="false">'Aturan &amp; Tarif'!$B$6</f>
        <v>350</v>
      </c>
      <c r="M406" s="35" t="n">
        <f aca="false">I406+J406+K406+L406</f>
        <v>7475.44</v>
      </c>
      <c r="N406" s="37" t="s">
        <v>134</v>
      </c>
    </row>
    <row r="407" customFormat="false" ht="14.25" hidden="false" customHeight="true" outlineLevel="0" collapsed="false">
      <c r="A407" s="29"/>
      <c r="B407" s="30" t="s">
        <v>2331</v>
      </c>
      <c r="C407" s="31" t="s">
        <v>191</v>
      </c>
      <c r="D407" s="31" t="s">
        <v>108</v>
      </c>
      <c r="E407" s="32" t="n">
        <v>1800</v>
      </c>
      <c r="F407" s="32" t="n">
        <v>250</v>
      </c>
      <c r="G407" s="32" t="n">
        <v>300</v>
      </c>
      <c r="H407" s="33" t="n">
        <v>1</v>
      </c>
      <c r="I407" s="34" t="n">
        <f aca="false">E407*H407+N(F407)+N(G407)</f>
        <v>2350</v>
      </c>
      <c r="J407" s="32" t="n">
        <f aca="false">ROUND(IFERROR(ROUND(IF(OR(ISNUMBER(SEARCH("week",C407)),ISNUMBER(SEARCH("minggu",C407))),IFERROR(_xlfn.NUMBERVALUE(SUBSTITUTE(LEFT(TRIM(C407),FIND(" ",TRIM(C407)&amp;" ")-1),",","."),"."),LEFT(SUBSTITUTE(LEFT(TRIM(C407),FIND(" ",TRIM(C407)&amp;" ")-1),",","."),FIND("/",SUBSTITUTE(LEFT(TRIM(C407),FIND(" ",TRIM(C407)&amp;" ")-1),",","."))-1)/MID(SUBSTITUTE(LEFT(TRIM(C407),FIND(" ",TRIM(C407)&amp;" ")-1),",","."),FIND("/",SUBSTITUTE(LEFT(TRIM(C407),FIND(" ",TRIM(C407)&amp;" ")-1),",","."))+1,9))*12/52,IF(ISNUMBER(SEARCH("month",C407)),IFERROR(_xlfn.NUMBERVALUE(SUBSTITUTE(LEFT(TRIM(C407),FIND(" ",TRIM(C407)&amp;" ")-1),",","."),"."),LEFT(SUBSTITUTE(LEFT(TRIM(C407),FIND(" ",TRIM(C407)&amp;" ")-1),",","."),FIND("/",SUBSTITUTE(LEFT(TRIM(C407),FIND(" ",TRIM(C407)&amp;" ")-1),",","."))-1)/MID(SUBSTITUTE(LEFT(TRIM(C407),FIND(" ",TRIM(C407)&amp;" ")-1),",","."),FIND("/",SUBSTITUTE(LEFT(TRIM(C407),FIND(" ",TRIM(C407)&amp;" ")-1),",","."))+1,9)),IF(ISNUMBER(SEARCH("yea",C407)),IFERROR(_xlfn.NUMBERVALUE(SUBSTITUTE(LEFT(TRIM(C407),FIND(" ",TRIM(C407)&amp;" ")-1),",","."),"."),LEFT(SUBSTITUTE(LEFT(TRIM(C407),FIND(" ",TRIM(C407)&amp;" ")-1),",","."),FIND("/",SUBSTITUTE(LEFT(TRIM(C407),FIND(" ",TRIM(C407)&amp;" ")-1),",","."))-1)/MID(SUBSTITUTE(LEFT(TRIM(C407),FIND(" ",TRIM(C407)&amp;" ")-1),",","."),FIND("/",SUBSTITUTE(LEFT(TRIM(C407),FIND(" ",TRIM(C407)&amp;" ")-1),",","."))+1,9))*12,NA()))),0),48)*'Aturan &amp; Tarif'!$B$4,2)</f>
        <v>2725.44</v>
      </c>
      <c r="K407" s="32" t="n">
        <f aca="false">'Aturan &amp; Tarif'!$B$5</f>
        <v>2050</v>
      </c>
      <c r="L407" s="32" t="n">
        <f aca="false">'Aturan &amp; Tarif'!$B$6</f>
        <v>350</v>
      </c>
      <c r="M407" s="35" t="n">
        <f aca="false">I407+J407+K407+L407</f>
        <v>7475.44</v>
      </c>
      <c r="N407" s="37" t="s">
        <v>134</v>
      </c>
    </row>
    <row r="408" customFormat="false" ht="25.5" hidden="false" customHeight="true" outlineLevel="0" collapsed="false">
      <c r="A408" s="29"/>
      <c r="B408" s="30" t="s">
        <v>2943</v>
      </c>
      <c r="C408" s="31" t="s">
        <v>344</v>
      </c>
      <c r="D408" s="31" t="s">
        <v>108</v>
      </c>
      <c r="E408" s="32" t="n">
        <v>3500</v>
      </c>
      <c r="F408" s="32"/>
      <c r="G408" s="32" t="n">
        <v>300</v>
      </c>
      <c r="H408" s="33" t="n">
        <v>1</v>
      </c>
      <c r="I408" s="34" t="n">
        <f aca="false">E408*H408+N(F408)+N(G408)</f>
        <v>3800</v>
      </c>
      <c r="J408" s="32" t="n">
        <f aca="false">ROUND(IFERROR(ROUND(IF(OR(ISNUMBER(SEARCH("week",C408)),ISNUMBER(SEARCH("minggu",C408))),IFERROR(_xlfn.NUMBERVALUE(SUBSTITUTE(LEFT(TRIM(C408),FIND(" ",TRIM(C408)&amp;" ")-1),",","."),"."),LEFT(SUBSTITUTE(LEFT(TRIM(C408),FIND(" ",TRIM(C408)&amp;" ")-1),",","."),FIND("/",SUBSTITUTE(LEFT(TRIM(C408),FIND(" ",TRIM(C408)&amp;" ")-1),",","."))-1)/MID(SUBSTITUTE(LEFT(TRIM(C408),FIND(" ",TRIM(C408)&amp;" ")-1),",","."),FIND("/",SUBSTITUTE(LEFT(TRIM(C408),FIND(" ",TRIM(C408)&amp;" ")-1),",","."))+1,9))*12/52,IF(ISNUMBER(SEARCH("month",C408)),IFERROR(_xlfn.NUMBERVALUE(SUBSTITUTE(LEFT(TRIM(C408),FIND(" ",TRIM(C408)&amp;" ")-1),",","."),"."),LEFT(SUBSTITUTE(LEFT(TRIM(C408),FIND(" ",TRIM(C408)&amp;" ")-1),",","."),FIND("/",SUBSTITUTE(LEFT(TRIM(C408),FIND(" ",TRIM(C408)&amp;" ")-1),",","."))-1)/MID(SUBSTITUTE(LEFT(TRIM(C408),FIND(" ",TRIM(C408)&amp;" ")-1),",","."),FIND("/",SUBSTITUTE(LEFT(TRIM(C408),FIND(" ",TRIM(C408)&amp;" ")-1),",","."))+1,9)),IF(ISNUMBER(SEARCH("yea",C408)),IFERROR(_xlfn.NUMBERVALUE(SUBSTITUTE(LEFT(TRIM(C408),FIND(" ",TRIM(C408)&amp;" ")-1),",","."),"."),LEFT(SUBSTITUTE(LEFT(TRIM(C408),FIND(" ",TRIM(C408)&amp;" ")-1),",","."),FIND("/",SUBSTITUTE(LEFT(TRIM(C408),FIND(" ",TRIM(C408)&amp;" ")-1),",","."))-1)/MID(SUBSTITUTE(LEFT(TRIM(C408),FIND(" ",TRIM(C408)&amp;" ")-1),",","."),FIND("/",SUBSTITUTE(LEFT(TRIM(C408),FIND(" ",TRIM(C408)&amp;" ")-1),",","."))+1,9))*12,NA()))),0),6)*'Aturan &amp; Tarif'!$B$4,2)</f>
        <v>340.68</v>
      </c>
      <c r="K408" s="32" t="n">
        <f aca="false">'Aturan &amp; Tarif'!$B$5</f>
        <v>2050</v>
      </c>
      <c r="L408" s="32" t="n">
        <f aca="false">'Aturan &amp; Tarif'!$B$6</f>
        <v>350</v>
      </c>
      <c r="M408" s="35" t="n">
        <f aca="false">I408+J408+K408+L408</f>
        <v>6540.68</v>
      </c>
      <c r="N408" s="37" t="s">
        <v>1653</v>
      </c>
    </row>
    <row r="409" customFormat="false" ht="37.5" hidden="false" customHeight="true" outlineLevel="0" collapsed="false">
      <c r="A409" s="29"/>
      <c r="B409" s="30" t="s">
        <v>2332</v>
      </c>
      <c r="C409" s="31" t="s">
        <v>107</v>
      </c>
      <c r="D409" s="31" t="s">
        <v>108</v>
      </c>
      <c r="E409" s="32" t="n">
        <v>2800</v>
      </c>
      <c r="F409" s="32" t="n">
        <v>1000</v>
      </c>
      <c r="G409" s="32" t="n">
        <v>300</v>
      </c>
      <c r="H409" s="33" t="n">
        <v>1</v>
      </c>
      <c r="I409" s="34" t="n">
        <f aca="false">E409*H409+N(F409)+N(G409)</f>
        <v>4100</v>
      </c>
      <c r="J409" s="32" t="n">
        <f aca="false">ROUND(IFERROR(ROUND(IF(OR(ISNUMBER(SEARCH("week",C409)),ISNUMBER(SEARCH("minggu",C409))),IFERROR(_xlfn.NUMBERVALUE(SUBSTITUTE(LEFT(TRIM(C409),FIND(" ",TRIM(C409)&amp;" ")-1),",","."),"."),LEFT(SUBSTITUTE(LEFT(TRIM(C409),FIND(" ",TRIM(C409)&amp;" ")-1),",","."),FIND("/",SUBSTITUTE(LEFT(TRIM(C409),FIND(" ",TRIM(C409)&amp;" ")-1),",","."))-1)/MID(SUBSTITUTE(LEFT(TRIM(C409),FIND(" ",TRIM(C409)&amp;" ")-1),",","."),FIND("/",SUBSTITUTE(LEFT(TRIM(C409),FIND(" ",TRIM(C409)&amp;" ")-1),",","."))+1,9))*12/52,IF(ISNUMBER(SEARCH("month",C409)),IFERROR(_xlfn.NUMBERVALUE(SUBSTITUTE(LEFT(TRIM(C409),FIND(" ",TRIM(C409)&amp;" ")-1),",","."),"."),LEFT(SUBSTITUTE(LEFT(TRIM(C409),FIND(" ",TRIM(C409)&amp;" ")-1),",","."),FIND("/",SUBSTITUTE(LEFT(TRIM(C409),FIND(" ",TRIM(C409)&amp;" ")-1),",","."))-1)/MID(SUBSTITUTE(LEFT(TRIM(C409),FIND(" ",TRIM(C409)&amp;" ")-1),",","."),FIND("/",SUBSTITUTE(LEFT(TRIM(C409),FIND(" ",TRIM(C409)&amp;" ")-1),",","."))+1,9)),IF(ISNUMBER(SEARCH("yea",C409)),IFERROR(_xlfn.NUMBERVALUE(SUBSTITUTE(LEFT(TRIM(C409),FIND(" ",TRIM(C409)&amp;" ")-1),",","."),"."),LEFT(SUBSTITUTE(LEFT(TRIM(C409),FIND(" ",TRIM(C409)&amp;" ")-1),",","."),FIND("/",SUBSTITUTE(LEFT(TRIM(C409),FIND(" ",TRIM(C409)&amp;" ")-1),",","."))-1)/MID(SUBSTITUTE(LEFT(TRIM(C409),FIND(" ",TRIM(C409)&amp;" ")-1),",","."),FIND("/",SUBSTITUTE(LEFT(TRIM(C409),FIND(" ",TRIM(C409)&amp;" ")-1),",","."))+1,9))*12,NA()))),0),24)*'Aturan &amp; Tarif'!$B$4,2)</f>
        <v>1362.72</v>
      </c>
      <c r="K409" s="32" t="n">
        <f aca="false">'Aturan &amp; Tarif'!$B$5</f>
        <v>2050</v>
      </c>
      <c r="L409" s="32" t="n">
        <f aca="false">'Aturan &amp; Tarif'!$B$6</f>
        <v>350</v>
      </c>
      <c r="M409" s="35" t="n">
        <f aca="false">I409+J409+K409+L409</f>
        <v>7862.72</v>
      </c>
      <c r="N409" s="36" t="s">
        <v>131</v>
      </c>
    </row>
    <row r="410" customFormat="false" ht="37.5" hidden="false" customHeight="true" outlineLevel="0" collapsed="false">
      <c r="A410" s="39" t="s">
        <v>2944</v>
      </c>
      <c r="B410" s="40" t="s">
        <v>2798</v>
      </c>
      <c r="C410" s="41" t="s">
        <v>138</v>
      </c>
      <c r="D410" s="41" t="s">
        <v>108</v>
      </c>
      <c r="E410" s="42" t="n">
        <v>2100</v>
      </c>
      <c r="F410" s="42" t="n">
        <v>1250</v>
      </c>
      <c r="G410" s="42" t="n">
        <v>250</v>
      </c>
      <c r="H410" s="43" t="n">
        <v>1</v>
      </c>
      <c r="I410" s="34" t="n">
        <f aca="false">E410*H410+N(F410)+N(G410)</f>
        <v>3600</v>
      </c>
      <c r="J410" s="42" t="n">
        <f aca="false">ROUND(IFERROR(ROUND(IF(OR(ISNUMBER(SEARCH("week",C410)),ISNUMBER(SEARCH("minggu",C410))),IFERROR(_xlfn.NUMBERVALUE(SUBSTITUTE(LEFT(TRIM(C410),FIND(" ",TRIM(C410)&amp;" ")-1),",","."),"."),LEFT(SUBSTITUTE(LEFT(TRIM(C410),FIND(" ",TRIM(C410)&amp;" ")-1),",","."),FIND("/",SUBSTITUTE(LEFT(TRIM(C410),FIND(" ",TRIM(C410)&amp;" ")-1),",","."))-1)/MID(SUBSTITUTE(LEFT(TRIM(C410),FIND(" ",TRIM(C410)&amp;" ")-1),",","."),FIND("/",SUBSTITUTE(LEFT(TRIM(C410),FIND(" ",TRIM(C410)&amp;" ")-1),",","."))+1,9))*12/52,IF(ISNUMBER(SEARCH("month",C410)),IFERROR(_xlfn.NUMBERVALUE(SUBSTITUTE(LEFT(TRIM(C410),FIND(" ",TRIM(C410)&amp;" ")-1),",","."),"."),LEFT(SUBSTITUTE(LEFT(TRIM(C410),FIND(" ",TRIM(C410)&amp;" ")-1),",","."),FIND("/",SUBSTITUTE(LEFT(TRIM(C410),FIND(" ",TRIM(C410)&amp;" ")-1),",","."))-1)/MID(SUBSTITUTE(LEFT(TRIM(C410),FIND(" ",TRIM(C410)&amp;" ")-1),",","."),FIND("/",SUBSTITUTE(LEFT(TRIM(C410),FIND(" ",TRIM(C410)&amp;" ")-1),",","."))+1,9)),IF(ISNUMBER(SEARCH("yea",C410)),IFERROR(_xlfn.NUMBERVALUE(SUBSTITUTE(LEFT(TRIM(C410),FIND(" ",TRIM(C410)&amp;" ")-1),",","."),"."),LEFT(SUBSTITUTE(LEFT(TRIM(C410),FIND(" ",TRIM(C410)&amp;" ")-1),",","."),FIND("/",SUBSTITUTE(LEFT(TRIM(C410),FIND(" ",TRIM(C410)&amp;" ")-1),",","."))-1)/MID(SUBSTITUTE(LEFT(TRIM(C410),FIND(" ",TRIM(C410)&amp;" ")-1),",","."),FIND("/",SUBSTITUTE(LEFT(TRIM(C410),FIND(" ",TRIM(C410)&amp;" ")-1),",","."))+1,9))*12,NA()))),0),30)*'Aturan &amp; Tarif'!$B$4,2)</f>
        <v>1703.4</v>
      </c>
      <c r="K410" s="42" t="n">
        <f aca="false">'Aturan &amp; Tarif'!$B$5</f>
        <v>2050</v>
      </c>
      <c r="L410" s="42" t="n">
        <f aca="false">'Aturan &amp; Tarif'!$B$6</f>
        <v>350</v>
      </c>
      <c r="M410" s="35" t="n">
        <f aca="false">I410+J410+K410+L410</f>
        <v>7703.4</v>
      </c>
      <c r="N410" s="45" t="s">
        <v>134</v>
      </c>
    </row>
    <row r="411" customFormat="false" ht="25.5" hidden="false" customHeight="true" outlineLevel="0" collapsed="false">
      <c r="A411" s="39"/>
      <c r="B411" s="40" t="s">
        <v>2945</v>
      </c>
      <c r="C411" s="41" t="s">
        <v>113</v>
      </c>
      <c r="D411" s="41" t="s">
        <v>108</v>
      </c>
      <c r="E411" s="42" t="n">
        <v>2375</v>
      </c>
      <c r="F411" s="42" t="n">
        <v>1250</v>
      </c>
      <c r="G411" s="42" t="n">
        <v>250</v>
      </c>
      <c r="H411" s="43" t="n">
        <v>1</v>
      </c>
      <c r="I411" s="34" t="n">
        <f aca="false">E411*H411+N(F411)+N(G411)</f>
        <v>3875</v>
      </c>
      <c r="J411" s="42" t="n">
        <f aca="false">ROUND(IFERROR(ROUND(IF(OR(ISNUMBER(SEARCH("week",C411)),ISNUMBER(SEARCH("minggu",C411))),IFERROR(_xlfn.NUMBERVALUE(SUBSTITUTE(LEFT(TRIM(C411),FIND(" ",TRIM(C411)&amp;" ")-1),",","."),"."),LEFT(SUBSTITUTE(LEFT(TRIM(C411),FIND(" ",TRIM(C411)&amp;" ")-1),",","."),FIND("/",SUBSTITUTE(LEFT(TRIM(C411),FIND(" ",TRIM(C411)&amp;" ")-1),",","."))-1)/MID(SUBSTITUTE(LEFT(TRIM(C411),FIND(" ",TRIM(C411)&amp;" ")-1),",","."),FIND("/",SUBSTITUTE(LEFT(TRIM(C411),FIND(" ",TRIM(C411)&amp;" ")-1),",","."))+1,9))*12/52,IF(ISNUMBER(SEARCH("month",C411)),IFERROR(_xlfn.NUMBERVALUE(SUBSTITUTE(LEFT(TRIM(C411),FIND(" ",TRIM(C411)&amp;" ")-1),",","."),"."),LEFT(SUBSTITUTE(LEFT(TRIM(C411),FIND(" ",TRIM(C411)&amp;" ")-1),",","."),FIND("/",SUBSTITUTE(LEFT(TRIM(C411),FIND(" ",TRIM(C411)&amp;" ")-1),",","."))-1)/MID(SUBSTITUTE(LEFT(TRIM(C411),FIND(" ",TRIM(C411)&amp;" ")-1),",","."),FIND("/",SUBSTITUTE(LEFT(TRIM(C411),FIND(" ",TRIM(C411)&amp;" ")-1),",","."))+1,9)),IF(ISNUMBER(SEARCH("yea",C411)),IFERROR(_xlfn.NUMBERVALUE(SUBSTITUTE(LEFT(TRIM(C411),FIND(" ",TRIM(C411)&amp;" ")-1),",","."),"."),LEFT(SUBSTITUTE(LEFT(TRIM(C411),FIND(" ",TRIM(C411)&amp;" ")-1),",","."),FIND("/",SUBSTITUTE(LEFT(TRIM(C411),FIND(" ",TRIM(C411)&amp;" ")-1),",","."))-1)/MID(SUBSTITUTE(LEFT(TRIM(C411),FIND(" ",TRIM(C411)&amp;" ")-1),",","."),FIND("/",SUBSTITUTE(LEFT(TRIM(C411),FIND(" ",TRIM(C411)&amp;" ")-1),",","."))+1,9))*12,NA()))),0),18)*'Aturan &amp; Tarif'!$B$4,2)</f>
        <v>1022.04</v>
      </c>
      <c r="K411" s="42" t="n">
        <f aca="false">'Aturan &amp; Tarif'!$B$5</f>
        <v>2050</v>
      </c>
      <c r="L411" s="42" t="n">
        <f aca="false">'Aturan &amp; Tarif'!$B$6</f>
        <v>350</v>
      </c>
      <c r="M411" s="35" t="n">
        <f aca="false">I411+J411+K411+L411</f>
        <v>7297.04</v>
      </c>
      <c r="N411" s="45" t="s">
        <v>134</v>
      </c>
    </row>
    <row r="412" customFormat="false" ht="14.25" hidden="false" customHeight="true" outlineLevel="0" collapsed="false">
      <c r="A412" s="39"/>
      <c r="B412" s="40" t="s">
        <v>2946</v>
      </c>
      <c r="C412" s="41" t="s">
        <v>107</v>
      </c>
      <c r="D412" s="41" t="s">
        <v>108</v>
      </c>
      <c r="E412" s="42" t="n">
        <v>2000</v>
      </c>
      <c r="F412" s="42" t="n">
        <v>500</v>
      </c>
      <c r="G412" s="42" t="n">
        <v>250</v>
      </c>
      <c r="H412" s="43" t="n">
        <v>1</v>
      </c>
      <c r="I412" s="34" t="n">
        <f aca="false">E412*H412+N(F412)+N(G412)</f>
        <v>2750</v>
      </c>
      <c r="J412" s="42" t="n">
        <f aca="false">ROUND(IFERROR(ROUND(IF(OR(ISNUMBER(SEARCH("week",C412)),ISNUMBER(SEARCH("minggu",C412))),IFERROR(_xlfn.NUMBERVALUE(SUBSTITUTE(LEFT(TRIM(C412),FIND(" ",TRIM(C412)&amp;" ")-1),",","."),"."),LEFT(SUBSTITUTE(LEFT(TRIM(C412),FIND(" ",TRIM(C412)&amp;" ")-1),",","."),FIND("/",SUBSTITUTE(LEFT(TRIM(C412),FIND(" ",TRIM(C412)&amp;" ")-1),",","."))-1)/MID(SUBSTITUTE(LEFT(TRIM(C412),FIND(" ",TRIM(C412)&amp;" ")-1),",","."),FIND("/",SUBSTITUTE(LEFT(TRIM(C412),FIND(" ",TRIM(C412)&amp;" ")-1),",","."))+1,9))*12/52,IF(ISNUMBER(SEARCH("month",C412)),IFERROR(_xlfn.NUMBERVALUE(SUBSTITUTE(LEFT(TRIM(C412),FIND(" ",TRIM(C412)&amp;" ")-1),",","."),"."),LEFT(SUBSTITUTE(LEFT(TRIM(C412),FIND(" ",TRIM(C412)&amp;" ")-1),",","."),FIND("/",SUBSTITUTE(LEFT(TRIM(C412),FIND(" ",TRIM(C412)&amp;" ")-1),",","."))-1)/MID(SUBSTITUTE(LEFT(TRIM(C412),FIND(" ",TRIM(C412)&amp;" ")-1),",","."),FIND("/",SUBSTITUTE(LEFT(TRIM(C412),FIND(" ",TRIM(C412)&amp;" ")-1),",","."))+1,9)),IF(ISNUMBER(SEARCH("yea",C412)),IFERROR(_xlfn.NUMBERVALUE(SUBSTITUTE(LEFT(TRIM(C412),FIND(" ",TRIM(C412)&amp;" ")-1),",","."),"."),LEFT(SUBSTITUTE(LEFT(TRIM(C412),FIND(" ",TRIM(C412)&amp;" ")-1),",","."),FIND("/",SUBSTITUTE(LEFT(TRIM(C412),FIND(" ",TRIM(C412)&amp;" ")-1),",","."))-1)/MID(SUBSTITUTE(LEFT(TRIM(C412),FIND(" ",TRIM(C412)&amp;" ")-1),",","."),FIND("/",SUBSTITUTE(LEFT(TRIM(C412),FIND(" ",TRIM(C412)&amp;" ")-1),",","."))+1,9))*12,NA()))),0),24)*'Aturan &amp; Tarif'!$B$4,2)</f>
        <v>1362.72</v>
      </c>
      <c r="K412" s="42" t="n">
        <f aca="false">'Aturan &amp; Tarif'!$B$5</f>
        <v>2050</v>
      </c>
      <c r="L412" s="42" t="n">
        <f aca="false">'Aturan &amp; Tarif'!$B$6</f>
        <v>350</v>
      </c>
      <c r="M412" s="35" t="n">
        <f aca="false">I412+J412+K412+L412</f>
        <v>6512.72</v>
      </c>
      <c r="N412" s="45" t="s">
        <v>134</v>
      </c>
    </row>
    <row r="413" customFormat="false" ht="14.25" hidden="false" customHeight="true" outlineLevel="0" collapsed="false">
      <c r="A413" s="39"/>
      <c r="B413" s="40" t="s">
        <v>2947</v>
      </c>
      <c r="C413" s="41" t="s">
        <v>127</v>
      </c>
      <c r="D413" s="41" t="s">
        <v>108</v>
      </c>
      <c r="E413" s="42" t="n">
        <v>1300</v>
      </c>
      <c r="F413" s="42" t="n">
        <v>250</v>
      </c>
      <c r="G413" s="42" t="n">
        <v>250</v>
      </c>
      <c r="H413" s="43" t="n">
        <v>1</v>
      </c>
      <c r="I413" s="34" t="n">
        <f aca="false">E413*H413+N(F413)+N(G413)</f>
        <v>1800</v>
      </c>
      <c r="J413" s="42" t="n">
        <f aca="false">ROUND(IFERROR(ROUND(IF(OR(ISNUMBER(SEARCH("week",C413)),ISNUMBER(SEARCH("minggu",C413))),IFERROR(_xlfn.NUMBERVALUE(SUBSTITUTE(LEFT(TRIM(C413),FIND(" ",TRIM(C413)&amp;" ")-1),",","."),"."),LEFT(SUBSTITUTE(LEFT(TRIM(C413),FIND(" ",TRIM(C413)&amp;" ")-1),",","."),FIND("/",SUBSTITUTE(LEFT(TRIM(C413),FIND(" ",TRIM(C413)&amp;" ")-1),",","."))-1)/MID(SUBSTITUTE(LEFT(TRIM(C413),FIND(" ",TRIM(C413)&amp;" ")-1),",","."),FIND("/",SUBSTITUTE(LEFT(TRIM(C413),FIND(" ",TRIM(C413)&amp;" ")-1),",","."))+1,9))*12/52,IF(ISNUMBER(SEARCH("month",C413)),IFERROR(_xlfn.NUMBERVALUE(SUBSTITUTE(LEFT(TRIM(C413),FIND(" ",TRIM(C413)&amp;" ")-1),",","."),"."),LEFT(SUBSTITUTE(LEFT(TRIM(C413),FIND(" ",TRIM(C413)&amp;" ")-1),",","."),FIND("/",SUBSTITUTE(LEFT(TRIM(C413),FIND(" ",TRIM(C413)&amp;" ")-1),",","."))-1)/MID(SUBSTITUTE(LEFT(TRIM(C413),FIND(" ",TRIM(C413)&amp;" ")-1),",","."),FIND("/",SUBSTITUTE(LEFT(TRIM(C413),FIND(" ",TRIM(C413)&amp;" ")-1),",","."))+1,9)),IF(ISNUMBER(SEARCH("yea",C413)),IFERROR(_xlfn.NUMBERVALUE(SUBSTITUTE(LEFT(TRIM(C413),FIND(" ",TRIM(C413)&amp;" ")-1),",","."),"."),LEFT(SUBSTITUTE(LEFT(TRIM(C413),FIND(" ",TRIM(C413)&amp;" ")-1),",","."),FIND("/",SUBSTITUTE(LEFT(TRIM(C413),FIND(" ",TRIM(C413)&amp;" ")-1),",","."))-1)/MID(SUBSTITUTE(LEFT(TRIM(C413),FIND(" ",TRIM(C413)&amp;" ")-1),",","."),FIND("/",SUBSTITUTE(LEFT(TRIM(C413),FIND(" ",TRIM(C413)&amp;" ")-1),",","."))+1,9))*12,NA()))),0),36)*'Aturan &amp; Tarif'!$B$4,2)</f>
        <v>2044.08</v>
      </c>
      <c r="K413" s="42" t="n">
        <f aca="false">'Aturan &amp; Tarif'!$B$5</f>
        <v>2050</v>
      </c>
      <c r="L413" s="42" t="n">
        <f aca="false">'Aturan &amp; Tarif'!$B$6</f>
        <v>350</v>
      </c>
      <c r="M413" s="35" t="n">
        <f aca="false">I413+J413+K413+L413</f>
        <v>6244.08</v>
      </c>
      <c r="N413" s="45" t="s">
        <v>134</v>
      </c>
    </row>
    <row r="414" customFormat="false" ht="14.25" hidden="false" customHeight="true" outlineLevel="0" collapsed="false">
      <c r="A414" s="39"/>
      <c r="B414" s="40" t="s">
        <v>471</v>
      </c>
      <c r="C414" s="41" t="s">
        <v>130</v>
      </c>
      <c r="D414" s="41" t="s">
        <v>108</v>
      </c>
      <c r="E414" s="42" t="n">
        <v>2500</v>
      </c>
      <c r="F414" s="42" t="n">
        <v>1250</v>
      </c>
      <c r="G414" s="42" t="n">
        <v>250</v>
      </c>
      <c r="H414" s="43" t="n">
        <v>1</v>
      </c>
      <c r="I414" s="34" t="n">
        <f aca="false">E414*H414+N(F414)+N(G414)</f>
        <v>4000</v>
      </c>
      <c r="J414" s="42" t="n">
        <f aca="false">ROUND(IFERROR(ROUND(IF(OR(ISNUMBER(SEARCH("week",C414)),ISNUMBER(SEARCH("minggu",C414))),IFERROR(_xlfn.NUMBERVALUE(SUBSTITUTE(LEFT(TRIM(C414),FIND(" ",TRIM(C414)&amp;" ")-1),",","."),"."),LEFT(SUBSTITUTE(LEFT(TRIM(C414),FIND(" ",TRIM(C414)&amp;" ")-1),",","."),FIND("/",SUBSTITUTE(LEFT(TRIM(C414),FIND(" ",TRIM(C414)&amp;" ")-1),",","."))-1)/MID(SUBSTITUTE(LEFT(TRIM(C414),FIND(" ",TRIM(C414)&amp;" ")-1),",","."),FIND("/",SUBSTITUTE(LEFT(TRIM(C414),FIND(" ",TRIM(C414)&amp;" ")-1),",","."))+1,9))*12/52,IF(ISNUMBER(SEARCH("month",C414)),IFERROR(_xlfn.NUMBERVALUE(SUBSTITUTE(LEFT(TRIM(C414),FIND(" ",TRIM(C414)&amp;" ")-1),",","."),"."),LEFT(SUBSTITUTE(LEFT(TRIM(C414),FIND(" ",TRIM(C414)&amp;" ")-1),",","."),FIND("/",SUBSTITUTE(LEFT(TRIM(C414),FIND(" ",TRIM(C414)&amp;" ")-1),",","."))-1)/MID(SUBSTITUTE(LEFT(TRIM(C414),FIND(" ",TRIM(C414)&amp;" ")-1),",","."),FIND("/",SUBSTITUTE(LEFT(TRIM(C414),FIND(" ",TRIM(C414)&amp;" ")-1),",","."))+1,9)),IF(ISNUMBER(SEARCH("yea",C414)),IFERROR(_xlfn.NUMBERVALUE(SUBSTITUTE(LEFT(TRIM(C414),FIND(" ",TRIM(C414)&amp;" ")-1),",","."),"."),LEFT(SUBSTITUTE(LEFT(TRIM(C414),FIND(" ",TRIM(C414)&amp;" ")-1),",","."),FIND("/",SUBSTITUTE(LEFT(TRIM(C414),FIND(" ",TRIM(C414)&amp;" ")-1),",","."))-1)/MID(SUBSTITUTE(LEFT(TRIM(C414),FIND(" ",TRIM(C414)&amp;" ")-1),",","."),FIND("/",SUBSTITUTE(LEFT(TRIM(C414),FIND(" ",TRIM(C414)&amp;" ")-1),",","."))+1,9))*12,NA()))),0),12)*'Aturan &amp; Tarif'!$B$4,2)</f>
        <v>681.36</v>
      </c>
      <c r="K414" s="42" t="n">
        <f aca="false">'Aturan &amp; Tarif'!$B$5</f>
        <v>2050</v>
      </c>
      <c r="L414" s="42" t="n">
        <f aca="false">'Aturan &amp; Tarif'!$B$6</f>
        <v>350</v>
      </c>
      <c r="M414" s="35" t="n">
        <f aca="false">I414+J414+K414+L414</f>
        <v>7081.36</v>
      </c>
      <c r="N414" s="45" t="s">
        <v>134</v>
      </c>
    </row>
    <row r="415" customFormat="false" ht="14.25" hidden="false" customHeight="true" outlineLevel="0" collapsed="false">
      <c r="A415" s="39"/>
      <c r="B415" s="40" t="s">
        <v>907</v>
      </c>
      <c r="C415" s="41" t="s">
        <v>130</v>
      </c>
      <c r="D415" s="41" t="s">
        <v>108</v>
      </c>
      <c r="E415" s="42" t="n">
        <v>2500</v>
      </c>
      <c r="F415" s="42" t="n">
        <v>1250</v>
      </c>
      <c r="G415" s="42" t="n">
        <v>250</v>
      </c>
      <c r="H415" s="43" t="n">
        <v>1</v>
      </c>
      <c r="I415" s="34" t="n">
        <f aca="false">E415*H415+N(F415)+N(G415)</f>
        <v>4000</v>
      </c>
      <c r="J415" s="42" t="n">
        <f aca="false">ROUND(IFERROR(ROUND(IF(OR(ISNUMBER(SEARCH("week",C415)),ISNUMBER(SEARCH("minggu",C415))),IFERROR(_xlfn.NUMBERVALUE(SUBSTITUTE(LEFT(TRIM(C415),FIND(" ",TRIM(C415)&amp;" ")-1),",","."),"."),LEFT(SUBSTITUTE(LEFT(TRIM(C415),FIND(" ",TRIM(C415)&amp;" ")-1),",","."),FIND("/",SUBSTITUTE(LEFT(TRIM(C415),FIND(" ",TRIM(C415)&amp;" ")-1),",","."))-1)/MID(SUBSTITUTE(LEFT(TRIM(C415),FIND(" ",TRIM(C415)&amp;" ")-1),",","."),FIND("/",SUBSTITUTE(LEFT(TRIM(C415),FIND(" ",TRIM(C415)&amp;" ")-1),",","."))+1,9))*12/52,IF(ISNUMBER(SEARCH("month",C415)),IFERROR(_xlfn.NUMBERVALUE(SUBSTITUTE(LEFT(TRIM(C415),FIND(" ",TRIM(C415)&amp;" ")-1),",","."),"."),LEFT(SUBSTITUTE(LEFT(TRIM(C415),FIND(" ",TRIM(C415)&amp;" ")-1),",","."),FIND("/",SUBSTITUTE(LEFT(TRIM(C415),FIND(" ",TRIM(C415)&amp;" ")-1),",","."))-1)/MID(SUBSTITUTE(LEFT(TRIM(C415),FIND(" ",TRIM(C415)&amp;" ")-1),",","."),FIND("/",SUBSTITUTE(LEFT(TRIM(C415),FIND(" ",TRIM(C415)&amp;" ")-1),",","."))+1,9)),IF(ISNUMBER(SEARCH("yea",C415)),IFERROR(_xlfn.NUMBERVALUE(SUBSTITUTE(LEFT(TRIM(C415),FIND(" ",TRIM(C415)&amp;" ")-1),",","."),"."),LEFT(SUBSTITUTE(LEFT(TRIM(C415),FIND(" ",TRIM(C415)&amp;" ")-1),",","."),FIND("/",SUBSTITUTE(LEFT(TRIM(C415),FIND(" ",TRIM(C415)&amp;" ")-1),",","."))-1)/MID(SUBSTITUTE(LEFT(TRIM(C415),FIND(" ",TRIM(C415)&amp;" ")-1),",","."),FIND("/",SUBSTITUTE(LEFT(TRIM(C415),FIND(" ",TRIM(C415)&amp;" ")-1),",","."))+1,9))*12,NA()))),0),12)*'Aturan &amp; Tarif'!$B$4,2)</f>
        <v>681.36</v>
      </c>
      <c r="K415" s="42" t="n">
        <f aca="false">'Aturan &amp; Tarif'!$B$5</f>
        <v>2050</v>
      </c>
      <c r="L415" s="42" t="n">
        <f aca="false">'Aturan &amp; Tarif'!$B$6</f>
        <v>350</v>
      </c>
      <c r="M415" s="35" t="n">
        <f aca="false">I415+J415+K415+L415</f>
        <v>7081.36</v>
      </c>
      <c r="N415" s="45" t="s">
        <v>134</v>
      </c>
    </row>
    <row r="416" customFormat="false" ht="14.25" hidden="false" customHeight="true" outlineLevel="0" collapsed="false">
      <c r="A416" s="39"/>
      <c r="B416" s="40" t="s">
        <v>2948</v>
      </c>
      <c r="C416" s="41" t="s">
        <v>130</v>
      </c>
      <c r="D416" s="41" t="s">
        <v>108</v>
      </c>
      <c r="E416" s="42" t="n">
        <v>2500</v>
      </c>
      <c r="F416" s="42" t="n">
        <v>1250</v>
      </c>
      <c r="G416" s="42" t="n">
        <v>250</v>
      </c>
      <c r="H416" s="43" t="n">
        <v>1</v>
      </c>
      <c r="I416" s="34" t="n">
        <f aca="false">E416*H416+N(F416)+N(G416)</f>
        <v>4000</v>
      </c>
      <c r="J416" s="42" t="n">
        <f aca="false">ROUND(IFERROR(ROUND(IF(OR(ISNUMBER(SEARCH("week",C416)),ISNUMBER(SEARCH("minggu",C416))),IFERROR(_xlfn.NUMBERVALUE(SUBSTITUTE(LEFT(TRIM(C416),FIND(" ",TRIM(C416)&amp;" ")-1),",","."),"."),LEFT(SUBSTITUTE(LEFT(TRIM(C416),FIND(" ",TRIM(C416)&amp;" ")-1),",","."),FIND("/",SUBSTITUTE(LEFT(TRIM(C416),FIND(" ",TRIM(C416)&amp;" ")-1),",","."))-1)/MID(SUBSTITUTE(LEFT(TRIM(C416),FIND(" ",TRIM(C416)&amp;" ")-1),",","."),FIND("/",SUBSTITUTE(LEFT(TRIM(C416),FIND(" ",TRIM(C416)&amp;" ")-1),",","."))+1,9))*12/52,IF(ISNUMBER(SEARCH("month",C416)),IFERROR(_xlfn.NUMBERVALUE(SUBSTITUTE(LEFT(TRIM(C416),FIND(" ",TRIM(C416)&amp;" ")-1),",","."),"."),LEFT(SUBSTITUTE(LEFT(TRIM(C416),FIND(" ",TRIM(C416)&amp;" ")-1),",","."),FIND("/",SUBSTITUTE(LEFT(TRIM(C416),FIND(" ",TRIM(C416)&amp;" ")-1),",","."))-1)/MID(SUBSTITUTE(LEFT(TRIM(C416),FIND(" ",TRIM(C416)&amp;" ")-1),",","."),FIND("/",SUBSTITUTE(LEFT(TRIM(C416),FIND(" ",TRIM(C416)&amp;" ")-1),",","."))+1,9)),IF(ISNUMBER(SEARCH("yea",C416)),IFERROR(_xlfn.NUMBERVALUE(SUBSTITUTE(LEFT(TRIM(C416),FIND(" ",TRIM(C416)&amp;" ")-1),",","."),"."),LEFT(SUBSTITUTE(LEFT(TRIM(C416),FIND(" ",TRIM(C416)&amp;" ")-1),",","."),FIND("/",SUBSTITUTE(LEFT(TRIM(C416),FIND(" ",TRIM(C416)&amp;" ")-1),",","."))-1)/MID(SUBSTITUTE(LEFT(TRIM(C416),FIND(" ",TRIM(C416)&amp;" ")-1),",","."),FIND("/",SUBSTITUTE(LEFT(TRIM(C416),FIND(" ",TRIM(C416)&amp;" ")-1),",","."))+1,9))*12,NA()))),0),12)*'Aturan &amp; Tarif'!$B$4,2)</f>
        <v>681.36</v>
      </c>
      <c r="K416" s="42" t="n">
        <f aca="false">'Aturan &amp; Tarif'!$B$5</f>
        <v>2050</v>
      </c>
      <c r="L416" s="42" t="n">
        <f aca="false">'Aturan &amp; Tarif'!$B$6</f>
        <v>350</v>
      </c>
      <c r="M416" s="35" t="n">
        <f aca="false">I416+J416+K416+L416</f>
        <v>7081.36</v>
      </c>
      <c r="N416" s="45" t="s">
        <v>134</v>
      </c>
    </row>
    <row r="417" customFormat="false" ht="37.5" hidden="false" customHeight="true" outlineLevel="0" collapsed="false">
      <c r="A417" s="39" t="s">
        <v>2949</v>
      </c>
      <c r="B417" s="40" t="s">
        <v>2950</v>
      </c>
      <c r="C417" s="41" t="s">
        <v>130</v>
      </c>
      <c r="D417" s="41" t="s">
        <v>108</v>
      </c>
      <c r="E417" s="42" t="n">
        <v>3000</v>
      </c>
      <c r="F417" s="42" t="n">
        <v>500</v>
      </c>
      <c r="G417" s="42" t="n">
        <v>500</v>
      </c>
      <c r="H417" s="43" t="n">
        <v>1</v>
      </c>
      <c r="I417" s="34" t="n">
        <f aca="false">E417*H417+N(F417)+N(G417)</f>
        <v>4000</v>
      </c>
      <c r="J417" s="42" t="n">
        <f aca="false">ROUND(IFERROR(ROUND(IF(OR(ISNUMBER(SEARCH("week",C417)),ISNUMBER(SEARCH("minggu",C417))),IFERROR(_xlfn.NUMBERVALUE(SUBSTITUTE(LEFT(TRIM(C417),FIND(" ",TRIM(C417)&amp;" ")-1),",","."),"."),LEFT(SUBSTITUTE(LEFT(TRIM(C417),FIND(" ",TRIM(C417)&amp;" ")-1),",","."),FIND("/",SUBSTITUTE(LEFT(TRIM(C417),FIND(" ",TRIM(C417)&amp;" ")-1),",","."))-1)/MID(SUBSTITUTE(LEFT(TRIM(C417),FIND(" ",TRIM(C417)&amp;" ")-1),",","."),FIND("/",SUBSTITUTE(LEFT(TRIM(C417),FIND(" ",TRIM(C417)&amp;" ")-1),",","."))+1,9))*12/52,IF(ISNUMBER(SEARCH("month",C417)),IFERROR(_xlfn.NUMBERVALUE(SUBSTITUTE(LEFT(TRIM(C417),FIND(" ",TRIM(C417)&amp;" ")-1),",","."),"."),LEFT(SUBSTITUTE(LEFT(TRIM(C417),FIND(" ",TRIM(C417)&amp;" ")-1),",","."),FIND("/",SUBSTITUTE(LEFT(TRIM(C417),FIND(" ",TRIM(C417)&amp;" ")-1),",","."))-1)/MID(SUBSTITUTE(LEFT(TRIM(C417),FIND(" ",TRIM(C417)&amp;" ")-1),",","."),FIND("/",SUBSTITUTE(LEFT(TRIM(C417),FIND(" ",TRIM(C417)&amp;" ")-1),",","."))+1,9)),IF(ISNUMBER(SEARCH("yea",C417)),IFERROR(_xlfn.NUMBERVALUE(SUBSTITUTE(LEFT(TRIM(C417),FIND(" ",TRIM(C417)&amp;" ")-1),",","."),"."),LEFT(SUBSTITUTE(LEFT(TRIM(C417),FIND(" ",TRIM(C417)&amp;" ")-1),",","."),FIND("/",SUBSTITUTE(LEFT(TRIM(C417),FIND(" ",TRIM(C417)&amp;" ")-1),",","."))-1)/MID(SUBSTITUTE(LEFT(TRIM(C417),FIND(" ",TRIM(C417)&amp;" ")-1),",","."),FIND("/",SUBSTITUTE(LEFT(TRIM(C417),FIND(" ",TRIM(C417)&amp;" ")-1),",","."))+1,9))*12,NA()))),0),12)*'Aturan &amp; Tarif'!$B$4,2)</f>
        <v>681.36</v>
      </c>
      <c r="K417" s="42" t="n">
        <f aca="false">'Aturan &amp; Tarif'!$B$5</f>
        <v>2050</v>
      </c>
      <c r="L417" s="42" t="n">
        <f aca="false">'Aturan &amp; Tarif'!$B$6</f>
        <v>350</v>
      </c>
      <c r="M417" s="35" t="n">
        <f aca="false">I417+J417+K417+L417</f>
        <v>7081.36</v>
      </c>
      <c r="N417" s="45" t="s">
        <v>134</v>
      </c>
    </row>
    <row r="418" customFormat="false" ht="37.5" hidden="false" customHeight="true" outlineLevel="0" collapsed="false">
      <c r="A418" s="39"/>
      <c r="B418" s="40" t="s">
        <v>1561</v>
      </c>
      <c r="C418" s="41" t="s">
        <v>107</v>
      </c>
      <c r="D418" s="41" t="s">
        <v>108</v>
      </c>
      <c r="E418" s="42" t="n">
        <v>2600</v>
      </c>
      <c r="F418" s="42" t="n">
        <v>1800</v>
      </c>
      <c r="G418" s="42" t="n">
        <v>500</v>
      </c>
      <c r="H418" s="43" t="n">
        <v>1</v>
      </c>
      <c r="I418" s="34" t="n">
        <f aca="false">E418*H418+N(F418)+N(G418)</f>
        <v>4900</v>
      </c>
      <c r="J418" s="42" t="n">
        <f aca="false">ROUND(IFERROR(ROUND(IF(OR(ISNUMBER(SEARCH("week",C418)),ISNUMBER(SEARCH("minggu",C418))),IFERROR(_xlfn.NUMBERVALUE(SUBSTITUTE(LEFT(TRIM(C418),FIND(" ",TRIM(C418)&amp;" ")-1),",","."),"."),LEFT(SUBSTITUTE(LEFT(TRIM(C418),FIND(" ",TRIM(C418)&amp;" ")-1),",","."),FIND("/",SUBSTITUTE(LEFT(TRIM(C418),FIND(" ",TRIM(C418)&amp;" ")-1),",","."))-1)/MID(SUBSTITUTE(LEFT(TRIM(C418),FIND(" ",TRIM(C418)&amp;" ")-1),",","."),FIND("/",SUBSTITUTE(LEFT(TRIM(C418),FIND(" ",TRIM(C418)&amp;" ")-1),",","."))+1,9))*12/52,IF(ISNUMBER(SEARCH("month",C418)),IFERROR(_xlfn.NUMBERVALUE(SUBSTITUTE(LEFT(TRIM(C418),FIND(" ",TRIM(C418)&amp;" ")-1),",","."),"."),LEFT(SUBSTITUTE(LEFT(TRIM(C418),FIND(" ",TRIM(C418)&amp;" ")-1),",","."),FIND("/",SUBSTITUTE(LEFT(TRIM(C418),FIND(" ",TRIM(C418)&amp;" ")-1),",","."))-1)/MID(SUBSTITUTE(LEFT(TRIM(C418),FIND(" ",TRIM(C418)&amp;" ")-1),",","."),FIND("/",SUBSTITUTE(LEFT(TRIM(C418),FIND(" ",TRIM(C418)&amp;" ")-1),",","."))+1,9)),IF(ISNUMBER(SEARCH("yea",C418)),IFERROR(_xlfn.NUMBERVALUE(SUBSTITUTE(LEFT(TRIM(C418),FIND(" ",TRIM(C418)&amp;" ")-1),",","."),"."),LEFT(SUBSTITUTE(LEFT(TRIM(C418),FIND(" ",TRIM(C418)&amp;" ")-1),",","."),FIND("/",SUBSTITUTE(LEFT(TRIM(C418),FIND(" ",TRIM(C418)&amp;" ")-1),",","."))-1)/MID(SUBSTITUTE(LEFT(TRIM(C418),FIND(" ",TRIM(C418)&amp;" ")-1),",","."),FIND("/",SUBSTITUTE(LEFT(TRIM(C418),FIND(" ",TRIM(C418)&amp;" ")-1),",","."))+1,9))*12,NA()))),0),24)*'Aturan &amp; Tarif'!$B$4,2)</f>
        <v>1362.72</v>
      </c>
      <c r="K418" s="42" t="n">
        <f aca="false">'Aturan &amp; Tarif'!$B$5</f>
        <v>2050</v>
      </c>
      <c r="L418" s="42" t="n">
        <f aca="false">'Aturan &amp; Tarif'!$B$6</f>
        <v>350</v>
      </c>
      <c r="M418" s="35" t="n">
        <f aca="false">I418+J418+K418+L418</f>
        <v>8662.72</v>
      </c>
      <c r="N418" s="45" t="s">
        <v>134</v>
      </c>
    </row>
    <row r="419" customFormat="false" ht="25.5" hidden="false" customHeight="true" outlineLevel="0" collapsed="false">
      <c r="A419" s="39"/>
      <c r="B419" s="40" t="s">
        <v>837</v>
      </c>
      <c r="C419" s="41" t="s">
        <v>107</v>
      </c>
      <c r="D419" s="41" t="s">
        <v>108</v>
      </c>
      <c r="E419" s="42" t="n">
        <v>2950</v>
      </c>
      <c r="F419" s="42" t="n">
        <v>1250</v>
      </c>
      <c r="G419" s="42" t="n">
        <v>500</v>
      </c>
      <c r="H419" s="43" t="n">
        <v>1</v>
      </c>
      <c r="I419" s="34" t="n">
        <f aca="false">E419*H419+N(F419)+N(G419)</f>
        <v>4700</v>
      </c>
      <c r="J419" s="42" t="n">
        <f aca="false">ROUND(IFERROR(ROUND(IF(OR(ISNUMBER(SEARCH("week",C419)),ISNUMBER(SEARCH("minggu",C419))),IFERROR(_xlfn.NUMBERVALUE(SUBSTITUTE(LEFT(TRIM(C419),FIND(" ",TRIM(C419)&amp;" ")-1),",","."),"."),LEFT(SUBSTITUTE(LEFT(TRIM(C419),FIND(" ",TRIM(C419)&amp;" ")-1),",","."),FIND("/",SUBSTITUTE(LEFT(TRIM(C419),FIND(" ",TRIM(C419)&amp;" ")-1),",","."))-1)/MID(SUBSTITUTE(LEFT(TRIM(C419),FIND(" ",TRIM(C419)&amp;" ")-1),",","."),FIND("/",SUBSTITUTE(LEFT(TRIM(C419),FIND(" ",TRIM(C419)&amp;" ")-1),",","."))+1,9))*12/52,IF(ISNUMBER(SEARCH("month",C419)),IFERROR(_xlfn.NUMBERVALUE(SUBSTITUTE(LEFT(TRIM(C419),FIND(" ",TRIM(C419)&amp;" ")-1),",","."),"."),LEFT(SUBSTITUTE(LEFT(TRIM(C419),FIND(" ",TRIM(C419)&amp;" ")-1),",","."),FIND("/",SUBSTITUTE(LEFT(TRIM(C419),FIND(" ",TRIM(C419)&amp;" ")-1),",","."))-1)/MID(SUBSTITUTE(LEFT(TRIM(C419),FIND(" ",TRIM(C419)&amp;" ")-1),",","."),FIND("/",SUBSTITUTE(LEFT(TRIM(C419),FIND(" ",TRIM(C419)&amp;" ")-1),",","."))+1,9)),IF(ISNUMBER(SEARCH("yea",C419)),IFERROR(_xlfn.NUMBERVALUE(SUBSTITUTE(LEFT(TRIM(C419),FIND(" ",TRIM(C419)&amp;" ")-1),",","."),"."),LEFT(SUBSTITUTE(LEFT(TRIM(C419),FIND(" ",TRIM(C419)&amp;" ")-1),",","."),FIND("/",SUBSTITUTE(LEFT(TRIM(C419),FIND(" ",TRIM(C419)&amp;" ")-1),",","."))-1)/MID(SUBSTITUTE(LEFT(TRIM(C419),FIND(" ",TRIM(C419)&amp;" ")-1),",","."),FIND("/",SUBSTITUTE(LEFT(TRIM(C419),FIND(" ",TRIM(C419)&amp;" ")-1),",","."))+1,9))*12,NA()))),0),24)*'Aturan &amp; Tarif'!$B$4,2)</f>
        <v>1362.72</v>
      </c>
      <c r="K419" s="42" t="n">
        <f aca="false">'Aturan &amp; Tarif'!$B$5</f>
        <v>2050</v>
      </c>
      <c r="L419" s="42" t="n">
        <f aca="false">'Aturan &amp; Tarif'!$B$6</f>
        <v>350</v>
      </c>
      <c r="M419" s="35" t="n">
        <f aca="false">I419+J419+K419+L419</f>
        <v>8462.72</v>
      </c>
      <c r="N419" s="45" t="s">
        <v>134</v>
      </c>
    </row>
    <row r="420" customFormat="false" ht="14.25" hidden="false" customHeight="true" outlineLevel="0" collapsed="false">
      <c r="A420" s="39"/>
      <c r="B420" s="40" t="s">
        <v>1170</v>
      </c>
      <c r="C420" s="41" t="s">
        <v>107</v>
      </c>
      <c r="D420" s="41" t="s">
        <v>108</v>
      </c>
      <c r="E420" s="42" t="n">
        <v>2125</v>
      </c>
      <c r="F420" s="42" t="n">
        <v>800</v>
      </c>
      <c r="G420" s="42" t="n">
        <v>500</v>
      </c>
      <c r="H420" s="43" t="n">
        <v>1</v>
      </c>
      <c r="I420" s="34" t="n">
        <f aca="false">E420*H420+N(F420)+N(G420)</f>
        <v>3425</v>
      </c>
      <c r="J420" s="42" t="n">
        <f aca="false">ROUND(IFERROR(ROUND(IF(OR(ISNUMBER(SEARCH("week",C420)),ISNUMBER(SEARCH("minggu",C420))),IFERROR(_xlfn.NUMBERVALUE(SUBSTITUTE(LEFT(TRIM(C420),FIND(" ",TRIM(C420)&amp;" ")-1),",","."),"."),LEFT(SUBSTITUTE(LEFT(TRIM(C420),FIND(" ",TRIM(C420)&amp;" ")-1),",","."),FIND("/",SUBSTITUTE(LEFT(TRIM(C420),FIND(" ",TRIM(C420)&amp;" ")-1),",","."))-1)/MID(SUBSTITUTE(LEFT(TRIM(C420),FIND(" ",TRIM(C420)&amp;" ")-1),",","."),FIND("/",SUBSTITUTE(LEFT(TRIM(C420),FIND(" ",TRIM(C420)&amp;" ")-1),",","."))+1,9))*12/52,IF(ISNUMBER(SEARCH("month",C420)),IFERROR(_xlfn.NUMBERVALUE(SUBSTITUTE(LEFT(TRIM(C420),FIND(" ",TRIM(C420)&amp;" ")-1),",","."),"."),LEFT(SUBSTITUTE(LEFT(TRIM(C420),FIND(" ",TRIM(C420)&amp;" ")-1),",","."),FIND("/",SUBSTITUTE(LEFT(TRIM(C420),FIND(" ",TRIM(C420)&amp;" ")-1),",","."))-1)/MID(SUBSTITUTE(LEFT(TRIM(C420),FIND(" ",TRIM(C420)&amp;" ")-1),",","."),FIND("/",SUBSTITUTE(LEFT(TRIM(C420),FIND(" ",TRIM(C420)&amp;" ")-1),",","."))+1,9)),IF(ISNUMBER(SEARCH("yea",C420)),IFERROR(_xlfn.NUMBERVALUE(SUBSTITUTE(LEFT(TRIM(C420),FIND(" ",TRIM(C420)&amp;" ")-1),",","."),"."),LEFT(SUBSTITUTE(LEFT(TRIM(C420),FIND(" ",TRIM(C420)&amp;" ")-1),",","."),FIND("/",SUBSTITUTE(LEFT(TRIM(C420),FIND(" ",TRIM(C420)&amp;" ")-1),",","."))-1)/MID(SUBSTITUTE(LEFT(TRIM(C420),FIND(" ",TRIM(C420)&amp;" ")-1),",","."),FIND("/",SUBSTITUTE(LEFT(TRIM(C420),FIND(" ",TRIM(C420)&amp;" ")-1),",","."))+1,9))*12,NA()))),0),24)*'Aturan &amp; Tarif'!$B$4,2)</f>
        <v>1362.72</v>
      </c>
      <c r="K420" s="42" t="n">
        <f aca="false">'Aturan &amp; Tarif'!$B$5</f>
        <v>2050</v>
      </c>
      <c r="L420" s="42" t="n">
        <f aca="false">'Aturan &amp; Tarif'!$B$6</f>
        <v>350</v>
      </c>
      <c r="M420" s="35" t="n">
        <f aca="false">I420+J420+K420+L420</f>
        <v>7187.72</v>
      </c>
      <c r="N420" s="45" t="s">
        <v>134</v>
      </c>
    </row>
    <row r="421" customFormat="false" ht="25.5" hidden="false" customHeight="true" outlineLevel="0" collapsed="false">
      <c r="A421" s="39"/>
      <c r="B421" s="40" t="s">
        <v>2951</v>
      </c>
      <c r="C421" s="41" t="s">
        <v>107</v>
      </c>
      <c r="D421" s="41" t="s">
        <v>108</v>
      </c>
      <c r="E421" s="42" t="n">
        <v>2850</v>
      </c>
      <c r="F421" s="42" t="n">
        <v>1500</v>
      </c>
      <c r="G421" s="42" t="n">
        <v>500</v>
      </c>
      <c r="H421" s="43" t="n">
        <v>1</v>
      </c>
      <c r="I421" s="34" t="n">
        <f aca="false">E421*H421+N(F421)+N(G421)</f>
        <v>4850</v>
      </c>
      <c r="J421" s="42" t="n">
        <f aca="false">ROUND(IFERROR(ROUND(IF(OR(ISNUMBER(SEARCH("week",C421)),ISNUMBER(SEARCH("minggu",C421))),IFERROR(_xlfn.NUMBERVALUE(SUBSTITUTE(LEFT(TRIM(C421),FIND(" ",TRIM(C421)&amp;" ")-1),",","."),"."),LEFT(SUBSTITUTE(LEFT(TRIM(C421),FIND(" ",TRIM(C421)&amp;" ")-1),",","."),FIND("/",SUBSTITUTE(LEFT(TRIM(C421),FIND(" ",TRIM(C421)&amp;" ")-1),",","."))-1)/MID(SUBSTITUTE(LEFT(TRIM(C421),FIND(" ",TRIM(C421)&amp;" ")-1),",","."),FIND("/",SUBSTITUTE(LEFT(TRIM(C421),FIND(" ",TRIM(C421)&amp;" ")-1),",","."))+1,9))*12/52,IF(ISNUMBER(SEARCH("month",C421)),IFERROR(_xlfn.NUMBERVALUE(SUBSTITUTE(LEFT(TRIM(C421),FIND(" ",TRIM(C421)&amp;" ")-1),",","."),"."),LEFT(SUBSTITUTE(LEFT(TRIM(C421),FIND(" ",TRIM(C421)&amp;" ")-1),",","."),FIND("/",SUBSTITUTE(LEFT(TRIM(C421),FIND(" ",TRIM(C421)&amp;" ")-1),",","."))-1)/MID(SUBSTITUTE(LEFT(TRIM(C421),FIND(" ",TRIM(C421)&amp;" ")-1),",","."),FIND("/",SUBSTITUTE(LEFT(TRIM(C421),FIND(" ",TRIM(C421)&amp;" ")-1),",","."))+1,9)),IF(ISNUMBER(SEARCH("yea",C421)),IFERROR(_xlfn.NUMBERVALUE(SUBSTITUTE(LEFT(TRIM(C421),FIND(" ",TRIM(C421)&amp;" ")-1),",","."),"."),LEFT(SUBSTITUTE(LEFT(TRIM(C421),FIND(" ",TRIM(C421)&amp;" ")-1),",","."),FIND("/",SUBSTITUTE(LEFT(TRIM(C421),FIND(" ",TRIM(C421)&amp;" ")-1),",","."))-1)/MID(SUBSTITUTE(LEFT(TRIM(C421),FIND(" ",TRIM(C421)&amp;" ")-1),",","."),FIND("/",SUBSTITUTE(LEFT(TRIM(C421),FIND(" ",TRIM(C421)&amp;" ")-1),",","."))+1,9))*12,NA()))),0),24)*'Aturan &amp; Tarif'!$B$4,2)</f>
        <v>1362.72</v>
      </c>
      <c r="K421" s="42" t="n">
        <f aca="false">'Aturan &amp; Tarif'!$B$5</f>
        <v>2050</v>
      </c>
      <c r="L421" s="42" t="n">
        <f aca="false">'Aturan &amp; Tarif'!$B$6</f>
        <v>350</v>
      </c>
      <c r="M421" s="35" t="n">
        <f aca="false">I421+J421+K421+L421</f>
        <v>8612.72</v>
      </c>
      <c r="N421" s="45" t="s">
        <v>134</v>
      </c>
    </row>
    <row r="422" customFormat="false" ht="25.5" hidden="false" customHeight="true" outlineLevel="0" collapsed="false">
      <c r="A422" s="39"/>
      <c r="B422" s="40" t="s">
        <v>2952</v>
      </c>
      <c r="C422" s="41" t="s">
        <v>107</v>
      </c>
      <c r="D422" s="41" t="s">
        <v>108</v>
      </c>
      <c r="E422" s="42" t="n">
        <v>2625</v>
      </c>
      <c r="F422" s="42" t="n">
        <v>1500</v>
      </c>
      <c r="G422" s="42" t="n">
        <v>500</v>
      </c>
      <c r="H422" s="43" t="n">
        <v>1</v>
      </c>
      <c r="I422" s="34" t="n">
        <f aca="false">E422*H422+N(F422)+N(G422)</f>
        <v>4625</v>
      </c>
      <c r="J422" s="42" t="n">
        <f aca="false">ROUND(IFERROR(ROUND(IF(OR(ISNUMBER(SEARCH("week",C422)),ISNUMBER(SEARCH("minggu",C422))),IFERROR(_xlfn.NUMBERVALUE(SUBSTITUTE(LEFT(TRIM(C422),FIND(" ",TRIM(C422)&amp;" ")-1),",","."),"."),LEFT(SUBSTITUTE(LEFT(TRIM(C422),FIND(" ",TRIM(C422)&amp;" ")-1),",","."),FIND("/",SUBSTITUTE(LEFT(TRIM(C422),FIND(" ",TRIM(C422)&amp;" ")-1),",","."))-1)/MID(SUBSTITUTE(LEFT(TRIM(C422),FIND(" ",TRIM(C422)&amp;" ")-1),",","."),FIND("/",SUBSTITUTE(LEFT(TRIM(C422),FIND(" ",TRIM(C422)&amp;" ")-1),",","."))+1,9))*12/52,IF(ISNUMBER(SEARCH("month",C422)),IFERROR(_xlfn.NUMBERVALUE(SUBSTITUTE(LEFT(TRIM(C422),FIND(" ",TRIM(C422)&amp;" ")-1),",","."),"."),LEFT(SUBSTITUTE(LEFT(TRIM(C422),FIND(" ",TRIM(C422)&amp;" ")-1),",","."),FIND("/",SUBSTITUTE(LEFT(TRIM(C422),FIND(" ",TRIM(C422)&amp;" ")-1),",","."))-1)/MID(SUBSTITUTE(LEFT(TRIM(C422),FIND(" ",TRIM(C422)&amp;" ")-1),",","."),FIND("/",SUBSTITUTE(LEFT(TRIM(C422),FIND(" ",TRIM(C422)&amp;" ")-1),",","."))+1,9)),IF(ISNUMBER(SEARCH("yea",C422)),IFERROR(_xlfn.NUMBERVALUE(SUBSTITUTE(LEFT(TRIM(C422),FIND(" ",TRIM(C422)&amp;" ")-1),",","."),"."),LEFT(SUBSTITUTE(LEFT(TRIM(C422),FIND(" ",TRIM(C422)&amp;" ")-1),",","."),FIND("/",SUBSTITUTE(LEFT(TRIM(C422),FIND(" ",TRIM(C422)&amp;" ")-1),",","."))-1)/MID(SUBSTITUTE(LEFT(TRIM(C422),FIND(" ",TRIM(C422)&amp;" ")-1),",","."),FIND("/",SUBSTITUTE(LEFT(TRIM(C422),FIND(" ",TRIM(C422)&amp;" ")-1),",","."))+1,9))*12,NA()))),0),24)*'Aturan &amp; Tarif'!$B$4,2)</f>
        <v>1362.72</v>
      </c>
      <c r="K422" s="42" t="n">
        <f aca="false">'Aturan &amp; Tarif'!$B$5</f>
        <v>2050</v>
      </c>
      <c r="L422" s="42" t="n">
        <f aca="false">'Aturan &amp; Tarif'!$B$6</f>
        <v>350</v>
      </c>
      <c r="M422" s="35" t="n">
        <f aca="false">I422+J422+K422+L422</f>
        <v>8387.72</v>
      </c>
      <c r="N422" s="45" t="s">
        <v>134</v>
      </c>
    </row>
    <row r="423" customFormat="false" ht="25.5" hidden="false" customHeight="true" outlineLevel="0" collapsed="false">
      <c r="A423" s="39"/>
      <c r="B423" s="40" t="s">
        <v>1777</v>
      </c>
      <c r="C423" s="41" t="s">
        <v>127</v>
      </c>
      <c r="D423" s="41" t="s">
        <v>108</v>
      </c>
      <c r="E423" s="42" t="n">
        <v>2915</v>
      </c>
      <c r="F423" s="42" t="n">
        <v>2700</v>
      </c>
      <c r="G423" s="42" t="n">
        <v>500</v>
      </c>
      <c r="H423" s="43" t="n">
        <v>1</v>
      </c>
      <c r="I423" s="34" t="n">
        <f aca="false">E423*H423+N(F423)+N(G423)</f>
        <v>6115</v>
      </c>
      <c r="J423" s="42" t="n">
        <f aca="false">ROUND(IFERROR(ROUND(IF(OR(ISNUMBER(SEARCH("week",C423)),ISNUMBER(SEARCH("minggu",C423))),IFERROR(_xlfn.NUMBERVALUE(SUBSTITUTE(LEFT(TRIM(C423),FIND(" ",TRIM(C423)&amp;" ")-1),",","."),"."),LEFT(SUBSTITUTE(LEFT(TRIM(C423),FIND(" ",TRIM(C423)&amp;" ")-1),",","."),FIND("/",SUBSTITUTE(LEFT(TRIM(C423),FIND(" ",TRIM(C423)&amp;" ")-1),",","."))-1)/MID(SUBSTITUTE(LEFT(TRIM(C423),FIND(" ",TRIM(C423)&amp;" ")-1),",","."),FIND("/",SUBSTITUTE(LEFT(TRIM(C423),FIND(" ",TRIM(C423)&amp;" ")-1),",","."))+1,9))*12/52,IF(ISNUMBER(SEARCH("month",C423)),IFERROR(_xlfn.NUMBERVALUE(SUBSTITUTE(LEFT(TRIM(C423),FIND(" ",TRIM(C423)&amp;" ")-1),",","."),"."),LEFT(SUBSTITUTE(LEFT(TRIM(C423),FIND(" ",TRIM(C423)&amp;" ")-1),",","."),FIND("/",SUBSTITUTE(LEFT(TRIM(C423),FIND(" ",TRIM(C423)&amp;" ")-1),",","."))-1)/MID(SUBSTITUTE(LEFT(TRIM(C423),FIND(" ",TRIM(C423)&amp;" ")-1),",","."),FIND("/",SUBSTITUTE(LEFT(TRIM(C423),FIND(" ",TRIM(C423)&amp;" ")-1),",","."))+1,9)),IF(ISNUMBER(SEARCH("yea",C423)),IFERROR(_xlfn.NUMBERVALUE(SUBSTITUTE(LEFT(TRIM(C423),FIND(" ",TRIM(C423)&amp;" ")-1),",","."),"."),LEFT(SUBSTITUTE(LEFT(TRIM(C423),FIND(" ",TRIM(C423)&amp;" ")-1),",","."),FIND("/",SUBSTITUTE(LEFT(TRIM(C423),FIND(" ",TRIM(C423)&amp;" ")-1),",","."))-1)/MID(SUBSTITUTE(LEFT(TRIM(C423),FIND(" ",TRIM(C423)&amp;" ")-1),",","."),FIND("/",SUBSTITUTE(LEFT(TRIM(C423),FIND(" ",TRIM(C423)&amp;" ")-1),",","."))+1,9))*12,NA()))),0),36)*'Aturan &amp; Tarif'!$B$4,2)</f>
        <v>2044.08</v>
      </c>
      <c r="K423" s="42" t="n">
        <f aca="false">'Aturan &amp; Tarif'!$B$5</f>
        <v>2050</v>
      </c>
      <c r="L423" s="42" t="n">
        <f aca="false">'Aturan &amp; Tarif'!$B$6</f>
        <v>350</v>
      </c>
      <c r="M423" s="35" t="n">
        <f aca="false">I423+J423+K423+L423</f>
        <v>10559.08</v>
      </c>
      <c r="N423" s="45" t="s">
        <v>134</v>
      </c>
    </row>
    <row r="424" customFormat="false" ht="25.5" hidden="false" customHeight="true" outlineLevel="0" collapsed="false">
      <c r="A424" s="39"/>
      <c r="B424" s="40" t="s">
        <v>422</v>
      </c>
      <c r="C424" s="41" t="s">
        <v>107</v>
      </c>
      <c r="D424" s="41" t="s">
        <v>108</v>
      </c>
      <c r="E424" s="42" t="n">
        <v>2600</v>
      </c>
      <c r="F424" s="42" t="n">
        <v>1800</v>
      </c>
      <c r="G424" s="42" t="n">
        <v>500</v>
      </c>
      <c r="H424" s="43" t="n">
        <v>1</v>
      </c>
      <c r="I424" s="34" t="n">
        <f aca="false">E424*H424+N(F424)+N(G424)</f>
        <v>4900</v>
      </c>
      <c r="J424" s="42" t="n">
        <f aca="false">ROUND(IFERROR(ROUND(IF(OR(ISNUMBER(SEARCH("week",C424)),ISNUMBER(SEARCH("minggu",C424))),IFERROR(_xlfn.NUMBERVALUE(SUBSTITUTE(LEFT(TRIM(C424),FIND(" ",TRIM(C424)&amp;" ")-1),",","."),"."),LEFT(SUBSTITUTE(LEFT(TRIM(C424),FIND(" ",TRIM(C424)&amp;" ")-1),",","."),FIND("/",SUBSTITUTE(LEFT(TRIM(C424),FIND(" ",TRIM(C424)&amp;" ")-1),",","."))-1)/MID(SUBSTITUTE(LEFT(TRIM(C424),FIND(" ",TRIM(C424)&amp;" ")-1),",","."),FIND("/",SUBSTITUTE(LEFT(TRIM(C424),FIND(" ",TRIM(C424)&amp;" ")-1),",","."))+1,9))*12/52,IF(ISNUMBER(SEARCH("month",C424)),IFERROR(_xlfn.NUMBERVALUE(SUBSTITUTE(LEFT(TRIM(C424),FIND(" ",TRIM(C424)&amp;" ")-1),",","."),"."),LEFT(SUBSTITUTE(LEFT(TRIM(C424),FIND(" ",TRIM(C424)&amp;" ")-1),",","."),FIND("/",SUBSTITUTE(LEFT(TRIM(C424),FIND(" ",TRIM(C424)&amp;" ")-1),",","."))-1)/MID(SUBSTITUTE(LEFT(TRIM(C424),FIND(" ",TRIM(C424)&amp;" ")-1),",","."),FIND("/",SUBSTITUTE(LEFT(TRIM(C424),FIND(" ",TRIM(C424)&amp;" ")-1),",","."))+1,9)),IF(ISNUMBER(SEARCH("yea",C424)),IFERROR(_xlfn.NUMBERVALUE(SUBSTITUTE(LEFT(TRIM(C424),FIND(" ",TRIM(C424)&amp;" ")-1),",","."),"."),LEFT(SUBSTITUTE(LEFT(TRIM(C424),FIND(" ",TRIM(C424)&amp;" ")-1),",","."),FIND("/",SUBSTITUTE(LEFT(TRIM(C424),FIND(" ",TRIM(C424)&amp;" ")-1),",","."))-1)/MID(SUBSTITUTE(LEFT(TRIM(C424),FIND(" ",TRIM(C424)&amp;" ")-1),",","."),FIND("/",SUBSTITUTE(LEFT(TRIM(C424),FIND(" ",TRIM(C424)&amp;" ")-1),",","."))+1,9))*12,NA()))),0),24)*'Aturan &amp; Tarif'!$B$4,2)</f>
        <v>1362.72</v>
      </c>
      <c r="K424" s="42" t="n">
        <f aca="false">'Aturan &amp; Tarif'!$B$5</f>
        <v>2050</v>
      </c>
      <c r="L424" s="42" t="n">
        <f aca="false">'Aturan &amp; Tarif'!$B$6</f>
        <v>350</v>
      </c>
      <c r="M424" s="35" t="n">
        <f aca="false">I424+J424+K424+L424</f>
        <v>8662.72</v>
      </c>
      <c r="N424" s="45" t="s">
        <v>134</v>
      </c>
    </row>
    <row r="425" customFormat="false" ht="25.5" hidden="false" customHeight="true" outlineLevel="0" collapsed="false">
      <c r="A425" s="39"/>
      <c r="B425" s="40" t="s">
        <v>837</v>
      </c>
      <c r="C425" s="41" t="s">
        <v>107</v>
      </c>
      <c r="D425" s="41" t="s">
        <v>108</v>
      </c>
      <c r="E425" s="42" t="n">
        <v>2950</v>
      </c>
      <c r="F425" s="42" t="n">
        <v>1250</v>
      </c>
      <c r="G425" s="42" t="n">
        <v>500</v>
      </c>
      <c r="H425" s="43" t="n">
        <v>1</v>
      </c>
      <c r="I425" s="34" t="n">
        <f aca="false">E425*H425+N(F425)+N(G425)</f>
        <v>4700</v>
      </c>
      <c r="J425" s="42" t="n">
        <f aca="false">ROUND(IFERROR(ROUND(IF(OR(ISNUMBER(SEARCH("week",C425)),ISNUMBER(SEARCH("minggu",C425))),IFERROR(_xlfn.NUMBERVALUE(SUBSTITUTE(LEFT(TRIM(C425),FIND(" ",TRIM(C425)&amp;" ")-1),",","."),"."),LEFT(SUBSTITUTE(LEFT(TRIM(C425),FIND(" ",TRIM(C425)&amp;" ")-1),",","."),FIND("/",SUBSTITUTE(LEFT(TRIM(C425),FIND(" ",TRIM(C425)&amp;" ")-1),",","."))-1)/MID(SUBSTITUTE(LEFT(TRIM(C425),FIND(" ",TRIM(C425)&amp;" ")-1),",","."),FIND("/",SUBSTITUTE(LEFT(TRIM(C425),FIND(" ",TRIM(C425)&amp;" ")-1),",","."))+1,9))*12/52,IF(ISNUMBER(SEARCH("month",C425)),IFERROR(_xlfn.NUMBERVALUE(SUBSTITUTE(LEFT(TRIM(C425),FIND(" ",TRIM(C425)&amp;" ")-1),",","."),"."),LEFT(SUBSTITUTE(LEFT(TRIM(C425),FIND(" ",TRIM(C425)&amp;" ")-1),",","."),FIND("/",SUBSTITUTE(LEFT(TRIM(C425),FIND(" ",TRIM(C425)&amp;" ")-1),",","."))-1)/MID(SUBSTITUTE(LEFT(TRIM(C425),FIND(" ",TRIM(C425)&amp;" ")-1),",","."),FIND("/",SUBSTITUTE(LEFT(TRIM(C425),FIND(" ",TRIM(C425)&amp;" ")-1),",","."))+1,9)),IF(ISNUMBER(SEARCH("yea",C425)),IFERROR(_xlfn.NUMBERVALUE(SUBSTITUTE(LEFT(TRIM(C425),FIND(" ",TRIM(C425)&amp;" ")-1),",","."),"."),LEFT(SUBSTITUTE(LEFT(TRIM(C425),FIND(" ",TRIM(C425)&amp;" ")-1),",","."),FIND("/",SUBSTITUTE(LEFT(TRIM(C425),FIND(" ",TRIM(C425)&amp;" ")-1),",","."))-1)/MID(SUBSTITUTE(LEFT(TRIM(C425),FIND(" ",TRIM(C425)&amp;" ")-1),",","."),FIND("/",SUBSTITUTE(LEFT(TRIM(C425),FIND(" ",TRIM(C425)&amp;" ")-1),",","."))+1,9))*12,NA()))),0),24)*'Aturan &amp; Tarif'!$B$4,2)</f>
        <v>1362.72</v>
      </c>
      <c r="K425" s="42" t="n">
        <f aca="false">'Aturan &amp; Tarif'!$B$5</f>
        <v>2050</v>
      </c>
      <c r="L425" s="42" t="n">
        <f aca="false">'Aturan &amp; Tarif'!$B$6</f>
        <v>350</v>
      </c>
      <c r="M425" s="35" t="n">
        <f aca="false">I425+J425+K425+L425</f>
        <v>8462.72</v>
      </c>
      <c r="N425" s="45" t="s">
        <v>134</v>
      </c>
    </row>
    <row r="426" customFormat="false" ht="25.5" hidden="false" customHeight="true" outlineLevel="0" collapsed="false">
      <c r="A426" s="39" t="s">
        <v>2953</v>
      </c>
      <c r="B426" s="40" t="s">
        <v>346</v>
      </c>
      <c r="C426" s="41" t="s">
        <v>159</v>
      </c>
      <c r="D426" s="41" t="s">
        <v>108</v>
      </c>
      <c r="E426" s="42" t="n">
        <v>5500</v>
      </c>
      <c r="F426" s="42"/>
      <c r="G426" s="42" t="n">
        <v>300</v>
      </c>
      <c r="H426" s="43" t="n">
        <v>2</v>
      </c>
      <c r="I426" s="34" t="n">
        <f aca="false">E426*H426+N(F426)+N(G426)</f>
        <v>11300</v>
      </c>
      <c r="J426" s="42" t="n">
        <f aca="false">ROUND(IFERROR(ROUND(IF(OR(ISNUMBER(SEARCH("week",C426)),ISNUMBER(SEARCH("minggu",C426))),IFERROR(_xlfn.NUMBERVALUE(SUBSTITUTE(LEFT(TRIM(C426),FIND(" ",TRIM(C426)&amp;" ")-1),",","."),"."),LEFT(SUBSTITUTE(LEFT(TRIM(C426),FIND(" ",TRIM(C426)&amp;" ")-1),",","."),FIND("/",SUBSTITUTE(LEFT(TRIM(C426),FIND(" ",TRIM(C426)&amp;" ")-1),",","."))-1)/MID(SUBSTITUTE(LEFT(TRIM(C426),FIND(" ",TRIM(C426)&amp;" ")-1),",","."),FIND("/",SUBSTITUTE(LEFT(TRIM(C426),FIND(" ",TRIM(C426)&amp;" ")-1),",","."))+1,9))*12/52,IF(ISNUMBER(SEARCH("month",C426)),IFERROR(_xlfn.NUMBERVALUE(SUBSTITUTE(LEFT(TRIM(C426),FIND(" ",TRIM(C426)&amp;" ")-1),",","."),"."),LEFT(SUBSTITUTE(LEFT(TRIM(C426),FIND(" ",TRIM(C426)&amp;" ")-1),",","."),FIND("/",SUBSTITUTE(LEFT(TRIM(C426),FIND(" ",TRIM(C426)&amp;" ")-1),",","."))-1)/MID(SUBSTITUTE(LEFT(TRIM(C426),FIND(" ",TRIM(C426)&amp;" ")-1),",","."),FIND("/",SUBSTITUTE(LEFT(TRIM(C426),FIND(" ",TRIM(C426)&amp;" ")-1),",","."))+1,9)),IF(ISNUMBER(SEARCH("yea",C426)),IFERROR(_xlfn.NUMBERVALUE(SUBSTITUTE(LEFT(TRIM(C426),FIND(" ",TRIM(C426)&amp;" ")-1),",","."),"."),LEFT(SUBSTITUTE(LEFT(TRIM(C426),FIND(" ",TRIM(C426)&amp;" ")-1),",","."),FIND("/",SUBSTITUTE(LEFT(TRIM(C426),FIND(" ",TRIM(C426)&amp;" ")-1),",","."))-1)/MID(SUBSTITUTE(LEFT(TRIM(C426),FIND(" ",TRIM(C426)&amp;" ")-1),",","."),FIND("/",SUBSTITUTE(LEFT(TRIM(C426),FIND(" ",TRIM(C426)&amp;" ")-1),",","."))+1,9))*12,NA()))),0),6)*'Aturan &amp; Tarif'!$B$4,2)</f>
        <v>340.68</v>
      </c>
      <c r="K426" s="42" t="n">
        <f aca="false">'Aturan &amp; Tarif'!$B$5</f>
        <v>2050</v>
      </c>
      <c r="L426" s="42" t="n">
        <f aca="false">'Aturan &amp; Tarif'!$B$6</f>
        <v>350</v>
      </c>
      <c r="M426" s="35" t="n">
        <f aca="false">I426+J426+K426+L426</f>
        <v>14040.68</v>
      </c>
      <c r="N426" s="45" t="s">
        <v>2442</v>
      </c>
    </row>
    <row r="427" customFormat="false" ht="25.5" hidden="false" customHeight="true" outlineLevel="0" collapsed="false">
      <c r="A427" s="39"/>
      <c r="B427" s="40" t="s">
        <v>343</v>
      </c>
      <c r="C427" s="41" t="s">
        <v>159</v>
      </c>
      <c r="D427" s="41" t="s">
        <v>108</v>
      </c>
      <c r="E427" s="42" t="n">
        <v>4500</v>
      </c>
      <c r="F427" s="42"/>
      <c r="G427" s="42" t="n">
        <v>300</v>
      </c>
      <c r="H427" s="43" t="n">
        <v>2</v>
      </c>
      <c r="I427" s="34" t="n">
        <f aca="false">E427*H427+N(F427)+N(G427)</f>
        <v>9300</v>
      </c>
      <c r="J427" s="42" t="n">
        <f aca="false">ROUND(IFERROR(ROUND(IF(OR(ISNUMBER(SEARCH("week",C427)),ISNUMBER(SEARCH("minggu",C427))),IFERROR(_xlfn.NUMBERVALUE(SUBSTITUTE(LEFT(TRIM(C427),FIND(" ",TRIM(C427)&amp;" ")-1),",","."),"."),LEFT(SUBSTITUTE(LEFT(TRIM(C427),FIND(" ",TRIM(C427)&amp;" ")-1),",","."),FIND("/",SUBSTITUTE(LEFT(TRIM(C427),FIND(" ",TRIM(C427)&amp;" ")-1),",","."))-1)/MID(SUBSTITUTE(LEFT(TRIM(C427),FIND(" ",TRIM(C427)&amp;" ")-1),",","."),FIND("/",SUBSTITUTE(LEFT(TRIM(C427),FIND(" ",TRIM(C427)&amp;" ")-1),",","."))+1,9))*12/52,IF(ISNUMBER(SEARCH("month",C427)),IFERROR(_xlfn.NUMBERVALUE(SUBSTITUTE(LEFT(TRIM(C427),FIND(" ",TRIM(C427)&amp;" ")-1),",","."),"."),LEFT(SUBSTITUTE(LEFT(TRIM(C427),FIND(" ",TRIM(C427)&amp;" ")-1),",","."),FIND("/",SUBSTITUTE(LEFT(TRIM(C427),FIND(" ",TRIM(C427)&amp;" ")-1),",","."))-1)/MID(SUBSTITUTE(LEFT(TRIM(C427),FIND(" ",TRIM(C427)&amp;" ")-1),",","."),FIND("/",SUBSTITUTE(LEFT(TRIM(C427),FIND(" ",TRIM(C427)&amp;" ")-1),",","."))+1,9)),IF(ISNUMBER(SEARCH("yea",C427)),IFERROR(_xlfn.NUMBERVALUE(SUBSTITUTE(LEFT(TRIM(C427),FIND(" ",TRIM(C427)&amp;" ")-1),",","."),"."),LEFT(SUBSTITUTE(LEFT(TRIM(C427),FIND(" ",TRIM(C427)&amp;" ")-1),",","."),FIND("/",SUBSTITUTE(LEFT(TRIM(C427),FIND(" ",TRIM(C427)&amp;" ")-1),",","."))-1)/MID(SUBSTITUTE(LEFT(TRIM(C427),FIND(" ",TRIM(C427)&amp;" ")-1),",","."),FIND("/",SUBSTITUTE(LEFT(TRIM(C427),FIND(" ",TRIM(C427)&amp;" ")-1),",","."))+1,9))*12,NA()))),0),6)*'Aturan &amp; Tarif'!$B$4,2)</f>
        <v>340.68</v>
      </c>
      <c r="K427" s="42" t="n">
        <f aca="false">'Aturan &amp; Tarif'!$B$5</f>
        <v>2050</v>
      </c>
      <c r="L427" s="42" t="n">
        <f aca="false">'Aturan &amp; Tarif'!$B$6</f>
        <v>350</v>
      </c>
      <c r="M427" s="35" t="n">
        <f aca="false">I427+J427+K427+L427</f>
        <v>12040.68</v>
      </c>
      <c r="N427" s="45" t="s">
        <v>2442</v>
      </c>
    </row>
    <row r="428" customFormat="false" ht="14.25" hidden="false" customHeight="true" outlineLevel="0" collapsed="false">
      <c r="A428" s="39"/>
      <c r="B428" s="40" t="s">
        <v>2443</v>
      </c>
      <c r="C428" s="41" t="s">
        <v>159</v>
      </c>
      <c r="D428" s="41" t="s">
        <v>108</v>
      </c>
      <c r="E428" s="42" t="n">
        <v>4500</v>
      </c>
      <c r="F428" s="42"/>
      <c r="G428" s="42" t="n">
        <v>300</v>
      </c>
      <c r="H428" s="43" t="n">
        <v>2</v>
      </c>
      <c r="I428" s="34" t="n">
        <f aca="false">E428*H428+N(F428)+N(G428)</f>
        <v>9300</v>
      </c>
      <c r="J428" s="42" t="n">
        <f aca="false">ROUND(IFERROR(ROUND(IF(OR(ISNUMBER(SEARCH("week",C428)),ISNUMBER(SEARCH("minggu",C428))),IFERROR(_xlfn.NUMBERVALUE(SUBSTITUTE(LEFT(TRIM(C428),FIND(" ",TRIM(C428)&amp;" ")-1),",","."),"."),LEFT(SUBSTITUTE(LEFT(TRIM(C428),FIND(" ",TRIM(C428)&amp;" ")-1),",","."),FIND("/",SUBSTITUTE(LEFT(TRIM(C428),FIND(" ",TRIM(C428)&amp;" ")-1),",","."))-1)/MID(SUBSTITUTE(LEFT(TRIM(C428),FIND(" ",TRIM(C428)&amp;" ")-1),",","."),FIND("/",SUBSTITUTE(LEFT(TRIM(C428),FIND(" ",TRIM(C428)&amp;" ")-1),",","."))+1,9))*12/52,IF(ISNUMBER(SEARCH("month",C428)),IFERROR(_xlfn.NUMBERVALUE(SUBSTITUTE(LEFT(TRIM(C428),FIND(" ",TRIM(C428)&amp;" ")-1),",","."),"."),LEFT(SUBSTITUTE(LEFT(TRIM(C428),FIND(" ",TRIM(C428)&amp;" ")-1),",","."),FIND("/",SUBSTITUTE(LEFT(TRIM(C428),FIND(" ",TRIM(C428)&amp;" ")-1),",","."))-1)/MID(SUBSTITUTE(LEFT(TRIM(C428),FIND(" ",TRIM(C428)&amp;" ")-1),",","."),FIND("/",SUBSTITUTE(LEFT(TRIM(C428),FIND(" ",TRIM(C428)&amp;" ")-1),",","."))+1,9)),IF(ISNUMBER(SEARCH("yea",C428)),IFERROR(_xlfn.NUMBERVALUE(SUBSTITUTE(LEFT(TRIM(C428),FIND(" ",TRIM(C428)&amp;" ")-1),",","."),"."),LEFT(SUBSTITUTE(LEFT(TRIM(C428),FIND(" ",TRIM(C428)&amp;" ")-1),",","."),FIND("/",SUBSTITUTE(LEFT(TRIM(C428),FIND(" ",TRIM(C428)&amp;" ")-1),",","."))-1)/MID(SUBSTITUTE(LEFT(TRIM(C428),FIND(" ",TRIM(C428)&amp;" ")-1),",","."),FIND("/",SUBSTITUTE(LEFT(TRIM(C428),FIND(" ",TRIM(C428)&amp;" ")-1),",","."))+1,9))*12,NA()))),0),6)*'Aturan &amp; Tarif'!$B$4,2)</f>
        <v>340.68</v>
      </c>
      <c r="K428" s="42" t="n">
        <f aca="false">'Aturan &amp; Tarif'!$B$5</f>
        <v>2050</v>
      </c>
      <c r="L428" s="42" t="n">
        <f aca="false">'Aturan &amp; Tarif'!$B$6</f>
        <v>350</v>
      </c>
      <c r="M428" s="35" t="n">
        <f aca="false">I428+J428+K428+L428</f>
        <v>12040.68</v>
      </c>
      <c r="N428" s="45" t="s">
        <v>2442</v>
      </c>
    </row>
    <row r="429" customFormat="false" ht="14.25" hidden="false" customHeight="true" outlineLevel="0" collapsed="false">
      <c r="A429" s="39"/>
      <c r="B429" s="40" t="s">
        <v>2444</v>
      </c>
      <c r="C429" s="41" t="s">
        <v>107</v>
      </c>
      <c r="D429" s="41" t="s">
        <v>108</v>
      </c>
      <c r="E429" s="42" t="n">
        <v>5500</v>
      </c>
      <c r="F429" s="42"/>
      <c r="G429" s="42" t="n">
        <v>300</v>
      </c>
      <c r="H429" s="43" t="n">
        <v>2</v>
      </c>
      <c r="I429" s="34" t="n">
        <f aca="false">E429*H429+N(F429)+N(G429)</f>
        <v>11300</v>
      </c>
      <c r="J429" s="42" t="n">
        <f aca="false">ROUND(IFERROR(ROUND(IF(OR(ISNUMBER(SEARCH("week",C429)),ISNUMBER(SEARCH("minggu",C429))),IFERROR(_xlfn.NUMBERVALUE(SUBSTITUTE(LEFT(TRIM(C429),FIND(" ",TRIM(C429)&amp;" ")-1),",","."),"."),LEFT(SUBSTITUTE(LEFT(TRIM(C429),FIND(" ",TRIM(C429)&amp;" ")-1),",","."),FIND("/",SUBSTITUTE(LEFT(TRIM(C429),FIND(" ",TRIM(C429)&amp;" ")-1),",","."))-1)/MID(SUBSTITUTE(LEFT(TRIM(C429),FIND(" ",TRIM(C429)&amp;" ")-1),",","."),FIND("/",SUBSTITUTE(LEFT(TRIM(C429),FIND(" ",TRIM(C429)&amp;" ")-1),",","."))+1,9))*12/52,IF(ISNUMBER(SEARCH("month",C429)),IFERROR(_xlfn.NUMBERVALUE(SUBSTITUTE(LEFT(TRIM(C429),FIND(" ",TRIM(C429)&amp;" ")-1),",","."),"."),LEFT(SUBSTITUTE(LEFT(TRIM(C429),FIND(" ",TRIM(C429)&amp;" ")-1),",","."),FIND("/",SUBSTITUTE(LEFT(TRIM(C429),FIND(" ",TRIM(C429)&amp;" ")-1),",","."))-1)/MID(SUBSTITUTE(LEFT(TRIM(C429),FIND(" ",TRIM(C429)&amp;" ")-1),",","."),FIND("/",SUBSTITUTE(LEFT(TRIM(C429),FIND(" ",TRIM(C429)&amp;" ")-1),",","."))+1,9)),IF(ISNUMBER(SEARCH("yea",C429)),IFERROR(_xlfn.NUMBERVALUE(SUBSTITUTE(LEFT(TRIM(C429),FIND(" ",TRIM(C429)&amp;" ")-1),",","."),"."),LEFT(SUBSTITUTE(LEFT(TRIM(C429),FIND(" ",TRIM(C429)&amp;" ")-1),",","."),FIND("/",SUBSTITUTE(LEFT(TRIM(C429),FIND(" ",TRIM(C429)&amp;" ")-1),",","."))-1)/MID(SUBSTITUTE(LEFT(TRIM(C429),FIND(" ",TRIM(C429)&amp;" ")-1),",","."),FIND("/",SUBSTITUTE(LEFT(TRIM(C429),FIND(" ",TRIM(C429)&amp;" ")-1),",","."))+1,9))*12,NA()))),0),24)*'Aturan &amp; Tarif'!$B$4,2)</f>
        <v>1362.72</v>
      </c>
      <c r="K429" s="42" t="n">
        <f aca="false">'Aturan &amp; Tarif'!$B$5</f>
        <v>2050</v>
      </c>
      <c r="L429" s="42" t="n">
        <f aca="false">'Aturan &amp; Tarif'!$B$6</f>
        <v>350</v>
      </c>
      <c r="M429" s="35" t="n">
        <f aca="false">I429+J429+K429+L429</f>
        <v>15062.72</v>
      </c>
      <c r="N429" s="45" t="s">
        <v>2442</v>
      </c>
    </row>
    <row r="430" customFormat="false" ht="14.25" hidden="false" customHeight="true" outlineLevel="0" collapsed="false">
      <c r="A430" s="39"/>
      <c r="B430" s="40" t="s">
        <v>870</v>
      </c>
      <c r="C430" s="41" t="s">
        <v>107</v>
      </c>
      <c r="D430" s="41" t="s">
        <v>108</v>
      </c>
      <c r="E430" s="42" t="n">
        <v>4500</v>
      </c>
      <c r="F430" s="42"/>
      <c r="G430" s="42" t="n">
        <v>300</v>
      </c>
      <c r="H430" s="43" t="n">
        <v>2</v>
      </c>
      <c r="I430" s="34" t="n">
        <f aca="false">E430*H430+N(F430)+N(G430)</f>
        <v>9300</v>
      </c>
      <c r="J430" s="42" t="n">
        <f aca="false">ROUND(IFERROR(ROUND(IF(OR(ISNUMBER(SEARCH("week",C430)),ISNUMBER(SEARCH("minggu",C430))),IFERROR(_xlfn.NUMBERVALUE(SUBSTITUTE(LEFT(TRIM(C430),FIND(" ",TRIM(C430)&amp;" ")-1),",","."),"."),LEFT(SUBSTITUTE(LEFT(TRIM(C430),FIND(" ",TRIM(C430)&amp;" ")-1),",","."),FIND("/",SUBSTITUTE(LEFT(TRIM(C430),FIND(" ",TRIM(C430)&amp;" ")-1),",","."))-1)/MID(SUBSTITUTE(LEFT(TRIM(C430),FIND(" ",TRIM(C430)&amp;" ")-1),",","."),FIND("/",SUBSTITUTE(LEFT(TRIM(C430),FIND(" ",TRIM(C430)&amp;" ")-1),",","."))+1,9))*12/52,IF(ISNUMBER(SEARCH("month",C430)),IFERROR(_xlfn.NUMBERVALUE(SUBSTITUTE(LEFT(TRIM(C430),FIND(" ",TRIM(C430)&amp;" ")-1),",","."),"."),LEFT(SUBSTITUTE(LEFT(TRIM(C430),FIND(" ",TRIM(C430)&amp;" ")-1),",","."),FIND("/",SUBSTITUTE(LEFT(TRIM(C430),FIND(" ",TRIM(C430)&amp;" ")-1),",","."))-1)/MID(SUBSTITUTE(LEFT(TRIM(C430),FIND(" ",TRIM(C430)&amp;" ")-1),",","."),FIND("/",SUBSTITUTE(LEFT(TRIM(C430),FIND(" ",TRIM(C430)&amp;" ")-1),",","."))+1,9)),IF(ISNUMBER(SEARCH("yea",C430)),IFERROR(_xlfn.NUMBERVALUE(SUBSTITUTE(LEFT(TRIM(C430),FIND(" ",TRIM(C430)&amp;" ")-1),",","."),"."),LEFT(SUBSTITUTE(LEFT(TRIM(C430),FIND(" ",TRIM(C430)&amp;" ")-1),",","."),FIND("/",SUBSTITUTE(LEFT(TRIM(C430),FIND(" ",TRIM(C430)&amp;" ")-1),",","."))-1)/MID(SUBSTITUTE(LEFT(TRIM(C430),FIND(" ",TRIM(C430)&amp;" ")-1),",","."),FIND("/",SUBSTITUTE(LEFT(TRIM(C430),FIND(" ",TRIM(C430)&amp;" ")-1),",","."))+1,9))*12,NA()))),0),24)*'Aturan &amp; Tarif'!$B$4,2)</f>
        <v>1362.72</v>
      </c>
      <c r="K430" s="42" t="n">
        <f aca="false">'Aturan &amp; Tarif'!$B$5</f>
        <v>2050</v>
      </c>
      <c r="L430" s="42" t="n">
        <f aca="false">'Aturan &amp; Tarif'!$B$6</f>
        <v>350</v>
      </c>
      <c r="M430" s="35" t="n">
        <f aca="false">I430+J430+K430+L430</f>
        <v>13062.72</v>
      </c>
      <c r="N430" s="45" t="s">
        <v>2442</v>
      </c>
    </row>
    <row r="431" customFormat="false" ht="25.5" hidden="false" customHeight="true" outlineLevel="0" collapsed="false">
      <c r="A431" s="39"/>
      <c r="B431" s="40" t="s">
        <v>2445</v>
      </c>
      <c r="C431" s="41" t="s">
        <v>113</v>
      </c>
      <c r="D431" s="41" t="s">
        <v>108</v>
      </c>
      <c r="E431" s="42" t="n">
        <v>4500</v>
      </c>
      <c r="F431" s="42"/>
      <c r="G431" s="42" t="n">
        <v>300</v>
      </c>
      <c r="H431" s="43" t="n">
        <v>2</v>
      </c>
      <c r="I431" s="34" t="n">
        <f aca="false">E431*H431+N(F431)+N(G431)</f>
        <v>9300</v>
      </c>
      <c r="J431" s="42" t="n">
        <f aca="false">ROUND(IFERROR(ROUND(IF(OR(ISNUMBER(SEARCH("week",C431)),ISNUMBER(SEARCH("minggu",C431))),IFERROR(_xlfn.NUMBERVALUE(SUBSTITUTE(LEFT(TRIM(C431),FIND(" ",TRIM(C431)&amp;" ")-1),",","."),"."),LEFT(SUBSTITUTE(LEFT(TRIM(C431),FIND(" ",TRIM(C431)&amp;" ")-1),",","."),FIND("/",SUBSTITUTE(LEFT(TRIM(C431),FIND(" ",TRIM(C431)&amp;" ")-1),",","."))-1)/MID(SUBSTITUTE(LEFT(TRIM(C431),FIND(" ",TRIM(C431)&amp;" ")-1),",","."),FIND("/",SUBSTITUTE(LEFT(TRIM(C431),FIND(" ",TRIM(C431)&amp;" ")-1),",","."))+1,9))*12/52,IF(ISNUMBER(SEARCH("month",C431)),IFERROR(_xlfn.NUMBERVALUE(SUBSTITUTE(LEFT(TRIM(C431),FIND(" ",TRIM(C431)&amp;" ")-1),",","."),"."),LEFT(SUBSTITUTE(LEFT(TRIM(C431),FIND(" ",TRIM(C431)&amp;" ")-1),",","."),FIND("/",SUBSTITUTE(LEFT(TRIM(C431),FIND(" ",TRIM(C431)&amp;" ")-1),",","."))-1)/MID(SUBSTITUTE(LEFT(TRIM(C431),FIND(" ",TRIM(C431)&amp;" ")-1),",","."),FIND("/",SUBSTITUTE(LEFT(TRIM(C431),FIND(" ",TRIM(C431)&amp;" ")-1),",","."))+1,9)),IF(ISNUMBER(SEARCH("yea",C431)),IFERROR(_xlfn.NUMBERVALUE(SUBSTITUTE(LEFT(TRIM(C431),FIND(" ",TRIM(C431)&amp;" ")-1),",","."),"."),LEFT(SUBSTITUTE(LEFT(TRIM(C431),FIND(" ",TRIM(C431)&amp;" ")-1),",","."),FIND("/",SUBSTITUTE(LEFT(TRIM(C431),FIND(" ",TRIM(C431)&amp;" ")-1),",","."))-1)/MID(SUBSTITUTE(LEFT(TRIM(C431),FIND(" ",TRIM(C431)&amp;" ")-1),",","."),FIND("/",SUBSTITUTE(LEFT(TRIM(C431),FIND(" ",TRIM(C431)&amp;" ")-1),",","."))+1,9))*12,NA()))),0),18)*'Aturan &amp; Tarif'!$B$4,2)</f>
        <v>1022.04</v>
      </c>
      <c r="K431" s="42" t="n">
        <f aca="false">'Aturan &amp; Tarif'!$B$5</f>
        <v>2050</v>
      </c>
      <c r="L431" s="42" t="n">
        <f aca="false">'Aturan &amp; Tarif'!$B$6</f>
        <v>350</v>
      </c>
      <c r="M431" s="35" t="n">
        <f aca="false">I431+J431+K431+L431</f>
        <v>12722.04</v>
      </c>
      <c r="N431" s="45" t="s">
        <v>2442</v>
      </c>
    </row>
    <row r="432" customFormat="false" ht="14.25" hidden="false" customHeight="true" outlineLevel="0" collapsed="false">
      <c r="A432" s="39"/>
      <c r="B432" s="40" t="s">
        <v>2446</v>
      </c>
      <c r="C432" s="41" t="s">
        <v>107</v>
      </c>
      <c r="D432" s="41" t="s">
        <v>108</v>
      </c>
      <c r="E432" s="42" t="n">
        <v>4500</v>
      </c>
      <c r="F432" s="42"/>
      <c r="G432" s="42" t="n">
        <v>300</v>
      </c>
      <c r="H432" s="43" t="n">
        <v>2</v>
      </c>
      <c r="I432" s="34" t="n">
        <f aca="false">E432*H432+N(F432)+N(G432)</f>
        <v>9300</v>
      </c>
      <c r="J432" s="42" t="n">
        <f aca="false">ROUND(IFERROR(ROUND(IF(OR(ISNUMBER(SEARCH("week",C432)),ISNUMBER(SEARCH("minggu",C432))),IFERROR(_xlfn.NUMBERVALUE(SUBSTITUTE(LEFT(TRIM(C432),FIND(" ",TRIM(C432)&amp;" ")-1),",","."),"."),LEFT(SUBSTITUTE(LEFT(TRIM(C432),FIND(" ",TRIM(C432)&amp;" ")-1),",","."),FIND("/",SUBSTITUTE(LEFT(TRIM(C432),FIND(" ",TRIM(C432)&amp;" ")-1),",","."))-1)/MID(SUBSTITUTE(LEFT(TRIM(C432),FIND(" ",TRIM(C432)&amp;" ")-1),",","."),FIND("/",SUBSTITUTE(LEFT(TRIM(C432),FIND(" ",TRIM(C432)&amp;" ")-1),",","."))+1,9))*12/52,IF(ISNUMBER(SEARCH("month",C432)),IFERROR(_xlfn.NUMBERVALUE(SUBSTITUTE(LEFT(TRIM(C432),FIND(" ",TRIM(C432)&amp;" ")-1),",","."),"."),LEFT(SUBSTITUTE(LEFT(TRIM(C432),FIND(" ",TRIM(C432)&amp;" ")-1),",","."),FIND("/",SUBSTITUTE(LEFT(TRIM(C432),FIND(" ",TRIM(C432)&amp;" ")-1),",","."))-1)/MID(SUBSTITUTE(LEFT(TRIM(C432),FIND(" ",TRIM(C432)&amp;" ")-1),",","."),FIND("/",SUBSTITUTE(LEFT(TRIM(C432),FIND(" ",TRIM(C432)&amp;" ")-1),",","."))+1,9)),IF(ISNUMBER(SEARCH("yea",C432)),IFERROR(_xlfn.NUMBERVALUE(SUBSTITUTE(LEFT(TRIM(C432),FIND(" ",TRIM(C432)&amp;" ")-1),",","."),"."),LEFT(SUBSTITUTE(LEFT(TRIM(C432),FIND(" ",TRIM(C432)&amp;" ")-1),",","."),FIND("/",SUBSTITUTE(LEFT(TRIM(C432),FIND(" ",TRIM(C432)&amp;" ")-1),",","."))-1)/MID(SUBSTITUTE(LEFT(TRIM(C432),FIND(" ",TRIM(C432)&amp;" ")-1),",","."),FIND("/",SUBSTITUTE(LEFT(TRIM(C432),FIND(" ",TRIM(C432)&amp;" ")-1),",","."))+1,9))*12,NA()))),0),24)*'Aturan &amp; Tarif'!$B$4,2)</f>
        <v>1362.72</v>
      </c>
      <c r="K432" s="42" t="n">
        <f aca="false">'Aturan &amp; Tarif'!$B$5</f>
        <v>2050</v>
      </c>
      <c r="L432" s="42" t="n">
        <f aca="false">'Aturan &amp; Tarif'!$B$6</f>
        <v>350</v>
      </c>
      <c r="M432" s="35" t="n">
        <f aca="false">I432+J432+K432+L432</f>
        <v>13062.72</v>
      </c>
      <c r="N432" s="45" t="s">
        <v>2442</v>
      </c>
    </row>
    <row r="433" customFormat="false" ht="14.25" hidden="false" customHeight="true" outlineLevel="0" collapsed="false">
      <c r="A433" s="39"/>
      <c r="B433" s="40" t="s">
        <v>2234</v>
      </c>
      <c r="C433" s="41" t="s">
        <v>127</v>
      </c>
      <c r="D433" s="41" t="s">
        <v>108</v>
      </c>
      <c r="E433" s="42" t="n">
        <v>4300</v>
      </c>
      <c r="F433" s="42"/>
      <c r="G433" s="42" t="n">
        <v>300</v>
      </c>
      <c r="H433" s="43" t="n">
        <v>2</v>
      </c>
      <c r="I433" s="34" t="n">
        <f aca="false">E433*H433+N(F433)+N(G433)</f>
        <v>8900</v>
      </c>
      <c r="J433" s="42" t="n">
        <f aca="false">ROUND(IFERROR(ROUND(IF(OR(ISNUMBER(SEARCH("week",C433)),ISNUMBER(SEARCH("minggu",C433))),IFERROR(_xlfn.NUMBERVALUE(SUBSTITUTE(LEFT(TRIM(C433),FIND(" ",TRIM(C433)&amp;" ")-1),",","."),"."),LEFT(SUBSTITUTE(LEFT(TRIM(C433),FIND(" ",TRIM(C433)&amp;" ")-1),",","."),FIND("/",SUBSTITUTE(LEFT(TRIM(C433),FIND(" ",TRIM(C433)&amp;" ")-1),",","."))-1)/MID(SUBSTITUTE(LEFT(TRIM(C433),FIND(" ",TRIM(C433)&amp;" ")-1),",","."),FIND("/",SUBSTITUTE(LEFT(TRIM(C433),FIND(" ",TRIM(C433)&amp;" ")-1),",","."))+1,9))*12/52,IF(ISNUMBER(SEARCH("month",C433)),IFERROR(_xlfn.NUMBERVALUE(SUBSTITUTE(LEFT(TRIM(C433),FIND(" ",TRIM(C433)&amp;" ")-1),",","."),"."),LEFT(SUBSTITUTE(LEFT(TRIM(C433),FIND(" ",TRIM(C433)&amp;" ")-1),",","."),FIND("/",SUBSTITUTE(LEFT(TRIM(C433),FIND(" ",TRIM(C433)&amp;" ")-1),",","."))-1)/MID(SUBSTITUTE(LEFT(TRIM(C433),FIND(" ",TRIM(C433)&amp;" ")-1),",","."),FIND("/",SUBSTITUTE(LEFT(TRIM(C433),FIND(" ",TRIM(C433)&amp;" ")-1),",","."))+1,9)),IF(ISNUMBER(SEARCH("yea",C433)),IFERROR(_xlfn.NUMBERVALUE(SUBSTITUTE(LEFT(TRIM(C433),FIND(" ",TRIM(C433)&amp;" ")-1),",","."),"."),LEFT(SUBSTITUTE(LEFT(TRIM(C433),FIND(" ",TRIM(C433)&amp;" ")-1),",","."),FIND("/",SUBSTITUTE(LEFT(TRIM(C433),FIND(" ",TRIM(C433)&amp;" ")-1),",","."))-1)/MID(SUBSTITUTE(LEFT(TRIM(C433),FIND(" ",TRIM(C433)&amp;" ")-1),",","."),FIND("/",SUBSTITUTE(LEFT(TRIM(C433),FIND(" ",TRIM(C433)&amp;" ")-1),",","."))+1,9))*12,NA()))),0),36)*'Aturan &amp; Tarif'!$B$4,2)</f>
        <v>2044.08</v>
      </c>
      <c r="K433" s="42" t="n">
        <f aca="false">'Aturan &amp; Tarif'!$B$5</f>
        <v>2050</v>
      </c>
      <c r="L433" s="42" t="n">
        <f aca="false">'Aturan &amp; Tarif'!$B$6</f>
        <v>350</v>
      </c>
      <c r="M433" s="35" t="n">
        <f aca="false">I433+J433+K433+L433</f>
        <v>13344.08</v>
      </c>
      <c r="N433" s="45" t="s">
        <v>2442</v>
      </c>
    </row>
    <row r="434" customFormat="false" ht="37.5" hidden="false" customHeight="true" outlineLevel="0" collapsed="false">
      <c r="A434" s="39"/>
      <c r="B434" s="40" t="s">
        <v>2447</v>
      </c>
      <c r="C434" s="41" t="s">
        <v>127</v>
      </c>
      <c r="D434" s="41" t="s">
        <v>108</v>
      </c>
      <c r="E434" s="42" t="n">
        <v>4300</v>
      </c>
      <c r="F434" s="42"/>
      <c r="G434" s="42" t="n">
        <v>300</v>
      </c>
      <c r="H434" s="43" t="n">
        <v>2</v>
      </c>
      <c r="I434" s="34" t="n">
        <f aca="false">E434*H434+N(F434)+N(G434)</f>
        <v>8900</v>
      </c>
      <c r="J434" s="42" t="n">
        <f aca="false">ROUND(IFERROR(ROUND(IF(OR(ISNUMBER(SEARCH("week",C434)),ISNUMBER(SEARCH("minggu",C434))),IFERROR(_xlfn.NUMBERVALUE(SUBSTITUTE(LEFT(TRIM(C434),FIND(" ",TRIM(C434)&amp;" ")-1),",","."),"."),LEFT(SUBSTITUTE(LEFT(TRIM(C434),FIND(" ",TRIM(C434)&amp;" ")-1),",","."),FIND("/",SUBSTITUTE(LEFT(TRIM(C434),FIND(" ",TRIM(C434)&amp;" ")-1),",","."))-1)/MID(SUBSTITUTE(LEFT(TRIM(C434),FIND(" ",TRIM(C434)&amp;" ")-1),",","."),FIND("/",SUBSTITUTE(LEFT(TRIM(C434),FIND(" ",TRIM(C434)&amp;" ")-1),",","."))+1,9))*12/52,IF(ISNUMBER(SEARCH("month",C434)),IFERROR(_xlfn.NUMBERVALUE(SUBSTITUTE(LEFT(TRIM(C434),FIND(" ",TRIM(C434)&amp;" ")-1),",","."),"."),LEFT(SUBSTITUTE(LEFT(TRIM(C434),FIND(" ",TRIM(C434)&amp;" ")-1),",","."),FIND("/",SUBSTITUTE(LEFT(TRIM(C434),FIND(" ",TRIM(C434)&amp;" ")-1),",","."))-1)/MID(SUBSTITUTE(LEFT(TRIM(C434),FIND(" ",TRIM(C434)&amp;" ")-1),",","."),FIND("/",SUBSTITUTE(LEFT(TRIM(C434),FIND(" ",TRIM(C434)&amp;" ")-1),",","."))+1,9)),IF(ISNUMBER(SEARCH("yea",C434)),IFERROR(_xlfn.NUMBERVALUE(SUBSTITUTE(LEFT(TRIM(C434),FIND(" ",TRIM(C434)&amp;" ")-1),",","."),"."),LEFT(SUBSTITUTE(LEFT(TRIM(C434),FIND(" ",TRIM(C434)&amp;" ")-1),",","."),FIND("/",SUBSTITUTE(LEFT(TRIM(C434),FIND(" ",TRIM(C434)&amp;" ")-1),",","."))-1)/MID(SUBSTITUTE(LEFT(TRIM(C434),FIND(" ",TRIM(C434)&amp;" ")-1),",","."),FIND("/",SUBSTITUTE(LEFT(TRIM(C434),FIND(" ",TRIM(C434)&amp;" ")-1),",","."))+1,9))*12,NA()))),0),36)*'Aturan &amp; Tarif'!$B$4,2)</f>
        <v>2044.08</v>
      </c>
      <c r="K434" s="42" t="n">
        <f aca="false">'Aturan &amp; Tarif'!$B$5</f>
        <v>2050</v>
      </c>
      <c r="L434" s="42" t="n">
        <f aca="false">'Aturan &amp; Tarif'!$B$6</f>
        <v>350</v>
      </c>
      <c r="M434" s="35" t="n">
        <f aca="false">I434+J434+K434+L434</f>
        <v>13344.08</v>
      </c>
      <c r="N434" s="45" t="s">
        <v>2442</v>
      </c>
    </row>
    <row r="435" customFormat="false" ht="14.25" hidden="false" customHeight="true" outlineLevel="0" collapsed="false">
      <c r="A435" s="29" t="s">
        <v>2954</v>
      </c>
      <c r="B435" s="30" t="s">
        <v>2454</v>
      </c>
      <c r="C435" s="31" t="s">
        <v>138</v>
      </c>
      <c r="D435" s="31" t="s">
        <v>108</v>
      </c>
      <c r="E435" s="32" t="n">
        <v>1500</v>
      </c>
      <c r="F435" s="32" t="n">
        <v>50</v>
      </c>
      <c r="G435" s="32" t="n">
        <v>250</v>
      </c>
      <c r="H435" s="33" t="n">
        <v>1</v>
      </c>
      <c r="I435" s="34" t="n">
        <f aca="false">E435*H435+N(F435)+N(G435)</f>
        <v>1800</v>
      </c>
      <c r="J435" s="32" t="n">
        <f aca="false">ROUND(IFERROR(ROUND(IF(OR(ISNUMBER(SEARCH("week",C435)),ISNUMBER(SEARCH("minggu",C435))),IFERROR(_xlfn.NUMBERVALUE(SUBSTITUTE(LEFT(TRIM(C435),FIND(" ",TRIM(C435)&amp;" ")-1),",","."),"."),LEFT(SUBSTITUTE(LEFT(TRIM(C435),FIND(" ",TRIM(C435)&amp;" ")-1),",","."),FIND("/",SUBSTITUTE(LEFT(TRIM(C435),FIND(" ",TRIM(C435)&amp;" ")-1),",","."))-1)/MID(SUBSTITUTE(LEFT(TRIM(C435),FIND(" ",TRIM(C435)&amp;" ")-1),",","."),FIND("/",SUBSTITUTE(LEFT(TRIM(C435),FIND(" ",TRIM(C435)&amp;" ")-1),",","."))+1,9))*12/52,IF(ISNUMBER(SEARCH("month",C435)),IFERROR(_xlfn.NUMBERVALUE(SUBSTITUTE(LEFT(TRIM(C435),FIND(" ",TRIM(C435)&amp;" ")-1),",","."),"."),LEFT(SUBSTITUTE(LEFT(TRIM(C435),FIND(" ",TRIM(C435)&amp;" ")-1),",","."),FIND("/",SUBSTITUTE(LEFT(TRIM(C435),FIND(" ",TRIM(C435)&amp;" ")-1),",","."))-1)/MID(SUBSTITUTE(LEFT(TRIM(C435),FIND(" ",TRIM(C435)&amp;" ")-1),",","."),FIND("/",SUBSTITUTE(LEFT(TRIM(C435),FIND(" ",TRIM(C435)&amp;" ")-1),",","."))+1,9)),IF(ISNUMBER(SEARCH("yea",C435)),IFERROR(_xlfn.NUMBERVALUE(SUBSTITUTE(LEFT(TRIM(C435),FIND(" ",TRIM(C435)&amp;" ")-1),",","."),"."),LEFT(SUBSTITUTE(LEFT(TRIM(C435),FIND(" ",TRIM(C435)&amp;" ")-1),",","."),FIND("/",SUBSTITUTE(LEFT(TRIM(C435),FIND(" ",TRIM(C435)&amp;" ")-1),",","."))-1)/MID(SUBSTITUTE(LEFT(TRIM(C435),FIND(" ",TRIM(C435)&amp;" ")-1),",","."),FIND("/",SUBSTITUTE(LEFT(TRIM(C435),FIND(" ",TRIM(C435)&amp;" ")-1),",","."))+1,9))*12,NA()))),0),30)*'Aturan &amp; Tarif'!$B$4,2)</f>
        <v>1703.4</v>
      </c>
      <c r="K435" s="32" t="n">
        <f aca="false">'Aturan &amp; Tarif'!$B$5</f>
        <v>2050</v>
      </c>
      <c r="L435" s="32" t="n">
        <f aca="false">'Aturan &amp; Tarif'!$B$6</f>
        <v>350</v>
      </c>
      <c r="M435" s="35" t="n">
        <f aca="false">I435+J435+K435+L435</f>
        <v>5903.4</v>
      </c>
      <c r="N435" s="37" t="s">
        <v>2955</v>
      </c>
    </row>
    <row r="436" customFormat="false" ht="25.5" hidden="false" customHeight="true" outlineLevel="0" collapsed="false">
      <c r="A436" s="29"/>
      <c r="B436" s="30" t="s">
        <v>2059</v>
      </c>
      <c r="C436" s="31" t="s">
        <v>107</v>
      </c>
      <c r="D436" s="31" t="s">
        <v>108</v>
      </c>
      <c r="E436" s="32" t="n">
        <v>1500</v>
      </c>
      <c r="F436" s="32" t="n">
        <v>50</v>
      </c>
      <c r="G436" s="32" t="n">
        <v>250</v>
      </c>
      <c r="H436" s="33" t="n">
        <v>1</v>
      </c>
      <c r="I436" s="34" t="n">
        <f aca="false">E436*H436+N(F436)+N(G436)</f>
        <v>1800</v>
      </c>
      <c r="J436" s="32" t="n">
        <f aca="false">ROUND(IFERROR(ROUND(IF(OR(ISNUMBER(SEARCH("week",C436)),ISNUMBER(SEARCH("minggu",C436))),IFERROR(_xlfn.NUMBERVALUE(SUBSTITUTE(LEFT(TRIM(C436),FIND(" ",TRIM(C436)&amp;" ")-1),",","."),"."),LEFT(SUBSTITUTE(LEFT(TRIM(C436),FIND(" ",TRIM(C436)&amp;" ")-1),",","."),FIND("/",SUBSTITUTE(LEFT(TRIM(C436),FIND(" ",TRIM(C436)&amp;" ")-1),",","."))-1)/MID(SUBSTITUTE(LEFT(TRIM(C436),FIND(" ",TRIM(C436)&amp;" ")-1),",","."),FIND("/",SUBSTITUTE(LEFT(TRIM(C436),FIND(" ",TRIM(C436)&amp;" ")-1),",","."))+1,9))*12/52,IF(ISNUMBER(SEARCH("month",C436)),IFERROR(_xlfn.NUMBERVALUE(SUBSTITUTE(LEFT(TRIM(C436),FIND(" ",TRIM(C436)&amp;" ")-1),",","."),"."),LEFT(SUBSTITUTE(LEFT(TRIM(C436),FIND(" ",TRIM(C436)&amp;" ")-1),",","."),FIND("/",SUBSTITUTE(LEFT(TRIM(C436),FIND(" ",TRIM(C436)&amp;" ")-1),",","."))-1)/MID(SUBSTITUTE(LEFT(TRIM(C436),FIND(" ",TRIM(C436)&amp;" ")-1),",","."),FIND("/",SUBSTITUTE(LEFT(TRIM(C436),FIND(" ",TRIM(C436)&amp;" ")-1),",","."))+1,9)),IF(ISNUMBER(SEARCH("yea",C436)),IFERROR(_xlfn.NUMBERVALUE(SUBSTITUTE(LEFT(TRIM(C436),FIND(" ",TRIM(C436)&amp;" ")-1),",","."),"."),LEFT(SUBSTITUTE(LEFT(TRIM(C436),FIND(" ",TRIM(C436)&amp;" ")-1),",","."),FIND("/",SUBSTITUTE(LEFT(TRIM(C436),FIND(" ",TRIM(C436)&amp;" ")-1),",","."))-1)/MID(SUBSTITUTE(LEFT(TRIM(C436),FIND(" ",TRIM(C436)&amp;" ")-1),",","."),FIND("/",SUBSTITUTE(LEFT(TRIM(C436),FIND(" ",TRIM(C436)&amp;" ")-1),",","."))+1,9))*12,NA()))),0),24)*'Aturan &amp; Tarif'!$B$4,2)</f>
        <v>1362.72</v>
      </c>
      <c r="K436" s="32" t="n">
        <f aca="false">'Aturan &amp; Tarif'!$B$5</f>
        <v>2050</v>
      </c>
      <c r="L436" s="32" t="n">
        <f aca="false">'Aturan &amp; Tarif'!$B$6</f>
        <v>350</v>
      </c>
      <c r="M436" s="35" t="n">
        <f aca="false">I436+J436+K436+L436</f>
        <v>5562.72</v>
      </c>
      <c r="N436" s="37" t="s">
        <v>2955</v>
      </c>
    </row>
    <row r="437" customFormat="false" ht="48.75" hidden="false" customHeight="true" outlineLevel="0" collapsed="false">
      <c r="A437" s="29"/>
      <c r="B437" s="30" t="s">
        <v>2455</v>
      </c>
      <c r="C437" s="31" t="s">
        <v>136</v>
      </c>
      <c r="D437" s="31" t="s">
        <v>108</v>
      </c>
      <c r="E437" s="32" t="n">
        <v>1500</v>
      </c>
      <c r="F437" s="32" t="n">
        <v>50</v>
      </c>
      <c r="G437" s="32" t="n">
        <v>250</v>
      </c>
      <c r="H437" s="33" t="n">
        <v>1</v>
      </c>
      <c r="I437" s="34" t="n">
        <f aca="false">E437*H437+N(F437)+N(G437)</f>
        <v>1800</v>
      </c>
      <c r="J437" s="32" t="n">
        <f aca="false">ROUND(IFERROR(ROUND(IF(OR(ISNUMBER(SEARCH("week",C437)),ISNUMBER(SEARCH("minggu",C437))),IFERROR(_xlfn.NUMBERVALUE(SUBSTITUTE(LEFT(TRIM(C437),FIND(" ",TRIM(C437)&amp;" ")-1),",","."),"."),LEFT(SUBSTITUTE(LEFT(TRIM(C437),FIND(" ",TRIM(C437)&amp;" ")-1),",","."),FIND("/",SUBSTITUTE(LEFT(TRIM(C437),FIND(" ",TRIM(C437)&amp;" ")-1),",","."))-1)/MID(SUBSTITUTE(LEFT(TRIM(C437),FIND(" ",TRIM(C437)&amp;" ")-1),",","."),FIND("/",SUBSTITUTE(LEFT(TRIM(C437),FIND(" ",TRIM(C437)&amp;" ")-1),",","."))+1,9))*12/52,IF(ISNUMBER(SEARCH("month",C437)),IFERROR(_xlfn.NUMBERVALUE(SUBSTITUTE(LEFT(TRIM(C437),FIND(" ",TRIM(C437)&amp;" ")-1),",","."),"."),LEFT(SUBSTITUTE(LEFT(TRIM(C437),FIND(" ",TRIM(C437)&amp;" ")-1),",","."),FIND("/",SUBSTITUTE(LEFT(TRIM(C437),FIND(" ",TRIM(C437)&amp;" ")-1),",","."))-1)/MID(SUBSTITUTE(LEFT(TRIM(C437),FIND(" ",TRIM(C437)&amp;" ")-1),",","."),FIND("/",SUBSTITUTE(LEFT(TRIM(C437),FIND(" ",TRIM(C437)&amp;" ")-1),",","."))+1,9)),IF(ISNUMBER(SEARCH("yea",C437)),IFERROR(_xlfn.NUMBERVALUE(SUBSTITUTE(LEFT(TRIM(C437),FIND(" ",TRIM(C437)&amp;" ")-1),",","."),"."),LEFT(SUBSTITUTE(LEFT(TRIM(C437),FIND(" ",TRIM(C437)&amp;" ")-1),",","."),FIND("/",SUBSTITUTE(LEFT(TRIM(C437),FIND(" ",TRIM(C437)&amp;" ")-1),",","."))-1)/MID(SUBSTITUTE(LEFT(TRIM(C437),FIND(" ",TRIM(C437)&amp;" ")-1),",","."),FIND("/",SUBSTITUTE(LEFT(TRIM(C437),FIND(" ",TRIM(C437)&amp;" ")-1),",","."))+1,9))*12,NA()))),0),42)*'Aturan &amp; Tarif'!$B$4,2)</f>
        <v>2384.76</v>
      </c>
      <c r="K437" s="32" t="n">
        <f aca="false">'Aturan &amp; Tarif'!$B$5</f>
        <v>2050</v>
      </c>
      <c r="L437" s="32" t="n">
        <f aca="false">'Aturan &amp; Tarif'!$B$6</f>
        <v>350</v>
      </c>
      <c r="M437" s="35" t="n">
        <f aca="false">I437+J437+K437+L437</f>
        <v>6584.76</v>
      </c>
      <c r="N437" s="37" t="s">
        <v>2955</v>
      </c>
    </row>
    <row r="438" customFormat="false" ht="25.5" hidden="false" customHeight="true" outlineLevel="0" collapsed="false">
      <c r="A438" s="29"/>
      <c r="B438" s="30" t="s">
        <v>2956</v>
      </c>
      <c r="C438" s="31" t="s">
        <v>107</v>
      </c>
      <c r="D438" s="31" t="s">
        <v>108</v>
      </c>
      <c r="E438" s="32" t="n">
        <v>2000</v>
      </c>
      <c r="F438" s="32" t="n">
        <v>50</v>
      </c>
      <c r="G438" s="32" t="n">
        <v>250</v>
      </c>
      <c r="H438" s="33" t="n">
        <v>1</v>
      </c>
      <c r="I438" s="34" t="n">
        <f aca="false">E438*H438+N(F438)+N(G438)</f>
        <v>2300</v>
      </c>
      <c r="J438" s="32" t="n">
        <f aca="false">ROUND(IFERROR(ROUND(IF(OR(ISNUMBER(SEARCH("week",C438)),ISNUMBER(SEARCH("minggu",C438))),IFERROR(_xlfn.NUMBERVALUE(SUBSTITUTE(LEFT(TRIM(C438),FIND(" ",TRIM(C438)&amp;" ")-1),",","."),"."),LEFT(SUBSTITUTE(LEFT(TRIM(C438),FIND(" ",TRIM(C438)&amp;" ")-1),",","."),FIND("/",SUBSTITUTE(LEFT(TRIM(C438),FIND(" ",TRIM(C438)&amp;" ")-1),",","."))-1)/MID(SUBSTITUTE(LEFT(TRIM(C438),FIND(" ",TRIM(C438)&amp;" ")-1),",","."),FIND("/",SUBSTITUTE(LEFT(TRIM(C438),FIND(" ",TRIM(C438)&amp;" ")-1),",","."))+1,9))*12/52,IF(ISNUMBER(SEARCH("month",C438)),IFERROR(_xlfn.NUMBERVALUE(SUBSTITUTE(LEFT(TRIM(C438),FIND(" ",TRIM(C438)&amp;" ")-1),",","."),"."),LEFT(SUBSTITUTE(LEFT(TRIM(C438),FIND(" ",TRIM(C438)&amp;" ")-1),",","."),FIND("/",SUBSTITUTE(LEFT(TRIM(C438),FIND(" ",TRIM(C438)&amp;" ")-1),",","."))-1)/MID(SUBSTITUTE(LEFT(TRIM(C438),FIND(" ",TRIM(C438)&amp;" ")-1),",","."),FIND("/",SUBSTITUTE(LEFT(TRIM(C438),FIND(" ",TRIM(C438)&amp;" ")-1),",","."))+1,9)),IF(ISNUMBER(SEARCH("yea",C438)),IFERROR(_xlfn.NUMBERVALUE(SUBSTITUTE(LEFT(TRIM(C438),FIND(" ",TRIM(C438)&amp;" ")-1),",","."),"."),LEFT(SUBSTITUTE(LEFT(TRIM(C438),FIND(" ",TRIM(C438)&amp;" ")-1),",","."),FIND("/",SUBSTITUTE(LEFT(TRIM(C438),FIND(" ",TRIM(C438)&amp;" ")-1),",","."))-1)/MID(SUBSTITUTE(LEFT(TRIM(C438),FIND(" ",TRIM(C438)&amp;" ")-1),",","."),FIND("/",SUBSTITUTE(LEFT(TRIM(C438),FIND(" ",TRIM(C438)&amp;" ")-1),",","."))+1,9))*12,NA()))),0),24)*'Aturan &amp; Tarif'!$B$4,2)</f>
        <v>1362.72</v>
      </c>
      <c r="K438" s="32" t="n">
        <f aca="false">'Aturan &amp; Tarif'!$B$5</f>
        <v>2050</v>
      </c>
      <c r="L438" s="32" t="n">
        <f aca="false">'Aturan &amp; Tarif'!$B$6</f>
        <v>350</v>
      </c>
      <c r="M438" s="35" t="n">
        <f aca="false">I438+J438+K438+L438</f>
        <v>6062.72</v>
      </c>
      <c r="N438" s="36" t="s">
        <v>2957</v>
      </c>
    </row>
    <row r="439" customFormat="false" ht="25.5" hidden="false" customHeight="true" outlineLevel="0" collapsed="false">
      <c r="A439" s="29"/>
      <c r="B439" s="30" t="s">
        <v>430</v>
      </c>
      <c r="C439" s="31" t="s">
        <v>127</v>
      </c>
      <c r="D439" s="31" t="s">
        <v>108</v>
      </c>
      <c r="E439" s="32" t="n">
        <v>1500</v>
      </c>
      <c r="F439" s="32" t="n">
        <v>50</v>
      </c>
      <c r="G439" s="32" t="n">
        <v>250</v>
      </c>
      <c r="H439" s="33" t="n">
        <v>1</v>
      </c>
      <c r="I439" s="34" t="n">
        <f aca="false">E439*H439+N(F439)+N(G439)</f>
        <v>1800</v>
      </c>
      <c r="J439" s="32" t="n">
        <f aca="false">ROUND(IFERROR(ROUND(IF(OR(ISNUMBER(SEARCH("week",C439)),ISNUMBER(SEARCH("minggu",C439))),IFERROR(_xlfn.NUMBERVALUE(SUBSTITUTE(LEFT(TRIM(C439),FIND(" ",TRIM(C439)&amp;" ")-1),",","."),"."),LEFT(SUBSTITUTE(LEFT(TRIM(C439),FIND(" ",TRIM(C439)&amp;" ")-1),",","."),FIND("/",SUBSTITUTE(LEFT(TRIM(C439),FIND(" ",TRIM(C439)&amp;" ")-1),",","."))-1)/MID(SUBSTITUTE(LEFT(TRIM(C439),FIND(" ",TRIM(C439)&amp;" ")-1),",","."),FIND("/",SUBSTITUTE(LEFT(TRIM(C439),FIND(" ",TRIM(C439)&amp;" ")-1),",","."))+1,9))*12/52,IF(ISNUMBER(SEARCH("month",C439)),IFERROR(_xlfn.NUMBERVALUE(SUBSTITUTE(LEFT(TRIM(C439),FIND(" ",TRIM(C439)&amp;" ")-1),",","."),"."),LEFT(SUBSTITUTE(LEFT(TRIM(C439),FIND(" ",TRIM(C439)&amp;" ")-1),",","."),FIND("/",SUBSTITUTE(LEFT(TRIM(C439),FIND(" ",TRIM(C439)&amp;" ")-1),",","."))-1)/MID(SUBSTITUTE(LEFT(TRIM(C439),FIND(" ",TRIM(C439)&amp;" ")-1),",","."),FIND("/",SUBSTITUTE(LEFT(TRIM(C439),FIND(" ",TRIM(C439)&amp;" ")-1),",","."))+1,9)),IF(ISNUMBER(SEARCH("yea",C439)),IFERROR(_xlfn.NUMBERVALUE(SUBSTITUTE(LEFT(TRIM(C439),FIND(" ",TRIM(C439)&amp;" ")-1),",","."),"."),LEFT(SUBSTITUTE(LEFT(TRIM(C439),FIND(" ",TRIM(C439)&amp;" ")-1),",","."),FIND("/",SUBSTITUTE(LEFT(TRIM(C439),FIND(" ",TRIM(C439)&amp;" ")-1),",","."))-1)/MID(SUBSTITUTE(LEFT(TRIM(C439),FIND(" ",TRIM(C439)&amp;" ")-1),",","."),FIND("/",SUBSTITUTE(LEFT(TRIM(C439),FIND(" ",TRIM(C439)&amp;" ")-1),",","."))+1,9))*12,NA()))),0),36)*'Aturan &amp; Tarif'!$B$4,2)</f>
        <v>2044.08</v>
      </c>
      <c r="K439" s="32" t="n">
        <f aca="false">'Aturan &amp; Tarif'!$B$5</f>
        <v>2050</v>
      </c>
      <c r="L439" s="32" t="n">
        <f aca="false">'Aturan &amp; Tarif'!$B$6</f>
        <v>350</v>
      </c>
      <c r="M439" s="35" t="n">
        <f aca="false">I439+J439+K439+L439</f>
        <v>6244.08</v>
      </c>
      <c r="N439" s="37" t="s">
        <v>2955</v>
      </c>
    </row>
    <row r="440" customFormat="false" ht="25.5" hidden="false" customHeight="true" outlineLevel="0" collapsed="false">
      <c r="A440" s="29"/>
      <c r="B440" s="30" t="s">
        <v>148</v>
      </c>
      <c r="C440" s="31" t="s">
        <v>127</v>
      </c>
      <c r="D440" s="31" t="s">
        <v>108</v>
      </c>
      <c r="E440" s="32" t="n">
        <v>2250</v>
      </c>
      <c r="F440" s="32" t="n">
        <v>1500</v>
      </c>
      <c r="G440" s="32" t="n">
        <v>250</v>
      </c>
      <c r="H440" s="33" t="n">
        <v>1</v>
      </c>
      <c r="I440" s="34" t="n">
        <f aca="false">E440*H440+N(F440)+N(G440)</f>
        <v>4000</v>
      </c>
      <c r="J440" s="32" t="n">
        <f aca="false">ROUND(IFERROR(ROUND(IF(OR(ISNUMBER(SEARCH("week",C440)),ISNUMBER(SEARCH("minggu",C440))),IFERROR(_xlfn.NUMBERVALUE(SUBSTITUTE(LEFT(TRIM(C440),FIND(" ",TRIM(C440)&amp;" ")-1),",","."),"."),LEFT(SUBSTITUTE(LEFT(TRIM(C440),FIND(" ",TRIM(C440)&amp;" ")-1),",","."),FIND("/",SUBSTITUTE(LEFT(TRIM(C440),FIND(" ",TRIM(C440)&amp;" ")-1),",","."))-1)/MID(SUBSTITUTE(LEFT(TRIM(C440),FIND(" ",TRIM(C440)&amp;" ")-1),",","."),FIND("/",SUBSTITUTE(LEFT(TRIM(C440),FIND(" ",TRIM(C440)&amp;" ")-1),",","."))+1,9))*12/52,IF(ISNUMBER(SEARCH("month",C440)),IFERROR(_xlfn.NUMBERVALUE(SUBSTITUTE(LEFT(TRIM(C440),FIND(" ",TRIM(C440)&amp;" ")-1),",","."),"."),LEFT(SUBSTITUTE(LEFT(TRIM(C440),FIND(" ",TRIM(C440)&amp;" ")-1),",","."),FIND("/",SUBSTITUTE(LEFT(TRIM(C440),FIND(" ",TRIM(C440)&amp;" ")-1),",","."))-1)/MID(SUBSTITUTE(LEFT(TRIM(C440),FIND(" ",TRIM(C440)&amp;" ")-1),",","."),FIND("/",SUBSTITUTE(LEFT(TRIM(C440),FIND(" ",TRIM(C440)&amp;" ")-1),",","."))+1,9)),IF(ISNUMBER(SEARCH("yea",C440)),IFERROR(_xlfn.NUMBERVALUE(SUBSTITUTE(LEFT(TRIM(C440),FIND(" ",TRIM(C440)&amp;" ")-1),",","."),"."),LEFT(SUBSTITUTE(LEFT(TRIM(C440),FIND(" ",TRIM(C440)&amp;" ")-1),",","."),FIND("/",SUBSTITUTE(LEFT(TRIM(C440),FIND(" ",TRIM(C440)&amp;" ")-1),",","."))-1)/MID(SUBSTITUTE(LEFT(TRIM(C440),FIND(" ",TRIM(C440)&amp;" ")-1),",","."),FIND("/",SUBSTITUTE(LEFT(TRIM(C440),FIND(" ",TRIM(C440)&amp;" ")-1),",","."))+1,9))*12,NA()))),0),36)*'Aturan &amp; Tarif'!$B$4,2)</f>
        <v>2044.08</v>
      </c>
      <c r="K440" s="32" t="n">
        <f aca="false">'Aturan &amp; Tarif'!$B$5</f>
        <v>2050</v>
      </c>
      <c r="L440" s="32" t="n">
        <f aca="false">'Aturan &amp; Tarif'!$B$6</f>
        <v>350</v>
      </c>
      <c r="M440" s="35" t="n">
        <f aca="false">I440+J440+K440+L440</f>
        <v>8444.08</v>
      </c>
      <c r="N440" s="37" t="s">
        <v>2955</v>
      </c>
    </row>
    <row r="441" customFormat="false" ht="25.5" hidden="false" customHeight="true" outlineLevel="0" collapsed="false">
      <c r="A441" s="29"/>
      <c r="B441" s="30" t="s">
        <v>806</v>
      </c>
      <c r="C441" s="31" t="s">
        <v>245</v>
      </c>
      <c r="D441" s="31" t="s">
        <v>108</v>
      </c>
      <c r="E441" s="32" t="n">
        <v>2250</v>
      </c>
      <c r="F441" s="32" t="n">
        <v>1500</v>
      </c>
      <c r="G441" s="32" t="n">
        <v>250</v>
      </c>
      <c r="H441" s="33" t="n">
        <v>1</v>
      </c>
      <c r="I441" s="34" t="n">
        <f aca="false">E441*H441+N(F441)+N(G441)</f>
        <v>4000</v>
      </c>
      <c r="J441" s="32" t="n">
        <f aca="false">ROUND(IFERROR(ROUND(IF(OR(ISNUMBER(SEARCH("week",C441)),ISNUMBER(SEARCH("minggu",C441))),IFERROR(_xlfn.NUMBERVALUE(SUBSTITUTE(LEFT(TRIM(C441),FIND(" ",TRIM(C441)&amp;" ")-1),",","."),"."),LEFT(SUBSTITUTE(LEFT(TRIM(C441),FIND(" ",TRIM(C441)&amp;" ")-1),",","."),FIND("/",SUBSTITUTE(LEFT(TRIM(C441),FIND(" ",TRIM(C441)&amp;" ")-1),",","."))-1)/MID(SUBSTITUTE(LEFT(TRIM(C441),FIND(" ",TRIM(C441)&amp;" ")-1),",","."),FIND("/",SUBSTITUTE(LEFT(TRIM(C441),FIND(" ",TRIM(C441)&amp;" ")-1),",","."))+1,9))*12/52,IF(ISNUMBER(SEARCH("month",C441)),IFERROR(_xlfn.NUMBERVALUE(SUBSTITUTE(LEFT(TRIM(C441),FIND(" ",TRIM(C441)&amp;" ")-1),",","."),"."),LEFT(SUBSTITUTE(LEFT(TRIM(C441),FIND(" ",TRIM(C441)&amp;" ")-1),",","."),FIND("/",SUBSTITUTE(LEFT(TRIM(C441),FIND(" ",TRIM(C441)&amp;" ")-1),",","."))-1)/MID(SUBSTITUTE(LEFT(TRIM(C441),FIND(" ",TRIM(C441)&amp;" ")-1),",","."),FIND("/",SUBSTITUTE(LEFT(TRIM(C441),FIND(" ",TRIM(C441)&amp;" ")-1),",","."))+1,9)),IF(ISNUMBER(SEARCH("yea",C441)),IFERROR(_xlfn.NUMBERVALUE(SUBSTITUTE(LEFT(TRIM(C441),FIND(" ",TRIM(C441)&amp;" ")-1),",","."),"."),LEFT(SUBSTITUTE(LEFT(TRIM(C441),FIND(" ",TRIM(C441)&amp;" ")-1),",","."),FIND("/",SUBSTITUTE(LEFT(TRIM(C441),FIND(" ",TRIM(C441)&amp;" ")-1),",","."))-1)/MID(SUBSTITUTE(LEFT(TRIM(C441),FIND(" ",TRIM(C441)&amp;" ")-1),",","."),FIND("/",SUBSTITUTE(LEFT(TRIM(C441),FIND(" ",TRIM(C441)&amp;" ")-1),",","."))+1,9))*12,NA()))),0),60)*'Aturan &amp; Tarif'!$B$4,2)</f>
        <v>3406.8</v>
      </c>
      <c r="K441" s="32" t="n">
        <f aca="false">'Aturan &amp; Tarif'!$B$5</f>
        <v>2050</v>
      </c>
      <c r="L441" s="32" t="n">
        <f aca="false">'Aturan &amp; Tarif'!$B$6</f>
        <v>350</v>
      </c>
      <c r="M441" s="35" t="n">
        <f aca="false">I441+J441+K441+L441</f>
        <v>9806.8</v>
      </c>
      <c r="N441" s="37" t="s">
        <v>2955</v>
      </c>
    </row>
    <row r="442" customFormat="false" ht="37.5" hidden="false" customHeight="true" outlineLevel="0" collapsed="false">
      <c r="A442" s="29"/>
      <c r="B442" s="30" t="s">
        <v>2456</v>
      </c>
      <c r="C442" s="31" t="s">
        <v>107</v>
      </c>
      <c r="D442" s="31" t="s">
        <v>108</v>
      </c>
      <c r="E442" s="32" t="n">
        <v>2200</v>
      </c>
      <c r="F442" s="32" t="n">
        <v>500</v>
      </c>
      <c r="G442" s="32" t="n">
        <v>250</v>
      </c>
      <c r="H442" s="33" t="n">
        <v>1</v>
      </c>
      <c r="I442" s="34" t="n">
        <f aca="false">E442*H442+N(F442)+N(G442)</f>
        <v>2950</v>
      </c>
      <c r="J442" s="32" t="n">
        <f aca="false">ROUND(IFERROR(ROUND(IF(OR(ISNUMBER(SEARCH("week",C442)),ISNUMBER(SEARCH("minggu",C442))),IFERROR(_xlfn.NUMBERVALUE(SUBSTITUTE(LEFT(TRIM(C442),FIND(" ",TRIM(C442)&amp;" ")-1),",","."),"."),LEFT(SUBSTITUTE(LEFT(TRIM(C442),FIND(" ",TRIM(C442)&amp;" ")-1),",","."),FIND("/",SUBSTITUTE(LEFT(TRIM(C442),FIND(" ",TRIM(C442)&amp;" ")-1),",","."))-1)/MID(SUBSTITUTE(LEFT(TRIM(C442),FIND(" ",TRIM(C442)&amp;" ")-1),",","."),FIND("/",SUBSTITUTE(LEFT(TRIM(C442),FIND(" ",TRIM(C442)&amp;" ")-1),",","."))+1,9))*12/52,IF(ISNUMBER(SEARCH("month",C442)),IFERROR(_xlfn.NUMBERVALUE(SUBSTITUTE(LEFT(TRIM(C442),FIND(" ",TRIM(C442)&amp;" ")-1),",","."),"."),LEFT(SUBSTITUTE(LEFT(TRIM(C442),FIND(" ",TRIM(C442)&amp;" ")-1),",","."),FIND("/",SUBSTITUTE(LEFT(TRIM(C442),FIND(" ",TRIM(C442)&amp;" ")-1),",","."))-1)/MID(SUBSTITUTE(LEFT(TRIM(C442),FIND(" ",TRIM(C442)&amp;" ")-1),",","."),FIND("/",SUBSTITUTE(LEFT(TRIM(C442),FIND(" ",TRIM(C442)&amp;" ")-1),",","."))+1,9)),IF(ISNUMBER(SEARCH("yea",C442)),IFERROR(_xlfn.NUMBERVALUE(SUBSTITUTE(LEFT(TRIM(C442),FIND(" ",TRIM(C442)&amp;" ")-1),",","."),"."),LEFT(SUBSTITUTE(LEFT(TRIM(C442),FIND(" ",TRIM(C442)&amp;" ")-1),",","."),FIND("/",SUBSTITUTE(LEFT(TRIM(C442),FIND(" ",TRIM(C442)&amp;" ")-1),",","."))-1)/MID(SUBSTITUTE(LEFT(TRIM(C442),FIND(" ",TRIM(C442)&amp;" ")-1),",","."),FIND("/",SUBSTITUTE(LEFT(TRIM(C442),FIND(" ",TRIM(C442)&amp;" ")-1),",","."))+1,9))*12,NA()))),0),24)*'Aturan &amp; Tarif'!$B$4,2)</f>
        <v>1362.72</v>
      </c>
      <c r="K442" s="32" t="n">
        <f aca="false">'Aturan &amp; Tarif'!$B$5</f>
        <v>2050</v>
      </c>
      <c r="L442" s="32" t="n">
        <f aca="false">'Aturan &amp; Tarif'!$B$6</f>
        <v>350</v>
      </c>
      <c r="M442" s="35" t="n">
        <f aca="false">I442+J442+K442+L442</f>
        <v>6712.72</v>
      </c>
      <c r="N442" s="37" t="s">
        <v>2955</v>
      </c>
    </row>
    <row r="443" customFormat="false" ht="14.25" hidden="false" customHeight="true" outlineLevel="0" collapsed="false">
      <c r="A443" s="39" t="s">
        <v>2958</v>
      </c>
      <c r="B443" s="40" t="s">
        <v>2458</v>
      </c>
      <c r="C443" s="41" t="s">
        <v>130</v>
      </c>
      <c r="D443" s="41" t="s">
        <v>108</v>
      </c>
      <c r="E443" s="42" t="n">
        <v>7900</v>
      </c>
      <c r="F443" s="42"/>
      <c r="G443" s="42"/>
      <c r="H443" s="43" t="n">
        <v>2</v>
      </c>
      <c r="I443" s="34" t="n">
        <f aca="false">E443*H443+N(F443)+N(G443)</f>
        <v>15800</v>
      </c>
      <c r="J443" s="42" t="n">
        <f aca="false">ROUND(IFERROR(ROUND(IF(OR(ISNUMBER(SEARCH("week",C443)),ISNUMBER(SEARCH("minggu",C443))),IFERROR(_xlfn.NUMBERVALUE(SUBSTITUTE(LEFT(TRIM(C443),FIND(" ",TRIM(C443)&amp;" ")-1),",","."),"."),LEFT(SUBSTITUTE(LEFT(TRIM(C443),FIND(" ",TRIM(C443)&amp;" ")-1),",","."),FIND("/",SUBSTITUTE(LEFT(TRIM(C443),FIND(" ",TRIM(C443)&amp;" ")-1),",","."))-1)/MID(SUBSTITUTE(LEFT(TRIM(C443),FIND(" ",TRIM(C443)&amp;" ")-1),",","."),FIND("/",SUBSTITUTE(LEFT(TRIM(C443),FIND(" ",TRIM(C443)&amp;" ")-1),",","."))+1,9))*12/52,IF(ISNUMBER(SEARCH("month",C443)),IFERROR(_xlfn.NUMBERVALUE(SUBSTITUTE(LEFT(TRIM(C443),FIND(" ",TRIM(C443)&amp;" ")-1),",","."),"."),LEFT(SUBSTITUTE(LEFT(TRIM(C443),FIND(" ",TRIM(C443)&amp;" ")-1),",","."),FIND("/",SUBSTITUTE(LEFT(TRIM(C443),FIND(" ",TRIM(C443)&amp;" ")-1),",","."))-1)/MID(SUBSTITUTE(LEFT(TRIM(C443),FIND(" ",TRIM(C443)&amp;" ")-1),",","."),FIND("/",SUBSTITUTE(LEFT(TRIM(C443),FIND(" ",TRIM(C443)&amp;" ")-1),",","."))+1,9)),IF(ISNUMBER(SEARCH("yea",C443)),IFERROR(_xlfn.NUMBERVALUE(SUBSTITUTE(LEFT(TRIM(C443),FIND(" ",TRIM(C443)&amp;" ")-1),",","."),"."),LEFT(SUBSTITUTE(LEFT(TRIM(C443),FIND(" ",TRIM(C443)&amp;" ")-1),",","."),FIND("/",SUBSTITUTE(LEFT(TRIM(C443),FIND(" ",TRIM(C443)&amp;" ")-1),",","."))-1)/MID(SUBSTITUTE(LEFT(TRIM(C443),FIND(" ",TRIM(C443)&amp;" ")-1),",","."),FIND("/",SUBSTITUTE(LEFT(TRIM(C443),FIND(" ",TRIM(C443)&amp;" ")-1),",","."))+1,9))*12,NA()))),0),12)*'Aturan &amp; Tarif'!$B$4,2)</f>
        <v>681.36</v>
      </c>
      <c r="K443" s="42" t="n">
        <f aca="false">'Aturan &amp; Tarif'!$B$5</f>
        <v>2050</v>
      </c>
      <c r="L443" s="42" t="n">
        <f aca="false">'Aturan &amp; Tarif'!$B$6</f>
        <v>350</v>
      </c>
      <c r="M443" s="35" t="n">
        <f aca="false">I443+J443+K443+L443</f>
        <v>18881.36</v>
      </c>
      <c r="N443" s="45" t="s">
        <v>2459</v>
      </c>
    </row>
    <row r="444" customFormat="false" ht="60" hidden="false" customHeight="true" outlineLevel="0" collapsed="false">
      <c r="A444" s="39"/>
      <c r="B444" s="40" t="s">
        <v>2460</v>
      </c>
      <c r="C444" s="41" t="s">
        <v>127</v>
      </c>
      <c r="D444" s="41" t="s">
        <v>108</v>
      </c>
      <c r="E444" s="42" t="n">
        <v>7900</v>
      </c>
      <c r="F444" s="42"/>
      <c r="G444" s="42"/>
      <c r="H444" s="43" t="n">
        <v>2</v>
      </c>
      <c r="I444" s="34" t="n">
        <f aca="false">E444*H444+N(F444)+N(G444)</f>
        <v>15800</v>
      </c>
      <c r="J444" s="42" t="n">
        <f aca="false">ROUND(IFERROR(ROUND(IF(OR(ISNUMBER(SEARCH("week",C444)),ISNUMBER(SEARCH("minggu",C444))),IFERROR(_xlfn.NUMBERVALUE(SUBSTITUTE(LEFT(TRIM(C444),FIND(" ",TRIM(C444)&amp;" ")-1),",","."),"."),LEFT(SUBSTITUTE(LEFT(TRIM(C444),FIND(" ",TRIM(C444)&amp;" ")-1),",","."),FIND("/",SUBSTITUTE(LEFT(TRIM(C444),FIND(" ",TRIM(C444)&amp;" ")-1),",","."))-1)/MID(SUBSTITUTE(LEFT(TRIM(C444),FIND(" ",TRIM(C444)&amp;" ")-1),",","."),FIND("/",SUBSTITUTE(LEFT(TRIM(C444),FIND(" ",TRIM(C444)&amp;" ")-1),",","."))+1,9))*12/52,IF(ISNUMBER(SEARCH("month",C444)),IFERROR(_xlfn.NUMBERVALUE(SUBSTITUTE(LEFT(TRIM(C444),FIND(" ",TRIM(C444)&amp;" ")-1),",","."),"."),LEFT(SUBSTITUTE(LEFT(TRIM(C444),FIND(" ",TRIM(C444)&amp;" ")-1),",","."),FIND("/",SUBSTITUTE(LEFT(TRIM(C444),FIND(" ",TRIM(C444)&amp;" ")-1),",","."))-1)/MID(SUBSTITUTE(LEFT(TRIM(C444),FIND(" ",TRIM(C444)&amp;" ")-1),",","."),FIND("/",SUBSTITUTE(LEFT(TRIM(C444),FIND(" ",TRIM(C444)&amp;" ")-1),",","."))+1,9)),IF(ISNUMBER(SEARCH("yea",C444)),IFERROR(_xlfn.NUMBERVALUE(SUBSTITUTE(LEFT(TRIM(C444),FIND(" ",TRIM(C444)&amp;" ")-1),",","."),"."),LEFT(SUBSTITUTE(LEFT(TRIM(C444),FIND(" ",TRIM(C444)&amp;" ")-1),",","."),FIND("/",SUBSTITUTE(LEFT(TRIM(C444),FIND(" ",TRIM(C444)&amp;" ")-1),",","."))-1)/MID(SUBSTITUTE(LEFT(TRIM(C444),FIND(" ",TRIM(C444)&amp;" ")-1),",","."),FIND("/",SUBSTITUTE(LEFT(TRIM(C444),FIND(" ",TRIM(C444)&amp;" ")-1),",","."))+1,9))*12,NA()))),0),36)*'Aturan &amp; Tarif'!$B$4,2)</f>
        <v>2044.08</v>
      </c>
      <c r="K444" s="42" t="n">
        <f aca="false">'Aturan &amp; Tarif'!$B$5</f>
        <v>2050</v>
      </c>
      <c r="L444" s="42" t="n">
        <f aca="false">'Aturan &amp; Tarif'!$B$6</f>
        <v>350</v>
      </c>
      <c r="M444" s="35" t="n">
        <f aca="false">I444+J444+K444+L444</f>
        <v>20244.08</v>
      </c>
      <c r="N444" s="45" t="s">
        <v>2461</v>
      </c>
    </row>
    <row r="445" customFormat="false" ht="60" hidden="false" customHeight="true" outlineLevel="0" collapsed="false">
      <c r="A445" s="39"/>
      <c r="B445" s="40" t="s">
        <v>1032</v>
      </c>
      <c r="C445" s="41" t="s">
        <v>130</v>
      </c>
      <c r="D445" s="41" t="s">
        <v>108</v>
      </c>
      <c r="E445" s="42" t="n">
        <v>7900</v>
      </c>
      <c r="F445" s="42"/>
      <c r="G445" s="42"/>
      <c r="H445" s="43" t="n">
        <v>2</v>
      </c>
      <c r="I445" s="34" t="n">
        <f aca="false">E445*H445+N(F445)+N(G445)</f>
        <v>15800</v>
      </c>
      <c r="J445" s="42" t="n">
        <f aca="false">ROUND(IFERROR(ROUND(IF(OR(ISNUMBER(SEARCH("week",C445)),ISNUMBER(SEARCH("minggu",C445))),IFERROR(_xlfn.NUMBERVALUE(SUBSTITUTE(LEFT(TRIM(C445),FIND(" ",TRIM(C445)&amp;" ")-1),",","."),"."),LEFT(SUBSTITUTE(LEFT(TRIM(C445),FIND(" ",TRIM(C445)&amp;" ")-1),",","."),FIND("/",SUBSTITUTE(LEFT(TRIM(C445),FIND(" ",TRIM(C445)&amp;" ")-1),",","."))-1)/MID(SUBSTITUTE(LEFT(TRIM(C445),FIND(" ",TRIM(C445)&amp;" ")-1),",","."),FIND("/",SUBSTITUTE(LEFT(TRIM(C445),FIND(" ",TRIM(C445)&amp;" ")-1),",","."))+1,9))*12/52,IF(ISNUMBER(SEARCH("month",C445)),IFERROR(_xlfn.NUMBERVALUE(SUBSTITUTE(LEFT(TRIM(C445),FIND(" ",TRIM(C445)&amp;" ")-1),",","."),"."),LEFT(SUBSTITUTE(LEFT(TRIM(C445),FIND(" ",TRIM(C445)&amp;" ")-1),",","."),FIND("/",SUBSTITUTE(LEFT(TRIM(C445),FIND(" ",TRIM(C445)&amp;" ")-1),",","."))-1)/MID(SUBSTITUTE(LEFT(TRIM(C445),FIND(" ",TRIM(C445)&amp;" ")-1),",","."),FIND("/",SUBSTITUTE(LEFT(TRIM(C445),FIND(" ",TRIM(C445)&amp;" ")-1),",","."))+1,9)),IF(ISNUMBER(SEARCH("yea",C445)),IFERROR(_xlfn.NUMBERVALUE(SUBSTITUTE(LEFT(TRIM(C445),FIND(" ",TRIM(C445)&amp;" ")-1),",","."),"."),LEFT(SUBSTITUTE(LEFT(TRIM(C445),FIND(" ",TRIM(C445)&amp;" ")-1),",","."),FIND("/",SUBSTITUTE(LEFT(TRIM(C445),FIND(" ",TRIM(C445)&amp;" ")-1),",","."))-1)/MID(SUBSTITUTE(LEFT(TRIM(C445),FIND(" ",TRIM(C445)&amp;" ")-1),",","."),FIND("/",SUBSTITUTE(LEFT(TRIM(C445),FIND(" ",TRIM(C445)&amp;" ")-1),",","."))+1,9))*12,NA()))),0),12)*'Aturan &amp; Tarif'!$B$4,2)</f>
        <v>681.36</v>
      </c>
      <c r="K445" s="42" t="n">
        <f aca="false">'Aturan &amp; Tarif'!$B$5</f>
        <v>2050</v>
      </c>
      <c r="L445" s="42" t="n">
        <f aca="false">'Aturan &amp; Tarif'!$B$6</f>
        <v>350</v>
      </c>
      <c r="M445" s="35" t="n">
        <f aca="false">I445+J445+K445+L445</f>
        <v>18881.36</v>
      </c>
      <c r="N445" s="44" t="s">
        <v>1033</v>
      </c>
    </row>
    <row r="446" customFormat="false" ht="60" hidden="false" customHeight="true" outlineLevel="0" collapsed="false">
      <c r="A446" s="39"/>
      <c r="B446" s="40" t="s">
        <v>321</v>
      </c>
      <c r="C446" s="41" t="s">
        <v>127</v>
      </c>
      <c r="D446" s="41" t="s">
        <v>108</v>
      </c>
      <c r="E446" s="42" t="n">
        <v>7900</v>
      </c>
      <c r="F446" s="42"/>
      <c r="G446" s="42"/>
      <c r="H446" s="43" t="n">
        <v>2</v>
      </c>
      <c r="I446" s="34" t="n">
        <f aca="false">E446*H446+N(F446)+N(G446)</f>
        <v>15800</v>
      </c>
      <c r="J446" s="42" t="n">
        <f aca="false">ROUND(IFERROR(ROUND(IF(OR(ISNUMBER(SEARCH("week",C446)),ISNUMBER(SEARCH("minggu",C446))),IFERROR(_xlfn.NUMBERVALUE(SUBSTITUTE(LEFT(TRIM(C446),FIND(" ",TRIM(C446)&amp;" ")-1),",","."),"."),LEFT(SUBSTITUTE(LEFT(TRIM(C446),FIND(" ",TRIM(C446)&amp;" ")-1),",","."),FIND("/",SUBSTITUTE(LEFT(TRIM(C446),FIND(" ",TRIM(C446)&amp;" ")-1),",","."))-1)/MID(SUBSTITUTE(LEFT(TRIM(C446),FIND(" ",TRIM(C446)&amp;" ")-1),",","."),FIND("/",SUBSTITUTE(LEFT(TRIM(C446),FIND(" ",TRIM(C446)&amp;" ")-1),",","."))+1,9))*12/52,IF(ISNUMBER(SEARCH("month",C446)),IFERROR(_xlfn.NUMBERVALUE(SUBSTITUTE(LEFT(TRIM(C446),FIND(" ",TRIM(C446)&amp;" ")-1),",","."),"."),LEFT(SUBSTITUTE(LEFT(TRIM(C446),FIND(" ",TRIM(C446)&amp;" ")-1),",","."),FIND("/",SUBSTITUTE(LEFT(TRIM(C446),FIND(" ",TRIM(C446)&amp;" ")-1),",","."))-1)/MID(SUBSTITUTE(LEFT(TRIM(C446),FIND(" ",TRIM(C446)&amp;" ")-1),",","."),FIND("/",SUBSTITUTE(LEFT(TRIM(C446),FIND(" ",TRIM(C446)&amp;" ")-1),",","."))+1,9)),IF(ISNUMBER(SEARCH("yea",C446)),IFERROR(_xlfn.NUMBERVALUE(SUBSTITUTE(LEFT(TRIM(C446),FIND(" ",TRIM(C446)&amp;" ")-1),",","."),"."),LEFT(SUBSTITUTE(LEFT(TRIM(C446),FIND(" ",TRIM(C446)&amp;" ")-1),",","."),FIND("/",SUBSTITUTE(LEFT(TRIM(C446),FIND(" ",TRIM(C446)&amp;" ")-1),",","."))-1)/MID(SUBSTITUTE(LEFT(TRIM(C446),FIND(" ",TRIM(C446)&amp;" ")-1),",","."),FIND("/",SUBSTITUTE(LEFT(TRIM(C446),FIND(" ",TRIM(C446)&amp;" ")-1),",","."))+1,9))*12,NA()))),0),36)*'Aturan &amp; Tarif'!$B$4,2)</f>
        <v>2044.08</v>
      </c>
      <c r="K446" s="42" t="n">
        <f aca="false">'Aturan &amp; Tarif'!$B$5</f>
        <v>2050</v>
      </c>
      <c r="L446" s="42" t="n">
        <f aca="false">'Aturan &amp; Tarif'!$B$6</f>
        <v>350</v>
      </c>
      <c r="M446" s="35" t="n">
        <f aca="false">I446+J446+K446+L446</f>
        <v>20244.08</v>
      </c>
      <c r="N446" s="44" t="s">
        <v>1034</v>
      </c>
    </row>
    <row r="447" customFormat="false" ht="60" hidden="false" customHeight="true" outlineLevel="0" collapsed="false">
      <c r="A447" s="39"/>
      <c r="B447" s="40" t="s">
        <v>1035</v>
      </c>
      <c r="C447" s="41" t="s">
        <v>130</v>
      </c>
      <c r="D447" s="41" t="s">
        <v>108</v>
      </c>
      <c r="E447" s="42" t="n">
        <v>7900</v>
      </c>
      <c r="F447" s="42"/>
      <c r="G447" s="42"/>
      <c r="H447" s="43" t="n">
        <v>2</v>
      </c>
      <c r="I447" s="34" t="n">
        <f aca="false">E447*H447+N(F447)+N(G447)</f>
        <v>15800</v>
      </c>
      <c r="J447" s="42" t="n">
        <f aca="false">ROUND(IFERROR(ROUND(IF(OR(ISNUMBER(SEARCH("week",C447)),ISNUMBER(SEARCH("minggu",C447))),IFERROR(_xlfn.NUMBERVALUE(SUBSTITUTE(LEFT(TRIM(C447),FIND(" ",TRIM(C447)&amp;" ")-1),",","."),"."),LEFT(SUBSTITUTE(LEFT(TRIM(C447),FIND(" ",TRIM(C447)&amp;" ")-1),",","."),FIND("/",SUBSTITUTE(LEFT(TRIM(C447),FIND(" ",TRIM(C447)&amp;" ")-1),",","."))-1)/MID(SUBSTITUTE(LEFT(TRIM(C447),FIND(" ",TRIM(C447)&amp;" ")-1),",","."),FIND("/",SUBSTITUTE(LEFT(TRIM(C447),FIND(" ",TRIM(C447)&amp;" ")-1),",","."))+1,9))*12/52,IF(ISNUMBER(SEARCH("month",C447)),IFERROR(_xlfn.NUMBERVALUE(SUBSTITUTE(LEFT(TRIM(C447),FIND(" ",TRIM(C447)&amp;" ")-1),",","."),"."),LEFT(SUBSTITUTE(LEFT(TRIM(C447),FIND(" ",TRIM(C447)&amp;" ")-1),",","."),FIND("/",SUBSTITUTE(LEFT(TRIM(C447),FIND(" ",TRIM(C447)&amp;" ")-1),",","."))-1)/MID(SUBSTITUTE(LEFT(TRIM(C447),FIND(" ",TRIM(C447)&amp;" ")-1),",","."),FIND("/",SUBSTITUTE(LEFT(TRIM(C447),FIND(" ",TRIM(C447)&amp;" ")-1),",","."))+1,9)),IF(ISNUMBER(SEARCH("yea",C447)),IFERROR(_xlfn.NUMBERVALUE(SUBSTITUTE(LEFT(TRIM(C447),FIND(" ",TRIM(C447)&amp;" ")-1),",","."),"."),LEFT(SUBSTITUTE(LEFT(TRIM(C447),FIND(" ",TRIM(C447)&amp;" ")-1),",","."),FIND("/",SUBSTITUTE(LEFT(TRIM(C447),FIND(" ",TRIM(C447)&amp;" ")-1),",","."))-1)/MID(SUBSTITUTE(LEFT(TRIM(C447),FIND(" ",TRIM(C447)&amp;" ")-1),",","."),FIND("/",SUBSTITUTE(LEFT(TRIM(C447),FIND(" ",TRIM(C447)&amp;" ")-1),",","."))+1,9))*12,NA()))),0),12)*'Aturan &amp; Tarif'!$B$4,2)</f>
        <v>681.36</v>
      </c>
      <c r="K447" s="42" t="n">
        <f aca="false">'Aturan &amp; Tarif'!$B$5</f>
        <v>2050</v>
      </c>
      <c r="L447" s="42" t="n">
        <f aca="false">'Aturan &amp; Tarif'!$B$6</f>
        <v>350</v>
      </c>
      <c r="M447" s="35" t="n">
        <f aca="false">I447+J447+K447+L447</f>
        <v>18881.36</v>
      </c>
      <c r="N447" s="44" t="s">
        <v>1036</v>
      </c>
    </row>
    <row r="448" customFormat="false" ht="60" hidden="false" customHeight="true" outlineLevel="0" collapsed="false">
      <c r="A448" s="39"/>
      <c r="B448" s="40" t="s">
        <v>1037</v>
      </c>
      <c r="C448" s="41" t="s">
        <v>127</v>
      </c>
      <c r="D448" s="41" t="s">
        <v>108</v>
      </c>
      <c r="E448" s="42" t="n">
        <v>7900</v>
      </c>
      <c r="F448" s="42"/>
      <c r="G448" s="42"/>
      <c r="H448" s="43" t="n">
        <v>2</v>
      </c>
      <c r="I448" s="34" t="n">
        <f aca="false">E448*H448+N(F448)+N(G448)</f>
        <v>15800</v>
      </c>
      <c r="J448" s="42" t="n">
        <f aca="false">ROUND(IFERROR(ROUND(IF(OR(ISNUMBER(SEARCH("week",C448)),ISNUMBER(SEARCH("minggu",C448))),IFERROR(_xlfn.NUMBERVALUE(SUBSTITUTE(LEFT(TRIM(C448),FIND(" ",TRIM(C448)&amp;" ")-1),",","."),"."),LEFT(SUBSTITUTE(LEFT(TRIM(C448),FIND(" ",TRIM(C448)&amp;" ")-1),",","."),FIND("/",SUBSTITUTE(LEFT(TRIM(C448),FIND(" ",TRIM(C448)&amp;" ")-1),",","."))-1)/MID(SUBSTITUTE(LEFT(TRIM(C448),FIND(" ",TRIM(C448)&amp;" ")-1),",","."),FIND("/",SUBSTITUTE(LEFT(TRIM(C448),FIND(" ",TRIM(C448)&amp;" ")-1),",","."))+1,9))*12/52,IF(ISNUMBER(SEARCH("month",C448)),IFERROR(_xlfn.NUMBERVALUE(SUBSTITUTE(LEFT(TRIM(C448),FIND(" ",TRIM(C448)&amp;" ")-1),",","."),"."),LEFT(SUBSTITUTE(LEFT(TRIM(C448),FIND(" ",TRIM(C448)&amp;" ")-1),",","."),FIND("/",SUBSTITUTE(LEFT(TRIM(C448),FIND(" ",TRIM(C448)&amp;" ")-1),",","."))-1)/MID(SUBSTITUTE(LEFT(TRIM(C448),FIND(" ",TRIM(C448)&amp;" ")-1),",","."),FIND("/",SUBSTITUTE(LEFT(TRIM(C448),FIND(" ",TRIM(C448)&amp;" ")-1),",","."))+1,9)),IF(ISNUMBER(SEARCH("yea",C448)),IFERROR(_xlfn.NUMBERVALUE(SUBSTITUTE(LEFT(TRIM(C448),FIND(" ",TRIM(C448)&amp;" ")-1),",","."),"."),LEFT(SUBSTITUTE(LEFT(TRIM(C448),FIND(" ",TRIM(C448)&amp;" ")-1),",","."),FIND("/",SUBSTITUTE(LEFT(TRIM(C448),FIND(" ",TRIM(C448)&amp;" ")-1),",","."))-1)/MID(SUBSTITUTE(LEFT(TRIM(C448),FIND(" ",TRIM(C448)&amp;" ")-1),",","."),FIND("/",SUBSTITUTE(LEFT(TRIM(C448),FIND(" ",TRIM(C448)&amp;" ")-1),",","."))+1,9))*12,NA()))),0),36)*'Aturan &amp; Tarif'!$B$4,2)</f>
        <v>2044.08</v>
      </c>
      <c r="K448" s="42" t="n">
        <f aca="false">'Aturan &amp; Tarif'!$B$5</f>
        <v>2050</v>
      </c>
      <c r="L448" s="42" t="n">
        <f aca="false">'Aturan &amp; Tarif'!$B$6</f>
        <v>350</v>
      </c>
      <c r="M448" s="35" t="n">
        <f aca="false">I448+J448+K448+L448</f>
        <v>20244.08</v>
      </c>
      <c r="N448" s="44" t="s">
        <v>1036</v>
      </c>
    </row>
    <row r="449" customFormat="false" ht="60" hidden="false" customHeight="true" outlineLevel="0" collapsed="false">
      <c r="A449" s="39"/>
      <c r="B449" s="40" t="s">
        <v>1038</v>
      </c>
      <c r="C449" s="41" t="s">
        <v>127</v>
      </c>
      <c r="D449" s="41" t="s">
        <v>108</v>
      </c>
      <c r="E449" s="42" t="n">
        <v>7900</v>
      </c>
      <c r="F449" s="42"/>
      <c r="G449" s="42"/>
      <c r="H449" s="43" t="n">
        <v>2</v>
      </c>
      <c r="I449" s="34" t="n">
        <f aca="false">E449*H449+N(F449)+N(G449)</f>
        <v>15800</v>
      </c>
      <c r="J449" s="42" t="n">
        <f aca="false">ROUND(IFERROR(ROUND(IF(OR(ISNUMBER(SEARCH("week",C449)),ISNUMBER(SEARCH("minggu",C449))),IFERROR(_xlfn.NUMBERVALUE(SUBSTITUTE(LEFT(TRIM(C449),FIND(" ",TRIM(C449)&amp;" ")-1),",","."),"."),LEFT(SUBSTITUTE(LEFT(TRIM(C449),FIND(" ",TRIM(C449)&amp;" ")-1),",","."),FIND("/",SUBSTITUTE(LEFT(TRIM(C449),FIND(" ",TRIM(C449)&amp;" ")-1),",","."))-1)/MID(SUBSTITUTE(LEFT(TRIM(C449),FIND(" ",TRIM(C449)&amp;" ")-1),",","."),FIND("/",SUBSTITUTE(LEFT(TRIM(C449),FIND(" ",TRIM(C449)&amp;" ")-1),",","."))+1,9))*12/52,IF(ISNUMBER(SEARCH("month",C449)),IFERROR(_xlfn.NUMBERVALUE(SUBSTITUTE(LEFT(TRIM(C449),FIND(" ",TRIM(C449)&amp;" ")-1),",","."),"."),LEFT(SUBSTITUTE(LEFT(TRIM(C449),FIND(" ",TRIM(C449)&amp;" ")-1),",","."),FIND("/",SUBSTITUTE(LEFT(TRIM(C449),FIND(" ",TRIM(C449)&amp;" ")-1),",","."))-1)/MID(SUBSTITUTE(LEFT(TRIM(C449),FIND(" ",TRIM(C449)&amp;" ")-1),",","."),FIND("/",SUBSTITUTE(LEFT(TRIM(C449),FIND(" ",TRIM(C449)&amp;" ")-1),",","."))+1,9)),IF(ISNUMBER(SEARCH("yea",C449)),IFERROR(_xlfn.NUMBERVALUE(SUBSTITUTE(LEFT(TRIM(C449),FIND(" ",TRIM(C449)&amp;" ")-1),",","."),"."),LEFT(SUBSTITUTE(LEFT(TRIM(C449),FIND(" ",TRIM(C449)&amp;" ")-1),",","."),FIND("/",SUBSTITUTE(LEFT(TRIM(C449),FIND(" ",TRIM(C449)&amp;" ")-1),",","."))-1)/MID(SUBSTITUTE(LEFT(TRIM(C449),FIND(" ",TRIM(C449)&amp;" ")-1),",","."),FIND("/",SUBSTITUTE(LEFT(TRIM(C449),FIND(" ",TRIM(C449)&amp;" ")-1),",","."))+1,9))*12,NA()))),0),36)*'Aturan &amp; Tarif'!$B$4,2)</f>
        <v>2044.08</v>
      </c>
      <c r="K449" s="42" t="n">
        <f aca="false">'Aturan &amp; Tarif'!$B$5</f>
        <v>2050</v>
      </c>
      <c r="L449" s="42" t="n">
        <f aca="false">'Aturan &amp; Tarif'!$B$6</f>
        <v>350</v>
      </c>
      <c r="M449" s="35" t="n">
        <f aca="false">I449+J449+K449+L449</f>
        <v>20244.08</v>
      </c>
      <c r="N449" s="44" t="s">
        <v>1039</v>
      </c>
    </row>
    <row r="450" customFormat="false" ht="60" hidden="false" customHeight="true" outlineLevel="0" collapsed="false">
      <c r="A450" s="39"/>
      <c r="B450" s="40" t="s">
        <v>1040</v>
      </c>
      <c r="C450" s="41" t="s">
        <v>127</v>
      </c>
      <c r="D450" s="41" t="s">
        <v>108</v>
      </c>
      <c r="E450" s="42" t="n">
        <v>7900</v>
      </c>
      <c r="F450" s="42"/>
      <c r="G450" s="42"/>
      <c r="H450" s="43" t="n">
        <v>2</v>
      </c>
      <c r="I450" s="34" t="n">
        <f aca="false">E450*H450+N(F450)+N(G450)</f>
        <v>15800</v>
      </c>
      <c r="J450" s="42" t="n">
        <f aca="false">ROUND(IFERROR(ROUND(IF(OR(ISNUMBER(SEARCH("week",C450)),ISNUMBER(SEARCH("minggu",C450))),IFERROR(_xlfn.NUMBERVALUE(SUBSTITUTE(LEFT(TRIM(C450),FIND(" ",TRIM(C450)&amp;" ")-1),",","."),"."),LEFT(SUBSTITUTE(LEFT(TRIM(C450),FIND(" ",TRIM(C450)&amp;" ")-1),",","."),FIND("/",SUBSTITUTE(LEFT(TRIM(C450),FIND(" ",TRIM(C450)&amp;" ")-1),",","."))-1)/MID(SUBSTITUTE(LEFT(TRIM(C450),FIND(" ",TRIM(C450)&amp;" ")-1),",","."),FIND("/",SUBSTITUTE(LEFT(TRIM(C450),FIND(" ",TRIM(C450)&amp;" ")-1),",","."))+1,9))*12/52,IF(ISNUMBER(SEARCH("month",C450)),IFERROR(_xlfn.NUMBERVALUE(SUBSTITUTE(LEFT(TRIM(C450),FIND(" ",TRIM(C450)&amp;" ")-1),",","."),"."),LEFT(SUBSTITUTE(LEFT(TRIM(C450),FIND(" ",TRIM(C450)&amp;" ")-1),",","."),FIND("/",SUBSTITUTE(LEFT(TRIM(C450),FIND(" ",TRIM(C450)&amp;" ")-1),",","."))-1)/MID(SUBSTITUTE(LEFT(TRIM(C450),FIND(" ",TRIM(C450)&amp;" ")-1),",","."),FIND("/",SUBSTITUTE(LEFT(TRIM(C450),FIND(" ",TRIM(C450)&amp;" ")-1),",","."))+1,9)),IF(ISNUMBER(SEARCH("yea",C450)),IFERROR(_xlfn.NUMBERVALUE(SUBSTITUTE(LEFT(TRIM(C450),FIND(" ",TRIM(C450)&amp;" ")-1),",","."),"."),LEFT(SUBSTITUTE(LEFT(TRIM(C450),FIND(" ",TRIM(C450)&amp;" ")-1),",","."),FIND("/",SUBSTITUTE(LEFT(TRIM(C450),FIND(" ",TRIM(C450)&amp;" ")-1),",","."))-1)/MID(SUBSTITUTE(LEFT(TRIM(C450),FIND(" ",TRIM(C450)&amp;" ")-1),",","."),FIND("/",SUBSTITUTE(LEFT(TRIM(C450),FIND(" ",TRIM(C450)&amp;" ")-1),",","."))+1,9))*12,NA()))),0),36)*'Aturan &amp; Tarif'!$B$4,2)</f>
        <v>2044.08</v>
      </c>
      <c r="K450" s="42" t="n">
        <f aca="false">'Aturan &amp; Tarif'!$B$5</f>
        <v>2050</v>
      </c>
      <c r="L450" s="42" t="n">
        <f aca="false">'Aturan &amp; Tarif'!$B$6</f>
        <v>350</v>
      </c>
      <c r="M450" s="35" t="n">
        <f aca="false">I450+J450+K450+L450</f>
        <v>20244.08</v>
      </c>
      <c r="N450" s="44" t="s">
        <v>1041</v>
      </c>
    </row>
    <row r="451" customFormat="false" ht="60" hidden="false" customHeight="true" outlineLevel="0" collapsed="false">
      <c r="A451" s="39"/>
      <c r="B451" s="40" t="s">
        <v>1042</v>
      </c>
      <c r="C451" s="41" t="s">
        <v>130</v>
      </c>
      <c r="D451" s="41" t="s">
        <v>108</v>
      </c>
      <c r="E451" s="42" t="n">
        <v>7900</v>
      </c>
      <c r="F451" s="42"/>
      <c r="G451" s="42"/>
      <c r="H451" s="43" t="n">
        <v>2</v>
      </c>
      <c r="I451" s="34" t="n">
        <f aca="false">E451*H451+N(F451)+N(G451)</f>
        <v>15800</v>
      </c>
      <c r="J451" s="42" t="n">
        <f aca="false">ROUND(IFERROR(ROUND(IF(OR(ISNUMBER(SEARCH("week",C451)),ISNUMBER(SEARCH("minggu",C451))),IFERROR(_xlfn.NUMBERVALUE(SUBSTITUTE(LEFT(TRIM(C451),FIND(" ",TRIM(C451)&amp;" ")-1),",","."),"."),LEFT(SUBSTITUTE(LEFT(TRIM(C451),FIND(" ",TRIM(C451)&amp;" ")-1),",","."),FIND("/",SUBSTITUTE(LEFT(TRIM(C451),FIND(" ",TRIM(C451)&amp;" ")-1),",","."))-1)/MID(SUBSTITUTE(LEFT(TRIM(C451),FIND(" ",TRIM(C451)&amp;" ")-1),",","."),FIND("/",SUBSTITUTE(LEFT(TRIM(C451),FIND(" ",TRIM(C451)&amp;" ")-1),",","."))+1,9))*12/52,IF(ISNUMBER(SEARCH("month",C451)),IFERROR(_xlfn.NUMBERVALUE(SUBSTITUTE(LEFT(TRIM(C451),FIND(" ",TRIM(C451)&amp;" ")-1),",","."),"."),LEFT(SUBSTITUTE(LEFT(TRIM(C451),FIND(" ",TRIM(C451)&amp;" ")-1),",","."),FIND("/",SUBSTITUTE(LEFT(TRIM(C451),FIND(" ",TRIM(C451)&amp;" ")-1),",","."))-1)/MID(SUBSTITUTE(LEFT(TRIM(C451),FIND(" ",TRIM(C451)&amp;" ")-1),",","."),FIND("/",SUBSTITUTE(LEFT(TRIM(C451),FIND(" ",TRIM(C451)&amp;" ")-1),",","."))+1,9)),IF(ISNUMBER(SEARCH("yea",C451)),IFERROR(_xlfn.NUMBERVALUE(SUBSTITUTE(LEFT(TRIM(C451),FIND(" ",TRIM(C451)&amp;" ")-1),",","."),"."),LEFT(SUBSTITUTE(LEFT(TRIM(C451),FIND(" ",TRIM(C451)&amp;" ")-1),",","."),FIND("/",SUBSTITUTE(LEFT(TRIM(C451),FIND(" ",TRIM(C451)&amp;" ")-1),",","."))-1)/MID(SUBSTITUTE(LEFT(TRIM(C451),FIND(" ",TRIM(C451)&amp;" ")-1),",","."),FIND("/",SUBSTITUTE(LEFT(TRIM(C451),FIND(" ",TRIM(C451)&amp;" ")-1),",","."))+1,9))*12,NA()))),0),12)*'Aturan &amp; Tarif'!$B$4,2)</f>
        <v>681.36</v>
      </c>
      <c r="K451" s="42" t="n">
        <f aca="false">'Aturan &amp; Tarif'!$B$5</f>
        <v>2050</v>
      </c>
      <c r="L451" s="42" t="n">
        <f aca="false">'Aturan &amp; Tarif'!$B$6</f>
        <v>350</v>
      </c>
      <c r="M451" s="35" t="n">
        <f aca="false">I451+J451+K451+L451</f>
        <v>18881.36</v>
      </c>
      <c r="N451" s="44" t="s">
        <v>1043</v>
      </c>
    </row>
    <row r="452" customFormat="false" ht="60" hidden="false" customHeight="true" outlineLevel="0" collapsed="false">
      <c r="A452" s="39"/>
      <c r="B452" s="40" t="s">
        <v>1044</v>
      </c>
      <c r="C452" s="41" t="s">
        <v>127</v>
      </c>
      <c r="D452" s="41" t="s">
        <v>108</v>
      </c>
      <c r="E452" s="42" t="n">
        <v>7900</v>
      </c>
      <c r="F452" s="42"/>
      <c r="G452" s="42"/>
      <c r="H452" s="43" t="n">
        <v>2</v>
      </c>
      <c r="I452" s="34" t="n">
        <f aca="false">E452*H452+N(F452)+N(G452)</f>
        <v>15800</v>
      </c>
      <c r="J452" s="42" t="n">
        <f aca="false">ROUND(IFERROR(ROUND(IF(OR(ISNUMBER(SEARCH("week",C452)),ISNUMBER(SEARCH("minggu",C452))),IFERROR(_xlfn.NUMBERVALUE(SUBSTITUTE(LEFT(TRIM(C452),FIND(" ",TRIM(C452)&amp;" ")-1),",","."),"."),LEFT(SUBSTITUTE(LEFT(TRIM(C452),FIND(" ",TRIM(C452)&amp;" ")-1),",","."),FIND("/",SUBSTITUTE(LEFT(TRIM(C452),FIND(" ",TRIM(C452)&amp;" ")-1),",","."))-1)/MID(SUBSTITUTE(LEFT(TRIM(C452),FIND(" ",TRIM(C452)&amp;" ")-1),",","."),FIND("/",SUBSTITUTE(LEFT(TRIM(C452),FIND(" ",TRIM(C452)&amp;" ")-1),",","."))+1,9))*12/52,IF(ISNUMBER(SEARCH("month",C452)),IFERROR(_xlfn.NUMBERVALUE(SUBSTITUTE(LEFT(TRIM(C452),FIND(" ",TRIM(C452)&amp;" ")-1),",","."),"."),LEFT(SUBSTITUTE(LEFT(TRIM(C452),FIND(" ",TRIM(C452)&amp;" ")-1),",","."),FIND("/",SUBSTITUTE(LEFT(TRIM(C452),FIND(" ",TRIM(C452)&amp;" ")-1),",","."))-1)/MID(SUBSTITUTE(LEFT(TRIM(C452),FIND(" ",TRIM(C452)&amp;" ")-1),",","."),FIND("/",SUBSTITUTE(LEFT(TRIM(C452),FIND(" ",TRIM(C452)&amp;" ")-1),",","."))+1,9)),IF(ISNUMBER(SEARCH("yea",C452)),IFERROR(_xlfn.NUMBERVALUE(SUBSTITUTE(LEFT(TRIM(C452),FIND(" ",TRIM(C452)&amp;" ")-1),",","."),"."),LEFT(SUBSTITUTE(LEFT(TRIM(C452),FIND(" ",TRIM(C452)&amp;" ")-1),",","."),FIND("/",SUBSTITUTE(LEFT(TRIM(C452),FIND(" ",TRIM(C452)&amp;" ")-1),",","."))-1)/MID(SUBSTITUTE(LEFT(TRIM(C452),FIND(" ",TRIM(C452)&amp;" ")-1),",","."),FIND("/",SUBSTITUTE(LEFT(TRIM(C452),FIND(" ",TRIM(C452)&amp;" ")-1),",","."))+1,9))*12,NA()))),0),36)*'Aturan &amp; Tarif'!$B$4,2)</f>
        <v>2044.08</v>
      </c>
      <c r="K452" s="42" t="n">
        <f aca="false">'Aturan &amp; Tarif'!$B$5</f>
        <v>2050</v>
      </c>
      <c r="L452" s="42" t="n">
        <f aca="false">'Aturan &amp; Tarif'!$B$6</f>
        <v>350</v>
      </c>
      <c r="M452" s="35" t="n">
        <f aca="false">I452+J452+K452+L452</f>
        <v>20244.08</v>
      </c>
      <c r="N452" s="44" t="s">
        <v>1045</v>
      </c>
    </row>
    <row r="453" customFormat="false" ht="60" hidden="false" customHeight="true" outlineLevel="0" collapsed="false">
      <c r="A453" s="39"/>
      <c r="B453" s="40" t="s">
        <v>1046</v>
      </c>
      <c r="C453" s="41" t="s">
        <v>127</v>
      </c>
      <c r="D453" s="41" t="s">
        <v>108</v>
      </c>
      <c r="E453" s="42" t="n">
        <v>7900</v>
      </c>
      <c r="F453" s="42"/>
      <c r="G453" s="42"/>
      <c r="H453" s="43" t="n">
        <v>2</v>
      </c>
      <c r="I453" s="34" t="n">
        <f aca="false">E453*H453+N(F453)+N(G453)</f>
        <v>15800</v>
      </c>
      <c r="J453" s="42" t="n">
        <f aca="false">ROUND(IFERROR(ROUND(IF(OR(ISNUMBER(SEARCH("week",C453)),ISNUMBER(SEARCH("minggu",C453))),IFERROR(_xlfn.NUMBERVALUE(SUBSTITUTE(LEFT(TRIM(C453),FIND(" ",TRIM(C453)&amp;" ")-1),",","."),"."),LEFT(SUBSTITUTE(LEFT(TRIM(C453),FIND(" ",TRIM(C453)&amp;" ")-1),",","."),FIND("/",SUBSTITUTE(LEFT(TRIM(C453),FIND(" ",TRIM(C453)&amp;" ")-1),",","."))-1)/MID(SUBSTITUTE(LEFT(TRIM(C453),FIND(" ",TRIM(C453)&amp;" ")-1),",","."),FIND("/",SUBSTITUTE(LEFT(TRIM(C453),FIND(" ",TRIM(C453)&amp;" ")-1),",","."))+1,9))*12/52,IF(ISNUMBER(SEARCH("month",C453)),IFERROR(_xlfn.NUMBERVALUE(SUBSTITUTE(LEFT(TRIM(C453),FIND(" ",TRIM(C453)&amp;" ")-1),",","."),"."),LEFT(SUBSTITUTE(LEFT(TRIM(C453),FIND(" ",TRIM(C453)&amp;" ")-1),",","."),FIND("/",SUBSTITUTE(LEFT(TRIM(C453),FIND(" ",TRIM(C453)&amp;" ")-1),",","."))-1)/MID(SUBSTITUTE(LEFT(TRIM(C453),FIND(" ",TRIM(C453)&amp;" ")-1),",","."),FIND("/",SUBSTITUTE(LEFT(TRIM(C453),FIND(" ",TRIM(C453)&amp;" ")-1),",","."))+1,9)),IF(ISNUMBER(SEARCH("yea",C453)),IFERROR(_xlfn.NUMBERVALUE(SUBSTITUTE(LEFT(TRIM(C453),FIND(" ",TRIM(C453)&amp;" ")-1),",","."),"."),LEFT(SUBSTITUTE(LEFT(TRIM(C453),FIND(" ",TRIM(C453)&amp;" ")-1),",","."),FIND("/",SUBSTITUTE(LEFT(TRIM(C453),FIND(" ",TRIM(C453)&amp;" ")-1),",","."))-1)/MID(SUBSTITUTE(LEFT(TRIM(C453),FIND(" ",TRIM(C453)&amp;" ")-1),",","."),FIND("/",SUBSTITUTE(LEFT(TRIM(C453),FIND(" ",TRIM(C453)&amp;" ")-1),",","."))+1,9))*12,NA()))),0),36)*'Aturan &amp; Tarif'!$B$4,2)</f>
        <v>2044.08</v>
      </c>
      <c r="K453" s="42" t="n">
        <f aca="false">'Aturan &amp; Tarif'!$B$5</f>
        <v>2050</v>
      </c>
      <c r="L453" s="42" t="n">
        <f aca="false">'Aturan &amp; Tarif'!$B$6</f>
        <v>350</v>
      </c>
      <c r="M453" s="35" t="n">
        <f aca="false">I453+J453+K453+L453</f>
        <v>20244.08</v>
      </c>
      <c r="N453" s="44" t="s">
        <v>1047</v>
      </c>
    </row>
    <row r="454" customFormat="false" ht="60" hidden="false" customHeight="true" outlineLevel="0" collapsed="false">
      <c r="A454" s="39"/>
      <c r="B454" s="40" t="s">
        <v>167</v>
      </c>
      <c r="C454" s="41" t="s">
        <v>113</v>
      </c>
      <c r="D454" s="41" t="s">
        <v>108</v>
      </c>
      <c r="E454" s="42" t="n">
        <v>9000</v>
      </c>
      <c r="F454" s="42"/>
      <c r="G454" s="42"/>
      <c r="H454" s="43" t="n">
        <v>2</v>
      </c>
      <c r="I454" s="34" t="n">
        <f aca="false">E454*H454+N(F454)+N(G454)</f>
        <v>18000</v>
      </c>
      <c r="J454" s="42" t="n">
        <f aca="false">ROUND(IFERROR(ROUND(IF(OR(ISNUMBER(SEARCH("week",C454)),ISNUMBER(SEARCH("minggu",C454))),IFERROR(_xlfn.NUMBERVALUE(SUBSTITUTE(LEFT(TRIM(C454),FIND(" ",TRIM(C454)&amp;" ")-1),",","."),"."),LEFT(SUBSTITUTE(LEFT(TRIM(C454),FIND(" ",TRIM(C454)&amp;" ")-1),",","."),FIND("/",SUBSTITUTE(LEFT(TRIM(C454),FIND(" ",TRIM(C454)&amp;" ")-1),",","."))-1)/MID(SUBSTITUTE(LEFT(TRIM(C454),FIND(" ",TRIM(C454)&amp;" ")-1),",","."),FIND("/",SUBSTITUTE(LEFT(TRIM(C454),FIND(" ",TRIM(C454)&amp;" ")-1),",","."))+1,9))*12/52,IF(ISNUMBER(SEARCH("month",C454)),IFERROR(_xlfn.NUMBERVALUE(SUBSTITUTE(LEFT(TRIM(C454),FIND(" ",TRIM(C454)&amp;" ")-1),",","."),"."),LEFT(SUBSTITUTE(LEFT(TRIM(C454),FIND(" ",TRIM(C454)&amp;" ")-1),",","."),FIND("/",SUBSTITUTE(LEFT(TRIM(C454),FIND(" ",TRIM(C454)&amp;" ")-1),",","."))-1)/MID(SUBSTITUTE(LEFT(TRIM(C454),FIND(" ",TRIM(C454)&amp;" ")-1),",","."),FIND("/",SUBSTITUTE(LEFT(TRIM(C454),FIND(" ",TRIM(C454)&amp;" ")-1),",","."))+1,9)),IF(ISNUMBER(SEARCH("yea",C454)),IFERROR(_xlfn.NUMBERVALUE(SUBSTITUTE(LEFT(TRIM(C454),FIND(" ",TRIM(C454)&amp;" ")-1),",","."),"."),LEFT(SUBSTITUTE(LEFT(TRIM(C454),FIND(" ",TRIM(C454)&amp;" ")-1),",","."),FIND("/",SUBSTITUTE(LEFT(TRIM(C454),FIND(" ",TRIM(C454)&amp;" ")-1),",","."))-1)/MID(SUBSTITUTE(LEFT(TRIM(C454),FIND(" ",TRIM(C454)&amp;" ")-1),",","."),FIND("/",SUBSTITUTE(LEFT(TRIM(C454),FIND(" ",TRIM(C454)&amp;" ")-1),",","."))+1,9))*12,NA()))),0),18)*'Aturan &amp; Tarif'!$B$4,2)</f>
        <v>1022.04</v>
      </c>
      <c r="K454" s="42" t="n">
        <f aca="false">'Aturan &amp; Tarif'!$B$5</f>
        <v>2050</v>
      </c>
      <c r="L454" s="42" t="n">
        <f aca="false">'Aturan &amp; Tarif'!$B$6</f>
        <v>350</v>
      </c>
      <c r="M454" s="35" t="n">
        <f aca="false">I454+J454+K454+L454</f>
        <v>21422.04</v>
      </c>
      <c r="N454" s="44" t="s">
        <v>2462</v>
      </c>
    </row>
    <row r="455" customFormat="false" ht="60" hidden="false" customHeight="true" outlineLevel="0" collapsed="false">
      <c r="A455" s="39"/>
      <c r="B455" s="40" t="s">
        <v>2463</v>
      </c>
      <c r="C455" s="41" t="s">
        <v>107</v>
      </c>
      <c r="D455" s="41" t="s">
        <v>108</v>
      </c>
      <c r="E455" s="42" t="n">
        <v>9000</v>
      </c>
      <c r="F455" s="42"/>
      <c r="G455" s="42"/>
      <c r="H455" s="43" t="n">
        <v>2</v>
      </c>
      <c r="I455" s="34" t="n">
        <f aca="false">E455*H455+N(F455)+N(G455)</f>
        <v>18000</v>
      </c>
      <c r="J455" s="42" t="n">
        <f aca="false">ROUND(IFERROR(ROUND(IF(OR(ISNUMBER(SEARCH("week",C455)),ISNUMBER(SEARCH("minggu",C455))),IFERROR(_xlfn.NUMBERVALUE(SUBSTITUTE(LEFT(TRIM(C455),FIND(" ",TRIM(C455)&amp;" ")-1),",","."),"."),LEFT(SUBSTITUTE(LEFT(TRIM(C455),FIND(" ",TRIM(C455)&amp;" ")-1),",","."),FIND("/",SUBSTITUTE(LEFT(TRIM(C455),FIND(" ",TRIM(C455)&amp;" ")-1),",","."))-1)/MID(SUBSTITUTE(LEFT(TRIM(C455),FIND(" ",TRIM(C455)&amp;" ")-1),",","."),FIND("/",SUBSTITUTE(LEFT(TRIM(C455),FIND(" ",TRIM(C455)&amp;" ")-1),",","."))+1,9))*12/52,IF(ISNUMBER(SEARCH("month",C455)),IFERROR(_xlfn.NUMBERVALUE(SUBSTITUTE(LEFT(TRIM(C455),FIND(" ",TRIM(C455)&amp;" ")-1),",","."),"."),LEFT(SUBSTITUTE(LEFT(TRIM(C455),FIND(" ",TRIM(C455)&amp;" ")-1),",","."),FIND("/",SUBSTITUTE(LEFT(TRIM(C455),FIND(" ",TRIM(C455)&amp;" ")-1),",","."))-1)/MID(SUBSTITUTE(LEFT(TRIM(C455),FIND(" ",TRIM(C455)&amp;" ")-1),",","."),FIND("/",SUBSTITUTE(LEFT(TRIM(C455),FIND(" ",TRIM(C455)&amp;" ")-1),",","."))+1,9)),IF(ISNUMBER(SEARCH("yea",C455)),IFERROR(_xlfn.NUMBERVALUE(SUBSTITUTE(LEFT(TRIM(C455),FIND(" ",TRIM(C455)&amp;" ")-1),",","."),"."),LEFT(SUBSTITUTE(LEFT(TRIM(C455),FIND(" ",TRIM(C455)&amp;" ")-1),",","."),FIND("/",SUBSTITUTE(LEFT(TRIM(C455),FIND(" ",TRIM(C455)&amp;" ")-1),",","."))-1)/MID(SUBSTITUTE(LEFT(TRIM(C455),FIND(" ",TRIM(C455)&amp;" ")-1),",","."),FIND("/",SUBSTITUTE(LEFT(TRIM(C455),FIND(" ",TRIM(C455)&amp;" ")-1),",","."))+1,9))*12,NA()))),0),24)*'Aturan &amp; Tarif'!$B$4,2)</f>
        <v>1362.72</v>
      </c>
      <c r="K455" s="42" t="n">
        <f aca="false">'Aturan &amp; Tarif'!$B$5</f>
        <v>2050</v>
      </c>
      <c r="L455" s="42" t="n">
        <f aca="false">'Aturan &amp; Tarif'!$B$6</f>
        <v>350</v>
      </c>
      <c r="M455" s="35" t="n">
        <f aca="false">I455+J455+K455+L455</f>
        <v>21762.72</v>
      </c>
      <c r="N455" s="44" t="s">
        <v>2464</v>
      </c>
    </row>
    <row r="456" customFormat="false" ht="60" hidden="false" customHeight="true" outlineLevel="0" collapsed="false">
      <c r="A456" s="39"/>
      <c r="B456" s="40" t="s">
        <v>1048</v>
      </c>
      <c r="C456" s="41" t="s">
        <v>344</v>
      </c>
      <c r="D456" s="41" t="s">
        <v>108</v>
      </c>
      <c r="E456" s="42" t="n">
        <v>4500</v>
      </c>
      <c r="F456" s="42"/>
      <c r="G456" s="42"/>
      <c r="H456" s="43" t="n">
        <v>2</v>
      </c>
      <c r="I456" s="34" t="n">
        <f aca="false">E456*H456+N(F456)+N(G456)</f>
        <v>9000</v>
      </c>
      <c r="J456" s="42" t="n">
        <f aca="false">ROUND(IFERROR(ROUND(IF(OR(ISNUMBER(SEARCH("week",C456)),ISNUMBER(SEARCH("minggu",C456))),IFERROR(_xlfn.NUMBERVALUE(SUBSTITUTE(LEFT(TRIM(C456),FIND(" ",TRIM(C456)&amp;" ")-1),",","."),"."),LEFT(SUBSTITUTE(LEFT(TRIM(C456),FIND(" ",TRIM(C456)&amp;" ")-1),",","."),FIND("/",SUBSTITUTE(LEFT(TRIM(C456),FIND(" ",TRIM(C456)&amp;" ")-1),",","."))-1)/MID(SUBSTITUTE(LEFT(TRIM(C456),FIND(" ",TRIM(C456)&amp;" ")-1),",","."),FIND("/",SUBSTITUTE(LEFT(TRIM(C456),FIND(" ",TRIM(C456)&amp;" ")-1),",","."))+1,9))*12/52,IF(ISNUMBER(SEARCH("month",C456)),IFERROR(_xlfn.NUMBERVALUE(SUBSTITUTE(LEFT(TRIM(C456),FIND(" ",TRIM(C456)&amp;" ")-1),",","."),"."),LEFT(SUBSTITUTE(LEFT(TRIM(C456),FIND(" ",TRIM(C456)&amp;" ")-1),",","."),FIND("/",SUBSTITUTE(LEFT(TRIM(C456),FIND(" ",TRIM(C456)&amp;" ")-1),",","."))-1)/MID(SUBSTITUTE(LEFT(TRIM(C456),FIND(" ",TRIM(C456)&amp;" ")-1),",","."),FIND("/",SUBSTITUTE(LEFT(TRIM(C456),FIND(" ",TRIM(C456)&amp;" ")-1),",","."))+1,9)),IF(ISNUMBER(SEARCH("yea",C456)),IFERROR(_xlfn.NUMBERVALUE(SUBSTITUTE(LEFT(TRIM(C456),FIND(" ",TRIM(C456)&amp;" ")-1),",","."),"."),LEFT(SUBSTITUTE(LEFT(TRIM(C456),FIND(" ",TRIM(C456)&amp;" ")-1),",","."),FIND("/",SUBSTITUTE(LEFT(TRIM(C456),FIND(" ",TRIM(C456)&amp;" ")-1),",","."))-1)/MID(SUBSTITUTE(LEFT(TRIM(C456),FIND(" ",TRIM(C456)&amp;" ")-1),",","."),FIND("/",SUBSTITUTE(LEFT(TRIM(C456),FIND(" ",TRIM(C456)&amp;" ")-1),",","."))+1,9))*12,NA()))),0),6)*'Aturan &amp; Tarif'!$B$4,2)</f>
        <v>340.68</v>
      </c>
      <c r="K456" s="42" t="n">
        <f aca="false">'Aturan &amp; Tarif'!$B$5</f>
        <v>2050</v>
      </c>
      <c r="L456" s="42" t="n">
        <f aca="false">'Aturan &amp; Tarif'!$B$6</f>
        <v>350</v>
      </c>
      <c r="M456" s="35" t="n">
        <f aca="false">I456+J456+K456+L456</f>
        <v>11740.68</v>
      </c>
      <c r="N456" s="44" t="s">
        <v>1049</v>
      </c>
    </row>
    <row r="457" customFormat="false" ht="60" hidden="false" customHeight="true" outlineLevel="0" collapsed="false">
      <c r="A457" s="39"/>
      <c r="B457" s="40" t="s">
        <v>1050</v>
      </c>
      <c r="C457" s="41" t="s">
        <v>130</v>
      </c>
      <c r="D457" s="41" t="s">
        <v>108</v>
      </c>
      <c r="E457" s="42" t="n">
        <v>9000</v>
      </c>
      <c r="F457" s="42"/>
      <c r="G457" s="42"/>
      <c r="H457" s="43" t="n">
        <v>2</v>
      </c>
      <c r="I457" s="34" t="n">
        <f aca="false">E457*H457+N(F457)+N(G457)</f>
        <v>18000</v>
      </c>
      <c r="J457" s="42" t="n">
        <f aca="false">ROUND(IFERROR(ROUND(IF(OR(ISNUMBER(SEARCH("week",C457)),ISNUMBER(SEARCH("minggu",C457))),IFERROR(_xlfn.NUMBERVALUE(SUBSTITUTE(LEFT(TRIM(C457),FIND(" ",TRIM(C457)&amp;" ")-1),",","."),"."),LEFT(SUBSTITUTE(LEFT(TRIM(C457),FIND(" ",TRIM(C457)&amp;" ")-1),",","."),FIND("/",SUBSTITUTE(LEFT(TRIM(C457),FIND(" ",TRIM(C457)&amp;" ")-1),",","."))-1)/MID(SUBSTITUTE(LEFT(TRIM(C457),FIND(" ",TRIM(C457)&amp;" ")-1),",","."),FIND("/",SUBSTITUTE(LEFT(TRIM(C457),FIND(" ",TRIM(C457)&amp;" ")-1),",","."))+1,9))*12/52,IF(ISNUMBER(SEARCH("month",C457)),IFERROR(_xlfn.NUMBERVALUE(SUBSTITUTE(LEFT(TRIM(C457),FIND(" ",TRIM(C457)&amp;" ")-1),",","."),"."),LEFT(SUBSTITUTE(LEFT(TRIM(C457),FIND(" ",TRIM(C457)&amp;" ")-1),",","."),FIND("/",SUBSTITUTE(LEFT(TRIM(C457),FIND(" ",TRIM(C457)&amp;" ")-1),",","."))-1)/MID(SUBSTITUTE(LEFT(TRIM(C457),FIND(" ",TRIM(C457)&amp;" ")-1),",","."),FIND("/",SUBSTITUTE(LEFT(TRIM(C457),FIND(" ",TRIM(C457)&amp;" ")-1),",","."))+1,9)),IF(ISNUMBER(SEARCH("yea",C457)),IFERROR(_xlfn.NUMBERVALUE(SUBSTITUTE(LEFT(TRIM(C457),FIND(" ",TRIM(C457)&amp;" ")-1),",","."),"."),LEFT(SUBSTITUTE(LEFT(TRIM(C457),FIND(" ",TRIM(C457)&amp;" ")-1),",","."),FIND("/",SUBSTITUTE(LEFT(TRIM(C457),FIND(" ",TRIM(C457)&amp;" ")-1),",","."))-1)/MID(SUBSTITUTE(LEFT(TRIM(C457),FIND(" ",TRIM(C457)&amp;" ")-1),",","."),FIND("/",SUBSTITUTE(LEFT(TRIM(C457),FIND(" ",TRIM(C457)&amp;" ")-1),",","."))+1,9))*12,NA()))),0),12)*'Aturan &amp; Tarif'!$B$4,2)</f>
        <v>681.36</v>
      </c>
      <c r="K457" s="42" t="n">
        <f aca="false">'Aturan &amp; Tarif'!$B$5</f>
        <v>2050</v>
      </c>
      <c r="L457" s="42" t="n">
        <f aca="false">'Aturan &amp; Tarif'!$B$6</f>
        <v>350</v>
      </c>
      <c r="M457" s="35" t="n">
        <f aca="false">I457+J457+K457+L457</f>
        <v>21081.36</v>
      </c>
      <c r="N457" s="44" t="s">
        <v>1051</v>
      </c>
    </row>
    <row r="458" customFormat="false" ht="60" hidden="false" customHeight="true" outlineLevel="0" collapsed="false">
      <c r="A458" s="39"/>
      <c r="B458" s="40" t="s">
        <v>348</v>
      </c>
      <c r="C458" s="41" t="s">
        <v>113</v>
      </c>
      <c r="D458" s="41" t="s">
        <v>108</v>
      </c>
      <c r="E458" s="42" t="n">
        <v>9000</v>
      </c>
      <c r="F458" s="42"/>
      <c r="G458" s="42"/>
      <c r="H458" s="43" t="n">
        <v>2</v>
      </c>
      <c r="I458" s="34" t="n">
        <f aca="false">E458*H458+N(F458)+N(G458)</f>
        <v>18000</v>
      </c>
      <c r="J458" s="42" t="n">
        <f aca="false">ROUND(IFERROR(ROUND(IF(OR(ISNUMBER(SEARCH("week",C458)),ISNUMBER(SEARCH("minggu",C458))),IFERROR(_xlfn.NUMBERVALUE(SUBSTITUTE(LEFT(TRIM(C458),FIND(" ",TRIM(C458)&amp;" ")-1),",","."),"."),LEFT(SUBSTITUTE(LEFT(TRIM(C458),FIND(" ",TRIM(C458)&amp;" ")-1),",","."),FIND("/",SUBSTITUTE(LEFT(TRIM(C458),FIND(" ",TRIM(C458)&amp;" ")-1),",","."))-1)/MID(SUBSTITUTE(LEFT(TRIM(C458),FIND(" ",TRIM(C458)&amp;" ")-1),",","."),FIND("/",SUBSTITUTE(LEFT(TRIM(C458),FIND(" ",TRIM(C458)&amp;" ")-1),",","."))+1,9))*12/52,IF(ISNUMBER(SEARCH("month",C458)),IFERROR(_xlfn.NUMBERVALUE(SUBSTITUTE(LEFT(TRIM(C458),FIND(" ",TRIM(C458)&amp;" ")-1),",","."),"."),LEFT(SUBSTITUTE(LEFT(TRIM(C458),FIND(" ",TRIM(C458)&amp;" ")-1),",","."),FIND("/",SUBSTITUTE(LEFT(TRIM(C458),FIND(" ",TRIM(C458)&amp;" ")-1),",","."))-1)/MID(SUBSTITUTE(LEFT(TRIM(C458),FIND(" ",TRIM(C458)&amp;" ")-1),",","."),FIND("/",SUBSTITUTE(LEFT(TRIM(C458),FIND(" ",TRIM(C458)&amp;" ")-1),",","."))+1,9)),IF(ISNUMBER(SEARCH("yea",C458)),IFERROR(_xlfn.NUMBERVALUE(SUBSTITUTE(LEFT(TRIM(C458),FIND(" ",TRIM(C458)&amp;" ")-1),",","."),"."),LEFT(SUBSTITUTE(LEFT(TRIM(C458),FIND(" ",TRIM(C458)&amp;" ")-1),",","."),FIND("/",SUBSTITUTE(LEFT(TRIM(C458),FIND(" ",TRIM(C458)&amp;" ")-1),",","."))-1)/MID(SUBSTITUTE(LEFT(TRIM(C458),FIND(" ",TRIM(C458)&amp;" ")-1),",","."),FIND("/",SUBSTITUTE(LEFT(TRIM(C458),FIND(" ",TRIM(C458)&amp;" ")-1),",","."))+1,9))*12,NA()))),0),18)*'Aturan &amp; Tarif'!$B$4,2)</f>
        <v>1022.04</v>
      </c>
      <c r="K458" s="42" t="n">
        <f aca="false">'Aturan &amp; Tarif'!$B$5</f>
        <v>2050</v>
      </c>
      <c r="L458" s="42" t="n">
        <f aca="false">'Aturan &amp; Tarif'!$B$6</f>
        <v>350</v>
      </c>
      <c r="M458" s="35" t="n">
        <f aca="false">I458+J458+K458+L458</f>
        <v>21422.04</v>
      </c>
      <c r="N458" s="44" t="s">
        <v>1052</v>
      </c>
    </row>
    <row r="459" customFormat="false" ht="60" hidden="false" customHeight="true" outlineLevel="0" collapsed="false">
      <c r="A459" s="39"/>
      <c r="B459" s="40" t="s">
        <v>1053</v>
      </c>
      <c r="C459" s="41" t="s">
        <v>107</v>
      </c>
      <c r="D459" s="41" t="s">
        <v>108</v>
      </c>
      <c r="E459" s="42" t="n">
        <v>9000</v>
      </c>
      <c r="F459" s="42"/>
      <c r="G459" s="42"/>
      <c r="H459" s="43" t="n">
        <v>2</v>
      </c>
      <c r="I459" s="34" t="n">
        <f aca="false">E459*H459+N(F459)+N(G459)</f>
        <v>18000</v>
      </c>
      <c r="J459" s="42" t="n">
        <f aca="false">ROUND(IFERROR(ROUND(IF(OR(ISNUMBER(SEARCH("week",C459)),ISNUMBER(SEARCH("minggu",C459))),IFERROR(_xlfn.NUMBERVALUE(SUBSTITUTE(LEFT(TRIM(C459),FIND(" ",TRIM(C459)&amp;" ")-1),",","."),"."),LEFT(SUBSTITUTE(LEFT(TRIM(C459),FIND(" ",TRIM(C459)&amp;" ")-1),",","."),FIND("/",SUBSTITUTE(LEFT(TRIM(C459),FIND(" ",TRIM(C459)&amp;" ")-1),",","."))-1)/MID(SUBSTITUTE(LEFT(TRIM(C459),FIND(" ",TRIM(C459)&amp;" ")-1),",","."),FIND("/",SUBSTITUTE(LEFT(TRIM(C459),FIND(" ",TRIM(C459)&amp;" ")-1),",","."))+1,9))*12/52,IF(ISNUMBER(SEARCH("month",C459)),IFERROR(_xlfn.NUMBERVALUE(SUBSTITUTE(LEFT(TRIM(C459),FIND(" ",TRIM(C459)&amp;" ")-1),",","."),"."),LEFT(SUBSTITUTE(LEFT(TRIM(C459),FIND(" ",TRIM(C459)&amp;" ")-1),",","."),FIND("/",SUBSTITUTE(LEFT(TRIM(C459),FIND(" ",TRIM(C459)&amp;" ")-1),",","."))-1)/MID(SUBSTITUTE(LEFT(TRIM(C459),FIND(" ",TRIM(C459)&amp;" ")-1),",","."),FIND("/",SUBSTITUTE(LEFT(TRIM(C459),FIND(" ",TRIM(C459)&amp;" ")-1),",","."))+1,9)),IF(ISNUMBER(SEARCH("yea",C459)),IFERROR(_xlfn.NUMBERVALUE(SUBSTITUTE(LEFT(TRIM(C459),FIND(" ",TRIM(C459)&amp;" ")-1),",","."),"."),LEFT(SUBSTITUTE(LEFT(TRIM(C459),FIND(" ",TRIM(C459)&amp;" ")-1),",","."),FIND("/",SUBSTITUTE(LEFT(TRIM(C459),FIND(" ",TRIM(C459)&amp;" ")-1),",","."))-1)/MID(SUBSTITUTE(LEFT(TRIM(C459),FIND(" ",TRIM(C459)&amp;" ")-1),",","."),FIND("/",SUBSTITUTE(LEFT(TRIM(C459),FIND(" ",TRIM(C459)&amp;" ")-1),",","."))+1,9))*12,NA()))),0),24)*'Aturan &amp; Tarif'!$B$4,2)</f>
        <v>1362.72</v>
      </c>
      <c r="K459" s="42" t="n">
        <f aca="false">'Aturan &amp; Tarif'!$B$5</f>
        <v>2050</v>
      </c>
      <c r="L459" s="42" t="n">
        <f aca="false">'Aturan &amp; Tarif'!$B$6</f>
        <v>350</v>
      </c>
      <c r="M459" s="35" t="n">
        <f aca="false">I459+J459+K459+L459</f>
        <v>21762.72</v>
      </c>
      <c r="N459" s="44" t="s">
        <v>1054</v>
      </c>
    </row>
    <row r="460" customFormat="false" ht="60" hidden="false" customHeight="true" outlineLevel="0" collapsed="false">
      <c r="A460" s="39"/>
      <c r="B460" s="40" t="s">
        <v>1055</v>
      </c>
      <c r="C460" s="41" t="s">
        <v>107</v>
      </c>
      <c r="D460" s="41" t="s">
        <v>108</v>
      </c>
      <c r="E460" s="42" t="n">
        <v>9000</v>
      </c>
      <c r="F460" s="42"/>
      <c r="G460" s="42"/>
      <c r="H460" s="43" t="n">
        <v>2</v>
      </c>
      <c r="I460" s="34" t="n">
        <f aca="false">E460*H460+N(F460)+N(G460)</f>
        <v>18000</v>
      </c>
      <c r="J460" s="42" t="n">
        <f aca="false">ROUND(IFERROR(ROUND(IF(OR(ISNUMBER(SEARCH("week",C460)),ISNUMBER(SEARCH("minggu",C460))),IFERROR(_xlfn.NUMBERVALUE(SUBSTITUTE(LEFT(TRIM(C460),FIND(" ",TRIM(C460)&amp;" ")-1),",","."),"."),LEFT(SUBSTITUTE(LEFT(TRIM(C460),FIND(" ",TRIM(C460)&amp;" ")-1),",","."),FIND("/",SUBSTITUTE(LEFT(TRIM(C460),FIND(" ",TRIM(C460)&amp;" ")-1),",","."))-1)/MID(SUBSTITUTE(LEFT(TRIM(C460),FIND(" ",TRIM(C460)&amp;" ")-1),",","."),FIND("/",SUBSTITUTE(LEFT(TRIM(C460),FIND(" ",TRIM(C460)&amp;" ")-1),",","."))+1,9))*12/52,IF(ISNUMBER(SEARCH("month",C460)),IFERROR(_xlfn.NUMBERVALUE(SUBSTITUTE(LEFT(TRIM(C460),FIND(" ",TRIM(C460)&amp;" ")-1),",","."),"."),LEFT(SUBSTITUTE(LEFT(TRIM(C460),FIND(" ",TRIM(C460)&amp;" ")-1),",","."),FIND("/",SUBSTITUTE(LEFT(TRIM(C460),FIND(" ",TRIM(C460)&amp;" ")-1),",","."))-1)/MID(SUBSTITUTE(LEFT(TRIM(C460),FIND(" ",TRIM(C460)&amp;" ")-1),",","."),FIND("/",SUBSTITUTE(LEFT(TRIM(C460),FIND(" ",TRIM(C460)&amp;" ")-1),",","."))+1,9)),IF(ISNUMBER(SEARCH("yea",C460)),IFERROR(_xlfn.NUMBERVALUE(SUBSTITUTE(LEFT(TRIM(C460),FIND(" ",TRIM(C460)&amp;" ")-1),",","."),"."),LEFT(SUBSTITUTE(LEFT(TRIM(C460),FIND(" ",TRIM(C460)&amp;" ")-1),",","."),FIND("/",SUBSTITUTE(LEFT(TRIM(C460),FIND(" ",TRIM(C460)&amp;" ")-1),",","."))-1)/MID(SUBSTITUTE(LEFT(TRIM(C460),FIND(" ",TRIM(C460)&amp;" ")-1),",","."),FIND("/",SUBSTITUTE(LEFT(TRIM(C460),FIND(" ",TRIM(C460)&amp;" ")-1),",","."))+1,9))*12,NA()))),0),24)*'Aturan &amp; Tarif'!$B$4,2)</f>
        <v>1362.72</v>
      </c>
      <c r="K460" s="42" t="n">
        <f aca="false">'Aturan &amp; Tarif'!$B$5</f>
        <v>2050</v>
      </c>
      <c r="L460" s="42" t="n">
        <f aca="false">'Aturan &amp; Tarif'!$B$6</f>
        <v>350</v>
      </c>
      <c r="M460" s="35" t="n">
        <f aca="false">I460+J460+K460+L460</f>
        <v>21762.72</v>
      </c>
      <c r="N460" s="44" t="s">
        <v>1056</v>
      </c>
    </row>
    <row r="461" customFormat="false" ht="60" hidden="false" customHeight="true" outlineLevel="0" collapsed="false">
      <c r="A461" s="39"/>
      <c r="B461" s="40" t="s">
        <v>1057</v>
      </c>
      <c r="C461" s="41" t="s">
        <v>107</v>
      </c>
      <c r="D461" s="41" t="s">
        <v>108</v>
      </c>
      <c r="E461" s="42" t="n">
        <v>7950</v>
      </c>
      <c r="F461" s="42"/>
      <c r="G461" s="42"/>
      <c r="H461" s="43" t="n">
        <v>2</v>
      </c>
      <c r="I461" s="34" t="n">
        <f aca="false">E461*H461+N(F461)+N(G461)</f>
        <v>15900</v>
      </c>
      <c r="J461" s="42" t="n">
        <f aca="false">ROUND(IFERROR(ROUND(IF(OR(ISNUMBER(SEARCH("week",C461)),ISNUMBER(SEARCH("minggu",C461))),IFERROR(_xlfn.NUMBERVALUE(SUBSTITUTE(LEFT(TRIM(C461),FIND(" ",TRIM(C461)&amp;" ")-1),",","."),"."),LEFT(SUBSTITUTE(LEFT(TRIM(C461),FIND(" ",TRIM(C461)&amp;" ")-1),",","."),FIND("/",SUBSTITUTE(LEFT(TRIM(C461),FIND(" ",TRIM(C461)&amp;" ")-1),",","."))-1)/MID(SUBSTITUTE(LEFT(TRIM(C461),FIND(" ",TRIM(C461)&amp;" ")-1),",","."),FIND("/",SUBSTITUTE(LEFT(TRIM(C461),FIND(" ",TRIM(C461)&amp;" ")-1),",","."))+1,9))*12/52,IF(ISNUMBER(SEARCH("month",C461)),IFERROR(_xlfn.NUMBERVALUE(SUBSTITUTE(LEFT(TRIM(C461),FIND(" ",TRIM(C461)&amp;" ")-1),",","."),"."),LEFT(SUBSTITUTE(LEFT(TRIM(C461),FIND(" ",TRIM(C461)&amp;" ")-1),",","."),FIND("/",SUBSTITUTE(LEFT(TRIM(C461),FIND(" ",TRIM(C461)&amp;" ")-1),",","."))-1)/MID(SUBSTITUTE(LEFT(TRIM(C461),FIND(" ",TRIM(C461)&amp;" ")-1),",","."),FIND("/",SUBSTITUTE(LEFT(TRIM(C461),FIND(" ",TRIM(C461)&amp;" ")-1),",","."))+1,9)),IF(ISNUMBER(SEARCH("yea",C461)),IFERROR(_xlfn.NUMBERVALUE(SUBSTITUTE(LEFT(TRIM(C461),FIND(" ",TRIM(C461)&amp;" ")-1),",","."),"."),LEFT(SUBSTITUTE(LEFT(TRIM(C461),FIND(" ",TRIM(C461)&amp;" ")-1),",","."),FIND("/",SUBSTITUTE(LEFT(TRIM(C461),FIND(" ",TRIM(C461)&amp;" ")-1),",","."))-1)/MID(SUBSTITUTE(LEFT(TRIM(C461),FIND(" ",TRIM(C461)&amp;" ")-1),",","."),FIND("/",SUBSTITUTE(LEFT(TRIM(C461),FIND(" ",TRIM(C461)&amp;" ")-1),",","."))+1,9))*12,NA()))),0),24)*'Aturan &amp; Tarif'!$B$4,2)</f>
        <v>1362.72</v>
      </c>
      <c r="K461" s="42" t="n">
        <f aca="false">'Aturan &amp; Tarif'!$B$5</f>
        <v>2050</v>
      </c>
      <c r="L461" s="42" t="n">
        <f aca="false">'Aturan &amp; Tarif'!$B$6</f>
        <v>350</v>
      </c>
      <c r="M461" s="35" t="n">
        <f aca="false">I461+J461+K461+L461</f>
        <v>19662.72</v>
      </c>
      <c r="N461" s="44" t="s">
        <v>1058</v>
      </c>
    </row>
    <row r="462" customFormat="false" ht="60" hidden="false" customHeight="true" outlineLevel="0" collapsed="false">
      <c r="A462" s="39"/>
      <c r="B462" s="40" t="s">
        <v>1059</v>
      </c>
      <c r="C462" s="41" t="s">
        <v>113</v>
      </c>
      <c r="D462" s="41" t="s">
        <v>108</v>
      </c>
      <c r="E462" s="42" t="n">
        <v>9000</v>
      </c>
      <c r="F462" s="42"/>
      <c r="G462" s="42"/>
      <c r="H462" s="43" t="n">
        <v>2</v>
      </c>
      <c r="I462" s="34" t="n">
        <f aca="false">E462*H462+N(F462)+N(G462)</f>
        <v>18000</v>
      </c>
      <c r="J462" s="42" t="n">
        <f aca="false">ROUND(IFERROR(ROUND(IF(OR(ISNUMBER(SEARCH("week",C462)),ISNUMBER(SEARCH("minggu",C462))),IFERROR(_xlfn.NUMBERVALUE(SUBSTITUTE(LEFT(TRIM(C462),FIND(" ",TRIM(C462)&amp;" ")-1),",","."),"."),LEFT(SUBSTITUTE(LEFT(TRIM(C462),FIND(" ",TRIM(C462)&amp;" ")-1),",","."),FIND("/",SUBSTITUTE(LEFT(TRIM(C462),FIND(" ",TRIM(C462)&amp;" ")-1),",","."))-1)/MID(SUBSTITUTE(LEFT(TRIM(C462),FIND(" ",TRIM(C462)&amp;" ")-1),",","."),FIND("/",SUBSTITUTE(LEFT(TRIM(C462),FIND(" ",TRIM(C462)&amp;" ")-1),",","."))+1,9))*12/52,IF(ISNUMBER(SEARCH("month",C462)),IFERROR(_xlfn.NUMBERVALUE(SUBSTITUTE(LEFT(TRIM(C462),FIND(" ",TRIM(C462)&amp;" ")-1),",","."),"."),LEFT(SUBSTITUTE(LEFT(TRIM(C462),FIND(" ",TRIM(C462)&amp;" ")-1),",","."),FIND("/",SUBSTITUTE(LEFT(TRIM(C462),FIND(" ",TRIM(C462)&amp;" ")-1),",","."))-1)/MID(SUBSTITUTE(LEFT(TRIM(C462),FIND(" ",TRIM(C462)&amp;" ")-1),",","."),FIND("/",SUBSTITUTE(LEFT(TRIM(C462),FIND(" ",TRIM(C462)&amp;" ")-1),",","."))+1,9)),IF(ISNUMBER(SEARCH("yea",C462)),IFERROR(_xlfn.NUMBERVALUE(SUBSTITUTE(LEFT(TRIM(C462),FIND(" ",TRIM(C462)&amp;" ")-1),",","."),"."),LEFT(SUBSTITUTE(LEFT(TRIM(C462),FIND(" ",TRIM(C462)&amp;" ")-1),",","."),FIND("/",SUBSTITUTE(LEFT(TRIM(C462),FIND(" ",TRIM(C462)&amp;" ")-1),",","."))-1)/MID(SUBSTITUTE(LEFT(TRIM(C462),FIND(" ",TRIM(C462)&amp;" ")-1),",","."),FIND("/",SUBSTITUTE(LEFT(TRIM(C462),FIND(" ",TRIM(C462)&amp;" ")-1),",","."))+1,9))*12,NA()))),0),18)*'Aturan &amp; Tarif'!$B$4,2)</f>
        <v>1022.04</v>
      </c>
      <c r="K462" s="42" t="n">
        <f aca="false">'Aturan &amp; Tarif'!$B$5</f>
        <v>2050</v>
      </c>
      <c r="L462" s="42" t="n">
        <f aca="false">'Aturan &amp; Tarif'!$B$6</f>
        <v>350</v>
      </c>
      <c r="M462" s="35" t="n">
        <f aca="false">I462+J462+K462+L462</f>
        <v>21422.04</v>
      </c>
      <c r="N462" s="44" t="s">
        <v>1060</v>
      </c>
    </row>
    <row r="463" customFormat="false" ht="14.25" hidden="false" customHeight="true" outlineLevel="0" collapsed="false">
      <c r="A463" s="39"/>
      <c r="B463" s="40" t="s">
        <v>1061</v>
      </c>
      <c r="C463" s="41" t="s">
        <v>107</v>
      </c>
      <c r="D463" s="41" t="s">
        <v>108</v>
      </c>
      <c r="E463" s="42" t="n">
        <v>9000</v>
      </c>
      <c r="F463" s="42"/>
      <c r="G463" s="42"/>
      <c r="H463" s="43" t="n">
        <v>2</v>
      </c>
      <c r="I463" s="34" t="n">
        <f aca="false">E463*H463+N(F463)+N(G463)</f>
        <v>18000</v>
      </c>
      <c r="J463" s="42" t="n">
        <f aca="false">ROUND(IFERROR(ROUND(IF(OR(ISNUMBER(SEARCH("week",C463)),ISNUMBER(SEARCH("minggu",C463))),IFERROR(_xlfn.NUMBERVALUE(SUBSTITUTE(LEFT(TRIM(C463),FIND(" ",TRIM(C463)&amp;" ")-1),",","."),"."),LEFT(SUBSTITUTE(LEFT(TRIM(C463),FIND(" ",TRIM(C463)&amp;" ")-1),",","."),FIND("/",SUBSTITUTE(LEFT(TRIM(C463),FIND(" ",TRIM(C463)&amp;" ")-1),",","."))-1)/MID(SUBSTITUTE(LEFT(TRIM(C463),FIND(" ",TRIM(C463)&amp;" ")-1),",","."),FIND("/",SUBSTITUTE(LEFT(TRIM(C463),FIND(" ",TRIM(C463)&amp;" ")-1),",","."))+1,9))*12/52,IF(ISNUMBER(SEARCH("month",C463)),IFERROR(_xlfn.NUMBERVALUE(SUBSTITUTE(LEFT(TRIM(C463),FIND(" ",TRIM(C463)&amp;" ")-1),",","."),"."),LEFT(SUBSTITUTE(LEFT(TRIM(C463),FIND(" ",TRIM(C463)&amp;" ")-1),",","."),FIND("/",SUBSTITUTE(LEFT(TRIM(C463),FIND(" ",TRIM(C463)&amp;" ")-1),",","."))-1)/MID(SUBSTITUTE(LEFT(TRIM(C463),FIND(" ",TRIM(C463)&amp;" ")-1),",","."),FIND("/",SUBSTITUTE(LEFT(TRIM(C463),FIND(" ",TRIM(C463)&amp;" ")-1),",","."))+1,9)),IF(ISNUMBER(SEARCH("yea",C463)),IFERROR(_xlfn.NUMBERVALUE(SUBSTITUTE(LEFT(TRIM(C463),FIND(" ",TRIM(C463)&amp;" ")-1),",","."),"."),LEFT(SUBSTITUTE(LEFT(TRIM(C463),FIND(" ",TRIM(C463)&amp;" ")-1),",","."),FIND("/",SUBSTITUTE(LEFT(TRIM(C463),FIND(" ",TRIM(C463)&amp;" ")-1),",","."))-1)/MID(SUBSTITUTE(LEFT(TRIM(C463),FIND(" ",TRIM(C463)&amp;" ")-1),",","."),FIND("/",SUBSTITUTE(LEFT(TRIM(C463),FIND(" ",TRIM(C463)&amp;" ")-1),",","."))+1,9))*12,NA()))),0),24)*'Aturan &amp; Tarif'!$B$4,2)</f>
        <v>1362.72</v>
      </c>
      <c r="K463" s="42" t="n">
        <f aca="false">'Aturan &amp; Tarif'!$B$5</f>
        <v>2050</v>
      </c>
      <c r="L463" s="42" t="n">
        <f aca="false">'Aturan &amp; Tarif'!$B$6</f>
        <v>350</v>
      </c>
      <c r="M463" s="35" t="n">
        <f aca="false">I463+J463+K463+L463</f>
        <v>21762.72</v>
      </c>
      <c r="N463" s="44" t="s">
        <v>1062</v>
      </c>
    </row>
    <row r="464" customFormat="false" ht="25.5" hidden="false" customHeight="true" outlineLevel="0" collapsed="false">
      <c r="A464" s="39"/>
      <c r="B464" s="40" t="s">
        <v>1063</v>
      </c>
      <c r="C464" s="41" t="s">
        <v>130</v>
      </c>
      <c r="D464" s="41" t="s">
        <v>108</v>
      </c>
      <c r="E464" s="42" t="n">
        <v>4500</v>
      </c>
      <c r="F464" s="42"/>
      <c r="G464" s="42"/>
      <c r="H464" s="43" t="n">
        <v>2</v>
      </c>
      <c r="I464" s="34" t="n">
        <f aca="false">E464*H464+N(F464)+N(G464)</f>
        <v>9000</v>
      </c>
      <c r="J464" s="42" t="n">
        <f aca="false">ROUND(IFERROR(ROUND(IF(OR(ISNUMBER(SEARCH("week",C464)),ISNUMBER(SEARCH("minggu",C464))),IFERROR(_xlfn.NUMBERVALUE(SUBSTITUTE(LEFT(TRIM(C464),FIND(" ",TRIM(C464)&amp;" ")-1),",","."),"."),LEFT(SUBSTITUTE(LEFT(TRIM(C464),FIND(" ",TRIM(C464)&amp;" ")-1),",","."),FIND("/",SUBSTITUTE(LEFT(TRIM(C464),FIND(" ",TRIM(C464)&amp;" ")-1),",","."))-1)/MID(SUBSTITUTE(LEFT(TRIM(C464),FIND(" ",TRIM(C464)&amp;" ")-1),",","."),FIND("/",SUBSTITUTE(LEFT(TRIM(C464),FIND(" ",TRIM(C464)&amp;" ")-1),",","."))+1,9))*12/52,IF(ISNUMBER(SEARCH("month",C464)),IFERROR(_xlfn.NUMBERVALUE(SUBSTITUTE(LEFT(TRIM(C464),FIND(" ",TRIM(C464)&amp;" ")-1),",","."),"."),LEFT(SUBSTITUTE(LEFT(TRIM(C464),FIND(" ",TRIM(C464)&amp;" ")-1),",","."),FIND("/",SUBSTITUTE(LEFT(TRIM(C464),FIND(" ",TRIM(C464)&amp;" ")-1),",","."))-1)/MID(SUBSTITUTE(LEFT(TRIM(C464),FIND(" ",TRIM(C464)&amp;" ")-1),",","."),FIND("/",SUBSTITUTE(LEFT(TRIM(C464),FIND(" ",TRIM(C464)&amp;" ")-1),",","."))+1,9)),IF(ISNUMBER(SEARCH("yea",C464)),IFERROR(_xlfn.NUMBERVALUE(SUBSTITUTE(LEFT(TRIM(C464),FIND(" ",TRIM(C464)&amp;" ")-1),",","."),"."),LEFT(SUBSTITUTE(LEFT(TRIM(C464),FIND(" ",TRIM(C464)&amp;" ")-1),",","."),FIND("/",SUBSTITUTE(LEFT(TRIM(C464),FIND(" ",TRIM(C464)&amp;" ")-1),",","."))-1)/MID(SUBSTITUTE(LEFT(TRIM(C464),FIND(" ",TRIM(C464)&amp;" ")-1),",","."),FIND("/",SUBSTITUTE(LEFT(TRIM(C464),FIND(" ",TRIM(C464)&amp;" ")-1),",","."))+1,9))*12,NA()))),0),12)*'Aturan &amp; Tarif'!$B$4,2)</f>
        <v>681.36</v>
      </c>
      <c r="K464" s="42" t="n">
        <f aca="false">'Aturan &amp; Tarif'!$B$5</f>
        <v>2050</v>
      </c>
      <c r="L464" s="42" t="n">
        <f aca="false">'Aturan &amp; Tarif'!$B$6</f>
        <v>350</v>
      </c>
      <c r="M464" s="35" t="n">
        <f aca="false">I464+J464+K464+L464</f>
        <v>12081.36</v>
      </c>
      <c r="N464" s="45" t="s">
        <v>1064</v>
      </c>
    </row>
    <row r="465" customFormat="false" ht="14.25" hidden="false" customHeight="true" outlineLevel="0" collapsed="false">
      <c r="A465" s="39"/>
      <c r="B465" s="40" t="s">
        <v>1065</v>
      </c>
      <c r="C465" s="41" t="s">
        <v>130</v>
      </c>
      <c r="D465" s="41" t="s">
        <v>108</v>
      </c>
      <c r="E465" s="42" t="n">
        <v>4500</v>
      </c>
      <c r="F465" s="42"/>
      <c r="G465" s="42"/>
      <c r="H465" s="43" t="n">
        <v>2</v>
      </c>
      <c r="I465" s="34" t="n">
        <f aca="false">E465*H465+N(F465)+N(G465)</f>
        <v>9000</v>
      </c>
      <c r="J465" s="42" t="n">
        <f aca="false">ROUND(IFERROR(ROUND(IF(OR(ISNUMBER(SEARCH("week",C465)),ISNUMBER(SEARCH("minggu",C465))),IFERROR(_xlfn.NUMBERVALUE(SUBSTITUTE(LEFT(TRIM(C465),FIND(" ",TRIM(C465)&amp;" ")-1),",","."),"."),LEFT(SUBSTITUTE(LEFT(TRIM(C465),FIND(" ",TRIM(C465)&amp;" ")-1),",","."),FIND("/",SUBSTITUTE(LEFT(TRIM(C465),FIND(" ",TRIM(C465)&amp;" ")-1),",","."))-1)/MID(SUBSTITUTE(LEFT(TRIM(C465),FIND(" ",TRIM(C465)&amp;" ")-1),",","."),FIND("/",SUBSTITUTE(LEFT(TRIM(C465),FIND(" ",TRIM(C465)&amp;" ")-1),",","."))+1,9))*12/52,IF(ISNUMBER(SEARCH("month",C465)),IFERROR(_xlfn.NUMBERVALUE(SUBSTITUTE(LEFT(TRIM(C465),FIND(" ",TRIM(C465)&amp;" ")-1),",","."),"."),LEFT(SUBSTITUTE(LEFT(TRIM(C465),FIND(" ",TRIM(C465)&amp;" ")-1),",","."),FIND("/",SUBSTITUTE(LEFT(TRIM(C465),FIND(" ",TRIM(C465)&amp;" ")-1),",","."))-1)/MID(SUBSTITUTE(LEFT(TRIM(C465),FIND(" ",TRIM(C465)&amp;" ")-1),",","."),FIND("/",SUBSTITUTE(LEFT(TRIM(C465),FIND(" ",TRIM(C465)&amp;" ")-1),",","."))+1,9)),IF(ISNUMBER(SEARCH("yea",C465)),IFERROR(_xlfn.NUMBERVALUE(SUBSTITUTE(LEFT(TRIM(C465),FIND(" ",TRIM(C465)&amp;" ")-1),",","."),"."),LEFT(SUBSTITUTE(LEFT(TRIM(C465),FIND(" ",TRIM(C465)&amp;" ")-1),",","."),FIND("/",SUBSTITUTE(LEFT(TRIM(C465),FIND(" ",TRIM(C465)&amp;" ")-1),",","."))-1)/MID(SUBSTITUTE(LEFT(TRIM(C465),FIND(" ",TRIM(C465)&amp;" ")-1),",","."),FIND("/",SUBSTITUTE(LEFT(TRIM(C465),FIND(" ",TRIM(C465)&amp;" ")-1),",","."))+1,9))*12,NA()))),0),12)*'Aturan &amp; Tarif'!$B$4,2)</f>
        <v>681.36</v>
      </c>
      <c r="K465" s="42" t="n">
        <f aca="false">'Aturan &amp; Tarif'!$B$5</f>
        <v>2050</v>
      </c>
      <c r="L465" s="42" t="n">
        <f aca="false">'Aturan &amp; Tarif'!$B$6</f>
        <v>350</v>
      </c>
      <c r="M465" s="35" t="n">
        <f aca="false">I465+J465+K465+L465</f>
        <v>12081.36</v>
      </c>
      <c r="N465" s="45" t="s">
        <v>1066</v>
      </c>
    </row>
    <row r="466" customFormat="false" ht="60" hidden="false" customHeight="true" outlineLevel="0" collapsed="false">
      <c r="A466" s="39"/>
      <c r="B466" s="40" t="s">
        <v>1067</v>
      </c>
      <c r="C466" s="41" t="s">
        <v>130</v>
      </c>
      <c r="D466" s="41" t="s">
        <v>108</v>
      </c>
      <c r="E466" s="42" t="n">
        <v>9000</v>
      </c>
      <c r="F466" s="42"/>
      <c r="G466" s="42"/>
      <c r="H466" s="43" t="n">
        <v>2</v>
      </c>
      <c r="I466" s="34" t="n">
        <f aca="false">E466*H466+N(F466)+N(G466)</f>
        <v>18000</v>
      </c>
      <c r="J466" s="42" t="n">
        <f aca="false">ROUND(IFERROR(ROUND(IF(OR(ISNUMBER(SEARCH("week",C466)),ISNUMBER(SEARCH("minggu",C466))),IFERROR(_xlfn.NUMBERVALUE(SUBSTITUTE(LEFT(TRIM(C466),FIND(" ",TRIM(C466)&amp;" ")-1),",","."),"."),LEFT(SUBSTITUTE(LEFT(TRIM(C466),FIND(" ",TRIM(C466)&amp;" ")-1),",","."),FIND("/",SUBSTITUTE(LEFT(TRIM(C466),FIND(" ",TRIM(C466)&amp;" ")-1),",","."))-1)/MID(SUBSTITUTE(LEFT(TRIM(C466),FIND(" ",TRIM(C466)&amp;" ")-1),",","."),FIND("/",SUBSTITUTE(LEFT(TRIM(C466),FIND(" ",TRIM(C466)&amp;" ")-1),",","."))+1,9))*12/52,IF(ISNUMBER(SEARCH("month",C466)),IFERROR(_xlfn.NUMBERVALUE(SUBSTITUTE(LEFT(TRIM(C466),FIND(" ",TRIM(C466)&amp;" ")-1),",","."),"."),LEFT(SUBSTITUTE(LEFT(TRIM(C466),FIND(" ",TRIM(C466)&amp;" ")-1),",","."),FIND("/",SUBSTITUTE(LEFT(TRIM(C466),FIND(" ",TRIM(C466)&amp;" ")-1),",","."))-1)/MID(SUBSTITUTE(LEFT(TRIM(C466),FIND(" ",TRIM(C466)&amp;" ")-1),",","."),FIND("/",SUBSTITUTE(LEFT(TRIM(C466),FIND(" ",TRIM(C466)&amp;" ")-1),",","."))+1,9)),IF(ISNUMBER(SEARCH("yea",C466)),IFERROR(_xlfn.NUMBERVALUE(SUBSTITUTE(LEFT(TRIM(C466),FIND(" ",TRIM(C466)&amp;" ")-1),",","."),"."),LEFT(SUBSTITUTE(LEFT(TRIM(C466),FIND(" ",TRIM(C466)&amp;" ")-1),",","."),FIND("/",SUBSTITUTE(LEFT(TRIM(C466),FIND(" ",TRIM(C466)&amp;" ")-1),",","."))-1)/MID(SUBSTITUTE(LEFT(TRIM(C466),FIND(" ",TRIM(C466)&amp;" ")-1),",","."),FIND("/",SUBSTITUTE(LEFT(TRIM(C466),FIND(" ",TRIM(C466)&amp;" ")-1),",","."))+1,9))*12,NA()))),0),12)*'Aturan &amp; Tarif'!$B$4,2)</f>
        <v>681.36</v>
      </c>
      <c r="K466" s="42" t="n">
        <f aca="false">'Aturan &amp; Tarif'!$B$5</f>
        <v>2050</v>
      </c>
      <c r="L466" s="42" t="n">
        <f aca="false">'Aturan &amp; Tarif'!$B$6</f>
        <v>350</v>
      </c>
      <c r="M466" s="35" t="n">
        <f aca="false">I466+J466+K466+L466</f>
        <v>21081.36</v>
      </c>
      <c r="N466" s="45" t="s">
        <v>1068</v>
      </c>
    </row>
    <row r="467" customFormat="false" ht="60" hidden="false" customHeight="true" outlineLevel="0" collapsed="false">
      <c r="A467" s="39"/>
      <c r="B467" s="40" t="s">
        <v>1069</v>
      </c>
      <c r="C467" s="41" t="s">
        <v>130</v>
      </c>
      <c r="D467" s="41" t="s">
        <v>108</v>
      </c>
      <c r="E467" s="42" t="n">
        <v>9000</v>
      </c>
      <c r="F467" s="42"/>
      <c r="G467" s="42"/>
      <c r="H467" s="43" t="n">
        <v>2</v>
      </c>
      <c r="I467" s="34" t="n">
        <f aca="false">E467*H467+N(F467)+N(G467)</f>
        <v>18000</v>
      </c>
      <c r="J467" s="42" t="n">
        <f aca="false">ROUND(IFERROR(ROUND(IF(OR(ISNUMBER(SEARCH("week",C467)),ISNUMBER(SEARCH("minggu",C467))),IFERROR(_xlfn.NUMBERVALUE(SUBSTITUTE(LEFT(TRIM(C467),FIND(" ",TRIM(C467)&amp;" ")-1),",","."),"."),LEFT(SUBSTITUTE(LEFT(TRIM(C467),FIND(" ",TRIM(C467)&amp;" ")-1),",","."),FIND("/",SUBSTITUTE(LEFT(TRIM(C467),FIND(" ",TRIM(C467)&amp;" ")-1),",","."))-1)/MID(SUBSTITUTE(LEFT(TRIM(C467),FIND(" ",TRIM(C467)&amp;" ")-1),",","."),FIND("/",SUBSTITUTE(LEFT(TRIM(C467),FIND(" ",TRIM(C467)&amp;" ")-1),",","."))+1,9))*12/52,IF(ISNUMBER(SEARCH("month",C467)),IFERROR(_xlfn.NUMBERVALUE(SUBSTITUTE(LEFT(TRIM(C467),FIND(" ",TRIM(C467)&amp;" ")-1),",","."),"."),LEFT(SUBSTITUTE(LEFT(TRIM(C467),FIND(" ",TRIM(C467)&amp;" ")-1),",","."),FIND("/",SUBSTITUTE(LEFT(TRIM(C467),FIND(" ",TRIM(C467)&amp;" ")-1),",","."))-1)/MID(SUBSTITUTE(LEFT(TRIM(C467),FIND(" ",TRIM(C467)&amp;" ")-1),",","."),FIND("/",SUBSTITUTE(LEFT(TRIM(C467),FIND(" ",TRIM(C467)&amp;" ")-1),",","."))+1,9)),IF(ISNUMBER(SEARCH("yea",C467)),IFERROR(_xlfn.NUMBERVALUE(SUBSTITUTE(LEFT(TRIM(C467),FIND(" ",TRIM(C467)&amp;" ")-1),",","."),"."),LEFT(SUBSTITUTE(LEFT(TRIM(C467),FIND(" ",TRIM(C467)&amp;" ")-1),",","."),FIND("/",SUBSTITUTE(LEFT(TRIM(C467),FIND(" ",TRIM(C467)&amp;" ")-1),",","."))-1)/MID(SUBSTITUTE(LEFT(TRIM(C467),FIND(" ",TRIM(C467)&amp;" ")-1),",","."),FIND("/",SUBSTITUTE(LEFT(TRIM(C467),FIND(" ",TRIM(C467)&amp;" ")-1),",","."))+1,9))*12,NA()))),0),12)*'Aturan &amp; Tarif'!$B$4,2)</f>
        <v>681.36</v>
      </c>
      <c r="K467" s="42" t="n">
        <f aca="false">'Aturan &amp; Tarif'!$B$5</f>
        <v>2050</v>
      </c>
      <c r="L467" s="42" t="n">
        <f aca="false">'Aturan &amp; Tarif'!$B$6</f>
        <v>350</v>
      </c>
      <c r="M467" s="35" t="n">
        <f aca="false">I467+J467+K467+L467</f>
        <v>21081.36</v>
      </c>
      <c r="N467" s="44" t="s">
        <v>1036</v>
      </c>
    </row>
    <row r="468" customFormat="false" ht="60" hidden="false" customHeight="true" outlineLevel="0" collapsed="false">
      <c r="A468" s="39"/>
      <c r="B468" s="40" t="s">
        <v>1070</v>
      </c>
      <c r="C468" s="41" t="s">
        <v>107</v>
      </c>
      <c r="D468" s="41" t="s">
        <v>108</v>
      </c>
      <c r="E468" s="42" t="n">
        <v>9000</v>
      </c>
      <c r="F468" s="42"/>
      <c r="G468" s="42"/>
      <c r="H468" s="43" t="n">
        <v>2</v>
      </c>
      <c r="I468" s="34" t="n">
        <f aca="false">E468*H468+N(F468)+N(G468)</f>
        <v>18000</v>
      </c>
      <c r="J468" s="42" t="n">
        <f aca="false">ROUND(IFERROR(ROUND(IF(OR(ISNUMBER(SEARCH("week",C468)),ISNUMBER(SEARCH("minggu",C468))),IFERROR(_xlfn.NUMBERVALUE(SUBSTITUTE(LEFT(TRIM(C468),FIND(" ",TRIM(C468)&amp;" ")-1),",","."),"."),LEFT(SUBSTITUTE(LEFT(TRIM(C468),FIND(" ",TRIM(C468)&amp;" ")-1),",","."),FIND("/",SUBSTITUTE(LEFT(TRIM(C468),FIND(" ",TRIM(C468)&amp;" ")-1),",","."))-1)/MID(SUBSTITUTE(LEFT(TRIM(C468),FIND(" ",TRIM(C468)&amp;" ")-1),",","."),FIND("/",SUBSTITUTE(LEFT(TRIM(C468),FIND(" ",TRIM(C468)&amp;" ")-1),",","."))+1,9))*12/52,IF(ISNUMBER(SEARCH("month",C468)),IFERROR(_xlfn.NUMBERVALUE(SUBSTITUTE(LEFT(TRIM(C468),FIND(" ",TRIM(C468)&amp;" ")-1),",","."),"."),LEFT(SUBSTITUTE(LEFT(TRIM(C468),FIND(" ",TRIM(C468)&amp;" ")-1),",","."),FIND("/",SUBSTITUTE(LEFT(TRIM(C468),FIND(" ",TRIM(C468)&amp;" ")-1),",","."))-1)/MID(SUBSTITUTE(LEFT(TRIM(C468),FIND(" ",TRIM(C468)&amp;" ")-1),",","."),FIND("/",SUBSTITUTE(LEFT(TRIM(C468),FIND(" ",TRIM(C468)&amp;" ")-1),",","."))+1,9)),IF(ISNUMBER(SEARCH("yea",C468)),IFERROR(_xlfn.NUMBERVALUE(SUBSTITUTE(LEFT(TRIM(C468),FIND(" ",TRIM(C468)&amp;" ")-1),",","."),"."),LEFT(SUBSTITUTE(LEFT(TRIM(C468),FIND(" ",TRIM(C468)&amp;" ")-1),",","."),FIND("/",SUBSTITUTE(LEFT(TRIM(C468),FIND(" ",TRIM(C468)&amp;" ")-1),",","."))-1)/MID(SUBSTITUTE(LEFT(TRIM(C468),FIND(" ",TRIM(C468)&amp;" ")-1),",","."),FIND("/",SUBSTITUTE(LEFT(TRIM(C468),FIND(" ",TRIM(C468)&amp;" ")-1),",","."))+1,9))*12,NA()))),0),24)*'Aturan &amp; Tarif'!$B$4,2)</f>
        <v>1362.72</v>
      </c>
      <c r="K468" s="42" t="n">
        <f aca="false">'Aturan &amp; Tarif'!$B$5</f>
        <v>2050</v>
      </c>
      <c r="L468" s="42" t="n">
        <f aca="false">'Aturan &amp; Tarif'!$B$6</f>
        <v>350</v>
      </c>
      <c r="M468" s="35" t="n">
        <f aca="false">I468+J468+K468+L468</f>
        <v>21762.72</v>
      </c>
      <c r="N468" s="44" t="s">
        <v>1036</v>
      </c>
    </row>
    <row r="469" customFormat="false" ht="60" hidden="false" customHeight="true" outlineLevel="0" collapsed="false">
      <c r="A469" s="39"/>
      <c r="B469" s="40" t="s">
        <v>1071</v>
      </c>
      <c r="C469" s="41" t="s">
        <v>107</v>
      </c>
      <c r="D469" s="41" t="s">
        <v>108</v>
      </c>
      <c r="E469" s="42" t="n">
        <v>9000</v>
      </c>
      <c r="F469" s="42"/>
      <c r="G469" s="42"/>
      <c r="H469" s="43" t="n">
        <v>2</v>
      </c>
      <c r="I469" s="34" t="n">
        <f aca="false">E469*H469+N(F469)+N(G469)</f>
        <v>18000</v>
      </c>
      <c r="J469" s="42" t="n">
        <f aca="false">ROUND(IFERROR(ROUND(IF(OR(ISNUMBER(SEARCH("week",C469)),ISNUMBER(SEARCH("minggu",C469))),IFERROR(_xlfn.NUMBERVALUE(SUBSTITUTE(LEFT(TRIM(C469),FIND(" ",TRIM(C469)&amp;" ")-1),",","."),"."),LEFT(SUBSTITUTE(LEFT(TRIM(C469),FIND(" ",TRIM(C469)&amp;" ")-1),",","."),FIND("/",SUBSTITUTE(LEFT(TRIM(C469),FIND(" ",TRIM(C469)&amp;" ")-1),",","."))-1)/MID(SUBSTITUTE(LEFT(TRIM(C469),FIND(" ",TRIM(C469)&amp;" ")-1),",","."),FIND("/",SUBSTITUTE(LEFT(TRIM(C469),FIND(" ",TRIM(C469)&amp;" ")-1),",","."))+1,9))*12/52,IF(ISNUMBER(SEARCH("month",C469)),IFERROR(_xlfn.NUMBERVALUE(SUBSTITUTE(LEFT(TRIM(C469),FIND(" ",TRIM(C469)&amp;" ")-1),",","."),"."),LEFT(SUBSTITUTE(LEFT(TRIM(C469),FIND(" ",TRIM(C469)&amp;" ")-1),",","."),FIND("/",SUBSTITUTE(LEFT(TRIM(C469),FIND(" ",TRIM(C469)&amp;" ")-1),",","."))-1)/MID(SUBSTITUTE(LEFT(TRIM(C469),FIND(" ",TRIM(C469)&amp;" ")-1),",","."),FIND("/",SUBSTITUTE(LEFT(TRIM(C469),FIND(" ",TRIM(C469)&amp;" ")-1),",","."))+1,9)),IF(ISNUMBER(SEARCH("yea",C469)),IFERROR(_xlfn.NUMBERVALUE(SUBSTITUTE(LEFT(TRIM(C469),FIND(" ",TRIM(C469)&amp;" ")-1),",","."),"."),LEFT(SUBSTITUTE(LEFT(TRIM(C469),FIND(" ",TRIM(C469)&amp;" ")-1),",","."),FIND("/",SUBSTITUTE(LEFT(TRIM(C469),FIND(" ",TRIM(C469)&amp;" ")-1),",","."))-1)/MID(SUBSTITUTE(LEFT(TRIM(C469),FIND(" ",TRIM(C469)&amp;" ")-1),",","."),FIND("/",SUBSTITUTE(LEFT(TRIM(C469),FIND(" ",TRIM(C469)&amp;" ")-1),",","."))+1,9))*12,NA()))),0),24)*'Aturan &amp; Tarif'!$B$4,2)</f>
        <v>1362.72</v>
      </c>
      <c r="K469" s="42" t="n">
        <f aca="false">'Aturan &amp; Tarif'!$B$5</f>
        <v>2050</v>
      </c>
      <c r="L469" s="42" t="n">
        <f aca="false">'Aturan &amp; Tarif'!$B$6</f>
        <v>350</v>
      </c>
      <c r="M469" s="35" t="n">
        <f aca="false">I469+J469+K469+L469</f>
        <v>21762.72</v>
      </c>
      <c r="N469" s="44" t="s">
        <v>1072</v>
      </c>
    </row>
    <row r="470" customFormat="false" ht="60" hidden="false" customHeight="true" outlineLevel="0" collapsed="false">
      <c r="A470" s="39"/>
      <c r="B470" s="40" t="s">
        <v>1073</v>
      </c>
      <c r="C470" s="41" t="s">
        <v>344</v>
      </c>
      <c r="D470" s="41" t="s">
        <v>108</v>
      </c>
      <c r="E470" s="42" t="n">
        <v>4500</v>
      </c>
      <c r="F470" s="42"/>
      <c r="G470" s="42"/>
      <c r="H470" s="43" t="n">
        <v>2</v>
      </c>
      <c r="I470" s="34" t="n">
        <f aca="false">E470*H470+N(F470)+N(G470)</f>
        <v>9000</v>
      </c>
      <c r="J470" s="42" t="n">
        <f aca="false">ROUND(IFERROR(ROUND(IF(OR(ISNUMBER(SEARCH("week",C470)),ISNUMBER(SEARCH("minggu",C470))),IFERROR(_xlfn.NUMBERVALUE(SUBSTITUTE(LEFT(TRIM(C470),FIND(" ",TRIM(C470)&amp;" ")-1),",","."),"."),LEFT(SUBSTITUTE(LEFT(TRIM(C470),FIND(" ",TRIM(C470)&amp;" ")-1),",","."),FIND("/",SUBSTITUTE(LEFT(TRIM(C470),FIND(" ",TRIM(C470)&amp;" ")-1),",","."))-1)/MID(SUBSTITUTE(LEFT(TRIM(C470),FIND(" ",TRIM(C470)&amp;" ")-1),",","."),FIND("/",SUBSTITUTE(LEFT(TRIM(C470),FIND(" ",TRIM(C470)&amp;" ")-1),",","."))+1,9))*12/52,IF(ISNUMBER(SEARCH("month",C470)),IFERROR(_xlfn.NUMBERVALUE(SUBSTITUTE(LEFT(TRIM(C470),FIND(" ",TRIM(C470)&amp;" ")-1),",","."),"."),LEFT(SUBSTITUTE(LEFT(TRIM(C470),FIND(" ",TRIM(C470)&amp;" ")-1),",","."),FIND("/",SUBSTITUTE(LEFT(TRIM(C470),FIND(" ",TRIM(C470)&amp;" ")-1),",","."))-1)/MID(SUBSTITUTE(LEFT(TRIM(C470),FIND(" ",TRIM(C470)&amp;" ")-1),",","."),FIND("/",SUBSTITUTE(LEFT(TRIM(C470),FIND(" ",TRIM(C470)&amp;" ")-1),",","."))+1,9)),IF(ISNUMBER(SEARCH("yea",C470)),IFERROR(_xlfn.NUMBERVALUE(SUBSTITUTE(LEFT(TRIM(C470),FIND(" ",TRIM(C470)&amp;" ")-1),",","."),"."),LEFT(SUBSTITUTE(LEFT(TRIM(C470),FIND(" ",TRIM(C470)&amp;" ")-1),",","."),FIND("/",SUBSTITUTE(LEFT(TRIM(C470),FIND(" ",TRIM(C470)&amp;" ")-1),",","."))-1)/MID(SUBSTITUTE(LEFT(TRIM(C470),FIND(" ",TRIM(C470)&amp;" ")-1),",","."),FIND("/",SUBSTITUTE(LEFT(TRIM(C470),FIND(" ",TRIM(C470)&amp;" ")-1),",","."))+1,9))*12,NA()))),0),6)*'Aturan &amp; Tarif'!$B$4,2)</f>
        <v>340.68</v>
      </c>
      <c r="K470" s="42" t="n">
        <f aca="false">'Aturan &amp; Tarif'!$B$5</f>
        <v>2050</v>
      </c>
      <c r="L470" s="42" t="n">
        <f aca="false">'Aturan &amp; Tarif'!$B$6</f>
        <v>350</v>
      </c>
      <c r="M470" s="35" t="n">
        <f aca="false">I470+J470+K470+L470</f>
        <v>11740.68</v>
      </c>
      <c r="N470" s="44" t="s">
        <v>1036</v>
      </c>
    </row>
    <row r="471" customFormat="false" ht="60" hidden="false" customHeight="true" outlineLevel="0" collapsed="false">
      <c r="A471" s="39"/>
      <c r="B471" s="40" t="s">
        <v>1074</v>
      </c>
      <c r="C471" s="41" t="s">
        <v>130</v>
      </c>
      <c r="D471" s="41" t="s">
        <v>108</v>
      </c>
      <c r="E471" s="42" t="n">
        <v>9000</v>
      </c>
      <c r="F471" s="42"/>
      <c r="G471" s="42"/>
      <c r="H471" s="43" t="n">
        <v>2</v>
      </c>
      <c r="I471" s="34" t="n">
        <f aca="false">E471*H471+N(F471)+N(G471)</f>
        <v>18000</v>
      </c>
      <c r="J471" s="42" t="n">
        <f aca="false">ROUND(IFERROR(ROUND(IF(OR(ISNUMBER(SEARCH("week",C471)),ISNUMBER(SEARCH("minggu",C471))),IFERROR(_xlfn.NUMBERVALUE(SUBSTITUTE(LEFT(TRIM(C471),FIND(" ",TRIM(C471)&amp;" ")-1),",","."),"."),LEFT(SUBSTITUTE(LEFT(TRIM(C471),FIND(" ",TRIM(C471)&amp;" ")-1),",","."),FIND("/",SUBSTITUTE(LEFT(TRIM(C471),FIND(" ",TRIM(C471)&amp;" ")-1),",","."))-1)/MID(SUBSTITUTE(LEFT(TRIM(C471),FIND(" ",TRIM(C471)&amp;" ")-1),",","."),FIND("/",SUBSTITUTE(LEFT(TRIM(C471),FIND(" ",TRIM(C471)&amp;" ")-1),",","."))+1,9))*12/52,IF(ISNUMBER(SEARCH("month",C471)),IFERROR(_xlfn.NUMBERVALUE(SUBSTITUTE(LEFT(TRIM(C471),FIND(" ",TRIM(C471)&amp;" ")-1),",","."),"."),LEFT(SUBSTITUTE(LEFT(TRIM(C471),FIND(" ",TRIM(C471)&amp;" ")-1),",","."),FIND("/",SUBSTITUTE(LEFT(TRIM(C471),FIND(" ",TRIM(C471)&amp;" ")-1),",","."))-1)/MID(SUBSTITUTE(LEFT(TRIM(C471),FIND(" ",TRIM(C471)&amp;" ")-1),",","."),FIND("/",SUBSTITUTE(LEFT(TRIM(C471),FIND(" ",TRIM(C471)&amp;" ")-1),",","."))+1,9)),IF(ISNUMBER(SEARCH("yea",C471)),IFERROR(_xlfn.NUMBERVALUE(SUBSTITUTE(LEFT(TRIM(C471),FIND(" ",TRIM(C471)&amp;" ")-1),",","."),"."),LEFT(SUBSTITUTE(LEFT(TRIM(C471),FIND(" ",TRIM(C471)&amp;" ")-1),",","."),FIND("/",SUBSTITUTE(LEFT(TRIM(C471),FIND(" ",TRIM(C471)&amp;" ")-1),",","."))-1)/MID(SUBSTITUTE(LEFT(TRIM(C471),FIND(" ",TRIM(C471)&amp;" ")-1),",","."),FIND("/",SUBSTITUTE(LEFT(TRIM(C471),FIND(" ",TRIM(C471)&amp;" ")-1),",","."))+1,9))*12,NA()))),0),12)*'Aturan &amp; Tarif'!$B$4,2)</f>
        <v>681.36</v>
      </c>
      <c r="K471" s="42" t="n">
        <f aca="false">'Aturan &amp; Tarif'!$B$5</f>
        <v>2050</v>
      </c>
      <c r="L471" s="42" t="n">
        <f aca="false">'Aturan &amp; Tarif'!$B$6</f>
        <v>350</v>
      </c>
      <c r="M471" s="35" t="n">
        <f aca="false">I471+J471+K471+L471</f>
        <v>21081.36</v>
      </c>
      <c r="N471" s="44" t="s">
        <v>1036</v>
      </c>
    </row>
    <row r="472" customFormat="false" ht="60" hidden="false" customHeight="true" outlineLevel="0" collapsed="false">
      <c r="A472" s="39"/>
      <c r="B472" s="40" t="s">
        <v>1075</v>
      </c>
      <c r="C472" s="41" t="s">
        <v>113</v>
      </c>
      <c r="D472" s="41" t="s">
        <v>108</v>
      </c>
      <c r="E472" s="42" t="n">
        <v>9000</v>
      </c>
      <c r="F472" s="42"/>
      <c r="G472" s="42"/>
      <c r="H472" s="43" t="n">
        <v>2</v>
      </c>
      <c r="I472" s="34" t="n">
        <f aca="false">E472*H472+N(F472)+N(G472)</f>
        <v>18000</v>
      </c>
      <c r="J472" s="42" t="n">
        <f aca="false">ROUND(IFERROR(ROUND(IF(OR(ISNUMBER(SEARCH("week",C472)),ISNUMBER(SEARCH("minggu",C472))),IFERROR(_xlfn.NUMBERVALUE(SUBSTITUTE(LEFT(TRIM(C472),FIND(" ",TRIM(C472)&amp;" ")-1),",","."),"."),LEFT(SUBSTITUTE(LEFT(TRIM(C472),FIND(" ",TRIM(C472)&amp;" ")-1),",","."),FIND("/",SUBSTITUTE(LEFT(TRIM(C472),FIND(" ",TRIM(C472)&amp;" ")-1),",","."))-1)/MID(SUBSTITUTE(LEFT(TRIM(C472),FIND(" ",TRIM(C472)&amp;" ")-1),",","."),FIND("/",SUBSTITUTE(LEFT(TRIM(C472),FIND(" ",TRIM(C472)&amp;" ")-1),",","."))+1,9))*12/52,IF(ISNUMBER(SEARCH("month",C472)),IFERROR(_xlfn.NUMBERVALUE(SUBSTITUTE(LEFT(TRIM(C472),FIND(" ",TRIM(C472)&amp;" ")-1),",","."),"."),LEFT(SUBSTITUTE(LEFT(TRIM(C472),FIND(" ",TRIM(C472)&amp;" ")-1),",","."),FIND("/",SUBSTITUTE(LEFT(TRIM(C472),FIND(" ",TRIM(C472)&amp;" ")-1),",","."))-1)/MID(SUBSTITUTE(LEFT(TRIM(C472),FIND(" ",TRIM(C472)&amp;" ")-1),",","."),FIND("/",SUBSTITUTE(LEFT(TRIM(C472),FIND(" ",TRIM(C472)&amp;" ")-1),",","."))+1,9)),IF(ISNUMBER(SEARCH("yea",C472)),IFERROR(_xlfn.NUMBERVALUE(SUBSTITUTE(LEFT(TRIM(C472),FIND(" ",TRIM(C472)&amp;" ")-1),",","."),"."),LEFT(SUBSTITUTE(LEFT(TRIM(C472),FIND(" ",TRIM(C472)&amp;" ")-1),",","."),FIND("/",SUBSTITUTE(LEFT(TRIM(C472),FIND(" ",TRIM(C472)&amp;" ")-1),",","."))-1)/MID(SUBSTITUTE(LEFT(TRIM(C472),FIND(" ",TRIM(C472)&amp;" ")-1),",","."),FIND("/",SUBSTITUTE(LEFT(TRIM(C472),FIND(" ",TRIM(C472)&amp;" ")-1),",","."))+1,9))*12,NA()))),0),18)*'Aturan &amp; Tarif'!$B$4,2)</f>
        <v>1022.04</v>
      </c>
      <c r="K472" s="42" t="n">
        <f aca="false">'Aturan &amp; Tarif'!$B$5</f>
        <v>2050</v>
      </c>
      <c r="L472" s="42" t="n">
        <f aca="false">'Aturan &amp; Tarif'!$B$6</f>
        <v>350</v>
      </c>
      <c r="M472" s="35" t="n">
        <f aca="false">I472+J472+K472+L472</f>
        <v>21422.04</v>
      </c>
      <c r="N472" s="44" t="s">
        <v>1036</v>
      </c>
    </row>
    <row r="473" customFormat="false" ht="60" hidden="false" customHeight="true" outlineLevel="0" collapsed="false">
      <c r="A473" s="39"/>
      <c r="B473" s="40" t="s">
        <v>1076</v>
      </c>
      <c r="C473" s="41" t="s">
        <v>107</v>
      </c>
      <c r="D473" s="41" t="s">
        <v>108</v>
      </c>
      <c r="E473" s="42" t="n">
        <v>9000</v>
      </c>
      <c r="F473" s="42"/>
      <c r="G473" s="42"/>
      <c r="H473" s="43" t="n">
        <v>2</v>
      </c>
      <c r="I473" s="34" t="n">
        <f aca="false">E473*H473+N(F473)+N(G473)</f>
        <v>18000</v>
      </c>
      <c r="J473" s="42" t="n">
        <f aca="false">ROUND(IFERROR(ROUND(IF(OR(ISNUMBER(SEARCH("week",C473)),ISNUMBER(SEARCH("minggu",C473))),IFERROR(_xlfn.NUMBERVALUE(SUBSTITUTE(LEFT(TRIM(C473),FIND(" ",TRIM(C473)&amp;" ")-1),",","."),"."),LEFT(SUBSTITUTE(LEFT(TRIM(C473),FIND(" ",TRIM(C473)&amp;" ")-1),",","."),FIND("/",SUBSTITUTE(LEFT(TRIM(C473),FIND(" ",TRIM(C473)&amp;" ")-1),",","."))-1)/MID(SUBSTITUTE(LEFT(TRIM(C473),FIND(" ",TRIM(C473)&amp;" ")-1),",","."),FIND("/",SUBSTITUTE(LEFT(TRIM(C473),FIND(" ",TRIM(C473)&amp;" ")-1),",","."))+1,9))*12/52,IF(ISNUMBER(SEARCH("month",C473)),IFERROR(_xlfn.NUMBERVALUE(SUBSTITUTE(LEFT(TRIM(C473),FIND(" ",TRIM(C473)&amp;" ")-1),",","."),"."),LEFT(SUBSTITUTE(LEFT(TRIM(C473),FIND(" ",TRIM(C473)&amp;" ")-1),",","."),FIND("/",SUBSTITUTE(LEFT(TRIM(C473),FIND(" ",TRIM(C473)&amp;" ")-1),",","."))-1)/MID(SUBSTITUTE(LEFT(TRIM(C473),FIND(" ",TRIM(C473)&amp;" ")-1),",","."),FIND("/",SUBSTITUTE(LEFT(TRIM(C473),FIND(" ",TRIM(C473)&amp;" ")-1),",","."))+1,9)),IF(ISNUMBER(SEARCH("yea",C473)),IFERROR(_xlfn.NUMBERVALUE(SUBSTITUTE(LEFT(TRIM(C473),FIND(" ",TRIM(C473)&amp;" ")-1),",","."),"."),LEFT(SUBSTITUTE(LEFT(TRIM(C473),FIND(" ",TRIM(C473)&amp;" ")-1),",","."),FIND("/",SUBSTITUTE(LEFT(TRIM(C473),FIND(" ",TRIM(C473)&amp;" ")-1),",","."))-1)/MID(SUBSTITUTE(LEFT(TRIM(C473),FIND(" ",TRIM(C473)&amp;" ")-1),",","."),FIND("/",SUBSTITUTE(LEFT(TRIM(C473),FIND(" ",TRIM(C473)&amp;" ")-1),",","."))+1,9))*12,NA()))),0),24)*'Aturan &amp; Tarif'!$B$4,2)</f>
        <v>1362.72</v>
      </c>
      <c r="K473" s="42" t="n">
        <f aca="false">'Aturan &amp; Tarif'!$B$5</f>
        <v>2050</v>
      </c>
      <c r="L473" s="42" t="n">
        <f aca="false">'Aturan &amp; Tarif'!$B$6</f>
        <v>350</v>
      </c>
      <c r="M473" s="35" t="n">
        <f aca="false">I473+J473+K473+L473</f>
        <v>21762.72</v>
      </c>
      <c r="N473" s="44" t="s">
        <v>1036</v>
      </c>
    </row>
    <row r="474" customFormat="false" ht="60" hidden="false" customHeight="true" outlineLevel="0" collapsed="false">
      <c r="A474" s="39"/>
      <c r="B474" s="40" t="s">
        <v>1055</v>
      </c>
      <c r="C474" s="41" t="s">
        <v>107</v>
      </c>
      <c r="D474" s="41" t="s">
        <v>108</v>
      </c>
      <c r="E474" s="42" t="n">
        <v>9000</v>
      </c>
      <c r="F474" s="42"/>
      <c r="G474" s="42"/>
      <c r="H474" s="43" t="n">
        <v>2</v>
      </c>
      <c r="I474" s="34" t="n">
        <f aca="false">E474*H474+N(F474)+N(G474)</f>
        <v>18000</v>
      </c>
      <c r="J474" s="42" t="n">
        <f aca="false">ROUND(IFERROR(ROUND(IF(OR(ISNUMBER(SEARCH("week",C474)),ISNUMBER(SEARCH("minggu",C474))),IFERROR(_xlfn.NUMBERVALUE(SUBSTITUTE(LEFT(TRIM(C474),FIND(" ",TRIM(C474)&amp;" ")-1),",","."),"."),LEFT(SUBSTITUTE(LEFT(TRIM(C474),FIND(" ",TRIM(C474)&amp;" ")-1),",","."),FIND("/",SUBSTITUTE(LEFT(TRIM(C474),FIND(" ",TRIM(C474)&amp;" ")-1),",","."))-1)/MID(SUBSTITUTE(LEFT(TRIM(C474),FIND(" ",TRIM(C474)&amp;" ")-1),",","."),FIND("/",SUBSTITUTE(LEFT(TRIM(C474),FIND(" ",TRIM(C474)&amp;" ")-1),",","."))+1,9))*12/52,IF(ISNUMBER(SEARCH("month",C474)),IFERROR(_xlfn.NUMBERVALUE(SUBSTITUTE(LEFT(TRIM(C474),FIND(" ",TRIM(C474)&amp;" ")-1),",","."),"."),LEFT(SUBSTITUTE(LEFT(TRIM(C474),FIND(" ",TRIM(C474)&amp;" ")-1),",","."),FIND("/",SUBSTITUTE(LEFT(TRIM(C474),FIND(" ",TRIM(C474)&amp;" ")-1),",","."))-1)/MID(SUBSTITUTE(LEFT(TRIM(C474),FIND(" ",TRIM(C474)&amp;" ")-1),",","."),FIND("/",SUBSTITUTE(LEFT(TRIM(C474),FIND(" ",TRIM(C474)&amp;" ")-1),",","."))+1,9)),IF(ISNUMBER(SEARCH("yea",C474)),IFERROR(_xlfn.NUMBERVALUE(SUBSTITUTE(LEFT(TRIM(C474),FIND(" ",TRIM(C474)&amp;" ")-1),",","."),"."),LEFT(SUBSTITUTE(LEFT(TRIM(C474),FIND(" ",TRIM(C474)&amp;" ")-1),",","."),FIND("/",SUBSTITUTE(LEFT(TRIM(C474),FIND(" ",TRIM(C474)&amp;" ")-1),",","."))-1)/MID(SUBSTITUTE(LEFT(TRIM(C474),FIND(" ",TRIM(C474)&amp;" ")-1),",","."),FIND("/",SUBSTITUTE(LEFT(TRIM(C474),FIND(" ",TRIM(C474)&amp;" ")-1),",","."))+1,9))*12,NA()))),0),24)*'Aturan &amp; Tarif'!$B$4,2)</f>
        <v>1362.72</v>
      </c>
      <c r="K474" s="42" t="n">
        <f aca="false">'Aturan &amp; Tarif'!$B$5</f>
        <v>2050</v>
      </c>
      <c r="L474" s="42" t="n">
        <f aca="false">'Aturan &amp; Tarif'!$B$6</f>
        <v>350</v>
      </c>
      <c r="M474" s="35" t="n">
        <f aca="false">I474+J474+K474+L474</f>
        <v>21762.72</v>
      </c>
      <c r="N474" s="44" t="s">
        <v>1056</v>
      </c>
    </row>
    <row r="475" customFormat="false" ht="25.5" hidden="false" customHeight="true" outlineLevel="0" collapsed="false">
      <c r="A475" s="39"/>
      <c r="B475" s="40" t="s">
        <v>1077</v>
      </c>
      <c r="C475" s="41" t="s">
        <v>107</v>
      </c>
      <c r="D475" s="41" t="s">
        <v>108</v>
      </c>
      <c r="E475" s="42" t="n">
        <v>7950</v>
      </c>
      <c r="F475" s="42"/>
      <c r="G475" s="42"/>
      <c r="H475" s="43" t="n">
        <v>2</v>
      </c>
      <c r="I475" s="34" t="n">
        <f aca="false">E475*H475+N(F475)+N(G475)</f>
        <v>15900</v>
      </c>
      <c r="J475" s="42" t="n">
        <f aca="false">ROUND(IFERROR(ROUND(IF(OR(ISNUMBER(SEARCH("week",C475)),ISNUMBER(SEARCH("minggu",C475))),IFERROR(_xlfn.NUMBERVALUE(SUBSTITUTE(LEFT(TRIM(C475),FIND(" ",TRIM(C475)&amp;" ")-1),",","."),"."),LEFT(SUBSTITUTE(LEFT(TRIM(C475),FIND(" ",TRIM(C475)&amp;" ")-1),",","."),FIND("/",SUBSTITUTE(LEFT(TRIM(C475),FIND(" ",TRIM(C475)&amp;" ")-1),",","."))-1)/MID(SUBSTITUTE(LEFT(TRIM(C475),FIND(" ",TRIM(C475)&amp;" ")-1),",","."),FIND("/",SUBSTITUTE(LEFT(TRIM(C475),FIND(" ",TRIM(C475)&amp;" ")-1),",","."))+1,9))*12/52,IF(ISNUMBER(SEARCH("month",C475)),IFERROR(_xlfn.NUMBERVALUE(SUBSTITUTE(LEFT(TRIM(C475),FIND(" ",TRIM(C475)&amp;" ")-1),",","."),"."),LEFT(SUBSTITUTE(LEFT(TRIM(C475),FIND(" ",TRIM(C475)&amp;" ")-1),",","."),FIND("/",SUBSTITUTE(LEFT(TRIM(C475),FIND(" ",TRIM(C475)&amp;" ")-1),",","."))-1)/MID(SUBSTITUTE(LEFT(TRIM(C475),FIND(" ",TRIM(C475)&amp;" ")-1),",","."),FIND("/",SUBSTITUTE(LEFT(TRIM(C475),FIND(" ",TRIM(C475)&amp;" ")-1),",","."))+1,9)),IF(ISNUMBER(SEARCH("yea",C475)),IFERROR(_xlfn.NUMBERVALUE(SUBSTITUTE(LEFT(TRIM(C475),FIND(" ",TRIM(C475)&amp;" ")-1),",","."),"."),LEFT(SUBSTITUTE(LEFT(TRIM(C475),FIND(" ",TRIM(C475)&amp;" ")-1),",","."),FIND("/",SUBSTITUTE(LEFT(TRIM(C475),FIND(" ",TRIM(C475)&amp;" ")-1),",","."))-1)/MID(SUBSTITUTE(LEFT(TRIM(C475),FIND(" ",TRIM(C475)&amp;" ")-1),",","."),FIND("/",SUBSTITUTE(LEFT(TRIM(C475),FIND(" ",TRIM(C475)&amp;" ")-1),",","."))+1,9))*12,NA()))),0),24)*'Aturan &amp; Tarif'!$B$4,2)</f>
        <v>1362.72</v>
      </c>
      <c r="K475" s="42" t="n">
        <f aca="false">'Aturan &amp; Tarif'!$B$5</f>
        <v>2050</v>
      </c>
      <c r="L475" s="42" t="n">
        <f aca="false">'Aturan &amp; Tarif'!$B$6</f>
        <v>350</v>
      </c>
      <c r="M475" s="35" t="n">
        <f aca="false">I475+J475+K475+L475</f>
        <v>19662.72</v>
      </c>
      <c r="N475" s="44" t="s">
        <v>1036</v>
      </c>
    </row>
    <row r="476" customFormat="false" ht="60" hidden="false" customHeight="true" outlineLevel="0" collapsed="false">
      <c r="A476" s="39"/>
      <c r="B476" s="40" t="s">
        <v>1078</v>
      </c>
      <c r="C476" s="41" t="s">
        <v>107</v>
      </c>
      <c r="D476" s="41" t="s">
        <v>108</v>
      </c>
      <c r="E476" s="42" t="n">
        <v>20635</v>
      </c>
      <c r="F476" s="42"/>
      <c r="G476" s="42"/>
      <c r="H476" s="43" t="n">
        <v>2</v>
      </c>
      <c r="I476" s="34" t="n">
        <f aca="false">E476*H476+N(F476)+N(G476)</f>
        <v>41270</v>
      </c>
      <c r="J476" s="42" t="n">
        <f aca="false">ROUND(IFERROR(ROUND(IF(OR(ISNUMBER(SEARCH("week",C476)),ISNUMBER(SEARCH("minggu",C476))),IFERROR(_xlfn.NUMBERVALUE(SUBSTITUTE(LEFT(TRIM(C476),FIND(" ",TRIM(C476)&amp;" ")-1),",","."),"."),LEFT(SUBSTITUTE(LEFT(TRIM(C476),FIND(" ",TRIM(C476)&amp;" ")-1),",","."),FIND("/",SUBSTITUTE(LEFT(TRIM(C476),FIND(" ",TRIM(C476)&amp;" ")-1),",","."))-1)/MID(SUBSTITUTE(LEFT(TRIM(C476),FIND(" ",TRIM(C476)&amp;" ")-1),",","."),FIND("/",SUBSTITUTE(LEFT(TRIM(C476),FIND(" ",TRIM(C476)&amp;" ")-1),",","."))+1,9))*12/52,IF(ISNUMBER(SEARCH("month",C476)),IFERROR(_xlfn.NUMBERVALUE(SUBSTITUTE(LEFT(TRIM(C476),FIND(" ",TRIM(C476)&amp;" ")-1),",","."),"."),LEFT(SUBSTITUTE(LEFT(TRIM(C476),FIND(" ",TRIM(C476)&amp;" ")-1),",","."),FIND("/",SUBSTITUTE(LEFT(TRIM(C476),FIND(" ",TRIM(C476)&amp;" ")-1),",","."))-1)/MID(SUBSTITUTE(LEFT(TRIM(C476),FIND(" ",TRIM(C476)&amp;" ")-1),",","."),FIND("/",SUBSTITUTE(LEFT(TRIM(C476),FIND(" ",TRIM(C476)&amp;" ")-1),",","."))+1,9)),IF(ISNUMBER(SEARCH("yea",C476)),IFERROR(_xlfn.NUMBERVALUE(SUBSTITUTE(LEFT(TRIM(C476),FIND(" ",TRIM(C476)&amp;" ")-1),",","."),"."),LEFT(SUBSTITUTE(LEFT(TRIM(C476),FIND(" ",TRIM(C476)&amp;" ")-1),",","."),FIND("/",SUBSTITUTE(LEFT(TRIM(C476),FIND(" ",TRIM(C476)&amp;" ")-1),",","."))-1)/MID(SUBSTITUTE(LEFT(TRIM(C476),FIND(" ",TRIM(C476)&amp;" ")-1),",","."),FIND("/",SUBSTITUTE(LEFT(TRIM(C476),FIND(" ",TRIM(C476)&amp;" ")-1),",","."))+1,9))*12,NA()))),0),24)*'Aturan &amp; Tarif'!$B$4,2)</f>
        <v>1362.72</v>
      </c>
      <c r="K476" s="42" t="n">
        <f aca="false">'Aturan &amp; Tarif'!$B$5</f>
        <v>2050</v>
      </c>
      <c r="L476" s="42" t="n">
        <f aca="false">'Aturan &amp; Tarif'!$B$6</f>
        <v>350</v>
      </c>
      <c r="M476" s="35" t="n">
        <f aca="false">I476+J476+K476+L476</f>
        <v>45032.72</v>
      </c>
      <c r="N476" s="45" t="s">
        <v>1079</v>
      </c>
    </row>
    <row r="477" customFormat="false" ht="60" hidden="false" customHeight="true" outlineLevel="0" collapsed="false">
      <c r="A477" s="39"/>
      <c r="B477" s="40" t="s">
        <v>2465</v>
      </c>
      <c r="C477" s="41" t="s">
        <v>130</v>
      </c>
      <c r="D477" s="41" t="s">
        <v>108</v>
      </c>
      <c r="E477" s="42" t="n">
        <v>9375</v>
      </c>
      <c r="F477" s="42"/>
      <c r="G477" s="42"/>
      <c r="H477" s="43" t="n">
        <v>2</v>
      </c>
      <c r="I477" s="34" t="n">
        <f aca="false">E477*H477+N(F477)+N(G477)</f>
        <v>18750</v>
      </c>
      <c r="J477" s="42" t="n">
        <f aca="false">ROUND(IFERROR(ROUND(IF(OR(ISNUMBER(SEARCH("week",C477)),ISNUMBER(SEARCH("minggu",C477))),IFERROR(_xlfn.NUMBERVALUE(SUBSTITUTE(LEFT(TRIM(C477),FIND(" ",TRIM(C477)&amp;" ")-1),",","."),"."),LEFT(SUBSTITUTE(LEFT(TRIM(C477),FIND(" ",TRIM(C477)&amp;" ")-1),",","."),FIND("/",SUBSTITUTE(LEFT(TRIM(C477),FIND(" ",TRIM(C477)&amp;" ")-1),",","."))-1)/MID(SUBSTITUTE(LEFT(TRIM(C477),FIND(" ",TRIM(C477)&amp;" ")-1),",","."),FIND("/",SUBSTITUTE(LEFT(TRIM(C477),FIND(" ",TRIM(C477)&amp;" ")-1),",","."))+1,9))*12/52,IF(ISNUMBER(SEARCH("month",C477)),IFERROR(_xlfn.NUMBERVALUE(SUBSTITUTE(LEFT(TRIM(C477),FIND(" ",TRIM(C477)&amp;" ")-1),",","."),"."),LEFT(SUBSTITUTE(LEFT(TRIM(C477),FIND(" ",TRIM(C477)&amp;" ")-1),",","."),FIND("/",SUBSTITUTE(LEFT(TRIM(C477),FIND(" ",TRIM(C477)&amp;" ")-1),",","."))-1)/MID(SUBSTITUTE(LEFT(TRIM(C477),FIND(" ",TRIM(C477)&amp;" ")-1),",","."),FIND("/",SUBSTITUTE(LEFT(TRIM(C477),FIND(" ",TRIM(C477)&amp;" ")-1),",","."))+1,9)),IF(ISNUMBER(SEARCH("yea",C477)),IFERROR(_xlfn.NUMBERVALUE(SUBSTITUTE(LEFT(TRIM(C477),FIND(" ",TRIM(C477)&amp;" ")-1),",","."),"."),LEFT(SUBSTITUTE(LEFT(TRIM(C477),FIND(" ",TRIM(C477)&amp;" ")-1),",","."),FIND("/",SUBSTITUTE(LEFT(TRIM(C477),FIND(" ",TRIM(C477)&amp;" ")-1),",","."))-1)/MID(SUBSTITUTE(LEFT(TRIM(C477),FIND(" ",TRIM(C477)&amp;" ")-1),",","."),FIND("/",SUBSTITUTE(LEFT(TRIM(C477),FIND(" ",TRIM(C477)&amp;" ")-1),",","."))+1,9))*12,NA()))),0),12)*'Aturan &amp; Tarif'!$B$4,2)</f>
        <v>681.36</v>
      </c>
      <c r="K477" s="42" t="n">
        <f aca="false">'Aturan &amp; Tarif'!$B$5</f>
        <v>2050</v>
      </c>
      <c r="L477" s="42" t="n">
        <f aca="false">'Aturan &amp; Tarif'!$B$6</f>
        <v>350</v>
      </c>
      <c r="M477" s="35" t="n">
        <f aca="false">I477+J477+K477+L477</f>
        <v>21831.36</v>
      </c>
      <c r="N477" s="44" t="s">
        <v>2466</v>
      </c>
    </row>
    <row r="478" customFormat="false" ht="60" hidden="false" customHeight="true" outlineLevel="0" collapsed="false">
      <c r="A478" s="39"/>
      <c r="B478" s="40" t="s">
        <v>1080</v>
      </c>
      <c r="C478" s="41" t="s">
        <v>113</v>
      </c>
      <c r="D478" s="41" t="s">
        <v>108</v>
      </c>
      <c r="E478" s="42" t="n">
        <v>6250</v>
      </c>
      <c r="F478" s="42"/>
      <c r="G478" s="42"/>
      <c r="H478" s="43" t="n">
        <v>2</v>
      </c>
      <c r="I478" s="34" t="n">
        <f aca="false">E478*H478+N(F478)+N(G478)</f>
        <v>12500</v>
      </c>
      <c r="J478" s="42" t="n">
        <f aca="false">ROUND(IFERROR(ROUND(IF(OR(ISNUMBER(SEARCH("week",C478)),ISNUMBER(SEARCH("minggu",C478))),IFERROR(_xlfn.NUMBERVALUE(SUBSTITUTE(LEFT(TRIM(C478),FIND(" ",TRIM(C478)&amp;" ")-1),",","."),"."),LEFT(SUBSTITUTE(LEFT(TRIM(C478),FIND(" ",TRIM(C478)&amp;" ")-1),",","."),FIND("/",SUBSTITUTE(LEFT(TRIM(C478),FIND(" ",TRIM(C478)&amp;" ")-1),",","."))-1)/MID(SUBSTITUTE(LEFT(TRIM(C478),FIND(" ",TRIM(C478)&amp;" ")-1),",","."),FIND("/",SUBSTITUTE(LEFT(TRIM(C478),FIND(" ",TRIM(C478)&amp;" ")-1),",","."))+1,9))*12/52,IF(ISNUMBER(SEARCH("month",C478)),IFERROR(_xlfn.NUMBERVALUE(SUBSTITUTE(LEFT(TRIM(C478),FIND(" ",TRIM(C478)&amp;" ")-1),",","."),"."),LEFT(SUBSTITUTE(LEFT(TRIM(C478),FIND(" ",TRIM(C478)&amp;" ")-1),",","."),FIND("/",SUBSTITUTE(LEFT(TRIM(C478),FIND(" ",TRIM(C478)&amp;" ")-1),",","."))-1)/MID(SUBSTITUTE(LEFT(TRIM(C478),FIND(" ",TRIM(C478)&amp;" ")-1),",","."),FIND("/",SUBSTITUTE(LEFT(TRIM(C478),FIND(" ",TRIM(C478)&amp;" ")-1),",","."))+1,9)),IF(ISNUMBER(SEARCH("yea",C478)),IFERROR(_xlfn.NUMBERVALUE(SUBSTITUTE(LEFT(TRIM(C478),FIND(" ",TRIM(C478)&amp;" ")-1),",","."),"."),LEFT(SUBSTITUTE(LEFT(TRIM(C478),FIND(" ",TRIM(C478)&amp;" ")-1),",","."),FIND("/",SUBSTITUTE(LEFT(TRIM(C478),FIND(" ",TRIM(C478)&amp;" ")-1),",","."))-1)/MID(SUBSTITUTE(LEFT(TRIM(C478),FIND(" ",TRIM(C478)&amp;" ")-1),",","."),FIND("/",SUBSTITUTE(LEFT(TRIM(C478),FIND(" ",TRIM(C478)&amp;" ")-1),",","."))+1,9))*12,NA()))),0),18)*'Aturan &amp; Tarif'!$B$4,2)</f>
        <v>1022.04</v>
      </c>
      <c r="K478" s="42" t="n">
        <f aca="false">'Aturan &amp; Tarif'!$B$5</f>
        <v>2050</v>
      </c>
      <c r="L478" s="42" t="n">
        <f aca="false">'Aturan &amp; Tarif'!$B$6</f>
        <v>350</v>
      </c>
      <c r="M478" s="35" t="n">
        <f aca="false">I478+J478+K478+L478</f>
        <v>15922.04</v>
      </c>
      <c r="N478" s="44" t="s">
        <v>2959</v>
      </c>
    </row>
    <row r="479" customFormat="false" ht="60" hidden="false" customHeight="true" outlineLevel="0" collapsed="false">
      <c r="A479" s="39"/>
      <c r="B479" s="40" t="s">
        <v>1082</v>
      </c>
      <c r="C479" s="41" t="s">
        <v>127</v>
      </c>
      <c r="D479" s="41" t="s">
        <v>108</v>
      </c>
      <c r="E479" s="42" t="n">
        <v>9375</v>
      </c>
      <c r="F479" s="42"/>
      <c r="G479" s="42"/>
      <c r="H479" s="43" t="n">
        <v>2</v>
      </c>
      <c r="I479" s="34" t="n">
        <f aca="false">E479*H479+N(F479)+N(G479)</f>
        <v>18750</v>
      </c>
      <c r="J479" s="42" t="n">
        <f aca="false">ROUND(IFERROR(ROUND(IF(OR(ISNUMBER(SEARCH("week",C479)),ISNUMBER(SEARCH("minggu",C479))),IFERROR(_xlfn.NUMBERVALUE(SUBSTITUTE(LEFT(TRIM(C479),FIND(" ",TRIM(C479)&amp;" ")-1),",","."),"."),LEFT(SUBSTITUTE(LEFT(TRIM(C479),FIND(" ",TRIM(C479)&amp;" ")-1),",","."),FIND("/",SUBSTITUTE(LEFT(TRIM(C479),FIND(" ",TRIM(C479)&amp;" ")-1),",","."))-1)/MID(SUBSTITUTE(LEFT(TRIM(C479),FIND(" ",TRIM(C479)&amp;" ")-1),",","."),FIND("/",SUBSTITUTE(LEFT(TRIM(C479),FIND(" ",TRIM(C479)&amp;" ")-1),",","."))+1,9))*12/52,IF(ISNUMBER(SEARCH("month",C479)),IFERROR(_xlfn.NUMBERVALUE(SUBSTITUTE(LEFT(TRIM(C479),FIND(" ",TRIM(C479)&amp;" ")-1),",","."),"."),LEFT(SUBSTITUTE(LEFT(TRIM(C479),FIND(" ",TRIM(C479)&amp;" ")-1),",","."),FIND("/",SUBSTITUTE(LEFT(TRIM(C479),FIND(" ",TRIM(C479)&amp;" ")-1),",","."))-1)/MID(SUBSTITUTE(LEFT(TRIM(C479),FIND(" ",TRIM(C479)&amp;" ")-1),",","."),FIND("/",SUBSTITUTE(LEFT(TRIM(C479),FIND(" ",TRIM(C479)&amp;" ")-1),",","."))+1,9)),IF(ISNUMBER(SEARCH("yea",C479)),IFERROR(_xlfn.NUMBERVALUE(SUBSTITUTE(LEFT(TRIM(C479),FIND(" ",TRIM(C479)&amp;" ")-1),",","."),"."),LEFT(SUBSTITUTE(LEFT(TRIM(C479),FIND(" ",TRIM(C479)&amp;" ")-1),",","."),FIND("/",SUBSTITUTE(LEFT(TRIM(C479),FIND(" ",TRIM(C479)&amp;" ")-1),",","."))-1)/MID(SUBSTITUTE(LEFT(TRIM(C479),FIND(" ",TRIM(C479)&amp;" ")-1),",","."),FIND("/",SUBSTITUTE(LEFT(TRIM(C479),FIND(" ",TRIM(C479)&amp;" ")-1),",","."))+1,9))*12,NA()))),0),36)*'Aturan &amp; Tarif'!$B$4,2)</f>
        <v>2044.08</v>
      </c>
      <c r="K479" s="42" t="n">
        <f aca="false">'Aturan &amp; Tarif'!$B$5</f>
        <v>2050</v>
      </c>
      <c r="L479" s="42" t="n">
        <f aca="false">'Aturan &amp; Tarif'!$B$6</f>
        <v>350</v>
      </c>
      <c r="M479" s="35" t="n">
        <f aca="false">I479+J479+K479+L479</f>
        <v>23194.08</v>
      </c>
      <c r="N479" s="44" t="s">
        <v>2960</v>
      </c>
    </row>
    <row r="480" customFormat="false" ht="60" hidden="false" customHeight="true" outlineLevel="0" collapsed="false">
      <c r="A480" s="39"/>
      <c r="B480" s="40" t="s">
        <v>1084</v>
      </c>
      <c r="C480" s="41" t="s">
        <v>130</v>
      </c>
      <c r="D480" s="41" t="s">
        <v>108</v>
      </c>
      <c r="E480" s="42" t="n">
        <v>9375</v>
      </c>
      <c r="F480" s="42"/>
      <c r="G480" s="42"/>
      <c r="H480" s="43" t="n">
        <v>2</v>
      </c>
      <c r="I480" s="34" t="n">
        <f aca="false">E480*H480+N(F480)+N(G480)</f>
        <v>18750</v>
      </c>
      <c r="J480" s="42" t="n">
        <f aca="false">ROUND(IFERROR(ROUND(IF(OR(ISNUMBER(SEARCH("week",C480)),ISNUMBER(SEARCH("minggu",C480))),IFERROR(_xlfn.NUMBERVALUE(SUBSTITUTE(LEFT(TRIM(C480),FIND(" ",TRIM(C480)&amp;" ")-1),",","."),"."),LEFT(SUBSTITUTE(LEFT(TRIM(C480),FIND(" ",TRIM(C480)&amp;" ")-1),",","."),FIND("/",SUBSTITUTE(LEFT(TRIM(C480),FIND(" ",TRIM(C480)&amp;" ")-1),",","."))-1)/MID(SUBSTITUTE(LEFT(TRIM(C480),FIND(" ",TRIM(C480)&amp;" ")-1),",","."),FIND("/",SUBSTITUTE(LEFT(TRIM(C480),FIND(" ",TRIM(C480)&amp;" ")-1),",","."))+1,9))*12/52,IF(ISNUMBER(SEARCH("month",C480)),IFERROR(_xlfn.NUMBERVALUE(SUBSTITUTE(LEFT(TRIM(C480),FIND(" ",TRIM(C480)&amp;" ")-1),",","."),"."),LEFT(SUBSTITUTE(LEFT(TRIM(C480),FIND(" ",TRIM(C480)&amp;" ")-1),",","."),FIND("/",SUBSTITUTE(LEFT(TRIM(C480),FIND(" ",TRIM(C480)&amp;" ")-1),",","."))-1)/MID(SUBSTITUTE(LEFT(TRIM(C480),FIND(" ",TRIM(C480)&amp;" ")-1),",","."),FIND("/",SUBSTITUTE(LEFT(TRIM(C480),FIND(" ",TRIM(C480)&amp;" ")-1),",","."))+1,9)),IF(ISNUMBER(SEARCH("yea",C480)),IFERROR(_xlfn.NUMBERVALUE(SUBSTITUTE(LEFT(TRIM(C480),FIND(" ",TRIM(C480)&amp;" ")-1),",","."),"."),LEFT(SUBSTITUTE(LEFT(TRIM(C480),FIND(" ",TRIM(C480)&amp;" ")-1),",","."),FIND("/",SUBSTITUTE(LEFT(TRIM(C480),FIND(" ",TRIM(C480)&amp;" ")-1),",","."))-1)/MID(SUBSTITUTE(LEFT(TRIM(C480),FIND(" ",TRIM(C480)&amp;" ")-1),",","."),FIND("/",SUBSTITUTE(LEFT(TRIM(C480),FIND(" ",TRIM(C480)&amp;" ")-1),",","."))+1,9))*12,NA()))),0),12)*'Aturan &amp; Tarif'!$B$4,2)</f>
        <v>681.36</v>
      </c>
      <c r="K480" s="42" t="n">
        <f aca="false">'Aturan &amp; Tarif'!$B$5</f>
        <v>2050</v>
      </c>
      <c r="L480" s="42" t="n">
        <f aca="false">'Aturan &amp; Tarif'!$B$6</f>
        <v>350</v>
      </c>
      <c r="M480" s="35" t="n">
        <f aca="false">I480+J480+K480+L480</f>
        <v>21831.36</v>
      </c>
      <c r="N480" s="44" t="s">
        <v>1085</v>
      </c>
    </row>
    <row r="481" customFormat="false" ht="60" hidden="false" customHeight="true" outlineLevel="0" collapsed="false">
      <c r="A481" s="39"/>
      <c r="B481" s="40" t="s">
        <v>1086</v>
      </c>
      <c r="C481" s="41" t="s">
        <v>130</v>
      </c>
      <c r="D481" s="41" t="s">
        <v>108</v>
      </c>
      <c r="E481" s="42" t="n">
        <v>9375</v>
      </c>
      <c r="F481" s="42"/>
      <c r="G481" s="42"/>
      <c r="H481" s="43" t="n">
        <v>2</v>
      </c>
      <c r="I481" s="34" t="n">
        <f aca="false">E481*H481+N(F481)+N(G481)</f>
        <v>18750</v>
      </c>
      <c r="J481" s="42" t="n">
        <f aca="false">ROUND(IFERROR(ROUND(IF(OR(ISNUMBER(SEARCH("week",C481)),ISNUMBER(SEARCH("minggu",C481))),IFERROR(_xlfn.NUMBERVALUE(SUBSTITUTE(LEFT(TRIM(C481),FIND(" ",TRIM(C481)&amp;" ")-1),",","."),"."),LEFT(SUBSTITUTE(LEFT(TRIM(C481),FIND(" ",TRIM(C481)&amp;" ")-1),",","."),FIND("/",SUBSTITUTE(LEFT(TRIM(C481),FIND(" ",TRIM(C481)&amp;" ")-1),",","."))-1)/MID(SUBSTITUTE(LEFT(TRIM(C481),FIND(" ",TRIM(C481)&amp;" ")-1),",","."),FIND("/",SUBSTITUTE(LEFT(TRIM(C481),FIND(" ",TRIM(C481)&amp;" ")-1),",","."))+1,9))*12/52,IF(ISNUMBER(SEARCH("month",C481)),IFERROR(_xlfn.NUMBERVALUE(SUBSTITUTE(LEFT(TRIM(C481),FIND(" ",TRIM(C481)&amp;" ")-1),",","."),"."),LEFT(SUBSTITUTE(LEFT(TRIM(C481),FIND(" ",TRIM(C481)&amp;" ")-1),",","."),FIND("/",SUBSTITUTE(LEFT(TRIM(C481),FIND(" ",TRIM(C481)&amp;" ")-1),",","."))-1)/MID(SUBSTITUTE(LEFT(TRIM(C481),FIND(" ",TRIM(C481)&amp;" ")-1),",","."),FIND("/",SUBSTITUTE(LEFT(TRIM(C481),FIND(" ",TRIM(C481)&amp;" ")-1),",","."))+1,9)),IF(ISNUMBER(SEARCH("yea",C481)),IFERROR(_xlfn.NUMBERVALUE(SUBSTITUTE(LEFT(TRIM(C481),FIND(" ",TRIM(C481)&amp;" ")-1),",","."),"."),LEFT(SUBSTITUTE(LEFT(TRIM(C481),FIND(" ",TRIM(C481)&amp;" ")-1),",","."),FIND("/",SUBSTITUTE(LEFT(TRIM(C481),FIND(" ",TRIM(C481)&amp;" ")-1),",","."))-1)/MID(SUBSTITUTE(LEFT(TRIM(C481),FIND(" ",TRIM(C481)&amp;" ")-1),",","."),FIND("/",SUBSTITUTE(LEFT(TRIM(C481),FIND(" ",TRIM(C481)&amp;" ")-1),",","."))+1,9))*12,NA()))),0),12)*'Aturan &amp; Tarif'!$B$4,2)</f>
        <v>681.36</v>
      </c>
      <c r="K481" s="42" t="n">
        <f aca="false">'Aturan &amp; Tarif'!$B$5</f>
        <v>2050</v>
      </c>
      <c r="L481" s="42" t="n">
        <f aca="false">'Aturan &amp; Tarif'!$B$6</f>
        <v>350</v>
      </c>
      <c r="M481" s="35" t="n">
        <f aca="false">I481+J481+K481+L481</f>
        <v>21831.36</v>
      </c>
      <c r="N481" s="44" t="s">
        <v>1087</v>
      </c>
    </row>
    <row r="482" customFormat="false" ht="60" hidden="false" customHeight="true" outlineLevel="0" collapsed="false">
      <c r="A482" s="39"/>
      <c r="B482" s="40" t="s">
        <v>1088</v>
      </c>
      <c r="C482" s="41" t="s">
        <v>127</v>
      </c>
      <c r="D482" s="41" t="s">
        <v>108</v>
      </c>
      <c r="E482" s="42" t="n">
        <v>9375</v>
      </c>
      <c r="F482" s="42"/>
      <c r="G482" s="42"/>
      <c r="H482" s="43" t="n">
        <v>2</v>
      </c>
      <c r="I482" s="34" t="n">
        <f aca="false">E482*H482+N(F482)+N(G482)</f>
        <v>18750</v>
      </c>
      <c r="J482" s="42" t="n">
        <f aca="false">ROUND(IFERROR(ROUND(IF(OR(ISNUMBER(SEARCH("week",C482)),ISNUMBER(SEARCH("minggu",C482))),IFERROR(_xlfn.NUMBERVALUE(SUBSTITUTE(LEFT(TRIM(C482),FIND(" ",TRIM(C482)&amp;" ")-1),",","."),"."),LEFT(SUBSTITUTE(LEFT(TRIM(C482),FIND(" ",TRIM(C482)&amp;" ")-1),",","."),FIND("/",SUBSTITUTE(LEFT(TRIM(C482),FIND(" ",TRIM(C482)&amp;" ")-1),",","."))-1)/MID(SUBSTITUTE(LEFT(TRIM(C482),FIND(" ",TRIM(C482)&amp;" ")-1),",","."),FIND("/",SUBSTITUTE(LEFT(TRIM(C482),FIND(" ",TRIM(C482)&amp;" ")-1),",","."))+1,9))*12/52,IF(ISNUMBER(SEARCH("month",C482)),IFERROR(_xlfn.NUMBERVALUE(SUBSTITUTE(LEFT(TRIM(C482),FIND(" ",TRIM(C482)&amp;" ")-1),",","."),"."),LEFT(SUBSTITUTE(LEFT(TRIM(C482),FIND(" ",TRIM(C482)&amp;" ")-1),",","."),FIND("/",SUBSTITUTE(LEFT(TRIM(C482),FIND(" ",TRIM(C482)&amp;" ")-1),",","."))-1)/MID(SUBSTITUTE(LEFT(TRIM(C482),FIND(" ",TRIM(C482)&amp;" ")-1),",","."),FIND("/",SUBSTITUTE(LEFT(TRIM(C482),FIND(" ",TRIM(C482)&amp;" ")-1),",","."))+1,9)),IF(ISNUMBER(SEARCH("yea",C482)),IFERROR(_xlfn.NUMBERVALUE(SUBSTITUTE(LEFT(TRIM(C482),FIND(" ",TRIM(C482)&amp;" ")-1),",","."),"."),LEFT(SUBSTITUTE(LEFT(TRIM(C482),FIND(" ",TRIM(C482)&amp;" ")-1),",","."),FIND("/",SUBSTITUTE(LEFT(TRIM(C482),FIND(" ",TRIM(C482)&amp;" ")-1),",","."))-1)/MID(SUBSTITUTE(LEFT(TRIM(C482),FIND(" ",TRIM(C482)&amp;" ")-1),",","."),FIND("/",SUBSTITUTE(LEFT(TRIM(C482),FIND(" ",TRIM(C482)&amp;" ")-1),",","."))+1,9))*12,NA()))),0),36)*'Aturan &amp; Tarif'!$B$4,2)</f>
        <v>2044.08</v>
      </c>
      <c r="K482" s="42" t="n">
        <f aca="false">'Aturan &amp; Tarif'!$B$5</f>
        <v>2050</v>
      </c>
      <c r="L482" s="42" t="n">
        <f aca="false">'Aturan &amp; Tarif'!$B$6</f>
        <v>350</v>
      </c>
      <c r="M482" s="35" t="n">
        <f aca="false">I482+J482+K482+L482</f>
        <v>23194.08</v>
      </c>
      <c r="N482" s="44" t="s">
        <v>1089</v>
      </c>
    </row>
    <row r="483" customFormat="false" ht="60" hidden="false" customHeight="true" outlineLevel="0" collapsed="false">
      <c r="A483" s="39"/>
      <c r="B483" s="40" t="s">
        <v>1090</v>
      </c>
      <c r="C483" s="41" t="s">
        <v>127</v>
      </c>
      <c r="D483" s="41" t="s">
        <v>108</v>
      </c>
      <c r="E483" s="42" t="n">
        <v>9375</v>
      </c>
      <c r="F483" s="42"/>
      <c r="G483" s="42"/>
      <c r="H483" s="43" t="n">
        <v>2</v>
      </c>
      <c r="I483" s="34" t="n">
        <f aca="false">E483*H483+N(F483)+N(G483)</f>
        <v>18750</v>
      </c>
      <c r="J483" s="42" t="n">
        <f aca="false">ROUND(IFERROR(ROUND(IF(OR(ISNUMBER(SEARCH("week",C483)),ISNUMBER(SEARCH("minggu",C483))),IFERROR(_xlfn.NUMBERVALUE(SUBSTITUTE(LEFT(TRIM(C483),FIND(" ",TRIM(C483)&amp;" ")-1),",","."),"."),LEFT(SUBSTITUTE(LEFT(TRIM(C483),FIND(" ",TRIM(C483)&amp;" ")-1),",","."),FIND("/",SUBSTITUTE(LEFT(TRIM(C483),FIND(" ",TRIM(C483)&amp;" ")-1),",","."))-1)/MID(SUBSTITUTE(LEFT(TRIM(C483),FIND(" ",TRIM(C483)&amp;" ")-1),",","."),FIND("/",SUBSTITUTE(LEFT(TRIM(C483),FIND(" ",TRIM(C483)&amp;" ")-1),",","."))+1,9))*12/52,IF(ISNUMBER(SEARCH("month",C483)),IFERROR(_xlfn.NUMBERVALUE(SUBSTITUTE(LEFT(TRIM(C483),FIND(" ",TRIM(C483)&amp;" ")-1),",","."),"."),LEFT(SUBSTITUTE(LEFT(TRIM(C483),FIND(" ",TRIM(C483)&amp;" ")-1),",","."),FIND("/",SUBSTITUTE(LEFT(TRIM(C483),FIND(" ",TRIM(C483)&amp;" ")-1),",","."))-1)/MID(SUBSTITUTE(LEFT(TRIM(C483),FIND(" ",TRIM(C483)&amp;" ")-1),",","."),FIND("/",SUBSTITUTE(LEFT(TRIM(C483),FIND(" ",TRIM(C483)&amp;" ")-1),",","."))+1,9)),IF(ISNUMBER(SEARCH("yea",C483)),IFERROR(_xlfn.NUMBERVALUE(SUBSTITUTE(LEFT(TRIM(C483),FIND(" ",TRIM(C483)&amp;" ")-1),",","."),"."),LEFT(SUBSTITUTE(LEFT(TRIM(C483),FIND(" ",TRIM(C483)&amp;" ")-1),",","."),FIND("/",SUBSTITUTE(LEFT(TRIM(C483),FIND(" ",TRIM(C483)&amp;" ")-1),",","."))-1)/MID(SUBSTITUTE(LEFT(TRIM(C483),FIND(" ",TRIM(C483)&amp;" ")-1),",","."),FIND("/",SUBSTITUTE(LEFT(TRIM(C483),FIND(" ",TRIM(C483)&amp;" ")-1),",","."))+1,9))*12,NA()))),0),36)*'Aturan &amp; Tarif'!$B$4,2)</f>
        <v>2044.08</v>
      </c>
      <c r="K483" s="42" t="n">
        <f aca="false">'Aturan &amp; Tarif'!$B$5</f>
        <v>2050</v>
      </c>
      <c r="L483" s="42" t="n">
        <f aca="false">'Aturan &amp; Tarif'!$B$6</f>
        <v>350</v>
      </c>
      <c r="M483" s="35" t="n">
        <f aca="false">I483+J483+K483+L483</f>
        <v>23194.08</v>
      </c>
      <c r="N483" s="44" t="s">
        <v>1091</v>
      </c>
    </row>
    <row r="484" customFormat="false" ht="60" hidden="false" customHeight="true" outlineLevel="0" collapsed="false">
      <c r="A484" s="39"/>
      <c r="B484" s="40" t="s">
        <v>1092</v>
      </c>
      <c r="C484" s="41" t="s">
        <v>107</v>
      </c>
      <c r="D484" s="41" t="s">
        <v>108</v>
      </c>
      <c r="E484" s="42" t="n">
        <v>6250</v>
      </c>
      <c r="F484" s="42"/>
      <c r="G484" s="42"/>
      <c r="H484" s="43" t="n">
        <v>2</v>
      </c>
      <c r="I484" s="34" t="n">
        <f aca="false">E484*H484+N(F484)+N(G484)</f>
        <v>12500</v>
      </c>
      <c r="J484" s="42" t="n">
        <f aca="false">ROUND(IFERROR(ROUND(IF(OR(ISNUMBER(SEARCH("week",C484)),ISNUMBER(SEARCH("minggu",C484))),IFERROR(_xlfn.NUMBERVALUE(SUBSTITUTE(LEFT(TRIM(C484),FIND(" ",TRIM(C484)&amp;" ")-1),",","."),"."),LEFT(SUBSTITUTE(LEFT(TRIM(C484),FIND(" ",TRIM(C484)&amp;" ")-1),",","."),FIND("/",SUBSTITUTE(LEFT(TRIM(C484),FIND(" ",TRIM(C484)&amp;" ")-1),",","."))-1)/MID(SUBSTITUTE(LEFT(TRIM(C484),FIND(" ",TRIM(C484)&amp;" ")-1),",","."),FIND("/",SUBSTITUTE(LEFT(TRIM(C484),FIND(" ",TRIM(C484)&amp;" ")-1),",","."))+1,9))*12/52,IF(ISNUMBER(SEARCH("month",C484)),IFERROR(_xlfn.NUMBERVALUE(SUBSTITUTE(LEFT(TRIM(C484),FIND(" ",TRIM(C484)&amp;" ")-1),",","."),"."),LEFT(SUBSTITUTE(LEFT(TRIM(C484),FIND(" ",TRIM(C484)&amp;" ")-1),",","."),FIND("/",SUBSTITUTE(LEFT(TRIM(C484),FIND(" ",TRIM(C484)&amp;" ")-1),",","."))-1)/MID(SUBSTITUTE(LEFT(TRIM(C484),FIND(" ",TRIM(C484)&amp;" ")-1),",","."),FIND("/",SUBSTITUTE(LEFT(TRIM(C484),FIND(" ",TRIM(C484)&amp;" ")-1),",","."))+1,9)),IF(ISNUMBER(SEARCH("yea",C484)),IFERROR(_xlfn.NUMBERVALUE(SUBSTITUTE(LEFT(TRIM(C484),FIND(" ",TRIM(C484)&amp;" ")-1),",","."),"."),LEFT(SUBSTITUTE(LEFT(TRIM(C484),FIND(" ",TRIM(C484)&amp;" ")-1),",","."),FIND("/",SUBSTITUTE(LEFT(TRIM(C484),FIND(" ",TRIM(C484)&amp;" ")-1),",","."))-1)/MID(SUBSTITUTE(LEFT(TRIM(C484),FIND(" ",TRIM(C484)&amp;" ")-1),",","."),FIND("/",SUBSTITUTE(LEFT(TRIM(C484),FIND(" ",TRIM(C484)&amp;" ")-1),",","."))+1,9))*12,NA()))),0),24)*'Aturan &amp; Tarif'!$B$4,2)</f>
        <v>1362.72</v>
      </c>
      <c r="K484" s="42" t="n">
        <f aca="false">'Aturan &amp; Tarif'!$B$5</f>
        <v>2050</v>
      </c>
      <c r="L484" s="42" t="n">
        <f aca="false">'Aturan &amp; Tarif'!$B$6</f>
        <v>350</v>
      </c>
      <c r="M484" s="35" t="n">
        <f aca="false">I484+J484+K484+L484</f>
        <v>16262.72</v>
      </c>
      <c r="N484" s="44" t="s">
        <v>1093</v>
      </c>
    </row>
    <row r="485" customFormat="false" ht="60" hidden="false" customHeight="true" outlineLevel="0" collapsed="false">
      <c r="A485" s="39"/>
      <c r="B485" s="40" t="s">
        <v>1094</v>
      </c>
      <c r="C485" s="41" t="s">
        <v>130</v>
      </c>
      <c r="D485" s="41" t="s">
        <v>108</v>
      </c>
      <c r="E485" s="42" t="n">
        <v>6250</v>
      </c>
      <c r="F485" s="42"/>
      <c r="G485" s="42"/>
      <c r="H485" s="43" t="n">
        <v>2</v>
      </c>
      <c r="I485" s="34" t="n">
        <f aca="false">E485*H485+N(F485)+N(G485)</f>
        <v>12500</v>
      </c>
      <c r="J485" s="42" t="n">
        <f aca="false">ROUND(IFERROR(ROUND(IF(OR(ISNUMBER(SEARCH("week",C485)),ISNUMBER(SEARCH("minggu",C485))),IFERROR(_xlfn.NUMBERVALUE(SUBSTITUTE(LEFT(TRIM(C485),FIND(" ",TRIM(C485)&amp;" ")-1),",","."),"."),LEFT(SUBSTITUTE(LEFT(TRIM(C485),FIND(" ",TRIM(C485)&amp;" ")-1),",","."),FIND("/",SUBSTITUTE(LEFT(TRIM(C485),FIND(" ",TRIM(C485)&amp;" ")-1),",","."))-1)/MID(SUBSTITUTE(LEFT(TRIM(C485),FIND(" ",TRIM(C485)&amp;" ")-1),",","."),FIND("/",SUBSTITUTE(LEFT(TRIM(C485),FIND(" ",TRIM(C485)&amp;" ")-1),",","."))+1,9))*12/52,IF(ISNUMBER(SEARCH("month",C485)),IFERROR(_xlfn.NUMBERVALUE(SUBSTITUTE(LEFT(TRIM(C485),FIND(" ",TRIM(C485)&amp;" ")-1),",","."),"."),LEFT(SUBSTITUTE(LEFT(TRIM(C485),FIND(" ",TRIM(C485)&amp;" ")-1),",","."),FIND("/",SUBSTITUTE(LEFT(TRIM(C485),FIND(" ",TRIM(C485)&amp;" ")-1),",","."))-1)/MID(SUBSTITUTE(LEFT(TRIM(C485),FIND(" ",TRIM(C485)&amp;" ")-1),",","."),FIND("/",SUBSTITUTE(LEFT(TRIM(C485),FIND(" ",TRIM(C485)&amp;" ")-1),",","."))+1,9)),IF(ISNUMBER(SEARCH("yea",C485)),IFERROR(_xlfn.NUMBERVALUE(SUBSTITUTE(LEFT(TRIM(C485),FIND(" ",TRIM(C485)&amp;" ")-1),",","."),"."),LEFT(SUBSTITUTE(LEFT(TRIM(C485),FIND(" ",TRIM(C485)&amp;" ")-1),",","."),FIND("/",SUBSTITUTE(LEFT(TRIM(C485),FIND(" ",TRIM(C485)&amp;" ")-1),",","."))-1)/MID(SUBSTITUTE(LEFT(TRIM(C485),FIND(" ",TRIM(C485)&amp;" ")-1),",","."),FIND("/",SUBSTITUTE(LEFT(TRIM(C485),FIND(" ",TRIM(C485)&amp;" ")-1),",","."))+1,9))*12,NA()))),0),12)*'Aturan &amp; Tarif'!$B$4,2)</f>
        <v>681.36</v>
      </c>
      <c r="K485" s="42" t="n">
        <f aca="false">'Aturan &amp; Tarif'!$B$5</f>
        <v>2050</v>
      </c>
      <c r="L485" s="42" t="n">
        <f aca="false">'Aturan &amp; Tarif'!$B$6</f>
        <v>350</v>
      </c>
      <c r="M485" s="35" t="n">
        <f aca="false">I485+J485+K485+L485</f>
        <v>15581.36</v>
      </c>
      <c r="N485" s="44" t="s">
        <v>1095</v>
      </c>
    </row>
    <row r="486" customFormat="false" ht="60" hidden="false" customHeight="true" outlineLevel="0" collapsed="false">
      <c r="A486" s="39"/>
      <c r="B486" s="40" t="s">
        <v>1096</v>
      </c>
      <c r="C486" s="41" t="s">
        <v>130</v>
      </c>
      <c r="D486" s="41" t="s">
        <v>108</v>
      </c>
      <c r="E486" s="42" t="n">
        <v>9375</v>
      </c>
      <c r="F486" s="42"/>
      <c r="G486" s="42"/>
      <c r="H486" s="43" t="n">
        <v>2</v>
      </c>
      <c r="I486" s="34" t="n">
        <f aca="false">E486*H486+N(F486)+N(G486)</f>
        <v>18750</v>
      </c>
      <c r="J486" s="42" t="n">
        <f aca="false">ROUND(IFERROR(ROUND(IF(OR(ISNUMBER(SEARCH("week",C486)),ISNUMBER(SEARCH("minggu",C486))),IFERROR(_xlfn.NUMBERVALUE(SUBSTITUTE(LEFT(TRIM(C486),FIND(" ",TRIM(C486)&amp;" ")-1),",","."),"."),LEFT(SUBSTITUTE(LEFT(TRIM(C486),FIND(" ",TRIM(C486)&amp;" ")-1),",","."),FIND("/",SUBSTITUTE(LEFT(TRIM(C486),FIND(" ",TRIM(C486)&amp;" ")-1),",","."))-1)/MID(SUBSTITUTE(LEFT(TRIM(C486),FIND(" ",TRIM(C486)&amp;" ")-1),",","."),FIND("/",SUBSTITUTE(LEFT(TRIM(C486),FIND(" ",TRIM(C486)&amp;" ")-1),",","."))+1,9))*12/52,IF(ISNUMBER(SEARCH("month",C486)),IFERROR(_xlfn.NUMBERVALUE(SUBSTITUTE(LEFT(TRIM(C486),FIND(" ",TRIM(C486)&amp;" ")-1),",","."),"."),LEFT(SUBSTITUTE(LEFT(TRIM(C486),FIND(" ",TRIM(C486)&amp;" ")-1),",","."),FIND("/",SUBSTITUTE(LEFT(TRIM(C486),FIND(" ",TRIM(C486)&amp;" ")-1),",","."))-1)/MID(SUBSTITUTE(LEFT(TRIM(C486),FIND(" ",TRIM(C486)&amp;" ")-1),",","."),FIND("/",SUBSTITUTE(LEFT(TRIM(C486),FIND(" ",TRIM(C486)&amp;" ")-1),",","."))+1,9)),IF(ISNUMBER(SEARCH("yea",C486)),IFERROR(_xlfn.NUMBERVALUE(SUBSTITUTE(LEFT(TRIM(C486),FIND(" ",TRIM(C486)&amp;" ")-1),",","."),"."),LEFT(SUBSTITUTE(LEFT(TRIM(C486),FIND(" ",TRIM(C486)&amp;" ")-1),",","."),FIND("/",SUBSTITUTE(LEFT(TRIM(C486),FIND(" ",TRIM(C486)&amp;" ")-1),",","."))-1)/MID(SUBSTITUTE(LEFT(TRIM(C486),FIND(" ",TRIM(C486)&amp;" ")-1),",","."),FIND("/",SUBSTITUTE(LEFT(TRIM(C486),FIND(" ",TRIM(C486)&amp;" ")-1),",","."))+1,9))*12,NA()))),0),12)*'Aturan &amp; Tarif'!$B$4,2)</f>
        <v>681.36</v>
      </c>
      <c r="K486" s="42" t="n">
        <f aca="false">'Aturan &amp; Tarif'!$B$5</f>
        <v>2050</v>
      </c>
      <c r="L486" s="42" t="n">
        <f aca="false">'Aturan &amp; Tarif'!$B$6</f>
        <v>350</v>
      </c>
      <c r="M486" s="35" t="n">
        <f aca="false">I486+J486+K486+L486</f>
        <v>21831.36</v>
      </c>
      <c r="N486" s="44" t="s">
        <v>2961</v>
      </c>
    </row>
    <row r="487" customFormat="false" ht="60" hidden="false" customHeight="true" outlineLevel="0" collapsed="false">
      <c r="A487" s="39"/>
      <c r="B487" s="40" t="s">
        <v>1098</v>
      </c>
      <c r="C487" s="41" t="s">
        <v>127</v>
      </c>
      <c r="D487" s="41" t="s">
        <v>108</v>
      </c>
      <c r="E487" s="42" t="n">
        <v>9375</v>
      </c>
      <c r="F487" s="42"/>
      <c r="G487" s="42"/>
      <c r="H487" s="43" t="n">
        <v>2</v>
      </c>
      <c r="I487" s="34" t="n">
        <f aca="false">E487*H487+N(F487)+N(G487)</f>
        <v>18750</v>
      </c>
      <c r="J487" s="42" t="n">
        <f aca="false">ROUND(IFERROR(ROUND(IF(OR(ISNUMBER(SEARCH("week",C487)),ISNUMBER(SEARCH("minggu",C487))),IFERROR(_xlfn.NUMBERVALUE(SUBSTITUTE(LEFT(TRIM(C487),FIND(" ",TRIM(C487)&amp;" ")-1),",","."),"."),LEFT(SUBSTITUTE(LEFT(TRIM(C487),FIND(" ",TRIM(C487)&amp;" ")-1),",","."),FIND("/",SUBSTITUTE(LEFT(TRIM(C487),FIND(" ",TRIM(C487)&amp;" ")-1),",","."))-1)/MID(SUBSTITUTE(LEFT(TRIM(C487),FIND(" ",TRIM(C487)&amp;" ")-1),",","."),FIND("/",SUBSTITUTE(LEFT(TRIM(C487),FIND(" ",TRIM(C487)&amp;" ")-1),",","."))+1,9))*12/52,IF(ISNUMBER(SEARCH("month",C487)),IFERROR(_xlfn.NUMBERVALUE(SUBSTITUTE(LEFT(TRIM(C487),FIND(" ",TRIM(C487)&amp;" ")-1),",","."),"."),LEFT(SUBSTITUTE(LEFT(TRIM(C487),FIND(" ",TRIM(C487)&amp;" ")-1),",","."),FIND("/",SUBSTITUTE(LEFT(TRIM(C487),FIND(" ",TRIM(C487)&amp;" ")-1),",","."))-1)/MID(SUBSTITUTE(LEFT(TRIM(C487),FIND(" ",TRIM(C487)&amp;" ")-1),",","."),FIND("/",SUBSTITUTE(LEFT(TRIM(C487),FIND(" ",TRIM(C487)&amp;" ")-1),",","."))+1,9)),IF(ISNUMBER(SEARCH("yea",C487)),IFERROR(_xlfn.NUMBERVALUE(SUBSTITUTE(LEFT(TRIM(C487),FIND(" ",TRIM(C487)&amp;" ")-1),",","."),"."),LEFT(SUBSTITUTE(LEFT(TRIM(C487),FIND(" ",TRIM(C487)&amp;" ")-1),",","."),FIND("/",SUBSTITUTE(LEFT(TRIM(C487),FIND(" ",TRIM(C487)&amp;" ")-1),",","."))-1)/MID(SUBSTITUTE(LEFT(TRIM(C487),FIND(" ",TRIM(C487)&amp;" ")-1),",","."),FIND("/",SUBSTITUTE(LEFT(TRIM(C487),FIND(" ",TRIM(C487)&amp;" ")-1),",","."))+1,9))*12,NA()))),0),36)*'Aturan &amp; Tarif'!$B$4,2)</f>
        <v>2044.08</v>
      </c>
      <c r="K487" s="42" t="n">
        <f aca="false">'Aturan &amp; Tarif'!$B$5</f>
        <v>2050</v>
      </c>
      <c r="L487" s="42" t="n">
        <f aca="false">'Aturan &amp; Tarif'!$B$6</f>
        <v>350</v>
      </c>
      <c r="M487" s="35" t="n">
        <f aca="false">I487+J487+K487+L487</f>
        <v>23194.08</v>
      </c>
      <c r="N487" s="44" t="s">
        <v>1099</v>
      </c>
    </row>
    <row r="488" customFormat="false" ht="60" hidden="false" customHeight="true" outlineLevel="0" collapsed="false">
      <c r="A488" s="39"/>
      <c r="B488" s="40" t="s">
        <v>1035</v>
      </c>
      <c r="C488" s="41" t="s">
        <v>130</v>
      </c>
      <c r="D488" s="41" t="s">
        <v>108</v>
      </c>
      <c r="E488" s="42" t="n">
        <v>7900</v>
      </c>
      <c r="F488" s="42"/>
      <c r="G488" s="42"/>
      <c r="H488" s="43" t="n">
        <v>2</v>
      </c>
      <c r="I488" s="34" t="n">
        <f aca="false">E488*H488+N(F488)+N(G488)</f>
        <v>15800</v>
      </c>
      <c r="J488" s="42" t="n">
        <f aca="false">ROUND(IFERROR(ROUND(IF(OR(ISNUMBER(SEARCH("week",C488)),ISNUMBER(SEARCH("minggu",C488))),IFERROR(_xlfn.NUMBERVALUE(SUBSTITUTE(LEFT(TRIM(C488),FIND(" ",TRIM(C488)&amp;" ")-1),",","."),"."),LEFT(SUBSTITUTE(LEFT(TRIM(C488),FIND(" ",TRIM(C488)&amp;" ")-1),",","."),FIND("/",SUBSTITUTE(LEFT(TRIM(C488),FIND(" ",TRIM(C488)&amp;" ")-1),",","."))-1)/MID(SUBSTITUTE(LEFT(TRIM(C488),FIND(" ",TRIM(C488)&amp;" ")-1),",","."),FIND("/",SUBSTITUTE(LEFT(TRIM(C488),FIND(" ",TRIM(C488)&amp;" ")-1),",","."))+1,9))*12/52,IF(ISNUMBER(SEARCH("month",C488)),IFERROR(_xlfn.NUMBERVALUE(SUBSTITUTE(LEFT(TRIM(C488),FIND(" ",TRIM(C488)&amp;" ")-1),",","."),"."),LEFT(SUBSTITUTE(LEFT(TRIM(C488),FIND(" ",TRIM(C488)&amp;" ")-1),",","."),FIND("/",SUBSTITUTE(LEFT(TRIM(C488),FIND(" ",TRIM(C488)&amp;" ")-1),",","."))-1)/MID(SUBSTITUTE(LEFT(TRIM(C488),FIND(" ",TRIM(C488)&amp;" ")-1),",","."),FIND("/",SUBSTITUTE(LEFT(TRIM(C488),FIND(" ",TRIM(C488)&amp;" ")-1),",","."))+1,9)),IF(ISNUMBER(SEARCH("yea",C488)),IFERROR(_xlfn.NUMBERVALUE(SUBSTITUTE(LEFT(TRIM(C488),FIND(" ",TRIM(C488)&amp;" ")-1),",","."),"."),LEFT(SUBSTITUTE(LEFT(TRIM(C488),FIND(" ",TRIM(C488)&amp;" ")-1),",","."),FIND("/",SUBSTITUTE(LEFT(TRIM(C488),FIND(" ",TRIM(C488)&amp;" ")-1),",","."))-1)/MID(SUBSTITUTE(LEFT(TRIM(C488),FIND(" ",TRIM(C488)&amp;" ")-1),",","."),FIND("/",SUBSTITUTE(LEFT(TRIM(C488),FIND(" ",TRIM(C488)&amp;" ")-1),",","."))+1,9))*12,NA()))),0),12)*'Aturan &amp; Tarif'!$B$4,2)</f>
        <v>681.36</v>
      </c>
      <c r="K488" s="42" t="n">
        <f aca="false">'Aturan &amp; Tarif'!$B$5</f>
        <v>2050</v>
      </c>
      <c r="L488" s="42" t="n">
        <f aca="false">'Aturan &amp; Tarif'!$B$6</f>
        <v>350</v>
      </c>
      <c r="M488" s="35" t="n">
        <f aca="false">I488+J488+K488+L488</f>
        <v>18881.36</v>
      </c>
      <c r="N488" s="44" t="s">
        <v>1036</v>
      </c>
    </row>
    <row r="489" customFormat="false" ht="60" hidden="false" customHeight="true" outlineLevel="0" collapsed="false">
      <c r="A489" s="39"/>
      <c r="B489" s="40" t="s">
        <v>1037</v>
      </c>
      <c r="C489" s="41" t="s">
        <v>127</v>
      </c>
      <c r="D489" s="41" t="s">
        <v>108</v>
      </c>
      <c r="E489" s="42" t="n">
        <v>7900</v>
      </c>
      <c r="F489" s="42"/>
      <c r="G489" s="42"/>
      <c r="H489" s="43" t="n">
        <v>2</v>
      </c>
      <c r="I489" s="34" t="n">
        <f aca="false">E489*H489+N(F489)+N(G489)</f>
        <v>15800</v>
      </c>
      <c r="J489" s="42" t="n">
        <f aca="false">ROUND(IFERROR(ROUND(IF(OR(ISNUMBER(SEARCH("week",C489)),ISNUMBER(SEARCH("minggu",C489))),IFERROR(_xlfn.NUMBERVALUE(SUBSTITUTE(LEFT(TRIM(C489),FIND(" ",TRIM(C489)&amp;" ")-1),",","."),"."),LEFT(SUBSTITUTE(LEFT(TRIM(C489),FIND(" ",TRIM(C489)&amp;" ")-1),",","."),FIND("/",SUBSTITUTE(LEFT(TRIM(C489),FIND(" ",TRIM(C489)&amp;" ")-1),",","."))-1)/MID(SUBSTITUTE(LEFT(TRIM(C489),FIND(" ",TRIM(C489)&amp;" ")-1),",","."),FIND("/",SUBSTITUTE(LEFT(TRIM(C489),FIND(" ",TRIM(C489)&amp;" ")-1),",","."))+1,9))*12/52,IF(ISNUMBER(SEARCH("month",C489)),IFERROR(_xlfn.NUMBERVALUE(SUBSTITUTE(LEFT(TRIM(C489),FIND(" ",TRIM(C489)&amp;" ")-1),",","."),"."),LEFT(SUBSTITUTE(LEFT(TRIM(C489),FIND(" ",TRIM(C489)&amp;" ")-1),",","."),FIND("/",SUBSTITUTE(LEFT(TRIM(C489),FIND(" ",TRIM(C489)&amp;" ")-1),",","."))-1)/MID(SUBSTITUTE(LEFT(TRIM(C489),FIND(" ",TRIM(C489)&amp;" ")-1),",","."),FIND("/",SUBSTITUTE(LEFT(TRIM(C489),FIND(" ",TRIM(C489)&amp;" ")-1),",","."))+1,9)),IF(ISNUMBER(SEARCH("yea",C489)),IFERROR(_xlfn.NUMBERVALUE(SUBSTITUTE(LEFT(TRIM(C489),FIND(" ",TRIM(C489)&amp;" ")-1),",","."),"."),LEFT(SUBSTITUTE(LEFT(TRIM(C489),FIND(" ",TRIM(C489)&amp;" ")-1),",","."),FIND("/",SUBSTITUTE(LEFT(TRIM(C489),FIND(" ",TRIM(C489)&amp;" ")-1),",","."))-1)/MID(SUBSTITUTE(LEFT(TRIM(C489),FIND(" ",TRIM(C489)&amp;" ")-1),",","."),FIND("/",SUBSTITUTE(LEFT(TRIM(C489),FIND(" ",TRIM(C489)&amp;" ")-1),",","."))+1,9))*12,NA()))),0),36)*'Aturan &amp; Tarif'!$B$4,2)</f>
        <v>2044.08</v>
      </c>
      <c r="K489" s="42" t="n">
        <f aca="false">'Aturan &amp; Tarif'!$B$5</f>
        <v>2050</v>
      </c>
      <c r="L489" s="42" t="n">
        <f aca="false">'Aturan &amp; Tarif'!$B$6</f>
        <v>350</v>
      </c>
      <c r="M489" s="35" t="n">
        <f aca="false">I489+J489+K489+L489</f>
        <v>20244.08</v>
      </c>
      <c r="N489" s="44" t="s">
        <v>1036</v>
      </c>
    </row>
    <row r="490" customFormat="false" ht="60" hidden="false" customHeight="true" outlineLevel="0" collapsed="false">
      <c r="A490" s="39"/>
      <c r="B490" s="40" t="s">
        <v>1779</v>
      </c>
      <c r="C490" s="41" t="s">
        <v>130</v>
      </c>
      <c r="D490" s="41" t="s">
        <v>108</v>
      </c>
      <c r="E490" s="42" t="n">
        <v>9375</v>
      </c>
      <c r="F490" s="42"/>
      <c r="G490" s="42"/>
      <c r="H490" s="43" t="n">
        <v>2</v>
      </c>
      <c r="I490" s="34" t="n">
        <f aca="false">E490*H490+N(F490)+N(G490)</f>
        <v>18750</v>
      </c>
      <c r="J490" s="42" t="n">
        <f aca="false">ROUND(IFERROR(ROUND(IF(OR(ISNUMBER(SEARCH("week",C490)),ISNUMBER(SEARCH("minggu",C490))),IFERROR(_xlfn.NUMBERVALUE(SUBSTITUTE(LEFT(TRIM(C490),FIND(" ",TRIM(C490)&amp;" ")-1),",","."),"."),LEFT(SUBSTITUTE(LEFT(TRIM(C490),FIND(" ",TRIM(C490)&amp;" ")-1),",","."),FIND("/",SUBSTITUTE(LEFT(TRIM(C490),FIND(" ",TRIM(C490)&amp;" ")-1),",","."))-1)/MID(SUBSTITUTE(LEFT(TRIM(C490),FIND(" ",TRIM(C490)&amp;" ")-1),",","."),FIND("/",SUBSTITUTE(LEFT(TRIM(C490),FIND(" ",TRIM(C490)&amp;" ")-1),",","."))+1,9))*12/52,IF(ISNUMBER(SEARCH("month",C490)),IFERROR(_xlfn.NUMBERVALUE(SUBSTITUTE(LEFT(TRIM(C490),FIND(" ",TRIM(C490)&amp;" ")-1),",","."),"."),LEFT(SUBSTITUTE(LEFT(TRIM(C490),FIND(" ",TRIM(C490)&amp;" ")-1),",","."),FIND("/",SUBSTITUTE(LEFT(TRIM(C490),FIND(" ",TRIM(C490)&amp;" ")-1),",","."))-1)/MID(SUBSTITUTE(LEFT(TRIM(C490),FIND(" ",TRIM(C490)&amp;" ")-1),",","."),FIND("/",SUBSTITUTE(LEFT(TRIM(C490),FIND(" ",TRIM(C490)&amp;" ")-1),",","."))+1,9)),IF(ISNUMBER(SEARCH("yea",C490)),IFERROR(_xlfn.NUMBERVALUE(SUBSTITUTE(LEFT(TRIM(C490),FIND(" ",TRIM(C490)&amp;" ")-1),",","."),"."),LEFT(SUBSTITUTE(LEFT(TRIM(C490),FIND(" ",TRIM(C490)&amp;" ")-1),",","."),FIND("/",SUBSTITUTE(LEFT(TRIM(C490),FIND(" ",TRIM(C490)&amp;" ")-1),",","."))-1)/MID(SUBSTITUTE(LEFT(TRIM(C490),FIND(" ",TRIM(C490)&amp;" ")-1),",","."),FIND("/",SUBSTITUTE(LEFT(TRIM(C490),FIND(" ",TRIM(C490)&amp;" ")-1),",","."))+1,9))*12,NA()))),0),12)*'Aturan &amp; Tarif'!$B$4,2)</f>
        <v>681.36</v>
      </c>
      <c r="K490" s="42" t="n">
        <f aca="false">'Aturan &amp; Tarif'!$B$5</f>
        <v>2050</v>
      </c>
      <c r="L490" s="42" t="n">
        <f aca="false">'Aturan &amp; Tarif'!$B$6</f>
        <v>350</v>
      </c>
      <c r="M490" s="35" t="n">
        <f aca="false">I490+J490+K490+L490</f>
        <v>21831.36</v>
      </c>
      <c r="N490" s="44" t="s">
        <v>1103</v>
      </c>
    </row>
    <row r="491" customFormat="false" ht="60" hidden="false" customHeight="true" outlineLevel="0" collapsed="false">
      <c r="A491" s="39"/>
      <c r="B491" s="40" t="s">
        <v>1276</v>
      </c>
      <c r="C491" s="41" t="s">
        <v>127</v>
      </c>
      <c r="D491" s="41" t="s">
        <v>108</v>
      </c>
      <c r="E491" s="42" t="n">
        <v>9375</v>
      </c>
      <c r="F491" s="42"/>
      <c r="G491" s="42"/>
      <c r="H491" s="43" t="n">
        <v>2</v>
      </c>
      <c r="I491" s="34" t="n">
        <f aca="false">E491*H491+N(F491)+N(G491)</f>
        <v>18750</v>
      </c>
      <c r="J491" s="42" t="n">
        <f aca="false">ROUND(IFERROR(ROUND(IF(OR(ISNUMBER(SEARCH("week",C491)),ISNUMBER(SEARCH("minggu",C491))),IFERROR(_xlfn.NUMBERVALUE(SUBSTITUTE(LEFT(TRIM(C491),FIND(" ",TRIM(C491)&amp;" ")-1),",","."),"."),LEFT(SUBSTITUTE(LEFT(TRIM(C491),FIND(" ",TRIM(C491)&amp;" ")-1),",","."),FIND("/",SUBSTITUTE(LEFT(TRIM(C491),FIND(" ",TRIM(C491)&amp;" ")-1),",","."))-1)/MID(SUBSTITUTE(LEFT(TRIM(C491),FIND(" ",TRIM(C491)&amp;" ")-1),",","."),FIND("/",SUBSTITUTE(LEFT(TRIM(C491),FIND(" ",TRIM(C491)&amp;" ")-1),",","."))+1,9))*12/52,IF(ISNUMBER(SEARCH("month",C491)),IFERROR(_xlfn.NUMBERVALUE(SUBSTITUTE(LEFT(TRIM(C491),FIND(" ",TRIM(C491)&amp;" ")-1),",","."),"."),LEFT(SUBSTITUTE(LEFT(TRIM(C491),FIND(" ",TRIM(C491)&amp;" ")-1),",","."),FIND("/",SUBSTITUTE(LEFT(TRIM(C491),FIND(" ",TRIM(C491)&amp;" ")-1),",","."))-1)/MID(SUBSTITUTE(LEFT(TRIM(C491),FIND(" ",TRIM(C491)&amp;" ")-1),",","."),FIND("/",SUBSTITUTE(LEFT(TRIM(C491),FIND(" ",TRIM(C491)&amp;" ")-1),",","."))+1,9)),IF(ISNUMBER(SEARCH("yea",C491)),IFERROR(_xlfn.NUMBERVALUE(SUBSTITUTE(LEFT(TRIM(C491),FIND(" ",TRIM(C491)&amp;" ")-1),",","."),"."),LEFT(SUBSTITUTE(LEFT(TRIM(C491),FIND(" ",TRIM(C491)&amp;" ")-1),",","."),FIND("/",SUBSTITUTE(LEFT(TRIM(C491),FIND(" ",TRIM(C491)&amp;" ")-1),",","."))-1)/MID(SUBSTITUTE(LEFT(TRIM(C491),FIND(" ",TRIM(C491)&amp;" ")-1),",","."),FIND("/",SUBSTITUTE(LEFT(TRIM(C491),FIND(" ",TRIM(C491)&amp;" ")-1),",","."))+1,9))*12,NA()))),0),36)*'Aturan &amp; Tarif'!$B$4,2)</f>
        <v>2044.08</v>
      </c>
      <c r="K491" s="42" t="n">
        <f aca="false">'Aturan &amp; Tarif'!$B$5</f>
        <v>2050</v>
      </c>
      <c r="L491" s="42" t="n">
        <f aca="false">'Aturan &amp; Tarif'!$B$6</f>
        <v>350</v>
      </c>
      <c r="M491" s="35" t="n">
        <f aca="false">I491+J491+K491+L491</f>
        <v>23194.08</v>
      </c>
      <c r="N491" s="44" t="s">
        <v>2483</v>
      </c>
    </row>
    <row r="492" customFormat="false" ht="60" hidden="false" customHeight="true" outlineLevel="0" collapsed="false">
      <c r="A492" s="39"/>
      <c r="B492" s="40" t="s">
        <v>1104</v>
      </c>
      <c r="C492" s="41" t="s">
        <v>130</v>
      </c>
      <c r="D492" s="41" t="s">
        <v>108</v>
      </c>
      <c r="E492" s="42" t="n">
        <v>7900</v>
      </c>
      <c r="F492" s="42"/>
      <c r="G492" s="42"/>
      <c r="H492" s="43" t="n">
        <v>2</v>
      </c>
      <c r="I492" s="34" t="n">
        <f aca="false">E492*H492+N(F492)+N(G492)</f>
        <v>15800</v>
      </c>
      <c r="J492" s="42" t="n">
        <f aca="false">ROUND(IFERROR(ROUND(IF(OR(ISNUMBER(SEARCH("week",C492)),ISNUMBER(SEARCH("minggu",C492))),IFERROR(_xlfn.NUMBERVALUE(SUBSTITUTE(LEFT(TRIM(C492),FIND(" ",TRIM(C492)&amp;" ")-1),",","."),"."),LEFT(SUBSTITUTE(LEFT(TRIM(C492),FIND(" ",TRIM(C492)&amp;" ")-1),",","."),FIND("/",SUBSTITUTE(LEFT(TRIM(C492),FIND(" ",TRIM(C492)&amp;" ")-1),",","."))-1)/MID(SUBSTITUTE(LEFT(TRIM(C492),FIND(" ",TRIM(C492)&amp;" ")-1),",","."),FIND("/",SUBSTITUTE(LEFT(TRIM(C492),FIND(" ",TRIM(C492)&amp;" ")-1),",","."))+1,9))*12/52,IF(ISNUMBER(SEARCH("month",C492)),IFERROR(_xlfn.NUMBERVALUE(SUBSTITUTE(LEFT(TRIM(C492),FIND(" ",TRIM(C492)&amp;" ")-1),",","."),"."),LEFT(SUBSTITUTE(LEFT(TRIM(C492),FIND(" ",TRIM(C492)&amp;" ")-1),",","."),FIND("/",SUBSTITUTE(LEFT(TRIM(C492),FIND(" ",TRIM(C492)&amp;" ")-1),",","."))-1)/MID(SUBSTITUTE(LEFT(TRIM(C492),FIND(" ",TRIM(C492)&amp;" ")-1),",","."),FIND("/",SUBSTITUTE(LEFT(TRIM(C492),FIND(" ",TRIM(C492)&amp;" ")-1),",","."))+1,9)),IF(ISNUMBER(SEARCH("yea",C492)),IFERROR(_xlfn.NUMBERVALUE(SUBSTITUTE(LEFT(TRIM(C492),FIND(" ",TRIM(C492)&amp;" ")-1),",","."),"."),LEFT(SUBSTITUTE(LEFT(TRIM(C492),FIND(" ",TRIM(C492)&amp;" ")-1),",","."),FIND("/",SUBSTITUTE(LEFT(TRIM(C492),FIND(" ",TRIM(C492)&amp;" ")-1),",","."))-1)/MID(SUBSTITUTE(LEFT(TRIM(C492),FIND(" ",TRIM(C492)&amp;" ")-1),",","."),FIND("/",SUBSTITUTE(LEFT(TRIM(C492),FIND(" ",TRIM(C492)&amp;" ")-1),",","."))+1,9))*12,NA()))),0),12)*'Aturan &amp; Tarif'!$B$4,2)</f>
        <v>681.36</v>
      </c>
      <c r="K492" s="42" t="n">
        <f aca="false">'Aturan &amp; Tarif'!$B$5</f>
        <v>2050</v>
      </c>
      <c r="L492" s="42" t="n">
        <f aca="false">'Aturan &amp; Tarif'!$B$6</f>
        <v>350</v>
      </c>
      <c r="M492" s="35" t="n">
        <f aca="false">I492+J492+K492+L492</f>
        <v>18881.36</v>
      </c>
      <c r="N492" s="44" t="s">
        <v>1105</v>
      </c>
    </row>
    <row r="493" customFormat="false" ht="60" hidden="false" customHeight="true" outlineLevel="0" collapsed="false">
      <c r="A493" s="39"/>
      <c r="B493" s="40" t="s">
        <v>335</v>
      </c>
      <c r="C493" s="41" t="s">
        <v>127</v>
      </c>
      <c r="D493" s="41" t="s">
        <v>108</v>
      </c>
      <c r="E493" s="42" t="n">
        <v>7900</v>
      </c>
      <c r="F493" s="42"/>
      <c r="G493" s="42"/>
      <c r="H493" s="43" t="n">
        <v>2</v>
      </c>
      <c r="I493" s="34" t="n">
        <f aca="false">E493*H493+N(F493)+N(G493)</f>
        <v>15800</v>
      </c>
      <c r="J493" s="42" t="n">
        <f aca="false">ROUND(IFERROR(ROUND(IF(OR(ISNUMBER(SEARCH("week",C493)),ISNUMBER(SEARCH("minggu",C493))),IFERROR(_xlfn.NUMBERVALUE(SUBSTITUTE(LEFT(TRIM(C493),FIND(" ",TRIM(C493)&amp;" ")-1),",","."),"."),LEFT(SUBSTITUTE(LEFT(TRIM(C493),FIND(" ",TRIM(C493)&amp;" ")-1),",","."),FIND("/",SUBSTITUTE(LEFT(TRIM(C493),FIND(" ",TRIM(C493)&amp;" ")-1),",","."))-1)/MID(SUBSTITUTE(LEFT(TRIM(C493),FIND(" ",TRIM(C493)&amp;" ")-1),",","."),FIND("/",SUBSTITUTE(LEFT(TRIM(C493),FIND(" ",TRIM(C493)&amp;" ")-1),",","."))+1,9))*12/52,IF(ISNUMBER(SEARCH("month",C493)),IFERROR(_xlfn.NUMBERVALUE(SUBSTITUTE(LEFT(TRIM(C493),FIND(" ",TRIM(C493)&amp;" ")-1),",","."),"."),LEFT(SUBSTITUTE(LEFT(TRIM(C493),FIND(" ",TRIM(C493)&amp;" ")-1),",","."),FIND("/",SUBSTITUTE(LEFT(TRIM(C493),FIND(" ",TRIM(C493)&amp;" ")-1),",","."))-1)/MID(SUBSTITUTE(LEFT(TRIM(C493),FIND(" ",TRIM(C493)&amp;" ")-1),",","."),FIND("/",SUBSTITUTE(LEFT(TRIM(C493),FIND(" ",TRIM(C493)&amp;" ")-1),",","."))+1,9)),IF(ISNUMBER(SEARCH("yea",C493)),IFERROR(_xlfn.NUMBERVALUE(SUBSTITUTE(LEFT(TRIM(C493),FIND(" ",TRIM(C493)&amp;" ")-1),",","."),"."),LEFT(SUBSTITUTE(LEFT(TRIM(C493),FIND(" ",TRIM(C493)&amp;" ")-1),",","."),FIND("/",SUBSTITUTE(LEFT(TRIM(C493),FIND(" ",TRIM(C493)&amp;" ")-1),",","."))-1)/MID(SUBSTITUTE(LEFT(TRIM(C493),FIND(" ",TRIM(C493)&amp;" ")-1),",","."),FIND("/",SUBSTITUTE(LEFT(TRIM(C493),FIND(" ",TRIM(C493)&amp;" ")-1),",","."))+1,9))*12,NA()))),0),36)*'Aturan &amp; Tarif'!$B$4,2)</f>
        <v>2044.08</v>
      </c>
      <c r="K493" s="42" t="n">
        <f aca="false">'Aturan &amp; Tarif'!$B$5</f>
        <v>2050</v>
      </c>
      <c r="L493" s="42" t="n">
        <f aca="false">'Aturan &amp; Tarif'!$B$6</f>
        <v>350</v>
      </c>
      <c r="M493" s="35" t="n">
        <f aca="false">I493+J493+K493+L493</f>
        <v>20244.08</v>
      </c>
      <c r="N493" s="44" t="s">
        <v>1106</v>
      </c>
    </row>
    <row r="494" customFormat="false" ht="60" hidden="false" customHeight="true" outlineLevel="0" collapsed="false">
      <c r="A494" s="39"/>
      <c r="B494" s="40" t="s">
        <v>2487</v>
      </c>
      <c r="C494" s="41" t="s">
        <v>127</v>
      </c>
      <c r="D494" s="41" t="s">
        <v>108</v>
      </c>
      <c r="E494" s="42" t="n">
        <v>9375</v>
      </c>
      <c r="F494" s="42"/>
      <c r="G494" s="42"/>
      <c r="H494" s="43" t="n">
        <v>2</v>
      </c>
      <c r="I494" s="34" t="n">
        <f aca="false">E494*H494+N(F494)+N(G494)</f>
        <v>18750</v>
      </c>
      <c r="J494" s="42" t="n">
        <f aca="false">ROUND(IFERROR(ROUND(IF(OR(ISNUMBER(SEARCH("week",C494)),ISNUMBER(SEARCH("minggu",C494))),IFERROR(_xlfn.NUMBERVALUE(SUBSTITUTE(LEFT(TRIM(C494),FIND(" ",TRIM(C494)&amp;" ")-1),",","."),"."),LEFT(SUBSTITUTE(LEFT(TRIM(C494),FIND(" ",TRIM(C494)&amp;" ")-1),",","."),FIND("/",SUBSTITUTE(LEFT(TRIM(C494),FIND(" ",TRIM(C494)&amp;" ")-1),",","."))-1)/MID(SUBSTITUTE(LEFT(TRIM(C494),FIND(" ",TRIM(C494)&amp;" ")-1),",","."),FIND("/",SUBSTITUTE(LEFT(TRIM(C494),FIND(" ",TRIM(C494)&amp;" ")-1),",","."))+1,9))*12/52,IF(ISNUMBER(SEARCH("month",C494)),IFERROR(_xlfn.NUMBERVALUE(SUBSTITUTE(LEFT(TRIM(C494),FIND(" ",TRIM(C494)&amp;" ")-1),",","."),"."),LEFT(SUBSTITUTE(LEFT(TRIM(C494),FIND(" ",TRIM(C494)&amp;" ")-1),",","."),FIND("/",SUBSTITUTE(LEFT(TRIM(C494),FIND(" ",TRIM(C494)&amp;" ")-1),",","."))-1)/MID(SUBSTITUTE(LEFT(TRIM(C494),FIND(" ",TRIM(C494)&amp;" ")-1),",","."),FIND("/",SUBSTITUTE(LEFT(TRIM(C494),FIND(" ",TRIM(C494)&amp;" ")-1),",","."))+1,9)),IF(ISNUMBER(SEARCH("yea",C494)),IFERROR(_xlfn.NUMBERVALUE(SUBSTITUTE(LEFT(TRIM(C494),FIND(" ",TRIM(C494)&amp;" ")-1),",","."),"."),LEFT(SUBSTITUTE(LEFT(TRIM(C494),FIND(" ",TRIM(C494)&amp;" ")-1),",","."),FIND("/",SUBSTITUTE(LEFT(TRIM(C494),FIND(" ",TRIM(C494)&amp;" ")-1),",","."))-1)/MID(SUBSTITUTE(LEFT(TRIM(C494),FIND(" ",TRIM(C494)&amp;" ")-1),",","."),FIND("/",SUBSTITUTE(LEFT(TRIM(C494),FIND(" ",TRIM(C494)&amp;" ")-1),",","."))+1,9))*12,NA()))),0),36)*'Aturan &amp; Tarif'!$B$4,2)</f>
        <v>2044.08</v>
      </c>
      <c r="K494" s="42" t="n">
        <f aca="false">'Aturan &amp; Tarif'!$B$5</f>
        <v>2050</v>
      </c>
      <c r="L494" s="42" t="n">
        <f aca="false">'Aturan &amp; Tarif'!$B$6</f>
        <v>350</v>
      </c>
      <c r="M494" s="35" t="n">
        <f aca="false">I494+J494+K494+L494</f>
        <v>23194.08</v>
      </c>
      <c r="N494" s="44" t="s">
        <v>1036</v>
      </c>
    </row>
    <row r="495" customFormat="false" ht="60" hidden="false" customHeight="true" outlineLevel="0" collapsed="false">
      <c r="A495" s="39"/>
      <c r="B495" s="40" t="s">
        <v>1069</v>
      </c>
      <c r="C495" s="41" t="s">
        <v>130</v>
      </c>
      <c r="D495" s="41" t="s">
        <v>108</v>
      </c>
      <c r="E495" s="42" t="n">
        <v>9000</v>
      </c>
      <c r="F495" s="42"/>
      <c r="G495" s="42"/>
      <c r="H495" s="43" t="n">
        <v>2</v>
      </c>
      <c r="I495" s="34" t="n">
        <f aca="false">E495*H495+N(F495)+N(G495)</f>
        <v>18000</v>
      </c>
      <c r="J495" s="42" t="n">
        <f aca="false">ROUND(IFERROR(ROUND(IF(OR(ISNUMBER(SEARCH("week",C495)),ISNUMBER(SEARCH("minggu",C495))),IFERROR(_xlfn.NUMBERVALUE(SUBSTITUTE(LEFT(TRIM(C495),FIND(" ",TRIM(C495)&amp;" ")-1),",","."),"."),LEFT(SUBSTITUTE(LEFT(TRIM(C495),FIND(" ",TRIM(C495)&amp;" ")-1),",","."),FIND("/",SUBSTITUTE(LEFT(TRIM(C495),FIND(" ",TRIM(C495)&amp;" ")-1),",","."))-1)/MID(SUBSTITUTE(LEFT(TRIM(C495),FIND(" ",TRIM(C495)&amp;" ")-1),",","."),FIND("/",SUBSTITUTE(LEFT(TRIM(C495),FIND(" ",TRIM(C495)&amp;" ")-1),",","."))+1,9))*12/52,IF(ISNUMBER(SEARCH("month",C495)),IFERROR(_xlfn.NUMBERVALUE(SUBSTITUTE(LEFT(TRIM(C495),FIND(" ",TRIM(C495)&amp;" ")-1),",","."),"."),LEFT(SUBSTITUTE(LEFT(TRIM(C495),FIND(" ",TRIM(C495)&amp;" ")-1),",","."),FIND("/",SUBSTITUTE(LEFT(TRIM(C495),FIND(" ",TRIM(C495)&amp;" ")-1),",","."))-1)/MID(SUBSTITUTE(LEFT(TRIM(C495),FIND(" ",TRIM(C495)&amp;" ")-1),",","."),FIND("/",SUBSTITUTE(LEFT(TRIM(C495),FIND(" ",TRIM(C495)&amp;" ")-1),",","."))+1,9)),IF(ISNUMBER(SEARCH("yea",C495)),IFERROR(_xlfn.NUMBERVALUE(SUBSTITUTE(LEFT(TRIM(C495),FIND(" ",TRIM(C495)&amp;" ")-1),",","."),"."),LEFT(SUBSTITUTE(LEFT(TRIM(C495),FIND(" ",TRIM(C495)&amp;" ")-1),",","."),FIND("/",SUBSTITUTE(LEFT(TRIM(C495),FIND(" ",TRIM(C495)&amp;" ")-1),",","."))-1)/MID(SUBSTITUTE(LEFT(TRIM(C495),FIND(" ",TRIM(C495)&amp;" ")-1),",","."),FIND("/",SUBSTITUTE(LEFT(TRIM(C495),FIND(" ",TRIM(C495)&amp;" ")-1),",","."))+1,9))*12,NA()))),0),12)*'Aturan &amp; Tarif'!$B$4,2)</f>
        <v>681.36</v>
      </c>
      <c r="K495" s="42" t="n">
        <f aca="false">'Aturan &amp; Tarif'!$B$5</f>
        <v>2050</v>
      </c>
      <c r="L495" s="42" t="n">
        <f aca="false">'Aturan &amp; Tarif'!$B$6</f>
        <v>350</v>
      </c>
      <c r="M495" s="35" t="n">
        <f aca="false">I495+J495+K495+L495</f>
        <v>21081.36</v>
      </c>
      <c r="N495" s="44" t="s">
        <v>1036</v>
      </c>
    </row>
    <row r="496" customFormat="false" ht="60" hidden="false" customHeight="true" outlineLevel="0" collapsed="false">
      <c r="A496" s="39"/>
      <c r="B496" s="40" t="s">
        <v>1070</v>
      </c>
      <c r="C496" s="41" t="s">
        <v>107</v>
      </c>
      <c r="D496" s="41" t="s">
        <v>108</v>
      </c>
      <c r="E496" s="42" t="n">
        <v>9000</v>
      </c>
      <c r="F496" s="42"/>
      <c r="G496" s="42"/>
      <c r="H496" s="43" t="n">
        <v>2</v>
      </c>
      <c r="I496" s="34" t="n">
        <f aca="false">E496*H496+N(F496)+N(G496)</f>
        <v>18000</v>
      </c>
      <c r="J496" s="42" t="n">
        <f aca="false">ROUND(IFERROR(ROUND(IF(OR(ISNUMBER(SEARCH("week",C496)),ISNUMBER(SEARCH("minggu",C496))),IFERROR(_xlfn.NUMBERVALUE(SUBSTITUTE(LEFT(TRIM(C496),FIND(" ",TRIM(C496)&amp;" ")-1),",","."),"."),LEFT(SUBSTITUTE(LEFT(TRIM(C496),FIND(" ",TRIM(C496)&amp;" ")-1),",","."),FIND("/",SUBSTITUTE(LEFT(TRIM(C496),FIND(" ",TRIM(C496)&amp;" ")-1),",","."))-1)/MID(SUBSTITUTE(LEFT(TRIM(C496),FIND(" ",TRIM(C496)&amp;" ")-1),",","."),FIND("/",SUBSTITUTE(LEFT(TRIM(C496),FIND(" ",TRIM(C496)&amp;" ")-1),",","."))+1,9))*12/52,IF(ISNUMBER(SEARCH("month",C496)),IFERROR(_xlfn.NUMBERVALUE(SUBSTITUTE(LEFT(TRIM(C496),FIND(" ",TRIM(C496)&amp;" ")-1),",","."),"."),LEFT(SUBSTITUTE(LEFT(TRIM(C496),FIND(" ",TRIM(C496)&amp;" ")-1),",","."),FIND("/",SUBSTITUTE(LEFT(TRIM(C496),FIND(" ",TRIM(C496)&amp;" ")-1),",","."))-1)/MID(SUBSTITUTE(LEFT(TRIM(C496),FIND(" ",TRIM(C496)&amp;" ")-1),",","."),FIND("/",SUBSTITUTE(LEFT(TRIM(C496),FIND(" ",TRIM(C496)&amp;" ")-1),",","."))+1,9)),IF(ISNUMBER(SEARCH("yea",C496)),IFERROR(_xlfn.NUMBERVALUE(SUBSTITUTE(LEFT(TRIM(C496),FIND(" ",TRIM(C496)&amp;" ")-1),",","."),"."),LEFT(SUBSTITUTE(LEFT(TRIM(C496),FIND(" ",TRIM(C496)&amp;" ")-1),",","."),FIND("/",SUBSTITUTE(LEFT(TRIM(C496),FIND(" ",TRIM(C496)&amp;" ")-1),",","."))-1)/MID(SUBSTITUTE(LEFT(TRIM(C496),FIND(" ",TRIM(C496)&amp;" ")-1),",","."),FIND("/",SUBSTITUTE(LEFT(TRIM(C496),FIND(" ",TRIM(C496)&amp;" ")-1),",","."))+1,9))*12,NA()))),0),24)*'Aturan &amp; Tarif'!$B$4,2)</f>
        <v>1362.72</v>
      </c>
      <c r="K496" s="42" t="n">
        <f aca="false">'Aturan &amp; Tarif'!$B$5</f>
        <v>2050</v>
      </c>
      <c r="L496" s="42" t="n">
        <f aca="false">'Aturan &amp; Tarif'!$B$6</f>
        <v>350</v>
      </c>
      <c r="M496" s="35" t="n">
        <f aca="false">I496+J496+K496+L496</f>
        <v>21762.72</v>
      </c>
      <c r="N496" s="44" t="s">
        <v>1036</v>
      </c>
    </row>
    <row r="497" customFormat="false" ht="60" hidden="false" customHeight="true" outlineLevel="0" collapsed="false">
      <c r="A497" s="39"/>
      <c r="B497" s="40" t="s">
        <v>1107</v>
      </c>
      <c r="C497" s="41" t="s">
        <v>130</v>
      </c>
      <c r="D497" s="41" t="s">
        <v>108</v>
      </c>
      <c r="E497" s="42" t="n">
        <v>4975</v>
      </c>
      <c r="F497" s="42"/>
      <c r="G497" s="42"/>
      <c r="H497" s="43" t="n">
        <v>2</v>
      </c>
      <c r="I497" s="34" t="n">
        <f aca="false">E497*H497+N(F497)+N(G497)</f>
        <v>9950</v>
      </c>
      <c r="J497" s="42" t="n">
        <f aca="false">ROUND(IFERROR(ROUND(IF(OR(ISNUMBER(SEARCH("week",C497)),ISNUMBER(SEARCH("minggu",C497))),IFERROR(_xlfn.NUMBERVALUE(SUBSTITUTE(LEFT(TRIM(C497),FIND(" ",TRIM(C497)&amp;" ")-1),",","."),"."),LEFT(SUBSTITUTE(LEFT(TRIM(C497),FIND(" ",TRIM(C497)&amp;" ")-1),",","."),FIND("/",SUBSTITUTE(LEFT(TRIM(C497),FIND(" ",TRIM(C497)&amp;" ")-1),",","."))-1)/MID(SUBSTITUTE(LEFT(TRIM(C497),FIND(" ",TRIM(C497)&amp;" ")-1),",","."),FIND("/",SUBSTITUTE(LEFT(TRIM(C497),FIND(" ",TRIM(C497)&amp;" ")-1),",","."))+1,9))*12/52,IF(ISNUMBER(SEARCH("month",C497)),IFERROR(_xlfn.NUMBERVALUE(SUBSTITUTE(LEFT(TRIM(C497),FIND(" ",TRIM(C497)&amp;" ")-1),",","."),"."),LEFT(SUBSTITUTE(LEFT(TRIM(C497),FIND(" ",TRIM(C497)&amp;" ")-1),",","."),FIND("/",SUBSTITUTE(LEFT(TRIM(C497),FIND(" ",TRIM(C497)&amp;" ")-1),",","."))-1)/MID(SUBSTITUTE(LEFT(TRIM(C497),FIND(" ",TRIM(C497)&amp;" ")-1),",","."),FIND("/",SUBSTITUTE(LEFT(TRIM(C497),FIND(" ",TRIM(C497)&amp;" ")-1),",","."))+1,9)),IF(ISNUMBER(SEARCH("yea",C497)),IFERROR(_xlfn.NUMBERVALUE(SUBSTITUTE(LEFT(TRIM(C497),FIND(" ",TRIM(C497)&amp;" ")-1),",","."),"."),LEFT(SUBSTITUTE(LEFT(TRIM(C497),FIND(" ",TRIM(C497)&amp;" ")-1),",","."),FIND("/",SUBSTITUTE(LEFT(TRIM(C497),FIND(" ",TRIM(C497)&amp;" ")-1),",","."))-1)/MID(SUBSTITUTE(LEFT(TRIM(C497),FIND(" ",TRIM(C497)&amp;" ")-1),",","."),FIND("/",SUBSTITUTE(LEFT(TRIM(C497),FIND(" ",TRIM(C497)&amp;" ")-1),",","."))+1,9))*12,NA()))),0),12)*'Aturan &amp; Tarif'!$B$4,2)</f>
        <v>681.36</v>
      </c>
      <c r="K497" s="42" t="n">
        <f aca="false">'Aturan &amp; Tarif'!$B$5</f>
        <v>2050</v>
      </c>
      <c r="L497" s="42" t="n">
        <f aca="false">'Aturan &amp; Tarif'!$B$6</f>
        <v>350</v>
      </c>
      <c r="M497" s="35" t="n">
        <f aca="false">I497+J497+K497+L497</f>
        <v>13031.36</v>
      </c>
      <c r="N497" s="44" t="s">
        <v>1108</v>
      </c>
    </row>
    <row r="498" customFormat="false" ht="60" hidden="false" customHeight="true" outlineLevel="0" collapsed="false">
      <c r="A498" s="39"/>
      <c r="B498" s="40" t="s">
        <v>1109</v>
      </c>
      <c r="C498" s="41" t="s">
        <v>130</v>
      </c>
      <c r="D498" s="41" t="s">
        <v>108</v>
      </c>
      <c r="E498" s="42" t="n">
        <v>9950</v>
      </c>
      <c r="F498" s="42"/>
      <c r="G498" s="42"/>
      <c r="H498" s="43" t="n">
        <v>2</v>
      </c>
      <c r="I498" s="34" t="n">
        <f aca="false">E498*H498+N(F498)+N(G498)</f>
        <v>19900</v>
      </c>
      <c r="J498" s="42" t="n">
        <f aca="false">ROUND(IFERROR(ROUND(IF(OR(ISNUMBER(SEARCH("week",C498)),ISNUMBER(SEARCH("minggu",C498))),IFERROR(_xlfn.NUMBERVALUE(SUBSTITUTE(LEFT(TRIM(C498),FIND(" ",TRIM(C498)&amp;" ")-1),",","."),"."),LEFT(SUBSTITUTE(LEFT(TRIM(C498),FIND(" ",TRIM(C498)&amp;" ")-1),",","."),FIND("/",SUBSTITUTE(LEFT(TRIM(C498),FIND(" ",TRIM(C498)&amp;" ")-1),",","."))-1)/MID(SUBSTITUTE(LEFT(TRIM(C498),FIND(" ",TRIM(C498)&amp;" ")-1),",","."),FIND("/",SUBSTITUTE(LEFT(TRIM(C498),FIND(" ",TRIM(C498)&amp;" ")-1),",","."))+1,9))*12/52,IF(ISNUMBER(SEARCH("month",C498)),IFERROR(_xlfn.NUMBERVALUE(SUBSTITUTE(LEFT(TRIM(C498),FIND(" ",TRIM(C498)&amp;" ")-1),",","."),"."),LEFT(SUBSTITUTE(LEFT(TRIM(C498),FIND(" ",TRIM(C498)&amp;" ")-1),",","."),FIND("/",SUBSTITUTE(LEFT(TRIM(C498),FIND(" ",TRIM(C498)&amp;" ")-1),",","."))-1)/MID(SUBSTITUTE(LEFT(TRIM(C498),FIND(" ",TRIM(C498)&amp;" ")-1),",","."),FIND("/",SUBSTITUTE(LEFT(TRIM(C498),FIND(" ",TRIM(C498)&amp;" ")-1),",","."))+1,9)),IF(ISNUMBER(SEARCH("yea",C498)),IFERROR(_xlfn.NUMBERVALUE(SUBSTITUTE(LEFT(TRIM(C498),FIND(" ",TRIM(C498)&amp;" ")-1),",","."),"."),LEFT(SUBSTITUTE(LEFT(TRIM(C498),FIND(" ",TRIM(C498)&amp;" ")-1),",","."),FIND("/",SUBSTITUTE(LEFT(TRIM(C498),FIND(" ",TRIM(C498)&amp;" ")-1),",","."))-1)/MID(SUBSTITUTE(LEFT(TRIM(C498),FIND(" ",TRIM(C498)&amp;" ")-1),",","."),FIND("/",SUBSTITUTE(LEFT(TRIM(C498),FIND(" ",TRIM(C498)&amp;" ")-1),",","."))+1,9))*12,NA()))),0),12)*'Aturan &amp; Tarif'!$B$4,2)</f>
        <v>681.36</v>
      </c>
      <c r="K498" s="42" t="n">
        <f aca="false">'Aturan &amp; Tarif'!$B$5</f>
        <v>2050</v>
      </c>
      <c r="L498" s="42" t="n">
        <f aca="false">'Aturan &amp; Tarif'!$B$6</f>
        <v>350</v>
      </c>
      <c r="M498" s="35" t="n">
        <f aca="false">I498+J498+K498+L498</f>
        <v>22981.36</v>
      </c>
      <c r="N498" s="44" t="s">
        <v>1110</v>
      </c>
    </row>
    <row r="499" customFormat="false" ht="60" hidden="false" customHeight="true" outlineLevel="0" collapsed="false">
      <c r="A499" s="39"/>
      <c r="B499" s="40" t="s">
        <v>1111</v>
      </c>
      <c r="C499" s="41" t="s">
        <v>107</v>
      </c>
      <c r="D499" s="41" t="s">
        <v>108</v>
      </c>
      <c r="E499" s="42" t="n">
        <v>9950</v>
      </c>
      <c r="F499" s="42"/>
      <c r="G499" s="42"/>
      <c r="H499" s="43" t="n">
        <v>2</v>
      </c>
      <c r="I499" s="34" t="n">
        <f aca="false">E499*H499+N(F499)+N(G499)</f>
        <v>19900</v>
      </c>
      <c r="J499" s="42" t="n">
        <f aca="false">ROUND(IFERROR(ROUND(IF(OR(ISNUMBER(SEARCH("week",C499)),ISNUMBER(SEARCH("minggu",C499))),IFERROR(_xlfn.NUMBERVALUE(SUBSTITUTE(LEFT(TRIM(C499),FIND(" ",TRIM(C499)&amp;" ")-1),",","."),"."),LEFT(SUBSTITUTE(LEFT(TRIM(C499),FIND(" ",TRIM(C499)&amp;" ")-1),",","."),FIND("/",SUBSTITUTE(LEFT(TRIM(C499),FIND(" ",TRIM(C499)&amp;" ")-1),",","."))-1)/MID(SUBSTITUTE(LEFT(TRIM(C499),FIND(" ",TRIM(C499)&amp;" ")-1),",","."),FIND("/",SUBSTITUTE(LEFT(TRIM(C499),FIND(" ",TRIM(C499)&amp;" ")-1),",","."))+1,9))*12/52,IF(ISNUMBER(SEARCH("month",C499)),IFERROR(_xlfn.NUMBERVALUE(SUBSTITUTE(LEFT(TRIM(C499),FIND(" ",TRIM(C499)&amp;" ")-1),",","."),"."),LEFT(SUBSTITUTE(LEFT(TRIM(C499),FIND(" ",TRIM(C499)&amp;" ")-1),",","."),FIND("/",SUBSTITUTE(LEFT(TRIM(C499),FIND(" ",TRIM(C499)&amp;" ")-1),",","."))-1)/MID(SUBSTITUTE(LEFT(TRIM(C499),FIND(" ",TRIM(C499)&amp;" ")-1),",","."),FIND("/",SUBSTITUTE(LEFT(TRIM(C499),FIND(" ",TRIM(C499)&amp;" ")-1),",","."))+1,9)),IF(ISNUMBER(SEARCH("yea",C499)),IFERROR(_xlfn.NUMBERVALUE(SUBSTITUTE(LEFT(TRIM(C499),FIND(" ",TRIM(C499)&amp;" ")-1),",","."),"."),LEFT(SUBSTITUTE(LEFT(TRIM(C499),FIND(" ",TRIM(C499)&amp;" ")-1),",","."),FIND("/",SUBSTITUTE(LEFT(TRIM(C499),FIND(" ",TRIM(C499)&amp;" ")-1),",","."))-1)/MID(SUBSTITUTE(LEFT(TRIM(C499),FIND(" ",TRIM(C499)&amp;" ")-1),",","."),FIND("/",SUBSTITUTE(LEFT(TRIM(C499),FIND(" ",TRIM(C499)&amp;" ")-1),",","."))+1,9))*12,NA()))),0),24)*'Aturan &amp; Tarif'!$B$4,2)</f>
        <v>1362.72</v>
      </c>
      <c r="K499" s="42" t="n">
        <f aca="false">'Aturan &amp; Tarif'!$B$5</f>
        <v>2050</v>
      </c>
      <c r="L499" s="42" t="n">
        <f aca="false">'Aturan &amp; Tarif'!$B$6</f>
        <v>350</v>
      </c>
      <c r="M499" s="35" t="n">
        <f aca="false">I499+J499+K499+L499</f>
        <v>23662.72</v>
      </c>
      <c r="N499" s="44" t="s">
        <v>1112</v>
      </c>
    </row>
    <row r="500" customFormat="false" ht="60" hidden="false" customHeight="true" outlineLevel="0" collapsed="false">
      <c r="A500" s="39"/>
      <c r="B500" s="40" t="s">
        <v>1113</v>
      </c>
      <c r="C500" s="41" t="s">
        <v>107</v>
      </c>
      <c r="D500" s="41" t="s">
        <v>108</v>
      </c>
      <c r="E500" s="42" t="n">
        <v>9950</v>
      </c>
      <c r="F500" s="42"/>
      <c r="G500" s="42"/>
      <c r="H500" s="43" t="n">
        <v>2</v>
      </c>
      <c r="I500" s="34" t="n">
        <f aca="false">E500*H500+N(F500)+N(G500)</f>
        <v>19900</v>
      </c>
      <c r="J500" s="42" t="n">
        <f aca="false">ROUND(IFERROR(ROUND(IF(OR(ISNUMBER(SEARCH("week",C500)),ISNUMBER(SEARCH("minggu",C500))),IFERROR(_xlfn.NUMBERVALUE(SUBSTITUTE(LEFT(TRIM(C500),FIND(" ",TRIM(C500)&amp;" ")-1),",","."),"."),LEFT(SUBSTITUTE(LEFT(TRIM(C500),FIND(" ",TRIM(C500)&amp;" ")-1),",","."),FIND("/",SUBSTITUTE(LEFT(TRIM(C500),FIND(" ",TRIM(C500)&amp;" ")-1),",","."))-1)/MID(SUBSTITUTE(LEFT(TRIM(C500),FIND(" ",TRIM(C500)&amp;" ")-1),",","."),FIND("/",SUBSTITUTE(LEFT(TRIM(C500),FIND(" ",TRIM(C500)&amp;" ")-1),",","."))+1,9))*12/52,IF(ISNUMBER(SEARCH("month",C500)),IFERROR(_xlfn.NUMBERVALUE(SUBSTITUTE(LEFT(TRIM(C500),FIND(" ",TRIM(C500)&amp;" ")-1),",","."),"."),LEFT(SUBSTITUTE(LEFT(TRIM(C500),FIND(" ",TRIM(C500)&amp;" ")-1),",","."),FIND("/",SUBSTITUTE(LEFT(TRIM(C500),FIND(" ",TRIM(C500)&amp;" ")-1),",","."))-1)/MID(SUBSTITUTE(LEFT(TRIM(C500),FIND(" ",TRIM(C500)&amp;" ")-1),",","."),FIND("/",SUBSTITUTE(LEFT(TRIM(C500),FIND(" ",TRIM(C500)&amp;" ")-1),",","."))+1,9)),IF(ISNUMBER(SEARCH("yea",C500)),IFERROR(_xlfn.NUMBERVALUE(SUBSTITUTE(LEFT(TRIM(C500),FIND(" ",TRIM(C500)&amp;" ")-1),",","."),"."),LEFT(SUBSTITUTE(LEFT(TRIM(C500),FIND(" ",TRIM(C500)&amp;" ")-1),",","."),FIND("/",SUBSTITUTE(LEFT(TRIM(C500),FIND(" ",TRIM(C500)&amp;" ")-1),",","."))-1)/MID(SUBSTITUTE(LEFT(TRIM(C500),FIND(" ",TRIM(C500)&amp;" ")-1),",","."),FIND("/",SUBSTITUTE(LEFT(TRIM(C500),FIND(" ",TRIM(C500)&amp;" ")-1),",","."))+1,9))*12,NA()))),0),24)*'Aturan &amp; Tarif'!$B$4,2)</f>
        <v>1362.72</v>
      </c>
      <c r="K500" s="42" t="n">
        <f aca="false">'Aturan &amp; Tarif'!$B$5</f>
        <v>2050</v>
      </c>
      <c r="L500" s="42" t="n">
        <f aca="false">'Aturan &amp; Tarif'!$B$6</f>
        <v>350</v>
      </c>
      <c r="M500" s="35" t="n">
        <f aca="false">I500+J500+K500+L500</f>
        <v>23662.72</v>
      </c>
      <c r="N500" s="44" t="s">
        <v>1114</v>
      </c>
    </row>
    <row r="501" customFormat="false" ht="60" hidden="false" customHeight="true" outlineLevel="0" collapsed="false">
      <c r="A501" s="39"/>
      <c r="B501" s="40" t="s">
        <v>1115</v>
      </c>
      <c r="C501" s="41" t="s">
        <v>130</v>
      </c>
      <c r="D501" s="41" t="s">
        <v>108</v>
      </c>
      <c r="E501" s="42" t="n">
        <v>4500</v>
      </c>
      <c r="F501" s="42"/>
      <c r="G501" s="42"/>
      <c r="H501" s="43" t="n">
        <v>2</v>
      </c>
      <c r="I501" s="34" t="n">
        <f aca="false">E501*H501+N(F501)+N(G501)</f>
        <v>9000</v>
      </c>
      <c r="J501" s="42" t="n">
        <f aca="false">ROUND(IFERROR(ROUND(IF(OR(ISNUMBER(SEARCH("week",C501)),ISNUMBER(SEARCH("minggu",C501))),IFERROR(_xlfn.NUMBERVALUE(SUBSTITUTE(LEFT(TRIM(C501),FIND(" ",TRIM(C501)&amp;" ")-1),",","."),"."),LEFT(SUBSTITUTE(LEFT(TRIM(C501),FIND(" ",TRIM(C501)&amp;" ")-1),",","."),FIND("/",SUBSTITUTE(LEFT(TRIM(C501),FIND(" ",TRIM(C501)&amp;" ")-1),",","."))-1)/MID(SUBSTITUTE(LEFT(TRIM(C501),FIND(" ",TRIM(C501)&amp;" ")-1),",","."),FIND("/",SUBSTITUTE(LEFT(TRIM(C501),FIND(" ",TRIM(C501)&amp;" ")-1),",","."))+1,9))*12/52,IF(ISNUMBER(SEARCH("month",C501)),IFERROR(_xlfn.NUMBERVALUE(SUBSTITUTE(LEFT(TRIM(C501),FIND(" ",TRIM(C501)&amp;" ")-1),",","."),"."),LEFT(SUBSTITUTE(LEFT(TRIM(C501),FIND(" ",TRIM(C501)&amp;" ")-1),",","."),FIND("/",SUBSTITUTE(LEFT(TRIM(C501),FIND(" ",TRIM(C501)&amp;" ")-1),",","."))-1)/MID(SUBSTITUTE(LEFT(TRIM(C501),FIND(" ",TRIM(C501)&amp;" ")-1),",","."),FIND("/",SUBSTITUTE(LEFT(TRIM(C501),FIND(" ",TRIM(C501)&amp;" ")-1),",","."))+1,9)),IF(ISNUMBER(SEARCH("yea",C501)),IFERROR(_xlfn.NUMBERVALUE(SUBSTITUTE(LEFT(TRIM(C501),FIND(" ",TRIM(C501)&amp;" ")-1),",","."),"."),LEFT(SUBSTITUTE(LEFT(TRIM(C501),FIND(" ",TRIM(C501)&amp;" ")-1),",","."),FIND("/",SUBSTITUTE(LEFT(TRIM(C501),FIND(" ",TRIM(C501)&amp;" ")-1),",","."))-1)/MID(SUBSTITUTE(LEFT(TRIM(C501),FIND(" ",TRIM(C501)&amp;" ")-1),",","."),FIND("/",SUBSTITUTE(LEFT(TRIM(C501),FIND(" ",TRIM(C501)&amp;" ")-1),",","."))+1,9))*12,NA()))),0),12)*'Aturan &amp; Tarif'!$B$4,2)</f>
        <v>681.36</v>
      </c>
      <c r="K501" s="42" t="n">
        <f aca="false">'Aturan &amp; Tarif'!$B$5</f>
        <v>2050</v>
      </c>
      <c r="L501" s="42" t="n">
        <f aca="false">'Aturan &amp; Tarif'!$B$6</f>
        <v>350</v>
      </c>
      <c r="M501" s="35" t="n">
        <f aca="false">I501+J501+K501+L501</f>
        <v>12081.36</v>
      </c>
      <c r="N501" s="44" t="s">
        <v>1116</v>
      </c>
    </row>
    <row r="502" customFormat="false" ht="60" hidden="false" customHeight="true" outlineLevel="0" collapsed="false">
      <c r="A502" s="39"/>
      <c r="B502" s="40" t="s">
        <v>1117</v>
      </c>
      <c r="C502" s="41" t="s">
        <v>130</v>
      </c>
      <c r="D502" s="41" t="s">
        <v>108</v>
      </c>
      <c r="E502" s="42" t="n">
        <v>9000</v>
      </c>
      <c r="F502" s="42"/>
      <c r="G502" s="42"/>
      <c r="H502" s="43" t="n">
        <v>2</v>
      </c>
      <c r="I502" s="34" t="n">
        <f aca="false">E502*H502+N(F502)+N(G502)</f>
        <v>18000</v>
      </c>
      <c r="J502" s="42" t="n">
        <f aca="false">ROUND(IFERROR(ROUND(IF(OR(ISNUMBER(SEARCH("week",C502)),ISNUMBER(SEARCH("minggu",C502))),IFERROR(_xlfn.NUMBERVALUE(SUBSTITUTE(LEFT(TRIM(C502),FIND(" ",TRIM(C502)&amp;" ")-1),",","."),"."),LEFT(SUBSTITUTE(LEFT(TRIM(C502),FIND(" ",TRIM(C502)&amp;" ")-1),",","."),FIND("/",SUBSTITUTE(LEFT(TRIM(C502),FIND(" ",TRIM(C502)&amp;" ")-1),",","."))-1)/MID(SUBSTITUTE(LEFT(TRIM(C502),FIND(" ",TRIM(C502)&amp;" ")-1),",","."),FIND("/",SUBSTITUTE(LEFT(TRIM(C502),FIND(" ",TRIM(C502)&amp;" ")-1),",","."))+1,9))*12/52,IF(ISNUMBER(SEARCH("month",C502)),IFERROR(_xlfn.NUMBERVALUE(SUBSTITUTE(LEFT(TRIM(C502),FIND(" ",TRIM(C502)&amp;" ")-1),",","."),"."),LEFT(SUBSTITUTE(LEFT(TRIM(C502),FIND(" ",TRIM(C502)&amp;" ")-1),",","."),FIND("/",SUBSTITUTE(LEFT(TRIM(C502),FIND(" ",TRIM(C502)&amp;" ")-1),",","."))-1)/MID(SUBSTITUTE(LEFT(TRIM(C502),FIND(" ",TRIM(C502)&amp;" ")-1),",","."),FIND("/",SUBSTITUTE(LEFT(TRIM(C502),FIND(" ",TRIM(C502)&amp;" ")-1),",","."))+1,9)),IF(ISNUMBER(SEARCH("yea",C502)),IFERROR(_xlfn.NUMBERVALUE(SUBSTITUTE(LEFT(TRIM(C502),FIND(" ",TRIM(C502)&amp;" ")-1),",","."),"."),LEFT(SUBSTITUTE(LEFT(TRIM(C502),FIND(" ",TRIM(C502)&amp;" ")-1),",","."),FIND("/",SUBSTITUTE(LEFT(TRIM(C502),FIND(" ",TRIM(C502)&amp;" ")-1),",","."))-1)/MID(SUBSTITUTE(LEFT(TRIM(C502),FIND(" ",TRIM(C502)&amp;" ")-1),",","."),FIND("/",SUBSTITUTE(LEFT(TRIM(C502),FIND(" ",TRIM(C502)&amp;" ")-1),",","."))+1,9))*12,NA()))),0),12)*'Aturan &amp; Tarif'!$B$4,2)</f>
        <v>681.36</v>
      </c>
      <c r="K502" s="42" t="n">
        <f aca="false">'Aturan &amp; Tarif'!$B$5</f>
        <v>2050</v>
      </c>
      <c r="L502" s="42" t="n">
        <f aca="false">'Aturan &amp; Tarif'!$B$6</f>
        <v>350</v>
      </c>
      <c r="M502" s="35" t="n">
        <f aca="false">I502+J502+K502+L502</f>
        <v>21081.36</v>
      </c>
      <c r="N502" s="44" t="s">
        <v>1118</v>
      </c>
    </row>
    <row r="503" customFormat="false" ht="60" hidden="false" customHeight="true" outlineLevel="0" collapsed="false">
      <c r="A503" s="39"/>
      <c r="B503" s="40" t="s">
        <v>349</v>
      </c>
      <c r="C503" s="41" t="s">
        <v>107</v>
      </c>
      <c r="D503" s="41" t="s">
        <v>108</v>
      </c>
      <c r="E503" s="42" t="n">
        <v>9000</v>
      </c>
      <c r="F503" s="42"/>
      <c r="G503" s="42"/>
      <c r="H503" s="43" t="n">
        <v>2</v>
      </c>
      <c r="I503" s="34" t="n">
        <f aca="false">E503*H503+N(F503)+N(G503)</f>
        <v>18000</v>
      </c>
      <c r="J503" s="42" t="n">
        <f aca="false">ROUND(IFERROR(ROUND(IF(OR(ISNUMBER(SEARCH("week",C503)),ISNUMBER(SEARCH("minggu",C503))),IFERROR(_xlfn.NUMBERVALUE(SUBSTITUTE(LEFT(TRIM(C503),FIND(" ",TRIM(C503)&amp;" ")-1),",","."),"."),LEFT(SUBSTITUTE(LEFT(TRIM(C503),FIND(" ",TRIM(C503)&amp;" ")-1),",","."),FIND("/",SUBSTITUTE(LEFT(TRIM(C503),FIND(" ",TRIM(C503)&amp;" ")-1),",","."))-1)/MID(SUBSTITUTE(LEFT(TRIM(C503),FIND(" ",TRIM(C503)&amp;" ")-1),",","."),FIND("/",SUBSTITUTE(LEFT(TRIM(C503),FIND(" ",TRIM(C503)&amp;" ")-1),",","."))+1,9))*12/52,IF(ISNUMBER(SEARCH("month",C503)),IFERROR(_xlfn.NUMBERVALUE(SUBSTITUTE(LEFT(TRIM(C503),FIND(" ",TRIM(C503)&amp;" ")-1),",","."),"."),LEFT(SUBSTITUTE(LEFT(TRIM(C503),FIND(" ",TRIM(C503)&amp;" ")-1),",","."),FIND("/",SUBSTITUTE(LEFT(TRIM(C503),FIND(" ",TRIM(C503)&amp;" ")-1),",","."))-1)/MID(SUBSTITUTE(LEFT(TRIM(C503),FIND(" ",TRIM(C503)&amp;" ")-1),",","."),FIND("/",SUBSTITUTE(LEFT(TRIM(C503),FIND(" ",TRIM(C503)&amp;" ")-1),",","."))+1,9)),IF(ISNUMBER(SEARCH("yea",C503)),IFERROR(_xlfn.NUMBERVALUE(SUBSTITUTE(LEFT(TRIM(C503),FIND(" ",TRIM(C503)&amp;" ")-1),",","."),"."),LEFT(SUBSTITUTE(LEFT(TRIM(C503),FIND(" ",TRIM(C503)&amp;" ")-1),",","."),FIND("/",SUBSTITUTE(LEFT(TRIM(C503),FIND(" ",TRIM(C503)&amp;" ")-1),",","."))-1)/MID(SUBSTITUTE(LEFT(TRIM(C503),FIND(" ",TRIM(C503)&amp;" ")-1),",","."),FIND("/",SUBSTITUTE(LEFT(TRIM(C503),FIND(" ",TRIM(C503)&amp;" ")-1),",","."))+1,9))*12,NA()))),0),24)*'Aturan &amp; Tarif'!$B$4,2)</f>
        <v>1362.72</v>
      </c>
      <c r="K503" s="42" t="n">
        <f aca="false">'Aturan &amp; Tarif'!$B$5</f>
        <v>2050</v>
      </c>
      <c r="L503" s="42" t="n">
        <f aca="false">'Aturan &amp; Tarif'!$B$6</f>
        <v>350</v>
      </c>
      <c r="M503" s="35" t="n">
        <f aca="false">I503+J503+K503+L503</f>
        <v>21762.72</v>
      </c>
      <c r="N503" s="44" t="s">
        <v>1119</v>
      </c>
    </row>
    <row r="504" customFormat="false" ht="60" hidden="false" customHeight="true" outlineLevel="0" collapsed="false">
      <c r="A504" s="39"/>
      <c r="B504" s="40" t="s">
        <v>1120</v>
      </c>
      <c r="C504" s="41" t="s">
        <v>107</v>
      </c>
      <c r="D504" s="41" t="s">
        <v>108</v>
      </c>
      <c r="E504" s="42" t="n">
        <v>9000</v>
      </c>
      <c r="F504" s="42"/>
      <c r="G504" s="42"/>
      <c r="H504" s="43" t="n">
        <v>2</v>
      </c>
      <c r="I504" s="34" t="n">
        <f aca="false">E504*H504+N(F504)+N(G504)</f>
        <v>18000</v>
      </c>
      <c r="J504" s="42" t="n">
        <f aca="false">ROUND(IFERROR(ROUND(IF(OR(ISNUMBER(SEARCH("week",C504)),ISNUMBER(SEARCH("minggu",C504))),IFERROR(_xlfn.NUMBERVALUE(SUBSTITUTE(LEFT(TRIM(C504),FIND(" ",TRIM(C504)&amp;" ")-1),",","."),"."),LEFT(SUBSTITUTE(LEFT(TRIM(C504),FIND(" ",TRIM(C504)&amp;" ")-1),",","."),FIND("/",SUBSTITUTE(LEFT(TRIM(C504),FIND(" ",TRIM(C504)&amp;" ")-1),",","."))-1)/MID(SUBSTITUTE(LEFT(TRIM(C504),FIND(" ",TRIM(C504)&amp;" ")-1),",","."),FIND("/",SUBSTITUTE(LEFT(TRIM(C504),FIND(" ",TRIM(C504)&amp;" ")-1),",","."))+1,9))*12/52,IF(ISNUMBER(SEARCH("month",C504)),IFERROR(_xlfn.NUMBERVALUE(SUBSTITUTE(LEFT(TRIM(C504),FIND(" ",TRIM(C504)&amp;" ")-1),",","."),"."),LEFT(SUBSTITUTE(LEFT(TRIM(C504),FIND(" ",TRIM(C504)&amp;" ")-1),",","."),FIND("/",SUBSTITUTE(LEFT(TRIM(C504),FIND(" ",TRIM(C504)&amp;" ")-1),",","."))-1)/MID(SUBSTITUTE(LEFT(TRIM(C504),FIND(" ",TRIM(C504)&amp;" ")-1),",","."),FIND("/",SUBSTITUTE(LEFT(TRIM(C504),FIND(" ",TRIM(C504)&amp;" ")-1),",","."))+1,9)),IF(ISNUMBER(SEARCH("yea",C504)),IFERROR(_xlfn.NUMBERVALUE(SUBSTITUTE(LEFT(TRIM(C504),FIND(" ",TRIM(C504)&amp;" ")-1),",","."),"."),LEFT(SUBSTITUTE(LEFT(TRIM(C504),FIND(" ",TRIM(C504)&amp;" ")-1),",","."),FIND("/",SUBSTITUTE(LEFT(TRIM(C504),FIND(" ",TRIM(C504)&amp;" ")-1),",","."))-1)/MID(SUBSTITUTE(LEFT(TRIM(C504),FIND(" ",TRIM(C504)&amp;" ")-1),",","."),FIND("/",SUBSTITUTE(LEFT(TRIM(C504),FIND(" ",TRIM(C504)&amp;" ")-1),",","."))+1,9))*12,NA()))),0),24)*'Aturan &amp; Tarif'!$B$4,2)</f>
        <v>1362.72</v>
      </c>
      <c r="K504" s="42" t="n">
        <f aca="false">'Aturan &amp; Tarif'!$B$5</f>
        <v>2050</v>
      </c>
      <c r="L504" s="42" t="n">
        <f aca="false">'Aturan &amp; Tarif'!$B$6</f>
        <v>350</v>
      </c>
      <c r="M504" s="35" t="n">
        <f aca="false">I504+J504+K504+L504</f>
        <v>21762.72</v>
      </c>
      <c r="N504" s="44" t="s">
        <v>1121</v>
      </c>
    </row>
    <row r="505" customFormat="false" ht="60" hidden="false" customHeight="true" outlineLevel="0" collapsed="false">
      <c r="A505" s="39"/>
      <c r="B505" s="40" t="s">
        <v>2488</v>
      </c>
      <c r="C505" s="41" t="s">
        <v>107</v>
      </c>
      <c r="D505" s="41" t="s">
        <v>108</v>
      </c>
      <c r="E505" s="42" t="n">
        <v>9950</v>
      </c>
      <c r="F505" s="42"/>
      <c r="G505" s="42"/>
      <c r="H505" s="43" t="n">
        <v>2</v>
      </c>
      <c r="I505" s="34" t="n">
        <f aca="false">E505*H505+N(F505)+N(G505)</f>
        <v>19900</v>
      </c>
      <c r="J505" s="42" t="n">
        <f aca="false">ROUND(IFERROR(ROUND(IF(OR(ISNUMBER(SEARCH("week",C505)),ISNUMBER(SEARCH("minggu",C505))),IFERROR(_xlfn.NUMBERVALUE(SUBSTITUTE(LEFT(TRIM(C505),FIND(" ",TRIM(C505)&amp;" ")-1),",","."),"."),LEFT(SUBSTITUTE(LEFT(TRIM(C505),FIND(" ",TRIM(C505)&amp;" ")-1),",","."),FIND("/",SUBSTITUTE(LEFT(TRIM(C505),FIND(" ",TRIM(C505)&amp;" ")-1),",","."))-1)/MID(SUBSTITUTE(LEFT(TRIM(C505),FIND(" ",TRIM(C505)&amp;" ")-1),",","."),FIND("/",SUBSTITUTE(LEFT(TRIM(C505),FIND(" ",TRIM(C505)&amp;" ")-1),",","."))+1,9))*12/52,IF(ISNUMBER(SEARCH("month",C505)),IFERROR(_xlfn.NUMBERVALUE(SUBSTITUTE(LEFT(TRIM(C505),FIND(" ",TRIM(C505)&amp;" ")-1),",","."),"."),LEFT(SUBSTITUTE(LEFT(TRIM(C505),FIND(" ",TRIM(C505)&amp;" ")-1),",","."),FIND("/",SUBSTITUTE(LEFT(TRIM(C505),FIND(" ",TRIM(C505)&amp;" ")-1),",","."))-1)/MID(SUBSTITUTE(LEFT(TRIM(C505),FIND(" ",TRIM(C505)&amp;" ")-1),",","."),FIND("/",SUBSTITUTE(LEFT(TRIM(C505),FIND(" ",TRIM(C505)&amp;" ")-1),",","."))+1,9)),IF(ISNUMBER(SEARCH("yea",C505)),IFERROR(_xlfn.NUMBERVALUE(SUBSTITUTE(LEFT(TRIM(C505),FIND(" ",TRIM(C505)&amp;" ")-1),",","."),"."),LEFT(SUBSTITUTE(LEFT(TRIM(C505),FIND(" ",TRIM(C505)&amp;" ")-1),",","."),FIND("/",SUBSTITUTE(LEFT(TRIM(C505),FIND(" ",TRIM(C505)&amp;" ")-1),",","."))-1)/MID(SUBSTITUTE(LEFT(TRIM(C505),FIND(" ",TRIM(C505)&amp;" ")-1),",","."),FIND("/",SUBSTITUTE(LEFT(TRIM(C505),FIND(" ",TRIM(C505)&amp;" ")-1),",","."))+1,9))*12,NA()))),0),24)*'Aturan &amp; Tarif'!$B$4,2)</f>
        <v>1362.72</v>
      </c>
      <c r="K505" s="42" t="n">
        <f aca="false">'Aturan &amp; Tarif'!$B$5</f>
        <v>2050</v>
      </c>
      <c r="L505" s="42" t="n">
        <f aca="false">'Aturan &amp; Tarif'!$B$6</f>
        <v>350</v>
      </c>
      <c r="M505" s="35" t="n">
        <f aca="false">I505+J505+K505+L505</f>
        <v>23662.72</v>
      </c>
      <c r="N505" s="44" t="s">
        <v>1036</v>
      </c>
    </row>
    <row r="506" customFormat="false" ht="60" hidden="false" customHeight="true" outlineLevel="0" collapsed="false">
      <c r="A506" s="39"/>
      <c r="B506" s="40" t="s">
        <v>2489</v>
      </c>
      <c r="C506" s="41" t="s">
        <v>344</v>
      </c>
      <c r="D506" s="41" t="s">
        <v>108</v>
      </c>
      <c r="E506" s="42" t="n">
        <v>3513</v>
      </c>
      <c r="F506" s="42"/>
      <c r="G506" s="42"/>
      <c r="H506" s="43" t="n">
        <v>2</v>
      </c>
      <c r="I506" s="34" t="n">
        <f aca="false">E506*H506+N(F506)+N(G506)</f>
        <v>7026</v>
      </c>
      <c r="J506" s="42" t="n">
        <f aca="false">ROUND(IFERROR(ROUND(IF(OR(ISNUMBER(SEARCH("week",C506)),ISNUMBER(SEARCH("minggu",C506))),IFERROR(_xlfn.NUMBERVALUE(SUBSTITUTE(LEFT(TRIM(C506),FIND(" ",TRIM(C506)&amp;" ")-1),",","."),"."),LEFT(SUBSTITUTE(LEFT(TRIM(C506),FIND(" ",TRIM(C506)&amp;" ")-1),",","."),FIND("/",SUBSTITUTE(LEFT(TRIM(C506),FIND(" ",TRIM(C506)&amp;" ")-1),",","."))-1)/MID(SUBSTITUTE(LEFT(TRIM(C506),FIND(" ",TRIM(C506)&amp;" ")-1),",","."),FIND("/",SUBSTITUTE(LEFT(TRIM(C506),FIND(" ",TRIM(C506)&amp;" ")-1),",","."))+1,9))*12/52,IF(ISNUMBER(SEARCH("month",C506)),IFERROR(_xlfn.NUMBERVALUE(SUBSTITUTE(LEFT(TRIM(C506),FIND(" ",TRIM(C506)&amp;" ")-1),",","."),"."),LEFT(SUBSTITUTE(LEFT(TRIM(C506),FIND(" ",TRIM(C506)&amp;" ")-1),",","."),FIND("/",SUBSTITUTE(LEFT(TRIM(C506),FIND(" ",TRIM(C506)&amp;" ")-1),",","."))-1)/MID(SUBSTITUTE(LEFT(TRIM(C506),FIND(" ",TRIM(C506)&amp;" ")-1),",","."),FIND("/",SUBSTITUTE(LEFT(TRIM(C506),FIND(" ",TRIM(C506)&amp;" ")-1),",","."))+1,9)),IF(ISNUMBER(SEARCH("yea",C506)),IFERROR(_xlfn.NUMBERVALUE(SUBSTITUTE(LEFT(TRIM(C506),FIND(" ",TRIM(C506)&amp;" ")-1),",","."),"."),LEFT(SUBSTITUTE(LEFT(TRIM(C506),FIND(" ",TRIM(C506)&amp;" ")-1),",","."),FIND("/",SUBSTITUTE(LEFT(TRIM(C506),FIND(" ",TRIM(C506)&amp;" ")-1),",","."))-1)/MID(SUBSTITUTE(LEFT(TRIM(C506),FIND(" ",TRIM(C506)&amp;" ")-1),",","."),FIND("/",SUBSTITUTE(LEFT(TRIM(C506),FIND(" ",TRIM(C506)&amp;" ")-1),",","."))+1,9))*12,NA()))),0),6)*'Aturan &amp; Tarif'!$B$4,2)</f>
        <v>340.68</v>
      </c>
      <c r="K506" s="42" t="n">
        <f aca="false">'Aturan &amp; Tarif'!$B$5</f>
        <v>2050</v>
      </c>
      <c r="L506" s="42" t="n">
        <f aca="false">'Aturan &amp; Tarif'!$B$6</f>
        <v>350</v>
      </c>
      <c r="M506" s="35" t="n">
        <f aca="false">I506+J506+K506+L506</f>
        <v>9766.68</v>
      </c>
      <c r="N506" s="44" t="s">
        <v>2490</v>
      </c>
    </row>
    <row r="507" customFormat="false" ht="60" hidden="false" customHeight="true" outlineLevel="0" collapsed="false">
      <c r="A507" s="39"/>
      <c r="B507" s="40" t="s">
        <v>2491</v>
      </c>
      <c r="C507" s="41" t="s">
        <v>130</v>
      </c>
      <c r="D507" s="41" t="s">
        <v>108</v>
      </c>
      <c r="E507" s="42" t="n">
        <v>7025</v>
      </c>
      <c r="F507" s="42"/>
      <c r="G507" s="42"/>
      <c r="H507" s="43" t="n">
        <v>2</v>
      </c>
      <c r="I507" s="34" t="n">
        <f aca="false">E507*H507+N(F507)+N(G507)</f>
        <v>14050</v>
      </c>
      <c r="J507" s="42" t="n">
        <f aca="false">ROUND(IFERROR(ROUND(IF(OR(ISNUMBER(SEARCH("week",C507)),ISNUMBER(SEARCH("minggu",C507))),IFERROR(_xlfn.NUMBERVALUE(SUBSTITUTE(LEFT(TRIM(C507),FIND(" ",TRIM(C507)&amp;" ")-1),",","."),"."),LEFT(SUBSTITUTE(LEFT(TRIM(C507),FIND(" ",TRIM(C507)&amp;" ")-1),",","."),FIND("/",SUBSTITUTE(LEFT(TRIM(C507),FIND(" ",TRIM(C507)&amp;" ")-1),",","."))-1)/MID(SUBSTITUTE(LEFT(TRIM(C507),FIND(" ",TRIM(C507)&amp;" ")-1),",","."),FIND("/",SUBSTITUTE(LEFT(TRIM(C507),FIND(" ",TRIM(C507)&amp;" ")-1),",","."))+1,9))*12/52,IF(ISNUMBER(SEARCH("month",C507)),IFERROR(_xlfn.NUMBERVALUE(SUBSTITUTE(LEFT(TRIM(C507),FIND(" ",TRIM(C507)&amp;" ")-1),",","."),"."),LEFT(SUBSTITUTE(LEFT(TRIM(C507),FIND(" ",TRIM(C507)&amp;" ")-1),",","."),FIND("/",SUBSTITUTE(LEFT(TRIM(C507),FIND(" ",TRIM(C507)&amp;" ")-1),",","."))-1)/MID(SUBSTITUTE(LEFT(TRIM(C507),FIND(" ",TRIM(C507)&amp;" ")-1),",","."),FIND("/",SUBSTITUTE(LEFT(TRIM(C507),FIND(" ",TRIM(C507)&amp;" ")-1),",","."))+1,9)),IF(ISNUMBER(SEARCH("yea",C507)),IFERROR(_xlfn.NUMBERVALUE(SUBSTITUTE(LEFT(TRIM(C507),FIND(" ",TRIM(C507)&amp;" ")-1),",","."),"."),LEFT(SUBSTITUTE(LEFT(TRIM(C507),FIND(" ",TRIM(C507)&amp;" ")-1),",","."),FIND("/",SUBSTITUTE(LEFT(TRIM(C507),FIND(" ",TRIM(C507)&amp;" ")-1),",","."))-1)/MID(SUBSTITUTE(LEFT(TRIM(C507),FIND(" ",TRIM(C507)&amp;" ")-1),",","."),FIND("/",SUBSTITUTE(LEFT(TRIM(C507),FIND(" ",TRIM(C507)&amp;" ")-1),",","."))+1,9))*12,NA()))),0),12)*'Aturan &amp; Tarif'!$B$4,2)</f>
        <v>681.36</v>
      </c>
      <c r="K507" s="42" t="n">
        <f aca="false">'Aturan &amp; Tarif'!$B$5</f>
        <v>2050</v>
      </c>
      <c r="L507" s="42" t="n">
        <f aca="false">'Aturan &amp; Tarif'!$B$6</f>
        <v>350</v>
      </c>
      <c r="M507" s="35" t="n">
        <f aca="false">I507+J507+K507+L507</f>
        <v>17131.36</v>
      </c>
      <c r="N507" s="44" t="s">
        <v>2492</v>
      </c>
    </row>
    <row r="508" customFormat="false" ht="60" hidden="false" customHeight="true" outlineLevel="0" collapsed="false">
      <c r="A508" s="39"/>
      <c r="B508" s="40" t="s">
        <v>2493</v>
      </c>
      <c r="C508" s="41" t="s">
        <v>113</v>
      </c>
      <c r="D508" s="41" t="s">
        <v>108</v>
      </c>
      <c r="E508" s="42" t="n">
        <v>7025</v>
      </c>
      <c r="F508" s="42"/>
      <c r="G508" s="42"/>
      <c r="H508" s="43" t="n">
        <v>2</v>
      </c>
      <c r="I508" s="34" t="n">
        <f aca="false">E508*H508+N(F508)+N(G508)</f>
        <v>14050</v>
      </c>
      <c r="J508" s="42" t="n">
        <f aca="false">ROUND(IFERROR(ROUND(IF(OR(ISNUMBER(SEARCH("week",C508)),ISNUMBER(SEARCH("minggu",C508))),IFERROR(_xlfn.NUMBERVALUE(SUBSTITUTE(LEFT(TRIM(C508),FIND(" ",TRIM(C508)&amp;" ")-1),",","."),"."),LEFT(SUBSTITUTE(LEFT(TRIM(C508),FIND(" ",TRIM(C508)&amp;" ")-1),",","."),FIND("/",SUBSTITUTE(LEFT(TRIM(C508),FIND(" ",TRIM(C508)&amp;" ")-1),",","."))-1)/MID(SUBSTITUTE(LEFT(TRIM(C508),FIND(" ",TRIM(C508)&amp;" ")-1),",","."),FIND("/",SUBSTITUTE(LEFT(TRIM(C508),FIND(" ",TRIM(C508)&amp;" ")-1),",","."))+1,9))*12/52,IF(ISNUMBER(SEARCH("month",C508)),IFERROR(_xlfn.NUMBERVALUE(SUBSTITUTE(LEFT(TRIM(C508),FIND(" ",TRIM(C508)&amp;" ")-1),",","."),"."),LEFT(SUBSTITUTE(LEFT(TRIM(C508),FIND(" ",TRIM(C508)&amp;" ")-1),",","."),FIND("/",SUBSTITUTE(LEFT(TRIM(C508),FIND(" ",TRIM(C508)&amp;" ")-1),",","."))-1)/MID(SUBSTITUTE(LEFT(TRIM(C508),FIND(" ",TRIM(C508)&amp;" ")-1),",","."),FIND("/",SUBSTITUTE(LEFT(TRIM(C508),FIND(" ",TRIM(C508)&amp;" ")-1),",","."))+1,9)),IF(ISNUMBER(SEARCH("yea",C508)),IFERROR(_xlfn.NUMBERVALUE(SUBSTITUTE(LEFT(TRIM(C508),FIND(" ",TRIM(C508)&amp;" ")-1),",","."),"."),LEFT(SUBSTITUTE(LEFT(TRIM(C508),FIND(" ",TRIM(C508)&amp;" ")-1),",","."),FIND("/",SUBSTITUTE(LEFT(TRIM(C508),FIND(" ",TRIM(C508)&amp;" ")-1),",","."))-1)/MID(SUBSTITUTE(LEFT(TRIM(C508),FIND(" ",TRIM(C508)&amp;" ")-1),",","."),FIND("/",SUBSTITUTE(LEFT(TRIM(C508),FIND(" ",TRIM(C508)&amp;" ")-1),",","."))+1,9))*12,NA()))),0),18)*'Aturan &amp; Tarif'!$B$4,2)</f>
        <v>1022.04</v>
      </c>
      <c r="K508" s="42" t="n">
        <f aca="false">'Aturan &amp; Tarif'!$B$5</f>
        <v>2050</v>
      </c>
      <c r="L508" s="42" t="n">
        <f aca="false">'Aturan &amp; Tarif'!$B$6</f>
        <v>350</v>
      </c>
      <c r="M508" s="35" t="n">
        <f aca="false">I508+J508+K508+L508</f>
        <v>17472.04</v>
      </c>
      <c r="N508" s="44" t="s">
        <v>2494</v>
      </c>
    </row>
    <row r="509" customFormat="false" ht="60" hidden="false" customHeight="true" outlineLevel="0" collapsed="false">
      <c r="A509" s="39"/>
      <c r="B509" s="40" t="s">
        <v>2495</v>
      </c>
      <c r="C509" s="41" t="s">
        <v>107</v>
      </c>
      <c r="D509" s="41" t="s">
        <v>108</v>
      </c>
      <c r="E509" s="42" t="n">
        <v>7025</v>
      </c>
      <c r="F509" s="42"/>
      <c r="G509" s="42"/>
      <c r="H509" s="43" t="n">
        <v>2</v>
      </c>
      <c r="I509" s="34" t="n">
        <f aca="false">E509*H509+N(F509)+N(G509)</f>
        <v>14050</v>
      </c>
      <c r="J509" s="42" t="n">
        <f aca="false">ROUND(IFERROR(ROUND(IF(OR(ISNUMBER(SEARCH("week",C509)),ISNUMBER(SEARCH("minggu",C509))),IFERROR(_xlfn.NUMBERVALUE(SUBSTITUTE(LEFT(TRIM(C509),FIND(" ",TRIM(C509)&amp;" ")-1),",","."),"."),LEFT(SUBSTITUTE(LEFT(TRIM(C509),FIND(" ",TRIM(C509)&amp;" ")-1),",","."),FIND("/",SUBSTITUTE(LEFT(TRIM(C509),FIND(" ",TRIM(C509)&amp;" ")-1),",","."))-1)/MID(SUBSTITUTE(LEFT(TRIM(C509),FIND(" ",TRIM(C509)&amp;" ")-1),",","."),FIND("/",SUBSTITUTE(LEFT(TRIM(C509),FIND(" ",TRIM(C509)&amp;" ")-1),",","."))+1,9))*12/52,IF(ISNUMBER(SEARCH("month",C509)),IFERROR(_xlfn.NUMBERVALUE(SUBSTITUTE(LEFT(TRIM(C509),FIND(" ",TRIM(C509)&amp;" ")-1),",","."),"."),LEFT(SUBSTITUTE(LEFT(TRIM(C509),FIND(" ",TRIM(C509)&amp;" ")-1),",","."),FIND("/",SUBSTITUTE(LEFT(TRIM(C509),FIND(" ",TRIM(C509)&amp;" ")-1),",","."))-1)/MID(SUBSTITUTE(LEFT(TRIM(C509),FIND(" ",TRIM(C509)&amp;" ")-1),",","."),FIND("/",SUBSTITUTE(LEFT(TRIM(C509),FIND(" ",TRIM(C509)&amp;" ")-1),",","."))+1,9)),IF(ISNUMBER(SEARCH("yea",C509)),IFERROR(_xlfn.NUMBERVALUE(SUBSTITUTE(LEFT(TRIM(C509),FIND(" ",TRIM(C509)&amp;" ")-1),",","."),"."),LEFT(SUBSTITUTE(LEFT(TRIM(C509),FIND(" ",TRIM(C509)&amp;" ")-1),",","."),FIND("/",SUBSTITUTE(LEFT(TRIM(C509),FIND(" ",TRIM(C509)&amp;" ")-1),",","."))-1)/MID(SUBSTITUTE(LEFT(TRIM(C509),FIND(" ",TRIM(C509)&amp;" ")-1),",","."),FIND("/",SUBSTITUTE(LEFT(TRIM(C509),FIND(" ",TRIM(C509)&amp;" ")-1),",","."))+1,9))*12,NA()))),0),24)*'Aturan &amp; Tarif'!$B$4,2)</f>
        <v>1362.72</v>
      </c>
      <c r="K509" s="42" t="n">
        <f aca="false">'Aturan &amp; Tarif'!$B$5</f>
        <v>2050</v>
      </c>
      <c r="L509" s="42" t="n">
        <f aca="false">'Aturan &amp; Tarif'!$B$6</f>
        <v>350</v>
      </c>
      <c r="M509" s="35" t="n">
        <f aca="false">I509+J509+K509+L509</f>
        <v>17812.72</v>
      </c>
      <c r="N509" s="44" t="s">
        <v>2496</v>
      </c>
    </row>
    <row r="510" customFormat="false" ht="60" hidden="false" customHeight="true" outlineLevel="0" collapsed="false">
      <c r="A510" s="39"/>
      <c r="B510" s="40" t="s">
        <v>2497</v>
      </c>
      <c r="C510" s="41" t="s">
        <v>130</v>
      </c>
      <c r="D510" s="41" t="s">
        <v>108</v>
      </c>
      <c r="E510" s="42" t="n">
        <v>7025</v>
      </c>
      <c r="F510" s="42"/>
      <c r="G510" s="42"/>
      <c r="H510" s="43" t="n">
        <v>2</v>
      </c>
      <c r="I510" s="34" t="n">
        <f aca="false">E510*H510+N(F510)+N(G510)</f>
        <v>14050</v>
      </c>
      <c r="J510" s="42" t="n">
        <f aca="false">ROUND(IFERROR(ROUND(IF(OR(ISNUMBER(SEARCH("week",C510)),ISNUMBER(SEARCH("minggu",C510))),IFERROR(_xlfn.NUMBERVALUE(SUBSTITUTE(LEFT(TRIM(C510),FIND(" ",TRIM(C510)&amp;" ")-1),",","."),"."),LEFT(SUBSTITUTE(LEFT(TRIM(C510),FIND(" ",TRIM(C510)&amp;" ")-1),",","."),FIND("/",SUBSTITUTE(LEFT(TRIM(C510),FIND(" ",TRIM(C510)&amp;" ")-1),",","."))-1)/MID(SUBSTITUTE(LEFT(TRIM(C510),FIND(" ",TRIM(C510)&amp;" ")-1),",","."),FIND("/",SUBSTITUTE(LEFT(TRIM(C510),FIND(" ",TRIM(C510)&amp;" ")-1),",","."))+1,9))*12/52,IF(ISNUMBER(SEARCH("month",C510)),IFERROR(_xlfn.NUMBERVALUE(SUBSTITUTE(LEFT(TRIM(C510),FIND(" ",TRIM(C510)&amp;" ")-1),",","."),"."),LEFT(SUBSTITUTE(LEFT(TRIM(C510),FIND(" ",TRIM(C510)&amp;" ")-1),",","."),FIND("/",SUBSTITUTE(LEFT(TRIM(C510),FIND(" ",TRIM(C510)&amp;" ")-1),",","."))-1)/MID(SUBSTITUTE(LEFT(TRIM(C510),FIND(" ",TRIM(C510)&amp;" ")-1),",","."),FIND("/",SUBSTITUTE(LEFT(TRIM(C510),FIND(" ",TRIM(C510)&amp;" ")-1),",","."))+1,9)),IF(ISNUMBER(SEARCH("yea",C510)),IFERROR(_xlfn.NUMBERVALUE(SUBSTITUTE(LEFT(TRIM(C510),FIND(" ",TRIM(C510)&amp;" ")-1),",","."),"."),LEFT(SUBSTITUTE(LEFT(TRIM(C510),FIND(" ",TRIM(C510)&amp;" ")-1),",","."),FIND("/",SUBSTITUTE(LEFT(TRIM(C510),FIND(" ",TRIM(C510)&amp;" ")-1),",","."))-1)/MID(SUBSTITUTE(LEFT(TRIM(C510),FIND(" ",TRIM(C510)&amp;" ")-1),",","."),FIND("/",SUBSTITUTE(LEFT(TRIM(C510),FIND(" ",TRIM(C510)&amp;" ")-1),",","."))+1,9))*12,NA()))),0),12)*'Aturan &amp; Tarif'!$B$4,2)</f>
        <v>681.36</v>
      </c>
      <c r="K510" s="42" t="n">
        <f aca="false">'Aturan &amp; Tarif'!$B$5</f>
        <v>2050</v>
      </c>
      <c r="L510" s="42" t="n">
        <f aca="false">'Aturan &amp; Tarif'!$B$6</f>
        <v>350</v>
      </c>
      <c r="M510" s="35" t="n">
        <f aca="false">I510+J510+K510+L510</f>
        <v>17131.36</v>
      </c>
      <c r="N510" s="44" t="s">
        <v>2498</v>
      </c>
    </row>
    <row r="511" customFormat="false" ht="60" hidden="false" customHeight="true" outlineLevel="0" collapsed="false">
      <c r="A511" s="39"/>
      <c r="B511" s="40" t="s">
        <v>2499</v>
      </c>
      <c r="C511" s="41" t="s">
        <v>113</v>
      </c>
      <c r="D511" s="41" t="s">
        <v>108</v>
      </c>
      <c r="E511" s="42" t="n">
        <v>7025</v>
      </c>
      <c r="F511" s="42"/>
      <c r="G511" s="42"/>
      <c r="H511" s="43" t="n">
        <v>2</v>
      </c>
      <c r="I511" s="34" t="n">
        <f aca="false">E511*H511+N(F511)+N(G511)</f>
        <v>14050</v>
      </c>
      <c r="J511" s="42" t="n">
        <f aca="false">ROUND(IFERROR(ROUND(IF(OR(ISNUMBER(SEARCH("week",C511)),ISNUMBER(SEARCH("minggu",C511))),IFERROR(_xlfn.NUMBERVALUE(SUBSTITUTE(LEFT(TRIM(C511),FIND(" ",TRIM(C511)&amp;" ")-1),",","."),"."),LEFT(SUBSTITUTE(LEFT(TRIM(C511),FIND(" ",TRIM(C511)&amp;" ")-1),",","."),FIND("/",SUBSTITUTE(LEFT(TRIM(C511),FIND(" ",TRIM(C511)&amp;" ")-1),",","."))-1)/MID(SUBSTITUTE(LEFT(TRIM(C511),FIND(" ",TRIM(C511)&amp;" ")-1),",","."),FIND("/",SUBSTITUTE(LEFT(TRIM(C511),FIND(" ",TRIM(C511)&amp;" ")-1),",","."))+1,9))*12/52,IF(ISNUMBER(SEARCH("month",C511)),IFERROR(_xlfn.NUMBERVALUE(SUBSTITUTE(LEFT(TRIM(C511),FIND(" ",TRIM(C511)&amp;" ")-1),",","."),"."),LEFT(SUBSTITUTE(LEFT(TRIM(C511),FIND(" ",TRIM(C511)&amp;" ")-1),",","."),FIND("/",SUBSTITUTE(LEFT(TRIM(C511),FIND(" ",TRIM(C511)&amp;" ")-1),",","."))-1)/MID(SUBSTITUTE(LEFT(TRIM(C511),FIND(" ",TRIM(C511)&amp;" ")-1),",","."),FIND("/",SUBSTITUTE(LEFT(TRIM(C511),FIND(" ",TRIM(C511)&amp;" ")-1),",","."))+1,9)),IF(ISNUMBER(SEARCH("yea",C511)),IFERROR(_xlfn.NUMBERVALUE(SUBSTITUTE(LEFT(TRIM(C511),FIND(" ",TRIM(C511)&amp;" ")-1),",","."),"."),LEFT(SUBSTITUTE(LEFT(TRIM(C511),FIND(" ",TRIM(C511)&amp;" ")-1),",","."),FIND("/",SUBSTITUTE(LEFT(TRIM(C511),FIND(" ",TRIM(C511)&amp;" ")-1),",","."))-1)/MID(SUBSTITUTE(LEFT(TRIM(C511),FIND(" ",TRIM(C511)&amp;" ")-1),",","."),FIND("/",SUBSTITUTE(LEFT(TRIM(C511),FIND(" ",TRIM(C511)&amp;" ")-1),",","."))+1,9))*12,NA()))),0),18)*'Aturan &amp; Tarif'!$B$4,2)</f>
        <v>1022.04</v>
      </c>
      <c r="K511" s="42" t="n">
        <f aca="false">'Aturan &amp; Tarif'!$B$5</f>
        <v>2050</v>
      </c>
      <c r="L511" s="42" t="n">
        <f aca="false">'Aturan &amp; Tarif'!$B$6</f>
        <v>350</v>
      </c>
      <c r="M511" s="35" t="n">
        <f aca="false">I511+J511+K511+L511</f>
        <v>17472.04</v>
      </c>
      <c r="N511" s="44" t="s">
        <v>2500</v>
      </c>
    </row>
    <row r="512" customFormat="false" ht="60" hidden="false" customHeight="true" outlineLevel="0" collapsed="false">
      <c r="A512" s="39"/>
      <c r="B512" s="40" t="s">
        <v>2501</v>
      </c>
      <c r="C512" s="41" t="s">
        <v>107</v>
      </c>
      <c r="D512" s="41" t="s">
        <v>108</v>
      </c>
      <c r="E512" s="42" t="n">
        <v>7025</v>
      </c>
      <c r="F512" s="42"/>
      <c r="G512" s="42"/>
      <c r="H512" s="43" t="n">
        <v>2</v>
      </c>
      <c r="I512" s="34" t="n">
        <f aca="false">E512*H512+N(F512)+N(G512)</f>
        <v>14050</v>
      </c>
      <c r="J512" s="42" t="n">
        <f aca="false">ROUND(IFERROR(ROUND(IF(OR(ISNUMBER(SEARCH("week",C512)),ISNUMBER(SEARCH("minggu",C512))),IFERROR(_xlfn.NUMBERVALUE(SUBSTITUTE(LEFT(TRIM(C512),FIND(" ",TRIM(C512)&amp;" ")-1),",","."),"."),LEFT(SUBSTITUTE(LEFT(TRIM(C512),FIND(" ",TRIM(C512)&amp;" ")-1),",","."),FIND("/",SUBSTITUTE(LEFT(TRIM(C512),FIND(" ",TRIM(C512)&amp;" ")-1),",","."))-1)/MID(SUBSTITUTE(LEFT(TRIM(C512),FIND(" ",TRIM(C512)&amp;" ")-1),",","."),FIND("/",SUBSTITUTE(LEFT(TRIM(C512),FIND(" ",TRIM(C512)&amp;" ")-1),",","."))+1,9))*12/52,IF(ISNUMBER(SEARCH("month",C512)),IFERROR(_xlfn.NUMBERVALUE(SUBSTITUTE(LEFT(TRIM(C512),FIND(" ",TRIM(C512)&amp;" ")-1),",","."),"."),LEFT(SUBSTITUTE(LEFT(TRIM(C512),FIND(" ",TRIM(C512)&amp;" ")-1),",","."),FIND("/",SUBSTITUTE(LEFT(TRIM(C512),FIND(" ",TRIM(C512)&amp;" ")-1),",","."))-1)/MID(SUBSTITUTE(LEFT(TRIM(C512),FIND(" ",TRIM(C512)&amp;" ")-1),",","."),FIND("/",SUBSTITUTE(LEFT(TRIM(C512),FIND(" ",TRIM(C512)&amp;" ")-1),",","."))+1,9)),IF(ISNUMBER(SEARCH("yea",C512)),IFERROR(_xlfn.NUMBERVALUE(SUBSTITUTE(LEFT(TRIM(C512),FIND(" ",TRIM(C512)&amp;" ")-1),",","."),"."),LEFT(SUBSTITUTE(LEFT(TRIM(C512),FIND(" ",TRIM(C512)&amp;" ")-1),",","."),FIND("/",SUBSTITUTE(LEFT(TRIM(C512),FIND(" ",TRIM(C512)&amp;" ")-1),",","."))-1)/MID(SUBSTITUTE(LEFT(TRIM(C512),FIND(" ",TRIM(C512)&amp;" ")-1),",","."),FIND("/",SUBSTITUTE(LEFT(TRIM(C512),FIND(" ",TRIM(C512)&amp;" ")-1),",","."))+1,9))*12,NA()))),0),24)*'Aturan &amp; Tarif'!$B$4,2)</f>
        <v>1362.72</v>
      </c>
      <c r="K512" s="42" t="n">
        <f aca="false">'Aturan &amp; Tarif'!$B$5</f>
        <v>2050</v>
      </c>
      <c r="L512" s="42" t="n">
        <f aca="false">'Aturan &amp; Tarif'!$B$6</f>
        <v>350</v>
      </c>
      <c r="M512" s="35" t="n">
        <f aca="false">I512+J512+K512+L512</f>
        <v>17812.72</v>
      </c>
      <c r="N512" s="44" t="s">
        <v>2502</v>
      </c>
    </row>
    <row r="513" customFormat="false" ht="60" hidden="false" customHeight="true" outlineLevel="0" collapsed="false">
      <c r="A513" s="39"/>
      <c r="B513" s="40" t="s">
        <v>2503</v>
      </c>
      <c r="C513" s="41" t="s">
        <v>130</v>
      </c>
      <c r="D513" s="41" t="s">
        <v>108</v>
      </c>
      <c r="E513" s="42" t="n">
        <v>7025</v>
      </c>
      <c r="F513" s="42"/>
      <c r="G513" s="42"/>
      <c r="H513" s="43" t="n">
        <v>2</v>
      </c>
      <c r="I513" s="34" t="n">
        <f aca="false">E513*H513+N(F513)+N(G513)</f>
        <v>14050</v>
      </c>
      <c r="J513" s="42" t="n">
        <f aca="false">ROUND(IFERROR(ROUND(IF(OR(ISNUMBER(SEARCH("week",C513)),ISNUMBER(SEARCH("minggu",C513))),IFERROR(_xlfn.NUMBERVALUE(SUBSTITUTE(LEFT(TRIM(C513),FIND(" ",TRIM(C513)&amp;" ")-1),",","."),"."),LEFT(SUBSTITUTE(LEFT(TRIM(C513),FIND(" ",TRIM(C513)&amp;" ")-1),",","."),FIND("/",SUBSTITUTE(LEFT(TRIM(C513),FIND(" ",TRIM(C513)&amp;" ")-1),",","."))-1)/MID(SUBSTITUTE(LEFT(TRIM(C513),FIND(" ",TRIM(C513)&amp;" ")-1),",","."),FIND("/",SUBSTITUTE(LEFT(TRIM(C513),FIND(" ",TRIM(C513)&amp;" ")-1),",","."))+1,9))*12/52,IF(ISNUMBER(SEARCH("month",C513)),IFERROR(_xlfn.NUMBERVALUE(SUBSTITUTE(LEFT(TRIM(C513),FIND(" ",TRIM(C513)&amp;" ")-1),",","."),"."),LEFT(SUBSTITUTE(LEFT(TRIM(C513),FIND(" ",TRIM(C513)&amp;" ")-1),",","."),FIND("/",SUBSTITUTE(LEFT(TRIM(C513),FIND(" ",TRIM(C513)&amp;" ")-1),",","."))-1)/MID(SUBSTITUTE(LEFT(TRIM(C513),FIND(" ",TRIM(C513)&amp;" ")-1),",","."),FIND("/",SUBSTITUTE(LEFT(TRIM(C513),FIND(" ",TRIM(C513)&amp;" ")-1),",","."))+1,9)),IF(ISNUMBER(SEARCH("yea",C513)),IFERROR(_xlfn.NUMBERVALUE(SUBSTITUTE(LEFT(TRIM(C513),FIND(" ",TRIM(C513)&amp;" ")-1),",","."),"."),LEFT(SUBSTITUTE(LEFT(TRIM(C513),FIND(" ",TRIM(C513)&amp;" ")-1),",","."),FIND("/",SUBSTITUTE(LEFT(TRIM(C513),FIND(" ",TRIM(C513)&amp;" ")-1),",","."))-1)/MID(SUBSTITUTE(LEFT(TRIM(C513),FIND(" ",TRIM(C513)&amp;" ")-1),",","."),FIND("/",SUBSTITUTE(LEFT(TRIM(C513),FIND(" ",TRIM(C513)&amp;" ")-1),",","."))+1,9))*12,NA()))),0),12)*'Aturan &amp; Tarif'!$B$4,2)</f>
        <v>681.36</v>
      </c>
      <c r="K513" s="42" t="n">
        <f aca="false">'Aturan &amp; Tarif'!$B$5</f>
        <v>2050</v>
      </c>
      <c r="L513" s="42" t="n">
        <f aca="false">'Aturan &amp; Tarif'!$B$6</f>
        <v>350</v>
      </c>
      <c r="M513" s="35" t="n">
        <f aca="false">I513+J513+K513+L513</f>
        <v>17131.36</v>
      </c>
      <c r="N513" s="44" t="s">
        <v>2504</v>
      </c>
    </row>
    <row r="514" customFormat="false" ht="60" hidden="false" customHeight="true" outlineLevel="0" collapsed="false">
      <c r="A514" s="39"/>
      <c r="B514" s="40" t="s">
        <v>2505</v>
      </c>
      <c r="C514" s="41" t="s">
        <v>113</v>
      </c>
      <c r="D514" s="41" t="s">
        <v>108</v>
      </c>
      <c r="E514" s="42" t="n">
        <v>7025</v>
      </c>
      <c r="F514" s="42"/>
      <c r="G514" s="42"/>
      <c r="H514" s="43" t="n">
        <v>2</v>
      </c>
      <c r="I514" s="34" t="n">
        <f aca="false">E514*H514+N(F514)+N(G514)</f>
        <v>14050</v>
      </c>
      <c r="J514" s="42" t="n">
        <f aca="false">ROUND(IFERROR(ROUND(IF(OR(ISNUMBER(SEARCH("week",C514)),ISNUMBER(SEARCH("minggu",C514))),IFERROR(_xlfn.NUMBERVALUE(SUBSTITUTE(LEFT(TRIM(C514),FIND(" ",TRIM(C514)&amp;" ")-1),",","."),"."),LEFT(SUBSTITUTE(LEFT(TRIM(C514),FIND(" ",TRIM(C514)&amp;" ")-1),",","."),FIND("/",SUBSTITUTE(LEFT(TRIM(C514),FIND(" ",TRIM(C514)&amp;" ")-1),",","."))-1)/MID(SUBSTITUTE(LEFT(TRIM(C514),FIND(" ",TRIM(C514)&amp;" ")-1),",","."),FIND("/",SUBSTITUTE(LEFT(TRIM(C514),FIND(" ",TRIM(C514)&amp;" ")-1),",","."))+1,9))*12/52,IF(ISNUMBER(SEARCH("month",C514)),IFERROR(_xlfn.NUMBERVALUE(SUBSTITUTE(LEFT(TRIM(C514),FIND(" ",TRIM(C514)&amp;" ")-1),",","."),"."),LEFT(SUBSTITUTE(LEFT(TRIM(C514),FIND(" ",TRIM(C514)&amp;" ")-1),",","."),FIND("/",SUBSTITUTE(LEFT(TRIM(C514),FIND(" ",TRIM(C514)&amp;" ")-1),",","."))-1)/MID(SUBSTITUTE(LEFT(TRIM(C514),FIND(" ",TRIM(C514)&amp;" ")-1),",","."),FIND("/",SUBSTITUTE(LEFT(TRIM(C514),FIND(" ",TRIM(C514)&amp;" ")-1),",","."))+1,9)),IF(ISNUMBER(SEARCH("yea",C514)),IFERROR(_xlfn.NUMBERVALUE(SUBSTITUTE(LEFT(TRIM(C514),FIND(" ",TRIM(C514)&amp;" ")-1),",","."),"."),LEFT(SUBSTITUTE(LEFT(TRIM(C514),FIND(" ",TRIM(C514)&amp;" ")-1),",","."),FIND("/",SUBSTITUTE(LEFT(TRIM(C514),FIND(" ",TRIM(C514)&amp;" ")-1),",","."))-1)/MID(SUBSTITUTE(LEFT(TRIM(C514),FIND(" ",TRIM(C514)&amp;" ")-1),",","."),FIND("/",SUBSTITUTE(LEFT(TRIM(C514),FIND(" ",TRIM(C514)&amp;" ")-1),",","."))+1,9))*12,NA()))),0),18)*'Aturan &amp; Tarif'!$B$4,2)</f>
        <v>1022.04</v>
      </c>
      <c r="K514" s="42" t="n">
        <f aca="false">'Aturan &amp; Tarif'!$B$5</f>
        <v>2050</v>
      </c>
      <c r="L514" s="42" t="n">
        <f aca="false">'Aturan &amp; Tarif'!$B$6</f>
        <v>350</v>
      </c>
      <c r="M514" s="35" t="n">
        <f aca="false">I514+J514+K514+L514</f>
        <v>17472.04</v>
      </c>
      <c r="N514" s="44" t="s">
        <v>2506</v>
      </c>
    </row>
    <row r="515" customFormat="false" ht="60" hidden="false" customHeight="true" outlineLevel="0" collapsed="false">
      <c r="A515" s="39"/>
      <c r="B515" s="40" t="s">
        <v>2507</v>
      </c>
      <c r="C515" s="41" t="s">
        <v>107</v>
      </c>
      <c r="D515" s="41" t="s">
        <v>108</v>
      </c>
      <c r="E515" s="42" t="n">
        <v>7025</v>
      </c>
      <c r="F515" s="42"/>
      <c r="G515" s="42"/>
      <c r="H515" s="43" t="n">
        <v>2</v>
      </c>
      <c r="I515" s="34" t="n">
        <f aca="false">E515*H515+N(F515)+N(G515)</f>
        <v>14050</v>
      </c>
      <c r="J515" s="42" t="n">
        <f aca="false">ROUND(IFERROR(ROUND(IF(OR(ISNUMBER(SEARCH("week",C515)),ISNUMBER(SEARCH("minggu",C515))),IFERROR(_xlfn.NUMBERVALUE(SUBSTITUTE(LEFT(TRIM(C515),FIND(" ",TRIM(C515)&amp;" ")-1),",","."),"."),LEFT(SUBSTITUTE(LEFT(TRIM(C515),FIND(" ",TRIM(C515)&amp;" ")-1),",","."),FIND("/",SUBSTITUTE(LEFT(TRIM(C515),FIND(" ",TRIM(C515)&amp;" ")-1),",","."))-1)/MID(SUBSTITUTE(LEFT(TRIM(C515),FIND(" ",TRIM(C515)&amp;" ")-1),",","."),FIND("/",SUBSTITUTE(LEFT(TRIM(C515),FIND(" ",TRIM(C515)&amp;" ")-1),",","."))+1,9))*12/52,IF(ISNUMBER(SEARCH("month",C515)),IFERROR(_xlfn.NUMBERVALUE(SUBSTITUTE(LEFT(TRIM(C515),FIND(" ",TRIM(C515)&amp;" ")-1),",","."),"."),LEFT(SUBSTITUTE(LEFT(TRIM(C515),FIND(" ",TRIM(C515)&amp;" ")-1),",","."),FIND("/",SUBSTITUTE(LEFT(TRIM(C515),FIND(" ",TRIM(C515)&amp;" ")-1),",","."))-1)/MID(SUBSTITUTE(LEFT(TRIM(C515),FIND(" ",TRIM(C515)&amp;" ")-1),",","."),FIND("/",SUBSTITUTE(LEFT(TRIM(C515),FIND(" ",TRIM(C515)&amp;" ")-1),",","."))+1,9)),IF(ISNUMBER(SEARCH("yea",C515)),IFERROR(_xlfn.NUMBERVALUE(SUBSTITUTE(LEFT(TRIM(C515),FIND(" ",TRIM(C515)&amp;" ")-1),",","."),"."),LEFT(SUBSTITUTE(LEFT(TRIM(C515),FIND(" ",TRIM(C515)&amp;" ")-1),",","."),FIND("/",SUBSTITUTE(LEFT(TRIM(C515),FIND(" ",TRIM(C515)&amp;" ")-1),",","."))-1)/MID(SUBSTITUTE(LEFT(TRIM(C515),FIND(" ",TRIM(C515)&amp;" ")-1),",","."),FIND("/",SUBSTITUTE(LEFT(TRIM(C515),FIND(" ",TRIM(C515)&amp;" ")-1),",","."))+1,9))*12,NA()))),0),24)*'Aturan &amp; Tarif'!$B$4,2)</f>
        <v>1362.72</v>
      </c>
      <c r="K515" s="42" t="n">
        <f aca="false">'Aturan &amp; Tarif'!$B$5</f>
        <v>2050</v>
      </c>
      <c r="L515" s="42" t="n">
        <f aca="false">'Aturan &amp; Tarif'!$B$6</f>
        <v>350</v>
      </c>
      <c r="M515" s="35" t="n">
        <f aca="false">I515+J515+K515+L515</f>
        <v>17812.72</v>
      </c>
      <c r="N515" s="44" t="s">
        <v>2508</v>
      </c>
    </row>
    <row r="516" customFormat="false" ht="60" hidden="false" customHeight="true" outlineLevel="0" collapsed="false">
      <c r="A516" s="39"/>
      <c r="B516" s="40" t="s">
        <v>1128</v>
      </c>
      <c r="C516" s="41" t="s">
        <v>191</v>
      </c>
      <c r="D516" s="41" t="s">
        <v>108</v>
      </c>
      <c r="E516" s="42" t="n">
        <v>7333</v>
      </c>
      <c r="F516" s="42"/>
      <c r="G516" s="42"/>
      <c r="H516" s="43" t="n">
        <v>2</v>
      </c>
      <c r="I516" s="34" t="n">
        <f aca="false">E516*H516+N(F516)+N(G516)</f>
        <v>14666</v>
      </c>
      <c r="J516" s="42" t="n">
        <f aca="false">ROUND(IFERROR(ROUND(IF(OR(ISNUMBER(SEARCH("week",C516)),ISNUMBER(SEARCH("minggu",C516))),IFERROR(_xlfn.NUMBERVALUE(SUBSTITUTE(LEFT(TRIM(C516),FIND(" ",TRIM(C516)&amp;" ")-1),",","."),"."),LEFT(SUBSTITUTE(LEFT(TRIM(C516),FIND(" ",TRIM(C516)&amp;" ")-1),",","."),FIND("/",SUBSTITUTE(LEFT(TRIM(C516),FIND(" ",TRIM(C516)&amp;" ")-1),",","."))-1)/MID(SUBSTITUTE(LEFT(TRIM(C516),FIND(" ",TRIM(C516)&amp;" ")-1),",","."),FIND("/",SUBSTITUTE(LEFT(TRIM(C516),FIND(" ",TRIM(C516)&amp;" ")-1),",","."))+1,9))*12/52,IF(ISNUMBER(SEARCH("month",C516)),IFERROR(_xlfn.NUMBERVALUE(SUBSTITUTE(LEFT(TRIM(C516),FIND(" ",TRIM(C516)&amp;" ")-1),",","."),"."),LEFT(SUBSTITUTE(LEFT(TRIM(C516),FIND(" ",TRIM(C516)&amp;" ")-1),",","."),FIND("/",SUBSTITUTE(LEFT(TRIM(C516),FIND(" ",TRIM(C516)&amp;" ")-1),",","."))-1)/MID(SUBSTITUTE(LEFT(TRIM(C516),FIND(" ",TRIM(C516)&amp;" ")-1),",","."),FIND("/",SUBSTITUTE(LEFT(TRIM(C516),FIND(" ",TRIM(C516)&amp;" ")-1),",","."))+1,9)),IF(ISNUMBER(SEARCH("yea",C516)),IFERROR(_xlfn.NUMBERVALUE(SUBSTITUTE(LEFT(TRIM(C516),FIND(" ",TRIM(C516)&amp;" ")-1),",","."),"."),LEFT(SUBSTITUTE(LEFT(TRIM(C516),FIND(" ",TRIM(C516)&amp;" ")-1),",","."),FIND("/",SUBSTITUTE(LEFT(TRIM(C516),FIND(" ",TRIM(C516)&amp;" ")-1),",","."))-1)/MID(SUBSTITUTE(LEFT(TRIM(C516),FIND(" ",TRIM(C516)&amp;" ")-1),",","."),FIND("/",SUBSTITUTE(LEFT(TRIM(C516),FIND(" ",TRIM(C516)&amp;" ")-1),",","."))+1,9))*12,NA()))),0),48)*'Aturan &amp; Tarif'!$B$4,2)</f>
        <v>2725.44</v>
      </c>
      <c r="K516" s="42" t="n">
        <f aca="false">'Aturan &amp; Tarif'!$B$5</f>
        <v>2050</v>
      </c>
      <c r="L516" s="42" t="n">
        <f aca="false">'Aturan &amp; Tarif'!$B$6</f>
        <v>350</v>
      </c>
      <c r="M516" s="35" t="n">
        <f aca="false">I516+J516+K516+L516</f>
        <v>19791.44</v>
      </c>
      <c r="N516" s="44" t="s">
        <v>2962</v>
      </c>
    </row>
    <row r="517" customFormat="false" ht="60" hidden="false" customHeight="true" outlineLevel="0" collapsed="false">
      <c r="A517" s="39"/>
      <c r="B517" s="40" t="s">
        <v>1130</v>
      </c>
      <c r="C517" s="41" t="s">
        <v>191</v>
      </c>
      <c r="D517" s="41" t="s">
        <v>108</v>
      </c>
      <c r="E517" s="42" t="n">
        <v>7333</v>
      </c>
      <c r="F517" s="42"/>
      <c r="G517" s="42"/>
      <c r="H517" s="43" t="n">
        <v>2</v>
      </c>
      <c r="I517" s="34" t="n">
        <f aca="false">E517*H517+N(F517)+N(G517)</f>
        <v>14666</v>
      </c>
      <c r="J517" s="42" t="n">
        <f aca="false">ROUND(IFERROR(ROUND(IF(OR(ISNUMBER(SEARCH("week",C517)),ISNUMBER(SEARCH("minggu",C517))),IFERROR(_xlfn.NUMBERVALUE(SUBSTITUTE(LEFT(TRIM(C517),FIND(" ",TRIM(C517)&amp;" ")-1),",","."),"."),LEFT(SUBSTITUTE(LEFT(TRIM(C517),FIND(" ",TRIM(C517)&amp;" ")-1),",","."),FIND("/",SUBSTITUTE(LEFT(TRIM(C517),FIND(" ",TRIM(C517)&amp;" ")-1),",","."))-1)/MID(SUBSTITUTE(LEFT(TRIM(C517),FIND(" ",TRIM(C517)&amp;" ")-1),",","."),FIND("/",SUBSTITUTE(LEFT(TRIM(C517),FIND(" ",TRIM(C517)&amp;" ")-1),",","."))+1,9))*12/52,IF(ISNUMBER(SEARCH("month",C517)),IFERROR(_xlfn.NUMBERVALUE(SUBSTITUTE(LEFT(TRIM(C517),FIND(" ",TRIM(C517)&amp;" ")-1),",","."),"."),LEFT(SUBSTITUTE(LEFT(TRIM(C517),FIND(" ",TRIM(C517)&amp;" ")-1),",","."),FIND("/",SUBSTITUTE(LEFT(TRIM(C517),FIND(" ",TRIM(C517)&amp;" ")-1),",","."))-1)/MID(SUBSTITUTE(LEFT(TRIM(C517),FIND(" ",TRIM(C517)&amp;" ")-1),",","."),FIND("/",SUBSTITUTE(LEFT(TRIM(C517),FIND(" ",TRIM(C517)&amp;" ")-1),",","."))+1,9)),IF(ISNUMBER(SEARCH("yea",C517)),IFERROR(_xlfn.NUMBERVALUE(SUBSTITUTE(LEFT(TRIM(C517),FIND(" ",TRIM(C517)&amp;" ")-1),",","."),"."),LEFT(SUBSTITUTE(LEFT(TRIM(C517),FIND(" ",TRIM(C517)&amp;" ")-1),",","."),FIND("/",SUBSTITUTE(LEFT(TRIM(C517),FIND(" ",TRIM(C517)&amp;" ")-1),",","."))-1)/MID(SUBSTITUTE(LEFT(TRIM(C517),FIND(" ",TRIM(C517)&amp;" ")-1),",","."),FIND("/",SUBSTITUTE(LEFT(TRIM(C517),FIND(" ",TRIM(C517)&amp;" ")-1),",","."))+1,9))*12,NA()))),0),48)*'Aturan &amp; Tarif'!$B$4,2)</f>
        <v>2725.44</v>
      </c>
      <c r="K517" s="42" t="n">
        <f aca="false">'Aturan &amp; Tarif'!$B$5</f>
        <v>2050</v>
      </c>
      <c r="L517" s="42" t="n">
        <f aca="false">'Aturan &amp; Tarif'!$B$6</f>
        <v>350</v>
      </c>
      <c r="M517" s="35" t="n">
        <f aca="false">I517+J517+K517+L517</f>
        <v>19791.44</v>
      </c>
      <c r="N517" s="44" t="s">
        <v>1131</v>
      </c>
    </row>
    <row r="518" customFormat="false" ht="60" hidden="false" customHeight="true" outlineLevel="0" collapsed="false">
      <c r="A518" s="39"/>
      <c r="B518" s="40" t="s">
        <v>1132</v>
      </c>
      <c r="C518" s="41" t="s">
        <v>127</v>
      </c>
      <c r="D518" s="41" t="s">
        <v>108</v>
      </c>
      <c r="E518" s="42" t="n">
        <v>7333</v>
      </c>
      <c r="F518" s="42"/>
      <c r="G518" s="42"/>
      <c r="H518" s="43" t="n">
        <v>2</v>
      </c>
      <c r="I518" s="34" t="n">
        <f aca="false">E518*H518+N(F518)+N(G518)</f>
        <v>14666</v>
      </c>
      <c r="J518" s="42" t="n">
        <f aca="false">ROUND(IFERROR(ROUND(IF(OR(ISNUMBER(SEARCH("week",C518)),ISNUMBER(SEARCH("minggu",C518))),IFERROR(_xlfn.NUMBERVALUE(SUBSTITUTE(LEFT(TRIM(C518),FIND(" ",TRIM(C518)&amp;" ")-1),",","."),"."),LEFT(SUBSTITUTE(LEFT(TRIM(C518),FIND(" ",TRIM(C518)&amp;" ")-1),",","."),FIND("/",SUBSTITUTE(LEFT(TRIM(C518),FIND(" ",TRIM(C518)&amp;" ")-1),",","."))-1)/MID(SUBSTITUTE(LEFT(TRIM(C518),FIND(" ",TRIM(C518)&amp;" ")-1),",","."),FIND("/",SUBSTITUTE(LEFT(TRIM(C518),FIND(" ",TRIM(C518)&amp;" ")-1),",","."))+1,9))*12/52,IF(ISNUMBER(SEARCH("month",C518)),IFERROR(_xlfn.NUMBERVALUE(SUBSTITUTE(LEFT(TRIM(C518),FIND(" ",TRIM(C518)&amp;" ")-1),",","."),"."),LEFT(SUBSTITUTE(LEFT(TRIM(C518),FIND(" ",TRIM(C518)&amp;" ")-1),",","."),FIND("/",SUBSTITUTE(LEFT(TRIM(C518),FIND(" ",TRIM(C518)&amp;" ")-1),",","."))-1)/MID(SUBSTITUTE(LEFT(TRIM(C518),FIND(" ",TRIM(C518)&amp;" ")-1),",","."),FIND("/",SUBSTITUTE(LEFT(TRIM(C518),FIND(" ",TRIM(C518)&amp;" ")-1),",","."))+1,9)),IF(ISNUMBER(SEARCH("yea",C518)),IFERROR(_xlfn.NUMBERVALUE(SUBSTITUTE(LEFT(TRIM(C518),FIND(" ",TRIM(C518)&amp;" ")-1),",","."),"."),LEFT(SUBSTITUTE(LEFT(TRIM(C518),FIND(" ",TRIM(C518)&amp;" ")-1),",","."),FIND("/",SUBSTITUTE(LEFT(TRIM(C518),FIND(" ",TRIM(C518)&amp;" ")-1),",","."))-1)/MID(SUBSTITUTE(LEFT(TRIM(C518),FIND(" ",TRIM(C518)&amp;" ")-1),",","."),FIND("/",SUBSTITUTE(LEFT(TRIM(C518),FIND(" ",TRIM(C518)&amp;" ")-1),",","."))+1,9))*12,NA()))),0),36)*'Aturan &amp; Tarif'!$B$4,2)</f>
        <v>2044.08</v>
      </c>
      <c r="K518" s="42" t="n">
        <f aca="false">'Aturan &amp; Tarif'!$B$5</f>
        <v>2050</v>
      </c>
      <c r="L518" s="42" t="n">
        <f aca="false">'Aturan &amp; Tarif'!$B$6</f>
        <v>350</v>
      </c>
      <c r="M518" s="35" t="n">
        <f aca="false">I518+J518+K518+L518</f>
        <v>19110.08</v>
      </c>
      <c r="N518" s="44" t="s">
        <v>1133</v>
      </c>
    </row>
    <row r="519" customFormat="false" ht="60" hidden="false" customHeight="true" outlineLevel="0" collapsed="false">
      <c r="A519" s="39"/>
      <c r="B519" s="40" t="s">
        <v>1134</v>
      </c>
      <c r="C519" s="41" t="s">
        <v>127</v>
      </c>
      <c r="D519" s="41" t="s">
        <v>108</v>
      </c>
      <c r="E519" s="42" t="n">
        <v>7333</v>
      </c>
      <c r="F519" s="42"/>
      <c r="G519" s="42"/>
      <c r="H519" s="43" t="n">
        <v>2</v>
      </c>
      <c r="I519" s="34" t="n">
        <f aca="false">E519*H519+N(F519)+N(G519)</f>
        <v>14666</v>
      </c>
      <c r="J519" s="42" t="n">
        <f aca="false">ROUND(IFERROR(ROUND(IF(OR(ISNUMBER(SEARCH("week",C519)),ISNUMBER(SEARCH("minggu",C519))),IFERROR(_xlfn.NUMBERVALUE(SUBSTITUTE(LEFT(TRIM(C519),FIND(" ",TRIM(C519)&amp;" ")-1),",","."),"."),LEFT(SUBSTITUTE(LEFT(TRIM(C519),FIND(" ",TRIM(C519)&amp;" ")-1),",","."),FIND("/",SUBSTITUTE(LEFT(TRIM(C519),FIND(" ",TRIM(C519)&amp;" ")-1),",","."))-1)/MID(SUBSTITUTE(LEFT(TRIM(C519),FIND(" ",TRIM(C519)&amp;" ")-1),",","."),FIND("/",SUBSTITUTE(LEFT(TRIM(C519),FIND(" ",TRIM(C519)&amp;" ")-1),",","."))+1,9))*12/52,IF(ISNUMBER(SEARCH("month",C519)),IFERROR(_xlfn.NUMBERVALUE(SUBSTITUTE(LEFT(TRIM(C519),FIND(" ",TRIM(C519)&amp;" ")-1),",","."),"."),LEFT(SUBSTITUTE(LEFT(TRIM(C519),FIND(" ",TRIM(C519)&amp;" ")-1),",","."),FIND("/",SUBSTITUTE(LEFT(TRIM(C519),FIND(" ",TRIM(C519)&amp;" ")-1),",","."))-1)/MID(SUBSTITUTE(LEFT(TRIM(C519),FIND(" ",TRIM(C519)&amp;" ")-1),",","."),FIND("/",SUBSTITUTE(LEFT(TRIM(C519),FIND(" ",TRIM(C519)&amp;" ")-1),",","."))+1,9)),IF(ISNUMBER(SEARCH("yea",C519)),IFERROR(_xlfn.NUMBERVALUE(SUBSTITUTE(LEFT(TRIM(C519),FIND(" ",TRIM(C519)&amp;" ")-1),",","."),"."),LEFT(SUBSTITUTE(LEFT(TRIM(C519),FIND(" ",TRIM(C519)&amp;" ")-1),",","."),FIND("/",SUBSTITUTE(LEFT(TRIM(C519),FIND(" ",TRIM(C519)&amp;" ")-1),",","."))-1)/MID(SUBSTITUTE(LEFT(TRIM(C519),FIND(" ",TRIM(C519)&amp;" ")-1),",","."),FIND("/",SUBSTITUTE(LEFT(TRIM(C519),FIND(" ",TRIM(C519)&amp;" ")-1),",","."))+1,9))*12,NA()))),0),36)*'Aturan &amp; Tarif'!$B$4,2)</f>
        <v>2044.08</v>
      </c>
      <c r="K519" s="42" t="n">
        <f aca="false">'Aturan &amp; Tarif'!$B$5</f>
        <v>2050</v>
      </c>
      <c r="L519" s="42" t="n">
        <f aca="false">'Aturan &amp; Tarif'!$B$6</f>
        <v>350</v>
      </c>
      <c r="M519" s="35" t="n">
        <f aca="false">I519+J519+K519+L519</f>
        <v>19110.08</v>
      </c>
      <c r="N519" s="44" t="s">
        <v>1781</v>
      </c>
    </row>
    <row r="520" customFormat="false" ht="60" hidden="false" customHeight="true" outlineLevel="0" collapsed="false">
      <c r="A520" s="39"/>
      <c r="B520" s="40" t="s">
        <v>265</v>
      </c>
      <c r="C520" s="41" t="s">
        <v>127</v>
      </c>
      <c r="D520" s="41" t="s">
        <v>108</v>
      </c>
      <c r="E520" s="42" t="n">
        <v>8750</v>
      </c>
      <c r="F520" s="42"/>
      <c r="G520" s="42"/>
      <c r="H520" s="43" t="n">
        <v>2</v>
      </c>
      <c r="I520" s="34" t="n">
        <f aca="false">E520*H520+N(F520)+N(G520)</f>
        <v>17500</v>
      </c>
      <c r="J520" s="42" t="n">
        <f aca="false">ROUND(IFERROR(ROUND(IF(OR(ISNUMBER(SEARCH("week",C520)),ISNUMBER(SEARCH("minggu",C520))),IFERROR(_xlfn.NUMBERVALUE(SUBSTITUTE(LEFT(TRIM(C520),FIND(" ",TRIM(C520)&amp;" ")-1),",","."),"."),LEFT(SUBSTITUTE(LEFT(TRIM(C520),FIND(" ",TRIM(C520)&amp;" ")-1),",","."),FIND("/",SUBSTITUTE(LEFT(TRIM(C520),FIND(" ",TRIM(C520)&amp;" ")-1),",","."))-1)/MID(SUBSTITUTE(LEFT(TRIM(C520),FIND(" ",TRIM(C520)&amp;" ")-1),",","."),FIND("/",SUBSTITUTE(LEFT(TRIM(C520),FIND(" ",TRIM(C520)&amp;" ")-1),",","."))+1,9))*12/52,IF(ISNUMBER(SEARCH("month",C520)),IFERROR(_xlfn.NUMBERVALUE(SUBSTITUTE(LEFT(TRIM(C520),FIND(" ",TRIM(C520)&amp;" ")-1),",","."),"."),LEFT(SUBSTITUTE(LEFT(TRIM(C520),FIND(" ",TRIM(C520)&amp;" ")-1),",","."),FIND("/",SUBSTITUTE(LEFT(TRIM(C520),FIND(" ",TRIM(C520)&amp;" ")-1),",","."))-1)/MID(SUBSTITUTE(LEFT(TRIM(C520),FIND(" ",TRIM(C520)&amp;" ")-1),",","."),FIND("/",SUBSTITUTE(LEFT(TRIM(C520),FIND(" ",TRIM(C520)&amp;" ")-1),",","."))+1,9)),IF(ISNUMBER(SEARCH("yea",C520)),IFERROR(_xlfn.NUMBERVALUE(SUBSTITUTE(LEFT(TRIM(C520),FIND(" ",TRIM(C520)&amp;" ")-1),",","."),"."),LEFT(SUBSTITUTE(LEFT(TRIM(C520),FIND(" ",TRIM(C520)&amp;" ")-1),",","."),FIND("/",SUBSTITUTE(LEFT(TRIM(C520),FIND(" ",TRIM(C520)&amp;" ")-1),",","."))-1)/MID(SUBSTITUTE(LEFT(TRIM(C520),FIND(" ",TRIM(C520)&amp;" ")-1),",","."),FIND("/",SUBSTITUTE(LEFT(TRIM(C520),FIND(" ",TRIM(C520)&amp;" ")-1),",","."))+1,9))*12,NA()))),0),36)*'Aturan &amp; Tarif'!$B$4,2)</f>
        <v>2044.08</v>
      </c>
      <c r="K520" s="42" t="n">
        <f aca="false">'Aturan &amp; Tarif'!$B$5</f>
        <v>2050</v>
      </c>
      <c r="L520" s="42" t="n">
        <f aca="false">'Aturan &amp; Tarif'!$B$6</f>
        <v>350</v>
      </c>
      <c r="M520" s="35" t="n">
        <f aca="false">I520+J520+K520+L520</f>
        <v>21944.08</v>
      </c>
      <c r="N520" s="44" t="s">
        <v>1136</v>
      </c>
    </row>
    <row r="521" customFormat="false" ht="14.25" hidden="false" customHeight="true" outlineLevel="0" collapsed="false">
      <c r="A521" s="39"/>
      <c r="B521" s="40" t="s">
        <v>1137</v>
      </c>
      <c r="C521" s="41" t="s">
        <v>127</v>
      </c>
      <c r="D521" s="41" t="s">
        <v>108</v>
      </c>
      <c r="E521" s="42" t="n">
        <v>7333</v>
      </c>
      <c r="F521" s="42"/>
      <c r="G521" s="42"/>
      <c r="H521" s="43" t="n">
        <v>2</v>
      </c>
      <c r="I521" s="34" t="n">
        <f aca="false">E521*H521+N(F521)+N(G521)</f>
        <v>14666</v>
      </c>
      <c r="J521" s="42" t="n">
        <f aca="false">ROUND(IFERROR(ROUND(IF(OR(ISNUMBER(SEARCH("week",C521)),ISNUMBER(SEARCH("minggu",C521))),IFERROR(_xlfn.NUMBERVALUE(SUBSTITUTE(LEFT(TRIM(C521),FIND(" ",TRIM(C521)&amp;" ")-1),",","."),"."),LEFT(SUBSTITUTE(LEFT(TRIM(C521),FIND(" ",TRIM(C521)&amp;" ")-1),",","."),FIND("/",SUBSTITUTE(LEFT(TRIM(C521),FIND(" ",TRIM(C521)&amp;" ")-1),",","."))-1)/MID(SUBSTITUTE(LEFT(TRIM(C521),FIND(" ",TRIM(C521)&amp;" ")-1),",","."),FIND("/",SUBSTITUTE(LEFT(TRIM(C521),FIND(" ",TRIM(C521)&amp;" ")-1),",","."))+1,9))*12/52,IF(ISNUMBER(SEARCH("month",C521)),IFERROR(_xlfn.NUMBERVALUE(SUBSTITUTE(LEFT(TRIM(C521),FIND(" ",TRIM(C521)&amp;" ")-1),",","."),"."),LEFT(SUBSTITUTE(LEFT(TRIM(C521),FIND(" ",TRIM(C521)&amp;" ")-1),",","."),FIND("/",SUBSTITUTE(LEFT(TRIM(C521),FIND(" ",TRIM(C521)&amp;" ")-1),",","."))-1)/MID(SUBSTITUTE(LEFT(TRIM(C521),FIND(" ",TRIM(C521)&amp;" ")-1),",","."),FIND("/",SUBSTITUTE(LEFT(TRIM(C521),FIND(" ",TRIM(C521)&amp;" ")-1),",","."))+1,9)),IF(ISNUMBER(SEARCH("yea",C521)),IFERROR(_xlfn.NUMBERVALUE(SUBSTITUTE(LEFT(TRIM(C521),FIND(" ",TRIM(C521)&amp;" ")-1),",","."),"."),LEFT(SUBSTITUTE(LEFT(TRIM(C521),FIND(" ",TRIM(C521)&amp;" ")-1),",","."),FIND("/",SUBSTITUTE(LEFT(TRIM(C521),FIND(" ",TRIM(C521)&amp;" ")-1),",","."))-1)/MID(SUBSTITUTE(LEFT(TRIM(C521),FIND(" ",TRIM(C521)&amp;" ")-1),",","."),FIND("/",SUBSTITUTE(LEFT(TRIM(C521),FIND(" ",TRIM(C521)&amp;" ")-1),",","."))+1,9))*12,NA()))),0),36)*'Aturan &amp; Tarif'!$B$4,2)</f>
        <v>2044.08</v>
      </c>
      <c r="K521" s="42" t="n">
        <f aca="false">'Aturan &amp; Tarif'!$B$5</f>
        <v>2050</v>
      </c>
      <c r="L521" s="42" t="n">
        <f aca="false">'Aturan &amp; Tarif'!$B$6</f>
        <v>350</v>
      </c>
      <c r="M521" s="35" t="n">
        <f aca="false">I521+J521+K521+L521</f>
        <v>19110.08</v>
      </c>
      <c r="N521" s="44" t="s">
        <v>1138</v>
      </c>
    </row>
    <row r="522" customFormat="false" ht="60" hidden="false" customHeight="true" outlineLevel="0" collapsed="false">
      <c r="A522" s="39"/>
      <c r="B522" s="40" t="s">
        <v>575</v>
      </c>
      <c r="C522" s="41" t="s">
        <v>127</v>
      </c>
      <c r="D522" s="41" t="s">
        <v>108</v>
      </c>
      <c r="E522" s="42" t="n">
        <v>8637</v>
      </c>
      <c r="F522" s="42"/>
      <c r="G522" s="42"/>
      <c r="H522" s="43" t="n">
        <v>2</v>
      </c>
      <c r="I522" s="34" t="n">
        <f aca="false">E522*H522+N(F522)+N(G522)</f>
        <v>17274</v>
      </c>
      <c r="J522" s="42" t="n">
        <f aca="false">ROUND(IFERROR(ROUND(IF(OR(ISNUMBER(SEARCH("week",C522)),ISNUMBER(SEARCH("minggu",C522))),IFERROR(_xlfn.NUMBERVALUE(SUBSTITUTE(LEFT(TRIM(C522),FIND(" ",TRIM(C522)&amp;" ")-1),",","."),"."),LEFT(SUBSTITUTE(LEFT(TRIM(C522),FIND(" ",TRIM(C522)&amp;" ")-1),",","."),FIND("/",SUBSTITUTE(LEFT(TRIM(C522),FIND(" ",TRIM(C522)&amp;" ")-1),",","."))-1)/MID(SUBSTITUTE(LEFT(TRIM(C522),FIND(" ",TRIM(C522)&amp;" ")-1),",","."),FIND("/",SUBSTITUTE(LEFT(TRIM(C522),FIND(" ",TRIM(C522)&amp;" ")-1),",","."))+1,9))*12/52,IF(ISNUMBER(SEARCH("month",C522)),IFERROR(_xlfn.NUMBERVALUE(SUBSTITUTE(LEFT(TRIM(C522),FIND(" ",TRIM(C522)&amp;" ")-1),",","."),"."),LEFT(SUBSTITUTE(LEFT(TRIM(C522),FIND(" ",TRIM(C522)&amp;" ")-1),",","."),FIND("/",SUBSTITUTE(LEFT(TRIM(C522),FIND(" ",TRIM(C522)&amp;" ")-1),",","."))-1)/MID(SUBSTITUTE(LEFT(TRIM(C522),FIND(" ",TRIM(C522)&amp;" ")-1),",","."),FIND("/",SUBSTITUTE(LEFT(TRIM(C522),FIND(" ",TRIM(C522)&amp;" ")-1),",","."))+1,9)),IF(ISNUMBER(SEARCH("yea",C522)),IFERROR(_xlfn.NUMBERVALUE(SUBSTITUTE(LEFT(TRIM(C522),FIND(" ",TRIM(C522)&amp;" ")-1),",","."),"."),LEFT(SUBSTITUTE(LEFT(TRIM(C522),FIND(" ",TRIM(C522)&amp;" ")-1),",","."),FIND("/",SUBSTITUTE(LEFT(TRIM(C522),FIND(" ",TRIM(C522)&amp;" ")-1),",","."))-1)/MID(SUBSTITUTE(LEFT(TRIM(C522),FIND(" ",TRIM(C522)&amp;" ")-1),",","."),FIND("/",SUBSTITUTE(LEFT(TRIM(C522),FIND(" ",TRIM(C522)&amp;" ")-1),",","."))+1,9))*12,NA()))),0),36)*'Aturan &amp; Tarif'!$B$4,2)</f>
        <v>2044.08</v>
      </c>
      <c r="K522" s="42" t="n">
        <f aca="false">'Aturan &amp; Tarif'!$B$5</f>
        <v>2050</v>
      </c>
      <c r="L522" s="42" t="n">
        <f aca="false">'Aturan &amp; Tarif'!$B$6</f>
        <v>350</v>
      </c>
      <c r="M522" s="35" t="n">
        <f aca="false">I522+J522+K522+L522</f>
        <v>21718.08</v>
      </c>
      <c r="N522" s="45" t="s">
        <v>1139</v>
      </c>
    </row>
    <row r="523" customFormat="false" ht="60" hidden="false" customHeight="true" outlineLevel="0" collapsed="false">
      <c r="A523" s="39"/>
      <c r="B523" s="40" t="s">
        <v>560</v>
      </c>
      <c r="C523" s="41" t="s">
        <v>344</v>
      </c>
      <c r="D523" s="41" t="s">
        <v>108</v>
      </c>
      <c r="E523" s="42" t="n">
        <v>3975</v>
      </c>
      <c r="F523" s="42"/>
      <c r="G523" s="42"/>
      <c r="H523" s="43" t="n">
        <v>2</v>
      </c>
      <c r="I523" s="34" t="n">
        <f aca="false">E523*H523+N(F523)+N(G523)</f>
        <v>7950</v>
      </c>
      <c r="J523" s="42" t="n">
        <f aca="false">ROUND(IFERROR(ROUND(IF(OR(ISNUMBER(SEARCH("week",C523)),ISNUMBER(SEARCH("minggu",C523))),IFERROR(_xlfn.NUMBERVALUE(SUBSTITUTE(LEFT(TRIM(C523),FIND(" ",TRIM(C523)&amp;" ")-1),",","."),"."),LEFT(SUBSTITUTE(LEFT(TRIM(C523),FIND(" ",TRIM(C523)&amp;" ")-1),",","."),FIND("/",SUBSTITUTE(LEFT(TRIM(C523),FIND(" ",TRIM(C523)&amp;" ")-1),",","."))-1)/MID(SUBSTITUTE(LEFT(TRIM(C523),FIND(" ",TRIM(C523)&amp;" ")-1),",","."),FIND("/",SUBSTITUTE(LEFT(TRIM(C523),FIND(" ",TRIM(C523)&amp;" ")-1),",","."))+1,9))*12/52,IF(ISNUMBER(SEARCH("month",C523)),IFERROR(_xlfn.NUMBERVALUE(SUBSTITUTE(LEFT(TRIM(C523),FIND(" ",TRIM(C523)&amp;" ")-1),",","."),"."),LEFT(SUBSTITUTE(LEFT(TRIM(C523),FIND(" ",TRIM(C523)&amp;" ")-1),",","."),FIND("/",SUBSTITUTE(LEFT(TRIM(C523),FIND(" ",TRIM(C523)&amp;" ")-1),",","."))-1)/MID(SUBSTITUTE(LEFT(TRIM(C523),FIND(" ",TRIM(C523)&amp;" ")-1),",","."),FIND("/",SUBSTITUTE(LEFT(TRIM(C523),FIND(" ",TRIM(C523)&amp;" ")-1),",","."))+1,9)),IF(ISNUMBER(SEARCH("yea",C523)),IFERROR(_xlfn.NUMBERVALUE(SUBSTITUTE(LEFT(TRIM(C523),FIND(" ",TRIM(C523)&amp;" ")-1),",","."),"."),LEFT(SUBSTITUTE(LEFT(TRIM(C523),FIND(" ",TRIM(C523)&amp;" ")-1),",","."),FIND("/",SUBSTITUTE(LEFT(TRIM(C523),FIND(" ",TRIM(C523)&amp;" ")-1),",","."))-1)/MID(SUBSTITUTE(LEFT(TRIM(C523),FIND(" ",TRIM(C523)&amp;" ")-1),",","."),FIND("/",SUBSTITUTE(LEFT(TRIM(C523),FIND(" ",TRIM(C523)&amp;" ")-1),",","."))+1,9))*12,NA()))),0),6)*'Aturan &amp; Tarif'!$B$4,2)</f>
        <v>340.68</v>
      </c>
      <c r="K523" s="42" t="n">
        <f aca="false">'Aturan &amp; Tarif'!$B$5</f>
        <v>2050</v>
      </c>
      <c r="L523" s="42" t="n">
        <f aca="false">'Aturan &amp; Tarif'!$B$6</f>
        <v>350</v>
      </c>
      <c r="M523" s="35" t="n">
        <f aca="false">I523+J523+K523+L523</f>
        <v>10690.68</v>
      </c>
      <c r="N523" s="44" t="s">
        <v>1140</v>
      </c>
    </row>
    <row r="524" customFormat="false" ht="60" hidden="false" customHeight="true" outlineLevel="0" collapsed="false">
      <c r="A524" s="39"/>
      <c r="B524" s="40" t="s">
        <v>559</v>
      </c>
      <c r="C524" s="41" t="s">
        <v>130</v>
      </c>
      <c r="D524" s="41" t="s">
        <v>108</v>
      </c>
      <c r="E524" s="42" t="n">
        <v>7950</v>
      </c>
      <c r="F524" s="42"/>
      <c r="G524" s="42"/>
      <c r="H524" s="43" t="n">
        <v>2</v>
      </c>
      <c r="I524" s="34" t="n">
        <f aca="false">E524*H524+N(F524)+N(G524)</f>
        <v>15900</v>
      </c>
      <c r="J524" s="42" t="n">
        <f aca="false">ROUND(IFERROR(ROUND(IF(OR(ISNUMBER(SEARCH("week",C524)),ISNUMBER(SEARCH("minggu",C524))),IFERROR(_xlfn.NUMBERVALUE(SUBSTITUTE(LEFT(TRIM(C524),FIND(" ",TRIM(C524)&amp;" ")-1),",","."),"."),LEFT(SUBSTITUTE(LEFT(TRIM(C524),FIND(" ",TRIM(C524)&amp;" ")-1),",","."),FIND("/",SUBSTITUTE(LEFT(TRIM(C524),FIND(" ",TRIM(C524)&amp;" ")-1),",","."))-1)/MID(SUBSTITUTE(LEFT(TRIM(C524),FIND(" ",TRIM(C524)&amp;" ")-1),",","."),FIND("/",SUBSTITUTE(LEFT(TRIM(C524),FIND(" ",TRIM(C524)&amp;" ")-1),",","."))+1,9))*12/52,IF(ISNUMBER(SEARCH("month",C524)),IFERROR(_xlfn.NUMBERVALUE(SUBSTITUTE(LEFT(TRIM(C524),FIND(" ",TRIM(C524)&amp;" ")-1),",","."),"."),LEFT(SUBSTITUTE(LEFT(TRIM(C524),FIND(" ",TRIM(C524)&amp;" ")-1),",","."),FIND("/",SUBSTITUTE(LEFT(TRIM(C524),FIND(" ",TRIM(C524)&amp;" ")-1),",","."))-1)/MID(SUBSTITUTE(LEFT(TRIM(C524),FIND(" ",TRIM(C524)&amp;" ")-1),",","."),FIND("/",SUBSTITUTE(LEFT(TRIM(C524),FIND(" ",TRIM(C524)&amp;" ")-1),",","."))+1,9)),IF(ISNUMBER(SEARCH("yea",C524)),IFERROR(_xlfn.NUMBERVALUE(SUBSTITUTE(LEFT(TRIM(C524),FIND(" ",TRIM(C524)&amp;" ")-1),",","."),"."),LEFT(SUBSTITUTE(LEFT(TRIM(C524),FIND(" ",TRIM(C524)&amp;" ")-1),",","."),FIND("/",SUBSTITUTE(LEFT(TRIM(C524),FIND(" ",TRIM(C524)&amp;" ")-1),",","."))-1)/MID(SUBSTITUTE(LEFT(TRIM(C524),FIND(" ",TRIM(C524)&amp;" ")-1),",","."),FIND("/",SUBSTITUTE(LEFT(TRIM(C524),FIND(" ",TRIM(C524)&amp;" ")-1),",","."))+1,9))*12,NA()))),0),12)*'Aturan &amp; Tarif'!$B$4,2)</f>
        <v>681.36</v>
      </c>
      <c r="K524" s="42" t="n">
        <f aca="false">'Aturan &amp; Tarif'!$B$5</f>
        <v>2050</v>
      </c>
      <c r="L524" s="42" t="n">
        <f aca="false">'Aturan &amp; Tarif'!$B$6</f>
        <v>350</v>
      </c>
      <c r="M524" s="35" t="n">
        <f aca="false">I524+J524+K524+L524</f>
        <v>18981.36</v>
      </c>
      <c r="N524" s="44" t="s">
        <v>1141</v>
      </c>
    </row>
    <row r="525" customFormat="false" ht="60" hidden="false" customHeight="true" outlineLevel="0" collapsed="false">
      <c r="A525" s="39"/>
      <c r="B525" s="40" t="s">
        <v>283</v>
      </c>
      <c r="C525" s="41" t="s">
        <v>113</v>
      </c>
      <c r="D525" s="41" t="s">
        <v>108</v>
      </c>
      <c r="E525" s="42" t="n">
        <v>7950</v>
      </c>
      <c r="F525" s="42"/>
      <c r="G525" s="42"/>
      <c r="H525" s="43" t="n">
        <v>2</v>
      </c>
      <c r="I525" s="34" t="n">
        <f aca="false">E525*H525+N(F525)+N(G525)</f>
        <v>15900</v>
      </c>
      <c r="J525" s="42" t="n">
        <f aca="false">ROUND(IFERROR(ROUND(IF(OR(ISNUMBER(SEARCH("week",C525)),ISNUMBER(SEARCH("minggu",C525))),IFERROR(_xlfn.NUMBERVALUE(SUBSTITUTE(LEFT(TRIM(C525),FIND(" ",TRIM(C525)&amp;" ")-1),",","."),"."),LEFT(SUBSTITUTE(LEFT(TRIM(C525),FIND(" ",TRIM(C525)&amp;" ")-1),",","."),FIND("/",SUBSTITUTE(LEFT(TRIM(C525),FIND(" ",TRIM(C525)&amp;" ")-1),",","."))-1)/MID(SUBSTITUTE(LEFT(TRIM(C525),FIND(" ",TRIM(C525)&amp;" ")-1),",","."),FIND("/",SUBSTITUTE(LEFT(TRIM(C525),FIND(" ",TRIM(C525)&amp;" ")-1),",","."))+1,9))*12/52,IF(ISNUMBER(SEARCH("month",C525)),IFERROR(_xlfn.NUMBERVALUE(SUBSTITUTE(LEFT(TRIM(C525),FIND(" ",TRIM(C525)&amp;" ")-1),",","."),"."),LEFT(SUBSTITUTE(LEFT(TRIM(C525),FIND(" ",TRIM(C525)&amp;" ")-1),",","."),FIND("/",SUBSTITUTE(LEFT(TRIM(C525),FIND(" ",TRIM(C525)&amp;" ")-1),",","."))-1)/MID(SUBSTITUTE(LEFT(TRIM(C525),FIND(" ",TRIM(C525)&amp;" ")-1),",","."),FIND("/",SUBSTITUTE(LEFT(TRIM(C525),FIND(" ",TRIM(C525)&amp;" ")-1),",","."))+1,9)),IF(ISNUMBER(SEARCH("yea",C525)),IFERROR(_xlfn.NUMBERVALUE(SUBSTITUTE(LEFT(TRIM(C525),FIND(" ",TRIM(C525)&amp;" ")-1),",","."),"."),LEFT(SUBSTITUTE(LEFT(TRIM(C525),FIND(" ",TRIM(C525)&amp;" ")-1),",","."),FIND("/",SUBSTITUTE(LEFT(TRIM(C525),FIND(" ",TRIM(C525)&amp;" ")-1),",","."))-1)/MID(SUBSTITUTE(LEFT(TRIM(C525),FIND(" ",TRIM(C525)&amp;" ")-1),",","."),FIND("/",SUBSTITUTE(LEFT(TRIM(C525),FIND(" ",TRIM(C525)&amp;" ")-1),",","."))+1,9))*12,NA()))),0),18)*'Aturan &amp; Tarif'!$B$4,2)</f>
        <v>1022.04</v>
      </c>
      <c r="K525" s="42" t="n">
        <f aca="false">'Aturan &amp; Tarif'!$B$5</f>
        <v>2050</v>
      </c>
      <c r="L525" s="42" t="n">
        <f aca="false">'Aturan &amp; Tarif'!$B$6</f>
        <v>350</v>
      </c>
      <c r="M525" s="35" t="n">
        <f aca="false">I525+J525+K525+L525</f>
        <v>19322.04</v>
      </c>
      <c r="N525" s="44" t="s">
        <v>1142</v>
      </c>
    </row>
    <row r="526" customFormat="false" ht="60" hidden="false" customHeight="true" outlineLevel="0" collapsed="false">
      <c r="A526" s="39"/>
      <c r="B526" s="40" t="s">
        <v>1143</v>
      </c>
      <c r="C526" s="41" t="s">
        <v>107</v>
      </c>
      <c r="D526" s="41" t="s">
        <v>108</v>
      </c>
      <c r="E526" s="42" t="n">
        <v>7950</v>
      </c>
      <c r="F526" s="42"/>
      <c r="G526" s="42"/>
      <c r="H526" s="43" t="n">
        <v>2</v>
      </c>
      <c r="I526" s="34" t="n">
        <f aca="false">E526*H526+N(F526)+N(G526)</f>
        <v>15900</v>
      </c>
      <c r="J526" s="42" t="n">
        <f aca="false">ROUND(IFERROR(ROUND(IF(OR(ISNUMBER(SEARCH("week",C526)),ISNUMBER(SEARCH("minggu",C526))),IFERROR(_xlfn.NUMBERVALUE(SUBSTITUTE(LEFT(TRIM(C526),FIND(" ",TRIM(C526)&amp;" ")-1),",","."),"."),LEFT(SUBSTITUTE(LEFT(TRIM(C526),FIND(" ",TRIM(C526)&amp;" ")-1),",","."),FIND("/",SUBSTITUTE(LEFT(TRIM(C526),FIND(" ",TRIM(C526)&amp;" ")-1),",","."))-1)/MID(SUBSTITUTE(LEFT(TRIM(C526),FIND(" ",TRIM(C526)&amp;" ")-1),",","."),FIND("/",SUBSTITUTE(LEFT(TRIM(C526),FIND(" ",TRIM(C526)&amp;" ")-1),",","."))+1,9))*12/52,IF(ISNUMBER(SEARCH("month",C526)),IFERROR(_xlfn.NUMBERVALUE(SUBSTITUTE(LEFT(TRIM(C526),FIND(" ",TRIM(C526)&amp;" ")-1),",","."),"."),LEFT(SUBSTITUTE(LEFT(TRIM(C526),FIND(" ",TRIM(C526)&amp;" ")-1),",","."),FIND("/",SUBSTITUTE(LEFT(TRIM(C526),FIND(" ",TRIM(C526)&amp;" ")-1),",","."))-1)/MID(SUBSTITUTE(LEFT(TRIM(C526),FIND(" ",TRIM(C526)&amp;" ")-1),",","."),FIND("/",SUBSTITUTE(LEFT(TRIM(C526),FIND(" ",TRIM(C526)&amp;" ")-1),",","."))+1,9)),IF(ISNUMBER(SEARCH("yea",C526)),IFERROR(_xlfn.NUMBERVALUE(SUBSTITUTE(LEFT(TRIM(C526),FIND(" ",TRIM(C526)&amp;" ")-1),",","."),"."),LEFT(SUBSTITUTE(LEFT(TRIM(C526),FIND(" ",TRIM(C526)&amp;" ")-1),",","."),FIND("/",SUBSTITUTE(LEFT(TRIM(C526),FIND(" ",TRIM(C526)&amp;" ")-1),",","."))-1)/MID(SUBSTITUTE(LEFT(TRIM(C526),FIND(" ",TRIM(C526)&amp;" ")-1),",","."),FIND("/",SUBSTITUTE(LEFT(TRIM(C526),FIND(" ",TRIM(C526)&amp;" ")-1),",","."))+1,9))*12,NA()))),0),24)*'Aturan &amp; Tarif'!$B$4,2)</f>
        <v>1362.72</v>
      </c>
      <c r="K526" s="42" t="n">
        <f aca="false">'Aturan &amp; Tarif'!$B$5</f>
        <v>2050</v>
      </c>
      <c r="L526" s="42" t="n">
        <f aca="false">'Aturan &amp; Tarif'!$B$6</f>
        <v>350</v>
      </c>
      <c r="M526" s="35" t="n">
        <f aca="false">I526+J526+K526+L526</f>
        <v>19662.72</v>
      </c>
      <c r="N526" s="44" t="s">
        <v>1144</v>
      </c>
    </row>
    <row r="527" customFormat="false" ht="60" hidden="false" customHeight="true" outlineLevel="0" collapsed="false">
      <c r="A527" s="39"/>
      <c r="B527" s="40" t="s">
        <v>1057</v>
      </c>
      <c r="C527" s="41" t="s">
        <v>107</v>
      </c>
      <c r="D527" s="41" t="s">
        <v>108</v>
      </c>
      <c r="E527" s="42" t="n">
        <v>7950</v>
      </c>
      <c r="F527" s="42"/>
      <c r="G527" s="42"/>
      <c r="H527" s="43" t="n">
        <v>2</v>
      </c>
      <c r="I527" s="34" t="n">
        <f aca="false">E527*H527+N(F527)+N(G527)</f>
        <v>15900</v>
      </c>
      <c r="J527" s="42" t="n">
        <f aca="false">ROUND(IFERROR(ROUND(IF(OR(ISNUMBER(SEARCH("week",C527)),ISNUMBER(SEARCH("minggu",C527))),IFERROR(_xlfn.NUMBERVALUE(SUBSTITUTE(LEFT(TRIM(C527),FIND(" ",TRIM(C527)&amp;" ")-1),",","."),"."),LEFT(SUBSTITUTE(LEFT(TRIM(C527),FIND(" ",TRIM(C527)&amp;" ")-1),",","."),FIND("/",SUBSTITUTE(LEFT(TRIM(C527),FIND(" ",TRIM(C527)&amp;" ")-1),",","."))-1)/MID(SUBSTITUTE(LEFT(TRIM(C527),FIND(" ",TRIM(C527)&amp;" ")-1),",","."),FIND("/",SUBSTITUTE(LEFT(TRIM(C527),FIND(" ",TRIM(C527)&amp;" ")-1),",","."))+1,9))*12/52,IF(ISNUMBER(SEARCH("month",C527)),IFERROR(_xlfn.NUMBERVALUE(SUBSTITUTE(LEFT(TRIM(C527),FIND(" ",TRIM(C527)&amp;" ")-1),",","."),"."),LEFT(SUBSTITUTE(LEFT(TRIM(C527),FIND(" ",TRIM(C527)&amp;" ")-1),",","."),FIND("/",SUBSTITUTE(LEFT(TRIM(C527),FIND(" ",TRIM(C527)&amp;" ")-1),",","."))-1)/MID(SUBSTITUTE(LEFT(TRIM(C527),FIND(" ",TRIM(C527)&amp;" ")-1),",","."),FIND("/",SUBSTITUTE(LEFT(TRIM(C527),FIND(" ",TRIM(C527)&amp;" ")-1),",","."))+1,9)),IF(ISNUMBER(SEARCH("yea",C527)),IFERROR(_xlfn.NUMBERVALUE(SUBSTITUTE(LEFT(TRIM(C527),FIND(" ",TRIM(C527)&amp;" ")-1),",","."),"."),LEFT(SUBSTITUTE(LEFT(TRIM(C527),FIND(" ",TRIM(C527)&amp;" ")-1),",","."),FIND("/",SUBSTITUTE(LEFT(TRIM(C527),FIND(" ",TRIM(C527)&amp;" ")-1),",","."))-1)/MID(SUBSTITUTE(LEFT(TRIM(C527),FIND(" ",TRIM(C527)&amp;" ")-1),",","."),FIND("/",SUBSTITUTE(LEFT(TRIM(C527),FIND(" ",TRIM(C527)&amp;" ")-1),",","."))+1,9))*12,NA()))),0),24)*'Aturan &amp; Tarif'!$B$4,2)</f>
        <v>1362.72</v>
      </c>
      <c r="K527" s="42" t="n">
        <f aca="false">'Aturan &amp; Tarif'!$B$5</f>
        <v>2050</v>
      </c>
      <c r="L527" s="42" t="n">
        <f aca="false">'Aturan &amp; Tarif'!$B$6</f>
        <v>350</v>
      </c>
      <c r="M527" s="35" t="n">
        <f aca="false">I527+J527+K527+L527</f>
        <v>19662.72</v>
      </c>
      <c r="N527" s="44" t="s">
        <v>1058</v>
      </c>
    </row>
    <row r="528" customFormat="false" ht="72" hidden="false" customHeight="true" outlineLevel="0" collapsed="false">
      <c r="A528" s="39"/>
      <c r="B528" s="40" t="s">
        <v>1077</v>
      </c>
      <c r="C528" s="41" t="s">
        <v>107</v>
      </c>
      <c r="D528" s="41" t="s">
        <v>108</v>
      </c>
      <c r="E528" s="42" t="n">
        <v>7950</v>
      </c>
      <c r="F528" s="42"/>
      <c r="G528" s="42"/>
      <c r="H528" s="43" t="n">
        <v>2</v>
      </c>
      <c r="I528" s="34" t="n">
        <f aca="false">E528*H528+N(F528)+N(G528)</f>
        <v>15900</v>
      </c>
      <c r="J528" s="42" t="n">
        <f aca="false">ROUND(IFERROR(ROUND(IF(OR(ISNUMBER(SEARCH("week",C528)),ISNUMBER(SEARCH("minggu",C528))),IFERROR(_xlfn.NUMBERVALUE(SUBSTITUTE(LEFT(TRIM(C528),FIND(" ",TRIM(C528)&amp;" ")-1),",","."),"."),LEFT(SUBSTITUTE(LEFT(TRIM(C528),FIND(" ",TRIM(C528)&amp;" ")-1),",","."),FIND("/",SUBSTITUTE(LEFT(TRIM(C528),FIND(" ",TRIM(C528)&amp;" ")-1),",","."))-1)/MID(SUBSTITUTE(LEFT(TRIM(C528),FIND(" ",TRIM(C528)&amp;" ")-1),",","."),FIND("/",SUBSTITUTE(LEFT(TRIM(C528),FIND(" ",TRIM(C528)&amp;" ")-1),",","."))+1,9))*12/52,IF(ISNUMBER(SEARCH("month",C528)),IFERROR(_xlfn.NUMBERVALUE(SUBSTITUTE(LEFT(TRIM(C528),FIND(" ",TRIM(C528)&amp;" ")-1),",","."),"."),LEFT(SUBSTITUTE(LEFT(TRIM(C528),FIND(" ",TRIM(C528)&amp;" ")-1),",","."),FIND("/",SUBSTITUTE(LEFT(TRIM(C528),FIND(" ",TRIM(C528)&amp;" ")-1),",","."))-1)/MID(SUBSTITUTE(LEFT(TRIM(C528),FIND(" ",TRIM(C528)&amp;" ")-1),",","."),FIND("/",SUBSTITUTE(LEFT(TRIM(C528),FIND(" ",TRIM(C528)&amp;" ")-1),",","."))+1,9)),IF(ISNUMBER(SEARCH("yea",C528)),IFERROR(_xlfn.NUMBERVALUE(SUBSTITUTE(LEFT(TRIM(C528),FIND(" ",TRIM(C528)&amp;" ")-1),",","."),"."),LEFT(SUBSTITUTE(LEFT(TRIM(C528),FIND(" ",TRIM(C528)&amp;" ")-1),",","."),FIND("/",SUBSTITUTE(LEFT(TRIM(C528),FIND(" ",TRIM(C528)&amp;" ")-1),",","."))-1)/MID(SUBSTITUTE(LEFT(TRIM(C528),FIND(" ",TRIM(C528)&amp;" ")-1),",","."),FIND("/",SUBSTITUTE(LEFT(TRIM(C528),FIND(" ",TRIM(C528)&amp;" ")-1),",","."))+1,9))*12,NA()))),0),24)*'Aturan &amp; Tarif'!$B$4,2)</f>
        <v>1362.72</v>
      </c>
      <c r="K528" s="42" t="n">
        <f aca="false">'Aturan &amp; Tarif'!$B$5</f>
        <v>2050</v>
      </c>
      <c r="L528" s="42" t="n">
        <f aca="false">'Aturan &amp; Tarif'!$B$6</f>
        <v>350</v>
      </c>
      <c r="M528" s="35" t="n">
        <f aca="false">I528+J528+K528+L528</f>
        <v>19662.72</v>
      </c>
      <c r="N528" s="44" t="s">
        <v>1036</v>
      </c>
    </row>
    <row r="529" customFormat="false" ht="60" hidden="false" customHeight="true" outlineLevel="0" collapsed="false">
      <c r="A529" s="39"/>
      <c r="B529" s="40" t="s">
        <v>2963</v>
      </c>
      <c r="C529" s="41" t="s">
        <v>127</v>
      </c>
      <c r="D529" s="48" t="s">
        <v>108</v>
      </c>
      <c r="E529" s="42" t="n">
        <v>7333</v>
      </c>
      <c r="F529" s="42"/>
      <c r="G529" s="42"/>
      <c r="H529" s="50" t="n">
        <v>2</v>
      </c>
      <c r="I529" s="34" t="n">
        <f aca="false">E529*H529+N(F529)+N(G529)</f>
        <v>14666</v>
      </c>
      <c r="J529" s="42" t="n">
        <f aca="false">ROUND(IFERROR(ROUND(IF(OR(ISNUMBER(SEARCH("week",C529)),ISNUMBER(SEARCH("minggu",C529))),IFERROR(_xlfn.NUMBERVALUE(SUBSTITUTE(LEFT(TRIM(C529),FIND(" ",TRIM(C529)&amp;" ")-1),",","."),"."),LEFT(SUBSTITUTE(LEFT(TRIM(C529),FIND(" ",TRIM(C529)&amp;" ")-1),",","."),FIND("/",SUBSTITUTE(LEFT(TRIM(C529),FIND(" ",TRIM(C529)&amp;" ")-1),",","."))-1)/MID(SUBSTITUTE(LEFT(TRIM(C529),FIND(" ",TRIM(C529)&amp;" ")-1),",","."),FIND("/",SUBSTITUTE(LEFT(TRIM(C529),FIND(" ",TRIM(C529)&amp;" ")-1),",","."))+1,9))*12/52,IF(ISNUMBER(SEARCH("month",C529)),IFERROR(_xlfn.NUMBERVALUE(SUBSTITUTE(LEFT(TRIM(C529),FIND(" ",TRIM(C529)&amp;" ")-1),",","."),"."),LEFT(SUBSTITUTE(LEFT(TRIM(C529),FIND(" ",TRIM(C529)&amp;" ")-1),",","."),FIND("/",SUBSTITUTE(LEFT(TRIM(C529),FIND(" ",TRIM(C529)&amp;" ")-1),",","."))-1)/MID(SUBSTITUTE(LEFT(TRIM(C529),FIND(" ",TRIM(C529)&amp;" ")-1),",","."),FIND("/",SUBSTITUTE(LEFT(TRIM(C529),FIND(" ",TRIM(C529)&amp;" ")-1),",","."))+1,9)),IF(ISNUMBER(SEARCH("yea",C529)),IFERROR(_xlfn.NUMBERVALUE(SUBSTITUTE(LEFT(TRIM(C529),FIND(" ",TRIM(C529)&amp;" ")-1),",","."),"."),LEFT(SUBSTITUTE(LEFT(TRIM(C529),FIND(" ",TRIM(C529)&amp;" ")-1),",","."),FIND("/",SUBSTITUTE(LEFT(TRIM(C529),FIND(" ",TRIM(C529)&amp;" ")-1),",","."))-1)/MID(SUBSTITUTE(LEFT(TRIM(C529),FIND(" ",TRIM(C529)&amp;" ")-1),",","."),FIND("/",SUBSTITUTE(LEFT(TRIM(C529),FIND(" ",TRIM(C529)&amp;" ")-1),",","."))+1,9))*12,NA()))),0),36)*'Aturan &amp; Tarif'!$B$4,2)</f>
        <v>2044.08</v>
      </c>
      <c r="K529" s="42" t="n">
        <f aca="false">'Aturan &amp; Tarif'!$B$5</f>
        <v>2050</v>
      </c>
      <c r="L529" s="42" t="n">
        <f aca="false">'Aturan &amp; Tarif'!$B$6</f>
        <v>350</v>
      </c>
      <c r="M529" s="35" t="n">
        <f aca="false">I529+J529+K529+L529</f>
        <v>19110.08</v>
      </c>
      <c r="N529" s="44" t="s">
        <v>2964</v>
      </c>
    </row>
    <row r="530" customFormat="false" ht="60" hidden="false" customHeight="true" outlineLevel="0" collapsed="false">
      <c r="A530" s="39"/>
      <c r="B530" s="40" t="s">
        <v>1145</v>
      </c>
      <c r="C530" s="41" t="s">
        <v>113</v>
      </c>
      <c r="D530" s="41" t="s">
        <v>108</v>
      </c>
      <c r="E530" s="42" t="n">
        <v>6563</v>
      </c>
      <c r="F530" s="42"/>
      <c r="G530" s="42"/>
      <c r="H530" s="43" t="n">
        <v>2</v>
      </c>
      <c r="I530" s="34" t="n">
        <f aca="false">E530*H530+N(F530)+N(G530)</f>
        <v>13126</v>
      </c>
      <c r="J530" s="42" t="n">
        <f aca="false">ROUND(IFERROR(ROUND(IF(OR(ISNUMBER(SEARCH("week",C530)),ISNUMBER(SEARCH("minggu",C530))),IFERROR(_xlfn.NUMBERVALUE(SUBSTITUTE(LEFT(TRIM(C530),FIND(" ",TRIM(C530)&amp;" ")-1),",","."),"."),LEFT(SUBSTITUTE(LEFT(TRIM(C530),FIND(" ",TRIM(C530)&amp;" ")-1),",","."),FIND("/",SUBSTITUTE(LEFT(TRIM(C530),FIND(" ",TRIM(C530)&amp;" ")-1),",","."))-1)/MID(SUBSTITUTE(LEFT(TRIM(C530),FIND(" ",TRIM(C530)&amp;" ")-1),",","."),FIND("/",SUBSTITUTE(LEFT(TRIM(C530),FIND(" ",TRIM(C530)&amp;" ")-1),",","."))+1,9))*12/52,IF(ISNUMBER(SEARCH("month",C530)),IFERROR(_xlfn.NUMBERVALUE(SUBSTITUTE(LEFT(TRIM(C530),FIND(" ",TRIM(C530)&amp;" ")-1),",","."),"."),LEFT(SUBSTITUTE(LEFT(TRIM(C530),FIND(" ",TRIM(C530)&amp;" ")-1),",","."),FIND("/",SUBSTITUTE(LEFT(TRIM(C530),FIND(" ",TRIM(C530)&amp;" ")-1),",","."))-1)/MID(SUBSTITUTE(LEFT(TRIM(C530),FIND(" ",TRIM(C530)&amp;" ")-1),",","."),FIND("/",SUBSTITUTE(LEFT(TRIM(C530),FIND(" ",TRIM(C530)&amp;" ")-1),",","."))+1,9)),IF(ISNUMBER(SEARCH("yea",C530)),IFERROR(_xlfn.NUMBERVALUE(SUBSTITUTE(LEFT(TRIM(C530),FIND(" ",TRIM(C530)&amp;" ")-1),",","."),"."),LEFT(SUBSTITUTE(LEFT(TRIM(C530),FIND(" ",TRIM(C530)&amp;" ")-1),",","."),FIND("/",SUBSTITUTE(LEFT(TRIM(C530),FIND(" ",TRIM(C530)&amp;" ")-1),",","."))-1)/MID(SUBSTITUTE(LEFT(TRIM(C530),FIND(" ",TRIM(C530)&amp;" ")-1),",","."),FIND("/",SUBSTITUTE(LEFT(TRIM(C530),FIND(" ",TRIM(C530)&amp;" ")-1),",","."))+1,9))*12,NA()))),0),18)*'Aturan &amp; Tarif'!$B$4,2)</f>
        <v>1022.04</v>
      </c>
      <c r="K530" s="42" t="n">
        <f aca="false">'Aturan &amp; Tarif'!$B$5</f>
        <v>2050</v>
      </c>
      <c r="L530" s="42" t="n">
        <f aca="false">'Aturan &amp; Tarif'!$B$6</f>
        <v>350</v>
      </c>
      <c r="M530" s="35" t="n">
        <f aca="false">I530+J530+K530+L530</f>
        <v>16548.04</v>
      </c>
      <c r="N530" s="44" t="s">
        <v>1146</v>
      </c>
    </row>
    <row r="531" customFormat="false" ht="60" hidden="false" customHeight="true" outlineLevel="0" collapsed="false">
      <c r="A531" s="39"/>
      <c r="B531" s="40" t="s">
        <v>1040</v>
      </c>
      <c r="C531" s="41" t="s">
        <v>127</v>
      </c>
      <c r="D531" s="41" t="s">
        <v>108</v>
      </c>
      <c r="E531" s="42" t="n">
        <v>7900</v>
      </c>
      <c r="F531" s="42"/>
      <c r="G531" s="42"/>
      <c r="H531" s="43" t="n">
        <v>2</v>
      </c>
      <c r="I531" s="34" t="n">
        <f aca="false">E531*H531+N(F531)+N(G531)</f>
        <v>15800</v>
      </c>
      <c r="J531" s="42" t="n">
        <f aca="false">ROUND(IFERROR(ROUND(IF(OR(ISNUMBER(SEARCH("week",C531)),ISNUMBER(SEARCH("minggu",C531))),IFERROR(_xlfn.NUMBERVALUE(SUBSTITUTE(LEFT(TRIM(C531),FIND(" ",TRIM(C531)&amp;" ")-1),",","."),"."),LEFT(SUBSTITUTE(LEFT(TRIM(C531),FIND(" ",TRIM(C531)&amp;" ")-1),",","."),FIND("/",SUBSTITUTE(LEFT(TRIM(C531),FIND(" ",TRIM(C531)&amp;" ")-1),",","."))-1)/MID(SUBSTITUTE(LEFT(TRIM(C531),FIND(" ",TRIM(C531)&amp;" ")-1),",","."),FIND("/",SUBSTITUTE(LEFT(TRIM(C531),FIND(" ",TRIM(C531)&amp;" ")-1),",","."))+1,9))*12/52,IF(ISNUMBER(SEARCH("month",C531)),IFERROR(_xlfn.NUMBERVALUE(SUBSTITUTE(LEFT(TRIM(C531),FIND(" ",TRIM(C531)&amp;" ")-1),",","."),"."),LEFT(SUBSTITUTE(LEFT(TRIM(C531),FIND(" ",TRIM(C531)&amp;" ")-1),",","."),FIND("/",SUBSTITUTE(LEFT(TRIM(C531),FIND(" ",TRIM(C531)&amp;" ")-1),",","."))-1)/MID(SUBSTITUTE(LEFT(TRIM(C531),FIND(" ",TRIM(C531)&amp;" ")-1),",","."),FIND("/",SUBSTITUTE(LEFT(TRIM(C531),FIND(" ",TRIM(C531)&amp;" ")-1),",","."))+1,9)),IF(ISNUMBER(SEARCH("yea",C531)),IFERROR(_xlfn.NUMBERVALUE(SUBSTITUTE(LEFT(TRIM(C531),FIND(" ",TRIM(C531)&amp;" ")-1),",","."),"."),LEFT(SUBSTITUTE(LEFT(TRIM(C531),FIND(" ",TRIM(C531)&amp;" ")-1),",","."),FIND("/",SUBSTITUTE(LEFT(TRIM(C531),FIND(" ",TRIM(C531)&amp;" ")-1),",","."))-1)/MID(SUBSTITUTE(LEFT(TRIM(C531),FIND(" ",TRIM(C531)&amp;" ")-1),",","."),FIND("/",SUBSTITUTE(LEFT(TRIM(C531),FIND(" ",TRIM(C531)&amp;" ")-1),",","."))+1,9))*12,NA()))),0),36)*'Aturan &amp; Tarif'!$B$4,2)</f>
        <v>2044.08</v>
      </c>
      <c r="K531" s="42" t="n">
        <f aca="false">'Aturan &amp; Tarif'!$B$5</f>
        <v>2050</v>
      </c>
      <c r="L531" s="42" t="n">
        <f aca="false">'Aturan &amp; Tarif'!$B$6</f>
        <v>350</v>
      </c>
      <c r="M531" s="35" t="n">
        <f aca="false">I531+J531+K531+L531</f>
        <v>20244.08</v>
      </c>
      <c r="N531" s="44" t="s">
        <v>1041</v>
      </c>
    </row>
    <row r="532" customFormat="false" ht="60" hidden="false" customHeight="true" outlineLevel="0" collapsed="false">
      <c r="A532" s="39"/>
      <c r="B532" s="40" t="s">
        <v>1783</v>
      </c>
      <c r="C532" s="41" t="s">
        <v>344</v>
      </c>
      <c r="D532" s="41" t="s">
        <v>108</v>
      </c>
      <c r="E532" s="42" t="n">
        <v>5248</v>
      </c>
      <c r="F532" s="42"/>
      <c r="G532" s="42"/>
      <c r="H532" s="43" t="n">
        <v>2</v>
      </c>
      <c r="I532" s="34" t="n">
        <f aca="false">E532*H532+N(F532)+N(G532)</f>
        <v>10496</v>
      </c>
      <c r="J532" s="42" t="n">
        <f aca="false">ROUND(IFERROR(ROUND(IF(OR(ISNUMBER(SEARCH("week",C532)),ISNUMBER(SEARCH("minggu",C532))),IFERROR(_xlfn.NUMBERVALUE(SUBSTITUTE(LEFT(TRIM(C532),FIND(" ",TRIM(C532)&amp;" ")-1),",","."),"."),LEFT(SUBSTITUTE(LEFT(TRIM(C532),FIND(" ",TRIM(C532)&amp;" ")-1),",","."),FIND("/",SUBSTITUTE(LEFT(TRIM(C532),FIND(" ",TRIM(C532)&amp;" ")-1),",","."))-1)/MID(SUBSTITUTE(LEFT(TRIM(C532),FIND(" ",TRIM(C532)&amp;" ")-1),",","."),FIND("/",SUBSTITUTE(LEFT(TRIM(C532),FIND(" ",TRIM(C532)&amp;" ")-1),",","."))+1,9))*12/52,IF(ISNUMBER(SEARCH("month",C532)),IFERROR(_xlfn.NUMBERVALUE(SUBSTITUTE(LEFT(TRIM(C532),FIND(" ",TRIM(C532)&amp;" ")-1),",","."),"."),LEFT(SUBSTITUTE(LEFT(TRIM(C532),FIND(" ",TRIM(C532)&amp;" ")-1),",","."),FIND("/",SUBSTITUTE(LEFT(TRIM(C532),FIND(" ",TRIM(C532)&amp;" ")-1),",","."))-1)/MID(SUBSTITUTE(LEFT(TRIM(C532),FIND(" ",TRIM(C532)&amp;" ")-1),",","."),FIND("/",SUBSTITUTE(LEFT(TRIM(C532),FIND(" ",TRIM(C532)&amp;" ")-1),",","."))+1,9)),IF(ISNUMBER(SEARCH("yea",C532)),IFERROR(_xlfn.NUMBERVALUE(SUBSTITUTE(LEFT(TRIM(C532),FIND(" ",TRIM(C532)&amp;" ")-1),",","."),"."),LEFT(SUBSTITUTE(LEFT(TRIM(C532),FIND(" ",TRIM(C532)&amp;" ")-1),",","."),FIND("/",SUBSTITUTE(LEFT(TRIM(C532),FIND(" ",TRIM(C532)&amp;" ")-1),",","."))-1)/MID(SUBSTITUTE(LEFT(TRIM(C532),FIND(" ",TRIM(C532)&amp;" ")-1),",","."),FIND("/",SUBSTITUTE(LEFT(TRIM(C532),FIND(" ",TRIM(C532)&amp;" ")-1),",","."))+1,9))*12,NA()))),0),6)*'Aturan &amp; Tarif'!$B$4,2)</f>
        <v>340.68</v>
      </c>
      <c r="K532" s="42" t="n">
        <f aca="false">'Aturan &amp; Tarif'!$B$5</f>
        <v>2050</v>
      </c>
      <c r="L532" s="42" t="n">
        <f aca="false">'Aturan &amp; Tarif'!$B$6</f>
        <v>350</v>
      </c>
      <c r="M532" s="35" t="n">
        <f aca="false">I532+J532+K532+L532</f>
        <v>13236.68</v>
      </c>
      <c r="N532" s="44" t="s">
        <v>1784</v>
      </c>
    </row>
    <row r="533" customFormat="false" ht="25.5" hidden="false" customHeight="true" outlineLevel="0" collapsed="false">
      <c r="A533" s="39"/>
      <c r="B533" s="40" t="s">
        <v>2517</v>
      </c>
      <c r="C533" s="41" t="s">
        <v>344</v>
      </c>
      <c r="D533" s="41" t="s">
        <v>108</v>
      </c>
      <c r="E533" s="42" t="n">
        <v>5700</v>
      </c>
      <c r="F533" s="42"/>
      <c r="G533" s="42"/>
      <c r="H533" s="43" t="n">
        <v>2</v>
      </c>
      <c r="I533" s="34" t="n">
        <f aca="false">E533*H533+N(F533)+N(G533)</f>
        <v>11400</v>
      </c>
      <c r="J533" s="42" t="n">
        <f aca="false">ROUND(IFERROR(ROUND(IF(OR(ISNUMBER(SEARCH("week",C533)),ISNUMBER(SEARCH("minggu",C533))),IFERROR(_xlfn.NUMBERVALUE(SUBSTITUTE(LEFT(TRIM(C533),FIND(" ",TRIM(C533)&amp;" ")-1),",","."),"."),LEFT(SUBSTITUTE(LEFT(TRIM(C533),FIND(" ",TRIM(C533)&amp;" ")-1),",","."),FIND("/",SUBSTITUTE(LEFT(TRIM(C533),FIND(" ",TRIM(C533)&amp;" ")-1),",","."))-1)/MID(SUBSTITUTE(LEFT(TRIM(C533),FIND(" ",TRIM(C533)&amp;" ")-1),",","."),FIND("/",SUBSTITUTE(LEFT(TRIM(C533),FIND(" ",TRIM(C533)&amp;" ")-1),",","."))+1,9))*12/52,IF(ISNUMBER(SEARCH("month",C533)),IFERROR(_xlfn.NUMBERVALUE(SUBSTITUTE(LEFT(TRIM(C533),FIND(" ",TRIM(C533)&amp;" ")-1),",","."),"."),LEFT(SUBSTITUTE(LEFT(TRIM(C533),FIND(" ",TRIM(C533)&amp;" ")-1),",","."),FIND("/",SUBSTITUTE(LEFT(TRIM(C533),FIND(" ",TRIM(C533)&amp;" ")-1),",","."))-1)/MID(SUBSTITUTE(LEFT(TRIM(C533),FIND(" ",TRIM(C533)&amp;" ")-1),",","."),FIND("/",SUBSTITUTE(LEFT(TRIM(C533),FIND(" ",TRIM(C533)&amp;" ")-1),",","."))+1,9)),IF(ISNUMBER(SEARCH("yea",C533)),IFERROR(_xlfn.NUMBERVALUE(SUBSTITUTE(LEFT(TRIM(C533),FIND(" ",TRIM(C533)&amp;" ")-1),",","."),"."),LEFT(SUBSTITUTE(LEFT(TRIM(C533),FIND(" ",TRIM(C533)&amp;" ")-1),",","."),FIND("/",SUBSTITUTE(LEFT(TRIM(C533),FIND(" ",TRIM(C533)&amp;" ")-1),",","."))-1)/MID(SUBSTITUTE(LEFT(TRIM(C533),FIND(" ",TRIM(C533)&amp;" ")-1),",","."),FIND("/",SUBSTITUTE(LEFT(TRIM(C533),FIND(" ",TRIM(C533)&amp;" ")-1),",","."))+1,9))*12,NA()))),0),6)*'Aturan &amp; Tarif'!$B$4,2)</f>
        <v>340.68</v>
      </c>
      <c r="K533" s="42" t="n">
        <f aca="false">'Aturan &amp; Tarif'!$B$5</f>
        <v>2050</v>
      </c>
      <c r="L533" s="42" t="n">
        <f aca="false">'Aturan &amp; Tarif'!$B$6</f>
        <v>350</v>
      </c>
      <c r="M533" s="35" t="n">
        <f aca="false">I533+J533+K533+L533</f>
        <v>14140.68</v>
      </c>
      <c r="N533" s="44" t="s">
        <v>2518</v>
      </c>
    </row>
    <row r="534" customFormat="false" ht="25.5" hidden="false" customHeight="true" outlineLevel="0" collapsed="false">
      <c r="A534" s="39"/>
      <c r="B534" s="40" t="s">
        <v>1785</v>
      </c>
      <c r="C534" s="41" t="s">
        <v>107</v>
      </c>
      <c r="D534" s="41" t="s">
        <v>108</v>
      </c>
      <c r="E534" s="42" t="n">
        <v>10495</v>
      </c>
      <c r="F534" s="42"/>
      <c r="G534" s="42"/>
      <c r="H534" s="43" t="n">
        <v>2</v>
      </c>
      <c r="I534" s="34" t="n">
        <f aca="false">E534*H534+N(F534)+N(G534)</f>
        <v>20990</v>
      </c>
      <c r="J534" s="42" t="n">
        <f aca="false">ROUND(IFERROR(ROUND(IF(OR(ISNUMBER(SEARCH("week",C534)),ISNUMBER(SEARCH("minggu",C534))),IFERROR(_xlfn.NUMBERVALUE(SUBSTITUTE(LEFT(TRIM(C534),FIND(" ",TRIM(C534)&amp;" ")-1),",","."),"."),LEFT(SUBSTITUTE(LEFT(TRIM(C534),FIND(" ",TRIM(C534)&amp;" ")-1),",","."),FIND("/",SUBSTITUTE(LEFT(TRIM(C534),FIND(" ",TRIM(C534)&amp;" ")-1),",","."))-1)/MID(SUBSTITUTE(LEFT(TRIM(C534),FIND(" ",TRIM(C534)&amp;" ")-1),",","."),FIND("/",SUBSTITUTE(LEFT(TRIM(C534),FIND(" ",TRIM(C534)&amp;" ")-1),",","."))+1,9))*12/52,IF(ISNUMBER(SEARCH("month",C534)),IFERROR(_xlfn.NUMBERVALUE(SUBSTITUTE(LEFT(TRIM(C534),FIND(" ",TRIM(C534)&amp;" ")-1),",","."),"."),LEFT(SUBSTITUTE(LEFT(TRIM(C534),FIND(" ",TRIM(C534)&amp;" ")-1),",","."),FIND("/",SUBSTITUTE(LEFT(TRIM(C534),FIND(" ",TRIM(C534)&amp;" ")-1),",","."))-1)/MID(SUBSTITUTE(LEFT(TRIM(C534),FIND(" ",TRIM(C534)&amp;" ")-1),",","."),FIND("/",SUBSTITUTE(LEFT(TRIM(C534),FIND(" ",TRIM(C534)&amp;" ")-1),",","."))+1,9)),IF(ISNUMBER(SEARCH("yea",C534)),IFERROR(_xlfn.NUMBERVALUE(SUBSTITUTE(LEFT(TRIM(C534),FIND(" ",TRIM(C534)&amp;" ")-1),",","."),"."),LEFT(SUBSTITUTE(LEFT(TRIM(C534),FIND(" ",TRIM(C534)&amp;" ")-1),",","."),FIND("/",SUBSTITUTE(LEFT(TRIM(C534),FIND(" ",TRIM(C534)&amp;" ")-1),",","."))-1)/MID(SUBSTITUTE(LEFT(TRIM(C534),FIND(" ",TRIM(C534)&amp;" ")-1),",","."),FIND("/",SUBSTITUTE(LEFT(TRIM(C534),FIND(" ",TRIM(C534)&amp;" ")-1),",","."))+1,9))*12,NA()))),0),24)*'Aturan &amp; Tarif'!$B$4,2)</f>
        <v>1362.72</v>
      </c>
      <c r="K534" s="42" t="n">
        <f aca="false">'Aturan &amp; Tarif'!$B$5</f>
        <v>2050</v>
      </c>
      <c r="L534" s="42" t="n">
        <f aca="false">'Aturan &amp; Tarif'!$B$6</f>
        <v>350</v>
      </c>
      <c r="M534" s="35" t="n">
        <f aca="false">I534+J534+K534+L534</f>
        <v>24752.72</v>
      </c>
      <c r="N534" s="45" t="s">
        <v>1786</v>
      </c>
    </row>
    <row r="535" customFormat="false" ht="60" hidden="false" customHeight="true" outlineLevel="0" collapsed="false">
      <c r="A535" s="39"/>
      <c r="B535" s="40" t="s">
        <v>2519</v>
      </c>
      <c r="C535" s="41" t="s">
        <v>107</v>
      </c>
      <c r="D535" s="41" t="s">
        <v>108</v>
      </c>
      <c r="E535" s="42" t="n">
        <v>11400</v>
      </c>
      <c r="F535" s="42"/>
      <c r="G535" s="42"/>
      <c r="H535" s="43" t="n">
        <v>2</v>
      </c>
      <c r="I535" s="34" t="n">
        <f aca="false">E535*H535+N(F535)+N(G535)</f>
        <v>22800</v>
      </c>
      <c r="J535" s="42" t="n">
        <f aca="false">ROUND(IFERROR(ROUND(IF(OR(ISNUMBER(SEARCH("week",C535)),ISNUMBER(SEARCH("minggu",C535))),IFERROR(_xlfn.NUMBERVALUE(SUBSTITUTE(LEFT(TRIM(C535),FIND(" ",TRIM(C535)&amp;" ")-1),",","."),"."),LEFT(SUBSTITUTE(LEFT(TRIM(C535),FIND(" ",TRIM(C535)&amp;" ")-1),",","."),FIND("/",SUBSTITUTE(LEFT(TRIM(C535),FIND(" ",TRIM(C535)&amp;" ")-1),",","."))-1)/MID(SUBSTITUTE(LEFT(TRIM(C535),FIND(" ",TRIM(C535)&amp;" ")-1),",","."),FIND("/",SUBSTITUTE(LEFT(TRIM(C535),FIND(" ",TRIM(C535)&amp;" ")-1),",","."))+1,9))*12/52,IF(ISNUMBER(SEARCH("month",C535)),IFERROR(_xlfn.NUMBERVALUE(SUBSTITUTE(LEFT(TRIM(C535),FIND(" ",TRIM(C535)&amp;" ")-1),",","."),"."),LEFT(SUBSTITUTE(LEFT(TRIM(C535),FIND(" ",TRIM(C535)&amp;" ")-1),",","."),FIND("/",SUBSTITUTE(LEFT(TRIM(C535),FIND(" ",TRIM(C535)&amp;" ")-1),",","."))-1)/MID(SUBSTITUTE(LEFT(TRIM(C535),FIND(" ",TRIM(C535)&amp;" ")-1),",","."),FIND("/",SUBSTITUTE(LEFT(TRIM(C535),FIND(" ",TRIM(C535)&amp;" ")-1),",","."))+1,9)),IF(ISNUMBER(SEARCH("yea",C535)),IFERROR(_xlfn.NUMBERVALUE(SUBSTITUTE(LEFT(TRIM(C535),FIND(" ",TRIM(C535)&amp;" ")-1),",","."),"."),LEFT(SUBSTITUTE(LEFT(TRIM(C535),FIND(" ",TRIM(C535)&amp;" ")-1),",","."),FIND("/",SUBSTITUTE(LEFT(TRIM(C535),FIND(" ",TRIM(C535)&amp;" ")-1),",","."))-1)/MID(SUBSTITUTE(LEFT(TRIM(C535),FIND(" ",TRIM(C535)&amp;" ")-1),",","."),FIND("/",SUBSTITUTE(LEFT(TRIM(C535),FIND(" ",TRIM(C535)&amp;" ")-1),",","."))+1,9))*12,NA()))),0),24)*'Aturan &amp; Tarif'!$B$4,2)</f>
        <v>1362.72</v>
      </c>
      <c r="K535" s="42" t="n">
        <f aca="false">'Aturan &amp; Tarif'!$B$5</f>
        <v>2050</v>
      </c>
      <c r="L535" s="42" t="n">
        <f aca="false">'Aturan &amp; Tarif'!$B$6</f>
        <v>350</v>
      </c>
      <c r="M535" s="35" t="n">
        <f aca="false">I535+J535+K535+L535</f>
        <v>26562.72</v>
      </c>
      <c r="N535" s="45" t="s">
        <v>2520</v>
      </c>
    </row>
    <row r="536" customFormat="false" ht="60" hidden="false" customHeight="true" outlineLevel="0" collapsed="false">
      <c r="A536" s="39"/>
      <c r="B536" s="40" t="s">
        <v>1151</v>
      </c>
      <c r="C536" s="41" t="s">
        <v>344</v>
      </c>
      <c r="D536" s="41" t="s">
        <v>108</v>
      </c>
      <c r="E536" s="42" t="n">
        <v>3688</v>
      </c>
      <c r="F536" s="42"/>
      <c r="G536" s="42"/>
      <c r="H536" s="43" t="n">
        <v>2</v>
      </c>
      <c r="I536" s="34" t="n">
        <f aca="false">E536*H536+N(F536)+N(G536)</f>
        <v>7376</v>
      </c>
      <c r="J536" s="42" t="n">
        <f aca="false">ROUND(IFERROR(ROUND(IF(OR(ISNUMBER(SEARCH("week",C536)),ISNUMBER(SEARCH("minggu",C536))),IFERROR(_xlfn.NUMBERVALUE(SUBSTITUTE(LEFT(TRIM(C536),FIND(" ",TRIM(C536)&amp;" ")-1),",","."),"."),LEFT(SUBSTITUTE(LEFT(TRIM(C536),FIND(" ",TRIM(C536)&amp;" ")-1),",","."),FIND("/",SUBSTITUTE(LEFT(TRIM(C536),FIND(" ",TRIM(C536)&amp;" ")-1),",","."))-1)/MID(SUBSTITUTE(LEFT(TRIM(C536),FIND(" ",TRIM(C536)&amp;" ")-1),",","."),FIND("/",SUBSTITUTE(LEFT(TRIM(C536),FIND(" ",TRIM(C536)&amp;" ")-1),",","."))+1,9))*12/52,IF(ISNUMBER(SEARCH("month",C536)),IFERROR(_xlfn.NUMBERVALUE(SUBSTITUTE(LEFT(TRIM(C536),FIND(" ",TRIM(C536)&amp;" ")-1),",","."),"."),LEFT(SUBSTITUTE(LEFT(TRIM(C536),FIND(" ",TRIM(C536)&amp;" ")-1),",","."),FIND("/",SUBSTITUTE(LEFT(TRIM(C536),FIND(" ",TRIM(C536)&amp;" ")-1),",","."))-1)/MID(SUBSTITUTE(LEFT(TRIM(C536),FIND(" ",TRIM(C536)&amp;" ")-1),",","."),FIND("/",SUBSTITUTE(LEFT(TRIM(C536),FIND(" ",TRIM(C536)&amp;" ")-1),",","."))+1,9)),IF(ISNUMBER(SEARCH("yea",C536)),IFERROR(_xlfn.NUMBERVALUE(SUBSTITUTE(LEFT(TRIM(C536),FIND(" ",TRIM(C536)&amp;" ")-1),",","."),"."),LEFT(SUBSTITUTE(LEFT(TRIM(C536),FIND(" ",TRIM(C536)&amp;" ")-1),",","."),FIND("/",SUBSTITUTE(LEFT(TRIM(C536),FIND(" ",TRIM(C536)&amp;" ")-1),",","."))-1)/MID(SUBSTITUTE(LEFT(TRIM(C536),FIND(" ",TRIM(C536)&amp;" ")-1),",","."),FIND("/",SUBSTITUTE(LEFT(TRIM(C536),FIND(" ",TRIM(C536)&amp;" ")-1),",","."))+1,9))*12,NA()))),0),6)*'Aturan &amp; Tarif'!$B$4,2)</f>
        <v>340.68</v>
      </c>
      <c r="K536" s="42" t="n">
        <f aca="false">'Aturan &amp; Tarif'!$B$5</f>
        <v>2050</v>
      </c>
      <c r="L536" s="42" t="n">
        <f aca="false">'Aturan &amp; Tarif'!$B$6</f>
        <v>350</v>
      </c>
      <c r="M536" s="35" t="n">
        <f aca="false">I536+J536+K536+L536</f>
        <v>10116.68</v>
      </c>
      <c r="N536" s="44" t="s">
        <v>1152</v>
      </c>
    </row>
    <row r="537" customFormat="false" ht="60" hidden="false" customHeight="true" outlineLevel="0" collapsed="false">
      <c r="A537" s="39"/>
      <c r="B537" s="40" t="s">
        <v>1153</v>
      </c>
      <c r="C537" s="41" t="s">
        <v>130</v>
      </c>
      <c r="D537" s="41" t="s">
        <v>108</v>
      </c>
      <c r="E537" s="42" t="n">
        <v>7375</v>
      </c>
      <c r="F537" s="42"/>
      <c r="G537" s="42"/>
      <c r="H537" s="43" t="n">
        <v>2</v>
      </c>
      <c r="I537" s="34" t="n">
        <f aca="false">E537*H537+N(F537)+N(G537)</f>
        <v>14750</v>
      </c>
      <c r="J537" s="42" t="n">
        <f aca="false">ROUND(IFERROR(ROUND(IF(OR(ISNUMBER(SEARCH("week",C537)),ISNUMBER(SEARCH("minggu",C537))),IFERROR(_xlfn.NUMBERVALUE(SUBSTITUTE(LEFT(TRIM(C537),FIND(" ",TRIM(C537)&amp;" ")-1),",","."),"."),LEFT(SUBSTITUTE(LEFT(TRIM(C537),FIND(" ",TRIM(C537)&amp;" ")-1),",","."),FIND("/",SUBSTITUTE(LEFT(TRIM(C537),FIND(" ",TRIM(C537)&amp;" ")-1),",","."))-1)/MID(SUBSTITUTE(LEFT(TRIM(C537),FIND(" ",TRIM(C537)&amp;" ")-1),",","."),FIND("/",SUBSTITUTE(LEFT(TRIM(C537),FIND(" ",TRIM(C537)&amp;" ")-1),",","."))+1,9))*12/52,IF(ISNUMBER(SEARCH("month",C537)),IFERROR(_xlfn.NUMBERVALUE(SUBSTITUTE(LEFT(TRIM(C537),FIND(" ",TRIM(C537)&amp;" ")-1),",","."),"."),LEFT(SUBSTITUTE(LEFT(TRIM(C537),FIND(" ",TRIM(C537)&amp;" ")-1),",","."),FIND("/",SUBSTITUTE(LEFT(TRIM(C537),FIND(" ",TRIM(C537)&amp;" ")-1),",","."))-1)/MID(SUBSTITUTE(LEFT(TRIM(C537),FIND(" ",TRIM(C537)&amp;" ")-1),",","."),FIND("/",SUBSTITUTE(LEFT(TRIM(C537),FIND(" ",TRIM(C537)&amp;" ")-1),",","."))+1,9)),IF(ISNUMBER(SEARCH("yea",C537)),IFERROR(_xlfn.NUMBERVALUE(SUBSTITUTE(LEFT(TRIM(C537),FIND(" ",TRIM(C537)&amp;" ")-1),",","."),"."),LEFT(SUBSTITUTE(LEFT(TRIM(C537),FIND(" ",TRIM(C537)&amp;" ")-1),",","."),FIND("/",SUBSTITUTE(LEFT(TRIM(C537),FIND(" ",TRIM(C537)&amp;" ")-1),",","."))-1)/MID(SUBSTITUTE(LEFT(TRIM(C537),FIND(" ",TRIM(C537)&amp;" ")-1),",","."),FIND("/",SUBSTITUTE(LEFT(TRIM(C537),FIND(" ",TRIM(C537)&amp;" ")-1),",","."))+1,9))*12,NA()))),0),12)*'Aturan &amp; Tarif'!$B$4,2)</f>
        <v>681.36</v>
      </c>
      <c r="K537" s="42" t="n">
        <f aca="false">'Aturan &amp; Tarif'!$B$5</f>
        <v>2050</v>
      </c>
      <c r="L537" s="42" t="n">
        <f aca="false">'Aturan &amp; Tarif'!$B$6</f>
        <v>350</v>
      </c>
      <c r="M537" s="35" t="n">
        <f aca="false">I537+J537+K537+L537</f>
        <v>17831.36</v>
      </c>
      <c r="N537" s="44" t="s">
        <v>1154</v>
      </c>
    </row>
    <row r="538" customFormat="false" ht="60" hidden="false" customHeight="true" outlineLevel="0" collapsed="false">
      <c r="A538" s="39"/>
      <c r="B538" s="40" t="s">
        <v>1155</v>
      </c>
      <c r="C538" s="41" t="s">
        <v>107</v>
      </c>
      <c r="D538" s="41" t="s">
        <v>108</v>
      </c>
      <c r="E538" s="42" t="n">
        <v>7375</v>
      </c>
      <c r="F538" s="42"/>
      <c r="G538" s="42"/>
      <c r="H538" s="43" t="n">
        <v>2</v>
      </c>
      <c r="I538" s="34" t="n">
        <f aca="false">E538*H538+N(F538)+N(G538)</f>
        <v>14750</v>
      </c>
      <c r="J538" s="42" t="n">
        <f aca="false">ROUND(IFERROR(ROUND(IF(OR(ISNUMBER(SEARCH("week",C538)),ISNUMBER(SEARCH("minggu",C538))),IFERROR(_xlfn.NUMBERVALUE(SUBSTITUTE(LEFT(TRIM(C538),FIND(" ",TRIM(C538)&amp;" ")-1),",","."),"."),LEFT(SUBSTITUTE(LEFT(TRIM(C538),FIND(" ",TRIM(C538)&amp;" ")-1),",","."),FIND("/",SUBSTITUTE(LEFT(TRIM(C538),FIND(" ",TRIM(C538)&amp;" ")-1),",","."))-1)/MID(SUBSTITUTE(LEFT(TRIM(C538),FIND(" ",TRIM(C538)&amp;" ")-1),",","."),FIND("/",SUBSTITUTE(LEFT(TRIM(C538),FIND(" ",TRIM(C538)&amp;" ")-1),",","."))+1,9))*12/52,IF(ISNUMBER(SEARCH("month",C538)),IFERROR(_xlfn.NUMBERVALUE(SUBSTITUTE(LEFT(TRIM(C538),FIND(" ",TRIM(C538)&amp;" ")-1),",","."),"."),LEFT(SUBSTITUTE(LEFT(TRIM(C538),FIND(" ",TRIM(C538)&amp;" ")-1),",","."),FIND("/",SUBSTITUTE(LEFT(TRIM(C538),FIND(" ",TRIM(C538)&amp;" ")-1),",","."))-1)/MID(SUBSTITUTE(LEFT(TRIM(C538),FIND(" ",TRIM(C538)&amp;" ")-1),",","."),FIND("/",SUBSTITUTE(LEFT(TRIM(C538),FIND(" ",TRIM(C538)&amp;" ")-1),",","."))+1,9)),IF(ISNUMBER(SEARCH("yea",C538)),IFERROR(_xlfn.NUMBERVALUE(SUBSTITUTE(LEFT(TRIM(C538),FIND(" ",TRIM(C538)&amp;" ")-1),",","."),"."),LEFT(SUBSTITUTE(LEFT(TRIM(C538),FIND(" ",TRIM(C538)&amp;" ")-1),",","."),FIND("/",SUBSTITUTE(LEFT(TRIM(C538),FIND(" ",TRIM(C538)&amp;" ")-1),",","."))-1)/MID(SUBSTITUTE(LEFT(TRIM(C538),FIND(" ",TRIM(C538)&amp;" ")-1),",","."),FIND("/",SUBSTITUTE(LEFT(TRIM(C538),FIND(" ",TRIM(C538)&amp;" ")-1),",","."))+1,9))*12,NA()))),0),24)*'Aturan &amp; Tarif'!$B$4,2)</f>
        <v>1362.72</v>
      </c>
      <c r="K538" s="42" t="n">
        <f aca="false">'Aturan &amp; Tarif'!$B$5</f>
        <v>2050</v>
      </c>
      <c r="L538" s="42" t="n">
        <f aca="false">'Aturan &amp; Tarif'!$B$6</f>
        <v>350</v>
      </c>
      <c r="M538" s="35" t="n">
        <f aca="false">I538+J538+K538+L538</f>
        <v>18512.72</v>
      </c>
      <c r="N538" s="44" t="s">
        <v>1156</v>
      </c>
    </row>
    <row r="539" customFormat="false" ht="60" hidden="false" customHeight="true" outlineLevel="0" collapsed="false">
      <c r="A539" s="39"/>
      <c r="B539" s="40" t="s">
        <v>407</v>
      </c>
      <c r="C539" s="41" t="s">
        <v>107</v>
      </c>
      <c r="D539" s="41" t="s">
        <v>108</v>
      </c>
      <c r="E539" s="42" t="n">
        <v>7375</v>
      </c>
      <c r="F539" s="42"/>
      <c r="G539" s="42"/>
      <c r="H539" s="43" t="n">
        <v>2</v>
      </c>
      <c r="I539" s="34" t="n">
        <f aca="false">E539*H539+N(F539)+N(G539)</f>
        <v>14750</v>
      </c>
      <c r="J539" s="42" t="n">
        <f aca="false">ROUND(IFERROR(ROUND(IF(OR(ISNUMBER(SEARCH("week",C539)),ISNUMBER(SEARCH("minggu",C539))),IFERROR(_xlfn.NUMBERVALUE(SUBSTITUTE(LEFT(TRIM(C539),FIND(" ",TRIM(C539)&amp;" ")-1),",","."),"."),LEFT(SUBSTITUTE(LEFT(TRIM(C539),FIND(" ",TRIM(C539)&amp;" ")-1),",","."),FIND("/",SUBSTITUTE(LEFT(TRIM(C539),FIND(" ",TRIM(C539)&amp;" ")-1),",","."))-1)/MID(SUBSTITUTE(LEFT(TRIM(C539),FIND(" ",TRIM(C539)&amp;" ")-1),",","."),FIND("/",SUBSTITUTE(LEFT(TRIM(C539),FIND(" ",TRIM(C539)&amp;" ")-1),",","."))+1,9))*12/52,IF(ISNUMBER(SEARCH("month",C539)),IFERROR(_xlfn.NUMBERVALUE(SUBSTITUTE(LEFT(TRIM(C539),FIND(" ",TRIM(C539)&amp;" ")-1),",","."),"."),LEFT(SUBSTITUTE(LEFT(TRIM(C539),FIND(" ",TRIM(C539)&amp;" ")-1),",","."),FIND("/",SUBSTITUTE(LEFT(TRIM(C539),FIND(" ",TRIM(C539)&amp;" ")-1),",","."))-1)/MID(SUBSTITUTE(LEFT(TRIM(C539),FIND(" ",TRIM(C539)&amp;" ")-1),",","."),FIND("/",SUBSTITUTE(LEFT(TRIM(C539),FIND(" ",TRIM(C539)&amp;" ")-1),",","."))+1,9)),IF(ISNUMBER(SEARCH("yea",C539)),IFERROR(_xlfn.NUMBERVALUE(SUBSTITUTE(LEFT(TRIM(C539),FIND(" ",TRIM(C539)&amp;" ")-1),",","."),"."),LEFT(SUBSTITUTE(LEFT(TRIM(C539),FIND(" ",TRIM(C539)&amp;" ")-1),",","."),FIND("/",SUBSTITUTE(LEFT(TRIM(C539),FIND(" ",TRIM(C539)&amp;" ")-1),",","."))-1)/MID(SUBSTITUTE(LEFT(TRIM(C539),FIND(" ",TRIM(C539)&amp;" ")-1),",","."),FIND("/",SUBSTITUTE(LEFT(TRIM(C539),FIND(" ",TRIM(C539)&amp;" ")-1),",","."))+1,9))*12,NA()))),0),24)*'Aturan &amp; Tarif'!$B$4,2)</f>
        <v>1362.72</v>
      </c>
      <c r="K539" s="42" t="n">
        <f aca="false">'Aturan &amp; Tarif'!$B$5</f>
        <v>2050</v>
      </c>
      <c r="L539" s="42" t="n">
        <f aca="false">'Aturan &amp; Tarif'!$B$6</f>
        <v>350</v>
      </c>
      <c r="M539" s="35" t="n">
        <f aca="false">I539+J539+K539+L539</f>
        <v>18512.72</v>
      </c>
      <c r="N539" s="44" t="s">
        <v>1157</v>
      </c>
    </row>
    <row r="540" customFormat="false" ht="60" hidden="false" customHeight="true" outlineLevel="0" collapsed="false">
      <c r="A540" s="39"/>
      <c r="B540" s="40" t="s">
        <v>406</v>
      </c>
      <c r="C540" s="41" t="s">
        <v>127</v>
      </c>
      <c r="D540" s="41" t="s">
        <v>108</v>
      </c>
      <c r="E540" s="42" t="n">
        <v>7375</v>
      </c>
      <c r="F540" s="42"/>
      <c r="G540" s="42"/>
      <c r="H540" s="43" t="n">
        <v>2</v>
      </c>
      <c r="I540" s="34" t="n">
        <f aca="false">E540*H540+N(F540)+N(G540)</f>
        <v>14750</v>
      </c>
      <c r="J540" s="42" t="n">
        <f aca="false">ROUND(IFERROR(ROUND(IF(OR(ISNUMBER(SEARCH("week",C540)),ISNUMBER(SEARCH("minggu",C540))),IFERROR(_xlfn.NUMBERVALUE(SUBSTITUTE(LEFT(TRIM(C540),FIND(" ",TRIM(C540)&amp;" ")-1),",","."),"."),LEFT(SUBSTITUTE(LEFT(TRIM(C540),FIND(" ",TRIM(C540)&amp;" ")-1),",","."),FIND("/",SUBSTITUTE(LEFT(TRIM(C540),FIND(" ",TRIM(C540)&amp;" ")-1),",","."))-1)/MID(SUBSTITUTE(LEFT(TRIM(C540),FIND(" ",TRIM(C540)&amp;" ")-1),",","."),FIND("/",SUBSTITUTE(LEFT(TRIM(C540),FIND(" ",TRIM(C540)&amp;" ")-1),",","."))+1,9))*12/52,IF(ISNUMBER(SEARCH("month",C540)),IFERROR(_xlfn.NUMBERVALUE(SUBSTITUTE(LEFT(TRIM(C540),FIND(" ",TRIM(C540)&amp;" ")-1),",","."),"."),LEFT(SUBSTITUTE(LEFT(TRIM(C540),FIND(" ",TRIM(C540)&amp;" ")-1),",","."),FIND("/",SUBSTITUTE(LEFT(TRIM(C540),FIND(" ",TRIM(C540)&amp;" ")-1),",","."))-1)/MID(SUBSTITUTE(LEFT(TRIM(C540),FIND(" ",TRIM(C540)&amp;" ")-1),",","."),FIND("/",SUBSTITUTE(LEFT(TRIM(C540),FIND(" ",TRIM(C540)&amp;" ")-1),",","."))+1,9)),IF(ISNUMBER(SEARCH("yea",C540)),IFERROR(_xlfn.NUMBERVALUE(SUBSTITUTE(LEFT(TRIM(C540),FIND(" ",TRIM(C540)&amp;" ")-1),",","."),"."),LEFT(SUBSTITUTE(LEFT(TRIM(C540),FIND(" ",TRIM(C540)&amp;" ")-1),",","."),FIND("/",SUBSTITUTE(LEFT(TRIM(C540),FIND(" ",TRIM(C540)&amp;" ")-1),",","."))-1)/MID(SUBSTITUTE(LEFT(TRIM(C540),FIND(" ",TRIM(C540)&amp;" ")-1),",","."),FIND("/",SUBSTITUTE(LEFT(TRIM(C540),FIND(" ",TRIM(C540)&amp;" ")-1),",","."))+1,9))*12,NA()))),0),36)*'Aturan &amp; Tarif'!$B$4,2)</f>
        <v>2044.08</v>
      </c>
      <c r="K540" s="42" t="n">
        <f aca="false">'Aturan &amp; Tarif'!$B$5</f>
        <v>2050</v>
      </c>
      <c r="L540" s="42" t="n">
        <f aca="false">'Aturan &amp; Tarif'!$B$6</f>
        <v>350</v>
      </c>
      <c r="M540" s="35" t="n">
        <f aca="false">I540+J540+K540+L540</f>
        <v>19194.08</v>
      </c>
      <c r="N540" s="44" t="s">
        <v>1158</v>
      </c>
    </row>
    <row r="541" customFormat="false" ht="14.25" hidden="false" customHeight="true" outlineLevel="0" collapsed="false">
      <c r="A541" s="39"/>
      <c r="B541" s="40" t="s">
        <v>1159</v>
      </c>
      <c r="C541" s="41" t="s">
        <v>127</v>
      </c>
      <c r="D541" s="41" t="s">
        <v>108</v>
      </c>
      <c r="E541" s="42" t="n">
        <v>7375</v>
      </c>
      <c r="F541" s="42"/>
      <c r="G541" s="42"/>
      <c r="H541" s="43" t="n">
        <v>2</v>
      </c>
      <c r="I541" s="34" t="n">
        <f aca="false">E541*H541+N(F541)+N(G541)</f>
        <v>14750</v>
      </c>
      <c r="J541" s="42" t="n">
        <f aca="false">ROUND(IFERROR(ROUND(IF(OR(ISNUMBER(SEARCH("week",C541)),ISNUMBER(SEARCH("minggu",C541))),IFERROR(_xlfn.NUMBERVALUE(SUBSTITUTE(LEFT(TRIM(C541),FIND(" ",TRIM(C541)&amp;" ")-1),",","."),"."),LEFT(SUBSTITUTE(LEFT(TRIM(C541),FIND(" ",TRIM(C541)&amp;" ")-1),",","."),FIND("/",SUBSTITUTE(LEFT(TRIM(C541),FIND(" ",TRIM(C541)&amp;" ")-1),",","."))-1)/MID(SUBSTITUTE(LEFT(TRIM(C541),FIND(" ",TRIM(C541)&amp;" ")-1),",","."),FIND("/",SUBSTITUTE(LEFT(TRIM(C541),FIND(" ",TRIM(C541)&amp;" ")-1),",","."))+1,9))*12/52,IF(ISNUMBER(SEARCH("month",C541)),IFERROR(_xlfn.NUMBERVALUE(SUBSTITUTE(LEFT(TRIM(C541),FIND(" ",TRIM(C541)&amp;" ")-1),",","."),"."),LEFT(SUBSTITUTE(LEFT(TRIM(C541),FIND(" ",TRIM(C541)&amp;" ")-1),",","."),FIND("/",SUBSTITUTE(LEFT(TRIM(C541),FIND(" ",TRIM(C541)&amp;" ")-1),",","."))-1)/MID(SUBSTITUTE(LEFT(TRIM(C541),FIND(" ",TRIM(C541)&amp;" ")-1),",","."),FIND("/",SUBSTITUTE(LEFT(TRIM(C541),FIND(" ",TRIM(C541)&amp;" ")-1),",","."))+1,9)),IF(ISNUMBER(SEARCH("yea",C541)),IFERROR(_xlfn.NUMBERVALUE(SUBSTITUTE(LEFT(TRIM(C541),FIND(" ",TRIM(C541)&amp;" ")-1),",","."),"."),LEFT(SUBSTITUTE(LEFT(TRIM(C541),FIND(" ",TRIM(C541)&amp;" ")-1),",","."),FIND("/",SUBSTITUTE(LEFT(TRIM(C541),FIND(" ",TRIM(C541)&amp;" ")-1),",","."))-1)/MID(SUBSTITUTE(LEFT(TRIM(C541),FIND(" ",TRIM(C541)&amp;" ")-1),",","."),FIND("/",SUBSTITUTE(LEFT(TRIM(C541),FIND(" ",TRIM(C541)&amp;" ")-1),",","."))+1,9))*12,NA()))),0),36)*'Aturan &amp; Tarif'!$B$4,2)</f>
        <v>2044.08</v>
      </c>
      <c r="K541" s="42" t="n">
        <f aca="false">'Aturan &amp; Tarif'!$B$5</f>
        <v>2050</v>
      </c>
      <c r="L541" s="42" t="n">
        <f aca="false">'Aturan &amp; Tarif'!$B$6</f>
        <v>350</v>
      </c>
      <c r="M541" s="35" t="n">
        <f aca="false">I541+J541+K541+L541</f>
        <v>19194.08</v>
      </c>
      <c r="N541" s="44" t="s">
        <v>1160</v>
      </c>
    </row>
    <row r="542" customFormat="false" ht="48.75" hidden="false" customHeight="true" outlineLevel="0" collapsed="false">
      <c r="A542" s="39"/>
      <c r="B542" s="40" t="s">
        <v>1161</v>
      </c>
      <c r="C542" s="41" t="s">
        <v>127</v>
      </c>
      <c r="D542" s="41" t="s">
        <v>108</v>
      </c>
      <c r="E542" s="42" t="n">
        <v>7375</v>
      </c>
      <c r="F542" s="42"/>
      <c r="G542" s="42"/>
      <c r="H542" s="43" t="n">
        <v>2</v>
      </c>
      <c r="I542" s="34" t="n">
        <f aca="false">E542*H542+N(F542)+N(G542)</f>
        <v>14750</v>
      </c>
      <c r="J542" s="42" t="n">
        <f aca="false">ROUND(IFERROR(ROUND(IF(OR(ISNUMBER(SEARCH("week",C542)),ISNUMBER(SEARCH("minggu",C542))),IFERROR(_xlfn.NUMBERVALUE(SUBSTITUTE(LEFT(TRIM(C542),FIND(" ",TRIM(C542)&amp;" ")-1),",","."),"."),LEFT(SUBSTITUTE(LEFT(TRIM(C542),FIND(" ",TRIM(C542)&amp;" ")-1),",","."),FIND("/",SUBSTITUTE(LEFT(TRIM(C542),FIND(" ",TRIM(C542)&amp;" ")-1),",","."))-1)/MID(SUBSTITUTE(LEFT(TRIM(C542),FIND(" ",TRIM(C542)&amp;" ")-1),",","."),FIND("/",SUBSTITUTE(LEFT(TRIM(C542),FIND(" ",TRIM(C542)&amp;" ")-1),",","."))+1,9))*12/52,IF(ISNUMBER(SEARCH("month",C542)),IFERROR(_xlfn.NUMBERVALUE(SUBSTITUTE(LEFT(TRIM(C542),FIND(" ",TRIM(C542)&amp;" ")-1),",","."),"."),LEFT(SUBSTITUTE(LEFT(TRIM(C542),FIND(" ",TRIM(C542)&amp;" ")-1),",","."),FIND("/",SUBSTITUTE(LEFT(TRIM(C542),FIND(" ",TRIM(C542)&amp;" ")-1),",","."))-1)/MID(SUBSTITUTE(LEFT(TRIM(C542),FIND(" ",TRIM(C542)&amp;" ")-1),",","."),FIND("/",SUBSTITUTE(LEFT(TRIM(C542),FIND(" ",TRIM(C542)&amp;" ")-1),",","."))+1,9)),IF(ISNUMBER(SEARCH("yea",C542)),IFERROR(_xlfn.NUMBERVALUE(SUBSTITUTE(LEFT(TRIM(C542),FIND(" ",TRIM(C542)&amp;" ")-1),",","."),"."),LEFT(SUBSTITUTE(LEFT(TRIM(C542),FIND(" ",TRIM(C542)&amp;" ")-1),",","."),FIND("/",SUBSTITUTE(LEFT(TRIM(C542),FIND(" ",TRIM(C542)&amp;" ")-1),",","."))-1)/MID(SUBSTITUTE(LEFT(TRIM(C542),FIND(" ",TRIM(C542)&amp;" ")-1),",","."),FIND("/",SUBSTITUTE(LEFT(TRIM(C542),FIND(" ",TRIM(C542)&amp;" ")-1),",","."))+1,9))*12,NA()))),0),36)*'Aturan &amp; Tarif'!$B$4,2)</f>
        <v>2044.08</v>
      </c>
      <c r="K542" s="42" t="n">
        <f aca="false">'Aturan &amp; Tarif'!$B$5</f>
        <v>2050</v>
      </c>
      <c r="L542" s="42" t="n">
        <f aca="false">'Aturan &amp; Tarif'!$B$6</f>
        <v>350</v>
      </c>
      <c r="M542" s="35" t="n">
        <f aca="false">I542+J542+K542+L542</f>
        <v>19194.08</v>
      </c>
      <c r="N542" s="45" t="s">
        <v>1162</v>
      </c>
    </row>
    <row r="543" customFormat="false" ht="25.5" hidden="false" customHeight="true" outlineLevel="0" collapsed="false">
      <c r="A543" s="29" t="s">
        <v>2965</v>
      </c>
      <c r="B543" s="30" t="s">
        <v>1902</v>
      </c>
      <c r="C543" s="31" t="s">
        <v>107</v>
      </c>
      <c r="D543" s="31" t="s">
        <v>108</v>
      </c>
      <c r="E543" s="32" t="n">
        <v>2250</v>
      </c>
      <c r="F543" s="32" t="n">
        <v>2000</v>
      </c>
      <c r="G543" s="32" t="n">
        <v>250</v>
      </c>
      <c r="H543" s="33" t="n">
        <v>1</v>
      </c>
      <c r="I543" s="34" t="n">
        <f aca="false">E543*H543+N(F543)+N(G543)</f>
        <v>4500</v>
      </c>
      <c r="J543" s="32" t="n">
        <f aca="false">ROUND(IFERROR(ROUND(IF(OR(ISNUMBER(SEARCH("week",C543)),ISNUMBER(SEARCH("minggu",C543))),IFERROR(_xlfn.NUMBERVALUE(SUBSTITUTE(LEFT(TRIM(C543),FIND(" ",TRIM(C543)&amp;" ")-1),",","."),"."),LEFT(SUBSTITUTE(LEFT(TRIM(C543),FIND(" ",TRIM(C543)&amp;" ")-1),",","."),FIND("/",SUBSTITUTE(LEFT(TRIM(C543),FIND(" ",TRIM(C543)&amp;" ")-1),",","."))-1)/MID(SUBSTITUTE(LEFT(TRIM(C543),FIND(" ",TRIM(C543)&amp;" ")-1),",","."),FIND("/",SUBSTITUTE(LEFT(TRIM(C543),FIND(" ",TRIM(C543)&amp;" ")-1),",","."))+1,9))*12/52,IF(ISNUMBER(SEARCH("month",C543)),IFERROR(_xlfn.NUMBERVALUE(SUBSTITUTE(LEFT(TRIM(C543),FIND(" ",TRIM(C543)&amp;" ")-1),",","."),"."),LEFT(SUBSTITUTE(LEFT(TRIM(C543),FIND(" ",TRIM(C543)&amp;" ")-1),",","."),FIND("/",SUBSTITUTE(LEFT(TRIM(C543),FIND(" ",TRIM(C543)&amp;" ")-1),",","."))-1)/MID(SUBSTITUTE(LEFT(TRIM(C543),FIND(" ",TRIM(C543)&amp;" ")-1),",","."),FIND("/",SUBSTITUTE(LEFT(TRIM(C543),FIND(" ",TRIM(C543)&amp;" ")-1),",","."))+1,9)),IF(ISNUMBER(SEARCH("yea",C543)),IFERROR(_xlfn.NUMBERVALUE(SUBSTITUTE(LEFT(TRIM(C543),FIND(" ",TRIM(C543)&amp;" ")-1),",","."),"."),LEFT(SUBSTITUTE(LEFT(TRIM(C543),FIND(" ",TRIM(C543)&amp;" ")-1),",","."),FIND("/",SUBSTITUTE(LEFT(TRIM(C543),FIND(" ",TRIM(C543)&amp;" ")-1),",","."))-1)/MID(SUBSTITUTE(LEFT(TRIM(C543),FIND(" ",TRIM(C543)&amp;" ")-1),",","."),FIND("/",SUBSTITUTE(LEFT(TRIM(C543),FIND(" ",TRIM(C543)&amp;" ")-1),",","."))+1,9))*12,NA()))),0),24)*'Aturan &amp; Tarif'!$B$4,2)</f>
        <v>1362.72</v>
      </c>
      <c r="K543" s="32" t="n">
        <f aca="false">'Aturan &amp; Tarif'!$B$5</f>
        <v>2050</v>
      </c>
      <c r="L543" s="32" t="n">
        <f aca="false">'Aturan &amp; Tarif'!$B$6</f>
        <v>350</v>
      </c>
      <c r="M543" s="35" t="n">
        <f aca="false">I543+J543+K543+L543</f>
        <v>8262.72</v>
      </c>
      <c r="N543" s="37" t="s">
        <v>134</v>
      </c>
    </row>
    <row r="544" customFormat="false" ht="14.25" hidden="false" customHeight="true" outlineLevel="0" collapsed="false">
      <c r="A544" s="29"/>
      <c r="B544" s="30" t="s">
        <v>2070</v>
      </c>
      <c r="C544" s="31" t="s">
        <v>138</v>
      </c>
      <c r="D544" s="31" t="s">
        <v>108</v>
      </c>
      <c r="E544" s="32" t="n">
        <v>2200</v>
      </c>
      <c r="F544" s="32" t="n">
        <v>2000</v>
      </c>
      <c r="G544" s="32" t="n">
        <v>250</v>
      </c>
      <c r="H544" s="33" t="n">
        <v>1</v>
      </c>
      <c r="I544" s="34" t="n">
        <f aca="false">E544*H544+N(F544)+N(G544)</f>
        <v>4450</v>
      </c>
      <c r="J544" s="32" t="n">
        <f aca="false">ROUND(IFERROR(ROUND(IF(OR(ISNUMBER(SEARCH("week",C544)),ISNUMBER(SEARCH("minggu",C544))),IFERROR(_xlfn.NUMBERVALUE(SUBSTITUTE(LEFT(TRIM(C544),FIND(" ",TRIM(C544)&amp;" ")-1),",","."),"."),LEFT(SUBSTITUTE(LEFT(TRIM(C544),FIND(" ",TRIM(C544)&amp;" ")-1),",","."),FIND("/",SUBSTITUTE(LEFT(TRIM(C544),FIND(" ",TRIM(C544)&amp;" ")-1),",","."))-1)/MID(SUBSTITUTE(LEFT(TRIM(C544),FIND(" ",TRIM(C544)&amp;" ")-1),",","."),FIND("/",SUBSTITUTE(LEFT(TRIM(C544),FIND(" ",TRIM(C544)&amp;" ")-1),",","."))+1,9))*12/52,IF(ISNUMBER(SEARCH("month",C544)),IFERROR(_xlfn.NUMBERVALUE(SUBSTITUTE(LEFT(TRIM(C544),FIND(" ",TRIM(C544)&amp;" ")-1),",","."),"."),LEFT(SUBSTITUTE(LEFT(TRIM(C544),FIND(" ",TRIM(C544)&amp;" ")-1),",","."),FIND("/",SUBSTITUTE(LEFT(TRIM(C544),FIND(" ",TRIM(C544)&amp;" ")-1),",","."))-1)/MID(SUBSTITUTE(LEFT(TRIM(C544),FIND(" ",TRIM(C544)&amp;" ")-1),",","."),FIND("/",SUBSTITUTE(LEFT(TRIM(C544),FIND(" ",TRIM(C544)&amp;" ")-1),",","."))+1,9)),IF(ISNUMBER(SEARCH("yea",C544)),IFERROR(_xlfn.NUMBERVALUE(SUBSTITUTE(LEFT(TRIM(C544),FIND(" ",TRIM(C544)&amp;" ")-1),",","."),"."),LEFT(SUBSTITUTE(LEFT(TRIM(C544),FIND(" ",TRIM(C544)&amp;" ")-1),",","."),FIND("/",SUBSTITUTE(LEFT(TRIM(C544),FIND(" ",TRIM(C544)&amp;" ")-1),",","."))-1)/MID(SUBSTITUTE(LEFT(TRIM(C544),FIND(" ",TRIM(C544)&amp;" ")-1),",","."),FIND("/",SUBSTITUTE(LEFT(TRIM(C544),FIND(" ",TRIM(C544)&amp;" ")-1),",","."))+1,9))*12,NA()))),0),30)*'Aturan &amp; Tarif'!$B$4,2)</f>
        <v>1703.4</v>
      </c>
      <c r="K544" s="32" t="n">
        <f aca="false">'Aturan &amp; Tarif'!$B$5</f>
        <v>2050</v>
      </c>
      <c r="L544" s="32" t="n">
        <f aca="false">'Aturan &amp; Tarif'!$B$6</f>
        <v>350</v>
      </c>
      <c r="M544" s="35" t="n">
        <f aca="false">I544+J544+K544+L544</f>
        <v>8553.4</v>
      </c>
      <c r="N544" s="37" t="s">
        <v>134</v>
      </c>
    </row>
    <row r="545" customFormat="false" ht="14.25" hidden="false" customHeight="true" outlineLevel="0" collapsed="false">
      <c r="A545" s="29"/>
      <c r="B545" s="30" t="s">
        <v>115</v>
      </c>
      <c r="C545" s="31" t="s">
        <v>107</v>
      </c>
      <c r="D545" s="31" t="s">
        <v>108</v>
      </c>
      <c r="E545" s="32" t="n">
        <v>2300</v>
      </c>
      <c r="F545" s="32" t="n">
        <v>1000</v>
      </c>
      <c r="G545" s="32" t="n">
        <v>250</v>
      </c>
      <c r="H545" s="33" t="n">
        <v>1</v>
      </c>
      <c r="I545" s="34" t="n">
        <f aca="false">E545*H545+N(F545)+N(G545)</f>
        <v>3550</v>
      </c>
      <c r="J545" s="32" t="n">
        <f aca="false">ROUND(IFERROR(ROUND(IF(OR(ISNUMBER(SEARCH("week",C545)),ISNUMBER(SEARCH("minggu",C545))),IFERROR(_xlfn.NUMBERVALUE(SUBSTITUTE(LEFT(TRIM(C545),FIND(" ",TRIM(C545)&amp;" ")-1),",","."),"."),LEFT(SUBSTITUTE(LEFT(TRIM(C545),FIND(" ",TRIM(C545)&amp;" ")-1),",","."),FIND("/",SUBSTITUTE(LEFT(TRIM(C545),FIND(" ",TRIM(C545)&amp;" ")-1),",","."))-1)/MID(SUBSTITUTE(LEFT(TRIM(C545),FIND(" ",TRIM(C545)&amp;" ")-1),",","."),FIND("/",SUBSTITUTE(LEFT(TRIM(C545),FIND(" ",TRIM(C545)&amp;" ")-1),",","."))+1,9))*12/52,IF(ISNUMBER(SEARCH("month",C545)),IFERROR(_xlfn.NUMBERVALUE(SUBSTITUTE(LEFT(TRIM(C545),FIND(" ",TRIM(C545)&amp;" ")-1),",","."),"."),LEFT(SUBSTITUTE(LEFT(TRIM(C545),FIND(" ",TRIM(C545)&amp;" ")-1),",","."),FIND("/",SUBSTITUTE(LEFT(TRIM(C545),FIND(" ",TRIM(C545)&amp;" ")-1),",","."))-1)/MID(SUBSTITUTE(LEFT(TRIM(C545),FIND(" ",TRIM(C545)&amp;" ")-1),",","."),FIND("/",SUBSTITUTE(LEFT(TRIM(C545),FIND(" ",TRIM(C545)&amp;" ")-1),",","."))+1,9)),IF(ISNUMBER(SEARCH("yea",C545)),IFERROR(_xlfn.NUMBERVALUE(SUBSTITUTE(LEFT(TRIM(C545),FIND(" ",TRIM(C545)&amp;" ")-1),",","."),"."),LEFT(SUBSTITUTE(LEFT(TRIM(C545),FIND(" ",TRIM(C545)&amp;" ")-1),",","."),FIND("/",SUBSTITUTE(LEFT(TRIM(C545),FIND(" ",TRIM(C545)&amp;" ")-1),",","."))-1)/MID(SUBSTITUTE(LEFT(TRIM(C545),FIND(" ",TRIM(C545)&amp;" ")-1),",","."),FIND("/",SUBSTITUTE(LEFT(TRIM(C545),FIND(" ",TRIM(C545)&amp;" ")-1),",","."))+1,9))*12,NA()))),0),24)*'Aturan &amp; Tarif'!$B$4,2)</f>
        <v>1362.72</v>
      </c>
      <c r="K545" s="32" t="n">
        <f aca="false">'Aturan &amp; Tarif'!$B$5</f>
        <v>2050</v>
      </c>
      <c r="L545" s="32" t="n">
        <f aca="false">'Aturan &amp; Tarif'!$B$6</f>
        <v>350</v>
      </c>
      <c r="M545" s="35" t="n">
        <f aca="false">I545+J545+K545+L545</f>
        <v>7312.72</v>
      </c>
      <c r="N545" s="37" t="s">
        <v>653</v>
      </c>
    </row>
    <row r="546" customFormat="false" ht="60" hidden="false" customHeight="true" outlineLevel="0" collapsed="false">
      <c r="A546" s="29"/>
      <c r="B546" s="30" t="s">
        <v>888</v>
      </c>
      <c r="C546" s="31" t="s">
        <v>107</v>
      </c>
      <c r="D546" s="31" t="s">
        <v>108</v>
      </c>
      <c r="E546" s="32" t="n">
        <v>1750</v>
      </c>
      <c r="F546" s="32" t="n">
        <v>600</v>
      </c>
      <c r="G546" s="32" t="n">
        <v>250</v>
      </c>
      <c r="H546" s="33" t="n">
        <v>1</v>
      </c>
      <c r="I546" s="34" t="n">
        <f aca="false">E546*H546+N(F546)+N(G546)</f>
        <v>2600</v>
      </c>
      <c r="J546" s="32" t="n">
        <f aca="false">ROUND(IFERROR(ROUND(IF(OR(ISNUMBER(SEARCH("week",C546)),ISNUMBER(SEARCH("minggu",C546))),IFERROR(_xlfn.NUMBERVALUE(SUBSTITUTE(LEFT(TRIM(C546),FIND(" ",TRIM(C546)&amp;" ")-1),",","."),"."),LEFT(SUBSTITUTE(LEFT(TRIM(C546),FIND(" ",TRIM(C546)&amp;" ")-1),",","."),FIND("/",SUBSTITUTE(LEFT(TRIM(C546),FIND(" ",TRIM(C546)&amp;" ")-1),",","."))-1)/MID(SUBSTITUTE(LEFT(TRIM(C546),FIND(" ",TRIM(C546)&amp;" ")-1),",","."),FIND("/",SUBSTITUTE(LEFT(TRIM(C546),FIND(" ",TRIM(C546)&amp;" ")-1),",","."))+1,9))*12/52,IF(ISNUMBER(SEARCH("month",C546)),IFERROR(_xlfn.NUMBERVALUE(SUBSTITUTE(LEFT(TRIM(C546),FIND(" ",TRIM(C546)&amp;" ")-1),",","."),"."),LEFT(SUBSTITUTE(LEFT(TRIM(C546),FIND(" ",TRIM(C546)&amp;" ")-1),",","."),FIND("/",SUBSTITUTE(LEFT(TRIM(C546),FIND(" ",TRIM(C546)&amp;" ")-1),",","."))-1)/MID(SUBSTITUTE(LEFT(TRIM(C546),FIND(" ",TRIM(C546)&amp;" ")-1),",","."),FIND("/",SUBSTITUTE(LEFT(TRIM(C546),FIND(" ",TRIM(C546)&amp;" ")-1),",","."))+1,9)),IF(ISNUMBER(SEARCH("yea",C546)),IFERROR(_xlfn.NUMBERVALUE(SUBSTITUTE(LEFT(TRIM(C546),FIND(" ",TRIM(C546)&amp;" ")-1),",","."),"."),LEFT(SUBSTITUTE(LEFT(TRIM(C546),FIND(" ",TRIM(C546)&amp;" ")-1),",","."),FIND("/",SUBSTITUTE(LEFT(TRIM(C546),FIND(" ",TRIM(C546)&amp;" ")-1),",","."))-1)/MID(SUBSTITUTE(LEFT(TRIM(C546),FIND(" ",TRIM(C546)&amp;" ")-1),",","."),FIND("/",SUBSTITUTE(LEFT(TRIM(C546),FIND(" ",TRIM(C546)&amp;" ")-1),",","."))+1,9))*12,NA()))),0),24)*'Aturan &amp; Tarif'!$B$4,2)</f>
        <v>1362.72</v>
      </c>
      <c r="K546" s="32" t="n">
        <f aca="false">'Aturan &amp; Tarif'!$B$5</f>
        <v>2050</v>
      </c>
      <c r="L546" s="32" t="n">
        <f aca="false">'Aturan &amp; Tarif'!$B$6</f>
        <v>350</v>
      </c>
      <c r="M546" s="35" t="n">
        <f aca="false">I546+J546+K546+L546</f>
        <v>6362.72</v>
      </c>
      <c r="N546" s="37" t="s">
        <v>134</v>
      </c>
    </row>
    <row r="547" customFormat="false" ht="94.5" hidden="false" customHeight="true" outlineLevel="0" collapsed="false">
      <c r="A547" s="39" t="s">
        <v>2966</v>
      </c>
      <c r="B547" s="40" t="s">
        <v>321</v>
      </c>
      <c r="C547" s="41" t="s">
        <v>127</v>
      </c>
      <c r="D547" s="41" t="s">
        <v>108</v>
      </c>
      <c r="E547" s="42" t="n">
        <v>9487.5</v>
      </c>
      <c r="F547" s="42"/>
      <c r="G547" s="42"/>
      <c r="H547" s="43" t="n">
        <v>2</v>
      </c>
      <c r="I547" s="34" t="n">
        <f aca="false">E547*H547+N(F547)+N(G547)</f>
        <v>18975</v>
      </c>
      <c r="J547" s="42" t="n">
        <f aca="false">ROUND(IFERROR(ROUND(IF(OR(ISNUMBER(SEARCH("week",C547)),ISNUMBER(SEARCH("minggu",C547))),IFERROR(_xlfn.NUMBERVALUE(SUBSTITUTE(LEFT(TRIM(C547),FIND(" ",TRIM(C547)&amp;" ")-1),",","."),"."),LEFT(SUBSTITUTE(LEFT(TRIM(C547),FIND(" ",TRIM(C547)&amp;" ")-1),",","."),FIND("/",SUBSTITUTE(LEFT(TRIM(C547),FIND(" ",TRIM(C547)&amp;" ")-1),",","."))-1)/MID(SUBSTITUTE(LEFT(TRIM(C547),FIND(" ",TRIM(C547)&amp;" ")-1),",","."),FIND("/",SUBSTITUTE(LEFT(TRIM(C547),FIND(" ",TRIM(C547)&amp;" ")-1),",","."))+1,9))*12/52,IF(ISNUMBER(SEARCH("month",C547)),IFERROR(_xlfn.NUMBERVALUE(SUBSTITUTE(LEFT(TRIM(C547),FIND(" ",TRIM(C547)&amp;" ")-1),",","."),"."),LEFT(SUBSTITUTE(LEFT(TRIM(C547),FIND(" ",TRIM(C547)&amp;" ")-1),",","."),FIND("/",SUBSTITUTE(LEFT(TRIM(C547),FIND(" ",TRIM(C547)&amp;" ")-1),",","."))-1)/MID(SUBSTITUTE(LEFT(TRIM(C547),FIND(" ",TRIM(C547)&amp;" ")-1),",","."),FIND("/",SUBSTITUTE(LEFT(TRIM(C547),FIND(" ",TRIM(C547)&amp;" ")-1),",","."))+1,9)),IF(ISNUMBER(SEARCH("yea",C547)),IFERROR(_xlfn.NUMBERVALUE(SUBSTITUTE(LEFT(TRIM(C547),FIND(" ",TRIM(C547)&amp;" ")-1),",","."),"."),LEFT(SUBSTITUTE(LEFT(TRIM(C547),FIND(" ",TRIM(C547)&amp;" ")-1),",","."),FIND("/",SUBSTITUTE(LEFT(TRIM(C547),FIND(" ",TRIM(C547)&amp;" ")-1),",","."))-1)/MID(SUBSTITUTE(LEFT(TRIM(C547),FIND(" ",TRIM(C547)&amp;" ")-1),",","."),FIND("/",SUBSTITUTE(LEFT(TRIM(C547),FIND(" ",TRIM(C547)&amp;" ")-1),",","."))+1,9))*12,NA()))),0),36)*'Aturan &amp; Tarif'!$B$4,2)</f>
        <v>2044.08</v>
      </c>
      <c r="K547" s="42" t="n">
        <f aca="false">'Aturan &amp; Tarif'!$B$5</f>
        <v>2050</v>
      </c>
      <c r="L547" s="42" t="n">
        <f aca="false">'Aturan &amp; Tarif'!$B$6</f>
        <v>350</v>
      </c>
      <c r="M547" s="35" t="n">
        <f aca="false">I547+J547+K547+L547</f>
        <v>23419.08</v>
      </c>
      <c r="N547" s="44" t="s">
        <v>2523</v>
      </c>
    </row>
    <row r="548" customFormat="false" ht="94.5" hidden="false" customHeight="true" outlineLevel="0" collapsed="false">
      <c r="A548" s="39"/>
      <c r="B548" s="40" t="s">
        <v>247</v>
      </c>
      <c r="C548" s="41" t="s">
        <v>127</v>
      </c>
      <c r="D548" s="41" t="s">
        <v>108</v>
      </c>
      <c r="E548" s="42" t="n">
        <v>9987.5</v>
      </c>
      <c r="F548" s="42"/>
      <c r="G548" s="42"/>
      <c r="H548" s="43" t="n">
        <v>2</v>
      </c>
      <c r="I548" s="34" t="n">
        <f aca="false">E548*H548+N(F548)+N(G548)</f>
        <v>19975</v>
      </c>
      <c r="J548" s="42" t="n">
        <f aca="false">ROUND(IFERROR(ROUND(IF(OR(ISNUMBER(SEARCH("week",C548)),ISNUMBER(SEARCH("minggu",C548))),IFERROR(_xlfn.NUMBERVALUE(SUBSTITUTE(LEFT(TRIM(C548),FIND(" ",TRIM(C548)&amp;" ")-1),",","."),"."),LEFT(SUBSTITUTE(LEFT(TRIM(C548),FIND(" ",TRIM(C548)&amp;" ")-1),",","."),FIND("/",SUBSTITUTE(LEFT(TRIM(C548),FIND(" ",TRIM(C548)&amp;" ")-1),",","."))-1)/MID(SUBSTITUTE(LEFT(TRIM(C548),FIND(" ",TRIM(C548)&amp;" ")-1),",","."),FIND("/",SUBSTITUTE(LEFT(TRIM(C548),FIND(" ",TRIM(C548)&amp;" ")-1),",","."))+1,9))*12/52,IF(ISNUMBER(SEARCH("month",C548)),IFERROR(_xlfn.NUMBERVALUE(SUBSTITUTE(LEFT(TRIM(C548),FIND(" ",TRIM(C548)&amp;" ")-1),",","."),"."),LEFT(SUBSTITUTE(LEFT(TRIM(C548),FIND(" ",TRIM(C548)&amp;" ")-1),",","."),FIND("/",SUBSTITUTE(LEFT(TRIM(C548),FIND(" ",TRIM(C548)&amp;" ")-1),",","."))-1)/MID(SUBSTITUTE(LEFT(TRIM(C548),FIND(" ",TRIM(C548)&amp;" ")-1),",","."),FIND("/",SUBSTITUTE(LEFT(TRIM(C548),FIND(" ",TRIM(C548)&amp;" ")-1),",","."))+1,9)),IF(ISNUMBER(SEARCH("yea",C548)),IFERROR(_xlfn.NUMBERVALUE(SUBSTITUTE(LEFT(TRIM(C548),FIND(" ",TRIM(C548)&amp;" ")-1),",","."),"."),LEFT(SUBSTITUTE(LEFT(TRIM(C548),FIND(" ",TRIM(C548)&amp;" ")-1),",","."),FIND("/",SUBSTITUTE(LEFT(TRIM(C548),FIND(" ",TRIM(C548)&amp;" ")-1),",","."))-1)/MID(SUBSTITUTE(LEFT(TRIM(C548),FIND(" ",TRIM(C548)&amp;" ")-1),",","."),FIND("/",SUBSTITUTE(LEFT(TRIM(C548),FIND(" ",TRIM(C548)&amp;" ")-1),",","."))+1,9))*12,NA()))),0),36)*'Aturan &amp; Tarif'!$B$4,2)</f>
        <v>2044.08</v>
      </c>
      <c r="K548" s="42" t="n">
        <f aca="false">'Aturan &amp; Tarif'!$B$5</f>
        <v>2050</v>
      </c>
      <c r="L548" s="42" t="n">
        <f aca="false">'Aturan &amp; Tarif'!$B$6</f>
        <v>350</v>
      </c>
      <c r="M548" s="35" t="n">
        <f aca="false">I548+J548+K548+L548</f>
        <v>24419.08</v>
      </c>
      <c r="N548" s="44" t="s">
        <v>2524</v>
      </c>
    </row>
    <row r="549" customFormat="false" ht="25.5" hidden="false" customHeight="true" outlineLevel="0" collapsed="false">
      <c r="A549" s="39"/>
      <c r="B549" s="40" t="s">
        <v>165</v>
      </c>
      <c r="C549" s="41" t="s">
        <v>107</v>
      </c>
      <c r="D549" s="41" t="s">
        <v>108</v>
      </c>
      <c r="E549" s="42" t="n">
        <v>8522</v>
      </c>
      <c r="F549" s="42"/>
      <c r="G549" s="42"/>
      <c r="H549" s="43" t="n">
        <v>2</v>
      </c>
      <c r="I549" s="34" t="n">
        <f aca="false">E549*H549+N(F549)+N(G549)</f>
        <v>17044</v>
      </c>
      <c r="J549" s="42" t="n">
        <f aca="false">ROUND(IFERROR(ROUND(IF(OR(ISNUMBER(SEARCH("week",C549)),ISNUMBER(SEARCH("minggu",C549))),IFERROR(_xlfn.NUMBERVALUE(SUBSTITUTE(LEFT(TRIM(C549),FIND(" ",TRIM(C549)&amp;" ")-1),",","."),"."),LEFT(SUBSTITUTE(LEFT(TRIM(C549),FIND(" ",TRIM(C549)&amp;" ")-1),",","."),FIND("/",SUBSTITUTE(LEFT(TRIM(C549),FIND(" ",TRIM(C549)&amp;" ")-1),",","."))-1)/MID(SUBSTITUTE(LEFT(TRIM(C549),FIND(" ",TRIM(C549)&amp;" ")-1),",","."),FIND("/",SUBSTITUTE(LEFT(TRIM(C549),FIND(" ",TRIM(C549)&amp;" ")-1),",","."))+1,9))*12/52,IF(ISNUMBER(SEARCH("month",C549)),IFERROR(_xlfn.NUMBERVALUE(SUBSTITUTE(LEFT(TRIM(C549),FIND(" ",TRIM(C549)&amp;" ")-1),",","."),"."),LEFT(SUBSTITUTE(LEFT(TRIM(C549),FIND(" ",TRIM(C549)&amp;" ")-1),",","."),FIND("/",SUBSTITUTE(LEFT(TRIM(C549),FIND(" ",TRIM(C549)&amp;" ")-1),",","."))-1)/MID(SUBSTITUTE(LEFT(TRIM(C549),FIND(" ",TRIM(C549)&amp;" ")-1),",","."),FIND("/",SUBSTITUTE(LEFT(TRIM(C549),FIND(" ",TRIM(C549)&amp;" ")-1),",","."))+1,9)),IF(ISNUMBER(SEARCH("yea",C549)),IFERROR(_xlfn.NUMBERVALUE(SUBSTITUTE(LEFT(TRIM(C549),FIND(" ",TRIM(C549)&amp;" ")-1),",","."),"."),LEFT(SUBSTITUTE(LEFT(TRIM(C549),FIND(" ",TRIM(C549)&amp;" ")-1),",","."),FIND("/",SUBSTITUTE(LEFT(TRIM(C549),FIND(" ",TRIM(C549)&amp;" ")-1),",","."))-1)/MID(SUBSTITUTE(LEFT(TRIM(C549),FIND(" ",TRIM(C549)&amp;" ")-1),",","."),FIND("/",SUBSTITUTE(LEFT(TRIM(C549),FIND(" ",TRIM(C549)&amp;" ")-1),",","."))+1,9))*12,NA()))),0),24)*'Aturan &amp; Tarif'!$B$4,2)</f>
        <v>1362.72</v>
      </c>
      <c r="K549" s="42" t="n">
        <f aca="false">'Aturan &amp; Tarif'!$B$5</f>
        <v>2050</v>
      </c>
      <c r="L549" s="42" t="n">
        <f aca="false">'Aturan &amp; Tarif'!$B$6</f>
        <v>350</v>
      </c>
      <c r="M549" s="35" t="n">
        <f aca="false">I549+J549+K549+L549</f>
        <v>20806.72</v>
      </c>
      <c r="N549" s="44" t="s">
        <v>2525</v>
      </c>
    </row>
    <row r="550" customFormat="false" ht="25.5" hidden="false" customHeight="true" outlineLevel="0" collapsed="false">
      <c r="A550" s="39"/>
      <c r="B550" s="40" t="s">
        <v>257</v>
      </c>
      <c r="C550" s="41" t="s">
        <v>107</v>
      </c>
      <c r="D550" s="41" t="s">
        <v>108</v>
      </c>
      <c r="E550" s="42" t="n">
        <v>9987.5</v>
      </c>
      <c r="F550" s="42"/>
      <c r="G550" s="42"/>
      <c r="H550" s="43" t="n">
        <v>2</v>
      </c>
      <c r="I550" s="34" t="n">
        <f aca="false">E550*H550+N(F550)+N(G550)</f>
        <v>19975</v>
      </c>
      <c r="J550" s="42" t="n">
        <f aca="false">ROUND(IFERROR(ROUND(IF(OR(ISNUMBER(SEARCH("week",C550)),ISNUMBER(SEARCH("minggu",C550))),IFERROR(_xlfn.NUMBERVALUE(SUBSTITUTE(LEFT(TRIM(C550),FIND(" ",TRIM(C550)&amp;" ")-1),",","."),"."),LEFT(SUBSTITUTE(LEFT(TRIM(C550),FIND(" ",TRIM(C550)&amp;" ")-1),",","."),FIND("/",SUBSTITUTE(LEFT(TRIM(C550),FIND(" ",TRIM(C550)&amp;" ")-1),",","."))-1)/MID(SUBSTITUTE(LEFT(TRIM(C550),FIND(" ",TRIM(C550)&amp;" ")-1),",","."),FIND("/",SUBSTITUTE(LEFT(TRIM(C550),FIND(" ",TRIM(C550)&amp;" ")-1),",","."))+1,9))*12/52,IF(ISNUMBER(SEARCH("month",C550)),IFERROR(_xlfn.NUMBERVALUE(SUBSTITUTE(LEFT(TRIM(C550),FIND(" ",TRIM(C550)&amp;" ")-1),",","."),"."),LEFT(SUBSTITUTE(LEFT(TRIM(C550),FIND(" ",TRIM(C550)&amp;" ")-1),",","."),FIND("/",SUBSTITUTE(LEFT(TRIM(C550),FIND(" ",TRIM(C550)&amp;" ")-1),",","."))-1)/MID(SUBSTITUTE(LEFT(TRIM(C550),FIND(" ",TRIM(C550)&amp;" ")-1),",","."),FIND("/",SUBSTITUTE(LEFT(TRIM(C550),FIND(" ",TRIM(C550)&amp;" ")-1),",","."))+1,9)),IF(ISNUMBER(SEARCH("yea",C550)),IFERROR(_xlfn.NUMBERVALUE(SUBSTITUTE(LEFT(TRIM(C550),FIND(" ",TRIM(C550)&amp;" ")-1),",","."),"."),LEFT(SUBSTITUTE(LEFT(TRIM(C550),FIND(" ",TRIM(C550)&amp;" ")-1),",","."),FIND("/",SUBSTITUTE(LEFT(TRIM(C550),FIND(" ",TRIM(C550)&amp;" ")-1),",","."))-1)/MID(SUBSTITUTE(LEFT(TRIM(C550),FIND(" ",TRIM(C550)&amp;" ")-1),",","."),FIND("/",SUBSTITUTE(LEFT(TRIM(C550),FIND(" ",TRIM(C550)&amp;" ")-1),",","."))+1,9))*12,NA()))),0),24)*'Aturan &amp; Tarif'!$B$4,2)</f>
        <v>1362.72</v>
      </c>
      <c r="K550" s="42" t="n">
        <f aca="false">'Aturan &amp; Tarif'!$B$5</f>
        <v>2050</v>
      </c>
      <c r="L550" s="42" t="n">
        <f aca="false">'Aturan &amp; Tarif'!$B$6</f>
        <v>350</v>
      </c>
      <c r="M550" s="35" t="n">
        <f aca="false">I550+J550+K550+L550</f>
        <v>23737.72</v>
      </c>
      <c r="N550" s="44" t="s">
        <v>2523</v>
      </c>
    </row>
    <row r="551" customFormat="false" ht="60" hidden="false" customHeight="true" outlineLevel="0" collapsed="false">
      <c r="A551" s="39"/>
      <c r="B551" s="40" t="s">
        <v>2526</v>
      </c>
      <c r="C551" s="41" t="s">
        <v>107</v>
      </c>
      <c r="D551" s="41" t="s">
        <v>108</v>
      </c>
      <c r="E551" s="42" t="n">
        <v>6647</v>
      </c>
      <c r="F551" s="42"/>
      <c r="G551" s="42"/>
      <c r="H551" s="43" t="n">
        <v>2</v>
      </c>
      <c r="I551" s="34" t="n">
        <f aca="false">E551*H551+N(F551)+N(G551)</f>
        <v>13294</v>
      </c>
      <c r="J551" s="42" t="n">
        <f aca="false">ROUND(IFERROR(ROUND(IF(OR(ISNUMBER(SEARCH("week",C551)),ISNUMBER(SEARCH("minggu",C551))),IFERROR(_xlfn.NUMBERVALUE(SUBSTITUTE(LEFT(TRIM(C551),FIND(" ",TRIM(C551)&amp;" ")-1),",","."),"."),LEFT(SUBSTITUTE(LEFT(TRIM(C551),FIND(" ",TRIM(C551)&amp;" ")-1),",","."),FIND("/",SUBSTITUTE(LEFT(TRIM(C551),FIND(" ",TRIM(C551)&amp;" ")-1),",","."))-1)/MID(SUBSTITUTE(LEFT(TRIM(C551),FIND(" ",TRIM(C551)&amp;" ")-1),",","."),FIND("/",SUBSTITUTE(LEFT(TRIM(C551),FIND(" ",TRIM(C551)&amp;" ")-1),",","."))+1,9))*12/52,IF(ISNUMBER(SEARCH("month",C551)),IFERROR(_xlfn.NUMBERVALUE(SUBSTITUTE(LEFT(TRIM(C551),FIND(" ",TRIM(C551)&amp;" ")-1),",","."),"."),LEFT(SUBSTITUTE(LEFT(TRIM(C551),FIND(" ",TRIM(C551)&amp;" ")-1),",","."),FIND("/",SUBSTITUTE(LEFT(TRIM(C551),FIND(" ",TRIM(C551)&amp;" ")-1),",","."))-1)/MID(SUBSTITUTE(LEFT(TRIM(C551),FIND(" ",TRIM(C551)&amp;" ")-1),",","."),FIND("/",SUBSTITUTE(LEFT(TRIM(C551),FIND(" ",TRIM(C551)&amp;" ")-1),",","."))+1,9)),IF(ISNUMBER(SEARCH("yea",C551)),IFERROR(_xlfn.NUMBERVALUE(SUBSTITUTE(LEFT(TRIM(C551),FIND(" ",TRIM(C551)&amp;" ")-1),",","."),"."),LEFT(SUBSTITUTE(LEFT(TRIM(C551),FIND(" ",TRIM(C551)&amp;" ")-1),",","."),FIND("/",SUBSTITUTE(LEFT(TRIM(C551),FIND(" ",TRIM(C551)&amp;" ")-1),",","."))-1)/MID(SUBSTITUTE(LEFT(TRIM(C551),FIND(" ",TRIM(C551)&amp;" ")-1),",","."),FIND("/",SUBSTITUTE(LEFT(TRIM(C551),FIND(" ",TRIM(C551)&amp;" ")-1),",","."))+1,9))*12,NA()))),0),24)*'Aturan &amp; Tarif'!$B$4,2)</f>
        <v>1362.72</v>
      </c>
      <c r="K551" s="42" t="n">
        <f aca="false">'Aturan &amp; Tarif'!$B$5</f>
        <v>2050</v>
      </c>
      <c r="L551" s="42" t="n">
        <f aca="false">'Aturan &amp; Tarif'!$B$6</f>
        <v>350</v>
      </c>
      <c r="M551" s="35" t="n">
        <f aca="false">I551+J551+K551+L551</f>
        <v>17056.72</v>
      </c>
      <c r="N551" s="44" t="s">
        <v>2523</v>
      </c>
    </row>
    <row r="552" customFormat="false" ht="37.5" hidden="false" customHeight="true" outlineLevel="0" collapsed="false">
      <c r="A552" s="29" t="s">
        <v>2967</v>
      </c>
      <c r="B552" s="30" t="s">
        <v>2795</v>
      </c>
      <c r="C552" s="31" t="s">
        <v>138</v>
      </c>
      <c r="D552" s="31" t="s">
        <v>108</v>
      </c>
      <c r="E552" s="32" t="n">
        <v>1790</v>
      </c>
      <c r="F552" s="32" t="n">
        <v>250</v>
      </c>
      <c r="G552" s="32" t="n">
        <v>250</v>
      </c>
      <c r="H552" s="33" t="n">
        <v>1</v>
      </c>
      <c r="I552" s="34" t="n">
        <f aca="false">E552*H552+N(F552)+N(G552)</f>
        <v>2290</v>
      </c>
      <c r="J552" s="32" t="n">
        <f aca="false">ROUND(IFERROR(ROUND(IF(OR(ISNUMBER(SEARCH("week",C552)),ISNUMBER(SEARCH("minggu",C552))),IFERROR(_xlfn.NUMBERVALUE(SUBSTITUTE(LEFT(TRIM(C552),FIND(" ",TRIM(C552)&amp;" ")-1),",","."),"."),LEFT(SUBSTITUTE(LEFT(TRIM(C552),FIND(" ",TRIM(C552)&amp;" ")-1),",","."),FIND("/",SUBSTITUTE(LEFT(TRIM(C552),FIND(" ",TRIM(C552)&amp;" ")-1),",","."))-1)/MID(SUBSTITUTE(LEFT(TRIM(C552),FIND(" ",TRIM(C552)&amp;" ")-1),",","."),FIND("/",SUBSTITUTE(LEFT(TRIM(C552),FIND(" ",TRIM(C552)&amp;" ")-1),",","."))+1,9))*12/52,IF(ISNUMBER(SEARCH("month",C552)),IFERROR(_xlfn.NUMBERVALUE(SUBSTITUTE(LEFT(TRIM(C552),FIND(" ",TRIM(C552)&amp;" ")-1),",","."),"."),LEFT(SUBSTITUTE(LEFT(TRIM(C552),FIND(" ",TRIM(C552)&amp;" ")-1),",","."),FIND("/",SUBSTITUTE(LEFT(TRIM(C552),FIND(" ",TRIM(C552)&amp;" ")-1),",","."))-1)/MID(SUBSTITUTE(LEFT(TRIM(C552),FIND(" ",TRIM(C552)&amp;" ")-1),",","."),FIND("/",SUBSTITUTE(LEFT(TRIM(C552),FIND(" ",TRIM(C552)&amp;" ")-1),",","."))+1,9)),IF(ISNUMBER(SEARCH("yea",C552)),IFERROR(_xlfn.NUMBERVALUE(SUBSTITUTE(LEFT(TRIM(C552),FIND(" ",TRIM(C552)&amp;" ")-1),",","."),"."),LEFT(SUBSTITUTE(LEFT(TRIM(C552),FIND(" ",TRIM(C552)&amp;" ")-1),",","."),FIND("/",SUBSTITUTE(LEFT(TRIM(C552),FIND(" ",TRIM(C552)&amp;" ")-1),",","."))-1)/MID(SUBSTITUTE(LEFT(TRIM(C552),FIND(" ",TRIM(C552)&amp;" ")-1),",","."),FIND("/",SUBSTITUTE(LEFT(TRIM(C552),FIND(" ",TRIM(C552)&amp;" ")-1),",","."))+1,9))*12,NA()))),0),30)*'Aturan &amp; Tarif'!$B$4,2)</f>
        <v>1703.4</v>
      </c>
      <c r="K552" s="32" t="n">
        <f aca="false">'Aturan &amp; Tarif'!$B$5</f>
        <v>2050</v>
      </c>
      <c r="L552" s="32" t="n">
        <f aca="false">'Aturan &amp; Tarif'!$B$6</f>
        <v>350</v>
      </c>
      <c r="M552" s="35" t="n">
        <f aca="false">I552+J552+K552+L552</f>
        <v>6393.4</v>
      </c>
      <c r="N552" s="37" t="s">
        <v>134</v>
      </c>
    </row>
    <row r="553" customFormat="false" ht="37.5" hidden="false" customHeight="true" outlineLevel="0" collapsed="false">
      <c r="A553" s="29"/>
      <c r="B553" s="30" t="s">
        <v>2921</v>
      </c>
      <c r="C553" s="31" t="s">
        <v>107</v>
      </c>
      <c r="D553" s="31" t="s">
        <v>108</v>
      </c>
      <c r="E553" s="32" t="n">
        <v>2500</v>
      </c>
      <c r="F553" s="32" t="n">
        <v>1500</v>
      </c>
      <c r="G553" s="32" t="n">
        <v>250</v>
      </c>
      <c r="H553" s="33" t="n">
        <v>1</v>
      </c>
      <c r="I553" s="34" t="n">
        <f aca="false">E553*H553+N(F553)+N(G553)</f>
        <v>4250</v>
      </c>
      <c r="J553" s="32" t="n">
        <f aca="false">ROUND(IFERROR(ROUND(IF(OR(ISNUMBER(SEARCH("week",C553)),ISNUMBER(SEARCH("minggu",C553))),IFERROR(_xlfn.NUMBERVALUE(SUBSTITUTE(LEFT(TRIM(C553),FIND(" ",TRIM(C553)&amp;" ")-1),",","."),"."),LEFT(SUBSTITUTE(LEFT(TRIM(C553),FIND(" ",TRIM(C553)&amp;" ")-1),",","."),FIND("/",SUBSTITUTE(LEFT(TRIM(C553),FIND(" ",TRIM(C553)&amp;" ")-1),",","."))-1)/MID(SUBSTITUTE(LEFT(TRIM(C553),FIND(" ",TRIM(C553)&amp;" ")-1),",","."),FIND("/",SUBSTITUTE(LEFT(TRIM(C553),FIND(" ",TRIM(C553)&amp;" ")-1),",","."))+1,9))*12/52,IF(ISNUMBER(SEARCH("month",C553)),IFERROR(_xlfn.NUMBERVALUE(SUBSTITUTE(LEFT(TRIM(C553),FIND(" ",TRIM(C553)&amp;" ")-1),",","."),"."),LEFT(SUBSTITUTE(LEFT(TRIM(C553),FIND(" ",TRIM(C553)&amp;" ")-1),",","."),FIND("/",SUBSTITUTE(LEFT(TRIM(C553),FIND(" ",TRIM(C553)&amp;" ")-1),",","."))-1)/MID(SUBSTITUTE(LEFT(TRIM(C553),FIND(" ",TRIM(C553)&amp;" ")-1),",","."),FIND("/",SUBSTITUTE(LEFT(TRIM(C553),FIND(" ",TRIM(C553)&amp;" ")-1),",","."))+1,9)),IF(ISNUMBER(SEARCH("yea",C553)),IFERROR(_xlfn.NUMBERVALUE(SUBSTITUTE(LEFT(TRIM(C553),FIND(" ",TRIM(C553)&amp;" ")-1),",","."),"."),LEFT(SUBSTITUTE(LEFT(TRIM(C553),FIND(" ",TRIM(C553)&amp;" ")-1),",","."),FIND("/",SUBSTITUTE(LEFT(TRIM(C553),FIND(" ",TRIM(C553)&amp;" ")-1),",","."))-1)/MID(SUBSTITUTE(LEFT(TRIM(C553),FIND(" ",TRIM(C553)&amp;" ")-1),",","."),FIND("/",SUBSTITUTE(LEFT(TRIM(C553),FIND(" ",TRIM(C553)&amp;" ")-1),",","."))+1,9))*12,NA()))),0),24)*'Aturan &amp; Tarif'!$B$4,2)</f>
        <v>1362.72</v>
      </c>
      <c r="K553" s="32" t="n">
        <f aca="false">'Aturan &amp; Tarif'!$B$5</f>
        <v>2050</v>
      </c>
      <c r="L553" s="32" t="n">
        <f aca="false">'Aturan &amp; Tarif'!$B$6</f>
        <v>350</v>
      </c>
      <c r="M553" s="35" t="n">
        <f aca="false">I553+J553+K553+L553</f>
        <v>8012.72</v>
      </c>
      <c r="N553" s="37" t="s">
        <v>134</v>
      </c>
    </row>
    <row r="554" customFormat="false" ht="14.25" hidden="false" customHeight="true" outlineLevel="0" collapsed="false">
      <c r="A554" s="29"/>
      <c r="B554" s="30" t="s">
        <v>471</v>
      </c>
      <c r="C554" s="31" t="s">
        <v>113</v>
      </c>
      <c r="D554" s="31" t="s">
        <v>108</v>
      </c>
      <c r="E554" s="32" t="n">
        <v>2200</v>
      </c>
      <c r="F554" s="32" t="n">
        <v>1500</v>
      </c>
      <c r="G554" s="32" t="n">
        <v>250</v>
      </c>
      <c r="H554" s="33" t="n">
        <v>1</v>
      </c>
      <c r="I554" s="34" t="n">
        <f aca="false">E554*H554+N(F554)+N(G554)</f>
        <v>3950</v>
      </c>
      <c r="J554" s="32" t="n">
        <f aca="false">ROUND(IFERROR(ROUND(IF(OR(ISNUMBER(SEARCH("week",C554)),ISNUMBER(SEARCH("minggu",C554))),IFERROR(_xlfn.NUMBERVALUE(SUBSTITUTE(LEFT(TRIM(C554),FIND(" ",TRIM(C554)&amp;" ")-1),",","."),"."),LEFT(SUBSTITUTE(LEFT(TRIM(C554),FIND(" ",TRIM(C554)&amp;" ")-1),",","."),FIND("/",SUBSTITUTE(LEFT(TRIM(C554),FIND(" ",TRIM(C554)&amp;" ")-1),",","."))-1)/MID(SUBSTITUTE(LEFT(TRIM(C554),FIND(" ",TRIM(C554)&amp;" ")-1),",","."),FIND("/",SUBSTITUTE(LEFT(TRIM(C554),FIND(" ",TRIM(C554)&amp;" ")-1),",","."))+1,9))*12/52,IF(ISNUMBER(SEARCH("month",C554)),IFERROR(_xlfn.NUMBERVALUE(SUBSTITUTE(LEFT(TRIM(C554),FIND(" ",TRIM(C554)&amp;" ")-1),",","."),"."),LEFT(SUBSTITUTE(LEFT(TRIM(C554),FIND(" ",TRIM(C554)&amp;" ")-1),",","."),FIND("/",SUBSTITUTE(LEFT(TRIM(C554),FIND(" ",TRIM(C554)&amp;" ")-1),",","."))-1)/MID(SUBSTITUTE(LEFT(TRIM(C554),FIND(" ",TRIM(C554)&amp;" ")-1),",","."),FIND("/",SUBSTITUTE(LEFT(TRIM(C554),FIND(" ",TRIM(C554)&amp;" ")-1),",","."))+1,9)),IF(ISNUMBER(SEARCH("yea",C554)),IFERROR(_xlfn.NUMBERVALUE(SUBSTITUTE(LEFT(TRIM(C554),FIND(" ",TRIM(C554)&amp;" ")-1),",","."),"."),LEFT(SUBSTITUTE(LEFT(TRIM(C554),FIND(" ",TRIM(C554)&amp;" ")-1),",","."),FIND("/",SUBSTITUTE(LEFT(TRIM(C554),FIND(" ",TRIM(C554)&amp;" ")-1),",","."))-1)/MID(SUBSTITUTE(LEFT(TRIM(C554),FIND(" ",TRIM(C554)&amp;" ")-1),",","."),FIND("/",SUBSTITUTE(LEFT(TRIM(C554),FIND(" ",TRIM(C554)&amp;" ")-1),",","."))+1,9))*12,NA()))),0),18)*'Aturan &amp; Tarif'!$B$4,2)</f>
        <v>1022.04</v>
      </c>
      <c r="K554" s="32" t="n">
        <f aca="false">'Aturan &amp; Tarif'!$B$5</f>
        <v>2050</v>
      </c>
      <c r="L554" s="32" t="n">
        <f aca="false">'Aturan &amp; Tarif'!$B$6</f>
        <v>350</v>
      </c>
      <c r="M554" s="35" t="n">
        <f aca="false">I554+J554+K554+L554</f>
        <v>7372.04</v>
      </c>
      <c r="N554" s="37" t="s">
        <v>134</v>
      </c>
    </row>
    <row r="555" customFormat="false" ht="25.5" hidden="false" customHeight="true" outlineLevel="0" collapsed="false">
      <c r="A555" s="29"/>
      <c r="B555" s="30" t="s">
        <v>2968</v>
      </c>
      <c r="C555" s="31" t="s">
        <v>138</v>
      </c>
      <c r="D555" s="31" t="s">
        <v>108</v>
      </c>
      <c r="E555" s="32" t="n">
        <v>2300</v>
      </c>
      <c r="F555" s="32" t="n">
        <v>1500</v>
      </c>
      <c r="G555" s="32" t="n">
        <v>250</v>
      </c>
      <c r="H555" s="33" t="n">
        <v>1</v>
      </c>
      <c r="I555" s="34" t="n">
        <f aca="false">E555*H555+N(F555)+N(G555)</f>
        <v>4050</v>
      </c>
      <c r="J555" s="32" t="n">
        <f aca="false">ROUND(IFERROR(ROUND(IF(OR(ISNUMBER(SEARCH("week",C555)),ISNUMBER(SEARCH("minggu",C555))),IFERROR(_xlfn.NUMBERVALUE(SUBSTITUTE(LEFT(TRIM(C555),FIND(" ",TRIM(C555)&amp;" ")-1),",","."),"."),LEFT(SUBSTITUTE(LEFT(TRIM(C555),FIND(" ",TRIM(C555)&amp;" ")-1),",","."),FIND("/",SUBSTITUTE(LEFT(TRIM(C555),FIND(" ",TRIM(C555)&amp;" ")-1),",","."))-1)/MID(SUBSTITUTE(LEFT(TRIM(C555),FIND(" ",TRIM(C555)&amp;" ")-1),",","."),FIND("/",SUBSTITUTE(LEFT(TRIM(C555),FIND(" ",TRIM(C555)&amp;" ")-1),",","."))+1,9))*12/52,IF(ISNUMBER(SEARCH("month",C555)),IFERROR(_xlfn.NUMBERVALUE(SUBSTITUTE(LEFT(TRIM(C555),FIND(" ",TRIM(C555)&amp;" ")-1),",","."),"."),LEFT(SUBSTITUTE(LEFT(TRIM(C555),FIND(" ",TRIM(C555)&amp;" ")-1),",","."),FIND("/",SUBSTITUTE(LEFT(TRIM(C555),FIND(" ",TRIM(C555)&amp;" ")-1),",","."))-1)/MID(SUBSTITUTE(LEFT(TRIM(C555),FIND(" ",TRIM(C555)&amp;" ")-1),",","."),FIND("/",SUBSTITUTE(LEFT(TRIM(C555),FIND(" ",TRIM(C555)&amp;" ")-1),",","."))+1,9)),IF(ISNUMBER(SEARCH("yea",C555)),IFERROR(_xlfn.NUMBERVALUE(SUBSTITUTE(LEFT(TRIM(C555),FIND(" ",TRIM(C555)&amp;" ")-1),",","."),"."),LEFT(SUBSTITUTE(LEFT(TRIM(C555),FIND(" ",TRIM(C555)&amp;" ")-1),",","."),FIND("/",SUBSTITUTE(LEFT(TRIM(C555),FIND(" ",TRIM(C555)&amp;" ")-1),",","."))-1)/MID(SUBSTITUTE(LEFT(TRIM(C555),FIND(" ",TRIM(C555)&amp;" ")-1),",","."),FIND("/",SUBSTITUTE(LEFT(TRIM(C555),FIND(" ",TRIM(C555)&amp;" ")-1),",","."))+1,9))*12,NA()))),0),30)*'Aturan &amp; Tarif'!$B$4,2)</f>
        <v>1703.4</v>
      </c>
      <c r="K555" s="32" t="n">
        <f aca="false">'Aturan &amp; Tarif'!$B$5</f>
        <v>2050</v>
      </c>
      <c r="L555" s="32" t="n">
        <f aca="false">'Aturan &amp; Tarif'!$B$6</f>
        <v>350</v>
      </c>
      <c r="M555" s="35" t="n">
        <f aca="false">I555+J555+K555+L555</f>
        <v>8153.4</v>
      </c>
      <c r="N555" s="37" t="s">
        <v>134</v>
      </c>
    </row>
    <row r="556" customFormat="false" ht="14.25" hidden="false" customHeight="true" outlineLevel="0" collapsed="false">
      <c r="A556" s="29" t="s">
        <v>2969</v>
      </c>
      <c r="B556" s="30" t="s">
        <v>2970</v>
      </c>
      <c r="C556" s="31" t="s">
        <v>107</v>
      </c>
      <c r="D556" s="31" t="s">
        <v>108</v>
      </c>
      <c r="E556" s="32" t="n">
        <v>7490</v>
      </c>
      <c r="F556" s="32" t="n">
        <v>750</v>
      </c>
      <c r="G556" s="32" t="n">
        <v>100</v>
      </c>
      <c r="H556" s="33" t="n">
        <v>2</v>
      </c>
      <c r="I556" s="34" t="n">
        <f aca="false">E556*H556+N(F556)+N(G556)</f>
        <v>15830</v>
      </c>
      <c r="J556" s="32" t="n">
        <f aca="false">ROUND(IFERROR(ROUND(IF(OR(ISNUMBER(SEARCH("week",C556)),ISNUMBER(SEARCH("minggu",C556))),IFERROR(_xlfn.NUMBERVALUE(SUBSTITUTE(LEFT(TRIM(C556),FIND(" ",TRIM(C556)&amp;" ")-1),",","."),"."),LEFT(SUBSTITUTE(LEFT(TRIM(C556),FIND(" ",TRIM(C556)&amp;" ")-1),",","."),FIND("/",SUBSTITUTE(LEFT(TRIM(C556),FIND(" ",TRIM(C556)&amp;" ")-1),",","."))-1)/MID(SUBSTITUTE(LEFT(TRIM(C556),FIND(" ",TRIM(C556)&amp;" ")-1),",","."),FIND("/",SUBSTITUTE(LEFT(TRIM(C556),FIND(" ",TRIM(C556)&amp;" ")-1),",","."))+1,9))*12/52,IF(ISNUMBER(SEARCH("month",C556)),IFERROR(_xlfn.NUMBERVALUE(SUBSTITUTE(LEFT(TRIM(C556),FIND(" ",TRIM(C556)&amp;" ")-1),",","."),"."),LEFT(SUBSTITUTE(LEFT(TRIM(C556),FIND(" ",TRIM(C556)&amp;" ")-1),",","."),FIND("/",SUBSTITUTE(LEFT(TRIM(C556),FIND(" ",TRIM(C556)&amp;" ")-1),",","."))-1)/MID(SUBSTITUTE(LEFT(TRIM(C556),FIND(" ",TRIM(C556)&amp;" ")-1),",","."),FIND("/",SUBSTITUTE(LEFT(TRIM(C556),FIND(" ",TRIM(C556)&amp;" ")-1),",","."))+1,9)),IF(ISNUMBER(SEARCH("yea",C556)),IFERROR(_xlfn.NUMBERVALUE(SUBSTITUTE(LEFT(TRIM(C556),FIND(" ",TRIM(C556)&amp;" ")-1),",","."),"."),LEFT(SUBSTITUTE(LEFT(TRIM(C556),FIND(" ",TRIM(C556)&amp;" ")-1),",","."),FIND("/",SUBSTITUTE(LEFT(TRIM(C556),FIND(" ",TRIM(C556)&amp;" ")-1),",","."))-1)/MID(SUBSTITUTE(LEFT(TRIM(C556),FIND(" ",TRIM(C556)&amp;" ")-1),",","."),FIND("/",SUBSTITUTE(LEFT(TRIM(C556),FIND(" ",TRIM(C556)&amp;" ")-1),",","."))+1,9))*12,NA()))),0),24)*'Aturan &amp; Tarif'!$B$4,2)</f>
        <v>1362.72</v>
      </c>
      <c r="K556" s="32" t="n">
        <f aca="false">'Aturan &amp; Tarif'!$B$5</f>
        <v>2050</v>
      </c>
      <c r="L556" s="32" t="n">
        <f aca="false">'Aturan &amp; Tarif'!$B$6</f>
        <v>350</v>
      </c>
      <c r="M556" s="35" t="n">
        <f aca="false">I556+J556+K556+L556</f>
        <v>19592.72</v>
      </c>
      <c r="N556" s="37" t="s">
        <v>2971</v>
      </c>
    </row>
    <row r="557" customFormat="false" ht="14.25" hidden="false" customHeight="true" outlineLevel="0" collapsed="false">
      <c r="A557" s="29"/>
      <c r="B557" s="30" t="s">
        <v>2972</v>
      </c>
      <c r="C557" s="31" t="s">
        <v>107</v>
      </c>
      <c r="D557" s="31" t="s">
        <v>108</v>
      </c>
      <c r="E557" s="32" t="n">
        <v>7490</v>
      </c>
      <c r="F557" s="32" t="n">
        <v>750</v>
      </c>
      <c r="G557" s="32" t="n">
        <v>100</v>
      </c>
      <c r="H557" s="33" t="n">
        <v>2</v>
      </c>
      <c r="I557" s="34" t="n">
        <f aca="false">E557*H557+N(F557)+N(G557)</f>
        <v>15830</v>
      </c>
      <c r="J557" s="32" t="n">
        <f aca="false">ROUND(IFERROR(ROUND(IF(OR(ISNUMBER(SEARCH("week",C557)),ISNUMBER(SEARCH("minggu",C557))),IFERROR(_xlfn.NUMBERVALUE(SUBSTITUTE(LEFT(TRIM(C557),FIND(" ",TRIM(C557)&amp;" ")-1),",","."),"."),LEFT(SUBSTITUTE(LEFT(TRIM(C557),FIND(" ",TRIM(C557)&amp;" ")-1),",","."),FIND("/",SUBSTITUTE(LEFT(TRIM(C557),FIND(" ",TRIM(C557)&amp;" ")-1),",","."))-1)/MID(SUBSTITUTE(LEFT(TRIM(C557),FIND(" ",TRIM(C557)&amp;" ")-1),",","."),FIND("/",SUBSTITUTE(LEFT(TRIM(C557),FIND(" ",TRIM(C557)&amp;" ")-1),",","."))+1,9))*12/52,IF(ISNUMBER(SEARCH("month",C557)),IFERROR(_xlfn.NUMBERVALUE(SUBSTITUTE(LEFT(TRIM(C557),FIND(" ",TRIM(C557)&amp;" ")-1),",","."),"."),LEFT(SUBSTITUTE(LEFT(TRIM(C557),FIND(" ",TRIM(C557)&amp;" ")-1),",","."),FIND("/",SUBSTITUTE(LEFT(TRIM(C557),FIND(" ",TRIM(C557)&amp;" ")-1),",","."))-1)/MID(SUBSTITUTE(LEFT(TRIM(C557),FIND(" ",TRIM(C557)&amp;" ")-1),",","."),FIND("/",SUBSTITUTE(LEFT(TRIM(C557),FIND(" ",TRIM(C557)&amp;" ")-1),",","."))+1,9)),IF(ISNUMBER(SEARCH("yea",C557)),IFERROR(_xlfn.NUMBERVALUE(SUBSTITUTE(LEFT(TRIM(C557),FIND(" ",TRIM(C557)&amp;" ")-1),",","."),"."),LEFT(SUBSTITUTE(LEFT(TRIM(C557),FIND(" ",TRIM(C557)&amp;" ")-1),",","."),FIND("/",SUBSTITUTE(LEFT(TRIM(C557),FIND(" ",TRIM(C557)&amp;" ")-1),",","."))-1)/MID(SUBSTITUTE(LEFT(TRIM(C557),FIND(" ",TRIM(C557)&amp;" ")-1),",","."),FIND("/",SUBSTITUTE(LEFT(TRIM(C557),FIND(" ",TRIM(C557)&amp;" ")-1),",","."))+1,9))*12,NA()))),0),24)*'Aturan &amp; Tarif'!$B$4,2)</f>
        <v>1362.72</v>
      </c>
      <c r="K557" s="32" t="n">
        <f aca="false">'Aturan &amp; Tarif'!$B$5</f>
        <v>2050</v>
      </c>
      <c r="L557" s="32" t="n">
        <f aca="false">'Aturan &amp; Tarif'!$B$6</f>
        <v>350</v>
      </c>
      <c r="M557" s="35" t="n">
        <f aca="false">I557+J557+K557+L557</f>
        <v>19592.72</v>
      </c>
      <c r="N557" s="37" t="s">
        <v>2971</v>
      </c>
    </row>
    <row r="558" customFormat="false" ht="25.5" hidden="false" customHeight="true" outlineLevel="0" collapsed="false">
      <c r="A558" s="29"/>
      <c r="B558" s="30" t="s">
        <v>2973</v>
      </c>
      <c r="C558" s="31" t="s">
        <v>127</v>
      </c>
      <c r="D558" s="31" t="s">
        <v>108</v>
      </c>
      <c r="E558" s="32" t="n">
        <v>5720</v>
      </c>
      <c r="F558" s="32" t="n">
        <v>750</v>
      </c>
      <c r="G558" s="32" t="n">
        <v>100</v>
      </c>
      <c r="H558" s="33" t="n">
        <v>2</v>
      </c>
      <c r="I558" s="34" t="n">
        <f aca="false">E558*H558+N(F558)+N(G558)</f>
        <v>12290</v>
      </c>
      <c r="J558" s="32" t="n">
        <f aca="false">ROUND(IFERROR(ROUND(IF(OR(ISNUMBER(SEARCH("week",C558)),ISNUMBER(SEARCH("minggu",C558))),IFERROR(_xlfn.NUMBERVALUE(SUBSTITUTE(LEFT(TRIM(C558),FIND(" ",TRIM(C558)&amp;" ")-1),",","."),"."),LEFT(SUBSTITUTE(LEFT(TRIM(C558),FIND(" ",TRIM(C558)&amp;" ")-1),",","."),FIND("/",SUBSTITUTE(LEFT(TRIM(C558),FIND(" ",TRIM(C558)&amp;" ")-1),",","."))-1)/MID(SUBSTITUTE(LEFT(TRIM(C558),FIND(" ",TRIM(C558)&amp;" ")-1),",","."),FIND("/",SUBSTITUTE(LEFT(TRIM(C558),FIND(" ",TRIM(C558)&amp;" ")-1),",","."))+1,9))*12/52,IF(ISNUMBER(SEARCH("month",C558)),IFERROR(_xlfn.NUMBERVALUE(SUBSTITUTE(LEFT(TRIM(C558),FIND(" ",TRIM(C558)&amp;" ")-1),",","."),"."),LEFT(SUBSTITUTE(LEFT(TRIM(C558),FIND(" ",TRIM(C558)&amp;" ")-1),",","."),FIND("/",SUBSTITUTE(LEFT(TRIM(C558),FIND(" ",TRIM(C558)&amp;" ")-1),",","."))-1)/MID(SUBSTITUTE(LEFT(TRIM(C558),FIND(" ",TRIM(C558)&amp;" ")-1),",","."),FIND("/",SUBSTITUTE(LEFT(TRIM(C558),FIND(" ",TRIM(C558)&amp;" ")-1),",","."))+1,9)),IF(ISNUMBER(SEARCH("yea",C558)),IFERROR(_xlfn.NUMBERVALUE(SUBSTITUTE(LEFT(TRIM(C558),FIND(" ",TRIM(C558)&amp;" ")-1),",","."),"."),LEFT(SUBSTITUTE(LEFT(TRIM(C558),FIND(" ",TRIM(C558)&amp;" ")-1),",","."),FIND("/",SUBSTITUTE(LEFT(TRIM(C558),FIND(" ",TRIM(C558)&amp;" ")-1),",","."))-1)/MID(SUBSTITUTE(LEFT(TRIM(C558),FIND(" ",TRIM(C558)&amp;" ")-1),",","."),FIND("/",SUBSTITUTE(LEFT(TRIM(C558),FIND(" ",TRIM(C558)&amp;" ")-1),",","."))+1,9))*12,NA()))),0),36)*'Aturan &amp; Tarif'!$B$4,2)</f>
        <v>2044.08</v>
      </c>
      <c r="K558" s="32" t="n">
        <f aca="false">'Aturan &amp; Tarif'!$B$5</f>
        <v>2050</v>
      </c>
      <c r="L558" s="32" t="n">
        <f aca="false">'Aturan &amp; Tarif'!$B$6</f>
        <v>350</v>
      </c>
      <c r="M558" s="35" t="n">
        <f aca="false">I558+J558+K558+L558</f>
        <v>16734.08</v>
      </c>
      <c r="N558" s="37" t="s">
        <v>2971</v>
      </c>
    </row>
    <row r="559" customFormat="false" ht="25.5" hidden="false" customHeight="true" outlineLevel="0" collapsed="false">
      <c r="A559" s="29"/>
      <c r="B559" s="30" t="s">
        <v>2974</v>
      </c>
      <c r="C559" s="31" t="s">
        <v>191</v>
      </c>
      <c r="D559" s="31" t="s">
        <v>108</v>
      </c>
      <c r="E559" s="32" t="n">
        <v>5720</v>
      </c>
      <c r="F559" s="32" t="n">
        <v>750</v>
      </c>
      <c r="G559" s="32" t="n">
        <v>100</v>
      </c>
      <c r="H559" s="33" t="n">
        <v>2</v>
      </c>
      <c r="I559" s="34" t="n">
        <f aca="false">E559*H559+N(F559)+N(G559)</f>
        <v>12290</v>
      </c>
      <c r="J559" s="32" t="n">
        <f aca="false">ROUND(IFERROR(ROUND(IF(OR(ISNUMBER(SEARCH("week",C559)),ISNUMBER(SEARCH("minggu",C559))),IFERROR(_xlfn.NUMBERVALUE(SUBSTITUTE(LEFT(TRIM(C559),FIND(" ",TRIM(C559)&amp;" ")-1),",","."),"."),LEFT(SUBSTITUTE(LEFT(TRIM(C559),FIND(" ",TRIM(C559)&amp;" ")-1),",","."),FIND("/",SUBSTITUTE(LEFT(TRIM(C559),FIND(" ",TRIM(C559)&amp;" ")-1),",","."))-1)/MID(SUBSTITUTE(LEFT(TRIM(C559),FIND(" ",TRIM(C559)&amp;" ")-1),",","."),FIND("/",SUBSTITUTE(LEFT(TRIM(C559),FIND(" ",TRIM(C559)&amp;" ")-1),",","."))+1,9))*12/52,IF(ISNUMBER(SEARCH("month",C559)),IFERROR(_xlfn.NUMBERVALUE(SUBSTITUTE(LEFT(TRIM(C559),FIND(" ",TRIM(C559)&amp;" ")-1),",","."),"."),LEFT(SUBSTITUTE(LEFT(TRIM(C559),FIND(" ",TRIM(C559)&amp;" ")-1),",","."),FIND("/",SUBSTITUTE(LEFT(TRIM(C559),FIND(" ",TRIM(C559)&amp;" ")-1),",","."))-1)/MID(SUBSTITUTE(LEFT(TRIM(C559),FIND(" ",TRIM(C559)&amp;" ")-1),",","."),FIND("/",SUBSTITUTE(LEFT(TRIM(C559),FIND(" ",TRIM(C559)&amp;" ")-1),",","."))+1,9)),IF(ISNUMBER(SEARCH("yea",C559)),IFERROR(_xlfn.NUMBERVALUE(SUBSTITUTE(LEFT(TRIM(C559),FIND(" ",TRIM(C559)&amp;" ")-1),",","."),"."),LEFT(SUBSTITUTE(LEFT(TRIM(C559),FIND(" ",TRIM(C559)&amp;" ")-1),",","."),FIND("/",SUBSTITUTE(LEFT(TRIM(C559),FIND(" ",TRIM(C559)&amp;" ")-1),",","."))-1)/MID(SUBSTITUTE(LEFT(TRIM(C559),FIND(" ",TRIM(C559)&amp;" ")-1),",","."),FIND("/",SUBSTITUTE(LEFT(TRIM(C559),FIND(" ",TRIM(C559)&amp;" ")-1),",","."))+1,9))*12,NA()))),0),48)*'Aturan &amp; Tarif'!$B$4,2)</f>
        <v>2725.44</v>
      </c>
      <c r="K559" s="32" t="n">
        <f aca="false">'Aturan &amp; Tarif'!$B$5</f>
        <v>2050</v>
      </c>
      <c r="L559" s="32" t="n">
        <f aca="false">'Aturan &amp; Tarif'!$B$6</f>
        <v>350</v>
      </c>
      <c r="M559" s="35" t="n">
        <f aca="false">I559+J559+K559+L559</f>
        <v>17415.44</v>
      </c>
      <c r="N559" s="37" t="s">
        <v>2971</v>
      </c>
    </row>
    <row r="560" customFormat="false" ht="14.25" hidden="false" customHeight="true" outlineLevel="0" collapsed="false">
      <c r="A560" s="29"/>
      <c r="B560" s="30" t="s">
        <v>2975</v>
      </c>
      <c r="C560" s="31" t="s">
        <v>191</v>
      </c>
      <c r="D560" s="31" t="s">
        <v>108</v>
      </c>
      <c r="E560" s="32" t="n">
        <v>5720</v>
      </c>
      <c r="F560" s="32" t="n">
        <v>750</v>
      </c>
      <c r="G560" s="32" t="n">
        <v>100</v>
      </c>
      <c r="H560" s="33" t="n">
        <v>2</v>
      </c>
      <c r="I560" s="34" t="n">
        <f aca="false">E560*H560+N(F560)+N(G560)</f>
        <v>12290</v>
      </c>
      <c r="J560" s="32" t="n">
        <f aca="false">ROUND(IFERROR(ROUND(IF(OR(ISNUMBER(SEARCH("week",C560)),ISNUMBER(SEARCH("minggu",C560))),IFERROR(_xlfn.NUMBERVALUE(SUBSTITUTE(LEFT(TRIM(C560),FIND(" ",TRIM(C560)&amp;" ")-1),",","."),"."),LEFT(SUBSTITUTE(LEFT(TRIM(C560),FIND(" ",TRIM(C560)&amp;" ")-1),",","."),FIND("/",SUBSTITUTE(LEFT(TRIM(C560),FIND(" ",TRIM(C560)&amp;" ")-1),",","."))-1)/MID(SUBSTITUTE(LEFT(TRIM(C560),FIND(" ",TRIM(C560)&amp;" ")-1),",","."),FIND("/",SUBSTITUTE(LEFT(TRIM(C560),FIND(" ",TRIM(C560)&amp;" ")-1),",","."))+1,9))*12/52,IF(ISNUMBER(SEARCH("month",C560)),IFERROR(_xlfn.NUMBERVALUE(SUBSTITUTE(LEFT(TRIM(C560),FIND(" ",TRIM(C560)&amp;" ")-1),",","."),"."),LEFT(SUBSTITUTE(LEFT(TRIM(C560),FIND(" ",TRIM(C560)&amp;" ")-1),",","."),FIND("/",SUBSTITUTE(LEFT(TRIM(C560),FIND(" ",TRIM(C560)&amp;" ")-1),",","."))-1)/MID(SUBSTITUTE(LEFT(TRIM(C560),FIND(" ",TRIM(C560)&amp;" ")-1),",","."),FIND("/",SUBSTITUTE(LEFT(TRIM(C560),FIND(" ",TRIM(C560)&amp;" ")-1),",","."))+1,9)),IF(ISNUMBER(SEARCH("yea",C560)),IFERROR(_xlfn.NUMBERVALUE(SUBSTITUTE(LEFT(TRIM(C560),FIND(" ",TRIM(C560)&amp;" ")-1),",","."),"."),LEFT(SUBSTITUTE(LEFT(TRIM(C560),FIND(" ",TRIM(C560)&amp;" ")-1),",","."),FIND("/",SUBSTITUTE(LEFT(TRIM(C560),FIND(" ",TRIM(C560)&amp;" ")-1),",","."))-1)/MID(SUBSTITUTE(LEFT(TRIM(C560),FIND(" ",TRIM(C560)&amp;" ")-1),",","."),FIND("/",SUBSTITUTE(LEFT(TRIM(C560),FIND(" ",TRIM(C560)&amp;" ")-1),",","."))+1,9))*12,NA()))),0),48)*'Aturan &amp; Tarif'!$B$4,2)</f>
        <v>2725.44</v>
      </c>
      <c r="K560" s="32" t="n">
        <f aca="false">'Aturan &amp; Tarif'!$B$5</f>
        <v>2050</v>
      </c>
      <c r="L560" s="32" t="n">
        <f aca="false">'Aturan &amp; Tarif'!$B$6</f>
        <v>350</v>
      </c>
      <c r="M560" s="35" t="n">
        <f aca="false">I560+J560+K560+L560</f>
        <v>17415.44</v>
      </c>
      <c r="N560" s="37" t="s">
        <v>2971</v>
      </c>
    </row>
    <row r="561" customFormat="false" ht="14.25" hidden="false" customHeight="true" outlineLevel="0" collapsed="false">
      <c r="A561" s="29"/>
      <c r="B561" s="30" t="s">
        <v>2976</v>
      </c>
      <c r="C561" s="31" t="s">
        <v>127</v>
      </c>
      <c r="D561" s="31" t="s">
        <v>108</v>
      </c>
      <c r="E561" s="32" t="n">
        <v>5720</v>
      </c>
      <c r="F561" s="32" t="n">
        <v>750</v>
      </c>
      <c r="G561" s="32" t="n">
        <v>100</v>
      </c>
      <c r="H561" s="33" t="n">
        <v>2</v>
      </c>
      <c r="I561" s="34" t="n">
        <f aca="false">E561*H561+N(F561)+N(G561)</f>
        <v>12290</v>
      </c>
      <c r="J561" s="32" t="n">
        <f aca="false">ROUND(IFERROR(ROUND(IF(OR(ISNUMBER(SEARCH("week",C561)),ISNUMBER(SEARCH("minggu",C561))),IFERROR(_xlfn.NUMBERVALUE(SUBSTITUTE(LEFT(TRIM(C561),FIND(" ",TRIM(C561)&amp;" ")-1),",","."),"."),LEFT(SUBSTITUTE(LEFT(TRIM(C561),FIND(" ",TRIM(C561)&amp;" ")-1),",","."),FIND("/",SUBSTITUTE(LEFT(TRIM(C561),FIND(" ",TRIM(C561)&amp;" ")-1),",","."))-1)/MID(SUBSTITUTE(LEFT(TRIM(C561),FIND(" ",TRIM(C561)&amp;" ")-1),",","."),FIND("/",SUBSTITUTE(LEFT(TRIM(C561),FIND(" ",TRIM(C561)&amp;" ")-1),",","."))+1,9))*12/52,IF(ISNUMBER(SEARCH("month",C561)),IFERROR(_xlfn.NUMBERVALUE(SUBSTITUTE(LEFT(TRIM(C561),FIND(" ",TRIM(C561)&amp;" ")-1),",","."),"."),LEFT(SUBSTITUTE(LEFT(TRIM(C561),FIND(" ",TRIM(C561)&amp;" ")-1),",","."),FIND("/",SUBSTITUTE(LEFT(TRIM(C561),FIND(" ",TRIM(C561)&amp;" ")-1),",","."))-1)/MID(SUBSTITUTE(LEFT(TRIM(C561),FIND(" ",TRIM(C561)&amp;" ")-1),",","."),FIND("/",SUBSTITUTE(LEFT(TRIM(C561),FIND(" ",TRIM(C561)&amp;" ")-1),",","."))+1,9)),IF(ISNUMBER(SEARCH("yea",C561)),IFERROR(_xlfn.NUMBERVALUE(SUBSTITUTE(LEFT(TRIM(C561),FIND(" ",TRIM(C561)&amp;" ")-1),",","."),"."),LEFT(SUBSTITUTE(LEFT(TRIM(C561),FIND(" ",TRIM(C561)&amp;" ")-1),",","."),FIND("/",SUBSTITUTE(LEFT(TRIM(C561),FIND(" ",TRIM(C561)&amp;" ")-1),",","."))-1)/MID(SUBSTITUTE(LEFT(TRIM(C561),FIND(" ",TRIM(C561)&amp;" ")-1),",","."),FIND("/",SUBSTITUTE(LEFT(TRIM(C561),FIND(" ",TRIM(C561)&amp;" ")-1),",","."))+1,9))*12,NA()))),0),36)*'Aturan &amp; Tarif'!$B$4,2)</f>
        <v>2044.08</v>
      </c>
      <c r="K561" s="32" t="n">
        <f aca="false">'Aturan &amp; Tarif'!$B$5</f>
        <v>2050</v>
      </c>
      <c r="L561" s="32" t="n">
        <f aca="false">'Aturan &amp; Tarif'!$B$6</f>
        <v>350</v>
      </c>
      <c r="M561" s="35" t="n">
        <f aca="false">I561+J561+K561+L561</f>
        <v>16734.08</v>
      </c>
      <c r="N561" s="37" t="s">
        <v>2977</v>
      </c>
    </row>
    <row r="562" customFormat="false" ht="14.25" hidden="false" customHeight="true" outlineLevel="0" collapsed="false">
      <c r="A562" s="29"/>
      <c r="B562" s="30" t="s">
        <v>2978</v>
      </c>
      <c r="C562" s="31" t="s">
        <v>127</v>
      </c>
      <c r="D562" s="31" t="s">
        <v>108</v>
      </c>
      <c r="E562" s="32" t="n">
        <v>5720</v>
      </c>
      <c r="F562" s="32" t="n">
        <v>805</v>
      </c>
      <c r="G562" s="32" t="n">
        <v>100</v>
      </c>
      <c r="H562" s="33" t="n">
        <v>2</v>
      </c>
      <c r="I562" s="34" t="n">
        <f aca="false">E562*H562+N(F562)+N(G562)</f>
        <v>12345</v>
      </c>
      <c r="J562" s="32" t="n">
        <f aca="false">ROUND(IFERROR(ROUND(IF(OR(ISNUMBER(SEARCH("week",C562)),ISNUMBER(SEARCH("minggu",C562))),IFERROR(_xlfn.NUMBERVALUE(SUBSTITUTE(LEFT(TRIM(C562),FIND(" ",TRIM(C562)&amp;" ")-1),",","."),"."),LEFT(SUBSTITUTE(LEFT(TRIM(C562),FIND(" ",TRIM(C562)&amp;" ")-1),",","."),FIND("/",SUBSTITUTE(LEFT(TRIM(C562),FIND(" ",TRIM(C562)&amp;" ")-1),",","."))-1)/MID(SUBSTITUTE(LEFT(TRIM(C562),FIND(" ",TRIM(C562)&amp;" ")-1),",","."),FIND("/",SUBSTITUTE(LEFT(TRIM(C562),FIND(" ",TRIM(C562)&amp;" ")-1),",","."))+1,9))*12/52,IF(ISNUMBER(SEARCH("month",C562)),IFERROR(_xlfn.NUMBERVALUE(SUBSTITUTE(LEFT(TRIM(C562),FIND(" ",TRIM(C562)&amp;" ")-1),",","."),"."),LEFT(SUBSTITUTE(LEFT(TRIM(C562),FIND(" ",TRIM(C562)&amp;" ")-1),",","."),FIND("/",SUBSTITUTE(LEFT(TRIM(C562),FIND(" ",TRIM(C562)&amp;" ")-1),",","."))-1)/MID(SUBSTITUTE(LEFT(TRIM(C562),FIND(" ",TRIM(C562)&amp;" ")-1),",","."),FIND("/",SUBSTITUTE(LEFT(TRIM(C562),FIND(" ",TRIM(C562)&amp;" ")-1),",","."))+1,9)),IF(ISNUMBER(SEARCH("yea",C562)),IFERROR(_xlfn.NUMBERVALUE(SUBSTITUTE(LEFT(TRIM(C562),FIND(" ",TRIM(C562)&amp;" ")-1),",","."),"."),LEFT(SUBSTITUTE(LEFT(TRIM(C562),FIND(" ",TRIM(C562)&amp;" ")-1),",","."),FIND("/",SUBSTITUTE(LEFT(TRIM(C562),FIND(" ",TRIM(C562)&amp;" ")-1),",","."))-1)/MID(SUBSTITUTE(LEFT(TRIM(C562),FIND(" ",TRIM(C562)&amp;" ")-1),",","."),FIND("/",SUBSTITUTE(LEFT(TRIM(C562),FIND(" ",TRIM(C562)&amp;" ")-1),",","."))+1,9))*12,NA()))),0),36)*'Aturan &amp; Tarif'!$B$4,2)</f>
        <v>2044.08</v>
      </c>
      <c r="K562" s="32" t="n">
        <f aca="false">'Aturan &amp; Tarif'!$B$5</f>
        <v>2050</v>
      </c>
      <c r="L562" s="32" t="n">
        <f aca="false">'Aturan &amp; Tarif'!$B$6</f>
        <v>350</v>
      </c>
      <c r="M562" s="35" t="n">
        <f aca="false">I562+J562+K562+L562</f>
        <v>16789.08</v>
      </c>
      <c r="N562" s="37" t="s">
        <v>2971</v>
      </c>
    </row>
    <row r="563" customFormat="false" ht="14.25" hidden="false" customHeight="true" outlineLevel="0" collapsed="false">
      <c r="A563" s="29"/>
      <c r="B563" s="30" t="s">
        <v>2979</v>
      </c>
      <c r="C563" s="31" t="s">
        <v>191</v>
      </c>
      <c r="D563" s="31" t="s">
        <v>108</v>
      </c>
      <c r="E563" s="32" t="n">
        <v>5720</v>
      </c>
      <c r="F563" s="32" t="n">
        <v>1070</v>
      </c>
      <c r="G563" s="32" t="n">
        <v>100</v>
      </c>
      <c r="H563" s="33" t="n">
        <v>2</v>
      </c>
      <c r="I563" s="34" t="n">
        <f aca="false">E563*H563+N(F563)+N(G563)</f>
        <v>12610</v>
      </c>
      <c r="J563" s="32" t="n">
        <f aca="false">ROUND(IFERROR(ROUND(IF(OR(ISNUMBER(SEARCH("week",C563)),ISNUMBER(SEARCH("minggu",C563))),IFERROR(_xlfn.NUMBERVALUE(SUBSTITUTE(LEFT(TRIM(C563),FIND(" ",TRIM(C563)&amp;" ")-1),",","."),"."),LEFT(SUBSTITUTE(LEFT(TRIM(C563),FIND(" ",TRIM(C563)&amp;" ")-1),",","."),FIND("/",SUBSTITUTE(LEFT(TRIM(C563),FIND(" ",TRIM(C563)&amp;" ")-1),",","."))-1)/MID(SUBSTITUTE(LEFT(TRIM(C563),FIND(" ",TRIM(C563)&amp;" ")-1),",","."),FIND("/",SUBSTITUTE(LEFT(TRIM(C563),FIND(" ",TRIM(C563)&amp;" ")-1),",","."))+1,9))*12/52,IF(ISNUMBER(SEARCH("month",C563)),IFERROR(_xlfn.NUMBERVALUE(SUBSTITUTE(LEFT(TRIM(C563),FIND(" ",TRIM(C563)&amp;" ")-1),",","."),"."),LEFT(SUBSTITUTE(LEFT(TRIM(C563),FIND(" ",TRIM(C563)&amp;" ")-1),",","."),FIND("/",SUBSTITUTE(LEFT(TRIM(C563),FIND(" ",TRIM(C563)&amp;" ")-1),",","."))-1)/MID(SUBSTITUTE(LEFT(TRIM(C563),FIND(" ",TRIM(C563)&amp;" ")-1),",","."),FIND("/",SUBSTITUTE(LEFT(TRIM(C563),FIND(" ",TRIM(C563)&amp;" ")-1),",","."))+1,9)),IF(ISNUMBER(SEARCH("yea",C563)),IFERROR(_xlfn.NUMBERVALUE(SUBSTITUTE(LEFT(TRIM(C563),FIND(" ",TRIM(C563)&amp;" ")-1),",","."),"."),LEFT(SUBSTITUTE(LEFT(TRIM(C563),FIND(" ",TRIM(C563)&amp;" ")-1),",","."),FIND("/",SUBSTITUTE(LEFT(TRIM(C563),FIND(" ",TRIM(C563)&amp;" ")-1),",","."))-1)/MID(SUBSTITUTE(LEFT(TRIM(C563),FIND(" ",TRIM(C563)&amp;" ")-1),",","."),FIND("/",SUBSTITUTE(LEFT(TRIM(C563),FIND(" ",TRIM(C563)&amp;" ")-1),",","."))+1,9))*12,NA()))),0),48)*'Aturan &amp; Tarif'!$B$4,2)</f>
        <v>2725.44</v>
      </c>
      <c r="K563" s="32" t="n">
        <f aca="false">'Aturan &amp; Tarif'!$B$5</f>
        <v>2050</v>
      </c>
      <c r="L563" s="32" t="n">
        <f aca="false">'Aturan &amp; Tarif'!$B$6</f>
        <v>350</v>
      </c>
      <c r="M563" s="35" t="n">
        <f aca="false">I563+J563+K563+L563</f>
        <v>17735.44</v>
      </c>
      <c r="N563" s="37" t="s">
        <v>2971</v>
      </c>
    </row>
    <row r="564" customFormat="false" ht="25.5" hidden="false" customHeight="true" outlineLevel="0" collapsed="false">
      <c r="A564" s="29"/>
      <c r="B564" s="30" t="s">
        <v>2980</v>
      </c>
      <c r="C564" s="31" t="s">
        <v>127</v>
      </c>
      <c r="D564" s="31" t="s">
        <v>108</v>
      </c>
      <c r="E564" s="32" t="n">
        <v>5550</v>
      </c>
      <c r="F564" s="32" t="n">
        <v>950</v>
      </c>
      <c r="G564" s="32" t="n">
        <v>100</v>
      </c>
      <c r="H564" s="33" t="n">
        <v>2</v>
      </c>
      <c r="I564" s="34" t="n">
        <f aca="false">E564*H564+N(F564)+N(G564)</f>
        <v>12150</v>
      </c>
      <c r="J564" s="32" t="n">
        <f aca="false">ROUND(IFERROR(ROUND(IF(OR(ISNUMBER(SEARCH("week",C564)),ISNUMBER(SEARCH("minggu",C564))),IFERROR(_xlfn.NUMBERVALUE(SUBSTITUTE(LEFT(TRIM(C564),FIND(" ",TRIM(C564)&amp;" ")-1),",","."),"."),LEFT(SUBSTITUTE(LEFT(TRIM(C564),FIND(" ",TRIM(C564)&amp;" ")-1),",","."),FIND("/",SUBSTITUTE(LEFT(TRIM(C564),FIND(" ",TRIM(C564)&amp;" ")-1),",","."))-1)/MID(SUBSTITUTE(LEFT(TRIM(C564),FIND(" ",TRIM(C564)&amp;" ")-1),",","."),FIND("/",SUBSTITUTE(LEFT(TRIM(C564),FIND(" ",TRIM(C564)&amp;" ")-1),",","."))+1,9))*12/52,IF(ISNUMBER(SEARCH("month",C564)),IFERROR(_xlfn.NUMBERVALUE(SUBSTITUTE(LEFT(TRIM(C564),FIND(" ",TRIM(C564)&amp;" ")-1),",","."),"."),LEFT(SUBSTITUTE(LEFT(TRIM(C564),FIND(" ",TRIM(C564)&amp;" ")-1),",","."),FIND("/",SUBSTITUTE(LEFT(TRIM(C564),FIND(" ",TRIM(C564)&amp;" ")-1),",","."))-1)/MID(SUBSTITUTE(LEFT(TRIM(C564),FIND(" ",TRIM(C564)&amp;" ")-1),",","."),FIND("/",SUBSTITUTE(LEFT(TRIM(C564),FIND(" ",TRIM(C564)&amp;" ")-1),",","."))+1,9)),IF(ISNUMBER(SEARCH("yea",C564)),IFERROR(_xlfn.NUMBERVALUE(SUBSTITUTE(LEFT(TRIM(C564),FIND(" ",TRIM(C564)&amp;" ")-1),",","."),"."),LEFT(SUBSTITUTE(LEFT(TRIM(C564),FIND(" ",TRIM(C564)&amp;" ")-1),",","."),FIND("/",SUBSTITUTE(LEFT(TRIM(C564),FIND(" ",TRIM(C564)&amp;" ")-1),",","."))-1)/MID(SUBSTITUTE(LEFT(TRIM(C564),FIND(" ",TRIM(C564)&amp;" ")-1),",","."),FIND("/",SUBSTITUTE(LEFT(TRIM(C564),FIND(" ",TRIM(C564)&amp;" ")-1),",","."))+1,9))*12,NA()))),0),36)*'Aturan &amp; Tarif'!$B$4,2)</f>
        <v>2044.08</v>
      </c>
      <c r="K564" s="32" t="n">
        <f aca="false">'Aturan &amp; Tarif'!$B$5</f>
        <v>2050</v>
      </c>
      <c r="L564" s="32" t="n">
        <f aca="false">'Aturan &amp; Tarif'!$B$6</f>
        <v>350</v>
      </c>
      <c r="M564" s="35" t="n">
        <f aca="false">I564+J564+K564+L564</f>
        <v>16594.08</v>
      </c>
      <c r="N564" s="37" t="s">
        <v>2977</v>
      </c>
    </row>
    <row r="565" customFormat="false" ht="60" hidden="false" customHeight="true" outlineLevel="0" collapsed="false">
      <c r="A565" s="29"/>
      <c r="B565" s="30" t="s">
        <v>422</v>
      </c>
      <c r="C565" s="31" t="s">
        <v>113</v>
      </c>
      <c r="D565" s="31" t="s">
        <v>108</v>
      </c>
      <c r="E565" s="32" t="n">
        <v>5460</v>
      </c>
      <c r="F565" s="32" t="n">
        <v>1385</v>
      </c>
      <c r="G565" s="32" t="n">
        <v>100</v>
      </c>
      <c r="H565" s="33" t="n">
        <v>2</v>
      </c>
      <c r="I565" s="34" t="n">
        <f aca="false">E565*H565+N(F565)+N(G565)</f>
        <v>12405</v>
      </c>
      <c r="J565" s="32" t="n">
        <f aca="false">ROUND(IFERROR(ROUND(IF(OR(ISNUMBER(SEARCH("week",C565)),ISNUMBER(SEARCH("minggu",C565))),IFERROR(_xlfn.NUMBERVALUE(SUBSTITUTE(LEFT(TRIM(C565),FIND(" ",TRIM(C565)&amp;" ")-1),",","."),"."),LEFT(SUBSTITUTE(LEFT(TRIM(C565),FIND(" ",TRIM(C565)&amp;" ")-1),",","."),FIND("/",SUBSTITUTE(LEFT(TRIM(C565),FIND(" ",TRIM(C565)&amp;" ")-1),",","."))-1)/MID(SUBSTITUTE(LEFT(TRIM(C565),FIND(" ",TRIM(C565)&amp;" ")-1),",","."),FIND("/",SUBSTITUTE(LEFT(TRIM(C565),FIND(" ",TRIM(C565)&amp;" ")-1),",","."))+1,9))*12/52,IF(ISNUMBER(SEARCH("month",C565)),IFERROR(_xlfn.NUMBERVALUE(SUBSTITUTE(LEFT(TRIM(C565),FIND(" ",TRIM(C565)&amp;" ")-1),",","."),"."),LEFT(SUBSTITUTE(LEFT(TRIM(C565),FIND(" ",TRIM(C565)&amp;" ")-1),",","."),FIND("/",SUBSTITUTE(LEFT(TRIM(C565),FIND(" ",TRIM(C565)&amp;" ")-1),",","."))-1)/MID(SUBSTITUTE(LEFT(TRIM(C565),FIND(" ",TRIM(C565)&amp;" ")-1),",","."),FIND("/",SUBSTITUTE(LEFT(TRIM(C565),FIND(" ",TRIM(C565)&amp;" ")-1),",","."))+1,9)),IF(ISNUMBER(SEARCH("yea",C565)),IFERROR(_xlfn.NUMBERVALUE(SUBSTITUTE(LEFT(TRIM(C565),FIND(" ",TRIM(C565)&amp;" ")-1),",","."),"."),LEFT(SUBSTITUTE(LEFT(TRIM(C565),FIND(" ",TRIM(C565)&amp;" ")-1),",","."),FIND("/",SUBSTITUTE(LEFT(TRIM(C565),FIND(" ",TRIM(C565)&amp;" ")-1),",","."))-1)/MID(SUBSTITUTE(LEFT(TRIM(C565),FIND(" ",TRIM(C565)&amp;" ")-1),",","."),FIND("/",SUBSTITUTE(LEFT(TRIM(C565),FIND(" ",TRIM(C565)&amp;" ")-1),",","."))+1,9))*12,NA()))),0),18)*'Aturan &amp; Tarif'!$B$4,2)</f>
        <v>1022.04</v>
      </c>
      <c r="K565" s="32" t="n">
        <f aca="false">'Aturan &amp; Tarif'!$B$5</f>
        <v>2050</v>
      </c>
      <c r="L565" s="32" t="n">
        <f aca="false">'Aturan &amp; Tarif'!$B$6</f>
        <v>350</v>
      </c>
      <c r="M565" s="35" t="n">
        <f aca="false">I565+J565+K565+L565</f>
        <v>15827.04</v>
      </c>
      <c r="N565" s="37" t="s">
        <v>2971</v>
      </c>
    </row>
    <row r="566" customFormat="false" ht="60" hidden="false" customHeight="true" outlineLevel="0" collapsed="false">
      <c r="A566" s="29"/>
      <c r="B566" s="30" t="s">
        <v>1561</v>
      </c>
      <c r="C566" s="31" t="s">
        <v>107</v>
      </c>
      <c r="D566" s="31" t="s">
        <v>108</v>
      </c>
      <c r="E566" s="32" t="n">
        <v>4610</v>
      </c>
      <c r="F566" s="32" t="n">
        <v>1385</v>
      </c>
      <c r="G566" s="32" t="n">
        <v>600</v>
      </c>
      <c r="H566" s="33" t="n">
        <v>2</v>
      </c>
      <c r="I566" s="34" t="n">
        <f aca="false">E566*H566+N(F566)+N(G566)</f>
        <v>11205</v>
      </c>
      <c r="J566" s="32" t="n">
        <f aca="false">ROUND(IFERROR(ROUND(IF(OR(ISNUMBER(SEARCH("week",C566)),ISNUMBER(SEARCH("minggu",C566))),IFERROR(_xlfn.NUMBERVALUE(SUBSTITUTE(LEFT(TRIM(C566),FIND(" ",TRIM(C566)&amp;" ")-1),",","."),"."),LEFT(SUBSTITUTE(LEFT(TRIM(C566),FIND(" ",TRIM(C566)&amp;" ")-1),",","."),FIND("/",SUBSTITUTE(LEFT(TRIM(C566),FIND(" ",TRIM(C566)&amp;" ")-1),",","."))-1)/MID(SUBSTITUTE(LEFT(TRIM(C566),FIND(" ",TRIM(C566)&amp;" ")-1),",","."),FIND("/",SUBSTITUTE(LEFT(TRIM(C566),FIND(" ",TRIM(C566)&amp;" ")-1),",","."))+1,9))*12/52,IF(ISNUMBER(SEARCH("month",C566)),IFERROR(_xlfn.NUMBERVALUE(SUBSTITUTE(LEFT(TRIM(C566),FIND(" ",TRIM(C566)&amp;" ")-1),",","."),"."),LEFT(SUBSTITUTE(LEFT(TRIM(C566),FIND(" ",TRIM(C566)&amp;" ")-1),",","."),FIND("/",SUBSTITUTE(LEFT(TRIM(C566),FIND(" ",TRIM(C566)&amp;" ")-1),",","."))-1)/MID(SUBSTITUTE(LEFT(TRIM(C566),FIND(" ",TRIM(C566)&amp;" ")-1),",","."),FIND("/",SUBSTITUTE(LEFT(TRIM(C566),FIND(" ",TRIM(C566)&amp;" ")-1),",","."))+1,9)),IF(ISNUMBER(SEARCH("yea",C566)),IFERROR(_xlfn.NUMBERVALUE(SUBSTITUTE(LEFT(TRIM(C566),FIND(" ",TRIM(C566)&amp;" ")-1),",","."),"."),LEFT(SUBSTITUTE(LEFT(TRIM(C566),FIND(" ",TRIM(C566)&amp;" ")-1),",","."),FIND("/",SUBSTITUTE(LEFT(TRIM(C566),FIND(" ",TRIM(C566)&amp;" ")-1),",","."))-1)/MID(SUBSTITUTE(LEFT(TRIM(C566),FIND(" ",TRIM(C566)&amp;" ")-1),",","."),FIND("/",SUBSTITUTE(LEFT(TRIM(C566),FIND(" ",TRIM(C566)&amp;" ")-1),",","."))+1,9))*12,NA()))),0),24)*'Aturan &amp; Tarif'!$B$4,2)</f>
        <v>1362.72</v>
      </c>
      <c r="K566" s="32" t="n">
        <f aca="false">'Aturan &amp; Tarif'!$B$5</f>
        <v>2050</v>
      </c>
      <c r="L566" s="32" t="n">
        <f aca="false">'Aturan &amp; Tarif'!$B$6</f>
        <v>350</v>
      </c>
      <c r="M566" s="35" t="n">
        <f aca="false">I566+J566+K566+L566</f>
        <v>14967.72</v>
      </c>
      <c r="N566" s="36" t="s">
        <v>2981</v>
      </c>
    </row>
    <row r="567" customFormat="false" ht="60" hidden="false" customHeight="true" outlineLevel="0" collapsed="false">
      <c r="A567" s="29"/>
      <c r="B567" s="30" t="s">
        <v>2982</v>
      </c>
      <c r="C567" s="31" t="s">
        <v>138</v>
      </c>
      <c r="D567" s="31" t="s">
        <v>108</v>
      </c>
      <c r="E567" s="32" t="n">
        <v>4610</v>
      </c>
      <c r="F567" s="32" t="n">
        <v>1385</v>
      </c>
      <c r="G567" s="32" t="n">
        <v>600</v>
      </c>
      <c r="H567" s="33" t="n">
        <v>2</v>
      </c>
      <c r="I567" s="34" t="n">
        <f aca="false">E567*H567+N(F567)+N(G567)</f>
        <v>11205</v>
      </c>
      <c r="J567" s="32" t="n">
        <f aca="false">ROUND(IFERROR(ROUND(IF(OR(ISNUMBER(SEARCH("week",C567)),ISNUMBER(SEARCH("minggu",C567))),IFERROR(_xlfn.NUMBERVALUE(SUBSTITUTE(LEFT(TRIM(C567),FIND(" ",TRIM(C567)&amp;" ")-1),",","."),"."),LEFT(SUBSTITUTE(LEFT(TRIM(C567),FIND(" ",TRIM(C567)&amp;" ")-1),",","."),FIND("/",SUBSTITUTE(LEFT(TRIM(C567),FIND(" ",TRIM(C567)&amp;" ")-1),",","."))-1)/MID(SUBSTITUTE(LEFT(TRIM(C567),FIND(" ",TRIM(C567)&amp;" ")-1),",","."),FIND("/",SUBSTITUTE(LEFT(TRIM(C567),FIND(" ",TRIM(C567)&amp;" ")-1),",","."))+1,9))*12/52,IF(ISNUMBER(SEARCH("month",C567)),IFERROR(_xlfn.NUMBERVALUE(SUBSTITUTE(LEFT(TRIM(C567),FIND(" ",TRIM(C567)&amp;" ")-1),",","."),"."),LEFT(SUBSTITUTE(LEFT(TRIM(C567),FIND(" ",TRIM(C567)&amp;" ")-1),",","."),FIND("/",SUBSTITUTE(LEFT(TRIM(C567),FIND(" ",TRIM(C567)&amp;" ")-1),",","."))-1)/MID(SUBSTITUTE(LEFT(TRIM(C567),FIND(" ",TRIM(C567)&amp;" ")-1),",","."),FIND("/",SUBSTITUTE(LEFT(TRIM(C567),FIND(" ",TRIM(C567)&amp;" ")-1),",","."))+1,9)),IF(ISNUMBER(SEARCH("yea",C567)),IFERROR(_xlfn.NUMBERVALUE(SUBSTITUTE(LEFT(TRIM(C567),FIND(" ",TRIM(C567)&amp;" ")-1),",","."),"."),LEFT(SUBSTITUTE(LEFT(TRIM(C567),FIND(" ",TRIM(C567)&amp;" ")-1),",","."),FIND("/",SUBSTITUTE(LEFT(TRIM(C567),FIND(" ",TRIM(C567)&amp;" ")-1),",","."))-1)/MID(SUBSTITUTE(LEFT(TRIM(C567),FIND(" ",TRIM(C567)&amp;" ")-1),",","."),FIND("/",SUBSTITUTE(LEFT(TRIM(C567),FIND(" ",TRIM(C567)&amp;" ")-1),",","."))+1,9))*12,NA()))),0),30)*'Aturan &amp; Tarif'!$B$4,2)</f>
        <v>1703.4</v>
      </c>
      <c r="K567" s="32" t="n">
        <f aca="false">'Aturan &amp; Tarif'!$B$5</f>
        <v>2050</v>
      </c>
      <c r="L567" s="32" t="n">
        <f aca="false">'Aturan &amp; Tarif'!$B$6</f>
        <v>350</v>
      </c>
      <c r="M567" s="35" t="n">
        <f aca="false">I567+J567+K567+L567</f>
        <v>15308.4</v>
      </c>
      <c r="N567" s="36" t="s">
        <v>2983</v>
      </c>
    </row>
    <row r="568" customFormat="false" ht="60" hidden="false" customHeight="true" outlineLevel="0" collapsed="false">
      <c r="A568" s="29"/>
      <c r="B568" s="30" t="s">
        <v>2984</v>
      </c>
      <c r="C568" s="31" t="s">
        <v>245</v>
      </c>
      <c r="D568" s="31" t="s">
        <v>108</v>
      </c>
      <c r="E568" s="32" t="n">
        <v>5720</v>
      </c>
      <c r="F568" s="32" t="n">
        <v>1385</v>
      </c>
      <c r="G568" s="32" t="n">
        <v>1100</v>
      </c>
      <c r="H568" s="33" t="n">
        <v>2</v>
      </c>
      <c r="I568" s="34" t="n">
        <f aca="false">E568*H568+N(F568)+N(G568)</f>
        <v>13925</v>
      </c>
      <c r="J568" s="32" t="n">
        <f aca="false">ROUND(IFERROR(ROUND(IF(OR(ISNUMBER(SEARCH("week",C568)),ISNUMBER(SEARCH("minggu",C568))),IFERROR(_xlfn.NUMBERVALUE(SUBSTITUTE(LEFT(TRIM(C568),FIND(" ",TRIM(C568)&amp;" ")-1),",","."),"."),LEFT(SUBSTITUTE(LEFT(TRIM(C568),FIND(" ",TRIM(C568)&amp;" ")-1),",","."),FIND("/",SUBSTITUTE(LEFT(TRIM(C568),FIND(" ",TRIM(C568)&amp;" ")-1),",","."))-1)/MID(SUBSTITUTE(LEFT(TRIM(C568),FIND(" ",TRIM(C568)&amp;" ")-1),",","."),FIND("/",SUBSTITUTE(LEFT(TRIM(C568),FIND(" ",TRIM(C568)&amp;" ")-1),",","."))+1,9))*12/52,IF(ISNUMBER(SEARCH("month",C568)),IFERROR(_xlfn.NUMBERVALUE(SUBSTITUTE(LEFT(TRIM(C568),FIND(" ",TRIM(C568)&amp;" ")-1),",","."),"."),LEFT(SUBSTITUTE(LEFT(TRIM(C568),FIND(" ",TRIM(C568)&amp;" ")-1),",","."),FIND("/",SUBSTITUTE(LEFT(TRIM(C568),FIND(" ",TRIM(C568)&amp;" ")-1),",","."))-1)/MID(SUBSTITUTE(LEFT(TRIM(C568),FIND(" ",TRIM(C568)&amp;" ")-1),",","."),FIND("/",SUBSTITUTE(LEFT(TRIM(C568),FIND(" ",TRIM(C568)&amp;" ")-1),",","."))+1,9)),IF(ISNUMBER(SEARCH("yea",C568)),IFERROR(_xlfn.NUMBERVALUE(SUBSTITUTE(LEFT(TRIM(C568),FIND(" ",TRIM(C568)&amp;" ")-1),",","."),"."),LEFT(SUBSTITUTE(LEFT(TRIM(C568),FIND(" ",TRIM(C568)&amp;" ")-1),",","."),FIND("/",SUBSTITUTE(LEFT(TRIM(C568),FIND(" ",TRIM(C568)&amp;" ")-1),",","."))-1)/MID(SUBSTITUTE(LEFT(TRIM(C568),FIND(" ",TRIM(C568)&amp;" ")-1),",","."),FIND("/",SUBSTITUTE(LEFT(TRIM(C568),FIND(" ",TRIM(C568)&amp;" ")-1),",","."))+1,9))*12,NA()))),0),60)*'Aturan &amp; Tarif'!$B$4,2)</f>
        <v>3406.8</v>
      </c>
      <c r="K568" s="32" t="n">
        <f aca="false">'Aturan &amp; Tarif'!$B$5</f>
        <v>2050</v>
      </c>
      <c r="L568" s="32" t="n">
        <f aca="false">'Aturan &amp; Tarif'!$B$6</f>
        <v>350</v>
      </c>
      <c r="M568" s="35" t="n">
        <f aca="false">I568+J568+K568+L568</f>
        <v>19731.8</v>
      </c>
      <c r="N568" s="36" t="s">
        <v>2985</v>
      </c>
    </row>
    <row r="569" customFormat="false" ht="60" hidden="false" customHeight="true" outlineLevel="0" collapsed="false">
      <c r="A569" s="29"/>
      <c r="B569" s="30" t="s">
        <v>2986</v>
      </c>
      <c r="C569" s="31" t="s">
        <v>107</v>
      </c>
      <c r="D569" s="31" t="s">
        <v>108</v>
      </c>
      <c r="E569" s="32" t="n">
        <v>5460</v>
      </c>
      <c r="F569" s="32" t="n">
        <v>1315</v>
      </c>
      <c r="G569" s="32" t="n">
        <v>600</v>
      </c>
      <c r="H569" s="33" t="n">
        <v>2</v>
      </c>
      <c r="I569" s="34" t="n">
        <f aca="false">E569*H569+N(F569)+N(G569)</f>
        <v>12835</v>
      </c>
      <c r="J569" s="32" t="n">
        <f aca="false">ROUND(IFERROR(ROUND(IF(OR(ISNUMBER(SEARCH("week",C569)),ISNUMBER(SEARCH("minggu",C569))),IFERROR(_xlfn.NUMBERVALUE(SUBSTITUTE(LEFT(TRIM(C569),FIND(" ",TRIM(C569)&amp;" ")-1),",","."),"."),LEFT(SUBSTITUTE(LEFT(TRIM(C569),FIND(" ",TRIM(C569)&amp;" ")-1),",","."),FIND("/",SUBSTITUTE(LEFT(TRIM(C569),FIND(" ",TRIM(C569)&amp;" ")-1),",","."))-1)/MID(SUBSTITUTE(LEFT(TRIM(C569),FIND(" ",TRIM(C569)&amp;" ")-1),",","."),FIND("/",SUBSTITUTE(LEFT(TRIM(C569),FIND(" ",TRIM(C569)&amp;" ")-1),",","."))+1,9))*12/52,IF(ISNUMBER(SEARCH("month",C569)),IFERROR(_xlfn.NUMBERVALUE(SUBSTITUTE(LEFT(TRIM(C569),FIND(" ",TRIM(C569)&amp;" ")-1),",","."),"."),LEFT(SUBSTITUTE(LEFT(TRIM(C569),FIND(" ",TRIM(C569)&amp;" ")-1),",","."),FIND("/",SUBSTITUTE(LEFT(TRIM(C569),FIND(" ",TRIM(C569)&amp;" ")-1),",","."))-1)/MID(SUBSTITUTE(LEFT(TRIM(C569),FIND(" ",TRIM(C569)&amp;" ")-1),",","."),FIND("/",SUBSTITUTE(LEFT(TRIM(C569),FIND(" ",TRIM(C569)&amp;" ")-1),",","."))+1,9)),IF(ISNUMBER(SEARCH("yea",C569)),IFERROR(_xlfn.NUMBERVALUE(SUBSTITUTE(LEFT(TRIM(C569),FIND(" ",TRIM(C569)&amp;" ")-1),",","."),"."),LEFT(SUBSTITUTE(LEFT(TRIM(C569),FIND(" ",TRIM(C569)&amp;" ")-1),",","."),FIND("/",SUBSTITUTE(LEFT(TRIM(C569),FIND(" ",TRIM(C569)&amp;" ")-1),",","."))-1)/MID(SUBSTITUTE(LEFT(TRIM(C569),FIND(" ",TRIM(C569)&amp;" ")-1),",","."),FIND("/",SUBSTITUTE(LEFT(TRIM(C569),FIND(" ",TRIM(C569)&amp;" ")-1),",","."))+1,9))*12,NA()))),0),24)*'Aturan &amp; Tarif'!$B$4,2)</f>
        <v>1362.72</v>
      </c>
      <c r="K569" s="32" t="n">
        <f aca="false">'Aturan &amp; Tarif'!$B$5</f>
        <v>2050</v>
      </c>
      <c r="L569" s="32" t="n">
        <f aca="false">'Aturan &amp; Tarif'!$B$6</f>
        <v>350</v>
      </c>
      <c r="M569" s="35" t="n">
        <f aca="false">I569+J569+K569+L569</f>
        <v>16597.72</v>
      </c>
      <c r="N569" s="36" t="s">
        <v>2987</v>
      </c>
    </row>
    <row r="570" customFormat="false" ht="60" hidden="false" customHeight="true" outlineLevel="0" collapsed="false">
      <c r="A570" s="29"/>
      <c r="B570" s="30" t="s">
        <v>2988</v>
      </c>
      <c r="C570" s="31" t="s">
        <v>138</v>
      </c>
      <c r="D570" s="31" t="s">
        <v>108</v>
      </c>
      <c r="E570" s="32" t="n">
        <v>4610</v>
      </c>
      <c r="F570" s="32" t="n">
        <v>1315</v>
      </c>
      <c r="G570" s="32" t="n">
        <v>600</v>
      </c>
      <c r="H570" s="33" t="n">
        <v>2</v>
      </c>
      <c r="I570" s="34" t="n">
        <f aca="false">E570*H570+N(F570)+N(G570)</f>
        <v>11135</v>
      </c>
      <c r="J570" s="32" t="n">
        <f aca="false">ROUND(IFERROR(ROUND(IF(OR(ISNUMBER(SEARCH("week",C570)),ISNUMBER(SEARCH("minggu",C570))),IFERROR(_xlfn.NUMBERVALUE(SUBSTITUTE(LEFT(TRIM(C570),FIND(" ",TRIM(C570)&amp;" ")-1),",","."),"."),LEFT(SUBSTITUTE(LEFT(TRIM(C570),FIND(" ",TRIM(C570)&amp;" ")-1),",","."),FIND("/",SUBSTITUTE(LEFT(TRIM(C570),FIND(" ",TRIM(C570)&amp;" ")-1),",","."))-1)/MID(SUBSTITUTE(LEFT(TRIM(C570),FIND(" ",TRIM(C570)&amp;" ")-1),",","."),FIND("/",SUBSTITUTE(LEFT(TRIM(C570),FIND(" ",TRIM(C570)&amp;" ")-1),",","."))+1,9))*12/52,IF(ISNUMBER(SEARCH("month",C570)),IFERROR(_xlfn.NUMBERVALUE(SUBSTITUTE(LEFT(TRIM(C570),FIND(" ",TRIM(C570)&amp;" ")-1),",","."),"."),LEFT(SUBSTITUTE(LEFT(TRIM(C570),FIND(" ",TRIM(C570)&amp;" ")-1),",","."),FIND("/",SUBSTITUTE(LEFT(TRIM(C570),FIND(" ",TRIM(C570)&amp;" ")-1),",","."))-1)/MID(SUBSTITUTE(LEFT(TRIM(C570),FIND(" ",TRIM(C570)&amp;" ")-1),",","."),FIND("/",SUBSTITUTE(LEFT(TRIM(C570),FIND(" ",TRIM(C570)&amp;" ")-1),",","."))+1,9)),IF(ISNUMBER(SEARCH("yea",C570)),IFERROR(_xlfn.NUMBERVALUE(SUBSTITUTE(LEFT(TRIM(C570),FIND(" ",TRIM(C570)&amp;" ")-1),",","."),"."),LEFT(SUBSTITUTE(LEFT(TRIM(C570),FIND(" ",TRIM(C570)&amp;" ")-1),",","."),FIND("/",SUBSTITUTE(LEFT(TRIM(C570),FIND(" ",TRIM(C570)&amp;" ")-1),",","."))-1)/MID(SUBSTITUTE(LEFT(TRIM(C570),FIND(" ",TRIM(C570)&amp;" ")-1),",","."),FIND("/",SUBSTITUTE(LEFT(TRIM(C570),FIND(" ",TRIM(C570)&amp;" ")-1),",","."))+1,9))*12,NA()))),0),30)*'Aturan &amp; Tarif'!$B$4,2)</f>
        <v>1703.4</v>
      </c>
      <c r="K570" s="32" t="n">
        <f aca="false">'Aturan &amp; Tarif'!$B$5</f>
        <v>2050</v>
      </c>
      <c r="L570" s="32" t="n">
        <f aca="false">'Aturan &amp; Tarif'!$B$6</f>
        <v>350</v>
      </c>
      <c r="M570" s="35" t="n">
        <f aca="false">I570+J570+K570+L570</f>
        <v>15238.4</v>
      </c>
      <c r="N570" s="36" t="s">
        <v>2989</v>
      </c>
    </row>
    <row r="571" customFormat="false" ht="37.5" hidden="false" customHeight="true" outlineLevel="0" collapsed="false">
      <c r="A571" s="29"/>
      <c r="B571" s="30" t="s">
        <v>2990</v>
      </c>
      <c r="C571" s="31" t="s">
        <v>245</v>
      </c>
      <c r="D571" s="31" t="s">
        <v>108</v>
      </c>
      <c r="E571" s="32" t="n">
        <v>5720</v>
      </c>
      <c r="F571" s="32" t="n">
        <v>1315</v>
      </c>
      <c r="G571" s="32" t="n">
        <v>1100</v>
      </c>
      <c r="H571" s="33" t="n">
        <v>2</v>
      </c>
      <c r="I571" s="34" t="n">
        <f aca="false">E571*H571+N(F571)+N(G571)</f>
        <v>13855</v>
      </c>
      <c r="J571" s="32" t="n">
        <f aca="false">ROUND(IFERROR(ROUND(IF(OR(ISNUMBER(SEARCH("week",C571)),ISNUMBER(SEARCH("minggu",C571))),IFERROR(_xlfn.NUMBERVALUE(SUBSTITUTE(LEFT(TRIM(C571),FIND(" ",TRIM(C571)&amp;" ")-1),",","."),"."),LEFT(SUBSTITUTE(LEFT(TRIM(C571),FIND(" ",TRIM(C571)&amp;" ")-1),",","."),FIND("/",SUBSTITUTE(LEFT(TRIM(C571),FIND(" ",TRIM(C571)&amp;" ")-1),",","."))-1)/MID(SUBSTITUTE(LEFT(TRIM(C571),FIND(" ",TRIM(C571)&amp;" ")-1),",","."),FIND("/",SUBSTITUTE(LEFT(TRIM(C571),FIND(" ",TRIM(C571)&amp;" ")-1),",","."))+1,9))*12/52,IF(ISNUMBER(SEARCH("month",C571)),IFERROR(_xlfn.NUMBERVALUE(SUBSTITUTE(LEFT(TRIM(C571),FIND(" ",TRIM(C571)&amp;" ")-1),",","."),"."),LEFT(SUBSTITUTE(LEFT(TRIM(C571),FIND(" ",TRIM(C571)&amp;" ")-1),",","."),FIND("/",SUBSTITUTE(LEFT(TRIM(C571),FIND(" ",TRIM(C571)&amp;" ")-1),",","."))-1)/MID(SUBSTITUTE(LEFT(TRIM(C571),FIND(" ",TRIM(C571)&amp;" ")-1),",","."),FIND("/",SUBSTITUTE(LEFT(TRIM(C571),FIND(" ",TRIM(C571)&amp;" ")-1),",","."))+1,9)),IF(ISNUMBER(SEARCH("yea",C571)),IFERROR(_xlfn.NUMBERVALUE(SUBSTITUTE(LEFT(TRIM(C571),FIND(" ",TRIM(C571)&amp;" ")-1),",","."),"."),LEFT(SUBSTITUTE(LEFT(TRIM(C571),FIND(" ",TRIM(C571)&amp;" ")-1),",","."),FIND("/",SUBSTITUTE(LEFT(TRIM(C571),FIND(" ",TRIM(C571)&amp;" ")-1),",","."))-1)/MID(SUBSTITUTE(LEFT(TRIM(C571),FIND(" ",TRIM(C571)&amp;" ")-1),",","."),FIND("/",SUBSTITUTE(LEFT(TRIM(C571),FIND(" ",TRIM(C571)&amp;" ")-1),",","."))+1,9))*12,NA()))),0),60)*'Aturan &amp; Tarif'!$B$4,2)</f>
        <v>3406.8</v>
      </c>
      <c r="K571" s="32" t="n">
        <f aca="false">'Aturan &amp; Tarif'!$B$5</f>
        <v>2050</v>
      </c>
      <c r="L571" s="32" t="n">
        <f aca="false">'Aturan &amp; Tarif'!$B$6</f>
        <v>350</v>
      </c>
      <c r="M571" s="35" t="n">
        <f aca="false">I571+J571+K571+L571</f>
        <v>19661.8</v>
      </c>
      <c r="N571" s="36" t="s">
        <v>2989</v>
      </c>
    </row>
    <row r="572" customFormat="false" ht="60" hidden="false" customHeight="true" outlineLevel="0" collapsed="false">
      <c r="A572" s="29"/>
      <c r="B572" s="30" t="s">
        <v>2991</v>
      </c>
      <c r="C572" s="31" t="s">
        <v>107</v>
      </c>
      <c r="D572" s="31" t="s">
        <v>108</v>
      </c>
      <c r="E572" s="32" t="n">
        <v>5460</v>
      </c>
      <c r="F572" s="32" t="n">
        <v>1385</v>
      </c>
      <c r="G572" s="32" t="n">
        <v>100</v>
      </c>
      <c r="H572" s="33" t="n">
        <v>2</v>
      </c>
      <c r="I572" s="34" t="n">
        <f aca="false">E572*H572+N(F572)+N(G572)</f>
        <v>12405</v>
      </c>
      <c r="J572" s="32" t="n">
        <f aca="false">ROUND(IFERROR(ROUND(IF(OR(ISNUMBER(SEARCH("week",C572)),ISNUMBER(SEARCH("minggu",C572))),IFERROR(_xlfn.NUMBERVALUE(SUBSTITUTE(LEFT(TRIM(C572),FIND(" ",TRIM(C572)&amp;" ")-1),",","."),"."),LEFT(SUBSTITUTE(LEFT(TRIM(C572),FIND(" ",TRIM(C572)&amp;" ")-1),",","."),FIND("/",SUBSTITUTE(LEFT(TRIM(C572),FIND(" ",TRIM(C572)&amp;" ")-1),",","."))-1)/MID(SUBSTITUTE(LEFT(TRIM(C572),FIND(" ",TRIM(C572)&amp;" ")-1),",","."),FIND("/",SUBSTITUTE(LEFT(TRIM(C572),FIND(" ",TRIM(C572)&amp;" ")-1),",","."))+1,9))*12/52,IF(ISNUMBER(SEARCH("month",C572)),IFERROR(_xlfn.NUMBERVALUE(SUBSTITUTE(LEFT(TRIM(C572),FIND(" ",TRIM(C572)&amp;" ")-1),",","."),"."),LEFT(SUBSTITUTE(LEFT(TRIM(C572),FIND(" ",TRIM(C572)&amp;" ")-1),",","."),FIND("/",SUBSTITUTE(LEFT(TRIM(C572),FIND(" ",TRIM(C572)&amp;" ")-1),",","."))-1)/MID(SUBSTITUTE(LEFT(TRIM(C572),FIND(" ",TRIM(C572)&amp;" ")-1),",","."),FIND("/",SUBSTITUTE(LEFT(TRIM(C572),FIND(" ",TRIM(C572)&amp;" ")-1),",","."))+1,9)),IF(ISNUMBER(SEARCH("yea",C572)),IFERROR(_xlfn.NUMBERVALUE(SUBSTITUTE(LEFT(TRIM(C572),FIND(" ",TRIM(C572)&amp;" ")-1),",","."),"."),LEFT(SUBSTITUTE(LEFT(TRIM(C572),FIND(" ",TRIM(C572)&amp;" ")-1),",","."),FIND("/",SUBSTITUTE(LEFT(TRIM(C572),FIND(" ",TRIM(C572)&amp;" ")-1),",","."))-1)/MID(SUBSTITUTE(LEFT(TRIM(C572),FIND(" ",TRIM(C572)&amp;" ")-1),",","."),FIND("/",SUBSTITUTE(LEFT(TRIM(C572),FIND(" ",TRIM(C572)&amp;" ")-1),",","."))+1,9))*12,NA()))),0),24)*'Aturan &amp; Tarif'!$B$4,2)</f>
        <v>1362.72</v>
      </c>
      <c r="K572" s="32" t="n">
        <f aca="false">'Aturan &amp; Tarif'!$B$5</f>
        <v>2050</v>
      </c>
      <c r="L572" s="32" t="n">
        <f aca="false">'Aturan &amp; Tarif'!$B$6</f>
        <v>350</v>
      </c>
      <c r="M572" s="35" t="n">
        <f aca="false">I572+J572+K572+L572</f>
        <v>16167.72</v>
      </c>
      <c r="N572" s="37" t="s">
        <v>2971</v>
      </c>
    </row>
    <row r="573" customFormat="false" ht="14.25" hidden="false" customHeight="true" outlineLevel="0" collapsed="false">
      <c r="A573" s="29"/>
      <c r="B573" s="30" t="s">
        <v>2992</v>
      </c>
      <c r="C573" s="31" t="s">
        <v>107</v>
      </c>
      <c r="D573" s="31" t="s">
        <v>108</v>
      </c>
      <c r="E573" s="32" t="n">
        <v>4610</v>
      </c>
      <c r="F573" s="32" t="n">
        <v>1385</v>
      </c>
      <c r="G573" s="32" t="n">
        <v>600</v>
      </c>
      <c r="H573" s="33" t="n">
        <v>2</v>
      </c>
      <c r="I573" s="34" t="n">
        <f aca="false">E573*H573+N(F573)+N(G573)</f>
        <v>11205</v>
      </c>
      <c r="J573" s="32" t="n">
        <f aca="false">ROUND(IFERROR(ROUND(IF(OR(ISNUMBER(SEARCH("week",C573)),ISNUMBER(SEARCH("minggu",C573))),IFERROR(_xlfn.NUMBERVALUE(SUBSTITUTE(LEFT(TRIM(C573),FIND(" ",TRIM(C573)&amp;" ")-1),",","."),"."),LEFT(SUBSTITUTE(LEFT(TRIM(C573),FIND(" ",TRIM(C573)&amp;" ")-1),",","."),FIND("/",SUBSTITUTE(LEFT(TRIM(C573),FIND(" ",TRIM(C573)&amp;" ")-1),",","."))-1)/MID(SUBSTITUTE(LEFT(TRIM(C573),FIND(" ",TRIM(C573)&amp;" ")-1),",","."),FIND("/",SUBSTITUTE(LEFT(TRIM(C573),FIND(" ",TRIM(C573)&amp;" ")-1),",","."))+1,9))*12/52,IF(ISNUMBER(SEARCH("month",C573)),IFERROR(_xlfn.NUMBERVALUE(SUBSTITUTE(LEFT(TRIM(C573),FIND(" ",TRIM(C573)&amp;" ")-1),",","."),"."),LEFT(SUBSTITUTE(LEFT(TRIM(C573),FIND(" ",TRIM(C573)&amp;" ")-1),",","."),FIND("/",SUBSTITUTE(LEFT(TRIM(C573),FIND(" ",TRIM(C573)&amp;" ")-1),",","."))-1)/MID(SUBSTITUTE(LEFT(TRIM(C573),FIND(" ",TRIM(C573)&amp;" ")-1),",","."),FIND("/",SUBSTITUTE(LEFT(TRIM(C573),FIND(" ",TRIM(C573)&amp;" ")-1),",","."))+1,9)),IF(ISNUMBER(SEARCH("yea",C573)),IFERROR(_xlfn.NUMBERVALUE(SUBSTITUTE(LEFT(TRIM(C573),FIND(" ",TRIM(C573)&amp;" ")-1),",","."),"."),LEFT(SUBSTITUTE(LEFT(TRIM(C573),FIND(" ",TRIM(C573)&amp;" ")-1),",","."),FIND("/",SUBSTITUTE(LEFT(TRIM(C573),FIND(" ",TRIM(C573)&amp;" ")-1),",","."))-1)/MID(SUBSTITUTE(LEFT(TRIM(C573),FIND(" ",TRIM(C573)&amp;" ")-1),",","."),FIND("/",SUBSTITUTE(LEFT(TRIM(C573),FIND(" ",TRIM(C573)&amp;" ")-1),",","."))+1,9))*12,NA()))),0),24)*'Aturan &amp; Tarif'!$B$4,2)</f>
        <v>1362.72</v>
      </c>
      <c r="K573" s="32" t="n">
        <f aca="false">'Aturan &amp; Tarif'!$B$5</f>
        <v>2050</v>
      </c>
      <c r="L573" s="32" t="n">
        <f aca="false">'Aturan &amp; Tarif'!$B$6</f>
        <v>350</v>
      </c>
      <c r="M573" s="35" t="n">
        <f aca="false">I573+J573+K573+L573</f>
        <v>14967.72</v>
      </c>
      <c r="N573" s="36" t="s">
        <v>2993</v>
      </c>
    </row>
    <row r="574" customFormat="false" ht="14.25" hidden="false" customHeight="true" outlineLevel="0" collapsed="false">
      <c r="A574" s="29"/>
      <c r="B574" s="30" t="s">
        <v>2994</v>
      </c>
      <c r="C574" s="31" t="s">
        <v>130</v>
      </c>
      <c r="D574" s="31" t="s">
        <v>108</v>
      </c>
      <c r="E574" s="32" t="n">
        <v>5460</v>
      </c>
      <c r="F574" s="32" t="n">
        <v>1295</v>
      </c>
      <c r="G574" s="32" t="n">
        <v>100</v>
      </c>
      <c r="H574" s="33" t="n">
        <v>2</v>
      </c>
      <c r="I574" s="34" t="n">
        <f aca="false">E574*H574+N(F574)+N(G574)</f>
        <v>12315</v>
      </c>
      <c r="J574" s="32" t="n">
        <f aca="false">ROUND(IFERROR(ROUND(IF(OR(ISNUMBER(SEARCH("week",C574)),ISNUMBER(SEARCH("minggu",C574))),IFERROR(_xlfn.NUMBERVALUE(SUBSTITUTE(LEFT(TRIM(C574),FIND(" ",TRIM(C574)&amp;" ")-1),",","."),"."),LEFT(SUBSTITUTE(LEFT(TRIM(C574),FIND(" ",TRIM(C574)&amp;" ")-1),",","."),FIND("/",SUBSTITUTE(LEFT(TRIM(C574),FIND(" ",TRIM(C574)&amp;" ")-1),",","."))-1)/MID(SUBSTITUTE(LEFT(TRIM(C574),FIND(" ",TRIM(C574)&amp;" ")-1),",","."),FIND("/",SUBSTITUTE(LEFT(TRIM(C574),FIND(" ",TRIM(C574)&amp;" ")-1),",","."))+1,9))*12/52,IF(ISNUMBER(SEARCH("month",C574)),IFERROR(_xlfn.NUMBERVALUE(SUBSTITUTE(LEFT(TRIM(C574),FIND(" ",TRIM(C574)&amp;" ")-1),",","."),"."),LEFT(SUBSTITUTE(LEFT(TRIM(C574),FIND(" ",TRIM(C574)&amp;" ")-1),",","."),FIND("/",SUBSTITUTE(LEFT(TRIM(C574),FIND(" ",TRIM(C574)&amp;" ")-1),",","."))-1)/MID(SUBSTITUTE(LEFT(TRIM(C574),FIND(" ",TRIM(C574)&amp;" ")-1),",","."),FIND("/",SUBSTITUTE(LEFT(TRIM(C574),FIND(" ",TRIM(C574)&amp;" ")-1),",","."))+1,9)),IF(ISNUMBER(SEARCH("yea",C574)),IFERROR(_xlfn.NUMBERVALUE(SUBSTITUTE(LEFT(TRIM(C574),FIND(" ",TRIM(C574)&amp;" ")-1),",","."),"."),LEFT(SUBSTITUTE(LEFT(TRIM(C574),FIND(" ",TRIM(C574)&amp;" ")-1),",","."),FIND("/",SUBSTITUTE(LEFT(TRIM(C574),FIND(" ",TRIM(C574)&amp;" ")-1),",","."))-1)/MID(SUBSTITUTE(LEFT(TRIM(C574),FIND(" ",TRIM(C574)&amp;" ")-1),",","."),FIND("/",SUBSTITUTE(LEFT(TRIM(C574),FIND(" ",TRIM(C574)&amp;" ")-1),",","."))+1,9))*12,NA()))),0),12)*'Aturan &amp; Tarif'!$B$4,2)</f>
        <v>681.36</v>
      </c>
      <c r="K574" s="32" t="n">
        <f aca="false">'Aturan &amp; Tarif'!$B$5</f>
        <v>2050</v>
      </c>
      <c r="L574" s="32" t="n">
        <f aca="false">'Aturan &amp; Tarif'!$B$6</f>
        <v>350</v>
      </c>
      <c r="M574" s="35" t="n">
        <f aca="false">I574+J574+K574+L574</f>
        <v>15396.36</v>
      </c>
      <c r="N574" s="37" t="s">
        <v>2971</v>
      </c>
    </row>
    <row r="575" customFormat="false" ht="25.5" hidden="false" customHeight="true" outlineLevel="0" collapsed="false">
      <c r="A575" s="29"/>
      <c r="B575" s="30" t="s">
        <v>2995</v>
      </c>
      <c r="C575" s="31" t="s">
        <v>130</v>
      </c>
      <c r="D575" s="31" t="s">
        <v>108</v>
      </c>
      <c r="E575" s="32" t="n">
        <v>4610</v>
      </c>
      <c r="F575" s="32" t="n">
        <v>950</v>
      </c>
      <c r="G575" s="32" t="n">
        <v>100</v>
      </c>
      <c r="H575" s="33" t="n">
        <v>2</v>
      </c>
      <c r="I575" s="34" t="n">
        <f aca="false">E575*H575+N(F575)+N(G575)</f>
        <v>10270</v>
      </c>
      <c r="J575" s="32" t="n">
        <f aca="false">ROUND(IFERROR(ROUND(IF(OR(ISNUMBER(SEARCH("week",C575)),ISNUMBER(SEARCH("minggu",C575))),IFERROR(_xlfn.NUMBERVALUE(SUBSTITUTE(LEFT(TRIM(C575),FIND(" ",TRIM(C575)&amp;" ")-1),",","."),"."),LEFT(SUBSTITUTE(LEFT(TRIM(C575),FIND(" ",TRIM(C575)&amp;" ")-1),",","."),FIND("/",SUBSTITUTE(LEFT(TRIM(C575),FIND(" ",TRIM(C575)&amp;" ")-1),",","."))-1)/MID(SUBSTITUTE(LEFT(TRIM(C575),FIND(" ",TRIM(C575)&amp;" ")-1),",","."),FIND("/",SUBSTITUTE(LEFT(TRIM(C575),FIND(" ",TRIM(C575)&amp;" ")-1),",","."))+1,9))*12/52,IF(ISNUMBER(SEARCH("month",C575)),IFERROR(_xlfn.NUMBERVALUE(SUBSTITUTE(LEFT(TRIM(C575),FIND(" ",TRIM(C575)&amp;" ")-1),",","."),"."),LEFT(SUBSTITUTE(LEFT(TRIM(C575),FIND(" ",TRIM(C575)&amp;" ")-1),",","."),FIND("/",SUBSTITUTE(LEFT(TRIM(C575),FIND(" ",TRIM(C575)&amp;" ")-1),",","."))-1)/MID(SUBSTITUTE(LEFT(TRIM(C575),FIND(" ",TRIM(C575)&amp;" ")-1),",","."),FIND("/",SUBSTITUTE(LEFT(TRIM(C575),FIND(" ",TRIM(C575)&amp;" ")-1),",","."))+1,9)),IF(ISNUMBER(SEARCH("yea",C575)),IFERROR(_xlfn.NUMBERVALUE(SUBSTITUTE(LEFT(TRIM(C575),FIND(" ",TRIM(C575)&amp;" ")-1),",","."),"."),LEFT(SUBSTITUTE(LEFT(TRIM(C575),FIND(" ",TRIM(C575)&amp;" ")-1),",","."),FIND("/",SUBSTITUTE(LEFT(TRIM(C575),FIND(" ",TRIM(C575)&amp;" ")-1),",","."))-1)/MID(SUBSTITUTE(LEFT(TRIM(C575),FIND(" ",TRIM(C575)&amp;" ")-1),",","."),FIND("/",SUBSTITUTE(LEFT(TRIM(C575),FIND(" ",TRIM(C575)&amp;" ")-1),",","."))+1,9))*12,NA()))),0),12)*'Aturan &amp; Tarif'!$B$4,2)</f>
        <v>681.36</v>
      </c>
      <c r="K575" s="32" t="n">
        <f aca="false">'Aturan &amp; Tarif'!$B$5</f>
        <v>2050</v>
      </c>
      <c r="L575" s="32" t="n">
        <f aca="false">'Aturan &amp; Tarif'!$B$6</f>
        <v>350</v>
      </c>
      <c r="M575" s="35" t="n">
        <f aca="false">I575+J575+K575+L575</f>
        <v>13351.36</v>
      </c>
      <c r="N575" s="37" t="s">
        <v>2971</v>
      </c>
    </row>
    <row r="576" customFormat="false" ht="14.25" hidden="false" customHeight="true" outlineLevel="0" collapsed="false">
      <c r="A576" s="29"/>
      <c r="B576" s="30" t="s">
        <v>2996</v>
      </c>
      <c r="C576" s="31" t="s">
        <v>130</v>
      </c>
      <c r="D576" s="31" t="s">
        <v>108</v>
      </c>
      <c r="E576" s="32" t="n">
        <v>4475</v>
      </c>
      <c r="F576" s="32" t="n">
        <v>750</v>
      </c>
      <c r="G576" s="32" t="n">
        <v>600</v>
      </c>
      <c r="H576" s="33" t="n">
        <v>2</v>
      </c>
      <c r="I576" s="34" t="n">
        <f aca="false">E576*H576+N(F576)+N(G576)</f>
        <v>10300</v>
      </c>
      <c r="J576" s="32" t="n">
        <f aca="false">ROUND(IFERROR(ROUND(IF(OR(ISNUMBER(SEARCH("week",C576)),ISNUMBER(SEARCH("minggu",C576))),IFERROR(_xlfn.NUMBERVALUE(SUBSTITUTE(LEFT(TRIM(C576),FIND(" ",TRIM(C576)&amp;" ")-1),",","."),"."),LEFT(SUBSTITUTE(LEFT(TRIM(C576),FIND(" ",TRIM(C576)&amp;" ")-1),",","."),FIND("/",SUBSTITUTE(LEFT(TRIM(C576),FIND(" ",TRIM(C576)&amp;" ")-1),",","."))-1)/MID(SUBSTITUTE(LEFT(TRIM(C576),FIND(" ",TRIM(C576)&amp;" ")-1),",","."),FIND("/",SUBSTITUTE(LEFT(TRIM(C576),FIND(" ",TRIM(C576)&amp;" ")-1),",","."))+1,9))*12/52,IF(ISNUMBER(SEARCH("month",C576)),IFERROR(_xlfn.NUMBERVALUE(SUBSTITUTE(LEFT(TRIM(C576),FIND(" ",TRIM(C576)&amp;" ")-1),",","."),"."),LEFT(SUBSTITUTE(LEFT(TRIM(C576),FIND(" ",TRIM(C576)&amp;" ")-1),",","."),FIND("/",SUBSTITUTE(LEFT(TRIM(C576),FIND(" ",TRIM(C576)&amp;" ")-1),",","."))-1)/MID(SUBSTITUTE(LEFT(TRIM(C576),FIND(" ",TRIM(C576)&amp;" ")-1),",","."),FIND("/",SUBSTITUTE(LEFT(TRIM(C576),FIND(" ",TRIM(C576)&amp;" ")-1),",","."))+1,9)),IF(ISNUMBER(SEARCH("yea",C576)),IFERROR(_xlfn.NUMBERVALUE(SUBSTITUTE(LEFT(TRIM(C576),FIND(" ",TRIM(C576)&amp;" ")-1),",","."),"."),LEFT(SUBSTITUTE(LEFT(TRIM(C576),FIND(" ",TRIM(C576)&amp;" ")-1),",","."),FIND("/",SUBSTITUTE(LEFT(TRIM(C576),FIND(" ",TRIM(C576)&amp;" ")-1),",","."))-1)/MID(SUBSTITUTE(LEFT(TRIM(C576),FIND(" ",TRIM(C576)&amp;" ")-1),",","."),FIND("/",SUBSTITUTE(LEFT(TRIM(C576),FIND(" ",TRIM(C576)&amp;" ")-1),",","."))+1,9))*12,NA()))),0),12)*'Aturan &amp; Tarif'!$B$4,2)</f>
        <v>681.36</v>
      </c>
      <c r="K576" s="32" t="n">
        <f aca="false">'Aturan &amp; Tarif'!$B$5</f>
        <v>2050</v>
      </c>
      <c r="L576" s="32" t="n">
        <f aca="false">'Aturan &amp; Tarif'!$B$6</f>
        <v>350</v>
      </c>
      <c r="M576" s="35" t="n">
        <f aca="false">I576+J576+K576+L576</f>
        <v>13381.36</v>
      </c>
      <c r="N576" s="37" t="s">
        <v>2971</v>
      </c>
    </row>
    <row r="577" customFormat="false" ht="60" hidden="false" customHeight="true" outlineLevel="0" collapsed="false">
      <c r="A577" s="29"/>
      <c r="B577" s="30" t="s">
        <v>2997</v>
      </c>
      <c r="C577" s="31" t="s">
        <v>130</v>
      </c>
      <c r="D577" s="31" t="s">
        <v>108</v>
      </c>
      <c r="E577" s="32" t="n">
        <v>4475</v>
      </c>
      <c r="F577" s="32" t="n">
        <v>750</v>
      </c>
      <c r="G577" s="32" t="n">
        <v>100</v>
      </c>
      <c r="H577" s="33" t="n">
        <v>2</v>
      </c>
      <c r="I577" s="34" t="n">
        <f aca="false">E577*H577+N(F577)+N(G577)</f>
        <v>9800</v>
      </c>
      <c r="J577" s="32" t="n">
        <f aca="false">ROUND(IFERROR(ROUND(IF(OR(ISNUMBER(SEARCH("week",C577)),ISNUMBER(SEARCH("minggu",C577))),IFERROR(_xlfn.NUMBERVALUE(SUBSTITUTE(LEFT(TRIM(C577),FIND(" ",TRIM(C577)&amp;" ")-1),",","."),"."),LEFT(SUBSTITUTE(LEFT(TRIM(C577),FIND(" ",TRIM(C577)&amp;" ")-1),",","."),FIND("/",SUBSTITUTE(LEFT(TRIM(C577),FIND(" ",TRIM(C577)&amp;" ")-1),",","."))-1)/MID(SUBSTITUTE(LEFT(TRIM(C577),FIND(" ",TRIM(C577)&amp;" ")-1),",","."),FIND("/",SUBSTITUTE(LEFT(TRIM(C577),FIND(" ",TRIM(C577)&amp;" ")-1),",","."))+1,9))*12/52,IF(ISNUMBER(SEARCH("month",C577)),IFERROR(_xlfn.NUMBERVALUE(SUBSTITUTE(LEFT(TRIM(C577),FIND(" ",TRIM(C577)&amp;" ")-1),",","."),"."),LEFT(SUBSTITUTE(LEFT(TRIM(C577),FIND(" ",TRIM(C577)&amp;" ")-1),",","."),FIND("/",SUBSTITUTE(LEFT(TRIM(C577),FIND(" ",TRIM(C577)&amp;" ")-1),",","."))-1)/MID(SUBSTITUTE(LEFT(TRIM(C577),FIND(" ",TRIM(C577)&amp;" ")-1),",","."),FIND("/",SUBSTITUTE(LEFT(TRIM(C577),FIND(" ",TRIM(C577)&amp;" ")-1),",","."))+1,9)),IF(ISNUMBER(SEARCH("yea",C577)),IFERROR(_xlfn.NUMBERVALUE(SUBSTITUTE(LEFT(TRIM(C577),FIND(" ",TRIM(C577)&amp;" ")-1),",","."),"."),LEFT(SUBSTITUTE(LEFT(TRIM(C577),FIND(" ",TRIM(C577)&amp;" ")-1),",","."),FIND("/",SUBSTITUTE(LEFT(TRIM(C577),FIND(" ",TRIM(C577)&amp;" ")-1),",","."))-1)/MID(SUBSTITUTE(LEFT(TRIM(C577),FIND(" ",TRIM(C577)&amp;" ")-1),",","."),FIND("/",SUBSTITUTE(LEFT(TRIM(C577),FIND(" ",TRIM(C577)&amp;" ")-1),",","."))+1,9))*12,NA()))),0),12)*'Aturan &amp; Tarif'!$B$4,2)</f>
        <v>681.36</v>
      </c>
      <c r="K577" s="32" t="n">
        <f aca="false">'Aturan &amp; Tarif'!$B$5</f>
        <v>2050</v>
      </c>
      <c r="L577" s="32" t="n">
        <f aca="false">'Aturan &amp; Tarif'!$B$6</f>
        <v>350</v>
      </c>
      <c r="M577" s="35" t="n">
        <f aca="false">I577+J577+K577+L577</f>
        <v>12881.36</v>
      </c>
      <c r="N577" s="37" t="s">
        <v>2971</v>
      </c>
    </row>
    <row r="578" customFormat="false" ht="60" hidden="false" customHeight="true" outlineLevel="0" collapsed="false">
      <c r="A578" s="29"/>
      <c r="B578" s="30" t="s">
        <v>2998</v>
      </c>
      <c r="C578" s="31" t="s">
        <v>127</v>
      </c>
      <c r="D578" s="31" t="s">
        <v>108</v>
      </c>
      <c r="E578" s="32" t="n">
        <v>5720</v>
      </c>
      <c r="F578" s="32" t="n">
        <v>750</v>
      </c>
      <c r="G578" s="32" t="n">
        <v>1100</v>
      </c>
      <c r="H578" s="33" t="n">
        <v>2</v>
      </c>
      <c r="I578" s="34" t="n">
        <f aca="false">E578*H578+N(F578)+N(G578)</f>
        <v>13290</v>
      </c>
      <c r="J578" s="32" t="n">
        <f aca="false">ROUND(IFERROR(ROUND(IF(OR(ISNUMBER(SEARCH("week",C578)),ISNUMBER(SEARCH("minggu",C578))),IFERROR(_xlfn.NUMBERVALUE(SUBSTITUTE(LEFT(TRIM(C578),FIND(" ",TRIM(C578)&amp;" ")-1),",","."),"."),LEFT(SUBSTITUTE(LEFT(TRIM(C578),FIND(" ",TRIM(C578)&amp;" ")-1),",","."),FIND("/",SUBSTITUTE(LEFT(TRIM(C578),FIND(" ",TRIM(C578)&amp;" ")-1),",","."))-1)/MID(SUBSTITUTE(LEFT(TRIM(C578),FIND(" ",TRIM(C578)&amp;" ")-1),",","."),FIND("/",SUBSTITUTE(LEFT(TRIM(C578),FIND(" ",TRIM(C578)&amp;" ")-1),",","."))+1,9))*12/52,IF(ISNUMBER(SEARCH("month",C578)),IFERROR(_xlfn.NUMBERVALUE(SUBSTITUTE(LEFT(TRIM(C578),FIND(" ",TRIM(C578)&amp;" ")-1),",","."),"."),LEFT(SUBSTITUTE(LEFT(TRIM(C578),FIND(" ",TRIM(C578)&amp;" ")-1),",","."),FIND("/",SUBSTITUTE(LEFT(TRIM(C578),FIND(" ",TRIM(C578)&amp;" ")-1),",","."))-1)/MID(SUBSTITUTE(LEFT(TRIM(C578),FIND(" ",TRIM(C578)&amp;" ")-1),",","."),FIND("/",SUBSTITUTE(LEFT(TRIM(C578),FIND(" ",TRIM(C578)&amp;" ")-1),",","."))+1,9)),IF(ISNUMBER(SEARCH("yea",C578)),IFERROR(_xlfn.NUMBERVALUE(SUBSTITUTE(LEFT(TRIM(C578),FIND(" ",TRIM(C578)&amp;" ")-1),",","."),"."),LEFT(SUBSTITUTE(LEFT(TRIM(C578),FIND(" ",TRIM(C578)&amp;" ")-1),",","."),FIND("/",SUBSTITUTE(LEFT(TRIM(C578),FIND(" ",TRIM(C578)&amp;" ")-1),",","."))-1)/MID(SUBSTITUTE(LEFT(TRIM(C578),FIND(" ",TRIM(C578)&amp;" ")-1),",","."),FIND("/",SUBSTITUTE(LEFT(TRIM(C578),FIND(" ",TRIM(C578)&amp;" ")-1),",","."))+1,9))*12,NA()))),0),36)*'Aturan &amp; Tarif'!$B$4,2)</f>
        <v>2044.08</v>
      </c>
      <c r="K578" s="32" t="n">
        <f aca="false">'Aturan &amp; Tarif'!$B$5</f>
        <v>2050</v>
      </c>
      <c r="L578" s="32" t="n">
        <f aca="false">'Aturan &amp; Tarif'!$B$6</f>
        <v>350</v>
      </c>
      <c r="M578" s="35" t="n">
        <f aca="false">I578+J578+K578+L578</f>
        <v>17734.08</v>
      </c>
      <c r="N578" s="36" t="s">
        <v>2999</v>
      </c>
    </row>
    <row r="579" customFormat="false" ht="60" hidden="false" customHeight="true" outlineLevel="0" collapsed="false">
      <c r="A579" s="29"/>
      <c r="B579" s="30" t="s">
        <v>3000</v>
      </c>
      <c r="C579" s="31" t="s">
        <v>191</v>
      </c>
      <c r="D579" s="31" t="s">
        <v>108</v>
      </c>
      <c r="E579" s="32" t="n">
        <v>5720</v>
      </c>
      <c r="F579" s="32" t="n">
        <v>750</v>
      </c>
      <c r="G579" s="32" t="n">
        <v>1100</v>
      </c>
      <c r="H579" s="33" t="n">
        <v>2</v>
      </c>
      <c r="I579" s="34" t="n">
        <f aca="false">E579*H579+N(F579)+N(G579)</f>
        <v>13290</v>
      </c>
      <c r="J579" s="32" t="n">
        <f aca="false">ROUND(IFERROR(ROUND(IF(OR(ISNUMBER(SEARCH("week",C579)),ISNUMBER(SEARCH("minggu",C579))),IFERROR(_xlfn.NUMBERVALUE(SUBSTITUTE(LEFT(TRIM(C579),FIND(" ",TRIM(C579)&amp;" ")-1),",","."),"."),LEFT(SUBSTITUTE(LEFT(TRIM(C579),FIND(" ",TRIM(C579)&amp;" ")-1),",","."),FIND("/",SUBSTITUTE(LEFT(TRIM(C579),FIND(" ",TRIM(C579)&amp;" ")-1),",","."))-1)/MID(SUBSTITUTE(LEFT(TRIM(C579),FIND(" ",TRIM(C579)&amp;" ")-1),",","."),FIND("/",SUBSTITUTE(LEFT(TRIM(C579),FIND(" ",TRIM(C579)&amp;" ")-1),",","."))+1,9))*12/52,IF(ISNUMBER(SEARCH("month",C579)),IFERROR(_xlfn.NUMBERVALUE(SUBSTITUTE(LEFT(TRIM(C579),FIND(" ",TRIM(C579)&amp;" ")-1),",","."),"."),LEFT(SUBSTITUTE(LEFT(TRIM(C579),FIND(" ",TRIM(C579)&amp;" ")-1),",","."),FIND("/",SUBSTITUTE(LEFT(TRIM(C579),FIND(" ",TRIM(C579)&amp;" ")-1),",","."))-1)/MID(SUBSTITUTE(LEFT(TRIM(C579),FIND(" ",TRIM(C579)&amp;" ")-1),",","."),FIND("/",SUBSTITUTE(LEFT(TRIM(C579),FIND(" ",TRIM(C579)&amp;" ")-1),",","."))+1,9)),IF(ISNUMBER(SEARCH("yea",C579)),IFERROR(_xlfn.NUMBERVALUE(SUBSTITUTE(LEFT(TRIM(C579),FIND(" ",TRIM(C579)&amp;" ")-1),",","."),"."),LEFT(SUBSTITUTE(LEFT(TRIM(C579),FIND(" ",TRIM(C579)&amp;" ")-1),",","."),FIND("/",SUBSTITUTE(LEFT(TRIM(C579),FIND(" ",TRIM(C579)&amp;" ")-1),",","."))-1)/MID(SUBSTITUTE(LEFT(TRIM(C579),FIND(" ",TRIM(C579)&amp;" ")-1),",","."),FIND("/",SUBSTITUTE(LEFT(TRIM(C579),FIND(" ",TRIM(C579)&amp;" ")-1),",","."))+1,9))*12,NA()))),0),48)*'Aturan &amp; Tarif'!$B$4,2)</f>
        <v>2725.44</v>
      </c>
      <c r="K579" s="32" t="n">
        <f aca="false">'Aturan &amp; Tarif'!$B$5</f>
        <v>2050</v>
      </c>
      <c r="L579" s="32" t="n">
        <f aca="false">'Aturan &amp; Tarif'!$B$6</f>
        <v>350</v>
      </c>
      <c r="M579" s="35" t="n">
        <f aca="false">I579+J579+K579+L579</f>
        <v>18415.44</v>
      </c>
      <c r="N579" s="36" t="s">
        <v>3001</v>
      </c>
    </row>
    <row r="580" customFormat="false" ht="60" hidden="false" customHeight="true" outlineLevel="0" collapsed="false">
      <c r="A580" s="29"/>
      <c r="B580" s="30" t="s">
        <v>3002</v>
      </c>
      <c r="C580" s="31" t="s">
        <v>113</v>
      </c>
      <c r="D580" s="31" t="s">
        <v>108</v>
      </c>
      <c r="E580" s="32" t="n">
        <v>4475</v>
      </c>
      <c r="F580" s="32" t="n">
        <v>750</v>
      </c>
      <c r="G580" s="32" t="n">
        <v>600</v>
      </c>
      <c r="H580" s="33" t="n">
        <v>2</v>
      </c>
      <c r="I580" s="34" t="n">
        <f aca="false">E580*H580+N(F580)+N(G580)</f>
        <v>10300</v>
      </c>
      <c r="J580" s="32" t="n">
        <f aca="false">ROUND(IFERROR(ROUND(IF(OR(ISNUMBER(SEARCH("week",C580)),ISNUMBER(SEARCH("minggu",C580))),IFERROR(_xlfn.NUMBERVALUE(SUBSTITUTE(LEFT(TRIM(C580),FIND(" ",TRIM(C580)&amp;" ")-1),",","."),"."),LEFT(SUBSTITUTE(LEFT(TRIM(C580),FIND(" ",TRIM(C580)&amp;" ")-1),",","."),FIND("/",SUBSTITUTE(LEFT(TRIM(C580),FIND(" ",TRIM(C580)&amp;" ")-1),",","."))-1)/MID(SUBSTITUTE(LEFT(TRIM(C580),FIND(" ",TRIM(C580)&amp;" ")-1),",","."),FIND("/",SUBSTITUTE(LEFT(TRIM(C580),FIND(" ",TRIM(C580)&amp;" ")-1),",","."))+1,9))*12/52,IF(ISNUMBER(SEARCH("month",C580)),IFERROR(_xlfn.NUMBERVALUE(SUBSTITUTE(LEFT(TRIM(C580),FIND(" ",TRIM(C580)&amp;" ")-1),",","."),"."),LEFT(SUBSTITUTE(LEFT(TRIM(C580),FIND(" ",TRIM(C580)&amp;" ")-1),",","."),FIND("/",SUBSTITUTE(LEFT(TRIM(C580),FIND(" ",TRIM(C580)&amp;" ")-1),",","."))-1)/MID(SUBSTITUTE(LEFT(TRIM(C580),FIND(" ",TRIM(C580)&amp;" ")-1),",","."),FIND("/",SUBSTITUTE(LEFT(TRIM(C580),FIND(" ",TRIM(C580)&amp;" ")-1),",","."))+1,9)),IF(ISNUMBER(SEARCH("yea",C580)),IFERROR(_xlfn.NUMBERVALUE(SUBSTITUTE(LEFT(TRIM(C580),FIND(" ",TRIM(C580)&amp;" ")-1),",","."),"."),LEFT(SUBSTITUTE(LEFT(TRIM(C580),FIND(" ",TRIM(C580)&amp;" ")-1),",","."),FIND("/",SUBSTITUTE(LEFT(TRIM(C580),FIND(" ",TRIM(C580)&amp;" ")-1),",","."))-1)/MID(SUBSTITUTE(LEFT(TRIM(C580),FIND(" ",TRIM(C580)&amp;" ")-1),",","."),FIND("/",SUBSTITUTE(LEFT(TRIM(C580),FIND(" ",TRIM(C580)&amp;" ")-1),",","."))+1,9))*12,NA()))),0),18)*'Aturan &amp; Tarif'!$B$4,2)</f>
        <v>1022.04</v>
      </c>
      <c r="K580" s="32" t="n">
        <f aca="false">'Aturan &amp; Tarif'!$B$5</f>
        <v>2050</v>
      </c>
      <c r="L580" s="32" t="n">
        <f aca="false">'Aturan &amp; Tarif'!$B$6</f>
        <v>350</v>
      </c>
      <c r="M580" s="35" t="n">
        <f aca="false">I580+J580+K580+L580</f>
        <v>13722.04</v>
      </c>
      <c r="N580" s="36" t="s">
        <v>3003</v>
      </c>
    </row>
    <row r="581" customFormat="false" ht="14.25" hidden="false" customHeight="true" outlineLevel="0" collapsed="false">
      <c r="A581" s="29"/>
      <c r="B581" s="30" t="s">
        <v>3004</v>
      </c>
      <c r="C581" s="31" t="s">
        <v>113</v>
      </c>
      <c r="D581" s="31" t="s">
        <v>108</v>
      </c>
      <c r="E581" s="32" t="n">
        <v>4610</v>
      </c>
      <c r="F581" s="32" t="n">
        <v>750</v>
      </c>
      <c r="G581" s="32" t="n">
        <v>600</v>
      </c>
      <c r="H581" s="33" t="n">
        <v>2</v>
      </c>
      <c r="I581" s="34" t="n">
        <f aca="false">E581*H581+N(F581)+N(G581)</f>
        <v>10570</v>
      </c>
      <c r="J581" s="32" t="n">
        <f aca="false">ROUND(IFERROR(ROUND(IF(OR(ISNUMBER(SEARCH("week",C581)),ISNUMBER(SEARCH("minggu",C581))),IFERROR(_xlfn.NUMBERVALUE(SUBSTITUTE(LEFT(TRIM(C581),FIND(" ",TRIM(C581)&amp;" ")-1),",","."),"."),LEFT(SUBSTITUTE(LEFT(TRIM(C581),FIND(" ",TRIM(C581)&amp;" ")-1),",","."),FIND("/",SUBSTITUTE(LEFT(TRIM(C581),FIND(" ",TRIM(C581)&amp;" ")-1),",","."))-1)/MID(SUBSTITUTE(LEFT(TRIM(C581),FIND(" ",TRIM(C581)&amp;" ")-1),",","."),FIND("/",SUBSTITUTE(LEFT(TRIM(C581),FIND(" ",TRIM(C581)&amp;" ")-1),",","."))+1,9))*12/52,IF(ISNUMBER(SEARCH("month",C581)),IFERROR(_xlfn.NUMBERVALUE(SUBSTITUTE(LEFT(TRIM(C581),FIND(" ",TRIM(C581)&amp;" ")-1),",","."),"."),LEFT(SUBSTITUTE(LEFT(TRIM(C581),FIND(" ",TRIM(C581)&amp;" ")-1),",","."),FIND("/",SUBSTITUTE(LEFT(TRIM(C581),FIND(" ",TRIM(C581)&amp;" ")-1),",","."))-1)/MID(SUBSTITUTE(LEFT(TRIM(C581),FIND(" ",TRIM(C581)&amp;" ")-1),",","."),FIND("/",SUBSTITUTE(LEFT(TRIM(C581),FIND(" ",TRIM(C581)&amp;" ")-1),",","."))+1,9)),IF(ISNUMBER(SEARCH("yea",C581)),IFERROR(_xlfn.NUMBERVALUE(SUBSTITUTE(LEFT(TRIM(C581),FIND(" ",TRIM(C581)&amp;" ")-1),",","."),"."),LEFT(SUBSTITUTE(LEFT(TRIM(C581),FIND(" ",TRIM(C581)&amp;" ")-1),",","."),FIND("/",SUBSTITUTE(LEFT(TRIM(C581),FIND(" ",TRIM(C581)&amp;" ")-1),",","."))-1)/MID(SUBSTITUTE(LEFT(TRIM(C581),FIND(" ",TRIM(C581)&amp;" ")-1),",","."),FIND("/",SUBSTITUTE(LEFT(TRIM(C581),FIND(" ",TRIM(C581)&amp;" ")-1),",","."))+1,9))*12,NA()))),0),18)*'Aturan &amp; Tarif'!$B$4,2)</f>
        <v>1022.04</v>
      </c>
      <c r="K581" s="32" t="n">
        <f aca="false">'Aturan &amp; Tarif'!$B$5</f>
        <v>2050</v>
      </c>
      <c r="L581" s="32" t="n">
        <f aca="false">'Aturan &amp; Tarif'!$B$6</f>
        <v>350</v>
      </c>
      <c r="M581" s="35" t="n">
        <f aca="false">I581+J581+K581+L581</f>
        <v>13992.04</v>
      </c>
      <c r="N581" s="36" t="s">
        <v>3005</v>
      </c>
    </row>
    <row r="582" customFormat="false" ht="25.5" hidden="false" customHeight="true" outlineLevel="0" collapsed="false">
      <c r="A582" s="29"/>
      <c r="B582" s="30" t="s">
        <v>3006</v>
      </c>
      <c r="C582" s="31" t="s">
        <v>113</v>
      </c>
      <c r="D582" s="31" t="s">
        <v>108</v>
      </c>
      <c r="E582" s="32" t="n">
        <v>4610</v>
      </c>
      <c r="F582" s="32" t="n">
        <v>876</v>
      </c>
      <c r="G582" s="32" t="n">
        <v>500</v>
      </c>
      <c r="H582" s="33" t="n">
        <v>2</v>
      </c>
      <c r="I582" s="34" t="n">
        <f aca="false">E582*H582+N(F582)+N(G582)</f>
        <v>10596</v>
      </c>
      <c r="J582" s="32" t="n">
        <f aca="false">ROUND(IFERROR(ROUND(IF(OR(ISNUMBER(SEARCH("week",C582)),ISNUMBER(SEARCH("minggu",C582))),IFERROR(_xlfn.NUMBERVALUE(SUBSTITUTE(LEFT(TRIM(C582),FIND(" ",TRIM(C582)&amp;" ")-1),",","."),"."),LEFT(SUBSTITUTE(LEFT(TRIM(C582),FIND(" ",TRIM(C582)&amp;" ")-1),",","."),FIND("/",SUBSTITUTE(LEFT(TRIM(C582),FIND(" ",TRIM(C582)&amp;" ")-1),",","."))-1)/MID(SUBSTITUTE(LEFT(TRIM(C582),FIND(" ",TRIM(C582)&amp;" ")-1),",","."),FIND("/",SUBSTITUTE(LEFT(TRIM(C582),FIND(" ",TRIM(C582)&amp;" ")-1),",","."))+1,9))*12/52,IF(ISNUMBER(SEARCH("month",C582)),IFERROR(_xlfn.NUMBERVALUE(SUBSTITUTE(LEFT(TRIM(C582),FIND(" ",TRIM(C582)&amp;" ")-1),",","."),"."),LEFT(SUBSTITUTE(LEFT(TRIM(C582),FIND(" ",TRIM(C582)&amp;" ")-1),",","."),FIND("/",SUBSTITUTE(LEFT(TRIM(C582),FIND(" ",TRIM(C582)&amp;" ")-1),",","."))-1)/MID(SUBSTITUTE(LEFT(TRIM(C582),FIND(" ",TRIM(C582)&amp;" ")-1),",","."),FIND("/",SUBSTITUTE(LEFT(TRIM(C582),FIND(" ",TRIM(C582)&amp;" ")-1),",","."))+1,9)),IF(ISNUMBER(SEARCH("yea",C582)),IFERROR(_xlfn.NUMBERVALUE(SUBSTITUTE(LEFT(TRIM(C582),FIND(" ",TRIM(C582)&amp;" ")-1),",","."),"."),LEFT(SUBSTITUTE(LEFT(TRIM(C582),FIND(" ",TRIM(C582)&amp;" ")-1),",","."),FIND("/",SUBSTITUTE(LEFT(TRIM(C582),FIND(" ",TRIM(C582)&amp;" ")-1),",","."))-1)/MID(SUBSTITUTE(LEFT(TRIM(C582),FIND(" ",TRIM(C582)&amp;" ")-1),",","."),FIND("/",SUBSTITUTE(LEFT(TRIM(C582),FIND(" ",TRIM(C582)&amp;" ")-1),",","."))+1,9))*12,NA()))),0),18)*'Aturan &amp; Tarif'!$B$4,2)</f>
        <v>1022.04</v>
      </c>
      <c r="K582" s="32" t="n">
        <f aca="false">'Aturan &amp; Tarif'!$B$5</f>
        <v>2050</v>
      </c>
      <c r="L582" s="32" t="n">
        <f aca="false">'Aturan &amp; Tarif'!$B$6</f>
        <v>350</v>
      </c>
      <c r="M582" s="35" t="n">
        <f aca="false">I582+J582+K582+L582</f>
        <v>14018.04</v>
      </c>
      <c r="N582" s="37" t="s">
        <v>2971</v>
      </c>
    </row>
    <row r="583" customFormat="false" ht="60" hidden="false" customHeight="true" outlineLevel="0" collapsed="false">
      <c r="A583" s="29"/>
      <c r="B583" s="30" t="s">
        <v>3007</v>
      </c>
      <c r="C583" s="31" t="s">
        <v>127</v>
      </c>
      <c r="D583" s="31" t="s">
        <v>108</v>
      </c>
      <c r="E583" s="32" t="n">
        <v>4610</v>
      </c>
      <c r="F583" s="32" t="n">
        <v>876</v>
      </c>
      <c r="G583" s="32" t="n">
        <v>500</v>
      </c>
      <c r="H583" s="33" t="n">
        <v>2</v>
      </c>
      <c r="I583" s="34" t="n">
        <f aca="false">E583*H583+N(F583)+N(G583)</f>
        <v>10596</v>
      </c>
      <c r="J583" s="32" t="n">
        <f aca="false">ROUND(IFERROR(ROUND(IF(OR(ISNUMBER(SEARCH("week",C583)),ISNUMBER(SEARCH("minggu",C583))),IFERROR(_xlfn.NUMBERVALUE(SUBSTITUTE(LEFT(TRIM(C583),FIND(" ",TRIM(C583)&amp;" ")-1),",","."),"."),LEFT(SUBSTITUTE(LEFT(TRIM(C583),FIND(" ",TRIM(C583)&amp;" ")-1),",","."),FIND("/",SUBSTITUTE(LEFT(TRIM(C583),FIND(" ",TRIM(C583)&amp;" ")-1),",","."))-1)/MID(SUBSTITUTE(LEFT(TRIM(C583),FIND(" ",TRIM(C583)&amp;" ")-1),",","."),FIND("/",SUBSTITUTE(LEFT(TRIM(C583),FIND(" ",TRIM(C583)&amp;" ")-1),",","."))+1,9))*12/52,IF(ISNUMBER(SEARCH("month",C583)),IFERROR(_xlfn.NUMBERVALUE(SUBSTITUTE(LEFT(TRIM(C583),FIND(" ",TRIM(C583)&amp;" ")-1),",","."),"."),LEFT(SUBSTITUTE(LEFT(TRIM(C583),FIND(" ",TRIM(C583)&amp;" ")-1),",","."),FIND("/",SUBSTITUTE(LEFT(TRIM(C583),FIND(" ",TRIM(C583)&amp;" ")-1),",","."))-1)/MID(SUBSTITUTE(LEFT(TRIM(C583),FIND(" ",TRIM(C583)&amp;" ")-1),",","."),FIND("/",SUBSTITUTE(LEFT(TRIM(C583),FIND(" ",TRIM(C583)&amp;" ")-1),",","."))+1,9)),IF(ISNUMBER(SEARCH("yea",C583)),IFERROR(_xlfn.NUMBERVALUE(SUBSTITUTE(LEFT(TRIM(C583),FIND(" ",TRIM(C583)&amp;" ")-1),",","."),"."),LEFT(SUBSTITUTE(LEFT(TRIM(C583),FIND(" ",TRIM(C583)&amp;" ")-1),",","."),FIND("/",SUBSTITUTE(LEFT(TRIM(C583),FIND(" ",TRIM(C583)&amp;" ")-1),",","."))-1)/MID(SUBSTITUTE(LEFT(TRIM(C583),FIND(" ",TRIM(C583)&amp;" ")-1),",","."),FIND("/",SUBSTITUTE(LEFT(TRIM(C583),FIND(" ",TRIM(C583)&amp;" ")-1),",","."))+1,9))*12,NA()))),0),36)*'Aturan &amp; Tarif'!$B$4,2)</f>
        <v>2044.08</v>
      </c>
      <c r="K583" s="32" t="n">
        <f aca="false">'Aturan &amp; Tarif'!$B$5</f>
        <v>2050</v>
      </c>
      <c r="L583" s="32" t="n">
        <f aca="false">'Aturan &amp; Tarif'!$B$6</f>
        <v>350</v>
      </c>
      <c r="M583" s="35" t="n">
        <f aca="false">I583+J583+K583+L583</f>
        <v>15040.08</v>
      </c>
      <c r="N583" s="37" t="s">
        <v>2971</v>
      </c>
    </row>
    <row r="584" customFormat="false" ht="14.25" hidden="false" customHeight="true" outlineLevel="0" collapsed="false">
      <c r="A584" s="29"/>
      <c r="B584" s="30" t="s">
        <v>3008</v>
      </c>
      <c r="C584" s="31" t="s">
        <v>495</v>
      </c>
      <c r="D584" s="31" t="s">
        <v>108</v>
      </c>
      <c r="E584" s="32" t="n">
        <v>5720</v>
      </c>
      <c r="F584" s="32" t="n">
        <v>876</v>
      </c>
      <c r="G584" s="32" t="n">
        <v>1000</v>
      </c>
      <c r="H584" s="33" t="n">
        <v>2</v>
      </c>
      <c r="I584" s="34" t="n">
        <f aca="false">E584*H584+N(F584)+N(G584)</f>
        <v>13316</v>
      </c>
      <c r="J584" s="32" t="n">
        <f aca="false">ROUND(IFERROR(ROUND(IF(OR(ISNUMBER(SEARCH("week",C584)),ISNUMBER(SEARCH("minggu",C584))),IFERROR(_xlfn.NUMBERVALUE(SUBSTITUTE(LEFT(TRIM(C584),FIND(" ",TRIM(C584)&amp;" ")-1),",","."),"."),LEFT(SUBSTITUTE(LEFT(TRIM(C584),FIND(" ",TRIM(C584)&amp;" ")-1),",","."),FIND("/",SUBSTITUTE(LEFT(TRIM(C584),FIND(" ",TRIM(C584)&amp;" ")-1),",","."))-1)/MID(SUBSTITUTE(LEFT(TRIM(C584),FIND(" ",TRIM(C584)&amp;" ")-1),",","."),FIND("/",SUBSTITUTE(LEFT(TRIM(C584),FIND(" ",TRIM(C584)&amp;" ")-1),",","."))+1,9))*12/52,IF(ISNUMBER(SEARCH("month",C584)),IFERROR(_xlfn.NUMBERVALUE(SUBSTITUTE(LEFT(TRIM(C584),FIND(" ",TRIM(C584)&amp;" ")-1),",","."),"."),LEFT(SUBSTITUTE(LEFT(TRIM(C584),FIND(" ",TRIM(C584)&amp;" ")-1),",","."),FIND("/",SUBSTITUTE(LEFT(TRIM(C584),FIND(" ",TRIM(C584)&amp;" ")-1),",","."))-1)/MID(SUBSTITUTE(LEFT(TRIM(C584),FIND(" ",TRIM(C584)&amp;" ")-1),",","."),FIND("/",SUBSTITUTE(LEFT(TRIM(C584),FIND(" ",TRIM(C584)&amp;" ")-1),",","."))+1,9)),IF(ISNUMBER(SEARCH("yea",C584)),IFERROR(_xlfn.NUMBERVALUE(SUBSTITUTE(LEFT(TRIM(C584),FIND(" ",TRIM(C584)&amp;" ")-1),",","."),"."),LEFT(SUBSTITUTE(LEFT(TRIM(C584),FIND(" ",TRIM(C584)&amp;" ")-1),",","."),FIND("/",SUBSTITUTE(LEFT(TRIM(C584),FIND(" ",TRIM(C584)&amp;" ")-1),",","."))-1)/MID(SUBSTITUTE(LEFT(TRIM(C584),FIND(" ",TRIM(C584)&amp;" ")-1),",","."),FIND("/",SUBSTITUTE(LEFT(TRIM(C584),FIND(" ",TRIM(C584)&amp;" ")-1),",","."))+1,9))*12,NA()))),0),54)*'Aturan &amp; Tarif'!$B$4,2)</f>
        <v>3066.12</v>
      </c>
      <c r="K584" s="32" t="n">
        <f aca="false">'Aturan &amp; Tarif'!$B$5</f>
        <v>2050</v>
      </c>
      <c r="L584" s="32" t="n">
        <f aca="false">'Aturan &amp; Tarif'!$B$6</f>
        <v>350</v>
      </c>
      <c r="M584" s="35" t="n">
        <f aca="false">I584+J584+K584+L584</f>
        <v>18782.12</v>
      </c>
      <c r="N584" s="36" t="s">
        <v>3009</v>
      </c>
    </row>
    <row r="585" customFormat="false" ht="60" hidden="false" customHeight="true" outlineLevel="0" collapsed="false">
      <c r="A585" s="29"/>
      <c r="B585" s="30" t="s">
        <v>3010</v>
      </c>
      <c r="C585" s="31" t="s">
        <v>130</v>
      </c>
      <c r="D585" s="31" t="s">
        <v>108</v>
      </c>
      <c r="E585" s="32" t="n">
        <v>4475</v>
      </c>
      <c r="F585" s="32" t="n">
        <v>805</v>
      </c>
      <c r="G585" s="32" t="n">
        <v>100</v>
      </c>
      <c r="H585" s="33" t="n">
        <v>2</v>
      </c>
      <c r="I585" s="34" t="n">
        <f aca="false">E585*H585+N(F585)+N(G585)</f>
        <v>9855</v>
      </c>
      <c r="J585" s="32" t="n">
        <f aca="false">ROUND(IFERROR(ROUND(IF(OR(ISNUMBER(SEARCH("week",C585)),ISNUMBER(SEARCH("minggu",C585))),IFERROR(_xlfn.NUMBERVALUE(SUBSTITUTE(LEFT(TRIM(C585),FIND(" ",TRIM(C585)&amp;" ")-1),",","."),"."),LEFT(SUBSTITUTE(LEFT(TRIM(C585),FIND(" ",TRIM(C585)&amp;" ")-1),",","."),FIND("/",SUBSTITUTE(LEFT(TRIM(C585),FIND(" ",TRIM(C585)&amp;" ")-1),",","."))-1)/MID(SUBSTITUTE(LEFT(TRIM(C585),FIND(" ",TRIM(C585)&amp;" ")-1),",","."),FIND("/",SUBSTITUTE(LEFT(TRIM(C585),FIND(" ",TRIM(C585)&amp;" ")-1),",","."))+1,9))*12/52,IF(ISNUMBER(SEARCH("month",C585)),IFERROR(_xlfn.NUMBERVALUE(SUBSTITUTE(LEFT(TRIM(C585),FIND(" ",TRIM(C585)&amp;" ")-1),",","."),"."),LEFT(SUBSTITUTE(LEFT(TRIM(C585),FIND(" ",TRIM(C585)&amp;" ")-1),",","."),FIND("/",SUBSTITUTE(LEFT(TRIM(C585),FIND(" ",TRIM(C585)&amp;" ")-1),",","."))-1)/MID(SUBSTITUTE(LEFT(TRIM(C585),FIND(" ",TRIM(C585)&amp;" ")-1),",","."),FIND("/",SUBSTITUTE(LEFT(TRIM(C585),FIND(" ",TRIM(C585)&amp;" ")-1),",","."))+1,9)),IF(ISNUMBER(SEARCH("yea",C585)),IFERROR(_xlfn.NUMBERVALUE(SUBSTITUTE(LEFT(TRIM(C585),FIND(" ",TRIM(C585)&amp;" ")-1),",","."),"."),LEFT(SUBSTITUTE(LEFT(TRIM(C585),FIND(" ",TRIM(C585)&amp;" ")-1),",","."),FIND("/",SUBSTITUTE(LEFT(TRIM(C585),FIND(" ",TRIM(C585)&amp;" ")-1),",","."))-1)/MID(SUBSTITUTE(LEFT(TRIM(C585),FIND(" ",TRIM(C585)&amp;" ")-1),",","."),FIND("/",SUBSTITUTE(LEFT(TRIM(C585),FIND(" ",TRIM(C585)&amp;" ")-1),",","."))+1,9))*12,NA()))),0),12)*'Aturan &amp; Tarif'!$B$4,2)</f>
        <v>681.36</v>
      </c>
      <c r="K585" s="32" t="n">
        <f aca="false">'Aturan &amp; Tarif'!$B$5</f>
        <v>2050</v>
      </c>
      <c r="L585" s="32" t="n">
        <f aca="false">'Aturan &amp; Tarif'!$B$6</f>
        <v>350</v>
      </c>
      <c r="M585" s="35" t="n">
        <f aca="false">I585+J585+K585+L585</f>
        <v>12936.36</v>
      </c>
      <c r="N585" s="37" t="s">
        <v>2971</v>
      </c>
    </row>
    <row r="586" customFormat="false" ht="37.5" hidden="false" customHeight="true" outlineLevel="0" collapsed="false">
      <c r="A586" s="29"/>
      <c r="B586" s="30" t="s">
        <v>3011</v>
      </c>
      <c r="C586" s="31" t="s">
        <v>127</v>
      </c>
      <c r="D586" s="31" t="s">
        <v>108</v>
      </c>
      <c r="E586" s="32" t="n">
        <v>5720</v>
      </c>
      <c r="F586" s="32" t="n">
        <v>805</v>
      </c>
      <c r="G586" s="32" t="n">
        <v>1100</v>
      </c>
      <c r="H586" s="33" t="n">
        <v>2</v>
      </c>
      <c r="I586" s="34" t="n">
        <f aca="false">E586*H586+N(F586)+N(G586)</f>
        <v>13345</v>
      </c>
      <c r="J586" s="32" t="n">
        <f aca="false">ROUND(IFERROR(ROUND(IF(OR(ISNUMBER(SEARCH("week",C586)),ISNUMBER(SEARCH("minggu",C586))),IFERROR(_xlfn.NUMBERVALUE(SUBSTITUTE(LEFT(TRIM(C586),FIND(" ",TRIM(C586)&amp;" ")-1),",","."),"."),LEFT(SUBSTITUTE(LEFT(TRIM(C586),FIND(" ",TRIM(C586)&amp;" ")-1),",","."),FIND("/",SUBSTITUTE(LEFT(TRIM(C586),FIND(" ",TRIM(C586)&amp;" ")-1),",","."))-1)/MID(SUBSTITUTE(LEFT(TRIM(C586),FIND(" ",TRIM(C586)&amp;" ")-1),",","."),FIND("/",SUBSTITUTE(LEFT(TRIM(C586),FIND(" ",TRIM(C586)&amp;" ")-1),",","."))+1,9))*12/52,IF(ISNUMBER(SEARCH("month",C586)),IFERROR(_xlfn.NUMBERVALUE(SUBSTITUTE(LEFT(TRIM(C586),FIND(" ",TRIM(C586)&amp;" ")-1),",","."),"."),LEFT(SUBSTITUTE(LEFT(TRIM(C586),FIND(" ",TRIM(C586)&amp;" ")-1),",","."),FIND("/",SUBSTITUTE(LEFT(TRIM(C586),FIND(" ",TRIM(C586)&amp;" ")-1),",","."))-1)/MID(SUBSTITUTE(LEFT(TRIM(C586),FIND(" ",TRIM(C586)&amp;" ")-1),",","."),FIND("/",SUBSTITUTE(LEFT(TRIM(C586),FIND(" ",TRIM(C586)&amp;" ")-1),",","."))+1,9)),IF(ISNUMBER(SEARCH("yea",C586)),IFERROR(_xlfn.NUMBERVALUE(SUBSTITUTE(LEFT(TRIM(C586),FIND(" ",TRIM(C586)&amp;" ")-1),",","."),"."),LEFT(SUBSTITUTE(LEFT(TRIM(C586),FIND(" ",TRIM(C586)&amp;" ")-1),",","."),FIND("/",SUBSTITUTE(LEFT(TRIM(C586),FIND(" ",TRIM(C586)&amp;" ")-1),",","."))-1)/MID(SUBSTITUTE(LEFT(TRIM(C586),FIND(" ",TRIM(C586)&amp;" ")-1),",","."),FIND("/",SUBSTITUTE(LEFT(TRIM(C586),FIND(" ",TRIM(C586)&amp;" ")-1),",","."))+1,9))*12,NA()))),0),36)*'Aturan &amp; Tarif'!$B$4,2)</f>
        <v>2044.08</v>
      </c>
      <c r="K586" s="32" t="n">
        <f aca="false">'Aturan &amp; Tarif'!$B$5</f>
        <v>2050</v>
      </c>
      <c r="L586" s="32" t="n">
        <f aca="false">'Aturan &amp; Tarif'!$B$6</f>
        <v>350</v>
      </c>
      <c r="M586" s="35" t="n">
        <f aca="false">I586+J586+K586+L586</f>
        <v>17789.08</v>
      </c>
      <c r="N586" s="36" t="s">
        <v>3012</v>
      </c>
    </row>
    <row r="587" customFormat="false" ht="45.75" hidden="false" customHeight="true" outlineLevel="0" collapsed="false"/>
    <row r="588" customFormat="false" ht="27.75" hidden="false" customHeight="true" outlineLevel="0" collapsed="false">
      <c r="A588" s="38" t="s">
        <v>117</v>
      </c>
    </row>
    <row r="589" customFormat="false" ht="81.75" hidden="false" customHeight="true" outlineLevel="0" collapsed="false">
      <c r="A589" s="38" t="s">
        <v>118</v>
      </c>
    </row>
    <row r="590" customFormat="false" ht="45.75" hidden="false" customHeight="true" outlineLevel="0" collapsed="false">
      <c r="A590" s="38" t="s">
        <v>119</v>
      </c>
    </row>
    <row r="591" customFormat="false" ht="54.75" hidden="false" customHeight="true" outlineLevel="0" collapsed="false">
      <c r="A591" s="38" t="s">
        <v>120</v>
      </c>
    </row>
    <row r="592" customFormat="false" ht="27.75" hidden="false" customHeight="true" outlineLevel="0" collapsed="false">
      <c r="A592" s="38" t="s">
        <v>121</v>
      </c>
    </row>
    <row r="593" customFormat="false" ht="18.75" hidden="false" customHeight="true" outlineLevel="0" collapsed="false">
      <c r="A593" s="38" t="s">
        <v>122</v>
      </c>
    </row>
    <row r="594" customFormat="false" ht="18.75" hidden="false" customHeight="true" outlineLevel="0" collapsed="false">
      <c r="A594" s="38" t="s">
        <v>123</v>
      </c>
    </row>
  </sheetData>
  <autoFilter ref="A5:N586"/>
  <conditionalFormatting sqref="J6:J586">
    <cfRule type="expression" priority="2" aboveAverage="0" equalAverage="0" bottom="0" percent="0" rank="0" text="" dxfId="6">
      <formula>AND($E6&lt;&gt;"",OR(ISERROR(ROUND(IF(OR(ISNUMBER(SEARCH("week",C6)),ISNUMBER(SEARCH("minggu",C6))),IFERROR(_xlfn.NUMBERVALUE(SUBSTITUTE(LEFT(TRIM(C6),FIND("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")-1),",","."))+1,9))*12,NA()))),0)&lt;1,1),IFERROR(ROUND(IF(OR(ISNUMBER(SEARCH("week",C6)),ISNUMBER(SEARCH("minggu",C6))),IFERROR(_xlfn.NUMBERVALUE(SUBSTITUTE(LEFT(TRIM(C6),FIND("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")-1),",","."))+1,9))*12,NA()))),0)&gt;96,1)))</formula>
    </cfRule>
  </conditionalFormatting>
  <printOptions headings="false" gridLines="false" gridLinesSet="true" horizontalCentered="true" verticalCentered="false"/>
  <pageMargins left="0.3" right="0.3" top="0.5" bottom="0.5" header="0.2" footer="0.2"/>
  <pageSetup paperSize="9" scale="100" fitToWidth="1" fitToHeight="0" pageOrder="downThenOver" orientation="landscape" blackAndWhite="false" draft="false" cellComments="none" horizontalDpi="300" verticalDpi="300" copies="1"/>
  <headerFooter differentFirst="false" differentOddEven="false">
    <oddHeader>&amp;R&amp;8 OFFSHORE - MELBOURNE</oddHeader>
    <oddFooter>&amp;L&amp;8 TEG Pricelist - harga bisa berubah sewaktu-waktu&amp;R&amp;8 Halaman &amp;P dari &amp;N</odd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1273"/>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2" min="2" style="1" width="55"/>
    <col collapsed="false" customWidth="true" hidden="false" outlineLevel="0" max="3" min="3" style="1" width="14"/>
    <col collapsed="false" customWidth="true" hidden="false" outlineLevel="0" max="4" min="4" style="1" width="11"/>
    <col collapsed="false" customWidth="true" hidden="false" outlineLevel="0" max="5" min="5" style="1" width="12"/>
    <col collapsed="false" customWidth="true" hidden="false" outlineLevel="0" max="8" min="6" style="1" width="11"/>
    <col collapsed="false" customWidth="true" hidden="false" outlineLevel="0" max="9" min="9" style="1" width="15"/>
    <col collapsed="false" customWidth="true" hidden="false" outlineLevel="0" max="10" min="10" style="1" width="12"/>
    <col collapsed="false" customWidth="true" hidden="false" outlineLevel="0" max="11" min="11" style="1" width="10"/>
    <col collapsed="false" customWidth="true" hidden="false" outlineLevel="0" max="12" min="12" style="1" width="15"/>
    <col collapsed="false" customWidth="true" hidden="false" outlineLevel="0" max="13" min="13" style="1" width="110"/>
    <col collapsed="false" customWidth="true" hidden="false" outlineLevel="0" max="44" min="14" style="1" width="9"/>
  </cols>
  <sheetData>
    <row r="1" customFormat="false" ht="17.25" hidden="false" customHeight="true" outlineLevel="0" collapsed="false">
      <c r="A1" s="14" t="s">
        <v>3013</v>
      </c>
    </row>
    <row r="2" customFormat="false" ht="15" hidden="false" customHeight="true" outlineLevel="0" collapsed="false">
      <c r="A2" s="25" t="s">
        <v>91</v>
      </c>
    </row>
    <row r="3" customFormat="false" ht="15" hidden="false" customHeight="true" outlineLevel="0" collapsed="false">
      <c r="A3" s="26" t="s">
        <v>3014</v>
      </c>
    </row>
    <row r="5" customFormat="false" ht="36" hidden="false" customHeight="true" outlineLevel="0" collapsed="false">
      <c r="A5" s="27" t="s">
        <v>93</v>
      </c>
      <c r="B5" s="27" t="s">
        <v>94</v>
      </c>
      <c r="C5" s="27" t="s">
        <v>95</v>
      </c>
      <c r="D5" s="27" t="s">
        <v>96</v>
      </c>
      <c r="E5" s="27" t="s">
        <v>97</v>
      </c>
      <c r="F5" s="27" t="s">
        <v>98</v>
      </c>
      <c r="G5" s="27" t="s">
        <v>99</v>
      </c>
      <c r="H5" s="27" t="s">
        <v>100</v>
      </c>
      <c r="I5" s="27" t="s">
        <v>101</v>
      </c>
      <c r="J5" s="27" t="s">
        <v>10</v>
      </c>
      <c r="K5" s="27" t="s">
        <v>102</v>
      </c>
      <c r="L5" s="27" t="s">
        <v>104</v>
      </c>
      <c r="M5" s="28" t="s">
        <v>14</v>
      </c>
    </row>
    <row r="6" customFormat="false" ht="25.5" hidden="false" customHeight="true" outlineLevel="0" collapsed="false">
      <c r="A6" s="29" t="s">
        <v>1797</v>
      </c>
      <c r="B6" s="30" t="s">
        <v>3015</v>
      </c>
      <c r="C6" s="31" t="s">
        <v>191</v>
      </c>
      <c r="D6" s="31" t="s">
        <v>108</v>
      </c>
      <c r="E6" s="32" t="n">
        <v>1500</v>
      </c>
      <c r="F6" s="32" t="n">
        <v>50</v>
      </c>
      <c r="G6" s="32" t="n">
        <v>250</v>
      </c>
      <c r="H6" s="33" t="n">
        <v>1</v>
      </c>
      <c r="I6" s="34" t="n">
        <f aca="false">E6*H6+N(F6)+N(G6)</f>
        <v>1800</v>
      </c>
      <c r="J6" s="32" t="n">
        <f aca="false">ROUND(IFERROR(ROUND(IF(OR(ISNUMBER(SEARCH("week",C6)),ISNUMBER(SEARCH("minggu",C6))),IFERROR(_xlfn.NUMBERVALUE(SUBSTITUTE(LEFT(TRIM(C6),FIND("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")-1),",","."))+1,9))*12,NA()))),0),48)*'Aturan &amp; Tarif'!$B$4,2)</f>
        <v>2725.44</v>
      </c>
      <c r="K6" s="32" t="n">
        <f aca="false">'Aturan &amp; Tarif'!$B$5</f>
        <v>2050</v>
      </c>
      <c r="L6" s="35" t="n">
        <f aca="false">I6+J6+K6</f>
        <v>6575.44</v>
      </c>
      <c r="M6" s="36" t="s">
        <v>131</v>
      </c>
    </row>
    <row r="7" customFormat="false" ht="25.5" hidden="false" customHeight="true" outlineLevel="0" collapsed="false">
      <c r="A7" s="29"/>
      <c r="B7" s="30" t="s">
        <v>1168</v>
      </c>
      <c r="C7" s="31" t="s">
        <v>136</v>
      </c>
      <c r="D7" s="31" t="s">
        <v>108</v>
      </c>
      <c r="E7" s="32" t="n">
        <v>2000</v>
      </c>
      <c r="F7" s="32" t="n">
        <v>50</v>
      </c>
      <c r="G7" s="32" t="n">
        <v>250</v>
      </c>
      <c r="H7" s="33" t="n">
        <v>1</v>
      </c>
      <c r="I7" s="34" t="n">
        <f aca="false">E7*H7+N(F7)+N(G7)</f>
        <v>2300</v>
      </c>
      <c r="J7" s="32" t="n">
        <f aca="false">ROUND(IFERROR(ROUND(IF(OR(ISNUMBER(SEARCH("week",C7)),ISNUMBER(SEARCH("minggu",C7))),IFERROR(_xlfn.NUMBERVALUE(SUBSTITUTE(LEFT(TRIM(C7),FIND(" ",TRIM(C7)&amp;" ")-1),",","."),"."),LEFT(SUBSTITUTE(LEFT(TRIM(C7),FIND(" ",TRIM(C7)&amp;" ")-1),",","."),FIND("/",SUBSTITUTE(LEFT(TRIM(C7),FIND(" ",TRIM(C7)&amp;" ")-1),",","."))-1)/MID(SUBSTITUTE(LEFT(TRIM(C7),FIND(" ",TRIM(C7)&amp;" ")-1),",","."),FIND("/",SUBSTITUTE(LEFT(TRIM(C7),FIND(" ",TRIM(C7)&amp;" ")-1),",","."))+1,9))*12/52,IF(ISNUMBER(SEARCH("month",C7)),IFERROR(_xlfn.NUMBERVALUE(SUBSTITUTE(LEFT(TRIM(C7),FIND(" ",TRIM(C7)&amp;" ")-1),",","."),"."),LEFT(SUBSTITUTE(LEFT(TRIM(C7),FIND(" ",TRIM(C7)&amp;" ")-1),",","."),FIND("/",SUBSTITUTE(LEFT(TRIM(C7),FIND(" ",TRIM(C7)&amp;" ")-1),",","."))-1)/MID(SUBSTITUTE(LEFT(TRIM(C7),FIND(" ",TRIM(C7)&amp;" ")-1),",","."),FIND("/",SUBSTITUTE(LEFT(TRIM(C7),FIND(" ",TRIM(C7)&amp;" ")-1),",","."))+1,9)),IF(ISNUMBER(SEARCH("yea",C7)),IFERROR(_xlfn.NUMBERVALUE(SUBSTITUTE(LEFT(TRIM(C7),FIND(" ",TRIM(C7)&amp;" ")-1),",","."),"."),LEFT(SUBSTITUTE(LEFT(TRIM(C7),FIND(" ",TRIM(C7)&amp;" ")-1),",","."),FIND("/",SUBSTITUTE(LEFT(TRIM(C7),FIND(" ",TRIM(C7)&amp;" ")-1),",","."))-1)/MID(SUBSTITUTE(LEFT(TRIM(C7),FIND(" ",TRIM(C7)&amp;" ")-1),",","."),FIND("/",SUBSTITUTE(LEFT(TRIM(C7),FIND(" ",TRIM(C7)&amp;" ")-1),",","."))+1,9))*12,NA()))),0),42)*'Aturan &amp; Tarif'!$B$4,2)</f>
        <v>2384.76</v>
      </c>
      <c r="K7" s="32" t="n">
        <f aca="false">'Aturan &amp; Tarif'!$B$5</f>
        <v>2050</v>
      </c>
      <c r="L7" s="35" t="n">
        <f aca="false">I7+J7+K7</f>
        <v>6734.76</v>
      </c>
      <c r="M7" s="37" t="s">
        <v>134</v>
      </c>
    </row>
    <row r="8" customFormat="false" ht="14.25" hidden="false" customHeight="true" outlineLevel="0" collapsed="false">
      <c r="A8" s="29"/>
      <c r="B8" s="30" t="s">
        <v>1169</v>
      </c>
      <c r="C8" s="31" t="s">
        <v>138</v>
      </c>
      <c r="D8" s="31" t="s">
        <v>108</v>
      </c>
      <c r="E8" s="32" t="n">
        <v>1350</v>
      </c>
      <c r="F8" s="32" t="n">
        <v>50</v>
      </c>
      <c r="G8" s="32" t="n">
        <v>250</v>
      </c>
      <c r="H8" s="33" t="n">
        <v>1</v>
      </c>
      <c r="I8" s="34" t="n">
        <f aca="false">E8*H8+N(F8)+N(G8)</f>
        <v>1650</v>
      </c>
      <c r="J8" s="32" t="n">
        <f aca="false">ROUND(IFERROR(ROUND(IF(OR(ISNUMBER(SEARCH("week",C8)),ISNUMBER(SEARCH("minggu",C8))),IFERROR(_xlfn.NUMBERVALUE(SUBSTITUTE(LEFT(TRIM(C8),FIND(" ",TRIM(C8)&amp;" ")-1),",","."),"."),LEFT(SUBSTITUTE(LEFT(TRIM(C8),FIND(" ",TRIM(C8)&amp;" ")-1),",","."),FIND("/",SUBSTITUTE(LEFT(TRIM(C8),FIND(" ",TRIM(C8)&amp;" ")-1),",","."))-1)/MID(SUBSTITUTE(LEFT(TRIM(C8),FIND(" ",TRIM(C8)&amp;" ")-1),",","."),FIND("/",SUBSTITUTE(LEFT(TRIM(C8),FIND(" ",TRIM(C8)&amp;" ")-1),",","."))+1,9))*12/52,IF(ISNUMBER(SEARCH("month",C8)),IFERROR(_xlfn.NUMBERVALUE(SUBSTITUTE(LEFT(TRIM(C8),FIND(" ",TRIM(C8)&amp;" ")-1),",","."),"."),LEFT(SUBSTITUTE(LEFT(TRIM(C8),FIND(" ",TRIM(C8)&amp;" ")-1),",","."),FIND("/",SUBSTITUTE(LEFT(TRIM(C8),FIND(" ",TRIM(C8)&amp;" ")-1),",","."))-1)/MID(SUBSTITUTE(LEFT(TRIM(C8),FIND(" ",TRIM(C8)&amp;" ")-1),",","."),FIND("/",SUBSTITUTE(LEFT(TRIM(C8),FIND(" ",TRIM(C8)&amp;" ")-1),",","."))+1,9)),IF(ISNUMBER(SEARCH("yea",C8)),IFERROR(_xlfn.NUMBERVALUE(SUBSTITUTE(LEFT(TRIM(C8),FIND(" ",TRIM(C8)&amp;" ")-1),",","."),"."),LEFT(SUBSTITUTE(LEFT(TRIM(C8),FIND(" ",TRIM(C8)&amp;" ")-1),",","."),FIND("/",SUBSTITUTE(LEFT(TRIM(C8),FIND(" ",TRIM(C8)&amp;" ")-1),",","."))-1)/MID(SUBSTITUTE(LEFT(TRIM(C8),FIND(" ",TRIM(C8)&amp;" ")-1),",","."),FIND("/",SUBSTITUTE(LEFT(TRIM(C8),FIND(" ",TRIM(C8)&amp;" ")-1),",","."))+1,9))*12,NA()))),0),30)*'Aturan &amp; Tarif'!$B$4,2)</f>
        <v>1703.4</v>
      </c>
      <c r="K8" s="32" t="n">
        <f aca="false">'Aturan &amp; Tarif'!$B$5</f>
        <v>2050</v>
      </c>
      <c r="L8" s="35" t="n">
        <f aca="false">I8+J8+K8</f>
        <v>5403.4</v>
      </c>
      <c r="M8" s="37" t="s">
        <v>134</v>
      </c>
    </row>
    <row r="9" customFormat="false" ht="25.5" hidden="false" customHeight="true" outlineLevel="0" collapsed="false">
      <c r="A9" s="29"/>
      <c r="B9" s="30" t="s">
        <v>1170</v>
      </c>
      <c r="C9" s="31" t="s">
        <v>138</v>
      </c>
      <c r="D9" s="31" t="s">
        <v>108</v>
      </c>
      <c r="E9" s="32" t="n">
        <v>1350</v>
      </c>
      <c r="F9" s="32" t="n">
        <v>50</v>
      </c>
      <c r="G9" s="32" t="n">
        <v>250</v>
      </c>
      <c r="H9" s="33" t="n">
        <v>1</v>
      </c>
      <c r="I9" s="34" t="n">
        <f aca="false">E9*H9+N(F9)+N(G9)</f>
        <v>1650</v>
      </c>
      <c r="J9" s="32" t="n">
        <f aca="false">ROUND(IFERROR(ROUND(IF(OR(ISNUMBER(SEARCH("week",C9)),ISNUMBER(SEARCH("minggu",C9))),IFERROR(_xlfn.NUMBERVALUE(SUBSTITUTE(LEFT(TRIM(C9),FIND(" ",TRIM(C9)&amp;" ")-1),",","."),"."),LEFT(SUBSTITUTE(LEFT(TRIM(C9),FIND(" ",TRIM(C9)&amp;" ")-1),",","."),FIND("/",SUBSTITUTE(LEFT(TRIM(C9),FIND(" ",TRIM(C9)&amp;" ")-1),",","."))-1)/MID(SUBSTITUTE(LEFT(TRIM(C9),FIND(" ",TRIM(C9)&amp;" ")-1),",","."),FIND("/",SUBSTITUTE(LEFT(TRIM(C9),FIND(" ",TRIM(C9)&amp;" ")-1),",","."))+1,9))*12/52,IF(ISNUMBER(SEARCH("month",C9)),IFERROR(_xlfn.NUMBERVALUE(SUBSTITUTE(LEFT(TRIM(C9),FIND(" ",TRIM(C9)&amp;" ")-1),",","."),"."),LEFT(SUBSTITUTE(LEFT(TRIM(C9),FIND(" ",TRIM(C9)&amp;" ")-1),",","."),FIND("/",SUBSTITUTE(LEFT(TRIM(C9),FIND(" ",TRIM(C9)&amp;" ")-1),",","."))-1)/MID(SUBSTITUTE(LEFT(TRIM(C9),FIND(" ",TRIM(C9)&amp;" ")-1),",","."),FIND("/",SUBSTITUTE(LEFT(TRIM(C9),FIND(" ",TRIM(C9)&amp;" ")-1),",","."))+1,9)),IF(ISNUMBER(SEARCH("yea",C9)),IFERROR(_xlfn.NUMBERVALUE(SUBSTITUTE(LEFT(TRIM(C9),FIND(" ",TRIM(C9)&amp;" ")-1),",","."),"."),LEFT(SUBSTITUTE(LEFT(TRIM(C9),FIND(" ",TRIM(C9)&amp;" ")-1),",","."),FIND("/",SUBSTITUTE(LEFT(TRIM(C9),FIND(" ",TRIM(C9)&amp;" ")-1),",","."))-1)/MID(SUBSTITUTE(LEFT(TRIM(C9),FIND(" ",TRIM(C9)&amp;" ")-1),",","."),FIND("/",SUBSTITUTE(LEFT(TRIM(C9),FIND(" ",TRIM(C9)&amp;" ")-1),",","."))+1,9))*12,NA()))),0),30)*'Aturan &amp; Tarif'!$B$4,2)</f>
        <v>1703.4</v>
      </c>
      <c r="K9" s="32" t="n">
        <f aca="false">'Aturan &amp; Tarif'!$B$5</f>
        <v>2050</v>
      </c>
      <c r="L9" s="35" t="n">
        <f aca="false">I9+J9+K9</f>
        <v>5403.4</v>
      </c>
      <c r="M9" s="37" t="s">
        <v>134</v>
      </c>
    </row>
    <row r="10" customFormat="false" ht="14.25" hidden="false" customHeight="true" outlineLevel="0" collapsed="false">
      <c r="A10" s="29"/>
      <c r="B10" s="30" t="s">
        <v>1171</v>
      </c>
      <c r="C10" s="31" t="s">
        <v>191</v>
      </c>
      <c r="D10" s="31" t="s">
        <v>108</v>
      </c>
      <c r="E10" s="32" t="n">
        <v>1350</v>
      </c>
      <c r="F10" s="32" t="n">
        <v>50</v>
      </c>
      <c r="G10" s="32" t="n">
        <v>250</v>
      </c>
      <c r="H10" s="33" t="n">
        <v>1</v>
      </c>
      <c r="I10" s="34" t="n">
        <f aca="false">E10*H10+N(F10)+N(G10)</f>
        <v>1650</v>
      </c>
      <c r="J10" s="32" t="n">
        <f aca="false">ROUND(IFERROR(ROUND(IF(OR(ISNUMBER(SEARCH("week",C10)),ISNUMBER(SEARCH("minggu",C10))),IFERROR(_xlfn.NUMBERVALUE(SUBSTITUTE(LEFT(TRIM(C10),FIND(" ",TRIM(C10)&amp;" ")-1),",","."),"."),LEFT(SUBSTITUTE(LEFT(TRIM(C10),FIND(" ",TRIM(C10)&amp;" ")-1),",","."),FIND("/",SUBSTITUTE(LEFT(TRIM(C10),FIND(" ",TRIM(C10)&amp;" ")-1),",","."))-1)/MID(SUBSTITUTE(LEFT(TRIM(C10),FIND(" ",TRIM(C10)&amp;" ")-1),",","."),FIND("/",SUBSTITUTE(LEFT(TRIM(C10),FIND(" ",TRIM(C10)&amp;" ")-1),",","."))+1,9))*12/52,IF(ISNUMBER(SEARCH("month",C10)),IFERROR(_xlfn.NUMBERVALUE(SUBSTITUTE(LEFT(TRIM(C10),FIND(" ",TRIM(C10)&amp;" ")-1),",","."),"."),LEFT(SUBSTITUTE(LEFT(TRIM(C10),FIND(" ",TRIM(C10)&amp;" ")-1),",","."),FIND("/",SUBSTITUTE(LEFT(TRIM(C10),FIND(" ",TRIM(C10)&amp;" ")-1),",","."))-1)/MID(SUBSTITUTE(LEFT(TRIM(C10),FIND(" ",TRIM(C10)&amp;" ")-1),",","."),FIND("/",SUBSTITUTE(LEFT(TRIM(C10),FIND(" ",TRIM(C10)&amp;" ")-1),",","."))+1,9)),IF(ISNUMBER(SEARCH("yea",C10)),IFERROR(_xlfn.NUMBERVALUE(SUBSTITUTE(LEFT(TRIM(C10),FIND(" ",TRIM(C10)&amp;" ")-1),",","."),"."),LEFT(SUBSTITUTE(LEFT(TRIM(C10),FIND(" ",TRIM(C10)&amp;" ")-1),",","."),FIND("/",SUBSTITUTE(LEFT(TRIM(C10),FIND(" ",TRIM(C10)&amp;" ")-1),",","."))-1)/MID(SUBSTITUTE(LEFT(TRIM(C10),FIND(" ",TRIM(C10)&amp;" ")-1),",","."),FIND("/",SUBSTITUTE(LEFT(TRIM(C10),FIND(" ",TRIM(C10)&amp;" ")-1),",","."))+1,9))*12,NA()))),0),48)*'Aturan &amp; Tarif'!$B$4,2)</f>
        <v>2725.44</v>
      </c>
      <c r="K10" s="32" t="n">
        <f aca="false">'Aturan &amp; Tarif'!$B$5</f>
        <v>2050</v>
      </c>
      <c r="L10" s="35" t="n">
        <f aca="false">I10+J10+K10</f>
        <v>6425.44</v>
      </c>
      <c r="M10" s="37" t="s">
        <v>134</v>
      </c>
    </row>
    <row r="11" customFormat="false" ht="14.25" hidden="false" customHeight="true" outlineLevel="0" collapsed="false">
      <c r="A11" s="29"/>
      <c r="B11" s="30" t="s">
        <v>1973</v>
      </c>
      <c r="C11" s="31" t="s">
        <v>130</v>
      </c>
      <c r="D11" s="31" t="s">
        <v>108</v>
      </c>
      <c r="E11" s="32" t="n">
        <v>2250</v>
      </c>
      <c r="F11" s="32" t="n">
        <v>1000</v>
      </c>
      <c r="G11" s="32" t="n">
        <v>250</v>
      </c>
      <c r="H11" s="33" t="n">
        <v>1</v>
      </c>
      <c r="I11" s="34" t="n">
        <f aca="false">E11*H11+N(F11)+N(G11)</f>
        <v>3500</v>
      </c>
      <c r="J11" s="32" t="n">
        <f aca="false">ROUND(IFERROR(ROUND(IF(OR(ISNUMBER(SEARCH("week",C11)),ISNUMBER(SEARCH("minggu",C11))),IFERROR(_xlfn.NUMBERVALUE(SUBSTITUTE(LEFT(TRIM(C11),FIND(" ",TRIM(C11)&amp;" ")-1),",","."),"."),LEFT(SUBSTITUTE(LEFT(TRIM(C11),FIND(" ",TRIM(C11)&amp;" ")-1),",","."),FIND("/",SUBSTITUTE(LEFT(TRIM(C11),FIND(" ",TRIM(C11)&amp;" ")-1),",","."))-1)/MID(SUBSTITUTE(LEFT(TRIM(C11),FIND(" ",TRIM(C11)&amp;" ")-1),",","."),FIND("/",SUBSTITUTE(LEFT(TRIM(C11),FIND(" ",TRIM(C11)&amp;" ")-1),",","."))+1,9))*12/52,IF(ISNUMBER(SEARCH("month",C11)),IFERROR(_xlfn.NUMBERVALUE(SUBSTITUTE(LEFT(TRIM(C11),FIND(" ",TRIM(C11)&amp;" ")-1),",","."),"."),LEFT(SUBSTITUTE(LEFT(TRIM(C11),FIND(" ",TRIM(C11)&amp;" ")-1),",","."),FIND("/",SUBSTITUTE(LEFT(TRIM(C11),FIND(" ",TRIM(C11)&amp;" ")-1),",","."))-1)/MID(SUBSTITUTE(LEFT(TRIM(C11),FIND(" ",TRIM(C11)&amp;" ")-1),",","."),FIND("/",SUBSTITUTE(LEFT(TRIM(C11),FIND(" ",TRIM(C11)&amp;" ")-1),",","."))+1,9)),IF(ISNUMBER(SEARCH("yea",C11)),IFERROR(_xlfn.NUMBERVALUE(SUBSTITUTE(LEFT(TRIM(C11),FIND(" ",TRIM(C11)&amp;" ")-1),",","."),"."),LEFT(SUBSTITUTE(LEFT(TRIM(C11),FIND(" ",TRIM(C11)&amp;" ")-1),",","."),FIND("/",SUBSTITUTE(LEFT(TRIM(C11),FIND(" ",TRIM(C11)&amp;" ")-1),",","."))-1)/MID(SUBSTITUTE(LEFT(TRIM(C11),FIND(" ",TRIM(C11)&amp;" ")-1),",","."),FIND("/",SUBSTITUTE(LEFT(TRIM(C11),FIND(" ",TRIM(C11)&amp;" ")-1),",","."))+1,9))*12,NA()))),0),12)*'Aturan &amp; Tarif'!$B$4,2)</f>
        <v>681.36</v>
      </c>
      <c r="K11" s="32" t="n">
        <f aca="false">'Aturan &amp; Tarif'!$B$5</f>
        <v>2050</v>
      </c>
      <c r="L11" s="35" t="n">
        <f aca="false">I11+J11+K11</f>
        <v>6231.36</v>
      </c>
      <c r="M11" s="37" t="s">
        <v>134</v>
      </c>
    </row>
    <row r="12" customFormat="false" ht="14.25" hidden="false" customHeight="true" outlineLevel="0" collapsed="false">
      <c r="A12" s="29"/>
      <c r="B12" s="30" t="s">
        <v>2216</v>
      </c>
      <c r="C12" s="31" t="s">
        <v>130</v>
      </c>
      <c r="D12" s="31" t="s">
        <v>108</v>
      </c>
      <c r="E12" s="32" t="n">
        <v>2250</v>
      </c>
      <c r="F12" s="32" t="n">
        <v>1000</v>
      </c>
      <c r="G12" s="32" t="n">
        <v>250</v>
      </c>
      <c r="H12" s="33" t="n">
        <v>1</v>
      </c>
      <c r="I12" s="34" t="n">
        <f aca="false">E12*H12+N(F12)+N(G12)</f>
        <v>3500</v>
      </c>
      <c r="J12" s="32" t="n">
        <f aca="false">ROUND(IFERROR(ROUND(IF(OR(ISNUMBER(SEARCH("week",C12)),ISNUMBER(SEARCH("minggu",C12))),IFERROR(_xlfn.NUMBERVALUE(SUBSTITUTE(LEFT(TRIM(C12),FIND(" ",TRIM(C12)&amp;" ")-1),",","."),"."),LEFT(SUBSTITUTE(LEFT(TRIM(C12),FIND(" ",TRIM(C12)&amp;" ")-1),",","."),FIND("/",SUBSTITUTE(LEFT(TRIM(C12),FIND(" ",TRIM(C12)&amp;" ")-1),",","."))-1)/MID(SUBSTITUTE(LEFT(TRIM(C12),FIND(" ",TRIM(C12)&amp;" ")-1),",","."),FIND("/",SUBSTITUTE(LEFT(TRIM(C12),FIND(" ",TRIM(C12)&amp;" ")-1),",","."))+1,9))*12/52,IF(ISNUMBER(SEARCH("month",C12)),IFERROR(_xlfn.NUMBERVALUE(SUBSTITUTE(LEFT(TRIM(C12),FIND(" ",TRIM(C12)&amp;" ")-1),",","."),"."),LEFT(SUBSTITUTE(LEFT(TRIM(C12),FIND(" ",TRIM(C12)&amp;" ")-1),",","."),FIND("/",SUBSTITUTE(LEFT(TRIM(C12),FIND(" ",TRIM(C12)&amp;" ")-1),",","."))-1)/MID(SUBSTITUTE(LEFT(TRIM(C12),FIND(" ",TRIM(C12)&amp;" ")-1),",","."),FIND("/",SUBSTITUTE(LEFT(TRIM(C12),FIND(" ",TRIM(C12)&amp;" ")-1),",","."))+1,9)),IF(ISNUMBER(SEARCH("yea",C12)),IFERROR(_xlfn.NUMBERVALUE(SUBSTITUTE(LEFT(TRIM(C12),FIND(" ",TRIM(C12)&amp;" ")-1),",","."),"."),LEFT(SUBSTITUTE(LEFT(TRIM(C12),FIND(" ",TRIM(C12)&amp;" ")-1),",","."),FIND("/",SUBSTITUTE(LEFT(TRIM(C12),FIND(" ",TRIM(C12)&amp;" ")-1),",","."))-1)/MID(SUBSTITUTE(LEFT(TRIM(C12),FIND(" ",TRIM(C12)&amp;" ")-1),",","."),FIND("/",SUBSTITUTE(LEFT(TRIM(C12),FIND(" ",TRIM(C12)&amp;" ")-1),",","."))+1,9))*12,NA()))),0),12)*'Aturan &amp; Tarif'!$B$4,2)</f>
        <v>681.36</v>
      </c>
      <c r="K12" s="32" t="n">
        <f aca="false">'Aturan &amp; Tarif'!$B$5</f>
        <v>2050</v>
      </c>
      <c r="L12" s="35" t="n">
        <f aca="false">I12+J12+K12</f>
        <v>6231.36</v>
      </c>
      <c r="M12" s="37" t="s">
        <v>134</v>
      </c>
    </row>
    <row r="13" customFormat="false" ht="14.25" hidden="false" customHeight="true" outlineLevel="0" collapsed="false">
      <c r="A13" s="29"/>
      <c r="B13" s="30" t="s">
        <v>616</v>
      </c>
      <c r="C13" s="31" t="s">
        <v>107</v>
      </c>
      <c r="D13" s="31" t="s">
        <v>108</v>
      </c>
      <c r="E13" s="32" t="n">
        <v>2575</v>
      </c>
      <c r="F13" s="32" t="n">
        <v>50</v>
      </c>
      <c r="G13" s="32" t="n">
        <v>250</v>
      </c>
      <c r="H13" s="33" t="n">
        <v>1</v>
      </c>
      <c r="I13" s="34" t="n">
        <f aca="false">E13*H13+N(F13)+N(G13)</f>
        <v>2875</v>
      </c>
      <c r="J13" s="32" t="n">
        <f aca="false">ROUND(IFERROR(ROUND(IF(OR(ISNUMBER(SEARCH("week",C13)),ISNUMBER(SEARCH("minggu",C13))),IFERROR(_xlfn.NUMBERVALUE(SUBSTITUTE(LEFT(TRIM(C13),FIND(" ",TRIM(C13)&amp;" ")-1),",","."),"."),LEFT(SUBSTITUTE(LEFT(TRIM(C13),FIND(" ",TRIM(C13)&amp;" ")-1),",","."),FIND("/",SUBSTITUTE(LEFT(TRIM(C13),FIND(" ",TRIM(C13)&amp;" ")-1),",","."))-1)/MID(SUBSTITUTE(LEFT(TRIM(C13),FIND(" ",TRIM(C13)&amp;" ")-1),",","."),FIND("/",SUBSTITUTE(LEFT(TRIM(C13),FIND(" ",TRIM(C13)&amp;" ")-1),",","."))+1,9))*12/52,IF(ISNUMBER(SEARCH("month",C13)),IFERROR(_xlfn.NUMBERVALUE(SUBSTITUTE(LEFT(TRIM(C13),FIND(" ",TRIM(C13)&amp;" ")-1),",","."),"."),LEFT(SUBSTITUTE(LEFT(TRIM(C13),FIND(" ",TRIM(C13)&amp;" ")-1),",","."),FIND("/",SUBSTITUTE(LEFT(TRIM(C13),FIND(" ",TRIM(C13)&amp;" ")-1),",","."))-1)/MID(SUBSTITUTE(LEFT(TRIM(C13),FIND(" ",TRIM(C13)&amp;" ")-1),",","."),FIND("/",SUBSTITUTE(LEFT(TRIM(C13),FIND(" ",TRIM(C13)&amp;" ")-1),",","."))+1,9)),IF(ISNUMBER(SEARCH("yea",C13)),IFERROR(_xlfn.NUMBERVALUE(SUBSTITUTE(LEFT(TRIM(C13),FIND(" ",TRIM(C13)&amp;" ")-1),",","."),"."),LEFT(SUBSTITUTE(LEFT(TRIM(C13),FIND(" ",TRIM(C13)&amp;" ")-1),",","."),FIND("/",SUBSTITUTE(LEFT(TRIM(C13),FIND(" ",TRIM(C13)&amp;" ")-1),",","."))-1)/MID(SUBSTITUTE(LEFT(TRIM(C13),FIND(" ",TRIM(C13)&amp;" ")-1),",","."),FIND("/",SUBSTITUTE(LEFT(TRIM(C13),FIND(" ",TRIM(C13)&amp;" ")-1),",","."))+1,9))*12,NA()))),0),24)*'Aturan &amp; Tarif'!$B$4,2)</f>
        <v>1362.72</v>
      </c>
      <c r="K13" s="32" t="n">
        <f aca="false">'Aturan &amp; Tarif'!$B$5</f>
        <v>2050</v>
      </c>
      <c r="L13" s="35" t="n">
        <f aca="false">I13+J13+K13</f>
        <v>6287.72</v>
      </c>
      <c r="M13" s="37" t="s">
        <v>134</v>
      </c>
    </row>
    <row r="14" customFormat="false" ht="37.5" hidden="false" customHeight="true" outlineLevel="0" collapsed="false">
      <c r="A14" s="29"/>
      <c r="B14" s="30" t="s">
        <v>1172</v>
      </c>
      <c r="C14" s="31" t="s">
        <v>107</v>
      </c>
      <c r="D14" s="31" t="s">
        <v>108</v>
      </c>
      <c r="E14" s="32" t="n">
        <v>2500</v>
      </c>
      <c r="F14" s="32" t="n">
        <v>50</v>
      </c>
      <c r="G14" s="32" t="n">
        <v>250</v>
      </c>
      <c r="H14" s="33" t="n">
        <v>1</v>
      </c>
      <c r="I14" s="34" t="n">
        <f aca="false">E14*H14+N(F14)+N(G14)</f>
        <v>2800</v>
      </c>
      <c r="J14" s="32" t="n">
        <f aca="false">ROUND(IFERROR(ROUND(IF(OR(ISNUMBER(SEARCH("week",C14)),ISNUMBER(SEARCH("minggu",C14))),IFERROR(_xlfn.NUMBERVALUE(SUBSTITUTE(LEFT(TRIM(C14),FIND(" ",TRIM(C14)&amp;" ")-1),",","."),"."),LEFT(SUBSTITUTE(LEFT(TRIM(C14),FIND(" ",TRIM(C14)&amp;" ")-1),",","."),FIND("/",SUBSTITUTE(LEFT(TRIM(C14),FIND(" ",TRIM(C14)&amp;" ")-1),",","."))-1)/MID(SUBSTITUTE(LEFT(TRIM(C14),FIND(" ",TRIM(C14)&amp;" ")-1),",","."),FIND("/",SUBSTITUTE(LEFT(TRIM(C14),FIND(" ",TRIM(C14)&amp;" ")-1),",","."))+1,9))*12/52,IF(ISNUMBER(SEARCH("month",C14)),IFERROR(_xlfn.NUMBERVALUE(SUBSTITUTE(LEFT(TRIM(C14),FIND(" ",TRIM(C14)&amp;" ")-1),",","."),"."),LEFT(SUBSTITUTE(LEFT(TRIM(C14),FIND(" ",TRIM(C14)&amp;" ")-1),",","."),FIND("/",SUBSTITUTE(LEFT(TRIM(C14),FIND(" ",TRIM(C14)&amp;" ")-1),",","."))-1)/MID(SUBSTITUTE(LEFT(TRIM(C14),FIND(" ",TRIM(C14)&amp;" ")-1),",","."),FIND("/",SUBSTITUTE(LEFT(TRIM(C14),FIND(" ",TRIM(C14)&amp;" ")-1),",","."))+1,9)),IF(ISNUMBER(SEARCH("yea",C14)),IFERROR(_xlfn.NUMBERVALUE(SUBSTITUTE(LEFT(TRIM(C14),FIND(" ",TRIM(C14)&amp;" ")-1),",","."),"."),LEFT(SUBSTITUTE(LEFT(TRIM(C14),FIND(" ",TRIM(C14)&amp;" ")-1),",","."),FIND("/",SUBSTITUTE(LEFT(TRIM(C14),FIND(" ",TRIM(C14)&amp;" ")-1),",","."))-1)/MID(SUBSTITUTE(LEFT(TRIM(C14),FIND(" ",TRIM(C14)&amp;" ")-1),",","."),FIND("/",SUBSTITUTE(LEFT(TRIM(C14),FIND(" ",TRIM(C14)&amp;" ")-1),",","."))+1,9))*12,NA()))),0),24)*'Aturan &amp; Tarif'!$B$4,2)</f>
        <v>1362.72</v>
      </c>
      <c r="K14" s="32" t="n">
        <f aca="false">'Aturan &amp; Tarif'!$B$5</f>
        <v>2050</v>
      </c>
      <c r="L14" s="35" t="n">
        <f aca="false">I14+J14+K14</f>
        <v>6212.72</v>
      </c>
      <c r="M14" s="37" t="s">
        <v>134</v>
      </c>
    </row>
    <row r="15" customFormat="false" ht="14.25" hidden="false" customHeight="true" outlineLevel="0" collapsed="false">
      <c r="A15" s="39" t="s">
        <v>1798</v>
      </c>
      <c r="B15" s="40" t="s">
        <v>1799</v>
      </c>
      <c r="C15" s="41" t="s">
        <v>130</v>
      </c>
      <c r="D15" s="41" t="s">
        <v>108</v>
      </c>
      <c r="E15" s="42" t="n">
        <v>1895</v>
      </c>
      <c r="F15" s="42" t="n">
        <v>400</v>
      </c>
      <c r="G15" s="42" t="n">
        <v>250</v>
      </c>
      <c r="H15" s="43" t="n">
        <v>1</v>
      </c>
      <c r="I15" s="34" t="n">
        <f aca="false">E15*H15+N(F15)+N(G15)</f>
        <v>2545</v>
      </c>
      <c r="J15" s="42" t="n">
        <f aca="false">ROUND(IFERROR(ROUND(IF(OR(ISNUMBER(SEARCH("week",C15)),ISNUMBER(SEARCH("minggu",C15))),IFERROR(_xlfn.NUMBERVALUE(SUBSTITUTE(LEFT(TRIM(C15),FIND(" ",TRIM(C15)&amp;" ")-1),",","."),"."),LEFT(SUBSTITUTE(LEFT(TRIM(C15),FIND(" ",TRIM(C15)&amp;" ")-1),",","."),FIND("/",SUBSTITUTE(LEFT(TRIM(C15),FIND(" ",TRIM(C15)&amp;" ")-1),",","."))-1)/MID(SUBSTITUTE(LEFT(TRIM(C15),FIND(" ",TRIM(C15)&amp;" ")-1),",","."),FIND("/",SUBSTITUTE(LEFT(TRIM(C15),FIND(" ",TRIM(C15)&amp;" ")-1),",","."))+1,9))*12/52,IF(ISNUMBER(SEARCH("month",C15)),IFERROR(_xlfn.NUMBERVALUE(SUBSTITUTE(LEFT(TRIM(C15),FIND(" ",TRIM(C15)&amp;" ")-1),",","."),"."),LEFT(SUBSTITUTE(LEFT(TRIM(C15),FIND(" ",TRIM(C15)&amp;" ")-1),",","."),FIND("/",SUBSTITUTE(LEFT(TRIM(C15),FIND(" ",TRIM(C15)&amp;" ")-1),",","."))-1)/MID(SUBSTITUTE(LEFT(TRIM(C15),FIND(" ",TRIM(C15)&amp;" ")-1),",","."),FIND("/",SUBSTITUTE(LEFT(TRIM(C15),FIND(" ",TRIM(C15)&amp;" ")-1),",","."))+1,9)),IF(ISNUMBER(SEARCH("yea",C15)),IFERROR(_xlfn.NUMBERVALUE(SUBSTITUTE(LEFT(TRIM(C15),FIND(" ",TRIM(C15)&amp;" ")-1),",","."),"."),LEFT(SUBSTITUTE(LEFT(TRIM(C15),FIND(" ",TRIM(C15)&amp;" ")-1),",","."),FIND("/",SUBSTITUTE(LEFT(TRIM(C15),FIND(" ",TRIM(C15)&amp;" ")-1),",","."))-1)/MID(SUBSTITUTE(LEFT(TRIM(C15),FIND(" ",TRIM(C15)&amp;" ")-1),",","."),FIND("/",SUBSTITUTE(LEFT(TRIM(C15),FIND(" ",TRIM(C15)&amp;" ")-1),",","."))+1,9))*12,NA()))),0),12)*'Aturan &amp; Tarif'!$B$4,2)</f>
        <v>681.36</v>
      </c>
      <c r="K15" s="42" t="n">
        <f aca="false">'Aturan &amp; Tarif'!$B$5</f>
        <v>2050</v>
      </c>
      <c r="L15" s="35" t="n">
        <f aca="false">I15+J15+K15</f>
        <v>5276.36</v>
      </c>
      <c r="M15" s="45" t="s">
        <v>1800</v>
      </c>
    </row>
    <row r="16" customFormat="false" ht="14.25" hidden="false" customHeight="true" outlineLevel="0" collapsed="false">
      <c r="A16" s="39"/>
      <c r="B16" s="40" t="s">
        <v>1801</v>
      </c>
      <c r="C16" s="41" t="s">
        <v>107</v>
      </c>
      <c r="D16" s="41" t="s">
        <v>108</v>
      </c>
      <c r="E16" s="42" t="n">
        <v>1895</v>
      </c>
      <c r="F16" s="42" t="n">
        <v>400</v>
      </c>
      <c r="G16" s="42" t="n">
        <v>250</v>
      </c>
      <c r="H16" s="43" t="n">
        <v>1</v>
      </c>
      <c r="I16" s="34" t="n">
        <f aca="false">E16*H16+N(F16)+N(G16)</f>
        <v>2545</v>
      </c>
      <c r="J16" s="42" t="n">
        <f aca="false">ROUND(IFERROR(ROUND(IF(OR(ISNUMBER(SEARCH("week",C16)),ISNUMBER(SEARCH("minggu",C16))),IFERROR(_xlfn.NUMBERVALUE(SUBSTITUTE(LEFT(TRIM(C16),FIND(" ",TRIM(C16)&amp;" ")-1),",","."),"."),LEFT(SUBSTITUTE(LEFT(TRIM(C16),FIND(" ",TRIM(C16)&amp;" ")-1),",","."),FIND("/",SUBSTITUTE(LEFT(TRIM(C16),FIND(" ",TRIM(C16)&amp;" ")-1),",","."))-1)/MID(SUBSTITUTE(LEFT(TRIM(C16),FIND(" ",TRIM(C16)&amp;" ")-1),",","."),FIND("/",SUBSTITUTE(LEFT(TRIM(C16),FIND(" ",TRIM(C16)&amp;" ")-1),",","."))+1,9))*12/52,IF(ISNUMBER(SEARCH("month",C16)),IFERROR(_xlfn.NUMBERVALUE(SUBSTITUTE(LEFT(TRIM(C16),FIND(" ",TRIM(C16)&amp;" ")-1),",","."),"."),LEFT(SUBSTITUTE(LEFT(TRIM(C16),FIND(" ",TRIM(C16)&amp;" ")-1),",","."),FIND("/",SUBSTITUTE(LEFT(TRIM(C16),FIND(" ",TRIM(C16)&amp;" ")-1),",","."))-1)/MID(SUBSTITUTE(LEFT(TRIM(C16),FIND(" ",TRIM(C16)&amp;" ")-1),",","."),FIND("/",SUBSTITUTE(LEFT(TRIM(C16),FIND(" ",TRIM(C16)&amp;" ")-1),",","."))+1,9)),IF(ISNUMBER(SEARCH("yea",C16)),IFERROR(_xlfn.NUMBERVALUE(SUBSTITUTE(LEFT(TRIM(C16),FIND(" ",TRIM(C16)&amp;" ")-1),",","."),"."),LEFT(SUBSTITUTE(LEFT(TRIM(C16),FIND(" ",TRIM(C16)&amp;" ")-1),",","."),FIND("/",SUBSTITUTE(LEFT(TRIM(C16),FIND(" ",TRIM(C16)&amp;" ")-1),",","."))-1)/MID(SUBSTITUTE(LEFT(TRIM(C16),FIND(" ",TRIM(C16)&amp;" ")-1),",","."),FIND("/",SUBSTITUTE(LEFT(TRIM(C16),FIND(" ",TRIM(C16)&amp;" ")-1),",","."))+1,9))*12,NA()))),0),24)*'Aturan &amp; Tarif'!$B$4,2)</f>
        <v>1362.72</v>
      </c>
      <c r="K16" s="42" t="n">
        <f aca="false">'Aturan &amp; Tarif'!$B$5</f>
        <v>2050</v>
      </c>
      <c r="L16" s="35" t="n">
        <f aca="false">I16+J16+K16</f>
        <v>5957.72</v>
      </c>
      <c r="M16" s="45" t="s">
        <v>1800</v>
      </c>
    </row>
    <row r="17" customFormat="false" ht="14.25" hidden="false" customHeight="true" outlineLevel="0" collapsed="false">
      <c r="A17" s="39"/>
      <c r="B17" s="40" t="s">
        <v>1802</v>
      </c>
      <c r="C17" s="41" t="s">
        <v>127</v>
      </c>
      <c r="D17" s="41" t="s">
        <v>108</v>
      </c>
      <c r="E17" s="42" t="n">
        <v>1895</v>
      </c>
      <c r="F17" s="42" t="n">
        <v>400</v>
      </c>
      <c r="G17" s="42" t="n">
        <v>250</v>
      </c>
      <c r="H17" s="43" t="n">
        <v>1</v>
      </c>
      <c r="I17" s="34" t="n">
        <f aca="false">E17*H17+N(F17)+N(G17)</f>
        <v>2545</v>
      </c>
      <c r="J17" s="42" t="n">
        <f aca="false">ROUND(IFERROR(ROUND(IF(OR(ISNUMBER(SEARCH("week",C17)),ISNUMBER(SEARCH("minggu",C17))),IFERROR(_xlfn.NUMBERVALUE(SUBSTITUTE(LEFT(TRIM(C17),FIND(" ",TRIM(C17)&amp;" ")-1),",","."),"."),LEFT(SUBSTITUTE(LEFT(TRIM(C17),FIND(" ",TRIM(C17)&amp;" ")-1),",","."),FIND("/",SUBSTITUTE(LEFT(TRIM(C17),FIND(" ",TRIM(C17)&amp;" ")-1),",","."))-1)/MID(SUBSTITUTE(LEFT(TRIM(C17),FIND(" ",TRIM(C17)&amp;" ")-1),",","."),FIND("/",SUBSTITUTE(LEFT(TRIM(C17),FIND(" ",TRIM(C17)&amp;" ")-1),",","."))+1,9))*12/52,IF(ISNUMBER(SEARCH("month",C17)),IFERROR(_xlfn.NUMBERVALUE(SUBSTITUTE(LEFT(TRIM(C17),FIND(" ",TRIM(C17)&amp;" ")-1),",","."),"."),LEFT(SUBSTITUTE(LEFT(TRIM(C17),FIND(" ",TRIM(C17)&amp;" ")-1),",","."),FIND("/",SUBSTITUTE(LEFT(TRIM(C17),FIND(" ",TRIM(C17)&amp;" ")-1),",","."))-1)/MID(SUBSTITUTE(LEFT(TRIM(C17),FIND(" ",TRIM(C17)&amp;" ")-1),",","."),FIND("/",SUBSTITUTE(LEFT(TRIM(C17),FIND(" ",TRIM(C17)&amp;" ")-1),",","."))+1,9)),IF(ISNUMBER(SEARCH("yea",C17)),IFERROR(_xlfn.NUMBERVALUE(SUBSTITUTE(LEFT(TRIM(C17),FIND(" ",TRIM(C17)&amp;" ")-1),",","."),"."),LEFT(SUBSTITUTE(LEFT(TRIM(C17),FIND(" ",TRIM(C17)&amp;" ")-1),",","."),FIND("/",SUBSTITUTE(LEFT(TRIM(C17),FIND(" ",TRIM(C17)&amp;" ")-1),",","."))-1)/MID(SUBSTITUTE(LEFT(TRIM(C17),FIND(" ",TRIM(C17)&amp;" ")-1),",","."),FIND("/",SUBSTITUTE(LEFT(TRIM(C17),FIND(" ",TRIM(C17)&amp;" ")-1),",","."))+1,9))*12,NA()))),0),36)*'Aturan &amp; Tarif'!$B$4,2)</f>
        <v>2044.08</v>
      </c>
      <c r="K17" s="42" t="n">
        <f aca="false">'Aturan &amp; Tarif'!$B$5</f>
        <v>2050</v>
      </c>
      <c r="L17" s="35" t="n">
        <f aca="false">I17+J17+K17</f>
        <v>6639.08</v>
      </c>
      <c r="M17" s="45" t="s">
        <v>1800</v>
      </c>
    </row>
    <row r="18" customFormat="false" ht="25.5" hidden="false" customHeight="true" outlineLevel="0" collapsed="false">
      <c r="A18" s="39"/>
      <c r="B18" s="40" t="s">
        <v>3016</v>
      </c>
      <c r="C18" s="41" t="s">
        <v>107</v>
      </c>
      <c r="D18" s="41" t="s">
        <v>108</v>
      </c>
      <c r="E18" s="42" t="n">
        <v>2750</v>
      </c>
      <c r="F18" s="42" t="n">
        <v>1500</v>
      </c>
      <c r="G18" s="42" t="n">
        <v>250</v>
      </c>
      <c r="H18" s="43" t="n">
        <v>1</v>
      </c>
      <c r="I18" s="34" t="n">
        <f aca="false">E18*H18+N(F18)+N(G18)</f>
        <v>4500</v>
      </c>
      <c r="J18" s="42" t="n">
        <f aca="false">ROUND(IFERROR(ROUND(IF(OR(ISNUMBER(SEARCH("week",C18)),ISNUMBER(SEARCH("minggu",C18))),IFERROR(_xlfn.NUMBERVALUE(SUBSTITUTE(LEFT(TRIM(C18),FIND(" ",TRIM(C18)&amp;" ")-1),",","."),"."),LEFT(SUBSTITUTE(LEFT(TRIM(C18),FIND(" ",TRIM(C18)&amp;" ")-1),",","."),FIND("/",SUBSTITUTE(LEFT(TRIM(C18),FIND(" ",TRIM(C18)&amp;" ")-1),",","."))-1)/MID(SUBSTITUTE(LEFT(TRIM(C18),FIND(" ",TRIM(C18)&amp;" ")-1),",","."),FIND("/",SUBSTITUTE(LEFT(TRIM(C18),FIND(" ",TRIM(C18)&amp;" ")-1),",","."))+1,9))*12/52,IF(ISNUMBER(SEARCH("month",C18)),IFERROR(_xlfn.NUMBERVALUE(SUBSTITUTE(LEFT(TRIM(C18),FIND(" ",TRIM(C18)&amp;" ")-1),",","."),"."),LEFT(SUBSTITUTE(LEFT(TRIM(C18),FIND(" ",TRIM(C18)&amp;" ")-1),",","."),FIND("/",SUBSTITUTE(LEFT(TRIM(C18),FIND(" ",TRIM(C18)&amp;" ")-1),",","."))-1)/MID(SUBSTITUTE(LEFT(TRIM(C18),FIND(" ",TRIM(C18)&amp;" ")-1),",","."),FIND("/",SUBSTITUTE(LEFT(TRIM(C18),FIND(" ",TRIM(C18)&amp;" ")-1),",","."))+1,9)),IF(ISNUMBER(SEARCH("yea",C18)),IFERROR(_xlfn.NUMBERVALUE(SUBSTITUTE(LEFT(TRIM(C18),FIND(" ",TRIM(C18)&amp;" ")-1),",","."),"."),LEFT(SUBSTITUTE(LEFT(TRIM(C18),FIND(" ",TRIM(C18)&amp;" ")-1),",","."),FIND("/",SUBSTITUTE(LEFT(TRIM(C18),FIND(" ",TRIM(C18)&amp;" ")-1),",","."))-1)/MID(SUBSTITUTE(LEFT(TRIM(C18),FIND(" ",TRIM(C18)&amp;" ")-1),",","."),FIND("/",SUBSTITUTE(LEFT(TRIM(C18),FIND(" ",TRIM(C18)&amp;" ")-1),",","."))+1,9))*12,NA()))),0),24)*'Aturan &amp; Tarif'!$B$4,2)</f>
        <v>1362.72</v>
      </c>
      <c r="K18" s="42" t="n">
        <f aca="false">'Aturan &amp; Tarif'!$B$5</f>
        <v>2050</v>
      </c>
      <c r="L18" s="35" t="n">
        <f aca="false">I18+J18+K18</f>
        <v>7912.72</v>
      </c>
      <c r="M18" s="44" t="s">
        <v>1804</v>
      </c>
    </row>
    <row r="19" customFormat="false" ht="25.5" hidden="false" customHeight="true" outlineLevel="0" collapsed="false">
      <c r="A19" s="39"/>
      <c r="B19" s="40" t="s">
        <v>3017</v>
      </c>
      <c r="C19" s="41" t="s">
        <v>138</v>
      </c>
      <c r="D19" s="48" t="s">
        <v>108</v>
      </c>
      <c r="E19" s="42" t="n">
        <v>2750</v>
      </c>
      <c r="F19" s="42" t="n">
        <v>1600</v>
      </c>
      <c r="G19" s="42" t="n">
        <v>250</v>
      </c>
      <c r="H19" s="50" t="n">
        <v>1</v>
      </c>
      <c r="I19" s="34" t="n">
        <f aca="false">E19*H19+N(F19)+N(G19)</f>
        <v>4600</v>
      </c>
      <c r="J19" s="42" t="n">
        <f aca="false">ROUND(IFERROR(ROUND(IF(OR(ISNUMBER(SEARCH("week",C19)),ISNUMBER(SEARCH("minggu",C19))),IFERROR(_xlfn.NUMBERVALUE(SUBSTITUTE(LEFT(TRIM(C19),FIND(" ",TRIM(C19)&amp;" ")-1),",","."),"."),LEFT(SUBSTITUTE(LEFT(TRIM(C19),FIND(" ",TRIM(C19)&amp;" ")-1),",","."),FIND("/",SUBSTITUTE(LEFT(TRIM(C19),FIND(" ",TRIM(C19)&amp;" ")-1),",","."))-1)/MID(SUBSTITUTE(LEFT(TRIM(C19),FIND(" ",TRIM(C19)&amp;" ")-1),",","."),FIND("/",SUBSTITUTE(LEFT(TRIM(C19),FIND(" ",TRIM(C19)&amp;" ")-1),",","."))+1,9))*12/52,IF(ISNUMBER(SEARCH("month",C19)),IFERROR(_xlfn.NUMBERVALUE(SUBSTITUTE(LEFT(TRIM(C19),FIND(" ",TRIM(C19)&amp;" ")-1),",","."),"."),LEFT(SUBSTITUTE(LEFT(TRIM(C19),FIND(" ",TRIM(C19)&amp;" ")-1),",","."),FIND("/",SUBSTITUTE(LEFT(TRIM(C19),FIND(" ",TRIM(C19)&amp;" ")-1),",","."))-1)/MID(SUBSTITUTE(LEFT(TRIM(C19),FIND(" ",TRIM(C19)&amp;" ")-1),",","."),FIND("/",SUBSTITUTE(LEFT(TRIM(C19),FIND(" ",TRIM(C19)&amp;" ")-1),",","."))+1,9)),IF(ISNUMBER(SEARCH("yea",C19)),IFERROR(_xlfn.NUMBERVALUE(SUBSTITUTE(LEFT(TRIM(C19),FIND(" ",TRIM(C19)&amp;" ")-1),",","."),"."),LEFT(SUBSTITUTE(LEFT(TRIM(C19),FIND(" ",TRIM(C19)&amp;" ")-1),",","."),FIND("/",SUBSTITUTE(LEFT(TRIM(C19),FIND(" ",TRIM(C19)&amp;" ")-1),",","."))-1)/MID(SUBSTITUTE(LEFT(TRIM(C19),FIND(" ",TRIM(C19)&amp;" ")-1),",","."),FIND("/",SUBSTITUTE(LEFT(TRIM(C19),FIND(" ",TRIM(C19)&amp;" ")-1),",","."))+1,9))*12,NA()))),0),30)*'Aturan &amp; Tarif'!$B$4,2)</f>
        <v>1703.4</v>
      </c>
      <c r="K19" s="42" t="n">
        <f aca="false">'Aturan &amp; Tarif'!$B$5</f>
        <v>2050</v>
      </c>
      <c r="L19" s="35" t="n">
        <f aca="false">I19+J19+K19</f>
        <v>8353.4</v>
      </c>
      <c r="M19" s="44" t="s">
        <v>3018</v>
      </c>
    </row>
    <row r="20" customFormat="false" ht="25.5" hidden="false" customHeight="true" outlineLevel="0" collapsed="false">
      <c r="A20" s="39"/>
      <c r="B20" s="40" t="s">
        <v>1806</v>
      </c>
      <c r="C20" s="41" t="s">
        <v>113</v>
      </c>
      <c r="D20" s="41" t="s">
        <v>108</v>
      </c>
      <c r="E20" s="42" t="n">
        <v>3000</v>
      </c>
      <c r="F20" s="42" t="n">
        <v>1400</v>
      </c>
      <c r="G20" s="42" t="n">
        <v>500</v>
      </c>
      <c r="H20" s="43" t="n">
        <v>1</v>
      </c>
      <c r="I20" s="34" t="n">
        <f aca="false">E20*H20+N(F20)+N(G20)</f>
        <v>4900</v>
      </c>
      <c r="J20" s="42" t="n">
        <f aca="false">ROUND(IFERROR(ROUND(IF(OR(ISNUMBER(SEARCH("week",C20)),ISNUMBER(SEARCH("minggu",C20))),IFERROR(_xlfn.NUMBERVALUE(SUBSTITUTE(LEFT(TRIM(C20),FIND(" ",TRIM(C20)&amp;" ")-1),",","."),"."),LEFT(SUBSTITUTE(LEFT(TRIM(C20),FIND(" ",TRIM(C20)&amp;" ")-1),",","."),FIND("/",SUBSTITUTE(LEFT(TRIM(C20),FIND(" ",TRIM(C20)&amp;" ")-1),",","."))-1)/MID(SUBSTITUTE(LEFT(TRIM(C20),FIND(" ",TRIM(C20)&amp;" ")-1),",","."),FIND("/",SUBSTITUTE(LEFT(TRIM(C20),FIND(" ",TRIM(C20)&amp;" ")-1),",","."))+1,9))*12/52,IF(ISNUMBER(SEARCH("month",C20)),IFERROR(_xlfn.NUMBERVALUE(SUBSTITUTE(LEFT(TRIM(C20),FIND(" ",TRIM(C20)&amp;" ")-1),",","."),"."),LEFT(SUBSTITUTE(LEFT(TRIM(C20),FIND(" ",TRIM(C20)&amp;" ")-1),",","."),FIND("/",SUBSTITUTE(LEFT(TRIM(C20),FIND(" ",TRIM(C20)&amp;" ")-1),",","."))-1)/MID(SUBSTITUTE(LEFT(TRIM(C20),FIND(" ",TRIM(C20)&amp;" ")-1),",","."),FIND("/",SUBSTITUTE(LEFT(TRIM(C20),FIND(" ",TRIM(C20)&amp;" ")-1),",","."))+1,9)),IF(ISNUMBER(SEARCH("yea",C20)),IFERROR(_xlfn.NUMBERVALUE(SUBSTITUTE(LEFT(TRIM(C20),FIND(" ",TRIM(C20)&amp;" ")-1),",","."),"."),LEFT(SUBSTITUTE(LEFT(TRIM(C20),FIND(" ",TRIM(C20)&amp;" ")-1),",","."),FIND("/",SUBSTITUTE(LEFT(TRIM(C20),FIND(" ",TRIM(C20)&amp;" ")-1),",","."))-1)/MID(SUBSTITUTE(LEFT(TRIM(C20),FIND(" ",TRIM(C20)&amp;" ")-1),",","."),FIND("/",SUBSTITUTE(LEFT(TRIM(C20),FIND(" ",TRIM(C20)&amp;" ")-1),",","."))+1,9))*12,NA()))),0),18)*'Aturan &amp; Tarif'!$B$4,2)</f>
        <v>1022.04</v>
      </c>
      <c r="K20" s="42" t="n">
        <f aca="false">'Aturan &amp; Tarif'!$B$5</f>
        <v>2050</v>
      </c>
      <c r="L20" s="35" t="n">
        <f aca="false">I20+J20+K20</f>
        <v>7972.04</v>
      </c>
      <c r="M20" s="45" t="s">
        <v>1800</v>
      </c>
    </row>
    <row r="21" customFormat="false" ht="14.25" hidden="false" customHeight="true" outlineLevel="0" collapsed="false">
      <c r="A21" s="39"/>
      <c r="B21" s="40" t="s">
        <v>3019</v>
      </c>
      <c r="C21" s="41" t="s">
        <v>107</v>
      </c>
      <c r="D21" s="48" t="s">
        <v>108</v>
      </c>
      <c r="E21" s="42" t="n">
        <v>3000</v>
      </c>
      <c r="F21" s="42" t="n">
        <v>1500</v>
      </c>
      <c r="G21" s="42" t="n">
        <v>250</v>
      </c>
      <c r="H21" s="50" t="n">
        <v>1</v>
      </c>
      <c r="I21" s="34" t="n">
        <f aca="false">E21*H21+N(F21)+N(G21)</f>
        <v>4750</v>
      </c>
      <c r="J21" s="42" t="n">
        <f aca="false">ROUND(IFERROR(ROUND(IF(OR(ISNUMBER(SEARCH("week",C21)),ISNUMBER(SEARCH("minggu",C21))),IFERROR(_xlfn.NUMBERVALUE(SUBSTITUTE(LEFT(TRIM(C21),FIND(" ",TRIM(C21)&amp;" ")-1),",","."),"."),LEFT(SUBSTITUTE(LEFT(TRIM(C21),FIND(" ",TRIM(C21)&amp;" ")-1),",","."),FIND("/",SUBSTITUTE(LEFT(TRIM(C21),FIND(" ",TRIM(C21)&amp;" ")-1),",","."))-1)/MID(SUBSTITUTE(LEFT(TRIM(C21),FIND(" ",TRIM(C21)&amp;" ")-1),",","."),FIND("/",SUBSTITUTE(LEFT(TRIM(C21),FIND(" ",TRIM(C21)&amp;" ")-1),",","."))+1,9))*12/52,IF(ISNUMBER(SEARCH("month",C21)),IFERROR(_xlfn.NUMBERVALUE(SUBSTITUTE(LEFT(TRIM(C21),FIND(" ",TRIM(C21)&amp;" ")-1),",","."),"."),LEFT(SUBSTITUTE(LEFT(TRIM(C21),FIND(" ",TRIM(C21)&amp;" ")-1),",","."),FIND("/",SUBSTITUTE(LEFT(TRIM(C21),FIND(" ",TRIM(C21)&amp;" ")-1),",","."))-1)/MID(SUBSTITUTE(LEFT(TRIM(C21),FIND(" ",TRIM(C21)&amp;" ")-1),",","."),FIND("/",SUBSTITUTE(LEFT(TRIM(C21),FIND(" ",TRIM(C21)&amp;" ")-1),",","."))+1,9)),IF(ISNUMBER(SEARCH("yea",C21)),IFERROR(_xlfn.NUMBERVALUE(SUBSTITUTE(LEFT(TRIM(C21),FIND(" ",TRIM(C21)&amp;" ")-1),",","."),"."),LEFT(SUBSTITUTE(LEFT(TRIM(C21),FIND(" ",TRIM(C21)&amp;" ")-1),",","."),FIND("/",SUBSTITUTE(LEFT(TRIM(C21),FIND(" ",TRIM(C21)&amp;" ")-1),",","."))-1)/MID(SUBSTITUTE(LEFT(TRIM(C21),FIND(" ",TRIM(C21)&amp;" ")-1),",","."),FIND("/",SUBSTITUTE(LEFT(TRIM(C21),FIND(" ",TRIM(C21)&amp;" ")-1),",","."))+1,9))*12,NA()))),0),24)*'Aturan &amp; Tarif'!$B$4,2)</f>
        <v>1362.72</v>
      </c>
      <c r="K21" s="42" t="n">
        <f aca="false">'Aturan &amp; Tarif'!$B$5</f>
        <v>2050</v>
      </c>
      <c r="L21" s="35" t="n">
        <f aca="false">I21+J21+K21</f>
        <v>8162.72</v>
      </c>
      <c r="M21" s="44" t="s">
        <v>3018</v>
      </c>
    </row>
    <row r="22" customFormat="false" ht="14.25" hidden="false" customHeight="true" outlineLevel="0" collapsed="false">
      <c r="A22" s="39"/>
      <c r="B22" s="40" t="s">
        <v>3020</v>
      </c>
      <c r="C22" s="41" t="s">
        <v>138</v>
      </c>
      <c r="D22" s="48" t="s">
        <v>108</v>
      </c>
      <c r="E22" s="42" t="n">
        <v>3000</v>
      </c>
      <c r="F22" s="42" t="n">
        <v>1600</v>
      </c>
      <c r="G22" s="42" t="n">
        <v>250</v>
      </c>
      <c r="H22" s="50" t="n">
        <v>1</v>
      </c>
      <c r="I22" s="34" t="n">
        <f aca="false">E22*H22+N(F22)+N(G22)</f>
        <v>4850</v>
      </c>
      <c r="J22" s="42" t="n">
        <f aca="false">ROUND(IFERROR(ROUND(IF(OR(ISNUMBER(SEARCH("week",C22)),ISNUMBER(SEARCH("minggu",C22))),IFERROR(_xlfn.NUMBERVALUE(SUBSTITUTE(LEFT(TRIM(C22),FIND(" ",TRIM(C22)&amp;" ")-1),",","."),"."),LEFT(SUBSTITUTE(LEFT(TRIM(C22),FIND(" ",TRIM(C22)&amp;" ")-1),",","."),FIND("/",SUBSTITUTE(LEFT(TRIM(C22),FIND(" ",TRIM(C22)&amp;" ")-1),",","."))-1)/MID(SUBSTITUTE(LEFT(TRIM(C22),FIND(" ",TRIM(C22)&amp;" ")-1),",","."),FIND("/",SUBSTITUTE(LEFT(TRIM(C22),FIND(" ",TRIM(C22)&amp;" ")-1),",","."))+1,9))*12/52,IF(ISNUMBER(SEARCH("month",C22)),IFERROR(_xlfn.NUMBERVALUE(SUBSTITUTE(LEFT(TRIM(C22),FIND(" ",TRIM(C22)&amp;" ")-1),",","."),"."),LEFT(SUBSTITUTE(LEFT(TRIM(C22),FIND(" ",TRIM(C22)&amp;" ")-1),",","."),FIND("/",SUBSTITUTE(LEFT(TRIM(C22),FIND(" ",TRIM(C22)&amp;" ")-1),",","."))-1)/MID(SUBSTITUTE(LEFT(TRIM(C22),FIND(" ",TRIM(C22)&amp;" ")-1),",","."),FIND("/",SUBSTITUTE(LEFT(TRIM(C22),FIND(" ",TRIM(C22)&amp;" ")-1),",","."))+1,9)),IF(ISNUMBER(SEARCH("yea",C22)),IFERROR(_xlfn.NUMBERVALUE(SUBSTITUTE(LEFT(TRIM(C22),FIND(" ",TRIM(C22)&amp;" ")-1),",","."),"."),LEFT(SUBSTITUTE(LEFT(TRIM(C22),FIND(" ",TRIM(C22)&amp;" ")-1),",","."),FIND("/",SUBSTITUTE(LEFT(TRIM(C22),FIND(" ",TRIM(C22)&amp;" ")-1),",","."))-1)/MID(SUBSTITUTE(LEFT(TRIM(C22),FIND(" ",TRIM(C22)&amp;" ")-1),",","."),FIND("/",SUBSTITUTE(LEFT(TRIM(C22),FIND(" ",TRIM(C22)&amp;" ")-1),",","."))+1,9))*12,NA()))),0),30)*'Aturan &amp; Tarif'!$B$4,2)</f>
        <v>1703.4</v>
      </c>
      <c r="K22" s="42" t="n">
        <f aca="false">'Aturan &amp; Tarif'!$B$5</f>
        <v>2050</v>
      </c>
      <c r="L22" s="35" t="n">
        <f aca="false">I22+J22+K22</f>
        <v>8603.4</v>
      </c>
      <c r="M22" s="44" t="s">
        <v>3018</v>
      </c>
    </row>
    <row r="23" customFormat="false" ht="37.5" hidden="false" customHeight="true" outlineLevel="0" collapsed="false">
      <c r="A23" s="39"/>
      <c r="B23" s="40" t="s">
        <v>1809</v>
      </c>
      <c r="C23" s="41" t="s">
        <v>107</v>
      </c>
      <c r="D23" s="48" t="s">
        <v>108</v>
      </c>
      <c r="E23" s="42" t="n">
        <v>2750</v>
      </c>
      <c r="F23" s="42" t="n">
        <v>1800</v>
      </c>
      <c r="G23" s="42" t="n">
        <v>250</v>
      </c>
      <c r="H23" s="50" t="n">
        <v>1</v>
      </c>
      <c r="I23" s="34" t="n">
        <f aca="false">E23*H23+N(F23)+N(G23)</f>
        <v>4800</v>
      </c>
      <c r="J23" s="42" t="n">
        <f aca="false">ROUND(IFERROR(ROUND(IF(OR(ISNUMBER(SEARCH("week",C23)),ISNUMBER(SEARCH("minggu",C23))),IFERROR(_xlfn.NUMBERVALUE(SUBSTITUTE(LEFT(TRIM(C23),FIND(" ",TRIM(C23)&amp;" ")-1),",","."),"."),LEFT(SUBSTITUTE(LEFT(TRIM(C23),FIND(" ",TRIM(C23)&amp;" ")-1),",","."),FIND("/",SUBSTITUTE(LEFT(TRIM(C23),FIND(" ",TRIM(C23)&amp;" ")-1),",","."))-1)/MID(SUBSTITUTE(LEFT(TRIM(C23),FIND(" ",TRIM(C23)&amp;" ")-1),",","."),FIND("/",SUBSTITUTE(LEFT(TRIM(C23),FIND(" ",TRIM(C23)&amp;" ")-1),",","."))+1,9))*12/52,IF(ISNUMBER(SEARCH("month",C23)),IFERROR(_xlfn.NUMBERVALUE(SUBSTITUTE(LEFT(TRIM(C23),FIND(" ",TRIM(C23)&amp;" ")-1),",","."),"."),LEFT(SUBSTITUTE(LEFT(TRIM(C23),FIND(" ",TRIM(C23)&amp;" ")-1),",","."),FIND("/",SUBSTITUTE(LEFT(TRIM(C23),FIND(" ",TRIM(C23)&amp;" ")-1),",","."))-1)/MID(SUBSTITUTE(LEFT(TRIM(C23),FIND(" ",TRIM(C23)&amp;" ")-1),",","."),FIND("/",SUBSTITUTE(LEFT(TRIM(C23),FIND(" ",TRIM(C23)&amp;" ")-1),",","."))+1,9)),IF(ISNUMBER(SEARCH("yea",C23)),IFERROR(_xlfn.NUMBERVALUE(SUBSTITUTE(LEFT(TRIM(C23),FIND(" ",TRIM(C23)&amp;" ")-1),",","."),"."),LEFT(SUBSTITUTE(LEFT(TRIM(C23),FIND(" ",TRIM(C23)&amp;" ")-1),",","."),FIND("/",SUBSTITUTE(LEFT(TRIM(C23),FIND(" ",TRIM(C23)&amp;" ")-1),",","."))-1)/MID(SUBSTITUTE(LEFT(TRIM(C23),FIND(" ",TRIM(C23)&amp;" ")-1),",","."),FIND("/",SUBSTITUTE(LEFT(TRIM(C23),FIND(" ",TRIM(C23)&amp;" ")-1),",","."))+1,9))*12,NA()))),0),24)*'Aturan &amp; Tarif'!$B$4,2)</f>
        <v>1362.72</v>
      </c>
      <c r="K23" s="42" t="n">
        <f aca="false">'Aturan &amp; Tarif'!$B$5</f>
        <v>2050</v>
      </c>
      <c r="L23" s="35" t="n">
        <f aca="false">I23+J23+K23</f>
        <v>8212.72</v>
      </c>
      <c r="M23" s="44" t="s">
        <v>3021</v>
      </c>
    </row>
    <row r="24" customFormat="false" ht="25.5" hidden="false" customHeight="true" outlineLevel="0" collapsed="false">
      <c r="A24" s="39"/>
      <c r="B24" s="40" t="s">
        <v>3022</v>
      </c>
      <c r="C24" s="41" t="s">
        <v>138</v>
      </c>
      <c r="D24" s="41" t="s">
        <v>108</v>
      </c>
      <c r="E24" s="42" t="n">
        <v>2750</v>
      </c>
      <c r="F24" s="42" t="n">
        <v>1900</v>
      </c>
      <c r="G24" s="42" t="n">
        <v>250</v>
      </c>
      <c r="H24" s="43" t="n">
        <v>1</v>
      </c>
      <c r="I24" s="34" t="n">
        <f aca="false">E24*H24+N(F24)+N(G24)</f>
        <v>4900</v>
      </c>
      <c r="J24" s="42" t="n">
        <f aca="false">ROUND(IFERROR(ROUND(IF(OR(ISNUMBER(SEARCH("week",C24)),ISNUMBER(SEARCH("minggu",C24))),IFERROR(_xlfn.NUMBERVALUE(SUBSTITUTE(LEFT(TRIM(C24),FIND(" ",TRIM(C24)&amp;" ")-1),",","."),"."),LEFT(SUBSTITUTE(LEFT(TRIM(C24),FIND(" ",TRIM(C24)&amp;" ")-1),",","."),FIND("/",SUBSTITUTE(LEFT(TRIM(C24),FIND(" ",TRIM(C24)&amp;" ")-1),",","."))-1)/MID(SUBSTITUTE(LEFT(TRIM(C24),FIND(" ",TRIM(C24)&amp;" ")-1),",","."),FIND("/",SUBSTITUTE(LEFT(TRIM(C24),FIND(" ",TRIM(C24)&amp;" ")-1),",","."))+1,9))*12/52,IF(ISNUMBER(SEARCH("month",C24)),IFERROR(_xlfn.NUMBERVALUE(SUBSTITUTE(LEFT(TRIM(C24),FIND(" ",TRIM(C24)&amp;" ")-1),",","."),"."),LEFT(SUBSTITUTE(LEFT(TRIM(C24),FIND(" ",TRIM(C24)&amp;" ")-1),",","."),FIND("/",SUBSTITUTE(LEFT(TRIM(C24),FIND(" ",TRIM(C24)&amp;" ")-1),",","."))-1)/MID(SUBSTITUTE(LEFT(TRIM(C24),FIND(" ",TRIM(C24)&amp;" ")-1),",","."),FIND("/",SUBSTITUTE(LEFT(TRIM(C24),FIND(" ",TRIM(C24)&amp;" ")-1),",","."))+1,9)),IF(ISNUMBER(SEARCH("yea",C24)),IFERROR(_xlfn.NUMBERVALUE(SUBSTITUTE(LEFT(TRIM(C24),FIND(" ",TRIM(C24)&amp;" ")-1),",","."),"."),LEFT(SUBSTITUTE(LEFT(TRIM(C24),FIND(" ",TRIM(C24)&amp;" ")-1),",","."),FIND("/",SUBSTITUTE(LEFT(TRIM(C24),FIND(" ",TRIM(C24)&amp;" ")-1),",","."))-1)/MID(SUBSTITUTE(LEFT(TRIM(C24),FIND(" ",TRIM(C24)&amp;" ")-1),",","."),FIND("/",SUBSTITUTE(LEFT(TRIM(C24),FIND(" ",TRIM(C24)&amp;" ")-1),",","."))+1,9))*12,NA()))),0),30)*'Aturan &amp; Tarif'!$B$4,2)</f>
        <v>1703.4</v>
      </c>
      <c r="K24" s="42" t="n">
        <f aca="false">'Aturan &amp; Tarif'!$B$5</f>
        <v>2050</v>
      </c>
      <c r="L24" s="35" t="n">
        <f aca="false">I24+J24+K24</f>
        <v>8653.4</v>
      </c>
      <c r="M24" s="44" t="s">
        <v>1804</v>
      </c>
    </row>
    <row r="25" customFormat="false" ht="37.5" hidden="false" customHeight="true" outlineLevel="0" collapsed="false">
      <c r="A25" s="39"/>
      <c r="B25" s="40" t="s">
        <v>3023</v>
      </c>
      <c r="C25" s="41" t="s">
        <v>127</v>
      </c>
      <c r="D25" s="41" t="s">
        <v>108</v>
      </c>
      <c r="E25" s="42" t="n">
        <v>2750</v>
      </c>
      <c r="F25" s="42" t="n">
        <v>2000</v>
      </c>
      <c r="G25" s="42" t="n">
        <v>250</v>
      </c>
      <c r="H25" s="43" t="n">
        <v>1</v>
      </c>
      <c r="I25" s="34" t="n">
        <f aca="false">E25*H25+N(F25)+N(G25)</f>
        <v>5000</v>
      </c>
      <c r="J25" s="42" t="n">
        <f aca="false">ROUND(IFERROR(ROUND(IF(OR(ISNUMBER(SEARCH("week",C25)),ISNUMBER(SEARCH("minggu",C25))),IFERROR(_xlfn.NUMBERVALUE(SUBSTITUTE(LEFT(TRIM(C25),FIND(" ",TRIM(C25)&amp;" ")-1),",","."),"."),LEFT(SUBSTITUTE(LEFT(TRIM(C25),FIND(" ",TRIM(C25)&amp;" ")-1),",","."),FIND("/",SUBSTITUTE(LEFT(TRIM(C25),FIND(" ",TRIM(C25)&amp;" ")-1),",","."))-1)/MID(SUBSTITUTE(LEFT(TRIM(C25),FIND(" ",TRIM(C25)&amp;" ")-1),",","."),FIND("/",SUBSTITUTE(LEFT(TRIM(C25),FIND(" ",TRIM(C25)&amp;" ")-1),",","."))+1,9))*12/52,IF(ISNUMBER(SEARCH("month",C25)),IFERROR(_xlfn.NUMBERVALUE(SUBSTITUTE(LEFT(TRIM(C25),FIND(" ",TRIM(C25)&amp;" ")-1),",","."),"."),LEFT(SUBSTITUTE(LEFT(TRIM(C25),FIND(" ",TRIM(C25)&amp;" ")-1),",","."),FIND("/",SUBSTITUTE(LEFT(TRIM(C25),FIND(" ",TRIM(C25)&amp;" ")-1),",","."))-1)/MID(SUBSTITUTE(LEFT(TRIM(C25),FIND(" ",TRIM(C25)&amp;" ")-1),",","."),FIND("/",SUBSTITUTE(LEFT(TRIM(C25),FIND(" ",TRIM(C25)&amp;" ")-1),",","."))+1,9)),IF(ISNUMBER(SEARCH("yea",C25)),IFERROR(_xlfn.NUMBERVALUE(SUBSTITUTE(LEFT(TRIM(C25),FIND(" ",TRIM(C25)&amp;" ")-1),",","."),"."),LEFT(SUBSTITUTE(LEFT(TRIM(C25),FIND(" ",TRIM(C25)&amp;" ")-1),",","."),FIND("/",SUBSTITUTE(LEFT(TRIM(C25),FIND(" ",TRIM(C25)&amp;" ")-1),",","."))-1)/MID(SUBSTITUTE(LEFT(TRIM(C25),FIND(" ",TRIM(C25)&amp;" ")-1),",","."),FIND("/",SUBSTITUTE(LEFT(TRIM(C25),FIND(" ",TRIM(C25)&amp;" ")-1),",","."))+1,9))*12,NA()))),0),36)*'Aturan &amp; Tarif'!$B$4,2)</f>
        <v>2044.08</v>
      </c>
      <c r="K25" s="42" t="n">
        <f aca="false">'Aturan &amp; Tarif'!$B$5</f>
        <v>2050</v>
      </c>
      <c r="L25" s="35" t="n">
        <f aca="false">I25+J25+K25</f>
        <v>9094.08</v>
      </c>
      <c r="M25" s="44" t="s">
        <v>1804</v>
      </c>
    </row>
    <row r="26" customFormat="false" ht="25.5" hidden="false" customHeight="true" outlineLevel="0" collapsed="false">
      <c r="A26" s="39"/>
      <c r="B26" s="40" t="s">
        <v>1812</v>
      </c>
      <c r="C26" s="41" t="s">
        <v>113</v>
      </c>
      <c r="D26" s="41" t="s">
        <v>108</v>
      </c>
      <c r="E26" s="42" t="n">
        <v>1600</v>
      </c>
      <c r="F26" s="42" t="n">
        <v>300</v>
      </c>
      <c r="G26" s="42" t="n">
        <v>500</v>
      </c>
      <c r="H26" s="43" t="n">
        <v>1</v>
      </c>
      <c r="I26" s="34" t="n">
        <f aca="false">E26*H26+N(F26)+N(G26)</f>
        <v>2400</v>
      </c>
      <c r="J26" s="42" t="n">
        <f aca="false">ROUND(IFERROR(ROUND(IF(OR(ISNUMBER(SEARCH("week",C26)),ISNUMBER(SEARCH("minggu",C26))),IFERROR(_xlfn.NUMBERVALUE(SUBSTITUTE(LEFT(TRIM(C26),FIND(" ",TRIM(C26)&amp;" ")-1),",","."),"."),LEFT(SUBSTITUTE(LEFT(TRIM(C26),FIND(" ",TRIM(C26)&amp;" ")-1),",","."),FIND("/",SUBSTITUTE(LEFT(TRIM(C26),FIND(" ",TRIM(C26)&amp;" ")-1),",","."))-1)/MID(SUBSTITUTE(LEFT(TRIM(C26),FIND(" ",TRIM(C26)&amp;" ")-1),",","."),FIND("/",SUBSTITUTE(LEFT(TRIM(C26),FIND(" ",TRIM(C26)&amp;" ")-1),",","."))+1,9))*12/52,IF(ISNUMBER(SEARCH("month",C26)),IFERROR(_xlfn.NUMBERVALUE(SUBSTITUTE(LEFT(TRIM(C26),FIND(" ",TRIM(C26)&amp;" ")-1),",","."),"."),LEFT(SUBSTITUTE(LEFT(TRIM(C26),FIND(" ",TRIM(C26)&amp;" ")-1),",","."),FIND("/",SUBSTITUTE(LEFT(TRIM(C26),FIND(" ",TRIM(C26)&amp;" ")-1),",","."))-1)/MID(SUBSTITUTE(LEFT(TRIM(C26),FIND(" ",TRIM(C26)&amp;" ")-1),",","."),FIND("/",SUBSTITUTE(LEFT(TRIM(C26),FIND(" ",TRIM(C26)&amp;" ")-1),",","."))+1,9)),IF(ISNUMBER(SEARCH("yea",C26)),IFERROR(_xlfn.NUMBERVALUE(SUBSTITUTE(LEFT(TRIM(C26),FIND(" ",TRIM(C26)&amp;" ")-1),",","."),"."),LEFT(SUBSTITUTE(LEFT(TRIM(C26),FIND(" ",TRIM(C26)&amp;" ")-1),",","."),FIND("/",SUBSTITUTE(LEFT(TRIM(C26),FIND(" ",TRIM(C26)&amp;" ")-1),",","."))-1)/MID(SUBSTITUTE(LEFT(TRIM(C26),FIND(" ",TRIM(C26)&amp;" ")-1),",","."),FIND("/",SUBSTITUTE(LEFT(TRIM(C26),FIND(" ",TRIM(C26)&amp;" ")-1),",","."))+1,9))*12,NA()))),0),18)*'Aturan &amp; Tarif'!$B$4,2)</f>
        <v>1022.04</v>
      </c>
      <c r="K26" s="42" t="n">
        <f aca="false">'Aturan &amp; Tarif'!$B$5</f>
        <v>2050</v>
      </c>
      <c r="L26" s="35" t="n">
        <f aca="false">I26+J26+K26</f>
        <v>5472.04</v>
      </c>
      <c r="M26" s="45" t="s">
        <v>1800</v>
      </c>
    </row>
    <row r="27" customFormat="false" ht="25.5" hidden="false" customHeight="true" outlineLevel="0" collapsed="false">
      <c r="A27" s="39"/>
      <c r="B27" s="40" t="s">
        <v>1813</v>
      </c>
      <c r="C27" s="41" t="s">
        <v>107</v>
      </c>
      <c r="D27" s="41" t="s">
        <v>108</v>
      </c>
      <c r="E27" s="42" t="n">
        <v>1600</v>
      </c>
      <c r="F27" s="42" t="n">
        <v>400</v>
      </c>
      <c r="G27" s="42" t="n">
        <v>250</v>
      </c>
      <c r="H27" s="43" t="n">
        <v>1</v>
      </c>
      <c r="I27" s="34" t="n">
        <f aca="false">E27*H27+N(F27)+N(G27)</f>
        <v>2250</v>
      </c>
      <c r="J27" s="42" t="n">
        <f aca="false">ROUND(IFERROR(ROUND(IF(OR(ISNUMBER(SEARCH("week",C27)),ISNUMBER(SEARCH("minggu",C27))),IFERROR(_xlfn.NUMBERVALUE(SUBSTITUTE(LEFT(TRIM(C27),FIND(" ",TRIM(C27)&amp;" ")-1),",","."),"."),LEFT(SUBSTITUTE(LEFT(TRIM(C27),FIND(" ",TRIM(C27)&amp;" ")-1),",","."),FIND("/",SUBSTITUTE(LEFT(TRIM(C27),FIND(" ",TRIM(C27)&amp;" ")-1),",","."))-1)/MID(SUBSTITUTE(LEFT(TRIM(C27),FIND(" ",TRIM(C27)&amp;" ")-1),",","."),FIND("/",SUBSTITUTE(LEFT(TRIM(C27),FIND(" ",TRIM(C27)&amp;" ")-1),",","."))+1,9))*12/52,IF(ISNUMBER(SEARCH("month",C27)),IFERROR(_xlfn.NUMBERVALUE(SUBSTITUTE(LEFT(TRIM(C27),FIND(" ",TRIM(C27)&amp;" ")-1),",","."),"."),LEFT(SUBSTITUTE(LEFT(TRIM(C27),FIND(" ",TRIM(C27)&amp;" ")-1),",","."),FIND("/",SUBSTITUTE(LEFT(TRIM(C27),FIND(" ",TRIM(C27)&amp;" ")-1),",","."))-1)/MID(SUBSTITUTE(LEFT(TRIM(C27),FIND(" ",TRIM(C27)&amp;" ")-1),",","."),FIND("/",SUBSTITUTE(LEFT(TRIM(C27),FIND(" ",TRIM(C27)&amp;" ")-1),",","."))+1,9)),IF(ISNUMBER(SEARCH("yea",C27)),IFERROR(_xlfn.NUMBERVALUE(SUBSTITUTE(LEFT(TRIM(C27),FIND(" ",TRIM(C27)&amp;" ")-1),",","."),"."),LEFT(SUBSTITUTE(LEFT(TRIM(C27),FIND(" ",TRIM(C27)&amp;" ")-1),",","."),FIND("/",SUBSTITUTE(LEFT(TRIM(C27),FIND(" ",TRIM(C27)&amp;" ")-1),",","."))-1)/MID(SUBSTITUTE(LEFT(TRIM(C27),FIND(" ",TRIM(C27)&amp;" ")-1),",","."),FIND("/",SUBSTITUTE(LEFT(TRIM(C27),FIND(" ",TRIM(C27)&amp;" ")-1),",","."))+1,9))*12,NA()))),0),24)*'Aturan &amp; Tarif'!$B$4,2)</f>
        <v>1362.72</v>
      </c>
      <c r="K27" s="42" t="n">
        <f aca="false">'Aturan &amp; Tarif'!$B$5</f>
        <v>2050</v>
      </c>
      <c r="L27" s="35" t="n">
        <f aca="false">I27+J27+K27</f>
        <v>5662.72</v>
      </c>
      <c r="M27" s="45" t="s">
        <v>1800</v>
      </c>
    </row>
    <row r="28" customFormat="false" ht="25.5" hidden="false" customHeight="true" outlineLevel="0" collapsed="false">
      <c r="A28" s="39"/>
      <c r="B28" s="40" t="s">
        <v>1600</v>
      </c>
      <c r="C28" s="41" t="s">
        <v>107</v>
      </c>
      <c r="D28" s="48" t="s">
        <v>108</v>
      </c>
      <c r="E28" s="42" t="n">
        <v>1600</v>
      </c>
      <c r="F28" s="42" t="n">
        <v>400</v>
      </c>
      <c r="G28" s="42" t="n">
        <v>250</v>
      </c>
      <c r="H28" s="50" t="n">
        <v>1</v>
      </c>
      <c r="I28" s="34" t="n">
        <f aca="false">E28*H28+N(F28)+N(G28)</f>
        <v>2250</v>
      </c>
      <c r="J28" s="42" t="n">
        <f aca="false">ROUND(IFERROR(ROUND(IF(OR(ISNUMBER(SEARCH("week",C28)),ISNUMBER(SEARCH("minggu",C28))),IFERROR(_xlfn.NUMBERVALUE(SUBSTITUTE(LEFT(TRIM(C28),FIND(" ",TRIM(C28)&amp;" ")-1),",","."),"."),LEFT(SUBSTITUTE(LEFT(TRIM(C28),FIND(" ",TRIM(C28)&amp;" ")-1),",","."),FIND("/",SUBSTITUTE(LEFT(TRIM(C28),FIND(" ",TRIM(C28)&amp;" ")-1),",","."))-1)/MID(SUBSTITUTE(LEFT(TRIM(C28),FIND(" ",TRIM(C28)&amp;" ")-1),",","."),FIND("/",SUBSTITUTE(LEFT(TRIM(C28),FIND(" ",TRIM(C28)&amp;" ")-1),",","."))+1,9))*12/52,IF(ISNUMBER(SEARCH("month",C28)),IFERROR(_xlfn.NUMBERVALUE(SUBSTITUTE(LEFT(TRIM(C28),FIND(" ",TRIM(C28)&amp;" ")-1),",","."),"."),LEFT(SUBSTITUTE(LEFT(TRIM(C28),FIND(" ",TRIM(C28)&amp;" ")-1),",","."),FIND("/",SUBSTITUTE(LEFT(TRIM(C28),FIND(" ",TRIM(C28)&amp;" ")-1),",","."))-1)/MID(SUBSTITUTE(LEFT(TRIM(C28),FIND(" ",TRIM(C28)&amp;" ")-1),",","."),FIND("/",SUBSTITUTE(LEFT(TRIM(C28),FIND(" ",TRIM(C28)&amp;" ")-1),",","."))+1,9)),IF(ISNUMBER(SEARCH("yea",C28)),IFERROR(_xlfn.NUMBERVALUE(SUBSTITUTE(LEFT(TRIM(C28),FIND(" ",TRIM(C28)&amp;" ")-1),",","."),"."),LEFT(SUBSTITUTE(LEFT(TRIM(C28),FIND(" ",TRIM(C28)&amp;" ")-1),",","."),FIND("/",SUBSTITUTE(LEFT(TRIM(C28),FIND(" ",TRIM(C28)&amp;" ")-1),",","."))-1)/MID(SUBSTITUTE(LEFT(TRIM(C28),FIND(" ",TRIM(C28)&amp;" ")-1),",","."),FIND("/",SUBSTITUTE(LEFT(TRIM(C28),FIND(" ",TRIM(C28)&amp;" ")-1),",","."))+1,9))*12,NA()))),0),24)*'Aturan &amp; Tarif'!$B$4,2)</f>
        <v>1362.72</v>
      </c>
      <c r="K28" s="42" t="n">
        <f aca="false">'Aturan &amp; Tarif'!$B$5</f>
        <v>2050</v>
      </c>
      <c r="L28" s="35" t="n">
        <f aca="false">I28+J28+K28</f>
        <v>5662.72</v>
      </c>
      <c r="M28" s="44" t="s">
        <v>3021</v>
      </c>
    </row>
    <row r="29" customFormat="false" ht="25.5" hidden="false" customHeight="true" outlineLevel="0" collapsed="false">
      <c r="A29" s="39"/>
      <c r="B29" s="40" t="s">
        <v>1596</v>
      </c>
      <c r="C29" s="41" t="s">
        <v>107</v>
      </c>
      <c r="D29" s="41" t="s">
        <v>108</v>
      </c>
      <c r="E29" s="42" t="n">
        <v>1400</v>
      </c>
      <c r="F29" s="42" t="n">
        <v>200</v>
      </c>
      <c r="G29" s="42" t="n">
        <v>250</v>
      </c>
      <c r="H29" s="43" t="n">
        <v>1</v>
      </c>
      <c r="I29" s="34" t="n">
        <f aca="false">E29*H29+N(F29)+N(G29)</f>
        <v>1850</v>
      </c>
      <c r="J29" s="42" t="n">
        <f aca="false">ROUND(IFERROR(ROUND(IF(OR(ISNUMBER(SEARCH("week",C29)),ISNUMBER(SEARCH("minggu",C29))),IFERROR(_xlfn.NUMBERVALUE(SUBSTITUTE(LEFT(TRIM(C29),FIND(" ",TRIM(C29)&amp;" ")-1),",","."),"."),LEFT(SUBSTITUTE(LEFT(TRIM(C29),FIND(" ",TRIM(C29)&amp;" ")-1),",","."),FIND("/",SUBSTITUTE(LEFT(TRIM(C29),FIND(" ",TRIM(C29)&amp;" ")-1),",","."))-1)/MID(SUBSTITUTE(LEFT(TRIM(C29),FIND(" ",TRIM(C29)&amp;" ")-1),",","."),FIND("/",SUBSTITUTE(LEFT(TRIM(C29),FIND(" ",TRIM(C29)&amp;" ")-1),",","."))+1,9))*12/52,IF(ISNUMBER(SEARCH("month",C29)),IFERROR(_xlfn.NUMBERVALUE(SUBSTITUTE(LEFT(TRIM(C29),FIND(" ",TRIM(C29)&amp;" ")-1),",","."),"."),LEFT(SUBSTITUTE(LEFT(TRIM(C29),FIND(" ",TRIM(C29)&amp;" ")-1),",","."),FIND("/",SUBSTITUTE(LEFT(TRIM(C29),FIND(" ",TRIM(C29)&amp;" ")-1),",","."))-1)/MID(SUBSTITUTE(LEFT(TRIM(C29),FIND(" ",TRIM(C29)&amp;" ")-1),",","."),FIND("/",SUBSTITUTE(LEFT(TRIM(C29),FIND(" ",TRIM(C29)&amp;" ")-1),",","."))+1,9)),IF(ISNUMBER(SEARCH("yea",C29)),IFERROR(_xlfn.NUMBERVALUE(SUBSTITUTE(LEFT(TRIM(C29),FIND(" ",TRIM(C29)&amp;" ")-1),",","."),"."),LEFT(SUBSTITUTE(LEFT(TRIM(C29),FIND(" ",TRIM(C29)&amp;" ")-1),",","."),FIND("/",SUBSTITUTE(LEFT(TRIM(C29),FIND(" ",TRIM(C29)&amp;" ")-1),",","."))-1)/MID(SUBSTITUTE(LEFT(TRIM(C29),FIND(" ",TRIM(C29)&amp;" ")-1),",","."),FIND("/",SUBSTITUTE(LEFT(TRIM(C29),FIND(" ",TRIM(C29)&amp;" ")-1),",","."))+1,9))*12,NA()))),0),24)*'Aturan &amp; Tarif'!$B$4,2)</f>
        <v>1362.72</v>
      </c>
      <c r="K29" s="42" t="n">
        <f aca="false">'Aturan &amp; Tarif'!$B$5</f>
        <v>2050</v>
      </c>
      <c r="L29" s="35" t="n">
        <f aca="false">I29+J29+K29</f>
        <v>5262.72</v>
      </c>
      <c r="M29" s="45" t="s">
        <v>1800</v>
      </c>
    </row>
    <row r="30" customFormat="false" ht="25.5" hidden="false" customHeight="true" outlineLevel="0" collapsed="false">
      <c r="A30" s="39"/>
      <c r="B30" s="40" t="s">
        <v>1814</v>
      </c>
      <c r="C30" s="41" t="s">
        <v>136</v>
      </c>
      <c r="D30" s="48" t="s">
        <v>108</v>
      </c>
      <c r="E30" s="42" t="n">
        <v>1400</v>
      </c>
      <c r="F30" s="42" t="n">
        <v>200</v>
      </c>
      <c r="G30" s="42" t="n">
        <v>250</v>
      </c>
      <c r="H30" s="50" t="n">
        <v>1</v>
      </c>
      <c r="I30" s="34" t="n">
        <f aca="false">E30*H30+N(F30)+N(G30)</f>
        <v>1850</v>
      </c>
      <c r="J30" s="42" t="n">
        <f aca="false">ROUND(IFERROR(ROUND(IF(OR(ISNUMBER(SEARCH("week",C30)),ISNUMBER(SEARCH("minggu",C30))),IFERROR(_xlfn.NUMBERVALUE(SUBSTITUTE(LEFT(TRIM(C30),FIND(" ",TRIM(C30)&amp;" ")-1),",","."),"."),LEFT(SUBSTITUTE(LEFT(TRIM(C30),FIND(" ",TRIM(C30)&amp;" ")-1),",","."),FIND("/",SUBSTITUTE(LEFT(TRIM(C30),FIND(" ",TRIM(C30)&amp;" ")-1),",","."))-1)/MID(SUBSTITUTE(LEFT(TRIM(C30),FIND(" ",TRIM(C30)&amp;" ")-1),",","."),FIND("/",SUBSTITUTE(LEFT(TRIM(C30),FIND(" ",TRIM(C30)&amp;" ")-1),",","."))+1,9))*12/52,IF(ISNUMBER(SEARCH("month",C30)),IFERROR(_xlfn.NUMBERVALUE(SUBSTITUTE(LEFT(TRIM(C30),FIND(" ",TRIM(C30)&amp;" ")-1),",","."),"."),LEFT(SUBSTITUTE(LEFT(TRIM(C30),FIND(" ",TRIM(C30)&amp;" ")-1),",","."),FIND("/",SUBSTITUTE(LEFT(TRIM(C30),FIND(" ",TRIM(C30)&amp;" ")-1),",","."))-1)/MID(SUBSTITUTE(LEFT(TRIM(C30),FIND(" ",TRIM(C30)&amp;" ")-1),",","."),FIND("/",SUBSTITUTE(LEFT(TRIM(C30),FIND(" ",TRIM(C30)&amp;" ")-1),",","."))+1,9)),IF(ISNUMBER(SEARCH("yea",C30)),IFERROR(_xlfn.NUMBERVALUE(SUBSTITUTE(LEFT(TRIM(C30),FIND(" ",TRIM(C30)&amp;" ")-1),",","."),"."),LEFT(SUBSTITUTE(LEFT(TRIM(C30),FIND(" ",TRIM(C30)&amp;" ")-1),",","."),FIND("/",SUBSTITUTE(LEFT(TRIM(C30),FIND(" ",TRIM(C30)&amp;" ")-1),",","."))-1)/MID(SUBSTITUTE(LEFT(TRIM(C30),FIND(" ",TRIM(C30)&amp;" ")-1),",","."),FIND("/",SUBSTITUTE(LEFT(TRIM(C30),FIND(" ",TRIM(C30)&amp;" ")-1),",","."))+1,9))*12,NA()))),0),42)*'Aturan &amp; Tarif'!$B$4,2)</f>
        <v>2384.76</v>
      </c>
      <c r="K30" s="42" t="n">
        <f aca="false">'Aturan &amp; Tarif'!$B$5</f>
        <v>2050</v>
      </c>
      <c r="L30" s="35" t="n">
        <f aca="false">I30+J30+K30</f>
        <v>6284.76</v>
      </c>
      <c r="M30" s="44" t="s">
        <v>3021</v>
      </c>
    </row>
    <row r="31" customFormat="false" ht="37.5" hidden="false" customHeight="true" outlineLevel="0" collapsed="false">
      <c r="A31" s="39"/>
      <c r="B31" s="40" t="s">
        <v>1815</v>
      </c>
      <c r="C31" s="41" t="s">
        <v>107</v>
      </c>
      <c r="D31" s="41" t="s">
        <v>108</v>
      </c>
      <c r="E31" s="42" t="n">
        <v>1400</v>
      </c>
      <c r="F31" s="42" t="n">
        <v>200</v>
      </c>
      <c r="G31" s="42" t="n">
        <v>250</v>
      </c>
      <c r="H31" s="43" t="n">
        <v>1</v>
      </c>
      <c r="I31" s="34" t="n">
        <f aca="false">E31*H31+N(F31)+N(G31)</f>
        <v>1850</v>
      </c>
      <c r="J31" s="42" t="n">
        <f aca="false">ROUND(IFERROR(ROUND(IF(OR(ISNUMBER(SEARCH("week",C31)),ISNUMBER(SEARCH("minggu",C31))),IFERROR(_xlfn.NUMBERVALUE(SUBSTITUTE(LEFT(TRIM(C31),FIND(" ",TRIM(C31)&amp;" ")-1),",","."),"."),LEFT(SUBSTITUTE(LEFT(TRIM(C31),FIND(" ",TRIM(C31)&amp;" ")-1),",","."),FIND("/",SUBSTITUTE(LEFT(TRIM(C31),FIND(" ",TRIM(C31)&amp;" ")-1),",","."))-1)/MID(SUBSTITUTE(LEFT(TRIM(C31),FIND(" ",TRIM(C31)&amp;" ")-1),",","."),FIND("/",SUBSTITUTE(LEFT(TRIM(C31),FIND(" ",TRIM(C31)&amp;" ")-1),",","."))+1,9))*12/52,IF(ISNUMBER(SEARCH("month",C31)),IFERROR(_xlfn.NUMBERVALUE(SUBSTITUTE(LEFT(TRIM(C31),FIND(" ",TRIM(C31)&amp;" ")-1),",","."),"."),LEFT(SUBSTITUTE(LEFT(TRIM(C31),FIND(" ",TRIM(C31)&amp;" ")-1),",","."),FIND("/",SUBSTITUTE(LEFT(TRIM(C31),FIND(" ",TRIM(C31)&amp;" ")-1),",","."))-1)/MID(SUBSTITUTE(LEFT(TRIM(C31),FIND(" ",TRIM(C31)&amp;" ")-1),",","."),FIND("/",SUBSTITUTE(LEFT(TRIM(C31),FIND(" ",TRIM(C31)&amp;" ")-1),",","."))+1,9)),IF(ISNUMBER(SEARCH("yea",C31)),IFERROR(_xlfn.NUMBERVALUE(SUBSTITUTE(LEFT(TRIM(C31),FIND(" ",TRIM(C31)&amp;" ")-1),",","."),"."),LEFT(SUBSTITUTE(LEFT(TRIM(C31),FIND(" ",TRIM(C31)&amp;" ")-1),",","."),FIND("/",SUBSTITUTE(LEFT(TRIM(C31),FIND(" ",TRIM(C31)&amp;" ")-1),",","."))-1)/MID(SUBSTITUTE(LEFT(TRIM(C31),FIND(" ",TRIM(C31)&amp;" ")-1),",","."),FIND("/",SUBSTITUTE(LEFT(TRIM(C31),FIND(" ",TRIM(C31)&amp;" ")-1),",","."))+1,9))*12,NA()))),0),24)*'Aturan &amp; Tarif'!$B$4,2)</f>
        <v>1362.72</v>
      </c>
      <c r="K31" s="42" t="n">
        <f aca="false">'Aturan &amp; Tarif'!$B$5</f>
        <v>2050</v>
      </c>
      <c r="L31" s="35" t="n">
        <f aca="false">I31+J31+K31</f>
        <v>5262.72</v>
      </c>
      <c r="M31" s="45" t="s">
        <v>1800</v>
      </c>
    </row>
    <row r="32" customFormat="false" ht="25.5" hidden="false" customHeight="true" outlineLevel="0" collapsed="false">
      <c r="A32" s="39"/>
      <c r="B32" s="40" t="s">
        <v>1816</v>
      </c>
      <c r="C32" s="41" t="s">
        <v>136</v>
      </c>
      <c r="D32" s="48" t="s">
        <v>108</v>
      </c>
      <c r="E32" s="42" t="n">
        <v>1400</v>
      </c>
      <c r="F32" s="42" t="n">
        <v>200</v>
      </c>
      <c r="G32" s="42" t="n">
        <v>250</v>
      </c>
      <c r="H32" s="50" t="n">
        <v>1</v>
      </c>
      <c r="I32" s="34" t="n">
        <f aca="false">E32*H32+N(F32)+N(G32)</f>
        <v>1850</v>
      </c>
      <c r="J32" s="42" t="n">
        <f aca="false">ROUND(IFERROR(ROUND(IF(OR(ISNUMBER(SEARCH("week",C32)),ISNUMBER(SEARCH("minggu",C32))),IFERROR(_xlfn.NUMBERVALUE(SUBSTITUTE(LEFT(TRIM(C32),FIND(" ",TRIM(C32)&amp;" ")-1),",","."),"."),LEFT(SUBSTITUTE(LEFT(TRIM(C32),FIND(" ",TRIM(C32)&amp;" ")-1),",","."),FIND("/",SUBSTITUTE(LEFT(TRIM(C32),FIND(" ",TRIM(C32)&amp;" ")-1),",","."))-1)/MID(SUBSTITUTE(LEFT(TRIM(C32),FIND(" ",TRIM(C32)&amp;" ")-1),",","."),FIND("/",SUBSTITUTE(LEFT(TRIM(C32),FIND(" ",TRIM(C32)&amp;" ")-1),",","."))+1,9))*12/52,IF(ISNUMBER(SEARCH("month",C32)),IFERROR(_xlfn.NUMBERVALUE(SUBSTITUTE(LEFT(TRIM(C32),FIND(" ",TRIM(C32)&amp;" ")-1),",","."),"."),LEFT(SUBSTITUTE(LEFT(TRIM(C32),FIND(" ",TRIM(C32)&amp;" ")-1),",","."),FIND("/",SUBSTITUTE(LEFT(TRIM(C32),FIND(" ",TRIM(C32)&amp;" ")-1),",","."))-1)/MID(SUBSTITUTE(LEFT(TRIM(C32),FIND(" ",TRIM(C32)&amp;" ")-1),",","."),FIND("/",SUBSTITUTE(LEFT(TRIM(C32),FIND(" ",TRIM(C32)&amp;" ")-1),",","."))+1,9)),IF(ISNUMBER(SEARCH("yea",C32)),IFERROR(_xlfn.NUMBERVALUE(SUBSTITUTE(LEFT(TRIM(C32),FIND(" ",TRIM(C32)&amp;" ")-1),",","."),"."),LEFT(SUBSTITUTE(LEFT(TRIM(C32),FIND(" ",TRIM(C32)&amp;" ")-1),",","."),FIND("/",SUBSTITUTE(LEFT(TRIM(C32),FIND(" ",TRIM(C32)&amp;" ")-1),",","."))-1)/MID(SUBSTITUTE(LEFT(TRIM(C32),FIND(" ",TRIM(C32)&amp;" ")-1),",","."),FIND("/",SUBSTITUTE(LEFT(TRIM(C32),FIND(" ",TRIM(C32)&amp;" ")-1),",","."))+1,9))*12,NA()))),0),42)*'Aturan &amp; Tarif'!$B$4,2)</f>
        <v>2384.76</v>
      </c>
      <c r="K32" s="42" t="n">
        <f aca="false">'Aturan &amp; Tarif'!$B$5</f>
        <v>2050</v>
      </c>
      <c r="L32" s="35" t="n">
        <f aca="false">I32+J32+K32</f>
        <v>6284.76</v>
      </c>
      <c r="M32" s="44" t="s">
        <v>3021</v>
      </c>
    </row>
    <row r="33" customFormat="false" ht="25.5" hidden="false" customHeight="true" outlineLevel="0" collapsed="false">
      <c r="A33" s="39"/>
      <c r="B33" s="40" t="s">
        <v>1817</v>
      </c>
      <c r="C33" s="41" t="s">
        <v>107</v>
      </c>
      <c r="D33" s="41" t="s">
        <v>108</v>
      </c>
      <c r="E33" s="42" t="n">
        <v>1400</v>
      </c>
      <c r="F33" s="42" t="n">
        <v>200</v>
      </c>
      <c r="G33" s="42" t="n">
        <v>250</v>
      </c>
      <c r="H33" s="43" t="n">
        <v>1</v>
      </c>
      <c r="I33" s="34" t="n">
        <f aca="false">E33*H33+N(F33)+N(G33)</f>
        <v>1850</v>
      </c>
      <c r="J33" s="42" t="n">
        <f aca="false">ROUND(IFERROR(ROUND(IF(OR(ISNUMBER(SEARCH("week",C33)),ISNUMBER(SEARCH("minggu",C33))),IFERROR(_xlfn.NUMBERVALUE(SUBSTITUTE(LEFT(TRIM(C33),FIND(" ",TRIM(C33)&amp;" ")-1),",","."),"."),LEFT(SUBSTITUTE(LEFT(TRIM(C33),FIND(" ",TRIM(C33)&amp;" ")-1),",","."),FIND("/",SUBSTITUTE(LEFT(TRIM(C33),FIND(" ",TRIM(C33)&amp;" ")-1),",","."))-1)/MID(SUBSTITUTE(LEFT(TRIM(C33),FIND(" ",TRIM(C33)&amp;" ")-1),",","."),FIND("/",SUBSTITUTE(LEFT(TRIM(C33),FIND(" ",TRIM(C33)&amp;" ")-1),",","."))+1,9))*12/52,IF(ISNUMBER(SEARCH("month",C33)),IFERROR(_xlfn.NUMBERVALUE(SUBSTITUTE(LEFT(TRIM(C33),FIND(" ",TRIM(C33)&amp;" ")-1),",","."),"."),LEFT(SUBSTITUTE(LEFT(TRIM(C33),FIND(" ",TRIM(C33)&amp;" ")-1),",","."),FIND("/",SUBSTITUTE(LEFT(TRIM(C33),FIND(" ",TRIM(C33)&amp;" ")-1),",","."))-1)/MID(SUBSTITUTE(LEFT(TRIM(C33),FIND(" ",TRIM(C33)&amp;" ")-1),",","."),FIND("/",SUBSTITUTE(LEFT(TRIM(C33),FIND(" ",TRIM(C33)&amp;" ")-1),",","."))+1,9)),IF(ISNUMBER(SEARCH("yea",C33)),IFERROR(_xlfn.NUMBERVALUE(SUBSTITUTE(LEFT(TRIM(C33),FIND(" ",TRIM(C33)&amp;" ")-1),",","."),"."),LEFT(SUBSTITUTE(LEFT(TRIM(C33),FIND(" ",TRIM(C33)&amp;" ")-1),",","."),FIND("/",SUBSTITUTE(LEFT(TRIM(C33),FIND(" ",TRIM(C33)&amp;" ")-1),",","."))-1)/MID(SUBSTITUTE(LEFT(TRIM(C33),FIND(" ",TRIM(C33)&amp;" ")-1),",","."),FIND("/",SUBSTITUTE(LEFT(TRIM(C33),FIND(" ",TRIM(C33)&amp;" ")-1),",","."))+1,9))*12,NA()))),0),24)*'Aturan &amp; Tarif'!$B$4,2)</f>
        <v>1362.72</v>
      </c>
      <c r="K33" s="42" t="n">
        <f aca="false">'Aturan &amp; Tarif'!$B$5</f>
        <v>2050</v>
      </c>
      <c r="L33" s="35" t="n">
        <f aca="false">I33+J33+K33</f>
        <v>5262.72</v>
      </c>
      <c r="M33" s="45" t="s">
        <v>1800</v>
      </c>
    </row>
    <row r="34" customFormat="false" ht="25.5" hidden="false" customHeight="true" outlineLevel="0" collapsed="false">
      <c r="A34" s="39"/>
      <c r="B34" s="40" t="s">
        <v>1818</v>
      </c>
      <c r="C34" s="41" t="s">
        <v>136</v>
      </c>
      <c r="D34" s="48" t="s">
        <v>108</v>
      </c>
      <c r="E34" s="42" t="n">
        <v>1400</v>
      </c>
      <c r="F34" s="42" t="n">
        <v>200</v>
      </c>
      <c r="G34" s="42" t="n">
        <v>250</v>
      </c>
      <c r="H34" s="50" t="n">
        <v>1</v>
      </c>
      <c r="I34" s="34" t="n">
        <f aca="false">E34*H34+N(F34)+N(G34)</f>
        <v>1850</v>
      </c>
      <c r="J34" s="42" t="n">
        <f aca="false">ROUND(IFERROR(ROUND(IF(OR(ISNUMBER(SEARCH("week",C34)),ISNUMBER(SEARCH("minggu",C34))),IFERROR(_xlfn.NUMBERVALUE(SUBSTITUTE(LEFT(TRIM(C34),FIND(" ",TRIM(C34)&amp;" ")-1),",","."),"."),LEFT(SUBSTITUTE(LEFT(TRIM(C34),FIND(" ",TRIM(C34)&amp;" ")-1),",","."),FIND("/",SUBSTITUTE(LEFT(TRIM(C34),FIND(" ",TRIM(C34)&amp;" ")-1),",","."))-1)/MID(SUBSTITUTE(LEFT(TRIM(C34),FIND(" ",TRIM(C34)&amp;" ")-1),",","."),FIND("/",SUBSTITUTE(LEFT(TRIM(C34),FIND(" ",TRIM(C34)&amp;" ")-1),",","."))+1,9))*12/52,IF(ISNUMBER(SEARCH("month",C34)),IFERROR(_xlfn.NUMBERVALUE(SUBSTITUTE(LEFT(TRIM(C34),FIND(" ",TRIM(C34)&amp;" ")-1),",","."),"."),LEFT(SUBSTITUTE(LEFT(TRIM(C34),FIND(" ",TRIM(C34)&amp;" ")-1),",","."),FIND("/",SUBSTITUTE(LEFT(TRIM(C34),FIND(" ",TRIM(C34)&amp;" ")-1),",","."))-1)/MID(SUBSTITUTE(LEFT(TRIM(C34),FIND(" ",TRIM(C34)&amp;" ")-1),",","."),FIND("/",SUBSTITUTE(LEFT(TRIM(C34),FIND(" ",TRIM(C34)&amp;" ")-1),",","."))+1,9)),IF(ISNUMBER(SEARCH("yea",C34)),IFERROR(_xlfn.NUMBERVALUE(SUBSTITUTE(LEFT(TRIM(C34),FIND(" ",TRIM(C34)&amp;" ")-1),",","."),"."),LEFT(SUBSTITUTE(LEFT(TRIM(C34),FIND(" ",TRIM(C34)&amp;" ")-1),",","."),FIND("/",SUBSTITUTE(LEFT(TRIM(C34),FIND(" ",TRIM(C34)&amp;" ")-1),",","."))-1)/MID(SUBSTITUTE(LEFT(TRIM(C34),FIND(" ",TRIM(C34)&amp;" ")-1),",","."),FIND("/",SUBSTITUTE(LEFT(TRIM(C34),FIND(" ",TRIM(C34)&amp;" ")-1),",","."))+1,9))*12,NA()))),0),42)*'Aturan &amp; Tarif'!$B$4,2)</f>
        <v>2384.76</v>
      </c>
      <c r="K34" s="42" t="n">
        <f aca="false">'Aturan &amp; Tarif'!$B$5</f>
        <v>2050</v>
      </c>
      <c r="L34" s="35" t="n">
        <f aca="false">I34+J34+K34</f>
        <v>6284.76</v>
      </c>
      <c r="M34" s="44" t="s">
        <v>3021</v>
      </c>
    </row>
    <row r="35" customFormat="false" ht="25.5" hidden="false" customHeight="true" outlineLevel="0" collapsed="false">
      <c r="A35" s="29" t="s">
        <v>1819</v>
      </c>
      <c r="B35" s="30" t="s">
        <v>3024</v>
      </c>
      <c r="C35" s="31" t="s">
        <v>138</v>
      </c>
      <c r="D35" s="31" t="s">
        <v>108</v>
      </c>
      <c r="E35" s="32" t="n">
        <v>2487.5</v>
      </c>
      <c r="F35" s="32" t="n">
        <v>500</v>
      </c>
      <c r="G35" s="32" t="n">
        <v>500</v>
      </c>
      <c r="H35" s="33" t="n">
        <v>1</v>
      </c>
      <c r="I35" s="34" t="n">
        <f aca="false">E35*H35+N(F35)+N(G35)</f>
        <v>3487.5</v>
      </c>
      <c r="J35" s="32" t="n">
        <f aca="false">ROUND(IFERROR(ROUND(IF(OR(ISNUMBER(SEARCH("week",C35)),ISNUMBER(SEARCH("minggu",C35))),IFERROR(_xlfn.NUMBERVALUE(SUBSTITUTE(LEFT(TRIM(C35),FIND(" ",TRIM(C35)&amp;" ")-1),",","."),"."),LEFT(SUBSTITUTE(LEFT(TRIM(C35),FIND(" ",TRIM(C35)&amp;" ")-1),",","."),FIND("/",SUBSTITUTE(LEFT(TRIM(C35),FIND(" ",TRIM(C35)&amp;" ")-1),",","."))-1)/MID(SUBSTITUTE(LEFT(TRIM(C35),FIND(" ",TRIM(C35)&amp;" ")-1),",","."),FIND("/",SUBSTITUTE(LEFT(TRIM(C35),FIND(" ",TRIM(C35)&amp;" ")-1),",","."))+1,9))*12/52,IF(ISNUMBER(SEARCH("month",C35)),IFERROR(_xlfn.NUMBERVALUE(SUBSTITUTE(LEFT(TRIM(C35),FIND(" ",TRIM(C35)&amp;" ")-1),",","."),"."),LEFT(SUBSTITUTE(LEFT(TRIM(C35),FIND(" ",TRIM(C35)&amp;" ")-1),",","."),FIND("/",SUBSTITUTE(LEFT(TRIM(C35),FIND(" ",TRIM(C35)&amp;" ")-1),",","."))-1)/MID(SUBSTITUTE(LEFT(TRIM(C35),FIND(" ",TRIM(C35)&amp;" ")-1),",","."),FIND("/",SUBSTITUTE(LEFT(TRIM(C35),FIND(" ",TRIM(C35)&amp;" ")-1),",","."))+1,9)),IF(ISNUMBER(SEARCH("yea",C35)),IFERROR(_xlfn.NUMBERVALUE(SUBSTITUTE(LEFT(TRIM(C35),FIND(" ",TRIM(C35)&amp;" ")-1),",","."),"."),LEFT(SUBSTITUTE(LEFT(TRIM(C35),FIND(" ",TRIM(C35)&amp;" ")-1),",","."),FIND("/",SUBSTITUTE(LEFT(TRIM(C35),FIND(" ",TRIM(C35)&amp;" ")-1),",","."))-1)/MID(SUBSTITUTE(LEFT(TRIM(C35),FIND(" ",TRIM(C35)&amp;" ")-1),",","."),FIND("/",SUBSTITUTE(LEFT(TRIM(C35),FIND(" ",TRIM(C35)&amp;" ")-1),",","."))+1,9))*12,NA()))),0),30)*'Aturan &amp; Tarif'!$B$4,2)</f>
        <v>1703.4</v>
      </c>
      <c r="K35" s="32" t="n">
        <f aca="false">'Aturan &amp; Tarif'!$B$5</f>
        <v>2050</v>
      </c>
      <c r="L35" s="35" t="n">
        <f aca="false">I35+J35+K35</f>
        <v>7240.9</v>
      </c>
      <c r="M35" s="36" t="s">
        <v>131</v>
      </c>
    </row>
    <row r="36" customFormat="false" ht="25.5" hidden="false" customHeight="true" outlineLevel="0" collapsed="false">
      <c r="A36" s="29"/>
      <c r="B36" s="30" t="s">
        <v>3025</v>
      </c>
      <c r="C36" s="31" t="s">
        <v>107</v>
      </c>
      <c r="D36" s="31" t="s">
        <v>108</v>
      </c>
      <c r="E36" s="32" t="n">
        <v>2487.5</v>
      </c>
      <c r="F36" s="32" t="n">
        <v>500</v>
      </c>
      <c r="G36" s="32" t="n">
        <v>200</v>
      </c>
      <c r="H36" s="33" t="n">
        <v>1</v>
      </c>
      <c r="I36" s="34" t="n">
        <f aca="false">E36*H36+N(F36)+N(G36)</f>
        <v>3187.5</v>
      </c>
      <c r="J36" s="32" t="n">
        <f aca="false">ROUND(IFERROR(ROUND(IF(OR(ISNUMBER(SEARCH("week",C36)),ISNUMBER(SEARCH("minggu",C36))),IFERROR(_xlfn.NUMBERVALUE(SUBSTITUTE(LEFT(TRIM(C36),FIND(" ",TRIM(C36)&amp;" ")-1),",","."),"."),LEFT(SUBSTITUTE(LEFT(TRIM(C36),FIND(" ",TRIM(C36)&amp;" ")-1),",","."),FIND("/",SUBSTITUTE(LEFT(TRIM(C36),FIND(" ",TRIM(C36)&amp;" ")-1),",","."))-1)/MID(SUBSTITUTE(LEFT(TRIM(C36),FIND(" ",TRIM(C36)&amp;" ")-1),",","."),FIND("/",SUBSTITUTE(LEFT(TRIM(C36),FIND(" ",TRIM(C36)&amp;" ")-1),",","."))+1,9))*12/52,IF(ISNUMBER(SEARCH("month",C36)),IFERROR(_xlfn.NUMBERVALUE(SUBSTITUTE(LEFT(TRIM(C36),FIND(" ",TRIM(C36)&amp;" ")-1),",","."),"."),LEFT(SUBSTITUTE(LEFT(TRIM(C36),FIND(" ",TRIM(C36)&amp;" ")-1),",","."),FIND("/",SUBSTITUTE(LEFT(TRIM(C36),FIND(" ",TRIM(C36)&amp;" ")-1),",","."))-1)/MID(SUBSTITUTE(LEFT(TRIM(C36),FIND(" ",TRIM(C36)&amp;" ")-1),",","."),FIND("/",SUBSTITUTE(LEFT(TRIM(C36),FIND(" ",TRIM(C36)&amp;" ")-1),",","."))+1,9)),IF(ISNUMBER(SEARCH("yea",C36)),IFERROR(_xlfn.NUMBERVALUE(SUBSTITUTE(LEFT(TRIM(C36),FIND(" ",TRIM(C36)&amp;" ")-1),",","."),"."),LEFT(SUBSTITUTE(LEFT(TRIM(C36),FIND(" ",TRIM(C36)&amp;" ")-1),",","."),FIND("/",SUBSTITUTE(LEFT(TRIM(C36),FIND(" ",TRIM(C36)&amp;" ")-1),",","."))-1)/MID(SUBSTITUTE(LEFT(TRIM(C36),FIND(" ",TRIM(C36)&amp;" ")-1),",","."),FIND("/",SUBSTITUTE(LEFT(TRIM(C36),FIND(" ",TRIM(C36)&amp;" ")-1),",","."))+1,9))*12,NA()))),0),24)*'Aturan &amp; Tarif'!$B$4,2)</f>
        <v>1362.72</v>
      </c>
      <c r="K36" s="32" t="n">
        <f aca="false">'Aturan &amp; Tarif'!$B$5</f>
        <v>2050</v>
      </c>
      <c r="L36" s="35" t="n">
        <f aca="false">I36+J36+K36</f>
        <v>6600.22</v>
      </c>
      <c r="M36" s="37" t="s">
        <v>134</v>
      </c>
    </row>
    <row r="37" customFormat="false" ht="25.5" hidden="false" customHeight="true" outlineLevel="0" collapsed="false">
      <c r="A37" s="29"/>
      <c r="B37" s="30" t="s">
        <v>3026</v>
      </c>
      <c r="C37" s="31" t="s">
        <v>107</v>
      </c>
      <c r="D37" s="31" t="s">
        <v>108</v>
      </c>
      <c r="E37" s="32" t="n">
        <v>2487.5</v>
      </c>
      <c r="F37" s="32" t="n">
        <v>2000</v>
      </c>
      <c r="G37" s="32" t="n">
        <v>500</v>
      </c>
      <c r="H37" s="33" t="n">
        <v>1</v>
      </c>
      <c r="I37" s="34" t="n">
        <f aca="false">E37*H37+N(F37)+N(G37)</f>
        <v>4987.5</v>
      </c>
      <c r="J37" s="32" t="n">
        <f aca="false">ROUND(IFERROR(ROUND(IF(OR(ISNUMBER(SEARCH("week",C37)),ISNUMBER(SEARCH("minggu",C37))),IFERROR(_xlfn.NUMBERVALUE(SUBSTITUTE(LEFT(TRIM(C37),FIND(" ",TRIM(C37)&amp;" ")-1),",","."),"."),LEFT(SUBSTITUTE(LEFT(TRIM(C37),FIND(" ",TRIM(C37)&amp;" ")-1),",","."),FIND("/",SUBSTITUTE(LEFT(TRIM(C37),FIND(" ",TRIM(C37)&amp;" ")-1),",","."))-1)/MID(SUBSTITUTE(LEFT(TRIM(C37),FIND(" ",TRIM(C37)&amp;" ")-1),",","."),FIND("/",SUBSTITUTE(LEFT(TRIM(C37),FIND(" ",TRIM(C37)&amp;" ")-1),",","."))+1,9))*12/52,IF(ISNUMBER(SEARCH("month",C37)),IFERROR(_xlfn.NUMBERVALUE(SUBSTITUTE(LEFT(TRIM(C37),FIND(" ",TRIM(C37)&amp;" ")-1),",","."),"."),LEFT(SUBSTITUTE(LEFT(TRIM(C37),FIND(" ",TRIM(C37)&amp;" ")-1),",","."),FIND("/",SUBSTITUTE(LEFT(TRIM(C37),FIND(" ",TRIM(C37)&amp;" ")-1),",","."))-1)/MID(SUBSTITUTE(LEFT(TRIM(C37),FIND(" ",TRIM(C37)&amp;" ")-1),",","."),FIND("/",SUBSTITUTE(LEFT(TRIM(C37),FIND(" ",TRIM(C37)&amp;" ")-1),",","."))+1,9)),IF(ISNUMBER(SEARCH("yea",C37)),IFERROR(_xlfn.NUMBERVALUE(SUBSTITUTE(LEFT(TRIM(C37),FIND(" ",TRIM(C37)&amp;" ")-1),",","."),"."),LEFT(SUBSTITUTE(LEFT(TRIM(C37),FIND(" ",TRIM(C37)&amp;" ")-1),",","."),FIND("/",SUBSTITUTE(LEFT(TRIM(C37),FIND(" ",TRIM(C37)&amp;" ")-1),",","."))-1)/MID(SUBSTITUTE(LEFT(TRIM(C37),FIND(" ",TRIM(C37)&amp;" ")-1),",","."),FIND("/",SUBSTITUTE(LEFT(TRIM(C37),FIND(" ",TRIM(C37)&amp;" ")-1),",","."))+1,9))*12,NA()))),0),24)*'Aturan &amp; Tarif'!$B$4,2)</f>
        <v>1362.72</v>
      </c>
      <c r="K37" s="32" t="n">
        <f aca="false">'Aturan &amp; Tarif'!$B$5</f>
        <v>2050</v>
      </c>
      <c r="L37" s="35" t="n">
        <f aca="false">I37+J37+K37</f>
        <v>8400.22</v>
      </c>
      <c r="M37" s="36" t="s">
        <v>131</v>
      </c>
    </row>
    <row r="38" customFormat="false" ht="37.5" hidden="false" customHeight="true" outlineLevel="0" collapsed="false">
      <c r="A38" s="29"/>
      <c r="B38" s="30" t="s">
        <v>3027</v>
      </c>
      <c r="C38" s="31" t="s">
        <v>107</v>
      </c>
      <c r="D38" s="31" t="s">
        <v>108</v>
      </c>
      <c r="E38" s="32" t="n">
        <v>2487.5</v>
      </c>
      <c r="F38" s="32" t="n">
        <v>2000</v>
      </c>
      <c r="G38" s="32" t="n">
        <v>500</v>
      </c>
      <c r="H38" s="33" t="n">
        <v>1</v>
      </c>
      <c r="I38" s="34" t="n">
        <f aca="false">E38*H38+N(F38)+N(G38)</f>
        <v>4987.5</v>
      </c>
      <c r="J38" s="32" t="n">
        <f aca="false">ROUND(IFERROR(ROUND(IF(OR(ISNUMBER(SEARCH("week",C38)),ISNUMBER(SEARCH("minggu",C38))),IFERROR(_xlfn.NUMBERVALUE(SUBSTITUTE(LEFT(TRIM(C38),FIND(" ",TRIM(C38)&amp;" ")-1),",","."),"."),LEFT(SUBSTITUTE(LEFT(TRIM(C38),FIND(" ",TRIM(C38)&amp;" ")-1),",","."),FIND("/",SUBSTITUTE(LEFT(TRIM(C38),FIND(" ",TRIM(C38)&amp;" ")-1),",","."))-1)/MID(SUBSTITUTE(LEFT(TRIM(C38),FIND(" ",TRIM(C38)&amp;" ")-1),",","."),FIND("/",SUBSTITUTE(LEFT(TRIM(C38),FIND(" ",TRIM(C38)&amp;" ")-1),",","."))+1,9))*12/52,IF(ISNUMBER(SEARCH("month",C38)),IFERROR(_xlfn.NUMBERVALUE(SUBSTITUTE(LEFT(TRIM(C38),FIND(" ",TRIM(C38)&amp;" ")-1),",","."),"."),LEFT(SUBSTITUTE(LEFT(TRIM(C38),FIND(" ",TRIM(C38)&amp;" ")-1),",","."),FIND("/",SUBSTITUTE(LEFT(TRIM(C38),FIND(" ",TRIM(C38)&amp;" ")-1),",","."))-1)/MID(SUBSTITUTE(LEFT(TRIM(C38),FIND(" ",TRIM(C38)&amp;" ")-1),",","."),FIND("/",SUBSTITUTE(LEFT(TRIM(C38),FIND(" ",TRIM(C38)&amp;" ")-1),",","."))+1,9)),IF(ISNUMBER(SEARCH("yea",C38)),IFERROR(_xlfn.NUMBERVALUE(SUBSTITUTE(LEFT(TRIM(C38),FIND(" ",TRIM(C38)&amp;" ")-1),",","."),"."),LEFT(SUBSTITUTE(LEFT(TRIM(C38),FIND(" ",TRIM(C38)&amp;" ")-1),",","."),FIND("/",SUBSTITUTE(LEFT(TRIM(C38),FIND(" ",TRIM(C38)&amp;" ")-1),",","."))-1)/MID(SUBSTITUTE(LEFT(TRIM(C38),FIND(" ",TRIM(C38)&amp;" ")-1),",","."),FIND("/",SUBSTITUTE(LEFT(TRIM(C38),FIND(" ",TRIM(C38)&amp;" ")-1),",","."))+1,9))*12,NA()))),0),24)*'Aturan &amp; Tarif'!$B$4,2)</f>
        <v>1362.72</v>
      </c>
      <c r="K38" s="32" t="n">
        <f aca="false">'Aturan &amp; Tarif'!$B$5</f>
        <v>2050</v>
      </c>
      <c r="L38" s="35" t="n">
        <f aca="false">I38+J38+K38</f>
        <v>8400.22</v>
      </c>
      <c r="M38" s="37" t="s">
        <v>134</v>
      </c>
    </row>
    <row r="39" customFormat="false" ht="14.25" hidden="false" customHeight="true" outlineLevel="0" collapsed="false">
      <c r="A39" s="29"/>
      <c r="B39" s="30" t="s">
        <v>3028</v>
      </c>
      <c r="C39" s="31" t="s">
        <v>138</v>
      </c>
      <c r="D39" s="31" t="s">
        <v>108</v>
      </c>
      <c r="E39" s="32" t="n">
        <v>2250</v>
      </c>
      <c r="F39" s="32" t="n">
        <v>1000</v>
      </c>
      <c r="G39" s="32" t="n">
        <v>500</v>
      </c>
      <c r="H39" s="33" t="n">
        <v>1</v>
      </c>
      <c r="I39" s="34" t="n">
        <f aca="false">E39*H39+N(F39)+N(G39)</f>
        <v>3750</v>
      </c>
      <c r="J39" s="32" t="n">
        <f aca="false">ROUND(IFERROR(ROUND(IF(OR(ISNUMBER(SEARCH("week",C39)),ISNUMBER(SEARCH("minggu",C39))),IFERROR(_xlfn.NUMBERVALUE(SUBSTITUTE(LEFT(TRIM(C39),FIND(" ",TRIM(C39)&amp;" ")-1),",","."),"."),LEFT(SUBSTITUTE(LEFT(TRIM(C39),FIND(" ",TRIM(C39)&amp;" ")-1),",","."),FIND("/",SUBSTITUTE(LEFT(TRIM(C39),FIND(" ",TRIM(C39)&amp;" ")-1),",","."))-1)/MID(SUBSTITUTE(LEFT(TRIM(C39),FIND(" ",TRIM(C39)&amp;" ")-1),",","."),FIND("/",SUBSTITUTE(LEFT(TRIM(C39),FIND(" ",TRIM(C39)&amp;" ")-1),",","."))+1,9))*12/52,IF(ISNUMBER(SEARCH("month",C39)),IFERROR(_xlfn.NUMBERVALUE(SUBSTITUTE(LEFT(TRIM(C39),FIND(" ",TRIM(C39)&amp;" ")-1),",","."),"."),LEFT(SUBSTITUTE(LEFT(TRIM(C39),FIND(" ",TRIM(C39)&amp;" ")-1),",","."),FIND("/",SUBSTITUTE(LEFT(TRIM(C39),FIND(" ",TRIM(C39)&amp;" ")-1),",","."))-1)/MID(SUBSTITUTE(LEFT(TRIM(C39),FIND(" ",TRIM(C39)&amp;" ")-1),",","."),FIND("/",SUBSTITUTE(LEFT(TRIM(C39),FIND(" ",TRIM(C39)&amp;" ")-1),",","."))+1,9)),IF(ISNUMBER(SEARCH("yea",C39)),IFERROR(_xlfn.NUMBERVALUE(SUBSTITUTE(LEFT(TRIM(C39),FIND(" ",TRIM(C39)&amp;" ")-1),",","."),"."),LEFT(SUBSTITUTE(LEFT(TRIM(C39),FIND(" ",TRIM(C39)&amp;" ")-1),",","."),FIND("/",SUBSTITUTE(LEFT(TRIM(C39),FIND(" ",TRIM(C39)&amp;" ")-1),",","."))-1)/MID(SUBSTITUTE(LEFT(TRIM(C39),FIND(" ",TRIM(C39)&amp;" ")-1),",","."),FIND("/",SUBSTITUTE(LEFT(TRIM(C39),FIND(" ",TRIM(C39)&amp;" ")-1),",","."))+1,9))*12,NA()))),0),30)*'Aturan &amp; Tarif'!$B$4,2)</f>
        <v>1703.4</v>
      </c>
      <c r="K39" s="32" t="n">
        <f aca="false">'Aturan &amp; Tarif'!$B$5</f>
        <v>2050</v>
      </c>
      <c r="L39" s="35" t="n">
        <f aca="false">I39+J39+K39</f>
        <v>7503.4</v>
      </c>
      <c r="M39" s="36" t="s">
        <v>131</v>
      </c>
    </row>
    <row r="40" customFormat="false" ht="25.5" hidden="false" customHeight="true" outlineLevel="0" collapsed="false">
      <c r="A40" s="29"/>
      <c r="B40" s="30" t="s">
        <v>3029</v>
      </c>
      <c r="C40" s="31" t="s">
        <v>107</v>
      </c>
      <c r="D40" s="31" t="s">
        <v>108</v>
      </c>
      <c r="E40" s="32" t="n">
        <v>2250</v>
      </c>
      <c r="F40" s="32" t="n">
        <v>1000</v>
      </c>
      <c r="G40" s="32" t="n">
        <v>500</v>
      </c>
      <c r="H40" s="33" t="n">
        <v>1</v>
      </c>
      <c r="I40" s="34" t="n">
        <f aca="false">E40*H40+N(F40)+N(G40)</f>
        <v>3750</v>
      </c>
      <c r="J40" s="32" t="n">
        <f aca="false">ROUND(IFERROR(ROUND(IF(OR(ISNUMBER(SEARCH("week",C40)),ISNUMBER(SEARCH("minggu",C40))),IFERROR(_xlfn.NUMBERVALUE(SUBSTITUTE(LEFT(TRIM(C40),FIND(" ",TRIM(C40)&amp;" ")-1),",","."),"."),LEFT(SUBSTITUTE(LEFT(TRIM(C40),FIND(" ",TRIM(C40)&amp;" ")-1),",","."),FIND("/",SUBSTITUTE(LEFT(TRIM(C40),FIND(" ",TRIM(C40)&amp;" ")-1),",","."))-1)/MID(SUBSTITUTE(LEFT(TRIM(C40),FIND(" ",TRIM(C40)&amp;" ")-1),",","."),FIND("/",SUBSTITUTE(LEFT(TRIM(C40),FIND(" ",TRIM(C40)&amp;" ")-1),",","."))+1,9))*12/52,IF(ISNUMBER(SEARCH("month",C40)),IFERROR(_xlfn.NUMBERVALUE(SUBSTITUTE(LEFT(TRIM(C40),FIND(" ",TRIM(C40)&amp;" ")-1),",","."),"."),LEFT(SUBSTITUTE(LEFT(TRIM(C40),FIND(" ",TRIM(C40)&amp;" ")-1),",","."),FIND("/",SUBSTITUTE(LEFT(TRIM(C40),FIND(" ",TRIM(C40)&amp;" ")-1),",","."))-1)/MID(SUBSTITUTE(LEFT(TRIM(C40),FIND(" ",TRIM(C40)&amp;" ")-1),",","."),FIND("/",SUBSTITUTE(LEFT(TRIM(C40),FIND(" ",TRIM(C40)&amp;" ")-1),",","."))+1,9)),IF(ISNUMBER(SEARCH("yea",C40)),IFERROR(_xlfn.NUMBERVALUE(SUBSTITUTE(LEFT(TRIM(C40),FIND(" ",TRIM(C40)&amp;" ")-1),",","."),"."),LEFT(SUBSTITUTE(LEFT(TRIM(C40),FIND(" ",TRIM(C40)&amp;" ")-1),",","."),FIND("/",SUBSTITUTE(LEFT(TRIM(C40),FIND(" ",TRIM(C40)&amp;" ")-1),",","."))-1)/MID(SUBSTITUTE(LEFT(TRIM(C40),FIND(" ",TRIM(C40)&amp;" ")-1),",","."),FIND("/",SUBSTITUTE(LEFT(TRIM(C40),FIND(" ",TRIM(C40)&amp;" ")-1),",","."))+1,9))*12,NA()))),0),24)*'Aturan &amp; Tarif'!$B$4,2)</f>
        <v>1362.72</v>
      </c>
      <c r="K40" s="32" t="n">
        <f aca="false">'Aturan &amp; Tarif'!$B$5</f>
        <v>2050</v>
      </c>
      <c r="L40" s="35" t="n">
        <f aca="false">I40+J40+K40</f>
        <v>7162.72</v>
      </c>
      <c r="M40" s="37" t="s">
        <v>134</v>
      </c>
    </row>
    <row r="41" customFormat="false" ht="25.5" hidden="false" customHeight="true" outlineLevel="0" collapsed="false">
      <c r="A41" s="29"/>
      <c r="B41" s="30" t="s">
        <v>3030</v>
      </c>
      <c r="C41" s="31" t="s">
        <v>138</v>
      </c>
      <c r="D41" s="31" t="s">
        <v>108</v>
      </c>
      <c r="E41" s="32" t="n">
        <v>2250</v>
      </c>
      <c r="F41" s="32" t="n">
        <v>1000</v>
      </c>
      <c r="G41" s="32" t="n">
        <v>500</v>
      </c>
      <c r="H41" s="33" t="n">
        <v>1</v>
      </c>
      <c r="I41" s="34" t="n">
        <f aca="false">E41*H41+N(F41)+N(G41)</f>
        <v>3750</v>
      </c>
      <c r="J41" s="32" t="n">
        <f aca="false">ROUND(IFERROR(ROUND(IF(OR(ISNUMBER(SEARCH("week",C41)),ISNUMBER(SEARCH("minggu",C41))),IFERROR(_xlfn.NUMBERVALUE(SUBSTITUTE(LEFT(TRIM(C41),FIND(" ",TRIM(C41)&amp;" ")-1),",","."),"."),LEFT(SUBSTITUTE(LEFT(TRIM(C41),FIND(" ",TRIM(C41)&amp;" ")-1),",","."),FIND("/",SUBSTITUTE(LEFT(TRIM(C41),FIND(" ",TRIM(C41)&amp;" ")-1),",","."))-1)/MID(SUBSTITUTE(LEFT(TRIM(C41),FIND(" ",TRIM(C41)&amp;" ")-1),",","."),FIND("/",SUBSTITUTE(LEFT(TRIM(C41),FIND(" ",TRIM(C41)&amp;" ")-1),",","."))+1,9))*12/52,IF(ISNUMBER(SEARCH("month",C41)),IFERROR(_xlfn.NUMBERVALUE(SUBSTITUTE(LEFT(TRIM(C41),FIND(" ",TRIM(C41)&amp;" ")-1),",","."),"."),LEFT(SUBSTITUTE(LEFT(TRIM(C41),FIND(" ",TRIM(C41)&amp;" ")-1),",","."),FIND("/",SUBSTITUTE(LEFT(TRIM(C41),FIND(" ",TRIM(C41)&amp;" ")-1),",","."))-1)/MID(SUBSTITUTE(LEFT(TRIM(C41),FIND(" ",TRIM(C41)&amp;" ")-1),",","."),FIND("/",SUBSTITUTE(LEFT(TRIM(C41),FIND(" ",TRIM(C41)&amp;" ")-1),",","."))+1,9)),IF(ISNUMBER(SEARCH("yea",C41)),IFERROR(_xlfn.NUMBERVALUE(SUBSTITUTE(LEFT(TRIM(C41),FIND(" ",TRIM(C41)&amp;" ")-1),",","."),"."),LEFT(SUBSTITUTE(LEFT(TRIM(C41),FIND(" ",TRIM(C41)&amp;" ")-1),",","."),FIND("/",SUBSTITUTE(LEFT(TRIM(C41),FIND(" ",TRIM(C41)&amp;" ")-1),",","."))-1)/MID(SUBSTITUTE(LEFT(TRIM(C41),FIND(" ",TRIM(C41)&amp;" ")-1),",","."),FIND("/",SUBSTITUTE(LEFT(TRIM(C41),FIND(" ",TRIM(C41)&amp;" ")-1),",","."))+1,9))*12,NA()))),0),30)*'Aturan &amp; Tarif'!$B$4,2)</f>
        <v>1703.4</v>
      </c>
      <c r="K41" s="32" t="n">
        <f aca="false">'Aturan &amp; Tarif'!$B$5</f>
        <v>2050</v>
      </c>
      <c r="L41" s="35" t="n">
        <f aca="false">I41+J41+K41</f>
        <v>7503.4</v>
      </c>
      <c r="M41" s="36" t="s">
        <v>131</v>
      </c>
    </row>
    <row r="42" customFormat="false" ht="25.5" hidden="false" customHeight="true" outlineLevel="0" collapsed="false">
      <c r="A42" s="29"/>
      <c r="B42" s="30" t="s">
        <v>3031</v>
      </c>
      <c r="C42" s="31" t="s">
        <v>107</v>
      </c>
      <c r="D42" s="31" t="s">
        <v>108</v>
      </c>
      <c r="E42" s="32" t="n">
        <v>2250</v>
      </c>
      <c r="F42" s="32" t="n">
        <v>1000</v>
      </c>
      <c r="G42" s="32" t="n">
        <v>500</v>
      </c>
      <c r="H42" s="33" t="n">
        <v>1</v>
      </c>
      <c r="I42" s="34" t="n">
        <f aca="false">E42*H42+N(F42)+N(G42)</f>
        <v>3750</v>
      </c>
      <c r="J42" s="32" t="n">
        <f aca="false">ROUND(IFERROR(ROUND(IF(OR(ISNUMBER(SEARCH("week",C42)),ISNUMBER(SEARCH("minggu",C42))),IFERROR(_xlfn.NUMBERVALUE(SUBSTITUTE(LEFT(TRIM(C42),FIND(" ",TRIM(C42)&amp;" ")-1),",","."),"."),LEFT(SUBSTITUTE(LEFT(TRIM(C42),FIND(" ",TRIM(C42)&amp;" ")-1),",","."),FIND("/",SUBSTITUTE(LEFT(TRIM(C42),FIND(" ",TRIM(C42)&amp;" ")-1),",","."))-1)/MID(SUBSTITUTE(LEFT(TRIM(C42),FIND(" ",TRIM(C42)&amp;" ")-1),",","."),FIND("/",SUBSTITUTE(LEFT(TRIM(C42),FIND(" ",TRIM(C42)&amp;" ")-1),",","."))+1,9))*12/52,IF(ISNUMBER(SEARCH("month",C42)),IFERROR(_xlfn.NUMBERVALUE(SUBSTITUTE(LEFT(TRIM(C42),FIND(" ",TRIM(C42)&amp;" ")-1),",","."),"."),LEFT(SUBSTITUTE(LEFT(TRIM(C42),FIND(" ",TRIM(C42)&amp;" ")-1),",","."),FIND("/",SUBSTITUTE(LEFT(TRIM(C42),FIND(" ",TRIM(C42)&amp;" ")-1),",","."))-1)/MID(SUBSTITUTE(LEFT(TRIM(C42),FIND(" ",TRIM(C42)&amp;" ")-1),",","."),FIND("/",SUBSTITUTE(LEFT(TRIM(C42),FIND(" ",TRIM(C42)&amp;" ")-1),",","."))+1,9)),IF(ISNUMBER(SEARCH("yea",C42)),IFERROR(_xlfn.NUMBERVALUE(SUBSTITUTE(LEFT(TRIM(C42),FIND(" ",TRIM(C42)&amp;" ")-1),",","."),"."),LEFT(SUBSTITUTE(LEFT(TRIM(C42),FIND(" ",TRIM(C42)&amp;" ")-1),",","."),FIND("/",SUBSTITUTE(LEFT(TRIM(C42),FIND(" ",TRIM(C42)&amp;" ")-1),",","."))-1)/MID(SUBSTITUTE(LEFT(TRIM(C42),FIND(" ",TRIM(C42)&amp;" ")-1),",","."),FIND("/",SUBSTITUTE(LEFT(TRIM(C42),FIND(" ",TRIM(C42)&amp;" ")-1),",","."))+1,9))*12,NA()))),0),24)*'Aturan &amp; Tarif'!$B$4,2)</f>
        <v>1362.72</v>
      </c>
      <c r="K42" s="32" t="n">
        <f aca="false">'Aturan &amp; Tarif'!$B$5</f>
        <v>2050</v>
      </c>
      <c r="L42" s="35" t="n">
        <f aca="false">I42+J42+K42</f>
        <v>7162.72</v>
      </c>
      <c r="M42" s="37" t="s">
        <v>134</v>
      </c>
    </row>
    <row r="43" customFormat="false" ht="25.5" hidden="false" customHeight="true" outlineLevel="0" collapsed="false">
      <c r="A43" s="29"/>
      <c r="B43" s="30" t="s">
        <v>3032</v>
      </c>
      <c r="C43" s="31" t="s">
        <v>138</v>
      </c>
      <c r="D43" s="31" t="s">
        <v>108</v>
      </c>
      <c r="E43" s="32" t="n">
        <v>2250</v>
      </c>
      <c r="F43" s="32" t="n">
        <v>1000</v>
      </c>
      <c r="G43" s="32" t="n">
        <v>500</v>
      </c>
      <c r="H43" s="33" t="n">
        <v>1</v>
      </c>
      <c r="I43" s="34" t="n">
        <f aca="false">E43*H43+N(F43)+N(G43)</f>
        <v>3750</v>
      </c>
      <c r="J43" s="32" t="n">
        <f aca="false">ROUND(IFERROR(ROUND(IF(OR(ISNUMBER(SEARCH("week",C43)),ISNUMBER(SEARCH("minggu",C43))),IFERROR(_xlfn.NUMBERVALUE(SUBSTITUTE(LEFT(TRIM(C43),FIND(" ",TRIM(C43)&amp;" ")-1),",","."),"."),LEFT(SUBSTITUTE(LEFT(TRIM(C43),FIND(" ",TRIM(C43)&amp;" ")-1),",","."),FIND("/",SUBSTITUTE(LEFT(TRIM(C43),FIND(" ",TRIM(C43)&amp;" ")-1),",","."))-1)/MID(SUBSTITUTE(LEFT(TRIM(C43),FIND(" ",TRIM(C43)&amp;" ")-1),",","."),FIND("/",SUBSTITUTE(LEFT(TRIM(C43),FIND(" ",TRIM(C43)&amp;" ")-1),",","."))+1,9))*12/52,IF(ISNUMBER(SEARCH("month",C43)),IFERROR(_xlfn.NUMBERVALUE(SUBSTITUTE(LEFT(TRIM(C43),FIND(" ",TRIM(C43)&amp;" ")-1),",","."),"."),LEFT(SUBSTITUTE(LEFT(TRIM(C43),FIND(" ",TRIM(C43)&amp;" ")-1),",","."),FIND("/",SUBSTITUTE(LEFT(TRIM(C43),FIND(" ",TRIM(C43)&amp;" ")-1),",","."))-1)/MID(SUBSTITUTE(LEFT(TRIM(C43),FIND(" ",TRIM(C43)&amp;" ")-1),",","."),FIND("/",SUBSTITUTE(LEFT(TRIM(C43),FIND(" ",TRIM(C43)&amp;" ")-1),",","."))+1,9)),IF(ISNUMBER(SEARCH("yea",C43)),IFERROR(_xlfn.NUMBERVALUE(SUBSTITUTE(LEFT(TRIM(C43),FIND(" ",TRIM(C43)&amp;" ")-1),",","."),"."),LEFT(SUBSTITUTE(LEFT(TRIM(C43),FIND(" ",TRIM(C43)&amp;" ")-1),",","."),FIND("/",SUBSTITUTE(LEFT(TRIM(C43),FIND(" ",TRIM(C43)&amp;" ")-1),",","."))-1)/MID(SUBSTITUTE(LEFT(TRIM(C43),FIND(" ",TRIM(C43)&amp;" ")-1),",","."),FIND("/",SUBSTITUTE(LEFT(TRIM(C43),FIND(" ",TRIM(C43)&amp;" ")-1),",","."))+1,9))*12,NA()))),0),30)*'Aturan &amp; Tarif'!$B$4,2)</f>
        <v>1703.4</v>
      </c>
      <c r="K43" s="32" t="n">
        <f aca="false">'Aturan &amp; Tarif'!$B$5</f>
        <v>2050</v>
      </c>
      <c r="L43" s="35" t="n">
        <f aca="false">I43+J43+K43</f>
        <v>7503.4</v>
      </c>
      <c r="M43" s="36" t="s">
        <v>131</v>
      </c>
    </row>
    <row r="44" customFormat="false" ht="25.5" hidden="false" customHeight="true" outlineLevel="0" collapsed="false">
      <c r="A44" s="29"/>
      <c r="B44" s="30" t="s">
        <v>3033</v>
      </c>
      <c r="C44" s="31" t="s">
        <v>107</v>
      </c>
      <c r="D44" s="31" t="s">
        <v>108</v>
      </c>
      <c r="E44" s="32" t="n">
        <v>2250</v>
      </c>
      <c r="F44" s="32" t="n">
        <v>1000</v>
      </c>
      <c r="G44" s="32" t="n">
        <v>500</v>
      </c>
      <c r="H44" s="33" t="n">
        <v>1</v>
      </c>
      <c r="I44" s="34" t="n">
        <f aca="false">E44*H44+N(F44)+N(G44)</f>
        <v>3750</v>
      </c>
      <c r="J44" s="32" t="n">
        <f aca="false">ROUND(IFERROR(ROUND(IF(OR(ISNUMBER(SEARCH("week",C44)),ISNUMBER(SEARCH("minggu",C44))),IFERROR(_xlfn.NUMBERVALUE(SUBSTITUTE(LEFT(TRIM(C44),FIND(" ",TRIM(C44)&amp;" ")-1),",","."),"."),LEFT(SUBSTITUTE(LEFT(TRIM(C44),FIND(" ",TRIM(C44)&amp;" ")-1),",","."),FIND("/",SUBSTITUTE(LEFT(TRIM(C44),FIND(" ",TRIM(C44)&amp;" ")-1),",","."))-1)/MID(SUBSTITUTE(LEFT(TRIM(C44),FIND(" ",TRIM(C44)&amp;" ")-1),",","."),FIND("/",SUBSTITUTE(LEFT(TRIM(C44),FIND(" ",TRIM(C44)&amp;" ")-1),",","."))+1,9))*12/52,IF(ISNUMBER(SEARCH("month",C44)),IFERROR(_xlfn.NUMBERVALUE(SUBSTITUTE(LEFT(TRIM(C44),FIND(" ",TRIM(C44)&amp;" ")-1),",","."),"."),LEFT(SUBSTITUTE(LEFT(TRIM(C44),FIND(" ",TRIM(C44)&amp;" ")-1),",","."),FIND("/",SUBSTITUTE(LEFT(TRIM(C44),FIND(" ",TRIM(C44)&amp;" ")-1),",","."))-1)/MID(SUBSTITUTE(LEFT(TRIM(C44),FIND(" ",TRIM(C44)&amp;" ")-1),",","."),FIND("/",SUBSTITUTE(LEFT(TRIM(C44),FIND(" ",TRIM(C44)&amp;" ")-1),",","."))+1,9)),IF(ISNUMBER(SEARCH("yea",C44)),IFERROR(_xlfn.NUMBERVALUE(SUBSTITUTE(LEFT(TRIM(C44),FIND(" ",TRIM(C44)&amp;" ")-1),",","."),"."),LEFT(SUBSTITUTE(LEFT(TRIM(C44),FIND(" ",TRIM(C44)&amp;" ")-1),",","."),FIND("/",SUBSTITUTE(LEFT(TRIM(C44),FIND(" ",TRIM(C44)&amp;" ")-1),",","."))-1)/MID(SUBSTITUTE(LEFT(TRIM(C44),FIND(" ",TRIM(C44)&amp;" ")-1),",","."),FIND("/",SUBSTITUTE(LEFT(TRIM(C44),FIND(" ",TRIM(C44)&amp;" ")-1),",","."))+1,9))*12,NA()))),0),24)*'Aturan &amp; Tarif'!$B$4,2)</f>
        <v>1362.72</v>
      </c>
      <c r="K44" s="32" t="n">
        <f aca="false">'Aturan &amp; Tarif'!$B$5</f>
        <v>2050</v>
      </c>
      <c r="L44" s="35" t="n">
        <f aca="false">I44+J44+K44</f>
        <v>7162.72</v>
      </c>
      <c r="M44" s="37" t="s">
        <v>134</v>
      </c>
    </row>
    <row r="45" customFormat="false" ht="14.25" hidden="false" customHeight="true" outlineLevel="0" collapsed="false">
      <c r="A45" s="29"/>
      <c r="B45" s="30" t="s">
        <v>3034</v>
      </c>
      <c r="C45" s="31" t="s">
        <v>138</v>
      </c>
      <c r="D45" s="31" t="s">
        <v>108</v>
      </c>
      <c r="E45" s="32" t="n">
        <v>2250</v>
      </c>
      <c r="F45" s="32" t="n">
        <v>1000</v>
      </c>
      <c r="G45" s="32" t="n">
        <v>500</v>
      </c>
      <c r="H45" s="33" t="n">
        <v>1</v>
      </c>
      <c r="I45" s="34" t="n">
        <f aca="false">E45*H45+N(F45)+N(G45)</f>
        <v>3750</v>
      </c>
      <c r="J45" s="32" t="n">
        <f aca="false">ROUND(IFERROR(ROUND(IF(OR(ISNUMBER(SEARCH("week",C45)),ISNUMBER(SEARCH("minggu",C45))),IFERROR(_xlfn.NUMBERVALUE(SUBSTITUTE(LEFT(TRIM(C45),FIND(" ",TRIM(C45)&amp;" ")-1),",","."),"."),LEFT(SUBSTITUTE(LEFT(TRIM(C45),FIND(" ",TRIM(C45)&amp;" ")-1),",","."),FIND("/",SUBSTITUTE(LEFT(TRIM(C45),FIND(" ",TRIM(C45)&amp;" ")-1),",","."))-1)/MID(SUBSTITUTE(LEFT(TRIM(C45),FIND(" ",TRIM(C45)&amp;" ")-1),",","."),FIND("/",SUBSTITUTE(LEFT(TRIM(C45),FIND(" ",TRIM(C45)&amp;" ")-1),",","."))+1,9))*12/52,IF(ISNUMBER(SEARCH("month",C45)),IFERROR(_xlfn.NUMBERVALUE(SUBSTITUTE(LEFT(TRIM(C45),FIND(" ",TRIM(C45)&amp;" ")-1),",","."),"."),LEFT(SUBSTITUTE(LEFT(TRIM(C45),FIND(" ",TRIM(C45)&amp;" ")-1),",","."),FIND("/",SUBSTITUTE(LEFT(TRIM(C45),FIND(" ",TRIM(C45)&amp;" ")-1),",","."))-1)/MID(SUBSTITUTE(LEFT(TRIM(C45),FIND(" ",TRIM(C45)&amp;" ")-1),",","."),FIND("/",SUBSTITUTE(LEFT(TRIM(C45),FIND(" ",TRIM(C45)&amp;" ")-1),",","."))+1,9)),IF(ISNUMBER(SEARCH("yea",C45)),IFERROR(_xlfn.NUMBERVALUE(SUBSTITUTE(LEFT(TRIM(C45),FIND(" ",TRIM(C45)&amp;" ")-1),",","."),"."),LEFT(SUBSTITUTE(LEFT(TRIM(C45),FIND(" ",TRIM(C45)&amp;" ")-1),",","."),FIND("/",SUBSTITUTE(LEFT(TRIM(C45),FIND(" ",TRIM(C45)&amp;" ")-1),",","."))-1)/MID(SUBSTITUTE(LEFT(TRIM(C45),FIND(" ",TRIM(C45)&amp;" ")-1),",","."),FIND("/",SUBSTITUTE(LEFT(TRIM(C45),FIND(" ",TRIM(C45)&amp;" ")-1),",","."))+1,9))*12,NA()))),0),30)*'Aturan &amp; Tarif'!$B$4,2)</f>
        <v>1703.4</v>
      </c>
      <c r="K45" s="32" t="n">
        <f aca="false">'Aturan &amp; Tarif'!$B$5</f>
        <v>2050</v>
      </c>
      <c r="L45" s="35" t="n">
        <f aca="false">I45+J45+K45</f>
        <v>7503.4</v>
      </c>
      <c r="M45" s="36" t="s">
        <v>131</v>
      </c>
    </row>
    <row r="46" customFormat="false" ht="14.25" hidden="false" customHeight="true" outlineLevel="0" collapsed="false">
      <c r="A46" s="29"/>
      <c r="B46" s="30" t="s">
        <v>3035</v>
      </c>
      <c r="C46" s="31" t="s">
        <v>107</v>
      </c>
      <c r="D46" s="31" t="s">
        <v>108</v>
      </c>
      <c r="E46" s="32" t="n">
        <v>2250</v>
      </c>
      <c r="F46" s="32" t="n">
        <v>1000</v>
      </c>
      <c r="G46" s="32" t="n">
        <v>500</v>
      </c>
      <c r="H46" s="33" t="n">
        <v>1</v>
      </c>
      <c r="I46" s="34" t="n">
        <f aca="false">E46*H46+N(F46)+N(G46)</f>
        <v>3750</v>
      </c>
      <c r="J46" s="32" t="n">
        <f aca="false">ROUND(IFERROR(ROUND(IF(OR(ISNUMBER(SEARCH("week",C46)),ISNUMBER(SEARCH("minggu",C46))),IFERROR(_xlfn.NUMBERVALUE(SUBSTITUTE(LEFT(TRIM(C46),FIND(" ",TRIM(C46)&amp;" ")-1),",","."),"."),LEFT(SUBSTITUTE(LEFT(TRIM(C46),FIND(" ",TRIM(C46)&amp;" ")-1),",","."),FIND("/",SUBSTITUTE(LEFT(TRIM(C46),FIND(" ",TRIM(C46)&amp;" ")-1),",","."))-1)/MID(SUBSTITUTE(LEFT(TRIM(C46),FIND(" ",TRIM(C46)&amp;" ")-1),",","."),FIND("/",SUBSTITUTE(LEFT(TRIM(C46),FIND(" ",TRIM(C46)&amp;" ")-1),",","."))+1,9))*12/52,IF(ISNUMBER(SEARCH("month",C46)),IFERROR(_xlfn.NUMBERVALUE(SUBSTITUTE(LEFT(TRIM(C46),FIND(" ",TRIM(C46)&amp;" ")-1),",","."),"."),LEFT(SUBSTITUTE(LEFT(TRIM(C46),FIND(" ",TRIM(C46)&amp;" ")-1),",","."),FIND("/",SUBSTITUTE(LEFT(TRIM(C46),FIND(" ",TRIM(C46)&amp;" ")-1),",","."))-1)/MID(SUBSTITUTE(LEFT(TRIM(C46),FIND(" ",TRIM(C46)&amp;" ")-1),",","."),FIND("/",SUBSTITUTE(LEFT(TRIM(C46),FIND(" ",TRIM(C46)&amp;" ")-1),",","."))+1,9)),IF(ISNUMBER(SEARCH("yea",C46)),IFERROR(_xlfn.NUMBERVALUE(SUBSTITUTE(LEFT(TRIM(C46),FIND(" ",TRIM(C46)&amp;" ")-1),",","."),"."),LEFT(SUBSTITUTE(LEFT(TRIM(C46),FIND(" ",TRIM(C46)&amp;" ")-1),",","."),FIND("/",SUBSTITUTE(LEFT(TRIM(C46),FIND(" ",TRIM(C46)&amp;" ")-1),",","."))-1)/MID(SUBSTITUTE(LEFT(TRIM(C46),FIND(" ",TRIM(C46)&amp;" ")-1),",","."),FIND("/",SUBSTITUTE(LEFT(TRIM(C46),FIND(" ",TRIM(C46)&amp;" ")-1),",","."))+1,9))*12,NA()))),0),24)*'Aturan &amp; Tarif'!$B$4,2)</f>
        <v>1362.72</v>
      </c>
      <c r="K46" s="32" t="n">
        <f aca="false">'Aturan &amp; Tarif'!$B$5</f>
        <v>2050</v>
      </c>
      <c r="L46" s="35" t="n">
        <f aca="false">I46+J46+K46</f>
        <v>7162.72</v>
      </c>
      <c r="M46" s="37" t="s">
        <v>134</v>
      </c>
    </row>
    <row r="47" customFormat="false" ht="25.5" hidden="false" customHeight="true" outlineLevel="0" collapsed="false">
      <c r="A47" s="29"/>
      <c r="B47" s="30" t="s">
        <v>3036</v>
      </c>
      <c r="C47" s="31" t="s">
        <v>107</v>
      </c>
      <c r="D47" s="31" t="s">
        <v>108</v>
      </c>
      <c r="E47" s="32" t="n">
        <v>2250</v>
      </c>
      <c r="F47" s="32" t="n">
        <v>500</v>
      </c>
      <c r="G47" s="32" t="n">
        <v>500</v>
      </c>
      <c r="H47" s="33" t="n">
        <v>1</v>
      </c>
      <c r="I47" s="34" t="n">
        <f aca="false">E47*H47+N(F47)+N(G47)</f>
        <v>3250</v>
      </c>
      <c r="J47" s="32" t="n">
        <f aca="false">ROUND(IFERROR(ROUND(IF(OR(ISNUMBER(SEARCH("week",C47)),ISNUMBER(SEARCH("minggu",C47))),IFERROR(_xlfn.NUMBERVALUE(SUBSTITUTE(LEFT(TRIM(C47),FIND(" ",TRIM(C47)&amp;" ")-1),",","."),"."),LEFT(SUBSTITUTE(LEFT(TRIM(C47),FIND(" ",TRIM(C47)&amp;" ")-1),",","."),FIND("/",SUBSTITUTE(LEFT(TRIM(C47),FIND(" ",TRIM(C47)&amp;" ")-1),",","."))-1)/MID(SUBSTITUTE(LEFT(TRIM(C47),FIND(" ",TRIM(C47)&amp;" ")-1),",","."),FIND("/",SUBSTITUTE(LEFT(TRIM(C47),FIND(" ",TRIM(C47)&amp;" ")-1),",","."))+1,9))*12/52,IF(ISNUMBER(SEARCH("month",C47)),IFERROR(_xlfn.NUMBERVALUE(SUBSTITUTE(LEFT(TRIM(C47),FIND(" ",TRIM(C47)&amp;" ")-1),",","."),"."),LEFT(SUBSTITUTE(LEFT(TRIM(C47),FIND(" ",TRIM(C47)&amp;" ")-1),",","."),FIND("/",SUBSTITUTE(LEFT(TRIM(C47),FIND(" ",TRIM(C47)&amp;" ")-1),",","."))-1)/MID(SUBSTITUTE(LEFT(TRIM(C47),FIND(" ",TRIM(C47)&amp;" ")-1),",","."),FIND("/",SUBSTITUTE(LEFT(TRIM(C47),FIND(" ",TRIM(C47)&amp;" ")-1),",","."))+1,9)),IF(ISNUMBER(SEARCH("yea",C47)),IFERROR(_xlfn.NUMBERVALUE(SUBSTITUTE(LEFT(TRIM(C47),FIND(" ",TRIM(C47)&amp;" ")-1),",","."),"."),LEFT(SUBSTITUTE(LEFT(TRIM(C47),FIND(" ",TRIM(C47)&amp;" ")-1),",","."),FIND("/",SUBSTITUTE(LEFT(TRIM(C47),FIND(" ",TRIM(C47)&amp;" ")-1),",","."))-1)/MID(SUBSTITUTE(LEFT(TRIM(C47),FIND(" ",TRIM(C47)&amp;" ")-1),",","."),FIND("/",SUBSTITUTE(LEFT(TRIM(C47),FIND(" ",TRIM(C47)&amp;" ")-1),",","."))+1,9))*12,NA()))),0),24)*'Aturan &amp; Tarif'!$B$4,2)</f>
        <v>1362.72</v>
      </c>
      <c r="K47" s="32" t="n">
        <f aca="false">'Aturan &amp; Tarif'!$B$5</f>
        <v>2050</v>
      </c>
      <c r="L47" s="35" t="n">
        <f aca="false">I47+J47+K47</f>
        <v>6662.72</v>
      </c>
      <c r="M47" s="36" t="s">
        <v>131</v>
      </c>
    </row>
    <row r="48" customFormat="false" ht="25.5" hidden="false" customHeight="true" outlineLevel="0" collapsed="false">
      <c r="A48" s="29"/>
      <c r="B48" s="30" t="s">
        <v>3037</v>
      </c>
      <c r="C48" s="31" t="s">
        <v>127</v>
      </c>
      <c r="D48" s="31" t="s">
        <v>108</v>
      </c>
      <c r="E48" s="32" t="n">
        <v>2000</v>
      </c>
      <c r="F48" s="32" t="n">
        <v>1000</v>
      </c>
      <c r="G48" s="32" t="n">
        <v>500</v>
      </c>
      <c r="H48" s="33" t="n">
        <v>1</v>
      </c>
      <c r="I48" s="34" t="n">
        <f aca="false">E48*H48+N(F48)+N(G48)</f>
        <v>3500</v>
      </c>
      <c r="J48" s="32" t="n">
        <f aca="false">ROUND(IFERROR(ROUND(IF(OR(ISNUMBER(SEARCH("week",C48)),ISNUMBER(SEARCH("minggu",C48))),IFERROR(_xlfn.NUMBERVALUE(SUBSTITUTE(LEFT(TRIM(C48),FIND(" ",TRIM(C48)&amp;" ")-1),",","."),"."),LEFT(SUBSTITUTE(LEFT(TRIM(C48),FIND(" ",TRIM(C48)&amp;" ")-1),",","."),FIND("/",SUBSTITUTE(LEFT(TRIM(C48),FIND(" ",TRIM(C48)&amp;" ")-1),",","."))-1)/MID(SUBSTITUTE(LEFT(TRIM(C48),FIND(" ",TRIM(C48)&amp;" ")-1),",","."),FIND("/",SUBSTITUTE(LEFT(TRIM(C48),FIND(" ",TRIM(C48)&amp;" ")-1),",","."))+1,9))*12/52,IF(ISNUMBER(SEARCH("month",C48)),IFERROR(_xlfn.NUMBERVALUE(SUBSTITUTE(LEFT(TRIM(C48),FIND(" ",TRIM(C48)&amp;" ")-1),",","."),"."),LEFT(SUBSTITUTE(LEFT(TRIM(C48),FIND(" ",TRIM(C48)&amp;" ")-1),",","."),FIND("/",SUBSTITUTE(LEFT(TRIM(C48),FIND(" ",TRIM(C48)&amp;" ")-1),",","."))-1)/MID(SUBSTITUTE(LEFT(TRIM(C48),FIND(" ",TRIM(C48)&amp;" ")-1),",","."),FIND("/",SUBSTITUTE(LEFT(TRIM(C48),FIND(" ",TRIM(C48)&amp;" ")-1),",","."))+1,9)),IF(ISNUMBER(SEARCH("yea",C48)),IFERROR(_xlfn.NUMBERVALUE(SUBSTITUTE(LEFT(TRIM(C48),FIND(" ",TRIM(C48)&amp;" ")-1),",","."),"."),LEFT(SUBSTITUTE(LEFT(TRIM(C48),FIND(" ",TRIM(C48)&amp;" ")-1),",","."),FIND("/",SUBSTITUTE(LEFT(TRIM(C48),FIND(" ",TRIM(C48)&amp;" ")-1),",","."))-1)/MID(SUBSTITUTE(LEFT(TRIM(C48),FIND(" ",TRIM(C48)&amp;" ")-1),",","."),FIND("/",SUBSTITUTE(LEFT(TRIM(C48),FIND(" ",TRIM(C48)&amp;" ")-1),",","."))+1,9))*12,NA()))),0),36)*'Aturan &amp; Tarif'!$B$4,2)</f>
        <v>2044.08</v>
      </c>
      <c r="K48" s="32" t="n">
        <f aca="false">'Aturan &amp; Tarif'!$B$5</f>
        <v>2050</v>
      </c>
      <c r="L48" s="35" t="n">
        <f aca="false">I48+J48+K48</f>
        <v>7594.08</v>
      </c>
      <c r="M48" s="36" t="s">
        <v>131</v>
      </c>
    </row>
    <row r="49" customFormat="false" ht="25.5" hidden="false" customHeight="true" outlineLevel="0" collapsed="false">
      <c r="A49" s="29"/>
      <c r="B49" s="30" t="s">
        <v>3038</v>
      </c>
      <c r="C49" s="31" t="s">
        <v>107</v>
      </c>
      <c r="D49" s="31" t="s">
        <v>108</v>
      </c>
      <c r="E49" s="32" t="n">
        <v>2666</v>
      </c>
      <c r="F49" s="32"/>
      <c r="G49" s="32" t="n">
        <v>500</v>
      </c>
      <c r="H49" s="33" t="n">
        <v>1</v>
      </c>
      <c r="I49" s="34" t="n">
        <f aca="false">E49*H49+N(F49)+N(G49)</f>
        <v>3166</v>
      </c>
      <c r="J49" s="32" t="n">
        <f aca="false">ROUND(IFERROR(ROUND(IF(OR(ISNUMBER(SEARCH("week",C49)),ISNUMBER(SEARCH("minggu",C49))),IFERROR(_xlfn.NUMBERVALUE(SUBSTITUTE(LEFT(TRIM(C49),FIND(" ",TRIM(C49)&amp;" ")-1),",","."),"."),LEFT(SUBSTITUTE(LEFT(TRIM(C49),FIND(" ",TRIM(C49)&amp;" ")-1),",","."),FIND("/",SUBSTITUTE(LEFT(TRIM(C49),FIND(" ",TRIM(C49)&amp;" ")-1),",","."))-1)/MID(SUBSTITUTE(LEFT(TRIM(C49),FIND(" ",TRIM(C49)&amp;" ")-1),",","."),FIND("/",SUBSTITUTE(LEFT(TRIM(C49),FIND(" ",TRIM(C49)&amp;" ")-1),",","."))+1,9))*12/52,IF(ISNUMBER(SEARCH("month",C49)),IFERROR(_xlfn.NUMBERVALUE(SUBSTITUTE(LEFT(TRIM(C49),FIND(" ",TRIM(C49)&amp;" ")-1),",","."),"."),LEFT(SUBSTITUTE(LEFT(TRIM(C49),FIND(" ",TRIM(C49)&amp;" ")-1),",","."),FIND("/",SUBSTITUTE(LEFT(TRIM(C49),FIND(" ",TRIM(C49)&amp;" ")-1),",","."))-1)/MID(SUBSTITUTE(LEFT(TRIM(C49),FIND(" ",TRIM(C49)&amp;" ")-1),",","."),FIND("/",SUBSTITUTE(LEFT(TRIM(C49),FIND(" ",TRIM(C49)&amp;" ")-1),",","."))+1,9)),IF(ISNUMBER(SEARCH("yea",C49)),IFERROR(_xlfn.NUMBERVALUE(SUBSTITUTE(LEFT(TRIM(C49),FIND(" ",TRIM(C49)&amp;" ")-1),",","."),"."),LEFT(SUBSTITUTE(LEFT(TRIM(C49),FIND(" ",TRIM(C49)&amp;" ")-1),",","."),FIND("/",SUBSTITUTE(LEFT(TRIM(C49),FIND(" ",TRIM(C49)&amp;" ")-1),",","."))-1)/MID(SUBSTITUTE(LEFT(TRIM(C49),FIND(" ",TRIM(C49)&amp;" ")-1),",","."),FIND("/",SUBSTITUTE(LEFT(TRIM(C49),FIND(" ",TRIM(C49)&amp;" ")-1),",","."))+1,9))*12,NA()))),0),24)*'Aturan &amp; Tarif'!$B$4,2)</f>
        <v>1362.72</v>
      </c>
      <c r="K49" s="32" t="n">
        <f aca="false">'Aturan &amp; Tarif'!$B$5</f>
        <v>2050</v>
      </c>
      <c r="L49" s="35" t="n">
        <f aca="false">I49+J49+K49</f>
        <v>6578.72</v>
      </c>
      <c r="M49" s="36" t="s">
        <v>955</v>
      </c>
    </row>
    <row r="50" customFormat="false" ht="37.5" hidden="false" customHeight="true" outlineLevel="0" collapsed="false">
      <c r="A50" s="39" t="s">
        <v>1826</v>
      </c>
      <c r="B50" s="40" t="s">
        <v>880</v>
      </c>
      <c r="C50" s="41" t="s">
        <v>107</v>
      </c>
      <c r="D50" s="41" t="s">
        <v>108</v>
      </c>
      <c r="E50" s="42" t="n">
        <v>1350</v>
      </c>
      <c r="F50" s="42" t="n">
        <v>100</v>
      </c>
      <c r="G50" s="42" t="n">
        <v>200</v>
      </c>
      <c r="H50" s="43" t="n">
        <v>1</v>
      </c>
      <c r="I50" s="34" t="n">
        <f aca="false">E50*H50+N(F50)+N(G50)</f>
        <v>1650</v>
      </c>
      <c r="J50" s="42" t="n">
        <f aca="false">ROUND(IFERROR(ROUND(IF(OR(ISNUMBER(SEARCH("week",C50)),ISNUMBER(SEARCH("minggu",C50))),IFERROR(_xlfn.NUMBERVALUE(SUBSTITUTE(LEFT(TRIM(C50),FIND(" ",TRIM(C50)&amp;" ")-1),",","."),"."),LEFT(SUBSTITUTE(LEFT(TRIM(C50),FIND(" ",TRIM(C50)&amp;" ")-1),",","."),FIND("/",SUBSTITUTE(LEFT(TRIM(C50),FIND(" ",TRIM(C50)&amp;" ")-1),",","."))-1)/MID(SUBSTITUTE(LEFT(TRIM(C50),FIND(" ",TRIM(C50)&amp;" ")-1),",","."),FIND("/",SUBSTITUTE(LEFT(TRIM(C50),FIND(" ",TRIM(C50)&amp;" ")-1),",","."))+1,9))*12/52,IF(ISNUMBER(SEARCH("month",C50)),IFERROR(_xlfn.NUMBERVALUE(SUBSTITUTE(LEFT(TRIM(C50),FIND(" ",TRIM(C50)&amp;" ")-1),",","."),"."),LEFT(SUBSTITUTE(LEFT(TRIM(C50),FIND(" ",TRIM(C50)&amp;" ")-1),",","."),FIND("/",SUBSTITUTE(LEFT(TRIM(C50),FIND(" ",TRIM(C50)&amp;" ")-1),",","."))-1)/MID(SUBSTITUTE(LEFT(TRIM(C50),FIND(" ",TRIM(C50)&amp;" ")-1),",","."),FIND("/",SUBSTITUTE(LEFT(TRIM(C50),FIND(" ",TRIM(C50)&amp;" ")-1),",","."))+1,9)),IF(ISNUMBER(SEARCH("yea",C50)),IFERROR(_xlfn.NUMBERVALUE(SUBSTITUTE(LEFT(TRIM(C50),FIND(" ",TRIM(C50)&amp;" ")-1),",","."),"."),LEFT(SUBSTITUTE(LEFT(TRIM(C50),FIND(" ",TRIM(C50)&amp;" ")-1),",","."),FIND("/",SUBSTITUTE(LEFT(TRIM(C50),FIND(" ",TRIM(C50)&amp;" ")-1),",","."))-1)/MID(SUBSTITUTE(LEFT(TRIM(C50),FIND(" ",TRIM(C50)&amp;" ")-1),",","."),FIND("/",SUBSTITUTE(LEFT(TRIM(C50),FIND(" ",TRIM(C50)&amp;" ")-1),",","."))+1,9))*12,NA()))),0),24)*'Aturan &amp; Tarif'!$B$4,2)</f>
        <v>1362.72</v>
      </c>
      <c r="K50" s="42" t="n">
        <f aca="false">'Aturan &amp; Tarif'!$B$5</f>
        <v>2050</v>
      </c>
      <c r="L50" s="35" t="n">
        <f aca="false">I50+J50+K50</f>
        <v>5062.72</v>
      </c>
      <c r="M50" s="45" t="s">
        <v>3039</v>
      </c>
    </row>
    <row r="51" customFormat="false" ht="25.5" hidden="false" customHeight="true" outlineLevel="0" collapsed="false">
      <c r="A51" s="39"/>
      <c r="B51" s="40" t="s">
        <v>1828</v>
      </c>
      <c r="C51" s="41" t="s">
        <v>127</v>
      </c>
      <c r="D51" s="41" t="s">
        <v>108</v>
      </c>
      <c r="E51" s="42" t="n">
        <v>5000</v>
      </c>
      <c r="F51" s="42" t="n">
        <v>120</v>
      </c>
      <c r="G51" s="42" t="n">
        <v>250</v>
      </c>
      <c r="H51" s="43" t="n">
        <v>2</v>
      </c>
      <c r="I51" s="34" t="n">
        <f aca="false">E51*H51+N(F51)+N(G51)</f>
        <v>10370</v>
      </c>
      <c r="J51" s="42" t="n">
        <f aca="false">ROUND(IFERROR(ROUND(IF(OR(ISNUMBER(SEARCH("week",C51)),ISNUMBER(SEARCH("minggu",C51))),IFERROR(_xlfn.NUMBERVALUE(SUBSTITUTE(LEFT(TRIM(C51),FIND(" ",TRIM(C51)&amp;" ")-1),",","."),"."),LEFT(SUBSTITUTE(LEFT(TRIM(C51),FIND(" ",TRIM(C51)&amp;" ")-1),",","."),FIND("/",SUBSTITUTE(LEFT(TRIM(C51),FIND(" ",TRIM(C51)&amp;" ")-1),",","."))-1)/MID(SUBSTITUTE(LEFT(TRIM(C51),FIND(" ",TRIM(C51)&amp;" ")-1),",","."),FIND("/",SUBSTITUTE(LEFT(TRIM(C51),FIND(" ",TRIM(C51)&amp;" ")-1),",","."))+1,9))*12/52,IF(ISNUMBER(SEARCH("month",C51)),IFERROR(_xlfn.NUMBERVALUE(SUBSTITUTE(LEFT(TRIM(C51),FIND(" ",TRIM(C51)&amp;" ")-1),",","."),"."),LEFT(SUBSTITUTE(LEFT(TRIM(C51),FIND(" ",TRIM(C51)&amp;" ")-1),",","."),FIND("/",SUBSTITUTE(LEFT(TRIM(C51),FIND(" ",TRIM(C51)&amp;" ")-1),",","."))-1)/MID(SUBSTITUTE(LEFT(TRIM(C51),FIND(" ",TRIM(C51)&amp;" ")-1),",","."),FIND("/",SUBSTITUTE(LEFT(TRIM(C51),FIND(" ",TRIM(C51)&amp;" ")-1),",","."))+1,9)),IF(ISNUMBER(SEARCH("yea",C51)),IFERROR(_xlfn.NUMBERVALUE(SUBSTITUTE(LEFT(TRIM(C51),FIND(" ",TRIM(C51)&amp;" ")-1),",","."),"."),LEFT(SUBSTITUTE(LEFT(TRIM(C51),FIND(" ",TRIM(C51)&amp;" ")-1),",","."),FIND("/",SUBSTITUTE(LEFT(TRIM(C51),FIND(" ",TRIM(C51)&amp;" ")-1),",","."))-1)/MID(SUBSTITUTE(LEFT(TRIM(C51),FIND(" ",TRIM(C51)&amp;" ")-1),",","."),FIND("/",SUBSTITUTE(LEFT(TRIM(C51),FIND(" ",TRIM(C51)&amp;" ")-1),",","."))+1,9))*12,NA()))),0),36)*'Aturan &amp; Tarif'!$B$4,2)</f>
        <v>2044.08</v>
      </c>
      <c r="K51" s="42" t="n">
        <f aca="false">'Aturan &amp; Tarif'!$B$5</f>
        <v>2050</v>
      </c>
      <c r="L51" s="35" t="n">
        <f aca="false">I51+J51+K51</f>
        <v>14464.08</v>
      </c>
      <c r="M51" s="45" t="s">
        <v>3040</v>
      </c>
    </row>
    <row r="52" customFormat="false" ht="14.25" hidden="false" customHeight="true" outlineLevel="0" collapsed="false">
      <c r="A52" s="39"/>
      <c r="B52" s="40" t="s">
        <v>625</v>
      </c>
      <c r="C52" s="41" t="s">
        <v>107</v>
      </c>
      <c r="D52" s="41" t="s">
        <v>108</v>
      </c>
      <c r="E52" s="42" t="n">
        <v>1350</v>
      </c>
      <c r="F52" s="42" t="n">
        <v>100</v>
      </c>
      <c r="G52" s="42" t="n">
        <v>200</v>
      </c>
      <c r="H52" s="43" t="n">
        <v>1</v>
      </c>
      <c r="I52" s="34" t="n">
        <f aca="false">E52*H52+N(F52)+N(G52)</f>
        <v>1650</v>
      </c>
      <c r="J52" s="42" t="n">
        <f aca="false">ROUND(IFERROR(ROUND(IF(OR(ISNUMBER(SEARCH("week",C52)),ISNUMBER(SEARCH("minggu",C52))),IFERROR(_xlfn.NUMBERVALUE(SUBSTITUTE(LEFT(TRIM(C52),FIND(" ",TRIM(C52)&amp;" ")-1),",","."),"."),LEFT(SUBSTITUTE(LEFT(TRIM(C52),FIND(" ",TRIM(C52)&amp;" ")-1),",","."),FIND("/",SUBSTITUTE(LEFT(TRIM(C52),FIND(" ",TRIM(C52)&amp;" ")-1),",","."))-1)/MID(SUBSTITUTE(LEFT(TRIM(C52),FIND(" ",TRIM(C52)&amp;" ")-1),",","."),FIND("/",SUBSTITUTE(LEFT(TRIM(C52),FIND(" ",TRIM(C52)&amp;" ")-1),",","."))+1,9))*12/52,IF(ISNUMBER(SEARCH("month",C52)),IFERROR(_xlfn.NUMBERVALUE(SUBSTITUTE(LEFT(TRIM(C52),FIND(" ",TRIM(C52)&amp;" ")-1),",","."),"."),LEFT(SUBSTITUTE(LEFT(TRIM(C52),FIND(" ",TRIM(C52)&amp;" ")-1),",","."),FIND("/",SUBSTITUTE(LEFT(TRIM(C52),FIND(" ",TRIM(C52)&amp;" ")-1),",","."))-1)/MID(SUBSTITUTE(LEFT(TRIM(C52),FIND(" ",TRIM(C52)&amp;" ")-1),",","."),FIND("/",SUBSTITUTE(LEFT(TRIM(C52),FIND(" ",TRIM(C52)&amp;" ")-1),",","."))+1,9)),IF(ISNUMBER(SEARCH("yea",C52)),IFERROR(_xlfn.NUMBERVALUE(SUBSTITUTE(LEFT(TRIM(C52),FIND(" ",TRIM(C52)&amp;" ")-1),",","."),"."),LEFT(SUBSTITUTE(LEFT(TRIM(C52),FIND(" ",TRIM(C52)&amp;" ")-1),",","."),FIND("/",SUBSTITUTE(LEFT(TRIM(C52),FIND(" ",TRIM(C52)&amp;" ")-1),",","."))-1)/MID(SUBSTITUTE(LEFT(TRIM(C52),FIND(" ",TRIM(C52)&amp;" ")-1),",","."),FIND("/",SUBSTITUTE(LEFT(TRIM(C52),FIND(" ",TRIM(C52)&amp;" ")-1),",","."))+1,9))*12,NA()))),0),24)*'Aturan &amp; Tarif'!$B$4,2)</f>
        <v>1362.72</v>
      </c>
      <c r="K52" s="42" t="n">
        <f aca="false">'Aturan &amp; Tarif'!$B$5</f>
        <v>2050</v>
      </c>
      <c r="L52" s="35" t="n">
        <f aca="false">I52+J52+K52</f>
        <v>5062.72</v>
      </c>
      <c r="M52" s="45" t="s">
        <v>3039</v>
      </c>
    </row>
    <row r="53" customFormat="false" ht="14.25" hidden="false" customHeight="true" outlineLevel="0" collapsed="false">
      <c r="A53" s="39"/>
      <c r="B53" s="40" t="s">
        <v>1829</v>
      </c>
      <c r="C53" s="41" t="s">
        <v>127</v>
      </c>
      <c r="D53" s="41" t="s">
        <v>108</v>
      </c>
      <c r="E53" s="42" t="n">
        <v>5000</v>
      </c>
      <c r="F53" s="42" t="n">
        <v>120</v>
      </c>
      <c r="G53" s="42" t="n">
        <v>250</v>
      </c>
      <c r="H53" s="43" t="n">
        <v>2</v>
      </c>
      <c r="I53" s="34" t="n">
        <f aca="false">E53*H53+N(F53)+N(G53)</f>
        <v>10370</v>
      </c>
      <c r="J53" s="42" t="n">
        <f aca="false">ROUND(IFERROR(ROUND(IF(OR(ISNUMBER(SEARCH("week",C53)),ISNUMBER(SEARCH("minggu",C53))),IFERROR(_xlfn.NUMBERVALUE(SUBSTITUTE(LEFT(TRIM(C53),FIND(" ",TRIM(C53)&amp;" ")-1),",","."),"."),LEFT(SUBSTITUTE(LEFT(TRIM(C53),FIND(" ",TRIM(C53)&amp;" ")-1),",","."),FIND("/",SUBSTITUTE(LEFT(TRIM(C53),FIND(" ",TRIM(C53)&amp;" ")-1),",","."))-1)/MID(SUBSTITUTE(LEFT(TRIM(C53),FIND(" ",TRIM(C53)&amp;" ")-1),",","."),FIND("/",SUBSTITUTE(LEFT(TRIM(C53),FIND(" ",TRIM(C53)&amp;" ")-1),",","."))+1,9))*12/52,IF(ISNUMBER(SEARCH("month",C53)),IFERROR(_xlfn.NUMBERVALUE(SUBSTITUTE(LEFT(TRIM(C53),FIND(" ",TRIM(C53)&amp;" ")-1),",","."),"."),LEFT(SUBSTITUTE(LEFT(TRIM(C53),FIND(" ",TRIM(C53)&amp;" ")-1),",","."),FIND("/",SUBSTITUTE(LEFT(TRIM(C53),FIND(" ",TRIM(C53)&amp;" ")-1),",","."))-1)/MID(SUBSTITUTE(LEFT(TRIM(C53),FIND(" ",TRIM(C53)&amp;" ")-1),",","."),FIND("/",SUBSTITUTE(LEFT(TRIM(C53),FIND(" ",TRIM(C53)&amp;" ")-1),",","."))+1,9)),IF(ISNUMBER(SEARCH("yea",C53)),IFERROR(_xlfn.NUMBERVALUE(SUBSTITUTE(LEFT(TRIM(C53),FIND(" ",TRIM(C53)&amp;" ")-1),",","."),"."),LEFT(SUBSTITUTE(LEFT(TRIM(C53),FIND(" ",TRIM(C53)&amp;" ")-1),",","."),FIND("/",SUBSTITUTE(LEFT(TRIM(C53),FIND(" ",TRIM(C53)&amp;" ")-1),",","."))-1)/MID(SUBSTITUTE(LEFT(TRIM(C53),FIND(" ",TRIM(C53)&amp;" ")-1),",","."),FIND("/",SUBSTITUTE(LEFT(TRIM(C53),FIND(" ",TRIM(C53)&amp;" ")-1),",","."))+1,9))*12,NA()))),0),36)*'Aturan &amp; Tarif'!$B$4,2)</f>
        <v>2044.08</v>
      </c>
      <c r="K53" s="42" t="n">
        <f aca="false">'Aturan &amp; Tarif'!$B$5</f>
        <v>2050</v>
      </c>
      <c r="L53" s="35" t="n">
        <f aca="false">I53+J53+K53</f>
        <v>14464.08</v>
      </c>
      <c r="M53" s="45" t="s">
        <v>3040</v>
      </c>
    </row>
    <row r="54" customFormat="false" ht="14.25" hidden="false" customHeight="true" outlineLevel="0" collapsed="false">
      <c r="A54" s="39"/>
      <c r="B54" s="40" t="s">
        <v>3041</v>
      </c>
      <c r="C54" s="41" t="s">
        <v>107</v>
      </c>
      <c r="D54" s="41" t="s">
        <v>108</v>
      </c>
      <c r="E54" s="42" t="n">
        <v>1350</v>
      </c>
      <c r="F54" s="42" t="n">
        <v>100</v>
      </c>
      <c r="G54" s="42" t="n">
        <v>200</v>
      </c>
      <c r="H54" s="43" t="n">
        <v>1</v>
      </c>
      <c r="I54" s="34" t="n">
        <f aca="false">E54*H54+N(F54)+N(G54)</f>
        <v>1650</v>
      </c>
      <c r="J54" s="42" t="n">
        <f aca="false">ROUND(IFERROR(ROUND(IF(OR(ISNUMBER(SEARCH("week",C54)),ISNUMBER(SEARCH("minggu",C54))),IFERROR(_xlfn.NUMBERVALUE(SUBSTITUTE(LEFT(TRIM(C54),FIND(" ",TRIM(C54)&amp;" ")-1),",","."),"."),LEFT(SUBSTITUTE(LEFT(TRIM(C54),FIND(" ",TRIM(C54)&amp;" ")-1),",","."),FIND("/",SUBSTITUTE(LEFT(TRIM(C54),FIND(" ",TRIM(C54)&amp;" ")-1),",","."))-1)/MID(SUBSTITUTE(LEFT(TRIM(C54),FIND(" ",TRIM(C54)&amp;" ")-1),",","."),FIND("/",SUBSTITUTE(LEFT(TRIM(C54),FIND(" ",TRIM(C54)&amp;" ")-1),",","."))+1,9))*12/52,IF(ISNUMBER(SEARCH("month",C54)),IFERROR(_xlfn.NUMBERVALUE(SUBSTITUTE(LEFT(TRIM(C54),FIND(" ",TRIM(C54)&amp;" ")-1),",","."),"."),LEFT(SUBSTITUTE(LEFT(TRIM(C54),FIND(" ",TRIM(C54)&amp;" ")-1),",","."),FIND("/",SUBSTITUTE(LEFT(TRIM(C54),FIND(" ",TRIM(C54)&amp;" ")-1),",","."))-1)/MID(SUBSTITUTE(LEFT(TRIM(C54),FIND(" ",TRIM(C54)&amp;" ")-1),",","."),FIND("/",SUBSTITUTE(LEFT(TRIM(C54),FIND(" ",TRIM(C54)&amp;" ")-1),",","."))+1,9)),IF(ISNUMBER(SEARCH("yea",C54)),IFERROR(_xlfn.NUMBERVALUE(SUBSTITUTE(LEFT(TRIM(C54),FIND(" ",TRIM(C54)&amp;" ")-1),",","."),"."),LEFT(SUBSTITUTE(LEFT(TRIM(C54),FIND(" ",TRIM(C54)&amp;" ")-1),",","."),FIND("/",SUBSTITUTE(LEFT(TRIM(C54),FIND(" ",TRIM(C54)&amp;" ")-1),",","."))-1)/MID(SUBSTITUTE(LEFT(TRIM(C54),FIND(" ",TRIM(C54)&amp;" ")-1),",","."),FIND("/",SUBSTITUTE(LEFT(TRIM(C54),FIND(" ",TRIM(C54)&amp;" ")-1),",","."))+1,9))*12,NA()))),0),24)*'Aturan &amp; Tarif'!$B$4,2)</f>
        <v>1362.72</v>
      </c>
      <c r="K54" s="42" t="n">
        <f aca="false">'Aturan &amp; Tarif'!$B$5</f>
        <v>2050</v>
      </c>
      <c r="L54" s="35" t="n">
        <f aca="false">I54+J54+K54</f>
        <v>5062.72</v>
      </c>
      <c r="M54" s="45" t="s">
        <v>3042</v>
      </c>
    </row>
    <row r="55" customFormat="false" ht="25.5" hidden="false" customHeight="true" outlineLevel="0" collapsed="false">
      <c r="A55" s="39"/>
      <c r="B55" s="40" t="s">
        <v>1831</v>
      </c>
      <c r="C55" s="41" t="s">
        <v>127</v>
      </c>
      <c r="D55" s="41" t="s">
        <v>108</v>
      </c>
      <c r="E55" s="42" t="n">
        <v>5000</v>
      </c>
      <c r="F55" s="42" t="n">
        <v>120</v>
      </c>
      <c r="G55" s="42" t="n">
        <v>250</v>
      </c>
      <c r="H55" s="43" t="n">
        <v>2</v>
      </c>
      <c r="I55" s="34" t="n">
        <f aca="false">E55*H55+N(F55)+N(G55)</f>
        <v>10370</v>
      </c>
      <c r="J55" s="42" t="n">
        <f aca="false">ROUND(IFERROR(ROUND(IF(OR(ISNUMBER(SEARCH("week",C55)),ISNUMBER(SEARCH("minggu",C55))),IFERROR(_xlfn.NUMBERVALUE(SUBSTITUTE(LEFT(TRIM(C55),FIND(" ",TRIM(C55)&amp;" ")-1),",","."),"."),LEFT(SUBSTITUTE(LEFT(TRIM(C55),FIND(" ",TRIM(C55)&amp;" ")-1),",","."),FIND("/",SUBSTITUTE(LEFT(TRIM(C55),FIND(" ",TRIM(C55)&amp;" ")-1),",","."))-1)/MID(SUBSTITUTE(LEFT(TRIM(C55),FIND(" ",TRIM(C55)&amp;" ")-1),",","."),FIND("/",SUBSTITUTE(LEFT(TRIM(C55),FIND(" ",TRIM(C55)&amp;" ")-1),",","."))+1,9))*12/52,IF(ISNUMBER(SEARCH("month",C55)),IFERROR(_xlfn.NUMBERVALUE(SUBSTITUTE(LEFT(TRIM(C55),FIND(" ",TRIM(C55)&amp;" ")-1),",","."),"."),LEFT(SUBSTITUTE(LEFT(TRIM(C55),FIND(" ",TRIM(C55)&amp;" ")-1),",","."),FIND("/",SUBSTITUTE(LEFT(TRIM(C55),FIND(" ",TRIM(C55)&amp;" ")-1),",","."))-1)/MID(SUBSTITUTE(LEFT(TRIM(C55),FIND(" ",TRIM(C55)&amp;" ")-1),",","."),FIND("/",SUBSTITUTE(LEFT(TRIM(C55),FIND(" ",TRIM(C55)&amp;" ")-1),",","."))+1,9)),IF(ISNUMBER(SEARCH("yea",C55)),IFERROR(_xlfn.NUMBERVALUE(SUBSTITUTE(LEFT(TRIM(C55),FIND(" ",TRIM(C55)&amp;" ")-1),",","."),"."),LEFT(SUBSTITUTE(LEFT(TRIM(C55),FIND(" ",TRIM(C55)&amp;" ")-1),",","."),FIND("/",SUBSTITUTE(LEFT(TRIM(C55),FIND(" ",TRIM(C55)&amp;" ")-1),",","."))-1)/MID(SUBSTITUTE(LEFT(TRIM(C55),FIND(" ",TRIM(C55)&amp;" ")-1),",","."),FIND("/",SUBSTITUTE(LEFT(TRIM(C55),FIND(" ",TRIM(C55)&amp;" ")-1),",","."))+1,9))*12,NA()))),0),36)*'Aturan &amp; Tarif'!$B$4,2)</f>
        <v>2044.08</v>
      </c>
      <c r="K55" s="42" t="n">
        <f aca="false">'Aturan &amp; Tarif'!$B$5</f>
        <v>2050</v>
      </c>
      <c r="L55" s="35" t="n">
        <f aca="false">I55+J55+K55</f>
        <v>14464.08</v>
      </c>
      <c r="M55" s="45" t="s">
        <v>3040</v>
      </c>
    </row>
    <row r="56" customFormat="false" ht="25.5" hidden="false" customHeight="true" outlineLevel="0" collapsed="false">
      <c r="A56" s="39"/>
      <c r="B56" s="40" t="s">
        <v>1833</v>
      </c>
      <c r="C56" s="41" t="s">
        <v>107</v>
      </c>
      <c r="D56" s="41" t="s">
        <v>108</v>
      </c>
      <c r="E56" s="42" t="n">
        <v>5000</v>
      </c>
      <c r="F56" s="42" t="n">
        <v>120</v>
      </c>
      <c r="G56" s="42" t="n">
        <v>250</v>
      </c>
      <c r="H56" s="43" t="n">
        <v>2</v>
      </c>
      <c r="I56" s="34" t="n">
        <f aca="false">E56*H56+N(F56)+N(G56)</f>
        <v>10370</v>
      </c>
      <c r="J56" s="42" t="n">
        <f aca="false">ROUND(IFERROR(ROUND(IF(OR(ISNUMBER(SEARCH("week",C56)),ISNUMBER(SEARCH("minggu",C56))),IFERROR(_xlfn.NUMBERVALUE(SUBSTITUTE(LEFT(TRIM(C56),FIND(" ",TRIM(C56)&amp;" ")-1),",","."),"."),LEFT(SUBSTITUTE(LEFT(TRIM(C56),FIND(" ",TRIM(C56)&amp;" ")-1),",","."),FIND("/",SUBSTITUTE(LEFT(TRIM(C56),FIND(" ",TRIM(C56)&amp;" ")-1),",","."))-1)/MID(SUBSTITUTE(LEFT(TRIM(C56),FIND(" ",TRIM(C56)&amp;" ")-1),",","."),FIND("/",SUBSTITUTE(LEFT(TRIM(C56),FIND(" ",TRIM(C56)&amp;" ")-1),",","."))+1,9))*12/52,IF(ISNUMBER(SEARCH("month",C56)),IFERROR(_xlfn.NUMBERVALUE(SUBSTITUTE(LEFT(TRIM(C56),FIND(" ",TRIM(C56)&amp;" ")-1),",","."),"."),LEFT(SUBSTITUTE(LEFT(TRIM(C56),FIND(" ",TRIM(C56)&amp;" ")-1),",","."),FIND("/",SUBSTITUTE(LEFT(TRIM(C56),FIND(" ",TRIM(C56)&amp;" ")-1),",","."))-1)/MID(SUBSTITUTE(LEFT(TRIM(C56),FIND(" ",TRIM(C56)&amp;" ")-1),",","."),FIND("/",SUBSTITUTE(LEFT(TRIM(C56),FIND(" ",TRIM(C56)&amp;" ")-1),",","."))+1,9)),IF(ISNUMBER(SEARCH("yea",C56)),IFERROR(_xlfn.NUMBERVALUE(SUBSTITUTE(LEFT(TRIM(C56),FIND(" ",TRIM(C56)&amp;" ")-1),",","."),"."),LEFT(SUBSTITUTE(LEFT(TRIM(C56),FIND(" ",TRIM(C56)&amp;" ")-1),",","."),FIND("/",SUBSTITUTE(LEFT(TRIM(C56),FIND(" ",TRIM(C56)&amp;" ")-1),",","."))-1)/MID(SUBSTITUTE(LEFT(TRIM(C56),FIND(" ",TRIM(C56)&amp;" ")-1),",","."),FIND("/",SUBSTITUTE(LEFT(TRIM(C56),FIND(" ",TRIM(C56)&amp;" ")-1),",","."))+1,9))*12,NA()))),0),24)*'Aturan &amp; Tarif'!$B$4,2)</f>
        <v>1362.72</v>
      </c>
      <c r="K56" s="42" t="n">
        <f aca="false">'Aturan &amp; Tarif'!$B$5</f>
        <v>2050</v>
      </c>
      <c r="L56" s="35" t="n">
        <f aca="false">I56+J56+K56</f>
        <v>13782.72</v>
      </c>
      <c r="M56" s="45" t="s">
        <v>3040</v>
      </c>
    </row>
    <row r="57" customFormat="false" ht="37.5" hidden="false" customHeight="true" outlineLevel="0" collapsed="false">
      <c r="A57" s="39"/>
      <c r="B57" s="40" t="s">
        <v>1834</v>
      </c>
      <c r="C57" s="41" t="s">
        <v>107</v>
      </c>
      <c r="D57" s="41" t="s">
        <v>108</v>
      </c>
      <c r="E57" s="42" t="n">
        <v>1350</v>
      </c>
      <c r="F57" s="42" t="n">
        <v>100</v>
      </c>
      <c r="G57" s="42" t="n">
        <v>200</v>
      </c>
      <c r="H57" s="43" t="n">
        <v>1</v>
      </c>
      <c r="I57" s="34" t="n">
        <f aca="false">E57*H57+N(F57)+N(G57)</f>
        <v>1650</v>
      </c>
      <c r="J57" s="42" t="n">
        <f aca="false">ROUND(IFERROR(ROUND(IF(OR(ISNUMBER(SEARCH("week",C57)),ISNUMBER(SEARCH("minggu",C57))),IFERROR(_xlfn.NUMBERVALUE(SUBSTITUTE(LEFT(TRIM(C57),FIND(" ",TRIM(C57)&amp;" ")-1),",","."),"."),LEFT(SUBSTITUTE(LEFT(TRIM(C57),FIND(" ",TRIM(C57)&amp;" ")-1),",","."),FIND("/",SUBSTITUTE(LEFT(TRIM(C57),FIND(" ",TRIM(C57)&amp;" ")-1),",","."))-1)/MID(SUBSTITUTE(LEFT(TRIM(C57),FIND(" ",TRIM(C57)&amp;" ")-1),",","."),FIND("/",SUBSTITUTE(LEFT(TRIM(C57),FIND(" ",TRIM(C57)&amp;" ")-1),",","."))+1,9))*12/52,IF(ISNUMBER(SEARCH("month",C57)),IFERROR(_xlfn.NUMBERVALUE(SUBSTITUTE(LEFT(TRIM(C57),FIND(" ",TRIM(C57)&amp;" ")-1),",","."),"."),LEFT(SUBSTITUTE(LEFT(TRIM(C57),FIND(" ",TRIM(C57)&amp;" ")-1),",","."),FIND("/",SUBSTITUTE(LEFT(TRIM(C57),FIND(" ",TRIM(C57)&amp;" ")-1),",","."))-1)/MID(SUBSTITUTE(LEFT(TRIM(C57),FIND(" ",TRIM(C57)&amp;" ")-1),",","."),FIND("/",SUBSTITUTE(LEFT(TRIM(C57),FIND(" ",TRIM(C57)&amp;" ")-1),",","."))+1,9)),IF(ISNUMBER(SEARCH("yea",C57)),IFERROR(_xlfn.NUMBERVALUE(SUBSTITUTE(LEFT(TRIM(C57),FIND(" ",TRIM(C57)&amp;" ")-1),",","."),"."),LEFT(SUBSTITUTE(LEFT(TRIM(C57),FIND(" ",TRIM(C57)&amp;" ")-1),",","."),FIND("/",SUBSTITUTE(LEFT(TRIM(C57),FIND(" ",TRIM(C57)&amp;" ")-1),",","."))-1)/MID(SUBSTITUTE(LEFT(TRIM(C57),FIND(" ",TRIM(C57)&amp;" ")-1),",","."),FIND("/",SUBSTITUTE(LEFT(TRIM(C57),FIND(" ",TRIM(C57)&amp;" ")-1),",","."))+1,9))*12,NA()))),0),24)*'Aturan &amp; Tarif'!$B$4,2)</f>
        <v>1362.72</v>
      </c>
      <c r="K57" s="42" t="n">
        <f aca="false">'Aturan &amp; Tarif'!$B$5</f>
        <v>2050</v>
      </c>
      <c r="L57" s="35" t="n">
        <f aca="false">I57+J57+K57</f>
        <v>5062.72</v>
      </c>
      <c r="M57" s="44" t="s">
        <v>3043</v>
      </c>
    </row>
    <row r="58" customFormat="false" ht="25.5" hidden="false" customHeight="true" outlineLevel="0" collapsed="false">
      <c r="A58" s="39"/>
      <c r="B58" s="40" t="s">
        <v>1835</v>
      </c>
      <c r="C58" s="41" t="s">
        <v>107</v>
      </c>
      <c r="D58" s="41" t="s">
        <v>108</v>
      </c>
      <c r="E58" s="42" t="n">
        <v>1350</v>
      </c>
      <c r="F58" s="42" t="n">
        <v>100</v>
      </c>
      <c r="G58" s="42" t="n">
        <v>200</v>
      </c>
      <c r="H58" s="43" t="n">
        <v>1</v>
      </c>
      <c r="I58" s="34" t="n">
        <f aca="false">E58*H58+N(F58)+N(G58)</f>
        <v>1650</v>
      </c>
      <c r="J58" s="42" t="n">
        <f aca="false">ROUND(IFERROR(ROUND(IF(OR(ISNUMBER(SEARCH("week",C58)),ISNUMBER(SEARCH("minggu",C58))),IFERROR(_xlfn.NUMBERVALUE(SUBSTITUTE(LEFT(TRIM(C58),FIND(" ",TRIM(C58)&amp;" ")-1),",","."),"."),LEFT(SUBSTITUTE(LEFT(TRIM(C58),FIND(" ",TRIM(C58)&amp;" ")-1),",","."),FIND("/",SUBSTITUTE(LEFT(TRIM(C58),FIND(" ",TRIM(C58)&amp;" ")-1),",","."))-1)/MID(SUBSTITUTE(LEFT(TRIM(C58),FIND(" ",TRIM(C58)&amp;" ")-1),",","."),FIND("/",SUBSTITUTE(LEFT(TRIM(C58),FIND(" ",TRIM(C58)&amp;" ")-1),",","."))+1,9))*12/52,IF(ISNUMBER(SEARCH("month",C58)),IFERROR(_xlfn.NUMBERVALUE(SUBSTITUTE(LEFT(TRIM(C58),FIND(" ",TRIM(C58)&amp;" ")-1),",","."),"."),LEFT(SUBSTITUTE(LEFT(TRIM(C58),FIND(" ",TRIM(C58)&amp;" ")-1),",","."),FIND("/",SUBSTITUTE(LEFT(TRIM(C58),FIND(" ",TRIM(C58)&amp;" ")-1),",","."))-1)/MID(SUBSTITUTE(LEFT(TRIM(C58),FIND(" ",TRIM(C58)&amp;" ")-1),",","."),FIND("/",SUBSTITUTE(LEFT(TRIM(C58),FIND(" ",TRIM(C58)&amp;" ")-1),",","."))+1,9)),IF(ISNUMBER(SEARCH("yea",C58)),IFERROR(_xlfn.NUMBERVALUE(SUBSTITUTE(LEFT(TRIM(C58),FIND(" ",TRIM(C58)&amp;" ")-1),",","."),"."),LEFT(SUBSTITUTE(LEFT(TRIM(C58),FIND(" ",TRIM(C58)&amp;" ")-1),",","."),FIND("/",SUBSTITUTE(LEFT(TRIM(C58),FIND(" ",TRIM(C58)&amp;" ")-1),",","."))-1)/MID(SUBSTITUTE(LEFT(TRIM(C58),FIND(" ",TRIM(C58)&amp;" ")-1),",","."),FIND("/",SUBSTITUTE(LEFT(TRIM(C58),FIND(" ",TRIM(C58)&amp;" ")-1),",","."))+1,9))*12,NA()))),0),24)*'Aturan &amp; Tarif'!$B$4,2)</f>
        <v>1362.72</v>
      </c>
      <c r="K58" s="42" t="n">
        <f aca="false">'Aturan &amp; Tarif'!$B$5</f>
        <v>2050</v>
      </c>
      <c r="L58" s="35" t="n">
        <f aca="false">I58+J58+K58</f>
        <v>5062.72</v>
      </c>
      <c r="M58" s="45" t="s">
        <v>3044</v>
      </c>
    </row>
    <row r="59" customFormat="false" ht="14.25" hidden="false" customHeight="true" outlineLevel="0" collapsed="false">
      <c r="A59" s="39"/>
      <c r="B59" s="40" t="s">
        <v>2770</v>
      </c>
      <c r="C59" s="41" t="s">
        <v>127</v>
      </c>
      <c r="D59" s="41" t="s">
        <v>108</v>
      </c>
      <c r="E59" s="42" t="n">
        <v>5000</v>
      </c>
      <c r="F59" s="42" t="n">
        <v>120</v>
      </c>
      <c r="G59" s="42" t="n">
        <v>250</v>
      </c>
      <c r="H59" s="43" t="n">
        <v>2</v>
      </c>
      <c r="I59" s="34" t="n">
        <f aca="false">E59*H59+N(F59)+N(G59)</f>
        <v>10370</v>
      </c>
      <c r="J59" s="42" t="n">
        <f aca="false">ROUND(IFERROR(ROUND(IF(OR(ISNUMBER(SEARCH("week",C59)),ISNUMBER(SEARCH("minggu",C59))),IFERROR(_xlfn.NUMBERVALUE(SUBSTITUTE(LEFT(TRIM(C59),FIND(" ",TRIM(C59)&amp;" ")-1),",","."),"."),LEFT(SUBSTITUTE(LEFT(TRIM(C59),FIND(" ",TRIM(C59)&amp;" ")-1),",","."),FIND("/",SUBSTITUTE(LEFT(TRIM(C59),FIND(" ",TRIM(C59)&amp;" ")-1),",","."))-1)/MID(SUBSTITUTE(LEFT(TRIM(C59),FIND(" ",TRIM(C59)&amp;" ")-1),",","."),FIND("/",SUBSTITUTE(LEFT(TRIM(C59),FIND(" ",TRIM(C59)&amp;" ")-1),",","."))+1,9))*12/52,IF(ISNUMBER(SEARCH("month",C59)),IFERROR(_xlfn.NUMBERVALUE(SUBSTITUTE(LEFT(TRIM(C59),FIND(" ",TRIM(C59)&amp;" ")-1),",","."),"."),LEFT(SUBSTITUTE(LEFT(TRIM(C59),FIND(" ",TRIM(C59)&amp;" ")-1),",","."),FIND("/",SUBSTITUTE(LEFT(TRIM(C59),FIND(" ",TRIM(C59)&amp;" ")-1),",","."))-1)/MID(SUBSTITUTE(LEFT(TRIM(C59),FIND(" ",TRIM(C59)&amp;" ")-1),",","."),FIND("/",SUBSTITUTE(LEFT(TRIM(C59),FIND(" ",TRIM(C59)&amp;" ")-1),",","."))+1,9)),IF(ISNUMBER(SEARCH("yea",C59)),IFERROR(_xlfn.NUMBERVALUE(SUBSTITUTE(LEFT(TRIM(C59),FIND(" ",TRIM(C59)&amp;" ")-1),",","."),"."),LEFT(SUBSTITUTE(LEFT(TRIM(C59),FIND(" ",TRIM(C59)&amp;" ")-1),",","."),FIND("/",SUBSTITUTE(LEFT(TRIM(C59),FIND(" ",TRIM(C59)&amp;" ")-1),",","."))-1)/MID(SUBSTITUTE(LEFT(TRIM(C59),FIND(" ",TRIM(C59)&amp;" ")-1),",","."),FIND("/",SUBSTITUTE(LEFT(TRIM(C59),FIND(" ",TRIM(C59)&amp;" ")-1),",","."))+1,9))*12,NA()))),0),36)*'Aturan &amp; Tarif'!$B$4,2)</f>
        <v>2044.08</v>
      </c>
      <c r="K59" s="42" t="n">
        <f aca="false">'Aturan &amp; Tarif'!$B$5</f>
        <v>2050</v>
      </c>
      <c r="L59" s="35" t="n">
        <f aca="false">I59+J59+K59</f>
        <v>14464.08</v>
      </c>
      <c r="M59" s="45" t="s">
        <v>3040</v>
      </c>
    </row>
    <row r="60" customFormat="false" ht="25.5" hidden="false" customHeight="true" outlineLevel="0" collapsed="false">
      <c r="A60" s="39"/>
      <c r="B60" s="40" t="s">
        <v>881</v>
      </c>
      <c r="C60" s="41" t="s">
        <v>107</v>
      </c>
      <c r="D60" s="41" t="s">
        <v>108</v>
      </c>
      <c r="E60" s="42" t="n">
        <v>1900</v>
      </c>
      <c r="F60" s="42" t="n">
        <v>500</v>
      </c>
      <c r="G60" s="42" t="n">
        <v>200</v>
      </c>
      <c r="H60" s="43" t="n">
        <v>1</v>
      </c>
      <c r="I60" s="34" t="n">
        <f aca="false">E60*H60+N(F60)+N(G60)</f>
        <v>2600</v>
      </c>
      <c r="J60" s="42" t="n">
        <f aca="false">ROUND(IFERROR(ROUND(IF(OR(ISNUMBER(SEARCH("week",C60)),ISNUMBER(SEARCH("minggu",C60))),IFERROR(_xlfn.NUMBERVALUE(SUBSTITUTE(LEFT(TRIM(C60),FIND(" ",TRIM(C60)&amp;" ")-1),",","."),"."),LEFT(SUBSTITUTE(LEFT(TRIM(C60),FIND(" ",TRIM(C60)&amp;" ")-1),",","."),FIND("/",SUBSTITUTE(LEFT(TRIM(C60),FIND(" ",TRIM(C60)&amp;" ")-1),",","."))-1)/MID(SUBSTITUTE(LEFT(TRIM(C60),FIND(" ",TRIM(C60)&amp;" ")-1),",","."),FIND("/",SUBSTITUTE(LEFT(TRIM(C60),FIND(" ",TRIM(C60)&amp;" ")-1),",","."))+1,9))*12/52,IF(ISNUMBER(SEARCH("month",C60)),IFERROR(_xlfn.NUMBERVALUE(SUBSTITUTE(LEFT(TRIM(C60),FIND(" ",TRIM(C60)&amp;" ")-1),",","."),"."),LEFT(SUBSTITUTE(LEFT(TRIM(C60),FIND(" ",TRIM(C60)&amp;" ")-1),",","."),FIND("/",SUBSTITUTE(LEFT(TRIM(C60),FIND(" ",TRIM(C60)&amp;" ")-1),",","."))-1)/MID(SUBSTITUTE(LEFT(TRIM(C60),FIND(" ",TRIM(C60)&amp;" ")-1),",","."),FIND("/",SUBSTITUTE(LEFT(TRIM(C60),FIND(" ",TRIM(C60)&amp;" ")-1),",","."))+1,9)),IF(ISNUMBER(SEARCH("yea",C60)),IFERROR(_xlfn.NUMBERVALUE(SUBSTITUTE(LEFT(TRIM(C60),FIND(" ",TRIM(C60)&amp;" ")-1),",","."),"."),LEFT(SUBSTITUTE(LEFT(TRIM(C60),FIND(" ",TRIM(C60)&amp;" ")-1),",","."),FIND("/",SUBSTITUTE(LEFT(TRIM(C60),FIND(" ",TRIM(C60)&amp;" ")-1),",","."))-1)/MID(SUBSTITUTE(LEFT(TRIM(C60),FIND(" ",TRIM(C60)&amp;" ")-1),",","."),FIND("/",SUBSTITUTE(LEFT(TRIM(C60),FIND(" ",TRIM(C60)&amp;" ")-1),",","."))+1,9))*12,NA()))),0),24)*'Aturan &amp; Tarif'!$B$4,2)</f>
        <v>1362.72</v>
      </c>
      <c r="K60" s="42" t="n">
        <f aca="false">'Aturan &amp; Tarif'!$B$5</f>
        <v>2050</v>
      </c>
      <c r="L60" s="35" t="n">
        <f aca="false">I60+J60+K60</f>
        <v>6012.72</v>
      </c>
      <c r="M60" s="45" t="s">
        <v>3042</v>
      </c>
    </row>
    <row r="61" customFormat="false" ht="60" hidden="false" customHeight="true" outlineLevel="0" collapsed="false">
      <c r="A61" s="39"/>
      <c r="B61" s="40" t="s">
        <v>1693</v>
      </c>
      <c r="C61" s="41" t="s">
        <v>107</v>
      </c>
      <c r="D61" s="41" t="s">
        <v>108</v>
      </c>
      <c r="E61" s="42" t="n">
        <v>1900</v>
      </c>
      <c r="F61" s="42" t="n">
        <v>400</v>
      </c>
      <c r="G61" s="42" t="n">
        <v>200</v>
      </c>
      <c r="H61" s="43" t="n">
        <v>1</v>
      </c>
      <c r="I61" s="34" t="n">
        <f aca="false">E61*H61+N(F61)+N(G61)</f>
        <v>2500</v>
      </c>
      <c r="J61" s="42" t="n">
        <f aca="false">ROUND(IFERROR(ROUND(IF(OR(ISNUMBER(SEARCH("week",C61)),ISNUMBER(SEARCH("minggu",C61))),IFERROR(_xlfn.NUMBERVALUE(SUBSTITUTE(LEFT(TRIM(C61),FIND(" ",TRIM(C61)&amp;" ")-1),",","."),"."),LEFT(SUBSTITUTE(LEFT(TRIM(C61),FIND(" ",TRIM(C61)&amp;" ")-1),",","."),FIND("/",SUBSTITUTE(LEFT(TRIM(C61),FIND(" ",TRIM(C61)&amp;" ")-1),",","."))-1)/MID(SUBSTITUTE(LEFT(TRIM(C61),FIND(" ",TRIM(C61)&amp;" ")-1),",","."),FIND("/",SUBSTITUTE(LEFT(TRIM(C61),FIND(" ",TRIM(C61)&amp;" ")-1),",","."))+1,9))*12/52,IF(ISNUMBER(SEARCH("month",C61)),IFERROR(_xlfn.NUMBERVALUE(SUBSTITUTE(LEFT(TRIM(C61),FIND(" ",TRIM(C61)&amp;" ")-1),",","."),"."),LEFT(SUBSTITUTE(LEFT(TRIM(C61),FIND(" ",TRIM(C61)&amp;" ")-1),",","."),FIND("/",SUBSTITUTE(LEFT(TRIM(C61),FIND(" ",TRIM(C61)&amp;" ")-1),",","."))-1)/MID(SUBSTITUTE(LEFT(TRIM(C61),FIND(" ",TRIM(C61)&amp;" ")-1),",","."),FIND("/",SUBSTITUTE(LEFT(TRIM(C61),FIND(" ",TRIM(C61)&amp;" ")-1),",","."))+1,9)),IF(ISNUMBER(SEARCH("yea",C61)),IFERROR(_xlfn.NUMBERVALUE(SUBSTITUTE(LEFT(TRIM(C61),FIND(" ",TRIM(C61)&amp;" ")-1),",","."),"."),LEFT(SUBSTITUTE(LEFT(TRIM(C61),FIND(" ",TRIM(C61)&amp;" ")-1),",","."),FIND("/",SUBSTITUTE(LEFT(TRIM(C61),FIND(" ",TRIM(C61)&amp;" ")-1),",","."))-1)/MID(SUBSTITUTE(LEFT(TRIM(C61),FIND(" ",TRIM(C61)&amp;" ")-1),",","."),FIND("/",SUBSTITUTE(LEFT(TRIM(C61),FIND(" ",TRIM(C61)&amp;" ")-1),",","."))+1,9))*12,NA()))),0),24)*'Aturan &amp; Tarif'!$B$4,2)</f>
        <v>1362.72</v>
      </c>
      <c r="K61" s="42" t="n">
        <f aca="false">'Aturan &amp; Tarif'!$B$5</f>
        <v>2050</v>
      </c>
      <c r="L61" s="35" t="n">
        <f aca="false">I61+J61+K61</f>
        <v>5912.72</v>
      </c>
      <c r="M61" s="44" t="s">
        <v>3045</v>
      </c>
    </row>
    <row r="62" customFormat="false" ht="25.5" hidden="false" customHeight="true" outlineLevel="0" collapsed="false">
      <c r="A62" s="39"/>
      <c r="B62" s="40" t="s">
        <v>3046</v>
      </c>
      <c r="C62" s="41" t="s">
        <v>486</v>
      </c>
      <c r="D62" s="41" t="s">
        <v>108</v>
      </c>
      <c r="E62" s="42" t="n">
        <v>2500</v>
      </c>
      <c r="F62" s="42" t="n">
        <v>100</v>
      </c>
      <c r="G62" s="42" t="n">
        <v>200</v>
      </c>
      <c r="H62" s="43" t="n">
        <v>1</v>
      </c>
      <c r="I62" s="34" t="n">
        <f aca="false">E62*H62+N(F62)+N(G62)</f>
        <v>2800</v>
      </c>
      <c r="J62" s="42" t="n">
        <f aca="false">ROUND(IFERROR(ROUND(IF(OR(ISNUMBER(SEARCH("week",C62)),ISNUMBER(SEARCH("minggu",C62))),IFERROR(_xlfn.NUMBERVALUE(SUBSTITUTE(LEFT(TRIM(C62),FIND(" ",TRIM(C62)&amp;" ")-1),",","."),"."),LEFT(SUBSTITUTE(LEFT(TRIM(C62),FIND(" ",TRIM(C62)&amp;" ")-1),",","."),FIND("/",SUBSTITUTE(LEFT(TRIM(C62),FIND(" ",TRIM(C62)&amp;" ")-1),",","."))-1)/MID(SUBSTITUTE(LEFT(TRIM(C62),FIND(" ",TRIM(C62)&amp;" ")-1),",","."),FIND("/",SUBSTITUTE(LEFT(TRIM(C62),FIND(" ",TRIM(C62)&amp;" ")-1),",","."))+1,9))*12/52,IF(ISNUMBER(SEARCH("month",C62)),IFERROR(_xlfn.NUMBERVALUE(SUBSTITUTE(LEFT(TRIM(C62),FIND(" ",TRIM(C62)&amp;" ")-1),",","."),"."),LEFT(SUBSTITUTE(LEFT(TRIM(C62),FIND(" ",TRIM(C62)&amp;" ")-1),",","."),FIND("/",SUBSTITUTE(LEFT(TRIM(C62),FIND(" ",TRIM(C62)&amp;" ")-1),",","."))-1)/MID(SUBSTITUTE(LEFT(TRIM(C62),FIND(" ",TRIM(C62)&amp;" ")-1),",","."),FIND("/",SUBSTITUTE(LEFT(TRIM(C62),FIND(" ",TRIM(C62)&amp;" ")-1),",","."))+1,9)),IF(ISNUMBER(SEARCH("yea",C62)),IFERROR(_xlfn.NUMBERVALUE(SUBSTITUTE(LEFT(TRIM(C62),FIND(" ",TRIM(C62)&amp;" ")-1),",","."),"."),LEFT(SUBSTITUTE(LEFT(TRIM(C62),FIND(" ",TRIM(C62)&amp;" ")-1),",","."),FIND("/",SUBSTITUTE(LEFT(TRIM(C62),FIND(" ",TRIM(C62)&amp;" ")-1),",","."))-1)/MID(SUBSTITUTE(LEFT(TRIM(C62),FIND(" ",TRIM(C62)&amp;" ")-1),",","."),FIND("/",SUBSTITUTE(LEFT(TRIM(C62),FIND(" ",TRIM(C62)&amp;" ")-1),",","."))+1,9))*12,NA()))),0),12)*'Aturan &amp; Tarif'!$B$4,2)</f>
        <v>681.36</v>
      </c>
      <c r="K62" s="42" t="n">
        <f aca="false">'Aturan &amp; Tarif'!$B$5</f>
        <v>2050</v>
      </c>
      <c r="L62" s="35" t="n">
        <f aca="false">I62+J62+K62</f>
        <v>5531.36</v>
      </c>
      <c r="M62" s="45" t="s">
        <v>3047</v>
      </c>
    </row>
    <row r="63" customFormat="false" ht="14.25" hidden="false" customHeight="true" outlineLevel="0" collapsed="false">
      <c r="A63" s="29" t="s">
        <v>1841</v>
      </c>
      <c r="B63" s="30" t="s">
        <v>1842</v>
      </c>
      <c r="C63" s="31" t="s">
        <v>127</v>
      </c>
      <c r="D63" s="31" t="s">
        <v>108</v>
      </c>
      <c r="E63" s="32" t="n">
        <v>5750</v>
      </c>
      <c r="F63" s="32"/>
      <c r="G63" s="32" t="n">
        <v>200</v>
      </c>
      <c r="H63" s="33" t="n">
        <v>2</v>
      </c>
      <c r="I63" s="34" t="n">
        <f aca="false">E63*H63+N(F63)+N(G63)</f>
        <v>11700</v>
      </c>
      <c r="J63" s="32" t="n">
        <f aca="false">ROUND(IFERROR(ROUND(IF(OR(ISNUMBER(SEARCH("week",C63)),ISNUMBER(SEARCH("minggu",C63))),IFERROR(_xlfn.NUMBERVALUE(SUBSTITUTE(LEFT(TRIM(C63),FIND(" ",TRIM(C63)&amp;" ")-1),",","."),"."),LEFT(SUBSTITUTE(LEFT(TRIM(C63),FIND(" ",TRIM(C63)&amp;" ")-1),",","."),FIND("/",SUBSTITUTE(LEFT(TRIM(C63),FIND(" ",TRIM(C63)&amp;" ")-1),",","."))-1)/MID(SUBSTITUTE(LEFT(TRIM(C63),FIND(" ",TRIM(C63)&amp;" ")-1),",","."),FIND("/",SUBSTITUTE(LEFT(TRIM(C63),FIND(" ",TRIM(C63)&amp;" ")-1),",","."))+1,9))*12/52,IF(ISNUMBER(SEARCH("month",C63)),IFERROR(_xlfn.NUMBERVALUE(SUBSTITUTE(LEFT(TRIM(C63),FIND(" ",TRIM(C63)&amp;" ")-1),",","."),"."),LEFT(SUBSTITUTE(LEFT(TRIM(C63),FIND(" ",TRIM(C63)&amp;" ")-1),",","."),FIND("/",SUBSTITUTE(LEFT(TRIM(C63),FIND(" ",TRIM(C63)&amp;" ")-1),",","."))-1)/MID(SUBSTITUTE(LEFT(TRIM(C63),FIND(" ",TRIM(C63)&amp;" ")-1),",","."),FIND("/",SUBSTITUTE(LEFT(TRIM(C63),FIND(" ",TRIM(C63)&amp;" ")-1),",","."))+1,9)),IF(ISNUMBER(SEARCH("yea",C63)),IFERROR(_xlfn.NUMBERVALUE(SUBSTITUTE(LEFT(TRIM(C63),FIND(" ",TRIM(C63)&amp;" ")-1),",","."),"."),LEFT(SUBSTITUTE(LEFT(TRIM(C63),FIND(" ",TRIM(C63)&amp;" ")-1),",","."),FIND("/",SUBSTITUTE(LEFT(TRIM(C63),FIND(" ",TRIM(C63)&amp;" ")-1),",","."))-1)/MID(SUBSTITUTE(LEFT(TRIM(C63),FIND(" ",TRIM(C63)&amp;" ")-1),",","."),FIND("/",SUBSTITUTE(LEFT(TRIM(C63),FIND(" ",TRIM(C63)&amp;" ")-1),",","."))+1,9))*12,NA()))),0),36)*'Aturan &amp; Tarif'!$B$4,2)</f>
        <v>2044.08</v>
      </c>
      <c r="K63" s="32" t="n">
        <f aca="false">'Aturan &amp; Tarif'!$B$5</f>
        <v>2050</v>
      </c>
      <c r="L63" s="35" t="n">
        <f aca="false">I63+J63+K63</f>
        <v>15794.08</v>
      </c>
      <c r="M63" s="37" t="s">
        <v>3048</v>
      </c>
    </row>
    <row r="64" customFormat="false" ht="72" hidden="false" customHeight="true" outlineLevel="0" collapsed="false">
      <c r="A64" s="29"/>
      <c r="B64" s="30" t="s">
        <v>1844</v>
      </c>
      <c r="C64" s="31" t="s">
        <v>127</v>
      </c>
      <c r="D64" s="31" t="s">
        <v>108</v>
      </c>
      <c r="E64" s="32" t="n">
        <v>5750</v>
      </c>
      <c r="F64" s="32" t="n">
        <v>200</v>
      </c>
      <c r="G64" s="32" t="n">
        <v>200</v>
      </c>
      <c r="H64" s="33" t="n">
        <v>2</v>
      </c>
      <c r="I64" s="34" t="n">
        <f aca="false">E64*H64+N(F64)+N(G64)</f>
        <v>11900</v>
      </c>
      <c r="J64" s="32" t="n">
        <f aca="false">ROUND(IFERROR(ROUND(IF(OR(ISNUMBER(SEARCH("week",C64)),ISNUMBER(SEARCH("minggu",C64))),IFERROR(_xlfn.NUMBERVALUE(SUBSTITUTE(LEFT(TRIM(C64),FIND(" ",TRIM(C64)&amp;" ")-1),",","."),"."),LEFT(SUBSTITUTE(LEFT(TRIM(C64),FIND(" ",TRIM(C64)&amp;" ")-1),",","."),FIND("/",SUBSTITUTE(LEFT(TRIM(C64),FIND(" ",TRIM(C64)&amp;" ")-1),",","."))-1)/MID(SUBSTITUTE(LEFT(TRIM(C64),FIND(" ",TRIM(C64)&amp;" ")-1),",","."),FIND("/",SUBSTITUTE(LEFT(TRIM(C64),FIND(" ",TRIM(C64)&amp;" ")-1),",","."))+1,9))*12/52,IF(ISNUMBER(SEARCH("month",C64)),IFERROR(_xlfn.NUMBERVALUE(SUBSTITUTE(LEFT(TRIM(C64),FIND(" ",TRIM(C64)&amp;" ")-1),",","."),"."),LEFT(SUBSTITUTE(LEFT(TRIM(C64),FIND(" ",TRIM(C64)&amp;" ")-1),",","."),FIND("/",SUBSTITUTE(LEFT(TRIM(C64),FIND(" ",TRIM(C64)&amp;" ")-1),",","."))-1)/MID(SUBSTITUTE(LEFT(TRIM(C64),FIND(" ",TRIM(C64)&amp;" ")-1),",","."),FIND("/",SUBSTITUTE(LEFT(TRIM(C64),FIND(" ",TRIM(C64)&amp;" ")-1),",","."))+1,9)),IF(ISNUMBER(SEARCH("yea",C64)),IFERROR(_xlfn.NUMBERVALUE(SUBSTITUTE(LEFT(TRIM(C64),FIND(" ",TRIM(C64)&amp;" ")-1),",","."),"."),LEFT(SUBSTITUTE(LEFT(TRIM(C64),FIND(" ",TRIM(C64)&amp;" ")-1),",","."),FIND("/",SUBSTITUTE(LEFT(TRIM(C64),FIND(" ",TRIM(C64)&amp;" ")-1),",","."))-1)/MID(SUBSTITUTE(LEFT(TRIM(C64),FIND(" ",TRIM(C64)&amp;" ")-1),",","."),FIND("/",SUBSTITUTE(LEFT(TRIM(C64),FIND(" ",TRIM(C64)&amp;" ")-1),",","."))+1,9))*12,NA()))),0),36)*'Aturan &amp; Tarif'!$B$4,2)</f>
        <v>2044.08</v>
      </c>
      <c r="K64" s="32" t="n">
        <f aca="false">'Aturan &amp; Tarif'!$B$5</f>
        <v>2050</v>
      </c>
      <c r="L64" s="35" t="n">
        <f aca="false">I64+J64+K64</f>
        <v>15994.08</v>
      </c>
      <c r="M64" s="36" t="s">
        <v>3049</v>
      </c>
    </row>
    <row r="65" customFormat="false" ht="48.75" hidden="false" customHeight="true" outlineLevel="0" collapsed="false">
      <c r="A65" s="29"/>
      <c r="B65" s="30" t="s">
        <v>1846</v>
      </c>
      <c r="C65" s="31" t="s">
        <v>127</v>
      </c>
      <c r="D65" s="31" t="s">
        <v>108</v>
      </c>
      <c r="E65" s="32" t="n">
        <v>5750</v>
      </c>
      <c r="F65" s="32"/>
      <c r="G65" s="32" t="n">
        <v>200</v>
      </c>
      <c r="H65" s="33" t="n">
        <v>2</v>
      </c>
      <c r="I65" s="34" t="n">
        <f aca="false">E65*H65+N(F65)+N(G65)</f>
        <v>11700</v>
      </c>
      <c r="J65" s="32" t="n">
        <f aca="false">ROUND(IFERROR(ROUND(IF(OR(ISNUMBER(SEARCH("week",C65)),ISNUMBER(SEARCH("minggu",C65))),IFERROR(_xlfn.NUMBERVALUE(SUBSTITUTE(LEFT(TRIM(C65),FIND(" ",TRIM(C65)&amp;" ")-1),",","."),"."),LEFT(SUBSTITUTE(LEFT(TRIM(C65),FIND(" ",TRIM(C65)&amp;" ")-1),",","."),FIND("/",SUBSTITUTE(LEFT(TRIM(C65),FIND(" ",TRIM(C65)&amp;" ")-1),",","."))-1)/MID(SUBSTITUTE(LEFT(TRIM(C65),FIND(" ",TRIM(C65)&amp;" ")-1),",","."),FIND("/",SUBSTITUTE(LEFT(TRIM(C65),FIND(" ",TRIM(C65)&amp;" ")-1),",","."))+1,9))*12/52,IF(ISNUMBER(SEARCH("month",C65)),IFERROR(_xlfn.NUMBERVALUE(SUBSTITUTE(LEFT(TRIM(C65),FIND(" ",TRIM(C65)&amp;" ")-1),",","."),"."),LEFT(SUBSTITUTE(LEFT(TRIM(C65),FIND(" ",TRIM(C65)&amp;" ")-1),",","."),FIND("/",SUBSTITUTE(LEFT(TRIM(C65),FIND(" ",TRIM(C65)&amp;" ")-1),",","."))-1)/MID(SUBSTITUTE(LEFT(TRIM(C65),FIND(" ",TRIM(C65)&amp;" ")-1),",","."),FIND("/",SUBSTITUTE(LEFT(TRIM(C65),FIND(" ",TRIM(C65)&amp;" ")-1),",","."))+1,9)),IF(ISNUMBER(SEARCH("yea",C65)),IFERROR(_xlfn.NUMBERVALUE(SUBSTITUTE(LEFT(TRIM(C65),FIND(" ",TRIM(C65)&amp;" ")-1),",","."),"."),LEFT(SUBSTITUTE(LEFT(TRIM(C65),FIND(" ",TRIM(C65)&amp;" ")-1),",","."),FIND("/",SUBSTITUTE(LEFT(TRIM(C65),FIND(" ",TRIM(C65)&amp;" ")-1),",","."))-1)/MID(SUBSTITUTE(LEFT(TRIM(C65),FIND(" ",TRIM(C65)&amp;" ")-1),",","."),FIND("/",SUBSTITUTE(LEFT(TRIM(C65),FIND(" ",TRIM(C65)&amp;" ")-1),",","."))+1,9))*12,NA()))),0),36)*'Aturan &amp; Tarif'!$B$4,2)</f>
        <v>2044.08</v>
      </c>
      <c r="K65" s="32" t="n">
        <f aca="false">'Aturan &amp; Tarif'!$B$5</f>
        <v>2050</v>
      </c>
      <c r="L65" s="35" t="n">
        <f aca="false">I65+J65+K65</f>
        <v>15794.08</v>
      </c>
      <c r="M65" s="37" t="s">
        <v>1847</v>
      </c>
    </row>
    <row r="66" customFormat="false" ht="25.5" hidden="false" customHeight="true" outlineLevel="0" collapsed="false">
      <c r="A66" s="29"/>
      <c r="B66" s="30" t="s">
        <v>1848</v>
      </c>
      <c r="C66" s="31" t="s">
        <v>127</v>
      </c>
      <c r="D66" s="31" t="s">
        <v>108</v>
      </c>
      <c r="E66" s="32" t="n">
        <v>5750</v>
      </c>
      <c r="F66" s="32" t="n">
        <v>200</v>
      </c>
      <c r="G66" s="32" t="n">
        <v>200</v>
      </c>
      <c r="H66" s="33" t="n">
        <v>2</v>
      </c>
      <c r="I66" s="34" t="n">
        <f aca="false">E66*H66+N(F66)+N(G66)</f>
        <v>11900</v>
      </c>
      <c r="J66" s="32" t="n">
        <f aca="false">ROUND(IFERROR(ROUND(IF(OR(ISNUMBER(SEARCH("week",C66)),ISNUMBER(SEARCH("minggu",C66))),IFERROR(_xlfn.NUMBERVALUE(SUBSTITUTE(LEFT(TRIM(C66),FIND(" ",TRIM(C66)&amp;" ")-1),",","."),"."),LEFT(SUBSTITUTE(LEFT(TRIM(C66),FIND(" ",TRIM(C66)&amp;" ")-1),",","."),FIND("/",SUBSTITUTE(LEFT(TRIM(C66),FIND(" ",TRIM(C66)&amp;" ")-1),",","."))-1)/MID(SUBSTITUTE(LEFT(TRIM(C66),FIND(" ",TRIM(C66)&amp;" ")-1),",","."),FIND("/",SUBSTITUTE(LEFT(TRIM(C66),FIND(" ",TRIM(C66)&amp;" ")-1),",","."))+1,9))*12/52,IF(ISNUMBER(SEARCH("month",C66)),IFERROR(_xlfn.NUMBERVALUE(SUBSTITUTE(LEFT(TRIM(C66),FIND(" ",TRIM(C66)&amp;" ")-1),",","."),"."),LEFT(SUBSTITUTE(LEFT(TRIM(C66),FIND(" ",TRIM(C66)&amp;" ")-1),",","."),FIND("/",SUBSTITUTE(LEFT(TRIM(C66),FIND(" ",TRIM(C66)&amp;" ")-1),",","."))-1)/MID(SUBSTITUTE(LEFT(TRIM(C66),FIND(" ",TRIM(C66)&amp;" ")-1),",","."),FIND("/",SUBSTITUTE(LEFT(TRIM(C66),FIND(" ",TRIM(C66)&amp;" ")-1),",","."))+1,9)),IF(ISNUMBER(SEARCH("yea",C66)),IFERROR(_xlfn.NUMBERVALUE(SUBSTITUTE(LEFT(TRIM(C66),FIND(" ",TRIM(C66)&amp;" ")-1),",","."),"."),LEFT(SUBSTITUTE(LEFT(TRIM(C66),FIND(" ",TRIM(C66)&amp;" ")-1),",","."),FIND("/",SUBSTITUTE(LEFT(TRIM(C66),FIND(" ",TRIM(C66)&amp;" ")-1),",","."))-1)/MID(SUBSTITUTE(LEFT(TRIM(C66),FIND(" ",TRIM(C66)&amp;" ")-1),",","."),FIND("/",SUBSTITUTE(LEFT(TRIM(C66),FIND(" ",TRIM(C66)&amp;" ")-1),",","."))+1,9))*12,NA()))),0),36)*'Aturan &amp; Tarif'!$B$4,2)</f>
        <v>2044.08</v>
      </c>
      <c r="K66" s="32" t="n">
        <f aca="false">'Aturan &amp; Tarif'!$B$5</f>
        <v>2050</v>
      </c>
      <c r="L66" s="35" t="n">
        <f aca="false">I66+J66+K66</f>
        <v>15994.08</v>
      </c>
      <c r="M66" s="36" t="s">
        <v>3050</v>
      </c>
    </row>
    <row r="67" customFormat="false" ht="25.5" hidden="false" customHeight="true" outlineLevel="0" collapsed="false">
      <c r="A67" s="29"/>
      <c r="B67" s="30" t="s">
        <v>1850</v>
      </c>
      <c r="C67" s="31" t="s">
        <v>127</v>
      </c>
      <c r="D67" s="31" t="s">
        <v>108</v>
      </c>
      <c r="E67" s="32" t="n">
        <v>5750</v>
      </c>
      <c r="F67" s="32"/>
      <c r="G67" s="32" t="n">
        <v>200</v>
      </c>
      <c r="H67" s="33" t="n">
        <v>2</v>
      </c>
      <c r="I67" s="34" t="n">
        <f aca="false">E67*H67+N(F67)+N(G67)</f>
        <v>11700</v>
      </c>
      <c r="J67" s="32" t="n">
        <f aca="false">ROUND(IFERROR(ROUND(IF(OR(ISNUMBER(SEARCH("week",C67)),ISNUMBER(SEARCH("minggu",C67))),IFERROR(_xlfn.NUMBERVALUE(SUBSTITUTE(LEFT(TRIM(C67),FIND(" ",TRIM(C67)&amp;" ")-1),",","."),"."),LEFT(SUBSTITUTE(LEFT(TRIM(C67),FIND(" ",TRIM(C67)&amp;" ")-1),",","."),FIND("/",SUBSTITUTE(LEFT(TRIM(C67),FIND(" ",TRIM(C67)&amp;" ")-1),",","."))-1)/MID(SUBSTITUTE(LEFT(TRIM(C67),FIND(" ",TRIM(C67)&amp;" ")-1),",","."),FIND("/",SUBSTITUTE(LEFT(TRIM(C67),FIND(" ",TRIM(C67)&amp;" ")-1),",","."))+1,9))*12/52,IF(ISNUMBER(SEARCH("month",C67)),IFERROR(_xlfn.NUMBERVALUE(SUBSTITUTE(LEFT(TRIM(C67),FIND(" ",TRIM(C67)&amp;" ")-1),",","."),"."),LEFT(SUBSTITUTE(LEFT(TRIM(C67),FIND(" ",TRIM(C67)&amp;" ")-1),",","."),FIND("/",SUBSTITUTE(LEFT(TRIM(C67),FIND(" ",TRIM(C67)&amp;" ")-1),",","."))-1)/MID(SUBSTITUTE(LEFT(TRIM(C67),FIND(" ",TRIM(C67)&amp;" ")-1),",","."),FIND("/",SUBSTITUTE(LEFT(TRIM(C67),FIND(" ",TRIM(C67)&amp;" ")-1),",","."))+1,9)),IF(ISNUMBER(SEARCH("yea",C67)),IFERROR(_xlfn.NUMBERVALUE(SUBSTITUTE(LEFT(TRIM(C67),FIND(" ",TRIM(C67)&amp;" ")-1),",","."),"."),LEFT(SUBSTITUTE(LEFT(TRIM(C67),FIND(" ",TRIM(C67)&amp;" ")-1),",","."),FIND("/",SUBSTITUTE(LEFT(TRIM(C67),FIND(" ",TRIM(C67)&amp;" ")-1),",","."))-1)/MID(SUBSTITUTE(LEFT(TRIM(C67),FIND(" ",TRIM(C67)&amp;" ")-1),",","."),FIND("/",SUBSTITUTE(LEFT(TRIM(C67),FIND(" ",TRIM(C67)&amp;" ")-1),",","."))+1,9))*12,NA()))),0),36)*'Aturan &amp; Tarif'!$B$4,2)</f>
        <v>2044.08</v>
      </c>
      <c r="K67" s="32" t="n">
        <f aca="false">'Aturan &amp; Tarif'!$B$5</f>
        <v>2050</v>
      </c>
      <c r="L67" s="35" t="n">
        <f aca="false">I67+J67+K67</f>
        <v>15794.08</v>
      </c>
      <c r="M67" s="36" t="s">
        <v>3051</v>
      </c>
    </row>
    <row r="68" customFormat="false" ht="14.25" hidden="false" customHeight="true" outlineLevel="0" collapsed="false">
      <c r="A68" s="29"/>
      <c r="B68" s="30" t="s">
        <v>1852</v>
      </c>
      <c r="C68" s="31" t="s">
        <v>130</v>
      </c>
      <c r="D68" s="31" t="s">
        <v>108</v>
      </c>
      <c r="E68" s="32" t="n">
        <v>5750</v>
      </c>
      <c r="F68" s="32"/>
      <c r="G68" s="32" t="n">
        <v>200</v>
      </c>
      <c r="H68" s="33" t="n">
        <v>2</v>
      </c>
      <c r="I68" s="34" t="n">
        <f aca="false">E68*H68+N(F68)+N(G68)</f>
        <v>11700</v>
      </c>
      <c r="J68" s="32" t="n">
        <f aca="false">ROUND(IFERROR(ROUND(IF(OR(ISNUMBER(SEARCH("week",C68)),ISNUMBER(SEARCH("minggu",C68))),IFERROR(_xlfn.NUMBERVALUE(SUBSTITUTE(LEFT(TRIM(C68),FIND(" ",TRIM(C68)&amp;" ")-1),",","."),"."),LEFT(SUBSTITUTE(LEFT(TRIM(C68),FIND(" ",TRIM(C68)&amp;" ")-1),",","."),FIND("/",SUBSTITUTE(LEFT(TRIM(C68),FIND(" ",TRIM(C68)&amp;" ")-1),",","."))-1)/MID(SUBSTITUTE(LEFT(TRIM(C68),FIND(" ",TRIM(C68)&amp;" ")-1),",","."),FIND("/",SUBSTITUTE(LEFT(TRIM(C68),FIND(" ",TRIM(C68)&amp;" ")-1),",","."))+1,9))*12/52,IF(ISNUMBER(SEARCH("month",C68)),IFERROR(_xlfn.NUMBERVALUE(SUBSTITUTE(LEFT(TRIM(C68),FIND(" ",TRIM(C68)&amp;" ")-1),",","."),"."),LEFT(SUBSTITUTE(LEFT(TRIM(C68),FIND(" ",TRIM(C68)&amp;" ")-1),",","."),FIND("/",SUBSTITUTE(LEFT(TRIM(C68),FIND(" ",TRIM(C68)&amp;" ")-1),",","."))-1)/MID(SUBSTITUTE(LEFT(TRIM(C68),FIND(" ",TRIM(C68)&amp;" ")-1),",","."),FIND("/",SUBSTITUTE(LEFT(TRIM(C68),FIND(" ",TRIM(C68)&amp;" ")-1),",","."))+1,9)),IF(ISNUMBER(SEARCH("yea",C68)),IFERROR(_xlfn.NUMBERVALUE(SUBSTITUTE(LEFT(TRIM(C68),FIND(" ",TRIM(C68)&amp;" ")-1),",","."),"."),LEFT(SUBSTITUTE(LEFT(TRIM(C68),FIND(" ",TRIM(C68)&amp;" ")-1),",","."),FIND("/",SUBSTITUTE(LEFT(TRIM(C68),FIND(" ",TRIM(C68)&amp;" ")-1),",","."))-1)/MID(SUBSTITUTE(LEFT(TRIM(C68),FIND(" ",TRIM(C68)&amp;" ")-1),",","."),FIND("/",SUBSTITUTE(LEFT(TRIM(C68),FIND(" ",TRIM(C68)&amp;" ")-1),",","."))+1,9))*12,NA()))),0),12)*'Aturan &amp; Tarif'!$B$4,2)</f>
        <v>681.36</v>
      </c>
      <c r="K68" s="32" t="n">
        <f aca="false">'Aturan &amp; Tarif'!$B$5</f>
        <v>2050</v>
      </c>
      <c r="L68" s="35" t="n">
        <f aca="false">I68+J68+K68</f>
        <v>14431.36</v>
      </c>
      <c r="M68" s="37" t="s">
        <v>1853</v>
      </c>
    </row>
    <row r="69" customFormat="false" ht="14.25" hidden="false" customHeight="true" outlineLevel="0" collapsed="false">
      <c r="A69" s="29"/>
      <c r="B69" s="30" t="s">
        <v>1854</v>
      </c>
      <c r="C69" s="31" t="s">
        <v>130</v>
      </c>
      <c r="D69" s="31" t="s">
        <v>108</v>
      </c>
      <c r="E69" s="32" t="n">
        <v>5750</v>
      </c>
      <c r="F69" s="32"/>
      <c r="G69" s="32" t="n">
        <v>200</v>
      </c>
      <c r="H69" s="33" t="n">
        <v>2</v>
      </c>
      <c r="I69" s="34" t="n">
        <f aca="false">E69*H69+N(F69)+N(G69)</f>
        <v>11700</v>
      </c>
      <c r="J69" s="32" t="n">
        <f aca="false">ROUND(IFERROR(ROUND(IF(OR(ISNUMBER(SEARCH("week",C69)),ISNUMBER(SEARCH("minggu",C69))),IFERROR(_xlfn.NUMBERVALUE(SUBSTITUTE(LEFT(TRIM(C69),FIND(" ",TRIM(C69)&amp;" ")-1),",","."),"."),LEFT(SUBSTITUTE(LEFT(TRIM(C69),FIND(" ",TRIM(C69)&amp;" ")-1),",","."),FIND("/",SUBSTITUTE(LEFT(TRIM(C69),FIND(" ",TRIM(C69)&amp;" ")-1),",","."))-1)/MID(SUBSTITUTE(LEFT(TRIM(C69),FIND(" ",TRIM(C69)&amp;" ")-1),",","."),FIND("/",SUBSTITUTE(LEFT(TRIM(C69),FIND(" ",TRIM(C69)&amp;" ")-1),",","."))+1,9))*12/52,IF(ISNUMBER(SEARCH("month",C69)),IFERROR(_xlfn.NUMBERVALUE(SUBSTITUTE(LEFT(TRIM(C69),FIND(" ",TRIM(C69)&amp;" ")-1),",","."),"."),LEFT(SUBSTITUTE(LEFT(TRIM(C69),FIND(" ",TRIM(C69)&amp;" ")-1),",","."),FIND("/",SUBSTITUTE(LEFT(TRIM(C69),FIND(" ",TRIM(C69)&amp;" ")-1),",","."))-1)/MID(SUBSTITUTE(LEFT(TRIM(C69),FIND(" ",TRIM(C69)&amp;" ")-1),",","."),FIND("/",SUBSTITUTE(LEFT(TRIM(C69),FIND(" ",TRIM(C69)&amp;" ")-1),",","."))+1,9)),IF(ISNUMBER(SEARCH("yea",C69)),IFERROR(_xlfn.NUMBERVALUE(SUBSTITUTE(LEFT(TRIM(C69),FIND(" ",TRIM(C69)&amp;" ")-1),",","."),"."),LEFT(SUBSTITUTE(LEFT(TRIM(C69),FIND(" ",TRIM(C69)&amp;" ")-1),",","."),FIND("/",SUBSTITUTE(LEFT(TRIM(C69),FIND(" ",TRIM(C69)&amp;" ")-1),",","."))-1)/MID(SUBSTITUTE(LEFT(TRIM(C69),FIND(" ",TRIM(C69)&amp;" ")-1),",","."),FIND("/",SUBSTITUTE(LEFT(TRIM(C69),FIND(" ",TRIM(C69)&amp;" ")-1),",","."))+1,9))*12,NA()))),0),12)*'Aturan &amp; Tarif'!$B$4,2)</f>
        <v>681.36</v>
      </c>
      <c r="K69" s="32" t="n">
        <f aca="false">'Aturan &amp; Tarif'!$B$5</f>
        <v>2050</v>
      </c>
      <c r="L69" s="35" t="n">
        <f aca="false">I69+J69+K69</f>
        <v>14431.36</v>
      </c>
      <c r="M69" s="37" t="s">
        <v>1853</v>
      </c>
    </row>
    <row r="70" customFormat="false" ht="14.25" hidden="false" customHeight="true" outlineLevel="0" collapsed="false">
      <c r="A70" s="29"/>
      <c r="B70" s="30" t="s">
        <v>1855</v>
      </c>
      <c r="C70" s="31" t="s">
        <v>130</v>
      </c>
      <c r="D70" s="31" t="s">
        <v>108</v>
      </c>
      <c r="E70" s="32" t="n">
        <v>5750</v>
      </c>
      <c r="F70" s="32"/>
      <c r="G70" s="32" t="n">
        <v>200</v>
      </c>
      <c r="H70" s="33" t="n">
        <v>2</v>
      </c>
      <c r="I70" s="34" t="n">
        <f aca="false">E70*H70+N(F70)+N(G70)</f>
        <v>11700</v>
      </c>
      <c r="J70" s="32" t="n">
        <f aca="false">ROUND(IFERROR(ROUND(IF(OR(ISNUMBER(SEARCH("week",C70)),ISNUMBER(SEARCH("minggu",C70))),IFERROR(_xlfn.NUMBERVALUE(SUBSTITUTE(LEFT(TRIM(C70),FIND(" ",TRIM(C70)&amp;" ")-1),",","."),"."),LEFT(SUBSTITUTE(LEFT(TRIM(C70),FIND(" ",TRIM(C70)&amp;" ")-1),",","."),FIND("/",SUBSTITUTE(LEFT(TRIM(C70),FIND(" ",TRIM(C70)&amp;" ")-1),",","."))-1)/MID(SUBSTITUTE(LEFT(TRIM(C70),FIND(" ",TRIM(C70)&amp;" ")-1),",","."),FIND("/",SUBSTITUTE(LEFT(TRIM(C70),FIND(" ",TRIM(C70)&amp;" ")-1),",","."))+1,9))*12/52,IF(ISNUMBER(SEARCH("month",C70)),IFERROR(_xlfn.NUMBERVALUE(SUBSTITUTE(LEFT(TRIM(C70),FIND(" ",TRIM(C70)&amp;" ")-1),",","."),"."),LEFT(SUBSTITUTE(LEFT(TRIM(C70),FIND(" ",TRIM(C70)&amp;" ")-1),",","."),FIND("/",SUBSTITUTE(LEFT(TRIM(C70),FIND(" ",TRIM(C70)&amp;" ")-1),",","."))-1)/MID(SUBSTITUTE(LEFT(TRIM(C70),FIND(" ",TRIM(C70)&amp;" ")-1),",","."),FIND("/",SUBSTITUTE(LEFT(TRIM(C70),FIND(" ",TRIM(C70)&amp;" ")-1),",","."))+1,9)),IF(ISNUMBER(SEARCH("yea",C70)),IFERROR(_xlfn.NUMBERVALUE(SUBSTITUTE(LEFT(TRIM(C70),FIND(" ",TRIM(C70)&amp;" ")-1),",","."),"."),LEFT(SUBSTITUTE(LEFT(TRIM(C70),FIND(" ",TRIM(C70)&amp;" ")-1),",","."),FIND("/",SUBSTITUTE(LEFT(TRIM(C70),FIND(" ",TRIM(C70)&amp;" ")-1),",","."))-1)/MID(SUBSTITUTE(LEFT(TRIM(C70),FIND(" ",TRIM(C70)&amp;" ")-1),",","."),FIND("/",SUBSTITUTE(LEFT(TRIM(C70),FIND(" ",TRIM(C70)&amp;" ")-1),",","."))+1,9))*12,NA()))),0),12)*'Aturan &amp; Tarif'!$B$4,2)</f>
        <v>681.36</v>
      </c>
      <c r="K70" s="32" t="n">
        <f aca="false">'Aturan &amp; Tarif'!$B$5</f>
        <v>2050</v>
      </c>
      <c r="L70" s="35" t="n">
        <f aca="false">I70+J70+K70</f>
        <v>14431.36</v>
      </c>
      <c r="M70" s="37" t="s">
        <v>1847</v>
      </c>
    </row>
    <row r="71" customFormat="false" ht="14.25" hidden="false" customHeight="true" outlineLevel="0" collapsed="false">
      <c r="A71" s="29"/>
      <c r="B71" s="30" t="s">
        <v>1856</v>
      </c>
      <c r="C71" s="31" t="s">
        <v>130</v>
      </c>
      <c r="D71" s="31" t="s">
        <v>108</v>
      </c>
      <c r="E71" s="32" t="n">
        <v>5750</v>
      </c>
      <c r="F71" s="32"/>
      <c r="G71" s="32" t="n">
        <v>200</v>
      </c>
      <c r="H71" s="33" t="n">
        <v>2</v>
      </c>
      <c r="I71" s="34" t="n">
        <f aca="false">E71*H71+N(F71)+N(G71)</f>
        <v>11700</v>
      </c>
      <c r="J71" s="32" t="n">
        <f aca="false">ROUND(IFERROR(ROUND(IF(OR(ISNUMBER(SEARCH("week",C71)),ISNUMBER(SEARCH("minggu",C71))),IFERROR(_xlfn.NUMBERVALUE(SUBSTITUTE(LEFT(TRIM(C71),FIND(" ",TRIM(C71)&amp;" ")-1),",","."),"."),LEFT(SUBSTITUTE(LEFT(TRIM(C71),FIND(" ",TRIM(C71)&amp;" ")-1),",","."),FIND("/",SUBSTITUTE(LEFT(TRIM(C71),FIND(" ",TRIM(C71)&amp;" ")-1),",","."))-1)/MID(SUBSTITUTE(LEFT(TRIM(C71),FIND(" ",TRIM(C71)&amp;" ")-1),",","."),FIND("/",SUBSTITUTE(LEFT(TRIM(C71),FIND(" ",TRIM(C71)&amp;" ")-1),",","."))+1,9))*12/52,IF(ISNUMBER(SEARCH("month",C71)),IFERROR(_xlfn.NUMBERVALUE(SUBSTITUTE(LEFT(TRIM(C71),FIND(" ",TRIM(C71)&amp;" ")-1),",","."),"."),LEFT(SUBSTITUTE(LEFT(TRIM(C71),FIND(" ",TRIM(C71)&amp;" ")-1),",","."),FIND("/",SUBSTITUTE(LEFT(TRIM(C71),FIND(" ",TRIM(C71)&amp;" ")-1),",","."))-1)/MID(SUBSTITUTE(LEFT(TRIM(C71),FIND(" ",TRIM(C71)&amp;" ")-1),",","."),FIND("/",SUBSTITUTE(LEFT(TRIM(C71),FIND(" ",TRIM(C71)&amp;" ")-1),",","."))+1,9)),IF(ISNUMBER(SEARCH("yea",C71)),IFERROR(_xlfn.NUMBERVALUE(SUBSTITUTE(LEFT(TRIM(C71),FIND(" ",TRIM(C71)&amp;" ")-1),",","."),"."),LEFT(SUBSTITUTE(LEFT(TRIM(C71),FIND(" ",TRIM(C71)&amp;" ")-1),",","."),FIND("/",SUBSTITUTE(LEFT(TRIM(C71),FIND(" ",TRIM(C71)&amp;" ")-1),",","."))-1)/MID(SUBSTITUTE(LEFT(TRIM(C71),FIND(" ",TRIM(C71)&amp;" ")-1),",","."),FIND("/",SUBSTITUTE(LEFT(TRIM(C71),FIND(" ",TRIM(C71)&amp;" ")-1),",","."))+1,9))*12,NA()))),0),12)*'Aturan &amp; Tarif'!$B$4,2)</f>
        <v>681.36</v>
      </c>
      <c r="K71" s="32" t="n">
        <f aca="false">'Aturan &amp; Tarif'!$B$5</f>
        <v>2050</v>
      </c>
      <c r="L71" s="35" t="n">
        <f aca="false">I71+J71+K71</f>
        <v>14431.36</v>
      </c>
      <c r="M71" s="37" t="s">
        <v>1853</v>
      </c>
    </row>
    <row r="72" customFormat="false" ht="94.5" hidden="false" customHeight="true" outlineLevel="0" collapsed="false">
      <c r="A72" s="29"/>
      <c r="B72" s="30" t="s">
        <v>1857</v>
      </c>
      <c r="C72" s="31" t="s">
        <v>130</v>
      </c>
      <c r="D72" s="31" t="s">
        <v>108</v>
      </c>
      <c r="E72" s="32" t="n">
        <v>5750</v>
      </c>
      <c r="F72" s="32"/>
      <c r="G72" s="32" t="n">
        <v>200</v>
      </c>
      <c r="H72" s="33" t="n">
        <v>2</v>
      </c>
      <c r="I72" s="34" t="n">
        <f aca="false">E72*H72+N(F72)+N(G72)</f>
        <v>11700</v>
      </c>
      <c r="J72" s="32" t="n">
        <f aca="false">ROUND(IFERROR(ROUND(IF(OR(ISNUMBER(SEARCH("week",C72)),ISNUMBER(SEARCH("minggu",C72))),IFERROR(_xlfn.NUMBERVALUE(SUBSTITUTE(LEFT(TRIM(C72),FIND(" ",TRIM(C72)&amp;" ")-1),",","."),"."),LEFT(SUBSTITUTE(LEFT(TRIM(C72),FIND(" ",TRIM(C72)&amp;" ")-1),",","."),FIND("/",SUBSTITUTE(LEFT(TRIM(C72),FIND(" ",TRIM(C72)&amp;" ")-1),",","."))-1)/MID(SUBSTITUTE(LEFT(TRIM(C72),FIND(" ",TRIM(C72)&amp;" ")-1),",","."),FIND("/",SUBSTITUTE(LEFT(TRIM(C72),FIND(" ",TRIM(C72)&amp;" ")-1),",","."))+1,9))*12/52,IF(ISNUMBER(SEARCH("month",C72)),IFERROR(_xlfn.NUMBERVALUE(SUBSTITUTE(LEFT(TRIM(C72),FIND(" ",TRIM(C72)&amp;" ")-1),",","."),"."),LEFT(SUBSTITUTE(LEFT(TRIM(C72),FIND(" ",TRIM(C72)&amp;" ")-1),",","."),FIND("/",SUBSTITUTE(LEFT(TRIM(C72),FIND(" ",TRIM(C72)&amp;" ")-1),",","."))-1)/MID(SUBSTITUTE(LEFT(TRIM(C72),FIND(" ",TRIM(C72)&amp;" ")-1),",","."),FIND("/",SUBSTITUTE(LEFT(TRIM(C72),FIND(" ",TRIM(C72)&amp;" ")-1),",","."))+1,9)),IF(ISNUMBER(SEARCH("yea",C72)),IFERROR(_xlfn.NUMBERVALUE(SUBSTITUTE(LEFT(TRIM(C72),FIND(" ",TRIM(C72)&amp;" ")-1),",","."),"."),LEFT(SUBSTITUTE(LEFT(TRIM(C72),FIND(" ",TRIM(C72)&amp;" ")-1),",","."),FIND("/",SUBSTITUTE(LEFT(TRIM(C72),FIND(" ",TRIM(C72)&amp;" ")-1),",","."))-1)/MID(SUBSTITUTE(LEFT(TRIM(C72),FIND(" ",TRIM(C72)&amp;" ")-1),",","."),FIND("/",SUBSTITUTE(LEFT(TRIM(C72),FIND(" ",TRIM(C72)&amp;" ")-1),",","."))+1,9))*12,NA()))),0),12)*'Aturan &amp; Tarif'!$B$4,2)</f>
        <v>681.36</v>
      </c>
      <c r="K72" s="32" t="n">
        <f aca="false">'Aturan &amp; Tarif'!$B$5</f>
        <v>2050</v>
      </c>
      <c r="L72" s="35" t="n">
        <f aca="false">I72+J72+K72</f>
        <v>14431.36</v>
      </c>
      <c r="M72" s="37" t="s">
        <v>1858</v>
      </c>
    </row>
    <row r="73" customFormat="false" ht="72" hidden="false" customHeight="true" outlineLevel="0" collapsed="false">
      <c r="A73" s="29"/>
      <c r="B73" s="30" t="s">
        <v>3052</v>
      </c>
      <c r="C73" s="31" t="s">
        <v>130</v>
      </c>
      <c r="D73" s="31" t="s">
        <v>108</v>
      </c>
      <c r="E73" s="32" t="n">
        <v>5750</v>
      </c>
      <c r="F73" s="32"/>
      <c r="G73" s="32" t="n">
        <v>200</v>
      </c>
      <c r="H73" s="33" t="n">
        <v>2</v>
      </c>
      <c r="I73" s="34" t="n">
        <f aca="false">E73*H73+N(F73)+N(G73)</f>
        <v>11700</v>
      </c>
      <c r="J73" s="32" t="n">
        <f aca="false">ROUND(IFERROR(ROUND(IF(OR(ISNUMBER(SEARCH("week",C73)),ISNUMBER(SEARCH("minggu",C73))),IFERROR(_xlfn.NUMBERVALUE(SUBSTITUTE(LEFT(TRIM(C73),FIND(" ",TRIM(C73)&amp;" ")-1),",","."),"."),LEFT(SUBSTITUTE(LEFT(TRIM(C73),FIND(" ",TRIM(C73)&amp;" ")-1),",","."),FIND("/",SUBSTITUTE(LEFT(TRIM(C73),FIND(" ",TRIM(C73)&amp;" ")-1),",","."))-1)/MID(SUBSTITUTE(LEFT(TRIM(C73),FIND(" ",TRIM(C73)&amp;" ")-1),",","."),FIND("/",SUBSTITUTE(LEFT(TRIM(C73),FIND(" ",TRIM(C73)&amp;" ")-1),",","."))+1,9))*12/52,IF(ISNUMBER(SEARCH("month",C73)),IFERROR(_xlfn.NUMBERVALUE(SUBSTITUTE(LEFT(TRIM(C73),FIND(" ",TRIM(C73)&amp;" ")-1),",","."),"."),LEFT(SUBSTITUTE(LEFT(TRIM(C73),FIND(" ",TRIM(C73)&amp;" ")-1),",","."),FIND("/",SUBSTITUTE(LEFT(TRIM(C73),FIND(" ",TRIM(C73)&amp;" ")-1),",","."))-1)/MID(SUBSTITUTE(LEFT(TRIM(C73),FIND(" ",TRIM(C73)&amp;" ")-1),",","."),FIND("/",SUBSTITUTE(LEFT(TRIM(C73),FIND(" ",TRIM(C73)&amp;" ")-1),",","."))+1,9)),IF(ISNUMBER(SEARCH("yea",C73)),IFERROR(_xlfn.NUMBERVALUE(SUBSTITUTE(LEFT(TRIM(C73),FIND(" ",TRIM(C73)&amp;" ")-1),",","."),"."),LEFT(SUBSTITUTE(LEFT(TRIM(C73),FIND(" ",TRIM(C73)&amp;" ")-1),",","."),FIND("/",SUBSTITUTE(LEFT(TRIM(C73),FIND(" ",TRIM(C73)&amp;" ")-1),",","."))-1)/MID(SUBSTITUTE(LEFT(TRIM(C73),FIND(" ",TRIM(C73)&amp;" ")-1),",","."),FIND("/",SUBSTITUTE(LEFT(TRIM(C73),FIND(" ",TRIM(C73)&amp;" ")-1),",","."))+1,9))*12,NA()))),0),12)*'Aturan &amp; Tarif'!$B$4,2)</f>
        <v>681.36</v>
      </c>
      <c r="K73" s="32" t="n">
        <f aca="false">'Aturan &amp; Tarif'!$B$5</f>
        <v>2050</v>
      </c>
      <c r="L73" s="35" t="n">
        <f aca="false">I73+J73+K73</f>
        <v>14431.36</v>
      </c>
      <c r="M73" s="37" t="s">
        <v>1860</v>
      </c>
    </row>
    <row r="74" customFormat="false" ht="25.5" hidden="false" customHeight="true" outlineLevel="0" collapsed="false">
      <c r="A74" s="29" t="s">
        <v>1861</v>
      </c>
      <c r="B74" s="30" t="s">
        <v>1276</v>
      </c>
      <c r="C74" s="31" t="s">
        <v>127</v>
      </c>
      <c r="D74" s="31" t="s">
        <v>108</v>
      </c>
      <c r="E74" s="32" t="n">
        <v>3250</v>
      </c>
      <c r="F74" s="32"/>
      <c r="G74" s="32" t="n">
        <v>250</v>
      </c>
      <c r="H74" s="33" t="n">
        <v>2</v>
      </c>
      <c r="I74" s="34" t="n">
        <f aca="false">E74*H74+N(F74)+N(G74)</f>
        <v>6750</v>
      </c>
      <c r="J74" s="32" t="n">
        <f aca="false">ROUND(IFERROR(ROUND(IF(OR(ISNUMBER(SEARCH("week",C74)),ISNUMBER(SEARCH("minggu",C74))),IFERROR(_xlfn.NUMBERVALUE(SUBSTITUTE(LEFT(TRIM(C74),FIND(" ",TRIM(C74)&amp;" ")-1),",","."),"."),LEFT(SUBSTITUTE(LEFT(TRIM(C74),FIND(" ",TRIM(C74)&amp;" ")-1),",","."),FIND("/",SUBSTITUTE(LEFT(TRIM(C74),FIND(" ",TRIM(C74)&amp;" ")-1),",","."))-1)/MID(SUBSTITUTE(LEFT(TRIM(C74),FIND(" ",TRIM(C74)&amp;" ")-1),",","."),FIND("/",SUBSTITUTE(LEFT(TRIM(C74),FIND(" ",TRIM(C74)&amp;" ")-1),",","."))+1,9))*12/52,IF(ISNUMBER(SEARCH("month",C74)),IFERROR(_xlfn.NUMBERVALUE(SUBSTITUTE(LEFT(TRIM(C74),FIND(" ",TRIM(C74)&amp;" ")-1),",","."),"."),LEFT(SUBSTITUTE(LEFT(TRIM(C74),FIND(" ",TRIM(C74)&amp;" ")-1),",","."),FIND("/",SUBSTITUTE(LEFT(TRIM(C74),FIND(" ",TRIM(C74)&amp;" ")-1),",","."))-1)/MID(SUBSTITUTE(LEFT(TRIM(C74),FIND(" ",TRIM(C74)&amp;" ")-1),",","."),FIND("/",SUBSTITUTE(LEFT(TRIM(C74),FIND(" ",TRIM(C74)&amp;" ")-1),",","."))+1,9)),IF(ISNUMBER(SEARCH("yea",C74)),IFERROR(_xlfn.NUMBERVALUE(SUBSTITUTE(LEFT(TRIM(C74),FIND(" ",TRIM(C74)&amp;" ")-1),",","."),"."),LEFT(SUBSTITUTE(LEFT(TRIM(C74),FIND(" ",TRIM(C74)&amp;" ")-1),",","."),FIND("/",SUBSTITUTE(LEFT(TRIM(C74),FIND(" ",TRIM(C74)&amp;" ")-1),",","."))-1)/MID(SUBSTITUTE(LEFT(TRIM(C74),FIND(" ",TRIM(C74)&amp;" ")-1),",","."),FIND("/",SUBSTITUTE(LEFT(TRIM(C74),FIND(" ",TRIM(C74)&amp;" ")-1),",","."))+1,9))*12,NA()))),0),36)*'Aturan &amp; Tarif'!$B$4,2)</f>
        <v>2044.08</v>
      </c>
      <c r="K74" s="32" t="n">
        <f aca="false">'Aturan &amp; Tarif'!$B$5</f>
        <v>2050</v>
      </c>
      <c r="L74" s="35" t="n">
        <f aca="false">I74+J74+K74</f>
        <v>10844.08</v>
      </c>
      <c r="M74" s="37" t="s">
        <v>3053</v>
      </c>
    </row>
    <row r="75" customFormat="false" ht="25.5" hidden="false" customHeight="true" outlineLevel="0" collapsed="false">
      <c r="A75" s="29"/>
      <c r="B75" s="30" t="s">
        <v>321</v>
      </c>
      <c r="C75" s="31" t="s">
        <v>127</v>
      </c>
      <c r="D75" s="31" t="s">
        <v>108</v>
      </c>
      <c r="E75" s="32" t="n">
        <v>3250</v>
      </c>
      <c r="F75" s="32"/>
      <c r="G75" s="32" t="n">
        <v>250</v>
      </c>
      <c r="H75" s="33" t="n">
        <v>2</v>
      </c>
      <c r="I75" s="34" t="n">
        <f aca="false">E75*H75+N(F75)+N(G75)</f>
        <v>6750</v>
      </c>
      <c r="J75" s="32" t="n">
        <f aca="false">ROUND(IFERROR(ROUND(IF(OR(ISNUMBER(SEARCH("week",C75)),ISNUMBER(SEARCH("minggu",C75))),IFERROR(_xlfn.NUMBERVALUE(SUBSTITUTE(LEFT(TRIM(C75),FIND(" ",TRIM(C75)&amp;" ")-1),",","."),"."),LEFT(SUBSTITUTE(LEFT(TRIM(C75),FIND(" ",TRIM(C75)&amp;" ")-1),",","."),FIND("/",SUBSTITUTE(LEFT(TRIM(C75),FIND(" ",TRIM(C75)&amp;" ")-1),",","."))-1)/MID(SUBSTITUTE(LEFT(TRIM(C75),FIND(" ",TRIM(C75)&amp;" ")-1),",","."),FIND("/",SUBSTITUTE(LEFT(TRIM(C75),FIND(" ",TRIM(C75)&amp;" ")-1),",","."))+1,9))*12/52,IF(ISNUMBER(SEARCH("month",C75)),IFERROR(_xlfn.NUMBERVALUE(SUBSTITUTE(LEFT(TRIM(C75),FIND(" ",TRIM(C75)&amp;" ")-1),",","."),"."),LEFT(SUBSTITUTE(LEFT(TRIM(C75),FIND(" ",TRIM(C75)&amp;" ")-1),",","."),FIND("/",SUBSTITUTE(LEFT(TRIM(C75),FIND(" ",TRIM(C75)&amp;" ")-1),",","."))-1)/MID(SUBSTITUTE(LEFT(TRIM(C75),FIND(" ",TRIM(C75)&amp;" ")-1),",","."),FIND("/",SUBSTITUTE(LEFT(TRIM(C75),FIND(" ",TRIM(C75)&amp;" ")-1),",","."))+1,9)),IF(ISNUMBER(SEARCH("yea",C75)),IFERROR(_xlfn.NUMBERVALUE(SUBSTITUTE(LEFT(TRIM(C75),FIND(" ",TRIM(C75)&amp;" ")-1),",","."),"."),LEFT(SUBSTITUTE(LEFT(TRIM(C75),FIND(" ",TRIM(C75)&amp;" ")-1),",","."),FIND("/",SUBSTITUTE(LEFT(TRIM(C75),FIND(" ",TRIM(C75)&amp;" ")-1),",","."))-1)/MID(SUBSTITUTE(LEFT(TRIM(C75),FIND(" ",TRIM(C75)&amp;" ")-1),",","."),FIND("/",SUBSTITUTE(LEFT(TRIM(C75),FIND(" ",TRIM(C75)&amp;" ")-1),",","."))+1,9))*12,NA()))),0),36)*'Aturan &amp; Tarif'!$B$4,2)</f>
        <v>2044.08</v>
      </c>
      <c r="K75" s="32" t="n">
        <f aca="false">'Aturan &amp; Tarif'!$B$5</f>
        <v>2050</v>
      </c>
      <c r="L75" s="35" t="n">
        <f aca="false">I75+J75+K75</f>
        <v>10844.08</v>
      </c>
      <c r="M75" s="37" t="s">
        <v>3053</v>
      </c>
    </row>
    <row r="76" customFormat="false" ht="48.75" hidden="false" customHeight="true" outlineLevel="0" collapsed="false">
      <c r="A76" s="29"/>
      <c r="B76" s="30" t="s">
        <v>3054</v>
      </c>
      <c r="C76" s="31" t="s">
        <v>127</v>
      </c>
      <c r="D76" s="31" t="s">
        <v>108</v>
      </c>
      <c r="E76" s="32" t="n">
        <v>3250</v>
      </c>
      <c r="F76" s="32"/>
      <c r="G76" s="32" t="n">
        <v>250</v>
      </c>
      <c r="H76" s="33" t="n">
        <v>2</v>
      </c>
      <c r="I76" s="34" t="n">
        <f aca="false">E76*H76+N(F76)+N(G76)</f>
        <v>6750</v>
      </c>
      <c r="J76" s="32" t="n">
        <f aca="false">ROUND(IFERROR(ROUND(IF(OR(ISNUMBER(SEARCH("week",C76)),ISNUMBER(SEARCH("minggu",C76))),IFERROR(_xlfn.NUMBERVALUE(SUBSTITUTE(LEFT(TRIM(C76),FIND(" ",TRIM(C76)&amp;" ")-1),",","."),"."),LEFT(SUBSTITUTE(LEFT(TRIM(C76),FIND(" ",TRIM(C76)&amp;" ")-1),",","."),FIND("/",SUBSTITUTE(LEFT(TRIM(C76),FIND(" ",TRIM(C76)&amp;" ")-1),",","."))-1)/MID(SUBSTITUTE(LEFT(TRIM(C76),FIND(" ",TRIM(C76)&amp;" ")-1),",","."),FIND("/",SUBSTITUTE(LEFT(TRIM(C76),FIND(" ",TRIM(C76)&amp;" ")-1),",","."))+1,9))*12/52,IF(ISNUMBER(SEARCH("month",C76)),IFERROR(_xlfn.NUMBERVALUE(SUBSTITUTE(LEFT(TRIM(C76),FIND(" ",TRIM(C76)&amp;" ")-1),",","."),"."),LEFT(SUBSTITUTE(LEFT(TRIM(C76),FIND(" ",TRIM(C76)&amp;" ")-1),",","."),FIND("/",SUBSTITUTE(LEFT(TRIM(C76),FIND(" ",TRIM(C76)&amp;" ")-1),",","."))-1)/MID(SUBSTITUTE(LEFT(TRIM(C76),FIND(" ",TRIM(C76)&amp;" ")-1),",","."),FIND("/",SUBSTITUTE(LEFT(TRIM(C76),FIND(" ",TRIM(C76)&amp;" ")-1),",","."))+1,9)),IF(ISNUMBER(SEARCH("yea",C76)),IFERROR(_xlfn.NUMBERVALUE(SUBSTITUTE(LEFT(TRIM(C76),FIND(" ",TRIM(C76)&amp;" ")-1),",","."),"."),LEFT(SUBSTITUTE(LEFT(TRIM(C76),FIND(" ",TRIM(C76)&amp;" ")-1),",","."),FIND("/",SUBSTITUTE(LEFT(TRIM(C76),FIND(" ",TRIM(C76)&amp;" ")-1),",","."))-1)/MID(SUBSTITUTE(LEFT(TRIM(C76),FIND(" ",TRIM(C76)&amp;" ")-1),",","."),FIND("/",SUBSTITUTE(LEFT(TRIM(C76),FIND(" ",TRIM(C76)&amp;" ")-1),",","."))+1,9))*12,NA()))),0),36)*'Aturan &amp; Tarif'!$B$4,2)</f>
        <v>2044.08</v>
      </c>
      <c r="K76" s="32" t="n">
        <f aca="false">'Aturan &amp; Tarif'!$B$5</f>
        <v>2050</v>
      </c>
      <c r="L76" s="35" t="n">
        <f aca="false">I76+J76+K76</f>
        <v>10844.08</v>
      </c>
      <c r="M76" s="37" t="s">
        <v>3053</v>
      </c>
    </row>
    <row r="77" customFormat="false" ht="37.5" hidden="false" customHeight="true" outlineLevel="0" collapsed="false">
      <c r="A77" s="29"/>
      <c r="B77" s="30" t="s">
        <v>3055</v>
      </c>
      <c r="C77" s="31" t="s">
        <v>127</v>
      </c>
      <c r="D77" s="31" t="s">
        <v>108</v>
      </c>
      <c r="E77" s="32" t="n">
        <v>3250</v>
      </c>
      <c r="F77" s="32"/>
      <c r="G77" s="32" t="n">
        <v>250</v>
      </c>
      <c r="H77" s="33" t="n">
        <v>2</v>
      </c>
      <c r="I77" s="34" t="n">
        <f aca="false">E77*H77+N(F77)+N(G77)</f>
        <v>6750</v>
      </c>
      <c r="J77" s="32" t="n">
        <f aca="false">ROUND(IFERROR(ROUND(IF(OR(ISNUMBER(SEARCH("week",C77)),ISNUMBER(SEARCH("minggu",C77))),IFERROR(_xlfn.NUMBERVALUE(SUBSTITUTE(LEFT(TRIM(C77),FIND(" ",TRIM(C77)&amp;" ")-1),",","."),"."),LEFT(SUBSTITUTE(LEFT(TRIM(C77),FIND(" ",TRIM(C77)&amp;" ")-1),",","."),FIND("/",SUBSTITUTE(LEFT(TRIM(C77),FIND(" ",TRIM(C77)&amp;" ")-1),",","."))-1)/MID(SUBSTITUTE(LEFT(TRIM(C77),FIND(" ",TRIM(C77)&amp;" ")-1),",","."),FIND("/",SUBSTITUTE(LEFT(TRIM(C77),FIND(" ",TRIM(C77)&amp;" ")-1),",","."))+1,9))*12/52,IF(ISNUMBER(SEARCH("month",C77)),IFERROR(_xlfn.NUMBERVALUE(SUBSTITUTE(LEFT(TRIM(C77),FIND(" ",TRIM(C77)&amp;" ")-1),",","."),"."),LEFT(SUBSTITUTE(LEFT(TRIM(C77),FIND(" ",TRIM(C77)&amp;" ")-1),",","."),FIND("/",SUBSTITUTE(LEFT(TRIM(C77),FIND(" ",TRIM(C77)&amp;" ")-1),",","."))-1)/MID(SUBSTITUTE(LEFT(TRIM(C77),FIND(" ",TRIM(C77)&amp;" ")-1),",","."),FIND("/",SUBSTITUTE(LEFT(TRIM(C77),FIND(" ",TRIM(C77)&amp;" ")-1),",","."))+1,9)),IF(ISNUMBER(SEARCH("yea",C77)),IFERROR(_xlfn.NUMBERVALUE(SUBSTITUTE(LEFT(TRIM(C77),FIND(" ",TRIM(C77)&amp;" ")-1),",","."),"."),LEFT(SUBSTITUTE(LEFT(TRIM(C77),FIND(" ",TRIM(C77)&amp;" ")-1),",","."),FIND("/",SUBSTITUTE(LEFT(TRIM(C77),FIND(" ",TRIM(C77)&amp;" ")-1),",","."))-1)/MID(SUBSTITUTE(LEFT(TRIM(C77),FIND(" ",TRIM(C77)&amp;" ")-1),",","."),FIND("/",SUBSTITUTE(LEFT(TRIM(C77),FIND(" ",TRIM(C77)&amp;" ")-1),",","."))+1,9))*12,NA()))),0),36)*'Aturan &amp; Tarif'!$B$4,2)</f>
        <v>2044.08</v>
      </c>
      <c r="K77" s="32" t="n">
        <f aca="false">'Aturan &amp; Tarif'!$B$5</f>
        <v>2050</v>
      </c>
      <c r="L77" s="35" t="n">
        <f aca="false">I77+J77+K77</f>
        <v>10844.08</v>
      </c>
      <c r="M77" s="37" t="s">
        <v>3053</v>
      </c>
    </row>
    <row r="78" customFormat="false" ht="14.25" hidden="false" customHeight="true" outlineLevel="0" collapsed="false">
      <c r="A78" s="29"/>
      <c r="B78" s="30" t="s">
        <v>3056</v>
      </c>
      <c r="C78" s="31" t="s">
        <v>127</v>
      </c>
      <c r="D78" s="31" t="s">
        <v>108</v>
      </c>
      <c r="E78" s="32" t="n">
        <v>3250</v>
      </c>
      <c r="F78" s="32"/>
      <c r="G78" s="32" t="n">
        <v>250</v>
      </c>
      <c r="H78" s="33" t="n">
        <v>2</v>
      </c>
      <c r="I78" s="34" t="n">
        <f aca="false">E78*H78+N(F78)+N(G78)</f>
        <v>6750</v>
      </c>
      <c r="J78" s="32" t="n">
        <f aca="false">ROUND(IFERROR(ROUND(IF(OR(ISNUMBER(SEARCH("week",C78)),ISNUMBER(SEARCH("minggu",C78))),IFERROR(_xlfn.NUMBERVALUE(SUBSTITUTE(LEFT(TRIM(C78),FIND(" ",TRIM(C78)&amp;" ")-1),",","."),"."),LEFT(SUBSTITUTE(LEFT(TRIM(C78),FIND(" ",TRIM(C78)&amp;" ")-1),",","."),FIND("/",SUBSTITUTE(LEFT(TRIM(C78),FIND(" ",TRIM(C78)&amp;" ")-1),",","."))-1)/MID(SUBSTITUTE(LEFT(TRIM(C78),FIND(" ",TRIM(C78)&amp;" ")-1),",","."),FIND("/",SUBSTITUTE(LEFT(TRIM(C78),FIND(" ",TRIM(C78)&amp;" ")-1),",","."))+1,9))*12/52,IF(ISNUMBER(SEARCH("month",C78)),IFERROR(_xlfn.NUMBERVALUE(SUBSTITUTE(LEFT(TRIM(C78),FIND(" ",TRIM(C78)&amp;" ")-1),",","."),"."),LEFT(SUBSTITUTE(LEFT(TRIM(C78),FIND(" ",TRIM(C78)&amp;" ")-1),",","."),FIND("/",SUBSTITUTE(LEFT(TRIM(C78),FIND(" ",TRIM(C78)&amp;" ")-1),",","."))-1)/MID(SUBSTITUTE(LEFT(TRIM(C78),FIND(" ",TRIM(C78)&amp;" ")-1),",","."),FIND("/",SUBSTITUTE(LEFT(TRIM(C78),FIND(" ",TRIM(C78)&amp;" ")-1),",","."))+1,9)),IF(ISNUMBER(SEARCH("yea",C78)),IFERROR(_xlfn.NUMBERVALUE(SUBSTITUTE(LEFT(TRIM(C78),FIND(" ",TRIM(C78)&amp;" ")-1),",","."),"."),LEFT(SUBSTITUTE(LEFT(TRIM(C78),FIND(" ",TRIM(C78)&amp;" ")-1),",","."),FIND("/",SUBSTITUTE(LEFT(TRIM(C78),FIND(" ",TRIM(C78)&amp;" ")-1),",","."))-1)/MID(SUBSTITUTE(LEFT(TRIM(C78),FIND(" ",TRIM(C78)&amp;" ")-1),",","."),FIND("/",SUBSTITUTE(LEFT(TRIM(C78),FIND(" ",TRIM(C78)&amp;" ")-1),",","."))+1,9))*12,NA()))),0),36)*'Aturan &amp; Tarif'!$B$4,2)</f>
        <v>2044.08</v>
      </c>
      <c r="K78" s="32" t="n">
        <f aca="false">'Aturan &amp; Tarif'!$B$5</f>
        <v>2050</v>
      </c>
      <c r="L78" s="35" t="n">
        <f aca="false">I78+J78+K78</f>
        <v>10844.08</v>
      </c>
      <c r="M78" s="37" t="s">
        <v>3053</v>
      </c>
    </row>
    <row r="79" customFormat="false" ht="25.5" hidden="false" customHeight="true" outlineLevel="0" collapsed="false">
      <c r="A79" s="29"/>
      <c r="B79" s="30" t="s">
        <v>640</v>
      </c>
      <c r="C79" s="31" t="s">
        <v>107</v>
      </c>
      <c r="D79" s="31" t="s">
        <v>108</v>
      </c>
      <c r="E79" s="32" t="n">
        <v>4050</v>
      </c>
      <c r="F79" s="32"/>
      <c r="G79" s="32" t="n">
        <v>250</v>
      </c>
      <c r="H79" s="33" t="n">
        <v>2</v>
      </c>
      <c r="I79" s="34" t="n">
        <f aca="false">E79*H79+N(F79)+N(G79)</f>
        <v>8350</v>
      </c>
      <c r="J79" s="32" t="n">
        <f aca="false">ROUND(IFERROR(ROUND(IF(OR(ISNUMBER(SEARCH("week",C79)),ISNUMBER(SEARCH("minggu",C79))),IFERROR(_xlfn.NUMBERVALUE(SUBSTITUTE(LEFT(TRIM(C79),FIND(" ",TRIM(C79)&amp;" ")-1),",","."),"."),LEFT(SUBSTITUTE(LEFT(TRIM(C79),FIND(" ",TRIM(C79)&amp;" ")-1),",","."),FIND("/",SUBSTITUTE(LEFT(TRIM(C79),FIND(" ",TRIM(C79)&amp;" ")-1),",","."))-1)/MID(SUBSTITUTE(LEFT(TRIM(C79),FIND(" ",TRIM(C79)&amp;" ")-1),",","."),FIND("/",SUBSTITUTE(LEFT(TRIM(C79),FIND(" ",TRIM(C79)&amp;" ")-1),",","."))+1,9))*12/52,IF(ISNUMBER(SEARCH("month",C79)),IFERROR(_xlfn.NUMBERVALUE(SUBSTITUTE(LEFT(TRIM(C79),FIND(" ",TRIM(C79)&amp;" ")-1),",","."),"."),LEFT(SUBSTITUTE(LEFT(TRIM(C79),FIND(" ",TRIM(C79)&amp;" ")-1),",","."),FIND("/",SUBSTITUTE(LEFT(TRIM(C79),FIND(" ",TRIM(C79)&amp;" ")-1),",","."))-1)/MID(SUBSTITUTE(LEFT(TRIM(C79),FIND(" ",TRIM(C79)&amp;" ")-1),",","."),FIND("/",SUBSTITUTE(LEFT(TRIM(C79),FIND(" ",TRIM(C79)&amp;" ")-1),",","."))+1,9)),IF(ISNUMBER(SEARCH("yea",C79)),IFERROR(_xlfn.NUMBERVALUE(SUBSTITUTE(LEFT(TRIM(C79),FIND(" ",TRIM(C79)&amp;" ")-1),",","."),"."),LEFT(SUBSTITUTE(LEFT(TRIM(C79),FIND(" ",TRIM(C79)&amp;" ")-1),",","."),FIND("/",SUBSTITUTE(LEFT(TRIM(C79),FIND(" ",TRIM(C79)&amp;" ")-1),",","."))-1)/MID(SUBSTITUTE(LEFT(TRIM(C79),FIND(" ",TRIM(C79)&amp;" ")-1),",","."),FIND("/",SUBSTITUTE(LEFT(TRIM(C79),FIND(" ",TRIM(C79)&amp;" ")-1),",","."))+1,9))*12,NA()))),0),24)*'Aturan &amp; Tarif'!$B$4,2)</f>
        <v>1362.72</v>
      </c>
      <c r="K79" s="32" t="n">
        <f aca="false">'Aturan &amp; Tarif'!$B$5</f>
        <v>2050</v>
      </c>
      <c r="L79" s="35" t="n">
        <f aca="false">I79+J79+K79</f>
        <v>11762.72</v>
      </c>
      <c r="M79" s="37" t="s">
        <v>3053</v>
      </c>
    </row>
    <row r="80" customFormat="false" ht="14.25" hidden="false" customHeight="true" outlineLevel="0" collapsed="false">
      <c r="A80" s="29"/>
      <c r="B80" s="30" t="s">
        <v>642</v>
      </c>
      <c r="C80" s="31" t="s">
        <v>107</v>
      </c>
      <c r="D80" s="31" t="s">
        <v>108</v>
      </c>
      <c r="E80" s="32" t="n">
        <v>4050</v>
      </c>
      <c r="F80" s="32"/>
      <c r="G80" s="32" t="n">
        <v>250</v>
      </c>
      <c r="H80" s="33" t="n">
        <v>2</v>
      </c>
      <c r="I80" s="34" t="n">
        <f aca="false">E80*H80+N(F80)+N(G80)</f>
        <v>8350</v>
      </c>
      <c r="J80" s="32" t="n">
        <f aca="false">ROUND(IFERROR(ROUND(IF(OR(ISNUMBER(SEARCH("week",C80)),ISNUMBER(SEARCH("minggu",C80))),IFERROR(_xlfn.NUMBERVALUE(SUBSTITUTE(LEFT(TRIM(C80),FIND(" ",TRIM(C80)&amp;" ")-1),",","."),"."),LEFT(SUBSTITUTE(LEFT(TRIM(C80),FIND(" ",TRIM(C80)&amp;" ")-1),",","."),FIND("/",SUBSTITUTE(LEFT(TRIM(C80),FIND(" ",TRIM(C80)&amp;" ")-1),",","."))-1)/MID(SUBSTITUTE(LEFT(TRIM(C80),FIND(" ",TRIM(C80)&amp;" ")-1),",","."),FIND("/",SUBSTITUTE(LEFT(TRIM(C80),FIND(" ",TRIM(C80)&amp;" ")-1),",","."))+1,9))*12/52,IF(ISNUMBER(SEARCH("month",C80)),IFERROR(_xlfn.NUMBERVALUE(SUBSTITUTE(LEFT(TRIM(C80),FIND(" ",TRIM(C80)&amp;" ")-1),",","."),"."),LEFT(SUBSTITUTE(LEFT(TRIM(C80),FIND(" ",TRIM(C80)&amp;" ")-1),",","."),FIND("/",SUBSTITUTE(LEFT(TRIM(C80),FIND(" ",TRIM(C80)&amp;" ")-1),",","."))-1)/MID(SUBSTITUTE(LEFT(TRIM(C80),FIND(" ",TRIM(C80)&amp;" ")-1),",","."),FIND("/",SUBSTITUTE(LEFT(TRIM(C80),FIND(" ",TRIM(C80)&amp;" ")-1),",","."))+1,9)),IF(ISNUMBER(SEARCH("yea",C80)),IFERROR(_xlfn.NUMBERVALUE(SUBSTITUTE(LEFT(TRIM(C80),FIND(" ",TRIM(C80)&amp;" ")-1),",","."),"."),LEFT(SUBSTITUTE(LEFT(TRIM(C80),FIND(" ",TRIM(C80)&amp;" ")-1),",","."),FIND("/",SUBSTITUTE(LEFT(TRIM(C80),FIND(" ",TRIM(C80)&amp;" ")-1),",","."))-1)/MID(SUBSTITUTE(LEFT(TRIM(C80),FIND(" ",TRIM(C80)&amp;" ")-1),",","."),FIND("/",SUBSTITUTE(LEFT(TRIM(C80),FIND(" ",TRIM(C80)&amp;" ")-1),",","."))+1,9))*12,NA()))),0),24)*'Aturan &amp; Tarif'!$B$4,2)</f>
        <v>1362.72</v>
      </c>
      <c r="K80" s="32" t="n">
        <f aca="false">'Aturan &amp; Tarif'!$B$5</f>
        <v>2050</v>
      </c>
      <c r="L80" s="35" t="n">
        <f aca="false">I80+J80+K80</f>
        <v>11762.72</v>
      </c>
      <c r="M80" s="37" t="s">
        <v>3053</v>
      </c>
    </row>
    <row r="81" customFormat="false" ht="37.5" hidden="false" customHeight="true" outlineLevel="0" collapsed="false">
      <c r="A81" s="29"/>
      <c r="B81" s="30" t="s">
        <v>643</v>
      </c>
      <c r="C81" s="31" t="s">
        <v>107</v>
      </c>
      <c r="D81" s="31" t="s">
        <v>108</v>
      </c>
      <c r="E81" s="32" t="n">
        <v>4050</v>
      </c>
      <c r="F81" s="32"/>
      <c r="G81" s="32" t="n">
        <v>250</v>
      </c>
      <c r="H81" s="33" t="n">
        <v>2</v>
      </c>
      <c r="I81" s="34" t="n">
        <f aca="false">E81*H81+N(F81)+N(G81)</f>
        <v>8350</v>
      </c>
      <c r="J81" s="32" t="n">
        <f aca="false">ROUND(IFERROR(ROUND(IF(OR(ISNUMBER(SEARCH("week",C81)),ISNUMBER(SEARCH("minggu",C81))),IFERROR(_xlfn.NUMBERVALUE(SUBSTITUTE(LEFT(TRIM(C81),FIND(" ",TRIM(C81)&amp;" ")-1),",","."),"."),LEFT(SUBSTITUTE(LEFT(TRIM(C81),FIND(" ",TRIM(C81)&amp;" ")-1),",","."),FIND("/",SUBSTITUTE(LEFT(TRIM(C81),FIND(" ",TRIM(C81)&amp;" ")-1),",","."))-1)/MID(SUBSTITUTE(LEFT(TRIM(C81),FIND(" ",TRIM(C81)&amp;" ")-1),",","."),FIND("/",SUBSTITUTE(LEFT(TRIM(C81),FIND(" ",TRIM(C81)&amp;" ")-1),",","."))+1,9))*12/52,IF(ISNUMBER(SEARCH("month",C81)),IFERROR(_xlfn.NUMBERVALUE(SUBSTITUTE(LEFT(TRIM(C81),FIND(" ",TRIM(C81)&amp;" ")-1),",","."),"."),LEFT(SUBSTITUTE(LEFT(TRIM(C81),FIND(" ",TRIM(C81)&amp;" ")-1),",","."),FIND("/",SUBSTITUTE(LEFT(TRIM(C81),FIND(" ",TRIM(C81)&amp;" ")-1),",","."))-1)/MID(SUBSTITUTE(LEFT(TRIM(C81),FIND(" ",TRIM(C81)&amp;" ")-1),",","."),FIND("/",SUBSTITUTE(LEFT(TRIM(C81),FIND(" ",TRIM(C81)&amp;" ")-1),",","."))+1,9)),IF(ISNUMBER(SEARCH("yea",C81)),IFERROR(_xlfn.NUMBERVALUE(SUBSTITUTE(LEFT(TRIM(C81),FIND(" ",TRIM(C81)&amp;" ")-1),",","."),"."),LEFT(SUBSTITUTE(LEFT(TRIM(C81),FIND(" ",TRIM(C81)&amp;" ")-1),",","."),FIND("/",SUBSTITUTE(LEFT(TRIM(C81),FIND(" ",TRIM(C81)&amp;" ")-1),",","."))-1)/MID(SUBSTITUTE(LEFT(TRIM(C81),FIND(" ",TRIM(C81)&amp;" ")-1),",","."),FIND("/",SUBSTITUTE(LEFT(TRIM(C81),FIND(" ",TRIM(C81)&amp;" ")-1),",","."))+1,9))*12,NA()))),0),24)*'Aturan &amp; Tarif'!$B$4,2)</f>
        <v>1362.72</v>
      </c>
      <c r="K81" s="32" t="n">
        <f aca="false">'Aturan &amp; Tarif'!$B$5</f>
        <v>2050</v>
      </c>
      <c r="L81" s="35" t="n">
        <f aca="false">I81+J81+K81</f>
        <v>11762.72</v>
      </c>
      <c r="M81" s="37" t="s">
        <v>3053</v>
      </c>
    </row>
    <row r="82" customFormat="false" ht="37.5" hidden="false" customHeight="true" outlineLevel="0" collapsed="false">
      <c r="A82" s="29"/>
      <c r="B82" s="30" t="s">
        <v>644</v>
      </c>
      <c r="C82" s="31" t="s">
        <v>107</v>
      </c>
      <c r="D82" s="31" t="s">
        <v>108</v>
      </c>
      <c r="E82" s="32" t="n">
        <v>4050</v>
      </c>
      <c r="F82" s="32"/>
      <c r="G82" s="32" t="n">
        <v>250</v>
      </c>
      <c r="H82" s="33" t="n">
        <v>2</v>
      </c>
      <c r="I82" s="34" t="n">
        <f aca="false">E82*H82+N(F82)+N(G82)</f>
        <v>8350</v>
      </c>
      <c r="J82" s="32" t="n">
        <f aca="false">ROUND(IFERROR(ROUND(IF(OR(ISNUMBER(SEARCH("week",C82)),ISNUMBER(SEARCH("minggu",C82))),IFERROR(_xlfn.NUMBERVALUE(SUBSTITUTE(LEFT(TRIM(C82),FIND(" ",TRIM(C82)&amp;" ")-1),",","."),"."),LEFT(SUBSTITUTE(LEFT(TRIM(C82),FIND(" ",TRIM(C82)&amp;" ")-1),",","."),FIND("/",SUBSTITUTE(LEFT(TRIM(C82),FIND(" ",TRIM(C82)&amp;" ")-1),",","."))-1)/MID(SUBSTITUTE(LEFT(TRIM(C82),FIND(" ",TRIM(C82)&amp;" ")-1),",","."),FIND("/",SUBSTITUTE(LEFT(TRIM(C82),FIND(" ",TRIM(C82)&amp;" ")-1),",","."))+1,9))*12/52,IF(ISNUMBER(SEARCH("month",C82)),IFERROR(_xlfn.NUMBERVALUE(SUBSTITUTE(LEFT(TRIM(C82),FIND(" ",TRIM(C82)&amp;" ")-1),",","."),"."),LEFT(SUBSTITUTE(LEFT(TRIM(C82),FIND(" ",TRIM(C82)&amp;" ")-1),",","."),FIND("/",SUBSTITUTE(LEFT(TRIM(C82),FIND(" ",TRIM(C82)&amp;" ")-1),",","."))-1)/MID(SUBSTITUTE(LEFT(TRIM(C82),FIND(" ",TRIM(C82)&amp;" ")-1),",","."),FIND("/",SUBSTITUTE(LEFT(TRIM(C82),FIND(" ",TRIM(C82)&amp;" ")-1),",","."))+1,9)),IF(ISNUMBER(SEARCH("yea",C82)),IFERROR(_xlfn.NUMBERVALUE(SUBSTITUTE(LEFT(TRIM(C82),FIND(" ",TRIM(C82)&amp;" ")-1),",","."),"."),LEFT(SUBSTITUTE(LEFT(TRIM(C82),FIND(" ",TRIM(C82)&amp;" ")-1),",","."),FIND("/",SUBSTITUTE(LEFT(TRIM(C82),FIND(" ",TRIM(C82)&amp;" ")-1),",","."))-1)/MID(SUBSTITUTE(LEFT(TRIM(C82),FIND(" ",TRIM(C82)&amp;" ")-1),",","."),FIND("/",SUBSTITUTE(LEFT(TRIM(C82),FIND(" ",TRIM(C82)&amp;" ")-1),",","."))+1,9))*12,NA()))),0),24)*'Aturan &amp; Tarif'!$B$4,2)</f>
        <v>1362.72</v>
      </c>
      <c r="K82" s="32" t="n">
        <f aca="false">'Aturan &amp; Tarif'!$B$5</f>
        <v>2050</v>
      </c>
      <c r="L82" s="35" t="n">
        <f aca="false">I82+J82+K82</f>
        <v>11762.72</v>
      </c>
      <c r="M82" s="37" t="s">
        <v>3053</v>
      </c>
    </row>
    <row r="83" customFormat="false" ht="48.75" hidden="false" customHeight="true" outlineLevel="0" collapsed="false">
      <c r="A83" s="29"/>
      <c r="B83" s="30" t="s">
        <v>645</v>
      </c>
      <c r="C83" s="31" t="s">
        <v>107</v>
      </c>
      <c r="D83" s="31" t="s">
        <v>108</v>
      </c>
      <c r="E83" s="32" t="n">
        <v>4050</v>
      </c>
      <c r="F83" s="32"/>
      <c r="G83" s="32" t="n">
        <v>250</v>
      </c>
      <c r="H83" s="33" t="n">
        <v>2</v>
      </c>
      <c r="I83" s="34" t="n">
        <f aca="false">E83*H83+N(F83)+N(G83)</f>
        <v>8350</v>
      </c>
      <c r="J83" s="32" t="n">
        <f aca="false">ROUND(IFERROR(ROUND(IF(OR(ISNUMBER(SEARCH("week",C83)),ISNUMBER(SEARCH("minggu",C83))),IFERROR(_xlfn.NUMBERVALUE(SUBSTITUTE(LEFT(TRIM(C83),FIND(" ",TRIM(C83)&amp;" ")-1),",","."),"."),LEFT(SUBSTITUTE(LEFT(TRIM(C83),FIND(" ",TRIM(C83)&amp;" ")-1),",","."),FIND("/",SUBSTITUTE(LEFT(TRIM(C83),FIND(" ",TRIM(C83)&amp;" ")-1),",","."))-1)/MID(SUBSTITUTE(LEFT(TRIM(C83),FIND(" ",TRIM(C83)&amp;" ")-1),",","."),FIND("/",SUBSTITUTE(LEFT(TRIM(C83),FIND(" ",TRIM(C83)&amp;" ")-1),",","."))+1,9))*12/52,IF(ISNUMBER(SEARCH("month",C83)),IFERROR(_xlfn.NUMBERVALUE(SUBSTITUTE(LEFT(TRIM(C83),FIND(" ",TRIM(C83)&amp;" ")-1),",","."),"."),LEFT(SUBSTITUTE(LEFT(TRIM(C83),FIND(" ",TRIM(C83)&amp;" ")-1),",","."),FIND("/",SUBSTITUTE(LEFT(TRIM(C83),FIND(" ",TRIM(C83)&amp;" ")-1),",","."))-1)/MID(SUBSTITUTE(LEFT(TRIM(C83),FIND(" ",TRIM(C83)&amp;" ")-1),",","."),FIND("/",SUBSTITUTE(LEFT(TRIM(C83),FIND(" ",TRIM(C83)&amp;" ")-1),",","."))+1,9)),IF(ISNUMBER(SEARCH("yea",C83)),IFERROR(_xlfn.NUMBERVALUE(SUBSTITUTE(LEFT(TRIM(C83),FIND(" ",TRIM(C83)&amp;" ")-1),",","."),"."),LEFT(SUBSTITUTE(LEFT(TRIM(C83),FIND(" ",TRIM(C83)&amp;" ")-1),",","."),FIND("/",SUBSTITUTE(LEFT(TRIM(C83),FIND(" ",TRIM(C83)&amp;" ")-1),",","."))-1)/MID(SUBSTITUTE(LEFT(TRIM(C83),FIND(" ",TRIM(C83)&amp;" ")-1),",","."),FIND("/",SUBSTITUTE(LEFT(TRIM(C83),FIND(" ",TRIM(C83)&amp;" ")-1),",","."))+1,9))*12,NA()))),0),24)*'Aturan &amp; Tarif'!$B$4,2)</f>
        <v>1362.72</v>
      </c>
      <c r="K83" s="32" t="n">
        <f aca="false">'Aturan &amp; Tarif'!$B$5</f>
        <v>2050</v>
      </c>
      <c r="L83" s="35" t="n">
        <f aca="false">I83+J83+K83</f>
        <v>11762.72</v>
      </c>
      <c r="M83" s="37" t="s">
        <v>3053</v>
      </c>
    </row>
    <row r="84" customFormat="false" ht="60" hidden="false" customHeight="true" outlineLevel="0" collapsed="false">
      <c r="A84" s="29"/>
      <c r="B84" s="30" t="s">
        <v>646</v>
      </c>
      <c r="C84" s="31" t="s">
        <v>130</v>
      </c>
      <c r="D84" s="31" t="s">
        <v>108</v>
      </c>
      <c r="E84" s="32" t="n">
        <v>4050</v>
      </c>
      <c r="F84" s="32"/>
      <c r="G84" s="32" t="n">
        <v>250</v>
      </c>
      <c r="H84" s="33" t="n">
        <v>2</v>
      </c>
      <c r="I84" s="34" t="n">
        <f aca="false">E84*H84+N(F84)+N(G84)</f>
        <v>8350</v>
      </c>
      <c r="J84" s="32" t="n">
        <f aca="false">ROUND(IFERROR(ROUND(IF(OR(ISNUMBER(SEARCH("week",C84)),ISNUMBER(SEARCH("minggu",C84))),IFERROR(_xlfn.NUMBERVALUE(SUBSTITUTE(LEFT(TRIM(C84),FIND(" ",TRIM(C84)&amp;" ")-1),",","."),"."),LEFT(SUBSTITUTE(LEFT(TRIM(C84),FIND(" ",TRIM(C84)&amp;" ")-1),",","."),FIND("/",SUBSTITUTE(LEFT(TRIM(C84),FIND(" ",TRIM(C84)&amp;" ")-1),",","."))-1)/MID(SUBSTITUTE(LEFT(TRIM(C84),FIND(" ",TRIM(C84)&amp;" ")-1),",","."),FIND("/",SUBSTITUTE(LEFT(TRIM(C84),FIND(" ",TRIM(C84)&amp;" ")-1),",","."))+1,9))*12/52,IF(ISNUMBER(SEARCH("month",C84)),IFERROR(_xlfn.NUMBERVALUE(SUBSTITUTE(LEFT(TRIM(C84),FIND(" ",TRIM(C84)&amp;" ")-1),",","."),"."),LEFT(SUBSTITUTE(LEFT(TRIM(C84),FIND(" ",TRIM(C84)&amp;" ")-1),",","."),FIND("/",SUBSTITUTE(LEFT(TRIM(C84),FIND(" ",TRIM(C84)&amp;" ")-1),",","."))-1)/MID(SUBSTITUTE(LEFT(TRIM(C84),FIND(" ",TRIM(C84)&amp;" ")-1),",","."),FIND("/",SUBSTITUTE(LEFT(TRIM(C84),FIND(" ",TRIM(C84)&amp;" ")-1),",","."))+1,9)),IF(ISNUMBER(SEARCH("yea",C84)),IFERROR(_xlfn.NUMBERVALUE(SUBSTITUTE(LEFT(TRIM(C84),FIND(" ",TRIM(C84)&amp;" ")-1),",","."),"."),LEFT(SUBSTITUTE(LEFT(TRIM(C84),FIND(" ",TRIM(C84)&amp;" ")-1),",","."),FIND("/",SUBSTITUTE(LEFT(TRIM(C84),FIND(" ",TRIM(C84)&amp;" ")-1),",","."))-1)/MID(SUBSTITUTE(LEFT(TRIM(C84),FIND(" ",TRIM(C84)&amp;" ")-1),",","."),FIND("/",SUBSTITUTE(LEFT(TRIM(C84),FIND(" ",TRIM(C84)&amp;" ")-1),",","."))+1,9))*12,NA()))),0),12)*'Aturan &amp; Tarif'!$B$4,2)</f>
        <v>681.36</v>
      </c>
      <c r="K84" s="32" t="n">
        <f aca="false">'Aturan &amp; Tarif'!$B$5</f>
        <v>2050</v>
      </c>
      <c r="L84" s="35" t="n">
        <f aca="false">I84+J84+K84</f>
        <v>11081.36</v>
      </c>
      <c r="M84" s="37" t="s">
        <v>3053</v>
      </c>
    </row>
    <row r="85" customFormat="false" ht="14.25" hidden="false" customHeight="true" outlineLevel="0" collapsed="false">
      <c r="A85" s="29"/>
      <c r="B85" s="30" t="s">
        <v>647</v>
      </c>
      <c r="C85" s="31" t="s">
        <v>648</v>
      </c>
      <c r="D85" s="31" t="s">
        <v>108</v>
      </c>
      <c r="E85" s="32" t="n">
        <v>2700</v>
      </c>
      <c r="F85" s="32"/>
      <c r="G85" s="32" t="n">
        <v>250</v>
      </c>
      <c r="H85" s="33" t="n">
        <v>2</v>
      </c>
      <c r="I85" s="34" t="n">
        <f aca="false">E85*H85+N(F85)+N(G85)</f>
        <v>5650</v>
      </c>
      <c r="J85" s="32" t="n">
        <f aca="false">ROUND(IFERROR(ROUND(IF(OR(ISNUMBER(SEARCH("week",C85)),ISNUMBER(SEARCH("minggu",C85))),IFERROR(_xlfn.NUMBERVALUE(SUBSTITUTE(LEFT(TRIM(C85),FIND(" ",TRIM(C85)&amp;" ")-1),",","."),"."),LEFT(SUBSTITUTE(LEFT(TRIM(C85),FIND(" ",TRIM(C85)&amp;" ")-1),",","."),FIND("/",SUBSTITUTE(LEFT(TRIM(C85),FIND(" ",TRIM(C85)&amp;" ")-1),",","."))-1)/MID(SUBSTITUTE(LEFT(TRIM(C85),FIND(" ",TRIM(C85)&amp;" ")-1),",","."),FIND("/",SUBSTITUTE(LEFT(TRIM(C85),FIND(" ",TRIM(C85)&amp;" ")-1),",","."))+1,9))*12/52,IF(ISNUMBER(SEARCH("month",C85)),IFERROR(_xlfn.NUMBERVALUE(SUBSTITUTE(LEFT(TRIM(C85),FIND(" ",TRIM(C85)&amp;" ")-1),",","."),"."),LEFT(SUBSTITUTE(LEFT(TRIM(C85),FIND(" ",TRIM(C85)&amp;" ")-1),",","."),FIND("/",SUBSTITUTE(LEFT(TRIM(C85),FIND(" ",TRIM(C85)&amp;" ")-1),",","."))-1)/MID(SUBSTITUTE(LEFT(TRIM(C85),FIND(" ",TRIM(C85)&amp;" ")-1),",","."),FIND("/",SUBSTITUTE(LEFT(TRIM(C85),FIND(" ",TRIM(C85)&amp;" ")-1),",","."))+1,9)),IF(ISNUMBER(SEARCH("yea",C85)),IFERROR(_xlfn.NUMBERVALUE(SUBSTITUTE(LEFT(TRIM(C85),FIND(" ",TRIM(C85)&amp;" ")-1),",","."),"."),LEFT(SUBSTITUTE(LEFT(TRIM(C85),FIND(" ",TRIM(C85)&amp;" ")-1),",","."),FIND("/",SUBSTITUTE(LEFT(TRIM(C85),FIND(" ",TRIM(C85)&amp;" ")-1),",","."))-1)/MID(SUBSTITUTE(LEFT(TRIM(C85),FIND(" ",TRIM(C85)&amp;" ")-1),",","."),FIND("/",SUBSTITUTE(LEFT(TRIM(C85),FIND(" ",TRIM(C85)&amp;" ")-1),",","."))+1,9))*12,NA()))),0),8)*'Aturan &amp; Tarif'!$B$4,2)</f>
        <v>454.24</v>
      </c>
      <c r="K85" s="32" t="n">
        <f aca="false">'Aturan &amp; Tarif'!$B$5</f>
        <v>2050</v>
      </c>
      <c r="L85" s="35" t="n">
        <f aca="false">I85+J85+K85</f>
        <v>8154.24</v>
      </c>
      <c r="M85" s="37" t="s">
        <v>3053</v>
      </c>
    </row>
    <row r="86" customFormat="false" ht="60" hidden="false" customHeight="true" outlineLevel="0" collapsed="false">
      <c r="A86" s="29"/>
      <c r="B86" s="30" t="s">
        <v>649</v>
      </c>
      <c r="C86" s="31" t="s">
        <v>130</v>
      </c>
      <c r="D86" s="31" t="s">
        <v>108</v>
      </c>
      <c r="E86" s="32" t="n">
        <v>4050</v>
      </c>
      <c r="F86" s="32"/>
      <c r="G86" s="32" t="n">
        <v>250</v>
      </c>
      <c r="H86" s="33" t="n">
        <v>2</v>
      </c>
      <c r="I86" s="34" t="n">
        <f aca="false">E86*H86+N(F86)+N(G86)</f>
        <v>8350</v>
      </c>
      <c r="J86" s="32" t="n">
        <f aca="false">ROUND(IFERROR(ROUND(IF(OR(ISNUMBER(SEARCH("week",C86)),ISNUMBER(SEARCH("minggu",C86))),IFERROR(_xlfn.NUMBERVALUE(SUBSTITUTE(LEFT(TRIM(C86),FIND(" ",TRIM(C86)&amp;" ")-1),",","."),"."),LEFT(SUBSTITUTE(LEFT(TRIM(C86),FIND(" ",TRIM(C86)&amp;" ")-1),",","."),FIND("/",SUBSTITUTE(LEFT(TRIM(C86),FIND(" ",TRIM(C86)&amp;" ")-1),",","."))-1)/MID(SUBSTITUTE(LEFT(TRIM(C86),FIND(" ",TRIM(C86)&amp;" ")-1),",","."),FIND("/",SUBSTITUTE(LEFT(TRIM(C86),FIND(" ",TRIM(C86)&amp;" ")-1),",","."))+1,9))*12/52,IF(ISNUMBER(SEARCH("month",C86)),IFERROR(_xlfn.NUMBERVALUE(SUBSTITUTE(LEFT(TRIM(C86),FIND(" ",TRIM(C86)&amp;" ")-1),",","."),"."),LEFT(SUBSTITUTE(LEFT(TRIM(C86),FIND(" ",TRIM(C86)&amp;" ")-1),",","."),FIND("/",SUBSTITUTE(LEFT(TRIM(C86),FIND(" ",TRIM(C86)&amp;" ")-1),",","."))-1)/MID(SUBSTITUTE(LEFT(TRIM(C86),FIND(" ",TRIM(C86)&amp;" ")-1),",","."),FIND("/",SUBSTITUTE(LEFT(TRIM(C86),FIND(" ",TRIM(C86)&amp;" ")-1),",","."))+1,9)),IF(ISNUMBER(SEARCH("yea",C86)),IFERROR(_xlfn.NUMBERVALUE(SUBSTITUTE(LEFT(TRIM(C86),FIND(" ",TRIM(C86)&amp;" ")-1),",","."),"."),LEFT(SUBSTITUTE(LEFT(TRIM(C86),FIND(" ",TRIM(C86)&amp;" ")-1),",","."),FIND("/",SUBSTITUTE(LEFT(TRIM(C86),FIND(" ",TRIM(C86)&amp;" ")-1),",","."))-1)/MID(SUBSTITUTE(LEFT(TRIM(C86),FIND(" ",TRIM(C86)&amp;" ")-1),",","."),FIND("/",SUBSTITUTE(LEFT(TRIM(C86),FIND(" ",TRIM(C86)&amp;" ")-1),",","."))+1,9))*12,NA()))),0),12)*'Aturan &amp; Tarif'!$B$4,2)</f>
        <v>681.36</v>
      </c>
      <c r="K86" s="32" t="n">
        <f aca="false">'Aturan &amp; Tarif'!$B$5</f>
        <v>2050</v>
      </c>
      <c r="L86" s="35" t="n">
        <f aca="false">I86+J86+K86</f>
        <v>11081.36</v>
      </c>
      <c r="M86" s="37" t="s">
        <v>3053</v>
      </c>
    </row>
    <row r="87" customFormat="false" ht="60" hidden="false" customHeight="true" outlineLevel="0" collapsed="false">
      <c r="A87" s="29"/>
      <c r="B87" s="30" t="s">
        <v>650</v>
      </c>
      <c r="C87" s="31" t="s">
        <v>648</v>
      </c>
      <c r="D87" s="31" t="s">
        <v>108</v>
      </c>
      <c r="E87" s="32" t="n">
        <v>2700</v>
      </c>
      <c r="F87" s="32"/>
      <c r="G87" s="32" t="n">
        <v>250</v>
      </c>
      <c r="H87" s="33" t="n">
        <v>2</v>
      </c>
      <c r="I87" s="34" t="n">
        <f aca="false">E87*H87+N(F87)+N(G87)</f>
        <v>5650</v>
      </c>
      <c r="J87" s="32" t="n">
        <f aca="false">ROUND(IFERROR(ROUND(IF(OR(ISNUMBER(SEARCH("week",C87)),ISNUMBER(SEARCH("minggu",C87))),IFERROR(_xlfn.NUMBERVALUE(SUBSTITUTE(LEFT(TRIM(C87),FIND(" ",TRIM(C87)&amp;" ")-1),",","."),"."),LEFT(SUBSTITUTE(LEFT(TRIM(C87),FIND(" ",TRIM(C87)&amp;" ")-1),",","."),FIND("/",SUBSTITUTE(LEFT(TRIM(C87),FIND(" ",TRIM(C87)&amp;" ")-1),",","."))-1)/MID(SUBSTITUTE(LEFT(TRIM(C87),FIND(" ",TRIM(C87)&amp;" ")-1),",","."),FIND("/",SUBSTITUTE(LEFT(TRIM(C87),FIND(" ",TRIM(C87)&amp;" ")-1),",","."))+1,9))*12/52,IF(ISNUMBER(SEARCH("month",C87)),IFERROR(_xlfn.NUMBERVALUE(SUBSTITUTE(LEFT(TRIM(C87),FIND(" ",TRIM(C87)&amp;" ")-1),",","."),"."),LEFT(SUBSTITUTE(LEFT(TRIM(C87),FIND(" ",TRIM(C87)&amp;" ")-1),",","."),FIND("/",SUBSTITUTE(LEFT(TRIM(C87),FIND(" ",TRIM(C87)&amp;" ")-1),",","."))-1)/MID(SUBSTITUTE(LEFT(TRIM(C87),FIND(" ",TRIM(C87)&amp;" ")-1),",","."),FIND("/",SUBSTITUTE(LEFT(TRIM(C87),FIND(" ",TRIM(C87)&amp;" ")-1),",","."))+1,9)),IF(ISNUMBER(SEARCH("yea",C87)),IFERROR(_xlfn.NUMBERVALUE(SUBSTITUTE(LEFT(TRIM(C87),FIND(" ",TRIM(C87)&amp;" ")-1),",","."),"."),LEFT(SUBSTITUTE(LEFT(TRIM(C87),FIND(" ",TRIM(C87)&amp;" ")-1),",","."),FIND("/",SUBSTITUTE(LEFT(TRIM(C87),FIND(" ",TRIM(C87)&amp;" ")-1),",","."))-1)/MID(SUBSTITUTE(LEFT(TRIM(C87),FIND(" ",TRIM(C87)&amp;" ")-1),",","."),FIND("/",SUBSTITUTE(LEFT(TRIM(C87),FIND(" ",TRIM(C87)&amp;" ")-1),",","."))+1,9))*12,NA()))),0),8)*'Aturan &amp; Tarif'!$B$4,2)</f>
        <v>454.24</v>
      </c>
      <c r="K87" s="32" t="n">
        <f aca="false">'Aturan &amp; Tarif'!$B$5</f>
        <v>2050</v>
      </c>
      <c r="L87" s="35" t="n">
        <f aca="false">I87+J87+K87</f>
        <v>8154.24</v>
      </c>
      <c r="M87" s="37" t="s">
        <v>3053</v>
      </c>
    </row>
    <row r="88" customFormat="false" ht="14.25" hidden="false" customHeight="true" outlineLevel="0" collapsed="false">
      <c r="A88" s="29" t="s">
        <v>1862</v>
      </c>
      <c r="B88" s="30" t="s">
        <v>867</v>
      </c>
      <c r="C88" s="31" t="s">
        <v>127</v>
      </c>
      <c r="D88" s="31" t="s">
        <v>1863</v>
      </c>
      <c r="E88" s="32" t="n">
        <v>1680</v>
      </c>
      <c r="F88" s="32" t="n">
        <v>50</v>
      </c>
      <c r="G88" s="32" t="n">
        <v>250</v>
      </c>
      <c r="H88" s="33" t="n">
        <v>4</v>
      </c>
      <c r="I88" s="34" t="n">
        <f aca="false">E88*H88+N(F88)*H88+N(G88)</f>
        <v>7170</v>
      </c>
      <c r="J88" s="32" t="n">
        <f aca="false">ROUND(IFERROR(ROUND(IF(OR(ISNUMBER(SEARCH("week",C88)),ISNUMBER(SEARCH("minggu",C88))),IFERROR(_xlfn.NUMBERVALUE(SUBSTITUTE(LEFT(TRIM(C88),FIND(" ",TRIM(C88)&amp;" ")-1),",","."),"."),LEFT(SUBSTITUTE(LEFT(TRIM(C88),FIND(" ",TRIM(C88)&amp;" ")-1),",","."),FIND("/",SUBSTITUTE(LEFT(TRIM(C88),FIND(" ",TRIM(C88)&amp;" ")-1),",","."))-1)/MID(SUBSTITUTE(LEFT(TRIM(C88),FIND(" ",TRIM(C88)&amp;" ")-1),",","."),FIND("/",SUBSTITUTE(LEFT(TRIM(C88),FIND(" ",TRIM(C88)&amp;" ")-1),",","."))+1,9))*12/52,IF(ISNUMBER(SEARCH("month",C88)),IFERROR(_xlfn.NUMBERVALUE(SUBSTITUTE(LEFT(TRIM(C88),FIND(" ",TRIM(C88)&amp;" ")-1),",","."),"."),LEFT(SUBSTITUTE(LEFT(TRIM(C88),FIND(" ",TRIM(C88)&amp;" ")-1),",","."),FIND("/",SUBSTITUTE(LEFT(TRIM(C88),FIND(" ",TRIM(C88)&amp;" ")-1),",","."))-1)/MID(SUBSTITUTE(LEFT(TRIM(C88),FIND(" ",TRIM(C88)&amp;" ")-1),",","."),FIND("/",SUBSTITUTE(LEFT(TRIM(C88),FIND(" ",TRIM(C88)&amp;" ")-1),",","."))+1,9)),IF(ISNUMBER(SEARCH("yea",C88)),IFERROR(_xlfn.NUMBERVALUE(SUBSTITUTE(LEFT(TRIM(C88),FIND(" ",TRIM(C88)&amp;" ")-1),",","."),"."),LEFT(SUBSTITUTE(LEFT(TRIM(C88),FIND(" ",TRIM(C88)&amp;" ")-1),",","."),FIND("/",SUBSTITUTE(LEFT(TRIM(C88),FIND(" ",TRIM(C88)&amp;" ")-1),",","."))-1)/MID(SUBSTITUTE(LEFT(TRIM(C88),FIND(" ",TRIM(C88)&amp;" ")-1),",","."),FIND("/",SUBSTITUTE(LEFT(TRIM(C88),FIND(" ",TRIM(C88)&amp;" ")-1),",","."))+1,9))*12,NA()))),0),36)*'Aturan &amp; Tarif'!$B$4,2)</f>
        <v>2044.08</v>
      </c>
      <c r="K88" s="32" t="n">
        <f aca="false">'Aturan &amp; Tarif'!$B$5</f>
        <v>2050</v>
      </c>
      <c r="L88" s="35" t="n">
        <f aca="false">I88+J88+K88</f>
        <v>11264.08</v>
      </c>
      <c r="M88" s="36" t="s">
        <v>3057</v>
      </c>
    </row>
    <row r="89" customFormat="false" ht="14.25" hidden="false" customHeight="true" outlineLevel="0" collapsed="false">
      <c r="A89" s="29"/>
      <c r="B89" s="30" t="s">
        <v>1865</v>
      </c>
      <c r="C89" s="31" t="s">
        <v>127</v>
      </c>
      <c r="D89" s="31" t="s">
        <v>1863</v>
      </c>
      <c r="E89" s="32" t="n">
        <v>1790</v>
      </c>
      <c r="F89" s="32" t="n">
        <v>50</v>
      </c>
      <c r="G89" s="32" t="n">
        <v>250</v>
      </c>
      <c r="H89" s="33" t="n">
        <v>4</v>
      </c>
      <c r="I89" s="34" t="n">
        <f aca="false">E89*H89+N(F89)*H89+N(G89)</f>
        <v>7610</v>
      </c>
      <c r="J89" s="32" t="n">
        <f aca="false">ROUND(IFERROR(ROUND(IF(OR(ISNUMBER(SEARCH("week",C89)),ISNUMBER(SEARCH("minggu",C89))),IFERROR(_xlfn.NUMBERVALUE(SUBSTITUTE(LEFT(TRIM(C89),FIND(" ",TRIM(C89)&amp;" ")-1),",","."),"."),LEFT(SUBSTITUTE(LEFT(TRIM(C89),FIND(" ",TRIM(C89)&amp;" ")-1),",","."),FIND("/",SUBSTITUTE(LEFT(TRIM(C89),FIND(" ",TRIM(C89)&amp;" ")-1),",","."))-1)/MID(SUBSTITUTE(LEFT(TRIM(C89),FIND(" ",TRIM(C89)&amp;" ")-1),",","."),FIND("/",SUBSTITUTE(LEFT(TRIM(C89),FIND(" ",TRIM(C89)&amp;" ")-1),",","."))+1,9))*12/52,IF(ISNUMBER(SEARCH("month",C89)),IFERROR(_xlfn.NUMBERVALUE(SUBSTITUTE(LEFT(TRIM(C89),FIND(" ",TRIM(C89)&amp;" ")-1),",","."),"."),LEFT(SUBSTITUTE(LEFT(TRIM(C89),FIND(" ",TRIM(C89)&amp;" ")-1),",","."),FIND("/",SUBSTITUTE(LEFT(TRIM(C89),FIND(" ",TRIM(C89)&amp;" ")-1),",","."))-1)/MID(SUBSTITUTE(LEFT(TRIM(C89),FIND(" ",TRIM(C89)&amp;" ")-1),",","."),FIND("/",SUBSTITUTE(LEFT(TRIM(C89),FIND(" ",TRIM(C89)&amp;" ")-1),",","."))+1,9)),IF(ISNUMBER(SEARCH("yea",C89)),IFERROR(_xlfn.NUMBERVALUE(SUBSTITUTE(LEFT(TRIM(C89),FIND(" ",TRIM(C89)&amp;" ")-1),",","."),"."),LEFT(SUBSTITUTE(LEFT(TRIM(C89),FIND(" ",TRIM(C89)&amp;" ")-1),",","."),FIND("/",SUBSTITUTE(LEFT(TRIM(C89),FIND(" ",TRIM(C89)&amp;" ")-1),",","."))-1)/MID(SUBSTITUTE(LEFT(TRIM(C89),FIND(" ",TRIM(C89)&amp;" ")-1),",","."),FIND("/",SUBSTITUTE(LEFT(TRIM(C89),FIND(" ",TRIM(C89)&amp;" ")-1),",","."))+1,9))*12,NA()))),0),36)*'Aturan &amp; Tarif'!$B$4,2)</f>
        <v>2044.08</v>
      </c>
      <c r="K89" s="32" t="n">
        <f aca="false">'Aturan &amp; Tarif'!$B$5</f>
        <v>2050</v>
      </c>
      <c r="L89" s="35" t="n">
        <f aca="false">I89+J89+K89</f>
        <v>11704.08</v>
      </c>
      <c r="M89" s="36" t="s">
        <v>3058</v>
      </c>
    </row>
    <row r="90" customFormat="false" ht="14.25" hidden="false" customHeight="true" outlineLevel="0" collapsed="false">
      <c r="A90" s="29"/>
      <c r="B90" s="30" t="s">
        <v>1867</v>
      </c>
      <c r="C90" s="31" t="s">
        <v>127</v>
      </c>
      <c r="D90" s="31" t="s">
        <v>1863</v>
      </c>
      <c r="E90" s="32" t="n">
        <v>1790</v>
      </c>
      <c r="F90" s="32" t="n">
        <v>50</v>
      </c>
      <c r="G90" s="32" t="n">
        <v>250</v>
      </c>
      <c r="H90" s="33" t="n">
        <v>4</v>
      </c>
      <c r="I90" s="34" t="n">
        <f aca="false">E90*H90+N(F90)*H90+N(G90)</f>
        <v>7610</v>
      </c>
      <c r="J90" s="32" t="n">
        <f aca="false">ROUND(IFERROR(ROUND(IF(OR(ISNUMBER(SEARCH("week",C90)),ISNUMBER(SEARCH("minggu",C90))),IFERROR(_xlfn.NUMBERVALUE(SUBSTITUTE(LEFT(TRIM(C90),FIND(" ",TRIM(C90)&amp;" ")-1),",","."),"."),LEFT(SUBSTITUTE(LEFT(TRIM(C90),FIND(" ",TRIM(C90)&amp;" ")-1),",","."),FIND("/",SUBSTITUTE(LEFT(TRIM(C90),FIND(" ",TRIM(C90)&amp;" ")-1),",","."))-1)/MID(SUBSTITUTE(LEFT(TRIM(C90),FIND(" ",TRIM(C90)&amp;" ")-1),",","."),FIND("/",SUBSTITUTE(LEFT(TRIM(C90),FIND(" ",TRIM(C90)&amp;" ")-1),",","."))+1,9))*12/52,IF(ISNUMBER(SEARCH("month",C90)),IFERROR(_xlfn.NUMBERVALUE(SUBSTITUTE(LEFT(TRIM(C90),FIND(" ",TRIM(C90)&amp;" ")-1),",","."),"."),LEFT(SUBSTITUTE(LEFT(TRIM(C90),FIND(" ",TRIM(C90)&amp;" ")-1),",","."),FIND("/",SUBSTITUTE(LEFT(TRIM(C90),FIND(" ",TRIM(C90)&amp;" ")-1),",","."))-1)/MID(SUBSTITUTE(LEFT(TRIM(C90),FIND(" ",TRIM(C90)&amp;" ")-1),",","."),FIND("/",SUBSTITUTE(LEFT(TRIM(C90),FIND(" ",TRIM(C90)&amp;" ")-1),",","."))+1,9)),IF(ISNUMBER(SEARCH("yea",C90)),IFERROR(_xlfn.NUMBERVALUE(SUBSTITUTE(LEFT(TRIM(C90),FIND(" ",TRIM(C90)&amp;" ")-1),",","."),"."),LEFT(SUBSTITUTE(LEFT(TRIM(C90),FIND(" ",TRIM(C90)&amp;" ")-1),",","."),FIND("/",SUBSTITUTE(LEFT(TRIM(C90),FIND(" ",TRIM(C90)&amp;" ")-1),",","."))-1)/MID(SUBSTITUTE(LEFT(TRIM(C90),FIND(" ",TRIM(C90)&amp;" ")-1),",","."),FIND("/",SUBSTITUTE(LEFT(TRIM(C90),FIND(" ",TRIM(C90)&amp;" ")-1),",","."))+1,9))*12,NA()))),0),36)*'Aturan &amp; Tarif'!$B$4,2)</f>
        <v>2044.08</v>
      </c>
      <c r="K90" s="32" t="n">
        <f aca="false">'Aturan &amp; Tarif'!$B$5</f>
        <v>2050</v>
      </c>
      <c r="L90" s="35" t="n">
        <f aca="false">I90+J90+K90</f>
        <v>11704.08</v>
      </c>
      <c r="M90" s="36" t="s">
        <v>3059</v>
      </c>
    </row>
    <row r="91" customFormat="false" ht="37.5" hidden="false" customHeight="true" outlineLevel="0" collapsed="false">
      <c r="A91" s="29"/>
      <c r="B91" s="30" t="s">
        <v>1869</v>
      </c>
      <c r="C91" s="31" t="s">
        <v>127</v>
      </c>
      <c r="D91" s="31" t="s">
        <v>1863</v>
      </c>
      <c r="E91" s="32" t="n">
        <v>1790</v>
      </c>
      <c r="F91" s="32" t="n">
        <v>50</v>
      </c>
      <c r="G91" s="32" t="n">
        <v>250</v>
      </c>
      <c r="H91" s="33" t="n">
        <v>4</v>
      </c>
      <c r="I91" s="34" t="n">
        <f aca="false">E91*H91+N(F91)*H91+N(G91)</f>
        <v>7610</v>
      </c>
      <c r="J91" s="32" t="n">
        <f aca="false">ROUND(IFERROR(ROUND(IF(OR(ISNUMBER(SEARCH("week",C91)),ISNUMBER(SEARCH("minggu",C91))),IFERROR(_xlfn.NUMBERVALUE(SUBSTITUTE(LEFT(TRIM(C91),FIND(" ",TRIM(C91)&amp;" ")-1),",","."),"."),LEFT(SUBSTITUTE(LEFT(TRIM(C91),FIND(" ",TRIM(C91)&amp;" ")-1),",","."),FIND("/",SUBSTITUTE(LEFT(TRIM(C91),FIND(" ",TRIM(C91)&amp;" ")-1),",","."))-1)/MID(SUBSTITUTE(LEFT(TRIM(C91),FIND(" ",TRIM(C91)&amp;" ")-1),",","."),FIND("/",SUBSTITUTE(LEFT(TRIM(C91),FIND(" ",TRIM(C91)&amp;" ")-1),",","."))+1,9))*12/52,IF(ISNUMBER(SEARCH("month",C91)),IFERROR(_xlfn.NUMBERVALUE(SUBSTITUTE(LEFT(TRIM(C91),FIND(" ",TRIM(C91)&amp;" ")-1),",","."),"."),LEFT(SUBSTITUTE(LEFT(TRIM(C91),FIND(" ",TRIM(C91)&amp;" ")-1),",","."),FIND("/",SUBSTITUTE(LEFT(TRIM(C91),FIND(" ",TRIM(C91)&amp;" ")-1),",","."))-1)/MID(SUBSTITUTE(LEFT(TRIM(C91),FIND(" ",TRIM(C91)&amp;" ")-1),",","."),FIND("/",SUBSTITUTE(LEFT(TRIM(C91),FIND(" ",TRIM(C91)&amp;" ")-1),",","."))+1,9)),IF(ISNUMBER(SEARCH("yea",C91)),IFERROR(_xlfn.NUMBERVALUE(SUBSTITUTE(LEFT(TRIM(C91),FIND(" ",TRIM(C91)&amp;" ")-1),",","."),"."),LEFT(SUBSTITUTE(LEFT(TRIM(C91),FIND(" ",TRIM(C91)&amp;" ")-1),",","."),FIND("/",SUBSTITUTE(LEFT(TRIM(C91),FIND(" ",TRIM(C91)&amp;" ")-1),",","."))-1)/MID(SUBSTITUTE(LEFT(TRIM(C91),FIND(" ",TRIM(C91)&amp;" ")-1),",","."),FIND("/",SUBSTITUTE(LEFT(TRIM(C91),FIND(" ",TRIM(C91)&amp;" ")-1),",","."))+1,9))*12,NA()))),0),36)*'Aturan &amp; Tarif'!$B$4,2)</f>
        <v>2044.08</v>
      </c>
      <c r="K91" s="32" t="n">
        <f aca="false">'Aturan &amp; Tarif'!$B$5</f>
        <v>2050</v>
      </c>
      <c r="L91" s="35" t="n">
        <f aca="false">I91+J91+K91</f>
        <v>11704.08</v>
      </c>
      <c r="M91" s="36" t="s">
        <v>3060</v>
      </c>
    </row>
    <row r="92" customFormat="false" ht="37.5" hidden="false" customHeight="true" outlineLevel="0" collapsed="false">
      <c r="A92" s="29"/>
      <c r="B92" s="30" t="s">
        <v>1871</v>
      </c>
      <c r="C92" s="31" t="s">
        <v>127</v>
      </c>
      <c r="D92" s="31" t="s">
        <v>1863</v>
      </c>
      <c r="E92" s="32" t="n">
        <v>1790</v>
      </c>
      <c r="F92" s="32" t="n">
        <v>50</v>
      </c>
      <c r="G92" s="32" t="n">
        <v>250</v>
      </c>
      <c r="H92" s="33" t="n">
        <v>4</v>
      </c>
      <c r="I92" s="34" t="n">
        <f aca="false">E92*H92+N(F92)*H92+N(G92)</f>
        <v>7610</v>
      </c>
      <c r="J92" s="32" t="n">
        <f aca="false">ROUND(IFERROR(ROUND(IF(OR(ISNUMBER(SEARCH("week",C92)),ISNUMBER(SEARCH("minggu",C92))),IFERROR(_xlfn.NUMBERVALUE(SUBSTITUTE(LEFT(TRIM(C92),FIND(" ",TRIM(C92)&amp;" ")-1),",","."),"."),LEFT(SUBSTITUTE(LEFT(TRIM(C92),FIND(" ",TRIM(C92)&amp;" ")-1),",","."),FIND("/",SUBSTITUTE(LEFT(TRIM(C92),FIND(" ",TRIM(C92)&amp;" ")-1),",","."))-1)/MID(SUBSTITUTE(LEFT(TRIM(C92),FIND(" ",TRIM(C92)&amp;" ")-1),",","."),FIND("/",SUBSTITUTE(LEFT(TRIM(C92),FIND(" ",TRIM(C92)&amp;" ")-1),",","."))+1,9))*12/52,IF(ISNUMBER(SEARCH("month",C92)),IFERROR(_xlfn.NUMBERVALUE(SUBSTITUTE(LEFT(TRIM(C92),FIND(" ",TRIM(C92)&amp;" ")-1),",","."),"."),LEFT(SUBSTITUTE(LEFT(TRIM(C92),FIND(" ",TRIM(C92)&amp;" ")-1),",","."),FIND("/",SUBSTITUTE(LEFT(TRIM(C92),FIND(" ",TRIM(C92)&amp;" ")-1),",","."))-1)/MID(SUBSTITUTE(LEFT(TRIM(C92),FIND(" ",TRIM(C92)&amp;" ")-1),",","."),FIND("/",SUBSTITUTE(LEFT(TRIM(C92),FIND(" ",TRIM(C92)&amp;" ")-1),",","."))+1,9)),IF(ISNUMBER(SEARCH("yea",C92)),IFERROR(_xlfn.NUMBERVALUE(SUBSTITUTE(LEFT(TRIM(C92),FIND(" ",TRIM(C92)&amp;" ")-1),",","."),"."),LEFT(SUBSTITUTE(LEFT(TRIM(C92),FIND(" ",TRIM(C92)&amp;" ")-1),",","."),FIND("/",SUBSTITUTE(LEFT(TRIM(C92),FIND(" ",TRIM(C92)&amp;" ")-1),",","."))-1)/MID(SUBSTITUTE(LEFT(TRIM(C92),FIND(" ",TRIM(C92)&amp;" ")-1),",","."),FIND("/",SUBSTITUTE(LEFT(TRIM(C92),FIND(" ",TRIM(C92)&amp;" ")-1),",","."))+1,9))*12,NA()))),0),36)*'Aturan &amp; Tarif'!$B$4,2)</f>
        <v>2044.08</v>
      </c>
      <c r="K92" s="32" t="n">
        <f aca="false">'Aturan &amp; Tarif'!$B$5</f>
        <v>2050</v>
      </c>
      <c r="L92" s="35" t="n">
        <f aca="false">I92+J92+K92</f>
        <v>11704.08</v>
      </c>
      <c r="M92" s="36" t="s">
        <v>3061</v>
      </c>
    </row>
    <row r="93" customFormat="false" ht="37.5" hidden="false" customHeight="true" outlineLevel="0" collapsed="false">
      <c r="A93" s="29"/>
      <c r="B93" s="30" t="s">
        <v>1873</v>
      </c>
      <c r="C93" s="31" t="s">
        <v>107</v>
      </c>
      <c r="D93" s="31" t="s">
        <v>1863</v>
      </c>
      <c r="E93" s="32" t="n">
        <v>2150</v>
      </c>
      <c r="F93" s="32" t="n">
        <v>50</v>
      </c>
      <c r="G93" s="32" t="n">
        <v>250</v>
      </c>
      <c r="H93" s="33" t="n">
        <v>4</v>
      </c>
      <c r="I93" s="34" t="n">
        <f aca="false">E93*H93+N(F93)*H93+N(G93)</f>
        <v>9050</v>
      </c>
      <c r="J93" s="32" t="n">
        <f aca="false">ROUND(IFERROR(ROUND(IF(OR(ISNUMBER(SEARCH("week",C93)),ISNUMBER(SEARCH("minggu",C93))),IFERROR(_xlfn.NUMBERVALUE(SUBSTITUTE(LEFT(TRIM(C93),FIND(" ",TRIM(C93)&amp;" ")-1),",","."),"."),LEFT(SUBSTITUTE(LEFT(TRIM(C93),FIND(" ",TRIM(C93)&amp;" ")-1),",","."),FIND("/",SUBSTITUTE(LEFT(TRIM(C93),FIND(" ",TRIM(C93)&amp;" ")-1),",","."))-1)/MID(SUBSTITUTE(LEFT(TRIM(C93),FIND(" ",TRIM(C93)&amp;" ")-1),",","."),FIND("/",SUBSTITUTE(LEFT(TRIM(C93),FIND(" ",TRIM(C93)&amp;" ")-1),",","."))+1,9))*12/52,IF(ISNUMBER(SEARCH("month",C93)),IFERROR(_xlfn.NUMBERVALUE(SUBSTITUTE(LEFT(TRIM(C93),FIND(" ",TRIM(C93)&amp;" ")-1),",","."),"."),LEFT(SUBSTITUTE(LEFT(TRIM(C93),FIND(" ",TRIM(C93)&amp;" ")-1),",","."),FIND("/",SUBSTITUTE(LEFT(TRIM(C93),FIND(" ",TRIM(C93)&amp;" ")-1),",","."))-1)/MID(SUBSTITUTE(LEFT(TRIM(C93),FIND(" ",TRIM(C93)&amp;" ")-1),",","."),FIND("/",SUBSTITUTE(LEFT(TRIM(C93),FIND(" ",TRIM(C93)&amp;" ")-1),",","."))+1,9)),IF(ISNUMBER(SEARCH("yea",C93)),IFERROR(_xlfn.NUMBERVALUE(SUBSTITUTE(LEFT(TRIM(C93),FIND(" ",TRIM(C93)&amp;" ")-1),",","."),"."),LEFT(SUBSTITUTE(LEFT(TRIM(C93),FIND(" ",TRIM(C93)&amp;" ")-1),",","."),FIND("/",SUBSTITUTE(LEFT(TRIM(C93),FIND(" ",TRIM(C93)&amp;" ")-1),",","."))-1)/MID(SUBSTITUTE(LEFT(TRIM(C93),FIND(" ",TRIM(C93)&amp;" ")-1),",","."),FIND("/",SUBSTITUTE(LEFT(TRIM(C93),FIND(" ",TRIM(C93)&amp;" ")-1),",","."))+1,9))*12,NA()))),0),24)*'Aturan &amp; Tarif'!$B$4,2)</f>
        <v>1362.72</v>
      </c>
      <c r="K93" s="32" t="n">
        <f aca="false">'Aturan &amp; Tarif'!$B$5</f>
        <v>2050</v>
      </c>
      <c r="L93" s="35" t="n">
        <f aca="false">I93+J93+K93</f>
        <v>12462.72</v>
      </c>
      <c r="M93" s="36" t="s">
        <v>3062</v>
      </c>
    </row>
    <row r="94" customFormat="false" ht="14.25" hidden="false" customHeight="true" outlineLevel="0" collapsed="false">
      <c r="A94" s="29"/>
      <c r="B94" s="30" t="s">
        <v>1875</v>
      </c>
      <c r="C94" s="31" t="s">
        <v>107</v>
      </c>
      <c r="D94" s="31" t="s">
        <v>1863</v>
      </c>
      <c r="E94" s="32" t="n">
        <v>2320</v>
      </c>
      <c r="F94" s="32" t="n">
        <v>50</v>
      </c>
      <c r="G94" s="32" t="n">
        <v>250</v>
      </c>
      <c r="H94" s="33" t="n">
        <v>4</v>
      </c>
      <c r="I94" s="34" t="n">
        <f aca="false">E94*H94+N(F94)*H94+N(G94)</f>
        <v>9730</v>
      </c>
      <c r="J94" s="32" t="n">
        <f aca="false">ROUND(IFERROR(ROUND(IF(OR(ISNUMBER(SEARCH("week",C94)),ISNUMBER(SEARCH("minggu",C94))),IFERROR(_xlfn.NUMBERVALUE(SUBSTITUTE(LEFT(TRIM(C94),FIND(" ",TRIM(C94)&amp;" ")-1),",","."),"."),LEFT(SUBSTITUTE(LEFT(TRIM(C94),FIND(" ",TRIM(C94)&amp;" ")-1),",","."),FIND("/",SUBSTITUTE(LEFT(TRIM(C94),FIND(" ",TRIM(C94)&amp;" ")-1),",","."))-1)/MID(SUBSTITUTE(LEFT(TRIM(C94),FIND(" ",TRIM(C94)&amp;" ")-1),",","."),FIND("/",SUBSTITUTE(LEFT(TRIM(C94),FIND(" ",TRIM(C94)&amp;" ")-1),",","."))+1,9))*12/52,IF(ISNUMBER(SEARCH("month",C94)),IFERROR(_xlfn.NUMBERVALUE(SUBSTITUTE(LEFT(TRIM(C94),FIND(" ",TRIM(C94)&amp;" ")-1),",","."),"."),LEFT(SUBSTITUTE(LEFT(TRIM(C94),FIND(" ",TRIM(C94)&amp;" ")-1),",","."),FIND("/",SUBSTITUTE(LEFT(TRIM(C94),FIND(" ",TRIM(C94)&amp;" ")-1),",","."))-1)/MID(SUBSTITUTE(LEFT(TRIM(C94),FIND(" ",TRIM(C94)&amp;" ")-1),",","."),FIND("/",SUBSTITUTE(LEFT(TRIM(C94),FIND(" ",TRIM(C94)&amp;" ")-1),",","."))+1,9)),IF(ISNUMBER(SEARCH("yea",C94)),IFERROR(_xlfn.NUMBERVALUE(SUBSTITUTE(LEFT(TRIM(C94),FIND(" ",TRIM(C94)&amp;" ")-1),",","."),"."),LEFT(SUBSTITUTE(LEFT(TRIM(C94),FIND(" ",TRIM(C94)&amp;" ")-1),",","."),FIND("/",SUBSTITUTE(LEFT(TRIM(C94),FIND(" ",TRIM(C94)&amp;" ")-1),",","."))-1)/MID(SUBSTITUTE(LEFT(TRIM(C94),FIND(" ",TRIM(C94)&amp;" ")-1),",","."),FIND("/",SUBSTITUTE(LEFT(TRIM(C94),FIND(" ",TRIM(C94)&amp;" ")-1),",","."))+1,9))*12,NA()))),0),24)*'Aturan &amp; Tarif'!$B$4,2)</f>
        <v>1362.72</v>
      </c>
      <c r="K94" s="32" t="n">
        <f aca="false">'Aturan &amp; Tarif'!$B$5</f>
        <v>2050</v>
      </c>
      <c r="L94" s="35" t="n">
        <f aca="false">I94+J94+K94</f>
        <v>13142.72</v>
      </c>
      <c r="M94" s="36" t="s">
        <v>3063</v>
      </c>
    </row>
    <row r="95" customFormat="false" ht="37.5" hidden="false" customHeight="true" outlineLevel="0" collapsed="false">
      <c r="A95" s="29"/>
      <c r="B95" s="30" t="s">
        <v>1877</v>
      </c>
      <c r="C95" s="31" t="s">
        <v>107</v>
      </c>
      <c r="D95" s="31" t="s">
        <v>1863</v>
      </c>
      <c r="E95" s="32" t="n">
        <v>2320</v>
      </c>
      <c r="F95" s="32" t="n">
        <v>50</v>
      </c>
      <c r="G95" s="32" t="n">
        <v>250</v>
      </c>
      <c r="H95" s="33" t="n">
        <v>4</v>
      </c>
      <c r="I95" s="34" t="n">
        <f aca="false">E95*H95+N(F95)*H95+N(G95)</f>
        <v>9730</v>
      </c>
      <c r="J95" s="32" t="n">
        <f aca="false">ROUND(IFERROR(ROUND(IF(OR(ISNUMBER(SEARCH("week",C95)),ISNUMBER(SEARCH("minggu",C95))),IFERROR(_xlfn.NUMBERVALUE(SUBSTITUTE(LEFT(TRIM(C95),FIND(" ",TRIM(C95)&amp;" ")-1),",","."),"."),LEFT(SUBSTITUTE(LEFT(TRIM(C95),FIND(" ",TRIM(C95)&amp;" ")-1),",","."),FIND("/",SUBSTITUTE(LEFT(TRIM(C95),FIND(" ",TRIM(C95)&amp;" ")-1),",","."))-1)/MID(SUBSTITUTE(LEFT(TRIM(C95),FIND(" ",TRIM(C95)&amp;" ")-1),",","."),FIND("/",SUBSTITUTE(LEFT(TRIM(C95),FIND(" ",TRIM(C95)&amp;" ")-1),",","."))+1,9))*12/52,IF(ISNUMBER(SEARCH("month",C95)),IFERROR(_xlfn.NUMBERVALUE(SUBSTITUTE(LEFT(TRIM(C95),FIND(" ",TRIM(C95)&amp;" ")-1),",","."),"."),LEFT(SUBSTITUTE(LEFT(TRIM(C95),FIND(" ",TRIM(C95)&amp;" ")-1),",","."),FIND("/",SUBSTITUTE(LEFT(TRIM(C95),FIND(" ",TRIM(C95)&amp;" ")-1),",","."))-1)/MID(SUBSTITUTE(LEFT(TRIM(C95),FIND(" ",TRIM(C95)&amp;" ")-1),",","."),FIND("/",SUBSTITUTE(LEFT(TRIM(C95),FIND(" ",TRIM(C95)&amp;" ")-1),",","."))+1,9)),IF(ISNUMBER(SEARCH("yea",C95)),IFERROR(_xlfn.NUMBERVALUE(SUBSTITUTE(LEFT(TRIM(C95),FIND(" ",TRIM(C95)&amp;" ")-1),",","."),"."),LEFT(SUBSTITUTE(LEFT(TRIM(C95),FIND(" ",TRIM(C95)&amp;" ")-1),",","."),FIND("/",SUBSTITUTE(LEFT(TRIM(C95),FIND(" ",TRIM(C95)&amp;" ")-1),",","."))-1)/MID(SUBSTITUTE(LEFT(TRIM(C95),FIND(" ",TRIM(C95)&amp;" ")-1),",","."),FIND("/",SUBSTITUTE(LEFT(TRIM(C95),FIND(" ",TRIM(C95)&amp;" ")-1),",","."))+1,9))*12,NA()))),0),24)*'Aturan &amp; Tarif'!$B$4,2)</f>
        <v>1362.72</v>
      </c>
      <c r="K95" s="32" t="n">
        <f aca="false">'Aturan &amp; Tarif'!$B$5</f>
        <v>2050</v>
      </c>
      <c r="L95" s="35" t="n">
        <f aca="false">I95+J95+K95</f>
        <v>13142.72</v>
      </c>
      <c r="M95" s="36" t="s">
        <v>3064</v>
      </c>
    </row>
    <row r="96" customFormat="false" ht="25.5" hidden="false" customHeight="true" outlineLevel="0" collapsed="false">
      <c r="A96" s="29"/>
      <c r="B96" s="30" t="s">
        <v>1879</v>
      </c>
      <c r="C96" s="31" t="s">
        <v>107</v>
      </c>
      <c r="D96" s="31" t="s">
        <v>1863</v>
      </c>
      <c r="E96" s="32" t="n">
        <v>2150</v>
      </c>
      <c r="F96" s="32" t="n">
        <v>50</v>
      </c>
      <c r="G96" s="32" t="n">
        <v>250</v>
      </c>
      <c r="H96" s="33" t="n">
        <v>4</v>
      </c>
      <c r="I96" s="34" t="n">
        <f aca="false">E96*H96+N(F96)*H96+N(G96)</f>
        <v>9050</v>
      </c>
      <c r="J96" s="32" t="n">
        <f aca="false">ROUND(IFERROR(ROUND(IF(OR(ISNUMBER(SEARCH("week",C96)),ISNUMBER(SEARCH("minggu",C96))),IFERROR(_xlfn.NUMBERVALUE(SUBSTITUTE(LEFT(TRIM(C96),FIND(" ",TRIM(C96)&amp;" ")-1),",","."),"."),LEFT(SUBSTITUTE(LEFT(TRIM(C96),FIND(" ",TRIM(C96)&amp;" ")-1),",","."),FIND("/",SUBSTITUTE(LEFT(TRIM(C96),FIND(" ",TRIM(C96)&amp;" ")-1),",","."))-1)/MID(SUBSTITUTE(LEFT(TRIM(C96),FIND(" ",TRIM(C96)&amp;" ")-1),",","."),FIND("/",SUBSTITUTE(LEFT(TRIM(C96),FIND(" ",TRIM(C96)&amp;" ")-1),",","."))+1,9))*12/52,IF(ISNUMBER(SEARCH("month",C96)),IFERROR(_xlfn.NUMBERVALUE(SUBSTITUTE(LEFT(TRIM(C96),FIND(" ",TRIM(C96)&amp;" ")-1),",","."),"."),LEFT(SUBSTITUTE(LEFT(TRIM(C96),FIND(" ",TRIM(C96)&amp;" ")-1),",","."),FIND("/",SUBSTITUTE(LEFT(TRIM(C96),FIND(" ",TRIM(C96)&amp;" ")-1),",","."))-1)/MID(SUBSTITUTE(LEFT(TRIM(C96),FIND(" ",TRIM(C96)&amp;" ")-1),",","."),FIND("/",SUBSTITUTE(LEFT(TRIM(C96),FIND(" ",TRIM(C96)&amp;" ")-1),",","."))+1,9)),IF(ISNUMBER(SEARCH("yea",C96)),IFERROR(_xlfn.NUMBERVALUE(SUBSTITUTE(LEFT(TRIM(C96),FIND(" ",TRIM(C96)&amp;" ")-1),",","."),"."),LEFT(SUBSTITUTE(LEFT(TRIM(C96),FIND(" ",TRIM(C96)&amp;" ")-1),",","."),FIND("/",SUBSTITUTE(LEFT(TRIM(C96),FIND(" ",TRIM(C96)&amp;" ")-1),",","."))-1)/MID(SUBSTITUTE(LEFT(TRIM(C96),FIND(" ",TRIM(C96)&amp;" ")-1),",","."),FIND("/",SUBSTITUTE(LEFT(TRIM(C96),FIND(" ",TRIM(C96)&amp;" ")-1),",","."))+1,9))*12,NA()))),0),24)*'Aturan &amp; Tarif'!$B$4,2)</f>
        <v>1362.72</v>
      </c>
      <c r="K96" s="32" t="n">
        <f aca="false">'Aturan &amp; Tarif'!$B$5</f>
        <v>2050</v>
      </c>
      <c r="L96" s="35" t="n">
        <f aca="false">I96+J96+K96</f>
        <v>12462.72</v>
      </c>
      <c r="M96" s="36" t="s">
        <v>3065</v>
      </c>
    </row>
    <row r="97" customFormat="false" ht="25.5" hidden="false" customHeight="true" outlineLevel="0" collapsed="false">
      <c r="A97" s="29"/>
      <c r="B97" s="30" t="s">
        <v>1881</v>
      </c>
      <c r="C97" s="31" t="s">
        <v>107</v>
      </c>
      <c r="D97" s="31" t="s">
        <v>1863</v>
      </c>
      <c r="E97" s="32" t="n">
        <v>2240</v>
      </c>
      <c r="F97" s="32" t="n">
        <v>50</v>
      </c>
      <c r="G97" s="32" t="n">
        <v>250</v>
      </c>
      <c r="H97" s="33" t="n">
        <v>4</v>
      </c>
      <c r="I97" s="34" t="n">
        <f aca="false">E97*H97+N(F97)*H97+N(G97)</f>
        <v>9410</v>
      </c>
      <c r="J97" s="32" t="n">
        <f aca="false">ROUND(IFERROR(ROUND(IF(OR(ISNUMBER(SEARCH("week",C97)),ISNUMBER(SEARCH("minggu",C97))),IFERROR(_xlfn.NUMBERVALUE(SUBSTITUTE(LEFT(TRIM(C97),FIND(" ",TRIM(C97)&amp;" ")-1),",","."),"."),LEFT(SUBSTITUTE(LEFT(TRIM(C97),FIND(" ",TRIM(C97)&amp;" ")-1),",","."),FIND("/",SUBSTITUTE(LEFT(TRIM(C97),FIND(" ",TRIM(C97)&amp;" ")-1),",","."))-1)/MID(SUBSTITUTE(LEFT(TRIM(C97),FIND(" ",TRIM(C97)&amp;" ")-1),",","."),FIND("/",SUBSTITUTE(LEFT(TRIM(C97),FIND(" ",TRIM(C97)&amp;" ")-1),",","."))+1,9))*12/52,IF(ISNUMBER(SEARCH("month",C97)),IFERROR(_xlfn.NUMBERVALUE(SUBSTITUTE(LEFT(TRIM(C97),FIND(" ",TRIM(C97)&amp;" ")-1),",","."),"."),LEFT(SUBSTITUTE(LEFT(TRIM(C97),FIND(" ",TRIM(C97)&amp;" ")-1),",","."),FIND("/",SUBSTITUTE(LEFT(TRIM(C97),FIND(" ",TRIM(C97)&amp;" ")-1),",","."))-1)/MID(SUBSTITUTE(LEFT(TRIM(C97),FIND(" ",TRIM(C97)&amp;" ")-1),",","."),FIND("/",SUBSTITUTE(LEFT(TRIM(C97),FIND(" ",TRIM(C97)&amp;" ")-1),",","."))+1,9)),IF(ISNUMBER(SEARCH("yea",C97)),IFERROR(_xlfn.NUMBERVALUE(SUBSTITUTE(LEFT(TRIM(C97),FIND(" ",TRIM(C97)&amp;" ")-1),",","."),"."),LEFT(SUBSTITUTE(LEFT(TRIM(C97),FIND(" ",TRIM(C97)&amp;" ")-1),",","."),FIND("/",SUBSTITUTE(LEFT(TRIM(C97),FIND(" ",TRIM(C97)&amp;" ")-1),",","."))-1)/MID(SUBSTITUTE(LEFT(TRIM(C97),FIND(" ",TRIM(C97)&amp;" ")-1),",","."),FIND("/",SUBSTITUTE(LEFT(TRIM(C97),FIND(" ",TRIM(C97)&amp;" ")-1),",","."))+1,9))*12,NA()))),0),24)*'Aturan &amp; Tarif'!$B$4,2)</f>
        <v>1362.72</v>
      </c>
      <c r="K97" s="32" t="n">
        <f aca="false">'Aturan &amp; Tarif'!$B$5</f>
        <v>2050</v>
      </c>
      <c r="L97" s="35" t="n">
        <f aca="false">I97+J97+K97</f>
        <v>12822.72</v>
      </c>
      <c r="M97" s="36" t="s">
        <v>3066</v>
      </c>
    </row>
    <row r="98" customFormat="false" ht="14.25" hidden="false" customHeight="true" outlineLevel="0" collapsed="false">
      <c r="A98" s="39" t="s">
        <v>1883</v>
      </c>
      <c r="B98" s="40" t="s">
        <v>833</v>
      </c>
      <c r="C98" s="41" t="s">
        <v>107</v>
      </c>
      <c r="D98" s="41" t="s">
        <v>108</v>
      </c>
      <c r="E98" s="42" t="n">
        <v>1250</v>
      </c>
      <c r="F98" s="42" t="n">
        <v>0</v>
      </c>
      <c r="G98" s="42" t="n">
        <v>200</v>
      </c>
      <c r="H98" s="43" t="n">
        <v>1</v>
      </c>
      <c r="I98" s="34" t="n">
        <f aca="false">E98*H98+N(F98)+N(G98)</f>
        <v>1450</v>
      </c>
      <c r="J98" s="42" t="n">
        <f aca="false">ROUND(IFERROR(ROUND(IF(OR(ISNUMBER(SEARCH("week",C98)),ISNUMBER(SEARCH("minggu",C98))),IFERROR(_xlfn.NUMBERVALUE(SUBSTITUTE(LEFT(TRIM(C98),FIND(" ",TRIM(C98)&amp;" ")-1),",","."),"."),LEFT(SUBSTITUTE(LEFT(TRIM(C98),FIND(" ",TRIM(C98)&amp;" ")-1),",","."),FIND("/",SUBSTITUTE(LEFT(TRIM(C98),FIND(" ",TRIM(C98)&amp;" ")-1),",","."))-1)/MID(SUBSTITUTE(LEFT(TRIM(C98),FIND(" ",TRIM(C98)&amp;" ")-1),",","."),FIND("/",SUBSTITUTE(LEFT(TRIM(C98),FIND(" ",TRIM(C98)&amp;" ")-1),",","."))+1,9))*12/52,IF(ISNUMBER(SEARCH("month",C98)),IFERROR(_xlfn.NUMBERVALUE(SUBSTITUTE(LEFT(TRIM(C98),FIND(" ",TRIM(C98)&amp;" ")-1),",","."),"."),LEFT(SUBSTITUTE(LEFT(TRIM(C98),FIND(" ",TRIM(C98)&amp;" ")-1),",","."),FIND("/",SUBSTITUTE(LEFT(TRIM(C98),FIND(" ",TRIM(C98)&amp;" ")-1),",","."))-1)/MID(SUBSTITUTE(LEFT(TRIM(C98),FIND(" ",TRIM(C98)&amp;" ")-1),",","."),FIND("/",SUBSTITUTE(LEFT(TRIM(C98),FIND(" ",TRIM(C98)&amp;" ")-1),",","."))+1,9)),IF(ISNUMBER(SEARCH("yea",C98)),IFERROR(_xlfn.NUMBERVALUE(SUBSTITUTE(LEFT(TRIM(C98),FIND(" ",TRIM(C98)&amp;" ")-1),",","."),"."),LEFT(SUBSTITUTE(LEFT(TRIM(C98),FIND(" ",TRIM(C98)&amp;" ")-1),",","."),FIND("/",SUBSTITUTE(LEFT(TRIM(C98),FIND(" ",TRIM(C98)&amp;" ")-1),",","."))-1)/MID(SUBSTITUTE(LEFT(TRIM(C98),FIND(" ",TRIM(C98)&amp;" ")-1),",","."),FIND("/",SUBSTITUTE(LEFT(TRIM(C98),FIND(" ",TRIM(C98)&amp;" ")-1),",","."))+1,9))*12,NA()))),0),24)*'Aturan &amp; Tarif'!$B$4,2)</f>
        <v>1362.72</v>
      </c>
      <c r="K98" s="42" t="n">
        <f aca="false">'Aturan &amp; Tarif'!$B$5</f>
        <v>2050</v>
      </c>
      <c r="L98" s="35" t="n">
        <f aca="false">I98+J98+K98</f>
        <v>4862.72</v>
      </c>
      <c r="M98" s="45" t="s">
        <v>3067</v>
      </c>
    </row>
    <row r="99" customFormat="false" ht="25.5" hidden="false" customHeight="true" outlineLevel="0" collapsed="false">
      <c r="A99" s="39"/>
      <c r="B99" s="40" t="s">
        <v>835</v>
      </c>
      <c r="C99" s="41" t="s">
        <v>107</v>
      </c>
      <c r="D99" s="41" t="s">
        <v>108</v>
      </c>
      <c r="E99" s="42" t="n">
        <v>1625</v>
      </c>
      <c r="F99" s="42" t="n">
        <v>1000</v>
      </c>
      <c r="G99" s="42" t="n">
        <v>200</v>
      </c>
      <c r="H99" s="43" t="n">
        <v>1</v>
      </c>
      <c r="I99" s="34" t="n">
        <f aca="false">E99*H99+N(F99)+N(G99)</f>
        <v>2825</v>
      </c>
      <c r="J99" s="42" t="n">
        <f aca="false">ROUND(IFERROR(ROUND(IF(OR(ISNUMBER(SEARCH("week",C99)),ISNUMBER(SEARCH("minggu",C99))),IFERROR(_xlfn.NUMBERVALUE(SUBSTITUTE(LEFT(TRIM(C99),FIND(" ",TRIM(C99)&amp;" ")-1),",","."),"."),LEFT(SUBSTITUTE(LEFT(TRIM(C99),FIND(" ",TRIM(C99)&amp;" ")-1),",","."),FIND("/",SUBSTITUTE(LEFT(TRIM(C99),FIND(" ",TRIM(C99)&amp;" ")-1),",","."))-1)/MID(SUBSTITUTE(LEFT(TRIM(C99),FIND(" ",TRIM(C99)&amp;" ")-1),",","."),FIND("/",SUBSTITUTE(LEFT(TRIM(C99),FIND(" ",TRIM(C99)&amp;" ")-1),",","."))+1,9))*12/52,IF(ISNUMBER(SEARCH("month",C99)),IFERROR(_xlfn.NUMBERVALUE(SUBSTITUTE(LEFT(TRIM(C99),FIND(" ",TRIM(C99)&amp;" ")-1),",","."),"."),LEFT(SUBSTITUTE(LEFT(TRIM(C99),FIND(" ",TRIM(C99)&amp;" ")-1),",","."),FIND("/",SUBSTITUTE(LEFT(TRIM(C99),FIND(" ",TRIM(C99)&amp;" ")-1),",","."))-1)/MID(SUBSTITUTE(LEFT(TRIM(C99),FIND(" ",TRIM(C99)&amp;" ")-1),",","."),FIND("/",SUBSTITUTE(LEFT(TRIM(C99),FIND(" ",TRIM(C99)&amp;" ")-1),",","."))+1,9)),IF(ISNUMBER(SEARCH("yea",C99)),IFERROR(_xlfn.NUMBERVALUE(SUBSTITUTE(LEFT(TRIM(C99),FIND(" ",TRIM(C99)&amp;" ")-1),",","."),"."),LEFT(SUBSTITUTE(LEFT(TRIM(C99),FIND(" ",TRIM(C99)&amp;" ")-1),",","."),FIND("/",SUBSTITUTE(LEFT(TRIM(C99),FIND(" ",TRIM(C99)&amp;" ")-1),",","."))-1)/MID(SUBSTITUTE(LEFT(TRIM(C99),FIND(" ",TRIM(C99)&amp;" ")-1),",","."),FIND("/",SUBSTITUTE(LEFT(TRIM(C99),FIND(" ",TRIM(C99)&amp;" ")-1),",","."))+1,9))*12,NA()))),0),24)*'Aturan &amp; Tarif'!$B$4,2)</f>
        <v>1362.72</v>
      </c>
      <c r="K99" s="42" t="n">
        <f aca="false">'Aturan &amp; Tarif'!$B$5</f>
        <v>2050</v>
      </c>
      <c r="L99" s="35" t="n">
        <f aca="false">I99+J99+K99</f>
        <v>6237.72</v>
      </c>
      <c r="M99" s="45" t="s">
        <v>3068</v>
      </c>
    </row>
    <row r="100" customFormat="false" ht="25.5" hidden="false" customHeight="true" outlineLevel="0" collapsed="false">
      <c r="A100" s="39"/>
      <c r="B100" s="40" t="s">
        <v>837</v>
      </c>
      <c r="C100" s="41" t="s">
        <v>107</v>
      </c>
      <c r="D100" s="41" t="s">
        <v>108</v>
      </c>
      <c r="E100" s="42" t="n">
        <v>2375</v>
      </c>
      <c r="F100" s="42" t="n">
        <v>500</v>
      </c>
      <c r="G100" s="42" t="n">
        <v>200</v>
      </c>
      <c r="H100" s="43" t="n">
        <v>1</v>
      </c>
      <c r="I100" s="34" t="n">
        <f aca="false">E100*H100+N(F100)+N(G100)</f>
        <v>3075</v>
      </c>
      <c r="J100" s="42" t="n">
        <f aca="false">ROUND(IFERROR(ROUND(IF(OR(ISNUMBER(SEARCH("week",C100)),ISNUMBER(SEARCH("minggu",C100))),IFERROR(_xlfn.NUMBERVALUE(SUBSTITUTE(LEFT(TRIM(C100),FIND(" ",TRIM(C100)&amp;" ")-1),",","."),"."),LEFT(SUBSTITUTE(LEFT(TRIM(C100),FIND(" ",TRIM(C100)&amp;" ")-1),",","."),FIND("/",SUBSTITUTE(LEFT(TRIM(C100),FIND(" ",TRIM(C100)&amp;" ")-1),",","."))-1)/MID(SUBSTITUTE(LEFT(TRIM(C100),FIND(" ",TRIM(C100)&amp;" ")-1),",","."),FIND("/",SUBSTITUTE(LEFT(TRIM(C100),FIND(" ",TRIM(C100)&amp;" ")-1),",","."))+1,9))*12/52,IF(ISNUMBER(SEARCH("month",C100)),IFERROR(_xlfn.NUMBERVALUE(SUBSTITUTE(LEFT(TRIM(C100),FIND(" ",TRIM(C100)&amp;" ")-1),",","."),"."),LEFT(SUBSTITUTE(LEFT(TRIM(C100),FIND(" ",TRIM(C100)&amp;" ")-1),",","."),FIND("/",SUBSTITUTE(LEFT(TRIM(C100),FIND(" ",TRIM(C100)&amp;" ")-1),",","."))-1)/MID(SUBSTITUTE(LEFT(TRIM(C100),FIND(" ",TRIM(C100)&amp;" ")-1),",","."),FIND("/",SUBSTITUTE(LEFT(TRIM(C100),FIND(" ",TRIM(C100)&amp;" ")-1),",","."))+1,9)),IF(ISNUMBER(SEARCH("yea",C100)),IFERROR(_xlfn.NUMBERVALUE(SUBSTITUTE(LEFT(TRIM(C100),FIND(" ",TRIM(C100)&amp;" ")-1),",","."),"."),LEFT(SUBSTITUTE(LEFT(TRIM(C100),FIND(" ",TRIM(C100)&amp;" ")-1),",","."),FIND("/",SUBSTITUTE(LEFT(TRIM(C100),FIND(" ",TRIM(C100)&amp;" ")-1),",","."))-1)/MID(SUBSTITUTE(LEFT(TRIM(C100),FIND(" ",TRIM(C100)&amp;" ")-1),",","."),FIND("/",SUBSTITUTE(LEFT(TRIM(C100),FIND(" ",TRIM(C100)&amp;" ")-1),",","."))+1,9))*12,NA()))),0),24)*'Aturan &amp; Tarif'!$B$4,2)</f>
        <v>1362.72</v>
      </c>
      <c r="K100" s="42" t="n">
        <f aca="false">'Aturan &amp; Tarif'!$B$5</f>
        <v>2050</v>
      </c>
      <c r="L100" s="35" t="n">
        <f aca="false">I100+J100+K100</f>
        <v>6487.72</v>
      </c>
      <c r="M100" s="45" t="s">
        <v>3068</v>
      </c>
    </row>
    <row r="101" customFormat="false" ht="25.5" hidden="false" customHeight="true" outlineLevel="0" collapsed="false">
      <c r="A101" s="39"/>
      <c r="B101" s="40" t="s">
        <v>1561</v>
      </c>
      <c r="C101" s="41" t="s">
        <v>107</v>
      </c>
      <c r="D101" s="41" t="s">
        <v>108</v>
      </c>
      <c r="E101" s="42" t="n">
        <v>1875</v>
      </c>
      <c r="F101" s="42" t="n">
        <v>1500</v>
      </c>
      <c r="G101" s="42" t="n">
        <v>200</v>
      </c>
      <c r="H101" s="43" t="n">
        <v>1</v>
      </c>
      <c r="I101" s="34" t="n">
        <f aca="false">E101*H101+N(F101)+N(G101)</f>
        <v>3575</v>
      </c>
      <c r="J101" s="42" t="n">
        <f aca="false">ROUND(IFERROR(ROUND(IF(OR(ISNUMBER(SEARCH("week",C101)),ISNUMBER(SEARCH("minggu",C101))),IFERROR(_xlfn.NUMBERVALUE(SUBSTITUTE(LEFT(TRIM(C101),FIND(" ",TRIM(C101)&amp;" ")-1),",","."),"."),LEFT(SUBSTITUTE(LEFT(TRIM(C101),FIND(" ",TRIM(C101)&amp;" ")-1),",","."),FIND("/",SUBSTITUTE(LEFT(TRIM(C101),FIND(" ",TRIM(C101)&amp;" ")-1),",","."))-1)/MID(SUBSTITUTE(LEFT(TRIM(C101),FIND(" ",TRIM(C101)&amp;" ")-1),",","."),FIND("/",SUBSTITUTE(LEFT(TRIM(C101),FIND(" ",TRIM(C101)&amp;" ")-1),",","."))+1,9))*12/52,IF(ISNUMBER(SEARCH("month",C101)),IFERROR(_xlfn.NUMBERVALUE(SUBSTITUTE(LEFT(TRIM(C101),FIND(" ",TRIM(C101)&amp;" ")-1),",","."),"."),LEFT(SUBSTITUTE(LEFT(TRIM(C101),FIND(" ",TRIM(C101)&amp;" ")-1),",","."),FIND("/",SUBSTITUTE(LEFT(TRIM(C101),FIND(" ",TRIM(C101)&amp;" ")-1),",","."))-1)/MID(SUBSTITUTE(LEFT(TRIM(C101),FIND(" ",TRIM(C101)&amp;" ")-1),",","."),FIND("/",SUBSTITUTE(LEFT(TRIM(C101),FIND(" ",TRIM(C101)&amp;" ")-1),",","."))+1,9)),IF(ISNUMBER(SEARCH("yea",C101)),IFERROR(_xlfn.NUMBERVALUE(SUBSTITUTE(LEFT(TRIM(C101),FIND(" ",TRIM(C101)&amp;" ")-1),",","."),"."),LEFT(SUBSTITUTE(LEFT(TRIM(C101),FIND(" ",TRIM(C101)&amp;" ")-1),",","."),FIND("/",SUBSTITUTE(LEFT(TRIM(C101),FIND(" ",TRIM(C101)&amp;" ")-1),",","."))-1)/MID(SUBSTITUTE(LEFT(TRIM(C101),FIND(" ",TRIM(C101)&amp;" ")-1),",","."),FIND("/",SUBSTITUTE(LEFT(TRIM(C101),FIND(" ",TRIM(C101)&amp;" ")-1),",","."))+1,9))*12,NA()))),0),24)*'Aturan &amp; Tarif'!$B$4,2)</f>
        <v>1362.72</v>
      </c>
      <c r="K101" s="42" t="n">
        <f aca="false">'Aturan &amp; Tarif'!$B$5</f>
        <v>2050</v>
      </c>
      <c r="L101" s="35" t="n">
        <f aca="false">I101+J101+K101</f>
        <v>6987.72</v>
      </c>
      <c r="M101" s="45" t="s">
        <v>3068</v>
      </c>
    </row>
    <row r="102" customFormat="false" ht="37.5" hidden="false" customHeight="true" outlineLevel="0" collapsed="false">
      <c r="A102" s="39"/>
      <c r="B102" s="40" t="s">
        <v>1884</v>
      </c>
      <c r="C102" s="41" t="s">
        <v>107</v>
      </c>
      <c r="D102" s="41" t="s">
        <v>108</v>
      </c>
      <c r="E102" s="42" t="n">
        <v>1250</v>
      </c>
      <c r="F102" s="42" t="n">
        <v>0</v>
      </c>
      <c r="G102" s="42" t="n">
        <v>200</v>
      </c>
      <c r="H102" s="43" t="n">
        <v>1</v>
      </c>
      <c r="I102" s="34" t="n">
        <f aca="false">E102*H102+N(F102)+N(G102)</f>
        <v>1450</v>
      </c>
      <c r="J102" s="42" t="n">
        <f aca="false">ROUND(IFERROR(ROUND(IF(OR(ISNUMBER(SEARCH("week",C102)),ISNUMBER(SEARCH("minggu",C102))),IFERROR(_xlfn.NUMBERVALUE(SUBSTITUTE(LEFT(TRIM(C102),FIND(" ",TRIM(C102)&amp;" ")-1),",","."),"."),LEFT(SUBSTITUTE(LEFT(TRIM(C102),FIND(" ",TRIM(C102)&amp;" ")-1),",","."),FIND("/",SUBSTITUTE(LEFT(TRIM(C102),FIND(" ",TRIM(C102)&amp;" ")-1),",","."))-1)/MID(SUBSTITUTE(LEFT(TRIM(C102),FIND(" ",TRIM(C102)&amp;" ")-1),",","."),FIND("/",SUBSTITUTE(LEFT(TRIM(C102),FIND(" ",TRIM(C102)&amp;" ")-1),",","."))+1,9))*12/52,IF(ISNUMBER(SEARCH("month",C102)),IFERROR(_xlfn.NUMBERVALUE(SUBSTITUTE(LEFT(TRIM(C102),FIND(" ",TRIM(C102)&amp;" ")-1),",","."),"."),LEFT(SUBSTITUTE(LEFT(TRIM(C102),FIND(" ",TRIM(C102)&amp;" ")-1),",","."),FIND("/",SUBSTITUTE(LEFT(TRIM(C102),FIND(" ",TRIM(C102)&amp;" ")-1),",","."))-1)/MID(SUBSTITUTE(LEFT(TRIM(C102),FIND(" ",TRIM(C102)&amp;" ")-1),",","."),FIND("/",SUBSTITUTE(LEFT(TRIM(C102),FIND(" ",TRIM(C102)&amp;" ")-1),",","."))+1,9)),IF(ISNUMBER(SEARCH("yea",C102)),IFERROR(_xlfn.NUMBERVALUE(SUBSTITUTE(LEFT(TRIM(C102),FIND(" ",TRIM(C102)&amp;" ")-1),",","."),"."),LEFT(SUBSTITUTE(LEFT(TRIM(C102),FIND(" ",TRIM(C102)&amp;" ")-1),",","."),FIND("/",SUBSTITUTE(LEFT(TRIM(C102),FIND(" ",TRIM(C102)&amp;" ")-1),",","."))-1)/MID(SUBSTITUTE(LEFT(TRIM(C102),FIND(" ",TRIM(C102)&amp;" ")-1),",","."),FIND("/",SUBSTITUTE(LEFT(TRIM(C102),FIND(" ",TRIM(C102)&amp;" ")-1),",","."))+1,9))*12,NA()))),0),24)*'Aturan &amp; Tarif'!$B$4,2)</f>
        <v>1362.72</v>
      </c>
      <c r="K102" s="42" t="n">
        <f aca="false">'Aturan &amp; Tarif'!$B$5</f>
        <v>2050</v>
      </c>
      <c r="L102" s="35" t="n">
        <f aca="false">I102+J102+K102</f>
        <v>4862.72</v>
      </c>
      <c r="M102" s="45" t="s">
        <v>3067</v>
      </c>
    </row>
    <row r="103" customFormat="false" ht="25.5" hidden="false" customHeight="true" outlineLevel="0" collapsed="false">
      <c r="A103" s="39"/>
      <c r="B103" s="40" t="s">
        <v>1562</v>
      </c>
      <c r="C103" s="41" t="s">
        <v>107</v>
      </c>
      <c r="D103" s="41" t="s">
        <v>108</v>
      </c>
      <c r="E103" s="42" t="n">
        <v>1250</v>
      </c>
      <c r="F103" s="42" t="n">
        <v>0</v>
      </c>
      <c r="G103" s="42" t="n">
        <v>200</v>
      </c>
      <c r="H103" s="43" t="n">
        <v>1</v>
      </c>
      <c r="I103" s="34" t="n">
        <f aca="false">E103*H103+N(F103)+N(G103)</f>
        <v>1450</v>
      </c>
      <c r="J103" s="42" t="n">
        <f aca="false">ROUND(IFERROR(ROUND(IF(OR(ISNUMBER(SEARCH("week",C103)),ISNUMBER(SEARCH("minggu",C103))),IFERROR(_xlfn.NUMBERVALUE(SUBSTITUTE(LEFT(TRIM(C103),FIND(" ",TRIM(C103)&amp;" ")-1),",","."),"."),LEFT(SUBSTITUTE(LEFT(TRIM(C103),FIND(" ",TRIM(C103)&amp;" ")-1),",","."),FIND("/",SUBSTITUTE(LEFT(TRIM(C103),FIND(" ",TRIM(C103)&amp;" ")-1),",","."))-1)/MID(SUBSTITUTE(LEFT(TRIM(C103),FIND(" ",TRIM(C103)&amp;" ")-1),",","."),FIND("/",SUBSTITUTE(LEFT(TRIM(C103),FIND(" ",TRIM(C103)&amp;" ")-1),",","."))+1,9))*12/52,IF(ISNUMBER(SEARCH("month",C103)),IFERROR(_xlfn.NUMBERVALUE(SUBSTITUTE(LEFT(TRIM(C103),FIND(" ",TRIM(C103)&amp;" ")-1),",","."),"."),LEFT(SUBSTITUTE(LEFT(TRIM(C103),FIND(" ",TRIM(C103)&amp;" ")-1),",","."),FIND("/",SUBSTITUTE(LEFT(TRIM(C103),FIND(" ",TRIM(C103)&amp;" ")-1),",","."))-1)/MID(SUBSTITUTE(LEFT(TRIM(C103),FIND(" ",TRIM(C103)&amp;" ")-1),",","."),FIND("/",SUBSTITUTE(LEFT(TRIM(C103),FIND(" ",TRIM(C103)&amp;" ")-1),",","."))+1,9)),IF(ISNUMBER(SEARCH("yea",C103)),IFERROR(_xlfn.NUMBERVALUE(SUBSTITUTE(LEFT(TRIM(C103),FIND(" ",TRIM(C103)&amp;" ")-1),",","."),"."),LEFT(SUBSTITUTE(LEFT(TRIM(C103),FIND(" ",TRIM(C103)&amp;" ")-1),",","."),FIND("/",SUBSTITUTE(LEFT(TRIM(C103),FIND(" ",TRIM(C103)&amp;" ")-1),",","."))-1)/MID(SUBSTITUTE(LEFT(TRIM(C103),FIND(" ",TRIM(C103)&amp;" ")-1),",","."),FIND("/",SUBSTITUTE(LEFT(TRIM(C103),FIND(" ",TRIM(C103)&amp;" ")-1),",","."))+1,9))*12,NA()))),0),24)*'Aturan &amp; Tarif'!$B$4,2)</f>
        <v>1362.72</v>
      </c>
      <c r="K103" s="42" t="n">
        <f aca="false">'Aturan &amp; Tarif'!$B$5</f>
        <v>2050</v>
      </c>
      <c r="L103" s="35" t="n">
        <f aca="false">I103+J103+K103</f>
        <v>4862.72</v>
      </c>
      <c r="M103" s="45" t="s">
        <v>3067</v>
      </c>
    </row>
    <row r="104" customFormat="false" ht="14.25" hidden="false" customHeight="true" outlineLevel="0" collapsed="false">
      <c r="A104" s="29" t="s">
        <v>1886</v>
      </c>
      <c r="B104" s="30" t="s">
        <v>1887</v>
      </c>
      <c r="C104" s="31" t="s">
        <v>127</v>
      </c>
      <c r="D104" s="31" t="s">
        <v>108</v>
      </c>
      <c r="E104" s="32" t="n">
        <v>2250</v>
      </c>
      <c r="F104" s="32" t="n">
        <v>2000</v>
      </c>
      <c r="G104" s="32" t="n">
        <v>500</v>
      </c>
      <c r="H104" s="33" t="n">
        <v>1</v>
      </c>
      <c r="I104" s="34" t="n">
        <f aca="false">E104*H104+N(F104)+N(G104)</f>
        <v>4750</v>
      </c>
      <c r="J104" s="32" t="n">
        <f aca="false">ROUND(IFERROR(ROUND(IF(OR(ISNUMBER(SEARCH("week",C104)),ISNUMBER(SEARCH("minggu",C104))),IFERROR(_xlfn.NUMBERVALUE(SUBSTITUTE(LEFT(TRIM(C104),FIND(" ",TRIM(C104)&amp;" ")-1),",","."),"."),LEFT(SUBSTITUTE(LEFT(TRIM(C104),FIND(" ",TRIM(C104)&amp;" ")-1),",","."),FIND("/",SUBSTITUTE(LEFT(TRIM(C104),FIND(" ",TRIM(C104)&amp;" ")-1),",","."))-1)/MID(SUBSTITUTE(LEFT(TRIM(C104),FIND(" ",TRIM(C104)&amp;" ")-1),",","."),FIND("/",SUBSTITUTE(LEFT(TRIM(C104),FIND(" ",TRIM(C104)&amp;" ")-1),",","."))+1,9))*12/52,IF(ISNUMBER(SEARCH("month",C104)),IFERROR(_xlfn.NUMBERVALUE(SUBSTITUTE(LEFT(TRIM(C104),FIND(" ",TRIM(C104)&amp;" ")-1),",","."),"."),LEFT(SUBSTITUTE(LEFT(TRIM(C104),FIND(" ",TRIM(C104)&amp;" ")-1),",","."),FIND("/",SUBSTITUTE(LEFT(TRIM(C104),FIND(" ",TRIM(C104)&amp;" ")-1),",","."))-1)/MID(SUBSTITUTE(LEFT(TRIM(C104),FIND(" ",TRIM(C104)&amp;" ")-1),",","."),FIND("/",SUBSTITUTE(LEFT(TRIM(C104),FIND(" ",TRIM(C104)&amp;" ")-1),",","."))+1,9)),IF(ISNUMBER(SEARCH("yea",C104)),IFERROR(_xlfn.NUMBERVALUE(SUBSTITUTE(LEFT(TRIM(C104),FIND(" ",TRIM(C104)&amp;" ")-1),",","."),"."),LEFT(SUBSTITUTE(LEFT(TRIM(C104),FIND(" ",TRIM(C104)&amp;" ")-1),",","."),FIND("/",SUBSTITUTE(LEFT(TRIM(C104),FIND(" ",TRIM(C104)&amp;" ")-1),",","."))-1)/MID(SUBSTITUTE(LEFT(TRIM(C104),FIND(" ",TRIM(C104)&amp;" ")-1),",","."),FIND("/",SUBSTITUTE(LEFT(TRIM(C104),FIND(" ",TRIM(C104)&amp;" ")-1),",","."))+1,9))*12,NA()))),0),36)*'Aturan &amp; Tarif'!$B$4,2)</f>
        <v>2044.08</v>
      </c>
      <c r="K104" s="32" t="n">
        <f aca="false">'Aturan &amp; Tarif'!$B$5</f>
        <v>2050</v>
      </c>
      <c r="L104" s="35" t="n">
        <f aca="false">I104+J104+K104</f>
        <v>8844.08</v>
      </c>
      <c r="M104" s="37" t="s">
        <v>1888</v>
      </c>
    </row>
    <row r="105" customFormat="false" ht="37.5" hidden="false" customHeight="true" outlineLevel="0" collapsed="false">
      <c r="A105" s="29"/>
      <c r="B105" s="30" t="s">
        <v>1889</v>
      </c>
      <c r="C105" s="31" t="s">
        <v>107</v>
      </c>
      <c r="D105" s="31" t="s">
        <v>108</v>
      </c>
      <c r="E105" s="32" t="n">
        <v>2375</v>
      </c>
      <c r="F105" s="32" t="n">
        <v>1500</v>
      </c>
      <c r="G105" s="32" t="n">
        <v>500</v>
      </c>
      <c r="H105" s="33" t="n">
        <v>1</v>
      </c>
      <c r="I105" s="34" t="n">
        <f aca="false">E105*H105+N(F105)+N(G105)</f>
        <v>4375</v>
      </c>
      <c r="J105" s="32" t="n">
        <f aca="false">ROUND(IFERROR(ROUND(IF(OR(ISNUMBER(SEARCH("week",C105)),ISNUMBER(SEARCH("minggu",C105))),IFERROR(_xlfn.NUMBERVALUE(SUBSTITUTE(LEFT(TRIM(C105),FIND(" ",TRIM(C105)&amp;" ")-1),",","."),"."),LEFT(SUBSTITUTE(LEFT(TRIM(C105),FIND(" ",TRIM(C105)&amp;" ")-1),",","."),FIND("/",SUBSTITUTE(LEFT(TRIM(C105),FIND(" ",TRIM(C105)&amp;" ")-1),",","."))-1)/MID(SUBSTITUTE(LEFT(TRIM(C105),FIND(" ",TRIM(C105)&amp;" ")-1),",","."),FIND("/",SUBSTITUTE(LEFT(TRIM(C105),FIND(" ",TRIM(C105)&amp;" ")-1),",","."))+1,9))*12/52,IF(ISNUMBER(SEARCH("month",C105)),IFERROR(_xlfn.NUMBERVALUE(SUBSTITUTE(LEFT(TRIM(C105),FIND(" ",TRIM(C105)&amp;" ")-1),",","."),"."),LEFT(SUBSTITUTE(LEFT(TRIM(C105),FIND(" ",TRIM(C105)&amp;" ")-1),",","."),FIND("/",SUBSTITUTE(LEFT(TRIM(C105),FIND(" ",TRIM(C105)&amp;" ")-1),",","."))-1)/MID(SUBSTITUTE(LEFT(TRIM(C105),FIND(" ",TRIM(C105)&amp;" ")-1),",","."),FIND("/",SUBSTITUTE(LEFT(TRIM(C105),FIND(" ",TRIM(C105)&amp;" ")-1),",","."))+1,9)),IF(ISNUMBER(SEARCH("yea",C105)),IFERROR(_xlfn.NUMBERVALUE(SUBSTITUTE(LEFT(TRIM(C105),FIND(" ",TRIM(C105)&amp;" ")-1),",","."),"."),LEFT(SUBSTITUTE(LEFT(TRIM(C105),FIND(" ",TRIM(C105)&amp;" ")-1),",","."),FIND("/",SUBSTITUTE(LEFT(TRIM(C105),FIND(" ",TRIM(C105)&amp;" ")-1),",","."))-1)/MID(SUBSTITUTE(LEFT(TRIM(C105),FIND(" ",TRIM(C105)&amp;" ")-1),",","."),FIND("/",SUBSTITUTE(LEFT(TRIM(C105),FIND(" ",TRIM(C105)&amp;" ")-1),",","."))+1,9))*12,NA()))),0),24)*'Aturan &amp; Tarif'!$B$4,2)</f>
        <v>1362.72</v>
      </c>
      <c r="K105" s="32" t="n">
        <f aca="false">'Aturan &amp; Tarif'!$B$5</f>
        <v>2050</v>
      </c>
      <c r="L105" s="35" t="n">
        <f aca="false">I105+J105+K105</f>
        <v>7787.72</v>
      </c>
      <c r="M105" s="37" t="s">
        <v>1888</v>
      </c>
    </row>
    <row r="106" customFormat="false" ht="14.25" hidden="false" customHeight="true" outlineLevel="0" collapsed="false">
      <c r="A106" s="29"/>
      <c r="B106" s="30" t="s">
        <v>1890</v>
      </c>
      <c r="C106" s="31" t="s">
        <v>138</v>
      </c>
      <c r="D106" s="31" t="s">
        <v>108</v>
      </c>
      <c r="E106" s="32" t="n">
        <v>1900</v>
      </c>
      <c r="F106" s="32" t="n">
        <v>1500</v>
      </c>
      <c r="G106" s="32" t="n">
        <v>500</v>
      </c>
      <c r="H106" s="33" t="n">
        <v>1</v>
      </c>
      <c r="I106" s="34" t="n">
        <f aca="false">E106*H106+N(F106)+N(G106)</f>
        <v>3900</v>
      </c>
      <c r="J106" s="32" t="n">
        <f aca="false">ROUND(IFERROR(ROUND(IF(OR(ISNUMBER(SEARCH("week",C106)),ISNUMBER(SEARCH("minggu",C106))),IFERROR(_xlfn.NUMBERVALUE(SUBSTITUTE(LEFT(TRIM(C106),FIND(" ",TRIM(C106)&amp;" ")-1),",","."),"."),LEFT(SUBSTITUTE(LEFT(TRIM(C106),FIND(" ",TRIM(C106)&amp;" ")-1),",","."),FIND("/",SUBSTITUTE(LEFT(TRIM(C106),FIND(" ",TRIM(C106)&amp;" ")-1),",","."))-1)/MID(SUBSTITUTE(LEFT(TRIM(C106),FIND(" ",TRIM(C106)&amp;" ")-1),",","."),FIND("/",SUBSTITUTE(LEFT(TRIM(C106),FIND(" ",TRIM(C106)&amp;" ")-1),",","."))+1,9))*12/52,IF(ISNUMBER(SEARCH("month",C106)),IFERROR(_xlfn.NUMBERVALUE(SUBSTITUTE(LEFT(TRIM(C106),FIND(" ",TRIM(C106)&amp;" ")-1),",","."),"."),LEFT(SUBSTITUTE(LEFT(TRIM(C106),FIND(" ",TRIM(C106)&amp;" ")-1),",","."),FIND("/",SUBSTITUTE(LEFT(TRIM(C106),FIND(" ",TRIM(C106)&amp;" ")-1),",","."))-1)/MID(SUBSTITUTE(LEFT(TRIM(C106),FIND(" ",TRIM(C106)&amp;" ")-1),",","."),FIND("/",SUBSTITUTE(LEFT(TRIM(C106),FIND(" ",TRIM(C106)&amp;" ")-1),",","."))+1,9)),IF(ISNUMBER(SEARCH("yea",C106)),IFERROR(_xlfn.NUMBERVALUE(SUBSTITUTE(LEFT(TRIM(C106),FIND(" ",TRIM(C106)&amp;" ")-1),",","."),"."),LEFT(SUBSTITUTE(LEFT(TRIM(C106),FIND(" ",TRIM(C106)&amp;" ")-1),",","."),FIND("/",SUBSTITUTE(LEFT(TRIM(C106),FIND(" ",TRIM(C106)&amp;" ")-1),",","."))-1)/MID(SUBSTITUTE(LEFT(TRIM(C106),FIND(" ",TRIM(C106)&amp;" ")-1),",","."),FIND("/",SUBSTITUTE(LEFT(TRIM(C106),FIND(" ",TRIM(C106)&amp;" ")-1),",","."))+1,9))*12,NA()))),0),30)*'Aturan &amp; Tarif'!$B$4,2)</f>
        <v>1703.4</v>
      </c>
      <c r="K106" s="32" t="n">
        <f aca="false">'Aturan &amp; Tarif'!$B$5</f>
        <v>2050</v>
      </c>
      <c r="L106" s="35" t="n">
        <f aca="false">I106+J106+K106</f>
        <v>7653.4</v>
      </c>
      <c r="M106" s="37" t="s">
        <v>134</v>
      </c>
    </row>
    <row r="107" customFormat="false" ht="14.25" hidden="false" customHeight="true" outlineLevel="0" collapsed="false">
      <c r="A107" s="29"/>
      <c r="B107" s="30" t="s">
        <v>1891</v>
      </c>
      <c r="C107" s="31" t="s">
        <v>107</v>
      </c>
      <c r="D107" s="31" t="s">
        <v>108</v>
      </c>
      <c r="E107" s="32" t="n">
        <v>2100</v>
      </c>
      <c r="F107" s="32" t="n">
        <v>1500</v>
      </c>
      <c r="G107" s="32" t="n">
        <v>500</v>
      </c>
      <c r="H107" s="33" t="n">
        <v>1</v>
      </c>
      <c r="I107" s="34" t="n">
        <f aca="false">E107*H107+N(F107)+N(G107)</f>
        <v>4100</v>
      </c>
      <c r="J107" s="32" t="n">
        <f aca="false">ROUND(IFERROR(ROUND(IF(OR(ISNUMBER(SEARCH("week",C107)),ISNUMBER(SEARCH("minggu",C107))),IFERROR(_xlfn.NUMBERVALUE(SUBSTITUTE(LEFT(TRIM(C107),FIND(" ",TRIM(C107)&amp;" ")-1),",","."),"."),LEFT(SUBSTITUTE(LEFT(TRIM(C107),FIND(" ",TRIM(C107)&amp;" ")-1),",","."),FIND("/",SUBSTITUTE(LEFT(TRIM(C107),FIND(" ",TRIM(C107)&amp;" ")-1),",","."))-1)/MID(SUBSTITUTE(LEFT(TRIM(C107),FIND(" ",TRIM(C107)&amp;" ")-1),",","."),FIND("/",SUBSTITUTE(LEFT(TRIM(C107),FIND(" ",TRIM(C107)&amp;" ")-1),",","."))+1,9))*12/52,IF(ISNUMBER(SEARCH("month",C107)),IFERROR(_xlfn.NUMBERVALUE(SUBSTITUTE(LEFT(TRIM(C107),FIND(" ",TRIM(C107)&amp;" ")-1),",","."),"."),LEFT(SUBSTITUTE(LEFT(TRIM(C107),FIND(" ",TRIM(C107)&amp;" ")-1),",","."),FIND("/",SUBSTITUTE(LEFT(TRIM(C107),FIND(" ",TRIM(C107)&amp;" ")-1),",","."))-1)/MID(SUBSTITUTE(LEFT(TRIM(C107),FIND(" ",TRIM(C107)&amp;" ")-1),",","."),FIND("/",SUBSTITUTE(LEFT(TRIM(C107),FIND(" ",TRIM(C107)&amp;" ")-1),",","."))+1,9)),IF(ISNUMBER(SEARCH("yea",C107)),IFERROR(_xlfn.NUMBERVALUE(SUBSTITUTE(LEFT(TRIM(C107),FIND(" ",TRIM(C107)&amp;" ")-1),",","."),"."),LEFT(SUBSTITUTE(LEFT(TRIM(C107),FIND(" ",TRIM(C107)&amp;" ")-1),",","."),FIND("/",SUBSTITUTE(LEFT(TRIM(C107),FIND(" ",TRIM(C107)&amp;" ")-1),",","."))-1)/MID(SUBSTITUTE(LEFT(TRIM(C107),FIND(" ",TRIM(C107)&amp;" ")-1),",","."),FIND("/",SUBSTITUTE(LEFT(TRIM(C107),FIND(" ",TRIM(C107)&amp;" ")-1),",","."))+1,9))*12,NA()))),0),24)*'Aturan &amp; Tarif'!$B$4,2)</f>
        <v>1362.72</v>
      </c>
      <c r="K107" s="32" t="n">
        <f aca="false">'Aturan &amp; Tarif'!$B$5</f>
        <v>2050</v>
      </c>
      <c r="L107" s="35" t="n">
        <f aca="false">I107+J107+K107</f>
        <v>7512.72</v>
      </c>
      <c r="M107" s="37" t="s">
        <v>134</v>
      </c>
    </row>
    <row r="108" customFormat="false" ht="14.25" hidden="false" customHeight="true" outlineLevel="0" collapsed="false">
      <c r="A108" s="29"/>
      <c r="B108" s="30" t="s">
        <v>1892</v>
      </c>
      <c r="C108" s="31" t="s">
        <v>127</v>
      </c>
      <c r="D108" s="31" t="s">
        <v>108</v>
      </c>
      <c r="E108" s="32" t="n">
        <v>2100</v>
      </c>
      <c r="F108" s="32" t="n">
        <v>2500</v>
      </c>
      <c r="G108" s="32" t="n">
        <v>500</v>
      </c>
      <c r="H108" s="33" t="n">
        <v>1</v>
      </c>
      <c r="I108" s="34" t="n">
        <f aca="false">E108*H108+N(F108)+N(G108)</f>
        <v>5100</v>
      </c>
      <c r="J108" s="32" t="n">
        <f aca="false">ROUND(IFERROR(ROUND(IF(OR(ISNUMBER(SEARCH("week",C108)),ISNUMBER(SEARCH("minggu",C108))),IFERROR(_xlfn.NUMBERVALUE(SUBSTITUTE(LEFT(TRIM(C108),FIND(" ",TRIM(C108)&amp;" ")-1),",","."),"."),LEFT(SUBSTITUTE(LEFT(TRIM(C108),FIND(" ",TRIM(C108)&amp;" ")-1),",","."),FIND("/",SUBSTITUTE(LEFT(TRIM(C108),FIND(" ",TRIM(C108)&amp;" ")-1),",","."))-1)/MID(SUBSTITUTE(LEFT(TRIM(C108),FIND(" ",TRIM(C108)&amp;" ")-1),",","."),FIND("/",SUBSTITUTE(LEFT(TRIM(C108),FIND(" ",TRIM(C108)&amp;" ")-1),",","."))+1,9))*12/52,IF(ISNUMBER(SEARCH("month",C108)),IFERROR(_xlfn.NUMBERVALUE(SUBSTITUTE(LEFT(TRIM(C108),FIND(" ",TRIM(C108)&amp;" ")-1),",","."),"."),LEFT(SUBSTITUTE(LEFT(TRIM(C108),FIND(" ",TRIM(C108)&amp;" ")-1),",","."),FIND("/",SUBSTITUTE(LEFT(TRIM(C108),FIND(" ",TRIM(C108)&amp;" ")-1),",","."))-1)/MID(SUBSTITUTE(LEFT(TRIM(C108),FIND(" ",TRIM(C108)&amp;" ")-1),",","."),FIND("/",SUBSTITUTE(LEFT(TRIM(C108),FIND(" ",TRIM(C108)&amp;" ")-1),",","."))+1,9)),IF(ISNUMBER(SEARCH("yea",C108)),IFERROR(_xlfn.NUMBERVALUE(SUBSTITUTE(LEFT(TRIM(C108),FIND(" ",TRIM(C108)&amp;" ")-1),",","."),"."),LEFT(SUBSTITUTE(LEFT(TRIM(C108),FIND(" ",TRIM(C108)&amp;" ")-1),",","."),FIND("/",SUBSTITUTE(LEFT(TRIM(C108),FIND(" ",TRIM(C108)&amp;" ")-1),",","."))-1)/MID(SUBSTITUTE(LEFT(TRIM(C108),FIND(" ",TRIM(C108)&amp;" ")-1),",","."),FIND("/",SUBSTITUTE(LEFT(TRIM(C108),FIND(" ",TRIM(C108)&amp;" ")-1),",","."))+1,9))*12,NA()))),0),36)*'Aturan &amp; Tarif'!$B$4,2)</f>
        <v>2044.08</v>
      </c>
      <c r="K108" s="32" t="n">
        <f aca="false">'Aturan &amp; Tarif'!$B$5</f>
        <v>2050</v>
      </c>
      <c r="L108" s="35" t="n">
        <f aca="false">I108+J108+K108</f>
        <v>9194.08</v>
      </c>
      <c r="M108" s="37" t="s">
        <v>134</v>
      </c>
    </row>
    <row r="109" customFormat="false" ht="48.75" hidden="false" customHeight="true" outlineLevel="0" collapsed="false">
      <c r="A109" s="29"/>
      <c r="B109" s="30" t="s">
        <v>145</v>
      </c>
      <c r="C109" s="31" t="s">
        <v>107</v>
      </c>
      <c r="D109" s="31" t="s">
        <v>108</v>
      </c>
      <c r="E109" s="32" t="n">
        <v>2000</v>
      </c>
      <c r="F109" s="32" t="n">
        <v>1000</v>
      </c>
      <c r="G109" s="32" t="n">
        <v>500</v>
      </c>
      <c r="H109" s="33" t="n">
        <v>1</v>
      </c>
      <c r="I109" s="34" t="n">
        <f aca="false">E109*H109+N(F109)+N(G109)</f>
        <v>3500</v>
      </c>
      <c r="J109" s="32" t="n">
        <f aca="false">ROUND(IFERROR(ROUND(IF(OR(ISNUMBER(SEARCH("week",C109)),ISNUMBER(SEARCH("minggu",C109))),IFERROR(_xlfn.NUMBERVALUE(SUBSTITUTE(LEFT(TRIM(C109),FIND(" ",TRIM(C109)&amp;" ")-1),",","."),"."),LEFT(SUBSTITUTE(LEFT(TRIM(C109),FIND(" ",TRIM(C109)&amp;" ")-1),",","."),FIND("/",SUBSTITUTE(LEFT(TRIM(C109),FIND(" ",TRIM(C109)&amp;" ")-1),",","."))-1)/MID(SUBSTITUTE(LEFT(TRIM(C109),FIND(" ",TRIM(C109)&amp;" ")-1),",","."),FIND("/",SUBSTITUTE(LEFT(TRIM(C109),FIND(" ",TRIM(C109)&amp;" ")-1),",","."))+1,9))*12/52,IF(ISNUMBER(SEARCH("month",C109)),IFERROR(_xlfn.NUMBERVALUE(SUBSTITUTE(LEFT(TRIM(C109),FIND(" ",TRIM(C109)&amp;" ")-1),",","."),"."),LEFT(SUBSTITUTE(LEFT(TRIM(C109),FIND(" ",TRIM(C109)&amp;" ")-1),",","."),FIND("/",SUBSTITUTE(LEFT(TRIM(C109),FIND(" ",TRIM(C109)&amp;" ")-1),",","."))-1)/MID(SUBSTITUTE(LEFT(TRIM(C109),FIND(" ",TRIM(C109)&amp;" ")-1),",","."),FIND("/",SUBSTITUTE(LEFT(TRIM(C109),FIND(" ",TRIM(C109)&amp;" ")-1),",","."))+1,9)),IF(ISNUMBER(SEARCH("yea",C109)),IFERROR(_xlfn.NUMBERVALUE(SUBSTITUTE(LEFT(TRIM(C109),FIND(" ",TRIM(C109)&amp;" ")-1),",","."),"."),LEFT(SUBSTITUTE(LEFT(TRIM(C109),FIND(" ",TRIM(C109)&amp;" ")-1),",","."),FIND("/",SUBSTITUTE(LEFT(TRIM(C109),FIND(" ",TRIM(C109)&amp;" ")-1),",","."))-1)/MID(SUBSTITUTE(LEFT(TRIM(C109),FIND(" ",TRIM(C109)&amp;" ")-1),",","."),FIND("/",SUBSTITUTE(LEFT(TRIM(C109),FIND(" ",TRIM(C109)&amp;" ")-1),",","."))+1,9))*12,NA()))),0),24)*'Aturan &amp; Tarif'!$B$4,2)</f>
        <v>1362.72</v>
      </c>
      <c r="K109" s="32" t="n">
        <f aca="false">'Aturan &amp; Tarif'!$B$5</f>
        <v>2050</v>
      </c>
      <c r="L109" s="35" t="n">
        <f aca="false">I109+J109+K109</f>
        <v>6912.72</v>
      </c>
      <c r="M109" s="37" t="s">
        <v>134</v>
      </c>
    </row>
    <row r="110" customFormat="false" ht="25.5" hidden="false" customHeight="true" outlineLevel="0" collapsed="false">
      <c r="A110" s="29"/>
      <c r="B110" s="30" t="s">
        <v>1893</v>
      </c>
      <c r="C110" s="31" t="s">
        <v>107</v>
      </c>
      <c r="D110" s="31" t="s">
        <v>108</v>
      </c>
      <c r="E110" s="32" t="n">
        <v>2000</v>
      </c>
      <c r="F110" s="32" t="n">
        <v>1500</v>
      </c>
      <c r="G110" s="32" t="n">
        <v>500</v>
      </c>
      <c r="H110" s="33" t="n">
        <v>1</v>
      </c>
      <c r="I110" s="34" t="n">
        <f aca="false">E110*H110+N(F110)+N(G110)</f>
        <v>4000</v>
      </c>
      <c r="J110" s="32" t="n">
        <f aca="false">ROUND(IFERROR(ROUND(IF(OR(ISNUMBER(SEARCH("week",C110)),ISNUMBER(SEARCH("minggu",C110))),IFERROR(_xlfn.NUMBERVALUE(SUBSTITUTE(LEFT(TRIM(C110),FIND(" ",TRIM(C110)&amp;" ")-1),",","."),"."),LEFT(SUBSTITUTE(LEFT(TRIM(C110),FIND(" ",TRIM(C110)&amp;" ")-1),",","."),FIND("/",SUBSTITUTE(LEFT(TRIM(C110),FIND(" ",TRIM(C110)&amp;" ")-1),",","."))-1)/MID(SUBSTITUTE(LEFT(TRIM(C110),FIND(" ",TRIM(C110)&amp;" ")-1),",","."),FIND("/",SUBSTITUTE(LEFT(TRIM(C110),FIND(" ",TRIM(C110)&amp;" ")-1),",","."))+1,9))*12/52,IF(ISNUMBER(SEARCH("month",C110)),IFERROR(_xlfn.NUMBERVALUE(SUBSTITUTE(LEFT(TRIM(C110),FIND(" ",TRIM(C110)&amp;" ")-1),",","."),"."),LEFT(SUBSTITUTE(LEFT(TRIM(C110),FIND(" ",TRIM(C110)&amp;" ")-1),",","."),FIND("/",SUBSTITUTE(LEFT(TRIM(C110),FIND(" ",TRIM(C110)&amp;" ")-1),",","."))-1)/MID(SUBSTITUTE(LEFT(TRIM(C110),FIND(" ",TRIM(C110)&amp;" ")-1),",","."),FIND("/",SUBSTITUTE(LEFT(TRIM(C110),FIND(" ",TRIM(C110)&amp;" ")-1),",","."))+1,9)),IF(ISNUMBER(SEARCH("yea",C110)),IFERROR(_xlfn.NUMBERVALUE(SUBSTITUTE(LEFT(TRIM(C110),FIND(" ",TRIM(C110)&amp;" ")-1),",","."),"."),LEFT(SUBSTITUTE(LEFT(TRIM(C110),FIND(" ",TRIM(C110)&amp;" ")-1),",","."),FIND("/",SUBSTITUTE(LEFT(TRIM(C110),FIND(" ",TRIM(C110)&amp;" ")-1),",","."))-1)/MID(SUBSTITUTE(LEFT(TRIM(C110),FIND(" ",TRIM(C110)&amp;" ")-1),",","."),FIND("/",SUBSTITUTE(LEFT(TRIM(C110),FIND(" ",TRIM(C110)&amp;" ")-1),",","."))+1,9))*12,NA()))),0),24)*'Aturan &amp; Tarif'!$B$4,2)</f>
        <v>1362.72</v>
      </c>
      <c r="K110" s="32" t="n">
        <f aca="false">'Aturan &amp; Tarif'!$B$5</f>
        <v>2050</v>
      </c>
      <c r="L110" s="35" t="n">
        <f aca="false">I110+J110+K110</f>
        <v>7412.72</v>
      </c>
      <c r="M110" s="37" t="s">
        <v>134</v>
      </c>
    </row>
    <row r="111" customFormat="false" ht="60" hidden="false" customHeight="true" outlineLevel="0" collapsed="false">
      <c r="A111" s="29"/>
      <c r="B111" s="30" t="s">
        <v>1894</v>
      </c>
      <c r="C111" s="31" t="s">
        <v>113</v>
      </c>
      <c r="D111" s="31" t="s">
        <v>108</v>
      </c>
      <c r="E111" s="32" t="n">
        <v>2700</v>
      </c>
      <c r="F111" s="32" t="n">
        <v>1500</v>
      </c>
      <c r="G111" s="32" t="n">
        <v>500</v>
      </c>
      <c r="H111" s="33" t="n">
        <v>1</v>
      </c>
      <c r="I111" s="34" t="n">
        <f aca="false">E111*H111+N(F111)+N(G111)</f>
        <v>4700</v>
      </c>
      <c r="J111" s="32" t="n">
        <f aca="false">ROUND(IFERROR(ROUND(IF(OR(ISNUMBER(SEARCH("week",C111)),ISNUMBER(SEARCH("minggu",C111))),IFERROR(_xlfn.NUMBERVALUE(SUBSTITUTE(LEFT(TRIM(C111),FIND(" ",TRIM(C111)&amp;" ")-1),",","."),"."),LEFT(SUBSTITUTE(LEFT(TRIM(C111),FIND(" ",TRIM(C111)&amp;" ")-1),",","."),FIND("/",SUBSTITUTE(LEFT(TRIM(C111),FIND(" ",TRIM(C111)&amp;" ")-1),",","."))-1)/MID(SUBSTITUTE(LEFT(TRIM(C111),FIND(" ",TRIM(C111)&amp;" ")-1),",","."),FIND("/",SUBSTITUTE(LEFT(TRIM(C111),FIND(" ",TRIM(C111)&amp;" ")-1),",","."))+1,9))*12/52,IF(ISNUMBER(SEARCH("month",C111)),IFERROR(_xlfn.NUMBERVALUE(SUBSTITUTE(LEFT(TRIM(C111),FIND(" ",TRIM(C111)&amp;" ")-1),",","."),"."),LEFT(SUBSTITUTE(LEFT(TRIM(C111),FIND(" ",TRIM(C111)&amp;" ")-1),",","."),FIND("/",SUBSTITUTE(LEFT(TRIM(C111),FIND(" ",TRIM(C111)&amp;" ")-1),",","."))-1)/MID(SUBSTITUTE(LEFT(TRIM(C111),FIND(" ",TRIM(C111)&amp;" ")-1),",","."),FIND("/",SUBSTITUTE(LEFT(TRIM(C111),FIND(" ",TRIM(C111)&amp;" ")-1),",","."))+1,9)),IF(ISNUMBER(SEARCH("yea",C111)),IFERROR(_xlfn.NUMBERVALUE(SUBSTITUTE(LEFT(TRIM(C111),FIND(" ",TRIM(C111)&amp;" ")-1),",","."),"."),LEFT(SUBSTITUTE(LEFT(TRIM(C111),FIND(" ",TRIM(C111)&amp;" ")-1),",","."),FIND("/",SUBSTITUTE(LEFT(TRIM(C111),FIND(" ",TRIM(C111)&amp;" ")-1),",","."))-1)/MID(SUBSTITUTE(LEFT(TRIM(C111),FIND(" ",TRIM(C111)&amp;" ")-1),",","."),FIND("/",SUBSTITUTE(LEFT(TRIM(C111),FIND(" ",TRIM(C111)&amp;" ")-1),",","."))+1,9))*12,NA()))),0),18)*'Aturan &amp; Tarif'!$B$4,2)</f>
        <v>1022.04</v>
      </c>
      <c r="K111" s="32" t="n">
        <f aca="false">'Aturan &amp; Tarif'!$B$5</f>
        <v>2050</v>
      </c>
      <c r="L111" s="35" t="n">
        <f aca="false">I111+J111+K111</f>
        <v>7772.04</v>
      </c>
      <c r="M111" s="37" t="s">
        <v>134</v>
      </c>
    </row>
    <row r="112" customFormat="false" ht="14.25" hidden="false" customHeight="true" outlineLevel="0" collapsed="false">
      <c r="A112" s="29" t="s">
        <v>1895</v>
      </c>
      <c r="B112" s="30" t="s">
        <v>3069</v>
      </c>
      <c r="C112" s="31" t="s">
        <v>136</v>
      </c>
      <c r="D112" s="31" t="s">
        <v>108</v>
      </c>
      <c r="E112" s="32" t="n">
        <v>2333</v>
      </c>
      <c r="F112" s="32" t="n">
        <v>1500</v>
      </c>
      <c r="G112" s="32" t="n">
        <v>500</v>
      </c>
      <c r="H112" s="33" t="n">
        <v>1</v>
      </c>
      <c r="I112" s="34" t="n">
        <f aca="false">E112*H112+N(F112)+N(G112)</f>
        <v>4333</v>
      </c>
      <c r="J112" s="32" t="n">
        <f aca="false">ROUND(IFERROR(ROUND(IF(OR(ISNUMBER(SEARCH("week",C112)),ISNUMBER(SEARCH("minggu",C112))),IFERROR(_xlfn.NUMBERVALUE(SUBSTITUTE(LEFT(TRIM(C112),FIND(" ",TRIM(C112)&amp;" ")-1),",","."),"."),LEFT(SUBSTITUTE(LEFT(TRIM(C112),FIND(" ",TRIM(C112)&amp;" ")-1),",","."),FIND("/",SUBSTITUTE(LEFT(TRIM(C112),FIND(" ",TRIM(C112)&amp;" ")-1),",","."))-1)/MID(SUBSTITUTE(LEFT(TRIM(C112),FIND(" ",TRIM(C112)&amp;" ")-1),",","."),FIND("/",SUBSTITUTE(LEFT(TRIM(C112),FIND(" ",TRIM(C112)&amp;" ")-1),",","."))+1,9))*12/52,IF(ISNUMBER(SEARCH("month",C112)),IFERROR(_xlfn.NUMBERVALUE(SUBSTITUTE(LEFT(TRIM(C112),FIND(" ",TRIM(C112)&amp;" ")-1),",","."),"."),LEFT(SUBSTITUTE(LEFT(TRIM(C112),FIND(" ",TRIM(C112)&amp;" ")-1),",","."),FIND("/",SUBSTITUTE(LEFT(TRIM(C112),FIND(" ",TRIM(C112)&amp;" ")-1),",","."))-1)/MID(SUBSTITUTE(LEFT(TRIM(C112),FIND(" ",TRIM(C112)&amp;" ")-1),",","."),FIND("/",SUBSTITUTE(LEFT(TRIM(C112),FIND(" ",TRIM(C112)&amp;" ")-1),",","."))+1,9)),IF(ISNUMBER(SEARCH("yea",C112)),IFERROR(_xlfn.NUMBERVALUE(SUBSTITUTE(LEFT(TRIM(C112),FIND(" ",TRIM(C112)&amp;" ")-1),",","."),"."),LEFT(SUBSTITUTE(LEFT(TRIM(C112),FIND(" ",TRIM(C112)&amp;" ")-1),",","."),FIND("/",SUBSTITUTE(LEFT(TRIM(C112),FIND(" ",TRIM(C112)&amp;" ")-1),",","."))-1)/MID(SUBSTITUTE(LEFT(TRIM(C112),FIND(" ",TRIM(C112)&amp;" ")-1),",","."),FIND("/",SUBSTITUTE(LEFT(TRIM(C112),FIND(" ",TRIM(C112)&amp;" ")-1),",","."))+1,9))*12,NA()))),0),42)*'Aturan &amp; Tarif'!$B$4,2)</f>
        <v>2384.76</v>
      </c>
      <c r="K112" s="32" t="n">
        <f aca="false">'Aturan &amp; Tarif'!$B$5</f>
        <v>2050</v>
      </c>
      <c r="L112" s="35" t="n">
        <f aca="false">I112+J112+K112</f>
        <v>8767.76</v>
      </c>
      <c r="M112" s="36" t="s">
        <v>131</v>
      </c>
    </row>
    <row r="113" customFormat="false" ht="14.25" hidden="false" customHeight="true" outlineLevel="0" collapsed="false">
      <c r="A113" s="29"/>
      <c r="B113" s="30" t="s">
        <v>3070</v>
      </c>
      <c r="C113" s="31" t="s">
        <v>495</v>
      </c>
      <c r="D113" s="31" t="s">
        <v>108</v>
      </c>
      <c r="E113" s="32" t="n">
        <v>2333</v>
      </c>
      <c r="F113" s="32" t="n">
        <v>1500</v>
      </c>
      <c r="G113" s="32" t="n">
        <v>500</v>
      </c>
      <c r="H113" s="33" t="n">
        <v>1</v>
      </c>
      <c r="I113" s="34" t="n">
        <f aca="false">E113*H113+N(F113)+N(G113)</f>
        <v>4333</v>
      </c>
      <c r="J113" s="32" t="n">
        <f aca="false">ROUND(IFERROR(ROUND(IF(OR(ISNUMBER(SEARCH("week",C113)),ISNUMBER(SEARCH("minggu",C113))),IFERROR(_xlfn.NUMBERVALUE(SUBSTITUTE(LEFT(TRIM(C113),FIND(" ",TRIM(C113)&amp;" ")-1),",","."),"."),LEFT(SUBSTITUTE(LEFT(TRIM(C113),FIND(" ",TRIM(C113)&amp;" ")-1),",","."),FIND("/",SUBSTITUTE(LEFT(TRIM(C113),FIND(" ",TRIM(C113)&amp;" ")-1),",","."))-1)/MID(SUBSTITUTE(LEFT(TRIM(C113),FIND(" ",TRIM(C113)&amp;" ")-1),",","."),FIND("/",SUBSTITUTE(LEFT(TRIM(C113),FIND(" ",TRIM(C113)&amp;" ")-1),",","."))+1,9))*12/52,IF(ISNUMBER(SEARCH("month",C113)),IFERROR(_xlfn.NUMBERVALUE(SUBSTITUTE(LEFT(TRIM(C113),FIND(" ",TRIM(C113)&amp;" ")-1),",","."),"."),LEFT(SUBSTITUTE(LEFT(TRIM(C113),FIND(" ",TRIM(C113)&amp;" ")-1),",","."),FIND("/",SUBSTITUTE(LEFT(TRIM(C113),FIND(" ",TRIM(C113)&amp;" ")-1),",","."))-1)/MID(SUBSTITUTE(LEFT(TRIM(C113),FIND(" ",TRIM(C113)&amp;" ")-1),",","."),FIND("/",SUBSTITUTE(LEFT(TRIM(C113),FIND(" ",TRIM(C113)&amp;" ")-1),",","."))+1,9)),IF(ISNUMBER(SEARCH("yea",C113)),IFERROR(_xlfn.NUMBERVALUE(SUBSTITUTE(LEFT(TRIM(C113),FIND(" ",TRIM(C113)&amp;" ")-1),",","."),"."),LEFT(SUBSTITUTE(LEFT(TRIM(C113),FIND(" ",TRIM(C113)&amp;" ")-1),",","."),FIND("/",SUBSTITUTE(LEFT(TRIM(C113),FIND(" ",TRIM(C113)&amp;" ")-1),",","."))-1)/MID(SUBSTITUTE(LEFT(TRIM(C113),FIND(" ",TRIM(C113)&amp;" ")-1),",","."),FIND("/",SUBSTITUTE(LEFT(TRIM(C113),FIND(" ",TRIM(C113)&amp;" ")-1),",","."))+1,9))*12,NA()))),0),54)*'Aturan &amp; Tarif'!$B$4,2)</f>
        <v>3066.12</v>
      </c>
      <c r="K113" s="32" t="n">
        <f aca="false">'Aturan &amp; Tarif'!$B$5</f>
        <v>2050</v>
      </c>
      <c r="L113" s="35" t="n">
        <f aca="false">I113+J113+K113</f>
        <v>9449.12</v>
      </c>
      <c r="M113" s="36" t="s">
        <v>131</v>
      </c>
    </row>
    <row r="114" customFormat="false" ht="25.5" hidden="false" customHeight="true" outlineLevel="0" collapsed="false">
      <c r="A114" s="29"/>
      <c r="B114" s="30" t="s">
        <v>496</v>
      </c>
      <c r="C114" s="31" t="s">
        <v>107</v>
      </c>
      <c r="D114" s="31" t="s">
        <v>108</v>
      </c>
      <c r="E114" s="32" t="n">
        <v>1500</v>
      </c>
      <c r="F114" s="32" t="n">
        <v>500</v>
      </c>
      <c r="G114" s="32" t="n">
        <v>500</v>
      </c>
      <c r="H114" s="33" t="n">
        <v>1</v>
      </c>
      <c r="I114" s="34" t="n">
        <f aca="false">E114*H114+N(F114)+N(G114)</f>
        <v>2500</v>
      </c>
      <c r="J114" s="32" t="n">
        <f aca="false">ROUND(IFERROR(ROUND(IF(OR(ISNUMBER(SEARCH("week",C114)),ISNUMBER(SEARCH("minggu",C114))),IFERROR(_xlfn.NUMBERVALUE(SUBSTITUTE(LEFT(TRIM(C114),FIND(" ",TRIM(C114)&amp;" ")-1),",","."),"."),LEFT(SUBSTITUTE(LEFT(TRIM(C114),FIND(" ",TRIM(C114)&amp;" ")-1),",","."),FIND("/",SUBSTITUTE(LEFT(TRIM(C114),FIND(" ",TRIM(C114)&amp;" ")-1),",","."))-1)/MID(SUBSTITUTE(LEFT(TRIM(C114),FIND(" ",TRIM(C114)&amp;" ")-1),",","."),FIND("/",SUBSTITUTE(LEFT(TRIM(C114),FIND(" ",TRIM(C114)&amp;" ")-1),",","."))+1,9))*12/52,IF(ISNUMBER(SEARCH("month",C114)),IFERROR(_xlfn.NUMBERVALUE(SUBSTITUTE(LEFT(TRIM(C114),FIND(" ",TRIM(C114)&amp;" ")-1),",","."),"."),LEFT(SUBSTITUTE(LEFT(TRIM(C114),FIND(" ",TRIM(C114)&amp;" ")-1),",","."),FIND("/",SUBSTITUTE(LEFT(TRIM(C114),FIND(" ",TRIM(C114)&amp;" ")-1),",","."))-1)/MID(SUBSTITUTE(LEFT(TRIM(C114),FIND(" ",TRIM(C114)&amp;" ")-1),",","."),FIND("/",SUBSTITUTE(LEFT(TRIM(C114),FIND(" ",TRIM(C114)&amp;" ")-1),",","."))+1,9)),IF(ISNUMBER(SEARCH("yea",C114)),IFERROR(_xlfn.NUMBERVALUE(SUBSTITUTE(LEFT(TRIM(C114),FIND(" ",TRIM(C114)&amp;" ")-1),",","."),"."),LEFT(SUBSTITUTE(LEFT(TRIM(C114),FIND(" ",TRIM(C114)&amp;" ")-1),",","."),FIND("/",SUBSTITUTE(LEFT(TRIM(C114),FIND(" ",TRIM(C114)&amp;" ")-1),",","."))-1)/MID(SUBSTITUTE(LEFT(TRIM(C114),FIND(" ",TRIM(C114)&amp;" ")-1),",","."),FIND("/",SUBSTITUTE(LEFT(TRIM(C114),FIND(" ",TRIM(C114)&amp;" ")-1),",","."))+1,9))*12,NA()))),0),24)*'Aturan &amp; Tarif'!$B$4,2)</f>
        <v>1362.72</v>
      </c>
      <c r="K114" s="32" t="n">
        <f aca="false">'Aturan &amp; Tarif'!$B$5</f>
        <v>2050</v>
      </c>
      <c r="L114" s="35" t="n">
        <f aca="false">I114+J114+K114</f>
        <v>5912.72</v>
      </c>
      <c r="M114" s="37" t="s">
        <v>134</v>
      </c>
    </row>
    <row r="115" customFormat="false" ht="14.25" hidden="false" customHeight="true" outlineLevel="0" collapsed="false">
      <c r="A115" s="29"/>
      <c r="B115" s="30" t="s">
        <v>1993</v>
      </c>
      <c r="C115" s="31" t="s">
        <v>136</v>
      </c>
      <c r="D115" s="31" t="s">
        <v>108</v>
      </c>
      <c r="E115" s="32" t="n">
        <v>1500</v>
      </c>
      <c r="F115" s="32" t="n">
        <v>500</v>
      </c>
      <c r="G115" s="32" t="n">
        <v>500</v>
      </c>
      <c r="H115" s="33" t="n">
        <v>1</v>
      </c>
      <c r="I115" s="34" t="n">
        <f aca="false">E115*H115+N(F115)+N(G115)</f>
        <v>2500</v>
      </c>
      <c r="J115" s="32" t="n">
        <f aca="false">ROUND(IFERROR(ROUND(IF(OR(ISNUMBER(SEARCH("week",C115)),ISNUMBER(SEARCH("minggu",C115))),IFERROR(_xlfn.NUMBERVALUE(SUBSTITUTE(LEFT(TRIM(C115),FIND(" ",TRIM(C115)&amp;" ")-1),",","."),"."),LEFT(SUBSTITUTE(LEFT(TRIM(C115),FIND(" ",TRIM(C115)&amp;" ")-1),",","."),FIND("/",SUBSTITUTE(LEFT(TRIM(C115),FIND(" ",TRIM(C115)&amp;" ")-1),",","."))-1)/MID(SUBSTITUTE(LEFT(TRIM(C115),FIND(" ",TRIM(C115)&amp;" ")-1),",","."),FIND("/",SUBSTITUTE(LEFT(TRIM(C115),FIND(" ",TRIM(C115)&amp;" ")-1),",","."))+1,9))*12/52,IF(ISNUMBER(SEARCH("month",C115)),IFERROR(_xlfn.NUMBERVALUE(SUBSTITUTE(LEFT(TRIM(C115),FIND(" ",TRIM(C115)&amp;" ")-1),",","."),"."),LEFT(SUBSTITUTE(LEFT(TRIM(C115),FIND(" ",TRIM(C115)&amp;" ")-1),",","."),FIND("/",SUBSTITUTE(LEFT(TRIM(C115),FIND(" ",TRIM(C115)&amp;" ")-1),",","."))-1)/MID(SUBSTITUTE(LEFT(TRIM(C115),FIND(" ",TRIM(C115)&amp;" ")-1),",","."),FIND("/",SUBSTITUTE(LEFT(TRIM(C115),FIND(" ",TRIM(C115)&amp;" ")-1),",","."))+1,9)),IF(ISNUMBER(SEARCH("yea",C115)),IFERROR(_xlfn.NUMBERVALUE(SUBSTITUTE(LEFT(TRIM(C115),FIND(" ",TRIM(C115)&amp;" ")-1),",","."),"."),LEFT(SUBSTITUTE(LEFT(TRIM(C115),FIND(" ",TRIM(C115)&amp;" ")-1),",","."),FIND("/",SUBSTITUTE(LEFT(TRIM(C115),FIND(" ",TRIM(C115)&amp;" ")-1),",","."))-1)/MID(SUBSTITUTE(LEFT(TRIM(C115),FIND(" ",TRIM(C115)&amp;" ")-1),",","."),FIND("/",SUBSTITUTE(LEFT(TRIM(C115),FIND(" ",TRIM(C115)&amp;" ")-1),",","."))+1,9))*12,NA()))),0),42)*'Aturan &amp; Tarif'!$B$4,2)</f>
        <v>2384.76</v>
      </c>
      <c r="K115" s="32" t="n">
        <f aca="false">'Aturan &amp; Tarif'!$B$5</f>
        <v>2050</v>
      </c>
      <c r="L115" s="35" t="n">
        <f aca="false">I115+J115+K115</f>
        <v>6934.76</v>
      </c>
      <c r="M115" s="37" t="s">
        <v>134</v>
      </c>
    </row>
    <row r="116" customFormat="false" ht="48.75" hidden="false" customHeight="true" outlineLevel="0" collapsed="false">
      <c r="A116" s="29"/>
      <c r="B116" s="30" t="s">
        <v>498</v>
      </c>
      <c r="C116" s="31" t="s">
        <v>107</v>
      </c>
      <c r="D116" s="31" t="s">
        <v>108</v>
      </c>
      <c r="E116" s="32" t="n">
        <v>2250</v>
      </c>
      <c r="F116" s="32" t="n">
        <v>1000</v>
      </c>
      <c r="G116" s="32" t="n">
        <v>500</v>
      </c>
      <c r="H116" s="33" t="n">
        <v>1</v>
      </c>
      <c r="I116" s="34" t="n">
        <f aca="false">E116*H116+N(F116)+N(G116)</f>
        <v>3750</v>
      </c>
      <c r="J116" s="32" t="n">
        <f aca="false">ROUND(IFERROR(ROUND(IF(OR(ISNUMBER(SEARCH("week",C116)),ISNUMBER(SEARCH("minggu",C116))),IFERROR(_xlfn.NUMBERVALUE(SUBSTITUTE(LEFT(TRIM(C116),FIND(" ",TRIM(C116)&amp;" ")-1),",","."),"."),LEFT(SUBSTITUTE(LEFT(TRIM(C116),FIND(" ",TRIM(C116)&amp;" ")-1),",","."),FIND("/",SUBSTITUTE(LEFT(TRIM(C116),FIND(" ",TRIM(C116)&amp;" ")-1),",","."))-1)/MID(SUBSTITUTE(LEFT(TRIM(C116),FIND(" ",TRIM(C116)&amp;" ")-1),",","."),FIND("/",SUBSTITUTE(LEFT(TRIM(C116),FIND(" ",TRIM(C116)&amp;" ")-1),",","."))+1,9))*12/52,IF(ISNUMBER(SEARCH("month",C116)),IFERROR(_xlfn.NUMBERVALUE(SUBSTITUTE(LEFT(TRIM(C116),FIND(" ",TRIM(C116)&amp;" ")-1),",","."),"."),LEFT(SUBSTITUTE(LEFT(TRIM(C116),FIND(" ",TRIM(C116)&amp;" ")-1),",","."),FIND("/",SUBSTITUTE(LEFT(TRIM(C116),FIND(" ",TRIM(C116)&amp;" ")-1),",","."))-1)/MID(SUBSTITUTE(LEFT(TRIM(C116),FIND(" ",TRIM(C116)&amp;" ")-1),",","."),FIND("/",SUBSTITUTE(LEFT(TRIM(C116),FIND(" ",TRIM(C116)&amp;" ")-1),",","."))+1,9)),IF(ISNUMBER(SEARCH("yea",C116)),IFERROR(_xlfn.NUMBERVALUE(SUBSTITUTE(LEFT(TRIM(C116),FIND(" ",TRIM(C116)&amp;" ")-1),",","."),"."),LEFT(SUBSTITUTE(LEFT(TRIM(C116),FIND(" ",TRIM(C116)&amp;" ")-1),",","."),FIND("/",SUBSTITUTE(LEFT(TRIM(C116),FIND(" ",TRIM(C116)&amp;" ")-1),",","."))-1)/MID(SUBSTITUTE(LEFT(TRIM(C116),FIND(" ",TRIM(C116)&amp;" ")-1),",","."),FIND("/",SUBSTITUTE(LEFT(TRIM(C116),FIND(" ",TRIM(C116)&amp;" ")-1),",","."))+1,9))*12,NA()))),0),24)*'Aturan &amp; Tarif'!$B$4,2)</f>
        <v>1362.72</v>
      </c>
      <c r="K116" s="32" t="n">
        <f aca="false">'Aturan &amp; Tarif'!$B$5</f>
        <v>2050</v>
      </c>
      <c r="L116" s="35" t="n">
        <f aca="false">I116+J116+K116</f>
        <v>7162.72</v>
      </c>
      <c r="M116" s="37" t="s">
        <v>134</v>
      </c>
    </row>
    <row r="117" customFormat="false" ht="14.25" hidden="false" customHeight="true" outlineLevel="0" collapsed="false">
      <c r="A117" s="29"/>
      <c r="B117" s="30" t="s">
        <v>499</v>
      </c>
      <c r="C117" s="31" t="s">
        <v>107</v>
      </c>
      <c r="D117" s="31" t="s">
        <v>108</v>
      </c>
      <c r="E117" s="32" t="n">
        <v>2250</v>
      </c>
      <c r="F117" s="32" t="n">
        <v>1000</v>
      </c>
      <c r="G117" s="32" t="n">
        <v>500</v>
      </c>
      <c r="H117" s="33" t="n">
        <v>1</v>
      </c>
      <c r="I117" s="34" t="n">
        <f aca="false">E117*H117+N(F117)+N(G117)</f>
        <v>3750</v>
      </c>
      <c r="J117" s="32" t="n">
        <f aca="false">ROUND(IFERROR(ROUND(IF(OR(ISNUMBER(SEARCH("week",C117)),ISNUMBER(SEARCH("minggu",C117))),IFERROR(_xlfn.NUMBERVALUE(SUBSTITUTE(LEFT(TRIM(C117),FIND(" ",TRIM(C117)&amp;" ")-1),",","."),"."),LEFT(SUBSTITUTE(LEFT(TRIM(C117),FIND(" ",TRIM(C117)&amp;" ")-1),",","."),FIND("/",SUBSTITUTE(LEFT(TRIM(C117),FIND(" ",TRIM(C117)&amp;" ")-1),",","."))-1)/MID(SUBSTITUTE(LEFT(TRIM(C117),FIND(" ",TRIM(C117)&amp;" ")-1),",","."),FIND("/",SUBSTITUTE(LEFT(TRIM(C117),FIND(" ",TRIM(C117)&amp;" ")-1),",","."))+1,9))*12/52,IF(ISNUMBER(SEARCH("month",C117)),IFERROR(_xlfn.NUMBERVALUE(SUBSTITUTE(LEFT(TRIM(C117),FIND(" ",TRIM(C117)&amp;" ")-1),",","."),"."),LEFT(SUBSTITUTE(LEFT(TRIM(C117),FIND(" ",TRIM(C117)&amp;" ")-1),",","."),FIND("/",SUBSTITUTE(LEFT(TRIM(C117),FIND(" ",TRIM(C117)&amp;" ")-1),",","."))-1)/MID(SUBSTITUTE(LEFT(TRIM(C117),FIND(" ",TRIM(C117)&amp;" ")-1),",","."),FIND("/",SUBSTITUTE(LEFT(TRIM(C117),FIND(" ",TRIM(C117)&amp;" ")-1),",","."))+1,9)),IF(ISNUMBER(SEARCH("yea",C117)),IFERROR(_xlfn.NUMBERVALUE(SUBSTITUTE(LEFT(TRIM(C117),FIND(" ",TRIM(C117)&amp;" ")-1),",","."),"."),LEFT(SUBSTITUTE(LEFT(TRIM(C117),FIND(" ",TRIM(C117)&amp;" ")-1),",","."),FIND("/",SUBSTITUTE(LEFT(TRIM(C117),FIND(" ",TRIM(C117)&amp;" ")-1),",","."))-1)/MID(SUBSTITUTE(LEFT(TRIM(C117),FIND(" ",TRIM(C117)&amp;" ")-1),",","."),FIND("/",SUBSTITUTE(LEFT(TRIM(C117),FIND(" ",TRIM(C117)&amp;" ")-1),",","."))+1,9))*12,NA()))),0),24)*'Aturan &amp; Tarif'!$B$4,2)</f>
        <v>1362.72</v>
      </c>
      <c r="K117" s="32" t="n">
        <f aca="false">'Aturan &amp; Tarif'!$B$5</f>
        <v>2050</v>
      </c>
      <c r="L117" s="35" t="n">
        <f aca="false">I117+J117+K117</f>
        <v>7162.72</v>
      </c>
      <c r="M117" s="37" t="s">
        <v>134</v>
      </c>
    </row>
    <row r="118" customFormat="false" ht="48.75" hidden="false" customHeight="true" outlineLevel="0" collapsed="false">
      <c r="A118" s="29"/>
      <c r="B118" s="30" t="s">
        <v>500</v>
      </c>
      <c r="C118" s="31" t="s">
        <v>107</v>
      </c>
      <c r="D118" s="31" t="s">
        <v>108</v>
      </c>
      <c r="E118" s="32" t="n">
        <v>2250</v>
      </c>
      <c r="F118" s="32" t="n">
        <v>1000</v>
      </c>
      <c r="G118" s="32" t="n">
        <v>500</v>
      </c>
      <c r="H118" s="33" t="n">
        <v>1</v>
      </c>
      <c r="I118" s="34" t="n">
        <f aca="false">E118*H118+N(F118)+N(G118)</f>
        <v>3750</v>
      </c>
      <c r="J118" s="32" t="n">
        <f aca="false">ROUND(IFERROR(ROUND(IF(OR(ISNUMBER(SEARCH("week",C118)),ISNUMBER(SEARCH("minggu",C118))),IFERROR(_xlfn.NUMBERVALUE(SUBSTITUTE(LEFT(TRIM(C118),FIND(" ",TRIM(C118)&amp;" ")-1),",","."),"."),LEFT(SUBSTITUTE(LEFT(TRIM(C118),FIND(" ",TRIM(C118)&amp;" ")-1),",","."),FIND("/",SUBSTITUTE(LEFT(TRIM(C118),FIND(" ",TRIM(C118)&amp;" ")-1),",","."))-1)/MID(SUBSTITUTE(LEFT(TRIM(C118),FIND(" ",TRIM(C118)&amp;" ")-1),",","."),FIND("/",SUBSTITUTE(LEFT(TRIM(C118),FIND(" ",TRIM(C118)&amp;" ")-1),",","."))+1,9))*12/52,IF(ISNUMBER(SEARCH("month",C118)),IFERROR(_xlfn.NUMBERVALUE(SUBSTITUTE(LEFT(TRIM(C118),FIND(" ",TRIM(C118)&amp;" ")-1),",","."),"."),LEFT(SUBSTITUTE(LEFT(TRIM(C118),FIND(" ",TRIM(C118)&amp;" ")-1),",","."),FIND("/",SUBSTITUTE(LEFT(TRIM(C118),FIND(" ",TRIM(C118)&amp;" ")-1),",","."))-1)/MID(SUBSTITUTE(LEFT(TRIM(C118),FIND(" ",TRIM(C118)&amp;" ")-1),",","."),FIND("/",SUBSTITUTE(LEFT(TRIM(C118),FIND(" ",TRIM(C118)&amp;" ")-1),",","."))+1,9)),IF(ISNUMBER(SEARCH("yea",C118)),IFERROR(_xlfn.NUMBERVALUE(SUBSTITUTE(LEFT(TRIM(C118),FIND(" ",TRIM(C118)&amp;" ")-1),",","."),"."),LEFT(SUBSTITUTE(LEFT(TRIM(C118),FIND(" ",TRIM(C118)&amp;" ")-1),",","."),FIND("/",SUBSTITUTE(LEFT(TRIM(C118),FIND(" ",TRIM(C118)&amp;" ")-1),",","."))-1)/MID(SUBSTITUTE(LEFT(TRIM(C118),FIND(" ",TRIM(C118)&amp;" ")-1),",","."),FIND("/",SUBSTITUTE(LEFT(TRIM(C118),FIND(" ",TRIM(C118)&amp;" ")-1),",","."))+1,9))*12,NA()))),0),24)*'Aturan &amp; Tarif'!$B$4,2)</f>
        <v>1362.72</v>
      </c>
      <c r="K118" s="32" t="n">
        <f aca="false">'Aturan &amp; Tarif'!$B$5</f>
        <v>2050</v>
      </c>
      <c r="L118" s="35" t="n">
        <f aca="false">I118+J118+K118</f>
        <v>7162.72</v>
      </c>
      <c r="M118" s="37" t="s">
        <v>134</v>
      </c>
    </row>
    <row r="119" customFormat="false" ht="14.25" hidden="false" customHeight="true" outlineLevel="0" collapsed="false">
      <c r="A119" s="29"/>
      <c r="B119" s="30" t="s">
        <v>501</v>
      </c>
      <c r="C119" s="31" t="s">
        <v>107</v>
      </c>
      <c r="D119" s="31" t="s">
        <v>108</v>
      </c>
      <c r="E119" s="32" t="n">
        <v>2250</v>
      </c>
      <c r="F119" s="32" t="n">
        <v>1000</v>
      </c>
      <c r="G119" s="32" t="n">
        <v>500</v>
      </c>
      <c r="H119" s="33" t="n">
        <v>1</v>
      </c>
      <c r="I119" s="34" t="n">
        <f aca="false">E119*H119+N(F119)+N(G119)</f>
        <v>3750</v>
      </c>
      <c r="J119" s="32" t="n">
        <f aca="false">ROUND(IFERROR(ROUND(IF(OR(ISNUMBER(SEARCH("week",C119)),ISNUMBER(SEARCH("minggu",C119))),IFERROR(_xlfn.NUMBERVALUE(SUBSTITUTE(LEFT(TRIM(C119),FIND(" ",TRIM(C119)&amp;" ")-1),",","."),"."),LEFT(SUBSTITUTE(LEFT(TRIM(C119),FIND(" ",TRIM(C119)&amp;" ")-1),",","."),FIND("/",SUBSTITUTE(LEFT(TRIM(C119),FIND(" ",TRIM(C119)&amp;" ")-1),",","."))-1)/MID(SUBSTITUTE(LEFT(TRIM(C119),FIND(" ",TRIM(C119)&amp;" ")-1),",","."),FIND("/",SUBSTITUTE(LEFT(TRIM(C119),FIND(" ",TRIM(C119)&amp;" ")-1),",","."))+1,9))*12/52,IF(ISNUMBER(SEARCH("month",C119)),IFERROR(_xlfn.NUMBERVALUE(SUBSTITUTE(LEFT(TRIM(C119),FIND(" ",TRIM(C119)&amp;" ")-1),",","."),"."),LEFT(SUBSTITUTE(LEFT(TRIM(C119),FIND(" ",TRIM(C119)&amp;" ")-1),",","."),FIND("/",SUBSTITUTE(LEFT(TRIM(C119),FIND(" ",TRIM(C119)&amp;" ")-1),",","."))-1)/MID(SUBSTITUTE(LEFT(TRIM(C119),FIND(" ",TRIM(C119)&amp;" ")-1),",","."),FIND("/",SUBSTITUTE(LEFT(TRIM(C119),FIND(" ",TRIM(C119)&amp;" ")-1),",","."))+1,9)),IF(ISNUMBER(SEARCH("yea",C119)),IFERROR(_xlfn.NUMBERVALUE(SUBSTITUTE(LEFT(TRIM(C119),FIND(" ",TRIM(C119)&amp;" ")-1),",","."),"."),LEFT(SUBSTITUTE(LEFT(TRIM(C119),FIND(" ",TRIM(C119)&amp;" ")-1),",","."),FIND("/",SUBSTITUTE(LEFT(TRIM(C119),FIND(" ",TRIM(C119)&amp;" ")-1),",","."))-1)/MID(SUBSTITUTE(LEFT(TRIM(C119),FIND(" ",TRIM(C119)&amp;" ")-1),",","."),FIND("/",SUBSTITUTE(LEFT(TRIM(C119),FIND(" ",TRIM(C119)&amp;" ")-1),",","."))+1,9))*12,NA()))),0),24)*'Aturan &amp; Tarif'!$B$4,2)</f>
        <v>1362.72</v>
      </c>
      <c r="K119" s="32" t="n">
        <f aca="false">'Aturan &amp; Tarif'!$B$5</f>
        <v>2050</v>
      </c>
      <c r="L119" s="35" t="n">
        <f aca="false">I119+J119+K119</f>
        <v>7162.72</v>
      </c>
      <c r="M119" s="37" t="s">
        <v>134</v>
      </c>
    </row>
    <row r="120" customFormat="false" ht="25.5" hidden="false" customHeight="true" outlineLevel="0" collapsed="false">
      <c r="A120" s="29"/>
      <c r="B120" s="30" t="s">
        <v>502</v>
      </c>
      <c r="C120" s="31" t="s">
        <v>107</v>
      </c>
      <c r="D120" s="31" t="s">
        <v>108</v>
      </c>
      <c r="E120" s="32" t="n">
        <v>2000</v>
      </c>
      <c r="F120" s="32" t="n">
        <v>1500</v>
      </c>
      <c r="G120" s="32" t="n">
        <v>500</v>
      </c>
      <c r="H120" s="33" t="n">
        <v>1</v>
      </c>
      <c r="I120" s="34" t="n">
        <f aca="false">E120*H120+N(F120)+N(G120)</f>
        <v>4000</v>
      </c>
      <c r="J120" s="32" t="n">
        <f aca="false">ROUND(IFERROR(ROUND(IF(OR(ISNUMBER(SEARCH("week",C120)),ISNUMBER(SEARCH("minggu",C120))),IFERROR(_xlfn.NUMBERVALUE(SUBSTITUTE(LEFT(TRIM(C120),FIND(" ",TRIM(C120)&amp;" ")-1),",","."),"."),LEFT(SUBSTITUTE(LEFT(TRIM(C120),FIND(" ",TRIM(C120)&amp;" ")-1),",","."),FIND("/",SUBSTITUTE(LEFT(TRIM(C120),FIND(" ",TRIM(C120)&amp;" ")-1),",","."))-1)/MID(SUBSTITUTE(LEFT(TRIM(C120),FIND(" ",TRIM(C120)&amp;" ")-1),",","."),FIND("/",SUBSTITUTE(LEFT(TRIM(C120),FIND(" ",TRIM(C120)&amp;" ")-1),",","."))+1,9))*12/52,IF(ISNUMBER(SEARCH("month",C120)),IFERROR(_xlfn.NUMBERVALUE(SUBSTITUTE(LEFT(TRIM(C120),FIND(" ",TRIM(C120)&amp;" ")-1),",","."),"."),LEFT(SUBSTITUTE(LEFT(TRIM(C120),FIND(" ",TRIM(C120)&amp;" ")-1),",","."),FIND("/",SUBSTITUTE(LEFT(TRIM(C120),FIND(" ",TRIM(C120)&amp;" ")-1),",","."))-1)/MID(SUBSTITUTE(LEFT(TRIM(C120),FIND(" ",TRIM(C120)&amp;" ")-1),",","."),FIND("/",SUBSTITUTE(LEFT(TRIM(C120),FIND(" ",TRIM(C120)&amp;" ")-1),",","."))+1,9)),IF(ISNUMBER(SEARCH("yea",C120)),IFERROR(_xlfn.NUMBERVALUE(SUBSTITUTE(LEFT(TRIM(C120),FIND(" ",TRIM(C120)&amp;" ")-1),",","."),"."),LEFT(SUBSTITUTE(LEFT(TRIM(C120),FIND(" ",TRIM(C120)&amp;" ")-1),",","."),FIND("/",SUBSTITUTE(LEFT(TRIM(C120),FIND(" ",TRIM(C120)&amp;" ")-1),",","."))-1)/MID(SUBSTITUTE(LEFT(TRIM(C120),FIND(" ",TRIM(C120)&amp;" ")-1),",","."),FIND("/",SUBSTITUTE(LEFT(TRIM(C120),FIND(" ",TRIM(C120)&amp;" ")-1),",","."))+1,9))*12,NA()))),0),24)*'Aturan &amp; Tarif'!$B$4,2)</f>
        <v>1362.72</v>
      </c>
      <c r="K120" s="32" t="n">
        <f aca="false">'Aturan &amp; Tarif'!$B$5</f>
        <v>2050</v>
      </c>
      <c r="L120" s="35" t="n">
        <f aca="false">I120+J120+K120</f>
        <v>7412.72</v>
      </c>
      <c r="M120" s="37" t="s">
        <v>134</v>
      </c>
    </row>
    <row r="121" customFormat="false" ht="25.5" hidden="false" customHeight="true" outlineLevel="0" collapsed="false">
      <c r="A121" s="39" t="s">
        <v>1896</v>
      </c>
      <c r="B121" s="40" t="s">
        <v>1561</v>
      </c>
      <c r="C121" s="41" t="s">
        <v>107</v>
      </c>
      <c r="D121" s="41" t="s">
        <v>108</v>
      </c>
      <c r="E121" s="42" t="n">
        <v>2875</v>
      </c>
      <c r="F121" s="42" t="n">
        <v>1200</v>
      </c>
      <c r="G121" s="42" t="n">
        <v>300</v>
      </c>
      <c r="H121" s="43" t="n">
        <v>1</v>
      </c>
      <c r="I121" s="34" t="n">
        <f aca="false">E121*H121+N(F121)+N(G121)</f>
        <v>4375</v>
      </c>
      <c r="J121" s="42" t="n">
        <f aca="false">ROUND(IFERROR(ROUND(IF(OR(ISNUMBER(SEARCH("week",C121)),ISNUMBER(SEARCH("minggu",C121))),IFERROR(_xlfn.NUMBERVALUE(SUBSTITUTE(LEFT(TRIM(C121),FIND(" ",TRIM(C121)&amp;" ")-1),",","."),"."),LEFT(SUBSTITUTE(LEFT(TRIM(C121),FIND(" ",TRIM(C121)&amp;" ")-1),",","."),FIND("/",SUBSTITUTE(LEFT(TRIM(C121),FIND(" ",TRIM(C121)&amp;" ")-1),",","."))-1)/MID(SUBSTITUTE(LEFT(TRIM(C121),FIND(" ",TRIM(C121)&amp;" ")-1),",","."),FIND("/",SUBSTITUTE(LEFT(TRIM(C121),FIND(" ",TRIM(C121)&amp;" ")-1),",","."))+1,9))*12/52,IF(ISNUMBER(SEARCH("month",C121)),IFERROR(_xlfn.NUMBERVALUE(SUBSTITUTE(LEFT(TRIM(C121),FIND(" ",TRIM(C121)&amp;" ")-1),",","."),"."),LEFT(SUBSTITUTE(LEFT(TRIM(C121),FIND(" ",TRIM(C121)&amp;" ")-1),",","."),FIND("/",SUBSTITUTE(LEFT(TRIM(C121),FIND(" ",TRIM(C121)&amp;" ")-1),",","."))-1)/MID(SUBSTITUTE(LEFT(TRIM(C121),FIND(" ",TRIM(C121)&amp;" ")-1),",","."),FIND("/",SUBSTITUTE(LEFT(TRIM(C121),FIND(" ",TRIM(C121)&amp;" ")-1),",","."))+1,9)),IF(ISNUMBER(SEARCH("yea",C121)),IFERROR(_xlfn.NUMBERVALUE(SUBSTITUTE(LEFT(TRIM(C121),FIND(" ",TRIM(C121)&amp;" ")-1),",","."),"."),LEFT(SUBSTITUTE(LEFT(TRIM(C121),FIND(" ",TRIM(C121)&amp;" ")-1),",","."),FIND("/",SUBSTITUTE(LEFT(TRIM(C121),FIND(" ",TRIM(C121)&amp;" ")-1),",","."))-1)/MID(SUBSTITUTE(LEFT(TRIM(C121),FIND(" ",TRIM(C121)&amp;" ")-1),",","."),FIND("/",SUBSTITUTE(LEFT(TRIM(C121),FIND(" ",TRIM(C121)&amp;" ")-1),",","."))+1,9))*12,NA()))),0),24)*'Aturan &amp; Tarif'!$B$4,2)</f>
        <v>1362.72</v>
      </c>
      <c r="K121" s="42" t="n">
        <f aca="false">'Aturan &amp; Tarif'!$B$5</f>
        <v>2050</v>
      </c>
      <c r="L121" s="35" t="n">
        <f aca="false">I121+J121+K121</f>
        <v>7787.72</v>
      </c>
      <c r="M121" s="45" t="s">
        <v>1564</v>
      </c>
    </row>
    <row r="122" customFormat="false" ht="25.5" hidden="false" customHeight="true" outlineLevel="0" collapsed="false">
      <c r="A122" s="39"/>
      <c r="B122" s="40" t="s">
        <v>1565</v>
      </c>
      <c r="C122" s="41" t="s">
        <v>138</v>
      </c>
      <c r="D122" s="41" t="s">
        <v>108</v>
      </c>
      <c r="E122" s="42" t="n">
        <v>2600</v>
      </c>
      <c r="F122" s="42" t="n">
        <v>1200</v>
      </c>
      <c r="G122" s="42" t="n">
        <v>300</v>
      </c>
      <c r="H122" s="43" t="n">
        <v>1</v>
      </c>
      <c r="I122" s="34" t="n">
        <f aca="false">E122*H122+N(F122)+N(G122)</f>
        <v>4100</v>
      </c>
      <c r="J122" s="42" t="n">
        <f aca="false">ROUND(IFERROR(ROUND(IF(OR(ISNUMBER(SEARCH("week",C122)),ISNUMBER(SEARCH("minggu",C122))),IFERROR(_xlfn.NUMBERVALUE(SUBSTITUTE(LEFT(TRIM(C122),FIND(" ",TRIM(C122)&amp;" ")-1),",","."),"."),LEFT(SUBSTITUTE(LEFT(TRIM(C122),FIND(" ",TRIM(C122)&amp;" ")-1),",","."),FIND("/",SUBSTITUTE(LEFT(TRIM(C122),FIND(" ",TRIM(C122)&amp;" ")-1),",","."))-1)/MID(SUBSTITUTE(LEFT(TRIM(C122),FIND(" ",TRIM(C122)&amp;" ")-1),",","."),FIND("/",SUBSTITUTE(LEFT(TRIM(C122),FIND(" ",TRIM(C122)&amp;" ")-1),",","."))+1,9))*12/52,IF(ISNUMBER(SEARCH("month",C122)),IFERROR(_xlfn.NUMBERVALUE(SUBSTITUTE(LEFT(TRIM(C122),FIND(" ",TRIM(C122)&amp;" ")-1),",","."),"."),LEFT(SUBSTITUTE(LEFT(TRIM(C122),FIND(" ",TRIM(C122)&amp;" ")-1),",","."),FIND("/",SUBSTITUTE(LEFT(TRIM(C122),FIND(" ",TRIM(C122)&amp;" ")-1),",","."))-1)/MID(SUBSTITUTE(LEFT(TRIM(C122),FIND(" ",TRIM(C122)&amp;" ")-1),",","."),FIND("/",SUBSTITUTE(LEFT(TRIM(C122),FIND(" ",TRIM(C122)&amp;" ")-1),",","."))+1,9)),IF(ISNUMBER(SEARCH("yea",C122)),IFERROR(_xlfn.NUMBERVALUE(SUBSTITUTE(LEFT(TRIM(C122),FIND(" ",TRIM(C122)&amp;" ")-1),",","."),"."),LEFT(SUBSTITUTE(LEFT(TRIM(C122),FIND(" ",TRIM(C122)&amp;" ")-1),",","."),FIND("/",SUBSTITUTE(LEFT(TRIM(C122),FIND(" ",TRIM(C122)&amp;" ")-1),",","."))-1)/MID(SUBSTITUTE(LEFT(TRIM(C122),FIND(" ",TRIM(C122)&amp;" ")-1),",","."),FIND("/",SUBSTITUTE(LEFT(TRIM(C122),FIND(" ",TRIM(C122)&amp;" ")-1),",","."))+1,9))*12,NA()))),0),30)*'Aturan &amp; Tarif'!$B$4,2)</f>
        <v>1703.4</v>
      </c>
      <c r="K122" s="42" t="n">
        <f aca="false">'Aturan &amp; Tarif'!$B$5</f>
        <v>2050</v>
      </c>
      <c r="L122" s="35" t="n">
        <f aca="false">I122+J122+K122</f>
        <v>7853.4</v>
      </c>
      <c r="M122" s="45" t="s">
        <v>1564</v>
      </c>
    </row>
    <row r="123" customFormat="false" ht="72" hidden="false" customHeight="true" outlineLevel="0" collapsed="false">
      <c r="A123" s="39"/>
      <c r="B123" s="40" t="s">
        <v>1569</v>
      </c>
      <c r="C123" s="41" t="s">
        <v>107</v>
      </c>
      <c r="D123" s="41" t="s">
        <v>108</v>
      </c>
      <c r="E123" s="42" t="n">
        <v>1715</v>
      </c>
      <c r="F123" s="42" t="n">
        <v>950</v>
      </c>
      <c r="G123" s="42" t="n">
        <v>300</v>
      </c>
      <c r="H123" s="43" t="n">
        <v>1</v>
      </c>
      <c r="I123" s="34" t="n">
        <f aca="false">E123*H123+N(F123)+N(G123)</f>
        <v>2965</v>
      </c>
      <c r="J123" s="42" t="n">
        <f aca="false">ROUND(IFERROR(ROUND(IF(OR(ISNUMBER(SEARCH("week",C123)),ISNUMBER(SEARCH("minggu",C123))),IFERROR(_xlfn.NUMBERVALUE(SUBSTITUTE(LEFT(TRIM(C123),FIND(" ",TRIM(C123)&amp;" ")-1),",","."),"."),LEFT(SUBSTITUTE(LEFT(TRIM(C123),FIND(" ",TRIM(C123)&amp;" ")-1),",","."),FIND("/",SUBSTITUTE(LEFT(TRIM(C123),FIND(" ",TRIM(C123)&amp;" ")-1),",","."))-1)/MID(SUBSTITUTE(LEFT(TRIM(C123),FIND(" ",TRIM(C123)&amp;" ")-1),",","."),FIND("/",SUBSTITUTE(LEFT(TRIM(C123),FIND(" ",TRIM(C123)&amp;" ")-1),",","."))+1,9))*12/52,IF(ISNUMBER(SEARCH("month",C123)),IFERROR(_xlfn.NUMBERVALUE(SUBSTITUTE(LEFT(TRIM(C123),FIND(" ",TRIM(C123)&amp;" ")-1),",","."),"."),LEFT(SUBSTITUTE(LEFT(TRIM(C123),FIND(" ",TRIM(C123)&amp;" ")-1),",","."),FIND("/",SUBSTITUTE(LEFT(TRIM(C123),FIND(" ",TRIM(C123)&amp;" ")-1),",","."))-1)/MID(SUBSTITUTE(LEFT(TRIM(C123),FIND(" ",TRIM(C123)&amp;" ")-1),",","."),FIND("/",SUBSTITUTE(LEFT(TRIM(C123),FIND(" ",TRIM(C123)&amp;" ")-1),",","."))+1,9)),IF(ISNUMBER(SEARCH("yea",C123)),IFERROR(_xlfn.NUMBERVALUE(SUBSTITUTE(LEFT(TRIM(C123),FIND(" ",TRIM(C123)&amp;" ")-1),",","."),"."),LEFT(SUBSTITUTE(LEFT(TRIM(C123),FIND(" ",TRIM(C123)&amp;" ")-1),",","."),FIND("/",SUBSTITUTE(LEFT(TRIM(C123),FIND(" ",TRIM(C123)&amp;" ")-1),",","."))-1)/MID(SUBSTITUTE(LEFT(TRIM(C123),FIND(" ",TRIM(C123)&amp;" ")-1),",","."),FIND("/",SUBSTITUTE(LEFT(TRIM(C123),FIND(" ",TRIM(C123)&amp;" ")-1),",","."))+1,9))*12,NA()))),0),24)*'Aturan &amp; Tarif'!$B$4,2)</f>
        <v>1362.72</v>
      </c>
      <c r="K123" s="42" t="n">
        <f aca="false">'Aturan &amp; Tarif'!$B$5</f>
        <v>2050</v>
      </c>
      <c r="L123" s="35" t="n">
        <f aca="false">I123+J123+K123</f>
        <v>6377.72</v>
      </c>
      <c r="M123" s="45" t="s">
        <v>1564</v>
      </c>
    </row>
    <row r="124" customFormat="false" ht="25.5" hidden="false" customHeight="true" outlineLevel="0" collapsed="false">
      <c r="A124" s="39"/>
      <c r="B124" s="40" t="s">
        <v>1575</v>
      </c>
      <c r="C124" s="41" t="s">
        <v>107</v>
      </c>
      <c r="D124" s="41" t="s">
        <v>108</v>
      </c>
      <c r="E124" s="42" t="n">
        <v>3200</v>
      </c>
      <c r="F124" s="42" t="n">
        <v>1000</v>
      </c>
      <c r="G124" s="42" t="n">
        <v>300</v>
      </c>
      <c r="H124" s="43" t="n">
        <v>1</v>
      </c>
      <c r="I124" s="34" t="n">
        <f aca="false">E124*H124+N(F124)+N(G124)</f>
        <v>4500</v>
      </c>
      <c r="J124" s="42" t="n">
        <f aca="false">ROUND(IFERROR(ROUND(IF(OR(ISNUMBER(SEARCH("week",C124)),ISNUMBER(SEARCH("minggu",C124))),IFERROR(_xlfn.NUMBERVALUE(SUBSTITUTE(LEFT(TRIM(C124),FIND(" ",TRIM(C124)&amp;" ")-1),",","."),"."),LEFT(SUBSTITUTE(LEFT(TRIM(C124),FIND(" ",TRIM(C124)&amp;" ")-1),",","."),FIND("/",SUBSTITUTE(LEFT(TRIM(C124),FIND(" ",TRIM(C124)&amp;" ")-1),",","."))-1)/MID(SUBSTITUTE(LEFT(TRIM(C124),FIND(" ",TRIM(C124)&amp;" ")-1),",","."),FIND("/",SUBSTITUTE(LEFT(TRIM(C124),FIND(" ",TRIM(C124)&amp;" ")-1),",","."))+1,9))*12/52,IF(ISNUMBER(SEARCH("month",C124)),IFERROR(_xlfn.NUMBERVALUE(SUBSTITUTE(LEFT(TRIM(C124),FIND(" ",TRIM(C124)&amp;" ")-1),",","."),"."),LEFT(SUBSTITUTE(LEFT(TRIM(C124),FIND(" ",TRIM(C124)&amp;" ")-1),",","."),FIND("/",SUBSTITUTE(LEFT(TRIM(C124),FIND(" ",TRIM(C124)&amp;" ")-1),",","."))-1)/MID(SUBSTITUTE(LEFT(TRIM(C124),FIND(" ",TRIM(C124)&amp;" ")-1),",","."),FIND("/",SUBSTITUTE(LEFT(TRIM(C124),FIND(" ",TRIM(C124)&amp;" ")-1),",","."))+1,9)),IF(ISNUMBER(SEARCH("yea",C124)),IFERROR(_xlfn.NUMBERVALUE(SUBSTITUTE(LEFT(TRIM(C124),FIND(" ",TRIM(C124)&amp;" ")-1),",","."),"."),LEFT(SUBSTITUTE(LEFT(TRIM(C124),FIND(" ",TRIM(C124)&amp;" ")-1),",","."),FIND("/",SUBSTITUTE(LEFT(TRIM(C124),FIND(" ",TRIM(C124)&amp;" ")-1),",","."))-1)/MID(SUBSTITUTE(LEFT(TRIM(C124),FIND(" ",TRIM(C124)&amp;" ")-1),",","."),FIND("/",SUBSTITUTE(LEFT(TRIM(C124),FIND(" ",TRIM(C124)&amp;" ")-1),",","."))+1,9))*12,NA()))),0),24)*'Aturan &amp; Tarif'!$B$4,2)</f>
        <v>1362.72</v>
      </c>
      <c r="K124" s="42" t="n">
        <f aca="false">'Aturan &amp; Tarif'!$B$5</f>
        <v>2050</v>
      </c>
      <c r="L124" s="35" t="n">
        <f aca="false">I124+J124+K124</f>
        <v>7912.72</v>
      </c>
      <c r="M124" s="45" t="s">
        <v>1564</v>
      </c>
    </row>
    <row r="125" customFormat="false" ht="14.25" hidden="false" customHeight="true" outlineLevel="0" collapsed="false">
      <c r="A125" s="39"/>
      <c r="B125" s="40" t="s">
        <v>1170</v>
      </c>
      <c r="C125" s="41" t="s">
        <v>107</v>
      </c>
      <c r="D125" s="41" t="s">
        <v>108</v>
      </c>
      <c r="E125" s="42" t="n">
        <v>1540</v>
      </c>
      <c r="F125" s="42"/>
      <c r="G125" s="42" t="n">
        <v>300</v>
      </c>
      <c r="H125" s="43" t="n">
        <v>1</v>
      </c>
      <c r="I125" s="34" t="n">
        <f aca="false">E125*H125+N(F125)+N(G125)</f>
        <v>1840</v>
      </c>
      <c r="J125" s="42" t="n">
        <f aca="false">ROUND(IFERROR(ROUND(IF(OR(ISNUMBER(SEARCH("week",C125)),ISNUMBER(SEARCH("minggu",C125))),IFERROR(_xlfn.NUMBERVALUE(SUBSTITUTE(LEFT(TRIM(C125),FIND(" ",TRIM(C125)&amp;" ")-1),",","."),"."),LEFT(SUBSTITUTE(LEFT(TRIM(C125),FIND(" ",TRIM(C125)&amp;" ")-1),",","."),FIND("/",SUBSTITUTE(LEFT(TRIM(C125),FIND(" ",TRIM(C125)&amp;" ")-1),",","."))-1)/MID(SUBSTITUTE(LEFT(TRIM(C125),FIND(" ",TRIM(C125)&amp;" ")-1),",","."),FIND("/",SUBSTITUTE(LEFT(TRIM(C125),FIND(" ",TRIM(C125)&amp;" ")-1),",","."))+1,9))*12/52,IF(ISNUMBER(SEARCH("month",C125)),IFERROR(_xlfn.NUMBERVALUE(SUBSTITUTE(LEFT(TRIM(C125),FIND(" ",TRIM(C125)&amp;" ")-1),",","."),"."),LEFT(SUBSTITUTE(LEFT(TRIM(C125),FIND(" ",TRIM(C125)&amp;" ")-1),",","."),FIND("/",SUBSTITUTE(LEFT(TRIM(C125),FIND(" ",TRIM(C125)&amp;" ")-1),",","."))-1)/MID(SUBSTITUTE(LEFT(TRIM(C125),FIND(" ",TRIM(C125)&amp;" ")-1),",","."),FIND("/",SUBSTITUTE(LEFT(TRIM(C125),FIND(" ",TRIM(C125)&amp;" ")-1),",","."))+1,9)),IF(ISNUMBER(SEARCH("yea",C125)),IFERROR(_xlfn.NUMBERVALUE(SUBSTITUTE(LEFT(TRIM(C125),FIND(" ",TRIM(C125)&amp;" ")-1),",","."),"."),LEFT(SUBSTITUTE(LEFT(TRIM(C125),FIND(" ",TRIM(C125)&amp;" ")-1),",","."),FIND("/",SUBSTITUTE(LEFT(TRIM(C125),FIND(" ",TRIM(C125)&amp;" ")-1),",","."))-1)/MID(SUBSTITUTE(LEFT(TRIM(C125),FIND(" ",TRIM(C125)&amp;" ")-1),",","."),FIND("/",SUBSTITUTE(LEFT(TRIM(C125),FIND(" ",TRIM(C125)&amp;" ")-1),",","."))+1,9))*12,NA()))),0),24)*'Aturan &amp; Tarif'!$B$4,2)</f>
        <v>1362.72</v>
      </c>
      <c r="K125" s="42" t="n">
        <f aca="false">'Aturan &amp; Tarif'!$B$5</f>
        <v>2050</v>
      </c>
      <c r="L125" s="35" t="n">
        <f aca="false">I125+J125+K125</f>
        <v>5252.72</v>
      </c>
      <c r="M125" s="45" t="s">
        <v>1578</v>
      </c>
    </row>
    <row r="126" customFormat="false" ht="14.25" hidden="false" customHeight="true" outlineLevel="0" collapsed="false">
      <c r="A126" s="39" t="s">
        <v>1898</v>
      </c>
      <c r="B126" s="40" t="s">
        <v>471</v>
      </c>
      <c r="C126" s="41" t="s">
        <v>107</v>
      </c>
      <c r="D126" s="41" t="s">
        <v>108</v>
      </c>
      <c r="E126" s="42" t="n">
        <v>2500</v>
      </c>
      <c r="F126" s="42" t="n">
        <v>375</v>
      </c>
      <c r="G126" s="42" t="n">
        <v>200</v>
      </c>
      <c r="H126" s="43" t="n">
        <v>1</v>
      </c>
      <c r="I126" s="34" t="n">
        <f aca="false">E126*H126+N(F126)+N(G126)</f>
        <v>3075</v>
      </c>
      <c r="J126" s="42" t="n">
        <f aca="false">ROUND(IFERROR(ROUND(IF(OR(ISNUMBER(SEARCH("week",C126)),ISNUMBER(SEARCH("minggu",C126))),IFERROR(_xlfn.NUMBERVALUE(SUBSTITUTE(LEFT(TRIM(C126),FIND(" ",TRIM(C126)&amp;" ")-1),",","."),"."),LEFT(SUBSTITUTE(LEFT(TRIM(C126),FIND(" ",TRIM(C126)&amp;" ")-1),",","."),FIND("/",SUBSTITUTE(LEFT(TRIM(C126),FIND(" ",TRIM(C126)&amp;" ")-1),",","."))-1)/MID(SUBSTITUTE(LEFT(TRIM(C126),FIND(" ",TRIM(C126)&amp;" ")-1),",","."),FIND("/",SUBSTITUTE(LEFT(TRIM(C126),FIND(" ",TRIM(C126)&amp;" ")-1),",","."))+1,9))*12/52,IF(ISNUMBER(SEARCH("month",C126)),IFERROR(_xlfn.NUMBERVALUE(SUBSTITUTE(LEFT(TRIM(C126),FIND(" ",TRIM(C126)&amp;" ")-1),",","."),"."),LEFT(SUBSTITUTE(LEFT(TRIM(C126),FIND(" ",TRIM(C126)&amp;" ")-1),",","."),FIND("/",SUBSTITUTE(LEFT(TRIM(C126),FIND(" ",TRIM(C126)&amp;" ")-1),",","."))-1)/MID(SUBSTITUTE(LEFT(TRIM(C126),FIND(" ",TRIM(C126)&amp;" ")-1),",","."),FIND("/",SUBSTITUTE(LEFT(TRIM(C126),FIND(" ",TRIM(C126)&amp;" ")-1),",","."))+1,9)),IF(ISNUMBER(SEARCH("yea",C126)),IFERROR(_xlfn.NUMBERVALUE(SUBSTITUTE(LEFT(TRIM(C126),FIND(" ",TRIM(C126)&amp;" ")-1),",","."),"."),LEFT(SUBSTITUTE(LEFT(TRIM(C126),FIND(" ",TRIM(C126)&amp;" ")-1),",","."),FIND("/",SUBSTITUTE(LEFT(TRIM(C126),FIND(" ",TRIM(C126)&amp;" ")-1),",","."))-1)/MID(SUBSTITUTE(LEFT(TRIM(C126),FIND(" ",TRIM(C126)&amp;" ")-1),",","."),FIND("/",SUBSTITUTE(LEFT(TRIM(C126),FIND(" ",TRIM(C126)&amp;" ")-1),",","."))+1,9))*12,NA()))),0),24)*'Aturan &amp; Tarif'!$B$4,2)</f>
        <v>1362.72</v>
      </c>
      <c r="K126" s="42" t="n">
        <f aca="false">'Aturan &amp; Tarif'!$B$5</f>
        <v>2050</v>
      </c>
      <c r="L126" s="35" t="n">
        <f aca="false">I126+J126+K126</f>
        <v>6487.72</v>
      </c>
      <c r="M126" s="45" t="s">
        <v>134</v>
      </c>
    </row>
    <row r="127" customFormat="false" ht="25.5" hidden="false" customHeight="true" outlineLevel="0" collapsed="false">
      <c r="A127" s="39"/>
      <c r="B127" s="40" t="s">
        <v>1899</v>
      </c>
      <c r="C127" s="41" t="s">
        <v>130</v>
      </c>
      <c r="D127" s="41" t="s">
        <v>108</v>
      </c>
      <c r="E127" s="42" t="n">
        <v>2500</v>
      </c>
      <c r="F127" s="42" t="n">
        <v>250</v>
      </c>
      <c r="G127" s="42" t="n">
        <v>200</v>
      </c>
      <c r="H127" s="43" t="n">
        <v>1</v>
      </c>
      <c r="I127" s="34" t="n">
        <f aca="false">E127*H127+N(F127)+N(G127)</f>
        <v>2950</v>
      </c>
      <c r="J127" s="42" t="n">
        <f aca="false">ROUND(IFERROR(ROUND(IF(OR(ISNUMBER(SEARCH("week",C127)),ISNUMBER(SEARCH("minggu",C127))),IFERROR(_xlfn.NUMBERVALUE(SUBSTITUTE(LEFT(TRIM(C127),FIND(" ",TRIM(C127)&amp;" ")-1),",","."),"."),LEFT(SUBSTITUTE(LEFT(TRIM(C127),FIND(" ",TRIM(C127)&amp;" ")-1),",","."),FIND("/",SUBSTITUTE(LEFT(TRIM(C127),FIND(" ",TRIM(C127)&amp;" ")-1),",","."))-1)/MID(SUBSTITUTE(LEFT(TRIM(C127),FIND(" ",TRIM(C127)&amp;" ")-1),",","."),FIND("/",SUBSTITUTE(LEFT(TRIM(C127),FIND(" ",TRIM(C127)&amp;" ")-1),",","."))+1,9))*12/52,IF(ISNUMBER(SEARCH("month",C127)),IFERROR(_xlfn.NUMBERVALUE(SUBSTITUTE(LEFT(TRIM(C127),FIND(" ",TRIM(C127)&amp;" ")-1),",","."),"."),LEFT(SUBSTITUTE(LEFT(TRIM(C127),FIND(" ",TRIM(C127)&amp;" ")-1),",","."),FIND("/",SUBSTITUTE(LEFT(TRIM(C127),FIND(" ",TRIM(C127)&amp;" ")-1),",","."))-1)/MID(SUBSTITUTE(LEFT(TRIM(C127),FIND(" ",TRIM(C127)&amp;" ")-1),",","."),FIND("/",SUBSTITUTE(LEFT(TRIM(C127),FIND(" ",TRIM(C127)&amp;" ")-1),",","."))+1,9)),IF(ISNUMBER(SEARCH("yea",C127)),IFERROR(_xlfn.NUMBERVALUE(SUBSTITUTE(LEFT(TRIM(C127),FIND(" ",TRIM(C127)&amp;" ")-1),",","."),"."),LEFT(SUBSTITUTE(LEFT(TRIM(C127),FIND(" ",TRIM(C127)&amp;" ")-1),",","."),FIND("/",SUBSTITUTE(LEFT(TRIM(C127),FIND(" ",TRIM(C127)&amp;" ")-1),",","."))-1)/MID(SUBSTITUTE(LEFT(TRIM(C127),FIND(" ",TRIM(C127)&amp;" ")-1),",","."),FIND("/",SUBSTITUTE(LEFT(TRIM(C127),FIND(" ",TRIM(C127)&amp;" ")-1),",","."))+1,9))*12,NA()))),0),12)*'Aturan &amp; Tarif'!$B$4,2)</f>
        <v>681.36</v>
      </c>
      <c r="K127" s="42" t="n">
        <f aca="false">'Aturan &amp; Tarif'!$B$5</f>
        <v>2050</v>
      </c>
      <c r="L127" s="35" t="n">
        <f aca="false">I127+J127+K127</f>
        <v>5681.36</v>
      </c>
      <c r="M127" s="45" t="s">
        <v>134</v>
      </c>
    </row>
    <row r="128" customFormat="false" ht="25.5" hidden="false" customHeight="true" outlineLevel="0" collapsed="false">
      <c r="A128" s="39"/>
      <c r="B128" s="40" t="s">
        <v>1900</v>
      </c>
      <c r="C128" s="41" t="s">
        <v>130</v>
      </c>
      <c r="D128" s="41" t="s">
        <v>108</v>
      </c>
      <c r="E128" s="42" t="n">
        <v>2500</v>
      </c>
      <c r="F128" s="42" t="n">
        <v>250</v>
      </c>
      <c r="G128" s="42" t="n">
        <v>200</v>
      </c>
      <c r="H128" s="43" t="n">
        <v>1</v>
      </c>
      <c r="I128" s="34" t="n">
        <f aca="false">E128*H128+N(F128)+N(G128)</f>
        <v>2950</v>
      </c>
      <c r="J128" s="42" t="n">
        <f aca="false">ROUND(IFERROR(ROUND(IF(OR(ISNUMBER(SEARCH("week",C128)),ISNUMBER(SEARCH("minggu",C128))),IFERROR(_xlfn.NUMBERVALUE(SUBSTITUTE(LEFT(TRIM(C128),FIND(" ",TRIM(C128)&amp;" ")-1),",","."),"."),LEFT(SUBSTITUTE(LEFT(TRIM(C128),FIND(" ",TRIM(C128)&amp;" ")-1),",","."),FIND("/",SUBSTITUTE(LEFT(TRIM(C128),FIND(" ",TRIM(C128)&amp;" ")-1),",","."))-1)/MID(SUBSTITUTE(LEFT(TRIM(C128),FIND(" ",TRIM(C128)&amp;" ")-1),",","."),FIND("/",SUBSTITUTE(LEFT(TRIM(C128),FIND(" ",TRIM(C128)&amp;" ")-1),",","."))+1,9))*12/52,IF(ISNUMBER(SEARCH("month",C128)),IFERROR(_xlfn.NUMBERVALUE(SUBSTITUTE(LEFT(TRIM(C128),FIND(" ",TRIM(C128)&amp;" ")-1),",","."),"."),LEFT(SUBSTITUTE(LEFT(TRIM(C128),FIND(" ",TRIM(C128)&amp;" ")-1),",","."),FIND("/",SUBSTITUTE(LEFT(TRIM(C128),FIND(" ",TRIM(C128)&amp;" ")-1),",","."))-1)/MID(SUBSTITUTE(LEFT(TRIM(C128),FIND(" ",TRIM(C128)&amp;" ")-1),",","."),FIND("/",SUBSTITUTE(LEFT(TRIM(C128),FIND(" ",TRIM(C128)&amp;" ")-1),",","."))+1,9)),IF(ISNUMBER(SEARCH("yea",C128)),IFERROR(_xlfn.NUMBERVALUE(SUBSTITUTE(LEFT(TRIM(C128),FIND(" ",TRIM(C128)&amp;" ")-1),",","."),"."),LEFT(SUBSTITUTE(LEFT(TRIM(C128),FIND(" ",TRIM(C128)&amp;" ")-1),",","."),FIND("/",SUBSTITUTE(LEFT(TRIM(C128),FIND(" ",TRIM(C128)&amp;" ")-1),",","."))-1)/MID(SUBSTITUTE(LEFT(TRIM(C128),FIND(" ",TRIM(C128)&amp;" ")-1),",","."),FIND("/",SUBSTITUTE(LEFT(TRIM(C128),FIND(" ",TRIM(C128)&amp;" ")-1),",","."))+1,9))*12,NA()))),0),12)*'Aturan &amp; Tarif'!$B$4,2)</f>
        <v>681.36</v>
      </c>
      <c r="K128" s="42" t="n">
        <f aca="false">'Aturan &amp; Tarif'!$B$5</f>
        <v>2050</v>
      </c>
      <c r="L128" s="35" t="n">
        <f aca="false">I128+J128+K128</f>
        <v>5681.36</v>
      </c>
      <c r="M128" s="45" t="s">
        <v>134</v>
      </c>
    </row>
    <row r="129" customFormat="false" ht="14.25" hidden="false" customHeight="true" outlineLevel="0" collapsed="false">
      <c r="A129" s="39"/>
      <c r="B129" s="40" t="s">
        <v>1901</v>
      </c>
      <c r="C129" s="41" t="s">
        <v>107</v>
      </c>
      <c r="D129" s="41" t="s">
        <v>108</v>
      </c>
      <c r="E129" s="42" t="n">
        <v>2250</v>
      </c>
      <c r="F129" s="42" t="n">
        <v>500</v>
      </c>
      <c r="G129" s="42" t="n">
        <v>200</v>
      </c>
      <c r="H129" s="43" t="n">
        <v>1</v>
      </c>
      <c r="I129" s="34" t="n">
        <f aca="false">E129*H129+N(F129)+N(G129)</f>
        <v>2950</v>
      </c>
      <c r="J129" s="42" t="n">
        <f aca="false">ROUND(IFERROR(ROUND(IF(OR(ISNUMBER(SEARCH("week",C129)),ISNUMBER(SEARCH("minggu",C129))),IFERROR(_xlfn.NUMBERVALUE(SUBSTITUTE(LEFT(TRIM(C129),FIND(" ",TRIM(C129)&amp;" ")-1),",","."),"."),LEFT(SUBSTITUTE(LEFT(TRIM(C129),FIND(" ",TRIM(C129)&amp;" ")-1),",","."),FIND("/",SUBSTITUTE(LEFT(TRIM(C129),FIND(" ",TRIM(C129)&amp;" ")-1),",","."))-1)/MID(SUBSTITUTE(LEFT(TRIM(C129),FIND(" ",TRIM(C129)&amp;" ")-1),",","."),FIND("/",SUBSTITUTE(LEFT(TRIM(C129),FIND(" ",TRIM(C129)&amp;" ")-1),",","."))+1,9))*12/52,IF(ISNUMBER(SEARCH("month",C129)),IFERROR(_xlfn.NUMBERVALUE(SUBSTITUTE(LEFT(TRIM(C129),FIND(" ",TRIM(C129)&amp;" ")-1),",","."),"."),LEFT(SUBSTITUTE(LEFT(TRIM(C129),FIND(" ",TRIM(C129)&amp;" ")-1),",","."),FIND("/",SUBSTITUTE(LEFT(TRIM(C129),FIND(" ",TRIM(C129)&amp;" ")-1),",","."))-1)/MID(SUBSTITUTE(LEFT(TRIM(C129),FIND(" ",TRIM(C129)&amp;" ")-1),",","."),FIND("/",SUBSTITUTE(LEFT(TRIM(C129),FIND(" ",TRIM(C129)&amp;" ")-1),",","."))+1,9)),IF(ISNUMBER(SEARCH("yea",C129)),IFERROR(_xlfn.NUMBERVALUE(SUBSTITUTE(LEFT(TRIM(C129),FIND(" ",TRIM(C129)&amp;" ")-1),",","."),"."),LEFT(SUBSTITUTE(LEFT(TRIM(C129),FIND(" ",TRIM(C129)&amp;" ")-1),",","."),FIND("/",SUBSTITUTE(LEFT(TRIM(C129),FIND(" ",TRIM(C129)&amp;" ")-1),",","."))-1)/MID(SUBSTITUTE(LEFT(TRIM(C129),FIND(" ",TRIM(C129)&amp;" ")-1),",","."),FIND("/",SUBSTITUTE(LEFT(TRIM(C129),FIND(" ",TRIM(C129)&amp;" ")-1),",","."))+1,9))*12,NA()))),0),24)*'Aturan &amp; Tarif'!$B$4,2)</f>
        <v>1362.72</v>
      </c>
      <c r="K129" s="42" t="n">
        <f aca="false">'Aturan &amp; Tarif'!$B$5</f>
        <v>2050</v>
      </c>
      <c r="L129" s="35" t="n">
        <f aca="false">I129+J129+K129</f>
        <v>6362.72</v>
      </c>
      <c r="M129" s="45" t="s">
        <v>134</v>
      </c>
    </row>
    <row r="130" customFormat="false" ht="25.5" hidden="false" customHeight="true" outlineLevel="0" collapsed="false">
      <c r="A130" s="39"/>
      <c r="B130" s="40" t="s">
        <v>1902</v>
      </c>
      <c r="C130" s="41" t="s">
        <v>127</v>
      </c>
      <c r="D130" s="41" t="s">
        <v>108</v>
      </c>
      <c r="E130" s="42" t="n">
        <v>2500</v>
      </c>
      <c r="F130" s="42" t="n">
        <v>375</v>
      </c>
      <c r="G130" s="42" t="n">
        <v>200</v>
      </c>
      <c r="H130" s="43" t="n">
        <v>1</v>
      </c>
      <c r="I130" s="34" t="n">
        <f aca="false">E130*H130+N(F130)+N(G130)</f>
        <v>3075</v>
      </c>
      <c r="J130" s="42" t="n">
        <f aca="false">ROUND(IFERROR(ROUND(IF(OR(ISNUMBER(SEARCH("week",C130)),ISNUMBER(SEARCH("minggu",C130))),IFERROR(_xlfn.NUMBERVALUE(SUBSTITUTE(LEFT(TRIM(C130),FIND(" ",TRIM(C130)&amp;" ")-1),",","."),"."),LEFT(SUBSTITUTE(LEFT(TRIM(C130),FIND(" ",TRIM(C130)&amp;" ")-1),",","."),FIND("/",SUBSTITUTE(LEFT(TRIM(C130),FIND(" ",TRIM(C130)&amp;" ")-1),",","."))-1)/MID(SUBSTITUTE(LEFT(TRIM(C130),FIND(" ",TRIM(C130)&amp;" ")-1),",","."),FIND("/",SUBSTITUTE(LEFT(TRIM(C130),FIND(" ",TRIM(C130)&amp;" ")-1),",","."))+1,9))*12/52,IF(ISNUMBER(SEARCH("month",C130)),IFERROR(_xlfn.NUMBERVALUE(SUBSTITUTE(LEFT(TRIM(C130),FIND(" ",TRIM(C130)&amp;" ")-1),",","."),"."),LEFT(SUBSTITUTE(LEFT(TRIM(C130),FIND(" ",TRIM(C130)&amp;" ")-1),",","."),FIND("/",SUBSTITUTE(LEFT(TRIM(C130),FIND(" ",TRIM(C130)&amp;" ")-1),",","."))-1)/MID(SUBSTITUTE(LEFT(TRIM(C130),FIND(" ",TRIM(C130)&amp;" ")-1),",","."),FIND("/",SUBSTITUTE(LEFT(TRIM(C130),FIND(" ",TRIM(C130)&amp;" ")-1),",","."))+1,9)),IF(ISNUMBER(SEARCH("yea",C130)),IFERROR(_xlfn.NUMBERVALUE(SUBSTITUTE(LEFT(TRIM(C130),FIND(" ",TRIM(C130)&amp;" ")-1),",","."),"."),LEFT(SUBSTITUTE(LEFT(TRIM(C130),FIND(" ",TRIM(C130)&amp;" ")-1),",","."),FIND("/",SUBSTITUTE(LEFT(TRIM(C130),FIND(" ",TRIM(C130)&amp;" ")-1),",","."))-1)/MID(SUBSTITUTE(LEFT(TRIM(C130),FIND(" ",TRIM(C130)&amp;" ")-1),",","."),FIND("/",SUBSTITUTE(LEFT(TRIM(C130),FIND(" ",TRIM(C130)&amp;" ")-1),",","."))+1,9))*12,NA()))),0),36)*'Aturan &amp; Tarif'!$B$4,2)</f>
        <v>2044.08</v>
      </c>
      <c r="K130" s="42" t="n">
        <f aca="false">'Aturan &amp; Tarif'!$B$5</f>
        <v>2050</v>
      </c>
      <c r="L130" s="35" t="n">
        <f aca="false">I130+J130+K130</f>
        <v>7169.08</v>
      </c>
      <c r="M130" s="45" t="s">
        <v>134</v>
      </c>
    </row>
    <row r="131" customFormat="false" ht="25.5" hidden="false" customHeight="true" outlineLevel="0" collapsed="false">
      <c r="A131" s="39"/>
      <c r="B131" s="40" t="s">
        <v>143</v>
      </c>
      <c r="C131" s="41" t="s">
        <v>127</v>
      </c>
      <c r="D131" s="41" t="s">
        <v>108</v>
      </c>
      <c r="E131" s="42" t="n">
        <v>2500</v>
      </c>
      <c r="F131" s="42" t="n">
        <v>375</v>
      </c>
      <c r="G131" s="42" t="n">
        <v>200</v>
      </c>
      <c r="H131" s="43" t="n">
        <v>1</v>
      </c>
      <c r="I131" s="34" t="n">
        <f aca="false">E131*H131+N(F131)+N(G131)</f>
        <v>3075</v>
      </c>
      <c r="J131" s="42" t="n">
        <f aca="false">ROUND(IFERROR(ROUND(IF(OR(ISNUMBER(SEARCH("week",C131)),ISNUMBER(SEARCH("minggu",C131))),IFERROR(_xlfn.NUMBERVALUE(SUBSTITUTE(LEFT(TRIM(C131),FIND(" ",TRIM(C131)&amp;" ")-1),",","."),"."),LEFT(SUBSTITUTE(LEFT(TRIM(C131),FIND(" ",TRIM(C131)&amp;" ")-1),",","."),FIND("/",SUBSTITUTE(LEFT(TRIM(C131),FIND(" ",TRIM(C131)&amp;" ")-1),",","."))-1)/MID(SUBSTITUTE(LEFT(TRIM(C131),FIND(" ",TRIM(C131)&amp;" ")-1),",","."),FIND("/",SUBSTITUTE(LEFT(TRIM(C131),FIND(" ",TRIM(C131)&amp;" ")-1),",","."))+1,9))*12/52,IF(ISNUMBER(SEARCH("month",C131)),IFERROR(_xlfn.NUMBERVALUE(SUBSTITUTE(LEFT(TRIM(C131),FIND(" ",TRIM(C131)&amp;" ")-1),",","."),"."),LEFT(SUBSTITUTE(LEFT(TRIM(C131),FIND(" ",TRIM(C131)&amp;" ")-1),",","."),FIND("/",SUBSTITUTE(LEFT(TRIM(C131),FIND(" ",TRIM(C131)&amp;" ")-1),",","."))-1)/MID(SUBSTITUTE(LEFT(TRIM(C131),FIND(" ",TRIM(C131)&amp;" ")-1),",","."),FIND("/",SUBSTITUTE(LEFT(TRIM(C131),FIND(" ",TRIM(C131)&amp;" ")-1),",","."))+1,9)),IF(ISNUMBER(SEARCH("yea",C131)),IFERROR(_xlfn.NUMBERVALUE(SUBSTITUTE(LEFT(TRIM(C131),FIND(" ",TRIM(C131)&amp;" ")-1),",","."),"."),LEFT(SUBSTITUTE(LEFT(TRIM(C131),FIND(" ",TRIM(C131)&amp;" ")-1),",","."),FIND("/",SUBSTITUTE(LEFT(TRIM(C131),FIND(" ",TRIM(C131)&amp;" ")-1),",","."))-1)/MID(SUBSTITUTE(LEFT(TRIM(C131),FIND(" ",TRIM(C131)&amp;" ")-1),",","."),FIND("/",SUBSTITUTE(LEFT(TRIM(C131),FIND(" ",TRIM(C131)&amp;" ")-1),",","."))+1,9))*12,NA()))),0),36)*'Aturan &amp; Tarif'!$B$4,2)</f>
        <v>2044.08</v>
      </c>
      <c r="K131" s="42" t="n">
        <f aca="false">'Aturan &amp; Tarif'!$B$5</f>
        <v>2050</v>
      </c>
      <c r="L131" s="35" t="n">
        <f aca="false">I131+J131+K131</f>
        <v>7169.08</v>
      </c>
      <c r="M131" s="45" t="s">
        <v>134</v>
      </c>
    </row>
    <row r="132" customFormat="false" ht="25.5" hidden="false" customHeight="true" outlineLevel="0" collapsed="false">
      <c r="A132" s="39" t="s">
        <v>1903</v>
      </c>
      <c r="B132" s="40" t="s">
        <v>652</v>
      </c>
      <c r="C132" s="41" t="s">
        <v>107</v>
      </c>
      <c r="D132" s="41" t="s">
        <v>108</v>
      </c>
      <c r="E132" s="42" t="n">
        <v>1565</v>
      </c>
      <c r="F132" s="42" t="n">
        <v>600</v>
      </c>
      <c r="G132" s="42" t="n">
        <v>250</v>
      </c>
      <c r="H132" s="43" t="n">
        <v>1</v>
      </c>
      <c r="I132" s="34" t="n">
        <f aca="false">E132*H132+N(F132)+N(G132)</f>
        <v>2415</v>
      </c>
      <c r="J132" s="42" t="n">
        <f aca="false">ROUND(IFERROR(ROUND(IF(OR(ISNUMBER(SEARCH("week",C132)),ISNUMBER(SEARCH("minggu",C132))),IFERROR(_xlfn.NUMBERVALUE(SUBSTITUTE(LEFT(TRIM(C132),FIND(" ",TRIM(C132)&amp;" ")-1),",","."),"."),LEFT(SUBSTITUTE(LEFT(TRIM(C132),FIND(" ",TRIM(C132)&amp;" ")-1),",","."),FIND("/",SUBSTITUTE(LEFT(TRIM(C132),FIND(" ",TRIM(C132)&amp;" ")-1),",","."))-1)/MID(SUBSTITUTE(LEFT(TRIM(C132),FIND(" ",TRIM(C132)&amp;" ")-1),",","."),FIND("/",SUBSTITUTE(LEFT(TRIM(C132),FIND(" ",TRIM(C132)&amp;" ")-1),",","."))+1,9))*12/52,IF(ISNUMBER(SEARCH("month",C132)),IFERROR(_xlfn.NUMBERVALUE(SUBSTITUTE(LEFT(TRIM(C132),FIND(" ",TRIM(C132)&amp;" ")-1),",","."),"."),LEFT(SUBSTITUTE(LEFT(TRIM(C132),FIND(" ",TRIM(C132)&amp;" ")-1),",","."),FIND("/",SUBSTITUTE(LEFT(TRIM(C132),FIND(" ",TRIM(C132)&amp;" ")-1),",","."))-1)/MID(SUBSTITUTE(LEFT(TRIM(C132),FIND(" ",TRIM(C132)&amp;" ")-1),",","."),FIND("/",SUBSTITUTE(LEFT(TRIM(C132),FIND(" ",TRIM(C132)&amp;" ")-1),",","."))+1,9)),IF(ISNUMBER(SEARCH("yea",C132)),IFERROR(_xlfn.NUMBERVALUE(SUBSTITUTE(LEFT(TRIM(C132),FIND(" ",TRIM(C132)&amp;" ")-1),",","."),"."),LEFT(SUBSTITUTE(LEFT(TRIM(C132),FIND(" ",TRIM(C132)&amp;" ")-1),",","."),FIND("/",SUBSTITUTE(LEFT(TRIM(C132),FIND(" ",TRIM(C132)&amp;" ")-1),",","."))-1)/MID(SUBSTITUTE(LEFT(TRIM(C132),FIND(" ",TRIM(C132)&amp;" ")-1),",","."),FIND("/",SUBSTITUTE(LEFT(TRIM(C132),FIND(" ",TRIM(C132)&amp;" ")-1),",","."))+1,9))*12,NA()))),0),24)*'Aturan &amp; Tarif'!$B$4,2)</f>
        <v>1362.72</v>
      </c>
      <c r="K132" s="42" t="n">
        <f aca="false">'Aturan &amp; Tarif'!$B$5</f>
        <v>2050</v>
      </c>
      <c r="L132" s="35" t="n">
        <f aca="false">I132+J132+K132</f>
        <v>5827.72</v>
      </c>
      <c r="M132" s="45" t="s">
        <v>653</v>
      </c>
    </row>
    <row r="133" customFormat="false" ht="25.5" hidden="false" customHeight="true" outlineLevel="0" collapsed="false">
      <c r="A133" s="39"/>
      <c r="B133" s="40" t="s">
        <v>654</v>
      </c>
      <c r="C133" s="41" t="s">
        <v>107</v>
      </c>
      <c r="D133" s="41" t="s">
        <v>108</v>
      </c>
      <c r="E133" s="42" t="n">
        <v>1565</v>
      </c>
      <c r="F133" s="42" t="n">
        <v>600</v>
      </c>
      <c r="G133" s="42" t="n">
        <v>250</v>
      </c>
      <c r="H133" s="43" t="n">
        <v>1</v>
      </c>
      <c r="I133" s="34" t="n">
        <f aca="false">E133*H133+N(F133)+N(G133)</f>
        <v>2415</v>
      </c>
      <c r="J133" s="42" t="n">
        <f aca="false">ROUND(IFERROR(ROUND(IF(OR(ISNUMBER(SEARCH("week",C133)),ISNUMBER(SEARCH("minggu",C133))),IFERROR(_xlfn.NUMBERVALUE(SUBSTITUTE(LEFT(TRIM(C133),FIND(" ",TRIM(C133)&amp;" ")-1),",","."),"."),LEFT(SUBSTITUTE(LEFT(TRIM(C133),FIND(" ",TRIM(C133)&amp;" ")-1),",","."),FIND("/",SUBSTITUTE(LEFT(TRIM(C133),FIND(" ",TRIM(C133)&amp;" ")-1),",","."))-1)/MID(SUBSTITUTE(LEFT(TRIM(C133),FIND(" ",TRIM(C133)&amp;" ")-1),",","."),FIND("/",SUBSTITUTE(LEFT(TRIM(C133),FIND(" ",TRIM(C133)&amp;" ")-1),",","."))+1,9))*12/52,IF(ISNUMBER(SEARCH("month",C133)),IFERROR(_xlfn.NUMBERVALUE(SUBSTITUTE(LEFT(TRIM(C133),FIND(" ",TRIM(C133)&amp;" ")-1),",","."),"."),LEFT(SUBSTITUTE(LEFT(TRIM(C133),FIND(" ",TRIM(C133)&amp;" ")-1),",","."),FIND("/",SUBSTITUTE(LEFT(TRIM(C133),FIND(" ",TRIM(C133)&amp;" ")-1),",","."))-1)/MID(SUBSTITUTE(LEFT(TRIM(C133),FIND(" ",TRIM(C133)&amp;" ")-1),",","."),FIND("/",SUBSTITUTE(LEFT(TRIM(C133),FIND(" ",TRIM(C133)&amp;" ")-1),",","."))+1,9)),IF(ISNUMBER(SEARCH("yea",C133)),IFERROR(_xlfn.NUMBERVALUE(SUBSTITUTE(LEFT(TRIM(C133),FIND(" ",TRIM(C133)&amp;" ")-1),",","."),"."),LEFT(SUBSTITUTE(LEFT(TRIM(C133),FIND(" ",TRIM(C133)&amp;" ")-1),",","."),FIND("/",SUBSTITUTE(LEFT(TRIM(C133),FIND(" ",TRIM(C133)&amp;" ")-1),",","."))-1)/MID(SUBSTITUTE(LEFT(TRIM(C133),FIND(" ",TRIM(C133)&amp;" ")-1),",","."),FIND("/",SUBSTITUTE(LEFT(TRIM(C133),FIND(" ",TRIM(C133)&amp;" ")-1),",","."))+1,9))*12,NA()))),0),24)*'Aturan &amp; Tarif'!$B$4,2)</f>
        <v>1362.72</v>
      </c>
      <c r="K133" s="42" t="n">
        <f aca="false">'Aturan &amp; Tarif'!$B$5</f>
        <v>2050</v>
      </c>
      <c r="L133" s="35" t="n">
        <f aca="false">I133+J133+K133</f>
        <v>5827.72</v>
      </c>
      <c r="M133" s="45" t="s">
        <v>653</v>
      </c>
    </row>
    <row r="134" customFormat="false" ht="37.5" hidden="false" customHeight="true" outlineLevel="0" collapsed="false">
      <c r="A134" s="39"/>
      <c r="B134" s="40" t="s">
        <v>655</v>
      </c>
      <c r="C134" s="41" t="s">
        <v>107</v>
      </c>
      <c r="D134" s="41" t="s">
        <v>108</v>
      </c>
      <c r="E134" s="42" t="n">
        <v>2575</v>
      </c>
      <c r="F134" s="42" t="n">
        <v>1800</v>
      </c>
      <c r="G134" s="42" t="n">
        <v>250</v>
      </c>
      <c r="H134" s="43" t="n">
        <v>1</v>
      </c>
      <c r="I134" s="34" t="n">
        <f aca="false">E134*H134+N(F134)+N(G134)</f>
        <v>4625</v>
      </c>
      <c r="J134" s="42" t="n">
        <f aca="false">ROUND(IFERROR(ROUND(IF(OR(ISNUMBER(SEARCH("week",C134)),ISNUMBER(SEARCH("minggu",C134))),IFERROR(_xlfn.NUMBERVALUE(SUBSTITUTE(LEFT(TRIM(C134),FIND(" ",TRIM(C134)&amp;" ")-1),",","."),"."),LEFT(SUBSTITUTE(LEFT(TRIM(C134),FIND(" ",TRIM(C134)&amp;" ")-1),",","."),FIND("/",SUBSTITUTE(LEFT(TRIM(C134),FIND(" ",TRIM(C134)&amp;" ")-1),",","."))-1)/MID(SUBSTITUTE(LEFT(TRIM(C134),FIND(" ",TRIM(C134)&amp;" ")-1),",","."),FIND("/",SUBSTITUTE(LEFT(TRIM(C134),FIND(" ",TRIM(C134)&amp;" ")-1),",","."))+1,9))*12/52,IF(ISNUMBER(SEARCH("month",C134)),IFERROR(_xlfn.NUMBERVALUE(SUBSTITUTE(LEFT(TRIM(C134),FIND(" ",TRIM(C134)&amp;" ")-1),",","."),"."),LEFT(SUBSTITUTE(LEFT(TRIM(C134),FIND(" ",TRIM(C134)&amp;" ")-1),",","."),FIND("/",SUBSTITUTE(LEFT(TRIM(C134),FIND(" ",TRIM(C134)&amp;" ")-1),",","."))-1)/MID(SUBSTITUTE(LEFT(TRIM(C134),FIND(" ",TRIM(C134)&amp;" ")-1),",","."),FIND("/",SUBSTITUTE(LEFT(TRIM(C134),FIND(" ",TRIM(C134)&amp;" ")-1),",","."))+1,9)),IF(ISNUMBER(SEARCH("yea",C134)),IFERROR(_xlfn.NUMBERVALUE(SUBSTITUTE(LEFT(TRIM(C134),FIND(" ",TRIM(C134)&amp;" ")-1),",","."),"."),LEFT(SUBSTITUTE(LEFT(TRIM(C134),FIND(" ",TRIM(C134)&amp;" ")-1),",","."),FIND("/",SUBSTITUTE(LEFT(TRIM(C134),FIND(" ",TRIM(C134)&amp;" ")-1),",","."))-1)/MID(SUBSTITUTE(LEFT(TRIM(C134),FIND(" ",TRIM(C134)&amp;" ")-1),",","."),FIND("/",SUBSTITUTE(LEFT(TRIM(C134),FIND(" ",TRIM(C134)&amp;" ")-1),",","."))+1,9))*12,NA()))),0),24)*'Aturan &amp; Tarif'!$B$4,2)</f>
        <v>1362.72</v>
      </c>
      <c r="K134" s="42" t="n">
        <f aca="false">'Aturan &amp; Tarif'!$B$5</f>
        <v>2050</v>
      </c>
      <c r="L134" s="35" t="n">
        <f aca="false">I134+J134+K134</f>
        <v>8037.72</v>
      </c>
      <c r="M134" s="45" t="s">
        <v>134</v>
      </c>
    </row>
    <row r="135" customFormat="false" ht="25.5" hidden="false" customHeight="true" outlineLevel="0" collapsed="false">
      <c r="A135" s="39"/>
      <c r="B135" s="40" t="s">
        <v>656</v>
      </c>
      <c r="C135" s="41" t="s">
        <v>138</v>
      </c>
      <c r="D135" s="41" t="s">
        <v>108</v>
      </c>
      <c r="E135" s="42" t="n">
        <v>2750</v>
      </c>
      <c r="F135" s="42" t="n">
        <v>2400</v>
      </c>
      <c r="G135" s="42" t="n">
        <v>250</v>
      </c>
      <c r="H135" s="43" t="n">
        <v>1</v>
      </c>
      <c r="I135" s="34" t="n">
        <f aca="false">E135*H135+N(F135)+N(G135)</f>
        <v>5400</v>
      </c>
      <c r="J135" s="42" t="n">
        <f aca="false">ROUND(IFERROR(ROUND(IF(OR(ISNUMBER(SEARCH("week",C135)),ISNUMBER(SEARCH("minggu",C135))),IFERROR(_xlfn.NUMBERVALUE(SUBSTITUTE(LEFT(TRIM(C135),FIND(" ",TRIM(C135)&amp;" ")-1),",","."),"."),LEFT(SUBSTITUTE(LEFT(TRIM(C135),FIND(" ",TRIM(C135)&amp;" ")-1),",","."),FIND("/",SUBSTITUTE(LEFT(TRIM(C135),FIND(" ",TRIM(C135)&amp;" ")-1),",","."))-1)/MID(SUBSTITUTE(LEFT(TRIM(C135),FIND(" ",TRIM(C135)&amp;" ")-1),",","."),FIND("/",SUBSTITUTE(LEFT(TRIM(C135),FIND(" ",TRIM(C135)&amp;" ")-1),",","."))+1,9))*12/52,IF(ISNUMBER(SEARCH("month",C135)),IFERROR(_xlfn.NUMBERVALUE(SUBSTITUTE(LEFT(TRIM(C135),FIND(" ",TRIM(C135)&amp;" ")-1),",","."),"."),LEFT(SUBSTITUTE(LEFT(TRIM(C135),FIND(" ",TRIM(C135)&amp;" ")-1),",","."),FIND("/",SUBSTITUTE(LEFT(TRIM(C135),FIND(" ",TRIM(C135)&amp;" ")-1),",","."))-1)/MID(SUBSTITUTE(LEFT(TRIM(C135),FIND(" ",TRIM(C135)&amp;" ")-1),",","."),FIND("/",SUBSTITUTE(LEFT(TRIM(C135),FIND(" ",TRIM(C135)&amp;" ")-1),",","."))+1,9)),IF(ISNUMBER(SEARCH("yea",C135)),IFERROR(_xlfn.NUMBERVALUE(SUBSTITUTE(LEFT(TRIM(C135),FIND(" ",TRIM(C135)&amp;" ")-1),",","."),"."),LEFT(SUBSTITUTE(LEFT(TRIM(C135),FIND(" ",TRIM(C135)&amp;" ")-1),",","."),FIND("/",SUBSTITUTE(LEFT(TRIM(C135),FIND(" ",TRIM(C135)&amp;" ")-1),",","."))-1)/MID(SUBSTITUTE(LEFT(TRIM(C135),FIND(" ",TRIM(C135)&amp;" ")-1),",","."),FIND("/",SUBSTITUTE(LEFT(TRIM(C135),FIND(" ",TRIM(C135)&amp;" ")-1),",","."))+1,9))*12,NA()))),0),30)*'Aturan &amp; Tarif'!$B$4,2)</f>
        <v>1703.4</v>
      </c>
      <c r="K135" s="42" t="n">
        <f aca="false">'Aturan &amp; Tarif'!$B$5</f>
        <v>2050</v>
      </c>
      <c r="L135" s="35" t="n">
        <f aca="false">I135+J135+K135</f>
        <v>9153.4</v>
      </c>
      <c r="M135" s="45" t="s">
        <v>134</v>
      </c>
    </row>
    <row r="136" customFormat="false" ht="25.5" hidden="false" customHeight="true" outlineLevel="0" collapsed="false">
      <c r="A136" s="39"/>
      <c r="B136" s="40" t="s">
        <v>657</v>
      </c>
      <c r="C136" s="41" t="s">
        <v>107</v>
      </c>
      <c r="D136" s="41" t="s">
        <v>108</v>
      </c>
      <c r="E136" s="42" t="n">
        <v>2575</v>
      </c>
      <c r="F136" s="42" t="n">
        <v>1800</v>
      </c>
      <c r="G136" s="42" t="n">
        <v>250</v>
      </c>
      <c r="H136" s="43" t="n">
        <v>1</v>
      </c>
      <c r="I136" s="34" t="n">
        <f aca="false">E136*H136+N(F136)+N(G136)</f>
        <v>4625</v>
      </c>
      <c r="J136" s="42" t="n">
        <f aca="false">ROUND(IFERROR(ROUND(IF(OR(ISNUMBER(SEARCH("week",C136)),ISNUMBER(SEARCH("minggu",C136))),IFERROR(_xlfn.NUMBERVALUE(SUBSTITUTE(LEFT(TRIM(C136),FIND(" ",TRIM(C136)&amp;" ")-1),",","."),"."),LEFT(SUBSTITUTE(LEFT(TRIM(C136),FIND(" ",TRIM(C136)&amp;" ")-1),",","."),FIND("/",SUBSTITUTE(LEFT(TRIM(C136),FIND(" ",TRIM(C136)&amp;" ")-1),",","."))-1)/MID(SUBSTITUTE(LEFT(TRIM(C136),FIND(" ",TRIM(C136)&amp;" ")-1),",","."),FIND("/",SUBSTITUTE(LEFT(TRIM(C136),FIND(" ",TRIM(C136)&amp;" ")-1),",","."))+1,9))*12/52,IF(ISNUMBER(SEARCH("month",C136)),IFERROR(_xlfn.NUMBERVALUE(SUBSTITUTE(LEFT(TRIM(C136),FIND(" ",TRIM(C136)&amp;" ")-1),",","."),"."),LEFT(SUBSTITUTE(LEFT(TRIM(C136),FIND(" ",TRIM(C136)&amp;" ")-1),",","."),FIND("/",SUBSTITUTE(LEFT(TRIM(C136),FIND(" ",TRIM(C136)&amp;" ")-1),",","."))-1)/MID(SUBSTITUTE(LEFT(TRIM(C136),FIND(" ",TRIM(C136)&amp;" ")-1),",","."),FIND("/",SUBSTITUTE(LEFT(TRIM(C136),FIND(" ",TRIM(C136)&amp;" ")-1),",","."))+1,9)),IF(ISNUMBER(SEARCH("yea",C136)),IFERROR(_xlfn.NUMBERVALUE(SUBSTITUTE(LEFT(TRIM(C136),FIND(" ",TRIM(C136)&amp;" ")-1),",","."),"."),LEFT(SUBSTITUTE(LEFT(TRIM(C136),FIND(" ",TRIM(C136)&amp;" ")-1),",","."),FIND("/",SUBSTITUTE(LEFT(TRIM(C136),FIND(" ",TRIM(C136)&amp;" ")-1),",","."))-1)/MID(SUBSTITUTE(LEFT(TRIM(C136),FIND(" ",TRIM(C136)&amp;" ")-1),",","."),FIND("/",SUBSTITUTE(LEFT(TRIM(C136),FIND(" ",TRIM(C136)&amp;" ")-1),",","."))+1,9))*12,NA()))),0),24)*'Aturan &amp; Tarif'!$B$4,2)</f>
        <v>1362.72</v>
      </c>
      <c r="K136" s="42" t="n">
        <f aca="false">'Aturan &amp; Tarif'!$B$5</f>
        <v>2050</v>
      </c>
      <c r="L136" s="35" t="n">
        <f aca="false">I136+J136+K136</f>
        <v>8037.72</v>
      </c>
      <c r="M136" s="45" t="s">
        <v>134</v>
      </c>
    </row>
    <row r="137" customFormat="false" ht="48.75" hidden="false" customHeight="true" outlineLevel="0" collapsed="false">
      <c r="A137" s="39"/>
      <c r="B137" s="40" t="s">
        <v>909</v>
      </c>
      <c r="C137" s="41" t="s">
        <v>138</v>
      </c>
      <c r="D137" s="41" t="s">
        <v>108</v>
      </c>
      <c r="E137" s="42" t="n">
        <v>2350</v>
      </c>
      <c r="F137" s="42" t="n">
        <v>2500</v>
      </c>
      <c r="G137" s="42" t="n">
        <v>250</v>
      </c>
      <c r="H137" s="43" t="n">
        <v>1</v>
      </c>
      <c r="I137" s="34" t="n">
        <f aca="false">E137*H137+N(F137)+N(G137)</f>
        <v>5100</v>
      </c>
      <c r="J137" s="42" t="n">
        <f aca="false">ROUND(IFERROR(ROUND(IF(OR(ISNUMBER(SEARCH("week",C137)),ISNUMBER(SEARCH("minggu",C137))),IFERROR(_xlfn.NUMBERVALUE(SUBSTITUTE(LEFT(TRIM(C137),FIND(" ",TRIM(C137)&amp;" ")-1),",","."),"."),LEFT(SUBSTITUTE(LEFT(TRIM(C137),FIND(" ",TRIM(C137)&amp;" ")-1),",","."),FIND("/",SUBSTITUTE(LEFT(TRIM(C137),FIND(" ",TRIM(C137)&amp;" ")-1),",","."))-1)/MID(SUBSTITUTE(LEFT(TRIM(C137),FIND(" ",TRIM(C137)&amp;" ")-1),",","."),FIND("/",SUBSTITUTE(LEFT(TRIM(C137),FIND(" ",TRIM(C137)&amp;" ")-1),",","."))+1,9))*12/52,IF(ISNUMBER(SEARCH("month",C137)),IFERROR(_xlfn.NUMBERVALUE(SUBSTITUTE(LEFT(TRIM(C137),FIND(" ",TRIM(C137)&amp;" ")-1),",","."),"."),LEFT(SUBSTITUTE(LEFT(TRIM(C137),FIND(" ",TRIM(C137)&amp;" ")-1),",","."),FIND("/",SUBSTITUTE(LEFT(TRIM(C137),FIND(" ",TRIM(C137)&amp;" ")-1),",","."))-1)/MID(SUBSTITUTE(LEFT(TRIM(C137),FIND(" ",TRIM(C137)&amp;" ")-1),",","."),FIND("/",SUBSTITUTE(LEFT(TRIM(C137),FIND(" ",TRIM(C137)&amp;" ")-1),",","."))+1,9)),IF(ISNUMBER(SEARCH("yea",C137)),IFERROR(_xlfn.NUMBERVALUE(SUBSTITUTE(LEFT(TRIM(C137),FIND(" ",TRIM(C137)&amp;" ")-1),",","."),"."),LEFT(SUBSTITUTE(LEFT(TRIM(C137),FIND(" ",TRIM(C137)&amp;" ")-1),",","."),FIND("/",SUBSTITUTE(LEFT(TRIM(C137),FIND(" ",TRIM(C137)&amp;" ")-1),",","."))-1)/MID(SUBSTITUTE(LEFT(TRIM(C137),FIND(" ",TRIM(C137)&amp;" ")-1),",","."),FIND("/",SUBSTITUTE(LEFT(TRIM(C137),FIND(" ",TRIM(C137)&amp;" ")-1),",","."))+1,9))*12,NA()))),0),30)*'Aturan &amp; Tarif'!$B$4,2)</f>
        <v>1703.4</v>
      </c>
      <c r="K137" s="42" t="n">
        <f aca="false">'Aturan &amp; Tarif'!$B$5</f>
        <v>2050</v>
      </c>
      <c r="L137" s="35" t="n">
        <f aca="false">I137+J137+K137</f>
        <v>8853.4</v>
      </c>
      <c r="M137" s="45" t="s">
        <v>134</v>
      </c>
    </row>
    <row r="138" customFormat="false" ht="37.5" hidden="false" customHeight="true" outlineLevel="0" collapsed="false">
      <c r="A138" s="29" t="s">
        <v>1907</v>
      </c>
      <c r="B138" s="30" t="s">
        <v>1908</v>
      </c>
      <c r="C138" s="31" t="s">
        <v>130</v>
      </c>
      <c r="D138" s="31" t="s">
        <v>737</v>
      </c>
      <c r="E138" s="32" t="n">
        <v>3000</v>
      </c>
      <c r="F138" s="32"/>
      <c r="G138" s="32" t="n">
        <v>200</v>
      </c>
      <c r="H138" s="33" t="n">
        <v>1</v>
      </c>
      <c r="I138" s="34" t="n">
        <f aca="false">E138*H138+N(F138)+N(G138)</f>
        <v>3200</v>
      </c>
      <c r="J138" s="32" t="n">
        <f aca="false">ROUND(IFERROR(ROUND(IF(OR(ISNUMBER(SEARCH("week",C138)),ISNUMBER(SEARCH("minggu",C138))),IFERROR(_xlfn.NUMBERVALUE(SUBSTITUTE(LEFT(TRIM(C138),FIND(" ",TRIM(C138)&amp;" ")-1),",","."),"."),LEFT(SUBSTITUTE(LEFT(TRIM(C138),FIND(" ",TRIM(C138)&amp;" ")-1),",","."),FIND("/",SUBSTITUTE(LEFT(TRIM(C138),FIND(" ",TRIM(C138)&amp;" ")-1),",","."))-1)/MID(SUBSTITUTE(LEFT(TRIM(C138),FIND(" ",TRIM(C138)&amp;" ")-1),",","."),FIND("/",SUBSTITUTE(LEFT(TRIM(C138),FIND(" ",TRIM(C138)&amp;" ")-1),",","."))+1,9))*12/52,IF(ISNUMBER(SEARCH("month",C138)),IFERROR(_xlfn.NUMBERVALUE(SUBSTITUTE(LEFT(TRIM(C138),FIND(" ",TRIM(C138)&amp;" ")-1),",","."),"."),LEFT(SUBSTITUTE(LEFT(TRIM(C138),FIND(" ",TRIM(C138)&amp;" ")-1),",","."),FIND("/",SUBSTITUTE(LEFT(TRIM(C138),FIND(" ",TRIM(C138)&amp;" ")-1),",","."))-1)/MID(SUBSTITUTE(LEFT(TRIM(C138),FIND(" ",TRIM(C138)&amp;" ")-1),",","."),FIND("/",SUBSTITUTE(LEFT(TRIM(C138),FIND(" ",TRIM(C138)&amp;" ")-1),",","."))+1,9)),IF(ISNUMBER(SEARCH("yea",C138)),IFERROR(_xlfn.NUMBERVALUE(SUBSTITUTE(LEFT(TRIM(C138),FIND(" ",TRIM(C138)&amp;" ")-1),",","."),"."),LEFT(SUBSTITUTE(LEFT(TRIM(C138),FIND(" ",TRIM(C138)&amp;" ")-1),",","."),FIND("/",SUBSTITUTE(LEFT(TRIM(C138),FIND(" ",TRIM(C138)&amp;" ")-1),",","."))-1)/MID(SUBSTITUTE(LEFT(TRIM(C138),FIND(" ",TRIM(C138)&amp;" ")-1),",","."),FIND("/",SUBSTITUTE(LEFT(TRIM(C138),FIND(" ",TRIM(C138)&amp;" ")-1),",","."))+1,9))*12,NA()))),0),12)*'Aturan &amp; Tarif'!$B$4,2)</f>
        <v>681.36</v>
      </c>
      <c r="K138" s="32" t="n">
        <f aca="false">'Aturan &amp; Tarif'!$B$5</f>
        <v>2050</v>
      </c>
      <c r="L138" s="35" t="n">
        <f aca="false">I138+J138+K138</f>
        <v>5931.36</v>
      </c>
      <c r="M138" s="37" t="s">
        <v>846</v>
      </c>
    </row>
    <row r="139" customFormat="false" ht="48.75" hidden="false" customHeight="true" outlineLevel="0" collapsed="false">
      <c r="A139" s="29"/>
      <c r="B139" s="30" t="s">
        <v>1909</v>
      </c>
      <c r="C139" s="31" t="s">
        <v>127</v>
      </c>
      <c r="D139" s="31" t="s">
        <v>737</v>
      </c>
      <c r="E139" s="32" t="n">
        <v>4500</v>
      </c>
      <c r="F139" s="32"/>
      <c r="G139" s="32" t="n">
        <v>200</v>
      </c>
      <c r="H139" s="33" t="n">
        <v>1</v>
      </c>
      <c r="I139" s="34" t="n">
        <f aca="false">E139*H139+N(F139)+N(G139)</f>
        <v>4700</v>
      </c>
      <c r="J139" s="32" t="n">
        <f aca="false">ROUND(IFERROR(ROUND(IF(OR(ISNUMBER(SEARCH("week",C139)),ISNUMBER(SEARCH("minggu",C139))),IFERROR(_xlfn.NUMBERVALUE(SUBSTITUTE(LEFT(TRIM(C139),FIND(" ",TRIM(C139)&amp;" ")-1),",","."),"."),LEFT(SUBSTITUTE(LEFT(TRIM(C139),FIND(" ",TRIM(C139)&amp;" ")-1),",","."),FIND("/",SUBSTITUTE(LEFT(TRIM(C139),FIND(" ",TRIM(C139)&amp;" ")-1),",","."))-1)/MID(SUBSTITUTE(LEFT(TRIM(C139),FIND(" ",TRIM(C139)&amp;" ")-1),",","."),FIND("/",SUBSTITUTE(LEFT(TRIM(C139),FIND(" ",TRIM(C139)&amp;" ")-1),",","."))+1,9))*12/52,IF(ISNUMBER(SEARCH("month",C139)),IFERROR(_xlfn.NUMBERVALUE(SUBSTITUTE(LEFT(TRIM(C139),FIND(" ",TRIM(C139)&amp;" ")-1),",","."),"."),LEFT(SUBSTITUTE(LEFT(TRIM(C139),FIND(" ",TRIM(C139)&amp;" ")-1),",","."),FIND("/",SUBSTITUTE(LEFT(TRIM(C139),FIND(" ",TRIM(C139)&amp;" ")-1),",","."))-1)/MID(SUBSTITUTE(LEFT(TRIM(C139),FIND(" ",TRIM(C139)&amp;" ")-1),",","."),FIND("/",SUBSTITUTE(LEFT(TRIM(C139),FIND(" ",TRIM(C139)&amp;" ")-1),",","."))+1,9)),IF(ISNUMBER(SEARCH("yea",C139)),IFERROR(_xlfn.NUMBERVALUE(SUBSTITUTE(LEFT(TRIM(C139),FIND(" ",TRIM(C139)&amp;" ")-1),",","."),"."),LEFT(SUBSTITUTE(LEFT(TRIM(C139),FIND(" ",TRIM(C139)&amp;" ")-1),",","."),FIND("/",SUBSTITUTE(LEFT(TRIM(C139),FIND(" ",TRIM(C139)&amp;" ")-1),",","."))-1)/MID(SUBSTITUTE(LEFT(TRIM(C139),FIND(" ",TRIM(C139)&amp;" ")-1),",","."),FIND("/",SUBSTITUTE(LEFT(TRIM(C139),FIND(" ",TRIM(C139)&amp;" ")-1),",","."))+1,9))*12,NA()))),0),36)*'Aturan &amp; Tarif'!$B$4,2)</f>
        <v>2044.08</v>
      </c>
      <c r="K139" s="32" t="n">
        <f aca="false">'Aturan &amp; Tarif'!$B$5</f>
        <v>2050</v>
      </c>
      <c r="L139" s="35" t="n">
        <f aca="false">I139+J139+K139</f>
        <v>8794.08</v>
      </c>
      <c r="M139" s="36" t="s">
        <v>847</v>
      </c>
    </row>
    <row r="140" customFormat="false" ht="25.5" hidden="false" customHeight="true" outlineLevel="0" collapsed="false">
      <c r="A140" s="29"/>
      <c r="B140" s="30" t="s">
        <v>1910</v>
      </c>
      <c r="C140" s="31" t="s">
        <v>130</v>
      </c>
      <c r="D140" s="31" t="s">
        <v>737</v>
      </c>
      <c r="E140" s="32" t="n">
        <v>3000</v>
      </c>
      <c r="F140" s="32"/>
      <c r="G140" s="32" t="n">
        <v>200</v>
      </c>
      <c r="H140" s="33" t="n">
        <v>1</v>
      </c>
      <c r="I140" s="34" t="n">
        <f aca="false">E140*H140+N(F140)+N(G140)</f>
        <v>3200</v>
      </c>
      <c r="J140" s="32" t="n">
        <f aca="false">ROUND(IFERROR(ROUND(IF(OR(ISNUMBER(SEARCH("week",C140)),ISNUMBER(SEARCH("minggu",C140))),IFERROR(_xlfn.NUMBERVALUE(SUBSTITUTE(LEFT(TRIM(C140),FIND(" ",TRIM(C140)&amp;" ")-1),",","."),"."),LEFT(SUBSTITUTE(LEFT(TRIM(C140),FIND(" ",TRIM(C140)&amp;" ")-1),",","."),FIND("/",SUBSTITUTE(LEFT(TRIM(C140),FIND(" ",TRIM(C140)&amp;" ")-1),",","."))-1)/MID(SUBSTITUTE(LEFT(TRIM(C140),FIND(" ",TRIM(C140)&amp;" ")-1),",","."),FIND("/",SUBSTITUTE(LEFT(TRIM(C140),FIND(" ",TRIM(C140)&amp;" ")-1),",","."))+1,9))*12/52,IF(ISNUMBER(SEARCH("month",C140)),IFERROR(_xlfn.NUMBERVALUE(SUBSTITUTE(LEFT(TRIM(C140),FIND(" ",TRIM(C140)&amp;" ")-1),",","."),"."),LEFT(SUBSTITUTE(LEFT(TRIM(C140),FIND(" ",TRIM(C140)&amp;" ")-1),",","."),FIND("/",SUBSTITUTE(LEFT(TRIM(C140),FIND(" ",TRIM(C140)&amp;" ")-1),",","."))-1)/MID(SUBSTITUTE(LEFT(TRIM(C140),FIND(" ",TRIM(C140)&amp;" ")-1),",","."),FIND("/",SUBSTITUTE(LEFT(TRIM(C140),FIND(" ",TRIM(C140)&amp;" ")-1),",","."))+1,9)),IF(ISNUMBER(SEARCH("yea",C140)),IFERROR(_xlfn.NUMBERVALUE(SUBSTITUTE(LEFT(TRIM(C140),FIND(" ",TRIM(C140)&amp;" ")-1),",","."),"."),LEFT(SUBSTITUTE(LEFT(TRIM(C140),FIND(" ",TRIM(C140)&amp;" ")-1),",","."),FIND("/",SUBSTITUTE(LEFT(TRIM(C140),FIND(" ",TRIM(C140)&amp;" ")-1),",","."))-1)/MID(SUBSTITUTE(LEFT(TRIM(C140),FIND(" ",TRIM(C140)&amp;" ")-1),",","."),FIND("/",SUBSTITUTE(LEFT(TRIM(C140),FIND(" ",TRIM(C140)&amp;" ")-1),",","."))+1,9))*12,NA()))),0),12)*'Aturan &amp; Tarif'!$B$4,2)</f>
        <v>681.36</v>
      </c>
      <c r="K140" s="32" t="n">
        <f aca="false">'Aturan &amp; Tarif'!$B$5</f>
        <v>2050</v>
      </c>
      <c r="L140" s="35" t="n">
        <f aca="false">I140+J140+K140</f>
        <v>5931.36</v>
      </c>
      <c r="M140" s="36" t="s">
        <v>849</v>
      </c>
    </row>
    <row r="141" customFormat="false" ht="25.5" hidden="false" customHeight="true" outlineLevel="0" collapsed="false">
      <c r="A141" s="29"/>
      <c r="B141" s="30" t="s">
        <v>968</v>
      </c>
      <c r="C141" s="31" t="s">
        <v>127</v>
      </c>
      <c r="D141" s="31" t="s">
        <v>737</v>
      </c>
      <c r="E141" s="32" t="n">
        <v>4500</v>
      </c>
      <c r="F141" s="32"/>
      <c r="G141" s="32" t="n">
        <v>200</v>
      </c>
      <c r="H141" s="33" t="n">
        <v>1</v>
      </c>
      <c r="I141" s="34" t="n">
        <f aca="false">E141*H141+N(F141)+N(G141)</f>
        <v>4700</v>
      </c>
      <c r="J141" s="32" t="n">
        <f aca="false">ROUND(IFERROR(ROUND(IF(OR(ISNUMBER(SEARCH("week",C141)),ISNUMBER(SEARCH("minggu",C141))),IFERROR(_xlfn.NUMBERVALUE(SUBSTITUTE(LEFT(TRIM(C141),FIND(" ",TRIM(C141)&amp;" ")-1),",","."),"."),LEFT(SUBSTITUTE(LEFT(TRIM(C141),FIND(" ",TRIM(C141)&amp;" ")-1),",","."),FIND("/",SUBSTITUTE(LEFT(TRIM(C141),FIND(" ",TRIM(C141)&amp;" ")-1),",","."))-1)/MID(SUBSTITUTE(LEFT(TRIM(C141),FIND(" ",TRIM(C141)&amp;" ")-1),",","."),FIND("/",SUBSTITUTE(LEFT(TRIM(C141),FIND(" ",TRIM(C141)&amp;" ")-1),",","."))+1,9))*12/52,IF(ISNUMBER(SEARCH("month",C141)),IFERROR(_xlfn.NUMBERVALUE(SUBSTITUTE(LEFT(TRIM(C141),FIND(" ",TRIM(C141)&amp;" ")-1),",","."),"."),LEFT(SUBSTITUTE(LEFT(TRIM(C141),FIND(" ",TRIM(C141)&amp;" ")-1),",","."),FIND("/",SUBSTITUTE(LEFT(TRIM(C141),FIND(" ",TRIM(C141)&amp;" ")-1),",","."))-1)/MID(SUBSTITUTE(LEFT(TRIM(C141),FIND(" ",TRIM(C141)&amp;" ")-1),",","."),FIND("/",SUBSTITUTE(LEFT(TRIM(C141),FIND(" ",TRIM(C141)&amp;" ")-1),",","."))+1,9)),IF(ISNUMBER(SEARCH("yea",C141)),IFERROR(_xlfn.NUMBERVALUE(SUBSTITUTE(LEFT(TRIM(C141),FIND(" ",TRIM(C141)&amp;" ")-1),",","."),"."),LEFT(SUBSTITUTE(LEFT(TRIM(C141),FIND(" ",TRIM(C141)&amp;" ")-1),",","."),FIND("/",SUBSTITUTE(LEFT(TRIM(C141),FIND(" ",TRIM(C141)&amp;" ")-1),",","."))-1)/MID(SUBSTITUTE(LEFT(TRIM(C141),FIND(" ",TRIM(C141)&amp;" ")-1),",","."),FIND("/",SUBSTITUTE(LEFT(TRIM(C141),FIND(" ",TRIM(C141)&amp;" ")-1),",","."))+1,9))*12,NA()))),0),36)*'Aturan &amp; Tarif'!$B$4,2)</f>
        <v>2044.08</v>
      </c>
      <c r="K141" s="32" t="n">
        <f aca="false">'Aturan &amp; Tarif'!$B$5</f>
        <v>2050</v>
      </c>
      <c r="L141" s="35" t="n">
        <f aca="false">I141+J141+K141</f>
        <v>8794.08</v>
      </c>
      <c r="M141" s="36" t="s">
        <v>847</v>
      </c>
    </row>
    <row r="142" customFormat="false" ht="60" hidden="false" customHeight="true" outlineLevel="0" collapsed="false">
      <c r="A142" s="29"/>
      <c r="B142" s="30" t="s">
        <v>1911</v>
      </c>
      <c r="C142" s="31" t="s">
        <v>127</v>
      </c>
      <c r="D142" s="31" t="s">
        <v>737</v>
      </c>
      <c r="E142" s="32" t="n">
        <v>4500</v>
      </c>
      <c r="F142" s="32"/>
      <c r="G142" s="32" t="n">
        <v>200</v>
      </c>
      <c r="H142" s="33" t="n">
        <v>1</v>
      </c>
      <c r="I142" s="34" t="n">
        <f aca="false">E142*H142+N(F142)+N(G142)</f>
        <v>4700</v>
      </c>
      <c r="J142" s="32" t="n">
        <f aca="false">ROUND(IFERROR(ROUND(IF(OR(ISNUMBER(SEARCH("week",C142)),ISNUMBER(SEARCH("minggu",C142))),IFERROR(_xlfn.NUMBERVALUE(SUBSTITUTE(LEFT(TRIM(C142),FIND(" ",TRIM(C142)&amp;" ")-1),",","."),"."),LEFT(SUBSTITUTE(LEFT(TRIM(C142),FIND(" ",TRIM(C142)&amp;" ")-1),",","."),FIND("/",SUBSTITUTE(LEFT(TRIM(C142),FIND(" ",TRIM(C142)&amp;" ")-1),",","."))-1)/MID(SUBSTITUTE(LEFT(TRIM(C142),FIND(" ",TRIM(C142)&amp;" ")-1),",","."),FIND("/",SUBSTITUTE(LEFT(TRIM(C142),FIND(" ",TRIM(C142)&amp;" ")-1),",","."))+1,9))*12/52,IF(ISNUMBER(SEARCH("month",C142)),IFERROR(_xlfn.NUMBERVALUE(SUBSTITUTE(LEFT(TRIM(C142),FIND(" ",TRIM(C142)&amp;" ")-1),",","."),"."),LEFT(SUBSTITUTE(LEFT(TRIM(C142),FIND(" ",TRIM(C142)&amp;" ")-1),",","."),FIND("/",SUBSTITUTE(LEFT(TRIM(C142),FIND(" ",TRIM(C142)&amp;" ")-1),",","."))-1)/MID(SUBSTITUTE(LEFT(TRIM(C142),FIND(" ",TRIM(C142)&amp;" ")-1),",","."),FIND("/",SUBSTITUTE(LEFT(TRIM(C142),FIND(" ",TRIM(C142)&amp;" ")-1),",","."))+1,9)),IF(ISNUMBER(SEARCH("yea",C142)),IFERROR(_xlfn.NUMBERVALUE(SUBSTITUTE(LEFT(TRIM(C142),FIND(" ",TRIM(C142)&amp;" ")-1),",","."),"."),LEFT(SUBSTITUTE(LEFT(TRIM(C142),FIND(" ",TRIM(C142)&amp;" ")-1),",","."),FIND("/",SUBSTITUTE(LEFT(TRIM(C142),FIND(" ",TRIM(C142)&amp;" ")-1),",","."))-1)/MID(SUBSTITUTE(LEFT(TRIM(C142),FIND(" ",TRIM(C142)&amp;" ")-1),",","."),FIND("/",SUBSTITUTE(LEFT(TRIM(C142),FIND(" ",TRIM(C142)&amp;" ")-1),",","."))+1,9))*12,NA()))),0),36)*'Aturan &amp; Tarif'!$B$4,2)</f>
        <v>2044.08</v>
      </c>
      <c r="K142" s="32" t="n">
        <f aca="false">'Aturan &amp; Tarif'!$B$5</f>
        <v>2050</v>
      </c>
      <c r="L142" s="35" t="n">
        <f aca="false">I142+J142+K142</f>
        <v>8794.08</v>
      </c>
      <c r="M142" s="36" t="s">
        <v>847</v>
      </c>
    </row>
    <row r="143" customFormat="false" ht="25.5" hidden="false" customHeight="true" outlineLevel="0" collapsed="false">
      <c r="A143" s="29"/>
      <c r="B143" s="30" t="s">
        <v>1912</v>
      </c>
      <c r="C143" s="31" t="s">
        <v>852</v>
      </c>
      <c r="D143" s="31" t="s">
        <v>737</v>
      </c>
      <c r="E143" s="32" t="n">
        <v>7800</v>
      </c>
      <c r="F143" s="32"/>
      <c r="G143" s="32" t="n">
        <v>200</v>
      </c>
      <c r="H143" s="33" t="n">
        <v>1</v>
      </c>
      <c r="I143" s="34" t="n">
        <f aca="false">E143*H143+N(F143)+N(G143)</f>
        <v>8000</v>
      </c>
      <c r="J143" s="32" t="n">
        <f aca="false">ROUND(IFERROR(ROUND(IF(OR(ISNUMBER(SEARCH("week",C143)),ISNUMBER(SEARCH("minggu",C143))),IFERROR(_xlfn.NUMBERVALUE(SUBSTITUTE(LEFT(TRIM(C143),FIND(" ",TRIM(C143)&amp;" ")-1),",","."),"."),LEFT(SUBSTITUTE(LEFT(TRIM(C143),FIND(" ",TRIM(C143)&amp;" ")-1),",","."),FIND("/",SUBSTITUTE(LEFT(TRIM(C143),FIND(" ",TRIM(C143)&amp;" ")-1),",","."))-1)/MID(SUBSTITUTE(LEFT(TRIM(C143),FIND(" ",TRIM(C143)&amp;" ")-1),",","."),FIND("/",SUBSTITUTE(LEFT(TRIM(C143),FIND(" ",TRIM(C143)&amp;" ")-1),",","."))+1,9))*12/52,IF(ISNUMBER(SEARCH("month",C143)),IFERROR(_xlfn.NUMBERVALUE(SUBSTITUTE(LEFT(TRIM(C143),FIND(" ",TRIM(C143)&amp;" ")-1),",","."),"."),LEFT(SUBSTITUTE(LEFT(TRIM(C143),FIND(" ",TRIM(C143)&amp;" ")-1),",","."),FIND("/",SUBSTITUTE(LEFT(TRIM(C143),FIND(" ",TRIM(C143)&amp;" ")-1),",","."))-1)/MID(SUBSTITUTE(LEFT(TRIM(C143),FIND(" ",TRIM(C143)&amp;" ")-1),",","."),FIND("/",SUBSTITUTE(LEFT(TRIM(C143),FIND(" ",TRIM(C143)&amp;" ")-1),",","."))+1,9)),IF(ISNUMBER(SEARCH("yea",C143)),IFERROR(_xlfn.NUMBERVALUE(SUBSTITUTE(LEFT(TRIM(C143),FIND(" ",TRIM(C143)&amp;" ")-1),",","."),"."),LEFT(SUBSTITUTE(LEFT(TRIM(C143),FIND(" ",TRIM(C143)&amp;" ")-1),",","."),FIND("/",SUBSTITUTE(LEFT(TRIM(C143),FIND(" ",TRIM(C143)&amp;" ")-1),",","."))-1)/MID(SUBSTITUTE(LEFT(TRIM(C143),FIND(" ",TRIM(C143)&amp;" ")-1),",","."),FIND("/",SUBSTITUTE(LEFT(TRIM(C143),FIND(" ",TRIM(C143)&amp;" ")-1),",","."))+1,9))*12,NA()))),0),9)*'Aturan &amp; Tarif'!$B$4,2)</f>
        <v>511.02</v>
      </c>
      <c r="K143" s="32" t="n">
        <f aca="false">'Aturan &amp; Tarif'!$B$5</f>
        <v>2050</v>
      </c>
      <c r="L143" s="35" t="n">
        <f aca="false">I143+J143+K143</f>
        <v>10561.02</v>
      </c>
      <c r="M143" s="36" t="s">
        <v>853</v>
      </c>
    </row>
    <row r="144" customFormat="false" ht="37.5" hidden="false" customHeight="true" outlineLevel="0" collapsed="false">
      <c r="A144" s="29"/>
      <c r="B144" s="30" t="s">
        <v>1913</v>
      </c>
      <c r="C144" s="31" t="s">
        <v>130</v>
      </c>
      <c r="D144" s="31" t="s">
        <v>737</v>
      </c>
      <c r="E144" s="32" t="n">
        <v>7800</v>
      </c>
      <c r="F144" s="32"/>
      <c r="G144" s="32" t="n">
        <v>200</v>
      </c>
      <c r="H144" s="33" t="n">
        <v>1</v>
      </c>
      <c r="I144" s="34" t="n">
        <f aca="false">E144*H144+N(F144)+N(G144)</f>
        <v>8000</v>
      </c>
      <c r="J144" s="32" t="n">
        <f aca="false">ROUND(IFERROR(ROUND(IF(OR(ISNUMBER(SEARCH("week",C144)),ISNUMBER(SEARCH("minggu",C144))),IFERROR(_xlfn.NUMBERVALUE(SUBSTITUTE(LEFT(TRIM(C144),FIND(" ",TRIM(C144)&amp;" ")-1),",","."),"."),LEFT(SUBSTITUTE(LEFT(TRIM(C144),FIND(" ",TRIM(C144)&amp;" ")-1),",","."),FIND("/",SUBSTITUTE(LEFT(TRIM(C144),FIND(" ",TRIM(C144)&amp;" ")-1),",","."))-1)/MID(SUBSTITUTE(LEFT(TRIM(C144),FIND(" ",TRIM(C144)&amp;" ")-1),",","."),FIND("/",SUBSTITUTE(LEFT(TRIM(C144),FIND(" ",TRIM(C144)&amp;" ")-1),",","."))+1,9))*12/52,IF(ISNUMBER(SEARCH("month",C144)),IFERROR(_xlfn.NUMBERVALUE(SUBSTITUTE(LEFT(TRIM(C144),FIND(" ",TRIM(C144)&amp;" ")-1),",","."),"."),LEFT(SUBSTITUTE(LEFT(TRIM(C144),FIND(" ",TRIM(C144)&amp;" ")-1),",","."),FIND("/",SUBSTITUTE(LEFT(TRIM(C144),FIND(" ",TRIM(C144)&amp;" ")-1),",","."))-1)/MID(SUBSTITUTE(LEFT(TRIM(C144),FIND(" ",TRIM(C144)&amp;" ")-1),",","."),FIND("/",SUBSTITUTE(LEFT(TRIM(C144),FIND(" ",TRIM(C144)&amp;" ")-1),",","."))+1,9)),IF(ISNUMBER(SEARCH("yea",C144)),IFERROR(_xlfn.NUMBERVALUE(SUBSTITUTE(LEFT(TRIM(C144),FIND(" ",TRIM(C144)&amp;" ")-1),",","."),"."),LEFT(SUBSTITUTE(LEFT(TRIM(C144),FIND(" ",TRIM(C144)&amp;" ")-1),",","."),FIND("/",SUBSTITUTE(LEFT(TRIM(C144),FIND(" ",TRIM(C144)&amp;" ")-1),",","."))-1)/MID(SUBSTITUTE(LEFT(TRIM(C144),FIND(" ",TRIM(C144)&amp;" ")-1),",","."),FIND("/",SUBSTITUTE(LEFT(TRIM(C144),FIND(" ",TRIM(C144)&amp;" ")-1),",","."))+1,9))*12,NA()))),0),12)*'Aturan &amp; Tarif'!$B$4,2)</f>
        <v>681.36</v>
      </c>
      <c r="K144" s="32" t="n">
        <f aca="false">'Aturan &amp; Tarif'!$B$5</f>
        <v>2050</v>
      </c>
      <c r="L144" s="35" t="n">
        <f aca="false">I144+J144+K144</f>
        <v>10731.36</v>
      </c>
      <c r="M144" s="36" t="s">
        <v>853</v>
      </c>
    </row>
    <row r="145" customFormat="false" ht="25.5" hidden="false" customHeight="true" outlineLevel="0" collapsed="false">
      <c r="A145" s="29"/>
      <c r="B145" s="30" t="s">
        <v>971</v>
      </c>
      <c r="C145" s="31" t="s">
        <v>107</v>
      </c>
      <c r="D145" s="31" t="s">
        <v>737</v>
      </c>
      <c r="E145" s="32" t="n">
        <v>7800</v>
      </c>
      <c r="F145" s="32"/>
      <c r="G145" s="32" t="n">
        <v>200</v>
      </c>
      <c r="H145" s="33" t="n">
        <v>1</v>
      </c>
      <c r="I145" s="34" t="n">
        <f aca="false">E145*H145+N(F145)+N(G145)</f>
        <v>8000</v>
      </c>
      <c r="J145" s="32" t="n">
        <f aca="false">ROUND(IFERROR(ROUND(IF(OR(ISNUMBER(SEARCH("week",C145)),ISNUMBER(SEARCH("minggu",C145))),IFERROR(_xlfn.NUMBERVALUE(SUBSTITUTE(LEFT(TRIM(C145),FIND(" ",TRIM(C145)&amp;" ")-1),",","."),"."),LEFT(SUBSTITUTE(LEFT(TRIM(C145),FIND(" ",TRIM(C145)&amp;" ")-1),",","."),FIND("/",SUBSTITUTE(LEFT(TRIM(C145),FIND(" ",TRIM(C145)&amp;" ")-1),",","."))-1)/MID(SUBSTITUTE(LEFT(TRIM(C145),FIND(" ",TRIM(C145)&amp;" ")-1),",","."),FIND("/",SUBSTITUTE(LEFT(TRIM(C145),FIND(" ",TRIM(C145)&amp;" ")-1),",","."))+1,9))*12/52,IF(ISNUMBER(SEARCH("month",C145)),IFERROR(_xlfn.NUMBERVALUE(SUBSTITUTE(LEFT(TRIM(C145),FIND(" ",TRIM(C145)&amp;" ")-1),",","."),"."),LEFT(SUBSTITUTE(LEFT(TRIM(C145),FIND(" ",TRIM(C145)&amp;" ")-1),",","."),FIND("/",SUBSTITUTE(LEFT(TRIM(C145),FIND(" ",TRIM(C145)&amp;" ")-1),",","."))-1)/MID(SUBSTITUTE(LEFT(TRIM(C145),FIND(" ",TRIM(C145)&amp;" ")-1),",","."),FIND("/",SUBSTITUTE(LEFT(TRIM(C145),FIND(" ",TRIM(C145)&amp;" ")-1),",","."))+1,9)),IF(ISNUMBER(SEARCH("yea",C145)),IFERROR(_xlfn.NUMBERVALUE(SUBSTITUTE(LEFT(TRIM(C145),FIND(" ",TRIM(C145)&amp;" ")-1),",","."),"."),LEFT(SUBSTITUTE(LEFT(TRIM(C145),FIND(" ",TRIM(C145)&amp;" ")-1),",","."),FIND("/",SUBSTITUTE(LEFT(TRIM(C145),FIND(" ",TRIM(C145)&amp;" ")-1),",","."))-1)/MID(SUBSTITUTE(LEFT(TRIM(C145),FIND(" ",TRIM(C145)&amp;" ")-1),",","."),FIND("/",SUBSTITUTE(LEFT(TRIM(C145),FIND(" ",TRIM(C145)&amp;" ")-1),",","."))+1,9))*12,NA()))),0),24)*'Aturan &amp; Tarif'!$B$4,2)</f>
        <v>1362.72</v>
      </c>
      <c r="K145" s="32" t="n">
        <f aca="false">'Aturan &amp; Tarif'!$B$5</f>
        <v>2050</v>
      </c>
      <c r="L145" s="35" t="n">
        <f aca="false">I145+J145+K145</f>
        <v>11412.72</v>
      </c>
      <c r="M145" s="36" t="s">
        <v>3071</v>
      </c>
    </row>
    <row r="146" customFormat="false" ht="25.5" hidden="false" customHeight="true" outlineLevel="0" collapsed="false">
      <c r="A146" s="29"/>
      <c r="B146" s="30" t="s">
        <v>1914</v>
      </c>
      <c r="C146" s="31" t="s">
        <v>344</v>
      </c>
      <c r="D146" s="31" t="s">
        <v>737</v>
      </c>
      <c r="E146" s="32" t="n">
        <v>7800</v>
      </c>
      <c r="F146" s="32"/>
      <c r="G146" s="32" t="n">
        <v>200</v>
      </c>
      <c r="H146" s="33" t="n">
        <v>1</v>
      </c>
      <c r="I146" s="34" t="n">
        <f aca="false">E146*H146+N(F146)+N(G146)</f>
        <v>8000</v>
      </c>
      <c r="J146" s="32" t="n">
        <f aca="false">ROUND(IFERROR(ROUND(IF(OR(ISNUMBER(SEARCH("week",C146)),ISNUMBER(SEARCH("minggu",C146))),IFERROR(_xlfn.NUMBERVALUE(SUBSTITUTE(LEFT(TRIM(C146),FIND(" ",TRIM(C146)&amp;" ")-1),",","."),"."),LEFT(SUBSTITUTE(LEFT(TRIM(C146),FIND(" ",TRIM(C146)&amp;" ")-1),",","."),FIND("/",SUBSTITUTE(LEFT(TRIM(C146),FIND(" ",TRIM(C146)&amp;" ")-1),",","."))-1)/MID(SUBSTITUTE(LEFT(TRIM(C146),FIND(" ",TRIM(C146)&amp;" ")-1),",","."),FIND("/",SUBSTITUTE(LEFT(TRIM(C146),FIND(" ",TRIM(C146)&amp;" ")-1),",","."))+1,9))*12/52,IF(ISNUMBER(SEARCH("month",C146)),IFERROR(_xlfn.NUMBERVALUE(SUBSTITUTE(LEFT(TRIM(C146),FIND(" ",TRIM(C146)&amp;" ")-1),",","."),"."),LEFT(SUBSTITUTE(LEFT(TRIM(C146),FIND(" ",TRIM(C146)&amp;" ")-1),",","."),FIND("/",SUBSTITUTE(LEFT(TRIM(C146),FIND(" ",TRIM(C146)&amp;" ")-1),",","."))-1)/MID(SUBSTITUTE(LEFT(TRIM(C146),FIND(" ",TRIM(C146)&amp;" ")-1),",","."),FIND("/",SUBSTITUTE(LEFT(TRIM(C146),FIND(" ",TRIM(C146)&amp;" ")-1),",","."))+1,9)),IF(ISNUMBER(SEARCH("yea",C146)),IFERROR(_xlfn.NUMBERVALUE(SUBSTITUTE(LEFT(TRIM(C146),FIND(" ",TRIM(C146)&amp;" ")-1),",","."),"."),LEFT(SUBSTITUTE(LEFT(TRIM(C146),FIND(" ",TRIM(C146)&amp;" ")-1),",","."),FIND("/",SUBSTITUTE(LEFT(TRIM(C146),FIND(" ",TRIM(C146)&amp;" ")-1),",","."))-1)/MID(SUBSTITUTE(LEFT(TRIM(C146),FIND(" ",TRIM(C146)&amp;" ")-1),",","."),FIND("/",SUBSTITUTE(LEFT(TRIM(C146),FIND(" ",TRIM(C146)&amp;" ")-1),",","."))+1,9))*12,NA()))),0),6)*'Aturan &amp; Tarif'!$B$4,2)</f>
        <v>340.68</v>
      </c>
      <c r="K146" s="32" t="n">
        <f aca="false">'Aturan &amp; Tarif'!$B$5</f>
        <v>2050</v>
      </c>
      <c r="L146" s="35" t="n">
        <f aca="false">I146+J146+K146</f>
        <v>10390.68</v>
      </c>
      <c r="M146" s="36" t="s">
        <v>853</v>
      </c>
    </row>
    <row r="147" customFormat="false" ht="48.75" hidden="false" customHeight="true" outlineLevel="0" collapsed="false">
      <c r="A147" s="29"/>
      <c r="B147" s="30" t="s">
        <v>1915</v>
      </c>
      <c r="C147" s="31" t="s">
        <v>107</v>
      </c>
      <c r="D147" s="31" t="s">
        <v>737</v>
      </c>
      <c r="E147" s="32" t="n">
        <v>7800</v>
      </c>
      <c r="F147" s="32"/>
      <c r="G147" s="32" t="n">
        <v>200</v>
      </c>
      <c r="H147" s="33" t="n">
        <v>1</v>
      </c>
      <c r="I147" s="34" t="n">
        <f aca="false">E147*H147+N(F147)+N(G147)</f>
        <v>8000</v>
      </c>
      <c r="J147" s="32" t="n">
        <f aca="false">ROUND(IFERROR(ROUND(IF(OR(ISNUMBER(SEARCH("week",C147)),ISNUMBER(SEARCH("minggu",C147))),IFERROR(_xlfn.NUMBERVALUE(SUBSTITUTE(LEFT(TRIM(C147),FIND(" ",TRIM(C147)&amp;" ")-1),",","."),"."),LEFT(SUBSTITUTE(LEFT(TRIM(C147),FIND(" ",TRIM(C147)&amp;" ")-1),",","."),FIND("/",SUBSTITUTE(LEFT(TRIM(C147),FIND(" ",TRIM(C147)&amp;" ")-1),",","."))-1)/MID(SUBSTITUTE(LEFT(TRIM(C147),FIND(" ",TRIM(C147)&amp;" ")-1),",","."),FIND("/",SUBSTITUTE(LEFT(TRIM(C147),FIND(" ",TRIM(C147)&amp;" ")-1),",","."))+1,9))*12/52,IF(ISNUMBER(SEARCH("month",C147)),IFERROR(_xlfn.NUMBERVALUE(SUBSTITUTE(LEFT(TRIM(C147),FIND(" ",TRIM(C147)&amp;" ")-1),",","."),"."),LEFT(SUBSTITUTE(LEFT(TRIM(C147),FIND(" ",TRIM(C147)&amp;" ")-1),",","."),FIND("/",SUBSTITUTE(LEFT(TRIM(C147),FIND(" ",TRIM(C147)&amp;" ")-1),",","."))-1)/MID(SUBSTITUTE(LEFT(TRIM(C147),FIND(" ",TRIM(C147)&amp;" ")-1),",","."),FIND("/",SUBSTITUTE(LEFT(TRIM(C147),FIND(" ",TRIM(C147)&amp;" ")-1),",","."))+1,9)),IF(ISNUMBER(SEARCH("yea",C147)),IFERROR(_xlfn.NUMBERVALUE(SUBSTITUTE(LEFT(TRIM(C147),FIND(" ",TRIM(C147)&amp;" ")-1),",","."),"."),LEFT(SUBSTITUTE(LEFT(TRIM(C147),FIND(" ",TRIM(C147)&amp;" ")-1),",","."),FIND("/",SUBSTITUTE(LEFT(TRIM(C147),FIND(" ",TRIM(C147)&amp;" ")-1),",","."))-1)/MID(SUBSTITUTE(LEFT(TRIM(C147),FIND(" ",TRIM(C147)&amp;" ")-1),",","."),FIND("/",SUBSTITUTE(LEFT(TRIM(C147),FIND(" ",TRIM(C147)&amp;" ")-1),",","."))+1,9))*12,NA()))),0),24)*'Aturan &amp; Tarif'!$B$4,2)</f>
        <v>1362.72</v>
      </c>
      <c r="K147" s="32" t="n">
        <f aca="false">'Aturan &amp; Tarif'!$B$5</f>
        <v>2050</v>
      </c>
      <c r="L147" s="35" t="n">
        <f aca="false">I147+J147+K147</f>
        <v>11412.72</v>
      </c>
      <c r="M147" s="36" t="s">
        <v>3071</v>
      </c>
    </row>
    <row r="148" customFormat="false" ht="37.5" hidden="false" customHeight="true" outlineLevel="0" collapsed="false">
      <c r="A148" s="29"/>
      <c r="B148" s="30" t="s">
        <v>1916</v>
      </c>
      <c r="C148" s="31" t="s">
        <v>852</v>
      </c>
      <c r="D148" s="31" t="s">
        <v>737</v>
      </c>
      <c r="E148" s="32" t="n">
        <v>7800</v>
      </c>
      <c r="F148" s="32"/>
      <c r="G148" s="32" t="n">
        <v>200</v>
      </c>
      <c r="H148" s="33" t="n">
        <v>1</v>
      </c>
      <c r="I148" s="34" t="n">
        <f aca="false">E148*H148+N(F148)+N(G148)</f>
        <v>8000</v>
      </c>
      <c r="J148" s="32" t="n">
        <f aca="false">ROUND(IFERROR(ROUND(IF(OR(ISNUMBER(SEARCH("week",C148)),ISNUMBER(SEARCH("minggu",C148))),IFERROR(_xlfn.NUMBERVALUE(SUBSTITUTE(LEFT(TRIM(C148),FIND(" ",TRIM(C148)&amp;" ")-1),",","."),"."),LEFT(SUBSTITUTE(LEFT(TRIM(C148),FIND(" ",TRIM(C148)&amp;" ")-1),",","."),FIND("/",SUBSTITUTE(LEFT(TRIM(C148),FIND(" ",TRIM(C148)&amp;" ")-1),",","."))-1)/MID(SUBSTITUTE(LEFT(TRIM(C148),FIND(" ",TRIM(C148)&amp;" ")-1),",","."),FIND("/",SUBSTITUTE(LEFT(TRIM(C148),FIND(" ",TRIM(C148)&amp;" ")-1),",","."))+1,9))*12/52,IF(ISNUMBER(SEARCH("month",C148)),IFERROR(_xlfn.NUMBERVALUE(SUBSTITUTE(LEFT(TRIM(C148),FIND(" ",TRIM(C148)&amp;" ")-1),",","."),"."),LEFT(SUBSTITUTE(LEFT(TRIM(C148),FIND(" ",TRIM(C148)&amp;" ")-1),",","."),FIND("/",SUBSTITUTE(LEFT(TRIM(C148),FIND(" ",TRIM(C148)&amp;" ")-1),",","."))-1)/MID(SUBSTITUTE(LEFT(TRIM(C148),FIND(" ",TRIM(C148)&amp;" ")-1),",","."),FIND("/",SUBSTITUTE(LEFT(TRIM(C148),FIND(" ",TRIM(C148)&amp;" ")-1),",","."))+1,9)),IF(ISNUMBER(SEARCH("yea",C148)),IFERROR(_xlfn.NUMBERVALUE(SUBSTITUTE(LEFT(TRIM(C148),FIND(" ",TRIM(C148)&amp;" ")-1),",","."),"."),LEFT(SUBSTITUTE(LEFT(TRIM(C148),FIND(" ",TRIM(C148)&amp;" ")-1),",","."),FIND("/",SUBSTITUTE(LEFT(TRIM(C148),FIND(" ",TRIM(C148)&amp;" ")-1),",","."))-1)/MID(SUBSTITUTE(LEFT(TRIM(C148),FIND(" ",TRIM(C148)&amp;" ")-1),",","."),FIND("/",SUBSTITUTE(LEFT(TRIM(C148),FIND(" ",TRIM(C148)&amp;" ")-1),",","."))+1,9))*12,NA()))),0),9)*'Aturan &amp; Tarif'!$B$4,2)</f>
        <v>511.02</v>
      </c>
      <c r="K148" s="32" t="n">
        <f aca="false">'Aturan &amp; Tarif'!$B$5</f>
        <v>2050</v>
      </c>
      <c r="L148" s="35" t="n">
        <f aca="false">I148+J148+K148</f>
        <v>10561.02</v>
      </c>
      <c r="M148" s="36" t="s">
        <v>853</v>
      </c>
    </row>
    <row r="149" customFormat="false" ht="37.5" hidden="false" customHeight="true" outlineLevel="0" collapsed="false">
      <c r="A149" s="29"/>
      <c r="B149" s="30" t="s">
        <v>1917</v>
      </c>
      <c r="C149" s="31" t="s">
        <v>130</v>
      </c>
      <c r="D149" s="31" t="s">
        <v>737</v>
      </c>
      <c r="E149" s="32" t="n">
        <v>7800</v>
      </c>
      <c r="F149" s="32"/>
      <c r="G149" s="32" t="n">
        <v>200</v>
      </c>
      <c r="H149" s="33" t="n">
        <v>1</v>
      </c>
      <c r="I149" s="34" t="n">
        <f aca="false">E149*H149+N(F149)+N(G149)</f>
        <v>8000</v>
      </c>
      <c r="J149" s="32" t="n">
        <f aca="false">ROUND(IFERROR(ROUND(IF(OR(ISNUMBER(SEARCH("week",C149)),ISNUMBER(SEARCH("minggu",C149))),IFERROR(_xlfn.NUMBERVALUE(SUBSTITUTE(LEFT(TRIM(C149),FIND(" ",TRIM(C149)&amp;" ")-1),",","."),"."),LEFT(SUBSTITUTE(LEFT(TRIM(C149),FIND(" ",TRIM(C149)&amp;" ")-1),",","."),FIND("/",SUBSTITUTE(LEFT(TRIM(C149),FIND(" ",TRIM(C149)&amp;" ")-1),",","."))-1)/MID(SUBSTITUTE(LEFT(TRIM(C149),FIND(" ",TRIM(C149)&amp;" ")-1),",","."),FIND("/",SUBSTITUTE(LEFT(TRIM(C149),FIND(" ",TRIM(C149)&amp;" ")-1),",","."))+1,9))*12/52,IF(ISNUMBER(SEARCH("month",C149)),IFERROR(_xlfn.NUMBERVALUE(SUBSTITUTE(LEFT(TRIM(C149),FIND(" ",TRIM(C149)&amp;" ")-1),",","."),"."),LEFT(SUBSTITUTE(LEFT(TRIM(C149),FIND(" ",TRIM(C149)&amp;" ")-1),",","."),FIND("/",SUBSTITUTE(LEFT(TRIM(C149),FIND(" ",TRIM(C149)&amp;" ")-1),",","."))-1)/MID(SUBSTITUTE(LEFT(TRIM(C149),FIND(" ",TRIM(C149)&amp;" ")-1),",","."),FIND("/",SUBSTITUTE(LEFT(TRIM(C149),FIND(" ",TRIM(C149)&amp;" ")-1),",","."))+1,9)),IF(ISNUMBER(SEARCH("yea",C149)),IFERROR(_xlfn.NUMBERVALUE(SUBSTITUTE(LEFT(TRIM(C149),FIND(" ",TRIM(C149)&amp;" ")-1),",","."),"."),LEFT(SUBSTITUTE(LEFT(TRIM(C149),FIND(" ",TRIM(C149)&amp;" ")-1),",","."),FIND("/",SUBSTITUTE(LEFT(TRIM(C149),FIND(" ",TRIM(C149)&amp;" ")-1),",","."))-1)/MID(SUBSTITUTE(LEFT(TRIM(C149),FIND(" ",TRIM(C149)&amp;" ")-1),",","."),FIND("/",SUBSTITUTE(LEFT(TRIM(C149),FIND(" ",TRIM(C149)&amp;" ")-1),",","."))+1,9))*12,NA()))),0),12)*'Aturan &amp; Tarif'!$B$4,2)</f>
        <v>681.36</v>
      </c>
      <c r="K149" s="32" t="n">
        <f aca="false">'Aturan &amp; Tarif'!$B$5</f>
        <v>2050</v>
      </c>
      <c r="L149" s="35" t="n">
        <f aca="false">I149+J149+K149</f>
        <v>10731.36</v>
      </c>
      <c r="M149" s="36" t="s">
        <v>853</v>
      </c>
    </row>
    <row r="150" customFormat="false" ht="94.5" hidden="false" customHeight="true" outlineLevel="0" collapsed="false">
      <c r="A150" s="29"/>
      <c r="B150" s="30" t="s">
        <v>3072</v>
      </c>
      <c r="C150" s="31" t="s">
        <v>107</v>
      </c>
      <c r="D150" s="31" t="s">
        <v>737</v>
      </c>
      <c r="E150" s="32" t="n">
        <v>7800</v>
      </c>
      <c r="F150" s="32"/>
      <c r="G150" s="32" t="n">
        <v>200</v>
      </c>
      <c r="H150" s="33" t="n">
        <v>1</v>
      </c>
      <c r="I150" s="34" t="n">
        <f aca="false">E150*H150+N(F150)+N(G150)</f>
        <v>8000</v>
      </c>
      <c r="J150" s="32" t="n">
        <f aca="false">ROUND(IFERROR(ROUND(IF(OR(ISNUMBER(SEARCH("week",C150)),ISNUMBER(SEARCH("minggu",C150))),IFERROR(_xlfn.NUMBERVALUE(SUBSTITUTE(LEFT(TRIM(C150),FIND(" ",TRIM(C150)&amp;" ")-1),",","."),"."),LEFT(SUBSTITUTE(LEFT(TRIM(C150),FIND(" ",TRIM(C150)&amp;" ")-1),",","."),FIND("/",SUBSTITUTE(LEFT(TRIM(C150),FIND(" ",TRIM(C150)&amp;" ")-1),",","."))-1)/MID(SUBSTITUTE(LEFT(TRIM(C150),FIND(" ",TRIM(C150)&amp;" ")-1),",","."),FIND("/",SUBSTITUTE(LEFT(TRIM(C150),FIND(" ",TRIM(C150)&amp;" ")-1),",","."))+1,9))*12/52,IF(ISNUMBER(SEARCH("month",C150)),IFERROR(_xlfn.NUMBERVALUE(SUBSTITUTE(LEFT(TRIM(C150),FIND(" ",TRIM(C150)&amp;" ")-1),",","."),"."),LEFT(SUBSTITUTE(LEFT(TRIM(C150),FIND(" ",TRIM(C150)&amp;" ")-1),",","."),FIND("/",SUBSTITUTE(LEFT(TRIM(C150),FIND(" ",TRIM(C150)&amp;" ")-1),",","."))-1)/MID(SUBSTITUTE(LEFT(TRIM(C150),FIND(" ",TRIM(C150)&amp;" ")-1),",","."),FIND("/",SUBSTITUTE(LEFT(TRIM(C150),FIND(" ",TRIM(C150)&amp;" ")-1),",","."))+1,9)),IF(ISNUMBER(SEARCH("yea",C150)),IFERROR(_xlfn.NUMBERVALUE(SUBSTITUTE(LEFT(TRIM(C150),FIND(" ",TRIM(C150)&amp;" ")-1),",","."),"."),LEFT(SUBSTITUTE(LEFT(TRIM(C150),FIND(" ",TRIM(C150)&amp;" ")-1),",","."),FIND("/",SUBSTITUTE(LEFT(TRIM(C150),FIND(" ",TRIM(C150)&amp;" ")-1),",","."))-1)/MID(SUBSTITUTE(LEFT(TRIM(C150),FIND(" ",TRIM(C150)&amp;" ")-1),",","."),FIND("/",SUBSTITUTE(LEFT(TRIM(C150),FIND(" ",TRIM(C150)&amp;" ")-1),",","."))+1,9))*12,NA()))),0),24)*'Aturan &amp; Tarif'!$B$4,2)</f>
        <v>1362.72</v>
      </c>
      <c r="K150" s="32" t="n">
        <f aca="false">'Aturan &amp; Tarif'!$B$5</f>
        <v>2050</v>
      </c>
      <c r="L150" s="35" t="n">
        <f aca="false">I150+J150+K150</f>
        <v>11412.72</v>
      </c>
      <c r="M150" s="36" t="s">
        <v>3071</v>
      </c>
    </row>
    <row r="151" customFormat="false" ht="25.5" hidden="false" customHeight="true" outlineLevel="0" collapsed="false">
      <c r="A151" s="29" t="s">
        <v>1918</v>
      </c>
      <c r="B151" s="30" t="s">
        <v>968</v>
      </c>
      <c r="C151" s="31" t="s">
        <v>127</v>
      </c>
      <c r="D151" s="31" t="s">
        <v>737</v>
      </c>
      <c r="E151" s="32" t="n">
        <v>4400</v>
      </c>
      <c r="F151" s="32" t="n">
        <v>250</v>
      </c>
      <c r="G151" s="32" t="n">
        <v>250</v>
      </c>
      <c r="H151" s="33" t="n">
        <v>1</v>
      </c>
      <c r="I151" s="34" t="n">
        <f aca="false">E151*H151+N(F151)+N(G151)</f>
        <v>4900</v>
      </c>
      <c r="J151" s="32" t="n">
        <f aca="false">ROUND(IFERROR(ROUND(IF(OR(ISNUMBER(SEARCH("week",C151)),ISNUMBER(SEARCH("minggu",C151))),IFERROR(_xlfn.NUMBERVALUE(SUBSTITUTE(LEFT(TRIM(C151),FIND(" ",TRIM(C151)&amp;" ")-1),",","."),"."),LEFT(SUBSTITUTE(LEFT(TRIM(C151),FIND(" ",TRIM(C151)&amp;" ")-1),",","."),FIND("/",SUBSTITUTE(LEFT(TRIM(C151),FIND(" ",TRIM(C151)&amp;" ")-1),",","."))-1)/MID(SUBSTITUTE(LEFT(TRIM(C151),FIND(" ",TRIM(C151)&amp;" ")-1),",","."),FIND("/",SUBSTITUTE(LEFT(TRIM(C151),FIND(" ",TRIM(C151)&amp;" ")-1),",","."))+1,9))*12/52,IF(ISNUMBER(SEARCH("month",C151)),IFERROR(_xlfn.NUMBERVALUE(SUBSTITUTE(LEFT(TRIM(C151),FIND(" ",TRIM(C151)&amp;" ")-1),",","."),"."),LEFT(SUBSTITUTE(LEFT(TRIM(C151),FIND(" ",TRIM(C151)&amp;" ")-1),",","."),FIND("/",SUBSTITUTE(LEFT(TRIM(C151),FIND(" ",TRIM(C151)&amp;" ")-1),",","."))-1)/MID(SUBSTITUTE(LEFT(TRIM(C151),FIND(" ",TRIM(C151)&amp;" ")-1),",","."),FIND("/",SUBSTITUTE(LEFT(TRIM(C151),FIND(" ",TRIM(C151)&amp;" ")-1),",","."))+1,9)),IF(ISNUMBER(SEARCH("yea",C151)),IFERROR(_xlfn.NUMBERVALUE(SUBSTITUTE(LEFT(TRIM(C151),FIND(" ",TRIM(C151)&amp;" ")-1),",","."),"."),LEFT(SUBSTITUTE(LEFT(TRIM(C151),FIND(" ",TRIM(C151)&amp;" ")-1),",","."),FIND("/",SUBSTITUTE(LEFT(TRIM(C151),FIND(" ",TRIM(C151)&amp;" ")-1),",","."))-1)/MID(SUBSTITUTE(LEFT(TRIM(C151),FIND(" ",TRIM(C151)&amp;" ")-1),",","."),FIND("/",SUBSTITUTE(LEFT(TRIM(C151),FIND(" ",TRIM(C151)&amp;" ")-1),",","."))+1,9))*12,NA()))),0),36)*'Aturan &amp; Tarif'!$B$4,2)</f>
        <v>2044.08</v>
      </c>
      <c r="K151" s="32" t="n">
        <f aca="false">'Aturan &amp; Tarif'!$B$5</f>
        <v>2050</v>
      </c>
      <c r="L151" s="35" t="n">
        <f aca="false">I151+J151+K151</f>
        <v>8994.08</v>
      </c>
      <c r="M151" s="37" t="s">
        <v>134</v>
      </c>
    </row>
    <row r="152" customFormat="false" ht="25.5" hidden="false" customHeight="true" outlineLevel="0" collapsed="false">
      <c r="A152" s="29"/>
      <c r="B152" s="30" t="s">
        <v>3073</v>
      </c>
      <c r="C152" s="31" t="s">
        <v>127</v>
      </c>
      <c r="D152" s="31" t="s">
        <v>737</v>
      </c>
      <c r="E152" s="32" t="n">
        <v>4400</v>
      </c>
      <c r="F152" s="32" t="n">
        <v>250</v>
      </c>
      <c r="G152" s="32" t="n">
        <v>250</v>
      </c>
      <c r="H152" s="33" t="n">
        <v>1</v>
      </c>
      <c r="I152" s="34" t="n">
        <f aca="false">E152*H152+N(F152)+N(G152)</f>
        <v>4900</v>
      </c>
      <c r="J152" s="32" t="n">
        <f aca="false">ROUND(IFERROR(ROUND(IF(OR(ISNUMBER(SEARCH("week",C152)),ISNUMBER(SEARCH("minggu",C152))),IFERROR(_xlfn.NUMBERVALUE(SUBSTITUTE(LEFT(TRIM(C152),FIND(" ",TRIM(C152)&amp;" ")-1),",","."),"."),LEFT(SUBSTITUTE(LEFT(TRIM(C152),FIND(" ",TRIM(C152)&amp;" ")-1),",","."),FIND("/",SUBSTITUTE(LEFT(TRIM(C152),FIND(" ",TRIM(C152)&amp;" ")-1),",","."))-1)/MID(SUBSTITUTE(LEFT(TRIM(C152),FIND(" ",TRIM(C152)&amp;" ")-1),",","."),FIND("/",SUBSTITUTE(LEFT(TRIM(C152),FIND(" ",TRIM(C152)&amp;" ")-1),",","."))+1,9))*12/52,IF(ISNUMBER(SEARCH("month",C152)),IFERROR(_xlfn.NUMBERVALUE(SUBSTITUTE(LEFT(TRIM(C152),FIND(" ",TRIM(C152)&amp;" ")-1),",","."),"."),LEFT(SUBSTITUTE(LEFT(TRIM(C152),FIND(" ",TRIM(C152)&amp;" ")-1),",","."),FIND("/",SUBSTITUTE(LEFT(TRIM(C152),FIND(" ",TRIM(C152)&amp;" ")-1),",","."))-1)/MID(SUBSTITUTE(LEFT(TRIM(C152),FIND(" ",TRIM(C152)&amp;" ")-1),",","."),FIND("/",SUBSTITUTE(LEFT(TRIM(C152),FIND(" ",TRIM(C152)&amp;" ")-1),",","."))+1,9)),IF(ISNUMBER(SEARCH("yea",C152)),IFERROR(_xlfn.NUMBERVALUE(SUBSTITUTE(LEFT(TRIM(C152),FIND(" ",TRIM(C152)&amp;" ")-1),",","."),"."),LEFT(SUBSTITUTE(LEFT(TRIM(C152),FIND(" ",TRIM(C152)&amp;" ")-1),",","."),FIND("/",SUBSTITUTE(LEFT(TRIM(C152),FIND(" ",TRIM(C152)&amp;" ")-1),",","."))-1)/MID(SUBSTITUTE(LEFT(TRIM(C152),FIND(" ",TRIM(C152)&amp;" ")-1),",","."),FIND("/",SUBSTITUTE(LEFT(TRIM(C152),FIND(" ",TRIM(C152)&amp;" ")-1),",","."))+1,9))*12,NA()))),0),36)*'Aturan &amp; Tarif'!$B$4,2)</f>
        <v>2044.08</v>
      </c>
      <c r="K152" s="32" t="n">
        <f aca="false">'Aturan &amp; Tarif'!$B$5</f>
        <v>2050</v>
      </c>
      <c r="L152" s="35" t="n">
        <f aca="false">I152+J152+K152</f>
        <v>8994.08</v>
      </c>
      <c r="M152" s="37" t="s">
        <v>134</v>
      </c>
    </row>
    <row r="153" customFormat="false" ht="37.5" hidden="false" customHeight="true" outlineLevel="0" collapsed="false">
      <c r="A153" s="29"/>
      <c r="B153" s="30" t="s">
        <v>3074</v>
      </c>
      <c r="C153" s="31" t="s">
        <v>127</v>
      </c>
      <c r="D153" s="31" t="s">
        <v>737</v>
      </c>
      <c r="E153" s="32" t="n">
        <v>4400</v>
      </c>
      <c r="F153" s="32" t="n">
        <v>250</v>
      </c>
      <c r="G153" s="32" t="n">
        <v>250</v>
      </c>
      <c r="H153" s="33" t="n">
        <v>1</v>
      </c>
      <c r="I153" s="34" t="n">
        <f aca="false">E153*H153+N(F153)+N(G153)</f>
        <v>4900</v>
      </c>
      <c r="J153" s="32" t="n">
        <f aca="false">ROUND(IFERROR(ROUND(IF(OR(ISNUMBER(SEARCH("week",C153)),ISNUMBER(SEARCH("minggu",C153))),IFERROR(_xlfn.NUMBERVALUE(SUBSTITUTE(LEFT(TRIM(C153),FIND(" ",TRIM(C153)&amp;" ")-1),",","."),"."),LEFT(SUBSTITUTE(LEFT(TRIM(C153),FIND(" ",TRIM(C153)&amp;" ")-1),",","."),FIND("/",SUBSTITUTE(LEFT(TRIM(C153),FIND(" ",TRIM(C153)&amp;" ")-1),",","."))-1)/MID(SUBSTITUTE(LEFT(TRIM(C153),FIND(" ",TRIM(C153)&amp;" ")-1),",","."),FIND("/",SUBSTITUTE(LEFT(TRIM(C153),FIND(" ",TRIM(C153)&amp;" ")-1),",","."))+1,9))*12/52,IF(ISNUMBER(SEARCH("month",C153)),IFERROR(_xlfn.NUMBERVALUE(SUBSTITUTE(LEFT(TRIM(C153),FIND(" ",TRIM(C153)&amp;" ")-1),",","."),"."),LEFT(SUBSTITUTE(LEFT(TRIM(C153),FIND(" ",TRIM(C153)&amp;" ")-1),",","."),FIND("/",SUBSTITUTE(LEFT(TRIM(C153),FIND(" ",TRIM(C153)&amp;" ")-1),",","."))-1)/MID(SUBSTITUTE(LEFT(TRIM(C153),FIND(" ",TRIM(C153)&amp;" ")-1),",","."),FIND("/",SUBSTITUTE(LEFT(TRIM(C153),FIND(" ",TRIM(C153)&amp;" ")-1),",","."))+1,9)),IF(ISNUMBER(SEARCH("yea",C153)),IFERROR(_xlfn.NUMBERVALUE(SUBSTITUTE(LEFT(TRIM(C153),FIND(" ",TRIM(C153)&amp;" ")-1),",","."),"."),LEFT(SUBSTITUTE(LEFT(TRIM(C153),FIND(" ",TRIM(C153)&amp;" ")-1),",","."),FIND("/",SUBSTITUTE(LEFT(TRIM(C153),FIND(" ",TRIM(C153)&amp;" ")-1),",","."))-1)/MID(SUBSTITUTE(LEFT(TRIM(C153),FIND(" ",TRIM(C153)&amp;" ")-1),",","."),FIND("/",SUBSTITUTE(LEFT(TRIM(C153),FIND(" ",TRIM(C153)&amp;" ")-1),",","."))+1,9))*12,NA()))),0),36)*'Aturan &amp; Tarif'!$B$4,2)</f>
        <v>2044.08</v>
      </c>
      <c r="K153" s="32" t="n">
        <f aca="false">'Aturan &amp; Tarif'!$B$5</f>
        <v>2050</v>
      </c>
      <c r="L153" s="35" t="n">
        <f aca="false">I153+J153+K153</f>
        <v>8994.08</v>
      </c>
      <c r="M153" s="37" t="s">
        <v>134</v>
      </c>
    </row>
    <row r="154" customFormat="false" ht="14.25" hidden="false" customHeight="true" outlineLevel="0" collapsed="false">
      <c r="A154" s="29"/>
      <c r="B154" s="30" t="s">
        <v>3075</v>
      </c>
      <c r="C154" s="31" t="s">
        <v>127</v>
      </c>
      <c r="D154" s="31" t="s">
        <v>737</v>
      </c>
      <c r="E154" s="32" t="n">
        <v>4400</v>
      </c>
      <c r="F154" s="32" t="n">
        <v>250</v>
      </c>
      <c r="G154" s="32" t="n">
        <v>250</v>
      </c>
      <c r="H154" s="33" t="n">
        <v>1</v>
      </c>
      <c r="I154" s="34" t="n">
        <f aca="false">E154*H154+N(F154)+N(G154)</f>
        <v>4900</v>
      </c>
      <c r="J154" s="32" t="n">
        <f aca="false">ROUND(IFERROR(ROUND(IF(OR(ISNUMBER(SEARCH("week",C154)),ISNUMBER(SEARCH("minggu",C154))),IFERROR(_xlfn.NUMBERVALUE(SUBSTITUTE(LEFT(TRIM(C154),FIND(" ",TRIM(C154)&amp;" ")-1),",","."),"."),LEFT(SUBSTITUTE(LEFT(TRIM(C154),FIND(" ",TRIM(C154)&amp;" ")-1),",","."),FIND("/",SUBSTITUTE(LEFT(TRIM(C154),FIND(" ",TRIM(C154)&amp;" ")-1),",","."))-1)/MID(SUBSTITUTE(LEFT(TRIM(C154),FIND(" ",TRIM(C154)&amp;" ")-1),",","."),FIND("/",SUBSTITUTE(LEFT(TRIM(C154),FIND(" ",TRIM(C154)&amp;" ")-1),",","."))+1,9))*12/52,IF(ISNUMBER(SEARCH("month",C154)),IFERROR(_xlfn.NUMBERVALUE(SUBSTITUTE(LEFT(TRIM(C154),FIND(" ",TRIM(C154)&amp;" ")-1),",","."),"."),LEFT(SUBSTITUTE(LEFT(TRIM(C154),FIND(" ",TRIM(C154)&amp;" ")-1),",","."),FIND("/",SUBSTITUTE(LEFT(TRIM(C154),FIND(" ",TRIM(C154)&amp;" ")-1),",","."))-1)/MID(SUBSTITUTE(LEFT(TRIM(C154),FIND(" ",TRIM(C154)&amp;" ")-1),",","."),FIND("/",SUBSTITUTE(LEFT(TRIM(C154),FIND(" ",TRIM(C154)&amp;" ")-1),",","."))+1,9)),IF(ISNUMBER(SEARCH("yea",C154)),IFERROR(_xlfn.NUMBERVALUE(SUBSTITUTE(LEFT(TRIM(C154),FIND(" ",TRIM(C154)&amp;" ")-1),",","."),"."),LEFT(SUBSTITUTE(LEFT(TRIM(C154),FIND(" ",TRIM(C154)&amp;" ")-1),",","."),FIND("/",SUBSTITUTE(LEFT(TRIM(C154),FIND(" ",TRIM(C154)&amp;" ")-1),",","."))-1)/MID(SUBSTITUTE(LEFT(TRIM(C154),FIND(" ",TRIM(C154)&amp;" ")-1),",","."),FIND("/",SUBSTITUTE(LEFT(TRIM(C154),FIND(" ",TRIM(C154)&amp;" ")-1),",","."))+1,9))*12,NA()))),0),36)*'Aturan &amp; Tarif'!$B$4,2)</f>
        <v>2044.08</v>
      </c>
      <c r="K154" s="32" t="n">
        <f aca="false">'Aturan &amp; Tarif'!$B$5</f>
        <v>2050</v>
      </c>
      <c r="L154" s="35" t="n">
        <f aca="false">I154+J154+K154</f>
        <v>8994.08</v>
      </c>
      <c r="M154" s="37" t="s">
        <v>134</v>
      </c>
    </row>
    <row r="155" customFormat="false" ht="25.5" hidden="false" customHeight="true" outlineLevel="0" collapsed="false">
      <c r="A155" s="29"/>
      <c r="B155" s="30" t="s">
        <v>3076</v>
      </c>
      <c r="C155" s="31" t="s">
        <v>127</v>
      </c>
      <c r="D155" s="31" t="s">
        <v>737</v>
      </c>
      <c r="E155" s="32" t="n">
        <v>4400</v>
      </c>
      <c r="F155" s="32" t="n">
        <v>250</v>
      </c>
      <c r="G155" s="32" t="n">
        <v>250</v>
      </c>
      <c r="H155" s="33" t="n">
        <v>1</v>
      </c>
      <c r="I155" s="34" t="n">
        <f aca="false">E155*H155+N(F155)+N(G155)</f>
        <v>4900</v>
      </c>
      <c r="J155" s="32" t="n">
        <f aca="false">ROUND(IFERROR(ROUND(IF(OR(ISNUMBER(SEARCH("week",C155)),ISNUMBER(SEARCH("minggu",C155))),IFERROR(_xlfn.NUMBERVALUE(SUBSTITUTE(LEFT(TRIM(C155),FIND(" ",TRIM(C155)&amp;" ")-1),",","."),"."),LEFT(SUBSTITUTE(LEFT(TRIM(C155),FIND(" ",TRIM(C155)&amp;" ")-1),",","."),FIND("/",SUBSTITUTE(LEFT(TRIM(C155),FIND(" ",TRIM(C155)&amp;" ")-1),",","."))-1)/MID(SUBSTITUTE(LEFT(TRIM(C155),FIND(" ",TRIM(C155)&amp;" ")-1),",","."),FIND("/",SUBSTITUTE(LEFT(TRIM(C155),FIND(" ",TRIM(C155)&amp;" ")-1),",","."))+1,9))*12/52,IF(ISNUMBER(SEARCH("month",C155)),IFERROR(_xlfn.NUMBERVALUE(SUBSTITUTE(LEFT(TRIM(C155),FIND(" ",TRIM(C155)&amp;" ")-1),",","."),"."),LEFT(SUBSTITUTE(LEFT(TRIM(C155),FIND(" ",TRIM(C155)&amp;" ")-1),",","."),FIND("/",SUBSTITUTE(LEFT(TRIM(C155),FIND(" ",TRIM(C155)&amp;" ")-1),",","."))-1)/MID(SUBSTITUTE(LEFT(TRIM(C155),FIND(" ",TRIM(C155)&amp;" ")-1),",","."),FIND("/",SUBSTITUTE(LEFT(TRIM(C155),FIND(" ",TRIM(C155)&amp;" ")-1),",","."))+1,9)),IF(ISNUMBER(SEARCH("yea",C155)),IFERROR(_xlfn.NUMBERVALUE(SUBSTITUTE(LEFT(TRIM(C155),FIND(" ",TRIM(C155)&amp;" ")-1),",","."),"."),LEFT(SUBSTITUTE(LEFT(TRIM(C155),FIND(" ",TRIM(C155)&amp;" ")-1),",","."),FIND("/",SUBSTITUTE(LEFT(TRIM(C155),FIND(" ",TRIM(C155)&amp;" ")-1),",","."))-1)/MID(SUBSTITUTE(LEFT(TRIM(C155),FIND(" ",TRIM(C155)&amp;" ")-1),",","."),FIND("/",SUBSTITUTE(LEFT(TRIM(C155),FIND(" ",TRIM(C155)&amp;" ")-1),",","."))+1,9))*12,NA()))),0),36)*'Aturan &amp; Tarif'!$B$4,2)</f>
        <v>2044.08</v>
      </c>
      <c r="K155" s="32" t="n">
        <f aca="false">'Aturan &amp; Tarif'!$B$5</f>
        <v>2050</v>
      </c>
      <c r="L155" s="35" t="n">
        <f aca="false">I155+J155+K155</f>
        <v>8994.08</v>
      </c>
      <c r="M155" s="37" t="s">
        <v>134</v>
      </c>
    </row>
    <row r="156" customFormat="false" ht="14.25" hidden="false" customHeight="true" outlineLevel="0" collapsed="false">
      <c r="A156" s="39" t="s">
        <v>1924</v>
      </c>
      <c r="B156" s="40" t="s">
        <v>3077</v>
      </c>
      <c r="C156" s="41" t="s">
        <v>127</v>
      </c>
      <c r="D156" s="41" t="s">
        <v>108</v>
      </c>
      <c r="E156" s="42" t="n">
        <v>3000</v>
      </c>
      <c r="F156" s="42"/>
      <c r="G156" s="42" t="n">
        <v>500</v>
      </c>
      <c r="H156" s="43" t="n">
        <v>2</v>
      </c>
      <c r="I156" s="34" t="n">
        <f aca="false">E156*H156+N(F156)+N(G156)</f>
        <v>6500</v>
      </c>
      <c r="J156" s="42" t="n">
        <f aca="false">ROUND(IFERROR(ROUND(IF(OR(ISNUMBER(SEARCH("week",C156)),ISNUMBER(SEARCH("minggu",C156))),IFERROR(_xlfn.NUMBERVALUE(SUBSTITUTE(LEFT(TRIM(C156),FIND(" ",TRIM(C156)&amp;" ")-1),",","."),"."),LEFT(SUBSTITUTE(LEFT(TRIM(C156),FIND(" ",TRIM(C156)&amp;" ")-1),",","."),FIND("/",SUBSTITUTE(LEFT(TRIM(C156),FIND(" ",TRIM(C156)&amp;" ")-1),",","."))-1)/MID(SUBSTITUTE(LEFT(TRIM(C156),FIND(" ",TRIM(C156)&amp;" ")-1),",","."),FIND("/",SUBSTITUTE(LEFT(TRIM(C156),FIND(" ",TRIM(C156)&amp;" ")-1),",","."))+1,9))*12/52,IF(ISNUMBER(SEARCH("month",C156)),IFERROR(_xlfn.NUMBERVALUE(SUBSTITUTE(LEFT(TRIM(C156),FIND(" ",TRIM(C156)&amp;" ")-1),",","."),"."),LEFT(SUBSTITUTE(LEFT(TRIM(C156),FIND(" ",TRIM(C156)&amp;" ")-1),",","."),FIND("/",SUBSTITUTE(LEFT(TRIM(C156),FIND(" ",TRIM(C156)&amp;" ")-1),",","."))-1)/MID(SUBSTITUTE(LEFT(TRIM(C156),FIND(" ",TRIM(C156)&amp;" ")-1),",","."),FIND("/",SUBSTITUTE(LEFT(TRIM(C156),FIND(" ",TRIM(C156)&amp;" ")-1),",","."))+1,9)),IF(ISNUMBER(SEARCH("yea",C156)),IFERROR(_xlfn.NUMBERVALUE(SUBSTITUTE(LEFT(TRIM(C156),FIND(" ",TRIM(C156)&amp;" ")-1),",","."),"."),LEFT(SUBSTITUTE(LEFT(TRIM(C156),FIND(" ",TRIM(C156)&amp;" ")-1),",","."),FIND("/",SUBSTITUTE(LEFT(TRIM(C156),FIND(" ",TRIM(C156)&amp;" ")-1),",","."))-1)/MID(SUBSTITUTE(LEFT(TRIM(C156),FIND(" ",TRIM(C156)&amp;" ")-1),",","."),FIND("/",SUBSTITUTE(LEFT(TRIM(C156),FIND(" ",TRIM(C156)&amp;" ")-1),",","."))+1,9))*12,NA()))),0),36)*'Aturan &amp; Tarif'!$B$4,2)</f>
        <v>2044.08</v>
      </c>
      <c r="K156" s="42" t="n">
        <f aca="false">'Aturan &amp; Tarif'!$B$5</f>
        <v>2050</v>
      </c>
      <c r="L156" s="35" t="n">
        <f aca="false">I156+J156+K156</f>
        <v>10594.08</v>
      </c>
      <c r="M156" s="45" t="s">
        <v>862</v>
      </c>
    </row>
    <row r="157" customFormat="false" ht="25.5" hidden="false" customHeight="true" outlineLevel="0" collapsed="false">
      <c r="A157" s="39"/>
      <c r="B157" s="40" t="s">
        <v>863</v>
      </c>
      <c r="C157" s="41" t="s">
        <v>130</v>
      </c>
      <c r="D157" s="41" t="s">
        <v>108</v>
      </c>
      <c r="E157" s="42" t="n">
        <v>3500</v>
      </c>
      <c r="F157" s="42"/>
      <c r="G157" s="42" t="n">
        <v>500</v>
      </c>
      <c r="H157" s="43" t="n">
        <v>2</v>
      </c>
      <c r="I157" s="34" t="n">
        <f aca="false">E157*H157+N(F157)+N(G157)</f>
        <v>7500</v>
      </c>
      <c r="J157" s="42" t="n">
        <f aca="false">ROUND(IFERROR(ROUND(IF(OR(ISNUMBER(SEARCH("week",C157)),ISNUMBER(SEARCH("minggu",C157))),IFERROR(_xlfn.NUMBERVALUE(SUBSTITUTE(LEFT(TRIM(C157),FIND(" ",TRIM(C157)&amp;" ")-1),",","."),"."),LEFT(SUBSTITUTE(LEFT(TRIM(C157),FIND(" ",TRIM(C157)&amp;" ")-1),",","."),FIND("/",SUBSTITUTE(LEFT(TRIM(C157),FIND(" ",TRIM(C157)&amp;" ")-1),",","."))-1)/MID(SUBSTITUTE(LEFT(TRIM(C157),FIND(" ",TRIM(C157)&amp;" ")-1),",","."),FIND("/",SUBSTITUTE(LEFT(TRIM(C157),FIND(" ",TRIM(C157)&amp;" ")-1),",","."))+1,9))*12/52,IF(ISNUMBER(SEARCH("month",C157)),IFERROR(_xlfn.NUMBERVALUE(SUBSTITUTE(LEFT(TRIM(C157),FIND(" ",TRIM(C157)&amp;" ")-1),",","."),"."),LEFT(SUBSTITUTE(LEFT(TRIM(C157),FIND(" ",TRIM(C157)&amp;" ")-1),",","."),FIND("/",SUBSTITUTE(LEFT(TRIM(C157),FIND(" ",TRIM(C157)&amp;" ")-1),",","."))-1)/MID(SUBSTITUTE(LEFT(TRIM(C157),FIND(" ",TRIM(C157)&amp;" ")-1),",","."),FIND("/",SUBSTITUTE(LEFT(TRIM(C157),FIND(" ",TRIM(C157)&amp;" ")-1),",","."))+1,9)),IF(ISNUMBER(SEARCH("yea",C157)),IFERROR(_xlfn.NUMBERVALUE(SUBSTITUTE(LEFT(TRIM(C157),FIND(" ",TRIM(C157)&amp;" ")-1),",","."),"."),LEFT(SUBSTITUTE(LEFT(TRIM(C157),FIND(" ",TRIM(C157)&amp;" ")-1),",","."),FIND("/",SUBSTITUTE(LEFT(TRIM(C157),FIND(" ",TRIM(C157)&amp;" ")-1),",","."))-1)/MID(SUBSTITUTE(LEFT(TRIM(C157),FIND(" ",TRIM(C157)&amp;" ")-1),",","."),FIND("/",SUBSTITUTE(LEFT(TRIM(C157),FIND(" ",TRIM(C157)&amp;" ")-1),",","."))+1,9))*12,NA()))),0),12)*'Aturan &amp; Tarif'!$B$4,2)</f>
        <v>681.36</v>
      </c>
      <c r="K157" s="42" t="n">
        <f aca="false">'Aturan &amp; Tarif'!$B$5</f>
        <v>2050</v>
      </c>
      <c r="L157" s="35" t="n">
        <f aca="false">I157+J157+K157</f>
        <v>10231.36</v>
      </c>
      <c r="M157" s="45" t="s">
        <v>862</v>
      </c>
    </row>
    <row r="158" customFormat="false" ht="25.5" hidden="false" customHeight="true" outlineLevel="0" collapsed="false">
      <c r="A158" s="39"/>
      <c r="B158" s="40" t="s">
        <v>864</v>
      </c>
      <c r="C158" s="41" t="s">
        <v>107</v>
      </c>
      <c r="D158" s="41" t="s">
        <v>108</v>
      </c>
      <c r="E158" s="42" t="n">
        <v>3500</v>
      </c>
      <c r="F158" s="42"/>
      <c r="G158" s="42" t="n">
        <v>500</v>
      </c>
      <c r="H158" s="43" t="n">
        <v>2</v>
      </c>
      <c r="I158" s="34" t="n">
        <f aca="false">E158*H158+N(F158)+N(G158)</f>
        <v>7500</v>
      </c>
      <c r="J158" s="42" t="n">
        <f aca="false">ROUND(IFERROR(ROUND(IF(OR(ISNUMBER(SEARCH("week",C158)),ISNUMBER(SEARCH("minggu",C158))),IFERROR(_xlfn.NUMBERVALUE(SUBSTITUTE(LEFT(TRIM(C158),FIND(" ",TRIM(C158)&amp;" ")-1),",","."),"."),LEFT(SUBSTITUTE(LEFT(TRIM(C158),FIND(" ",TRIM(C158)&amp;" ")-1),",","."),FIND("/",SUBSTITUTE(LEFT(TRIM(C158),FIND(" ",TRIM(C158)&amp;" ")-1),",","."))-1)/MID(SUBSTITUTE(LEFT(TRIM(C158),FIND(" ",TRIM(C158)&amp;" ")-1),",","."),FIND("/",SUBSTITUTE(LEFT(TRIM(C158),FIND(" ",TRIM(C158)&amp;" ")-1),",","."))+1,9))*12/52,IF(ISNUMBER(SEARCH("month",C158)),IFERROR(_xlfn.NUMBERVALUE(SUBSTITUTE(LEFT(TRIM(C158),FIND(" ",TRIM(C158)&amp;" ")-1),",","."),"."),LEFT(SUBSTITUTE(LEFT(TRIM(C158),FIND(" ",TRIM(C158)&amp;" ")-1),",","."),FIND("/",SUBSTITUTE(LEFT(TRIM(C158),FIND(" ",TRIM(C158)&amp;" ")-1),",","."))-1)/MID(SUBSTITUTE(LEFT(TRIM(C158),FIND(" ",TRIM(C158)&amp;" ")-1),",","."),FIND("/",SUBSTITUTE(LEFT(TRIM(C158),FIND(" ",TRIM(C158)&amp;" ")-1),",","."))+1,9)),IF(ISNUMBER(SEARCH("yea",C158)),IFERROR(_xlfn.NUMBERVALUE(SUBSTITUTE(LEFT(TRIM(C158),FIND(" ",TRIM(C158)&amp;" ")-1),",","."),"."),LEFT(SUBSTITUTE(LEFT(TRIM(C158),FIND(" ",TRIM(C158)&amp;" ")-1),",","."),FIND("/",SUBSTITUTE(LEFT(TRIM(C158),FIND(" ",TRIM(C158)&amp;" ")-1),",","."))-1)/MID(SUBSTITUTE(LEFT(TRIM(C158),FIND(" ",TRIM(C158)&amp;" ")-1),",","."),FIND("/",SUBSTITUTE(LEFT(TRIM(C158),FIND(" ",TRIM(C158)&amp;" ")-1),",","."))+1,9))*12,NA()))),0),24)*'Aturan &amp; Tarif'!$B$4,2)</f>
        <v>1362.72</v>
      </c>
      <c r="K158" s="42" t="n">
        <f aca="false">'Aturan &amp; Tarif'!$B$5</f>
        <v>2050</v>
      </c>
      <c r="L158" s="35" t="n">
        <f aca="false">I158+J158+K158</f>
        <v>10912.72</v>
      </c>
      <c r="M158" s="45" t="s">
        <v>862</v>
      </c>
    </row>
    <row r="159" customFormat="false" ht="37.5" hidden="false" customHeight="true" outlineLevel="0" collapsed="false">
      <c r="A159" s="39"/>
      <c r="B159" s="40" t="s">
        <v>865</v>
      </c>
      <c r="C159" s="41" t="s">
        <v>107</v>
      </c>
      <c r="D159" s="41" t="s">
        <v>108</v>
      </c>
      <c r="E159" s="42" t="n">
        <v>3500</v>
      </c>
      <c r="F159" s="42"/>
      <c r="G159" s="42" t="n">
        <v>500</v>
      </c>
      <c r="H159" s="43" t="n">
        <v>2</v>
      </c>
      <c r="I159" s="34" t="n">
        <f aca="false">E159*H159+N(F159)+N(G159)</f>
        <v>7500</v>
      </c>
      <c r="J159" s="42" t="n">
        <f aca="false">ROUND(IFERROR(ROUND(IF(OR(ISNUMBER(SEARCH("week",C159)),ISNUMBER(SEARCH("minggu",C159))),IFERROR(_xlfn.NUMBERVALUE(SUBSTITUTE(LEFT(TRIM(C159),FIND(" ",TRIM(C159)&amp;" ")-1),",","."),"."),LEFT(SUBSTITUTE(LEFT(TRIM(C159),FIND(" ",TRIM(C159)&amp;" ")-1),",","."),FIND("/",SUBSTITUTE(LEFT(TRIM(C159),FIND(" ",TRIM(C159)&amp;" ")-1),",","."))-1)/MID(SUBSTITUTE(LEFT(TRIM(C159),FIND(" ",TRIM(C159)&amp;" ")-1),",","."),FIND("/",SUBSTITUTE(LEFT(TRIM(C159),FIND(" ",TRIM(C159)&amp;" ")-1),",","."))+1,9))*12/52,IF(ISNUMBER(SEARCH("month",C159)),IFERROR(_xlfn.NUMBERVALUE(SUBSTITUTE(LEFT(TRIM(C159),FIND(" ",TRIM(C159)&amp;" ")-1),",","."),"."),LEFT(SUBSTITUTE(LEFT(TRIM(C159),FIND(" ",TRIM(C159)&amp;" ")-1),",","."),FIND("/",SUBSTITUTE(LEFT(TRIM(C159),FIND(" ",TRIM(C159)&amp;" ")-1),",","."))-1)/MID(SUBSTITUTE(LEFT(TRIM(C159),FIND(" ",TRIM(C159)&amp;" ")-1),",","."),FIND("/",SUBSTITUTE(LEFT(TRIM(C159),FIND(" ",TRIM(C159)&amp;" ")-1),",","."))+1,9)),IF(ISNUMBER(SEARCH("yea",C159)),IFERROR(_xlfn.NUMBERVALUE(SUBSTITUTE(LEFT(TRIM(C159),FIND(" ",TRIM(C159)&amp;" ")-1),",","."),"."),LEFT(SUBSTITUTE(LEFT(TRIM(C159),FIND(" ",TRIM(C159)&amp;" ")-1),",","."),FIND("/",SUBSTITUTE(LEFT(TRIM(C159),FIND(" ",TRIM(C159)&amp;" ")-1),",","."))-1)/MID(SUBSTITUTE(LEFT(TRIM(C159),FIND(" ",TRIM(C159)&amp;" ")-1),",","."),FIND("/",SUBSTITUTE(LEFT(TRIM(C159),FIND(" ",TRIM(C159)&amp;" ")-1),",","."))+1,9))*12,NA()))),0),24)*'Aturan &amp; Tarif'!$B$4,2)</f>
        <v>1362.72</v>
      </c>
      <c r="K159" s="42" t="n">
        <f aca="false">'Aturan &amp; Tarif'!$B$5</f>
        <v>2050</v>
      </c>
      <c r="L159" s="35" t="n">
        <f aca="false">I159+J159+K159</f>
        <v>10912.72</v>
      </c>
      <c r="M159" s="45" t="s">
        <v>862</v>
      </c>
    </row>
    <row r="160" customFormat="false" ht="25.5" hidden="false" customHeight="true" outlineLevel="0" collapsed="false">
      <c r="A160" s="29" t="s">
        <v>1926</v>
      </c>
      <c r="B160" s="30" t="s">
        <v>867</v>
      </c>
      <c r="C160" s="31" t="s">
        <v>127</v>
      </c>
      <c r="D160" s="31" t="s">
        <v>108</v>
      </c>
      <c r="E160" s="32" t="n">
        <v>3000</v>
      </c>
      <c r="F160" s="32"/>
      <c r="G160" s="32" t="n">
        <v>500</v>
      </c>
      <c r="H160" s="33" t="n">
        <v>2</v>
      </c>
      <c r="I160" s="34" t="n">
        <f aca="false">E160*H160+N(F160)+N(G160)</f>
        <v>6500</v>
      </c>
      <c r="J160" s="32" t="n">
        <f aca="false">ROUND(IFERROR(ROUND(IF(OR(ISNUMBER(SEARCH("week",C160)),ISNUMBER(SEARCH("minggu",C160))),IFERROR(_xlfn.NUMBERVALUE(SUBSTITUTE(LEFT(TRIM(C160),FIND(" ",TRIM(C160)&amp;" ")-1),",","."),"."),LEFT(SUBSTITUTE(LEFT(TRIM(C160),FIND(" ",TRIM(C160)&amp;" ")-1),",","."),FIND("/",SUBSTITUTE(LEFT(TRIM(C160),FIND(" ",TRIM(C160)&amp;" ")-1),",","."))-1)/MID(SUBSTITUTE(LEFT(TRIM(C160),FIND(" ",TRIM(C160)&amp;" ")-1),",","."),FIND("/",SUBSTITUTE(LEFT(TRIM(C160),FIND(" ",TRIM(C160)&amp;" ")-1),",","."))+1,9))*12/52,IF(ISNUMBER(SEARCH("month",C160)),IFERROR(_xlfn.NUMBERVALUE(SUBSTITUTE(LEFT(TRIM(C160),FIND(" ",TRIM(C160)&amp;" ")-1),",","."),"."),LEFT(SUBSTITUTE(LEFT(TRIM(C160),FIND(" ",TRIM(C160)&amp;" ")-1),",","."),FIND("/",SUBSTITUTE(LEFT(TRIM(C160),FIND(" ",TRIM(C160)&amp;" ")-1),",","."))-1)/MID(SUBSTITUTE(LEFT(TRIM(C160),FIND(" ",TRIM(C160)&amp;" ")-1),",","."),FIND("/",SUBSTITUTE(LEFT(TRIM(C160),FIND(" ",TRIM(C160)&amp;" ")-1),",","."))+1,9)),IF(ISNUMBER(SEARCH("yea",C160)),IFERROR(_xlfn.NUMBERVALUE(SUBSTITUTE(LEFT(TRIM(C160),FIND(" ",TRIM(C160)&amp;" ")-1),",","."),"."),LEFT(SUBSTITUTE(LEFT(TRIM(C160),FIND(" ",TRIM(C160)&amp;" ")-1),",","."),FIND("/",SUBSTITUTE(LEFT(TRIM(C160),FIND(" ",TRIM(C160)&amp;" ")-1),",","."))-1)/MID(SUBSTITUTE(LEFT(TRIM(C160),FIND(" ",TRIM(C160)&amp;" ")-1),",","."),FIND("/",SUBSTITUTE(LEFT(TRIM(C160),FIND(" ",TRIM(C160)&amp;" ")-1),",","."))+1,9))*12,NA()))),0),36)*'Aturan &amp; Tarif'!$B$4,2)</f>
        <v>2044.08</v>
      </c>
      <c r="K160" s="32" t="n">
        <f aca="false">'Aturan &amp; Tarif'!$B$5</f>
        <v>2050</v>
      </c>
      <c r="L160" s="35" t="n">
        <f aca="false">I160+J160+K160</f>
        <v>10594.08</v>
      </c>
      <c r="M160" s="37" t="s">
        <v>868</v>
      </c>
    </row>
    <row r="161" customFormat="false" ht="14.25" hidden="false" customHeight="true" outlineLevel="0" collapsed="false">
      <c r="A161" s="29"/>
      <c r="B161" s="30" t="s">
        <v>869</v>
      </c>
      <c r="C161" s="31" t="s">
        <v>130</v>
      </c>
      <c r="D161" s="31" t="s">
        <v>108</v>
      </c>
      <c r="E161" s="32" t="n">
        <v>3500</v>
      </c>
      <c r="F161" s="32"/>
      <c r="G161" s="32" t="n">
        <v>500</v>
      </c>
      <c r="H161" s="33" t="n">
        <v>2</v>
      </c>
      <c r="I161" s="34" t="n">
        <f aca="false">E161*H161+N(F161)+N(G161)</f>
        <v>7500</v>
      </c>
      <c r="J161" s="32" t="n">
        <f aca="false">ROUND(IFERROR(ROUND(IF(OR(ISNUMBER(SEARCH("week",C161)),ISNUMBER(SEARCH("minggu",C161))),IFERROR(_xlfn.NUMBERVALUE(SUBSTITUTE(LEFT(TRIM(C161),FIND(" ",TRIM(C161)&amp;" ")-1),",","."),"."),LEFT(SUBSTITUTE(LEFT(TRIM(C161),FIND(" ",TRIM(C161)&amp;" ")-1),",","."),FIND("/",SUBSTITUTE(LEFT(TRIM(C161),FIND(" ",TRIM(C161)&amp;" ")-1),",","."))-1)/MID(SUBSTITUTE(LEFT(TRIM(C161),FIND(" ",TRIM(C161)&amp;" ")-1),",","."),FIND("/",SUBSTITUTE(LEFT(TRIM(C161),FIND(" ",TRIM(C161)&amp;" ")-1),",","."))+1,9))*12/52,IF(ISNUMBER(SEARCH("month",C161)),IFERROR(_xlfn.NUMBERVALUE(SUBSTITUTE(LEFT(TRIM(C161),FIND(" ",TRIM(C161)&amp;" ")-1),",","."),"."),LEFT(SUBSTITUTE(LEFT(TRIM(C161),FIND(" ",TRIM(C161)&amp;" ")-1),",","."),FIND("/",SUBSTITUTE(LEFT(TRIM(C161),FIND(" ",TRIM(C161)&amp;" ")-1),",","."))-1)/MID(SUBSTITUTE(LEFT(TRIM(C161),FIND(" ",TRIM(C161)&amp;" ")-1),",","."),FIND("/",SUBSTITUTE(LEFT(TRIM(C161),FIND(" ",TRIM(C161)&amp;" ")-1),",","."))+1,9)),IF(ISNUMBER(SEARCH("yea",C161)),IFERROR(_xlfn.NUMBERVALUE(SUBSTITUTE(LEFT(TRIM(C161),FIND(" ",TRIM(C161)&amp;" ")-1),",","."),"."),LEFT(SUBSTITUTE(LEFT(TRIM(C161),FIND(" ",TRIM(C161)&amp;" ")-1),",","."),FIND("/",SUBSTITUTE(LEFT(TRIM(C161),FIND(" ",TRIM(C161)&amp;" ")-1),",","."))-1)/MID(SUBSTITUTE(LEFT(TRIM(C161),FIND(" ",TRIM(C161)&amp;" ")-1),",","."),FIND("/",SUBSTITUTE(LEFT(TRIM(C161),FIND(" ",TRIM(C161)&amp;" ")-1),",","."))+1,9))*12,NA()))),0),12)*'Aturan &amp; Tarif'!$B$4,2)</f>
        <v>681.36</v>
      </c>
      <c r="K161" s="32" t="n">
        <f aca="false">'Aturan &amp; Tarif'!$B$5</f>
        <v>2050</v>
      </c>
      <c r="L161" s="35" t="n">
        <f aca="false">I161+J161+K161</f>
        <v>10231.36</v>
      </c>
      <c r="M161" s="37" t="s">
        <v>868</v>
      </c>
    </row>
    <row r="162" customFormat="false" ht="48.75" hidden="false" customHeight="true" outlineLevel="0" collapsed="false">
      <c r="A162" s="29"/>
      <c r="B162" s="30" t="s">
        <v>870</v>
      </c>
      <c r="C162" s="31" t="s">
        <v>107</v>
      </c>
      <c r="D162" s="31" t="s">
        <v>108</v>
      </c>
      <c r="E162" s="32" t="n">
        <v>3500</v>
      </c>
      <c r="F162" s="32"/>
      <c r="G162" s="32" t="n">
        <v>500</v>
      </c>
      <c r="H162" s="33" t="n">
        <v>2</v>
      </c>
      <c r="I162" s="34" t="n">
        <f aca="false">E162*H162+N(F162)+N(G162)</f>
        <v>7500</v>
      </c>
      <c r="J162" s="32" t="n">
        <f aca="false">ROUND(IFERROR(ROUND(IF(OR(ISNUMBER(SEARCH("week",C162)),ISNUMBER(SEARCH("minggu",C162))),IFERROR(_xlfn.NUMBERVALUE(SUBSTITUTE(LEFT(TRIM(C162),FIND(" ",TRIM(C162)&amp;" ")-1),",","."),"."),LEFT(SUBSTITUTE(LEFT(TRIM(C162),FIND(" ",TRIM(C162)&amp;" ")-1),",","."),FIND("/",SUBSTITUTE(LEFT(TRIM(C162),FIND(" ",TRIM(C162)&amp;" ")-1),",","."))-1)/MID(SUBSTITUTE(LEFT(TRIM(C162),FIND(" ",TRIM(C162)&amp;" ")-1),",","."),FIND("/",SUBSTITUTE(LEFT(TRIM(C162),FIND(" ",TRIM(C162)&amp;" ")-1),",","."))+1,9))*12/52,IF(ISNUMBER(SEARCH("month",C162)),IFERROR(_xlfn.NUMBERVALUE(SUBSTITUTE(LEFT(TRIM(C162),FIND(" ",TRIM(C162)&amp;" ")-1),",","."),"."),LEFT(SUBSTITUTE(LEFT(TRIM(C162),FIND(" ",TRIM(C162)&amp;" ")-1),",","."),FIND("/",SUBSTITUTE(LEFT(TRIM(C162),FIND(" ",TRIM(C162)&amp;" ")-1),",","."))-1)/MID(SUBSTITUTE(LEFT(TRIM(C162),FIND(" ",TRIM(C162)&amp;" ")-1),",","."),FIND("/",SUBSTITUTE(LEFT(TRIM(C162),FIND(" ",TRIM(C162)&amp;" ")-1),",","."))+1,9)),IF(ISNUMBER(SEARCH("yea",C162)),IFERROR(_xlfn.NUMBERVALUE(SUBSTITUTE(LEFT(TRIM(C162),FIND(" ",TRIM(C162)&amp;" ")-1),",","."),"."),LEFT(SUBSTITUTE(LEFT(TRIM(C162),FIND(" ",TRIM(C162)&amp;" ")-1),",","."),FIND("/",SUBSTITUTE(LEFT(TRIM(C162),FIND(" ",TRIM(C162)&amp;" ")-1),",","."))-1)/MID(SUBSTITUTE(LEFT(TRIM(C162),FIND(" ",TRIM(C162)&amp;" ")-1),",","."),FIND("/",SUBSTITUTE(LEFT(TRIM(C162),FIND(" ",TRIM(C162)&amp;" ")-1),",","."))+1,9))*12,NA()))),0),24)*'Aturan &amp; Tarif'!$B$4,2)</f>
        <v>1362.72</v>
      </c>
      <c r="K162" s="32" t="n">
        <f aca="false">'Aturan &amp; Tarif'!$B$5</f>
        <v>2050</v>
      </c>
      <c r="L162" s="35" t="n">
        <f aca="false">I162+J162+K162</f>
        <v>10912.72</v>
      </c>
      <c r="M162" s="37" t="s">
        <v>868</v>
      </c>
    </row>
    <row r="163" customFormat="false" ht="25.5" hidden="false" customHeight="true" outlineLevel="0" collapsed="false">
      <c r="A163" s="29" t="s">
        <v>1927</v>
      </c>
      <c r="B163" s="30" t="s">
        <v>317</v>
      </c>
      <c r="C163" s="31" t="s">
        <v>127</v>
      </c>
      <c r="D163" s="31" t="s">
        <v>108</v>
      </c>
      <c r="E163" s="32" t="n">
        <v>8742</v>
      </c>
      <c r="F163" s="32"/>
      <c r="G163" s="32"/>
      <c r="H163" s="33" t="n">
        <v>2</v>
      </c>
      <c r="I163" s="34" t="n">
        <f aca="false">E163*H163+N(F163)+N(G163)</f>
        <v>17484</v>
      </c>
      <c r="J163" s="32" t="n">
        <f aca="false">ROUND(IFERROR(ROUND(IF(OR(ISNUMBER(SEARCH("week",C163)),ISNUMBER(SEARCH("minggu",C163))),IFERROR(_xlfn.NUMBERVALUE(SUBSTITUTE(LEFT(TRIM(C163),FIND(" ",TRIM(C163)&amp;" ")-1),",","."),"."),LEFT(SUBSTITUTE(LEFT(TRIM(C163),FIND(" ",TRIM(C163)&amp;" ")-1),",","."),FIND("/",SUBSTITUTE(LEFT(TRIM(C163),FIND(" ",TRIM(C163)&amp;" ")-1),",","."))-1)/MID(SUBSTITUTE(LEFT(TRIM(C163),FIND(" ",TRIM(C163)&amp;" ")-1),",","."),FIND("/",SUBSTITUTE(LEFT(TRIM(C163),FIND(" ",TRIM(C163)&amp;" ")-1),",","."))+1,9))*12/52,IF(ISNUMBER(SEARCH("month",C163)),IFERROR(_xlfn.NUMBERVALUE(SUBSTITUTE(LEFT(TRIM(C163),FIND(" ",TRIM(C163)&amp;" ")-1),",","."),"."),LEFT(SUBSTITUTE(LEFT(TRIM(C163),FIND(" ",TRIM(C163)&amp;" ")-1),",","."),FIND("/",SUBSTITUTE(LEFT(TRIM(C163),FIND(" ",TRIM(C163)&amp;" ")-1),",","."))-1)/MID(SUBSTITUTE(LEFT(TRIM(C163),FIND(" ",TRIM(C163)&amp;" ")-1),",","."),FIND("/",SUBSTITUTE(LEFT(TRIM(C163),FIND(" ",TRIM(C163)&amp;" ")-1),",","."))+1,9)),IF(ISNUMBER(SEARCH("yea",C163)),IFERROR(_xlfn.NUMBERVALUE(SUBSTITUTE(LEFT(TRIM(C163),FIND(" ",TRIM(C163)&amp;" ")-1),",","."),"."),LEFT(SUBSTITUTE(LEFT(TRIM(C163),FIND(" ",TRIM(C163)&amp;" ")-1),",","."),FIND("/",SUBSTITUTE(LEFT(TRIM(C163),FIND(" ",TRIM(C163)&amp;" ")-1),",","."))-1)/MID(SUBSTITUTE(LEFT(TRIM(C163),FIND(" ",TRIM(C163)&amp;" ")-1),",","."),FIND("/",SUBSTITUTE(LEFT(TRIM(C163),FIND(" ",TRIM(C163)&amp;" ")-1),",","."))+1,9))*12,NA()))),0),36)*'Aturan &amp; Tarif'!$B$4,2)</f>
        <v>2044.08</v>
      </c>
      <c r="K163" s="32" t="n">
        <f aca="false">'Aturan &amp; Tarif'!$B$5</f>
        <v>2050</v>
      </c>
      <c r="L163" s="35" t="n">
        <f aca="false">I163+J163+K163</f>
        <v>21578.08</v>
      </c>
      <c r="M163" s="37" t="s">
        <v>318</v>
      </c>
    </row>
    <row r="164" customFormat="false" ht="25.5" hidden="false" customHeight="true" outlineLevel="0" collapsed="false">
      <c r="A164" s="29"/>
      <c r="B164" s="30" t="s">
        <v>319</v>
      </c>
      <c r="C164" s="31" t="s">
        <v>191</v>
      </c>
      <c r="D164" s="31" t="s">
        <v>108</v>
      </c>
      <c r="E164" s="32" t="n">
        <v>8742</v>
      </c>
      <c r="F164" s="32"/>
      <c r="G164" s="32"/>
      <c r="H164" s="33" t="n">
        <v>2</v>
      </c>
      <c r="I164" s="34" t="n">
        <f aca="false">E164*H164+N(F164)+N(G164)</f>
        <v>17484</v>
      </c>
      <c r="J164" s="32" t="n">
        <f aca="false">ROUND(IFERROR(ROUND(IF(OR(ISNUMBER(SEARCH("week",C164)),ISNUMBER(SEARCH("minggu",C164))),IFERROR(_xlfn.NUMBERVALUE(SUBSTITUTE(LEFT(TRIM(C164),FIND(" ",TRIM(C164)&amp;" ")-1),",","."),"."),LEFT(SUBSTITUTE(LEFT(TRIM(C164),FIND(" ",TRIM(C164)&amp;" ")-1),",","."),FIND("/",SUBSTITUTE(LEFT(TRIM(C164),FIND(" ",TRIM(C164)&amp;" ")-1),",","."))-1)/MID(SUBSTITUTE(LEFT(TRIM(C164),FIND(" ",TRIM(C164)&amp;" ")-1),",","."),FIND("/",SUBSTITUTE(LEFT(TRIM(C164),FIND(" ",TRIM(C164)&amp;" ")-1),",","."))+1,9))*12/52,IF(ISNUMBER(SEARCH("month",C164)),IFERROR(_xlfn.NUMBERVALUE(SUBSTITUTE(LEFT(TRIM(C164),FIND(" ",TRIM(C164)&amp;" ")-1),",","."),"."),LEFT(SUBSTITUTE(LEFT(TRIM(C164),FIND(" ",TRIM(C164)&amp;" ")-1),",","."),FIND("/",SUBSTITUTE(LEFT(TRIM(C164),FIND(" ",TRIM(C164)&amp;" ")-1),",","."))-1)/MID(SUBSTITUTE(LEFT(TRIM(C164),FIND(" ",TRIM(C164)&amp;" ")-1),",","."),FIND("/",SUBSTITUTE(LEFT(TRIM(C164),FIND(" ",TRIM(C164)&amp;" ")-1),",","."))+1,9)),IF(ISNUMBER(SEARCH("yea",C164)),IFERROR(_xlfn.NUMBERVALUE(SUBSTITUTE(LEFT(TRIM(C164),FIND(" ",TRIM(C164)&amp;" ")-1),",","."),"."),LEFT(SUBSTITUTE(LEFT(TRIM(C164),FIND(" ",TRIM(C164)&amp;" ")-1),",","."),FIND("/",SUBSTITUTE(LEFT(TRIM(C164),FIND(" ",TRIM(C164)&amp;" ")-1),",","."))-1)/MID(SUBSTITUTE(LEFT(TRIM(C164),FIND(" ",TRIM(C164)&amp;" ")-1),",","."),FIND("/",SUBSTITUTE(LEFT(TRIM(C164),FIND(" ",TRIM(C164)&amp;" ")-1),",","."))+1,9))*12,NA()))),0),48)*'Aturan &amp; Tarif'!$B$4,2)</f>
        <v>2725.44</v>
      </c>
      <c r="K164" s="32" t="n">
        <f aca="false">'Aturan &amp; Tarif'!$B$5</f>
        <v>2050</v>
      </c>
      <c r="L164" s="35" t="n">
        <f aca="false">I164+J164+K164</f>
        <v>22259.44</v>
      </c>
      <c r="M164" s="37" t="s">
        <v>318</v>
      </c>
    </row>
    <row r="165" customFormat="false" ht="14.25" hidden="false" customHeight="true" outlineLevel="0" collapsed="false">
      <c r="A165" s="29"/>
      <c r="B165" s="30" t="s">
        <v>320</v>
      </c>
      <c r="C165" s="31" t="s">
        <v>245</v>
      </c>
      <c r="D165" s="31" t="s">
        <v>108</v>
      </c>
      <c r="E165" s="32" t="n">
        <v>9200</v>
      </c>
      <c r="F165" s="32"/>
      <c r="G165" s="32"/>
      <c r="H165" s="33" t="n">
        <v>2</v>
      </c>
      <c r="I165" s="34" t="n">
        <f aca="false">E165*H165+N(F165)+N(G165)</f>
        <v>18400</v>
      </c>
      <c r="J165" s="32" t="n">
        <f aca="false">ROUND(IFERROR(ROUND(IF(OR(ISNUMBER(SEARCH("week",C165)),ISNUMBER(SEARCH("minggu",C165))),IFERROR(_xlfn.NUMBERVALUE(SUBSTITUTE(LEFT(TRIM(C165),FIND(" ",TRIM(C165)&amp;" ")-1),",","."),"."),LEFT(SUBSTITUTE(LEFT(TRIM(C165),FIND(" ",TRIM(C165)&amp;" ")-1),",","."),FIND("/",SUBSTITUTE(LEFT(TRIM(C165),FIND(" ",TRIM(C165)&amp;" ")-1),",","."))-1)/MID(SUBSTITUTE(LEFT(TRIM(C165),FIND(" ",TRIM(C165)&amp;" ")-1),",","."),FIND("/",SUBSTITUTE(LEFT(TRIM(C165),FIND(" ",TRIM(C165)&amp;" ")-1),",","."))+1,9))*12/52,IF(ISNUMBER(SEARCH("month",C165)),IFERROR(_xlfn.NUMBERVALUE(SUBSTITUTE(LEFT(TRIM(C165),FIND(" ",TRIM(C165)&amp;" ")-1),",","."),"."),LEFT(SUBSTITUTE(LEFT(TRIM(C165),FIND(" ",TRIM(C165)&amp;" ")-1),",","."),FIND("/",SUBSTITUTE(LEFT(TRIM(C165),FIND(" ",TRIM(C165)&amp;" ")-1),",","."))-1)/MID(SUBSTITUTE(LEFT(TRIM(C165),FIND(" ",TRIM(C165)&amp;" ")-1),",","."),FIND("/",SUBSTITUTE(LEFT(TRIM(C165),FIND(" ",TRIM(C165)&amp;" ")-1),",","."))+1,9)),IF(ISNUMBER(SEARCH("yea",C165)),IFERROR(_xlfn.NUMBERVALUE(SUBSTITUTE(LEFT(TRIM(C165),FIND(" ",TRIM(C165)&amp;" ")-1),",","."),"."),LEFT(SUBSTITUTE(LEFT(TRIM(C165),FIND(" ",TRIM(C165)&amp;" ")-1),",","."),FIND("/",SUBSTITUTE(LEFT(TRIM(C165),FIND(" ",TRIM(C165)&amp;" ")-1),",","."))-1)/MID(SUBSTITUTE(LEFT(TRIM(C165),FIND(" ",TRIM(C165)&amp;" ")-1),",","."),FIND("/",SUBSTITUTE(LEFT(TRIM(C165),FIND(" ",TRIM(C165)&amp;" ")-1),",","."))+1,9))*12,NA()))),0),60)*'Aturan &amp; Tarif'!$B$4,2)</f>
        <v>3406.8</v>
      </c>
      <c r="K165" s="32" t="n">
        <f aca="false">'Aturan &amp; Tarif'!$B$5</f>
        <v>2050</v>
      </c>
      <c r="L165" s="35" t="n">
        <f aca="false">I165+J165+K165</f>
        <v>23856.8</v>
      </c>
      <c r="M165" s="37" t="s">
        <v>318</v>
      </c>
    </row>
    <row r="166" customFormat="false" ht="25.5" hidden="false" customHeight="true" outlineLevel="0" collapsed="false">
      <c r="A166" s="29"/>
      <c r="B166" s="30" t="s">
        <v>321</v>
      </c>
      <c r="C166" s="31" t="s">
        <v>127</v>
      </c>
      <c r="D166" s="31" t="s">
        <v>108</v>
      </c>
      <c r="E166" s="32" t="n">
        <v>8742</v>
      </c>
      <c r="F166" s="32"/>
      <c r="G166" s="32"/>
      <c r="H166" s="33" t="n">
        <v>2</v>
      </c>
      <c r="I166" s="34" t="n">
        <f aca="false">E166*H166+N(F166)+N(G166)</f>
        <v>17484</v>
      </c>
      <c r="J166" s="32" t="n">
        <f aca="false">ROUND(IFERROR(ROUND(IF(OR(ISNUMBER(SEARCH("week",C166)),ISNUMBER(SEARCH("minggu",C166))),IFERROR(_xlfn.NUMBERVALUE(SUBSTITUTE(LEFT(TRIM(C166),FIND(" ",TRIM(C166)&amp;" ")-1),",","."),"."),LEFT(SUBSTITUTE(LEFT(TRIM(C166),FIND(" ",TRIM(C166)&amp;" ")-1),",","."),FIND("/",SUBSTITUTE(LEFT(TRIM(C166),FIND(" ",TRIM(C166)&amp;" ")-1),",","."))-1)/MID(SUBSTITUTE(LEFT(TRIM(C166),FIND(" ",TRIM(C166)&amp;" ")-1),",","."),FIND("/",SUBSTITUTE(LEFT(TRIM(C166),FIND(" ",TRIM(C166)&amp;" ")-1),",","."))+1,9))*12/52,IF(ISNUMBER(SEARCH("month",C166)),IFERROR(_xlfn.NUMBERVALUE(SUBSTITUTE(LEFT(TRIM(C166),FIND(" ",TRIM(C166)&amp;" ")-1),",","."),"."),LEFT(SUBSTITUTE(LEFT(TRIM(C166),FIND(" ",TRIM(C166)&amp;" ")-1),",","."),FIND("/",SUBSTITUTE(LEFT(TRIM(C166),FIND(" ",TRIM(C166)&amp;" ")-1),",","."))-1)/MID(SUBSTITUTE(LEFT(TRIM(C166),FIND(" ",TRIM(C166)&amp;" ")-1),",","."),FIND("/",SUBSTITUTE(LEFT(TRIM(C166),FIND(" ",TRIM(C166)&amp;" ")-1),",","."))+1,9)),IF(ISNUMBER(SEARCH("yea",C166)),IFERROR(_xlfn.NUMBERVALUE(SUBSTITUTE(LEFT(TRIM(C166),FIND(" ",TRIM(C166)&amp;" ")-1),",","."),"."),LEFT(SUBSTITUTE(LEFT(TRIM(C166),FIND(" ",TRIM(C166)&amp;" ")-1),",","."),FIND("/",SUBSTITUTE(LEFT(TRIM(C166),FIND(" ",TRIM(C166)&amp;" ")-1),",","."))-1)/MID(SUBSTITUTE(LEFT(TRIM(C166),FIND(" ",TRIM(C166)&amp;" ")-1),",","."),FIND("/",SUBSTITUTE(LEFT(TRIM(C166),FIND(" ",TRIM(C166)&amp;" ")-1),",","."))+1,9))*12,NA()))),0),36)*'Aturan &amp; Tarif'!$B$4,2)</f>
        <v>2044.08</v>
      </c>
      <c r="K166" s="32" t="n">
        <f aca="false">'Aturan &amp; Tarif'!$B$5</f>
        <v>2050</v>
      </c>
      <c r="L166" s="35" t="n">
        <f aca="false">I166+J166+K166</f>
        <v>21578.08</v>
      </c>
      <c r="M166" s="37" t="s">
        <v>322</v>
      </c>
    </row>
    <row r="167" customFormat="false" ht="14.25" hidden="false" customHeight="true" outlineLevel="0" collapsed="false">
      <c r="A167" s="29"/>
      <c r="B167" s="30" t="s">
        <v>323</v>
      </c>
      <c r="C167" s="31" t="s">
        <v>245</v>
      </c>
      <c r="D167" s="31" t="s">
        <v>108</v>
      </c>
      <c r="E167" s="32" t="n">
        <v>8742</v>
      </c>
      <c r="F167" s="32"/>
      <c r="G167" s="32"/>
      <c r="H167" s="33" t="n">
        <v>2</v>
      </c>
      <c r="I167" s="34" t="n">
        <f aca="false">E167*H167+N(F167)+N(G167)</f>
        <v>17484</v>
      </c>
      <c r="J167" s="32" t="n">
        <f aca="false">ROUND(IFERROR(ROUND(IF(OR(ISNUMBER(SEARCH("week",C167)),ISNUMBER(SEARCH("minggu",C167))),IFERROR(_xlfn.NUMBERVALUE(SUBSTITUTE(LEFT(TRIM(C167),FIND(" ",TRIM(C167)&amp;" ")-1),",","."),"."),LEFT(SUBSTITUTE(LEFT(TRIM(C167),FIND(" ",TRIM(C167)&amp;" ")-1),",","."),FIND("/",SUBSTITUTE(LEFT(TRIM(C167),FIND(" ",TRIM(C167)&amp;" ")-1),",","."))-1)/MID(SUBSTITUTE(LEFT(TRIM(C167),FIND(" ",TRIM(C167)&amp;" ")-1),",","."),FIND("/",SUBSTITUTE(LEFT(TRIM(C167),FIND(" ",TRIM(C167)&amp;" ")-1),",","."))+1,9))*12/52,IF(ISNUMBER(SEARCH("month",C167)),IFERROR(_xlfn.NUMBERVALUE(SUBSTITUTE(LEFT(TRIM(C167),FIND(" ",TRIM(C167)&amp;" ")-1),",","."),"."),LEFT(SUBSTITUTE(LEFT(TRIM(C167),FIND(" ",TRIM(C167)&amp;" ")-1),",","."),FIND("/",SUBSTITUTE(LEFT(TRIM(C167),FIND(" ",TRIM(C167)&amp;" ")-1),",","."))-1)/MID(SUBSTITUTE(LEFT(TRIM(C167),FIND(" ",TRIM(C167)&amp;" ")-1),",","."),FIND("/",SUBSTITUTE(LEFT(TRIM(C167),FIND(" ",TRIM(C167)&amp;" ")-1),",","."))+1,9)),IF(ISNUMBER(SEARCH("yea",C167)),IFERROR(_xlfn.NUMBERVALUE(SUBSTITUTE(LEFT(TRIM(C167),FIND(" ",TRIM(C167)&amp;" ")-1),",","."),"."),LEFT(SUBSTITUTE(LEFT(TRIM(C167),FIND(" ",TRIM(C167)&amp;" ")-1),",","."),FIND("/",SUBSTITUTE(LEFT(TRIM(C167),FIND(" ",TRIM(C167)&amp;" ")-1),",","."))-1)/MID(SUBSTITUTE(LEFT(TRIM(C167),FIND(" ",TRIM(C167)&amp;" ")-1),",","."),FIND("/",SUBSTITUTE(LEFT(TRIM(C167),FIND(" ",TRIM(C167)&amp;" ")-1),",","."))+1,9))*12,NA()))),0),60)*'Aturan &amp; Tarif'!$B$4,2)</f>
        <v>3406.8</v>
      </c>
      <c r="K167" s="32" t="n">
        <f aca="false">'Aturan &amp; Tarif'!$B$5</f>
        <v>2050</v>
      </c>
      <c r="L167" s="35" t="n">
        <f aca="false">I167+J167+K167</f>
        <v>22940.8</v>
      </c>
      <c r="M167" s="36" t="s">
        <v>324</v>
      </c>
    </row>
    <row r="168" customFormat="false" ht="14.25" hidden="false" customHeight="true" outlineLevel="0" collapsed="false">
      <c r="A168" s="29"/>
      <c r="B168" s="30" t="s">
        <v>325</v>
      </c>
      <c r="C168" s="31" t="s">
        <v>127</v>
      </c>
      <c r="D168" s="31" t="s">
        <v>108</v>
      </c>
      <c r="E168" s="32" t="n">
        <v>8742</v>
      </c>
      <c r="F168" s="32"/>
      <c r="G168" s="32"/>
      <c r="H168" s="33" t="n">
        <v>2</v>
      </c>
      <c r="I168" s="34" t="n">
        <f aca="false">E168*H168+N(F168)+N(G168)</f>
        <v>17484</v>
      </c>
      <c r="J168" s="32" t="n">
        <f aca="false">ROUND(IFERROR(ROUND(IF(OR(ISNUMBER(SEARCH("week",C168)),ISNUMBER(SEARCH("minggu",C168))),IFERROR(_xlfn.NUMBERVALUE(SUBSTITUTE(LEFT(TRIM(C168),FIND(" ",TRIM(C168)&amp;" ")-1),",","."),"."),LEFT(SUBSTITUTE(LEFT(TRIM(C168),FIND(" ",TRIM(C168)&amp;" ")-1),",","."),FIND("/",SUBSTITUTE(LEFT(TRIM(C168),FIND(" ",TRIM(C168)&amp;" ")-1),",","."))-1)/MID(SUBSTITUTE(LEFT(TRIM(C168),FIND(" ",TRIM(C168)&amp;" ")-1),",","."),FIND("/",SUBSTITUTE(LEFT(TRIM(C168),FIND(" ",TRIM(C168)&amp;" ")-1),",","."))+1,9))*12/52,IF(ISNUMBER(SEARCH("month",C168)),IFERROR(_xlfn.NUMBERVALUE(SUBSTITUTE(LEFT(TRIM(C168),FIND(" ",TRIM(C168)&amp;" ")-1),",","."),"."),LEFT(SUBSTITUTE(LEFT(TRIM(C168),FIND(" ",TRIM(C168)&amp;" ")-1),",","."),FIND("/",SUBSTITUTE(LEFT(TRIM(C168),FIND(" ",TRIM(C168)&amp;" ")-1),",","."))-1)/MID(SUBSTITUTE(LEFT(TRIM(C168),FIND(" ",TRIM(C168)&amp;" ")-1),",","."),FIND("/",SUBSTITUTE(LEFT(TRIM(C168),FIND(" ",TRIM(C168)&amp;" ")-1),",","."))+1,9)),IF(ISNUMBER(SEARCH("yea",C168)),IFERROR(_xlfn.NUMBERVALUE(SUBSTITUTE(LEFT(TRIM(C168),FIND(" ",TRIM(C168)&amp;" ")-1),",","."),"."),LEFT(SUBSTITUTE(LEFT(TRIM(C168),FIND(" ",TRIM(C168)&amp;" ")-1),",","."),FIND("/",SUBSTITUTE(LEFT(TRIM(C168),FIND(" ",TRIM(C168)&amp;" ")-1),",","."))-1)/MID(SUBSTITUTE(LEFT(TRIM(C168),FIND(" ",TRIM(C168)&amp;" ")-1),",","."),FIND("/",SUBSTITUTE(LEFT(TRIM(C168),FIND(" ",TRIM(C168)&amp;" ")-1),",","."))+1,9))*12,NA()))),0),36)*'Aturan &amp; Tarif'!$B$4,2)</f>
        <v>2044.08</v>
      </c>
      <c r="K168" s="32" t="n">
        <f aca="false">'Aturan &amp; Tarif'!$B$5</f>
        <v>2050</v>
      </c>
      <c r="L168" s="35" t="n">
        <f aca="false">I168+J168+K168</f>
        <v>21578.08</v>
      </c>
      <c r="M168" s="37" t="s">
        <v>322</v>
      </c>
    </row>
    <row r="169" customFormat="false" ht="25.5" hidden="false" customHeight="true" outlineLevel="0" collapsed="false">
      <c r="A169" s="29"/>
      <c r="B169" s="30" t="s">
        <v>326</v>
      </c>
      <c r="C169" s="31" t="s">
        <v>245</v>
      </c>
      <c r="D169" s="31" t="s">
        <v>108</v>
      </c>
      <c r="E169" s="32" t="n">
        <v>9200</v>
      </c>
      <c r="F169" s="32"/>
      <c r="G169" s="32"/>
      <c r="H169" s="33" t="n">
        <v>2</v>
      </c>
      <c r="I169" s="34" t="n">
        <f aca="false">E169*H169+N(F169)+N(G169)</f>
        <v>18400</v>
      </c>
      <c r="J169" s="32" t="n">
        <f aca="false">ROUND(IFERROR(ROUND(IF(OR(ISNUMBER(SEARCH("week",C169)),ISNUMBER(SEARCH("minggu",C169))),IFERROR(_xlfn.NUMBERVALUE(SUBSTITUTE(LEFT(TRIM(C169),FIND(" ",TRIM(C169)&amp;" ")-1),",","."),"."),LEFT(SUBSTITUTE(LEFT(TRIM(C169),FIND(" ",TRIM(C169)&amp;" ")-1),",","."),FIND("/",SUBSTITUTE(LEFT(TRIM(C169),FIND(" ",TRIM(C169)&amp;" ")-1),",","."))-1)/MID(SUBSTITUTE(LEFT(TRIM(C169),FIND(" ",TRIM(C169)&amp;" ")-1),",","."),FIND("/",SUBSTITUTE(LEFT(TRIM(C169),FIND(" ",TRIM(C169)&amp;" ")-1),",","."))+1,9))*12/52,IF(ISNUMBER(SEARCH("month",C169)),IFERROR(_xlfn.NUMBERVALUE(SUBSTITUTE(LEFT(TRIM(C169),FIND(" ",TRIM(C169)&amp;" ")-1),",","."),"."),LEFT(SUBSTITUTE(LEFT(TRIM(C169),FIND(" ",TRIM(C169)&amp;" ")-1),",","."),FIND("/",SUBSTITUTE(LEFT(TRIM(C169),FIND(" ",TRIM(C169)&amp;" ")-1),",","."))-1)/MID(SUBSTITUTE(LEFT(TRIM(C169),FIND(" ",TRIM(C169)&amp;" ")-1),",","."),FIND("/",SUBSTITUTE(LEFT(TRIM(C169),FIND(" ",TRIM(C169)&amp;" ")-1),",","."))+1,9)),IF(ISNUMBER(SEARCH("yea",C169)),IFERROR(_xlfn.NUMBERVALUE(SUBSTITUTE(LEFT(TRIM(C169),FIND(" ",TRIM(C169)&amp;" ")-1),",","."),"."),LEFT(SUBSTITUTE(LEFT(TRIM(C169),FIND(" ",TRIM(C169)&amp;" ")-1),",","."),FIND("/",SUBSTITUTE(LEFT(TRIM(C169),FIND(" ",TRIM(C169)&amp;" ")-1),",","."))-1)/MID(SUBSTITUTE(LEFT(TRIM(C169),FIND(" ",TRIM(C169)&amp;" ")-1),",","."),FIND("/",SUBSTITUTE(LEFT(TRIM(C169),FIND(" ",TRIM(C169)&amp;" ")-1),",","."))+1,9))*12,NA()))),0),60)*'Aturan &amp; Tarif'!$B$4,2)</f>
        <v>3406.8</v>
      </c>
      <c r="K169" s="32" t="n">
        <f aca="false">'Aturan &amp; Tarif'!$B$5</f>
        <v>2050</v>
      </c>
      <c r="L169" s="35" t="n">
        <f aca="false">I169+J169+K169</f>
        <v>23856.8</v>
      </c>
      <c r="M169" s="37" t="s">
        <v>318</v>
      </c>
    </row>
    <row r="170" customFormat="false" ht="25.5" hidden="false" customHeight="true" outlineLevel="0" collapsed="false">
      <c r="A170" s="29"/>
      <c r="B170" s="30" t="s">
        <v>327</v>
      </c>
      <c r="C170" s="31" t="s">
        <v>127</v>
      </c>
      <c r="D170" s="31" t="s">
        <v>108</v>
      </c>
      <c r="E170" s="32" t="n">
        <v>9750</v>
      </c>
      <c r="F170" s="32"/>
      <c r="G170" s="32"/>
      <c r="H170" s="33" t="n">
        <v>2</v>
      </c>
      <c r="I170" s="34" t="n">
        <f aca="false">E170*H170+N(F170)+N(G170)</f>
        <v>19500</v>
      </c>
      <c r="J170" s="32" t="n">
        <f aca="false">ROUND(IFERROR(ROUND(IF(OR(ISNUMBER(SEARCH("week",C170)),ISNUMBER(SEARCH("minggu",C170))),IFERROR(_xlfn.NUMBERVALUE(SUBSTITUTE(LEFT(TRIM(C170),FIND(" ",TRIM(C170)&amp;" ")-1),",","."),"."),LEFT(SUBSTITUTE(LEFT(TRIM(C170),FIND(" ",TRIM(C170)&amp;" ")-1),",","."),FIND("/",SUBSTITUTE(LEFT(TRIM(C170),FIND(" ",TRIM(C170)&amp;" ")-1),",","."))-1)/MID(SUBSTITUTE(LEFT(TRIM(C170),FIND(" ",TRIM(C170)&amp;" ")-1),",","."),FIND("/",SUBSTITUTE(LEFT(TRIM(C170),FIND(" ",TRIM(C170)&amp;" ")-1),",","."))+1,9))*12/52,IF(ISNUMBER(SEARCH("month",C170)),IFERROR(_xlfn.NUMBERVALUE(SUBSTITUTE(LEFT(TRIM(C170),FIND(" ",TRIM(C170)&amp;" ")-1),",","."),"."),LEFT(SUBSTITUTE(LEFT(TRIM(C170),FIND(" ",TRIM(C170)&amp;" ")-1),",","."),FIND("/",SUBSTITUTE(LEFT(TRIM(C170),FIND(" ",TRIM(C170)&amp;" ")-1),",","."))-1)/MID(SUBSTITUTE(LEFT(TRIM(C170),FIND(" ",TRIM(C170)&amp;" ")-1),",","."),FIND("/",SUBSTITUTE(LEFT(TRIM(C170),FIND(" ",TRIM(C170)&amp;" ")-1),",","."))+1,9)),IF(ISNUMBER(SEARCH("yea",C170)),IFERROR(_xlfn.NUMBERVALUE(SUBSTITUTE(LEFT(TRIM(C170),FIND(" ",TRIM(C170)&amp;" ")-1),",","."),"."),LEFT(SUBSTITUTE(LEFT(TRIM(C170),FIND(" ",TRIM(C170)&amp;" ")-1),",","."),FIND("/",SUBSTITUTE(LEFT(TRIM(C170),FIND(" ",TRIM(C170)&amp;" ")-1),",","."))-1)/MID(SUBSTITUTE(LEFT(TRIM(C170),FIND(" ",TRIM(C170)&amp;" ")-1),",","."),FIND("/",SUBSTITUTE(LEFT(TRIM(C170),FIND(" ",TRIM(C170)&amp;" ")-1),",","."))+1,9))*12,NA()))),0),36)*'Aturan &amp; Tarif'!$B$4,2)</f>
        <v>2044.08</v>
      </c>
      <c r="K170" s="32" t="n">
        <f aca="false">'Aturan &amp; Tarif'!$B$5</f>
        <v>2050</v>
      </c>
      <c r="L170" s="35" t="n">
        <f aca="false">I170+J170+K170</f>
        <v>23594.08</v>
      </c>
      <c r="M170" s="36" t="s">
        <v>328</v>
      </c>
    </row>
    <row r="171" customFormat="false" ht="25.5" hidden="false" customHeight="true" outlineLevel="0" collapsed="false">
      <c r="A171" s="29"/>
      <c r="B171" s="30" t="s">
        <v>329</v>
      </c>
      <c r="C171" s="31" t="s">
        <v>191</v>
      </c>
      <c r="D171" s="31" t="s">
        <v>108</v>
      </c>
      <c r="E171" s="32" t="n">
        <v>9750</v>
      </c>
      <c r="F171" s="32"/>
      <c r="G171" s="32"/>
      <c r="H171" s="33" t="n">
        <v>2</v>
      </c>
      <c r="I171" s="34" t="n">
        <f aca="false">E171*H171+N(F171)+N(G171)</f>
        <v>19500</v>
      </c>
      <c r="J171" s="32" t="n">
        <f aca="false">ROUND(IFERROR(ROUND(IF(OR(ISNUMBER(SEARCH("week",C171)),ISNUMBER(SEARCH("minggu",C171))),IFERROR(_xlfn.NUMBERVALUE(SUBSTITUTE(LEFT(TRIM(C171),FIND(" ",TRIM(C171)&amp;" ")-1),",","."),"."),LEFT(SUBSTITUTE(LEFT(TRIM(C171),FIND(" ",TRIM(C171)&amp;" ")-1),",","."),FIND("/",SUBSTITUTE(LEFT(TRIM(C171),FIND(" ",TRIM(C171)&amp;" ")-1),",","."))-1)/MID(SUBSTITUTE(LEFT(TRIM(C171),FIND(" ",TRIM(C171)&amp;" ")-1),",","."),FIND("/",SUBSTITUTE(LEFT(TRIM(C171),FIND(" ",TRIM(C171)&amp;" ")-1),",","."))+1,9))*12/52,IF(ISNUMBER(SEARCH("month",C171)),IFERROR(_xlfn.NUMBERVALUE(SUBSTITUTE(LEFT(TRIM(C171),FIND(" ",TRIM(C171)&amp;" ")-1),",","."),"."),LEFT(SUBSTITUTE(LEFT(TRIM(C171),FIND(" ",TRIM(C171)&amp;" ")-1),",","."),FIND("/",SUBSTITUTE(LEFT(TRIM(C171),FIND(" ",TRIM(C171)&amp;" ")-1),",","."))-1)/MID(SUBSTITUTE(LEFT(TRIM(C171),FIND(" ",TRIM(C171)&amp;" ")-1),",","."),FIND("/",SUBSTITUTE(LEFT(TRIM(C171),FIND(" ",TRIM(C171)&amp;" ")-1),",","."))+1,9)),IF(ISNUMBER(SEARCH("yea",C171)),IFERROR(_xlfn.NUMBERVALUE(SUBSTITUTE(LEFT(TRIM(C171),FIND(" ",TRIM(C171)&amp;" ")-1),",","."),"."),LEFT(SUBSTITUTE(LEFT(TRIM(C171),FIND(" ",TRIM(C171)&amp;" ")-1),",","."),FIND("/",SUBSTITUTE(LEFT(TRIM(C171),FIND(" ",TRIM(C171)&amp;" ")-1),",","."))-1)/MID(SUBSTITUTE(LEFT(TRIM(C171),FIND(" ",TRIM(C171)&amp;" ")-1),",","."),FIND("/",SUBSTITUTE(LEFT(TRIM(C171),FIND(" ",TRIM(C171)&amp;" ")-1),",","."))+1,9))*12,NA()))),0),48)*'Aturan &amp; Tarif'!$B$4,2)</f>
        <v>2725.44</v>
      </c>
      <c r="K171" s="32" t="n">
        <f aca="false">'Aturan &amp; Tarif'!$B$5</f>
        <v>2050</v>
      </c>
      <c r="L171" s="35" t="n">
        <f aca="false">I171+J171+K171</f>
        <v>24275.44</v>
      </c>
      <c r="M171" s="37" t="s">
        <v>318</v>
      </c>
    </row>
    <row r="172" customFormat="false" ht="14.25" hidden="false" customHeight="true" outlineLevel="0" collapsed="false">
      <c r="A172" s="29"/>
      <c r="B172" s="30" t="s">
        <v>330</v>
      </c>
      <c r="C172" s="31" t="s">
        <v>127</v>
      </c>
      <c r="D172" s="31" t="s">
        <v>108</v>
      </c>
      <c r="E172" s="32" t="n">
        <v>9200</v>
      </c>
      <c r="F172" s="32"/>
      <c r="G172" s="32"/>
      <c r="H172" s="33" t="n">
        <v>2</v>
      </c>
      <c r="I172" s="34" t="n">
        <f aca="false">E172*H172+N(F172)+N(G172)</f>
        <v>18400</v>
      </c>
      <c r="J172" s="32" t="n">
        <f aca="false">ROUND(IFERROR(ROUND(IF(OR(ISNUMBER(SEARCH("week",C172)),ISNUMBER(SEARCH("minggu",C172))),IFERROR(_xlfn.NUMBERVALUE(SUBSTITUTE(LEFT(TRIM(C172),FIND(" ",TRIM(C172)&amp;" ")-1),",","."),"."),LEFT(SUBSTITUTE(LEFT(TRIM(C172),FIND(" ",TRIM(C172)&amp;" ")-1),",","."),FIND("/",SUBSTITUTE(LEFT(TRIM(C172),FIND(" ",TRIM(C172)&amp;" ")-1),",","."))-1)/MID(SUBSTITUTE(LEFT(TRIM(C172),FIND(" ",TRIM(C172)&amp;" ")-1),",","."),FIND("/",SUBSTITUTE(LEFT(TRIM(C172),FIND(" ",TRIM(C172)&amp;" ")-1),",","."))+1,9))*12/52,IF(ISNUMBER(SEARCH("month",C172)),IFERROR(_xlfn.NUMBERVALUE(SUBSTITUTE(LEFT(TRIM(C172),FIND(" ",TRIM(C172)&amp;" ")-1),",","."),"."),LEFT(SUBSTITUTE(LEFT(TRIM(C172),FIND(" ",TRIM(C172)&amp;" ")-1),",","."),FIND("/",SUBSTITUTE(LEFT(TRIM(C172),FIND(" ",TRIM(C172)&amp;" ")-1),",","."))-1)/MID(SUBSTITUTE(LEFT(TRIM(C172),FIND(" ",TRIM(C172)&amp;" ")-1),",","."),FIND("/",SUBSTITUTE(LEFT(TRIM(C172),FIND(" ",TRIM(C172)&amp;" ")-1),",","."))+1,9)),IF(ISNUMBER(SEARCH("yea",C172)),IFERROR(_xlfn.NUMBERVALUE(SUBSTITUTE(LEFT(TRIM(C172),FIND(" ",TRIM(C172)&amp;" ")-1),",","."),"."),LEFT(SUBSTITUTE(LEFT(TRIM(C172),FIND(" ",TRIM(C172)&amp;" ")-1),",","."),FIND("/",SUBSTITUTE(LEFT(TRIM(C172),FIND(" ",TRIM(C172)&amp;" ")-1),",","."))-1)/MID(SUBSTITUTE(LEFT(TRIM(C172),FIND(" ",TRIM(C172)&amp;" ")-1),",","."),FIND("/",SUBSTITUTE(LEFT(TRIM(C172),FIND(" ",TRIM(C172)&amp;" ")-1),",","."))+1,9))*12,NA()))),0),36)*'Aturan &amp; Tarif'!$B$4,2)</f>
        <v>2044.08</v>
      </c>
      <c r="K172" s="32" t="n">
        <f aca="false">'Aturan &amp; Tarif'!$B$5</f>
        <v>2050</v>
      </c>
      <c r="L172" s="35" t="n">
        <f aca="false">I172+J172+K172</f>
        <v>22494.08</v>
      </c>
      <c r="M172" s="37" t="s">
        <v>318</v>
      </c>
    </row>
    <row r="173" customFormat="false" ht="14.25" hidden="false" customHeight="true" outlineLevel="0" collapsed="false">
      <c r="A173" s="29"/>
      <c r="B173" s="30" t="s">
        <v>331</v>
      </c>
      <c r="C173" s="31" t="s">
        <v>245</v>
      </c>
      <c r="D173" s="31" t="s">
        <v>108</v>
      </c>
      <c r="E173" s="32" t="n">
        <v>9200</v>
      </c>
      <c r="F173" s="32"/>
      <c r="G173" s="32"/>
      <c r="H173" s="33" t="n">
        <v>2</v>
      </c>
      <c r="I173" s="34" t="n">
        <f aca="false">E173*H173+N(F173)+N(G173)</f>
        <v>18400</v>
      </c>
      <c r="J173" s="32" t="n">
        <f aca="false">ROUND(IFERROR(ROUND(IF(OR(ISNUMBER(SEARCH("week",C173)),ISNUMBER(SEARCH("minggu",C173))),IFERROR(_xlfn.NUMBERVALUE(SUBSTITUTE(LEFT(TRIM(C173),FIND(" ",TRIM(C173)&amp;" ")-1),",","."),"."),LEFT(SUBSTITUTE(LEFT(TRIM(C173),FIND(" ",TRIM(C173)&amp;" ")-1),",","."),FIND("/",SUBSTITUTE(LEFT(TRIM(C173),FIND(" ",TRIM(C173)&amp;" ")-1),",","."))-1)/MID(SUBSTITUTE(LEFT(TRIM(C173),FIND(" ",TRIM(C173)&amp;" ")-1),",","."),FIND("/",SUBSTITUTE(LEFT(TRIM(C173),FIND(" ",TRIM(C173)&amp;" ")-1),",","."))+1,9))*12/52,IF(ISNUMBER(SEARCH("month",C173)),IFERROR(_xlfn.NUMBERVALUE(SUBSTITUTE(LEFT(TRIM(C173),FIND(" ",TRIM(C173)&amp;" ")-1),",","."),"."),LEFT(SUBSTITUTE(LEFT(TRIM(C173),FIND(" ",TRIM(C173)&amp;" ")-1),",","."),FIND("/",SUBSTITUTE(LEFT(TRIM(C173),FIND(" ",TRIM(C173)&amp;" ")-1),",","."))-1)/MID(SUBSTITUTE(LEFT(TRIM(C173),FIND(" ",TRIM(C173)&amp;" ")-1),",","."),FIND("/",SUBSTITUTE(LEFT(TRIM(C173),FIND(" ",TRIM(C173)&amp;" ")-1),",","."))+1,9)),IF(ISNUMBER(SEARCH("yea",C173)),IFERROR(_xlfn.NUMBERVALUE(SUBSTITUTE(LEFT(TRIM(C173),FIND(" ",TRIM(C173)&amp;" ")-1),",","."),"."),LEFT(SUBSTITUTE(LEFT(TRIM(C173),FIND(" ",TRIM(C173)&amp;" ")-1),",","."),FIND("/",SUBSTITUTE(LEFT(TRIM(C173),FIND(" ",TRIM(C173)&amp;" ")-1),",","."))-1)/MID(SUBSTITUTE(LEFT(TRIM(C173),FIND(" ",TRIM(C173)&amp;" ")-1),",","."),FIND("/",SUBSTITUTE(LEFT(TRIM(C173),FIND(" ",TRIM(C173)&amp;" ")-1),",","."))+1,9))*12,NA()))),0),60)*'Aturan &amp; Tarif'!$B$4,2)</f>
        <v>3406.8</v>
      </c>
      <c r="K173" s="32" t="n">
        <f aca="false">'Aturan &amp; Tarif'!$B$5</f>
        <v>2050</v>
      </c>
      <c r="L173" s="35" t="n">
        <f aca="false">I173+J173+K173</f>
        <v>23856.8</v>
      </c>
      <c r="M173" s="37" t="s">
        <v>318</v>
      </c>
    </row>
    <row r="174" customFormat="false" ht="25.5" hidden="false" customHeight="true" outlineLevel="0" collapsed="false">
      <c r="A174" s="29"/>
      <c r="B174" s="30" t="s">
        <v>332</v>
      </c>
      <c r="C174" s="31" t="s">
        <v>245</v>
      </c>
      <c r="D174" s="31" t="s">
        <v>108</v>
      </c>
      <c r="E174" s="32" t="n">
        <v>9200</v>
      </c>
      <c r="F174" s="32"/>
      <c r="G174" s="32"/>
      <c r="H174" s="33" t="n">
        <v>2</v>
      </c>
      <c r="I174" s="34" t="n">
        <f aca="false">E174*H174+N(F174)+N(G174)</f>
        <v>18400</v>
      </c>
      <c r="J174" s="32" t="n">
        <f aca="false">ROUND(IFERROR(ROUND(IF(OR(ISNUMBER(SEARCH("week",C174)),ISNUMBER(SEARCH("minggu",C174))),IFERROR(_xlfn.NUMBERVALUE(SUBSTITUTE(LEFT(TRIM(C174),FIND(" ",TRIM(C174)&amp;" ")-1),",","."),"."),LEFT(SUBSTITUTE(LEFT(TRIM(C174),FIND(" ",TRIM(C174)&amp;" ")-1),",","."),FIND("/",SUBSTITUTE(LEFT(TRIM(C174),FIND(" ",TRIM(C174)&amp;" ")-1),",","."))-1)/MID(SUBSTITUTE(LEFT(TRIM(C174),FIND(" ",TRIM(C174)&amp;" ")-1),",","."),FIND("/",SUBSTITUTE(LEFT(TRIM(C174),FIND(" ",TRIM(C174)&amp;" ")-1),",","."))+1,9))*12/52,IF(ISNUMBER(SEARCH("month",C174)),IFERROR(_xlfn.NUMBERVALUE(SUBSTITUTE(LEFT(TRIM(C174),FIND(" ",TRIM(C174)&amp;" ")-1),",","."),"."),LEFT(SUBSTITUTE(LEFT(TRIM(C174),FIND(" ",TRIM(C174)&amp;" ")-1),",","."),FIND("/",SUBSTITUTE(LEFT(TRIM(C174),FIND(" ",TRIM(C174)&amp;" ")-1),",","."))-1)/MID(SUBSTITUTE(LEFT(TRIM(C174),FIND(" ",TRIM(C174)&amp;" ")-1),",","."),FIND("/",SUBSTITUTE(LEFT(TRIM(C174),FIND(" ",TRIM(C174)&amp;" ")-1),",","."))+1,9)),IF(ISNUMBER(SEARCH("yea",C174)),IFERROR(_xlfn.NUMBERVALUE(SUBSTITUTE(LEFT(TRIM(C174),FIND(" ",TRIM(C174)&amp;" ")-1),",","."),"."),LEFT(SUBSTITUTE(LEFT(TRIM(C174),FIND(" ",TRIM(C174)&amp;" ")-1),",","."),FIND("/",SUBSTITUTE(LEFT(TRIM(C174),FIND(" ",TRIM(C174)&amp;" ")-1),",","."))-1)/MID(SUBSTITUTE(LEFT(TRIM(C174),FIND(" ",TRIM(C174)&amp;" ")-1),",","."),FIND("/",SUBSTITUTE(LEFT(TRIM(C174),FIND(" ",TRIM(C174)&amp;" ")-1),",","."))+1,9))*12,NA()))),0),60)*'Aturan &amp; Tarif'!$B$4,2)</f>
        <v>3406.8</v>
      </c>
      <c r="K174" s="32" t="n">
        <f aca="false">'Aturan &amp; Tarif'!$B$5</f>
        <v>2050</v>
      </c>
      <c r="L174" s="35" t="n">
        <f aca="false">I174+J174+K174</f>
        <v>23856.8</v>
      </c>
      <c r="M174" s="37" t="s">
        <v>318</v>
      </c>
    </row>
    <row r="175" customFormat="false" ht="25.5" hidden="false" customHeight="true" outlineLevel="0" collapsed="false">
      <c r="A175" s="29"/>
      <c r="B175" s="30" t="s">
        <v>333</v>
      </c>
      <c r="C175" s="31" t="s">
        <v>191</v>
      </c>
      <c r="D175" s="31" t="s">
        <v>108</v>
      </c>
      <c r="E175" s="32" t="n">
        <v>9200</v>
      </c>
      <c r="F175" s="32"/>
      <c r="G175" s="32"/>
      <c r="H175" s="33" t="n">
        <v>2</v>
      </c>
      <c r="I175" s="34" t="n">
        <f aca="false">E175*H175+N(F175)+N(G175)</f>
        <v>18400</v>
      </c>
      <c r="J175" s="32" t="n">
        <f aca="false">ROUND(IFERROR(ROUND(IF(OR(ISNUMBER(SEARCH("week",C175)),ISNUMBER(SEARCH("minggu",C175))),IFERROR(_xlfn.NUMBERVALUE(SUBSTITUTE(LEFT(TRIM(C175),FIND(" ",TRIM(C175)&amp;" ")-1),",","."),"."),LEFT(SUBSTITUTE(LEFT(TRIM(C175),FIND(" ",TRIM(C175)&amp;" ")-1),",","."),FIND("/",SUBSTITUTE(LEFT(TRIM(C175),FIND(" ",TRIM(C175)&amp;" ")-1),",","."))-1)/MID(SUBSTITUTE(LEFT(TRIM(C175),FIND(" ",TRIM(C175)&amp;" ")-1),",","."),FIND("/",SUBSTITUTE(LEFT(TRIM(C175),FIND(" ",TRIM(C175)&amp;" ")-1),",","."))+1,9))*12/52,IF(ISNUMBER(SEARCH("month",C175)),IFERROR(_xlfn.NUMBERVALUE(SUBSTITUTE(LEFT(TRIM(C175),FIND(" ",TRIM(C175)&amp;" ")-1),",","."),"."),LEFT(SUBSTITUTE(LEFT(TRIM(C175),FIND(" ",TRIM(C175)&amp;" ")-1),",","."),FIND("/",SUBSTITUTE(LEFT(TRIM(C175),FIND(" ",TRIM(C175)&amp;" ")-1),",","."))-1)/MID(SUBSTITUTE(LEFT(TRIM(C175),FIND(" ",TRIM(C175)&amp;" ")-1),",","."),FIND("/",SUBSTITUTE(LEFT(TRIM(C175),FIND(" ",TRIM(C175)&amp;" ")-1),",","."))+1,9)),IF(ISNUMBER(SEARCH("yea",C175)),IFERROR(_xlfn.NUMBERVALUE(SUBSTITUTE(LEFT(TRIM(C175),FIND(" ",TRIM(C175)&amp;" ")-1),",","."),"."),LEFT(SUBSTITUTE(LEFT(TRIM(C175),FIND(" ",TRIM(C175)&amp;" ")-1),",","."),FIND("/",SUBSTITUTE(LEFT(TRIM(C175),FIND(" ",TRIM(C175)&amp;" ")-1),",","."))-1)/MID(SUBSTITUTE(LEFT(TRIM(C175),FIND(" ",TRIM(C175)&amp;" ")-1),",","."),FIND("/",SUBSTITUTE(LEFT(TRIM(C175),FIND(" ",TRIM(C175)&amp;" ")-1),",","."))+1,9))*12,NA()))),0),48)*'Aturan &amp; Tarif'!$B$4,2)</f>
        <v>2725.44</v>
      </c>
      <c r="K175" s="32" t="n">
        <f aca="false">'Aturan &amp; Tarif'!$B$5</f>
        <v>2050</v>
      </c>
      <c r="L175" s="35" t="n">
        <f aca="false">I175+J175+K175</f>
        <v>23175.44</v>
      </c>
      <c r="M175" s="37" t="s">
        <v>318</v>
      </c>
    </row>
    <row r="176" customFormat="false" ht="25.5" hidden="false" customHeight="true" outlineLevel="0" collapsed="false">
      <c r="A176" s="29"/>
      <c r="B176" s="30" t="s">
        <v>334</v>
      </c>
      <c r="C176" s="31" t="s">
        <v>245</v>
      </c>
      <c r="D176" s="31" t="s">
        <v>108</v>
      </c>
      <c r="E176" s="32" t="n">
        <v>9200</v>
      </c>
      <c r="F176" s="32"/>
      <c r="G176" s="32"/>
      <c r="H176" s="33" t="n">
        <v>2</v>
      </c>
      <c r="I176" s="34" t="n">
        <f aca="false">E176*H176+N(F176)+N(G176)</f>
        <v>18400</v>
      </c>
      <c r="J176" s="32" t="n">
        <f aca="false">ROUND(IFERROR(ROUND(IF(OR(ISNUMBER(SEARCH("week",C176)),ISNUMBER(SEARCH("minggu",C176))),IFERROR(_xlfn.NUMBERVALUE(SUBSTITUTE(LEFT(TRIM(C176),FIND(" ",TRIM(C176)&amp;" ")-1),",","."),"."),LEFT(SUBSTITUTE(LEFT(TRIM(C176),FIND(" ",TRIM(C176)&amp;" ")-1),",","."),FIND("/",SUBSTITUTE(LEFT(TRIM(C176),FIND(" ",TRIM(C176)&amp;" ")-1),",","."))-1)/MID(SUBSTITUTE(LEFT(TRIM(C176),FIND(" ",TRIM(C176)&amp;" ")-1),",","."),FIND("/",SUBSTITUTE(LEFT(TRIM(C176),FIND(" ",TRIM(C176)&amp;" ")-1),",","."))+1,9))*12/52,IF(ISNUMBER(SEARCH("month",C176)),IFERROR(_xlfn.NUMBERVALUE(SUBSTITUTE(LEFT(TRIM(C176),FIND(" ",TRIM(C176)&amp;" ")-1),",","."),"."),LEFT(SUBSTITUTE(LEFT(TRIM(C176),FIND(" ",TRIM(C176)&amp;" ")-1),",","."),FIND("/",SUBSTITUTE(LEFT(TRIM(C176),FIND(" ",TRIM(C176)&amp;" ")-1),",","."))-1)/MID(SUBSTITUTE(LEFT(TRIM(C176),FIND(" ",TRIM(C176)&amp;" ")-1),",","."),FIND("/",SUBSTITUTE(LEFT(TRIM(C176),FIND(" ",TRIM(C176)&amp;" ")-1),",","."))+1,9)),IF(ISNUMBER(SEARCH("yea",C176)),IFERROR(_xlfn.NUMBERVALUE(SUBSTITUTE(LEFT(TRIM(C176),FIND(" ",TRIM(C176)&amp;" ")-1),",","."),"."),LEFT(SUBSTITUTE(LEFT(TRIM(C176),FIND(" ",TRIM(C176)&amp;" ")-1),",","."),FIND("/",SUBSTITUTE(LEFT(TRIM(C176),FIND(" ",TRIM(C176)&amp;" ")-1),",","."))-1)/MID(SUBSTITUTE(LEFT(TRIM(C176),FIND(" ",TRIM(C176)&amp;" ")-1),",","."),FIND("/",SUBSTITUTE(LEFT(TRIM(C176),FIND(" ",TRIM(C176)&amp;" ")-1),",","."))+1,9))*12,NA()))),0),60)*'Aturan &amp; Tarif'!$B$4,2)</f>
        <v>3406.8</v>
      </c>
      <c r="K176" s="32" t="n">
        <f aca="false">'Aturan &amp; Tarif'!$B$5</f>
        <v>2050</v>
      </c>
      <c r="L176" s="35" t="n">
        <f aca="false">I176+J176+K176</f>
        <v>23856.8</v>
      </c>
      <c r="M176" s="37" t="s">
        <v>318</v>
      </c>
    </row>
    <row r="177" customFormat="false" ht="14.25" hidden="false" customHeight="true" outlineLevel="0" collapsed="false">
      <c r="A177" s="29"/>
      <c r="B177" s="30" t="s">
        <v>335</v>
      </c>
      <c r="C177" s="31" t="s">
        <v>127</v>
      </c>
      <c r="D177" s="31" t="s">
        <v>108</v>
      </c>
      <c r="E177" s="32" t="n">
        <v>8742</v>
      </c>
      <c r="F177" s="32"/>
      <c r="G177" s="32"/>
      <c r="H177" s="33" t="n">
        <v>2</v>
      </c>
      <c r="I177" s="34" t="n">
        <f aca="false">E177*H177+N(F177)+N(G177)</f>
        <v>17484</v>
      </c>
      <c r="J177" s="32" t="n">
        <f aca="false">ROUND(IFERROR(ROUND(IF(OR(ISNUMBER(SEARCH("week",C177)),ISNUMBER(SEARCH("minggu",C177))),IFERROR(_xlfn.NUMBERVALUE(SUBSTITUTE(LEFT(TRIM(C177),FIND(" ",TRIM(C177)&amp;" ")-1),",","."),"."),LEFT(SUBSTITUTE(LEFT(TRIM(C177),FIND(" ",TRIM(C177)&amp;" ")-1),",","."),FIND("/",SUBSTITUTE(LEFT(TRIM(C177),FIND(" ",TRIM(C177)&amp;" ")-1),",","."))-1)/MID(SUBSTITUTE(LEFT(TRIM(C177),FIND(" ",TRIM(C177)&amp;" ")-1),",","."),FIND("/",SUBSTITUTE(LEFT(TRIM(C177),FIND(" ",TRIM(C177)&amp;" ")-1),",","."))+1,9))*12/52,IF(ISNUMBER(SEARCH("month",C177)),IFERROR(_xlfn.NUMBERVALUE(SUBSTITUTE(LEFT(TRIM(C177),FIND(" ",TRIM(C177)&amp;" ")-1),",","."),"."),LEFT(SUBSTITUTE(LEFT(TRIM(C177),FIND(" ",TRIM(C177)&amp;" ")-1),",","."),FIND("/",SUBSTITUTE(LEFT(TRIM(C177),FIND(" ",TRIM(C177)&amp;" ")-1),",","."))-1)/MID(SUBSTITUTE(LEFT(TRIM(C177),FIND(" ",TRIM(C177)&amp;" ")-1),",","."),FIND("/",SUBSTITUTE(LEFT(TRIM(C177),FIND(" ",TRIM(C177)&amp;" ")-1),",","."))+1,9)),IF(ISNUMBER(SEARCH("yea",C177)),IFERROR(_xlfn.NUMBERVALUE(SUBSTITUTE(LEFT(TRIM(C177),FIND(" ",TRIM(C177)&amp;" ")-1),",","."),"."),LEFT(SUBSTITUTE(LEFT(TRIM(C177),FIND(" ",TRIM(C177)&amp;" ")-1),",","."),FIND("/",SUBSTITUTE(LEFT(TRIM(C177),FIND(" ",TRIM(C177)&amp;" ")-1),",","."))-1)/MID(SUBSTITUTE(LEFT(TRIM(C177),FIND(" ",TRIM(C177)&amp;" ")-1),",","."),FIND("/",SUBSTITUTE(LEFT(TRIM(C177),FIND(" ",TRIM(C177)&amp;" ")-1),",","."))+1,9))*12,NA()))),0),36)*'Aturan &amp; Tarif'!$B$4,2)</f>
        <v>2044.08</v>
      </c>
      <c r="K177" s="32" t="n">
        <f aca="false">'Aturan &amp; Tarif'!$B$5</f>
        <v>2050</v>
      </c>
      <c r="L177" s="35" t="n">
        <f aca="false">I177+J177+K177</f>
        <v>21578.08</v>
      </c>
      <c r="M177" s="37" t="s">
        <v>318</v>
      </c>
    </row>
    <row r="178" customFormat="false" ht="14.25" hidden="false" customHeight="true" outlineLevel="0" collapsed="false">
      <c r="A178" s="29"/>
      <c r="B178" s="30" t="s">
        <v>336</v>
      </c>
      <c r="C178" s="31" t="s">
        <v>191</v>
      </c>
      <c r="D178" s="31" t="s">
        <v>108</v>
      </c>
      <c r="E178" s="32" t="n">
        <v>8742</v>
      </c>
      <c r="F178" s="32"/>
      <c r="G178" s="32"/>
      <c r="H178" s="33" t="n">
        <v>2</v>
      </c>
      <c r="I178" s="34" t="n">
        <f aca="false">E178*H178+N(F178)+N(G178)</f>
        <v>17484</v>
      </c>
      <c r="J178" s="32" t="n">
        <f aca="false">ROUND(IFERROR(ROUND(IF(OR(ISNUMBER(SEARCH("week",C178)),ISNUMBER(SEARCH("minggu",C178))),IFERROR(_xlfn.NUMBERVALUE(SUBSTITUTE(LEFT(TRIM(C178),FIND(" ",TRIM(C178)&amp;" ")-1),",","."),"."),LEFT(SUBSTITUTE(LEFT(TRIM(C178),FIND(" ",TRIM(C178)&amp;" ")-1),",","."),FIND("/",SUBSTITUTE(LEFT(TRIM(C178),FIND(" ",TRIM(C178)&amp;" ")-1),",","."))-1)/MID(SUBSTITUTE(LEFT(TRIM(C178),FIND(" ",TRIM(C178)&amp;" ")-1),",","."),FIND("/",SUBSTITUTE(LEFT(TRIM(C178),FIND(" ",TRIM(C178)&amp;" ")-1),",","."))+1,9))*12/52,IF(ISNUMBER(SEARCH("month",C178)),IFERROR(_xlfn.NUMBERVALUE(SUBSTITUTE(LEFT(TRIM(C178),FIND(" ",TRIM(C178)&amp;" ")-1),",","."),"."),LEFT(SUBSTITUTE(LEFT(TRIM(C178),FIND(" ",TRIM(C178)&amp;" ")-1),",","."),FIND("/",SUBSTITUTE(LEFT(TRIM(C178),FIND(" ",TRIM(C178)&amp;" ")-1),",","."))-1)/MID(SUBSTITUTE(LEFT(TRIM(C178),FIND(" ",TRIM(C178)&amp;" ")-1),",","."),FIND("/",SUBSTITUTE(LEFT(TRIM(C178),FIND(" ",TRIM(C178)&amp;" ")-1),",","."))+1,9)),IF(ISNUMBER(SEARCH("yea",C178)),IFERROR(_xlfn.NUMBERVALUE(SUBSTITUTE(LEFT(TRIM(C178),FIND(" ",TRIM(C178)&amp;" ")-1),",","."),"."),LEFT(SUBSTITUTE(LEFT(TRIM(C178),FIND(" ",TRIM(C178)&amp;" ")-1),",","."),FIND("/",SUBSTITUTE(LEFT(TRIM(C178),FIND(" ",TRIM(C178)&amp;" ")-1),",","."))-1)/MID(SUBSTITUTE(LEFT(TRIM(C178),FIND(" ",TRIM(C178)&amp;" ")-1),",","."),FIND("/",SUBSTITUTE(LEFT(TRIM(C178),FIND(" ",TRIM(C178)&amp;" ")-1),",","."))+1,9))*12,NA()))),0),48)*'Aturan &amp; Tarif'!$B$4,2)</f>
        <v>2725.44</v>
      </c>
      <c r="K178" s="32" t="n">
        <f aca="false">'Aturan &amp; Tarif'!$B$5</f>
        <v>2050</v>
      </c>
      <c r="L178" s="35" t="n">
        <f aca="false">I178+J178+K178</f>
        <v>22259.44</v>
      </c>
      <c r="M178" s="37" t="s">
        <v>318</v>
      </c>
    </row>
    <row r="179" customFormat="false" ht="14.25" hidden="false" customHeight="true" outlineLevel="0" collapsed="false">
      <c r="A179" s="29"/>
      <c r="B179" s="30" t="s">
        <v>156</v>
      </c>
      <c r="C179" s="31" t="s">
        <v>191</v>
      </c>
      <c r="D179" s="31" t="s">
        <v>108</v>
      </c>
      <c r="E179" s="32" t="n">
        <v>9200</v>
      </c>
      <c r="F179" s="32"/>
      <c r="G179" s="32"/>
      <c r="H179" s="33" t="n">
        <v>2</v>
      </c>
      <c r="I179" s="34" t="n">
        <f aca="false">E179*H179+N(F179)+N(G179)</f>
        <v>18400</v>
      </c>
      <c r="J179" s="32" t="n">
        <f aca="false">ROUND(IFERROR(ROUND(IF(OR(ISNUMBER(SEARCH("week",C179)),ISNUMBER(SEARCH("minggu",C179))),IFERROR(_xlfn.NUMBERVALUE(SUBSTITUTE(LEFT(TRIM(C179),FIND(" ",TRIM(C179)&amp;" ")-1),",","."),"."),LEFT(SUBSTITUTE(LEFT(TRIM(C179),FIND(" ",TRIM(C179)&amp;" ")-1),",","."),FIND("/",SUBSTITUTE(LEFT(TRIM(C179),FIND(" ",TRIM(C179)&amp;" ")-1),",","."))-1)/MID(SUBSTITUTE(LEFT(TRIM(C179),FIND(" ",TRIM(C179)&amp;" ")-1),",","."),FIND("/",SUBSTITUTE(LEFT(TRIM(C179),FIND(" ",TRIM(C179)&amp;" ")-1),",","."))+1,9))*12/52,IF(ISNUMBER(SEARCH("month",C179)),IFERROR(_xlfn.NUMBERVALUE(SUBSTITUTE(LEFT(TRIM(C179),FIND(" ",TRIM(C179)&amp;" ")-1),",","."),"."),LEFT(SUBSTITUTE(LEFT(TRIM(C179),FIND(" ",TRIM(C179)&amp;" ")-1),",","."),FIND("/",SUBSTITUTE(LEFT(TRIM(C179),FIND(" ",TRIM(C179)&amp;" ")-1),",","."))-1)/MID(SUBSTITUTE(LEFT(TRIM(C179),FIND(" ",TRIM(C179)&amp;" ")-1),",","."),FIND("/",SUBSTITUTE(LEFT(TRIM(C179),FIND(" ",TRIM(C179)&amp;" ")-1),",","."))+1,9)),IF(ISNUMBER(SEARCH("yea",C179)),IFERROR(_xlfn.NUMBERVALUE(SUBSTITUTE(LEFT(TRIM(C179),FIND(" ",TRIM(C179)&amp;" ")-1),",","."),"."),LEFT(SUBSTITUTE(LEFT(TRIM(C179),FIND(" ",TRIM(C179)&amp;" ")-1),",","."),FIND("/",SUBSTITUTE(LEFT(TRIM(C179),FIND(" ",TRIM(C179)&amp;" ")-1),",","."))-1)/MID(SUBSTITUTE(LEFT(TRIM(C179),FIND(" ",TRIM(C179)&amp;" ")-1),",","."),FIND("/",SUBSTITUTE(LEFT(TRIM(C179),FIND(" ",TRIM(C179)&amp;" ")-1),",","."))+1,9))*12,NA()))),0),48)*'Aturan &amp; Tarif'!$B$4,2)</f>
        <v>2725.44</v>
      </c>
      <c r="K179" s="32" t="n">
        <f aca="false">'Aturan &amp; Tarif'!$B$5</f>
        <v>2050</v>
      </c>
      <c r="L179" s="35" t="n">
        <f aca="false">I179+J179+K179</f>
        <v>23175.44</v>
      </c>
      <c r="M179" s="37" t="s">
        <v>318</v>
      </c>
    </row>
    <row r="180" customFormat="false" ht="14.25" hidden="false" customHeight="true" outlineLevel="0" collapsed="false">
      <c r="A180" s="29"/>
      <c r="B180" s="30" t="s">
        <v>337</v>
      </c>
      <c r="C180" s="31" t="s">
        <v>127</v>
      </c>
      <c r="D180" s="31" t="s">
        <v>108</v>
      </c>
      <c r="E180" s="32" t="n">
        <v>9200</v>
      </c>
      <c r="F180" s="32"/>
      <c r="G180" s="32"/>
      <c r="H180" s="33" t="n">
        <v>2</v>
      </c>
      <c r="I180" s="34" t="n">
        <f aca="false">E180*H180+N(F180)+N(G180)</f>
        <v>18400</v>
      </c>
      <c r="J180" s="32" t="n">
        <f aca="false">ROUND(IFERROR(ROUND(IF(OR(ISNUMBER(SEARCH("week",C180)),ISNUMBER(SEARCH("minggu",C180))),IFERROR(_xlfn.NUMBERVALUE(SUBSTITUTE(LEFT(TRIM(C180),FIND(" ",TRIM(C180)&amp;" ")-1),",","."),"."),LEFT(SUBSTITUTE(LEFT(TRIM(C180),FIND(" ",TRIM(C180)&amp;" ")-1),",","."),FIND("/",SUBSTITUTE(LEFT(TRIM(C180),FIND(" ",TRIM(C180)&amp;" ")-1),",","."))-1)/MID(SUBSTITUTE(LEFT(TRIM(C180),FIND(" ",TRIM(C180)&amp;" ")-1),",","."),FIND("/",SUBSTITUTE(LEFT(TRIM(C180),FIND(" ",TRIM(C180)&amp;" ")-1),",","."))+1,9))*12/52,IF(ISNUMBER(SEARCH("month",C180)),IFERROR(_xlfn.NUMBERVALUE(SUBSTITUTE(LEFT(TRIM(C180),FIND(" ",TRIM(C180)&amp;" ")-1),",","."),"."),LEFT(SUBSTITUTE(LEFT(TRIM(C180),FIND(" ",TRIM(C180)&amp;" ")-1),",","."),FIND("/",SUBSTITUTE(LEFT(TRIM(C180),FIND(" ",TRIM(C180)&amp;" ")-1),",","."))-1)/MID(SUBSTITUTE(LEFT(TRIM(C180),FIND(" ",TRIM(C180)&amp;" ")-1),",","."),FIND("/",SUBSTITUTE(LEFT(TRIM(C180),FIND(" ",TRIM(C180)&amp;" ")-1),",","."))+1,9)),IF(ISNUMBER(SEARCH("yea",C180)),IFERROR(_xlfn.NUMBERVALUE(SUBSTITUTE(LEFT(TRIM(C180),FIND(" ",TRIM(C180)&amp;" ")-1),",","."),"."),LEFT(SUBSTITUTE(LEFT(TRIM(C180),FIND(" ",TRIM(C180)&amp;" ")-1),",","."),FIND("/",SUBSTITUTE(LEFT(TRIM(C180),FIND(" ",TRIM(C180)&amp;" ")-1),",","."))-1)/MID(SUBSTITUTE(LEFT(TRIM(C180),FIND(" ",TRIM(C180)&amp;" ")-1),",","."),FIND("/",SUBSTITUTE(LEFT(TRIM(C180),FIND(" ",TRIM(C180)&amp;" ")-1),",","."))+1,9))*12,NA()))),0),36)*'Aturan &amp; Tarif'!$B$4,2)</f>
        <v>2044.08</v>
      </c>
      <c r="K180" s="32" t="n">
        <f aca="false">'Aturan &amp; Tarif'!$B$5</f>
        <v>2050</v>
      </c>
      <c r="L180" s="35" t="n">
        <f aca="false">I180+J180+K180</f>
        <v>22494.08</v>
      </c>
      <c r="M180" s="37" t="s">
        <v>318</v>
      </c>
    </row>
    <row r="181" customFormat="false" ht="25.5" hidden="false" customHeight="true" outlineLevel="0" collapsed="false">
      <c r="A181" s="29"/>
      <c r="B181" s="30" t="s">
        <v>338</v>
      </c>
      <c r="C181" s="31" t="s">
        <v>191</v>
      </c>
      <c r="D181" s="31" t="s">
        <v>108</v>
      </c>
      <c r="E181" s="32" t="n">
        <v>9200</v>
      </c>
      <c r="F181" s="32"/>
      <c r="G181" s="32"/>
      <c r="H181" s="33" t="n">
        <v>2</v>
      </c>
      <c r="I181" s="34" t="n">
        <f aca="false">E181*H181+N(F181)+N(G181)</f>
        <v>18400</v>
      </c>
      <c r="J181" s="32" t="n">
        <f aca="false">ROUND(IFERROR(ROUND(IF(OR(ISNUMBER(SEARCH("week",C181)),ISNUMBER(SEARCH("minggu",C181))),IFERROR(_xlfn.NUMBERVALUE(SUBSTITUTE(LEFT(TRIM(C181),FIND(" ",TRIM(C181)&amp;" ")-1),",","."),"."),LEFT(SUBSTITUTE(LEFT(TRIM(C181),FIND(" ",TRIM(C181)&amp;" ")-1),",","."),FIND("/",SUBSTITUTE(LEFT(TRIM(C181),FIND(" ",TRIM(C181)&amp;" ")-1),",","."))-1)/MID(SUBSTITUTE(LEFT(TRIM(C181),FIND(" ",TRIM(C181)&amp;" ")-1),",","."),FIND("/",SUBSTITUTE(LEFT(TRIM(C181),FIND(" ",TRIM(C181)&amp;" ")-1),",","."))+1,9))*12/52,IF(ISNUMBER(SEARCH("month",C181)),IFERROR(_xlfn.NUMBERVALUE(SUBSTITUTE(LEFT(TRIM(C181),FIND(" ",TRIM(C181)&amp;" ")-1),",","."),"."),LEFT(SUBSTITUTE(LEFT(TRIM(C181),FIND(" ",TRIM(C181)&amp;" ")-1),",","."),FIND("/",SUBSTITUTE(LEFT(TRIM(C181),FIND(" ",TRIM(C181)&amp;" ")-1),",","."))-1)/MID(SUBSTITUTE(LEFT(TRIM(C181),FIND(" ",TRIM(C181)&amp;" ")-1),",","."),FIND("/",SUBSTITUTE(LEFT(TRIM(C181),FIND(" ",TRIM(C181)&amp;" ")-1),",","."))+1,9)),IF(ISNUMBER(SEARCH("yea",C181)),IFERROR(_xlfn.NUMBERVALUE(SUBSTITUTE(LEFT(TRIM(C181),FIND(" ",TRIM(C181)&amp;" ")-1),",","."),"."),LEFT(SUBSTITUTE(LEFT(TRIM(C181),FIND(" ",TRIM(C181)&amp;" ")-1),",","."),FIND("/",SUBSTITUTE(LEFT(TRIM(C181),FIND(" ",TRIM(C181)&amp;" ")-1),",","."))-1)/MID(SUBSTITUTE(LEFT(TRIM(C181),FIND(" ",TRIM(C181)&amp;" ")-1),",","."),FIND("/",SUBSTITUTE(LEFT(TRIM(C181),FIND(" ",TRIM(C181)&amp;" ")-1),",","."))+1,9))*12,NA()))),0),48)*'Aturan &amp; Tarif'!$B$4,2)</f>
        <v>2725.44</v>
      </c>
      <c r="K181" s="32" t="n">
        <f aca="false">'Aturan &amp; Tarif'!$B$5</f>
        <v>2050</v>
      </c>
      <c r="L181" s="35" t="n">
        <f aca="false">I181+J181+K181</f>
        <v>23175.44</v>
      </c>
      <c r="M181" s="37" t="s">
        <v>318</v>
      </c>
    </row>
    <row r="182" customFormat="false" ht="25.5" hidden="false" customHeight="true" outlineLevel="0" collapsed="false">
      <c r="A182" s="29"/>
      <c r="B182" s="30" t="s">
        <v>339</v>
      </c>
      <c r="C182" s="31" t="s">
        <v>191</v>
      </c>
      <c r="D182" s="31" t="s">
        <v>108</v>
      </c>
      <c r="E182" s="32" t="n">
        <v>9200</v>
      </c>
      <c r="F182" s="32"/>
      <c r="G182" s="32"/>
      <c r="H182" s="33" t="n">
        <v>2</v>
      </c>
      <c r="I182" s="34" t="n">
        <f aca="false">E182*H182+N(F182)+N(G182)</f>
        <v>18400</v>
      </c>
      <c r="J182" s="32" t="n">
        <f aca="false">ROUND(IFERROR(ROUND(IF(OR(ISNUMBER(SEARCH("week",C182)),ISNUMBER(SEARCH("minggu",C182))),IFERROR(_xlfn.NUMBERVALUE(SUBSTITUTE(LEFT(TRIM(C182),FIND(" ",TRIM(C182)&amp;" ")-1),",","."),"."),LEFT(SUBSTITUTE(LEFT(TRIM(C182),FIND(" ",TRIM(C182)&amp;" ")-1),",","."),FIND("/",SUBSTITUTE(LEFT(TRIM(C182),FIND(" ",TRIM(C182)&amp;" ")-1),",","."))-1)/MID(SUBSTITUTE(LEFT(TRIM(C182),FIND(" ",TRIM(C182)&amp;" ")-1),",","."),FIND("/",SUBSTITUTE(LEFT(TRIM(C182),FIND(" ",TRIM(C182)&amp;" ")-1),",","."))+1,9))*12/52,IF(ISNUMBER(SEARCH("month",C182)),IFERROR(_xlfn.NUMBERVALUE(SUBSTITUTE(LEFT(TRIM(C182),FIND(" ",TRIM(C182)&amp;" ")-1),",","."),"."),LEFT(SUBSTITUTE(LEFT(TRIM(C182),FIND(" ",TRIM(C182)&amp;" ")-1),",","."),FIND("/",SUBSTITUTE(LEFT(TRIM(C182),FIND(" ",TRIM(C182)&amp;" ")-1),",","."))-1)/MID(SUBSTITUTE(LEFT(TRIM(C182),FIND(" ",TRIM(C182)&amp;" ")-1),",","."),FIND("/",SUBSTITUTE(LEFT(TRIM(C182),FIND(" ",TRIM(C182)&amp;" ")-1),",","."))+1,9)),IF(ISNUMBER(SEARCH("yea",C182)),IFERROR(_xlfn.NUMBERVALUE(SUBSTITUTE(LEFT(TRIM(C182),FIND(" ",TRIM(C182)&amp;" ")-1),",","."),"."),LEFT(SUBSTITUTE(LEFT(TRIM(C182),FIND(" ",TRIM(C182)&amp;" ")-1),",","."),FIND("/",SUBSTITUTE(LEFT(TRIM(C182),FIND(" ",TRIM(C182)&amp;" ")-1),",","."))-1)/MID(SUBSTITUTE(LEFT(TRIM(C182),FIND(" ",TRIM(C182)&amp;" ")-1),",","."),FIND("/",SUBSTITUTE(LEFT(TRIM(C182),FIND(" ",TRIM(C182)&amp;" ")-1),",","."))+1,9))*12,NA()))),0),48)*'Aturan &amp; Tarif'!$B$4,2)</f>
        <v>2725.44</v>
      </c>
      <c r="K182" s="32" t="n">
        <f aca="false">'Aturan &amp; Tarif'!$B$5</f>
        <v>2050</v>
      </c>
      <c r="L182" s="35" t="n">
        <f aca="false">I182+J182+K182</f>
        <v>23175.44</v>
      </c>
      <c r="M182" s="37" t="s">
        <v>318</v>
      </c>
    </row>
    <row r="183" customFormat="false" ht="25.5" hidden="false" customHeight="true" outlineLevel="0" collapsed="false">
      <c r="A183" s="29"/>
      <c r="B183" s="30" t="s">
        <v>340</v>
      </c>
      <c r="C183" s="31" t="s">
        <v>191</v>
      </c>
      <c r="D183" s="31" t="s">
        <v>108</v>
      </c>
      <c r="E183" s="32" t="n">
        <v>8742</v>
      </c>
      <c r="F183" s="32"/>
      <c r="G183" s="32"/>
      <c r="H183" s="33" t="n">
        <v>2</v>
      </c>
      <c r="I183" s="34" t="n">
        <f aca="false">E183*H183+N(F183)+N(G183)</f>
        <v>17484</v>
      </c>
      <c r="J183" s="32" t="n">
        <f aca="false">ROUND(IFERROR(ROUND(IF(OR(ISNUMBER(SEARCH("week",C183)),ISNUMBER(SEARCH("minggu",C183))),IFERROR(_xlfn.NUMBERVALUE(SUBSTITUTE(LEFT(TRIM(C183),FIND(" ",TRIM(C183)&amp;" ")-1),",","."),"."),LEFT(SUBSTITUTE(LEFT(TRIM(C183),FIND(" ",TRIM(C183)&amp;" ")-1),",","."),FIND("/",SUBSTITUTE(LEFT(TRIM(C183),FIND(" ",TRIM(C183)&amp;" ")-1),",","."))-1)/MID(SUBSTITUTE(LEFT(TRIM(C183),FIND(" ",TRIM(C183)&amp;" ")-1),",","."),FIND("/",SUBSTITUTE(LEFT(TRIM(C183),FIND(" ",TRIM(C183)&amp;" ")-1),",","."))+1,9))*12/52,IF(ISNUMBER(SEARCH("month",C183)),IFERROR(_xlfn.NUMBERVALUE(SUBSTITUTE(LEFT(TRIM(C183),FIND(" ",TRIM(C183)&amp;" ")-1),",","."),"."),LEFT(SUBSTITUTE(LEFT(TRIM(C183),FIND(" ",TRIM(C183)&amp;" ")-1),",","."),FIND("/",SUBSTITUTE(LEFT(TRIM(C183),FIND(" ",TRIM(C183)&amp;" ")-1),",","."))-1)/MID(SUBSTITUTE(LEFT(TRIM(C183),FIND(" ",TRIM(C183)&amp;" ")-1),",","."),FIND("/",SUBSTITUTE(LEFT(TRIM(C183),FIND(" ",TRIM(C183)&amp;" ")-1),",","."))+1,9)),IF(ISNUMBER(SEARCH("yea",C183)),IFERROR(_xlfn.NUMBERVALUE(SUBSTITUTE(LEFT(TRIM(C183),FIND(" ",TRIM(C183)&amp;" ")-1),",","."),"."),LEFT(SUBSTITUTE(LEFT(TRIM(C183),FIND(" ",TRIM(C183)&amp;" ")-1),",","."),FIND("/",SUBSTITUTE(LEFT(TRIM(C183),FIND(" ",TRIM(C183)&amp;" ")-1),",","."))-1)/MID(SUBSTITUTE(LEFT(TRIM(C183),FIND(" ",TRIM(C183)&amp;" ")-1),",","."),FIND("/",SUBSTITUTE(LEFT(TRIM(C183),FIND(" ",TRIM(C183)&amp;" ")-1),",","."))+1,9))*12,NA()))),0),48)*'Aturan &amp; Tarif'!$B$4,2)</f>
        <v>2725.44</v>
      </c>
      <c r="K183" s="32" t="n">
        <f aca="false">'Aturan &amp; Tarif'!$B$5</f>
        <v>2050</v>
      </c>
      <c r="L183" s="35" t="n">
        <f aca="false">I183+J183+K183</f>
        <v>22259.44</v>
      </c>
      <c r="M183" s="37" t="s">
        <v>318</v>
      </c>
    </row>
    <row r="184" customFormat="false" ht="25.5" hidden="false" customHeight="true" outlineLevel="0" collapsed="false">
      <c r="A184" s="29"/>
      <c r="B184" s="30" t="s">
        <v>341</v>
      </c>
      <c r="C184" s="31" t="s">
        <v>245</v>
      </c>
      <c r="D184" s="31" t="s">
        <v>108</v>
      </c>
      <c r="E184" s="32" t="n">
        <v>9200</v>
      </c>
      <c r="F184" s="32"/>
      <c r="G184" s="32"/>
      <c r="H184" s="33" t="n">
        <v>2</v>
      </c>
      <c r="I184" s="34" t="n">
        <f aca="false">E184*H184+N(F184)+N(G184)</f>
        <v>18400</v>
      </c>
      <c r="J184" s="32" t="n">
        <f aca="false">ROUND(IFERROR(ROUND(IF(OR(ISNUMBER(SEARCH("week",C184)),ISNUMBER(SEARCH("minggu",C184))),IFERROR(_xlfn.NUMBERVALUE(SUBSTITUTE(LEFT(TRIM(C184),FIND(" ",TRIM(C184)&amp;" ")-1),",","."),"."),LEFT(SUBSTITUTE(LEFT(TRIM(C184),FIND(" ",TRIM(C184)&amp;" ")-1),",","."),FIND("/",SUBSTITUTE(LEFT(TRIM(C184),FIND(" ",TRIM(C184)&amp;" ")-1),",","."))-1)/MID(SUBSTITUTE(LEFT(TRIM(C184),FIND(" ",TRIM(C184)&amp;" ")-1),",","."),FIND("/",SUBSTITUTE(LEFT(TRIM(C184),FIND(" ",TRIM(C184)&amp;" ")-1),",","."))+1,9))*12/52,IF(ISNUMBER(SEARCH("month",C184)),IFERROR(_xlfn.NUMBERVALUE(SUBSTITUTE(LEFT(TRIM(C184),FIND(" ",TRIM(C184)&amp;" ")-1),",","."),"."),LEFT(SUBSTITUTE(LEFT(TRIM(C184),FIND(" ",TRIM(C184)&amp;" ")-1),",","."),FIND("/",SUBSTITUTE(LEFT(TRIM(C184),FIND(" ",TRIM(C184)&amp;" ")-1),",","."))-1)/MID(SUBSTITUTE(LEFT(TRIM(C184),FIND(" ",TRIM(C184)&amp;" ")-1),",","."),FIND("/",SUBSTITUTE(LEFT(TRIM(C184),FIND(" ",TRIM(C184)&amp;" ")-1),",","."))+1,9)),IF(ISNUMBER(SEARCH("yea",C184)),IFERROR(_xlfn.NUMBERVALUE(SUBSTITUTE(LEFT(TRIM(C184),FIND(" ",TRIM(C184)&amp;" ")-1),",","."),"."),LEFT(SUBSTITUTE(LEFT(TRIM(C184),FIND(" ",TRIM(C184)&amp;" ")-1),",","."),FIND("/",SUBSTITUTE(LEFT(TRIM(C184),FIND(" ",TRIM(C184)&amp;" ")-1),",","."))-1)/MID(SUBSTITUTE(LEFT(TRIM(C184),FIND(" ",TRIM(C184)&amp;" ")-1),",","."),FIND("/",SUBSTITUTE(LEFT(TRIM(C184),FIND(" ",TRIM(C184)&amp;" ")-1),",","."))+1,9))*12,NA()))),0),60)*'Aturan &amp; Tarif'!$B$4,2)</f>
        <v>3406.8</v>
      </c>
      <c r="K184" s="32" t="n">
        <f aca="false">'Aturan &amp; Tarif'!$B$5</f>
        <v>2050</v>
      </c>
      <c r="L184" s="35" t="n">
        <f aca="false">I184+J184+K184</f>
        <v>23856.8</v>
      </c>
      <c r="M184" s="37" t="s">
        <v>318</v>
      </c>
    </row>
    <row r="185" customFormat="false" ht="25.5" hidden="false" customHeight="true" outlineLevel="0" collapsed="false">
      <c r="A185" s="29"/>
      <c r="B185" s="30" t="s">
        <v>342</v>
      </c>
      <c r="C185" s="31" t="s">
        <v>245</v>
      </c>
      <c r="D185" s="31" t="s">
        <v>108</v>
      </c>
      <c r="E185" s="32" t="n">
        <v>9200</v>
      </c>
      <c r="F185" s="32"/>
      <c r="G185" s="32"/>
      <c r="H185" s="33" t="n">
        <v>2</v>
      </c>
      <c r="I185" s="34" t="n">
        <f aca="false">E185*H185+N(F185)+N(G185)</f>
        <v>18400</v>
      </c>
      <c r="J185" s="32" t="n">
        <f aca="false">ROUND(IFERROR(ROUND(IF(OR(ISNUMBER(SEARCH("week",C185)),ISNUMBER(SEARCH("minggu",C185))),IFERROR(_xlfn.NUMBERVALUE(SUBSTITUTE(LEFT(TRIM(C185),FIND(" ",TRIM(C185)&amp;" ")-1),",","."),"."),LEFT(SUBSTITUTE(LEFT(TRIM(C185),FIND(" ",TRIM(C185)&amp;" ")-1),",","."),FIND("/",SUBSTITUTE(LEFT(TRIM(C185),FIND(" ",TRIM(C185)&amp;" ")-1),",","."))-1)/MID(SUBSTITUTE(LEFT(TRIM(C185),FIND(" ",TRIM(C185)&amp;" ")-1),",","."),FIND("/",SUBSTITUTE(LEFT(TRIM(C185),FIND(" ",TRIM(C185)&amp;" ")-1),",","."))+1,9))*12/52,IF(ISNUMBER(SEARCH("month",C185)),IFERROR(_xlfn.NUMBERVALUE(SUBSTITUTE(LEFT(TRIM(C185),FIND(" ",TRIM(C185)&amp;" ")-1),",","."),"."),LEFT(SUBSTITUTE(LEFT(TRIM(C185),FIND(" ",TRIM(C185)&amp;" ")-1),",","."),FIND("/",SUBSTITUTE(LEFT(TRIM(C185),FIND(" ",TRIM(C185)&amp;" ")-1),",","."))-1)/MID(SUBSTITUTE(LEFT(TRIM(C185),FIND(" ",TRIM(C185)&amp;" ")-1),",","."),FIND("/",SUBSTITUTE(LEFT(TRIM(C185),FIND(" ",TRIM(C185)&amp;" ")-1),",","."))+1,9)),IF(ISNUMBER(SEARCH("yea",C185)),IFERROR(_xlfn.NUMBERVALUE(SUBSTITUTE(LEFT(TRIM(C185),FIND(" ",TRIM(C185)&amp;" ")-1),",","."),"."),LEFT(SUBSTITUTE(LEFT(TRIM(C185),FIND(" ",TRIM(C185)&amp;" ")-1),",","."),FIND("/",SUBSTITUTE(LEFT(TRIM(C185),FIND(" ",TRIM(C185)&amp;" ")-1),",","."))-1)/MID(SUBSTITUTE(LEFT(TRIM(C185),FIND(" ",TRIM(C185)&amp;" ")-1),",","."),FIND("/",SUBSTITUTE(LEFT(TRIM(C185),FIND(" ",TRIM(C185)&amp;" ")-1),",","."))+1,9))*12,NA()))),0),60)*'Aturan &amp; Tarif'!$B$4,2)</f>
        <v>3406.8</v>
      </c>
      <c r="K185" s="32" t="n">
        <f aca="false">'Aturan &amp; Tarif'!$B$5</f>
        <v>2050</v>
      </c>
      <c r="L185" s="35" t="n">
        <f aca="false">I185+J185+K185</f>
        <v>23856.8</v>
      </c>
      <c r="M185" s="37" t="s">
        <v>318</v>
      </c>
    </row>
    <row r="186" customFormat="false" ht="14.25" hidden="false" customHeight="true" outlineLevel="0" collapsed="false">
      <c r="A186" s="29"/>
      <c r="B186" s="30" t="s">
        <v>343</v>
      </c>
      <c r="C186" s="31" t="s">
        <v>344</v>
      </c>
      <c r="D186" s="31" t="s">
        <v>108</v>
      </c>
      <c r="E186" s="32" t="n">
        <v>4762</v>
      </c>
      <c r="F186" s="32"/>
      <c r="G186" s="32"/>
      <c r="H186" s="33" t="n">
        <v>2</v>
      </c>
      <c r="I186" s="34" t="n">
        <f aca="false">E186*H186+N(F186)+N(G186)</f>
        <v>9524</v>
      </c>
      <c r="J186" s="32" t="n">
        <f aca="false">ROUND(IFERROR(ROUND(IF(OR(ISNUMBER(SEARCH("week",C186)),ISNUMBER(SEARCH("minggu",C186))),IFERROR(_xlfn.NUMBERVALUE(SUBSTITUTE(LEFT(TRIM(C186),FIND(" ",TRIM(C186)&amp;" ")-1),",","."),"."),LEFT(SUBSTITUTE(LEFT(TRIM(C186),FIND(" ",TRIM(C186)&amp;" ")-1),",","."),FIND("/",SUBSTITUTE(LEFT(TRIM(C186),FIND(" ",TRIM(C186)&amp;" ")-1),",","."))-1)/MID(SUBSTITUTE(LEFT(TRIM(C186),FIND(" ",TRIM(C186)&amp;" ")-1),",","."),FIND("/",SUBSTITUTE(LEFT(TRIM(C186),FIND(" ",TRIM(C186)&amp;" ")-1),",","."))+1,9))*12/52,IF(ISNUMBER(SEARCH("month",C186)),IFERROR(_xlfn.NUMBERVALUE(SUBSTITUTE(LEFT(TRIM(C186),FIND(" ",TRIM(C186)&amp;" ")-1),",","."),"."),LEFT(SUBSTITUTE(LEFT(TRIM(C186),FIND(" ",TRIM(C186)&amp;" ")-1),",","."),FIND("/",SUBSTITUTE(LEFT(TRIM(C186),FIND(" ",TRIM(C186)&amp;" ")-1),",","."))-1)/MID(SUBSTITUTE(LEFT(TRIM(C186),FIND(" ",TRIM(C186)&amp;" ")-1),",","."),FIND("/",SUBSTITUTE(LEFT(TRIM(C186),FIND(" ",TRIM(C186)&amp;" ")-1),",","."))+1,9)),IF(ISNUMBER(SEARCH("yea",C186)),IFERROR(_xlfn.NUMBERVALUE(SUBSTITUTE(LEFT(TRIM(C186),FIND(" ",TRIM(C186)&amp;" ")-1),",","."),"."),LEFT(SUBSTITUTE(LEFT(TRIM(C186),FIND(" ",TRIM(C186)&amp;" ")-1),",","."),FIND("/",SUBSTITUTE(LEFT(TRIM(C186),FIND(" ",TRIM(C186)&amp;" ")-1),",","."))-1)/MID(SUBSTITUTE(LEFT(TRIM(C186),FIND(" ",TRIM(C186)&amp;" ")-1),",","."),FIND("/",SUBSTITUTE(LEFT(TRIM(C186),FIND(" ",TRIM(C186)&amp;" ")-1),",","."))+1,9))*12,NA()))),0),6)*'Aturan &amp; Tarif'!$B$4,2)</f>
        <v>340.68</v>
      </c>
      <c r="K186" s="32" t="n">
        <f aca="false">'Aturan &amp; Tarif'!$B$5</f>
        <v>2050</v>
      </c>
      <c r="L186" s="35" t="n">
        <f aca="false">I186+J186+K186</f>
        <v>11914.68</v>
      </c>
      <c r="M186" s="37" t="s">
        <v>345</v>
      </c>
    </row>
    <row r="187" customFormat="false" ht="25.5" hidden="false" customHeight="true" outlineLevel="0" collapsed="false">
      <c r="A187" s="29"/>
      <c r="B187" s="30" t="s">
        <v>346</v>
      </c>
      <c r="C187" s="31" t="s">
        <v>344</v>
      </c>
      <c r="D187" s="31" t="s">
        <v>108</v>
      </c>
      <c r="E187" s="32" t="n">
        <v>4762</v>
      </c>
      <c r="F187" s="32"/>
      <c r="G187" s="32"/>
      <c r="H187" s="33" t="n">
        <v>2</v>
      </c>
      <c r="I187" s="34" t="n">
        <f aca="false">E187*H187+N(F187)+N(G187)</f>
        <v>9524</v>
      </c>
      <c r="J187" s="32" t="n">
        <f aca="false">ROUND(IFERROR(ROUND(IF(OR(ISNUMBER(SEARCH("week",C187)),ISNUMBER(SEARCH("minggu",C187))),IFERROR(_xlfn.NUMBERVALUE(SUBSTITUTE(LEFT(TRIM(C187),FIND(" ",TRIM(C187)&amp;" ")-1),",","."),"."),LEFT(SUBSTITUTE(LEFT(TRIM(C187),FIND(" ",TRIM(C187)&amp;" ")-1),",","."),FIND("/",SUBSTITUTE(LEFT(TRIM(C187),FIND(" ",TRIM(C187)&amp;" ")-1),",","."))-1)/MID(SUBSTITUTE(LEFT(TRIM(C187),FIND(" ",TRIM(C187)&amp;" ")-1),",","."),FIND("/",SUBSTITUTE(LEFT(TRIM(C187),FIND(" ",TRIM(C187)&amp;" ")-1),",","."))+1,9))*12/52,IF(ISNUMBER(SEARCH("month",C187)),IFERROR(_xlfn.NUMBERVALUE(SUBSTITUTE(LEFT(TRIM(C187),FIND(" ",TRIM(C187)&amp;" ")-1),",","."),"."),LEFT(SUBSTITUTE(LEFT(TRIM(C187),FIND(" ",TRIM(C187)&amp;" ")-1),",","."),FIND("/",SUBSTITUTE(LEFT(TRIM(C187),FIND(" ",TRIM(C187)&amp;" ")-1),",","."))-1)/MID(SUBSTITUTE(LEFT(TRIM(C187),FIND(" ",TRIM(C187)&amp;" ")-1),",","."),FIND("/",SUBSTITUTE(LEFT(TRIM(C187),FIND(" ",TRIM(C187)&amp;" ")-1),",","."))+1,9)),IF(ISNUMBER(SEARCH("yea",C187)),IFERROR(_xlfn.NUMBERVALUE(SUBSTITUTE(LEFT(TRIM(C187),FIND(" ",TRIM(C187)&amp;" ")-1),",","."),"."),LEFT(SUBSTITUTE(LEFT(TRIM(C187),FIND(" ",TRIM(C187)&amp;" ")-1),",","."),FIND("/",SUBSTITUTE(LEFT(TRIM(C187),FIND(" ",TRIM(C187)&amp;" ")-1),",","."))-1)/MID(SUBSTITUTE(LEFT(TRIM(C187),FIND(" ",TRIM(C187)&amp;" ")-1),",","."),FIND("/",SUBSTITUTE(LEFT(TRIM(C187),FIND(" ",TRIM(C187)&amp;" ")-1),",","."))+1,9))*12,NA()))),0),6)*'Aturan &amp; Tarif'!$B$4,2)</f>
        <v>340.68</v>
      </c>
      <c r="K187" s="32" t="n">
        <f aca="false">'Aturan &amp; Tarif'!$B$5</f>
        <v>2050</v>
      </c>
      <c r="L187" s="35" t="n">
        <f aca="false">I187+J187+K187</f>
        <v>11914.68</v>
      </c>
      <c r="M187" s="37" t="s">
        <v>345</v>
      </c>
    </row>
    <row r="188" customFormat="false" ht="14.25" hidden="false" customHeight="true" outlineLevel="0" collapsed="false">
      <c r="A188" s="29"/>
      <c r="B188" s="30" t="s">
        <v>347</v>
      </c>
      <c r="C188" s="31" t="s">
        <v>344</v>
      </c>
      <c r="D188" s="31" t="s">
        <v>108</v>
      </c>
      <c r="E188" s="32" t="n">
        <v>4614</v>
      </c>
      <c r="F188" s="32"/>
      <c r="G188" s="32"/>
      <c r="H188" s="33" t="n">
        <v>2</v>
      </c>
      <c r="I188" s="34" t="n">
        <f aca="false">E188*H188+N(F188)+N(G188)</f>
        <v>9228</v>
      </c>
      <c r="J188" s="32" t="n">
        <f aca="false">ROUND(IFERROR(ROUND(IF(OR(ISNUMBER(SEARCH("week",C188)),ISNUMBER(SEARCH("minggu",C188))),IFERROR(_xlfn.NUMBERVALUE(SUBSTITUTE(LEFT(TRIM(C188),FIND(" ",TRIM(C188)&amp;" ")-1),",","."),"."),LEFT(SUBSTITUTE(LEFT(TRIM(C188),FIND(" ",TRIM(C188)&amp;" ")-1),",","."),FIND("/",SUBSTITUTE(LEFT(TRIM(C188),FIND(" ",TRIM(C188)&amp;" ")-1),",","."))-1)/MID(SUBSTITUTE(LEFT(TRIM(C188),FIND(" ",TRIM(C188)&amp;" ")-1),",","."),FIND("/",SUBSTITUTE(LEFT(TRIM(C188),FIND(" ",TRIM(C188)&amp;" ")-1),",","."))+1,9))*12/52,IF(ISNUMBER(SEARCH("month",C188)),IFERROR(_xlfn.NUMBERVALUE(SUBSTITUTE(LEFT(TRIM(C188),FIND(" ",TRIM(C188)&amp;" ")-1),",","."),"."),LEFT(SUBSTITUTE(LEFT(TRIM(C188),FIND(" ",TRIM(C188)&amp;" ")-1),",","."),FIND("/",SUBSTITUTE(LEFT(TRIM(C188),FIND(" ",TRIM(C188)&amp;" ")-1),",","."))-1)/MID(SUBSTITUTE(LEFT(TRIM(C188),FIND(" ",TRIM(C188)&amp;" ")-1),",","."),FIND("/",SUBSTITUTE(LEFT(TRIM(C188),FIND(" ",TRIM(C188)&amp;" ")-1),",","."))+1,9)),IF(ISNUMBER(SEARCH("yea",C188)),IFERROR(_xlfn.NUMBERVALUE(SUBSTITUTE(LEFT(TRIM(C188),FIND(" ",TRIM(C188)&amp;" ")-1),",","."),"."),LEFT(SUBSTITUTE(LEFT(TRIM(C188),FIND(" ",TRIM(C188)&amp;" ")-1),",","."),FIND("/",SUBSTITUTE(LEFT(TRIM(C188),FIND(" ",TRIM(C188)&amp;" ")-1),",","."))-1)/MID(SUBSTITUTE(LEFT(TRIM(C188),FIND(" ",TRIM(C188)&amp;" ")-1),",","."),FIND("/",SUBSTITUTE(LEFT(TRIM(C188),FIND(" ",TRIM(C188)&amp;" ")-1),",","."))+1,9))*12,NA()))),0),6)*'Aturan &amp; Tarif'!$B$4,2)</f>
        <v>340.68</v>
      </c>
      <c r="K188" s="32" t="n">
        <f aca="false">'Aturan &amp; Tarif'!$B$5</f>
        <v>2050</v>
      </c>
      <c r="L188" s="35" t="n">
        <f aca="false">I188+J188+K188</f>
        <v>11618.68</v>
      </c>
      <c r="M188" s="37" t="s">
        <v>345</v>
      </c>
    </row>
    <row r="189" customFormat="false" ht="25.5" hidden="false" customHeight="true" outlineLevel="0" collapsed="false">
      <c r="A189" s="29"/>
      <c r="B189" s="30" t="s">
        <v>348</v>
      </c>
      <c r="C189" s="31" t="s">
        <v>107</v>
      </c>
      <c r="D189" s="31" t="s">
        <v>108</v>
      </c>
      <c r="E189" s="32" t="n">
        <v>9524</v>
      </c>
      <c r="F189" s="32"/>
      <c r="G189" s="32"/>
      <c r="H189" s="33" t="n">
        <v>2</v>
      </c>
      <c r="I189" s="34" t="n">
        <f aca="false">E189*H189+N(F189)+N(G189)</f>
        <v>19048</v>
      </c>
      <c r="J189" s="32" t="n">
        <f aca="false">ROUND(IFERROR(ROUND(IF(OR(ISNUMBER(SEARCH("week",C189)),ISNUMBER(SEARCH("minggu",C189))),IFERROR(_xlfn.NUMBERVALUE(SUBSTITUTE(LEFT(TRIM(C189),FIND(" ",TRIM(C189)&amp;" ")-1),",","."),"."),LEFT(SUBSTITUTE(LEFT(TRIM(C189),FIND(" ",TRIM(C189)&amp;" ")-1),",","."),FIND("/",SUBSTITUTE(LEFT(TRIM(C189),FIND(" ",TRIM(C189)&amp;" ")-1),",","."))-1)/MID(SUBSTITUTE(LEFT(TRIM(C189),FIND(" ",TRIM(C189)&amp;" ")-1),",","."),FIND("/",SUBSTITUTE(LEFT(TRIM(C189),FIND(" ",TRIM(C189)&amp;" ")-1),",","."))+1,9))*12/52,IF(ISNUMBER(SEARCH("month",C189)),IFERROR(_xlfn.NUMBERVALUE(SUBSTITUTE(LEFT(TRIM(C189),FIND(" ",TRIM(C189)&amp;" ")-1),",","."),"."),LEFT(SUBSTITUTE(LEFT(TRIM(C189),FIND(" ",TRIM(C189)&amp;" ")-1),",","."),FIND("/",SUBSTITUTE(LEFT(TRIM(C189),FIND(" ",TRIM(C189)&amp;" ")-1),",","."))-1)/MID(SUBSTITUTE(LEFT(TRIM(C189),FIND(" ",TRIM(C189)&amp;" ")-1),",","."),FIND("/",SUBSTITUTE(LEFT(TRIM(C189),FIND(" ",TRIM(C189)&amp;" ")-1),",","."))+1,9)),IF(ISNUMBER(SEARCH("yea",C189)),IFERROR(_xlfn.NUMBERVALUE(SUBSTITUTE(LEFT(TRIM(C189),FIND(" ",TRIM(C189)&amp;" ")-1),",","."),"."),LEFT(SUBSTITUTE(LEFT(TRIM(C189),FIND(" ",TRIM(C189)&amp;" ")-1),",","."),FIND("/",SUBSTITUTE(LEFT(TRIM(C189),FIND(" ",TRIM(C189)&amp;" ")-1),",","."))-1)/MID(SUBSTITUTE(LEFT(TRIM(C189),FIND(" ",TRIM(C189)&amp;" ")-1),",","."),FIND("/",SUBSTITUTE(LEFT(TRIM(C189),FIND(" ",TRIM(C189)&amp;" ")-1),",","."))+1,9))*12,NA()))),0),24)*'Aturan &amp; Tarif'!$B$4,2)</f>
        <v>1362.72</v>
      </c>
      <c r="K189" s="32" t="n">
        <f aca="false">'Aturan &amp; Tarif'!$B$5</f>
        <v>2050</v>
      </c>
      <c r="L189" s="35" t="n">
        <f aca="false">I189+J189+K189</f>
        <v>22460.72</v>
      </c>
      <c r="M189" s="37" t="s">
        <v>318</v>
      </c>
    </row>
    <row r="190" customFormat="false" ht="14.25" hidden="false" customHeight="true" outlineLevel="0" collapsed="false">
      <c r="A190" s="29"/>
      <c r="B190" s="30" t="s">
        <v>349</v>
      </c>
      <c r="C190" s="31" t="s">
        <v>107</v>
      </c>
      <c r="D190" s="31" t="s">
        <v>108</v>
      </c>
      <c r="E190" s="32" t="n">
        <v>9524</v>
      </c>
      <c r="F190" s="32"/>
      <c r="G190" s="32"/>
      <c r="H190" s="33" t="n">
        <v>2</v>
      </c>
      <c r="I190" s="34" t="n">
        <f aca="false">E190*H190+N(F190)+N(G190)</f>
        <v>19048</v>
      </c>
      <c r="J190" s="32" t="n">
        <f aca="false">ROUND(IFERROR(ROUND(IF(OR(ISNUMBER(SEARCH("week",C190)),ISNUMBER(SEARCH("minggu",C190))),IFERROR(_xlfn.NUMBERVALUE(SUBSTITUTE(LEFT(TRIM(C190),FIND(" ",TRIM(C190)&amp;" ")-1),",","."),"."),LEFT(SUBSTITUTE(LEFT(TRIM(C190),FIND(" ",TRIM(C190)&amp;" ")-1),",","."),FIND("/",SUBSTITUTE(LEFT(TRIM(C190),FIND(" ",TRIM(C190)&amp;" ")-1),",","."))-1)/MID(SUBSTITUTE(LEFT(TRIM(C190),FIND(" ",TRIM(C190)&amp;" ")-1),",","."),FIND("/",SUBSTITUTE(LEFT(TRIM(C190),FIND(" ",TRIM(C190)&amp;" ")-1),",","."))+1,9))*12/52,IF(ISNUMBER(SEARCH("month",C190)),IFERROR(_xlfn.NUMBERVALUE(SUBSTITUTE(LEFT(TRIM(C190),FIND(" ",TRIM(C190)&amp;" ")-1),",","."),"."),LEFT(SUBSTITUTE(LEFT(TRIM(C190),FIND(" ",TRIM(C190)&amp;" ")-1),",","."),FIND("/",SUBSTITUTE(LEFT(TRIM(C190),FIND(" ",TRIM(C190)&amp;" ")-1),",","."))-1)/MID(SUBSTITUTE(LEFT(TRIM(C190),FIND(" ",TRIM(C190)&amp;" ")-1),",","."),FIND("/",SUBSTITUTE(LEFT(TRIM(C190),FIND(" ",TRIM(C190)&amp;" ")-1),",","."))+1,9)),IF(ISNUMBER(SEARCH("yea",C190)),IFERROR(_xlfn.NUMBERVALUE(SUBSTITUTE(LEFT(TRIM(C190),FIND(" ",TRIM(C190)&amp;" ")-1),",","."),"."),LEFT(SUBSTITUTE(LEFT(TRIM(C190),FIND(" ",TRIM(C190)&amp;" ")-1),",","."),FIND("/",SUBSTITUTE(LEFT(TRIM(C190),FIND(" ",TRIM(C190)&amp;" ")-1),",","."))-1)/MID(SUBSTITUTE(LEFT(TRIM(C190),FIND(" ",TRIM(C190)&amp;" ")-1),",","."),FIND("/",SUBSTITUTE(LEFT(TRIM(C190),FIND(" ",TRIM(C190)&amp;" ")-1),",","."))+1,9))*12,NA()))),0),24)*'Aturan &amp; Tarif'!$B$4,2)</f>
        <v>1362.72</v>
      </c>
      <c r="K190" s="32" t="n">
        <f aca="false">'Aturan &amp; Tarif'!$B$5</f>
        <v>2050</v>
      </c>
      <c r="L190" s="35" t="n">
        <f aca="false">I190+J190+K190</f>
        <v>22460.72</v>
      </c>
      <c r="M190" s="37" t="s">
        <v>318</v>
      </c>
    </row>
    <row r="191" customFormat="false" ht="25.5" hidden="false" customHeight="true" outlineLevel="0" collapsed="false">
      <c r="A191" s="29"/>
      <c r="B191" s="30" t="s">
        <v>167</v>
      </c>
      <c r="C191" s="31" t="s">
        <v>107</v>
      </c>
      <c r="D191" s="31" t="s">
        <v>108</v>
      </c>
      <c r="E191" s="32" t="n">
        <v>9524</v>
      </c>
      <c r="F191" s="32"/>
      <c r="G191" s="32"/>
      <c r="H191" s="33" t="n">
        <v>2</v>
      </c>
      <c r="I191" s="34" t="n">
        <f aca="false">E191*H191+N(F191)+N(G191)</f>
        <v>19048</v>
      </c>
      <c r="J191" s="32" t="n">
        <f aca="false">ROUND(IFERROR(ROUND(IF(OR(ISNUMBER(SEARCH("week",C191)),ISNUMBER(SEARCH("minggu",C191))),IFERROR(_xlfn.NUMBERVALUE(SUBSTITUTE(LEFT(TRIM(C191),FIND(" ",TRIM(C191)&amp;" ")-1),",","."),"."),LEFT(SUBSTITUTE(LEFT(TRIM(C191),FIND(" ",TRIM(C191)&amp;" ")-1),",","."),FIND("/",SUBSTITUTE(LEFT(TRIM(C191),FIND(" ",TRIM(C191)&amp;" ")-1),",","."))-1)/MID(SUBSTITUTE(LEFT(TRIM(C191),FIND(" ",TRIM(C191)&amp;" ")-1),",","."),FIND("/",SUBSTITUTE(LEFT(TRIM(C191),FIND(" ",TRIM(C191)&amp;" ")-1),",","."))+1,9))*12/52,IF(ISNUMBER(SEARCH("month",C191)),IFERROR(_xlfn.NUMBERVALUE(SUBSTITUTE(LEFT(TRIM(C191),FIND(" ",TRIM(C191)&amp;" ")-1),",","."),"."),LEFT(SUBSTITUTE(LEFT(TRIM(C191),FIND(" ",TRIM(C191)&amp;" ")-1),",","."),FIND("/",SUBSTITUTE(LEFT(TRIM(C191),FIND(" ",TRIM(C191)&amp;" ")-1),",","."))-1)/MID(SUBSTITUTE(LEFT(TRIM(C191),FIND(" ",TRIM(C191)&amp;" ")-1),",","."),FIND("/",SUBSTITUTE(LEFT(TRIM(C191),FIND(" ",TRIM(C191)&amp;" ")-1),",","."))+1,9)),IF(ISNUMBER(SEARCH("yea",C191)),IFERROR(_xlfn.NUMBERVALUE(SUBSTITUTE(LEFT(TRIM(C191),FIND(" ",TRIM(C191)&amp;" ")-1),",","."),"."),LEFT(SUBSTITUTE(LEFT(TRIM(C191),FIND(" ",TRIM(C191)&amp;" ")-1),",","."),FIND("/",SUBSTITUTE(LEFT(TRIM(C191),FIND(" ",TRIM(C191)&amp;" ")-1),",","."))-1)/MID(SUBSTITUTE(LEFT(TRIM(C191),FIND(" ",TRIM(C191)&amp;" ")-1),",","."),FIND("/",SUBSTITUTE(LEFT(TRIM(C191),FIND(" ",TRIM(C191)&amp;" ")-1),",","."))+1,9))*12,NA()))),0),24)*'Aturan &amp; Tarif'!$B$4,2)</f>
        <v>1362.72</v>
      </c>
      <c r="K191" s="32" t="n">
        <f aca="false">'Aturan &amp; Tarif'!$B$5</f>
        <v>2050</v>
      </c>
      <c r="L191" s="35" t="n">
        <f aca="false">I191+J191+K191</f>
        <v>22460.72</v>
      </c>
      <c r="M191" s="37" t="s">
        <v>318</v>
      </c>
    </row>
    <row r="192" customFormat="false" ht="14.25" hidden="false" customHeight="true" outlineLevel="0" collapsed="false">
      <c r="A192" s="29"/>
      <c r="B192" s="30" t="s">
        <v>236</v>
      </c>
      <c r="C192" s="31" t="s">
        <v>127</v>
      </c>
      <c r="D192" s="31" t="s">
        <v>108</v>
      </c>
      <c r="E192" s="32" t="n">
        <v>8906</v>
      </c>
      <c r="F192" s="32"/>
      <c r="G192" s="32"/>
      <c r="H192" s="33" t="n">
        <v>2</v>
      </c>
      <c r="I192" s="34" t="n">
        <f aca="false">E192*H192+N(F192)+N(G192)</f>
        <v>17812</v>
      </c>
      <c r="J192" s="32" t="n">
        <f aca="false">ROUND(IFERROR(ROUND(IF(OR(ISNUMBER(SEARCH("week",C192)),ISNUMBER(SEARCH("minggu",C192))),IFERROR(_xlfn.NUMBERVALUE(SUBSTITUTE(LEFT(TRIM(C192),FIND(" ",TRIM(C192)&amp;" ")-1),",","."),"."),LEFT(SUBSTITUTE(LEFT(TRIM(C192),FIND(" ",TRIM(C192)&amp;" ")-1),",","."),FIND("/",SUBSTITUTE(LEFT(TRIM(C192),FIND(" ",TRIM(C192)&amp;" ")-1),",","."))-1)/MID(SUBSTITUTE(LEFT(TRIM(C192),FIND(" ",TRIM(C192)&amp;" ")-1),",","."),FIND("/",SUBSTITUTE(LEFT(TRIM(C192),FIND(" ",TRIM(C192)&amp;" ")-1),",","."))+1,9))*12/52,IF(ISNUMBER(SEARCH("month",C192)),IFERROR(_xlfn.NUMBERVALUE(SUBSTITUTE(LEFT(TRIM(C192),FIND(" ",TRIM(C192)&amp;" ")-1),",","."),"."),LEFT(SUBSTITUTE(LEFT(TRIM(C192),FIND(" ",TRIM(C192)&amp;" ")-1),",","."),FIND("/",SUBSTITUTE(LEFT(TRIM(C192),FIND(" ",TRIM(C192)&amp;" ")-1),",","."))-1)/MID(SUBSTITUTE(LEFT(TRIM(C192),FIND(" ",TRIM(C192)&amp;" ")-1),",","."),FIND("/",SUBSTITUTE(LEFT(TRIM(C192),FIND(" ",TRIM(C192)&amp;" ")-1),",","."))+1,9)),IF(ISNUMBER(SEARCH("yea",C192)),IFERROR(_xlfn.NUMBERVALUE(SUBSTITUTE(LEFT(TRIM(C192),FIND(" ",TRIM(C192)&amp;" ")-1),",","."),"."),LEFT(SUBSTITUTE(LEFT(TRIM(C192),FIND(" ",TRIM(C192)&amp;" ")-1),",","."),FIND("/",SUBSTITUTE(LEFT(TRIM(C192),FIND(" ",TRIM(C192)&amp;" ")-1),",","."))-1)/MID(SUBSTITUTE(LEFT(TRIM(C192),FIND(" ",TRIM(C192)&amp;" ")-1),",","."),FIND("/",SUBSTITUTE(LEFT(TRIM(C192),FIND(" ",TRIM(C192)&amp;" ")-1),",","."))+1,9))*12,NA()))),0),36)*'Aturan &amp; Tarif'!$B$4,2)</f>
        <v>2044.08</v>
      </c>
      <c r="K192" s="32" t="n">
        <f aca="false">'Aturan &amp; Tarif'!$B$5</f>
        <v>2050</v>
      </c>
      <c r="L192" s="35" t="n">
        <f aca="false">I192+J192+K192</f>
        <v>21906.08</v>
      </c>
      <c r="M192" s="37" t="s">
        <v>318</v>
      </c>
    </row>
    <row r="193" customFormat="false" ht="25.5" hidden="false" customHeight="true" outlineLevel="0" collapsed="false">
      <c r="A193" s="29"/>
      <c r="B193" s="30" t="s">
        <v>350</v>
      </c>
      <c r="C193" s="31" t="s">
        <v>191</v>
      </c>
      <c r="D193" s="31" t="s">
        <v>108</v>
      </c>
      <c r="E193" s="32" t="n">
        <v>8906</v>
      </c>
      <c r="F193" s="32"/>
      <c r="G193" s="32"/>
      <c r="H193" s="33" t="n">
        <v>2</v>
      </c>
      <c r="I193" s="34" t="n">
        <f aca="false">E193*H193+N(F193)+N(G193)</f>
        <v>17812</v>
      </c>
      <c r="J193" s="32" t="n">
        <f aca="false">ROUND(IFERROR(ROUND(IF(OR(ISNUMBER(SEARCH("week",C193)),ISNUMBER(SEARCH("minggu",C193))),IFERROR(_xlfn.NUMBERVALUE(SUBSTITUTE(LEFT(TRIM(C193),FIND(" ",TRIM(C193)&amp;" ")-1),",","."),"."),LEFT(SUBSTITUTE(LEFT(TRIM(C193),FIND(" ",TRIM(C193)&amp;" ")-1),",","."),FIND("/",SUBSTITUTE(LEFT(TRIM(C193),FIND(" ",TRIM(C193)&amp;" ")-1),",","."))-1)/MID(SUBSTITUTE(LEFT(TRIM(C193),FIND(" ",TRIM(C193)&amp;" ")-1),",","."),FIND("/",SUBSTITUTE(LEFT(TRIM(C193),FIND(" ",TRIM(C193)&amp;" ")-1),",","."))+1,9))*12/52,IF(ISNUMBER(SEARCH("month",C193)),IFERROR(_xlfn.NUMBERVALUE(SUBSTITUTE(LEFT(TRIM(C193),FIND(" ",TRIM(C193)&amp;" ")-1),",","."),"."),LEFT(SUBSTITUTE(LEFT(TRIM(C193),FIND(" ",TRIM(C193)&amp;" ")-1),",","."),FIND("/",SUBSTITUTE(LEFT(TRIM(C193),FIND(" ",TRIM(C193)&amp;" ")-1),",","."))-1)/MID(SUBSTITUTE(LEFT(TRIM(C193),FIND(" ",TRIM(C193)&amp;" ")-1),",","."),FIND("/",SUBSTITUTE(LEFT(TRIM(C193),FIND(" ",TRIM(C193)&amp;" ")-1),",","."))+1,9)),IF(ISNUMBER(SEARCH("yea",C193)),IFERROR(_xlfn.NUMBERVALUE(SUBSTITUTE(LEFT(TRIM(C193),FIND(" ",TRIM(C193)&amp;" ")-1),",","."),"."),LEFT(SUBSTITUTE(LEFT(TRIM(C193),FIND(" ",TRIM(C193)&amp;" ")-1),",","."),FIND("/",SUBSTITUTE(LEFT(TRIM(C193),FIND(" ",TRIM(C193)&amp;" ")-1),",","."))-1)/MID(SUBSTITUTE(LEFT(TRIM(C193),FIND(" ",TRIM(C193)&amp;" ")-1),",","."),FIND("/",SUBSTITUTE(LEFT(TRIM(C193),FIND(" ",TRIM(C193)&amp;" ")-1),",","."))+1,9))*12,NA()))),0),48)*'Aturan &amp; Tarif'!$B$4,2)</f>
        <v>2725.44</v>
      </c>
      <c r="K193" s="32" t="n">
        <f aca="false">'Aturan &amp; Tarif'!$B$5</f>
        <v>2050</v>
      </c>
      <c r="L193" s="35" t="n">
        <f aca="false">I193+J193+K193</f>
        <v>22587.44</v>
      </c>
      <c r="M193" s="37" t="s">
        <v>318</v>
      </c>
    </row>
    <row r="194" customFormat="false" ht="37.5" hidden="false" customHeight="true" outlineLevel="0" collapsed="false">
      <c r="A194" s="29"/>
      <c r="B194" s="30" t="s">
        <v>351</v>
      </c>
      <c r="C194" s="31" t="s">
        <v>191</v>
      </c>
      <c r="D194" s="31" t="s">
        <v>108</v>
      </c>
      <c r="E194" s="32" t="n">
        <v>8906</v>
      </c>
      <c r="F194" s="32"/>
      <c r="G194" s="32"/>
      <c r="H194" s="33" t="n">
        <v>2</v>
      </c>
      <c r="I194" s="34" t="n">
        <f aca="false">E194*H194+N(F194)+N(G194)</f>
        <v>17812</v>
      </c>
      <c r="J194" s="32" t="n">
        <f aca="false">ROUND(IFERROR(ROUND(IF(OR(ISNUMBER(SEARCH("week",C194)),ISNUMBER(SEARCH("minggu",C194))),IFERROR(_xlfn.NUMBERVALUE(SUBSTITUTE(LEFT(TRIM(C194),FIND(" ",TRIM(C194)&amp;" ")-1),",","."),"."),LEFT(SUBSTITUTE(LEFT(TRIM(C194),FIND(" ",TRIM(C194)&amp;" ")-1),",","."),FIND("/",SUBSTITUTE(LEFT(TRIM(C194),FIND(" ",TRIM(C194)&amp;" ")-1),",","."))-1)/MID(SUBSTITUTE(LEFT(TRIM(C194),FIND(" ",TRIM(C194)&amp;" ")-1),",","."),FIND("/",SUBSTITUTE(LEFT(TRIM(C194),FIND(" ",TRIM(C194)&amp;" ")-1),",","."))+1,9))*12/52,IF(ISNUMBER(SEARCH("month",C194)),IFERROR(_xlfn.NUMBERVALUE(SUBSTITUTE(LEFT(TRIM(C194),FIND(" ",TRIM(C194)&amp;" ")-1),",","."),"."),LEFT(SUBSTITUTE(LEFT(TRIM(C194),FIND(" ",TRIM(C194)&amp;" ")-1),",","."),FIND("/",SUBSTITUTE(LEFT(TRIM(C194),FIND(" ",TRIM(C194)&amp;" ")-1),",","."))-1)/MID(SUBSTITUTE(LEFT(TRIM(C194),FIND(" ",TRIM(C194)&amp;" ")-1),",","."),FIND("/",SUBSTITUTE(LEFT(TRIM(C194),FIND(" ",TRIM(C194)&amp;" ")-1),",","."))+1,9)),IF(ISNUMBER(SEARCH("yea",C194)),IFERROR(_xlfn.NUMBERVALUE(SUBSTITUTE(LEFT(TRIM(C194),FIND(" ",TRIM(C194)&amp;" ")-1),",","."),"."),LEFT(SUBSTITUTE(LEFT(TRIM(C194),FIND(" ",TRIM(C194)&amp;" ")-1),",","."),FIND("/",SUBSTITUTE(LEFT(TRIM(C194),FIND(" ",TRIM(C194)&amp;" ")-1),",","."))-1)/MID(SUBSTITUTE(LEFT(TRIM(C194),FIND(" ",TRIM(C194)&amp;" ")-1),",","."),FIND("/",SUBSTITUTE(LEFT(TRIM(C194),FIND(" ",TRIM(C194)&amp;" ")-1),",","."))+1,9))*12,NA()))),0),48)*'Aturan &amp; Tarif'!$B$4,2)</f>
        <v>2725.44</v>
      </c>
      <c r="K194" s="32" t="n">
        <f aca="false">'Aturan &amp; Tarif'!$B$5</f>
        <v>2050</v>
      </c>
      <c r="L194" s="35" t="n">
        <f aca="false">I194+J194+K194</f>
        <v>22587.44</v>
      </c>
      <c r="M194" s="37" t="s">
        <v>318</v>
      </c>
    </row>
    <row r="195" customFormat="false" ht="25.5" hidden="false" customHeight="true" outlineLevel="0" collapsed="false">
      <c r="A195" s="29"/>
      <c r="B195" s="30" t="s">
        <v>352</v>
      </c>
      <c r="C195" s="31" t="s">
        <v>191</v>
      </c>
      <c r="D195" s="31" t="s">
        <v>108</v>
      </c>
      <c r="E195" s="32" t="n">
        <v>8906</v>
      </c>
      <c r="F195" s="32"/>
      <c r="G195" s="32"/>
      <c r="H195" s="33" t="n">
        <v>2</v>
      </c>
      <c r="I195" s="34" t="n">
        <f aca="false">E195*H195+N(F195)+N(G195)</f>
        <v>17812</v>
      </c>
      <c r="J195" s="32" t="n">
        <f aca="false">ROUND(IFERROR(ROUND(IF(OR(ISNUMBER(SEARCH("week",C195)),ISNUMBER(SEARCH("minggu",C195))),IFERROR(_xlfn.NUMBERVALUE(SUBSTITUTE(LEFT(TRIM(C195),FIND(" ",TRIM(C195)&amp;" ")-1),",","."),"."),LEFT(SUBSTITUTE(LEFT(TRIM(C195),FIND(" ",TRIM(C195)&amp;" ")-1),",","."),FIND("/",SUBSTITUTE(LEFT(TRIM(C195),FIND(" ",TRIM(C195)&amp;" ")-1),",","."))-1)/MID(SUBSTITUTE(LEFT(TRIM(C195),FIND(" ",TRIM(C195)&amp;" ")-1),",","."),FIND("/",SUBSTITUTE(LEFT(TRIM(C195),FIND(" ",TRIM(C195)&amp;" ")-1),",","."))+1,9))*12/52,IF(ISNUMBER(SEARCH("month",C195)),IFERROR(_xlfn.NUMBERVALUE(SUBSTITUTE(LEFT(TRIM(C195),FIND(" ",TRIM(C195)&amp;" ")-1),",","."),"."),LEFT(SUBSTITUTE(LEFT(TRIM(C195),FIND(" ",TRIM(C195)&amp;" ")-1),",","."),FIND("/",SUBSTITUTE(LEFT(TRIM(C195),FIND(" ",TRIM(C195)&amp;" ")-1),",","."))-1)/MID(SUBSTITUTE(LEFT(TRIM(C195),FIND(" ",TRIM(C195)&amp;" ")-1),",","."),FIND("/",SUBSTITUTE(LEFT(TRIM(C195),FIND(" ",TRIM(C195)&amp;" ")-1),",","."))+1,9)),IF(ISNUMBER(SEARCH("yea",C195)),IFERROR(_xlfn.NUMBERVALUE(SUBSTITUTE(LEFT(TRIM(C195),FIND(" ",TRIM(C195)&amp;" ")-1),",","."),"."),LEFT(SUBSTITUTE(LEFT(TRIM(C195),FIND(" ",TRIM(C195)&amp;" ")-1),",","."),FIND("/",SUBSTITUTE(LEFT(TRIM(C195),FIND(" ",TRIM(C195)&amp;" ")-1),",","."))-1)/MID(SUBSTITUTE(LEFT(TRIM(C195),FIND(" ",TRIM(C195)&amp;" ")-1),",","."),FIND("/",SUBSTITUTE(LEFT(TRIM(C195),FIND(" ",TRIM(C195)&amp;" ")-1),",","."))+1,9))*12,NA()))),0),48)*'Aturan &amp; Tarif'!$B$4,2)</f>
        <v>2725.44</v>
      </c>
      <c r="K195" s="32" t="n">
        <f aca="false">'Aturan &amp; Tarif'!$B$5</f>
        <v>2050</v>
      </c>
      <c r="L195" s="35" t="n">
        <f aca="false">I195+J195+K195</f>
        <v>22587.44</v>
      </c>
      <c r="M195" s="37" t="s">
        <v>318</v>
      </c>
    </row>
    <row r="196" customFormat="false" ht="25.5" hidden="false" customHeight="true" outlineLevel="0" collapsed="false">
      <c r="A196" s="29"/>
      <c r="B196" s="30" t="s">
        <v>353</v>
      </c>
      <c r="C196" s="31" t="s">
        <v>191</v>
      </c>
      <c r="D196" s="31" t="s">
        <v>108</v>
      </c>
      <c r="E196" s="32" t="n">
        <v>8906</v>
      </c>
      <c r="F196" s="32"/>
      <c r="G196" s="32"/>
      <c r="H196" s="33" t="n">
        <v>2</v>
      </c>
      <c r="I196" s="34" t="n">
        <f aca="false">E196*H196+N(F196)+N(G196)</f>
        <v>17812</v>
      </c>
      <c r="J196" s="32" t="n">
        <f aca="false">ROUND(IFERROR(ROUND(IF(OR(ISNUMBER(SEARCH("week",C196)),ISNUMBER(SEARCH("minggu",C196))),IFERROR(_xlfn.NUMBERVALUE(SUBSTITUTE(LEFT(TRIM(C196),FIND(" ",TRIM(C196)&amp;" ")-1),",","."),"."),LEFT(SUBSTITUTE(LEFT(TRIM(C196),FIND(" ",TRIM(C196)&amp;" ")-1),",","."),FIND("/",SUBSTITUTE(LEFT(TRIM(C196),FIND(" ",TRIM(C196)&amp;" ")-1),",","."))-1)/MID(SUBSTITUTE(LEFT(TRIM(C196),FIND(" ",TRIM(C196)&amp;" ")-1),",","."),FIND("/",SUBSTITUTE(LEFT(TRIM(C196),FIND(" ",TRIM(C196)&amp;" ")-1),",","."))+1,9))*12/52,IF(ISNUMBER(SEARCH("month",C196)),IFERROR(_xlfn.NUMBERVALUE(SUBSTITUTE(LEFT(TRIM(C196),FIND(" ",TRIM(C196)&amp;" ")-1),",","."),"."),LEFT(SUBSTITUTE(LEFT(TRIM(C196),FIND(" ",TRIM(C196)&amp;" ")-1),",","."),FIND("/",SUBSTITUTE(LEFT(TRIM(C196),FIND(" ",TRIM(C196)&amp;" ")-1),",","."))-1)/MID(SUBSTITUTE(LEFT(TRIM(C196),FIND(" ",TRIM(C196)&amp;" ")-1),",","."),FIND("/",SUBSTITUTE(LEFT(TRIM(C196),FIND(" ",TRIM(C196)&amp;" ")-1),",","."))+1,9)),IF(ISNUMBER(SEARCH("yea",C196)),IFERROR(_xlfn.NUMBERVALUE(SUBSTITUTE(LEFT(TRIM(C196),FIND(" ",TRIM(C196)&amp;" ")-1),",","."),"."),LEFT(SUBSTITUTE(LEFT(TRIM(C196),FIND(" ",TRIM(C196)&amp;" ")-1),",","."),FIND("/",SUBSTITUTE(LEFT(TRIM(C196),FIND(" ",TRIM(C196)&amp;" ")-1),",","."))-1)/MID(SUBSTITUTE(LEFT(TRIM(C196),FIND(" ",TRIM(C196)&amp;" ")-1),",","."),FIND("/",SUBSTITUTE(LEFT(TRIM(C196),FIND(" ",TRIM(C196)&amp;" ")-1),",","."))+1,9))*12,NA()))),0),48)*'Aturan &amp; Tarif'!$B$4,2)</f>
        <v>2725.44</v>
      </c>
      <c r="K196" s="32" t="n">
        <f aca="false">'Aturan &amp; Tarif'!$B$5</f>
        <v>2050</v>
      </c>
      <c r="L196" s="35" t="n">
        <f aca="false">I196+J196+K196</f>
        <v>22587.44</v>
      </c>
      <c r="M196" s="37" t="s">
        <v>318</v>
      </c>
    </row>
    <row r="197" customFormat="false" ht="25.5" hidden="false" customHeight="true" outlineLevel="0" collapsed="false">
      <c r="A197" s="29"/>
      <c r="B197" s="30" t="s">
        <v>354</v>
      </c>
      <c r="C197" s="31" t="s">
        <v>191</v>
      </c>
      <c r="D197" s="31" t="s">
        <v>108</v>
      </c>
      <c r="E197" s="32" t="n">
        <v>9706</v>
      </c>
      <c r="F197" s="32"/>
      <c r="G197" s="32"/>
      <c r="H197" s="33" t="n">
        <v>2</v>
      </c>
      <c r="I197" s="34" t="n">
        <f aca="false">E197*H197+N(F197)+N(G197)</f>
        <v>19412</v>
      </c>
      <c r="J197" s="32" t="n">
        <f aca="false">ROUND(IFERROR(ROUND(IF(OR(ISNUMBER(SEARCH("week",C197)),ISNUMBER(SEARCH("minggu",C197))),IFERROR(_xlfn.NUMBERVALUE(SUBSTITUTE(LEFT(TRIM(C197),FIND(" ",TRIM(C197)&amp;" ")-1),",","."),"."),LEFT(SUBSTITUTE(LEFT(TRIM(C197),FIND(" ",TRIM(C197)&amp;" ")-1),",","."),FIND("/",SUBSTITUTE(LEFT(TRIM(C197),FIND(" ",TRIM(C197)&amp;" ")-1),",","."))-1)/MID(SUBSTITUTE(LEFT(TRIM(C197),FIND(" ",TRIM(C197)&amp;" ")-1),",","."),FIND("/",SUBSTITUTE(LEFT(TRIM(C197),FIND(" ",TRIM(C197)&amp;" ")-1),",","."))+1,9))*12/52,IF(ISNUMBER(SEARCH("month",C197)),IFERROR(_xlfn.NUMBERVALUE(SUBSTITUTE(LEFT(TRIM(C197),FIND(" ",TRIM(C197)&amp;" ")-1),",","."),"."),LEFT(SUBSTITUTE(LEFT(TRIM(C197),FIND(" ",TRIM(C197)&amp;" ")-1),",","."),FIND("/",SUBSTITUTE(LEFT(TRIM(C197),FIND(" ",TRIM(C197)&amp;" ")-1),",","."))-1)/MID(SUBSTITUTE(LEFT(TRIM(C197),FIND(" ",TRIM(C197)&amp;" ")-1),",","."),FIND("/",SUBSTITUTE(LEFT(TRIM(C197),FIND(" ",TRIM(C197)&amp;" ")-1),",","."))+1,9)),IF(ISNUMBER(SEARCH("yea",C197)),IFERROR(_xlfn.NUMBERVALUE(SUBSTITUTE(LEFT(TRIM(C197),FIND(" ",TRIM(C197)&amp;" ")-1),",","."),"."),LEFT(SUBSTITUTE(LEFT(TRIM(C197),FIND(" ",TRIM(C197)&amp;" ")-1),",","."),FIND("/",SUBSTITUTE(LEFT(TRIM(C197),FIND(" ",TRIM(C197)&amp;" ")-1),",","."))-1)/MID(SUBSTITUTE(LEFT(TRIM(C197),FIND(" ",TRIM(C197)&amp;" ")-1),",","."),FIND("/",SUBSTITUTE(LEFT(TRIM(C197),FIND(" ",TRIM(C197)&amp;" ")-1),",","."))+1,9))*12,NA()))),0),48)*'Aturan &amp; Tarif'!$B$4,2)</f>
        <v>2725.44</v>
      </c>
      <c r="K197" s="32" t="n">
        <f aca="false">'Aturan &amp; Tarif'!$B$5</f>
        <v>2050</v>
      </c>
      <c r="L197" s="35" t="n">
        <f aca="false">I197+J197+K197</f>
        <v>24187.44</v>
      </c>
      <c r="M197" s="37" t="s">
        <v>318</v>
      </c>
    </row>
    <row r="198" customFormat="false" ht="25.5" hidden="false" customHeight="true" outlineLevel="0" collapsed="false">
      <c r="A198" s="29"/>
      <c r="B198" s="30" t="s">
        <v>355</v>
      </c>
      <c r="C198" s="31" t="s">
        <v>127</v>
      </c>
      <c r="D198" s="31" t="s">
        <v>108</v>
      </c>
      <c r="E198" s="32" t="n">
        <v>8906</v>
      </c>
      <c r="F198" s="32"/>
      <c r="G198" s="32"/>
      <c r="H198" s="33" t="n">
        <v>2</v>
      </c>
      <c r="I198" s="34" t="n">
        <f aca="false">E198*H198+N(F198)+N(G198)</f>
        <v>17812</v>
      </c>
      <c r="J198" s="32" t="n">
        <f aca="false">ROUND(IFERROR(ROUND(IF(OR(ISNUMBER(SEARCH("week",C198)),ISNUMBER(SEARCH("minggu",C198))),IFERROR(_xlfn.NUMBERVALUE(SUBSTITUTE(LEFT(TRIM(C198),FIND(" ",TRIM(C198)&amp;" ")-1),",","."),"."),LEFT(SUBSTITUTE(LEFT(TRIM(C198),FIND(" ",TRIM(C198)&amp;" ")-1),",","."),FIND("/",SUBSTITUTE(LEFT(TRIM(C198),FIND(" ",TRIM(C198)&amp;" ")-1),",","."))-1)/MID(SUBSTITUTE(LEFT(TRIM(C198),FIND(" ",TRIM(C198)&amp;" ")-1),",","."),FIND("/",SUBSTITUTE(LEFT(TRIM(C198),FIND(" ",TRIM(C198)&amp;" ")-1),",","."))+1,9))*12/52,IF(ISNUMBER(SEARCH("month",C198)),IFERROR(_xlfn.NUMBERVALUE(SUBSTITUTE(LEFT(TRIM(C198),FIND(" ",TRIM(C198)&amp;" ")-1),",","."),"."),LEFT(SUBSTITUTE(LEFT(TRIM(C198),FIND(" ",TRIM(C198)&amp;" ")-1),",","."),FIND("/",SUBSTITUTE(LEFT(TRIM(C198),FIND(" ",TRIM(C198)&amp;" ")-1),",","."))-1)/MID(SUBSTITUTE(LEFT(TRIM(C198),FIND(" ",TRIM(C198)&amp;" ")-1),",","."),FIND("/",SUBSTITUTE(LEFT(TRIM(C198),FIND(" ",TRIM(C198)&amp;" ")-1),",","."))+1,9)),IF(ISNUMBER(SEARCH("yea",C198)),IFERROR(_xlfn.NUMBERVALUE(SUBSTITUTE(LEFT(TRIM(C198),FIND(" ",TRIM(C198)&amp;" ")-1),",","."),"."),LEFT(SUBSTITUTE(LEFT(TRIM(C198),FIND(" ",TRIM(C198)&amp;" ")-1),",","."),FIND("/",SUBSTITUTE(LEFT(TRIM(C198),FIND(" ",TRIM(C198)&amp;" ")-1),",","."))-1)/MID(SUBSTITUTE(LEFT(TRIM(C198),FIND(" ",TRIM(C198)&amp;" ")-1),",","."),FIND("/",SUBSTITUTE(LEFT(TRIM(C198),FIND(" ",TRIM(C198)&amp;" ")-1),",","."))+1,9))*12,NA()))),0),36)*'Aturan &amp; Tarif'!$B$4,2)</f>
        <v>2044.08</v>
      </c>
      <c r="K198" s="32" t="n">
        <f aca="false">'Aturan &amp; Tarif'!$B$5</f>
        <v>2050</v>
      </c>
      <c r="L198" s="35" t="n">
        <f aca="false">I198+J198+K198</f>
        <v>21906.08</v>
      </c>
      <c r="M198" s="37" t="s">
        <v>318</v>
      </c>
    </row>
    <row r="199" customFormat="false" ht="14.25" hidden="false" customHeight="true" outlineLevel="0" collapsed="false">
      <c r="A199" s="29"/>
      <c r="B199" s="30" t="s">
        <v>356</v>
      </c>
      <c r="C199" s="31" t="s">
        <v>191</v>
      </c>
      <c r="D199" s="31" t="s">
        <v>108</v>
      </c>
      <c r="E199" s="32" t="n">
        <v>8906</v>
      </c>
      <c r="F199" s="32"/>
      <c r="G199" s="32"/>
      <c r="H199" s="33" t="n">
        <v>2</v>
      </c>
      <c r="I199" s="34" t="n">
        <f aca="false">E199*H199+N(F199)+N(G199)</f>
        <v>17812</v>
      </c>
      <c r="J199" s="32" t="n">
        <f aca="false">ROUND(IFERROR(ROUND(IF(OR(ISNUMBER(SEARCH("week",C199)),ISNUMBER(SEARCH("minggu",C199))),IFERROR(_xlfn.NUMBERVALUE(SUBSTITUTE(LEFT(TRIM(C199),FIND(" ",TRIM(C199)&amp;" ")-1),",","."),"."),LEFT(SUBSTITUTE(LEFT(TRIM(C199),FIND(" ",TRIM(C199)&amp;" ")-1),",","."),FIND("/",SUBSTITUTE(LEFT(TRIM(C199),FIND(" ",TRIM(C199)&amp;" ")-1),",","."))-1)/MID(SUBSTITUTE(LEFT(TRIM(C199),FIND(" ",TRIM(C199)&amp;" ")-1),",","."),FIND("/",SUBSTITUTE(LEFT(TRIM(C199),FIND(" ",TRIM(C199)&amp;" ")-1),",","."))+1,9))*12/52,IF(ISNUMBER(SEARCH("month",C199)),IFERROR(_xlfn.NUMBERVALUE(SUBSTITUTE(LEFT(TRIM(C199),FIND(" ",TRIM(C199)&amp;" ")-1),",","."),"."),LEFT(SUBSTITUTE(LEFT(TRIM(C199),FIND(" ",TRIM(C199)&amp;" ")-1),",","."),FIND("/",SUBSTITUTE(LEFT(TRIM(C199),FIND(" ",TRIM(C199)&amp;" ")-1),",","."))-1)/MID(SUBSTITUTE(LEFT(TRIM(C199),FIND(" ",TRIM(C199)&amp;" ")-1),",","."),FIND("/",SUBSTITUTE(LEFT(TRIM(C199),FIND(" ",TRIM(C199)&amp;" ")-1),",","."))+1,9)),IF(ISNUMBER(SEARCH("yea",C199)),IFERROR(_xlfn.NUMBERVALUE(SUBSTITUTE(LEFT(TRIM(C199),FIND(" ",TRIM(C199)&amp;" ")-1),",","."),"."),LEFT(SUBSTITUTE(LEFT(TRIM(C199),FIND(" ",TRIM(C199)&amp;" ")-1),",","."),FIND("/",SUBSTITUTE(LEFT(TRIM(C199),FIND(" ",TRIM(C199)&amp;" ")-1),",","."))-1)/MID(SUBSTITUTE(LEFT(TRIM(C199),FIND(" ",TRIM(C199)&amp;" ")-1),",","."),FIND("/",SUBSTITUTE(LEFT(TRIM(C199),FIND(" ",TRIM(C199)&amp;" ")-1),",","."))+1,9))*12,NA()))),0),48)*'Aturan &amp; Tarif'!$B$4,2)</f>
        <v>2725.44</v>
      </c>
      <c r="K199" s="32" t="n">
        <f aca="false">'Aturan &amp; Tarif'!$B$5</f>
        <v>2050</v>
      </c>
      <c r="L199" s="35" t="n">
        <f aca="false">I199+J199+K199</f>
        <v>22587.44</v>
      </c>
      <c r="M199" s="37" t="s">
        <v>318</v>
      </c>
    </row>
    <row r="200" customFormat="false" ht="25.5" hidden="false" customHeight="true" outlineLevel="0" collapsed="false">
      <c r="A200" s="29"/>
      <c r="B200" s="30" t="s">
        <v>357</v>
      </c>
      <c r="C200" s="31" t="s">
        <v>191</v>
      </c>
      <c r="D200" s="31" t="s">
        <v>108</v>
      </c>
      <c r="E200" s="32" t="n">
        <v>8906</v>
      </c>
      <c r="F200" s="32"/>
      <c r="G200" s="32"/>
      <c r="H200" s="33" t="n">
        <v>2</v>
      </c>
      <c r="I200" s="34" t="n">
        <f aca="false">E200*H200+N(F200)+N(G200)</f>
        <v>17812</v>
      </c>
      <c r="J200" s="32" t="n">
        <f aca="false">ROUND(IFERROR(ROUND(IF(OR(ISNUMBER(SEARCH("week",C200)),ISNUMBER(SEARCH("minggu",C200))),IFERROR(_xlfn.NUMBERVALUE(SUBSTITUTE(LEFT(TRIM(C200),FIND(" ",TRIM(C200)&amp;" ")-1),",","."),"."),LEFT(SUBSTITUTE(LEFT(TRIM(C200),FIND(" ",TRIM(C200)&amp;" ")-1),",","."),FIND("/",SUBSTITUTE(LEFT(TRIM(C200),FIND(" ",TRIM(C200)&amp;" ")-1),",","."))-1)/MID(SUBSTITUTE(LEFT(TRIM(C200),FIND(" ",TRIM(C200)&amp;" ")-1),",","."),FIND("/",SUBSTITUTE(LEFT(TRIM(C200),FIND(" ",TRIM(C200)&amp;" ")-1),",","."))+1,9))*12/52,IF(ISNUMBER(SEARCH("month",C200)),IFERROR(_xlfn.NUMBERVALUE(SUBSTITUTE(LEFT(TRIM(C200),FIND(" ",TRIM(C200)&amp;" ")-1),",","."),"."),LEFT(SUBSTITUTE(LEFT(TRIM(C200),FIND(" ",TRIM(C200)&amp;" ")-1),",","."),FIND("/",SUBSTITUTE(LEFT(TRIM(C200),FIND(" ",TRIM(C200)&amp;" ")-1),",","."))-1)/MID(SUBSTITUTE(LEFT(TRIM(C200),FIND(" ",TRIM(C200)&amp;" ")-1),",","."),FIND("/",SUBSTITUTE(LEFT(TRIM(C200),FIND(" ",TRIM(C200)&amp;" ")-1),",","."))+1,9)),IF(ISNUMBER(SEARCH("yea",C200)),IFERROR(_xlfn.NUMBERVALUE(SUBSTITUTE(LEFT(TRIM(C200),FIND(" ",TRIM(C200)&amp;" ")-1),",","."),"."),LEFT(SUBSTITUTE(LEFT(TRIM(C200),FIND(" ",TRIM(C200)&amp;" ")-1),",","."),FIND("/",SUBSTITUTE(LEFT(TRIM(C200),FIND(" ",TRIM(C200)&amp;" ")-1),",","."))-1)/MID(SUBSTITUTE(LEFT(TRIM(C200),FIND(" ",TRIM(C200)&amp;" ")-1),",","."),FIND("/",SUBSTITUTE(LEFT(TRIM(C200),FIND(" ",TRIM(C200)&amp;" ")-1),",","."))+1,9))*12,NA()))),0),48)*'Aturan &amp; Tarif'!$B$4,2)</f>
        <v>2725.44</v>
      </c>
      <c r="K200" s="32" t="n">
        <f aca="false">'Aturan &amp; Tarif'!$B$5</f>
        <v>2050</v>
      </c>
      <c r="L200" s="35" t="n">
        <f aca="false">I200+J200+K200</f>
        <v>22587.44</v>
      </c>
      <c r="M200" s="37" t="s">
        <v>318</v>
      </c>
    </row>
    <row r="201" customFormat="false" ht="25.5" hidden="false" customHeight="true" outlineLevel="0" collapsed="false">
      <c r="A201" s="29"/>
      <c r="B201" s="30" t="s">
        <v>358</v>
      </c>
      <c r="C201" s="31" t="s">
        <v>191</v>
      </c>
      <c r="D201" s="31" t="s">
        <v>108</v>
      </c>
      <c r="E201" s="32" t="n">
        <v>8906</v>
      </c>
      <c r="F201" s="32"/>
      <c r="G201" s="32"/>
      <c r="H201" s="33" t="n">
        <v>2</v>
      </c>
      <c r="I201" s="34" t="n">
        <f aca="false">E201*H201+N(F201)+N(G201)</f>
        <v>17812</v>
      </c>
      <c r="J201" s="32" t="n">
        <f aca="false">ROUND(IFERROR(ROUND(IF(OR(ISNUMBER(SEARCH("week",C201)),ISNUMBER(SEARCH("minggu",C201))),IFERROR(_xlfn.NUMBERVALUE(SUBSTITUTE(LEFT(TRIM(C201),FIND(" ",TRIM(C201)&amp;" ")-1),",","."),"."),LEFT(SUBSTITUTE(LEFT(TRIM(C201),FIND(" ",TRIM(C201)&amp;" ")-1),",","."),FIND("/",SUBSTITUTE(LEFT(TRIM(C201),FIND(" ",TRIM(C201)&amp;" ")-1),",","."))-1)/MID(SUBSTITUTE(LEFT(TRIM(C201),FIND(" ",TRIM(C201)&amp;" ")-1),",","."),FIND("/",SUBSTITUTE(LEFT(TRIM(C201),FIND(" ",TRIM(C201)&amp;" ")-1),",","."))+1,9))*12/52,IF(ISNUMBER(SEARCH("month",C201)),IFERROR(_xlfn.NUMBERVALUE(SUBSTITUTE(LEFT(TRIM(C201),FIND(" ",TRIM(C201)&amp;" ")-1),",","."),"."),LEFT(SUBSTITUTE(LEFT(TRIM(C201),FIND(" ",TRIM(C201)&amp;" ")-1),",","."),FIND("/",SUBSTITUTE(LEFT(TRIM(C201),FIND(" ",TRIM(C201)&amp;" ")-1),",","."))-1)/MID(SUBSTITUTE(LEFT(TRIM(C201),FIND(" ",TRIM(C201)&amp;" ")-1),",","."),FIND("/",SUBSTITUTE(LEFT(TRIM(C201),FIND(" ",TRIM(C201)&amp;" ")-1),",","."))+1,9)),IF(ISNUMBER(SEARCH("yea",C201)),IFERROR(_xlfn.NUMBERVALUE(SUBSTITUTE(LEFT(TRIM(C201),FIND(" ",TRIM(C201)&amp;" ")-1),",","."),"."),LEFT(SUBSTITUTE(LEFT(TRIM(C201),FIND(" ",TRIM(C201)&amp;" ")-1),",","."),FIND("/",SUBSTITUTE(LEFT(TRIM(C201),FIND(" ",TRIM(C201)&amp;" ")-1),",","."))-1)/MID(SUBSTITUTE(LEFT(TRIM(C201),FIND(" ",TRIM(C201)&amp;" ")-1),",","."),FIND("/",SUBSTITUTE(LEFT(TRIM(C201),FIND(" ",TRIM(C201)&amp;" ")-1),",","."))+1,9))*12,NA()))),0),48)*'Aturan &amp; Tarif'!$B$4,2)</f>
        <v>2725.44</v>
      </c>
      <c r="K201" s="32" t="n">
        <f aca="false">'Aturan &amp; Tarif'!$B$5</f>
        <v>2050</v>
      </c>
      <c r="L201" s="35" t="n">
        <f aca="false">I201+J201+K201</f>
        <v>22587.44</v>
      </c>
      <c r="M201" s="37" t="s">
        <v>318</v>
      </c>
    </row>
    <row r="202" customFormat="false" ht="25.5" hidden="false" customHeight="true" outlineLevel="0" collapsed="false">
      <c r="A202" s="29"/>
      <c r="B202" s="30" t="s">
        <v>237</v>
      </c>
      <c r="C202" s="31" t="s">
        <v>191</v>
      </c>
      <c r="D202" s="31" t="s">
        <v>108</v>
      </c>
      <c r="E202" s="32" t="n">
        <v>8906</v>
      </c>
      <c r="F202" s="32"/>
      <c r="G202" s="32"/>
      <c r="H202" s="33" t="n">
        <v>2</v>
      </c>
      <c r="I202" s="34" t="n">
        <f aca="false">E202*H202+N(F202)+N(G202)</f>
        <v>17812</v>
      </c>
      <c r="J202" s="32" t="n">
        <f aca="false">ROUND(IFERROR(ROUND(IF(OR(ISNUMBER(SEARCH("week",C202)),ISNUMBER(SEARCH("minggu",C202))),IFERROR(_xlfn.NUMBERVALUE(SUBSTITUTE(LEFT(TRIM(C202),FIND(" ",TRIM(C202)&amp;" ")-1),",","."),"."),LEFT(SUBSTITUTE(LEFT(TRIM(C202),FIND(" ",TRIM(C202)&amp;" ")-1),",","."),FIND("/",SUBSTITUTE(LEFT(TRIM(C202),FIND(" ",TRIM(C202)&amp;" ")-1),",","."))-1)/MID(SUBSTITUTE(LEFT(TRIM(C202),FIND(" ",TRIM(C202)&amp;" ")-1),",","."),FIND("/",SUBSTITUTE(LEFT(TRIM(C202),FIND(" ",TRIM(C202)&amp;" ")-1),",","."))+1,9))*12/52,IF(ISNUMBER(SEARCH("month",C202)),IFERROR(_xlfn.NUMBERVALUE(SUBSTITUTE(LEFT(TRIM(C202),FIND(" ",TRIM(C202)&amp;" ")-1),",","."),"."),LEFT(SUBSTITUTE(LEFT(TRIM(C202),FIND(" ",TRIM(C202)&amp;" ")-1),",","."),FIND("/",SUBSTITUTE(LEFT(TRIM(C202),FIND(" ",TRIM(C202)&amp;" ")-1),",","."))-1)/MID(SUBSTITUTE(LEFT(TRIM(C202),FIND(" ",TRIM(C202)&amp;" ")-1),",","."),FIND("/",SUBSTITUTE(LEFT(TRIM(C202),FIND(" ",TRIM(C202)&amp;" ")-1),",","."))+1,9)),IF(ISNUMBER(SEARCH("yea",C202)),IFERROR(_xlfn.NUMBERVALUE(SUBSTITUTE(LEFT(TRIM(C202),FIND(" ",TRIM(C202)&amp;" ")-1),",","."),"."),LEFT(SUBSTITUTE(LEFT(TRIM(C202),FIND(" ",TRIM(C202)&amp;" ")-1),",","."),FIND("/",SUBSTITUTE(LEFT(TRIM(C202),FIND(" ",TRIM(C202)&amp;" ")-1),",","."))-1)/MID(SUBSTITUTE(LEFT(TRIM(C202),FIND(" ",TRIM(C202)&amp;" ")-1),",","."),FIND("/",SUBSTITUTE(LEFT(TRIM(C202),FIND(" ",TRIM(C202)&amp;" ")-1),",","."))+1,9))*12,NA()))),0),48)*'Aturan &amp; Tarif'!$B$4,2)</f>
        <v>2725.44</v>
      </c>
      <c r="K202" s="32" t="n">
        <f aca="false">'Aturan &amp; Tarif'!$B$5</f>
        <v>2050</v>
      </c>
      <c r="L202" s="35" t="n">
        <f aca="false">I202+J202+K202</f>
        <v>22587.44</v>
      </c>
      <c r="M202" s="37" t="s">
        <v>318</v>
      </c>
    </row>
    <row r="203" customFormat="false" ht="14.25" hidden="false" customHeight="true" outlineLevel="0" collapsed="false">
      <c r="A203" s="29"/>
      <c r="B203" s="30" t="s">
        <v>359</v>
      </c>
      <c r="C203" s="31" t="s">
        <v>191</v>
      </c>
      <c r="D203" s="31" t="s">
        <v>108</v>
      </c>
      <c r="E203" s="32" t="n">
        <v>8906</v>
      </c>
      <c r="F203" s="32"/>
      <c r="G203" s="32"/>
      <c r="H203" s="33" t="n">
        <v>2</v>
      </c>
      <c r="I203" s="34" t="n">
        <f aca="false">E203*H203+N(F203)+N(G203)</f>
        <v>17812</v>
      </c>
      <c r="J203" s="32" t="n">
        <f aca="false">ROUND(IFERROR(ROUND(IF(OR(ISNUMBER(SEARCH("week",C203)),ISNUMBER(SEARCH("minggu",C203))),IFERROR(_xlfn.NUMBERVALUE(SUBSTITUTE(LEFT(TRIM(C203),FIND(" ",TRIM(C203)&amp;" ")-1),",","."),"."),LEFT(SUBSTITUTE(LEFT(TRIM(C203),FIND(" ",TRIM(C203)&amp;" ")-1),",","."),FIND("/",SUBSTITUTE(LEFT(TRIM(C203),FIND(" ",TRIM(C203)&amp;" ")-1),",","."))-1)/MID(SUBSTITUTE(LEFT(TRIM(C203),FIND(" ",TRIM(C203)&amp;" ")-1),",","."),FIND("/",SUBSTITUTE(LEFT(TRIM(C203),FIND(" ",TRIM(C203)&amp;" ")-1),",","."))+1,9))*12/52,IF(ISNUMBER(SEARCH("month",C203)),IFERROR(_xlfn.NUMBERVALUE(SUBSTITUTE(LEFT(TRIM(C203),FIND(" ",TRIM(C203)&amp;" ")-1),",","."),"."),LEFT(SUBSTITUTE(LEFT(TRIM(C203),FIND(" ",TRIM(C203)&amp;" ")-1),",","."),FIND("/",SUBSTITUTE(LEFT(TRIM(C203),FIND(" ",TRIM(C203)&amp;" ")-1),",","."))-1)/MID(SUBSTITUTE(LEFT(TRIM(C203),FIND(" ",TRIM(C203)&amp;" ")-1),",","."),FIND("/",SUBSTITUTE(LEFT(TRIM(C203),FIND(" ",TRIM(C203)&amp;" ")-1),",","."))+1,9)),IF(ISNUMBER(SEARCH("yea",C203)),IFERROR(_xlfn.NUMBERVALUE(SUBSTITUTE(LEFT(TRIM(C203),FIND(" ",TRIM(C203)&amp;" ")-1),",","."),"."),LEFT(SUBSTITUTE(LEFT(TRIM(C203),FIND(" ",TRIM(C203)&amp;" ")-1),",","."),FIND("/",SUBSTITUTE(LEFT(TRIM(C203),FIND(" ",TRIM(C203)&amp;" ")-1),",","."))-1)/MID(SUBSTITUTE(LEFT(TRIM(C203),FIND(" ",TRIM(C203)&amp;" ")-1),",","."),FIND("/",SUBSTITUTE(LEFT(TRIM(C203),FIND(" ",TRIM(C203)&amp;" ")-1),",","."))+1,9))*12,NA()))),0),48)*'Aturan &amp; Tarif'!$B$4,2)</f>
        <v>2725.44</v>
      </c>
      <c r="K203" s="32" t="n">
        <f aca="false">'Aturan &amp; Tarif'!$B$5</f>
        <v>2050</v>
      </c>
      <c r="L203" s="35" t="n">
        <f aca="false">I203+J203+K203</f>
        <v>22587.44</v>
      </c>
      <c r="M203" s="37" t="s">
        <v>318</v>
      </c>
    </row>
    <row r="204" customFormat="false" ht="14.25" hidden="false" customHeight="true" outlineLevel="0" collapsed="false">
      <c r="A204" s="29"/>
      <c r="B204" s="30" t="s">
        <v>360</v>
      </c>
      <c r="C204" s="31" t="s">
        <v>191</v>
      </c>
      <c r="D204" s="31" t="s">
        <v>108</v>
      </c>
      <c r="E204" s="32" t="n">
        <v>8906</v>
      </c>
      <c r="F204" s="32"/>
      <c r="G204" s="32"/>
      <c r="H204" s="33" t="n">
        <v>2</v>
      </c>
      <c r="I204" s="34" t="n">
        <f aca="false">E204*H204+N(F204)+N(G204)</f>
        <v>17812</v>
      </c>
      <c r="J204" s="32" t="n">
        <f aca="false">ROUND(IFERROR(ROUND(IF(OR(ISNUMBER(SEARCH("week",C204)),ISNUMBER(SEARCH("minggu",C204))),IFERROR(_xlfn.NUMBERVALUE(SUBSTITUTE(LEFT(TRIM(C204),FIND(" ",TRIM(C204)&amp;" ")-1),",","."),"."),LEFT(SUBSTITUTE(LEFT(TRIM(C204),FIND(" ",TRIM(C204)&amp;" ")-1),",","."),FIND("/",SUBSTITUTE(LEFT(TRIM(C204),FIND(" ",TRIM(C204)&amp;" ")-1),",","."))-1)/MID(SUBSTITUTE(LEFT(TRIM(C204),FIND(" ",TRIM(C204)&amp;" ")-1),",","."),FIND("/",SUBSTITUTE(LEFT(TRIM(C204),FIND(" ",TRIM(C204)&amp;" ")-1),",","."))+1,9))*12/52,IF(ISNUMBER(SEARCH("month",C204)),IFERROR(_xlfn.NUMBERVALUE(SUBSTITUTE(LEFT(TRIM(C204),FIND(" ",TRIM(C204)&amp;" ")-1),",","."),"."),LEFT(SUBSTITUTE(LEFT(TRIM(C204),FIND(" ",TRIM(C204)&amp;" ")-1),",","."),FIND("/",SUBSTITUTE(LEFT(TRIM(C204),FIND(" ",TRIM(C204)&amp;" ")-1),",","."))-1)/MID(SUBSTITUTE(LEFT(TRIM(C204),FIND(" ",TRIM(C204)&amp;" ")-1),",","."),FIND("/",SUBSTITUTE(LEFT(TRIM(C204),FIND(" ",TRIM(C204)&amp;" ")-1),",","."))+1,9)),IF(ISNUMBER(SEARCH("yea",C204)),IFERROR(_xlfn.NUMBERVALUE(SUBSTITUTE(LEFT(TRIM(C204),FIND(" ",TRIM(C204)&amp;" ")-1),",","."),"."),LEFT(SUBSTITUTE(LEFT(TRIM(C204),FIND(" ",TRIM(C204)&amp;" ")-1),",","."),FIND("/",SUBSTITUTE(LEFT(TRIM(C204),FIND(" ",TRIM(C204)&amp;" ")-1),",","."))-1)/MID(SUBSTITUTE(LEFT(TRIM(C204),FIND(" ",TRIM(C204)&amp;" ")-1),",","."),FIND("/",SUBSTITUTE(LEFT(TRIM(C204),FIND(" ",TRIM(C204)&amp;" ")-1),",","."))+1,9))*12,NA()))),0),48)*'Aturan &amp; Tarif'!$B$4,2)</f>
        <v>2725.44</v>
      </c>
      <c r="K204" s="32" t="n">
        <f aca="false">'Aturan &amp; Tarif'!$B$5</f>
        <v>2050</v>
      </c>
      <c r="L204" s="35" t="n">
        <f aca="false">I204+J204+K204</f>
        <v>22587.44</v>
      </c>
      <c r="M204" s="37" t="s">
        <v>318</v>
      </c>
    </row>
    <row r="205" customFormat="false" ht="14.25" hidden="false" customHeight="true" outlineLevel="0" collapsed="false">
      <c r="A205" s="29"/>
      <c r="B205" s="30" t="s">
        <v>361</v>
      </c>
      <c r="C205" s="31" t="s">
        <v>191</v>
      </c>
      <c r="D205" s="31" t="s">
        <v>108</v>
      </c>
      <c r="E205" s="32" t="n">
        <v>8906</v>
      </c>
      <c r="F205" s="32"/>
      <c r="G205" s="32"/>
      <c r="H205" s="33" t="n">
        <v>2</v>
      </c>
      <c r="I205" s="34" t="n">
        <f aca="false">E205*H205+N(F205)+N(G205)</f>
        <v>17812</v>
      </c>
      <c r="J205" s="32" t="n">
        <f aca="false">ROUND(IFERROR(ROUND(IF(OR(ISNUMBER(SEARCH("week",C205)),ISNUMBER(SEARCH("minggu",C205))),IFERROR(_xlfn.NUMBERVALUE(SUBSTITUTE(LEFT(TRIM(C205),FIND(" ",TRIM(C205)&amp;" ")-1),",","."),"."),LEFT(SUBSTITUTE(LEFT(TRIM(C205),FIND(" ",TRIM(C205)&amp;" ")-1),",","."),FIND("/",SUBSTITUTE(LEFT(TRIM(C205),FIND(" ",TRIM(C205)&amp;" ")-1),",","."))-1)/MID(SUBSTITUTE(LEFT(TRIM(C205),FIND(" ",TRIM(C205)&amp;" ")-1),",","."),FIND("/",SUBSTITUTE(LEFT(TRIM(C205),FIND(" ",TRIM(C205)&amp;" ")-1),",","."))+1,9))*12/52,IF(ISNUMBER(SEARCH("month",C205)),IFERROR(_xlfn.NUMBERVALUE(SUBSTITUTE(LEFT(TRIM(C205),FIND(" ",TRIM(C205)&amp;" ")-1),",","."),"."),LEFT(SUBSTITUTE(LEFT(TRIM(C205),FIND(" ",TRIM(C205)&amp;" ")-1),",","."),FIND("/",SUBSTITUTE(LEFT(TRIM(C205),FIND(" ",TRIM(C205)&amp;" ")-1),",","."))-1)/MID(SUBSTITUTE(LEFT(TRIM(C205),FIND(" ",TRIM(C205)&amp;" ")-1),",","."),FIND("/",SUBSTITUTE(LEFT(TRIM(C205),FIND(" ",TRIM(C205)&amp;" ")-1),",","."))+1,9)),IF(ISNUMBER(SEARCH("yea",C205)),IFERROR(_xlfn.NUMBERVALUE(SUBSTITUTE(LEFT(TRIM(C205),FIND(" ",TRIM(C205)&amp;" ")-1),",","."),"."),LEFT(SUBSTITUTE(LEFT(TRIM(C205),FIND(" ",TRIM(C205)&amp;" ")-1),",","."),FIND("/",SUBSTITUTE(LEFT(TRIM(C205),FIND(" ",TRIM(C205)&amp;" ")-1),",","."))-1)/MID(SUBSTITUTE(LEFT(TRIM(C205),FIND(" ",TRIM(C205)&amp;" ")-1),",","."),FIND("/",SUBSTITUTE(LEFT(TRIM(C205),FIND(" ",TRIM(C205)&amp;" ")-1),",","."))+1,9))*12,NA()))),0),48)*'Aturan &amp; Tarif'!$B$4,2)</f>
        <v>2725.44</v>
      </c>
      <c r="K205" s="32" t="n">
        <f aca="false">'Aturan &amp; Tarif'!$B$5</f>
        <v>2050</v>
      </c>
      <c r="L205" s="35" t="n">
        <f aca="false">I205+J205+K205</f>
        <v>22587.44</v>
      </c>
      <c r="M205" s="37" t="s">
        <v>318</v>
      </c>
    </row>
    <row r="206" customFormat="false" ht="25.5" hidden="false" customHeight="true" outlineLevel="0" collapsed="false">
      <c r="A206" s="29"/>
      <c r="B206" s="30" t="s">
        <v>362</v>
      </c>
      <c r="C206" s="31" t="s">
        <v>191</v>
      </c>
      <c r="D206" s="31" t="s">
        <v>108</v>
      </c>
      <c r="E206" s="32" t="n">
        <v>8906</v>
      </c>
      <c r="F206" s="32"/>
      <c r="G206" s="32"/>
      <c r="H206" s="33" t="n">
        <v>2</v>
      </c>
      <c r="I206" s="34" t="n">
        <f aca="false">E206*H206+N(F206)+N(G206)</f>
        <v>17812</v>
      </c>
      <c r="J206" s="32" t="n">
        <f aca="false">ROUND(IFERROR(ROUND(IF(OR(ISNUMBER(SEARCH("week",C206)),ISNUMBER(SEARCH("minggu",C206))),IFERROR(_xlfn.NUMBERVALUE(SUBSTITUTE(LEFT(TRIM(C206),FIND(" ",TRIM(C206)&amp;" ")-1),",","."),"."),LEFT(SUBSTITUTE(LEFT(TRIM(C206),FIND(" ",TRIM(C206)&amp;" ")-1),",","."),FIND("/",SUBSTITUTE(LEFT(TRIM(C206),FIND(" ",TRIM(C206)&amp;" ")-1),",","."))-1)/MID(SUBSTITUTE(LEFT(TRIM(C206),FIND(" ",TRIM(C206)&amp;" ")-1),",","."),FIND("/",SUBSTITUTE(LEFT(TRIM(C206),FIND(" ",TRIM(C206)&amp;" ")-1),",","."))+1,9))*12/52,IF(ISNUMBER(SEARCH("month",C206)),IFERROR(_xlfn.NUMBERVALUE(SUBSTITUTE(LEFT(TRIM(C206),FIND(" ",TRIM(C206)&amp;" ")-1),",","."),"."),LEFT(SUBSTITUTE(LEFT(TRIM(C206),FIND(" ",TRIM(C206)&amp;" ")-1),",","."),FIND("/",SUBSTITUTE(LEFT(TRIM(C206),FIND(" ",TRIM(C206)&amp;" ")-1),",","."))-1)/MID(SUBSTITUTE(LEFT(TRIM(C206),FIND(" ",TRIM(C206)&amp;" ")-1),",","."),FIND("/",SUBSTITUTE(LEFT(TRIM(C206),FIND(" ",TRIM(C206)&amp;" ")-1),",","."))+1,9)),IF(ISNUMBER(SEARCH("yea",C206)),IFERROR(_xlfn.NUMBERVALUE(SUBSTITUTE(LEFT(TRIM(C206),FIND(" ",TRIM(C206)&amp;" ")-1),",","."),"."),LEFT(SUBSTITUTE(LEFT(TRIM(C206),FIND(" ",TRIM(C206)&amp;" ")-1),",","."),FIND("/",SUBSTITUTE(LEFT(TRIM(C206),FIND(" ",TRIM(C206)&amp;" ")-1),",","."))-1)/MID(SUBSTITUTE(LEFT(TRIM(C206),FIND(" ",TRIM(C206)&amp;" ")-1),",","."),FIND("/",SUBSTITUTE(LEFT(TRIM(C206),FIND(" ",TRIM(C206)&amp;" ")-1),",","."))+1,9))*12,NA()))),0),48)*'Aturan &amp; Tarif'!$B$4,2)</f>
        <v>2725.44</v>
      </c>
      <c r="K206" s="32" t="n">
        <f aca="false">'Aturan &amp; Tarif'!$B$5</f>
        <v>2050</v>
      </c>
      <c r="L206" s="35" t="n">
        <f aca="false">I206+J206+K206</f>
        <v>22587.44</v>
      </c>
      <c r="M206" s="37" t="s">
        <v>318</v>
      </c>
    </row>
    <row r="207" customFormat="false" ht="25.5" hidden="false" customHeight="true" outlineLevel="0" collapsed="false">
      <c r="A207" s="29"/>
      <c r="B207" s="30" t="s">
        <v>363</v>
      </c>
      <c r="C207" s="31" t="s">
        <v>191</v>
      </c>
      <c r="D207" s="31" t="s">
        <v>108</v>
      </c>
      <c r="E207" s="32" t="n">
        <v>8906</v>
      </c>
      <c r="F207" s="32"/>
      <c r="G207" s="32"/>
      <c r="H207" s="33" t="n">
        <v>2</v>
      </c>
      <c r="I207" s="34" t="n">
        <f aca="false">E207*H207+N(F207)+N(G207)</f>
        <v>17812</v>
      </c>
      <c r="J207" s="32" t="n">
        <f aca="false">ROUND(IFERROR(ROUND(IF(OR(ISNUMBER(SEARCH("week",C207)),ISNUMBER(SEARCH("minggu",C207))),IFERROR(_xlfn.NUMBERVALUE(SUBSTITUTE(LEFT(TRIM(C207),FIND(" ",TRIM(C207)&amp;" ")-1),",","."),"."),LEFT(SUBSTITUTE(LEFT(TRIM(C207),FIND(" ",TRIM(C207)&amp;" ")-1),",","."),FIND("/",SUBSTITUTE(LEFT(TRIM(C207),FIND(" ",TRIM(C207)&amp;" ")-1),",","."))-1)/MID(SUBSTITUTE(LEFT(TRIM(C207),FIND(" ",TRIM(C207)&amp;" ")-1),",","."),FIND("/",SUBSTITUTE(LEFT(TRIM(C207),FIND(" ",TRIM(C207)&amp;" ")-1),",","."))+1,9))*12/52,IF(ISNUMBER(SEARCH("month",C207)),IFERROR(_xlfn.NUMBERVALUE(SUBSTITUTE(LEFT(TRIM(C207),FIND(" ",TRIM(C207)&amp;" ")-1),",","."),"."),LEFT(SUBSTITUTE(LEFT(TRIM(C207),FIND(" ",TRIM(C207)&amp;" ")-1),",","."),FIND("/",SUBSTITUTE(LEFT(TRIM(C207),FIND(" ",TRIM(C207)&amp;" ")-1),",","."))-1)/MID(SUBSTITUTE(LEFT(TRIM(C207),FIND(" ",TRIM(C207)&amp;" ")-1),",","."),FIND("/",SUBSTITUTE(LEFT(TRIM(C207),FIND(" ",TRIM(C207)&amp;" ")-1),",","."))+1,9)),IF(ISNUMBER(SEARCH("yea",C207)),IFERROR(_xlfn.NUMBERVALUE(SUBSTITUTE(LEFT(TRIM(C207),FIND(" ",TRIM(C207)&amp;" ")-1),",","."),"."),LEFT(SUBSTITUTE(LEFT(TRIM(C207),FIND(" ",TRIM(C207)&amp;" ")-1),",","."),FIND("/",SUBSTITUTE(LEFT(TRIM(C207),FIND(" ",TRIM(C207)&amp;" ")-1),",","."))-1)/MID(SUBSTITUTE(LEFT(TRIM(C207),FIND(" ",TRIM(C207)&amp;" ")-1),",","."),FIND("/",SUBSTITUTE(LEFT(TRIM(C207),FIND(" ",TRIM(C207)&amp;" ")-1),",","."))+1,9))*12,NA()))),0),48)*'Aturan &amp; Tarif'!$B$4,2)</f>
        <v>2725.44</v>
      </c>
      <c r="K207" s="32" t="n">
        <f aca="false">'Aturan &amp; Tarif'!$B$5</f>
        <v>2050</v>
      </c>
      <c r="L207" s="35" t="n">
        <f aca="false">I207+J207+K207</f>
        <v>22587.44</v>
      </c>
      <c r="M207" s="37" t="s">
        <v>318</v>
      </c>
    </row>
    <row r="208" customFormat="false" ht="14.25" hidden="false" customHeight="true" outlineLevel="0" collapsed="false">
      <c r="A208" s="29"/>
      <c r="B208" s="30" t="s">
        <v>364</v>
      </c>
      <c r="C208" s="31" t="s">
        <v>191</v>
      </c>
      <c r="D208" s="31" t="s">
        <v>108</v>
      </c>
      <c r="E208" s="32" t="n">
        <v>8906</v>
      </c>
      <c r="F208" s="32"/>
      <c r="G208" s="32"/>
      <c r="H208" s="33" t="n">
        <v>2</v>
      </c>
      <c r="I208" s="34" t="n">
        <f aca="false">E208*H208+N(F208)+N(G208)</f>
        <v>17812</v>
      </c>
      <c r="J208" s="32" t="n">
        <f aca="false">ROUND(IFERROR(ROUND(IF(OR(ISNUMBER(SEARCH("week",C208)),ISNUMBER(SEARCH("minggu",C208))),IFERROR(_xlfn.NUMBERVALUE(SUBSTITUTE(LEFT(TRIM(C208),FIND(" ",TRIM(C208)&amp;" ")-1),",","."),"."),LEFT(SUBSTITUTE(LEFT(TRIM(C208),FIND(" ",TRIM(C208)&amp;" ")-1),",","."),FIND("/",SUBSTITUTE(LEFT(TRIM(C208),FIND(" ",TRIM(C208)&amp;" ")-1),",","."))-1)/MID(SUBSTITUTE(LEFT(TRIM(C208),FIND(" ",TRIM(C208)&amp;" ")-1),",","."),FIND("/",SUBSTITUTE(LEFT(TRIM(C208),FIND(" ",TRIM(C208)&amp;" ")-1),",","."))+1,9))*12/52,IF(ISNUMBER(SEARCH("month",C208)),IFERROR(_xlfn.NUMBERVALUE(SUBSTITUTE(LEFT(TRIM(C208),FIND(" ",TRIM(C208)&amp;" ")-1),",","."),"."),LEFT(SUBSTITUTE(LEFT(TRIM(C208),FIND(" ",TRIM(C208)&amp;" ")-1),",","."),FIND("/",SUBSTITUTE(LEFT(TRIM(C208),FIND(" ",TRIM(C208)&amp;" ")-1),",","."))-1)/MID(SUBSTITUTE(LEFT(TRIM(C208),FIND(" ",TRIM(C208)&amp;" ")-1),",","."),FIND("/",SUBSTITUTE(LEFT(TRIM(C208),FIND(" ",TRIM(C208)&amp;" ")-1),",","."))+1,9)),IF(ISNUMBER(SEARCH("yea",C208)),IFERROR(_xlfn.NUMBERVALUE(SUBSTITUTE(LEFT(TRIM(C208),FIND(" ",TRIM(C208)&amp;" ")-1),",","."),"."),LEFT(SUBSTITUTE(LEFT(TRIM(C208),FIND(" ",TRIM(C208)&amp;" ")-1),",","."),FIND("/",SUBSTITUTE(LEFT(TRIM(C208),FIND(" ",TRIM(C208)&amp;" ")-1),",","."))-1)/MID(SUBSTITUTE(LEFT(TRIM(C208),FIND(" ",TRIM(C208)&amp;" ")-1),",","."),FIND("/",SUBSTITUTE(LEFT(TRIM(C208),FIND(" ",TRIM(C208)&amp;" ")-1),",","."))+1,9))*12,NA()))),0),48)*'Aturan &amp; Tarif'!$B$4,2)</f>
        <v>2725.44</v>
      </c>
      <c r="K208" s="32" t="n">
        <f aca="false">'Aturan &amp; Tarif'!$B$5</f>
        <v>2050</v>
      </c>
      <c r="L208" s="35" t="n">
        <f aca="false">I208+J208+K208</f>
        <v>22587.44</v>
      </c>
      <c r="M208" s="37" t="s">
        <v>318</v>
      </c>
    </row>
    <row r="209" customFormat="false" ht="14.25" hidden="false" customHeight="true" outlineLevel="0" collapsed="false">
      <c r="A209" s="29"/>
      <c r="B209" s="30" t="s">
        <v>365</v>
      </c>
      <c r="C209" s="31" t="s">
        <v>191</v>
      </c>
      <c r="D209" s="31" t="s">
        <v>108</v>
      </c>
      <c r="E209" s="32" t="n">
        <v>8906</v>
      </c>
      <c r="F209" s="32"/>
      <c r="G209" s="32"/>
      <c r="H209" s="33" t="n">
        <v>2</v>
      </c>
      <c r="I209" s="34" t="n">
        <f aca="false">E209*H209+N(F209)+N(G209)</f>
        <v>17812</v>
      </c>
      <c r="J209" s="32" t="n">
        <f aca="false">ROUND(IFERROR(ROUND(IF(OR(ISNUMBER(SEARCH("week",C209)),ISNUMBER(SEARCH("minggu",C209))),IFERROR(_xlfn.NUMBERVALUE(SUBSTITUTE(LEFT(TRIM(C209),FIND(" ",TRIM(C209)&amp;" ")-1),",","."),"."),LEFT(SUBSTITUTE(LEFT(TRIM(C209),FIND(" ",TRIM(C209)&amp;" ")-1),",","."),FIND("/",SUBSTITUTE(LEFT(TRIM(C209),FIND(" ",TRIM(C209)&amp;" ")-1),",","."))-1)/MID(SUBSTITUTE(LEFT(TRIM(C209),FIND(" ",TRIM(C209)&amp;" ")-1),",","."),FIND("/",SUBSTITUTE(LEFT(TRIM(C209),FIND(" ",TRIM(C209)&amp;" ")-1),",","."))+1,9))*12/52,IF(ISNUMBER(SEARCH("month",C209)),IFERROR(_xlfn.NUMBERVALUE(SUBSTITUTE(LEFT(TRIM(C209),FIND(" ",TRIM(C209)&amp;" ")-1),",","."),"."),LEFT(SUBSTITUTE(LEFT(TRIM(C209),FIND(" ",TRIM(C209)&amp;" ")-1),",","."),FIND("/",SUBSTITUTE(LEFT(TRIM(C209),FIND(" ",TRIM(C209)&amp;" ")-1),",","."))-1)/MID(SUBSTITUTE(LEFT(TRIM(C209),FIND(" ",TRIM(C209)&amp;" ")-1),",","."),FIND("/",SUBSTITUTE(LEFT(TRIM(C209),FIND(" ",TRIM(C209)&amp;" ")-1),",","."))+1,9)),IF(ISNUMBER(SEARCH("yea",C209)),IFERROR(_xlfn.NUMBERVALUE(SUBSTITUTE(LEFT(TRIM(C209),FIND(" ",TRIM(C209)&amp;" ")-1),",","."),"."),LEFT(SUBSTITUTE(LEFT(TRIM(C209),FIND(" ",TRIM(C209)&amp;" ")-1),",","."),FIND("/",SUBSTITUTE(LEFT(TRIM(C209),FIND(" ",TRIM(C209)&amp;" ")-1),",","."))-1)/MID(SUBSTITUTE(LEFT(TRIM(C209),FIND(" ",TRIM(C209)&amp;" ")-1),",","."),FIND("/",SUBSTITUTE(LEFT(TRIM(C209),FIND(" ",TRIM(C209)&amp;" ")-1),",","."))+1,9))*12,NA()))),0),48)*'Aturan &amp; Tarif'!$B$4,2)</f>
        <v>2725.44</v>
      </c>
      <c r="K209" s="32" t="n">
        <f aca="false">'Aturan &amp; Tarif'!$B$5</f>
        <v>2050</v>
      </c>
      <c r="L209" s="35" t="n">
        <f aca="false">I209+J209+K209</f>
        <v>22587.44</v>
      </c>
      <c r="M209" s="37" t="s">
        <v>318</v>
      </c>
    </row>
    <row r="210" customFormat="false" ht="25.5" hidden="false" customHeight="true" outlineLevel="0" collapsed="false">
      <c r="A210" s="29"/>
      <c r="B210" s="30" t="s">
        <v>366</v>
      </c>
      <c r="C210" s="31" t="s">
        <v>191</v>
      </c>
      <c r="D210" s="31" t="s">
        <v>108</v>
      </c>
      <c r="E210" s="32" t="n">
        <v>8906</v>
      </c>
      <c r="F210" s="32"/>
      <c r="G210" s="32"/>
      <c r="H210" s="33" t="n">
        <v>2</v>
      </c>
      <c r="I210" s="34" t="n">
        <f aca="false">E210*H210+N(F210)+N(G210)</f>
        <v>17812</v>
      </c>
      <c r="J210" s="32" t="n">
        <f aca="false">ROUND(IFERROR(ROUND(IF(OR(ISNUMBER(SEARCH("week",C210)),ISNUMBER(SEARCH("minggu",C210))),IFERROR(_xlfn.NUMBERVALUE(SUBSTITUTE(LEFT(TRIM(C210),FIND(" ",TRIM(C210)&amp;" ")-1),",","."),"."),LEFT(SUBSTITUTE(LEFT(TRIM(C210),FIND(" ",TRIM(C210)&amp;" ")-1),",","."),FIND("/",SUBSTITUTE(LEFT(TRIM(C210),FIND(" ",TRIM(C210)&amp;" ")-1),",","."))-1)/MID(SUBSTITUTE(LEFT(TRIM(C210),FIND(" ",TRIM(C210)&amp;" ")-1),",","."),FIND("/",SUBSTITUTE(LEFT(TRIM(C210),FIND(" ",TRIM(C210)&amp;" ")-1),",","."))+1,9))*12/52,IF(ISNUMBER(SEARCH("month",C210)),IFERROR(_xlfn.NUMBERVALUE(SUBSTITUTE(LEFT(TRIM(C210),FIND(" ",TRIM(C210)&amp;" ")-1),",","."),"."),LEFT(SUBSTITUTE(LEFT(TRIM(C210),FIND(" ",TRIM(C210)&amp;" ")-1),",","."),FIND("/",SUBSTITUTE(LEFT(TRIM(C210),FIND(" ",TRIM(C210)&amp;" ")-1),",","."))-1)/MID(SUBSTITUTE(LEFT(TRIM(C210),FIND(" ",TRIM(C210)&amp;" ")-1),",","."),FIND("/",SUBSTITUTE(LEFT(TRIM(C210),FIND(" ",TRIM(C210)&amp;" ")-1),",","."))+1,9)),IF(ISNUMBER(SEARCH("yea",C210)),IFERROR(_xlfn.NUMBERVALUE(SUBSTITUTE(LEFT(TRIM(C210),FIND(" ",TRIM(C210)&amp;" ")-1),",","."),"."),LEFT(SUBSTITUTE(LEFT(TRIM(C210),FIND(" ",TRIM(C210)&amp;" ")-1),",","."),FIND("/",SUBSTITUTE(LEFT(TRIM(C210),FIND(" ",TRIM(C210)&amp;" ")-1),",","."))-1)/MID(SUBSTITUTE(LEFT(TRIM(C210),FIND(" ",TRIM(C210)&amp;" ")-1),",","."),FIND("/",SUBSTITUTE(LEFT(TRIM(C210),FIND(" ",TRIM(C210)&amp;" ")-1),",","."))+1,9))*12,NA()))),0),48)*'Aturan &amp; Tarif'!$B$4,2)</f>
        <v>2725.44</v>
      </c>
      <c r="K210" s="32" t="n">
        <f aca="false">'Aturan &amp; Tarif'!$B$5</f>
        <v>2050</v>
      </c>
      <c r="L210" s="35" t="n">
        <f aca="false">I210+J210+K210</f>
        <v>22587.44</v>
      </c>
      <c r="M210" s="37" t="s">
        <v>318</v>
      </c>
    </row>
    <row r="211" customFormat="false" ht="14.25" hidden="false" customHeight="true" outlineLevel="0" collapsed="false">
      <c r="A211" s="29"/>
      <c r="B211" s="30" t="s">
        <v>367</v>
      </c>
      <c r="C211" s="31" t="s">
        <v>127</v>
      </c>
      <c r="D211" s="31" t="s">
        <v>108</v>
      </c>
      <c r="E211" s="32" t="n">
        <v>8906</v>
      </c>
      <c r="F211" s="32"/>
      <c r="G211" s="32"/>
      <c r="H211" s="33" t="n">
        <v>2</v>
      </c>
      <c r="I211" s="34" t="n">
        <f aca="false">E211*H211+N(F211)+N(G211)</f>
        <v>17812</v>
      </c>
      <c r="J211" s="32" t="n">
        <f aca="false">ROUND(IFERROR(ROUND(IF(OR(ISNUMBER(SEARCH("week",C211)),ISNUMBER(SEARCH("minggu",C211))),IFERROR(_xlfn.NUMBERVALUE(SUBSTITUTE(LEFT(TRIM(C211),FIND(" ",TRIM(C211)&amp;" ")-1),",","."),"."),LEFT(SUBSTITUTE(LEFT(TRIM(C211),FIND(" ",TRIM(C211)&amp;" ")-1),",","."),FIND("/",SUBSTITUTE(LEFT(TRIM(C211),FIND(" ",TRIM(C211)&amp;" ")-1),",","."))-1)/MID(SUBSTITUTE(LEFT(TRIM(C211),FIND(" ",TRIM(C211)&amp;" ")-1),",","."),FIND("/",SUBSTITUTE(LEFT(TRIM(C211),FIND(" ",TRIM(C211)&amp;" ")-1),",","."))+1,9))*12/52,IF(ISNUMBER(SEARCH("month",C211)),IFERROR(_xlfn.NUMBERVALUE(SUBSTITUTE(LEFT(TRIM(C211),FIND(" ",TRIM(C211)&amp;" ")-1),",","."),"."),LEFT(SUBSTITUTE(LEFT(TRIM(C211),FIND(" ",TRIM(C211)&amp;" ")-1),",","."),FIND("/",SUBSTITUTE(LEFT(TRIM(C211),FIND(" ",TRIM(C211)&amp;" ")-1),",","."))-1)/MID(SUBSTITUTE(LEFT(TRIM(C211),FIND(" ",TRIM(C211)&amp;" ")-1),",","."),FIND("/",SUBSTITUTE(LEFT(TRIM(C211),FIND(" ",TRIM(C211)&amp;" ")-1),",","."))+1,9)),IF(ISNUMBER(SEARCH("yea",C211)),IFERROR(_xlfn.NUMBERVALUE(SUBSTITUTE(LEFT(TRIM(C211),FIND(" ",TRIM(C211)&amp;" ")-1),",","."),"."),LEFT(SUBSTITUTE(LEFT(TRIM(C211),FIND(" ",TRIM(C211)&amp;" ")-1),",","."),FIND("/",SUBSTITUTE(LEFT(TRIM(C211),FIND(" ",TRIM(C211)&amp;" ")-1),",","."))-1)/MID(SUBSTITUTE(LEFT(TRIM(C211),FIND(" ",TRIM(C211)&amp;" ")-1),",","."),FIND("/",SUBSTITUTE(LEFT(TRIM(C211),FIND(" ",TRIM(C211)&amp;" ")-1),",","."))+1,9))*12,NA()))),0),36)*'Aturan &amp; Tarif'!$B$4,2)</f>
        <v>2044.08</v>
      </c>
      <c r="K211" s="32" t="n">
        <f aca="false">'Aturan &amp; Tarif'!$B$5</f>
        <v>2050</v>
      </c>
      <c r="L211" s="35" t="n">
        <f aca="false">I211+J211+K211</f>
        <v>21906.08</v>
      </c>
      <c r="M211" s="37" t="s">
        <v>318</v>
      </c>
    </row>
    <row r="212" customFormat="false" ht="25.5" hidden="false" customHeight="true" outlineLevel="0" collapsed="false">
      <c r="A212" s="29"/>
      <c r="B212" s="30" t="s">
        <v>368</v>
      </c>
      <c r="C212" s="31" t="s">
        <v>191</v>
      </c>
      <c r="D212" s="31" t="s">
        <v>108</v>
      </c>
      <c r="E212" s="32" t="n">
        <v>8906</v>
      </c>
      <c r="F212" s="32"/>
      <c r="G212" s="32"/>
      <c r="H212" s="33" t="n">
        <v>2</v>
      </c>
      <c r="I212" s="34" t="n">
        <f aca="false">E212*H212+N(F212)+N(G212)</f>
        <v>17812</v>
      </c>
      <c r="J212" s="32" t="n">
        <f aca="false">ROUND(IFERROR(ROUND(IF(OR(ISNUMBER(SEARCH("week",C212)),ISNUMBER(SEARCH("minggu",C212))),IFERROR(_xlfn.NUMBERVALUE(SUBSTITUTE(LEFT(TRIM(C212),FIND(" ",TRIM(C212)&amp;" ")-1),",","."),"."),LEFT(SUBSTITUTE(LEFT(TRIM(C212),FIND(" ",TRIM(C212)&amp;" ")-1),",","."),FIND("/",SUBSTITUTE(LEFT(TRIM(C212),FIND(" ",TRIM(C212)&amp;" ")-1),",","."))-1)/MID(SUBSTITUTE(LEFT(TRIM(C212),FIND(" ",TRIM(C212)&amp;" ")-1),",","."),FIND("/",SUBSTITUTE(LEFT(TRIM(C212),FIND(" ",TRIM(C212)&amp;" ")-1),",","."))+1,9))*12/52,IF(ISNUMBER(SEARCH("month",C212)),IFERROR(_xlfn.NUMBERVALUE(SUBSTITUTE(LEFT(TRIM(C212),FIND(" ",TRIM(C212)&amp;" ")-1),",","."),"."),LEFT(SUBSTITUTE(LEFT(TRIM(C212),FIND(" ",TRIM(C212)&amp;" ")-1),",","."),FIND("/",SUBSTITUTE(LEFT(TRIM(C212),FIND(" ",TRIM(C212)&amp;" ")-1),",","."))-1)/MID(SUBSTITUTE(LEFT(TRIM(C212),FIND(" ",TRIM(C212)&amp;" ")-1),",","."),FIND("/",SUBSTITUTE(LEFT(TRIM(C212),FIND(" ",TRIM(C212)&amp;" ")-1),",","."))+1,9)),IF(ISNUMBER(SEARCH("yea",C212)),IFERROR(_xlfn.NUMBERVALUE(SUBSTITUTE(LEFT(TRIM(C212),FIND(" ",TRIM(C212)&amp;" ")-1),",","."),"."),LEFT(SUBSTITUTE(LEFT(TRIM(C212),FIND(" ",TRIM(C212)&amp;" ")-1),",","."),FIND("/",SUBSTITUTE(LEFT(TRIM(C212),FIND(" ",TRIM(C212)&amp;" ")-1),",","."))-1)/MID(SUBSTITUTE(LEFT(TRIM(C212),FIND(" ",TRIM(C212)&amp;" ")-1),",","."),FIND("/",SUBSTITUTE(LEFT(TRIM(C212),FIND(" ",TRIM(C212)&amp;" ")-1),",","."))+1,9))*12,NA()))),0),48)*'Aturan &amp; Tarif'!$B$4,2)</f>
        <v>2725.44</v>
      </c>
      <c r="K212" s="32" t="n">
        <f aca="false">'Aturan &amp; Tarif'!$B$5</f>
        <v>2050</v>
      </c>
      <c r="L212" s="35" t="n">
        <f aca="false">I212+J212+K212</f>
        <v>22587.44</v>
      </c>
      <c r="M212" s="37" t="s">
        <v>318</v>
      </c>
    </row>
    <row r="213" customFormat="false" ht="14.25" hidden="false" customHeight="true" outlineLevel="0" collapsed="false">
      <c r="A213" s="29"/>
      <c r="B213" s="30" t="s">
        <v>369</v>
      </c>
      <c r="C213" s="31" t="s">
        <v>191</v>
      </c>
      <c r="D213" s="31" t="s">
        <v>108</v>
      </c>
      <c r="E213" s="32" t="n">
        <v>8906</v>
      </c>
      <c r="F213" s="32"/>
      <c r="G213" s="32"/>
      <c r="H213" s="33" t="n">
        <v>2</v>
      </c>
      <c r="I213" s="34" t="n">
        <f aca="false">E213*H213+N(F213)+N(G213)</f>
        <v>17812</v>
      </c>
      <c r="J213" s="32" t="n">
        <f aca="false">ROUND(IFERROR(ROUND(IF(OR(ISNUMBER(SEARCH("week",C213)),ISNUMBER(SEARCH("minggu",C213))),IFERROR(_xlfn.NUMBERVALUE(SUBSTITUTE(LEFT(TRIM(C213),FIND(" ",TRIM(C213)&amp;" ")-1),",","."),"."),LEFT(SUBSTITUTE(LEFT(TRIM(C213),FIND(" ",TRIM(C213)&amp;" ")-1),",","."),FIND("/",SUBSTITUTE(LEFT(TRIM(C213),FIND(" ",TRIM(C213)&amp;" ")-1),",","."))-1)/MID(SUBSTITUTE(LEFT(TRIM(C213),FIND(" ",TRIM(C213)&amp;" ")-1),",","."),FIND("/",SUBSTITUTE(LEFT(TRIM(C213),FIND(" ",TRIM(C213)&amp;" ")-1),",","."))+1,9))*12/52,IF(ISNUMBER(SEARCH("month",C213)),IFERROR(_xlfn.NUMBERVALUE(SUBSTITUTE(LEFT(TRIM(C213),FIND(" ",TRIM(C213)&amp;" ")-1),",","."),"."),LEFT(SUBSTITUTE(LEFT(TRIM(C213),FIND(" ",TRIM(C213)&amp;" ")-1),",","."),FIND("/",SUBSTITUTE(LEFT(TRIM(C213),FIND(" ",TRIM(C213)&amp;" ")-1),",","."))-1)/MID(SUBSTITUTE(LEFT(TRIM(C213),FIND(" ",TRIM(C213)&amp;" ")-1),",","."),FIND("/",SUBSTITUTE(LEFT(TRIM(C213),FIND(" ",TRIM(C213)&amp;" ")-1),",","."))+1,9)),IF(ISNUMBER(SEARCH("yea",C213)),IFERROR(_xlfn.NUMBERVALUE(SUBSTITUTE(LEFT(TRIM(C213),FIND(" ",TRIM(C213)&amp;" ")-1),",","."),"."),LEFT(SUBSTITUTE(LEFT(TRIM(C213),FIND(" ",TRIM(C213)&amp;" ")-1),",","."),FIND("/",SUBSTITUTE(LEFT(TRIM(C213),FIND(" ",TRIM(C213)&amp;" ")-1),",","."))-1)/MID(SUBSTITUTE(LEFT(TRIM(C213),FIND(" ",TRIM(C213)&amp;" ")-1),",","."),FIND("/",SUBSTITUTE(LEFT(TRIM(C213),FIND(" ",TRIM(C213)&amp;" ")-1),",","."))+1,9))*12,NA()))),0),48)*'Aturan &amp; Tarif'!$B$4,2)</f>
        <v>2725.44</v>
      </c>
      <c r="K213" s="32" t="n">
        <f aca="false">'Aturan &amp; Tarif'!$B$5</f>
        <v>2050</v>
      </c>
      <c r="L213" s="35" t="n">
        <f aca="false">I213+J213+K213</f>
        <v>22587.44</v>
      </c>
      <c r="M213" s="37" t="s">
        <v>318</v>
      </c>
    </row>
    <row r="214" customFormat="false" ht="25.5" hidden="false" customHeight="true" outlineLevel="0" collapsed="false">
      <c r="A214" s="29"/>
      <c r="B214" s="30" t="s">
        <v>370</v>
      </c>
      <c r="C214" s="31" t="s">
        <v>191</v>
      </c>
      <c r="D214" s="31" t="s">
        <v>108</v>
      </c>
      <c r="E214" s="32" t="n">
        <v>8906</v>
      </c>
      <c r="F214" s="32"/>
      <c r="G214" s="32"/>
      <c r="H214" s="33" t="n">
        <v>2</v>
      </c>
      <c r="I214" s="34" t="n">
        <f aca="false">E214*H214+N(F214)+N(G214)</f>
        <v>17812</v>
      </c>
      <c r="J214" s="32" t="n">
        <f aca="false">ROUND(IFERROR(ROUND(IF(OR(ISNUMBER(SEARCH("week",C214)),ISNUMBER(SEARCH("minggu",C214))),IFERROR(_xlfn.NUMBERVALUE(SUBSTITUTE(LEFT(TRIM(C214),FIND(" ",TRIM(C214)&amp;" ")-1),",","."),"."),LEFT(SUBSTITUTE(LEFT(TRIM(C214),FIND(" ",TRIM(C214)&amp;" ")-1),",","."),FIND("/",SUBSTITUTE(LEFT(TRIM(C214),FIND(" ",TRIM(C214)&amp;" ")-1),",","."))-1)/MID(SUBSTITUTE(LEFT(TRIM(C214),FIND(" ",TRIM(C214)&amp;" ")-1),",","."),FIND("/",SUBSTITUTE(LEFT(TRIM(C214),FIND(" ",TRIM(C214)&amp;" ")-1),",","."))+1,9))*12/52,IF(ISNUMBER(SEARCH("month",C214)),IFERROR(_xlfn.NUMBERVALUE(SUBSTITUTE(LEFT(TRIM(C214),FIND(" ",TRIM(C214)&amp;" ")-1),",","."),"."),LEFT(SUBSTITUTE(LEFT(TRIM(C214),FIND(" ",TRIM(C214)&amp;" ")-1),",","."),FIND("/",SUBSTITUTE(LEFT(TRIM(C214),FIND(" ",TRIM(C214)&amp;" ")-1),",","."))-1)/MID(SUBSTITUTE(LEFT(TRIM(C214),FIND(" ",TRIM(C214)&amp;" ")-1),",","."),FIND("/",SUBSTITUTE(LEFT(TRIM(C214),FIND(" ",TRIM(C214)&amp;" ")-1),",","."))+1,9)),IF(ISNUMBER(SEARCH("yea",C214)),IFERROR(_xlfn.NUMBERVALUE(SUBSTITUTE(LEFT(TRIM(C214),FIND(" ",TRIM(C214)&amp;" ")-1),",","."),"."),LEFT(SUBSTITUTE(LEFT(TRIM(C214),FIND(" ",TRIM(C214)&amp;" ")-1),",","."),FIND("/",SUBSTITUTE(LEFT(TRIM(C214),FIND(" ",TRIM(C214)&amp;" ")-1),",","."))-1)/MID(SUBSTITUTE(LEFT(TRIM(C214),FIND(" ",TRIM(C214)&amp;" ")-1),",","."),FIND("/",SUBSTITUTE(LEFT(TRIM(C214),FIND(" ",TRIM(C214)&amp;" ")-1),",","."))+1,9))*12,NA()))),0),48)*'Aturan &amp; Tarif'!$B$4,2)</f>
        <v>2725.44</v>
      </c>
      <c r="K214" s="32" t="n">
        <f aca="false">'Aturan &amp; Tarif'!$B$5</f>
        <v>2050</v>
      </c>
      <c r="L214" s="35" t="n">
        <f aca="false">I214+J214+K214</f>
        <v>22587.44</v>
      </c>
      <c r="M214" s="37" t="s">
        <v>318</v>
      </c>
    </row>
    <row r="215" customFormat="false" ht="25.5" hidden="false" customHeight="true" outlineLevel="0" collapsed="false">
      <c r="A215" s="29"/>
      <c r="B215" s="30" t="s">
        <v>371</v>
      </c>
      <c r="C215" s="31" t="s">
        <v>127</v>
      </c>
      <c r="D215" s="31" t="s">
        <v>108</v>
      </c>
      <c r="E215" s="32" t="n">
        <v>8906</v>
      </c>
      <c r="F215" s="32"/>
      <c r="G215" s="32"/>
      <c r="H215" s="33" t="n">
        <v>2</v>
      </c>
      <c r="I215" s="34" t="n">
        <f aca="false">E215*H215+N(F215)+N(G215)</f>
        <v>17812</v>
      </c>
      <c r="J215" s="32" t="n">
        <f aca="false">ROUND(IFERROR(ROUND(IF(OR(ISNUMBER(SEARCH("week",C215)),ISNUMBER(SEARCH("minggu",C215))),IFERROR(_xlfn.NUMBERVALUE(SUBSTITUTE(LEFT(TRIM(C215),FIND(" ",TRIM(C215)&amp;" ")-1),",","."),"."),LEFT(SUBSTITUTE(LEFT(TRIM(C215),FIND(" ",TRIM(C215)&amp;" ")-1),",","."),FIND("/",SUBSTITUTE(LEFT(TRIM(C215),FIND(" ",TRIM(C215)&amp;" ")-1),",","."))-1)/MID(SUBSTITUTE(LEFT(TRIM(C215),FIND(" ",TRIM(C215)&amp;" ")-1),",","."),FIND("/",SUBSTITUTE(LEFT(TRIM(C215),FIND(" ",TRIM(C215)&amp;" ")-1),",","."))+1,9))*12/52,IF(ISNUMBER(SEARCH("month",C215)),IFERROR(_xlfn.NUMBERVALUE(SUBSTITUTE(LEFT(TRIM(C215),FIND(" ",TRIM(C215)&amp;" ")-1),",","."),"."),LEFT(SUBSTITUTE(LEFT(TRIM(C215),FIND(" ",TRIM(C215)&amp;" ")-1),",","."),FIND("/",SUBSTITUTE(LEFT(TRIM(C215),FIND(" ",TRIM(C215)&amp;" ")-1),",","."))-1)/MID(SUBSTITUTE(LEFT(TRIM(C215),FIND(" ",TRIM(C215)&amp;" ")-1),",","."),FIND("/",SUBSTITUTE(LEFT(TRIM(C215),FIND(" ",TRIM(C215)&amp;" ")-1),",","."))+1,9)),IF(ISNUMBER(SEARCH("yea",C215)),IFERROR(_xlfn.NUMBERVALUE(SUBSTITUTE(LEFT(TRIM(C215),FIND(" ",TRIM(C215)&amp;" ")-1),",","."),"."),LEFT(SUBSTITUTE(LEFT(TRIM(C215),FIND(" ",TRIM(C215)&amp;" ")-1),",","."),FIND("/",SUBSTITUTE(LEFT(TRIM(C215),FIND(" ",TRIM(C215)&amp;" ")-1),",","."))-1)/MID(SUBSTITUTE(LEFT(TRIM(C215),FIND(" ",TRIM(C215)&amp;" ")-1),",","."),FIND("/",SUBSTITUTE(LEFT(TRIM(C215),FIND(" ",TRIM(C215)&amp;" ")-1),",","."))+1,9))*12,NA()))),0),36)*'Aturan &amp; Tarif'!$B$4,2)</f>
        <v>2044.08</v>
      </c>
      <c r="K215" s="32" t="n">
        <f aca="false">'Aturan &amp; Tarif'!$B$5</f>
        <v>2050</v>
      </c>
      <c r="L215" s="35" t="n">
        <f aca="false">I215+J215+K215</f>
        <v>21906.08</v>
      </c>
      <c r="M215" s="37" t="s">
        <v>318</v>
      </c>
    </row>
    <row r="216" customFormat="false" ht="14.25" hidden="false" customHeight="true" outlineLevel="0" collapsed="false">
      <c r="A216" s="29"/>
      <c r="B216" s="30" t="s">
        <v>372</v>
      </c>
      <c r="C216" s="31" t="s">
        <v>127</v>
      </c>
      <c r="D216" s="31" t="s">
        <v>108</v>
      </c>
      <c r="E216" s="32" t="n">
        <v>8906</v>
      </c>
      <c r="F216" s="32"/>
      <c r="G216" s="32"/>
      <c r="H216" s="33" t="n">
        <v>2</v>
      </c>
      <c r="I216" s="34" t="n">
        <f aca="false">E216*H216+N(F216)+N(G216)</f>
        <v>17812</v>
      </c>
      <c r="J216" s="32" t="n">
        <f aca="false">ROUND(IFERROR(ROUND(IF(OR(ISNUMBER(SEARCH("week",C216)),ISNUMBER(SEARCH("minggu",C216))),IFERROR(_xlfn.NUMBERVALUE(SUBSTITUTE(LEFT(TRIM(C216),FIND(" ",TRIM(C216)&amp;" ")-1),",","."),"."),LEFT(SUBSTITUTE(LEFT(TRIM(C216),FIND(" ",TRIM(C216)&amp;" ")-1),",","."),FIND("/",SUBSTITUTE(LEFT(TRIM(C216),FIND(" ",TRIM(C216)&amp;" ")-1),",","."))-1)/MID(SUBSTITUTE(LEFT(TRIM(C216),FIND(" ",TRIM(C216)&amp;" ")-1),",","."),FIND("/",SUBSTITUTE(LEFT(TRIM(C216),FIND(" ",TRIM(C216)&amp;" ")-1),",","."))+1,9))*12/52,IF(ISNUMBER(SEARCH("month",C216)),IFERROR(_xlfn.NUMBERVALUE(SUBSTITUTE(LEFT(TRIM(C216),FIND(" ",TRIM(C216)&amp;" ")-1),",","."),"."),LEFT(SUBSTITUTE(LEFT(TRIM(C216),FIND(" ",TRIM(C216)&amp;" ")-1),",","."),FIND("/",SUBSTITUTE(LEFT(TRIM(C216),FIND(" ",TRIM(C216)&amp;" ")-1),",","."))-1)/MID(SUBSTITUTE(LEFT(TRIM(C216),FIND(" ",TRIM(C216)&amp;" ")-1),",","."),FIND("/",SUBSTITUTE(LEFT(TRIM(C216),FIND(" ",TRIM(C216)&amp;" ")-1),",","."))+1,9)),IF(ISNUMBER(SEARCH("yea",C216)),IFERROR(_xlfn.NUMBERVALUE(SUBSTITUTE(LEFT(TRIM(C216),FIND(" ",TRIM(C216)&amp;" ")-1),",","."),"."),LEFT(SUBSTITUTE(LEFT(TRIM(C216),FIND(" ",TRIM(C216)&amp;" ")-1),",","."),FIND("/",SUBSTITUTE(LEFT(TRIM(C216),FIND(" ",TRIM(C216)&amp;" ")-1),",","."))-1)/MID(SUBSTITUTE(LEFT(TRIM(C216),FIND(" ",TRIM(C216)&amp;" ")-1),",","."),FIND("/",SUBSTITUTE(LEFT(TRIM(C216),FIND(" ",TRIM(C216)&amp;" ")-1),",","."))+1,9))*12,NA()))),0),36)*'Aturan &amp; Tarif'!$B$4,2)</f>
        <v>2044.08</v>
      </c>
      <c r="K216" s="32" t="n">
        <f aca="false">'Aturan &amp; Tarif'!$B$5</f>
        <v>2050</v>
      </c>
      <c r="L216" s="35" t="n">
        <f aca="false">I216+J216+K216</f>
        <v>21906.08</v>
      </c>
      <c r="M216" s="37" t="s">
        <v>318</v>
      </c>
    </row>
    <row r="217" customFormat="false" ht="14.25" hidden="false" customHeight="true" outlineLevel="0" collapsed="false">
      <c r="A217" s="29"/>
      <c r="B217" s="30" t="s">
        <v>373</v>
      </c>
      <c r="C217" s="31" t="s">
        <v>107</v>
      </c>
      <c r="D217" s="31" t="s">
        <v>108</v>
      </c>
      <c r="E217" s="32" t="n">
        <v>8906</v>
      </c>
      <c r="F217" s="32"/>
      <c r="G217" s="32"/>
      <c r="H217" s="33" t="n">
        <v>2</v>
      </c>
      <c r="I217" s="34" t="n">
        <f aca="false">E217*H217+N(F217)+N(G217)</f>
        <v>17812</v>
      </c>
      <c r="J217" s="32" t="n">
        <f aca="false">ROUND(IFERROR(ROUND(IF(OR(ISNUMBER(SEARCH("week",C217)),ISNUMBER(SEARCH("minggu",C217))),IFERROR(_xlfn.NUMBERVALUE(SUBSTITUTE(LEFT(TRIM(C217),FIND(" ",TRIM(C217)&amp;" ")-1),",","."),"."),LEFT(SUBSTITUTE(LEFT(TRIM(C217),FIND(" ",TRIM(C217)&amp;" ")-1),",","."),FIND("/",SUBSTITUTE(LEFT(TRIM(C217),FIND(" ",TRIM(C217)&amp;" ")-1),",","."))-1)/MID(SUBSTITUTE(LEFT(TRIM(C217),FIND(" ",TRIM(C217)&amp;" ")-1),",","."),FIND("/",SUBSTITUTE(LEFT(TRIM(C217),FIND(" ",TRIM(C217)&amp;" ")-1),",","."))+1,9))*12/52,IF(ISNUMBER(SEARCH("month",C217)),IFERROR(_xlfn.NUMBERVALUE(SUBSTITUTE(LEFT(TRIM(C217),FIND(" ",TRIM(C217)&amp;" ")-1),",","."),"."),LEFT(SUBSTITUTE(LEFT(TRIM(C217),FIND(" ",TRIM(C217)&amp;" ")-1),",","."),FIND("/",SUBSTITUTE(LEFT(TRIM(C217),FIND(" ",TRIM(C217)&amp;" ")-1),",","."))-1)/MID(SUBSTITUTE(LEFT(TRIM(C217),FIND(" ",TRIM(C217)&amp;" ")-1),",","."),FIND("/",SUBSTITUTE(LEFT(TRIM(C217),FIND(" ",TRIM(C217)&amp;" ")-1),",","."))+1,9)),IF(ISNUMBER(SEARCH("yea",C217)),IFERROR(_xlfn.NUMBERVALUE(SUBSTITUTE(LEFT(TRIM(C217),FIND(" ",TRIM(C217)&amp;" ")-1),",","."),"."),LEFT(SUBSTITUTE(LEFT(TRIM(C217),FIND(" ",TRIM(C217)&amp;" ")-1),",","."),FIND("/",SUBSTITUTE(LEFT(TRIM(C217),FIND(" ",TRIM(C217)&amp;" ")-1),",","."))-1)/MID(SUBSTITUTE(LEFT(TRIM(C217),FIND(" ",TRIM(C217)&amp;" ")-1),",","."),FIND("/",SUBSTITUTE(LEFT(TRIM(C217),FIND(" ",TRIM(C217)&amp;" ")-1),",","."))+1,9))*12,NA()))),0),24)*'Aturan &amp; Tarif'!$B$4,2)</f>
        <v>1362.72</v>
      </c>
      <c r="K217" s="32" t="n">
        <f aca="false">'Aturan &amp; Tarif'!$B$5</f>
        <v>2050</v>
      </c>
      <c r="L217" s="35" t="n">
        <f aca="false">I217+J217+K217</f>
        <v>21224.72</v>
      </c>
      <c r="M217" s="37" t="s">
        <v>318</v>
      </c>
    </row>
    <row r="218" customFormat="false" ht="14.25" hidden="false" customHeight="true" outlineLevel="0" collapsed="false">
      <c r="A218" s="29"/>
      <c r="B218" s="30" t="s">
        <v>374</v>
      </c>
      <c r="C218" s="31" t="s">
        <v>107</v>
      </c>
      <c r="D218" s="31" t="s">
        <v>108</v>
      </c>
      <c r="E218" s="32" t="n">
        <v>8906</v>
      </c>
      <c r="F218" s="32"/>
      <c r="G218" s="32"/>
      <c r="H218" s="33" t="n">
        <v>2</v>
      </c>
      <c r="I218" s="34" t="n">
        <f aca="false">E218*H218+N(F218)+N(G218)</f>
        <v>17812</v>
      </c>
      <c r="J218" s="32" t="n">
        <f aca="false">ROUND(IFERROR(ROUND(IF(OR(ISNUMBER(SEARCH("week",C218)),ISNUMBER(SEARCH("minggu",C218))),IFERROR(_xlfn.NUMBERVALUE(SUBSTITUTE(LEFT(TRIM(C218),FIND(" ",TRIM(C218)&amp;" ")-1),",","."),"."),LEFT(SUBSTITUTE(LEFT(TRIM(C218),FIND(" ",TRIM(C218)&amp;" ")-1),",","."),FIND("/",SUBSTITUTE(LEFT(TRIM(C218),FIND(" ",TRIM(C218)&amp;" ")-1),",","."))-1)/MID(SUBSTITUTE(LEFT(TRIM(C218),FIND(" ",TRIM(C218)&amp;" ")-1),",","."),FIND("/",SUBSTITUTE(LEFT(TRIM(C218),FIND(" ",TRIM(C218)&amp;" ")-1),",","."))+1,9))*12/52,IF(ISNUMBER(SEARCH("month",C218)),IFERROR(_xlfn.NUMBERVALUE(SUBSTITUTE(LEFT(TRIM(C218),FIND(" ",TRIM(C218)&amp;" ")-1),",","."),"."),LEFT(SUBSTITUTE(LEFT(TRIM(C218),FIND(" ",TRIM(C218)&amp;" ")-1),",","."),FIND("/",SUBSTITUTE(LEFT(TRIM(C218),FIND(" ",TRIM(C218)&amp;" ")-1),",","."))-1)/MID(SUBSTITUTE(LEFT(TRIM(C218),FIND(" ",TRIM(C218)&amp;" ")-1),",","."),FIND("/",SUBSTITUTE(LEFT(TRIM(C218),FIND(" ",TRIM(C218)&amp;" ")-1),",","."))+1,9)),IF(ISNUMBER(SEARCH("yea",C218)),IFERROR(_xlfn.NUMBERVALUE(SUBSTITUTE(LEFT(TRIM(C218),FIND(" ",TRIM(C218)&amp;" ")-1),",","."),"."),LEFT(SUBSTITUTE(LEFT(TRIM(C218),FIND(" ",TRIM(C218)&amp;" ")-1),",","."),FIND("/",SUBSTITUTE(LEFT(TRIM(C218),FIND(" ",TRIM(C218)&amp;" ")-1),",","."))-1)/MID(SUBSTITUTE(LEFT(TRIM(C218),FIND(" ",TRIM(C218)&amp;" ")-1),",","."),FIND("/",SUBSTITUTE(LEFT(TRIM(C218),FIND(" ",TRIM(C218)&amp;" ")-1),",","."))+1,9))*12,NA()))),0),24)*'Aturan &amp; Tarif'!$B$4,2)</f>
        <v>1362.72</v>
      </c>
      <c r="K218" s="32" t="n">
        <f aca="false">'Aturan &amp; Tarif'!$B$5</f>
        <v>2050</v>
      </c>
      <c r="L218" s="35" t="n">
        <f aca="false">I218+J218+K218</f>
        <v>21224.72</v>
      </c>
      <c r="M218" s="37" t="s">
        <v>318</v>
      </c>
    </row>
    <row r="219" customFormat="false" ht="14.25" hidden="false" customHeight="true" outlineLevel="0" collapsed="false">
      <c r="A219" s="29"/>
      <c r="B219" s="30" t="s">
        <v>375</v>
      </c>
      <c r="C219" s="31" t="s">
        <v>107</v>
      </c>
      <c r="D219" s="31" t="s">
        <v>108</v>
      </c>
      <c r="E219" s="32" t="n">
        <v>8906</v>
      </c>
      <c r="F219" s="32"/>
      <c r="G219" s="32"/>
      <c r="H219" s="33" t="n">
        <v>2</v>
      </c>
      <c r="I219" s="34" t="n">
        <f aca="false">E219*H219+N(F219)+N(G219)</f>
        <v>17812</v>
      </c>
      <c r="J219" s="32" t="n">
        <f aca="false">ROUND(IFERROR(ROUND(IF(OR(ISNUMBER(SEARCH("week",C219)),ISNUMBER(SEARCH("minggu",C219))),IFERROR(_xlfn.NUMBERVALUE(SUBSTITUTE(LEFT(TRIM(C219),FIND(" ",TRIM(C219)&amp;" ")-1),",","."),"."),LEFT(SUBSTITUTE(LEFT(TRIM(C219),FIND(" ",TRIM(C219)&amp;" ")-1),",","."),FIND("/",SUBSTITUTE(LEFT(TRIM(C219),FIND(" ",TRIM(C219)&amp;" ")-1),",","."))-1)/MID(SUBSTITUTE(LEFT(TRIM(C219),FIND(" ",TRIM(C219)&amp;" ")-1),",","."),FIND("/",SUBSTITUTE(LEFT(TRIM(C219),FIND(" ",TRIM(C219)&amp;" ")-1),",","."))+1,9))*12/52,IF(ISNUMBER(SEARCH("month",C219)),IFERROR(_xlfn.NUMBERVALUE(SUBSTITUTE(LEFT(TRIM(C219),FIND(" ",TRIM(C219)&amp;" ")-1),",","."),"."),LEFT(SUBSTITUTE(LEFT(TRIM(C219),FIND(" ",TRIM(C219)&amp;" ")-1),",","."),FIND("/",SUBSTITUTE(LEFT(TRIM(C219),FIND(" ",TRIM(C219)&amp;" ")-1),",","."))-1)/MID(SUBSTITUTE(LEFT(TRIM(C219),FIND(" ",TRIM(C219)&amp;" ")-1),",","."),FIND("/",SUBSTITUTE(LEFT(TRIM(C219),FIND(" ",TRIM(C219)&amp;" ")-1),",","."))+1,9)),IF(ISNUMBER(SEARCH("yea",C219)),IFERROR(_xlfn.NUMBERVALUE(SUBSTITUTE(LEFT(TRIM(C219),FIND(" ",TRIM(C219)&amp;" ")-1),",","."),"."),LEFT(SUBSTITUTE(LEFT(TRIM(C219),FIND(" ",TRIM(C219)&amp;" ")-1),",","."),FIND("/",SUBSTITUTE(LEFT(TRIM(C219),FIND(" ",TRIM(C219)&amp;" ")-1),",","."))-1)/MID(SUBSTITUTE(LEFT(TRIM(C219),FIND(" ",TRIM(C219)&amp;" ")-1),",","."),FIND("/",SUBSTITUTE(LEFT(TRIM(C219),FIND(" ",TRIM(C219)&amp;" ")-1),",","."))+1,9))*12,NA()))),0),24)*'Aturan &amp; Tarif'!$B$4,2)</f>
        <v>1362.72</v>
      </c>
      <c r="K219" s="32" t="n">
        <f aca="false">'Aturan &amp; Tarif'!$B$5</f>
        <v>2050</v>
      </c>
      <c r="L219" s="35" t="n">
        <f aca="false">I219+J219+K219</f>
        <v>21224.72</v>
      </c>
      <c r="M219" s="37" t="s">
        <v>318</v>
      </c>
    </row>
    <row r="220" customFormat="false" ht="72" hidden="false" customHeight="true" outlineLevel="0" collapsed="false">
      <c r="A220" s="29"/>
      <c r="B220" s="30" t="s">
        <v>376</v>
      </c>
      <c r="C220" s="31" t="s">
        <v>107</v>
      </c>
      <c r="D220" s="31" t="s">
        <v>108</v>
      </c>
      <c r="E220" s="32" t="n">
        <v>8906</v>
      </c>
      <c r="F220" s="32"/>
      <c r="G220" s="32"/>
      <c r="H220" s="33" t="n">
        <v>2</v>
      </c>
      <c r="I220" s="34" t="n">
        <f aca="false">E220*H220+N(F220)+N(G220)</f>
        <v>17812</v>
      </c>
      <c r="J220" s="32" t="n">
        <f aca="false">ROUND(IFERROR(ROUND(IF(OR(ISNUMBER(SEARCH("week",C220)),ISNUMBER(SEARCH("minggu",C220))),IFERROR(_xlfn.NUMBERVALUE(SUBSTITUTE(LEFT(TRIM(C220),FIND(" ",TRIM(C220)&amp;" ")-1),",","."),"."),LEFT(SUBSTITUTE(LEFT(TRIM(C220),FIND(" ",TRIM(C220)&amp;" ")-1),",","."),FIND("/",SUBSTITUTE(LEFT(TRIM(C220),FIND(" ",TRIM(C220)&amp;" ")-1),",","."))-1)/MID(SUBSTITUTE(LEFT(TRIM(C220),FIND(" ",TRIM(C220)&amp;" ")-1),",","."),FIND("/",SUBSTITUTE(LEFT(TRIM(C220),FIND(" ",TRIM(C220)&amp;" ")-1),",","."))+1,9))*12/52,IF(ISNUMBER(SEARCH("month",C220)),IFERROR(_xlfn.NUMBERVALUE(SUBSTITUTE(LEFT(TRIM(C220),FIND(" ",TRIM(C220)&amp;" ")-1),",","."),"."),LEFT(SUBSTITUTE(LEFT(TRIM(C220),FIND(" ",TRIM(C220)&amp;" ")-1),",","."),FIND("/",SUBSTITUTE(LEFT(TRIM(C220),FIND(" ",TRIM(C220)&amp;" ")-1),",","."))-1)/MID(SUBSTITUTE(LEFT(TRIM(C220),FIND(" ",TRIM(C220)&amp;" ")-1),",","."),FIND("/",SUBSTITUTE(LEFT(TRIM(C220),FIND(" ",TRIM(C220)&amp;" ")-1),",","."))+1,9)),IF(ISNUMBER(SEARCH("yea",C220)),IFERROR(_xlfn.NUMBERVALUE(SUBSTITUTE(LEFT(TRIM(C220),FIND(" ",TRIM(C220)&amp;" ")-1),",","."),"."),LEFT(SUBSTITUTE(LEFT(TRIM(C220),FIND(" ",TRIM(C220)&amp;" ")-1),",","."),FIND("/",SUBSTITUTE(LEFT(TRIM(C220),FIND(" ",TRIM(C220)&amp;" ")-1),",","."))-1)/MID(SUBSTITUTE(LEFT(TRIM(C220),FIND(" ",TRIM(C220)&amp;" ")-1),",","."),FIND("/",SUBSTITUTE(LEFT(TRIM(C220),FIND(" ",TRIM(C220)&amp;" ")-1),",","."))+1,9))*12,NA()))),0),24)*'Aturan &amp; Tarif'!$B$4,2)</f>
        <v>1362.72</v>
      </c>
      <c r="K220" s="32" t="n">
        <f aca="false">'Aturan &amp; Tarif'!$B$5</f>
        <v>2050</v>
      </c>
      <c r="L220" s="35" t="n">
        <f aca="false">I220+J220+K220</f>
        <v>21224.72</v>
      </c>
      <c r="M220" s="37" t="s">
        <v>318</v>
      </c>
    </row>
    <row r="221" customFormat="false" ht="25.5" hidden="false" customHeight="true" outlineLevel="0" collapsed="false">
      <c r="A221" s="29"/>
      <c r="B221" s="30" t="s">
        <v>377</v>
      </c>
      <c r="C221" s="31" t="s">
        <v>107</v>
      </c>
      <c r="D221" s="31" t="s">
        <v>108</v>
      </c>
      <c r="E221" s="32" t="n">
        <v>8906</v>
      </c>
      <c r="F221" s="32"/>
      <c r="G221" s="32"/>
      <c r="H221" s="33" t="n">
        <v>2</v>
      </c>
      <c r="I221" s="34" t="n">
        <f aca="false">E221*H221+N(F221)+N(G221)</f>
        <v>17812</v>
      </c>
      <c r="J221" s="32" t="n">
        <f aca="false">ROUND(IFERROR(ROUND(IF(OR(ISNUMBER(SEARCH("week",C221)),ISNUMBER(SEARCH("minggu",C221))),IFERROR(_xlfn.NUMBERVALUE(SUBSTITUTE(LEFT(TRIM(C221),FIND(" ",TRIM(C221)&amp;" ")-1),",","."),"."),LEFT(SUBSTITUTE(LEFT(TRIM(C221),FIND(" ",TRIM(C221)&amp;" ")-1),",","."),FIND("/",SUBSTITUTE(LEFT(TRIM(C221),FIND(" ",TRIM(C221)&amp;" ")-1),",","."))-1)/MID(SUBSTITUTE(LEFT(TRIM(C221),FIND(" ",TRIM(C221)&amp;" ")-1),",","."),FIND("/",SUBSTITUTE(LEFT(TRIM(C221),FIND(" ",TRIM(C221)&amp;" ")-1),",","."))+1,9))*12/52,IF(ISNUMBER(SEARCH("month",C221)),IFERROR(_xlfn.NUMBERVALUE(SUBSTITUTE(LEFT(TRIM(C221),FIND(" ",TRIM(C221)&amp;" ")-1),",","."),"."),LEFT(SUBSTITUTE(LEFT(TRIM(C221),FIND(" ",TRIM(C221)&amp;" ")-1),",","."),FIND("/",SUBSTITUTE(LEFT(TRIM(C221),FIND(" ",TRIM(C221)&amp;" ")-1),",","."))-1)/MID(SUBSTITUTE(LEFT(TRIM(C221),FIND(" ",TRIM(C221)&amp;" ")-1),",","."),FIND("/",SUBSTITUTE(LEFT(TRIM(C221),FIND(" ",TRIM(C221)&amp;" ")-1),",","."))+1,9)),IF(ISNUMBER(SEARCH("yea",C221)),IFERROR(_xlfn.NUMBERVALUE(SUBSTITUTE(LEFT(TRIM(C221),FIND(" ",TRIM(C221)&amp;" ")-1),",","."),"."),LEFT(SUBSTITUTE(LEFT(TRIM(C221),FIND(" ",TRIM(C221)&amp;" ")-1),",","."),FIND("/",SUBSTITUTE(LEFT(TRIM(C221),FIND(" ",TRIM(C221)&amp;" ")-1),",","."))-1)/MID(SUBSTITUTE(LEFT(TRIM(C221),FIND(" ",TRIM(C221)&amp;" ")-1),",","."),FIND("/",SUBSTITUTE(LEFT(TRIM(C221),FIND(" ",TRIM(C221)&amp;" ")-1),",","."))+1,9))*12,NA()))),0),24)*'Aturan &amp; Tarif'!$B$4,2)</f>
        <v>1362.72</v>
      </c>
      <c r="K221" s="32" t="n">
        <f aca="false">'Aturan &amp; Tarif'!$B$5</f>
        <v>2050</v>
      </c>
      <c r="L221" s="35" t="n">
        <f aca="false">I221+J221+K221</f>
        <v>21224.72</v>
      </c>
      <c r="M221" s="37" t="s">
        <v>318</v>
      </c>
    </row>
    <row r="222" customFormat="false" ht="37.5" hidden="false" customHeight="true" outlineLevel="0" collapsed="false">
      <c r="A222" s="29"/>
      <c r="B222" s="30" t="s">
        <v>378</v>
      </c>
      <c r="C222" s="31" t="s">
        <v>107</v>
      </c>
      <c r="D222" s="31" t="s">
        <v>108</v>
      </c>
      <c r="E222" s="32" t="n">
        <v>8906</v>
      </c>
      <c r="F222" s="32"/>
      <c r="G222" s="32"/>
      <c r="H222" s="33" t="n">
        <v>2</v>
      </c>
      <c r="I222" s="34" t="n">
        <f aca="false">E222*H222+N(F222)+N(G222)</f>
        <v>17812</v>
      </c>
      <c r="J222" s="32" t="n">
        <f aca="false">ROUND(IFERROR(ROUND(IF(OR(ISNUMBER(SEARCH("week",C222)),ISNUMBER(SEARCH("minggu",C222))),IFERROR(_xlfn.NUMBERVALUE(SUBSTITUTE(LEFT(TRIM(C222),FIND(" ",TRIM(C222)&amp;" ")-1),",","."),"."),LEFT(SUBSTITUTE(LEFT(TRIM(C222),FIND(" ",TRIM(C222)&amp;" ")-1),",","."),FIND("/",SUBSTITUTE(LEFT(TRIM(C222),FIND(" ",TRIM(C222)&amp;" ")-1),",","."))-1)/MID(SUBSTITUTE(LEFT(TRIM(C222),FIND(" ",TRIM(C222)&amp;" ")-1),",","."),FIND("/",SUBSTITUTE(LEFT(TRIM(C222),FIND(" ",TRIM(C222)&amp;" ")-1),",","."))+1,9))*12/52,IF(ISNUMBER(SEARCH("month",C222)),IFERROR(_xlfn.NUMBERVALUE(SUBSTITUTE(LEFT(TRIM(C222),FIND(" ",TRIM(C222)&amp;" ")-1),",","."),"."),LEFT(SUBSTITUTE(LEFT(TRIM(C222),FIND(" ",TRIM(C222)&amp;" ")-1),",","."),FIND("/",SUBSTITUTE(LEFT(TRIM(C222),FIND(" ",TRIM(C222)&amp;" ")-1),",","."))-1)/MID(SUBSTITUTE(LEFT(TRIM(C222),FIND(" ",TRIM(C222)&amp;" ")-1),",","."),FIND("/",SUBSTITUTE(LEFT(TRIM(C222),FIND(" ",TRIM(C222)&amp;" ")-1),",","."))+1,9)),IF(ISNUMBER(SEARCH("yea",C222)),IFERROR(_xlfn.NUMBERVALUE(SUBSTITUTE(LEFT(TRIM(C222),FIND(" ",TRIM(C222)&amp;" ")-1),",","."),"."),LEFT(SUBSTITUTE(LEFT(TRIM(C222),FIND(" ",TRIM(C222)&amp;" ")-1),",","."),FIND("/",SUBSTITUTE(LEFT(TRIM(C222),FIND(" ",TRIM(C222)&amp;" ")-1),",","."))-1)/MID(SUBSTITUTE(LEFT(TRIM(C222),FIND(" ",TRIM(C222)&amp;" ")-1),",","."),FIND("/",SUBSTITUTE(LEFT(TRIM(C222),FIND(" ",TRIM(C222)&amp;" ")-1),",","."))+1,9))*12,NA()))),0),24)*'Aturan &amp; Tarif'!$B$4,2)</f>
        <v>1362.72</v>
      </c>
      <c r="K222" s="32" t="n">
        <f aca="false">'Aturan &amp; Tarif'!$B$5</f>
        <v>2050</v>
      </c>
      <c r="L222" s="35" t="n">
        <f aca="false">I222+J222+K222</f>
        <v>21224.72</v>
      </c>
      <c r="M222" s="37" t="s">
        <v>318</v>
      </c>
    </row>
    <row r="223" customFormat="false" ht="37.5" hidden="false" customHeight="true" outlineLevel="0" collapsed="false">
      <c r="A223" s="29"/>
      <c r="B223" s="30" t="s">
        <v>379</v>
      </c>
      <c r="C223" s="31" t="s">
        <v>127</v>
      </c>
      <c r="D223" s="31" t="s">
        <v>108</v>
      </c>
      <c r="E223" s="32" t="n">
        <v>8098</v>
      </c>
      <c r="F223" s="32"/>
      <c r="G223" s="32"/>
      <c r="H223" s="33" t="n">
        <v>2</v>
      </c>
      <c r="I223" s="34" t="n">
        <f aca="false">E223*H223+N(F223)+N(G223)</f>
        <v>16196</v>
      </c>
      <c r="J223" s="32" t="n">
        <f aca="false">ROUND(IFERROR(ROUND(IF(OR(ISNUMBER(SEARCH("week",C223)),ISNUMBER(SEARCH("minggu",C223))),IFERROR(_xlfn.NUMBERVALUE(SUBSTITUTE(LEFT(TRIM(C223),FIND(" ",TRIM(C223)&amp;" ")-1),",","."),"."),LEFT(SUBSTITUTE(LEFT(TRIM(C223),FIND(" ",TRIM(C223)&amp;" ")-1),",","."),FIND("/",SUBSTITUTE(LEFT(TRIM(C223),FIND(" ",TRIM(C223)&amp;" ")-1),",","."))-1)/MID(SUBSTITUTE(LEFT(TRIM(C223),FIND(" ",TRIM(C223)&amp;" ")-1),",","."),FIND("/",SUBSTITUTE(LEFT(TRIM(C223),FIND(" ",TRIM(C223)&amp;" ")-1),",","."))+1,9))*12/52,IF(ISNUMBER(SEARCH("month",C223)),IFERROR(_xlfn.NUMBERVALUE(SUBSTITUTE(LEFT(TRIM(C223),FIND(" ",TRIM(C223)&amp;" ")-1),",","."),"."),LEFT(SUBSTITUTE(LEFT(TRIM(C223),FIND(" ",TRIM(C223)&amp;" ")-1),",","."),FIND("/",SUBSTITUTE(LEFT(TRIM(C223),FIND(" ",TRIM(C223)&amp;" ")-1),",","."))-1)/MID(SUBSTITUTE(LEFT(TRIM(C223),FIND(" ",TRIM(C223)&amp;" ")-1),",","."),FIND("/",SUBSTITUTE(LEFT(TRIM(C223),FIND(" ",TRIM(C223)&amp;" ")-1),",","."))+1,9)),IF(ISNUMBER(SEARCH("yea",C223)),IFERROR(_xlfn.NUMBERVALUE(SUBSTITUTE(LEFT(TRIM(C223),FIND(" ",TRIM(C223)&amp;" ")-1),",","."),"."),LEFT(SUBSTITUTE(LEFT(TRIM(C223),FIND(" ",TRIM(C223)&amp;" ")-1),",","."),FIND("/",SUBSTITUTE(LEFT(TRIM(C223),FIND(" ",TRIM(C223)&amp;" ")-1),",","."))-1)/MID(SUBSTITUTE(LEFT(TRIM(C223),FIND(" ",TRIM(C223)&amp;" ")-1),",","."),FIND("/",SUBSTITUTE(LEFT(TRIM(C223),FIND(" ",TRIM(C223)&amp;" ")-1),",","."))+1,9))*12,NA()))),0),36)*'Aturan &amp; Tarif'!$B$4,2)</f>
        <v>2044.08</v>
      </c>
      <c r="K223" s="32" t="n">
        <f aca="false">'Aturan &amp; Tarif'!$B$5</f>
        <v>2050</v>
      </c>
      <c r="L223" s="35" t="n">
        <f aca="false">I223+J223+K223</f>
        <v>20290.08</v>
      </c>
      <c r="M223" s="37" t="s">
        <v>318</v>
      </c>
    </row>
    <row r="224" customFormat="false" ht="25.5" hidden="false" customHeight="true" outlineLevel="0" collapsed="false">
      <c r="A224" s="29"/>
      <c r="B224" s="30" t="s">
        <v>380</v>
      </c>
      <c r="C224" s="31" t="s">
        <v>191</v>
      </c>
      <c r="D224" s="31" t="s">
        <v>108</v>
      </c>
      <c r="E224" s="32" t="n">
        <v>8906</v>
      </c>
      <c r="F224" s="32"/>
      <c r="G224" s="32"/>
      <c r="H224" s="33" t="n">
        <v>2</v>
      </c>
      <c r="I224" s="34" t="n">
        <f aca="false">E224*H224+N(F224)+N(G224)</f>
        <v>17812</v>
      </c>
      <c r="J224" s="32" t="n">
        <f aca="false">ROUND(IFERROR(ROUND(IF(OR(ISNUMBER(SEARCH("week",C224)),ISNUMBER(SEARCH("minggu",C224))),IFERROR(_xlfn.NUMBERVALUE(SUBSTITUTE(LEFT(TRIM(C224),FIND(" ",TRIM(C224)&amp;" ")-1),",","."),"."),LEFT(SUBSTITUTE(LEFT(TRIM(C224),FIND(" ",TRIM(C224)&amp;" ")-1),",","."),FIND("/",SUBSTITUTE(LEFT(TRIM(C224),FIND(" ",TRIM(C224)&amp;" ")-1),",","."))-1)/MID(SUBSTITUTE(LEFT(TRIM(C224),FIND(" ",TRIM(C224)&amp;" ")-1),",","."),FIND("/",SUBSTITUTE(LEFT(TRIM(C224),FIND(" ",TRIM(C224)&amp;" ")-1),",","."))+1,9))*12/52,IF(ISNUMBER(SEARCH("month",C224)),IFERROR(_xlfn.NUMBERVALUE(SUBSTITUTE(LEFT(TRIM(C224),FIND(" ",TRIM(C224)&amp;" ")-1),",","."),"."),LEFT(SUBSTITUTE(LEFT(TRIM(C224),FIND(" ",TRIM(C224)&amp;" ")-1),",","."),FIND("/",SUBSTITUTE(LEFT(TRIM(C224),FIND(" ",TRIM(C224)&amp;" ")-1),",","."))-1)/MID(SUBSTITUTE(LEFT(TRIM(C224),FIND(" ",TRIM(C224)&amp;" ")-1),",","."),FIND("/",SUBSTITUTE(LEFT(TRIM(C224),FIND(" ",TRIM(C224)&amp;" ")-1),",","."))+1,9)),IF(ISNUMBER(SEARCH("yea",C224)),IFERROR(_xlfn.NUMBERVALUE(SUBSTITUTE(LEFT(TRIM(C224),FIND(" ",TRIM(C224)&amp;" ")-1),",","."),"."),LEFT(SUBSTITUTE(LEFT(TRIM(C224),FIND(" ",TRIM(C224)&amp;" ")-1),",","."),FIND("/",SUBSTITUTE(LEFT(TRIM(C224),FIND(" ",TRIM(C224)&amp;" ")-1),",","."))-1)/MID(SUBSTITUTE(LEFT(TRIM(C224),FIND(" ",TRIM(C224)&amp;" ")-1),",","."),FIND("/",SUBSTITUTE(LEFT(TRIM(C224),FIND(" ",TRIM(C224)&amp;" ")-1),",","."))+1,9))*12,NA()))),0),48)*'Aturan &amp; Tarif'!$B$4,2)</f>
        <v>2725.44</v>
      </c>
      <c r="K224" s="32" t="n">
        <f aca="false">'Aturan &amp; Tarif'!$B$5</f>
        <v>2050</v>
      </c>
      <c r="L224" s="35" t="n">
        <f aca="false">I224+J224+K224</f>
        <v>22587.44</v>
      </c>
      <c r="M224" s="37" t="s">
        <v>318</v>
      </c>
    </row>
    <row r="225" customFormat="false" ht="25.5" hidden="false" customHeight="true" outlineLevel="0" collapsed="false">
      <c r="A225" s="29"/>
      <c r="B225" s="30" t="s">
        <v>381</v>
      </c>
      <c r="C225" s="31" t="s">
        <v>127</v>
      </c>
      <c r="D225" s="31" t="s">
        <v>108</v>
      </c>
      <c r="E225" s="32" t="n">
        <v>8098</v>
      </c>
      <c r="F225" s="32"/>
      <c r="G225" s="32"/>
      <c r="H225" s="33" t="n">
        <v>2</v>
      </c>
      <c r="I225" s="34" t="n">
        <f aca="false">E225*H225+N(F225)+N(G225)</f>
        <v>16196</v>
      </c>
      <c r="J225" s="32" t="n">
        <f aca="false">ROUND(IFERROR(ROUND(IF(OR(ISNUMBER(SEARCH("week",C225)),ISNUMBER(SEARCH("minggu",C225))),IFERROR(_xlfn.NUMBERVALUE(SUBSTITUTE(LEFT(TRIM(C225),FIND(" ",TRIM(C225)&amp;" ")-1),",","."),"."),LEFT(SUBSTITUTE(LEFT(TRIM(C225),FIND(" ",TRIM(C225)&amp;" ")-1),",","."),FIND("/",SUBSTITUTE(LEFT(TRIM(C225),FIND(" ",TRIM(C225)&amp;" ")-1),",","."))-1)/MID(SUBSTITUTE(LEFT(TRIM(C225),FIND(" ",TRIM(C225)&amp;" ")-1),",","."),FIND("/",SUBSTITUTE(LEFT(TRIM(C225),FIND(" ",TRIM(C225)&amp;" ")-1),",","."))+1,9))*12/52,IF(ISNUMBER(SEARCH("month",C225)),IFERROR(_xlfn.NUMBERVALUE(SUBSTITUTE(LEFT(TRIM(C225),FIND(" ",TRIM(C225)&amp;" ")-1),",","."),"."),LEFT(SUBSTITUTE(LEFT(TRIM(C225),FIND(" ",TRIM(C225)&amp;" ")-1),",","."),FIND("/",SUBSTITUTE(LEFT(TRIM(C225),FIND(" ",TRIM(C225)&amp;" ")-1),",","."))-1)/MID(SUBSTITUTE(LEFT(TRIM(C225),FIND(" ",TRIM(C225)&amp;" ")-1),",","."),FIND("/",SUBSTITUTE(LEFT(TRIM(C225),FIND(" ",TRIM(C225)&amp;" ")-1),",","."))+1,9)),IF(ISNUMBER(SEARCH("yea",C225)),IFERROR(_xlfn.NUMBERVALUE(SUBSTITUTE(LEFT(TRIM(C225),FIND(" ",TRIM(C225)&amp;" ")-1),",","."),"."),LEFT(SUBSTITUTE(LEFT(TRIM(C225),FIND(" ",TRIM(C225)&amp;" ")-1),",","."),FIND("/",SUBSTITUTE(LEFT(TRIM(C225),FIND(" ",TRIM(C225)&amp;" ")-1),",","."))-1)/MID(SUBSTITUTE(LEFT(TRIM(C225),FIND(" ",TRIM(C225)&amp;" ")-1),",","."),FIND("/",SUBSTITUTE(LEFT(TRIM(C225),FIND(" ",TRIM(C225)&amp;" ")-1),",","."))+1,9))*12,NA()))),0),36)*'Aturan &amp; Tarif'!$B$4,2)</f>
        <v>2044.08</v>
      </c>
      <c r="K225" s="32" t="n">
        <f aca="false">'Aturan &amp; Tarif'!$B$5</f>
        <v>2050</v>
      </c>
      <c r="L225" s="35" t="n">
        <f aca="false">I225+J225+K225</f>
        <v>20290.08</v>
      </c>
      <c r="M225" s="37" t="s">
        <v>318</v>
      </c>
    </row>
    <row r="226" customFormat="false" ht="25.5" hidden="false" customHeight="true" outlineLevel="0" collapsed="false">
      <c r="A226" s="29"/>
      <c r="B226" s="30" t="s">
        <v>382</v>
      </c>
      <c r="C226" s="31" t="s">
        <v>191</v>
      </c>
      <c r="D226" s="31" t="s">
        <v>108</v>
      </c>
      <c r="E226" s="32" t="n">
        <v>8098</v>
      </c>
      <c r="F226" s="32"/>
      <c r="G226" s="32"/>
      <c r="H226" s="33" t="n">
        <v>2</v>
      </c>
      <c r="I226" s="34" t="n">
        <f aca="false">E226*H226+N(F226)+N(G226)</f>
        <v>16196</v>
      </c>
      <c r="J226" s="32" t="n">
        <f aca="false">ROUND(IFERROR(ROUND(IF(OR(ISNUMBER(SEARCH("week",C226)),ISNUMBER(SEARCH("minggu",C226))),IFERROR(_xlfn.NUMBERVALUE(SUBSTITUTE(LEFT(TRIM(C226),FIND(" ",TRIM(C226)&amp;" ")-1),",","."),"."),LEFT(SUBSTITUTE(LEFT(TRIM(C226),FIND(" ",TRIM(C226)&amp;" ")-1),",","."),FIND("/",SUBSTITUTE(LEFT(TRIM(C226),FIND(" ",TRIM(C226)&amp;" ")-1),",","."))-1)/MID(SUBSTITUTE(LEFT(TRIM(C226),FIND(" ",TRIM(C226)&amp;" ")-1),",","."),FIND("/",SUBSTITUTE(LEFT(TRIM(C226),FIND(" ",TRIM(C226)&amp;" ")-1),",","."))+1,9))*12/52,IF(ISNUMBER(SEARCH("month",C226)),IFERROR(_xlfn.NUMBERVALUE(SUBSTITUTE(LEFT(TRIM(C226),FIND(" ",TRIM(C226)&amp;" ")-1),",","."),"."),LEFT(SUBSTITUTE(LEFT(TRIM(C226),FIND(" ",TRIM(C226)&amp;" ")-1),",","."),FIND("/",SUBSTITUTE(LEFT(TRIM(C226),FIND(" ",TRIM(C226)&amp;" ")-1),",","."))-1)/MID(SUBSTITUTE(LEFT(TRIM(C226),FIND(" ",TRIM(C226)&amp;" ")-1),",","."),FIND("/",SUBSTITUTE(LEFT(TRIM(C226),FIND(" ",TRIM(C226)&amp;" ")-1),",","."))+1,9)),IF(ISNUMBER(SEARCH("yea",C226)),IFERROR(_xlfn.NUMBERVALUE(SUBSTITUTE(LEFT(TRIM(C226),FIND(" ",TRIM(C226)&amp;" ")-1),",","."),"."),LEFT(SUBSTITUTE(LEFT(TRIM(C226),FIND(" ",TRIM(C226)&amp;" ")-1),",","."),FIND("/",SUBSTITUTE(LEFT(TRIM(C226),FIND(" ",TRIM(C226)&amp;" ")-1),",","."))-1)/MID(SUBSTITUTE(LEFT(TRIM(C226),FIND(" ",TRIM(C226)&amp;" ")-1),",","."),FIND("/",SUBSTITUTE(LEFT(TRIM(C226),FIND(" ",TRIM(C226)&amp;" ")-1),",","."))+1,9))*12,NA()))),0),48)*'Aturan &amp; Tarif'!$B$4,2)</f>
        <v>2725.44</v>
      </c>
      <c r="K226" s="32" t="n">
        <f aca="false">'Aturan &amp; Tarif'!$B$5</f>
        <v>2050</v>
      </c>
      <c r="L226" s="35" t="n">
        <f aca="false">I226+J226+K226</f>
        <v>20971.44</v>
      </c>
      <c r="M226" s="37" t="s">
        <v>318</v>
      </c>
    </row>
    <row r="227" customFormat="false" ht="14.25" hidden="false" customHeight="true" outlineLevel="0" collapsed="false">
      <c r="A227" s="29"/>
      <c r="B227" s="30" t="s">
        <v>383</v>
      </c>
      <c r="C227" s="31" t="s">
        <v>191</v>
      </c>
      <c r="D227" s="31" t="s">
        <v>108</v>
      </c>
      <c r="E227" s="32" t="n">
        <v>8906</v>
      </c>
      <c r="F227" s="32"/>
      <c r="G227" s="32"/>
      <c r="H227" s="33" t="n">
        <v>2</v>
      </c>
      <c r="I227" s="34" t="n">
        <f aca="false">E227*H227+N(F227)+N(G227)</f>
        <v>17812</v>
      </c>
      <c r="J227" s="32" t="n">
        <f aca="false">ROUND(IFERROR(ROUND(IF(OR(ISNUMBER(SEARCH("week",C227)),ISNUMBER(SEARCH("minggu",C227))),IFERROR(_xlfn.NUMBERVALUE(SUBSTITUTE(LEFT(TRIM(C227),FIND(" ",TRIM(C227)&amp;" ")-1),",","."),"."),LEFT(SUBSTITUTE(LEFT(TRIM(C227),FIND(" ",TRIM(C227)&amp;" ")-1),",","."),FIND("/",SUBSTITUTE(LEFT(TRIM(C227),FIND(" ",TRIM(C227)&amp;" ")-1),",","."))-1)/MID(SUBSTITUTE(LEFT(TRIM(C227),FIND(" ",TRIM(C227)&amp;" ")-1),",","."),FIND("/",SUBSTITUTE(LEFT(TRIM(C227),FIND(" ",TRIM(C227)&amp;" ")-1),",","."))+1,9))*12/52,IF(ISNUMBER(SEARCH("month",C227)),IFERROR(_xlfn.NUMBERVALUE(SUBSTITUTE(LEFT(TRIM(C227),FIND(" ",TRIM(C227)&amp;" ")-1),",","."),"."),LEFT(SUBSTITUTE(LEFT(TRIM(C227),FIND(" ",TRIM(C227)&amp;" ")-1),",","."),FIND("/",SUBSTITUTE(LEFT(TRIM(C227),FIND(" ",TRIM(C227)&amp;" ")-1),",","."))-1)/MID(SUBSTITUTE(LEFT(TRIM(C227),FIND(" ",TRIM(C227)&amp;" ")-1),",","."),FIND("/",SUBSTITUTE(LEFT(TRIM(C227),FIND(" ",TRIM(C227)&amp;" ")-1),",","."))+1,9)),IF(ISNUMBER(SEARCH("yea",C227)),IFERROR(_xlfn.NUMBERVALUE(SUBSTITUTE(LEFT(TRIM(C227),FIND(" ",TRIM(C227)&amp;" ")-1),",","."),"."),LEFT(SUBSTITUTE(LEFT(TRIM(C227),FIND(" ",TRIM(C227)&amp;" ")-1),",","."),FIND("/",SUBSTITUTE(LEFT(TRIM(C227),FIND(" ",TRIM(C227)&amp;" ")-1),",","."))-1)/MID(SUBSTITUTE(LEFT(TRIM(C227),FIND(" ",TRIM(C227)&amp;" ")-1),",","."),FIND("/",SUBSTITUTE(LEFT(TRIM(C227),FIND(" ",TRIM(C227)&amp;" ")-1),",","."))+1,9))*12,NA()))),0),48)*'Aturan &amp; Tarif'!$B$4,2)</f>
        <v>2725.44</v>
      </c>
      <c r="K227" s="32" t="n">
        <f aca="false">'Aturan &amp; Tarif'!$B$5</f>
        <v>2050</v>
      </c>
      <c r="L227" s="35" t="n">
        <f aca="false">I227+J227+K227</f>
        <v>22587.44</v>
      </c>
      <c r="M227" s="37" t="s">
        <v>318</v>
      </c>
    </row>
    <row r="228" customFormat="false" ht="14.25" hidden="false" customHeight="true" outlineLevel="0" collapsed="false">
      <c r="A228" s="29"/>
      <c r="B228" s="30" t="s">
        <v>265</v>
      </c>
      <c r="C228" s="31" t="s">
        <v>127</v>
      </c>
      <c r="D228" s="31" t="s">
        <v>108</v>
      </c>
      <c r="E228" s="32" t="n">
        <v>9820</v>
      </c>
      <c r="F228" s="32"/>
      <c r="G228" s="32"/>
      <c r="H228" s="33" t="n">
        <v>2</v>
      </c>
      <c r="I228" s="34" t="n">
        <f aca="false">E228*H228+N(F228)+N(G228)</f>
        <v>19640</v>
      </c>
      <c r="J228" s="32" t="n">
        <f aca="false">ROUND(IFERROR(ROUND(IF(OR(ISNUMBER(SEARCH("week",C228)),ISNUMBER(SEARCH("minggu",C228))),IFERROR(_xlfn.NUMBERVALUE(SUBSTITUTE(LEFT(TRIM(C228),FIND(" ",TRIM(C228)&amp;" ")-1),",","."),"."),LEFT(SUBSTITUTE(LEFT(TRIM(C228),FIND(" ",TRIM(C228)&amp;" ")-1),",","."),FIND("/",SUBSTITUTE(LEFT(TRIM(C228),FIND(" ",TRIM(C228)&amp;" ")-1),",","."))-1)/MID(SUBSTITUTE(LEFT(TRIM(C228),FIND(" ",TRIM(C228)&amp;" ")-1),",","."),FIND("/",SUBSTITUTE(LEFT(TRIM(C228),FIND(" ",TRIM(C228)&amp;" ")-1),",","."))+1,9))*12/52,IF(ISNUMBER(SEARCH("month",C228)),IFERROR(_xlfn.NUMBERVALUE(SUBSTITUTE(LEFT(TRIM(C228),FIND(" ",TRIM(C228)&amp;" ")-1),",","."),"."),LEFT(SUBSTITUTE(LEFT(TRIM(C228),FIND(" ",TRIM(C228)&amp;" ")-1),",","."),FIND("/",SUBSTITUTE(LEFT(TRIM(C228),FIND(" ",TRIM(C228)&amp;" ")-1),",","."))-1)/MID(SUBSTITUTE(LEFT(TRIM(C228),FIND(" ",TRIM(C228)&amp;" ")-1),",","."),FIND("/",SUBSTITUTE(LEFT(TRIM(C228),FIND(" ",TRIM(C228)&amp;" ")-1),",","."))+1,9)),IF(ISNUMBER(SEARCH("yea",C228)),IFERROR(_xlfn.NUMBERVALUE(SUBSTITUTE(LEFT(TRIM(C228),FIND(" ",TRIM(C228)&amp;" ")-1),",","."),"."),LEFT(SUBSTITUTE(LEFT(TRIM(C228),FIND(" ",TRIM(C228)&amp;" ")-1),",","."),FIND("/",SUBSTITUTE(LEFT(TRIM(C228),FIND(" ",TRIM(C228)&amp;" ")-1),",","."))-1)/MID(SUBSTITUTE(LEFT(TRIM(C228),FIND(" ",TRIM(C228)&amp;" ")-1),",","."),FIND("/",SUBSTITUTE(LEFT(TRIM(C228),FIND(" ",TRIM(C228)&amp;" ")-1),",","."))+1,9))*12,NA()))),0),36)*'Aturan &amp; Tarif'!$B$4,2)</f>
        <v>2044.08</v>
      </c>
      <c r="K228" s="32" t="n">
        <f aca="false">'Aturan &amp; Tarif'!$B$5</f>
        <v>2050</v>
      </c>
      <c r="L228" s="35" t="n">
        <f aca="false">I228+J228+K228</f>
        <v>23734.08</v>
      </c>
      <c r="M228" s="37" t="s">
        <v>318</v>
      </c>
    </row>
    <row r="229" customFormat="false" ht="14.25" hidden="false" customHeight="true" outlineLevel="0" collapsed="false">
      <c r="A229" s="29"/>
      <c r="B229" s="30" t="s">
        <v>384</v>
      </c>
      <c r="C229" s="31" t="s">
        <v>127</v>
      </c>
      <c r="D229" s="31" t="s">
        <v>108</v>
      </c>
      <c r="E229" s="32" t="n">
        <v>9820</v>
      </c>
      <c r="F229" s="32"/>
      <c r="G229" s="32"/>
      <c r="H229" s="33" t="n">
        <v>2</v>
      </c>
      <c r="I229" s="34" t="n">
        <f aca="false">E229*H229+N(F229)+N(G229)</f>
        <v>19640</v>
      </c>
      <c r="J229" s="32" t="n">
        <f aca="false">ROUND(IFERROR(ROUND(IF(OR(ISNUMBER(SEARCH("week",C229)),ISNUMBER(SEARCH("minggu",C229))),IFERROR(_xlfn.NUMBERVALUE(SUBSTITUTE(LEFT(TRIM(C229),FIND(" ",TRIM(C229)&amp;" ")-1),",","."),"."),LEFT(SUBSTITUTE(LEFT(TRIM(C229),FIND(" ",TRIM(C229)&amp;" ")-1),",","."),FIND("/",SUBSTITUTE(LEFT(TRIM(C229),FIND(" ",TRIM(C229)&amp;" ")-1),",","."))-1)/MID(SUBSTITUTE(LEFT(TRIM(C229),FIND(" ",TRIM(C229)&amp;" ")-1),",","."),FIND("/",SUBSTITUTE(LEFT(TRIM(C229),FIND(" ",TRIM(C229)&amp;" ")-1),",","."))+1,9))*12/52,IF(ISNUMBER(SEARCH("month",C229)),IFERROR(_xlfn.NUMBERVALUE(SUBSTITUTE(LEFT(TRIM(C229),FIND(" ",TRIM(C229)&amp;" ")-1),",","."),"."),LEFT(SUBSTITUTE(LEFT(TRIM(C229),FIND(" ",TRIM(C229)&amp;" ")-1),",","."),FIND("/",SUBSTITUTE(LEFT(TRIM(C229),FIND(" ",TRIM(C229)&amp;" ")-1),",","."))-1)/MID(SUBSTITUTE(LEFT(TRIM(C229),FIND(" ",TRIM(C229)&amp;" ")-1),",","."),FIND("/",SUBSTITUTE(LEFT(TRIM(C229),FIND(" ",TRIM(C229)&amp;" ")-1),",","."))+1,9)),IF(ISNUMBER(SEARCH("yea",C229)),IFERROR(_xlfn.NUMBERVALUE(SUBSTITUTE(LEFT(TRIM(C229),FIND(" ",TRIM(C229)&amp;" ")-1),",","."),"."),LEFT(SUBSTITUTE(LEFT(TRIM(C229),FIND(" ",TRIM(C229)&amp;" ")-1),",","."),FIND("/",SUBSTITUTE(LEFT(TRIM(C229),FIND(" ",TRIM(C229)&amp;" ")-1),",","."))-1)/MID(SUBSTITUTE(LEFT(TRIM(C229),FIND(" ",TRIM(C229)&amp;" ")-1),",","."),FIND("/",SUBSTITUTE(LEFT(TRIM(C229),FIND(" ",TRIM(C229)&amp;" ")-1),",","."))+1,9))*12,NA()))),0),36)*'Aturan &amp; Tarif'!$B$4,2)</f>
        <v>2044.08</v>
      </c>
      <c r="K229" s="32" t="n">
        <f aca="false">'Aturan &amp; Tarif'!$B$5</f>
        <v>2050</v>
      </c>
      <c r="L229" s="35" t="n">
        <f aca="false">I229+J229+K229</f>
        <v>23734.08</v>
      </c>
      <c r="M229" s="37" t="s">
        <v>318</v>
      </c>
    </row>
    <row r="230" customFormat="false" ht="14.25" hidden="false" customHeight="true" outlineLevel="0" collapsed="false">
      <c r="A230" s="29"/>
      <c r="B230" s="30" t="s">
        <v>385</v>
      </c>
      <c r="C230" s="31" t="s">
        <v>127</v>
      </c>
      <c r="D230" s="31" t="s">
        <v>108</v>
      </c>
      <c r="E230" s="32" t="n">
        <v>8098</v>
      </c>
      <c r="F230" s="32"/>
      <c r="G230" s="32"/>
      <c r="H230" s="33" t="n">
        <v>2</v>
      </c>
      <c r="I230" s="34" t="n">
        <f aca="false">E230*H230+N(F230)+N(G230)</f>
        <v>16196</v>
      </c>
      <c r="J230" s="32" t="n">
        <f aca="false">ROUND(IFERROR(ROUND(IF(OR(ISNUMBER(SEARCH("week",C230)),ISNUMBER(SEARCH("minggu",C230))),IFERROR(_xlfn.NUMBERVALUE(SUBSTITUTE(LEFT(TRIM(C230),FIND(" ",TRIM(C230)&amp;" ")-1),",","."),"."),LEFT(SUBSTITUTE(LEFT(TRIM(C230),FIND(" ",TRIM(C230)&amp;" ")-1),",","."),FIND("/",SUBSTITUTE(LEFT(TRIM(C230),FIND(" ",TRIM(C230)&amp;" ")-1),",","."))-1)/MID(SUBSTITUTE(LEFT(TRIM(C230),FIND(" ",TRIM(C230)&amp;" ")-1),",","."),FIND("/",SUBSTITUTE(LEFT(TRIM(C230),FIND(" ",TRIM(C230)&amp;" ")-1),",","."))+1,9))*12/52,IF(ISNUMBER(SEARCH("month",C230)),IFERROR(_xlfn.NUMBERVALUE(SUBSTITUTE(LEFT(TRIM(C230),FIND(" ",TRIM(C230)&amp;" ")-1),",","."),"."),LEFT(SUBSTITUTE(LEFT(TRIM(C230),FIND(" ",TRIM(C230)&amp;" ")-1),",","."),FIND("/",SUBSTITUTE(LEFT(TRIM(C230),FIND(" ",TRIM(C230)&amp;" ")-1),",","."))-1)/MID(SUBSTITUTE(LEFT(TRIM(C230),FIND(" ",TRIM(C230)&amp;" ")-1),",","."),FIND("/",SUBSTITUTE(LEFT(TRIM(C230),FIND(" ",TRIM(C230)&amp;" ")-1),",","."))+1,9)),IF(ISNUMBER(SEARCH("yea",C230)),IFERROR(_xlfn.NUMBERVALUE(SUBSTITUTE(LEFT(TRIM(C230),FIND(" ",TRIM(C230)&amp;" ")-1),",","."),"."),LEFT(SUBSTITUTE(LEFT(TRIM(C230),FIND(" ",TRIM(C230)&amp;" ")-1),",","."),FIND("/",SUBSTITUTE(LEFT(TRIM(C230),FIND(" ",TRIM(C230)&amp;" ")-1),",","."))-1)/MID(SUBSTITUTE(LEFT(TRIM(C230),FIND(" ",TRIM(C230)&amp;" ")-1),",","."),FIND("/",SUBSTITUTE(LEFT(TRIM(C230),FIND(" ",TRIM(C230)&amp;" ")-1),",","."))+1,9))*12,NA()))),0),36)*'Aturan &amp; Tarif'!$B$4,2)</f>
        <v>2044.08</v>
      </c>
      <c r="K230" s="32" t="n">
        <f aca="false">'Aturan &amp; Tarif'!$B$5</f>
        <v>2050</v>
      </c>
      <c r="L230" s="35" t="n">
        <f aca="false">I230+J230+K230</f>
        <v>20290.08</v>
      </c>
      <c r="M230" s="37" t="s">
        <v>318</v>
      </c>
    </row>
    <row r="231" customFormat="false" ht="14.25" hidden="false" customHeight="true" outlineLevel="0" collapsed="false">
      <c r="A231" s="29"/>
      <c r="B231" s="30" t="s">
        <v>386</v>
      </c>
      <c r="C231" s="31" t="s">
        <v>191</v>
      </c>
      <c r="D231" s="31" t="s">
        <v>108</v>
      </c>
      <c r="E231" s="32" t="n">
        <v>13136</v>
      </c>
      <c r="F231" s="32"/>
      <c r="G231" s="32"/>
      <c r="H231" s="33" t="n">
        <v>2</v>
      </c>
      <c r="I231" s="34" t="n">
        <f aca="false">E231*H231+N(F231)+N(G231)</f>
        <v>26272</v>
      </c>
      <c r="J231" s="32" t="n">
        <f aca="false">ROUND(IFERROR(ROUND(IF(OR(ISNUMBER(SEARCH("week",C231)),ISNUMBER(SEARCH("minggu",C231))),IFERROR(_xlfn.NUMBERVALUE(SUBSTITUTE(LEFT(TRIM(C231),FIND(" ",TRIM(C231)&amp;" ")-1),",","."),"."),LEFT(SUBSTITUTE(LEFT(TRIM(C231),FIND(" ",TRIM(C231)&amp;" ")-1),",","."),FIND("/",SUBSTITUTE(LEFT(TRIM(C231),FIND(" ",TRIM(C231)&amp;" ")-1),",","."))-1)/MID(SUBSTITUTE(LEFT(TRIM(C231),FIND(" ",TRIM(C231)&amp;" ")-1),",","."),FIND("/",SUBSTITUTE(LEFT(TRIM(C231),FIND(" ",TRIM(C231)&amp;" ")-1),",","."))+1,9))*12/52,IF(ISNUMBER(SEARCH("month",C231)),IFERROR(_xlfn.NUMBERVALUE(SUBSTITUTE(LEFT(TRIM(C231),FIND(" ",TRIM(C231)&amp;" ")-1),",","."),"."),LEFT(SUBSTITUTE(LEFT(TRIM(C231),FIND(" ",TRIM(C231)&amp;" ")-1),",","."),FIND("/",SUBSTITUTE(LEFT(TRIM(C231),FIND(" ",TRIM(C231)&amp;" ")-1),",","."))-1)/MID(SUBSTITUTE(LEFT(TRIM(C231),FIND(" ",TRIM(C231)&amp;" ")-1),",","."),FIND("/",SUBSTITUTE(LEFT(TRIM(C231),FIND(" ",TRIM(C231)&amp;" ")-1),",","."))+1,9)),IF(ISNUMBER(SEARCH("yea",C231)),IFERROR(_xlfn.NUMBERVALUE(SUBSTITUTE(LEFT(TRIM(C231),FIND(" ",TRIM(C231)&amp;" ")-1),",","."),"."),LEFT(SUBSTITUTE(LEFT(TRIM(C231),FIND(" ",TRIM(C231)&amp;" ")-1),",","."),FIND("/",SUBSTITUTE(LEFT(TRIM(C231),FIND(" ",TRIM(C231)&amp;" ")-1),",","."))-1)/MID(SUBSTITUTE(LEFT(TRIM(C231),FIND(" ",TRIM(C231)&amp;" ")-1),",","."),FIND("/",SUBSTITUTE(LEFT(TRIM(C231),FIND(" ",TRIM(C231)&amp;" ")-1),",","."))+1,9))*12,NA()))),0),48)*'Aturan &amp; Tarif'!$B$4,2)</f>
        <v>2725.44</v>
      </c>
      <c r="K231" s="32" t="n">
        <f aca="false">'Aturan &amp; Tarif'!$B$5</f>
        <v>2050</v>
      </c>
      <c r="L231" s="35" t="n">
        <f aca="false">I231+J231+K231</f>
        <v>31047.44</v>
      </c>
      <c r="M231" s="37" t="s">
        <v>318</v>
      </c>
    </row>
    <row r="232" customFormat="false" ht="25.5" hidden="false" customHeight="true" outlineLevel="0" collapsed="false">
      <c r="A232" s="29"/>
      <c r="B232" s="30" t="s">
        <v>387</v>
      </c>
      <c r="C232" s="31" t="s">
        <v>191</v>
      </c>
      <c r="D232" s="31" t="s">
        <v>108</v>
      </c>
      <c r="E232" s="32" t="n">
        <v>13136</v>
      </c>
      <c r="F232" s="32"/>
      <c r="G232" s="32"/>
      <c r="H232" s="33" t="n">
        <v>2</v>
      </c>
      <c r="I232" s="34" t="n">
        <f aca="false">E232*H232+N(F232)+N(G232)</f>
        <v>26272</v>
      </c>
      <c r="J232" s="32" t="n">
        <f aca="false">ROUND(IFERROR(ROUND(IF(OR(ISNUMBER(SEARCH("week",C232)),ISNUMBER(SEARCH("minggu",C232))),IFERROR(_xlfn.NUMBERVALUE(SUBSTITUTE(LEFT(TRIM(C232),FIND(" ",TRIM(C232)&amp;" ")-1),",","."),"."),LEFT(SUBSTITUTE(LEFT(TRIM(C232),FIND(" ",TRIM(C232)&amp;" ")-1),",","."),FIND("/",SUBSTITUTE(LEFT(TRIM(C232),FIND(" ",TRIM(C232)&amp;" ")-1),",","."))-1)/MID(SUBSTITUTE(LEFT(TRIM(C232),FIND(" ",TRIM(C232)&amp;" ")-1),",","."),FIND("/",SUBSTITUTE(LEFT(TRIM(C232),FIND(" ",TRIM(C232)&amp;" ")-1),",","."))+1,9))*12/52,IF(ISNUMBER(SEARCH("month",C232)),IFERROR(_xlfn.NUMBERVALUE(SUBSTITUTE(LEFT(TRIM(C232),FIND(" ",TRIM(C232)&amp;" ")-1),",","."),"."),LEFT(SUBSTITUTE(LEFT(TRIM(C232),FIND(" ",TRIM(C232)&amp;" ")-1),",","."),FIND("/",SUBSTITUTE(LEFT(TRIM(C232),FIND(" ",TRIM(C232)&amp;" ")-1),",","."))-1)/MID(SUBSTITUTE(LEFT(TRIM(C232),FIND(" ",TRIM(C232)&amp;" ")-1),",","."),FIND("/",SUBSTITUTE(LEFT(TRIM(C232),FIND(" ",TRIM(C232)&amp;" ")-1),",","."))+1,9)),IF(ISNUMBER(SEARCH("yea",C232)),IFERROR(_xlfn.NUMBERVALUE(SUBSTITUTE(LEFT(TRIM(C232),FIND(" ",TRIM(C232)&amp;" ")-1),",","."),"."),LEFT(SUBSTITUTE(LEFT(TRIM(C232),FIND(" ",TRIM(C232)&amp;" ")-1),",","."),FIND("/",SUBSTITUTE(LEFT(TRIM(C232),FIND(" ",TRIM(C232)&amp;" ")-1),",","."))-1)/MID(SUBSTITUTE(LEFT(TRIM(C232),FIND(" ",TRIM(C232)&amp;" ")-1),",","."),FIND("/",SUBSTITUTE(LEFT(TRIM(C232),FIND(" ",TRIM(C232)&amp;" ")-1),",","."))+1,9))*12,NA()))),0),48)*'Aturan &amp; Tarif'!$B$4,2)</f>
        <v>2725.44</v>
      </c>
      <c r="K232" s="32" t="n">
        <f aca="false">'Aturan &amp; Tarif'!$B$5</f>
        <v>2050</v>
      </c>
      <c r="L232" s="35" t="n">
        <f aca="false">I232+J232+K232</f>
        <v>31047.44</v>
      </c>
      <c r="M232" s="36" t="s">
        <v>388</v>
      </c>
    </row>
    <row r="233" customFormat="false" ht="14.25" hidden="false" customHeight="true" outlineLevel="0" collapsed="false">
      <c r="A233" s="29"/>
      <c r="B233" s="30" t="s">
        <v>389</v>
      </c>
      <c r="C233" s="31" t="s">
        <v>191</v>
      </c>
      <c r="D233" s="31" t="s">
        <v>108</v>
      </c>
      <c r="E233" s="32" t="n">
        <v>8098</v>
      </c>
      <c r="F233" s="32"/>
      <c r="G233" s="32"/>
      <c r="H233" s="33" t="n">
        <v>2</v>
      </c>
      <c r="I233" s="34" t="n">
        <f aca="false">E233*H233+N(F233)+N(G233)</f>
        <v>16196</v>
      </c>
      <c r="J233" s="32" t="n">
        <f aca="false">ROUND(IFERROR(ROUND(IF(OR(ISNUMBER(SEARCH("week",C233)),ISNUMBER(SEARCH("minggu",C233))),IFERROR(_xlfn.NUMBERVALUE(SUBSTITUTE(LEFT(TRIM(C233),FIND(" ",TRIM(C233)&amp;" ")-1),",","."),"."),LEFT(SUBSTITUTE(LEFT(TRIM(C233),FIND(" ",TRIM(C233)&amp;" ")-1),",","."),FIND("/",SUBSTITUTE(LEFT(TRIM(C233),FIND(" ",TRIM(C233)&amp;" ")-1),",","."))-1)/MID(SUBSTITUTE(LEFT(TRIM(C233),FIND(" ",TRIM(C233)&amp;" ")-1),",","."),FIND("/",SUBSTITUTE(LEFT(TRIM(C233),FIND(" ",TRIM(C233)&amp;" ")-1),",","."))+1,9))*12/52,IF(ISNUMBER(SEARCH("month",C233)),IFERROR(_xlfn.NUMBERVALUE(SUBSTITUTE(LEFT(TRIM(C233),FIND(" ",TRIM(C233)&amp;" ")-1),",","."),"."),LEFT(SUBSTITUTE(LEFT(TRIM(C233),FIND(" ",TRIM(C233)&amp;" ")-1),",","."),FIND("/",SUBSTITUTE(LEFT(TRIM(C233),FIND(" ",TRIM(C233)&amp;" ")-1),",","."))-1)/MID(SUBSTITUTE(LEFT(TRIM(C233),FIND(" ",TRIM(C233)&amp;" ")-1),",","."),FIND("/",SUBSTITUTE(LEFT(TRIM(C233),FIND(" ",TRIM(C233)&amp;" ")-1),",","."))+1,9)),IF(ISNUMBER(SEARCH("yea",C233)),IFERROR(_xlfn.NUMBERVALUE(SUBSTITUTE(LEFT(TRIM(C233),FIND(" ",TRIM(C233)&amp;" ")-1),",","."),"."),LEFT(SUBSTITUTE(LEFT(TRIM(C233),FIND(" ",TRIM(C233)&amp;" ")-1),",","."),FIND("/",SUBSTITUTE(LEFT(TRIM(C233),FIND(" ",TRIM(C233)&amp;" ")-1),",","."))-1)/MID(SUBSTITUTE(LEFT(TRIM(C233),FIND(" ",TRIM(C233)&amp;" ")-1),",","."),FIND("/",SUBSTITUTE(LEFT(TRIM(C233),FIND(" ",TRIM(C233)&amp;" ")-1),",","."))+1,9))*12,NA()))),0),48)*'Aturan &amp; Tarif'!$B$4,2)</f>
        <v>2725.44</v>
      </c>
      <c r="K233" s="32" t="n">
        <f aca="false">'Aturan &amp; Tarif'!$B$5</f>
        <v>2050</v>
      </c>
      <c r="L233" s="35" t="n">
        <f aca="false">I233+J233+K233</f>
        <v>20971.44</v>
      </c>
      <c r="M233" s="37" t="s">
        <v>318</v>
      </c>
    </row>
    <row r="234" customFormat="false" ht="14.25" hidden="false" customHeight="true" outlineLevel="0" collapsed="false">
      <c r="A234" s="29"/>
      <c r="B234" s="30" t="s">
        <v>390</v>
      </c>
      <c r="C234" s="31" t="s">
        <v>191</v>
      </c>
      <c r="D234" s="31" t="s">
        <v>108</v>
      </c>
      <c r="E234" s="32" t="n">
        <v>8098</v>
      </c>
      <c r="F234" s="32"/>
      <c r="G234" s="32"/>
      <c r="H234" s="33" t="n">
        <v>2</v>
      </c>
      <c r="I234" s="34" t="n">
        <f aca="false">E234*H234+N(F234)+N(G234)</f>
        <v>16196</v>
      </c>
      <c r="J234" s="32" t="n">
        <f aca="false">ROUND(IFERROR(ROUND(IF(OR(ISNUMBER(SEARCH("week",C234)),ISNUMBER(SEARCH("minggu",C234))),IFERROR(_xlfn.NUMBERVALUE(SUBSTITUTE(LEFT(TRIM(C234),FIND(" ",TRIM(C234)&amp;" ")-1),",","."),"."),LEFT(SUBSTITUTE(LEFT(TRIM(C234),FIND(" ",TRIM(C234)&amp;" ")-1),",","."),FIND("/",SUBSTITUTE(LEFT(TRIM(C234),FIND(" ",TRIM(C234)&amp;" ")-1),",","."))-1)/MID(SUBSTITUTE(LEFT(TRIM(C234),FIND(" ",TRIM(C234)&amp;" ")-1),",","."),FIND("/",SUBSTITUTE(LEFT(TRIM(C234),FIND(" ",TRIM(C234)&amp;" ")-1),",","."))+1,9))*12/52,IF(ISNUMBER(SEARCH("month",C234)),IFERROR(_xlfn.NUMBERVALUE(SUBSTITUTE(LEFT(TRIM(C234),FIND(" ",TRIM(C234)&amp;" ")-1),",","."),"."),LEFT(SUBSTITUTE(LEFT(TRIM(C234),FIND(" ",TRIM(C234)&amp;" ")-1),",","."),FIND("/",SUBSTITUTE(LEFT(TRIM(C234),FIND(" ",TRIM(C234)&amp;" ")-1),",","."))-1)/MID(SUBSTITUTE(LEFT(TRIM(C234),FIND(" ",TRIM(C234)&amp;" ")-1),",","."),FIND("/",SUBSTITUTE(LEFT(TRIM(C234),FIND(" ",TRIM(C234)&amp;" ")-1),",","."))+1,9)),IF(ISNUMBER(SEARCH("yea",C234)),IFERROR(_xlfn.NUMBERVALUE(SUBSTITUTE(LEFT(TRIM(C234),FIND(" ",TRIM(C234)&amp;" ")-1),",","."),"."),LEFT(SUBSTITUTE(LEFT(TRIM(C234),FIND(" ",TRIM(C234)&amp;" ")-1),",","."),FIND("/",SUBSTITUTE(LEFT(TRIM(C234),FIND(" ",TRIM(C234)&amp;" ")-1),",","."))-1)/MID(SUBSTITUTE(LEFT(TRIM(C234),FIND(" ",TRIM(C234)&amp;" ")-1),",","."),FIND("/",SUBSTITUTE(LEFT(TRIM(C234),FIND(" ",TRIM(C234)&amp;" ")-1),",","."))+1,9))*12,NA()))),0),48)*'Aturan &amp; Tarif'!$B$4,2)</f>
        <v>2725.44</v>
      </c>
      <c r="K234" s="32" t="n">
        <f aca="false">'Aturan &amp; Tarif'!$B$5</f>
        <v>2050</v>
      </c>
      <c r="L234" s="35" t="n">
        <f aca="false">I234+J234+K234</f>
        <v>20971.44</v>
      </c>
      <c r="M234" s="36" t="s">
        <v>391</v>
      </c>
    </row>
    <row r="235" customFormat="false" ht="25.5" hidden="false" customHeight="true" outlineLevel="0" collapsed="false">
      <c r="A235" s="29"/>
      <c r="B235" s="30" t="s">
        <v>392</v>
      </c>
      <c r="C235" s="31" t="s">
        <v>191</v>
      </c>
      <c r="D235" s="31" t="s">
        <v>108</v>
      </c>
      <c r="E235" s="32" t="n">
        <v>8098</v>
      </c>
      <c r="F235" s="32"/>
      <c r="G235" s="32"/>
      <c r="H235" s="33" t="n">
        <v>2</v>
      </c>
      <c r="I235" s="34" t="n">
        <f aca="false">E235*H235+N(F235)+N(G235)</f>
        <v>16196</v>
      </c>
      <c r="J235" s="32" t="n">
        <f aca="false">ROUND(IFERROR(ROUND(IF(OR(ISNUMBER(SEARCH("week",C235)),ISNUMBER(SEARCH("minggu",C235))),IFERROR(_xlfn.NUMBERVALUE(SUBSTITUTE(LEFT(TRIM(C235),FIND(" ",TRIM(C235)&amp;" ")-1),",","."),"."),LEFT(SUBSTITUTE(LEFT(TRIM(C235),FIND(" ",TRIM(C235)&amp;" ")-1),",","."),FIND("/",SUBSTITUTE(LEFT(TRIM(C235),FIND(" ",TRIM(C235)&amp;" ")-1),",","."))-1)/MID(SUBSTITUTE(LEFT(TRIM(C235),FIND(" ",TRIM(C235)&amp;" ")-1),",","."),FIND("/",SUBSTITUTE(LEFT(TRIM(C235),FIND(" ",TRIM(C235)&amp;" ")-1),",","."))+1,9))*12/52,IF(ISNUMBER(SEARCH("month",C235)),IFERROR(_xlfn.NUMBERVALUE(SUBSTITUTE(LEFT(TRIM(C235),FIND(" ",TRIM(C235)&amp;" ")-1),",","."),"."),LEFT(SUBSTITUTE(LEFT(TRIM(C235),FIND(" ",TRIM(C235)&amp;" ")-1),",","."),FIND("/",SUBSTITUTE(LEFT(TRIM(C235),FIND(" ",TRIM(C235)&amp;" ")-1),",","."))-1)/MID(SUBSTITUTE(LEFT(TRIM(C235),FIND(" ",TRIM(C235)&amp;" ")-1),",","."),FIND("/",SUBSTITUTE(LEFT(TRIM(C235),FIND(" ",TRIM(C235)&amp;" ")-1),",","."))+1,9)),IF(ISNUMBER(SEARCH("yea",C235)),IFERROR(_xlfn.NUMBERVALUE(SUBSTITUTE(LEFT(TRIM(C235),FIND(" ",TRIM(C235)&amp;" ")-1),",","."),"."),LEFT(SUBSTITUTE(LEFT(TRIM(C235),FIND(" ",TRIM(C235)&amp;" ")-1),",","."),FIND("/",SUBSTITUTE(LEFT(TRIM(C235),FIND(" ",TRIM(C235)&amp;" ")-1),",","."))-1)/MID(SUBSTITUTE(LEFT(TRIM(C235),FIND(" ",TRIM(C235)&amp;" ")-1),",","."),FIND("/",SUBSTITUTE(LEFT(TRIM(C235),FIND(" ",TRIM(C235)&amp;" ")-1),",","."))+1,9))*12,NA()))),0),48)*'Aturan &amp; Tarif'!$B$4,2)</f>
        <v>2725.44</v>
      </c>
      <c r="K235" s="32" t="n">
        <f aca="false">'Aturan &amp; Tarif'!$B$5</f>
        <v>2050</v>
      </c>
      <c r="L235" s="35" t="n">
        <f aca="false">I235+J235+K235</f>
        <v>20971.44</v>
      </c>
      <c r="M235" s="36" t="s">
        <v>391</v>
      </c>
    </row>
    <row r="236" customFormat="false" ht="14.25" hidden="false" customHeight="true" outlineLevel="0" collapsed="false">
      <c r="A236" s="29"/>
      <c r="B236" s="30" t="s">
        <v>393</v>
      </c>
      <c r="C236" s="31" t="s">
        <v>191</v>
      </c>
      <c r="D236" s="31" t="s">
        <v>108</v>
      </c>
      <c r="E236" s="32" t="n">
        <v>8098</v>
      </c>
      <c r="F236" s="32"/>
      <c r="G236" s="32"/>
      <c r="H236" s="33" t="n">
        <v>2</v>
      </c>
      <c r="I236" s="34" t="n">
        <f aca="false">E236*H236+N(F236)+N(G236)</f>
        <v>16196</v>
      </c>
      <c r="J236" s="32" t="n">
        <f aca="false">ROUND(IFERROR(ROUND(IF(OR(ISNUMBER(SEARCH("week",C236)),ISNUMBER(SEARCH("minggu",C236))),IFERROR(_xlfn.NUMBERVALUE(SUBSTITUTE(LEFT(TRIM(C236),FIND(" ",TRIM(C236)&amp;" ")-1),",","."),"."),LEFT(SUBSTITUTE(LEFT(TRIM(C236),FIND(" ",TRIM(C236)&amp;" ")-1),",","."),FIND("/",SUBSTITUTE(LEFT(TRIM(C236),FIND(" ",TRIM(C236)&amp;" ")-1),",","."))-1)/MID(SUBSTITUTE(LEFT(TRIM(C236),FIND(" ",TRIM(C236)&amp;" ")-1),",","."),FIND("/",SUBSTITUTE(LEFT(TRIM(C236),FIND(" ",TRIM(C236)&amp;" ")-1),",","."))+1,9))*12/52,IF(ISNUMBER(SEARCH("month",C236)),IFERROR(_xlfn.NUMBERVALUE(SUBSTITUTE(LEFT(TRIM(C236),FIND(" ",TRIM(C236)&amp;" ")-1),",","."),"."),LEFT(SUBSTITUTE(LEFT(TRIM(C236),FIND(" ",TRIM(C236)&amp;" ")-1),",","."),FIND("/",SUBSTITUTE(LEFT(TRIM(C236),FIND(" ",TRIM(C236)&amp;" ")-1),",","."))-1)/MID(SUBSTITUTE(LEFT(TRIM(C236),FIND(" ",TRIM(C236)&amp;" ")-1),",","."),FIND("/",SUBSTITUTE(LEFT(TRIM(C236),FIND(" ",TRIM(C236)&amp;" ")-1),",","."))+1,9)),IF(ISNUMBER(SEARCH("yea",C236)),IFERROR(_xlfn.NUMBERVALUE(SUBSTITUTE(LEFT(TRIM(C236),FIND(" ",TRIM(C236)&amp;" ")-1),",","."),"."),LEFT(SUBSTITUTE(LEFT(TRIM(C236),FIND(" ",TRIM(C236)&amp;" ")-1),",","."),FIND("/",SUBSTITUTE(LEFT(TRIM(C236),FIND(" ",TRIM(C236)&amp;" ")-1),",","."))-1)/MID(SUBSTITUTE(LEFT(TRIM(C236),FIND(" ",TRIM(C236)&amp;" ")-1),",","."),FIND("/",SUBSTITUTE(LEFT(TRIM(C236),FIND(" ",TRIM(C236)&amp;" ")-1),",","."))+1,9))*12,NA()))),0),48)*'Aturan &amp; Tarif'!$B$4,2)</f>
        <v>2725.44</v>
      </c>
      <c r="K236" s="32" t="n">
        <f aca="false">'Aturan &amp; Tarif'!$B$5</f>
        <v>2050</v>
      </c>
      <c r="L236" s="35" t="n">
        <f aca="false">I236+J236+K236</f>
        <v>20971.44</v>
      </c>
      <c r="M236" s="37" t="s">
        <v>322</v>
      </c>
    </row>
    <row r="237" customFormat="false" ht="25.5" hidden="false" customHeight="true" outlineLevel="0" collapsed="false">
      <c r="A237" s="29"/>
      <c r="B237" s="30" t="s">
        <v>394</v>
      </c>
      <c r="C237" s="31" t="s">
        <v>191</v>
      </c>
      <c r="D237" s="31" t="s">
        <v>108</v>
      </c>
      <c r="E237" s="32" t="n">
        <v>8098</v>
      </c>
      <c r="F237" s="32"/>
      <c r="G237" s="32"/>
      <c r="H237" s="33" t="n">
        <v>2</v>
      </c>
      <c r="I237" s="34" t="n">
        <f aca="false">E237*H237+N(F237)+N(G237)</f>
        <v>16196</v>
      </c>
      <c r="J237" s="32" t="n">
        <f aca="false">ROUND(IFERROR(ROUND(IF(OR(ISNUMBER(SEARCH("week",C237)),ISNUMBER(SEARCH("minggu",C237))),IFERROR(_xlfn.NUMBERVALUE(SUBSTITUTE(LEFT(TRIM(C237),FIND(" ",TRIM(C237)&amp;" ")-1),",","."),"."),LEFT(SUBSTITUTE(LEFT(TRIM(C237),FIND(" ",TRIM(C237)&amp;" ")-1),",","."),FIND("/",SUBSTITUTE(LEFT(TRIM(C237),FIND(" ",TRIM(C237)&amp;" ")-1),",","."))-1)/MID(SUBSTITUTE(LEFT(TRIM(C237),FIND(" ",TRIM(C237)&amp;" ")-1),",","."),FIND("/",SUBSTITUTE(LEFT(TRIM(C237),FIND(" ",TRIM(C237)&amp;" ")-1),",","."))+1,9))*12/52,IF(ISNUMBER(SEARCH("month",C237)),IFERROR(_xlfn.NUMBERVALUE(SUBSTITUTE(LEFT(TRIM(C237),FIND(" ",TRIM(C237)&amp;" ")-1),",","."),"."),LEFT(SUBSTITUTE(LEFT(TRIM(C237),FIND(" ",TRIM(C237)&amp;" ")-1),",","."),FIND("/",SUBSTITUTE(LEFT(TRIM(C237),FIND(" ",TRIM(C237)&amp;" ")-1),",","."))-1)/MID(SUBSTITUTE(LEFT(TRIM(C237),FIND(" ",TRIM(C237)&amp;" ")-1),",","."),FIND("/",SUBSTITUTE(LEFT(TRIM(C237),FIND(" ",TRIM(C237)&amp;" ")-1),",","."))+1,9)),IF(ISNUMBER(SEARCH("yea",C237)),IFERROR(_xlfn.NUMBERVALUE(SUBSTITUTE(LEFT(TRIM(C237),FIND(" ",TRIM(C237)&amp;" ")-1),",","."),"."),LEFT(SUBSTITUTE(LEFT(TRIM(C237),FIND(" ",TRIM(C237)&amp;" ")-1),",","."),FIND("/",SUBSTITUTE(LEFT(TRIM(C237),FIND(" ",TRIM(C237)&amp;" ")-1),",","."))-1)/MID(SUBSTITUTE(LEFT(TRIM(C237),FIND(" ",TRIM(C237)&amp;" ")-1),",","."),FIND("/",SUBSTITUTE(LEFT(TRIM(C237),FIND(" ",TRIM(C237)&amp;" ")-1),",","."))+1,9))*12,NA()))),0),48)*'Aturan &amp; Tarif'!$B$4,2)</f>
        <v>2725.44</v>
      </c>
      <c r="K237" s="32" t="n">
        <f aca="false">'Aturan &amp; Tarif'!$B$5</f>
        <v>2050</v>
      </c>
      <c r="L237" s="35" t="n">
        <f aca="false">I237+J237+K237</f>
        <v>20971.44</v>
      </c>
      <c r="M237" s="37" t="s">
        <v>322</v>
      </c>
    </row>
    <row r="238" customFormat="false" ht="14.25" hidden="false" customHeight="true" outlineLevel="0" collapsed="false">
      <c r="A238" s="29"/>
      <c r="B238" s="30" t="s">
        <v>387</v>
      </c>
      <c r="C238" s="31" t="s">
        <v>191</v>
      </c>
      <c r="D238" s="31" t="s">
        <v>108</v>
      </c>
      <c r="E238" s="32" t="n">
        <v>8098</v>
      </c>
      <c r="F238" s="32"/>
      <c r="G238" s="32"/>
      <c r="H238" s="33" t="n">
        <v>2</v>
      </c>
      <c r="I238" s="34" t="n">
        <f aca="false">E238*H238+N(F238)+N(G238)</f>
        <v>16196</v>
      </c>
      <c r="J238" s="32" t="n">
        <f aca="false">ROUND(IFERROR(ROUND(IF(OR(ISNUMBER(SEARCH("week",C238)),ISNUMBER(SEARCH("minggu",C238))),IFERROR(_xlfn.NUMBERVALUE(SUBSTITUTE(LEFT(TRIM(C238),FIND(" ",TRIM(C238)&amp;" ")-1),",","."),"."),LEFT(SUBSTITUTE(LEFT(TRIM(C238),FIND(" ",TRIM(C238)&amp;" ")-1),",","."),FIND("/",SUBSTITUTE(LEFT(TRIM(C238),FIND(" ",TRIM(C238)&amp;" ")-1),",","."))-1)/MID(SUBSTITUTE(LEFT(TRIM(C238),FIND(" ",TRIM(C238)&amp;" ")-1),",","."),FIND("/",SUBSTITUTE(LEFT(TRIM(C238),FIND(" ",TRIM(C238)&amp;" ")-1),",","."))+1,9))*12/52,IF(ISNUMBER(SEARCH("month",C238)),IFERROR(_xlfn.NUMBERVALUE(SUBSTITUTE(LEFT(TRIM(C238),FIND(" ",TRIM(C238)&amp;" ")-1),",","."),"."),LEFT(SUBSTITUTE(LEFT(TRIM(C238),FIND(" ",TRIM(C238)&amp;" ")-1),",","."),FIND("/",SUBSTITUTE(LEFT(TRIM(C238),FIND(" ",TRIM(C238)&amp;" ")-1),",","."))-1)/MID(SUBSTITUTE(LEFT(TRIM(C238),FIND(" ",TRIM(C238)&amp;" ")-1),",","."),FIND("/",SUBSTITUTE(LEFT(TRIM(C238),FIND(" ",TRIM(C238)&amp;" ")-1),",","."))+1,9)),IF(ISNUMBER(SEARCH("yea",C238)),IFERROR(_xlfn.NUMBERVALUE(SUBSTITUTE(LEFT(TRIM(C238),FIND(" ",TRIM(C238)&amp;" ")-1),",","."),"."),LEFT(SUBSTITUTE(LEFT(TRIM(C238),FIND(" ",TRIM(C238)&amp;" ")-1),",","."),FIND("/",SUBSTITUTE(LEFT(TRIM(C238),FIND(" ",TRIM(C238)&amp;" ")-1),",","."))-1)/MID(SUBSTITUTE(LEFT(TRIM(C238),FIND(" ",TRIM(C238)&amp;" ")-1),",","."),FIND("/",SUBSTITUTE(LEFT(TRIM(C238),FIND(" ",TRIM(C238)&amp;" ")-1),",","."))+1,9))*12,NA()))),0),48)*'Aturan &amp; Tarif'!$B$4,2)</f>
        <v>2725.44</v>
      </c>
      <c r="K238" s="32" t="n">
        <f aca="false">'Aturan &amp; Tarif'!$B$5</f>
        <v>2050</v>
      </c>
      <c r="L238" s="35" t="n">
        <f aca="false">I238+J238+K238</f>
        <v>20971.44</v>
      </c>
      <c r="M238" s="37" t="s">
        <v>322</v>
      </c>
    </row>
    <row r="239" customFormat="false" ht="14.25" hidden="false" customHeight="true" outlineLevel="0" collapsed="false">
      <c r="A239" s="29"/>
      <c r="B239" s="30" t="s">
        <v>395</v>
      </c>
      <c r="C239" s="31" t="s">
        <v>191</v>
      </c>
      <c r="D239" s="31" t="s">
        <v>108</v>
      </c>
      <c r="E239" s="32" t="n">
        <v>8098</v>
      </c>
      <c r="F239" s="32"/>
      <c r="G239" s="32"/>
      <c r="H239" s="33" t="n">
        <v>2</v>
      </c>
      <c r="I239" s="34" t="n">
        <f aca="false">E239*H239+N(F239)+N(G239)</f>
        <v>16196</v>
      </c>
      <c r="J239" s="32" t="n">
        <f aca="false">ROUND(IFERROR(ROUND(IF(OR(ISNUMBER(SEARCH("week",C239)),ISNUMBER(SEARCH("minggu",C239))),IFERROR(_xlfn.NUMBERVALUE(SUBSTITUTE(LEFT(TRIM(C239),FIND(" ",TRIM(C239)&amp;" ")-1),",","."),"."),LEFT(SUBSTITUTE(LEFT(TRIM(C239),FIND(" ",TRIM(C239)&amp;" ")-1),",","."),FIND("/",SUBSTITUTE(LEFT(TRIM(C239),FIND(" ",TRIM(C239)&amp;" ")-1),",","."))-1)/MID(SUBSTITUTE(LEFT(TRIM(C239),FIND(" ",TRIM(C239)&amp;" ")-1),",","."),FIND("/",SUBSTITUTE(LEFT(TRIM(C239),FIND(" ",TRIM(C239)&amp;" ")-1),",","."))+1,9))*12/52,IF(ISNUMBER(SEARCH("month",C239)),IFERROR(_xlfn.NUMBERVALUE(SUBSTITUTE(LEFT(TRIM(C239),FIND(" ",TRIM(C239)&amp;" ")-1),",","."),"."),LEFT(SUBSTITUTE(LEFT(TRIM(C239),FIND(" ",TRIM(C239)&amp;" ")-1),",","."),FIND("/",SUBSTITUTE(LEFT(TRIM(C239),FIND(" ",TRIM(C239)&amp;" ")-1),",","."))-1)/MID(SUBSTITUTE(LEFT(TRIM(C239),FIND(" ",TRIM(C239)&amp;" ")-1),",","."),FIND("/",SUBSTITUTE(LEFT(TRIM(C239),FIND(" ",TRIM(C239)&amp;" ")-1),",","."))+1,9)),IF(ISNUMBER(SEARCH("yea",C239)),IFERROR(_xlfn.NUMBERVALUE(SUBSTITUTE(LEFT(TRIM(C239),FIND(" ",TRIM(C239)&amp;" ")-1),",","."),"."),LEFT(SUBSTITUTE(LEFT(TRIM(C239),FIND(" ",TRIM(C239)&amp;" ")-1),",","."),FIND("/",SUBSTITUTE(LEFT(TRIM(C239),FIND(" ",TRIM(C239)&amp;" ")-1),",","."))-1)/MID(SUBSTITUTE(LEFT(TRIM(C239),FIND(" ",TRIM(C239)&amp;" ")-1),",","."),FIND("/",SUBSTITUTE(LEFT(TRIM(C239),FIND(" ",TRIM(C239)&amp;" ")-1),",","."))+1,9))*12,NA()))),0),48)*'Aturan &amp; Tarif'!$B$4,2)</f>
        <v>2725.44</v>
      </c>
      <c r="K239" s="32" t="n">
        <f aca="false">'Aturan &amp; Tarif'!$B$5</f>
        <v>2050</v>
      </c>
      <c r="L239" s="35" t="n">
        <f aca="false">I239+J239+K239</f>
        <v>20971.44</v>
      </c>
      <c r="M239" s="37" t="s">
        <v>322</v>
      </c>
    </row>
    <row r="240" customFormat="false" ht="25.5" hidden="false" customHeight="true" outlineLevel="0" collapsed="false">
      <c r="A240" s="29"/>
      <c r="B240" s="30" t="s">
        <v>396</v>
      </c>
      <c r="C240" s="31" t="s">
        <v>191</v>
      </c>
      <c r="D240" s="31" t="s">
        <v>108</v>
      </c>
      <c r="E240" s="32" t="n">
        <v>13136</v>
      </c>
      <c r="F240" s="32"/>
      <c r="G240" s="32"/>
      <c r="H240" s="33" t="n">
        <v>2</v>
      </c>
      <c r="I240" s="34" t="n">
        <f aca="false">E240*H240+N(F240)+N(G240)</f>
        <v>26272</v>
      </c>
      <c r="J240" s="32" t="n">
        <f aca="false">ROUND(IFERROR(ROUND(IF(OR(ISNUMBER(SEARCH("week",C240)),ISNUMBER(SEARCH("minggu",C240))),IFERROR(_xlfn.NUMBERVALUE(SUBSTITUTE(LEFT(TRIM(C240),FIND(" ",TRIM(C240)&amp;" ")-1),",","."),"."),LEFT(SUBSTITUTE(LEFT(TRIM(C240),FIND(" ",TRIM(C240)&amp;" ")-1),",","."),FIND("/",SUBSTITUTE(LEFT(TRIM(C240),FIND(" ",TRIM(C240)&amp;" ")-1),",","."))-1)/MID(SUBSTITUTE(LEFT(TRIM(C240),FIND(" ",TRIM(C240)&amp;" ")-1),",","."),FIND("/",SUBSTITUTE(LEFT(TRIM(C240),FIND(" ",TRIM(C240)&amp;" ")-1),",","."))+1,9))*12/52,IF(ISNUMBER(SEARCH("month",C240)),IFERROR(_xlfn.NUMBERVALUE(SUBSTITUTE(LEFT(TRIM(C240),FIND(" ",TRIM(C240)&amp;" ")-1),",","."),"."),LEFT(SUBSTITUTE(LEFT(TRIM(C240),FIND(" ",TRIM(C240)&amp;" ")-1),",","."),FIND("/",SUBSTITUTE(LEFT(TRIM(C240),FIND(" ",TRIM(C240)&amp;" ")-1),",","."))-1)/MID(SUBSTITUTE(LEFT(TRIM(C240),FIND(" ",TRIM(C240)&amp;" ")-1),",","."),FIND("/",SUBSTITUTE(LEFT(TRIM(C240),FIND(" ",TRIM(C240)&amp;" ")-1),",","."))+1,9)),IF(ISNUMBER(SEARCH("yea",C240)),IFERROR(_xlfn.NUMBERVALUE(SUBSTITUTE(LEFT(TRIM(C240),FIND(" ",TRIM(C240)&amp;" ")-1),",","."),"."),LEFT(SUBSTITUTE(LEFT(TRIM(C240),FIND(" ",TRIM(C240)&amp;" ")-1),",","."),FIND("/",SUBSTITUTE(LEFT(TRIM(C240),FIND(" ",TRIM(C240)&amp;" ")-1),",","."))-1)/MID(SUBSTITUTE(LEFT(TRIM(C240),FIND(" ",TRIM(C240)&amp;" ")-1),",","."),FIND("/",SUBSTITUTE(LEFT(TRIM(C240),FIND(" ",TRIM(C240)&amp;" ")-1),",","."))+1,9))*12,NA()))),0),48)*'Aturan &amp; Tarif'!$B$4,2)</f>
        <v>2725.44</v>
      </c>
      <c r="K240" s="32" t="n">
        <f aca="false">'Aturan &amp; Tarif'!$B$5</f>
        <v>2050</v>
      </c>
      <c r="L240" s="35" t="n">
        <f aca="false">I240+J240+K240</f>
        <v>31047.44</v>
      </c>
      <c r="M240" s="37" t="s">
        <v>318</v>
      </c>
    </row>
    <row r="241" customFormat="false" ht="14.25" hidden="false" customHeight="true" outlineLevel="0" collapsed="false">
      <c r="A241" s="29"/>
      <c r="B241" s="30" t="s">
        <v>397</v>
      </c>
      <c r="C241" s="31" t="s">
        <v>130</v>
      </c>
      <c r="D241" s="31" t="s">
        <v>108</v>
      </c>
      <c r="E241" s="32" t="n">
        <v>8018</v>
      </c>
      <c r="F241" s="32"/>
      <c r="G241" s="32"/>
      <c r="H241" s="33" t="n">
        <v>2</v>
      </c>
      <c r="I241" s="34" t="n">
        <f aca="false">E241*H241+N(F241)+N(G241)</f>
        <v>16036</v>
      </c>
      <c r="J241" s="32" t="n">
        <f aca="false">ROUND(IFERROR(ROUND(IF(OR(ISNUMBER(SEARCH("week",C241)),ISNUMBER(SEARCH("minggu",C241))),IFERROR(_xlfn.NUMBERVALUE(SUBSTITUTE(LEFT(TRIM(C241),FIND(" ",TRIM(C241)&amp;" ")-1),",","."),"."),LEFT(SUBSTITUTE(LEFT(TRIM(C241),FIND(" ",TRIM(C241)&amp;" ")-1),",","."),FIND("/",SUBSTITUTE(LEFT(TRIM(C241),FIND(" ",TRIM(C241)&amp;" ")-1),",","."))-1)/MID(SUBSTITUTE(LEFT(TRIM(C241),FIND(" ",TRIM(C241)&amp;" ")-1),",","."),FIND("/",SUBSTITUTE(LEFT(TRIM(C241),FIND(" ",TRIM(C241)&amp;" ")-1),",","."))+1,9))*12/52,IF(ISNUMBER(SEARCH("month",C241)),IFERROR(_xlfn.NUMBERVALUE(SUBSTITUTE(LEFT(TRIM(C241),FIND(" ",TRIM(C241)&amp;" ")-1),",","."),"."),LEFT(SUBSTITUTE(LEFT(TRIM(C241),FIND(" ",TRIM(C241)&amp;" ")-1),",","."),FIND("/",SUBSTITUTE(LEFT(TRIM(C241),FIND(" ",TRIM(C241)&amp;" ")-1),",","."))-1)/MID(SUBSTITUTE(LEFT(TRIM(C241),FIND(" ",TRIM(C241)&amp;" ")-1),",","."),FIND("/",SUBSTITUTE(LEFT(TRIM(C241),FIND(" ",TRIM(C241)&amp;" ")-1),",","."))+1,9)),IF(ISNUMBER(SEARCH("yea",C241)),IFERROR(_xlfn.NUMBERVALUE(SUBSTITUTE(LEFT(TRIM(C241),FIND(" ",TRIM(C241)&amp;" ")-1),",","."),"."),LEFT(SUBSTITUTE(LEFT(TRIM(C241),FIND(" ",TRIM(C241)&amp;" ")-1),",","."),FIND("/",SUBSTITUTE(LEFT(TRIM(C241),FIND(" ",TRIM(C241)&amp;" ")-1),",","."))-1)/MID(SUBSTITUTE(LEFT(TRIM(C241),FIND(" ",TRIM(C241)&amp;" ")-1),",","."),FIND("/",SUBSTITUTE(LEFT(TRIM(C241),FIND(" ",TRIM(C241)&amp;" ")-1),",","."))+1,9))*12,NA()))),0),12)*'Aturan &amp; Tarif'!$B$4,2)</f>
        <v>681.36</v>
      </c>
      <c r="K241" s="32" t="n">
        <f aca="false">'Aturan &amp; Tarif'!$B$5</f>
        <v>2050</v>
      </c>
      <c r="L241" s="35" t="n">
        <f aca="false">I241+J241+K241</f>
        <v>18767.36</v>
      </c>
      <c r="M241" s="37" t="s">
        <v>318</v>
      </c>
    </row>
    <row r="242" customFormat="false" ht="14.25" hidden="false" customHeight="true" outlineLevel="0" collapsed="false">
      <c r="A242" s="29"/>
      <c r="B242" s="30" t="s">
        <v>398</v>
      </c>
      <c r="C242" s="31" t="s">
        <v>107</v>
      </c>
      <c r="D242" s="31" t="s">
        <v>108</v>
      </c>
      <c r="E242" s="32" t="n">
        <v>8018</v>
      </c>
      <c r="F242" s="32"/>
      <c r="G242" s="32"/>
      <c r="H242" s="33" t="n">
        <v>2</v>
      </c>
      <c r="I242" s="34" t="n">
        <f aca="false">E242*H242+N(F242)+N(G242)</f>
        <v>16036</v>
      </c>
      <c r="J242" s="32" t="n">
        <f aca="false">ROUND(IFERROR(ROUND(IF(OR(ISNUMBER(SEARCH("week",C242)),ISNUMBER(SEARCH("minggu",C242))),IFERROR(_xlfn.NUMBERVALUE(SUBSTITUTE(LEFT(TRIM(C242),FIND(" ",TRIM(C242)&amp;" ")-1),",","."),"."),LEFT(SUBSTITUTE(LEFT(TRIM(C242),FIND(" ",TRIM(C242)&amp;" ")-1),",","."),FIND("/",SUBSTITUTE(LEFT(TRIM(C242),FIND(" ",TRIM(C242)&amp;" ")-1),",","."))-1)/MID(SUBSTITUTE(LEFT(TRIM(C242),FIND(" ",TRIM(C242)&amp;" ")-1),",","."),FIND("/",SUBSTITUTE(LEFT(TRIM(C242),FIND(" ",TRIM(C242)&amp;" ")-1),",","."))+1,9))*12/52,IF(ISNUMBER(SEARCH("month",C242)),IFERROR(_xlfn.NUMBERVALUE(SUBSTITUTE(LEFT(TRIM(C242),FIND(" ",TRIM(C242)&amp;" ")-1),",","."),"."),LEFT(SUBSTITUTE(LEFT(TRIM(C242),FIND(" ",TRIM(C242)&amp;" ")-1),",","."),FIND("/",SUBSTITUTE(LEFT(TRIM(C242),FIND(" ",TRIM(C242)&amp;" ")-1),",","."))-1)/MID(SUBSTITUTE(LEFT(TRIM(C242),FIND(" ",TRIM(C242)&amp;" ")-1),",","."),FIND("/",SUBSTITUTE(LEFT(TRIM(C242),FIND(" ",TRIM(C242)&amp;" ")-1),",","."))+1,9)),IF(ISNUMBER(SEARCH("yea",C242)),IFERROR(_xlfn.NUMBERVALUE(SUBSTITUTE(LEFT(TRIM(C242),FIND(" ",TRIM(C242)&amp;" ")-1),",","."),"."),LEFT(SUBSTITUTE(LEFT(TRIM(C242),FIND(" ",TRIM(C242)&amp;" ")-1),",","."),FIND("/",SUBSTITUTE(LEFT(TRIM(C242),FIND(" ",TRIM(C242)&amp;" ")-1),",","."))-1)/MID(SUBSTITUTE(LEFT(TRIM(C242),FIND(" ",TRIM(C242)&amp;" ")-1),",","."),FIND("/",SUBSTITUTE(LEFT(TRIM(C242),FIND(" ",TRIM(C242)&amp;" ")-1),",","."))+1,9))*12,NA()))),0),24)*'Aturan &amp; Tarif'!$B$4,2)</f>
        <v>1362.72</v>
      </c>
      <c r="K242" s="32" t="n">
        <f aca="false">'Aturan &amp; Tarif'!$B$5</f>
        <v>2050</v>
      </c>
      <c r="L242" s="35" t="n">
        <f aca="false">I242+J242+K242</f>
        <v>19448.72</v>
      </c>
      <c r="M242" s="37" t="s">
        <v>318</v>
      </c>
    </row>
    <row r="243" customFormat="false" ht="14.25" hidden="false" customHeight="true" outlineLevel="0" collapsed="false">
      <c r="A243" s="29"/>
      <c r="B243" s="30" t="s">
        <v>399</v>
      </c>
      <c r="C243" s="31" t="s">
        <v>107</v>
      </c>
      <c r="D243" s="31" t="s">
        <v>108</v>
      </c>
      <c r="E243" s="32" t="n">
        <v>11410</v>
      </c>
      <c r="F243" s="32"/>
      <c r="G243" s="32"/>
      <c r="H243" s="33" t="n">
        <v>2</v>
      </c>
      <c r="I243" s="34" t="n">
        <f aca="false">E243*H243+N(F243)+N(G243)</f>
        <v>22820</v>
      </c>
      <c r="J243" s="32" t="n">
        <f aca="false">ROUND(IFERROR(ROUND(IF(OR(ISNUMBER(SEARCH("week",C243)),ISNUMBER(SEARCH("minggu",C243))),IFERROR(_xlfn.NUMBERVALUE(SUBSTITUTE(LEFT(TRIM(C243),FIND(" ",TRIM(C243)&amp;" ")-1),",","."),"."),LEFT(SUBSTITUTE(LEFT(TRIM(C243),FIND(" ",TRIM(C243)&amp;" ")-1),",","."),FIND("/",SUBSTITUTE(LEFT(TRIM(C243),FIND(" ",TRIM(C243)&amp;" ")-1),",","."))-1)/MID(SUBSTITUTE(LEFT(TRIM(C243),FIND(" ",TRIM(C243)&amp;" ")-1),",","."),FIND("/",SUBSTITUTE(LEFT(TRIM(C243),FIND(" ",TRIM(C243)&amp;" ")-1),",","."))+1,9))*12/52,IF(ISNUMBER(SEARCH("month",C243)),IFERROR(_xlfn.NUMBERVALUE(SUBSTITUTE(LEFT(TRIM(C243),FIND(" ",TRIM(C243)&amp;" ")-1),",","."),"."),LEFT(SUBSTITUTE(LEFT(TRIM(C243),FIND(" ",TRIM(C243)&amp;" ")-1),",","."),FIND("/",SUBSTITUTE(LEFT(TRIM(C243),FIND(" ",TRIM(C243)&amp;" ")-1),",","."))-1)/MID(SUBSTITUTE(LEFT(TRIM(C243),FIND(" ",TRIM(C243)&amp;" ")-1),",","."),FIND("/",SUBSTITUTE(LEFT(TRIM(C243),FIND(" ",TRIM(C243)&amp;" ")-1),",","."))+1,9)),IF(ISNUMBER(SEARCH("yea",C243)),IFERROR(_xlfn.NUMBERVALUE(SUBSTITUTE(LEFT(TRIM(C243),FIND(" ",TRIM(C243)&amp;" ")-1),",","."),"."),LEFT(SUBSTITUTE(LEFT(TRIM(C243),FIND(" ",TRIM(C243)&amp;" ")-1),",","."),FIND("/",SUBSTITUTE(LEFT(TRIM(C243),FIND(" ",TRIM(C243)&amp;" ")-1),",","."))-1)/MID(SUBSTITUTE(LEFT(TRIM(C243),FIND(" ",TRIM(C243)&amp;" ")-1),",","."),FIND("/",SUBSTITUTE(LEFT(TRIM(C243),FIND(" ",TRIM(C243)&amp;" ")-1),",","."))+1,9))*12,NA()))),0),24)*'Aturan &amp; Tarif'!$B$4,2)</f>
        <v>1362.72</v>
      </c>
      <c r="K243" s="32" t="n">
        <f aca="false">'Aturan &amp; Tarif'!$B$5</f>
        <v>2050</v>
      </c>
      <c r="L243" s="35" t="n">
        <f aca="false">I243+J243+K243</f>
        <v>26232.72</v>
      </c>
      <c r="M243" s="37" t="s">
        <v>318</v>
      </c>
    </row>
    <row r="244" customFormat="false" ht="14.25" hidden="false" customHeight="true" outlineLevel="0" collapsed="false">
      <c r="A244" s="29"/>
      <c r="B244" s="30" t="s">
        <v>400</v>
      </c>
      <c r="C244" s="31" t="s">
        <v>107</v>
      </c>
      <c r="D244" s="31" t="s">
        <v>108</v>
      </c>
      <c r="E244" s="32" t="n">
        <v>8172</v>
      </c>
      <c r="F244" s="32"/>
      <c r="G244" s="32"/>
      <c r="H244" s="33" t="n">
        <v>2</v>
      </c>
      <c r="I244" s="34" t="n">
        <f aca="false">E244*H244+N(F244)+N(G244)</f>
        <v>16344</v>
      </c>
      <c r="J244" s="32" t="n">
        <f aca="false">ROUND(IFERROR(ROUND(IF(OR(ISNUMBER(SEARCH("week",C244)),ISNUMBER(SEARCH("minggu",C244))),IFERROR(_xlfn.NUMBERVALUE(SUBSTITUTE(LEFT(TRIM(C244),FIND(" ",TRIM(C244)&amp;" ")-1),",","."),"."),LEFT(SUBSTITUTE(LEFT(TRIM(C244),FIND(" ",TRIM(C244)&amp;" ")-1),",","."),FIND("/",SUBSTITUTE(LEFT(TRIM(C244),FIND(" ",TRIM(C244)&amp;" ")-1),",","."))-1)/MID(SUBSTITUTE(LEFT(TRIM(C244),FIND(" ",TRIM(C244)&amp;" ")-1),",","."),FIND("/",SUBSTITUTE(LEFT(TRIM(C244),FIND(" ",TRIM(C244)&amp;" ")-1),",","."))+1,9))*12/52,IF(ISNUMBER(SEARCH("month",C244)),IFERROR(_xlfn.NUMBERVALUE(SUBSTITUTE(LEFT(TRIM(C244),FIND(" ",TRIM(C244)&amp;" ")-1),",","."),"."),LEFT(SUBSTITUTE(LEFT(TRIM(C244),FIND(" ",TRIM(C244)&amp;" ")-1),",","."),FIND("/",SUBSTITUTE(LEFT(TRIM(C244),FIND(" ",TRIM(C244)&amp;" ")-1),",","."))-1)/MID(SUBSTITUTE(LEFT(TRIM(C244),FIND(" ",TRIM(C244)&amp;" ")-1),",","."),FIND("/",SUBSTITUTE(LEFT(TRIM(C244),FIND(" ",TRIM(C244)&amp;" ")-1),",","."))+1,9)),IF(ISNUMBER(SEARCH("yea",C244)),IFERROR(_xlfn.NUMBERVALUE(SUBSTITUTE(LEFT(TRIM(C244),FIND(" ",TRIM(C244)&amp;" ")-1),",","."),"."),LEFT(SUBSTITUTE(LEFT(TRIM(C244),FIND(" ",TRIM(C244)&amp;" ")-1),",","."),FIND("/",SUBSTITUTE(LEFT(TRIM(C244),FIND(" ",TRIM(C244)&amp;" ")-1),",","."))-1)/MID(SUBSTITUTE(LEFT(TRIM(C244),FIND(" ",TRIM(C244)&amp;" ")-1),",","."),FIND("/",SUBSTITUTE(LEFT(TRIM(C244),FIND(" ",TRIM(C244)&amp;" ")-1),",","."))+1,9))*12,NA()))),0),24)*'Aturan &amp; Tarif'!$B$4,2)</f>
        <v>1362.72</v>
      </c>
      <c r="K244" s="32" t="n">
        <f aca="false">'Aturan &amp; Tarif'!$B$5</f>
        <v>2050</v>
      </c>
      <c r="L244" s="35" t="n">
        <f aca="false">I244+J244+K244</f>
        <v>19756.72</v>
      </c>
      <c r="M244" s="37" t="s">
        <v>318</v>
      </c>
    </row>
    <row r="245" customFormat="false" ht="14.25" hidden="false" customHeight="true" outlineLevel="0" collapsed="false">
      <c r="A245" s="29"/>
      <c r="B245" s="30" t="s">
        <v>285</v>
      </c>
      <c r="C245" s="31" t="s">
        <v>107</v>
      </c>
      <c r="D245" s="31" t="s">
        <v>108</v>
      </c>
      <c r="E245" s="32" t="n">
        <v>9288</v>
      </c>
      <c r="F245" s="32"/>
      <c r="G245" s="32"/>
      <c r="H245" s="33" t="n">
        <v>2</v>
      </c>
      <c r="I245" s="34" t="n">
        <f aca="false">E245*H245+N(F245)+N(G245)</f>
        <v>18576</v>
      </c>
      <c r="J245" s="32" t="n">
        <f aca="false">ROUND(IFERROR(ROUND(IF(OR(ISNUMBER(SEARCH("week",C245)),ISNUMBER(SEARCH("minggu",C245))),IFERROR(_xlfn.NUMBERVALUE(SUBSTITUTE(LEFT(TRIM(C245),FIND(" ",TRIM(C245)&amp;" ")-1),",","."),"."),LEFT(SUBSTITUTE(LEFT(TRIM(C245),FIND(" ",TRIM(C245)&amp;" ")-1),",","."),FIND("/",SUBSTITUTE(LEFT(TRIM(C245),FIND(" ",TRIM(C245)&amp;" ")-1),",","."))-1)/MID(SUBSTITUTE(LEFT(TRIM(C245),FIND(" ",TRIM(C245)&amp;" ")-1),",","."),FIND("/",SUBSTITUTE(LEFT(TRIM(C245),FIND(" ",TRIM(C245)&amp;" ")-1),",","."))+1,9))*12/52,IF(ISNUMBER(SEARCH("month",C245)),IFERROR(_xlfn.NUMBERVALUE(SUBSTITUTE(LEFT(TRIM(C245),FIND(" ",TRIM(C245)&amp;" ")-1),",","."),"."),LEFT(SUBSTITUTE(LEFT(TRIM(C245),FIND(" ",TRIM(C245)&amp;" ")-1),",","."),FIND("/",SUBSTITUTE(LEFT(TRIM(C245),FIND(" ",TRIM(C245)&amp;" ")-1),",","."))-1)/MID(SUBSTITUTE(LEFT(TRIM(C245),FIND(" ",TRIM(C245)&amp;" ")-1),",","."),FIND("/",SUBSTITUTE(LEFT(TRIM(C245),FIND(" ",TRIM(C245)&amp;" ")-1),",","."))+1,9)),IF(ISNUMBER(SEARCH("yea",C245)),IFERROR(_xlfn.NUMBERVALUE(SUBSTITUTE(LEFT(TRIM(C245),FIND(" ",TRIM(C245)&amp;" ")-1),",","."),"."),LEFT(SUBSTITUTE(LEFT(TRIM(C245),FIND(" ",TRIM(C245)&amp;" ")-1),",","."),FIND("/",SUBSTITUTE(LEFT(TRIM(C245),FIND(" ",TRIM(C245)&amp;" ")-1),",","."))-1)/MID(SUBSTITUTE(LEFT(TRIM(C245),FIND(" ",TRIM(C245)&amp;" ")-1),",","."),FIND("/",SUBSTITUTE(LEFT(TRIM(C245),FIND(" ",TRIM(C245)&amp;" ")-1),",","."))+1,9))*12,NA()))),0),24)*'Aturan &amp; Tarif'!$B$4,2)</f>
        <v>1362.72</v>
      </c>
      <c r="K245" s="32" t="n">
        <f aca="false">'Aturan &amp; Tarif'!$B$5</f>
        <v>2050</v>
      </c>
      <c r="L245" s="35" t="n">
        <f aca="false">I245+J245+K245</f>
        <v>21988.72</v>
      </c>
      <c r="M245" s="37" t="s">
        <v>318</v>
      </c>
    </row>
    <row r="246" customFormat="false" ht="14.25" hidden="false" customHeight="true" outlineLevel="0" collapsed="false">
      <c r="A246" s="29"/>
      <c r="B246" s="30" t="s">
        <v>287</v>
      </c>
      <c r="C246" s="31" t="s">
        <v>107</v>
      </c>
      <c r="D246" s="31" t="s">
        <v>108</v>
      </c>
      <c r="E246" s="32" t="n">
        <v>9288</v>
      </c>
      <c r="F246" s="32"/>
      <c r="G246" s="32"/>
      <c r="H246" s="33" t="n">
        <v>2</v>
      </c>
      <c r="I246" s="34" t="n">
        <f aca="false">E246*H246+N(F246)+N(G246)</f>
        <v>18576</v>
      </c>
      <c r="J246" s="32" t="n">
        <f aca="false">ROUND(IFERROR(ROUND(IF(OR(ISNUMBER(SEARCH("week",C246)),ISNUMBER(SEARCH("minggu",C246))),IFERROR(_xlfn.NUMBERVALUE(SUBSTITUTE(LEFT(TRIM(C246),FIND(" ",TRIM(C246)&amp;" ")-1),",","."),"."),LEFT(SUBSTITUTE(LEFT(TRIM(C246),FIND(" ",TRIM(C246)&amp;" ")-1),",","."),FIND("/",SUBSTITUTE(LEFT(TRIM(C246),FIND(" ",TRIM(C246)&amp;" ")-1),",","."))-1)/MID(SUBSTITUTE(LEFT(TRIM(C246),FIND(" ",TRIM(C246)&amp;" ")-1),",","."),FIND("/",SUBSTITUTE(LEFT(TRIM(C246),FIND(" ",TRIM(C246)&amp;" ")-1),",","."))+1,9))*12/52,IF(ISNUMBER(SEARCH("month",C246)),IFERROR(_xlfn.NUMBERVALUE(SUBSTITUTE(LEFT(TRIM(C246),FIND(" ",TRIM(C246)&amp;" ")-1),",","."),"."),LEFT(SUBSTITUTE(LEFT(TRIM(C246),FIND(" ",TRIM(C246)&amp;" ")-1),",","."),FIND("/",SUBSTITUTE(LEFT(TRIM(C246),FIND(" ",TRIM(C246)&amp;" ")-1),",","."))-1)/MID(SUBSTITUTE(LEFT(TRIM(C246),FIND(" ",TRIM(C246)&amp;" ")-1),",","."),FIND("/",SUBSTITUTE(LEFT(TRIM(C246),FIND(" ",TRIM(C246)&amp;" ")-1),",","."))+1,9)),IF(ISNUMBER(SEARCH("yea",C246)),IFERROR(_xlfn.NUMBERVALUE(SUBSTITUTE(LEFT(TRIM(C246),FIND(" ",TRIM(C246)&amp;" ")-1),",","."),"."),LEFT(SUBSTITUTE(LEFT(TRIM(C246),FIND(" ",TRIM(C246)&amp;" ")-1),",","."),FIND("/",SUBSTITUTE(LEFT(TRIM(C246),FIND(" ",TRIM(C246)&amp;" ")-1),",","."))-1)/MID(SUBSTITUTE(LEFT(TRIM(C246),FIND(" ",TRIM(C246)&amp;" ")-1),",","."),FIND("/",SUBSTITUTE(LEFT(TRIM(C246),FIND(" ",TRIM(C246)&amp;" ")-1),",","."))+1,9))*12,NA()))),0),24)*'Aturan &amp; Tarif'!$B$4,2)</f>
        <v>1362.72</v>
      </c>
      <c r="K246" s="32" t="n">
        <f aca="false">'Aturan &amp; Tarif'!$B$5</f>
        <v>2050</v>
      </c>
      <c r="L246" s="35" t="n">
        <f aca="false">I246+J246+K246</f>
        <v>21988.72</v>
      </c>
      <c r="M246" s="37" t="s">
        <v>318</v>
      </c>
    </row>
    <row r="247" customFormat="false" ht="25.5" hidden="false" customHeight="true" outlineLevel="0" collapsed="false">
      <c r="A247" s="29"/>
      <c r="B247" s="30" t="s">
        <v>401</v>
      </c>
      <c r="C247" s="31" t="s">
        <v>107</v>
      </c>
      <c r="D247" s="31" t="s">
        <v>108</v>
      </c>
      <c r="E247" s="32" t="n">
        <v>9288</v>
      </c>
      <c r="F247" s="32"/>
      <c r="G247" s="32"/>
      <c r="H247" s="33" t="n">
        <v>2</v>
      </c>
      <c r="I247" s="34" t="n">
        <f aca="false">E247*H247+N(F247)+N(G247)</f>
        <v>18576</v>
      </c>
      <c r="J247" s="32" t="n">
        <f aca="false">ROUND(IFERROR(ROUND(IF(OR(ISNUMBER(SEARCH("week",C247)),ISNUMBER(SEARCH("minggu",C247))),IFERROR(_xlfn.NUMBERVALUE(SUBSTITUTE(LEFT(TRIM(C247),FIND(" ",TRIM(C247)&amp;" ")-1),",","."),"."),LEFT(SUBSTITUTE(LEFT(TRIM(C247),FIND(" ",TRIM(C247)&amp;" ")-1),",","."),FIND("/",SUBSTITUTE(LEFT(TRIM(C247),FIND(" ",TRIM(C247)&amp;" ")-1),",","."))-1)/MID(SUBSTITUTE(LEFT(TRIM(C247),FIND(" ",TRIM(C247)&amp;" ")-1),",","."),FIND("/",SUBSTITUTE(LEFT(TRIM(C247),FIND(" ",TRIM(C247)&amp;" ")-1),",","."))+1,9))*12/52,IF(ISNUMBER(SEARCH("month",C247)),IFERROR(_xlfn.NUMBERVALUE(SUBSTITUTE(LEFT(TRIM(C247),FIND(" ",TRIM(C247)&amp;" ")-1),",","."),"."),LEFT(SUBSTITUTE(LEFT(TRIM(C247),FIND(" ",TRIM(C247)&amp;" ")-1),",","."),FIND("/",SUBSTITUTE(LEFT(TRIM(C247),FIND(" ",TRIM(C247)&amp;" ")-1),",","."))-1)/MID(SUBSTITUTE(LEFT(TRIM(C247),FIND(" ",TRIM(C247)&amp;" ")-1),",","."),FIND("/",SUBSTITUTE(LEFT(TRIM(C247),FIND(" ",TRIM(C247)&amp;" ")-1),",","."))+1,9)),IF(ISNUMBER(SEARCH("yea",C247)),IFERROR(_xlfn.NUMBERVALUE(SUBSTITUTE(LEFT(TRIM(C247),FIND(" ",TRIM(C247)&amp;" ")-1),",","."),"."),LEFT(SUBSTITUTE(LEFT(TRIM(C247),FIND(" ",TRIM(C247)&amp;" ")-1),",","."),FIND("/",SUBSTITUTE(LEFT(TRIM(C247),FIND(" ",TRIM(C247)&amp;" ")-1),",","."))-1)/MID(SUBSTITUTE(LEFT(TRIM(C247),FIND(" ",TRIM(C247)&amp;" ")-1),",","."),FIND("/",SUBSTITUTE(LEFT(TRIM(C247),FIND(" ",TRIM(C247)&amp;" ")-1),",","."))+1,9))*12,NA()))),0),24)*'Aturan &amp; Tarif'!$B$4,2)</f>
        <v>1362.72</v>
      </c>
      <c r="K247" s="32" t="n">
        <f aca="false">'Aturan &amp; Tarif'!$B$5</f>
        <v>2050</v>
      </c>
      <c r="L247" s="35" t="n">
        <f aca="false">I247+J247+K247</f>
        <v>21988.72</v>
      </c>
      <c r="M247" s="37" t="s">
        <v>318</v>
      </c>
    </row>
    <row r="248" customFormat="false" ht="14.25" hidden="false" customHeight="true" outlineLevel="0" collapsed="false">
      <c r="A248" s="29"/>
      <c r="B248" s="30" t="s">
        <v>283</v>
      </c>
      <c r="C248" s="31" t="s">
        <v>107</v>
      </c>
      <c r="D248" s="31" t="s">
        <v>108</v>
      </c>
      <c r="E248" s="32" t="n">
        <v>8018</v>
      </c>
      <c r="F248" s="32"/>
      <c r="G248" s="32"/>
      <c r="H248" s="33" t="n">
        <v>2</v>
      </c>
      <c r="I248" s="34" t="n">
        <f aca="false">E248*H248+N(F248)+N(G248)</f>
        <v>16036</v>
      </c>
      <c r="J248" s="32" t="n">
        <f aca="false">ROUND(IFERROR(ROUND(IF(OR(ISNUMBER(SEARCH("week",C248)),ISNUMBER(SEARCH("minggu",C248))),IFERROR(_xlfn.NUMBERVALUE(SUBSTITUTE(LEFT(TRIM(C248),FIND(" ",TRIM(C248)&amp;" ")-1),",","."),"."),LEFT(SUBSTITUTE(LEFT(TRIM(C248),FIND(" ",TRIM(C248)&amp;" ")-1),",","."),FIND("/",SUBSTITUTE(LEFT(TRIM(C248),FIND(" ",TRIM(C248)&amp;" ")-1),",","."))-1)/MID(SUBSTITUTE(LEFT(TRIM(C248),FIND(" ",TRIM(C248)&amp;" ")-1),",","."),FIND("/",SUBSTITUTE(LEFT(TRIM(C248),FIND(" ",TRIM(C248)&amp;" ")-1),",","."))+1,9))*12/52,IF(ISNUMBER(SEARCH("month",C248)),IFERROR(_xlfn.NUMBERVALUE(SUBSTITUTE(LEFT(TRIM(C248),FIND(" ",TRIM(C248)&amp;" ")-1),",","."),"."),LEFT(SUBSTITUTE(LEFT(TRIM(C248),FIND(" ",TRIM(C248)&amp;" ")-1),",","."),FIND("/",SUBSTITUTE(LEFT(TRIM(C248),FIND(" ",TRIM(C248)&amp;" ")-1),",","."))-1)/MID(SUBSTITUTE(LEFT(TRIM(C248),FIND(" ",TRIM(C248)&amp;" ")-1),",","."),FIND("/",SUBSTITUTE(LEFT(TRIM(C248),FIND(" ",TRIM(C248)&amp;" ")-1),",","."))+1,9)),IF(ISNUMBER(SEARCH("yea",C248)),IFERROR(_xlfn.NUMBERVALUE(SUBSTITUTE(LEFT(TRIM(C248),FIND(" ",TRIM(C248)&amp;" ")-1),",","."),"."),LEFT(SUBSTITUTE(LEFT(TRIM(C248),FIND(" ",TRIM(C248)&amp;" ")-1),",","."),FIND("/",SUBSTITUTE(LEFT(TRIM(C248),FIND(" ",TRIM(C248)&amp;" ")-1),",","."))-1)/MID(SUBSTITUTE(LEFT(TRIM(C248),FIND(" ",TRIM(C248)&amp;" ")-1),",","."),FIND("/",SUBSTITUTE(LEFT(TRIM(C248),FIND(" ",TRIM(C248)&amp;" ")-1),",","."))+1,9))*12,NA()))),0),24)*'Aturan &amp; Tarif'!$B$4,2)</f>
        <v>1362.72</v>
      </c>
      <c r="K248" s="32" t="n">
        <f aca="false">'Aturan &amp; Tarif'!$B$5</f>
        <v>2050</v>
      </c>
      <c r="L248" s="35" t="n">
        <f aca="false">I248+J248+K248</f>
        <v>19448.72</v>
      </c>
      <c r="M248" s="37" t="s">
        <v>318</v>
      </c>
    </row>
    <row r="249" customFormat="false" ht="14.25" hidden="false" customHeight="true" outlineLevel="0" collapsed="false">
      <c r="A249" s="29"/>
      <c r="B249" s="30" t="s">
        <v>402</v>
      </c>
      <c r="C249" s="31" t="s">
        <v>107</v>
      </c>
      <c r="D249" s="31" t="s">
        <v>108</v>
      </c>
      <c r="E249" s="32" t="n">
        <v>8018</v>
      </c>
      <c r="F249" s="32"/>
      <c r="G249" s="32"/>
      <c r="H249" s="33" t="n">
        <v>2</v>
      </c>
      <c r="I249" s="34" t="n">
        <f aca="false">E249*H249+N(F249)+N(G249)</f>
        <v>16036</v>
      </c>
      <c r="J249" s="32" t="n">
        <f aca="false">ROUND(IFERROR(ROUND(IF(OR(ISNUMBER(SEARCH("week",C249)),ISNUMBER(SEARCH("minggu",C249))),IFERROR(_xlfn.NUMBERVALUE(SUBSTITUTE(LEFT(TRIM(C249),FIND(" ",TRIM(C249)&amp;" ")-1),",","."),"."),LEFT(SUBSTITUTE(LEFT(TRIM(C249),FIND(" ",TRIM(C249)&amp;" ")-1),",","."),FIND("/",SUBSTITUTE(LEFT(TRIM(C249),FIND(" ",TRIM(C249)&amp;" ")-1),",","."))-1)/MID(SUBSTITUTE(LEFT(TRIM(C249),FIND(" ",TRIM(C249)&amp;" ")-1),",","."),FIND("/",SUBSTITUTE(LEFT(TRIM(C249),FIND(" ",TRIM(C249)&amp;" ")-1),",","."))+1,9))*12/52,IF(ISNUMBER(SEARCH("month",C249)),IFERROR(_xlfn.NUMBERVALUE(SUBSTITUTE(LEFT(TRIM(C249),FIND(" ",TRIM(C249)&amp;" ")-1),",","."),"."),LEFT(SUBSTITUTE(LEFT(TRIM(C249),FIND(" ",TRIM(C249)&amp;" ")-1),",","."),FIND("/",SUBSTITUTE(LEFT(TRIM(C249),FIND(" ",TRIM(C249)&amp;" ")-1),",","."))-1)/MID(SUBSTITUTE(LEFT(TRIM(C249),FIND(" ",TRIM(C249)&amp;" ")-1),",","."),FIND("/",SUBSTITUTE(LEFT(TRIM(C249),FIND(" ",TRIM(C249)&amp;" ")-1),",","."))+1,9)),IF(ISNUMBER(SEARCH("yea",C249)),IFERROR(_xlfn.NUMBERVALUE(SUBSTITUTE(LEFT(TRIM(C249),FIND(" ",TRIM(C249)&amp;" ")-1),",","."),"."),LEFT(SUBSTITUTE(LEFT(TRIM(C249),FIND(" ",TRIM(C249)&amp;" ")-1),",","."),FIND("/",SUBSTITUTE(LEFT(TRIM(C249),FIND(" ",TRIM(C249)&amp;" ")-1),",","."))-1)/MID(SUBSTITUTE(LEFT(TRIM(C249),FIND(" ",TRIM(C249)&amp;" ")-1),",","."),FIND("/",SUBSTITUTE(LEFT(TRIM(C249),FIND(" ",TRIM(C249)&amp;" ")-1),",","."))+1,9))*12,NA()))),0),24)*'Aturan &amp; Tarif'!$B$4,2)</f>
        <v>1362.72</v>
      </c>
      <c r="K249" s="32" t="n">
        <f aca="false">'Aturan &amp; Tarif'!$B$5</f>
        <v>2050</v>
      </c>
      <c r="L249" s="35" t="n">
        <f aca="false">I249+J249+K249</f>
        <v>19448.72</v>
      </c>
      <c r="M249" s="37" t="s">
        <v>318</v>
      </c>
    </row>
    <row r="250" customFormat="false" ht="14.25" hidden="false" customHeight="true" outlineLevel="0" collapsed="false">
      <c r="A250" s="29"/>
      <c r="B250" s="30" t="s">
        <v>289</v>
      </c>
      <c r="C250" s="31" t="s">
        <v>107</v>
      </c>
      <c r="D250" s="31" t="s">
        <v>108</v>
      </c>
      <c r="E250" s="32" t="n">
        <v>8018</v>
      </c>
      <c r="F250" s="32"/>
      <c r="G250" s="32"/>
      <c r="H250" s="33" t="n">
        <v>2</v>
      </c>
      <c r="I250" s="34" t="n">
        <f aca="false">E250*H250+N(F250)+N(G250)</f>
        <v>16036</v>
      </c>
      <c r="J250" s="32" t="n">
        <f aca="false">ROUND(IFERROR(ROUND(IF(OR(ISNUMBER(SEARCH("week",C250)),ISNUMBER(SEARCH("minggu",C250))),IFERROR(_xlfn.NUMBERVALUE(SUBSTITUTE(LEFT(TRIM(C250),FIND(" ",TRIM(C250)&amp;" ")-1),",","."),"."),LEFT(SUBSTITUTE(LEFT(TRIM(C250),FIND(" ",TRIM(C250)&amp;" ")-1),",","."),FIND("/",SUBSTITUTE(LEFT(TRIM(C250),FIND(" ",TRIM(C250)&amp;" ")-1),",","."))-1)/MID(SUBSTITUTE(LEFT(TRIM(C250),FIND(" ",TRIM(C250)&amp;" ")-1),",","."),FIND("/",SUBSTITUTE(LEFT(TRIM(C250),FIND(" ",TRIM(C250)&amp;" ")-1),",","."))+1,9))*12/52,IF(ISNUMBER(SEARCH("month",C250)),IFERROR(_xlfn.NUMBERVALUE(SUBSTITUTE(LEFT(TRIM(C250),FIND(" ",TRIM(C250)&amp;" ")-1),",","."),"."),LEFT(SUBSTITUTE(LEFT(TRIM(C250),FIND(" ",TRIM(C250)&amp;" ")-1),",","."),FIND("/",SUBSTITUTE(LEFT(TRIM(C250),FIND(" ",TRIM(C250)&amp;" ")-1),",","."))-1)/MID(SUBSTITUTE(LEFT(TRIM(C250),FIND(" ",TRIM(C250)&amp;" ")-1),",","."),FIND("/",SUBSTITUTE(LEFT(TRIM(C250),FIND(" ",TRIM(C250)&amp;" ")-1),",","."))+1,9)),IF(ISNUMBER(SEARCH("yea",C250)),IFERROR(_xlfn.NUMBERVALUE(SUBSTITUTE(LEFT(TRIM(C250),FIND(" ",TRIM(C250)&amp;" ")-1),",","."),"."),LEFT(SUBSTITUTE(LEFT(TRIM(C250),FIND(" ",TRIM(C250)&amp;" ")-1),",","."),FIND("/",SUBSTITUTE(LEFT(TRIM(C250),FIND(" ",TRIM(C250)&amp;" ")-1),",","."))-1)/MID(SUBSTITUTE(LEFT(TRIM(C250),FIND(" ",TRIM(C250)&amp;" ")-1),",","."),FIND("/",SUBSTITUTE(LEFT(TRIM(C250),FIND(" ",TRIM(C250)&amp;" ")-1),",","."))+1,9))*12,NA()))),0),24)*'Aturan &amp; Tarif'!$B$4,2)</f>
        <v>1362.72</v>
      </c>
      <c r="K250" s="32" t="n">
        <f aca="false">'Aturan &amp; Tarif'!$B$5</f>
        <v>2050</v>
      </c>
      <c r="L250" s="35" t="n">
        <f aca="false">I250+J250+K250</f>
        <v>19448.72</v>
      </c>
      <c r="M250" s="37" t="s">
        <v>318</v>
      </c>
    </row>
    <row r="251" customFormat="false" ht="14.25" hidden="false" customHeight="true" outlineLevel="0" collapsed="false">
      <c r="A251" s="29"/>
      <c r="B251" s="30" t="s">
        <v>403</v>
      </c>
      <c r="C251" s="31" t="s">
        <v>127</v>
      </c>
      <c r="D251" s="31" t="s">
        <v>108</v>
      </c>
      <c r="E251" s="32" t="n">
        <v>7162</v>
      </c>
      <c r="F251" s="32"/>
      <c r="G251" s="32"/>
      <c r="H251" s="33" t="n">
        <v>2</v>
      </c>
      <c r="I251" s="34" t="n">
        <f aca="false">E251*H251+N(F251)+N(G251)</f>
        <v>14324</v>
      </c>
      <c r="J251" s="32" t="n">
        <f aca="false">ROUND(IFERROR(ROUND(IF(OR(ISNUMBER(SEARCH("week",C251)),ISNUMBER(SEARCH("minggu",C251))),IFERROR(_xlfn.NUMBERVALUE(SUBSTITUTE(LEFT(TRIM(C251),FIND(" ",TRIM(C251)&amp;" ")-1),",","."),"."),LEFT(SUBSTITUTE(LEFT(TRIM(C251),FIND(" ",TRIM(C251)&amp;" ")-1),",","."),FIND("/",SUBSTITUTE(LEFT(TRIM(C251),FIND(" ",TRIM(C251)&amp;" ")-1),",","."))-1)/MID(SUBSTITUTE(LEFT(TRIM(C251),FIND(" ",TRIM(C251)&amp;" ")-1),",","."),FIND("/",SUBSTITUTE(LEFT(TRIM(C251),FIND(" ",TRIM(C251)&amp;" ")-1),",","."))+1,9))*12/52,IF(ISNUMBER(SEARCH("month",C251)),IFERROR(_xlfn.NUMBERVALUE(SUBSTITUTE(LEFT(TRIM(C251),FIND(" ",TRIM(C251)&amp;" ")-1),",","."),"."),LEFT(SUBSTITUTE(LEFT(TRIM(C251),FIND(" ",TRIM(C251)&amp;" ")-1),",","."),FIND("/",SUBSTITUTE(LEFT(TRIM(C251),FIND(" ",TRIM(C251)&amp;" ")-1),",","."))-1)/MID(SUBSTITUTE(LEFT(TRIM(C251),FIND(" ",TRIM(C251)&amp;" ")-1),",","."),FIND("/",SUBSTITUTE(LEFT(TRIM(C251),FIND(" ",TRIM(C251)&amp;" ")-1),",","."))+1,9)),IF(ISNUMBER(SEARCH("yea",C251)),IFERROR(_xlfn.NUMBERVALUE(SUBSTITUTE(LEFT(TRIM(C251),FIND(" ",TRIM(C251)&amp;" ")-1),",","."),"."),LEFT(SUBSTITUTE(LEFT(TRIM(C251),FIND(" ",TRIM(C251)&amp;" ")-1),",","."),FIND("/",SUBSTITUTE(LEFT(TRIM(C251),FIND(" ",TRIM(C251)&amp;" ")-1),",","."))-1)/MID(SUBSTITUTE(LEFT(TRIM(C251),FIND(" ",TRIM(C251)&amp;" ")-1),",","."),FIND("/",SUBSTITUTE(LEFT(TRIM(C251),FIND(" ",TRIM(C251)&amp;" ")-1),",","."))+1,9))*12,NA()))),0),36)*'Aturan &amp; Tarif'!$B$4,2)</f>
        <v>2044.08</v>
      </c>
      <c r="K251" s="32" t="n">
        <f aca="false">'Aturan &amp; Tarif'!$B$5</f>
        <v>2050</v>
      </c>
      <c r="L251" s="35" t="n">
        <f aca="false">I251+J251+K251</f>
        <v>18418.08</v>
      </c>
      <c r="M251" s="37" t="s">
        <v>318</v>
      </c>
    </row>
    <row r="252" customFormat="false" ht="14.25" hidden="false" customHeight="true" outlineLevel="0" collapsed="false">
      <c r="A252" s="29"/>
      <c r="B252" s="30" t="s">
        <v>404</v>
      </c>
      <c r="C252" s="31" t="s">
        <v>191</v>
      </c>
      <c r="D252" s="31" t="s">
        <v>108</v>
      </c>
      <c r="E252" s="32" t="n">
        <v>7162</v>
      </c>
      <c r="F252" s="32"/>
      <c r="G252" s="32"/>
      <c r="H252" s="33" t="n">
        <v>2</v>
      </c>
      <c r="I252" s="34" t="n">
        <f aca="false">E252*H252+N(F252)+N(G252)</f>
        <v>14324</v>
      </c>
      <c r="J252" s="32" t="n">
        <f aca="false">ROUND(IFERROR(ROUND(IF(OR(ISNUMBER(SEARCH("week",C252)),ISNUMBER(SEARCH("minggu",C252))),IFERROR(_xlfn.NUMBERVALUE(SUBSTITUTE(LEFT(TRIM(C252),FIND(" ",TRIM(C252)&amp;" ")-1),",","."),"."),LEFT(SUBSTITUTE(LEFT(TRIM(C252),FIND(" ",TRIM(C252)&amp;" ")-1),",","."),FIND("/",SUBSTITUTE(LEFT(TRIM(C252),FIND(" ",TRIM(C252)&amp;" ")-1),",","."))-1)/MID(SUBSTITUTE(LEFT(TRIM(C252),FIND(" ",TRIM(C252)&amp;" ")-1),",","."),FIND("/",SUBSTITUTE(LEFT(TRIM(C252),FIND(" ",TRIM(C252)&amp;" ")-1),",","."))+1,9))*12/52,IF(ISNUMBER(SEARCH("month",C252)),IFERROR(_xlfn.NUMBERVALUE(SUBSTITUTE(LEFT(TRIM(C252),FIND(" ",TRIM(C252)&amp;" ")-1),",","."),"."),LEFT(SUBSTITUTE(LEFT(TRIM(C252),FIND(" ",TRIM(C252)&amp;" ")-1),",","."),FIND("/",SUBSTITUTE(LEFT(TRIM(C252),FIND(" ",TRIM(C252)&amp;" ")-1),",","."))-1)/MID(SUBSTITUTE(LEFT(TRIM(C252),FIND(" ",TRIM(C252)&amp;" ")-1),",","."),FIND("/",SUBSTITUTE(LEFT(TRIM(C252),FIND(" ",TRIM(C252)&amp;" ")-1),",","."))+1,9)),IF(ISNUMBER(SEARCH("yea",C252)),IFERROR(_xlfn.NUMBERVALUE(SUBSTITUTE(LEFT(TRIM(C252),FIND(" ",TRIM(C252)&amp;" ")-1),",","."),"."),LEFT(SUBSTITUTE(LEFT(TRIM(C252),FIND(" ",TRIM(C252)&amp;" ")-1),",","."),FIND("/",SUBSTITUTE(LEFT(TRIM(C252),FIND(" ",TRIM(C252)&amp;" ")-1),",","."))-1)/MID(SUBSTITUTE(LEFT(TRIM(C252),FIND(" ",TRIM(C252)&amp;" ")-1),",","."),FIND("/",SUBSTITUTE(LEFT(TRIM(C252),FIND(" ",TRIM(C252)&amp;" ")-1),",","."))+1,9))*12,NA()))),0),48)*'Aturan &amp; Tarif'!$B$4,2)</f>
        <v>2725.44</v>
      </c>
      <c r="K252" s="32" t="n">
        <f aca="false">'Aturan &amp; Tarif'!$B$5</f>
        <v>2050</v>
      </c>
      <c r="L252" s="35" t="n">
        <f aca="false">I252+J252+K252</f>
        <v>19099.44</v>
      </c>
      <c r="M252" s="37" t="s">
        <v>318</v>
      </c>
    </row>
    <row r="253" customFormat="false" ht="14.25" hidden="false" customHeight="true" outlineLevel="0" collapsed="false">
      <c r="A253" s="29"/>
      <c r="B253" s="30" t="s">
        <v>405</v>
      </c>
      <c r="C253" s="31" t="s">
        <v>127</v>
      </c>
      <c r="D253" s="31" t="s">
        <v>108</v>
      </c>
      <c r="E253" s="32" t="n">
        <v>8682</v>
      </c>
      <c r="F253" s="32"/>
      <c r="G253" s="32"/>
      <c r="H253" s="33" t="n">
        <v>2</v>
      </c>
      <c r="I253" s="34" t="n">
        <f aca="false">E253*H253+N(F253)+N(G253)</f>
        <v>17364</v>
      </c>
      <c r="J253" s="32" t="n">
        <f aca="false">ROUND(IFERROR(ROUND(IF(OR(ISNUMBER(SEARCH("week",C253)),ISNUMBER(SEARCH("minggu",C253))),IFERROR(_xlfn.NUMBERVALUE(SUBSTITUTE(LEFT(TRIM(C253),FIND(" ",TRIM(C253)&amp;" ")-1),",","."),"."),LEFT(SUBSTITUTE(LEFT(TRIM(C253),FIND(" ",TRIM(C253)&amp;" ")-1),",","."),FIND("/",SUBSTITUTE(LEFT(TRIM(C253),FIND(" ",TRIM(C253)&amp;" ")-1),",","."))-1)/MID(SUBSTITUTE(LEFT(TRIM(C253),FIND(" ",TRIM(C253)&amp;" ")-1),",","."),FIND("/",SUBSTITUTE(LEFT(TRIM(C253),FIND(" ",TRIM(C253)&amp;" ")-1),",","."))+1,9))*12/52,IF(ISNUMBER(SEARCH("month",C253)),IFERROR(_xlfn.NUMBERVALUE(SUBSTITUTE(LEFT(TRIM(C253),FIND(" ",TRIM(C253)&amp;" ")-1),",","."),"."),LEFT(SUBSTITUTE(LEFT(TRIM(C253),FIND(" ",TRIM(C253)&amp;" ")-1),",","."),FIND("/",SUBSTITUTE(LEFT(TRIM(C253),FIND(" ",TRIM(C253)&amp;" ")-1),",","."))-1)/MID(SUBSTITUTE(LEFT(TRIM(C253),FIND(" ",TRIM(C253)&amp;" ")-1),",","."),FIND("/",SUBSTITUTE(LEFT(TRIM(C253),FIND(" ",TRIM(C253)&amp;" ")-1),",","."))+1,9)),IF(ISNUMBER(SEARCH("yea",C253)),IFERROR(_xlfn.NUMBERVALUE(SUBSTITUTE(LEFT(TRIM(C253),FIND(" ",TRIM(C253)&amp;" ")-1),",","."),"."),LEFT(SUBSTITUTE(LEFT(TRIM(C253),FIND(" ",TRIM(C253)&amp;" ")-1),",","."),FIND("/",SUBSTITUTE(LEFT(TRIM(C253),FIND(" ",TRIM(C253)&amp;" ")-1),",","."))-1)/MID(SUBSTITUTE(LEFT(TRIM(C253),FIND(" ",TRIM(C253)&amp;" ")-1),",","."),FIND("/",SUBSTITUTE(LEFT(TRIM(C253),FIND(" ",TRIM(C253)&amp;" ")-1),",","."))+1,9))*12,NA()))),0),36)*'Aturan &amp; Tarif'!$B$4,2)</f>
        <v>2044.08</v>
      </c>
      <c r="K253" s="32" t="n">
        <f aca="false">'Aturan &amp; Tarif'!$B$5</f>
        <v>2050</v>
      </c>
      <c r="L253" s="35" t="n">
        <f aca="false">I253+J253+K253</f>
        <v>21458.08</v>
      </c>
      <c r="M253" s="37" t="s">
        <v>318</v>
      </c>
    </row>
    <row r="254" customFormat="false" ht="14.25" hidden="false" customHeight="true" outlineLevel="0" collapsed="false">
      <c r="A254" s="29"/>
      <c r="B254" s="30" t="s">
        <v>406</v>
      </c>
      <c r="C254" s="31" t="s">
        <v>191</v>
      </c>
      <c r="D254" s="31" t="s">
        <v>108</v>
      </c>
      <c r="E254" s="32" t="n">
        <v>8682</v>
      </c>
      <c r="F254" s="32"/>
      <c r="G254" s="32"/>
      <c r="H254" s="33" t="n">
        <v>2</v>
      </c>
      <c r="I254" s="34" t="n">
        <f aca="false">E254*H254+N(F254)+N(G254)</f>
        <v>17364</v>
      </c>
      <c r="J254" s="32" t="n">
        <f aca="false">ROUND(IFERROR(ROUND(IF(OR(ISNUMBER(SEARCH("week",C254)),ISNUMBER(SEARCH("minggu",C254))),IFERROR(_xlfn.NUMBERVALUE(SUBSTITUTE(LEFT(TRIM(C254),FIND(" ",TRIM(C254)&amp;" ")-1),",","."),"."),LEFT(SUBSTITUTE(LEFT(TRIM(C254),FIND(" ",TRIM(C254)&amp;" ")-1),",","."),FIND("/",SUBSTITUTE(LEFT(TRIM(C254),FIND(" ",TRIM(C254)&amp;" ")-1),",","."))-1)/MID(SUBSTITUTE(LEFT(TRIM(C254),FIND(" ",TRIM(C254)&amp;" ")-1),",","."),FIND("/",SUBSTITUTE(LEFT(TRIM(C254),FIND(" ",TRIM(C254)&amp;" ")-1),",","."))+1,9))*12/52,IF(ISNUMBER(SEARCH("month",C254)),IFERROR(_xlfn.NUMBERVALUE(SUBSTITUTE(LEFT(TRIM(C254),FIND(" ",TRIM(C254)&amp;" ")-1),",","."),"."),LEFT(SUBSTITUTE(LEFT(TRIM(C254),FIND(" ",TRIM(C254)&amp;" ")-1),",","."),FIND("/",SUBSTITUTE(LEFT(TRIM(C254),FIND(" ",TRIM(C254)&amp;" ")-1),",","."))-1)/MID(SUBSTITUTE(LEFT(TRIM(C254),FIND(" ",TRIM(C254)&amp;" ")-1),",","."),FIND("/",SUBSTITUTE(LEFT(TRIM(C254),FIND(" ",TRIM(C254)&amp;" ")-1),",","."))+1,9)),IF(ISNUMBER(SEARCH("yea",C254)),IFERROR(_xlfn.NUMBERVALUE(SUBSTITUTE(LEFT(TRIM(C254),FIND(" ",TRIM(C254)&amp;" ")-1),",","."),"."),LEFT(SUBSTITUTE(LEFT(TRIM(C254),FIND(" ",TRIM(C254)&amp;" ")-1),",","."),FIND("/",SUBSTITUTE(LEFT(TRIM(C254),FIND(" ",TRIM(C254)&amp;" ")-1),",","."))-1)/MID(SUBSTITUTE(LEFT(TRIM(C254),FIND(" ",TRIM(C254)&amp;" ")-1),",","."),FIND("/",SUBSTITUTE(LEFT(TRIM(C254),FIND(" ",TRIM(C254)&amp;" ")-1),",","."))+1,9))*12,NA()))),0),48)*'Aturan &amp; Tarif'!$B$4,2)</f>
        <v>2725.44</v>
      </c>
      <c r="K254" s="32" t="n">
        <f aca="false">'Aturan &amp; Tarif'!$B$5</f>
        <v>2050</v>
      </c>
      <c r="L254" s="35" t="n">
        <f aca="false">I254+J254+K254</f>
        <v>22139.44</v>
      </c>
      <c r="M254" s="37" t="s">
        <v>318</v>
      </c>
    </row>
    <row r="255" customFormat="false" ht="25.5" hidden="false" customHeight="true" outlineLevel="0" collapsed="false">
      <c r="A255" s="29"/>
      <c r="B255" s="30" t="s">
        <v>407</v>
      </c>
      <c r="C255" s="31" t="s">
        <v>107</v>
      </c>
      <c r="D255" s="31" t="s">
        <v>108</v>
      </c>
      <c r="E255" s="32" t="n">
        <v>8682</v>
      </c>
      <c r="F255" s="32"/>
      <c r="G255" s="32"/>
      <c r="H255" s="33" t="n">
        <v>2</v>
      </c>
      <c r="I255" s="34" t="n">
        <f aca="false">E255*H255+N(F255)+N(G255)</f>
        <v>17364</v>
      </c>
      <c r="J255" s="32" t="n">
        <f aca="false">ROUND(IFERROR(ROUND(IF(OR(ISNUMBER(SEARCH("week",C255)),ISNUMBER(SEARCH("minggu",C255))),IFERROR(_xlfn.NUMBERVALUE(SUBSTITUTE(LEFT(TRIM(C255),FIND(" ",TRIM(C255)&amp;" ")-1),",","."),"."),LEFT(SUBSTITUTE(LEFT(TRIM(C255),FIND(" ",TRIM(C255)&amp;" ")-1),",","."),FIND("/",SUBSTITUTE(LEFT(TRIM(C255),FIND(" ",TRIM(C255)&amp;" ")-1),",","."))-1)/MID(SUBSTITUTE(LEFT(TRIM(C255),FIND(" ",TRIM(C255)&amp;" ")-1),",","."),FIND("/",SUBSTITUTE(LEFT(TRIM(C255),FIND(" ",TRIM(C255)&amp;" ")-1),",","."))+1,9))*12/52,IF(ISNUMBER(SEARCH("month",C255)),IFERROR(_xlfn.NUMBERVALUE(SUBSTITUTE(LEFT(TRIM(C255),FIND(" ",TRIM(C255)&amp;" ")-1),",","."),"."),LEFT(SUBSTITUTE(LEFT(TRIM(C255),FIND(" ",TRIM(C255)&amp;" ")-1),",","."),FIND("/",SUBSTITUTE(LEFT(TRIM(C255),FIND(" ",TRIM(C255)&amp;" ")-1),",","."))-1)/MID(SUBSTITUTE(LEFT(TRIM(C255),FIND(" ",TRIM(C255)&amp;" ")-1),",","."),FIND("/",SUBSTITUTE(LEFT(TRIM(C255),FIND(" ",TRIM(C255)&amp;" ")-1),",","."))+1,9)),IF(ISNUMBER(SEARCH("yea",C255)),IFERROR(_xlfn.NUMBERVALUE(SUBSTITUTE(LEFT(TRIM(C255),FIND(" ",TRIM(C255)&amp;" ")-1),",","."),"."),LEFT(SUBSTITUTE(LEFT(TRIM(C255),FIND(" ",TRIM(C255)&amp;" ")-1),",","."),FIND("/",SUBSTITUTE(LEFT(TRIM(C255),FIND(" ",TRIM(C255)&amp;" ")-1),",","."))-1)/MID(SUBSTITUTE(LEFT(TRIM(C255),FIND(" ",TRIM(C255)&amp;" ")-1),",","."),FIND("/",SUBSTITUTE(LEFT(TRIM(C255),FIND(" ",TRIM(C255)&amp;" ")-1),",","."))+1,9))*12,NA()))),0),24)*'Aturan &amp; Tarif'!$B$4,2)</f>
        <v>1362.72</v>
      </c>
      <c r="K255" s="32" t="n">
        <f aca="false">'Aturan &amp; Tarif'!$B$5</f>
        <v>2050</v>
      </c>
      <c r="L255" s="35" t="n">
        <f aca="false">I255+J255+K255</f>
        <v>20776.72</v>
      </c>
      <c r="M255" s="37" t="s">
        <v>318</v>
      </c>
    </row>
    <row r="256" customFormat="false" ht="72" hidden="false" customHeight="true" outlineLevel="0" collapsed="false">
      <c r="A256" s="29"/>
      <c r="B256" s="30" t="s">
        <v>408</v>
      </c>
      <c r="C256" s="31" t="s">
        <v>130</v>
      </c>
      <c r="D256" s="31" t="s">
        <v>108</v>
      </c>
      <c r="E256" s="32" t="n">
        <v>7086</v>
      </c>
      <c r="F256" s="32"/>
      <c r="G256" s="32"/>
      <c r="H256" s="33" t="n">
        <v>2</v>
      </c>
      <c r="I256" s="34" t="n">
        <f aca="false">E256*H256+N(F256)+N(G256)</f>
        <v>14172</v>
      </c>
      <c r="J256" s="32" t="n">
        <f aca="false">ROUND(IFERROR(ROUND(IF(OR(ISNUMBER(SEARCH("week",C256)),ISNUMBER(SEARCH("minggu",C256))),IFERROR(_xlfn.NUMBERVALUE(SUBSTITUTE(LEFT(TRIM(C256),FIND(" ",TRIM(C256)&amp;" ")-1),",","."),"."),LEFT(SUBSTITUTE(LEFT(TRIM(C256),FIND(" ",TRIM(C256)&amp;" ")-1),",","."),FIND("/",SUBSTITUTE(LEFT(TRIM(C256),FIND(" ",TRIM(C256)&amp;" ")-1),",","."))-1)/MID(SUBSTITUTE(LEFT(TRIM(C256),FIND(" ",TRIM(C256)&amp;" ")-1),",","."),FIND("/",SUBSTITUTE(LEFT(TRIM(C256),FIND(" ",TRIM(C256)&amp;" ")-1),",","."))+1,9))*12/52,IF(ISNUMBER(SEARCH("month",C256)),IFERROR(_xlfn.NUMBERVALUE(SUBSTITUTE(LEFT(TRIM(C256),FIND(" ",TRIM(C256)&amp;" ")-1),",","."),"."),LEFT(SUBSTITUTE(LEFT(TRIM(C256),FIND(" ",TRIM(C256)&amp;" ")-1),",","."),FIND("/",SUBSTITUTE(LEFT(TRIM(C256),FIND(" ",TRIM(C256)&amp;" ")-1),",","."))-1)/MID(SUBSTITUTE(LEFT(TRIM(C256),FIND(" ",TRIM(C256)&amp;" ")-1),",","."),FIND("/",SUBSTITUTE(LEFT(TRIM(C256),FIND(" ",TRIM(C256)&amp;" ")-1),",","."))+1,9)),IF(ISNUMBER(SEARCH("yea",C256)),IFERROR(_xlfn.NUMBERVALUE(SUBSTITUTE(LEFT(TRIM(C256),FIND(" ",TRIM(C256)&amp;" ")-1),",","."),"."),LEFT(SUBSTITUTE(LEFT(TRIM(C256),FIND(" ",TRIM(C256)&amp;" ")-1),",","."),FIND("/",SUBSTITUTE(LEFT(TRIM(C256),FIND(" ",TRIM(C256)&amp;" ")-1),",","."))-1)/MID(SUBSTITUTE(LEFT(TRIM(C256),FIND(" ",TRIM(C256)&amp;" ")-1),",","."),FIND("/",SUBSTITUTE(LEFT(TRIM(C256),FIND(" ",TRIM(C256)&amp;" ")-1),",","."))+1,9))*12,NA()))),0),12)*'Aturan &amp; Tarif'!$B$4,2)</f>
        <v>681.36</v>
      </c>
      <c r="K256" s="32" t="n">
        <f aca="false">'Aturan &amp; Tarif'!$B$5</f>
        <v>2050</v>
      </c>
      <c r="L256" s="35" t="n">
        <f aca="false">I256+J256+K256</f>
        <v>16903.36</v>
      </c>
      <c r="M256" s="37" t="s">
        <v>318</v>
      </c>
    </row>
    <row r="257" customFormat="false" ht="14.25" hidden="false" customHeight="true" outlineLevel="0" collapsed="false">
      <c r="A257" s="29"/>
      <c r="B257" s="30" t="s">
        <v>409</v>
      </c>
      <c r="C257" s="31" t="s">
        <v>130</v>
      </c>
      <c r="D257" s="31" t="s">
        <v>108</v>
      </c>
      <c r="E257" s="32" t="n">
        <v>8058</v>
      </c>
      <c r="F257" s="32"/>
      <c r="G257" s="32"/>
      <c r="H257" s="33" t="n">
        <v>2</v>
      </c>
      <c r="I257" s="34" t="n">
        <f aca="false">E257*H257+N(F257)+N(G257)</f>
        <v>16116</v>
      </c>
      <c r="J257" s="32" t="n">
        <f aca="false">ROUND(IFERROR(ROUND(IF(OR(ISNUMBER(SEARCH("week",C257)),ISNUMBER(SEARCH("minggu",C257))),IFERROR(_xlfn.NUMBERVALUE(SUBSTITUTE(LEFT(TRIM(C257),FIND(" ",TRIM(C257)&amp;" ")-1),",","."),"."),LEFT(SUBSTITUTE(LEFT(TRIM(C257),FIND(" ",TRIM(C257)&amp;" ")-1),",","."),FIND("/",SUBSTITUTE(LEFT(TRIM(C257),FIND(" ",TRIM(C257)&amp;" ")-1),",","."))-1)/MID(SUBSTITUTE(LEFT(TRIM(C257),FIND(" ",TRIM(C257)&amp;" ")-1),",","."),FIND("/",SUBSTITUTE(LEFT(TRIM(C257),FIND(" ",TRIM(C257)&amp;" ")-1),",","."))+1,9))*12/52,IF(ISNUMBER(SEARCH("month",C257)),IFERROR(_xlfn.NUMBERVALUE(SUBSTITUTE(LEFT(TRIM(C257),FIND(" ",TRIM(C257)&amp;" ")-1),",","."),"."),LEFT(SUBSTITUTE(LEFT(TRIM(C257),FIND(" ",TRIM(C257)&amp;" ")-1),",","."),FIND("/",SUBSTITUTE(LEFT(TRIM(C257),FIND(" ",TRIM(C257)&amp;" ")-1),",","."))-1)/MID(SUBSTITUTE(LEFT(TRIM(C257),FIND(" ",TRIM(C257)&amp;" ")-1),",","."),FIND("/",SUBSTITUTE(LEFT(TRIM(C257),FIND(" ",TRIM(C257)&amp;" ")-1),",","."))+1,9)),IF(ISNUMBER(SEARCH("yea",C257)),IFERROR(_xlfn.NUMBERVALUE(SUBSTITUTE(LEFT(TRIM(C257),FIND(" ",TRIM(C257)&amp;" ")-1),",","."),"."),LEFT(SUBSTITUTE(LEFT(TRIM(C257),FIND(" ",TRIM(C257)&amp;" ")-1),",","."),FIND("/",SUBSTITUTE(LEFT(TRIM(C257),FIND(" ",TRIM(C257)&amp;" ")-1),",","."))-1)/MID(SUBSTITUTE(LEFT(TRIM(C257),FIND(" ",TRIM(C257)&amp;" ")-1),",","."),FIND("/",SUBSTITUTE(LEFT(TRIM(C257),FIND(" ",TRIM(C257)&amp;" ")-1),",","."))+1,9))*12,NA()))),0),12)*'Aturan &amp; Tarif'!$B$4,2)</f>
        <v>681.36</v>
      </c>
      <c r="K257" s="32" t="n">
        <f aca="false">'Aturan &amp; Tarif'!$B$5</f>
        <v>2050</v>
      </c>
      <c r="L257" s="35" t="n">
        <f aca="false">I257+J257+K257</f>
        <v>18847.36</v>
      </c>
      <c r="M257" s="37" t="s">
        <v>318</v>
      </c>
    </row>
    <row r="258" customFormat="false" ht="60" hidden="false" customHeight="true" outlineLevel="0" collapsed="false">
      <c r="A258" s="29"/>
      <c r="B258" s="30" t="s">
        <v>410</v>
      </c>
      <c r="C258" s="31" t="s">
        <v>130</v>
      </c>
      <c r="D258" s="31" t="s">
        <v>108</v>
      </c>
      <c r="E258" s="32" t="n">
        <v>8480</v>
      </c>
      <c r="F258" s="32"/>
      <c r="G258" s="32"/>
      <c r="H258" s="33" t="n">
        <v>2</v>
      </c>
      <c r="I258" s="34" t="n">
        <f aca="false">E258*H258+N(F258)+N(G258)</f>
        <v>16960</v>
      </c>
      <c r="J258" s="32" t="n">
        <f aca="false">ROUND(IFERROR(ROUND(IF(OR(ISNUMBER(SEARCH("week",C258)),ISNUMBER(SEARCH("minggu",C258))),IFERROR(_xlfn.NUMBERVALUE(SUBSTITUTE(LEFT(TRIM(C258),FIND(" ",TRIM(C258)&amp;" ")-1),",","."),"."),LEFT(SUBSTITUTE(LEFT(TRIM(C258),FIND(" ",TRIM(C258)&amp;" ")-1),",","."),FIND("/",SUBSTITUTE(LEFT(TRIM(C258),FIND(" ",TRIM(C258)&amp;" ")-1),",","."))-1)/MID(SUBSTITUTE(LEFT(TRIM(C258),FIND(" ",TRIM(C258)&amp;" ")-1),",","."),FIND("/",SUBSTITUTE(LEFT(TRIM(C258),FIND(" ",TRIM(C258)&amp;" ")-1),",","."))+1,9))*12/52,IF(ISNUMBER(SEARCH("month",C258)),IFERROR(_xlfn.NUMBERVALUE(SUBSTITUTE(LEFT(TRIM(C258),FIND(" ",TRIM(C258)&amp;" ")-1),",","."),"."),LEFT(SUBSTITUTE(LEFT(TRIM(C258),FIND(" ",TRIM(C258)&amp;" ")-1),",","."),FIND("/",SUBSTITUTE(LEFT(TRIM(C258),FIND(" ",TRIM(C258)&amp;" ")-1),",","."))-1)/MID(SUBSTITUTE(LEFT(TRIM(C258),FIND(" ",TRIM(C258)&amp;" ")-1),",","."),FIND("/",SUBSTITUTE(LEFT(TRIM(C258),FIND(" ",TRIM(C258)&amp;" ")-1),",","."))+1,9)),IF(ISNUMBER(SEARCH("yea",C258)),IFERROR(_xlfn.NUMBERVALUE(SUBSTITUTE(LEFT(TRIM(C258),FIND(" ",TRIM(C258)&amp;" ")-1),",","."),"."),LEFT(SUBSTITUTE(LEFT(TRIM(C258),FIND(" ",TRIM(C258)&amp;" ")-1),",","."),FIND("/",SUBSTITUTE(LEFT(TRIM(C258),FIND(" ",TRIM(C258)&amp;" ")-1),",","."))-1)/MID(SUBSTITUTE(LEFT(TRIM(C258),FIND(" ",TRIM(C258)&amp;" ")-1),",","."),FIND("/",SUBSTITUTE(LEFT(TRIM(C258),FIND(" ",TRIM(C258)&amp;" ")-1),",","."))+1,9))*12,NA()))),0),12)*'Aturan &amp; Tarif'!$B$4,2)</f>
        <v>681.36</v>
      </c>
      <c r="K258" s="32" t="n">
        <f aca="false">'Aturan &amp; Tarif'!$B$5</f>
        <v>2050</v>
      </c>
      <c r="L258" s="35" t="n">
        <f aca="false">I258+J258+K258</f>
        <v>19691.36</v>
      </c>
      <c r="M258" s="37" t="s">
        <v>318</v>
      </c>
    </row>
    <row r="259" customFormat="false" ht="60" hidden="false" customHeight="true" outlineLevel="0" collapsed="false">
      <c r="A259" s="29"/>
      <c r="B259" s="30" t="s">
        <v>411</v>
      </c>
      <c r="C259" s="31" t="s">
        <v>130</v>
      </c>
      <c r="D259" s="31" t="s">
        <v>108</v>
      </c>
      <c r="E259" s="32" t="n">
        <v>8906</v>
      </c>
      <c r="F259" s="32"/>
      <c r="G259" s="32"/>
      <c r="H259" s="33" t="n">
        <v>2</v>
      </c>
      <c r="I259" s="34" t="n">
        <f aca="false">E259*H259+N(F259)+N(G259)</f>
        <v>17812</v>
      </c>
      <c r="J259" s="32" t="n">
        <f aca="false">ROUND(IFERROR(ROUND(IF(OR(ISNUMBER(SEARCH("week",C259)),ISNUMBER(SEARCH("minggu",C259))),IFERROR(_xlfn.NUMBERVALUE(SUBSTITUTE(LEFT(TRIM(C259),FIND(" ",TRIM(C259)&amp;" ")-1),",","."),"."),LEFT(SUBSTITUTE(LEFT(TRIM(C259),FIND(" ",TRIM(C259)&amp;" ")-1),",","."),FIND("/",SUBSTITUTE(LEFT(TRIM(C259),FIND(" ",TRIM(C259)&amp;" ")-1),",","."))-1)/MID(SUBSTITUTE(LEFT(TRIM(C259),FIND(" ",TRIM(C259)&amp;" ")-1),",","."),FIND("/",SUBSTITUTE(LEFT(TRIM(C259),FIND(" ",TRIM(C259)&amp;" ")-1),",","."))+1,9))*12/52,IF(ISNUMBER(SEARCH("month",C259)),IFERROR(_xlfn.NUMBERVALUE(SUBSTITUTE(LEFT(TRIM(C259),FIND(" ",TRIM(C259)&amp;" ")-1),",","."),"."),LEFT(SUBSTITUTE(LEFT(TRIM(C259),FIND(" ",TRIM(C259)&amp;" ")-1),",","."),FIND("/",SUBSTITUTE(LEFT(TRIM(C259),FIND(" ",TRIM(C259)&amp;" ")-1),",","."))-1)/MID(SUBSTITUTE(LEFT(TRIM(C259),FIND(" ",TRIM(C259)&amp;" ")-1),",","."),FIND("/",SUBSTITUTE(LEFT(TRIM(C259),FIND(" ",TRIM(C259)&amp;" ")-1),",","."))+1,9)),IF(ISNUMBER(SEARCH("yea",C259)),IFERROR(_xlfn.NUMBERVALUE(SUBSTITUTE(LEFT(TRIM(C259),FIND(" ",TRIM(C259)&amp;" ")-1),",","."),"."),LEFT(SUBSTITUTE(LEFT(TRIM(C259),FIND(" ",TRIM(C259)&amp;" ")-1),",","."),FIND("/",SUBSTITUTE(LEFT(TRIM(C259),FIND(" ",TRIM(C259)&amp;" ")-1),",","."))-1)/MID(SUBSTITUTE(LEFT(TRIM(C259),FIND(" ",TRIM(C259)&amp;" ")-1),",","."),FIND("/",SUBSTITUTE(LEFT(TRIM(C259),FIND(" ",TRIM(C259)&amp;" ")-1),",","."))+1,9))*12,NA()))),0),12)*'Aturan &amp; Tarif'!$B$4,2)</f>
        <v>681.36</v>
      </c>
      <c r="K259" s="32" t="n">
        <f aca="false">'Aturan &amp; Tarif'!$B$5</f>
        <v>2050</v>
      </c>
      <c r="L259" s="35" t="n">
        <f aca="false">I259+J259+K259</f>
        <v>20543.36</v>
      </c>
      <c r="M259" s="37" t="s">
        <v>318</v>
      </c>
    </row>
    <row r="260" customFormat="false" ht="60" hidden="false" customHeight="true" outlineLevel="0" collapsed="false">
      <c r="A260" s="29"/>
      <c r="B260" s="30" t="s">
        <v>412</v>
      </c>
      <c r="C260" s="31" t="s">
        <v>130</v>
      </c>
      <c r="D260" s="31" t="s">
        <v>108</v>
      </c>
      <c r="E260" s="32" t="n">
        <v>7086</v>
      </c>
      <c r="F260" s="32"/>
      <c r="G260" s="32"/>
      <c r="H260" s="33" t="n">
        <v>2</v>
      </c>
      <c r="I260" s="34" t="n">
        <f aca="false">E260*H260+N(F260)+N(G260)</f>
        <v>14172</v>
      </c>
      <c r="J260" s="32" t="n">
        <f aca="false">ROUND(IFERROR(ROUND(IF(OR(ISNUMBER(SEARCH("week",C260)),ISNUMBER(SEARCH("minggu",C260))),IFERROR(_xlfn.NUMBERVALUE(SUBSTITUTE(LEFT(TRIM(C260),FIND(" ",TRIM(C260)&amp;" ")-1),",","."),"."),LEFT(SUBSTITUTE(LEFT(TRIM(C260),FIND(" ",TRIM(C260)&amp;" ")-1),",","."),FIND("/",SUBSTITUTE(LEFT(TRIM(C260),FIND(" ",TRIM(C260)&amp;" ")-1),",","."))-1)/MID(SUBSTITUTE(LEFT(TRIM(C260),FIND(" ",TRIM(C260)&amp;" ")-1),",","."),FIND("/",SUBSTITUTE(LEFT(TRIM(C260),FIND(" ",TRIM(C260)&amp;" ")-1),",","."))+1,9))*12/52,IF(ISNUMBER(SEARCH("month",C260)),IFERROR(_xlfn.NUMBERVALUE(SUBSTITUTE(LEFT(TRIM(C260),FIND(" ",TRIM(C260)&amp;" ")-1),",","."),"."),LEFT(SUBSTITUTE(LEFT(TRIM(C260),FIND(" ",TRIM(C260)&amp;" ")-1),",","."),FIND("/",SUBSTITUTE(LEFT(TRIM(C260),FIND(" ",TRIM(C260)&amp;" ")-1),",","."))-1)/MID(SUBSTITUTE(LEFT(TRIM(C260),FIND(" ",TRIM(C260)&amp;" ")-1),",","."),FIND("/",SUBSTITUTE(LEFT(TRIM(C260),FIND(" ",TRIM(C260)&amp;" ")-1),",","."))+1,9)),IF(ISNUMBER(SEARCH("yea",C260)),IFERROR(_xlfn.NUMBERVALUE(SUBSTITUTE(LEFT(TRIM(C260),FIND(" ",TRIM(C260)&amp;" ")-1),",","."),"."),LEFT(SUBSTITUTE(LEFT(TRIM(C260),FIND(" ",TRIM(C260)&amp;" ")-1),",","."),FIND("/",SUBSTITUTE(LEFT(TRIM(C260),FIND(" ",TRIM(C260)&amp;" ")-1),",","."))-1)/MID(SUBSTITUTE(LEFT(TRIM(C260),FIND(" ",TRIM(C260)&amp;" ")-1),",","."),FIND("/",SUBSTITUTE(LEFT(TRIM(C260),FIND(" ",TRIM(C260)&amp;" ")-1),",","."))+1,9))*12,NA()))),0),12)*'Aturan &amp; Tarif'!$B$4,2)</f>
        <v>681.36</v>
      </c>
      <c r="K260" s="32" t="n">
        <f aca="false">'Aturan &amp; Tarif'!$B$5</f>
        <v>2050</v>
      </c>
      <c r="L260" s="35" t="n">
        <f aca="false">I260+J260+K260</f>
        <v>16903.36</v>
      </c>
      <c r="M260" s="37" t="s">
        <v>318</v>
      </c>
    </row>
    <row r="261" customFormat="false" ht="60" hidden="false" customHeight="true" outlineLevel="0" collapsed="false">
      <c r="A261" s="29"/>
      <c r="B261" s="30" t="s">
        <v>872</v>
      </c>
      <c r="C261" s="31" t="s">
        <v>130</v>
      </c>
      <c r="D261" s="31" t="s">
        <v>108</v>
      </c>
      <c r="E261" s="32" t="n">
        <v>8058</v>
      </c>
      <c r="F261" s="32"/>
      <c r="G261" s="32"/>
      <c r="H261" s="33" t="n">
        <v>2</v>
      </c>
      <c r="I261" s="34" t="n">
        <f aca="false">E261*H261+N(F261)+N(G261)</f>
        <v>16116</v>
      </c>
      <c r="J261" s="32" t="n">
        <f aca="false">ROUND(IFERROR(ROUND(IF(OR(ISNUMBER(SEARCH("week",C261)),ISNUMBER(SEARCH("minggu",C261))),IFERROR(_xlfn.NUMBERVALUE(SUBSTITUTE(LEFT(TRIM(C261),FIND(" ",TRIM(C261)&amp;" ")-1),",","."),"."),LEFT(SUBSTITUTE(LEFT(TRIM(C261),FIND(" ",TRIM(C261)&amp;" ")-1),",","."),FIND("/",SUBSTITUTE(LEFT(TRIM(C261),FIND(" ",TRIM(C261)&amp;" ")-1),",","."))-1)/MID(SUBSTITUTE(LEFT(TRIM(C261),FIND(" ",TRIM(C261)&amp;" ")-1),",","."),FIND("/",SUBSTITUTE(LEFT(TRIM(C261),FIND(" ",TRIM(C261)&amp;" ")-1),",","."))+1,9))*12/52,IF(ISNUMBER(SEARCH("month",C261)),IFERROR(_xlfn.NUMBERVALUE(SUBSTITUTE(LEFT(TRIM(C261),FIND(" ",TRIM(C261)&amp;" ")-1),",","."),"."),LEFT(SUBSTITUTE(LEFT(TRIM(C261),FIND(" ",TRIM(C261)&amp;" ")-1),",","."),FIND("/",SUBSTITUTE(LEFT(TRIM(C261),FIND(" ",TRIM(C261)&amp;" ")-1),",","."))-1)/MID(SUBSTITUTE(LEFT(TRIM(C261),FIND(" ",TRIM(C261)&amp;" ")-1),",","."),FIND("/",SUBSTITUTE(LEFT(TRIM(C261),FIND(" ",TRIM(C261)&amp;" ")-1),",","."))+1,9)),IF(ISNUMBER(SEARCH("yea",C261)),IFERROR(_xlfn.NUMBERVALUE(SUBSTITUTE(LEFT(TRIM(C261),FIND(" ",TRIM(C261)&amp;" ")-1),",","."),"."),LEFT(SUBSTITUTE(LEFT(TRIM(C261),FIND(" ",TRIM(C261)&amp;" ")-1),",","."),FIND("/",SUBSTITUTE(LEFT(TRIM(C261),FIND(" ",TRIM(C261)&amp;" ")-1),",","."))-1)/MID(SUBSTITUTE(LEFT(TRIM(C261),FIND(" ",TRIM(C261)&amp;" ")-1),",","."),FIND("/",SUBSTITUTE(LEFT(TRIM(C261),FIND(" ",TRIM(C261)&amp;" ")-1),",","."))+1,9))*12,NA()))),0),12)*'Aturan &amp; Tarif'!$B$4,2)</f>
        <v>681.36</v>
      </c>
      <c r="K261" s="32" t="n">
        <f aca="false">'Aturan &amp; Tarif'!$B$5</f>
        <v>2050</v>
      </c>
      <c r="L261" s="35" t="n">
        <f aca="false">I261+J261+K261</f>
        <v>18847.36</v>
      </c>
      <c r="M261" s="37" t="s">
        <v>318</v>
      </c>
    </row>
    <row r="262" customFormat="false" ht="60" hidden="false" customHeight="true" outlineLevel="0" collapsed="false">
      <c r="A262" s="29"/>
      <c r="B262" s="30" t="s">
        <v>414</v>
      </c>
      <c r="C262" s="31" t="s">
        <v>130</v>
      </c>
      <c r="D262" s="31" t="s">
        <v>108</v>
      </c>
      <c r="E262" s="32" t="n">
        <v>8906</v>
      </c>
      <c r="F262" s="32"/>
      <c r="G262" s="32"/>
      <c r="H262" s="33" t="n">
        <v>2</v>
      </c>
      <c r="I262" s="34" t="n">
        <f aca="false">E262*H262+N(F262)+N(G262)</f>
        <v>17812</v>
      </c>
      <c r="J262" s="32" t="n">
        <f aca="false">ROUND(IFERROR(ROUND(IF(OR(ISNUMBER(SEARCH("week",C262)),ISNUMBER(SEARCH("minggu",C262))),IFERROR(_xlfn.NUMBERVALUE(SUBSTITUTE(LEFT(TRIM(C262),FIND(" ",TRIM(C262)&amp;" ")-1),",","."),"."),LEFT(SUBSTITUTE(LEFT(TRIM(C262),FIND(" ",TRIM(C262)&amp;" ")-1),",","."),FIND("/",SUBSTITUTE(LEFT(TRIM(C262),FIND(" ",TRIM(C262)&amp;" ")-1),",","."))-1)/MID(SUBSTITUTE(LEFT(TRIM(C262),FIND(" ",TRIM(C262)&amp;" ")-1),",","."),FIND("/",SUBSTITUTE(LEFT(TRIM(C262),FIND(" ",TRIM(C262)&amp;" ")-1),",","."))+1,9))*12/52,IF(ISNUMBER(SEARCH("month",C262)),IFERROR(_xlfn.NUMBERVALUE(SUBSTITUTE(LEFT(TRIM(C262),FIND(" ",TRIM(C262)&amp;" ")-1),",","."),"."),LEFT(SUBSTITUTE(LEFT(TRIM(C262),FIND(" ",TRIM(C262)&amp;" ")-1),",","."),FIND("/",SUBSTITUTE(LEFT(TRIM(C262),FIND(" ",TRIM(C262)&amp;" ")-1),",","."))-1)/MID(SUBSTITUTE(LEFT(TRIM(C262),FIND(" ",TRIM(C262)&amp;" ")-1),",","."),FIND("/",SUBSTITUTE(LEFT(TRIM(C262),FIND(" ",TRIM(C262)&amp;" ")-1),",","."))+1,9)),IF(ISNUMBER(SEARCH("yea",C262)),IFERROR(_xlfn.NUMBERVALUE(SUBSTITUTE(LEFT(TRIM(C262),FIND(" ",TRIM(C262)&amp;" ")-1),",","."),"."),LEFT(SUBSTITUTE(LEFT(TRIM(C262),FIND(" ",TRIM(C262)&amp;" ")-1),",","."),FIND("/",SUBSTITUTE(LEFT(TRIM(C262),FIND(" ",TRIM(C262)&amp;" ")-1),",","."))-1)/MID(SUBSTITUTE(LEFT(TRIM(C262),FIND(" ",TRIM(C262)&amp;" ")-1),",","."),FIND("/",SUBSTITUTE(LEFT(TRIM(C262),FIND(" ",TRIM(C262)&amp;" ")-1),",","."))+1,9))*12,NA()))),0),12)*'Aturan &amp; Tarif'!$B$4,2)</f>
        <v>681.36</v>
      </c>
      <c r="K262" s="32" t="n">
        <f aca="false">'Aturan &amp; Tarif'!$B$5</f>
        <v>2050</v>
      </c>
      <c r="L262" s="35" t="n">
        <f aca="false">I262+J262+K262</f>
        <v>20543.36</v>
      </c>
      <c r="M262" s="37" t="s">
        <v>318</v>
      </c>
    </row>
    <row r="263" customFormat="false" ht="60" hidden="false" customHeight="true" outlineLevel="0" collapsed="false">
      <c r="A263" s="29"/>
      <c r="B263" s="30" t="s">
        <v>415</v>
      </c>
      <c r="C263" s="31" t="s">
        <v>130</v>
      </c>
      <c r="D263" s="31" t="s">
        <v>108</v>
      </c>
      <c r="E263" s="32" t="n">
        <v>7086</v>
      </c>
      <c r="F263" s="32"/>
      <c r="G263" s="32"/>
      <c r="H263" s="33" t="n">
        <v>2</v>
      </c>
      <c r="I263" s="34" t="n">
        <f aca="false">E263*H263+N(F263)+N(G263)</f>
        <v>14172</v>
      </c>
      <c r="J263" s="32" t="n">
        <f aca="false">ROUND(IFERROR(ROUND(IF(OR(ISNUMBER(SEARCH("week",C263)),ISNUMBER(SEARCH("minggu",C263))),IFERROR(_xlfn.NUMBERVALUE(SUBSTITUTE(LEFT(TRIM(C263),FIND(" ",TRIM(C263)&amp;" ")-1),",","."),"."),LEFT(SUBSTITUTE(LEFT(TRIM(C263),FIND(" ",TRIM(C263)&amp;" ")-1),",","."),FIND("/",SUBSTITUTE(LEFT(TRIM(C263),FIND(" ",TRIM(C263)&amp;" ")-1),",","."))-1)/MID(SUBSTITUTE(LEFT(TRIM(C263),FIND(" ",TRIM(C263)&amp;" ")-1),",","."),FIND("/",SUBSTITUTE(LEFT(TRIM(C263),FIND(" ",TRIM(C263)&amp;" ")-1),",","."))+1,9))*12/52,IF(ISNUMBER(SEARCH("month",C263)),IFERROR(_xlfn.NUMBERVALUE(SUBSTITUTE(LEFT(TRIM(C263),FIND(" ",TRIM(C263)&amp;" ")-1),",","."),"."),LEFT(SUBSTITUTE(LEFT(TRIM(C263),FIND(" ",TRIM(C263)&amp;" ")-1),",","."),FIND("/",SUBSTITUTE(LEFT(TRIM(C263),FIND(" ",TRIM(C263)&amp;" ")-1),",","."))-1)/MID(SUBSTITUTE(LEFT(TRIM(C263),FIND(" ",TRIM(C263)&amp;" ")-1),",","."),FIND("/",SUBSTITUTE(LEFT(TRIM(C263),FIND(" ",TRIM(C263)&amp;" ")-1),",","."))+1,9)),IF(ISNUMBER(SEARCH("yea",C263)),IFERROR(_xlfn.NUMBERVALUE(SUBSTITUTE(LEFT(TRIM(C263),FIND(" ",TRIM(C263)&amp;" ")-1),",","."),"."),LEFT(SUBSTITUTE(LEFT(TRIM(C263),FIND(" ",TRIM(C263)&amp;" ")-1),",","."),FIND("/",SUBSTITUTE(LEFT(TRIM(C263),FIND(" ",TRIM(C263)&amp;" ")-1),",","."))-1)/MID(SUBSTITUTE(LEFT(TRIM(C263),FIND(" ",TRIM(C263)&amp;" ")-1),",","."),FIND("/",SUBSTITUTE(LEFT(TRIM(C263),FIND(" ",TRIM(C263)&amp;" ")-1),",","."))+1,9))*12,NA()))),0),12)*'Aturan &amp; Tarif'!$B$4,2)</f>
        <v>681.36</v>
      </c>
      <c r="K263" s="32" t="n">
        <f aca="false">'Aturan &amp; Tarif'!$B$5</f>
        <v>2050</v>
      </c>
      <c r="L263" s="35" t="n">
        <f aca="false">I263+J263+K263</f>
        <v>16903.36</v>
      </c>
      <c r="M263" s="37" t="s">
        <v>318</v>
      </c>
    </row>
    <row r="264" customFormat="false" ht="60" hidden="false" customHeight="true" outlineLevel="0" collapsed="false">
      <c r="A264" s="29"/>
      <c r="B264" s="30" t="s">
        <v>416</v>
      </c>
      <c r="C264" s="31" t="s">
        <v>130</v>
      </c>
      <c r="D264" s="31" t="s">
        <v>108</v>
      </c>
      <c r="E264" s="32" t="n">
        <v>8906</v>
      </c>
      <c r="F264" s="32"/>
      <c r="G264" s="32"/>
      <c r="H264" s="33" t="n">
        <v>2</v>
      </c>
      <c r="I264" s="34" t="n">
        <f aca="false">E264*H264+N(F264)+N(G264)</f>
        <v>17812</v>
      </c>
      <c r="J264" s="32" t="n">
        <f aca="false">ROUND(IFERROR(ROUND(IF(OR(ISNUMBER(SEARCH("week",C264)),ISNUMBER(SEARCH("minggu",C264))),IFERROR(_xlfn.NUMBERVALUE(SUBSTITUTE(LEFT(TRIM(C264),FIND(" ",TRIM(C264)&amp;" ")-1),",","."),"."),LEFT(SUBSTITUTE(LEFT(TRIM(C264),FIND(" ",TRIM(C264)&amp;" ")-1),",","."),FIND("/",SUBSTITUTE(LEFT(TRIM(C264),FIND(" ",TRIM(C264)&amp;" ")-1),",","."))-1)/MID(SUBSTITUTE(LEFT(TRIM(C264),FIND(" ",TRIM(C264)&amp;" ")-1),",","."),FIND("/",SUBSTITUTE(LEFT(TRIM(C264),FIND(" ",TRIM(C264)&amp;" ")-1),",","."))+1,9))*12/52,IF(ISNUMBER(SEARCH("month",C264)),IFERROR(_xlfn.NUMBERVALUE(SUBSTITUTE(LEFT(TRIM(C264),FIND(" ",TRIM(C264)&amp;" ")-1),",","."),"."),LEFT(SUBSTITUTE(LEFT(TRIM(C264),FIND(" ",TRIM(C264)&amp;" ")-1),",","."),FIND("/",SUBSTITUTE(LEFT(TRIM(C264),FIND(" ",TRIM(C264)&amp;" ")-1),",","."))-1)/MID(SUBSTITUTE(LEFT(TRIM(C264),FIND(" ",TRIM(C264)&amp;" ")-1),",","."),FIND("/",SUBSTITUTE(LEFT(TRIM(C264),FIND(" ",TRIM(C264)&amp;" ")-1),",","."))+1,9)),IF(ISNUMBER(SEARCH("yea",C264)),IFERROR(_xlfn.NUMBERVALUE(SUBSTITUTE(LEFT(TRIM(C264),FIND(" ",TRIM(C264)&amp;" ")-1),",","."),"."),LEFT(SUBSTITUTE(LEFT(TRIM(C264),FIND(" ",TRIM(C264)&amp;" ")-1),",","."),FIND("/",SUBSTITUTE(LEFT(TRIM(C264),FIND(" ",TRIM(C264)&amp;" ")-1),",","."))-1)/MID(SUBSTITUTE(LEFT(TRIM(C264),FIND(" ",TRIM(C264)&amp;" ")-1),",","."),FIND("/",SUBSTITUTE(LEFT(TRIM(C264),FIND(" ",TRIM(C264)&amp;" ")-1),",","."))+1,9))*12,NA()))),0),12)*'Aturan &amp; Tarif'!$B$4,2)</f>
        <v>681.36</v>
      </c>
      <c r="K264" s="32" t="n">
        <f aca="false">'Aturan &amp; Tarif'!$B$5</f>
        <v>2050</v>
      </c>
      <c r="L264" s="35" t="n">
        <f aca="false">I264+J264+K264</f>
        <v>20543.36</v>
      </c>
      <c r="M264" s="37" t="s">
        <v>318</v>
      </c>
    </row>
    <row r="265" customFormat="false" ht="60" hidden="false" customHeight="true" outlineLevel="0" collapsed="false">
      <c r="A265" s="29"/>
      <c r="B265" s="30" t="s">
        <v>417</v>
      </c>
      <c r="C265" s="31" t="s">
        <v>130</v>
      </c>
      <c r="D265" s="31" t="s">
        <v>108</v>
      </c>
      <c r="E265" s="32" t="n">
        <v>8906</v>
      </c>
      <c r="F265" s="32"/>
      <c r="G265" s="32"/>
      <c r="H265" s="33" t="n">
        <v>2</v>
      </c>
      <c r="I265" s="34" t="n">
        <f aca="false">E265*H265+N(F265)+N(G265)</f>
        <v>17812</v>
      </c>
      <c r="J265" s="32" t="n">
        <f aca="false">ROUND(IFERROR(ROUND(IF(OR(ISNUMBER(SEARCH("week",C265)),ISNUMBER(SEARCH("minggu",C265))),IFERROR(_xlfn.NUMBERVALUE(SUBSTITUTE(LEFT(TRIM(C265),FIND(" ",TRIM(C265)&amp;" ")-1),",","."),"."),LEFT(SUBSTITUTE(LEFT(TRIM(C265),FIND(" ",TRIM(C265)&amp;" ")-1),",","."),FIND("/",SUBSTITUTE(LEFT(TRIM(C265),FIND(" ",TRIM(C265)&amp;" ")-1),",","."))-1)/MID(SUBSTITUTE(LEFT(TRIM(C265),FIND(" ",TRIM(C265)&amp;" ")-1),",","."),FIND("/",SUBSTITUTE(LEFT(TRIM(C265),FIND(" ",TRIM(C265)&amp;" ")-1),",","."))+1,9))*12/52,IF(ISNUMBER(SEARCH("month",C265)),IFERROR(_xlfn.NUMBERVALUE(SUBSTITUTE(LEFT(TRIM(C265),FIND(" ",TRIM(C265)&amp;" ")-1),",","."),"."),LEFT(SUBSTITUTE(LEFT(TRIM(C265),FIND(" ",TRIM(C265)&amp;" ")-1),",","."),FIND("/",SUBSTITUTE(LEFT(TRIM(C265),FIND(" ",TRIM(C265)&amp;" ")-1),",","."))-1)/MID(SUBSTITUTE(LEFT(TRIM(C265),FIND(" ",TRIM(C265)&amp;" ")-1),",","."),FIND("/",SUBSTITUTE(LEFT(TRIM(C265),FIND(" ",TRIM(C265)&amp;" ")-1),",","."))+1,9)),IF(ISNUMBER(SEARCH("yea",C265)),IFERROR(_xlfn.NUMBERVALUE(SUBSTITUTE(LEFT(TRIM(C265),FIND(" ",TRIM(C265)&amp;" ")-1),",","."),"."),LEFT(SUBSTITUTE(LEFT(TRIM(C265),FIND(" ",TRIM(C265)&amp;" ")-1),",","."),FIND("/",SUBSTITUTE(LEFT(TRIM(C265),FIND(" ",TRIM(C265)&amp;" ")-1),",","."))-1)/MID(SUBSTITUTE(LEFT(TRIM(C265),FIND(" ",TRIM(C265)&amp;" ")-1),",","."),FIND("/",SUBSTITUTE(LEFT(TRIM(C265),FIND(" ",TRIM(C265)&amp;" ")-1),",","."))+1,9))*12,NA()))),0),12)*'Aturan &amp; Tarif'!$B$4,2)</f>
        <v>681.36</v>
      </c>
      <c r="K265" s="32" t="n">
        <f aca="false">'Aturan &amp; Tarif'!$B$5</f>
        <v>2050</v>
      </c>
      <c r="L265" s="35" t="n">
        <f aca="false">I265+J265+K265</f>
        <v>20543.36</v>
      </c>
      <c r="M265" s="37" t="s">
        <v>318</v>
      </c>
    </row>
    <row r="266" customFormat="false" ht="60" hidden="false" customHeight="true" outlineLevel="0" collapsed="false">
      <c r="A266" s="29"/>
      <c r="B266" s="30" t="s">
        <v>418</v>
      </c>
      <c r="C266" s="31" t="s">
        <v>130</v>
      </c>
      <c r="D266" s="31" t="s">
        <v>108</v>
      </c>
      <c r="E266" s="32" t="n">
        <v>5780</v>
      </c>
      <c r="F266" s="32"/>
      <c r="G266" s="32"/>
      <c r="H266" s="33" t="n">
        <v>2</v>
      </c>
      <c r="I266" s="34" t="n">
        <f aca="false">E266*H266+N(F266)+N(G266)</f>
        <v>11560</v>
      </c>
      <c r="J266" s="32" t="n">
        <f aca="false">ROUND(IFERROR(ROUND(IF(OR(ISNUMBER(SEARCH("week",C266)),ISNUMBER(SEARCH("minggu",C266))),IFERROR(_xlfn.NUMBERVALUE(SUBSTITUTE(LEFT(TRIM(C266),FIND(" ",TRIM(C266)&amp;" ")-1),",","."),"."),LEFT(SUBSTITUTE(LEFT(TRIM(C266),FIND(" ",TRIM(C266)&amp;" ")-1),",","."),FIND("/",SUBSTITUTE(LEFT(TRIM(C266),FIND(" ",TRIM(C266)&amp;" ")-1),",","."))-1)/MID(SUBSTITUTE(LEFT(TRIM(C266),FIND(" ",TRIM(C266)&amp;" ")-1),",","."),FIND("/",SUBSTITUTE(LEFT(TRIM(C266),FIND(" ",TRIM(C266)&amp;" ")-1),",","."))+1,9))*12/52,IF(ISNUMBER(SEARCH("month",C266)),IFERROR(_xlfn.NUMBERVALUE(SUBSTITUTE(LEFT(TRIM(C266),FIND(" ",TRIM(C266)&amp;" ")-1),",","."),"."),LEFT(SUBSTITUTE(LEFT(TRIM(C266),FIND(" ",TRIM(C266)&amp;" ")-1),",","."),FIND("/",SUBSTITUTE(LEFT(TRIM(C266),FIND(" ",TRIM(C266)&amp;" ")-1),",","."))-1)/MID(SUBSTITUTE(LEFT(TRIM(C266),FIND(" ",TRIM(C266)&amp;" ")-1),",","."),FIND("/",SUBSTITUTE(LEFT(TRIM(C266),FIND(" ",TRIM(C266)&amp;" ")-1),",","."))+1,9)),IF(ISNUMBER(SEARCH("yea",C266)),IFERROR(_xlfn.NUMBERVALUE(SUBSTITUTE(LEFT(TRIM(C266),FIND(" ",TRIM(C266)&amp;" ")-1),",","."),"."),LEFT(SUBSTITUTE(LEFT(TRIM(C266),FIND(" ",TRIM(C266)&amp;" ")-1),",","."),FIND("/",SUBSTITUTE(LEFT(TRIM(C266),FIND(" ",TRIM(C266)&amp;" ")-1),",","."))-1)/MID(SUBSTITUTE(LEFT(TRIM(C266),FIND(" ",TRIM(C266)&amp;" ")-1),",","."),FIND("/",SUBSTITUTE(LEFT(TRIM(C266),FIND(" ",TRIM(C266)&amp;" ")-1),",","."))+1,9))*12,NA()))),0),12)*'Aturan &amp; Tarif'!$B$4,2)</f>
        <v>681.36</v>
      </c>
      <c r="K266" s="32" t="n">
        <f aca="false">'Aturan &amp; Tarif'!$B$5</f>
        <v>2050</v>
      </c>
      <c r="L266" s="35" t="n">
        <f aca="false">I266+J266+K266</f>
        <v>14291.36</v>
      </c>
      <c r="M266" s="37" t="s">
        <v>318</v>
      </c>
    </row>
    <row r="267" customFormat="false" ht="60" hidden="false" customHeight="true" outlineLevel="0" collapsed="false">
      <c r="A267" s="29"/>
      <c r="B267" s="30" t="s">
        <v>419</v>
      </c>
      <c r="C267" s="31" t="s">
        <v>130</v>
      </c>
      <c r="D267" s="31" t="s">
        <v>108</v>
      </c>
      <c r="E267" s="32" t="n">
        <v>5000</v>
      </c>
      <c r="F267" s="32"/>
      <c r="G267" s="32"/>
      <c r="H267" s="33" t="n">
        <v>2</v>
      </c>
      <c r="I267" s="34" t="n">
        <f aca="false">E267*H267+N(F267)+N(G267)</f>
        <v>10000</v>
      </c>
      <c r="J267" s="32" t="n">
        <f aca="false">ROUND(IFERROR(ROUND(IF(OR(ISNUMBER(SEARCH("week",C267)),ISNUMBER(SEARCH("minggu",C267))),IFERROR(_xlfn.NUMBERVALUE(SUBSTITUTE(LEFT(TRIM(C267),FIND(" ",TRIM(C267)&amp;" ")-1),",","."),"."),LEFT(SUBSTITUTE(LEFT(TRIM(C267),FIND(" ",TRIM(C267)&amp;" ")-1),",","."),FIND("/",SUBSTITUTE(LEFT(TRIM(C267),FIND(" ",TRIM(C267)&amp;" ")-1),",","."))-1)/MID(SUBSTITUTE(LEFT(TRIM(C267),FIND(" ",TRIM(C267)&amp;" ")-1),",","."),FIND("/",SUBSTITUTE(LEFT(TRIM(C267),FIND(" ",TRIM(C267)&amp;" ")-1),",","."))+1,9))*12/52,IF(ISNUMBER(SEARCH("month",C267)),IFERROR(_xlfn.NUMBERVALUE(SUBSTITUTE(LEFT(TRIM(C267),FIND(" ",TRIM(C267)&amp;" ")-1),",","."),"."),LEFT(SUBSTITUTE(LEFT(TRIM(C267),FIND(" ",TRIM(C267)&amp;" ")-1),",","."),FIND("/",SUBSTITUTE(LEFT(TRIM(C267),FIND(" ",TRIM(C267)&amp;" ")-1),",","."))-1)/MID(SUBSTITUTE(LEFT(TRIM(C267),FIND(" ",TRIM(C267)&amp;" ")-1),",","."),FIND("/",SUBSTITUTE(LEFT(TRIM(C267),FIND(" ",TRIM(C267)&amp;" ")-1),",","."))+1,9)),IF(ISNUMBER(SEARCH("yea",C267)),IFERROR(_xlfn.NUMBERVALUE(SUBSTITUTE(LEFT(TRIM(C267),FIND(" ",TRIM(C267)&amp;" ")-1),",","."),"."),LEFT(SUBSTITUTE(LEFT(TRIM(C267),FIND(" ",TRIM(C267)&amp;" ")-1),",","."),FIND("/",SUBSTITUTE(LEFT(TRIM(C267),FIND(" ",TRIM(C267)&amp;" ")-1),",","."))-1)/MID(SUBSTITUTE(LEFT(TRIM(C267),FIND(" ",TRIM(C267)&amp;" ")-1),",","."),FIND("/",SUBSTITUTE(LEFT(TRIM(C267),FIND(" ",TRIM(C267)&amp;" ")-1),",","."))+1,9))*12,NA()))),0),12)*'Aturan &amp; Tarif'!$B$4,2)</f>
        <v>681.36</v>
      </c>
      <c r="K267" s="32" t="n">
        <f aca="false">'Aturan &amp; Tarif'!$B$5</f>
        <v>2050</v>
      </c>
      <c r="L267" s="35" t="n">
        <f aca="false">I267+J267+K267</f>
        <v>12731.36</v>
      </c>
      <c r="M267" s="37" t="s">
        <v>318</v>
      </c>
    </row>
    <row r="268" customFormat="false" ht="12.75" hidden="false" customHeight="true" outlineLevel="0" collapsed="false">
      <c r="A268" s="47" t="s">
        <v>1928</v>
      </c>
      <c r="B268" s="40" t="s">
        <v>1929</v>
      </c>
      <c r="C268" s="41" t="s">
        <v>1930</v>
      </c>
      <c r="D268" s="41" t="s">
        <v>108</v>
      </c>
      <c r="E268" s="42" t="n">
        <v>1350</v>
      </c>
      <c r="F268" s="42" t="n">
        <v>100</v>
      </c>
      <c r="G268" s="42" t="n">
        <v>250</v>
      </c>
      <c r="H268" s="43" t="n">
        <v>1</v>
      </c>
      <c r="I268" s="34" t="n">
        <f aca="false">E268*H268+N(F268)+N(G268)</f>
        <v>1700</v>
      </c>
      <c r="J268" s="42" t="n">
        <f aca="false">ROUND(IFERROR(ROUND(IF(OR(ISNUMBER(SEARCH("week",C268)),ISNUMBER(SEARCH("minggu",C268))),IFERROR(_xlfn.NUMBERVALUE(SUBSTITUTE(LEFT(TRIM(C268),FIND(" ",TRIM(C268)&amp;" ")-1),",","."),"."),LEFT(SUBSTITUTE(LEFT(TRIM(C268),FIND(" ",TRIM(C268)&amp;" ")-1),",","."),FIND("/",SUBSTITUTE(LEFT(TRIM(C268),FIND(" ",TRIM(C268)&amp;" ")-1),",","."))-1)/MID(SUBSTITUTE(LEFT(TRIM(C268),FIND(" ",TRIM(C268)&amp;" ")-1),",","."),FIND("/",SUBSTITUTE(LEFT(TRIM(C268),FIND(" ",TRIM(C268)&amp;" ")-1),",","."))+1,9))*12/52,IF(ISNUMBER(SEARCH("month",C268)),IFERROR(_xlfn.NUMBERVALUE(SUBSTITUTE(LEFT(TRIM(C268),FIND(" ",TRIM(C268)&amp;" ")-1),",","."),"."),LEFT(SUBSTITUTE(LEFT(TRIM(C268),FIND(" ",TRIM(C268)&amp;" ")-1),",","."),FIND("/",SUBSTITUTE(LEFT(TRIM(C268),FIND(" ",TRIM(C268)&amp;" ")-1),",","."))-1)/MID(SUBSTITUTE(LEFT(TRIM(C268),FIND(" ",TRIM(C268)&amp;" ")-1),",","."),FIND("/",SUBSTITUTE(LEFT(TRIM(C268),FIND(" ",TRIM(C268)&amp;" ")-1),",","."))+1,9)),IF(ISNUMBER(SEARCH("yea",C268)),IFERROR(_xlfn.NUMBERVALUE(SUBSTITUTE(LEFT(TRIM(C268),FIND(" ",TRIM(C268)&amp;" ")-1),",","."),"."),LEFT(SUBSTITUTE(LEFT(TRIM(C268),FIND(" ",TRIM(C268)&amp;" ")-1),",","."),FIND("/",SUBSTITUTE(LEFT(TRIM(C268),FIND(" ",TRIM(C268)&amp;" ")-1),",","."))-1)/MID(SUBSTITUTE(LEFT(TRIM(C268),FIND(" ",TRIM(C268)&amp;" ")-1),",","."),FIND("/",SUBSTITUTE(LEFT(TRIM(C268),FIND(" ",TRIM(C268)&amp;" ")-1),",","."))+1,9))*12,NA()))),0),12)*'Aturan &amp; Tarif'!$B$4,2)</f>
        <v>681.36</v>
      </c>
      <c r="K268" s="42" t="n">
        <f aca="false">'Aturan &amp; Tarif'!$B$5</f>
        <v>2050</v>
      </c>
      <c r="L268" s="35" t="n">
        <f aca="false">I268+J268+K268</f>
        <v>4431.36</v>
      </c>
      <c r="M268" s="51" t="s">
        <v>1931</v>
      </c>
    </row>
    <row r="269" customFormat="false" ht="12.75" hidden="false" customHeight="true" outlineLevel="0" collapsed="false">
      <c r="A269" s="39"/>
      <c r="B269" s="40" t="s">
        <v>1932</v>
      </c>
      <c r="C269" s="41" t="s">
        <v>1930</v>
      </c>
      <c r="D269" s="41" t="s">
        <v>108</v>
      </c>
      <c r="E269" s="42" t="n">
        <v>1500</v>
      </c>
      <c r="F269" s="42" t="n">
        <v>100</v>
      </c>
      <c r="G269" s="42" t="n">
        <v>250</v>
      </c>
      <c r="H269" s="43" t="n">
        <v>1</v>
      </c>
      <c r="I269" s="34" t="n">
        <f aca="false">E269*H269+N(F269)+N(G269)</f>
        <v>1850</v>
      </c>
      <c r="J269" s="42" t="n">
        <f aca="false">ROUND(IFERROR(ROUND(IF(OR(ISNUMBER(SEARCH("week",C269)),ISNUMBER(SEARCH("minggu",C269))),IFERROR(_xlfn.NUMBERVALUE(SUBSTITUTE(LEFT(TRIM(C269),FIND(" ",TRIM(C269)&amp;" ")-1),",","."),"."),LEFT(SUBSTITUTE(LEFT(TRIM(C269),FIND(" ",TRIM(C269)&amp;" ")-1),",","."),FIND("/",SUBSTITUTE(LEFT(TRIM(C269),FIND(" ",TRIM(C269)&amp;" ")-1),",","."))-1)/MID(SUBSTITUTE(LEFT(TRIM(C269),FIND(" ",TRIM(C269)&amp;" ")-1),",","."),FIND("/",SUBSTITUTE(LEFT(TRIM(C269),FIND(" ",TRIM(C269)&amp;" ")-1),",","."))+1,9))*12/52,IF(ISNUMBER(SEARCH("month",C269)),IFERROR(_xlfn.NUMBERVALUE(SUBSTITUTE(LEFT(TRIM(C269),FIND(" ",TRIM(C269)&amp;" ")-1),",","."),"."),LEFT(SUBSTITUTE(LEFT(TRIM(C269),FIND(" ",TRIM(C269)&amp;" ")-1),",","."),FIND("/",SUBSTITUTE(LEFT(TRIM(C269),FIND(" ",TRIM(C269)&amp;" ")-1),",","."))-1)/MID(SUBSTITUTE(LEFT(TRIM(C269),FIND(" ",TRIM(C269)&amp;" ")-1),",","."),FIND("/",SUBSTITUTE(LEFT(TRIM(C269),FIND(" ",TRIM(C269)&amp;" ")-1),",","."))+1,9)),IF(ISNUMBER(SEARCH("yea",C269)),IFERROR(_xlfn.NUMBERVALUE(SUBSTITUTE(LEFT(TRIM(C269),FIND(" ",TRIM(C269)&amp;" ")-1),",","."),"."),LEFT(SUBSTITUTE(LEFT(TRIM(C269),FIND(" ",TRIM(C269)&amp;" ")-1),",","."),FIND("/",SUBSTITUTE(LEFT(TRIM(C269),FIND(" ",TRIM(C269)&amp;" ")-1),",","."))-1)/MID(SUBSTITUTE(LEFT(TRIM(C269),FIND(" ",TRIM(C269)&amp;" ")-1),",","."),FIND("/",SUBSTITUTE(LEFT(TRIM(C269),FIND(" ",TRIM(C269)&amp;" ")-1),",","."))+1,9))*12,NA()))),0),12)*'Aturan &amp; Tarif'!$B$4,2)</f>
        <v>681.36</v>
      </c>
      <c r="K269" s="42" t="n">
        <f aca="false">'Aturan &amp; Tarif'!$B$5</f>
        <v>2050</v>
      </c>
      <c r="L269" s="35" t="n">
        <f aca="false">I269+J269+K269</f>
        <v>4581.36</v>
      </c>
      <c r="M269" s="51" t="s">
        <v>1933</v>
      </c>
    </row>
    <row r="270" customFormat="false" ht="12.75" hidden="false" customHeight="true" outlineLevel="0" collapsed="false">
      <c r="A270" s="39"/>
      <c r="B270" s="40" t="s">
        <v>1934</v>
      </c>
      <c r="C270" s="41" t="s">
        <v>1930</v>
      </c>
      <c r="D270" s="41" t="s">
        <v>108</v>
      </c>
      <c r="E270" s="42" t="n">
        <v>1350</v>
      </c>
      <c r="F270" s="42" t="n">
        <v>100</v>
      </c>
      <c r="G270" s="42" t="n">
        <v>250</v>
      </c>
      <c r="H270" s="43" t="n">
        <v>1</v>
      </c>
      <c r="I270" s="34" t="n">
        <f aca="false">E270*H270+N(F270)+N(G270)</f>
        <v>1700</v>
      </c>
      <c r="J270" s="42" t="n">
        <f aca="false">ROUND(IFERROR(ROUND(IF(OR(ISNUMBER(SEARCH("week",C270)),ISNUMBER(SEARCH("minggu",C270))),IFERROR(_xlfn.NUMBERVALUE(SUBSTITUTE(LEFT(TRIM(C270),FIND(" ",TRIM(C270)&amp;" ")-1),",","."),"."),LEFT(SUBSTITUTE(LEFT(TRIM(C270),FIND(" ",TRIM(C270)&amp;" ")-1),",","."),FIND("/",SUBSTITUTE(LEFT(TRIM(C270),FIND(" ",TRIM(C270)&amp;" ")-1),",","."))-1)/MID(SUBSTITUTE(LEFT(TRIM(C270),FIND(" ",TRIM(C270)&amp;" ")-1),",","."),FIND("/",SUBSTITUTE(LEFT(TRIM(C270),FIND(" ",TRIM(C270)&amp;" ")-1),",","."))+1,9))*12/52,IF(ISNUMBER(SEARCH("month",C270)),IFERROR(_xlfn.NUMBERVALUE(SUBSTITUTE(LEFT(TRIM(C270),FIND(" ",TRIM(C270)&amp;" ")-1),",","."),"."),LEFT(SUBSTITUTE(LEFT(TRIM(C270),FIND(" ",TRIM(C270)&amp;" ")-1),",","."),FIND("/",SUBSTITUTE(LEFT(TRIM(C270),FIND(" ",TRIM(C270)&amp;" ")-1),",","."))-1)/MID(SUBSTITUTE(LEFT(TRIM(C270),FIND(" ",TRIM(C270)&amp;" ")-1),",","."),FIND("/",SUBSTITUTE(LEFT(TRIM(C270),FIND(" ",TRIM(C270)&amp;" ")-1),",","."))+1,9)),IF(ISNUMBER(SEARCH("yea",C270)),IFERROR(_xlfn.NUMBERVALUE(SUBSTITUTE(LEFT(TRIM(C270),FIND(" ",TRIM(C270)&amp;" ")-1),",","."),"."),LEFT(SUBSTITUTE(LEFT(TRIM(C270),FIND(" ",TRIM(C270)&amp;" ")-1),",","."),FIND("/",SUBSTITUTE(LEFT(TRIM(C270),FIND(" ",TRIM(C270)&amp;" ")-1),",","."))-1)/MID(SUBSTITUTE(LEFT(TRIM(C270),FIND(" ",TRIM(C270)&amp;" ")-1),",","."),FIND("/",SUBSTITUTE(LEFT(TRIM(C270),FIND(" ",TRIM(C270)&amp;" ")-1),",","."))+1,9))*12,NA()))),0),12)*'Aturan &amp; Tarif'!$B$4,2)</f>
        <v>681.36</v>
      </c>
      <c r="K270" s="42" t="n">
        <f aca="false">'Aturan &amp; Tarif'!$B$5</f>
        <v>2050</v>
      </c>
      <c r="L270" s="35" t="n">
        <f aca="false">I270+J270+K270</f>
        <v>4431.36</v>
      </c>
      <c r="M270" s="51" t="s">
        <v>1931</v>
      </c>
    </row>
    <row r="271" customFormat="false" ht="12.75" hidden="false" customHeight="true" outlineLevel="0" collapsed="false">
      <c r="A271" s="39"/>
      <c r="B271" s="40" t="s">
        <v>1935</v>
      </c>
      <c r="C271" s="41" t="s">
        <v>1930</v>
      </c>
      <c r="D271" s="41" t="s">
        <v>108</v>
      </c>
      <c r="E271" s="42" t="n">
        <v>1500</v>
      </c>
      <c r="F271" s="42" t="n">
        <v>100</v>
      </c>
      <c r="G271" s="42" t="n">
        <v>250</v>
      </c>
      <c r="H271" s="43" t="n">
        <v>1</v>
      </c>
      <c r="I271" s="34" t="n">
        <f aca="false">E271*H271+N(F271)+N(G271)</f>
        <v>1850</v>
      </c>
      <c r="J271" s="42" t="n">
        <f aca="false">ROUND(IFERROR(ROUND(IF(OR(ISNUMBER(SEARCH("week",C271)),ISNUMBER(SEARCH("minggu",C271))),IFERROR(_xlfn.NUMBERVALUE(SUBSTITUTE(LEFT(TRIM(C271),FIND(" ",TRIM(C271)&amp;" ")-1),",","."),"."),LEFT(SUBSTITUTE(LEFT(TRIM(C271),FIND(" ",TRIM(C271)&amp;" ")-1),",","."),FIND("/",SUBSTITUTE(LEFT(TRIM(C271),FIND(" ",TRIM(C271)&amp;" ")-1),",","."))-1)/MID(SUBSTITUTE(LEFT(TRIM(C271),FIND(" ",TRIM(C271)&amp;" ")-1),",","."),FIND("/",SUBSTITUTE(LEFT(TRIM(C271),FIND(" ",TRIM(C271)&amp;" ")-1),",","."))+1,9))*12/52,IF(ISNUMBER(SEARCH("month",C271)),IFERROR(_xlfn.NUMBERVALUE(SUBSTITUTE(LEFT(TRIM(C271),FIND(" ",TRIM(C271)&amp;" ")-1),",","."),"."),LEFT(SUBSTITUTE(LEFT(TRIM(C271),FIND(" ",TRIM(C271)&amp;" ")-1),",","."),FIND("/",SUBSTITUTE(LEFT(TRIM(C271),FIND(" ",TRIM(C271)&amp;" ")-1),",","."))-1)/MID(SUBSTITUTE(LEFT(TRIM(C271),FIND(" ",TRIM(C271)&amp;" ")-1),",","."),FIND("/",SUBSTITUTE(LEFT(TRIM(C271),FIND(" ",TRIM(C271)&amp;" ")-1),",","."))+1,9)),IF(ISNUMBER(SEARCH("yea",C271)),IFERROR(_xlfn.NUMBERVALUE(SUBSTITUTE(LEFT(TRIM(C271),FIND(" ",TRIM(C271)&amp;" ")-1),",","."),"."),LEFT(SUBSTITUTE(LEFT(TRIM(C271),FIND(" ",TRIM(C271)&amp;" ")-1),",","."),FIND("/",SUBSTITUTE(LEFT(TRIM(C271),FIND(" ",TRIM(C271)&amp;" ")-1),",","."))-1)/MID(SUBSTITUTE(LEFT(TRIM(C271),FIND(" ",TRIM(C271)&amp;" ")-1),",","."),FIND("/",SUBSTITUTE(LEFT(TRIM(C271),FIND(" ",TRIM(C271)&amp;" ")-1),",","."))+1,9))*12,NA()))),0),12)*'Aturan &amp; Tarif'!$B$4,2)</f>
        <v>681.36</v>
      </c>
      <c r="K271" s="42" t="n">
        <f aca="false">'Aturan &amp; Tarif'!$B$5</f>
        <v>2050</v>
      </c>
      <c r="L271" s="35" t="n">
        <f aca="false">I271+J271+K271</f>
        <v>4581.36</v>
      </c>
      <c r="M271" s="51" t="s">
        <v>1933</v>
      </c>
    </row>
    <row r="272" customFormat="false" ht="12.75" hidden="false" customHeight="true" outlineLevel="0" collapsed="false">
      <c r="A272" s="39"/>
      <c r="B272" s="40" t="s">
        <v>1936</v>
      </c>
      <c r="C272" s="41" t="s">
        <v>1937</v>
      </c>
      <c r="D272" s="41" t="s">
        <v>108</v>
      </c>
      <c r="E272" s="42" t="n">
        <v>1980</v>
      </c>
      <c r="F272" s="42" t="n">
        <v>100</v>
      </c>
      <c r="G272" s="42" t="n">
        <v>250</v>
      </c>
      <c r="H272" s="43" t="n">
        <v>1</v>
      </c>
      <c r="I272" s="34" t="n">
        <f aca="false">E272*H272+N(F272)+N(G272)</f>
        <v>2330</v>
      </c>
      <c r="J272" s="42" t="n">
        <f aca="false">ROUND(IFERROR(ROUND(IF(OR(ISNUMBER(SEARCH("week",C272)),ISNUMBER(SEARCH("minggu",C272))),IFERROR(_xlfn.NUMBERVALUE(SUBSTITUTE(LEFT(TRIM(C272),FIND(" ",TRIM(C272)&amp;" ")-1),",","."),"."),LEFT(SUBSTITUTE(LEFT(TRIM(C272),FIND(" ",TRIM(C272)&amp;" ")-1),",","."),FIND("/",SUBSTITUTE(LEFT(TRIM(C272),FIND(" ",TRIM(C272)&amp;" ")-1),",","."))-1)/MID(SUBSTITUTE(LEFT(TRIM(C272),FIND(" ",TRIM(C272)&amp;" ")-1),",","."),FIND("/",SUBSTITUTE(LEFT(TRIM(C272),FIND(" ",TRIM(C272)&amp;" ")-1),",","."))+1,9))*12/52,IF(ISNUMBER(SEARCH("month",C272)),IFERROR(_xlfn.NUMBERVALUE(SUBSTITUTE(LEFT(TRIM(C272),FIND(" ",TRIM(C272)&amp;" ")-1),",","."),"."),LEFT(SUBSTITUTE(LEFT(TRIM(C272),FIND(" ",TRIM(C272)&amp;" ")-1),",","."),FIND("/",SUBSTITUTE(LEFT(TRIM(C272),FIND(" ",TRIM(C272)&amp;" ")-1),",","."))-1)/MID(SUBSTITUTE(LEFT(TRIM(C272),FIND(" ",TRIM(C272)&amp;" ")-1),",","."),FIND("/",SUBSTITUTE(LEFT(TRIM(C272),FIND(" ",TRIM(C272)&amp;" ")-1),",","."))+1,9)),IF(ISNUMBER(SEARCH("yea",C272)),IFERROR(_xlfn.NUMBERVALUE(SUBSTITUTE(LEFT(TRIM(C272),FIND(" ",TRIM(C272)&amp;" ")-1),",","."),"."),LEFT(SUBSTITUTE(LEFT(TRIM(C272),FIND(" ",TRIM(C272)&amp;" ")-1),",","."),FIND("/",SUBSTITUTE(LEFT(TRIM(C272),FIND(" ",TRIM(C272)&amp;" ")-1),",","."))-1)/MID(SUBSTITUTE(LEFT(TRIM(C272),FIND(" ",TRIM(C272)&amp;" ")-1),",","."),FIND("/",SUBSTITUTE(LEFT(TRIM(C272),FIND(" ",TRIM(C272)&amp;" ")-1),",","."))+1,9))*12,NA()))),0),24)*'Aturan &amp; Tarif'!$B$4,2)</f>
        <v>1362.72</v>
      </c>
      <c r="K272" s="42" t="n">
        <f aca="false">'Aturan &amp; Tarif'!$B$5</f>
        <v>2050</v>
      </c>
      <c r="L272" s="35" t="n">
        <f aca="false">I272+J272+K272</f>
        <v>5742.72</v>
      </c>
      <c r="M272" s="51" t="s">
        <v>1938</v>
      </c>
    </row>
    <row r="273" customFormat="false" ht="12.75" hidden="false" customHeight="true" outlineLevel="0" collapsed="false">
      <c r="A273" s="39"/>
      <c r="B273" s="40" t="s">
        <v>1939</v>
      </c>
      <c r="C273" s="41" t="s">
        <v>1930</v>
      </c>
      <c r="D273" s="41" t="s">
        <v>108</v>
      </c>
      <c r="E273" s="42" t="n">
        <v>1710</v>
      </c>
      <c r="F273" s="42" t="n">
        <v>100</v>
      </c>
      <c r="G273" s="42" t="n">
        <v>250</v>
      </c>
      <c r="H273" s="43" t="n">
        <v>1</v>
      </c>
      <c r="I273" s="34" t="n">
        <f aca="false">E273*H273+N(F273)+N(G273)</f>
        <v>2060</v>
      </c>
      <c r="J273" s="42" t="n">
        <f aca="false">ROUND(IFERROR(ROUND(IF(OR(ISNUMBER(SEARCH("week",C273)),ISNUMBER(SEARCH("minggu",C273))),IFERROR(_xlfn.NUMBERVALUE(SUBSTITUTE(LEFT(TRIM(C273),FIND(" ",TRIM(C273)&amp;" ")-1),",","."),"."),LEFT(SUBSTITUTE(LEFT(TRIM(C273),FIND(" ",TRIM(C273)&amp;" ")-1),",","."),FIND("/",SUBSTITUTE(LEFT(TRIM(C273),FIND(" ",TRIM(C273)&amp;" ")-1),",","."))-1)/MID(SUBSTITUTE(LEFT(TRIM(C273),FIND(" ",TRIM(C273)&amp;" ")-1),",","."),FIND("/",SUBSTITUTE(LEFT(TRIM(C273),FIND(" ",TRIM(C273)&amp;" ")-1),",","."))+1,9))*12/52,IF(ISNUMBER(SEARCH("month",C273)),IFERROR(_xlfn.NUMBERVALUE(SUBSTITUTE(LEFT(TRIM(C273),FIND(" ",TRIM(C273)&amp;" ")-1),",","."),"."),LEFT(SUBSTITUTE(LEFT(TRIM(C273),FIND(" ",TRIM(C273)&amp;" ")-1),",","."),FIND("/",SUBSTITUTE(LEFT(TRIM(C273),FIND(" ",TRIM(C273)&amp;" ")-1),",","."))-1)/MID(SUBSTITUTE(LEFT(TRIM(C273),FIND(" ",TRIM(C273)&amp;" ")-1),",","."),FIND("/",SUBSTITUTE(LEFT(TRIM(C273),FIND(" ",TRIM(C273)&amp;" ")-1),",","."))+1,9)),IF(ISNUMBER(SEARCH("yea",C273)),IFERROR(_xlfn.NUMBERVALUE(SUBSTITUTE(LEFT(TRIM(C273),FIND(" ",TRIM(C273)&amp;" ")-1),",","."),"."),LEFT(SUBSTITUTE(LEFT(TRIM(C273),FIND(" ",TRIM(C273)&amp;" ")-1),",","."),FIND("/",SUBSTITUTE(LEFT(TRIM(C273),FIND(" ",TRIM(C273)&amp;" ")-1),",","."))-1)/MID(SUBSTITUTE(LEFT(TRIM(C273),FIND(" ",TRIM(C273)&amp;" ")-1),",","."),FIND("/",SUBSTITUTE(LEFT(TRIM(C273),FIND(" ",TRIM(C273)&amp;" ")-1),",","."))+1,9))*12,NA()))),0),12)*'Aturan &amp; Tarif'!$B$4,2)</f>
        <v>681.36</v>
      </c>
      <c r="K273" s="42" t="n">
        <f aca="false">'Aturan &amp; Tarif'!$B$5</f>
        <v>2050</v>
      </c>
      <c r="L273" s="35" t="n">
        <f aca="false">I273+J273+K273</f>
        <v>4791.36</v>
      </c>
      <c r="M273" s="51" t="s">
        <v>1940</v>
      </c>
    </row>
    <row r="274" customFormat="false" ht="81.75" hidden="false" customHeight="true" outlineLevel="0" collapsed="false">
      <c r="A274" s="39"/>
      <c r="B274" s="40" t="s">
        <v>1941</v>
      </c>
      <c r="C274" s="41" t="s">
        <v>1942</v>
      </c>
      <c r="D274" s="41" t="s">
        <v>108</v>
      </c>
      <c r="E274" s="42" t="n">
        <v>1800</v>
      </c>
      <c r="F274" s="42" t="n">
        <v>100</v>
      </c>
      <c r="G274" s="42" t="n">
        <v>250</v>
      </c>
      <c r="H274" s="43" t="n">
        <v>1</v>
      </c>
      <c r="I274" s="34" t="n">
        <f aca="false">E274*H274+N(F274)+N(G274)</f>
        <v>2150</v>
      </c>
      <c r="J274" s="42" t="n">
        <f aca="false">ROUND(IFERROR(ROUND(IF(OR(ISNUMBER(SEARCH("week",C274)),ISNUMBER(SEARCH("minggu",C274))),IFERROR(_xlfn.NUMBERVALUE(SUBSTITUTE(LEFT(TRIM(C274),FIND(" ",TRIM(C274)&amp;" ")-1),",","."),"."),LEFT(SUBSTITUTE(LEFT(TRIM(C274),FIND(" ",TRIM(C274)&amp;" ")-1),",","."),FIND("/",SUBSTITUTE(LEFT(TRIM(C274),FIND(" ",TRIM(C274)&amp;" ")-1),",","."))-1)/MID(SUBSTITUTE(LEFT(TRIM(C274),FIND(" ",TRIM(C274)&amp;" ")-1),",","."),FIND("/",SUBSTITUTE(LEFT(TRIM(C274),FIND(" ",TRIM(C274)&amp;" ")-1),",","."))+1,9))*12/52,IF(ISNUMBER(SEARCH("month",C274)),IFERROR(_xlfn.NUMBERVALUE(SUBSTITUTE(LEFT(TRIM(C274),FIND(" ",TRIM(C274)&amp;" ")-1),",","."),"."),LEFT(SUBSTITUTE(LEFT(TRIM(C274),FIND(" ",TRIM(C274)&amp;" ")-1),",","."),FIND("/",SUBSTITUTE(LEFT(TRIM(C274),FIND(" ",TRIM(C274)&amp;" ")-1),",","."))-1)/MID(SUBSTITUTE(LEFT(TRIM(C274),FIND(" ",TRIM(C274)&amp;" ")-1),",","."),FIND("/",SUBSTITUTE(LEFT(TRIM(C274),FIND(" ",TRIM(C274)&amp;" ")-1),",","."))+1,9)),IF(ISNUMBER(SEARCH("yea",C274)),IFERROR(_xlfn.NUMBERVALUE(SUBSTITUTE(LEFT(TRIM(C274),FIND(" ",TRIM(C274)&amp;" ")-1),",","."),"."),LEFT(SUBSTITUTE(LEFT(TRIM(C274),FIND(" ",TRIM(C274)&amp;" ")-1),",","."),FIND("/",SUBSTITUTE(LEFT(TRIM(C274),FIND(" ",TRIM(C274)&amp;" ")-1),",","."))-1)/MID(SUBSTITUTE(LEFT(TRIM(C274),FIND(" ",TRIM(C274)&amp;" ")-1),",","."),FIND("/",SUBSTITUTE(LEFT(TRIM(C274),FIND(" ",TRIM(C274)&amp;" ")-1),",","."))+1,9))*12,NA()))),0),18)*'Aturan &amp; Tarif'!$B$4,2)</f>
        <v>1022.04</v>
      </c>
      <c r="K274" s="42" t="n">
        <f aca="false">'Aturan &amp; Tarif'!$B$5</f>
        <v>2050</v>
      </c>
      <c r="L274" s="35" t="n">
        <f aca="false">I274+J274+K274</f>
        <v>5222.04</v>
      </c>
      <c r="M274" s="51" t="s">
        <v>1943</v>
      </c>
    </row>
    <row r="275" customFormat="false" ht="15" hidden="false" customHeight="true" outlineLevel="0" collapsed="false">
      <c r="A275" s="39"/>
      <c r="B275" s="40" t="s">
        <v>1944</v>
      </c>
      <c r="C275" s="41" t="s">
        <v>1930</v>
      </c>
      <c r="D275" s="41" t="s">
        <v>108</v>
      </c>
      <c r="E275" s="42" t="n">
        <v>1890</v>
      </c>
      <c r="F275" s="42" t="n">
        <v>100</v>
      </c>
      <c r="G275" s="42" t="n">
        <v>250</v>
      </c>
      <c r="H275" s="43" t="n">
        <v>1</v>
      </c>
      <c r="I275" s="34" t="n">
        <f aca="false">E275*H275+N(F275)+N(G275)</f>
        <v>2240</v>
      </c>
      <c r="J275" s="42" t="n">
        <f aca="false">ROUND(IFERROR(ROUND(IF(OR(ISNUMBER(SEARCH("week",C275)),ISNUMBER(SEARCH("minggu",C275))),IFERROR(_xlfn.NUMBERVALUE(SUBSTITUTE(LEFT(TRIM(C275),FIND(" ",TRIM(C275)&amp;" ")-1),",","."),"."),LEFT(SUBSTITUTE(LEFT(TRIM(C275),FIND(" ",TRIM(C275)&amp;" ")-1),",","."),FIND("/",SUBSTITUTE(LEFT(TRIM(C275),FIND(" ",TRIM(C275)&amp;" ")-1),",","."))-1)/MID(SUBSTITUTE(LEFT(TRIM(C275),FIND(" ",TRIM(C275)&amp;" ")-1),",","."),FIND("/",SUBSTITUTE(LEFT(TRIM(C275),FIND(" ",TRIM(C275)&amp;" ")-1),",","."))+1,9))*12/52,IF(ISNUMBER(SEARCH("month",C275)),IFERROR(_xlfn.NUMBERVALUE(SUBSTITUTE(LEFT(TRIM(C275),FIND(" ",TRIM(C275)&amp;" ")-1),",","."),"."),LEFT(SUBSTITUTE(LEFT(TRIM(C275),FIND(" ",TRIM(C275)&amp;" ")-1),",","."),FIND("/",SUBSTITUTE(LEFT(TRIM(C275),FIND(" ",TRIM(C275)&amp;" ")-1),",","."))-1)/MID(SUBSTITUTE(LEFT(TRIM(C275),FIND(" ",TRIM(C275)&amp;" ")-1),",","."),FIND("/",SUBSTITUTE(LEFT(TRIM(C275),FIND(" ",TRIM(C275)&amp;" ")-1),",","."))+1,9)),IF(ISNUMBER(SEARCH("yea",C275)),IFERROR(_xlfn.NUMBERVALUE(SUBSTITUTE(LEFT(TRIM(C275),FIND(" ",TRIM(C275)&amp;" ")-1),",","."),"."),LEFT(SUBSTITUTE(LEFT(TRIM(C275),FIND(" ",TRIM(C275)&amp;" ")-1),",","."),FIND("/",SUBSTITUTE(LEFT(TRIM(C275),FIND(" ",TRIM(C275)&amp;" ")-1),",","."))-1)/MID(SUBSTITUTE(LEFT(TRIM(C275),FIND(" ",TRIM(C275)&amp;" ")-1),",","."),FIND("/",SUBSTITUTE(LEFT(TRIM(C275),FIND(" ",TRIM(C275)&amp;" ")-1),",","."))+1,9))*12,NA()))),0),12)*'Aturan &amp; Tarif'!$B$4,2)</f>
        <v>681.36</v>
      </c>
      <c r="K275" s="42" t="n">
        <f aca="false">'Aturan &amp; Tarif'!$B$5</f>
        <v>2050</v>
      </c>
      <c r="L275" s="35" t="n">
        <f aca="false">I275+J275+K275</f>
        <v>4971.36</v>
      </c>
      <c r="M275" s="51" t="s">
        <v>1945</v>
      </c>
    </row>
    <row r="276" customFormat="false" ht="18.75" hidden="false" customHeight="true" outlineLevel="0" collapsed="false">
      <c r="A276" s="39"/>
      <c r="B276" s="40" t="s">
        <v>1946</v>
      </c>
      <c r="C276" s="41" t="s">
        <v>1930</v>
      </c>
      <c r="D276" s="41" t="s">
        <v>108</v>
      </c>
      <c r="E276" s="42" t="n">
        <v>1800</v>
      </c>
      <c r="F276" s="42" t="n">
        <v>100</v>
      </c>
      <c r="G276" s="42" t="n">
        <v>250</v>
      </c>
      <c r="H276" s="43" t="n">
        <v>1</v>
      </c>
      <c r="I276" s="34" t="n">
        <f aca="false">E276*H276+N(F276)+N(G276)</f>
        <v>2150</v>
      </c>
      <c r="J276" s="42" t="n">
        <f aca="false">ROUND(IFERROR(ROUND(IF(OR(ISNUMBER(SEARCH("week",C276)),ISNUMBER(SEARCH("minggu",C276))),IFERROR(_xlfn.NUMBERVALUE(SUBSTITUTE(LEFT(TRIM(C276),FIND(" ",TRIM(C276)&amp;" ")-1),",","."),"."),LEFT(SUBSTITUTE(LEFT(TRIM(C276),FIND(" ",TRIM(C276)&amp;" ")-1),",","."),FIND("/",SUBSTITUTE(LEFT(TRIM(C276),FIND(" ",TRIM(C276)&amp;" ")-1),",","."))-1)/MID(SUBSTITUTE(LEFT(TRIM(C276),FIND(" ",TRIM(C276)&amp;" ")-1),",","."),FIND("/",SUBSTITUTE(LEFT(TRIM(C276),FIND(" ",TRIM(C276)&amp;" ")-1),",","."))+1,9))*12/52,IF(ISNUMBER(SEARCH("month",C276)),IFERROR(_xlfn.NUMBERVALUE(SUBSTITUTE(LEFT(TRIM(C276),FIND(" ",TRIM(C276)&amp;" ")-1),",","."),"."),LEFT(SUBSTITUTE(LEFT(TRIM(C276),FIND(" ",TRIM(C276)&amp;" ")-1),",","."),FIND("/",SUBSTITUTE(LEFT(TRIM(C276),FIND(" ",TRIM(C276)&amp;" ")-1),",","."))-1)/MID(SUBSTITUTE(LEFT(TRIM(C276),FIND(" ",TRIM(C276)&amp;" ")-1),",","."),FIND("/",SUBSTITUTE(LEFT(TRIM(C276),FIND(" ",TRIM(C276)&amp;" ")-1),",","."))+1,9)),IF(ISNUMBER(SEARCH("yea",C276)),IFERROR(_xlfn.NUMBERVALUE(SUBSTITUTE(LEFT(TRIM(C276),FIND(" ",TRIM(C276)&amp;" ")-1),",","."),"."),LEFT(SUBSTITUTE(LEFT(TRIM(C276),FIND(" ",TRIM(C276)&amp;" ")-1),",","."),FIND("/",SUBSTITUTE(LEFT(TRIM(C276),FIND(" ",TRIM(C276)&amp;" ")-1),",","."))-1)/MID(SUBSTITUTE(LEFT(TRIM(C276),FIND(" ",TRIM(C276)&amp;" ")-1),",","."),FIND("/",SUBSTITUTE(LEFT(TRIM(C276),FIND(" ",TRIM(C276)&amp;" ")-1),",","."))+1,9))*12,NA()))),0),12)*'Aturan &amp; Tarif'!$B$4,2)</f>
        <v>681.36</v>
      </c>
      <c r="K276" s="42" t="n">
        <f aca="false">'Aturan &amp; Tarif'!$B$5</f>
        <v>2050</v>
      </c>
      <c r="L276" s="35" t="n">
        <f aca="false">I276+J276+K276</f>
        <v>4881.36</v>
      </c>
      <c r="M276" s="51" t="s">
        <v>1947</v>
      </c>
    </row>
    <row r="277" customFormat="false" ht="15" hidden="false" customHeight="true" outlineLevel="0" collapsed="false">
      <c r="A277" s="39"/>
      <c r="B277" s="40" t="s">
        <v>1948</v>
      </c>
      <c r="C277" s="41" t="s">
        <v>1937</v>
      </c>
      <c r="D277" s="41" t="s">
        <v>108</v>
      </c>
      <c r="E277" s="42" t="n">
        <v>1890</v>
      </c>
      <c r="F277" s="42" t="n">
        <v>100</v>
      </c>
      <c r="G277" s="42" t="n">
        <v>250</v>
      </c>
      <c r="H277" s="43" t="n">
        <v>1</v>
      </c>
      <c r="I277" s="34" t="n">
        <f aca="false">E277*H277+N(F277)+N(G277)</f>
        <v>2240</v>
      </c>
      <c r="J277" s="42" t="n">
        <f aca="false">ROUND(IFERROR(ROUND(IF(OR(ISNUMBER(SEARCH("week",C277)),ISNUMBER(SEARCH("minggu",C277))),IFERROR(_xlfn.NUMBERVALUE(SUBSTITUTE(LEFT(TRIM(C277),FIND(" ",TRIM(C277)&amp;" ")-1),",","."),"."),LEFT(SUBSTITUTE(LEFT(TRIM(C277),FIND(" ",TRIM(C277)&amp;" ")-1),",","."),FIND("/",SUBSTITUTE(LEFT(TRIM(C277),FIND(" ",TRIM(C277)&amp;" ")-1),",","."))-1)/MID(SUBSTITUTE(LEFT(TRIM(C277),FIND(" ",TRIM(C277)&amp;" ")-1),",","."),FIND("/",SUBSTITUTE(LEFT(TRIM(C277),FIND(" ",TRIM(C277)&amp;" ")-1),",","."))+1,9))*12/52,IF(ISNUMBER(SEARCH("month",C277)),IFERROR(_xlfn.NUMBERVALUE(SUBSTITUTE(LEFT(TRIM(C277),FIND(" ",TRIM(C277)&amp;" ")-1),",","."),"."),LEFT(SUBSTITUTE(LEFT(TRIM(C277),FIND(" ",TRIM(C277)&amp;" ")-1),",","."),FIND("/",SUBSTITUTE(LEFT(TRIM(C277),FIND(" ",TRIM(C277)&amp;" ")-1),",","."))-1)/MID(SUBSTITUTE(LEFT(TRIM(C277),FIND(" ",TRIM(C277)&amp;" ")-1),",","."),FIND("/",SUBSTITUTE(LEFT(TRIM(C277),FIND(" ",TRIM(C277)&amp;" ")-1),",","."))+1,9)),IF(ISNUMBER(SEARCH("yea",C277)),IFERROR(_xlfn.NUMBERVALUE(SUBSTITUTE(LEFT(TRIM(C277),FIND(" ",TRIM(C277)&amp;" ")-1),",","."),"."),LEFT(SUBSTITUTE(LEFT(TRIM(C277),FIND(" ",TRIM(C277)&amp;" ")-1),",","."),FIND("/",SUBSTITUTE(LEFT(TRIM(C277),FIND(" ",TRIM(C277)&amp;" ")-1),",","."))-1)/MID(SUBSTITUTE(LEFT(TRIM(C277),FIND(" ",TRIM(C277)&amp;" ")-1),",","."),FIND("/",SUBSTITUTE(LEFT(TRIM(C277),FIND(" ",TRIM(C277)&amp;" ")-1),",","."))+1,9))*12,NA()))),0),24)*'Aturan &amp; Tarif'!$B$4,2)</f>
        <v>1362.72</v>
      </c>
      <c r="K277" s="42" t="n">
        <f aca="false">'Aturan &amp; Tarif'!$B$5</f>
        <v>2050</v>
      </c>
      <c r="L277" s="35" t="n">
        <f aca="false">I277+J277+K277</f>
        <v>5652.72</v>
      </c>
      <c r="M277" s="51" t="s">
        <v>1949</v>
      </c>
    </row>
    <row r="278" customFormat="false" ht="18.75" hidden="false" customHeight="true" outlineLevel="0" collapsed="false">
      <c r="A278" s="39"/>
      <c r="B278" s="40" t="s">
        <v>1950</v>
      </c>
      <c r="C278" s="41" t="s">
        <v>1930</v>
      </c>
      <c r="D278" s="41" t="s">
        <v>108</v>
      </c>
      <c r="E278" s="42" t="n">
        <v>1710</v>
      </c>
      <c r="F278" s="42" t="n">
        <v>100</v>
      </c>
      <c r="G278" s="42" t="n">
        <v>250</v>
      </c>
      <c r="H278" s="43" t="n">
        <v>1</v>
      </c>
      <c r="I278" s="34" t="n">
        <f aca="false">E278*H278+N(F278)+N(G278)</f>
        <v>2060</v>
      </c>
      <c r="J278" s="42" t="n">
        <f aca="false">ROUND(IFERROR(ROUND(IF(OR(ISNUMBER(SEARCH("week",C278)),ISNUMBER(SEARCH("minggu",C278))),IFERROR(_xlfn.NUMBERVALUE(SUBSTITUTE(LEFT(TRIM(C278),FIND(" ",TRIM(C278)&amp;" ")-1),",","."),"."),LEFT(SUBSTITUTE(LEFT(TRIM(C278),FIND(" ",TRIM(C278)&amp;" ")-1),",","."),FIND("/",SUBSTITUTE(LEFT(TRIM(C278),FIND(" ",TRIM(C278)&amp;" ")-1),",","."))-1)/MID(SUBSTITUTE(LEFT(TRIM(C278),FIND(" ",TRIM(C278)&amp;" ")-1),",","."),FIND("/",SUBSTITUTE(LEFT(TRIM(C278),FIND(" ",TRIM(C278)&amp;" ")-1),",","."))+1,9))*12/52,IF(ISNUMBER(SEARCH("month",C278)),IFERROR(_xlfn.NUMBERVALUE(SUBSTITUTE(LEFT(TRIM(C278),FIND(" ",TRIM(C278)&amp;" ")-1),",","."),"."),LEFT(SUBSTITUTE(LEFT(TRIM(C278),FIND(" ",TRIM(C278)&amp;" ")-1),",","."),FIND("/",SUBSTITUTE(LEFT(TRIM(C278),FIND(" ",TRIM(C278)&amp;" ")-1),",","."))-1)/MID(SUBSTITUTE(LEFT(TRIM(C278),FIND(" ",TRIM(C278)&amp;" ")-1),",","."),FIND("/",SUBSTITUTE(LEFT(TRIM(C278),FIND(" ",TRIM(C278)&amp;" ")-1),",","."))+1,9)),IF(ISNUMBER(SEARCH("yea",C278)),IFERROR(_xlfn.NUMBERVALUE(SUBSTITUTE(LEFT(TRIM(C278),FIND(" ",TRIM(C278)&amp;" ")-1),",","."),"."),LEFT(SUBSTITUTE(LEFT(TRIM(C278),FIND(" ",TRIM(C278)&amp;" ")-1),",","."),FIND("/",SUBSTITUTE(LEFT(TRIM(C278),FIND(" ",TRIM(C278)&amp;" ")-1),",","."))-1)/MID(SUBSTITUTE(LEFT(TRIM(C278),FIND(" ",TRIM(C278)&amp;" ")-1),",","."),FIND("/",SUBSTITUTE(LEFT(TRIM(C278),FIND(" ",TRIM(C278)&amp;" ")-1),",","."))+1,9))*12,NA()))),0),12)*'Aturan &amp; Tarif'!$B$4,2)</f>
        <v>681.36</v>
      </c>
      <c r="K278" s="42" t="n">
        <f aca="false">'Aturan &amp; Tarif'!$B$5</f>
        <v>2050</v>
      </c>
      <c r="L278" s="35" t="n">
        <f aca="false">I278+J278+K278</f>
        <v>4791.36</v>
      </c>
      <c r="M278" s="51" t="s">
        <v>1940</v>
      </c>
    </row>
    <row r="279" customFormat="false" ht="27.75" hidden="false" customHeight="true" outlineLevel="0" collapsed="false">
      <c r="A279" s="39"/>
      <c r="B279" s="40" t="s">
        <v>1951</v>
      </c>
      <c r="C279" s="41" t="s">
        <v>1930</v>
      </c>
      <c r="D279" s="41" t="s">
        <v>108</v>
      </c>
      <c r="E279" s="42" t="n">
        <v>1800</v>
      </c>
      <c r="F279" s="42" t="n">
        <v>100</v>
      </c>
      <c r="G279" s="42" t="n">
        <v>250</v>
      </c>
      <c r="H279" s="43" t="n">
        <v>1</v>
      </c>
      <c r="I279" s="34" t="n">
        <f aca="false">E279*H279+N(F279)+N(G279)</f>
        <v>2150</v>
      </c>
      <c r="J279" s="42" t="n">
        <f aca="false">ROUND(IFERROR(ROUND(IF(OR(ISNUMBER(SEARCH("week",C279)),ISNUMBER(SEARCH("minggu",C279))),IFERROR(_xlfn.NUMBERVALUE(SUBSTITUTE(LEFT(TRIM(C279),FIND(" ",TRIM(C279)&amp;" ")-1),",","."),"."),LEFT(SUBSTITUTE(LEFT(TRIM(C279),FIND(" ",TRIM(C279)&amp;" ")-1),",","."),FIND("/",SUBSTITUTE(LEFT(TRIM(C279),FIND(" ",TRIM(C279)&amp;" ")-1),",","."))-1)/MID(SUBSTITUTE(LEFT(TRIM(C279),FIND(" ",TRIM(C279)&amp;" ")-1),",","."),FIND("/",SUBSTITUTE(LEFT(TRIM(C279),FIND(" ",TRIM(C279)&amp;" ")-1),",","."))+1,9))*12/52,IF(ISNUMBER(SEARCH("month",C279)),IFERROR(_xlfn.NUMBERVALUE(SUBSTITUTE(LEFT(TRIM(C279),FIND(" ",TRIM(C279)&amp;" ")-1),",","."),"."),LEFT(SUBSTITUTE(LEFT(TRIM(C279),FIND(" ",TRIM(C279)&amp;" ")-1),",","."),FIND("/",SUBSTITUTE(LEFT(TRIM(C279),FIND(" ",TRIM(C279)&amp;" ")-1),",","."))-1)/MID(SUBSTITUTE(LEFT(TRIM(C279),FIND(" ",TRIM(C279)&amp;" ")-1),",","."),FIND("/",SUBSTITUTE(LEFT(TRIM(C279),FIND(" ",TRIM(C279)&amp;" ")-1),",","."))+1,9)),IF(ISNUMBER(SEARCH("yea",C279)),IFERROR(_xlfn.NUMBERVALUE(SUBSTITUTE(LEFT(TRIM(C279),FIND(" ",TRIM(C279)&amp;" ")-1),",","."),"."),LEFT(SUBSTITUTE(LEFT(TRIM(C279),FIND(" ",TRIM(C279)&amp;" ")-1),",","."),FIND("/",SUBSTITUTE(LEFT(TRIM(C279),FIND(" ",TRIM(C279)&amp;" ")-1),",","."))-1)/MID(SUBSTITUTE(LEFT(TRIM(C279),FIND(" ",TRIM(C279)&amp;" ")-1),",","."),FIND("/",SUBSTITUTE(LEFT(TRIM(C279),FIND(" ",TRIM(C279)&amp;" ")-1),",","."))+1,9))*12,NA()))),0),12)*'Aturan &amp; Tarif'!$B$4,2)</f>
        <v>681.36</v>
      </c>
      <c r="K279" s="42" t="n">
        <f aca="false">'Aturan &amp; Tarif'!$B$5</f>
        <v>2050</v>
      </c>
      <c r="L279" s="35" t="n">
        <f aca="false">I279+J279+K279</f>
        <v>4881.36</v>
      </c>
      <c r="M279" s="51" t="s">
        <v>1947</v>
      </c>
    </row>
    <row r="280" customFormat="false" ht="18.75" hidden="false" customHeight="true" outlineLevel="0" collapsed="false">
      <c r="A280" s="39"/>
      <c r="B280" s="40" t="s">
        <v>1952</v>
      </c>
      <c r="C280" s="41" t="s">
        <v>1930</v>
      </c>
      <c r="D280" s="41" t="s">
        <v>108</v>
      </c>
      <c r="E280" s="42" t="n">
        <v>1890</v>
      </c>
      <c r="F280" s="42" t="n">
        <v>100</v>
      </c>
      <c r="G280" s="42" t="n">
        <v>250</v>
      </c>
      <c r="H280" s="43" t="n">
        <v>1</v>
      </c>
      <c r="I280" s="34" t="n">
        <f aca="false">E280*H280+N(F280)+N(G280)</f>
        <v>2240</v>
      </c>
      <c r="J280" s="42" t="n">
        <f aca="false">ROUND(IFERROR(ROUND(IF(OR(ISNUMBER(SEARCH("week",C280)),ISNUMBER(SEARCH("minggu",C280))),IFERROR(_xlfn.NUMBERVALUE(SUBSTITUTE(LEFT(TRIM(C280),FIND(" ",TRIM(C280)&amp;" ")-1),",","."),"."),LEFT(SUBSTITUTE(LEFT(TRIM(C280),FIND(" ",TRIM(C280)&amp;" ")-1),",","."),FIND("/",SUBSTITUTE(LEFT(TRIM(C280),FIND(" ",TRIM(C280)&amp;" ")-1),",","."))-1)/MID(SUBSTITUTE(LEFT(TRIM(C280),FIND(" ",TRIM(C280)&amp;" ")-1),",","."),FIND("/",SUBSTITUTE(LEFT(TRIM(C280),FIND(" ",TRIM(C280)&amp;" ")-1),",","."))+1,9))*12/52,IF(ISNUMBER(SEARCH("month",C280)),IFERROR(_xlfn.NUMBERVALUE(SUBSTITUTE(LEFT(TRIM(C280),FIND(" ",TRIM(C280)&amp;" ")-1),",","."),"."),LEFT(SUBSTITUTE(LEFT(TRIM(C280),FIND(" ",TRIM(C280)&amp;" ")-1),",","."),FIND("/",SUBSTITUTE(LEFT(TRIM(C280),FIND(" ",TRIM(C280)&amp;" ")-1),",","."))-1)/MID(SUBSTITUTE(LEFT(TRIM(C280),FIND(" ",TRIM(C280)&amp;" ")-1),",","."),FIND("/",SUBSTITUTE(LEFT(TRIM(C280),FIND(" ",TRIM(C280)&amp;" ")-1),",","."))+1,9)),IF(ISNUMBER(SEARCH("yea",C280)),IFERROR(_xlfn.NUMBERVALUE(SUBSTITUTE(LEFT(TRIM(C280),FIND(" ",TRIM(C280)&amp;" ")-1),",","."),"."),LEFT(SUBSTITUTE(LEFT(TRIM(C280),FIND(" ",TRIM(C280)&amp;" ")-1),",","."),FIND("/",SUBSTITUTE(LEFT(TRIM(C280),FIND(" ",TRIM(C280)&amp;" ")-1),",","."))-1)/MID(SUBSTITUTE(LEFT(TRIM(C280),FIND(" ",TRIM(C280)&amp;" ")-1),",","."),FIND("/",SUBSTITUTE(LEFT(TRIM(C280),FIND(" ",TRIM(C280)&amp;" ")-1),",","."))+1,9))*12,NA()))),0),12)*'Aturan &amp; Tarif'!$B$4,2)</f>
        <v>681.36</v>
      </c>
      <c r="K280" s="42" t="n">
        <f aca="false">'Aturan &amp; Tarif'!$B$5</f>
        <v>2050</v>
      </c>
      <c r="L280" s="35" t="n">
        <f aca="false">I280+J280+K280</f>
        <v>4971.36</v>
      </c>
      <c r="M280" s="51" t="s">
        <v>1945</v>
      </c>
    </row>
    <row r="281" customFormat="false" ht="63.75" hidden="false" customHeight="true" outlineLevel="0" collapsed="false">
      <c r="A281" s="39"/>
      <c r="B281" s="40" t="s">
        <v>1953</v>
      </c>
      <c r="C281" s="41" t="s">
        <v>1930</v>
      </c>
      <c r="D281" s="41" t="s">
        <v>108</v>
      </c>
      <c r="E281" s="42" t="n">
        <v>1710</v>
      </c>
      <c r="F281" s="42" t="n">
        <v>100</v>
      </c>
      <c r="G281" s="42" t="n">
        <v>250</v>
      </c>
      <c r="H281" s="43" t="n">
        <v>1</v>
      </c>
      <c r="I281" s="34" t="n">
        <f aca="false">E281*H281+N(F281)+N(G281)</f>
        <v>2060</v>
      </c>
      <c r="J281" s="42" t="n">
        <f aca="false">ROUND(IFERROR(ROUND(IF(OR(ISNUMBER(SEARCH("week",C281)),ISNUMBER(SEARCH("minggu",C281))),IFERROR(_xlfn.NUMBERVALUE(SUBSTITUTE(LEFT(TRIM(C281),FIND(" ",TRIM(C281)&amp;" ")-1),",","."),"."),LEFT(SUBSTITUTE(LEFT(TRIM(C281),FIND(" ",TRIM(C281)&amp;" ")-1),",","."),FIND("/",SUBSTITUTE(LEFT(TRIM(C281),FIND(" ",TRIM(C281)&amp;" ")-1),",","."))-1)/MID(SUBSTITUTE(LEFT(TRIM(C281),FIND(" ",TRIM(C281)&amp;" ")-1),",","."),FIND("/",SUBSTITUTE(LEFT(TRIM(C281),FIND(" ",TRIM(C281)&amp;" ")-1),",","."))+1,9))*12/52,IF(ISNUMBER(SEARCH("month",C281)),IFERROR(_xlfn.NUMBERVALUE(SUBSTITUTE(LEFT(TRIM(C281),FIND(" ",TRIM(C281)&amp;" ")-1),",","."),"."),LEFT(SUBSTITUTE(LEFT(TRIM(C281),FIND(" ",TRIM(C281)&amp;" ")-1),",","."),FIND("/",SUBSTITUTE(LEFT(TRIM(C281),FIND(" ",TRIM(C281)&amp;" ")-1),",","."))-1)/MID(SUBSTITUTE(LEFT(TRIM(C281),FIND(" ",TRIM(C281)&amp;" ")-1),",","."),FIND("/",SUBSTITUTE(LEFT(TRIM(C281),FIND(" ",TRIM(C281)&amp;" ")-1),",","."))+1,9)),IF(ISNUMBER(SEARCH("yea",C281)),IFERROR(_xlfn.NUMBERVALUE(SUBSTITUTE(LEFT(TRIM(C281),FIND(" ",TRIM(C281)&amp;" ")-1),",","."),"."),LEFT(SUBSTITUTE(LEFT(TRIM(C281),FIND(" ",TRIM(C281)&amp;" ")-1),",","."),FIND("/",SUBSTITUTE(LEFT(TRIM(C281),FIND(" ",TRIM(C281)&amp;" ")-1),",","."))-1)/MID(SUBSTITUTE(LEFT(TRIM(C281),FIND(" ",TRIM(C281)&amp;" ")-1),",","."),FIND("/",SUBSTITUTE(LEFT(TRIM(C281),FIND(" ",TRIM(C281)&amp;" ")-1),",","."))+1,9))*12,NA()))),0),12)*'Aturan &amp; Tarif'!$B$4,2)</f>
        <v>681.36</v>
      </c>
      <c r="K281" s="42" t="n">
        <f aca="false">'Aturan &amp; Tarif'!$B$5</f>
        <v>2050</v>
      </c>
      <c r="L281" s="35" t="n">
        <f aca="false">I281+J281+K281</f>
        <v>4791.36</v>
      </c>
      <c r="M281" s="51" t="s">
        <v>1954</v>
      </c>
    </row>
    <row r="282" customFormat="false" ht="21.75" hidden="false" customHeight="true" outlineLevel="0" collapsed="false">
      <c r="A282" s="39"/>
      <c r="B282" s="40" t="s">
        <v>1955</v>
      </c>
      <c r="C282" s="41" t="s">
        <v>1942</v>
      </c>
      <c r="D282" s="41" t="s">
        <v>108</v>
      </c>
      <c r="E282" s="42" t="n">
        <v>2160</v>
      </c>
      <c r="F282" s="42" t="n">
        <v>200</v>
      </c>
      <c r="G282" s="42" t="n">
        <v>250</v>
      </c>
      <c r="H282" s="43" t="n">
        <v>1</v>
      </c>
      <c r="I282" s="34" t="n">
        <f aca="false">E282*H282+N(F282)+N(G282)</f>
        <v>2610</v>
      </c>
      <c r="J282" s="42" t="n">
        <f aca="false">ROUND(IFERROR(ROUND(IF(OR(ISNUMBER(SEARCH("week",C282)),ISNUMBER(SEARCH("minggu",C282))),IFERROR(_xlfn.NUMBERVALUE(SUBSTITUTE(LEFT(TRIM(C282),FIND(" ",TRIM(C282)&amp;" ")-1),",","."),"."),LEFT(SUBSTITUTE(LEFT(TRIM(C282),FIND(" ",TRIM(C282)&amp;" ")-1),",","."),FIND("/",SUBSTITUTE(LEFT(TRIM(C282),FIND(" ",TRIM(C282)&amp;" ")-1),",","."))-1)/MID(SUBSTITUTE(LEFT(TRIM(C282),FIND(" ",TRIM(C282)&amp;" ")-1),",","."),FIND("/",SUBSTITUTE(LEFT(TRIM(C282),FIND(" ",TRIM(C282)&amp;" ")-1),",","."))+1,9))*12/52,IF(ISNUMBER(SEARCH("month",C282)),IFERROR(_xlfn.NUMBERVALUE(SUBSTITUTE(LEFT(TRIM(C282),FIND(" ",TRIM(C282)&amp;" ")-1),",","."),"."),LEFT(SUBSTITUTE(LEFT(TRIM(C282),FIND(" ",TRIM(C282)&amp;" ")-1),",","."),FIND("/",SUBSTITUTE(LEFT(TRIM(C282),FIND(" ",TRIM(C282)&amp;" ")-1),",","."))-1)/MID(SUBSTITUTE(LEFT(TRIM(C282),FIND(" ",TRIM(C282)&amp;" ")-1),",","."),FIND("/",SUBSTITUTE(LEFT(TRIM(C282),FIND(" ",TRIM(C282)&amp;" ")-1),",","."))+1,9)),IF(ISNUMBER(SEARCH("yea",C282)),IFERROR(_xlfn.NUMBERVALUE(SUBSTITUTE(LEFT(TRIM(C282),FIND(" ",TRIM(C282)&amp;" ")-1),",","."),"."),LEFT(SUBSTITUTE(LEFT(TRIM(C282),FIND(" ",TRIM(C282)&amp;" ")-1),",","."),FIND("/",SUBSTITUTE(LEFT(TRIM(C282),FIND(" ",TRIM(C282)&amp;" ")-1),",","."))-1)/MID(SUBSTITUTE(LEFT(TRIM(C282),FIND(" ",TRIM(C282)&amp;" ")-1),",","."),FIND("/",SUBSTITUTE(LEFT(TRIM(C282),FIND(" ",TRIM(C282)&amp;" ")-1),",","."))+1,9))*12,NA()))),0),18)*'Aturan &amp; Tarif'!$B$4,2)</f>
        <v>1022.04</v>
      </c>
      <c r="K282" s="42" t="n">
        <f aca="false">'Aturan &amp; Tarif'!$B$5</f>
        <v>2050</v>
      </c>
      <c r="L282" s="35" t="n">
        <f aca="false">I282+J282+K282</f>
        <v>5682.04</v>
      </c>
      <c r="M282" s="51" t="s">
        <v>1956</v>
      </c>
    </row>
    <row r="283" customFormat="false" ht="21.75" hidden="false" customHeight="true" outlineLevel="0" collapsed="false">
      <c r="A283" s="39"/>
      <c r="B283" s="40" t="s">
        <v>1957</v>
      </c>
      <c r="C283" s="41" t="s">
        <v>1930</v>
      </c>
      <c r="D283" s="41" t="s">
        <v>108</v>
      </c>
      <c r="E283" s="42" t="n">
        <v>2160</v>
      </c>
      <c r="F283" s="42" t="n">
        <v>200</v>
      </c>
      <c r="G283" s="42" t="n">
        <v>250</v>
      </c>
      <c r="H283" s="43" t="n">
        <v>1</v>
      </c>
      <c r="I283" s="34" t="n">
        <f aca="false">E283*H283+N(F283)+N(G283)</f>
        <v>2610</v>
      </c>
      <c r="J283" s="42" t="n">
        <f aca="false">ROUND(IFERROR(ROUND(IF(OR(ISNUMBER(SEARCH("week",C283)),ISNUMBER(SEARCH("minggu",C283))),IFERROR(_xlfn.NUMBERVALUE(SUBSTITUTE(LEFT(TRIM(C283),FIND(" ",TRIM(C283)&amp;" ")-1),",","."),"."),LEFT(SUBSTITUTE(LEFT(TRIM(C283),FIND(" ",TRIM(C283)&amp;" ")-1),",","."),FIND("/",SUBSTITUTE(LEFT(TRIM(C283),FIND(" ",TRIM(C283)&amp;" ")-1),",","."))-1)/MID(SUBSTITUTE(LEFT(TRIM(C283),FIND(" ",TRIM(C283)&amp;" ")-1),",","."),FIND("/",SUBSTITUTE(LEFT(TRIM(C283),FIND(" ",TRIM(C283)&amp;" ")-1),",","."))+1,9))*12/52,IF(ISNUMBER(SEARCH("month",C283)),IFERROR(_xlfn.NUMBERVALUE(SUBSTITUTE(LEFT(TRIM(C283),FIND(" ",TRIM(C283)&amp;" ")-1),",","."),"."),LEFT(SUBSTITUTE(LEFT(TRIM(C283),FIND(" ",TRIM(C283)&amp;" ")-1),",","."),FIND("/",SUBSTITUTE(LEFT(TRIM(C283),FIND(" ",TRIM(C283)&amp;" ")-1),",","."))-1)/MID(SUBSTITUTE(LEFT(TRIM(C283),FIND(" ",TRIM(C283)&amp;" ")-1),",","."),FIND("/",SUBSTITUTE(LEFT(TRIM(C283),FIND(" ",TRIM(C283)&amp;" ")-1),",","."))+1,9)),IF(ISNUMBER(SEARCH("yea",C283)),IFERROR(_xlfn.NUMBERVALUE(SUBSTITUTE(LEFT(TRIM(C283),FIND(" ",TRIM(C283)&amp;" ")-1),",","."),"."),LEFT(SUBSTITUTE(LEFT(TRIM(C283),FIND(" ",TRIM(C283)&amp;" ")-1),",","."),FIND("/",SUBSTITUTE(LEFT(TRIM(C283),FIND(" ",TRIM(C283)&amp;" ")-1),",","."))-1)/MID(SUBSTITUTE(LEFT(TRIM(C283),FIND(" ",TRIM(C283)&amp;" ")-1),",","."),FIND("/",SUBSTITUTE(LEFT(TRIM(C283),FIND(" ",TRIM(C283)&amp;" ")-1),",","."))+1,9))*12,NA()))),0),12)*'Aturan &amp; Tarif'!$B$4,2)</f>
        <v>681.36</v>
      </c>
      <c r="K283" s="42" t="n">
        <f aca="false">'Aturan &amp; Tarif'!$B$5</f>
        <v>2050</v>
      </c>
      <c r="L283" s="35" t="n">
        <f aca="false">I283+J283+K283</f>
        <v>5341.36</v>
      </c>
      <c r="M283" s="51" t="s">
        <v>1958</v>
      </c>
    </row>
    <row r="284" customFormat="false" ht="21.75" hidden="false" customHeight="true" outlineLevel="0" collapsed="false">
      <c r="A284" s="39"/>
      <c r="B284" s="40" t="s">
        <v>1959</v>
      </c>
      <c r="C284" s="41" t="s">
        <v>1930</v>
      </c>
      <c r="D284" s="41" t="s">
        <v>108</v>
      </c>
      <c r="E284" s="42" t="n">
        <v>1710</v>
      </c>
      <c r="F284" s="42" t="n">
        <v>100</v>
      </c>
      <c r="G284" s="42" t="n">
        <v>250</v>
      </c>
      <c r="H284" s="43" t="n">
        <v>1</v>
      </c>
      <c r="I284" s="34" t="n">
        <f aca="false">E284*H284+N(F284)+N(G284)</f>
        <v>2060</v>
      </c>
      <c r="J284" s="42" t="n">
        <f aca="false">ROUND(IFERROR(ROUND(IF(OR(ISNUMBER(SEARCH("week",C284)),ISNUMBER(SEARCH("minggu",C284))),IFERROR(_xlfn.NUMBERVALUE(SUBSTITUTE(LEFT(TRIM(C284),FIND(" ",TRIM(C284)&amp;" ")-1),",","."),"."),LEFT(SUBSTITUTE(LEFT(TRIM(C284),FIND(" ",TRIM(C284)&amp;" ")-1),",","."),FIND("/",SUBSTITUTE(LEFT(TRIM(C284),FIND(" ",TRIM(C284)&amp;" ")-1),",","."))-1)/MID(SUBSTITUTE(LEFT(TRIM(C284),FIND(" ",TRIM(C284)&amp;" ")-1),",","."),FIND("/",SUBSTITUTE(LEFT(TRIM(C284),FIND(" ",TRIM(C284)&amp;" ")-1),",","."))+1,9))*12/52,IF(ISNUMBER(SEARCH("month",C284)),IFERROR(_xlfn.NUMBERVALUE(SUBSTITUTE(LEFT(TRIM(C284),FIND(" ",TRIM(C284)&amp;" ")-1),",","."),"."),LEFT(SUBSTITUTE(LEFT(TRIM(C284),FIND(" ",TRIM(C284)&amp;" ")-1),",","."),FIND("/",SUBSTITUTE(LEFT(TRIM(C284),FIND(" ",TRIM(C284)&amp;" ")-1),",","."))-1)/MID(SUBSTITUTE(LEFT(TRIM(C284),FIND(" ",TRIM(C284)&amp;" ")-1),",","."),FIND("/",SUBSTITUTE(LEFT(TRIM(C284),FIND(" ",TRIM(C284)&amp;" ")-1),",","."))+1,9)),IF(ISNUMBER(SEARCH("yea",C284)),IFERROR(_xlfn.NUMBERVALUE(SUBSTITUTE(LEFT(TRIM(C284),FIND(" ",TRIM(C284)&amp;" ")-1),",","."),"."),LEFT(SUBSTITUTE(LEFT(TRIM(C284),FIND(" ",TRIM(C284)&amp;" ")-1),",","."),FIND("/",SUBSTITUTE(LEFT(TRIM(C284),FIND(" ",TRIM(C284)&amp;" ")-1),",","."))-1)/MID(SUBSTITUTE(LEFT(TRIM(C284),FIND(" ",TRIM(C284)&amp;" ")-1),",","."),FIND("/",SUBSTITUTE(LEFT(TRIM(C284),FIND(" ",TRIM(C284)&amp;" ")-1),",","."))+1,9))*12,NA()))),0),12)*'Aturan &amp; Tarif'!$B$4,2)</f>
        <v>681.36</v>
      </c>
      <c r="K284" s="42" t="n">
        <f aca="false">'Aturan &amp; Tarif'!$B$5</f>
        <v>2050</v>
      </c>
      <c r="L284" s="35" t="n">
        <f aca="false">I284+J284+K284</f>
        <v>4791.36</v>
      </c>
      <c r="M284" s="51" t="s">
        <v>1940</v>
      </c>
    </row>
    <row r="285" customFormat="false" ht="21.75" hidden="false" customHeight="true" outlineLevel="0" collapsed="false">
      <c r="A285" s="39"/>
      <c r="B285" s="40" t="s">
        <v>1960</v>
      </c>
      <c r="C285" s="41" t="s">
        <v>1942</v>
      </c>
      <c r="D285" s="41" t="s">
        <v>108</v>
      </c>
      <c r="E285" s="42" t="n">
        <v>1800</v>
      </c>
      <c r="F285" s="42" t="n">
        <v>100</v>
      </c>
      <c r="G285" s="42" t="n">
        <v>250</v>
      </c>
      <c r="H285" s="43" t="n">
        <v>1</v>
      </c>
      <c r="I285" s="34" t="n">
        <f aca="false">E285*H285+N(F285)+N(G285)</f>
        <v>2150</v>
      </c>
      <c r="J285" s="42" t="n">
        <f aca="false">ROUND(IFERROR(ROUND(IF(OR(ISNUMBER(SEARCH("week",C285)),ISNUMBER(SEARCH("minggu",C285))),IFERROR(_xlfn.NUMBERVALUE(SUBSTITUTE(LEFT(TRIM(C285),FIND(" ",TRIM(C285)&amp;" ")-1),",","."),"."),LEFT(SUBSTITUTE(LEFT(TRIM(C285),FIND(" ",TRIM(C285)&amp;" ")-1),",","."),FIND("/",SUBSTITUTE(LEFT(TRIM(C285),FIND(" ",TRIM(C285)&amp;" ")-1),",","."))-1)/MID(SUBSTITUTE(LEFT(TRIM(C285),FIND(" ",TRIM(C285)&amp;" ")-1),",","."),FIND("/",SUBSTITUTE(LEFT(TRIM(C285),FIND(" ",TRIM(C285)&amp;" ")-1),",","."))+1,9))*12/52,IF(ISNUMBER(SEARCH("month",C285)),IFERROR(_xlfn.NUMBERVALUE(SUBSTITUTE(LEFT(TRIM(C285),FIND(" ",TRIM(C285)&amp;" ")-1),",","."),"."),LEFT(SUBSTITUTE(LEFT(TRIM(C285),FIND(" ",TRIM(C285)&amp;" ")-1),",","."),FIND("/",SUBSTITUTE(LEFT(TRIM(C285),FIND(" ",TRIM(C285)&amp;" ")-1),",","."))-1)/MID(SUBSTITUTE(LEFT(TRIM(C285),FIND(" ",TRIM(C285)&amp;" ")-1),",","."),FIND("/",SUBSTITUTE(LEFT(TRIM(C285),FIND(" ",TRIM(C285)&amp;" ")-1),",","."))+1,9)),IF(ISNUMBER(SEARCH("yea",C285)),IFERROR(_xlfn.NUMBERVALUE(SUBSTITUTE(LEFT(TRIM(C285),FIND(" ",TRIM(C285)&amp;" ")-1),",","."),"."),LEFT(SUBSTITUTE(LEFT(TRIM(C285),FIND(" ",TRIM(C285)&amp;" ")-1),",","."),FIND("/",SUBSTITUTE(LEFT(TRIM(C285),FIND(" ",TRIM(C285)&amp;" ")-1),",","."))-1)/MID(SUBSTITUTE(LEFT(TRIM(C285),FIND(" ",TRIM(C285)&amp;" ")-1),",","."),FIND("/",SUBSTITUTE(LEFT(TRIM(C285),FIND(" ",TRIM(C285)&amp;" ")-1),",","."))+1,9))*12,NA()))),0),18)*'Aturan &amp; Tarif'!$B$4,2)</f>
        <v>1022.04</v>
      </c>
      <c r="K285" s="42" t="n">
        <f aca="false">'Aturan &amp; Tarif'!$B$5</f>
        <v>2050</v>
      </c>
      <c r="L285" s="35" t="n">
        <f aca="false">I285+J285+K285</f>
        <v>5222.04</v>
      </c>
      <c r="M285" s="51" t="s">
        <v>1961</v>
      </c>
    </row>
    <row r="286" customFormat="false" ht="21.75" hidden="false" customHeight="true" outlineLevel="0" collapsed="false">
      <c r="A286" s="39"/>
      <c r="B286" s="40" t="s">
        <v>1962</v>
      </c>
      <c r="C286" s="41" t="s">
        <v>1937</v>
      </c>
      <c r="D286" s="41" t="s">
        <v>108</v>
      </c>
      <c r="E286" s="42" t="n">
        <v>1890</v>
      </c>
      <c r="F286" s="42" t="n">
        <v>100</v>
      </c>
      <c r="G286" s="42" t="n">
        <v>250</v>
      </c>
      <c r="H286" s="43" t="n">
        <v>1</v>
      </c>
      <c r="I286" s="34" t="n">
        <f aca="false">E286*H286+N(F286)+N(G286)</f>
        <v>2240</v>
      </c>
      <c r="J286" s="42" t="n">
        <f aca="false">ROUND(IFERROR(ROUND(IF(OR(ISNUMBER(SEARCH("week",C286)),ISNUMBER(SEARCH("minggu",C286))),IFERROR(_xlfn.NUMBERVALUE(SUBSTITUTE(LEFT(TRIM(C286),FIND(" ",TRIM(C286)&amp;" ")-1),",","."),"."),LEFT(SUBSTITUTE(LEFT(TRIM(C286),FIND(" ",TRIM(C286)&amp;" ")-1),",","."),FIND("/",SUBSTITUTE(LEFT(TRIM(C286),FIND(" ",TRIM(C286)&amp;" ")-1),",","."))-1)/MID(SUBSTITUTE(LEFT(TRIM(C286),FIND(" ",TRIM(C286)&amp;" ")-1),",","."),FIND("/",SUBSTITUTE(LEFT(TRIM(C286),FIND(" ",TRIM(C286)&amp;" ")-1),",","."))+1,9))*12/52,IF(ISNUMBER(SEARCH("month",C286)),IFERROR(_xlfn.NUMBERVALUE(SUBSTITUTE(LEFT(TRIM(C286),FIND(" ",TRIM(C286)&amp;" ")-1),",","."),"."),LEFT(SUBSTITUTE(LEFT(TRIM(C286),FIND(" ",TRIM(C286)&amp;" ")-1),",","."),FIND("/",SUBSTITUTE(LEFT(TRIM(C286),FIND(" ",TRIM(C286)&amp;" ")-1),",","."))-1)/MID(SUBSTITUTE(LEFT(TRIM(C286),FIND(" ",TRIM(C286)&amp;" ")-1),",","."),FIND("/",SUBSTITUTE(LEFT(TRIM(C286),FIND(" ",TRIM(C286)&amp;" ")-1),",","."))+1,9)),IF(ISNUMBER(SEARCH("yea",C286)),IFERROR(_xlfn.NUMBERVALUE(SUBSTITUTE(LEFT(TRIM(C286),FIND(" ",TRIM(C286)&amp;" ")-1),",","."),"."),LEFT(SUBSTITUTE(LEFT(TRIM(C286),FIND(" ",TRIM(C286)&amp;" ")-1),",","."),FIND("/",SUBSTITUTE(LEFT(TRIM(C286),FIND(" ",TRIM(C286)&amp;" ")-1),",","."))-1)/MID(SUBSTITUTE(LEFT(TRIM(C286),FIND(" ",TRIM(C286)&amp;" ")-1),",","."),FIND("/",SUBSTITUTE(LEFT(TRIM(C286),FIND(" ",TRIM(C286)&amp;" ")-1),",","."))+1,9))*12,NA()))),0),24)*'Aturan &amp; Tarif'!$B$4,2)</f>
        <v>1362.72</v>
      </c>
      <c r="K286" s="42" t="n">
        <f aca="false">'Aturan &amp; Tarif'!$B$5</f>
        <v>2050</v>
      </c>
      <c r="L286" s="35" t="n">
        <f aca="false">I286+J286+K286</f>
        <v>5652.72</v>
      </c>
      <c r="M286" s="51" t="s">
        <v>1949</v>
      </c>
    </row>
    <row r="287" customFormat="false" ht="21.75" hidden="false" customHeight="true" outlineLevel="0" collapsed="false">
      <c r="A287" s="39"/>
      <c r="B287" s="40" t="s">
        <v>1963</v>
      </c>
      <c r="C287" s="41" t="s">
        <v>1937</v>
      </c>
      <c r="D287" s="41" t="s">
        <v>108</v>
      </c>
      <c r="E287" s="42" t="n">
        <v>1890</v>
      </c>
      <c r="F287" s="42" t="n">
        <v>100</v>
      </c>
      <c r="G287" s="42" t="n">
        <v>250</v>
      </c>
      <c r="H287" s="43" t="n">
        <v>1</v>
      </c>
      <c r="I287" s="34" t="n">
        <f aca="false">E287*H287+N(F287)+N(G287)</f>
        <v>2240</v>
      </c>
      <c r="J287" s="42" t="n">
        <f aca="false">ROUND(IFERROR(ROUND(IF(OR(ISNUMBER(SEARCH("week",C287)),ISNUMBER(SEARCH("minggu",C287))),IFERROR(_xlfn.NUMBERVALUE(SUBSTITUTE(LEFT(TRIM(C287),FIND(" ",TRIM(C287)&amp;" ")-1),",","."),"."),LEFT(SUBSTITUTE(LEFT(TRIM(C287),FIND(" ",TRIM(C287)&amp;" ")-1),",","."),FIND("/",SUBSTITUTE(LEFT(TRIM(C287),FIND(" ",TRIM(C287)&amp;" ")-1),",","."))-1)/MID(SUBSTITUTE(LEFT(TRIM(C287),FIND(" ",TRIM(C287)&amp;" ")-1),",","."),FIND("/",SUBSTITUTE(LEFT(TRIM(C287),FIND(" ",TRIM(C287)&amp;" ")-1),",","."))+1,9))*12/52,IF(ISNUMBER(SEARCH("month",C287)),IFERROR(_xlfn.NUMBERVALUE(SUBSTITUTE(LEFT(TRIM(C287),FIND(" ",TRIM(C287)&amp;" ")-1),",","."),"."),LEFT(SUBSTITUTE(LEFT(TRIM(C287),FIND(" ",TRIM(C287)&amp;" ")-1),",","."),FIND("/",SUBSTITUTE(LEFT(TRIM(C287),FIND(" ",TRIM(C287)&amp;" ")-1),",","."))-1)/MID(SUBSTITUTE(LEFT(TRIM(C287),FIND(" ",TRIM(C287)&amp;" ")-1),",","."),FIND("/",SUBSTITUTE(LEFT(TRIM(C287),FIND(" ",TRIM(C287)&amp;" ")-1),",","."))+1,9)),IF(ISNUMBER(SEARCH("yea",C287)),IFERROR(_xlfn.NUMBERVALUE(SUBSTITUTE(LEFT(TRIM(C287),FIND(" ",TRIM(C287)&amp;" ")-1),",","."),"."),LEFT(SUBSTITUTE(LEFT(TRIM(C287),FIND(" ",TRIM(C287)&amp;" ")-1),",","."),FIND("/",SUBSTITUTE(LEFT(TRIM(C287),FIND(" ",TRIM(C287)&amp;" ")-1),",","."))-1)/MID(SUBSTITUTE(LEFT(TRIM(C287),FIND(" ",TRIM(C287)&amp;" ")-1),",","."),FIND("/",SUBSTITUTE(LEFT(TRIM(C287),FIND(" ",TRIM(C287)&amp;" ")-1),",","."))+1,9))*12,NA()))),0),24)*'Aturan &amp; Tarif'!$B$4,2)</f>
        <v>1362.72</v>
      </c>
      <c r="K287" s="42" t="n">
        <f aca="false">'Aturan &amp; Tarif'!$B$5</f>
        <v>2050</v>
      </c>
      <c r="L287" s="35" t="n">
        <f aca="false">I287+J287+K287</f>
        <v>5652.72</v>
      </c>
      <c r="M287" s="51" t="s">
        <v>1949</v>
      </c>
    </row>
    <row r="288" customFormat="false" ht="21.75" hidden="false" customHeight="true" outlineLevel="0" collapsed="false">
      <c r="A288" s="39"/>
      <c r="B288" s="40" t="s">
        <v>1964</v>
      </c>
      <c r="C288" s="41" t="s">
        <v>1937</v>
      </c>
      <c r="D288" s="41" t="s">
        <v>108</v>
      </c>
      <c r="E288" s="42" t="n">
        <v>1890</v>
      </c>
      <c r="F288" s="42" t="n">
        <v>100</v>
      </c>
      <c r="G288" s="42" t="n">
        <v>250</v>
      </c>
      <c r="H288" s="43" t="n">
        <v>1</v>
      </c>
      <c r="I288" s="34" t="n">
        <f aca="false">E288*H288+N(F288)+N(G288)</f>
        <v>2240</v>
      </c>
      <c r="J288" s="42" t="n">
        <f aca="false">ROUND(IFERROR(ROUND(IF(OR(ISNUMBER(SEARCH("week",C288)),ISNUMBER(SEARCH("minggu",C288))),IFERROR(_xlfn.NUMBERVALUE(SUBSTITUTE(LEFT(TRIM(C288),FIND(" ",TRIM(C288)&amp;" ")-1),",","."),"."),LEFT(SUBSTITUTE(LEFT(TRIM(C288),FIND(" ",TRIM(C288)&amp;" ")-1),",","."),FIND("/",SUBSTITUTE(LEFT(TRIM(C288),FIND(" ",TRIM(C288)&amp;" ")-1),",","."))-1)/MID(SUBSTITUTE(LEFT(TRIM(C288),FIND(" ",TRIM(C288)&amp;" ")-1),",","."),FIND("/",SUBSTITUTE(LEFT(TRIM(C288),FIND(" ",TRIM(C288)&amp;" ")-1),",","."))+1,9))*12/52,IF(ISNUMBER(SEARCH("month",C288)),IFERROR(_xlfn.NUMBERVALUE(SUBSTITUTE(LEFT(TRIM(C288),FIND(" ",TRIM(C288)&amp;" ")-1),",","."),"."),LEFT(SUBSTITUTE(LEFT(TRIM(C288),FIND(" ",TRIM(C288)&amp;" ")-1),",","."),FIND("/",SUBSTITUTE(LEFT(TRIM(C288),FIND(" ",TRIM(C288)&amp;" ")-1),",","."))-1)/MID(SUBSTITUTE(LEFT(TRIM(C288),FIND(" ",TRIM(C288)&amp;" ")-1),",","."),FIND("/",SUBSTITUTE(LEFT(TRIM(C288),FIND(" ",TRIM(C288)&amp;" ")-1),",","."))+1,9)),IF(ISNUMBER(SEARCH("yea",C288)),IFERROR(_xlfn.NUMBERVALUE(SUBSTITUTE(LEFT(TRIM(C288),FIND(" ",TRIM(C288)&amp;" ")-1),",","."),"."),LEFT(SUBSTITUTE(LEFT(TRIM(C288),FIND(" ",TRIM(C288)&amp;" ")-1),",","."),FIND("/",SUBSTITUTE(LEFT(TRIM(C288),FIND(" ",TRIM(C288)&amp;" ")-1),",","."))-1)/MID(SUBSTITUTE(LEFT(TRIM(C288),FIND(" ",TRIM(C288)&amp;" ")-1),",","."),FIND("/",SUBSTITUTE(LEFT(TRIM(C288),FIND(" ",TRIM(C288)&amp;" ")-1),",","."))+1,9))*12,NA()))),0),24)*'Aturan &amp; Tarif'!$B$4,2)</f>
        <v>1362.72</v>
      </c>
      <c r="K288" s="42" t="n">
        <f aca="false">'Aturan &amp; Tarif'!$B$5</f>
        <v>2050</v>
      </c>
      <c r="L288" s="35" t="n">
        <f aca="false">I288+J288+K288</f>
        <v>5652.72</v>
      </c>
      <c r="M288" s="51" t="s">
        <v>1949</v>
      </c>
    </row>
    <row r="289" customFormat="false" ht="48.75" hidden="false" customHeight="true" outlineLevel="0" collapsed="false">
      <c r="A289" s="29" t="s">
        <v>3078</v>
      </c>
      <c r="B289" s="30" t="s">
        <v>1817</v>
      </c>
      <c r="C289" s="31" t="s">
        <v>107</v>
      </c>
      <c r="D289" s="31" t="s">
        <v>108</v>
      </c>
      <c r="E289" s="32" t="n">
        <v>1400</v>
      </c>
      <c r="F289" s="32" t="n">
        <v>100</v>
      </c>
      <c r="G289" s="32" t="n">
        <v>200</v>
      </c>
      <c r="H289" s="33" t="n">
        <v>1</v>
      </c>
      <c r="I289" s="34" t="n">
        <f aca="false">E289*H289+N(F289)+N(G289)</f>
        <v>1700</v>
      </c>
      <c r="J289" s="32" t="n">
        <f aca="false">ROUND(IFERROR(ROUND(IF(OR(ISNUMBER(SEARCH("week",C289)),ISNUMBER(SEARCH("minggu",C289))),IFERROR(_xlfn.NUMBERVALUE(SUBSTITUTE(LEFT(TRIM(C289),FIND(" ",TRIM(C289)&amp;" ")-1),",","."),"."),LEFT(SUBSTITUTE(LEFT(TRIM(C289),FIND(" ",TRIM(C289)&amp;" ")-1),",","."),FIND("/",SUBSTITUTE(LEFT(TRIM(C289),FIND(" ",TRIM(C289)&amp;" ")-1),",","."))-1)/MID(SUBSTITUTE(LEFT(TRIM(C289),FIND(" ",TRIM(C289)&amp;" ")-1),",","."),FIND("/",SUBSTITUTE(LEFT(TRIM(C289),FIND(" ",TRIM(C289)&amp;" ")-1),",","."))+1,9))*12/52,IF(ISNUMBER(SEARCH("month",C289)),IFERROR(_xlfn.NUMBERVALUE(SUBSTITUTE(LEFT(TRIM(C289),FIND(" ",TRIM(C289)&amp;" ")-1),",","."),"."),LEFT(SUBSTITUTE(LEFT(TRIM(C289),FIND(" ",TRIM(C289)&amp;" ")-1),",","."),FIND("/",SUBSTITUTE(LEFT(TRIM(C289),FIND(" ",TRIM(C289)&amp;" ")-1),",","."))-1)/MID(SUBSTITUTE(LEFT(TRIM(C289),FIND(" ",TRIM(C289)&amp;" ")-1),",","."),FIND("/",SUBSTITUTE(LEFT(TRIM(C289),FIND(" ",TRIM(C289)&amp;" ")-1),",","."))+1,9)),IF(ISNUMBER(SEARCH("yea",C289)),IFERROR(_xlfn.NUMBERVALUE(SUBSTITUTE(LEFT(TRIM(C289),FIND(" ",TRIM(C289)&amp;" ")-1),",","."),"."),LEFT(SUBSTITUTE(LEFT(TRIM(C289),FIND(" ",TRIM(C289)&amp;" ")-1),",","."),FIND("/",SUBSTITUTE(LEFT(TRIM(C289),FIND(" ",TRIM(C289)&amp;" ")-1),",","."))-1)/MID(SUBSTITUTE(LEFT(TRIM(C289),FIND(" ",TRIM(C289)&amp;" ")-1),",","."),FIND("/",SUBSTITUTE(LEFT(TRIM(C289),FIND(" ",TRIM(C289)&amp;" ")-1),",","."))+1,9))*12,NA()))),0),24)*'Aturan &amp; Tarif'!$B$4,2)</f>
        <v>1362.72</v>
      </c>
      <c r="K289" s="32" t="n">
        <f aca="false">'Aturan &amp; Tarif'!$B$5</f>
        <v>2050</v>
      </c>
      <c r="L289" s="35" t="n">
        <f aca="false">I289+J289+K289</f>
        <v>5112.72</v>
      </c>
      <c r="M289" s="37" t="s">
        <v>134</v>
      </c>
    </row>
    <row r="290" customFormat="false" ht="25.5" hidden="false" customHeight="true" outlineLevel="0" collapsed="false">
      <c r="A290" s="29"/>
      <c r="B290" s="30" t="s">
        <v>2560</v>
      </c>
      <c r="C290" s="31" t="s">
        <v>191</v>
      </c>
      <c r="D290" s="31" t="s">
        <v>108</v>
      </c>
      <c r="E290" s="32" t="n">
        <v>1400</v>
      </c>
      <c r="F290" s="32" t="n">
        <v>100</v>
      </c>
      <c r="G290" s="32" t="n">
        <v>200</v>
      </c>
      <c r="H290" s="33" t="n">
        <v>1</v>
      </c>
      <c r="I290" s="34" t="n">
        <f aca="false">E290*H290+N(F290)+N(G290)</f>
        <v>1700</v>
      </c>
      <c r="J290" s="32" t="n">
        <f aca="false">ROUND(IFERROR(ROUND(IF(OR(ISNUMBER(SEARCH("week",C290)),ISNUMBER(SEARCH("minggu",C290))),IFERROR(_xlfn.NUMBERVALUE(SUBSTITUTE(LEFT(TRIM(C290),FIND(" ",TRIM(C290)&amp;" ")-1),",","."),"."),LEFT(SUBSTITUTE(LEFT(TRIM(C290),FIND(" ",TRIM(C290)&amp;" ")-1),",","."),FIND("/",SUBSTITUTE(LEFT(TRIM(C290),FIND(" ",TRIM(C290)&amp;" ")-1),",","."))-1)/MID(SUBSTITUTE(LEFT(TRIM(C290),FIND(" ",TRIM(C290)&amp;" ")-1),",","."),FIND("/",SUBSTITUTE(LEFT(TRIM(C290),FIND(" ",TRIM(C290)&amp;" ")-1),",","."))+1,9))*12/52,IF(ISNUMBER(SEARCH("month",C290)),IFERROR(_xlfn.NUMBERVALUE(SUBSTITUTE(LEFT(TRIM(C290),FIND(" ",TRIM(C290)&amp;" ")-1),",","."),"."),LEFT(SUBSTITUTE(LEFT(TRIM(C290),FIND(" ",TRIM(C290)&amp;" ")-1),",","."),FIND("/",SUBSTITUTE(LEFT(TRIM(C290),FIND(" ",TRIM(C290)&amp;" ")-1),",","."))-1)/MID(SUBSTITUTE(LEFT(TRIM(C290),FIND(" ",TRIM(C290)&amp;" ")-1),",","."),FIND("/",SUBSTITUTE(LEFT(TRIM(C290),FIND(" ",TRIM(C290)&amp;" ")-1),",","."))+1,9)),IF(ISNUMBER(SEARCH("yea",C290)),IFERROR(_xlfn.NUMBERVALUE(SUBSTITUTE(LEFT(TRIM(C290),FIND(" ",TRIM(C290)&amp;" ")-1),",","."),"."),LEFT(SUBSTITUTE(LEFT(TRIM(C290),FIND(" ",TRIM(C290)&amp;" ")-1),",","."),FIND("/",SUBSTITUTE(LEFT(TRIM(C290),FIND(" ",TRIM(C290)&amp;" ")-1),",","."))-1)/MID(SUBSTITUTE(LEFT(TRIM(C290),FIND(" ",TRIM(C290)&amp;" ")-1),",","."),FIND("/",SUBSTITUTE(LEFT(TRIM(C290),FIND(" ",TRIM(C290)&amp;" ")-1),",","."))+1,9))*12,NA()))),0),48)*'Aturan &amp; Tarif'!$B$4,2)</f>
        <v>2725.44</v>
      </c>
      <c r="K290" s="32" t="n">
        <f aca="false">'Aturan &amp; Tarif'!$B$5</f>
        <v>2050</v>
      </c>
      <c r="L290" s="35" t="n">
        <f aca="false">I290+J290+K290</f>
        <v>6475.44</v>
      </c>
      <c r="M290" s="37" t="s">
        <v>134</v>
      </c>
    </row>
    <row r="291" customFormat="false" ht="25.5" hidden="false" customHeight="true" outlineLevel="0" collapsed="false">
      <c r="A291" s="29"/>
      <c r="B291" s="30" t="s">
        <v>496</v>
      </c>
      <c r="C291" s="31" t="s">
        <v>127</v>
      </c>
      <c r="D291" s="31" t="s">
        <v>108</v>
      </c>
      <c r="E291" s="32" t="n">
        <v>1400</v>
      </c>
      <c r="F291" s="32" t="n">
        <v>100</v>
      </c>
      <c r="G291" s="32" t="n">
        <v>200</v>
      </c>
      <c r="H291" s="33" t="n">
        <v>1</v>
      </c>
      <c r="I291" s="34" t="n">
        <f aca="false">E291*H291+N(F291)+N(G291)</f>
        <v>1700</v>
      </c>
      <c r="J291" s="32" t="n">
        <f aca="false">ROUND(IFERROR(ROUND(IF(OR(ISNUMBER(SEARCH("week",C291)),ISNUMBER(SEARCH("minggu",C291))),IFERROR(_xlfn.NUMBERVALUE(SUBSTITUTE(LEFT(TRIM(C291),FIND(" ",TRIM(C291)&amp;" ")-1),",","."),"."),LEFT(SUBSTITUTE(LEFT(TRIM(C291),FIND(" ",TRIM(C291)&amp;" ")-1),",","."),FIND("/",SUBSTITUTE(LEFT(TRIM(C291),FIND(" ",TRIM(C291)&amp;" ")-1),",","."))-1)/MID(SUBSTITUTE(LEFT(TRIM(C291),FIND(" ",TRIM(C291)&amp;" ")-1),",","."),FIND("/",SUBSTITUTE(LEFT(TRIM(C291),FIND(" ",TRIM(C291)&amp;" ")-1),",","."))+1,9))*12/52,IF(ISNUMBER(SEARCH("month",C291)),IFERROR(_xlfn.NUMBERVALUE(SUBSTITUTE(LEFT(TRIM(C291),FIND(" ",TRIM(C291)&amp;" ")-1),",","."),"."),LEFT(SUBSTITUTE(LEFT(TRIM(C291),FIND(" ",TRIM(C291)&amp;" ")-1),",","."),FIND("/",SUBSTITUTE(LEFT(TRIM(C291),FIND(" ",TRIM(C291)&amp;" ")-1),",","."))-1)/MID(SUBSTITUTE(LEFT(TRIM(C291),FIND(" ",TRIM(C291)&amp;" ")-1),",","."),FIND("/",SUBSTITUTE(LEFT(TRIM(C291),FIND(" ",TRIM(C291)&amp;" ")-1),",","."))+1,9)),IF(ISNUMBER(SEARCH("yea",C291)),IFERROR(_xlfn.NUMBERVALUE(SUBSTITUTE(LEFT(TRIM(C291),FIND(" ",TRIM(C291)&amp;" ")-1),",","."),"."),LEFT(SUBSTITUTE(LEFT(TRIM(C291),FIND(" ",TRIM(C291)&amp;" ")-1),",","."),FIND("/",SUBSTITUTE(LEFT(TRIM(C291),FIND(" ",TRIM(C291)&amp;" ")-1),",","."))-1)/MID(SUBSTITUTE(LEFT(TRIM(C291),FIND(" ",TRIM(C291)&amp;" ")-1),",","."),FIND("/",SUBSTITUTE(LEFT(TRIM(C291),FIND(" ",TRIM(C291)&amp;" ")-1),",","."))+1,9))*12,NA()))),0),36)*'Aturan &amp; Tarif'!$B$4,2)</f>
        <v>2044.08</v>
      </c>
      <c r="K291" s="32" t="n">
        <f aca="false">'Aturan &amp; Tarif'!$B$5</f>
        <v>2050</v>
      </c>
      <c r="L291" s="35" t="n">
        <f aca="false">I291+J291+K291</f>
        <v>5794.08</v>
      </c>
      <c r="M291" s="37" t="s">
        <v>134</v>
      </c>
    </row>
    <row r="292" customFormat="false" ht="25.5" hidden="false" customHeight="true" outlineLevel="0" collapsed="false">
      <c r="A292" s="29"/>
      <c r="B292" s="30" t="s">
        <v>2096</v>
      </c>
      <c r="C292" s="31" t="s">
        <v>245</v>
      </c>
      <c r="D292" s="31" t="s">
        <v>108</v>
      </c>
      <c r="E292" s="32" t="n">
        <v>1400</v>
      </c>
      <c r="F292" s="32" t="n">
        <v>100</v>
      </c>
      <c r="G292" s="32" t="n">
        <v>200</v>
      </c>
      <c r="H292" s="33" t="n">
        <v>1</v>
      </c>
      <c r="I292" s="34" t="n">
        <f aca="false">E292*H292+N(F292)+N(G292)</f>
        <v>1700</v>
      </c>
      <c r="J292" s="32" t="n">
        <f aca="false">ROUND(IFERROR(ROUND(IF(OR(ISNUMBER(SEARCH("week",C292)),ISNUMBER(SEARCH("minggu",C292))),IFERROR(_xlfn.NUMBERVALUE(SUBSTITUTE(LEFT(TRIM(C292),FIND(" ",TRIM(C292)&amp;" ")-1),",","."),"."),LEFT(SUBSTITUTE(LEFT(TRIM(C292),FIND(" ",TRIM(C292)&amp;" ")-1),",","."),FIND("/",SUBSTITUTE(LEFT(TRIM(C292),FIND(" ",TRIM(C292)&amp;" ")-1),",","."))-1)/MID(SUBSTITUTE(LEFT(TRIM(C292),FIND(" ",TRIM(C292)&amp;" ")-1),",","."),FIND("/",SUBSTITUTE(LEFT(TRIM(C292),FIND(" ",TRIM(C292)&amp;" ")-1),",","."))+1,9))*12/52,IF(ISNUMBER(SEARCH("month",C292)),IFERROR(_xlfn.NUMBERVALUE(SUBSTITUTE(LEFT(TRIM(C292),FIND(" ",TRIM(C292)&amp;" ")-1),",","."),"."),LEFT(SUBSTITUTE(LEFT(TRIM(C292),FIND(" ",TRIM(C292)&amp;" ")-1),",","."),FIND("/",SUBSTITUTE(LEFT(TRIM(C292),FIND(" ",TRIM(C292)&amp;" ")-1),",","."))-1)/MID(SUBSTITUTE(LEFT(TRIM(C292),FIND(" ",TRIM(C292)&amp;" ")-1),",","."),FIND("/",SUBSTITUTE(LEFT(TRIM(C292),FIND(" ",TRIM(C292)&amp;" ")-1),",","."))+1,9)),IF(ISNUMBER(SEARCH("yea",C292)),IFERROR(_xlfn.NUMBERVALUE(SUBSTITUTE(LEFT(TRIM(C292),FIND(" ",TRIM(C292)&amp;" ")-1),",","."),"."),LEFT(SUBSTITUTE(LEFT(TRIM(C292),FIND(" ",TRIM(C292)&amp;" ")-1),",","."),FIND("/",SUBSTITUTE(LEFT(TRIM(C292),FIND(" ",TRIM(C292)&amp;" ")-1),",","."))-1)/MID(SUBSTITUTE(LEFT(TRIM(C292),FIND(" ",TRIM(C292)&amp;" ")-1),",","."),FIND("/",SUBSTITUTE(LEFT(TRIM(C292),FIND(" ",TRIM(C292)&amp;" ")-1),",","."))+1,9))*12,NA()))),0),60)*'Aturan &amp; Tarif'!$B$4,2)</f>
        <v>3406.8</v>
      </c>
      <c r="K292" s="32" t="n">
        <f aca="false">'Aturan &amp; Tarif'!$B$5</f>
        <v>2050</v>
      </c>
      <c r="L292" s="35" t="n">
        <f aca="false">I292+J292+K292</f>
        <v>7156.8</v>
      </c>
      <c r="M292" s="37" t="s">
        <v>134</v>
      </c>
    </row>
    <row r="293" customFormat="false" ht="14.25" hidden="false" customHeight="true" outlineLevel="0" collapsed="false">
      <c r="A293" s="29"/>
      <c r="B293" s="30" t="s">
        <v>3079</v>
      </c>
      <c r="C293" s="31" t="s">
        <v>107</v>
      </c>
      <c r="D293" s="31" t="s">
        <v>108</v>
      </c>
      <c r="E293" s="32" t="n">
        <v>1400</v>
      </c>
      <c r="F293" s="32" t="n">
        <v>100</v>
      </c>
      <c r="G293" s="32" t="n">
        <v>200</v>
      </c>
      <c r="H293" s="33" t="n">
        <v>1</v>
      </c>
      <c r="I293" s="34" t="n">
        <f aca="false">E293*H293+N(F293)+N(G293)</f>
        <v>1700</v>
      </c>
      <c r="J293" s="32" t="n">
        <f aca="false">ROUND(IFERROR(ROUND(IF(OR(ISNUMBER(SEARCH("week",C293)),ISNUMBER(SEARCH("minggu",C293))),IFERROR(_xlfn.NUMBERVALUE(SUBSTITUTE(LEFT(TRIM(C293),FIND(" ",TRIM(C293)&amp;" ")-1),",","."),"."),LEFT(SUBSTITUTE(LEFT(TRIM(C293),FIND(" ",TRIM(C293)&amp;" ")-1),",","."),FIND("/",SUBSTITUTE(LEFT(TRIM(C293),FIND(" ",TRIM(C293)&amp;" ")-1),",","."))-1)/MID(SUBSTITUTE(LEFT(TRIM(C293),FIND(" ",TRIM(C293)&amp;" ")-1),",","."),FIND("/",SUBSTITUTE(LEFT(TRIM(C293),FIND(" ",TRIM(C293)&amp;" ")-1),",","."))+1,9))*12/52,IF(ISNUMBER(SEARCH("month",C293)),IFERROR(_xlfn.NUMBERVALUE(SUBSTITUTE(LEFT(TRIM(C293),FIND(" ",TRIM(C293)&amp;" ")-1),",","."),"."),LEFT(SUBSTITUTE(LEFT(TRIM(C293),FIND(" ",TRIM(C293)&amp;" ")-1),",","."),FIND("/",SUBSTITUTE(LEFT(TRIM(C293),FIND(" ",TRIM(C293)&amp;" ")-1),",","."))-1)/MID(SUBSTITUTE(LEFT(TRIM(C293),FIND(" ",TRIM(C293)&amp;" ")-1),",","."),FIND("/",SUBSTITUTE(LEFT(TRIM(C293),FIND(" ",TRIM(C293)&amp;" ")-1),",","."))+1,9)),IF(ISNUMBER(SEARCH("yea",C293)),IFERROR(_xlfn.NUMBERVALUE(SUBSTITUTE(LEFT(TRIM(C293),FIND(" ",TRIM(C293)&amp;" ")-1),",","."),"."),LEFT(SUBSTITUTE(LEFT(TRIM(C293),FIND(" ",TRIM(C293)&amp;" ")-1),",","."),FIND("/",SUBSTITUTE(LEFT(TRIM(C293),FIND(" ",TRIM(C293)&amp;" ")-1),",","."))-1)/MID(SUBSTITUTE(LEFT(TRIM(C293),FIND(" ",TRIM(C293)&amp;" ")-1),",","."),FIND("/",SUBSTITUTE(LEFT(TRIM(C293),FIND(" ",TRIM(C293)&amp;" ")-1),",","."))+1,9))*12,NA()))),0),24)*'Aturan &amp; Tarif'!$B$4,2)</f>
        <v>1362.72</v>
      </c>
      <c r="K293" s="32" t="n">
        <f aca="false">'Aturan &amp; Tarif'!$B$5</f>
        <v>2050</v>
      </c>
      <c r="L293" s="35" t="n">
        <f aca="false">I293+J293+K293</f>
        <v>5112.72</v>
      </c>
      <c r="M293" s="37" t="s">
        <v>134</v>
      </c>
    </row>
    <row r="294" customFormat="false" ht="14.25" hidden="false" customHeight="true" outlineLevel="0" collapsed="false">
      <c r="A294" s="29"/>
      <c r="B294" s="30" t="s">
        <v>3080</v>
      </c>
      <c r="C294" s="31" t="s">
        <v>130</v>
      </c>
      <c r="D294" s="31" t="s">
        <v>108</v>
      </c>
      <c r="E294" s="32" t="n">
        <v>2000</v>
      </c>
      <c r="F294" s="32" t="n">
        <v>500</v>
      </c>
      <c r="G294" s="32" t="n">
        <v>200</v>
      </c>
      <c r="H294" s="33" t="n">
        <v>1</v>
      </c>
      <c r="I294" s="34" t="n">
        <f aca="false">E294*H294+N(F294)+N(G294)</f>
        <v>2700</v>
      </c>
      <c r="J294" s="32" t="n">
        <f aca="false">ROUND(IFERROR(ROUND(IF(OR(ISNUMBER(SEARCH("week",C294)),ISNUMBER(SEARCH("minggu",C294))),IFERROR(_xlfn.NUMBERVALUE(SUBSTITUTE(LEFT(TRIM(C294),FIND(" ",TRIM(C294)&amp;" ")-1),",","."),"."),LEFT(SUBSTITUTE(LEFT(TRIM(C294),FIND(" ",TRIM(C294)&amp;" ")-1),",","."),FIND("/",SUBSTITUTE(LEFT(TRIM(C294),FIND(" ",TRIM(C294)&amp;" ")-1),",","."))-1)/MID(SUBSTITUTE(LEFT(TRIM(C294),FIND(" ",TRIM(C294)&amp;" ")-1),",","."),FIND("/",SUBSTITUTE(LEFT(TRIM(C294),FIND(" ",TRIM(C294)&amp;" ")-1),",","."))+1,9))*12/52,IF(ISNUMBER(SEARCH("month",C294)),IFERROR(_xlfn.NUMBERVALUE(SUBSTITUTE(LEFT(TRIM(C294),FIND(" ",TRIM(C294)&amp;" ")-1),",","."),"."),LEFT(SUBSTITUTE(LEFT(TRIM(C294),FIND(" ",TRIM(C294)&amp;" ")-1),",","."),FIND("/",SUBSTITUTE(LEFT(TRIM(C294),FIND(" ",TRIM(C294)&amp;" ")-1),",","."))-1)/MID(SUBSTITUTE(LEFT(TRIM(C294),FIND(" ",TRIM(C294)&amp;" ")-1),",","."),FIND("/",SUBSTITUTE(LEFT(TRIM(C294),FIND(" ",TRIM(C294)&amp;" ")-1),",","."))+1,9)),IF(ISNUMBER(SEARCH("yea",C294)),IFERROR(_xlfn.NUMBERVALUE(SUBSTITUTE(LEFT(TRIM(C294),FIND(" ",TRIM(C294)&amp;" ")-1),",","."),"."),LEFT(SUBSTITUTE(LEFT(TRIM(C294),FIND(" ",TRIM(C294)&amp;" ")-1),",","."),FIND("/",SUBSTITUTE(LEFT(TRIM(C294),FIND(" ",TRIM(C294)&amp;" ")-1),",","."))-1)/MID(SUBSTITUTE(LEFT(TRIM(C294),FIND(" ",TRIM(C294)&amp;" ")-1),",","."),FIND("/",SUBSTITUTE(LEFT(TRIM(C294),FIND(" ",TRIM(C294)&amp;" ")-1),",","."))+1,9))*12,NA()))),0),12)*'Aturan &amp; Tarif'!$B$4,2)</f>
        <v>681.36</v>
      </c>
      <c r="K294" s="32" t="n">
        <f aca="false">'Aturan &amp; Tarif'!$B$5</f>
        <v>2050</v>
      </c>
      <c r="L294" s="35" t="n">
        <f aca="false">I294+J294+K294</f>
        <v>5431.36</v>
      </c>
      <c r="M294" s="37" t="s">
        <v>134</v>
      </c>
    </row>
    <row r="295" customFormat="false" ht="37.5" hidden="false" customHeight="true" outlineLevel="0" collapsed="false">
      <c r="A295" s="29"/>
      <c r="B295" s="30" t="s">
        <v>3081</v>
      </c>
      <c r="C295" s="31" t="s">
        <v>107</v>
      </c>
      <c r="D295" s="31" t="s">
        <v>108</v>
      </c>
      <c r="E295" s="32" t="n">
        <v>1800</v>
      </c>
      <c r="F295" s="32" t="n">
        <v>500</v>
      </c>
      <c r="G295" s="32" t="n">
        <v>200</v>
      </c>
      <c r="H295" s="33" t="n">
        <v>1</v>
      </c>
      <c r="I295" s="34" t="n">
        <f aca="false">E295*H295+N(F295)+N(G295)</f>
        <v>2500</v>
      </c>
      <c r="J295" s="32" t="n">
        <f aca="false">ROUND(IFERROR(ROUND(IF(OR(ISNUMBER(SEARCH("week",C295)),ISNUMBER(SEARCH("minggu",C295))),IFERROR(_xlfn.NUMBERVALUE(SUBSTITUTE(LEFT(TRIM(C295),FIND(" ",TRIM(C295)&amp;" ")-1),",","."),"."),LEFT(SUBSTITUTE(LEFT(TRIM(C295),FIND(" ",TRIM(C295)&amp;" ")-1),",","."),FIND("/",SUBSTITUTE(LEFT(TRIM(C295),FIND(" ",TRIM(C295)&amp;" ")-1),",","."))-1)/MID(SUBSTITUTE(LEFT(TRIM(C295),FIND(" ",TRIM(C295)&amp;" ")-1),",","."),FIND("/",SUBSTITUTE(LEFT(TRIM(C295),FIND(" ",TRIM(C295)&amp;" ")-1),",","."))+1,9))*12/52,IF(ISNUMBER(SEARCH("month",C295)),IFERROR(_xlfn.NUMBERVALUE(SUBSTITUTE(LEFT(TRIM(C295),FIND(" ",TRIM(C295)&amp;" ")-1),",","."),"."),LEFT(SUBSTITUTE(LEFT(TRIM(C295),FIND(" ",TRIM(C295)&amp;" ")-1),",","."),FIND("/",SUBSTITUTE(LEFT(TRIM(C295),FIND(" ",TRIM(C295)&amp;" ")-1),",","."))-1)/MID(SUBSTITUTE(LEFT(TRIM(C295),FIND(" ",TRIM(C295)&amp;" ")-1),",","."),FIND("/",SUBSTITUTE(LEFT(TRIM(C295),FIND(" ",TRIM(C295)&amp;" ")-1),",","."))+1,9)),IF(ISNUMBER(SEARCH("yea",C295)),IFERROR(_xlfn.NUMBERVALUE(SUBSTITUTE(LEFT(TRIM(C295),FIND(" ",TRIM(C295)&amp;" ")-1),",","."),"."),LEFT(SUBSTITUTE(LEFT(TRIM(C295),FIND(" ",TRIM(C295)&amp;" ")-1),",","."),FIND("/",SUBSTITUTE(LEFT(TRIM(C295),FIND(" ",TRIM(C295)&amp;" ")-1),",","."))-1)/MID(SUBSTITUTE(LEFT(TRIM(C295),FIND(" ",TRIM(C295)&amp;" ")-1),",","."),FIND("/",SUBSTITUTE(LEFT(TRIM(C295),FIND(" ",TRIM(C295)&amp;" ")-1),",","."))+1,9))*12,NA()))),0),24)*'Aturan &amp; Tarif'!$B$4,2)</f>
        <v>1362.72</v>
      </c>
      <c r="K295" s="32" t="n">
        <f aca="false">'Aturan &amp; Tarif'!$B$5</f>
        <v>2050</v>
      </c>
      <c r="L295" s="35" t="n">
        <f aca="false">I295+J295+K295</f>
        <v>5912.72</v>
      </c>
      <c r="M295" s="36" t="s">
        <v>131</v>
      </c>
    </row>
    <row r="296" customFormat="false" ht="37.5" hidden="false" customHeight="true" outlineLevel="0" collapsed="false">
      <c r="A296" s="29"/>
      <c r="B296" s="30" t="s">
        <v>3082</v>
      </c>
      <c r="C296" s="31" t="s">
        <v>127</v>
      </c>
      <c r="D296" s="31" t="s">
        <v>108</v>
      </c>
      <c r="E296" s="32" t="n">
        <v>1800</v>
      </c>
      <c r="F296" s="32" t="n">
        <v>500</v>
      </c>
      <c r="G296" s="32" t="n">
        <v>200</v>
      </c>
      <c r="H296" s="33" t="n">
        <v>1</v>
      </c>
      <c r="I296" s="34" t="n">
        <f aca="false">E296*H296+N(F296)+N(G296)</f>
        <v>2500</v>
      </c>
      <c r="J296" s="32" t="n">
        <f aca="false">ROUND(IFERROR(ROUND(IF(OR(ISNUMBER(SEARCH("week",C296)),ISNUMBER(SEARCH("minggu",C296))),IFERROR(_xlfn.NUMBERVALUE(SUBSTITUTE(LEFT(TRIM(C296),FIND(" ",TRIM(C296)&amp;" ")-1),",","."),"."),LEFT(SUBSTITUTE(LEFT(TRIM(C296),FIND(" ",TRIM(C296)&amp;" ")-1),",","."),FIND("/",SUBSTITUTE(LEFT(TRIM(C296),FIND(" ",TRIM(C296)&amp;" ")-1),",","."))-1)/MID(SUBSTITUTE(LEFT(TRIM(C296),FIND(" ",TRIM(C296)&amp;" ")-1),",","."),FIND("/",SUBSTITUTE(LEFT(TRIM(C296),FIND(" ",TRIM(C296)&amp;" ")-1),",","."))+1,9))*12/52,IF(ISNUMBER(SEARCH("month",C296)),IFERROR(_xlfn.NUMBERVALUE(SUBSTITUTE(LEFT(TRIM(C296),FIND(" ",TRIM(C296)&amp;" ")-1),",","."),"."),LEFT(SUBSTITUTE(LEFT(TRIM(C296),FIND(" ",TRIM(C296)&amp;" ")-1),",","."),FIND("/",SUBSTITUTE(LEFT(TRIM(C296),FIND(" ",TRIM(C296)&amp;" ")-1),",","."))-1)/MID(SUBSTITUTE(LEFT(TRIM(C296),FIND(" ",TRIM(C296)&amp;" ")-1),",","."),FIND("/",SUBSTITUTE(LEFT(TRIM(C296),FIND(" ",TRIM(C296)&amp;" ")-1),",","."))+1,9)),IF(ISNUMBER(SEARCH("yea",C296)),IFERROR(_xlfn.NUMBERVALUE(SUBSTITUTE(LEFT(TRIM(C296),FIND(" ",TRIM(C296)&amp;" ")-1),",","."),"."),LEFT(SUBSTITUTE(LEFT(TRIM(C296),FIND(" ",TRIM(C296)&amp;" ")-1),",","."),FIND("/",SUBSTITUTE(LEFT(TRIM(C296),FIND(" ",TRIM(C296)&amp;" ")-1),",","."))-1)/MID(SUBSTITUTE(LEFT(TRIM(C296),FIND(" ",TRIM(C296)&amp;" ")-1),",","."),FIND("/",SUBSTITUTE(LEFT(TRIM(C296),FIND(" ",TRIM(C296)&amp;" ")-1),",","."))+1,9))*12,NA()))),0),36)*'Aturan &amp; Tarif'!$B$4,2)</f>
        <v>2044.08</v>
      </c>
      <c r="K296" s="32" t="n">
        <f aca="false">'Aturan &amp; Tarif'!$B$5</f>
        <v>2050</v>
      </c>
      <c r="L296" s="35" t="n">
        <f aca="false">I296+J296+K296</f>
        <v>6594.08</v>
      </c>
      <c r="M296" s="36" t="s">
        <v>131</v>
      </c>
    </row>
    <row r="297" customFormat="false" ht="14.25" hidden="false" customHeight="true" outlineLevel="0" collapsed="false">
      <c r="A297" s="29" t="s">
        <v>3083</v>
      </c>
      <c r="B297" s="30" t="s">
        <v>888</v>
      </c>
      <c r="C297" s="31" t="s">
        <v>127</v>
      </c>
      <c r="D297" s="31" t="s">
        <v>108</v>
      </c>
      <c r="E297" s="32" t="n">
        <v>1350</v>
      </c>
      <c r="F297" s="32" t="n">
        <v>50</v>
      </c>
      <c r="G297" s="32" t="n">
        <v>200</v>
      </c>
      <c r="H297" s="33" t="n">
        <v>1</v>
      </c>
      <c r="I297" s="34" t="n">
        <f aca="false">E297*H297+N(F297)+N(G297)</f>
        <v>1600</v>
      </c>
      <c r="J297" s="32" t="n">
        <f aca="false">ROUND(IFERROR(ROUND(IF(OR(ISNUMBER(SEARCH("week",C297)),ISNUMBER(SEARCH("minggu",C297))),IFERROR(_xlfn.NUMBERVALUE(SUBSTITUTE(LEFT(TRIM(C297),FIND(" ",TRIM(C297)&amp;" ")-1),",","."),"."),LEFT(SUBSTITUTE(LEFT(TRIM(C297),FIND(" ",TRIM(C297)&amp;" ")-1),",","."),FIND("/",SUBSTITUTE(LEFT(TRIM(C297),FIND(" ",TRIM(C297)&amp;" ")-1),",","."))-1)/MID(SUBSTITUTE(LEFT(TRIM(C297),FIND(" ",TRIM(C297)&amp;" ")-1),",","."),FIND("/",SUBSTITUTE(LEFT(TRIM(C297),FIND(" ",TRIM(C297)&amp;" ")-1),",","."))+1,9))*12/52,IF(ISNUMBER(SEARCH("month",C297)),IFERROR(_xlfn.NUMBERVALUE(SUBSTITUTE(LEFT(TRIM(C297),FIND(" ",TRIM(C297)&amp;" ")-1),",","."),"."),LEFT(SUBSTITUTE(LEFT(TRIM(C297),FIND(" ",TRIM(C297)&amp;" ")-1),",","."),FIND("/",SUBSTITUTE(LEFT(TRIM(C297),FIND(" ",TRIM(C297)&amp;" ")-1),",","."))-1)/MID(SUBSTITUTE(LEFT(TRIM(C297),FIND(" ",TRIM(C297)&amp;" ")-1),",","."),FIND("/",SUBSTITUTE(LEFT(TRIM(C297),FIND(" ",TRIM(C297)&amp;" ")-1),",","."))+1,9)),IF(ISNUMBER(SEARCH("yea",C297)),IFERROR(_xlfn.NUMBERVALUE(SUBSTITUTE(LEFT(TRIM(C297),FIND(" ",TRIM(C297)&amp;" ")-1),",","."),"."),LEFT(SUBSTITUTE(LEFT(TRIM(C297),FIND(" ",TRIM(C297)&amp;" ")-1),",","."),FIND("/",SUBSTITUTE(LEFT(TRIM(C297),FIND(" ",TRIM(C297)&amp;" ")-1),",","."))-1)/MID(SUBSTITUTE(LEFT(TRIM(C297),FIND(" ",TRIM(C297)&amp;" ")-1),",","."),FIND("/",SUBSTITUTE(LEFT(TRIM(C297),FIND(" ",TRIM(C297)&amp;" ")-1),",","."))+1,9))*12,NA()))),0),36)*'Aturan &amp; Tarif'!$B$4,2)</f>
        <v>2044.08</v>
      </c>
      <c r="K297" s="32" t="n">
        <f aca="false">'Aturan &amp; Tarif'!$B$5</f>
        <v>2050</v>
      </c>
      <c r="L297" s="35" t="n">
        <f aca="false">I297+J297+K297</f>
        <v>5694.08</v>
      </c>
      <c r="M297" s="37" t="s">
        <v>134</v>
      </c>
    </row>
    <row r="298" customFormat="false" ht="14.25" hidden="false" customHeight="true" outlineLevel="0" collapsed="false">
      <c r="A298" s="29"/>
      <c r="B298" s="30" t="s">
        <v>625</v>
      </c>
      <c r="C298" s="31" t="s">
        <v>127</v>
      </c>
      <c r="D298" s="31" t="s">
        <v>108</v>
      </c>
      <c r="E298" s="32" t="n">
        <v>1350</v>
      </c>
      <c r="F298" s="32" t="n">
        <v>50</v>
      </c>
      <c r="G298" s="32" t="n">
        <v>200</v>
      </c>
      <c r="H298" s="33" t="n">
        <v>1</v>
      </c>
      <c r="I298" s="34" t="n">
        <f aca="false">E298*H298+N(F298)+N(G298)</f>
        <v>1600</v>
      </c>
      <c r="J298" s="32" t="n">
        <f aca="false">ROUND(IFERROR(ROUND(IF(OR(ISNUMBER(SEARCH("week",C298)),ISNUMBER(SEARCH("minggu",C298))),IFERROR(_xlfn.NUMBERVALUE(SUBSTITUTE(LEFT(TRIM(C298),FIND(" ",TRIM(C298)&amp;" ")-1),",","."),"."),LEFT(SUBSTITUTE(LEFT(TRIM(C298),FIND(" ",TRIM(C298)&amp;" ")-1),",","."),FIND("/",SUBSTITUTE(LEFT(TRIM(C298),FIND(" ",TRIM(C298)&amp;" ")-1),",","."))-1)/MID(SUBSTITUTE(LEFT(TRIM(C298),FIND(" ",TRIM(C298)&amp;" ")-1),",","."),FIND("/",SUBSTITUTE(LEFT(TRIM(C298),FIND(" ",TRIM(C298)&amp;" ")-1),",","."))+1,9))*12/52,IF(ISNUMBER(SEARCH("month",C298)),IFERROR(_xlfn.NUMBERVALUE(SUBSTITUTE(LEFT(TRIM(C298),FIND(" ",TRIM(C298)&amp;" ")-1),",","."),"."),LEFT(SUBSTITUTE(LEFT(TRIM(C298),FIND(" ",TRIM(C298)&amp;" ")-1),",","."),FIND("/",SUBSTITUTE(LEFT(TRIM(C298),FIND(" ",TRIM(C298)&amp;" ")-1),",","."))-1)/MID(SUBSTITUTE(LEFT(TRIM(C298),FIND(" ",TRIM(C298)&amp;" ")-1),",","."),FIND("/",SUBSTITUTE(LEFT(TRIM(C298),FIND(" ",TRIM(C298)&amp;" ")-1),",","."))+1,9)),IF(ISNUMBER(SEARCH("yea",C298)),IFERROR(_xlfn.NUMBERVALUE(SUBSTITUTE(LEFT(TRIM(C298),FIND(" ",TRIM(C298)&amp;" ")-1),",","."),"."),LEFT(SUBSTITUTE(LEFT(TRIM(C298),FIND(" ",TRIM(C298)&amp;" ")-1),",","."),FIND("/",SUBSTITUTE(LEFT(TRIM(C298),FIND(" ",TRIM(C298)&amp;" ")-1),",","."))-1)/MID(SUBSTITUTE(LEFT(TRIM(C298),FIND(" ",TRIM(C298)&amp;" ")-1),",","."),FIND("/",SUBSTITUTE(LEFT(TRIM(C298),FIND(" ",TRIM(C298)&amp;" ")-1),",","."))+1,9))*12,NA()))),0),36)*'Aturan &amp; Tarif'!$B$4,2)</f>
        <v>2044.08</v>
      </c>
      <c r="K298" s="32" t="n">
        <f aca="false">'Aturan &amp; Tarif'!$B$5</f>
        <v>2050</v>
      </c>
      <c r="L298" s="35" t="n">
        <f aca="false">I298+J298+K298</f>
        <v>5694.08</v>
      </c>
      <c r="M298" s="37" t="s">
        <v>134</v>
      </c>
    </row>
    <row r="299" customFormat="false" ht="72" hidden="false" customHeight="true" outlineLevel="0" collapsed="false">
      <c r="A299" s="29" t="s">
        <v>1965</v>
      </c>
      <c r="B299" s="30" t="s">
        <v>711</v>
      </c>
      <c r="C299" s="31" t="s">
        <v>127</v>
      </c>
      <c r="D299" s="31" t="s">
        <v>108</v>
      </c>
      <c r="E299" s="32" t="n">
        <v>2375</v>
      </c>
      <c r="F299" s="32" t="n">
        <v>3000</v>
      </c>
      <c r="G299" s="32" t="n">
        <v>200</v>
      </c>
      <c r="H299" s="33" t="n">
        <v>1</v>
      </c>
      <c r="I299" s="34" t="n">
        <f aca="false">E299*H299+N(F299)+N(G299)</f>
        <v>5575</v>
      </c>
      <c r="J299" s="32" t="n">
        <f aca="false">ROUND(IFERROR(ROUND(IF(OR(ISNUMBER(SEARCH("week",C299)),ISNUMBER(SEARCH("minggu",C299))),IFERROR(_xlfn.NUMBERVALUE(SUBSTITUTE(LEFT(TRIM(C299),FIND(" ",TRIM(C299)&amp;" ")-1),",","."),"."),LEFT(SUBSTITUTE(LEFT(TRIM(C299),FIND(" ",TRIM(C299)&amp;" ")-1),",","."),FIND("/",SUBSTITUTE(LEFT(TRIM(C299),FIND(" ",TRIM(C299)&amp;" ")-1),",","."))-1)/MID(SUBSTITUTE(LEFT(TRIM(C299),FIND(" ",TRIM(C299)&amp;" ")-1),",","."),FIND("/",SUBSTITUTE(LEFT(TRIM(C299),FIND(" ",TRIM(C299)&amp;" ")-1),",","."))+1,9))*12/52,IF(ISNUMBER(SEARCH("month",C299)),IFERROR(_xlfn.NUMBERVALUE(SUBSTITUTE(LEFT(TRIM(C299),FIND(" ",TRIM(C299)&amp;" ")-1),",","."),"."),LEFT(SUBSTITUTE(LEFT(TRIM(C299),FIND(" ",TRIM(C299)&amp;" ")-1),",","."),FIND("/",SUBSTITUTE(LEFT(TRIM(C299),FIND(" ",TRIM(C299)&amp;" ")-1),",","."))-1)/MID(SUBSTITUTE(LEFT(TRIM(C299),FIND(" ",TRIM(C299)&amp;" ")-1),",","."),FIND("/",SUBSTITUTE(LEFT(TRIM(C299),FIND(" ",TRIM(C299)&amp;" ")-1),",","."))+1,9)),IF(ISNUMBER(SEARCH("yea",C299)),IFERROR(_xlfn.NUMBERVALUE(SUBSTITUTE(LEFT(TRIM(C299),FIND(" ",TRIM(C299)&amp;" ")-1),",","."),"."),LEFT(SUBSTITUTE(LEFT(TRIM(C299),FIND(" ",TRIM(C299)&amp;" ")-1),",","."),FIND("/",SUBSTITUTE(LEFT(TRIM(C299),FIND(" ",TRIM(C299)&amp;" ")-1),",","."))-1)/MID(SUBSTITUTE(LEFT(TRIM(C299),FIND(" ",TRIM(C299)&amp;" ")-1),",","."),FIND("/",SUBSTITUTE(LEFT(TRIM(C299),FIND(" ",TRIM(C299)&amp;" ")-1),",","."))+1,9))*12,NA()))),0),36)*'Aturan &amp; Tarif'!$B$4,2)</f>
        <v>2044.08</v>
      </c>
      <c r="K299" s="32" t="n">
        <f aca="false">'Aturan &amp; Tarif'!$B$5</f>
        <v>2050</v>
      </c>
      <c r="L299" s="35" t="n">
        <f aca="false">I299+J299+K299</f>
        <v>9669.08</v>
      </c>
      <c r="M299" s="37" t="s">
        <v>134</v>
      </c>
    </row>
    <row r="300" customFormat="false" ht="37.5" hidden="false" customHeight="true" outlineLevel="0" collapsed="false">
      <c r="A300" s="29"/>
      <c r="B300" s="30" t="s">
        <v>1966</v>
      </c>
      <c r="C300" s="31" t="s">
        <v>495</v>
      </c>
      <c r="D300" s="31" t="s">
        <v>108</v>
      </c>
      <c r="E300" s="32" t="n">
        <v>2375</v>
      </c>
      <c r="F300" s="32" t="n">
        <v>3000</v>
      </c>
      <c r="G300" s="32" t="n">
        <v>200</v>
      </c>
      <c r="H300" s="33" t="n">
        <v>1</v>
      </c>
      <c r="I300" s="34" t="n">
        <f aca="false">E300*H300+N(F300)+N(G300)</f>
        <v>5575</v>
      </c>
      <c r="J300" s="32" t="n">
        <f aca="false">ROUND(IFERROR(ROUND(IF(OR(ISNUMBER(SEARCH("week",C300)),ISNUMBER(SEARCH("minggu",C300))),IFERROR(_xlfn.NUMBERVALUE(SUBSTITUTE(LEFT(TRIM(C300),FIND(" ",TRIM(C300)&amp;" ")-1),",","."),"."),LEFT(SUBSTITUTE(LEFT(TRIM(C300),FIND(" ",TRIM(C300)&amp;" ")-1),",","."),FIND("/",SUBSTITUTE(LEFT(TRIM(C300),FIND(" ",TRIM(C300)&amp;" ")-1),",","."))-1)/MID(SUBSTITUTE(LEFT(TRIM(C300),FIND(" ",TRIM(C300)&amp;" ")-1),",","."),FIND("/",SUBSTITUTE(LEFT(TRIM(C300),FIND(" ",TRIM(C300)&amp;" ")-1),",","."))+1,9))*12/52,IF(ISNUMBER(SEARCH("month",C300)),IFERROR(_xlfn.NUMBERVALUE(SUBSTITUTE(LEFT(TRIM(C300),FIND(" ",TRIM(C300)&amp;" ")-1),",","."),"."),LEFT(SUBSTITUTE(LEFT(TRIM(C300),FIND(" ",TRIM(C300)&amp;" ")-1),",","."),FIND("/",SUBSTITUTE(LEFT(TRIM(C300),FIND(" ",TRIM(C300)&amp;" ")-1),",","."))-1)/MID(SUBSTITUTE(LEFT(TRIM(C300),FIND(" ",TRIM(C300)&amp;" ")-1),",","."),FIND("/",SUBSTITUTE(LEFT(TRIM(C300),FIND(" ",TRIM(C300)&amp;" ")-1),",","."))+1,9)),IF(ISNUMBER(SEARCH("yea",C300)),IFERROR(_xlfn.NUMBERVALUE(SUBSTITUTE(LEFT(TRIM(C300),FIND(" ",TRIM(C300)&amp;" ")-1),",","."),"."),LEFT(SUBSTITUTE(LEFT(TRIM(C300),FIND(" ",TRIM(C300)&amp;" ")-1),",","."),FIND("/",SUBSTITUTE(LEFT(TRIM(C300),FIND(" ",TRIM(C300)&amp;" ")-1),",","."))-1)/MID(SUBSTITUTE(LEFT(TRIM(C300),FIND(" ",TRIM(C300)&amp;" ")-1),",","."),FIND("/",SUBSTITUTE(LEFT(TRIM(C300),FIND(" ",TRIM(C300)&amp;" ")-1),",","."))+1,9))*12,NA()))),0),54)*'Aturan &amp; Tarif'!$B$4,2)</f>
        <v>3066.12</v>
      </c>
      <c r="K300" s="32" t="n">
        <f aca="false">'Aturan &amp; Tarif'!$B$5</f>
        <v>2050</v>
      </c>
      <c r="L300" s="35" t="n">
        <f aca="false">I300+J300+K300</f>
        <v>10691.12</v>
      </c>
      <c r="M300" s="37" t="s">
        <v>134</v>
      </c>
    </row>
    <row r="301" customFormat="false" ht="25.5" hidden="false" customHeight="true" outlineLevel="0" collapsed="false">
      <c r="A301" s="29"/>
      <c r="B301" s="30" t="s">
        <v>430</v>
      </c>
      <c r="C301" s="31" t="s">
        <v>127</v>
      </c>
      <c r="D301" s="31" t="s">
        <v>108</v>
      </c>
      <c r="E301" s="32" t="n">
        <v>2250</v>
      </c>
      <c r="F301" s="32" t="n">
        <v>300</v>
      </c>
      <c r="G301" s="32" t="n">
        <v>200</v>
      </c>
      <c r="H301" s="33" t="n">
        <v>1</v>
      </c>
      <c r="I301" s="34" t="n">
        <f aca="false">E301*H301+N(F301)+N(G301)</f>
        <v>2750</v>
      </c>
      <c r="J301" s="32" t="n">
        <f aca="false">ROUND(IFERROR(ROUND(IF(OR(ISNUMBER(SEARCH("week",C301)),ISNUMBER(SEARCH("minggu",C301))),IFERROR(_xlfn.NUMBERVALUE(SUBSTITUTE(LEFT(TRIM(C301),FIND(" ",TRIM(C301)&amp;" ")-1),",","."),"."),LEFT(SUBSTITUTE(LEFT(TRIM(C301),FIND(" ",TRIM(C301)&amp;" ")-1),",","."),FIND("/",SUBSTITUTE(LEFT(TRIM(C301),FIND(" ",TRIM(C301)&amp;" ")-1),",","."))-1)/MID(SUBSTITUTE(LEFT(TRIM(C301),FIND(" ",TRIM(C301)&amp;" ")-1),",","."),FIND("/",SUBSTITUTE(LEFT(TRIM(C301),FIND(" ",TRIM(C301)&amp;" ")-1),",","."))+1,9))*12/52,IF(ISNUMBER(SEARCH("month",C301)),IFERROR(_xlfn.NUMBERVALUE(SUBSTITUTE(LEFT(TRIM(C301),FIND(" ",TRIM(C301)&amp;" ")-1),",","."),"."),LEFT(SUBSTITUTE(LEFT(TRIM(C301),FIND(" ",TRIM(C301)&amp;" ")-1),",","."),FIND("/",SUBSTITUTE(LEFT(TRIM(C301),FIND(" ",TRIM(C301)&amp;" ")-1),",","."))-1)/MID(SUBSTITUTE(LEFT(TRIM(C301),FIND(" ",TRIM(C301)&amp;" ")-1),",","."),FIND("/",SUBSTITUTE(LEFT(TRIM(C301),FIND(" ",TRIM(C301)&amp;" ")-1),",","."))+1,9)),IF(ISNUMBER(SEARCH("yea",C301)),IFERROR(_xlfn.NUMBERVALUE(SUBSTITUTE(LEFT(TRIM(C301),FIND(" ",TRIM(C301)&amp;" ")-1),",","."),"."),LEFT(SUBSTITUTE(LEFT(TRIM(C301),FIND(" ",TRIM(C301)&amp;" ")-1),",","."),FIND("/",SUBSTITUTE(LEFT(TRIM(C301),FIND(" ",TRIM(C301)&amp;" ")-1),",","."))-1)/MID(SUBSTITUTE(LEFT(TRIM(C301),FIND(" ",TRIM(C301)&amp;" ")-1),",","."),FIND("/",SUBSTITUTE(LEFT(TRIM(C301),FIND(" ",TRIM(C301)&amp;" ")-1),",","."))+1,9))*12,NA()))),0),36)*'Aturan &amp; Tarif'!$B$4,2)</f>
        <v>2044.08</v>
      </c>
      <c r="K301" s="32" t="n">
        <f aca="false">'Aturan &amp; Tarif'!$B$5</f>
        <v>2050</v>
      </c>
      <c r="L301" s="35" t="n">
        <f aca="false">I301+J301+K301</f>
        <v>6844.08</v>
      </c>
      <c r="M301" s="37" t="s">
        <v>134</v>
      </c>
    </row>
    <row r="302" customFormat="false" ht="14.25" hidden="false" customHeight="true" outlineLevel="0" collapsed="false">
      <c r="A302" s="29"/>
      <c r="B302" s="30" t="s">
        <v>1967</v>
      </c>
      <c r="C302" s="31" t="s">
        <v>138</v>
      </c>
      <c r="D302" s="31" t="s">
        <v>108</v>
      </c>
      <c r="E302" s="32" t="n">
        <v>2250</v>
      </c>
      <c r="F302" s="32" t="n">
        <v>200</v>
      </c>
      <c r="G302" s="32" t="n">
        <v>200</v>
      </c>
      <c r="H302" s="33" t="n">
        <v>1</v>
      </c>
      <c r="I302" s="34" t="n">
        <f aca="false">E302*H302+N(F302)+N(G302)</f>
        <v>2650</v>
      </c>
      <c r="J302" s="32" t="n">
        <f aca="false">ROUND(IFERROR(ROUND(IF(OR(ISNUMBER(SEARCH("week",C302)),ISNUMBER(SEARCH("minggu",C302))),IFERROR(_xlfn.NUMBERVALUE(SUBSTITUTE(LEFT(TRIM(C302),FIND(" ",TRIM(C302)&amp;" ")-1),",","."),"."),LEFT(SUBSTITUTE(LEFT(TRIM(C302),FIND(" ",TRIM(C302)&amp;" ")-1),",","."),FIND("/",SUBSTITUTE(LEFT(TRIM(C302),FIND(" ",TRIM(C302)&amp;" ")-1),",","."))-1)/MID(SUBSTITUTE(LEFT(TRIM(C302),FIND(" ",TRIM(C302)&amp;" ")-1),",","."),FIND("/",SUBSTITUTE(LEFT(TRIM(C302),FIND(" ",TRIM(C302)&amp;" ")-1),",","."))+1,9))*12/52,IF(ISNUMBER(SEARCH("month",C302)),IFERROR(_xlfn.NUMBERVALUE(SUBSTITUTE(LEFT(TRIM(C302),FIND(" ",TRIM(C302)&amp;" ")-1),",","."),"."),LEFT(SUBSTITUTE(LEFT(TRIM(C302),FIND(" ",TRIM(C302)&amp;" ")-1),",","."),FIND("/",SUBSTITUTE(LEFT(TRIM(C302),FIND(" ",TRIM(C302)&amp;" ")-1),",","."))-1)/MID(SUBSTITUTE(LEFT(TRIM(C302),FIND(" ",TRIM(C302)&amp;" ")-1),",","."),FIND("/",SUBSTITUTE(LEFT(TRIM(C302),FIND(" ",TRIM(C302)&amp;" ")-1),",","."))+1,9)),IF(ISNUMBER(SEARCH("yea",C302)),IFERROR(_xlfn.NUMBERVALUE(SUBSTITUTE(LEFT(TRIM(C302),FIND(" ",TRIM(C302)&amp;" ")-1),",","."),"."),LEFT(SUBSTITUTE(LEFT(TRIM(C302),FIND(" ",TRIM(C302)&amp;" ")-1),",","."),FIND("/",SUBSTITUTE(LEFT(TRIM(C302),FIND(" ",TRIM(C302)&amp;" ")-1),",","."))-1)/MID(SUBSTITUTE(LEFT(TRIM(C302),FIND(" ",TRIM(C302)&amp;" ")-1),",","."),FIND("/",SUBSTITUTE(LEFT(TRIM(C302),FIND(" ",TRIM(C302)&amp;" ")-1),",","."))+1,9))*12,NA()))),0),30)*'Aturan &amp; Tarif'!$B$4,2)</f>
        <v>1703.4</v>
      </c>
      <c r="K302" s="32" t="n">
        <f aca="false">'Aturan &amp; Tarif'!$B$5</f>
        <v>2050</v>
      </c>
      <c r="L302" s="35" t="n">
        <f aca="false">I302+J302+K302</f>
        <v>6403.4</v>
      </c>
      <c r="M302" s="37" t="s">
        <v>134</v>
      </c>
    </row>
    <row r="303" customFormat="false" ht="14.25" hidden="false" customHeight="true" outlineLevel="0" collapsed="false">
      <c r="A303" s="29"/>
      <c r="B303" s="30" t="s">
        <v>1968</v>
      </c>
      <c r="C303" s="31" t="s">
        <v>127</v>
      </c>
      <c r="D303" s="31" t="s">
        <v>108</v>
      </c>
      <c r="E303" s="32" t="n">
        <v>2250</v>
      </c>
      <c r="F303" s="32" t="n">
        <v>200</v>
      </c>
      <c r="G303" s="32" t="n">
        <v>200</v>
      </c>
      <c r="H303" s="33" t="n">
        <v>1</v>
      </c>
      <c r="I303" s="34" t="n">
        <f aca="false">E303*H303+N(F303)+N(G303)</f>
        <v>2650</v>
      </c>
      <c r="J303" s="32" t="n">
        <f aca="false">ROUND(IFERROR(ROUND(IF(OR(ISNUMBER(SEARCH("week",C303)),ISNUMBER(SEARCH("minggu",C303))),IFERROR(_xlfn.NUMBERVALUE(SUBSTITUTE(LEFT(TRIM(C303),FIND(" ",TRIM(C303)&amp;" ")-1),",","."),"."),LEFT(SUBSTITUTE(LEFT(TRIM(C303),FIND(" ",TRIM(C303)&amp;" ")-1),",","."),FIND("/",SUBSTITUTE(LEFT(TRIM(C303),FIND(" ",TRIM(C303)&amp;" ")-1),",","."))-1)/MID(SUBSTITUTE(LEFT(TRIM(C303),FIND(" ",TRIM(C303)&amp;" ")-1),",","."),FIND("/",SUBSTITUTE(LEFT(TRIM(C303),FIND(" ",TRIM(C303)&amp;" ")-1),",","."))+1,9))*12/52,IF(ISNUMBER(SEARCH("month",C303)),IFERROR(_xlfn.NUMBERVALUE(SUBSTITUTE(LEFT(TRIM(C303),FIND(" ",TRIM(C303)&amp;" ")-1),",","."),"."),LEFT(SUBSTITUTE(LEFT(TRIM(C303),FIND(" ",TRIM(C303)&amp;" ")-1),",","."),FIND("/",SUBSTITUTE(LEFT(TRIM(C303),FIND(" ",TRIM(C303)&amp;" ")-1),",","."))-1)/MID(SUBSTITUTE(LEFT(TRIM(C303),FIND(" ",TRIM(C303)&amp;" ")-1),",","."),FIND("/",SUBSTITUTE(LEFT(TRIM(C303),FIND(" ",TRIM(C303)&amp;" ")-1),",","."))+1,9)),IF(ISNUMBER(SEARCH("yea",C303)),IFERROR(_xlfn.NUMBERVALUE(SUBSTITUTE(LEFT(TRIM(C303),FIND(" ",TRIM(C303)&amp;" ")-1),",","."),"."),LEFT(SUBSTITUTE(LEFT(TRIM(C303),FIND(" ",TRIM(C303)&amp;" ")-1),",","."),FIND("/",SUBSTITUTE(LEFT(TRIM(C303),FIND(" ",TRIM(C303)&amp;" ")-1),",","."))-1)/MID(SUBSTITUTE(LEFT(TRIM(C303),FIND(" ",TRIM(C303)&amp;" ")-1),",","."),FIND("/",SUBSTITUTE(LEFT(TRIM(C303),FIND(" ",TRIM(C303)&amp;" ")-1),",","."))+1,9))*12,NA()))),0),36)*'Aturan &amp; Tarif'!$B$4,2)</f>
        <v>2044.08</v>
      </c>
      <c r="K303" s="32" t="n">
        <f aca="false">'Aturan &amp; Tarif'!$B$5</f>
        <v>2050</v>
      </c>
      <c r="L303" s="35" t="n">
        <f aca="false">I303+J303+K303</f>
        <v>6744.08</v>
      </c>
      <c r="M303" s="37" t="s">
        <v>134</v>
      </c>
    </row>
    <row r="304" customFormat="false" ht="14.25" hidden="false" customHeight="true" outlineLevel="0" collapsed="false">
      <c r="A304" s="29"/>
      <c r="B304" s="30" t="s">
        <v>652</v>
      </c>
      <c r="C304" s="31" t="s">
        <v>138</v>
      </c>
      <c r="D304" s="31" t="s">
        <v>108</v>
      </c>
      <c r="E304" s="32" t="n">
        <v>2250</v>
      </c>
      <c r="F304" s="32" t="n">
        <v>300</v>
      </c>
      <c r="G304" s="32" t="n">
        <v>200</v>
      </c>
      <c r="H304" s="33" t="n">
        <v>1</v>
      </c>
      <c r="I304" s="34" t="n">
        <f aca="false">E304*H304+N(F304)+N(G304)</f>
        <v>2750</v>
      </c>
      <c r="J304" s="32" t="n">
        <f aca="false">ROUND(IFERROR(ROUND(IF(OR(ISNUMBER(SEARCH("week",C304)),ISNUMBER(SEARCH("minggu",C304))),IFERROR(_xlfn.NUMBERVALUE(SUBSTITUTE(LEFT(TRIM(C304),FIND(" ",TRIM(C304)&amp;" ")-1),",","."),"."),LEFT(SUBSTITUTE(LEFT(TRIM(C304),FIND(" ",TRIM(C304)&amp;" ")-1),",","."),FIND("/",SUBSTITUTE(LEFT(TRIM(C304),FIND(" ",TRIM(C304)&amp;" ")-1),",","."))-1)/MID(SUBSTITUTE(LEFT(TRIM(C304),FIND(" ",TRIM(C304)&amp;" ")-1),",","."),FIND("/",SUBSTITUTE(LEFT(TRIM(C304),FIND(" ",TRIM(C304)&amp;" ")-1),",","."))+1,9))*12/52,IF(ISNUMBER(SEARCH("month",C304)),IFERROR(_xlfn.NUMBERVALUE(SUBSTITUTE(LEFT(TRIM(C304),FIND(" ",TRIM(C304)&amp;" ")-1),",","."),"."),LEFT(SUBSTITUTE(LEFT(TRIM(C304),FIND(" ",TRIM(C304)&amp;" ")-1),",","."),FIND("/",SUBSTITUTE(LEFT(TRIM(C304),FIND(" ",TRIM(C304)&amp;" ")-1),",","."))-1)/MID(SUBSTITUTE(LEFT(TRIM(C304),FIND(" ",TRIM(C304)&amp;" ")-1),",","."),FIND("/",SUBSTITUTE(LEFT(TRIM(C304),FIND(" ",TRIM(C304)&amp;" ")-1),",","."))+1,9)),IF(ISNUMBER(SEARCH("yea",C304)),IFERROR(_xlfn.NUMBERVALUE(SUBSTITUTE(LEFT(TRIM(C304),FIND(" ",TRIM(C304)&amp;" ")-1),",","."),"."),LEFT(SUBSTITUTE(LEFT(TRIM(C304),FIND(" ",TRIM(C304)&amp;" ")-1),",","."),FIND("/",SUBSTITUTE(LEFT(TRIM(C304),FIND(" ",TRIM(C304)&amp;" ")-1),",","."))-1)/MID(SUBSTITUTE(LEFT(TRIM(C304),FIND(" ",TRIM(C304)&amp;" ")-1),",","."),FIND("/",SUBSTITUTE(LEFT(TRIM(C304),FIND(" ",TRIM(C304)&amp;" ")-1),",","."))+1,9))*12,NA()))),0),30)*'Aturan &amp; Tarif'!$B$4,2)</f>
        <v>1703.4</v>
      </c>
      <c r="K304" s="32" t="n">
        <f aca="false">'Aturan &amp; Tarif'!$B$5</f>
        <v>2050</v>
      </c>
      <c r="L304" s="35" t="n">
        <f aca="false">I304+J304+K304</f>
        <v>6503.4</v>
      </c>
      <c r="M304" s="37" t="s">
        <v>134</v>
      </c>
    </row>
    <row r="305" customFormat="false" ht="14.25" hidden="false" customHeight="true" outlineLevel="0" collapsed="false">
      <c r="A305" s="29"/>
      <c r="B305" s="30" t="s">
        <v>1969</v>
      </c>
      <c r="C305" s="31" t="s">
        <v>1970</v>
      </c>
      <c r="D305" s="31" t="s">
        <v>108</v>
      </c>
      <c r="E305" s="32" t="n">
        <v>2250</v>
      </c>
      <c r="F305" s="32" t="n">
        <v>300</v>
      </c>
      <c r="G305" s="32" t="n">
        <v>200</v>
      </c>
      <c r="H305" s="33" t="n">
        <v>1</v>
      </c>
      <c r="I305" s="34" t="n">
        <f aca="false">E305*H305+N(F305)+N(G305)</f>
        <v>2750</v>
      </c>
      <c r="J305" s="32" t="n">
        <f aca="false">ROUND(IFERROR(ROUND(IF(OR(ISNUMBER(SEARCH("week",C305)),ISNUMBER(SEARCH("minggu",C305))),IFERROR(_xlfn.NUMBERVALUE(SUBSTITUTE(LEFT(TRIM(C305),FIND(" ",TRIM(C305)&amp;" ")-1),",","."),"."),LEFT(SUBSTITUTE(LEFT(TRIM(C305),FIND(" ",TRIM(C305)&amp;" ")-1),",","."),FIND("/",SUBSTITUTE(LEFT(TRIM(C305),FIND(" ",TRIM(C305)&amp;" ")-1),",","."))-1)/MID(SUBSTITUTE(LEFT(TRIM(C305),FIND(" ",TRIM(C305)&amp;" ")-1),",","."),FIND("/",SUBSTITUTE(LEFT(TRIM(C305),FIND(" ",TRIM(C305)&amp;" ")-1),",","."))+1,9))*12/52,IF(ISNUMBER(SEARCH("month",C305)),IFERROR(_xlfn.NUMBERVALUE(SUBSTITUTE(LEFT(TRIM(C305),FIND(" ",TRIM(C305)&amp;" ")-1),",","."),"."),LEFT(SUBSTITUTE(LEFT(TRIM(C305),FIND(" ",TRIM(C305)&amp;" ")-1),",","."),FIND("/",SUBSTITUTE(LEFT(TRIM(C305),FIND(" ",TRIM(C305)&amp;" ")-1),",","."))-1)/MID(SUBSTITUTE(LEFT(TRIM(C305),FIND(" ",TRIM(C305)&amp;" ")-1),",","."),FIND("/",SUBSTITUTE(LEFT(TRIM(C305),FIND(" ",TRIM(C305)&amp;" ")-1),",","."))+1,9)),IF(ISNUMBER(SEARCH("yea",C305)),IFERROR(_xlfn.NUMBERVALUE(SUBSTITUTE(LEFT(TRIM(C305),FIND(" ",TRIM(C305)&amp;" ")-1),",","."),"."),LEFT(SUBSTITUTE(LEFT(TRIM(C305),FIND(" ",TRIM(C305)&amp;" ")-1),",","."),FIND("/",SUBSTITUTE(LEFT(TRIM(C305),FIND(" ",TRIM(C305)&amp;" ")-1),",","."))-1)/MID(SUBSTITUTE(LEFT(TRIM(C305),FIND(" ",TRIM(C305)&amp;" ")-1),",","."),FIND("/",SUBSTITUTE(LEFT(TRIM(C305),FIND(" ",TRIM(C305)&amp;" ")-1),",","."))+1,9))*12,NA()))),0),18)*'Aturan &amp; Tarif'!$B$4,2)</f>
        <v>1022.04</v>
      </c>
      <c r="K305" s="32" t="n">
        <f aca="false">'Aturan &amp; Tarif'!$B$5</f>
        <v>2050</v>
      </c>
      <c r="L305" s="35" t="n">
        <f aca="false">I305+J305+K305</f>
        <v>5822.04</v>
      </c>
      <c r="M305" s="37" t="s">
        <v>134</v>
      </c>
    </row>
    <row r="306" customFormat="false" ht="14.25" hidden="false" customHeight="true" outlineLevel="0" collapsed="false">
      <c r="A306" s="29"/>
      <c r="B306" s="30" t="s">
        <v>625</v>
      </c>
      <c r="C306" s="31" t="s">
        <v>127</v>
      </c>
      <c r="D306" s="31" t="s">
        <v>108</v>
      </c>
      <c r="E306" s="32" t="n">
        <v>2250</v>
      </c>
      <c r="F306" s="32" t="n">
        <v>300</v>
      </c>
      <c r="G306" s="32" t="n">
        <v>200</v>
      </c>
      <c r="H306" s="33" t="n">
        <v>1</v>
      </c>
      <c r="I306" s="34" t="n">
        <f aca="false">E306*H306+N(F306)+N(G306)</f>
        <v>2750</v>
      </c>
      <c r="J306" s="32" t="n">
        <f aca="false">ROUND(IFERROR(ROUND(IF(OR(ISNUMBER(SEARCH("week",C306)),ISNUMBER(SEARCH("minggu",C306))),IFERROR(_xlfn.NUMBERVALUE(SUBSTITUTE(LEFT(TRIM(C306),FIND(" ",TRIM(C306)&amp;" ")-1),",","."),"."),LEFT(SUBSTITUTE(LEFT(TRIM(C306),FIND(" ",TRIM(C306)&amp;" ")-1),",","."),FIND("/",SUBSTITUTE(LEFT(TRIM(C306),FIND(" ",TRIM(C306)&amp;" ")-1),",","."))-1)/MID(SUBSTITUTE(LEFT(TRIM(C306),FIND(" ",TRIM(C306)&amp;" ")-1),",","."),FIND("/",SUBSTITUTE(LEFT(TRIM(C306),FIND(" ",TRIM(C306)&amp;" ")-1),",","."))+1,9))*12/52,IF(ISNUMBER(SEARCH("month",C306)),IFERROR(_xlfn.NUMBERVALUE(SUBSTITUTE(LEFT(TRIM(C306),FIND(" ",TRIM(C306)&amp;" ")-1),",","."),"."),LEFT(SUBSTITUTE(LEFT(TRIM(C306),FIND(" ",TRIM(C306)&amp;" ")-1),",","."),FIND("/",SUBSTITUTE(LEFT(TRIM(C306),FIND(" ",TRIM(C306)&amp;" ")-1),",","."))-1)/MID(SUBSTITUTE(LEFT(TRIM(C306),FIND(" ",TRIM(C306)&amp;" ")-1),",","."),FIND("/",SUBSTITUTE(LEFT(TRIM(C306),FIND(" ",TRIM(C306)&amp;" ")-1),",","."))+1,9)),IF(ISNUMBER(SEARCH("yea",C306)),IFERROR(_xlfn.NUMBERVALUE(SUBSTITUTE(LEFT(TRIM(C306),FIND(" ",TRIM(C306)&amp;" ")-1),",","."),"."),LEFT(SUBSTITUTE(LEFT(TRIM(C306),FIND(" ",TRIM(C306)&amp;" ")-1),",","."),FIND("/",SUBSTITUTE(LEFT(TRIM(C306),FIND(" ",TRIM(C306)&amp;" ")-1),",","."))-1)/MID(SUBSTITUTE(LEFT(TRIM(C306),FIND(" ",TRIM(C306)&amp;" ")-1),",","."),FIND("/",SUBSTITUTE(LEFT(TRIM(C306),FIND(" ",TRIM(C306)&amp;" ")-1),",","."))+1,9))*12,NA()))),0),36)*'Aturan &amp; Tarif'!$B$4,2)</f>
        <v>2044.08</v>
      </c>
      <c r="K306" s="32" t="n">
        <f aca="false">'Aturan &amp; Tarif'!$B$5</f>
        <v>2050</v>
      </c>
      <c r="L306" s="35" t="n">
        <f aca="false">I306+J306+K306</f>
        <v>6844.08</v>
      </c>
      <c r="M306" s="37" t="s">
        <v>134</v>
      </c>
    </row>
    <row r="307" customFormat="false" ht="25.5" hidden="false" customHeight="true" outlineLevel="0" collapsed="false">
      <c r="A307" s="29"/>
      <c r="B307" s="30" t="s">
        <v>1971</v>
      </c>
      <c r="C307" s="31" t="s">
        <v>107</v>
      </c>
      <c r="D307" s="31" t="s">
        <v>108</v>
      </c>
      <c r="E307" s="32" t="n">
        <v>2750</v>
      </c>
      <c r="F307" s="32" t="n">
        <v>500</v>
      </c>
      <c r="G307" s="32" t="n">
        <v>200</v>
      </c>
      <c r="H307" s="33" t="n">
        <v>1</v>
      </c>
      <c r="I307" s="34" t="n">
        <f aca="false">E307*H307+N(F307)+N(G307)</f>
        <v>3450</v>
      </c>
      <c r="J307" s="32" t="n">
        <f aca="false">ROUND(IFERROR(ROUND(IF(OR(ISNUMBER(SEARCH("week",C307)),ISNUMBER(SEARCH("minggu",C307))),IFERROR(_xlfn.NUMBERVALUE(SUBSTITUTE(LEFT(TRIM(C307),FIND(" ",TRIM(C307)&amp;" ")-1),",","."),"."),LEFT(SUBSTITUTE(LEFT(TRIM(C307),FIND(" ",TRIM(C307)&amp;" ")-1),",","."),FIND("/",SUBSTITUTE(LEFT(TRIM(C307),FIND(" ",TRIM(C307)&amp;" ")-1),",","."))-1)/MID(SUBSTITUTE(LEFT(TRIM(C307),FIND(" ",TRIM(C307)&amp;" ")-1),",","."),FIND("/",SUBSTITUTE(LEFT(TRIM(C307),FIND(" ",TRIM(C307)&amp;" ")-1),",","."))+1,9))*12/52,IF(ISNUMBER(SEARCH("month",C307)),IFERROR(_xlfn.NUMBERVALUE(SUBSTITUTE(LEFT(TRIM(C307),FIND(" ",TRIM(C307)&amp;" ")-1),",","."),"."),LEFT(SUBSTITUTE(LEFT(TRIM(C307),FIND(" ",TRIM(C307)&amp;" ")-1),",","."),FIND("/",SUBSTITUTE(LEFT(TRIM(C307),FIND(" ",TRIM(C307)&amp;" ")-1),",","."))-1)/MID(SUBSTITUTE(LEFT(TRIM(C307),FIND(" ",TRIM(C307)&amp;" ")-1),",","."),FIND("/",SUBSTITUTE(LEFT(TRIM(C307),FIND(" ",TRIM(C307)&amp;" ")-1),",","."))+1,9)),IF(ISNUMBER(SEARCH("yea",C307)),IFERROR(_xlfn.NUMBERVALUE(SUBSTITUTE(LEFT(TRIM(C307),FIND(" ",TRIM(C307)&amp;" ")-1),",","."),"."),LEFT(SUBSTITUTE(LEFT(TRIM(C307),FIND(" ",TRIM(C307)&amp;" ")-1),",","."),FIND("/",SUBSTITUTE(LEFT(TRIM(C307),FIND(" ",TRIM(C307)&amp;" ")-1),",","."))-1)/MID(SUBSTITUTE(LEFT(TRIM(C307),FIND(" ",TRIM(C307)&amp;" ")-1),",","."),FIND("/",SUBSTITUTE(LEFT(TRIM(C307),FIND(" ",TRIM(C307)&amp;" ")-1),",","."))+1,9))*12,NA()))),0),24)*'Aturan &amp; Tarif'!$B$4,2)</f>
        <v>1362.72</v>
      </c>
      <c r="K307" s="32" t="n">
        <f aca="false">'Aturan &amp; Tarif'!$B$5</f>
        <v>2050</v>
      </c>
      <c r="L307" s="35" t="n">
        <f aca="false">I307+J307+K307</f>
        <v>6862.72</v>
      </c>
      <c r="M307" s="37" t="s">
        <v>134</v>
      </c>
    </row>
    <row r="308" customFormat="false" ht="25.5" hidden="false" customHeight="true" outlineLevel="0" collapsed="false">
      <c r="A308" s="29"/>
      <c r="B308" s="30" t="s">
        <v>148</v>
      </c>
      <c r="C308" s="31" t="s">
        <v>127</v>
      </c>
      <c r="D308" s="31" t="s">
        <v>108</v>
      </c>
      <c r="E308" s="32" t="n">
        <v>3000</v>
      </c>
      <c r="F308" s="32" t="n">
        <v>1500</v>
      </c>
      <c r="G308" s="32" t="n">
        <v>200</v>
      </c>
      <c r="H308" s="33" t="n">
        <v>1</v>
      </c>
      <c r="I308" s="34" t="n">
        <f aca="false">E308*H308+N(F308)+N(G308)</f>
        <v>4700</v>
      </c>
      <c r="J308" s="32" t="n">
        <f aca="false">ROUND(IFERROR(ROUND(IF(OR(ISNUMBER(SEARCH("week",C308)),ISNUMBER(SEARCH("minggu",C308))),IFERROR(_xlfn.NUMBERVALUE(SUBSTITUTE(LEFT(TRIM(C308),FIND(" ",TRIM(C308)&amp;" ")-1),",","."),"."),LEFT(SUBSTITUTE(LEFT(TRIM(C308),FIND(" ",TRIM(C308)&amp;" ")-1),",","."),FIND("/",SUBSTITUTE(LEFT(TRIM(C308),FIND(" ",TRIM(C308)&amp;" ")-1),",","."))-1)/MID(SUBSTITUTE(LEFT(TRIM(C308),FIND(" ",TRIM(C308)&amp;" ")-1),",","."),FIND("/",SUBSTITUTE(LEFT(TRIM(C308),FIND(" ",TRIM(C308)&amp;" ")-1),",","."))+1,9))*12/52,IF(ISNUMBER(SEARCH("month",C308)),IFERROR(_xlfn.NUMBERVALUE(SUBSTITUTE(LEFT(TRIM(C308),FIND(" ",TRIM(C308)&amp;" ")-1),",","."),"."),LEFT(SUBSTITUTE(LEFT(TRIM(C308),FIND(" ",TRIM(C308)&amp;" ")-1),",","."),FIND("/",SUBSTITUTE(LEFT(TRIM(C308),FIND(" ",TRIM(C308)&amp;" ")-1),",","."))-1)/MID(SUBSTITUTE(LEFT(TRIM(C308),FIND(" ",TRIM(C308)&amp;" ")-1),",","."),FIND("/",SUBSTITUTE(LEFT(TRIM(C308),FIND(" ",TRIM(C308)&amp;" ")-1),",","."))+1,9)),IF(ISNUMBER(SEARCH("yea",C308)),IFERROR(_xlfn.NUMBERVALUE(SUBSTITUTE(LEFT(TRIM(C308),FIND(" ",TRIM(C308)&amp;" ")-1),",","."),"."),LEFT(SUBSTITUTE(LEFT(TRIM(C308),FIND(" ",TRIM(C308)&amp;" ")-1),",","."),FIND("/",SUBSTITUTE(LEFT(TRIM(C308),FIND(" ",TRIM(C308)&amp;" ")-1),",","."))-1)/MID(SUBSTITUTE(LEFT(TRIM(C308),FIND(" ",TRIM(C308)&amp;" ")-1),",","."),FIND("/",SUBSTITUTE(LEFT(TRIM(C308),FIND(" ",TRIM(C308)&amp;" ")-1),",","."))+1,9))*12,NA()))),0),36)*'Aturan &amp; Tarif'!$B$4,2)</f>
        <v>2044.08</v>
      </c>
      <c r="K308" s="32" t="n">
        <f aca="false">'Aturan &amp; Tarif'!$B$5</f>
        <v>2050</v>
      </c>
      <c r="L308" s="35" t="n">
        <f aca="false">I308+J308+K308</f>
        <v>8794.08</v>
      </c>
      <c r="M308" s="37" t="s">
        <v>134</v>
      </c>
    </row>
    <row r="309" customFormat="false" ht="25.5" hidden="false" customHeight="true" outlineLevel="0" collapsed="false">
      <c r="A309" s="29"/>
      <c r="B309" s="30" t="s">
        <v>1972</v>
      </c>
      <c r="C309" s="31" t="s">
        <v>245</v>
      </c>
      <c r="D309" s="31" t="s">
        <v>108</v>
      </c>
      <c r="E309" s="32" t="n">
        <v>3000</v>
      </c>
      <c r="F309" s="32" t="n">
        <v>1500</v>
      </c>
      <c r="G309" s="32" t="n">
        <v>200</v>
      </c>
      <c r="H309" s="33" t="n">
        <v>1</v>
      </c>
      <c r="I309" s="34" t="n">
        <f aca="false">E309*H309+N(F309)+N(G309)</f>
        <v>4700</v>
      </c>
      <c r="J309" s="32" t="n">
        <f aca="false">ROUND(IFERROR(ROUND(IF(OR(ISNUMBER(SEARCH("week",C309)),ISNUMBER(SEARCH("minggu",C309))),IFERROR(_xlfn.NUMBERVALUE(SUBSTITUTE(LEFT(TRIM(C309),FIND(" ",TRIM(C309)&amp;" ")-1),",","."),"."),LEFT(SUBSTITUTE(LEFT(TRIM(C309),FIND(" ",TRIM(C309)&amp;" ")-1),",","."),FIND("/",SUBSTITUTE(LEFT(TRIM(C309),FIND(" ",TRIM(C309)&amp;" ")-1),",","."))-1)/MID(SUBSTITUTE(LEFT(TRIM(C309),FIND(" ",TRIM(C309)&amp;" ")-1),",","."),FIND("/",SUBSTITUTE(LEFT(TRIM(C309),FIND(" ",TRIM(C309)&amp;" ")-1),",","."))+1,9))*12/52,IF(ISNUMBER(SEARCH("month",C309)),IFERROR(_xlfn.NUMBERVALUE(SUBSTITUTE(LEFT(TRIM(C309),FIND(" ",TRIM(C309)&amp;" ")-1),",","."),"."),LEFT(SUBSTITUTE(LEFT(TRIM(C309),FIND(" ",TRIM(C309)&amp;" ")-1),",","."),FIND("/",SUBSTITUTE(LEFT(TRIM(C309),FIND(" ",TRIM(C309)&amp;" ")-1),",","."))-1)/MID(SUBSTITUTE(LEFT(TRIM(C309),FIND(" ",TRIM(C309)&amp;" ")-1),",","."),FIND("/",SUBSTITUTE(LEFT(TRIM(C309),FIND(" ",TRIM(C309)&amp;" ")-1),",","."))+1,9)),IF(ISNUMBER(SEARCH("yea",C309)),IFERROR(_xlfn.NUMBERVALUE(SUBSTITUTE(LEFT(TRIM(C309),FIND(" ",TRIM(C309)&amp;" ")-1),",","."),"."),LEFT(SUBSTITUTE(LEFT(TRIM(C309),FIND(" ",TRIM(C309)&amp;" ")-1),",","."),FIND("/",SUBSTITUTE(LEFT(TRIM(C309),FIND(" ",TRIM(C309)&amp;" ")-1),",","."))-1)/MID(SUBSTITUTE(LEFT(TRIM(C309),FIND(" ",TRIM(C309)&amp;" ")-1),",","."),FIND("/",SUBSTITUTE(LEFT(TRIM(C309),FIND(" ",TRIM(C309)&amp;" ")-1),",","."))+1,9))*12,NA()))),0),60)*'Aturan &amp; Tarif'!$B$4,2)</f>
        <v>3406.8</v>
      </c>
      <c r="K309" s="32" t="n">
        <f aca="false">'Aturan &amp; Tarif'!$B$5</f>
        <v>2050</v>
      </c>
      <c r="L309" s="35" t="n">
        <f aca="false">I309+J309+K309</f>
        <v>10156.8</v>
      </c>
      <c r="M309" s="37" t="s">
        <v>134</v>
      </c>
    </row>
    <row r="310" customFormat="false" ht="25.5" hidden="false" customHeight="true" outlineLevel="0" collapsed="false">
      <c r="A310" s="29"/>
      <c r="B310" s="30" t="s">
        <v>909</v>
      </c>
      <c r="C310" s="31" t="s">
        <v>127</v>
      </c>
      <c r="D310" s="31" t="s">
        <v>108</v>
      </c>
      <c r="E310" s="32" t="n">
        <v>3000</v>
      </c>
      <c r="F310" s="32" t="n">
        <v>1000</v>
      </c>
      <c r="G310" s="32" t="n">
        <v>200</v>
      </c>
      <c r="H310" s="33" t="n">
        <v>1</v>
      </c>
      <c r="I310" s="34" t="n">
        <f aca="false">E310*H310+N(F310)+N(G310)</f>
        <v>4200</v>
      </c>
      <c r="J310" s="32" t="n">
        <f aca="false">ROUND(IFERROR(ROUND(IF(OR(ISNUMBER(SEARCH("week",C310)),ISNUMBER(SEARCH("minggu",C310))),IFERROR(_xlfn.NUMBERVALUE(SUBSTITUTE(LEFT(TRIM(C310),FIND(" ",TRIM(C310)&amp;" ")-1),",","."),"."),LEFT(SUBSTITUTE(LEFT(TRIM(C310),FIND(" ",TRIM(C310)&amp;" ")-1),",","."),FIND("/",SUBSTITUTE(LEFT(TRIM(C310),FIND(" ",TRIM(C310)&amp;" ")-1),",","."))-1)/MID(SUBSTITUTE(LEFT(TRIM(C310),FIND(" ",TRIM(C310)&amp;" ")-1),",","."),FIND("/",SUBSTITUTE(LEFT(TRIM(C310),FIND(" ",TRIM(C310)&amp;" ")-1),",","."))+1,9))*12/52,IF(ISNUMBER(SEARCH("month",C310)),IFERROR(_xlfn.NUMBERVALUE(SUBSTITUTE(LEFT(TRIM(C310),FIND(" ",TRIM(C310)&amp;" ")-1),",","."),"."),LEFT(SUBSTITUTE(LEFT(TRIM(C310),FIND(" ",TRIM(C310)&amp;" ")-1),",","."),FIND("/",SUBSTITUTE(LEFT(TRIM(C310),FIND(" ",TRIM(C310)&amp;" ")-1),",","."))-1)/MID(SUBSTITUTE(LEFT(TRIM(C310),FIND(" ",TRIM(C310)&amp;" ")-1),",","."),FIND("/",SUBSTITUTE(LEFT(TRIM(C310),FIND(" ",TRIM(C310)&amp;" ")-1),",","."))+1,9)),IF(ISNUMBER(SEARCH("yea",C310)),IFERROR(_xlfn.NUMBERVALUE(SUBSTITUTE(LEFT(TRIM(C310),FIND(" ",TRIM(C310)&amp;" ")-1),",","."),"."),LEFT(SUBSTITUTE(LEFT(TRIM(C310),FIND(" ",TRIM(C310)&amp;" ")-1),",","."),FIND("/",SUBSTITUTE(LEFT(TRIM(C310),FIND(" ",TRIM(C310)&amp;" ")-1),",","."))-1)/MID(SUBSTITUTE(LEFT(TRIM(C310),FIND(" ",TRIM(C310)&amp;" ")-1),",","."),FIND("/",SUBSTITUTE(LEFT(TRIM(C310),FIND(" ",TRIM(C310)&amp;" ")-1),",","."))+1,9))*12,NA()))),0),36)*'Aturan &amp; Tarif'!$B$4,2)</f>
        <v>2044.08</v>
      </c>
      <c r="K310" s="32" t="n">
        <f aca="false">'Aturan &amp; Tarif'!$B$5</f>
        <v>2050</v>
      </c>
      <c r="L310" s="35" t="n">
        <f aca="false">I310+J310+K310</f>
        <v>8294.08</v>
      </c>
      <c r="M310" s="37" t="s">
        <v>134</v>
      </c>
    </row>
    <row r="311" customFormat="false" ht="14.25" hidden="false" customHeight="true" outlineLevel="0" collapsed="false">
      <c r="A311" s="29"/>
      <c r="B311" s="30" t="s">
        <v>471</v>
      </c>
      <c r="C311" s="31" t="s">
        <v>107</v>
      </c>
      <c r="D311" s="31" t="s">
        <v>108</v>
      </c>
      <c r="E311" s="32" t="n">
        <v>3000</v>
      </c>
      <c r="F311" s="32" t="n">
        <v>3000</v>
      </c>
      <c r="G311" s="32" t="n">
        <v>200</v>
      </c>
      <c r="H311" s="33" t="n">
        <v>1</v>
      </c>
      <c r="I311" s="34" t="n">
        <f aca="false">E311*H311+N(F311)+N(G311)</f>
        <v>6200</v>
      </c>
      <c r="J311" s="32" t="n">
        <f aca="false">ROUND(IFERROR(ROUND(IF(OR(ISNUMBER(SEARCH("week",C311)),ISNUMBER(SEARCH("minggu",C311))),IFERROR(_xlfn.NUMBERVALUE(SUBSTITUTE(LEFT(TRIM(C311),FIND(" ",TRIM(C311)&amp;" ")-1),",","."),"."),LEFT(SUBSTITUTE(LEFT(TRIM(C311),FIND(" ",TRIM(C311)&amp;" ")-1),",","."),FIND("/",SUBSTITUTE(LEFT(TRIM(C311),FIND(" ",TRIM(C311)&amp;" ")-1),",","."))-1)/MID(SUBSTITUTE(LEFT(TRIM(C311),FIND(" ",TRIM(C311)&amp;" ")-1),",","."),FIND("/",SUBSTITUTE(LEFT(TRIM(C311),FIND(" ",TRIM(C311)&amp;" ")-1),",","."))+1,9))*12/52,IF(ISNUMBER(SEARCH("month",C311)),IFERROR(_xlfn.NUMBERVALUE(SUBSTITUTE(LEFT(TRIM(C311),FIND(" ",TRIM(C311)&amp;" ")-1),",","."),"."),LEFT(SUBSTITUTE(LEFT(TRIM(C311),FIND(" ",TRIM(C311)&amp;" ")-1),",","."),FIND("/",SUBSTITUTE(LEFT(TRIM(C311),FIND(" ",TRIM(C311)&amp;" ")-1),",","."))-1)/MID(SUBSTITUTE(LEFT(TRIM(C311),FIND(" ",TRIM(C311)&amp;" ")-1),",","."),FIND("/",SUBSTITUTE(LEFT(TRIM(C311),FIND(" ",TRIM(C311)&amp;" ")-1),",","."))+1,9)),IF(ISNUMBER(SEARCH("yea",C311)),IFERROR(_xlfn.NUMBERVALUE(SUBSTITUTE(LEFT(TRIM(C311),FIND(" ",TRIM(C311)&amp;" ")-1),",","."),"."),LEFT(SUBSTITUTE(LEFT(TRIM(C311),FIND(" ",TRIM(C311)&amp;" ")-1),",","."),FIND("/",SUBSTITUTE(LEFT(TRIM(C311),FIND(" ",TRIM(C311)&amp;" ")-1),",","."))-1)/MID(SUBSTITUTE(LEFT(TRIM(C311),FIND(" ",TRIM(C311)&amp;" ")-1),",","."),FIND("/",SUBSTITUTE(LEFT(TRIM(C311),FIND(" ",TRIM(C311)&amp;" ")-1),",","."))+1,9))*12,NA()))),0),24)*'Aturan &amp; Tarif'!$B$4,2)</f>
        <v>1362.72</v>
      </c>
      <c r="K311" s="32" t="n">
        <f aca="false">'Aturan &amp; Tarif'!$B$5</f>
        <v>2050</v>
      </c>
      <c r="L311" s="35" t="n">
        <f aca="false">I311+J311+K311</f>
        <v>9612.72</v>
      </c>
      <c r="M311" s="37" t="s">
        <v>134</v>
      </c>
    </row>
    <row r="312" customFormat="false" ht="14.25" hidden="false" customHeight="true" outlineLevel="0" collapsed="false">
      <c r="A312" s="29"/>
      <c r="B312" s="30" t="s">
        <v>1973</v>
      </c>
      <c r="C312" s="31" t="s">
        <v>107</v>
      </c>
      <c r="D312" s="31" t="s">
        <v>108</v>
      </c>
      <c r="E312" s="32" t="n">
        <v>3000</v>
      </c>
      <c r="F312" s="32" t="n">
        <v>3000</v>
      </c>
      <c r="G312" s="32" t="n">
        <v>200</v>
      </c>
      <c r="H312" s="33" t="n">
        <v>1</v>
      </c>
      <c r="I312" s="34" t="n">
        <f aca="false">E312*H312+N(F312)+N(G312)</f>
        <v>6200</v>
      </c>
      <c r="J312" s="32" t="n">
        <f aca="false">ROUND(IFERROR(ROUND(IF(OR(ISNUMBER(SEARCH("week",C312)),ISNUMBER(SEARCH("minggu",C312))),IFERROR(_xlfn.NUMBERVALUE(SUBSTITUTE(LEFT(TRIM(C312),FIND(" ",TRIM(C312)&amp;" ")-1),",","."),"."),LEFT(SUBSTITUTE(LEFT(TRIM(C312),FIND(" ",TRIM(C312)&amp;" ")-1),",","."),FIND("/",SUBSTITUTE(LEFT(TRIM(C312),FIND(" ",TRIM(C312)&amp;" ")-1),",","."))-1)/MID(SUBSTITUTE(LEFT(TRIM(C312),FIND(" ",TRIM(C312)&amp;" ")-1),",","."),FIND("/",SUBSTITUTE(LEFT(TRIM(C312),FIND(" ",TRIM(C312)&amp;" ")-1),",","."))+1,9))*12/52,IF(ISNUMBER(SEARCH("month",C312)),IFERROR(_xlfn.NUMBERVALUE(SUBSTITUTE(LEFT(TRIM(C312),FIND(" ",TRIM(C312)&amp;" ")-1),",","."),"."),LEFT(SUBSTITUTE(LEFT(TRIM(C312),FIND(" ",TRIM(C312)&amp;" ")-1),",","."),FIND("/",SUBSTITUTE(LEFT(TRIM(C312),FIND(" ",TRIM(C312)&amp;" ")-1),",","."))-1)/MID(SUBSTITUTE(LEFT(TRIM(C312),FIND(" ",TRIM(C312)&amp;" ")-1),",","."),FIND("/",SUBSTITUTE(LEFT(TRIM(C312),FIND(" ",TRIM(C312)&amp;" ")-1),",","."))+1,9)),IF(ISNUMBER(SEARCH("yea",C312)),IFERROR(_xlfn.NUMBERVALUE(SUBSTITUTE(LEFT(TRIM(C312),FIND(" ",TRIM(C312)&amp;" ")-1),",","."),"."),LEFT(SUBSTITUTE(LEFT(TRIM(C312),FIND(" ",TRIM(C312)&amp;" ")-1),",","."),FIND("/",SUBSTITUTE(LEFT(TRIM(C312),FIND(" ",TRIM(C312)&amp;" ")-1),",","."))-1)/MID(SUBSTITUTE(LEFT(TRIM(C312),FIND(" ",TRIM(C312)&amp;" ")-1),",","."),FIND("/",SUBSTITUTE(LEFT(TRIM(C312),FIND(" ",TRIM(C312)&amp;" ")-1),",","."))+1,9))*12,NA()))),0),24)*'Aturan &amp; Tarif'!$B$4,2)</f>
        <v>1362.72</v>
      </c>
      <c r="K312" s="32" t="n">
        <f aca="false">'Aturan &amp; Tarif'!$B$5</f>
        <v>2050</v>
      </c>
      <c r="L312" s="35" t="n">
        <f aca="false">I312+J312+K312</f>
        <v>9612.72</v>
      </c>
      <c r="M312" s="37" t="s">
        <v>134</v>
      </c>
    </row>
    <row r="313" customFormat="false" ht="14.25" hidden="false" customHeight="true" outlineLevel="0" collapsed="false">
      <c r="A313" s="39" t="s">
        <v>1974</v>
      </c>
      <c r="B313" s="40" t="s">
        <v>1584</v>
      </c>
      <c r="C313" s="41" t="s">
        <v>113</v>
      </c>
      <c r="D313" s="41" t="s">
        <v>108</v>
      </c>
      <c r="E313" s="42" t="n">
        <v>1500</v>
      </c>
      <c r="F313" s="42" t="n">
        <v>100</v>
      </c>
      <c r="G313" s="42" t="n">
        <v>200</v>
      </c>
      <c r="H313" s="43" t="n">
        <v>1</v>
      </c>
      <c r="I313" s="34" t="n">
        <f aca="false">E313*H313+N(F313)+N(G313)</f>
        <v>1800</v>
      </c>
      <c r="J313" s="42" t="n">
        <f aca="false">ROUND(IFERROR(ROUND(IF(OR(ISNUMBER(SEARCH("week",C313)),ISNUMBER(SEARCH("minggu",C313))),IFERROR(_xlfn.NUMBERVALUE(SUBSTITUTE(LEFT(TRIM(C313),FIND(" ",TRIM(C313)&amp;" ")-1),",","."),"."),LEFT(SUBSTITUTE(LEFT(TRIM(C313),FIND(" ",TRIM(C313)&amp;" ")-1),",","."),FIND("/",SUBSTITUTE(LEFT(TRIM(C313),FIND(" ",TRIM(C313)&amp;" ")-1),",","."))-1)/MID(SUBSTITUTE(LEFT(TRIM(C313),FIND(" ",TRIM(C313)&amp;" ")-1),",","."),FIND("/",SUBSTITUTE(LEFT(TRIM(C313),FIND(" ",TRIM(C313)&amp;" ")-1),",","."))+1,9))*12/52,IF(ISNUMBER(SEARCH("month",C313)),IFERROR(_xlfn.NUMBERVALUE(SUBSTITUTE(LEFT(TRIM(C313),FIND(" ",TRIM(C313)&amp;" ")-1),",","."),"."),LEFT(SUBSTITUTE(LEFT(TRIM(C313),FIND(" ",TRIM(C313)&amp;" ")-1),",","."),FIND("/",SUBSTITUTE(LEFT(TRIM(C313),FIND(" ",TRIM(C313)&amp;" ")-1),",","."))-1)/MID(SUBSTITUTE(LEFT(TRIM(C313),FIND(" ",TRIM(C313)&amp;" ")-1),",","."),FIND("/",SUBSTITUTE(LEFT(TRIM(C313),FIND(" ",TRIM(C313)&amp;" ")-1),",","."))+1,9)),IF(ISNUMBER(SEARCH("yea",C313)),IFERROR(_xlfn.NUMBERVALUE(SUBSTITUTE(LEFT(TRIM(C313),FIND(" ",TRIM(C313)&amp;" ")-1),",","."),"."),LEFT(SUBSTITUTE(LEFT(TRIM(C313),FIND(" ",TRIM(C313)&amp;" ")-1),",","."),FIND("/",SUBSTITUTE(LEFT(TRIM(C313),FIND(" ",TRIM(C313)&amp;" ")-1),",","."))-1)/MID(SUBSTITUTE(LEFT(TRIM(C313),FIND(" ",TRIM(C313)&amp;" ")-1),",","."),FIND("/",SUBSTITUTE(LEFT(TRIM(C313),FIND(" ",TRIM(C313)&amp;" ")-1),",","."))+1,9))*12,NA()))),0),18)*'Aturan &amp; Tarif'!$B$4,2)</f>
        <v>1022.04</v>
      </c>
      <c r="K313" s="42" t="n">
        <f aca="false">'Aturan &amp; Tarif'!$B$5</f>
        <v>2050</v>
      </c>
      <c r="L313" s="35" t="n">
        <f aca="false">I313+J313+K313</f>
        <v>4872.04</v>
      </c>
      <c r="M313" s="44" t="s">
        <v>1585</v>
      </c>
    </row>
    <row r="314" customFormat="false" ht="25.5" hidden="false" customHeight="true" outlineLevel="0" collapsed="false">
      <c r="A314" s="39"/>
      <c r="B314" s="40" t="s">
        <v>1586</v>
      </c>
      <c r="C314" s="41" t="s">
        <v>138</v>
      </c>
      <c r="D314" s="41" t="s">
        <v>108</v>
      </c>
      <c r="E314" s="42" t="n">
        <v>1500</v>
      </c>
      <c r="F314" s="42" t="n">
        <v>100</v>
      </c>
      <c r="G314" s="42" t="n">
        <v>200</v>
      </c>
      <c r="H314" s="43" t="n">
        <v>1</v>
      </c>
      <c r="I314" s="34" t="n">
        <f aca="false">E314*H314+N(F314)+N(G314)</f>
        <v>1800</v>
      </c>
      <c r="J314" s="42" t="n">
        <f aca="false">ROUND(IFERROR(ROUND(IF(OR(ISNUMBER(SEARCH("week",C314)),ISNUMBER(SEARCH("minggu",C314))),IFERROR(_xlfn.NUMBERVALUE(SUBSTITUTE(LEFT(TRIM(C314),FIND(" ",TRIM(C314)&amp;" ")-1),",","."),"."),LEFT(SUBSTITUTE(LEFT(TRIM(C314),FIND(" ",TRIM(C314)&amp;" ")-1),",","."),FIND("/",SUBSTITUTE(LEFT(TRIM(C314),FIND(" ",TRIM(C314)&amp;" ")-1),",","."))-1)/MID(SUBSTITUTE(LEFT(TRIM(C314),FIND(" ",TRIM(C314)&amp;" ")-1),",","."),FIND("/",SUBSTITUTE(LEFT(TRIM(C314),FIND(" ",TRIM(C314)&amp;" ")-1),",","."))+1,9))*12/52,IF(ISNUMBER(SEARCH("month",C314)),IFERROR(_xlfn.NUMBERVALUE(SUBSTITUTE(LEFT(TRIM(C314),FIND(" ",TRIM(C314)&amp;" ")-1),",","."),"."),LEFT(SUBSTITUTE(LEFT(TRIM(C314),FIND(" ",TRIM(C314)&amp;" ")-1),",","."),FIND("/",SUBSTITUTE(LEFT(TRIM(C314),FIND(" ",TRIM(C314)&amp;" ")-1),",","."))-1)/MID(SUBSTITUTE(LEFT(TRIM(C314),FIND(" ",TRIM(C314)&amp;" ")-1),",","."),FIND("/",SUBSTITUTE(LEFT(TRIM(C314),FIND(" ",TRIM(C314)&amp;" ")-1),",","."))+1,9)),IF(ISNUMBER(SEARCH("yea",C314)),IFERROR(_xlfn.NUMBERVALUE(SUBSTITUTE(LEFT(TRIM(C314),FIND(" ",TRIM(C314)&amp;" ")-1),",","."),"."),LEFT(SUBSTITUTE(LEFT(TRIM(C314),FIND(" ",TRIM(C314)&amp;" ")-1),",","."),FIND("/",SUBSTITUTE(LEFT(TRIM(C314),FIND(" ",TRIM(C314)&amp;" ")-1),",","."))-1)/MID(SUBSTITUTE(LEFT(TRIM(C314),FIND(" ",TRIM(C314)&amp;" ")-1),",","."),FIND("/",SUBSTITUTE(LEFT(TRIM(C314),FIND(" ",TRIM(C314)&amp;" ")-1),",","."))+1,9))*12,NA()))),0),30)*'Aturan &amp; Tarif'!$B$4,2)</f>
        <v>1703.4</v>
      </c>
      <c r="K314" s="42" t="n">
        <f aca="false">'Aturan &amp; Tarif'!$B$5</f>
        <v>2050</v>
      </c>
      <c r="L314" s="35" t="n">
        <f aca="false">I314+J314+K314</f>
        <v>5553.4</v>
      </c>
      <c r="M314" s="45" t="s">
        <v>134</v>
      </c>
    </row>
    <row r="315" customFormat="false" ht="25.5" hidden="false" customHeight="true" outlineLevel="0" collapsed="false">
      <c r="A315" s="39"/>
      <c r="B315" s="40" t="s">
        <v>1587</v>
      </c>
      <c r="C315" s="41" t="s">
        <v>136</v>
      </c>
      <c r="D315" s="41" t="s">
        <v>108</v>
      </c>
      <c r="E315" s="42" t="n">
        <v>1500</v>
      </c>
      <c r="F315" s="42" t="n">
        <v>100</v>
      </c>
      <c r="G315" s="42" t="n">
        <v>200</v>
      </c>
      <c r="H315" s="43" t="n">
        <v>1</v>
      </c>
      <c r="I315" s="34" t="n">
        <f aca="false">E315*H315+N(F315)+N(G315)</f>
        <v>1800</v>
      </c>
      <c r="J315" s="42" t="n">
        <f aca="false">ROUND(IFERROR(ROUND(IF(OR(ISNUMBER(SEARCH("week",C315)),ISNUMBER(SEARCH("minggu",C315))),IFERROR(_xlfn.NUMBERVALUE(SUBSTITUTE(LEFT(TRIM(C315),FIND(" ",TRIM(C315)&amp;" ")-1),",","."),"."),LEFT(SUBSTITUTE(LEFT(TRIM(C315),FIND(" ",TRIM(C315)&amp;" ")-1),",","."),FIND("/",SUBSTITUTE(LEFT(TRIM(C315),FIND(" ",TRIM(C315)&amp;" ")-1),",","."))-1)/MID(SUBSTITUTE(LEFT(TRIM(C315),FIND(" ",TRIM(C315)&amp;" ")-1),",","."),FIND("/",SUBSTITUTE(LEFT(TRIM(C315),FIND(" ",TRIM(C315)&amp;" ")-1),",","."))+1,9))*12/52,IF(ISNUMBER(SEARCH("month",C315)),IFERROR(_xlfn.NUMBERVALUE(SUBSTITUTE(LEFT(TRIM(C315),FIND(" ",TRIM(C315)&amp;" ")-1),",","."),"."),LEFT(SUBSTITUTE(LEFT(TRIM(C315),FIND(" ",TRIM(C315)&amp;" ")-1),",","."),FIND("/",SUBSTITUTE(LEFT(TRIM(C315),FIND(" ",TRIM(C315)&amp;" ")-1),",","."))-1)/MID(SUBSTITUTE(LEFT(TRIM(C315),FIND(" ",TRIM(C315)&amp;" ")-1),",","."),FIND("/",SUBSTITUTE(LEFT(TRIM(C315),FIND(" ",TRIM(C315)&amp;" ")-1),",","."))+1,9)),IF(ISNUMBER(SEARCH("yea",C315)),IFERROR(_xlfn.NUMBERVALUE(SUBSTITUTE(LEFT(TRIM(C315),FIND(" ",TRIM(C315)&amp;" ")-1),",","."),"."),LEFT(SUBSTITUTE(LEFT(TRIM(C315),FIND(" ",TRIM(C315)&amp;" ")-1),",","."),FIND("/",SUBSTITUTE(LEFT(TRIM(C315),FIND(" ",TRIM(C315)&amp;" ")-1),",","."))-1)/MID(SUBSTITUTE(LEFT(TRIM(C315),FIND(" ",TRIM(C315)&amp;" ")-1),",","."),FIND("/",SUBSTITUTE(LEFT(TRIM(C315),FIND(" ",TRIM(C315)&amp;" ")-1),",","."))+1,9))*12,NA()))),0),42)*'Aturan &amp; Tarif'!$B$4,2)</f>
        <v>2384.76</v>
      </c>
      <c r="K315" s="42" t="n">
        <f aca="false">'Aturan &amp; Tarif'!$B$5</f>
        <v>2050</v>
      </c>
      <c r="L315" s="35" t="n">
        <f aca="false">I315+J315+K315</f>
        <v>6234.76</v>
      </c>
      <c r="M315" s="44" t="s">
        <v>1588</v>
      </c>
    </row>
    <row r="316" customFormat="false" ht="25.5" hidden="false" customHeight="true" outlineLevel="0" collapsed="false">
      <c r="A316" s="39"/>
      <c r="B316" s="40" t="s">
        <v>1589</v>
      </c>
      <c r="C316" s="41" t="s">
        <v>113</v>
      </c>
      <c r="D316" s="41" t="s">
        <v>108</v>
      </c>
      <c r="E316" s="42" t="n">
        <v>1500</v>
      </c>
      <c r="F316" s="42" t="n">
        <v>100</v>
      </c>
      <c r="G316" s="42" t="n">
        <v>200</v>
      </c>
      <c r="H316" s="43" t="n">
        <v>1</v>
      </c>
      <c r="I316" s="34" t="n">
        <f aca="false">E316*H316+N(F316)+N(G316)</f>
        <v>1800</v>
      </c>
      <c r="J316" s="42" t="n">
        <f aca="false">ROUND(IFERROR(ROUND(IF(OR(ISNUMBER(SEARCH("week",C316)),ISNUMBER(SEARCH("minggu",C316))),IFERROR(_xlfn.NUMBERVALUE(SUBSTITUTE(LEFT(TRIM(C316),FIND(" ",TRIM(C316)&amp;" ")-1),",","."),"."),LEFT(SUBSTITUTE(LEFT(TRIM(C316),FIND(" ",TRIM(C316)&amp;" ")-1),",","."),FIND("/",SUBSTITUTE(LEFT(TRIM(C316),FIND(" ",TRIM(C316)&amp;" ")-1),",","."))-1)/MID(SUBSTITUTE(LEFT(TRIM(C316),FIND(" ",TRIM(C316)&amp;" ")-1),",","."),FIND("/",SUBSTITUTE(LEFT(TRIM(C316),FIND(" ",TRIM(C316)&amp;" ")-1),",","."))+1,9))*12/52,IF(ISNUMBER(SEARCH("month",C316)),IFERROR(_xlfn.NUMBERVALUE(SUBSTITUTE(LEFT(TRIM(C316),FIND(" ",TRIM(C316)&amp;" ")-1),",","."),"."),LEFT(SUBSTITUTE(LEFT(TRIM(C316),FIND(" ",TRIM(C316)&amp;" ")-1),",","."),FIND("/",SUBSTITUTE(LEFT(TRIM(C316),FIND(" ",TRIM(C316)&amp;" ")-1),",","."))-1)/MID(SUBSTITUTE(LEFT(TRIM(C316),FIND(" ",TRIM(C316)&amp;" ")-1),",","."),FIND("/",SUBSTITUTE(LEFT(TRIM(C316),FIND(" ",TRIM(C316)&amp;" ")-1),",","."))+1,9)),IF(ISNUMBER(SEARCH("yea",C316)),IFERROR(_xlfn.NUMBERVALUE(SUBSTITUTE(LEFT(TRIM(C316),FIND(" ",TRIM(C316)&amp;" ")-1),",","."),"."),LEFT(SUBSTITUTE(LEFT(TRIM(C316),FIND(" ",TRIM(C316)&amp;" ")-1),",","."),FIND("/",SUBSTITUTE(LEFT(TRIM(C316),FIND(" ",TRIM(C316)&amp;" ")-1),",","."))-1)/MID(SUBSTITUTE(LEFT(TRIM(C316),FIND(" ",TRIM(C316)&amp;" ")-1),",","."),FIND("/",SUBSTITUTE(LEFT(TRIM(C316),FIND(" ",TRIM(C316)&amp;" ")-1),",","."))+1,9))*12,NA()))),0),18)*'Aturan &amp; Tarif'!$B$4,2)</f>
        <v>1022.04</v>
      </c>
      <c r="K316" s="42" t="n">
        <f aca="false">'Aturan &amp; Tarif'!$B$5</f>
        <v>2050</v>
      </c>
      <c r="L316" s="35" t="n">
        <f aca="false">I316+J316+K316</f>
        <v>4872.04</v>
      </c>
      <c r="M316" s="45" t="s">
        <v>1590</v>
      </c>
    </row>
    <row r="317" customFormat="false" ht="37.5" hidden="false" customHeight="true" outlineLevel="0" collapsed="false">
      <c r="A317" s="39"/>
      <c r="B317" s="40" t="s">
        <v>1591</v>
      </c>
      <c r="C317" s="41" t="s">
        <v>113</v>
      </c>
      <c r="D317" s="41" t="s">
        <v>108</v>
      </c>
      <c r="E317" s="42" t="n">
        <v>1500</v>
      </c>
      <c r="F317" s="42" t="n">
        <v>100</v>
      </c>
      <c r="G317" s="42" t="n">
        <v>200</v>
      </c>
      <c r="H317" s="43" t="n">
        <v>1</v>
      </c>
      <c r="I317" s="34" t="n">
        <f aca="false">E317*H317+N(F317)+N(G317)</f>
        <v>1800</v>
      </c>
      <c r="J317" s="42" t="n">
        <f aca="false">ROUND(IFERROR(ROUND(IF(OR(ISNUMBER(SEARCH("week",C317)),ISNUMBER(SEARCH("minggu",C317))),IFERROR(_xlfn.NUMBERVALUE(SUBSTITUTE(LEFT(TRIM(C317),FIND(" ",TRIM(C317)&amp;" ")-1),",","."),"."),LEFT(SUBSTITUTE(LEFT(TRIM(C317),FIND(" ",TRIM(C317)&amp;" ")-1),",","."),FIND("/",SUBSTITUTE(LEFT(TRIM(C317),FIND(" ",TRIM(C317)&amp;" ")-1),",","."))-1)/MID(SUBSTITUTE(LEFT(TRIM(C317),FIND(" ",TRIM(C317)&amp;" ")-1),",","."),FIND("/",SUBSTITUTE(LEFT(TRIM(C317),FIND(" ",TRIM(C317)&amp;" ")-1),",","."))+1,9))*12/52,IF(ISNUMBER(SEARCH("month",C317)),IFERROR(_xlfn.NUMBERVALUE(SUBSTITUTE(LEFT(TRIM(C317),FIND(" ",TRIM(C317)&amp;" ")-1),",","."),"."),LEFT(SUBSTITUTE(LEFT(TRIM(C317),FIND(" ",TRIM(C317)&amp;" ")-1),",","."),FIND("/",SUBSTITUTE(LEFT(TRIM(C317),FIND(" ",TRIM(C317)&amp;" ")-1),",","."))-1)/MID(SUBSTITUTE(LEFT(TRIM(C317),FIND(" ",TRIM(C317)&amp;" ")-1),",","."),FIND("/",SUBSTITUTE(LEFT(TRIM(C317),FIND(" ",TRIM(C317)&amp;" ")-1),",","."))+1,9)),IF(ISNUMBER(SEARCH("yea",C317)),IFERROR(_xlfn.NUMBERVALUE(SUBSTITUTE(LEFT(TRIM(C317),FIND(" ",TRIM(C317)&amp;" ")-1),",","."),"."),LEFT(SUBSTITUTE(LEFT(TRIM(C317),FIND(" ",TRIM(C317)&amp;" ")-1),",","."),FIND("/",SUBSTITUTE(LEFT(TRIM(C317),FIND(" ",TRIM(C317)&amp;" ")-1),",","."))-1)/MID(SUBSTITUTE(LEFT(TRIM(C317),FIND(" ",TRIM(C317)&amp;" ")-1),",","."),FIND("/",SUBSTITUTE(LEFT(TRIM(C317),FIND(" ",TRIM(C317)&amp;" ")-1),",","."))+1,9))*12,NA()))),0),18)*'Aturan &amp; Tarif'!$B$4,2)</f>
        <v>1022.04</v>
      </c>
      <c r="K317" s="42" t="n">
        <f aca="false">'Aturan &amp; Tarif'!$B$5</f>
        <v>2050</v>
      </c>
      <c r="L317" s="35" t="n">
        <f aca="false">I317+J317+K317</f>
        <v>4872.04</v>
      </c>
      <c r="M317" s="45" t="s">
        <v>134</v>
      </c>
    </row>
    <row r="318" customFormat="false" ht="48.75" hidden="false" customHeight="true" outlineLevel="0" collapsed="false">
      <c r="A318" s="39"/>
      <c r="B318" s="40" t="s">
        <v>1592</v>
      </c>
      <c r="C318" s="41" t="s">
        <v>138</v>
      </c>
      <c r="D318" s="41" t="s">
        <v>108</v>
      </c>
      <c r="E318" s="42" t="n">
        <v>1500</v>
      </c>
      <c r="F318" s="42" t="n">
        <v>100</v>
      </c>
      <c r="G318" s="42" t="n">
        <v>200</v>
      </c>
      <c r="H318" s="43" t="n">
        <v>1</v>
      </c>
      <c r="I318" s="34" t="n">
        <f aca="false">E318*H318+N(F318)+N(G318)</f>
        <v>1800</v>
      </c>
      <c r="J318" s="42" t="n">
        <f aca="false">ROUND(IFERROR(ROUND(IF(OR(ISNUMBER(SEARCH("week",C318)),ISNUMBER(SEARCH("minggu",C318))),IFERROR(_xlfn.NUMBERVALUE(SUBSTITUTE(LEFT(TRIM(C318),FIND(" ",TRIM(C318)&amp;" ")-1),",","."),"."),LEFT(SUBSTITUTE(LEFT(TRIM(C318),FIND(" ",TRIM(C318)&amp;" ")-1),",","."),FIND("/",SUBSTITUTE(LEFT(TRIM(C318),FIND(" ",TRIM(C318)&amp;" ")-1),",","."))-1)/MID(SUBSTITUTE(LEFT(TRIM(C318),FIND(" ",TRIM(C318)&amp;" ")-1),",","."),FIND("/",SUBSTITUTE(LEFT(TRIM(C318),FIND(" ",TRIM(C318)&amp;" ")-1),",","."))+1,9))*12/52,IF(ISNUMBER(SEARCH("month",C318)),IFERROR(_xlfn.NUMBERVALUE(SUBSTITUTE(LEFT(TRIM(C318),FIND(" ",TRIM(C318)&amp;" ")-1),",","."),"."),LEFT(SUBSTITUTE(LEFT(TRIM(C318),FIND(" ",TRIM(C318)&amp;" ")-1),",","."),FIND("/",SUBSTITUTE(LEFT(TRIM(C318),FIND(" ",TRIM(C318)&amp;" ")-1),",","."))-1)/MID(SUBSTITUTE(LEFT(TRIM(C318),FIND(" ",TRIM(C318)&amp;" ")-1),",","."),FIND("/",SUBSTITUTE(LEFT(TRIM(C318),FIND(" ",TRIM(C318)&amp;" ")-1),",","."))+1,9)),IF(ISNUMBER(SEARCH("yea",C318)),IFERROR(_xlfn.NUMBERVALUE(SUBSTITUTE(LEFT(TRIM(C318),FIND(" ",TRIM(C318)&amp;" ")-1),",","."),"."),LEFT(SUBSTITUTE(LEFT(TRIM(C318),FIND(" ",TRIM(C318)&amp;" ")-1),",","."),FIND("/",SUBSTITUTE(LEFT(TRIM(C318),FIND(" ",TRIM(C318)&amp;" ")-1),",","."))-1)/MID(SUBSTITUTE(LEFT(TRIM(C318),FIND(" ",TRIM(C318)&amp;" ")-1),",","."),FIND("/",SUBSTITUTE(LEFT(TRIM(C318),FIND(" ",TRIM(C318)&amp;" ")-1),",","."))+1,9))*12,NA()))),0),30)*'Aturan &amp; Tarif'!$B$4,2)</f>
        <v>1703.4</v>
      </c>
      <c r="K318" s="42" t="n">
        <f aca="false">'Aturan &amp; Tarif'!$B$5</f>
        <v>2050</v>
      </c>
      <c r="L318" s="35" t="n">
        <f aca="false">I318+J318+K318</f>
        <v>5553.4</v>
      </c>
      <c r="M318" s="45" t="s">
        <v>134</v>
      </c>
    </row>
    <row r="319" customFormat="false" ht="25.5" hidden="false" customHeight="true" outlineLevel="0" collapsed="false">
      <c r="A319" s="39"/>
      <c r="B319" s="40" t="s">
        <v>1593</v>
      </c>
      <c r="C319" s="41" t="s">
        <v>136</v>
      </c>
      <c r="D319" s="41" t="s">
        <v>108</v>
      </c>
      <c r="E319" s="42" t="n">
        <v>1500</v>
      </c>
      <c r="F319" s="42" t="n">
        <v>100</v>
      </c>
      <c r="G319" s="42" t="n">
        <v>200</v>
      </c>
      <c r="H319" s="43" t="n">
        <v>1</v>
      </c>
      <c r="I319" s="34" t="n">
        <f aca="false">E319*H319+N(F319)+N(G319)</f>
        <v>1800</v>
      </c>
      <c r="J319" s="42" t="n">
        <f aca="false">ROUND(IFERROR(ROUND(IF(OR(ISNUMBER(SEARCH("week",C319)),ISNUMBER(SEARCH("minggu",C319))),IFERROR(_xlfn.NUMBERVALUE(SUBSTITUTE(LEFT(TRIM(C319),FIND(" ",TRIM(C319)&amp;" ")-1),",","."),"."),LEFT(SUBSTITUTE(LEFT(TRIM(C319),FIND(" ",TRIM(C319)&amp;" ")-1),",","."),FIND("/",SUBSTITUTE(LEFT(TRIM(C319),FIND(" ",TRIM(C319)&amp;" ")-1),",","."))-1)/MID(SUBSTITUTE(LEFT(TRIM(C319),FIND(" ",TRIM(C319)&amp;" ")-1),",","."),FIND("/",SUBSTITUTE(LEFT(TRIM(C319),FIND(" ",TRIM(C319)&amp;" ")-1),",","."))+1,9))*12/52,IF(ISNUMBER(SEARCH("month",C319)),IFERROR(_xlfn.NUMBERVALUE(SUBSTITUTE(LEFT(TRIM(C319),FIND(" ",TRIM(C319)&amp;" ")-1),",","."),"."),LEFT(SUBSTITUTE(LEFT(TRIM(C319),FIND(" ",TRIM(C319)&amp;" ")-1),",","."),FIND("/",SUBSTITUTE(LEFT(TRIM(C319),FIND(" ",TRIM(C319)&amp;" ")-1),",","."))-1)/MID(SUBSTITUTE(LEFT(TRIM(C319),FIND(" ",TRIM(C319)&amp;" ")-1),",","."),FIND("/",SUBSTITUTE(LEFT(TRIM(C319),FIND(" ",TRIM(C319)&amp;" ")-1),",","."))+1,9)),IF(ISNUMBER(SEARCH("yea",C319)),IFERROR(_xlfn.NUMBERVALUE(SUBSTITUTE(LEFT(TRIM(C319),FIND(" ",TRIM(C319)&amp;" ")-1),",","."),"."),LEFT(SUBSTITUTE(LEFT(TRIM(C319),FIND(" ",TRIM(C319)&amp;" ")-1),",","."),FIND("/",SUBSTITUTE(LEFT(TRIM(C319),FIND(" ",TRIM(C319)&amp;" ")-1),",","."))-1)/MID(SUBSTITUTE(LEFT(TRIM(C319),FIND(" ",TRIM(C319)&amp;" ")-1),",","."),FIND("/",SUBSTITUTE(LEFT(TRIM(C319),FIND(" ",TRIM(C319)&amp;" ")-1),",","."))+1,9))*12,NA()))),0),42)*'Aturan &amp; Tarif'!$B$4,2)</f>
        <v>2384.76</v>
      </c>
      <c r="K319" s="42" t="n">
        <f aca="false">'Aturan &amp; Tarif'!$B$5</f>
        <v>2050</v>
      </c>
      <c r="L319" s="35" t="n">
        <f aca="false">I319+J319+K319</f>
        <v>6234.76</v>
      </c>
      <c r="M319" s="44" t="s">
        <v>1594</v>
      </c>
    </row>
    <row r="320" customFormat="false" ht="37.5" hidden="false" customHeight="true" outlineLevel="0" collapsed="false">
      <c r="A320" s="39"/>
      <c r="B320" s="40" t="s">
        <v>1595</v>
      </c>
      <c r="C320" s="41" t="s">
        <v>130</v>
      </c>
      <c r="D320" s="41" t="s">
        <v>108</v>
      </c>
      <c r="E320" s="42" t="n">
        <v>1500</v>
      </c>
      <c r="F320" s="42" t="n">
        <v>100</v>
      </c>
      <c r="G320" s="42" t="n">
        <v>200</v>
      </c>
      <c r="H320" s="43" t="n">
        <v>1</v>
      </c>
      <c r="I320" s="34" t="n">
        <f aca="false">E320*H320+N(F320)+N(G320)</f>
        <v>1800</v>
      </c>
      <c r="J320" s="42" t="n">
        <f aca="false">ROUND(IFERROR(ROUND(IF(OR(ISNUMBER(SEARCH("week",C320)),ISNUMBER(SEARCH("minggu",C320))),IFERROR(_xlfn.NUMBERVALUE(SUBSTITUTE(LEFT(TRIM(C320),FIND(" ",TRIM(C320)&amp;" ")-1),",","."),"."),LEFT(SUBSTITUTE(LEFT(TRIM(C320),FIND(" ",TRIM(C320)&amp;" ")-1),",","."),FIND("/",SUBSTITUTE(LEFT(TRIM(C320),FIND(" ",TRIM(C320)&amp;" ")-1),",","."))-1)/MID(SUBSTITUTE(LEFT(TRIM(C320),FIND(" ",TRIM(C320)&amp;" ")-1),",","."),FIND("/",SUBSTITUTE(LEFT(TRIM(C320),FIND(" ",TRIM(C320)&amp;" ")-1),",","."))+1,9))*12/52,IF(ISNUMBER(SEARCH("month",C320)),IFERROR(_xlfn.NUMBERVALUE(SUBSTITUTE(LEFT(TRIM(C320),FIND(" ",TRIM(C320)&amp;" ")-1),",","."),"."),LEFT(SUBSTITUTE(LEFT(TRIM(C320),FIND(" ",TRIM(C320)&amp;" ")-1),",","."),FIND("/",SUBSTITUTE(LEFT(TRIM(C320),FIND(" ",TRIM(C320)&amp;" ")-1),",","."))-1)/MID(SUBSTITUTE(LEFT(TRIM(C320),FIND(" ",TRIM(C320)&amp;" ")-1),",","."),FIND("/",SUBSTITUTE(LEFT(TRIM(C320),FIND(" ",TRIM(C320)&amp;" ")-1),",","."))+1,9)),IF(ISNUMBER(SEARCH("yea",C320)),IFERROR(_xlfn.NUMBERVALUE(SUBSTITUTE(LEFT(TRIM(C320),FIND(" ",TRIM(C320)&amp;" ")-1),",","."),"."),LEFT(SUBSTITUTE(LEFT(TRIM(C320),FIND(" ",TRIM(C320)&amp;" ")-1),",","."),FIND("/",SUBSTITUTE(LEFT(TRIM(C320),FIND(" ",TRIM(C320)&amp;" ")-1),",","."))-1)/MID(SUBSTITUTE(LEFT(TRIM(C320),FIND(" ",TRIM(C320)&amp;" ")-1),",","."),FIND("/",SUBSTITUTE(LEFT(TRIM(C320),FIND(" ",TRIM(C320)&amp;" ")-1),",","."))+1,9))*12,NA()))),0),12)*'Aturan &amp; Tarif'!$B$4,2)</f>
        <v>681.36</v>
      </c>
      <c r="K320" s="42" t="n">
        <f aca="false">'Aturan &amp; Tarif'!$B$5</f>
        <v>2050</v>
      </c>
      <c r="L320" s="35" t="n">
        <f aca="false">I320+J320+K320</f>
        <v>4531.36</v>
      </c>
      <c r="M320" s="45" t="s">
        <v>1590</v>
      </c>
    </row>
    <row r="321" customFormat="false" ht="37.5" hidden="false" customHeight="true" outlineLevel="0" collapsed="false">
      <c r="A321" s="39"/>
      <c r="B321" s="40" t="s">
        <v>1596</v>
      </c>
      <c r="C321" s="41" t="s">
        <v>107</v>
      </c>
      <c r="D321" s="41" t="s">
        <v>108</v>
      </c>
      <c r="E321" s="42" t="n">
        <v>1500</v>
      </c>
      <c r="F321" s="42" t="n">
        <v>100</v>
      </c>
      <c r="G321" s="42" t="n">
        <v>200</v>
      </c>
      <c r="H321" s="43" t="n">
        <v>1</v>
      </c>
      <c r="I321" s="34" t="n">
        <f aca="false">E321*H321+N(F321)+N(G321)</f>
        <v>1800</v>
      </c>
      <c r="J321" s="42" t="n">
        <f aca="false">ROUND(IFERROR(ROUND(IF(OR(ISNUMBER(SEARCH("week",C321)),ISNUMBER(SEARCH("minggu",C321))),IFERROR(_xlfn.NUMBERVALUE(SUBSTITUTE(LEFT(TRIM(C321),FIND(" ",TRIM(C321)&amp;" ")-1),",","."),"."),LEFT(SUBSTITUTE(LEFT(TRIM(C321),FIND(" ",TRIM(C321)&amp;" ")-1),",","."),FIND("/",SUBSTITUTE(LEFT(TRIM(C321),FIND(" ",TRIM(C321)&amp;" ")-1),",","."))-1)/MID(SUBSTITUTE(LEFT(TRIM(C321),FIND(" ",TRIM(C321)&amp;" ")-1),",","."),FIND("/",SUBSTITUTE(LEFT(TRIM(C321),FIND(" ",TRIM(C321)&amp;" ")-1),",","."))+1,9))*12/52,IF(ISNUMBER(SEARCH("month",C321)),IFERROR(_xlfn.NUMBERVALUE(SUBSTITUTE(LEFT(TRIM(C321),FIND(" ",TRIM(C321)&amp;" ")-1),",","."),"."),LEFT(SUBSTITUTE(LEFT(TRIM(C321),FIND(" ",TRIM(C321)&amp;" ")-1),",","."),FIND("/",SUBSTITUTE(LEFT(TRIM(C321),FIND(" ",TRIM(C321)&amp;" ")-1),",","."))-1)/MID(SUBSTITUTE(LEFT(TRIM(C321),FIND(" ",TRIM(C321)&amp;" ")-1),",","."),FIND("/",SUBSTITUTE(LEFT(TRIM(C321),FIND(" ",TRIM(C321)&amp;" ")-1),",","."))+1,9)),IF(ISNUMBER(SEARCH("yea",C321)),IFERROR(_xlfn.NUMBERVALUE(SUBSTITUTE(LEFT(TRIM(C321),FIND(" ",TRIM(C321)&amp;" ")-1),",","."),"."),LEFT(SUBSTITUTE(LEFT(TRIM(C321),FIND(" ",TRIM(C321)&amp;" ")-1),",","."),FIND("/",SUBSTITUTE(LEFT(TRIM(C321),FIND(" ",TRIM(C321)&amp;" ")-1),",","."))-1)/MID(SUBSTITUTE(LEFT(TRIM(C321),FIND(" ",TRIM(C321)&amp;" ")-1),",","."),FIND("/",SUBSTITUTE(LEFT(TRIM(C321),FIND(" ",TRIM(C321)&amp;" ")-1),",","."))+1,9))*12,NA()))),0),24)*'Aturan &amp; Tarif'!$B$4,2)</f>
        <v>1362.72</v>
      </c>
      <c r="K321" s="42" t="n">
        <f aca="false">'Aturan &amp; Tarif'!$B$5</f>
        <v>2050</v>
      </c>
      <c r="L321" s="35" t="n">
        <f aca="false">I321+J321+K321</f>
        <v>5212.72</v>
      </c>
      <c r="M321" s="45" t="s">
        <v>134</v>
      </c>
    </row>
    <row r="322" customFormat="false" ht="37.5" hidden="false" customHeight="true" outlineLevel="0" collapsed="false">
      <c r="A322" s="39"/>
      <c r="B322" s="40" t="s">
        <v>1597</v>
      </c>
      <c r="C322" s="41" t="s">
        <v>127</v>
      </c>
      <c r="D322" s="41" t="s">
        <v>108</v>
      </c>
      <c r="E322" s="42" t="n">
        <v>1750</v>
      </c>
      <c r="F322" s="42" t="n">
        <v>200</v>
      </c>
      <c r="G322" s="42" t="n">
        <v>200</v>
      </c>
      <c r="H322" s="43" t="n">
        <v>1</v>
      </c>
      <c r="I322" s="34" t="n">
        <f aca="false">E322*H322+N(F322)+N(G322)</f>
        <v>2150</v>
      </c>
      <c r="J322" s="42" t="n">
        <f aca="false">ROUND(IFERROR(ROUND(IF(OR(ISNUMBER(SEARCH("week",C322)),ISNUMBER(SEARCH("minggu",C322))),IFERROR(_xlfn.NUMBERVALUE(SUBSTITUTE(LEFT(TRIM(C322),FIND(" ",TRIM(C322)&amp;" ")-1),",","."),"."),LEFT(SUBSTITUTE(LEFT(TRIM(C322),FIND(" ",TRIM(C322)&amp;" ")-1),",","."),FIND("/",SUBSTITUTE(LEFT(TRIM(C322),FIND(" ",TRIM(C322)&amp;" ")-1),",","."))-1)/MID(SUBSTITUTE(LEFT(TRIM(C322),FIND(" ",TRIM(C322)&amp;" ")-1),",","."),FIND("/",SUBSTITUTE(LEFT(TRIM(C322),FIND(" ",TRIM(C322)&amp;" ")-1),",","."))+1,9))*12/52,IF(ISNUMBER(SEARCH("month",C322)),IFERROR(_xlfn.NUMBERVALUE(SUBSTITUTE(LEFT(TRIM(C322),FIND(" ",TRIM(C322)&amp;" ")-1),",","."),"."),LEFT(SUBSTITUTE(LEFT(TRIM(C322),FIND(" ",TRIM(C322)&amp;" ")-1),",","."),FIND("/",SUBSTITUTE(LEFT(TRIM(C322),FIND(" ",TRIM(C322)&amp;" ")-1),",","."))-1)/MID(SUBSTITUTE(LEFT(TRIM(C322),FIND(" ",TRIM(C322)&amp;" ")-1),",","."),FIND("/",SUBSTITUTE(LEFT(TRIM(C322),FIND(" ",TRIM(C322)&amp;" ")-1),",","."))+1,9)),IF(ISNUMBER(SEARCH("yea",C322)),IFERROR(_xlfn.NUMBERVALUE(SUBSTITUTE(LEFT(TRIM(C322),FIND(" ",TRIM(C322)&amp;" ")-1),",","."),"."),LEFT(SUBSTITUTE(LEFT(TRIM(C322),FIND(" ",TRIM(C322)&amp;" ")-1),",","."),FIND("/",SUBSTITUTE(LEFT(TRIM(C322),FIND(" ",TRIM(C322)&amp;" ")-1),",","."))-1)/MID(SUBSTITUTE(LEFT(TRIM(C322),FIND(" ",TRIM(C322)&amp;" ")-1),",","."),FIND("/",SUBSTITUTE(LEFT(TRIM(C322),FIND(" ",TRIM(C322)&amp;" ")-1),",","."))+1,9))*12,NA()))),0),36)*'Aturan &amp; Tarif'!$B$4,2)</f>
        <v>2044.08</v>
      </c>
      <c r="K322" s="42" t="n">
        <f aca="false">'Aturan &amp; Tarif'!$B$5</f>
        <v>2050</v>
      </c>
      <c r="L322" s="35" t="n">
        <f aca="false">I322+J322+K322</f>
        <v>6244.08</v>
      </c>
      <c r="M322" s="45" t="s">
        <v>134</v>
      </c>
    </row>
    <row r="323" customFormat="false" ht="37.5" hidden="false" customHeight="true" outlineLevel="0" collapsed="false">
      <c r="A323" s="39"/>
      <c r="B323" s="40" t="s">
        <v>1598</v>
      </c>
      <c r="C323" s="41" t="s">
        <v>107</v>
      </c>
      <c r="D323" s="41" t="s">
        <v>108</v>
      </c>
      <c r="E323" s="42" t="n">
        <v>1750</v>
      </c>
      <c r="F323" s="42" t="n">
        <v>200</v>
      </c>
      <c r="G323" s="42" t="n">
        <v>200</v>
      </c>
      <c r="H323" s="43" t="n">
        <v>1</v>
      </c>
      <c r="I323" s="34" t="n">
        <f aca="false">E323*H323+N(F323)+N(G323)</f>
        <v>2150</v>
      </c>
      <c r="J323" s="42" t="n">
        <f aca="false">ROUND(IFERROR(ROUND(IF(OR(ISNUMBER(SEARCH("week",C323)),ISNUMBER(SEARCH("minggu",C323))),IFERROR(_xlfn.NUMBERVALUE(SUBSTITUTE(LEFT(TRIM(C323),FIND(" ",TRIM(C323)&amp;" ")-1),",","."),"."),LEFT(SUBSTITUTE(LEFT(TRIM(C323),FIND(" ",TRIM(C323)&amp;" ")-1),",","."),FIND("/",SUBSTITUTE(LEFT(TRIM(C323),FIND(" ",TRIM(C323)&amp;" ")-1),",","."))-1)/MID(SUBSTITUTE(LEFT(TRIM(C323),FIND(" ",TRIM(C323)&amp;" ")-1),",","."),FIND("/",SUBSTITUTE(LEFT(TRIM(C323),FIND(" ",TRIM(C323)&amp;" ")-1),",","."))+1,9))*12/52,IF(ISNUMBER(SEARCH("month",C323)),IFERROR(_xlfn.NUMBERVALUE(SUBSTITUTE(LEFT(TRIM(C323),FIND(" ",TRIM(C323)&amp;" ")-1),",","."),"."),LEFT(SUBSTITUTE(LEFT(TRIM(C323),FIND(" ",TRIM(C323)&amp;" ")-1),",","."),FIND("/",SUBSTITUTE(LEFT(TRIM(C323),FIND(" ",TRIM(C323)&amp;" ")-1),",","."))-1)/MID(SUBSTITUTE(LEFT(TRIM(C323),FIND(" ",TRIM(C323)&amp;" ")-1),",","."),FIND("/",SUBSTITUTE(LEFT(TRIM(C323),FIND(" ",TRIM(C323)&amp;" ")-1),",","."))+1,9)),IF(ISNUMBER(SEARCH("yea",C323)),IFERROR(_xlfn.NUMBERVALUE(SUBSTITUTE(LEFT(TRIM(C323),FIND(" ",TRIM(C323)&amp;" ")-1),",","."),"."),LEFT(SUBSTITUTE(LEFT(TRIM(C323),FIND(" ",TRIM(C323)&amp;" ")-1),",","."),FIND("/",SUBSTITUTE(LEFT(TRIM(C323),FIND(" ",TRIM(C323)&amp;" ")-1),",","."))-1)/MID(SUBSTITUTE(LEFT(TRIM(C323),FIND(" ",TRIM(C323)&amp;" ")-1),",","."),FIND("/",SUBSTITUTE(LEFT(TRIM(C323),FIND(" ",TRIM(C323)&amp;" ")-1),",","."))+1,9))*12,NA()))),0),24)*'Aturan &amp; Tarif'!$B$4,2)</f>
        <v>1362.72</v>
      </c>
      <c r="K323" s="42" t="n">
        <f aca="false">'Aturan &amp; Tarif'!$B$5</f>
        <v>2050</v>
      </c>
      <c r="L323" s="35" t="n">
        <f aca="false">I323+J323+K323</f>
        <v>5562.72</v>
      </c>
      <c r="M323" s="45" t="s">
        <v>134</v>
      </c>
    </row>
    <row r="324" customFormat="false" ht="37.5" hidden="false" customHeight="true" outlineLevel="0" collapsed="false">
      <c r="A324" s="39"/>
      <c r="B324" s="40" t="s">
        <v>126</v>
      </c>
      <c r="C324" s="41" t="s">
        <v>127</v>
      </c>
      <c r="D324" s="41" t="s">
        <v>108</v>
      </c>
      <c r="E324" s="42" t="n">
        <v>1750</v>
      </c>
      <c r="F324" s="42" t="n">
        <v>200</v>
      </c>
      <c r="G324" s="42" t="n">
        <v>200</v>
      </c>
      <c r="H324" s="43" t="n">
        <v>1</v>
      </c>
      <c r="I324" s="34" t="n">
        <f aca="false">E324*H324+N(F324)+N(G324)</f>
        <v>2150</v>
      </c>
      <c r="J324" s="42" t="n">
        <f aca="false">ROUND(IFERROR(ROUND(IF(OR(ISNUMBER(SEARCH("week",C324)),ISNUMBER(SEARCH("minggu",C324))),IFERROR(_xlfn.NUMBERVALUE(SUBSTITUTE(LEFT(TRIM(C324),FIND(" ",TRIM(C324)&amp;" ")-1),",","."),"."),LEFT(SUBSTITUTE(LEFT(TRIM(C324),FIND(" ",TRIM(C324)&amp;" ")-1),",","."),FIND("/",SUBSTITUTE(LEFT(TRIM(C324),FIND(" ",TRIM(C324)&amp;" ")-1),",","."))-1)/MID(SUBSTITUTE(LEFT(TRIM(C324),FIND(" ",TRIM(C324)&amp;" ")-1),",","."),FIND("/",SUBSTITUTE(LEFT(TRIM(C324),FIND(" ",TRIM(C324)&amp;" ")-1),",","."))+1,9))*12/52,IF(ISNUMBER(SEARCH("month",C324)),IFERROR(_xlfn.NUMBERVALUE(SUBSTITUTE(LEFT(TRIM(C324),FIND(" ",TRIM(C324)&amp;" ")-1),",","."),"."),LEFT(SUBSTITUTE(LEFT(TRIM(C324),FIND(" ",TRIM(C324)&amp;" ")-1),",","."),FIND("/",SUBSTITUTE(LEFT(TRIM(C324),FIND(" ",TRIM(C324)&amp;" ")-1),",","."))-1)/MID(SUBSTITUTE(LEFT(TRIM(C324),FIND(" ",TRIM(C324)&amp;" ")-1),",","."),FIND("/",SUBSTITUTE(LEFT(TRIM(C324),FIND(" ",TRIM(C324)&amp;" ")-1),",","."))+1,9)),IF(ISNUMBER(SEARCH("yea",C324)),IFERROR(_xlfn.NUMBERVALUE(SUBSTITUTE(LEFT(TRIM(C324),FIND(" ",TRIM(C324)&amp;" ")-1),",","."),"."),LEFT(SUBSTITUTE(LEFT(TRIM(C324),FIND(" ",TRIM(C324)&amp;" ")-1),",","."),FIND("/",SUBSTITUTE(LEFT(TRIM(C324),FIND(" ",TRIM(C324)&amp;" ")-1),",","."))-1)/MID(SUBSTITUTE(LEFT(TRIM(C324),FIND(" ",TRIM(C324)&amp;" ")-1),",","."),FIND("/",SUBSTITUTE(LEFT(TRIM(C324),FIND(" ",TRIM(C324)&amp;" ")-1),",","."))+1,9))*12,NA()))),0),36)*'Aturan &amp; Tarif'!$B$4,2)</f>
        <v>2044.08</v>
      </c>
      <c r="K324" s="42" t="n">
        <f aca="false">'Aturan &amp; Tarif'!$B$5</f>
        <v>2050</v>
      </c>
      <c r="L324" s="35" t="n">
        <f aca="false">I324+J324+K324</f>
        <v>6244.08</v>
      </c>
      <c r="M324" s="44" t="s">
        <v>1599</v>
      </c>
    </row>
    <row r="325" customFormat="false" ht="25.5" hidden="false" customHeight="true" outlineLevel="0" collapsed="false">
      <c r="A325" s="39"/>
      <c r="B325" s="40" t="s">
        <v>1600</v>
      </c>
      <c r="C325" s="41" t="s">
        <v>107</v>
      </c>
      <c r="D325" s="41" t="s">
        <v>108</v>
      </c>
      <c r="E325" s="42" t="n">
        <v>1750</v>
      </c>
      <c r="F325" s="42" t="n">
        <v>200</v>
      </c>
      <c r="G325" s="42" t="n">
        <v>200</v>
      </c>
      <c r="H325" s="43" t="n">
        <v>1</v>
      </c>
      <c r="I325" s="34" t="n">
        <f aca="false">E325*H325+N(F325)+N(G325)</f>
        <v>2150</v>
      </c>
      <c r="J325" s="42" t="n">
        <f aca="false">ROUND(IFERROR(ROUND(IF(OR(ISNUMBER(SEARCH("week",C325)),ISNUMBER(SEARCH("minggu",C325))),IFERROR(_xlfn.NUMBERVALUE(SUBSTITUTE(LEFT(TRIM(C325),FIND(" ",TRIM(C325)&amp;" ")-1),",","."),"."),LEFT(SUBSTITUTE(LEFT(TRIM(C325),FIND(" ",TRIM(C325)&amp;" ")-1),",","."),FIND("/",SUBSTITUTE(LEFT(TRIM(C325),FIND(" ",TRIM(C325)&amp;" ")-1),",","."))-1)/MID(SUBSTITUTE(LEFT(TRIM(C325),FIND(" ",TRIM(C325)&amp;" ")-1),",","."),FIND("/",SUBSTITUTE(LEFT(TRIM(C325),FIND(" ",TRIM(C325)&amp;" ")-1),",","."))+1,9))*12/52,IF(ISNUMBER(SEARCH("month",C325)),IFERROR(_xlfn.NUMBERVALUE(SUBSTITUTE(LEFT(TRIM(C325),FIND(" ",TRIM(C325)&amp;" ")-1),",","."),"."),LEFT(SUBSTITUTE(LEFT(TRIM(C325),FIND(" ",TRIM(C325)&amp;" ")-1),",","."),FIND("/",SUBSTITUTE(LEFT(TRIM(C325),FIND(" ",TRIM(C325)&amp;" ")-1),",","."))-1)/MID(SUBSTITUTE(LEFT(TRIM(C325),FIND(" ",TRIM(C325)&amp;" ")-1),",","."),FIND("/",SUBSTITUTE(LEFT(TRIM(C325),FIND(" ",TRIM(C325)&amp;" ")-1),",","."))+1,9)),IF(ISNUMBER(SEARCH("yea",C325)),IFERROR(_xlfn.NUMBERVALUE(SUBSTITUTE(LEFT(TRIM(C325),FIND(" ",TRIM(C325)&amp;" ")-1),",","."),"."),LEFT(SUBSTITUTE(LEFT(TRIM(C325),FIND(" ",TRIM(C325)&amp;" ")-1),",","."),FIND("/",SUBSTITUTE(LEFT(TRIM(C325),FIND(" ",TRIM(C325)&amp;" ")-1),",","."))-1)/MID(SUBSTITUTE(LEFT(TRIM(C325),FIND(" ",TRIM(C325)&amp;" ")-1),",","."),FIND("/",SUBSTITUTE(LEFT(TRIM(C325),FIND(" ",TRIM(C325)&amp;" ")-1),",","."))+1,9))*12,NA()))),0),24)*'Aturan &amp; Tarif'!$B$4,2)</f>
        <v>1362.72</v>
      </c>
      <c r="K325" s="42" t="n">
        <f aca="false">'Aturan &amp; Tarif'!$B$5</f>
        <v>2050</v>
      </c>
      <c r="L325" s="35" t="n">
        <f aca="false">I325+J325+K325</f>
        <v>5562.72</v>
      </c>
      <c r="M325" s="45" t="s">
        <v>1601</v>
      </c>
    </row>
    <row r="326" customFormat="false" ht="37.5" hidden="false" customHeight="true" outlineLevel="0" collapsed="false">
      <c r="A326" s="39"/>
      <c r="B326" s="40" t="s">
        <v>1602</v>
      </c>
      <c r="C326" s="41" t="s">
        <v>107</v>
      </c>
      <c r="D326" s="41" t="s">
        <v>108</v>
      </c>
      <c r="E326" s="42" t="n">
        <v>1500</v>
      </c>
      <c r="F326" s="42" t="n">
        <v>200</v>
      </c>
      <c r="G326" s="42" t="n">
        <v>200</v>
      </c>
      <c r="H326" s="43" t="n">
        <v>1</v>
      </c>
      <c r="I326" s="34" t="n">
        <f aca="false">E326*H326+N(F326)+N(G326)</f>
        <v>1900</v>
      </c>
      <c r="J326" s="42" t="n">
        <f aca="false">ROUND(IFERROR(ROUND(IF(OR(ISNUMBER(SEARCH("week",C326)),ISNUMBER(SEARCH("minggu",C326))),IFERROR(_xlfn.NUMBERVALUE(SUBSTITUTE(LEFT(TRIM(C326),FIND(" ",TRIM(C326)&amp;" ")-1),",","."),"."),LEFT(SUBSTITUTE(LEFT(TRIM(C326),FIND(" ",TRIM(C326)&amp;" ")-1),",","."),FIND("/",SUBSTITUTE(LEFT(TRIM(C326),FIND(" ",TRIM(C326)&amp;" ")-1),",","."))-1)/MID(SUBSTITUTE(LEFT(TRIM(C326),FIND(" ",TRIM(C326)&amp;" ")-1),",","."),FIND("/",SUBSTITUTE(LEFT(TRIM(C326),FIND(" ",TRIM(C326)&amp;" ")-1),",","."))+1,9))*12/52,IF(ISNUMBER(SEARCH("month",C326)),IFERROR(_xlfn.NUMBERVALUE(SUBSTITUTE(LEFT(TRIM(C326),FIND(" ",TRIM(C326)&amp;" ")-1),",","."),"."),LEFT(SUBSTITUTE(LEFT(TRIM(C326),FIND(" ",TRIM(C326)&amp;" ")-1),",","."),FIND("/",SUBSTITUTE(LEFT(TRIM(C326),FIND(" ",TRIM(C326)&amp;" ")-1),",","."))-1)/MID(SUBSTITUTE(LEFT(TRIM(C326),FIND(" ",TRIM(C326)&amp;" ")-1),",","."),FIND("/",SUBSTITUTE(LEFT(TRIM(C326),FIND(" ",TRIM(C326)&amp;" ")-1),",","."))+1,9)),IF(ISNUMBER(SEARCH("yea",C326)),IFERROR(_xlfn.NUMBERVALUE(SUBSTITUTE(LEFT(TRIM(C326),FIND(" ",TRIM(C326)&amp;" ")-1),",","."),"."),LEFT(SUBSTITUTE(LEFT(TRIM(C326),FIND(" ",TRIM(C326)&amp;" ")-1),",","."),FIND("/",SUBSTITUTE(LEFT(TRIM(C326),FIND(" ",TRIM(C326)&amp;" ")-1),",","."))-1)/MID(SUBSTITUTE(LEFT(TRIM(C326),FIND(" ",TRIM(C326)&amp;" ")-1),",","."),FIND("/",SUBSTITUTE(LEFT(TRIM(C326),FIND(" ",TRIM(C326)&amp;" ")-1),",","."))+1,9))*12,NA()))),0),24)*'Aturan &amp; Tarif'!$B$4,2)</f>
        <v>1362.72</v>
      </c>
      <c r="K326" s="42" t="n">
        <f aca="false">'Aturan &amp; Tarif'!$B$5</f>
        <v>2050</v>
      </c>
      <c r="L326" s="35" t="n">
        <f aca="false">I326+J326+K326</f>
        <v>5312.72</v>
      </c>
      <c r="M326" s="45" t="s">
        <v>134</v>
      </c>
    </row>
    <row r="327" customFormat="false" ht="25.5" hidden="false" customHeight="true" outlineLevel="0" collapsed="false">
      <c r="A327" s="39"/>
      <c r="B327" s="40" t="s">
        <v>1603</v>
      </c>
      <c r="C327" s="41" t="s">
        <v>127</v>
      </c>
      <c r="D327" s="41" t="s">
        <v>108</v>
      </c>
      <c r="E327" s="42" t="n">
        <v>1500</v>
      </c>
      <c r="F327" s="42" t="n">
        <v>200</v>
      </c>
      <c r="G327" s="42" t="n">
        <v>200</v>
      </c>
      <c r="H327" s="43" t="n">
        <v>1</v>
      </c>
      <c r="I327" s="34" t="n">
        <f aca="false">E327*H327+N(F327)+N(G327)</f>
        <v>1900</v>
      </c>
      <c r="J327" s="42" t="n">
        <f aca="false">ROUND(IFERROR(ROUND(IF(OR(ISNUMBER(SEARCH("week",C327)),ISNUMBER(SEARCH("minggu",C327))),IFERROR(_xlfn.NUMBERVALUE(SUBSTITUTE(LEFT(TRIM(C327),FIND(" ",TRIM(C327)&amp;" ")-1),",","."),"."),LEFT(SUBSTITUTE(LEFT(TRIM(C327),FIND(" ",TRIM(C327)&amp;" ")-1),",","."),FIND("/",SUBSTITUTE(LEFT(TRIM(C327),FIND(" ",TRIM(C327)&amp;" ")-1),",","."))-1)/MID(SUBSTITUTE(LEFT(TRIM(C327),FIND(" ",TRIM(C327)&amp;" ")-1),",","."),FIND("/",SUBSTITUTE(LEFT(TRIM(C327),FIND(" ",TRIM(C327)&amp;" ")-1),",","."))+1,9))*12/52,IF(ISNUMBER(SEARCH("month",C327)),IFERROR(_xlfn.NUMBERVALUE(SUBSTITUTE(LEFT(TRIM(C327),FIND(" ",TRIM(C327)&amp;" ")-1),",","."),"."),LEFT(SUBSTITUTE(LEFT(TRIM(C327),FIND(" ",TRIM(C327)&amp;" ")-1),",","."),FIND("/",SUBSTITUTE(LEFT(TRIM(C327),FIND(" ",TRIM(C327)&amp;" ")-1),",","."))-1)/MID(SUBSTITUTE(LEFT(TRIM(C327),FIND(" ",TRIM(C327)&amp;" ")-1),",","."),FIND("/",SUBSTITUTE(LEFT(TRIM(C327),FIND(" ",TRIM(C327)&amp;" ")-1),",","."))+1,9)),IF(ISNUMBER(SEARCH("yea",C327)),IFERROR(_xlfn.NUMBERVALUE(SUBSTITUTE(LEFT(TRIM(C327),FIND(" ",TRIM(C327)&amp;" ")-1),",","."),"."),LEFT(SUBSTITUTE(LEFT(TRIM(C327),FIND(" ",TRIM(C327)&amp;" ")-1),",","."),FIND("/",SUBSTITUTE(LEFT(TRIM(C327),FIND(" ",TRIM(C327)&amp;" ")-1),",","."))-1)/MID(SUBSTITUTE(LEFT(TRIM(C327),FIND(" ",TRIM(C327)&amp;" ")-1),",","."),FIND("/",SUBSTITUTE(LEFT(TRIM(C327),FIND(" ",TRIM(C327)&amp;" ")-1),",","."))+1,9))*12,NA()))),0),36)*'Aturan &amp; Tarif'!$B$4,2)</f>
        <v>2044.08</v>
      </c>
      <c r="K327" s="42" t="n">
        <f aca="false">'Aturan &amp; Tarif'!$B$5</f>
        <v>2050</v>
      </c>
      <c r="L327" s="35" t="n">
        <f aca="false">I327+J327+K327</f>
        <v>5994.08</v>
      </c>
      <c r="M327" s="45" t="s">
        <v>134</v>
      </c>
    </row>
    <row r="328" customFormat="false" ht="37.5" hidden="false" customHeight="true" outlineLevel="0" collapsed="false">
      <c r="A328" s="39"/>
      <c r="B328" s="40" t="s">
        <v>711</v>
      </c>
      <c r="C328" s="41" t="s">
        <v>138</v>
      </c>
      <c r="D328" s="41" t="s">
        <v>108</v>
      </c>
      <c r="E328" s="42" t="n">
        <v>2250</v>
      </c>
      <c r="F328" s="42" t="n">
        <v>500</v>
      </c>
      <c r="G328" s="42" t="n">
        <v>200</v>
      </c>
      <c r="H328" s="43" t="n">
        <v>1</v>
      </c>
      <c r="I328" s="34" t="n">
        <f aca="false">E328*H328+N(F328)+N(G328)</f>
        <v>2950</v>
      </c>
      <c r="J328" s="42" t="n">
        <f aca="false">ROUND(IFERROR(ROUND(IF(OR(ISNUMBER(SEARCH("week",C328)),ISNUMBER(SEARCH("minggu",C328))),IFERROR(_xlfn.NUMBERVALUE(SUBSTITUTE(LEFT(TRIM(C328),FIND(" ",TRIM(C328)&amp;" ")-1),",","."),"."),LEFT(SUBSTITUTE(LEFT(TRIM(C328),FIND(" ",TRIM(C328)&amp;" ")-1),",","."),FIND("/",SUBSTITUTE(LEFT(TRIM(C328),FIND(" ",TRIM(C328)&amp;" ")-1),",","."))-1)/MID(SUBSTITUTE(LEFT(TRIM(C328),FIND(" ",TRIM(C328)&amp;" ")-1),",","."),FIND("/",SUBSTITUTE(LEFT(TRIM(C328),FIND(" ",TRIM(C328)&amp;" ")-1),",","."))+1,9))*12/52,IF(ISNUMBER(SEARCH("month",C328)),IFERROR(_xlfn.NUMBERVALUE(SUBSTITUTE(LEFT(TRIM(C328),FIND(" ",TRIM(C328)&amp;" ")-1),",","."),"."),LEFT(SUBSTITUTE(LEFT(TRIM(C328),FIND(" ",TRIM(C328)&amp;" ")-1),",","."),FIND("/",SUBSTITUTE(LEFT(TRIM(C328),FIND(" ",TRIM(C328)&amp;" ")-1),",","."))-1)/MID(SUBSTITUTE(LEFT(TRIM(C328),FIND(" ",TRIM(C328)&amp;" ")-1),",","."),FIND("/",SUBSTITUTE(LEFT(TRIM(C328),FIND(" ",TRIM(C328)&amp;" ")-1),",","."))+1,9)),IF(ISNUMBER(SEARCH("yea",C328)),IFERROR(_xlfn.NUMBERVALUE(SUBSTITUTE(LEFT(TRIM(C328),FIND(" ",TRIM(C328)&amp;" ")-1),",","."),"."),LEFT(SUBSTITUTE(LEFT(TRIM(C328),FIND(" ",TRIM(C328)&amp;" ")-1),",","."),FIND("/",SUBSTITUTE(LEFT(TRIM(C328),FIND(" ",TRIM(C328)&amp;" ")-1),",","."))-1)/MID(SUBSTITUTE(LEFT(TRIM(C328),FIND(" ",TRIM(C328)&amp;" ")-1),",","."),FIND("/",SUBSTITUTE(LEFT(TRIM(C328),FIND(" ",TRIM(C328)&amp;" ")-1),",","."))+1,9))*12,NA()))),0),30)*'Aturan &amp; Tarif'!$B$4,2)</f>
        <v>1703.4</v>
      </c>
      <c r="K328" s="42" t="n">
        <f aca="false">'Aturan &amp; Tarif'!$B$5</f>
        <v>2050</v>
      </c>
      <c r="L328" s="35" t="n">
        <f aca="false">I328+J328+K328</f>
        <v>6703.4</v>
      </c>
      <c r="M328" s="45" t="s">
        <v>134</v>
      </c>
    </row>
    <row r="329" customFormat="false" ht="37.5" hidden="false" customHeight="true" outlineLevel="0" collapsed="false">
      <c r="A329" s="39"/>
      <c r="B329" s="40" t="s">
        <v>1604</v>
      </c>
      <c r="C329" s="41" t="s">
        <v>130</v>
      </c>
      <c r="D329" s="41" t="s">
        <v>108</v>
      </c>
      <c r="E329" s="42" t="n">
        <v>3000</v>
      </c>
      <c r="F329" s="42" t="n">
        <v>300</v>
      </c>
      <c r="G329" s="42" t="n">
        <v>200</v>
      </c>
      <c r="H329" s="43" t="n">
        <v>1</v>
      </c>
      <c r="I329" s="34" t="n">
        <f aca="false">E329*H329+N(F329)+N(G329)</f>
        <v>3500</v>
      </c>
      <c r="J329" s="42" t="n">
        <f aca="false">ROUND(IFERROR(ROUND(IF(OR(ISNUMBER(SEARCH("week",C329)),ISNUMBER(SEARCH("minggu",C329))),IFERROR(_xlfn.NUMBERVALUE(SUBSTITUTE(LEFT(TRIM(C329),FIND(" ",TRIM(C329)&amp;" ")-1),",","."),"."),LEFT(SUBSTITUTE(LEFT(TRIM(C329),FIND(" ",TRIM(C329)&amp;" ")-1),",","."),FIND("/",SUBSTITUTE(LEFT(TRIM(C329),FIND(" ",TRIM(C329)&amp;" ")-1),",","."))-1)/MID(SUBSTITUTE(LEFT(TRIM(C329),FIND(" ",TRIM(C329)&amp;" ")-1),",","."),FIND("/",SUBSTITUTE(LEFT(TRIM(C329),FIND(" ",TRIM(C329)&amp;" ")-1),",","."))+1,9))*12/52,IF(ISNUMBER(SEARCH("month",C329)),IFERROR(_xlfn.NUMBERVALUE(SUBSTITUTE(LEFT(TRIM(C329),FIND(" ",TRIM(C329)&amp;" ")-1),",","."),"."),LEFT(SUBSTITUTE(LEFT(TRIM(C329),FIND(" ",TRIM(C329)&amp;" ")-1),",","."),FIND("/",SUBSTITUTE(LEFT(TRIM(C329),FIND(" ",TRIM(C329)&amp;" ")-1),",","."))-1)/MID(SUBSTITUTE(LEFT(TRIM(C329),FIND(" ",TRIM(C329)&amp;" ")-1),",","."),FIND("/",SUBSTITUTE(LEFT(TRIM(C329),FIND(" ",TRIM(C329)&amp;" ")-1),",","."))+1,9)),IF(ISNUMBER(SEARCH("yea",C329)),IFERROR(_xlfn.NUMBERVALUE(SUBSTITUTE(LEFT(TRIM(C329),FIND(" ",TRIM(C329)&amp;" ")-1),",","."),"."),LEFT(SUBSTITUTE(LEFT(TRIM(C329),FIND(" ",TRIM(C329)&amp;" ")-1),",","."),FIND("/",SUBSTITUTE(LEFT(TRIM(C329),FIND(" ",TRIM(C329)&amp;" ")-1),",","."))-1)/MID(SUBSTITUTE(LEFT(TRIM(C329),FIND(" ",TRIM(C329)&amp;" ")-1),",","."),FIND("/",SUBSTITUTE(LEFT(TRIM(C329),FIND(" ",TRIM(C329)&amp;" ")-1),",","."))+1,9))*12,NA()))),0),12)*'Aturan &amp; Tarif'!$B$4,2)</f>
        <v>681.36</v>
      </c>
      <c r="K329" s="42" t="n">
        <f aca="false">'Aturan &amp; Tarif'!$B$5</f>
        <v>2050</v>
      </c>
      <c r="L329" s="35" t="n">
        <f aca="false">I329+J329+K329</f>
        <v>6231.36</v>
      </c>
      <c r="M329" s="44" t="s">
        <v>131</v>
      </c>
    </row>
    <row r="330" customFormat="false" ht="37.5" hidden="false" customHeight="true" outlineLevel="0" collapsed="false">
      <c r="A330" s="29" t="s">
        <v>1975</v>
      </c>
      <c r="B330" s="30" t="s">
        <v>471</v>
      </c>
      <c r="C330" s="31" t="s">
        <v>113</v>
      </c>
      <c r="D330" s="31" t="s">
        <v>108</v>
      </c>
      <c r="E330" s="32" t="n">
        <v>2000</v>
      </c>
      <c r="F330" s="32" t="n">
        <v>2000</v>
      </c>
      <c r="G330" s="32" t="n">
        <v>250</v>
      </c>
      <c r="H330" s="33" t="n">
        <v>1</v>
      </c>
      <c r="I330" s="34" t="n">
        <f aca="false">E330*H330+N(F330)+N(G330)</f>
        <v>4250</v>
      </c>
      <c r="J330" s="32" t="n">
        <f aca="false">ROUND(IFERROR(ROUND(IF(OR(ISNUMBER(SEARCH("week",C330)),ISNUMBER(SEARCH("minggu",C330))),IFERROR(_xlfn.NUMBERVALUE(SUBSTITUTE(LEFT(TRIM(C330),FIND(" ",TRIM(C330)&amp;" ")-1),",","."),"."),LEFT(SUBSTITUTE(LEFT(TRIM(C330),FIND(" ",TRIM(C330)&amp;" ")-1),",","."),FIND("/",SUBSTITUTE(LEFT(TRIM(C330),FIND(" ",TRIM(C330)&amp;" ")-1),",","."))-1)/MID(SUBSTITUTE(LEFT(TRIM(C330),FIND(" ",TRIM(C330)&amp;" ")-1),",","."),FIND("/",SUBSTITUTE(LEFT(TRIM(C330),FIND(" ",TRIM(C330)&amp;" ")-1),",","."))+1,9))*12/52,IF(ISNUMBER(SEARCH("month",C330)),IFERROR(_xlfn.NUMBERVALUE(SUBSTITUTE(LEFT(TRIM(C330),FIND(" ",TRIM(C330)&amp;" ")-1),",","."),"."),LEFT(SUBSTITUTE(LEFT(TRIM(C330),FIND(" ",TRIM(C330)&amp;" ")-1),",","."),FIND("/",SUBSTITUTE(LEFT(TRIM(C330),FIND(" ",TRIM(C330)&amp;" ")-1),",","."))-1)/MID(SUBSTITUTE(LEFT(TRIM(C330),FIND(" ",TRIM(C330)&amp;" ")-1),",","."),FIND("/",SUBSTITUTE(LEFT(TRIM(C330),FIND(" ",TRIM(C330)&amp;" ")-1),",","."))+1,9)),IF(ISNUMBER(SEARCH("yea",C330)),IFERROR(_xlfn.NUMBERVALUE(SUBSTITUTE(LEFT(TRIM(C330),FIND(" ",TRIM(C330)&amp;" ")-1),",","."),"."),LEFT(SUBSTITUTE(LEFT(TRIM(C330),FIND(" ",TRIM(C330)&amp;" ")-1),",","."),FIND("/",SUBSTITUTE(LEFT(TRIM(C330),FIND(" ",TRIM(C330)&amp;" ")-1),",","."))-1)/MID(SUBSTITUTE(LEFT(TRIM(C330),FIND(" ",TRIM(C330)&amp;" ")-1),",","."),FIND("/",SUBSTITUTE(LEFT(TRIM(C330),FIND(" ",TRIM(C330)&amp;" ")-1),",","."))+1,9))*12,NA()))),0),18)*'Aturan &amp; Tarif'!$B$4,2)</f>
        <v>1022.04</v>
      </c>
      <c r="K330" s="32" t="n">
        <f aca="false">'Aturan &amp; Tarif'!$B$5</f>
        <v>2050</v>
      </c>
      <c r="L330" s="35" t="n">
        <f aca="false">I330+J330+K330</f>
        <v>7322.04</v>
      </c>
      <c r="M330" s="37" t="s">
        <v>134</v>
      </c>
    </row>
    <row r="331" customFormat="false" ht="25.5" hidden="false" customHeight="true" outlineLevel="0" collapsed="false">
      <c r="A331" s="29"/>
      <c r="B331" s="30" t="s">
        <v>907</v>
      </c>
      <c r="C331" s="31" t="s">
        <v>130</v>
      </c>
      <c r="D331" s="31" t="s">
        <v>108</v>
      </c>
      <c r="E331" s="32" t="n">
        <v>2500</v>
      </c>
      <c r="F331" s="32" t="n">
        <v>2000</v>
      </c>
      <c r="G331" s="32" t="n">
        <v>250</v>
      </c>
      <c r="H331" s="33" t="n">
        <v>1</v>
      </c>
      <c r="I331" s="34" t="n">
        <f aca="false">E331*H331+N(F331)+N(G331)</f>
        <v>4750</v>
      </c>
      <c r="J331" s="32" t="n">
        <f aca="false">ROUND(IFERROR(ROUND(IF(OR(ISNUMBER(SEARCH("week",C331)),ISNUMBER(SEARCH("minggu",C331))),IFERROR(_xlfn.NUMBERVALUE(SUBSTITUTE(LEFT(TRIM(C331),FIND(" ",TRIM(C331)&amp;" ")-1),",","."),"."),LEFT(SUBSTITUTE(LEFT(TRIM(C331),FIND(" ",TRIM(C331)&amp;" ")-1),",","."),FIND("/",SUBSTITUTE(LEFT(TRIM(C331),FIND(" ",TRIM(C331)&amp;" ")-1),",","."))-1)/MID(SUBSTITUTE(LEFT(TRIM(C331),FIND(" ",TRIM(C331)&amp;" ")-1),",","."),FIND("/",SUBSTITUTE(LEFT(TRIM(C331),FIND(" ",TRIM(C331)&amp;" ")-1),",","."))+1,9))*12/52,IF(ISNUMBER(SEARCH("month",C331)),IFERROR(_xlfn.NUMBERVALUE(SUBSTITUTE(LEFT(TRIM(C331),FIND(" ",TRIM(C331)&amp;" ")-1),",","."),"."),LEFT(SUBSTITUTE(LEFT(TRIM(C331),FIND(" ",TRIM(C331)&amp;" ")-1),",","."),FIND("/",SUBSTITUTE(LEFT(TRIM(C331),FIND(" ",TRIM(C331)&amp;" ")-1),",","."))-1)/MID(SUBSTITUTE(LEFT(TRIM(C331),FIND(" ",TRIM(C331)&amp;" ")-1),",","."),FIND("/",SUBSTITUTE(LEFT(TRIM(C331),FIND(" ",TRIM(C331)&amp;" ")-1),",","."))+1,9)),IF(ISNUMBER(SEARCH("yea",C331)),IFERROR(_xlfn.NUMBERVALUE(SUBSTITUTE(LEFT(TRIM(C331),FIND(" ",TRIM(C331)&amp;" ")-1),",","."),"."),LEFT(SUBSTITUTE(LEFT(TRIM(C331),FIND(" ",TRIM(C331)&amp;" ")-1),",","."),FIND("/",SUBSTITUTE(LEFT(TRIM(C331),FIND(" ",TRIM(C331)&amp;" ")-1),",","."))-1)/MID(SUBSTITUTE(LEFT(TRIM(C331),FIND(" ",TRIM(C331)&amp;" ")-1),",","."),FIND("/",SUBSTITUTE(LEFT(TRIM(C331),FIND(" ",TRIM(C331)&amp;" ")-1),",","."))+1,9))*12,NA()))),0),12)*'Aturan &amp; Tarif'!$B$4,2)</f>
        <v>681.36</v>
      </c>
      <c r="K331" s="32" t="n">
        <f aca="false">'Aturan &amp; Tarif'!$B$5</f>
        <v>2050</v>
      </c>
      <c r="L331" s="35" t="n">
        <f aca="false">I331+J331+K331</f>
        <v>7481.36</v>
      </c>
      <c r="M331" s="37" t="s">
        <v>134</v>
      </c>
    </row>
    <row r="332" customFormat="false" ht="25.5" hidden="false" customHeight="true" outlineLevel="0" collapsed="false">
      <c r="A332" s="29"/>
      <c r="B332" s="30" t="s">
        <v>665</v>
      </c>
      <c r="C332" s="31" t="s">
        <v>130</v>
      </c>
      <c r="D332" s="31" t="s">
        <v>108</v>
      </c>
      <c r="E332" s="32" t="n">
        <v>2500</v>
      </c>
      <c r="F332" s="32" t="n">
        <v>2000</v>
      </c>
      <c r="G332" s="32" t="n">
        <v>250</v>
      </c>
      <c r="H332" s="33" t="n">
        <v>1</v>
      </c>
      <c r="I332" s="34" t="n">
        <f aca="false">E332*H332+N(F332)+N(G332)</f>
        <v>4750</v>
      </c>
      <c r="J332" s="32" t="n">
        <f aca="false">ROUND(IFERROR(ROUND(IF(OR(ISNUMBER(SEARCH("week",C332)),ISNUMBER(SEARCH("minggu",C332))),IFERROR(_xlfn.NUMBERVALUE(SUBSTITUTE(LEFT(TRIM(C332),FIND(" ",TRIM(C332)&amp;" ")-1),",","."),"."),LEFT(SUBSTITUTE(LEFT(TRIM(C332),FIND(" ",TRIM(C332)&amp;" ")-1),",","."),FIND("/",SUBSTITUTE(LEFT(TRIM(C332),FIND(" ",TRIM(C332)&amp;" ")-1),",","."))-1)/MID(SUBSTITUTE(LEFT(TRIM(C332),FIND(" ",TRIM(C332)&amp;" ")-1),",","."),FIND("/",SUBSTITUTE(LEFT(TRIM(C332),FIND(" ",TRIM(C332)&amp;" ")-1),",","."))+1,9))*12/52,IF(ISNUMBER(SEARCH("month",C332)),IFERROR(_xlfn.NUMBERVALUE(SUBSTITUTE(LEFT(TRIM(C332),FIND(" ",TRIM(C332)&amp;" ")-1),",","."),"."),LEFT(SUBSTITUTE(LEFT(TRIM(C332),FIND(" ",TRIM(C332)&amp;" ")-1),",","."),FIND("/",SUBSTITUTE(LEFT(TRIM(C332),FIND(" ",TRIM(C332)&amp;" ")-1),",","."))-1)/MID(SUBSTITUTE(LEFT(TRIM(C332),FIND(" ",TRIM(C332)&amp;" ")-1),",","."),FIND("/",SUBSTITUTE(LEFT(TRIM(C332),FIND(" ",TRIM(C332)&amp;" ")-1),",","."))+1,9)),IF(ISNUMBER(SEARCH("yea",C332)),IFERROR(_xlfn.NUMBERVALUE(SUBSTITUTE(LEFT(TRIM(C332),FIND(" ",TRIM(C332)&amp;" ")-1),",","."),"."),LEFT(SUBSTITUTE(LEFT(TRIM(C332),FIND(" ",TRIM(C332)&amp;" ")-1),",","."),FIND("/",SUBSTITUTE(LEFT(TRIM(C332),FIND(" ",TRIM(C332)&amp;" ")-1),",","."))-1)/MID(SUBSTITUTE(LEFT(TRIM(C332),FIND(" ",TRIM(C332)&amp;" ")-1),",","."),FIND("/",SUBSTITUTE(LEFT(TRIM(C332),FIND(" ",TRIM(C332)&amp;" ")-1),",","."))+1,9))*12,NA()))),0),12)*'Aturan &amp; Tarif'!$B$4,2)</f>
        <v>681.36</v>
      </c>
      <c r="K332" s="32" t="n">
        <f aca="false">'Aturan &amp; Tarif'!$B$5</f>
        <v>2050</v>
      </c>
      <c r="L332" s="35" t="n">
        <f aca="false">I332+J332+K332</f>
        <v>7481.36</v>
      </c>
      <c r="M332" s="37" t="s">
        <v>134</v>
      </c>
    </row>
    <row r="333" customFormat="false" ht="48.75" hidden="false" customHeight="true" outlineLevel="0" collapsed="false">
      <c r="A333" s="29"/>
      <c r="B333" s="30" t="s">
        <v>673</v>
      </c>
      <c r="C333" s="31" t="s">
        <v>130</v>
      </c>
      <c r="D333" s="31" t="s">
        <v>108</v>
      </c>
      <c r="E333" s="32" t="n">
        <v>2500</v>
      </c>
      <c r="F333" s="32" t="n">
        <v>2000</v>
      </c>
      <c r="G333" s="32" t="n">
        <v>250</v>
      </c>
      <c r="H333" s="33" t="n">
        <v>1</v>
      </c>
      <c r="I333" s="34" t="n">
        <f aca="false">E333*H333+N(F333)+N(G333)</f>
        <v>4750</v>
      </c>
      <c r="J333" s="32" t="n">
        <f aca="false">ROUND(IFERROR(ROUND(IF(OR(ISNUMBER(SEARCH("week",C333)),ISNUMBER(SEARCH("minggu",C333))),IFERROR(_xlfn.NUMBERVALUE(SUBSTITUTE(LEFT(TRIM(C333),FIND(" ",TRIM(C333)&amp;" ")-1),",","."),"."),LEFT(SUBSTITUTE(LEFT(TRIM(C333),FIND(" ",TRIM(C333)&amp;" ")-1),",","."),FIND("/",SUBSTITUTE(LEFT(TRIM(C333),FIND(" ",TRIM(C333)&amp;" ")-1),",","."))-1)/MID(SUBSTITUTE(LEFT(TRIM(C333),FIND(" ",TRIM(C333)&amp;" ")-1),",","."),FIND("/",SUBSTITUTE(LEFT(TRIM(C333),FIND(" ",TRIM(C333)&amp;" ")-1),",","."))+1,9))*12/52,IF(ISNUMBER(SEARCH("month",C333)),IFERROR(_xlfn.NUMBERVALUE(SUBSTITUTE(LEFT(TRIM(C333),FIND(" ",TRIM(C333)&amp;" ")-1),",","."),"."),LEFT(SUBSTITUTE(LEFT(TRIM(C333),FIND(" ",TRIM(C333)&amp;" ")-1),",","."),FIND("/",SUBSTITUTE(LEFT(TRIM(C333),FIND(" ",TRIM(C333)&amp;" ")-1),",","."))-1)/MID(SUBSTITUTE(LEFT(TRIM(C333),FIND(" ",TRIM(C333)&amp;" ")-1),",","."),FIND("/",SUBSTITUTE(LEFT(TRIM(C333),FIND(" ",TRIM(C333)&amp;" ")-1),",","."))+1,9)),IF(ISNUMBER(SEARCH("yea",C333)),IFERROR(_xlfn.NUMBERVALUE(SUBSTITUTE(LEFT(TRIM(C333),FIND(" ",TRIM(C333)&amp;" ")-1),",","."),"."),LEFT(SUBSTITUTE(LEFT(TRIM(C333),FIND(" ",TRIM(C333)&amp;" ")-1),",","."),FIND("/",SUBSTITUTE(LEFT(TRIM(C333),FIND(" ",TRIM(C333)&amp;" ")-1),",","."))-1)/MID(SUBSTITUTE(LEFT(TRIM(C333),FIND(" ",TRIM(C333)&amp;" ")-1),",","."),FIND("/",SUBSTITUTE(LEFT(TRIM(C333),FIND(" ",TRIM(C333)&amp;" ")-1),",","."))+1,9))*12,NA()))),0),12)*'Aturan &amp; Tarif'!$B$4,2)</f>
        <v>681.36</v>
      </c>
      <c r="K333" s="32" t="n">
        <f aca="false">'Aturan &amp; Tarif'!$B$5</f>
        <v>2050</v>
      </c>
      <c r="L333" s="35" t="n">
        <f aca="false">I333+J333+K333</f>
        <v>7481.36</v>
      </c>
      <c r="M333" s="37" t="s">
        <v>134</v>
      </c>
    </row>
    <row r="334" customFormat="false" ht="14.25" hidden="false" customHeight="true" outlineLevel="0" collapsed="false">
      <c r="A334" s="29"/>
      <c r="B334" s="30" t="s">
        <v>1976</v>
      </c>
      <c r="C334" s="31" t="s">
        <v>130</v>
      </c>
      <c r="D334" s="31" t="s">
        <v>108</v>
      </c>
      <c r="E334" s="32" t="n">
        <v>2700</v>
      </c>
      <c r="F334" s="32" t="n">
        <v>1000</v>
      </c>
      <c r="G334" s="32" t="n">
        <v>250</v>
      </c>
      <c r="H334" s="33" t="n">
        <v>1</v>
      </c>
      <c r="I334" s="34" t="n">
        <f aca="false">E334*H334+N(F334)+N(G334)</f>
        <v>3950</v>
      </c>
      <c r="J334" s="32" t="n">
        <f aca="false">ROUND(IFERROR(ROUND(IF(OR(ISNUMBER(SEARCH("week",C334)),ISNUMBER(SEARCH("minggu",C334))),IFERROR(_xlfn.NUMBERVALUE(SUBSTITUTE(LEFT(TRIM(C334),FIND(" ",TRIM(C334)&amp;" ")-1),",","."),"."),LEFT(SUBSTITUTE(LEFT(TRIM(C334),FIND(" ",TRIM(C334)&amp;" ")-1),",","."),FIND("/",SUBSTITUTE(LEFT(TRIM(C334),FIND(" ",TRIM(C334)&amp;" ")-1),",","."))-1)/MID(SUBSTITUTE(LEFT(TRIM(C334),FIND(" ",TRIM(C334)&amp;" ")-1),",","."),FIND("/",SUBSTITUTE(LEFT(TRIM(C334),FIND(" ",TRIM(C334)&amp;" ")-1),",","."))+1,9))*12/52,IF(ISNUMBER(SEARCH("month",C334)),IFERROR(_xlfn.NUMBERVALUE(SUBSTITUTE(LEFT(TRIM(C334),FIND(" ",TRIM(C334)&amp;" ")-1),",","."),"."),LEFT(SUBSTITUTE(LEFT(TRIM(C334),FIND(" ",TRIM(C334)&amp;" ")-1),",","."),FIND("/",SUBSTITUTE(LEFT(TRIM(C334),FIND(" ",TRIM(C334)&amp;" ")-1),",","."))-1)/MID(SUBSTITUTE(LEFT(TRIM(C334),FIND(" ",TRIM(C334)&amp;" ")-1),",","."),FIND("/",SUBSTITUTE(LEFT(TRIM(C334),FIND(" ",TRIM(C334)&amp;" ")-1),",","."))+1,9)),IF(ISNUMBER(SEARCH("yea",C334)),IFERROR(_xlfn.NUMBERVALUE(SUBSTITUTE(LEFT(TRIM(C334),FIND(" ",TRIM(C334)&amp;" ")-1),",","."),"."),LEFT(SUBSTITUTE(LEFT(TRIM(C334),FIND(" ",TRIM(C334)&amp;" ")-1),",","."),FIND("/",SUBSTITUTE(LEFT(TRIM(C334),FIND(" ",TRIM(C334)&amp;" ")-1),",","."))-1)/MID(SUBSTITUTE(LEFT(TRIM(C334),FIND(" ",TRIM(C334)&amp;" ")-1),",","."),FIND("/",SUBSTITUTE(LEFT(TRIM(C334),FIND(" ",TRIM(C334)&amp;" ")-1),",","."))+1,9))*12,NA()))),0),12)*'Aturan &amp; Tarif'!$B$4,2)</f>
        <v>681.36</v>
      </c>
      <c r="K334" s="32" t="n">
        <f aca="false">'Aturan &amp; Tarif'!$B$5</f>
        <v>2050</v>
      </c>
      <c r="L334" s="35" t="n">
        <f aca="false">I334+J334+K334</f>
        <v>6681.36</v>
      </c>
      <c r="M334" s="37" t="s">
        <v>134</v>
      </c>
    </row>
    <row r="335" customFormat="false" ht="25.5" hidden="false" customHeight="true" outlineLevel="0" collapsed="false">
      <c r="A335" s="29"/>
      <c r="B335" s="30" t="s">
        <v>767</v>
      </c>
      <c r="C335" s="31" t="s">
        <v>113</v>
      </c>
      <c r="D335" s="31" t="s">
        <v>108</v>
      </c>
      <c r="E335" s="32" t="n">
        <v>2400</v>
      </c>
      <c r="F335" s="32" t="n">
        <v>2000</v>
      </c>
      <c r="G335" s="32" t="n">
        <v>250</v>
      </c>
      <c r="H335" s="33" t="n">
        <v>1</v>
      </c>
      <c r="I335" s="34" t="n">
        <f aca="false">E335*H335+N(F335)+N(G335)</f>
        <v>4650</v>
      </c>
      <c r="J335" s="32" t="n">
        <f aca="false">ROUND(IFERROR(ROUND(IF(OR(ISNUMBER(SEARCH("week",C335)),ISNUMBER(SEARCH("minggu",C335))),IFERROR(_xlfn.NUMBERVALUE(SUBSTITUTE(LEFT(TRIM(C335),FIND(" ",TRIM(C335)&amp;" ")-1),",","."),"."),LEFT(SUBSTITUTE(LEFT(TRIM(C335),FIND(" ",TRIM(C335)&amp;" ")-1),",","."),FIND("/",SUBSTITUTE(LEFT(TRIM(C335),FIND(" ",TRIM(C335)&amp;" ")-1),",","."))-1)/MID(SUBSTITUTE(LEFT(TRIM(C335),FIND(" ",TRIM(C335)&amp;" ")-1),",","."),FIND("/",SUBSTITUTE(LEFT(TRIM(C335),FIND(" ",TRIM(C335)&amp;" ")-1),",","."))+1,9))*12/52,IF(ISNUMBER(SEARCH("month",C335)),IFERROR(_xlfn.NUMBERVALUE(SUBSTITUTE(LEFT(TRIM(C335),FIND(" ",TRIM(C335)&amp;" ")-1),",","."),"."),LEFT(SUBSTITUTE(LEFT(TRIM(C335),FIND(" ",TRIM(C335)&amp;" ")-1),",","."),FIND("/",SUBSTITUTE(LEFT(TRIM(C335),FIND(" ",TRIM(C335)&amp;" ")-1),",","."))-1)/MID(SUBSTITUTE(LEFT(TRIM(C335),FIND(" ",TRIM(C335)&amp;" ")-1),",","."),FIND("/",SUBSTITUTE(LEFT(TRIM(C335),FIND(" ",TRIM(C335)&amp;" ")-1),",","."))+1,9)),IF(ISNUMBER(SEARCH("yea",C335)),IFERROR(_xlfn.NUMBERVALUE(SUBSTITUTE(LEFT(TRIM(C335),FIND(" ",TRIM(C335)&amp;" ")-1),",","."),"."),LEFT(SUBSTITUTE(LEFT(TRIM(C335),FIND(" ",TRIM(C335)&amp;" ")-1),",","."),FIND("/",SUBSTITUTE(LEFT(TRIM(C335),FIND(" ",TRIM(C335)&amp;" ")-1),",","."))-1)/MID(SUBSTITUTE(LEFT(TRIM(C335),FIND(" ",TRIM(C335)&amp;" ")-1),",","."),FIND("/",SUBSTITUTE(LEFT(TRIM(C335),FIND(" ",TRIM(C335)&amp;" ")-1),",","."))+1,9))*12,NA()))),0),18)*'Aturan &amp; Tarif'!$B$4,2)</f>
        <v>1022.04</v>
      </c>
      <c r="K335" s="32" t="n">
        <f aca="false">'Aturan &amp; Tarif'!$B$5</f>
        <v>2050</v>
      </c>
      <c r="L335" s="35" t="n">
        <f aca="false">I335+J335+K335</f>
        <v>7722.04</v>
      </c>
      <c r="M335" s="37" t="s">
        <v>134</v>
      </c>
    </row>
    <row r="336" customFormat="false" ht="37.5" hidden="false" customHeight="true" outlineLevel="0" collapsed="false">
      <c r="A336" s="29"/>
      <c r="B336" s="30" t="s">
        <v>115</v>
      </c>
      <c r="C336" s="31" t="s">
        <v>107</v>
      </c>
      <c r="D336" s="31" t="s">
        <v>108</v>
      </c>
      <c r="E336" s="32" t="n">
        <v>2500</v>
      </c>
      <c r="F336" s="32" t="n">
        <v>2000</v>
      </c>
      <c r="G336" s="32" t="n">
        <v>250</v>
      </c>
      <c r="H336" s="33" t="n">
        <v>1</v>
      </c>
      <c r="I336" s="34" t="n">
        <f aca="false">E336*H336+N(F336)+N(G336)</f>
        <v>4750</v>
      </c>
      <c r="J336" s="32" t="n">
        <f aca="false">ROUND(IFERROR(ROUND(IF(OR(ISNUMBER(SEARCH("week",C336)),ISNUMBER(SEARCH("minggu",C336))),IFERROR(_xlfn.NUMBERVALUE(SUBSTITUTE(LEFT(TRIM(C336),FIND(" ",TRIM(C336)&amp;" ")-1),",","."),"."),LEFT(SUBSTITUTE(LEFT(TRIM(C336),FIND(" ",TRIM(C336)&amp;" ")-1),",","."),FIND("/",SUBSTITUTE(LEFT(TRIM(C336),FIND(" ",TRIM(C336)&amp;" ")-1),",","."))-1)/MID(SUBSTITUTE(LEFT(TRIM(C336),FIND(" ",TRIM(C336)&amp;" ")-1),",","."),FIND("/",SUBSTITUTE(LEFT(TRIM(C336),FIND(" ",TRIM(C336)&amp;" ")-1),",","."))+1,9))*12/52,IF(ISNUMBER(SEARCH("month",C336)),IFERROR(_xlfn.NUMBERVALUE(SUBSTITUTE(LEFT(TRIM(C336),FIND(" ",TRIM(C336)&amp;" ")-1),",","."),"."),LEFT(SUBSTITUTE(LEFT(TRIM(C336),FIND(" ",TRIM(C336)&amp;" ")-1),",","."),FIND("/",SUBSTITUTE(LEFT(TRIM(C336),FIND(" ",TRIM(C336)&amp;" ")-1),",","."))-1)/MID(SUBSTITUTE(LEFT(TRIM(C336),FIND(" ",TRIM(C336)&amp;" ")-1),",","."),FIND("/",SUBSTITUTE(LEFT(TRIM(C336),FIND(" ",TRIM(C336)&amp;" ")-1),",","."))+1,9)),IF(ISNUMBER(SEARCH("yea",C336)),IFERROR(_xlfn.NUMBERVALUE(SUBSTITUTE(LEFT(TRIM(C336),FIND(" ",TRIM(C336)&amp;" ")-1),",","."),"."),LEFT(SUBSTITUTE(LEFT(TRIM(C336),FIND(" ",TRIM(C336)&amp;" ")-1),",","."),FIND("/",SUBSTITUTE(LEFT(TRIM(C336),FIND(" ",TRIM(C336)&amp;" ")-1),",","."))-1)/MID(SUBSTITUTE(LEFT(TRIM(C336),FIND(" ",TRIM(C336)&amp;" ")-1),",","."),FIND("/",SUBSTITUTE(LEFT(TRIM(C336),FIND(" ",TRIM(C336)&amp;" ")-1),",","."))+1,9))*12,NA()))),0),24)*'Aturan &amp; Tarif'!$B$4,2)</f>
        <v>1362.72</v>
      </c>
      <c r="K336" s="32" t="n">
        <f aca="false">'Aturan &amp; Tarif'!$B$5</f>
        <v>2050</v>
      </c>
      <c r="L336" s="35" t="n">
        <f aca="false">I336+J336+K336</f>
        <v>8162.72</v>
      </c>
      <c r="M336" s="37" t="s">
        <v>134</v>
      </c>
    </row>
    <row r="337" customFormat="false" ht="37.5" hidden="false" customHeight="true" outlineLevel="0" collapsed="false">
      <c r="A337" s="29"/>
      <c r="B337" s="30" t="s">
        <v>1977</v>
      </c>
      <c r="C337" s="31" t="s">
        <v>107</v>
      </c>
      <c r="D337" s="31" t="s">
        <v>108</v>
      </c>
      <c r="E337" s="32" t="n">
        <v>2125</v>
      </c>
      <c r="F337" s="32" t="n">
        <v>600</v>
      </c>
      <c r="G337" s="32" t="n">
        <v>250</v>
      </c>
      <c r="H337" s="33" t="n">
        <v>1</v>
      </c>
      <c r="I337" s="34" t="n">
        <f aca="false">E337*H337+N(F337)+N(G337)</f>
        <v>2975</v>
      </c>
      <c r="J337" s="32" t="n">
        <f aca="false">ROUND(IFERROR(ROUND(IF(OR(ISNUMBER(SEARCH("week",C337)),ISNUMBER(SEARCH("minggu",C337))),IFERROR(_xlfn.NUMBERVALUE(SUBSTITUTE(LEFT(TRIM(C337),FIND(" ",TRIM(C337)&amp;" ")-1),",","."),"."),LEFT(SUBSTITUTE(LEFT(TRIM(C337),FIND(" ",TRIM(C337)&amp;" ")-1),",","."),FIND("/",SUBSTITUTE(LEFT(TRIM(C337),FIND(" ",TRIM(C337)&amp;" ")-1),",","."))-1)/MID(SUBSTITUTE(LEFT(TRIM(C337),FIND(" ",TRIM(C337)&amp;" ")-1),",","."),FIND("/",SUBSTITUTE(LEFT(TRIM(C337),FIND(" ",TRIM(C337)&amp;" ")-1),",","."))+1,9))*12/52,IF(ISNUMBER(SEARCH("month",C337)),IFERROR(_xlfn.NUMBERVALUE(SUBSTITUTE(LEFT(TRIM(C337),FIND(" ",TRIM(C337)&amp;" ")-1),",","."),"."),LEFT(SUBSTITUTE(LEFT(TRIM(C337),FIND(" ",TRIM(C337)&amp;" ")-1),",","."),FIND("/",SUBSTITUTE(LEFT(TRIM(C337),FIND(" ",TRIM(C337)&amp;" ")-1),",","."))-1)/MID(SUBSTITUTE(LEFT(TRIM(C337),FIND(" ",TRIM(C337)&amp;" ")-1),",","."),FIND("/",SUBSTITUTE(LEFT(TRIM(C337),FIND(" ",TRIM(C337)&amp;" ")-1),",","."))+1,9)),IF(ISNUMBER(SEARCH("yea",C337)),IFERROR(_xlfn.NUMBERVALUE(SUBSTITUTE(LEFT(TRIM(C337),FIND(" ",TRIM(C337)&amp;" ")-1),",","."),"."),LEFT(SUBSTITUTE(LEFT(TRIM(C337),FIND(" ",TRIM(C337)&amp;" ")-1),",","."),FIND("/",SUBSTITUTE(LEFT(TRIM(C337),FIND(" ",TRIM(C337)&amp;" ")-1),",","."))-1)/MID(SUBSTITUTE(LEFT(TRIM(C337),FIND(" ",TRIM(C337)&amp;" ")-1),",","."),FIND("/",SUBSTITUTE(LEFT(TRIM(C337),FIND(" ",TRIM(C337)&amp;" ")-1),",","."))+1,9))*12,NA()))),0),24)*'Aturan &amp; Tarif'!$B$4,2)</f>
        <v>1362.72</v>
      </c>
      <c r="K337" s="32" t="n">
        <f aca="false">'Aturan &amp; Tarif'!$B$5</f>
        <v>2050</v>
      </c>
      <c r="L337" s="35" t="n">
        <f aca="false">I337+J337+K337</f>
        <v>6387.72</v>
      </c>
      <c r="M337" s="37" t="s">
        <v>134</v>
      </c>
    </row>
    <row r="338" customFormat="false" ht="37.5" hidden="false" customHeight="true" outlineLevel="0" collapsed="false">
      <c r="A338" s="29"/>
      <c r="B338" s="30" t="s">
        <v>1978</v>
      </c>
      <c r="C338" s="31" t="s">
        <v>138</v>
      </c>
      <c r="D338" s="31" t="s">
        <v>108</v>
      </c>
      <c r="E338" s="32" t="n">
        <v>2125</v>
      </c>
      <c r="F338" s="32" t="n">
        <v>500</v>
      </c>
      <c r="G338" s="32" t="n">
        <v>250</v>
      </c>
      <c r="H338" s="33" t="n">
        <v>1</v>
      </c>
      <c r="I338" s="34" t="n">
        <f aca="false">E338*H338+N(F338)+N(G338)</f>
        <v>2875</v>
      </c>
      <c r="J338" s="32" t="n">
        <f aca="false">ROUND(IFERROR(ROUND(IF(OR(ISNUMBER(SEARCH("week",C338)),ISNUMBER(SEARCH("minggu",C338))),IFERROR(_xlfn.NUMBERVALUE(SUBSTITUTE(LEFT(TRIM(C338),FIND(" ",TRIM(C338)&amp;" ")-1),",","."),"."),LEFT(SUBSTITUTE(LEFT(TRIM(C338),FIND(" ",TRIM(C338)&amp;" ")-1),",","."),FIND("/",SUBSTITUTE(LEFT(TRIM(C338),FIND(" ",TRIM(C338)&amp;" ")-1),",","."))-1)/MID(SUBSTITUTE(LEFT(TRIM(C338),FIND(" ",TRIM(C338)&amp;" ")-1),",","."),FIND("/",SUBSTITUTE(LEFT(TRIM(C338),FIND(" ",TRIM(C338)&amp;" ")-1),",","."))+1,9))*12/52,IF(ISNUMBER(SEARCH("month",C338)),IFERROR(_xlfn.NUMBERVALUE(SUBSTITUTE(LEFT(TRIM(C338),FIND(" ",TRIM(C338)&amp;" ")-1),",","."),"."),LEFT(SUBSTITUTE(LEFT(TRIM(C338),FIND(" ",TRIM(C338)&amp;" ")-1),",","."),FIND("/",SUBSTITUTE(LEFT(TRIM(C338),FIND(" ",TRIM(C338)&amp;" ")-1),",","."))-1)/MID(SUBSTITUTE(LEFT(TRIM(C338),FIND(" ",TRIM(C338)&amp;" ")-1),",","."),FIND("/",SUBSTITUTE(LEFT(TRIM(C338),FIND(" ",TRIM(C338)&amp;" ")-1),",","."))+1,9)),IF(ISNUMBER(SEARCH("yea",C338)),IFERROR(_xlfn.NUMBERVALUE(SUBSTITUTE(LEFT(TRIM(C338),FIND(" ",TRIM(C338)&amp;" ")-1),",","."),"."),LEFT(SUBSTITUTE(LEFT(TRIM(C338),FIND(" ",TRIM(C338)&amp;" ")-1),",","."),FIND("/",SUBSTITUTE(LEFT(TRIM(C338),FIND(" ",TRIM(C338)&amp;" ")-1),",","."))-1)/MID(SUBSTITUTE(LEFT(TRIM(C338),FIND(" ",TRIM(C338)&amp;" ")-1),",","."),FIND("/",SUBSTITUTE(LEFT(TRIM(C338),FIND(" ",TRIM(C338)&amp;" ")-1),",","."))+1,9))*12,NA()))),0),30)*'Aturan &amp; Tarif'!$B$4,2)</f>
        <v>1703.4</v>
      </c>
      <c r="K338" s="32" t="n">
        <f aca="false">'Aturan &amp; Tarif'!$B$5</f>
        <v>2050</v>
      </c>
      <c r="L338" s="35" t="n">
        <f aca="false">I338+J338+K338</f>
        <v>6628.4</v>
      </c>
      <c r="M338" s="37" t="s">
        <v>134</v>
      </c>
    </row>
    <row r="339" customFormat="false" ht="25.5" hidden="false" customHeight="true" outlineLevel="0" collapsed="false">
      <c r="A339" s="29"/>
      <c r="B339" s="30" t="s">
        <v>1979</v>
      </c>
      <c r="C339" s="31" t="s">
        <v>107</v>
      </c>
      <c r="D339" s="31" t="s">
        <v>108</v>
      </c>
      <c r="E339" s="32" t="n">
        <v>1875</v>
      </c>
      <c r="F339" s="32" t="n">
        <v>500</v>
      </c>
      <c r="G339" s="32" t="n">
        <v>250</v>
      </c>
      <c r="H339" s="33" t="n">
        <v>1</v>
      </c>
      <c r="I339" s="34" t="n">
        <f aca="false">E339*H339+N(F339)+N(G339)</f>
        <v>2625</v>
      </c>
      <c r="J339" s="32" t="n">
        <f aca="false">ROUND(IFERROR(ROUND(IF(OR(ISNUMBER(SEARCH("week",C339)),ISNUMBER(SEARCH("minggu",C339))),IFERROR(_xlfn.NUMBERVALUE(SUBSTITUTE(LEFT(TRIM(C339),FIND(" ",TRIM(C339)&amp;" ")-1),",","."),"."),LEFT(SUBSTITUTE(LEFT(TRIM(C339),FIND(" ",TRIM(C339)&amp;" ")-1),",","."),FIND("/",SUBSTITUTE(LEFT(TRIM(C339),FIND(" ",TRIM(C339)&amp;" ")-1),",","."))-1)/MID(SUBSTITUTE(LEFT(TRIM(C339),FIND(" ",TRIM(C339)&amp;" ")-1),",","."),FIND("/",SUBSTITUTE(LEFT(TRIM(C339),FIND(" ",TRIM(C339)&amp;" ")-1),",","."))+1,9))*12/52,IF(ISNUMBER(SEARCH("month",C339)),IFERROR(_xlfn.NUMBERVALUE(SUBSTITUTE(LEFT(TRIM(C339),FIND(" ",TRIM(C339)&amp;" ")-1),",","."),"."),LEFT(SUBSTITUTE(LEFT(TRIM(C339),FIND(" ",TRIM(C339)&amp;" ")-1),",","."),FIND("/",SUBSTITUTE(LEFT(TRIM(C339),FIND(" ",TRIM(C339)&amp;" ")-1),",","."))-1)/MID(SUBSTITUTE(LEFT(TRIM(C339),FIND(" ",TRIM(C339)&amp;" ")-1),",","."),FIND("/",SUBSTITUTE(LEFT(TRIM(C339),FIND(" ",TRIM(C339)&amp;" ")-1),",","."))+1,9)),IF(ISNUMBER(SEARCH("yea",C339)),IFERROR(_xlfn.NUMBERVALUE(SUBSTITUTE(LEFT(TRIM(C339),FIND(" ",TRIM(C339)&amp;" ")-1),",","."),"."),LEFT(SUBSTITUTE(LEFT(TRIM(C339),FIND(" ",TRIM(C339)&amp;" ")-1),",","."),FIND("/",SUBSTITUTE(LEFT(TRIM(C339),FIND(" ",TRIM(C339)&amp;" ")-1),",","."))-1)/MID(SUBSTITUTE(LEFT(TRIM(C339),FIND(" ",TRIM(C339)&amp;" ")-1),",","."),FIND("/",SUBSTITUTE(LEFT(TRIM(C339),FIND(" ",TRIM(C339)&amp;" ")-1),",","."))+1,9))*12,NA()))),0),24)*'Aturan &amp; Tarif'!$B$4,2)</f>
        <v>1362.72</v>
      </c>
      <c r="K339" s="32" t="n">
        <f aca="false">'Aturan &amp; Tarif'!$B$5</f>
        <v>2050</v>
      </c>
      <c r="L339" s="35" t="n">
        <f aca="false">I339+J339+K339</f>
        <v>6037.72</v>
      </c>
      <c r="M339" s="37" t="s">
        <v>134</v>
      </c>
    </row>
    <row r="340" customFormat="false" ht="25.5" hidden="false" customHeight="true" outlineLevel="0" collapsed="false">
      <c r="A340" s="29"/>
      <c r="B340" s="30" t="s">
        <v>1980</v>
      </c>
      <c r="C340" s="31" t="s">
        <v>191</v>
      </c>
      <c r="D340" s="31" t="s">
        <v>108</v>
      </c>
      <c r="E340" s="32" t="n">
        <v>1875</v>
      </c>
      <c r="F340" s="32" t="n">
        <v>500</v>
      </c>
      <c r="G340" s="32" t="n">
        <v>250</v>
      </c>
      <c r="H340" s="33" t="n">
        <v>1</v>
      </c>
      <c r="I340" s="34" t="n">
        <f aca="false">E340*H340+N(F340)+N(G340)</f>
        <v>2625</v>
      </c>
      <c r="J340" s="32" t="n">
        <f aca="false">ROUND(IFERROR(ROUND(IF(OR(ISNUMBER(SEARCH("week",C340)),ISNUMBER(SEARCH("minggu",C340))),IFERROR(_xlfn.NUMBERVALUE(SUBSTITUTE(LEFT(TRIM(C340),FIND(" ",TRIM(C340)&amp;" ")-1),",","."),"."),LEFT(SUBSTITUTE(LEFT(TRIM(C340),FIND(" ",TRIM(C340)&amp;" ")-1),",","."),FIND("/",SUBSTITUTE(LEFT(TRIM(C340),FIND(" ",TRIM(C340)&amp;" ")-1),",","."))-1)/MID(SUBSTITUTE(LEFT(TRIM(C340),FIND(" ",TRIM(C340)&amp;" ")-1),",","."),FIND("/",SUBSTITUTE(LEFT(TRIM(C340),FIND(" ",TRIM(C340)&amp;" ")-1),",","."))+1,9))*12/52,IF(ISNUMBER(SEARCH("month",C340)),IFERROR(_xlfn.NUMBERVALUE(SUBSTITUTE(LEFT(TRIM(C340),FIND(" ",TRIM(C340)&amp;" ")-1),",","."),"."),LEFT(SUBSTITUTE(LEFT(TRIM(C340),FIND(" ",TRIM(C340)&amp;" ")-1),",","."),FIND("/",SUBSTITUTE(LEFT(TRIM(C340),FIND(" ",TRIM(C340)&amp;" ")-1),",","."))-1)/MID(SUBSTITUTE(LEFT(TRIM(C340),FIND(" ",TRIM(C340)&amp;" ")-1),",","."),FIND("/",SUBSTITUTE(LEFT(TRIM(C340),FIND(" ",TRIM(C340)&amp;" ")-1),",","."))+1,9)),IF(ISNUMBER(SEARCH("yea",C340)),IFERROR(_xlfn.NUMBERVALUE(SUBSTITUTE(LEFT(TRIM(C340),FIND(" ",TRIM(C340)&amp;" ")-1),",","."),"."),LEFT(SUBSTITUTE(LEFT(TRIM(C340),FIND(" ",TRIM(C340)&amp;" ")-1),",","."),FIND("/",SUBSTITUTE(LEFT(TRIM(C340),FIND(" ",TRIM(C340)&amp;" ")-1),",","."))-1)/MID(SUBSTITUTE(LEFT(TRIM(C340),FIND(" ",TRIM(C340)&amp;" ")-1),",","."),FIND("/",SUBSTITUTE(LEFT(TRIM(C340),FIND(" ",TRIM(C340)&amp;" ")-1),",","."))+1,9))*12,NA()))),0),48)*'Aturan &amp; Tarif'!$B$4,2)</f>
        <v>2725.44</v>
      </c>
      <c r="K340" s="32" t="n">
        <f aca="false">'Aturan &amp; Tarif'!$B$5</f>
        <v>2050</v>
      </c>
      <c r="L340" s="35" t="n">
        <f aca="false">I340+J340+K340</f>
        <v>7400.44</v>
      </c>
      <c r="M340" s="37" t="s">
        <v>134</v>
      </c>
    </row>
    <row r="341" customFormat="false" ht="37.5" hidden="false" customHeight="true" outlineLevel="0" collapsed="false">
      <c r="A341" s="29"/>
      <c r="B341" s="30" t="s">
        <v>133</v>
      </c>
      <c r="C341" s="31" t="s">
        <v>107</v>
      </c>
      <c r="D341" s="31" t="s">
        <v>108</v>
      </c>
      <c r="E341" s="32" t="n">
        <v>1875</v>
      </c>
      <c r="F341" s="32" t="n">
        <v>500</v>
      </c>
      <c r="G341" s="32" t="n">
        <v>250</v>
      </c>
      <c r="H341" s="33" t="n">
        <v>1</v>
      </c>
      <c r="I341" s="34" t="n">
        <f aca="false">E341*H341+N(F341)+N(G341)</f>
        <v>2625</v>
      </c>
      <c r="J341" s="32" t="n">
        <f aca="false">ROUND(IFERROR(ROUND(IF(OR(ISNUMBER(SEARCH("week",C341)),ISNUMBER(SEARCH("minggu",C341))),IFERROR(_xlfn.NUMBERVALUE(SUBSTITUTE(LEFT(TRIM(C341),FIND(" ",TRIM(C341)&amp;" ")-1),",","."),"."),LEFT(SUBSTITUTE(LEFT(TRIM(C341),FIND(" ",TRIM(C341)&amp;" ")-1),",","."),FIND("/",SUBSTITUTE(LEFT(TRIM(C341),FIND(" ",TRIM(C341)&amp;" ")-1),",","."))-1)/MID(SUBSTITUTE(LEFT(TRIM(C341),FIND(" ",TRIM(C341)&amp;" ")-1),",","."),FIND("/",SUBSTITUTE(LEFT(TRIM(C341),FIND(" ",TRIM(C341)&amp;" ")-1),",","."))+1,9))*12/52,IF(ISNUMBER(SEARCH("month",C341)),IFERROR(_xlfn.NUMBERVALUE(SUBSTITUTE(LEFT(TRIM(C341),FIND(" ",TRIM(C341)&amp;" ")-1),",","."),"."),LEFT(SUBSTITUTE(LEFT(TRIM(C341),FIND(" ",TRIM(C341)&amp;" ")-1),",","."),FIND("/",SUBSTITUTE(LEFT(TRIM(C341),FIND(" ",TRIM(C341)&amp;" ")-1),",","."))-1)/MID(SUBSTITUTE(LEFT(TRIM(C341),FIND(" ",TRIM(C341)&amp;" ")-1),",","."),FIND("/",SUBSTITUTE(LEFT(TRIM(C341),FIND(" ",TRIM(C341)&amp;" ")-1),",","."))+1,9)),IF(ISNUMBER(SEARCH("yea",C341)),IFERROR(_xlfn.NUMBERVALUE(SUBSTITUTE(LEFT(TRIM(C341),FIND(" ",TRIM(C341)&amp;" ")-1),",","."),"."),LEFT(SUBSTITUTE(LEFT(TRIM(C341),FIND(" ",TRIM(C341)&amp;" ")-1),",","."),FIND("/",SUBSTITUTE(LEFT(TRIM(C341),FIND(" ",TRIM(C341)&amp;" ")-1),",","."))-1)/MID(SUBSTITUTE(LEFT(TRIM(C341),FIND(" ",TRIM(C341)&amp;" ")-1),",","."),FIND("/",SUBSTITUTE(LEFT(TRIM(C341),FIND(" ",TRIM(C341)&amp;" ")-1),",","."))+1,9))*12,NA()))),0),24)*'Aturan &amp; Tarif'!$B$4,2)</f>
        <v>1362.72</v>
      </c>
      <c r="K341" s="32" t="n">
        <f aca="false">'Aturan &amp; Tarif'!$B$5</f>
        <v>2050</v>
      </c>
      <c r="L341" s="35" t="n">
        <f aca="false">I341+J341+K341</f>
        <v>6037.72</v>
      </c>
      <c r="M341" s="37" t="s">
        <v>134</v>
      </c>
    </row>
    <row r="342" customFormat="false" ht="25.5" hidden="false" customHeight="true" outlineLevel="0" collapsed="false">
      <c r="A342" s="29"/>
      <c r="B342" s="30" t="s">
        <v>135</v>
      </c>
      <c r="C342" s="31" t="s">
        <v>191</v>
      </c>
      <c r="D342" s="31" t="s">
        <v>108</v>
      </c>
      <c r="E342" s="32" t="n">
        <v>1875</v>
      </c>
      <c r="F342" s="32" t="n">
        <v>500</v>
      </c>
      <c r="G342" s="32" t="n">
        <v>250</v>
      </c>
      <c r="H342" s="33" t="n">
        <v>1</v>
      </c>
      <c r="I342" s="34" t="n">
        <f aca="false">E342*H342+N(F342)+N(G342)</f>
        <v>2625</v>
      </c>
      <c r="J342" s="32" t="n">
        <f aca="false">ROUND(IFERROR(ROUND(IF(OR(ISNUMBER(SEARCH("week",C342)),ISNUMBER(SEARCH("minggu",C342))),IFERROR(_xlfn.NUMBERVALUE(SUBSTITUTE(LEFT(TRIM(C342),FIND(" ",TRIM(C342)&amp;" ")-1),",","."),"."),LEFT(SUBSTITUTE(LEFT(TRIM(C342),FIND(" ",TRIM(C342)&amp;" ")-1),",","."),FIND("/",SUBSTITUTE(LEFT(TRIM(C342),FIND(" ",TRIM(C342)&amp;" ")-1),",","."))-1)/MID(SUBSTITUTE(LEFT(TRIM(C342),FIND(" ",TRIM(C342)&amp;" ")-1),",","."),FIND("/",SUBSTITUTE(LEFT(TRIM(C342),FIND(" ",TRIM(C342)&amp;" ")-1),",","."))+1,9))*12/52,IF(ISNUMBER(SEARCH("month",C342)),IFERROR(_xlfn.NUMBERVALUE(SUBSTITUTE(LEFT(TRIM(C342),FIND(" ",TRIM(C342)&amp;" ")-1),",","."),"."),LEFT(SUBSTITUTE(LEFT(TRIM(C342),FIND(" ",TRIM(C342)&amp;" ")-1),",","."),FIND("/",SUBSTITUTE(LEFT(TRIM(C342),FIND(" ",TRIM(C342)&amp;" ")-1),",","."))-1)/MID(SUBSTITUTE(LEFT(TRIM(C342),FIND(" ",TRIM(C342)&amp;" ")-1),",","."),FIND("/",SUBSTITUTE(LEFT(TRIM(C342),FIND(" ",TRIM(C342)&amp;" ")-1),",","."))+1,9)),IF(ISNUMBER(SEARCH("yea",C342)),IFERROR(_xlfn.NUMBERVALUE(SUBSTITUTE(LEFT(TRIM(C342),FIND(" ",TRIM(C342)&amp;" ")-1),",","."),"."),LEFT(SUBSTITUTE(LEFT(TRIM(C342),FIND(" ",TRIM(C342)&amp;" ")-1),",","."),FIND("/",SUBSTITUTE(LEFT(TRIM(C342),FIND(" ",TRIM(C342)&amp;" ")-1),",","."))-1)/MID(SUBSTITUTE(LEFT(TRIM(C342),FIND(" ",TRIM(C342)&amp;" ")-1),",","."),FIND("/",SUBSTITUTE(LEFT(TRIM(C342),FIND(" ",TRIM(C342)&amp;" ")-1),",","."))+1,9))*12,NA()))),0),48)*'Aturan &amp; Tarif'!$B$4,2)</f>
        <v>2725.44</v>
      </c>
      <c r="K342" s="32" t="n">
        <f aca="false">'Aturan &amp; Tarif'!$B$5</f>
        <v>2050</v>
      </c>
      <c r="L342" s="35" t="n">
        <f aca="false">I342+J342+K342</f>
        <v>7400.44</v>
      </c>
      <c r="M342" s="37" t="s">
        <v>134</v>
      </c>
    </row>
    <row r="343" customFormat="false" ht="25.5" hidden="false" customHeight="true" outlineLevel="0" collapsed="false">
      <c r="A343" s="29"/>
      <c r="B343" s="30" t="s">
        <v>148</v>
      </c>
      <c r="C343" s="31" t="s">
        <v>138</v>
      </c>
      <c r="D343" s="31" t="s">
        <v>108</v>
      </c>
      <c r="E343" s="32" t="n">
        <v>2420</v>
      </c>
      <c r="F343" s="32" t="n">
        <v>1500</v>
      </c>
      <c r="G343" s="32" t="n">
        <v>250</v>
      </c>
      <c r="H343" s="33" t="n">
        <v>1</v>
      </c>
      <c r="I343" s="34" t="n">
        <f aca="false">E343*H343+N(F343)+N(G343)</f>
        <v>4170</v>
      </c>
      <c r="J343" s="32" t="n">
        <f aca="false">ROUND(IFERROR(ROUND(IF(OR(ISNUMBER(SEARCH("week",C343)),ISNUMBER(SEARCH("minggu",C343))),IFERROR(_xlfn.NUMBERVALUE(SUBSTITUTE(LEFT(TRIM(C343),FIND(" ",TRIM(C343)&amp;" ")-1),",","."),"."),LEFT(SUBSTITUTE(LEFT(TRIM(C343),FIND(" ",TRIM(C343)&amp;" ")-1),",","."),FIND("/",SUBSTITUTE(LEFT(TRIM(C343),FIND(" ",TRIM(C343)&amp;" ")-1),",","."))-1)/MID(SUBSTITUTE(LEFT(TRIM(C343),FIND(" ",TRIM(C343)&amp;" ")-1),",","."),FIND("/",SUBSTITUTE(LEFT(TRIM(C343),FIND(" ",TRIM(C343)&amp;" ")-1),",","."))+1,9))*12/52,IF(ISNUMBER(SEARCH("month",C343)),IFERROR(_xlfn.NUMBERVALUE(SUBSTITUTE(LEFT(TRIM(C343),FIND(" ",TRIM(C343)&amp;" ")-1),",","."),"."),LEFT(SUBSTITUTE(LEFT(TRIM(C343),FIND(" ",TRIM(C343)&amp;" ")-1),",","."),FIND("/",SUBSTITUTE(LEFT(TRIM(C343),FIND(" ",TRIM(C343)&amp;" ")-1),",","."))-1)/MID(SUBSTITUTE(LEFT(TRIM(C343),FIND(" ",TRIM(C343)&amp;" ")-1),",","."),FIND("/",SUBSTITUTE(LEFT(TRIM(C343),FIND(" ",TRIM(C343)&amp;" ")-1),",","."))+1,9)),IF(ISNUMBER(SEARCH("yea",C343)),IFERROR(_xlfn.NUMBERVALUE(SUBSTITUTE(LEFT(TRIM(C343),FIND(" ",TRIM(C343)&amp;" ")-1),",","."),"."),LEFT(SUBSTITUTE(LEFT(TRIM(C343),FIND(" ",TRIM(C343)&amp;" ")-1),",","."),FIND("/",SUBSTITUTE(LEFT(TRIM(C343),FIND(" ",TRIM(C343)&amp;" ")-1),",","."))-1)/MID(SUBSTITUTE(LEFT(TRIM(C343),FIND(" ",TRIM(C343)&amp;" ")-1),",","."),FIND("/",SUBSTITUTE(LEFT(TRIM(C343),FIND(" ",TRIM(C343)&amp;" ")-1),",","."))+1,9))*12,NA()))),0),30)*'Aturan &amp; Tarif'!$B$4,2)</f>
        <v>1703.4</v>
      </c>
      <c r="K343" s="32" t="n">
        <f aca="false">'Aturan &amp; Tarif'!$B$5</f>
        <v>2050</v>
      </c>
      <c r="L343" s="35" t="n">
        <f aca="false">I343+J343+K343</f>
        <v>7923.4</v>
      </c>
      <c r="M343" s="37" t="s">
        <v>134</v>
      </c>
    </row>
    <row r="344" customFormat="false" ht="37.5" hidden="false" customHeight="true" outlineLevel="0" collapsed="false">
      <c r="A344" s="29"/>
      <c r="B344" s="30" t="s">
        <v>430</v>
      </c>
      <c r="C344" s="31" t="s">
        <v>127</v>
      </c>
      <c r="D344" s="31" t="s">
        <v>108</v>
      </c>
      <c r="E344" s="32" t="n">
        <v>2000</v>
      </c>
      <c r="F344" s="32" t="n">
        <v>600</v>
      </c>
      <c r="G344" s="32" t="n">
        <v>250</v>
      </c>
      <c r="H344" s="33" t="n">
        <v>1</v>
      </c>
      <c r="I344" s="34" t="n">
        <f aca="false">E344*H344+N(F344)+N(G344)</f>
        <v>2850</v>
      </c>
      <c r="J344" s="32" t="n">
        <f aca="false">ROUND(IFERROR(ROUND(IF(OR(ISNUMBER(SEARCH("week",C344)),ISNUMBER(SEARCH("minggu",C344))),IFERROR(_xlfn.NUMBERVALUE(SUBSTITUTE(LEFT(TRIM(C344),FIND(" ",TRIM(C344)&amp;" ")-1),",","."),"."),LEFT(SUBSTITUTE(LEFT(TRIM(C344),FIND(" ",TRIM(C344)&amp;" ")-1),",","."),FIND("/",SUBSTITUTE(LEFT(TRIM(C344),FIND(" ",TRIM(C344)&amp;" ")-1),",","."))-1)/MID(SUBSTITUTE(LEFT(TRIM(C344),FIND(" ",TRIM(C344)&amp;" ")-1),",","."),FIND("/",SUBSTITUTE(LEFT(TRIM(C344),FIND(" ",TRIM(C344)&amp;" ")-1),",","."))+1,9))*12/52,IF(ISNUMBER(SEARCH("month",C344)),IFERROR(_xlfn.NUMBERVALUE(SUBSTITUTE(LEFT(TRIM(C344),FIND(" ",TRIM(C344)&amp;" ")-1),",","."),"."),LEFT(SUBSTITUTE(LEFT(TRIM(C344),FIND(" ",TRIM(C344)&amp;" ")-1),",","."),FIND("/",SUBSTITUTE(LEFT(TRIM(C344),FIND(" ",TRIM(C344)&amp;" ")-1),",","."))-1)/MID(SUBSTITUTE(LEFT(TRIM(C344),FIND(" ",TRIM(C344)&amp;" ")-1),",","."),FIND("/",SUBSTITUTE(LEFT(TRIM(C344),FIND(" ",TRIM(C344)&amp;" ")-1),",","."))+1,9)),IF(ISNUMBER(SEARCH("yea",C344)),IFERROR(_xlfn.NUMBERVALUE(SUBSTITUTE(LEFT(TRIM(C344),FIND(" ",TRIM(C344)&amp;" ")-1),",","."),"."),LEFT(SUBSTITUTE(LEFT(TRIM(C344),FIND(" ",TRIM(C344)&amp;" ")-1),",","."),FIND("/",SUBSTITUTE(LEFT(TRIM(C344),FIND(" ",TRIM(C344)&amp;" ")-1),",","."))-1)/MID(SUBSTITUTE(LEFT(TRIM(C344),FIND(" ",TRIM(C344)&amp;" ")-1),",","."),FIND("/",SUBSTITUTE(LEFT(TRIM(C344),FIND(" ",TRIM(C344)&amp;" ")-1),",","."))+1,9))*12,NA()))),0),36)*'Aturan &amp; Tarif'!$B$4,2)</f>
        <v>2044.08</v>
      </c>
      <c r="K344" s="32" t="n">
        <f aca="false">'Aturan &amp; Tarif'!$B$5</f>
        <v>2050</v>
      </c>
      <c r="L344" s="35" t="n">
        <f aca="false">I344+J344+K344</f>
        <v>6944.08</v>
      </c>
      <c r="M344" s="37" t="s">
        <v>134</v>
      </c>
    </row>
    <row r="345" customFormat="false" ht="94.5" hidden="false" customHeight="true" outlineLevel="0" collapsed="false">
      <c r="A345" s="39" t="s">
        <v>3084</v>
      </c>
      <c r="B345" s="40" t="s">
        <v>3085</v>
      </c>
      <c r="C345" s="41" t="s">
        <v>107</v>
      </c>
      <c r="D345" s="41" t="s">
        <v>108</v>
      </c>
      <c r="E345" s="42" t="n">
        <v>2600</v>
      </c>
      <c r="F345" s="42" t="n">
        <v>2000</v>
      </c>
      <c r="G345" s="42" t="n">
        <v>350</v>
      </c>
      <c r="H345" s="43" t="n">
        <v>1</v>
      </c>
      <c r="I345" s="34" t="n">
        <f aca="false">E345*H345+N(F345)+N(G345)</f>
        <v>4950</v>
      </c>
      <c r="J345" s="42" t="n">
        <f aca="false">ROUND(IFERROR(ROUND(IF(OR(ISNUMBER(SEARCH("week",C345)),ISNUMBER(SEARCH("minggu",C345))),IFERROR(_xlfn.NUMBERVALUE(SUBSTITUTE(LEFT(TRIM(C345),FIND(" ",TRIM(C345)&amp;" ")-1),",","."),"."),LEFT(SUBSTITUTE(LEFT(TRIM(C345),FIND(" ",TRIM(C345)&amp;" ")-1),",","."),FIND("/",SUBSTITUTE(LEFT(TRIM(C345),FIND(" ",TRIM(C345)&amp;" ")-1),",","."))-1)/MID(SUBSTITUTE(LEFT(TRIM(C345),FIND(" ",TRIM(C345)&amp;" ")-1),",","."),FIND("/",SUBSTITUTE(LEFT(TRIM(C345),FIND(" ",TRIM(C345)&amp;" ")-1),",","."))+1,9))*12/52,IF(ISNUMBER(SEARCH("month",C345)),IFERROR(_xlfn.NUMBERVALUE(SUBSTITUTE(LEFT(TRIM(C345),FIND(" ",TRIM(C345)&amp;" ")-1),",","."),"."),LEFT(SUBSTITUTE(LEFT(TRIM(C345),FIND(" ",TRIM(C345)&amp;" ")-1),",","."),FIND("/",SUBSTITUTE(LEFT(TRIM(C345),FIND(" ",TRIM(C345)&amp;" ")-1),",","."))-1)/MID(SUBSTITUTE(LEFT(TRIM(C345),FIND(" ",TRIM(C345)&amp;" ")-1),",","."),FIND("/",SUBSTITUTE(LEFT(TRIM(C345),FIND(" ",TRIM(C345)&amp;" ")-1),",","."))+1,9)),IF(ISNUMBER(SEARCH("yea",C345)),IFERROR(_xlfn.NUMBERVALUE(SUBSTITUTE(LEFT(TRIM(C345),FIND(" ",TRIM(C345)&amp;" ")-1),",","."),"."),LEFT(SUBSTITUTE(LEFT(TRIM(C345),FIND(" ",TRIM(C345)&amp;" ")-1),",","."),FIND("/",SUBSTITUTE(LEFT(TRIM(C345),FIND(" ",TRIM(C345)&amp;" ")-1),",","."))-1)/MID(SUBSTITUTE(LEFT(TRIM(C345),FIND(" ",TRIM(C345)&amp;" ")-1),",","."),FIND("/",SUBSTITUTE(LEFT(TRIM(C345),FIND(" ",TRIM(C345)&amp;" ")-1),",","."))+1,9))*12,NA()))),0),24)*'Aturan &amp; Tarif'!$B$4,2)</f>
        <v>1362.72</v>
      </c>
      <c r="K345" s="42" t="n">
        <f aca="false">'Aturan &amp; Tarif'!$B$5</f>
        <v>2050</v>
      </c>
      <c r="L345" s="35" t="n">
        <f aca="false">I345+J345+K345</f>
        <v>8362.72</v>
      </c>
      <c r="M345" s="45" t="s">
        <v>134</v>
      </c>
    </row>
    <row r="346" customFormat="false" ht="37.5" hidden="false" customHeight="true" outlineLevel="0" collapsed="false">
      <c r="A346" s="39"/>
      <c r="B346" s="40" t="s">
        <v>3086</v>
      </c>
      <c r="C346" s="41" t="s">
        <v>3087</v>
      </c>
      <c r="D346" s="41" t="s">
        <v>108</v>
      </c>
      <c r="E346" s="42" t="n">
        <v>2600</v>
      </c>
      <c r="F346" s="42" t="n">
        <v>2000</v>
      </c>
      <c r="G346" s="42" t="n">
        <v>350</v>
      </c>
      <c r="H346" s="43" t="n">
        <v>1</v>
      </c>
      <c r="I346" s="34" t="n">
        <f aca="false">E346*H346+N(F346)+N(G346)</f>
        <v>4950</v>
      </c>
      <c r="J346" s="42" t="n">
        <f aca="false">ROUND(IFERROR(ROUND(IF(OR(ISNUMBER(SEARCH("week",C346)),ISNUMBER(SEARCH("minggu",C346))),IFERROR(_xlfn.NUMBERVALUE(SUBSTITUTE(LEFT(TRIM(C346),FIND(" ",TRIM(C346)&amp;" ")-1),",","."),"."),LEFT(SUBSTITUTE(LEFT(TRIM(C346),FIND(" ",TRIM(C346)&amp;" ")-1),",","."),FIND("/",SUBSTITUTE(LEFT(TRIM(C346),FIND(" ",TRIM(C346)&amp;" ")-1),",","."))-1)/MID(SUBSTITUTE(LEFT(TRIM(C346),FIND(" ",TRIM(C346)&amp;" ")-1),",","."),FIND("/",SUBSTITUTE(LEFT(TRIM(C346),FIND(" ",TRIM(C346)&amp;" ")-1),",","."))+1,9))*12/52,IF(ISNUMBER(SEARCH("month",C346)),IFERROR(_xlfn.NUMBERVALUE(SUBSTITUTE(LEFT(TRIM(C346),FIND(" ",TRIM(C346)&amp;" ")-1),",","."),"."),LEFT(SUBSTITUTE(LEFT(TRIM(C346),FIND(" ",TRIM(C346)&amp;" ")-1),",","."),FIND("/",SUBSTITUTE(LEFT(TRIM(C346),FIND(" ",TRIM(C346)&amp;" ")-1),",","."))-1)/MID(SUBSTITUTE(LEFT(TRIM(C346),FIND(" ",TRIM(C346)&amp;" ")-1),",","."),FIND("/",SUBSTITUTE(LEFT(TRIM(C346),FIND(" ",TRIM(C346)&amp;" ")-1),",","."))+1,9)),IF(ISNUMBER(SEARCH("yea",C346)),IFERROR(_xlfn.NUMBERVALUE(SUBSTITUTE(LEFT(TRIM(C346),FIND(" ",TRIM(C346)&amp;" ")-1),",","."),"."),LEFT(SUBSTITUTE(LEFT(TRIM(C346),FIND(" ",TRIM(C346)&amp;" ")-1),",","."),FIND("/",SUBSTITUTE(LEFT(TRIM(C346),FIND(" ",TRIM(C346)&amp;" ")-1),",","."))-1)/MID(SUBSTITUTE(LEFT(TRIM(C346),FIND(" ",TRIM(C346)&amp;" ")-1),",","."),FIND("/",SUBSTITUTE(LEFT(TRIM(C346),FIND(" ",TRIM(C346)&amp;" ")-1),",","."))+1,9))*12,NA()))),0),45)*'Aturan &amp; Tarif'!$B$4,2)</f>
        <v>2555.1</v>
      </c>
      <c r="K346" s="42" t="n">
        <f aca="false">'Aturan &amp; Tarif'!$B$5</f>
        <v>2050</v>
      </c>
      <c r="L346" s="35" t="n">
        <f aca="false">I346+J346+K346</f>
        <v>9555.1</v>
      </c>
      <c r="M346" s="45" t="s">
        <v>134</v>
      </c>
    </row>
    <row r="347" customFormat="false" ht="25.5" hidden="false" customHeight="true" outlineLevel="0" collapsed="false">
      <c r="A347" s="39"/>
      <c r="B347" s="40" t="s">
        <v>3088</v>
      </c>
      <c r="C347" s="41" t="s">
        <v>107</v>
      </c>
      <c r="D347" s="41" t="s">
        <v>108</v>
      </c>
      <c r="E347" s="42" t="n">
        <v>2600</v>
      </c>
      <c r="F347" s="42" t="n">
        <v>2000</v>
      </c>
      <c r="G347" s="42" t="n">
        <v>350</v>
      </c>
      <c r="H347" s="43" t="n">
        <v>1</v>
      </c>
      <c r="I347" s="34" t="n">
        <f aca="false">E347*H347+N(F347)+N(G347)</f>
        <v>4950</v>
      </c>
      <c r="J347" s="42" t="n">
        <f aca="false">ROUND(IFERROR(ROUND(IF(OR(ISNUMBER(SEARCH("week",C347)),ISNUMBER(SEARCH("minggu",C347))),IFERROR(_xlfn.NUMBERVALUE(SUBSTITUTE(LEFT(TRIM(C347),FIND(" ",TRIM(C347)&amp;" ")-1),",","."),"."),LEFT(SUBSTITUTE(LEFT(TRIM(C347),FIND(" ",TRIM(C347)&amp;" ")-1),",","."),FIND("/",SUBSTITUTE(LEFT(TRIM(C347),FIND(" ",TRIM(C347)&amp;" ")-1),",","."))-1)/MID(SUBSTITUTE(LEFT(TRIM(C347),FIND(" ",TRIM(C347)&amp;" ")-1),",","."),FIND("/",SUBSTITUTE(LEFT(TRIM(C347),FIND(" ",TRIM(C347)&amp;" ")-1),",","."))+1,9))*12/52,IF(ISNUMBER(SEARCH("month",C347)),IFERROR(_xlfn.NUMBERVALUE(SUBSTITUTE(LEFT(TRIM(C347),FIND(" ",TRIM(C347)&amp;" ")-1),",","."),"."),LEFT(SUBSTITUTE(LEFT(TRIM(C347),FIND(" ",TRIM(C347)&amp;" ")-1),",","."),FIND("/",SUBSTITUTE(LEFT(TRIM(C347),FIND(" ",TRIM(C347)&amp;" ")-1),",","."))-1)/MID(SUBSTITUTE(LEFT(TRIM(C347),FIND(" ",TRIM(C347)&amp;" ")-1),",","."),FIND("/",SUBSTITUTE(LEFT(TRIM(C347),FIND(" ",TRIM(C347)&amp;" ")-1),",","."))+1,9)),IF(ISNUMBER(SEARCH("yea",C347)),IFERROR(_xlfn.NUMBERVALUE(SUBSTITUTE(LEFT(TRIM(C347),FIND(" ",TRIM(C347)&amp;" ")-1),",","."),"."),LEFT(SUBSTITUTE(LEFT(TRIM(C347),FIND(" ",TRIM(C347)&amp;" ")-1),",","."),FIND("/",SUBSTITUTE(LEFT(TRIM(C347),FIND(" ",TRIM(C347)&amp;" ")-1),",","."))-1)/MID(SUBSTITUTE(LEFT(TRIM(C347),FIND(" ",TRIM(C347)&amp;" ")-1),",","."),FIND("/",SUBSTITUTE(LEFT(TRIM(C347),FIND(" ",TRIM(C347)&amp;" ")-1),",","."))+1,9))*12,NA()))),0),24)*'Aturan &amp; Tarif'!$B$4,2)</f>
        <v>1362.72</v>
      </c>
      <c r="K347" s="42" t="n">
        <f aca="false">'Aturan &amp; Tarif'!$B$5</f>
        <v>2050</v>
      </c>
      <c r="L347" s="35" t="n">
        <f aca="false">I347+J347+K347</f>
        <v>8362.72</v>
      </c>
      <c r="M347" s="45" t="s">
        <v>134</v>
      </c>
    </row>
    <row r="348" customFormat="false" ht="37.5" hidden="false" customHeight="true" outlineLevel="0" collapsed="false">
      <c r="A348" s="39"/>
      <c r="B348" s="40" t="s">
        <v>3089</v>
      </c>
      <c r="C348" s="41" t="s">
        <v>3087</v>
      </c>
      <c r="D348" s="41" t="s">
        <v>108</v>
      </c>
      <c r="E348" s="42" t="n">
        <v>2600</v>
      </c>
      <c r="F348" s="42" t="n">
        <v>2000</v>
      </c>
      <c r="G348" s="42" t="n">
        <v>350</v>
      </c>
      <c r="H348" s="43" t="n">
        <v>1</v>
      </c>
      <c r="I348" s="34" t="n">
        <f aca="false">E348*H348+N(F348)+N(G348)</f>
        <v>4950</v>
      </c>
      <c r="J348" s="42" t="n">
        <f aca="false">ROUND(IFERROR(ROUND(IF(OR(ISNUMBER(SEARCH("week",C348)),ISNUMBER(SEARCH("minggu",C348))),IFERROR(_xlfn.NUMBERVALUE(SUBSTITUTE(LEFT(TRIM(C348),FIND(" ",TRIM(C348)&amp;" ")-1),",","."),"."),LEFT(SUBSTITUTE(LEFT(TRIM(C348),FIND(" ",TRIM(C348)&amp;" ")-1),",","."),FIND("/",SUBSTITUTE(LEFT(TRIM(C348),FIND(" ",TRIM(C348)&amp;" ")-1),",","."))-1)/MID(SUBSTITUTE(LEFT(TRIM(C348),FIND(" ",TRIM(C348)&amp;" ")-1),",","."),FIND("/",SUBSTITUTE(LEFT(TRIM(C348),FIND(" ",TRIM(C348)&amp;" ")-1),",","."))+1,9))*12/52,IF(ISNUMBER(SEARCH("month",C348)),IFERROR(_xlfn.NUMBERVALUE(SUBSTITUTE(LEFT(TRIM(C348),FIND(" ",TRIM(C348)&amp;" ")-1),",","."),"."),LEFT(SUBSTITUTE(LEFT(TRIM(C348),FIND(" ",TRIM(C348)&amp;" ")-1),",","."),FIND("/",SUBSTITUTE(LEFT(TRIM(C348),FIND(" ",TRIM(C348)&amp;" ")-1),",","."))-1)/MID(SUBSTITUTE(LEFT(TRIM(C348),FIND(" ",TRIM(C348)&amp;" ")-1),",","."),FIND("/",SUBSTITUTE(LEFT(TRIM(C348),FIND(" ",TRIM(C348)&amp;" ")-1),",","."))+1,9)),IF(ISNUMBER(SEARCH("yea",C348)),IFERROR(_xlfn.NUMBERVALUE(SUBSTITUTE(LEFT(TRIM(C348),FIND(" ",TRIM(C348)&amp;" ")-1),",","."),"."),LEFT(SUBSTITUTE(LEFT(TRIM(C348),FIND(" ",TRIM(C348)&amp;" ")-1),",","."),FIND("/",SUBSTITUTE(LEFT(TRIM(C348),FIND(" ",TRIM(C348)&amp;" ")-1),",","."))-1)/MID(SUBSTITUTE(LEFT(TRIM(C348),FIND(" ",TRIM(C348)&amp;" ")-1),",","."),FIND("/",SUBSTITUTE(LEFT(TRIM(C348),FIND(" ",TRIM(C348)&amp;" ")-1),",","."))+1,9))*12,NA()))),0),45)*'Aturan &amp; Tarif'!$B$4,2)</f>
        <v>2555.1</v>
      </c>
      <c r="K348" s="42" t="n">
        <f aca="false">'Aturan &amp; Tarif'!$B$5</f>
        <v>2050</v>
      </c>
      <c r="L348" s="35" t="n">
        <f aca="false">I348+J348+K348</f>
        <v>9555.1</v>
      </c>
      <c r="M348" s="45" t="s">
        <v>134</v>
      </c>
    </row>
    <row r="349" customFormat="false" ht="14.25" hidden="false" customHeight="true" outlineLevel="0" collapsed="false">
      <c r="A349" s="39"/>
      <c r="B349" s="40" t="s">
        <v>3090</v>
      </c>
      <c r="C349" s="41" t="s">
        <v>107</v>
      </c>
      <c r="D349" s="41" t="s">
        <v>108</v>
      </c>
      <c r="E349" s="42" t="n">
        <v>2500</v>
      </c>
      <c r="F349" s="42" t="n">
        <v>2000</v>
      </c>
      <c r="G349" s="42" t="n">
        <v>350</v>
      </c>
      <c r="H349" s="43" t="n">
        <v>1</v>
      </c>
      <c r="I349" s="34" t="n">
        <f aca="false">E349*H349+N(F349)+N(G349)</f>
        <v>4850</v>
      </c>
      <c r="J349" s="42" t="n">
        <f aca="false">ROUND(IFERROR(ROUND(IF(OR(ISNUMBER(SEARCH("week",C349)),ISNUMBER(SEARCH("minggu",C349))),IFERROR(_xlfn.NUMBERVALUE(SUBSTITUTE(LEFT(TRIM(C349),FIND(" ",TRIM(C349)&amp;" ")-1),",","."),"."),LEFT(SUBSTITUTE(LEFT(TRIM(C349),FIND(" ",TRIM(C349)&amp;" ")-1),",","."),FIND("/",SUBSTITUTE(LEFT(TRIM(C349),FIND(" ",TRIM(C349)&amp;" ")-1),",","."))-1)/MID(SUBSTITUTE(LEFT(TRIM(C349),FIND(" ",TRIM(C349)&amp;" ")-1),",","."),FIND("/",SUBSTITUTE(LEFT(TRIM(C349),FIND(" ",TRIM(C349)&amp;" ")-1),",","."))+1,9))*12/52,IF(ISNUMBER(SEARCH("month",C349)),IFERROR(_xlfn.NUMBERVALUE(SUBSTITUTE(LEFT(TRIM(C349),FIND(" ",TRIM(C349)&amp;" ")-1),",","."),"."),LEFT(SUBSTITUTE(LEFT(TRIM(C349),FIND(" ",TRIM(C349)&amp;" ")-1),",","."),FIND("/",SUBSTITUTE(LEFT(TRIM(C349),FIND(" ",TRIM(C349)&amp;" ")-1),",","."))-1)/MID(SUBSTITUTE(LEFT(TRIM(C349),FIND(" ",TRIM(C349)&amp;" ")-1),",","."),FIND("/",SUBSTITUTE(LEFT(TRIM(C349),FIND(" ",TRIM(C349)&amp;" ")-1),",","."))+1,9)),IF(ISNUMBER(SEARCH("yea",C349)),IFERROR(_xlfn.NUMBERVALUE(SUBSTITUTE(LEFT(TRIM(C349),FIND(" ",TRIM(C349)&amp;" ")-1),",","."),"."),LEFT(SUBSTITUTE(LEFT(TRIM(C349),FIND(" ",TRIM(C349)&amp;" ")-1),",","."),FIND("/",SUBSTITUTE(LEFT(TRIM(C349),FIND(" ",TRIM(C349)&amp;" ")-1),",","."))-1)/MID(SUBSTITUTE(LEFT(TRIM(C349),FIND(" ",TRIM(C349)&amp;" ")-1),",","."),FIND("/",SUBSTITUTE(LEFT(TRIM(C349),FIND(" ",TRIM(C349)&amp;" ")-1),",","."))+1,9))*12,NA()))),0),24)*'Aturan &amp; Tarif'!$B$4,2)</f>
        <v>1362.72</v>
      </c>
      <c r="K349" s="42" t="n">
        <f aca="false">'Aturan &amp; Tarif'!$B$5</f>
        <v>2050</v>
      </c>
      <c r="L349" s="35" t="n">
        <f aca="false">I349+J349+K349</f>
        <v>8262.72</v>
      </c>
      <c r="M349" s="45" t="s">
        <v>134</v>
      </c>
    </row>
    <row r="350" customFormat="false" ht="25.5" hidden="false" customHeight="true" outlineLevel="0" collapsed="false">
      <c r="A350" s="39"/>
      <c r="B350" s="40" t="s">
        <v>3091</v>
      </c>
      <c r="C350" s="41" t="s">
        <v>107</v>
      </c>
      <c r="D350" s="41" t="s">
        <v>108</v>
      </c>
      <c r="E350" s="42" t="n">
        <v>2125</v>
      </c>
      <c r="F350" s="42" t="n">
        <v>600</v>
      </c>
      <c r="G350" s="42" t="n">
        <v>350</v>
      </c>
      <c r="H350" s="43" t="n">
        <v>1</v>
      </c>
      <c r="I350" s="34" t="n">
        <f aca="false">E350*H350+N(F350)+N(G350)</f>
        <v>3075</v>
      </c>
      <c r="J350" s="42" t="n">
        <f aca="false">ROUND(IFERROR(ROUND(IF(OR(ISNUMBER(SEARCH("week",C350)),ISNUMBER(SEARCH("minggu",C350))),IFERROR(_xlfn.NUMBERVALUE(SUBSTITUTE(LEFT(TRIM(C350),FIND(" ",TRIM(C350)&amp;" ")-1),",","."),"."),LEFT(SUBSTITUTE(LEFT(TRIM(C350),FIND(" ",TRIM(C350)&amp;" ")-1),",","."),FIND("/",SUBSTITUTE(LEFT(TRIM(C350),FIND(" ",TRIM(C350)&amp;" ")-1),",","."))-1)/MID(SUBSTITUTE(LEFT(TRIM(C350),FIND(" ",TRIM(C350)&amp;" ")-1),",","."),FIND("/",SUBSTITUTE(LEFT(TRIM(C350),FIND(" ",TRIM(C350)&amp;" ")-1),",","."))+1,9))*12/52,IF(ISNUMBER(SEARCH("month",C350)),IFERROR(_xlfn.NUMBERVALUE(SUBSTITUTE(LEFT(TRIM(C350),FIND(" ",TRIM(C350)&amp;" ")-1),",","."),"."),LEFT(SUBSTITUTE(LEFT(TRIM(C350),FIND(" ",TRIM(C350)&amp;" ")-1),",","."),FIND("/",SUBSTITUTE(LEFT(TRIM(C350),FIND(" ",TRIM(C350)&amp;" ")-1),",","."))-1)/MID(SUBSTITUTE(LEFT(TRIM(C350),FIND(" ",TRIM(C350)&amp;" ")-1),",","."),FIND("/",SUBSTITUTE(LEFT(TRIM(C350),FIND(" ",TRIM(C350)&amp;" ")-1),",","."))+1,9)),IF(ISNUMBER(SEARCH("yea",C350)),IFERROR(_xlfn.NUMBERVALUE(SUBSTITUTE(LEFT(TRIM(C350),FIND(" ",TRIM(C350)&amp;" ")-1),",","."),"."),LEFT(SUBSTITUTE(LEFT(TRIM(C350),FIND(" ",TRIM(C350)&amp;" ")-1),",","."),FIND("/",SUBSTITUTE(LEFT(TRIM(C350),FIND(" ",TRIM(C350)&amp;" ")-1),",","."))-1)/MID(SUBSTITUTE(LEFT(TRIM(C350),FIND(" ",TRIM(C350)&amp;" ")-1),",","."),FIND("/",SUBSTITUTE(LEFT(TRIM(C350),FIND(" ",TRIM(C350)&amp;" ")-1),",","."))+1,9))*12,NA()))),0),24)*'Aturan &amp; Tarif'!$B$4,2)</f>
        <v>1362.72</v>
      </c>
      <c r="K350" s="42" t="n">
        <f aca="false">'Aturan &amp; Tarif'!$B$5</f>
        <v>2050</v>
      </c>
      <c r="L350" s="35" t="n">
        <f aca="false">I350+J350+K350</f>
        <v>6487.72</v>
      </c>
      <c r="M350" s="45" t="s">
        <v>134</v>
      </c>
    </row>
    <row r="351" customFormat="false" ht="48.75" hidden="false" customHeight="true" outlineLevel="0" collapsed="false">
      <c r="A351" s="39"/>
      <c r="B351" s="40" t="s">
        <v>3092</v>
      </c>
      <c r="C351" s="41" t="s">
        <v>127</v>
      </c>
      <c r="D351" s="41" t="s">
        <v>108</v>
      </c>
      <c r="E351" s="42" t="n">
        <v>2125</v>
      </c>
      <c r="F351" s="42" t="n">
        <v>600</v>
      </c>
      <c r="G351" s="42" t="n">
        <v>350</v>
      </c>
      <c r="H351" s="43" t="n">
        <v>1</v>
      </c>
      <c r="I351" s="34" t="n">
        <f aca="false">E351*H351+N(F351)+N(G351)</f>
        <v>3075</v>
      </c>
      <c r="J351" s="42" t="n">
        <f aca="false">ROUND(IFERROR(ROUND(IF(OR(ISNUMBER(SEARCH("week",C351)),ISNUMBER(SEARCH("minggu",C351))),IFERROR(_xlfn.NUMBERVALUE(SUBSTITUTE(LEFT(TRIM(C351),FIND(" ",TRIM(C351)&amp;" ")-1),",","."),"."),LEFT(SUBSTITUTE(LEFT(TRIM(C351),FIND(" ",TRIM(C351)&amp;" ")-1),",","."),FIND("/",SUBSTITUTE(LEFT(TRIM(C351),FIND(" ",TRIM(C351)&amp;" ")-1),",","."))-1)/MID(SUBSTITUTE(LEFT(TRIM(C351),FIND(" ",TRIM(C351)&amp;" ")-1),",","."),FIND("/",SUBSTITUTE(LEFT(TRIM(C351),FIND(" ",TRIM(C351)&amp;" ")-1),",","."))+1,9))*12/52,IF(ISNUMBER(SEARCH("month",C351)),IFERROR(_xlfn.NUMBERVALUE(SUBSTITUTE(LEFT(TRIM(C351),FIND(" ",TRIM(C351)&amp;" ")-1),",","."),"."),LEFT(SUBSTITUTE(LEFT(TRIM(C351),FIND(" ",TRIM(C351)&amp;" ")-1),",","."),FIND("/",SUBSTITUTE(LEFT(TRIM(C351),FIND(" ",TRIM(C351)&amp;" ")-1),",","."))-1)/MID(SUBSTITUTE(LEFT(TRIM(C351),FIND(" ",TRIM(C351)&amp;" ")-1),",","."),FIND("/",SUBSTITUTE(LEFT(TRIM(C351),FIND(" ",TRIM(C351)&amp;" ")-1),",","."))+1,9)),IF(ISNUMBER(SEARCH("yea",C351)),IFERROR(_xlfn.NUMBERVALUE(SUBSTITUTE(LEFT(TRIM(C351),FIND(" ",TRIM(C351)&amp;" ")-1),",","."),"."),LEFT(SUBSTITUTE(LEFT(TRIM(C351),FIND(" ",TRIM(C351)&amp;" ")-1),",","."),FIND("/",SUBSTITUTE(LEFT(TRIM(C351),FIND(" ",TRIM(C351)&amp;" ")-1),",","."))-1)/MID(SUBSTITUTE(LEFT(TRIM(C351),FIND(" ",TRIM(C351)&amp;" ")-1),",","."),FIND("/",SUBSTITUTE(LEFT(TRIM(C351),FIND(" ",TRIM(C351)&amp;" ")-1),",","."))+1,9))*12,NA()))),0),36)*'Aturan &amp; Tarif'!$B$4,2)</f>
        <v>2044.08</v>
      </c>
      <c r="K351" s="42" t="n">
        <f aca="false">'Aturan &amp; Tarif'!$B$5</f>
        <v>2050</v>
      </c>
      <c r="L351" s="35" t="n">
        <f aca="false">I351+J351+K351</f>
        <v>7169.08</v>
      </c>
      <c r="M351" s="44" t="s">
        <v>1905</v>
      </c>
    </row>
    <row r="352" customFormat="false" ht="25.5" hidden="false" customHeight="true" outlineLevel="0" collapsed="false">
      <c r="A352" s="39"/>
      <c r="B352" s="40" t="s">
        <v>3093</v>
      </c>
      <c r="C352" s="41" t="s">
        <v>127</v>
      </c>
      <c r="D352" s="41" t="s">
        <v>108</v>
      </c>
      <c r="E352" s="42" t="n">
        <v>1875</v>
      </c>
      <c r="F352" s="42" t="n">
        <v>500</v>
      </c>
      <c r="G352" s="42" t="n">
        <v>350</v>
      </c>
      <c r="H352" s="43" t="n">
        <v>1</v>
      </c>
      <c r="I352" s="34" t="n">
        <f aca="false">E352*H352+N(F352)+N(G352)</f>
        <v>2725</v>
      </c>
      <c r="J352" s="42" t="n">
        <f aca="false">ROUND(IFERROR(ROUND(IF(OR(ISNUMBER(SEARCH("week",C352)),ISNUMBER(SEARCH("minggu",C352))),IFERROR(_xlfn.NUMBERVALUE(SUBSTITUTE(LEFT(TRIM(C352),FIND(" ",TRIM(C352)&amp;" ")-1),",","."),"."),LEFT(SUBSTITUTE(LEFT(TRIM(C352),FIND(" ",TRIM(C352)&amp;" ")-1),",","."),FIND("/",SUBSTITUTE(LEFT(TRIM(C352),FIND(" ",TRIM(C352)&amp;" ")-1),",","."))-1)/MID(SUBSTITUTE(LEFT(TRIM(C352),FIND(" ",TRIM(C352)&amp;" ")-1),",","."),FIND("/",SUBSTITUTE(LEFT(TRIM(C352),FIND(" ",TRIM(C352)&amp;" ")-1),",","."))+1,9))*12/52,IF(ISNUMBER(SEARCH("month",C352)),IFERROR(_xlfn.NUMBERVALUE(SUBSTITUTE(LEFT(TRIM(C352),FIND(" ",TRIM(C352)&amp;" ")-1),",","."),"."),LEFT(SUBSTITUTE(LEFT(TRIM(C352),FIND(" ",TRIM(C352)&amp;" ")-1),",","."),FIND("/",SUBSTITUTE(LEFT(TRIM(C352),FIND(" ",TRIM(C352)&amp;" ")-1),",","."))-1)/MID(SUBSTITUTE(LEFT(TRIM(C352),FIND(" ",TRIM(C352)&amp;" ")-1),",","."),FIND("/",SUBSTITUTE(LEFT(TRIM(C352),FIND(" ",TRIM(C352)&amp;" ")-1),",","."))+1,9)),IF(ISNUMBER(SEARCH("yea",C352)),IFERROR(_xlfn.NUMBERVALUE(SUBSTITUTE(LEFT(TRIM(C352),FIND(" ",TRIM(C352)&amp;" ")-1),",","."),"."),LEFT(SUBSTITUTE(LEFT(TRIM(C352),FIND(" ",TRIM(C352)&amp;" ")-1),",","."),FIND("/",SUBSTITUTE(LEFT(TRIM(C352),FIND(" ",TRIM(C352)&amp;" ")-1),",","."))-1)/MID(SUBSTITUTE(LEFT(TRIM(C352),FIND(" ",TRIM(C352)&amp;" ")-1),",","."),FIND("/",SUBSTITUTE(LEFT(TRIM(C352),FIND(" ",TRIM(C352)&amp;" ")-1),",","."))+1,9))*12,NA()))),0),36)*'Aturan &amp; Tarif'!$B$4,2)</f>
        <v>2044.08</v>
      </c>
      <c r="K352" s="42" t="n">
        <f aca="false">'Aturan &amp; Tarif'!$B$5</f>
        <v>2050</v>
      </c>
      <c r="L352" s="35" t="n">
        <f aca="false">I352+J352+K352</f>
        <v>6819.08</v>
      </c>
      <c r="M352" s="45" t="s">
        <v>134</v>
      </c>
    </row>
    <row r="353" customFormat="false" ht="37.5" hidden="false" customHeight="true" outlineLevel="0" collapsed="false">
      <c r="A353" s="39"/>
      <c r="B353" s="40" t="s">
        <v>135</v>
      </c>
      <c r="C353" s="41" t="s">
        <v>3087</v>
      </c>
      <c r="D353" s="41" t="s">
        <v>108</v>
      </c>
      <c r="E353" s="42" t="n">
        <v>1875</v>
      </c>
      <c r="F353" s="42" t="n">
        <v>500</v>
      </c>
      <c r="G353" s="42" t="n">
        <v>350</v>
      </c>
      <c r="H353" s="43" t="n">
        <v>1</v>
      </c>
      <c r="I353" s="34" t="n">
        <f aca="false">E353*H353+N(F353)+N(G353)</f>
        <v>2725</v>
      </c>
      <c r="J353" s="42" t="n">
        <f aca="false">ROUND(IFERROR(ROUND(IF(OR(ISNUMBER(SEARCH("week",C353)),ISNUMBER(SEARCH("minggu",C353))),IFERROR(_xlfn.NUMBERVALUE(SUBSTITUTE(LEFT(TRIM(C353),FIND(" ",TRIM(C353)&amp;" ")-1),",","."),"."),LEFT(SUBSTITUTE(LEFT(TRIM(C353),FIND(" ",TRIM(C353)&amp;" ")-1),",","."),FIND("/",SUBSTITUTE(LEFT(TRIM(C353),FIND(" ",TRIM(C353)&amp;" ")-1),",","."))-1)/MID(SUBSTITUTE(LEFT(TRIM(C353),FIND(" ",TRIM(C353)&amp;" ")-1),",","."),FIND("/",SUBSTITUTE(LEFT(TRIM(C353),FIND(" ",TRIM(C353)&amp;" ")-1),",","."))+1,9))*12/52,IF(ISNUMBER(SEARCH("month",C353)),IFERROR(_xlfn.NUMBERVALUE(SUBSTITUTE(LEFT(TRIM(C353),FIND(" ",TRIM(C353)&amp;" ")-1),",","."),"."),LEFT(SUBSTITUTE(LEFT(TRIM(C353),FIND(" ",TRIM(C353)&amp;" ")-1),",","."),FIND("/",SUBSTITUTE(LEFT(TRIM(C353),FIND(" ",TRIM(C353)&amp;" ")-1),",","."))-1)/MID(SUBSTITUTE(LEFT(TRIM(C353),FIND(" ",TRIM(C353)&amp;" ")-1),",","."),FIND("/",SUBSTITUTE(LEFT(TRIM(C353),FIND(" ",TRIM(C353)&amp;" ")-1),",","."))+1,9)),IF(ISNUMBER(SEARCH("yea",C353)),IFERROR(_xlfn.NUMBERVALUE(SUBSTITUTE(LEFT(TRIM(C353),FIND(" ",TRIM(C353)&amp;" ")-1),",","."),"."),LEFT(SUBSTITUTE(LEFT(TRIM(C353),FIND(" ",TRIM(C353)&amp;" ")-1),",","."),FIND("/",SUBSTITUTE(LEFT(TRIM(C353),FIND(" ",TRIM(C353)&amp;" ")-1),",","."))-1)/MID(SUBSTITUTE(LEFT(TRIM(C353),FIND(" ",TRIM(C353)&amp;" ")-1),",","."),FIND("/",SUBSTITUTE(LEFT(TRIM(C353),FIND(" ",TRIM(C353)&amp;" ")-1),",","."))+1,9))*12,NA()))),0),45)*'Aturan &amp; Tarif'!$B$4,2)</f>
        <v>2555.1</v>
      </c>
      <c r="K353" s="42" t="n">
        <f aca="false">'Aturan &amp; Tarif'!$B$5</f>
        <v>2050</v>
      </c>
      <c r="L353" s="35" t="n">
        <f aca="false">I353+J353+K353</f>
        <v>7330.1</v>
      </c>
      <c r="M353" s="45" t="s">
        <v>134</v>
      </c>
    </row>
    <row r="354" customFormat="false" ht="14.25" hidden="false" customHeight="true" outlineLevel="0" collapsed="false">
      <c r="A354" s="39"/>
      <c r="B354" s="40" t="s">
        <v>3094</v>
      </c>
      <c r="C354" s="41" t="s">
        <v>107</v>
      </c>
      <c r="D354" s="41" t="s">
        <v>108</v>
      </c>
      <c r="E354" s="42" t="n">
        <v>2250</v>
      </c>
      <c r="F354" s="42" t="n">
        <v>2000</v>
      </c>
      <c r="G354" s="42" t="n">
        <v>350</v>
      </c>
      <c r="H354" s="43" t="n">
        <v>1</v>
      </c>
      <c r="I354" s="34" t="n">
        <f aca="false">E354*H354+N(F354)+N(G354)</f>
        <v>4600</v>
      </c>
      <c r="J354" s="42" t="n">
        <f aca="false">ROUND(IFERROR(ROUND(IF(OR(ISNUMBER(SEARCH("week",C354)),ISNUMBER(SEARCH("minggu",C354))),IFERROR(_xlfn.NUMBERVALUE(SUBSTITUTE(LEFT(TRIM(C354),FIND(" ",TRIM(C354)&amp;" ")-1),",","."),"."),LEFT(SUBSTITUTE(LEFT(TRIM(C354),FIND(" ",TRIM(C354)&amp;" ")-1),",","."),FIND("/",SUBSTITUTE(LEFT(TRIM(C354),FIND(" ",TRIM(C354)&amp;" ")-1),",","."))-1)/MID(SUBSTITUTE(LEFT(TRIM(C354),FIND(" ",TRIM(C354)&amp;" ")-1),",","."),FIND("/",SUBSTITUTE(LEFT(TRIM(C354),FIND(" ",TRIM(C354)&amp;" ")-1),",","."))+1,9))*12/52,IF(ISNUMBER(SEARCH("month",C354)),IFERROR(_xlfn.NUMBERVALUE(SUBSTITUTE(LEFT(TRIM(C354),FIND(" ",TRIM(C354)&amp;" ")-1),",","."),"."),LEFT(SUBSTITUTE(LEFT(TRIM(C354),FIND(" ",TRIM(C354)&amp;" ")-1),",","."),FIND("/",SUBSTITUTE(LEFT(TRIM(C354),FIND(" ",TRIM(C354)&amp;" ")-1),",","."))-1)/MID(SUBSTITUTE(LEFT(TRIM(C354),FIND(" ",TRIM(C354)&amp;" ")-1),",","."),FIND("/",SUBSTITUTE(LEFT(TRIM(C354),FIND(" ",TRIM(C354)&amp;" ")-1),",","."))+1,9)),IF(ISNUMBER(SEARCH("yea",C354)),IFERROR(_xlfn.NUMBERVALUE(SUBSTITUTE(LEFT(TRIM(C354),FIND(" ",TRIM(C354)&amp;" ")-1),",","."),"."),LEFT(SUBSTITUTE(LEFT(TRIM(C354),FIND(" ",TRIM(C354)&amp;" ")-1),",","."),FIND("/",SUBSTITUTE(LEFT(TRIM(C354),FIND(" ",TRIM(C354)&amp;" ")-1),",","."))-1)/MID(SUBSTITUTE(LEFT(TRIM(C354),FIND(" ",TRIM(C354)&amp;" ")-1),",","."),FIND("/",SUBSTITUTE(LEFT(TRIM(C354),FIND(" ",TRIM(C354)&amp;" ")-1),",","."))+1,9))*12,NA()))),0),24)*'Aturan &amp; Tarif'!$B$4,2)</f>
        <v>1362.72</v>
      </c>
      <c r="K354" s="42" t="n">
        <f aca="false">'Aturan &amp; Tarif'!$B$5</f>
        <v>2050</v>
      </c>
      <c r="L354" s="35" t="n">
        <f aca="false">I354+J354+K354</f>
        <v>8012.72</v>
      </c>
      <c r="M354" s="45" t="s">
        <v>134</v>
      </c>
    </row>
    <row r="355" customFormat="false" ht="25.5" hidden="false" customHeight="true" outlineLevel="0" collapsed="false">
      <c r="A355" s="39"/>
      <c r="B355" s="40" t="s">
        <v>881</v>
      </c>
      <c r="C355" s="41" t="s">
        <v>107</v>
      </c>
      <c r="D355" s="41" t="s">
        <v>108</v>
      </c>
      <c r="E355" s="42" t="n">
        <v>2125</v>
      </c>
      <c r="F355" s="42" t="n">
        <v>600</v>
      </c>
      <c r="G355" s="42" t="n">
        <v>300</v>
      </c>
      <c r="H355" s="43" t="n">
        <v>1</v>
      </c>
      <c r="I355" s="34" t="n">
        <f aca="false">E355*H355+N(F355)+N(G355)</f>
        <v>3025</v>
      </c>
      <c r="J355" s="42" t="n">
        <f aca="false">ROUND(IFERROR(ROUND(IF(OR(ISNUMBER(SEARCH("week",C355)),ISNUMBER(SEARCH("minggu",C355))),IFERROR(_xlfn.NUMBERVALUE(SUBSTITUTE(LEFT(TRIM(C355),FIND(" ",TRIM(C355)&amp;" ")-1),",","."),"."),LEFT(SUBSTITUTE(LEFT(TRIM(C355),FIND(" ",TRIM(C355)&amp;" ")-1),",","."),FIND("/",SUBSTITUTE(LEFT(TRIM(C355),FIND(" ",TRIM(C355)&amp;" ")-1),",","."))-1)/MID(SUBSTITUTE(LEFT(TRIM(C355),FIND(" ",TRIM(C355)&amp;" ")-1),",","."),FIND("/",SUBSTITUTE(LEFT(TRIM(C355),FIND(" ",TRIM(C355)&amp;" ")-1),",","."))+1,9))*12/52,IF(ISNUMBER(SEARCH("month",C355)),IFERROR(_xlfn.NUMBERVALUE(SUBSTITUTE(LEFT(TRIM(C355),FIND(" ",TRIM(C355)&amp;" ")-1),",","."),"."),LEFT(SUBSTITUTE(LEFT(TRIM(C355),FIND(" ",TRIM(C355)&amp;" ")-1),",","."),FIND("/",SUBSTITUTE(LEFT(TRIM(C355),FIND(" ",TRIM(C355)&amp;" ")-1),",","."))-1)/MID(SUBSTITUTE(LEFT(TRIM(C355),FIND(" ",TRIM(C355)&amp;" ")-1),",","."),FIND("/",SUBSTITUTE(LEFT(TRIM(C355),FIND(" ",TRIM(C355)&amp;" ")-1),",","."))+1,9)),IF(ISNUMBER(SEARCH("yea",C355)),IFERROR(_xlfn.NUMBERVALUE(SUBSTITUTE(LEFT(TRIM(C355),FIND(" ",TRIM(C355)&amp;" ")-1),",","."),"."),LEFT(SUBSTITUTE(LEFT(TRIM(C355),FIND(" ",TRIM(C355)&amp;" ")-1),",","."),FIND("/",SUBSTITUTE(LEFT(TRIM(C355),FIND(" ",TRIM(C355)&amp;" ")-1),",","."))-1)/MID(SUBSTITUTE(LEFT(TRIM(C355),FIND(" ",TRIM(C355)&amp;" ")-1),",","."),FIND("/",SUBSTITUTE(LEFT(TRIM(C355),FIND(" ",TRIM(C355)&amp;" ")-1),",","."))+1,9))*12,NA()))),0),24)*'Aturan &amp; Tarif'!$B$4,2)</f>
        <v>1362.72</v>
      </c>
      <c r="K355" s="42" t="n">
        <f aca="false">'Aturan &amp; Tarif'!$B$5</f>
        <v>2050</v>
      </c>
      <c r="L355" s="35" t="n">
        <f aca="false">I355+J355+K355</f>
        <v>6437.72</v>
      </c>
      <c r="M355" s="45" t="s">
        <v>134</v>
      </c>
    </row>
    <row r="356" customFormat="false" ht="25.5" hidden="false" customHeight="true" outlineLevel="0" collapsed="false">
      <c r="A356" s="39"/>
      <c r="B356" s="40" t="s">
        <v>430</v>
      </c>
      <c r="C356" s="41" t="s">
        <v>107</v>
      </c>
      <c r="D356" s="41" t="s">
        <v>108</v>
      </c>
      <c r="E356" s="42" t="n">
        <v>2000</v>
      </c>
      <c r="F356" s="42" t="n">
        <v>600</v>
      </c>
      <c r="G356" s="42" t="n">
        <v>350</v>
      </c>
      <c r="H356" s="43" t="n">
        <v>1</v>
      </c>
      <c r="I356" s="34" t="n">
        <f aca="false">E356*H356+N(F356)+N(G356)</f>
        <v>2950</v>
      </c>
      <c r="J356" s="42" t="n">
        <f aca="false">ROUND(IFERROR(ROUND(IF(OR(ISNUMBER(SEARCH("week",C356)),ISNUMBER(SEARCH("minggu",C356))),IFERROR(_xlfn.NUMBERVALUE(SUBSTITUTE(LEFT(TRIM(C356),FIND(" ",TRIM(C356)&amp;" ")-1),",","."),"."),LEFT(SUBSTITUTE(LEFT(TRIM(C356),FIND(" ",TRIM(C356)&amp;" ")-1),",","."),FIND("/",SUBSTITUTE(LEFT(TRIM(C356),FIND(" ",TRIM(C356)&amp;" ")-1),",","."))-1)/MID(SUBSTITUTE(LEFT(TRIM(C356),FIND(" ",TRIM(C356)&amp;" ")-1),",","."),FIND("/",SUBSTITUTE(LEFT(TRIM(C356),FIND(" ",TRIM(C356)&amp;" ")-1),",","."))+1,9))*12/52,IF(ISNUMBER(SEARCH("month",C356)),IFERROR(_xlfn.NUMBERVALUE(SUBSTITUTE(LEFT(TRIM(C356),FIND(" ",TRIM(C356)&amp;" ")-1),",","."),"."),LEFT(SUBSTITUTE(LEFT(TRIM(C356),FIND(" ",TRIM(C356)&amp;" ")-1),",","."),FIND("/",SUBSTITUTE(LEFT(TRIM(C356),FIND(" ",TRIM(C356)&amp;" ")-1),",","."))-1)/MID(SUBSTITUTE(LEFT(TRIM(C356),FIND(" ",TRIM(C356)&amp;" ")-1),",","."),FIND("/",SUBSTITUTE(LEFT(TRIM(C356),FIND(" ",TRIM(C356)&amp;" ")-1),",","."))+1,9)),IF(ISNUMBER(SEARCH("yea",C356)),IFERROR(_xlfn.NUMBERVALUE(SUBSTITUTE(LEFT(TRIM(C356),FIND(" ",TRIM(C356)&amp;" ")-1),",","."),"."),LEFT(SUBSTITUTE(LEFT(TRIM(C356),FIND(" ",TRIM(C356)&amp;" ")-1),",","."),FIND("/",SUBSTITUTE(LEFT(TRIM(C356),FIND(" ",TRIM(C356)&amp;" ")-1),",","."))-1)/MID(SUBSTITUTE(LEFT(TRIM(C356),FIND(" ",TRIM(C356)&amp;" ")-1),",","."),FIND("/",SUBSTITUTE(LEFT(TRIM(C356),FIND(" ",TRIM(C356)&amp;" ")-1),",","."))+1,9))*12,NA()))),0),24)*'Aturan &amp; Tarif'!$B$4,2)</f>
        <v>1362.72</v>
      </c>
      <c r="K356" s="42" t="n">
        <f aca="false">'Aturan &amp; Tarif'!$B$5</f>
        <v>2050</v>
      </c>
      <c r="L356" s="35" t="n">
        <f aca="false">I356+J356+K356</f>
        <v>6362.72</v>
      </c>
      <c r="M356" s="45" t="s">
        <v>134</v>
      </c>
    </row>
    <row r="357" customFormat="false" ht="25.5" hidden="false" customHeight="true" outlineLevel="0" collapsed="false">
      <c r="A357" s="39"/>
      <c r="B357" s="40" t="s">
        <v>148</v>
      </c>
      <c r="C357" s="41" t="s">
        <v>107</v>
      </c>
      <c r="D357" s="41" t="s">
        <v>108</v>
      </c>
      <c r="E357" s="42" t="n">
        <v>2450</v>
      </c>
      <c r="F357" s="42" t="n">
        <v>1500</v>
      </c>
      <c r="G357" s="42" t="n">
        <v>350</v>
      </c>
      <c r="H357" s="43" t="n">
        <v>1</v>
      </c>
      <c r="I357" s="34" t="n">
        <f aca="false">E357*H357+N(F357)+N(G357)</f>
        <v>4300</v>
      </c>
      <c r="J357" s="42" t="n">
        <f aca="false">ROUND(IFERROR(ROUND(IF(OR(ISNUMBER(SEARCH("week",C357)),ISNUMBER(SEARCH("minggu",C357))),IFERROR(_xlfn.NUMBERVALUE(SUBSTITUTE(LEFT(TRIM(C357),FIND(" ",TRIM(C357)&amp;" ")-1),",","."),"."),LEFT(SUBSTITUTE(LEFT(TRIM(C357),FIND(" ",TRIM(C357)&amp;" ")-1),",","."),FIND("/",SUBSTITUTE(LEFT(TRIM(C357),FIND(" ",TRIM(C357)&amp;" ")-1),",","."))-1)/MID(SUBSTITUTE(LEFT(TRIM(C357),FIND(" ",TRIM(C357)&amp;" ")-1),",","."),FIND("/",SUBSTITUTE(LEFT(TRIM(C357),FIND(" ",TRIM(C357)&amp;" ")-1),",","."))+1,9))*12/52,IF(ISNUMBER(SEARCH("month",C357)),IFERROR(_xlfn.NUMBERVALUE(SUBSTITUTE(LEFT(TRIM(C357),FIND(" ",TRIM(C357)&amp;" ")-1),",","."),"."),LEFT(SUBSTITUTE(LEFT(TRIM(C357),FIND(" ",TRIM(C357)&amp;" ")-1),",","."),FIND("/",SUBSTITUTE(LEFT(TRIM(C357),FIND(" ",TRIM(C357)&amp;" ")-1),",","."))-1)/MID(SUBSTITUTE(LEFT(TRIM(C357),FIND(" ",TRIM(C357)&amp;" ")-1),",","."),FIND("/",SUBSTITUTE(LEFT(TRIM(C357),FIND(" ",TRIM(C357)&amp;" ")-1),",","."))+1,9)),IF(ISNUMBER(SEARCH("yea",C357)),IFERROR(_xlfn.NUMBERVALUE(SUBSTITUTE(LEFT(TRIM(C357),FIND(" ",TRIM(C357)&amp;" ")-1),",","."),"."),LEFT(SUBSTITUTE(LEFT(TRIM(C357),FIND(" ",TRIM(C357)&amp;" ")-1),",","."),FIND("/",SUBSTITUTE(LEFT(TRIM(C357),FIND(" ",TRIM(C357)&amp;" ")-1),",","."))-1)/MID(SUBSTITUTE(LEFT(TRIM(C357),FIND(" ",TRIM(C357)&amp;" ")-1),",","."),FIND("/",SUBSTITUTE(LEFT(TRIM(C357),FIND(" ",TRIM(C357)&amp;" ")-1),",","."))+1,9))*12,NA()))),0),24)*'Aturan &amp; Tarif'!$B$4,2)</f>
        <v>1362.72</v>
      </c>
      <c r="K357" s="42" t="n">
        <f aca="false">'Aturan &amp; Tarif'!$B$5</f>
        <v>2050</v>
      </c>
      <c r="L357" s="35" t="n">
        <f aca="false">I357+J357+K357</f>
        <v>7712.72</v>
      </c>
      <c r="M357" s="45" t="s">
        <v>134</v>
      </c>
    </row>
    <row r="358" customFormat="false" ht="48.75" hidden="false" customHeight="true" outlineLevel="0" collapsed="false">
      <c r="A358" s="29" t="s">
        <v>1981</v>
      </c>
      <c r="B358" s="30" t="s">
        <v>879</v>
      </c>
      <c r="C358" s="31" t="s">
        <v>878</v>
      </c>
      <c r="D358" s="31" t="s">
        <v>108</v>
      </c>
      <c r="E358" s="32" t="n">
        <v>1500</v>
      </c>
      <c r="F358" s="32" t="n">
        <v>400</v>
      </c>
      <c r="G358" s="32" t="n">
        <v>100</v>
      </c>
      <c r="H358" s="33" t="n">
        <v>1</v>
      </c>
      <c r="I358" s="34" t="n">
        <f aca="false">E358*H358+N(F358)+N(G358)</f>
        <v>2000</v>
      </c>
      <c r="J358" s="32" t="n">
        <f aca="false">ROUND(IFERROR(ROUND(IF(OR(ISNUMBER(SEARCH("week",C358)),ISNUMBER(SEARCH("minggu",C358))),IFERROR(_xlfn.NUMBERVALUE(SUBSTITUTE(LEFT(TRIM(C358),FIND(" ",TRIM(C358)&amp;" ")-1),",","."),"."),LEFT(SUBSTITUTE(LEFT(TRIM(C358),FIND(" ",TRIM(C358)&amp;" ")-1),",","."),FIND("/",SUBSTITUTE(LEFT(TRIM(C358),FIND(" ",TRIM(C358)&amp;" ")-1),",","."))-1)/MID(SUBSTITUTE(LEFT(TRIM(C358),FIND(" ",TRIM(C358)&amp;" ")-1),",","."),FIND("/",SUBSTITUTE(LEFT(TRIM(C358),FIND(" ",TRIM(C358)&amp;" ")-1),",","."))+1,9))*12/52,IF(ISNUMBER(SEARCH("month",C358)),IFERROR(_xlfn.NUMBERVALUE(SUBSTITUTE(LEFT(TRIM(C358),FIND(" ",TRIM(C358)&amp;" ")-1),",","."),"."),LEFT(SUBSTITUTE(LEFT(TRIM(C358),FIND(" ",TRIM(C358)&amp;" ")-1),",","."),FIND("/",SUBSTITUTE(LEFT(TRIM(C358),FIND(" ",TRIM(C358)&amp;" ")-1),",","."))-1)/MID(SUBSTITUTE(LEFT(TRIM(C358),FIND(" ",TRIM(C358)&amp;" ")-1),",","."),FIND("/",SUBSTITUTE(LEFT(TRIM(C358),FIND(" ",TRIM(C358)&amp;" ")-1),",","."))+1,9)),IF(ISNUMBER(SEARCH("yea",C358)),IFERROR(_xlfn.NUMBERVALUE(SUBSTITUTE(LEFT(TRIM(C358),FIND(" ",TRIM(C358)&amp;" ")-1),",","."),"."),LEFT(SUBSTITUTE(LEFT(TRIM(C358),FIND(" ",TRIM(C358)&amp;" ")-1),",","."),FIND("/",SUBSTITUTE(LEFT(TRIM(C358),FIND(" ",TRIM(C358)&amp;" ")-1),",","."))-1)/MID(SUBSTITUTE(LEFT(TRIM(C358),FIND(" ",TRIM(C358)&amp;" ")-1),",","."),FIND("/",SUBSTITUTE(LEFT(TRIM(C358),FIND(" ",TRIM(C358)&amp;" ")-1),",","."))+1,9))*12,NA()))),0),20)*'Aturan &amp; Tarif'!$B$4,2)</f>
        <v>1135.6</v>
      </c>
      <c r="K358" s="32" t="n">
        <f aca="false">'Aturan &amp; Tarif'!$B$5</f>
        <v>2050</v>
      </c>
      <c r="L358" s="35" t="n">
        <f aca="false">I358+J358+K358</f>
        <v>5185.6</v>
      </c>
      <c r="M358" s="37" t="s">
        <v>3095</v>
      </c>
    </row>
    <row r="359" customFormat="false" ht="14.25" hidden="false" customHeight="true" outlineLevel="0" collapsed="false">
      <c r="A359" s="29"/>
      <c r="B359" s="30" t="s">
        <v>880</v>
      </c>
      <c r="C359" s="31" t="s">
        <v>107</v>
      </c>
      <c r="D359" s="31" t="s">
        <v>108</v>
      </c>
      <c r="E359" s="32" t="n">
        <v>1450</v>
      </c>
      <c r="F359" s="32" t="n">
        <v>400</v>
      </c>
      <c r="G359" s="32" t="n">
        <v>100</v>
      </c>
      <c r="H359" s="33" t="n">
        <v>1</v>
      </c>
      <c r="I359" s="34" t="n">
        <f aca="false">E359*H359+N(F359)+N(G359)</f>
        <v>1950</v>
      </c>
      <c r="J359" s="32" t="n">
        <f aca="false">ROUND(IFERROR(ROUND(IF(OR(ISNUMBER(SEARCH("week",C359)),ISNUMBER(SEARCH("minggu",C359))),IFERROR(_xlfn.NUMBERVALUE(SUBSTITUTE(LEFT(TRIM(C359),FIND(" ",TRIM(C359)&amp;" ")-1),",","."),"."),LEFT(SUBSTITUTE(LEFT(TRIM(C359),FIND(" ",TRIM(C359)&amp;" ")-1),",","."),FIND("/",SUBSTITUTE(LEFT(TRIM(C359),FIND(" ",TRIM(C359)&amp;" ")-1),",","."))-1)/MID(SUBSTITUTE(LEFT(TRIM(C359),FIND(" ",TRIM(C359)&amp;" ")-1),",","."),FIND("/",SUBSTITUTE(LEFT(TRIM(C359),FIND(" ",TRIM(C359)&amp;" ")-1),",","."))+1,9))*12/52,IF(ISNUMBER(SEARCH("month",C359)),IFERROR(_xlfn.NUMBERVALUE(SUBSTITUTE(LEFT(TRIM(C359),FIND(" ",TRIM(C359)&amp;" ")-1),",","."),"."),LEFT(SUBSTITUTE(LEFT(TRIM(C359),FIND(" ",TRIM(C359)&amp;" ")-1),",","."),FIND("/",SUBSTITUTE(LEFT(TRIM(C359),FIND(" ",TRIM(C359)&amp;" ")-1),",","."))-1)/MID(SUBSTITUTE(LEFT(TRIM(C359),FIND(" ",TRIM(C359)&amp;" ")-1),",","."),FIND("/",SUBSTITUTE(LEFT(TRIM(C359),FIND(" ",TRIM(C359)&amp;" ")-1),",","."))+1,9)),IF(ISNUMBER(SEARCH("yea",C359)),IFERROR(_xlfn.NUMBERVALUE(SUBSTITUTE(LEFT(TRIM(C359),FIND(" ",TRIM(C359)&amp;" ")-1),",","."),"."),LEFT(SUBSTITUTE(LEFT(TRIM(C359),FIND(" ",TRIM(C359)&amp;" ")-1),",","."),FIND("/",SUBSTITUTE(LEFT(TRIM(C359),FIND(" ",TRIM(C359)&amp;" ")-1),",","."))-1)/MID(SUBSTITUTE(LEFT(TRIM(C359),FIND(" ",TRIM(C359)&amp;" ")-1),",","."),FIND("/",SUBSTITUTE(LEFT(TRIM(C359),FIND(" ",TRIM(C359)&amp;" ")-1),",","."))+1,9))*12,NA()))),0),24)*'Aturan &amp; Tarif'!$B$4,2)</f>
        <v>1362.72</v>
      </c>
      <c r="K359" s="32" t="n">
        <f aca="false">'Aturan &amp; Tarif'!$B$5</f>
        <v>2050</v>
      </c>
      <c r="L359" s="35" t="n">
        <f aca="false">I359+J359+K359</f>
        <v>5362.72</v>
      </c>
      <c r="M359" s="37" t="s">
        <v>3095</v>
      </c>
    </row>
    <row r="360" customFormat="false" ht="25.5" hidden="false" customHeight="true" outlineLevel="0" collapsed="false">
      <c r="A360" s="29"/>
      <c r="B360" s="30" t="s">
        <v>1982</v>
      </c>
      <c r="C360" s="31" t="s">
        <v>878</v>
      </c>
      <c r="D360" s="31" t="s">
        <v>108</v>
      </c>
      <c r="E360" s="32" t="n">
        <v>2150</v>
      </c>
      <c r="F360" s="32" t="n">
        <v>400</v>
      </c>
      <c r="G360" s="32" t="n">
        <v>100</v>
      </c>
      <c r="H360" s="33" t="n">
        <v>1</v>
      </c>
      <c r="I360" s="34" t="n">
        <f aca="false">E360*H360+N(F360)+N(G360)</f>
        <v>2650</v>
      </c>
      <c r="J360" s="32" t="n">
        <f aca="false">ROUND(IFERROR(ROUND(IF(OR(ISNUMBER(SEARCH("week",C360)),ISNUMBER(SEARCH("minggu",C360))),IFERROR(_xlfn.NUMBERVALUE(SUBSTITUTE(LEFT(TRIM(C360),FIND(" ",TRIM(C360)&amp;" ")-1),",","."),"."),LEFT(SUBSTITUTE(LEFT(TRIM(C360),FIND(" ",TRIM(C360)&amp;" ")-1),",","."),FIND("/",SUBSTITUTE(LEFT(TRIM(C360),FIND(" ",TRIM(C360)&amp;" ")-1),",","."))-1)/MID(SUBSTITUTE(LEFT(TRIM(C360),FIND(" ",TRIM(C360)&amp;" ")-1),",","."),FIND("/",SUBSTITUTE(LEFT(TRIM(C360),FIND(" ",TRIM(C360)&amp;" ")-1),",","."))+1,9))*12/52,IF(ISNUMBER(SEARCH("month",C360)),IFERROR(_xlfn.NUMBERVALUE(SUBSTITUTE(LEFT(TRIM(C360),FIND(" ",TRIM(C360)&amp;" ")-1),",","."),"."),LEFT(SUBSTITUTE(LEFT(TRIM(C360),FIND(" ",TRIM(C360)&amp;" ")-1),",","."),FIND("/",SUBSTITUTE(LEFT(TRIM(C360),FIND(" ",TRIM(C360)&amp;" ")-1),",","."))-1)/MID(SUBSTITUTE(LEFT(TRIM(C360),FIND(" ",TRIM(C360)&amp;" ")-1),",","."),FIND("/",SUBSTITUTE(LEFT(TRIM(C360),FIND(" ",TRIM(C360)&amp;" ")-1),",","."))+1,9)),IF(ISNUMBER(SEARCH("yea",C360)),IFERROR(_xlfn.NUMBERVALUE(SUBSTITUTE(LEFT(TRIM(C360),FIND(" ",TRIM(C360)&amp;" ")-1),",","."),"."),LEFT(SUBSTITUTE(LEFT(TRIM(C360),FIND(" ",TRIM(C360)&amp;" ")-1),",","."),FIND("/",SUBSTITUTE(LEFT(TRIM(C360),FIND(" ",TRIM(C360)&amp;" ")-1),",","."))-1)/MID(SUBSTITUTE(LEFT(TRIM(C360),FIND(" ",TRIM(C360)&amp;" ")-1),",","."),FIND("/",SUBSTITUTE(LEFT(TRIM(C360),FIND(" ",TRIM(C360)&amp;" ")-1),",","."))+1,9))*12,NA()))),0),20)*'Aturan &amp; Tarif'!$B$4,2)</f>
        <v>1135.6</v>
      </c>
      <c r="K360" s="32" t="n">
        <f aca="false">'Aturan &amp; Tarif'!$B$5</f>
        <v>2050</v>
      </c>
      <c r="L360" s="35" t="n">
        <f aca="false">I360+J360+K360</f>
        <v>5835.6</v>
      </c>
      <c r="M360" s="37" t="s">
        <v>3095</v>
      </c>
    </row>
    <row r="361" customFormat="false" ht="37.5" hidden="false" customHeight="true" outlineLevel="0" collapsed="false">
      <c r="A361" s="29"/>
      <c r="B361" s="30" t="s">
        <v>3096</v>
      </c>
      <c r="C361" s="31" t="s">
        <v>138</v>
      </c>
      <c r="D361" s="31" t="s">
        <v>108</v>
      </c>
      <c r="E361" s="32" t="n">
        <v>1750</v>
      </c>
      <c r="F361" s="32" t="n">
        <v>600</v>
      </c>
      <c r="G361" s="32" t="n">
        <v>100</v>
      </c>
      <c r="H361" s="33" t="n">
        <v>1</v>
      </c>
      <c r="I361" s="34" t="n">
        <f aca="false">E361*H361+N(F361)+N(G361)</f>
        <v>2450</v>
      </c>
      <c r="J361" s="32" t="n">
        <f aca="false">ROUND(IFERROR(ROUND(IF(OR(ISNUMBER(SEARCH("week",C361)),ISNUMBER(SEARCH("minggu",C361))),IFERROR(_xlfn.NUMBERVALUE(SUBSTITUTE(LEFT(TRIM(C361),FIND(" ",TRIM(C361)&amp;" ")-1),",","."),"."),LEFT(SUBSTITUTE(LEFT(TRIM(C361),FIND(" ",TRIM(C361)&amp;" ")-1),",","."),FIND("/",SUBSTITUTE(LEFT(TRIM(C361),FIND(" ",TRIM(C361)&amp;" ")-1),",","."))-1)/MID(SUBSTITUTE(LEFT(TRIM(C361),FIND(" ",TRIM(C361)&amp;" ")-1),",","."),FIND("/",SUBSTITUTE(LEFT(TRIM(C361),FIND(" ",TRIM(C361)&amp;" ")-1),",","."))+1,9))*12/52,IF(ISNUMBER(SEARCH("month",C361)),IFERROR(_xlfn.NUMBERVALUE(SUBSTITUTE(LEFT(TRIM(C361),FIND(" ",TRIM(C361)&amp;" ")-1),",","."),"."),LEFT(SUBSTITUTE(LEFT(TRIM(C361),FIND(" ",TRIM(C361)&amp;" ")-1),",","."),FIND("/",SUBSTITUTE(LEFT(TRIM(C361),FIND(" ",TRIM(C361)&amp;" ")-1),",","."))-1)/MID(SUBSTITUTE(LEFT(TRIM(C361),FIND(" ",TRIM(C361)&amp;" ")-1),",","."),FIND("/",SUBSTITUTE(LEFT(TRIM(C361),FIND(" ",TRIM(C361)&amp;" ")-1),",","."))+1,9)),IF(ISNUMBER(SEARCH("yea",C361)),IFERROR(_xlfn.NUMBERVALUE(SUBSTITUTE(LEFT(TRIM(C361),FIND(" ",TRIM(C361)&amp;" ")-1),",","."),"."),LEFT(SUBSTITUTE(LEFT(TRIM(C361),FIND(" ",TRIM(C361)&amp;" ")-1),",","."),FIND("/",SUBSTITUTE(LEFT(TRIM(C361),FIND(" ",TRIM(C361)&amp;" ")-1),",","."))-1)/MID(SUBSTITUTE(LEFT(TRIM(C361),FIND(" ",TRIM(C361)&amp;" ")-1),",","."),FIND("/",SUBSTITUTE(LEFT(TRIM(C361),FIND(" ",TRIM(C361)&amp;" ")-1),",","."))+1,9))*12,NA()))),0),30)*'Aturan &amp; Tarif'!$B$4,2)</f>
        <v>1703.4</v>
      </c>
      <c r="K361" s="32" t="n">
        <f aca="false">'Aturan &amp; Tarif'!$B$5</f>
        <v>2050</v>
      </c>
      <c r="L361" s="35" t="n">
        <f aca="false">I361+J361+K361</f>
        <v>6203.4</v>
      </c>
      <c r="M361" s="37" t="s">
        <v>3095</v>
      </c>
    </row>
    <row r="362" customFormat="false" ht="48.75" hidden="false" customHeight="true" outlineLevel="0" collapsed="false">
      <c r="A362" s="29" t="s">
        <v>1983</v>
      </c>
      <c r="B362" s="30" t="s">
        <v>1984</v>
      </c>
      <c r="C362" s="31" t="s">
        <v>127</v>
      </c>
      <c r="D362" s="31" t="s">
        <v>108</v>
      </c>
      <c r="E362" s="32" t="n">
        <v>1500</v>
      </c>
      <c r="F362" s="32" t="n">
        <v>100</v>
      </c>
      <c r="G362" s="32" t="n">
        <v>200</v>
      </c>
      <c r="H362" s="33" t="n">
        <v>1</v>
      </c>
      <c r="I362" s="34" t="n">
        <f aca="false">E362*H362+N(F362)+N(G362)</f>
        <v>1800</v>
      </c>
      <c r="J362" s="32" t="n">
        <f aca="false">ROUND(IFERROR(ROUND(IF(OR(ISNUMBER(SEARCH("week",C362)),ISNUMBER(SEARCH("minggu",C362))),IFERROR(_xlfn.NUMBERVALUE(SUBSTITUTE(LEFT(TRIM(C362),FIND(" ",TRIM(C362)&amp;" ")-1),",","."),"."),LEFT(SUBSTITUTE(LEFT(TRIM(C362),FIND(" ",TRIM(C362)&amp;" ")-1),",","."),FIND("/",SUBSTITUTE(LEFT(TRIM(C362),FIND(" ",TRIM(C362)&amp;" ")-1),",","."))-1)/MID(SUBSTITUTE(LEFT(TRIM(C362),FIND(" ",TRIM(C362)&amp;" ")-1),",","."),FIND("/",SUBSTITUTE(LEFT(TRIM(C362),FIND(" ",TRIM(C362)&amp;" ")-1),",","."))+1,9))*12/52,IF(ISNUMBER(SEARCH("month",C362)),IFERROR(_xlfn.NUMBERVALUE(SUBSTITUTE(LEFT(TRIM(C362),FIND(" ",TRIM(C362)&amp;" ")-1),",","."),"."),LEFT(SUBSTITUTE(LEFT(TRIM(C362),FIND(" ",TRIM(C362)&amp;" ")-1),",","."),FIND("/",SUBSTITUTE(LEFT(TRIM(C362),FIND(" ",TRIM(C362)&amp;" ")-1),",","."))-1)/MID(SUBSTITUTE(LEFT(TRIM(C362),FIND(" ",TRIM(C362)&amp;" ")-1),",","."),FIND("/",SUBSTITUTE(LEFT(TRIM(C362),FIND(" ",TRIM(C362)&amp;" ")-1),",","."))+1,9)),IF(ISNUMBER(SEARCH("yea",C362)),IFERROR(_xlfn.NUMBERVALUE(SUBSTITUTE(LEFT(TRIM(C362),FIND(" ",TRIM(C362)&amp;" ")-1),",","."),"."),LEFT(SUBSTITUTE(LEFT(TRIM(C362),FIND(" ",TRIM(C362)&amp;" ")-1),",","."),FIND("/",SUBSTITUTE(LEFT(TRIM(C362),FIND(" ",TRIM(C362)&amp;" ")-1),",","."))-1)/MID(SUBSTITUTE(LEFT(TRIM(C362),FIND(" ",TRIM(C362)&amp;" ")-1),",","."),FIND("/",SUBSTITUTE(LEFT(TRIM(C362),FIND(" ",TRIM(C362)&amp;" ")-1),",","."))+1,9))*12,NA()))),0),36)*'Aturan &amp; Tarif'!$B$4,2)</f>
        <v>2044.08</v>
      </c>
      <c r="K362" s="32" t="n">
        <f aca="false">'Aturan &amp; Tarif'!$B$5</f>
        <v>2050</v>
      </c>
      <c r="L362" s="35" t="n">
        <f aca="false">I362+J362+K362</f>
        <v>5894.08</v>
      </c>
      <c r="M362" s="36" t="s">
        <v>3097</v>
      </c>
    </row>
    <row r="363" customFormat="false" ht="14.25" hidden="false" customHeight="true" outlineLevel="0" collapsed="false">
      <c r="A363" s="29"/>
      <c r="B363" s="30" t="s">
        <v>1986</v>
      </c>
      <c r="C363" s="31" t="s">
        <v>1987</v>
      </c>
      <c r="D363" s="31" t="s">
        <v>108</v>
      </c>
      <c r="E363" s="32" t="n">
        <v>1750</v>
      </c>
      <c r="F363" s="32" t="n">
        <v>100</v>
      </c>
      <c r="G363" s="32" t="n">
        <v>200</v>
      </c>
      <c r="H363" s="33" t="n">
        <v>1</v>
      </c>
      <c r="I363" s="34" t="n">
        <f aca="false">E363*H363+N(F363)+N(G363)</f>
        <v>2050</v>
      </c>
      <c r="J363" s="32" t="n">
        <f aca="false">ROUND(IFERROR(ROUND(IF(OR(ISNUMBER(SEARCH("week",C363)),ISNUMBER(SEARCH("minggu",C363))),IFERROR(_xlfn.NUMBERVALUE(SUBSTITUTE(LEFT(TRIM(C363),FIND(" ",TRIM(C363)&amp;" ")-1),",","."),"."),LEFT(SUBSTITUTE(LEFT(TRIM(C363),FIND(" ",TRIM(C363)&amp;" ")-1),",","."),FIND("/",SUBSTITUTE(LEFT(TRIM(C363),FIND(" ",TRIM(C363)&amp;" ")-1),",","."))-1)/MID(SUBSTITUTE(LEFT(TRIM(C363),FIND(" ",TRIM(C363)&amp;" ")-1),",","."),FIND("/",SUBSTITUTE(LEFT(TRIM(C363),FIND(" ",TRIM(C363)&amp;" ")-1),",","."))+1,9))*12/52,IF(ISNUMBER(SEARCH("month",C363)),IFERROR(_xlfn.NUMBERVALUE(SUBSTITUTE(LEFT(TRIM(C363),FIND(" ",TRIM(C363)&amp;" ")-1),",","."),"."),LEFT(SUBSTITUTE(LEFT(TRIM(C363),FIND(" ",TRIM(C363)&amp;" ")-1),",","."),FIND("/",SUBSTITUTE(LEFT(TRIM(C363),FIND(" ",TRIM(C363)&amp;" ")-1),",","."))-1)/MID(SUBSTITUTE(LEFT(TRIM(C363),FIND(" ",TRIM(C363)&amp;" ")-1),",","."),FIND("/",SUBSTITUTE(LEFT(TRIM(C363),FIND(" ",TRIM(C363)&amp;" ")-1),",","."))+1,9)),IF(ISNUMBER(SEARCH("yea",C363)),IFERROR(_xlfn.NUMBERVALUE(SUBSTITUTE(LEFT(TRIM(C363),FIND(" ",TRIM(C363)&amp;" ")-1),",","."),"."),LEFT(SUBSTITUTE(LEFT(TRIM(C363),FIND(" ",TRIM(C363)&amp;" ")-1),",","."),FIND("/",SUBSTITUTE(LEFT(TRIM(C363),FIND(" ",TRIM(C363)&amp;" ")-1),",","."))-1)/MID(SUBSTITUTE(LEFT(TRIM(C363),FIND(" ",TRIM(C363)&amp;" ")-1),",","."),FIND("/",SUBSTITUTE(LEFT(TRIM(C363),FIND(" ",TRIM(C363)&amp;" ")-1),",","."))+1,9))*12,NA()))),0),42)*'Aturan &amp; Tarif'!$B$4,2)</f>
        <v>2384.76</v>
      </c>
      <c r="K363" s="32" t="n">
        <f aca="false">'Aturan &amp; Tarif'!$B$5</f>
        <v>2050</v>
      </c>
      <c r="L363" s="35" t="n">
        <f aca="false">I363+J363+K363</f>
        <v>6484.76</v>
      </c>
      <c r="M363" s="37" t="s">
        <v>3098</v>
      </c>
    </row>
    <row r="364" customFormat="false" ht="25.5" hidden="false" customHeight="true" outlineLevel="0" collapsed="false">
      <c r="A364" s="39" t="s">
        <v>3099</v>
      </c>
      <c r="B364" s="40" t="s">
        <v>471</v>
      </c>
      <c r="C364" s="41" t="s">
        <v>130</v>
      </c>
      <c r="D364" s="41" t="s">
        <v>108</v>
      </c>
      <c r="E364" s="42" t="n">
        <v>3000</v>
      </c>
      <c r="F364" s="42"/>
      <c r="G364" s="42" t="n">
        <v>250</v>
      </c>
      <c r="H364" s="43" t="n">
        <v>1</v>
      </c>
      <c r="I364" s="34" t="n">
        <f aca="false">E364*H364+N(F364)+N(G364)</f>
        <v>3250</v>
      </c>
      <c r="J364" s="42" t="n">
        <f aca="false">ROUND(IFERROR(ROUND(IF(OR(ISNUMBER(SEARCH("week",C364)),ISNUMBER(SEARCH("minggu",C364))),IFERROR(_xlfn.NUMBERVALUE(SUBSTITUTE(LEFT(TRIM(C364),FIND(" ",TRIM(C364)&amp;" ")-1),",","."),"."),LEFT(SUBSTITUTE(LEFT(TRIM(C364),FIND(" ",TRIM(C364)&amp;" ")-1),",","."),FIND("/",SUBSTITUTE(LEFT(TRIM(C364),FIND(" ",TRIM(C364)&amp;" ")-1),",","."))-1)/MID(SUBSTITUTE(LEFT(TRIM(C364),FIND(" ",TRIM(C364)&amp;" ")-1),",","."),FIND("/",SUBSTITUTE(LEFT(TRIM(C364),FIND(" ",TRIM(C364)&amp;" ")-1),",","."))+1,9))*12/52,IF(ISNUMBER(SEARCH("month",C364)),IFERROR(_xlfn.NUMBERVALUE(SUBSTITUTE(LEFT(TRIM(C364),FIND(" ",TRIM(C364)&amp;" ")-1),",","."),"."),LEFT(SUBSTITUTE(LEFT(TRIM(C364),FIND(" ",TRIM(C364)&amp;" ")-1),",","."),FIND("/",SUBSTITUTE(LEFT(TRIM(C364),FIND(" ",TRIM(C364)&amp;" ")-1),",","."))-1)/MID(SUBSTITUTE(LEFT(TRIM(C364),FIND(" ",TRIM(C364)&amp;" ")-1),",","."),FIND("/",SUBSTITUTE(LEFT(TRIM(C364),FIND(" ",TRIM(C364)&amp;" ")-1),",","."))+1,9)),IF(ISNUMBER(SEARCH("yea",C364)),IFERROR(_xlfn.NUMBERVALUE(SUBSTITUTE(LEFT(TRIM(C364),FIND(" ",TRIM(C364)&amp;" ")-1),",","."),"."),LEFT(SUBSTITUTE(LEFT(TRIM(C364),FIND(" ",TRIM(C364)&amp;" ")-1),",","."),FIND("/",SUBSTITUTE(LEFT(TRIM(C364),FIND(" ",TRIM(C364)&amp;" ")-1),",","."))-1)/MID(SUBSTITUTE(LEFT(TRIM(C364),FIND(" ",TRIM(C364)&amp;" ")-1),",","."),FIND("/",SUBSTITUTE(LEFT(TRIM(C364),FIND(" ",TRIM(C364)&amp;" ")-1),",","."))+1,9))*12,NA()))),0),12)*'Aturan &amp; Tarif'!$B$4,2)</f>
        <v>681.36</v>
      </c>
      <c r="K364" s="42" t="n">
        <f aca="false">'Aturan &amp; Tarif'!$B$5</f>
        <v>2050</v>
      </c>
      <c r="L364" s="35" t="n">
        <f aca="false">I364+J364+K364</f>
        <v>5981.36</v>
      </c>
      <c r="M364" s="45" t="s">
        <v>1653</v>
      </c>
    </row>
    <row r="365" customFormat="false" ht="25.5" hidden="false" customHeight="true" outlineLevel="0" collapsed="false">
      <c r="A365" s="39"/>
      <c r="B365" s="40" t="s">
        <v>907</v>
      </c>
      <c r="C365" s="41" t="s">
        <v>130</v>
      </c>
      <c r="D365" s="41" t="s">
        <v>108</v>
      </c>
      <c r="E365" s="42" t="n">
        <v>3000</v>
      </c>
      <c r="F365" s="42"/>
      <c r="G365" s="42" t="n">
        <v>250</v>
      </c>
      <c r="H365" s="43" t="n">
        <v>1</v>
      </c>
      <c r="I365" s="34" t="n">
        <f aca="false">E365*H365+N(F365)+N(G365)</f>
        <v>3250</v>
      </c>
      <c r="J365" s="42" t="n">
        <f aca="false">ROUND(IFERROR(ROUND(IF(OR(ISNUMBER(SEARCH("week",C365)),ISNUMBER(SEARCH("minggu",C365))),IFERROR(_xlfn.NUMBERVALUE(SUBSTITUTE(LEFT(TRIM(C365),FIND(" ",TRIM(C365)&amp;" ")-1),",","."),"."),LEFT(SUBSTITUTE(LEFT(TRIM(C365),FIND(" ",TRIM(C365)&amp;" ")-1),",","."),FIND("/",SUBSTITUTE(LEFT(TRIM(C365),FIND(" ",TRIM(C365)&amp;" ")-1),",","."))-1)/MID(SUBSTITUTE(LEFT(TRIM(C365),FIND(" ",TRIM(C365)&amp;" ")-1),",","."),FIND("/",SUBSTITUTE(LEFT(TRIM(C365),FIND(" ",TRIM(C365)&amp;" ")-1),",","."))+1,9))*12/52,IF(ISNUMBER(SEARCH("month",C365)),IFERROR(_xlfn.NUMBERVALUE(SUBSTITUTE(LEFT(TRIM(C365),FIND(" ",TRIM(C365)&amp;" ")-1),",","."),"."),LEFT(SUBSTITUTE(LEFT(TRIM(C365),FIND(" ",TRIM(C365)&amp;" ")-1),",","."),FIND("/",SUBSTITUTE(LEFT(TRIM(C365),FIND(" ",TRIM(C365)&amp;" ")-1),",","."))-1)/MID(SUBSTITUTE(LEFT(TRIM(C365),FIND(" ",TRIM(C365)&amp;" ")-1),",","."),FIND("/",SUBSTITUTE(LEFT(TRIM(C365),FIND(" ",TRIM(C365)&amp;" ")-1),",","."))+1,9)),IF(ISNUMBER(SEARCH("yea",C365)),IFERROR(_xlfn.NUMBERVALUE(SUBSTITUTE(LEFT(TRIM(C365),FIND(" ",TRIM(C365)&amp;" ")-1),",","."),"."),LEFT(SUBSTITUTE(LEFT(TRIM(C365),FIND(" ",TRIM(C365)&amp;" ")-1),",","."),FIND("/",SUBSTITUTE(LEFT(TRIM(C365),FIND(" ",TRIM(C365)&amp;" ")-1),",","."))-1)/MID(SUBSTITUTE(LEFT(TRIM(C365),FIND(" ",TRIM(C365)&amp;" ")-1),",","."),FIND("/",SUBSTITUTE(LEFT(TRIM(C365),FIND(" ",TRIM(C365)&amp;" ")-1),",","."))+1,9))*12,NA()))),0),12)*'Aturan &amp; Tarif'!$B$4,2)</f>
        <v>681.36</v>
      </c>
      <c r="K365" s="42" t="n">
        <f aca="false">'Aturan &amp; Tarif'!$B$5</f>
        <v>2050</v>
      </c>
      <c r="L365" s="35" t="n">
        <f aca="false">I365+J365+K365</f>
        <v>5981.36</v>
      </c>
      <c r="M365" s="45" t="s">
        <v>1653</v>
      </c>
    </row>
    <row r="366" customFormat="false" ht="25.5" hidden="false" customHeight="true" outlineLevel="0" collapsed="false">
      <c r="A366" s="39"/>
      <c r="B366" s="40" t="s">
        <v>502</v>
      </c>
      <c r="C366" s="41" t="s">
        <v>130</v>
      </c>
      <c r="D366" s="41" t="s">
        <v>108</v>
      </c>
      <c r="E366" s="42" t="n">
        <v>3000</v>
      </c>
      <c r="F366" s="42"/>
      <c r="G366" s="42" t="n">
        <v>250</v>
      </c>
      <c r="H366" s="43" t="n">
        <v>1</v>
      </c>
      <c r="I366" s="34" t="n">
        <f aca="false">E366*H366+N(F366)+N(G366)</f>
        <v>3250</v>
      </c>
      <c r="J366" s="42" t="n">
        <f aca="false">ROUND(IFERROR(ROUND(IF(OR(ISNUMBER(SEARCH("week",C366)),ISNUMBER(SEARCH("minggu",C366))),IFERROR(_xlfn.NUMBERVALUE(SUBSTITUTE(LEFT(TRIM(C366),FIND(" ",TRIM(C366)&amp;" ")-1),",","."),"."),LEFT(SUBSTITUTE(LEFT(TRIM(C366),FIND(" ",TRIM(C366)&amp;" ")-1),",","."),FIND("/",SUBSTITUTE(LEFT(TRIM(C366),FIND(" ",TRIM(C366)&amp;" ")-1),",","."))-1)/MID(SUBSTITUTE(LEFT(TRIM(C366),FIND(" ",TRIM(C366)&amp;" ")-1),",","."),FIND("/",SUBSTITUTE(LEFT(TRIM(C366),FIND(" ",TRIM(C366)&amp;" ")-1),",","."))+1,9))*12/52,IF(ISNUMBER(SEARCH("month",C366)),IFERROR(_xlfn.NUMBERVALUE(SUBSTITUTE(LEFT(TRIM(C366),FIND(" ",TRIM(C366)&amp;" ")-1),",","."),"."),LEFT(SUBSTITUTE(LEFT(TRIM(C366),FIND(" ",TRIM(C366)&amp;" ")-1),",","."),FIND("/",SUBSTITUTE(LEFT(TRIM(C366),FIND(" ",TRIM(C366)&amp;" ")-1),",","."))-1)/MID(SUBSTITUTE(LEFT(TRIM(C366),FIND(" ",TRIM(C366)&amp;" ")-1),",","."),FIND("/",SUBSTITUTE(LEFT(TRIM(C366),FIND(" ",TRIM(C366)&amp;" ")-1),",","."))+1,9)),IF(ISNUMBER(SEARCH("yea",C366)),IFERROR(_xlfn.NUMBERVALUE(SUBSTITUTE(LEFT(TRIM(C366),FIND(" ",TRIM(C366)&amp;" ")-1),",","."),"."),LEFT(SUBSTITUTE(LEFT(TRIM(C366),FIND(" ",TRIM(C366)&amp;" ")-1),",","."),FIND("/",SUBSTITUTE(LEFT(TRIM(C366),FIND(" ",TRIM(C366)&amp;" ")-1),",","."))-1)/MID(SUBSTITUTE(LEFT(TRIM(C366),FIND(" ",TRIM(C366)&amp;" ")-1),",","."),FIND("/",SUBSTITUTE(LEFT(TRIM(C366),FIND(" ",TRIM(C366)&amp;" ")-1),",","."))+1,9))*12,NA()))),0),12)*'Aturan &amp; Tarif'!$B$4,2)</f>
        <v>681.36</v>
      </c>
      <c r="K366" s="42" t="n">
        <f aca="false">'Aturan &amp; Tarif'!$B$5</f>
        <v>2050</v>
      </c>
      <c r="L366" s="35" t="n">
        <f aca="false">I366+J366+K366</f>
        <v>5981.36</v>
      </c>
      <c r="M366" s="45" t="s">
        <v>1653</v>
      </c>
    </row>
    <row r="367" customFormat="false" ht="25.5" hidden="false" customHeight="true" outlineLevel="0" collapsed="false">
      <c r="A367" s="39"/>
      <c r="B367" s="40" t="s">
        <v>767</v>
      </c>
      <c r="C367" s="41" t="s">
        <v>113</v>
      </c>
      <c r="D367" s="41" t="s">
        <v>108</v>
      </c>
      <c r="E367" s="42" t="n">
        <v>2750</v>
      </c>
      <c r="F367" s="42"/>
      <c r="G367" s="42" t="n">
        <v>250</v>
      </c>
      <c r="H367" s="43" t="n">
        <v>1</v>
      </c>
      <c r="I367" s="34" t="n">
        <f aca="false">E367*H367+N(F367)+N(G367)</f>
        <v>3000</v>
      </c>
      <c r="J367" s="42" t="n">
        <f aca="false">ROUND(IFERROR(ROUND(IF(OR(ISNUMBER(SEARCH("week",C367)),ISNUMBER(SEARCH("minggu",C367))),IFERROR(_xlfn.NUMBERVALUE(SUBSTITUTE(LEFT(TRIM(C367),FIND(" ",TRIM(C367)&amp;" ")-1),",","."),"."),LEFT(SUBSTITUTE(LEFT(TRIM(C367),FIND(" ",TRIM(C367)&amp;" ")-1),",","."),FIND("/",SUBSTITUTE(LEFT(TRIM(C367),FIND(" ",TRIM(C367)&amp;" ")-1),",","."))-1)/MID(SUBSTITUTE(LEFT(TRIM(C367),FIND(" ",TRIM(C367)&amp;" ")-1),",","."),FIND("/",SUBSTITUTE(LEFT(TRIM(C367),FIND(" ",TRIM(C367)&amp;" ")-1),",","."))+1,9))*12/52,IF(ISNUMBER(SEARCH("month",C367)),IFERROR(_xlfn.NUMBERVALUE(SUBSTITUTE(LEFT(TRIM(C367),FIND(" ",TRIM(C367)&amp;" ")-1),",","."),"."),LEFT(SUBSTITUTE(LEFT(TRIM(C367),FIND(" ",TRIM(C367)&amp;" ")-1),",","."),FIND("/",SUBSTITUTE(LEFT(TRIM(C367),FIND(" ",TRIM(C367)&amp;" ")-1),",","."))-1)/MID(SUBSTITUTE(LEFT(TRIM(C367),FIND(" ",TRIM(C367)&amp;" ")-1),",","."),FIND("/",SUBSTITUTE(LEFT(TRIM(C367),FIND(" ",TRIM(C367)&amp;" ")-1),",","."))+1,9)),IF(ISNUMBER(SEARCH("yea",C367)),IFERROR(_xlfn.NUMBERVALUE(SUBSTITUTE(LEFT(TRIM(C367),FIND(" ",TRIM(C367)&amp;" ")-1),",","."),"."),LEFT(SUBSTITUTE(LEFT(TRIM(C367),FIND(" ",TRIM(C367)&amp;" ")-1),",","."),FIND("/",SUBSTITUTE(LEFT(TRIM(C367),FIND(" ",TRIM(C367)&amp;" ")-1),",","."))-1)/MID(SUBSTITUTE(LEFT(TRIM(C367),FIND(" ",TRIM(C367)&amp;" ")-1),",","."),FIND("/",SUBSTITUTE(LEFT(TRIM(C367),FIND(" ",TRIM(C367)&amp;" ")-1),",","."))+1,9))*12,NA()))),0),18)*'Aturan &amp; Tarif'!$B$4,2)</f>
        <v>1022.04</v>
      </c>
      <c r="K367" s="42" t="n">
        <f aca="false">'Aturan &amp; Tarif'!$B$5</f>
        <v>2050</v>
      </c>
      <c r="L367" s="35" t="n">
        <f aca="false">I367+J367+K367</f>
        <v>6072.04</v>
      </c>
      <c r="M367" s="45" t="s">
        <v>1653</v>
      </c>
    </row>
    <row r="368" customFormat="false" ht="25.5" hidden="false" customHeight="true" outlineLevel="0" collapsed="false">
      <c r="A368" s="39"/>
      <c r="B368" s="40" t="s">
        <v>115</v>
      </c>
      <c r="C368" s="41" t="s">
        <v>130</v>
      </c>
      <c r="D368" s="41" t="s">
        <v>108</v>
      </c>
      <c r="E368" s="42" t="n">
        <v>2750</v>
      </c>
      <c r="F368" s="42"/>
      <c r="G368" s="42" t="n">
        <v>250</v>
      </c>
      <c r="H368" s="43" t="n">
        <v>1</v>
      </c>
      <c r="I368" s="34" t="n">
        <f aca="false">E368*H368+N(F368)+N(G368)</f>
        <v>3000</v>
      </c>
      <c r="J368" s="42" t="n">
        <f aca="false">ROUND(IFERROR(ROUND(IF(OR(ISNUMBER(SEARCH("week",C368)),ISNUMBER(SEARCH("minggu",C368))),IFERROR(_xlfn.NUMBERVALUE(SUBSTITUTE(LEFT(TRIM(C368),FIND(" ",TRIM(C368)&amp;" ")-1),",","."),"."),LEFT(SUBSTITUTE(LEFT(TRIM(C368),FIND(" ",TRIM(C368)&amp;" ")-1),",","."),FIND("/",SUBSTITUTE(LEFT(TRIM(C368),FIND(" ",TRIM(C368)&amp;" ")-1),",","."))-1)/MID(SUBSTITUTE(LEFT(TRIM(C368),FIND(" ",TRIM(C368)&amp;" ")-1),",","."),FIND("/",SUBSTITUTE(LEFT(TRIM(C368),FIND(" ",TRIM(C368)&amp;" ")-1),",","."))+1,9))*12/52,IF(ISNUMBER(SEARCH("month",C368)),IFERROR(_xlfn.NUMBERVALUE(SUBSTITUTE(LEFT(TRIM(C368),FIND(" ",TRIM(C368)&amp;" ")-1),",","."),"."),LEFT(SUBSTITUTE(LEFT(TRIM(C368),FIND(" ",TRIM(C368)&amp;" ")-1),",","."),FIND("/",SUBSTITUTE(LEFT(TRIM(C368),FIND(" ",TRIM(C368)&amp;" ")-1),",","."))-1)/MID(SUBSTITUTE(LEFT(TRIM(C368),FIND(" ",TRIM(C368)&amp;" ")-1),",","."),FIND("/",SUBSTITUTE(LEFT(TRIM(C368),FIND(" ",TRIM(C368)&amp;" ")-1),",","."))+1,9)),IF(ISNUMBER(SEARCH("yea",C368)),IFERROR(_xlfn.NUMBERVALUE(SUBSTITUTE(LEFT(TRIM(C368),FIND(" ",TRIM(C368)&amp;" ")-1),",","."),"."),LEFT(SUBSTITUTE(LEFT(TRIM(C368),FIND(" ",TRIM(C368)&amp;" ")-1),",","."),FIND("/",SUBSTITUTE(LEFT(TRIM(C368),FIND(" ",TRIM(C368)&amp;" ")-1),",","."))-1)/MID(SUBSTITUTE(LEFT(TRIM(C368),FIND(" ",TRIM(C368)&amp;" ")-1),",","."),FIND("/",SUBSTITUTE(LEFT(TRIM(C368),FIND(" ",TRIM(C368)&amp;" ")-1),",","."))+1,9))*12,NA()))),0),12)*'Aturan &amp; Tarif'!$B$4,2)</f>
        <v>681.36</v>
      </c>
      <c r="K368" s="42" t="n">
        <f aca="false">'Aturan &amp; Tarif'!$B$5</f>
        <v>2050</v>
      </c>
      <c r="L368" s="35" t="n">
        <f aca="false">I368+J368+K368</f>
        <v>5731.36</v>
      </c>
      <c r="M368" s="45" t="s">
        <v>1653</v>
      </c>
    </row>
    <row r="369" customFormat="false" ht="25.5" hidden="false" customHeight="true" outlineLevel="0" collapsed="false">
      <c r="A369" s="39"/>
      <c r="B369" s="40" t="s">
        <v>3100</v>
      </c>
      <c r="C369" s="41" t="s">
        <v>130</v>
      </c>
      <c r="D369" s="41" t="s">
        <v>108</v>
      </c>
      <c r="E369" s="42" t="n">
        <v>2650</v>
      </c>
      <c r="F369" s="42"/>
      <c r="G369" s="42" t="n">
        <v>250</v>
      </c>
      <c r="H369" s="43" t="n">
        <v>1</v>
      </c>
      <c r="I369" s="34" t="n">
        <f aca="false">E369*H369+N(F369)+N(G369)</f>
        <v>2900</v>
      </c>
      <c r="J369" s="42" t="n">
        <f aca="false">ROUND(IFERROR(ROUND(IF(OR(ISNUMBER(SEARCH("week",C369)),ISNUMBER(SEARCH("minggu",C369))),IFERROR(_xlfn.NUMBERVALUE(SUBSTITUTE(LEFT(TRIM(C369),FIND(" ",TRIM(C369)&amp;" ")-1),",","."),"."),LEFT(SUBSTITUTE(LEFT(TRIM(C369),FIND(" ",TRIM(C369)&amp;" ")-1),",","."),FIND("/",SUBSTITUTE(LEFT(TRIM(C369),FIND(" ",TRIM(C369)&amp;" ")-1),",","."))-1)/MID(SUBSTITUTE(LEFT(TRIM(C369),FIND(" ",TRIM(C369)&amp;" ")-1),",","."),FIND("/",SUBSTITUTE(LEFT(TRIM(C369),FIND(" ",TRIM(C369)&amp;" ")-1),",","."))+1,9))*12/52,IF(ISNUMBER(SEARCH("month",C369)),IFERROR(_xlfn.NUMBERVALUE(SUBSTITUTE(LEFT(TRIM(C369),FIND(" ",TRIM(C369)&amp;" ")-1),",","."),"."),LEFT(SUBSTITUTE(LEFT(TRIM(C369),FIND(" ",TRIM(C369)&amp;" ")-1),",","."),FIND("/",SUBSTITUTE(LEFT(TRIM(C369),FIND(" ",TRIM(C369)&amp;" ")-1),",","."))-1)/MID(SUBSTITUTE(LEFT(TRIM(C369),FIND(" ",TRIM(C369)&amp;" ")-1),",","."),FIND("/",SUBSTITUTE(LEFT(TRIM(C369),FIND(" ",TRIM(C369)&amp;" ")-1),",","."))+1,9)),IF(ISNUMBER(SEARCH("yea",C369)),IFERROR(_xlfn.NUMBERVALUE(SUBSTITUTE(LEFT(TRIM(C369),FIND(" ",TRIM(C369)&amp;" ")-1),",","."),"."),LEFT(SUBSTITUTE(LEFT(TRIM(C369),FIND(" ",TRIM(C369)&amp;" ")-1),",","."),FIND("/",SUBSTITUTE(LEFT(TRIM(C369),FIND(" ",TRIM(C369)&amp;" ")-1),",","."))-1)/MID(SUBSTITUTE(LEFT(TRIM(C369),FIND(" ",TRIM(C369)&amp;" ")-1),",","."),FIND("/",SUBSTITUTE(LEFT(TRIM(C369),FIND(" ",TRIM(C369)&amp;" ")-1),",","."))+1,9))*12,NA()))),0),12)*'Aturan &amp; Tarif'!$B$4,2)</f>
        <v>681.36</v>
      </c>
      <c r="K369" s="42" t="n">
        <f aca="false">'Aturan &amp; Tarif'!$B$5</f>
        <v>2050</v>
      </c>
      <c r="L369" s="35" t="n">
        <f aca="false">I369+J369+K369</f>
        <v>5631.36</v>
      </c>
      <c r="M369" s="45" t="s">
        <v>1653</v>
      </c>
    </row>
    <row r="370" customFormat="false" ht="37.5" hidden="false" customHeight="true" outlineLevel="0" collapsed="false">
      <c r="A370" s="39"/>
      <c r="B370" s="40" t="s">
        <v>3101</v>
      </c>
      <c r="C370" s="41" t="s">
        <v>113</v>
      </c>
      <c r="D370" s="41" t="s">
        <v>108</v>
      </c>
      <c r="E370" s="42" t="n">
        <v>1500</v>
      </c>
      <c r="F370" s="42"/>
      <c r="G370" s="42" t="n">
        <v>250</v>
      </c>
      <c r="H370" s="43" t="n">
        <v>1</v>
      </c>
      <c r="I370" s="34" t="n">
        <f aca="false">E370*H370+N(F370)+N(G370)</f>
        <v>1750</v>
      </c>
      <c r="J370" s="42" t="n">
        <f aca="false">ROUND(IFERROR(ROUND(IF(OR(ISNUMBER(SEARCH("week",C370)),ISNUMBER(SEARCH("minggu",C370))),IFERROR(_xlfn.NUMBERVALUE(SUBSTITUTE(LEFT(TRIM(C370),FIND(" ",TRIM(C370)&amp;" ")-1),",","."),"."),LEFT(SUBSTITUTE(LEFT(TRIM(C370),FIND(" ",TRIM(C370)&amp;" ")-1),",","."),FIND("/",SUBSTITUTE(LEFT(TRIM(C370),FIND(" ",TRIM(C370)&amp;" ")-1),",","."))-1)/MID(SUBSTITUTE(LEFT(TRIM(C370),FIND(" ",TRIM(C370)&amp;" ")-1),",","."),FIND("/",SUBSTITUTE(LEFT(TRIM(C370),FIND(" ",TRIM(C370)&amp;" ")-1),",","."))+1,9))*12/52,IF(ISNUMBER(SEARCH("month",C370)),IFERROR(_xlfn.NUMBERVALUE(SUBSTITUTE(LEFT(TRIM(C370),FIND(" ",TRIM(C370)&amp;" ")-1),",","."),"."),LEFT(SUBSTITUTE(LEFT(TRIM(C370),FIND(" ",TRIM(C370)&amp;" ")-1),",","."),FIND("/",SUBSTITUTE(LEFT(TRIM(C370),FIND(" ",TRIM(C370)&amp;" ")-1),",","."))-1)/MID(SUBSTITUTE(LEFT(TRIM(C370),FIND(" ",TRIM(C370)&amp;" ")-1),",","."),FIND("/",SUBSTITUTE(LEFT(TRIM(C370),FIND(" ",TRIM(C370)&amp;" ")-1),",","."))+1,9)),IF(ISNUMBER(SEARCH("yea",C370)),IFERROR(_xlfn.NUMBERVALUE(SUBSTITUTE(LEFT(TRIM(C370),FIND(" ",TRIM(C370)&amp;" ")-1),",","."),"."),LEFT(SUBSTITUTE(LEFT(TRIM(C370),FIND(" ",TRIM(C370)&amp;" ")-1),",","."),FIND("/",SUBSTITUTE(LEFT(TRIM(C370),FIND(" ",TRIM(C370)&amp;" ")-1),",","."))-1)/MID(SUBSTITUTE(LEFT(TRIM(C370),FIND(" ",TRIM(C370)&amp;" ")-1),",","."),FIND("/",SUBSTITUTE(LEFT(TRIM(C370),FIND(" ",TRIM(C370)&amp;" ")-1),",","."))+1,9))*12,NA()))),0),18)*'Aturan &amp; Tarif'!$B$4,2)</f>
        <v>1022.04</v>
      </c>
      <c r="K370" s="42" t="n">
        <f aca="false">'Aturan &amp; Tarif'!$B$5</f>
        <v>2050</v>
      </c>
      <c r="L370" s="35" t="n">
        <f aca="false">I370+J370+K370</f>
        <v>4822.04</v>
      </c>
      <c r="M370" s="45" t="s">
        <v>1653</v>
      </c>
    </row>
    <row r="371" customFormat="false" ht="37.5" hidden="false" customHeight="true" outlineLevel="0" collapsed="false">
      <c r="A371" s="39"/>
      <c r="B371" s="40" t="s">
        <v>3102</v>
      </c>
      <c r="C371" s="41" t="s">
        <v>107</v>
      </c>
      <c r="D371" s="41" t="s">
        <v>108</v>
      </c>
      <c r="E371" s="42" t="n">
        <v>2000</v>
      </c>
      <c r="F371" s="42"/>
      <c r="G371" s="42" t="n">
        <v>250</v>
      </c>
      <c r="H371" s="43" t="n">
        <v>1</v>
      </c>
      <c r="I371" s="34" t="n">
        <f aca="false">E371*H371+N(F371)+N(G371)</f>
        <v>2250</v>
      </c>
      <c r="J371" s="42" t="n">
        <f aca="false">ROUND(IFERROR(ROUND(IF(OR(ISNUMBER(SEARCH("week",C371)),ISNUMBER(SEARCH("minggu",C371))),IFERROR(_xlfn.NUMBERVALUE(SUBSTITUTE(LEFT(TRIM(C371),FIND(" ",TRIM(C371)&amp;" ")-1),",","."),"."),LEFT(SUBSTITUTE(LEFT(TRIM(C371),FIND(" ",TRIM(C371)&amp;" ")-1),",","."),FIND("/",SUBSTITUTE(LEFT(TRIM(C371),FIND(" ",TRIM(C371)&amp;" ")-1),",","."))-1)/MID(SUBSTITUTE(LEFT(TRIM(C371),FIND(" ",TRIM(C371)&amp;" ")-1),",","."),FIND("/",SUBSTITUTE(LEFT(TRIM(C371),FIND(" ",TRIM(C371)&amp;" ")-1),",","."))+1,9))*12/52,IF(ISNUMBER(SEARCH("month",C371)),IFERROR(_xlfn.NUMBERVALUE(SUBSTITUTE(LEFT(TRIM(C371),FIND(" ",TRIM(C371)&amp;" ")-1),",","."),"."),LEFT(SUBSTITUTE(LEFT(TRIM(C371),FIND(" ",TRIM(C371)&amp;" ")-1),",","."),FIND("/",SUBSTITUTE(LEFT(TRIM(C371),FIND(" ",TRIM(C371)&amp;" ")-1),",","."))-1)/MID(SUBSTITUTE(LEFT(TRIM(C371),FIND(" ",TRIM(C371)&amp;" ")-1),",","."),FIND("/",SUBSTITUTE(LEFT(TRIM(C371),FIND(" ",TRIM(C371)&amp;" ")-1),",","."))+1,9)),IF(ISNUMBER(SEARCH("yea",C371)),IFERROR(_xlfn.NUMBERVALUE(SUBSTITUTE(LEFT(TRIM(C371),FIND(" ",TRIM(C371)&amp;" ")-1),",","."),"."),LEFT(SUBSTITUTE(LEFT(TRIM(C371),FIND(" ",TRIM(C371)&amp;" ")-1),",","."),FIND("/",SUBSTITUTE(LEFT(TRIM(C371),FIND(" ",TRIM(C371)&amp;" ")-1),",","."))-1)/MID(SUBSTITUTE(LEFT(TRIM(C371),FIND(" ",TRIM(C371)&amp;" ")-1),",","."),FIND("/",SUBSTITUTE(LEFT(TRIM(C371),FIND(" ",TRIM(C371)&amp;" ")-1),",","."))+1,9))*12,NA()))),0),24)*'Aturan &amp; Tarif'!$B$4,2)</f>
        <v>1362.72</v>
      </c>
      <c r="K371" s="42" t="n">
        <f aca="false">'Aturan &amp; Tarif'!$B$5</f>
        <v>2050</v>
      </c>
      <c r="L371" s="35" t="n">
        <f aca="false">I371+J371+K371</f>
        <v>5662.72</v>
      </c>
      <c r="M371" s="45" t="s">
        <v>1653</v>
      </c>
    </row>
    <row r="372" customFormat="false" ht="14.25" hidden="false" customHeight="true" outlineLevel="0" collapsed="false">
      <c r="A372" s="39"/>
      <c r="B372" s="40" t="s">
        <v>888</v>
      </c>
      <c r="C372" s="41" t="s">
        <v>138</v>
      </c>
      <c r="D372" s="41" t="s">
        <v>108</v>
      </c>
      <c r="E372" s="42" t="n">
        <v>1500</v>
      </c>
      <c r="F372" s="42"/>
      <c r="G372" s="42" t="n">
        <v>250</v>
      </c>
      <c r="H372" s="43" t="n">
        <v>1</v>
      </c>
      <c r="I372" s="34" t="n">
        <f aca="false">E372*H372+N(F372)+N(G372)</f>
        <v>1750</v>
      </c>
      <c r="J372" s="42" t="n">
        <f aca="false">ROUND(IFERROR(ROUND(IF(OR(ISNUMBER(SEARCH("week",C372)),ISNUMBER(SEARCH("minggu",C372))),IFERROR(_xlfn.NUMBERVALUE(SUBSTITUTE(LEFT(TRIM(C372),FIND(" ",TRIM(C372)&amp;" ")-1),",","."),"."),LEFT(SUBSTITUTE(LEFT(TRIM(C372),FIND(" ",TRIM(C372)&amp;" ")-1),",","."),FIND("/",SUBSTITUTE(LEFT(TRIM(C372),FIND(" ",TRIM(C372)&amp;" ")-1),",","."))-1)/MID(SUBSTITUTE(LEFT(TRIM(C372),FIND(" ",TRIM(C372)&amp;" ")-1),",","."),FIND("/",SUBSTITUTE(LEFT(TRIM(C372),FIND(" ",TRIM(C372)&amp;" ")-1),",","."))+1,9))*12/52,IF(ISNUMBER(SEARCH("month",C372)),IFERROR(_xlfn.NUMBERVALUE(SUBSTITUTE(LEFT(TRIM(C372),FIND(" ",TRIM(C372)&amp;" ")-1),",","."),"."),LEFT(SUBSTITUTE(LEFT(TRIM(C372),FIND(" ",TRIM(C372)&amp;" ")-1),",","."),FIND("/",SUBSTITUTE(LEFT(TRIM(C372),FIND(" ",TRIM(C372)&amp;" ")-1),",","."))-1)/MID(SUBSTITUTE(LEFT(TRIM(C372),FIND(" ",TRIM(C372)&amp;" ")-1),",","."),FIND("/",SUBSTITUTE(LEFT(TRIM(C372),FIND(" ",TRIM(C372)&amp;" ")-1),",","."))+1,9)),IF(ISNUMBER(SEARCH("yea",C372)),IFERROR(_xlfn.NUMBERVALUE(SUBSTITUTE(LEFT(TRIM(C372),FIND(" ",TRIM(C372)&amp;" ")-1),",","."),"."),LEFT(SUBSTITUTE(LEFT(TRIM(C372),FIND(" ",TRIM(C372)&amp;" ")-1),",","."),FIND("/",SUBSTITUTE(LEFT(TRIM(C372),FIND(" ",TRIM(C372)&amp;" ")-1),",","."))-1)/MID(SUBSTITUTE(LEFT(TRIM(C372),FIND(" ",TRIM(C372)&amp;" ")-1),",","."),FIND("/",SUBSTITUTE(LEFT(TRIM(C372),FIND(" ",TRIM(C372)&amp;" ")-1),",","."))+1,9))*12,NA()))),0),30)*'Aturan &amp; Tarif'!$B$4,2)</f>
        <v>1703.4</v>
      </c>
      <c r="K372" s="42" t="n">
        <f aca="false">'Aturan &amp; Tarif'!$B$5</f>
        <v>2050</v>
      </c>
      <c r="L372" s="35" t="n">
        <f aca="false">I372+J372+K372</f>
        <v>5503.4</v>
      </c>
      <c r="M372" s="45" t="s">
        <v>1653</v>
      </c>
    </row>
    <row r="373" customFormat="false" ht="48.75" hidden="false" customHeight="true" outlineLevel="0" collapsed="false">
      <c r="A373" s="39" t="s">
        <v>1989</v>
      </c>
      <c r="B373" s="40" t="s">
        <v>1817</v>
      </c>
      <c r="C373" s="41" t="s">
        <v>138</v>
      </c>
      <c r="D373" s="41" t="s">
        <v>108</v>
      </c>
      <c r="E373" s="42" t="n">
        <v>1500</v>
      </c>
      <c r="F373" s="42" t="n">
        <v>50</v>
      </c>
      <c r="G373" s="42" t="n">
        <v>200</v>
      </c>
      <c r="H373" s="43" t="n">
        <v>1</v>
      </c>
      <c r="I373" s="34" t="n">
        <f aca="false">E373*H373+N(F373)+N(G373)</f>
        <v>1750</v>
      </c>
      <c r="J373" s="42" t="n">
        <f aca="false">ROUND(IFERROR(ROUND(IF(OR(ISNUMBER(SEARCH("week",C373)),ISNUMBER(SEARCH("minggu",C373))),IFERROR(_xlfn.NUMBERVALUE(SUBSTITUTE(LEFT(TRIM(C373),FIND(" ",TRIM(C373)&amp;" ")-1),",","."),"."),LEFT(SUBSTITUTE(LEFT(TRIM(C373),FIND(" ",TRIM(C373)&amp;" ")-1),",","."),FIND("/",SUBSTITUTE(LEFT(TRIM(C373),FIND(" ",TRIM(C373)&amp;" ")-1),",","."))-1)/MID(SUBSTITUTE(LEFT(TRIM(C373),FIND(" ",TRIM(C373)&amp;" ")-1),",","."),FIND("/",SUBSTITUTE(LEFT(TRIM(C373),FIND(" ",TRIM(C373)&amp;" ")-1),",","."))+1,9))*12/52,IF(ISNUMBER(SEARCH("month",C373)),IFERROR(_xlfn.NUMBERVALUE(SUBSTITUTE(LEFT(TRIM(C373),FIND(" ",TRIM(C373)&amp;" ")-1),",","."),"."),LEFT(SUBSTITUTE(LEFT(TRIM(C373),FIND(" ",TRIM(C373)&amp;" ")-1),",","."),FIND("/",SUBSTITUTE(LEFT(TRIM(C373),FIND(" ",TRIM(C373)&amp;" ")-1),",","."))-1)/MID(SUBSTITUTE(LEFT(TRIM(C373),FIND(" ",TRIM(C373)&amp;" ")-1),",","."),FIND("/",SUBSTITUTE(LEFT(TRIM(C373),FIND(" ",TRIM(C373)&amp;" ")-1),",","."))+1,9)),IF(ISNUMBER(SEARCH("yea",C373)),IFERROR(_xlfn.NUMBERVALUE(SUBSTITUTE(LEFT(TRIM(C373),FIND(" ",TRIM(C373)&amp;" ")-1),",","."),"."),LEFT(SUBSTITUTE(LEFT(TRIM(C373),FIND(" ",TRIM(C373)&amp;" ")-1),",","."),FIND("/",SUBSTITUTE(LEFT(TRIM(C373),FIND(" ",TRIM(C373)&amp;" ")-1),",","."))-1)/MID(SUBSTITUTE(LEFT(TRIM(C373),FIND(" ",TRIM(C373)&amp;" ")-1),",","."),FIND("/",SUBSTITUTE(LEFT(TRIM(C373),FIND(" ",TRIM(C373)&amp;" ")-1),",","."))+1,9))*12,NA()))),0),30)*'Aturan &amp; Tarif'!$B$4,2)</f>
        <v>1703.4</v>
      </c>
      <c r="K373" s="42" t="n">
        <f aca="false">'Aturan &amp; Tarif'!$B$5</f>
        <v>2050</v>
      </c>
      <c r="L373" s="35" t="n">
        <f aca="false">I373+J373+K373</f>
        <v>5503.4</v>
      </c>
      <c r="M373" s="44" t="s">
        <v>1990</v>
      </c>
    </row>
    <row r="374" customFormat="false" ht="14.25" hidden="false" customHeight="true" outlineLevel="0" collapsed="false">
      <c r="A374" s="39"/>
      <c r="B374" s="40" t="s">
        <v>1818</v>
      </c>
      <c r="C374" s="41" t="s">
        <v>495</v>
      </c>
      <c r="D374" s="41" t="s">
        <v>108</v>
      </c>
      <c r="E374" s="42" t="n">
        <v>1500</v>
      </c>
      <c r="F374" s="42" t="n">
        <v>50</v>
      </c>
      <c r="G374" s="42" t="n">
        <v>200</v>
      </c>
      <c r="H374" s="43" t="n">
        <v>1</v>
      </c>
      <c r="I374" s="34" t="n">
        <f aca="false">E374*H374+N(F374)+N(G374)</f>
        <v>1750</v>
      </c>
      <c r="J374" s="42" t="n">
        <f aca="false">ROUND(IFERROR(ROUND(IF(OR(ISNUMBER(SEARCH("week",C374)),ISNUMBER(SEARCH("minggu",C374))),IFERROR(_xlfn.NUMBERVALUE(SUBSTITUTE(LEFT(TRIM(C374),FIND(" ",TRIM(C374)&amp;" ")-1),",","."),"."),LEFT(SUBSTITUTE(LEFT(TRIM(C374),FIND(" ",TRIM(C374)&amp;" ")-1),",","."),FIND("/",SUBSTITUTE(LEFT(TRIM(C374),FIND(" ",TRIM(C374)&amp;" ")-1),",","."))-1)/MID(SUBSTITUTE(LEFT(TRIM(C374),FIND(" ",TRIM(C374)&amp;" ")-1),",","."),FIND("/",SUBSTITUTE(LEFT(TRIM(C374),FIND(" ",TRIM(C374)&amp;" ")-1),",","."))+1,9))*12/52,IF(ISNUMBER(SEARCH("month",C374)),IFERROR(_xlfn.NUMBERVALUE(SUBSTITUTE(LEFT(TRIM(C374),FIND(" ",TRIM(C374)&amp;" ")-1),",","."),"."),LEFT(SUBSTITUTE(LEFT(TRIM(C374),FIND(" ",TRIM(C374)&amp;" ")-1),",","."),FIND("/",SUBSTITUTE(LEFT(TRIM(C374),FIND(" ",TRIM(C374)&amp;" ")-1),",","."))-1)/MID(SUBSTITUTE(LEFT(TRIM(C374),FIND(" ",TRIM(C374)&amp;" ")-1),",","."),FIND("/",SUBSTITUTE(LEFT(TRIM(C374),FIND(" ",TRIM(C374)&amp;" ")-1),",","."))+1,9)),IF(ISNUMBER(SEARCH("yea",C374)),IFERROR(_xlfn.NUMBERVALUE(SUBSTITUTE(LEFT(TRIM(C374),FIND(" ",TRIM(C374)&amp;" ")-1),",","."),"."),LEFT(SUBSTITUTE(LEFT(TRIM(C374),FIND(" ",TRIM(C374)&amp;" ")-1),",","."),FIND("/",SUBSTITUTE(LEFT(TRIM(C374),FIND(" ",TRIM(C374)&amp;" ")-1),",","."))-1)/MID(SUBSTITUTE(LEFT(TRIM(C374),FIND(" ",TRIM(C374)&amp;" ")-1),",","."),FIND("/",SUBSTITUTE(LEFT(TRIM(C374),FIND(" ",TRIM(C374)&amp;" ")-1),",","."))+1,9))*12,NA()))),0),54)*'Aturan &amp; Tarif'!$B$4,2)</f>
        <v>3066.12</v>
      </c>
      <c r="K374" s="42" t="n">
        <f aca="false">'Aturan &amp; Tarif'!$B$5</f>
        <v>2050</v>
      </c>
      <c r="L374" s="35" t="n">
        <f aca="false">I374+J374+K374</f>
        <v>6866.12</v>
      </c>
      <c r="M374" s="45" t="s">
        <v>3103</v>
      </c>
    </row>
    <row r="375" customFormat="false" ht="14.25" hidden="false" customHeight="true" outlineLevel="0" collapsed="false">
      <c r="A375" s="39"/>
      <c r="B375" s="40" t="s">
        <v>1596</v>
      </c>
      <c r="C375" s="41" t="s">
        <v>138</v>
      </c>
      <c r="D375" s="41" t="s">
        <v>108</v>
      </c>
      <c r="E375" s="42" t="n">
        <v>1500</v>
      </c>
      <c r="F375" s="42" t="n">
        <v>50</v>
      </c>
      <c r="G375" s="42" t="n">
        <v>200</v>
      </c>
      <c r="H375" s="43" t="n">
        <v>1</v>
      </c>
      <c r="I375" s="34" t="n">
        <f aca="false">E375*H375+N(F375)+N(G375)</f>
        <v>1750</v>
      </c>
      <c r="J375" s="42" t="n">
        <f aca="false">ROUND(IFERROR(ROUND(IF(OR(ISNUMBER(SEARCH("week",C375)),ISNUMBER(SEARCH("minggu",C375))),IFERROR(_xlfn.NUMBERVALUE(SUBSTITUTE(LEFT(TRIM(C375),FIND(" ",TRIM(C375)&amp;" ")-1),",","."),"."),LEFT(SUBSTITUTE(LEFT(TRIM(C375),FIND(" ",TRIM(C375)&amp;" ")-1),",","."),FIND("/",SUBSTITUTE(LEFT(TRIM(C375),FIND(" ",TRIM(C375)&amp;" ")-1),",","."))-1)/MID(SUBSTITUTE(LEFT(TRIM(C375),FIND(" ",TRIM(C375)&amp;" ")-1),",","."),FIND("/",SUBSTITUTE(LEFT(TRIM(C375),FIND(" ",TRIM(C375)&amp;" ")-1),",","."))+1,9))*12/52,IF(ISNUMBER(SEARCH("month",C375)),IFERROR(_xlfn.NUMBERVALUE(SUBSTITUTE(LEFT(TRIM(C375),FIND(" ",TRIM(C375)&amp;" ")-1),",","."),"."),LEFT(SUBSTITUTE(LEFT(TRIM(C375),FIND(" ",TRIM(C375)&amp;" ")-1),",","."),FIND("/",SUBSTITUTE(LEFT(TRIM(C375),FIND(" ",TRIM(C375)&amp;" ")-1),",","."))-1)/MID(SUBSTITUTE(LEFT(TRIM(C375),FIND(" ",TRIM(C375)&amp;" ")-1),",","."),FIND("/",SUBSTITUTE(LEFT(TRIM(C375),FIND(" ",TRIM(C375)&amp;" ")-1),",","."))+1,9)),IF(ISNUMBER(SEARCH("yea",C375)),IFERROR(_xlfn.NUMBERVALUE(SUBSTITUTE(LEFT(TRIM(C375),FIND(" ",TRIM(C375)&amp;" ")-1),",","."),"."),LEFT(SUBSTITUTE(LEFT(TRIM(C375),FIND(" ",TRIM(C375)&amp;" ")-1),",","."),FIND("/",SUBSTITUTE(LEFT(TRIM(C375),FIND(" ",TRIM(C375)&amp;" ")-1),",","."))-1)/MID(SUBSTITUTE(LEFT(TRIM(C375),FIND(" ",TRIM(C375)&amp;" ")-1),",","."),FIND("/",SUBSTITUTE(LEFT(TRIM(C375),FIND(" ",TRIM(C375)&amp;" ")-1),",","."))+1,9))*12,NA()))),0),30)*'Aturan &amp; Tarif'!$B$4,2)</f>
        <v>1703.4</v>
      </c>
      <c r="K375" s="42" t="n">
        <f aca="false">'Aturan &amp; Tarif'!$B$5</f>
        <v>2050</v>
      </c>
      <c r="L375" s="35" t="n">
        <f aca="false">I375+J375+K375</f>
        <v>5503.4</v>
      </c>
      <c r="M375" s="45" t="s">
        <v>3103</v>
      </c>
    </row>
    <row r="376" customFormat="false" ht="25.5" hidden="false" customHeight="true" outlineLevel="0" collapsed="false">
      <c r="A376" s="39"/>
      <c r="B376" s="40" t="s">
        <v>1814</v>
      </c>
      <c r="C376" s="41" t="s">
        <v>136</v>
      </c>
      <c r="D376" s="41" t="s">
        <v>108</v>
      </c>
      <c r="E376" s="42" t="n">
        <v>1500</v>
      </c>
      <c r="F376" s="42" t="n">
        <v>50</v>
      </c>
      <c r="G376" s="42" t="n">
        <v>200</v>
      </c>
      <c r="H376" s="43" t="n">
        <v>1</v>
      </c>
      <c r="I376" s="34" t="n">
        <f aca="false">E376*H376+N(F376)+N(G376)</f>
        <v>1750</v>
      </c>
      <c r="J376" s="42" t="n">
        <f aca="false">ROUND(IFERROR(ROUND(IF(OR(ISNUMBER(SEARCH("week",C376)),ISNUMBER(SEARCH("minggu",C376))),IFERROR(_xlfn.NUMBERVALUE(SUBSTITUTE(LEFT(TRIM(C376),FIND(" ",TRIM(C376)&amp;" ")-1),",","."),"."),LEFT(SUBSTITUTE(LEFT(TRIM(C376),FIND(" ",TRIM(C376)&amp;" ")-1),",","."),FIND("/",SUBSTITUTE(LEFT(TRIM(C376),FIND(" ",TRIM(C376)&amp;" ")-1),",","."))-1)/MID(SUBSTITUTE(LEFT(TRIM(C376),FIND(" ",TRIM(C376)&amp;" ")-1),",","."),FIND("/",SUBSTITUTE(LEFT(TRIM(C376),FIND(" ",TRIM(C376)&amp;" ")-1),",","."))+1,9))*12/52,IF(ISNUMBER(SEARCH("month",C376)),IFERROR(_xlfn.NUMBERVALUE(SUBSTITUTE(LEFT(TRIM(C376),FIND(" ",TRIM(C376)&amp;" ")-1),",","."),"."),LEFT(SUBSTITUTE(LEFT(TRIM(C376),FIND(" ",TRIM(C376)&amp;" ")-1),",","."),FIND("/",SUBSTITUTE(LEFT(TRIM(C376),FIND(" ",TRIM(C376)&amp;" ")-1),",","."))-1)/MID(SUBSTITUTE(LEFT(TRIM(C376),FIND(" ",TRIM(C376)&amp;" ")-1),",","."),FIND("/",SUBSTITUTE(LEFT(TRIM(C376),FIND(" ",TRIM(C376)&amp;" ")-1),",","."))+1,9)),IF(ISNUMBER(SEARCH("yea",C376)),IFERROR(_xlfn.NUMBERVALUE(SUBSTITUTE(LEFT(TRIM(C376),FIND(" ",TRIM(C376)&amp;" ")-1),",","."),"."),LEFT(SUBSTITUTE(LEFT(TRIM(C376),FIND(" ",TRIM(C376)&amp;" ")-1),",","."),FIND("/",SUBSTITUTE(LEFT(TRIM(C376),FIND(" ",TRIM(C376)&amp;" ")-1),",","."))-1)/MID(SUBSTITUTE(LEFT(TRIM(C376),FIND(" ",TRIM(C376)&amp;" ")-1),",","."),FIND("/",SUBSTITUTE(LEFT(TRIM(C376),FIND(" ",TRIM(C376)&amp;" ")-1),",","."))+1,9))*12,NA()))),0),42)*'Aturan &amp; Tarif'!$B$4,2)</f>
        <v>2384.76</v>
      </c>
      <c r="K376" s="42" t="n">
        <f aca="false">'Aturan &amp; Tarif'!$B$5</f>
        <v>2050</v>
      </c>
      <c r="L376" s="35" t="n">
        <f aca="false">I376+J376+K376</f>
        <v>6184.76</v>
      </c>
      <c r="M376" s="45" t="s">
        <v>3103</v>
      </c>
    </row>
    <row r="377" customFormat="false" ht="25.5" hidden="false" customHeight="true" outlineLevel="0" collapsed="false">
      <c r="A377" s="39"/>
      <c r="B377" s="40" t="s">
        <v>1992</v>
      </c>
      <c r="C377" s="41" t="s">
        <v>138</v>
      </c>
      <c r="D377" s="41" t="s">
        <v>108</v>
      </c>
      <c r="E377" s="42" t="n">
        <v>1500</v>
      </c>
      <c r="F377" s="42" t="n">
        <v>50</v>
      </c>
      <c r="G377" s="42" t="n">
        <v>200</v>
      </c>
      <c r="H377" s="43" t="n">
        <v>1</v>
      </c>
      <c r="I377" s="34" t="n">
        <f aca="false">E377*H377+N(F377)+N(G377)</f>
        <v>1750</v>
      </c>
      <c r="J377" s="42" t="n">
        <f aca="false">ROUND(IFERROR(ROUND(IF(OR(ISNUMBER(SEARCH("week",C377)),ISNUMBER(SEARCH("minggu",C377))),IFERROR(_xlfn.NUMBERVALUE(SUBSTITUTE(LEFT(TRIM(C377),FIND(" ",TRIM(C377)&amp;" ")-1),",","."),"."),LEFT(SUBSTITUTE(LEFT(TRIM(C377),FIND(" ",TRIM(C377)&amp;" ")-1),",","."),FIND("/",SUBSTITUTE(LEFT(TRIM(C377),FIND(" ",TRIM(C377)&amp;" ")-1),",","."))-1)/MID(SUBSTITUTE(LEFT(TRIM(C377),FIND(" ",TRIM(C377)&amp;" ")-1),",","."),FIND("/",SUBSTITUTE(LEFT(TRIM(C377),FIND(" ",TRIM(C377)&amp;" ")-1),",","."))+1,9))*12/52,IF(ISNUMBER(SEARCH("month",C377)),IFERROR(_xlfn.NUMBERVALUE(SUBSTITUTE(LEFT(TRIM(C377),FIND(" ",TRIM(C377)&amp;" ")-1),",","."),"."),LEFT(SUBSTITUTE(LEFT(TRIM(C377),FIND(" ",TRIM(C377)&amp;" ")-1),",","."),FIND("/",SUBSTITUTE(LEFT(TRIM(C377),FIND(" ",TRIM(C377)&amp;" ")-1),",","."))-1)/MID(SUBSTITUTE(LEFT(TRIM(C377),FIND(" ",TRIM(C377)&amp;" ")-1),",","."),FIND("/",SUBSTITUTE(LEFT(TRIM(C377),FIND(" ",TRIM(C377)&amp;" ")-1),",","."))+1,9)),IF(ISNUMBER(SEARCH("yea",C377)),IFERROR(_xlfn.NUMBERVALUE(SUBSTITUTE(LEFT(TRIM(C377),FIND(" ",TRIM(C377)&amp;" ")-1),",","."),"."),LEFT(SUBSTITUTE(LEFT(TRIM(C377),FIND(" ",TRIM(C377)&amp;" ")-1),",","."),FIND("/",SUBSTITUTE(LEFT(TRIM(C377),FIND(" ",TRIM(C377)&amp;" ")-1),",","."))-1)/MID(SUBSTITUTE(LEFT(TRIM(C377),FIND(" ",TRIM(C377)&amp;" ")-1),",","."),FIND("/",SUBSTITUTE(LEFT(TRIM(C377),FIND(" ",TRIM(C377)&amp;" ")-1),",","."))+1,9))*12,NA()))),0),30)*'Aturan &amp; Tarif'!$B$4,2)</f>
        <v>1703.4</v>
      </c>
      <c r="K377" s="42" t="n">
        <f aca="false">'Aturan &amp; Tarif'!$B$5</f>
        <v>2050</v>
      </c>
      <c r="L377" s="35" t="n">
        <f aca="false">I377+J377+K377</f>
        <v>5503.4</v>
      </c>
      <c r="M377" s="45" t="s">
        <v>3103</v>
      </c>
    </row>
    <row r="378" customFormat="false" ht="25.5" hidden="false" customHeight="true" outlineLevel="0" collapsed="false">
      <c r="A378" s="39"/>
      <c r="B378" s="40" t="s">
        <v>1993</v>
      </c>
      <c r="C378" s="41" t="s">
        <v>495</v>
      </c>
      <c r="D378" s="41" t="s">
        <v>108</v>
      </c>
      <c r="E378" s="42" t="n">
        <v>1500</v>
      </c>
      <c r="F378" s="42" t="n">
        <v>50</v>
      </c>
      <c r="G378" s="42" t="n">
        <v>200</v>
      </c>
      <c r="H378" s="43" t="n">
        <v>1</v>
      </c>
      <c r="I378" s="34" t="n">
        <f aca="false">E378*H378+N(F378)+N(G378)</f>
        <v>1750</v>
      </c>
      <c r="J378" s="42" t="n">
        <f aca="false">ROUND(IFERROR(ROUND(IF(OR(ISNUMBER(SEARCH("week",C378)),ISNUMBER(SEARCH("minggu",C378))),IFERROR(_xlfn.NUMBERVALUE(SUBSTITUTE(LEFT(TRIM(C378),FIND(" ",TRIM(C378)&amp;" ")-1),",","."),"."),LEFT(SUBSTITUTE(LEFT(TRIM(C378),FIND(" ",TRIM(C378)&amp;" ")-1),",","."),FIND("/",SUBSTITUTE(LEFT(TRIM(C378),FIND(" ",TRIM(C378)&amp;" ")-1),",","."))-1)/MID(SUBSTITUTE(LEFT(TRIM(C378),FIND(" ",TRIM(C378)&amp;" ")-1),",","."),FIND("/",SUBSTITUTE(LEFT(TRIM(C378),FIND(" ",TRIM(C378)&amp;" ")-1),",","."))+1,9))*12/52,IF(ISNUMBER(SEARCH("month",C378)),IFERROR(_xlfn.NUMBERVALUE(SUBSTITUTE(LEFT(TRIM(C378),FIND(" ",TRIM(C378)&amp;" ")-1),",","."),"."),LEFT(SUBSTITUTE(LEFT(TRIM(C378),FIND(" ",TRIM(C378)&amp;" ")-1),",","."),FIND("/",SUBSTITUTE(LEFT(TRIM(C378),FIND(" ",TRIM(C378)&amp;" ")-1),",","."))-1)/MID(SUBSTITUTE(LEFT(TRIM(C378),FIND(" ",TRIM(C378)&amp;" ")-1),",","."),FIND("/",SUBSTITUTE(LEFT(TRIM(C378),FIND(" ",TRIM(C378)&amp;" ")-1),",","."))+1,9)),IF(ISNUMBER(SEARCH("yea",C378)),IFERROR(_xlfn.NUMBERVALUE(SUBSTITUTE(LEFT(TRIM(C378),FIND(" ",TRIM(C378)&amp;" ")-1),",","."),"."),LEFT(SUBSTITUTE(LEFT(TRIM(C378),FIND(" ",TRIM(C378)&amp;" ")-1),",","."),FIND("/",SUBSTITUTE(LEFT(TRIM(C378),FIND(" ",TRIM(C378)&amp;" ")-1),",","."))-1)/MID(SUBSTITUTE(LEFT(TRIM(C378),FIND(" ",TRIM(C378)&amp;" ")-1),",","."),FIND("/",SUBSTITUTE(LEFT(TRIM(C378),FIND(" ",TRIM(C378)&amp;" ")-1),",","."))+1,9))*12,NA()))),0),54)*'Aturan &amp; Tarif'!$B$4,2)</f>
        <v>3066.12</v>
      </c>
      <c r="K378" s="42" t="n">
        <f aca="false">'Aturan &amp; Tarif'!$B$5</f>
        <v>2050</v>
      </c>
      <c r="L378" s="35" t="n">
        <f aca="false">I378+J378+K378</f>
        <v>6866.12</v>
      </c>
      <c r="M378" s="45" t="s">
        <v>3103</v>
      </c>
    </row>
    <row r="379" customFormat="false" ht="25.5" hidden="false" customHeight="true" outlineLevel="0" collapsed="false">
      <c r="A379" s="39"/>
      <c r="B379" s="40" t="s">
        <v>1994</v>
      </c>
      <c r="C379" s="41" t="s">
        <v>127</v>
      </c>
      <c r="D379" s="41" t="s">
        <v>108</v>
      </c>
      <c r="E379" s="42" t="n">
        <v>1500</v>
      </c>
      <c r="F379" s="42" t="n">
        <v>50</v>
      </c>
      <c r="G379" s="42" t="n">
        <v>200</v>
      </c>
      <c r="H379" s="43" t="n">
        <v>1</v>
      </c>
      <c r="I379" s="34" t="n">
        <f aca="false">E379*H379+N(F379)+N(G379)</f>
        <v>1750</v>
      </c>
      <c r="J379" s="42" t="n">
        <f aca="false">ROUND(IFERROR(ROUND(IF(OR(ISNUMBER(SEARCH("week",C379)),ISNUMBER(SEARCH("minggu",C379))),IFERROR(_xlfn.NUMBERVALUE(SUBSTITUTE(LEFT(TRIM(C379),FIND(" ",TRIM(C379)&amp;" ")-1),",","."),"."),LEFT(SUBSTITUTE(LEFT(TRIM(C379),FIND(" ",TRIM(C379)&amp;" ")-1),",","."),FIND("/",SUBSTITUTE(LEFT(TRIM(C379),FIND(" ",TRIM(C379)&amp;" ")-1),",","."))-1)/MID(SUBSTITUTE(LEFT(TRIM(C379),FIND(" ",TRIM(C379)&amp;" ")-1),",","."),FIND("/",SUBSTITUTE(LEFT(TRIM(C379),FIND(" ",TRIM(C379)&amp;" ")-1),",","."))+1,9))*12/52,IF(ISNUMBER(SEARCH("month",C379)),IFERROR(_xlfn.NUMBERVALUE(SUBSTITUTE(LEFT(TRIM(C379),FIND(" ",TRIM(C379)&amp;" ")-1),",","."),"."),LEFT(SUBSTITUTE(LEFT(TRIM(C379),FIND(" ",TRIM(C379)&amp;" ")-1),",","."),FIND("/",SUBSTITUTE(LEFT(TRIM(C379),FIND(" ",TRIM(C379)&amp;" ")-1),",","."))-1)/MID(SUBSTITUTE(LEFT(TRIM(C379),FIND(" ",TRIM(C379)&amp;" ")-1),",","."),FIND("/",SUBSTITUTE(LEFT(TRIM(C379),FIND(" ",TRIM(C379)&amp;" ")-1),",","."))+1,9)),IF(ISNUMBER(SEARCH("yea",C379)),IFERROR(_xlfn.NUMBERVALUE(SUBSTITUTE(LEFT(TRIM(C379),FIND(" ",TRIM(C379)&amp;" ")-1),",","."),"."),LEFT(SUBSTITUTE(LEFT(TRIM(C379),FIND(" ",TRIM(C379)&amp;" ")-1),",","."),FIND("/",SUBSTITUTE(LEFT(TRIM(C379),FIND(" ",TRIM(C379)&amp;" ")-1),",","."))-1)/MID(SUBSTITUTE(LEFT(TRIM(C379),FIND(" ",TRIM(C379)&amp;" ")-1),",","."),FIND("/",SUBSTITUTE(LEFT(TRIM(C379),FIND(" ",TRIM(C379)&amp;" ")-1),",","."))+1,9))*12,NA()))),0),36)*'Aturan &amp; Tarif'!$B$4,2)</f>
        <v>2044.08</v>
      </c>
      <c r="K379" s="42" t="n">
        <f aca="false">'Aturan &amp; Tarif'!$B$5</f>
        <v>2050</v>
      </c>
      <c r="L379" s="35" t="n">
        <f aca="false">I379+J379+K379</f>
        <v>5844.08</v>
      </c>
      <c r="M379" s="45" t="s">
        <v>3103</v>
      </c>
    </row>
    <row r="380" customFormat="false" ht="25.5" hidden="false" customHeight="true" outlineLevel="0" collapsed="false">
      <c r="A380" s="39"/>
      <c r="B380" s="40" t="s">
        <v>1995</v>
      </c>
      <c r="C380" s="41" t="s">
        <v>191</v>
      </c>
      <c r="D380" s="41" t="s">
        <v>108</v>
      </c>
      <c r="E380" s="42" t="n">
        <v>1500</v>
      </c>
      <c r="F380" s="42" t="n">
        <v>50</v>
      </c>
      <c r="G380" s="42" t="n">
        <v>200</v>
      </c>
      <c r="H380" s="43" t="n">
        <v>1</v>
      </c>
      <c r="I380" s="34" t="n">
        <f aca="false">E380*H380+N(F380)+N(G380)</f>
        <v>1750</v>
      </c>
      <c r="J380" s="42" t="n">
        <f aca="false">ROUND(IFERROR(ROUND(IF(OR(ISNUMBER(SEARCH("week",C380)),ISNUMBER(SEARCH("minggu",C380))),IFERROR(_xlfn.NUMBERVALUE(SUBSTITUTE(LEFT(TRIM(C380),FIND(" ",TRIM(C380)&amp;" ")-1),",","."),"."),LEFT(SUBSTITUTE(LEFT(TRIM(C380),FIND(" ",TRIM(C380)&amp;" ")-1),",","."),FIND("/",SUBSTITUTE(LEFT(TRIM(C380),FIND(" ",TRIM(C380)&amp;" ")-1),",","."))-1)/MID(SUBSTITUTE(LEFT(TRIM(C380),FIND(" ",TRIM(C380)&amp;" ")-1),",","."),FIND("/",SUBSTITUTE(LEFT(TRIM(C380),FIND(" ",TRIM(C380)&amp;" ")-1),",","."))+1,9))*12/52,IF(ISNUMBER(SEARCH("month",C380)),IFERROR(_xlfn.NUMBERVALUE(SUBSTITUTE(LEFT(TRIM(C380),FIND(" ",TRIM(C380)&amp;" ")-1),",","."),"."),LEFT(SUBSTITUTE(LEFT(TRIM(C380),FIND(" ",TRIM(C380)&amp;" ")-1),",","."),FIND("/",SUBSTITUTE(LEFT(TRIM(C380),FIND(" ",TRIM(C380)&amp;" ")-1),",","."))-1)/MID(SUBSTITUTE(LEFT(TRIM(C380),FIND(" ",TRIM(C380)&amp;" ")-1),",","."),FIND("/",SUBSTITUTE(LEFT(TRIM(C380),FIND(" ",TRIM(C380)&amp;" ")-1),",","."))+1,9)),IF(ISNUMBER(SEARCH("yea",C380)),IFERROR(_xlfn.NUMBERVALUE(SUBSTITUTE(LEFT(TRIM(C380),FIND(" ",TRIM(C380)&amp;" ")-1),",","."),"."),LEFT(SUBSTITUTE(LEFT(TRIM(C380),FIND(" ",TRIM(C380)&amp;" ")-1),",","."),FIND("/",SUBSTITUTE(LEFT(TRIM(C380),FIND(" ",TRIM(C380)&amp;" ")-1),",","."))-1)/MID(SUBSTITUTE(LEFT(TRIM(C380),FIND(" ",TRIM(C380)&amp;" ")-1),",","."),FIND("/",SUBSTITUTE(LEFT(TRIM(C380),FIND(" ",TRIM(C380)&amp;" ")-1),",","."))+1,9))*12,NA()))),0),48)*'Aturan &amp; Tarif'!$B$4,2)</f>
        <v>2725.44</v>
      </c>
      <c r="K380" s="42" t="n">
        <f aca="false">'Aturan &amp; Tarif'!$B$5</f>
        <v>2050</v>
      </c>
      <c r="L380" s="35" t="n">
        <f aca="false">I380+J380+K380</f>
        <v>6525.44</v>
      </c>
      <c r="M380" s="45" t="s">
        <v>3103</v>
      </c>
    </row>
    <row r="381" customFormat="false" ht="25.5" hidden="false" customHeight="true" outlineLevel="0" collapsed="false">
      <c r="A381" s="39"/>
      <c r="B381" s="40" t="s">
        <v>1996</v>
      </c>
      <c r="C381" s="41" t="s">
        <v>130</v>
      </c>
      <c r="D381" s="41" t="s">
        <v>108</v>
      </c>
      <c r="E381" s="42" t="n">
        <v>2000</v>
      </c>
      <c r="F381" s="42" t="n">
        <v>200</v>
      </c>
      <c r="G381" s="42" t="n">
        <v>200</v>
      </c>
      <c r="H381" s="43" t="n">
        <v>1</v>
      </c>
      <c r="I381" s="34" t="n">
        <f aca="false">E381*H381+N(F381)+N(G381)</f>
        <v>2400</v>
      </c>
      <c r="J381" s="42" t="n">
        <f aca="false">ROUND(IFERROR(ROUND(IF(OR(ISNUMBER(SEARCH("week",C381)),ISNUMBER(SEARCH("minggu",C381))),IFERROR(_xlfn.NUMBERVALUE(SUBSTITUTE(LEFT(TRIM(C381),FIND(" ",TRIM(C381)&amp;" ")-1),",","."),"."),LEFT(SUBSTITUTE(LEFT(TRIM(C381),FIND(" ",TRIM(C381)&amp;" ")-1),",","."),FIND("/",SUBSTITUTE(LEFT(TRIM(C381),FIND(" ",TRIM(C381)&amp;" ")-1),",","."))-1)/MID(SUBSTITUTE(LEFT(TRIM(C381),FIND(" ",TRIM(C381)&amp;" ")-1),",","."),FIND("/",SUBSTITUTE(LEFT(TRIM(C381),FIND(" ",TRIM(C381)&amp;" ")-1),",","."))+1,9))*12/52,IF(ISNUMBER(SEARCH("month",C381)),IFERROR(_xlfn.NUMBERVALUE(SUBSTITUTE(LEFT(TRIM(C381),FIND(" ",TRIM(C381)&amp;" ")-1),",","."),"."),LEFT(SUBSTITUTE(LEFT(TRIM(C381),FIND(" ",TRIM(C381)&amp;" ")-1),",","."),FIND("/",SUBSTITUTE(LEFT(TRIM(C381),FIND(" ",TRIM(C381)&amp;" ")-1),",","."))-1)/MID(SUBSTITUTE(LEFT(TRIM(C381),FIND(" ",TRIM(C381)&amp;" ")-1),",","."),FIND("/",SUBSTITUTE(LEFT(TRIM(C381),FIND(" ",TRIM(C381)&amp;" ")-1),",","."))+1,9)),IF(ISNUMBER(SEARCH("yea",C381)),IFERROR(_xlfn.NUMBERVALUE(SUBSTITUTE(LEFT(TRIM(C381),FIND(" ",TRIM(C381)&amp;" ")-1),",","."),"."),LEFT(SUBSTITUTE(LEFT(TRIM(C381),FIND(" ",TRIM(C381)&amp;" ")-1),",","."),FIND("/",SUBSTITUTE(LEFT(TRIM(C381),FIND(" ",TRIM(C381)&amp;" ")-1),",","."))-1)/MID(SUBSTITUTE(LEFT(TRIM(C381),FIND(" ",TRIM(C381)&amp;" ")-1),",","."),FIND("/",SUBSTITUTE(LEFT(TRIM(C381),FIND(" ",TRIM(C381)&amp;" ")-1),",","."))+1,9))*12,NA()))),0),12)*'Aturan &amp; Tarif'!$B$4,2)</f>
        <v>681.36</v>
      </c>
      <c r="K381" s="42" t="n">
        <f aca="false">'Aturan &amp; Tarif'!$B$5</f>
        <v>2050</v>
      </c>
      <c r="L381" s="35" t="n">
        <f aca="false">I381+J381+K381</f>
        <v>5131.36</v>
      </c>
      <c r="M381" s="45" t="s">
        <v>3103</v>
      </c>
    </row>
    <row r="382" customFormat="false" ht="25.5" hidden="false" customHeight="true" outlineLevel="0" collapsed="false">
      <c r="A382" s="39"/>
      <c r="B382" s="40" t="s">
        <v>1978</v>
      </c>
      <c r="C382" s="41" t="s">
        <v>107</v>
      </c>
      <c r="D382" s="41" t="s">
        <v>108</v>
      </c>
      <c r="E382" s="42" t="n">
        <v>2000</v>
      </c>
      <c r="F382" s="42" t="n">
        <v>200</v>
      </c>
      <c r="G382" s="42" t="n">
        <v>200</v>
      </c>
      <c r="H382" s="43" t="n">
        <v>1</v>
      </c>
      <c r="I382" s="34" t="n">
        <f aca="false">E382*H382+N(F382)+N(G382)</f>
        <v>2400</v>
      </c>
      <c r="J382" s="42" t="n">
        <f aca="false">ROUND(IFERROR(ROUND(IF(OR(ISNUMBER(SEARCH("week",C382)),ISNUMBER(SEARCH("minggu",C382))),IFERROR(_xlfn.NUMBERVALUE(SUBSTITUTE(LEFT(TRIM(C382),FIND(" ",TRIM(C382)&amp;" ")-1),",","."),"."),LEFT(SUBSTITUTE(LEFT(TRIM(C382),FIND(" ",TRIM(C382)&amp;" ")-1),",","."),FIND("/",SUBSTITUTE(LEFT(TRIM(C382),FIND(" ",TRIM(C382)&amp;" ")-1),",","."))-1)/MID(SUBSTITUTE(LEFT(TRIM(C382),FIND(" ",TRIM(C382)&amp;" ")-1),",","."),FIND("/",SUBSTITUTE(LEFT(TRIM(C382),FIND(" ",TRIM(C382)&amp;" ")-1),",","."))+1,9))*12/52,IF(ISNUMBER(SEARCH("month",C382)),IFERROR(_xlfn.NUMBERVALUE(SUBSTITUTE(LEFT(TRIM(C382),FIND(" ",TRIM(C382)&amp;" ")-1),",","."),"."),LEFT(SUBSTITUTE(LEFT(TRIM(C382),FIND(" ",TRIM(C382)&amp;" ")-1),",","."),FIND("/",SUBSTITUTE(LEFT(TRIM(C382),FIND(" ",TRIM(C382)&amp;" ")-1),",","."))-1)/MID(SUBSTITUTE(LEFT(TRIM(C382),FIND(" ",TRIM(C382)&amp;" ")-1),",","."),FIND("/",SUBSTITUTE(LEFT(TRIM(C382),FIND(" ",TRIM(C382)&amp;" ")-1),",","."))+1,9)),IF(ISNUMBER(SEARCH("yea",C382)),IFERROR(_xlfn.NUMBERVALUE(SUBSTITUTE(LEFT(TRIM(C382),FIND(" ",TRIM(C382)&amp;" ")-1),",","."),"."),LEFT(SUBSTITUTE(LEFT(TRIM(C382),FIND(" ",TRIM(C382)&amp;" ")-1),",","."),FIND("/",SUBSTITUTE(LEFT(TRIM(C382),FIND(" ",TRIM(C382)&amp;" ")-1),",","."))-1)/MID(SUBSTITUTE(LEFT(TRIM(C382),FIND(" ",TRIM(C382)&amp;" ")-1),",","."),FIND("/",SUBSTITUTE(LEFT(TRIM(C382),FIND(" ",TRIM(C382)&amp;" ")-1),",","."))+1,9))*12,NA()))),0),24)*'Aturan &amp; Tarif'!$B$4,2)</f>
        <v>1362.72</v>
      </c>
      <c r="K382" s="42" t="n">
        <f aca="false">'Aturan &amp; Tarif'!$B$5</f>
        <v>2050</v>
      </c>
      <c r="L382" s="35" t="n">
        <f aca="false">I382+J382+K382</f>
        <v>5812.72</v>
      </c>
      <c r="M382" s="45" t="s">
        <v>3103</v>
      </c>
    </row>
    <row r="383" customFormat="false" ht="25.5" hidden="false" customHeight="true" outlineLevel="0" collapsed="false">
      <c r="A383" s="39"/>
      <c r="B383" s="40" t="s">
        <v>1997</v>
      </c>
      <c r="C383" s="41" t="s">
        <v>138</v>
      </c>
      <c r="D383" s="41" t="s">
        <v>108</v>
      </c>
      <c r="E383" s="42" t="n">
        <v>2000</v>
      </c>
      <c r="F383" s="42" t="n">
        <v>200</v>
      </c>
      <c r="G383" s="42" t="n">
        <v>200</v>
      </c>
      <c r="H383" s="43" t="n">
        <v>1</v>
      </c>
      <c r="I383" s="34" t="n">
        <f aca="false">E383*H383+N(F383)+N(G383)</f>
        <v>2400</v>
      </c>
      <c r="J383" s="42" t="n">
        <f aca="false">ROUND(IFERROR(ROUND(IF(OR(ISNUMBER(SEARCH("week",C383)),ISNUMBER(SEARCH("minggu",C383))),IFERROR(_xlfn.NUMBERVALUE(SUBSTITUTE(LEFT(TRIM(C383),FIND(" ",TRIM(C383)&amp;" ")-1),",","."),"."),LEFT(SUBSTITUTE(LEFT(TRIM(C383),FIND(" ",TRIM(C383)&amp;" ")-1),",","."),FIND("/",SUBSTITUTE(LEFT(TRIM(C383),FIND(" ",TRIM(C383)&amp;" ")-1),",","."))-1)/MID(SUBSTITUTE(LEFT(TRIM(C383),FIND(" ",TRIM(C383)&amp;" ")-1),",","."),FIND("/",SUBSTITUTE(LEFT(TRIM(C383),FIND(" ",TRIM(C383)&amp;" ")-1),",","."))+1,9))*12/52,IF(ISNUMBER(SEARCH("month",C383)),IFERROR(_xlfn.NUMBERVALUE(SUBSTITUTE(LEFT(TRIM(C383),FIND(" ",TRIM(C383)&amp;" ")-1),",","."),"."),LEFT(SUBSTITUTE(LEFT(TRIM(C383),FIND(" ",TRIM(C383)&amp;" ")-1),",","."),FIND("/",SUBSTITUTE(LEFT(TRIM(C383),FIND(" ",TRIM(C383)&amp;" ")-1),",","."))-1)/MID(SUBSTITUTE(LEFT(TRIM(C383),FIND(" ",TRIM(C383)&amp;" ")-1),",","."),FIND("/",SUBSTITUTE(LEFT(TRIM(C383),FIND(" ",TRIM(C383)&amp;" ")-1),",","."))+1,9)),IF(ISNUMBER(SEARCH("yea",C383)),IFERROR(_xlfn.NUMBERVALUE(SUBSTITUTE(LEFT(TRIM(C383),FIND(" ",TRIM(C383)&amp;" ")-1),",","."),"."),LEFT(SUBSTITUTE(LEFT(TRIM(C383),FIND(" ",TRIM(C383)&amp;" ")-1),",","."),FIND("/",SUBSTITUTE(LEFT(TRIM(C383),FIND(" ",TRIM(C383)&amp;" ")-1),",","."))-1)/MID(SUBSTITUTE(LEFT(TRIM(C383),FIND(" ",TRIM(C383)&amp;" ")-1),",","."),FIND("/",SUBSTITUTE(LEFT(TRIM(C383),FIND(" ",TRIM(C383)&amp;" ")-1),",","."))+1,9))*12,NA()))),0),30)*'Aturan &amp; Tarif'!$B$4,2)</f>
        <v>1703.4</v>
      </c>
      <c r="K383" s="42" t="n">
        <f aca="false">'Aturan &amp; Tarif'!$B$5</f>
        <v>2050</v>
      </c>
      <c r="L383" s="35" t="n">
        <f aca="false">I383+J383+K383</f>
        <v>6153.4</v>
      </c>
      <c r="M383" s="45" t="s">
        <v>3103</v>
      </c>
    </row>
    <row r="384" customFormat="false" ht="37.5" hidden="false" customHeight="true" outlineLevel="0" collapsed="false">
      <c r="A384" s="39" t="s">
        <v>1998</v>
      </c>
      <c r="B384" s="40" t="s">
        <v>504</v>
      </c>
      <c r="C384" s="41" t="s">
        <v>127</v>
      </c>
      <c r="D384" s="41" t="s">
        <v>439</v>
      </c>
      <c r="E384" s="42" t="n">
        <v>8000</v>
      </c>
      <c r="F384" s="42"/>
      <c r="G384" s="42" t="n">
        <f aca="false">250+250</f>
        <v>500</v>
      </c>
      <c r="H384" s="43" t="n">
        <v>1</v>
      </c>
      <c r="I384" s="34" t="n">
        <f aca="false">E384*H384+N(F384)+N(G384)</f>
        <v>8500</v>
      </c>
      <c r="J384" s="42" t="n">
        <f aca="false">ROUND(IFERROR(ROUND(IF(OR(ISNUMBER(SEARCH("week",C384)),ISNUMBER(SEARCH("minggu",C384))),IFERROR(_xlfn.NUMBERVALUE(SUBSTITUTE(LEFT(TRIM(C384),FIND(" ",TRIM(C384)&amp;" ")-1),",","."),"."),LEFT(SUBSTITUTE(LEFT(TRIM(C384),FIND(" ",TRIM(C384)&amp;" ")-1),",","."),FIND("/",SUBSTITUTE(LEFT(TRIM(C384),FIND(" ",TRIM(C384)&amp;" ")-1),",","."))-1)/MID(SUBSTITUTE(LEFT(TRIM(C384),FIND(" ",TRIM(C384)&amp;" ")-1),",","."),FIND("/",SUBSTITUTE(LEFT(TRIM(C384),FIND(" ",TRIM(C384)&amp;" ")-1),",","."))+1,9))*12/52,IF(ISNUMBER(SEARCH("month",C384)),IFERROR(_xlfn.NUMBERVALUE(SUBSTITUTE(LEFT(TRIM(C384),FIND(" ",TRIM(C384)&amp;" ")-1),",","."),"."),LEFT(SUBSTITUTE(LEFT(TRIM(C384),FIND(" ",TRIM(C384)&amp;" ")-1),",","."),FIND("/",SUBSTITUTE(LEFT(TRIM(C384),FIND(" ",TRIM(C384)&amp;" ")-1),",","."))-1)/MID(SUBSTITUTE(LEFT(TRIM(C384),FIND(" ",TRIM(C384)&amp;" ")-1),",","."),FIND("/",SUBSTITUTE(LEFT(TRIM(C384),FIND(" ",TRIM(C384)&amp;" ")-1),",","."))+1,9)),IF(ISNUMBER(SEARCH("yea",C384)),IFERROR(_xlfn.NUMBERVALUE(SUBSTITUTE(LEFT(TRIM(C384),FIND(" ",TRIM(C384)&amp;" ")-1),",","."),"."),LEFT(SUBSTITUTE(LEFT(TRIM(C384),FIND(" ",TRIM(C384)&amp;" ")-1),",","."),FIND("/",SUBSTITUTE(LEFT(TRIM(C384),FIND(" ",TRIM(C384)&amp;" ")-1),",","."))-1)/MID(SUBSTITUTE(LEFT(TRIM(C384),FIND(" ",TRIM(C384)&amp;" ")-1),",","."),FIND("/",SUBSTITUTE(LEFT(TRIM(C384),FIND(" ",TRIM(C384)&amp;" ")-1),",","."))+1,9))*12,NA()))),0),36)*'Aturan &amp; Tarif'!$B$4,2)</f>
        <v>2044.08</v>
      </c>
      <c r="K384" s="42" t="n">
        <f aca="false">'Aturan &amp; Tarif'!$B$5</f>
        <v>2050</v>
      </c>
      <c r="L384" s="35" t="n">
        <f aca="false">I384+J384+K384</f>
        <v>12594.08</v>
      </c>
      <c r="M384" s="44" t="s">
        <v>1999</v>
      </c>
    </row>
    <row r="385" customFormat="false" ht="25.5" hidden="false" customHeight="true" outlineLevel="0" collapsed="false">
      <c r="A385" s="39"/>
      <c r="B385" s="40" t="s">
        <v>506</v>
      </c>
      <c r="C385" s="41" t="s">
        <v>127</v>
      </c>
      <c r="D385" s="41" t="s">
        <v>439</v>
      </c>
      <c r="E385" s="42" t="n">
        <v>8000</v>
      </c>
      <c r="F385" s="42"/>
      <c r="G385" s="42" t="n">
        <f aca="false">250+250</f>
        <v>500</v>
      </c>
      <c r="H385" s="43" t="n">
        <v>1</v>
      </c>
      <c r="I385" s="34" t="n">
        <f aca="false">E385*H385+N(F385)+N(G385)</f>
        <v>8500</v>
      </c>
      <c r="J385" s="42" t="n">
        <f aca="false">ROUND(IFERROR(ROUND(IF(OR(ISNUMBER(SEARCH("week",C385)),ISNUMBER(SEARCH("minggu",C385))),IFERROR(_xlfn.NUMBERVALUE(SUBSTITUTE(LEFT(TRIM(C385),FIND(" ",TRIM(C385)&amp;" ")-1),",","."),"."),LEFT(SUBSTITUTE(LEFT(TRIM(C385),FIND(" ",TRIM(C385)&amp;" ")-1),",","."),FIND("/",SUBSTITUTE(LEFT(TRIM(C385),FIND(" ",TRIM(C385)&amp;" ")-1),",","."))-1)/MID(SUBSTITUTE(LEFT(TRIM(C385),FIND(" ",TRIM(C385)&amp;" ")-1),",","."),FIND("/",SUBSTITUTE(LEFT(TRIM(C385),FIND(" ",TRIM(C385)&amp;" ")-1),",","."))+1,9))*12/52,IF(ISNUMBER(SEARCH("month",C385)),IFERROR(_xlfn.NUMBERVALUE(SUBSTITUTE(LEFT(TRIM(C385),FIND(" ",TRIM(C385)&amp;" ")-1),",","."),"."),LEFT(SUBSTITUTE(LEFT(TRIM(C385),FIND(" ",TRIM(C385)&amp;" ")-1),",","."),FIND("/",SUBSTITUTE(LEFT(TRIM(C385),FIND(" ",TRIM(C385)&amp;" ")-1),",","."))-1)/MID(SUBSTITUTE(LEFT(TRIM(C385),FIND(" ",TRIM(C385)&amp;" ")-1),",","."),FIND("/",SUBSTITUTE(LEFT(TRIM(C385),FIND(" ",TRIM(C385)&amp;" ")-1),",","."))+1,9)),IF(ISNUMBER(SEARCH("yea",C385)),IFERROR(_xlfn.NUMBERVALUE(SUBSTITUTE(LEFT(TRIM(C385),FIND(" ",TRIM(C385)&amp;" ")-1),",","."),"."),LEFT(SUBSTITUTE(LEFT(TRIM(C385),FIND(" ",TRIM(C385)&amp;" ")-1),",","."),FIND("/",SUBSTITUTE(LEFT(TRIM(C385),FIND(" ",TRIM(C385)&amp;" ")-1),",","."))-1)/MID(SUBSTITUTE(LEFT(TRIM(C385),FIND(" ",TRIM(C385)&amp;" ")-1),",","."),FIND("/",SUBSTITUTE(LEFT(TRIM(C385),FIND(" ",TRIM(C385)&amp;" ")-1),",","."))+1,9))*12,NA()))),0),36)*'Aturan &amp; Tarif'!$B$4,2)</f>
        <v>2044.08</v>
      </c>
      <c r="K385" s="42" t="n">
        <f aca="false">'Aturan &amp; Tarif'!$B$5</f>
        <v>2050</v>
      </c>
      <c r="L385" s="35" t="n">
        <f aca="false">I385+J385+K385</f>
        <v>12594.08</v>
      </c>
      <c r="M385" s="45" t="s">
        <v>2000</v>
      </c>
    </row>
    <row r="386" customFormat="false" ht="25.5" hidden="false" customHeight="true" outlineLevel="0" collapsed="false">
      <c r="A386" s="39"/>
      <c r="B386" s="40" t="s">
        <v>508</v>
      </c>
      <c r="C386" s="41" t="s">
        <v>127</v>
      </c>
      <c r="D386" s="41" t="s">
        <v>439</v>
      </c>
      <c r="E386" s="42" t="n">
        <v>8000</v>
      </c>
      <c r="F386" s="42"/>
      <c r="G386" s="42" t="n">
        <f aca="false">250+250</f>
        <v>500</v>
      </c>
      <c r="H386" s="43" t="n">
        <v>1</v>
      </c>
      <c r="I386" s="34" t="n">
        <f aca="false">E386*H386+N(F386)+N(G386)</f>
        <v>8500</v>
      </c>
      <c r="J386" s="42" t="n">
        <f aca="false">ROUND(IFERROR(ROUND(IF(OR(ISNUMBER(SEARCH("week",C386)),ISNUMBER(SEARCH("minggu",C386))),IFERROR(_xlfn.NUMBERVALUE(SUBSTITUTE(LEFT(TRIM(C386),FIND(" ",TRIM(C386)&amp;" ")-1),",","."),"."),LEFT(SUBSTITUTE(LEFT(TRIM(C386),FIND(" ",TRIM(C386)&amp;" ")-1),",","."),FIND("/",SUBSTITUTE(LEFT(TRIM(C386),FIND(" ",TRIM(C386)&amp;" ")-1),",","."))-1)/MID(SUBSTITUTE(LEFT(TRIM(C386),FIND(" ",TRIM(C386)&amp;" ")-1),",","."),FIND("/",SUBSTITUTE(LEFT(TRIM(C386),FIND(" ",TRIM(C386)&amp;" ")-1),",","."))+1,9))*12/52,IF(ISNUMBER(SEARCH("month",C386)),IFERROR(_xlfn.NUMBERVALUE(SUBSTITUTE(LEFT(TRIM(C386),FIND(" ",TRIM(C386)&amp;" ")-1),",","."),"."),LEFT(SUBSTITUTE(LEFT(TRIM(C386),FIND(" ",TRIM(C386)&amp;" ")-1),",","."),FIND("/",SUBSTITUTE(LEFT(TRIM(C386),FIND(" ",TRIM(C386)&amp;" ")-1),",","."))-1)/MID(SUBSTITUTE(LEFT(TRIM(C386),FIND(" ",TRIM(C386)&amp;" ")-1),",","."),FIND("/",SUBSTITUTE(LEFT(TRIM(C386),FIND(" ",TRIM(C386)&amp;" ")-1),",","."))+1,9)),IF(ISNUMBER(SEARCH("yea",C386)),IFERROR(_xlfn.NUMBERVALUE(SUBSTITUTE(LEFT(TRIM(C386),FIND(" ",TRIM(C386)&amp;" ")-1),",","."),"."),LEFT(SUBSTITUTE(LEFT(TRIM(C386),FIND(" ",TRIM(C386)&amp;" ")-1),",","."),FIND("/",SUBSTITUTE(LEFT(TRIM(C386),FIND(" ",TRIM(C386)&amp;" ")-1),",","."))-1)/MID(SUBSTITUTE(LEFT(TRIM(C386),FIND(" ",TRIM(C386)&amp;" ")-1),",","."),FIND("/",SUBSTITUTE(LEFT(TRIM(C386),FIND(" ",TRIM(C386)&amp;" ")-1),",","."))+1,9))*12,NA()))),0),36)*'Aturan &amp; Tarif'!$B$4,2)</f>
        <v>2044.08</v>
      </c>
      <c r="K386" s="42" t="n">
        <f aca="false">'Aturan &amp; Tarif'!$B$5</f>
        <v>2050</v>
      </c>
      <c r="L386" s="35" t="n">
        <f aca="false">I386+J386+K386</f>
        <v>12594.08</v>
      </c>
      <c r="M386" s="45" t="s">
        <v>2000</v>
      </c>
    </row>
    <row r="387" customFormat="false" ht="48.75" hidden="false" customHeight="true" outlineLevel="0" collapsed="false">
      <c r="A387" s="39"/>
      <c r="B387" s="40" t="s">
        <v>509</v>
      </c>
      <c r="C387" s="41" t="s">
        <v>127</v>
      </c>
      <c r="D387" s="41" t="s">
        <v>439</v>
      </c>
      <c r="E387" s="42" t="n">
        <v>8000</v>
      </c>
      <c r="F387" s="42"/>
      <c r="G387" s="42" t="n">
        <f aca="false">250+250</f>
        <v>500</v>
      </c>
      <c r="H387" s="43" t="n">
        <v>1</v>
      </c>
      <c r="I387" s="34" t="n">
        <f aca="false">E387*H387+N(F387)+N(G387)</f>
        <v>8500</v>
      </c>
      <c r="J387" s="42" t="n">
        <f aca="false">ROUND(IFERROR(ROUND(IF(OR(ISNUMBER(SEARCH("week",C387)),ISNUMBER(SEARCH("minggu",C387))),IFERROR(_xlfn.NUMBERVALUE(SUBSTITUTE(LEFT(TRIM(C387),FIND(" ",TRIM(C387)&amp;" ")-1),",","."),"."),LEFT(SUBSTITUTE(LEFT(TRIM(C387),FIND(" ",TRIM(C387)&amp;" ")-1),",","."),FIND("/",SUBSTITUTE(LEFT(TRIM(C387),FIND(" ",TRIM(C387)&amp;" ")-1),",","."))-1)/MID(SUBSTITUTE(LEFT(TRIM(C387),FIND(" ",TRIM(C387)&amp;" ")-1),",","."),FIND("/",SUBSTITUTE(LEFT(TRIM(C387),FIND(" ",TRIM(C387)&amp;" ")-1),",","."))+1,9))*12/52,IF(ISNUMBER(SEARCH("month",C387)),IFERROR(_xlfn.NUMBERVALUE(SUBSTITUTE(LEFT(TRIM(C387),FIND(" ",TRIM(C387)&amp;" ")-1),",","."),"."),LEFT(SUBSTITUTE(LEFT(TRIM(C387),FIND(" ",TRIM(C387)&amp;" ")-1),",","."),FIND("/",SUBSTITUTE(LEFT(TRIM(C387),FIND(" ",TRIM(C387)&amp;" ")-1),",","."))-1)/MID(SUBSTITUTE(LEFT(TRIM(C387),FIND(" ",TRIM(C387)&amp;" ")-1),",","."),FIND("/",SUBSTITUTE(LEFT(TRIM(C387),FIND(" ",TRIM(C387)&amp;" ")-1),",","."))+1,9)),IF(ISNUMBER(SEARCH("yea",C387)),IFERROR(_xlfn.NUMBERVALUE(SUBSTITUTE(LEFT(TRIM(C387),FIND(" ",TRIM(C387)&amp;" ")-1),",","."),"."),LEFT(SUBSTITUTE(LEFT(TRIM(C387),FIND(" ",TRIM(C387)&amp;" ")-1),",","."),FIND("/",SUBSTITUTE(LEFT(TRIM(C387),FIND(" ",TRIM(C387)&amp;" ")-1),",","."))-1)/MID(SUBSTITUTE(LEFT(TRIM(C387),FIND(" ",TRIM(C387)&amp;" ")-1),",","."),FIND("/",SUBSTITUTE(LEFT(TRIM(C387),FIND(" ",TRIM(C387)&amp;" ")-1),",","."))+1,9))*12,NA()))),0),36)*'Aturan &amp; Tarif'!$B$4,2)</f>
        <v>2044.08</v>
      </c>
      <c r="K387" s="42" t="n">
        <f aca="false">'Aturan &amp; Tarif'!$B$5</f>
        <v>2050</v>
      </c>
      <c r="L387" s="35" t="n">
        <f aca="false">I387+J387+K387</f>
        <v>12594.08</v>
      </c>
      <c r="M387" s="45" t="s">
        <v>2000</v>
      </c>
    </row>
    <row r="388" customFormat="false" ht="25.5" hidden="false" customHeight="true" outlineLevel="0" collapsed="false">
      <c r="A388" s="39"/>
      <c r="B388" s="40" t="s">
        <v>510</v>
      </c>
      <c r="C388" s="41" t="s">
        <v>127</v>
      </c>
      <c r="D388" s="41" t="s">
        <v>439</v>
      </c>
      <c r="E388" s="42" t="n">
        <v>8000</v>
      </c>
      <c r="F388" s="42"/>
      <c r="G388" s="42" t="n">
        <f aca="false">250+250</f>
        <v>500</v>
      </c>
      <c r="H388" s="43" t="n">
        <v>1</v>
      </c>
      <c r="I388" s="34" t="n">
        <f aca="false">E388*H388+N(F388)+N(G388)</f>
        <v>8500</v>
      </c>
      <c r="J388" s="42" t="n">
        <f aca="false">ROUND(IFERROR(ROUND(IF(OR(ISNUMBER(SEARCH("week",C388)),ISNUMBER(SEARCH("minggu",C388))),IFERROR(_xlfn.NUMBERVALUE(SUBSTITUTE(LEFT(TRIM(C388),FIND(" ",TRIM(C388)&amp;" ")-1),",","."),"."),LEFT(SUBSTITUTE(LEFT(TRIM(C388),FIND(" ",TRIM(C388)&amp;" ")-1),",","."),FIND("/",SUBSTITUTE(LEFT(TRIM(C388),FIND(" ",TRIM(C388)&amp;" ")-1),",","."))-1)/MID(SUBSTITUTE(LEFT(TRIM(C388),FIND(" ",TRIM(C388)&amp;" ")-1),",","."),FIND("/",SUBSTITUTE(LEFT(TRIM(C388),FIND(" ",TRIM(C388)&amp;" ")-1),",","."))+1,9))*12/52,IF(ISNUMBER(SEARCH("month",C388)),IFERROR(_xlfn.NUMBERVALUE(SUBSTITUTE(LEFT(TRIM(C388),FIND(" ",TRIM(C388)&amp;" ")-1),",","."),"."),LEFT(SUBSTITUTE(LEFT(TRIM(C388),FIND(" ",TRIM(C388)&amp;" ")-1),",","."),FIND("/",SUBSTITUTE(LEFT(TRIM(C388),FIND(" ",TRIM(C388)&amp;" ")-1),",","."))-1)/MID(SUBSTITUTE(LEFT(TRIM(C388),FIND(" ",TRIM(C388)&amp;" ")-1),",","."),FIND("/",SUBSTITUTE(LEFT(TRIM(C388),FIND(" ",TRIM(C388)&amp;" ")-1),",","."))+1,9)),IF(ISNUMBER(SEARCH("yea",C388)),IFERROR(_xlfn.NUMBERVALUE(SUBSTITUTE(LEFT(TRIM(C388),FIND(" ",TRIM(C388)&amp;" ")-1),",","."),"."),LEFT(SUBSTITUTE(LEFT(TRIM(C388),FIND(" ",TRIM(C388)&amp;" ")-1),",","."),FIND("/",SUBSTITUTE(LEFT(TRIM(C388),FIND(" ",TRIM(C388)&amp;" ")-1),",","."))-1)/MID(SUBSTITUTE(LEFT(TRIM(C388),FIND(" ",TRIM(C388)&amp;" ")-1),",","."),FIND("/",SUBSTITUTE(LEFT(TRIM(C388),FIND(" ",TRIM(C388)&amp;" ")-1),",","."))+1,9))*12,NA()))),0),36)*'Aturan &amp; Tarif'!$B$4,2)</f>
        <v>2044.08</v>
      </c>
      <c r="K388" s="42" t="n">
        <f aca="false">'Aturan &amp; Tarif'!$B$5</f>
        <v>2050</v>
      </c>
      <c r="L388" s="35" t="n">
        <f aca="false">I388+J388+K388</f>
        <v>12594.08</v>
      </c>
      <c r="M388" s="45" t="s">
        <v>2000</v>
      </c>
    </row>
    <row r="389" customFormat="false" ht="48.75" hidden="false" customHeight="true" outlineLevel="0" collapsed="false">
      <c r="A389" s="39" t="s">
        <v>2001</v>
      </c>
      <c r="B389" s="40" t="s">
        <v>2538</v>
      </c>
      <c r="C389" s="41" t="s">
        <v>107</v>
      </c>
      <c r="D389" s="41" t="s">
        <v>108</v>
      </c>
      <c r="E389" s="42" t="n">
        <v>2600</v>
      </c>
      <c r="F389" s="42" t="n">
        <v>950</v>
      </c>
      <c r="G389" s="42" t="n">
        <v>200</v>
      </c>
      <c r="H389" s="43" t="n">
        <v>1</v>
      </c>
      <c r="I389" s="34" t="n">
        <f aca="false">E389*H389+N(F389)+N(G389)</f>
        <v>3750</v>
      </c>
      <c r="J389" s="42" t="n">
        <f aca="false">ROUND(IFERROR(ROUND(IF(OR(ISNUMBER(SEARCH("week",C389)),ISNUMBER(SEARCH("minggu",C389))),IFERROR(_xlfn.NUMBERVALUE(SUBSTITUTE(LEFT(TRIM(C389),FIND(" ",TRIM(C389)&amp;" ")-1),",","."),"."),LEFT(SUBSTITUTE(LEFT(TRIM(C389),FIND(" ",TRIM(C389)&amp;" ")-1),",","."),FIND("/",SUBSTITUTE(LEFT(TRIM(C389),FIND(" ",TRIM(C389)&amp;" ")-1),",","."))-1)/MID(SUBSTITUTE(LEFT(TRIM(C389),FIND(" ",TRIM(C389)&amp;" ")-1),",","."),FIND("/",SUBSTITUTE(LEFT(TRIM(C389),FIND(" ",TRIM(C389)&amp;" ")-1),",","."))+1,9))*12/52,IF(ISNUMBER(SEARCH("month",C389)),IFERROR(_xlfn.NUMBERVALUE(SUBSTITUTE(LEFT(TRIM(C389),FIND(" ",TRIM(C389)&amp;" ")-1),",","."),"."),LEFT(SUBSTITUTE(LEFT(TRIM(C389),FIND(" ",TRIM(C389)&amp;" ")-1),",","."),FIND("/",SUBSTITUTE(LEFT(TRIM(C389),FIND(" ",TRIM(C389)&amp;" ")-1),",","."))-1)/MID(SUBSTITUTE(LEFT(TRIM(C389),FIND(" ",TRIM(C389)&amp;" ")-1),",","."),FIND("/",SUBSTITUTE(LEFT(TRIM(C389),FIND(" ",TRIM(C389)&amp;" ")-1),",","."))+1,9)),IF(ISNUMBER(SEARCH("yea",C389)),IFERROR(_xlfn.NUMBERVALUE(SUBSTITUTE(LEFT(TRIM(C389),FIND(" ",TRIM(C389)&amp;" ")-1),",","."),"."),LEFT(SUBSTITUTE(LEFT(TRIM(C389),FIND(" ",TRIM(C389)&amp;" ")-1),",","."),FIND("/",SUBSTITUTE(LEFT(TRIM(C389),FIND(" ",TRIM(C389)&amp;" ")-1),",","."))-1)/MID(SUBSTITUTE(LEFT(TRIM(C389),FIND(" ",TRIM(C389)&amp;" ")-1),",","."),FIND("/",SUBSTITUTE(LEFT(TRIM(C389),FIND(" ",TRIM(C389)&amp;" ")-1),",","."))+1,9))*12,NA()))),0),24)*'Aturan &amp; Tarif'!$B$4,2)</f>
        <v>1362.72</v>
      </c>
      <c r="K389" s="42" t="n">
        <f aca="false">'Aturan &amp; Tarif'!$B$5</f>
        <v>2050</v>
      </c>
      <c r="L389" s="35" t="n">
        <f aca="false">I389+J389+K389</f>
        <v>7162.72</v>
      </c>
      <c r="M389" s="44" t="s">
        <v>3104</v>
      </c>
    </row>
    <row r="390" customFormat="false" ht="37.5" hidden="false" customHeight="true" outlineLevel="0" collapsed="false">
      <c r="A390" s="39"/>
      <c r="B390" s="40" t="s">
        <v>3105</v>
      </c>
      <c r="C390" s="41" t="s">
        <v>127</v>
      </c>
      <c r="D390" s="41" t="s">
        <v>108</v>
      </c>
      <c r="E390" s="42" t="n">
        <v>2600</v>
      </c>
      <c r="F390" s="42" t="n">
        <v>950</v>
      </c>
      <c r="G390" s="42" t="n">
        <v>200</v>
      </c>
      <c r="H390" s="43" t="n">
        <v>1</v>
      </c>
      <c r="I390" s="34" t="n">
        <f aca="false">E390*H390+N(F390)+N(G390)</f>
        <v>3750</v>
      </c>
      <c r="J390" s="42" t="n">
        <f aca="false">ROUND(IFERROR(ROUND(IF(OR(ISNUMBER(SEARCH("week",C390)),ISNUMBER(SEARCH("minggu",C390))),IFERROR(_xlfn.NUMBERVALUE(SUBSTITUTE(LEFT(TRIM(C390),FIND(" ",TRIM(C390)&amp;" ")-1),",","."),"."),LEFT(SUBSTITUTE(LEFT(TRIM(C390),FIND(" ",TRIM(C390)&amp;" ")-1),",","."),FIND("/",SUBSTITUTE(LEFT(TRIM(C390),FIND(" ",TRIM(C390)&amp;" ")-1),",","."))-1)/MID(SUBSTITUTE(LEFT(TRIM(C390),FIND(" ",TRIM(C390)&amp;" ")-1),",","."),FIND("/",SUBSTITUTE(LEFT(TRIM(C390),FIND(" ",TRIM(C390)&amp;" ")-1),",","."))+1,9))*12/52,IF(ISNUMBER(SEARCH("month",C390)),IFERROR(_xlfn.NUMBERVALUE(SUBSTITUTE(LEFT(TRIM(C390),FIND(" ",TRIM(C390)&amp;" ")-1),",","."),"."),LEFT(SUBSTITUTE(LEFT(TRIM(C390),FIND(" ",TRIM(C390)&amp;" ")-1),",","."),FIND("/",SUBSTITUTE(LEFT(TRIM(C390),FIND(" ",TRIM(C390)&amp;" ")-1),",","."))-1)/MID(SUBSTITUTE(LEFT(TRIM(C390),FIND(" ",TRIM(C390)&amp;" ")-1),",","."),FIND("/",SUBSTITUTE(LEFT(TRIM(C390),FIND(" ",TRIM(C390)&amp;" ")-1),",","."))+1,9)),IF(ISNUMBER(SEARCH("yea",C390)),IFERROR(_xlfn.NUMBERVALUE(SUBSTITUTE(LEFT(TRIM(C390),FIND(" ",TRIM(C390)&amp;" ")-1),",","."),"."),LEFT(SUBSTITUTE(LEFT(TRIM(C390),FIND(" ",TRIM(C390)&amp;" ")-1),",","."),FIND("/",SUBSTITUTE(LEFT(TRIM(C390),FIND(" ",TRIM(C390)&amp;" ")-1),",","."))-1)/MID(SUBSTITUTE(LEFT(TRIM(C390),FIND(" ",TRIM(C390)&amp;" ")-1),",","."),FIND("/",SUBSTITUTE(LEFT(TRIM(C390),FIND(" ",TRIM(C390)&amp;" ")-1),",","."))+1,9))*12,NA()))),0),36)*'Aturan &amp; Tarif'!$B$4,2)</f>
        <v>2044.08</v>
      </c>
      <c r="K390" s="42" t="n">
        <f aca="false">'Aturan &amp; Tarif'!$B$5</f>
        <v>2050</v>
      </c>
      <c r="L390" s="35" t="n">
        <f aca="false">I390+J390+K390</f>
        <v>7844.08</v>
      </c>
      <c r="M390" s="44" t="s">
        <v>3106</v>
      </c>
    </row>
    <row r="391" customFormat="false" ht="25.5" hidden="false" customHeight="true" outlineLevel="0" collapsed="false">
      <c r="A391" s="39"/>
      <c r="B391" s="40" t="s">
        <v>2005</v>
      </c>
      <c r="C391" s="41" t="s">
        <v>127</v>
      </c>
      <c r="D391" s="41" t="s">
        <v>108</v>
      </c>
      <c r="E391" s="42" t="n">
        <v>1350</v>
      </c>
      <c r="F391" s="42" t="n">
        <v>50</v>
      </c>
      <c r="G391" s="42" t="n">
        <v>200</v>
      </c>
      <c r="H391" s="43" t="n">
        <v>1</v>
      </c>
      <c r="I391" s="34" t="n">
        <f aca="false">E391*H391+N(F391)*H391+N(G391)</f>
        <v>1600</v>
      </c>
      <c r="J391" s="42" t="n">
        <f aca="false">ROUND(IFERROR(ROUND(IF(OR(ISNUMBER(SEARCH("week",C391)),ISNUMBER(SEARCH("minggu",C391))),IFERROR(_xlfn.NUMBERVALUE(SUBSTITUTE(LEFT(TRIM(C391),FIND(" ",TRIM(C391)&amp;" ")-1),",","."),"."),LEFT(SUBSTITUTE(LEFT(TRIM(C391),FIND(" ",TRIM(C391)&amp;" ")-1),",","."),FIND("/",SUBSTITUTE(LEFT(TRIM(C391),FIND(" ",TRIM(C391)&amp;" ")-1),",","."))-1)/MID(SUBSTITUTE(LEFT(TRIM(C391),FIND(" ",TRIM(C391)&amp;" ")-1),",","."),FIND("/",SUBSTITUTE(LEFT(TRIM(C391),FIND(" ",TRIM(C391)&amp;" ")-1),",","."))+1,9))*12/52,IF(ISNUMBER(SEARCH("month",C391)),IFERROR(_xlfn.NUMBERVALUE(SUBSTITUTE(LEFT(TRIM(C391),FIND(" ",TRIM(C391)&amp;" ")-1),",","."),"."),LEFT(SUBSTITUTE(LEFT(TRIM(C391),FIND(" ",TRIM(C391)&amp;" ")-1),",","."),FIND("/",SUBSTITUTE(LEFT(TRIM(C391),FIND(" ",TRIM(C391)&amp;" ")-1),",","."))-1)/MID(SUBSTITUTE(LEFT(TRIM(C391),FIND(" ",TRIM(C391)&amp;" ")-1),",","."),FIND("/",SUBSTITUTE(LEFT(TRIM(C391),FIND(" ",TRIM(C391)&amp;" ")-1),",","."))+1,9)),IF(ISNUMBER(SEARCH("yea",C391)),IFERROR(_xlfn.NUMBERVALUE(SUBSTITUTE(LEFT(TRIM(C391),FIND(" ",TRIM(C391)&amp;" ")-1),",","."),"."),LEFT(SUBSTITUTE(LEFT(TRIM(C391),FIND(" ",TRIM(C391)&amp;" ")-1),",","."),FIND("/",SUBSTITUTE(LEFT(TRIM(C391),FIND(" ",TRIM(C391)&amp;" ")-1),",","."))-1)/MID(SUBSTITUTE(LEFT(TRIM(C391),FIND(" ",TRIM(C391)&amp;" ")-1),",","."),FIND("/",SUBSTITUTE(LEFT(TRIM(C391),FIND(" ",TRIM(C391)&amp;" ")-1),",","."))+1,9))*12,NA()))),0),36)*'Aturan &amp; Tarif'!$B$4,2)</f>
        <v>2044.08</v>
      </c>
      <c r="K391" s="42" t="n">
        <f aca="false">'Aturan &amp; Tarif'!$B$5</f>
        <v>2050</v>
      </c>
      <c r="L391" s="35" t="n">
        <f aca="false">I391+J391+K391</f>
        <v>5694.08</v>
      </c>
      <c r="M391" s="44" t="s">
        <v>3107</v>
      </c>
    </row>
    <row r="392" customFormat="false" ht="37.5" hidden="false" customHeight="true" outlineLevel="0" collapsed="false">
      <c r="A392" s="39"/>
      <c r="B392" s="40" t="s">
        <v>2007</v>
      </c>
      <c r="C392" s="41" t="s">
        <v>495</v>
      </c>
      <c r="D392" s="41" t="s">
        <v>108</v>
      </c>
      <c r="E392" s="42" t="n">
        <v>1350</v>
      </c>
      <c r="F392" s="42" t="n">
        <v>50</v>
      </c>
      <c r="G392" s="42" t="n">
        <v>200</v>
      </c>
      <c r="H392" s="43" t="n">
        <v>1</v>
      </c>
      <c r="I392" s="34" t="n">
        <f aca="false">E392*H392+N(F392)*H392+N(G392)</f>
        <v>1600</v>
      </c>
      <c r="J392" s="42" t="n">
        <f aca="false">ROUND(IFERROR(ROUND(IF(OR(ISNUMBER(SEARCH("week",C392)),ISNUMBER(SEARCH("minggu",C392))),IFERROR(_xlfn.NUMBERVALUE(SUBSTITUTE(LEFT(TRIM(C392),FIND(" ",TRIM(C392)&amp;" ")-1),",","."),"."),LEFT(SUBSTITUTE(LEFT(TRIM(C392),FIND(" ",TRIM(C392)&amp;" ")-1),",","."),FIND("/",SUBSTITUTE(LEFT(TRIM(C392),FIND(" ",TRIM(C392)&amp;" ")-1),",","."))-1)/MID(SUBSTITUTE(LEFT(TRIM(C392),FIND(" ",TRIM(C392)&amp;" ")-1),",","."),FIND("/",SUBSTITUTE(LEFT(TRIM(C392),FIND(" ",TRIM(C392)&amp;" ")-1),",","."))+1,9))*12/52,IF(ISNUMBER(SEARCH("month",C392)),IFERROR(_xlfn.NUMBERVALUE(SUBSTITUTE(LEFT(TRIM(C392),FIND(" ",TRIM(C392)&amp;" ")-1),",","."),"."),LEFT(SUBSTITUTE(LEFT(TRIM(C392),FIND(" ",TRIM(C392)&amp;" ")-1),",","."),FIND("/",SUBSTITUTE(LEFT(TRIM(C392),FIND(" ",TRIM(C392)&amp;" ")-1),",","."))-1)/MID(SUBSTITUTE(LEFT(TRIM(C392),FIND(" ",TRIM(C392)&amp;" ")-1),",","."),FIND("/",SUBSTITUTE(LEFT(TRIM(C392),FIND(" ",TRIM(C392)&amp;" ")-1),",","."))+1,9)),IF(ISNUMBER(SEARCH("yea",C392)),IFERROR(_xlfn.NUMBERVALUE(SUBSTITUTE(LEFT(TRIM(C392),FIND(" ",TRIM(C392)&amp;" ")-1),",","."),"."),LEFT(SUBSTITUTE(LEFT(TRIM(C392),FIND(" ",TRIM(C392)&amp;" ")-1),",","."),FIND("/",SUBSTITUTE(LEFT(TRIM(C392),FIND(" ",TRIM(C392)&amp;" ")-1),",","."))-1)/MID(SUBSTITUTE(LEFT(TRIM(C392),FIND(" ",TRIM(C392)&amp;" ")-1),",","."),FIND("/",SUBSTITUTE(LEFT(TRIM(C392),FIND(" ",TRIM(C392)&amp;" ")-1),",","."))+1,9))*12,NA()))),0),54)*'Aturan &amp; Tarif'!$B$4,2)</f>
        <v>3066.12</v>
      </c>
      <c r="K392" s="42" t="n">
        <f aca="false">'Aturan &amp; Tarif'!$B$5</f>
        <v>2050</v>
      </c>
      <c r="L392" s="35" t="n">
        <f aca="false">I392+J392+K392</f>
        <v>6716.12</v>
      </c>
      <c r="M392" s="44" t="s">
        <v>3108</v>
      </c>
    </row>
    <row r="393" customFormat="false" ht="25.5" hidden="false" customHeight="true" outlineLevel="0" collapsed="false">
      <c r="A393" s="39"/>
      <c r="B393" s="40" t="s">
        <v>2008</v>
      </c>
      <c r="C393" s="41" t="s">
        <v>107</v>
      </c>
      <c r="D393" s="41" t="s">
        <v>108</v>
      </c>
      <c r="E393" s="42" t="n">
        <v>1850</v>
      </c>
      <c r="F393" s="42" t="n">
        <v>150</v>
      </c>
      <c r="G393" s="42" t="n">
        <v>200</v>
      </c>
      <c r="H393" s="43" t="n">
        <v>1</v>
      </c>
      <c r="I393" s="34" t="n">
        <f aca="false">E393*H393+N(F393)*H393+N(G393)</f>
        <v>2200</v>
      </c>
      <c r="J393" s="42" t="n">
        <f aca="false">ROUND(IFERROR(ROUND(IF(OR(ISNUMBER(SEARCH("week",C393)),ISNUMBER(SEARCH("minggu",C393))),IFERROR(_xlfn.NUMBERVALUE(SUBSTITUTE(LEFT(TRIM(C393),FIND(" ",TRIM(C393)&amp;" ")-1),",","."),"."),LEFT(SUBSTITUTE(LEFT(TRIM(C393),FIND(" ",TRIM(C393)&amp;" ")-1),",","."),FIND("/",SUBSTITUTE(LEFT(TRIM(C393),FIND(" ",TRIM(C393)&amp;" ")-1),",","."))-1)/MID(SUBSTITUTE(LEFT(TRIM(C393),FIND(" ",TRIM(C393)&amp;" ")-1),",","."),FIND("/",SUBSTITUTE(LEFT(TRIM(C393),FIND(" ",TRIM(C393)&amp;" ")-1),",","."))+1,9))*12/52,IF(ISNUMBER(SEARCH("month",C393)),IFERROR(_xlfn.NUMBERVALUE(SUBSTITUTE(LEFT(TRIM(C393),FIND(" ",TRIM(C393)&amp;" ")-1),",","."),"."),LEFT(SUBSTITUTE(LEFT(TRIM(C393),FIND(" ",TRIM(C393)&amp;" ")-1),",","."),FIND("/",SUBSTITUTE(LEFT(TRIM(C393),FIND(" ",TRIM(C393)&amp;" ")-1),",","."))-1)/MID(SUBSTITUTE(LEFT(TRIM(C393),FIND(" ",TRIM(C393)&amp;" ")-1),",","."),FIND("/",SUBSTITUTE(LEFT(TRIM(C393),FIND(" ",TRIM(C393)&amp;" ")-1),",","."))+1,9)),IF(ISNUMBER(SEARCH("yea",C393)),IFERROR(_xlfn.NUMBERVALUE(SUBSTITUTE(LEFT(TRIM(C393),FIND(" ",TRIM(C393)&amp;" ")-1),",","."),"."),LEFT(SUBSTITUTE(LEFT(TRIM(C393),FIND(" ",TRIM(C393)&amp;" ")-1),",","."),FIND("/",SUBSTITUTE(LEFT(TRIM(C393),FIND(" ",TRIM(C393)&amp;" ")-1),",","."))-1)/MID(SUBSTITUTE(LEFT(TRIM(C393),FIND(" ",TRIM(C393)&amp;" ")-1),",","."),FIND("/",SUBSTITUTE(LEFT(TRIM(C393),FIND(" ",TRIM(C393)&amp;" ")-1),",","."))+1,9))*12,NA()))),0),24)*'Aturan &amp; Tarif'!$B$4,2)</f>
        <v>1362.72</v>
      </c>
      <c r="K393" s="42" t="n">
        <f aca="false">'Aturan &amp; Tarif'!$B$5</f>
        <v>2050</v>
      </c>
      <c r="L393" s="35" t="n">
        <f aca="false">I393+J393+K393</f>
        <v>5612.72</v>
      </c>
      <c r="M393" s="45" t="s">
        <v>3109</v>
      </c>
    </row>
    <row r="394" customFormat="false" ht="25.5" hidden="false" customHeight="true" outlineLevel="0" collapsed="false">
      <c r="A394" s="29" t="s">
        <v>2010</v>
      </c>
      <c r="B394" s="30" t="s">
        <v>348</v>
      </c>
      <c r="C394" s="31" t="s">
        <v>113</v>
      </c>
      <c r="D394" s="31" t="s">
        <v>108</v>
      </c>
      <c r="E394" s="32" t="n">
        <v>9548</v>
      </c>
      <c r="F394" s="32"/>
      <c r="G394" s="32"/>
      <c r="H394" s="33" t="n">
        <v>2</v>
      </c>
      <c r="I394" s="34" t="n">
        <f aca="false">E394*H394+N(F394)+N(G394)</f>
        <v>19096</v>
      </c>
      <c r="J394" s="32" t="n">
        <f aca="false">ROUND(IFERROR(ROUND(IF(OR(ISNUMBER(SEARCH("week",C394)),ISNUMBER(SEARCH("minggu",C394))),IFERROR(_xlfn.NUMBERVALUE(SUBSTITUTE(LEFT(TRIM(C394),FIND(" ",TRIM(C394)&amp;" ")-1),",","."),"."),LEFT(SUBSTITUTE(LEFT(TRIM(C394),FIND(" ",TRIM(C394)&amp;" ")-1),",","."),FIND("/",SUBSTITUTE(LEFT(TRIM(C394),FIND(" ",TRIM(C394)&amp;" ")-1),",","."))-1)/MID(SUBSTITUTE(LEFT(TRIM(C394),FIND(" ",TRIM(C394)&amp;" ")-1),",","."),FIND("/",SUBSTITUTE(LEFT(TRIM(C394),FIND(" ",TRIM(C394)&amp;" ")-1),",","."))+1,9))*12/52,IF(ISNUMBER(SEARCH("month",C394)),IFERROR(_xlfn.NUMBERVALUE(SUBSTITUTE(LEFT(TRIM(C394),FIND(" ",TRIM(C394)&amp;" ")-1),",","."),"."),LEFT(SUBSTITUTE(LEFT(TRIM(C394),FIND(" ",TRIM(C394)&amp;" ")-1),",","."),FIND("/",SUBSTITUTE(LEFT(TRIM(C394),FIND(" ",TRIM(C394)&amp;" ")-1),",","."))-1)/MID(SUBSTITUTE(LEFT(TRIM(C394),FIND(" ",TRIM(C394)&amp;" ")-1),",","."),FIND("/",SUBSTITUTE(LEFT(TRIM(C394),FIND(" ",TRIM(C394)&amp;" ")-1),",","."))+1,9)),IF(ISNUMBER(SEARCH("yea",C394)),IFERROR(_xlfn.NUMBERVALUE(SUBSTITUTE(LEFT(TRIM(C394),FIND(" ",TRIM(C394)&amp;" ")-1),",","."),"."),LEFT(SUBSTITUTE(LEFT(TRIM(C394),FIND(" ",TRIM(C394)&amp;" ")-1),",","."),FIND("/",SUBSTITUTE(LEFT(TRIM(C394),FIND(" ",TRIM(C394)&amp;" ")-1),",","."))-1)/MID(SUBSTITUTE(LEFT(TRIM(C394),FIND(" ",TRIM(C394)&amp;" ")-1),",","."),FIND("/",SUBSTITUTE(LEFT(TRIM(C394),FIND(" ",TRIM(C394)&amp;" ")-1),",","."))+1,9))*12,NA()))),0),18)*'Aturan &amp; Tarif'!$B$4,2)</f>
        <v>1022.04</v>
      </c>
      <c r="K394" s="32" t="n">
        <f aca="false">'Aturan &amp; Tarif'!$B$5</f>
        <v>2050</v>
      </c>
      <c r="L394" s="35" t="n">
        <f aca="false">I394+J394+K394</f>
        <v>22168.04</v>
      </c>
      <c r="M394" s="37" t="s">
        <v>512</v>
      </c>
    </row>
    <row r="395" customFormat="false" ht="25.5" hidden="false" customHeight="true" outlineLevel="0" collapsed="false">
      <c r="A395" s="29"/>
      <c r="B395" s="30" t="s">
        <v>525</v>
      </c>
      <c r="C395" s="31" t="s">
        <v>107</v>
      </c>
      <c r="D395" s="31" t="s">
        <v>108</v>
      </c>
      <c r="E395" s="32" t="n">
        <v>9548</v>
      </c>
      <c r="F395" s="32"/>
      <c r="G395" s="32"/>
      <c r="H395" s="33" t="n">
        <v>2</v>
      </c>
      <c r="I395" s="34" t="n">
        <f aca="false">E395*H395+N(F395)+N(G395)</f>
        <v>19096</v>
      </c>
      <c r="J395" s="32" t="n">
        <f aca="false">ROUND(IFERROR(ROUND(IF(OR(ISNUMBER(SEARCH("week",C395)),ISNUMBER(SEARCH("minggu",C395))),IFERROR(_xlfn.NUMBERVALUE(SUBSTITUTE(LEFT(TRIM(C395),FIND(" ",TRIM(C395)&amp;" ")-1),",","."),"."),LEFT(SUBSTITUTE(LEFT(TRIM(C395),FIND(" ",TRIM(C395)&amp;" ")-1),",","."),FIND("/",SUBSTITUTE(LEFT(TRIM(C395),FIND(" ",TRIM(C395)&amp;" ")-1),",","."))-1)/MID(SUBSTITUTE(LEFT(TRIM(C395),FIND(" ",TRIM(C395)&amp;" ")-1),",","."),FIND("/",SUBSTITUTE(LEFT(TRIM(C395),FIND(" ",TRIM(C395)&amp;" ")-1),",","."))+1,9))*12/52,IF(ISNUMBER(SEARCH("month",C395)),IFERROR(_xlfn.NUMBERVALUE(SUBSTITUTE(LEFT(TRIM(C395),FIND(" ",TRIM(C395)&amp;" ")-1),",","."),"."),LEFT(SUBSTITUTE(LEFT(TRIM(C395),FIND(" ",TRIM(C395)&amp;" ")-1),",","."),FIND("/",SUBSTITUTE(LEFT(TRIM(C395),FIND(" ",TRIM(C395)&amp;" ")-1),",","."))-1)/MID(SUBSTITUTE(LEFT(TRIM(C395),FIND(" ",TRIM(C395)&amp;" ")-1),",","."),FIND("/",SUBSTITUTE(LEFT(TRIM(C395),FIND(" ",TRIM(C395)&amp;" ")-1),",","."))+1,9)),IF(ISNUMBER(SEARCH("yea",C395)),IFERROR(_xlfn.NUMBERVALUE(SUBSTITUTE(LEFT(TRIM(C395),FIND(" ",TRIM(C395)&amp;" ")-1),",","."),"."),LEFT(SUBSTITUTE(LEFT(TRIM(C395),FIND(" ",TRIM(C395)&amp;" ")-1),",","."),FIND("/",SUBSTITUTE(LEFT(TRIM(C395),FIND(" ",TRIM(C395)&amp;" ")-1),",","."))-1)/MID(SUBSTITUTE(LEFT(TRIM(C395),FIND(" ",TRIM(C395)&amp;" ")-1),",","."),FIND("/",SUBSTITUTE(LEFT(TRIM(C395),FIND(" ",TRIM(C395)&amp;" ")-1),",","."))+1,9))*12,NA()))),0),24)*'Aturan &amp; Tarif'!$B$4,2)</f>
        <v>1362.72</v>
      </c>
      <c r="K395" s="32" t="n">
        <f aca="false">'Aturan &amp; Tarif'!$B$5</f>
        <v>2050</v>
      </c>
      <c r="L395" s="35" t="n">
        <f aca="false">I395+J395+K395</f>
        <v>22508.72</v>
      </c>
      <c r="M395" s="37" t="s">
        <v>512</v>
      </c>
    </row>
    <row r="396" customFormat="false" ht="25.5" hidden="false" customHeight="true" outlineLevel="0" collapsed="false">
      <c r="A396" s="29"/>
      <c r="B396" s="30" t="s">
        <v>526</v>
      </c>
      <c r="C396" s="31" t="s">
        <v>344</v>
      </c>
      <c r="D396" s="31" t="s">
        <v>108</v>
      </c>
      <c r="E396" s="32" t="n">
        <v>9548</v>
      </c>
      <c r="F396" s="32"/>
      <c r="G396" s="32"/>
      <c r="H396" s="33" t="n">
        <v>2</v>
      </c>
      <c r="I396" s="34" t="n">
        <f aca="false">E396*H396+N(F396)+N(G396)</f>
        <v>19096</v>
      </c>
      <c r="J396" s="32" t="n">
        <f aca="false">ROUND(IFERROR(ROUND(IF(OR(ISNUMBER(SEARCH("week",C396)),ISNUMBER(SEARCH("minggu",C396))),IFERROR(_xlfn.NUMBERVALUE(SUBSTITUTE(LEFT(TRIM(C396),FIND(" ",TRIM(C396)&amp;" ")-1),",","."),"."),LEFT(SUBSTITUTE(LEFT(TRIM(C396),FIND(" ",TRIM(C396)&amp;" ")-1),",","."),FIND("/",SUBSTITUTE(LEFT(TRIM(C396),FIND(" ",TRIM(C396)&amp;" ")-1),",","."))-1)/MID(SUBSTITUTE(LEFT(TRIM(C396),FIND(" ",TRIM(C396)&amp;" ")-1),",","."),FIND("/",SUBSTITUTE(LEFT(TRIM(C396),FIND(" ",TRIM(C396)&amp;" ")-1),",","."))+1,9))*12/52,IF(ISNUMBER(SEARCH("month",C396)),IFERROR(_xlfn.NUMBERVALUE(SUBSTITUTE(LEFT(TRIM(C396),FIND(" ",TRIM(C396)&amp;" ")-1),",","."),"."),LEFT(SUBSTITUTE(LEFT(TRIM(C396),FIND(" ",TRIM(C396)&amp;" ")-1),",","."),FIND("/",SUBSTITUTE(LEFT(TRIM(C396),FIND(" ",TRIM(C396)&amp;" ")-1),",","."))-1)/MID(SUBSTITUTE(LEFT(TRIM(C396),FIND(" ",TRIM(C396)&amp;" ")-1),",","."),FIND("/",SUBSTITUTE(LEFT(TRIM(C396),FIND(" ",TRIM(C396)&amp;" ")-1),",","."))+1,9)),IF(ISNUMBER(SEARCH("yea",C396)),IFERROR(_xlfn.NUMBERVALUE(SUBSTITUTE(LEFT(TRIM(C396),FIND(" ",TRIM(C396)&amp;" ")-1),",","."),"."),LEFT(SUBSTITUTE(LEFT(TRIM(C396),FIND(" ",TRIM(C396)&amp;" ")-1),",","."),FIND("/",SUBSTITUTE(LEFT(TRIM(C396),FIND(" ",TRIM(C396)&amp;" ")-1),",","."))-1)/MID(SUBSTITUTE(LEFT(TRIM(C396),FIND(" ",TRIM(C396)&amp;" ")-1),",","."),FIND("/",SUBSTITUTE(LEFT(TRIM(C396),FIND(" ",TRIM(C396)&amp;" ")-1),",","."))+1,9))*12,NA()))),0),6)*'Aturan &amp; Tarif'!$B$4,2)</f>
        <v>340.68</v>
      </c>
      <c r="K396" s="32" t="n">
        <f aca="false">'Aturan &amp; Tarif'!$B$5</f>
        <v>2050</v>
      </c>
      <c r="L396" s="35" t="n">
        <f aca="false">I396+J396+K396</f>
        <v>21486.68</v>
      </c>
      <c r="M396" s="37" t="s">
        <v>512</v>
      </c>
    </row>
    <row r="397" customFormat="false" ht="37.5" hidden="false" customHeight="true" outlineLevel="0" collapsed="false">
      <c r="A397" s="29"/>
      <c r="B397" s="30" t="s">
        <v>167</v>
      </c>
      <c r="C397" s="31" t="s">
        <v>107</v>
      </c>
      <c r="D397" s="31" t="s">
        <v>108</v>
      </c>
      <c r="E397" s="32" t="n">
        <v>9548</v>
      </c>
      <c r="F397" s="32"/>
      <c r="G397" s="32"/>
      <c r="H397" s="33" t="n">
        <v>2</v>
      </c>
      <c r="I397" s="34" t="n">
        <f aca="false">E397*H397+N(F397)+N(G397)</f>
        <v>19096</v>
      </c>
      <c r="J397" s="32" t="n">
        <f aca="false">ROUND(IFERROR(ROUND(IF(OR(ISNUMBER(SEARCH("week",C397)),ISNUMBER(SEARCH("minggu",C397))),IFERROR(_xlfn.NUMBERVALUE(SUBSTITUTE(LEFT(TRIM(C397),FIND(" ",TRIM(C397)&amp;" ")-1),",","."),"."),LEFT(SUBSTITUTE(LEFT(TRIM(C397),FIND(" ",TRIM(C397)&amp;" ")-1),",","."),FIND("/",SUBSTITUTE(LEFT(TRIM(C397),FIND(" ",TRIM(C397)&amp;" ")-1),",","."))-1)/MID(SUBSTITUTE(LEFT(TRIM(C397),FIND(" ",TRIM(C397)&amp;" ")-1),",","."),FIND("/",SUBSTITUTE(LEFT(TRIM(C397),FIND(" ",TRIM(C397)&amp;" ")-1),",","."))+1,9))*12/52,IF(ISNUMBER(SEARCH("month",C397)),IFERROR(_xlfn.NUMBERVALUE(SUBSTITUTE(LEFT(TRIM(C397),FIND(" ",TRIM(C397)&amp;" ")-1),",","."),"."),LEFT(SUBSTITUTE(LEFT(TRIM(C397),FIND(" ",TRIM(C397)&amp;" ")-1),",","."),FIND("/",SUBSTITUTE(LEFT(TRIM(C397),FIND(" ",TRIM(C397)&amp;" ")-1),",","."))-1)/MID(SUBSTITUTE(LEFT(TRIM(C397),FIND(" ",TRIM(C397)&amp;" ")-1),",","."),FIND("/",SUBSTITUTE(LEFT(TRIM(C397),FIND(" ",TRIM(C397)&amp;" ")-1),",","."))+1,9)),IF(ISNUMBER(SEARCH("yea",C397)),IFERROR(_xlfn.NUMBERVALUE(SUBSTITUTE(LEFT(TRIM(C397),FIND(" ",TRIM(C397)&amp;" ")-1),",","."),"."),LEFT(SUBSTITUTE(LEFT(TRIM(C397),FIND(" ",TRIM(C397)&amp;" ")-1),",","."),FIND("/",SUBSTITUTE(LEFT(TRIM(C397),FIND(" ",TRIM(C397)&amp;" ")-1),",","."))-1)/MID(SUBSTITUTE(LEFT(TRIM(C397),FIND(" ",TRIM(C397)&amp;" ")-1),",","."),FIND("/",SUBSTITUTE(LEFT(TRIM(C397),FIND(" ",TRIM(C397)&amp;" ")-1),",","."))+1,9))*12,NA()))),0),24)*'Aturan &amp; Tarif'!$B$4,2)</f>
        <v>1362.72</v>
      </c>
      <c r="K397" s="32" t="n">
        <f aca="false">'Aturan &amp; Tarif'!$B$5</f>
        <v>2050</v>
      </c>
      <c r="L397" s="35" t="n">
        <f aca="false">I397+J397+K397</f>
        <v>22508.72</v>
      </c>
      <c r="M397" s="37" t="s">
        <v>512</v>
      </c>
    </row>
    <row r="398" customFormat="false" ht="37.5" hidden="false" customHeight="true" outlineLevel="0" collapsed="false">
      <c r="A398" s="29"/>
      <c r="B398" s="30" t="s">
        <v>527</v>
      </c>
      <c r="C398" s="31" t="s">
        <v>107</v>
      </c>
      <c r="D398" s="31" t="s">
        <v>108</v>
      </c>
      <c r="E398" s="32" t="n">
        <v>9548</v>
      </c>
      <c r="F398" s="32"/>
      <c r="G398" s="32"/>
      <c r="H398" s="33" t="n">
        <v>2</v>
      </c>
      <c r="I398" s="34" t="n">
        <f aca="false">E398*H398+N(F398)+N(G398)</f>
        <v>19096</v>
      </c>
      <c r="J398" s="32" t="n">
        <f aca="false">ROUND(IFERROR(ROUND(IF(OR(ISNUMBER(SEARCH("week",C398)),ISNUMBER(SEARCH("minggu",C398))),IFERROR(_xlfn.NUMBERVALUE(SUBSTITUTE(LEFT(TRIM(C398),FIND(" ",TRIM(C398)&amp;" ")-1),",","."),"."),LEFT(SUBSTITUTE(LEFT(TRIM(C398),FIND(" ",TRIM(C398)&amp;" ")-1),",","."),FIND("/",SUBSTITUTE(LEFT(TRIM(C398),FIND(" ",TRIM(C398)&amp;" ")-1),",","."))-1)/MID(SUBSTITUTE(LEFT(TRIM(C398),FIND(" ",TRIM(C398)&amp;" ")-1),",","."),FIND("/",SUBSTITUTE(LEFT(TRIM(C398),FIND(" ",TRIM(C398)&amp;" ")-1),",","."))+1,9))*12/52,IF(ISNUMBER(SEARCH("month",C398)),IFERROR(_xlfn.NUMBERVALUE(SUBSTITUTE(LEFT(TRIM(C398),FIND(" ",TRIM(C398)&amp;" ")-1),",","."),"."),LEFT(SUBSTITUTE(LEFT(TRIM(C398),FIND(" ",TRIM(C398)&amp;" ")-1),",","."),FIND("/",SUBSTITUTE(LEFT(TRIM(C398),FIND(" ",TRIM(C398)&amp;" ")-1),",","."))-1)/MID(SUBSTITUTE(LEFT(TRIM(C398),FIND(" ",TRIM(C398)&amp;" ")-1),",","."),FIND("/",SUBSTITUTE(LEFT(TRIM(C398),FIND(" ",TRIM(C398)&amp;" ")-1),",","."))+1,9)),IF(ISNUMBER(SEARCH("yea",C398)),IFERROR(_xlfn.NUMBERVALUE(SUBSTITUTE(LEFT(TRIM(C398),FIND(" ",TRIM(C398)&amp;" ")-1),",","."),"."),LEFT(SUBSTITUTE(LEFT(TRIM(C398),FIND(" ",TRIM(C398)&amp;" ")-1),",","."),FIND("/",SUBSTITUTE(LEFT(TRIM(C398),FIND(" ",TRIM(C398)&amp;" ")-1),",","."))-1)/MID(SUBSTITUTE(LEFT(TRIM(C398),FIND(" ",TRIM(C398)&amp;" ")-1),",","."),FIND("/",SUBSTITUTE(LEFT(TRIM(C398),FIND(" ",TRIM(C398)&amp;" ")-1),",","."))+1,9))*12,NA()))),0),24)*'Aturan &amp; Tarif'!$B$4,2)</f>
        <v>1362.72</v>
      </c>
      <c r="K398" s="32" t="n">
        <f aca="false">'Aturan &amp; Tarif'!$B$5</f>
        <v>2050</v>
      </c>
      <c r="L398" s="35" t="n">
        <f aca="false">I398+J398+K398</f>
        <v>22508.72</v>
      </c>
      <c r="M398" s="37" t="s">
        <v>512</v>
      </c>
    </row>
    <row r="399" customFormat="false" ht="37.5" hidden="false" customHeight="true" outlineLevel="0" collapsed="false">
      <c r="A399" s="29"/>
      <c r="B399" s="30" t="s">
        <v>859</v>
      </c>
      <c r="C399" s="31" t="s">
        <v>107</v>
      </c>
      <c r="D399" s="31" t="s">
        <v>108</v>
      </c>
      <c r="E399" s="32" t="n">
        <v>9548</v>
      </c>
      <c r="F399" s="32"/>
      <c r="G399" s="32"/>
      <c r="H399" s="33" t="n">
        <v>2</v>
      </c>
      <c r="I399" s="34" t="n">
        <f aca="false">E399*H399+N(F399)+N(G399)</f>
        <v>19096</v>
      </c>
      <c r="J399" s="32" t="n">
        <f aca="false">ROUND(IFERROR(ROUND(IF(OR(ISNUMBER(SEARCH("week",C399)),ISNUMBER(SEARCH("minggu",C399))),IFERROR(_xlfn.NUMBERVALUE(SUBSTITUTE(LEFT(TRIM(C399),FIND(" ",TRIM(C399)&amp;" ")-1),",","."),"."),LEFT(SUBSTITUTE(LEFT(TRIM(C399),FIND(" ",TRIM(C399)&amp;" ")-1),",","."),FIND("/",SUBSTITUTE(LEFT(TRIM(C399),FIND(" ",TRIM(C399)&amp;" ")-1),",","."))-1)/MID(SUBSTITUTE(LEFT(TRIM(C399),FIND(" ",TRIM(C399)&amp;" ")-1),",","."),FIND("/",SUBSTITUTE(LEFT(TRIM(C399),FIND(" ",TRIM(C399)&amp;" ")-1),",","."))+1,9))*12/52,IF(ISNUMBER(SEARCH("month",C399)),IFERROR(_xlfn.NUMBERVALUE(SUBSTITUTE(LEFT(TRIM(C399),FIND(" ",TRIM(C399)&amp;" ")-1),",","."),"."),LEFT(SUBSTITUTE(LEFT(TRIM(C399),FIND(" ",TRIM(C399)&amp;" ")-1),",","."),FIND("/",SUBSTITUTE(LEFT(TRIM(C399),FIND(" ",TRIM(C399)&amp;" ")-1),",","."))-1)/MID(SUBSTITUTE(LEFT(TRIM(C399),FIND(" ",TRIM(C399)&amp;" ")-1),",","."),FIND("/",SUBSTITUTE(LEFT(TRIM(C399),FIND(" ",TRIM(C399)&amp;" ")-1),",","."))+1,9)),IF(ISNUMBER(SEARCH("yea",C399)),IFERROR(_xlfn.NUMBERVALUE(SUBSTITUTE(LEFT(TRIM(C399),FIND(" ",TRIM(C399)&amp;" ")-1),",","."),"."),LEFT(SUBSTITUTE(LEFT(TRIM(C399),FIND(" ",TRIM(C399)&amp;" ")-1),",","."),FIND("/",SUBSTITUTE(LEFT(TRIM(C399),FIND(" ",TRIM(C399)&amp;" ")-1),",","."))-1)/MID(SUBSTITUTE(LEFT(TRIM(C399),FIND(" ",TRIM(C399)&amp;" ")-1),",","."),FIND("/",SUBSTITUTE(LEFT(TRIM(C399),FIND(" ",TRIM(C399)&amp;" ")-1),",","."))+1,9))*12,NA()))),0),24)*'Aturan &amp; Tarif'!$B$4,2)</f>
        <v>1362.72</v>
      </c>
      <c r="K399" s="32" t="n">
        <f aca="false">'Aturan &amp; Tarif'!$B$5</f>
        <v>2050</v>
      </c>
      <c r="L399" s="35" t="n">
        <f aca="false">I399+J399+K399</f>
        <v>22508.72</v>
      </c>
      <c r="M399" s="37" t="s">
        <v>512</v>
      </c>
    </row>
    <row r="400" customFormat="false" ht="37.5" hidden="false" customHeight="true" outlineLevel="0" collapsed="false">
      <c r="A400" s="29"/>
      <c r="B400" s="30" t="s">
        <v>265</v>
      </c>
      <c r="C400" s="31" t="s">
        <v>127</v>
      </c>
      <c r="D400" s="31" t="s">
        <v>108</v>
      </c>
      <c r="E400" s="32" t="n">
        <v>9680</v>
      </c>
      <c r="F400" s="32"/>
      <c r="G400" s="32"/>
      <c r="H400" s="33" t="n">
        <v>2</v>
      </c>
      <c r="I400" s="34" t="n">
        <f aca="false">E400*H400+N(F400)+N(G400)</f>
        <v>19360</v>
      </c>
      <c r="J400" s="32" t="n">
        <f aca="false">ROUND(IFERROR(ROUND(IF(OR(ISNUMBER(SEARCH("week",C400)),ISNUMBER(SEARCH("minggu",C400))),IFERROR(_xlfn.NUMBERVALUE(SUBSTITUTE(LEFT(TRIM(C400),FIND(" ",TRIM(C400)&amp;" ")-1),",","."),"."),LEFT(SUBSTITUTE(LEFT(TRIM(C400),FIND(" ",TRIM(C400)&amp;" ")-1),",","."),FIND("/",SUBSTITUTE(LEFT(TRIM(C400),FIND(" ",TRIM(C400)&amp;" ")-1),",","."))-1)/MID(SUBSTITUTE(LEFT(TRIM(C400),FIND(" ",TRIM(C400)&amp;" ")-1),",","."),FIND("/",SUBSTITUTE(LEFT(TRIM(C400),FIND(" ",TRIM(C400)&amp;" ")-1),",","."))+1,9))*12/52,IF(ISNUMBER(SEARCH("month",C400)),IFERROR(_xlfn.NUMBERVALUE(SUBSTITUTE(LEFT(TRIM(C400),FIND(" ",TRIM(C400)&amp;" ")-1),",","."),"."),LEFT(SUBSTITUTE(LEFT(TRIM(C400),FIND(" ",TRIM(C400)&amp;" ")-1),",","."),FIND("/",SUBSTITUTE(LEFT(TRIM(C400),FIND(" ",TRIM(C400)&amp;" ")-1),",","."))-1)/MID(SUBSTITUTE(LEFT(TRIM(C400),FIND(" ",TRIM(C400)&amp;" ")-1),",","."),FIND("/",SUBSTITUTE(LEFT(TRIM(C400),FIND(" ",TRIM(C400)&amp;" ")-1),",","."))+1,9)),IF(ISNUMBER(SEARCH("yea",C400)),IFERROR(_xlfn.NUMBERVALUE(SUBSTITUTE(LEFT(TRIM(C400),FIND(" ",TRIM(C400)&amp;" ")-1),",","."),"."),LEFT(SUBSTITUTE(LEFT(TRIM(C400),FIND(" ",TRIM(C400)&amp;" ")-1),",","."),FIND("/",SUBSTITUTE(LEFT(TRIM(C400),FIND(" ",TRIM(C400)&amp;" ")-1),",","."))-1)/MID(SUBSTITUTE(LEFT(TRIM(C400),FIND(" ",TRIM(C400)&amp;" ")-1),",","."),FIND("/",SUBSTITUTE(LEFT(TRIM(C400),FIND(" ",TRIM(C400)&amp;" ")-1),",","."))+1,9))*12,NA()))),0),36)*'Aturan &amp; Tarif'!$B$4,2)</f>
        <v>2044.08</v>
      </c>
      <c r="K400" s="32" t="n">
        <f aca="false">'Aturan &amp; Tarif'!$B$5</f>
        <v>2050</v>
      </c>
      <c r="L400" s="35" t="n">
        <f aca="false">I400+J400+K400</f>
        <v>23454.08</v>
      </c>
      <c r="M400" s="37" t="s">
        <v>512</v>
      </c>
    </row>
    <row r="401" customFormat="false" ht="37.5" hidden="false" customHeight="true" outlineLevel="0" collapsed="false">
      <c r="A401" s="29"/>
      <c r="B401" s="30" t="s">
        <v>588</v>
      </c>
      <c r="C401" s="31" t="s">
        <v>107</v>
      </c>
      <c r="D401" s="31" t="s">
        <v>108</v>
      </c>
      <c r="E401" s="32" t="n">
        <v>10104</v>
      </c>
      <c r="F401" s="32"/>
      <c r="G401" s="32"/>
      <c r="H401" s="33" t="n">
        <v>2</v>
      </c>
      <c r="I401" s="34" t="n">
        <f aca="false">E401*H401+N(F401)+N(G401)</f>
        <v>20208</v>
      </c>
      <c r="J401" s="32" t="n">
        <f aca="false">ROUND(IFERROR(ROUND(IF(OR(ISNUMBER(SEARCH("week",C401)),ISNUMBER(SEARCH("minggu",C401))),IFERROR(_xlfn.NUMBERVALUE(SUBSTITUTE(LEFT(TRIM(C401),FIND(" ",TRIM(C401)&amp;" ")-1),",","."),"."),LEFT(SUBSTITUTE(LEFT(TRIM(C401),FIND(" ",TRIM(C401)&amp;" ")-1),",","."),FIND("/",SUBSTITUTE(LEFT(TRIM(C401),FIND(" ",TRIM(C401)&amp;" ")-1),",","."))-1)/MID(SUBSTITUTE(LEFT(TRIM(C401),FIND(" ",TRIM(C401)&amp;" ")-1),",","."),FIND("/",SUBSTITUTE(LEFT(TRIM(C401),FIND(" ",TRIM(C401)&amp;" ")-1),",","."))+1,9))*12/52,IF(ISNUMBER(SEARCH("month",C401)),IFERROR(_xlfn.NUMBERVALUE(SUBSTITUTE(LEFT(TRIM(C401),FIND(" ",TRIM(C401)&amp;" ")-1),",","."),"."),LEFT(SUBSTITUTE(LEFT(TRIM(C401),FIND(" ",TRIM(C401)&amp;" ")-1),",","."),FIND("/",SUBSTITUTE(LEFT(TRIM(C401),FIND(" ",TRIM(C401)&amp;" ")-1),",","."))-1)/MID(SUBSTITUTE(LEFT(TRIM(C401),FIND(" ",TRIM(C401)&amp;" ")-1),",","."),FIND("/",SUBSTITUTE(LEFT(TRIM(C401),FIND(" ",TRIM(C401)&amp;" ")-1),",","."))+1,9)),IF(ISNUMBER(SEARCH("yea",C401)),IFERROR(_xlfn.NUMBERVALUE(SUBSTITUTE(LEFT(TRIM(C401),FIND(" ",TRIM(C401)&amp;" ")-1),",","."),"."),LEFT(SUBSTITUTE(LEFT(TRIM(C401),FIND(" ",TRIM(C401)&amp;" ")-1),",","."),FIND("/",SUBSTITUTE(LEFT(TRIM(C401),FIND(" ",TRIM(C401)&amp;" ")-1),",","."))-1)/MID(SUBSTITUTE(LEFT(TRIM(C401),FIND(" ",TRIM(C401)&amp;" ")-1),",","."),FIND("/",SUBSTITUTE(LEFT(TRIM(C401),FIND(" ",TRIM(C401)&amp;" ")-1),",","."))+1,9))*12,NA()))),0),24)*'Aturan &amp; Tarif'!$B$4,2)</f>
        <v>1362.72</v>
      </c>
      <c r="K401" s="32" t="n">
        <f aca="false">'Aturan &amp; Tarif'!$B$5</f>
        <v>2050</v>
      </c>
      <c r="L401" s="35" t="n">
        <f aca="false">I401+J401+K401</f>
        <v>23620.72</v>
      </c>
      <c r="M401" s="37" t="s">
        <v>512</v>
      </c>
    </row>
    <row r="402" customFormat="false" ht="37.5" hidden="false" customHeight="true" outlineLevel="0" collapsed="false">
      <c r="A402" s="29"/>
      <c r="B402" s="30" t="s">
        <v>327</v>
      </c>
      <c r="C402" s="31" t="s">
        <v>127</v>
      </c>
      <c r="D402" s="31" t="s">
        <v>108</v>
      </c>
      <c r="E402" s="32" t="n">
        <v>8714</v>
      </c>
      <c r="F402" s="32"/>
      <c r="G402" s="32"/>
      <c r="H402" s="33" t="n">
        <v>2</v>
      </c>
      <c r="I402" s="34" t="n">
        <f aca="false">E402*H402+N(F402)+N(G402)</f>
        <v>17428</v>
      </c>
      <c r="J402" s="32" t="n">
        <f aca="false">ROUND(IFERROR(ROUND(IF(OR(ISNUMBER(SEARCH("week",C402)),ISNUMBER(SEARCH("minggu",C402))),IFERROR(_xlfn.NUMBERVALUE(SUBSTITUTE(LEFT(TRIM(C402),FIND(" ",TRIM(C402)&amp;" ")-1),",","."),"."),LEFT(SUBSTITUTE(LEFT(TRIM(C402),FIND(" ",TRIM(C402)&amp;" ")-1),",","."),FIND("/",SUBSTITUTE(LEFT(TRIM(C402),FIND(" ",TRIM(C402)&amp;" ")-1),",","."))-1)/MID(SUBSTITUTE(LEFT(TRIM(C402),FIND(" ",TRIM(C402)&amp;" ")-1),",","."),FIND("/",SUBSTITUTE(LEFT(TRIM(C402),FIND(" ",TRIM(C402)&amp;" ")-1),",","."))+1,9))*12/52,IF(ISNUMBER(SEARCH("month",C402)),IFERROR(_xlfn.NUMBERVALUE(SUBSTITUTE(LEFT(TRIM(C402),FIND(" ",TRIM(C402)&amp;" ")-1),",","."),"."),LEFT(SUBSTITUTE(LEFT(TRIM(C402),FIND(" ",TRIM(C402)&amp;" ")-1),",","."),FIND("/",SUBSTITUTE(LEFT(TRIM(C402),FIND(" ",TRIM(C402)&amp;" ")-1),",","."))-1)/MID(SUBSTITUTE(LEFT(TRIM(C402),FIND(" ",TRIM(C402)&amp;" ")-1),",","."),FIND("/",SUBSTITUTE(LEFT(TRIM(C402),FIND(" ",TRIM(C402)&amp;" ")-1),",","."))+1,9)),IF(ISNUMBER(SEARCH("yea",C402)),IFERROR(_xlfn.NUMBERVALUE(SUBSTITUTE(LEFT(TRIM(C402),FIND(" ",TRIM(C402)&amp;" ")-1),",","."),"."),LEFT(SUBSTITUTE(LEFT(TRIM(C402),FIND(" ",TRIM(C402)&amp;" ")-1),",","."),FIND("/",SUBSTITUTE(LEFT(TRIM(C402),FIND(" ",TRIM(C402)&amp;" ")-1),",","."))-1)/MID(SUBSTITUTE(LEFT(TRIM(C402),FIND(" ",TRIM(C402)&amp;" ")-1),",","."),FIND("/",SUBSTITUTE(LEFT(TRIM(C402),FIND(" ",TRIM(C402)&amp;" ")-1),",","."))+1,9))*12,NA()))),0),36)*'Aturan &amp; Tarif'!$B$4,2)</f>
        <v>2044.08</v>
      </c>
      <c r="K402" s="32" t="n">
        <f aca="false">'Aturan &amp; Tarif'!$B$5</f>
        <v>2050</v>
      </c>
      <c r="L402" s="35" t="n">
        <f aca="false">I402+J402+K402</f>
        <v>21522.08</v>
      </c>
      <c r="M402" s="37" t="s">
        <v>512</v>
      </c>
    </row>
    <row r="403" customFormat="false" ht="37.5" hidden="false" customHeight="true" outlineLevel="0" collapsed="false">
      <c r="A403" s="29"/>
      <c r="B403" s="30" t="s">
        <v>335</v>
      </c>
      <c r="C403" s="31" t="s">
        <v>127</v>
      </c>
      <c r="D403" s="31" t="s">
        <v>108</v>
      </c>
      <c r="E403" s="32" t="n">
        <v>8714</v>
      </c>
      <c r="F403" s="32"/>
      <c r="G403" s="32"/>
      <c r="H403" s="33" t="n">
        <v>2</v>
      </c>
      <c r="I403" s="34" t="n">
        <f aca="false">E403*H403+N(F403)+N(G403)</f>
        <v>17428</v>
      </c>
      <c r="J403" s="32" t="n">
        <f aca="false">ROUND(IFERROR(ROUND(IF(OR(ISNUMBER(SEARCH("week",C403)),ISNUMBER(SEARCH("minggu",C403))),IFERROR(_xlfn.NUMBERVALUE(SUBSTITUTE(LEFT(TRIM(C403),FIND(" ",TRIM(C403)&amp;" ")-1),",","."),"."),LEFT(SUBSTITUTE(LEFT(TRIM(C403),FIND(" ",TRIM(C403)&amp;" ")-1),",","."),FIND("/",SUBSTITUTE(LEFT(TRIM(C403),FIND(" ",TRIM(C403)&amp;" ")-1),",","."))-1)/MID(SUBSTITUTE(LEFT(TRIM(C403),FIND(" ",TRIM(C403)&amp;" ")-1),",","."),FIND("/",SUBSTITUTE(LEFT(TRIM(C403),FIND(" ",TRIM(C403)&amp;" ")-1),",","."))+1,9))*12/52,IF(ISNUMBER(SEARCH("month",C403)),IFERROR(_xlfn.NUMBERVALUE(SUBSTITUTE(LEFT(TRIM(C403),FIND(" ",TRIM(C403)&amp;" ")-1),",","."),"."),LEFT(SUBSTITUTE(LEFT(TRIM(C403),FIND(" ",TRIM(C403)&amp;" ")-1),",","."),FIND("/",SUBSTITUTE(LEFT(TRIM(C403),FIND(" ",TRIM(C403)&amp;" ")-1),",","."))-1)/MID(SUBSTITUTE(LEFT(TRIM(C403),FIND(" ",TRIM(C403)&amp;" ")-1),",","."),FIND("/",SUBSTITUTE(LEFT(TRIM(C403),FIND(" ",TRIM(C403)&amp;" ")-1),",","."))+1,9)),IF(ISNUMBER(SEARCH("yea",C403)),IFERROR(_xlfn.NUMBERVALUE(SUBSTITUTE(LEFT(TRIM(C403),FIND(" ",TRIM(C403)&amp;" ")-1),",","."),"."),LEFT(SUBSTITUTE(LEFT(TRIM(C403),FIND(" ",TRIM(C403)&amp;" ")-1),",","."),FIND("/",SUBSTITUTE(LEFT(TRIM(C403),FIND(" ",TRIM(C403)&amp;" ")-1),",","."))-1)/MID(SUBSTITUTE(LEFT(TRIM(C403),FIND(" ",TRIM(C403)&amp;" ")-1),",","."),FIND("/",SUBSTITUTE(LEFT(TRIM(C403),FIND(" ",TRIM(C403)&amp;" ")-1),",","."))+1,9))*12,NA()))),0),36)*'Aturan &amp; Tarif'!$B$4,2)</f>
        <v>2044.08</v>
      </c>
      <c r="K403" s="32" t="n">
        <f aca="false">'Aturan &amp; Tarif'!$B$5</f>
        <v>2050</v>
      </c>
      <c r="L403" s="35" t="n">
        <f aca="false">I403+J403+K403</f>
        <v>21522.08</v>
      </c>
      <c r="M403" s="37" t="s">
        <v>512</v>
      </c>
    </row>
    <row r="404" customFormat="false" ht="37.5" hidden="false" customHeight="true" outlineLevel="0" collapsed="false">
      <c r="A404" s="29"/>
      <c r="B404" s="30" t="s">
        <v>597</v>
      </c>
      <c r="C404" s="31" t="s">
        <v>107</v>
      </c>
      <c r="D404" s="31" t="s">
        <v>108</v>
      </c>
      <c r="E404" s="32" t="n">
        <v>9110</v>
      </c>
      <c r="F404" s="32"/>
      <c r="G404" s="32"/>
      <c r="H404" s="33" t="n">
        <v>2</v>
      </c>
      <c r="I404" s="34" t="n">
        <f aca="false">E404*H404+N(F404)+N(G404)</f>
        <v>18220</v>
      </c>
      <c r="J404" s="32" t="n">
        <f aca="false">ROUND(IFERROR(ROUND(IF(OR(ISNUMBER(SEARCH("week",C404)),ISNUMBER(SEARCH("minggu",C404))),IFERROR(_xlfn.NUMBERVALUE(SUBSTITUTE(LEFT(TRIM(C404),FIND(" ",TRIM(C404)&amp;" ")-1),",","."),"."),LEFT(SUBSTITUTE(LEFT(TRIM(C404),FIND(" ",TRIM(C404)&amp;" ")-1),",","."),FIND("/",SUBSTITUTE(LEFT(TRIM(C404),FIND(" ",TRIM(C404)&amp;" ")-1),",","."))-1)/MID(SUBSTITUTE(LEFT(TRIM(C404),FIND(" ",TRIM(C404)&amp;" ")-1),",","."),FIND("/",SUBSTITUTE(LEFT(TRIM(C404),FIND(" ",TRIM(C404)&amp;" ")-1),",","."))+1,9))*12/52,IF(ISNUMBER(SEARCH("month",C404)),IFERROR(_xlfn.NUMBERVALUE(SUBSTITUTE(LEFT(TRIM(C404),FIND(" ",TRIM(C404)&amp;" ")-1),",","."),"."),LEFT(SUBSTITUTE(LEFT(TRIM(C404),FIND(" ",TRIM(C404)&amp;" ")-1),",","."),FIND("/",SUBSTITUTE(LEFT(TRIM(C404),FIND(" ",TRIM(C404)&amp;" ")-1),",","."))-1)/MID(SUBSTITUTE(LEFT(TRIM(C404),FIND(" ",TRIM(C404)&amp;" ")-1),",","."),FIND("/",SUBSTITUTE(LEFT(TRIM(C404),FIND(" ",TRIM(C404)&amp;" ")-1),",","."))+1,9)),IF(ISNUMBER(SEARCH("yea",C404)),IFERROR(_xlfn.NUMBERVALUE(SUBSTITUTE(LEFT(TRIM(C404),FIND(" ",TRIM(C404)&amp;" ")-1),",","."),"."),LEFT(SUBSTITUTE(LEFT(TRIM(C404),FIND(" ",TRIM(C404)&amp;" ")-1),",","."),FIND("/",SUBSTITUTE(LEFT(TRIM(C404),FIND(" ",TRIM(C404)&amp;" ")-1),",","."))-1)/MID(SUBSTITUTE(LEFT(TRIM(C404),FIND(" ",TRIM(C404)&amp;" ")-1),",","."),FIND("/",SUBSTITUTE(LEFT(TRIM(C404),FIND(" ",TRIM(C404)&amp;" ")-1),",","."))+1,9))*12,NA()))),0),24)*'Aturan &amp; Tarif'!$B$4,2)</f>
        <v>1362.72</v>
      </c>
      <c r="K404" s="32" t="n">
        <f aca="false">'Aturan &amp; Tarif'!$B$5</f>
        <v>2050</v>
      </c>
      <c r="L404" s="35" t="n">
        <f aca="false">I404+J404+K404</f>
        <v>21632.72</v>
      </c>
      <c r="M404" s="37" t="s">
        <v>512</v>
      </c>
    </row>
    <row r="405" customFormat="false" ht="14.25" hidden="false" customHeight="true" outlineLevel="0" collapsed="false">
      <c r="A405" s="29"/>
      <c r="B405" s="30" t="s">
        <v>2011</v>
      </c>
      <c r="C405" s="31" t="s">
        <v>107</v>
      </c>
      <c r="D405" s="31" t="s">
        <v>108</v>
      </c>
      <c r="E405" s="32" t="n">
        <v>9110</v>
      </c>
      <c r="F405" s="32"/>
      <c r="G405" s="32"/>
      <c r="H405" s="33" t="n">
        <v>2</v>
      </c>
      <c r="I405" s="34" t="n">
        <f aca="false">E405*H405+N(F405)+N(G405)</f>
        <v>18220</v>
      </c>
      <c r="J405" s="32" t="n">
        <f aca="false">ROUND(IFERROR(ROUND(IF(OR(ISNUMBER(SEARCH("week",C405)),ISNUMBER(SEARCH("minggu",C405))),IFERROR(_xlfn.NUMBERVALUE(SUBSTITUTE(LEFT(TRIM(C405),FIND(" ",TRIM(C405)&amp;" ")-1),",","."),"."),LEFT(SUBSTITUTE(LEFT(TRIM(C405),FIND(" ",TRIM(C405)&amp;" ")-1),",","."),FIND("/",SUBSTITUTE(LEFT(TRIM(C405),FIND(" ",TRIM(C405)&amp;" ")-1),",","."))-1)/MID(SUBSTITUTE(LEFT(TRIM(C405),FIND(" ",TRIM(C405)&amp;" ")-1),",","."),FIND("/",SUBSTITUTE(LEFT(TRIM(C405),FIND(" ",TRIM(C405)&amp;" ")-1),",","."))+1,9))*12/52,IF(ISNUMBER(SEARCH("month",C405)),IFERROR(_xlfn.NUMBERVALUE(SUBSTITUTE(LEFT(TRIM(C405),FIND(" ",TRIM(C405)&amp;" ")-1),",","."),"."),LEFT(SUBSTITUTE(LEFT(TRIM(C405),FIND(" ",TRIM(C405)&amp;" ")-1),",","."),FIND("/",SUBSTITUTE(LEFT(TRIM(C405),FIND(" ",TRIM(C405)&amp;" ")-1),",","."))-1)/MID(SUBSTITUTE(LEFT(TRIM(C405),FIND(" ",TRIM(C405)&amp;" ")-1),",","."),FIND("/",SUBSTITUTE(LEFT(TRIM(C405),FIND(" ",TRIM(C405)&amp;" ")-1),",","."))+1,9)),IF(ISNUMBER(SEARCH("yea",C405)),IFERROR(_xlfn.NUMBERVALUE(SUBSTITUTE(LEFT(TRIM(C405),FIND(" ",TRIM(C405)&amp;" ")-1),",","."),"."),LEFT(SUBSTITUTE(LEFT(TRIM(C405),FIND(" ",TRIM(C405)&amp;" ")-1),",","."),FIND("/",SUBSTITUTE(LEFT(TRIM(C405),FIND(" ",TRIM(C405)&amp;" ")-1),",","."))-1)/MID(SUBSTITUTE(LEFT(TRIM(C405),FIND(" ",TRIM(C405)&amp;" ")-1),",","."),FIND("/",SUBSTITUTE(LEFT(TRIM(C405),FIND(" ",TRIM(C405)&amp;" ")-1),",","."))+1,9))*12,NA()))),0),24)*'Aturan &amp; Tarif'!$B$4,2)</f>
        <v>1362.72</v>
      </c>
      <c r="K405" s="32" t="n">
        <f aca="false">'Aturan &amp; Tarif'!$B$5</f>
        <v>2050</v>
      </c>
      <c r="L405" s="35" t="n">
        <f aca="false">I405+J405+K405</f>
        <v>21632.72</v>
      </c>
      <c r="M405" s="37" t="s">
        <v>512</v>
      </c>
    </row>
    <row r="406" customFormat="false" ht="14.25" hidden="false" customHeight="true" outlineLevel="0" collapsed="false">
      <c r="A406" s="29"/>
      <c r="B406" s="30" t="s">
        <v>1504</v>
      </c>
      <c r="C406" s="31" t="s">
        <v>107</v>
      </c>
      <c r="D406" s="31" t="s">
        <v>108</v>
      </c>
      <c r="E406" s="32" t="n">
        <v>9110</v>
      </c>
      <c r="F406" s="32"/>
      <c r="G406" s="32"/>
      <c r="H406" s="33" t="n">
        <v>2</v>
      </c>
      <c r="I406" s="34" t="n">
        <f aca="false">E406*H406+N(F406)+N(G406)</f>
        <v>18220</v>
      </c>
      <c r="J406" s="32" t="n">
        <f aca="false">ROUND(IFERROR(ROUND(IF(OR(ISNUMBER(SEARCH("week",C406)),ISNUMBER(SEARCH("minggu",C406))),IFERROR(_xlfn.NUMBERVALUE(SUBSTITUTE(LEFT(TRIM(C406),FIND(" ",TRIM(C406)&amp;" ")-1),",","."),"."),LEFT(SUBSTITUTE(LEFT(TRIM(C406),FIND(" ",TRIM(C406)&amp;" ")-1),",","."),FIND("/",SUBSTITUTE(LEFT(TRIM(C406),FIND(" ",TRIM(C406)&amp;" ")-1),",","."))-1)/MID(SUBSTITUTE(LEFT(TRIM(C406),FIND(" ",TRIM(C406)&amp;" ")-1),",","."),FIND("/",SUBSTITUTE(LEFT(TRIM(C406),FIND(" ",TRIM(C406)&amp;" ")-1),",","."))+1,9))*12/52,IF(ISNUMBER(SEARCH("month",C406)),IFERROR(_xlfn.NUMBERVALUE(SUBSTITUTE(LEFT(TRIM(C406),FIND(" ",TRIM(C406)&amp;" ")-1),",","."),"."),LEFT(SUBSTITUTE(LEFT(TRIM(C406),FIND(" ",TRIM(C406)&amp;" ")-1),",","."),FIND("/",SUBSTITUTE(LEFT(TRIM(C406),FIND(" ",TRIM(C406)&amp;" ")-1),",","."))-1)/MID(SUBSTITUTE(LEFT(TRIM(C406),FIND(" ",TRIM(C406)&amp;" ")-1),",","."),FIND("/",SUBSTITUTE(LEFT(TRIM(C406),FIND(" ",TRIM(C406)&amp;" ")-1),",","."))+1,9)),IF(ISNUMBER(SEARCH("yea",C406)),IFERROR(_xlfn.NUMBERVALUE(SUBSTITUTE(LEFT(TRIM(C406),FIND(" ",TRIM(C406)&amp;" ")-1),",","."),"."),LEFT(SUBSTITUTE(LEFT(TRIM(C406),FIND(" ",TRIM(C406)&amp;" ")-1),",","."),FIND("/",SUBSTITUTE(LEFT(TRIM(C406),FIND(" ",TRIM(C406)&amp;" ")-1),",","."))-1)/MID(SUBSTITUTE(LEFT(TRIM(C406),FIND(" ",TRIM(C406)&amp;" ")-1),",","."),FIND("/",SUBSTITUTE(LEFT(TRIM(C406),FIND(" ",TRIM(C406)&amp;" ")-1),",","."))+1,9))*12,NA()))),0),24)*'Aturan &amp; Tarif'!$B$4,2)</f>
        <v>1362.72</v>
      </c>
      <c r="K406" s="32" t="n">
        <f aca="false">'Aturan &amp; Tarif'!$B$5</f>
        <v>2050</v>
      </c>
      <c r="L406" s="35" t="n">
        <f aca="false">I406+J406+K406</f>
        <v>21632.72</v>
      </c>
      <c r="M406" s="37" t="s">
        <v>512</v>
      </c>
    </row>
    <row r="407" customFormat="false" ht="106.5" hidden="false" customHeight="true" outlineLevel="0" collapsed="false">
      <c r="A407" s="29"/>
      <c r="B407" s="30" t="s">
        <v>2012</v>
      </c>
      <c r="C407" s="31" t="s">
        <v>107</v>
      </c>
      <c r="D407" s="31" t="s">
        <v>108</v>
      </c>
      <c r="E407" s="32" t="n">
        <v>9110</v>
      </c>
      <c r="F407" s="32"/>
      <c r="G407" s="32"/>
      <c r="H407" s="33" t="n">
        <v>2</v>
      </c>
      <c r="I407" s="34" t="n">
        <f aca="false">E407*H407+N(F407)+N(G407)</f>
        <v>18220</v>
      </c>
      <c r="J407" s="32" t="n">
        <f aca="false">ROUND(IFERROR(ROUND(IF(OR(ISNUMBER(SEARCH("week",C407)),ISNUMBER(SEARCH("minggu",C407))),IFERROR(_xlfn.NUMBERVALUE(SUBSTITUTE(LEFT(TRIM(C407),FIND(" ",TRIM(C407)&amp;" ")-1),",","."),"."),LEFT(SUBSTITUTE(LEFT(TRIM(C407),FIND(" ",TRIM(C407)&amp;" ")-1),",","."),FIND("/",SUBSTITUTE(LEFT(TRIM(C407),FIND(" ",TRIM(C407)&amp;" ")-1),",","."))-1)/MID(SUBSTITUTE(LEFT(TRIM(C407),FIND(" ",TRIM(C407)&amp;" ")-1),",","."),FIND("/",SUBSTITUTE(LEFT(TRIM(C407),FIND(" ",TRIM(C407)&amp;" ")-1),",","."))+1,9))*12/52,IF(ISNUMBER(SEARCH("month",C407)),IFERROR(_xlfn.NUMBERVALUE(SUBSTITUTE(LEFT(TRIM(C407),FIND(" ",TRIM(C407)&amp;" ")-1),",","."),"."),LEFT(SUBSTITUTE(LEFT(TRIM(C407),FIND(" ",TRIM(C407)&amp;" ")-1),",","."),FIND("/",SUBSTITUTE(LEFT(TRIM(C407),FIND(" ",TRIM(C407)&amp;" ")-1),",","."))-1)/MID(SUBSTITUTE(LEFT(TRIM(C407),FIND(" ",TRIM(C407)&amp;" ")-1),",","."),FIND("/",SUBSTITUTE(LEFT(TRIM(C407),FIND(" ",TRIM(C407)&amp;" ")-1),",","."))+1,9)),IF(ISNUMBER(SEARCH("yea",C407)),IFERROR(_xlfn.NUMBERVALUE(SUBSTITUTE(LEFT(TRIM(C407),FIND(" ",TRIM(C407)&amp;" ")-1),",","."),"."),LEFT(SUBSTITUTE(LEFT(TRIM(C407),FIND(" ",TRIM(C407)&amp;" ")-1),",","."),FIND("/",SUBSTITUTE(LEFT(TRIM(C407),FIND(" ",TRIM(C407)&amp;" ")-1),",","."))-1)/MID(SUBSTITUTE(LEFT(TRIM(C407),FIND(" ",TRIM(C407)&amp;" ")-1),",","."),FIND("/",SUBSTITUTE(LEFT(TRIM(C407),FIND(" ",TRIM(C407)&amp;" ")-1),",","."))+1,9))*12,NA()))),0),24)*'Aturan &amp; Tarif'!$B$4,2)</f>
        <v>1362.72</v>
      </c>
      <c r="K407" s="32" t="n">
        <f aca="false">'Aturan &amp; Tarif'!$B$5</f>
        <v>2050</v>
      </c>
      <c r="L407" s="35" t="n">
        <f aca="false">I407+J407+K407</f>
        <v>21632.72</v>
      </c>
      <c r="M407" s="37" t="s">
        <v>512</v>
      </c>
    </row>
    <row r="408" customFormat="false" ht="60" hidden="false" customHeight="true" outlineLevel="0" collapsed="false">
      <c r="A408" s="29"/>
      <c r="B408" s="30" t="s">
        <v>2013</v>
      </c>
      <c r="C408" s="31" t="s">
        <v>107</v>
      </c>
      <c r="D408" s="31" t="s">
        <v>108</v>
      </c>
      <c r="E408" s="32" t="n">
        <v>9110</v>
      </c>
      <c r="F408" s="32"/>
      <c r="G408" s="32"/>
      <c r="H408" s="33" t="n">
        <v>2</v>
      </c>
      <c r="I408" s="34" t="n">
        <f aca="false">E408*H408+N(F408)+N(G408)</f>
        <v>18220</v>
      </c>
      <c r="J408" s="32" t="n">
        <f aca="false">ROUND(IFERROR(ROUND(IF(OR(ISNUMBER(SEARCH("week",C408)),ISNUMBER(SEARCH("minggu",C408))),IFERROR(_xlfn.NUMBERVALUE(SUBSTITUTE(LEFT(TRIM(C408),FIND(" ",TRIM(C408)&amp;" ")-1),",","."),"."),LEFT(SUBSTITUTE(LEFT(TRIM(C408),FIND(" ",TRIM(C408)&amp;" ")-1),",","."),FIND("/",SUBSTITUTE(LEFT(TRIM(C408),FIND(" ",TRIM(C408)&amp;" ")-1),",","."))-1)/MID(SUBSTITUTE(LEFT(TRIM(C408),FIND(" ",TRIM(C408)&amp;" ")-1),",","."),FIND("/",SUBSTITUTE(LEFT(TRIM(C408),FIND(" ",TRIM(C408)&amp;" ")-1),",","."))+1,9))*12/52,IF(ISNUMBER(SEARCH("month",C408)),IFERROR(_xlfn.NUMBERVALUE(SUBSTITUTE(LEFT(TRIM(C408),FIND(" ",TRIM(C408)&amp;" ")-1),",","."),"."),LEFT(SUBSTITUTE(LEFT(TRIM(C408),FIND(" ",TRIM(C408)&amp;" ")-1),",","."),FIND("/",SUBSTITUTE(LEFT(TRIM(C408),FIND(" ",TRIM(C408)&amp;" ")-1),",","."))-1)/MID(SUBSTITUTE(LEFT(TRIM(C408),FIND(" ",TRIM(C408)&amp;" ")-1),",","."),FIND("/",SUBSTITUTE(LEFT(TRIM(C408),FIND(" ",TRIM(C408)&amp;" ")-1),",","."))+1,9)),IF(ISNUMBER(SEARCH("yea",C408)),IFERROR(_xlfn.NUMBERVALUE(SUBSTITUTE(LEFT(TRIM(C408),FIND(" ",TRIM(C408)&amp;" ")-1),",","."),"."),LEFT(SUBSTITUTE(LEFT(TRIM(C408),FIND(" ",TRIM(C408)&amp;" ")-1),",","."),FIND("/",SUBSTITUTE(LEFT(TRIM(C408),FIND(" ",TRIM(C408)&amp;" ")-1),",","."))-1)/MID(SUBSTITUTE(LEFT(TRIM(C408),FIND(" ",TRIM(C408)&amp;" ")-1),",","."),FIND("/",SUBSTITUTE(LEFT(TRIM(C408),FIND(" ",TRIM(C408)&amp;" ")-1),",","."))+1,9))*12,NA()))),0),24)*'Aturan &amp; Tarif'!$B$4,2)</f>
        <v>1362.72</v>
      </c>
      <c r="K408" s="32" t="n">
        <f aca="false">'Aturan &amp; Tarif'!$B$5</f>
        <v>2050</v>
      </c>
      <c r="L408" s="35" t="n">
        <f aca="false">I408+J408+K408</f>
        <v>21632.72</v>
      </c>
      <c r="M408" s="37" t="s">
        <v>512</v>
      </c>
    </row>
    <row r="409" customFormat="false" ht="60" hidden="false" customHeight="true" outlineLevel="0" collapsed="false">
      <c r="A409" s="29"/>
      <c r="B409" s="30" t="s">
        <v>891</v>
      </c>
      <c r="C409" s="31" t="s">
        <v>191</v>
      </c>
      <c r="D409" s="31" t="s">
        <v>108</v>
      </c>
      <c r="E409" s="32" t="n">
        <v>8427</v>
      </c>
      <c r="F409" s="32"/>
      <c r="G409" s="32"/>
      <c r="H409" s="33" t="n">
        <v>2</v>
      </c>
      <c r="I409" s="34" t="n">
        <f aca="false">E409*H409+N(F409)+N(G409)</f>
        <v>16854</v>
      </c>
      <c r="J409" s="32" t="n">
        <f aca="false">ROUND(IFERROR(ROUND(IF(OR(ISNUMBER(SEARCH("week",C409)),ISNUMBER(SEARCH("minggu",C409))),IFERROR(_xlfn.NUMBERVALUE(SUBSTITUTE(LEFT(TRIM(C409),FIND(" ",TRIM(C409)&amp;" ")-1),",","."),"."),LEFT(SUBSTITUTE(LEFT(TRIM(C409),FIND(" ",TRIM(C409)&amp;" ")-1),",","."),FIND("/",SUBSTITUTE(LEFT(TRIM(C409),FIND(" ",TRIM(C409)&amp;" ")-1),",","."))-1)/MID(SUBSTITUTE(LEFT(TRIM(C409),FIND(" ",TRIM(C409)&amp;" ")-1),",","."),FIND("/",SUBSTITUTE(LEFT(TRIM(C409),FIND(" ",TRIM(C409)&amp;" ")-1),",","."))+1,9))*12/52,IF(ISNUMBER(SEARCH("month",C409)),IFERROR(_xlfn.NUMBERVALUE(SUBSTITUTE(LEFT(TRIM(C409),FIND(" ",TRIM(C409)&amp;" ")-1),",","."),"."),LEFT(SUBSTITUTE(LEFT(TRIM(C409),FIND(" ",TRIM(C409)&amp;" ")-1),",","."),FIND("/",SUBSTITUTE(LEFT(TRIM(C409),FIND(" ",TRIM(C409)&amp;" ")-1),",","."))-1)/MID(SUBSTITUTE(LEFT(TRIM(C409),FIND(" ",TRIM(C409)&amp;" ")-1),",","."),FIND("/",SUBSTITUTE(LEFT(TRIM(C409),FIND(" ",TRIM(C409)&amp;" ")-1),",","."))+1,9)),IF(ISNUMBER(SEARCH("yea",C409)),IFERROR(_xlfn.NUMBERVALUE(SUBSTITUTE(LEFT(TRIM(C409),FIND(" ",TRIM(C409)&amp;" ")-1),",","."),"."),LEFT(SUBSTITUTE(LEFT(TRIM(C409),FIND(" ",TRIM(C409)&amp;" ")-1),",","."),FIND("/",SUBSTITUTE(LEFT(TRIM(C409),FIND(" ",TRIM(C409)&amp;" ")-1),",","."))-1)/MID(SUBSTITUTE(LEFT(TRIM(C409),FIND(" ",TRIM(C409)&amp;" ")-1),",","."),FIND("/",SUBSTITUTE(LEFT(TRIM(C409),FIND(" ",TRIM(C409)&amp;" ")-1),",","."))+1,9))*12,NA()))),0),48)*'Aturan &amp; Tarif'!$B$4,2)</f>
        <v>2725.44</v>
      </c>
      <c r="K409" s="32" t="n">
        <f aca="false">'Aturan &amp; Tarif'!$B$5</f>
        <v>2050</v>
      </c>
      <c r="L409" s="35" t="n">
        <f aca="false">I409+J409+K409</f>
        <v>21629.44</v>
      </c>
      <c r="M409" s="36" t="s">
        <v>605</v>
      </c>
    </row>
    <row r="410" customFormat="false" ht="60" hidden="false" customHeight="true" outlineLevel="0" collapsed="false">
      <c r="A410" s="29"/>
      <c r="B410" s="30" t="s">
        <v>892</v>
      </c>
      <c r="C410" s="31" t="s">
        <v>191</v>
      </c>
      <c r="D410" s="31" t="s">
        <v>108</v>
      </c>
      <c r="E410" s="32" t="n">
        <v>7784</v>
      </c>
      <c r="F410" s="32"/>
      <c r="G410" s="32"/>
      <c r="H410" s="33" t="n">
        <v>2</v>
      </c>
      <c r="I410" s="34" t="n">
        <f aca="false">E410*H410+N(F410)+N(G410)</f>
        <v>15568</v>
      </c>
      <c r="J410" s="32" t="n">
        <f aca="false">ROUND(IFERROR(ROUND(IF(OR(ISNUMBER(SEARCH("week",C410)),ISNUMBER(SEARCH("minggu",C410))),IFERROR(_xlfn.NUMBERVALUE(SUBSTITUTE(LEFT(TRIM(C410),FIND(" ",TRIM(C410)&amp;" ")-1),",","."),"."),LEFT(SUBSTITUTE(LEFT(TRIM(C410),FIND(" ",TRIM(C410)&amp;" ")-1),",","."),FIND("/",SUBSTITUTE(LEFT(TRIM(C410),FIND(" ",TRIM(C410)&amp;" ")-1),",","."))-1)/MID(SUBSTITUTE(LEFT(TRIM(C410),FIND(" ",TRIM(C410)&amp;" ")-1),",","."),FIND("/",SUBSTITUTE(LEFT(TRIM(C410),FIND(" ",TRIM(C410)&amp;" ")-1),",","."))+1,9))*12/52,IF(ISNUMBER(SEARCH("month",C410)),IFERROR(_xlfn.NUMBERVALUE(SUBSTITUTE(LEFT(TRIM(C410),FIND(" ",TRIM(C410)&amp;" ")-1),",","."),"."),LEFT(SUBSTITUTE(LEFT(TRIM(C410),FIND(" ",TRIM(C410)&amp;" ")-1),",","."),FIND("/",SUBSTITUTE(LEFT(TRIM(C410),FIND(" ",TRIM(C410)&amp;" ")-1),",","."))-1)/MID(SUBSTITUTE(LEFT(TRIM(C410),FIND(" ",TRIM(C410)&amp;" ")-1),",","."),FIND("/",SUBSTITUTE(LEFT(TRIM(C410),FIND(" ",TRIM(C410)&amp;" ")-1),",","."))+1,9)),IF(ISNUMBER(SEARCH("yea",C410)),IFERROR(_xlfn.NUMBERVALUE(SUBSTITUTE(LEFT(TRIM(C410),FIND(" ",TRIM(C410)&amp;" ")-1),",","."),"."),LEFT(SUBSTITUTE(LEFT(TRIM(C410),FIND(" ",TRIM(C410)&amp;" ")-1),",","."),FIND("/",SUBSTITUTE(LEFT(TRIM(C410),FIND(" ",TRIM(C410)&amp;" ")-1),",","."))-1)/MID(SUBSTITUTE(LEFT(TRIM(C410),FIND(" ",TRIM(C410)&amp;" ")-1),",","."),FIND("/",SUBSTITUTE(LEFT(TRIM(C410),FIND(" ",TRIM(C410)&amp;" ")-1),",","."))+1,9))*12,NA()))),0),48)*'Aturan &amp; Tarif'!$B$4,2)</f>
        <v>2725.44</v>
      </c>
      <c r="K410" s="32" t="n">
        <f aca="false">'Aturan &amp; Tarif'!$B$5</f>
        <v>2050</v>
      </c>
      <c r="L410" s="35" t="n">
        <f aca="false">I410+J410+K410</f>
        <v>20343.44</v>
      </c>
      <c r="M410" s="36" t="s">
        <v>607</v>
      </c>
    </row>
    <row r="411" customFormat="false" ht="25.5" hidden="false" customHeight="true" outlineLevel="0" collapsed="false">
      <c r="A411" s="29"/>
      <c r="B411" s="30" t="s">
        <v>893</v>
      </c>
      <c r="C411" s="31" t="s">
        <v>107</v>
      </c>
      <c r="D411" s="31" t="s">
        <v>108</v>
      </c>
      <c r="E411" s="32" t="n">
        <v>8427</v>
      </c>
      <c r="F411" s="32"/>
      <c r="G411" s="32"/>
      <c r="H411" s="33" t="n">
        <v>2</v>
      </c>
      <c r="I411" s="34" t="n">
        <f aca="false">E411*H411+N(F411)+N(G411)</f>
        <v>16854</v>
      </c>
      <c r="J411" s="32" t="n">
        <f aca="false">ROUND(IFERROR(ROUND(IF(OR(ISNUMBER(SEARCH("week",C411)),ISNUMBER(SEARCH("minggu",C411))),IFERROR(_xlfn.NUMBERVALUE(SUBSTITUTE(LEFT(TRIM(C411),FIND(" ",TRIM(C411)&amp;" ")-1),",","."),"."),LEFT(SUBSTITUTE(LEFT(TRIM(C411),FIND(" ",TRIM(C411)&amp;" ")-1),",","."),FIND("/",SUBSTITUTE(LEFT(TRIM(C411),FIND(" ",TRIM(C411)&amp;" ")-1),",","."))-1)/MID(SUBSTITUTE(LEFT(TRIM(C411),FIND(" ",TRIM(C411)&amp;" ")-1),",","."),FIND("/",SUBSTITUTE(LEFT(TRIM(C411),FIND(" ",TRIM(C411)&amp;" ")-1),",","."))+1,9))*12/52,IF(ISNUMBER(SEARCH("month",C411)),IFERROR(_xlfn.NUMBERVALUE(SUBSTITUTE(LEFT(TRIM(C411),FIND(" ",TRIM(C411)&amp;" ")-1),",","."),"."),LEFT(SUBSTITUTE(LEFT(TRIM(C411),FIND(" ",TRIM(C411)&amp;" ")-1),",","."),FIND("/",SUBSTITUTE(LEFT(TRIM(C411),FIND(" ",TRIM(C411)&amp;" ")-1),",","."))-1)/MID(SUBSTITUTE(LEFT(TRIM(C411),FIND(" ",TRIM(C411)&amp;" ")-1),",","."),FIND("/",SUBSTITUTE(LEFT(TRIM(C411),FIND(" ",TRIM(C411)&amp;" ")-1),",","."))+1,9)),IF(ISNUMBER(SEARCH("yea",C411)),IFERROR(_xlfn.NUMBERVALUE(SUBSTITUTE(LEFT(TRIM(C411),FIND(" ",TRIM(C411)&amp;" ")-1),",","."),"."),LEFT(SUBSTITUTE(LEFT(TRIM(C411),FIND(" ",TRIM(C411)&amp;" ")-1),",","."),FIND("/",SUBSTITUTE(LEFT(TRIM(C411),FIND(" ",TRIM(C411)&amp;" ")-1),",","."))-1)/MID(SUBSTITUTE(LEFT(TRIM(C411),FIND(" ",TRIM(C411)&amp;" ")-1),",","."),FIND("/",SUBSTITUTE(LEFT(TRIM(C411),FIND(" ",TRIM(C411)&amp;" ")-1),",","."))+1,9))*12,NA()))),0),24)*'Aturan &amp; Tarif'!$B$4,2)</f>
        <v>1362.72</v>
      </c>
      <c r="K411" s="32" t="n">
        <f aca="false">'Aturan &amp; Tarif'!$B$5</f>
        <v>2050</v>
      </c>
      <c r="L411" s="35" t="n">
        <f aca="false">I411+J411+K411</f>
        <v>20266.72</v>
      </c>
      <c r="M411" s="36" t="s">
        <v>605</v>
      </c>
    </row>
    <row r="412" customFormat="false" ht="60" hidden="false" customHeight="true" outlineLevel="0" collapsed="false">
      <c r="A412" s="29"/>
      <c r="B412" s="30" t="s">
        <v>894</v>
      </c>
      <c r="C412" s="31" t="s">
        <v>107</v>
      </c>
      <c r="D412" s="31" t="s">
        <v>108</v>
      </c>
      <c r="E412" s="32" t="n">
        <v>7784</v>
      </c>
      <c r="F412" s="32"/>
      <c r="G412" s="32"/>
      <c r="H412" s="33" t="n">
        <v>2</v>
      </c>
      <c r="I412" s="34" t="n">
        <f aca="false">E412*H412+N(F412)+N(G412)</f>
        <v>15568</v>
      </c>
      <c r="J412" s="32" t="n">
        <f aca="false">ROUND(IFERROR(ROUND(IF(OR(ISNUMBER(SEARCH("week",C412)),ISNUMBER(SEARCH("minggu",C412))),IFERROR(_xlfn.NUMBERVALUE(SUBSTITUTE(LEFT(TRIM(C412),FIND(" ",TRIM(C412)&amp;" ")-1),",","."),"."),LEFT(SUBSTITUTE(LEFT(TRIM(C412),FIND(" ",TRIM(C412)&amp;" ")-1),",","."),FIND("/",SUBSTITUTE(LEFT(TRIM(C412),FIND(" ",TRIM(C412)&amp;" ")-1),",","."))-1)/MID(SUBSTITUTE(LEFT(TRIM(C412),FIND(" ",TRIM(C412)&amp;" ")-1),",","."),FIND("/",SUBSTITUTE(LEFT(TRIM(C412),FIND(" ",TRIM(C412)&amp;" ")-1),",","."))+1,9))*12/52,IF(ISNUMBER(SEARCH("month",C412)),IFERROR(_xlfn.NUMBERVALUE(SUBSTITUTE(LEFT(TRIM(C412),FIND(" ",TRIM(C412)&amp;" ")-1),",","."),"."),LEFT(SUBSTITUTE(LEFT(TRIM(C412),FIND(" ",TRIM(C412)&amp;" ")-1),",","."),FIND("/",SUBSTITUTE(LEFT(TRIM(C412),FIND(" ",TRIM(C412)&amp;" ")-1),",","."))-1)/MID(SUBSTITUTE(LEFT(TRIM(C412),FIND(" ",TRIM(C412)&amp;" ")-1),",","."),FIND("/",SUBSTITUTE(LEFT(TRIM(C412),FIND(" ",TRIM(C412)&amp;" ")-1),",","."))+1,9)),IF(ISNUMBER(SEARCH("yea",C412)),IFERROR(_xlfn.NUMBERVALUE(SUBSTITUTE(LEFT(TRIM(C412),FIND(" ",TRIM(C412)&amp;" ")-1),",","."),"."),LEFT(SUBSTITUTE(LEFT(TRIM(C412),FIND(" ",TRIM(C412)&amp;" ")-1),",","."),FIND("/",SUBSTITUTE(LEFT(TRIM(C412),FIND(" ",TRIM(C412)&amp;" ")-1),",","."))-1)/MID(SUBSTITUTE(LEFT(TRIM(C412),FIND(" ",TRIM(C412)&amp;" ")-1),",","."),FIND("/",SUBSTITUTE(LEFT(TRIM(C412),FIND(" ",TRIM(C412)&amp;" ")-1),",","."))+1,9))*12,NA()))),0),24)*'Aturan &amp; Tarif'!$B$4,2)</f>
        <v>1362.72</v>
      </c>
      <c r="K412" s="32" t="n">
        <f aca="false">'Aturan &amp; Tarif'!$B$5</f>
        <v>2050</v>
      </c>
      <c r="L412" s="35" t="n">
        <f aca="false">I412+J412+K412</f>
        <v>18980.72</v>
      </c>
      <c r="M412" s="36" t="s">
        <v>607</v>
      </c>
    </row>
    <row r="413" customFormat="false" ht="37.5" hidden="false" customHeight="true" outlineLevel="0" collapsed="false">
      <c r="A413" s="29"/>
      <c r="B413" s="30" t="s">
        <v>604</v>
      </c>
      <c r="C413" s="31" t="s">
        <v>191</v>
      </c>
      <c r="D413" s="31" t="s">
        <v>108</v>
      </c>
      <c r="E413" s="32" t="n">
        <v>8427</v>
      </c>
      <c r="F413" s="32"/>
      <c r="G413" s="32"/>
      <c r="H413" s="33" t="n">
        <v>2</v>
      </c>
      <c r="I413" s="34" t="n">
        <f aca="false">E413*H413+N(F413)+N(G413)</f>
        <v>16854</v>
      </c>
      <c r="J413" s="32" t="n">
        <f aca="false">ROUND(IFERROR(ROUND(IF(OR(ISNUMBER(SEARCH("week",C413)),ISNUMBER(SEARCH("minggu",C413))),IFERROR(_xlfn.NUMBERVALUE(SUBSTITUTE(LEFT(TRIM(C413),FIND(" ",TRIM(C413)&amp;" ")-1),",","."),"."),LEFT(SUBSTITUTE(LEFT(TRIM(C413),FIND(" ",TRIM(C413)&amp;" ")-1),",","."),FIND("/",SUBSTITUTE(LEFT(TRIM(C413),FIND(" ",TRIM(C413)&amp;" ")-1),",","."))-1)/MID(SUBSTITUTE(LEFT(TRIM(C413),FIND(" ",TRIM(C413)&amp;" ")-1),",","."),FIND("/",SUBSTITUTE(LEFT(TRIM(C413),FIND(" ",TRIM(C413)&amp;" ")-1),",","."))+1,9))*12/52,IF(ISNUMBER(SEARCH("month",C413)),IFERROR(_xlfn.NUMBERVALUE(SUBSTITUTE(LEFT(TRIM(C413),FIND(" ",TRIM(C413)&amp;" ")-1),",","."),"."),LEFT(SUBSTITUTE(LEFT(TRIM(C413),FIND(" ",TRIM(C413)&amp;" ")-1),",","."),FIND("/",SUBSTITUTE(LEFT(TRIM(C413),FIND(" ",TRIM(C413)&amp;" ")-1),",","."))-1)/MID(SUBSTITUTE(LEFT(TRIM(C413),FIND(" ",TRIM(C413)&amp;" ")-1),",","."),FIND("/",SUBSTITUTE(LEFT(TRIM(C413),FIND(" ",TRIM(C413)&amp;" ")-1),",","."))+1,9)),IF(ISNUMBER(SEARCH("yea",C413)),IFERROR(_xlfn.NUMBERVALUE(SUBSTITUTE(LEFT(TRIM(C413),FIND(" ",TRIM(C413)&amp;" ")-1),",","."),"."),LEFT(SUBSTITUTE(LEFT(TRIM(C413),FIND(" ",TRIM(C413)&amp;" ")-1),",","."),FIND("/",SUBSTITUTE(LEFT(TRIM(C413),FIND(" ",TRIM(C413)&amp;" ")-1),",","."))-1)/MID(SUBSTITUTE(LEFT(TRIM(C413),FIND(" ",TRIM(C413)&amp;" ")-1),",","."),FIND("/",SUBSTITUTE(LEFT(TRIM(C413),FIND(" ",TRIM(C413)&amp;" ")-1),",","."))+1,9))*12,NA()))),0),48)*'Aturan &amp; Tarif'!$B$4,2)</f>
        <v>2725.44</v>
      </c>
      <c r="K413" s="32" t="n">
        <f aca="false">'Aturan &amp; Tarif'!$B$5</f>
        <v>2050</v>
      </c>
      <c r="L413" s="35" t="n">
        <f aca="false">I413+J413+K413</f>
        <v>21629.44</v>
      </c>
      <c r="M413" s="36" t="s">
        <v>605</v>
      </c>
    </row>
    <row r="414" customFormat="false" ht="37.5" hidden="false" customHeight="true" outlineLevel="0" collapsed="false">
      <c r="A414" s="29"/>
      <c r="B414" s="30" t="s">
        <v>606</v>
      </c>
      <c r="C414" s="31" t="s">
        <v>191</v>
      </c>
      <c r="D414" s="31" t="s">
        <v>108</v>
      </c>
      <c r="E414" s="32" t="n">
        <v>7784</v>
      </c>
      <c r="F414" s="32"/>
      <c r="G414" s="32"/>
      <c r="H414" s="33" t="n">
        <v>2</v>
      </c>
      <c r="I414" s="34" t="n">
        <f aca="false">E414*H414+N(F414)+N(G414)</f>
        <v>15568</v>
      </c>
      <c r="J414" s="32" t="n">
        <f aca="false">ROUND(IFERROR(ROUND(IF(OR(ISNUMBER(SEARCH("week",C414)),ISNUMBER(SEARCH("minggu",C414))),IFERROR(_xlfn.NUMBERVALUE(SUBSTITUTE(LEFT(TRIM(C414),FIND(" ",TRIM(C414)&amp;" ")-1),",","."),"."),LEFT(SUBSTITUTE(LEFT(TRIM(C414),FIND(" ",TRIM(C414)&amp;" ")-1),",","."),FIND("/",SUBSTITUTE(LEFT(TRIM(C414),FIND(" ",TRIM(C414)&amp;" ")-1),",","."))-1)/MID(SUBSTITUTE(LEFT(TRIM(C414),FIND(" ",TRIM(C414)&amp;" ")-1),",","."),FIND("/",SUBSTITUTE(LEFT(TRIM(C414),FIND(" ",TRIM(C414)&amp;" ")-1),",","."))+1,9))*12/52,IF(ISNUMBER(SEARCH("month",C414)),IFERROR(_xlfn.NUMBERVALUE(SUBSTITUTE(LEFT(TRIM(C414),FIND(" ",TRIM(C414)&amp;" ")-1),",","."),"."),LEFT(SUBSTITUTE(LEFT(TRIM(C414),FIND(" ",TRIM(C414)&amp;" ")-1),",","."),FIND("/",SUBSTITUTE(LEFT(TRIM(C414),FIND(" ",TRIM(C414)&amp;" ")-1),",","."))-1)/MID(SUBSTITUTE(LEFT(TRIM(C414),FIND(" ",TRIM(C414)&amp;" ")-1),",","."),FIND("/",SUBSTITUTE(LEFT(TRIM(C414),FIND(" ",TRIM(C414)&amp;" ")-1),",","."))+1,9)),IF(ISNUMBER(SEARCH("yea",C414)),IFERROR(_xlfn.NUMBERVALUE(SUBSTITUTE(LEFT(TRIM(C414),FIND(" ",TRIM(C414)&amp;" ")-1),",","."),"."),LEFT(SUBSTITUTE(LEFT(TRIM(C414),FIND(" ",TRIM(C414)&amp;" ")-1),",","."),FIND("/",SUBSTITUTE(LEFT(TRIM(C414),FIND(" ",TRIM(C414)&amp;" ")-1),",","."))-1)/MID(SUBSTITUTE(LEFT(TRIM(C414),FIND(" ",TRIM(C414)&amp;" ")-1),",","."),FIND("/",SUBSTITUTE(LEFT(TRIM(C414),FIND(" ",TRIM(C414)&amp;" ")-1),",","."))+1,9))*12,NA()))),0),48)*'Aturan &amp; Tarif'!$B$4,2)</f>
        <v>2725.44</v>
      </c>
      <c r="K414" s="32" t="n">
        <f aca="false">'Aturan &amp; Tarif'!$B$5</f>
        <v>2050</v>
      </c>
      <c r="L414" s="35" t="n">
        <f aca="false">I414+J414+K414</f>
        <v>20343.44</v>
      </c>
      <c r="M414" s="36" t="s">
        <v>607</v>
      </c>
    </row>
    <row r="415" customFormat="false" ht="37.5" hidden="false" customHeight="true" outlineLevel="0" collapsed="false">
      <c r="A415" s="29"/>
      <c r="B415" s="30" t="s">
        <v>608</v>
      </c>
      <c r="C415" s="31" t="s">
        <v>107</v>
      </c>
      <c r="D415" s="31" t="s">
        <v>108</v>
      </c>
      <c r="E415" s="32" t="n">
        <v>8427</v>
      </c>
      <c r="F415" s="32"/>
      <c r="G415" s="32"/>
      <c r="H415" s="33" t="n">
        <v>2</v>
      </c>
      <c r="I415" s="34" t="n">
        <f aca="false">E415*H415+N(F415)+N(G415)</f>
        <v>16854</v>
      </c>
      <c r="J415" s="32" t="n">
        <f aca="false">ROUND(IFERROR(ROUND(IF(OR(ISNUMBER(SEARCH("week",C415)),ISNUMBER(SEARCH("minggu",C415))),IFERROR(_xlfn.NUMBERVALUE(SUBSTITUTE(LEFT(TRIM(C415),FIND(" ",TRIM(C415)&amp;" ")-1),",","."),"."),LEFT(SUBSTITUTE(LEFT(TRIM(C415),FIND(" ",TRIM(C415)&amp;" ")-1),",","."),FIND("/",SUBSTITUTE(LEFT(TRIM(C415),FIND(" ",TRIM(C415)&amp;" ")-1),",","."))-1)/MID(SUBSTITUTE(LEFT(TRIM(C415),FIND(" ",TRIM(C415)&amp;" ")-1),",","."),FIND("/",SUBSTITUTE(LEFT(TRIM(C415),FIND(" ",TRIM(C415)&amp;" ")-1),",","."))+1,9))*12/52,IF(ISNUMBER(SEARCH("month",C415)),IFERROR(_xlfn.NUMBERVALUE(SUBSTITUTE(LEFT(TRIM(C415),FIND(" ",TRIM(C415)&amp;" ")-1),",","."),"."),LEFT(SUBSTITUTE(LEFT(TRIM(C415),FIND(" ",TRIM(C415)&amp;" ")-1),",","."),FIND("/",SUBSTITUTE(LEFT(TRIM(C415),FIND(" ",TRIM(C415)&amp;" ")-1),",","."))-1)/MID(SUBSTITUTE(LEFT(TRIM(C415),FIND(" ",TRIM(C415)&amp;" ")-1),",","."),FIND("/",SUBSTITUTE(LEFT(TRIM(C415),FIND(" ",TRIM(C415)&amp;" ")-1),",","."))+1,9)),IF(ISNUMBER(SEARCH("yea",C415)),IFERROR(_xlfn.NUMBERVALUE(SUBSTITUTE(LEFT(TRIM(C415),FIND(" ",TRIM(C415)&amp;" ")-1),",","."),"."),LEFT(SUBSTITUTE(LEFT(TRIM(C415),FIND(" ",TRIM(C415)&amp;" ")-1),",","."),FIND("/",SUBSTITUTE(LEFT(TRIM(C415),FIND(" ",TRIM(C415)&amp;" ")-1),",","."))-1)/MID(SUBSTITUTE(LEFT(TRIM(C415),FIND(" ",TRIM(C415)&amp;" ")-1),",","."),FIND("/",SUBSTITUTE(LEFT(TRIM(C415),FIND(" ",TRIM(C415)&amp;" ")-1),",","."))+1,9))*12,NA()))),0),24)*'Aturan &amp; Tarif'!$B$4,2)</f>
        <v>1362.72</v>
      </c>
      <c r="K415" s="32" t="n">
        <f aca="false">'Aturan &amp; Tarif'!$B$5</f>
        <v>2050</v>
      </c>
      <c r="L415" s="35" t="n">
        <f aca="false">I415+J415+K415</f>
        <v>20266.72</v>
      </c>
      <c r="M415" s="36" t="s">
        <v>605</v>
      </c>
    </row>
    <row r="416" customFormat="false" ht="37.5" hidden="false" customHeight="true" outlineLevel="0" collapsed="false">
      <c r="A416" s="29"/>
      <c r="B416" s="30" t="s">
        <v>609</v>
      </c>
      <c r="C416" s="31" t="s">
        <v>107</v>
      </c>
      <c r="D416" s="31" t="s">
        <v>108</v>
      </c>
      <c r="E416" s="32" t="n">
        <v>7784</v>
      </c>
      <c r="F416" s="32"/>
      <c r="G416" s="32"/>
      <c r="H416" s="33" t="n">
        <v>2</v>
      </c>
      <c r="I416" s="34" t="n">
        <f aca="false">E416*H416+N(F416)+N(G416)</f>
        <v>15568</v>
      </c>
      <c r="J416" s="32" t="n">
        <f aca="false">ROUND(IFERROR(ROUND(IF(OR(ISNUMBER(SEARCH("week",C416)),ISNUMBER(SEARCH("minggu",C416))),IFERROR(_xlfn.NUMBERVALUE(SUBSTITUTE(LEFT(TRIM(C416),FIND(" ",TRIM(C416)&amp;" ")-1),",","."),"."),LEFT(SUBSTITUTE(LEFT(TRIM(C416),FIND(" ",TRIM(C416)&amp;" ")-1),",","."),FIND("/",SUBSTITUTE(LEFT(TRIM(C416),FIND(" ",TRIM(C416)&amp;" ")-1),",","."))-1)/MID(SUBSTITUTE(LEFT(TRIM(C416),FIND(" ",TRIM(C416)&amp;" ")-1),",","."),FIND("/",SUBSTITUTE(LEFT(TRIM(C416),FIND(" ",TRIM(C416)&amp;" ")-1),",","."))+1,9))*12/52,IF(ISNUMBER(SEARCH("month",C416)),IFERROR(_xlfn.NUMBERVALUE(SUBSTITUTE(LEFT(TRIM(C416),FIND(" ",TRIM(C416)&amp;" ")-1),",","."),"."),LEFT(SUBSTITUTE(LEFT(TRIM(C416),FIND(" ",TRIM(C416)&amp;" ")-1),",","."),FIND("/",SUBSTITUTE(LEFT(TRIM(C416),FIND(" ",TRIM(C416)&amp;" ")-1),",","."))-1)/MID(SUBSTITUTE(LEFT(TRIM(C416),FIND(" ",TRIM(C416)&amp;" ")-1),",","."),FIND("/",SUBSTITUTE(LEFT(TRIM(C416),FIND(" ",TRIM(C416)&amp;" ")-1),",","."))+1,9)),IF(ISNUMBER(SEARCH("yea",C416)),IFERROR(_xlfn.NUMBERVALUE(SUBSTITUTE(LEFT(TRIM(C416),FIND(" ",TRIM(C416)&amp;" ")-1),",","."),"."),LEFT(SUBSTITUTE(LEFT(TRIM(C416),FIND(" ",TRIM(C416)&amp;" ")-1),",","."),FIND("/",SUBSTITUTE(LEFT(TRIM(C416),FIND(" ",TRIM(C416)&amp;" ")-1),",","."))-1)/MID(SUBSTITUTE(LEFT(TRIM(C416),FIND(" ",TRIM(C416)&amp;" ")-1),",","."),FIND("/",SUBSTITUTE(LEFT(TRIM(C416),FIND(" ",TRIM(C416)&amp;" ")-1),",","."))+1,9))*12,NA()))),0),24)*'Aturan &amp; Tarif'!$B$4,2)</f>
        <v>1362.72</v>
      </c>
      <c r="K416" s="32" t="n">
        <f aca="false">'Aturan &amp; Tarif'!$B$5</f>
        <v>2050</v>
      </c>
      <c r="L416" s="35" t="n">
        <f aca="false">I416+J416+K416</f>
        <v>18980.72</v>
      </c>
      <c r="M416" s="36" t="s">
        <v>607</v>
      </c>
    </row>
    <row r="417" customFormat="false" ht="37.5" hidden="false" customHeight="true" outlineLevel="0" collapsed="false">
      <c r="A417" s="29"/>
      <c r="B417" s="30" t="s">
        <v>612</v>
      </c>
      <c r="C417" s="31" t="s">
        <v>344</v>
      </c>
      <c r="D417" s="31" t="s">
        <v>108</v>
      </c>
      <c r="E417" s="32" t="n">
        <v>4350</v>
      </c>
      <c r="F417" s="32"/>
      <c r="G417" s="32"/>
      <c r="H417" s="33" t="n">
        <v>2</v>
      </c>
      <c r="I417" s="34" t="n">
        <f aca="false">E417*H417+N(F417)+N(G417)</f>
        <v>8700</v>
      </c>
      <c r="J417" s="32" t="n">
        <f aca="false">ROUND(IFERROR(ROUND(IF(OR(ISNUMBER(SEARCH("week",C417)),ISNUMBER(SEARCH("minggu",C417))),IFERROR(_xlfn.NUMBERVALUE(SUBSTITUTE(LEFT(TRIM(C417),FIND(" ",TRIM(C417)&amp;" ")-1),",","."),"."),LEFT(SUBSTITUTE(LEFT(TRIM(C417),FIND(" ",TRIM(C417)&amp;" ")-1),",","."),FIND("/",SUBSTITUTE(LEFT(TRIM(C417),FIND(" ",TRIM(C417)&amp;" ")-1),",","."))-1)/MID(SUBSTITUTE(LEFT(TRIM(C417),FIND(" ",TRIM(C417)&amp;" ")-1),",","."),FIND("/",SUBSTITUTE(LEFT(TRIM(C417),FIND(" ",TRIM(C417)&amp;" ")-1),",","."))+1,9))*12/52,IF(ISNUMBER(SEARCH("month",C417)),IFERROR(_xlfn.NUMBERVALUE(SUBSTITUTE(LEFT(TRIM(C417),FIND(" ",TRIM(C417)&amp;" ")-1),",","."),"."),LEFT(SUBSTITUTE(LEFT(TRIM(C417),FIND(" ",TRIM(C417)&amp;" ")-1),",","."),FIND("/",SUBSTITUTE(LEFT(TRIM(C417),FIND(" ",TRIM(C417)&amp;" ")-1),",","."))-1)/MID(SUBSTITUTE(LEFT(TRIM(C417),FIND(" ",TRIM(C417)&amp;" ")-1),",","."),FIND("/",SUBSTITUTE(LEFT(TRIM(C417),FIND(" ",TRIM(C417)&amp;" ")-1),",","."))+1,9)),IF(ISNUMBER(SEARCH("yea",C417)),IFERROR(_xlfn.NUMBERVALUE(SUBSTITUTE(LEFT(TRIM(C417),FIND(" ",TRIM(C417)&amp;" ")-1),",","."),"."),LEFT(SUBSTITUTE(LEFT(TRIM(C417),FIND(" ",TRIM(C417)&amp;" ")-1),",","."),FIND("/",SUBSTITUTE(LEFT(TRIM(C417),FIND(" ",TRIM(C417)&amp;" ")-1),",","."))-1)/MID(SUBSTITUTE(LEFT(TRIM(C417),FIND(" ",TRIM(C417)&amp;" ")-1),",","."),FIND("/",SUBSTITUTE(LEFT(TRIM(C417),FIND(" ",TRIM(C417)&amp;" ")-1),",","."))+1,9))*12,NA()))),0),6)*'Aturan &amp; Tarif'!$B$4,2)</f>
        <v>340.68</v>
      </c>
      <c r="K417" s="32" t="n">
        <f aca="false">'Aturan &amp; Tarif'!$B$5</f>
        <v>2050</v>
      </c>
      <c r="L417" s="35" t="n">
        <f aca="false">I417+J417+K417</f>
        <v>11090.68</v>
      </c>
      <c r="M417" s="37" t="s">
        <v>512</v>
      </c>
    </row>
    <row r="418" customFormat="false" ht="37.5" hidden="false" customHeight="true" outlineLevel="0" collapsed="false">
      <c r="A418" s="29"/>
      <c r="B418" s="30" t="s">
        <v>613</v>
      </c>
      <c r="C418" s="31" t="s">
        <v>130</v>
      </c>
      <c r="D418" s="31" t="s">
        <v>108</v>
      </c>
      <c r="E418" s="32" t="n">
        <v>4350</v>
      </c>
      <c r="F418" s="32"/>
      <c r="G418" s="32"/>
      <c r="H418" s="33" t="n">
        <v>2</v>
      </c>
      <c r="I418" s="34" t="n">
        <f aca="false">E418*H418+N(F418)+N(G418)</f>
        <v>8700</v>
      </c>
      <c r="J418" s="32" t="n">
        <f aca="false">ROUND(IFERROR(ROUND(IF(OR(ISNUMBER(SEARCH("week",C418)),ISNUMBER(SEARCH("minggu",C418))),IFERROR(_xlfn.NUMBERVALUE(SUBSTITUTE(LEFT(TRIM(C418),FIND(" ",TRIM(C418)&amp;" ")-1),",","."),"."),LEFT(SUBSTITUTE(LEFT(TRIM(C418),FIND(" ",TRIM(C418)&amp;" ")-1),",","."),FIND("/",SUBSTITUTE(LEFT(TRIM(C418),FIND(" ",TRIM(C418)&amp;" ")-1),",","."))-1)/MID(SUBSTITUTE(LEFT(TRIM(C418),FIND(" ",TRIM(C418)&amp;" ")-1),",","."),FIND("/",SUBSTITUTE(LEFT(TRIM(C418),FIND(" ",TRIM(C418)&amp;" ")-1),",","."))+1,9))*12/52,IF(ISNUMBER(SEARCH("month",C418)),IFERROR(_xlfn.NUMBERVALUE(SUBSTITUTE(LEFT(TRIM(C418),FIND(" ",TRIM(C418)&amp;" ")-1),",","."),"."),LEFT(SUBSTITUTE(LEFT(TRIM(C418),FIND(" ",TRIM(C418)&amp;" ")-1),",","."),FIND("/",SUBSTITUTE(LEFT(TRIM(C418),FIND(" ",TRIM(C418)&amp;" ")-1),",","."))-1)/MID(SUBSTITUTE(LEFT(TRIM(C418),FIND(" ",TRIM(C418)&amp;" ")-1),",","."),FIND("/",SUBSTITUTE(LEFT(TRIM(C418),FIND(" ",TRIM(C418)&amp;" ")-1),",","."))+1,9)),IF(ISNUMBER(SEARCH("yea",C418)),IFERROR(_xlfn.NUMBERVALUE(SUBSTITUTE(LEFT(TRIM(C418),FIND(" ",TRIM(C418)&amp;" ")-1),",","."),"."),LEFT(SUBSTITUTE(LEFT(TRIM(C418),FIND(" ",TRIM(C418)&amp;" ")-1),",","."),FIND("/",SUBSTITUTE(LEFT(TRIM(C418),FIND(" ",TRIM(C418)&amp;" ")-1),",","."))-1)/MID(SUBSTITUTE(LEFT(TRIM(C418),FIND(" ",TRIM(C418)&amp;" ")-1),",","."),FIND("/",SUBSTITUTE(LEFT(TRIM(C418),FIND(" ",TRIM(C418)&amp;" ")-1),",","."))+1,9))*12,NA()))),0),12)*'Aturan &amp; Tarif'!$B$4,2)</f>
        <v>681.36</v>
      </c>
      <c r="K418" s="32" t="n">
        <f aca="false">'Aturan &amp; Tarif'!$B$5</f>
        <v>2050</v>
      </c>
      <c r="L418" s="35" t="n">
        <f aca="false">I418+J418+K418</f>
        <v>11431.36</v>
      </c>
      <c r="M418" s="37" t="s">
        <v>512</v>
      </c>
    </row>
    <row r="419" customFormat="false" ht="32.25" hidden="false" customHeight="true" outlineLevel="0" collapsed="false">
      <c r="A419" s="47" t="s">
        <v>2014</v>
      </c>
      <c r="B419" s="40" t="s">
        <v>438</v>
      </c>
      <c r="C419" s="41" t="s">
        <v>127</v>
      </c>
      <c r="D419" s="41" t="s">
        <v>439</v>
      </c>
      <c r="E419" s="42" t="n">
        <v>12760</v>
      </c>
      <c r="F419" s="42"/>
      <c r="G419" s="42" t="n">
        <v>192</v>
      </c>
      <c r="H419" s="43" t="n">
        <v>1</v>
      </c>
      <c r="I419" s="34" t="n">
        <f aca="false">E419*H419+N(F419)+N(G419)</f>
        <v>12952</v>
      </c>
      <c r="J419" s="42" t="n">
        <f aca="false">ROUND(IFERROR(ROUND(IF(OR(ISNUMBER(SEARCH("week",C419)),ISNUMBER(SEARCH("minggu",C419))),IFERROR(_xlfn.NUMBERVALUE(SUBSTITUTE(LEFT(TRIM(C419),FIND(" ",TRIM(C419)&amp;" ")-1),",","."),"."),LEFT(SUBSTITUTE(LEFT(TRIM(C419),FIND(" ",TRIM(C419)&amp;" ")-1),",","."),FIND("/",SUBSTITUTE(LEFT(TRIM(C419),FIND(" ",TRIM(C419)&amp;" ")-1),",","."))-1)/MID(SUBSTITUTE(LEFT(TRIM(C419),FIND(" ",TRIM(C419)&amp;" ")-1),",","."),FIND("/",SUBSTITUTE(LEFT(TRIM(C419),FIND(" ",TRIM(C419)&amp;" ")-1),",","."))+1,9))*12/52,IF(ISNUMBER(SEARCH("month",C419)),IFERROR(_xlfn.NUMBERVALUE(SUBSTITUTE(LEFT(TRIM(C419),FIND(" ",TRIM(C419)&amp;" ")-1),",","."),"."),LEFT(SUBSTITUTE(LEFT(TRIM(C419),FIND(" ",TRIM(C419)&amp;" ")-1),",","."),FIND("/",SUBSTITUTE(LEFT(TRIM(C419),FIND(" ",TRIM(C419)&amp;" ")-1),",","."))-1)/MID(SUBSTITUTE(LEFT(TRIM(C419),FIND(" ",TRIM(C419)&amp;" ")-1),",","."),FIND("/",SUBSTITUTE(LEFT(TRIM(C419),FIND(" ",TRIM(C419)&amp;" ")-1),",","."))+1,9)),IF(ISNUMBER(SEARCH("yea",C419)),IFERROR(_xlfn.NUMBERVALUE(SUBSTITUTE(LEFT(TRIM(C419),FIND(" ",TRIM(C419)&amp;" ")-1),",","."),"."),LEFT(SUBSTITUTE(LEFT(TRIM(C419),FIND(" ",TRIM(C419)&amp;" ")-1),",","."),FIND("/",SUBSTITUTE(LEFT(TRIM(C419),FIND(" ",TRIM(C419)&amp;" ")-1),",","."))-1)/MID(SUBSTITUTE(LEFT(TRIM(C419),FIND(" ",TRIM(C419)&amp;" ")-1),",","."),FIND("/",SUBSTITUTE(LEFT(TRIM(C419),FIND(" ",TRIM(C419)&amp;" ")-1),",","."))+1,9))*12,NA()))),0),36)*'Aturan &amp; Tarif'!$B$4,2)</f>
        <v>2044.08</v>
      </c>
      <c r="K419" s="42" t="n">
        <f aca="false">'Aturan &amp; Tarif'!$B$5</f>
        <v>2050</v>
      </c>
      <c r="L419" s="35" t="n">
        <f aca="false">I419+J419+K419</f>
        <v>17046.08</v>
      </c>
      <c r="M419" s="51" t="s">
        <v>440</v>
      </c>
    </row>
    <row r="420" customFormat="false" ht="15" hidden="false" customHeight="true" outlineLevel="0" collapsed="false">
      <c r="A420" s="39"/>
      <c r="B420" s="40" t="s">
        <v>441</v>
      </c>
      <c r="C420" s="41" t="s">
        <v>113</v>
      </c>
      <c r="D420" s="41" t="s">
        <v>439</v>
      </c>
      <c r="E420" s="42" t="n">
        <v>12760</v>
      </c>
      <c r="F420" s="42"/>
      <c r="G420" s="42" t="n">
        <v>192</v>
      </c>
      <c r="H420" s="43" t="n">
        <v>1</v>
      </c>
      <c r="I420" s="34" t="n">
        <f aca="false">E420*H420+N(F420)+N(G420)</f>
        <v>12952</v>
      </c>
      <c r="J420" s="42" t="n">
        <f aca="false">ROUND(IFERROR(ROUND(IF(OR(ISNUMBER(SEARCH("week",C420)),ISNUMBER(SEARCH("minggu",C420))),IFERROR(_xlfn.NUMBERVALUE(SUBSTITUTE(LEFT(TRIM(C420),FIND(" ",TRIM(C420)&amp;" ")-1),",","."),"."),LEFT(SUBSTITUTE(LEFT(TRIM(C420),FIND(" ",TRIM(C420)&amp;" ")-1),",","."),FIND("/",SUBSTITUTE(LEFT(TRIM(C420),FIND(" ",TRIM(C420)&amp;" ")-1),",","."))-1)/MID(SUBSTITUTE(LEFT(TRIM(C420),FIND(" ",TRIM(C420)&amp;" ")-1),",","."),FIND("/",SUBSTITUTE(LEFT(TRIM(C420),FIND(" ",TRIM(C420)&amp;" ")-1),",","."))+1,9))*12/52,IF(ISNUMBER(SEARCH("month",C420)),IFERROR(_xlfn.NUMBERVALUE(SUBSTITUTE(LEFT(TRIM(C420),FIND(" ",TRIM(C420)&amp;" ")-1),",","."),"."),LEFT(SUBSTITUTE(LEFT(TRIM(C420),FIND(" ",TRIM(C420)&amp;" ")-1),",","."),FIND("/",SUBSTITUTE(LEFT(TRIM(C420),FIND(" ",TRIM(C420)&amp;" ")-1),",","."))-1)/MID(SUBSTITUTE(LEFT(TRIM(C420),FIND(" ",TRIM(C420)&amp;" ")-1),",","."),FIND("/",SUBSTITUTE(LEFT(TRIM(C420),FIND(" ",TRIM(C420)&amp;" ")-1),",","."))+1,9)),IF(ISNUMBER(SEARCH("yea",C420)),IFERROR(_xlfn.NUMBERVALUE(SUBSTITUTE(LEFT(TRIM(C420),FIND(" ",TRIM(C420)&amp;" ")-1),",","."),"."),LEFT(SUBSTITUTE(LEFT(TRIM(C420),FIND(" ",TRIM(C420)&amp;" ")-1),",","."),FIND("/",SUBSTITUTE(LEFT(TRIM(C420),FIND(" ",TRIM(C420)&amp;" ")-1),",","."))-1)/MID(SUBSTITUTE(LEFT(TRIM(C420),FIND(" ",TRIM(C420)&amp;" ")-1),",","."),FIND("/",SUBSTITUTE(LEFT(TRIM(C420),FIND(" ",TRIM(C420)&amp;" ")-1),",","."))+1,9))*12,NA()))),0),18)*'Aturan &amp; Tarif'!$B$4,2)</f>
        <v>1022.04</v>
      </c>
      <c r="K420" s="42" t="n">
        <f aca="false">'Aturan &amp; Tarif'!$B$5</f>
        <v>2050</v>
      </c>
      <c r="L420" s="35" t="n">
        <f aca="false">I420+J420+K420</f>
        <v>16024.04</v>
      </c>
      <c r="M420" s="51" t="s">
        <v>440</v>
      </c>
    </row>
    <row r="421" customFormat="false" ht="15" hidden="false" customHeight="true" outlineLevel="0" collapsed="false">
      <c r="A421" s="39"/>
      <c r="B421" s="40" t="s">
        <v>442</v>
      </c>
      <c r="C421" s="41" t="s">
        <v>113</v>
      </c>
      <c r="D421" s="41" t="s">
        <v>439</v>
      </c>
      <c r="E421" s="42" t="n">
        <v>12760</v>
      </c>
      <c r="F421" s="42"/>
      <c r="G421" s="42" t="n">
        <v>192</v>
      </c>
      <c r="H421" s="43" t="n">
        <v>1</v>
      </c>
      <c r="I421" s="34" t="n">
        <f aca="false">E421*H421+N(F421)+N(G421)</f>
        <v>12952</v>
      </c>
      <c r="J421" s="42" t="n">
        <f aca="false">ROUND(IFERROR(ROUND(IF(OR(ISNUMBER(SEARCH("week",C421)),ISNUMBER(SEARCH("minggu",C421))),IFERROR(_xlfn.NUMBERVALUE(SUBSTITUTE(LEFT(TRIM(C421),FIND(" ",TRIM(C421)&amp;" ")-1),",","."),"."),LEFT(SUBSTITUTE(LEFT(TRIM(C421),FIND(" ",TRIM(C421)&amp;" ")-1),",","."),FIND("/",SUBSTITUTE(LEFT(TRIM(C421),FIND(" ",TRIM(C421)&amp;" ")-1),",","."))-1)/MID(SUBSTITUTE(LEFT(TRIM(C421),FIND(" ",TRIM(C421)&amp;" ")-1),",","."),FIND("/",SUBSTITUTE(LEFT(TRIM(C421),FIND(" ",TRIM(C421)&amp;" ")-1),",","."))+1,9))*12/52,IF(ISNUMBER(SEARCH("month",C421)),IFERROR(_xlfn.NUMBERVALUE(SUBSTITUTE(LEFT(TRIM(C421),FIND(" ",TRIM(C421)&amp;" ")-1),",","."),"."),LEFT(SUBSTITUTE(LEFT(TRIM(C421),FIND(" ",TRIM(C421)&amp;" ")-1),",","."),FIND("/",SUBSTITUTE(LEFT(TRIM(C421),FIND(" ",TRIM(C421)&amp;" ")-1),",","."))-1)/MID(SUBSTITUTE(LEFT(TRIM(C421),FIND(" ",TRIM(C421)&amp;" ")-1),",","."),FIND("/",SUBSTITUTE(LEFT(TRIM(C421),FIND(" ",TRIM(C421)&amp;" ")-1),",","."))+1,9)),IF(ISNUMBER(SEARCH("yea",C421)),IFERROR(_xlfn.NUMBERVALUE(SUBSTITUTE(LEFT(TRIM(C421),FIND(" ",TRIM(C421)&amp;" ")-1),",","."),"."),LEFT(SUBSTITUTE(LEFT(TRIM(C421),FIND(" ",TRIM(C421)&amp;" ")-1),",","."),FIND("/",SUBSTITUTE(LEFT(TRIM(C421),FIND(" ",TRIM(C421)&amp;" ")-1),",","."))-1)/MID(SUBSTITUTE(LEFT(TRIM(C421),FIND(" ",TRIM(C421)&amp;" ")-1),",","."),FIND("/",SUBSTITUTE(LEFT(TRIM(C421),FIND(" ",TRIM(C421)&amp;" ")-1),",","."))+1,9))*12,NA()))),0),18)*'Aturan &amp; Tarif'!$B$4,2)</f>
        <v>1022.04</v>
      </c>
      <c r="K421" s="42" t="n">
        <f aca="false">'Aturan &amp; Tarif'!$B$5</f>
        <v>2050</v>
      </c>
      <c r="L421" s="35" t="n">
        <f aca="false">I421+J421+K421</f>
        <v>16024.04</v>
      </c>
      <c r="M421" s="51" t="s">
        <v>440</v>
      </c>
    </row>
    <row r="422" customFormat="false" ht="37.5" hidden="false" customHeight="true" outlineLevel="0" collapsed="false">
      <c r="A422" s="39" t="s">
        <v>2015</v>
      </c>
      <c r="B422" s="40" t="s">
        <v>444</v>
      </c>
      <c r="C422" s="41" t="s">
        <v>107</v>
      </c>
      <c r="D422" s="41" t="s">
        <v>108</v>
      </c>
      <c r="E422" s="42" t="n">
        <v>7225</v>
      </c>
      <c r="F422" s="42" t="n">
        <v>400</v>
      </c>
      <c r="G422" s="42" t="n">
        <v>350</v>
      </c>
      <c r="H422" s="43" t="n">
        <v>2</v>
      </c>
      <c r="I422" s="34" t="n">
        <f aca="false">E422*H422+N(F422)+N(G422)</f>
        <v>15200</v>
      </c>
      <c r="J422" s="42" t="n">
        <f aca="false">ROUND(IFERROR(ROUND(IF(OR(ISNUMBER(SEARCH("week",C422)),ISNUMBER(SEARCH("minggu",C422))),IFERROR(_xlfn.NUMBERVALUE(SUBSTITUTE(LEFT(TRIM(C422),FIND(" ",TRIM(C422)&amp;" ")-1),",","."),"."),LEFT(SUBSTITUTE(LEFT(TRIM(C422),FIND(" ",TRIM(C422)&amp;" ")-1),",","."),FIND("/",SUBSTITUTE(LEFT(TRIM(C422),FIND(" ",TRIM(C422)&amp;" ")-1),",","."))-1)/MID(SUBSTITUTE(LEFT(TRIM(C422),FIND(" ",TRIM(C422)&amp;" ")-1),",","."),FIND("/",SUBSTITUTE(LEFT(TRIM(C422),FIND(" ",TRIM(C422)&amp;" ")-1),",","."))+1,9))*12/52,IF(ISNUMBER(SEARCH("month",C422)),IFERROR(_xlfn.NUMBERVALUE(SUBSTITUTE(LEFT(TRIM(C422),FIND(" ",TRIM(C422)&amp;" ")-1),",","."),"."),LEFT(SUBSTITUTE(LEFT(TRIM(C422),FIND(" ",TRIM(C422)&amp;" ")-1),",","."),FIND("/",SUBSTITUTE(LEFT(TRIM(C422),FIND(" ",TRIM(C422)&amp;" ")-1),",","."))-1)/MID(SUBSTITUTE(LEFT(TRIM(C422),FIND(" ",TRIM(C422)&amp;" ")-1),",","."),FIND("/",SUBSTITUTE(LEFT(TRIM(C422),FIND(" ",TRIM(C422)&amp;" ")-1),",","."))+1,9)),IF(ISNUMBER(SEARCH("yea",C422)),IFERROR(_xlfn.NUMBERVALUE(SUBSTITUTE(LEFT(TRIM(C422),FIND(" ",TRIM(C422)&amp;" ")-1),",","."),"."),LEFT(SUBSTITUTE(LEFT(TRIM(C422),FIND(" ",TRIM(C422)&amp;" ")-1),",","."),FIND("/",SUBSTITUTE(LEFT(TRIM(C422),FIND(" ",TRIM(C422)&amp;" ")-1),",","."))-1)/MID(SUBSTITUTE(LEFT(TRIM(C422),FIND(" ",TRIM(C422)&amp;" ")-1),",","."),FIND("/",SUBSTITUTE(LEFT(TRIM(C422),FIND(" ",TRIM(C422)&amp;" ")-1),",","."))+1,9))*12,NA()))),0),24)*'Aturan &amp; Tarif'!$B$4,2)</f>
        <v>1362.72</v>
      </c>
      <c r="K422" s="42" t="n">
        <f aca="false">'Aturan &amp; Tarif'!$B$5</f>
        <v>2050</v>
      </c>
      <c r="L422" s="35" t="n">
        <f aca="false">I422+J422+K422</f>
        <v>18612.72</v>
      </c>
      <c r="M422" s="44" t="s">
        <v>445</v>
      </c>
    </row>
    <row r="423" customFormat="false" ht="37.5" hidden="false" customHeight="true" outlineLevel="0" collapsed="false">
      <c r="A423" s="39"/>
      <c r="B423" s="40" t="s">
        <v>446</v>
      </c>
      <c r="C423" s="41" t="s">
        <v>107</v>
      </c>
      <c r="D423" s="41" t="s">
        <v>108</v>
      </c>
      <c r="E423" s="42" t="n">
        <v>7225</v>
      </c>
      <c r="F423" s="42" t="n">
        <v>400</v>
      </c>
      <c r="G423" s="42" t="n">
        <v>350</v>
      </c>
      <c r="H423" s="43" t="n">
        <v>2</v>
      </c>
      <c r="I423" s="34" t="n">
        <f aca="false">E423*H423+N(F423)+N(G423)</f>
        <v>15200</v>
      </c>
      <c r="J423" s="42" t="n">
        <f aca="false">ROUND(IFERROR(ROUND(IF(OR(ISNUMBER(SEARCH("week",C423)),ISNUMBER(SEARCH("minggu",C423))),IFERROR(_xlfn.NUMBERVALUE(SUBSTITUTE(LEFT(TRIM(C423),FIND(" ",TRIM(C423)&amp;" ")-1),",","."),"."),LEFT(SUBSTITUTE(LEFT(TRIM(C423),FIND(" ",TRIM(C423)&amp;" ")-1),",","."),FIND("/",SUBSTITUTE(LEFT(TRIM(C423),FIND(" ",TRIM(C423)&amp;" ")-1),",","."))-1)/MID(SUBSTITUTE(LEFT(TRIM(C423),FIND(" ",TRIM(C423)&amp;" ")-1),",","."),FIND("/",SUBSTITUTE(LEFT(TRIM(C423),FIND(" ",TRIM(C423)&amp;" ")-1),",","."))+1,9))*12/52,IF(ISNUMBER(SEARCH("month",C423)),IFERROR(_xlfn.NUMBERVALUE(SUBSTITUTE(LEFT(TRIM(C423),FIND(" ",TRIM(C423)&amp;" ")-1),",","."),"."),LEFT(SUBSTITUTE(LEFT(TRIM(C423),FIND(" ",TRIM(C423)&amp;" ")-1),",","."),FIND("/",SUBSTITUTE(LEFT(TRIM(C423),FIND(" ",TRIM(C423)&amp;" ")-1),",","."))-1)/MID(SUBSTITUTE(LEFT(TRIM(C423),FIND(" ",TRIM(C423)&amp;" ")-1),",","."),FIND("/",SUBSTITUTE(LEFT(TRIM(C423),FIND(" ",TRIM(C423)&amp;" ")-1),",","."))+1,9)),IF(ISNUMBER(SEARCH("yea",C423)),IFERROR(_xlfn.NUMBERVALUE(SUBSTITUTE(LEFT(TRIM(C423),FIND(" ",TRIM(C423)&amp;" ")-1),",","."),"."),LEFT(SUBSTITUTE(LEFT(TRIM(C423),FIND(" ",TRIM(C423)&amp;" ")-1),",","."),FIND("/",SUBSTITUTE(LEFT(TRIM(C423),FIND(" ",TRIM(C423)&amp;" ")-1),",","."))-1)/MID(SUBSTITUTE(LEFT(TRIM(C423),FIND(" ",TRIM(C423)&amp;" ")-1),",","."),FIND("/",SUBSTITUTE(LEFT(TRIM(C423),FIND(" ",TRIM(C423)&amp;" ")-1),",","."))+1,9))*12,NA()))),0),24)*'Aturan &amp; Tarif'!$B$4,2)</f>
        <v>1362.72</v>
      </c>
      <c r="K423" s="42" t="n">
        <f aca="false">'Aturan &amp; Tarif'!$B$5</f>
        <v>2050</v>
      </c>
      <c r="L423" s="35" t="n">
        <f aca="false">I423+J423+K423</f>
        <v>18612.72</v>
      </c>
      <c r="M423" s="44" t="s">
        <v>445</v>
      </c>
    </row>
    <row r="424" customFormat="false" ht="60" hidden="false" customHeight="true" outlineLevel="0" collapsed="false">
      <c r="A424" s="39"/>
      <c r="B424" s="40" t="s">
        <v>447</v>
      </c>
      <c r="C424" s="41" t="s">
        <v>107</v>
      </c>
      <c r="D424" s="41" t="s">
        <v>108</v>
      </c>
      <c r="E424" s="42" t="n">
        <v>7225</v>
      </c>
      <c r="F424" s="42" t="n">
        <v>400</v>
      </c>
      <c r="G424" s="42" t="n">
        <v>350</v>
      </c>
      <c r="H424" s="43" t="n">
        <v>2</v>
      </c>
      <c r="I424" s="34" t="n">
        <f aca="false">E424*H424+N(F424)+N(G424)</f>
        <v>15200</v>
      </c>
      <c r="J424" s="42" t="n">
        <f aca="false">ROUND(IFERROR(ROUND(IF(OR(ISNUMBER(SEARCH("week",C424)),ISNUMBER(SEARCH("minggu",C424))),IFERROR(_xlfn.NUMBERVALUE(SUBSTITUTE(LEFT(TRIM(C424),FIND(" ",TRIM(C424)&amp;" ")-1),",","."),"."),LEFT(SUBSTITUTE(LEFT(TRIM(C424),FIND(" ",TRIM(C424)&amp;" ")-1),",","."),FIND("/",SUBSTITUTE(LEFT(TRIM(C424),FIND(" ",TRIM(C424)&amp;" ")-1),",","."))-1)/MID(SUBSTITUTE(LEFT(TRIM(C424),FIND(" ",TRIM(C424)&amp;" ")-1),",","."),FIND("/",SUBSTITUTE(LEFT(TRIM(C424),FIND(" ",TRIM(C424)&amp;" ")-1),",","."))+1,9))*12/52,IF(ISNUMBER(SEARCH("month",C424)),IFERROR(_xlfn.NUMBERVALUE(SUBSTITUTE(LEFT(TRIM(C424),FIND(" ",TRIM(C424)&amp;" ")-1),",","."),"."),LEFT(SUBSTITUTE(LEFT(TRIM(C424),FIND(" ",TRIM(C424)&amp;" ")-1),",","."),FIND("/",SUBSTITUTE(LEFT(TRIM(C424),FIND(" ",TRIM(C424)&amp;" ")-1),",","."))-1)/MID(SUBSTITUTE(LEFT(TRIM(C424),FIND(" ",TRIM(C424)&amp;" ")-1),",","."),FIND("/",SUBSTITUTE(LEFT(TRIM(C424),FIND(" ",TRIM(C424)&amp;" ")-1),",","."))+1,9)),IF(ISNUMBER(SEARCH("yea",C424)),IFERROR(_xlfn.NUMBERVALUE(SUBSTITUTE(LEFT(TRIM(C424),FIND(" ",TRIM(C424)&amp;" ")-1),",","."),"."),LEFT(SUBSTITUTE(LEFT(TRIM(C424),FIND(" ",TRIM(C424)&amp;" ")-1),",","."),FIND("/",SUBSTITUTE(LEFT(TRIM(C424),FIND(" ",TRIM(C424)&amp;" ")-1),",","."))-1)/MID(SUBSTITUTE(LEFT(TRIM(C424),FIND(" ",TRIM(C424)&amp;" ")-1),",","."),FIND("/",SUBSTITUTE(LEFT(TRIM(C424),FIND(" ",TRIM(C424)&amp;" ")-1),",","."))+1,9))*12,NA()))),0),24)*'Aturan &amp; Tarif'!$B$4,2)</f>
        <v>1362.72</v>
      </c>
      <c r="K424" s="42" t="n">
        <f aca="false">'Aturan &amp; Tarif'!$B$5</f>
        <v>2050</v>
      </c>
      <c r="L424" s="35" t="n">
        <f aca="false">I424+J424+K424</f>
        <v>18612.72</v>
      </c>
      <c r="M424" s="44" t="s">
        <v>445</v>
      </c>
    </row>
    <row r="425" customFormat="false" ht="48.75" hidden="false" customHeight="true" outlineLevel="0" collapsed="false">
      <c r="A425" s="39"/>
      <c r="B425" s="40" t="s">
        <v>448</v>
      </c>
      <c r="C425" s="41" t="s">
        <v>130</v>
      </c>
      <c r="D425" s="41" t="s">
        <v>108</v>
      </c>
      <c r="E425" s="42" t="n">
        <v>5625</v>
      </c>
      <c r="F425" s="42" t="n">
        <v>400</v>
      </c>
      <c r="G425" s="42" t="n">
        <v>350</v>
      </c>
      <c r="H425" s="43" t="n">
        <v>2</v>
      </c>
      <c r="I425" s="34" t="n">
        <f aca="false">E425*H425+N(F425)+N(G425)</f>
        <v>12000</v>
      </c>
      <c r="J425" s="42" t="n">
        <f aca="false">ROUND(IFERROR(ROUND(IF(OR(ISNUMBER(SEARCH("week",C425)),ISNUMBER(SEARCH("minggu",C425))),IFERROR(_xlfn.NUMBERVALUE(SUBSTITUTE(LEFT(TRIM(C425),FIND(" ",TRIM(C425)&amp;" ")-1),",","."),"."),LEFT(SUBSTITUTE(LEFT(TRIM(C425),FIND(" ",TRIM(C425)&amp;" ")-1),",","."),FIND("/",SUBSTITUTE(LEFT(TRIM(C425),FIND(" ",TRIM(C425)&amp;" ")-1),",","."))-1)/MID(SUBSTITUTE(LEFT(TRIM(C425),FIND(" ",TRIM(C425)&amp;" ")-1),",","."),FIND("/",SUBSTITUTE(LEFT(TRIM(C425),FIND(" ",TRIM(C425)&amp;" ")-1),",","."))+1,9))*12/52,IF(ISNUMBER(SEARCH("month",C425)),IFERROR(_xlfn.NUMBERVALUE(SUBSTITUTE(LEFT(TRIM(C425),FIND(" ",TRIM(C425)&amp;" ")-1),",","."),"."),LEFT(SUBSTITUTE(LEFT(TRIM(C425),FIND(" ",TRIM(C425)&amp;" ")-1),",","."),FIND("/",SUBSTITUTE(LEFT(TRIM(C425),FIND(" ",TRIM(C425)&amp;" ")-1),",","."))-1)/MID(SUBSTITUTE(LEFT(TRIM(C425),FIND(" ",TRIM(C425)&amp;" ")-1),",","."),FIND("/",SUBSTITUTE(LEFT(TRIM(C425),FIND(" ",TRIM(C425)&amp;" ")-1),",","."))+1,9)),IF(ISNUMBER(SEARCH("yea",C425)),IFERROR(_xlfn.NUMBERVALUE(SUBSTITUTE(LEFT(TRIM(C425),FIND(" ",TRIM(C425)&amp;" ")-1),",","."),"."),LEFT(SUBSTITUTE(LEFT(TRIM(C425),FIND(" ",TRIM(C425)&amp;" ")-1),",","."),FIND("/",SUBSTITUTE(LEFT(TRIM(C425),FIND(" ",TRIM(C425)&amp;" ")-1),",","."))-1)/MID(SUBSTITUTE(LEFT(TRIM(C425),FIND(" ",TRIM(C425)&amp;" ")-1),",","."),FIND("/",SUBSTITUTE(LEFT(TRIM(C425),FIND(" ",TRIM(C425)&amp;" ")-1),",","."))+1,9))*12,NA()))),0),12)*'Aturan &amp; Tarif'!$B$4,2)</f>
        <v>681.36</v>
      </c>
      <c r="K425" s="42" t="n">
        <f aca="false">'Aturan &amp; Tarif'!$B$5</f>
        <v>2050</v>
      </c>
      <c r="L425" s="35" t="n">
        <f aca="false">I425+J425+K425</f>
        <v>14731.36</v>
      </c>
      <c r="M425" s="44" t="s">
        <v>449</v>
      </c>
    </row>
    <row r="426" customFormat="false" ht="37.5" hidden="false" customHeight="true" outlineLevel="0" collapsed="false">
      <c r="A426" s="39"/>
      <c r="B426" s="40" t="s">
        <v>450</v>
      </c>
      <c r="C426" s="41" t="s">
        <v>107</v>
      </c>
      <c r="D426" s="41" t="s">
        <v>108</v>
      </c>
      <c r="E426" s="42" t="n">
        <v>6250</v>
      </c>
      <c r="F426" s="42" t="n">
        <v>400</v>
      </c>
      <c r="G426" s="42" t="n">
        <v>350</v>
      </c>
      <c r="H426" s="43" t="n">
        <v>2</v>
      </c>
      <c r="I426" s="34" t="n">
        <f aca="false">E426*H426+N(F426)+N(G426)</f>
        <v>13250</v>
      </c>
      <c r="J426" s="42" t="n">
        <f aca="false">ROUND(IFERROR(ROUND(IF(OR(ISNUMBER(SEARCH("week",C426)),ISNUMBER(SEARCH("minggu",C426))),IFERROR(_xlfn.NUMBERVALUE(SUBSTITUTE(LEFT(TRIM(C426),FIND(" ",TRIM(C426)&amp;" ")-1),",","."),"."),LEFT(SUBSTITUTE(LEFT(TRIM(C426),FIND(" ",TRIM(C426)&amp;" ")-1),",","."),FIND("/",SUBSTITUTE(LEFT(TRIM(C426),FIND(" ",TRIM(C426)&amp;" ")-1),",","."))-1)/MID(SUBSTITUTE(LEFT(TRIM(C426),FIND(" ",TRIM(C426)&amp;" ")-1),",","."),FIND("/",SUBSTITUTE(LEFT(TRIM(C426),FIND(" ",TRIM(C426)&amp;" ")-1),",","."))+1,9))*12/52,IF(ISNUMBER(SEARCH("month",C426)),IFERROR(_xlfn.NUMBERVALUE(SUBSTITUTE(LEFT(TRIM(C426),FIND(" ",TRIM(C426)&amp;" ")-1),",","."),"."),LEFT(SUBSTITUTE(LEFT(TRIM(C426),FIND(" ",TRIM(C426)&amp;" ")-1),",","."),FIND("/",SUBSTITUTE(LEFT(TRIM(C426),FIND(" ",TRIM(C426)&amp;" ")-1),",","."))-1)/MID(SUBSTITUTE(LEFT(TRIM(C426),FIND(" ",TRIM(C426)&amp;" ")-1),",","."),FIND("/",SUBSTITUTE(LEFT(TRIM(C426),FIND(" ",TRIM(C426)&amp;" ")-1),",","."))+1,9)),IF(ISNUMBER(SEARCH("yea",C426)),IFERROR(_xlfn.NUMBERVALUE(SUBSTITUTE(LEFT(TRIM(C426),FIND(" ",TRIM(C426)&amp;" ")-1),",","."),"."),LEFT(SUBSTITUTE(LEFT(TRIM(C426),FIND(" ",TRIM(C426)&amp;" ")-1),",","."),FIND("/",SUBSTITUTE(LEFT(TRIM(C426),FIND(" ",TRIM(C426)&amp;" ")-1),",","."))-1)/MID(SUBSTITUTE(LEFT(TRIM(C426),FIND(" ",TRIM(C426)&amp;" ")-1),",","."),FIND("/",SUBSTITUTE(LEFT(TRIM(C426),FIND(" ",TRIM(C426)&amp;" ")-1),",","."))+1,9))*12,NA()))),0),24)*'Aturan &amp; Tarif'!$B$4,2)</f>
        <v>1362.72</v>
      </c>
      <c r="K426" s="42" t="n">
        <f aca="false">'Aturan &amp; Tarif'!$B$5</f>
        <v>2050</v>
      </c>
      <c r="L426" s="35" t="n">
        <f aca="false">I426+J426+K426</f>
        <v>16662.72</v>
      </c>
      <c r="M426" s="45" t="s">
        <v>451</v>
      </c>
    </row>
    <row r="427" customFormat="false" ht="37.5" hidden="false" customHeight="true" outlineLevel="0" collapsed="false">
      <c r="A427" s="39"/>
      <c r="B427" s="40" t="s">
        <v>452</v>
      </c>
      <c r="C427" s="41" t="s">
        <v>191</v>
      </c>
      <c r="D427" s="41" t="s">
        <v>108</v>
      </c>
      <c r="E427" s="42" t="n">
        <v>4250</v>
      </c>
      <c r="F427" s="42" t="n">
        <v>400</v>
      </c>
      <c r="G427" s="42" t="n">
        <v>350</v>
      </c>
      <c r="H427" s="43" t="n">
        <v>2</v>
      </c>
      <c r="I427" s="34" t="n">
        <f aca="false">E427*H427+N(F427)+N(G427)</f>
        <v>9250</v>
      </c>
      <c r="J427" s="42" t="n">
        <f aca="false">ROUND(IFERROR(ROUND(IF(OR(ISNUMBER(SEARCH("week",C427)),ISNUMBER(SEARCH("minggu",C427))),IFERROR(_xlfn.NUMBERVALUE(SUBSTITUTE(LEFT(TRIM(C427),FIND(" ",TRIM(C427)&amp;" ")-1),",","."),"."),LEFT(SUBSTITUTE(LEFT(TRIM(C427),FIND(" ",TRIM(C427)&amp;" ")-1),",","."),FIND("/",SUBSTITUTE(LEFT(TRIM(C427),FIND(" ",TRIM(C427)&amp;" ")-1),",","."))-1)/MID(SUBSTITUTE(LEFT(TRIM(C427),FIND(" ",TRIM(C427)&amp;" ")-1),",","."),FIND("/",SUBSTITUTE(LEFT(TRIM(C427),FIND(" ",TRIM(C427)&amp;" ")-1),",","."))+1,9))*12/52,IF(ISNUMBER(SEARCH("month",C427)),IFERROR(_xlfn.NUMBERVALUE(SUBSTITUTE(LEFT(TRIM(C427),FIND(" ",TRIM(C427)&amp;" ")-1),",","."),"."),LEFT(SUBSTITUTE(LEFT(TRIM(C427),FIND(" ",TRIM(C427)&amp;" ")-1),",","."),FIND("/",SUBSTITUTE(LEFT(TRIM(C427),FIND(" ",TRIM(C427)&amp;" ")-1),",","."))-1)/MID(SUBSTITUTE(LEFT(TRIM(C427),FIND(" ",TRIM(C427)&amp;" ")-1),",","."),FIND("/",SUBSTITUTE(LEFT(TRIM(C427),FIND(" ",TRIM(C427)&amp;" ")-1),",","."))+1,9)),IF(ISNUMBER(SEARCH("yea",C427)),IFERROR(_xlfn.NUMBERVALUE(SUBSTITUTE(LEFT(TRIM(C427),FIND(" ",TRIM(C427)&amp;" ")-1),",","."),"."),LEFT(SUBSTITUTE(LEFT(TRIM(C427),FIND(" ",TRIM(C427)&amp;" ")-1),",","."),FIND("/",SUBSTITUTE(LEFT(TRIM(C427),FIND(" ",TRIM(C427)&amp;" ")-1),",","."))-1)/MID(SUBSTITUTE(LEFT(TRIM(C427),FIND(" ",TRIM(C427)&amp;" ")-1),",","."),FIND("/",SUBSTITUTE(LEFT(TRIM(C427),FIND(" ",TRIM(C427)&amp;" ")-1),",","."))+1,9))*12,NA()))),0),48)*'Aturan &amp; Tarif'!$B$4,2)</f>
        <v>2725.44</v>
      </c>
      <c r="K427" s="42" t="n">
        <f aca="false">'Aturan &amp; Tarif'!$B$5</f>
        <v>2050</v>
      </c>
      <c r="L427" s="35" t="n">
        <f aca="false">I427+J427+K427</f>
        <v>14025.44</v>
      </c>
      <c r="M427" s="44" t="s">
        <v>453</v>
      </c>
    </row>
    <row r="428" customFormat="false" ht="37.5" hidden="false" customHeight="true" outlineLevel="0" collapsed="false">
      <c r="A428" s="39"/>
      <c r="B428" s="40" t="s">
        <v>167</v>
      </c>
      <c r="C428" s="41" t="s">
        <v>113</v>
      </c>
      <c r="D428" s="41" t="s">
        <v>108</v>
      </c>
      <c r="E428" s="42" t="n">
        <v>3850</v>
      </c>
      <c r="F428" s="42" t="n">
        <v>400</v>
      </c>
      <c r="G428" s="42" t="n">
        <v>350</v>
      </c>
      <c r="H428" s="43" t="n">
        <v>2</v>
      </c>
      <c r="I428" s="34" t="n">
        <f aca="false">E428*H428+N(F428)+N(G428)</f>
        <v>8450</v>
      </c>
      <c r="J428" s="42" t="n">
        <f aca="false">ROUND(IFERROR(ROUND(IF(OR(ISNUMBER(SEARCH("week",C428)),ISNUMBER(SEARCH("minggu",C428))),IFERROR(_xlfn.NUMBERVALUE(SUBSTITUTE(LEFT(TRIM(C428),FIND(" ",TRIM(C428)&amp;" ")-1),",","."),"."),LEFT(SUBSTITUTE(LEFT(TRIM(C428),FIND(" ",TRIM(C428)&amp;" ")-1),",","."),FIND("/",SUBSTITUTE(LEFT(TRIM(C428),FIND(" ",TRIM(C428)&amp;" ")-1),",","."))-1)/MID(SUBSTITUTE(LEFT(TRIM(C428),FIND(" ",TRIM(C428)&amp;" ")-1),",","."),FIND("/",SUBSTITUTE(LEFT(TRIM(C428),FIND(" ",TRIM(C428)&amp;" ")-1),",","."))+1,9))*12/52,IF(ISNUMBER(SEARCH("month",C428)),IFERROR(_xlfn.NUMBERVALUE(SUBSTITUTE(LEFT(TRIM(C428),FIND(" ",TRIM(C428)&amp;" ")-1),",","."),"."),LEFT(SUBSTITUTE(LEFT(TRIM(C428),FIND(" ",TRIM(C428)&amp;" ")-1),",","."),FIND("/",SUBSTITUTE(LEFT(TRIM(C428),FIND(" ",TRIM(C428)&amp;" ")-1),",","."))-1)/MID(SUBSTITUTE(LEFT(TRIM(C428),FIND(" ",TRIM(C428)&amp;" ")-1),",","."),FIND("/",SUBSTITUTE(LEFT(TRIM(C428),FIND(" ",TRIM(C428)&amp;" ")-1),",","."))+1,9)),IF(ISNUMBER(SEARCH("yea",C428)),IFERROR(_xlfn.NUMBERVALUE(SUBSTITUTE(LEFT(TRIM(C428),FIND(" ",TRIM(C428)&amp;" ")-1),",","."),"."),LEFT(SUBSTITUTE(LEFT(TRIM(C428),FIND(" ",TRIM(C428)&amp;" ")-1),",","."),FIND("/",SUBSTITUTE(LEFT(TRIM(C428),FIND(" ",TRIM(C428)&amp;" ")-1),",","."))-1)/MID(SUBSTITUTE(LEFT(TRIM(C428),FIND(" ",TRIM(C428)&amp;" ")-1),",","."),FIND("/",SUBSTITUTE(LEFT(TRIM(C428),FIND(" ",TRIM(C428)&amp;" ")-1),",","."))+1,9))*12,NA()))),0),18)*'Aturan &amp; Tarif'!$B$4,2)</f>
        <v>1022.04</v>
      </c>
      <c r="K428" s="42" t="n">
        <f aca="false">'Aturan &amp; Tarif'!$B$5</f>
        <v>2050</v>
      </c>
      <c r="L428" s="35" t="n">
        <f aca="false">I428+J428+K428</f>
        <v>11522.04</v>
      </c>
      <c r="M428" s="44" t="s">
        <v>2016</v>
      </c>
    </row>
    <row r="429" customFormat="false" ht="37.5" hidden="false" customHeight="true" outlineLevel="0" collapsed="false">
      <c r="A429" s="39"/>
      <c r="B429" s="40" t="s">
        <v>455</v>
      </c>
      <c r="C429" s="41" t="s">
        <v>107</v>
      </c>
      <c r="D429" s="41" t="s">
        <v>108</v>
      </c>
      <c r="E429" s="42" t="n">
        <v>3850</v>
      </c>
      <c r="F429" s="42" t="n">
        <v>400</v>
      </c>
      <c r="G429" s="42" t="n">
        <v>350</v>
      </c>
      <c r="H429" s="43" t="n">
        <v>2</v>
      </c>
      <c r="I429" s="34" t="n">
        <f aca="false">E429*H429+N(F429)+N(G429)</f>
        <v>8450</v>
      </c>
      <c r="J429" s="42" t="n">
        <f aca="false">ROUND(IFERROR(ROUND(IF(OR(ISNUMBER(SEARCH("week",C429)),ISNUMBER(SEARCH("minggu",C429))),IFERROR(_xlfn.NUMBERVALUE(SUBSTITUTE(LEFT(TRIM(C429),FIND(" ",TRIM(C429)&amp;" ")-1),",","."),"."),LEFT(SUBSTITUTE(LEFT(TRIM(C429),FIND(" ",TRIM(C429)&amp;" ")-1),",","."),FIND("/",SUBSTITUTE(LEFT(TRIM(C429),FIND(" ",TRIM(C429)&amp;" ")-1),",","."))-1)/MID(SUBSTITUTE(LEFT(TRIM(C429),FIND(" ",TRIM(C429)&amp;" ")-1),",","."),FIND("/",SUBSTITUTE(LEFT(TRIM(C429),FIND(" ",TRIM(C429)&amp;" ")-1),",","."))+1,9))*12/52,IF(ISNUMBER(SEARCH("month",C429)),IFERROR(_xlfn.NUMBERVALUE(SUBSTITUTE(LEFT(TRIM(C429),FIND(" ",TRIM(C429)&amp;" ")-1),",","."),"."),LEFT(SUBSTITUTE(LEFT(TRIM(C429),FIND(" ",TRIM(C429)&amp;" ")-1),",","."),FIND("/",SUBSTITUTE(LEFT(TRIM(C429),FIND(" ",TRIM(C429)&amp;" ")-1),",","."))-1)/MID(SUBSTITUTE(LEFT(TRIM(C429),FIND(" ",TRIM(C429)&amp;" ")-1),",","."),FIND("/",SUBSTITUTE(LEFT(TRIM(C429),FIND(" ",TRIM(C429)&amp;" ")-1),",","."))+1,9)),IF(ISNUMBER(SEARCH("yea",C429)),IFERROR(_xlfn.NUMBERVALUE(SUBSTITUTE(LEFT(TRIM(C429),FIND(" ",TRIM(C429)&amp;" ")-1),",","."),"."),LEFT(SUBSTITUTE(LEFT(TRIM(C429),FIND(" ",TRIM(C429)&amp;" ")-1),",","."),FIND("/",SUBSTITUTE(LEFT(TRIM(C429),FIND(" ",TRIM(C429)&amp;" ")-1),",","."))-1)/MID(SUBSTITUTE(LEFT(TRIM(C429),FIND(" ",TRIM(C429)&amp;" ")-1),",","."),FIND("/",SUBSTITUTE(LEFT(TRIM(C429),FIND(" ",TRIM(C429)&amp;" ")-1),",","."))+1,9))*12,NA()))),0),24)*'Aturan &amp; Tarif'!$B$4,2)</f>
        <v>1362.72</v>
      </c>
      <c r="K429" s="42" t="n">
        <f aca="false">'Aturan &amp; Tarif'!$B$5</f>
        <v>2050</v>
      </c>
      <c r="L429" s="35" t="n">
        <f aca="false">I429+J429+K429</f>
        <v>11862.72</v>
      </c>
      <c r="M429" s="44" t="s">
        <v>2016</v>
      </c>
    </row>
    <row r="430" customFormat="false" ht="37.5" hidden="false" customHeight="true" outlineLevel="0" collapsed="false">
      <c r="A430" s="39"/>
      <c r="B430" s="40" t="s">
        <v>456</v>
      </c>
      <c r="C430" s="41" t="s">
        <v>127</v>
      </c>
      <c r="D430" s="41" t="s">
        <v>108</v>
      </c>
      <c r="E430" s="42" t="n">
        <v>3375</v>
      </c>
      <c r="F430" s="42" t="n">
        <v>400</v>
      </c>
      <c r="G430" s="42" t="n">
        <v>350</v>
      </c>
      <c r="H430" s="43" t="n">
        <v>2</v>
      </c>
      <c r="I430" s="34" t="n">
        <f aca="false">E430*H430+N(F430)+N(G430)</f>
        <v>7500</v>
      </c>
      <c r="J430" s="42" t="n">
        <f aca="false">ROUND(IFERROR(ROUND(IF(OR(ISNUMBER(SEARCH("week",C430)),ISNUMBER(SEARCH("minggu",C430))),IFERROR(_xlfn.NUMBERVALUE(SUBSTITUTE(LEFT(TRIM(C430),FIND(" ",TRIM(C430)&amp;" ")-1),",","."),"."),LEFT(SUBSTITUTE(LEFT(TRIM(C430),FIND(" ",TRIM(C430)&amp;" ")-1),",","."),FIND("/",SUBSTITUTE(LEFT(TRIM(C430),FIND(" ",TRIM(C430)&amp;" ")-1),",","."))-1)/MID(SUBSTITUTE(LEFT(TRIM(C430),FIND(" ",TRIM(C430)&amp;" ")-1),",","."),FIND("/",SUBSTITUTE(LEFT(TRIM(C430),FIND(" ",TRIM(C430)&amp;" ")-1),",","."))+1,9))*12/52,IF(ISNUMBER(SEARCH("month",C430)),IFERROR(_xlfn.NUMBERVALUE(SUBSTITUTE(LEFT(TRIM(C430),FIND(" ",TRIM(C430)&amp;" ")-1),",","."),"."),LEFT(SUBSTITUTE(LEFT(TRIM(C430),FIND(" ",TRIM(C430)&amp;" ")-1),",","."),FIND("/",SUBSTITUTE(LEFT(TRIM(C430),FIND(" ",TRIM(C430)&amp;" ")-1),",","."))-1)/MID(SUBSTITUTE(LEFT(TRIM(C430),FIND(" ",TRIM(C430)&amp;" ")-1),",","."),FIND("/",SUBSTITUTE(LEFT(TRIM(C430),FIND(" ",TRIM(C430)&amp;" ")-1),",","."))+1,9)),IF(ISNUMBER(SEARCH("yea",C430)),IFERROR(_xlfn.NUMBERVALUE(SUBSTITUTE(LEFT(TRIM(C430),FIND(" ",TRIM(C430)&amp;" ")-1),",","."),"."),LEFT(SUBSTITUTE(LEFT(TRIM(C430),FIND(" ",TRIM(C430)&amp;" ")-1),",","."),FIND("/",SUBSTITUTE(LEFT(TRIM(C430),FIND(" ",TRIM(C430)&amp;" ")-1),",","."))-1)/MID(SUBSTITUTE(LEFT(TRIM(C430),FIND(" ",TRIM(C430)&amp;" ")-1),",","."),FIND("/",SUBSTITUTE(LEFT(TRIM(C430),FIND(" ",TRIM(C430)&amp;" ")-1),",","."))+1,9))*12,NA()))),0),36)*'Aturan &amp; Tarif'!$B$4,2)</f>
        <v>2044.08</v>
      </c>
      <c r="K430" s="42" t="n">
        <f aca="false">'Aturan &amp; Tarif'!$B$5</f>
        <v>2050</v>
      </c>
      <c r="L430" s="35" t="n">
        <f aca="false">I430+J430+K430</f>
        <v>11594.08</v>
      </c>
      <c r="M430" s="44" t="s">
        <v>2017</v>
      </c>
    </row>
    <row r="431" customFormat="false" ht="37.5" hidden="false" customHeight="true" outlineLevel="0" collapsed="false">
      <c r="A431" s="39"/>
      <c r="B431" s="40" t="s">
        <v>349</v>
      </c>
      <c r="C431" s="41" t="s">
        <v>107</v>
      </c>
      <c r="D431" s="41" t="s">
        <v>108</v>
      </c>
      <c r="E431" s="42" t="n">
        <v>4125</v>
      </c>
      <c r="F431" s="42" t="n">
        <v>400</v>
      </c>
      <c r="G431" s="42" t="n">
        <v>350</v>
      </c>
      <c r="H431" s="43" t="n">
        <v>2</v>
      </c>
      <c r="I431" s="34" t="n">
        <f aca="false">E431*H431+N(F431)+N(G431)</f>
        <v>9000</v>
      </c>
      <c r="J431" s="42" t="n">
        <f aca="false">ROUND(IFERROR(ROUND(IF(OR(ISNUMBER(SEARCH("week",C431)),ISNUMBER(SEARCH("minggu",C431))),IFERROR(_xlfn.NUMBERVALUE(SUBSTITUTE(LEFT(TRIM(C431),FIND(" ",TRIM(C431)&amp;" ")-1),",","."),"."),LEFT(SUBSTITUTE(LEFT(TRIM(C431),FIND(" ",TRIM(C431)&amp;" ")-1),",","."),FIND("/",SUBSTITUTE(LEFT(TRIM(C431),FIND(" ",TRIM(C431)&amp;" ")-1),",","."))-1)/MID(SUBSTITUTE(LEFT(TRIM(C431),FIND(" ",TRIM(C431)&amp;" ")-1),",","."),FIND("/",SUBSTITUTE(LEFT(TRIM(C431),FIND(" ",TRIM(C431)&amp;" ")-1),",","."))+1,9))*12/52,IF(ISNUMBER(SEARCH("month",C431)),IFERROR(_xlfn.NUMBERVALUE(SUBSTITUTE(LEFT(TRIM(C431),FIND(" ",TRIM(C431)&amp;" ")-1),",","."),"."),LEFT(SUBSTITUTE(LEFT(TRIM(C431),FIND(" ",TRIM(C431)&amp;" ")-1),",","."),FIND("/",SUBSTITUTE(LEFT(TRIM(C431),FIND(" ",TRIM(C431)&amp;" ")-1),",","."))-1)/MID(SUBSTITUTE(LEFT(TRIM(C431),FIND(" ",TRIM(C431)&amp;" ")-1),",","."),FIND("/",SUBSTITUTE(LEFT(TRIM(C431),FIND(" ",TRIM(C431)&amp;" ")-1),",","."))+1,9)),IF(ISNUMBER(SEARCH("yea",C431)),IFERROR(_xlfn.NUMBERVALUE(SUBSTITUTE(LEFT(TRIM(C431),FIND(" ",TRIM(C431)&amp;" ")-1),",","."),"."),LEFT(SUBSTITUTE(LEFT(TRIM(C431),FIND(" ",TRIM(C431)&amp;" ")-1),",","."),FIND("/",SUBSTITUTE(LEFT(TRIM(C431),FIND(" ",TRIM(C431)&amp;" ")-1),",","."))-1)/MID(SUBSTITUTE(LEFT(TRIM(C431),FIND(" ",TRIM(C431)&amp;" ")-1),",","."),FIND("/",SUBSTITUTE(LEFT(TRIM(C431),FIND(" ",TRIM(C431)&amp;" ")-1),",","."))+1,9))*12,NA()))),0),24)*'Aturan &amp; Tarif'!$B$4,2)</f>
        <v>1362.72</v>
      </c>
      <c r="K431" s="42" t="n">
        <f aca="false">'Aturan &amp; Tarif'!$B$5</f>
        <v>2050</v>
      </c>
      <c r="L431" s="35" t="n">
        <f aca="false">I431+J431+K431</f>
        <v>12412.72</v>
      </c>
      <c r="M431" s="44" t="s">
        <v>2018</v>
      </c>
    </row>
    <row r="432" customFormat="false" ht="37.5" hidden="false" customHeight="true" outlineLevel="0" collapsed="false">
      <c r="A432" s="39"/>
      <c r="B432" s="40" t="s">
        <v>335</v>
      </c>
      <c r="C432" s="41" t="s">
        <v>127</v>
      </c>
      <c r="D432" s="41" t="s">
        <v>108</v>
      </c>
      <c r="E432" s="42" t="n">
        <v>3825</v>
      </c>
      <c r="F432" s="42" t="n">
        <v>400</v>
      </c>
      <c r="G432" s="42" t="n">
        <v>350</v>
      </c>
      <c r="H432" s="43" t="n">
        <v>2</v>
      </c>
      <c r="I432" s="34" t="n">
        <f aca="false">E432*H432+N(F432)+N(G432)</f>
        <v>8400</v>
      </c>
      <c r="J432" s="42" t="n">
        <f aca="false">ROUND(IFERROR(ROUND(IF(OR(ISNUMBER(SEARCH("week",C432)),ISNUMBER(SEARCH("minggu",C432))),IFERROR(_xlfn.NUMBERVALUE(SUBSTITUTE(LEFT(TRIM(C432),FIND(" ",TRIM(C432)&amp;" ")-1),",","."),"."),LEFT(SUBSTITUTE(LEFT(TRIM(C432),FIND(" ",TRIM(C432)&amp;" ")-1),",","."),FIND("/",SUBSTITUTE(LEFT(TRIM(C432),FIND(" ",TRIM(C432)&amp;" ")-1),",","."))-1)/MID(SUBSTITUTE(LEFT(TRIM(C432),FIND(" ",TRIM(C432)&amp;" ")-1),",","."),FIND("/",SUBSTITUTE(LEFT(TRIM(C432),FIND(" ",TRIM(C432)&amp;" ")-1),",","."))+1,9))*12/52,IF(ISNUMBER(SEARCH("month",C432)),IFERROR(_xlfn.NUMBERVALUE(SUBSTITUTE(LEFT(TRIM(C432),FIND(" ",TRIM(C432)&amp;" ")-1),",","."),"."),LEFT(SUBSTITUTE(LEFT(TRIM(C432),FIND(" ",TRIM(C432)&amp;" ")-1),",","."),FIND("/",SUBSTITUTE(LEFT(TRIM(C432),FIND(" ",TRIM(C432)&amp;" ")-1),",","."))-1)/MID(SUBSTITUTE(LEFT(TRIM(C432),FIND(" ",TRIM(C432)&amp;" ")-1),",","."),FIND("/",SUBSTITUTE(LEFT(TRIM(C432),FIND(" ",TRIM(C432)&amp;" ")-1),",","."))+1,9)),IF(ISNUMBER(SEARCH("yea",C432)),IFERROR(_xlfn.NUMBERVALUE(SUBSTITUTE(LEFT(TRIM(C432),FIND(" ",TRIM(C432)&amp;" ")-1),",","."),"."),LEFT(SUBSTITUTE(LEFT(TRIM(C432),FIND(" ",TRIM(C432)&amp;" ")-1),",","."),FIND("/",SUBSTITUTE(LEFT(TRIM(C432),FIND(" ",TRIM(C432)&amp;" ")-1),",","."))-1)/MID(SUBSTITUTE(LEFT(TRIM(C432),FIND(" ",TRIM(C432)&amp;" ")-1),",","."),FIND("/",SUBSTITUTE(LEFT(TRIM(C432),FIND(" ",TRIM(C432)&amp;" ")-1),",","."))+1,9))*12,NA()))),0),36)*'Aturan &amp; Tarif'!$B$4,2)</f>
        <v>2044.08</v>
      </c>
      <c r="K432" s="42" t="n">
        <f aca="false">'Aturan &amp; Tarif'!$B$5</f>
        <v>2050</v>
      </c>
      <c r="L432" s="35" t="n">
        <f aca="false">I432+J432+K432</f>
        <v>12494.08</v>
      </c>
      <c r="M432" s="44" t="s">
        <v>459</v>
      </c>
    </row>
    <row r="433" customFormat="false" ht="37.5" hidden="false" customHeight="true" outlineLevel="0" collapsed="false">
      <c r="A433" s="39"/>
      <c r="B433" s="40" t="s">
        <v>348</v>
      </c>
      <c r="C433" s="41" t="s">
        <v>113</v>
      </c>
      <c r="D433" s="41" t="s">
        <v>108</v>
      </c>
      <c r="E433" s="42" t="n">
        <v>4125</v>
      </c>
      <c r="F433" s="42" t="n">
        <v>400</v>
      </c>
      <c r="G433" s="42" t="n">
        <v>350</v>
      </c>
      <c r="H433" s="43" t="n">
        <v>2</v>
      </c>
      <c r="I433" s="34" t="n">
        <f aca="false">E433*H433+N(F433)+N(G433)</f>
        <v>9000</v>
      </c>
      <c r="J433" s="42" t="n">
        <f aca="false">ROUND(IFERROR(ROUND(IF(OR(ISNUMBER(SEARCH("week",C433)),ISNUMBER(SEARCH("minggu",C433))),IFERROR(_xlfn.NUMBERVALUE(SUBSTITUTE(LEFT(TRIM(C433),FIND(" ",TRIM(C433)&amp;" ")-1),",","."),"."),LEFT(SUBSTITUTE(LEFT(TRIM(C433),FIND(" ",TRIM(C433)&amp;" ")-1),",","."),FIND("/",SUBSTITUTE(LEFT(TRIM(C433),FIND(" ",TRIM(C433)&amp;" ")-1),",","."))-1)/MID(SUBSTITUTE(LEFT(TRIM(C433),FIND(" ",TRIM(C433)&amp;" ")-1),",","."),FIND("/",SUBSTITUTE(LEFT(TRIM(C433),FIND(" ",TRIM(C433)&amp;" ")-1),",","."))+1,9))*12/52,IF(ISNUMBER(SEARCH("month",C433)),IFERROR(_xlfn.NUMBERVALUE(SUBSTITUTE(LEFT(TRIM(C433),FIND(" ",TRIM(C433)&amp;" ")-1),",","."),"."),LEFT(SUBSTITUTE(LEFT(TRIM(C433),FIND(" ",TRIM(C433)&amp;" ")-1),",","."),FIND("/",SUBSTITUTE(LEFT(TRIM(C433),FIND(" ",TRIM(C433)&amp;" ")-1),",","."))-1)/MID(SUBSTITUTE(LEFT(TRIM(C433),FIND(" ",TRIM(C433)&amp;" ")-1),",","."),FIND("/",SUBSTITUTE(LEFT(TRIM(C433),FIND(" ",TRIM(C433)&amp;" ")-1),",","."))+1,9)),IF(ISNUMBER(SEARCH("yea",C433)),IFERROR(_xlfn.NUMBERVALUE(SUBSTITUTE(LEFT(TRIM(C433),FIND(" ",TRIM(C433)&amp;" ")-1),",","."),"."),LEFT(SUBSTITUTE(LEFT(TRIM(C433),FIND(" ",TRIM(C433)&amp;" ")-1),",","."),FIND("/",SUBSTITUTE(LEFT(TRIM(C433),FIND(" ",TRIM(C433)&amp;" ")-1),",","."))-1)/MID(SUBSTITUTE(LEFT(TRIM(C433),FIND(" ",TRIM(C433)&amp;" ")-1),",","."),FIND("/",SUBSTITUTE(LEFT(TRIM(C433),FIND(" ",TRIM(C433)&amp;" ")-1),",","."))+1,9))*12,NA()))),0),18)*'Aturan &amp; Tarif'!$B$4,2)</f>
        <v>1022.04</v>
      </c>
      <c r="K433" s="42" t="n">
        <f aca="false">'Aturan &amp; Tarif'!$B$5</f>
        <v>2050</v>
      </c>
      <c r="L433" s="35" t="n">
        <f aca="false">I433+J433+K433</f>
        <v>12072.04</v>
      </c>
      <c r="M433" s="44" t="s">
        <v>2019</v>
      </c>
    </row>
    <row r="434" customFormat="false" ht="37.5" hidden="false" customHeight="true" outlineLevel="0" collapsed="false">
      <c r="A434" s="39"/>
      <c r="B434" s="40" t="s">
        <v>460</v>
      </c>
      <c r="C434" s="41" t="s">
        <v>107</v>
      </c>
      <c r="D434" s="41" t="s">
        <v>108</v>
      </c>
      <c r="E434" s="42" t="n">
        <v>4125</v>
      </c>
      <c r="F434" s="42" t="n">
        <v>400</v>
      </c>
      <c r="G434" s="42" t="n">
        <v>350</v>
      </c>
      <c r="H434" s="43" t="n">
        <v>2</v>
      </c>
      <c r="I434" s="34" t="n">
        <f aca="false">E434*H434+N(F434)+N(G434)</f>
        <v>9000</v>
      </c>
      <c r="J434" s="42" t="n">
        <f aca="false">ROUND(IFERROR(ROUND(IF(OR(ISNUMBER(SEARCH("week",C434)),ISNUMBER(SEARCH("minggu",C434))),IFERROR(_xlfn.NUMBERVALUE(SUBSTITUTE(LEFT(TRIM(C434),FIND(" ",TRIM(C434)&amp;" ")-1),",","."),"."),LEFT(SUBSTITUTE(LEFT(TRIM(C434),FIND(" ",TRIM(C434)&amp;" ")-1),",","."),FIND("/",SUBSTITUTE(LEFT(TRIM(C434),FIND(" ",TRIM(C434)&amp;" ")-1),",","."))-1)/MID(SUBSTITUTE(LEFT(TRIM(C434),FIND(" ",TRIM(C434)&amp;" ")-1),",","."),FIND("/",SUBSTITUTE(LEFT(TRIM(C434),FIND(" ",TRIM(C434)&amp;" ")-1),",","."))+1,9))*12/52,IF(ISNUMBER(SEARCH("month",C434)),IFERROR(_xlfn.NUMBERVALUE(SUBSTITUTE(LEFT(TRIM(C434),FIND(" ",TRIM(C434)&amp;" ")-1),",","."),"."),LEFT(SUBSTITUTE(LEFT(TRIM(C434),FIND(" ",TRIM(C434)&amp;" ")-1),",","."),FIND("/",SUBSTITUTE(LEFT(TRIM(C434),FIND(" ",TRIM(C434)&amp;" ")-1),",","."))-1)/MID(SUBSTITUTE(LEFT(TRIM(C434),FIND(" ",TRIM(C434)&amp;" ")-1),",","."),FIND("/",SUBSTITUTE(LEFT(TRIM(C434),FIND(" ",TRIM(C434)&amp;" ")-1),",","."))+1,9)),IF(ISNUMBER(SEARCH("yea",C434)),IFERROR(_xlfn.NUMBERVALUE(SUBSTITUTE(LEFT(TRIM(C434),FIND(" ",TRIM(C434)&amp;" ")-1),",","."),"."),LEFT(SUBSTITUTE(LEFT(TRIM(C434),FIND(" ",TRIM(C434)&amp;" ")-1),",","."),FIND("/",SUBSTITUTE(LEFT(TRIM(C434),FIND(" ",TRIM(C434)&amp;" ")-1),",","."))-1)/MID(SUBSTITUTE(LEFT(TRIM(C434),FIND(" ",TRIM(C434)&amp;" ")-1),",","."),FIND("/",SUBSTITUTE(LEFT(TRIM(C434),FIND(" ",TRIM(C434)&amp;" ")-1),",","."))+1,9))*12,NA()))),0),24)*'Aturan &amp; Tarif'!$B$4,2)</f>
        <v>1362.72</v>
      </c>
      <c r="K434" s="42" t="n">
        <f aca="false">'Aturan &amp; Tarif'!$B$5</f>
        <v>2050</v>
      </c>
      <c r="L434" s="35" t="n">
        <f aca="false">I434+J434+K434</f>
        <v>12412.72</v>
      </c>
      <c r="M434" s="44" t="s">
        <v>2019</v>
      </c>
    </row>
    <row r="435" customFormat="false" ht="37.5" hidden="false" customHeight="true" outlineLevel="0" collapsed="false">
      <c r="A435" s="39"/>
      <c r="B435" s="40" t="s">
        <v>321</v>
      </c>
      <c r="C435" s="41" t="s">
        <v>127</v>
      </c>
      <c r="D435" s="41" t="s">
        <v>108</v>
      </c>
      <c r="E435" s="42" t="n">
        <v>3600</v>
      </c>
      <c r="F435" s="42" t="n">
        <v>400</v>
      </c>
      <c r="G435" s="42" t="n">
        <v>350</v>
      </c>
      <c r="H435" s="43" t="n">
        <v>2</v>
      </c>
      <c r="I435" s="34" t="n">
        <f aca="false">E435*H435+N(F435)+N(G435)</f>
        <v>7950</v>
      </c>
      <c r="J435" s="42" t="n">
        <f aca="false">ROUND(IFERROR(ROUND(IF(OR(ISNUMBER(SEARCH("week",C435)),ISNUMBER(SEARCH("minggu",C435))),IFERROR(_xlfn.NUMBERVALUE(SUBSTITUTE(LEFT(TRIM(C435),FIND(" ",TRIM(C435)&amp;" ")-1),",","."),"."),LEFT(SUBSTITUTE(LEFT(TRIM(C435),FIND(" ",TRIM(C435)&amp;" ")-1),",","."),FIND("/",SUBSTITUTE(LEFT(TRIM(C435),FIND(" ",TRIM(C435)&amp;" ")-1),",","."))-1)/MID(SUBSTITUTE(LEFT(TRIM(C435),FIND(" ",TRIM(C435)&amp;" ")-1),",","."),FIND("/",SUBSTITUTE(LEFT(TRIM(C435),FIND(" ",TRIM(C435)&amp;" ")-1),",","."))+1,9))*12/52,IF(ISNUMBER(SEARCH("month",C435)),IFERROR(_xlfn.NUMBERVALUE(SUBSTITUTE(LEFT(TRIM(C435),FIND(" ",TRIM(C435)&amp;" ")-1),",","."),"."),LEFT(SUBSTITUTE(LEFT(TRIM(C435),FIND(" ",TRIM(C435)&amp;" ")-1),",","."),FIND("/",SUBSTITUTE(LEFT(TRIM(C435),FIND(" ",TRIM(C435)&amp;" ")-1),",","."))-1)/MID(SUBSTITUTE(LEFT(TRIM(C435),FIND(" ",TRIM(C435)&amp;" ")-1),",","."),FIND("/",SUBSTITUTE(LEFT(TRIM(C435),FIND(" ",TRIM(C435)&amp;" ")-1),",","."))+1,9)),IF(ISNUMBER(SEARCH("yea",C435)),IFERROR(_xlfn.NUMBERVALUE(SUBSTITUTE(LEFT(TRIM(C435),FIND(" ",TRIM(C435)&amp;" ")-1),",","."),"."),LEFT(SUBSTITUTE(LEFT(TRIM(C435),FIND(" ",TRIM(C435)&amp;" ")-1),",","."),FIND("/",SUBSTITUTE(LEFT(TRIM(C435),FIND(" ",TRIM(C435)&amp;" ")-1),",","."))-1)/MID(SUBSTITUTE(LEFT(TRIM(C435),FIND(" ",TRIM(C435)&amp;" ")-1),",","."),FIND("/",SUBSTITUTE(LEFT(TRIM(C435),FIND(" ",TRIM(C435)&amp;" ")-1),",","."))+1,9))*12,NA()))),0),36)*'Aturan &amp; Tarif'!$B$4,2)</f>
        <v>2044.08</v>
      </c>
      <c r="K435" s="42" t="n">
        <f aca="false">'Aturan &amp; Tarif'!$B$5</f>
        <v>2050</v>
      </c>
      <c r="L435" s="35" t="n">
        <f aca="false">I435+J435+K435</f>
        <v>12044.08</v>
      </c>
      <c r="M435" s="44" t="s">
        <v>457</v>
      </c>
    </row>
    <row r="436" customFormat="false" ht="37.5" hidden="false" customHeight="true" outlineLevel="0" collapsed="false">
      <c r="A436" s="39"/>
      <c r="B436" s="40" t="s">
        <v>343</v>
      </c>
      <c r="C436" s="41" t="s">
        <v>344</v>
      </c>
      <c r="D436" s="41" t="s">
        <v>108</v>
      </c>
      <c r="E436" s="42" t="n">
        <v>4125</v>
      </c>
      <c r="F436" s="42" t="n">
        <v>400</v>
      </c>
      <c r="G436" s="42" t="n">
        <v>350</v>
      </c>
      <c r="H436" s="43" t="n">
        <v>2</v>
      </c>
      <c r="I436" s="34" t="n">
        <f aca="false">E436*H436+N(F436)+N(G436)</f>
        <v>9000</v>
      </c>
      <c r="J436" s="42" t="n">
        <f aca="false">ROUND(IFERROR(ROUND(IF(OR(ISNUMBER(SEARCH("week",C436)),ISNUMBER(SEARCH("minggu",C436))),IFERROR(_xlfn.NUMBERVALUE(SUBSTITUTE(LEFT(TRIM(C436),FIND(" ",TRIM(C436)&amp;" ")-1),",","."),"."),LEFT(SUBSTITUTE(LEFT(TRIM(C436),FIND(" ",TRIM(C436)&amp;" ")-1),",","."),FIND("/",SUBSTITUTE(LEFT(TRIM(C436),FIND(" ",TRIM(C436)&amp;" ")-1),",","."))-1)/MID(SUBSTITUTE(LEFT(TRIM(C436),FIND(" ",TRIM(C436)&amp;" ")-1),",","."),FIND("/",SUBSTITUTE(LEFT(TRIM(C436),FIND(" ",TRIM(C436)&amp;" ")-1),",","."))+1,9))*12/52,IF(ISNUMBER(SEARCH("month",C436)),IFERROR(_xlfn.NUMBERVALUE(SUBSTITUTE(LEFT(TRIM(C436),FIND(" ",TRIM(C436)&amp;" ")-1),",","."),"."),LEFT(SUBSTITUTE(LEFT(TRIM(C436),FIND(" ",TRIM(C436)&amp;" ")-1),",","."),FIND("/",SUBSTITUTE(LEFT(TRIM(C436),FIND(" ",TRIM(C436)&amp;" ")-1),",","."))-1)/MID(SUBSTITUTE(LEFT(TRIM(C436),FIND(" ",TRIM(C436)&amp;" ")-1),",","."),FIND("/",SUBSTITUTE(LEFT(TRIM(C436),FIND(" ",TRIM(C436)&amp;" ")-1),",","."))+1,9)),IF(ISNUMBER(SEARCH("yea",C436)),IFERROR(_xlfn.NUMBERVALUE(SUBSTITUTE(LEFT(TRIM(C436),FIND(" ",TRIM(C436)&amp;" ")-1),",","."),"."),LEFT(SUBSTITUTE(LEFT(TRIM(C436),FIND(" ",TRIM(C436)&amp;" ")-1),",","."),FIND("/",SUBSTITUTE(LEFT(TRIM(C436),FIND(" ",TRIM(C436)&amp;" ")-1),",","."))-1)/MID(SUBSTITUTE(LEFT(TRIM(C436),FIND(" ",TRIM(C436)&amp;" ")-1),",","."),FIND("/",SUBSTITUTE(LEFT(TRIM(C436),FIND(" ",TRIM(C436)&amp;" ")-1),",","."))+1,9))*12,NA()))),0),6)*'Aturan &amp; Tarif'!$B$4,2)</f>
        <v>340.68</v>
      </c>
      <c r="K436" s="42" t="n">
        <f aca="false">'Aturan &amp; Tarif'!$B$5</f>
        <v>2050</v>
      </c>
      <c r="L436" s="35" t="n">
        <f aca="false">I436+J436+K436</f>
        <v>11390.68</v>
      </c>
      <c r="M436" s="44" t="s">
        <v>461</v>
      </c>
    </row>
    <row r="437" customFormat="false" ht="48.75" hidden="false" customHeight="true" outlineLevel="0" collapsed="false">
      <c r="A437" s="29" t="s">
        <v>2020</v>
      </c>
      <c r="B437" s="30" t="s">
        <v>2021</v>
      </c>
      <c r="C437" s="31" t="s">
        <v>127</v>
      </c>
      <c r="D437" s="31" t="s">
        <v>108</v>
      </c>
      <c r="E437" s="32" t="n">
        <v>1500</v>
      </c>
      <c r="F437" s="32" t="n">
        <v>60</v>
      </c>
      <c r="G437" s="32" t="n">
        <v>250</v>
      </c>
      <c r="H437" s="33" t="n">
        <v>1</v>
      </c>
      <c r="I437" s="34" t="n">
        <f aca="false">E437*H437+N(F437)+N(G437)</f>
        <v>1810</v>
      </c>
      <c r="J437" s="32" t="n">
        <f aca="false">ROUND(IFERROR(ROUND(IF(OR(ISNUMBER(SEARCH("week",C437)),ISNUMBER(SEARCH("minggu",C437))),IFERROR(_xlfn.NUMBERVALUE(SUBSTITUTE(LEFT(TRIM(C437),FIND(" ",TRIM(C437)&amp;" ")-1),",","."),"."),LEFT(SUBSTITUTE(LEFT(TRIM(C437),FIND(" ",TRIM(C437)&amp;" ")-1),",","."),FIND("/",SUBSTITUTE(LEFT(TRIM(C437),FIND(" ",TRIM(C437)&amp;" ")-1),",","."))-1)/MID(SUBSTITUTE(LEFT(TRIM(C437),FIND(" ",TRIM(C437)&amp;" ")-1),",","."),FIND("/",SUBSTITUTE(LEFT(TRIM(C437),FIND(" ",TRIM(C437)&amp;" ")-1),",","."))+1,9))*12/52,IF(ISNUMBER(SEARCH("month",C437)),IFERROR(_xlfn.NUMBERVALUE(SUBSTITUTE(LEFT(TRIM(C437),FIND(" ",TRIM(C437)&amp;" ")-1),",","."),"."),LEFT(SUBSTITUTE(LEFT(TRIM(C437),FIND(" ",TRIM(C437)&amp;" ")-1),",","."),FIND("/",SUBSTITUTE(LEFT(TRIM(C437),FIND(" ",TRIM(C437)&amp;" ")-1),",","."))-1)/MID(SUBSTITUTE(LEFT(TRIM(C437),FIND(" ",TRIM(C437)&amp;" ")-1),",","."),FIND("/",SUBSTITUTE(LEFT(TRIM(C437),FIND(" ",TRIM(C437)&amp;" ")-1),",","."))+1,9)),IF(ISNUMBER(SEARCH("yea",C437)),IFERROR(_xlfn.NUMBERVALUE(SUBSTITUTE(LEFT(TRIM(C437),FIND(" ",TRIM(C437)&amp;" ")-1),",","."),"."),LEFT(SUBSTITUTE(LEFT(TRIM(C437),FIND(" ",TRIM(C437)&amp;" ")-1),",","."),FIND("/",SUBSTITUTE(LEFT(TRIM(C437),FIND(" ",TRIM(C437)&amp;" ")-1),",","."))-1)/MID(SUBSTITUTE(LEFT(TRIM(C437),FIND(" ",TRIM(C437)&amp;" ")-1),",","."),FIND("/",SUBSTITUTE(LEFT(TRIM(C437),FIND(" ",TRIM(C437)&amp;" ")-1),",","."))+1,9))*12,NA()))),0),36)*'Aturan &amp; Tarif'!$B$4,2)</f>
        <v>2044.08</v>
      </c>
      <c r="K437" s="32" t="n">
        <f aca="false">'Aturan &amp; Tarif'!$B$5</f>
        <v>2050</v>
      </c>
      <c r="L437" s="35" t="n">
        <f aca="false">I437+J437+K437</f>
        <v>5904.08</v>
      </c>
      <c r="M437" s="36" t="s">
        <v>2022</v>
      </c>
    </row>
    <row r="438" customFormat="false" ht="37.5" hidden="false" customHeight="true" outlineLevel="0" collapsed="false">
      <c r="A438" s="29"/>
      <c r="B438" s="30" t="s">
        <v>2023</v>
      </c>
      <c r="C438" s="31" t="s">
        <v>2024</v>
      </c>
      <c r="D438" s="31" t="s">
        <v>108</v>
      </c>
      <c r="E438" s="32" t="n">
        <v>1500</v>
      </c>
      <c r="F438" s="32" t="n">
        <v>60</v>
      </c>
      <c r="G438" s="32" t="n">
        <v>250</v>
      </c>
      <c r="H438" s="33" t="n">
        <v>1</v>
      </c>
      <c r="I438" s="34" t="n">
        <f aca="false">E438*H438+N(F438)+N(G438)</f>
        <v>1810</v>
      </c>
      <c r="J438" s="32" t="n">
        <f aca="false">ROUND(IFERROR(ROUND(IF(OR(ISNUMBER(SEARCH("week",C438)),ISNUMBER(SEARCH("minggu",C438))),IFERROR(_xlfn.NUMBERVALUE(SUBSTITUTE(LEFT(TRIM(C438),FIND(" ",TRIM(C438)&amp;" ")-1),",","."),"."),LEFT(SUBSTITUTE(LEFT(TRIM(C438),FIND(" ",TRIM(C438)&amp;" ")-1),",","."),FIND("/",SUBSTITUTE(LEFT(TRIM(C438),FIND(" ",TRIM(C438)&amp;" ")-1),",","."))-1)/MID(SUBSTITUTE(LEFT(TRIM(C438),FIND(" ",TRIM(C438)&amp;" ")-1),",","."),FIND("/",SUBSTITUTE(LEFT(TRIM(C438),FIND(" ",TRIM(C438)&amp;" ")-1),",","."))+1,9))*12/52,IF(ISNUMBER(SEARCH("month",C438)),IFERROR(_xlfn.NUMBERVALUE(SUBSTITUTE(LEFT(TRIM(C438),FIND(" ",TRIM(C438)&amp;" ")-1),",","."),"."),LEFT(SUBSTITUTE(LEFT(TRIM(C438),FIND(" ",TRIM(C438)&amp;" ")-1),",","."),FIND("/",SUBSTITUTE(LEFT(TRIM(C438),FIND(" ",TRIM(C438)&amp;" ")-1),",","."))-1)/MID(SUBSTITUTE(LEFT(TRIM(C438),FIND(" ",TRIM(C438)&amp;" ")-1),",","."),FIND("/",SUBSTITUTE(LEFT(TRIM(C438),FIND(" ",TRIM(C438)&amp;" ")-1),",","."))+1,9)),IF(ISNUMBER(SEARCH("yea",C438)),IFERROR(_xlfn.NUMBERVALUE(SUBSTITUTE(LEFT(TRIM(C438),FIND(" ",TRIM(C438)&amp;" ")-1),",","."),"."),LEFT(SUBSTITUTE(LEFT(TRIM(C438),FIND(" ",TRIM(C438)&amp;" ")-1),",","."),FIND("/",SUBSTITUTE(LEFT(TRIM(C438),FIND(" ",TRIM(C438)&amp;" ")-1),",","."))-1)/MID(SUBSTITUTE(LEFT(TRIM(C438),FIND(" ",TRIM(C438)&amp;" ")-1),",","."),FIND("/",SUBSTITUTE(LEFT(TRIM(C438),FIND(" ",TRIM(C438)&amp;" ")-1),",","."))+1,9))*12,NA()))),0),54)*'Aturan &amp; Tarif'!$B$4,2)</f>
        <v>3066.12</v>
      </c>
      <c r="K438" s="32" t="n">
        <f aca="false">'Aturan &amp; Tarif'!$B$5</f>
        <v>2050</v>
      </c>
      <c r="L438" s="35" t="n">
        <f aca="false">I438+J438+K438</f>
        <v>6926.12</v>
      </c>
      <c r="M438" s="36" t="s">
        <v>2022</v>
      </c>
    </row>
    <row r="439" customFormat="false" ht="25.5" hidden="false" customHeight="true" outlineLevel="0" collapsed="false">
      <c r="A439" s="29" t="s">
        <v>2025</v>
      </c>
      <c r="B439" s="30" t="s">
        <v>2026</v>
      </c>
      <c r="C439" s="31" t="s">
        <v>138</v>
      </c>
      <c r="D439" s="31" t="s">
        <v>108</v>
      </c>
      <c r="E439" s="32" t="n">
        <v>2900</v>
      </c>
      <c r="F439" s="32" t="n">
        <v>800</v>
      </c>
      <c r="G439" s="32" t="n">
        <v>300</v>
      </c>
      <c r="H439" s="33" t="n">
        <v>1</v>
      </c>
      <c r="I439" s="34" t="n">
        <f aca="false">E439*H439+N(F439)+N(G439)</f>
        <v>4000</v>
      </c>
      <c r="J439" s="32" t="n">
        <f aca="false">ROUND(IFERROR(ROUND(IF(OR(ISNUMBER(SEARCH("week",C439)),ISNUMBER(SEARCH("minggu",C439))),IFERROR(_xlfn.NUMBERVALUE(SUBSTITUTE(LEFT(TRIM(C439),FIND(" ",TRIM(C439)&amp;" ")-1),",","."),"."),LEFT(SUBSTITUTE(LEFT(TRIM(C439),FIND(" ",TRIM(C439)&amp;" ")-1),",","."),FIND("/",SUBSTITUTE(LEFT(TRIM(C439),FIND(" ",TRIM(C439)&amp;" ")-1),",","."))-1)/MID(SUBSTITUTE(LEFT(TRIM(C439),FIND(" ",TRIM(C439)&amp;" ")-1),",","."),FIND("/",SUBSTITUTE(LEFT(TRIM(C439),FIND(" ",TRIM(C439)&amp;" ")-1),",","."))+1,9))*12/52,IF(ISNUMBER(SEARCH("month",C439)),IFERROR(_xlfn.NUMBERVALUE(SUBSTITUTE(LEFT(TRIM(C439),FIND(" ",TRIM(C439)&amp;" ")-1),",","."),"."),LEFT(SUBSTITUTE(LEFT(TRIM(C439),FIND(" ",TRIM(C439)&amp;" ")-1),",","."),FIND("/",SUBSTITUTE(LEFT(TRIM(C439),FIND(" ",TRIM(C439)&amp;" ")-1),",","."))-1)/MID(SUBSTITUTE(LEFT(TRIM(C439),FIND(" ",TRIM(C439)&amp;" ")-1),",","."),FIND("/",SUBSTITUTE(LEFT(TRIM(C439),FIND(" ",TRIM(C439)&amp;" ")-1),",","."))+1,9)),IF(ISNUMBER(SEARCH("yea",C439)),IFERROR(_xlfn.NUMBERVALUE(SUBSTITUTE(LEFT(TRIM(C439),FIND(" ",TRIM(C439)&amp;" ")-1),",","."),"."),LEFT(SUBSTITUTE(LEFT(TRIM(C439),FIND(" ",TRIM(C439)&amp;" ")-1),",","."),FIND("/",SUBSTITUTE(LEFT(TRIM(C439),FIND(" ",TRIM(C439)&amp;" ")-1),",","."))-1)/MID(SUBSTITUTE(LEFT(TRIM(C439),FIND(" ",TRIM(C439)&amp;" ")-1),",","."),FIND("/",SUBSTITUTE(LEFT(TRIM(C439),FIND(" ",TRIM(C439)&amp;" ")-1),",","."))+1,9))*12,NA()))),0),30)*'Aturan &amp; Tarif'!$B$4,2)</f>
        <v>1703.4</v>
      </c>
      <c r="K439" s="32" t="n">
        <f aca="false">'Aturan &amp; Tarif'!$B$5</f>
        <v>2050</v>
      </c>
      <c r="L439" s="35" t="n">
        <f aca="false">I439+J439+K439</f>
        <v>7753.4</v>
      </c>
      <c r="M439" s="36" t="s">
        <v>1620</v>
      </c>
    </row>
    <row r="440" customFormat="false" ht="48.75" hidden="false" customHeight="true" outlineLevel="0" collapsed="false">
      <c r="A440" s="29"/>
      <c r="B440" s="30" t="s">
        <v>2027</v>
      </c>
      <c r="C440" s="31" t="s">
        <v>138</v>
      </c>
      <c r="D440" s="31" t="s">
        <v>108</v>
      </c>
      <c r="E440" s="32" t="n">
        <v>2900</v>
      </c>
      <c r="F440" s="32" t="n">
        <v>800</v>
      </c>
      <c r="G440" s="32" t="n">
        <v>300</v>
      </c>
      <c r="H440" s="33" t="n">
        <v>1</v>
      </c>
      <c r="I440" s="34" t="n">
        <f aca="false">E440*H440+N(F440)+N(G440)</f>
        <v>4000</v>
      </c>
      <c r="J440" s="32" t="n">
        <f aca="false">ROUND(IFERROR(ROUND(IF(OR(ISNUMBER(SEARCH("week",C440)),ISNUMBER(SEARCH("minggu",C440))),IFERROR(_xlfn.NUMBERVALUE(SUBSTITUTE(LEFT(TRIM(C440),FIND(" ",TRIM(C440)&amp;" ")-1),",","."),"."),LEFT(SUBSTITUTE(LEFT(TRIM(C440),FIND(" ",TRIM(C440)&amp;" ")-1),",","."),FIND("/",SUBSTITUTE(LEFT(TRIM(C440),FIND(" ",TRIM(C440)&amp;" ")-1),",","."))-1)/MID(SUBSTITUTE(LEFT(TRIM(C440),FIND(" ",TRIM(C440)&amp;" ")-1),",","."),FIND("/",SUBSTITUTE(LEFT(TRIM(C440),FIND(" ",TRIM(C440)&amp;" ")-1),",","."))+1,9))*12/52,IF(ISNUMBER(SEARCH("month",C440)),IFERROR(_xlfn.NUMBERVALUE(SUBSTITUTE(LEFT(TRIM(C440),FIND(" ",TRIM(C440)&amp;" ")-1),",","."),"."),LEFT(SUBSTITUTE(LEFT(TRIM(C440),FIND(" ",TRIM(C440)&amp;" ")-1),",","."),FIND("/",SUBSTITUTE(LEFT(TRIM(C440),FIND(" ",TRIM(C440)&amp;" ")-1),",","."))-1)/MID(SUBSTITUTE(LEFT(TRIM(C440),FIND(" ",TRIM(C440)&amp;" ")-1),",","."),FIND("/",SUBSTITUTE(LEFT(TRIM(C440),FIND(" ",TRIM(C440)&amp;" ")-1),",","."))+1,9)),IF(ISNUMBER(SEARCH("yea",C440)),IFERROR(_xlfn.NUMBERVALUE(SUBSTITUTE(LEFT(TRIM(C440),FIND(" ",TRIM(C440)&amp;" ")-1),",","."),"."),LEFT(SUBSTITUTE(LEFT(TRIM(C440),FIND(" ",TRIM(C440)&amp;" ")-1),",","."),FIND("/",SUBSTITUTE(LEFT(TRIM(C440),FIND(" ",TRIM(C440)&amp;" ")-1),",","."))-1)/MID(SUBSTITUTE(LEFT(TRIM(C440),FIND(" ",TRIM(C440)&amp;" ")-1),",","."),FIND("/",SUBSTITUTE(LEFT(TRIM(C440),FIND(" ",TRIM(C440)&amp;" ")-1),",","."))+1,9))*12,NA()))),0),30)*'Aturan &amp; Tarif'!$B$4,2)</f>
        <v>1703.4</v>
      </c>
      <c r="K440" s="32" t="n">
        <f aca="false">'Aturan &amp; Tarif'!$B$5</f>
        <v>2050</v>
      </c>
      <c r="L440" s="35" t="n">
        <f aca="false">I440+J440+K440</f>
        <v>7753.4</v>
      </c>
      <c r="M440" s="36" t="s">
        <v>1620</v>
      </c>
    </row>
    <row r="441" customFormat="false" ht="25.5" hidden="false" customHeight="true" outlineLevel="0" collapsed="false">
      <c r="A441" s="29"/>
      <c r="B441" s="30" t="s">
        <v>2028</v>
      </c>
      <c r="C441" s="31" t="s">
        <v>138</v>
      </c>
      <c r="D441" s="31" t="s">
        <v>108</v>
      </c>
      <c r="E441" s="32" t="n">
        <v>3950</v>
      </c>
      <c r="F441" s="32" t="n">
        <v>800</v>
      </c>
      <c r="G441" s="32" t="n">
        <v>300</v>
      </c>
      <c r="H441" s="33" t="n">
        <v>1</v>
      </c>
      <c r="I441" s="34" t="n">
        <f aca="false">E441*H441+N(F441)+N(G441)</f>
        <v>5050</v>
      </c>
      <c r="J441" s="32" t="n">
        <f aca="false">ROUND(IFERROR(ROUND(IF(OR(ISNUMBER(SEARCH("week",C441)),ISNUMBER(SEARCH("minggu",C441))),IFERROR(_xlfn.NUMBERVALUE(SUBSTITUTE(LEFT(TRIM(C441),FIND(" ",TRIM(C441)&amp;" ")-1),",","."),"."),LEFT(SUBSTITUTE(LEFT(TRIM(C441),FIND(" ",TRIM(C441)&amp;" ")-1),",","."),FIND("/",SUBSTITUTE(LEFT(TRIM(C441),FIND(" ",TRIM(C441)&amp;" ")-1),",","."))-1)/MID(SUBSTITUTE(LEFT(TRIM(C441),FIND(" ",TRIM(C441)&amp;" ")-1),",","."),FIND("/",SUBSTITUTE(LEFT(TRIM(C441),FIND(" ",TRIM(C441)&amp;" ")-1),",","."))+1,9))*12/52,IF(ISNUMBER(SEARCH("month",C441)),IFERROR(_xlfn.NUMBERVALUE(SUBSTITUTE(LEFT(TRIM(C441),FIND(" ",TRIM(C441)&amp;" ")-1),",","."),"."),LEFT(SUBSTITUTE(LEFT(TRIM(C441),FIND(" ",TRIM(C441)&amp;" ")-1),",","."),FIND("/",SUBSTITUTE(LEFT(TRIM(C441),FIND(" ",TRIM(C441)&amp;" ")-1),",","."))-1)/MID(SUBSTITUTE(LEFT(TRIM(C441),FIND(" ",TRIM(C441)&amp;" ")-1),",","."),FIND("/",SUBSTITUTE(LEFT(TRIM(C441),FIND(" ",TRIM(C441)&amp;" ")-1),",","."))+1,9)),IF(ISNUMBER(SEARCH("yea",C441)),IFERROR(_xlfn.NUMBERVALUE(SUBSTITUTE(LEFT(TRIM(C441),FIND(" ",TRIM(C441)&amp;" ")-1),",","."),"."),LEFT(SUBSTITUTE(LEFT(TRIM(C441),FIND(" ",TRIM(C441)&amp;" ")-1),",","."),FIND("/",SUBSTITUTE(LEFT(TRIM(C441),FIND(" ",TRIM(C441)&amp;" ")-1),",","."))-1)/MID(SUBSTITUTE(LEFT(TRIM(C441),FIND(" ",TRIM(C441)&amp;" ")-1),",","."),FIND("/",SUBSTITUTE(LEFT(TRIM(C441),FIND(" ",TRIM(C441)&amp;" ")-1),",","."))+1,9))*12,NA()))),0),30)*'Aturan &amp; Tarif'!$B$4,2)</f>
        <v>1703.4</v>
      </c>
      <c r="K441" s="32" t="n">
        <f aca="false">'Aturan &amp; Tarif'!$B$5</f>
        <v>2050</v>
      </c>
      <c r="L441" s="35" t="n">
        <f aca="false">I441+J441+K441</f>
        <v>8803.4</v>
      </c>
      <c r="M441" s="36" t="s">
        <v>1620</v>
      </c>
    </row>
    <row r="442" customFormat="false" ht="14.25" hidden="false" customHeight="true" outlineLevel="0" collapsed="false">
      <c r="A442" s="29"/>
      <c r="B442" s="30" t="s">
        <v>1623</v>
      </c>
      <c r="C442" s="31" t="s">
        <v>107</v>
      </c>
      <c r="D442" s="31" t="s">
        <v>108</v>
      </c>
      <c r="E442" s="32" t="n">
        <v>2200</v>
      </c>
      <c r="F442" s="32" t="n">
        <v>350</v>
      </c>
      <c r="G442" s="32" t="n">
        <v>300</v>
      </c>
      <c r="H442" s="33" t="n">
        <v>1</v>
      </c>
      <c r="I442" s="34" t="n">
        <f aca="false">E442*H442+N(F442)+N(G442)</f>
        <v>2850</v>
      </c>
      <c r="J442" s="32" t="n">
        <f aca="false">ROUND(IFERROR(ROUND(IF(OR(ISNUMBER(SEARCH("week",C442)),ISNUMBER(SEARCH("minggu",C442))),IFERROR(_xlfn.NUMBERVALUE(SUBSTITUTE(LEFT(TRIM(C442),FIND(" ",TRIM(C442)&amp;" ")-1),",","."),"."),LEFT(SUBSTITUTE(LEFT(TRIM(C442),FIND(" ",TRIM(C442)&amp;" ")-1),",","."),FIND("/",SUBSTITUTE(LEFT(TRIM(C442),FIND(" ",TRIM(C442)&amp;" ")-1),",","."))-1)/MID(SUBSTITUTE(LEFT(TRIM(C442),FIND(" ",TRIM(C442)&amp;" ")-1),",","."),FIND("/",SUBSTITUTE(LEFT(TRIM(C442),FIND(" ",TRIM(C442)&amp;" ")-1),",","."))+1,9))*12/52,IF(ISNUMBER(SEARCH("month",C442)),IFERROR(_xlfn.NUMBERVALUE(SUBSTITUTE(LEFT(TRIM(C442),FIND(" ",TRIM(C442)&amp;" ")-1),",","."),"."),LEFT(SUBSTITUTE(LEFT(TRIM(C442),FIND(" ",TRIM(C442)&amp;" ")-1),",","."),FIND("/",SUBSTITUTE(LEFT(TRIM(C442),FIND(" ",TRIM(C442)&amp;" ")-1),",","."))-1)/MID(SUBSTITUTE(LEFT(TRIM(C442),FIND(" ",TRIM(C442)&amp;" ")-1),",","."),FIND("/",SUBSTITUTE(LEFT(TRIM(C442),FIND(" ",TRIM(C442)&amp;" ")-1),",","."))+1,9)),IF(ISNUMBER(SEARCH("yea",C442)),IFERROR(_xlfn.NUMBERVALUE(SUBSTITUTE(LEFT(TRIM(C442),FIND(" ",TRIM(C442)&amp;" ")-1),",","."),"."),LEFT(SUBSTITUTE(LEFT(TRIM(C442),FIND(" ",TRIM(C442)&amp;" ")-1),",","."),FIND("/",SUBSTITUTE(LEFT(TRIM(C442),FIND(" ",TRIM(C442)&amp;" ")-1),",","."))-1)/MID(SUBSTITUTE(LEFT(TRIM(C442),FIND(" ",TRIM(C442)&amp;" ")-1),",","."),FIND("/",SUBSTITUTE(LEFT(TRIM(C442),FIND(" ",TRIM(C442)&amp;" ")-1),",","."))+1,9))*12,NA()))),0),24)*'Aturan &amp; Tarif'!$B$4,2)</f>
        <v>1362.72</v>
      </c>
      <c r="K442" s="32" t="n">
        <f aca="false">'Aturan &amp; Tarif'!$B$5</f>
        <v>2050</v>
      </c>
      <c r="L442" s="35" t="n">
        <f aca="false">I442+J442+K442</f>
        <v>6262.72</v>
      </c>
      <c r="M442" s="37" t="s">
        <v>1624</v>
      </c>
    </row>
    <row r="443" customFormat="false" ht="14.25" hidden="false" customHeight="true" outlineLevel="0" collapsed="false">
      <c r="A443" s="39" t="s">
        <v>2029</v>
      </c>
      <c r="B443" s="40" t="s">
        <v>896</v>
      </c>
      <c r="C443" s="41" t="s">
        <v>130</v>
      </c>
      <c r="D443" s="41" t="s">
        <v>108</v>
      </c>
      <c r="E443" s="42" t="n">
        <v>3000</v>
      </c>
      <c r="F443" s="42" t="n">
        <v>0</v>
      </c>
      <c r="G443" s="42" t="n">
        <v>250</v>
      </c>
      <c r="H443" s="43" t="n">
        <v>1</v>
      </c>
      <c r="I443" s="34" t="n">
        <f aca="false">E443*H443+N(F443)+N(G443)</f>
        <v>3250</v>
      </c>
      <c r="J443" s="42" t="n">
        <f aca="false">ROUND(IFERROR(ROUND(IF(OR(ISNUMBER(SEARCH("week",C443)),ISNUMBER(SEARCH("minggu",C443))),IFERROR(_xlfn.NUMBERVALUE(SUBSTITUTE(LEFT(TRIM(C443),FIND(" ",TRIM(C443)&amp;" ")-1),",","."),"."),LEFT(SUBSTITUTE(LEFT(TRIM(C443),FIND(" ",TRIM(C443)&amp;" ")-1),",","."),FIND("/",SUBSTITUTE(LEFT(TRIM(C443),FIND(" ",TRIM(C443)&amp;" ")-1),",","."))-1)/MID(SUBSTITUTE(LEFT(TRIM(C443),FIND(" ",TRIM(C443)&amp;" ")-1),",","."),FIND("/",SUBSTITUTE(LEFT(TRIM(C443),FIND(" ",TRIM(C443)&amp;" ")-1),",","."))+1,9))*12/52,IF(ISNUMBER(SEARCH("month",C443)),IFERROR(_xlfn.NUMBERVALUE(SUBSTITUTE(LEFT(TRIM(C443),FIND(" ",TRIM(C443)&amp;" ")-1),",","."),"."),LEFT(SUBSTITUTE(LEFT(TRIM(C443),FIND(" ",TRIM(C443)&amp;" ")-1),",","."),FIND("/",SUBSTITUTE(LEFT(TRIM(C443),FIND(" ",TRIM(C443)&amp;" ")-1),",","."))-1)/MID(SUBSTITUTE(LEFT(TRIM(C443),FIND(" ",TRIM(C443)&amp;" ")-1),",","."),FIND("/",SUBSTITUTE(LEFT(TRIM(C443),FIND(" ",TRIM(C443)&amp;" ")-1),",","."))+1,9)),IF(ISNUMBER(SEARCH("yea",C443)),IFERROR(_xlfn.NUMBERVALUE(SUBSTITUTE(LEFT(TRIM(C443),FIND(" ",TRIM(C443)&amp;" ")-1),",","."),"."),LEFT(SUBSTITUTE(LEFT(TRIM(C443),FIND(" ",TRIM(C443)&amp;" ")-1),",","."),FIND("/",SUBSTITUTE(LEFT(TRIM(C443),FIND(" ",TRIM(C443)&amp;" ")-1),",","."))-1)/MID(SUBSTITUTE(LEFT(TRIM(C443),FIND(" ",TRIM(C443)&amp;" ")-1),",","."),FIND("/",SUBSTITUTE(LEFT(TRIM(C443),FIND(" ",TRIM(C443)&amp;" ")-1),",","."))+1,9))*12,NA()))),0),12)*'Aturan &amp; Tarif'!$B$4,2)</f>
        <v>681.36</v>
      </c>
      <c r="K443" s="42" t="n">
        <f aca="false">'Aturan &amp; Tarif'!$B$5</f>
        <v>2050</v>
      </c>
      <c r="L443" s="35" t="n">
        <f aca="false">I443+J443+K443</f>
        <v>5981.36</v>
      </c>
      <c r="M443" s="45" t="s">
        <v>3110</v>
      </c>
    </row>
    <row r="444" customFormat="false" ht="14.25" hidden="false" customHeight="true" outlineLevel="0" collapsed="false">
      <c r="A444" s="39"/>
      <c r="B444" s="40" t="s">
        <v>898</v>
      </c>
      <c r="C444" s="41" t="s">
        <v>107</v>
      </c>
      <c r="D444" s="41" t="s">
        <v>108</v>
      </c>
      <c r="E444" s="42" t="n">
        <v>1500</v>
      </c>
      <c r="F444" s="42" t="n">
        <v>0</v>
      </c>
      <c r="G444" s="42" t="n">
        <v>250</v>
      </c>
      <c r="H444" s="43" t="n">
        <v>1</v>
      </c>
      <c r="I444" s="34" t="n">
        <f aca="false">E444*H444+N(F444)+N(G444)</f>
        <v>1750</v>
      </c>
      <c r="J444" s="42" t="n">
        <f aca="false">ROUND(IFERROR(ROUND(IF(OR(ISNUMBER(SEARCH("week",C444)),ISNUMBER(SEARCH("minggu",C444))),IFERROR(_xlfn.NUMBERVALUE(SUBSTITUTE(LEFT(TRIM(C444),FIND(" ",TRIM(C444)&amp;" ")-1),",","."),"."),LEFT(SUBSTITUTE(LEFT(TRIM(C444),FIND(" ",TRIM(C444)&amp;" ")-1),",","."),FIND("/",SUBSTITUTE(LEFT(TRIM(C444),FIND(" ",TRIM(C444)&amp;" ")-1),",","."))-1)/MID(SUBSTITUTE(LEFT(TRIM(C444),FIND(" ",TRIM(C444)&amp;" ")-1),",","."),FIND("/",SUBSTITUTE(LEFT(TRIM(C444),FIND(" ",TRIM(C444)&amp;" ")-1),",","."))+1,9))*12/52,IF(ISNUMBER(SEARCH("month",C444)),IFERROR(_xlfn.NUMBERVALUE(SUBSTITUTE(LEFT(TRIM(C444),FIND(" ",TRIM(C444)&amp;" ")-1),",","."),"."),LEFT(SUBSTITUTE(LEFT(TRIM(C444),FIND(" ",TRIM(C444)&amp;" ")-1),",","."),FIND("/",SUBSTITUTE(LEFT(TRIM(C444),FIND(" ",TRIM(C444)&amp;" ")-1),",","."))-1)/MID(SUBSTITUTE(LEFT(TRIM(C444),FIND(" ",TRIM(C444)&amp;" ")-1),",","."),FIND("/",SUBSTITUTE(LEFT(TRIM(C444),FIND(" ",TRIM(C444)&amp;" ")-1),",","."))+1,9)),IF(ISNUMBER(SEARCH("yea",C444)),IFERROR(_xlfn.NUMBERVALUE(SUBSTITUTE(LEFT(TRIM(C444),FIND(" ",TRIM(C444)&amp;" ")-1),",","."),"."),LEFT(SUBSTITUTE(LEFT(TRIM(C444),FIND(" ",TRIM(C444)&amp;" ")-1),",","."),FIND("/",SUBSTITUTE(LEFT(TRIM(C444),FIND(" ",TRIM(C444)&amp;" ")-1),",","."))-1)/MID(SUBSTITUTE(LEFT(TRIM(C444),FIND(" ",TRIM(C444)&amp;" ")-1),",","."),FIND("/",SUBSTITUTE(LEFT(TRIM(C444),FIND(" ",TRIM(C444)&amp;" ")-1),",","."))+1,9))*12,NA()))),0),24)*'Aturan &amp; Tarif'!$B$4,2)</f>
        <v>1362.72</v>
      </c>
      <c r="K444" s="42" t="n">
        <f aca="false">'Aturan &amp; Tarif'!$B$5</f>
        <v>2050</v>
      </c>
      <c r="L444" s="35" t="n">
        <f aca="false">I444+J444+K444</f>
        <v>5162.72</v>
      </c>
      <c r="M444" s="45" t="s">
        <v>2031</v>
      </c>
    </row>
    <row r="445" customFormat="false" ht="72" hidden="false" customHeight="true" outlineLevel="0" collapsed="false">
      <c r="A445" s="39"/>
      <c r="B445" s="40" t="s">
        <v>900</v>
      </c>
      <c r="C445" s="41" t="s">
        <v>127</v>
      </c>
      <c r="D445" s="41" t="s">
        <v>108</v>
      </c>
      <c r="E445" s="42" t="n">
        <v>1500</v>
      </c>
      <c r="F445" s="42" t="n">
        <v>0</v>
      </c>
      <c r="G445" s="42" t="n">
        <v>250</v>
      </c>
      <c r="H445" s="43" t="n">
        <v>1</v>
      </c>
      <c r="I445" s="34" t="n">
        <f aca="false">E445*H445+N(F445)+N(G445)</f>
        <v>1750</v>
      </c>
      <c r="J445" s="42" t="n">
        <f aca="false">ROUND(IFERROR(ROUND(IF(OR(ISNUMBER(SEARCH("week",C445)),ISNUMBER(SEARCH("minggu",C445))),IFERROR(_xlfn.NUMBERVALUE(SUBSTITUTE(LEFT(TRIM(C445),FIND(" ",TRIM(C445)&amp;" ")-1),",","."),"."),LEFT(SUBSTITUTE(LEFT(TRIM(C445),FIND(" ",TRIM(C445)&amp;" ")-1),",","."),FIND("/",SUBSTITUTE(LEFT(TRIM(C445),FIND(" ",TRIM(C445)&amp;" ")-1),",","."))-1)/MID(SUBSTITUTE(LEFT(TRIM(C445),FIND(" ",TRIM(C445)&amp;" ")-1),",","."),FIND("/",SUBSTITUTE(LEFT(TRIM(C445),FIND(" ",TRIM(C445)&amp;" ")-1),",","."))+1,9))*12/52,IF(ISNUMBER(SEARCH("month",C445)),IFERROR(_xlfn.NUMBERVALUE(SUBSTITUTE(LEFT(TRIM(C445),FIND(" ",TRIM(C445)&amp;" ")-1),",","."),"."),LEFT(SUBSTITUTE(LEFT(TRIM(C445),FIND(" ",TRIM(C445)&amp;" ")-1),",","."),FIND("/",SUBSTITUTE(LEFT(TRIM(C445),FIND(" ",TRIM(C445)&amp;" ")-1),",","."))-1)/MID(SUBSTITUTE(LEFT(TRIM(C445),FIND(" ",TRIM(C445)&amp;" ")-1),",","."),FIND("/",SUBSTITUTE(LEFT(TRIM(C445),FIND(" ",TRIM(C445)&amp;" ")-1),",","."))+1,9)),IF(ISNUMBER(SEARCH("yea",C445)),IFERROR(_xlfn.NUMBERVALUE(SUBSTITUTE(LEFT(TRIM(C445),FIND(" ",TRIM(C445)&amp;" ")-1),",","."),"."),LEFT(SUBSTITUTE(LEFT(TRIM(C445),FIND(" ",TRIM(C445)&amp;" ")-1),",","."),FIND("/",SUBSTITUTE(LEFT(TRIM(C445),FIND(" ",TRIM(C445)&amp;" ")-1),",","."))-1)/MID(SUBSTITUTE(LEFT(TRIM(C445),FIND(" ",TRIM(C445)&amp;" ")-1),",","."),FIND("/",SUBSTITUTE(LEFT(TRIM(C445),FIND(" ",TRIM(C445)&amp;" ")-1),",","."))+1,9))*12,NA()))),0),36)*'Aturan &amp; Tarif'!$B$4,2)</f>
        <v>2044.08</v>
      </c>
      <c r="K445" s="42" t="n">
        <f aca="false">'Aturan &amp; Tarif'!$B$5</f>
        <v>2050</v>
      </c>
      <c r="L445" s="35" t="n">
        <f aca="false">I445+J445+K445</f>
        <v>5844.08</v>
      </c>
      <c r="M445" s="45" t="s">
        <v>2031</v>
      </c>
    </row>
    <row r="446" customFormat="false" ht="37.5" hidden="false" customHeight="true" outlineLevel="0" collapsed="false">
      <c r="A446" s="39"/>
      <c r="B446" s="40" t="s">
        <v>430</v>
      </c>
      <c r="C446" s="41" t="s">
        <v>127</v>
      </c>
      <c r="D446" s="41" t="s">
        <v>108</v>
      </c>
      <c r="E446" s="42" t="n">
        <v>1700</v>
      </c>
      <c r="F446" s="42" t="n">
        <v>0</v>
      </c>
      <c r="G446" s="42" t="n">
        <v>250</v>
      </c>
      <c r="H446" s="43" t="n">
        <v>1</v>
      </c>
      <c r="I446" s="34" t="n">
        <f aca="false">E446*H446+N(F446)+N(G446)</f>
        <v>1950</v>
      </c>
      <c r="J446" s="42" t="n">
        <f aca="false">ROUND(IFERROR(ROUND(IF(OR(ISNUMBER(SEARCH("week",C446)),ISNUMBER(SEARCH("minggu",C446))),IFERROR(_xlfn.NUMBERVALUE(SUBSTITUTE(LEFT(TRIM(C446),FIND(" ",TRIM(C446)&amp;" ")-1),",","."),"."),LEFT(SUBSTITUTE(LEFT(TRIM(C446),FIND(" ",TRIM(C446)&amp;" ")-1),",","."),FIND("/",SUBSTITUTE(LEFT(TRIM(C446),FIND(" ",TRIM(C446)&amp;" ")-1),",","."))-1)/MID(SUBSTITUTE(LEFT(TRIM(C446),FIND(" ",TRIM(C446)&amp;" ")-1),",","."),FIND("/",SUBSTITUTE(LEFT(TRIM(C446),FIND(" ",TRIM(C446)&amp;" ")-1),",","."))+1,9))*12/52,IF(ISNUMBER(SEARCH("month",C446)),IFERROR(_xlfn.NUMBERVALUE(SUBSTITUTE(LEFT(TRIM(C446),FIND(" ",TRIM(C446)&amp;" ")-1),",","."),"."),LEFT(SUBSTITUTE(LEFT(TRIM(C446),FIND(" ",TRIM(C446)&amp;" ")-1),",","."),FIND("/",SUBSTITUTE(LEFT(TRIM(C446),FIND(" ",TRIM(C446)&amp;" ")-1),",","."))-1)/MID(SUBSTITUTE(LEFT(TRIM(C446),FIND(" ",TRIM(C446)&amp;" ")-1),",","."),FIND("/",SUBSTITUTE(LEFT(TRIM(C446),FIND(" ",TRIM(C446)&amp;" ")-1),",","."))+1,9)),IF(ISNUMBER(SEARCH("yea",C446)),IFERROR(_xlfn.NUMBERVALUE(SUBSTITUTE(LEFT(TRIM(C446),FIND(" ",TRIM(C446)&amp;" ")-1),",","."),"."),LEFT(SUBSTITUTE(LEFT(TRIM(C446),FIND(" ",TRIM(C446)&amp;" ")-1),",","."),FIND("/",SUBSTITUTE(LEFT(TRIM(C446),FIND(" ",TRIM(C446)&amp;" ")-1),",","."))-1)/MID(SUBSTITUTE(LEFT(TRIM(C446),FIND(" ",TRIM(C446)&amp;" ")-1),",","."),FIND("/",SUBSTITUTE(LEFT(TRIM(C446),FIND(" ",TRIM(C446)&amp;" ")-1),",","."))+1,9))*12,NA()))),0),36)*'Aturan &amp; Tarif'!$B$4,2)</f>
        <v>2044.08</v>
      </c>
      <c r="K446" s="42" t="n">
        <f aca="false">'Aturan &amp; Tarif'!$B$5</f>
        <v>2050</v>
      </c>
      <c r="L446" s="35" t="n">
        <f aca="false">I446+J446+K446</f>
        <v>6044.08</v>
      </c>
      <c r="M446" s="45" t="s">
        <v>2031</v>
      </c>
    </row>
    <row r="447" customFormat="false" ht="37.5" hidden="false" customHeight="true" outlineLevel="0" collapsed="false">
      <c r="A447" s="39"/>
      <c r="B447" s="40" t="s">
        <v>465</v>
      </c>
      <c r="C447" s="41" t="s">
        <v>107</v>
      </c>
      <c r="D447" s="41" t="s">
        <v>108</v>
      </c>
      <c r="E447" s="42" t="n">
        <v>1500</v>
      </c>
      <c r="F447" s="42" t="n">
        <v>0</v>
      </c>
      <c r="G447" s="42" t="n">
        <v>250</v>
      </c>
      <c r="H447" s="43" t="n">
        <v>1</v>
      </c>
      <c r="I447" s="34" t="n">
        <f aca="false">E447*H447+N(F447)+N(G447)</f>
        <v>1750</v>
      </c>
      <c r="J447" s="42" t="n">
        <f aca="false">ROUND(IFERROR(ROUND(IF(OR(ISNUMBER(SEARCH("week",C447)),ISNUMBER(SEARCH("minggu",C447))),IFERROR(_xlfn.NUMBERVALUE(SUBSTITUTE(LEFT(TRIM(C447),FIND(" ",TRIM(C447)&amp;" ")-1),",","."),"."),LEFT(SUBSTITUTE(LEFT(TRIM(C447),FIND(" ",TRIM(C447)&amp;" ")-1),",","."),FIND("/",SUBSTITUTE(LEFT(TRIM(C447),FIND(" ",TRIM(C447)&amp;" ")-1),",","."))-1)/MID(SUBSTITUTE(LEFT(TRIM(C447),FIND(" ",TRIM(C447)&amp;" ")-1),",","."),FIND("/",SUBSTITUTE(LEFT(TRIM(C447),FIND(" ",TRIM(C447)&amp;" ")-1),",","."))+1,9))*12/52,IF(ISNUMBER(SEARCH("month",C447)),IFERROR(_xlfn.NUMBERVALUE(SUBSTITUTE(LEFT(TRIM(C447),FIND(" ",TRIM(C447)&amp;" ")-1),",","."),"."),LEFT(SUBSTITUTE(LEFT(TRIM(C447),FIND(" ",TRIM(C447)&amp;" ")-1),",","."),FIND("/",SUBSTITUTE(LEFT(TRIM(C447),FIND(" ",TRIM(C447)&amp;" ")-1),",","."))-1)/MID(SUBSTITUTE(LEFT(TRIM(C447),FIND(" ",TRIM(C447)&amp;" ")-1),",","."),FIND("/",SUBSTITUTE(LEFT(TRIM(C447),FIND(" ",TRIM(C447)&amp;" ")-1),",","."))+1,9)),IF(ISNUMBER(SEARCH("yea",C447)),IFERROR(_xlfn.NUMBERVALUE(SUBSTITUTE(LEFT(TRIM(C447),FIND(" ",TRIM(C447)&amp;" ")-1),",","."),"."),LEFT(SUBSTITUTE(LEFT(TRIM(C447),FIND(" ",TRIM(C447)&amp;" ")-1),",","."),FIND("/",SUBSTITUTE(LEFT(TRIM(C447),FIND(" ",TRIM(C447)&amp;" ")-1),",","."))-1)/MID(SUBSTITUTE(LEFT(TRIM(C447),FIND(" ",TRIM(C447)&amp;" ")-1),",","."),FIND("/",SUBSTITUTE(LEFT(TRIM(C447),FIND(" ",TRIM(C447)&amp;" ")-1),",","."))+1,9))*12,NA()))),0),24)*'Aturan &amp; Tarif'!$B$4,2)</f>
        <v>1362.72</v>
      </c>
      <c r="K447" s="42" t="n">
        <f aca="false">'Aturan &amp; Tarif'!$B$5</f>
        <v>2050</v>
      </c>
      <c r="L447" s="35" t="n">
        <f aca="false">I447+J447+K447</f>
        <v>5162.72</v>
      </c>
      <c r="M447" s="45" t="s">
        <v>2031</v>
      </c>
    </row>
    <row r="448" customFormat="false" ht="25.5" hidden="false" customHeight="true" outlineLevel="0" collapsed="false">
      <c r="A448" s="39" t="s">
        <v>2032</v>
      </c>
      <c r="B448" s="40" t="s">
        <v>2033</v>
      </c>
      <c r="C448" s="41" t="s">
        <v>852</v>
      </c>
      <c r="D448" s="41" t="s">
        <v>737</v>
      </c>
      <c r="E448" s="42" t="n">
        <v>7800</v>
      </c>
      <c r="F448" s="42"/>
      <c r="G448" s="42" t="n">
        <v>200</v>
      </c>
      <c r="H448" s="43" t="n">
        <v>1</v>
      </c>
      <c r="I448" s="34" t="n">
        <f aca="false">E448*H448+N(F448)+N(G448)</f>
        <v>8000</v>
      </c>
      <c r="J448" s="42" t="n">
        <f aca="false">ROUND(IFERROR(ROUND(IF(OR(ISNUMBER(SEARCH("week",C448)),ISNUMBER(SEARCH("minggu",C448))),IFERROR(_xlfn.NUMBERVALUE(SUBSTITUTE(LEFT(TRIM(C448),FIND(" ",TRIM(C448)&amp;" ")-1),",","."),"."),LEFT(SUBSTITUTE(LEFT(TRIM(C448),FIND(" ",TRIM(C448)&amp;" ")-1),",","."),FIND("/",SUBSTITUTE(LEFT(TRIM(C448),FIND(" ",TRIM(C448)&amp;" ")-1),",","."))-1)/MID(SUBSTITUTE(LEFT(TRIM(C448),FIND(" ",TRIM(C448)&amp;" ")-1),",","."),FIND("/",SUBSTITUTE(LEFT(TRIM(C448),FIND(" ",TRIM(C448)&amp;" ")-1),",","."))+1,9))*12/52,IF(ISNUMBER(SEARCH("month",C448)),IFERROR(_xlfn.NUMBERVALUE(SUBSTITUTE(LEFT(TRIM(C448),FIND(" ",TRIM(C448)&amp;" ")-1),",","."),"."),LEFT(SUBSTITUTE(LEFT(TRIM(C448),FIND(" ",TRIM(C448)&amp;" ")-1),",","."),FIND("/",SUBSTITUTE(LEFT(TRIM(C448),FIND(" ",TRIM(C448)&amp;" ")-1),",","."))-1)/MID(SUBSTITUTE(LEFT(TRIM(C448),FIND(" ",TRIM(C448)&amp;" ")-1),",","."),FIND("/",SUBSTITUTE(LEFT(TRIM(C448),FIND(" ",TRIM(C448)&amp;" ")-1),",","."))+1,9)),IF(ISNUMBER(SEARCH("yea",C448)),IFERROR(_xlfn.NUMBERVALUE(SUBSTITUTE(LEFT(TRIM(C448),FIND(" ",TRIM(C448)&amp;" ")-1),",","."),"."),LEFT(SUBSTITUTE(LEFT(TRIM(C448),FIND(" ",TRIM(C448)&amp;" ")-1),",","."),FIND("/",SUBSTITUTE(LEFT(TRIM(C448),FIND(" ",TRIM(C448)&amp;" ")-1),",","."))-1)/MID(SUBSTITUTE(LEFT(TRIM(C448),FIND(" ",TRIM(C448)&amp;" ")-1),",","."),FIND("/",SUBSTITUTE(LEFT(TRIM(C448),FIND(" ",TRIM(C448)&amp;" ")-1),",","."))+1,9))*12,NA()))),0),9)*'Aturan &amp; Tarif'!$B$4,2)</f>
        <v>511.02</v>
      </c>
      <c r="K448" s="42" t="n">
        <f aca="false">'Aturan &amp; Tarif'!$B$5</f>
        <v>2050</v>
      </c>
      <c r="L448" s="35" t="n">
        <f aca="false">I448+J448+K448</f>
        <v>10561.02</v>
      </c>
      <c r="M448" s="45" t="s">
        <v>903</v>
      </c>
    </row>
    <row r="449" customFormat="false" ht="94.5" hidden="false" customHeight="true" outlineLevel="0" collapsed="false">
      <c r="A449" s="39"/>
      <c r="B449" s="40" t="s">
        <v>2034</v>
      </c>
      <c r="C449" s="41" t="s">
        <v>130</v>
      </c>
      <c r="D449" s="41" t="s">
        <v>737</v>
      </c>
      <c r="E449" s="42" t="n">
        <v>7800</v>
      </c>
      <c r="F449" s="42"/>
      <c r="G449" s="42" t="n">
        <v>200</v>
      </c>
      <c r="H449" s="43" t="n">
        <v>1</v>
      </c>
      <c r="I449" s="34" t="n">
        <f aca="false">E449*H449+N(F449)+N(G449)</f>
        <v>8000</v>
      </c>
      <c r="J449" s="42" t="n">
        <f aca="false">ROUND(IFERROR(ROUND(IF(OR(ISNUMBER(SEARCH("week",C449)),ISNUMBER(SEARCH("minggu",C449))),IFERROR(_xlfn.NUMBERVALUE(SUBSTITUTE(LEFT(TRIM(C449),FIND(" ",TRIM(C449)&amp;" ")-1),",","."),"."),LEFT(SUBSTITUTE(LEFT(TRIM(C449),FIND(" ",TRIM(C449)&amp;" ")-1),",","."),FIND("/",SUBSTITUTE(LEFT(TRIM(C449),FIND(" ",TRIM(C449)&amp;" ")-1),",","."))-1)/MID(SUBSTITUTE(LEFT(TRIM(C449),FIND(" ",TRIM(C449)&amp;" ")-1),",","."),FIND("/",SUBSTITUTE(LEFT(TRIM(C449),FIND(" ",TRIM(C449)&amp;" ")-1),",","."))+1,9))*12/52,IF(ISNUMBER(SEARCH("month",C449)),IFERROR(_xlfn.NUMBERVALUE(SUBSTITUTE(LEFT(TRIM(C449),FIND(" ",TRIM(C449)&amp;" ")-1),",","."),"."),LEFT(SUBSTITUTE(LEFT(TRIM(C449),FIND(" ",TRIM(C449)&amp;" ")-1),",","."),FIND("/",SUBSTITUTE(LEFT(TRIM(C449),FIND(" ",TRIM(C449)&amp;" ")-1),",","."))-1)/MID(SUBSTITUTE(LEFT(TRIM(C449),FIND(" ",TRIM(C449)&amp;" ")-1),",","."),FIND("/",SUBSTITUTE(LEFT(TRIM(C449),FIND(" ",TRIM(C449)&amp;" ")-1),",","."))+1,9)),IF(ISNUMBER(SEARCH("yea",C449)),IFERROR(_xlfn.NUMBERVALUE(SUBSTITUTE(LEFT(TRIM(C449),FIND(" ",TRIM(C449)&amp;" ")-1),",","."),"."),LEFT(SUBSTITUTE(LEFT(TRIM(C449),FIND(" ",TRIM(C449)&amp;" ")-1),",","."),FIND("/",SUBSTITUTE(LEFT(TRIM(C449),FIND(" ",TRIM(C449)&amp;" ")-1),",","."))-1)/MID(SUBSTITUTE(LEFT(TRIM(C449),FIND(" ",TRIM(C449)&amp;" ")-1),",","."),FIND("/",SUBSTITUTE(LEFT(TRIM(C449),FIND(" ",TRIM(C449)&amp;" ")-1),",","."))+1,9))*12,NA()))),0),12)*'Aturan &amp; Tarif'!$B$4,2)</f>
        <v>681.36</v>
      </c>
      <c r="K449" s="42" t="n">
        <f aca="false">'Aturan &amp; Tarif'!$B$5</f>
        <v>2050</v>
      </c>
      <c r="L449" s="35" t="n">
        <f aca="false">I449+J449+K449</f>
        <v>10731.36</v>
      </c>
      <c r="M449" s="45" t="s">
        <v>903</v>
      </c>
    </row>
    <row r="450" customFormat="false" ht="94.5" hidden="false" customHeight="true" outlineLevel="0" collapsed="false">
      <c r="A450" s="39"/>
      <c r="B450" s="40" t="s">
        <v>2035</v>
      </c>
      <c r="C450" s="41" t="s">
        <v>107</v>
      </c>
      <c r="D450" s="41" t="s">
        <v>737</v>
      </c>
      <c r="E450" s="42" t="n">
        <v>7800</v>
      </c>
      <c r="F450" s="42"/>
      <c r="G450" s="42" t="n">
        <v>200</v>
      </c>
      <c r="H450" s="43" t="n">
        <v>1</v>
      </c>
      <c r="I450" s="34" t="n">
        <f aca="false">E450*H450+N(F450)+N(G450)</f>
        <v>8000</v>
      </c>
      <c r="J450" s="42" t="n">
        <f aca="false">ROUND(IFERROR(ROUND(IF(OR(ISNUMBER(SEARCH("week",C450)),ISNUMBER(SEARCH("minggu",C450))),IFERROR(_xlfn.NUMBERVALUE(SUBSTITUTE(LEFT(TRIM(C450),FIND(" ",TRIM(C450)&amp;" ")-1),",","."),"."),LEFT(SUBSTITUTE(LEFT(TRIM(C450),FIND(" ",TRIM(C450)&amp;" ")-1),",","."),FIND("/",SUBSTITUTE(LEFT(TRIM(C450),FIND(" ",TRIM(C450)&amp;" ")-1),",","."))-1)/MID(SUBSTITUTE(LEFT(TRIM(C450),FIND(" ",TRIM(C450)&amp;" ")-1),",","."),FIND("/",SUBSTITUTE(LEFT(TRIM(C450),FIND(" ",TRIM(C450)&amp;" ")-1),",","."))+1,9))*12/52,IF(ISNUMBER(SEARCH("month",C450)),IFERROR(_xlfn.NUMBERVALUE(SUBSTITUTE(LEFT(TRIM(C450),FIND(" ",TRIM(C450)&amp;" ")-1),",","."),"."),LEFT(SUBSTITUTE(LEFT(TRIM(C450),FIND(" ",TRIM(C450)&amp;" ")-1),",","."),FIND("/",SUBSTITUTE(LEFT(TRIM(C450),FIND(" ",TRIM(C450)&amp;" ")-1),",","."))-1)/MID(SUBSTITUTE(LEFT(TRIM(C450),FIND(" ",TRIM(C450)&amp;" ")-1),",","."),FIND("/",SUBSTITUTE(LEFT(TRIM(C450),FIND(" ",TRIM(C450)&amp;" ")-1),",","."))+1,9)),IF(ISNUMBER(SEARCH("yea",C450)),IFERROR(_xlfn.NUMBERVALUE(SUBSTITUTE(LEFT(TRIM(C450),FIND(" ",TRIM(C450)&amp;" ")-1),",","."),"."),LEFT(SUBSTITUTE(LEFT(TRIM(C450),FIND(" ",TRIM(C450)&amp;" ")-1),",","."),FIND("/",SUBSTITUTE(LEFT(TRIM(C450),FIND(" ",TRIM(C450)&amp;" ")-1),",","."))-1)/MID(SUBSTITUTE(LEFT(TRIM(C450),FIND(" ",TRIM(C450)&amp;" ")-1),",","."),FIND("/",SUBSTITUTE(LEFT(TRIM(C450),FIND(" ",TRIM(C450)&amp;" ")-1),",","."))+1,9))*12,NA()))),0),24)*'Aturan &amp; Tarif'!$B$4,2)</f>
        <v>1362.72</v>
      </c>
      <c r="K450" s="42" t="n">
        <f aca="false">'Aturan &amp; Tarif'!$B$5</f>
        <v>2050</v>
      </c>
      <c r="L450" s="35" t="n">
        <f aca="false">I450+J450+K450</f>
        <v>11412.72</v>
      </c>
      <c r="M450" s="45" t="s">
        <v>903</v>
      </c>
    </row>
    <row r="451" customFormat="false" ht="37.5" hidden="false" customHeight="true" outlineLevel="0" collapsed="false">
      <c r="A451" s="39" t="s">
        <v>2036</v>
      </c>
      <c r="B451" s="40" t="s">
        <v>594</v>
      </c>
      <c r="C451" s="41" t="s">
        <v>107</v>
      </c>
      <c r="D451" s="41" t="s">
        <v>108</v>
      </c>
      <c r="E451" s="42" t="n">
        <v>1750</v>
      </c>
      <c r="F451" s="42" t="n">
        <v>60</v>
      </c>
      <c r="G451" s="42" t="n">
        <v>250</v>
      </c>
      <c r="H451" s="43" t="n">
        <v>1</v>
      </c>
      <c r="I451" s="34" t="n">
        <f aca="false">E451*H451+N(F451)+N(G451)</f>
        <v>2060</v>
      </c>
      <c r="J451" s="42" t="n">
        <f aca="false">ROUND(IFERROR(ROUND(IF(OR(ISNUMBER(SEARCH("week",C451)),ISNUMBER(SEARCH("minggu",C451))),IFERROR(_xlfn.NUMBERVALUE(SUBSTITUTE(LEFT(TRIM(C451),FIND(" ",TRIM(C451)&amp;" ")-1),",","."),"."),LEFT(SUBSTITUTE(LEFT(TRIM(C451),FIND(" ",TRIM(C451)&amp;" ")-1),",","."),FIND("/",SUBSTITUTE(LEFT(TRIM(C451),FIND(" ",TRIM(C451)&amp;" ")-1),",","."))-1)/MID(SUBSTITUTE(LEFT(TRIM(C451),FIND(" ",TRIM(C451)&amp;" ")-1),",","."),FIND("/",SUBSTITUTE(LEFT(TRIM(C451),FIND(" ",TRIM(C451)&amp;" ")-1),",","."))+1,9))*12/52,IF(ISNUMBER(SEARCH("month",C451)),IFERROR(_xlfn.NUMBERVALUE(SUBSTITUTE(LEFT(TRIM(C451),FIND(" ",TRIM(C451)&amp;" ")-1),",","."),"."),LEFT(SUBSTITUTE(LEFT(TRIM(C451),FIND(" ",TRIM(C451)&amp;" ")-1),",","."),FIND("/",SUBSTITUTE(LEFT(TRIM(C451),FIND(" ",TRIM(C451)&amp;" ")-1),",","."))-1)/MID(SUBSTITUTE(LEFT(TRIM(C451),FIND(" ",TRIM(C451)&amp;" ")-1),",","."),FIND("/",SUBSTITUTE(LEFT(TRIM(C451),FIND(" ",TRIM(C451)&amp;" ")-1),",","."))+1,9)),IF(ISNUMBER(SEARCH("yea",C451)),IFERROR(_xlfn.NUMBERVALUE(SUBSTITUTE(LEFT(TRIM(C451),FIND(" ",TRIM(C451)&amp;" ")-1),",","."),"."),LEFT(SUBSTITUTE(LEFT(TRIM(C451),FIND(" ",TRIM(C451)&amp;" ")-1),",","."),FIND("/",SUBSTITUTE(LEFT(TRIM(C451),FIND(" ",TRIM(C451)&amp;" ")-1),",","."))-1)/MID(SUBSTITUTE(LEFT(TRIM(C451),FIND(" ",TRIM(C451)&amp;" ")-1),",","."),FIND("/",SUBSTITUTE(LEFT(TRIM(C451),FIND(" ",TRIM(C451)&amp;" ")-1),",","."))+1,9))*12,NA()))),0),24)*'Aturan &amp; Tarif'!$B$4,2)</f>
        <v>1362.72</v>
      </c>
      <c r="K451" s="42" t="n">
        <f aca="false">'Aturan &amp; Tarif'!$B$5</f>
        <v>2050</v>
      </c>
      <c r="L451" s="35" t="n">
        <f aca="false">I451+J451+K451</f>
        <v>5472.72</v>
      </c>
      <c r="M451" s="45" t="s">
        <v>3111</v>
      </c>
    </row>
    <row r="452" customFormat="false" ht="14.25" hidden="false" customHeight="true" outlineLevel="0" collapsed="false">
      <c r="A452" s="39"/>
      <c r="B452" s="40" t="s">
        <v>1596</v>
      </c>
      <c r="C452" s="41" t="s">
        <v>107</v>
      </c>
      <c r="D452" s="41" t="s">
        <v>108</v>
      </c>
      <c r="E452" s="42" t="n">
        <v>1500</v>
      </c>
      <c r="F452" s="42" t="n">
        <v>60</v>
      </c>
      <c r="G452" s="42" t="n">
        <v>250</v>
      </c>
      <c r="H452" s="43" t="n">
        <v>1</v>
      </c>
      <c r="I452" s="34" t="n">
        <f aca="false">E452*H452+N(F452)+N(G452)</f>
        <v>1810</v>
      </c>
      <c r="J452" s="42" t="n">
        <f aca="false">ROUND(IFERROR(ROUND(IF(OR(ISNUMBER(SEARCH("week",C452)),ISNUMBER(SEARCH("minggu",C452))),IFERROR(_xlfn.NUMBERVALUE(SUBSTITUTE(LEFT(TRIM(C452),FIND(" ",TRIM(C452)&amp;" ")-1),",","."),"."),LEFT(SUBSTITUTE(LEFT(TRIM(C452),FIND(" ",TRIM(C452)&amp;" ")-1),",","."),FIND("/",SUBSTITUTE(LEFT(TRIM(C452),FIND(" ",TRIM(C452)&amp;" ")-1),",","."))-1)/MID(SUBSTITUTE(LEFT(TRIM(C452),FIND(" ",TRIM(C452)&amp;" ")-1),",","."),FIND("/",SUBSTITUTE(LEFT(TRIM(C452),FIND(" ",TRIM(C452)&amp;" ")-1),",","."))+1,9))*12/52,IF(ISNUMBER(SEARCH("month",C452)),IFERROR(_xlfn.NUMBERVALUE(SUBSTITUTE(LEFT(TRIM(C452),FIND(" ",TRIM(C452)&amp;" ")-1),",","."),"."),LEFT(SUBSTITUTE(LEFT(TRIM(C452),FIND(" ",TRIM(C452)&amp;" ")-1),",","."),FIND("/",SUBSTITUTE(LEFT(TRIM(C452),FIND(" ",TRIM(C452)&amp;" ")-1),",","."))-1)/MID(SUBSTITUTE(LEFT(TRIM(C452),FIND(" ",TRIM(C452)&amp;" ")-1),",","."),FIND("/",SUBSTITUTE(LEFT(TRIM(C452),FIND(" ",TRIM(C452)&amp;" ")-1),",","."))+1,9)),IF(ISNUMBER(SEARCH("yea",C452)),IFERROR(_xlfn.NUMBERVALUE(SUBSTITUTE(LEFT(TRIM(C452),FIND(" ",TRIM(C452)&amp;" ")-1),",","."),"."),LEFT(SUBSTITUTE(LEFT(TRIM(C452),FIND(" ",TRIM(C452)&amp;" ")-1),",","."),FIND("/",SUBSTITUTE(LEFT(TRIM(C452),FIND(" ",TRIM(C452)&amp;" ")-1),",","."))-1)/MID(SUBSTITUTE(LEFT(TRIM(C452),FIND(" ",TRIM(C452)&amp;" ")-1),",","."),FIND("/",SUBSTITUTE(LEFT(TRIM(C452),FIND(" ",TRIM(C452)&amp;" ")-1),",","."))+1,9))*12,NA()))),0),24)*'Aturan &amp; Tarif'!$B$4,2)</f>
        <v>1362.72</v>
      </c>
      <c r="K452" s="42" t="n">
        <f aca="false">'Aturan &amp; Tarif'!$B$5</f>
        <v>2050</v>
      </c>
      <c r="L452" s="35" t="n">
        <f aca="false">I452+J452+K452</f>
        <v>5222.72</v>
      </c>
      <c r="M452" s="45" t="s">
        <v>3111</v>
      </c>
    </row>
    <row r="453" customFormat="false" ht="25.5" hidden="false" customHeight="true" outlineLevel="0" collapsed="false">
      <c r="A453" s="39"/>
      <c r="B453" s="40" t="s">
        <v>2038</v>
      </c>
      <c r="C453" s="41" t="s">
        <v>191</v>
      </c>
      <c r="D453" s="41" t="s">
        <v>108</v>
      </c>
      <c r="E453" s="42" t="n">
        <v>1500</v>
      </c>
      <c r="F453" s="42" t="n">
        <v>60</v>
      </c>
      <c r="G453" s="42" t="n">
        <v>250</v>
      </c>
      <c r="H453" s="43" t="n">
        <v>1</v>
      </c>
      <c r="I453" s="34" t="n">
        <f aca="false">E453*H453+N(F453)+N(G453)</f>
        <v>1810</v>
      </c>
      <c r="J453" s="42" t="n">
        <f aca="false">ROUND(IFERROR(ROUND(IF(OR(ISNUMBER(SEARCH("week",C453)),ISNUMBER(SEARCH("minggu",C453))),IFERROR(_xlfn.NUMBERVALUE(SUBSTITUTE(LEFT(TRIM(C453),FIND(" ",TRIM(C453)&amp;" ")-1),",","."),"."),LEFT(SUBSTITUTE(LEFT(TRIM(C453),FIND(" ",TRIM(C453)&amp;" ")-1),",","."),FIND("/",SUBSTITUTE(LEFT(TRIM(C453),FIND(" ",TRIM(C453)&amp;" ")-1),",","."))-1)/MID(SUBSTITUTE(LEFT(TRIM(C453),FIND(" ",TRIM(C453)&amp;" ")-1),",","."),FIND("/",SUBSTITUTE(LEFT(TRIM(C453),FIND(" ",TRIM(C453)&amp;" ")-1),",","."))+1,9))*12/52,IF(ISNUMBER(SEARCH("month",C453)),IFERROR(_xlfn.NUMBERVALUE(SUBSTITUTE(LEFT(TRIM(C453),FIND(" ",TRIM(C453)&amp;" ")-1),",","."),"."),LEFT(SUBSTITUTE(LEFT(TRIM(C453),FIND(" ",TRIM(C453)&amp;" ")-1),",","."),FIND("/",SUBSTITUTE(LEFT(TRIM(C453),FIND(" ",TRIM(C453)&amp;" ")-1),",","."))-1)/MID(SUBSTITUTE(LEFT(TRIM(C453),FIND(" ",TRIM(C453)&amp;" ")-1),",","."),FIND("/",SUBSTITUTE(LEFT(TRIM(C453),FIND(" ",TRIM(C453)&amp;" ")-1),",","."))+1,9)),IF(ISNUMBER(SEARCH("yea",C453)),IFERROR(_xlfn.NUMBERVALUE(SUBSTITUTE(LEFT(TRIM(C453),FIND(" ",TRIM(C453)&amp;" ")-1),",","."),"."),LEFT(SUBSTITUTE(LEFT(TRIM(C453),FIND(" ",TRIM(C453)&amp;" ")-1),",","."),FIND("/",SUBSTITUTE(LEFT(TRIM(C453),FIND(" ",TRIM(C453)&amp;" ")-1),",","."))-1)/MID(SUBSTITUTE(LEFT(TRIM(C453),FIND(" ",TRIM(C453)&amp;" ")-1),",","."),FIND("/",SUBSTITUTE(LEFT(TRIM(C453),FIND(" ",TRIM(C453)&amp;" ")-1),",","."))+1,9))*12,NA()))),0),48)*'Aturan &amp; Tarif'!$B$4,2)</f>
        <v>2725.44</v>
      </c>
      <c r="K453" s="42" t="n">
        <f aca="false">'Aturan &amp; Tarif'!$B$5</f>
        <v>2050</v>
      </c>
      <c r="L453" s="35" t="n">
        <f aca="false">I453+J453+K453</f>
        <v>6585.44</v>
      </c>
      <c r="M453" s="45" t="s">
        <v>3111</v>
      </c>
    </row>
    <row r="454" customFormat="false" ht="72" hidden="false" customHeight="true" outlineLevel="0" collapsed="false">
      <c r="A454" s="39" t="s">
        <v>3112</v>
      </c>
      <c r="B454" s="40" t="s">
        <v>3113</v>
      </c>
      <c r="C454" s="41" t="s">
        <v>107</v>
      </c>
      <c r="D454" s="41" t="s">
        <v>108</v>
      </c>
      <c r="E454" s="42" t="n">
        <v>3300</v>
      </c>
      <c r="F454" s="42" t="n">
        <v>1210</v>
      </c>
      <c r="G454" s="42" t="n">
        <v>250</v>
      </c>
      <c r="H454" s="43" t="n">
        <v>1</v>
      </c>
      <c r="I454" s="34" t="n">
        <f aca="false">E454*H454+N(F454)+N(G454)</f>
        <v>4760</v>
      </c>
      <c r="J454" s="42" t="n">
        <f aca="false">ROUND(IFERROR(ROUND(IF(OR(ISNUMBER(SEARCH("week",C454)),ISNUMBER(SEARCH("minggu",C454))),IFERROR(_xlfn.NUMBERVALUE(SUBSTITUTE(LEFT(TRIM(C454),FIND(" ",TRIM(C454)&amp;" ")-1),",","."),"."),LEFT(SUBSTITUTE(LEFT(TRIM(C454),FIND(" ",TRIM(C454)&amp;" ")-1),",","."),FIND("/",SUBSTITUTE(LEFT(TRIM(C454),FIND(" ",TRIM(C454)&amp;" ")-1),",","."))-1)/MID(SUBSTITUTE(LEFT(TRIM(C454),FIND(" ",TRIM(C454)&amp;" ")-1),",","."),FIND("/",SUBSTITUTE(LEFT(TRIM(C454),FIND(" ",TRIM(C454)&amp;" ")-1),",","."))+1,9))*12/52,IF(ISNUMBER(SEARCH("month",C454)),IFERROR(_xlfn.NUMBERVALUE(SUBSTITUTE(LEFT(TRIM(C454),FIND(" ",TRIM(C454)&amp;" ")-1),",","."),"."),LEFT(SUBSTITUTE(LEFT(TRIM(C454),FIND(" ",TRIM(C454)&amp;" ")-1),",","."),FIND("/",SUBSTITUTE(LEFT(TRIM(C454),FIND(" ",TRIM(C454)&amp;" ")-1),",","."))-1)/MID(SUBSTITUTE(LEFT(TRIM(C454),FIND(" ",TRIM(C454)&amp;" ")-1),",","."),FIND("/",SUBSTITUTE(LEFT(TRIM(C454),FIND(" ",TRIM(C454)&amp;" ")-1),",","."))+1,9)),IF(ISNUMBER(SEARCH("yea",C454)),IFERROR(_xlfn.NUMBERVALUE(SUBSTITUTE(LEFT(TRIM(C454),FIND(" ",TRIM(C454)&amp;" ")-1),",","."),"."),LEFT(SUBSTITUTE(LEFT(TRIM(C454),FIND(" ",TRIM(C454)&amp;" ")-1),",","."),FIND("/",SUBSTITUTE(LEFT(TRIM(C454),FIND(" ",TRIM(C454)&amp;" ")-1),",","."))-1)/MID(SUBSTITUTE(LEFT(TRIM(C454),FIND(" ",TRIM(C454)&amp;" ")-1),",","."),FIND("/",SUBSTITUTE(LEFT(TRIM(C454),FIND(" ",TRIM(C454)&amp;" ")-1),",","."))+1,9))*12,NA()))),0),24)*'Aturan &amp; Tarif'!$B$4,2)</f>
        <v>1362.72</v>
      </c>
      <c r="K454" s="42" t="n">
        <f aca="false">'Aturan &amp; Tarif'!$B$5</f>
        <v>2050</v>
      </c>
      <c r="L454" s="35" t="n">
        <f aca="false">I454+J454+K454</f>
        <v>8172.72</v>
      </c>
      <c r="M454" s="44" t="s">
        <v>2041</v>
      </c>
    </row>
    <row r="455" customFormat="false" ht="72" hidden="false" customHeight="true" outlineLevel="0" collapsed="false">
      <c r="A455" s="39"/>
      <c r="B455" s="40" t="s">
        <v>3114</v>
      </c>
      <c r="C455" s="41" t="s">
        <v>138</v>
      </c>
      <c r="D455" s="41" t="s">
        <v>108</v>
      </c>
      <c r="E455" s="42" t="n">
        <v>3300</v>
      </c>
      <c r="F455" s="42" t="n">
        <v>1210</v>
      </c>
      <c r="G455" s="42" t="n">
        <v>250</v>
      </c>
      <c r="H455" s="43" t="n">
        <v>1</v>
      </c>
      <c r="I455" s="34" t="n">
        <f aca="false">E455*H455+N(F455)+N(G455)</f>
        <v>4760</v>
      </c>
      <c r="J455" s="42" t="n">
        <f aca="false">ROUND(IFERROR(ROUND(IF(OR(ISNUMBER(SEARCH("week",C455)),ISNUMBER(SEARCH("minggu",C455))),IFERROR(_xlfn.NUMBERVALUE(SUBSTITUTE(LEFT(TRIM(C455),FIND(" ",TRIM(C455)&amp;" ")-1),",","."),"."),LEFT(SUBSTITUTE(LEFT(TRIM(C455),FIND(" ",TRIM(C455)&amp;" ")-1),",","."),FIND("/",SUBSTITUTE(LEFT(TRIM(C455),FIND(" ",TRIM(C455)&amp;" ")-1),",","."))-1)/MID(SUBSTITUTE(LEFT(TRIM(C455),FIND(" ",TRIM(C455)&amp;" ")-1),",","."),FIND("/",SUBSTITUTE(LEFT(TRIM(C455),FIND(" ",TRIM(C455)&amp;" ")-1),",","."))+1,9))*12/52,IF(ISNUMBER(SEARCH("month",C455)),IFERROR(_xlfn.NUMBERVALUE(SUBSTITUTE(LEFT(TRIM(C455),FIND(" ",TRIM(C455)&amp;" ")-1),",","."),"."),LEFT(SUBSTITUTE(LEFT(TRIM(C455),FIND(" ",TRIM(C455)&amp;" ")-1),",","."),FIND("/",SUBSTITUTE(LEFT(TRIM(C455),FIND(" ",TRIM(C455)&amp;" ")-1),",","."))-1)/MID(SUBSTITUTE(LEFT(TRIM(C455),FIND(" ",TRIM(C455)&amp;" ")-1),",","."),FIND("/",SUBSTITUTE(LEFT(TRIM(C455),FIND(" ",TRIM(C455)&amp;" ")-1),",","."))+1,9)),IF(ISNUMBER(SEARCH("yea",C455)),IFERROR(_xlfn.NUMBERVALUE(SUBSTITUTE(LEFT(TRIM(C455),FIND(" ",TRIM(C455)&amp;" ")-1),",","."),"."),LEFT(SUBSTITUTE(LEFT(TRIM(C455),FIND(" ",TRIM(C455)&amp;" ")-1),",","."),FIND("/",SUBSTITUTE(LEFT(TRIM(C455),FIND(" ",TRIM(C455)&amp;" ")-1),",","."))-1)/MID(SUBSTITUTE(LEFT(TRIM(C455),FIND(" ",TRIM(C455)&amp;" ")-1),",","."),FIND("/",SUBSTITUTE(LEFT(TRIM(C455),FIND(" ",TRIM(C455)&amp;" ")-1),",","."))+1,9))*12,NA()))),0),30)*'Aturan &amp; Tarif'!$B$4,2)</f>
        <v>1703.4</v>
      </c>
      <c r="K455" s="42" t="n">
        <f aca="false">'Aturan &amp; Tarif'!$B$5</f>
        <v>2050</v>
      </c>
      <c r="L455" s="35" t="n">
        <f aca="false">I455+J455+K455</f>
        <v>8513.4</v>
      </c>
      <c r="M455" s="44" t="s">
        <v>2041</v>
      </c>
    </row>
    <row r="456" customFormat="false" ht="72" hidden="false" customHeight="true" outlineLevel="0" collapsed="false">
      <c r="A456" s="39"/>
      <c r="B456" s="40" t="s">
        <v>3115</v>
      </c>
      <c r="C456" s="41" t="s">
        <v>127</v>
      </c>
      <c r="D456" s="41" t="s">
        <v>108</v>
      </c>
      <c r="E456" s="42" t="n">
        <v>3300</v>
      </c>
      <c r="F456" s="42" t="n">
        <v>1210</v>
      </c>
      <c r="G456" s="42" t="n">
        <v>250</v>
      </c>
      <c r="H456" s="43" t="n">
        <v>1</v>
      </c>
      <c r="I456" s="34" t="n">
        <f aca="false">E456*H456+N(F456)+N(G456)</f>
        <v>4760</v>
      </c>
      <c r="J456" s="42" t="n">
        <f aca="false">ROUND(IFERROR(ROUND(IF(OR(ISNUMBER(SEARCH("week",C456)),ISNUMBER(SEARCH("minggu",C456))),IFERROR(_xlfn.NUMBERVALUE(SUBSTITUTE(LEFT(TRIM(C456),FIND(" ",TRIM(C456)&amp;" ")-1),",","."),"."),LEFT(SUBSTITUTE(LEFT(TRIM(C456),FIND(" ",TRIM(C456)&amp;" ")-1),",","."),FIND("/",SUBSTITUTE(LEFT(TRIM(C456),FIND(" ",TRIM(C456)&amp;" ")-1),",","."))-1)/MID(SUBSTITUTE(LEFT(TRIM(C456),FIND(" ",TRIM(C456)&amp;" ")-1),",","."),FIND("/",SUBSTITUTE(LEFT(TRIM(C456),FIND(" ",TRIM(C456)&amp;" ")-1),",","."))+1,9))*12/52,IF(ISNUMBER(SEARCH("month",C456)),IFERROR(_xlfn.NUMBERVALUE(SUBSTITUTE(LEFT(TRIM(C456),FIND(" ",TRIM(C456)&amp;" ")-1),",","."),"."),LEFT(SUBSTITUTE(LEFT(TRIM(C456),FIND(" ",TRIM(C456)&amp;" ")-1),",","."),FIND("/",SUBSTITUTE(LEFT(TRIM(C456),FIND(" ",TRIM(C456)&amp;" ")-1),",","."))-1)/MID(SUBSTITUTE(LEFT(TRIM(C456),FIND(" ",TRIM(C456)&amp;" ")-1),",","."),FIND("/",SUBSTITUTE(LEFT(TRIM(C456),FIND(" ",TRIM(C456)&amp;" ")-1),",","."))+1,9)),IF(ISNUMBER(SEARCH("yea",C456)),IFERROR(_xlfn.NUMBERVALUE(SUBSTITUTE(LEFT(TRIM(C456),FIND(" ",TRIM(C456)&amp;" ")-1),",","."),"."),LEFT(SUBSTITUTE(LEFT(TRIM(C456),FIND(" ",TRIM(C456)&amp;" ")-1),",","."),FIND("/",SUBSTITUTE(LEFT(TRIM(C456),FIND(" ",TRIM(C456)&amp;" ")-1),",","."))-1)/MID(SUBSTITUTE(LEFT(TRIM(C456),FIND(" ",TRIM(C456)&amp;" ")-1),",","."),FIND("/",SUBSTITUTE(LEFT(TRIM(C456),FIND(" ",TRIM(C456)&amp;" ")-1),",","."))+1,9))*12,NA()))),0),36)*'Aturan &amp; Tarif'!$B$4,2)</f>
        <v>2044.08</v>
      </c>
      <c r="K456" s="42" t="n">
        <f aca="false">'Aturan &amp; Tarif'!$B$5</f>
        <v>2050</v>
      </c>
      <c r="L456" s="35" t="n">
        <f aca="false">I456+J456+K456</f>
        <v>8854.08</v>
      </c>
      <c r="M456" s="44" t="s">
        <v>2041</v>
      </c>
    </row>
    <row r="457" customFormat="false" ht="72" hidden="false" customHeight="true" outlineLevel="0" collapsed="false">
      <c r="A457" s="39"/>
      <c r="B457" s="40" t="s">
        <v>3116</v>
      </c>
      <c r="C457" s="41" t="s">
        <v>107</v>
      </c>
      <c r="D457" s="41" t="s">
        <v>108</v>
      </c>
      <c r="E457" s="42" t="n">
        <v>3300</v>
      </c>
      <c r="F457" s="42" t="n">
        <v>1210</v>
      </c>
      <c r="G457" s="42" t="n">
        <v>250</v>
      </c>
      <c r="H457" s="43" t="n">
        <v>1</v>
      </c>
      <c r="I457" s="34" t="n">
        <f aca="false">E457*H457+N(F457)+N(G457)</f>
        <v>4760</v>
      </c>
      <c r="J457" s="42" t="n">
        <f aca="false">ROUND(IFERROR(ROUND(IF(OR(ISNUMBER(SEARCH("week",C457)),ISNUMBER(SEARCH("minggu",C457))),IFERROR(_xlfn.NUMBERVALUE(SUBSTITUTE(LEFT(TRIM(C457),FIND(" ",TRIM(C457)&amp;" ")-1),",","."),"."),LEFT(SUBSTITUTE(LEFT(TRIM(C457),FIND(" ",TRIM(C457)&amp;" ")-1),",","."),FIND("/",SUBSTITUTE(LEFT(TRIM(C457),FIND(" ",TRIM(C457)&amp;" ")-1),",","."))-1)/MID(SUBSTITUTE(LEFT(TRIM(C457),FIND(" ",TRIM(C457)&amp;" ")-1),",","."),FIND("/",SUBSTITUTE(LEFT(TRIM(C457),FIND(" ",TRIM(C457)&amp;" ")-1),",","."))+1,9))*12/52,IF(ISNUMBER(SEARCH("month",C457)),IFERROR(_xlfn.NUMBERVALUE(SUBSTITUTE(LEFT(TRIM(C457),FIND(" ",TRIM(C457)&amp;" ")-1),",","."),"."),LEFT(SUBSTITUTE(LEFT(TRIM(C457),FIND(" ",TRIM(C457)&amp;" ")-1),",","."),FIND("/",SUBSTITUTE(LEFT(TRIM(C457),FIND(" ",TRIM(C457)&amp;" ")-1),",","."))-1)/MID(SUBSTITUTE(LEFT(TRIM(C457),FIND(" ",TRIM(C457)&amp;" ")-1),",","."),FIND("/",SUBSTITUTE(LEFT(TRIM(C457),FIND(" ",TRIM(C457)&amp;" ")-1),",","."))+1,9)),IF(ISNUMBER(SEARCH("yea",C457)),IFERROR(_xlfn.NUMBERVALUE(SUBSTITUTE(LEFT(TRIM(C457),FIND(" ",TRIM(C457)&amp;" ")-1),",","."),"."),LEFT(SUBSTITUTE(LEFT(TRIM(C457),FIND(" ",TRIM(C457)&amp;" ")-1),",","."),FIND("/",SUBSTITUTE(LEFT(TRIM(C457),FIND(" ",TRIM(C457)&amp;" ")-1),",","."))-1)/MID(SUBSTITUTE(LEFT(TRIM(C457),FIND(" ",TRIM(C457)&amp;" ")-1),",","."),FIND("/",SUBSTITUTE(LEFT(TRIM(C457),FIND(" ",TRIM(C457)&amp;" ")-1),",","."))+1,9))*12,NA()))),0),24)*'Aturan &amp; Tarif'!$B$4,2)</f>
        <v>1362.72</v>
      </c>
      <c r="K457" s="42" t="n">
        <f aca="false">'Aturan &amp; Tarif'!$B$5</f>
        <v>2050</v>
      </c>
      <c r="L457" s="35" t="n">
        <f aca="false">I457+J457+K457</f>
        <v>8172.72</v>
      </c>
      <c r="M457" s="44" t="s">
        <v>2041</v>
      </c>
    </row>
    <row r="458" customFormat="false" ht="72" hidden="false" customHeight="true" outlineLevel="0" collapsed="false">
      <c r="A458" s="39"/>
      <c r="B458" s="40" t="s">
        <v>3117</v>
      </c>
      <c r="C458" s="41" t="s">
        <v>138</v>
      </c>
      <c r="D458" s="41" t="s">
        <v>108</v>
      </c>
      <c r="E458" s="42" t="n">
        <v>3300</v>
      </c>
      <c r="F458" s="42" t="n">
        <v>1210</v>
      </c>
      <c r="G458" s="42" t="n">
        <v>250</v>
      </c>
      <c r="H458" s="43" t="n">
        <v>1</v>
      </c>
      <c r="I458" s="34" t="n">
        <f aca="false">E458*H458+N(F458)+N(G458)</f>
        <v>4760</v>
      </c>
      <c r="J458" s="42" t="n">
        <f aca="false">ROUND(IFERROR(ROUND(IF(OR(ISNUMBER(SEARCH("week",C458)),ISNUMBER(SEARCH("minggu",C458))),IFERROR(_xlfn.NUMBERVALUE(SUBSTITUTE(LEFT(TRIM(C458),FIND(" ",TRIM(C458)&amp;" ")-1),",","."),"."),LEFT(SUBSTITUTE(LEFT(TRIM(C458),FIND(" ",TRIM(C458)&amp;" ")-1),",","."),FIND("/",SUBSTITUTE(LEFT(TRIM(C458),FIND(" ",TRIM(C458)&amp;" ")-1),",","."))-1)/MID(SUBSTITUTE(LEFT(TRIM(C458),FIND(" ",TRIM(C458)&amp;" ")-1),",","."),FIND("/",SUBSTITUTE(LEFT(TRIM(C458),FIND(" ",TRIM(C458)&amp;" ")-1),",","."))+1,9))*12/52,IF(ISNUMBER(SEARCH("month",C458)),IFERROR(_xlfn.NUMBERVALUE(SUBSTITUTE(LEFT(TRIM(C458),FIND(" ",TRIM(C458)&amp;" ")-1),",","."),"."),LEFT(SUBSTITUTE(LEFT(TRIM(C458),FIND(" ",TRIM(C458)&amp;" ")-1),",","."),FIND("/",SUBSTITUTE(LEFT(TRIM(C458),FIND(" ",TRIM(C458)&amp;" ")-1),",","."))-1)/MID(SUBSTITUTE(LEFT(TRIM(C458),FIND(" ",TRIM(C458)&amp;" ")-1),",","."),FIND("/",SUBSTITUTE(LEFT(TRIM(C458),FIND(" ",TRIM(C458)&amp;" ")-1),",","."))+1,9)),IF(ISNUMBER(SEARCH("yea",C458)),IFERROR(_xlfn.NUMBERVALUE(SUBSTITUTE(LEFT(TRIM(C458),FIND(" ",TRIM(C458)&amp;" ")-1),",","."),"."),LEFT(SUBSTITUTE(LEFT(TRIM(C458),FIND(" ",TRIM(C458)&amp;" ")-1),",","."),FIND("/",SUBSTITUTE(LEFT(TRIM(C458),FIND(" ",TRIM(C458)&amp;" ")-1),",","."))-1)/MID(SUBSTITUTE(LEFT(TRIM(C458),FIND(" ",TRIM(C458)&amp;" ")-1),",","."),FIND("/",SUBSTITUTE(LEFT(TRIM(C458),FIND(" ",TRIM(C458)&amp;" ")-1),",","."))+1,9))*12,NA()))),0),30)*'Aturan &amp; Tarif'!$B$4,2)</f>
        <v>1703.4</v>
      </c>
      <c r="K458" s="42" t="n">
        <f aca="false">'Aturan &amp; Tarif'!$B$5</f>
        <v>2050</v>
      </c>
      <c r="L458" s="35" t="n">
        <f aca="false">I458+J458+K458</f>
        <v>8513.4</v>
      </c>
      <c r="M458" s="44" t="s">
        <v>2041</v>
      </c>
    </row>
    <row r="459" customFormat="false" ht="72" hidden="false" customHeight="true" outlineLevel="0" collapsed="false">
      <c r="A459" s="39"/>
      <c r="B459" s="40" t="s">
        <v>3118</v>
      </c>
      <c r="C459" s="41" t="s">
        <v>127</v>
      </c>
      <c r="D459" s="41" t="s">
        <v>108</v>
      </c>
      <c r="E459" s="42" t="n">
        <v>3300</v>
      </c>
      <c r="F459" s="42" t="n">
        <v>1210</v>
      </c>
      <c r="G459" s="42" t="n">
        <v>250</v>
      </c>
      <c r="H459" s="43" t="n">
        <v>1</v>
      </c>
      <c r="I459" s="34" t="n">
        <f aca="false">E459*H459+N(F459)+N(G459)</f>
        <v>4760</v>
      </c>
      <c r="J459" s="42" t="n">
        <f aca="false">ROUND(IFERROR(ROUND(IF(OR(ISNUMBER(SEARCH("week",C459)),ISNUMBER(SEARCH("minggu",C459))),IFERROR(_xlfn.NUMBERVALUE(SUBSTITUTE(LEFT(TRIM(C459),FIND(" ",TRIM(C459)&amp;" ")-1),",","."),"."),LEFT(SUBSTITUTE(LEFT(TRIM(C459),FIND(" ",TRIM(C459)&amp;" ")-1),",","."),FIND("/",SUBSTITUTE(LEFT(TRIM(C459),FIND(" ",TRIM(C459)&amp;" ")-1),",","."))-1)/MID(SUBSTITUTE(LEFT(TRIM(C459),FIND(" ",TRIM(C459)&amp;" ")-1),",","."),FIND("/",SUBSTITUTE(LEFT(TRIM(C459),FIND(" ",TRIM(C459)&amp;" ")-1),",","."))+1,9))*12/52,IF(ISNUMBER(SEARCH("month",C459)),IFERROR(_xlfn.NUMBERVALUE(SUBSTITUTE(LEFT(TRIM(C459),FIND(" ",TRIM(C459)&amp;" ")-1),",","."),"."),LEFT(SUBSTITUTE(LEFT(TRIM(C459),FIND(" ",TRIM(C459)&amp;" ")-1),",","."),FIND("/",SUBSTITUTE(LEFT(TRIM(C459),FIND(" ",TRIM(C459)&amp;" ")-1),",","."))-1)/MID(SUBSTITUTE(LEFT(TRIM(C459),FIND(" ",TRIM(C459)&amp;" ")-1),",","."),FIND("/",SUBSTITUTE(LEFT(TRIM(C459),FIND(" ",TRIM(C459)&amp;" ")-1),",","."))+1,9)),IF(ISNUMBER(SEARCH("yea",C459)),IFERROR(_xlfn.NUMBERVALUE(SUBSTITUTE(LEFT(TRIM(C459),FIND(" ",TRIM(C459)&amp;" ")-1),",","."),"."),LEFT(SUBSTITUTE(LEFT(TRIM(C459),FIND(" ",TRIM(C459)&amp;" ")-1),",","."),FIND("/",SUBSTITUTE(LEFT(TRIM(C459),FIND(" ",TRIM(C459)&amp;" ")-1),",","."))-1)/MID(SUBSTITUTE(LEFT(TRIM(C459),FIND(" ",TRIM(C459)&amp;" ")-1),",","."),FIND("/",SUBSTITUTE(LEFT(TRIM(C459),FIND(" ",TRIM(C459)&amp;" ")-1),",","."))+1,9))*12,NA()))),0),36)*'Aturan &amp; Tarif'!$B$4,2)</f>
        <v>2044.08</v>
      </c>
      <c r="K459" s="42" t="n">
        <f aca="false">'Aturan &amp; Tarif'!$B$5</f>
        <v>2050</v>
      </c>
      <c r="L459" s="35" t="n">
        <f aca="false">I459+J459+K459</f>
        <v>8854.08</v>
      </c>
      <c r="M459" s="44" t="s">
        <v>2041</v>
      </c>
    </row>
    <row r="460" customFormat="false" ht="72" hidden="false" customHeight="true" outlineLevel="0" collapsed="false">
      <c r="A460" s="39"/>
      <c r="B460" s="40" t="s">
        <v>3119</v>
      </c>
      <c r="C460" s="41" t="s">
        <v>107</v>
      </c>
      <c r="D460" s="41" t="s">
        <v>108</v>
      </c>
      <c r="E460" s="42" t="n">
        <v>3300</v>
      </c>
      <c r="F460" s="42" t="n">
        <v>1210</v>
      </c>
      <c r="G460" s="42" t="n">
        <v>250</v>
      </c>
      <c r="H460" s="43" t="n">
        <v>1</v>
      </c>
      <c r="I460" s="34" t="n">
        <f aca="false">E460*H460+N(F460)+N(G460)</f>
        <v>4760</v>
      </c>
      <c r="J460" s="42" t="n">
        <f aca="false">ROUND(IFERROR(ROUND(IF(OR(ISNUMBER(SEARCH("week",C460)),ISNUMBER(SEARCH("minggu",C460))),IFERROR(_xlfn.NUMBERVALUE(SUBSTITUTE(LEFT(TRIM(C460),FIND(" ",TRIM(C460)&amp;" ")-1),",","."),"."),LEFT(SUBSTITUTE(LEFT(TRIM(C460),FIND(" ",TRIM(C460)&amp;" ")-1),",","."),FIND("/",SUBSTITUTE(LEFT(TRIM(C460),FIND(" ",TRIM(C460)&amp;" ")-1),",","."))-1)/MID(SUBSTITUTE(LEFT(TRIM(C460),FIND(" ",TRIM(C460)&amp;" ")-1),",","."),FIND("/",SUBSTITUTE(LEFT(TRIM(C460),FIND(" ",TRIM(C460)&amp;" ")-1),",","."))+1,9))*12/52,IF(ISNUMBER(SEARCH("month",C460)),IFERROR(_xlfn.NUMBERVALUE(SUBSTITUTE(LEFT(TRIM(C460),FIND(" ",TRIM(C460)&amp;" ")-1),",","."),"."),LEFT(SUBSTITUTE(LEFT(TRIM(C460),FIND(" ",TRIM(C460)&amp;" ")-1),",","."),FIND("/",SUBSTITUTE(LEFT(TRIM(C460),FIND(" ",TRIM(C460)&amp;" ")-1),",","."))-1)/MID(SUBSTITUTE(LEFT(TRIM(C460),FIND(" ",TRIM(C460)&amp;" ")-1),",","."),FIND("/",SUBSTITUTE(LEFT(TRIM(C460),FIND(" ",TRIM(C460)&amp;" ")-1),",","."))+1,9)),IF(ISNUMBER(SEARCH("yea",C460)),IFERROR(_xlfn.NUMBERVALUE(SUBSTITUTE(LEFT(TRIM(C460),FIND(" ",TRIM(C460)&amp;" ")-1),",","."),"."),LEFT(SUBSTITUTE(LEFT(TRIM(C460),FIND(" ",TRIM(C460)&amp;" ")-1),",","."),FIND("/",SUBSTITUTE(LEFT(TRIM(C460),FIND(" ",TRIM(C460)&amp;" ")-1),",","."))-1)/MID(SUBSTITUTE(LEFT(TRIM(C460),FIND(" ",TRIM(C460)&amp;" ")-1),",","."),FIND("/",SUBSTITUTE(LEFT(TRIM(C460),FIND(" ",TRIM(C460)&amp;" ")-1),",","."))+1,9))*12,NA()))),0),24)*'Aturan &amp; Tarif'!$B$4,2)</f>
        <v>1362.72</v>
      </c>
      <c r="K460" s="42" t="n">
        <f aca="false">'Aturan &amp; Tarif'!$B$5</f>
        <v>2050</v>
      </c>
      <c r="L460" s="35" t="n">
        <f aca="false">I460+J460+K460</f>
        <v>8172.72</v>
      </c>
      <c r="M460" s="44" t="s">
        <v>2041</v>
      </c>
    </row>
    <row r="461" customFormat="false" ht="72" hidden="false" customHeight="true" outlineLevel="0" collapsed="false">
      <c r="A461" s="39"/>
      <c r="B461" s="40" t="s">
        <v>3120</v>
      </c>
      <c r="C461" s="41" t="s">
        <v>138</v>
      </c>
      <c r="D461" s="41" t="s">
        <v>108</v>
      </c>
      <c r="E461" s="42" t="n">
        <v>3300</v>
      </c>
      <c r="F461" s="42" t="n">
        <v>1210</v>
      </c>
      <c r="G461" s="42" t="n">
        <v>250</v>
      </c>
      <c r="H461" s="43" t="n">
        <v>1</v>
      </c>
      <c r="I461" s="34" t="n">
        <f aca="false">E461*H461+N(F461)+N(G461)</f>
        <v>4760</v>
      </c>
      <c r="J461" s="42" t="n">
        <f aca="false">ROUND(IFERROR(ROUND(IF(OR(ISNUMBER(SEARCH("week",C461)),ISNUMBER(SEARCH("minggu",C461))),IFERROR(_xlfn.NUMBERVALUE(SUBSTITUTE(LEFT(TRIM(C461),FIND(" ",TRIM(C461)&amp;" ")-1),",","."),"."),LEFT(SUBSTITUTE(LEFT(TRIM(C461),FIND(" ",TRIM(C461)&amp;" ")-1),",","."),FIND("/",SUBSTITUTE(LEFT(TRIM(C461),FIND(" ",TRIM(C461)&amp;" ")-1),",","."))-1)/MID(SUBSTITUTE(LEFT(TRIM(C461),FIND(" ",TRIM(C461)&amp;" ")-1),",","."),FIND("/",SUBSTITUTE(LEFT(TRIM(C461),FIND(" ",TRIM(C461)&amp;" ")-1),",","."))+1,9))*12/52,IF(ISNUMBER(SEARCH("month",C461)),IFERROR(_xlfn.NUMBERVALUE(SUBSTITUTE(LEFT(TRIM(C461),FIND(" ",TRIM(C461)&amp;" ")-1),",","."),"."),LEFT(SUBSTITUTE(LEFT(TRIM(C461),FIND(" ",TRIM(C461)&amp;" ")-1),",","."),FIND("/",SUBSTITUTE(LEFT(TRIM(C461),FIND(" ",TRIM(C461)&amp;" ")-1),",","."))-1)/MID(SUBSTITUTE(LEFT(TRIM(C461),FIND(" ",TRIM(C461)&amp;" ")-1),",","."),FIND("/",SUBSTITUTE(LEFT(TRIM(C461),FIND(" ",TRIM(C461)&amp;" ")-1),",","."))+1,9)),IF(ISNUMBER(SEARCH("yea",C461)),IFERROR(_xlfn.NUMBERVALUE(SUBSTITUTE(LEFT(TRIM(C461),FIND(" ",TRIM(C461)&amp;" ")-1),",","."),"."),LEFT(SUBSTITUTE(LEFT(TRIM(C461),FIND(" ",TRIM(C461)&amp;" ")-1),",","."),FIND("/",SUBSTITUTE(LEFT(TRIM(C461),FIND(" ",TRIM(C461)&amp;" ")-1),",","."))-1)/MID(SUBSTITUTE(LEFT(TRIM(C461),FIND(" ",TRIM(C461)&amp;" ")-1),",","."),FIND("/",SUBSTITUTE(LEFT(TRIM(C461),FIND(" ",TRIM(C461)&amp;" ")-1),",","."))+1,9))*12,NA()))),0),30)*'Aturan &amp; Tarif'!$B$4,2)</f>
        <v>1703.4</v>
      </c>
      <c r="K461" s="42" t="n">
        <f aca="false">'Aturan &amp; Tarif'!$B$5</f>
        <v>2050</v>
      </c>
      <c r="L461" s="35" t="n">
        <f aca="false">I461+J461+K461</f>
        <v>8513.4</v>
      </c>
      <c r="M461" s="44" t="s">
        <v>2041</v>
      </c>
    </row>
    <row r="462" customFormat="false" ht="72" hidden="false" customHeight="true" outlineLevel="0" collapsed="false">
      <c r="A462" s="39"/>
      <c r="B462" s="40" t="s">
        <v>3121</v>
      </c>
      <c r="C462" s="41" t="s">
        <v>127</v>
      </c>
      <c r="D462" s="41" t="s">
        <v>108</v>
      </c>
      <c r="E462" s="42" t="n">
        <v>3300</v>
      </c>
      <c r="F462" s="42" t="n">
        <v>1210</v>
      </c>
      <c r="G462" s="42" t="n">
        <v>250</v>
      </c>
      <c r="H462" s="43" t="n">
        <v>1</v>
      </c>
      <c r="I462" s="34" t="n">
        <f aca="false">E462*H462+N(F462)+N(G462)</f>
        <v>4760</v>
      </c>
      <c r="J462" s="42" t="n">
        <f aca="false">ROUND(IFERROR(ROUND(IF(OR(ISNUMBER(SEARCH("week",C462)),ISNUMBER(SEARCH("minggu",C462))),IFERROR(_xlfn.NUMBERVALUE(SUBSTITUTE(LEFT(TRIM(C462),FIND(" ",TRIM(C462)&amp;" ")-1),",","."),"."),LEFT(SUBSTITUTE(LEFT(TRIM(C462),FIND(" ",TRIM(C462)&amp;" ")-1),",","."),FIND("/",SUBSTITUTE(LEFT(TRIM(C462),FIND(" ",TRIM(C462)&amp;" ")-1),",","."))-1)/MID(SUBSTITUTE(LEFT(TRIM(C462),FIND(" ",TRIM(C462)&amp;" ")-1),",","."),FIND("/",SUBSTITUTE(LEFT(TRIM(C462),FIND(" ",TRIM(C462)&amp;" ")-1),",","."))+1,9))*12/52,IF(ISNUMBER(SEARCH("month",C462)),IFERROR(_xlfn.NUMBERVALUE(SUBSTITUTE(LEFT(TRIM(C462),FIND(" ",TRIM(C462)&amp;" ")-1),",","."),"."),LEFT(SUBSTITUTE(LEFT(TRIM(C462),FIND(" ",TRIM(C462)&amp;" ")-1),",","."),FIND("/",SUBSTITUTE(LEFT(TRIM(C462),FIND(" ",TRIM(C462)&amp;" ")-1),",","."))-1)/MID(SUBSTITUTE(LEFT(TRIM(C462),FIND(" ",TRIM(C462)&amp;" ")-1),",","."),FIND("/",SUBSTITUTE(LEFT(TRIM(C462),FIND(" ",TRIM(C462)&amp;" ")-1),",","."))+1,9)),IF(ISNUMBER(SEARCH("yea",C462)),IFERROR(_xlfn.NUMBERVALUE(SUBSTITUTE(LEFT(TRIM(C462),FIND(" ",TRIM(C462)&amp;" ")-1),",","."),"."),LEFT(SUBSTITUTE(LEFT(TRIM(C462),FIND(" ",TRIM(C462)&amp;" ")-1),",","."),FIND("/",SUBSTITUTE(LEFT(TRIM(C462),FIND(" ",TRIM(C462)&amp;" ")-1),",","."))-1)/MID(SUBSTITUTE(LEFT(TRIM(C462),FIND(" ",TRIM(C462)&amp;" ")-1),",","."),FIND("/",SUBSTITUTE(LEFT(TRIM(C462),FIND(" ",TRIM(C462)&amp;" ")-1),",","."))+1,9))*12,NA()))),0),36)*'Aturan &amp; Tarif'!$B$4,2)</f>
        <v>2044.08</v>
      </c>
      <c r="K462" s="42" t="n">
        <f aca="false">'Aturan &amp; Tarif'!$B$5</f>
        <v>2050</v>
      </c>
      <c r="L462" s="35" t="n">
        <f aca="false">I462+J462+K462</f>
        <v>8854.08</v>
      </c>
      <c r="M462" s="44" t="s">
        <v>2041</v>
      </c>
    </row>
    <row r="463" customFormat="false" ht="25.5" hidden="false" customHeight="true" outlineLevel="0" collapsed="false">
      <c r="A463" s="39"/>
      <c r="B463" s="40" t="s">
        <v>3122</v>
      </c>
      <c r="C463" s="41" t="s">
        <v>138</v>
      </c>
      <c r="D463" s="41" t="s">
        <v>108</v>
      </c>
      <c r="E463" s="42" t="n">
        <v>2550</v>
      </c>
      <c r="F463" s="42" t="n">
        <v>440</v>
      </c>
      <c r="G463" s="42" t="n">
        <v>250</v>
      </c>
      <c r="H463" s="43" t="n">
        <v>1</v>
      </c>
      <c r="I463" s="34" t="n">
        <f aca="false">E463*H463+N(F463)+N(G463)</f>
        <v>3240</v>
      </c>
      <c r="J463" s="42" t="n">
        <f aca="false">ROUND(IFERROR(ROUND(IF(OR(ISNUMBER(SEARCH("week",C463)),ISNUMBER(SEARCH("minggu",C463))),IFERROR(_xlfn.NUMBERVALUE(SUBSTITUTE(LEFT(TRIM(C463),FIND(" ",TRIM(C463)&amp;" ")-1),",","."),"."),LEFT(SUBSTITUTE(LEFT(TRIM(C463),FIND(" ",TRIM(C463)&amp;" ")-1),",","."),FIND("/",SUBSTITUTE(LEFT(TRIM(C463),FIND(" ",TRIM(C463)&amp;" ")-1),",","."))-1)/MID(SUBSTITUTE(LEFT(TRIM(C463),FIND(" ",TRIM(C463)&amp;" ")-1),",","."),FIND("/",SUBSTITUTE(LEFT(TRIM(C463),FIND(" ",TRIM(C463)&amp;" ")-1),",","."))+1,9))*12/52,IF(ISNUMBER(SEARCH("month",C463)),IFERROR(_xlfn.NUMBERVALUE(SUBSTITUTE(LEFT(TRIM(C463),FIND(" ",TRIM(C463)&amp;" ")-1),",","."),"."),LEFT(SUBSTITUTE(LEFT(TRIM(C463),FIND(" ",TRIM(C463)&amp;" ")-1),",","."),FIND("/",SUBSTITUTE(LEFT(TRIM(C463),FIND(" ",TRIM(C463)&amp;" ")-1),",","."))-1)/MID(SUBSTITUTE(LEFT(TRIM(C463),FIND(" ",TRIM(C463)&amp;" ")-1),",","."),FIND("/",SUBSTITUTE(LEFT(TRIM(C463),FIND(" ",TRIM(C463)&amp;" ")-1),",","."))+1,9)),IF(ISNUMBER(SEARCH("yea",C463)),IFERROR(_xlfn.NUMBERVALUE(SUBSTITUTE(LEFT(TRIM(C463),FIND(" ",TRIM(C463)&amp;" ")-1),",","."),"."),LEFT(SUBSTITUTE(LEFT(TRIM(C463),FIND(" ",TRIM(C463)&amp;" ")-1),",","."),FIND("/",SUBSTITUTE(LEFT(TRIM(C463),FIND(" ",TRIM(C463)&amp;" ")-1),",","."))-1)/MID(SUBSTITUTE(LEFT(TRIM(C463),FIND(" ",TRIM(C463)&amp;" ")-1),",","."),FIND("/",SUBSTITUTE(LEFT(TRIM(C463),FIND(" ",TRIM(C463)&amp;" ")-1),",","."))+1,9))*12,NA()))),0),30)*'Aturan &amp; Tarif'!$B$4,2)</f>
        <v>1703.4</v>
      </c>
      <c r="K463" s="42" t="n">
        <f aca="false">'Aturan &amp; Tarif'!$B$5</f>
        <v>2050</v>
      </c>
      <c r="L463" s="35" t="n">
        <f aca="false">I463+J463+K463</f>
        <v>6993.4</v>
      </c>
      <c r="M463" s="45" t="s">
        <v>134</v>
      </c>
    </row>
    <row r="464" customFormat="false" ht="60" hidden="false" customHeight="true" outlineLevel="0" collapsed="false">
      <c r="A464" s="39"/>
      <c r="B464" s="40" t="s">
        <v>2051</v>
      </c>
      <c r="C464" s="41" t="s">
        <v>486</v>
      </c>
      <c r="D464" s="41" t="s">
        <v>108</v>
      </c>
      <c r="E464" s="42" t="n">
        <v>2550</v>
      </c>
      <c r="F464" s="42" t="n">
        <v>440</v>
      </c>
      <c r="G464" s="42" t="n">
        <v>250</v>
      </c>
      <c r="H464" s="43" t="n">
        <v>1</v>
      </c>
      <c r="I464" s="34" t="n">
        <f aca="false">E464*H464+N(F464)+N(G464)</f>
        <v>3240</v>
      </c>
      <c r="J464" s="42" t="n">
        <f aca="false">ROUND(IFERROR(ROUND(IF(OR(ISNUMBER(SEARCH("week",C464)),ISNUMBER(SEARCH("minggu",C464))),IFERROR(_xlfn.NUMBERVALUE(SUBSTITUTE(LEFT(TRIM(C464),FIND(" ",TRIM(C464)&amp;" ")-1),",","."),"."),LEFT(SUBSTITUTE(LEFT(TRIM(C464),FIND(" ",TRIM(C464)&amp;" ")-1),",","."),FIND("/",SUBSTITUTE(LEFT(TRIM(C464),FIND(" ",TRIM(C464)&amp;" ")-1),",","."))-1)/MID(SUBSTITUTE(LEFT(TRIM(C464),FIND(" ",TRIM(C464)&amp;" ")-1),",","."),FIND("/",SUBSTITUTE(LEFT(TRIM(C464),FIND(" ",TRIM(C464)&amp;" ")-1),",","."))+1,9))*12/52,IF(ISNUMBER(SEARCH("month",C464)),IFERROR(_xlfn.NUMBERVALUE(SUBSTITUTE(LEFT(TRIM(C464),FIND(" ",TRIM(C464)&amp;" ")-1),",","."),"."),LEFT(SUBSTITUTE(LEFT(TRIM(C464),FIND(" ",TRIM(C464)&amp;" ")-1),",","."),FIND("/",SUBSTITUTE(LEFT(TRIM(C464),FIND(" ",TRIM(C464)&amp;" ")-1),",","."))-1)/MID(SUBSTITUTE(LEFT(TRIM(C464),FIND(" ",TRIM(C464)&amp;" ")-1),",","."),FIND("/",SUBSTITUTE(LEFT(TRIM(C464),FIND(" ",TRIM(C464)&amp;" ")-1),",","."))+1,9)),IF(ISNUMBER(SEARCH("yea",C464)),IFERROR(_xlfn.NUMBERVALUE(SUBSTITUTE(LEFT(TRIM(C464),FIND(" ",TRIM(C464)&amp;" ")-1),",","."),"."),LEFT(SUBSTITUTE(LEFT(TRIM(C464),FIND(" ",TRIM(C464)&amp;" ")-1),",","."),FIND("/",SUBSTITUTE(LEFT(TRIM(C464),FIND(" ",TRIM(C464)&amp;" ")-1),",","."))-1)/MID(SUBSTITUTE(LEFT(TRIM(C464),FIND(" ",TRIM(C464)&amp;" ")-1),",","."),FIND("/",SUBSTITUTE(LEFT(TRIM(C464),FIND(" ",TRIM(C464)&amp;" ")-1),",","."))+1,9))*12,NA()))),0),12)*'Aturan &amp; Tarif'!$B$4,2)</f>
        <v>681.36</v>
      </c>
      <c r="K464" s="42" t="n">
        <f aca="false">'Aturan &amp; Tarif'!$B$5</f>
        <v>2050</v>
      </c>
      <c r="L464" s="35" t="n">
        <f aca="false">I464+J464+K464</f>
        <v>5971.36</v>
      </c>
      <c r="M464" s="44" t="s">
        <v>2052</v>
      </c>
    </row>
    <row r="465" customFormat="false" ht="60" hidden="false" customHeight="true" outlineLevel="0" collapsed="false">
      <c r="A465" s="39"/>
      <c r="B465" s="40" t="s">
        <v>2053</v>
      </c>
      <c r="C465" s="41" t="s">
        <v>113</v>
      </c>
      <c r="D465" s="41" t="s">
        <v>108</v>
      </c>
      <c r="E465" s="42" t="n">
        <v>2550</v>
      </c>
      <c r="F465" s="42" t="n">
        <v>440</v>
      </c>
      <c r="G465" s="42" t="n">
        <v>250</v>
      </c>
      <c r="H465" s="43" t="n">
        <v>1</v>
      </c>
      <c r="I465" s="34" t="n">
        <f aca="false">E465*H465+N(F465)+N(G465)</f>
        <v>3240</v>
      </c>
      <c r="J465" s="42" t="n">
        <f aca="false">ROUND(IFERROR(ROUND(IF(OR(ISNUMBER(SEARCH("week",C465)),ISNUMBER(SEARCH("minggu",C465))),IFERROR(_xlfn.NUMBERVALUE(SUBSTITUTE(LEFT(TRIM(C465),FIND(" ",TRIM(C465)&amp;" ")-1),",","."),"."),LEFT(SUBSTITUTE(LEFT(TRIM(C465),FIND(" ",TRIM(C465)&amp;" ")-1),",","."),FIND("/",SUBSTITUTE(LEFT(TRIM(C465),FIND(" ",TRIM(C465)&amp;" ")-1),",","."))-1)/MID(SUBSTITUTE(LEFT(TRIM(C465),FIND(" ",TRIM(C465)&amp;" ")-1),",","."),FIND("/",SUBSTITUTE(LEFT(TRIM(C465),FIND(" ",TRIM(C465)&amp;" ")-1),",","."))+1,9))*12/52,IF(ISNUMBER(SEARCH("month",C465)),IFERROR(_xlfn.NUMBERVALUE(SUBSTITUTE(LEFT(TRIM(C465),FIND(" ",TRIM(C465)&amp;" ")-1),",","."),"."),LEFT(SUBSTITUTE(LEFT(TRIM(C465),FIND(" ",TRIM(C465)&amp;" ")-1),",","."),FIND("/",SUBSTITUTE(LEFT(TRIM(C465),FIND(" ",TRIM(C465)&amp;" ")-1),",","."))-1)/MID(SUBSTITUTE(LEFT(TRIM(C465),FIND(" ",TRIM(C465)&amp;" ")-1),",","."),FIND("/",SUBSTITUTE(LEFT(TRIM(C465),FIND(" ",TRIM(C465)&amp;" ")-1),",","."))+1,9)),IF(ISNUMBER(SEARCH("yea",C465)),IFERROR(_xlfn.NUMBERVALUE(SUBSTITUTE(LEFT(TRIM(C465),FIND(" ",TRIM(C465)&amp;" ")-1),",","."),"."),LEFT(SUBSTITUTE(LEFT(TRIM(C465),FIND(" ",TRIM(C465)&amp;" ")-1),",","."),FIND("/",SUBSTITUTE(LEFT(TRIM(C465),FIND(" ",TRIM(C465)&amp;" ")-1),",","."))-1)/MID(SUBSTITUTE(LEFT(TRIM(C465),FIND(" ",TRIM(C465)&amp;" ")-1),",","."),FIND("/",SUBSTITUTE(LEFT(TRIM(C465),FIND(" ",TRIM(C465)&amp;" ")-1),",","."))+1,9))*12,NA()))),0),18)*'Aturan &amp; Tarif'!$B$4,2)</f>
        <v>1022.04</v>
      </c>
      <c r="K465" s="42" t="n">
        <f aca="false">'Aturan &amp; Tarif'!$B$5</f>
        <v>2050</v>
      </c>
      <c r="L465" s="35" t="n">
        <f aca="false">I465+J465+K465</f>
        <v>6312.04</v>
      </c>
      <c r="M465" s="44" t="s">
        <v>2052</v>
      </c>
    </row>
    <row r="466" customFormat="false" ht="60" hidden="false" customHeight="true" outlineLevel="0" collapsed="false">
      <c r="A466" s="39"/>
      <c r="B466" s="40" t="s">
        <v>2054</v>
      </c>
      <c r="C466" s="41" t="s">
        <v>107</v>
      </c>
      <c r="D466" s="41" t="s">
        <v>108</v>
      </c>
      <c r="E466" s="42" t="n">
        <v>2550</v>
      </c>
      <c r="F466" s="42" t="n">
        <v>440</v>
      </c>
      <c r="G466" s="42" t="n">
        <v>250</v>
      </c>
      <c r="H466" s="43" t="n">
        <v>1</v>
      </c>
      <c r="I466" s="34" t="n">
        <f aca="false">E466*H466+N(F466)+N(G466)</f>
        <v>3240</v>
      </c>
      <c r="J466" s="42" t="n">
        <f aca="false">ROUND(IFERROR(ROUND(IF(OR(ISNUMBER(SEARCH("week",C466)),ISNUMBER(SEARCH("minggu",C466))),IFERROR(_xlfn.NUMBERVALUE(SUBSTITUTE(LEFT(TRIM(C466),FIND(" ",TRIM(C466)&amp;" ")-1),",","."),"."),LEFT(SUBSTITUTE(LEFT(TRIM(C466),FIND(" ",TRIM(C466)&amp;" ")-1),",","."),FIND("/",SUBSTITUTE(LEFT(TRIM(C466),FIND(" ",TRIM(C466)&amp;" ")-1),",","."))-1)/MID(SUBSTITUTE(LEFT(TRIM(C466),FIND(" ",TRIM(C466)&amp;" ")-1),",","."),FIND("/",SUBSTITUTE(LEFT(TRIM(C466),FIND(" ",TRIM(C466)&amp;" ")-1),",","."))+1,9))*12/52,IF(ISNUMBER(SEARCH("month",C466)),IFERROR(_xlfn.NUMBERVALUE(SUBSTITUTE(LEFT(TRIM(C466),FIND(" ",TRIM(C466)&amp;" ")-1),",","."),"."),LEFT(SUBSTITUTE(LEFT(TRIM(C466),FIND(" ",TRIM(C466)&amp;" ")-1),",","."),FIND("/",SUBSTITUTE(LEFT(TRIM(C466),FIND(" ",TRIM(C466)&amp;" ")-1),",","."))-1)/MID(SUBSTITUTE(LEFT(TRIM(C466),FIND(" ",TRIM(C466)&amp;" ")-1),",","."),FIND("/",SUBSTITUTE(LEFT(TRIM(C466),FIND(" ",TRIM(C466)&amp;" ")-1),",","."))+1,9)),IF(ISNUMBER(SEARCH("yea",C466)),IFERROR(_xlfn.NUMBERVALUE(SUBSTITUTE(LEFT(TRIM(C466),FIND(" ",TRIM(C466)&amp;" ")-1),",","."),"."),LEFT(SUBSTITUTE(LEFT(TRIM(C466),FIND(" ",TRIM(C466)&amp;" ")-1),",","."),FIND("/",SUBSTITUTE(LEFT(TRIM(C466),FIND(" ",TRIM(C466)&amp;" ")-1),",","."))-1)/MID(SUBSTITUTE(LEFT(TRIM(C466),FIND(" ",TRIM(C466)&amp;" ")-1),",","."),FIND("/",SUBSTITUTE(LEFT(TRIM(C466),FIND(" ",TRIM(C466)&amp;" ")-1),",","."))+1,9))*12,NA()))),0),24)*'Aturan &amp; Tarif'!$B$4,2)</f>
        <v>1362.72</v>
      </c>
      <c r="K466" s="42" t="n">
        <f aca="false">'Aturan &amp; Tarif'!$B$5</f>
        <v>2050</v>
      </c>
      <c r="L466" s="35" t="n">
        <f aca="false">I466+J466+K466</f>
        <v>6652.72</v>
      </c>
      <c r="M466" s="44" t="s">
        <v>2052</v>
      </c>
    </row>
    <row r="467" customFormat="false" ht="60" hidden="false" customHeight="true" outlineLevel="0" collapsed="false">
      <c r="A467" s="39"/>
      <c r="B467" s="40" t="s">
        <v>2055</v>
      </c>
      <c r="C467" s="41" t="s">
        <v>486</v>
      </c>
      <c r="D467" s="41" t="s">
        <v>108</v>
      </c>
      <c r="E467" s="42" t="n">
        <v>2550</v>
      </c>
      <c r="F467" s="42" t="n">
        <v>440</v>
      </c>
      <c r="G467" s="42" t="n">
        <v>250</v>
      </c>
      <c r="H467" s="43" t="n">
        <v>1</v>
      </c>
      <c r="I467" s="34" t="n">
        <f aca="false">E467*H467+N(F467)+N(G467)</f>
        <v>3240</v>
      </c>
      <c r="J467" s="42" t="n">
        <f aca="false">ROUND(IFERROR(ROUND(IF(OR(ISNUMBER(SEARCH("week",C467)),ISNUMBER(SEARCH("minggu",C467))),IFERROR(_xlfn.NUMBERVALUE(SUBSTITUTE(LEFT(TRIM(C467),FIND(" ",TRIM(C467)&amp;" ")-1),",","."),"."),LEFT(SUBSTITUTE(LEFT(TRIM(C467),FIND(" ",TRIM(C467)&amp;" ")-1),",","."),FIND("/",SUBSTITUTE(LEFT(TRIM(C467),FIND(" ",TRIM(C467)&amp;" ")-1),",","."))-1)/MID(SUBSTITUTE(LEFT(TRIM(C467),FIND(" ",TRIM(C467)&amp;" ")-1),",","."),FIND("/",SUBSTITUTE(LEFT(TRIM(C467),FIND(" ",TRIM(C467)&amp;" ")-1),",","."))+1,9))*12/52,IF(ISNUMBER(SEARCH("month",C467)),IFERROR(_xlfn.NUMBERVALUE(SUBSTITUTE(LEFT(TRIM(C467),FIND(" ",TRIM(C467)&amp;" ")-1),",","."),"."),LEFT(SUBSTITUTE(LEFT(TRIM(C467),FIND(" ",TRIM(C467)&amp;" ")-1),",","."),FIND("/",SUBSTITUTE(LEFT(TRIM(C467),FIND(" ",TRIM(C467)&amp;" ")-1),",","."))-1)/MID(SUBSTITUTE(LEFT(TRIM(C467),FIND(" ",TRIM(C467)&amp;" ")-1),",","."),FIND("/",SUBSTITUTE(LEFT(TRIM(C467),FIND(" ",TRIM(C467)&amp;" ")-1),",","."))+1,9)),IF(ISNUMBER(SEARCH("yea",C467)),IFERROR(_xlfn.NUMBERVALUE(SUBSTITUTE(LEFT(TRIM(C467),FIND(" ",TRIM(C467)&amp;" ")-1),",","."),"."),LEFT(SUBSTITUTE(LEFT(TRIM(C467),FIND(" ",TRIM(C467)&amp;" ")-1),",","."),FIND("/",SUBSTITUTE(LEFT(TRIM(C467),FIND(" ",TRIM(C467)&amp;" ")-1),",","."))-1)/MID(SUBSTITUTE(LEFT(TRIM(C467),FIND(" ",TRIM(C467)&amp;" ")-1),",","."),FIND("/",SUBSTITUTE(LEFT(TRIM(C467),FIND(" ",TRIM(C467)&amp;" ")-1),",","."))+1,9))*12,NA()))),0),12)*'Aturan &amp; Tarif'!$B$4,2)</f>
        <v>681.36</v>
      </c>
      <c r="K467" s="42" t="n">
        <f aca="false">'Aturan &amp; Tarif'!$B$5</f>
        <v>2050</v>
      </c>
      <c r="L467" s="35" t="n">
        <f aca="false">I467+J467+K467</f>
        <v>5971.36</v>
      </c>
      <c r="M467" s="44" t="s">
        <v>2052</v>
      </c>
    </row>
    <row r="468" customFormat="false" ht="60" hidden="false" customHeight="true" outlineLevel="0" collapsed="false">
      <c r="A468" s="39"/>
      <c r="B468" s="40" t="s">
        <v>2056</v>
      </c>
      <c r="C468" s="41" t="s">
        <v>113</v>
      </c>
      <c r="D468" s="41" t="s">
        <v>108</v>
      </c>
      <c r="E468" s="42" t="n">
        <v>2550</v>
      </c>
      <c r="F468" s="42" t="n">
        <v>440</v>
      </c>
      <c r="G468" s="42" t="n">
        <v>250</v>
      </c>
      <c r="H468" s="43" t="n">
        <v>1</v>
      </c>
      <c r="I468" s="34" t="n">
        <f aca="false">E468*H468+N(F468)+N(G468)</f>
        <v>3240</v>
      </c>
      <c r="J468" s="42" t="n">
        <f aca="false">ROUND(IFERROR(ROUND(IF(OR(ISNUMBER(SEARCH("week",C468)),ISNUMBER(SEARCH("minggu",C468))),IFERROR(_xlfn.NUMBERVALUE(SUBSTITUTE(LEFT(TRIM(C468),FIND(" ",TRIM(C468)&amp;" ")-1),",","."),"."),LEFT(SUBSTITUTE(LEFT(TRIM(C468),FIND(" ",TRIM(C468)&amp;" ")-1),",","."),FIND("/",SUBSTITUTE(LEFT(TRIM(C468),FIND(" ",TRIM(C468)&amp;" ")-1),",","."))-1)/MID(SUBSTITUTE(LEFT(TRIM(C468),FIND(" ",TRIM(C468)&amp;" ")-1),",","."),FIND("/",SUBSTITUTE(LEFT(TRIM(C468),FIND(" ",TRIM(C468)&amp;" ")-1),",","."))+1,9))*12/52,IF(ISNUMBER(SEARCH("month",C468)),IFERROR(_xlfn.NUMBERVALUE(SUBSTITUTE(LEFT(TRIM(C468),FIND(" ",TRIM(C468)&amp;" ")-1),",","."),"."),LEFT(SUBSTITUTE(LEFT(TRIM(C468),FIND(" ",TRIM(C468)&amp;" ")-1),",","."),FIND("/",SUBSTITUTE(LEFT(TRIM(C468),FIND(" ",TRIM(C468)&amp;" ")-1),",","."))-1)/MID(SUBSTITUTE(LEFT(TRIM(C468),FIND(" ",TRIM(C468)&amp;" ")-1),",","."),FIND("/",SUBSTITUTE(LEFT(TRIM(C468),FIND(" ",TRIM(C468)&amp;" ")-1),",","."))+1,9)),IF(ISNUMBER(SEARCH("yea",C468)),IFERROR(_xlfn.NUMBERVALUE(SUBSTITUTE(LEFT(TRIM(C468),FIND(" ",TRIM(C468)&amp;" ")-1),",","."),"."),LEFT(SUBSTITUTE(LEFT(TRIM(C468),FIND(" ",TRIM(C468)&amp;" ")-1),",","."),FIND("/",SUBSTITUTE(LEFT(TRIM(C468),FIND(" ",TRIM(C468)&amp;" ")-1),",","."))-1)/MID(SUBSTITUTE(LEFT(TRIM(C468),FIND(" ",TRIM(C468)&amp;" ")-1),",","."),FIND("/",SUBSTITUTE(LEFT(TRIM(C468),FIND(" ",TRIM(C468)&amp;" ")-1),",","."))+1,9))*12,NA()))),0),18)*'Aturan &amp; Tarif'!$B$4,2)</f>
        <v>1022.04</v>
      </c>
      <c r="K468" s="42" t="n">
        <f aca="false">'Aturan &amp; Tarif'!$B$5</f>
        <v>2050</v>
      </c>
      <c r="L468" s="35" t="n">
        <f aca="false">I468+J468+K468</f>
        <v>6312.04</v>
      </c>
      <c r="M468" s="44" t="s">
        <v>2052</v>
      </c>
    </row>
    <row r="469" customFormat="false" ht="60" hidden="false" customHeight="true" outlineLevel="0" collapsed="false">
      <c r="A469" s="39"/>
      <c r="B469" s="40" t="s">
        <v>2057</v>
      </c>
      <c r="C469" s="41" t="s">
        <v>107</v>
      </c>
      <c r="D469" s="41" t="s">
        <v>108</v>
      </c>
      <c r="E469" s="42" t="n">
        <v>2550</v>
      </c>
      <c r="F469" s="42" t="n">
        <v>440</v>
      </c>
      <c r="G469" s="42" t="n">
        <v>250</v>
      </c>
      <c r="H469" s="43" t="n">
        <v>1</v>
      </c>
      <c r="I469" s="34" t="n">
        <f aca="false">E469*H469+N(F469)+N(G469)</f>
        <v>3240</v>
      </c>
      <c r="J469" s="42" t="n">
        <f aca="false">ROUND(IFERROR(ROUND(IF(OR(ISNUMBER(SEARCH("week",C469)),ISNUMBER(SEARCH("minggu",C469))),IFERROR(_xlfn.NUMBERVALUE(SUBSTITUTE(LEFT(TRIM(C469),FIND(" ",TRIM(C469)&amp;" ")-1),",","."),"."),LEFT(SUBSTITUTE(LEFT(TRIM(C469),FIND(" ",TRIM(C469)&amp;" ")-1),",","."),FIND("/",SUBSTITUTE(LEFT(TRIM(C469),FIND(" ",TRIM(C469)&amp;" ")-1),",","."))-1)/MID(SUBSTITUTE(LEFT(TRIM(C469),FIND(" ",TRIM(C469)&amp;" ")-1),",","."),FIND("/",SUBSTITUTE(LEFT(TRIM(C469),FIND(" ",TRIM(C469)&amp;" ")-1),",","."))+1,9))*12/52,IF(ISNUMBER(SEARCH("month",C469)),IFERROR(_xlfn.NUMBERVALUE(SUBSTITUTE(LEFT(TRIM(C469),FIND(" ",TRIM(C469)&amp;" ")-1),",","."),"."),LEFT(SUBSTITUTE(LEFT(TRIM(C469),FIND(" ",TRIM(C469)&amp;" ")-1),",","."),FIND("/",SUBSTITUTE(LEFT(TRIM(C469),FIND(" ",TRIM(C469)&amp;" ")-1),",","."))-1)/MID(SUBSTITUTE(LEFT(TRIM(C469),FIND(" ",TRIM(C469)&amp;" ")-1),",","."),FIND("/",SUBSTITUTE(LEFT(TRIM(C469),FIND(" ",TRIM(C469)&amp;" ")-1),",","."))+1,9)),IF(ISNUMBER(SEARCH("yea",C469)),IFERROR(_xlfn.NUMBERVALUE(SUBSTITUTE(LEFT(TRIM(C469),FIND(" ",TRIM(C469)&amp;" ")-1),",","."),"."),LEFT(SUBSTITUTE(LEFT(TRIM(C469),FIND(" ",TRIM(C469)&amp;" ")-1),",","."),FIND("/",SUBSTITUTE(LEFT(TRIM(C469),FIND(" ",TRIM(C469)&amp;" ")-1),",","."))-1)/MID(SUBSTITUTE(LEFT(TRIM(C469),FIND(" ",TRIM(C469)&amp;" ")-1),",","."),FIND("/",SUBSTITUTE(LEFT(TRIM(C469),FIND(" ",TRIM(C469)&amp;" ")-1),",","."))+1,9))*12,NA()))),0),24)*'Aturan &amp; Tarif'!$B$4,2)</f>
        <v>1362.72</v>
      </c>
      <c r="K469" s="42" t="n">
        <f aca="false">'Aturan &amp; Tarif'!$B$5</f>
        <v>2050</v>
      </c>
      <c r="L469" s="35" t="n">
        <f aca="false">I469+J469+K469</f>
        <v>6652.72</v>
      </c>
      <c r="M469" s="44" t="s">
        <v>2052</v>
      </c>
    </row>
    <row r="470" customFormat="false" ht="37.5" hidden="false" customHeight="true" outlineLevel="0" collapsed="false">
      <c r="A470" s="29" t="s">
        <v>3123</v>
      </c>
      <c r="B470" s="30" t="s">
        <v>1817</v>
      </c>
      <c r="C470" s="31" t="s">
        <v>107</v>
      </c>
      <c r="D470" s="31" t="s">
        <v>108</v>
      </c>
      <c r="E470" s="32" t="n">
        <v>1500</v>
      </c>
      <c r="F470" s="32" t="n">
        <v>50</v>
      </c>
      <c r="G470" s="32" t="n">
        <v>250</v>
      </c>
      <c r="H470" s="33" t="n">
        <v>1</v>
      </c>
      <c r="I470" s="34" t="n">
        <f aca="false">E470*H470+N(F470)+N(G470)</f>
        <v>1800</v>
      </c>
      <c r="J470" s="32" t="n">
        <f aca="false">ROUND(IFERROR(ROUND(IF(OR(ISNUMBER(SEARCH("week",C470)),ISNUMBER(SEARCH("minggu",C470))),IFERROR(_xlfn.NUMBERVALUE(SUBSTITUTE(LEFT(TRIM(C470),FIND(" ",TRIM(C470)&amp;" ")-1),",","."),"."),LEFT(SUBSTITUTE(LEFT(TRIM(C470),FIND(" ",TRIM(C470)&amp;" ")-1),",","."),FIND("/",SUBSTITUTE(LEFT(TRIM(C470),FIND(" ",TRIM(C470)&amp;" ")-1),",","."))-1)/MID(SUBSTITUTE(LEFT(TRIM(C470),FIND(" ",TRIM(C470)&amp;" ")-1),",","."),FIND("/",SUBSTITUTE(LEFT(TRIM(C470),FIND(" ",TRIM(C470)&amp;" ")-1),",","."))+1,9))*12/52,IF(ISNUMBER(SEARCH("month",C470)),IFERROR(_xlfn.NUMBERVALUE(SUBSTITUTE(LEFT(TRIM(C470),FIND(" ",TRIM(C470)&amp;" ")-1),",","."),"."),LEFT(SUBSTITUTE(LEFT(TRIM(C470),FIND(" ",TRIM(C470)&amp;" ")-1),",","."),FIND("/",SUBSTITUTE(LEFT(TRIM(C470),FIND(" ",TRIM(C470)&amp;" ")-1),",","."))-1)/MID(SUBSTITUTE(LEFT(TRIM(C470),FIND(" ",TRIM(C470)&amp;" ")-1),",","."),FIND("/",SUBSTITUTE(LEFT(TRIM(C470),FIND(" ",TRIM(C470)&amp;" ")-1),",","."))+1,9)),IF(ISNUMBER(SEARCH("yea",C470)),IFERROR(_xlfn.NUMBERVALUE(SUBSTITUTE(LEFT(TRIM(C470),FIND(" ",TRIM(C470)&amp;" ")-1),",","."),"."),LEFT(SUBSTITUTE(LEFT(TRIM(C470),FIND(" ",TRIM(C470)&amp;" ")-1),",","."),FIND("/",SUBSTITUTE(LEFT(TRIM(C470),FIND(" ",TRIM(C470)&amp;" ")-1),",","."))-1)/MID(SUBSTITUTE(LEFT(TRIM(C470),FIND(" ",TRIM(C470)&amp;" ")-1),",","."),FIND("/",SUBSTITUTE(LEFT(TRIM(C470),FIND(" ",TRIM(C470)&amp;" ")-1),",","."))+1,9))*12,NA()))),0),24)*'Aturan &amp; Tarif'!$B$4,2)</f>
        <v>1362.72</v>
      </c>
      <c r="K470" s="32" t="n">
        <f aca="false">'Aturan &amp; Tarif'!$B$5</f>
        <v>2050</v>
      </c>
      <c r="L470" s="35" t="n">
        <f aca="false">I470+J470+K470</f>
        <v>5212.72</v>
      </c>
      <c r="M470" s="37" t="s">
        <v>3124</v>
      </c>
    </row>
    <row r="471" customFormat="false" ht="25.5" hidden="false" customHeight="true" outlineLevel="0" collapsed="false">
      <c r="A471" s="29"/>
      <c r="B471" s="30" t="s">
        <v>3125</v>
      </c>
      <c r="C471" s="31" t="s">
        <v>107</v>
      </c>
      <c r="D471" s="31" t="s">
        <v>108</v>
      </c>
      <c r="E471" s="32" t="n">
        <v>1500</v>
      </c>
      <c r="F471" s="32" t="n">
        <v>50</v>
      </c>
      <c r="G471" s="32" t="n">
        <v>250</v>
      </c>
      <c r="H471" s="33" t="n">
        <v>1</v>
      </c>
      <c r="I471" s="34" t="n">
        <f aca="false">E471*H471+N(F471)+N(G471)</f>
        <v>1800</v>
      </c>
      <c r="J471" s="32" t="n">
        <f aca="false">ROUND(IFERROR(ROUND(IF(OR(ISNUMBER(SEARCH("week",C471)),ISNUMBER(SEARCH("minggu",C471))),IFERROR(_xlfn.NUMBERVALUE(SUBSTITUTE(LEFT(TRIM(C471),FIND(" ",TRIM(C471)&amp;" ")-1),",","."),"."),LEFT(SUBSTITUTE(LEFT(TRIM(C471),FIND(" ",TRIM(C471)&amp;" ")-1),",","."),FIND("/",SUBSTITUTE(LEFT(TRIM(C471),FIND(" ",TRIM(C471)&amp;" ")-1),",","."))-1)/MID(SUBSTITUTE(LEFT(TRIM(C471),FIND(" ",TRIM(C471)&amp;" ")-1),",","."),FIND("/",SUBSTITUTE(LEFT(TRIM(C471),FIND(" ",TRIM(C471)&amp;" ")-1),",","."))+1,9))*12/52,IF(ISNUMBER(SEARCH("month",C471)),IFERROR(_xlfn.NUMBERVALUE(SUBSTITUTE(LEFT(TRIM(C471),FIND(" ",TRIM(C471)&amp;" ")-1),",","."),"."),LEFT(SUBSTITUTE(LEFT(TRIM(C471),FIND(" ",TRIM(C471)&amp;" ")-1),",","."),FIND("/",SUBSTITUTE(LEFT(TRIM(C471),FIND(" ",TRIM(C471)&amp;" ")-1),",","."))-1)/MID(SUBSTITUTE(LEFT(TRIM(C471),FIND(" ",TRIM(C471)&amp;" ")-1),",","."),FIND("/",SUBSTITUTE(LEFT(TRIM(C471),FIND(" ",TRIM(C471)&amp;" ")-1),",","."))+1,9)),IF(ISNUMBER(SEARCH("yea",C471)),IFERROR(_xlfn.NUMBERVALUE(SUBSTITUTE(LEFT(TRIM(C471),FIND(" ",TRIM(C471)&amp;" ")-1),",","."),"."),LEFT(SUBSTITUTE(LEFT(TRIM(C471),FIND(" ",TRIM(C471)&amp;" ")-1),",","."),FIND("/",SUBSTITUTE(LEFT(TRIM(C471),FIND(" ",TRIM(C471)&amp;" ")-1),",","."))-1)/MID(SUBSTITUTE(LEFT(TRIM(C471),FIND(" ",TRIM(C471)&amp;" ")-1),",","."),FIND("/",SUBSTITUTE(LEFT(TRIM(C471),FIND(" ",TRIM(C471)&amp;" ")-1),",","."))+1,9))*12,NA()))),0),24)*'Aturan &amp; Tarif'!$B$4,2)</f>
        <v>1362.72</v>
      </c>
      <c r="K471" s="32" t="n">
        <f aca="false">'Aturan &amp; Tarif'!$B$5</f>
        <v>2050</v>
      </c>
      <c r="L471" s="35" t="n">
        <f aca="false">I471+J471+K471</f>
        <v>5212.72</v>
      </c>
      <c r="M471" s="37" t="s">
        <v>3124</v>
      </c>
    </row>
    <row r="472" customFormat="false" ht="37.5" hidden="false" customHeight="true" outlineLevel="0" collapsed="false">
      <c r="A472" s="29" t="s">
        <v>2058</v>
      </c>
      <c r="B472" s="30" t="s">
        <v>2059</v>
      </c>
      <c r="C472" s="31" t="s">
        <v>107</v>
      </c>
      <c r="D472" s="31" t="s">
        <v>108</v>
      </c>
      <c r="E472" s="32" t="n">
        <v>1500</v>
      </c>
      <c r="F472" s="32" t="n">
        <v>300</v>
      </c>
      <c r="G472" s="32" t="n">
        <v>200</v>
      </c>
      <c r="H472" s="33" t="n">
        <v>1</v>
      </c>
      <c r="I472" s="34" t="n">
        <f aca="false">E472*H472+N(F472)+N(G472)</f>
        <v>2000</v>
      </c>
      <c r="J472" s="32" t="n">
        <f aca="false">ROUND(IFERROR(ROUND(IF(OR(ISNUMBER(SEARCH("week",C472)),ISNUMBER(SEARCH("minggu",C472))),IFERROR(_xlfn.NUMBERVALUE(SUBSTITUTE(LEFT(TRIM(C472),FIND(" ",TRIM(C472)&amp;" ")-1),",","."),"."),LEFT(SUBSTITUTE(LEFT(TRIM(C472),FIND(" ",TRIM(C472)&amp;" ")-1),",","."),FIND("/",SUBSTITUTE(LEFT(TRIM(C472),FIND(" ",TRIM(C472)&amp;" ")-1),",","."))-1)/MID(SUBSTITUTE(LEFT(TRIM(C472),FIND(" ",TRIM(C472)&amp;" ")-1),",","."),FIND("/",SUBSTITUTE(LEFT(TRIM(C472),FIND(" ",TRIM(C472)&amp;" ")-1),",","."))+1,9))*12/52,IF(ISNUMBER(SEARCH("month",C472)),IFERROR(_xlfn.NUMBERVALUE(SUBSTITUTE(LEFT(TRIM(C472),FIND(" ",TRIM(C472)&amp;" ")-1),",","."),"."),LEFT(SUBSTITUTE(LEFT(TRIM(C472),FIND(" ",TRIM(C472)&amp;" ")-1),",","."),FIND("/",SUBSTITUTE(LEFT(TRIM(C472),FIND(" ",TRIM(C472)&amp;" ")-1),",","."))-1)/MID(SUBSTITUTE(LEFT(TRIM(C472),FIND(" ",TRIM(C472)&amp;" ")-1),",","."),FIND("/",SUBSTITUTE(LEFT(TRIM(C472),FIND(" ",TRIM(C472)&amp;" ")-1),",","."))+1,9)),IF(ISNUMBER(SEARCH("yea",C472)),IFERROR(_xlfn.NUMBERVALUE(SUBSTITUTE(LEFT(TRIM(C472),FIND(" ",TRIM(C472)&amp;" ")-1),",","."),"."),LEFT(SUBSTITUTE(LEFT(TRIM(C472),FIND(" ",TRIM(C472)&amp;" ")-1),",","."),FIND("/",SUBSTITUTE(LEFT(TRIM(C472),FIND(" ",TRIM(C472)&amp;" ")-1),",","."))-1)/MID(SUBSTITUTE(LEFT(TRIM(C472),FIND(" ",TRIM(C472)&amp;" ")-1),",","."),FIND("/",SUBSTITUTE(LEFT(TRIM(C472),FIND(" ",TRIM(C472)&amp;" ")-1),",","."))+1,9))*12,NA()))),0),24)*'Aturan &amp; Tarif'!$B$4,2)</f>
        <v>1362.72</v>
      </c>
      <c r="K472" s="32" t="n">
        <f aca="false">'Aturan &amp; Tarif'!$B$5</f>
        <v>2050</v>
      </c>
      <c r="L472" s="35" t="n">
        <f aca="false">I472+J472+K472</f>
        <v>5412.72</v>
      </c>
      <c r="M472" s="37" t="s">
        <v>134</v>
      </c>
    </row>
    <row r="473" customFormat="false" ht="25.5" hidden="false" customHeight="true" outlineLevel="0" collapsed="false">
      <c r="A473" s="29"/>
      <c r="B473" s="30" t="s">
        <v>2060</v>
      </c>
      <c r="C473" s="31" t="s">
        <v>191</v>
      </c>
      <c r="D473" s="31" t="s">
        <v>108</v>
      </c>
      <c r="E473" s="32" t="n">
        <v>1500</v>
      </c>
      <c r="F473" s="32" t="n">
        <v>300</v>
      </c>
      <c r="G473" s="32" t="n">
        <v>200</v>
      </c>
      <c r="H473" s="33" t="n">
        <v>1</v>
      </c>
      <c r="I473" s="34" t="n">
        <f aca="false">E473*H473+N(F473)+N(G473)</f>
        <v>2000</v>
      </c>
      <c r="J473" s="32" t="n">
        <f aca="false">ROUND(IFERROR(ROUND(IF(OR(ISNUMBER(SEARCH("week",C473)),ISNUMBER(SEARCH("minggu",C473))),IFERROR(_xlfn.NUMBERVALUE(SUBSTITUTE(LEFT(TRIM(C473),FIND(" ",TRIM(C473)&amp;" ")-1),",","."),"."),LEFT(SUBSTITUTE(LEFT(TRIM(C473),FIND(" ",TRIM(C473)&amp;" ")-1),",","."),FIND("/",SUBSTITUTE(LEFT(TRIM(C473),FIND(" ",TRIM(C473)&amp;" ")-1),",","."))-1)/MID(SUBSTITUTE(LEFT(TRIM(C473),FIND(" ",TRIM(C473)&amp;" ")-1),",","."),FIND("/",SUBSTITUTE(LEFT(TRIM(C473),FIND(" ",TRIM(C473)&amp;" ")-1),",","."))+1,9))*12/52,IF(ISNUMBER(SEARCH("month",C473)),IFERROR(_xlfn.NUMBERVALUE(SUBSTITUTE(LEFT(TRIM(C473),FIND(" ",TRIM(C473)&amp;" ")-1),",","."),"."),LEFT(SUBSTITUTE(LEFT(TRIM(C473),FIND(" ",TRIM(C473)&amp;" ")-1),",","."),FIND("/",SUBSTITUTE(LEFT(TRIM(C473),FIND(" ",TRIM(C473)&amp;" ")-1),",","."))-1)/MID(SUBSTITUTE(LEFT(TRIM(C473),FIND(" ",TRIM(C473)&amp;" ")-1),",","."),FIND("/",SUBSTITUTE(LEFT(TRIM(C473),FIND(" ",TRIM(C473)&amp;" ")-1),",","."))+1,9)),IF(ISNUMBER(SEARCH("yea",C473)),IFERROR(_xlfn.NUMBERVALUE(SUBSTITUTE(LEFT(TRIM(C473),FIND(" ",TRIM(C473)&amp;" ")-1),",","."),"."),LEFT(SUBSTITUTE(LEFT(TRIM(C473),FIND(" ",TRIM(C473)&amp;" ")-1),",","."),FIND("/",SUBSTITUTE(LEFT(TRIM(C473),FIND(" ",TRIM(C473)&amp;" ")-1),",","."))-1)/MID(SUBSTITUTE(LEFT(TRIM(C473),FIND(" ",TRIM(C473)&amp;" ")-1),",","."),FIND("/",SUBSTITUTE(LEFT(TRIM(C473),FIND(" ",TRIM(C473)&amp;" ")-1),",","."))+1,9))*12,NA()))),0),48)*'Aturan &amp; Tarif'!$B$4,2)</f>
        <v>2725.44</v>
      </c>
      <c r="K473" s="32" t="n">
        <f aca="false">'Aturan &amp; Tarif'!$B$5</f>
        <v>2050</v>
      </c>
      <c r="L473" s="35" t="n">
        <f aca="false">I473+J473+K473</f>
        <v>6775.44</v>
      </c>
      <c r="M473" s="37" t="s">
        <v>134</v>
      </c>
    </row>
    <row r="474" customFormat="false" ht="25.5" hidden="false" customHeight="true" outlineLevel="0" collapsed="false">
      <c r="A474" s="29"/>
      <c r="B474" s="30" t="s">
        <v>2061</v>
      </c>
      <c r="C474" s="31" t="s">
        <v>107</v>
      </c>
      <c r="D474" s="31" t="s">
        <v>108</v>
      </c>
      <c r="E474" s="32" t="n">
        <v>1500</v>
      </c>
      <c r="F474" s="32" t="n">
        <v>500</v>
      </c>
      <c r="G474" s="32" t="n">
        <v>200</v>
      </c>
      <c r="H474" s="33" t="n">
        <v>1</v>
      </c>
      <c r="I474" s="34" t="n">
        <f aca="false">E474*H474+N(F474)+N(G474)</f>
        <v>2200</v>
      </c>
      <c r="J474" s="32" t="n">
        <f aca="false">ROUND(IFERROR(ROUND(IF(OR(ISNUMBER(SEARCH("week",C474)),ISNUMBER(SEARCH("minggu",C474))),IFERROR(_xlfn.NUMBERVALUE(SUBSTITUTE(LEFT(TRIM(C474),FIND(" ",TRIM(C474)&amp;" ")-1),",","."),"."),LEFT(SUBSTITUTE(LEFT(TRIM(C474),FIND(" ",TRIM(C474)&amp;" ")-1),",","."),FIND("/",SUBSTITUTE(LEFT(TRIM(C474),FIND(" ",TRIM(C474)&amp;" ")-1),",","."))-1)/MID(SUBSTITUTE(LEFT(TRIM(C474),FIND(" ",TRIM(C474)&amp;" ")-1),",","."),FIND("/",SUBSTITUTE(LEFT(TRIM(C474),FIND(" ",TRIM(C474)&amp;" ")-1),",","."))+1,9))*12/52,IF(ISNUMBER(SEARCH("month",C474)),IFERROR(_xlfn.NUMBERVALUE(SUBSTITUTE(LEFT(TRIM(C474),FIND(" ",TRIM(C474)&amp;" ")-1),",","."),"."),LEFT(SUBSTITUTE(LEFT(TRIM(C474),FIND(" ",TRIM(C474)&amp;" ")-1),",","."),FIND("/",SUBSTITUTE(LEFT(TRIM(C474),FIND(" ",TRIM(C474)&amp;" ")-1),",","."))-1)/MID(SUBSTITUTE(LEFT(TRIM(C474),FIND(" ",TRIM(C474)&amp;" ")-1),",","."),FIND("/",SUBSTITUTE(LEFT(TRIM(C474),FIND(" ",TRIM(C474)&amp;" ")-1),",","."))+1,9)),IF(ISNUMBER(SEARCH("yea",C474)),IFERROR(_xlfn.NUMBERVALUE(SUBSTITUTE(LEFT(TRIM(C474),FIND(" ",TRIM(C474)&amp;" ")-1),",","."),"."),LEFT(SUBSTITUTE(LEFT(TRIM(C474),FIND(" ",TRIM(C474)&amp;" ")-1),",","."),FIND("/",SUBSTITUTE(LEFT(TRIM(C474),FIND(" ",TRIM(C474)&amp;" ")-1),",","."))-1)/MID(SUBSTITUTE(LEFT(TRIM(C474),FIND(" ",TRIM(C474)&amp;" ")-1),",","."),FIND("/",SUBSTITUTE(LEFT(TRIM(C474),FIND(" ",TRIM(C474)&amp;" ")-1),",","."))+1,9))*12,NA()))),0),24)*'Aturan &amp; Tarif'!$B$4,2)</f>
        <v>1362.72</v>
      </c>
      <c r="K474" s="32" t="n">
        <f aca="false">'Aturan &amp; Tarif'!$B$5</f>
        <v>2050</v>
      </c>
      <c r="L474" s="35" t="n">
        <f aca="false">I474+J474+K474</f>
        <v>5612.72</v>
      </c>
      <c r="M474" s="37" t="s">
        <v>134</v>
      </c>
    </row>
    <row r="475" customFormat="false" ht="25.5" hidden="false" customHeight="true" outlineLevel="0" collapsed="false">
      <c r="A475" s="29"/>
      <c r="B475" s="30" t="s">
        <v>496</v>
      </c>
      <c r="C475" s="31" t="s">
        <v>107</v>
      </c>
      <c r="D475" s="31" t="s">
        <v>108</v>
      </c>
      <c r="E475" s="32" t="n">
        <v>1500</v>
      </c>
      <c r="F475" s="32" t="n">
        <v>500</v>
      </c>
      <c r="G475" s="32" t="n">
        <v>200</v>
      </c>
      <c r="H475" s="33" t="n">
        <v>1</v>
      </c>
      <c r="I475" s="34" t="n">
        <f aca="false">E475*H475+N(F475)+N(G475)</f>
        <v>2200</v>
      </c>
      <c r="J475" s="32" t="n">
        <f aca="false">ROUND(IFERROR(ROUND(IF(OR(ISNUMBER(SEARCH("week",C475)),ISNUMBER(SEARCH("minggu",C475))),IFERROR(_xlfn.NUMBERVALUE(SUBSTITUTE(LEFT(TRIM(C475),FIND(" ",TRIM(C475)&amp;" ")-1),",","."),"."),LEFT(SUBSTITUTE(LEFT(TRIM(C475),FIND(" ",TRIM(C475)&amp;" ")-1),",","."),FIND("/",SUBSTITUTE(LEFT(TRIM(C475),FIND(" ",TRIM(C475)&amp;" ")-1),",","."))-1)/MID(SUBSTITUTE(LEFT(TRIM(C475),FIND(" ",TRIM(C475)&amp;" ")-1),",","."),FIND("/",SUBSTITUTE(LEFT(TRIM(C475),FIND(" ",TRIM(C475)&amp;" ")-1),",","."))+1,9))*12/52,IF(ISNUMBER(SEARCH("month",C475)),IFERROR(_xlfn.NUMBERVALUE(SUBSTITUTE(LEFT(TRIM(C475),FIND(" ",TRIM(C475)&amp;" ")-1),",","."),"."),LEFT(SUBSTITUTE(LEFT(TRIM(C475),FIND(" ",TRIM(C475)&amp;" ")-1),",","."),FIND("/",SUBSTITUTE(LEFT(TRIM(C475),FIND(" ",TRIM(C475)&amp;" ")-1),",","."))-1)/MID(SUBSTITUTE(LEFT(TRIM(C475),FIND(" ",TRIM(C475)&amp;" ")-1),",","."),FIND("/",SUBSTITUTE(LEFT(TRIM(C475),FIND(" ",TRIM(C475)&amp;" ")-1),",","."))+1,9)),IF(ISNUMBER(SEARCH("yea",C475)),IFERROR(_xlfn.NUMBERVALUE(SUBSTITUTE(LEFT(TRIM(C475),FIND(" ",TRIM(C475)&amp;" ")-1),",","."),"."),LEFT(SUBSTITUTE(LEFT(TRIM(C475),FIND(" ",TRIM(C475)&amp;" ")-1),",","."),FIND("/",SUBSTITUTE(LEFT(TRIM(C475),FIND(" ",TRIM(C475)&amp;" ")-1),",","."))-1)/MID(SUBSTITUTE(LEFT(TRIM(C475),FIND(" ",TRIM(C475)&amp;" ")-1),",","."),FIND("/",SUBSTITUTE(LEFT(TRIM(C475),FIND(" ",TRIM(C475)&amp;" ")-1),",","."))+1,9))*12,NA()))),0),24)*'Aturan &amp; Tarif'!$B$4,2)</f>
        <v>1362.72</v>
      </c>
      <c r="K475" s="32" t="n">
        <f aca="false">'Aturan &amp; Tarif'!$B$5</f>
        <v>2050</v>
      </c>
      <c r="L475" s="35" t="n">
        <f aca="false">I475+J475+K475</f>
        <v>5612.72</v>
      </c>
      <c r="M475" s="37" t="s">
        <v>134</v>
      </c>
    </row>
    <row r="476" customFormat="false" ht="25.5" hidden="false" customHeight="true" outlineLevel="0" collapsed="false">
      <c r="A476" s="29"/>
      <c r="B476" s="30" t="s">
        <v>1993</v>
      </c>
      <c r="C476" s="31" t="s">
        <v>191</v>
      </c>
      <c r="D476" s="31" t="s">
        <v>108</v>
      </c>
      <c r="E476" s="32" t="n">
        <v>1500</v>
      </c>
      <c r="F476" s="32" t="n">
        <v>500</v>
      </c>
      <c r="G476" s="32" t="n">
        <v>200</v>
      </c>
      <c r="H476" s="33" t="n">
        <v>1</v>
      </c>
      <c r="I476" s="34" t="n">
        <f aca="false">E476*H476+N(F476)+N(G476)</f>
        <v>2200</v>
      </c>
      <c r="J476" s="32" t="n">
        <f aca="false">ROUND(IFERROR(ROUND(IF(OR(ISNUMBER(SEARCH("week",C476)),ISNUMBER(SEARCH("minggu",C476))),IFERROR(_xlfn.NUMBERVALUE(SUBSTITUTE(LEFT(TRIM(C476),FIND(" ",TRIM(C476)&amp;" ")-1),",","."),"."),LEFT(SUBSTITUTE(LEFT(TRIM(C476),FIND(" ",TRIM(C476)&amp;" ")-1),",","."),FIND("/",SUBSTITUTE(LEFT(TRIM(C476),FIND(" ",TRIM(C476)&amp;" ")-1),",","."))-1)/MID(SUBSTITUTE(LEFT(TRIM(C476),FIND(" ",TRIM(C476)&amp;" ")-1),",","."),FIND("/",SUBSTITUTE(LEFT(TRIM(C476),FIND(" ",TRIM(C476)&amp;" ")-1),",","."))+1,9))*12/52,IF(ISNUMBER(SEARCH("month",C476)),IFERROR(_xlfn.NUMBERVALUE(SUBSTITUTE(LEFT(TRIM(C476),FIND(" ",TRIM(C476)&amp;" ")-1),",","."),"."),LEFT(SUBSTITUTE(LEFT(TRIM(C476),FIND(" ",TRIM(C476)&amp;" ")-1),",","."),FIND("/",SUBSTITUTE(LEFT(TRIM(C476),FIND(" ",TRIM(C476)&amp;" ")-1),",","."))-1)/MID(SUBSTITUTE(LEFT(TRIM(C476),FIND(" ",TRIM(C476)&amp;" ")-1),",","."),FIND("/",SUBSTITUTE(LEFT(TRIM(C476),FIND(" ",TRIM(C476)&amp;" ")-1),",","."))+1,9)),IF(ISNUMBER(SEARCH("yea",C476)),IFERROR(_xlfn.NUMBERVALUE(SUBSTITUTE(LEFT(TRIM(C476),FIND(" ",TRIM(C476)&amp;" ")-1),",","."),"."),LEFT(SUBSTITUTE(LEFT(TRIM(C476),FIND(" ",TRIM(C476)&amp;" ")-1),",","."),FIND("/",SUBSTITUTE(LEFT(TRIM(C476),FIND(" ",TRIM(C476)&amp;" ")-1),",","."))-1)/MID(SUBSTITUTE(LEFT(TRIM(C476),FIND(" ",TRIM(C476)&amp;" ")-1),",","."),FIND("/",SUBSTITUTE(LEFT(TRIM(C476),FIND(" ",TRIM(C476)&amp;" ")-1),",","."))+1,9))*12,NA()))),0),48)*'Aturan &amp; Tarif'!$B$4,2)</f>
        <v>2725.44</v>
      </c>
      <c r="K476" s="32" t="n">
        <f aca="false">'Aturan &amp; Tarif'!$B$5</f>
        <v>2050</v>
      </c>
      <c r="L476" s="35" t="n">
        <f aca="false">I476+J476+K476</f>
        <v>6975.44</v>
      </c>
      <c r="M476" s="37" t="s">
        <v>134</v>
      </c>
    </row>
    <row r="477" customFormat="false" ht="14.25" hidden="false" customHeight="true" outlineLevel="0" collapsed="false">
      <c r="A477" s="29"/>
      <c r="B477" s="30" t="s">
        <v>2062</v>
      </c>
      <c r="C477" s="31" t="s">
        <v>107</v>
      </c>
      <c r="D477" s="31" t="s">
        <v>108</v>
      </c>
      <c r="E477" s="32" t="n">
        <v>1500</v>
      </c>
      <c r="F477" s="32" t="n">
        <v>500</v>
      </c>
      <c r="G477" s="32" t="n">
        <v>200</v>
      </c>
      <c r="H477" s="33" t="n">
        <v>1</v>
      </c>
      <c r="I477" s="34" t="n">
        <f aca="false">E477*H477+N(F477)+N(G477)</f>
        <v>2200</v>
      </c>
      <c r="J477" s="32" t="n">
        <f aca="false">ROUND(IFERROR(ROUND(IF(OR(ISNUMBER(SEARCH("week",C477)),ISNUMBER(SEARCH("minggu",C477))),IFERROR(_xlfn.NUMBERVALUE(SUBSTITUTE(LEFT(TRIM(C477),FIND(" ",TRIM(C477)&amp;" ")-1),",","."),"."),LEFT(SUBSTITUTE(LEFT(TRIM(C477),FIND(" ",TRIM(C477)&amp;" ")-1),",","."),FIND("/",SUBSTITUTE(LEFT(TRIM(C477),FIND(" ",TRIM(C477)&amp;" ")-1),",","."))-1)/MID(SUBSTITUTE(LEFT(TRIM(C477),FIND(" ",TRIM(C477)&amp;" ")-1),",","."),FIND("/",SUBSTITUTE(LEFT(TRIM(C477),FIND(" ",TRIM(C477)&amp;" ")-1),",","."))+1,9))*12/52,IF(ISNUMBER(SEARCH("month",C477)),IFERROR(_xlfn.NUMBERVALUE(SUBSTITUTE(LEFT(TRIM(C477),FIND(" ",TRIM(C477)&amp;" ")-1),",","."),"."),LEFT(SUBSTITUTE(LEFT(TRIM(C477),FIND(" ",TRIM(C477)&amp;" ")-1),",","."),FIND("/",SUBSTITUTE(LEFT(TRIM(C477),FIND(" ",TRIM(C477)&amp;" ")-1),",","."))-1)/MID(SUBSTITUTE(LEFT(TRIM(C477),FIND(" ",TRIM(C477)&amp;" ")-1),",","."),FIND("/",SUBSTITUTE(LEFT(TRIM(C477),FIND(" ",TRIM(C477)&amp;" ")-1),",","."))+1,9)),IF(ISNUMBER(SEARCH("yea",C477)),IFERROR(_xlfn.NUMBERVALUE(SUBSTITUTE(LEFT(TRIM(C477),FIND(" ",TRIM(C477)&amp;" ")-1),",","."),"."),LEFT(SUBSTITUTE(LEFT(TRIM(C477),FIND(" ",TRIM(C477)&amp;" ")-1),",","."),FIND("/",SUBSTITUTE(LEFT(TRIM(C477),FIND(" ",TRIM(C477)&amp;" ")-1),",","."))-1)/MID(SUBSTITUTE(LEFT(TRIM(C477),FIND(" ",TRIM(C477)&amp;" ")-1),",","."),FIND("/",SUBSTITUTE(LEFT(TRIM(C477),FIND(" ",TRIM(C477)&amp;" ")-1),",","."))+1,9))*12,NA()))),0),24)*'Aturan &amp; Tarif'!$B$4,2)</f>
        <v>1362.72</v>
      </c>
      <c r="K477" s="32" t="n">
        <f aca="false">'Aturan &amp; Tarif'!$B$5</f>
        <v>2050</v>
      </c>
      <c r="L477" s="35" t="n">
        <f aca="false">I477+J477+K477</f>
        <v>5612.72</v>
      </c>
      <c r="M477" s="37" t="s">
        <v>134</v>
      </c>
    </row>
    <row r="478" customFormat="false" ht="14.25" hidden="false" customHeight="true" outlineLevel="0" collapsed="false">
      <c r="A478" s="29"/>
      <c r="B478" s="30" t="s">
        <v>2063</v>
      </c>
      <c r="C478" s="31" t="s">
        <v>136</v>
      </c>
      <c r="D478" s="31" t="s">
        <v>108</v>
      </c>
      <c r="E478" s="32" t="n">
        <v>1500</v>
      </c>
      <c r="F478" s="32" t="n">
        <v>500</v>
      </c>
      <c r="G478" s="32" t="n">
        <v>200</v>
      </c>
      <c r="H478" s="33" t="n">
        <v>1</v>
      </c>
      <c r="I478" s="34" t="n">
        <f aca="false">E478*H478+N(F478)+N(G478)</f>
        <v>2200</v>
      </c>
      <c r="J478" s="32" t="n">
        <f aca="false">ROUND(IFERROR(ROUND(IF(OR(ISNUMBER(SEARCH("week",C478)),ISNUMBER(SEARCH("minggu",C478))),IFERROR(_xlfn.NUMBERVALUE(SUBSTITUTE(LEFT(TRIM(C478),FIND(" ",TRIM(C478)&amp;" ")-1),",","."),"."),LEFT(SUBSTITUTE(LEFT(TRIM(C478),FIND(" ",TRIM(C478)&amp;" ")-1),",","."),FIND("/",SUBSTITUTE(LEFT(TRIM(C478),FIND(" ",TRIM(C478)&amp;" ")-1),",","."))-1)/MID(SUBSTITUTE(LEFT(TRIM(C478),FIND(" ",TRIM(C478)&amp;" ")-1),",","."),FIND("/",SUBSTITUTE(LEFT(TRIM(C478),FIND(" ",TRIM(C478)&amp;" ")-1),",","."))+1,9))*12/52,IF(ISNUMBER(SEARCH("month",C478)),IFERROR(_xlfn.NUMBERVALUE(SUBSTITUTE(LEFT(TRIM(C478),FIND(" ",TRIM(C478)&amp;" ")-1),",","."),"."),LEFT(SUBSTITUTE(LEFT(TRIM(C478),FIND(" ",TRIM(C478)&amp;" ")-1),",","."),FIND("/",SUBSTITUTE(LEFT(TRIM(C478),FIND(" ",TRIM(C478)&amp;" ")-1),",","."))-1)/MID(SUBSTITUTE(LEFT(TRIM(C478),FIND(" ",TRIM(C478)&amp;" ")-1),",","."),FIND("/",SUBSTITUTE(LEFT(TRIM(C478),FIND(" ",TRIM(C478)&amp;" ")-1),",","."))+1,9)),IF(ISNUMBER(SEARCH("yea",C478)),IFERROR(_xlfn.NUMBERVALUE(SUBSTITUTE(LEFT(TRIM(C478),FIND(" ",TRIM(C478)&amp;" ")-1),",","."),"."),LEFT(SUBSTITUTE(LEFT(TRIM(C478),FIND(" ",TRIM(C478)&amp;" ")-1),",","."),FIND("/",SUBSTITUTE(LEFT(TRIM(C478),FIND(" ",TRIM(C478)&amp;" ")-1),",","."))-1)/MID(SUBSTITUTE(LEFT(TRIM(C478),FIND(" ",TRIM(C478)&amp;" ")-1),",","."),FIND("/",SUBSTITUTE(LEFT(TRIM(C478),FIND(" ",TRIM(C478)&amp;" ")-1),",","."))+1,9))*12,NA()))),0),42)*'Aturan &amp; Tarif'!$B$4,2)</f>
        <v>2384.76</v>
      </c>
      <c r="K478" s="32" t="n">
        <f aca="false">'Aturan &amp; Tarif'!$B$5</f>
        <v>2050</v>
      </c>
      <c r="L478" s="35" t="n">
        <f aca="false">I478+J478+K478</f>
        <v>6634.76</v>
      </c>
      <c r="M478" s="37" t="s">
        <v>134</v>
      </c>
    </row>
    <row r="479" customFormat="false" ht="25.5" hidden="false" customHeight="true" outlineLevel="0" collapsed="false">
      <c r="A479" s="29"/>
      <c r="B479" s="30" t="s">
        <v>889</v>
      </c>
      <c r="C479" s="31" t="s">
        <v>107</v>
      </c>
      <c r="D479" s="31" t="s">
        <v>108</v>
      </c>
      <c r="E479" s="32" t="n">
        <v>1900</v>
      </c>
      <c r="F479" s="32" t="n">
        <v>1200</v>
      </c>
      <c r="G479" s="32" t="n">
        <v>200</v>
      </c>
      <c r="H479" s="33" t="n">
        <v>1</v>
      </c>
      <c r="I479" s="34" t="n">
        <f aca="false">E479*H479+N(F479)+N(G479)</f>
        <v>3300</v>
      </c>
      <c r="J479" s="32" t="n">
        <f aca="false">ROUND(IFERROR(ROUND(IF(OR(ISNUMBER(SEARCH("week",C479)),ISNUMBER(SEARCH("minggu",C479))),IFERROR(_xlfn.NUMBERVALUE(SUBSTITUTE(LEFT(TRIM(C479),FIND(" ",TRIM(C479)&amp;" ")-1),",","."),"."),LEFT(SUBSTITUTE(LEFT(TRIM(C479),FIND(" ",TRIM(C479)&amp;" ")-1),",","."),FIND("/",SUBSTITUTE(LEFT(TRIM(C479),FIND(" ",TRIM(C479)&amp;" ")-1),",","."))-1)/MID(SUBSTITUTE(LEFT(TRIM(C479),FIND(" ",TRIM(C479)&amp;" ")-1),",","."),FIND("/",SUBSTITUTE(LEFT(TRIM(C479),FIND(" ",TRIM(C479)&amp;" ")-1),",","."))+1,9))*12/52,IF(ISNUMBER(SEARCH("month",C479)),IFERROR(_xlfn.NUMBERVALUE(SUBSTITUTE(LEFT(TRIM(C479),FIND(" ",TRIM(C479)&amp;" ")-1),",","."),"."),LEFT(SUBSTITUTE(LEFT(TRIM(C479),FIND(" ",TRIM(C479)&amp;" ")-1),",","."),FIND("/",SUBSTITUTE(LEFT(TRIM(C479),FIND(" ",TRIM(C479)&amp;" ")-1),",","."))-1)/MID(SUBSTITUTE(LEFT(TRIM(C479),FIND(" ",TRIM(C479)&amp;" ")-1),",","."),FIND("/",SUBSTITUTE(LEFT(TRIM(C479),FIND(" ",TRIM(C479)&amp;" ")-1),",","."))+1,9)),IF(ISNUMBER(SEARCH("yea",C479)),IFERROR(_xlfn.NUMBERVALUE(SUBSTITUTE(LEFT(TRIM(C479),FIND(" ",TRIM(C479)&amp;" ")-1),",","."),"."),LEFT(SUBSTITUTE(LEFT(TRIM(C479),FIND(" ",TRIM(C479)&amp;" ")-1),",","."),FIND("/",SUBSTITUTE(LEFT(TRIM(C479),FIND(" ",TRIM(C479)&amp;" ")-1),",","."))-1)/MID(SUBSTITUTE(LEFT(TRIM(C479),FIND(" ",TRIM(C479)&amp;" ")-1),",","."),FIND("/",SUBSTITUTE(LEFT(TRIM(C479),FIND(" ",TRIM(C479)&amp;" ")-1),",","."))+1,9))*12,NA()))),0),24)*'Aturan &amp; Tarif'!$B$4,2)</f>
        <v>1362.72</v>
      </c>
      <c r="K479" s="32" t="n">
        <f aca="false">'Aturan &amp; Tarif'!$B$5</f>
        <v>2050</v>
      </c>
      <c r="L479" s="35" t="n">
        <f aca="false">I479+J479+K479</f>
        <v>6712.72</v>
      </c>
      <c r="M479" s="37" t="s">
        <v>134</v>
      </c>
    </row>
    <row r="480" customFormat="false" ht="25.5" hidden="false" customHeight="true" outlineLevel="0" collapsed="false">
      <c r="A480" s="29"/>
      <c r="B480" s="30" t="s">
        <v>909</v>
      </c>
      <c r="C480" s="31" t="s">
        <v>107</v>
      </c>
      <c r="D480" s="31" t="s">
        <v>108</v>
      </c>
      <c r="E480" s="32" t="n">
        <v>2500</v>
      </c>
      <c r="F480" s="32" t="n">
        <v>1200</v>
      </c>
      <c r="G480" s="32" t="n">
        <v>200</v>
      </c>
      <c r="H480" s="33" t="n">
        <v>1</v>
      </c>
      <c r="I480" s="34" t="n">
        <f aca="false">E480*H480+N(F480)+N(G480)</f>
        <v>3900</v>
      </c>
      <c r="J480" s="32" t="n">
        <f aca="false">ROUND(IFERROR(ROUND(IF(OR(ISNUMBER(SEARCH("week",C480)),ISNUMBER(SEARCH("minggu",C480))),IFERROR(_xlfn.NUMBERVALUE(SUBSTITUTE(LEFT(TRIM(C480),FIND(" ",TRIM(C480)&amp;" ")-1),",","."),"."),LEFT(SUBSTITUTE(LEFT(TRIM(C480),FIND(" ",TRIM(C480)&amp;" ")-1),",","."),FIND("/",SUBSTITUTE(LEFT(TRIM(C480),FIND(" ",TRIM(C480)&amp;" ")-1),",","."))-1)/MID(SUBSTITUTE(LEFT(TRIM(C480),FIND(" ",TRIM(C480)&amp;" ")-1),",","."),FIND("/",SUBSTITUTE(LEFT(TRIM(C480),FIND(" ",TRIM(C480)&amp;" ")-1),",","."))+1,9))*12/52,IF(ISNUMBER(SEARCH("month",C480)),IFERROR(_xlfn.NUMBERVALUE(SUBSTITUTE(LEFT(TRIM(C480),FIND(" ",TRIM(C480)&amp;" ")-1),",","."),"."),LEFT(SUBSTITUTE(LEFT(TRIM(C480),FIND(" ",TRIM(C480)&amp;" ")-1),",","."),FIND("/",SUBSTITUTE(LEFT(TRIM(C480),FIND(" ",TRIM(C480)&amp;" ")-1),",","."))-1)/MID(SUBSTITUTE(LEFT(TRIM(C480),FIND(" ",TRIM(C480)&amp;" ")-1),",","."),FIND("/",SUBSTITUTE(LEFT(TRIM(C480),FIND(" ",TRIM(C480)&amp;" ")-1),",","."))+1,9)),IF(ISNUMBER(SEARCH("yea",C480)),IFERROR(_xlfn.NUMBERVALUE(SUBSTITUTE(LEFT(TRIM(C480),FIND(" ",TRIM(C480)&amp;" ")-1),",","."),"."),LEFT(SUBSTITUTE(LEFT(TRIM(C480),FIND(" ",TRIM(C480)&amp;" ")-1),",","."),FIND("/",SUBSTITUTE(LEFT(TRIM(C480),FIND(" ",TRIM(C480)&amp;" ")-1),",","."))-1)/MID(SUBSTITUTE(LEFT(TRIM(C480),FIND(" ",TRIM(C480)&amp;" ")-1),",","."),FIND("/",SUBSTITUTE(LEFT(TRIM(C480),FIND(" ",TRIM(C480)&amp;" ")-1),",","."))+1,9))*12,NA()))),0),24)*'Aturan &amp; Tarif'!$B$4,2)</f>
        <v>1362.72</v>
      </c>
      <c r="K480" s="32" t="n">
        <f aca="false">'Aturan &amp; Tarif'!$B$5</f>
        <v>2050</v>
      </c>
      <c r="L480" s="35" t="n">
        <f aca="false">I480+J480+K480</f>
        <v>7312.72</v>
      </c>
      <c r="M480" s="37" t="s">
        <v>134</v>
      </c>
    </row>
    <row r="481" customFormat="false" ht="25.5" hidden="false" customHeight="true" outlineLevel="0" collapsed="false">
      <c r="A481" s="29"/>
      <c r="B481" s="30" t="s">
        <v>2064</v>
      </c>
      <c r="C481" s="31" t="s">
        <v>107</v>
      </c>
      <c r="D481" s="31" t="s">
        <v>108</v>
      </c>
      <c r="E481" s="32" t="n">
        <v>2000</v>
      </c>
      <c r="F481" s="32" t="n">
        <v>600</v>
      </c>
      <c r="G481" s="32" t="n">
        <v>200</v>
      </c>
      <c r="H481" s="33" t="n">
        <v>1</v>
      </c>
      <c r="I481" s="34" t="n">
        <f aca="false">E481*H481+N(F481)+N(G481)</f>
        <v>2800</v>
      </c>
      <c r="J481" s="32" t="n">
        <f aca="false">ROUND(IFERROR(ROUND(IF(OR(ISNUMBER(SEARCH("week",C481)),ISNUMBER(SEARCH("minggu",C481))),IFERROR(_xlfn.NUMBERVALUE(SUBSTITUTE(LEFT(TRIM(C481),FIND(" ",TRIM(C481)&amp;" ")-1),",","."),"."),LEFT(SUBSTITUTE(LEFT(TRIM(C481),FIND(" ",TRIM(C481)&amp;" ")-1),",","."),FIND("/",SUBSTITUTE(LEFT(TRIM(C481),FIND(" ",TRIM(C481)&amp;" ")-1),",","."))-1)/MID(SUBSTITUTE(LEFT(TRIM(C481),FIND(" ",TRIM(C481)&amp;" ")-1),",","."),FIND("/",SUBSTITUTE(LEFT(TRIM(C481),FIND(" ",TRIM(C481)&amp;" ")-1),",","."))+1,9))*12/52,IF(ISNUMBER(SEARCH("month",C481)),IFERROR(_xlfn.NUMBERVALUE(SUBSTITUTE(LEFT(TRIM(C481),FIND(" ",TRIM(C481)&amp;" ")-1),",","."),"."),LEFT(SUBSTITUTE(LEFT(TRIM(C481),FIND(" ",TRIM(C481)&amp;" ")-1),",","."),FIND("/",SUBSTITUTE(LEFT(TRIM(C481),FIND(" ",TRIM(C481)&amp;" ")-1),",","."))-1)/MID(SUBSTITUTE(LEFT(TRIM(C481),FIND(" ",TRIM(C481)&amp;" ")-1),",","."),FIND("/",SUBSTITUTE(LEFT(TRIM(C481),FIND(" ",TRIM(C481)&amp;" ")-1),",","."))+1,9)),IF(ISNUMBER(SEARCH("yea",C481)),IFERROR(_xlfn.NUMBERVALUE(SUBSTITUTE(LEFT(TRIM(C481),FIND(" ",TRIM(C481)&amp;" ")-1),",","."),"."),LEFT(SUBSTITUTE(LEFT(TRIM(C481),FIND(" ",TRIM(C481)&amp;" ")-1),",","."),FIND("/",SUBSTITUTE(LEFT(TRIM(C481),FIND(" ",TRIM(C481)&amp;" ")-1),",","."))-1)/MID(SUBSTITUTE(LEFT(TRIM(C481),FIND(" ",TRIM(C481)&amp;" ")-1),",","."),FIND("/",SUBSTITUTE(LEFT(TRIM(C481),FIND(" ",TRIM(C481)&amp;" ")-1),",","."))+1,9))*12,NA()))),0),24)*'Aturan &amp; Tarif'!$B$4,2)</f>
        <v>1362.72</v>
      </c>
      <c r="K481" s="32" t="n">
        <f aca="false">'Aturan &amp; Tarif'!$B$5</f>
        <v>2050</v>
      </c>
      <c r="L481" s="35" t="n">
        <f aca="false">I481+J481+K481</f>
        <v>6212.72</v>
      </c>
      <c r="M481" s="37" t="s">
        <v>134</v>
      </c>
    </row>
    <row r="482" customFormat="false" ht="25.5" hidden="false" customHeight="true" outlineLevel="0" collapsed="false">
      <c r="A482" s="29"/>
      <c r="B482" s="30" t="s">
        <v>2065</v>
      </c>
      <c r="C482" s="31" t="s">
        <v>127</v>
      </c>
      <c r="D482" s="31" t="s">
        <v>108</v>
      </c>
      <c r="E482" s="32" t="n">
        <v>2000</v>
      </c>
      <c r="F482" s="32" t="n">
        <v>1200</v>
      </c>
      <c r="G482" s="32" t="n">
        <v>200</v>
      </c>
      <c r="H482" s="33" t="n">
        <v>1</v>
      </c>
      <c r="I482" s="34" t="n">
        <f aca="false">E482*H482+N(F482)+N(G482)</f>
        <v>3400</v>
      </c>
      <c r="J482" s="32" t="n">
        <f aca="false">ROUND(IFERROR(ROUND(IF(OR(ISNUMBER(SEARCH("week",C482)),ISNUMBER(SEARCH("minggu",C482))),IFERROR(_xlfn.NUMBERVALUE(SUBSTITUTE(LEFT(TRIM(C482),FIND(" ",TRIM(C482)&amp;" ")-1),",","."),"."),LEFT(SUBSTITUTE(LEFT(TRIM(C482),FIND(" ",TRIM(C482)&amp;" ")-1),",","."),FIND("/",SUBSTITUTE(LEFT(TRIM(C482),FIND(" ",TRIM(C482)&amp;" ")-1),",","."))-1)/MID(SUBSTITUTE(LEFT(TRIM(C482),FIND(" ",TRIM(C482)&amp;" ")-1),",","."),FIND("/",SUBSTITUTE(LEFT(TRIM(C482),FIND(" ",TRIM(C482)&amp;" ")-1),",","."))+1,9))*12/52,IF(ISNUMBER(SEARCH("month",C482)),IFERROR(_xlfn.NUMBERVALUE(SUBSTITUTE(LEFT(TRIM(C482),FIND(" ",TRIM(C482)&amp;" ")-1),",","."),"."),LEFT(SUBSTITUTE(LEFT(TRIM(C482),FIND(" ",TRIM(C482)&amp;" ")-1),",","."),FIND("/",SUBSTITUTE(LEFT(TRIM(C482),FIND(" ",TRIM(C482)&amp;" ")-1),",","."))-1)/MID(SUBSTITUTE(LEFT(TRIM(C482),FIND(" ",TRIM(C482)&amp;" ")-1),",","."),FIND("/",SUBSTITUTE(LEFT(TRIM(C482),FIND(" ",TRIM(C482)&amp;" ")-1),",","."))+1,9)),IF(ISNUMBER(SEARCH("yea",C482)),IFERROR(_xlfn.NUMBERVALUE(SUBSTITUTE(LEFT(TRIM(C482),FIND(" ",TRIM(C482)&amp;" ")-1),",","."),"."),LEFT(SUBSTITUTE(LEFT(TRIM(C482),FIND(" ",TRIM(C482)&amp;" ")-1),",","."),FIND("/",SUBSTITUTE(LEFT(TRIM(C482),FIND(" ",TRIM(C482)&amp;" ")-1),",","."))-1)/MID(SUBSTITUTE(LEFT(TRIM(C482),FIND(" ",TRIM(C482)&amp;" ")-1),",","."),FIND("/",SUBSTITUTE(LEFT(TRIM(C482),FIND(" ",TRIM(C482)&amp;" ")-1),",","."))+1,9))*12,NA()))),0),36)*'Aturan &amp; Tarif'!$B$4,2)</f>
        <v>2044.08</v>
      </c>
      <c r="K482" s="32" t="n">
        <f aca="false">'Aturan &amp; Tarif'!$B$5</f>
        <v>2050</v>
      </c>
      <c r="L482" s="35" t="n">
        <f aca="false">I482+J482+K482</f>
        <v>7494.08</v>
      </c>
      <c r="M482" s="36" t="s">
        <v>131</v>
      </c>
    </row>
    <row r="483" customFormat="false" ht="37.5" hidden="false" customHeight="true" outlineLevel="0" collapsed="false">
      <c r="A483" s="29"/>
      <c r="B483" s="30" t="s">
        <v>2066</v>
      </c>
      <c r="C483" s="31" t="s">
        <v>107</v>
      </c>
      <c r="D483" s="31" t="s">
        <v>108</v>
      </c>
      <c r="E483" s="32" t="n">
        <v>2000</v>
      </c>
      <c r="F483" s="32" t="n">
        <v>1800</v>
      </c>
      <c r="G483" s="32" t="n">
        <v>200</v>
      </c>
      <c r="H483" s="33" t="n">
        <v>1</v>
      </c>
      <c r="I483" s="34" t="n">
        <f aca="false">E483*H483+N(F483)+N(G483)</f>
        <v>4000</v>
      </c>
      <c r="J483" s="32" t="n">
        <f aca="false">ROUND(IFERROR(ROUND(IF(OR(ISNUMBER(SEARCH("week",C483)),ISNUMBER(SEARCH("minggu",C483))),IFERROR(_xlfn.NUMBERVALUE(SUBSTITUTE(LEFT(TRIM(C483),FIND(" ",TRIM(C483)&amp;" ")-1),",","."),"."),LEFT(SUBSTITUTE(LEFT(TRIM(C483),FIND(" ",TRIM(C483)&amp;" ")-1),",","."),FIND("/",SUBSTITUTE(LEFT(TRIM(C483),FIND(" ",TRIM(C483)&amp;" ")-1),",","."))-1)/MID(SUBSTITUTE(LEFT(TRIM(C483),FIND(" ",TRIM(C483)&amp;" ")-1),",","."),FIND("/",SUBSTITUTE(LEFT(TRIM(C483),FIND(" ",TRIM(C483)&amp;" ")-1),",","."))+1,9))*12/52,IF(ISNUMBER(SEARCH("month",C483)),IFERROR(_xlfn.NUMBERVALUE(SUBSTITUTE(LEFT(TRIM(C483),FIND(" ",TRIM(C483)&amp;" ")-1),",","."),"."),LEFT(SUBSTITUTE(LEFT(TRIM(C483),FIND(" ",TRIM(C483)&amp;" ")-1),",","."),FIND("/",SUBSTITUTE(LEFT(TRIM(C483),FIND(" ",TRIM(C483)&amp;" ")-1),",","."))-1)/MID(SUBSTITUTE(LEFT(TRIM(C483),FIND(" ",TRIM(C483)&amp;" ")-1),",","."),FIND("/",SUBSTITUTE(LEFT(TRIM(C483),FIND(" ",TRIM(C483)&amp;" ")-1),",","."))+1,9)),IF(ISNUMBER(SEARCH("yea",C483)),IFERROR(_xlfn.NUMBERVALUE(SUBSTITUTE(LEFT(TRIM(C483),FIND(" ",TRIM(C483)&amp;" ")-1),",","."),"."),LEFT(SUBSTITUTE(LEFT(TRIM(C483),FIND(" ",TRIM(C483)&amp;" ")-1),",","."),FIND("/",SUBSTITUTE(LEFT(TRIM(C483),FIND(" ",TRIM(C483)&amp;" ")-1),",","."))-1)/MID(SUBSTITUTE(LEFT(TRIM(C483),FIND(" ",TRIM(C483)&amp;" ")-1),",","."),FIND("/",SUBSTITUTE(LEFT(TRIM(C483),FIND(" ",TRIM(C483)&amp;" ")-1),",","."))+1,9))*12,NA()))),0),24)*'Aturan &amp; Tarif'!$B$4,2)</f>
        <v>1362.72</v>
      </c>
      <c r="K483" s="32" t="n">
        <f aca="false">'Aturan &amp; Tarif'!$B$5</f>
        <v>2050</v>
      </c>
      <c r="L483" s="35" t="n">
        <f aca="false">I483+J483+K483</f>
        <v>7412.72</v>
      </c>
      <c r="M483" s="37" t="s">
        <v>134</v>
      </c>
    </row>
    <row r="484" customFormat="false" ht="37.5" hidden="false" customHeight="true" outlineLevel="0" collapsed="false">
      <c r="A484" s="29"/>
      <c r="B484" s="30" t="s">
        <v>2067</v>
      </c>
      <c r="C484" s="31" t="s">
        <v>127</v>
      </c>
      <c r="D484" s="31" t="s">
        <v>108</v>
      </c>
      <c r="E484" s="32" t="n">
        <v>2000</v>
      </c>
      <c r="F484" s="32" t="n">
        <v>1800</v>
      </c>
      <c r="G484" s="32" t="n">
        <v>200</v>
      </c>
      <c r="H484" s="33" t="n">
        <v>1</v>
      </c>
      <c r="I484" s="34" t="n">
        <f aca="false">E484*H484+N(F484)+N(G484)</f>
        <v>4000</v>
      </c>
      <c r="J484" s="32" t="n">
        <f aca="false">ROUND(IFERROR(ROUND(IF(OR(ISNUMBER(SEARCH("week",C484)),ISNUMBER(SEARCH("minggu",C484))),IFERROR(_xlfn.NUMBERVALUE(SUBSTITUTE(LEFT(TRIM(C484),FIND(" ",TRIM(C484)&amp;" ")-1),",","."),"."),LEFT(SUBSTITUTE(LEFT(TRIM(C484),FIND(" ",TRIM(C484)&amp;" ")-1),",","."),FIND("/",SUBSTITUTE(LEFT(TRIM(C484),FIND(" ",TRIM(C484)&amp;" ")-1),",","."))-1)/MID(SUBSTITUTE(LEFT(TRIM(C484),FIND(" ",TRIM(C484)&amp;" ")-1),",","."),FIND("/",SUBSTITUTE(LEFT(TRIM(C484),FIND(" ",TRIM(C484)&amp;" ")-1),",","."))+1,9))*12/52,IF(ISNUMBER(SEARCH("month",C484)),IFERROR(_xlfn.NUMBERVALUE(SUBSTITUTE(LEFT(TRIM(C484),FIND(" ",TRIM(C484)&amp;" ")-1),",","."),"."),LEFT(SUBSTITUTE(LEFT(TRIM(C484),FIND(" ",TRIM(C484)&amp;" ")-1),",","."),FIND("/",SUBSTITUTE(LEFT(TRIM(C484),FIND(" ",TRIM(C484)&amp;" ")-1),",","."))-1)/MID(SUBSTITUTE(LEFT(TRIM(C484),FIND(" ",TRIM(C484)&amp;" ")-1),",","."),FIND("/",SUBSTITUTE(LEFT(TRIM(C484),FIND(" ",TRIM(C484)&amp;" ")-1),",","."))+1,9)),IF(ISNUMBER(SEARCH("yea",C484)),IFERROR(_xlfn.NUMBERVALUE(SUBSTITUTE(LEFT(TRIM(C484),FIND(" ",TRIM(C484)&amp;" ")-1),",","."),"."),LEFT(SUBSTITUTE(LEFT(TRIM(C484),FIND(" ",TRIM(C484)&amp;" ")-1),",","."),FIND("/",SUBSTITUTE(LEFT(TRIM(C484),FIND(" ",TRIM(C484)&amp;" ")-1),",","."))-1)/MID(SUBSTITUTE(LEFT(TRIM(C484),FIND(" ",TRIM(C484)&amp;" ")-1),",","."),FIND("/",SUBSTITUTE(LEFT(TRIM(C484),FIND(" ",TRIM(C484)&amp;" ")-1),",","."))+1,9))*12,NA()))),0),36)*'Aturan &amp; Tarif'!$B$4,2)</f>
        <v>2044.08</v>
      </c>
      <c r="K484" s="32" t="n">
        <f aca="false">'Aturan &amp; Tarif'!$B$5</f>
        <v>2050</v>
      </c>
      <c r="L484" s="35" t="n">
        <f aca="false">I484+J484+K484</f>
        <v>8094.08</v>
      </c>
      <c r="M484" s="37" t="s">
        <v>134</v>
      </c>
    </row>
    <row r="485" customFormat="false" ht="48.75" hidden="false" customHeight="true" outlineLevel="0" collapsed="false">
      <c r="A485" s="29"/>
      <c r="B485" s="30" t="s">
        <v>2068</v>
      </c>
      <c r="C485" s="31" t="s">
        <v>107</v>
      </c>
      <c r="D485" s="31" t="s">
        <v>108</v>
      </c>
      <c r="E485" s="32" t="n">
        <v>2200</v>
      </c>
      <c r="F485" s="32" t="n">
        <v>1200</v>
      </c>
      <c r="G485" s="32" t="n">
        <v>200</v>
      </c>
      <c r="H485" s="33" t="n">
        <v>1</v>
      </c>
      <c r="I485" s="34" t="n">
        <f aca="false">E485*H485+N(F485)+N(G485)</f>
        <v>3600</v>
      </c>
      <c r="J485" s="32" t="n">
        <f aca="false">ROUND(IFERROR(ROUND(IF(OR(ISNUMBER(SEARCH("week",C485)),ISNUMBER(SEARCH("minggu",C485))),IFERROR(_xlfn.NUMBERVALUE(SUBSTITUTE(LEFT(TRIM(C485),FIND(" ",TRIM(C485)&amp;" ")-1),",","."),"."),LEFT(SUBSTITUTE(LEFT(TRIM(C485),FIND(" ",TRIM(C485)&amp;" ")-1),",","."),FIND("/",SUBSTITUTE(LEFT(TRIM(C485),FIND(" ",TRIM(C485)&amp;" ")-1),",","."))-1)/MID(SUBSTITUTE(LEFT(TRIM(C485),FIND(" ",TRIM(C485)&amp;" ")-1),",","."),FIND("/",SUBSTITUTE(LEFT(TRIM(C485),FIND(" ",TRIM(C485)&amp;" ")-1),",","."))+1,9))*12/52,IF(ISNUMBER(SEARCH("month",C485)),IFERROR(_xlfn.NUMBERVALUE(SUBSTITUTE(LEFT(TRIM(C485),FIND(" ",TRIM(C485)&amp;" ")-1),",","."),"."),LEFT(SUBSTITUTE(LEFT(TRIM(C485),FIND(" ",TRIM(C485)&amp;" ")-1),",","."),FIND("/",SUBSTITUTE(LEFT(TRIM(C485),FIND(" ",TRIM(C485)&amp;" ")-1),",","."))-1)/MID(SUBSTITUTE(LEFT(TRIM(C485),FIND(" ",TRIM(C485)&amp;" ")-1),",","."),FIND("/",SUBSTITUTE(LEFT(TRIM(C485),FIND(" ",TRIM(C485)&amp;" ")-1),",","."))+1,9)),IF(ISNUMBER(SEARCH("yea",C485)),IFERROR(_xlfn.NUMBERVALUE(SUBSTITUTE(LEFT(TRIM(C485),FIND(" ",TRIM(C485)&amp;" ")-1),",","."),"."),LEFT(SUBSTITUTE(LEFT(TRIM(C485),FIND(" ",TRIM(C485)&amp;" ")-1),",","."),FIND("/",SUBSTITUTE(LEFT(TRIM(C485),FIND(" ",TRIM(C485)&amp;" ")-1),",","."))-1)/MID(SUBSTITUTE(LEFT(TRIM(C485),FIND(" ",TRIM(C485)&amp;" ")-1),",","."),FIND("/",SUBSTITUTE(LEFT(TRIM(C485),FIND(" ",TRIM(C485)&amp;" ")-1),",","."))+1,9))*12,NA()))),0),24)*'Aturan &amp; Tarif'!$B$4,2)</f>
        <v>1362.72</v>
      </c>
      <c r="K485" s="32" t="n">
        <f aca="false">'Aturan &amp; Tarif'!$B$5</f>
        <v>2050</v>
      </c>
      <c r="L485" s="35" t="n">
        <f aca="false">I485+J485+K485</f>
        <v>7012.72</v>
      </c>
      <c r="M485" s="36" t="s">
        <v>131</v>
      </c>
    </row>
    <row r="486" customFormat="false" ht="60" hidden="false" customHeight="true" outlineLevel="0" collapsed="false">
      <c r="A486" s="29"/>
      <c r="B486" s="30" t="s">
        <v>2069</v>
      </c>
      <c r="C486" s="31" t="s">
        <v>138</v>
      </c>
      <c r="D486" s="31" t="s">
        <v>108</v>
      </c>
      <c r="E486" s="32" t="n">
        <v>2200</v>
      </c>
      <c r="F486" s="32" t="n">
        <v>1200</v>
      </c>
      <c r="G486" s="32" t="n">
        <v>200</v>
      </c>
      <c r="H486" s="33" t="n">
        <v>1</v>
      </c>
      <c r="I486" s="34" t="n">
        <f aca="false">E486*H486+N(F486)+N(G486)</f>
        <v>3600</v>
      </c>
      <c r="J486" s="32" t="n">
        <f aca="false">ROUND(IFERROR(ROUND(IF(OR(ISNUMBER(SEARCH("week",C486)),ISNUMBER(SEARCH("minggu",C486))),IFERROR(_xlfn.NUMBERVALUE(SUBSTITUTE(LEFT(TRIM(C486),FIND(" ",TRIM(C486)&amp;" ")-1),",","."),"."),LEFT(SUBSTITUTE(LEFT(TRIM(C486),FIND(" ",TRIM(C486)&amp;" ")-1),",","."),FIND("/",SUBSTITUTE(LEFT(TRIM(C486),FIND(" ",TRIM(C486)&amp;" ")-1),",","."))-1)/MID(SUBSTITUTE(LEFT(TRIM(C486),FIND(" ",TRIM(C486)&amp;" ")-1),",","."),FIND("/",SUBSTITUTE(LEFT(TRIM(C486),FIND(" ",TRIM(C486)&amp;" ")-1),",","."))+1,9))*12/52,IF(ISNUMBER(SEARCH("month",C486)),IFERROR(_xlfn.NUMBERVALUE(SUBSTITUTE(LEFT(TRIM(C486),FIND(" ",TRIM(C486)&amp;" ")-1),",","."),"."),LEFT(SUBSTITUTE(LEFT(TRIM(C486),FIND(" ",TRIM(C486)&amp;" ")-1),",","."),FIND("/",SUBSTITUTE(LEFT(TRIM(C486),FIND(" ",TRIM(C486)&amp;" ")-1),",","."))-1)/MID(SUBSTITUTE(LEFT(TRIM(C486),FIND(" ",TRIM(C486)&amp;" ")-1),",","."),FIND("/",SUBSTITUTE(LEFT(TRIM(C486),FIND(" ",TRIM(C486)&amp;" ")-1),",","."))+1,9)),IF(ISNUMBER(SEARCH("yea",C486)),IFERROR(_xlfn.NUMBERVALUE(SUBSTITUTE(LEFT(TRIM(C486),FIND(" ",TRIM(C486)&amp;" ")-1),",","."),"."),LEFT(SUBSTITUTE(LEFT(TRIM(C486),FIND(" ",TRIM(C486)&amp;" ")-1),",","."),FIND("/",SUBSTITUTE(LEFT(TRIM(C486),FIND(" ",TRIM(C486)&amp;" ")-1),",","."))-1)/MID(SUBSTITUTE(LEFT(TRIM(C486),FIND(" ",TRIM(C486)&amp;" ")-1),",","."),FIND("/",SUBSTITUTE(LEFT(TRIM(C486),FIND(" ",TRIM(C486)&amp;" ")-1),",","."))+1,9))*12,NA()))),0),30)*'Aturan &amp; Tarif'!$B$4,2)</f>
        <v>1703.4</v>
      </c>
      <c r="K486" s="32" t="n">
        <f aca="false">'Aturan &amp; Tarif'!$B$5</f>
        <v>2050</v>
      </c>
      <c r="L486" s="35" t="n">
        <f aca="false">I486+J486+K486</f>
        <v>7353.4</v>
      </c>
      <c r="M486" s="36" t="s">
        <v>131</v>
      </c>
    </row>
    <row r="487" customFormat="false" ht="25.5" hidden="false" customHeight="true" outlineLevel="0" collapsed="false">
      <c r="A487" s="29"/>
      <c r="B487" s="30" t="s">
        <v>2070</v>
      </c>
      <c r="C487" s="31" t="s">
        <v>191</v>
      </c>
      <c r="D487" s="31" t="s">
        <v>108</v>
      </c>
      <c r="E487" s="32" t="n">
        <v>2500</v>
      </c>
      <c r="F487" s="32" t="n">
        <v>1500</v>
      </c>
      <c r="G487" s="32" t="n">
        <v>200</v>
      </c>
      <c r="H487" s="33" t="n">
        <v>1</v>
      </c>
      <c r="I487" s="34" t="n">
        <f aca="false">E487*H487+N(F487)+N(G487)</f>
        <v>4200</v>
      </c>
      <c r="J487" s="32" t="n">
        <f aca="false">ROUND(IFERROR(ROUND(IF(OR(ISNUMBER(SEARCH("week",C487)),ISNUMBER(SEARCH("minggu",C487))),IFERROR(_xlfn.NUMBERVALUE(SUBSTITUTE(LEFT(TRIM(C487),FIND(" ",TRIM(C487)&amp;" ")-1),",","."),"."),LEFT(SUBSTITUTE(LEFT(TRIM(C487),FIND(" ",TRIM(C487)&amp;" ")-1),",","."),FIND("/",SUBSTITUTE(LEFT(TRIM(C487),FIND(" ",TRIM(C487)&amp;" ")-1),",","."))-1)/MID(SUBSTITUTE(LEFT(TRIM(C487),FIND(" ",TRIM(C487)&amp;" ")-1),",","."),FIND("/",SUBSTITUTE(LEFT(TRIM(C487),FIND(" ",TRIM(C487)&amp;" ")-1),",","."))+1,9))*12/52,IF(ISNUMBER(SEARCH("month",C487)),IFERROR(_xlfn.NUMBERVALUE(SUBSTITUTE(LEFT(TRIM(C487),FIND(" ",TRIM(C487)&amp;" ")-1),",","."),"."),LEFT(SUBSTITUTE(LEFT(TRIM(C487),FIND(" ",TRIM(C487)&amp;" ")-1),",","."),FIND("/",SUBSTITUTE(LEFT(TRIM(C487),FIND(" ",TRIM(C487)&amp;" ")-1),",","."))-1)/MID(SUBSTITUTE(LEFT(TRIM(C487),FIND(" ",TRIM(C487)&amp;" ")-1),",","."),FIND("/",SUBSTITUTE(LEFT(TRIM(C487),FIND(" ",TRIM(C487)&amp;" ")-1),",","."))+1,9)),IF(ISNUMBER(SEARCH("yea",C487)),IFERROR(_xlfn.NUMBERVALUE(SUBSTITUTE(LEFT(TRIM(C487),FIND(" ",TRIM(C487)&amp;" ")-1),",","."),"."),LEFT(SUBSTITUTE(LEFT(TRIM(C487),FIND(" ",TRIM(C487)&amp;" ")-1),",","."),FIND("/",SUBSTITUTE(LEFT(TRIM(C487),FIND(" ",TRIM(C487)&amp;" ")-1),",","."))-1)/MID(SUBSTITUTE(LEFT(TRIM(C487),FIND(" ",TRIM(C487)&amp;" ")-1),",","."),FIND("/",SUBSTITUTE(LEFT(TRIM(C487),FIND(" ",TRIM(C487)&amp;" ")-1),",","."))+1,9))*12,NA()))),0),48)*'Aturan &amp; Tarif'!$B$4,2)</f>
        <v>2725.44</v>
      </c>
      <c r="K487" s="32" t="n">
        <f aca="false">'Aturan &amp; Tarif'!$B$5</f>
        <v>2050</v>
      </c>
      <c r="L487" s="35" t="n">
        <f aca="false">I487+J487+K487</f>
        <v>8975.44</v>
      </c>
      <c r="M487" s="37" t="s">
        <v>134</v>
      </c>
    </row>
    <row r="488" customFormat="false" ht="25.5" hidden="false" customHeight="true" outlineLevel="0" collapsed="false">
      <c r="A488" s="29"/>
      <c r="B488" s="30" t="s">
        <v>2071</v>
      </c>
      <c r="C488" s="31" t="s">
        <v>191</v>
      </c>
      <c r="D488" s="31" t="s">
        <v>108</v>
      </c>
      <c r="E488" s="32" t="n">
        <v>2500</v>
      </c>
      <c r="F488" s="32" t="n">
        <v>1500</v>
      </c>
      <c r="G488" s="32" t="n">
        <v>200</v>
      </c>
      <c r="H488" s="33" t="n">
        <v>1</v>
      </c>
      <c r="I488" s="34" t="n">
        <f aca="false">E488*H488+N(F488)+N(G488)</f>
        <v>4200</v>
      </c>
      <c r="J488" s="32" t="n">
        <f aca="false">ROUND(IFERROR(ROUND(IF(OR(ISNUMBER(SEARCH("week",C488)),ISNUMBER(SEARCH("minggu",C488))),IFERROR(_xlfn.NUMBERVALUE(SUBSTITUTE(LEFT(TRIM(C488),FIND(" ",TRIM(C488)&amp;" ")-1),",","."),"."),LEFT(SUBSTITUTE(LEFT(TRIM(C488),FIND(" ",TRIM(C488)&amp;" ")-1),",","."),FIND("/",SUBSTITUTE(LEFT(TRIM(C488),FIND(" ",TRIM(C488)&amp;" ")-1),",","."))-1)/MID(SUBSTITUTE(LEFT(TRIM(C488),FIND(" ",TRIM(C488)&amp;" ")-1),",","."),FIND("/",SUBSTITUTE(LEFT(TRIM(C488),FIND(" ",TRIM(C488)&amp;" ")-1),",","."))+1,9))*12/52,IF(ISNUMBER(SEARCH("month",C488)),IFERROR(_xlfn.NUMBERVALUE(SUBSTITUTE(LEFT(TRIM(C488),FIND(" ",TRIM(C488)&amp;" ")-1),",","."),"."),LEFT(SUBSTITUTE(LEFT(TRIM(C488),FIND(" ",TRIM(C488)&amp;" ")-1),",","."),FIND("/",SUBSTITUTE(LEFT(TRIM(C488),FIND(" ",TRIM(C488)&amp;" ")-1),",","."))-1)/MID(SUBSTITUTE(LEFT(TRIM(C488),FIND(" ",TRIM(C488)&amp;" ")-1),",","."),FIND("/",SUBSTITUTE(LEFT(TRIM(C488),FIND(" ",TRIM(C488)&amp;" ")-1),",","."))+1,9)),IF(ISNUMBER(SEARCH("yea",C488)),IFERROR(_xlfn.NUMBERVALUE(SUBSTITUTE(LEFT(TRIM(C488),FIND(" ",TRIM(C488)&amp;" ")-1),",","."),"."),LEFT(SUBSTITUTE(LEFT(TRIM(C488),FIND(" ",TRIM(C488)&amp;" ")-1),",","."),FIND("/",SUBSTITUTE(LEFT(TRIM(C488),FIND(" ",TRIM(C488)&amp;" ")-1),",","."))-1)/MID(SUBSTITUTE(LEFT(TRIM(C488),FIND(" ",TRIM(C488)&amp;" ")-1),",","."),FIND("/",SUBSTITUTE(LEFT(TRIM(C488),FIND(" ",TRIM(C488)&amp;" ")-1),",","."))+1,9))*12,NA()))),0),48)*'Aturan &amp; Tarif'!$B$4,2)</f>
        <v>2725.44</v>
      </c>
      <c r="K488" s="32" t="n">
        <f aca="false">'Aturan &amp; Tarif'!$B$5</f>
        <v>2050</v>
      </c>
      <c r="L488" s="35" t="n">
        <f aca="false">I488+J488+K488</f>
        <v>8975.44</v>
      </c>
      <c r="M488" s="37" t="s">
        <v>134</v>
      </c>
    </row>
    <row r="489" customFormat="false" ht="25.5" hidden="false" customHeight="true" outlineLevel="0" collapsed="false">
      <c r="A489" s="29"/>
      <c r="B489" s="30" t="s">
        <v>2072</v>
      </c>
      <c r="C489" s="31" t="s">
        <v>191</v>
      </c>
      <c r="D489" s="31" t="s">
        <v>108</v>
      </c>
      <c r="E489" s="32" t="n">
        <v>2500</v>
      </c>
      <c r="F489" s="32" t="n">
        <v>1500</v>
      </c>
      <c r="G489" s="32" t="n">
        <v>200</v>
      </c>
      <c r="H489" s="33" t="n">
        <v>1</v>
      </c>
      <c r="I489" s="34" t="n">
        <f aca="false">E489*H489+N(F489)+N(G489)</f>
        <v>4200</v>
      </c>
      <c r="J489" s="32" t="n">
        <f aca="false">ROUND(IFERROR(ROUND(IF(OR(ISNUMBER(SEARCH("week",C489)),ISNUMBER(SEARCH("minggu",C489))),IFERROR(_xlfn.NUMBERVALUE(SUBSTITUTE(LEFT(TRIM(C489),FIND(" ",TRIM(C489)&amp;" ")-1),",","."),"."),LEFT(SUBSTITUTE(LEFT(TRIM(C489),FIND(" ",TRIM(C489)&amp;" ")-1),",","."),FIND("/",SUBSTITUTE(LEFT(TRIM(C489),FIND(" ",TRIM(C489)&amp;" ")-1),",","."))-1)/MID(SUBSTITUTE(LEFT(TRIM(C489),FIND(" ",TRIM(C489)&amp;" ")-1),",","."),FIND("/",SUBSTITUTE(LEFT(TRIM(C489),FIND(" ",TRIM(C489)&amp;" ")-1),",","."))+1,9))*12/52,IF(ISNUMBER(SEARCH("month",C489)),IFERROR(_xlfn.NUMBERVALUE(SUBSTITUTE(LEFT(TRIM(C489),FIND(" ",TRIM(C489)&amp;" ")-1),",","."),"."),LEFT(SUBSTITUTE(LEFT(TRIM(C489),FIND(" ",TRIM(C489)&amp;" ")-1),",","."),FIND("/",SUBSTITUTE(LEFT(TRIM(C489),FIND(" ",TRIM(C489)&amp;" ")-1),",","."))-1)/MID(SUBSTITUTE(LEFT(TRIM(C489),FIND(" ",TRIM(C489)&amp;" ")-1),",","."),FIND("/",SUBSTITUTE(LEFT(TRIM(C489),FIND(" ",TRIM(C489)&amp;" ")-1),",","."))+1,9)),IF(ISNUMBER(SEARCH("yea",C489)),IFERROR(_xlfn.NUMBERVALUE(SUBSTITUTE(LEFT(TRIM(C489),FIND(" ",TRIM(C489)&amp;" ")-1),",","."),"."),LEFT(SUBSTITUTE(LEFT(TRIM(C489),FIND(" ",TRIM(C489)&amp;" ")-1),",","."),FIND("/",SUBSTITUTE(LEFT(TRIM(C489),FIND(" ",TRIM(C489)&amp;" ")-1),",","."))-1)/MID(SUBSTITUTE(LEFT(TRIM(C489),FIND(" ",TRIM(C489)&amp;" ")-1),",","."),FIND("/",SUBSTITUTE(LEFT(TRIM(C489),FIND(" ",TRIM(C489)&amp;" ")-1),",","."))+1,9))*12,NA()))),0),48)*'Aturan &amp; Tarif'!$B$4,2)</f>
        <v>2725.44</v>
      </c>
      <c r="K489" s="32" t="n">
        <f aca="false">'Aturan &amp; Tarif'!$B$5</f>
        <v>2050</v>
      </c>
      <c r="L489" s="35" t="n">
        <f aca="false">I489+J489+K489</f>
        <v>8975.44</v>
      </c>
      <c r="M489" s="37" t="s">
        <v>134</v>
      </c>
    </row>
    <row r="490" customFormat="false" ht="25.5" hidden="false" customHeight="true" outlineLevel="0" collapsed="false">
      <c r="A490" s="39" t="s">
        <v>3126</v>
      </c>
      <c r="B490" s="40" t="s">
        <v>3127</v>
      </c>
      <c r="C490" s="41" t="s">
        <v>107</v>
      </c>
      <c r="D490" s="41" t="s">
        <v>108</v>
      </c>
      <c r="E490" s="42" t="n">
        <v>2500</v>
      </c>
      <c r="F490" s="42" t="n">
        <v>1500</v>
      </c>
      <c r="G490" s="42" t="n">
        <v>200</v>
      </c>
      <c r="H490" s="43" t="n">
        <v>1</v>
      </c>
      <c r="I490" s="34" t="n">
        <f aca="false">E490*H490+N(F490)+N(G490)</f>
        <v>4200</v>
      </c>
      <c r="J490" s="42" t="n">
        <f aca="false">ROUND(IFERROR(ROUND(IF(OR(ISNUMBER(SEARCH("week",C490)),ISNUMBER(SEARCH("minggu",C490))),IFERROR(_xlfn.NUMBERVALUE(SUBSTITUTE(LEFT(TRIM(C490),FIND(" ",TRIM(C490)&amp;" ")-1),",","."),"."),LEFT(SUBSTITUTE(LEFT(TRIM(C490),FIND(" ",TRIM(C490)&amp;" ")-1),",","."),FIND("/",SUBSTITUTE(LEFT(TRIM(C490),FIND(" ",TRIM(C490)&amp;" ")-1),",","."))-1)/MID(SUBSTITUTE(LEFT(TRIM(C490),FIND(" ",TRIM(C490)&amp;" ")-1),",","."),FIND("/",SUBSTITUTE(LEFT(TRIM(C490),FIND(" ",TRIM(C490)&amp;" ")-1),",","."))+1,9))*12/52,IF(ISNUMBER(SEARCH("month",C490)),IFERROR(_xlfn.NUMBERVALUE(SUBSTITUTE(LEFT(TRIM(C490),FIND(" ",TRIM(C490)&amp;" ")-1),",","."),"."),LEFT(SUBSTITUTE(LEFT(TRIM(C490),FIND(" ",TRIM(C490)&amp;" ")-1),",","."),FIND("/",SUBSTITUTE(LEFT(TRIM(C490),FIND(" ",TRIM(C490)&amp;" ")-1),",","."))-1)/MID(SUBSTITUTE(LEFT(TRIM(C490),FIND(" ",TRIM(C490)&amp;" ")-1),",","."),FIND("/",SUBSTITUTE(LEFT(TRIM(C490),FIND(" ",TRIM(C490)&amp;" ")-1),",","."))+1,9)),IF(ISNUMBER(SEARCH("yea",C490)),IFERROR(_xlfn.NUMBERVALUE(SUBSTITUTE(LEFT(TRIM(C490),FIND(" ",TRIM(C490)&amp;" ")-1),",","."),"."),LEFT(SUBSTITUTE(LEFT(TRIM(C490),FIND(" ",TRIM(C490)&amp;" ")-1),",","."),FIND("/",SUBSTITUTE(LEFT(TRIM(C490),FIND(" ",TRIM(C490)&amp;" ")-1),",","."))-1)/MID(SUBSTITUTE(LEFT(TRIM(C490),FIND(" ",TRIM(C490)&amp;" ")-1),",","."),FIND("/",SUBSTITUTE(LEFT(TRIM(C490),FIND(" ",TRIM(C490)&amp;" ")-1),",","."))+1,9))*12,NA()))),0),24)*'Aturan &amp; Tarif'!$B$4,2)</f>
        <v>1362.72</v>
      </c>
      <c r="K490" s="42" t="n">
        <f aca="false">'Aturan &amp; Tarif'!$B$5</f>
        <v>2050</v>
      </c>
      <c r="L490" s="35" t="n">
        <f aca="false">I490+J490+K490</f>
        <v>7612.72</v>
      </c>
      <c r="M490" s="44" t="s">
        <v>3128</v>
      </c>
    </row>
    <row r="491" customFormat="false" ht="14.25" hidden="false" customHeight="true" outlineLevel="0" collapsed="false">
      <c r="A491" s="39"/>
      <c r="B491" s="40" t="s">
        <v>3129</v>
      </c>
      <c r="C491" s="41" t="s">
        <v>107</v>
      </c>
      <c r="D491" s="41" t="s">
        <v>108</v>
      </c>
      <c r="E491" s="42" t="n">
        <v>3000</v>
      </c>
      <c r="F491" s="42" t="n">
        <v>1500</v>
      </c>
      <c r="G491" s="42" t="n">
        <v>200</v>
      </c>
      <c r="H491" s="43" t="n">
        <v>1</v>
      </c>
      <c r="I491" s="34" t="n">
        <f aca="false">E491*H491+N(F491)+N(G491)</f>
        <v>4700</v>
      </c>
      <c r="J491" s="42" t="n">
        <f aca="false">ROUND(IFERROR(ROUND(IF(OR(ISNUMBER(SEARCH("week",C491)),ISNUMBER(SEARCH("minggu",C491))),IFERROR(_xlfn.NUMBERVALUE(SUBSTITUTE(LEFT(TRIM(C491),FIND(" ",TRIM(C491)&amp;" ")-1),",","."),"."),LEFT(SUBSTITUTE(LEFT(TRIM(C491),FIND(" ",TRIM(C491)&amp;" ")-1),",","."),FIND("/",SUBSTITUTE(LEFT(TRIM(C491),FIND(" ",TRIM(C491)&amp;" ")-1),",","."))-1)/MID(SUBSTITUTE(LEFT(TRIM(C491),FIND(" ",TRIM(C491)&amp;" ")-1),",","."),FIND("/",SUBSTITUTE(LEFT(TRIM(C491),FIND(" ",TRIM(C491)&amp;" ")-1),",","."))+1,9))*12/52,IF(ISNUMBER(SEARCH("month",C491)),IFERROR(_xlfn.NUMBERVALUE(SUBSTITUTE(LEFT(TRIM(C491),FIND(" ",TRIM(C491)&amp;" ")-1),",","."),"."),LEFT(SUBSTITUTE(LEFT(TRIM(C491),FIND(" ",TRIM(C491)&amp;" ")-1),",","."),FIND("/",SUBSTITUTE(LEFT(TRIM(C491),FIND(" ",TRIM(C491)&amp;" ")-1),",","."))-1)/MID(SUBSTITUTE(LEFT(TRIM(C491),FIND(" ",TRIM(C491)&amp;" ")-1),",","."),FIND("/",SUBSTITUTE(LEFT(TRIM(C491),FIND(" ",TRIM(C491)&amp;" ")-1),",","."))+1,9)),IF(ISNUMBER(SEARCH("yea",C491)),IFERROR(_xlfn.NUMBERVALUE(SUBSTITUTE(LEFT(TRIM(C491),FIND(" ",TRIM(C491)&amp;" ")-1),",","."),"."),LEFT(SUBSTITUTE(LEFT(TRIM(C491),FIND(" ",TRIM(C491)&amp;" ")-1),",","."),FIND("/",SUBSTITUTE(LEFT(TRIM(C491),FIND(" ",TRIM(C491)&amp;" ")-1),",","."))-1)/MID(SUBSTITUTE(LEFT(TRIM(C491),FIND(" ",TRIM(C491)&amp;" ")-1),",","."),FIND("/",SUBSTITUTE(LEFT(TRIM(C491),FIND(" ",TRIM(C491)&amp;" ")-1),",","."))+1,9))*12,NA()))),0),24)*'Aturan &amp; Tarif'!$B$4,2)</f>
        <v>1362.72</v>
      </c>
      <c r="K491" s="42" t="n">
        <f aca="false">'Aturan &amp; Tarif'!$B$5</f>
        <v>2050</v>
      </c>
      <c r="L491" s="35" t="n">
        <f aca="false">I491+J491+K491</f>
        <v>8112.72</v>
      </c>
      <c r="M491" s="44" t="s">
        <v>3130</v>
      </c>
    </row>
    <row r="492" customFormat="false" ht="25.5" hidden="false" customHeight="true" outlineLevel="0" collapsed="false">
      <c r="A492" s="39"/>
      <c r="B492" s="40" t="s">
        <v>3131</v>
      </c>
      <c r="C492" s="41" t="s">
        <v>107</v>
      </c>
      <c r="D492" s="41" t="s">
        <v>108</v>
      </c>
      <c r="E492" s="42" t="n">
        <v>3000</v>
      </c>
      <c r="F492" s="42" t="n">
        <v>1500</v>
      </c>
      <c r="G492" s="42" t="n">
        <v>200</v>
      </c>
      <c r="H492" s="43" t="n">
        <v>1</v>
      </c>
      <c r="I492" s="34" t="n">
        <f aca="false">E492*H492+N(F492)+N(G492)</f>
        <v>4700</v>
      </c>
      <c r="J492" s="42" t="n">
        <f aca="false">ROUND(IFERROR(ROUND(IF(OR(ISNUMBER(SEARCH("week",C492)),ISNUMBER(SEARCH("minggu",C492))),IFERROR(_xlfn.NUMBERVALUE(SUBSTITUTE(LEFT(TRIM(C492),FIND(" ",TRIM(C492)&amp;" ")-1),",","."),"."),LEFT(SUBSTITUTE(LEFT(TRIM(C492),FIND(" ",TRIM(C492)&amp;" ")-1),",","."),FIND("/",SUBSTITUTE(LEFT(TRIM(C492),FIND(" ",TRIM(C492)&amp;" ")-1),",","."))-1)/MID(SUBSTITUTE(LEFT(TRIM(C492),FIND(" ",TRIM(C492)&amp;" ")-1),",","."),FIND("/",SUBSTITUTE(LEFT(TRIM(C492),FIND(" ",TRIM(C492)&amp;" ")-1),",","."))+1,9))*12/52,IF(ISNUMBER(SEARCH("month",C492)),IFERROR(_xlfn.NUMBERVALUE(SUBSTITUTE(LEFT(TRIM(C492),FIND(" ",TRIM(C492)&amp;" ")-1),",","."),"."),LEFT(SUBSTITUTE(LEFT(TRIM(C492),FIND(" ",TRIM(C492)&amp;" ")-1),",","."),FIND("/",SUBSTITUTE(LEFT(TRIM(C492),FIND(" ",TRIM(C492)&amp;" ")-1),",","."))-1)/MID(SUBSTITUTE(LEFT(TRIM(C492),FIND(" ",TRIM(C492)&amp;" ")-1),",","."),FIND("/",SUBSTITUTE(LEFT(TRIM(C492),FIND(" ",TRIM(C492)&amp;" ")-1),",","."))+1,9)),IF(ISNUMBER(SEARCH("yea",C492)),IFERROR(_xlfn.NUMBERVALUE(SUBSTITUTE(LEFT(TRIM(C492),FIND(" ",TRIM(C492)&amp;" ")-1),",","."),"."),LEFT(SUBSTITUTE(LEFT(TRIM(C492),FIND(" ",TRIM(C492)&amp;" ")-1),",","."),FIND("/",SUBSTITUTE(LEFT(TRIM(C492),FIND(" ",TRIM(C492)&amp;" ")-1),",","."))-1)/MID(SUBSTITUTE(LEFT(TRIM(C492),FIND(" ",TRIM(C492)&amp;" ")-1),",","."),FIND("/",SUBSTITUTE(LEFT(TRIM(C492),FIND(" ",TRIM(C492)&amp;" ")-1),",","."))+1,9))*12,NA()))),0),24)*'Aturan &amp; Tarif'!$B$4,2)</f>
        <v>1362.72</v>
      </c>
      <c r="K492" s="42" t="n">
        <f aca="false">'Aturan &amp; Tarif'!$B$5</f>
        <v>2050</v>
      </c>
      <c r="L492" s="35" t="n">
        <f aca="false">I492+J492+K492</f>
        <v>8112.72</v>
      </c>
      <c r="M492" s="44" t="s">
        <v>3130</v>
      </c>
    </row>
    <row r="493" customFormat="false" ht="25.5" hidden="false" customHeight="true" outlineLevel="0" collapsed="false">
      <c r="A493" s="39"/>
      <c r="B493" s="40" t="s">
        <v>3132</v>
      </c>
      <c r="C493" s="41" t="s">
        <v>107</v>
      </c>
      <c r="D493" s="41" t="s">
        <v>108</v>
      </c>
      <c r="E493" s="42" t="n">
        <v>2500</v>
      </c>
      <c r="F493" s="42" t="n">
        <v>1500</v>
      </c>
      <c r="G493" s="42" t="n">
        <v>200</v>
      </c>
      <c r="H493" s="43" t="n">
        <v>1</v>
      </c>
      <c r="I493" s="34" t="n">
        <f aca="false">E493*H493+N(F493)+N(G493)</f>
        <v>4200</v>
      </c>
      <c r="J493" s="42" t="n">
        <f aca="false">ROUND(IFERROR(ROUND(IF(OR(ISNUMBER(SEARCH("week",C493)),ISNUMBER(SEARCH("minggu",C493))),IFERROR(_xlfn.NUMBERVALUE(SUBSTITUTE(LEFT(TRIM(C493),FIND(" ",TRIM(C493)&amp;" ")-1),",","."),"."),LEFT(SUBSTITUTE(LEFT(TRIM(C493),FIND(" ",TRIM(C493)&amp;" ")-1),",","."),FIND("/",SUBSTITUTE(LEFT(TRIM(C493),FIND(" ",TRIM(C493)&amp;" ")-1),",","."))-1)/MID(SUBSTITUTE(LEFT(TRIM(C493),FIND(" ",TRIM(C493)&amp;" ")-1),",","."),FIND("/",SUBSTITUTE(LEFT(TRIM(C493),FIND(" ",TRIM(C493)&amp;" ")-1),",","."))+1,9))*12/52,IF(ISNUMBER(SEARCH("month",C493)),IFERROR(_xlfn.NUMBERVALUE(SUBSTITUTE(LEFT(TRIM(C493),FIND(" ",TRIM(C493)&amp;" ")-1),",","."),"."),LEFT(SUBSTITUTE(LEFT(TRIM(C493),FIND(" ",TRIM(C493)&amp;" ")-1),",","."),FIND("/",SUBSTITUTE(LEFT(TRIM(C493),FIND(" ",TRIM(C493)&amp;" ")-1),",","."))-1)/MID(SUBSTITUTE(LEFT(TRIM(C493),FIND(" ",TRIM(C493)&amp;" ")-1),",","."),FIND("/",SUBSTITUTE(LEFT(TRIM(C493),FIND(" ",TRIM(C493)&amp;" ")-1),",","."))+1,9)),IF(ISNUMBER(SEARCH("yea",C493)),IFERROR(_xlfn.NUMBERVALUE(SUBSTITUTE(LEFT(TRIM(C493),FIND(" ",TRIM(C493)&amp;" ")-1),",","."),"."),LEFT(SUBSTITUTE(LEFT(TRIM(C493),FIND(" ",TRIM(C493)&amp;" ")-1),",","."),FIND("/",SUBSTITUTE(LEFT(TRIM(C493),FIND(" ",TRIM(C493)&amp;" ")-1),",","."))-1)/MID(SUBSTITUTE(LEFT(TRIM(C493),FIND(" ",TRIM(C493)&amp;" ")-1),",","."),FIND("/",SUBSTITUTE(LEFT(TRIM(C493),FIND(" ",TRIM(C493)&amp;" ")-1),",","."))+1,9))*12,NA()))),0),24)*'Aturan &amp; Tarif'!$B$4,2)</f>
        <v>1362.72</v>
      </c>
      <c r="K493" s="42" t="n">
        <f aca="false">'Aturan &amp; Tarif'!$B$5</f>
        <v>2050</v>
      </c>
      <c r="L493" s="35" t="n">
        <f aca="false">I493+J493+K493</f>
        <v>7612.72</v>
      </c>
      <c r="M493" s="44" t="s">
        <v>3133</v>
      </c>
    </row>
    <row r="494" customFormat="false" ht="37.5" hidden="false" customHeight="true" outlineLevel="0" collapsed="false">
      <c r="A494" s="39"/>
      <c r="B494" s="40" t="s">
        <v>3134</v>
      </c>
      <c r="C494" s="41" t="s">
        <v>107</v>
      </c>
      <c r="D494" s="41" t="s">
        <v>108</v>
      </c>
      <c r="E494" s="42" t="n">
        <v>3500</v>
      </c>
      <c r="F494" s="42" t="n">
        <v>2000</v>
      </c>
      <c r="G494" s="42" t="n">
        <v>200</v>
      </c>
      <c r="H494" s="43" t="n">
        <v>1</v>
      </c>
      <c r="I494" s="34" t="n">
        <f aca="false">E494*H494+N(F494)+N(G494)</f>
        <v>5700</v>
      </c>
      <c r="J494" s="42" t="n">
        <f aca="false">ROUND(IFERROR(ROUND(IF(OR(ISNUMBER(SEARCH("week",C494)),ISNUMBER(SEARCH("minggu",C494))),IFERROR(_xlfn.NUMBERVALUE(SUBSTITUTE(LEFT(TRIM(C494),FIND(" ",TRIM(C494)&amp;" ")-1),",","."),"."),LEFT(SUBSTITUTE(LEFT(TRIM(C494),FIND(" ",TRIM(C494)&amp;" ")-1),",","."),FIND("/",SUBSTITUTE(LEFT(TRIM(C494),FIND(" ",TRIM(C494)&amp;" ")-1),",","."))-1)/MID(SUBSTITUTE(LEFT(TRIM(C494),FIND(" ",TRIM(C494)&amp;" ")-1),",","."),FIND("/",SUBSTITUTE(LEFT(TRIM(C494),FIND(" ",TRIM(C494)&amp;" ")-1),",","."))+1,9))*12/52,IF(ISNUMBER(SEARCH("month",C494)),IFERROR(_xlfn.NUMBERVALUE(SUBSTITUTE(LEFT(TRIM(C494),FIND(" ",TRIM(C494)&amp;" ")-1),",","."),"."),LEFT(SUBSTITUTE(LEFT(TRIM(C494),FIND(" ",TRIM(C494)&amp;" ")-1),",","."),FIND("/",SUBSTITUTE(LEFT(TRIM(C494),FIND(" ",TRIM(C494)&amp;" ")-1),",","."))-1)/MID(SUBSTITUTE(LEFT(TRIM(C494),FIND(" ",TRIM(C494)&amp;" ")-1),",","."),FIND("/",SUBSTITUTE(LEFT(TRIM(C494),FIND(" ",TRIM(C494)&amp;" ")-1),",","."))+1,9)),IF(ISNUMBER(SEARCH("yea",C494)),IFERROR(_xlfn.NUMBERVALUE(SUBSTITUTE(LEFT(TRIM(C494),FIND(" ",TRIM(C494)&amp;" ")-1),",","."),"."),LEFT(SUBSTITUTE(LEFT(TRIM(C494),FIND(" ",TRIM(C494)&amp;" ")-1),",","."),FIND("/",SUBSTITUTE(LEFT(TRIM(C494),FIND(" ",TRIM(C494)&amp;" ")-1),",","."))-1)/MID(SUBSTITUTE(LEFT(TRIM(C494),FIND(" ",TRIM(C494)&amp;" ")-1),",","."),FIND("/",SUBSTITUTE(LEFT(TRIM(C494),FIND(" ",TRIM(C494)&amp;" ")-1),",","."))+1,9))*12,NA()))),0),24)*'Aturan &amp; Tarif'!$B$4,2)</f>
        <v>1362.72</v>
      </c>
      <c r="K494" s="42" t="n">
        <f aca="false">'Aturan &amp; Tarif'!$B$5</f>
        <v>2050</v>
      </c>
      <c r="L494" s="35" t="n">
        <f aca="false">I494+J494+K494</f>
        <v>9112.72</v>
      </c>
      <c r="M494" s="44" t="s">
        <v>3135</v>
      </c>
    </row>
    <row r="495" customFormat="false" ht="37.5" hidden="false" customHeight="true" outlineLevel="0" collapsed="false">
      <c r="A495" s="39" t="s">
        <v>2073</v>
      </c>
      <c r="B495" s="40" t="s">
        <v>697</v>
      </c>
      <c r="C495" s="41" t="s">
        <v>107</v>
      </c>
      <c r="D495" s="41" t="s">
        <v>108</v>
      </c>
      <c r="E495" s="42" t="n">
        <v>1250</v>
      </c>
      <c r="F495" s="42" t="n">
        <v>120</v>
      </c>
      <c r="G495" s="42" t="n">
        <v>250</v>
      </c>
      <c r="H495" s="43" t="n">
        <v>1</v>
      </c>
      <c r="I495" s="34" t="n">
        <f aca="false">E495*H495+N(F495)+N(G495)</f>
        <v>1620</v>
      </c>
      <c r="J495" s="42" t="n">
        <f aca="false">ROUND(IFERROR(ROUND(IF(OR(ISNUMBER(SEARCH("week",C495)),ISNUMBER(SEARCH("minggu",C495))),IFERROR(_xlfn.NUMBERVALUE(SUBSTITUTE(LEFT(TRIM(C495),FIND(" ",TRIM(C495)&amp;" ")-1),",","."),"."),LEFT(SUBSTITUTE(LEFT(TRIM(C495),FIND(" ",TRIM(C495)&amp;" ")-1),",","."),FIND("/",SUBSTITUTE(LEFT(TRIM(C495),FIND(" ",TRIM(C495)&amp;" ")-1),",","."))-1)/MID(SUBSTITUTE(LEFT(TRIM(C495),FIND(" ",TRIM(C495)&amp;" ")-1),",","."),FIND("/",SUBSTITUTE(LEFT(TRIM(C495),FIND(" ",TRIM(C495)&amp;" ")-1),",","."))+1,9))*12/52,IF(ISNUMBER(SEARCH("month",C495)),IFERROR(_xlfn.NUMBERVALUE(SUBSTITUTE(LEFT(TRIM(C495),FIND(" ",TRIM(C495)&amp;" ")-1),",","."),"."),LEFT(SUBSTITUTE(LEFT(TRIM(C495),FIND(" ",TRIM(C495)&amp;" ")-1),",","."),FIND("/",SUBSTITUTE(LEFT(TRIM(C495),FIND(" ",TRIM(C495)&amp;" ")-1),",","."))-1)/MID(SUBSTITUTE(LEFT(TRIM(C495),FIND(" ",TRIM(C495)&amp;" ")-1),",","."),FIND("/",SUBSTITUTE(LEFT(TRIM(C495),FIND(" ",TRIM(C495)&amp;" ")-1),",","."))+1,9)),IF(ISNUMBER(SEARCH("yea",C495)),IFERROR(_xlfn.NUMBERVALUE(SUBSTITUTE(LEFT(TRIM(C495),FIND(" ",TRIM(C495)&amp;" ")-1),",","."),"."),LEFT(SUBSTITUTE(LEFT(TRIM(C495),FIND(" ",TRIM(C495)&amp;" ")-1),",","."),FIND("/",SUBSTITUTE(LEFT(TRIM(C495),FIND(" ",TRIM(C495)&amp;" ")-1),",","."))-1)/MID(SUBSTITUTE(LEFT(TRIM(C495),FIND(" ",TRIM(C495)&amp;" ")-1),",","."),FIND("/",SUBSTITUTE(LEFT(TRIM(C495),FIND(" ",TRIM(C495)&amp;" ")-1),",","."))+1,9))*12,NA()))),0),24)*'Aturan &amp; Tarif'!$B$4,2)</f>
        <v>1362.72</v>
      </c>
      <c r="K495" s="42" t="n">
        <f aca="false">'Aturan &amp; Tarif'!$B$5</f>
        <v>2050</v>
      </c>
      <c r="L495" s="35" t="n">
        <f aca="false">I495+J495+K495</f>
        <v>5032.72</v>
      </c>
      <c r="M495" s="45" t="s">
        <v>698</v>
      </c>
    </row>
    <row r="496" customFormat="false" ht="37.5" hidden="false" customHeight="true" outlineLevel="0" collapsed="false">
      <c r="A496" s="39"/>
      <c r="B496" s="40" t="s">
        <v>3136</v>
      </c>
      <c r="C496" s="41" t="s">
        <v>136</v>
      </c>
      <c r="D496" s="41" t="s">
        <v>108</v>
      </c>
      <c r="E496" s="42" t="n">
        <v>1250</v>
      </c>
      <c r="F496" s="42" t="n">
        <v>120</v>
      </c>
      <c r="G496" s="42" t="n">
        <v>250</v>
      </c>
      <c r="H496" s="43" t="n">
        <v>1</v>
      </c>
      <c r="I496" s="34" t="n">
        <f aca="false">E496*H496+N(F496)+N(G496)</f>
        <v>1620</v>
      </c>
      <c r="J496" s="42" t="n">
        <f aca="false">ROUND(IFERROR(ROUND(IF(OR(ISNUMBER(SEARCH("week",C496)),ISNUMBER(SEARCH("minggu",C496))),IFERROR(_xlfn.NUMBERVALUE(SUBSTITUTE(LEFT(TRIM(C496),FIND(" ",TRIM(C496)&amp;" ")-1),",","."),"."),LEFT(SUBSTITUTE(LEFT(TRIM(C496),FIND(" ",TRIM(C496)&amp;" ")-1),",","."),FIND("/",SUBSTITUTE(LEFT(TRIM(C496),FIND(" ",TRIM(C496)&amp;" ")-1),",","."))-1)/MID(SUBSTITUTE(LEFT(TRIM(C496),FIND(" ",TRIM(C496)&amp;" ")-1),",","."),FIND("/",SUBSTITUTE(LEFT(TRIM(C496),FIND(" ",TRIM(C496)&amp;" ")-1),",","."))+1,9))*12/52,IF(ISNUMBER(SEARCH("month",C496)),IFERROR(_xlfn.NUMBERVALUE(SUBSTITUTE(LEFT(TRIM(C496),FIND(" ",TRIM(C496)&amp;" ")-1),",","."),"."),LEFT(SUBSTITUTE(LEFT(TRIM(C496),FIND(" ",TRIM(C496)&amp;" ")-1),",","."),FIND("/",SUBSTITUTE(LEFT(TRIM(C496),FIND(" ",TRIM(C496)&amp;" ")-1),",","."))-1)/MID(SUBSTITUTE(LEFT(TRIM(C496),FIND(" ",TRIM(C496)&amp;" ")-1),",","."),FIND("/",SUBSTITUTE(LEFT(TRIM(C496),FIND(" ",TRIM(C496)&amp;" ")-1),",","."))+1,9)),IF(ISNUMBER(SEARCH("yea",C496)),IFERROR(_xlfn.NUMBERVALUE(SUBSTITUTE(LEFT(TRIM(C496),FIND(" ",TRIM(C496)&amp;" ")-1),",","."),"."),LEFT(SUBSTITUTE(LEFT(TRIM(C496),FIND(" ",TRIM(C496)&amp;" ")-1),",","."),FIND("/",SUBSTITUTE(LEFT(TRIM(C496),FIND(" ",TRIM(C496)&amp;" ")-1),",","."))-1)/MID(SUBSTITUTE(LEFT(TRIM(C496),FIND(" ",TRIM(C496)&amp;" ")-1),",","."),FIND("/",SUBSTITUTE(LEFT(TRIM(C496),FIND(" ",TRIM(C496)&amp;" ")-1),",","."))+1,9))*12,NA()))),0),42)*'Aturan &amp; Tarif'!$B$4,2)</f>
        <v>2384.76</v>
      </c>
      <c r="K496" s="42" t="n">
        <f aca="false">'Aturan &amp; Tarif'!$B$5</f>
        <v>2050</v>
      </c>
      <c r="L496" s="35" t="n">
        <f aca="false">I496+J496+K496</f>
        <v>6054.76</v>
      </c>
      <c r="M496" s="44" t="s">
        <v>700</v>
      </c>
    </row>
    <row r="497" customFormat="false" ht="14.25" hidden="false" customHeight="true" outlineLevel="0" collapsed="false">
      <c r="A497" s="39"/>
      <c r="B497" s="40" t="s">
        <v>701</v>
      </c>
      <c r="C497" s="41" t="s">
        <v>107</v>
      </c>
      <c r="D497" s="41" t="s">
        <v>108</v>
      </c>
      <c r="E497" s="42" t="n">
        <v>1250</v>
      </c>
      <c r="F497" s="42" t="n">
        <v>120</v>
      </c>
      <c r="G497" s="42" t="n">
        <v>250</v>
      </c>
      <c r="H497" s="43" t="n">
        <v>1</v>
      </c>
      <c r="I497" s="34" t="n">
        <f aca="false">E497*H497+N(F497)+N(G497)</f>
        <v>1620</v>
      </c>
      <c r="J497" s="42" t="n">
        <f aca="false">ROUND(IFERROR(ROUND(IF(OR(ISNUMBER(SEARCH("week",C497)),ISNUMBER(SEARCH("minggu",C497))),IFERROR(_xlfn.NUMBERVALUE(SUBSTITUTE(LEFT(TRIM(C497),FIND(" ",TRIM(C497)&amp;" ")-1),",","."),"."),LEFT(SUBSTITUTE(LEFT(TRIM(C497),FIND(" ",TRIM(C497)&amp;" ")-1),",","."),FIND("/",SUBSTITUTE(LEFT(TRIM(C497),FIND(" ",TRIM(C497)&amp;" ")-1),",","."))-1)/MID(SUBSTITUTE(LEFT(TRIM(C497),FIND(" ",TRIM(C497)&amp;" ")-1),",","."),FIND("/",SUBSTITUTE(LEFT(TRIM(C497),FIND(" ",TRIM(C497)&amp;" ")-1),",","."))+1,9))*12/52,IF(ISNUMBER(SEARCH("month",C497)),IFERROR(_xlfn.NUMBERVALUE(SUBSTITUTE(LEFT(TRIM(C497),FIND(" ",TRIM(C497)&amp;" ")-1),",","."),"."),LEFT(SUBSTITUTE(LEFT(TRIM(C497),FIND(" ",TRIM(C497)&amp;" ")-1),",","."),FIND("/",SUBSTITUTE(LEFT(TRIM(C497),FIND(" ",TRIM(C497)&amp;" ")-1),",","."))-1)/MID(SUBSTITUTE(LEFT(TRIM(C497),FIND(" ",TRIM(C497)&amp;" ")-1),",","."),FIND("/",SUBSTITUTE(LEFT(TRIM(C497),FIND(" ",TRIM(C497)&amp;" ")-1),",","."))+1,9)),IF(ISNUMBER(SEARCH("yea",C497)),IFERROR(_xlfn.NUMBERVALUE(SUBSTITUTE(LEFT(TRIM(C497),FIND(" ",TRIM(C497)&amp;" ")-1),",","."),"."),LEFT(SUBSTITUTE(LEFT(TRIM(C497),FIND(" ",TRIM(C497)&amp;" ")-1),",","."),FIND("/",SUBSTITUTE(LEFT(TRIM(C497),FIND(" ",TRIM(C497)&amp;" ")-1),",","."))-1)/MID(SUBSTITUTE(LEFT(TRIM(C497),FIND(" ",TRIM(C497)&amp;" ")-1),",","."),FIND("/",SUBSTITUTE(LEFT(TRIM(C497),FIND(" ",TRIM(C497)&amp;" ")-1),",","."))+1,9))*12,NA()))),0),24)*'Aturan &amp; Tarif'!$B$4,2)</f>
        <v>1362.72</v>
      </c>
      <c r="K497" s="42" t="n">
        <f aca="false">'Aturan &amp; Tarif'!$B$5</f>
        <v>2050</v>
      </c>
      <c r="L497" s="35" t="n">
        <f aca="false">I497+J497+K497</f>
        <v>5032.72</v>
      </c>
      <c r="M497" s="45" t="s">
        <v>702</v>
      </c>
    </row>
    <row r="498" customFormat="false" ht="25.5" hidden="false" customHeight="true" outlineLevel="0" collapsed="false">
      <c r="A498" s="39"/>
      <c r="B498" s="40" t="s">
        <v>2075</v>
      </c>
      <c r="C498" s="41" t="s">
        <v>136</v>
      </c>
      <c r="D498" s="41" t="s">
        <v>108</v>
      </c>
      <c r="E498" s="42" t="n">
        <v>1250</v>
      </c>
      <c r="F498" s="42" t="n">
        <v>120</v>
      </c>
      <c r="G498" s="42" t="n">
        <v>250</v>
      </c>
      <c r="H498" s="43" t="n">
        <v>1</v>
      </c>
      <c r="I498" s="34" t="n">
        <f aca="false">E498*H498+N(F498)+N(G498)</f>
        <v>1620</v>
      </c>
      <c r="J498" s="42" t="n">
        <f aca="false">ROUND(IFERROR(ROUND(IF(OR(ISNUMBER(SEARCH("week",C498)),ISNUMBER(SEARCH("minggu",C498))),IFERROR(_xlfn.NUMBERVALUE(SUBSTITUTE(LEFT(TRIM(C498),FIND(" ",TRIM(C498)&amp;" ")-1),",","."),"."),LEFT(SUBSTITUTE(LEFT(TRIM(C498),FIND(" ",TRIM(C498)&amp;" ")-1),",","."),FIND("/",SUBSTITUTE(LEFT(TRIM(C498),FIND(" ",TRIM(C498)&amp;" ")-1),",","."))-1)/MID(SUBSTITUTE(LEFT(TRIM(C498),FIND(" ",TRIM(C498)&amp;" ")-1),",","."),FIND("/",SUBSTITUTE(LEFT(TRIM(C498),FIND(" ",TRIM(C498)&amp;" ")-1),",","."))+1,9))*12/52,IF(ISNUMBER(SEARCH("month",C498)),IFERROR(_xlfn.NUMBERVALUE(SUBSTITUTE(LEFT(TRIM(C498),FIND(" ",TRIM(C498)&amp;" ")-1),",","."),"."),LEFT(SUBSTITUTE(LEFT(TRIM(C498),FIND(" ",TRIM(C498)&amp;" ")-1),",","."),FIND("/",SUBSTITUTE(LEFT(TRIM(C498),FIND(" ",TRIM(C498)&amp;" ")-1),",","."))-1)/MID(SUBSTITUTE(LEFT(TRIM(C498),FIND(" ",TRIM(C498)&amp;" ")-1),",","."),FIND("/",SUBSTITUTE(LEFT(TRIM(C498),FIND(" ",TRIM(C498)&amp;" ")-1),",","."))+1,9)),IF(ISNUMBER(SEARCH("yea",C498)),IFERROR(_xlfn.NUMBERVALUE(SUBSTITUTE(LEFT(TRIM(C498),FIND(" ",TRIM(C498)&amp;" ")-1),",","."),"."),LEFT(SUBSTITUTE(LEFT(TRIM(C498),FIND(" ",TRIM(C498)&amp;" ")-1),",","."),FIND("/",SUBSTITUTE(LEFT(TRIM(C498),FIND(" ",TRIM(C498)&amp;" ")-1),",","."))-1)/MID(SUBSTITUTE(LEFT(TRIM(C498),FIND(" ",TRIM(C498)&amp;" ")-1),",","."),FIND("/",SUBSTITUTE(LEFT(TRIM(C498),FIND(" ",TRIM(C498)&amp;" ")-1),",","."))+1,9))*12,NA()))),0),42)*'Aturan &amp; Tarif'!$B$4,2)</f>
        <v>2384.76</v>
      </c>
      <c r="K498" s="42" t="n">
        <f aca="false">'Aturan &amp; Tarif'!$B$5</f>
        <v>2050</v>
      </c>
      <c r="L498" s="35" t="n">
        <f aca="false">I498+J498+K498</f>
        <v>6054.76</v>
      </c>
      <c r="M498" s="44" t="s">
        <v>704</v>
      </c>
    </row>
    <row r="499" customFormat="false" ht="14.25" hidden="false" customHeight="true" outlineLevel="0" collapsed="false">
      <c r="A499" s="39"/>
      <c r="B499" s="40" t="s">
        <v>705</v>
      </c>
      <c r="C499" s="41" t="s">
        <v>706</v>
      </c>
      <c r="D499" s="41" t="s">
        <v>108</v>
      </c>
      <c r="E499" s="42" t="n">
        <v>1250</v>
      </c>
      <c r="F499" s="42" t="n">
        <v>120</v>
      </c>
      <c r="G499" s="42" t="n">
        <v>260</v>
      </c>
      <c r="H499" s="43" t="n">
        <v>1</v>
      </c>
      <c r="I499" s="34" t="n">
        <f aca="false">E499*H499+N(F499)+N(G499)</f>
        <v>1630</v>
      </c>
      <c r="J499" s="42" t="n">
        <f aca="false">ROUND(IFERROR(ROUND(IF(OR(ISNUMBER(SEARCH("week",C499)),ISNUMBER(SEARCH("minggu",C499))),IFERROR(_xlfn.NUMBERVALUE(SUBSTITUTE(LEFT(TRIM(C499),FIND(" ",TRIM(C499)&amp;" ")-1),",","."),"."),LEFT(SUBSTITUTE(LEFT(TRIM(C499),FIND(" ",TRIM(C499)&amp;" ")-1),",","."),FIND("/",SUBSTITUTE(LEFT(TRIM(C499),FIND(" ",TRIM(C499)&amp;" ")-1),",","."))-1)/MID(SUBSTITUTE(LEFT(TRIM(C499),FIND(" ",TRIM(C499)&amp;" ")-1),",","."),FIND("/",SUBSTITUTE(LEFT(TRIM(C499),FIND(" ",TRIM(C499)&amp;" ")-1),",","."))+1,9))*12/52,IF(ISNUMBER(SEARCH("month",C499)),IFERROR(_xlfn.NUMBERVALUE(SUBSTITUTE(LEFT(TRIM(C499),FIND(" ",TRIM(C499)&amp;" ")-1),",","."),"."),LEFT(SUBSTITUTE(LEFT(TRIM(C499),FIND(" ",TRIM(C499)&amp;" ")-1),",","."),FIND("/",SUBSTITUTE(LEFT(TRIM(C499),FIND(" ",TRIM(C499)&amp;" ")-1),",","."))-1)/MID(SUBSTITUTE(LEFT(TRIM(C499),FIND(" ",TRIM(C499)&amp;" ")-1),",","."),FIND("/",SUBSTITUTE(LEFT(TRIM(C499),FIND(" ",TRIM(C499)&amp;" ")-1),",","."))+1,9)),IF(ISNUMBER(SEARCH("yea",C499)),IFERROR(_xlfn.NUMBERVALUE(SUBSTITUTE(LEFT(TRIM(C499),FIND(" ",TRIM(C499)&amp;" ")-1),",","."),"."),LEFT(SUBSTITUTE(LEFT(TRIM(C499),FIND(" ",TRIM(C499)&amp;" ")-1),",","."),FIND("/",SUBSTITUTE(LEFT(TRIM(C499),FIND(" ",TRIM(C499)&amp;" ")-1),",","."))-1)/MID(SUBSTITUTE(LEFT(TRIM(C499),FIND(" ",TRIM(C499)&amp;" ")-1),",","."),FIND("/",SUBSTITUTE(LEFT(TRIM(C499),FIND(" ",TRIM(C499)&amp;" ")-1),",","."))+1,9))*12,NA()))),0),22)*'Aturan &amp; Tarif'!$B$4,2)</f>
        <v>1249.16</v>
      </c>
      <c r="K499" s="42" t="n">
        <f aca="false">'Aturan &amp; Tarif'!$B$5</f>
        <v>2050</v>
      </c>
      <c r="L499" s="35" t="n">
        <f aca="false">I499+J499+K499</f>
        <v>4929.16</v>
      </c>
      <c r="M499" s="45" t="s">
        <v>707</v>
      </c>
    </row>
    <row r="500" customFormat="false" ht="37.5" hidden="false" customHeight="true" outlineLevel="0" collapsed="false">
      <c r="A500" s="39"/>
      <c r="B500" s="40" t="s">
        <v>2076</v>
      </c>
      <c r="C500" s="41" t="s">
        <v>709</v>
      </c>
      <c r="D500" s="41" t="s">
        <v>108</v>
      </c>
      <c r="E500" s="42" t="n">
        <v>1250</v>
      </c>
      <c r="F500" s="42" t="n">
        <v>120</v>
      </c>
      <c r="G500" s="42" t="n">
        <v>260</v>
      </c>
      <c r="H500" s="43" t="n">
        <v>1</v>
      </c>
      <c r="I500" s="34" t="n">
        <f aca="false">E500*H500+N(F500)+N(G500)</f>
        <v>1630</v>
      </c>
      <c r="J500" s="42" t="n">
        <f aca="false">ROUND(IFERROR(ROUND(IF(OR(ISNUMBER(SEARCH("week",C500)),ISNUMBER(SEARCH("minggu",C500))),IFERROR(_xlfn.NUMBERVALUE(SUBSTITUTE(LEFT(TRIM(C500),FIND(" ",TRIM(C500)&amp;" ")-1),",","."),"."),LEFT(SUBSTITUTE(LEFT(TRIM(C500),FIND(" ",TRIM(C500)&amp;" ")-1),",","."),FIND("/",SUBSTITUTE(LEFT(TRIM(C500),FIND(" ",TRIM(C500)&amp;" ")-1),",","."))-1)/MID(SUBSTITUTE(LEFT(TRIM(C500),FIND(" ",TRIM(C500)&amp;" ")-1),",","."),FIND("/",SUBSTITUTE(LEFT(TRIM(C500),FIND(" ",TRIM(C500)&amp;" ")-1),",","."))+1,9))*12/52,IF(ISNUMBER(SEARCH("month",C500)),IFERROR(_xlfn.NUMBERVALUE(SUBSTITUTE(LEFT(TRIM(C500),FIND(" ",TRIM(C500)&amp;" ")-1),",","."),"."),LEFT(SUBSTITUTE(LEFT(TRIM(C500),FIND(" ",TRIM(C500)&amp;" ")-1),",","."),FIND("/",SUBSTITUTE(LEFT(TRIM(C500),FIND(" ",TRIM(C500)&amp;" ")-1),",","."))-1)/MID(SUBSTITUTE(LEFT(TRIM(C500),FIND(" ",TRIM(C500)&amp;" ")-1),",","."),FIND("/",SUBSTITUTE(LEFT(TRIM(C500),FIND(" ",TRIM(C500)&amp;" ")-1),",","."))+1,9)),IF(ISNUMBER(SEARCH("yea",C500)),IFERROR(_xlfn.NUMBERVALUE(SUBSTITUTE(LEFT(TRIM(C500),FIND(" ",TRIM(C500)&amp;" ")-1),",","."),"."),LEFT(SUBSTITUTE(LEFT(TRIM(C500),FIND(" ",TRIM(C500)&amp;" ")-1),",","."),FIND("/",SUBSTITUTE(LEFT(TRIM(C500),FIND(" ",TRIM(C500)&amp;" ")-1),",","."))-1)/MID(SUBSTITUTE(LEFT(TRIM(C500),FIND(" ",TRIM(C500)&amp;" ")-1),",","."),FIND("/",SUBSTITUTE(LEFT(TRIM(C500),FIND(" ",TRIM(C500)&amp;" ")-1),",","."))+1,9))*12,NA()))),0),40)*'Aturan &amp; Tarif'!$B$4,2)</f>
        <v>2271.2</v>
      </c>
      <c r="K500" s="42" t="n">
        <f aca="false">'Aturan &amp; Tarif'!$B$5</f>
        <v>2050</v>
      </c>
      <c r="L500" s="35" t="n">
        <f aca="false">I500+J500+K500</f>
        <v>5951.2</v>
      </c>
      <c r="M500" s="44" t="s">
        <v>710</v>
      </c>
    </row>
    <row r="501" customFormat="false" ht="25.5" hidden="false" customHeight="true" outlineLevel="0" collapsed="false">
      <c r="A501" s="39"/>
      <c r="B501" s="40" t="s">
        <v>496</v>
      </c>
      <c r="C501" s="41" t="s">
        <v>706</v>
      </c>
      <c r="D501" s="41" t="s">
        <v>108</v>
      </c>
      <c r="E501" s="42" t="n">
        <v>1250</v>
      </c>
      <c r="F501" s="42" t="n">
        <v>120</v>
      </c>
      <c r="G501" s="42" t="n">
        <v>260</v>
      </c>
      <c r="H501" s="43" t="n">
        <v>1</v>
      </c>
      <c r="I501" s="34" t="n">
        <f aca="false">E501*H501+N(F501)+N(G501)</f>
        <v>1630</v>
      </c>
      <c r="J501" s="42" t="n">
        <f aca="false">ROUND(IFERROR(ROUND(IF(OR(ISNUMBER(SEARCH("week",C501)),ISNUMBER(SEARCH("minggu",C501))),IFERROR(_xlfn.NUMBERVALUE(SUBSTITUTE(LEFT(TRIM(C501),FIND(" ",TRIM(C501)&amp;" ")-1),",","."),"."),LEFT(SUBSTITUTE(LEFT(TRIM(C501),FIND(" ",TRIM(C501)&amp;" ")-1),",","."),FIND("/",SUBSTITUTE(LEFT(TRIM(C501),FIND(" ",TRIM(C501)&amp;" ")-1),",","."))-1)/MID(SUBSTITUTE(LEFT(TRIM(C501),FIND(" ",TRIM(C501)&amp;" ")-1),",","."),FIND("/",SUBSTITUTE(LEFT(TRIM(C501),FIND(" ",TRIM(C501)&amp;" ")-1),",","."))+1,9))*12/52,IF(ISNUMBER(SEARCH("month",C501)),IFERROR(_xlfn.NUMBERVALUE(SUBSTITUTE(LEFT(TRIM(C501),FIND(" ",TRIM(C501)&amp;" ")-1),",","."),"."),LEFT(SUBSTITUTE(LEFT(TRIM(C501),FIND(" ",TRIM(C501)&amp;" ")-1),",","."),FIND("/",SUBSTITUTE(LEFT(TRIM(C501),FIND(" ",TRIM(C501)&amp;" ")-1),",","."))-1)/MID(SUBSTITUTE(LEFT(TRIM(C501),FIND(" ",TRIM(C501)&amp;" ")-1),",","."),FIND("/",SUBSTITUTE(LEFT(TRIM(C501),FIND(" ",TRIM(C501)&amp;" ")-1),",","."))+1,9)),IF(ISNUMBER(SEARCH("yea",C501)),IFERROR(_xlfn.NUMBERVALUE(SUBSTITUTE(LEFT(TRIM(C501),FIND(" ",TRIM(C501)&amp;" ")-1),",","."),"."),LEFT(SUBSTITUTE(LEFT(TRIM(C501),FIND(" ",TRIM(C501)&amp;" ")-1),",","."),FIND("/",SUBSTITUTE(LEFT(TRIM(C501),FIND(" ",TRIM(C501)&amp;" ")-1),",","."))-1)/MID(SUBSTITUTE(LEFT(TRIM(C501),FIND(" ",TRIM(C501)&amp;" ")-1),",","."),FIND("/",SUBSTITUTE(LEFT(TRIM(C501),FIND(" ",TRIM(C501)&amp;" ")-1),",","."))+1,9))*12,NA()))),0),22)*'Aturan &amp; Tarif'!$B$4,2)</f>
        <v>1249.16</v>
      </c>
      <c r="K501" s="42" t="n">
        <f aca="false">'Aturan &amp; Tarif'!$B$5</f>
        <v>2050</v>
      </c>
      <c r="L501" s="35" t="n">
        <f aca="false">I501+J501+K501</f>
        <v>4929.16</v>
      </c>
      <c r="M501" s="45" t="s">
        <v>707</v>
      </c>
    </row>
    <row r="502" customFormat="false" ht="37.5" hidden="false" customHeight="true" outlineLevel="0" collapsed="false">
      <c r="A502" s="39"/>
      <c r="B502" s="40" t="s">
        <v>2077</v>
      </c>
      <c r="C502" s="41" t="s">
        <v>709</v>
      </c>
      <c r="D502" s="41" t="s">
        <v>108</v>
      </c>
      <c r="E502" s="42" t="n">
        <v>1250</v>
      </c>
      <c r="F502" s="42" t="n">
        <v>120</v>
      </c>
      <c r="G502" s="42" t="n">
        <v>260</v>
      </c>
      <c r="H502" s="43" t="n">
        <v>1</v>
      </c>
      <c r="I502" s="34" t="n">
        <f aca="false">E502*H502+N(F502)+N(G502)</f>
        <v>1630</v>
      </c>
      <c r="J502" s="42" t="n">
        <f aca="false">ROUND(IFERROR(ROUND(IF(OR(ISNUMBER(SEARCH("week",C502)),ISNUMBER(SEARCH("minggu",C502))),IFERROR(_xlfn.NUMBERVALUE(SUBSTITUTE(LEFT(TRIM(C502),FIND(" ",TRIM(C502)&amp;" ")-1),",","."),"."),LEFT(SUBSTITUTE(LEFT(TRIM(C502),FIND(" ",TRIM(C502)&amp;" ")-1),",","."),FIND("/",SUBSTITUTE(LEFT(TRIM(C502),FIND(" ",TRIM(C502)&amp;" ")-1),",","."))-1)/MID(SUBSTITUTE(LEFT(TRIM(C502),FIND(" ",TRIM(C502)&amp;" ")-1),",","."),FIND("/",SUBSTITUTE(LEFT(TRIM(C502),FIND(" ",TRIM(C502)&amp;" ")-1),",","."))+1,9))*12/52,IF(ISNUMBER(SEARCH("month",C502)),IFERROR(_xlfn.NUMBERVALUE(SUBSTITUTE(LEFT(TRIM(C502),FIND(" ",TRIM(C502)&amp;" ")-1),",","."),"."),LEFT(SUBSTITUTE(LEFT(TRIM(C502),FIND(" ",TRIM(C502)&amp;" ")-1),",","."),FIND("/",SUBSTITUTE(LEFT(TRIM(C502),FIND(" ",TRIM(C502)&amp;" ")-1),",","."))-1)/MID(SUBSTITUTE(LEFT(TRIM(C502),FIND(" ",TRIM(C502)&amp;" ")-1),",","."),FIND("/",SUBSTITUTE(LEFT(TRIM(C502),FIND(" ",TRIM(C502)&amp;" ")-1),",","."))+1,9)),IF(ISNUMBER(SEARCH("yea",C502)),IFERROR(_xlfn.NUMBERVALUE(SUBSTITUTE(LEFT(TRIM(C502),FIND(" ",TRIM(C502)&amp;" ")-1),",","."),"."),LEFT(SUBSTITUTE(LEFT(TRIM(C502),FIND(" ",TRIM(C502)&amp;" ")-1),",","."),FIND("/",SUBSTITUTE(LEFT(TRIM(C502),FIND(" ",TRIM(C502)&amp;" ")-1),",","."))-1)/MID(SUBSTITUTE(LEFT(TRIM(C502),FIND(" ",TRIM(C502)&amp;" ")-1),",","."),FIND("/",SUBSTITUTE(LEFT(TRIM(C502),FIND(" ",TRIM(C502)&amp;" ")-1),",","."))+1,9))*12,NA()))),0),40)*'Aturan &amp; Tarif'!$B$4,2)</f>
        <v>2271.2</v>
      </c>
      <c r="K502" s="42" t="n">
        <f aca="false">'Aturan &amp; Tarif'!$B$5</f>
        <v>2050</v>
      </c>
      <c r="L502" s="35" t="n">
        <f aca="false">I502+J502+K502</f>
        <v>5951.2</v>
      </c>
      <c r="M502" s="44" t="s">
        <v>1629</v>
      </c>
    </row>
    <row r="503" customFormat="false" ht="48.75" hidden="false" customHeight="true" outlineLevel="0" collapsed="false">
      <c r="A503" s="39"/>
      <c r="B503" s="40" t="s">
        <v>2956</v>
      </c>
      <c r="C503" s="41" t="s">
        <v>629</v>
      </c>
      <c r="D503" s="41" t="s">
        <v>108</v>
      </c>
      <c r="E503" s="42" t="n">
        <v>1650</v>
      </c>
      <c r="F503" s="42" t="n">
        <v>120</v>
      </c>
      <c r="G503" s="42" t="n">
        <v>2500</v>
      </c>
      <c r="H503" s="43" t="n">
        <v>1</v>
      </c>
      <c r="I503" s="34" t="n">
        <f aca="false">E503*H503+N(F503)+N(G503)</f>
        <v>4270</v>
      </c>
      <c r="J503" s="42" t="n">
        <f aca="false">ROUND(IFERROR(ROUND(IF(OR(ISNUMBER(SEARCH("week",C503)),ISNUMBER(SEARCH("minggu",C503))),IFERROR(_xlfn.NUMBERVALUE(SUBSTITUTE(LEFT(TRIM(C503),FIND(" ",TRIM(C503)&amp;" ")-1),",","."),"."),LEFT(SUBSTITUTE(LEFT(TRIM(C503),FIND(" ",TRIM(C503)&amp;" ")-1),",","."),FIND("/",SUBSTITUTE(LEFT(TRIM(C503),FIND(" ",TRIM(C503)&amp;" ")-1),",","."))-1)/MID(SUBSTITUTE(LEFT(TRIM(C503),FIND(" ",TRIM(C503)&amp;" ")-1),",","."),FIND("/",SUBSTITUTE(LEFT(TRIM(C503),FIND(" ",TRIM(C503)&amp;" ")-1),",","."))+1,9))*12/52,IF(ISNUMBER(SEARCH("month",C503)),IFERROR(_xlfn.NUMBERVALUE(SUBSTITUTE(LEFT(TRIM(C503),FIND(" ",TRIM(C503)&amp;" ")-1),",","."),"."),LEFT(SUBSTITUTE(LEFT(TRIM(C503),FIND(" ",TRIM(C503)&amp;" ")-1),",","."),FIND("/",SUBSTITUTE(LEFT(TRIM(C503),FIND(" ",TRIM(C503)&amp;" ")-1),",","."))-1)/MID(SUBSTITUTE(LEFT(TRIM(C503),FIND(" ",TRIM(C503)&amp;" ")-1),",","."),FIND("/",SUBSTITUTE(LEFT(TRIM(C503),FIND(" ",TRIM(C503)&amp;" ")-1),",","."))+1,9)),IF(ISNUMBER(SEARCH("yea",C503)),IFERROR(_xlfn.NUMBERVALUE(SUBSTITUTE(LEFT(TRIM(C503),FIND(" ",TRIM(C503)&amp;" ")-1),",","."),"."),LEFT(SUBSTITUTE(LEFT(TRIM(C503),FIND(" ",TRIM(C503)&amp;" ")-1),",","."),FIND("/",SUBSTITUTE(LEFT(TRIM(C503),FIND(" ",TRIM(C503)&amp;" ")-1),",","."))-1)/MID(SUBSTITUTE(LEFT(TRIM(C503),FIND(" ",TRIM(C503)&amp;" ")-1),",","."),FIND("/",SUBSTITUTE(LEFT(TRIM(C503),FIND(" ",TRIM(C503)&amp;" ")-1),",","."))+1,9))*12,NA()))),0),18)*'Aturan &amp; Tarif'!$B$4,2)</f>
        <v>1022.04</v>
      </c>
      <c r="K503" s="42" t="n">
        <f aca="false">'Aturan &amp; Tarif'!$B$5</f>
        <v>2050</v>
      </c>
      <c r="L503" s="35" t="n">
        <f aca="false">I503+J503+K503</f>
        <v>7342.04</v>
      </c>
      <c r="M503" s="44" t="s">
        <v>3137</v>
      </c>
    </row>
    <row r="504" customFormat="false" ht="37.5" hidden="false" customHeight="true" outlineLevel="0" collapsed="false">
      <c r="A504" s="39"/>
      <c r="B504" s="40" t="s">
        <v>3138</v>
      </c>
      <c r="C504" s="41" t="s">
        <v>127</v>
      </c>
      <c r="D504" s="41" t="s">
        <v>108</v>
      </c>
      <c r="E504" s="42" t="n">
        <v>1250</v>
      </c>
      <c r="F504" s="42" t="n">
        <v>200</v>
      </c>
      <c r="G504" s="42" t="n">
        <v>260</v>
      </c>
      <c r="H504" s="43" t="n">
        <v>1</v>
      </c>
      <c r="I504" s="34" t="n">
        <f aca="false">E504*H504+N(F504)+N(G504)</f>
        <v>1710</v>
      </c>
      <c r="J504" s="42" t="n">
        <f aca="false">ROUND(IFERROR(ROUND(IF(OR(ISNUMBER(SEARCH("week",C504)),ISNUMBER(SEARCH("minggu",C504))),IFERROR(_xlfn.NUMBERVALUE(SUBSTITUTE(LEFT(TRIM(C504),FIND(" ",TRIM(C504)&amp;" ")-1),",","."),"."),LEFT(SUBSTITUTE(LEFT(TRIM(C504),FIND(" ",TRIM(C504)&amp;" ")-1),",","."),FIND("/",SUBSTITUTE(LEFT(TRIM(C504),FIND(" ",TRIM(C504)&amp;" ")-1),",","."))-1)/MID(SUBSTITUTE(LEFT(TRIM(C504),FIND(" ",TRIM(C504)&amp;" ")-1),",","."),FIND("/",SUBSTITUTE(LEFT(TRIM(C504),FIND(" ",TRIM(C504)&amp;" ")-1),",","."))+1,9))*12/52,IF(ISNUMBER(SEARCH("month",C504)),IFERROR(_xlfn.NUMBERVALUE(SUBSTITUTE(LEFT(TRIM(C504),FIND(" ",TRIM(C504)&amp;" ")-1),",","."),"."),LEFT(SUBSTITUTE(LEFT(TRIM(C504),FIND(" ",TRIM(C504)&amp;" ")-1),",","."),FIND("/",SUBSTITUTE(LEFT(TRIM(C504),FIND(" ",TRIM(C504)&amp;" ")-1),",","."))-1)/MID(SUBSTITUTE(LEFT(TRIM(C504),FIND(" ",TRIM(C504)&amp;" ")-1),",","."),FIND("/",SUBSTITUTE(LEFT(TRIM(C504),FIND(" ",TRIM(C504)&amp;" ")-1),",","."))+1,9)),IF(ISNUMBER(SEARCH("yea",C504)),IFERROR(_xlfn.NUMBERVALUE(SUBSTITUTE(LEFT(TRIM(C504),FIND(" ",TRIM(C504)&amp;" ")-1),",","."),"."),LEFT(SUBSTITUTE(LEFT(TRIM(C504),FIND(" ",TRIM(C504)&amp;" ")-1),",","."),FIND("/",SUBSTITUTE(LEFT(TRIM(C504),FIND(" ",TRIM(C504)&amp;" ")-1),",","."))-1)/MID(SUBSTITUTE(LEFT(TRIM(C504),FIND(" ",TRIM(C504)&amp;" ")-1),",","."),FIND("/",SUBSTITUTE(LEFT(TRIM(C504),FIND(" ",TRIM(C504)&amp;" ")-1),",","."))+1,9))*12,NA()))),0),36)*'Aturan &amp; Tarif'!$B$4,2)</f>
        <v>2044.08</v>
      </c>
      <c r="K504" s="42" t="n">
        <f aca="false">'Aturan &amp; Tarif'!$B$5</f>
        <v>2050</v>
      </c>
      <c r="L504" s="35" t="n">
        <f aca="false">I504+J504+K504</f>
        <v>5804.08</v>
      </c>
      <c r="M504" s="44" t="s">
        <v>2079</v>
      </c>
    </row>
    <row r="505" customFormat="false" ht="25.5" hidden="false" customHeight="true" outlineLevel="0" collapsed="false">
      <c r="A505" s="39"/>
      <c r="B505" s="40" t="s">
        <v>2840</v>
      </c>
      <c r="C505" s="41" t="s">
        <v>107</v>
      </c>
      <c r="D505" s="41" t="s">
        <v>108</v>
      </c>
      <c r="E505" s="42" t="n">
        <v>1250</v>
      </c>
      <c r="F505" s="42" t="n">
        <v>240</v>
      </c>
      <c r="G505" s="42" t="n">
        <v>260</v>
      </c>
      <c r="H505" s="43" t="n">
        <v>1</v>
      </c>
      <c r="I505" s="34" t="n">
        <f aca="false">E505*H505+N(F505)+N(G505)</f>
        <v>1750</v>
      </c>
      <c r="J505" s="42" t="n">
        <f aca="false">ROUND(IFERROR(ROUND(IF(OR(ISNUMBER(SEARCH("week",C505)),ISNUMBER(SEARCH("minggu",C505))),IFERROR(_xlfn.NUMBERVALUE(SUBSTITUTE(LEFT(TRIM(C505),FIND(" ",TRIM(C505)&amp;" ")-1),",","."),"."),LEFT(SUBSTITUTE(LEFT(TRIM(C505),FIND(" ",TRIM(C505)&amp;" ")-1),",","."),FIND("/",SUBSTITUTE(LEFT(TRIM(C505),FIND(" ",TRIM(C505)&amp;" ")-1),",","."))-1)/MID(SUBSTITUTE(LEFT(TRIM(C505),FIND(" ",TRIM(C505)&amp;" ")-1),",","."),FIND("/",SUBSTITUTE(LEFT(TRIM(C505),FIND(" ",TRIM(C505)&amp;" ")-1),",","."))+1,9))*12/52,IF(ISNUMBER(SEARCH("month",C505)),IFERROR(_xlfn.NUMBERVALUE(SUBSTITUTE(LEFT(TRIM(C505),FIND(" ",TRIM(C505)&amp;" ")-1),",","."),"."),LEFT(SUBSTITUTE(LEFT(TRIM(C505),FIND(" ",TRIM(C505)&amp;" ")-1),",","."),FIND("/",SUBSTITUTE(LEFT(TRIM(C505),FIND(" ",TRIM(C505)&amp;" ")-1),",","."))-1)/MID(SUBSTITUTE(LEFT(TRIM(C505),FIND(" ",TRIM(C505)&amp;" ")-1),",","."),FIND("/",SUBSTITUTE(LEFT(TRIM(C505),FIND(" ",TRIM(C505)&amp;" ")-1),",","."))+1,9)),IF(ISNUMBER(SEARCH("yea",C505)),IFERROR(_xlfn.NUMBERVALUE(SUBSTITUTE(LEFT(TRIM(C505),FIND(" ",TRIM(C505)&amp;" ")-1),",","."),"."),LEFT(SUBSTITUTE(LEFT(TRIM(C505),FIND(" ",TRIM(C505)&amp;" ")-1),",","."),FIND("/",SUBSTITUTE(LEFT(TRIM(C505),FIND(" ",TRIM(C505)&amp;" ")-1),",","."))-1)/MID(SUBSTITUTE(LEFT(TRIM(C505),FIND(" ",TRIM(C505)&amp;" ")-1),",","."),FIND("/",SUBSTITUTE(LEFT(TRIM(C505),FIND(" ",TRIM(C505)&amp;" ")-1),",","."))+1,9))*12,NA()))),0),24)*'Aturan &amp; Tarif'!$B$4,2)</f>
        <v>1362.72</v>
      </c>
      <c r="K505" s="42" t="n">
        <f aca="false">'Aturan &amp; Tarif'!$B$5</f>
        <v>2050</v>
      </c>
      <c r="L505" s="35" t="n">
        <f aca="false">I505+J505+K505</f>
        <v>5162.72</v>
      </c>
      <c r="M505" s="44" t="s">
        <v>3139</v>
      </c>
    </row>
    <row r="506" customFormat="false" ht="25.5" hidden="false" customHeight="true" outlineLevel="0" collapsed="false">
      <c r="A506" s="39"/>
      <c r="B506" s="40" t="s">
        <v>711</v>
      </c>
      <c r="C506" s="41" t="s">
        <v>712</v>
      </c>
      <c r="D506" s="41" t="s">
        <v>108</v>
      </c>
      <c r="E506" s="42" t="n">
        <v>1600</v>
      </c>
      <c r="F506" s="42" t="n">
        <v>500</v>
      </c>
      <c r="G506" s="42" t="n">
        <v>260</v>
      </c>
      <c r="H506" s="43" t="n">
        <v>1</v>
      </c>
      <c r="I506" s="34" t="n">
        <f aca="false">E506*H506+N(F506)+N(G506)</f>
        <v>2360</v>
      </c>
      <c r="J506" s="42" t="n">
        <f aca="false">ROUND(IFERROR(ROUND(IF(OR(ISNUMBER(SEARCH("week",C506)),ISNUMBER(SEARCH("minggu",C506))),IFERROR(_xlfn.NUMBERVALUE(SUBSTITUTE(LEFT(TRIM(C506),FIND(" ",TRIM(C506)&amp;" ")-1),",","."),"."),LEFT(SUBSTITUTE(LEFT(TRIM(C506),FIND(" ",TRIM(C506)&amp;" ")-1),",","."),FIND("/",SUBSTITUTE(LEFT(TRIM(C506),FIND(" ",TRIM(C506)&amp;" ")-1),",","."))-1)/MID(SUBSTITUTE(LEFT(TRIM(C506),FIND(" ",TRIM(C506)&amp;" ")-1),",","."),FIND("/",SUBSTITUTE(LEFT(TRIM(C506),FIND(" ",TRIM(C506)&amp;" ")-1),",","."))+1,9))*12/52,IF(ISNUMBER(SEARCH("month",C506)),IFERROR(_xlfn.NUMBERVALUE(SUBSTITUTE(LEFT(TRIM(C506),FIND(" ",TRIM(C506)&amp;" ")-1),",","."),"."),LEFT(SUBSTITUTE(LEFT(TRIM(C506),FIND(" ",TRIM(C506)&amp;" ")-1),",","."),FIND("/",SUBSTITUTE(LEFT(TRIM(C506),FIND(" ",TRIM(C506)&amp;" ")-1),",","."))-1)/MID(SUBSTITUTE(LEFT(TRIM(C506),FIND(" ",TRIM(C506)&amp;" ")-1),",","."),FIND("/",SUBSTITUTE(LEFT(TRIM(C506),FIND(" ",TRIM(C506)&amp;" ")-1),",","."))+1,9)),IF(ISNUMBER(SEARCH("yea",C506)),IFERROR(_xlfn.NUMBERVALUE(SUBSTITUTE(LEFT(TRIM(C506),FIND(" ",TRIM(C506)&amp;" ")-1),",","."),"."),LEFT(SUBSTITUTE(LEFT(TRIM(C506),FIND(" ",TRIM(C506)&amp;" ")-1),",","."),FIND("/",SUBSTITUTE(LEFT(TRIM(C506),FIND(" ",TRIM(C506)&amp;" ")-1),",","."))-1)/MID(SUBSTITUTE(LEFT(TRIM(C506),FIND(" ",TRIM(C506)&amp;" ")-1),",","."),FIND("/",SUBSTITUTE(LEFT(TRIM(C506),FIND(" ",TRIM(C506)&amp;" ")-1),",","."))+1,9))*12,NA()))),0),30)*'Aturan &amp; Tarif'!$B$4,2)</f>
        <v>1703.4</v>
      </c>
      <c r="K506" s="42" t="n">
        <f aca="false">'Aturan &amp; Tarif'!$B$5</f>
        <v>2050</v>
      </c>
      <c r="L506" s="35" t="n">
        <f aca="false">I506+J506+K506</f>
        <v>6113.4</v>
      </c>
      <c r="M506" s="45" t="s">
        <v>713</v>
      </c>
    </row>
    <row r="507" customFormat="false" ht="37.5" hidden="false" customHeight="true" outlineLevel="0" collapsed="false">
      <c r="A507" s="39"/>
      <c r="B507" s="40" t="s">
        <v>2081</v>
      </c>
      <c r="C507" s="41" t="s">
        <v>715</v>
      </c>
      <c r="D507" s="41" t="s">
        <v>108</v>
      </c>
      <c r="E507" s="42" t="n">
        <v>1850</v>
      </c>
      <c r="F507" s="42" t="n">
        <v>1700</v>
      </c>
      <c r="G507" s="42" t="n">
        <v>260</v>
      </c>
      <c r="H507" s="43" t="n">
        <v>1</v>
      </c>
      <c r="I507" s="34" t="n">
        <f aca="false">E507*H507+N(F507)+N(G507)</f>
        <v>3810</v>
      </c>
      <c r="J507" s="42" t="n">
        <f aca="false">ROUND(IFERROR(ROUND(IF(OR(ISNUMBER(SEARCH("week",C507)),ISNUMBER(SEARCH("minggu",C507))),IFERROR(_xlfn.NUMBERVALUE(SUBSTITUTE(LEFT(TRIM(C507),FIND(" ",TRIM(C507)&amp;" ")-1),",","."),"."),LEFT(SUBSTITUTE(LEFT(TRIM(C507),FIND(" ",TRIM(C507)&amp;" ")-1),",","."),FIND("/",SUBSTITUTE(LEFT(TRIM(C507),FIND(" ",TRIM(C507)&amp;" ")-1),",","."))-1)/MID(SUBSTITUTE(LEFT(TRIM(C507),FIND(" ",TRIM(C507)&amp;" ")-1),",","."),FIND("/",SUBSTITUTE(LEFT(TRIM(C507),FIND(" ",TRIM(C507)&amp;" ")-1),",","."))+1,9))*12/52,IF(ISNUMBER(SEARCH("month",C507)),IFERROR(_xlfn.NUMBERVALUE(SUBSTITUTE(LEFT(TRIM(C507),FIND(" ",TRIM(C507)&amp;" ")-1),",","."),"."),LEFT(SUBSTITUTE(LEFT(TRIM(C507),FIND(" ",TRIM(C507)&amp;" ")-1),",","."),FIND("/",SUBSTITUTE(LEFT(TRIM(C507),FIND(" ",TRIM(C507)&amp;" ")-1),",","."))-1)/MID(SUBSTITUTE(LEFT(TRIM(C507),FIND(" ",TRIM(C507)&amp;" ")-1),",","."),FIND("/",SUBSTITUTE(LEFT(TRIM(C507),FIND(" ",TRIM(C507)&amp;" ")-1),",","."))+1,9)),IF(ISNUMBER(SEARCH("yea",C507)),IFERROR(_xlfn.NUMBERVALUE(SUBSTITUTE(LEFT(TRIM(C507),FIND(" ",TRIM(C507)&amp;" ")-1),",","."),"."),LEFT(SUBSTITUTE(LEFT(TRIM(C507),FIND(" ",TRIM(C507)&amp;" ")-1),",","."),FIND("/",SUBSTITUTE(LEFT(TRIM(C507),FIND(" ",TRIM(C507)&amp;" ")-1),",","."))-1)/MID(SUBSTITUTE(LEFT(TRIM(C507),FIND(" ",TRIM(C507)&amp;" ")-1),",","."),FIND("/",SUBSTITUTE(LEFT(TRIM(C507),FIND(" ",TRIM(C507)&amp;" ")-1),",","."))+1,9))*12,NA()))),0),25)*'Aturan &amp; Tarif'!$B$4,2)</f>
        <v>1419.5</v>
      </c>
      <c r="K507" s="42" t="n">
        <f aca="false">'Aturan &amp; Tarif'!$B$5</f>
        <v>2050</v>
      </c>
      <c r="L507" s="35" t="n">
        <f aca="false">I507+J507+K507</f>
        <v>7279.5</v>
      </c>
      <c r="M507" s="45" t="s">
        <v>716</v>
      </c>
    </row>
    <row r="508" customFormat="false" ht="37.5" hidden="false" customHeight="true" outlineLevel="0" collapsed="false">
      <c r="A508" s="39"/>
      <c r="B508" s="40" t="s">
        <v>2082</v>
      </c>
      <c r="C508" s="41" t="s">
        <v>718</v>
      </c>
      <c r="D508" s="41" t="s">
        <v>108</v>
      </c>
      <c r="E508" s="42" t="n">
        <v>1850</v>
      </c>
      <c r="F508" s="42" t="n">
        <v>1700</v>
      </c>
      <c r="G508" s="42" t="n">
        <v>260</v>
      </c>
      <c r="H508" s="43" t="n">
        <v>1</v>
      </c>
      <c r="I508" s="34" t="n">
        <f aca="false">E508*H508+N(F508)+N(G508)</f>
        <v>3810</v>
      </c>
      <c r="J508" s="42" t="n">
        <f aca="false">ROUND(IFERROR(ROUND(IF(OR(ISNUMBER(SEARCH("week",C508)),ISNUMBER(SEARCH("minggu",C508))),IFERROR(_xlfn.NUMBERVALUE(SUBSTITUTE(LEFT(TRIM(C508),FIND(" ",TRIM(C508)&amp;" ")-1),",","."),"."),LEFT(SUBSTITUTE(LEFT(TRIM(C508),FIND(" ",TRIM(C508)&amp;" ")-1),",","."),FIND("/",SUBSTITUTE(LEFT(TRIM(C508),FIND(" ",TRIM(C508)&amp;" ")-1),",","."))-1)/MID(SUBSTITUTE(LEFT(TRIM(C508),FIND(" ",TRIM(C508)&amp;" ")-1),",","."),FIND("/",SUBSTITUTE(LEFT(TRIM(C508),FIND(" ",TRIM(C508)&amp;" ")-1),",","."))+1,9))*12/52,IF(ISNUMBER(SEARCH("month",C508)),IFERROR(_xlfn.NUMBERVALUE(SUBSTITUTE(LEFT(TRIM(C508),FIND(" ",TRIM(C508)&amp;" ")-1),",","."),"."),LEFT(SUBSTITUTE(LEFT(TRIM(C508),FIND(" ",TRIM(C508)&amp;" ")-1),",","."),FIND("/",SUBSTITUTE(LEFT(TRIM(C508),FIND(" ",TRIM(C508)&amp;" ")-1),",","."))-1)/MID(SUBSTITUTE(LEFT(TRIM(C508),FIND(" ",TRIM(C508)&amp;" ")-1),",","."),FIND("/",SUBSTITUTE(LEFT(TRIM(C508),FIND(" ",TRIM(C508)&amp;" ")-1),",","."))+1,9)),IF(ISNUMBER(SEARCH("yea",C508)),IFERROR(_xlfn.NUMBERVALUE(SUBSTITUTE(LEFT(TRIM(C508),FIND(" ",TRIM(C508)&amp;" ")-1),",","."),"."),LEFT(SUBSTITUTE(LEFT(TRIM(C508),FIND(" ",TRIM(C508)&amp;" ")-1),",","."),FIND("/",SUBSTITUTE(LEFT(TRIM(C508),FIND(" ",TRIM(C508)&amp;" ")-1),",","."))-1)/MID(SUBSTITUTE(LEFT(TRIM(C508),FIND(" ",TRIM(C508)&amp;" ")-1),",","."),FIND("/",SUBSTITUTE(LEFT(TRIM(C508),FIND(" ",TRIM(C508)&amp;" ")-1),",","."))+1,9))*12,NA()))),0),33)*'Aturan &amp; Tarif'!$B$4,2)</f>
        <v>1873.74</v>
      </c>
      <c r="K508" s="42" t="n">
        <f aca="false">'Aturan &amp; Tarif'!$B$5</f>
        <v>2050</v>
      </c>
      <c r="L508" s="35" t="n">
        <f aca="false">I508+J508+K508</f>
        <v>7733.74</v>
      </c>
      <c r="M508" s="45" t="s">
        <v>719</v>
      </c>
    </row>
    <row r="509" customFormat="false" ht="25.5" hidden="false" customHeight="true" outlineLevel="0" collapsed="false">
      <c r="A509" s="39"/>
      <c r="B509" s="40" t="s">
        <v>720</v>
      </c>
      <c r="C509" s="41" t="s">
        <v>721</v>
      </c>
      <c r="D509" s="41" t="s">
        <v>108</v>
      </c>
      <c r="E509" s="42" t="n">
        <v>1600</v>
      </c>
      <c r="F509" s="42" t="n">
        <v>500</v>
      </c>
      <c r="G509" s="42" t="n">
        <v>260</v>
      </c>
      <c r="H509" s="43" t="n">
        <v>1</v>
      </c>
      <c r="I509" s="34" t="n">
        <f aca="false">E509*H509+N(F509)+N(G509)</f>
        <v>2360</v>
      </c>
      <c r="J509" s="42" t="n">
        <f aca="false">ROUND(IFERROR(ROUND(IF(OR(ISNUMBER(SEARCH("week",C509)),ISNUMBER(SEARCH("minggu",C509))),IFERROR(_xlfn.NUMBERVALUE(SUBSTITUTE(LEFT(TRIM(C509),FIND(" ",TRIM(C509)&amp;" ")-1),",","."),"."),LEFT(SUBSTITUTE(LEFT(TRIM(C509),FIND(" ",TRIM(C509)&amp;" ")-1),",","."),FIND("/",SUBSTITUTE(LEFT(TRIM(C509),FIND(" ",TRIM(C509)&amp;" ")-1),",","."))-1)/MID(SUBSTITUTE(LEFT(TRIM(C509),FIND(" ",TRIM(C509)&amp;" ")-1),",","."),FIND("/",SUBSTITUTE(LEFT(TRIM(C509),FIND(" ",TRIM(C509)&amp;" ")-1),",","."))+1,9))*12/52,IF(ISNUMBER(SEARCH("month",C509)),IFERROR(_xlfn.NUMBERVALUE(SUBSTITUTE(LEFT(TRIM(C509),FIND(" ",TRIM(C509)&amp;" ")-1),",","."),"."),LEFT(SUBSTITUTE(LEFT(TRIM(C509),FIND(" ",TRIM(C509)&amp;" ")-1),",","."),FIND("/",SUBSTITUTE(LEFT(TRIM(C509),FIND(" ",TRIM(C509)&amp;" ")-1),",","."))-1)/MID(SUBSTITUTE(LEFT(TRIM(C509),FIND(" ",TRIM(C509)&amp;" ")-1),",","."),FIND("/",SUBSTITUTE(LEFT(TRIM(C509),FIND(" ",TRIM(C509)&amp;" ")-1),",","."))+1,9)),IF(ISNUMBER(SEARCH("yea",C509)),IFERROR(_xlfn.NUMBERVALUE(SUBSTITUTE(LEFT(TRIM(C509),FIND(" ",TRIM(C509)&amp;" ")-1),",","."),"."),LEFT(SUBSTITUTE(LEFT(TRIM(C509),FIND(" ",TRIM(C509)&amp;" ")-1),",","."),FIND("/",SUBSTITUTE(LEFT(TRIM(C509),FIND(" ",TRIM(C509)&amp;" ")-1),",","."))-1)/MID(SUBSTITUTE(LEFT(TRIM(C509),FIND(" ",TRIM(C509)&amp;" ")-1),",","."),FIND("/",SUBSTITUTE(LEFT(TRIM(C509),FIND(" ",TRIM(C509)&amp;" ")-1),",","."))+1,9))*12,NA()))),0),19)*'Aturan &amp; Tarif'!$B$4,2)</f>
        <v>1078.82</v>
      </c>
      <c r="K509" s="42" t="n">
        <f aca="false">'Aturan &amp; Tarif'!$B$5</f>
        <v>2050</v>
      </c>
      <c r="L509" s="35" t="n">
        <f aca="false">I509+J509+K509</f>
        <v>5488.82</v>
      </c>
      <c r="M509" s="45" t="s">
        <v>722</v>
      </c>
    </row>
    <row r="510" customFormat="false" ht="48.75" hidden="false" customHeight="true" outlineLevel="0" collapsed="false">
      <c r="A510" s="39"/>
      <c r="B510" s="40" t="s">
        <v>2083</v>
      </c>
      <c r="C510" s="41" t="s">
        <v>724</v>
      </c>
      <c r="D510" s="41" t="s">
        <v>108</v>
      </c>
      <c r="E510" s="42" t="n">
        <v>1600</v>
      </c>
      <c r="F510" s="42" t="n">
        <v>500</v>
      </c>
      <c r="G510" s="42" t="n">
        <v>260</v>
      </c>
      <c r="H510" s="43" t="n">
        <v>1</v>
      </c>
      <c r="I510" s="34" t="n">
        <f aca="false">E510*H510+N(F510)+N(G510)</f>
        <v>2360</v>
      </c>
      <c r="J510" s="42" t="n">
        <f aca="false">ROUND(IFERROR(ROUND(IF(OR(ISNUMBER(SEARCH("week",C510)),ISNUMBER(SEARCH("minggu",C510))),IFERROR(_xlfn.NUMBERVALUE(SUBSTITUTE(LEFT(TRIM(C510),FIND(" ",TRIM(C510)&amp;" ")-1),",","."),"."),LEFT(SUBSTITUTE(LEFT(TRIM(C510),FIND(" ",TRIM(C510)&amp;" ")-1),",","."),FIND("/",SUBSTITUTE(LEFT(TRIM(C510),FIND(" ",TRIM(C510)&amp;" ")-1),",","."))-1)/MID(SUBSTITUTE(LEFT(TRIM(C510),FIND(" ",TRIM(C510)&amp;" ")-1),",","."),FIND("/",SUBSTITUTE(LEFT(TRIM(C510),FIND(" ",TRIM(C510)&amp;" ")-1),",","."))+1,9))*12/52,IF(ISNUMBER(SEARCH("month",C510)),IFERROR(_xlfn.NUMBERVALUE(SUBSTITUTE(LEFT(TRIM(C510),FIND(" ",TRIM(C510)&amp;" ")-1),",","."),"."),LEFT(SUBSTITUTE(LEFT(TRIM(C510),FIND(" ",TRIM(C510)&amp;" ")-1),",","."),FIND("/",SUBSTITUTE(LEFT(TRIM(C510),FIND(" ",TRIM(C510)&amp;" ")-1),",","."))-1)/MID(SUBSTITUTE(LEFT(TRIM(C510),FIND(" ",TRIM(C510)&amp;" ")-1),",","."),FIND("/",SUBSTITUTE(LEFT(TRIM(C510),FIND(" ",TRIM(C510)&amp;" ")-1),",","."))+1,9)),IF(ISNUMBER(SEARCH("yea",C510)),IFERROR(_xlfn.NUMBERVALUE(SUBSTITUTE(LEFT(TRIM(C510),FIND(" ",TRIM(C510)&amp;" ")-1),",","."),"."),LEFT(SUBSTITUTE(LEFT(TRIM(C510),FIND(" ",TRIM(C510)&amp;" ")-1),",","."),FIND("/",SUBSTITUTE(LEFT(TRIM(C510),FIND(" ",TRIM(C510)&amp;" ")-1),",","."))-1)/MID(SUBSTITUTE(LEFT(TRIM(C510),FIND(" ",TRIM(C510)&amp;" ")-1),",","."),FIND("/",SUBSTITUTE(LEFT(TRIM(C510),FIND(" ",TRIM(C510)&amp;" ")-1),",","."))+1,9))*12,NA()))),0),37)*'Aturan &amp; Tarif'!$B$4,2)</f>
        <v>2100.86</v>
      </c>
      <c r="K510" s="42" t="n">
        <f aca="false">'Aturan &amp; Tarif'!$B$5</f>
        <v>2050</v>
      </c>
      <c r="L510" s="35" t="n">
        <f aca="false">I510+J510+K510</f>
        <v>6510.86</v>
      </c>
      <c r="M510" s="44" t="s">
        <v>725</v>
      </c>
    </row>
    <row r="511" customFormat="false" ht="25.5" hidden="false" customHeight="true" outlineLevel="0" collapsed="false">
      <c r="A511" s="39"/>
      <c r="B511" s="40" t="s">
        <v>932</v>
      </c>
      <c r="C511" s="41" t="s">
        <v>107</v>
      </c>
      <c r="D511" s="41" t="s">
        <v>108</v>
      </c>
      <c r="E511" s="42" t="n">
        <v>1600</v>
      </c>
      <c r="F511" s="42" t="n">
        <v>500</v>
      </c>
      <c r="G511" s="42" t="n">
        <v>260</v>
      </c>
      <c r="H511" s="43" t="n">
        <v>1</v>
      </c>
      <c r="I511" s="34" t="n">
        <f aca="false">E511*H511+N(F511)+N(G511)</f>
        <v>2360</v>
      </c>
      <c r="J511" s="42" t="n">
        <f aca="false">ROUND(IFERROR(ROUND(IF(OR(ISNUMBER(SEARCH("week",C511)),ISNUMBER(SEARCH("minggu",C511))),IFERROR(_xlfn.NUMBERVALUE(SUBSTITUTE(LEFT(TRIM(C511),FIND(" ",TRIM(C511)&amp;" ")-1),",","."),"."),LEFT(SUBSTITUTE(LEFT(TRIM(C511),FIND(" ",TRIM(C511)&amp;" ")-1),",","."),FIND("/",SUBSTITUTE(LEFT(TRIM(C511),FIND(" ",TRIM(C511)&amp;" ")-1),",","."))-1)/MID(SUBSTITUTE(LEFT(TRIM(C511),FIND(" ",TRIM(C511)&amp;" ")-1),",","."),FIND("/",SUBSTITUTE(LEFT(TRIM(C511),FIND(" ",TRIM(C511)&amp;" ")-1),",","."))+1,9))*12/52,IF(ISNUMBER(SEARCH("month",C511)),IFERROR(_xlfn.NUMBERVALUE(SUBSTITUTE(LEFT(TRIM(C511),FIND(" ",TRIM(C511)&amp;" ")-1),",","."),"."),LEFT(SUBSTITUTE(LEFT(TRIM(C511),FIND(" ",TRIM(C511)&amp;" ")-1),",","."),FIND("/",SUBSTITUTE(LEFT(TRIM(C511),FIND(" ",TRIM(C511)&amp;" ")-1),",","."))-1)/MID(SUBSTITUTE(LEFT(TRIM(C511),FIND(" ",TRIM(C511)&amp;" ")-1),",","."),FIND("/",SUBSTITUTE(LEFT(TRIM(C511),FIND(" ",TRIM(C511)&amp;" ")-1),",","."))+1,9)),IF(ISNUMBER(SEARCH("yea",C511)),IFERROR(_xlfn.NUMBERVALUE(SUBSTITUTE(LEFT(TRIM(C511),FIND(" ",TRIM(C511)&amp;" ")-1),",","."),"."),LEFT(SUBSTITUTE(LEFT(TRIM(C511),FIND(" ",TRIM(C511)&amp;" ")-1),",","."),FIND("/",SUBSTITUTE(LEFT(TRIM(C511),FIND(" ",TRIM(C511)&amp;" ")-1),",","."))-1)/MID(SUBSTITUTE(LEFT(TRIM(C511),FIND(" ",TRIM(C511)&amp;" ")-1),",","."),FIND("/",SUBSTITUTE(LEFT(TRIM(C511),FIND(" ",TRIM(C511)&amp;" ")-1),",","."))+1,9))*12,NA()))),0),24)*'Aturan &amp; Tarif'!$B$4,2)</f>
        <v>1362.72</v>
      </c>
      <c r="K511" s="42" t="n">
        <f aca="false">'Aturan &amp; Tarif'!$B$5</f>
        <v>2050</v>
      </c>
      <c r="L511" s="35" t="n">
        <f aca="false">I511+J511+K511</f>
        <v>5772.72</v>
      </c>
      <c r="M511" s="45" t="s">
        <v>2084</v>
      </c>
    </row>
    <row r="512" customFormat="false" ht="25.5" hidden="false" customHeight="true" outlineLevel="0" collapsed="false">
      <c r="A512" s="39"/>
      <c r="B512" s="40" t="s">
        <v>2840</v>
      </c>
      <c r="C512" s="41" t="s">
        <v>107</v>
      </c>
      <c r="D512" s="41" t="s">
        <v>108</v>
      </c>
      <c r="E512" s="42" t="n">
        <v>1250</v>
      </c>
      <c r="F512" s="42" t="n">
        <v>240</v>
      </c>
      <c r="G512" s="42" t="n">
        <v>260</v>
      </c>
      <c r="H512" s="43" t="n">
        <v>1</v>
      </c>
      <c r="I512" s="34" t="n">
        <f aca="false">E512*H512+N(F512)+N(G512)</f>
        <v>1750</v>
      </c>
      <c r="J512" s="42" t="n">
        <f aca="false">ROUND(IFERROR(ROUND(IF(OR(ISNUMBER(SEARCH("week",C512)),ISNUMBER(SEARCH("minggu",C512))),IFERROR(_xlfn.NUMBERVALUE(SUBSTITUTE(LEFT(TRIM(C512),FIND(" ",TRIM(C512)&amp;" ")-1),",","."),"."),LEFT(SUBSTITUTE(LEFT(TRIM(C512),FIND(" ",TRIM(C512)&amp;" ")-1),",","."),FIND("/",SUBSTITUTE(LEFT(TRIM(C512),FIND(" ",TRIM(C512)&amp;" ")-1),",","."))-1)/MID(SUBSTITUTE(LEFT(TRIM(C512),FIND(" ",TRIM(C512)&amp;" ")-1),",","."),FIND("/",SUBSTITUTE(LEFT(TRIM(C512),FIND(" ",TRIM(C512)&amp;" ")-1),",","."))+1,9))*12/52,IF(ISNUMBER(SEARCH("month",C512)),IFERROR(_xlfn.NUMBERVALUE(SUBSTITUTE(LEFT(TRIM(C512),FIND(" ",TRIM(C512)&amp;" ")-1),",","."),"."),LEFT(SUBSTITUTE(LEFT(TRIM(C512),FIND(" ",TRIM(C512)&amp;" ")-1),",","."),FIND("/",SUBSTITUTE(LEFT(TRIM(C512),FIND(" ",TRIM(C512)&amp;" ")-1),",","."))-1)/MID(SUBSTITUTE(LEFT(TRIM(C512),FIND(" ",TRIM(C512)&amp;" ")-1),",","."),FIND("/",SUBSTITUTE(LEFT(TRIM(C512),FIND(" ",TRIM(C512)&amp;" ")-1),",","."))+1,9)),IF(ISNUMBER(SEARCH("yea",C512)),IFERROR(_xlfn.NUMBERVALUE(SUBSTITUTE(LEFT(TRIM(C512),FIND(" ",TRIM(C512)&amp;" ")-1),",","."),"."),LEFT(SUBSTITUTE(LEFT(TRIM(C512),FIND(" ",TRIM(C512)&amp;" ")-1),",","."),FIND("/",SUBSTITUTE(LEFT(TRIM(C512),FIND(" ",TRIM(C512)&amp;" ")-1),",","."))-1)/MID(SUBSTITUTE(LEFT(TRIM(C512),FIND(" ",TRIM(C512)&amp;" ")-1),",","."),FIND("/",SUBSTITUTE(LEFT(TRIM(C512),FIND(" ",TRIM(C512)&amp;" ")-1),",","."))+1,9))*12,NA()))),0),24)*'Aturan &amp; Tarif'!$B$4,2)</f>
        <v>1362.72</v>
      </c>
      <c r="K512" s="42" t="n">
        <f aca="false">'Aturan &amp; Tarif'!$B$5</f>
        <v>2050</v>
      </c>
      <c r="L512" s="35" t="n">
        <f aca="false">I512+J512+K512</f>
        <v>5162.72</v>
      </c>
      <c r="M512" s="44" t="s">
        <v>3140</v>
      </c>
    </row>
    <row r="513" customFormat="false" ht="60" hidden="false" customHeight="true" outlineLevel="0" collapsed="false">
      <c r="A513" s="47" t="s">
        <v>2086</v>
      </c>
      <c r="B513" s="40" t="s">
        <v>2087</v>
      </c>
      <c r="C513" s="41" t="s">
        <v>127</v>
      </c>
      <c r="D513" s="41" t="s">
        <v>1863</v>
      </c>
      <c r="E513" s="42" t="n">
        <v>2012.5</v>
      </c>
      <c r="F513" s="42" t="n">
        <v>200</v>
      </c>
      <c r="G513" s="42" t="n">
        <v>260</v>
      </c>
      <c r="H513" s="43" t="n">
        <f aca="false">1000/E513</f>
        <v>0.496894409937888</v>
      </c>
      <c r="I513" s="34" t="n">
        <f aca="false">E513*H513+N(F513)+N(G513)</f>
        <v>1460</v>
      </c>
      <c r="J513" s="42" t="n">
        <f aca="false">ROUND(IFERROR(ROUND(IF(OR(ISNUMBER(SEARCH("week",C513)),ISNUMBER(SEARCH("minggu",C513))),IFERROR(_xlfn.NUMBERVALUE(SUBSTITUTE(LEFT(TRIM(C513),FIND(" ",TRIM(C513)&amp;" ")-1),",","."),"."),LEFT(SUBSTITUTE(LEFT(TRIM(C513),FIND(" ",TRIM(C513)&amp;" ")-1),",","."),FIND("/",SUBSTITUTE(LEFT(TRIM(C513),FIND(" ",TRIM(C513)&amp;" ")-1),",","."))-1)/MID(SUBSTITUTE(LEFT(TRIM(C513),FIND(" ",TRIM(C513)&amp;" ")-1),",","."),FIND("/",SUBSTITUTE(LEFT(TRIM(C513),FIND(" ",TRIM(C513)&amp;" ")-1),",","."))+1,9))*12/52,IF(ISNUMBER(SEARCH("month",C513)),IFERROR(_xlfn.NUMBERVALUE(SUBSTITUTE(LEFT(TRIM(C513),FIND(" ",TRIM(C513)&amp;" ")-1),",","."),"."),LEFT(SUBSTITUTE(LEFT(TRIM(C513),FIND(" ",TRIM(C513)&amp;" ")-1),",","."),FIND("/",SUBSTITUTE(LEFT(TRIM(C513),FIND(" ",TRIM(C513)&amp;" ")-1),",","."))-1)/MID(SUBSTITUTE(LEFT(TRIM(C513),FIND(" ",TRIM(C513)&amp;" ")-1),",","."),FIND("/",SUBSTITUTE(LEFT(TRIM(C513),FIND(" ",TRIM(C513)&amp;" ")-1),",","."))+1,9)),IF(ISNUMBER(SEARCH("yea",C513)),IFERROR(_xlfn.NUMBERVALUE(SUBSTITUTE(LEFT(TRIM(C513),FIND(" ",TRIM(C513)&amp;" ")-1),",","."),"."),LEFT(SUBSTITUTE(LEFT(TRIM(C513),FIND(" ",TRIM(C513)&amp;" ")-1),",","."),FIND("/",SUBSTITUTE(LEFT(TRIM(C513),FIND(" ",TRIM(C513)&amp;" ")-1),",","."))-1)/MID(SUBSTITUTE(LEFT(TRIM(C513),FIND(" ",TRIM(C513)&amp;" ")-1),",","."),FIND("/",SUBSTITUTE(LEFT(TRIM(C513),FIND(" ",TRIM(C513)&amp;" ")-1),",","."))+1,9))*12,NA()))),0),36)*'Aturan &amp; Tarif'!$B$4,2)</f>
        <v>2044.08</v>
      </c>
      <c r="K513" s="42" t="n">
        <f aca="false">'Aturan &amp; Tarif'!$B$5</f>
        <v>2050</v>
      </c>
      <c r="L513" s="35" t="n">
        <f aca="false">I513+J513+K513</f>
        <v>5554.08</v>
      </c>
      <c r="M513" s="44" t="s">
        <v>3141</v>
      </c>
    </row>
    <row r="514" customFormat="false" ht="60" hidden="false" customHeight="true" outlineLevel="0" collapsed="false">
      <c r="A514" s="39"/>
      <c r="B514" s="40" t="s">
        <v>2089</v>
      </c>
      <c r="C514" s="41" t="s">
        <v>127</v>
      </c>
      <c r="D514" s="41" t="s">
        <v>1863</v>
      </c>
      <c r="E514" s="42" t="n">
        <v>2012.5</v>
      </c>
      <c r="F514" s="42" t="n">
        <v>200</v>
      </c>
      <c r="G514" s="42" t="n">
        <v>260</v>
      </c>
      <c r="H514" s="43" t="n">
        <f aca="false">1000/E514</f>
        <v>0.496894409937888</v>
      </c>
      <c r="I514" s="34" t="n">
        <f aca="false">E514*H514+N(F514)+N(G514)</f>
        <v>1460</v>
      </c>
      <c r="J514" s="42" t="n">
        <f aca="false">ROUND(IFERROR(ROUND(IF(OR(ISNUMBER(SEARCH("week",C514)),ISNUMBER(SEARCH("minggu",C514))),IFERROR(_xlfn.NUMBERVALUE(SUBSTITUTE(LEFT(TRIM(C514),FIND(" ",TRIM(C514)&amp;" ")-1),",","."),"."),LEFT(SUBSTITUTE(LEFT(TRIM(C514),FIND(" ",TRIM(C514)&amp;" ")-1),",","."),FIND("/",SUBSTITUTE(LEFT(TRIM(C514),FIND(" ",TRIM(C514)&amp;" ")-1),",","."))-1)/MID(SUBSTITUTE(LEFT(TRIM(C514),FIND(" ",TRIM(C514)&amp;" ")-1),",","."),FIND("/",SUBSTITUTE(LEFT(TRIM(C514),FIND(" ",TRIM(C514)&amp;" ")-1),",","."))+1,9))*12/52,IF(ISNUMBER(SEARCH("month",C514)),IFERROR(_xlfn.NUMBERVALUE(SUBSTITUTE(LEFT(TRIM(C514),FIND(" ",TRIM(C514)&amp;" ")-1),",","."),"."),LEFT(SUBSTITUTE(LEFT(TRIM(C514),FIND(" ",TRIM(C514)&amp;" ")-1),",","."),FIND("/",SUBSTITUTE(LEFT(TRIM(C514),FIND(" ",TRIM(C514)&amp;" ")-1),",","."))-1)/MID(SUBSTITUTE(LEFT(TRIM(C514),FIND(" ",TRIM(C514)&amp;" ")-1),",","."),FIND("/",SUBSTITUTE(LEFT(TRIM(C514),FIND(" ",TRIM(C514)&amp;" ")-1),",","."))+1,9)),IF(ISNUMBER(SEARCH("yea",C514)),IFERROR(_xlfn.NUMBERVALUE(SUBSTITUTE(LEFT(TRIM(C514),FIND(" ",TRIM(C514)&amp;" ")-1),",","."),"."),LEFT(SUBSTITUTE(LEFT(TRIM(C514),FIND(" ",TRIM(C514)&amp;" ")-1),",","."),FIND("/",SUBSTITUTE(LEFT(TRIM(C514),FIND(" ",TRIM(C514)&amp;" ")-1),",","."))-1)/MID(SUBSTITUTE(LEFT(TRIM(C514),FIND(" ",TRIM(C514)&amp;" ")-1),",","."),FIND("/",SUBSTITUTE(LEFT(TRIM(C514),FIND(" ",TRIM(C514)&amp;" ")-1),",","."))+1,9))*12,NA()))),0),36)*'Aturan &amp; Tarif'!$B$4,2)</f>
        <v>2044.08</v>
      </c>
      <c r="K514" s="42" t="n">
        <f aca="false">'Aturan &amp; Tarif'!$B$5</f>
        <v>2050</v>
      </c>
      <c r="L514" s="35" t="n">
        <f aca="false">I514+J514+K514</f>
        <v>5554.08</v>
      </c>
      <c r="M514" s="44" t="s">
        <v>3141</v>
      </c>
    </row>
    <row r="515" customFormat="false" ht="60" hidden="false" customHeight="true" outlineLevel="0" collapsed="false">
      <c r="A515" s="39"/>
      <c r="B515" s="40" t="s">
        <v>2090</v>
      </c>
      <c r="C515" s="41" t="s">
        <v>127</v>
      </c>
      <c r="D515" s="41" t="s">
        <v>1863</v>
      </c>
      <c r="E515" s="42" t="n">
        <v>2012.5</v>
      </c>
      <c r="F515" s="42" t="n">
        <v>200</v>
      </c>
      <c r="G515" s="42" t="n">
        <v>260</v>
      </c>
      <c r="H515" s="43" t="n">
        <f aca="false">1000/E515</f>
        <v>0.496894409937888</v>
      </c>
      <c r="I515" s="34" t="n">
        <f aca="false">E515*H515+N(F515)+N(G515)</f>
        <v>1460</v>
      </c>
      <c r="J515" s="42" t="n">
        <f aca="false">ROUND(IFERROR(ROUND(IF(OR(ISNUMBER(SEARCH("week",C515)),ISNUMBER(SEARCH("minggu",C515))),IFERROR(_xlfn.NUMBERVALUE(SUBSTITUTE(LEFT(TRIM(C515),FIND(" ",TRIM(C515)&amp;" ")-1),",","."),"."),LEFT(SUBSTITUTE(LEFT(TRIM(C515),FIND(" ",TRIM(C515)&amp;" ")-1),",","."),FIND("/",SUBSTITUTE(LEFT(TRIM(C515),FIND(" ",TRIM(C515)&amp;" ")-1),",","."))-1)/MID(SUBSTITUTE(LEFT(TRIM(C515),FIND(" ",TRIM(C515)&amp;" ")-1),",","."),FIND("/",SUBSTITUTE(LEFT(TRIM(C515),FIND(" ",TRIM(C515)&amp;" ")-1),",","."))+1,9))*12/52,IF(ISNUMBER(SEARCH("month",C515)),IFERROR(_xlfn.NUMBERVALUE(SUBSTITUTE(LEFT(TRIM(C515),FIND(" ",TRIM(C515)&amp;" ")-1),",","."),"."),LEFT(SUBSTITUTE(LEFT(TRIM(C515),FIND(" ",TRIM(C515)&amp;" ")-1),",","."),FIND("/",SUBSTITUTE(LEFT(TRIM(C515),FIND(" ",TRIM(C515)&amp;" ")-1),",","."))-1)/MID(SUBSTITUTE(LEFT(TRIM(C515),FIND(" ",TRIM(C515)&amp;" ")-1),",","."),FIND("/",SUBSTITUTE(LEFT(TRIM(C515),FIND(" ",TRIM(C515)&amp;" ")-1),",","."))+1,9)),IF(ISNUMBER(SEARCH("yea",C515)),IFERROR(_xlfn.NUMBERVALUE(SUBSTITUTE(LEFT(TRIM(C515),FIND(" ",TRIM(C515)&amp;" ")-1),",","."),"."),LEFT(SUBSTITUTE(LEFT(TRIM(C515),FIND(" ",TRIM(C515)&amp;" ")-1),",","."),FIND("/",SUBSTITUTE(LEFT(TRIM(C515),FIND(" ",TRIM(C515)&amp;" ")-1),",","."))-1)/MID(SUBSTITUTE(LEFT(TRIM(C515),FIND(" ",TRIM(C515)&amp;" ")-1),",","."),FIND("/",SUBSTITUTE(LEFT(TRIM(C515),FIND(" ",TRIM(C515)&amp;" ")-1),",","."))+1,9))*12,NA()))),0),36)*'Aturan &amp; Tarif'!$B$4,2)</f>
        <v>2044.08</v>
      </c>
      <c r="K515" s="42" t="n">
        <f aca="false">'Aturan &amp; Tarif'!$B$5</f>
        <v>2050</v>
      </c>
      <c r="L515" s="35" t="n">
        <f aca="false">I515+J515+K515</f>
        <v>5554.08</v>
      </c>
      <c r="M515" s="44" t="s">
        <v>3141</v>
      </c>
    </row>
    <row r="516" customFormat="false" ht="48.75" hidden="false" customHeight="true" outlineLevel="0" collapsed="false">
      <c r="A516" s="39"/>
      <c r="B516" s="40" t="s">
        <v>2091</v>
      </c>
      <c r="C516" s="41" t="s">
        <v>127</v>
      </c>
      <c r="D516" s="41" t="s">
        <v>1863</v>
      </c>
      <c r="E516" s="42" t="n">
        <v>2012.5</v>
      </c>
      <c r="F516" s="42" t="n">
        <v>200</v>
      </c>
      <c r="G516" s="42" t="n">
        <v>260</v>
      </c>
      <c r="H516" s="43" t="n">
        <f aca="false">1000/E516</f>
        <v>0.496894409937888</v>
      </c>
      <c r="I516" s="34" t="n">
        <f aca="false">E516*H516+N(F516)+N(G516)</f>
        <v>1460</v>
      </c>
      <c r="J516" s="42" t="n">
        <f aca="false">ROUND(IFERROR(ROUND(IF(OR(ISNUMBER(SEARCH("week",C516)),ISNUMBER(SEARCH("minggu",C516))),IFERROR(_xlfn.NUMBERVALUE(SUBSTITUTE(LEFT(TRIM(C516),FIND(" ",TRIM(C516)&amp;" ")-1),",","."),"."),LEFT(SUBSTITUTE(LEFT(TRIM(C516),FIND(" ",TRIM(C516)&amp;" ")-1),",","."),FIND("/",SUBSTITUTE(LEFT(TRIM(C516),FIND(" ",TRIM(C516)&amp;" ")-1),",","."))-1)/MID(SUBSTITUTE(LEFT(TRIM(C516),FIND(" ",TRIM(C516)&amp;" ")-1),",","."),FIND("/",SUBSTITUTE(LEFT(TRIM(C516),FIND(" ",TRIM(C516)&amp;" ")-1),",","."))+1,9))*12/52,IF(ISNUMBER(SEARCH("month",C516)),IFERROR(_xlfn.NUMBERVALUE(SUBSTITUTE(LEFT(TRIM(C516),FIND(" ",TRIM(C516)&amp;" ")-1),",","."),"."),LEFT(SUBSTITUTE(LEFT(TRIM(C516),FIND(" ",TRIM(C516)&amp;" ")-1),",","."),FIND("/",SUBSTITUTE(LEFT(TRIM(C516),FIND(" ",TRIM(C516)&amp;" ")-1),",","."))-1)/MID(SUBSTITUTE(LEFT(TRIM(C516),FIND(" ",TRIM(C516)&amp;" ")-1),",","."),FIND("/",SUBSTITUTE(LEFT(TRIM(C516),FIND(" ",TRIM(C516)&amp;" ")-1),",","."))+1,9)),IF(ISNUMBER(SEARCH("yea",C516)),IFERROR(_xlfn.NUMBERVALUE(SUBSTITUTE(LEFT(TRIM(C516),FIND(" ",TRIM(C516)&amp;" ")-1),",","."),"."),LEFT(SUBSTITUTE(LEFT(TRIM(C516),FIND(" ",TRIM(C516)&amp;" ")-1),",","."),FIND("/",SUBSTITUTE(LEFT(TRIM(C516),FIND(" ",TRIM(C516)&amp;" ")-1),",","."))-1)/MID(SUBSTITUTE(LEFT(TRIM(C516),FIND(" ",TRIM(C516)&amp;" ")-1),",","."),FIND("/",SUBSTITUTE(LEFT(TRIM(C516),FIND(" ",TRIM(C516)&amp;" ")-1),",","."))+1,9))*12,NA()))),0),36)*'Aturan &amp; Tarif'!$B$4,2)</f>
        <v>2044.08</v>
      </c>
      <c r="K516" s="42" t="n">
        <f aca="false">'Aturan &amp; Tarif'!$B$5</f>
        <v>2050</v>
      </c>
      <c r="L516" s="35" t="n">
        <f aca="false">I516+J516+K516</f>
        <v>5554.08</v>
      </c>
      <c r="M516" s="51" t="s">
        <v>3141</v>
      </c>
    </row>
    <row r="517" customFormat="false" ht="48.75" hidden="false" customHeight="true" outlineLevel="0" collapsed="false">
      <c r="A517" s="29" t="s">
        <v>2092</v>
      </c>
      <c r="B517" s="30" t="s">
        <v>1817</v>
      </c>
      <c r="C517" s="31" t="s">
        <v>107</v>
      </c>
      <c r="D517" s="31" t="s">
        <v>108</v>
      </c>
      <c r="E517" s="32" t="n">
        <v>1400</v>
      </c>
      <c r="F517" s="32" t="n">
        <v>200</v>
      </c>
      <c r="G517" s="32" t="n">
        <v>200</v>
      </c>
      <c r="H517" s="33" t="n">
        <v>1</v>
      </c>
      <c r="I517" s="34" t="n">
        <f aca="false">E517*H517+N(F517)+N(G517)</f>
        <v>1800</v>
      </c>
      <c r="J517" s="32" t="n">
        <f aca="false">ROUND(IFERROR(ROUND(IF(OR(ISNUMBER(SEARCH("week",C517)),ISNUMBER(SEARCH("minggu",C517))),IFERROR(_xlfn.NUMBERVALUE(SUBSTITUTE(LEFT(TRIM(C517),FIND(" ",TRIM(C517)&amp;" ")-1),",","."),"."),LEFT(SUBSTITUTE(LEFT(TRIM(C517),FIND(" ",TRIM(C517)&amp;" ")-1),",","."),FIND("/",SUBSTITUTE(LEFT(TRIM(C517),FIND(" ",TRIM(C517)&amp;" ")-1),",","."))-1)/MID(SUBSTITUTE(LEFT(TRIM(C517),FIND(" ",TRIM(C517)&amp;" ")-1),",","."),FIND("/",SUBSTITUTE(LEFT(TRIM(C517),FIND(" ",TRIM(C517)&amp;" ")-1),",","."))+1,9))*12/52,IF(ISNUMBER(SEARCH("month",C517)),IFERROR(_xlfn.NUMBERVALUE(SUBSTITUTE(LEFT(TRIM(C517),FIND(" ",TRIM(C517)&amp;" ")-1),",","."),"."),LEFT(SUBSTITUTE(LEFT(TRIM(C517),FIND(" ",TRIM(C517)&amp;" ")-1),",","."),FIND("/",SUBSTITUTE(LEFT(TRIM(C517),FIND(" ",TRIM(C517)&amp;" ")-1),",","."))-1)/MID(SUBSTITUTE(LEFT(TRIM(C517),FIND(" ",TRIM(C517)&amp;" ")-1),",","."),FIND("/",SUBSTITUTE(LEFT(TRIM(C517),FIND(" ",TRIM(C517)&amp;" ")-1),",","."))+1,9)),IF(ISNUMBER(SEARCH("yea",C517)),IFERROR(_xlfn.NUMBERVALUE(SUBSTITUTE(LEFT(TRIM(C517),FIND(" ",TRIM(C517)&amp;" ")-1),",","."),"."),LEFT(SUBSTITUTE(LEFT(TRIM(C517),FIND(" ",TRIM(C517)&amp;" ")-1),",","."),FIND("/",SUBSTITUTE(LEFT(TRIM(C517),FIND(" ",TRIM(C517)&amp;" ")-1),",","."))-1)/MID(SUBSTITUTE(LEFT(TRIM(C517),FIND(" ",TRIM(C517)&amp;" ")-1),",","."),FIND("/",SUBSTITUTE(LEFT(TRIM(C517),FIND(" ",TRIM(C517)&amp;" ")-1),",","."))+1,9))*12,NA()))),0),24)*'Aturan &amp; Tarif'!$B$4,2)</f>
        <v>1362.72</v>
      </c>
      <c r="K517" s="32" t="n">
        <f aca="false">'Aturan &amp; Tarif'!$B$5</f>
        <v>2050</v>
      </c>
      <c r="L517" s="35" t="n">
        <f aca="false">I517+J517+K517</f>
        <v>5212.72</v>
      </c>
      <c r="M517" s="36" t="s">
        <v>3142</v>
      </c>
    </row>
    <row r="518" customFormat="false" ht="37.5" hidden="false" customHeight="true" outlineLevel="0" collapsed="false">
      <c r="A518" s="29"/>
      <c r="B518" s="30" t="s">
        <v>2094</v>
      </c>
      <c r="C518" s="31" t="s">
        <v>127</v>
      </c>
      <c r="D518" s="31" t="s">
        <v>108</v>
      </c>
      <c r="E518" s="32" t="n">
        <v>1400</v>
      </c>
      <c r="F518" s="32" t="n">
        <v>200</v>
      </c>
      <c r="G518" s="32" t="n">
        <v>200</v>
      </c>
      <c r="H518" s="33" t="n">
        <v>1</v>
      </c>
      <c r="I518" s="34" t="n">
        <f aca="false">E518*H518+N(F518)+N(G518)</f>
        <v>1800</v>
      </c>
      <c r="J518" s="32" t="n">
        <f aca="false">ROUND(IFERROR(ROUND(IF(OR(ISNUMBER(SEARCH("week",C518)),ISNUMBER(SEARCH("minggu",C518))),IFERROR(_xlfn.NUMBERVALUE(SUBSTITUTE(LEFT(TRIM(C518),FIND(" ",TRIM(C518)&amp;" ")-1),",","."),"."),LEFT(SUBSTITUTE(LEFT(TRIM(C518),FIND(" ",TRIM(C518)&amp;" ")-1),",","."),FIND("/",SUBSTITUTE(LEFT(TRIM(C518),FIND(" ",TRIM(C518)&amp;" ")-1),",","."))-1)/MID(SUBSTITUTE(LEFT(TRIM(C518),FIND(" ",TRIM(C518)&amp;" ")-1),",","."),FIND("/",SUBSTITUTE(LEFT(TRIM(C518),FIND(" ",TRIM(C518)&amp;" ")-1),",","."))+1,9))*12/52,IF(ISNUMBER(SEARCH("month",C518)),IFERROR(_xlfn.NUMBERVALUE(SUBSTITUTE(LEFT(TRIM(C518),FIND(" ",TRIM(C518)&amp;" ")-1),",","."),"."),LEFT(SUBSTITUTE(LEFT(TRIM(C518),FIND(" ",TRIM(C518)&amp;" ")-1),",","."),FIND("/",SUBSTITUTE(LEFT(TRIM(C518),FIND(" ",TRIM(C518)&amp;" ")-1),",","."))-1)/MID(SUBSTITUTE(LEFT(TRIM(C518),FIND(" ",TRIM(C518)&amp;" ")-1),",","."),FIND("/",SUBSTITUTE(LEFT(TRIM(C518),FIND(" ",TRIM(C518)&amp;" ")-1),",","."))+1,9)),IF(ISNUMBER(SEARCH("yea",C518)),IFERROR(_xlfn.NUMBERVALUE(SUBSTITUTE(LEFT(TRIM(C518),FIND(" ",TRIM(C518)&amp;" ")-1),",","."),"."),LEFT(SUBSTITUTE(LEFT(TRIM(C518),FIND(" ",TRIM(C518)&amp;" ")-1),",","."),FIND("/",SUBSTITUTE(LEFT(TRIM(C518),FIND(" ",TRIM(C518)&amp;" ")-1),",","."))-1)/MID(SUBSTITUTE(LEFT(TRIM(C518),FIND(" ",TRIM(C518)&amp;" ")-1),",","."),FIND("/",SUBSTITUTE(LEFT(TRIM(C518),FIND(" ",TRIM(C518)&amp;" ")-1),",","."))+1,9))*12,NA()))),0),36)*'Aturan &amp; Tarif'!$B$4,2)</f>
        <v>2044.08</v>
      </c>
      <c r="K518" s="32" t="n">
        <f aca="false">'Aturan &amp; Tarif'!$B$5</f>
        <v>2050</v>
      </c>
      <c r="L518" s="35" t="n">
        <f aca="false">I518+J518+K518</f>
        <v>5894.08</v>
      </c>
      <c r="M518" s="36" t="s">
        <v>3142</v>
      </c>
    </row>
    <row r="519" customFormat="false" ht="37.5" hidden="false" customHeight="true" outlineLevel="0" collapsed="false">
      <c r="A519" s="29"/>
      <c r="B519" s="30" t="s">
        <v>496</v>
      </c>
      <c r="C519" s="31" t="s">
        <v>138</v>
      </c>
      <c r="D519" s="31" t="s">
        <v>108</v>
      </c>
      <c r="E519" s="32" t="n">
        <v>1400</v>
      </c>
      <c r="F519" s="32" t="n">
        <v>200</v>
      </c>
      <c r="G519" s="32" t="n">
        <v>200</v>
      </c>
      <c r="H519" s="33" t="n">
        <v>1</v>
      </c>
      <c r="I519" s="34" t="n">
        <f aca="false">E519*H519+N(F519)+N(G519)</f>
        <v>1800</v>
      </c>
      <c r="J519" s="32" t="n">
        <f aca="false">ROUND(IFERROR(ROUND(IF(OR(ISNUMBER(SEARCH("week",C519)),ISNUMBER(SEARCH("minggu",C519))),IFERROR(_xlfn.NUMBERVALUE(SUBSTITUTE(LEFT(TRIM(C519),FIND(" ",TRIM(C519)&amp;" ")-1),",","."),"."),LEFT(SUBSTITUTE(LEFT(TRIM(C519),FIND(" ",TRIM(C519)&amp;" ")-1),",","."),FIND("/",SUBSTITUTE(LEFT(TRIM(C519),FIND(" ",TRIM(C519)&amp;" ")-1),",","."))-1)/MID(SUBSTITUTE(LEFT(TRIM(C519),FIND(" ",TRIM(C519)&amp;" ")-1),",","."),FIND("/",SUBSTITUTE(LEFT(TRIM(C519),FIND(" ",TRIM(C519)&amp;" ")-1),",","."))+1,9))*12/52,IF(ISNUMBER(SEARCH("month",C519)),IFERROR(_xlfn.NUMBERVALUE(SUBSTITUTE(LEFT(TRIM(C519),FIND(" ",TRIM(C519)&amp;" ")-1),",","."),"."),LEFT(SUBSTITUTE(LEFT(TRIM(C519),FIND(" ",TRIM(C519)&amp;" ")-1),",","."),FIND("/",SUBSTITUTE(LEFT(TRIM(C519),FIND(" ",TRIM(C519)&amp;" ")-1),",","."))-1)/MID(SUBSTITUTE(LEFT(TRIM(C519),FIND(" ",TRIM(C519)&amp;" ")-1),",","."),FIND("/",SUBSTITUTE(LEFT(TRIM(C519),FIND(" ",TRIM(C519)&amp;" ")-1),",","."))+1,9)),IF(ISNUMBER(SEARCH("yea",C519)),IFERROR(_xlfn.NUMBERVALUE(SUBSTITUTE(LEFT(TRIM(C519),FIND(" ",TRIM(C519)&amp;" ")-1),",","."),"."),LEFT(SUBSTITUTE(LEFT(TRIM(C519),FIND(" ",TRIM(C519)&amp;" ")-1),",","."),FIND("/",SUBSTITUTE(LEFT(TRIM(C519),FIND(" ",TRIM(C519)&amp;" ")-1),",","."))-1)/MID(SUBSTITUTE(LEFT(TRIM(C519),FIND(" ",TRIM(C519)&amp;" ")-1),",","."),FIND("/",SUBSTITUTE(LEFT(TRIM(C519),FIND(" ",TRIM(C519)&amp;" ")-1),",","."))+1,9))*12,NA()))),0),30)*'Aturan &amp; Tarif'!$B$4,2)</f>
        <v>1703.4</v>
      </c>
      <c r="K519" s="32" t="n">
        <f aca="false">'Aturan &amp; Tarif'!$B$5</f>
        <v>2050</v>
      </c>
      <c r="L519" s="35" t="n">
        <f aca="false">I519+J519+K519</f>
        <v>5553.4</v>
      </c>
      <c r="M519" s="36" t="s">
        <v>3143</v>
      </c>
    </row>
    <row r="520" customFormat="false" ht="37.5" hidden="false" customHeight="true" outlineLevel="0" collapsed="false">
      <c r="A520" s="29"/>
      <c r="B520" s="30" t="s">
        <v>2096</v>
      </c>
      <c r="C520" s="31" t="s">
        <v>191</v>
      </c>
      <c r="D520" s="31" t="s">
        <v>108</v>
      </c>
      <c r="E520" s="32" t="n">
        <v>1400</v>
      </c>
      <c r="F520" s="32" t="n">
        <v>200</v>
      </c>
      <c r="G520" s="32" t="n">
        <v>200</v>
      </c>
      <c r="H520" s="33" t="n">
        <v>1</v>
      </c>
      <c r="I520" s="34" t="n">
        <f aca="false">E520*H520+N(F520)+N(G520)</f>
        <v>1800</v>
      </c>
      <c r="J520" s="32" t="n">
        <f aca="false">ROUND(IFERROR(ROUND(IF(OR(ISNUMBER(SEARCH("week",C520)),ISNUMBER(SEARCH("minggu",C520))),IFERROR(_xlfn.NUMBERVALUE(SUBSTITUTE(LEFT(TRIM(C520),FIND(" ",TRIM(C520)&amp;" ")-1),",","."),"."),LEFT(SUBSTITUTE(LEFT(TRIM(C520),FIND(" ",TRIM(C520)&amp;" ")-1),",","."),FIND("/",SUBSTITUTE(LEFT(TRIM(C520),FIND(" ",TRIM(C520)&amp;" ")-1),",","."))-1)/MID(SUBSTITUTE(LEFT(TRIM(C520),FIND(" ",TRIM(C520)&amp;" ")-1),",","."),FIND("/",SUBSTITUTE(LEFT(TRIM(C520),FIND(" ",TRIM(C520)&amp;" ")-1),",","."))+1,9))*12/52,IF(ISNUMBER(SEARCH("month",C520)),IFERROR(_xlfn.NUMBERVALUE(SUBSTITUTE(LEFT(TRIM(C520),FIND(" ",TRIM(C520)&amp;" ")-1),",","."),"."),LEFT(SUBSTITUTE(LEFT(TRIM(C520),FIND(" ",TRIM(C520)&amp;" ")-1),",","."),FIND("/",SUBSTITUTE(LEFT(TRIM(C520),FIND(" ",TRIM(C520)&amp;" ")-1),",","."))-1)/MID(SUBSTITUTE(LEFT(TRIM(C520),FIND(" ",TRIM(C520)&amp;" ")-1),",","."),FIND("/",SUBSTITUTE(LEFT(TRIM(C520),FIND(" ",TRIM(C520)&amp;" ")-1),",","."))+1,9)),IF(ISNUMBER(SEARCH("yea",C520)),IFERROR(_xlfn.NUMBERVALUE(SUBSTITUTE(LEFT(TRIM(C520),FIND(" ",TRIM(C520)&amp;" ")-1),",","."),"."),LEFT(SUBSTITUTE(LEFT(TRIM(C520),FIND(" ",TRIM(C520)&amp;" ")-1),",","."),FIND("/",SUBSTITUTE(LEFT(TRIM(C520),FIND(" ",TRIM(C520)&amp;" ")-1),",","."))-1)/MID(SUBSTITUTE(LEFT(TRIM(C520),FIND(" ",TRIM(C520)&amp;" ")-1),",","."),FIND("/",SUBSTITUTE(LEFT(TRIM(C520),FIND(" ",TRIM(C520)&amp;" ")-1),",","."))+1,9))*12,NA()))),0),48)*'Aturan &amp; Tarif'!$B$4,2)</f>
        <v>2725.44</v>
      </c>
      <c r="K520" s="32" t="n">
        <f aca="false">'Aturan &amp; Tarif'!$B$5</f>
        <v>2050</v>
      </c>
      <c r="L520" s="35" t="n">
        <f aca="false">I520+J520+K520</f>
        <v>6575.44</v>
      </c>
      <c r="M520" s="36" t="s">
        <v>3143</v>
      </c>
    </row>
    <row r="521" customFormat="false" ht="37.5" hidden="false" customHeight="true" outlineLevel="0" collapsed="false">
      <c r="A521" s="29"/>
      <c r="B521" s="30" t="s">
        <v>2097</v>
      </c>
      <c r="C521" s="31" t="s">
        <v>127</v>
      </c>
      <c r="D521" s="31" t="s">
        <v>108</v>
      </c>
      <c r="E521" s="32" t="n">
        <v>1400</v>
      </c>
      <c r="F521" s="32" t="n">
        <v>300</v>
      </c>
      <c r="G521" s="32" t="n">
        <v>200</v>
      </c>
      <c r="H521" s="33" t="n">
        <v>1</v>
      </c>
      <c r="I521" s="34" t="n">
        <f aca="false">E521*H521+N(F521)+N(G521)</f>
        <v>1900</v>
      </c>
      <c r="J521" s="32" t="n">
        <f aca="false">ROUND(IFERROR(ROUND(IF(OR(ISNUMBER(SEARCH("week",C521)),ISNUMBER(SEARCH("minggu",C521))),IFERROR(_xlfn.NUMBERVALUE(SUBSTITUTE(LEFT(TRIM(C521),FIND(" ",TRIM(C521)&amp;" ")-1),",","."),"."),LEFT(SUBSTITUTE(LEFT(TRIM(C521),FIND(" ",TRIM(C521)&amp;" ")-1),",","."),FIND("/",SUBSTITUTE(LEFT(TRIM(C521),FIND(" ",TRIM(C521)&amp;" ")-1),",","."))-1)/MID(SUBSTITUTE(LEFT(TRIM(C521),FIND(" ",TRIM(C521)&amp;" ")-1),",","."),FIND("/",SUBSTITUTE(LEFT(TRIM(C521),FIND(" ",TRIM(C521)&amp;" ")-1),",","."))+1,9))*12/52,IF(ISNUMBER(SEARCH("month",C521)),IFERROR(_xlfn.NUMBERVALUE(SUBSTITUTE(LEFT(TRIM(C521),FIND(" ",TRIM(C521)&amp;" ")-1),",","."),"."),LEFT(SUBSTITUTE(LEFT(TRIM(C521),FIND(" ",TRIM(C521)&amp;" ")-1),",","."),FIND("/",SUBSTITUTE(LEFT(TRIM(C521),FIND(" ",TRIM(C521)&amp;" ")-1),",","."))-1)/MID(SUBSTITUTE(LEFT(TRIM(C521),FIND(" ",TRIM(C521)&amp;" ")-1),",","."),FIND("/",SUBSTITUTE(LEFT(TRIM(C521),FIND(" ",TRIM(C521)&amp;" ")-1),",","."))+1,9)),IF(ISNUMBER(SEARCH("yea",C521)),IFERROR(_xlfn.NUMBERVALUE(SUBSTITUTE(LEFT(TRIM(C521),FIND(" ",TRIM(C521)&amp;" ")-1),",","."),"."),LEFT(SUBSTITUTE(LEFT(TRIM(C521),FIND(" ",TRIM(C521)&amp;" ")-1),",","."),FIND("/",SUBSTITUTE(LEFT(TRIM(C521),FIND(" ",TRIM(C521)&amp;" ")-1),",","."))-1)/MID(SUBSTITUTE(LEFT(TRIM(C521),FIND(" ",TRIM(C521)&amp;" ")-1),",","."),FIND("/",SUBSTITUTE(LEFT(TRIM(C521),FIND(" ",TRIM(C521)&amp;" ")-1),",","."))+1,9))*12,NA()))),0),36)*'Aturan &amp; Tarif'!$B$4,2)</f>
        <v>2044.08</v>
      </c>
      <c r="K521" s="32" t="n">
        <f aca="false">'Aturan &amp; Tarif'!$B$5</f>
        <v>2050</v>
      </c>
      <c r="L521" s="35" t="n">
        <f aca="false">I521+J521+K521</f>
        <v>5994.08</v>
      </c>
      <c r="M521" s="36" t="s">
        <v>3143</v>
      </c>
    </row>
    <row r="522" customFormat="false" ht="37.5" hidden="false" customHeight="true" outlineLevel="0" collapsed="false">
      <c r="A522" s="29"/>
      <c r="B522" s="30" t="s">
        <v>880</v>
      </c>
      <c r="C522" s="31" t="s">
        <v>107</v>
      </c>
      <c r="D522" s="31" t="s">
        <v>108</v>
      </c>
      <c r="E522" s="32" t="n">
        <v>1400</v>
      </c>
      <c r="F522" s="32" t="n">
        <v>200</v>
      </c>
      <c r="G522" s="32" t="n">
        <v>200</v>
      </c>
      <c r="H522" s="33" t="n">
        <v>1</v>
      </c>
      <c r="I522" s="34" t="n">
        <f aca="false">E522*H522+N(F522)+N(G522)</f>
        <v>1800</v>
      </c>
      <c r="J522" s="32" t="n">
        <f aca="false">ROUND(IFERROR(ROUND(IF(OR(ISNUMBER(SEARCH("week",C522)),ISNUMBER(SEARCH("minggu",C522))),IFERROR(_xlfn.NUMBERVALUE(SUBSTITUTE(LEFT(TRIM(C522),FIND(" ",TRIM(C522)&amp;" ")-1),",","."),"."),LEFT(SUBSTITUTE(LEFT(TRIM(C522),FIND(" ",TRIM(C522)&amp;" ")-1),",","."),FIND("/",SUBSTITUTE(LEFT(TRIM(C522),FIND(" ",TRIM(C522)&amp;" ")-1),",","."))-1)/MID(SUBSTITUTE(LEFT(TRIM(C522),FIND(" ",TRIM(C522)&amp;" ")-1),",","."),FIND("/",SUBSTITUTE(LEFT(TRIM(C522),FIND(" ",TRIM(C522)&amp;" ")-1),",","."))+1,9))*12/52,IF(ISNUMBER(SEARCH("month",C522)),IFERROR(_xlfn.NUMBERVALUE(SUBSTITUTE(LEFT(TRIM(C522),FIND(" ",TRIM(C522)&amp;" ")-1),",","."),"."),LEFT(SUBSTITUTE(LEFT(TRIM(C522),FIND(" ",TRIM(C522)&amp;" ")-1),",","."),FIND("/",SUBSTITUTE(LEFT(TRIM(C522),FIND(" ",TRIM(C522)&amp;" ")-1),",","."))-1)/MID(SUBSTITUTE(LEFT(TRIM(C522),FIND(" ",TRIM(C522)&amp;" ")-1),",","."),FIND("/",SUBSTITUTE(LEFT(TRIM(C522),FIND(" ",TRIM(C522)&amp;" ")-1),",","."))+1,9)),IF(ISNUMBER(SEARCH("yea",C522)),IFERROR(_xlfn.NUMBERVALUE(SUBSTITUTE(LEFT(TRIM(C522),FIND(" ",TRIM(C522)&amp;" ")-1),",","."),"."),LEFT(SUBSTITUTE(LEFT(TRIM(C522),FIND(" ",TRIM(C522)&amp;" ")-1),",","."),FIND("/",SUBSTITUTE(LEFT(TRIM(C522),FIND(" ",TRIM(C522)&amp;" ")-1),",","."))-1)/MID(SUBSTITUTE(LEFT(TRIM(C522),FIND(" ",TRIM(C522)&amp;" ")-1),",","."),FIND("/",SUBSTITUTE(LEFT(TRIM(C522),FIND(" ",TRIM(C522)&amp;" ")-1),",","."))+1,9))*12,NA()))),0),24)*'Aturan &amp; Tarif'!$B$4,2)</f>
        <v>1362.72</v>
      </c>
      <c r="K522" s="32" t="n">
        <f aca="false">'Aturan &amp; Tarif'!$B$5</f>
        <v>2050</v>
      </c>
      <c r="L522" s="35" t="n">
        <f aca="false">I522+J522+K522</f>
        <v>5212.72</v>
      </c>
      <c r="M522" s="36" t="s">
        <v>3143</v>
      </c>
    </row>
    <row r="523" customFormat="false" ht="37.5" hidden="false" customHeight="true" outlineLevel="0" collapsed="false">
      <c r="A523" s="29"/>
      <c r="B523" s="30" t="s">
        <v>889</v>
      </c>
      <c r="C523" s="31" t="s">
        <v>107</v>
      </c>
      <c r="D523" s="31" t="s">
        <v>108</v>
      </c>
      <c r="E523" s="32" t="n">
        <v>2000</v>
      </c>
      <c r="F523" s="32" t="n">
        <v>400</v>
      </c>
      <c r="G523" s="32" t="n">
        <v>200</v>
      </c>
      <c r="H523" s="33" t="n">
        <v>1</v>
      </c>
      <c r="I523" s="34" t="n">
        <f aca="false">E523*H523+N(F523)+N(G523)</f>
        <v>2600</v>
      </c>
      <c r="J523" s="32" t="n">
        <f aca="false">ROUND(IFERROR(ROUND(IF(OR(ISNUMBER(SEARCH("week",C523)),ISNUMBER(SEARCH("minggu",C523))),IFERROR(_xlfn.NUMBERVALUE(SUBSTITUTE(LEFT(TRIM(C523),FIND(" ",TRIM(C523)&amp;" ")-1),",","."),"."),LEFT(SUBSTITUTE(LEFT(TRIM(C523),FIND(" ",TRIM(C523)&amp;" ")-1),",","."),FIND("/",SUBSTITUTE(LEFT(TRIM(C523),FIND(" ",TRIM(C523)&amp;" ")-1),",","."))-1)/MID(SUBSTITUTE(LEFT(TRIM(C523),FIND(" ",TRIM(C523)&amp;" ")-1),",","."),FIND("/",SUBSTITUTE(LEFT(TRIM(C523),FIND(" ",TRIM(C523)&amp;" ")-1),",","."))+1,9))*12/52,IF(ISNUMBER(SEARCH("month",C523)),IFERROR(_xlfn.NUMBERVALUE(SUBSTITUTE(LEFT(TRIM(C523),FIND(" ",TRIM(C523)&amp;" ")-1),",","."),"."),LEFT(SUBSTITUTE(LEFT(TRIM(C523),FIND(" ",TRIM(C523)&amp;" ")-1),",","."),FIND("/",SUBSTITUTE(LEFT(TRIM(C523),FIND(" ",TRIM(C523)&amp;" ")-1),",","."))-1)/MID(SUBSTITUTE(LEFT(TRIM(C523),FIND(" ",TRIM(C523)&amp;" ")-1),",","."),FIND("/",SUBSTITUTE(LEFT(TRIM(C523),FIND(" ",TRIM(C523)&amp;" ")-1),",","."))+1,9)),IF(ISNUMBER(SEARCH("yea",C523)),IFERROR(_xlfn.NUMBERVALUE(SUBSTITUTE(LEFT(TRIM(C523),FIND(" ",TRIM(C523)&amp;" ")-1),",","."),"."),LEFT(SUBSTITUTE(LEFT(TRIM(C523),FIND(" ",TRIM(C523)&amp;" ")-1),",","."),FIND("/",SUBSTITUTE(LEFT(TRIM(C523),FIND(" ",TRIM(C523)&amp;" ")-1),",","."))-1)/MID(SUBSTITUTE(LEFT(TRIM(C523),FIND(" ",TRIM(C523)&amp;" ")-1),",","."),FIND("/",SUBSTITUTE(LEFT(TRIM(C523),FIND(" ",TRIM(C523)&amp;" ")-1),",","."))+1,9))*12,NA()))),0),24)*'Aturan &amp; Tarif'!$B$4,2)</f>
        <v>1362.72</v>
      </c>
      <c r="K523" s="32" t="n">
        <f aca="false">'Aturan &amp; Tarif'!$B$5</f>
        <v>2050</v>
      </c>
      <c r="L523" s="35" t="n">
        <f aca="false">I523+J523+K523</f>
        <v>6012.72</v>
      </c>
      <c r="M523" s="36" t="s">
        <v>2098</v>
      </c>
    </row>
    <row r="524" customFormat="false" ht="37.5" hidden="false" customHeight="true" outlineLevel="0" collapsed="false">
      <c r="A524" s="29"/>
      <c r="B524" s="30" t="s">
        <v>881</v>
      </c>
      <c r="C524" s="31" t="s">
        <v>107</v>
      </c>
      <c r="D524" s="31" t="s">
        <v>108</v>
      </c>
      <c r="E524" s="32" t="n">
        <v>2150</v>
      </c>
      <c r="F524" s="32" t="n">
        <v>600</v>
      </c>
      <c r="G524" s="32" t="n">
        <v>200</v>
      </c>
      <c r="H524" s="33" t="n">
        <v>1</v>
      </c>
      <c r="I524" s="34" t="n">
        <f aca="false">E524*H524+N(F524)+N(G524)</f>
        <v>2950</v>
      </c>
      <c r="J524" s="32" t="n">
        <f aca="false">ROUND(IFERROR(ROUND(IF(OR(ISNUMBER(SEARCH("week",C524)),ISNUMBER(SEARCH("minggu",C524))),IFERROR(_xlfn.NUMBERVALUE(SUBSTITUTE(LEFT(TRIM(C524),FIND(" ",TRIM(C524)&amp;" ")-1),",","."),"."),LEFT(SUBSTITUTE(LEFT(TRIM(C524),FIND(" ",TRIM(C524)&amp;" ")-1),",","."),FIND("/",SUBSTITUTE(LEFT(TRIM(C524),FIND(" ",TRIM(C524)&amp;" ")-1),",","."))-1)/MID(SUBSTITUTE(LEFT(TRIM(C524),FIND(" ",TRIM(C524)&amp;" ")-1),",","."),FIND("/",SUBSTITUTE(LEFT(TRIM(C524),FIND(" ",TRIM(C524)&amp;" ")-1),",","."))+1,9))*12/52,IF(ISNUMBER(SEARCH("month",C524)),IFERROR(_xlfn.NUMBERVALUE(SUBSTITUTE(LEFT(TRIM(C524),FIND(" ",TRIM(C524)&amp;" ")-1),",","."),"."),LEFT(SUBSTITUTE(LEFT(TRIM(C524),FIND(" ",TRIM(C524)&amp;" ")-1),",","."),FIND("/",SUBSTITUTE(LEFT(TRIM(C524),FIND(" ",TRIM(C524)&amp;" ")-1),",","."))-1)/MID(SUBSTITUTE(LEFT(TRIM(C524),FIND(" ",TRIM(C524)&amp;" ")-1),",","."),FIND("/",SUBSTITUTE(LEFT(TRIM(C524),FIND(" ",TRIM(C524)&amp;" ")-1),",","."))+1,9)),IF(ISNUMBER(SEARCH("yea",C524)),IFERROR(_xlfn.NUMBERVALUE(SUBSTITUTE(LEFT(TRIM(C524),FIND(" ",TRIM(C524)&amp;" ")-1),",","."),"."),LEFT(SUBSTITUTE(LEFT(TRIM(C524),FIND(" ",TRIM(C524)&amp;" ")-1),",","."),FIND("/",SUBSTITUTE(LEFT(TRIM(C524),FIND(" ",TRIM(C524)&amp;" ")-1),",","."))-1)/MID(SUBSTITUTE(LEFT(TRIM(C524),FIND(" ",TRIM(C524)&amp;" ")-1),",","."),FIND("/",SUBSTITUTE(LEFT(TRIM(C524),FIND(" ",TRIM(C524)&amp;" ")-1),",","."))+1,9))*12,NA()))),0),24)*'Aturan &amp; Tarif'!$B$4,2)</f>
        <v>1362.72</v>
      </c>
      <c r="K524" s="32" t="n">
        <f aca="false">'Aturan &amp; Tarif'!$B$5</f>
        <v>2050</v>
      </c>
      <c r="L524" s="35" t="n">
        <f aca="false">I524+J524+K524</f>
        <v>6362.72</v>
      </c>
      <c r="M524" s="36" t="s">
        <v>3144</v>
      </c>
    </row>
    <row r="525" customFormat="false" ht="37.5" hidden="false" customHeight="true" outlineLevel="0" collapsed="false">
      <c r="A525" s="29"/>
      <c r="B525" s="30" t="s">
        <v>1979</v>
      </c>
      <c r="C525" s="31" t="s">
        <v>107</v>
      </c>
      <c r="D525" s="31" t="s">
        <v>108</v>
      </c>
      <c r="E525" s="32" t="n">
        <v>2150</v>
      </c>
      <c r="F525" s="32" t="n">
        <v>600</v>
      </c>
      <c r="G525" s="32" t="n">
        <v>200</v>
      </c>
      <c r="H525" s="33" t="n">
        <v>1</v>
      </c>
      <c r="I525" s="34" t="n">
        <f aca="false">E525*H525+N(F525)+N(G525)</f>
        <v>2950</v>
      </c>
      <c r="J525" s="32" t="n">
        <f aca="false">ROUND(IFERROR(ROUND(IF(OR(ISNUMBER(SEARCH("week",C525)),ISNUMBER(SEARCH("minggu",C525))),IFERROR(_xlfn.NUMBERVALUE(SUBSTITUTE(LEFT(TRIM(C525),FIND(" ",TRIM(C525)&amp;" ")-1),",","."),"."),LEFT(SUBSTITUTE(LEFT(TRIM(C525),FIND(" ",TRIM(C525)&amp;" ")-1),",","."),FIND("/",SUBSTITUTE(LEFT(TRIM(C525),FIND(" ",TRIM(C525)&amp;" ")-1),",","."))-1)/MID(SUBSTITUTE(LEFT(TRIM(C525),FIND(" ",TRIM(C525)&amp;" ")-1),",","."),FIND("/",SUBSTITUTE(LEFT(TRIM(C525),FIND(" ",TRIM(C525)&amp;" ")-1),",","."))+1,9))*12/52,IF(ISNUMBER(SEARCH("month",C525)),IFERROR(_xlfn.NUMBERVALUE(SUBSTITUTE(LEFT(TRIM(C525),FIND(" ",TRIM(C525)&amp;" ")-1),",","."),"."),LEFT(SUBSTITUTE(LEFT(TRIM(C525),FIND(" ",TRIM(C525)&amp;" ")-1),",","."),FIND("/",SUBSTITUTE(LEFT(TRIM(C525),FIND(" ",TRIM(C525)&amp;" ")-1),",","."))-1)/MID(SUBSTITUTE(LEFT(TRIM(C525),FIND(" ",TRIM(C525)&amp;" ")-1),",","."),FIND("/",SUBSTITUTE(LEFT(TRIM(C525),FIND(" ",TRIM(C525)&amp;" ")-1),",","."))+1,9)),IF(ISNUMBER(SEARCH("yea",C525)),IFERROR(_xlfn.NUMBERVALUE(SUBSTITUTE(LEFT(TRIM(C525),FIND(" ",TRIM(C525)&amp;" ")-1),",","."),"."),LEFT(SUBSTITUTE(LEFT(TRIM(C525),FIND(" ",TRIM(C525)&amp;" ")-1),",","."),FIND("/",SUBSTITUTE(LEFT(TRIM(C525),FIND(" ",TRIM(C525)&amp;" ")-1),",","."))-1)/MID(SUBSTITUTE(LEFT(TRIM(C525),FIND(" ",TRIM(C525)&amp;" ")-1),",","."),FIND("/",SUBSTITUTE(LEFT(TRIM(C525),FIND(" ",TRIM(C525)&amp;" ")-1),",","."))+1,9))*12,NA()))),0),24)*'Aturan &amp; Tarif'!$B$4,2)</f>
        <v>1362.72</v>
      </c>
      <c r="K525" s="32" t="n">
        <f aca="false">'Aturan &amp; Tarif'!$B$5</f>
        <v>2050</v>
      </c>
      <c r="L525" s="35" t="n">
        <f aca="false">I525+J525+K525</f>
        <v>6362.72</v>
      </c>
      <c r="M525" s="36" t="s">
        <v>3145</v>
      </c>
    </row>
    <row r="526" customFormat="false" ht="37.5" hidden="false" customHeight="true" outlineLevel="0" collapsed="false">
      <c r="A526" s="29"/>
      <c r="B526" s="30" t="s">
        <v>2101</v>
      </c>
      <c r="C526" s="31" t="s">
        <v>191</v>
      </c>
      <c r="D526" s="31" t="s">
        <v>108</v>
      </c>
      <c r="E526" s="32" t="n">
        <v>2150</v>
      </c>
      <c r="F526" s="32" t="n">
        <v>600</v>
      </c>
      <c r="G526" s="32" t="n">
        <v>200</v>
      </c>
      <c r="H526" s="33" t="n">
        <v>1</v>
      </c>
      <c r="I526" s="34" t="n">
        <f aca="false">E526*H526+N(F526)+N(G526)</f>
        <v>2950</v>
      </c>
      <c r="J526" s="32" t="n">
        <f aca="false">ROUND(IFERROR(ROUND(IF(OR(ISNUMBER(SEARCH("week",C526)),ISNUMBER(SEARCH("minggu",C526))),IFERROR(_xlfn.NUMBERVALUE(SUBSTITUTE(LEFT(TRIM(C526),FIND(" ",TRIM(C526)&amp;" ")-1),",","."),"."),LEFT(SUBSTITUTE(LEFT(TRIM(C526),FIND(" ",TRIM(C526)&amp;" ")-1),",","."),FIND("/",SUBSTITUTE(LEFT(TRIM(C526),FIND(" ",TRIM(C526)&amp;" ")-1),",","."))-1)/MID(SUBSTITUTE(LEFT(TRIM(C526),FIND(" ",TRIM(C526)&amp;" ")-1),",","."),FIND("/",SUBSTITUTE(LEFT(TRIM(C526),FIND(" ",TRIM(C526)&amp;" ")-1),",","."))+1,9))*12/52,IF(ISNUMBER(SEARCH("month",C526)),IFERROR(_xlfn.NUMBERVALUE(SUBSTITUTE(LEFT(TRIM(C526),FIND(" ",TRIM(C526)&amp;" ")-1),",","."),"."),LEFT(SUBSTITUTE(LEFT(TRIM(C526),FIND(" ",TRIM(C526)&amp;" ")-1),",","."),FIND("/",SUBSTITUTE(LEFT(TRIM(C526),FIND(" ",TRIM(C526)&amp;" ")-1),",","."))-1)/MID(SUBSTITUTE(LEFT(TRIM(C526),FIND(" ",TRIM(C526)&amp;" ")-1),",","."),FIND("/",SUBSTITUTE(LEFT(TRIM(C526),FIND(" ",TRIM(C526)&amp;" ")-1),",","."))+1,9)),IF(ISNUMBER(SEARCH("yea",C526)),IFERROR(_xlfn.NUMBERVALUE(SUBSTITUTE(LEFT(TRIM(C526),FIND(" ",TRIM(C526)&amp;" ")-1),",","."),"."),LEFT(SUBSTITUTE(LEFT(TRIM(C526),FIND(" ",TRIM(C526)&amp;" ")-1),",","."),FIND("/",SUBSTITUTE(LEFT(TRIM(C526),FIND(" ",TRIM(C526)&amp;" ")-1),",","."))-1)/MID(SUBSTITUTE(LEFT(TRIM(C526),FIND(" ",TRIM(C526)&amp;" ")-1),",","."),FIND("/",SUBSTITUTE(LEFT(TRIM(C526),FIND(" ",TRIM(C526)&amp;" ")-1),",","."))+1,9))*12,NA()))),0),48)*'Aturan &amp; Tarif'!$B$4,2)</f>
        <v>2725.44</v>
      </c>
      <c r="K526" s="32" t="n">
        <f aca="false">'Aturan &amp; Tarif'!$B$5</f>
        <v>2050</v>
      </c>
      <c r="L526" s="35" t="n">
        <f aca="false">I526+J526+K526</f>
        <v>7725.44</v>
      </c>
      <c r="M526" s="36" t="s">
        <v>3145</v>
      </c>
    </row>
    <row r="527" customFormat="false" ht="48.75" hidden="false" customHeight="true" outlineLevel="0" collapsed="false">
      <c r="A527" s="39" t="s">
        <v>2102</v>
      </c>
      <c r="B527" s="40" t="s">
        <v>952</v>
      </c>
      <c r="C527" s="41" t="s">
        <v>107</v>
      </c>
      <c r="D527" s="41" t="s">
        <v>108</v>
      </c>
      <c r="E527" s="42" t="n">
        <v>1535</v>
      </c>
      <c r="F527" s="42" t="n">
        <v>2500</v>
      </c>
      <c r="G527" s="42" t="n">
        <v>350</v>
      </c>
      <c r="H527" s="43" t="n">
        <v>1</v>
      </c>
      <c r="I527" s="34" t="n">
        <f aca="false">E527*H527+N(F527)+N(G527)</f>
        <v>4385</v>
      </c>
      <c r="J527" s="42" t="n">
        <f aca="false">ROUND(IFERROR(ROUND(IF(OR(ISNUMBER(SEARCH("week",C527)),ISNUMBER(SEARCH("minggu",C527))),IFERROR(_xlfn.NUMBERVALUE(SUBSTITUTE(LEFT(TRIM(C527),FIND(" ",TRIM(C527)&amp;" ")-1),",","."),"."),LEFT(SUBSTITUTE(LEFT(TRIM(C527),FIND(" ",TRIM(C527)&amp;" ")-1),",","."),FIND("/",SUBSTITUTE(LEFT(TRIM(C527),FIND(" ",TRIM(C527)&amp;" ")-1),",","."))-1)/MID(SUBSTITUTE(LEFT(TRIM(C527),FIND(" ",TRIM(C527)&amp;" ")-1),",","."),FIND("/",SUBSTITUTE(LEFT(TRIM(C527),FIND(" ",TRIM(C527)&amp;" ")-1),",","."))+1,9))*12/52,IF(ISNUMBER(SEARCH("month",C527)),IFERROR(_xlfn.NUMBERVALUE(SUBSTITUTE(LEFT(TRIM(C527),FIND(" ",TRIM(C527)&amp;" ")-1),",","."),"."),LEFT(SUBSTITUTE(LEFT(TRIM(C527),FIND(" ",TRIM(C527)&amp;" ")-1),",","."),FIND("/",SUBSTITUTE(LEFT(TRIM(C527),FIND(" ",TRIM(C527)&amp;" ")-1),",","."))-1)/MID(SUBSTITUTE(LEFT(TRIM(C527),FIND(" ",TRIM(C527)&amp;" ")-1),",","."),FIND("/",SUBSTITUTE(LEFT(TRIM(C527),FIND(" ",TRIM(C527)&amp;" ")-1),",","."))+1,9)),IF(ISNUMBER(SEARCH("yea",C527)),IFERROR(_xlfn.NUMBERVALUE(SUBSTITUTE(LEFT(TRIM(C527),FIND(" ",TRIM(C527)&amp;" ")-1),",","."),"."),LEFT(SUBSTITUTE(LEFT(TRIM(C527),FIND(" ",TRIM(C527)&amp;" ")-1),",","."),FIND("/",SUBSTITUTE(LEFT(TRIM(C527),FIND(" ",TRIM(C527)&amp;" ")-1),",","."))-1)/MID(SUBSTITUTE(LEFT(TRIM(C527),FIND(" ",TRIM(C527)&amp;" ")-1),",","."),FIND("/",SUBSTITUTE(LEFT(TRIM(C527),FIND(" ",TRIM(C527)&amp;" ")-1),",","."))+1,9))*12,NA()))),0),24)*'Aturan &amp; Tarif'!$B$4,2)</f>
        <v>1362.72</v>
      </c>
      <c r="K527" s="42" t="n">
        <f aca="false">'Aturan &amp; Tarif'!$B$5</f>
        <v>2050</v>
      </c>
      <c r="L527" s="35" t="n">
        <f aca="false">I527+J527+K527</f>
        <v>7797.72</v>
      </c>
      <c r="M527" s="44" t="s">
        <v>131</v>
      </c>
    </row>
    <row r="528" customFormat="false" ht="48.75" hidden="false" customHeight="true" outlineLevel="0" collapsed="false">
      <c r="A528" s="39"/>
      <c r="B528" s="40" t="s">
        <v>953</v>
      </c>
      <c r="C528" s="41" t="s">
        <v>138</v>
      </c>
      <c r="D528" s="41" t="s">
        <v>108</v>
      </c>
      <c r="E528" s="42" t="n">
        <v>1535</v>
      </c>
      <c r="F528" s="42" t="n">
        <v>2500</v>
      </c>
      <c r="G528" s="42" t="n">
        <v>350</v>
      </c>
      <c r="H528" s="43" t="n">
        <v>1</v>
      </c>
      <c r="I528" s="34" t="n">
        <f aca="false">E528*H528+N(F528)+N(G528)</f>
        <v>4385</v>
      </c>
      <c r="J528" s="42" t="n">
        <f aca="false">ROUND(IFERROR(ROUND(IF(OR(ISNUMBER(SEARCH("week",C528)),ISNUMBER(SEARCH("minggu",C528))),IFERROR(_xlfn.NUMBERVALUE(SUBSTITUTE(LEFT(TRIM(C528),FIND(" ",TRIM(C528)&amp;" ")-1),",","."),"."),LEFT(SUBSTITUTE(LEFT(TRIM(C528),FIND(" ",TRIM(C528)&amp;" ")-1),",","."),FIND("/",SUBSTITUTE(LEFT(TRIM(C528),FIND(" ",TRIM(C528)&amp;" ")-1),",","."))-1)/MID(SUBSTITUTE(LEFT(TRIM(C528),FIND(" ",TRIM(C528)&amp;" ")-1),",","."),FIND("/",SUBSTITUTE(LEFT(TRIM(C528),FIND(" ",TRIM(C528)&amp;" ")-1),",","."))+1,9))*12/52,IF(ISNUMBER(SEARCH("month",C528)),IFERROR(_xlfn.NUMBERVALUE(SUBSTITUTE(LEFT(TRIM(C528),FIND(" ",TRIM(C528)&amp;" ")-1),",","."),"."),LEFT(SUBSTITUTE(LEFT(TRIM(C528),FIND(" ",TRIM(C528)&amp;" ")-1),",","."),FIND("/",SUBSTITUTE(LEFT(TRIM(C528),FIND(" ",TRIM(C528)&amp;" ")-1),",","."))-1)/MID(SUBSTITUTE(LEFT(TRIM(C528),FIND(" ",TRIM(C528)&amp;" ")-1),",","."),FIND("/",SUBSTITUTE(LEFT(TRIM(C528),FIND(" ",TRIM(C528)&amp;" ")-1),",","."))+1,9)),IF(ISNUMBER(SEARCH("yea",C528)),IFERROR(_xlfn.NUMBERVALUE(SUBSTITUTE(LEFT(TRIM(C528),FIND(" ",TRIM(C528)&amp;" ")-1),",","."),"."),LEFT(SUBSTITUTE(LEFT(TRIM(C528),FIND(" ",TRIM(C528)&amp;" ")-1),",","."),FIND("/",SUBSTITUTE(LEFT(TRIM(C528),FIND(" ",TRIM(C528)&amp;" ")-1),",","."))-1)/MID(SUBSTITUTE(LEFT(TRIM(C528),FIND(" ",TRIM(C528)&amp;" ")-1),",","."),FIND("/",SUBSTITUTE(LEFT(TRIM(C528),FIND(" ",TRIM(C528)&amp;" ")-1),",","."))+1,9))*12,NA()))),0),30)*'Aturan &amp; Tarif'!$B$4,2)</f>
        <v>1703.4</v>
      </c>
      <c r="K528" s="42" t="n">
        <f aca="false">'Aturan &amp; Tarif'!$B$5</f>
        <v>2050</v>
      </c>
      <c r="L528" s="35" t="n">
        <f aca="false">I528+J528+K528</f>
        <v>8138.4</v>
      </c>
      <c r="M528" s="44" t="s">
        <v>131</v>
      </c>
    </row>
    <row r="529" customFormat="false" ht="60" hidden="false" customHeight="true" outlineLevel="0" collapsed="false">
      <c r="A529" s="29" t="s">
        <v>2104</v>
      </c>
      <c r="B529" s="30" t="s">
        <v>2105</v>
      </c>
      <c r="C529" s="31" t="s">
        <v>127</v>
      </c>
      <c r="D529" s="31" t="s">
        <v>108</v>
      </c>
      <c r="E529" s="32" t="n">
        <v>9595</v>
      </c>
      <c r="F529" s="32"/>
      <c r="G529" s="32"/>
      <c r="H529" s="33" t="n">
        <v>2</v>
      </c>
      <c r="I529" s="34" t="n">
        <f aca="false">E529*H529+N(F529)+N(G529)</f>
        <v>19190</v>
      </c>
      <c r="J529" s="32" t="n">
        <f aca="false">ROUND(IFERROR(ROUND(IF(OR(ISNUMBER(SEARCH("week",C529)),ISNUMBER(SEARCH("minggu",C529))),IFERROR(_xlfn.NUMBERVALUE(SUBSTITUTE(LEFT(TRIM(C529),FIND(" ",TRIM(C529)&amp;" ")-1),",","."),"."),LEFT(SUBSTITUTE(LEFT(TRIM(C529),FIND(" ",TRIM(C529)&amp;" ")-1),",","."),FIND("/",SUBSTITUTE(LEFT(TRIM(C529),FIND(" ",TRIM(C529)&amp;" ")-1),",","."))-1)/MID(SUBSTITUTE(LEFT(TRIM(C529),FIND(" ",TRIM(C529)&amp;" ")-1),",","."),FIND("/",SUBSTITUTE(LEFT(TRIM(C529),FIND(" ",TRIM(C529)&amp;" ")-1),",","."))+1,9))*12/52,IF(ISNUMBER(SEARCH("month",C529)),IFERROR(_xlfn.NUMBERVALUE(SUBSTITUTE(LEFT(TRIM(C529),FIND(" ",TRIM(C529)&amp;" ")-1),",","."),"."),LEFT(SUBSTITUTE(LEFT(TRIM(C529),FIND(" ",TRIM(C529)&amp;" ")-1),",","."),FIND("/",SUBSTITUTE(LEFT(TRIM(C529),FIND(" ",TRIM(C529)&amp;" ")-1),",","."))-1)/MID(SUBSTITUTE(LEFT(TRIM(C529),FIND(" ",TRIM(C529)&amp;" ")-1),",","."),FIND("/",SUBSTITUTE(LEFT(TRIM(C529),FIND(" ",TRIM(C529)&amp;" ")-1),",","."))+1,9)),IF(ISNUMBER(SEARCH("yea",C529)),IFERROR(_xlfn.NUMBERVALUE(SUBSTITUTE(LEFT(TRIM(C529),FIND(" ",TRIM(C529)&amp;" ")-1),",","."),"."),LEFT(SUBSTITUTE(LEFT(TRIM(C529),FIND(" ",TRIM(C529)&amp;" ")-1),",","."),FIND("/",SUBSTITUTE(LEFT(TRIM(C529),FIND(" ",TRIM(C529)&amp;" ")-1),",","."))-1)/MID(SUBSTITUTE(LEFT(TRIM(C529),FIND(" ",TRIM(C529)&amp;" ")-1),",","."),FIND("/",SUBSTITUTE(LEFT(TRIM(C529),FIND(" ",TRIM(C529)&amp;" ")-1),",","."))+1,9))*12,NA()))),0),36)*'Aturan &amp; Tarif'!$B$4,2)</f>
        <v>2044.08</v>
      </c>
      <c r="K529" s="32" t="n">
        <f aca="false">'Aturan &amp; Tarif'!$B$5</f>
        <v>2050</v>
      </c>
      <c r="L529" s="35" t="n">
        <f aca="false">I529+J529+K529</f>
        <v>23284.08</v>
      </c>
      <c r="M529" s="37" t="s">
        <v>2106</v>
      </c>
    </row>
    <row r="530" customFormat="false" ht="48.75" hidden="false" customHeight="true" outlineLevel="0" collapsed="false">
      <c r="A530" s="29"/>
      <c r="B530" s="30" t="s">
        <v>2107</v>
      </c>
      <c r="C530" s="31" t="s">
        <v>113</v>
      </c>
      <c r="D530" s="31" t="s">
        <v>108</v>
      </c>
      <c r="E530" s="32" t="n">
        <v>4500</v>
      </c>
      <c r="F530" s="32" t="n">
        <v>300</v>
      </c>
      <c r="G530" s="32"/>
      <c r="H530" s="33" t="n">
        <v>2</v>
      </c>
      <c r="I530" s="34" t="n">
        <f aca="false">E530*H530+N(F530)+N(G530)</f>
        <v>9300</v>
      </c>
      <c r="J530" s="32" t="n">
        <f aca="false">ROUND(IFERROR(ROUND(IF(OR(ISNUMBER(SEARCH("week",C530)),ISNUMBER(SEARCH("minggu",C530))),IFERROR(_xlfn.NUMBERVALUE(SUBSTITUTE(LEFT(TRIM(C530),FIND(" ",TRIM(C530)&amp;" ")-1),",","."),"."),LEFT(SUBSTITUTE(LEFT(TRIM(C530),FIND(" ",TRIM(C530)&amp;" ")-1),",","."),FIND("/",SUBSTITUTE(LEFT(TRIM(C530),FIND(" ",TRIM(C530)&amp;" ")-1),",","."))-1)/MID(SUBSTITUTE(LEFT(TRIM(C530),FIND(" ",TRIM(C530)&amp;" ")-1),",","."),FIND("/",SUBSTITUTE(LEFT(TRIM(C530),FIND(" ",TRIM(C530)&amp;" ")-1),",","."))+1,9))*12/52,IF(ISNUMBER(SEARCH("month",C530)),IFERROR(_xlfn.NUMBERVALUE(SUBSTITUTE(LEFT(TRIM(C530),FIND(" ",TRIM(C530)&amp;" ")-1),",","."),"."),LEFT(SUBSTITUTE(LEFT(TRIM(C530),FIND(" ",TRIM(C530)&amp;" ")-1),",","."),FIND("/",SUBSTITUTE(LEFT(TRIM(C530),FIND(" ",TRIM(C530)&amp;" ")-1),",","."))-1)/MID(SUBSTITUTE(LEFT(TRIM(C530),FIND(" ",TRIM(C530)&amp;" ")-1),",","."),FIND("/",SUBSTITUTE(LEFT(TRIM(C530),FIND(" ",TRIM(C530)&amp;" ")-1),",","."))+1,9)),IF(ISNUMBER(SEARCH("yea",C530)),IFERROR(_xlfn.NUMBERVALUE(SUBSTITUTE(LEFT(TRIM(C530),FIND(" ",TRIM(C530)&amp;" ")-1),",","."),"."),LEFT(SUBSTITUTE(LEFT(TRIM(C530),FIND(" ",TRIM(C530)&amp;" ")-1),",","."),FIND("/",SUBSTITUTE(LEFT(TRIM(C530),FIND(" ",TRIM(C530)&amp;" ")-1),",","."))-1)/MID(SUBSTITUTE(LEFT(TRIM(C530),FIND(" ",TRIM(C530)&amp;" ")-1),",","."),FIND("/",SUBSTITUTE(LEFT(TRIM(C530),FIND(" ",TRIM(C530)&amp;" ")-1),",","."))+1,9))*12,NA()))),0),18)*'Aturan &amp; Tarif'!$B$4,2)</f>
        <v>1022.04</v>
      </c>
      <c r="K530" s="32" t="n">
        <f aca="false">'Aturan &amp; Tarif'!$B$5</f>
        <v>2050</v>
      </c>
      <c r="L530" s="35" t="n">
        <f aca="false">I530+J530+K530</f>
        <v>12372.04</v>
      </c>
      <c r="M530" s="37" t="s">
        <v>2108</v>
      </c>
    </row>
    <row r="531" customFormat="false" ht="37.5" hidden="false" customHeight="true" outlineLevel="0" collapsed="false">
      <c r="A531" s="29"/>
      <c r="B531" s="30" t="s">
        <v>2109</v>
      </c>
      <c r="C531" s="31" t="s">
        <v>138</v>
      </c>
      <c r="D531" s="31" t="s">
        <v>108</v>
      </c>
      <c r="E531" s="32" t="n">
        <v>4500</v>
      </c>
      <c r="F531" s="32" t="n">
        <v>300</v>
      </c>
      <c r="G531" s="32"/>
      <c r="H531" s="33" t="n">
        <v>2</v>
      </c>
      <c r="I531" s="34" t="n">
        <f aca="false">E531*H531+N(F531)+N(G531)</f>
        <v>9300</v>
      </c>
      <c r="J531" s="32" t="n">
        <f aca="false">ROUND(IFERROR(ROUND(IF(OR(ISNUMBER(SEARCH("week",C531)),ISNUMBER(SEARCH("minggu",C531))),IFERROR(_xlfn.NUMBERVALUE(SUBSTITUTE(LEFT(TRIM(C531),FIND(" ",TRIM(C531)&amp;" ")-1),",","."),"."),LEFT(SUBSTITUTE(LEFT(TRIM(C531),FIND(" ",TRIM(C531)&amp;" ")-1),",","."),FIND("/",SUBSTITUTE(LEFT(TRIM(C531),FIND(" ",TRIM(C531)&amp;" ")-1),",","."))-1)/MID(SUBSTITUTE(LEFT(TRIM(C531),FIND(" ",TRIM(C531)&amp;" ")-1),",","."),FIND("/",SUBSTITUTE(LEFT(TRIM(C531),FIND(" ",TRIM(C531)&amp;" ")-1),",","."))+1,9))*12/52,IF(ISNUMBER(SEARCH("month",C531)),IFERROR(_xlfn.NUMBERVALUE(SUBSTITUTE(LEFT(TRIM(C531),FIND(" ",TRIM(C531)&amp;" ")-1),",","."),"."),LEFT(SUBSTITUTE(LEFT(TRIM(C531),FIND(" ",TRIM(C531)&amp;" ")-1),",","."),FIND("/",SUBSTITUTE(LEFT(TRIM(C531),FIND(" ",TRIM(C531)&amp;" ")-1),",","."))-1)/MID(SUBSTITUTE(LEFT(TRIM(C531),FIND(" ",TRIM(C531)&amp;" ")-1),",","."),FIND("/",SUBSTITUTE(LEFT(TRIM(C531),FIND(" ",TRIM(C531)&amp;" ")-1),",","."))+1,9)),IF(ISNUMBER(SEARCH("yea",C531)),IFERROR(_xlfn.NUMBERVALUE(SUBSTITUTE(LEFT(TRIM(C531),FIND(" ",TRIM(C531)&amp;" ")-1),",","."),"."),LEFT(SUBSTITUTE(LEFT(TRIM(C531),FIND(" ",TRIM(C531)&amp;" ")-1),",","."),FIND("/",SUBSTITUTE(LEFT(TRIM(C531),FIND(" ",TRIM(C531)&amp;" ")-1),",","."))-1)/MID(SUBSTITUTE(LEFT(TRIM(C531),FIND(" ",TRIM(C531)&amp;" ")-1),",","."),FIND("/",SUBSTITUTE(LEFT(TRIM(C531),FIND(" ",TRIM(C531)&amp;" ")-1),",","."))+1,9))*12,NA()))),0),30)*'Aturan &amp; Tarif'!$B$4,2)</f>
        <v>1703.4</v>
      </c>
      <c r="K531" s="32" t="n">
        <f aca="false">'Aturan &amp; Tarif'!$B$5</f>
        <v>2050</v>
      </c>
      <c r="L531" s="35" t="n">
        <f aca="false">I531+J531+K531</f>
        <v>13053.4</v>
      </c>
      <c r="M531" s="37" t="s">
        <v>2110</v>
      </c>
    </row>
    <row r="532" customFormat="false" ht="37.5" hidden="false" customHeight="true" outlineLevel="0" collapsed="false">
      <c r="A532" s="29"/>
      <c r="B532" s="30" t="s">
        <v>594</v>
      </c>
      <c r="C532" s="31" t="s">
        <v>130</v>
      </c>
      <c r="D532" s="31" t="s">
        <v>108</v>
      </c>
      <c r="E532" s="32" t="n">
        <v>4500</v>
      </c>
      <c r="F532" s="32" t="n">
        <v>300</v>
      </c>
      <c r="G532" s="32"/>
      <c r="H532" s="33" t="n">
        <v>2</v>
      </c>
      <c r="I532" s="34" t="n">
        <f aca="false">E532*H532+N(F532)+N(G532)</f>
        <v>9300</v>
      </c>
      <c r="J532" s="32" t="n">
        <f aca="false">ROUND(IFERROR(ROUND(IF(OR(ISNUMBER(SEARCH("week",C532)),ISNUMBER(SEARCH("minggu",C532))),IFERROR(_xlfn.NUMBERVALUE(SUBSTITUTE(LEFT(TRIM(C532),FIND(" ",TRIM(C532)&amp;" ")-1),",","."),"."),LEFT(SUBSTITUTE(LEFT(TRIM(C532),FIND(" ",TRIM(C532)&amp;" ")-1),",","."),FIND("/",SUBSTITUTE(LEFT(TRIM(C532),FIND(" ",TRIM(C532)&amp;" ")-1),",","."))-1)/MID(SUBSTITUTE(LEFT(TRIM(C532),FIND(" ",TRIM(C532)&amp;" ")-1),",","."),FIND("/",SUBSTITUTE(LEFT(TRIM(C532),FIND(" ",TRIM(C532)&amp;" ")-1),",","."))+1,9))*12/52,IF(ISNUMBER(SEARCH("month",C532)),IFERROR(_xlfn.NUMBERVALUE(SUBSTITUTE(LEFT(TRIM(C532),FIND(" ",TRIM(C532)&amp;" ")-1),",","."),"."),LEFT(SUBSTITUTE(LEFT(TRIM(C532),FIND(" ",TRIM(C532)&amp;" ")-1),",","."),FIND("/",SUBSTITUTE(LEFT(TRIM(C532),FIND(" ",TRIM(C532)&amp;" ")-1),",","."))-1)/MID(SUBSTITUTE(LEFT(TRIM(C532),FIND(" ",TRIM(C532)&amp;" ")-1),",","."),FIND("/",SUBSTITUTE(LEFT(TRIM(C532),FIND(" ",TRIM(C532)&amp;" ")-1),",","."))+1,9)),IF(ISNUMBER(SEARCH("yea",C532)),IFERROR(_xlfn.NUMBERVALUE(SUBSTITUTE(LEFT(TRIM(C532),FIND(" ",TRIM(C532)&amp;" ")-1),",","."),"."),LEFT(SUBSTITUTE(LEFT(TRIM(C532),FIND(" ",TRIM(C532)&amp;" ")-1),",","."),FIND("/",SUBSTITUTE(LEFT(TRIM(C532),FIND(" ",TRIM(C532)&amp;" ")-1),",","."))-1)/MID(SUBSTITUTE(LEFT(TRIM(C532),FIND(" ",TRIM(C532)&amp;" ")-1),",","."),FIND("/",SUBSTITUTE(LEFT(TRIM(C532),FIND(" ",TRIM(C532)&amp;" ")-1),",","."))+1,9))*12,NA()))),0),12)*'Aturan &amp; Tarif'!$B$4,2)</f>
        <v>681.36</v>
      </c>
      <c r="K532" s="32" t="n">
        <f aca="false">'Aturan &amp; Tarif'!$B$5</f>
        <v>2050</v>
      </c>
      <c r="L532" s="35" t="n">
        <f aca="false">I532+J532+K532</f>
        <v>12031.36</v>
      </c>
      <c r="M532" s="37" t="s">
        <v>2108</v>
      </c>
    </row>
    <row r="533" customFormat="false" ht="60" hidden="false" customHeight="true" outlineLevel="0" collapsed="false">
      <c r="A533" s="29"/>
      <c r="B533" s="30" t="s">
        <v>2111</v>
      </c>
      <c r="C533" s="31" t="s">
        <v>113</v>
      </c>
      <c r="D533" s="31" t="s">
        <v>108</v>
      </c>
      <c r="E533" s="32" t="n">
        <v>4500</v>
      </c>
      <c r="F533" s="32" t="n">
        <v>300</v>
      </c>
      <c r="G533" s="32"/>
      <c r="H533" s="33" t="n">
        <v>2</v>
      </c>
      <c r="I533" s="34" t="n">
        <f aca="false">E533*H533+N(F533)+N(G533)</f>
        <v>9300</v>
      </c>
      <c r="J533" s="32" t="n">
        <f aca="false">ROUND(IFERROR(ROUND(IF(OR(ISNUMBER(SEARCH("week",C533)),ISNUMBER(SEARCH("minggu",C533))),IFERROR(_xlfn.NUMBERVALUE(SUBSTITUTE(LEFT(TRIM(C533),FIND(" ",TRIM(C533)&amp;" ")-1),",","."),"."),LEFT(SUBSTITUTE(LEFT(TRIM(C533),FIND(" ",TRIM(C533)&amp;" ")-1),",","."),FIND("/",SUBSTITUTE(LEFT(TRIM(C533),FIND(" ",TRIM(C533)&amp;" ")-1),",","."))-1)/MID(SUBSTITUTE(LEFT(TRIM(C533),FIND(" ",TRIM(C533)&amp;" ")-1),",","."),FIND("/",SUBSTITUTE(LEFT(TRIM(C533),FIND(" ",TRIM(C533)&amp;" ")-1),",","."))+1,9))*12/52,IF(ISNUMBER(SEARCH("month",C533)),IFERROR(_xlfn.NUMBERVALUE(SUBSTITUTE(LEFT(TRIM(C533),FIND(" ",TRIM(C533)&amp;" ")-1),",","."),"."),LEFT(SUBSTITUTE(LEFT(TRIM(C533),FIND(" ",TRIM(C533)&amp;" ")-1),",","."),FIND("/",SUBSTITUTE(LEFT(TRIM(C533),FIND(" ",TRIM(C533)&amp;" ")-1),",","."))-1)/MID(SUBSTITUTE(LEFT(TRIM(C533),FIND(" ",TRIM(C533)&amp;" ")-1),",","."),FIND("/",SUBSTITUTE(LEFT(TRIM(C533),FIND(" ",TRIM(C533)&amp;" ")-1),",","."))+1,9)),IF(ISNUMBER(SEARCH("yea",C533)),IFERROR(_xlfn.NUMBERVALUE(SUBSTITUTE(LEFT(TRIM(C533),FIND(" ",TRIM(C533)&amp;" ")-1),",","."),"."),LEFT(SUBSTITUTE(LEFT(TRIM(C533),FIND(" ",TRIM(C533)&amp;" ")-1),",","."),FIND("/",SUBSTITUTE(LEFT(TRIM(C533),FIND(" ",TRIM(C533)&amp;" ")-1),",","."))-1)/MID(SUBSTITUTE(LEFT(TRIM(C533),FIND(" ",TRIM(C533)&amp;" ")-1),",","."),FIND("/",SUBSTITUTE(LEFT(TRIM(C533),FIND(" ",TRIM(C533)&amp;" ")-1),",","."))+1,9))*12,NA()))),0),18)*'Aturan &amp; Tarif'!$B$4,2)</f>
        <v>1022.04</v>
      </c>
      <c r="K533" s="32" t="n">
        <f aca="false">'Aturan &amp; Tarif'!$B$5</f>
        <v>2050</v>
      </c>
      <c r="L533" s="35" t="n">
        <f aca="false">I533+J533+K533</f>
        <v>12372.04</v>
      </c>
      <c r="M533" s="37" t="s">
        <v>2112</v>
      </c>
    </row>
    <row r="534" customFormat="false" ht="37.5" hidden="false" customHeight="true" outlineLevel="0" collapsed="false">
      <c r="A534" s="29"/>
      <c r="B534" s="30" t="s">
        <v>126</v>
      </c>
      <c r="C534" s="31" t="s">
        <v>138</v>
      </c>
      <c r="D534" s="31" t="s">
        <v>108</v>
      </c>
      <c r="E534" s="32" t="n">
        <v>4500</v>
      </c>
      <c r="F534" s="32" t="n">
        <v>300</v>
      </c>
      <c r="G534" s="32"/>
      <c r="H534" s="33" t="n">
        <v>2</v>
      </c>
      <c r="I534" s="34" t="n">
        <f aca="false">E534*H534+N(F534)+N(G534)</f>
        <v>9300</v>
      </c>
      <c r="J534" s="32" t="n">
        <f aca="false">ROUND(IFERROR(ROUND(IF(OR(ISNUMBER(SEARCH("week",C534)),ISNUMBER(SEARCH("minggu",C534))),IFERROR(_xlfn.NUMBERVALUE(SUBSTITUTE(LEFT(TRIM(C534),FIND(" ",TRIM(C534)&amp;" ")-1),",","."),"."),LEFT(SUBSTITUTE(LEFT(TRIM(C534),FIND(" ",TRIM(C534)&amp;" ")-1),",","."),FIND("/",SUBSTITUTE(LEFT(TRIM(C534),FIND(" ",TRIM(C534)&amp;" ")-1),",","."))-1)/MID(SUBSTITUTE(LEFT(TRIM(C534),FIND(" ",TRIM(C534)&amp;" ")-1),",","."),FIND("/",SUBSTITUTE(LEFT(TRIM(C534),FIND(" ",TRIM(C534)&amp;" ")-1),",","."))+1,9))*12/52,IF(ISNUMBER(SEARCH("month",C534)),IFERROR(_xlfn.NUMBERVALUE(SUBSTITUTE(LEFT(TRIM(C534),FIND(" ",TRIM(C534)&amp;" ")-1),",","."),"."),LEFT(SUBSTITUTE(LEFT(TRIM(C534),FIND(" ",TRIM(C534)&amp;" ")-1),",","."),FIND("/",SUBSTITUTE(LEFT(TRIM(C534),FIND(" ",TRIM(C534)&amp;" ")-1),",","."))-1)/MID(SUBSTITUTE(LEFT(TRIM(C534),FIND(" ",TRIM(C534)&amp;" ")-1),",","."),FIND("/",SUBSTITUTE(LEFT(TRIM(C534),FIND(" ",TRIM(C534)&amp;" ")-1),",","."))+1,9)),IF(ISNUMBER(SEARCH("yea",C534)),IFERROR(_xlfn.NUMBERVALUE(SUBSTITUTE(LEFT(TRIM(C534),FIND(" ",TRIM(C534)&amp;" ")-1),",","."),"."),LEFT(SUBSTITUTE(LEFT(TRIM(C534),FIND(" ",TRIM(C534)&amp;" ")-1),",","."),FIND("/",SUBSTITUTE(LEFT(TRIM(C534),FIND(" ",TRIM(C534)&amp;" ")-1),",","."))-1)/MID(SUBSTITUTE(LEFT(TRIM(C534),FIND(" ",TRIM(C534)&amp;" ")-1),",","."),FIND("/",SUBSTITUTE(LEFT(TRIM(C534),FIND(" ",TRIM(C534)&amp;" ")-1),",","."))+1,9))*12,NA()))),0),30)*'Aturan &amp; Tarif'!$B$4,2)</f>
        <v>1703.4</v>
      </c>
      <c r="K534" s="32" t="n">
        <f aca="false">'Aturan &amp; Tarif'!$B$5</f>
        <v>2050</v>
      </c>
      <c r="L534" s="35" t="n">
        <f aca="false">I534+J534+K534</f>
        <v>13053.4</v>
      </c>
      <c r="M534" s="37" t="s">
        <v>2113</v>
      </c>
    </row>
    <row r="535" customFormat="false" ht="14.25" hidden="false" customHeight="true" outlineLevel="0" collapsed="false">
      <c r="A535" s="29"/>
      <c r="B535" s="30" t="s">
        <v>2114</v>
      </c>
      <c r="C535" s="31" t="s">
        <v>130</v>
      </c>
      <c r="D535" s="31" t="s">
        <v>108</v>
      </c>
      <c r="E535" s="32" t="n">
        <v>4500</v>
      </c>
      <c r="F535" s="32" t="n">
        <v>300</v>
      </c>
      <c r="G535" s="32"/>
      <c r="H535" s="33" t="n">
        <v>2</v>
      </c>
      <c r="I535" s="34" t="n">
        <f aca="false">E535*H535+N(F535)+N(G535)</f>
        <v>9300</v>
      </c>
      <c r="J535" s="32" t="n">
        <f aca="false">ROUND(IFERROR(ROUND(IF(OR(ISNUMBER(SEARCH("week",C535)),ISNUMBER(SEARCH("minggu",C535))),IFERROR(_xlfn.NUMBERVALUE(SUBSTITUTE(LEFT(TRIM(C535),FIND(" ",TRIM(C535)&amp;" ")-1),",","."),"."),LEFT(SUBSTITUTE(LEFT(TRIM(C535),FIND(" ",TRIM(C535)&amp;" ")-1),",","."),FIND("/",SUBSTITUTE(LEFT(TRIM(C535),FIND(" ",TRIM(C535)&amp;" ")-1),",","."))-1)/MID(SUBSTITUTE(LEFT(TRIM(C535),FIND(" ",TRIM(C535)&amp;" ")-1),",","."),FIND("/",SUBSTITUTE(LEFT(TRIM(C535),FIND(" ",TRIM(C535)&amp;" ")-1),",","."))+1,9))*12/52,IF(ISNUMBER(SEARCH("month",C535)),IFERROR(_xlfn.NUMBERVALUE(SUBSTITUTE(LEFT(TRIM(C535),FIND(" ",TRIM(C535)&amp;" ")-1),",","."),"."),LEFT(SUBSTITUTE(LEFT(TRIM(C535),FIND(" ",TRIM(C535)&amp;" ")-1),",","."),FIND("/",SUBSTITUTE(LEFT(TRIM(C535),FIND(" ",TRIM(C535)&amp;" ")-1),",","."))-1)/MID(SUBSTITUTE(LEFT(TRIM(C535),FIND(" ",TRIM(C535)&amp;" ")-1),",","."),FIND("/",SUBSTITUTE(LEFT(TRIM(C535),FIND(" ",TRIM(C535)&amp;" ")-1),",","."))+1,9)),IF(ISNUMBER(SEARCH("yea",C535)),IFERROR(_xlfn.NUMBERVALUE(SUBSTITUTE(LEFT(TRIM(C535),FIND(" ",TRIM(C535)&amp;" ")-1),",","."),"."),LEFT(SUBSTITUTE(LEFT(TRIM(C535),FIND(" ",TRIM(C535)&amp;" ")-1),",","."),FIND("/",SUBSTITUTE(LEFT(TRIM(C535),FIND(" ",TRIM(C535)&amp;" ")-1),",","."))-1)/MID(SUBSTITUTE(LEFT(TRIM(C535),FIND(" ",TRIM(C535)&amp;" ")-1),",","."),FIND("/",SUBSTITUTE(LEFT(TRIM(C535),FIND(" ",TRIM(C535)&amp;" ")-1),",","."))+1,9))*12,NA()))),0),12)*'Aturan &amp; Tarif'!$B$4,2)</f>
        <v>681.36</v>
      </c>
      <c r="K535" s="32" t="n">
        <f aca="false">'Aturan &amp; Tarif'!$B$5</f>
        <v>2050</v>
      </c>
      <c r="L535" s="35" t="n">
        <f aca="false">I535+J535+K535</f>
        <v>12031.36</v>
      </c>
      <c r="M535" s="37" t="s">
        <v>2115</v>
      </c>
    </row>
    <row r="536" customFormat="false" ht="14.25" hidden="false" customHeight="true" outlineLevel="0" collapsed="false">
      <c r="A536" s="29" t="s">
        <v>2116</v>
      </c>
      <c r="B536" s="30" t="s">
        <v>963</v>
      </c>
      <c r="C536" s="31" t="s">
        <v>107</v>
      </c>
      <c r="D536" s="31" t="s">
        <v>108</v>
      </c>
      <c r="E536" s="32" t="n">
        <v>2350</v>
      </c>
      <c r="F536" s="32" t="n">
        <v>1500</v>
      </c>
      <c r="G536" s="32"/>
      <c r="H536" s="33" t="n">
        <v>1</v>
      </c>
      <c r="I536" s="34" t="n">
        <f aca="false">E536*H536+N(F536)+N(G536)</f>
        <v>3850</v>
      </c>
      <c r="J536" s="32" t="n">
        <f aca="false">ROUND(IFERROR(ROUND(IF(OR(ISNUMBER(SEARCH("week",C536)),ISNUMBER(SEARCH("minggu",C536))),IFERROR(_xlfn.NUMBERVALUE(SUBSTITUTE(LEFT(TRIM(C536),FIND(" ",TRIM(C536)&amp;" ")-1),",","."),"."),LEFT(SUBSTITUTE(LEFT(TRIM(C536),FIND(" ",TRIM(C536)&amp;" ")-1),",","."),FIND("/",SUBSTITUTE(LEFT(TRIM(C536),FIND(" ",TRIM(C536)&amp;" ")-1),",","."))-1)/MID(SUBSTITUTE(LEFT(TRIM(C536),FIND(" ",TRIM(C536)&amp;" ")-1),",","."),FIND("/",SUBSTITUTE(LEFT(TRIM(C536),FIND(" ",TRIM(C536)&amp;" ")-1),",","."))+1,9))*12/52,IF(ISNUMBER(SEARCH("month",C536)),IFERROR(_xlfn.NUMBERVALUE(SUBSTITUTE(LEFT(TRIM(C536),FIND(" ",TRIM(C536)&amp;" ")-1),",","."),"."),LEFT(SUBSTITUTE(LEFT(TRIM(C536),FIND(" ",TRIM(C536)&amp;" ")-1),",","."),FIND("/",SUBSTITUTE(LEFT(TRIM(C536),FIND(" ",TRIM(C536)&amp;" ")-1),",","."))-1)/MID(SUBSTITUTE(LEFT(TRIM(C536),FIND(" ",TRIM(C536)&amp;" ")-1),",","."),FIND("/",SUBSTITUTE(LEFT(TRIM(C536),FIND(" ",TRIM(C536)&amp;" ")-1),",","."))+1,9)),IF(ISNUMBER(SEARCH("yea",C536)),IFERROR(_xlfn.NUMBERVALUE(SUBSTITUTE(LEFT(TRIM(C536),FIND(" ",TRIM(C536)&amp;" ")-1),",","."),"."),LEFT(SUBSTITUTE(LEFT(TRIM(C536),FIND(" ",TRIM(C536)&amp;" ")-1),",","."),FIND("/",SUBSTITUTE(LEFT(TRIM(C536),FIND(" ",TRIM(C536)&amp;" ")-1),",","."))-1)/MID(SUBSTITUTE(LEFT(TRIM(C536),FIND(" ",TRIM(C536)&amp;" ")-1),",","."),FIND("/",SUBSTITUTE(LEFT(TRIM(C536),FIND(" ",TRIM(C536)&amp;" ")-1),",","."))+1,9))*12,NA()))),0),24)*'Aturan &amp; Tarif'!$B$4,2)</f>
        <v>1362.72</v>
      </c>
      <c r="K536" s="32" t="n">
        <f aca="false">'Aturan &amp; Tarif'!$B$5</f>
        <v>2050</v>
      </c>
      <c r="L536" s="35" t="n">
        <f aca="false">I536+J536+K536</f>
        <v>7262.72</v>
      </c>
      <c r="M536" s="37" t="s">
        <v>695</v>
      </c>
    </row>
    <row r="537" customFormat="false" ht="14.25" hidden="false" customHeight="true" outlineLevel="0" collapsed="false">
      <c r="A537" s="29"/>
      <c r="B537" s="30" t="s">
        <v>616</v>
      </c>
      <c r="C537" s="31" t="s">
        <v>107</v>
      </c>
      <c r="D537" s="31" t="s">
        <v>108</v>
      </c>
      <c r="E537" s="32" t="n">
        <v>2250</v>
      </c>
      <c r="F537" s="32" t="n">
        <v>2000</v>
      </c>
      <c r="G537" s="32"/>
      <c r="H537" s="33" t="n">
        <v>1</v>
      </c>
      <c r="I537" s="34" t="n">
        <f aca="false">E537*H537+N(F537)+N(G537)</f>
        <v>4250</v>
      </c>
      <c r="J537" s="32" t="n">
        <f aca="false">ROUND(IFERROR(ROUND(IF(OR(ISNUMBER(SEARCH("week",C537)),ISNUMBER(SEARCH("minggu",C537))),IFERROR(_xlfn.NUMBERVALUE(SUBSTITUTE(LEFT(TRIM(C537),FIND(" ",TRIM(C537)&amp;" ")-1),",","."),"."),LEFT(SUBSTITUTE(LEFT(TRIM(C537),FIND(" ",TRIM(C537)&amp;" ")-1),",","."),FIND("/",SUBSTITUTE(LEFT(TRIM(C537),FIND(" ",TRIM(C537)&amp;" ")-1),",","."))-1)/MID(SUBSTITUTE(LEFT(TRIM(C537),FIND(" ",TRIM(C537)&amp;" ")-1),",","."),FIND("/",SUBSTITUTE(LEFT(TRIM(C537),FIND(" ",TRIM(C537)&amp;" ")-1),",","."))+1,9))*12/52,IF(ISNUMBER(SEARCH("month",C537)),IFERROR(_xlfn.NUMBERVALUE(SUBSTITUTE(LEFT(TRIM(C537),FIND(" ",TRIM(C537)&amp;" ")-1),",","."),"."),LEFT(SUBSTITUTE(LEFT(TRIM(C537),FIND(" ",TRIM(C537)&amp;" ")-1),",","."),FIND("/",SUBSTITUTE(LEFT(TRIM(C537),FIND(" ",TRIM(C537)&amp;" ")-1),",","."))-1)/MID(SUBSTITUTE(LEFT(TRIM(C537),FIND(" ",TRIM(C537)&amp;" ")-1),",","."),FIND("/",SUBSTITUTE(LEFT(TRIM(C537),FIND(" ",TRIM(C537)&amp;" ")-1),",","."))+1,9)),IF(ISNUMBER(SEARCH("yea",C537)),IFERROR(_xlfn.NUMBERVALUE(SUBSTITUTE(LEFT(TRIM(C537),FIND(" ",TRIM(C537)&amp;" ")-1),",","."),"."),LEFT(SUBSTITUTE(LEFT(TRIM(C537),FIND(" ",TRIM(C537)&amp;" ")-1),",","."),FIND("/",SUBSTITUTE(LEFT(TRIM(C537),FIND(" ",TRIM(C537)&amp;" ")-1),",","."))-1)/MID(SUBSTITUTE(LEFT(TRIM(C537),FIND(" ",TRIM(C537)&amp;" ")-1),",","."),FIND("/",SUBSTITUTE(LEFT(TRIM(C537),FIND(" ",TRIM(C537)&amp;" ")-1),",","."))+1,9))*12,NA()))),0),24)*'Aturan &amp; Tarif'!$B$4,2)</f>
        <v>1362.72</v>
      </c>
      <c r="K537" s="32" t="n">
        <f aca="false">'Aturan &amp; Tarif'!$B$5</f>
        <v>2050</v>
      </c>
      <c r="L537" s="35" t="n">
        <f aca="false">I537+J537+K537</f>
        <v>7662.72</v>
      </c>
      <c r="M537" s="37" t="s">
        <v>695</v>
      </c>
    </row>
    <row r="538" customFormat="false" ht="14.25" hidden="false" customHeight="true" outlineLevel="0" collapsed="false">
      <c r="A538" s="29"/>
      <c r="B538" s="30" t="s">
        <v>835</v>
      </c>
      <c r="C538" s="31" t="s">
        <v>107</v>
      </c>
      <c r="D538" s="31" t="s">
        <v>108</v>
      </c>
      <c r="E538" s="32" t="n">
        <v>2100</v>
      </c>
      <c r="F538" s="32" t="n">
        <v>1000</v>
      </c>
      <c r="G538" s="32"/>
      <c r="H538" s="33" t="n">
        <v>1</v>
      </c>
      <c r="I538" s="34" t="n">
        <f aca="false">E538*H538+N(F538)+N(G538)</f>
        <v>3100</v>
      </c>
      <c r="J538" s="32" t="n">
        <f aca="false">ROUND(IFERROR(ROUND(IF(OR(ISNUMBER(SEARCH("week",C538)),ISNUMBER(SEARCH("minggu",C538))),IFERROR(_xlfn.NUMBERVALUE(SUBSTITUTE(LEFT(TRIM(C538),FIND(" ",TRIM(C538)&amp;" ")-1),",","."),"."),LEFT(SUBSTITUTE(LEFT(TRIM(C538),FIND(" ",TRIM(C538)&amp;" ")-1),",","."),FIND("/",SUBSTITUTE(LEFT(TRIM(C538),FIND(" ",TRIM(C538)&amp;" ")-1),",","."))-1)/MID(SUBSTITUTE(LEFT(TRIM(C538),FIND(" ",TRIM(C538)&amp;" ")-1),",","."),FIND("/",SUBSTITUTE(LEFT(TRIM(C538),FIND(" ",TRIM(C538)&amp;" ")-1),",","."))+1,9))*12/52,IF(ISNUMBER(SEARCH("month",C538)),IFERROR(_xlfn.NUMBERVALUE(SUBSTITUTE(LEFT(TRIM(C538),FIND(" ",TRIM(C538)&amp;" ")-1),",","."),"."),LEFT(SUBSTITUTE(LEFT(TRIM(C538),FIND(" ",TRIM(C538)&amp;" ")-1),",","."),FIND("/",SUBSTITUTE(LEFT(TRIM(C538),FIND(" ",TRIM(C538)&amp;" ")-1),",","."))-1)/MID(SUBSTITUTE(LEFT(TRIM(C538),FIND(" ",TRIM(C538)&amp;" ")-1),",","."),FIND("/",SUBSTITUTE(LEFT(TRIM(C538),FIND(" ",TRIM(C538)&amp;" ")-1),",","."))+1,9)),IF(ISNUMBER(SEARCH("yea",C538)),IFERROR(_xlfn.NUMBERVALUE(SUBSTITUTE(LEFT(TRIM(C538),FIND(" ",TRIM(C538)&amp;" ")-1),",","."),"."),LEFT(SUBSTITUTE(LEFT(TRIM(C538),FIND(" ",TRIM(C538)&amp;" ")-1),",","."),FIND("/",SUBSTITUTE(LEFT(TRIM(C538),FIND(" ",TRIM(C538)&amp;" ")-1),",","."))-1)/MID(SUBSTITUTE(LEFT(TRIM(C538),FIND(" ",TRIM(C538)&amp;" ")-1),",","."),FIND("/",SUBSTITUTE(LEFT(TRIM(C538),FIND(" ",TRIM(C538)&amp;" ")-1),",","."))+1,9))*12,NA()))),0),24)*'Aturan &amp; Tarif'!$B$4,2)</f>
        <v>1362.72</v>
      </c>
      <c r="K538" s="32" t="n">
        <f aca="false">'Aturan &amp; Tarif'!$B$5</f>
        <v>2050</v>
      </c>
      <c r="L538" s="35" t="n">
        <f aca="false">I538+J538+K538</f>
        <v>6512.72</v>
      </c>
      <c r="M538" s="37" t="s">
        <v>695</v>
      </c>
    </row>
    <row r="539" customFormat="false" ht="14.25" hidden="false" customHeight="true" outlineLevel="0" collapsed="false">
      <c r="A539" s="29"/>
      <c r="B539" s="30" t="s">
        <v>965</v>
      </c>
      <c r="C539" s="31" t="s">
        <v>127</v>
      </c>
      <c r="D539" s="31" t="s">
        <v>108</v>
      </c>
      <c r="E539" s="32" t="n">
        <v>1350</v>
      </c>
      <c r="F539" s="32" t="n">
        <v>500</v>
      </c>
      <c r="G539" s="32"/>
      <c r="H539" s="33" t="n">
        <v>1</v>
      </c>
      <c r="I539" s="34" t="n">
        <f aca="false">E539*H539+N(F539)+N(G539)</f>
        <v>1850</v>
      </c>
      <c r="J539" s="32" t="n">
        <f aca="false">ROUND(IFERROR(ROUND(IF(OR(ISNUMBER(SEARCH("week",C539)),ISNUMBER(SEARCH("minggu",C539))),IFERROR(_xlfn.NUMBERVALUE(SUBSTITUTE(LEFT(TRIM(C539),FIND(" ",TRIM(C539)&amp;" ")-1),",","."),"."),LEFT(SUBSTITUTE(LEFT(TRIM(C539),FIND(" ",TRIM(C539)&amp;" ")-1),",","."),FIND("/",SUBSTITUTE(LEFT(TRIM(C539),FIND(" ",TRIM(C539)&amp;" ")-1),",","."))-1)/MID(SUBSTITUTE(LEFT(TRIM(C539),FIND(" ",TRIM(C539)&amp;" ")-1),",","."),FIND("/",SUBSTITUTE(LEFT(TRIM(C539),FIND(" ",TRIM(C539)&amp;" ")-1),",","."))+1,9))*12/52,IF(ISNUMBER(SEARCH("month",C539)),IFERROR(_xlfn.NUMBERVALUE(SUBSTITUTE(LEFT(TRIM(C539),FIND(" ",TRIM(C539)&amp;" ")-1),",","."),"."),LEFT(SUBSTITUTE(LEFT(TRIM(C539),FIND(" ",TRIM(C539)&amp;" ")-1),",","."),FIND("/",SUBSTITUTE(LEFT(TRIM(C539),FIND(" ",TRIM(C539)&amp;" ")-1),",","."))-1)/MID(SUBSTITUTE(LEFT(TRIM(C539),FIND(" ",TRIM(C539)&amp;" ")-1),",","."),FIND("/",SUBSTITUTE(LEFT(TRIM(C539),FIND(" ",TRIM(C539)&amp;" ")-1),",","."))+1,9)),IF(ISNUMBER(SEARCH("yea",C539)),IFERROR(_xlfn.NUMBERVALUE(SUBSTITUTE(LEFT(TRIM(C539),FIND(" ",TRIM(C539)&amp;" ")-1),",","."),"."),LEFT(SUBSTITUTE(LEFT(TRIM(C539),FIND(" ",TRIM(C539)&amp;" ")-1),",","."),FIND("/",SUBSTITUTE(LEFT(TRIM(C539),FIND(" ",TRIM(C539)&amp;" ")-1),",","."))-1)/MID(SUBSTITUTE(LEFT(TRIM(C539),FIND(" ",TRIM(C539)&amp;" ")-1),",","."),FIND("/",SUBSTITUTE(LEFT(TRIM(C539),FIND(" ",TRIM(C539)&amp;" ")-1),",","."))+1,9))*12,NA()))),0),36)*'Aturan &amp; Tarif'!$B$4,2)</f>
        <v>2044.08</v>
      </c>
      <c r="K539" s="32" t="n">
        <f aca="false">'Aturan &amp; Tarif'!$B$5</f>
        <v>2050</v>
      </c>
      <c r="L539" s="35" t="n">
        <f aca="false">I539+J539+K539</f>
        <v>5944.08</v>
      </c>
      <c r="M539" s="37" t="s">
        <v>695</v>
      </c>
    </row>
    <row r="540" customFormat="false" ht="48.75" hidden="false" customHeight="true" outlineLevel="0" collapsed="false">
      <c r="A540" s="29"/>
      <c r="B540" s="30" t="s">
        <v>776</v>
      </c>
      <c r="C540" s="31" t="s">
        <v>130</v>
      </c>
      <c r="D540" s="31" t="s">
        <v>108</v>
      </c>
      <c r="E540" s="32" t="n">
        <v>1350</v>
      </c>
      <c r="F540" s="32" t="n">
        <v>500</v>
      </c>
      <c r="G540" s="32"/>
      <c r="H540" s="33" t="n">
        <v>1</v>
      </c>
      <c r="I540" s="34" t="n">
        <f aca="false">E540*H540+N(F540)+N(G540)</f>
        <v>1850</v>
      </c>
      <c r="J540" s="32" t="n">
        <f aca="false">ROUND(IFERROR(ROUND(IF(OR(ISNUMBER(SEARCH("week",C540)),ISNUMBER(SEARCH("minggu",C540))),IFERROR(_xlfn.NUMBERVALUE(SUBSTITUTE(LEFT(TRIM(C540),FIND(" ",TRIM(C540)&amp;" ")-1),",","."),"."),LEFT(SUBSTITUTE(LEFT(TRIM(C540),FIND(" ",TRIM(C540)&amp;" ")-1),",","."),FIND("/",SUBSTITUTE(LEFT(TRIM(C540),FIND(" ",TRIM(C540)&amp;" ")-1),",","."))-1)/MID(SUBSTITUTE(LEFT(TRIM(C540),FIND(" ",TRIM(C540)&amp;" ")-1),",","."),FIND("/",SUBSTITUTE(LEFT(TRIM(C540),FIND(" ",TRIM(C540)&amp;" ")-1),",","."))+1,9))*12/52,IF(ISNUMBER(SEARCH("month",C540)),IFERROR(_xlfn.NUMBERVALUE(SUBSTITUTE(LEFT(TRIM(C540),FIND(" ",TRIM(C540)&amp;" ")-1),",","."),"."),LEFT(SUBSTITUTE(LEFT(TRIM(C540),FIND(" ",TRIM(C540)&amp;" ")-1),",","."),FIND("/",SUBSTITUTE(LEFT(TRIM(C540),FIND(" ",TRIM(C540)&amp;" ")-1),",","."))-1)/MID(SUBSTITUTE(LEFT(TRIM(C540),FIND(" ",TRIM(C540)&amp;" ")-1),",","."),FIND("/",SUBSTITUTE(LEFT(TRIM(C540),FIND(" ",TRIM(C540)&amp;" ")-1),",","."))+1,9)),IF(ISNUMBER(SEARCH("yea",C540)),IFERROR(_xlfn.NUMBERVALUE(SUBSTITUTE(LEFT(TRIM(C540),FIND(" ",TRIM(C540)&amp;" ")-1),",","."),"."),LEFT(SUBSTITUTE(LEFT(TRIM(C540),FIND(" ",TRIM(C540)&amp;" ")-1),",","."),FIND("/",SUBSTITUTE(LEFT(TRIM(C540),FIND(" ",TRIM(C540)&amp;" ")-1),",","."))-1)/MID(SUBSTITUTE(LEFT(TRIM(C540),FIND(" ",TRIM(C540)&amp;" ")-1),",","."),FIND("/",SUBSTITUTE(LEFT(TRIM(C540),FIND(" ",TRIM(C540)&amp;" ")-1),",","."))+1,9))*12,NA()))),0),12)*'Aturan &amp; Tarif'!$B$4,2)</f>
        <v>681.36</v>
      </c>
      <c r="K540" s="32" t="n">
        <f aca="false">'Aturan &amp; Tarif'!$B$5</f>
        <v>2050</v>
      </c>
      <c r="L540" s="35" t="n">
        <f aca="false">I540+J540+K540</f>
        <v>4581.36</v>
      </c>
      <c r="M540" s="37" t="s">
        <v>695</v>
      </c>
    </row>
    <row r="541" customFormat="false" ht="60" hidden="false" customHeight="true" outlineLevel="0" collapsed="false">
      <c r="A541" s="29" t="s">
        <v>2117</v>
      </c>
      <c r="B541" s="30" t="s">
        <v>733</v>
      </c>
      <c r="C541" s="31" t="s">
        <v>344</v>
      </c>
      <c r="D541" s="31" t="s">
        <v>108</v>
      </c>
      <c r="E541" s="32" t="n">
        <v>6000</v>
      </c>
      <c r="F541" s="32" t="n">
        <v>50</v>
      </c>
      <c r="G541" s="32" t="n">
        <v>250</v>
      </c>
      <c r="H541" s="33" t="n">
        <v>1</v>
      </c>
      <c r="I541" s="34" t="n">
        <f aca="false">E541*H541+N(F541)+N(G541)</f>
        <v>6300</v>
      </c>
      <c r="J541" s="32" t="n">
        <f aca="false">ROUND(IFERROR(ROUND(IF(OR(ISNUMBER(SEARCH("week",C541)),ISNUMBER(SEARCH("minggu",C541))),IFERROR(_xlfn.NUMBERVALUE(SUBSTITUTE(LEFT(TRIM(C541),FIND(" ",TRIM(C541)&amp;" ")-1),",","."),"."),LEFT(SUBSTITUTE(LEFT(TRIM(C541),FIND(" ",TRIM(C541)&amp;" ")-1),",","."),FIND("/",SUBSTITUTE(LEFT(TRIM(C541),FIND(" ",TRIM(C541)&amp;" ")-1),",","."))-1)/MID(SUBSTITUTE(LEFT(TRIM(C541),FIND(" ",TRIM(C541)&amp;" ")-1),",","."),FIND("/",SUBSTITUTE(LEFT(TRIM(C541),FIND(" ",TRIM(C541)&amp;" ")-1),",","."))+1,9))*12/52,IF(ISNUMBER(SEARCH("month",C541)),IFERROR(_xlfn.NUMBERVALUE(SUBSTITUTE(LEFT(TRIM(C541),FIND(" ",TRIM(C541)&amp;" ")-1),",","."),"."),LEFT(SUBSTITUTE(LEFT(TRIM(C541),FIND(" ",TRIM(C541)&amp;" ")-1),",","."),FIND("/",SUBSTITUTE(LEFT(TRIM(C541),FIND(" ",TRIM(C541)&amp;" ")-1),",","."))-1)/MID(SUBSTITUTE(LEFT(TRIM(C541),FIND(" ",TRIM(C541)&amp;" ")-1),",","."),FIND("/",SUBSTITUTE(LEFT(TRIM(C541),FIND(" ",TRIM(C541)&amp;" ")-1),",","."))+1,9)),IF(ISNUMBER(SEARCH("yea",C541)),IFERROR(_xlfn.NUMBERVALUE(SUBSTITUTE(LEFT(TRIM(C541),FIND(" ",TRIM(C541)&amp;" ")-1),",","."),"."),LEFT(SUBSTITUTE(LEFT(TRIM(C541),FIND(" ",TRIM(C541)&amp;" ")-1),",","."),FIND("/",SUBSTITUTE(LEFT(TRIM(C541),FIND(" ",TRIM(C541)&amp;" ")-1),",","."))-1)/MID(SUBSTITUTE(LEFT(TRIM(C541),FIND(" ",TRIM(C541)&amp;" ")-1),",","."),FIND("/",SUBSTITUTE(LEFT(TRIM(C541),FIND(" ",TRIM(C541)&amp;" ")-1),",","."))+1,9))*12,NA()))),0),6)*'Aturan &amp; Tarif'!$B$4,2)</f>
        <v>340.68</v>
      </c>
      <c r="K541" s="32" t="n">
        <f aca="false">'Aturan &amp; Tarif'!$B$5</f>
        <v>2050</v>
      </c>
      <c r="L541" s="35" t="n">
        <f aca="false">I541+J541+K541</f>
        <v>8690.68</v>
      </c>
      <c r="M541" s="37" t="s">
        <v>134</v>
      </c>
    </row>
    <row r="542" customFormat="false" ht="60" hidden="false" customHeight="true" outlineLevel="0" collapsed="false">
      <c r="A542" s="29" t="s">
        <v>3146</v>
      </c>
      <c r="B542" s="30" t="s">
        <v>3147</v>
      </c>
      <c r="C542" s="31" t="s">
        <v>107</v>
      </c>
      <c r="D542" s="31" t="s">
        <v>108</v>
      </c>
      <c r="E542" s="32" t="n">
        <v>2800</v>
      </c>
      <c r="F542" s="32" t="n">
        <v>1800</v>
      </c>
      <c r="G542" s="32" t="n">
        <v>250</v>
      </c>
      <c r="H542" s="33" t="n">
        <v>1</v>
      </c>
      <c r="I542" s="34" t="n">
        <f aca="false">E542*H542+N(F542)+N(G542)</f>
        <v>4850</v>
      </c>
      <c r="J542" s="32" t="n">
        <f aca="false">ROUND(IFERROR(ROUND(IF(OR(ISNUMBER(SEARCH("week",C542)),ISNUMBER(SEARCH("minggu",C542))),IFERROR(_xlfn.NUMBERVALUE(SUBSTITUTE(LEFT(TRIM(C542),FIND(" ",TRIM(C542)&amp;" ")-1),",","."),"."),LEFT(SUBSTITUTE(LEFT(TRIM(C542),FIND(" ",TRIM(C542)&amp;" ")-1),",","."),FIND("/",SUBSTITUTE(LEFT(TRIM(C542),FIND(" ",TRIM(C542)&amp;" ")-1),",","."))-1)/MID(SUBSTITUTE(LEFT(TRIM(C542),FIND(" ",TRIM(C542)&amp;" ")-1),",","."),FIND("/",SUBSTITUTE(LEFT(TRIM(C542),FIND(" ",TRIM(C542)&amp;" ")-1),",","."))+1,9))*12/52,IF(ISNUMBER(SEARCH("month",C542)),IFERROR(_xlfn.NUMBERVALUE(SUBSTITUTE(LEFT(TRIM(C542),FIND(" ",TRIM(C542)&amp;" ")-1),",","."),"."),LEFT(SUBSTITUTE(LEFT(TRIM(C542),FIND(" ",TRIM(C542)&amp;" ")-1),",","."),FIND("/",SUBSTITUTE(LEFT(TRIM(C542),FIND(" ",TRIM(C542)&amp;" ")-1),",","."))-1)/MID(SUBSTITUTE(LEFT(TRIM(C542),FIND(" ",TRIM(C542)&amp;" ")-1),",","."),FIND("/",SUBSTITUTE(LEFT(TRIM(C542),FIND(" ",TRIM(C542)&amp;" ")-1),",","."))+1,9)),IF(ISNUMBER(SEARCH("yea",C542)),IFERROR(_xlfn.NUMBERVALUE(SUBSTITUTE(LEFT(TRIM(C542),FIND(" ",TRIM(C542)&amp;" ")-1),",","."),"."),LEFT(SUBSTITUTE(LEFT(TRIM(C542),FIND(" ",TRIM(C542)&amp;" ")-1),",","."),FIND("/",SUBSTITUTE(LEFT(TRIM(C542),FIND(" ",TRIM(C542)&amp;" ")-1),",","."))-1)/MID(SUBSTITUTE(LEFT(TRIM(C542),FIND(" ",TRIM(C542)&amp;" ")-1),",","."),FIND("/",SUBSTITUTE(LEFT(TRIM(C542),FIND(" ",TRIM(C542)&amp;" ")-1),",","."))+1,9))*12,NA()))),0),24)*'Aturan &amp; Tarif'!$B$4,2)</f>
        <v>1362.72</v>
      </c>
      <c r="K542" s="32" t="n">
        <f aca="false">'Aturan &amp; Tarif'!$B$5</f>
        <v>2050</v>
      </c>
      <c r="L542" s="35" t="n">
        <f aca="false">I542+J542+K542</f>
        <v>8262.72</v>
      </c>
      <c r="M542" s="36" t="s">
        <v>131</v>
      </c>
    </row>
    <row r="543" customFormat="false" ht="37.5" hidden="false" customHeight="true" outlineLevel="0" collapsed="false">
      <c r="A543" s="29"/>
      <c r="B543" s="30" t="s">
        <v>3148</v>
      </c>
      <c r="C543" s="31" t="s">
        <v>138</v>
      </c>
      <c r="D543" s="31" t="s">
        <v>108</v>
      </c>
      <c r="E543" s="32" t="n">
        <v>2800</v>
      </c>
      <c r="F543" s="32" t="n">
        <v>1900</v>
      </c>
      <c r="G543" s="32" t="n">
        <v>250</v>
      </c>
      <c r="H543" s="33" t="n">
        <v>1</v>
      </c>
      <c r="I543" s="34" t="n">
        <f aca="false">E543*H543+N(F543)+N(G543)</f>
        <v>4950</v>
      </c>
      <c r="J543" s="32" t="n">
        <f aca="false">ROUND(IFERROR(ROUND(IF(OR(ISNUMBER(SEARCH("week",C543)),ISNUMBER(SEARCH("minggu",C543))),IFERROR(_xlfn.NUMBERVALUE(SUBSTITUTE(LEFT(TRIM(C543),FIND(" ",TRIM(C543)&amp;" ")-1),",","."),"."),LEFT(SUBSTITUTE(LEFT(TRIM(C543),FIND(" ",TRIM(C543)&amp;" ")-1),",","."),FIND("/",SUBSTITUTE(LEFT(TRIM(C543),FIND(" ",TRIM(C543)&amp;" ")-1),",","."))-1)/MID(SUBSTITUTE(LEFT(TRIM(C543),FIND(" ",TRIM(C543)&amp;" ")-1),",","."),FIND("/",SUBSTITUTE(LEFT(TRIM(C543),FIND(" ",TRIM(C543)&amp;" ")-1),",","."))+1,9))*12/52,IF(ISNUMBER(SEARCH("month",C543)),IFERROR(_xlfn.NUMBERVALUE(SUBSTITUTE(LEFT(TRIM(C543),FIND(" ",TRIM(C543)&amp;" ")-1),",","."),"."),LEFT(SUBSTITUTE(LEFT(TRIM(C543),FIND(" ",TRIM(C543)&amp;" ")-1),",","."),FIND("/",SUBSTITUTE(LEFT(TRIM(C543),FIND(" ",TRIM(C543)&amp;" ")-1),",","."))-1)/MID(SUBSTITUTE(LEFT(TRIM(C543),FIND(" ",TRIM(C543)&amp;" ")-1),",","."),FIND("/",SUBSTITUTE(LEFT(TRIM(C543),FIND(" ",TRIM(C543)&amp;" ")-1),",","."))+1,9)),IF(ISNUMBER(SEARCH("yea",C543)),IFERROR(_xlfn.NUMBERVALUE(SUBSTITUTE(LEFT(TRIM(C543),FIND(" ",TRIM(C543)&amp;" ")-1),",","."),"."),LEFT(SUBSTITUTE(LEFT(TRIM(C543),FIND(" ",TRIM(C543)&amp;" ")-1),",","."),FIND("/",SUBSTITUTE(LEFT(TRIM(C543),FIND(" ",TRIM(C543)&amp;" ")-1),",","."))-1)/MID(SUBSTITUTE(LEFT(TRIM(C543),FIND(" ",TRIM(C543)&amp;" ")-1),",","."),FIND("/",SUBSTITUTE(LEFT(TRIM(C543),FIND(" ",TRIM(C543)&amp;" ")-1),",","."))+1,9))*12,NA()))),0),30)*'Aturan &amp; Tarif'!$B$4,2)</f>
        <v>1703.4</v>
      </c>
      <c r="K543" s="32" t="n">
        <f aca="false">'Aturan &amp; Tarif'!$B$5</f>
        <v>2050</v>
      </c>
      <c r="L543" s="35" t="n">
        <f aca="false">I543+J543+K543</f>
        <v>8703.4</v>
      </c>
      <c r="M543" s="36" t="s">
        <v>131</v>
      </c>
    </row>
    <row r="544" customFormat="false" ht="37.5" hidden="false" customHeight="true" outlineLevel="0" collapsed="false">
      <c r="A544" s="29"/>
      <c r="B544" s="30" t="s">
        <v>3149</v>
      </c>
      <c r="C544" s="31" t="s">
        <v>136</v>
      </c>
      <c r="D544" s="31" t="s">
        <v>108</v>
      </c>
      <c r="E544" s="32" t="n">
        <v>2800</v>
      </c>
      <c r="F544" s="32" t="n">
        <v>2050</v>
      </c>
      <c r="G544" s="32" t="n">
        <v>250</v>
      </c>
      <c r="H544" s="33" t="n">
        <v>1</v>
      </c>
      <c r="I544" s="34" t="n">
        <f aca="false">E544*H544+N(F544)+N(G544)</f>
        <v>5100</v>
      </c>
      <c r="J544" s="32" t="n">
        <f aca="false">ROUND(IFERROR(ROUND(IF(OR(ISNUMBER(SEARCH("week",C544)),ISNUMBER(SEARCH("minggu",C544))),IFERROR(_xlfn.NUMBERVALUE(SUBSTITUTE(LEFT(TRIM(C544),FIND(" ",TRIM(C544)&amp;" ")-1),",","."),"."),LEFT(SUBSTITUTE(LEFT(TRIM(C544),FIND(" ",TRIM(C544)&amp;" ")-1),",","."),FIND("/",SUBSTITUTE(LEFT(TRIM(C544),FIND(" ",TRIM(C544)&amp;" ")-1),",","."))-1)/MID(SUBSTITUTE(LEFT(TRIM(C544),FIND(" ",TRIM(C544)&amp;" ")-1),",","."),FIND("/",SUBSTITUTE(LEFT(TRIM(C544),FIND(" ",TRIM(C544)&amp;" ")-1),",","."))+1,9))*12/52,IF(ISNUMBER(SEARCH("month",C544)),IFERROR(_xlfn.NUMBERVALUE(SUBSTITUTE(LEFT(TRIM(C544),FIND(" ",TRIM(C544)&amp;" ")-1),",","."),"."),LEFT(SUBSTITUTE(LEFT(TRIM(C544),FIND(" ",TRIM(C544)&amp;" ")-1),",","."),FIND("/",SUBSTITUTE(LEFT(TRIM(C544),FIND(" ",TRIM(C544)&amp;" ")-1),",","."))-1)/MID(SUBSTITUTE(LEFT(TRIM(C544),FIND(" ",TRIM(C544)&amp;" ")-1),",","."),FIND("/",SUBSTITUTE(LEFT(TRIM(C544),FIND(" ",TRIM(C544)&amp;" ")-1),",","."))+1,9)),IF(ISNUMBER(SEARCH("yea",C544)),IFERROR(_xlfn.NUMBERVALUE(SUBSTITUTE(LEFT(TRIM(C544),FIND(" ",TRIM(C544)&amp;" ")-1),",","."),"."),LEFT(SUBSTITUTE(LEFT(TRIM(C544),FIND(" ",TRIM(C544)&amp;" ")-1),",","."),FIND("/",SUBSTITUTE(LEFT(TRIM(C544),FIND(" ",TRIM(C544)&amp;" ")-1),",","."))-1)/MID(SUBSTITUTE(LEFT(TRIM(C544),FIND(" ",TRIM(C544)&amp;" ")-1),",","."),FIND("/",SUBSTITUTE(LEFT(TRIM(C544),FIND(" ",TRIM(C544)&amp;" ")-1),",","."))+1,9))*12,NA()))),0),42)*'Aturan &amp; Tarif'!$B$4,2)</f>
        <v>2384.76</v>
      </c>
      <c r="K544" s="32" t="n">
        <f aca="false">'Aturan &amp; Tarif'!$B$5</f>
        <v>2050</v>
      </c>
      <c r="L544" s="35" t="n">
        <f aca="false">I544+J544+K544</f>
        <v>9534.76</v>
      </c>
      <c r="M544" s="36" t="s">
        <v>131</v>
      </c>
    </row>
    <row r="545" customFormat="false" ht="37.5" hidden="false" customHeight="true" outlineLevel="0" collapsed="false">
      <c r="A545" s="29"/>
      <c r="B545" s="30" t="s">
        <v>3150</v>
      </c>
      <c r="C545" s="31" t="s">
        <v>127</v>
      </c>
      <c r="D545" s="31" t="s">
        <v>108</v>
      </c>
      <c r="E545" s="32" t="n">
        <v>2800</v>
      </c>
      <c r="F545" s="32" t="n">
        <v>1700</v>
      </c>
      <c r="G545" s="32" t="n">
        <v>250</v>
      </c>
      <c r="H545" s="33" t="n">
        <v>1</v>
      </c>
      <c r="I545" s="34" t="n">
        <f aca="false">E545*H545+N(F545)+N(G545)</f>
        <v>4750</v>
      </c>
      <c r="J545" s="32" t="n">
        <f aca="false">ROUND(IFERROR(ROUND(IF(OR(ISNUMBER(SEARCH("week",C545)),ISNUMBER(SEARCH("minggu",C545))),IFERROR(_xlfn.NUMBERVALUE(SUBSTITUTE(LEFT(TRIM(C545),FIND(" ",TRIM(C545)&amp;" ")-1),",","."),"."),LEFT(SUBSTITUTE(LEFT(TRIM(C545),FIND(" ",TRIM(C545)&amp;" ")-1),",","."),FIND("/",SUBSTITUTE(LEFT(TRIM(C545),FIND(" ",TRIM(C545)&amp;" ")-1),",","."))-1)/MID(SUBSTITUTE(LEFT(TRIM(C545),FIND(" ",TRIM(C545)&amp;" ")-1),",","."),FIND("/",SUBSTITUTE(LEFT(TRIM(C545),FIND(" ",TRIM(C545)&amp;" ")-1),",","."))+1,9))*12/52,IF(ISNUMBER(SEARCH("month",C545)),IFERROR(_xlfn.NUMBERVALUE(SUBSTITUTE(LEFT(TRIM(C545),FIND(" ",TRIM(C545)&amp;" ")-1),",","."),"."),LEFT(SUBSTITUTE(LEFT(TRIM(C545),FIND(" ",TRIM(C545)&amp;" ")-1),",","."),FIND("/",SUBSTITUTE(LEFT(TRIM(C545),FIND(" ",TRIM(C545)&amp;" ")-1),",","."))-1)/MID(SUBSTITUTE(LEFT(TRIM(C545),FIND(" ",TRIM(C545)&amp;" ")-1),",","."),FIND("/",SUBSTITUTE(LEFT(TRIM(C545),FIND(" ",TRIM(C545)&amp;" ")-1),",","."))+1,9)),IF(ISNUMBER(SEARCH("yea",C545)),IFERROR(_xlfn.NUMBERVALUE(SUBSTITUTE(LEFT(TRIM(C545),FIND(" ",TRIM(C545)&amp;" ")-1),",","."),"."),LEFT(SUBSTITUTE(LEFT(TRIM(C545),FIND(" ",TRIM(C545)&amp;" ")-1),",","."),FIND("/",SUBSTITUTE(LEFT(TRIM(C545),FIND(" ",TRIM(C545)&amp;" ")-1),",","."))-1)/MID(SUBSTITUTE(LEFT(TRIM(C545),FIND(" ",TRIM(C545)&amp;" ")-1),",","."),FIND("/",SUBSTITUTE(LEFT(TRIM(C545),FIND(" ",TRIM(C545)&amp;" ")-1),",","."))+1,9))*12,NA()))),0),36)*'Aturan &amp; Tarif'!$B$4,2)</f>
        <v>2044.08</v>
      </c>
      <c r="K545" s="32" t="n">
        <f aca="false">'Aturan &amp; Tarif'!$B$5</f>
        <v>2050</v>
      </c>
      <c r="L545" s="35" t="n">
        <f aca="false">I545+J545+K545</f>
        <v>8844.08</v>
      </c>
      <c r="M545" s="36" t="s">
        <v>131</v>
      </c>
    </row>
    <row r="546" customFormat="false" ht="37.5" hidden="false" customHeight="true" outlineLevel="0" collapsed="false">
      <c r="A546" s="29"/>
      <c r="B546" s="30" t="s">
        <v>3151</v>
      </c>
      <c r="C546" s="31" t="s">
        <v>107</v>
      </c>
      <c r="D546" s="31" t="s">
        <v>108</v>
      </c>
      <c r="E546" s="32" t="n">
        <v>3000</v>
      </c>
      <c r="F546" s="32" t="n">
        <v>1800</v>
      </c>
      <c r="G546" s="32" t="n">
        <v>250</v>
      </c>
      <c r="H546" s="33" t="n">
        <v>1</v>
      </c>
      <c r="I546" s="34" t="n">
        <f aca="false">E546*H546+N(F546)+N(G546)</f>
        <v>5050</v>
      </c>
      <c r="J546" s="32" t="n">
        <f aca="false">ROUND(IFERROR(ROUND(IF(OR(ISNUMBER(SEARCH("week",C546)),ISNUMBER(SEARCH("minggu",C546))),IFERROR(_xlfn.NUMBERVALUE(SUBSTITUTE(LEFT(TRIM(C546),FIND(" ",TRIM(C546)&amp;" ")-1),",","."),"."),LEFT(SUBSTITUTE(LEFT(TRIM(C546),FIND(" ",TRIM(C546)&amp;" ")-1),",","."),FIND("/",SUBSTITUTE(LEFT(TRIM(C546),FIND(" ",TRIM(C546)&amp;" ")-1),",","."))-1)/MID(SUBSTITUTE(LEFT(TRIM(C546),FIND(" ",TRIM(C546)&amp;" ")-1),",","."),FIND("/",SUBSTITUTE(LEFT(TRIM(C546),FIND(" ",TRIM(C546)&amp;" ")-1),",","."))+1,9))*12/52,IF(ISNUMBER(SEARCH("month",C546)),IFERROR(_xlfn.NUMBERVALUE(SUBSTITUTE(LEFT(TRIM(C546),FIND(" ",TRIM(C546)&amp;" ")-1),",","."),"."),LEFT(SUBSTITUTE(LEFT(TRIM(C546),FIND(" ",TRIM(C546)&amp;" ")-1),",","."),FIND("/",SUBSTITUTE(LEFT(TRIM(C546),FIND(" ",TRIM(C546)&amp;" ")-1),",","."))-1)/MID(SUBSTITUTE(LEFT(TRIM(C546),FIND(" ",TRIM(C546)&amp;" ")-1),",","."),FIND("/",SUBSTITUTE(LEFT(TRIM(C546),FIND(" ",TRIM(C546)&amp;" ")-1),",","."))+1,9)),IF(ISNUMBER(SEARCH("yea",C546)),IFERROR(_xlfn.NUMBERVALUE(SUBSTITUTE(LEFT(TRIM(C546),FIND(" ",TRIM(C546)&amp;" ")-1),",","."),"."),LEFT(SUBSTITUTE(LEFT(TRIM(C546),FIND(" ",TRIM(C546)&amp;" ")-1),",","."),FIND("/",SUBSTITUTE(LEFT(TRIM(C546),FIND(" ",TRIM(C546)&amp;" ")-1),",","."))-1)/MID(SUBSTITUTE(LEFT(TRIM(C546),FIND(" ",TRIM(C546)&amp;" ")-1),",","."),FIND("/",SUBSTITUTE(LEFT(TRIM(C546),FIND(" ",TRIM(C546)&amp;" ")-1),",","."))+1,9))*12,NA()))),0),24)*'Aturan &amp; Tarif'!$B$4,2)</f>
        <v>1362.72</v>
      </c>
      <c r="K546" s="32" t="n">
        <f aca="false">'Aturan &amp; Tarif'!$B$5</f>
        <v>2050</v>
      </c>
      <c r="L546" s="35" t="n">
        <f aca="false">I546+J546+K546</f>
        <v>8462.72</v>
      </c>
      <c r="M546" s="36" t="s">
        <v>131</v>
      </c>
    </row>
    <row r="547" customFormat="false" ht="37.5" hidden="false" customHeight="true" outlineLevel="0" collapsed="false">
      <c r="A547" s="29"/>
      <c r="B547" s="30" t="s">
        <v>3152</v>
      </c>
      <c r="C547" s="31" t="s">
        <v>138</v>
      </c>
      <c r="D547" s="31" t="s">
        <v>108</v>
      </c>
      <c r="E547" s="32" t="n">
        <v>3000</v>
      </c>
      <c r="F547" s="32" t="n">
        <v>1900</v>
      </c>
      <c r="G547" s="32" t="n">
        <v>250</v>
      </c>
      <c r="H547" s="33" t="n">
        <v>1</v>
      </c>
      <c r="I547" s="34" t="n">
        <f aca="false">E547*H547+N(F547)+N(G547)</f>
        <v>5150</v>
      </c>
      <c r="J547" s="32" t="n">
        <f aca="false">ROUND(IFERROR(ROUND(IF(OR(ISNUMBER(SEARCH("week",C547)),ISNUMBER(SEARCH("minggu",C547))),IFERROR(_xlfn.NUMBERVALUE(SUBSTITUTE(LEFT(TRIM(C547),FIND(" ",TRIM(C547)&amp;" ")-1),",","."),"."),LEFT(SUBSTITUTE(LEFT(TRIM(C547),FIND(" ",TRIM(C547)&amp;" ")-1),",","."),FIND("/",SUBSTITUTE(LEFT(TRIM(C547),FIND(" ",TRIM(C547)&amp;" ")-1),",","."))-1)/MID(SUBSTITUTE(LEFT(TRIM(C547),FIND(" ",TRIM(C547)&amp;" ")-1),",","."),FIND("/",SUBSTITUTE(LEFT(TRIM(C547),FIND(" ",TRIM(C547)&amp;" ")-1),",","."))+1,9))*12/52,IF(ISNUMBER(SEARCH("month",C547)),IFERROR(_xlfn.NUMBERVALUE(SUBSTITUTE(LEFT(TRIM(C547),FIND(" ",TRIM(C547)&amp;" ")-1),",","."),"."),LEFT(SUBSTITUTE(LEFT(TRIM(C547),FIND(" ",TRIM(C547)&amp;" ")-1),",","."),FIND("/",SUBSTITUTE(LEFT(TRIM(C547),FIND(" ",TRIM(C547)&amp;" ")-1),",","."))-1)/MID(SUBSTITUTE(LEFT(TRIM(C547),FIND(" ",TRIM(C547)&amp;" ")-1),",","."),FIND("/",SUBSTITUTE(LEFT(TRIM(C547),FIND(" ",TRIM(C547)&amp;" ")-1),",","."))+1,9)),IF(ISNUMBER(SEARCH("yea",C547)),IFERROR(_xlfn.NUMBERVALUE(SUBSTITUTE(LEFT(TRIM(C547),FIND(" ",TRIM(C547)&amp;" ")-1),",","."),"."),LEFT(SUBSTITUTE(LEFT(TRIM(C547),FIND(" ",TRIM(C547)&amp;" ")-1),",","."),FIND("/",SUBSTITUTE(LEFT(TRIM(C547),FIND(" ",TRIM(C547)&amp;" ")-1),",","."))-1)/MID(SUBSTITUTE(LEFT(TRIM(C547),FIND(" ",TRIM(C547)&amp;" ")-1),",","."),FIND("/",SUBSTITUTE(LEFT(TRIM(C547),FIND(" ",TRIM(C547)&amp;" ")-1),",","."))+1,9))*12,NA()))),0),30)*'Aturan &amp; Tarif'!$B$4,2)</f>
        <v>1703.4</v>
      </c>
      <c r="K547" s="32" t="n">
        <f aca="false">'Aturan &amp; Tarif'!$B$5</f>
        <v>2050</v>
      </c>
      <c r="L547" s="35" t="n">
        <f aca="false">I547+J547+K547</f>
        <v>8903.4</v>
      </c>
      <c r="M547" s="36" t="s">
        <v>131</v>
      </c>
    </row>
    <row r="548" customFormat="false" ht="37.5" hidden="false" customHeight="true" outlineLevel="0" collapsed="false">
      <c r="A548" s="29"/>
      <c r="B548" s="30" t="s">
        <v>2188</v>
      </c>
      <c r="C548" s="31" t="s">
        <v>136</v>
      </c>
      <c r="D548" s="31" t="s">
        <v>108</v>
      </c>
      <c r="E548" s="32" t="n">
        <v>3000</v>
      </c>
      <c r="F548" s="32" t="n">
        <v>1800</v>
      </c>
      <c r="G548" s="32" t="n">
        <v>250</v>
      </c>
      <c r="H548" s="33" t="n">
        <v>1</v>
      </c>
      <c r="I548" s="34" t="n">
        <f aca="false">E548*H548+N(F548)+N(G548)</f>
        <v>5050</v>
      </c>
      <c r="J548" s="32" t="n">
        <f aca="false">ROUND(IFERROR(ROUND(IF(OR(ISNUMBER(SEARCH("week",C548)),ISNUMBER(SEARCH("minggu",C548))),IFERROR(_xlfn.NUMBERVALUE(SUBSTITUTE(LEFT(TRIM(C548),FIND(" ",TRIM(C548)&amp;" ")-1),",","."),"."),LEFT(SUBSTITUTE(LEFT(TRIM(C548),FIND(" ",TRIM(C548)&amp;" ")-1),",","."),FIND("/",SUBSTITUTE(LEFT(TRIM(C548),FIND(" ",TRIM(C548)&amp;" ")-1),",","."))-1)/MID(SUBSTITUTE(LEFT(TRIM(C548),FIND(" ",TRIM(C548)&amp;" ")-1),",","."),FIND("/",SUBSTITUTE(LEFT(TRIM(C548),FIND(" ",TRIM(C548)&amp;" ")-1),",","."))+1,9))*12/52,IF(ISNUMBER(SEARCH("month",C548)),IFERROR(_xlfn.NUMBERVALUE(SUBSTITUTE(LEFT(TRIM(C548),FIND(" ",TRIM(C548)&amp;" ")-1),",","."),"."),LEFT(SUBSTITUTE(LEFT(TRIM(C548),FIND(" ",TRIM(C548)&amp;" ")-1),",","."),FIND("/",SUBSTITUTE(LEFT(TRIM(C548),FIND(" ",TRIM(C548)&amp;" ")-1),",","."))-1)/MID(SUBSTITUTE(LEFT(TRIM(C548),FIND(" ",TRIM(C548)&amp;" ")-1),",","."),FIND("/",SUBSTITUTE(LEFT(TRIM(C548),FIND(" ",TRIM(C548)&amp;" ")-1),",","."))+1,9)),IF(ISNUMBER(SEARCH("yea",C548)),IFERROR(_xlfn.NUMBERVALUE(SUBSTITUTE(LEFT(TRIM(C548),FIND(" ",TRIM(C548)&amp;" ")-1),",","."),"."),LEFT(SUBSTITUTE(LEFT(TRIM(C548),FIND(" ",TRIM(C548)&amp;" ")-1),",","."),FIND("/",SUBSTITUTE(LEFT(TRIM(C548),FIND(" ",TRIM(C548)&amp;" ")-1),",","."))-1)/MID(SUBSTITUTE(LEFT(TRIM(C548),FIND(" ",TRIM(C548)&amp;" ")-1),",","."),FIND("/",SUBSTITUTE(LEFT(TRIM(C548),FIND(" ",TRIM(C548)&amp;" ")-1),",","."))+1,9))*12,NA()))),0),42)*'Aturan &amp; Tarif'!$B$4,2)</f>
        <v>2384.76</v>
      </c>
      <c r="K548" s="32" t="n">
        <f aca="false">'Aturan &amp; Tarif'!$B$5</f>
        <v>2050</v>
      </c>
      <c r="L548" s="35" t="n">
        <f aca="false">I548+J548+K548</f>
        <v>9484.76</v>
      </c>
      <c r="M548" s="36" t="s">
        <v>131</v>
      </c>
    </row>
    <row r="549" customFormat="false" ht="60" hidden="false" customHeight="true" outlineLevel="0" collapsed="false">
      <c r="A549" s="39" t="s">
        <v>2118</v>
      </c>
      <c r="B549" s="40" t="s">
        <v>2119</v>
      </c>
      <c r="C549" s="41" t="s">
        <v>107</v>
      </c>
      <c r="D549" s="41" t="s">
        <v>108</v>
      </c>
      <c r="E549" s="42" t="n">
        <v>2000</v>
      </c>
      <c r="F549" s="42" t="n">
        <v>500</v>
      </c>
      <c r="G549" s="42" t="n">
        <v>300</v>
      </c>
      <c r="H549" s="43" t="n">
        <v>1</v>
      </c>
      <c r="I549" s="34" t="n">
        <f aca="false">E549*H549+N(F549)+N(G549)</f>
        <v>2800</v>
      </c>
      <c r="J549" s="42" t="n">
        <f aca="false">ROUND(IFERROR(ROUND(IF(OR(ISNUMBER(SEARCH("week",C549)),ISNUMBER(SEARCH("minggu",C549))),IFERROR(_xlfn.NUMBERVALUE(SUBSTITUTE(LEFT(TRIM(C549),FIND(" ",TRIM(C549)&amp;" ")-1),",","."),"."),LEFT(SUBSTITUTE(LEFT(TRIM(C549),FIND(" ",TRIM(C549)&amp;" ")-1),",","."),FIND("/",SUBSTITUTE(LEFT(TRIM(C549),FIND(" ",TRIM(C549)&amp;" ")-1),",","."))-1)/MID(SUBSTITUTE(LEFT(TRIM(C549),FIND(" ",TRIM(C549)&amp;" ")-1),",","."),FIND("/",SUBSTITUTE(LEFT(TRIM(C549),FIND(" ",TRIM(C549)&amp;" ")-1),",","."))+1,9))*12/52,IF(ISNUMBER(SEARCH("month",C549)),IFERROR(_xlfn.NUMBERVALUE(SUBSTITUTE(LEFT(TRIM(C549),FIND(" ",TRIM(C549)&amp;" ")-1),",","."),"."),LEFT(SUBSTITUTE(LEFT(TRIM(C549),FIND(" ",TRIM(C549)&amp;" ")-1),",","."),FIND("/",SUBSTITUTE(LEFT(TRIM(C549),FIND(" ",TRIM(C549)&amp;" ")-1),",","."))-1)/MID(SUBSTITUTE(LEFT(TRIM(C549),FIND(" ",TRIM(C549)&amp;" ")-1),",","."),FIND("/",SUBSTITUTE(LEFT(TRIM(C549),FIND(" ",TRIM(C549)&amp;" ")-1),",","."))+1,9)),IF(ISNUMBER(SEARCH("yea",C549)),IFERROR(_xlfn.NUMBERVALUE(SUBSTITUTE(LEFT(TRIM(C549),FIND(" ",TRIM(C549)&amp;" ")-1),",","."),"."),LEFT(SUBSTITUTE(LEFT(TRIM(C549),FIND(" ",TRIM(C549)&amp;" ")-1),",","."),FIND("/",SUBSTITUTE(LEFT(TRIM(C549),FIND(" ",TRIM(C549)&amp;" ")-1),",","."))-1)/MID(SUBSTITUTE(LEFT(TRIM(C549),FIND(" ",TRIM(C549)&amp;" ")-1),",","."),FIND("/",SUBSTITUTE(LEFT(TRIM(C549),FIND(" ",TRIM(C549)&amp;" ")-1),",","."))+1,9))*12,NA()))),0),24)*'Aturan &amp; Tarif'!$B$4,2)</f>
        <v>1362.72</v>
      </c>
      <c r="K549" s="42" t="n">
        <f aca="false">'Aturan &amp; Tarif'!$B$5</f>
        <v>2050</v>
      </c>
      <c r="L549" s="35" t="n">
        <f aca="false">I549+J549+K549</f>
        <v>6212.72</v>
      </c>
      <c r="M549" s="44" t="s">
        <v>2120</v>
      </c>
    </row>
    <row r="550" customFormat="false" ht="25.5" hidden="false" customHeight="true" outlineLevel="0" collapsed="false">
      <c r="A550" s="39"/>
      <c r="B550" s="40" t="s">
        <v>3153</v>
      </c>
      <c r="C550" s="41" t="s">
        <v>107</v>
      </c>
      <c r="D550" s="41" t="s">
        <v>108</v>
      </c>
      <c r="E550" s="42" t="n">
        <v>2000</v>
      </c>
      <c r="F550" s="42" t="n">
        <v>500</v>
      </c>
      <c r="G550" s="42" t="n">
        <v>300</v>
      </c>
      <c r="H550" s="43" t="n">
        <v>1</v>
      </c>
      <c r="I550" s="34" t="n">
        <f aca="false">E550*H550+N(F550)+N(G550)</f>
        <v>2800</v>
      </c>
      <c r="J550" s="42" t="n">
        <f aca="false">ROUND(IFERROR(ROUND(IF(OR(ISNUMBER(SEARCH("week",C550)),ISNUMBER(SEARCH("minggu",C550))),IFERROR(_xlfn.NUMBERVALUE(SUBSTITUTE(LEFT(TRIM(C550),FIND(" ",TRIM(C550)&amp;" ")-1),",","."),"."),LEFT(SUBSTITUTE(LEFT(TRIM(C550),FIND(" ",TRIM(C550)&amp;" ")-1),",","."),FIND("/",SUBSTITUTE(LEFT(TRIM(C550),FIND(" ",TRIM(C550)&amp;" ")-1),",","."))-1)/MID(SUBSTITUTE(LEFT(TRIM(C550),FIND(" ",TRIM(C550)&amp;" ")-1),",","."),FIND("/",SUBSTITUTE(LEFT(TRIM(C550),FIND(" ",TRIM(C550)&amp;" ")-1),",","."))+1,9))*12/52,IF(ISNUMBER(SEARCH("month",C550)),IFERROR(_xlfn.NUMBERVALUE(SUBSTITUTE(LEFT(TRIM(C550),FIND(" ",TRIM(C550)&amp;" ")-1),",","."),"."),LEFT(SUBSTITUTE(LEFT(TRIM(C550),FIND(" ",TRIM(C550)&amp;" ")-1),",","."),FIND("/",SUBSTITUTE(LEFT(TRIM(C550),FIND(" ",TRIM(C550)&amp;" ")-1),",","."))-1)/MID(SUBSTITUTE(LEFT(TRIM(C550),FIND(" ",TRIM(C550)&amp;" ")-1),",","."),FIND("/",SUBSTITUTE(LEFT(TRIM(C550),FIND(" ",TRIM(C550)&amp;" ")-1),",","."))+1,9)),IF(ISNUMBER(SEARCH("yea",C550)),IFERROR(_xlfn.NUMBERVALUE(SUBSTITUTE(LEFT(TRIM(C550),FIND(" ",TRIM(C550)&amp;" ")-1),",","."),"."),LEFT(SUBSTITUTE(LEFT(TRIM(C550),FIND(" ",TRIM(C550)&amp;" ")-1),",","."),FIND("/",SUBSTITUTE(LEFT(TRIM(C550),FIND(" ",TRIM(C550)&amp;" ")-1),",","."))-1)/MID(SUBSTITUTE(LEFT(TRIM(C550),FIND(" ",TRIM(C550)&amp;" ")-1),",","."),FIND("/",SUBSTITUTE(LEFT(TRIM(C550),FIND(" ",TRIM(C550)&amp;" ")-1),",","."))+1,9))*12,NA()))),0),24)*'Aturan &amp; Tarif'!$B$4,2)</f>
        <v>1362.72</v>
      </c>
      <c r="K550" s="42" t="n">
        <f aca="false">'Aturan &amp; Tarif'!$B$5</f>
        <v>2050</v>
      </c>
      <c r="L550" s="35" t="n">
        <f aca="false">I550+J550+K550</f>
        <v>6212.72</v>
      </c>
      <c r="M550" s="45" t="s">
        <v>3154</v>
      </c>
    </row>
    <row r="551" customFormat="false" ht="14.25" hidden="false" customHeight="true" outlineLevel="0" collapsed="false">
      <c r="A551" s="39"/>
      <c r="B551" s="40" t="s">
        <v>2123</v>
      </c>
      <c r="C551" s="41" t="s">
        <v>107</v>
      </c>
      <c r="D551" s="41" t="s">
        <v>108</v>
      </c>
      <c r="E551" s="42" t="n">
        <v>1500</v>
      </c>
      <c r="F551" s="42" t="n">
        <v>350</v>
      </c>
      <c r="G551" s="42" t="n">
        <v>300</v>
      </c>
      <c r="H551" s="43" t="n">
        <v>1</v>
      </c>
      <c r="I551" s="34" t="n">
        <f aca="false">E551*H551+N(F551)+N(G551)</f>
        <v>2150</v>
      </c>
      <c r="J551" s="42" t="n">
        <f aca="false">ROUND(IFERROR(ROUND(IF(OR(ISNUMBER(SEARCH("week",C551)),ISNUMBER(SEARCH("minggu",C551))),IFERROR(_xlfn.NUMBERVALUE(SUBSTITUTE(LEFT(TRIM(C551),FIND(" ",TRIM(C551)&amp;" ")-1),",","."),"."),LEFT(SUBSTITUTE(LEFT(TRIM(C551),FIND(" ",TRIM(C551)&amp;" ")-1),",","."),FIND("/",SUBSTITUTE(LEFT(TRIM(C551),FIND(" ",TRIM(C551)&amp;" ")-1),",","."))-1)/MID(SUBSTITUTE(LEFT(TRIM(C551),FIND(" ",TRIM(C551)&amp;" ")-1),",","."),FIND("/",SUBSTITUTE(LEFT(TRIM(C551),FIND(" ",TRIM(C551)&amp;" ")-1),",","."))+1,9))*12/52,IF(ISNUMBER(SEARCH("month",C551)),IFERROR(_xlfn.NUMBERVALUE(SUBSTITUTE(LEFT(TRIM(C551),FIND(" ",TRIM(C551)&amp;" ")-1),",","."),"."),LEFT(SUBSTITUTE(LEFT(TRIM(C551),FIND(" ",TRIM(C551)&amp;" ")-1),",","."),FIND("/",SUBSTITUTE(LEFT(TRIM(C551),FIND(" ",TRIM(C551)&amp;" ")-1),",","."))-1)/MID(SUBSTITUTE(LEFT(TRIM(C551),FIND(" ",TRIM(C551)&amp;" ")-1),",","."),FIND("/",SUBSTITUTE(LEFT(TRIM(C551),FIND(" ",TRIM(C551)&amp;" ")-1),",","."))+1,9)),IF(ISNUMBER(SEARCH("yea",C551)),IFERROR(_xlfn.NUMBERVALUE(SUBSTITUTE(LEFT(TRIM(C551),FIND(" ",TRIM(C551)&amp;" ")-1),",","."),"."),LEFT(SUBSTITUTE(LEFT(TRIM(C551),FIND(" ",TRIM(C551)&amp;" ")-1),",","."),FIND("/",SUBSTITUTE(LEFT(TRIM(C551),FIND(" ",TRIM(C551)&amp;" ")-1),",","."))-1)/MID(SUBSTITUTE(LEFT(TRIM(C551),FIND(" ",TRIM(C551)&amp;" ")-1),",","."),FIND("/",SUBSTITUTE(LEFT(TRIM(C551),FIND(" ",TRIM(C551)&amp;" ")-1),",","."))+1,9))*12,NA()))),0),24)*'Aturan &amp; Tarif'!$B$4,2)</f>
        <v>1362.72</v>
      </c>
      <c r="K551" s="42" t="n">
        <f aca="false">'Aturan &amp; Tarif'!$B$5</f>
        <v>2050</v>
      </c>
      <c r="L551" s="35" t="n">
        <f aca="false">I551+J551+K551</f>
        <v>5562.72</v>
      </c>
      <c r="M551" s="45" t="s">
        <v>3154</v>
      </c>
    </row>
    <row r="552" customFormat="false" ht="25.5" hidden="false" customHeight="true" outlineLevel="0" collapsed="false">
      <c r="A552" s="39" t="s">
        <v>2124</v>
      </c>
      <c r="B552" s="40" t="s">
        <v>967</v>
      </c>
      <c r="C552" s="41" t="s">
        <v>130</v>
      </c>
      <c r="D552" s="41" t="s">
        <v>737</v>
      </c>
      <c r="E552" s="42" t="n">
        <v>11520</v>
      </c>
      <c r="F552" s="42" t="n">
        <v>0</v>
      </c>
      <c r="G552" s="42" t="n">
        <v>300</v>
      </c>
      <c r="H552" s="43" t="n">
        <v>1</v>
      </c>
      <c r="I552" s="34" t="n">
        <f aca="false">E552*H552+N(F552)+N(G552)</f>
        <v>11820</v>
      </c>
      <c r="J552" s="42" t="n">
        <f aca="false">ROUND(IFERROR(ROUND(IF(OR(ISNUMBER(SEARCH("week",C552)),ISNUMBER(SEARCH("minggu",C552))),IFERROR(_xlfn.NUMBERVALUE(SUBSTITUTE(LEFT(TRIM(C552),FIND(" ",TRIM(C552)&amp;" ")-1),",","."),"."),LEFT(SUBSTITUTE(LEFT(TRIM(C552),FIND(" ",TRIM(C552)&amp;" ")-1),",","."),FIND("/",SUBSTITUTE(LEFT(TRIM(C552),FIND(" ",TRIM(C552)&amp;" ")-1),",","."))-1)/MID(SUBSTITUTE(LEFT(TRIM(C552),FIND(" ",TRIM(C552)&amp;" ")-1),",","."),FIND("/",SUBSTITUTE(LEFT(TRIM(C552),FIND(" ",TRIM(C552)&amp;" ")-1),",","."))+1,9))*12/52,IF(ISNUMBER(SEARCH("month",C552)),IFERROR(_xlfn.NUMBERVALUE(SUBSTITUTE(LEFT(TRIM(C552),FIND(" ",TRIM(C552)&amp;" ")-1),",","."),"."),LEFT(SUBSTITUTE(LEFT(TRIM(C552),FIND(" ",TRIM(C552)&amp;" ")-1),",","."),FIND("/",SUBSTITUTE(LEFT(TRIM(C552),FIND(" ",TRIM(C552)&amp;" ")-1),",","."))-1)/MID(SUBSTITUTE(LEFT(TRIM(C552),FIND(" ",TRIM(C552)&amp;" ")-1),",","."),FIND("/",SUBSTITUTE(LEFT(TRIM(C552),FIND(" ",TRIM(C552)&amp;" ")-1),",","."))+1,9)),IF(ISNUMBER(SEARCH("yea",C552)),IFERROR(_xlfn.NUMBERVALUE(SUBSTITUTE(LEFT(TRIM(C552),FIND(" ",TRIM(C552)&amp;" ")-1),",","."),"."),LEFT(SUBSTITUTE(LEFT(TRIM(C552),FIND(" ",TRIM(C552)&amp;" ")-1),",","."),FIND("/",SUBSTITUTE(LEFT(TRIM(C552),FIND(" ",TRIM(C552)&amp;" ")-1),",","."))-1)/MID(SUBSTITUTE(LEFT(TRIM(C552),FIND(" ",TRIM(C552)&amp;" ")-1),",","."),FIND("/",SUBSTITUTE(LEFT(TRIM(C552),FIND(" ",TRIM(C552)&amp;" ")-1),",","."))+1,9))*12,NA()))),0),12)*'Aturan &amp; Tarif'!$B$4,2)</f>
        <v>681.36</v>
      </c>
      <c r="K552" s="42" t="n">
        <f aca="false">'Aturan &amp; Tarif'!$B$5</f>
        <v>2050</v>
      </c>
      <c r="L552" s="35" t="n">
        <f aca="false">I552+J552+K552</f>
        <v>14551.36</v>
      </c>
      <c r="M552" s="45" t="s">
        <v>738</v>
      </c>
    </row>
    <row r="553" customFormat="false" ht="25.5" hidden="false" customHeight="true" outlineLevel="0" collapsed="false">
      <c r="A553" s="39"/>
      <c r="B553" s="40" t="s">
        <v>968</v>
      </c>
      <c r="C553" s="41" t="s">
        <v>127</v>
      </c>
      <c r="D553" s="41" t="s">
        <v>737</v>
      </c>
      <c r="E553" s="42" t="n">
        <v>11520</v>
      </c>
      <c r="F553" s="42" t="n">
        <v>0</v>
      </c>
      <c r="G553" s="42" t="n">
        <v>300</v>
      </c>
      <c r="H553" s="43" t="n">
        <v>1</v>
      </c>
      <c r="I553" s="34" t="n">
        <f aca="false">E553*H553+N(F553)+N(G553)</f>
        <v>11820</v>
      </c>
      <c r="J553" s="42" t="n">
        <f aca="false">ROUND(IFERROR(ROUND(IF(OR(ISNUMBER(SEARCH("week",C553)),ISNUMBER(SEARCH("minggu",C553))),IFERROR(_xlfn.NUMBERVALUE(SUBSTITUTE(LEFT(TRIM(C553),FIND(" ",TRIM(C553)&amp;" ")-1),",","."),"."),LEFT(SUBSTITUTE(LEFT(TRIM(C553),FIND(" ",TRIM(C553)&amp;" ")-1),",","."),FIND("/",SUBSTITUTE(LEFT(TRIM(C553),FIND(" ",TRIM(C553)&amp;" ")-1),",","."))-1)/MID(SUBSTITUTE(LEFT(TRIM(C553),FIND(" ",TRIM(C553)&amp;" ")-1),",","."),FIND("/",SUBSTITUTE(LEFT(TRIM(C553),FIND(" ",TRIM(C553)&amp;" ")-1),",","."))+1,9))*12/52,IF(ISNUMBER(SEARCH("month",C553)),IFERROR(_xlfn.NUMBERVALUE(SUBSTITUTE(LEFT(TRIM(C553),FIND(" ",TRIM(C553)&amp;" ")-1),",","."),"."),LEFT(SUBSTITUTE(LEFT(TRIM(C553),FIND(" ",TRIM(C553)&amp;" ")-1),",","."),FIND("/",SUBSTITUTE(LEFT(TRIM(C553),FIND(" ",TRIM(C553)&amp;" ")-1),",","."))-1)/MID(SUBSTITUTE(LEFT(TRIM(C553),FIND(" ",TRIM(C553)&amp;" ")-1),",","."),FIND("/",SUBSTITUTE(LEFT(TRIM(C553),FIND(" ",TRIM(C553)&amp;" ")-1),",","."))+1,9)),IF(ISNUMBER(SEARCH("yea",C553)),IFERROR(_xlfn.NUMBERVALUE(SUBSTITUTE(LEFT(TRIM(C553),FIND(" ",TRIM(C553)&amp;" ")-1),",","."),"."),LEFT(SUBSTITUTE(LEFT(TRIM(C553),FIND(" ",TRIM(C553)&amp;" ")-1),",","."),FIND("/",SUBSTITUTE(LEFT(TRIM(C553),FIND(" ",TRIM(C553)&amp;" ")-1),",","."))-1)/MID(SUBSTITUTE(LEFT(TRIM(C553),FIND(" ",TRIM(C553)&amp;" ")-1),",","."),FIND("/",SUBSTITUTE(LEFT(TRIM(C553),FIND(" ",TRIM(C553)&amp;" ")-1),",","."))+1,9))*12,NA()))),0),36)*'Aturan &amp; Tarif'!$B$4,2)</f>
        <v>2044.08</v>
      </c>
      <c r="K553" s="42" t="n">
        <f aca="false">'Aturan &amp; Tarif'!$B$5</f>
        <v>2050</v>
      </c>
      <c r="L553" s="35" t="n">
        <f aca="false">I553+J553+K553</f>
        <v>15914.08</v>
      </c>
      <c r="M553" s="45" t="s">
        <v>738</v>
      </c>
    </row>
    <row r="554" customFormat="false" ht="25.5" hidden="false" customHeight="true" outlineLevel="0" collapsed="false">
      <c r="A554" s="39"/>
      <c r="B554" s="40" t="s">
        <v>969</v>
      </c>
      <c r="C554" s="41" t="s">
        <v>344</v>
      </c>
      <c r="D554" s="41" t="s">
        <v>737</v>
      </c>
      <c r="E554" s="42" t="n">
        <v>19640</v>
      </c>
      <c r="F554" s="42" t="n">
        <v>0</v>
      </c>
      <c r="G554" s="42" t="n">
        <v>300</v>
      </c>
      <c r="H554" s="43" t="n">
        <v>1</v>
      </c>
      <c r="I554" s="34" t="n">
        <f aca="false">E554*H554+N(F554)+N(G554)</f>
        <v>19940</v>
      </c>
      <c r="J554" s="42" t="n">
        <f aca="false">ROUND(IFERROR(ROUND(IF(OR(ISNUMBER(SEARCH("week",C554)),ISNUMBER(SEARCH("minggu",C554))),IFERROR(_xlfn.NUMBERVALUE(SUBSTITUTE(LEFT(TRIM(C554),FIND(" ",TRIM(C554)&amp;" ")-1),",","."),"."),LEFT(SUBSTITUTE(LEFT(TRIM(C554),FIND(" ",TRIM(C554)&amp;" ")-1),",","."),FIND("/",SUBSTITUTE(LEFT(TRIM(C554),FIND(" ",TRIM(C554)&amp;" ")-1),",","."))-1)/MID(SUBSTITUTE(LEFT(TRIM(C554),FIND(" ",TRIM(C554)&amp;" ")-1),",","."),FIND("/",SUBSTITUTE(LEFT(TRIM(C554),FIND(" ",TRIM(C554)&amp;" ")-1),",","."))+1,9))*12/52,IF(ISNUMBER(SEARCH("month",C554)),IFERROR(_xlfn.NUMBERVALUE(SUBSTITUTE(LEFT(TRIM(C554),FIND(" ",TRIM(C554)&amp;" ")-1),",","."),"."),LEFT(SUBSTITUTE(LEFT(TRIM(C554),FIND(" ",TRIM(C554)&amp;" ")-1),",","."),FIND("/",SUBSTITUTE(LEFT(TRIM(C554),FIND(" ",TRIM(C554)&amp;" ")-1),",","."))-1)/MID(SUBSTITUTE(LEFT(TRIM(C554),FIND(" ",TRIM(C554)&amp;" ")-1),",","."),FIND("/",SUBSTITUTE(LEFT(TRIM(C554),FIND(" ",TRIM(C554)&amp;" ")-1),",","."))+1,9)),IF(ISNUMBER(SEARCH("yea",C554)),IFERROR(_xlfn.NUMBERVALUE(SUBSTITUTE(LEFT(TRIM(C554),FIND(" ",TRIM(C554)&amp;" ")-1),",","."),"."),LEFT(SUBSTITUTE(LEFT(TRIM(C554),FIND(" ",TRIM(C554)&amp;" ")-1),",","."),FIND("/",SUBSTITUTE(LEFT(TRIM(C554),FIND(" ",TRIM(C554)&amp;" ")-1),",","."))-1)/MID(SUBSTITUTE(LEFT(TRIM(C554),FIND(" ",TRIM(C554)&amp;" ")-1),",","."),FIND("/",SUBSTITUTE(LEFT(TRIM(C554),FIND(" ",TRIM(C554)&amp;" ")-1),",","."))+1,9))*12,NA()))),0),6)*'Aturan &amp; Tarif'!$B$4,2)</f>
        <v>340.68</v>
      </c>
      <c r="K554" s="42" t="n">
        <f aca="false">'Aturan &amp; Tarif'!$B$5</f>
        <v>2050</v>
      </c>
      <c r="L554" s="35" t="n">
        <f aca="false">I554+J554+K554</f>
        <v>22330.68</v>
      </c>
      <c r="M554" s="45" t="s">
        <v>738</v>
      </c>
    </row>
    <row r="555" customFormat="false" ht="60" hidden="false" customHeight="true" outlineLevel="0" collapsed="false">
      <c r="A555" s="39"/>
      <c r="B555" s="40" t="s">
        <v>970</v>
      </c>
      <c r="C555" s="41" t="s">
        <v>130</v>
      </c>
      <c r="D555" s="41" t="s">
        <v>737</v>
      </c>
      <c r="E555" s="42" t="n">
        <v>19640</v>
      </c>
      <c r="F555" s="42" t="n">
        <v>0</v>
      </c>
      <c r="G555" s="42" t="n">
        <v>300</v>
      </c>
      <c r="H555" s="43" t="n">
        <v>1</v>
      </c>
      <c r="I555" s="34" t="n">
        <f aca="false">E555*H555+N(F555)+N(G555)</f>
        <v>19940</v>
      </c>
      <c r="J555" s="42" t="n">
        <f aca="false">ROUND(IFERROR(ROUND(IF(OR(ISNUMBER(SEARCH("week",C555)),ISNUMBER(SEARCH("minggu",C555))),IFERROR(_xlfn.NUMBERVALUE(SUBSTITUTE(LEFT(TRIM(C555),FIND(" ",TRIM(C555)&amp;" ")-1),",","."),"."),LEFT(SUBSTITUTE(LEFT(TRIM(C555),FIND(" ",TRIM(C555)&amp;" ")-1),",","."),FIND("/",SUBSTITUTE(LEFT(TRIM(C555),FIND(" ",TRIM(C555)&amp;" ")-1),",","."))-1)/MID(SUBSTITUTE(LEFT(TRIM(C555),FIND(" ",TRIM(C555)&amp;" ")-1),",","."),FIND("/",SUBSTITUTE(LEFT(TRIM(C555),FIND(" ",TRIM(C555)&amp;" ")-1),",","."))+1,9))*12/52,IF(ISNUMBER(SEARCH("month",C555)),IFERROR(_xlfn.NUMBERVALUE(SUBSTITUTE(LEFT(TRIM(C555),FIND(" ",TRIM(C555)&amp;" ")-1),",","."),"."),LEFT(SUBSTITUTE(LEFT(TRIM(C555),FIND(" ",TRIM(C555)&amp;" ")-1),",","."),FIND("/",SUBSTITUTE(LEFT(TRIM(C555),FIND(" ",TRIM(C555)&amp;" ")-1),",","."))-1)/MID(SUBSTITUTE(LEFT(TRIM(C555),FIND(" ",TRIM(C555)&amp;" ")-1),",","."),FIND("/",SUBSTITUTE(LEFT(TRIM(C555),FIND(" ",TRIM(C555)&amp;" ")-1),",","."))+1,9)),IF(ISNUMBER(SEARCH("yea",C555)),IFERROR(_xlfn.NUMBERVALUE(SUBSTITUTE(LEFT(TRIM(C555),FIND(" ",TRIM(C555)&amp;" ")-1),",","."),"."),LEFT(SUBSTITUTE(LEFT(TRIM(C555),FIND(" ",TRIM(C555)&amp;" ")-1),",","."),FIND("/",SUBSTITUTE(LEFT(TRIM(C555),FIND(" ",TRIM(C555)&amp;" ")-1),",","."))-1)/MID(SUBSTITUTE(LEFT(TRIM(C555),FIND(" ",TRIM(C555)&amp;" ")-1),",","."),FIND("/",SUBSTITUTE(LEFT(TRIM(C555),FIND(" ",TRIM(C555)&amp;" ")-1),",","."))+1,9))*12,NA()))),0),12)*'Aturan &amp; Tarif'!$B$4,2)</f>
        <v>681.36</v>
      </c>
      <c r="K555" s="42" t="n">
        <f aca="false">'Aturan &amp; Tarif'!$B$5</f>
        <v>2050</v>
      </c>
      <c r="L555" s="35" t="n">
        <f aca="false">I555+J555+K555</f>
        <v>22671.36</v>
      </c>
      <c r="M555" s="45" t="s">
        <v>742</v>
      </c>
    </row>
    <row r="556" customFormat="false" ht="60" hidden="false" customHeight="true" outlineLevel="0" collapsed="false">
      <c r="A556" s="39"/>
      <c r="B556" s="40" t="s">
        <v>971</v>
      </c>
      <c r="C556" s="41" t="s">
        <v>113</v>
      </c>
      <c r="D556" s="41" t="s">
        <v>737</v>
      </c>
      <c r="E556" s="42" t="n">
        <v>19640</v>
      </c>
      <c r="F556" s="42" t="n">
        <v>0</v>
      </c>
      <c r="G556" s="42" t="n">
        <v>300</v>
      </c>
      <c r="H556" s="43" t="n">
        <v>1</v>
      </c>
      <c r="I556" s="34" t="n">
        <f aca="false">E556*H556+N(F556)+N(G556)</f>
        <v>19940</v>
      </c>
      <c r="J556" s="42" t="n">
        <f aca="false">ROUND(IFERROR(ROUND(IF(OR(ISNUMBER(SEARCH("week",C556)),ISNUMBER(SEARCH("minggu",C556))),IFERROR(_xlfn.NUMBERVALUE(SUBSTITUTE(LEFT(TRIM(C556),FIND(" ",TRIM(C556)&amp;" ")-1),",","."),"."),LEFT(SUBSTITUTE(LEFT(TRIM(C556),FIND(" ",TRIM(C556)&amp;" ")-1),",","."),FIND("/",SUBSTITUTE(LEFT(TRIM(C556),FIND(" ",TRIM(C556)&amp;" ")-1),",","."))-1)/MID(SUBSTITUTE(LEFT(TRIM(C556),FIND(" ",TRIM(C556)&amp;" ")-1),",","."),FIND("/",SUBSTITUTE(LEFT(TRIM(C556),FIND(" ",TRIM(C556)&amp;" ")-1),",","."))+1,9))*12/52,IF(ISNUMBER(SEARCH("month",C556)),IFERROR(_xlfn.NUMBERVALUE(SUBSTITUTE(LEFT(TRIM(C556),FIND(" ",TRIM(C556)&amp;" ")-1),",","."),"."),LEFT(SUBSTITUTE(LEFT(TRIM(C556),FIND(" ",TRIM(C556)&amp;" ")-1),",","."),FIND("/",SUBSTITUTE(LEFT(TRIM(C556),FIND(" ",TRIM(C556)&amp;" ")-1),",","."))-1)/MID(SUBSTITUTE(LEFT(TRIM(C556),FIND(" ",TRIM(C556)&amp;" ")-1),",","."),FIND("/",SUBSTITUTE(LEFT(TRIM(C556),FIND(" ",TRIM(C556)&amp;" ")-1),",","."))+1,9)),IF(ISNUMBER(SEARCH("yea",C556)),IFERROR(_xlfn.NUMBERVALUE(SUBSTITUTE(LEFT(TRIM(C556),FIND(" ",TRIM(C556)&amp;" ")-1),",","."),"."),LEFT(SUBSTITUTE(LEFT(TRIM(C556),FIND(" ",TRIM(C556)&amp;" ")-1),",","."),FIND("/",SUBSTITUTE(LEFT(TRIM(C556),FIND(" ",TRIM(C556)&amp;" ")-1),",","."))-1)/MID(SUBSTITUTE(LEFT(TRIM(C556),FIND(" ",TRIM(C556)&amp;" ")-1),",","."),FIND("/",SUBSTITUTE(LEFT(TRIM(C556),FIND(" ",TRIM(C556)&amp;" ")-1),",","."))+1,9))*12,NA()))),0),18)*'Aturan &amp; Tarif'!$B$4,2)</f>
        <v>1022.04</v>
      </c>
      <c r="K556" s="42" t="n">
        <f aca="false">'Aturan &amp; Tarif'!$B$5</f>
        <v>2050</v>
      </c>
      <c r="L556" s="35" t="n">
        <f aca="false">I556+J556+K556</f>
        <v>23012.04</v>
      </c>
      <c r="M556" s="45" t="s">
        <v>744</v>
      </c>
    </row>
    <row r="557" customFormat="false" ht="60" hidden="false" customHeight="true" outlineLevel="0" collapsed="false">
      <c r="A557" s="39"/>
      <c r="B557" s="40" t="s">
        <v>972</v>
      </c>
      <c r="C557" s="41" t="s">
        <v>344</v>
      </c>
      <c r="D557" s="41" t="s">
        <v>737</v>
      </c>
      <c r="E557" s="42" t="n">
        <v>13600</v>
      </c>
      <c r="F557" s="42" t="n">
        <v>0</v>
      </c>
      <c r="G557" s="42" t="n">
        <v>300</v>
      </c>
      <c r="H557" s="43" t="n">
        <v>1</v>
      </c>
      <c r="I557" s="34" t="n">
        <f aca="false">E557*H557+N(F557)+N(G557)</f>
        <v>13900</v>
      </c>
      <c r="J557" s="42" t="n">
        <f aca="false">ROUND(IFERROR(ROUND(IF(OR(ISNUMBER(SEARCH("week",C557)),ISNUMBER(SEARCH("minggu",C557))),IFERROR(_xlfn.NUMBERVALUE(SUBSTITUTE(LEFT(TRIM(C557),FIND(" ",TRIM(C557)&amp;" ")-1),",","."),"."),LEFT(SUBSTITUTE(LEFT(TRIM(C557),FIND(" ",TRIM(C557)&amp;" ")-1),",","."),FIND("/",SUBSTITUTE(LEFT(TRIM(C557),FIND(" ",TRIM(C557)&amp;" ")-1),",","."))-1)/MID(SUBSTITUTE(LEFT(TRIM(C557),FIND(" ",TRIM(C557)&amp;" ")-1),",","."),FIND("/",SUBSTITUTE(LEFT(TRIM(C557),FIND(" ",TRIM(C557)&amp;" ")-1),",","."))+1,9))*12/52,IF(ISNUMBER(SEARCH("month",C557)),IFERROR(_xlfn.NUMBERVALUE(SUBSTITUTE(LEFT(TRIM(C557),FIND(" ",TRIM(C557)&amp;" ")-1),",","."),"."),LEFT(SUBSTITUTE(LEFT(TRIM(C557),FIND(" ",TRIM(C557)&amp;" ")-1),",","."),FIND("/",SUBSTITUTE(LEFT(TRIM(C557),FIND(" ",TRIM(C557)&amp;" ")-1),",","."))-1)/MID(SUBSTITUTE(LEFT(TRIM(C557),FIND(" ",TRIM(C557)&amp;" ")-1),",","."),FIND("/",SUBSTITUTE(LEFT(TRIM(C557),FIND(" ",TRIM(C557)&amp;" ")-1),",","."))+1,9)),IF(ISNUMBER(SEARCH("yea",C557)),IFERROR(_xlfn.NUMBERVALUE(SUBSTITUTE(LEFT(TRIM(C557),FIND(" ",TRIM(C557)&amp;" ")-1),",","."),"."),LEFT(SUBSTITUTE(LEFT(TRIM(C557),FIND(" ",TRIM(C557)&amp;" ")-1),",","."),FIND("/",SUBSTITUTE(LEFT(TRIM(C557),FIND(" ",TRIM(C557)&amp;" ")-1),",","."))-1)/MID(SUBSTITUTE(LEFT(TRIM(C557),FIND(" ",TRIM(C557)&amp;" ")-1),",","."),FIND("/",SUBSTITUTE(LEFT(TRIM(C557),FIND(" ",TRIM(C557)&amp;" ")-1),",","."))+1,9))*12,NA()))),0),6)*'Aturan &amp; Tarif'!$B$4,2)</f>
        <v>340.68</v>
      </c>
      <c r="K557" s="42" t="n">
        <f aca="false">'Aturan &amp; Tarif'!$B$5</f>
        <v>2050</v>
      </c>
      <c r="L557" s="35" t="n">
        <f aca="false">I557+J557+K557</f>
        <v>16290.68</v>
      </c>
      <c r="M557" s="45" t="s">
        <v>738</v>
      </c>
    </row>
    <row r="558" customFormat="false" ht="60" hidden="false" customHeight="true" outlineLevel="0" collapsed="false">
      <c r="A558" s="39"/>
      <c r="B558" s="40" t="s">
        <v>973</v>
      </c>
      <c r="C558" s="41" t="s">
        <v>107</v>
      </c>
      <c r="D558" s="41" t="s">
        <v>737</v>
      </c>
      <c r="E558" s="42" t="n">
        <v>13600</v>
      </c>
      <c r="F558" s="42" t="n">
        <v>0</v>
      </c>
      <c r="G558" s="42" t="n">
        <v>300</v>
      </c>
      <c r="H558" s="43" t="n">
        <v>1</v>
      </c>
      <c r="I558" s="34" t="n">
        <f aca="false">E558*H558+N(F558)+N(G558)</f>
        <v>13900</v>
      </c>
      <c r="J558" s="42" t="n">
        <f aca="false">ROUND(IFERROR(ROUND(IF(OR(ISNUMBER(SEARCH("week",C558)),ISNUMBER(SEARCH("minggu",C558))),IFERROR(_xlfn.NUMBERVALUE(SUBSTITUTE(LEFT(TRIM(C558),FIND(" ",TRIM(C558)&amp;" ")-1),",","."),"."),LEFT(SUBSTITUTE(LEFT(TRIM(C558),FIND(" ",TRIM(C558)&amp;" ")-1),",","."),FIND("/",SUBSTITUTE(LEFT(TRIM(C558),FIND(" ",TRIM(C558)&amp;" ")-1),",","."))-1)/MID(SUBSTITUTE(LEFT(TRIM(C558),FIND(" ",TRIM(C558)&amp;" ")-1),",","."),FIND("/",SUBSTITUTE(LEFT(TRIM(C558),FIND(" ",TRIM(C558)&amp;" ")-1),",","."))+1,9))*12/52,IF(ISNUMBER(SEARCH("month",C558)),IFERROR(_xlfn.NUMBERVALUE(SUBSTITUTE(LEFT(TRIM(C558),FIND(" ",TRIM(C558)&amp;" ")-1),",","."),"."),LEFT(SUBSTITUTE(LEFT(TRIM(C558),FIND(" ",TRIM(C558)&amp;" ")-1),",","."),FIND("/",SUBSTITUTE(LEFT(TRIM(C558),FIND(" ",TRIM(C558)&amp;" ")-1),",","."))-1)/MID(SUBSTITUTE(LEFT(TRIM(C558),FIND(" ",TRIM(C558)&amp;" ")-1),",","."),FIND("/",SUBSTITUTE(LEFT(TRIM(C558),FIND(" ",TRIM(C558)&amp;" ")-1),",","."))+1,9)),IF(ISNUMBER(SEARCH("yea",C558)),IFERROR(_xlfn.NUMBERVALUE(SUBSTITUTE(LEFT(TRIM(C558),FIND(" ",TRIM(C558)&amp;" ")-1),",","."),"."),LEFT(SUBSTITUTE(LEFT(TRIM(C558),FIND(" ",TRIM(C558)&amp;" ")-1),",","."),FIND("/",SUBSTITUTE(LEFT(TRIM(C558),FIND(" ",TRIM(C558)&amp;" ")-1),",","."))-1)/MID(SUBSTITUTE(LEFT(TRIM(C558),FIND(" ",TRIM(C558)&amp;" ")-1),",","."),FIND("/",SUBSTITUTE(LEFT(TRIM(C558),FIND(" ",TRIM(C558)&amp;" ")-1),",","."))+1,9))*12,NA()))),0),24)*'Aturan &amp; Tarif'!$B$4,2)</f>
        <v>1362.72</v>
      </c>
      <c r="K558" s="42" t="n">
        <f aca="false">'Aturan &amp; Tarif'!$B$5</f>
        <v>2050</v>
      </c>
      <c r="L558" s="35" t="n">
        <f aca="false">I558+J558+K558</f>
        <v>17312.72</v>
      </c>
      <c r="M558" s="45" t="s">
        <v>738</v>
      </c>
    </row>
    <row r="559" customFormat="false" ht="60" hidden="false" customHeight="true" outlineLevel="0" collapsed="false">
      <c r="A559" s="39"/>
      <c r="B559" s="40" t="s">
        <v>974</v>
      </c>
      <c r="C559" s="41" t="s">
        <v>113</v>
      </c>
      <c r="D559" s="41" t="s">
        <v>737</v>
      </c>
      <c r="E559" s="42" t="n">
        <v>13600</v>
      </c>
      <c r="F559" s="42" t="n">
        <v>0</v>
      </c>
      <c r="G559" s="42" t="n">
        <v>300</v>
      </c>
      <c r="H559" s="43" t="n">
        <v>1</v>
      </c>
      <c r="I559" s="34" t="n">
        <f aca="false">E559*H559+N(F559)+N(G559)</f>
        <v>13900</v>
      </c>
      <c r="J559" s="42" t="n">
        <f aca="false">ROUND(IFERROR(ROUND(IF(OR(ISNUMBER(SEARCH("week",C559)),ISNUMBER(SEARCH("minggu",C559))),IFERROR(_xlfn.NUMBERVALUE(SUBSTITUTE(LEFT(TRIM(C559),FIND(" ",TRIM(C559)&amp;" ")-1),",","."),"."),LEFT(SUBSTITUTE(LEFT(TRIM(C559),FIND(" ",TRIM(C559)&amp;" ")-1),",","."),FIND("/",SUBSTITUTE(LEFT(TRIM(C559),FIND(" ",TRIM(C559)&amp;" ")-1),",","."))-1)/MID(SUBSTITUTE(LEFT(TRIM(C559),FIND(" ",TRIM(C559)&amp;" ")-1),",","."),FIND("/",SUBSTITUTE(LEFT(TRIM(C559),FIND(" ",TRIM(C559)&amp;" ")-1),",","."))+1,9))*12/52,IF(ISNUMBER(SEARCH("month",C559)),IFERROR(_xlfn.NUMBERVALUE(SUBSTITUTE(LEFT(TRIM(C559),FIND(" ",TRIM(C559)&amp;" ")-1),",","."),"."),LEFT(SUBSTITUTE(LEFT(TRIM(C559),FIND(" ",TRIM(C559)&amp;" ")-1),",","."),FIND("/",SUBSTITUTE(LEFT(TRIM(C559),FIND(" ",TRIM(C559)&amp;" ")-1),",","."))-1)/MID(SUBSTITUTE(LEFT(TRIM(C559),FIND(" ",TRIM(C559)&amp;" ")-1),",","."),FIND("/",SUBSTITUTE(LEFT(TRIM(C559),FIND(" ",TRIM(C559)&amp;" ")-1),",","."))+1,9)),IF(ISNUMBER(SEARCH("yea",C559)),IFERROR(_xlfn.NUMBERVALUE(SUBSTITUTE(LEFT(TRIM(C559),FIND(" ",TRIM(C559)&amp;" ")-1),",","."),"."),LEFT(SUBSTITUTE(LEFT(TRIM(C559),FIND(" ",TRIM(C559)&amp;" ")-1),",","."),FIND("/",SUBSTITUTE(LEFT(TRIM(C559),FIND(" ",TRIM(C559)&amp;" ")-1),",","."))-1)/MID(SUBSTITUTE(LEFT(TRIM(C559),FIND(" ",TRIM(C559)&amp;" ")-1),",","."),FIND("/",SUBSTITUTE(LEFT(TRIM(C559),FIND(" ",TRIM(C559)&amp;" ")-1),",","."))+1,9))*12,NA()))),0),18)*'Aturan &amp; Tarif'!$B$4,2)</f>
        <v>1022.04</v>
      </c>
      <c r="K559" s="42" t="n">
        <f aca="false">'Aturan &amp; Tarif'!$B$5</f>
        <v>2050</v>
      </c>
      <c r="L559" s="35" t="n">
        <f aca="false">I559+J559+K559</f>
        <v>16972.04</v>
      </c>
      <c r="M559" s="45" t="s">
        <v>738</v>
      </c>
    </row>
    <row r="560" customFormat="false" ht="60" hidden="false" customHeight="true" outlineLevel="0" collapsed="false">
      <c r="A560" s="39"/>
      <c r="B560" s="40" t="s">
        <v>975</v>
      </c>
      <c r="C560" s="41" t="s">
        <v>113</v>
      </c>
      <c r="D560" s="41" t="s">
        <v>737</v>
      </c>
      <c r="E560" s="42" t="n">
        <v>13600</v>
      </c>
      <c r="F560" s="42" t="n">
        <v>0</v>
      </c>
      <c r="G560" s="42" t="n">
        <v>300</v>
      </c>
      <c r="H560" s="43" t="n">
        <v>1</v>
      </c>
      <c r="I560" s="34" t="n">
        <f aca="false">E560*H560+N(F560)+N(G560)</f>
        <v>13900</v>
      </c>
      <c r="J560" s="42" t="n">
        <f aca="false">ROUND(IFERROR(ROUND(IF(OR(ISNUMBER(SEARCH("week",C560)),ISNUMBER(SEARCH("minggu",C560))),IFERROR(_xlfn.NUMBERVALUE(SUBSTITUTE(LEFT(TRIM(C560),FIND(" ",TRIM(C560)&amp;" ")-1),",","."),"."),LEFT(SUBSTITUTE(LEFT(TRIM(C560),FIND(" ",TRIM(C560)&amp;" ")-1),",","."),FIND("/",SUBSTITUTE(LEFT(TRIM(C560),FIND(" ",TRIM(C560)&amp;" ")-1),",","."))-1)/MID(SUBSTITUTE(LEFT(TRIM(C560),FIND(" ",TRIM(C560)&amp;" ")-1),",","."),FIND("/",SUBSTITUTE(LEFT(TRIM(C560),FIND(" ",TRIM(C560)&amp;" ")-1),",","."))+1,9))*12/52,IF(ISNUMBER(SEARCH("month",C560)),IFERROR(_xlfn.NUMBERVALUE(SUBSTITUTE(LEFT(TRIM(C560),FIND(" ",TRIM(C560)&amp;" ")-1),",","."),"."),LEFT(SUBSTITUTE(LEFT(TRIM(C560),FIND(" ",TRIM(C560)&amp;" ")-1),",","."),FIND("/",SUBSTITUTE(LEFT(TRIM(C560),FIND(" ",TRIM(C560)&amp;" ")-1),",","."))-1)/MID(SUBSTITUTE(LEFT(TRIM(C560),FIND(" ",TRIM(C560)&amp;" ")-1),",","."),FIND("/",SUBSTITUTE(LEFT(TRIM(C560),FIND(" ",TRIM(C560)&amp;" ")-1),",","."))+1,9)),IF(ISNUMBER(SEARCH("yea",C560)),IFERROR(_xlfn.NUMBERVALUE(SUBSTITUTE(LEFT(TRIM(C560),FIND(" ",TRIM(C560)&amp;" ")-1),",","."),"."),LEFT(SUBSTITUTE(LEFT(TRIM(C560),FIND(" ",TRIM(C560)&amp;" ")-1),",","."),FIND("/",SUBSTITUTE(LEFT(TRIM(C560),FIND(" ",TRIM(C560)&amp;" ")-1),",","."))-1)/MID(SUBSTITUTE(LEFT(TRIM(C560),FIND(" ",TRIM(C560)&amp;" ")-1),",","."),FIND("/",SUBSTITUTE(LEFT(TRIM(C560),FIND(" ",TRIM(C560)&amp;" ")-1),",","."))+1,9))*12,NA()))),0),18)*'Aturan &amp; Tarif'!$B$4,2)</f>
        <v>1022.04</v>
      </c>
      <c r="K560" s="42" t="n">
        <f aca="false">'Aturan &amp; Tarif'!$B$5</f>
        <v>2050</v>
      </c>
      <c r="L560" s="35" t="n">
        <f aca="false">I560+J560+K560</f>
        <v>16972.04</v>
      </c>
      <c r="M560" s="45" t="s">
        <v>738</v>
      </c>
    </row>
    <row r="561" customFormat="false" ht="60" hidden="false" customHeight="true" outlineLevel="0" collapsed="false">
      <c r="A561" s="39"/>
      <c r="B561" s="40" t="s">
        <v>976</v>
      </c>
      <c r="C561" s="41" t="s">
        <v>107</v>
      </c>
      <c r="D561" s="41" t="s">
        <v>737</v>
      </c>
      <c r="E561" s="42" t="n">
        <v>13600</v>
      </c>
      <c r="F561" s="42" t="n">
        <v>0</v>
      </c>
      <c r="G561" s="42" t="n">
        <v>300</v>
      </c>
      <c r="H561" s="43" t="n">
        <v>1</v>
      </c>
      <c r="I561" s="34" t="n">
        <f aca="false">E561*H561+N(F561)+N(G561)</f>
        <v>13900</v>
      </c>
      <c r="J561" s="42" t="n">
        <f aca="false">ROUND(IFERROR(ROUND(IF(OR(ISNUMBER(SEARCH("week",C561)),ISNUMBER(SEARCH("minggu",C561))),IFERROR(_xlfn.NUMBERVALUE(SUBSTITUTE(LEFT(TRIM(C561),FIND(" ",TRIM(C561)&amp;" ")-1),",","."),"."),LEFT(SUBSTITUTE(LEFT(TRIM(C561),FIND(" ",TRIM(C561)&amp;" ")-1),",","."),FIND("/",SUBSTITUTE(LEFT(TRIM(C561),FIND(" ",TRIM(C561)&amp;" ")-1),",","."))-1)/MID(SUBSTITUTE(LEFT(TRIM(C561),FIND(" ",TRIM(C561)&amp;" ")-1),",","."),FIND("/",SUBSTITUTE(LEFT(TRIM(C561),FIND(" ",TRIM(C561)&amp;" ")-1),",","."))+1,9))*12/52,IF(ISNUMBER(SEARCH("month",C561)),IFERROR(_xlfn.NUMBERVALUE(SUBSTITUTE(LEFT(TRIM(C561),FIND(" ",TRIM(C561)&amp;" ")-1),",","."),"."),LEFT(SUBSTITUTE(LEFT(TRIM(C561),FIND(" ",TRIM(C561)&amp;" ")-1),",","."),FIND("/",SUBSTITUTE(LEFT(TRIM(C561),FIND(" ",TRIM(C561)&amp;" ")-1),",","."))-1)/MID(SUBSTITUTE(LEFT(TRIM(C561),FIND(" ",TRIM(C561)&amp;" ")-1),",","."),FIND("/",SUBSTITUTE(LEFT(TRIM(C561),FIND(" ",TRIM(C561)&amp;" ")-1),",","."))+1,9)),IF(ISNUMBER(SEARCH("yea",C561)),IFERROR(_xlfn.NUMBERVALUE(SUBSTITUTE(LEFT(TRIM(C561),FIND(" ",TRIM(C561)&amp;" ")-1),",","."),"."),LEFT(SUBSTITUTE(LEFT(TRIM(C561),FIND(" ",TRIM(C561)&amp;" ")-1),",","."),FIND("/",SUBSTITUTE(LEFT(TRIM(C561),FIND(" ",TRIM(C561)&amp;" ")-1),",","."))-1)/MID(SUBSTITUTE(LEFT(TRIM(C561),FIND(" ",TRIM(C561)&amp;" ")-1),",","."),FIND("/",SUBSTITUTE(LEFT(TRIM(C561),FIND(" ",TRIM(C561)&amp;" ")-1),",","."))+1,9))*12,NA()))),0),24)*'Aturan &amp; Tarif'!$B$4,2)</f>
        <v>1362.72</v>
      </c>
      <c r="K561" s="42" t="n">
        <f aca="false">'Aturan &amp; Tarif'!$B$5</f>
        <v>2050</v>
      </c>
      <c r="L561" s="35" t="n">
        <f aca="false">I561+J561+K561</f>
        <v>17312.72</v>
      </c>
      <c r="M561" s="45" t="s">
        <v>738</v>
      </c>
    </row>
    <row r="562" customFormat="false" ht="60" hidden="false" customHeight="true" outlineLevel="0" collapsed="false">
      <c r="A562" s="39"/>
      <c r="B562" s="40" t="s">
        <v>977</v>
      </c>
      <c r="C562" s="41" t="s">
        <v>138</v>
      </c>
      <c r="D562" s="41" t="s">
        <v>737</v>
      </c>
      <c r="E562" s="42" t="n">
        <v>13600</v>
      </c>
      <c r="F562" s="42" t="n">
        <v>0</v>
      </c>
      <c r="G562" s="42" t="n">
        <v>300</v>
      </c>
      <c r="H562" s="43" t="n">
        <v>1</v>
      </c>
      <c r="I562" s="34" t="n">
        <f aca="false">E562*H562+N(F562)+N(G562)</f>
        <v>13900</v>
      </c>
      <c r="J562" s="42" t="n">
        <f aca="false">ROUND(IFERROR(ROUND(IF(OR(ISNUMBER(SEARCH("week",C562)),ISNUMBER(SEARCH("minggu",C562))),IFERROR(_xlfn.NUMBERVALUE(SUBSTITUTE(LEFT(TRIM(C562),FIND(" ",TRIM(C562)&amp;" ")-1),",","."),"."),LEFT(SUBSTITUTE(LEFT(TRIM(C562),FIND(" ",TRIM(C562)&amp;" ")-1),",","."),FIND("/",SUBSTITUTE(LEFT(TRIM(C562),FIND(" ",TRIM(C562)&amp;" ")-1),",","."))-1)/MID(SUBSTITUTE(LEFT(TRIM(C562),FIND(" ",TRIM(C562)&amp;" ")-1),",","."),FIND("/",SUBSTITUTE(LEFT(TRIM(C562),FIND(" ",TRIM(C562)&amp;" ")-1),",","."))+1,9))*12/52,IF(ISNUMBER(SEARCH("month",C562)),IFERROR(_xlfn.NUMBERVALUE(SUBSTITUTE(LEFT(TRIM(C562),FIND(" ",TRIM(C562)&amp;" ")-1),",","."),"."),LEFT(SUBSTITUTE(LEFT(TRIM(C562),FIND(" ",TRIM(C562)&amp;" ")-1),",","."),FIND("/",SUBSTITUTE(LEFT(TRIM(C562),FIND(" ",TRIM(C562)&amp;" ")-1),",","."))-1)/MID(SUBSTITUTE(LEFT(TRIM(C562),FIND(" ",TRIM(C562)&amp;" ")-1),",","."),FIND("/",SUBSTITUTE(LEFT(TRIM(C562),FIND(" ",TRIM(C562)&amp;" ")-1),",","."))+1,9)),IF(ISNUMBER(SEARCH("yea",C562)),IFERROR(_xlfn.NUMBERVALUE(SUBSTITUTE(LEFT(TRIM(C562),FIND(" ",TRIM(C562)&amp;" ")-1),",","."),"."),LEFT(SUBSTITUTE(LEFT(TRIM(C562),FIND(" ",TRIM(C562)&amp;" ")-1),",","."),FIND("/",SUBSTITUTE(LEFT(TRIM(C562),FIND(" ",TRIM(C562)&amp;" ")-1),",","."))-1)/MID(SUBSTITUTE(LEFT(TRIM(C562),FIND(" ",TRIM(C562)&amp;" ")-1),",","."),FIND("/",SUBSTITUTE(LEFT(TRIM(C562),FIND(" ",TRIM(C562)&amp;" ")-1),",","."))+1,9))*12,NA()))),0),30)*'Aturan &amp; Tarif'!$B$4,2)</f>
        <v>1703.4</v>
      </c>
      <c r="K562" s="42" t="n">
        <f aca="false">'Aturan &amp; Tarif'!$B$5</f>
        <v>2050</v>
      </c>
      <c r="L562" s="35" t="n">
        <f aca="false">I562+J562+K562</f>
        <v>17653.4</v>
      </c>
      <c r="M562" s="45" t="s">
        <v>738</v>
      </c>
    </row>
    <row r="563" customFormat="false" ht="60" hidden="false" customHeight="true" outlineLevel="0" collapsed="false">
      <c r="A563" s="39"/>
      <c r="B563" s="40" t="s">
        <v>2126</v>
      </c>
      <c r="C563" s="41" t="s">
        <v>344</v>
      </c>
      <c r="D563" s="41" t="s">
        <v>737</v>
      </c>
      <c r="E563" s="42" t="n">
        <v>14560</v>
      </c>
      <c r="F563" s="42" t="n">
        <v>0</v>
      </c>
      <c r="G563" s="42" t="n">
        <v>300</v>
      </c>
      <c r="H563" s="43" t="n">
        <v>1</v>
      </c>
      <c r="I563" s="34" t="n">
        <f aca="false">E563*H563+N(F563)+N(G563)</f>
        <v>14860</v>
      </c>
      <c r="J563" s="42" t="n">
        <f aca="false">ROUND(IFERROR(ROUND(IF(OR(ISNUMBER(SEARCH("week",C563)),ISNUMBER(SEARCH("minggu",C563))),IFERROR(_xlfn.NUMBERVALUE(SUBSTITUTE(LEFT(TRIM(C563),FIND(" ",TRIM(C563)&amp;" ")-1),",","."),"."),LEFT(SUBSTITUTE(LEFT(TRIM(C563),FIND(" ",TRIM(C563)&amp;" ")-1),",","."),FIND("/",SUBSTITUTE(LEFT(TRIM(C563),FIND(" ",TRIM(C563)&amp;" ")-1),",","."))-1)/MID(SUBSTITUTE(LEFT(TRIM(C563),FIND(" ",TRIM(C563)&amp;" ")-1),",","."),FIND("/",SUBSTITUTE(LEFT(TRIM(C563),FIND(" ",TRIM(C563)&amp;" ")-1),",","."))+1,9))*12/52,IF(ISNUMBER(SEARCH("month",C563)),IFERROR(_xlfn.NUMBERVALUE(SUBSTITUTE(LEFT(TRIM(C563),FIND(" ",TRIM(C563)&amp;" ")-1),",","."),"."),LEFT(SUBSTITUTE(LEFT(TRIM(C563),FIND(" ",TRIM(C563)&amp;" ")-1),",","."),FIND("/",SUBSTITUTE(LEFT(TRIM(C563),FIND(" ",TRIM(C563)&amp;" ")-1),",","."))-1)/MID(SUBSTITUTE(LEFT(TRIM(C563),FIND(" ",TRIM(C563)&amp;" ")-1),",","."),FIND("/",SUBSTITUTE(LEFT(TRIM(C563),FIND(" ",TRIM(C563)&amp;" ")-1),",","."))+1,9)),IF(ISNUMBER(SEARCH("yea",C563)),IFERROR(_xlfn.NUMBERVALUE(SUBSTITUTE(LEFT(TRIM(C563),FIND(" ",TRIM(C563)&amp;" ")-1),",","."),"."),LEFT(SUBSTITUTE(LEFT(TRIM(C563),FIND(" ",TRIM(C563)&amp;" ")-1),",","."),FIND("/",SUBSTITUTE(LEFT(TRIM(C563),FIND(" ",TRIM(C563)&amp;" ")-1),",","."))-1)/MID(SUBSTITUTE(LEFT(TRIM(C563),FIND(" ",TRIM(C563)&amp;" ")-1),",","."),FIND("/",SUBSTITUTE(LEFT(TRIM(C563),FIND(" ",TRIM(C563)&amp;" ")-1),",","."))+1,9))*12,NA()))),0),6)*'Aturan &amp; Tarif'!$B$4,2)</f>
        <v>340.68</v>
      </c>
      <c r="K563" s="42" t="n">
        <f aca="false">'Aturan &amp; Tarif'!$B$5</f>
        <v>2050</v>
      </c>
      <c r="L563" s="35" t="n">
        <f aca="false">I563+J563+K563</f>
        <v>17250.68</v>
      </c>
      <c r="M563" s="45" t="s">
        <v>738</v>
      </c>
    </row>
    <row r="564" customFormat="false" ht="60" hidden="false" customHeight="true" outlineLevel="0" collapsed="false">
      <c r="A564" s="39"/>
      <c r="B564" s="40" t="s">
        <v>3155</v>
      </c>
      <c r="C564" s="41" t="s">
        <v>130</v>
      </c>
      <c r="D564" s="41" t="s">
        <v>737</v>
      </c>
      <c r="E564" s="42" t="n">
        <v>14560</v>
      </c>
      <c r="F564" s="42" t="n">
        <v>0</v>
      </c>
      <c r="G564" s="42" t="n">
        <v>300</v>
      </c>
      <c r="H564" s="43" t="n">
        <v>1</v>
      </c>
      <c r="I564" s="34" t="n">
        <f aca="false">E564*H564+N(F564)+N(G564)</f>
        <v>14860</v>
      </c>
      <c r="J564" s="42" t="n">
        <f aca="false">ROUND(IFERROR(ROUND(IF(OR(ISNUMBER(SEARCH("week",C564)),ISNUMBER(SEARCH("minggu",C564))),IFERROR(_xlfn.NUMBERVALUE(SUBSTITUTE(LEFT(TRIM(C564),FIND(" ",TRIM(C564)&amp;" ")-1),",","."),"."),LEFT(SUBSTITUTE(LEFT(TRIM(C564),FIND(" ",TRIM(C564)&amp;" ")-1),",","."),FIND("/",SUBSTITUTE(LEFT(TRIM(C564),FIND(" ",TRIM(C564)&amp;" ")-1),",","."))-1)/MID(SUBSTITUTE(LEFT(TRIM(C564),FIND(" ",TRIM(C564)&amp;" ")-1),",","."),FIND("/",SUBSTITUTE(LEFT(TRIM(C564),FIND(" ",TRIM(C564)&amp;" ")-1),",","."))+1,9))*12/52,IF(ISNUMBER(SEARCH("month",C564)),IFERROR(_xlfn.NUMBERVALUE(SUBSTITUTE(LEFT(TRIM(C564),FIND(" ",TRIM(C564)&amp;" ")-1),",","."),"."),LEFT(SUBSTITUTE(LEFT(TRIM(C564),FIND(" ",TRIM(C564)&amp;" ")-1),",","."),FIND("/",SUBSTITUTE(LEFT(TRIM(C564),FIND(" ",TRIM(C564)&amp;" ")-1),",","."))-1)/MID(SUBSTITUTE(LEFT(TRIM(C564),FIND(" ",TRIM(C564)&amp;" ")-1),",","."),FIND("/",SUBSTITUTE(LEFT(TRIM(C564),FIND(" ",TRIM(C564)&amp;" ")-1),",","."))+1,9)),IF(ISNUMBER(SEARCH("yea",C564)),IFERROR(_xlfn.NUMBERVALUE(SUBSTITUTE(LEFT(TRIM(C564),FIND(" ",TRIM(C564)&amp;" ")-1),",","."),"."),LEFT(SUBSTITUTE(LEFT(TRIM(C564),FIND(" ",TRIM(C564)&amp;" ")-1),",","."),FIND("/",SUBSTITUTE(LEFT(TRIM(C564),FIND(" ",TRIM(C564)&amp;" ")-1),",","."))-1)/MID(SUBSTITUTE(LEFT(TRIM(C564),FIND(" ",TRIM(C564)&amp;" ")-1),",","."),FIND("/",SUBSTITUTE(LEFT(TRIM(C564),FIND(" ",TRIM(C564)&amp;" ")-1),",","."))+1,9))*12,NA()))),0),12)*'Aturan &amp; Tarif'!$B$4,2)</f>
        <v>681.36</v>
      </c>
      <c r="K564" s="42" t="n">
        <f aca="false">'Aturan &amp; Tarif'!$B$5</f>
        <v>2050</v>
      </c>
      <c r="L564" s="35" t="n">
        <f aca="false">I564+J564+K564</f>
        <v>17591.36</v>
      </c>
      <c r="M564" s="45" t="s">
        <v>738</v>
      </c>
    </row>
    <row r="565" customFormat="false" ht="48.75" hidden="false" customHeight="true" outlineLevel="0" collapsed="false">
      <c r="A565" s="39"/>
      <c r="B565" s="40" t="s">
        <v>1915</v>
      </c>
      <c r="C565" s="41" t="s">
        <v>113</v>
      </c>
      <c r="D565" s="41" t="s">
        <v>737</v>
      </c>
      <c r="E565" s="42" t="n">
        <v>14560</v>
      </c>
      <c r="F565" s="42" t="n">
        <v>0</v>
      </c>
      <c r="G565" s="42" t="n">
        <v>300</v>
      </c>
      <c r="H565" s="43" t="n">
        <v>1</v>
      </c>
      <c r="I565" s="34" t="n">
        <f aca="false">E565*H565+N(F565)+N(G565)</f>
        <v>14860</v>
      </c>
      <c r="J565" s="42" t="n">
        <f aca="false">ROUND(IFERROR(ROUND(IF(OR(ISNUMBER(SEARCH("week",C565)),ISNUMBER(SEARCH("minggu",C565))),IFERROR(_xlfn.NUMBERVALUE(SUBSTITUTE(LEFT(TRIM(C565),FIND(" ",TRIM(C565)&amp;" ")-1),",","."),"."),LEFT(SUBSTITUTE(LEFT(TRIM(C565),FIND(" ",TRIM(C565)&amp;" ")-1),",","."),FIND("/",SUBSTITUTE(LEFT(TRIM(C565),FIND(" ",TRIM(C565)&amp;" ")-1),",","."))-1)/MID(SUBSTITUTE(LEFT(TRIM(C565),FIND(" ",TRIM(C565)&amp;" ")-1),",","."),FIND("/",SUBSTITUTE(LEFT(TRIM(C565),FIND(" ",TRIM(C565)&amp;" ")-1),",","."))+1,9))*12/52,IF(ISNUMBER(SEARCH("month",C565)),IFERROR(_xlfn.NUMBERVALUE(SUBSTITUTE(LEFT(TRIM(C565),FIND(" ",TRIM(C565)&amp;" ")-1),",","."),"."),LEFT(SUBSTITUTE(LEFT(TRIM(C565),FIND(" ",TRIM(C565)&amp;" ")-1),",","."),FIND("/",SUBSTITUTE(LEFT(TRIM(C565),FIND(" ",TRIM(C565)&amp;" ")-1),",","."))-1)/MID(SUBSTITUTE(LEFT(TRIM(C565),FIND(" ",TRIM(C565)&amp;" ")-1),",","."),FIND("/",SUBSTITUTE(LEFT(TRIM(C565),FIND(" ",TRIM(C565)&amp;" ")-1),",","."))+1,9)),IF(ISNUMBER(SEARCH("yea",C565)),IFERROR(_xlfn.NUMBERVALUE(SUBSTITUTE(LEFT(TRIM(C565),FIND(" ",TRIM(C565)&amp;" ")-1),",","."),"."),LEFT(SUBSTITUTE(LEFT(TRIM(C565),FIND(" ",TRIM(C565)&amp;" ")-1),",","."),FIND("/",SUBSTITUTE(LEFT(TRIM(C565),FIND(" ",TRIM(C565)&amp;" ")-1),",","."))-1)/MID(SUBSTITUTE(LEFT(TRIM(C565),FIND(" ",TRIM(C565)&amp;" ")-1),",","."),FIND("/",SUBSTITUTE(LEFT(TRIM(C565),FIND(" ",TRIM(C565)&amp;" ")-1),",","."))+1,9))*12,NA()))),0),18)*'Aturan &amp; Tarif'!$B$4,2)</f>
        <v>1022.04</v>
      </c>
      <c r="K565" s="42" t="n">
        <f aca="false">'Aturan &amp; Tarif'!$B$5</f>
        <v>2050</v>
      </c>
      <c r="L565" s="35" t="n">
        <f aca="false">I565+J565+K565</f>
        <v>17932.04</v>
      </c>
      <c r="M565" s="45" t="s">
        <v>738</v>
      </c>
    </row>
    <row r="566" customFormat="false" ht="37.5" hidden="false" customHeight="true" outlineLevel="0" collapsed="false">
      <c r="A566" s="39"/>
      <c r="B566" s="40" t="s">
        <v>2128</v>
      </c>
      <c r="C566" s="41" t="s">
        <v>107</v>
      </c>
      <c r="D566" s="41" t="s">
        <v>737</v>
      </c>
      <c r="E566" s="42" t="n">
        <v>14560</v>
      </c>
      <c r="F566" s="42" t="n">
        <v>0</v>
      </c>
      <c r="G566" s="42" t="n">
        <v>300</v>
      </c>
      <c r="H566" s="43" t="n">
        <v>1</v>
      </c>
      <c r="I566" s="34" t="n">
        <f aca="false">E566*H566+N(F566)+N(G566)</f>
        <v>14860</v>
      </c>
      <c r="J566" s="42" t="n">
        <f aca="false">ROUND(IFERROR(ROUND(IF(OR(ISNUMBER(SEARCH("week",C566)),ISNUMBER(SEARCH("minggu",C566))),IFERROR(_xlfn.NUMBERVALUE(SUBSTITUTE(LEFT(TRIM(C566),FIND(" ",TRIM(C566)&amp;" ")-1),",","."),"."),LEFT(SUBSTITUTE(LEFT(TRIM(C566),FIND(" ",TRIM(C566)&amp;" ")-1),",","."),FIND("/",SUBSTITUTE(LEFT(TRIM(C566),FIND(" ",TRIM(C566)&amp;" ")-1),",","."))-1)/MID(SUBSTITUTE(LEFT(TRIM(C566),FIND(" ",TRIM(C566)&amp;" ")-1),",","."),FIND("/",SUBSTITUTE(LEFT(TRIM(C566),FIND(" ",TRIM(C566)&amp;" ")-1),",","."))+1,9))*12/52,IF(ISNUMBER(SEARCH("month",C566)),IFERROR(_xlfn.NUMBERVALUE(SUBSTITUTE(LEFT(TRIM(C566),FIND(" ",TRIM(C566)&amp;" ")-1),",","."),"."),LEFT(SUBSTITUTE(LEFT(TRIM(C566),FIND(" ",TRIM(C566)&amp;" ")-1),",","."),FIND("/",SUBSTITUTE(LEFT(TRIM(C566),FIND(" ",TRIM(C566)&amp;" ")-1),",","."))-1)/MID(SUBSTITUTE(LEFT(TRIM(C566),FIND(" ",TRIM(C566)&amp;" ")-1),",","."),FIND("/",SUBSTITUTE(LEFT(TRIM(C566),FIND(" ",TRIM(C566)&amp;" ")-1),",","."))+1,9)),IF(ISNUMBER(SEARCH("yea",C566)),IFERROR(_xlfn.NUMBERVALUE(SUBSTITUTE(LEFT(TRIM(C566),FIND(" ",TRIM(C566)&amp;" ")-1),",","."),"."),LEFT(SUBSTITUTE(LEFT(TRIM(C566),FIND(" ",TRIM(C566)&amp;" ")-1),",","."),FIND("/",SUBSTITUTE(LEFT(TRIM(C566),FIND(" ",TRIM(C566)&amp;" ")-1),",","."))-1)/MID(SUBSTITUTE(LEFT(TRIM(C566),FIND(" ",TRIM(C566)&amp;" ")-1),",","."),FIND("/",SUBSTITUTE(LEFT(TRIM(C566),FIND(" ",TRIM(C566)&amp;" ")-1),",","."))+1,9))*12,NA()))),0),24)*'Aturan &amp; Tarif'!$B$4,2)</f>
        <v>1362.72</v>
      </c>
      <c r="K566" s="42" t="n">
        <f aca="false">'Aturan &amp; Tarif'!$B$5</f>
        <v>2050</v>
      </c>
      <c r="L566" s="35" t="n">
        <f aca="false">I566+J566+K566</f>
        <v>18272.72</v>
      </c>
      <c r="M566" s="45" t="s">
        <v>738</v>
      </c>
    </row>
    <row r="567" customFormat="false" ht="37.5" hidden="false" customHeight="true" outlineLevel="0" collapsed="false">
      <c r="A567" s="39" t="s">
        <v>2129</v>
      </c>
      <c r="B567" s="40" t="s">
        <v>3156</v>
      </c>
      <c r="C567" s="41" t="s">
        <v>127</v>
      </c>
      <c r="D567" s="41" t="s">
        <v>737</v>
      </c>
      <c r="E567" s="42" t="n">
        <v>5800</v>
      </c>
      <c r="F567" s="42"/>
      <c r="G567" s="42" t="n">
        <v>250</v>
      </c>
      <c r="H567" s="43" t="n">
        <v>1</v>
      </c>
      <c r="I567" s="34" t="n">
        <f aca="false">E567*H567+N(F567)+N(G567)</f>
        <v>6050</v>
      </c>
      <c r="J567" s="42" t="n">
        <f aca="false">ROUND(IFERROR(ROUND(IF(OR(ISNUMBER(SEARCH("week",C567)),ISNUMBER(SEARCH("minggu",C567))),IFERROR(_xlfn.NUMBERVALUE(SUBSTITUTE(LEFT(TRIM(C567),FIND(" ",TRIM(C567)&amp;" ")-1),",","."),"."),LEFT(SUBSTITUTE(LEFT(TRIM(C567),FIND(" ",TRIM(C567)&amp;" ")-1),",","."),FIND("/",SUBSTITUTE(LEFT(TRIM(C567),FIND(" ",TRIM(C567)&amp;" ")-1),",","."))-1)/MID(SUBSTITUTE(LEFT(TRIM(C567),FIND(" ",TRIM(C567)&amp;" ")-1),",","."),FIND("/",SUBSTITUTE(LEFT(TRIM(C567),FIND(" ",TRIM(C567)&amp;" ")-1),",","."))+1,9))*12/52,IF(ISNUMBER(SEARCH("month",C567)),IFERROR(_xlfn.NUMBERVALUE(SUBSTITUTE(LEFT(TRIM(C567),FIND(" ",TRIM(C567)&amp;" ")-1),",","."),"."),LEFT(SUBSTITUTE(LEFT(TRIM(C567),FIND(" ",TRIM(C567)&amp;" ")-1),",","."),FIND("/",SUBSTITUTE(LEFT(TRIM(C567),FIND(" ",TRIM(C567)&amp;" ")-1),",","."))-1)/MID(SUBSTITUTE(LEFT(TRIM(C567),FIND(" ",TRIM(C567)&amp;" ")-1),",","."),FIND("/",SUBSTITUTE(LEFT(TRIM(C567),FIND(" ",TRIM(C567)&amp;" ")-1),",","."))+1,9)),IF(ISNUMBER(SEARCH("yea",C567)),IFERROR(_xlfn.NUMBERVALUE(SUBSTITUTE(LEFT(TRIM(C567),FIND(" ",TRIM(C567)&amp;" ")-1),",","."),"."),LEFT(SUBSTITUTE(LEFT(TRIM(C567),FIND(" ",TRIM(C567)&amp;" ")-1),",","."),FIND("/",SUBSTITUTE(LEFT(TRIM(C567),FIND(" ",TRIM(C567)&amp;" ")-1),",","."))-1)/MID(SUBSTITUTE(LEFT(TRIM(C567),FIND(" ",TRIM(C567)&amp;" ")-1),",","."),FIND("/",SUBSTITUTE(LEFT(TRIM(C567),FIND(" ",TRIM(C567)&amp;" ")-1),",","."))+1,9))*12,NA()))),0),36)*'Aturan &amp; Tarif'!$B$4,2)</f>
        <v>2044.08</v>
      </c>
      <c r="K567" s="42" t="n">
        <f aca="false">'Aturan &amp; Tarif'!$B$5</f>
        <v>2050</v>
      </c>
      <c r="L567" s="35" t="n">
        <f aca="false">I567+J567+K567</f>
        <v>10144.08</v>
      </c>
      <c r="M567" s="44" t="s">
        <v>3157</v>
      </c>
    </row>
    <row r="568" customFormat="false" ht="37.5" hidden="false" customHeight="true" outlineLevel="0" collapsed="false">
      <c r="A568" s="39"/>
      <c r="B568" s="40" t="s">
        <v>3158</v>
      </c>
      <c r="C568" s="41" t="s">
        <v>127</v>
      </c>
      <c r="D568" s="41" t="s">
        <v>737</v>
      </c>
      <c r="E568" s="42" t="n">
        <v>5800</v>
      </c>
      <c r="F568" s="42"/>
      <c r="G568" s="42" t="n">
        <v>250</v>
      </c>
      <c r="H568" s="43" t="n">
        <v>1</v>
      </c>
      <c r="I568" s="34" t="n">
        <f aca="false">E568*H568+N(F568)+N(G568)</f>
        <v>6050</v>
      </c>
      <c r="J568" s="42" t="n">
        <f aca="false">ROUND(IFERROR(ROUND(IF(OR(ISNUMBER(SEARCH("week",C568)),ISNUMBER(SEARCH("minggu",C568))),IFERROR(_xlfn.NUMBERVALUE(SUBSTITUTE(LEFT(TRIM(C568),FIND(" ",TRIM(C568)&amp;" ")-1),",","."),"."),LEFT(SUBSTITUTE(LEFT(TRIM(C568),FIND(" ",TRIM(C568)&amp;" ")-1),",","."),FIND("/",SUBSTITUTE(LEFT(TRIM(C568),FIND(" ",TRIM(C568)&amp;" ")-1),",","."))-1)/MID(SUBSTITUTE(LEFT(TRIM(C568),FIND(" ",TRIM(C568)&amp;" ")-1),",","."),FIND("/",SUBSTITUTE(LEFT(TRIM(C568),FIND(" ",TRIM(C568)&amp;" ")-1),",","."))+1,9))*12/52,IF(ISNUMBER(SEARCH("month",C568)),IFERROR(_xlfn.NUMBERVALUE(SUBSTITUTE(LEFT(TRIM(C568),FIND(" ",TRIM(C568)&amp;" ")-1),",","."),"."),LEFT(SUBSTITUTE(LEFT(TRIM(C568),FIND(" ",TRIM(C568)&amp;" ")-1),",","."),FIND("/",SUBSTITUTE(LEFT(TRIM(C568),FIND(" ",TRIM(C568)&amp;" ")-1),",","."))-1)/MID(SUBSTITUTE(LEFT(TRIM(C568),FIND(" ",TRIM(C568)&amp;" ")-1),",","."),FIND("/",SUBSTITUTE(LEFT(TRIM(C568),FIND(" ",TRIM(C568)&amp;" ")-1),",","."))+1,9)),IF(ISNUMBER(SEARCH("yea",C568)),IFERROR(_xlfn.NUMBERVALUE(SUBSTITUTE(LEFT(TRIM(C568),FIND(" ",TRIM(C568)&amp;" ")-1),",","."),"."),LEFT(SUBSTITUTE(LEFT(TRIM(C568),FIND(" ",TRIM(C568)&amp;" ")-1),",","."),FIND("/",SUBSTITUTE(LEFT(TRIM(C568),FIND(" ",TRIM(C568)&amp;" ")-1),",","."))-1)/MID(SUBSTITUTE(LEFT(TRIM(C568),FIND(" ",TRIM(C568)&amp;" ")-1),",","."),FIND("/",SUBSTITUTE(LEFT(TRIM(C568),FIND(" ",TRIM(C568)&amp;" ")-1),",","."))+1,9))*12,NA()))),0),36)*'Aturan &amp; Tarif'!$B$4,2)</f>
        <v>2044.08</v>
      </c>
      <c r="K568" s="42" t="n">
        <f aca="false">'Aturan &amp; Tarif'!$B$5</f>
        <v>2050</v>
      </c>
      <c r="L568" s="35" t="n">
        <f aca="false">I568+J568+K568</f>
        <v>10144.08</v>
      </c>
      <c r="M568" s="44" t="s">
        <v>3157</v>
      </c>
    </row>
    <row r="569" customFormat="false" ht="37.5" hidden="false" customHeight="true" outlineLevel="0" collapsed="false">
      <c r="A569" s="39"/>
      <c r="B569" s="40" t="s">
        <v>3159</v>
      </c>
      <c r="C569" s="41" t="s">
        <v>127</v>
      </c>
      <c r="D569" s="41" t="s">
        <v>737</v>
      </c>
      <c r="E569" s="42" t="n">
        <v>5800</v>
      </c>
      <c r="F569" s="42"/>
      <c r="G569" s="42" t="n">
        <v>250</v>
      </c>
      <c r="H569" s="43" t="n">
        <v>1</v>
      </c>
      <c r="I569" s="34" t="n">
        <f aca="false">E569*H569+N(F569)+N(G569)</f>
        <v>6050</v>
      </c>
      <c r="J569" s="42" t="n">
        <f aca="false">ROUND(IFERROR(ROUND(IF(OR(ISNUMBER(SEARCH("week",C569)),ISNUMBER(SEARCH("minggu",C569))),IFERROR(_xlfn.NUMBERVALUE(SUBSTITUTE(LEFT(TRIM(C569),FIND(" ",TRIM(C569)&amp;" ")-1),",","."),"."),LEFT(SUBSTITUTE(LEFT(TRIM(C569),FIND(" ",TRIM(C569)&amp;" ")-1),",","."),FIND("/",SUBSTITUTE(LEFT(TRIM(C569),FIND(" ",TRIM(C569)&amp;" ")-1),",","."))-1)/MID(SUBSTITUTE(LEFT(TRIM(C569),FIND(" ",TRIM(C569)&amp;" ")-1),",","."),FIND("/",SUBSTITUTE(LEFT(TRIM(C569),FIND(" ",TRIM(C569)&amp;" ")-1),",","."))+1,9))*12/52,IF(ISNUMBER(SEARCH("month",C569)),IFERROR(_xlfn.NUMBERVALUE(SUBSTITUTE(LEFT(TRIM(C569),FIND(" ",TRIM(C569)&amp;" ")-1),",","."),"."),LEFT(SUBSTITUTE(LEFT(TRIM(C569),FIND(" ",TRIM(C569)&amp;" ")-1),",","."),FIND("/",SUBSTITUTE(LEFT(TRIM(C569),FIND(" ",TRIM(C569)&amp;" ")-1),",","."))-1)/MID(SUBSTITUTE(LEFT(TRIM(C569),FIND(" ",TRIM(C569)&amp;" ")-1),",","."),FIND("/",SUBSTITUTE(LEFT(TRIM(C569),FIND(" ",TRIM(C569)&amp;" ")-1),",","."))+1,9)),IF(ISNUMBER(SEARCH("yea",C569)),IFERROR(_xlfn.NUMBERVALUE(SUBSTITUTE(LEFT(TRIM(C569),FIND(" ",TRIM(C569)&amp;" ")-1),",","."),"."),LEFT(SUBSTITUTE(LEFT(TRIM(C569),FIND(" ",TRIM(C569)&amp;" ")-1),",","."),FIND("/",SUBSTITUTE(LEFT(TRIM(C569),FIND(" ",TRIM(C569)&amp;" ")-1),",","."))-1)/MID(SUBSTITUTE(LEFT(TRIM(C569),FIND(" ",TRIM(C569)&amp;" ")-1),",","."),FIND("/",SUBSTITUTE(LEFT(TRIM(C569),FIND(" ",TRIM(C569)&amp;" ")-1),",","."))+1,9))*12,NA()))),0),36)*'Aturan &amp; Tarif'!$B$4,2)</f>
        <v>2044.08</v>
      </c>
      <c r="K569" s="42" t="n">
        <f aca="false">'Aturan &amp; Tarif'!$B$5</f>
        <v>2050</v>
      </c>
      <c r="L569" s="35" t="n">
        <f aca="false">I569+J569+K569</f>
        <v>10144.08</v>
      </c>
      <c r="M569" s="44" t="s">
        <v>3157</v>
      </c>
    </row>
    <row r="570" customFormat="false" ht="25.5" hidden="false" customHeight="true" outlineLevel="0" collapsed="false">
      <c r="A570" s="39"/>
      <c r="B570" s="40" t="s">
        <v>3160</v>
      </c>
      <c r="C570" s="41" t="s">
        <v>127</v>
      </c>
      <c r="D570" s="41" t="s">
        <v>737</v>
      </c>
      <c r="E570" s="42" t="n">
        <v>5800</v>
      </c>
      <c r="F570" s="42"/>
      <c r="G570" s="42" t="n">
        <v>250</v>
      </c>
      <c r="H570" s="43" t="n">
        <v>1</v>
      </c>
      <c r="I570" s="34" t="n">
        <f aca="false">E570*H570+N(F570)+N(G570)</f>
        <v>6050</v>
      </c>
      <c r="J570" s="42" t="n">
        <f aca="false">ROUND(IFERROR(ROUND(IF(OR(ISNUMBER(SEARCH("week",C570)),ISNUMBER(SEARCH("minggu",C570))),IFERROR(_xlfn.NUMBERVALUE(SUBSTITUTE(LEFT(TRIM(C570),FIND(" ",TRIM(C570)&amp;" ")-1),",","."),"."),LEFT(SUBSTITUTE(LEFT(TRIM(C570),FIND(" ",TRIM(C570)&amp;" ")-1),",","."),FIND("/",SUBSTITUTE(LEFT(TRIM(C570),FIND(" ",TRIM(C570)&amp;" ")-1),",","."))-1)/MID(SUBSTITUTE(LEFT(TRIM(C570),FIND(" ",TRIM(C570)&amp;" ")-1),",","."),FIND("/",SUBSTITUTE(LEFT(TRIM(C570),FIND(" ",TRIM(C570)&amp;" ")-1),",","."))+1,9))*12/52,IF(ISNUMBER(SEARCH("month",C570)),IFERROR(_xlfn.NUMBERVALUE(SUBSTITUTE(LEFT(TRIM(C570),FIND(" ",TRIM(C570)&amp;" ")-1),",","."),"."),LEFT(SUBSTITUTE(LEFT(TRIM(C570),FIND(" ",TRIM(C570)&amp;" ")-1),",","."),FIND("/",SUBSTITUTE(LEFT(TRIM(C570),FIND(" ",TRIM(C570)&amp;" ")-1),",","."))-1)/MID(SUBSTITUTE(LEFT(TRIM(C570),FIND(" ",TRIM(C570)&amp;" ")-1),",","."),FIND("/",SUBSTITUTE(LEFT(TRIM(C570),FIND(" ",TRIM(C570)&amp;" ")-1),",","."))+1,9)),IF(ISNUMBER(SEARCH("yea",C570)),IFERROR(_xlfn.NUMBERVALUE(SUBSTITUTE(LEFT(TRIM(C570),FIND(" ",TRIM(C570)&amp;" ")-1),",","."),"."),LEFT(SUBSTITUTE(LEFT(TRIM(C570),FIND(" ",TRIM(C570)&amp;" ")-1),",","."),FIND("/",SUBSTITUTE(LEFT(TRIM(C570),FIND(" ",TRIM(C570)&amp;" ")-1),",","."))-1)/MID(SUBSTITUTE(LEFT(TRIM(C570),FIND(" ",TRIM(C570)&amp;" ")-1),",","."),FIND("/",SUBSTITUTE(LEFT(TRIM(C570),FIND(" ",TRIM(C570)&amp;" ")-1),",","."))+1,9))*12,NA()))),0),36)*'Aturan &amp; Tarif'!$B$4,2)</f>
        <v>2044.08</v>
      </c>
      <c r="K570" s="42" t="n">
        <f aca="false">'Aturan &amp; Tarif'!$B$5</f>
        <v>2050</v>
      </c>
      <c r="L570" s="35" t="n">
        <f aca="false">I570+J570+K570</f>
        <v>10144.08</v>
      </c>
      <c r="M570" s="44" t="s">
        <v>3157</v>
      </c>
    </row>
    <row r="571" customFormat="false" ht="25.5" hidden="false" customHeight="true" outlineLevel="0" collapsed="false">
      <c r="A571" s="39"/>
      <c r="B571" s="40" t="s">
        <v>3161</v>
      </c>
      <c r="C571" s="41" t="s">
        <v>127</v>
      </c>
      <c r="D571" s="41" t="s">
        <v>737</v>
      </c>
      <c r="E571" s="42" t="n">
        <v>5800</v>
      </c>
      <c r="F571" s="42"/>
      <c r="G571" s="42" t="n">
        <v>250</v>
      </c>
      <c r="H571" s="43" t="n">
        <v>1</v>
      </c>
      <c r="I571" s="34" t="n">
        <f aca="false">E571*H571+N(F571)+N(G571)</f>
        <v>6050</v>
      </c>
      <c r="J571" s="42" t="n">
        <f aca="false">ROUND(IFERROR(ROUND(IF(OR(ISNUMBER(SEARCH("week",C571)),ISNUMBER(SEARCH("minggu",C571))),IFERROR(_xlfn.NUMBERVALUE(SUBSTITUTE(LEFT(TRIM(C571),FIND(" ",TRIM(C571)&amp;" ")-1),",","."),"."),LEFT(SUBSTITUTE(LEFT(TRIM(C571),FIND(" ",TRIM(C571)&amp;" ")-1),",","."),FIND("/",SUBSTITUTE(LEFT(TRIM(C571),FIND(" ",TRIM(C571)&amp;" ")-1),",","."))-1)/MID(SUBSTITUTE(LEFT(TRIM(C571),FIND(" ",TRIM(C571)&amp;" ")-1),",","."),FIND("/",SUBSTITUTE(LEFT(TRIM(C571),FIND(" ",TRIM(C571)&amp;" ")-1),",","."))+1,9))*12/52,IF(ISNUMBER(SEARCH("month",C571)),IFERROR(_xlfn.NUMBERVALUE(SUBSTITUTE(LEFT(TRIM(C571),FIND(" ",TRIM(C571)&amp;" ")-1),",","."),"."),LEFT(SUBSTITUTE(LEFT(TRIM(C571),FIND(" ",TRIM(C571)&amp;" ")-1),",","."),FIND("/",SUBSTITUTE(LEFT(TRIM(C571),FIND(" ",TRIM(C571)&amp;" ")-1),",","."))-1)/MID(SUBSTITUTE(LEFT(TRIM(C571),FIND(" ",TRIM(C571)&amp;" ")-1),",","."),FIND("/",SUBSTITUTE(LEFT(TRIM(C571),FIND(" ",TRIM(C571)&amp;" ")-1),",","."))+1,9)),IF(ISNUMBER(SEARCH("yea",C571)),IFERROR(_xlfn.NUMBERVALUE(SUBSTITUTE(LEFT(TRIM(C571),FIND(" ",TRIM(C571)&amp;" ")-1),",","."),"."),LEFT(SUBSTITUTE(LEFT(TRIM(C571),FIND(" ",TRIM(C571)&amp;" ")-1),",","."),FIND("/",SUBSTITUTE(LEFT(TRIM(C571),FIND(" ",TRIM(C571)&amp;" ")-1),",","."))-1)/MID(SUBSTITUTE(LEFT(TRIM(C571),FIND(" ",TRIM(C571)&amp;" ")-1),",","."),FIND("/",SUBSTITUTE(LEFT(TRIM(C571),FIND(" ",TRIM(C571)&amp;" ")-1),",","."))+1,9))*12,NA()))),0),36)*'Aturan &amp; Tarif'!$B$4,2)</f>
        <v>2044.08</v>
      </c>
      <c r="K571" s="42" t="n">
        <f aca="false">'Aturan &amp; Tarif'!$B$5</f>
        <v>2050</v>
      </c>
      <c r="L571" s="35" t="n">
        <f aca="false">I571+J571+K571</f>
        <v>10144.08</v>
      </c>
      <c r="M571" s="44" t="s">
        <v>3157</v>
      </c>
    </row>
    <row r="572" customFormat="false" ht="15" hidden="false" customHeight="true" outlineLevel="0" collapsed="false">
      <c r="A572" s="39"/>
      <c r="B572" s="40" t="s">
        <v>3162</v>
      </c>
      <c r="C572" s="41" t="s">
        <v>127</v>
      </c>
      <c r="D572" s="41" t="s">
        <v>737</v>
      </c>
      <c r="E572" s="42" t="n">
        <v>5800</v>
      </c>
      <c r="F572" s="42"/>
      <c r="G572" s="42" t="n">
        <v>250</v>
      </c>
      <c r="H572" s="43" t="n">
        <v>1</v>
      </c>
      <c r="I572" s="34" t="n">
        <f aca="false">E572*H572+N(F572)+N(G572)</f>
        <v>6050</v>
      </c>
      <c r="J572" s="42" t="n">
        <f aca="false">ROUND(IFERROR(ROUND(IF(OR(ISNUMBER(SEARCH("week",C572)),ISNUMBER(SEARCH("minggu",C572))),IFERROR(_xlfn.NUMBERVALUE(SUBSTITUTE(LEFT(TRIM(C572),FIND(" ",TRIM(C572)&amp;" ")-1),",","."),"."),LEFT(SUBSTITUTE(LEFT(TRIM(C572),FIND(" ",TRIM(C572)&amp;" ")-1),",","."),FIND("/",SUBSTITUTE(LEFT(TRIM(C572),FIND(" ",TRIM(C572)&amp;" ")-1),",","."))-1)/MID(SUBSTITUTE(LEFT(TRIM(C572),FIND(" ",TRIM(C572)&amp;" ")-1),",","."),FIND("/",SUBSTITUTE(LEFT(TRIM(C572),FIND(" ",TRIM(C572)&amp;" ")-1),",","."))+1,9))*12/52,IF(ISNUMBER(SEARCH("month",C572)),IFERROR(_xlfn.NUMBERVALUE(SUBSTITUTE(LEFT(TRIM(C572),FIND(" ",TRIM(C572)&amp;" ")-1),",","."),"."),LEFT(SUBSTITUTE(LEFT(TRIM(C572),FIND(" ",TRIM(C572)&amp;" ")-1),",","."),FIND("/",SUBSTITUTE(LEFT(TRIM(C572),FIND(" ",TRIM(C572)&amp;" ")-1),",","."))-1)/MID(SUBSTITUTE(LEFT(TRIM(C572),FIND(" ",TRIM(C572)&amp;" ")-1),",","."),FIND("/",SUBSTITUTE(LEFT(TRIM(C572),FIND(" ",TRIM(C572)&amp;" ")-1),",","."))+1,9)),IF(ISNUMBER(SEARCH("yea",C572)),IFERROR(_xlfn.NUMBERVALUE(SUBSTITUTE(LEFT(TRIM(C572),FIND(" ",TRIM(C572)&amp;" ")-1),",","."),"."),LEFT(SUBSTITUTE(LEFT(TRIM(C572),FIND(" ",TRIM(C572)&amp;" ")-1),",","."),FIND("/",SUBSTITUTE(LEFT(TRIM(C572),FIND(" ",TRIM(C572)&amp;" ")-1),",","."))-1)/MID(SUBSTITUTE(LEFT(TRIM(C572),FIND(" ",TRIM(C572)&amp;" ")-1),",","."),FIND("/",SUBSTITUTE(LEFT(TRIM(C572),FIND(" ",TRIM(C572)&amp;" ")-1),",","."))+1,9))*12,NA()))),0),36)*'Aturan &amp; Tarif'!$B$4,2)</f>
        <v>2044.08</v>
      </c>
      <c r="K572" s="42" t="n">
        <f aca="false">'Aturan &amp; Tarif'!$B$5</f>
        <v>2050</v>
      </c>
      <c r="L572" s="35" t="n">
        <f aca="false">I572+J572+K572</f>
        <v>10144.08</v>
      </c>
      <c r="M572" s="44" t="s">
        <v>3157</v>
      </c>
    </row>
    <row r="573" customFormat="false" ht="12.75" hidden="false" customHeight="true" outlineLevel="0" collapsed="false">
      <c r="A573" s="39"/>
      <c r="B573" s="40" t="s">
        <v>3163</v>
      </c>
      <c r="C573" s="41" t="s">
        <v>127</v>
      </c>
      <c r="D573" s="41" t="s">
        <v>737</v>
      </c>
      <c r="E573" s="42" t="n">
        <v>5800</v>
      </c>
      <c r="F573" s="42"/>
      <c r="G573" s="42" t="n">
        <v>250</v>
      </c>
      <c r="H573" s="43" t="n">
        <v>1</v>
      </c>
      <c r="I573" s="34" t="n">
        <f aca="false">E573*H573+N(F573)+N(G573)</f>
        <v>6050</v>
      </c>
      <c r="J573" s="42" t="n">
        <f aca="false">ROUND(IFERROR(ROUND(IF(OR(ISNUMBER(SEARCH("week",C573)),ISNUMBER(SEARCH("minggu",C573))),IFERROR(_xlfn.NUMBERVALUE(SUBSTITUTE(LEFT(TRIM(C573),FIND(" ",TRIM(C573)&amp;" ")-1),",","."),"."),LEFT(SUBSTITUTE(LEFT(TRIM(C573),FIND(" ",TRIM(C573)&amp;" ")-1),",","."),FIND("/",SUBSTITUTE(LEFT(TRIM(C573),FIND(" ",TRIM(C573)&amp;" ")-1),",","."))-1)/MID(SUBSTITUTE(LEFT(TRIM(C573),FIND(" ",TRIM(C573)&amp;" ")-1),",","."),FIND("/",SUBSTITUTE(LEFT(TRIM(C573),FIND(" ",TRIM(C573)&amp;" ")-1),",","."))+1,9))*12/52,IF(ISNUMBER(SEARCH("month",C573)),IFERROR(_xlfn.NUMBERVALUE(SUBSTITUTE(LEFT(TRIM(C573),FIND(" ",TRIM(C573)&amp;" ")-1),",","."),"."),LEFT(SUBSTITUTE(LEFT(TRIM(C573),FIND(" ",TRIM(C573)&amp;" ")-1),",","."),FIND("/",SUBSTITUTE(LEFT(TRIM(C573),FIND(" ",TRIM(C573)&amp;" ")-1),",","."))-1)/MID(SUBSTITUTE(LEFT(TRIM(C573),FIND(" ",TRIM(C573)&amp;" ")-1),",","."),FIND("/",SUBSTITUTE(LEFT(TRIM(C573),FIND(" ",TRIM(C573)&amp;" ")-1),",","."))+1,9)),IF(ISNUMBER(SEARCH("yea",C573)),IFERROR(_xlfn.NUMBERVALUE(SUBSTITUTE(LEFT(TRIM(C573),FIND(" ",TRIM(C573)&amp;" ")-1),",","."),"."),LEFT(SUBSTITUTE(LEFT(TRIM(C573),FIND(" ",TRIM(C573)&amp;" ")-1),",","."),FIND("/",SUBSTITUTE(LEFT(TRIM(C573),FIND(" ",TRIM(C573)&amp;" ")-1),",","."))-1)/MID(SUBSTITUTE(LEFT(TRIM(C573),FIND(" ",TRIM(C573)&amp;" ")-1),",","."),FIND("/",SUBSTITUTE(LEFT(TRIM(C573),FIND(" ",TRIM(C573)&amp;" ")-1),",","."))+1,9))*12,NA()))),0),36)*'Aturan &amp; Tarif'!$B$4,2)</f>
        <v>2044.08</v>
      </c>
      <c r="K573" s="42" t="n">
        <f aca="false">'Aturan &amp; Tarif'!$B$5</f>
        <v>2050</v>
      </c>
      <c r="L573" s="35" t="n">
        <f aca="false">I573+J573+K573</f>
        <v>10144.08</v>
      </c>
      <c r="M573" s="44" t="s">
        <v>3157</v>
      </c>
    </row>
    <row r="574" customFormat="false" ht="12.75" hidden="false" customHeight="true" outlineLevel="0" collapsed="false">
      <c r="A574" s="39"/>
      <c r="B574" s="40" t="s">
        <v>3164</v>
      </c>
      <c r="C574" s="41" t="s">
        <v>127</v>
      </c>
      <c r="D574" s="41" t="s">
        <v>737</v>
      </c>
      <c r="E574" s="42" t="n">
        <v>5800</v>
      </c>
      <c r="F574" s="42"/>
      <c r="G574" s="42" t="n">
        <v>250</v>
      </c>
      <c r="H574" s="43" t="n">
        <v>1</v>
      </c>
      <c r="I574" s="34" t="n">
        <f aca="false">E574*H574+N(F574)+N(G574)</f>
        <v>6050</v>
      </c>
      <c r="J574" s="42" t="n">
        <f aca="false">ROUND(IFERROR(ROUND(IF(OR(ISNUMBER(SEARCH("week",C574)),ISNUMBER(SEARCH("minggu",C574))),IFERROR(_xlfn.NUMBERVALUE(SUBSTITUTE(LEFT(TRIM(C574),FIND(" ",TRIM(C574)&amp;" ")-1),",","."),"."),LEFT(SUBSTITUTE(LEFT(TRIM(C574),FIND(" ",TRIM(C574)&amp;" ")-1),",","."),FIND("/",SUBSTITUTE(LEFT(TRIM(C574),FIND(" ",TRIM(C574)&amp;" ")-1),",","."))-1)/MID(SUBSTITUTE(LEFT(TRIM(C574),FIND(" ",TRIM(C574)&amp;" ")-1),",","."),FIND("/",SUBSTITUTE(LEFT(TRIM(C574),FIND(" ",TRIM(C574)&amp;" ")-1),",","."))+1,9))*12/52,IF(ISNUMBER(SEARCH("month",C574)),IFERROR(_xlfn.NUMBERVALUE(SUBSTITUTE(LEFT(TRIM(C574),FIND(" ",TRIM(C574)&amp;" ")-1),",","."),"."),LEFT(SUBSTITUTE(LEFT(TRIM(C574),FIND(" ",TRIM(C574)&amp;" ")-1),",","."),FIND("/",SUBSTITUTE(LEFT(TRIM(C574),FIND(" ",TRIM(C574)&amp;" ")-1),",","."))-1)/MID(SUBSTITUTE(LEFT(TRIM(C574),FIND(" ",TRIM(C574)&amp;" ")-1),",","."),FIND("/",SUBSTITUTE(LEFT(TRIM(C574),FIND(" ",TRIM(C574)&amp;" ")-1),",","."))+1,9)),IF(ISNUMBER(SEARCH("yea",C574)),IFERROR(_xlfn.NUMBERVALUE(SUBSTITUTE(LEFT(TRIM(C574),FIND(" ",TRIM(C574)&amp;" ")-1),",","."),"."),LEFT(SUBSTITUTE(LEFT(TRIM(C574),FIND(" ",TRIM(C574)&amp;" ")-1),",","."),FIND("/",SUBSTITUTE(LEFT(TRIM(C574),FIND(" ",TRIM(C574)&amp;" ")-1),",","."))-1)/MID(SUBSTITUTE(LEFT(TRIM(C574),FIND(" ",TRIM(C574)&amp;" ")-1),",","."),FIND("/",SUBSTITUTE(LEFT(TRIM(C574),FIND(" ",TRIM(C574)&amp;" ")-1),",","."))+1,9))*12,NA()))),0),36)*'Aturan &amp; Tarif'!$B$4,2)</f>
        <v>2044.08</v>
      </c>
      <c r="K574" s="42" t="n">
        <f aca="false">'Aturan &amp; Tarif'!$B$5</f>
        <v>2050</v>
      </c>
      <c r="L574" s="35" t="n">
        <f aca="false">I574+J574+K574</f>
        <v>10144.08</v>
      </c>
      <c r="M574" s="44" t="s">
        <v>3157</v>
      </c>
    </row>
    <row r="575" customFormat="false" ht="12.75" hidden="false" customHeight="true" outlineLevel="0" collapsed="false">
      <c r="A575" s="39"/>
      <c r="B575" s="40" t="s">
        <v>3165</v>
      </c>
      <c r="C575" s="41" t="s">
        <v>127</v>
      </c>
      <c r="D575" s="41" t="s">
        <v>737</v>
      </c>
      <c r="E575" s="42" t="n">
        <v>5800</v>
      </c>
      <c r="F575" s="42"/>
      <c r="G575" s="42" t="n">
        <v>250</v>
      </c>
      <c r="H575" s="43" t="n">
        <v>1</v>
      </c>
      <c r="I575" s="34" t="n">
        <f aca="false">E575*H575+N(F575)+N(G575)</f>
        <v>6050</v>
      </c>
      <c r="J575" s="42" t="n">
        <f aca="false">ROUND(IFERROR(ROUND(IF(OR(ISNUMBER(SEARCH("week",C575)),ISNUMBER(SEARCH("minggu",C575))),IFERROR(_xlfn.NUMBERVALUE(SUBSTITUTE(LEFT(TRIM(C575),FIND(" ",TRIM(C575)&amp;" ")-1),",","."),"."),LEFT(SUBSTITUTE(LEFT(TRIM(C575),FIND(" ",TRIM(C575)&amp;" ")-1),",","."),FIND("/",SUBSTITUTE(LEFT(TRIM(C575),FIND(" ",TRIM(C575)&amp;" ")-1),",","."))-1)/MID(SUBSTITUTE(LEFT(TRIM(C575),FIND(" ",TRIM(C575)&amp;" ")-1),",","."),FIND("/",SUBSTITUTE(LEFT(TRIM(C575),FIND(" ",TRIM(C575)&amp;" ")-1),",","."))+1,9))*12/52,IF(ISNUMBER(SEARCH("month",C575)),IFERROR(_xlfn.NUMBERVALUE(SUBSTITUTE(LEFT(TRIM(C575),FIND(" ",TRIM(C575)&amp;" ")-1),",","."),"."),LEFT(SUBSTITUTE(LEFT(TRIM(C575),FIND(" ",TRIM(C575)&amp;" ")-1),",","."),FIND("/",SUBSTITUTE(LEFT(TRIM(C575),FIND(" ",TRIM(C575)&amp;" ")-1),",","."))-1)/MID(SUBSTITUTE(LEFT(TRIM(C575),FIND(" ",TRIM(C575)&amp;" ")-1),",","."),FIND("/",SUBSTITUTE(LEFT(TRIM(C575),FIND(" ",TRIM(C575)&amp;" ")-1),",","."))+1,9)),IF(ISNUMBER(SEARCH("yea",C575)),IFERROR(_xlfn.NUMBERVALUE(SUBSTITUTE(LEFT(TRIM(C575),FIND(" ",TRIM(C575)&amp;" ")-1),",","."),"."),LEFT(SUBSTITUTE(LEFT(TRIM(C575),FIND(" ",TRIM(C575)&amp;" ")-1),",","."),FIND("/",SUBSTITUTE(LEFT(TRIM(C575),FIND(" ",TRIM(C575)&amp;" ")-1),",","."))-1)/MID(SUBSTITUTE(LEFT(TRIM(C575),FIND(" ",TRIM(C575)&amp;" ")-1),",","."),FIND("/",SUBSTITUTE(LEFT(TRIM(C575),FIND(" ",TRIM(C575)&amp;" ")-1),",","."))+1,9))*12,NA()))),0),36)*'Aturan &amp; Tarif'!$B$4,2)</f>
        <v>2044.08</v>
      </c>
      <c r="K575" s="42" t="n">
        <f aca="false">'Aturan &amp; Tarif'!$B$5</f>
        <v>2050</v>
      </c>
      <c r="L575" s="35" t="n">
        <f aca="false">I575+J575+K575</f>
        <v>10144.08</v>
      </c>
      <c r="M575" s="44" t="s">
        <v>3157</v>
      </c>
    </row>
    <row r="576" customFormat="false" ht="12.75" hidden="false" customHeight="true" outlineLevel="0" collapsed="false">
      <c r="A576" s="39"/>
      <c r="B576" s="40" t="s">
        <v>3166</v>
      </c>
      <c r="C576" s="41" t="s">
        <v>127</v>
      </c>
      <c r="D576" s="41" t="s">
        <v>737</v>
      </c>
      <c r="E576" s="42" t="n">
        <v>5800</v>
      </c>
      <c r="F576" s="42"/>
      <c r="G576" s="42" t="n">
        <v>250</v>
      </c>
      <c r="H576" s="43" t="n">
        <v>1</v>
      </c>
      <c r="I576" s="34" t="n">
        <f aca="false">E576*H576+N(F576)+N(G576)</f>
        <v>6050</v>
      </c>
      <c r="J576" s="42" t="n">
        <f aca="false">ROUND(IFERROR(ROUND(IF(OR(ISNUMBER(SEARCH("week",C576)),ISNUMBER(SEARCH("minggu",C576))),IFERROR(_xlfn.NUMBERVALUE(SUBSTITUTE(LEFT(TRIM(C576),FIND(" ",TRIM(C576)&amp;" ")-1),",","."),"."),LEFT(SUBSTITUTE(LEFT(TRIM(C576),FIND(" ",TRIM(C576)&amp;" ")-1),",","."),FIND("/",SUBSTITUTE(LEFT(TRIM(C576),FIND(" ",TRIM(C576)&amp;" ")-1),",","."))-1)/MID(SUBSTITUTE(LEFT(TRIM(C576),FIND(" ",TRIM(C576)&amp;" ")-1),",","."),FIND("/",SUBSTITUTE(LEFT(TRIM(C576),FIND(" ",TRIM(C576)&amp;" ")-1),",","."))+1,9))*12/52,IF(ISNUMBER(SEARCH("month",C576)),IFERROR(_xlfn.NUMBERVALUE(SUBSTITUTE(LEFT(TRIM(C576),FIND(" ",TRIM(C576)&amp;" ")-1),",","."),"."),LEFT(SUBSTITUTE(LEFT(TRIM(C576),FIND(" ",TRIM(C576)&amp;" ")-1),",","."),FIND("/",SUBSTITUTE(LEFT(TRIM(C576),FIND(" ",TRIM(C576)&amp;" ")-1),",","."))-1)/MID(SUBSTITUTE(LEFT(TRIM(C576),FIND(" ",TRIM(C576)&amp;" ")-1),",","."),FIND("/",SUBSTITUTE(LEFT(TRIM(C576),FIND(" ",TRIM(C576)&amp;" ")-1),",","."))+1,9)),IF(ISNUMBER(SEARCH("yea",C576)),IFERROR(_xlfn.NUMBERVALUE(SUBSTITUTE(LEFT(TRIM(C576),FIND(" ",TRIM(C576)&amp;" ")-1),",","."),"."),LEFT(SUBSTITUTE(LEFT(TRIM(C576),FIND(" ",TRIM(C576)&amp;" ")-1),",","."),FIND("/",SUBSTITUTE(LEFT(TRIM(C576),FIND(" ",TRIM(C576)&amp;" ")-1),",","."))-1)/MID(SUBSTITUTE(LEFT(TRIM(C576),FIND(" ",TRIM(C576)&amp;" ")-1),",","."),FIND("/",SUBSTITUTE(LEFT(TRIM(C576),FIND(" ",TRIM(C576)&amp;" ")-1),",","."))+1,9))*12,NA()))),0),36)*'Aturan &amp; Tarif'!$B$4,2)</f>
        <v>2044.08</v>
      </c>
      <c r="K576" s="42" t="n">
        <f aca="false">'Aturan &amp; Tarif'!$B$5</f>
        <v>2050</v>
      </c>
      <c r="L576" s="35" t="n">
        <f aca="false">I576+J576+K576</f>
        <v>10144.08</v>
      </c>
      <c r="M576" s="44" t="s">
        <v>3157</v>
      </c>
    </row>
    <row r="577" customFormat="false" ht="12.75" hidden="false" customHeight="true" outlineLevel="0" collapsed="false">
      <c r="A577" s="39"/>
      <c r="B577" s="40" t="s">
        <v>3167</v>
      </c>
      <c r="C577" s="41" t="s">
        <v>127</v>
      </c>
      <c r="D577" s="41" t="s">
        <v>737</v>
      </c>
      <c r="E577" s="42" t="n">
        <v>6400</v>
      </c>
      <c r="F577" s="42"/>
      <c r="G577" s="42" t="n">
        <v>250</v>
      </c>
      <c r="H577" s="43" t="n">
        <v>1</v>
      </c>
      <c r="I577" s="34" t="n">
        <f aca="false">E577*H577+N(F577)+N(G577)</f>
        <v>6650</v>
      </c>
      <c r="J577" s="42" t="n">
        <f aca="false">ROUND(IFERROR(ROUND(IF(OR(ISNUMBER(SEARCH("week",C577)),ISNUMBER(SEARCH("minggu",C577))),IFERROR(_xlfn.NUMBERVALUE(SUBSTITUTE(LEFT(TRIM(C577),FIND(" ",TRIM(C577)&amp;" ")-1),",","."),"."),LEFT(SUBSTITUTE(LEFT(TRIM(C577),FIND(" ",TRIM(C577)&amp;" ")-1),",","."),FIND("/",SUBSTITUTE(LEFT(TRIM(C577),FIND(" ",TRIM(C577)&amp;" ")-1),",","."))-1)/MID(SUBSTITUTE(LEFT(TRIM(C577),FIND(" ",TRIM(C577)&amp;" ")-1),",","."),FIND("/",SUBSTITUTE(LEFT(TRIM(C577),FIND(" ",TRIM(C577)&amp;" ")-1),",","."))+1,9))*12/52,IF(ISNUMBER(SEARCH("month",C577)),IFERROR(_xlfn.NUMBERVALUE(SUBSTITUTE(LEFT(TRIM(C577),FIND(" ",TRIM(C577)&amp;" ")-1),",","."),"."),LEFT(SUBSTITUTE(LEFT(TRIM(C577),FIND(" ",TRIM(C577)&amp;" ")-1),",","."),FIND("/",SUBSTITUTE(LEFT(TRIM(C577),FIND(" ",TRIM(C577)&amp;" ")-1),",","."))-1)/MID(SUBSTITUTE(LEFT(TRIM(C577),FIND(" ",TRIM(C577)&amp;" ")-1),",","."),FIND("/",SUBSTITUTE(LEFT(TRIM(C577),FIND(" ",TRIM(C577)&amp;" ")-1),",","."))+1,9)),IF(ISNUMBER(SEARCH("yea",C577)),IFERROR(_xlfn.NUMBERVALUE(SUBSTITUTE(LEFT(TRIM(C577),FIND(" ",TRIM(C577)&amp;" ")-1),",","."),"."),LEFT(SUBSTITUTE(LEFT(TRIM(C577),FIND(" ",TRIM(C577)&amp;" ")-1),",","."),FIND("/",SUBSTITUTE(LEFT(TRIM(C577),FIND(" ",TRIM(C577)&amp;" ")-1),",","."))-1)/MID(SUBSTITUTE(LEFT(TRIM(C577),FIND(" ",TRIM(C577)&amp;" ")-1),",","."),FIND("/",SUBSTITUTE(LEFT(TRIM(C577),FIND(" ",TRIM(C577)&amp;" ")-1),",","."))+1,9))*12,NA()))),0),36)*'Aturan &amp; Tarif'!$B$4,2)</f>
        <v>2044.08</v>
      </c>
      <c r="K577" s="42" t="n">
        <f aca="false">'Aturan &amp; Tarif'!$B$5</f>
        <v>2050</v>
      </c>
      <c r="L577" s="35" t="n">
        <f aca="false">I577+J577+K577</f>
        <v>10744.08</v>
      </c>
      <c r="M577" s="44" t="s">
        <v>3168</v>
      </c>
    </row>
    <row r="578" customFormat="false" ht="12.75" hidden="false" customHeight="true" outlineLevel="0" collapsed="false">
      <c r="A578" s="39"/>
      <c r="B578" s="40" t="s">
        <v>3169</v>
      </c>
      <c r="C578" s="41" t="s">
        <v>127</v>
      </c>
      <c r="D578" s="41" t="s">
        <v>737</v>
      </c>
      <c r="E578" s="42" t="n">
        <v>6400</v>
      </c>
      <c r="F578" s="42"/>
      <c r="G578" s="42" t="n">
        <v>250</v>
      </c>
      <c r="H578" s="43" t="n">
        <v>1</v>
      </c>
      <c r="I578" s="34" t="n">
        <f aca="false">E578*H578+N(F578)+N(G578)</f>
        <v>6650</v>
      </c>
      <c r="J578" s="42" t="n">
        <f aca="false">ROUND(IFERROR(ROUND(IF(OR(ISNUMBER(SEARCH("week",C578)),ISNUMBER(SEARCH("minggu",C578))),IFERROR(_xlfn.NUMBERVALUE(SUBSTITUTE(LEFT(TRIM(C578),FIND(" ",TRIM(C578)&amp;" ")-1),",","."),"."),LEFT(SUBSTITUTE(LEFT(TRIM(C578),FIND(" ",TRIM(C578)&amp;" ")-1),",","."),FIND("/",SUBSTITUTE(LEFT(TRIM(C578),FIND(" ",TRIM(C578)&amp;" ")-1),",","."))-1)/MID(SUBSTITUTE(LEFT(TRIM(C578),FIND(" ",TRIM(C578)&amp;" ")-1),",","."),FIND("/",SUBSTITUTE(LEFT(TRIM(C578),FIND(" ",TRIM(C578)&amp;" ")-1),",","."))+1,9))*12/52,IF(ISNUMBER(SEARCH("month",C578)),IFERROR(_xlfn.NUMBERVALUE(SUBSTITUTE(LEFT(TRIM(C578),FIND(" ",TRIM(C578)&amp;" ")-1),",","."),"."),LEFT(SUBSTITUTE(LEFT(TRIM(C578),FIND(" ",TRIM(C578)&amp;" ")-1),",","."),FIND("/",SUBSTITUTE(LEFT(TRIM(C578),FIND(" ",TRIM(C578)&amp;" ")-1),",","."))-1)/MID(SUBSTITUTE(LEFT(TRIM(C578),FIND(" ",TRIM(C578)&amp;" ")-1),",","."),FIND("/",SUBSTITUTE(LEFT(TRIM(C578),FIND(" ",TRIM(C578)&amp;" ")-1),",","."))+1,9)),IF(ISNUMBER(SEARCH("yea",C578)),IFERROR(_xlfn.NUMBERVALUE(SUBSTITUTE(LEFT(TRIM(C578),FIND(" ",TRIM(C578)&amp;" ")-1),",","."),"."),LEFT(SUBSTITUTE(LEFT(TRIM(C578),FIND(" ",TRIM(C578)&amp;" ")-1),",","."),FIND("/",SUBSTITUTE(LEFT(TRIM(C578),FIND(" ",TRIM(C578)&amp;" ")-1),",","."))-1)/MID(SUBSTITUTE(LEFT(TRIM(C578),FIND(" ",TRIM(C578)&amp;" ")-1),",","."),FIND("/",SUBSTITUTE(LEFT(TRIM(C578),FIND(" ",TRIM(C578)&amp;" ")-1),",","."))+1,9))*12,NA()))),0),36)*'Aturan &amp; Tarif'!$B$4,2)</f>
        <v>2044.08</v>
      </c>
      <c r="K578" s="42" t="n">
        <f aca="false">'Aturan &amp; Tarif'!$B$5</f>
        <v>2050</v>
      </c>
      <c r="L578" s="35" t="n">
        <f aca="false">I578+J578+K578</f>
        <v>10744.08</v>
      </c>
      <c r="M578" s="44" t="s">
        <v>3168</v>
      </c>
    </row>
    <row r="579" customFormat="false" ht="12.75" hidden="false" customHeight="true" outlineLevel="0" collapsed="false">
      <c r="A579" s="39"/>
      <c r="B579" s="40" t="s">
        <v>3170</v>
      </c>
      <c r="C579" s="41" t="s">
        <v>127</v>
      </c>
      <c r="D579" s="41" t="s">
        <v>737</v>
      </c>
      <c r="E579" s="42" t="n">
        <v>6400</v>
      </c>
      <c r="F579" s="42"/>
      <c r="G579" s="42" t="n">
        <v>250</v>
      </c>
      <c r="H579" s="43" t="n">
        <v>1</v>
      </c>
      <c r="I579" s="34" t="n">
        <f aca="false">E579*H579+N(F579)+N(G579)</f>
        <v>6650</v>
      </c>
      <c r="J579" s="42" t="n">
        <f aca="false">ROUND(IFERROR(ROUND(IF(OR(ISNUMBER(SEARCH("week",C579)),ISNUMBER(SEARCH("minggu",C579))),IFERROR(_xlfn.NUMBERVALUE(SUBSTITUTE(LEFT(TRIM(C579),FIND(" ",TRIM(C579)&amp;" ")-1),",","."),"."),LEFT(SUBSTITUTE(LEFT(TRIM(C579),FIND(" ",TRIM(C579)&amp;" ")-1),",","."),FIND("/",SUBSTITUTE(LEFT(TRIM(C579),FIND(" ",TRIM(C579)&amp;" ")-1),",","."))-1)/MID(SUBSTITUTE(LEFT(TRIM(C579),FIND(" ",TRIM(C579)&amp;" ")-1),",","."),FIND("/",SUBSTITUTE(LEFT(TRIM(C579),FIND(" ",TRIM(C579)&amp;" ")-1),",","."))+1,9))*12/52,IF(ISNUMBER(SEARCH("month",C579)),IFERROR(_xlfn.NUMBERVALUE(SUBSTITUTE(LEFT(TRIM(C579),FIND(" ",TRIM(C579)&amp;" ")-1),",","."),"."),LEFT(SUBSTITUTE(LEFT(TRIM(C579),FIND(" ",TRIM(C579)&amp;" ")-1),",","."),FIND("/",SUBSTITUTE(LEFT(TRIM(C579),FIND(" ",TRIM(C579)&amp;" ")-1),",","."))-1)/MID(SUBSTITUTE(LEFT(TRIM(C579),FIND(" ",TRIM(C579)&amp;" ")-1),",","."),FIND("/",SUBSTITUTE(LEFT(TRIM(C579),FIND(" ",TRIM(C579)&amp;" ")-1),",","."))+1,9)),IF(ISNUMBER(SEARCH("yea",C579)),IFERROR(_xlfn.NUMBERVALUE(SUBSTITUTE(LEFT(TRIM(C579),FIND(" ",TRIM(C579)&amp;" ")-1),",","."),"."),LEFT(SUBSTITUTE(LEFT(TRIM(C579),FIND(" ",TRIM(C579)&amp;" ")-1),",","."),FIND("/",SUBSTITUTE(LEFT(TRIM(C579),FIND(" ",TRIM(C579)&amp;" ")-1),",","."))-1)/MID(SUBSTITUTE(LEFT(TRIM(C579),FIND(" ",TRIM(C579)&amp;" ")-1),",","."),FIND("/",SUBSTITUTE(LEFT(TRIM(C579),FIND(" ",TRIM(C579)&amp;" ")-1),",","."))+1,9))*12,NA()))),0),36)*'Aturan &amp; Tarif'!$B$4,2)</f>
        <v>2044.08</v>
      </c>
      <c r="K579" s="42" t="n">
        <f aca="false">'Aturan &amp; Tarif'!$B$5</f>
        <v>2050</v>
      </c>
      <c r="L579" s="35" t="n">
        <f aca="false">I579+J579+K579</f>
        <v>10744.08</v>
      </c>
      <c r="M579" s="44" t="s">
        <v>3168</v>
      </c>
    </row>
    <row r="580" customFormat="false" ht="12.75" hidden="false" customHeight="true" outlineLevel="0" collapsed="false">
      <c r="A580" s="39"/>
      <c r="B580" s="40" t="s">
        <v>3171</v>
      </c>
      <c r="C580" s="41" t="s">
        <v>127</v>
      </c>
      <c r="D580" s="41" t="s">
        <v>737</v>
      </c>
      <c r="E580" s="42" t="n">
        <v>6400</v>
      </c>
      <c r="F580" s="42"/>
      <c r="G580" s="42" t="n">
        <v>250</v>
      </c>
      <c r="H580" s="43" t="n">
        <v>1</v>
      </c>
      <c r="I580" s="34" t="n">
        <f aca="false">E580*H580+N(F580)+N(G580)</f>
        <v>6650</v>
      </c>
      <c r="J580" s="42" t="n">
        <f aca="false">ROUND(IFERROR(ROUND(IF(OR(ISNUMBER(SEARCH("week",C580)),ISNUMBER(SEARCH("minggu",C580))),IFERROR(_xlfn.NUMBERVALUE(SUBSTITUTE(LEFT(TRIM(C580),FIND(" ",TRIM(C580)&amp;" ")-1),",","."),"."),LEFT(SUBSTITUTE(LEFT(TRIM(C580),FIND(" ",TRIM(C580)&amp;" ")-1),",","."),FIND("/",SUBSTITUTE(LEFT(TRIM(C580),FIND(" ",TRIM(C580)&amp;" ")-1),",","."))-1)/MID(SUBSTITUTE(LEFT(TRIM(C580),FIND(" ",TRIM(C580)&amp;" ")-1),",","."),FIND("/",SUBSTITUTE(LEFT(TRIM(C580),FIND(" ",TRIM(C580)&amp;" ")-1),",","."))+1,9))*12/52,IF(ISNUMBER(SEARCH("month",C580)),IFERROR(_xlfn.NUMBERVALUE(SUBSTITUTE(LEFT(TRIM(C580),FIND(" ",TRIM(C580)&amp;" ")-1),",","."),"."),LEFT(SUBSTITUTE(LEFT(TRIM(C580),FIND(" ",TRIM(C580)&amp;" ")-1),",","."),FIND("/",SUBSTITUTE(LEFT(TRIM(C580),FIND(" ",TRIM(C580)&amp;" ")-1),",","."))-1)/MID(SUBSTITUTE(LEFT(TRIM(C580),FIND(" ",TRIM(C580)&amp;" ")-1),",","."),FIND("/",SUBSTITUTE(LEFT(TRIM(C580),FIND(" ",TRIM(C580)&amp;" ")-1),",","."))+1,9)),IF(ISNUMBER(SEARCH("yea",C580)),IFERROR(_xlfn.NUMBERVALUE(SUBSTITUTE(LEFT(TRIM(C580),FIND(" ",TRIM(C580)&amp;" ")-1),",","."),"."),LEFT(SUBSTITUTE(LEFT(TRIM(C580),FIND(" ",TRIM(C580)&amp;" ")-1),",","."),FIND("/",SUBSTITUTE(LEFT(TRIM(C580),FIND(" ",TRIM(C580)&amp;" ")-1),",","."))-1)/MID(SUBSTITUTE(LEFT(TRIM(C580),FIND(" ",TRIM(C580)&amp;" ")-1),",","."),FIND("/",SUBSTITUTE(LEFT(TRIM(C580),FIND(" ",TRIM(C580)&amp;" ")-1),",","."))+1,9))*12,NA()))),0),36)*'Aturan &amp; Tarif'!$B$4,2)</f>
        <v>2044.08</v>
      </c>
      <c r="K580" s="42" t="n">
        <f aca="false">'Aturan &amp; Tarif'!$B$5</f>
        <v>2050</v>
      </c>
      <c r="L580" s="35" t="n">
        <f aca="false">I580+J580+K580</f>
        <v>10744.08</v>
      </c>
      <c r="M580" s="44" t="s">
        <v>3168</v>
      </c>
    </row>
    <row r="581" customFormat="false" ht="12.75" hidden="false" customHeight="true" outlineLevel="0" collapsed="false">
      <c r="A581" s="39"/>
      <c r="B581" s="40" t="s">
        <v>3172</v>
      </c>
      <c r="C581" s="41" t="s">
        <v>127</v>
      </c>
      <c r="D581" s="41" t="s">
        <v>737</v>
      </c>
      <c r="E581" s="42" t="n">
        <v>6400</v>
      </c>
      <c r="F581" s="42"/>
      <c r="G581" s="42" t="n">
        <v>250</v>
      </c>
      <c r="H581" s="43" t="n">
        <v>1</v>
      </c>
      <c r="I581" s="34" t="n">
        <f aca="false">E581*H581+N(F581)+N(G581)</f>
        <v>6650</v>
      </c>
      <c r="J581" s="42" t="n">
        <f aca="false">ROUND(IFERROR(ROUND(IF(OR(ISNUMBER(SEARCH("week",C581)),ISNUMBER(SEARCH("minggu",C581))),IFERROR(_xlfn.NUMBERVALUE(SUBSTITUTE(LEFT(TRIM(C581),FIND(" ",TRIM(C581)&amp;" ")-1),",","."),"."),LEFT(SUBSTITUTE(LEFT(TRIM(C581),FIND(" ",TRIM(C581)&amp;" ")-1),",","."),FIND("/",SUBSTITUTE(LEFT(TRIM(C581),FIND(" ",TRIM(C581)&amp;" ")-1),",","."))-1)/MID(SUBSTITUTE(LEFT(TRIM(C581),FIND(" ",TRIM(C581)&amp;" ")-1),",","."),FIND("/",SUBSTITUTE(LEFT(TRIM(C581),FIND(" ",TRIM(C581)&amp;" ")-1),",","."))+1,9))*12/52,IF(ISNUMBER(SEARCH("month",C581)),IFERROR(_xlfn.NUMBERVALUE(SUBSTITUTE(LEFT(TRIM(C581),FIND(" ",TRIM(C581)&amp;" ")-1),",","."),"."),LEFT(SUBSTITUTE(LEFT(TRIM(C581),FIND(" ",TRIM(C581)&amp;" ")-1),",","."),FIND("/",SUBSTITUTE(LEFT(TRIM(C581),FIND(" ",TRIM(C581)&amp;" ")-1),",","."))-1)/MID(SUBSTITUTE(LEFT(TRIM(C581),FIND(" ",TRIM(C581)&amp;" ")-1),",","."),FIND("/",SUBSTITUTE(LEFT(TRIM(C581),FIND(" ",TRIM(C581)&amp;" ")-1),",","."))+1,9)),IF(ISNUMBER(SEARCH("yea",C581)),IFERROR(_xlfn.NUMBERVALUE(SUBSTITUTE(LEFT(TRIM(C581),FIND(" ",TRIM(C581)&amp;" ")-1),",","."),"."),LEFT(SUBSTITUTE(LEFT(TRIM(C581),FIND(" ",TRIM(C581)&amp;" ")-1),",","."),FIND("/",SUBSTITUTE(LEFT(TRIM(C581),FIND(" ",TRIM(C581)&amp;" ")-1),",","."))-1)/MID(SUBSTITUTE(LEFT(TRIM(C581),FIND(" ",TRIM(C581)&amp;" ")-1),",","."),FIND("/",SUBSTITUTE(LEFT(TRIM(C581),FIND(" ",TRIM(C581)&amp;" ")-1),",","."))+1,9))*12,NA()))),0),36)*'Aturan &amp; Tarif'!$B$4,2)</f>
        <v>2044.08</v>
      </c>
      <c r="K581" s="42" t="n">
        <f aca="false">'Aturan &amp; Tarif'!$B$5</f>
        <v>2050</v>
      </c>
      <c r="L581" s="35" t="n">
        <f aca="false">I581+J581+K581</f>
        <v>10744.08</v>
      </c>
      <c r="M581" s="44" t="s">
        <v>3168</v>
      </c>
    </row>
    <row r="582" customFormat="false" ht="12.75" hidden="false" customHeight="true" outlineLevel="0" collapsed="false">
      <c r="A582" s="39"/>
      <c r="B582" s="40" t="s">
        <v>3173</v>
      </c>
      <c r="C582" s="41" t="s">
        <v>107</v>
      </c>
      <c r="D582" s="41" t="s">
        <v>737</v>
      </c>
      <c r="E582" s="42" t="n">
        <v>7000</v>
      </c>
      <c r="F582" s="42"/>
      <c r="G582" s="42" t="n">
        <v>250</v>
      </c>
      <c r="H582" s="43" t="n">
        <v>1</v>
      </c>
      <c r="I582" s="34" t="n">
        <f aca="false">E582*H582+N(F582)+N(G582)</f>
        <v>7250</v>
      </c>
      <c r="J582" s="42" t="n">
        <f aca="false">ROUND(IFERROR(ROUND(IF(OR(ISNUMBER(SEARCH("week",C582)),ISNUMBER(SEARCH("minggu",C582))),IFERROR(_xlfn.NUMBERVALUE(SUBSTITUTE(LEFT(TRIM(C582),FIND(" ",TRIM(C582)&amp;" ")-1),",","."),"."),LEFT(SUBSTITUTE(LEFT(TRIM(C582),FIND(" ",TRIM(C582)&amp;" ")-1),",","."),FIND("/",SUBSTITUTE(LEFT(TRIM(C582),FIND(" ",TRIM(C582)&amp;" ")-1),",","."))-1)/MID(SUBSTITUTE(LEFT(TRIM(C582),FIND(" ",TRIM(C582)&amp;" ")-1),",","."),FIND("/",SUBSTITUTE(LEFT(TRIM(C582),FIND(" ",TRIM(C582)&amp;" ")-1),",","."))+1,9))*12/52,IF(ISNUMBER(SEARCH("month",C582)),IFERROR(_xlfn.NUMBERVALUE(SUBSTITUTE(LEFT(TRIM(C582),FIND(" ",TRIM(C582)&amp;" ")-1),",","."),"."),LEFT(SUBSTITUTE(LEFT(TRIM(C582),FIND(" ",TRIM(C582)&amp;" ")-1),",","."),FIND("/",SUBSTITUTE(LEFT(TRIM(C582),FIND(" ",TRIM(C582)&amp;" ")-1),",","."))-1)/MID(SUBSTITUTE(LEFT(TRIM(C582),FIND(" ",TRIM(C582)&amp;" ")-1),",","."),FIND("/",SUBSTITUTE(LEFT(TRIM(C582),FIND(" ",TRIM(C582)&amp;" ")-1),",","."))+1,9)),IF(ISNUMBER(SEARCH("yea",C582)),IFERROR(_xlfn.NUMBERVALUE(SUBSTITUTE(LEFT(TRIM(C582),FIND(" ",TRIM(C582)&amp;" ")-1),",","."),"."),LEFT(SUBSTITUTE(LEFT(TRIM(C582),FIND(" ",TRIM(C582)&amp;" ")-1),",","."),FIND("/",SUBSTITUTE(LEFT(TRIM(C582),FIND(" ",TRIM(C582)&amp;" ")-1),",","."))-1)/MID(SUBSTITUTE(LEFT(TRIM(C582),FIND(" ",TRIM(C582)&amp;" ")-1),",","."),FIND("/",SUBSTITUTE(LEFT(TRIM(C582),FIND(" ",TRIM(C582)&amp;" ")-1),",","."))+1,9))*12,NA()))),0),24)*'Aturan &amp; Tarif'!$B$4,2)</f>
        <v>1362.72</v>
      </c>
      <c r="K582" s="42" t="n">
        <f aca="false">'Aturan &amp; Tarif'!$B$5</f>
        <v>2050</v>
      </c>
      <c r="L582" s="35" t="n">
        <f aca="false">I582+J582+K582</f>
        <v>10662.72</v>
      </c>
      <c r="M582" s="44" t="s">
        <v>3174</v>
      </c>
    </row>
    <row r="583" customFormat="false" ht="12.75" hidden="false" customHeight="true" outlineLevel="0" collapsed="false">
      <c r="A583" s="39"/>
      <c r="B583" s="40" t="s">
        <v>3175</v>
      </c>
      <c r="C583" s="41" t="s">
        <v>107</v>
      </c>
      <c r="D583" s="41" t="s">
        <v>737</v>
      </c>
      <c r="E583" s="42" t="n">
        <v>7000</v>
      </c>
      <c r="F583" s="42"/>
      <c r="G583" s="42" t="n">
        <v>250</v>
      </c>
      <c r="H583" s="43" t="n">
        <v>1</v>
      </c>
      <c r="I583" s="34" t="n">
        <f aca="false">E583*H583+N(F583)+N(G583)</f>
        <v>7250</v>
      </c>
      <c r="J583" s="42" t="n">
        <f aca="false">ROUND(IFERROR(ROUND(IF(OR(ISNUMBER(SEARCH("week",C583)),ISNUMBER(SEARCH("minggu",C583))),IFERROR(_xlfn.NUMBERVALUE(SUBSTITUTE(LEFT(TRIM(C583),FIND(" ",TRIM(C583)&amp;" ")-1),",","."),"."),LEFT(SUBSTITUTE(LEFT(TRIM(C583),FIND(" ",TRIM(C583)&amp;" ")-1),",","."),FIND("/",SUBSTITUTE(LEFT(TRIM(C583),FIND(" ",TRIM(C583)&amp;" ")-1),",","."))-1)/MID(SUBSTITUTE(LEFT(TRIM(C583),FIND(" ",TRIM(C583)&amp;" ")-1),",","."),FIND("/",SUBSTITUTE(LEFT(TRIM(C583),FIND(" ",TRIM(C583)&amp;" ")-1),",","."))+1,9))*12/52,IF(ISNUMBER(SEARCH("month",C583)),IFERROR(_xlfn.NUMBERVALUE(SUBSTITUTE(LEFT(TRIM(C583),FIND(" ",TRIM(C583)&amp;" ")-1),",","."),"."),LEFT(SUBSTITUTE(LEFT(TRIM(C583),FIND(" ",TRIM(C583)&amp;" ")-1),",","."),FIND("/",SUBSTITUTE(LEFT(TRIM(C583),FIND(" ",TRIM(C583)&amp;" ")-1),",","."))-1)/MID(SUBSTITUTE(LEFT(TRIM(C583),FIND(" ",TRIM(C583)&amp;" ")-1),",","."),FIND("/",SUBSTITUTE(LEFT(TRIM(C583),FIND(" ",TRIM(C583)&amp;" ")-1),",","."))+1,9)),IF(ISNUMBER(SEARCH("yea",C583)),IFERROR(_xlfn.NUMBERVALUE(SUBSTITUTE(LEFT(TRIM(C583),FIND(" ",TRIM(C583)&amp;" ")-1),",","."),"."),LEFT(SUBSTITUTE(LEFT(TRIM(C583),FIND(" ",TRIM(C583)&amp;" ")-1),",","."),FIND("/",SUBSTITUTE(LEFT(TRIM(C583),FIND(" ",TRIM(C583)&amp;" ")-1),",","."))-1)/MID(SUBSTITUTE(LEFT(TRIM(C583),FIND(" ",TRIM(C583)&amp;" ")-1),",","."),FIND("/",SUBSTITUTE(LEFT(TRIM(C583),FIND(" ",TRIM(C583)&amp;" ")-1),",","."))+1,9))*12,NA()))),0),24)*'Aturan &amp; Tarif'!$B$4,2)</f>
        <v>1362.72</v>
      </c>
      <c r="K583" s="42" t="n">
        <f aca="false">'Aturan &amp; Tarif'!$B$5</f>
        <v>2050</v>
      </c>
      <c r="L583" s="35" t="n">
        <f aca="false">I583+J583+K583</f>
        <v>10662.72</v>
      </c>
      <c r="M583" s="44" t="s">
        <v>3174</v>
      </c>
    </row>
    <row r="584" customFormat="false" ht="25.5" hidden="false" customHeight="true" outlineLevel="0" collapsed="false">
      <c r="A584" s="39" t="s">
        <v>2150</v>
      </c>
      <c r="B584" s="40" t="s">
        <v>3176</v>
      </c>
      <c r="C584" s="41" t="s">
        <v>107</v>
      </c>
      <c r="D584" s="41" t="s">
        <v>108</v>
      </c>
      <c r="E584" s="42" t="n">
        <v>1300</v>
      </c>
      <c r="F584" s="42" t="n">
        <v>1500</v>
      </c>
      <c r="G584" s="42" t="n">
        <v>250</v>
      </c>
      <c r="H584" s="43" t="n">
        <v>1</v>
      </c>
      <c r="I584" s="34" t="n">
        <f aca="false">E584*H584+N(F584)+N(G584)</f>
        <v>3050</v>
      </c>
      <c r="J584" s="42" t="n">
        <f aca="false">ROUND(IFERROR(ROUND(IF(OR(ISNUMBER(SEARCH("week",C584)),ISNUMBER(SEARCH("minggu",C584))),IFERROR(_xlfn.NUMBERVALUE(SUBSTITUTE(LEFT(TRIM(C584),FIND(" ",TRIM(C584)&amp;" ")-1),",","."),"."),LEFT(SUBSTITUTE(LEFT(TRIM(C584),FIND(" ",TRIM(C584)&amp;" ")-1),",","."),FIND("/",SUBSTITUTE(LEFT(TRIM(C584),FIND(" ",TRIM(C584)&amp;" ")-1),",","."))-1)/MID(SUBSTITUTE(LEFT(TRIM(C584),FIND(" ",TRIM(C584)&amp;" ")-1),",","."),FIND("/",SUBSTITUTE(LEFT(TRIM(C584),FIND(" ",TRIM(C584)&amp;" ")-1),",","."))+1,9))*12/52,IF(ISNUMBER(SEARCH("month",C584)),IFERROR(_xlfn.NUMBERVALUE(SUBSTITUTE(LEFT(TRIM(C584),FIND(" ",TRIM(C584)&amp;" ")-1),",","."),"."),LEFT(SUBSTITUTE(LEFT(TRIM(C584),FIND(" ",TRIM(C584)&amp;" ")-1),",","."),FIND("/",SUBSTITUTE(LEFT(TRIM(C584),FIND(" ",TRIM(C584)&amp;" ")-1),",","."))-1)/MID(SUBSTITUTE(LEFT(TRIM(C584),FIND(" ",TRIM(C584)&amp;" ")-1),",","."),FIND("/",SUBSTITUTE(LEFT(TRIM(C584),FIND(" ",TRIM(C584)&amp;" ")-1),",","."))+1,9)),IF(ISNUMBER(SEARCH("yea",C584)),IFERROR(_xlfn.NUMBERVALUE(SUBSTITUTE(LEFT(TRIM(C584),FIND(" ",TRIM(C584)&amp;" ")-1),",","."),"."),LEFT(SUBSTITUTE(LEFT(TRIM(C584),FIND(" ",TRIM(C584)&amp;" ")-1),",","."),FIND("/",SUBSTITUTE(LEFT(TRIM(C584),FIND(" ",TRIM(C584)&amp;" ")-1),",","."))-1)/MID(SUBSTITUTE(LEFT(TRIM(C584),FIND(" ",TRIM(C584)&amp;" ")-1),",","."),FIND("/",SUBSTITUTE(LEFT(TRIM(C584),FIND(" ",TRIM(C584)&amp;" ")-1),",","."))+1,9))*12,NA()))),0),24)*'Aturan &amp; Tarif'!$B$4,2)</f>
        <v>1362.72</v>
      </c>
      <c r="K584" s="42" t="n">
        <f aca="false">'Aturan &amp; Tarif'!$B$5</f>
        <v>2050</v>
      </c>
      <c r="L584" s="35" t="n">
        <f aca="false">I584+J584+K584</f>
        <v>6462.72</v>
      </c>
      <c r="M584" s="44" t="s">
        <v>3177</v>
      </c>
    </row>
    <row r="585" customFormat="false" ht="48.75" hidden="false" customHeight="true" outlineLevel="0" collapsed="false">
      <c r="A585" s="39"/>
      <c r="B585" s="40" t="s">
        <v>3178</v>
      </c>
      <c r="C585" s="41" t="s">
        <v>138</v>
      </c>
      <c r="D585" s="41" t="s">
        <v>108</v>
      </c>
      <c r="E585" s="42" t="n">
        <v>2300</v>
      </c>
      <c r="F585" s="42" t="n">
        <v>1500</v>
      </c>
      <c r="G585" s="42" t="n">
        <v>250</v>
      </c>
      <c r="H585" s="43" t="n">
        <v>1</v>
      </c>
      <c r="I585" s="34" t="n">
        <f aca="false">E585*H585+N(F585)+N(G585)</f>
        <v>4050</v>
      </c>
      <c r="J585" s="42" t="n">
        <f aca="false">ROUND(IFERROR(ROUND(IF(OR(ISNUMBER(SEARCH("week",C585)),ISNUMBER(SEARCH("minggu",C585))),IFERROR(_xlfn.NUMBERVALUE(SUBSTITUTE(LEFT(TRIM(C585),FIND(" ",TRIM(C585)&amp;" ")-1),",","."),"."),LEFT(SUBSTITUTE(LEFT(TRIM(C585),FIND(" ",TRIM(C585)&amp;" ")-1),",","."),FIND("/",SUBSTITUTE(LEFT(TRIM(C585),FIND(" ",TRIM(C585)&amp;" ")-1),",","."))-1)/MID(SUBSTITUTE(LEFT(TRIM(C585),FIND(" ",TRIM(C585)&amp;" ")-1),",","."),FIND("/",SUBSTITUTE(LEFT(TRIM(C585),FIND(" ",TRIM(C585)&amp;" ")-1),",","."))+1,9))*12/52,IF(ISNUMBER(SEARCH("month",C585)),IFERROR(_xlfn.NUMBERVALUE(SUBSTITUTE(LEFT(TRIM(C585),FIND(" ",TRIM(C585)&amp;" ")-1),",","."),"."),LEFT(SUBSTITUTE(LEFT(TRIM(C585),FIND(" ",TRIM(C585)&amp;" ")-1),",","."),FIND("/",SUBSTITUTE(LEFT(TRIM(C585),FIND(" ",TRIM(C585)&amp;" ")-1),",","."))-1)/MID(SUBSTITUTE(LEFT(TRIM(C585),FIND(" ",TRIM(C585)&amp;" ")-1),",","."),FIND("/",SUBSTITUTE(LEFT(TRIM(C585),FIND(" ",TRIM(C585)&amp;" ")-1),",","."))+1,9)),IF(ISNUMBER(SEARCH("yea",C585)),IFERROR(_xlfn.NUMBERVALUE(SUBSTITUTE(LEFT(TRIM(C585),FIND(" ",TRIM(C585)&amp;" ")-1),",","."),"."),LEFT(SUBSTITUTE(LEFT(TRIM(C585),FIND(" ",TRIM(C585)&amp;" ")-1),",","."),FIND("/",SUBSTITUTE(LEFT(TRIM(C585),FIND(" ",TRIM(C585)&amp;" ")-1),",","."))-1)/MID(SUBSTITUTE(LEFT(TRIM(C585),FIND(" ",TRIM(C585)&amp;" ")-1),",","."),FIND("/",SUBSTITUTE(LEFT(TRIM(C585),FIND(" ",TRIM(C585)&amp;" ")-1),",","."))+1,9))*12,NA()))),0),30)*'Aturan &amp; Tarif'!$B$4,2)</f>
        <v>1703.4</v>
      </c>
      <c r="K585" s="42" t="n">
        <f aca="false">'Aturan &amp; Tarif'!$B$5</f>
        <v>2050</v>
      </c>
      <c r="L585" s="35" t="n">
        <f aca="false">I585+J585+K585</f>
        <v>7803.4</v>
      </c>
      <c r="M585" s="44" t="s">
        <v>3177</v>
      </c>
    </row>
    <row r="586" customFormat="false" ht="14.25" hidden="false" customHeight="true" outlineLevel="0" collapsed="false">
      <c r="A586" s="39"/>
      <c r="B586" s="40" t="s">
        <v>3179</v>
      </c>
      <c r="C586" s="41" t="s">
        <v>107</v>
      </c>
      <c r="D586" s="41" t="s">
        <v>108</v>
      </c>
      <c r="E586" s="42" t="n">
        <v>1600</v>
      </c>
      <c r="F586" s="42" t="n">
        <v>1600</v>
      </c>
      <c r="G586" s="42" t="n">
        <v>250</v>
      </c>
      <c r="H586" s="43" t="n">
        <v>1</v>
      </c>
      <c r="I586" s="34" t="n">
        <f aca="false">E586*H586+N(F586)+N(G586)</f>
        <v>3450</v>
      </c>
      <c r="J586" s="42" t="n">
        <f aca="false">ROUND(IFERROR(ROUND(IF(OR(ISNUMBER(SEARCH("week",C586)),ISNUMBER(SEARCH("minggu",C586))),IFERROR(_xlfn.NUMBERVALUE(SUBSTITUTE(LEFT(TRIM(C586),FIND(" ",TRIM(C586)&amp;" ")-1),",","."),"."),LEFT(SUBSTITUTE(LEFT(TRIM(C586),FIND(" ",TRIM(C586)&amp;" ")-1),",","."),FIND("/",SUBSTITUTE(LEFT(TRIM(C586),FIND(" ",TRIM(C586)&amp;" ")-1),",","."))-1)/MID(SUBSTITUTE(LEFT(TRIM(C586),FIND(" ",TRIM(C586)&amp;" ")-1),",","."),FIND("/",SUBSTITUTE(LEFT(TRIM(C586),FIND(" ",TRIM(C586)&amp;" ")-1),",","."))+1,9))*12/52,IF(ISNUMBER(SEARCH("month",C586)),IFERROR(_xlfn.NUMBERVALUE(SUBSTITUTE(LEFT(TRIM(C586),FIND(" ",TRIM(C586)&amp;" ")-1),",","."),"."),LEFT(SUBSTITUTE(LEFT(TRIM(C586),FIND(" ",TRIM(C586)&amp;" ")-1),",","."),FIND("/",SUBSTITUTE(LEFT(TRIM(C586),FIND(" ",TRIM(C586)&amp;" ")-1),",","."))-1)/MID(SUBSTITUTE(LEFT(TRIM(C586),FIND(" ",TRIM(C586)&amp;" ")-1),",","."),FIND("/",SUBSTITUTE(LEFT(TRIM(C586),FIND(" ",TRIM(C586)&amp;" ")-1),",","."))+1,9)),IF(ISNUMBER(SEARCH("yea",C586)),IFERROR(_xlfn.NUMBERVALUE(SUBSTITUTE(LEFT(TRIM(C586),FIND(" ",TRIM(C586)&amp;" ")-1),",","."),"."),LEFT(SUBSTITUTE(LEFT(TRIM(C586),FIND(" ",TRIM(C586)&amp;" ")-1),",","."),FIND("/",SUBSTITUTE(LEFT(TRIM(C586),FIND(" ",TRIM(C586)&amp;" ")-1),",","."))-1)/MID(SUBSTITUTE(LEFT(TRIM(C586),FIND(" ",TRIM(C586)&amp;" ")-1),",","."),FIND("/",SUBSTITUTE(LEFT(TRIM(C586),FIND(" ",TRIM(C586)&amp;" ")-1),",","."))+1,9))*12,NA()))),0),24)*'Aturan &amp; Tarif'!$B$4,2)</f>
        <v>1362.72</v>
      </c>
      <c r="K586" s="42" t="n">
        <f aca="false">'Aturan &amp; Tarif'!$B$5</f>
        <v>2050</v>
      </c>
      <c r="L586" s="35" t="n">
        <f aca="false">I586+J586+K586</f>
        <v>6862.72</v>
      </c>
      <c r="M586" s="44" t="s">
        <v>3177</v>
      </c>
    </row>
    <row r="587" customFormat="false" ht="48.75" hidden="false" customHeight="true" outlineLevel="0" collapsed="false">
      <c r="A587" s="39"/>
      <c r="B587" s="40" t="s">
        <v>3180</v>
      </c>
      <c r="C587" s="41" t="s">
        <v>138</v>
      </c>
      <c r="D587" s="41" t="s">
        <v>108</v>
      </c>
      <c r="E587" s="42" t="n">
        <v>2400</v>
      </c>
      <c r="F587" s="42" t="n">
        <v>1600</v>
      </c>
      <c r="G587" s="42" t="n">
        <v>250</v>
      </c>
      <c r="H587" s="43" t="n">
        <v>1</v>
      </c>
      <c r="I587" s="34" t="n">
        <f aca="false">E587*H587+N(F587)+N(G587)</f>
        <v>4250</v>
      </c>
      <c r="J587" s="42" t="n">
        <f aca="false">ROUND(IFERROR(ROUND(IF(OR(ISNUMBER(SEARCH("week",C587)),ISNUMBER(SEARCH("minggu",C587))),IFERROR(_xlfn.NUMBERVALUE(SUBSTITUTE(LEFT(TRIM(C587),FIND(" ",TRIM(C587)&amp;" ")-1),",","."),"."),LEFT(SUBSTITUTE(LEFT(TRIM(C587),FIND(" ",TRIM(C587)&amp;" ")-1),",","."),FIND("/",SUBSTITUTE(LEFT(TRIM(C587),FIND(" ",TRIM(C587)&amp;" ")-1),",","."))-1)/MID(SUBSTITUTE(LEFT(TRIM(C587),FIND(" ",TRIM(C587)&amp;" ")-1),",","."),FIND("/",SUBSTITUTE(LEFT(TRIM(C587),FIND(" ",TRIM(C587)&amp;" ")-1),",","."))+1,9))*12/52,IF(ISNUMBER(SEARCH("month",C587)),IFERROR(_xlfn.NUMBERVALUE(SUBSTITUTE(LEFT(TRIM(C587),FIND(" ",TRIM(C587)&amp;" ")-1),",","."),"."),LEFT(SUBSTITUTE(LEFT(TRIM(C587),FIND(" ",TRIM(C587)&amp;" ")-1),",","."),FIND("/",SUBSTITUTE(LEFT(TRIM(C587),FIND(" ",TRIM(C587)&amp;" ")-1),",","."))-1)/MID(SUBSTITUTE(LEFT(TRIM(C587),FIND(" ",TRIM(C587)&amp;" ")-1),",","."),FIND("/",SUBSTITUTE(LEFT(TRIM(C587),FIND(" ",TRIM(C587)&amp;" ")-1),",","."))+1,9)),IF(ISNUMBER(SEARCH("yea",C587)),IFERROR(_xlfn.NUMBERVALUE(SUBSTITUTE(LEFT(TRIM(C587),FIND(" ",TRIM(C587)&amp;" ")-1),",","."),"."),LEFT(SUBSTITUTE(LEFT(TRIM(C587),FIND(" ",TRIM(C587)&amp;" ")-1),",","."),FIND("/",SUBSTITUTE(LEFT(TRIM(C587),FIND(" ",TRIM(C587)&amp;" ")-1),",","."))-1)/MID(SUBSTITUTE(LEFT(TRIM(C587),FIND(" ",TRIM(C587)&amp;" ")-1),",","."),FIND("/",SUBSTITUTE(LEFT(TRIM(C587),FIND(" ",TRIM(C587)&amp;" ")-1),",","."))+1,9))*12,NA()))),0),30)*'Aturan &amp; Tarif'!$B$4,2)</f>
        <v>1703.4</v>
      </c>
      <c r="K587" s="42" t="n">
        <f aca="false">'Aturan &amp; Tarif'!$B$5</f>
        <v>2050</v>
      </c>
      <c r="L587" s="35" t="n">
        <f aca="false">I587+J587+K587</f>
        <v>8003.4</v>
      </c>
      <c r="M587" s="44" t="s">
        <v>3177</v>
      </c>
    </row>
    <row r="588" customFormat="false" ht="14.25" hidden="false" customHeight="true" outlineLevel="0" collapsed="false">
      <c r="A588" s="39"/>
      <c r="B588" s="40" t="s">
        <v>3181</v>
      </c>
      <c r="C588" s="41" t="s">
        <v>138</v>
      </c>
      <c r="D588" s="41" t="s">
        <v>108</v>
      </c>
      <c r="E588" s="42" t="n">
        <v>2600</v>
      </c>
      <c r="F588" s="42" t="n">
        <v>1800</v>
      </c>
      <c r="G588" s="42" t="n">
        <v>250</v>
      </c>
      <c r="H588" s="43" t="n">
        <v>1</v>
      </c>
      <c r="I588" s="34" t="n">
        <f aca="false">E588*H588+N(F588)+N(G588)</f>
        <v>4650</v>
      </c>
      <c r="J588" s="42" t="n">
        <f aca="false">ROUND(IFERROR(ROUND(IF(OR(ISNUMBER(SEARCH("week",C588)),ISNUMBER(SEARCH("minggu",C588))),IFERROR(_xlfn.NUMBERVALUE(SUBSTITUTE(LEFT(TRIM(C588),FIND(" ",TRIM(C588)&amp;" ")-1),",","."),"."),LEFT(SUBSTITUTE(LEFT(TRIM(C588),FIND(" ",TRIM(C588)&amp;" ")-1),",","."),FIND("/",SUBSTITUTE(LEFT(TRIM(C588),FIND(" ",TRIM(C588)&amp;" ")-1),",","."))-1)/MID(SUBSTITUTE(LEFT(TRIM(C588),FIND(" ",TRIM(C588)&amp;" ")-1),",","."),FIND("/",SUBSTITUTE(LEFT(TRIM(C588),FIND(" ",TRIM(C588)&amp;" ")-1),",","."))+1,9))*12/52,IF(ISNUMBER(SEARCH("month",C588)),IFERROR(_xlfn.NUMBERVALUE(SUBSTITUTE(LEFT(TRIM(C588),FIND(" ",TRIM(C588)&amp;" ")-1),",","."),"."),LEFT(SUBSTITUTE(LEFT(TRIM(C588),FIND(" ",TRIM(C588)&amp;" ")-1),",","."),FIND("/",SUBSTITUTE(LEFT(TRIM(C588),FIND(" ",TRIM(C588)&amp;" ")-1),",","."))-1)/MID(SUBSTITUTE(LEFT(TRIM(C588),FIND(" ",TRIM(C588)&amp;" ")-1),",","."),FIND("/",SUBSTITUTE(LEFT(TRIM(C588),FIND(" ",TRIM(C588)&amp;" ")-1),",","."))+1,9)),IF(ISNUMBER(SEARCH("yea",C588)),IFERROR(_xlfn.NUMBERVALUE(SUBSTITUTE(LEFT(TRIM(C588),FIND(" ",TRIM(C588)&amp;" ")-1),",","."),"."),LEFT(SUBSTITUTE(LEFT(TRIM(C588),FIND(" ",TRIM(C588)&amp;" ")-1),",","."),FIND("/",SUBSTITUTE(LEFT(TRIM(C588),FIND(" ",TRIM(C588)&amp;" ")-1),",","."))-1)/MID(SUBSTITUTE(LEFT(TRIM(C588),FIND(" ",TRIM(C588)&amp;" ")-1),",","."),FIND("/",SUBSTITUTE(LEFT(TRIM(C588),FIND(" ",TRIM(C588)&amp;" ")-1),",","."))+1,9))*12,NA()))),0),30)*'Aturan &amp; Tarif'!$B$4,2)</f>
        <v>1703.4</v>
      </c>
      <c r="K588" s="42" t="n">
        <f aca="false">'Aturan &amp; Tarif'!$B$5</f>
        <v>2050</v>
      </c>
      <c r="L588" s="35" t="n">
        <f aca="false">I588+J588+K588</f>
        <v>8403.4</v>
      </c>
      <c r="M588" s="44" t="s">
        <v>3177</v>
      </c>
    </row>
    <row r="589" customFormat="false" ht="25.5" hidden="false" customHeight="true" outlineLevel="0" collapsed="false">
      <c r="A589" s="39"/>
      <c r="B589" s="40" t="s">
        <v>2161</v>
      </c>
      <c r="C589" s="41" t="s">
        <v>107</v>
      </c>
      <c r="D589" s="41" t="s">
        <v>108</v>
      </c>
      <c r="E589" s="42" t="n">
        <v>2000</v>
      </c>
      <c r="F589" s="42" t="n">
        <v>100</v>
      </c>
      <c r="G589" s="42" t="n">
        <v>250</v>
      </c>
      <c r="H589" s="43" t="n">
        <v>1</v>
      </c>
      <c r="I589" s="34" t="n">
        <f aca="false">E589*H589+N(F589)+N(G589)</f>
        <v>2350</v>
      </c>
      <c r="J589" s="42" t="n">
        <f aca="false">ROUND(IFERROR(ROUND(IF(OR(ISNUMBER(SEARCH("week",C589)),ISNUMBER(SEARCH("minggu",C589))),IFERROR(_xlfn.NUMBERVALUE(SUBSTITUTE(LEFT(TRIM(C589),FIND(" ",TRIM(C589)&amp;" ")-1),",","."),"."),LEFT(SUBSTITUTE(LEFT(TRIM(C589),FIND(" ",TRIM(C589)&amp;" ")-1),",","."),FIND("/",SUBSTITUTE(LEFT(TRIM(C589),FIND(" ",TRIM(C589)&amp;" ")-1),",","."))-1)/MID(SUBSTITUTE(LEFT(TRIM(C589),FIND(" ",TRIM(C589)&amp;" ")-1),",","."),FIND("/",SUBSTITUTE(LEFT(TRIM(C589),FIND(" ",TRIM(C589)&amp;" ")-1),",","."))+1,9))*12/52,IF(ISNUMBER(SEARCH("month",C589)),IFERROR(_xlfn.NUMBERVALUE(SUBSTITUTE(LEFT(TRIM(C589),FIND(" ",TRIM(C589)&amp;" ")-1),",","."),"."),LEFT(SUBSTITUTE(LEFT(TRIM(C589),FIND(" ",TRIM(C589)&amp;" ")-1),",","."),FIND("/",SUBSTITUTE(LEFT(TRIM(C589),FIND(" ",TRIM(C589)&amp;" ")-1),",","."))-1)/MID(SUBSTITUTE(LEFT(TRIM(C589),FIND(" ",TRIM(C589)&amp;" ")-1),",","."),FIND("/",SUBSTITUTE(LEFT(TRIM(C589),FIND(" ",TRIM(C589)&amp;" ")-1),",","."))+1,9)),IF(ISNUMBER(SEARCH("yea",C589)),IFERROR(_xlfn.NUMBERVALUE(SUBSTITUTE(LEFT(TRIM(C589),FIND(" ",TRIM(C589)&amp;" ")-1),",","."),"."),LEFT(SUBSTITUTE(LEFT(TRIM(C589),FIND(" ",TRIM(C589)&amp;" ")-1),",","."),FIND("/",SUBSTITUTE(LEFT(TRIM(C589),FIND(" ",TRIM(C589)&amp;" ")-1),",","."))-1)/MID(SUBSTITUTE(LEFT(TRIM(C589),FIND(" ",TRIM(C589)&amp;" ")-1),",","."),FIND("/",SUBSTITUTE(LEFT(TRIM(C589),FIND(" ",TRIM(C589)&amp;" ")-1),",","."))+1,9))*12,NA()))),0),24)*'Aturan &amp; Tarif'!$B$4,2)</f>
        <v>1362.72</v>
      </c>
      <c r="K589" s="42" t="n">
        <f aca="false">'Aturan &amp; Tarif'!$B$5</f>
        <v>2050</v>
      </c>
      <c r="L589" s="35" t="n">
        <f aca="false">I589+J589+K589</f>
        <v>5762.72</v>
      </c>
      <c r="M589" s="44" t="s">
        <v>3177</v>
      </c>
    </row>
    <row r="590" customFormat="false" ht="37.5" hidden="false" customHeight="true" outlineLevel="0" collapsed="false">
      <c r="A590" s="39"/>
      <c r="B590" s="40" t="s">
        <v>2163</v>
      </c>
      <c r="C590" s="41" t="s">
        <v>2164</v>
      </c>
      <c r="D590" s="41" t="s">
        <v>108</v>
      </c>
      <c r="E590" s="42" t="n">
        <v>1500</v>
      </c>
      <c r="F590" s="42" t="n">
        <v>1500</v>
      </c>
      <c r="G590" s="42" t="n">
        <v>250</v>
      </c>
      <c r="H590" s="43" t="n">
        <v>1</v>
      </c>
      <c r="I590" s="34" t="n">
        <f aca="false">E590*H590+N(F590)+N(G590)</f>
        <v>3250</v>
      </c>
      <c r="J590" s="42" t="n">
        <f aca="false">ROUND(IFERROR(ROUND(IF(OR(ISNUMBER(SEARCH("week",C590)),ISNUMBER(SEARCH("minggu",C590))),IFERROR(_xlfn.NUMBERVALUE(SUBSTITUTE(LEFT(TRIM(C590),FIND(" ",TRIM(C590)&amp;" ")-1),",","."),"."),LEFT(SUBSTITUTE(LEFT(TRIM(C590),FIND(" ",TRIM(C590)&amp;" ")-1),",","."),FIND("/",SUBSTITUTE(LEFT(TRIM(C590),FIND(" ",TRIM(C590)&amp;" ")-1),",","."))-1)/MID(SUBSTITUTE(LEFT(TRIM(C590),FIND(" ",TRIM(C590)&amp;" ")-1),",","."),FIND("/",SUBSTITUTE(LEFT(TRIM(C590),FIND(" ",TRIM(C590)&amp;" ")-1),",","."))+1,9))*12/52,IF(ISNUMBER(SEARCH("month",C590)),IFERROR(_xlfn.NUMBERVALUE(SUBSTITUTE(LEFT(TRIM(C590),FIND(" ",TRIM(C590)&amp;" ")-1),",","."),"."),LEFT(SUBSTITUTE(LEFT(TRIM(C590),FIND(" ",TRIM(C590)&amp;" ")-1),",","."),FIND("/",SUBSTITUTE(LEFT(TRIM(C590),FIND(" ",TRIM(C590)&amp;" ")-1),",","."))-1)/MID(SUBSTITUTE(LEFT(TRIM(C590),FIND(" ",TRIM(C590)&amp;" ")-1),",","."),FIND("/",SUBSTITUTE(LEFT(TRIM(C590),FIND(" ",TRIM(C590)&amp;" ")-1),",","."))+1,9)),IF(ISNUMBER(SEARCH("yea",C590)),IFERROR(_xlfn.NUMBERVALUE(SUBSTITUTE(LEFT(TRIM(C590),FIND(" ",TRIM(C590)&amp;" ")-1),",","."),"."),LEFT(SUBSTITUTE(LEFT(TRIM(C590),FIND(" ",TRIM(C590)&amp;" ")-1),",","."),FIND("/",SUBSTITUTE(LEFT(TRIM(C590),FIND(" ",TRIM(C590)&amp;" ")-1),",","."))-1)/MID(SUBSTITUTE(LEFT(TRIM(C590),FIND(" ",TRIM(C590)&amp;" ")-1),",","."),FIND("/",SUBSTITUTE(LEFT(TRIM(C590),FIND(" ",TRIM(C590)&amp;" ")-1),",","."))+1,9))*12,NA()))),0),18)*'Aturan &amp; Tarif'!$B$4,2)</f>
        <v>1022.04</v>
      </c>
      <c r="K590" s="42" t="n">
        <f aca="false">'Aturan &amp; Tarif'!$B$5</f>
        <v>2050</v>
      </c>
      <c r="L590" s="35" t="n">
        <f aca="false">I590+J590+K590</f>
        <v>6322.04</v>
      </c>
      <c r="M590" s="44" t="s">
        <v>3182</v>
      </c>
    </row>
    <row r="591" customFormat="false" ht="25.5" hidden="false" customHeight="true" outlineLevel="0" collapsed="false">
      <c r="A591" s="39"/>
      <c r="B591" s="40" t="s">
        <v>2166</v>
      </c>
      <c r="C591" s="41" t="s">
        <v>2164</v>
      </c>
      <c r="D591" s="41" t="s">
        <v>108</v>
      </c>
      <c r="E591" s="42" t="n">
        <v>1500</v>
      </c>
      <c r="F591" s="42" t="n">
        <v>1600</v>
      </c>
      <c r="G591" s="42" t="n">
        <v>250</v>
      </c>
      <c r="H591" s="43" t="n">
        <v>1</v>
      </c>
      <c r="I591" s="34" t="n">
        <f aca="false">E591*H591+N(F591)+N(G591)</f>
        <v>3350</v>
      </c>
      <c r="J591" s="42" t="n">
        <f aca="false">ROUND(IFERROR(ROUND(IF(OR(ISNUMBER(SEARCH("week",C591)),ISNUMBER(SEARCH("minggu",C591))),IFERROR(_xlfn.NUMBERVALUE(SUBSTITUTE(LEFT(TRIM(C591),FIND(" ",TRIM(C591)&amp;" ")-1),",","."),"."),LEFT(SUBSTITUTE(LEFT(TRIM(C591),FIND(" ",TRIM(C591)&amp;" ")-1),",","."),FIND("/",SUBSTITUTE(LEFT(TRIM(C591),FIND(" ",TRIM(C591)&amp;" ")-1),",","."))-1)/MID(SUBSTITUTE(LEFT(TRIM(C591),FIND(" ",TRIM(C591)&amp;" ")-1),",","."),FIND("/",SUBSTITUTE(LEFT(TRIM(C591),FIND(" ",TRIM(C591)&amp;" ")-1),",","."))+1,9))*12/52,IF(ISNUMBER(SEARCH("month",C591)),IFERROR(_xlfn.NUMBERVALUE(SUBSTITUTE(LEFT(TRIM(C591),FIND(" ",TRIM(C591)&amp;" ")-1),",","."),"."),LEFT(SUBSTITUTE(LEFT(TRIM(C591),FIND(" ",TRIM(C591)&amp;" ")-1),",","."),FIND("/",SUBSTITUTE(LEFT(TRIM(C591),FIND(" ",TRIM(C591)&amp;" ")-1),",","."))-1)/MID(SUBSTITUTE(LEFT(TRIM(C591),FIND(" ",TRIM(C591)&amp;" ")-1),",","."),FIND("/",SUBSTITUTE(LEFT(TRIM(C591),FIND(" ",TRIM(C591)&amp;" ")-1),",","."))+1,9)),IF(ISNUMBER(SEARCH("yea",C591)),IFERROR(_xlfn.NUMBERVALUE(SUBSTITUTE(LEFT(TRIM(C591),FIND(" ",TRIM(C591)&amp;" ")-1),",","."),"."),LEFT(SUBSTITUTE(LEFT(TRIM(C591),FIND(" ",TRIM(C591)&amp;" ")-1),",","."),FIND("/",SUBSTITUTE(LEFT(TRIM(C591),FIND(" ",TRIM(C591)&amp;" ")-1),",","."))-1)/MID(SUBSTITUTE(LEFT(TRIM(C591),FIND(" ",TRIM(C591)&amp;" ")-1),",","."),FIND("/",SUBSTITUTE(LEFT(TRIM(C591),FIND(" ",TRIM(C591)&amp;" ")-1),",","."))+1,9))*12,NA()))),0),18)*'Aturan &amp; Tarif'!$B$4,2)</f>
        <v>1022.04</v>
      </c>
      <c r="K591" s="42" t="n">
        <f aca="false">'Aturan &amp; Tarif'!$B$5</f>
        <v>2050</v>
      </c>
      <c r="L591" s="35" t="n">
        <f aca="false">I591+J591+K591</f>
        <v>6422.04</v>
      </c>
      <c r="M591" s="44" t="s">
        <v>3183</v>
      </c>
    </row>
    <row r="592" customFormat="false" ht="25.5" hidden="false" customHeight="true" outlineLevel="0" collapsed="false">
      <c r="A592" s="39"/>
      <c r="B592" s="40" t="s">
        <v>3184</v>
      </c>
      <c r="C592" s="41" t="s">
        <v>2169</v>
      </c>
      <c r="D592" s="41" t="s">
        <v>108</v>
      </c>
      <c r="E592" s="42" t="n">
        <v>1500</v>
      </c>
      <c r="F592" s="42" t="n">
        <v>100</v>
      </c>
      <c r="G592" s="42" t="n">
        <v>250</v>
      </c>
      <c r="H592" s="43" t="n">
        <v>1</v>
      </c>
      <c r="I592" s="34" t="n">
        <f aca="false">E592*H592+N(F592)*H592+N(G592)</f>
        <v>1850</v>
      </c>
      <c r="J592" s="42" t="n">
        <f aca="false">ROUND(IFERROR(ROUND(IF(OR(ISNUMBER(SEARCH("week",C592)),ISNUMBER(SEARCH("minggu",C592))),IFERROR(_xlfn.NUMBERVALUE(SUBSTITUTE(LEFT(TRIM(C592),FIND(" ",TRIM(C592)&amp;" ")-1),",","."),"."),LEFT(SUBSTITUTE(LEFT(TRIM(C592),FIND(" ",TRIM(C592)&amp;" ")-1),",","."),FIND("/",SUBSTITUTE(LEFT(TRIM(C592),FIND(" ",TRIM(C592)&amp;" ")-1),",","."))-1)/MID(SUBSTITUTE(LEFT(TRIM(C592),FIND(" ",TRIM(C592)&amp;" ")-1),",","."),FIND("/",SUBSTITUTE(LEFT(TRIM(C592),FIND(" ",TRIM(C592)&amp;" ")-1),",","."))+1,9))*12/52,IF(ISNUMBER(SEARCH("month",C592)),IFERROR(_xlfn.NUMBERVALUE(SUBSTITUTE(LEFT(TRIM(C592),FIND(" ",TRIM(C592)&amp;" ")-1),",","."),"."),LEFT(SUBSTITUTE(LEFT(TRIM(C592),FIND(" ",TRIM(C592)&amp;" ")-1),",","."),FIND("/",SUBSTITUTE(LEFT(TRIM(C592),FIND(" ",TRIM(C592)&amp;" ")-1),",","."))-1)/MID(SUBSTITUTE(LEFT(TRIM(C592),FIND(" ",TRIM(C592)&amp;" ")-1),",","."),FIND("/",SUBSTITUTE(LEFT(TRIM(C592),FIND(" ",TRIM(C592)&amp;" ")-1),",","."))+1,9)),IF(ISNUMBER(SEARCH("yea",C592)),IFERROR(_xlfn.NUMBERVALUE(SUBSTITUTE(LEFT(TRIM(C592),FIND(" ",TRIM(C592)&amp;" ")-1),",","."),"."),LEFT(SUBSTITUTE(LEFT(TRIM(C592),FIND(" ",TRIM(C592)&amp;" ")-1),",","."),FIND("/",SUBSTITUTE(LEFT(TRIM(C592),FIND(" ",TRIM(C592)&amp;" ")-1),",","."))-1)/MID(SUBSTITUTE(LEFT(TRIM(C592),FIND(" ",TRIM(C592)&amp;" ")-1),",","."),FIND("/",SUBSTITUTE(LEFT(TRIM(C592),FIND(" ",TRIM(C592)&amp;" ")-1),",","."))+1,9))*12,NA()))),0),24)*'Aturan &amp; Tarif'!$B$4,2)</f>
        <v>1362.72</v>
      </c>
      <c r="K592" s="42" t="n">
        <f aca="false">'Aturan &amp; Tarif'!$B$5</f>
        <v>2050</v>
      </c>
      <c r="L592" s="35" t="n">
        <f aca="false">I592+J592+K592</f>
        <v>5262.72</v>
      </c>
      <c r="M592" s="44" t="s">
        <v>3185</v>
      </c>
    </row>
    <row r="593" customFormat="false" ht="60" hidden="false" customHeight="true" outlineLevel="0" collapsed="false">
      <c r="A593" s="39"/>
      <c r="B593" s="40" t="s">
        <v>3186</v>
      </c>
      <c r="C593" s="41" t="s">
        <v>2172</v>
      </c>
      <c r="D593" s="41" t="s">
        <v>108</v>
      </c>
      <c r="E593" s="42" t="n">
        <v>1500</v>
      </c>
      <c r="F593" s="42" t="n">
        <v>100</v>
      </c>
      <c r="G593" s="42" t="n">
        <v>250</v>
      </c>
      <c r="H593" s="43" t="n">
        <v>1</v>
      </c>
      <c r="I593" s="34" t="n">
        <f aca="false">E593*H593+N(F593)*H593+N(G593)</f>
        <v>1850</v>
      </c>
      <c r="J593" s="42" t="n">
        <f aca="false">ROUND(IFERROR(ROUND(IF(OR(ISNUMBER(SEARCH("week",C593)),ISNUMBER(SEARCH("minggu",C593))),IFERROR(_xlfn.NUMBERVALUE(SUBSTITUTE(LEFT(TRIM(C593),FIND(" ",TRIM(C593)&amp;" ")-1),",","."),"."),LEFT(SUBSTITUTE(LEFT(TRIM(C593),FIND(" ",TRIM(C593)&amp;" ")-1),",","."),FIND("/",SUBSTITUTE(LEFT(TRIM(C593),FIND(" ",TRIM(C593)&amp;" ")-1),",","."))-1)/MID(SUBSTITUTE(LEFT(TRIM(C593),FIND(" ",TRIM(C593)&amp;" ")-1),",","."),FIND("/",SUBSTITUTE(LEFT(TRIM(C593),FIND(" ",TRIM(C593)&amp;" ")-1),",","."))+1,9))*12/52,IF(ISNUMBER(SEARCH("month",C593)),IFERROR(_xlfn.NUMBERVALUE(SUBSTITUTE(LEFT(TRIM(C593),FIND(" ",TRIM(C593)&amp;" ")-1),",","."),"."),LEFT(SUBSTITUTE(LEFT(TRIM(C593),FIND(" ",TRIM(C593)&amp;" ")-1),",","."),FIND("/",SUBSTITUTE(LEFT(TRIM(C593),FIND(" ",TRIM(C593)&amp;" ")-1),",","."))-1)/MID(SUBSTITUTE(LEFT(TRIM(C593),FIND(" ",TRIM(C593)&amp;" ")-1),",","."),FIND("/",SUBSTITUTE(LEFT(TRIM(C593),FIND(" ",TRIM(C593)&amp;" ")-1),",","."))+1,9)),IF(ISNUMBER(SEARCH("yea",C593)),IFERROR(_xlfn.NUMBERVALUE(SUBSTITUTE(LEFT(TRIM(C593),FIND(" ",TRIM(C593)&amp;" ")-1),",","."),"."),LEFT(SUBSTITUTE(LEFT(TRIM(C593),FIND(" ",TRIM(C593)&amp;" ")-1),",","."),FIND("/",SUBSTITUTE(LEFT(TRIM(C593),FIND(" ",TRIM(C593)&amp;" ")-1),",","."))-1)/MID(SUBSTITUTE(LEFT(TRIM(C593),FIND(" ",TRIM(C593)&amp;" ")-1),",","."),FIND("/",SUBSTITUTE(LEFT(TRIM(C593),FIND(" ",TRIM(C593)&amp;" ")-1),",","."))+1,9))*12,NA()))),0),36)*'Aturan &amp; Tarif'!$B$4,2)</f>
        <v>2044.08</v>
      </c>
      <c r="K593" s="42" t="n">
        <f aca="false">'Aturan &amp; Tarif'!$B$5</f>
        <v>2050</v>
      </c>
      <c r="L593" s="35" t="n">
        <f aca="false">I593+J593+K593</f>
        <v>5944.08</v>
      </c>
      <c r="M593" s="44" t="s">
        <v>3187</v>
      </c>
    </row>
    <row r="594" customFormat="false" ht="14.25" hidden="false" customHeight="true" outlineLevel="0" collapsed="false">
      <c r="A594" s="39"/>
      <c r="B594" s="40" t="s">
        <v>3188</v>
      </c>
      <c r="C594" s="41" t="s">
        <v>344</v>
      </c>
      <c r="D594" s="41" t="s">
        <v>108</v>
      </c>
      <c r="E594" s="42" t="n">
        <v>1800</v>
      </c>
      <c r="F594" s="42"/>
      <c r="G594" s="42" t="n">
        <v>250</v>
      </c>
      <c r="H594" s="43" t="n">
        <v>1</v>
      </c>
      <c r="I594" s="34" t="n">
        <f aca="false">E594*H594+N(F594)+N(G594)</f>
        <v>2050</v>
      </c>
      <c r="J594" s="42" t="n">
        <f aca="false">ROUND(IFERROR(ROUND(IF(OR(ISNUMBER(SEARCH("week",C594)),ISNUMBER(SEARCH("minggu",C594))),IFERROR(_xlfn.NUMBERVALUE(SUBSTITUTE(LEFT(TRIM(C594),FIND(" ",TRIM(C594)&amp;" ")-1),",","."),"."),LEFT(SUBSTITUTE(LEFT(TRIM(C594),FIND(" ",TRIM(C594)&amp;" ")-1),",","."),FIND("/",SUBSTITUTE(LEFT(TRIM(C594),FIND(" ",TRIM(C594)&amp;" ")-1),",","."))-1)/MID(SUBSTITUTE(LEFT(TRIM(C594),FIND(" ",TRIM(C594)&amp;" ")-1),",","."),FIND("/",SUBSTITUTE(LEFT(TRIM(C594),FIND(" ",TRIM(C594)&amp;" ")-1),",","."))+1,9))*12/52,IF(ISNUMBER(SEARCH("month",C594)),IFERROR(_xlfn.NUMBERVALUE(SUBSTITUTE(LEFT(TRIM(C594),FIND(" ",TRIM(C594)&amp;" ")-1),",","."),"."),LEFT(SUBSTITUTE(LEFT(TRIM(C594),FIND(" ",TRIM(C594)&amp;" ")-1),",","."),FIND("/",SUBSTITUTE(LEFT(TRIM(C594),FIND(" ",TRIM(C594)&amp;" ")-1),",","."))-1)/MID(SUBSTITUTE(LEFT(TRIM(C594),FIND(" ",TRIM(C594)&amp;" ")-1),",","."),FIND("/",SUBSTITUTE(LEFT(TRIM(C594),FIND(" ",TRIM(C594)&amp;" ")-1),",","."))+1,9)),IF(ISNUMBER(SEARCH("yea",C594)),IFERROR(_xlfn.NUMBERVALUE(SUBSTITUTE(LEFT(TRIM(C594),FIND(" ",TRIM(C594)&amp;" ")-1),",","."),"."),LEFT(SUBSTITUTE(LEFT(TRIM(C594),FIND(" ",TRIM(C594)&amp;" ")-1),",","."),FIND("/",SUBSTITUTE(LEFT(TRIM(C594),FIND(" ",TRIM(C594)&amp;" ")-1),",","."))-1)/MID(SUBSTITUTE(LEFT(TRIM(C594),FIND(" ",TRIM(C594)&amp;" ")-1),",","."),FIND("/",SUBSTITUTE(LEFT(TRIM(C594),FIND(" ",TRIM(C594)&amp;" ")-1),",","."))+1,9))*12,NA()))),0),6)*'Aturan &amp; Tarif'!$B$4,2)</f>
        <v>340.68</v>
      </c>
      <c r="K594" s="42" t="n">
        <f aca="false">'Aturan &amp; Tarif'!$B$5</f>
        <v>2050</v>
      </c>
      <c r="L594" s="35" t="n">
        <f aca="false">I594+J594+K594</f>
        <v>4440.68</v>
      </c>
      <c r="M594" s="44" t="s">
        <v>3189</v>
      </c>
    </row>
    <row r="595" customFormat="false" ht="14.25" hidden="false" customHeight="true" outlineLevel="0" collapsed="false">
      <c r="A595" s="39"/>
      <c r="B595" s="40" t="s">
        <v>3190</v>
      </c>
      <c r="C595" s="41" t="s">
        <v>113</v>
      </c>
      <c r="D595" s="41" t="s">
        <v>108</v>
      </c>
      <c r="E595" s="42" t="n">
        <v>1800</v>
      </c>
      <c r="F595" s="42"/>
      <c r="G595" s="42" t="n">
        <v>250</v>
      </c>
      <c r="H595" s="43" t="n">
        <v>1</v>
      </c>
      <c r="I595" s="34" t="n">
        <f aca="false">E595*H595+N(F595)+N(G595)</f>
        <v>2050</v>
      </c>
      <c r="J595" s="42" t="n">
        <f aca="false">ROUND(IFERROR(ROUND(IF(OR(ISNUMBER(SEARCH("week",C595)),ISNUMBER(SEARCH("minggu",C595))),IFERROR(_xlfn.NUMBERVALUE(SUBSTITUTE(LEFT(TRIM(C595),FIND(" ",TRIM(C595)&amp;" ")-1),",","."),"."),LEFT(SUBSTITUTE(LEFT(TRIM(C595),FIND(" ",TRIM(C595)&amp;" ")-1),",","."),FIND("/",SUBSTITUTE(LEFT(TRIM(C595),FIND(" ",TRIM(C595)&amp;" ")-1),",","."))-1)/MID(SUBSTITUTE(LEFT(TRIM(C595),FIND(" ",TRIM(C595)&amp;" ")-1),",","."),FIND("/",SUBSTITUTE(LEFT(TRIM(C595),FIND(" ",TRIM(C595)&amp;" ")-1),",","."))+1,9))*12/52,IF(ISNUMBER(SEARCH("month",C595)),IFERROR(_xlfn.NUMBERVALUE(SUBSTITUTE(LEFT(TRIM(C595),FIND(" ",TRIM(C595)&amp;" ")-1),",","."),"."),LEFT(SUBSTITUTE(LEFT(TRIM(C595),FIND(" ",TRIM(C595)&amp;" ")-1),",","."),FIND("/",SUBSTITUTE(LEFT(TRIM(C595),FIND(" ",TRIM(C595)&amp;" ")-1),",","."))-1)/MID(SUBSTITUTE(LEFT(TRIM(C595),FIND(" ",TRIM(C595)&amp;" ")-1),",","."),FIND("/",SUBSTITUTE(LEFT(TRIM(C595),FIND(" ",TRIM(C595)&amp;" ")-1),",","."))+1,9)),IF(ISNUMBER(SEARCH("yea",C595)),IFERROR(_xlfn.NUMBERVALUE(SUBSTITUTE(LEFT(TRIM(C595),FIND(" ",TRIM(C595)&amp;" ")-1),",","."),"."),LEFT(SUBSTITUTE(LEFT(TRIM(C595),FIND(" ",TRIM(C595)&amp;" ")-1),",","."),FIND("/",SUBSTITUTE(LEFT(TRIM(C595),FIND(" ",TRIM(C595)&amp;" ")-1),",","."))-1)/MID(SUBSTITUTE(LEFT(TRIM(C595),FIND(" ",TRIM(C595)&amp;" ")-1),",","."),FIND("/",SUBSTITUTE(LEFT(TRIM(C595),FIND(" ",TRIM(C595)&amp;" ")-1),",","."))+1,9))*12,NA()))),0),18)*'Aturan &amp; Tarif'!$B$4,2)</f>
        <v>1022.04</v>
      </c>
      <c r="K595" s="42" t="n">
        <f aca="false">'Aturan &amp; Tarif'!$B$5</f>
        <v>2050</v>
      </c>
      <c r="L595" s="35" t="n">
        <f aca="false">I595+J595+K595</f>
        <v>5122.04</v>
      </c>
      <c r="M595" s="44" t="s">
        <v>3191</v>
      </c>
    </row>
    <row r="596" customFormat="false" ht="14.25" hidden="false" customHeight="true" outlineLevel="0" collapsed="false">
      <c r="A596" s="39"/>
      <c r="B596" s="40" t="s">
        <v>3192</v>
      </c>
      <c r="C596" s="41" t="s">
        <v>3193</v>
      </c>
      <c r="D596" s="41" t="s">
        <v>108</v>
      </c>
      <c r="E596" s="42" t="n">
        <v>3000</v>
      </c>
      <c r="F596" s="42"/>
      <c r="G596" s="42"/>
      <c r="H596" s="43" t="n">
        <v>1</v>
      </c>
      <c r="I596" s="34" t="n">
        <f aca="false">E596*H596+N(F596)+N(G596)</f>
        <v>3000</v>
      </c>
      <c r="J596" s="42" t="n">
        <f aca="false">ROUND(IFERROR(ROUND(IF(OR(ISNUMBER(SEARCH("week",C596)),ISNUMBER(SEARCH("minggu",C596))),IFERROR(_xlfn.NUMBERVALUE(SUBSTITUTE(LEFT(TRIM(C596),FIND(" ",TRIM(C596)&amp;" ")-1),",","."),"."),LEFT(SUBSTITUTE(LEFT(TRIM(C596),FIND(" ",TRIM(C596)&amp;" ")-1),",","."),FIND("/",SUBSTITUTE(LEFT(TRIM(C596),FIND(" ",TRIM(C596)&amp;" ")-1),",","."))-1)/MID(SUBSTITUTE(LEFT(TRIM(C596),FIND(" ",TRIM(C596)&amp;" ")-1),",","."),FIND("/",SUBSTITUTE(LEFT(TRIM(C596),FIND(" ",TRIM(C596)&amp;" ")-1),",","."))+1,9))*12/52,IF(ISNUMBER(SEARCH("month",C596)),IFERROR(_xlfn.NUMBERVALUE(SUBSTITUTE(LEFT(TRIM(C596),FIND(" ",TRIM(C596)&amp;" ")-1),",","."),"."),LEFT(SUBSTITUTE(LEFT(TRIM(C596),FIND(" ",TRIM(C596)&amp;" ")-1),",","."),FIND("/",SUBSTITUTE(LEFT(TRIM(C596),FIND(" ",TRIM(C596)&amp;" ")-1),",","."))-1)/MID(SUBSTITUTE(LEFT(TRIM(C596),FIND(" ",TRIM(C596)&amp;" ")-1),",","."),FIND("/",SUBSTITUTE(LEFT(TRIM(C596),FIND(" ",TRIM(C596)&amp;" ")-1),",","."))+1,9)),IF(ISNUMBER(SEARCH("yea",C596)),IFERROR(_xlfn.NUMBERVALUE(SUBSTITUTE(LEFT(TRIM(C596),FIND(" ",TRIM(C596)&amp;" ")-1),",","."),"."),LEFT(SUBSTITUTE(LEFT(TRIM(C596),FIND(" ",TRIM(C596)&amp;" ")-1),",","."),FIND("/",SUBSTITUTE(LEFT(TRIM(C596),FIND(" ",TRIM(C596)&amp;" ")-1),",","."))-1)/MID(SUBSTITUTE(LEFT(TRIM(C596),FIND(" ",TRIM(C596)&amp;" ")-1),",","."),FIND("/",SUBSTITUTE(LEFT(TRIM(C596),FIND(" ",TRIM(C596)&amp;" ")-1),",","."))+1,9))*12,NA()))),0),12)*'Aturan &amp; Tarif'!$B$4,2)</f>
        <v>681.36</v>
      </c>
      <c r="K596" s="42" t="n">
        <f aca="false">'Aturan &amp; Tarif'!$B$5</f>
        <v>2050</v>
      </c>
      <c r="L596" s="35" t="n">
        <f aca="false">I596+J596+K596</f>
        <v>5731.36</v>
      </c>
      <c r="M596" s="44" t="s">
        <v>3194</v>
      </c>
    </row>
    <row r="597" customFormat="false" ht="48.75" hidden="false" customHeight="true" outlineLevel="0" collapsed="false">
      <c r="A597" s="39" t="s">
        <v>2174</v>
      </c>
      <c r="B597" s="40" t="s">
        <v>983</v>
      </c>
      <c r="C597" s="41" t="s">
        <v>113</v>
      </c>
      <c r="D597" s="41" t="s">
        <v>108</v>
      </c>
      <c r="E597" s="42" t="n">
        <v>6997.5</v>
      </c>
      <c r="F597" s="42"/>
      <c r="G597" s="42" t="n">
        <v>250</v>
      </c>
      <c r="H597" s="43" t="n">
        <v>2</v>
      </c>
      <c r="I597" s="34" t="n">
        <f aca="false">E597*H597+N(F597)+N(G597)</f>
        <v>14245</v>
      </c>
      <c r="J597" s="42" t="n">
        <f aca="false">ROUND(IFERROR(ROUND(IF(OR(ISNUMBER(SEARCH("week",C597)),ISNUMBER(SEARCH("minggu",C597))),IFERROR(_xlfn.NUMBERVALUE(SUBSTITUTE(LEFT(TRIM(C597),FIND(" ",TRIM(C597)&amp;" ")-1),",","."),"."),LEFT(SUBSTITUTE(LEFT(TRIM(C597),FIND(" ",TRIM(C597)&amp;" ")-1),",","."),FIND("/",SUBSTITUTE(LEFT(TRIM(C597),FIND(" ",TRIM(C597)&amp;" ")-1),",","."))-1)/MID(SUBSTITUTE(LEFT(TRIM(C597),FIND(" ",TRIM(C597)&amp;" ")-1),",","."),FIND("/",SUBSTITUTE(LEFT(TRIM(C597),FIND(" ",TRIM(C597)&amp;" ")-1),",","."))+1,9))*12/52,IF(ISNUMBER(SEARCH("month",C597)),IFERROR(_xlfn.NUMBERVALUE(SUBSTITUTE(LEFT(TRIM(C597),FIND(" ",TRIM(C597)&amp;" ")-1),",","."),"."),LEFT(SUBSTITUTE(LEFT(TRIM(C597),FIND(" ",TRIM(C597)&amp;" ")-1),",","."),FIND("/",SUBSTITUTE(LEFT(TRIM(C597),FIND(" ",TRIM(C597)&amp;" ")-1),",","."))-1)/MID(SUBSTITUTE(LEFT(TRIM(C597),FIND(" ",TRIM(C597)&amp;" ")-1),",","."),FIND("/",SUBSTITUTE(LEFT(TRIM(C597),FIND(" ",TRIM(C597)&amp;" ")-1),",","."))+1,9)),IF(ISNUMBER(SEARCH("yea",C597)),IFERROR(_xlfn.NUMBERVALUE(SUBSTITUTE(LEFT(TRIM(C597),FIND(" ",TRIM(C597)&amp;" ")-1),",","."),"."),LEFT(SUBSTITUTE(LEFT(TRIM(C597),FIND(" ",TRIM(C597)&amp;" ")-1),",","."),FIND("/",SUBSTITUTE(LEFT(TRIM(C597),FIND(" ",TRIM(C597)&amp;" ")-1),",","."))-1)/MID(SUBSTITUTE(LEFT(TRIM(C597),FIND(" ",TRIM(C597)&amp;" ")-1),",","."),FIND("/",SUBSTITUTE(LEFT(TRIM(C597),FIND(" ",TRIM(C597)&amp;" ")-1),",","."))+1,9))*12,NA()))),0),18)*'Aturan &amp; Tarif'!$B$4,2)</f>
        <v>1022.04</v>
      </c>
      <c r="K597" s="42" t="n">
        <f aca="false">'Aturan &amp; Tarif'!$B$5</f>
        <v>2050</v>
      </c>
      <c r="L597" s="35" t="n">
        <f aca="false">I597+J597+K597</f>
        <v>17317.04</v>
      </c>
      <c r="M597" s="45" t="s">
        <v>1643</v>
      </c>
    </row>
    <row r="598" customFormat="false" ht="37.5" hidden="false" customHeight="true" outlineLevel="0" collapsed="false">
      <c r="A598" s="39"/>
      <c r="B598" s="40" t="s">
        <v>985</v>
      </c>
      <c r="C598" s="41" t="s">
        <v>344</v>
      </c>
      <c r="D598" s="41" t="s">
        <v>108</v>
      </c>
      <c r="E598" s="42" t="n">
        <v>6737</v>
      </c>
      <c r="F598" s="42"/>
      <c r="G598" s="42" t="n">
        <v>250</v>
      </c>
      <c r="H598" s="43" t="n">
        <v>2</v>
      </c>
      <c r="I598" s="34" t="n">
        <f aca="false">E598*H598+N(F598)+N(G598)</f>
        <v>13724</v>
      </c>
      <c r="J598" s="42" t="n">
        <f aca="false">ROUND(IFERROR(ROUND(IF(OR(ISNUMBER(SEARCH("week",C598)),ISNUMBER(SEARCH("minggu",C598))),IFERROR(_xlfn.NUMBERVALUE(SUBSTITUTE(LEFT(TRIM(C598),FIND(" ",TRIM(C598)&amp;" ")-1),",","."),"."),LEFT(SUBSTITUTE(LEFT(TRIM(C598),FIND(" ",TRIM(C598)&amp;" ")-1),",","."),FIND("/",SUBSTITUTE(LEFT(TRIM(C598),FIND(" ",TRIM(C598)&amp;" ")-1),",","."))-1)/MID(SUBSTITUTE(LEFT(TRIM(C598),FIND(" ",TRIM(C598)&amp;" ")-1),",","."),FIND("/",SUBSTITUTE(LEFT(TRIM(C598),FIND(" ",TRIM(C598)&amp;" ")-1),",","."))+1,9))*12/52,IF(ISNUMBER(SEARCH("month",C598)),IFERROR(_xlfn.NUMBERVALUE(SUBSTITUTE(LEFT(TRIM(C598),FIND(" ",TRIM(C598)&amp;" ")-1),",","."),"."),LEFT(SUBSTITUTE(LEFT(TRIM(C598),FIND(" ",TRIM(C598)&amp;" ")-1),",","."),FIND("/",SUBSTITUTE(LEFT(TRIM(C598),FIND(" ",TRIM(C598)&amp;" ")-1),",","."))-1)/MID(SUBSTITUTE(LEFT(TRIM(C598),FIND(" ",TRIM(C598)&amp;" ")-1),",","."),FIND("/",SUBSTITUTE(LEFT(TRIM(C598),FIND(" ",TRIM(C598)&amp;" ")-1),",","."))+1,9)),IF(ISNUMBER(SEARCH("yea",C598)),IFERROR(_xlfn.NUMBERVALUE(SUBSTITUTE(LEFT(TRIM(C598),FIND(" ",TRIM(C598)&amp;" ")-1),",","."),"."),LEFT(SUBSTITUTE(LEFT(TRIM(C598),FIND(" ",TRIM(C598)&amp;" ")-1),",","."),FIND("/",SUBSTITUTE(LEFT(TRIM(C598),FIND(" ",TRIM(C598)&amp;" ")-1),",","."))-1)/MID(SUBSTITUTE(LEFT(TRIM(C598),FIND(" ",TRIM(C598)&amp;" ")-1),",","."),FIND("/",SUBSTITUTE(LEFT(TRIM(C598),FIND(" ",TRIM(C598)&amp;" ")-1),",","."))+1,9))*12,NA()))),0),6)*'Aturan &amp; Tarif'!$B$4,2)</f>
        <v>340.68</v>
      </c>
      <c r="K598" s="42" t="n">
        <f aca="false">'Aturan &amp; Tarif'!$B$5</f>
        <v>2050</v>
      </c>
      <c r="L598" s="35" t="n">
        <f aca="false">I598+J598+K598</f>
        <v>16114.68</v>
      </c>
      <c r="M598" s="45" t="s">
        <v>1644</v>
      </c>
    </row>
    <row r="599" customFormat="false" ht="48.75" hidden="false" customHeight="true" outlineLevel="0" collapsed="false">
      <c r="A599" s="39"/>
      <c r="B599" s="40" t="s">
        <v>987</v>
      </c>
      <c r="C599" s="41" t="s">
        <v>344</v>
      </c>
      <c r="D599" s="41" t="s">
        <v>108</v>
      </c>
      <c r="E599" s="42" t="n">
        <v>7298.5</v>
      </c>
      <c r="F599" s="42"/>
      <c r="G599" s="42" t="n">
        <v>250</v>
      </c>
      <c r="H599" s="43" t="n">
        <v>2</v>
      </c>
      <c r="I599" s="34" t="n">
        <f aca="false">E599*H599+N(F599)+N(G599)</f>
        <v>14847</v>
      </c>
      <c r="J599" s="42" t="n">
        <f aca="false">ROUND(IFERROR(ROUND(IF(OR(ISNUMBER(SEARCH("week",C599)),ISNUMBER(SEARCH("minggu",C599))),IFERROR(_xlfn.NUMBERVALUE(SUBSTITUTE(LEFT(TRIM(C599),FIND(" ",TRIM(C599)&amp;" ")-1),",","."),"."),LEFT(SUBSTITUTE(LEFT(TRIM(C599),FIND(" ",TRIM(C599)&amp;" ")-1),",","."),FIND("/",SUBSTITUTE(LEFT(TRIM(C599),FIND(" ",TRIM(C599)&amp;" ")-1),",","."))-1)/MID(SUBSTITUTE(LEFT(TRIM(C599),FIND(" ",TRIM(C599)&amp;" ")-1),",","."),FIND("/",SUBSTITUTE(LEFT(TRIM(C599),FIND(" ",TRIM(C599)&amp;" ")-1),",","."))+1,9))*12/52,IF(ISNUMBER(SEARCH("month",C599)),IFERROR(_xlfn.NUMBERVALUE(SUBSTITUTE(LEFT(TRIM(C599),FIND(" ",TRIM(C599)&amp;" ")-1),",","."),"."),LEFT(SUBSTITUTE(LEFT(TRIM(C599),FIND(" ",TRIM(C599)&amp;" ")-1),",","."),FIND("/",SUBSTITUTE(LEFT(TRIM(C599),FIND(" ",TRIM(C599)&amp;" ")-1),",","."))-1)/MID(SUBSTITUTE(LEFT(TRIM(C599),FIND(" ",TRIM(C599)&amp;" ")-1),",","."),FIND("/",SUBSTITUTE(LEFT(TRIM(C599),FIND(" ",TRIM(C599)&amp;" ")-1),",","."))+1,9)),IF(ISNUMBER(SEARCH("yea",C599)),IFERROR(_xlfn.NUMBERVALUE(SUBSTITUTE(LEFT(TRIM(C599),FIND(" ",TRIM(C599)&amp;" ")-1),",","."),"."),LEFT(SUBSTITUTE(LEFT(TRIM(C599),FIND(" ",TRIM(C599)&amp;" ")-1),",","."),FIND("/",SUBSTITUTE(LEFT(TRIM(C599),FIND(" ",TRIM(C599)&amp;" ")-1),",","."))-1)/MID(SUBSTITUTE(LEFT(TRIM(C599),FIND(" ",TRIM(C599)&amp;" ")-1),",","."),FIND("/",SUBSTITUTE(LEFT(TRIM(C599),FIND(" ",TRIM(C599)&amp;" ")-1),",","."))+1,9))*12,NA()))),0),6)*'Aturan &amp; Tarif'!$B$4,2)</f>
        <v>340.68</v>
      </c>
      <c r="K599" s="42" t="n">
        <f aca="false">'Aturan &amp; Tarif'!$B$5</f>
        <v>2050</v>
      </c>
      <c r="L599" s="35" t="n">
        <f aca="false">I599+J599+K599</f>
        <v>17237.68</v>
      </c>
      <c r="M599" s="45" t="s">
        <v>1644</v>
      </c>
    </row>
    <row r="600" customFormat="false" ht="60" hidden="false" customHeight="true" outlineLevel="0" collapsed="false">
      <c r="A600" s="39"/>
      <c r="B600" s="40" t="s">
        <v>988</v>
      </c>
      <c r="C600" s="41" t="s">
        <v>138</v>
      </c>
      <c r="D600" s="41" t="s">
        <v>108</v>
      </c>
      <c r="E600" s="42" t="n">
        <v>7005.6</v>
      </c>
      <c r="F600" s="42"/>
      <c r="G600" s="42" t="n">
        <v>250</v>
      </c>
      <c r="H600" s="43" t="n">
        <v>2</v>
      </c>
      <c r="I600" s="34" t="n">
        <f aca="false">E600*H600+N(F600)+N(G600)</f>
        <v>14261.2</v>
      </c>
      <c r="J600" s="42" t="n">
        <f aca="false">ROUND(IFERROR(ROUND(IF(OR(ISNUMBER(SEARCH("week",C600)),ISNUMBER(SEARCH("minggu",C600))),IFERROR(_xlfn.NUMBERVALUE(SUBSTITUTE(LEFT(TRIM(C600),FIND(" ",TRIM(C600)&amp;" ")-1),",","."),"."),LEFT(SUBSTITUTE(LEFT(TRIM(C600),FIND(" ",TRIM(C600)&amp;" ")-1),",","."),FIND("/",SUBSTITUTE(LEFT(TRIM(C600),FIND(" ",TRIM(C600)&amp;" ")-1),",","."))-1)/MID(SUBSTITUTE(LEFT(TRIM(C600),FIND(" ",TRIM(C600)&amp;" ")-1),",","."),FIND("/",SUBSTITUTE(LEFT(TRIM(C600),FIND(" ",TRIM(C600)&amp;" ")-1),",","."))+1,9))*12/52,IF(ISNUMBER(SEARCH("month",C600)),IFERROR(_xlfn.NUMBERVALUE(SUBSTITUTE(LEFT(TRIM(C600),FIND(" ",TRIM(C600)&amp;" ")-1),",","."),"."),LEFT(SUBSTITUTE(LEFT(TRIM(C600),FIND(" ",TRIM(C600)&amp;" ")-1),",","."),FIND("/",SUBSTITUTE(LEFT(TRIM(C600),FIND(" ",TRIM(C600)&amp;" ")-1),",","."))-1)/MID(SUBSTITUTE(LEFT(TRIM(C600),FIND(" ",TRIM(C600)&amp;" ")-1),",","."),FIND("/",SUBSTITUTE(LEFT(TRIM(C600),FIND(" ",TRIM(C600)&amp;" ")-1),",","."))+1,9)),IF(ISNUMBER(SEARCH("yea",C600)),IFERROR(_xlfn.NUMBERVALUE(SUBSTITUTE(LEFT(TRIM(C600),FIND(" ",TRIM(C600)&amp;" ")-1),",","."),"."),LEFT(SUBSTITUTE(LEFT(TRIM(C600),FIND(" ",TRIM(C600)&amp;" ")-1),",","."),FIND("/",SUBSTITUTE(LEFT(TRIM(C600),FIND(" ",TRIM(C600)&amp;" ")-1),",","."))-1)/MID(SUBSTITUTE(LEFT(TRIM(C600),FIND(" ",TRIM(C600)&amp;" ")-1),",","."),FIND("/",SUBSTITUTE(LEFT(TRIM(C600),FIND(" ",TRIM(C600)&amp;" ")-1),",","."))+1,9))*12,NA()))),0),30)*'Aturan &amp; Tarif'!$B$4,2)</f>
        <v>1703.4</v>
      </c>
      <c r="K600" s="42" t="n">
        <f aca="false">'Aturan &amp; Tarif'!$B$5</f>
        <v>2050</v>
      </c>
      <c r="L600" s="35" t="n">
        <f aca="false">I600+J600+K600</f>
        <v>18014.6</v>
      </c>
      <c r="M600" s="44" t="s">
        <v>1645</v>
      </c>
    </row>
    <row r="601" customFormat="false" ht="25.5" hidden="false" customHeight="true" outlineLevel="0" collapsed="false">
      <c r="A601" s="39"/>
      <c r="B601" s="40" t="s">
        <v>990</v>
      </c>
      <c r="C601" s="41" t="s">
        <v>113</v>
      </c>
      <c r="D601" s="41" t="s">
        <v>108</v>
      </c>
      <c r="E601" s="42" t="n">
        <v>6997.5</v>
      </c>
      <c r="F601" s="42"/>
      <c r="G601" s="42" t="n">
        <v>250</v>
      </c>
      <c r="H601" s="43" t="n">
        <v>2</v>
      </c>
      <c r="I601" s="34" t="n">
        <f aca="false">E601*H601+N(F601)+N(G601)</f>
        <v>14245</v>
      </c>
      <c r="J601" s="42" t="n">
        <f aca="false">ROUND(IFERROR(ROUND(IF(OR(ISNUMBER(SEARCH("week",C601)),ISNUMBER(SEARCH("minggu",C601))),IFERROR(_xlfn.NUMBERVALUE(SUBSTITUTE(LEFT(TRIM(C601),FIND(" ",TRIM(C601)&amp;" ")-1),",","."),"."),LEFT(SUBSTITUTE(LEFT(TRIM(C601),FIND(" ",TRIM(C601)&amp;" ")-1),",","."),FIND("/",SUBSTITUTE(LEFT(TRIM(C601),FIND(" ",TRIM(C601)&amp;" ")-1),",","."))-1)/MID(SUBSTITUTE(LEFT(TRIM(C601),FIND(" ",TRIM(C601)&amp;" ")-1),",","."),FIND("/",SUBSTITUTE(LEFT(TRIM(C601),FIND(" ",TRIM(C601)&amp;" ")-1),",","."))+1,9))*12/52,IF(ISNUMBER(SEARCH("month",C601)),IFERROR(_xlfn.NUMBERVALUE(SUBSTITUTE(LEFT(TRIM(C601),FIND(" ",TRIM(C601)&amp;" ")-1),",","."),"."),LEFT(SUBSTITUTE(LEFT(TRIM(C601),FIND(" ",TRIM(C601)&amp;" ")-1),",","."),FIND("/",SUBSTITUTE(LEFT(TRIM(C601),FIND(" ",TRIM(C601)&amp;" ")-1),",","."))-1)/MID(SUBSTITUTE(LEFT(TRIM(C601),FIND(" ",TRIM(C601)&amp;" ")-1),",","."),FIND("/",SUBSTITUTE(LEFT(TRIM(C601),FIND(" ",TRIM(C601)&amp;" ")-1),",","."))+1,9)),IF(ISNUMBER(SEARCH("yea",C601)),IFERROR(_xlfn.NUMBERVALUE(SUBSTITUTE(LEFT(TRIM(C601),FIND(" ",TRIM(C601)&amp;" ")-1),",","."),"."),LEFT(SUBSTITUTE(LEFT(TRIM(C601),FIND(" ",TRIM(C601)&amp;" ")-1),",","."),FIND("/",SUBSTITUTE(LEFT(TRIM(C601),FIND(" ",TRIM(C601)&amp;" ")-1),",","."))-1)/MID(SUBSTITUTE(LEFT(TRIM(C601),FIND(" ",TRIM(C601)&amp;" ")-1),",","."),FIND("/",SUBSTITUTE(LEFT(TRIM(C601),FIND(" ",TRIM(C601)&amp;" ")-1),",","."))+1,9))*12,NA()))),0),18)*'Aturan &amp; Tarif'!$B$4,2)</f>
        <v>1022.04</v>
      </c>
      <c r="K601" s="42" t="n">
        <f aca="false">'Aturan &amp; Tarif'!$B$5</f>
        <v>2050</v>
      </c>
      <c r="L601" s="35" t="n">
        <f aca="false">I601+J601+K601</f>
        <v>17317.04</v>
      </c>
      <c r="M601" s="45" t="s">
        <v>1646</v>
      </c>
    </row>
    <row r="602" customFormat="false" ht="14.25" hidden="false" customHeight="true" outlineLevel="0" collapsed="false">
      <c r="A602" s="39"/>
      <c r="B602" s="40" t="s">
        <v>992</v>
      </c>
      <c r="C602" s="41" t="s">
        <v>344</v>
      </c>
      <c r="D602" s="41" t="s">
        <v>108</v>
      </c>
      <c r="E602" s="42" t="n">
        <v>6737</v>
      </c>
      <c r="F602" s="42"/>
      <c r="G602" s="42" t="n">
        <v>250</v>
      </c>
      <c r="H602" s="43" t="n">
        <v>2</v>
      </c>
      <c r="I602" s="34" t="n">
        <f aca="false">E602*H602+N(F602)+N(G602)</f>
        <v>13724</v>
      </c>
      <c r="J602" s="42" t="n">
        <f aca="false">ROUND(IFERROR(ROUND(IF(OR(ISNUMBER(SEARCH("week",C602)),ISNUMBER(SEARCH("minggu",C602))),IFERROR(_xlfn.NUMBERVALUE(SUBSTITUTE(LEFT(TRIM(C602),FIND(" ",TRIM(C602)&amp;" ")-1),",","."),"."),LEFT(SUBSTITUTE(LEFT(TRIM(C602),FIND(" ",TRIM(C602)&amp;" ")-1),",","."),FIND("/",SUBSTITUTE(LEFT(TRIM(C602),FIND(" ",TRIM(C602)&amp;" ")-1),",","."))-1)/MID(SUBSTITUTE(LEFT(TRIM(C602),FIND(" ",TRIM(C602)&amp;" ")-1),",","."),FIND("/",SUBSTITUTE(LEFT(TRIM(C602),FIND(" ",TRIM(C602)&amp;" ")-1),",","."))+1,9))*12/52,IF(ISNUMBER(SEARCH("month",C602)),IFERROR(_xlfn.NUMBERVALUE(SUBSTITUTE(LEFT(TRIM(C602),FIND(" ",TRIM(C602)&amp;" ")-1),",","."),"."),LEFT(SUBSTITUTE(LEFT(TRIM(C602),FIND(" ",TRIM(C602)&amp;" ")-1),",","."),FIND("/",SUBSTITUTE(LEFT(TRIM(C602),FIND(" ",TRIM(C602)&amp;" ")-1),",","."))-1)/MID(SUBSTITUTE(LEFT(TRIM(C602),FIND(" ",TRIM(C602)&amp;" ")-1),",","."),FIND("/",SUBSTITUTE(LEFT(TRIM(C602),FIND(" ",TRIM(C602)&amp;" ")-1),",","."))+1,9)),IF(ISNUMBER(SEARCH("yea",C602)),IFERROR(_xlfn.NUMBERVALUE(SUBSTITUTE(LEFT(TRIM(C602),FIND(" ",TRIM(C602)&amp;" ")-1),",","."),"."),LEFT(SUBSTITUTE(LEFT(TRIM(C602),FIND(" ",TRIM(C602)&amp;" ")-1),",","."),FIND("/",SUBSTITUTE(LEFT(TRIM(C602),FIND(" ",TRIM(C602)&amp;" ")-1),",","."))-1)/MID(SUBSTITUTE(LEFT(TRIM(C602),FIND(" ",TRIM(C602)&amp;" ")-1),",","."),FIND("/",SUBSTITUTE(LEFT(TRIM(C602),FIND(" ",TRIM(C602)&amp;" ")-1),",","."))+1,9))*12,NA()))),0),6)*'Aturan &amp; Tarif'!$B$4,2)</f>
        <v>340.68</v>
      </c>
      <c r="K602" s="42" t="n">
        <f aca="false">'Aturan &amp; Tarif'!$B$5</f>
        <v>2050</v>
      </c>
      <c r="L602" s="35" t="n">
        <f aca="false">I602+J602+K602</f>
        <v>16114.68</v>
      </c>
      <c r="M602" s="45" t="s">
        <v>1644</v>
      </c>
    </row>
    <row r="603" customFormat="false" ht="14.25" hidden="false" customHeight="true" outlineLevel="0" collapsed="false">
      <c r="A603" s="39"/>
      <c r="B603" s="40" t="s">
        <v>987</v>
      </c>
      <c r="C603" s="41" t="s">
        <v>344</v>
      </c>
      <c r="D603" s="41" t="s">
        <v>108</v>
      </c>
      <c r="E603" s="42" t="n">
        <v>7298.5</v>
      </c>
      <c r="F603" s="42"/>
      <c r="G603" s="42" t="n">
        <v>250</v>
      </c>
      <c r="H603" s="43" t="n">
        <v>2</v>
      </c>
      <c r="I603" s="34" t="n">
        <f aca="false">E603*H603+N(F603)+N(G603)</f>
        <v>14847</v>
      </c>
      <c r="J603" s="42" t="n">
        <f aca="false">ROUND(IFERROR(ROUND(IF(OR(ISNUMBER(SEARCH("week",C603)),ISNUMBER(SEARCH("minggu",C603))),IFERROR(_xlfn.NUMBERVALUE(SUBSTITUTE(LEFT(TRIM(C603),FIND(" ",TRIM(C603)&amp;" ")-1),",","."),"."),LEFT(SUBSTITUTE(LEFT(TRIM(C603),FIND(" ",TRIM(C603)&amp;" ")-1),",","."),FIND("/",SUBSTITUTE(LEFT(TRIM(C603),FIND(" ",TRIM(C603)&amp;" ")-1),",","."))-1)/MID(SUBSTITUTE(LEFT(TRIM(C603),FIND(" ",TRIM(C603)&amp;" ")-1),",","."),FIND("/",SUBSTITUTE(LEFT(TRIM(C603),FIND(" ",TRIM(C603)&amp;" ")-1),",","."))+1,9))*12/52,IF(ISNUMBER(SEARCH("month",C603)),IFERROR(_xlfn.NUMBERVALUE(SUBSTITUTE(LEFT(TRIM(C603),FIND(" ",TRIM(C603)&amp;" ")-1),",","."),"."),LEFT(SUBSTITUTE(LEFT(TRIM(C603),FIND(" ",TRIM(C603)&amp;" ")-1),",","."),FIND("/",SUBSTITUTE(LEFT(TRIM(C603),FIND(" ",TRIM(C603)&amp;" ")-1),",","."))-1)/MID(SUBSTITUTE(LEFT(TRIM(C603),FIND(" ",TRIM(C603)&amp;" ")-1),",","."),FIND("/",SUBSTITUTE(LEFT(TRIM(C603),FIND(" ",TRIM(C603)&amp;" ")-1),",","."))+1,9)),IF(ISNUMBER(SEARCH("yea",C603)),IFERROR(_xlfn.NUMBERVALUE(SUBSTITUTE(LEFT(TRIM(C603),FIND(" ",TRIM(C603)&amp;" ")-1),",","."),"."),LEFT(SUBSTITUTE(LEFT(TRIM(C603),FIND(" ",TRIM(C603)&amp;" ")-1),",","."),FIND("/",SUBSTITUTE(LEFT(TRIM(C603),FIND(" ",TRIM(C603)&amp;" ")-1),",","."))-1)/MID(SUBSTITUTE(LEFT(TRIM(C603),FIND(" ",TRIM(C603)&amp;" ")-1),",","."),FIND("/",SUBSTITUTE(LEFT(TRIM(C603),FIND(" ",TRIM(C603)&amp;" ")-1),",","."))+1,9))*12,NA()))),0),6)*'Aturan &amp; Tarif'!$B$4,2)</f>
        <v>340.68</v>
      </c>
      <c r="K603" s="42" t="n">
        <f aca="false">'Aturan &amp; Tarif'!$B$5</f>
        <v>2050</v>
      </c>
      <c r="L603" s="35" t="n">
        <f aca="false">I603+J603+K603</f>
        <v>17237.68</v>
      </c>
      <c r="M603" s="45" t="s">
        <v>1644</v>
      </c>
    </row>
    <row r="604" customFormat="false" ht="14.25" hidden="false" customHeight="true" outlineLevel="0" collapsed="false">
      <c r="A604" s="39"/>
      <c r="B604" s="40" t="s">
        <v>993</v>
      </c>
      <c r="C604" s="41" t="s">
        <v>138</v>
      </c>
      <c r="D604" s="41" t="s">
        <v>108</v>
      </c>
      <c r="E604" s="42" t="n">
        <v>7005.6</v>
      </c>
      <c r="F604" s="42"/>
      <c r="G604" s="42" t="n">
        <v>250</v>
      </c>
      <c r="H604" s="43" t="n">
        <v>2</v>
      </c>
      <c r="I604" s="34" t="n">
        <f aca="false">E604*H604+N(F604)+N(G604)</f>
        <v>14261.2</v>
      </c>
      <c r="J604" s="42" t="n">
        <f aca="false">ROUND(IFERROR(ROUND(IF(OR(ISNUMBER(SEARCH("week",C604)),ISNUMBER(SEARCH("minggu",C604))),IFERROR(_xlfn.NUMBERVALUE(SUBSTITUTE(LEFT(TRIM(C604),FIND(" ",TRIM(C604)&amp;" ")-1),",","."),"."),LEFT(SUBSTITUTE(LEFT(TRIM(C604),FIND(" ",TRIM(C604)&amp;" ")-1),",","."),FIND("/",SUBSTITUTE(LEFT(TRIM(C604),FIND(" ",TRIM(C604)&amp;" ")-1),",","."))-1)/MID(SUBSTITUTE(LEFT(TRIM(C604),FIND(" ",TRIM(C604)&amp;" ")-1),",","."),FIND("/",SUBSTITUTE(LEFT(TRIM(C604),FIND(" ",TRIM(C604)&amp;" ")-1),",","."))+1,9))*12/52,IF(ISNUMBER(SEARCH("month",C604)),IFERROR(_xlfn.NUMBERVALUE(SUBSTITUTE(LEFT(TRIM(C604),FIND(" ",TRIM(C604)&amp;" ")-1),",","."),"."),LEFT(SUBSTITUTE(LEFT(TRIM(C604),FIND(" ",TRIM(C604)&amp;" ")-1),",","."),FIND("/",SUBSTITUTE(LEFT(TRIM(C604),FIND(" ",TRIM(C604)&amp;" ")-1),",","."))-1)/MID(SUBSTITUTE(LEFT(TRIM(C604),FIND(" ",TRIM(C604)&amp;" ")-1),",","."),FIND("/",SUBSTITUTE(LEFT(TRIM(C604),FIND(" ",TRIM(C604)&amp;" ")-1),",","."))+1,9)),IF(ISNUMBER(SEARCH("yea",C604)),IFERROR(_xlfn.NUMBERVALUE(SUBSTITUTE(LEFT(TRIM(C604),FIND(" ",TRIM(C604)&amp;" ")-1),",","."),"."),LEFT(SUBSTITUTE(LEFT(TRIM(C604),FIND(" ",TRIM(C604)&amp;" ")-1),",","."),FIND("/",SUBSTITUTE(LEFT(TRIM(C604),FIND(" ",TRIM(C604)&amp;" ")-1),",","."))-1)/MID(SUBSTITUTE(LEFT(TRIM(C604),FIND(" ",TRIM(C604)&amp;" ")-1),",","."),FIND("/",SUBSTITUTE(LEFT(TRIM(C604),FIND(" ",TRIM(C604)&amp;" ")-1),",","."))+1,9))*12,NA()))),0),30)*'Aturan &amp; Tarif'!$B$4,2)</f>
        <v>1703.4</v>
      </c>
      <c r="K604" s="42" t="n">
        <f aca="false">'Aturan &amp; Tarif'!$B$5</f>
        <v>2050</v>
      </c>
      <c r="L604" s="35" t="n">
        <f aca="false">I604+J604+K604</f>
        <v>18014.6</v>
      </c>
      <c r="M604" s="44" t="s">
        <v>1645</v>
      </c>
    </row>
    <row r="605" customFormat="false" ht="14.25" hidden="false" customHeight="true" outlineLevel="0" collapsed="false">
      <c r="A605" s="39"/>
      <c r="B605" s="40" t="s">
        <v>994</v>
      </c>
      <c r="C605" s="41" t="s">
        <v>127</v>
      </c>
      <c r="D605" s="41" t="s">
        <v>108</v>
      </c>
      <c r="E605" s="42" t="n">
        <v>5688.58</v>
      </c>
      <c r="F605" s="42"/>
      <c r="G605" s="42" t="n">
        <v>250</v>
      </c>
      <c r="H605" s="43" t="n">
        <v>2</v>
      </c>
      <c r="I605" s="34" t="n">
        <f aca="false">E605*H605+N(F605)+N(G605)</f>
        <v>11627.16</v>
      </c>
      <c r="J605" s="42" t="n">
        <f aca="false">ROUND(IFERROR(ROUND(IF(OR(ISNUMBER(SEARCH("week",C605)),ISNUMBER(SEARCH("minggu",C605))),IFERROR(_xlfn.NUMBERVALUE(SUBSTITUTE(LEFT(TRIM(C605),FIND(" ",TRIM(C605)&amp;" ")-1),",","."),"."),LEFT(SUBSTITUTE(LEFT(TRIM(C605),FIND(" ",TRIM(C605)&amp;" ")-1),",","."),FIND("/",SUBSTITUTE(LEFT(TRIM(C605),FIND(" ",TRIM(C605)&amp;" ")-1),",","."))-1)/MID(SUBSTITUTE(LEFT(TRIM(C605),FIND(" ",TRIM(C605)&amp;" ")-1),",","."),FIND("/",SUBSTITUTE(LEFT(TRIM(C605),FIND(" ",TRIM(C605)&amp;" ")-1),",","."))+1,9))*12/52,IF(ISNUMBER(SEARCH("month",C605)),IFERROR(_xlfn.NUMBERVALUE(SUBSTITUTE(LEFT(TRIM(C605),FIND(" ",TRIM(C605)&amp;" ")-1),",","."),"."),LEFT(SUBSTITUTE(LEFT(TRIM(C605),FIND(" ",TRIM(C605)&amp;" ")-1),",","."),FIND("/",SUBSTITUTE(LEFT(TRIM(C605),FIND(" ",TRIM(C605)&amp;" ")-1),",","."))-1)/MID(SUBSTITUTE(LEFT(TRIM(C605),FIND(" ",TRIM(C605)&amp;" ")-1),",","."),FIND("/",SUBSTITUTE(LEFT(TRIM(C605),FIND(" ",TRIM(C605)&amp;" ")-1),",","."))+1,9)),IF(ISNUMBER(SEARCH("yea",C605)),IFERROR(_xlfn.NUMBERVALUE(SUBSTITUTE(LEFT(TRIM(C605),FIND(" ",TRIM(C605)&amp;" ")-1),",","."),"."),LEFT(SUBSTITUTE(LEFT(TRIM(C605),FIND(" ",TRIM(C605)&amp;" ")-1),",","."),FIND("/",SUBSTITUTE(LEFT(TRIM(C605),FIND(" ",TRIM(C605)&amp;" ")-1),",","."))-1)/MID(SUBSTITUTE(LEFT(TRIM(C605),FIND(" ",TRIM(C605)&amp;" ")-1),",","."),FIND("/",SUBSTITUTE(LEFT(TRIM(C605),FIND(" ",TRIM(C605)&amp;" ")-1),",","."))+1,9))*12,NA()))),0),36)*'Aturan &amp; Tarif'!$B$4,2)</f>
        <v>2044.08</v>
      </c>
      <c r="K605" s="42" t="n">
        <f aca="false">'Aturan &amp; Tarif'!$B$5</f>
        <v>2050</v>
      </c>
      <c r="L605" s="35" t="n">
        <f aca="false">I605+J605+K605</f>
        <v>15721.24</v>
      </c>
      <c r="M605" s="45" t="s">
        <v>1647</v>
      </c>
    </row>
    <row r="606" customFormat="false" ht="14.25" hidden="false" customHeight="true" outlineLevel="0" collapsed="false">
      <c r="A606" s="39"/>
      <c r="B606" s="40" t="s">
        <v>996</v>
      </c>
      <c r="C606" s="41" t="s">
        <v>127</v>
      </c>
      <c r="D606" s="41" t="s">
        <v>108</v>
      </c>
      <c r="E606" s="42" t="n">
        <v>5821.66</v>
      </c>
      <c r="F606" s="42"/>
      <c r="G606" s="42" t="n">
        <v>250</v>
      </c>
      <c r="H606" s="43" t="n">
        <v>2</v>
      </c>
      <c r="I606" s="34" t="n">
        <f aca="false">E606*H606+N(F606)+N(G606)</f>
        <v>11893.32</v>
      </c>
      <c r="J606" s="42" t="n">
        <f aca="false">ROUND(IFERROR(ROUND(IF(OR(ISNUMBER(SEARCH("week",C606)),ISNUMBER(SEARCH("minggu",C606))),IFERROR(_xlfn.NUMBERVALUE(SUBSTITUTE(LEFT(TRIM(C606),FIND(" ",TRIM(C606)&amp;" ")-1),",","."),"."),LEFT(SUBSTITUTE(LEFT(TRIM(C606),FIND(" ",TRIM(C606)&amp;" ")-1),",","."),FIND("/",SUBSTITUTE(LEFT(TRIM(C606),FIND(" ",TRIM(C606)&amp;" ")-1),",","."))-1)/MID(SUBSTITUTE(LEFT(TRIM(C606),FIND(" ",TRIM(C606)&amp;" ")-1),",","."),FIND("/",SUBSTITUTE(LEFT(TRIM(C606),FIND(" ",TRIM(C606)&amp;" ")-1),",","."))+1,9))*12/52,IF(ISNUMBER(SEARCH("month",C606)),IFERROR(_xlfn.NUMBERVALUE(SUBSTITUTE(LEFT(TRIM(C606),FIND(" ",TRIM(C606)&amp;" ")-1),",","."),"."),LEFT(SUBSTITUTE(LEFT(TRIM(C606),FIND(" ",TRIM(C606)&amp;" ")-1),",","."),FIND("/",SUBSTITUTE(LEFT(TRIM(C606),FIND(" ",TRIM(C606)&amp;" ")-1),",","."))-1)/MID(SUBSTITUTE(LEFT(TRIM(C606),FIND(" ",TRIM(C606)&amp;" ")-1),",","."),FIND("/",SUBSTITUTE(LEFT(TRIM(C606),FIND(" ",TRIM(C606)&amp;" ")-1),",","."))+1,9)),IF(ISNUMBER(SEARCH("yea",C606)),IFERROR(_xlfn.NUMBERVALUE(SUBSTITUTE(LEFT(TRIM(C606),FIND(" ",TRIM(C606)&amp;" ")-1),",","."),"."),LEFT(SUBSTITUTE(LEFT(TRIM(C606),FIND(" ",TRIM(C606)&amp;" ")-1),",","."),FIND("/",SUBSTITUTE(LEFT(TRIM(C606),FIND(" ",TRIM(C606)&amp;" ")-1),",","."))-1)/MID(SUBSTITUTE(LEFT(TRIM(C606),FIND(" ",TRIM(C606)&amp;" ")-1),",","."),FIND("/",SUBSTITUTE(LEFT(TRIM(C606),FIND(" ",TRIM(C606)&amp;" ")-1),",","."))+1,9))*12,NA()))),0),36)*'Aturan &amp; Tarif'!$B$4,2)</f>
        <v>2044.08</v>
      </c>
      <c r="K606" s="42" t="n">
        <f aca="false">'Aturan &amp; Tarif'!$B$5</f>
        <v>2050</v>
      </c>
      <c r="L606" s="35" t="n">
        <f aca="false">I606+J606+K606</f>
        <v>15987.4</v>
      </c>
      <c r="M606" s="45" t="s">
        <v>1644</v>
      </c>
    </row>
    <row r="607" customFormat="false" ht="25.5" hidden="false" customHeight="true" outlineLevel="0" collapsed="false">
      <c r="A607" s="39"/>
      <c r="B607" s="40" t="s">
        <v>997</v>
      </c>
      <c r="C607" s="41" t="s">
        <v>107</v>
      </c>
      <c r="D607" s="41" t="s">
        <v>108</v>
      </c>
      <c r="E607" s="42" t="n">
        <v>6818.75</v>
      </c>
      <c r="F607" s="42"/>
      <c r="G607" s="42" t="n">
        <v>250</v>
      </c>
      <c r="H607" s="43" t="n">
        <v>2</v>
      </c>
      <c r="I607" s="34" t="n">
        <f aca="false">E607*H607+N(F607)+N(G607)</f>
        <v>13887.5</v>
      </c>
      <c r="J607" s="42" t="n">
        <f aca="false">ROUND(IFERROR(ROUND(IF(OR(ISNUMBER(SEARCH("week",C607)),ISNUMBER(SEARCH("minggu",C607))),IFERROR(_xlfn.NUMBERVALUE(SUBSTITUTE(LEFT(TRIM(C607),FIND(" ",TRIM(C607)&amp;" ")-1),",","."),"."),LEFT(SUBSTITUTE(LEFT(TRIM(C607),FIND(" ",TRIM(C607)&amp;" ")-1),",","."),FIND("/",SUBSTITUTE(LEFT(TRIM(C607),FIND(" ",TRIM(C607)&amp;" ")-1),",","."))-1)/MID(SUBSTITUTE(LEFT(TRIM(C607),FIND(" ",TRIM(C607)&amp;" ")-1),",","."),FIND("/",SUBSTITUTE(LEFT(TRIM(C607),FIND(" ",TRIM(C607)&amp;" ")-1),",","."))+1,9))*12/52,IF(ISNUMBER(SEARCH("month",C607)),IFERROR(_xlfn.NUMBERVALUE(SUBSTITUTE(LEFT(TRIM(C607),FIND(" ",TRIM(C607)&amp;" ")-1),",","."),"."),LEFT(SUBSTITUTE(LEFT(TRIM(C607),FIND(" ",TRIM(C607)&amp;" ")-1),",","."),FIND("/",SUBSTITUTE(LEFT(TRIM(C607),FIND(" ",TRIM(C607)&amp;" ")-1),",","."))-1)/MID(SUBSTITUTE(LEFT(TRIM(C607),FIND(" ",TRIM(C607)&amp;" ")-1),",","."),FIND("/",SUBSTITUTE(LEFT(TRIM(C607),FIND(" ",TRIM(C607)&amp;" ")-1),",","."))+1,9)),IF(ISNUMBER(SEARCH("yea",C607)),IFERROR(_xlfn.NUMBERVALUE(SUBSTITUTE(LEFT(TRIM(C607),FIND(" ",TRIM(C607)&amp;" ")-1),",","."),"."),LEFT(SUBSTITUTE(LEFT(TRIM(C607),FIND(" ",TRIM(C607)&amp;" ")-1),",","."),FIND("/",SUBSTITUTE(LEFT(TRIM(C607),FIND(" ",TRIM(C607)&amp;" ")-1),",","."))-1)/MID(SUBSTITUTE(LEFT(TRIM(C607),FIND(" ",TRIM(C607)&amp;" ")-1),",","."),FIND("/",SUBSTITUTE(LEFT(TRIM(C607),FIND(" ",TRIM(C607)&amp;" ")-1),",","."))+1,9))*12,NA()))),0),24)*'Aturan &amp; Tarif'!$B$4,2)</f>
        <v>1362.72</v>
      </c>
      <c r="K607" s="42" t="n">
        <f aca="false">'Aturan &amp; Tarif'!$B$5</f>
        <v>2050</v>
      </c>
      <c r="L607" s="35" t="n">
        <f aca="false">I607+J607+K607</f>
        <v>17300.22</v>
      </c>
      <c r="M607" s="45" t="s">
        <v>1648</v>
      </c>
    </row>
    <row r="608" customFormat="false" ht="37.5" hidden="false" customHeight="true" outlineLevel="0" collapsed="false">
      <c r="A608" s="39"/>
      <c r="B608" s="40" t="s">
        <v>999</v>
      </c>
      <c r="C608" s="41" t="s">
        <v>107</v>
      </c>
      <c r="D608" s="41" t="s">
        <v>108</v>
      </c>
      <c r="E608" s="42" t="n">
        <v>6760</v>
      </c>
      <c r="F608" s="42"/>
      <c r="G608" s="42" t="n">
        <v>250</v>
      </c>
      <c r="H608" s="43" t="n">
        <v>2</v>
      </c>
      <c r="I608" s="34" t="n">
        <f aca="false">E608*H608+N(F608)+N(G608)</f>
        <v>13770</v>
      </c>
      <c r="J608" s="42" t="n">
        <f aca="false">ROUND(IFERROR(ROUND(IF(OR(ISNUMBER(SEARCH("week",C608)),ISNUMBER(SEARCH("minggu",C608))),IFERROR(_xlfn.NUMBERVALUE(SUBSTITUTE(LEFT(TRIM(C608),FIND(" ",TRIM(C608)&amp;" ")-1),",","."),"."),LEFT(SUBSTITUTE(LEFT(TRIM(C608),FIND(" ",TRIM(C608)&amp;" ")-1),",","."),FIND("/",SUBSTITUTE(LEFT(TRIM(C608),FIND(" ",TRIM(C608)&amp;" ")-1),",","."))-1)/MID(SUBSTITUTE(LEFT(TRIM(C608),FIND(" ",TRIM(C608)&amp;" ")-1),",","."),FIND("/",SUBSTITUTE(LEFT(TRIM(C608),FIND(" ",TRIM(C608)&amp;" ")-1),",","."))+1,9))*12/52,IF(ISNUMBER(SEARCH("month",C608)),IFERROR(_xlfn.NUMBERVALUE(SUBSTITUTE(LEFT(TRIM(C608),FIND(" ",TRIM(C608)&amp;" ")-1),",","."),"."),LEFT(SUBSTITUTE(LEFT(TRIM(C608),FIND(" ",TRIM(C608)&amp;" ")-1),",","."),FIND("/",SUBSTITUTE(LEFT(TRIM(C608),FIND(" ",TRIM(C608)&amp;" ")-1),",","."))-1)/MID(SUBSTITUTE(LEFT(TRIM(C608),FIND(" ",TRIM(C608)&amp;" ")-1),",","."),FIND("/",SUBSTITUTE(LEFT(TRIM(C608),FIND(" ",TRIM(C608)&amp;" ")-1),",","."))+1,9)),IF(ISNUMBER(SEARCH("yea",C608)),IFERROR(_xlfn.NUMBERVALUE(SUBSTITUTE(LEFT(TRIM(C608),FIND(" ",TRIM(C608)&amp;" ")-1),",","."),"."),LEFT(SUBSTITUTE(LEFT(TRIM(C608),FIND(" ",TRIM(C608)&amp;" ")-1),",","."),FIND("/",SUBSTITUTE(LEFT(TRIM(C608),FIND(" ",TRIM(C608)&amp;" ")-1),",","."))-1)/MID(SUBSTITUTE(LEFT(TRIM(C608),FIND(" ",TRIM(C608)&amp;" ")-1),",","."),FIND("/",SUBSTITUTE(LEFT(TRIM(C608),FIND(" ",TRIM(C608)&amp;" ")-1),",","."))+1,9))*12,NA()))),0),24)*'Aturan &amp; Tarif'!$B$4,2)</f>
        <v>1362.72</v>
      </c>
      <c r="K608" s="42" t="n">
        <f aca="false">'Aturan &amp; Tarif'!$B$5</f>
        <v>2050</v>
      </c>
      <c r="L608" s="35" t="n">
        <f aca="false">I608+J608+K608</f>
        <v>17182.72</v>
      </c>
      <c r="M608" s="45" t="s">
        <v>1649</v>
      </c>
    </row>
    <row r="609" customFormat="false" ht="72" hidden="false" customHeight="true" outlineLevel="0" collapsed="false">
      <c r="A609" s="29" t="s">
        <v>2175</v>
      </c>
      <c r="B609" s="30" t="s">
        <v>2176</v>
      </c>
      <c r="C609" s="31" t="s">
        <v>2177</v>
      </c>
      <c r="D609" s="31" t="s">
        <v>108</v>
      </c>
      <c r="E609" s="32" t="n">
        <v>2800</v>
      </c>
      <c r="F609" s="32" t="n">
        <v>1850</v>
      </c>
      <c r="G609" s="32" t="n">
        <v>300</v>
      </c>
      <c r="H609" s="33" t="n">
        <v>1</v>
      </c>
      <c r="I609" s="34" t="n">
        <f aca="false">E609*H609+N(F609)+N(G609)</f>
        <v>4950</v>
      </c>
      <c r="J609" s="32" t="n">
        <f aca="false">ROUND(IFERROR(ROUND(IF(OR(ISNUMBER(SEARCH("week",C609)),ISNUMBER(SEARCH("minggu",C609))),IFERROR(_xlfn.NUMBERVALUE(SUBSTITUTE(LEFT(TRIM(C609),FIND(" ",TRIM(C609)&amp;" ")-1),",","."),"."),LEFT(SUBSTITUTE(LEFT(TRIM(C609),FIND(" ",TRIM(C609)&amp;" ")-1),",","."),FIND("/",SUBSTITUTE(LEFT(TRIM(C609),FIND(" ",TRIM(C609)&amp;" ")-1),",","."))-1)/MID(SUBSTITUTE(LEFT(TRIM(C609),FIND(" ",TRIM(C609)&amp;" ")-1),",","."),FIND("/",SUBSTITUTE(LEFT(TRIM(C609),FIND(" ",TRIM(C609)&amp;" ")-1),",","."))+1,9))*12/52,IF(ISNUMBER(SEARCH("month",C609)),IFERROR(_xlfn.NUMBERVALUE(SUBSTITUTE(LEFT(TRIM(C609),FIND(" ",TRIM(C609)&amp;" ")-1),",","."),"."),LEFT(SUBSTITUTE(LEFT(TRIM(C609),FIND(" ",TRIM(C609)&amp;" ")-1),",","."),FIND("/",SUBSTITUTE(LEFT(TRIM(C609),FIND(" ",TRIM(C609)&amp;" ")-1),",","."))-1)/MID(SUBSTITUTE(LEFT(TRIM(C609),FIND(" ",TRIM(C609)&amp;" ")-1),",","."),FIND("/",SUBSTITUTE(LEFT(TRIM(C609),FIND(" ",TRIM(C609)&amp;" ")-1),",","."))+1,9)),IF(ISNUMBER(SEARCH("yea",C609)),IFERROR(_xlfn.NUMBERVALUE(SUBSTITUTE(LEFT(TRIM(C609),FIND(" ",TRIM(C609)&amp;" ")-1),",","."),"."),LEFT(SUBSTITUTE(LEFT(TRIM(C609),FIND(" ",TRIM(C609)&amp;" ")-1),",","."),FIND("/",SUBSTITUTE(LEFT(TRIM(C609),FIND(" ",TRIM(C609)&amp;" ")-1),",","."))-1)/MID(SUBSTITUTE(LEFT(TRIM(C609),FIND(" ",TRIM(C609)&amp;" ")-1),",","."),FIND("/",SUBSTITUTE(LEFT(TRIM(C609),FIND(" ",TRIM(C609)&amp;" ")-1),",","."))+1,9))*12,NA()))),0),24)*'Aturan &amp; Tarif'!$B$4,2)</f>
        <v>1533.06</v>
      </c>
      <c r="K609" s="32" t="n">
        <f aca="false">'Aturan &amp; Tarif'!$B$5</f>
        <v>2050</v>
      </c>
      <c r="L609" s="35" t="n">
        <f aca="false">I609+J609+K609</f>
        <v>8533.06</v>
      </c>
      <c r="M609" s="36" t="s">
        <v>2178</v>
      </c>
    </row>
    <row r="610" customFormat="false" ht="72" hidden="false" customHeight="true" outlineLevel="0" collapsed="false">
      <c r="A610" s="29"/>
      <c r="B610" s="30" t="s">
        <v>2179</v>
      </c>
      <c r="C610" s="31" t="s">
        <v>2177</v>
      </c>
      <c r="D610" s="31" t="s">
        <v>108</v>
      </c>
      <c r="E610" s="32" t="n">
        <v>2800</v>
      </c>
      <c r="F610" s="32" t="n">
        <v>1850</v>
      </c>
      <c r="G610" s="32" t="n">
        <v>300</v>
      </c>
      <c r="H610" s="33" t="n">
        <v>1</v>
      </c>
      <c r="I610" s="34" t="n">
        <f aca="false">E610*H610+N(F610)+N(G610)</f>
        <v>4950</v>
      </c>
      <c r="J610" s="32" t="n">
        <f aca="false">ROUND(IFERROR(ROUND(IF(OR(ISNUMBER(SEARCH("week",C610)),ISNUMBER(SEARCH("minggu",C610))),IFERROR(_xlfn.NUMBERVALUE(SUBSTITUTE(LEFT(TRIM(C610),FIND(" ",TRIM(C610)&amp;" ")-1),",","."),"."),LEFT(SUBSTITUTE(LEFT(TRIM(C610),FIND(" ",TRIM(C610)&amp;" ")-1),",","."),FIND("/",SUBSTITUTE(LEFT(TRIM(C610),FIND(" ",TRIM(C610)&amp;" ")-1),",","."))-1)/MID(SUBSTITUTE(LEFT(TRIM(C610),FIND(" ",TRIM(C610)&amp;" ")-1),",","."),FIND("/",SUBSTITUTE(LEFT(TRIM(C610),FIND(" ",TRIM(C610)&amp;" ")-1),",","."))+1,9))*12/52,IF(ISNUMBER(SEARCH("month",C610)),IFERROR(_xlfn.NUMBERVALUE(SUBSTITUTE(LEFT(TRIM(C610),FIND(" ",TRIM(C610)&amp;" ")-1),",","."),"."),LEFT(SUBSTITUTE(LEFT(TRIM(C610),FIND(" ",TRIM(C610)&amp;" ")-1),",","."),FIND("/",SUBSTITUTE(LEFT(TRIM(C610),FIND(" ",TRIM(C610)&amp;" ")-1),",","."))-1)/MID(SUBSTITUTE(LEFT(TRIM(C610),FIND(" ",TRIM(C610)&amp;" ")-1),",","."),FIND("/",SUBSTITUTE(LEFT(TRIM(C610),FIND(" ",TRIM(C610)&amp;" ")-1),",","."))+1,9)),IF(ISNUMBER(SEARCH("yea",C610)),IFERROR(_xlfn.NUMBERVALUE(SUBSTITUTE(LEFT(TRIM(C610),FIND(" ",TRIM(C610)&amp;" ")-1),",","."),"."),LEFT(SUBSTITUTE(LEFT(TRIM(C610),FIND(" ",TRIM(C610)&amp;" ")-1),",","."),FIND("/",SUBSTITUTE(LEFT(TRIM(C610),FIND(" ",TRIM(C610)&amp;" ")-1),",","."))-1)/MID(SUBSTITUTE(LEFT(TRIM(C610),FIND(" ",TRIM(C610)&amp;" ")-1),",","."),FIND("/",SUBSTITUTE(LEFT(TRIM(C610),FIND(" ",TRIM(C610)&amp;" ")-1),",","."))+1,9))*12,NA()))),0),30)*'Aturan &amp; Tarif'!$B$4,2)</f>
        <v>1533.06</v>
      </c>
      <c r="K610" s="32" t="n">
        <f aca="false">'Aturan &amp; Tarif'!$B$5</f>
        <v>2050</v>
      </c>
      <c r="L610" s="35" t="n">
        <f aca="false">I610+J610+K610</f>
        <v>8533.06</v>
      </c>
      <c r="M610" s="36" t="s">
        <v>2178</v>
      </c>
    </row>
    <row r="611" customFormat="false" ht="72" hidden="false" customHeight="true" outlineLevel="0" collapsed="false">
      <c r="A611" s="29"/>
      <c r="B611" s="30" t="s">
        <v>2180</v>
      </c>
      <c r="C611" s="31" t="s">
        <v>2181</v>
      </c>
      <c r="D611" s="31" t="s">
        <v>108</v>
      </c>
      <c r="E611" s="32" t="n">
        <v>2800</v>
      </c>
      <c r="F611" s="32" t="n">
        <v>2100</v>
      </c>
      <c r="G611" s="32" t="n">
        <v>300</v>
      </c>
      <c r="H611" s="33" t="n">
        <v>1</v>
      </c>
      <c r="I611" s="34" t="n">
        <f aca="false">E611*H611+N(F611)+N(G611)</f>
        <v>5200</v>
      </c>
      <c r="J611" s="32" t="n">
        <f aca="false">ROUND(IFERROR(ROUND(IF(OR(ISNUMBER(SEARCH("week",C611)),ISNUMBER(SEARCH("minggu",C611))),IFERROR(_xlfn.NUMBERVALUE(SUBSTITUTE(LEFT(TRIM(C611),FIND(" ",TRIM(C611)&amp;" ")-1),",","."),"."),LEFT(SUBSTITUTE(LEFT(TRIM(C611),FIND(" ",TRIM(C611)&amp;" ")-1),",","."),FIND("/",SUBSTITUTE(LEFT(TRIM(C611),FIND(" ",TRIM(C611)&amp;" ")-1),",","."))-1)/MID(SUBSTITUTE(LEFT(TRIM(C611),FIND(" ",TRIM(C611)&amp;" ")-1),",","."),FIND("/",SUBSTITUTE(LEFT(TRIM(C611),FIND(" ",TRIM(C611)&amp;" ")-1),",","."))+1,9))*12/52,IF(ISNUMBER(SEARCH("month",C611)),IFERROR(_xlfn.NUMBERVALUE(SUBSTITUTE(LEFT(TRIM(C611),FIND(" ",TRIM(C611)&amp;" ")-1),",","."),"."),LEFT(SUBSTITUTE(LEFT(TRIM(C611),FIND(" ",TRIM(C611)&amp;" ")-1),",","."),FIND("/",SUBSTITUTE(LEFT(TRIM(C611),FIND(" ",TRIM(C611)&amp;" ")-1),",","."))-1)/MID(SUBSTITUTE(LEFT(TRIM(C611),FIND(" ",TRIM(C611)&amp;" ")-1),",","."),FIND("/",SUBSTITUTE(LEFT(TRIM(C611),FIND(" ",TRIM(C611)&amp;" ")-1),",","."))+1,9)),IF(ISNUMBER(SEARCH("yea",C611)),IFERROR(_xlfn.NUMBERVALUE(SUBSTITUTE(LEFT(TRIM(C611),FIND(" ",TRIM(C611)&amp;" ")-1),",","."),"."),LEFT(SUBSTITUTE(LEFT(TRIM(C611),FIND(" ",TRIM(C611)&amp;" ")-1),",","."),FIND("/",SUBSTITUTE(LEFT(TRIM(C611),FIND(" ",TRIM(C611)&amp;" ")-1),",","."))-1)/MID(SUBSTITUTE(LEFT(TRIM(C611),FIND(" ",TRIM(C611)&amp;" ")-1),",","."),FIND("/",SUBSTITUTE(LEFT(TRIM(C611),FIND(" ",TRIM(C611)&amp;" ")-1),",","."))+1,9))*12,NA()))),0),42)*'Aturan &amp; Tarif'!$B$4,2)</f>
        <v>2384.76</v>
      </c>
      <c r="K611" s="32" t="n">
        <f aca="false">'Aturan &amp; Tarif'!$B$5</f>
        <v>2050</v>
      </c>
      <c r="L611" s="35" t="n">
        <f aca="false">I611+J611+K611</f>
        <v>9634.76</v>
      </c>
      <c r="M611" s="36" t="s">
        <v>2182</v>
      </c>
    </row>
    <row r="612" customFormat="false" ht="72" hidden="false" customHeight="true" outlineLevel="0" collapsed="false">
      <c r="A612" s="29"/>
      <c r="B612" s="30" t="s">
        <v>2183</v>
      </c>
      <c r="C612" s="31" t="s">
        <v>127</v>
      </c>
      <c r="D612" s="31" t="s">
        <v>108</v>
      </c>
      <c r="E612" s="32" t="n">
        <v>2800</v>
      </c>
      <c r="F612" s="32" t="n">
        <v>3100</v>
      </c>
      <c r="G612" s="32" t="n">
        <v>250</v>
      </c>
      <c r="H612" s="33" t="n">
        <v>1</v>
      </c>
      <c r="I612" s="34" t="n">
        <f aca="false">E612*H612+N(F612)+N(G612)</f>
        <v>6150</v>
      </c>
      <c r="J612" s="32" t="n">
        <f aca="false">ROUND(IFERROR(ROUND(IF(OR(ISNUMBER(SEARCH("week",C612)),ISNUMBER(SEARCH("minggu",C612))),IFERROR(_xlfn.NUMBERVALUE(SUBSTITUTE(LEFT(TRIM(C612),FIND(" ",TRIM(C612)&amp;" ")-1),",","."),"."),LEFT(SUBSTITUTE(LEFT(TRIM(C612),FIND(" ",TRIM(C612)&amp;" ")-1),",","."),FIND("/",SUBSTITUTE(LEFT(TRIM(C612),FIND(" ",TRIM(C612)&amp;" ")-1),",","."))-1)/MID(SUBSTITUTE(LEFT(TRIM(C612),FIND(" ",TRIM(C612)&amp;" ")-1),",","."),FIND("/",SUBSTITUTE(LEFT(TRIM(C612),FIND(" ",TRIM(C612)&amp;" ")-1),",","."))+1,9))*12/52,IF(ISNUMBER(SEARCH("month",C612)),IFERROR(_xlfn.NUMBERVALUE(SUBSTITUTE(LEFT(TRIM(C612),FIND(" ",TRIM(C612)&amp;" ")-1),",","."),"."),LEFT(SUBSTITUTE(LEFT(TRIM(C612),FIND(" ",TRIM(C612)&amp;" ")-1),",","."),FIND("/",SUBSTITUTE(LEFT(TRIM(C612),FIND(" ",TRIM(C612)&amp;" ")-1),",","."))-1)/MID(SUBSTITUTE(LEFT(TRIM(C612),FIND(" ",TRIM(C612)&amp;" ")-1),",","."),FIND("/",SUBSTITUTE(LEFT(TRIM(C612),FIND(" ",TRIM(C612)&amp;" ")-1),",","."))+1,9)),IF(ISNUMBER(SEARCH("yea",C612)),IFERROR(_xlfn.NUMBERVALUE(SUBSTITUTE(LEFT(TRIM(C612),FIND(" ",TRIM(C612)&amp;" ")-1),",","."),"."),LEFT(SUBSTITUTE(LEFT(TRIM(C612),FIND(" ",TRIM(C612)&amp;" ")-1),",","."),FIND("/",SUBSTITUTE(LEFT(TRIM(C612),FIND(" ",TRIM(C612)&amp;" ")-1),",","."))-1)/MID(SUBSTITUTE(LEFT(TRIM(C612),FIND(" ",TRIM(C612)&amp;" ")-1),",","."),FIND("/",SUBSTITUTE(LEFT(TRIM(C612),FIND(" ",TRIM(C612)&amp;" ")-1),",","."))+1,9))*12,NA()))),0),36)*'Aturan &amp; Tarif'!$B$4,2)</f>
        <v>2044.08</v>
      </c>
      <c r="K612" s="32" t="n">
        <f aca="false">'Aturan &amp; Tarif'!$B$5</f>
        <v>2050</v>
      </c>
      <c r="L612" s="35" t="n">
        <f aca="false">I612+J612+K612</f>
        <v>10244.08</v>
      </c>
      <c r="M612" s="36" t="s">
        <v>2184</v>
      </c>
    </row>
    <row r="613" customFormat="false" ht="72" hidden="false" customHeight="true" outlineLevel="0" collapsed="false">
      <c r="A613" s="29"/>
      <c r="B613" s="30" t="s">
        <v>2185</v>
      </c>
      <c r="C613" s="31" t="s">
        <v>2177</v>
      </c>
      <c r="D613" s="31" t="s">
        <v>108</v>
      </c>
      <c r="E613" s="32" t="n">
        <v>3000</v>
      </c>
      <c r="F613" s="32" t="n">
        <v>1850</v>
      </c>
      <c r="G613" s="32" t="n">
        <v>300</v>
      </c>
      <c r="H613" s="33" t="n">
        <v>1</v>
      </c>
      <c r="I613" s="34" t="n">
        <f aca="false">E613*H613+N(F613)+N(G613)</f>
        <v>5150</v>
      </c>
      <c r="J613" s="32" t="n">
        <f aca="false">ROUND(IFERROR(ROUND(IF(OR(ISNUMBER(SEARCH("week",C613)),ISNUMBER(SEARCH("minggu",C613))),IFERROR(_xlfn.NUMBERVALUE(SUBSTITUTE(LEFT(TRIM(C613),FIND(" ",TRIM(C613)&amp;" ")-1),",","."),"."),LEFT(SUBSTITUTE(LEFT(TRIM(C613),FIND(" ",TRIM(C613)&amp;" ")-1),",","."),FIND("/",SUBSTITUTE(LEFT(TRIM(C613),FIND(" ",TRIM(C613)&amp;" ")-1),",","."))-1)/MID(SUBSTITUTE(LEFT(TRIM(C613),FIND(" ",TRIM(C613)&amp;" ")-1),",","."),FIND("/",SUBSTITUTE(LEFT(TRIM(C613),FIND(" ",TRIM(C613)&amp;" ")-1),",","."))+1,9))*12/52,IF(ISNUMBER(SEARCH("month",C613)),IFERROR(_xlfn.NUMBERVALUE(SUBSTITUTE(LEFT(TRIM(C613),FIND(" ",TRIM(C613)&amp;" ")-1),",","."),"."),LEFT(SUBSTITUTE(LEFT(TRIM(C613),FIND(" ",TRIM(C613)&amp;" ")-1),",","."),FIND("/",SUBSTITUTE(LEFT(TRIM(C613),FIND(" ",TRIM(C613)&amp;" ")-1),",","."))-1)/MID(SUBSTITUTE(LEFT(TRIM(C613),FIND(" ",TRIM(C613)&amp;" ")-1),",","."),FIND("/",SUBSTITUTE(LEFT(TRIM(C613),FIND(" ",TRIM(C613)&amp;" ")-1),",","."))+1,9)),IF(ISNUMBER(SEARCH("yea",C613)),IFERROR(_xlfn.NUMBERVALUE(SUBSTITUTE(LEFT(TRIM(C613),FIND(" ",TRIM(C613)&amp;" ")-1),",","."),"."),LEFT(SUBSTITUTE(LEFT(TRIM(C613),FIND(" ",TRIM(C613)&amp;" ")-1),",","."),FIND("/",SUBSTITUTE(LEFT(TRIM(C613),FIND(" ",TRIM(C613)&amp;" ")-1),",","."))-1)/MID(SUBSTITUTE(LEFT(TRIM(C613),FIND(" ",TRIM(C613)&amp;" ")-1),",","."),FIND("/",SUBSTITUTE(LEFT(TRIM(C613),FIND(" ",TRIM(C613)&amp;" ")-1),",","."))+1,9))*12,NA()))),0),24)*'Aturan &amp; Tarif'!$B$4,2)</f>
        <v>1533.06</v>
      </c>
      <c r="K613" s="32" t="n">
        <f aca="false">'Aturan &amp; Tarif'!$B$5</f>
        <v>2050</v>
      </c>
      <c r="L613" s="35" t="n">
        <f aca="false">I613+J613+K613</f>
        <v>8733.06</v>
      </c>
      <c r="M613" s="36" t="s">
        <v>2186</v>
      </c>
    </row>
    <row r="614" customFormat="false" ht="72" hidden="false" customHeight="true" outlineLevel="0" collapsed="false">
      <c r="A614" s="29"/>
      <c r="B614" s="30" t="s">
        <v>2187</v>
      </c>
      <c r="C614" s="31" t="s">
        <v>2177</v>
      </c>
      <c r="D614" s="31" t="s">
        <v>108</v>
      </c>
      <c r="E614" s="32" t="n">
        <v>3000</v>
      </c>
      <c r="F614" s="32" t="n">
        <v>1850</v>
      </c>
      <c r="G614" s="32" t="n">
        <v>300</v>
      </c>
      <c r="H614" s="33" t="n">
        <v>1</v>
      </c>
      <c r="I614" s="34" t="n">
        <f aca="false">E614*H614+N(F614)+N(G614)</f>
        <v>5150</v>
      </c>
      <c r="J614" s="32" t="n">
        <f aca="false">ROUND(IFERROR(ROUND(IF(OR(ISNUMBER(SEARCH("week",C614)),ISNUMBER(SEARCH("minggu",C614))),IFERROR(_xlfn.NUMBERVALUE(SUBSTITUTE(LEFT(TRIM(C614),FIND(" ",TRIM(C614)&amp;" ")-1),",","."),"."),LEFT(SUBSTITUTE(LEFT(TRIM(C614),FIND(" ",TRIM(C614)&amp;" ")-1),",","."),FIND("/",SUBSTITUTE(LEFT(TRIM(C614),FIND(" ",TRIM(C614)&amp;" ")-1),",","."))-1)/MID(SUBSTITUTE(LEFT(TRIM(C614),FIND(" ",TRIM(C614)&amp;" ")-1),",","."),FIND("/",SUBSTITUTE(LEFT(TRIM(C614),FIND(" ",TRIM(C614)&amp;" ")-1),",","."))+1,9))*12/52,IF(ISNUMBER(SEARCH("month",C614)),IFERROR(_xlfn.NUMBERVALUE(SUBSTITUTE(LEFT(TRIM(C614),FIND(" ",TRIM(C614)&amp;" ")-1),",","."),"."),LEFT(SUBSTITUTE(LEFT(TRIM(C614),FIND(" ",TRIM(C614)&amp;" ")-1),",","."),FIND("/",SUBSTITUTE(LEFT(TRIM(C614),FIND(" ",TRIM(C614)&amp;" ")-1),",","."))-1)/MID(SUBSTITUTE(LEFT(TRIM(C614),FIND(" ",TRIM(C614)&amp;" ")-1),",","."),FIND("/",SUBSTITUTE(LEFT(TRIM(C614),FIND(" ",TRIM(C614)&amp;" ")-1),",","."))+1,9)),IF(ISNUMBER(SEARCH("yea",C614)),IFERROR(_xlfn.NUMBERVALUE(SUBSTITUTE(LEFT(TRIM(C614),FIND(" ",TRIM(C614)&amp;" ")-1),",","."),"."),LEFT(SUBSTITUTE(LEFT(TRIM(C614),FIND(" ",TRIM(C614)&amp;" ")-1),",","."),FIND("/",SUBSTITUTE(LEFT(TRIM(C614),FIND(" ",TRIM(C614)&amp;" ")-1),",","."))-1)/MID(SUBSTITUTE(LEFT(TRIM(C614),FIND(" ",TRIM(C614)&amp;" ")-1),",","."),FIND("/",SUBSTITUTE(LEFT(TRIM(C614),FIND(" ",TRIM(C614)&amp;" ")-1),",","."))+1,9))*12,NA()))),0),30)*'Aturan &amp; Tarif'!$B$4,2)</f>
        <v>1533.06</v>
      </c>
      <c r="K614" s="32" t="n">
        <f aca="false">'Aturan &amp; Tarif'!$B$5</f>
        <v>2050</v>
      </c>
      <c r="L614" s="35" t="n">
        <f aca="false">I614+J614+K614</f>
        <v>8733.06</v>
      </c>
      <c r="M614" s="36" t="s">
        <v>2186</v>
      </c>
    </row>
    <row r="615" customFormat="false" ht="48.75" hidden="false" customHeight="true" outlineLevel="0" collapsed="false">
      <c r="A615" s="29"/>
      <c r="B615" s="30" t="s">
        <v>2188</v>
      </c>
      <c r="C615" s="31" t="s">
        <v>136</v>
      </c>
      <c r="D615" s="31" t="s">
        <v>108</v>
      </c>
      <c r="E615" s="32" t="n">
        <v>3000</v>
      </c>
      <c r="F615" s="32" t="n">
        <v>1800</v>
      </c>
      <c r="G615" s="32" t="n">
        <v>250</v>
      </c>
      <c r="H615" s="33" t="n">
        <v>1</v>
      </c>
      <c r="I615" s="34" t="n">
        <f aca="false">E615*H615+N(F615)+N(G615)</f>
        <v>5050</v>
      </c>
      <c r="J615" s="32" t="n">
        <f aca="false">ROUND(IFERROR(ROUND(IF(OR(ISNUMBER(SEARCH("week",C615)),ISNUMBER(SEARCH("minggu",C615))),IFERROR(_xlfn.NUMBERVALUE(SUBSTITUTE(LEFT(TRIM(C615),FIND(" ",TRIM(C615)&amp;" ")-1),",","."),"."),LEFT(SUBSTITUTE(LEFT(TRIM(C615),FIND(" ",TRIM(C615)&amp;" ")-1),",","."),FIND("/",SUBSTITUTE(LEFT(TRIM(C615),FIND(" ",TRIM(C615)&amp;" ")-1),",","."))-1)/MID(SUBSTITUTE(LEFT(TRIM(C615),FIND(" ",TRIM(C615)&amp;" ")-1),",","."),FIND("/",SUBSTITUTE(LEFT(TRIM(C615),FIND(" ",TRIM(C615)&amp;" ")-1),",","."))+1,9))*12/52,IF(ISNUMBER(SEARCH("month",C615)),IFERROR(_xlfn.NUMBERVALUE(SUBSTITUTE(LEFT(TRIM(C615),FIND(" ",TRIM(C615)&amp;" ")-1),",","."),"."),LEFT(SUBSTITUTE(LEFT(TRIM(C615),FIND(" ",TRIM(C615)&amp;" ")-1),",","."),FIND("/",SUBSTITUTE(LEFT(TRIM(C615),FIND(" ",TRIM(C615)&amp;" ")-1),",","."))-1)/MID(SUBSTITUTE(LEFT(TRIM(C615),FIND(" ",TRIM(C615)&amp;" ")-1),",","."),FIND("/",SUBSTITUTE(LEFT(TRIM(C615),FIND(" ",TRIM(C615)&amp;" ")-1),",","."))+1,9)),IF(ISNUMBER(SEARCH("yea",C615)),IFERROR(_xlfn.NUMBERVALUE(SUBSTITUTE(LEFT(TRIM(C615),FIND(" ",TRIM(C615)&amp;" ")-1),",","."),"."),LEFT(SUBSTITUTE(LEFT(TRIM(C615),FIND(" ",TRIM(C615)&amp;" ")-1),",","."),FIND("/",SUBSTITUTE(LEFT(TRIM(C615),FIND(" ",TRIM(C615)&amp;" ")-1),",","."))-1)/MID(SUBSTITUTE(LEFT(TRIM(C615),FIND(" ",TRIM(C615)&amp;" ")-1),",","."),FIND("/",SUBSTITUTE(LEFT(TRIM(C615),FIND(" ",TRIM(C615)&amp;" ")-1),",","."))+1,9))*12,NA()))),0),42)*'Aturan &amp; Tarif'!$B$4,2)</f>
        <v>2384.76</v>
      </c>
      <c r="K615" s="32" t="n">
        <f aca="false">'Aturan &amp; Tarif'!$B$5</f>
        <v>2050</v>
      </c>
      <c r="L615" s="35" t="n">
        <f aca="false">I615+J615+K615</f>
        <v>9484.76</v>
      </c>
      <c r="M615" s="36" t="s">
        <v>2189</v>
      </c>
    </row>
    <row r="616" customFormat="false" ht="48.75" hidden="false" customHeight="true" outlineLevel="0" collapsed="false">
      <c r="A616" s="29"/>
      <c r="B616" s="30" t="s">
        <v>2190</v>
      </c>
      <c r="C616" s="31" t="s">
        <v>2191</v>
      </c>
      <c r="D616" s="31" t="s">
        <v>108</v>
      </c>
      <c r="E616" s="32" t="n">
        <v>2800</v>
      </c>
      <c r="F616" s="32" t="n">
        <v>1700</v>
      </c>
      <c r="G616" s="32" t="n">
        <v>300</v>
      </c>
      <c r="H616" s="33" t="n">
        <v>1</v>
      </c>
      <c r="I616" s="34" t="n">
        <f aca="false">E616*H616+N(F616)+N(G616)</f>
        <v>4800</v>
      </c>
      <c r="J616" s="32" t="n">
        <f aca="false">ROUND(IFERROR(ROUND(IF(OR(ISNUMBER(SEARCH("week",C616)),ISNUMBER(SEARCH("minggu",C616))),IFERROR(_xlfn.NUMBERVALUE(SUBSTITUTE(LEFT(TRIM(C616),FIND(" ",TRIM(C616)&amp;" ")-1),",","."),"."),LEFT(SUBSTITUTE(LEFT(TRIM(C616),FIND(" ",TRIM(C616)&amp;" ")-1),",","."),FIND("/",SUBSTITUTE(LEFT(TRIM(C616),FIND(" ",TRIM(C616)&amp;" ")-1),",","."))-1)/MID(SUBSTITUTE(LEFT(TRIM(C616),FIND(" ",TRIM(C616)&amp;" ")-1),",","."),FIND("/",SUBSTITUTE(LEFT(TRIM(C616),FIND(" ",TRIM(C616)&amp;" ")-1),",","."))+1,9))*12/52,IF(ISNUMBER(SEARCH("month",C616)),IFERROR(_xlfn.NUMBERVALUE(SUBSTITUTE(LEFT(TRIM(C616),FIND(" ",TRIM(C616)&amp;" ")-1),",","."),"."),LEFT(SUBSTITUTE(LEFT(TRIM(C616),FIND(" ",TRIM(C616)&amp;" ")-1),",","."),FIND("/",SUBSTITUTE(LEFT(TRIM(C616),FIND(" ",TRIM(C616)&amp;" ")-1),",","."))-1)/MID(SUBSTITUTE(LEFT(TRIM(C616),FIND(" ",TRIM(C616)&amp;" ")-1),",","."),FIND("/",SUBSTITUTE(LEFT(TRIM(C616),FIND(" ",TRIM(C616)&amp;" ")-1),",","."))+1,9)),IF(ISNUMBER(SEARCH("yea",C616)),IFERROR(_xlfn.NUMBERVALUE(SUBSTITUTE(LEFT(TRIM(C616),FIND(" ",TRIM(C616)&amp;" ")-1),",","."),"."),LEFT(SUBSTITUTE(LEFT(TRIM(C616),FIND(" ",TRIM(C616)&amp;" ")-1),",","."),FIND("/",SUBSTITUTE(LEFT(TRIM(C616),FIND(" ",TRIM(C616)&amp;" ")-1),",","."))-1)/MID(SUBSTITUTE(LEFT(TRIM(C616),FIND(" ",TRIM(C616)&amp;" ")-1),",","."),FIND("/",SUBSTITUTE(LEFT(TRIM(C616),FIND(" ",TRIM(C616)&amp;" ")-1),",","."))+1,9))*12,NA()))),0),18)*'Aturan &amp; Tarif'!$B$4,2)</f>
        <v>1022.04</v>
      </c>
      <c r="K616" s="32" t="n">
        <f aca="false">'Aturan &amp; Tarif'!$B$5</f>
        <v>2050</v>
      </c>
      <c r="L616" s="35" t="n">
        <f aca="false">I616+J616+K616</f>
        <v>7872.04</v>
      </c>
      <c r="M616" s="52" t="s">
        <v>2192</v>
      </c>
    </row>
    <row r="617" customFormat="false" ht="37.5" hidden="false" customHeight="true" outlineLevel="0" collapsed="false">
      <c r="A617" s="29"/>
      <c r="B617" s="30" t="s">
        <v>2193</v>
      </c>
      <c r="C617" s="31" t="s">
        <v>2191</v>
      </c>
      <c r="D617" s="31" t="s">
        <v>108</v>
      </c>
      <c r="E617" s="32" t="n">
        <v>3000</v>
      </c>
      <c r="F617" s="32" t="n">
        <v>1700</v>
      </c>
      <c r="G617" s="32" t="n">
        <v>300</v>
      </c>
      <c r="H617" s="33" t="n">
        <v>1</v>
      </c>
      <c r="I617" s="34" t="n">
        <f aca="false">E617*H617+N(F617)+N(G617)</f>
        <v>5000</v>
      </c>
      <c r="J617" s="32" t="n">
        <f aca="false">ROUND(IFERROR(ROUND(IF(OR(ISNUMBER(SEARCH("week",C617)),ISNUMBER(SEARCH("minggu",C617))),IFERROR(_xlfn.NUMBERVALUE(SUBSTITUTE(LEFT(TRIM(C617),FIND(" ",TRIM(C617)&amp;" ")-1),",","."),"."),LEFT(SUBSTITUTE(LEFT(TRIM(C617),FIND(" ",TRIM(C617)&amp;" ")-1),",","."),FIND("/",SUBSTITUTE(LEFT(TRIM(C617),FIND(" ",TRIM(C617)&amp;" ")-1),",","."))-1)/MID(SUBSTITUTE(LEFT(TRIM(C617),FIND(" ",TRIM(C617)&amp;" ")-1),",","."),FIND("/",SUBSTITUTE(LEFT(TRIM(C617),FIND(" ",TRIM(C617)&amp;" ")-1),",","."))+1,9))*12/52,IF(ISNUMBER(SEARCH("month",C617)),IFERROR(_xlfn.NUMBERVALUE(SUBSTITUTE(LEFT(TRIM(C617),FIND(" ",TRIM(C617)&amp;" ")-1),",","."),"."),LEFT(SUBSTITUTE(LEFT(TRIM(C617),FIND(" ",TRIM(C617)&amp;" ")-1),",","."),FIND("/",SUBSTITUTE(LEFT(TRIM(C617),FIND(" ",TRIM(C617)&amp;" ")-1),",","."))-1)/MID(SUBSTITUTE(LEFT(TRIM(C617),FIND(" ",TRIM(C617)&amp;" ")-1),",","."),FIND("/",SUBSTITUTE(LEFT(TRIM(C617),FIND(" ",TRIM(C617)&amp;" ")-1),",","."))+1,9)),IF(ISNUMBER(SEARCH("yea",C617)),IFERROR(_xlfn.NUMBERVALUE(SUBSTITUTE(LEFT(TRIM(C617),FIND(" ",TRIM(C617)&amp;" ")-1),",","."),"."),LEFT(SUBSTITUTE(LEFT(TRIM(C617),FIND(" ",TRIM(C617)&amp;" ")-1),",","."),FIND("/",SUBSTITUTE(LEFT(TRIM(C617),FIND(" ",TRIM(C617)&amp;" ")-1),",","."))-1)/MID(SUBSTITUTE(LEFT(TRIM(C617),FIND(" ",TRIM(C617)&amp;" ")-1),",","."),FIND("/",SUBSTITUTE(LEFT(TRIM(C617),FIND(" ",TRIM(C617)&amp;" ")-1),",","."))+1,9))*12,NA()))),0),18)*'Aturan &amp; Tarif'!$B$4,2)</f>
        <v>1022.04</v>
      </c>
      <c r="K617" s="32" t="n">
        <f aca="false">'Aturan &amp; Tarif'!$B$5</f>
        <v>2050</v>
      </c>
      <c r="L617" s="35" t="n">
        <f aca="false">I617+J617+K617</f>
        <v>8072.04</v>
      </c>
      <c r="M617" s="52" t="s">
        <v>2194</v>
      </c>
    </row>
    <row r="618" customFormat="false" ht="60" hidden="false" customHeight="true" outlineLevel="0" collapsed="false">
      <c r="A618" s="29"/>
      <c r="B618" s="30" t="s">
        <v>2195</v>
      </c>
      <c r="C618" s="31" t="s">
        <v>2196</v>
      </c>
      <c r="D618" s="31" t="s">
        <v>108</v>
      </c>
      <c r="E618" s="32" t="n">
        <v>1800</v>
      </c>
      <c r="F618" s="32" t="n">
        <v>400</v>
      </c>
      <c r="G618" s="32" t="n">
        <v>300</v>
      </c>
      <c r="H618" s="33" t="n">
        <v>1</v>
      </c>
      <c r="I618" s="34" t="n">
        <f aca="false">E618*H618+N(F618)+N(G618)</f>
        <v>2500</v>
      </c>
      <c r="J618" s="32" t="n">
        <f aca="false">ROUND(IFERROR(ROUND(IF(OR(ISNUMBER(SEARCH("week",C618)),ISNUMBER(SEARCH("minggu",C618))),IFERROR(_xlfn.NUMBERVALUE(SUBSTITUTE(LEFT(TRIM(C618),FIND(" ",TRIM(C618)&amp;" ")-1),",","."),"."),LEFT(SUBSTITUTE(LEFT(TRIM(C618),FIND(" ",TRIM(C618)&amp;" ")-1),",","."),FIND("/",SUBSTITUTE(LEFT(TRIM(C618),FIND(" ",TRIM(C618)&amp;" ")-1),",","."))-1)/MID(SUBSTITUTE(LEFT(TRIM(C618),FIND(" ",TRIM(C618)&amp;" ")-1),",","."),FIND("/",SUBSTITUTE(LEFT(TRIM(C618),FIND(" ",TRIM(C618)&amp;" ")-1),",","."))+1,9))*12/52,IF(ISNUMBER(SEARCH("month",C618)),IFERROR(_xlfn.NUMBERVALUE(SUBSTITUTE(LEFT(TRIM(C618),FIND(" ",TRIM(C618)&amp;" ")-1),",","."),"."),LEFT(SUBSTITUTE(LEFT(TRIM(C618),FIND(" ",TRIM(C618)&amp;" ")-1),",","."),FIND("/",SUBSTITUTE(LEFT(TRIM(C618),FIND(" ",TRIM(C618)&amp;" ")-1),",","."))-1)/MID(SUBSTITUTE(LEFT(TRIM(C618),FIND(" ",TRIM(C618)&amp;" ")-1),",","."),FIND("/",SUBSTITUTE(LEFT(TRIM(C618),FIND(" ",TRIM(C618)&amp;" ")-1),",","."))+1,9)),IF(ISNUMBER(SEARCH("yea",C618)),IFERROR(_xlfn.NUMBERVALUE(SUBSTITUTE(LEFT(TRIM(C618),FIND(" ",TRIM(C618)&amp;" ")-1),",","."),"."),LEFT(SUBSTITUTE(LEFT(TRIM(C618),FIND(" ",TRIM(C618)&amp;" ")-1),",","."),FIND("/",SUBSTITUTE(LEFT(TRIM(C618),FIND(" ",TRIM(C618)&amp;" ")-1),",","."))-1)/MID(SUBSTITUTE(LEFT(TRIM(C618),FIND(" ",TRIM(C618)&amp;" ")-1),",","."),FIND("/",SUBSTITUTE(LEFT(TRIM(C618),FIND(" ",TRIM(C618)&amp;" ")-1),",","."))+1,9))*12,NA()))),0),24)*'Aturan &amp; Tarif'!$B$4,2)</f>
        <v>1362.72</v>
      </c>
      <c r="K618" s="32" t="n">
        <f aca="false">'Aturan &amp; Tarif'!$B$5</f>
        <v>2050</v>
      </c>
      <c r="L618" s="35" t="n">
        <f aca="false">I618+J618+K618</f>
        <v>5912.72</v>
      </c>
      <c r="M618" s="52" t="s">
        <v>2197</v>
      </c>
    </row>
    <row r="619" customFormat="false" ht="37.5" hidden="false" customHeight="true" outlineLevel="0" collapsed="false">
      <c r="A619" s="29"/>
      <c r="B619" s="30" t="s">
        <v>2198</v>
      </c>
      <c r="C619" s="31" t="s">
        <v>2177</v>
      </c>
      <c r="D619" s="31" t="s">
        <v>108</v>
      </c>
      <c r="E619" s="32" t="n">
        <v>1800</v>
      </c>
      <c r="F619" s="32" t="n">
        <v>450</v>
      </c>
      <c r="G619" s="32" t="n">
        <v>300</v>
      </c>
      <c r="H619" s="33" t="n">
        <v>1</v>
      </c>
      <c r="I619" s="34" t="n">
        <f aca="false">E619*H619+N(F619)+N(G619)</f>
        <v>2550</v>
      </c>
      <c r="J619" s="32" t="n">
        <f aca="false">ROUND(IFERROR(ROUND(IF(OR(ISNUMBER(SEARCH("week",C619)),ISNUMBER(SEARCH("minggu",C619))),IFERROR(_xlfn.NUMBERVALUE(SUBSTITUTE(LEFT(TRIM(C619),FIND(" ",TRIM(C619)&amp;" ")-1),",","."),"."),LEFT(SUBSTITUTE(LEFT(TRIM(C619),FIND(" ",TRIM(C619)&amp;" ")-1),",","."),FIND("/",SUBSTITUTE(LEFT(TRIM(C619),FIND(" ",TRIM(C619)&amp;" ")-1),",","."))-1)/MID(SUBSTITUTE(LEFT(TRIM(C619),FIND(" ",TRIM(C619)&amp;" ")-1),",","."),FIND("/",SUBSTITUTE(LEFT(TRIM(C619),FIND(" ",TRIM(C619)&amp;" ")-1),",","."))+1,9))*12/52,IF(ISNUMBER(SEARCH("month",C619)),IFERROR(_xlfn.NUMBERVALUE(SUBSTITUTE(LEFT(TRIM(C619),FIND(" ",TRIM(C619)&amp;" ")-1),",","."),"."),LEFT(SUBSTITUTE(LEFT(TRIM(C619),FIND(" ",TRIM(C619)&amp;" ")-1),",","."),FIND("/",SUBSTITUTE(LEFT(TRIM(C619),FIND(" ",TRIM(C619)&amp;" ")-1),",","."))-1)/MID(SUBSTITUTE(LEFT(TRIM(C619),FIND(" ",TRIM(C619)&amp;" ")-1),",","."),FIND("/",SUBSTITUTE(LEFT(TRIM(C619),FIND(" ",TRIM(C619)&amp;" ")-1),",","."))+1,9)),IF(ISNUMBER(SEARCH("yea",C619)),IFERROR(_xlfn.NUMBERVALUE(SUBSTITUTE(LEFT(TRIM(C619),FIND(" ",TRIM(C619)&amp;" ")-1),",","."),"."),LEFT(SUBSTITUTE(LEFT(TRIM(C619),FIND(" ",TRIM(C619)&amp;" ")-1),",","."),FIND("/",SUBSTITUTE(LEFT(TRIM(C619),FIND(" ",TRIM(C619)&amp;" ")-1),",","."))-1)/MID(SUBSTITUTE(LEFT(TRIM(C619),FIND(" ",TRIM(C619)&amp;" ")-1),",","."),FIND("/",SUBSTITUTE(LEFT(TRIM(C619),FIND(" ",TRIM(C619)&amp;" ")-1),",","."))+1,9))*12,NA()))),0),27)*'Aturan &amp; Tarif'!$B$4,2)</f>
        <v>1533.06</v>
      </c>
      <c r="K619" s="32" t="n">
        <f aca="false">'Aturan &amp; Tarif'!$B$5</f>
        <v>2050</v>
      </c>
      <c r="L619" s="35" t="n">
        <f aca="false">I619+J619+K619</f>
        <v>6133.06</v>
      </c>
      <c r="M619" s="52" t="s">
        <v>2199</v>
      </c>
    </row>
    <row r="620" customFormat="false" ht="14.25" hidden="false" customHeight="true" outlineLevel="0" collapsed="false">
      <c r="A620" s="29" t="s">
        <v>3195</v>
      </c>
      <c r="B620" s="30" t="s">
        <v>148</v>
      </c>
      <c r="C620" s="31" t="s">
        <v>138</v>
      </c>
      <c r="D620" s="31" t="s">
        <v>108</v>
      </c>
      <c r="E620" s="32" t="n">
        <v>2200</v>
      </c>
      <c r="F620" s="32" t="n">
        <v>1200</v>
      </c>
      <c r="G620" s="32" t="n">
        <v>500</v>
      </c>
      <c r="H620" s="33" t="n">
        <v>1</v>
      </c>
      <c r="I620" s="34" t="n">
        <f aca="false">E620*H620+N(F620)+N(G620)</f>
        <v>3900</v>
      </c>
      <c r="J620" s="32" t="n">
        <f aca="false">ROUND(IFERROR(ROUND(IF(OR(ISNUMBER(SEARCH("week",C620)),ISNUMBER(SEARCH("minggu",C620))),IFERROR(_xlfn.NUMBERVALUE(SUBSTITUTE(LEFT(TRIM(C620),FIND(" ",TRIM(C620)&amp;" ")-1),",","."),"."),LEFT(SUBSTITUTE(LEFT(TRIM(C620),FIND(" ",TRIM(C620)&amp;" ")-1),",","."),FIND("/",SUBSTITUTE(LEFT(TRIM(C620),FIND(" ",TRIM(C620)&amp;" ")-1),",","."))-1)/MID(SUBSTITUTE(LEFT(TRIM(C620),FIND(" ",TRIM(C620)&amp;" ")-1),",","."),FIND("/",SUBSTITUTE(LEFT(TRIM(C620),FIND(" ",TRIM(C620)&amp;" ")-1),",","."))+1,9))*12/52,IF(ISNUMBER(SEARCH("month",C620)),IFERROR(_xlfn.NUMBERVALUE(SUBSTITUTE(LEFT(TRIM(C620),FIND(" ",TRIM(C620)&amp;" ")-1),",","."),"."),LEFT(SUBSTITUTE(LEFT(TRIM(C620),FIND(" ",TRIM(C620)&amp;" ")-1),",","."),FIND("/",SUBSTITUTE(LEFT(TRIM(C620),FIND(" ",TRIM(C620)&amp;" ")-1),",","."))-1)/MID(SUBSTITUTE(LEFT(TRIM(C620),FIND(" ",TRIM(C620)&amp;" ")-1),",","."),FIND("/",SUBSTITUTE(LEFT(TRIM(C620),FIND(" ",TRIM(C620)&amp;" ")-1),",","."))+1,9)),IF(ISNUMBER(SEARCH("yea",C620)),IFERROR(_xlfn.NUMBERVALUE(SUBSTITUTE(LEFT(TRIM(C620),FIND(" ",TRIM(C620)&amp;" ")-1),",","."),"."),LEFT(SUBSTITUTE(LEFT(TRIM(C620),FIND(" ",TRIM(C620)&amp;" ")-1),",","."),FIND("/",SUBSTITUTE(LEFT(TRIM(C620),FIND(" ",TRIM(C620)&amp;" ")-1),",","."))-1)/MID(SUBSTITUTE(LEFT(TRIM(C620),FIND(" ",TRIM(C620)&amp;" ")-1),",","."),FIND("/",SUBSTITUTE(LEFT(TRIM(C620),FIND(" ",TRIM(C620)&amp;" ")-1),",","."))+1,9))*12,NA()))),0),30)*'Aturan &amp; Tarif'!$B$4,2)</f>
        <v>1703.4</v>
      </c>
      <c r="K620" s="32" t="n">
        <f aca="false">'Aturan &amp; Tarif'!$B$5</f>
        <v>2050</v>
      </c>
      <c r="L620" s="35" t="n">
        <f aca="false">I620+J620+K620</f>
        <v>7653.4</v>
      </c>
      <c r="M620" s="37" t="s">
        <v>134</v>
      </c>
    </row>
    <row r="621" customFormat="false" ht="25.5" hidden="false" customHeight="true" outlineLevel="0" collapsed="false">
      <c r="A621" s="29"/>
      <c r="B621" s="30" t="s">
        <v>665</v>
      </c>
      <c r="C621" s="31" t="s">
        <v>130</v>
      </c>
      <c r="D621" s="31" t="s">
        <v>108</v>
      </c>
      <c r="E621" s="32" t="n">
        <v>2500</v>
      </c>
      <c r="F621" s="32" t="n">
        <v>1000</v>
      </c>
      <c r="G621" s="32" t="n">
        <v>500</v>
      </c>
      <c r="H621" s="33" t="n">
        <v>1</v>
      </c>
      <c r="I621" s="34" t="n">
        <f aca="false">E621*H621+N(F621)+N(G621)</f>
        <v>4000</v>
      </c>
      <c r="J621" s="32" t="n">
        <f aca="false">ROUND(IFERROR(ROUND(IF(OR(ISNUMBER(SEARCH("week",C621)),ISNUMBER(SEARCH("minggu",C621))),IFERROR(_xlfn.NUMBERVALUE(SUBSTITUTE(LEFT(TRIM(C621),FIND(" ",TRIM(C621)&amp;" ")-1),",","."),"."),LEFT(SUBSTITUTE(LEFT(TRIM(C621),FIND(" ",TRIM(C621)&amp;" ")-1),",","."),FIND("/",SUBSTITUTE(LEFT(TRIM(C621),FIND(" ",TRIM(C621)&amp;" ")-1),",","."))-1)/MID(SUBSTITUTE(LEFT(TRIM(C621),FIND(" ",TRIM(C621)&amp;" ")-1),",","."),FIND("/",SUBSTITUTE(LEFT(TRIM(C621),FIND(" ",TRIM(C621)&amp;" ")-1),",","."))+1,9))*12/52,IF(ISNUMBER(SEARCH("month",C621)),IFERROR(_xlfn.NUMBERVALUE(SUBSTITUTE(LEFT(TRIM(C621),FIND(" ",TRIM(C621)&amp;" ")-1),",","."),"."),LEFT(SUBSTITUTE(LEFT(TRIM(C621),FIND(" ",TRIM(C621)&amp;" ")-1),",","."),FIND("/",SUBSTITUTE(LEFT(TRIM(C621),FIND(" ",TRIM(C621)&amp;" ")-1),",","."))-1)/MID(SUBSTITUTE(LEFT(TRIM(C621),FIND(" ",TRIM(C621)&amp;" ")-1),",","."),FIND("/",SUBSTITUTE(LEFT(TRIM(C621),FIND(" ",TRIM(C621)&amp;" ")-1),",","."))+1,9)),IF(ISNUMBER(SEARCH("yea",C621)),IFERROR(_xlfn.NUMBERVALUE(SUBSTITUTE(LEFT(TRIM(C621),FIND(" ",TRIM(C621)&amp;" ")-1),",","."),"."),LEFT(SUBSTITUTE(LEFT(TRIM(C621),FIND(" ",TRIM(C621)&amp;" ")-1),",","."),FIND("/",SUBSTITUTE(LEFT(TRIM(C621),FIND(" ",TRIM(C621)&amp;" ")-1),",","."))-1)/MID(SUBSTITUTE(LEFT(TRIM(C621),FIND(" ",TRIM(C621)&amp;" ")-1),",","."),FIND("/",SUBSTITUTE(LEFT(TRIM(C621),FIND(" ",TRIM(C621)&amp;" ")-1),",","."))+1,9))*12,NA()))),0),12)*'Aturan &amp; Tarif'!$B$4,2)</f>
        <v>681.36</v>
      </c>
      <c r="K621" s="32" t="n">
        <f aca="false">'Aturan &amp; Tarif'!$B$5</f>
        <v>2050</v>
      </c>
      <c r="L621" s="35" t="n">
        <f aca="false">I621+J621+K621</f>
        <v>6731.36</v>
      </c>
      <c r="M621" s="37" t="s">
        <v>134</v>
      </c>
    </row>
    <row r="622" customFormat="false" ht="14.25" hidden="false" customHeight="true" outlineLevel="0" collapsed="false">
      <c r="A622" s="29"/>
      <c r="B622" s="30" t="s">
        <v>1973</v>
      </c>
      <c r="C622" s="31" t="s">
        <v>113</v>
      </c>
      <c r="D622" s="31" t="s">
        <v>108</v>
      </c>
      <c r="E622" s="32" t="n">
        <v>2700</v>
      </c>
      <c r="F622" s="32" t="n">
        <v>1000</v>
      </c>
      <c r="G622" s="32" t="n">
        <v>500</v>
      </c>
      <c r="H622" s="33" t="n">
        <v>1</v>
      </c>
      <c r="I622" s="34" t="n">
        <f aca="false">E622*H622+N(F622)+N(G622)</f>
        <v>4200</v>
      </c>
      <c r="J622" s="32" t="n">
        <f aca="false">ROUND(IFERROR(ROUND(IF(OR(ISNUMBER(SEARCH("week",C622)),ISNUMBER(SEARCH("minggu",C622))),IFERROR(_xlfn.NUMBERVALUE(SUBSTITUTE(LEFT(TRIM(C622),FIND(" ",TRIM(C622)&amp;" ")-1),",","."),"."),LEFT(SUBSTITUTE(LEFT(TRIM(C622),FIND(" ",TRIM(C622)&amp;" ")-1),",","."),FIND("/",SUBSTITUTE(LEFT(TRIM(C622),FIND(" ",TRIM(C622)&amp;" ")-1),",","."))-1)/MID(SUBSTITUTE(LEFT(TRIM(C622),FIND(" ",TRIM(C622)&amp;" ")-1),",","."),FIND("/",SUBSTITUTE(LEFT(TRIM(C622),FIND(" ",TRIM(C622)&amp;" ")-1),",","."))+1,9))*12/52,IF(ISNUMBER(SEARCH("month",C622)),IFERROR(_xlfn.NUMBERVALUE(SUBSTITUTE(LEFT(TRIM(C622),FIND(" ",TRIM(C622)&amp;" ")-1),",","."),"."),LEFT(SUBSTITUTE(LEFT(TRIM(C622),FIND(" ",TRIM(C622)&amp;" ")-1),",","."),FIND("/",SUBSTITUTE(LEFT(TRIM(C622),FIND(" ",TRIM(C622)&amp;" ")-1),",","."))-1)/MID(SUBSTITUTE(LEFT(TRIM(C622),FIND(" ",TRIM(C622)&amp;" ")-1),",","."),FIND("/",SUBSTITUTE(LEFT(TRIM(C622),FIND(" ",TRIM(C622)&amp;" ")-1),",","."))+1,9)),IF(ISNUMBER(SEARCH("yea",C622)),IFERROR(_xlfn.NUMBERVALUE(SUBSTITUTE(LEFT(TRIM(C622),FIND(" ",TRIM(C622)&amp;" ")-1),",","."),"."),LEFT(SUBSTITUTE(LEFT(TRIM(C622),FIND(" ",TRIM(C622)&amp;" ")-1),",","."),FIND("/",SUBSTITUTE(LEFT(TRIM(C622),FIND(" ",TRIM(C622)&amp;" ")-1),",","."))-1)/MID(SUBSTITUTE(LEFT(TRIM(C622),FIND(" ",TRIM(C622)&amp;" ")-1),",","."),FIND("/",SUBSTITUTE(LEFT(TRIM(C622),FIND(" ",TRIM(C622)&amp;" ")-1),",","."))+1,9))*12,NA()))),0),18)*'Aturan &amp; Tarif'!$B$4,2)</f>
        <v>1022.04</v>
      </c>
      <c r="K622" s="32" t="n">
        <f aca="false">'Aturan &amp; Tarif'!$B$5</f>
        <v>2050</v>
      </c>
      <c r="L622" s="35" t="n">
        <f aca="false">I622+J622+K622</f>
        <v>7272.04</v>
      </c>
      <c r="M622" s="37" t="s">
        <v>134</v>
      </c>
    </row>
    <row r="623" customFormat="false" ht="60" hidden="false" customHeight="true" outlineLevel="0" collapsed="false">
      <c r="A623" s="29"/>
      <c r="B623" s="30" t="s">
        <v>2948</v>
      </c>
      <c r="C623" s="31" t="s">
        <v>113</v>
      </c>
      <c r="D623" s="31" t="s">
        <v>108</v>
      </c>
      <c r="E623" s="32" t="n">
        <v>2700</v>
      </c>
      <c r="F623" s="32" t="n">
        <v>1000</v>
      </c>
      <c r="G623" s="32" t="n">
        <v>500</v>
      </c>
      <c r="H623" s="33" t="n">
        <v>1</v>
      </c>
      <c r="I623" s="34" t="n">
        <f aca="false">E623*H623+N(F623)+N(G623)</f>
        <v>4200</v>
      </c>
      <c r="J623" s="32" t="n">
        <f aca="false">ROUND(IFERROR(ROUND(IF(OR(ISNUMBER(SEARCH("week",C623)),ISNUMBER(SEARCH("minggu",C623))),IFERROR(_xlfn.NUMBERVALUE(SUBSTITUTE(LEFT(TRIM(C623),FIND(" ",TRIM(C623)&amp;" ")-1),",","."),"."),LEFT(SUBSTITUTE(LEFT(TRIM(C623),FIND(" ",TRIM(C623)&amp;" ")-1),",","."),FIND("/",SUBSTITUTE(LEFT(TRIM(C623),FIND(" ",TRIM(C623)&amp;" ")-1),",","."))-1)/MID(SUBSTITUTE(LEFT(TRIM(C623),FIND(" ",TRIM(C623)&amp;" ")-1),",","."),FIND("/",SUBSTITUTE(LEFT(TRIM(C623),FIND(" ",TRIM(C623)&amp;" ")-1),",","."))+1,9))*12/52,IF(ISNUMBER(SEARCH("month",C623)),IFERROR(_xlfn.NUMBERVALUE(SUBSTITUTE(LEFT(TRIM(C623),FIND(" ",TRIM(C623)&amp;" ")-1),",","."),"."),LEFT(SUBSTITUTE(LEFT(TRIM(C623),FIND(" ",TRIM(C623)&amp;" ")-1),",","."),FIND("/",SUBSTITUTE(LEFT(TRIM(C623),FIND(" ",TRIM(C623)&amp;" ")-1),",","."))-1)/MID(SUBSTITUTE(LEFT(TRIM(C623),FIND(" ",TRIM(C623)&amp;" ")-1),",","."),FIND("/",SUBSTITUTE(LEFT(TRIM(C623),FIND(" ",TRIM(C623)&amp;" ")-1),",","."))+1,9)),IF(ISNUMBER(SEARCH("yea",C623)),IFERROR(_xlfn.NUMBERVALUE(SUBSTITUTE(LEFT(TRIM(C623),FIND(" ",TRIM(C623)&amp;" ")-1),",","."),"."),LEFT(SUBSTITUTE(LEFT(TRIM(C623),FIND(" ",TRIM(C623)&amp;" ")-1),",","."),FIND("/",SUBSTITUTE(LEFT(TRIM(C623),FIND(" ",TRIM(C623)&amp;" ")-1),",","."))-1)/MID(SUBSTITUTE(LEFT(TRIM(C623),FIND(" ",TRIM(C623)&amp;" ")-1),",","."),FIND("/",SUBSTITUTE(LEFT(TRIM(C623),FIND(" ",TRIM(C623)&amp;" ")-1),",","."))+1,9))*12,NA()))),0),18)*'Aturan &amp; Tarif'!$B$4,2)</f>
        <v>1022.04</v>
      </c>
      <c r="K623" s="32" t="n">
        <f aca="false">'Aturan &amp; Tarif'!$B$5</f>
        <v>2050</v>
      </c>
      <c r="L623" s="35" t="n">
        <f aca="false">I623+J623+K623</f>
        <v>7272.04</v>
      </c>
      <c r="M623" s="37" t="s">
        <v>134</v>
      </c>
    </row>
    <row r="624" customFormat="false" ht="72" hidden="false" customHeight="true" outlineLevel="0" collapsed="false">
      <c r="A624" s="29" t="s">
        <v>2200</v>
      </c>
      <c r="B624" s="30" t="s">
        <v>2201</v>
      </c>
      <c r="C624" s="31" t="s">
        <v>107</v>
      </c>
      <c r="D624" s="31" t="s">
        <v>108</v>
      </c>
      <c r="E624" s="32" t="n">
        <v>2550</v>
      </c>
      <c r="F624" s="32" t="n">
        <v>1800</v>
      </c>
      <c r="G624" s="32" t="n">
        <v>200</v>
      </c>
      <c r="H624" s="33" t="n">
        <v>1</v>
      </c>
      <c r="I624" s="34" t="n">
        <f aca="false">E624*H624+N(F624)*H624+N(G624)</f>
        <v>4550</v>
      </c>
      <c r="J624" s="32" t="n">
        <f aca="false">ROUND(IFERROR(ROUND(IF(OR(ISNUMBER(SEARCH("week",C624)),ISNUMBER(SEARCH("minggu",C624))),IFERROR(_xlfn.NUMBERVALUE(SUBSTITUTE(LEFT(TRIM(C624),FIND(" ",TRIM(C624)&amp;" ")-1),",","."),"."),LEFT(SUBSTITUTE(LEFT(TRIM(C624),FIND(" ",TRIM(C624)&amp;" ")-1),",","."),FIND("/",SUBSTITUTE(LEFT(TRIM(C624),FIND(" ",TRIM(C624)&amp;" ")-1),",","."))-1)/MID(SUBSTITUTE(LEFT(TRIM(C624),FIND(" ",TRIM(C624)&amp;" ")-1),",","."),FIND("/",SUBSTITUTE(LEFT(TRIM(C624),FIND(" ",TRIM(C624)&amp;" ")-1),",","."))+1,9))*12/52,IF(ISNUMBER(SEARCH("month",C624)),IFERROR(_xlfn.NUMBERVALUE(SUBSTITUTE(LEFT(TRIM(C624),FIND(" ",TRIM(C624)&amp;" ")-1),",","."),"."),LEFT(SUBSTITUTE(LEFT(TRIM(C624),FIND(" ",TRIM(C624)&amp;" ")-1),",","."),FIND("/",SUBSTITUTE(LEFT(TRIM(C624),FIND(" ",TRIM(C624)&amp;" ")-1),",","."))-1)/MID(SUBSTITUTE(LEFT(TRIM(C624),FIND(" ",TRIM(C624)&amp;" ")-1),",","."),FIND("/",SUBSTITUTE(LEFT(TRIM(C624),FIND(" ",TRIM(C624)&amp;" ")-1),",","."))+1,9)),IF(ISNUMBER(SEARCH("yea",C624)),IFERROR(_xlfn.NUMBERVALUE(SUBSTITUTE(LEFT(TRIM(C624),FIND(" ",TRIM(C624)&amp;" ")-1),",","."),"."),LEFT(SUBSTITUTE(LEFT(TRIM(C624),FIND(" ",TRIM(C624)&amp;" ")-1),",","."),FIND("/",SUBSTITUTE(LEFT(TRIM(C624),FIND(" ",TRIM(C624)&amp;" ")-1),",","."))-1)/MID(SUBSTITUTE(LEFT(TRIM(C624),FIND(" ",TRIM(C624)&amp;" ")-1),",","."),FIND("/",SUBSTITUTE(LEFT(TRIM(C624),FIND(" ",TRIM(C624)&amp;" ")-1),",","."))+1,9))*12,NA()))),0),24)*'Aturan &amp; Tarif'!$B$4,2)</f>
        <v>1362.72</v>
      </c>
      <c r="K624" s="32" t="n">
        <f aca="false">'Aturan &amp; Tarif'!$B$5</f>
        <v>2050</v>
      </c>
      <c r="L624" s="35" t="n">
        <f aca="false">I624+J624+K624</f>
        <v>7962.72</v>
      </c>
      <c r="M624" s="36" t="s">
        <v>2202</v>
      </c>
    </row>
    <row r="625" customFormat="false" ht="37.5" hidden="false" customHeight="true" outlineLevel="0" collapsed="false">
      <c r="A625" s="29"/>
      <c r="B625" s="30" t="s">
        <v>2203</v>
      </c>
      <c r="C625" s="31" t="s">
        <v>107</v>
      </c>
      <c r="D625" s="31" t="s">
        <v>108</v>
      </c>
      <c r="E625" s="32" t="n">
        <v>2550</v>
      </c>
      <c r="F625" s="32" t="n">
        <v>1800</v>
      </c>
      <c r="G625" s="32" t="n">
        <v>200</v>
      </c>
      <c r="H625" s="33" t="n">
        <v>1</v>
      </c>
      <c r="I625" s="34" t="n">
        <f aca="false">E625*H625+N(F625)*H625+N(G625)</f>
        <v>4550</v>
      </c>
      <c r="J625" s="32" t="n">
        <f aca="false">ROUND(IFERROR(ROUND(IF(OR(ISNUMBER(SEARCH("week",C625)),ISNUMBER(SEARCH("minggu",C625))),IFERROR(_xlfn.NUMBERVALUE(SUBSTITUTE(LEFT(TRIM(C625),FIND(" ",TRIM(C625)&amp;" ")-1),",","."),"."),LEFT(SUBSTITUTE(LEFT(TRIM(C625),FIND(" ",TRIM(C625)&amp;" ")-1),",","."),FIND("/",SUBSTITUTE(LEFT(TRIM(C625),FIND(" ",TRIM(C625)&amp;" ")-1),",","."))-1)/MID(SUBSTITUTE(LEFT(TRIM(C625),FIND(" ",TRIM(C625)&amp;" ")-1),",","."),FIND("/",SUBSTITUTE(LEFT(TRIM(C625),FIND(" ",TRIM(C625)&amp;" ")-1),",","."))+1,9))*12/52,IF(ISNUMBER(SEARCH("month",C625)),IFERROR(_xlfn.NUMBERVALUE(SUBSTITUTE(LEFT(TRIM(C625),FIND(" ",TRIM(C625)&amp;" ")-1),",","."),"."),LEFT(SUBSTITUTE(LEFT(TRIM(C625),FIND(" ",TRIM(C625)&amp;" ")-1),",","."),FIND("/",SUBSTITUTE(LEFT(TRIM(C625),FIND(" ",TRIM(C625)&amp;" ")-1),",","."))-1)/MID(SUBSTITUTE(LEFT(TRIM(C625),FIND(" ",TRIM(C625)&amp;" ")-1),",","."),FIND("/",SUBSTITUTE(LEFT(TRIM(C625),FIND(" ",TRIM(C625)&amp;" ")-1),",","."))+1,9)),IF(ISNUMBER(SEARCH("yea",C625)),IFERROR(_xlfn.NUMBERVALUE(SUBSTITUTE(LEFT(TRIM(C625),FIND(" ",TRIM(C625)&amp;" ")-1),",","."),"."),LEFT(SUBSTITUTE(LEFT(TRIM(C625),FIND(" ",TRIM(C625)&amp;" ")-1),",","."),FIND("/",SUBSTITUTE(LEFT(TRIM(C625),FIND(" ",TRIM(C625)&amp;" ")-1),",","."))-1)/MID(SUBSTITUTE(LEFT(TRIM(C625),FIND(" ",TRIM(C625)&amp;" ")-1),",","."),FIND("/",SUBSTITUTE(LEFT(TRIM(C625),FIND(" ",TRIM(C625)&amp;" ")-1),",","."))+1,9))*12,NA()))),0),24)*'Aturan &amp; Tarif'!$B$4,2)</f>
        <v>1362.72</v>
      </c>
      <c r="K625" s="32" t="n">
        <f aca="false">'Aturan &amp; Tarif'!$B$5</f>
        <v>2050</v>
      </c>
      <c r="L625" s="35" t="n">
        <f aca="false">I625+J625+K625</f>
        <v>7962.72</v>
      </c>
      <c r="M625" s="36" t="s">
        <v>3196</v>
      </c>
    </row>
    <row r="626" customFormat="false" ht="37.5" hidden="false" customHeight="true" outlineLevel="0" collapsed="false">
      <c r="A626" s="29"/>
      <c r="B626" s="30" t="s">
        <v>2205</v>
      </c>
      <c r="C626" s="31" t="s">
        <v>107</v>
      </c>
      <c r="D626" s="31" t="s">
        <v>108</v>
      </c>
      <c r="E626" s="32" t="n">
        <v>2550</v>
      </c>
      <c r="F626" s="32" t="n">
        <v>1800</v>
      </c>
      <c r="G626" s="32" t="n">
        <v>200</v>
      </c>
      <c r="H626" s="33" t="n">
        <v>1</v>
      </c>
      <c r="I626" s="34" t="n">
        <f aca="false">E626*H626+N(F626)*H626+N(G626)</f>
        <v>4550</v>
      </c>
      <c r="J626" s="32" t="n">
        <f aca="false">ROUND(IFERROR(ROUND(IF(OR(ISNUMBER(SEARCH("week",C626)),ISNUMBER(SEARCH("minggu",C626))),IFERROR(_xlfn.NUMBERVALUE(SUBSTITUTE(LEFT(TRIM(C626),FIND(" ",TRIM(C626)&amp;" ")-1),",","."),"."),LEFT(SUBSTITUTE(LEFT(TRIM(C626),FIND(" ",TRIM(C626)&amp;" ")-1),",","."),FIND("/",SUBSTITUTE(LEFT(TRIM(C626),FIND(" ",TRIM(C626)&amp;" ")-1),",","."))-1)/MID(SUBSTITUTE(LEFT(TRIM(C626),FIND(" ",TRIM(C626)&amp;" ")-1),",","."),FIND("/",SUBSTITUTE(LEFT(TRIM(C626),FIND(" ",TRIM(C626)&amp;" ")-1),",","."))+1,9))*12/52,IF(ISNUMBER(SEARCH("month",C626)),IFERROR(_xlfn.NUMBERVALUE(SUBSTITUTE(LEFT(TRIM(C626),FIND(" ",TRIM(C626)&amp;" ")-1),",","."),"."),LEFT(SUBSTITUTE(LEFT(TRIM(C626),FIND(" ",TRIM(C626)&amp;" ")-1),",","."),FIND("/",SUBSTITUTE(LEFT(TRIM(C626),FIND(" ",TRIM(C626)&amp;" ")-1),",","."))-1)/MID(SUBSTITUTE(LEFT(TRIM(C626),FIND(" ",TRIM(C626)&amp;" ")-1),",","."),FIND("/",SUBSTITUTE(LEFT(TRIM(C626),FIND(" ",TRIM(C626)&amp;" ")-1),",","."))+1,9)),IF(ISNUMBER(SEARCH("yea",C626)),IFERROR(_xlfn.NUMBERVALUE(SUBSTITUTE(LEFT(TRIM(C626),FIND(" ",TRIM(C626)&amp;" ")-1),",","."),"."),LEFT(SUBSTITUTE(LEFT(TRIM(C626),FIND(" ",TRIM(C626)&amp;" ")-1),",","."),FIND("/",SUBSTITUTE(LEFT(TRIM(C626),FIND(" ",TRIM(C626)&amp;" ")-1),",","."))-1)/MID(SUBSTITUTE(LEFT(TRIM(C626),FIND(" ",TRIM(C626)&amp;" ")-1),",","."),FIND("/",SUBSTITUTE(LEFT(TRIM(C626),FIND(" ",TRIM(C626)&amp;" ")-1),",","."))+1,9))*12,NA()))),0),24)*'Aturan &amp; Tarif'!$B$4,2)</f>
        <v>1362.72</v>
      </c>
      <c r="K626" s="32" t="n">
        <f aca="false">'Aturan &amp; Tarif'!$B$5</f>
        <v>2050</v>
      </c>
      <c r="L626" s="35" t="n">
        <f aca="false">I626+J626+K626</f>
        <v>7962.72</v>
      </c>
      <c r="M626" s="36" t="s">
        <v>3196</v>
      </c>
    </row>
    <row r="627" customFormat="false" ht="14.25" hidden="false" customHeight="true" outlineLevel="0" collapsed="false">
      <c r="A627" s="29"/>
      <c r="B627" s="30" t="s">
        <v>126</v>
      </c>
      <c r="C627" s="31" t="s">
        <v>138</v>
      </c>
      <c r="D627" s="31" t="s">
        <v>108</v>
      </c>
      <c r="E627" s="32" t="n">
        <v>1500</v>
      </c>
      <c r="F627" s="32" t="n">
        <v>100</v>
      </c>
      <c r="G627" s="32" t="n">
        <v>200</v>
      </c>
      <c r="H627" s="33" t="n">
        <v>1</v>
      </c>
      <c r="I627" s="34" t="n">
        <f aca="false">E627*H627+N(F627)*H627+N(G627)</f>
        <v>1800</v>
      </c>
      <c r="J627" s="32" t="n">
        <f aca="false">ROUND(IFERROR(ROUND(IF(OR(ISNUMBER(SEARCH("week",C627)),ISNUMBER(SEARCH("minggu",C627))),IFERROR(_xlfn.NUMBERVALUE(SUBSTITUTE(LEFT(TRIM(C627),FIND(" ",TRIM(C627)&amp;" ")-1),",","."),"."),LEFT(SUBSTITUTE(LEFT(TRIM(C627),FIND(" ",TRIM(C627)&amp;" ")-1),",","."),FIND("/",SUBSTITUTE(LEFT(TRIM(C627),FIND(" ",TRIM(C627)&amp;" ")-1),",","."))-1)/MID(SUBSTITUTE(LEFT(TRIM(C627),FIND(" ",TRIM(C627)&amp;" ")-1),",","."),FIND("/",SUBSTITUTE(LEFT(TRIM(C627),FIND(" ",TRIM(C627)&amp;" ")-1),",","."))+1,9))*12/52,IF(ISNUMBER(SEARCH("month",C627)),IFERROR(_xlfn.NUMBERVALUE(SUBSTITUTE(LEFT(TRIM(C627),FIND(" ",TRIM(C627)&amp;" ")-1),",","."),"."),LEFT(SUBSTITUTE(LEFT(TRIM(C627),FIND(" ",TRIM(C627)&amp;" ")-1),",","."),FIND("/",SUBSTITUTE(LEFT(TRIM(C627),FIND(" ",TRIM(C627)&amp;" ")-1),",","."))-1)/MID(SUBSTITUTE(LEFT(TRIM(C627),FIND(" ",TRIM(C627)&amp;" ")-1),",","."),FIND("/",SUBSTITUTE(LEFT(TRIM(C627),FIND(" ",TRIM(C627)&amp;" ")-1),",","."))+1,9)),IF(ISNUMBER(SEARCH("yea",C627)),IFERROR(_xlfn.NUMBERVALUE(SUBSTITUTE(LEFT(TRIM(C627),FIND(" ",TRIM(C627)&amp;" ")-1),",","."),"."),LEFT(SUBSTITUTE(LEFT(TRIM(C627),FIND(" ",TRIM(C627)&amp;" ")-1),",","."),FIND("/",SUBSTITUTE(LEFT(TRIM(C627),FIND(" ",TRIM(C627)&amp;" ")-1),",","."))-1)/MID(SUBSTITUTE(LEFT(TRIM(C627),FIND(" ",TRIM(C627)&amp;" ")-1),",","."),FIND("/",SUBSTITUTE(LEFT(TRIM(C627),FIND(" ",TRIM(C627)&amp;" ")-1),",","."))+1,9))*12,NA()))),0),30)*'Aturan &amp; Tarif'!$B$4,2)</f>
        <v>1703.4</v>
      </c>
      <c r="K627" s="32" t="n">
        <f aca="false">'Aturan &amp; Tarif'!$B$5</f>
        <v>2050</v>
      </c>
      <c r="L627" s="35" t="n">
        <f aca="false">I627+J627+K627</f>
        <v>5553.4</v>
      </c>
      <c r="M627" s="37" t="s">
        <v>3197</v>
      </c>
    </row>
    <row r="628" customFormat="false" ht="14.25" hidden="false" customHeight="true" outlineLevel="0" collapsed="false">
      <c r="A628" s="29"/>
      <c r="B628" s="30" t="s">
        <v>1596</v>
      </c>
      <c r="C628" s="31" t="s">
        <v>107</v>
      </c>
      <c r="D628" s="31" t="s">
        <v>108</v>
      </c>
      <c r="E628" s="32" t="n">
        <v>1500</v>
      </c>
      <c r="F628" s="32" t="n">
        <v>50</v>
      </c>
      <c r="G628" s="32" t="n">
        <v>200</v>
      </c>
      <c r="H628" s="33" t="n">
        <v>1</v>
      </c>
      <c r="I628" s="34" t="n">
        <f aca="false">E628*H628+N(F628)*H628+N(G628)</f>
        <v>1750</v>
      </c>
      <c r="J628" s="32" t="n">
        <f aca="false">ROUND(IFERROR(ROUND(IF(OR(ISNUMBER(SEARCH("week",C628)),ISNUMBER(SEARCH("minggu",C628))),IFERROR(_xlfn.NUMBERVALUE(SUBSTITUTE(LEFT(TRIM(C628),FIND(" ",TRIM(C628)&amp;" ")-1),",","."),"."),LEFT(SUBSTITUTE(LEFT(TRIM(C628),FIND(" ",TRIM(C628)&amp;" ")-1),",","."),FIND("/",SUBSTITUTE(LEFT(TRIM(C628),FIND(" ",TRIM(C628)&amp;" ")-1),",","."))-1)/MID(SUBSTITUTE(LEFT(TRIM(C628),FIND(" ",TRIM(C628)&amp;" ")-1),",","."),FIND("/",SUBSTITUTE(LEFT(TRIM(C628),FIND(" ",TRIM(C628)&amp;" ")-1),",","."))+1,9))*12/52,IF(ISNUMBER(SEARCH("month",C628)),IFERROR(_xlfn.NUMBERVALUE(SUBSTITUTE(LEFT(TRIM(C628),FIND(" ",TRIM(C628)&amp;" ")-1),",","."),"."),LEFT(SUBSTITUTE(LEFT(TRIM(C628),FIND(" ",TRIM(C628)&amp;" ")-1),",","."),FIND("/",SUBSTITUTE(LEFT(TRIM(C628),FIND(" ",TRIM(C628)&amp;" ")-1),",","."))-1)/MID(SUBSTITUTE(LEFT(TRIM(C628),FIND(" ",TRIM(C628)&amp;" ")-1),",","."),FIND("/",SUBSTITUTE(LEFT(TRIM(C628),FIND(" ",TRIM(C628)&amp;" ")-1),",","."))+1,9)),IF(ISNUMBER(SEARCH("yea",C628)),IFERROR(_xlfn.NUMBERVALUE(SUBSTITUTE(LEFT(TRIM(C628),FIND(" ",TRIM(C628)&amp;" ")-1),",","."),"."),LEFT(SUBSTITUTE(LEFT(TRIM(C628),FIND(" ",TRIM(C628)&amp;" ")-1),",","."),FIND("/",SUBSTITUTE(LEFT(TRIM(C628),FIND(" ",TRIM(C628)&amp;" ")-1),",","."))-1)/MID(SUBSTITUTE(LEFT(TRIM(C628),FIND(" ",TRIM(C628)&amp;" ")-1),",","."),FIND("/",SUBSTITUTE(LEFT(TRIM(C628),FIND(" ",TRIM(C628)&amp;" ")-1),",","."))+1,9))*12,NA()))),0),24)*'Aturan &amp; Tarif'!$B$4,2)</f>
        <v>1362.72</v>
      </c>
      <c r="K628" s="32" t="n">
        <f aca="false">'Aturan &amp; Tarif'!$B$5</f>
        <v>2050</v>
      </c>
      <c r="L628" s="35" t="n">
        <f aca="false">I628+J628+K628</f>
        <v>5162.72</v>
      </c>
      <c r="M628" s="37" t="s">
        <v>3197</v>
      </c>
    </row>
    <row r="629" customFormat="false" ht="25.5" hidden="false" customHeight="true" outlineLevel="0" collapsed="false">
      <c r="A629" s="29"/>
      <c r="B629" s="30" t="s">
        <v>1814</v>
      </c>
      <c r="C629" s="31" t="s">
        <v>136</v>
      </c>
      <c r="D629" s="31" t="s">
        <v>108</v>
      </c>
      <c r="E629" s="32" t="n">
        <v>1500</v>
      </c>
      <c r="F629" s="32" t="n">
        <v>50</v>
      </c>
      <c r="G629" s="32" t="n">
        <v>200</v>
      </c>
      <c r="H629" s="33" t="n">
        <v>1</v>
      </c>
      <c r="I629" s="34" t="n">
        <f aca="false">E629*H629+N(F629)*H629+N(G629)</f>
        <v>1750</v>
      </c>
      <c r="J629" s="32" t="n">
        <f aca="false">ROUND(IFERROR(ROUND(IF(OR(ISNUMBER(SEARCH("week",C629)),ISNUMBER(SEARCH("minggu",C629))),IFERROR(_xlfn.NUMBERVALUE(SUBSTITUTE(LEFT(TRIM(C629),FIND(" ",TRIM(C629)&amp;" ")-1),",","."),"."),LEFT(SUBSTITUTE(LEFT(TRIM(C629),FIND(" ",TRIM(C629)&amp;" ")-1),",","."),FIND("/",SUBSTITUTE(LEFT(TRIM(C629),FIND(" ",TRIM(C629)&amp;" ")-1),",","."))-1)/MID(SUBSTITUTE(LEFT(TRIM(C629),FIND(" ",TRIM(C629)&amp;" ")-1),",","."),FIND("/",SUBSTITUTE(LEFT(TRIM(C629),FIND(" ",TRIM(C629)&amp;" ")-1),",","."))+1,9))*12/52,IF(ISNUMBER(SEARCH("month",C629)),IFERROR(_xlfn.NUMBERVALUE(SUBSTITUTE(LEFT(TRIM(C629),FIND(" ",TRIM(C629)&amp;" ")-1),",","."),"."),LEFT(SUBSTITUTE(LEFT(TRIM(C629),FIND(" ",TRIM(C629)&amp;" ")-1),",","."),FIND("/",SUBSTITUTE(LEFT(TRIM(C629),FIND(" ",TRIM(C629)&amp;" ")-1),",","."))-1)/MID(SUBSTITUTE(LEFT(TRIM(C629),FIND(" ",TRIM(C629)&amp;" ")-1),",","."),FIND("/",SUBSTITUTE(LEFT(TRIM(C629),FIND(" ",TRIM(C629)&amp;" ")-1),",","."))+1,9)),IF(ISNUMBER(SEARCH("yea",C629)),IFERROR(_xlfn.NUMBERVALUE(SUBSTITUTE(LEFT(TRIM(C629),FIND(" ",TRIM(C629)&amp;" ")-1),",","."),"."),LEFT(SUBSTITUTE(LEFT(TRIM(C629),FIND(" ",TRIM(C629)&amp;" ")-1),",","."),FIND("/",SUBSTITUTE(LEFT(TRIM(C629),FIND(" ",TRIM(C629)&amp;" ")-1),",","."))-1)/MID(SUBSTITUTE(LEFT(TRIM(C629),FIND(" ",TRIM(C629)&amp;" ")-1),",","."),FIND("/",SUBSTITUTE(LEFT(TRIM(C629),FIND(" ",TRIM(C629)&amp;" ")-1),",","."))+1,9))*12,NA()))),0),42)*'Aturan &amp; Tarif'!$B$4,2)</f>
        <v>2384.76</v>
      </c>
      <c r="K629" s="32" t="n">
        <f aca="false">'Aturan &amp; Tarif'!$B$5</f>
        <v>2050</v>
      </c>
      <c r="L629" s="35" t="n">
        <f aca="false">I629+J629+K629</f>
        <v>6184.76</v>
      </c>
      <c r="M629" s="37" t="s">
        <v>3197</v>
      </c>
    </row>
    <row r="630" customFormat="false" ht="37.5" hidden="false" customHeight="true" outlineLevel="0" collapsed="false">
      <c r="A630" s="29" t="s">
        <v>2207</v>
      </c>
      <c r="B630" s="30" t="s">
        <v>674</v>
      </c>
      <c r="C630" s="31" t="s">
        <v>130</v>
      </c>
      <c r="D630" s="31" t="s">
        <v>108</v>
      </c>
      <c r="E630" s="32" t="n">
        <v>2000</v>
      </c>
      <c r="F630" s="32" t="n">
        <v>1000</v>
      </c>
      <c r="G630" s="32" t="n">
        <v>500</v>
      </c>
      <c r="H630" s="33" t="n">
        <v>1</v>
      </c>
      <c r="I630" s="34" t="n">
        <f aca="false">E630*H630+N(F630)+N(G630)</f>
        <v>3500</v>
      </c>
      <c r="J630" s="32" t="n">
        <f aca="false">ROUND(IFERROR(ROUND(IF(OR(ISNUMBER(SEARCH("week",C630)),ISNUMBER(SEARCH("minggu",C630))),IFERROR(_xlfn.NUMBERVALUE(SUBSTITUTE(LEFT(TRIM(C630),FIND(" ",TRIM(C630)&amp;" ")-1),",","."),"."),LEFT(SUBSTITUTE(LEFT(TRIM(C630),FIND(" ",TRIM(C630)&amp;" ")-1),",","."),FIND("/",SUBSTITUTE(LEFT(TRIM(C630),FIND(" ",TRIM(C630)&amp;" ")-1),",","."))-1)/MID(SUBSTITUTE(LEFT(TRIM(C630),FIND(" ",TRIM(C630)&amp;" ")-1),",","."),FIND("/",SUBSTITUTE(LEFT(TRIM(C630),FIND(" ",TRIM(C630)&amp;" ")-1),",","."))+1,9))*12/52,IF(ISNUMBER(SEARCH("month",C630)),IFERROR(_xlfn.NUMBERVALUE(SUBSTITUTE(LEFT(TRIM(C630),FIND(" ",TRIM(C630)&amp;" ")-1),",","."),"."),LEFT(SUBSTITUTE(LEFT(TRIM(C630),FIND(" ",TRIM(C630)&amp;" ")-1),",","."),FIND("/",SUBSTITUTE(LEFT(TRIM(C630),FIND(" ",TRIM(C630)&amp;" ")-1),",","."))-1)/MID(SUBSTITUTE(LEFT(TRIM(C630),FIND(" ",TRIM(C630)&amp;" ")-1),",","."),FIND("/",SUBSTITUTE(LEFT(TRIM(C630),FIND(" ",TRIM(C630)&amp;" ")-1),",","."))+1,9)),IF(ISNUMBER(SEARCH("yea",C630)),IFERROR(_xlfn.NUMBERVALUE(SUBSTITUTE(LEFT(TRIM(C630),FIND(" ",TRIM(C630)&amp;" ")-1),",","."),"."),LEFT(SUBSTITUTE(LEFT(TRIM(C630),FIND(" ",TRIM(C630)&amp;" ")-1),",","."),FIND("/",SUBSTITUTE(LEFT(TRIM(C630),FIND(" ",TRIM(C630)&amp;" ")-1),",","."))-1)/MID(SUBSTITUTE(LEFT(TRIM(C630),FIND(" ",TRIM(C630)&amp;" ")-1),",","."),FIND("/",SUBSTITUTE(LEFT(TRIM(C630),FIND(" ",TRIM(C630)&amp;" ")-1),",","."))+1,9))*12,NA()))),0),12)*'Aturan &amp; Tarif'!$B$4,2)</f>
        <v>681.36</v>
      </c>
      <c r="K630" s="32" t="n">
        <f aca="false">'Aturan &amp; Tarif'!$B$5</f>
        <v>2050</v>
      </c>
      <c r="L630" s="35" t="n">
        <f aca="false">I630+J630+K630</f>
        <v>6231.36</v>
      </c>
      <c r="M630" s="36" t="s">
        <v>3198</v>
      </c>
    </row>
    <row r="631" customFormat="false" ht="37.5" hidden="false" customHeight="true" outlineLevel="0" collapsed="false">
      <c r="A631" s="29"/>
      <c r="B631" s="30" t="s">
        <v>2209</v>
      </c>
      <c r="C631" s="31" t="s">
        <v>107</v>
      </c>
      <c r="D631" s="31" t="s">
        <v>108</v>
      </c>
      <c r="E631" s="32" t="n">
        <v>2000</v>
      </c>
      <c r="F631" s="32" t="n">
        <v>1000</v>
      </c>
      <c r="G631" s="32" t="n">
        <v>500</v>
      </c>
      <c r="H631" s="33" t="n">
        <v>1</v>
      </c>
      <c r="I631" s="34" t="n">
        <f aca="false">E631*H631+N(F631)+N(G631)</f>
        <v>3500</v>
      </c>
      <c r="J631" s="32" t="n">
        <f aca="false">ROUND(IFERROR(ROUND(IF(OR(ISNUMBER(SEARCH("week",C631)),ISNUMBER(SEARCH("minggu",C631))),IFERROR(_xlfn.NUMBERVALUE(SUBSTITUTE(LEFT(TRIM(C631),FIND(" ",TRIM(C631)&amp;" ")-1),",","."),"."),LEFT(SUBSTITUTE(LEFT(TRIM(C631),FIND(" ",TRIM(C631)&amp;" ")-1),",","."),FIND("/",SUBSTITUTE(LEFT(TRIM(C631),FIND(" ",TRIM(C631)&amp;" ")-1),",","."))-1)/MID(SUBSTITUTE(LEFT(TRIM(C631),FIND(" ",TRIM(C631)&amp;" ")-1),",","."),FIND("/",SUBSTITUTE(LEFT(TRIM(C631),FIND(" ",TRIM(C631)&amp;" ")-1),",","."))+1,9))*12/52,IF(ISNUMBER(SEARCH("month",C631)),IFERROR(_xlfn.NUMBERVALUE(SUBSTITUTE(LEFT(TRIM(C631),FIND(" ",TRIM(C631)&amp;" ")-1),",","."),"."),LEFT(SUBSTITUTE(LEFT(TRIM(C631),FIND(" ",TRIM(C631)&amp;" ")-1),",","."),FIND("/",SUBSTITUTE(LEFT(TRIM(C631),FIND(" ",TRIM(C631)&amp;" ")-1),",","."))-1)/MID(SUBSTITUTE(LEFT(TRIM(C631),FIND(" ",TRIM(C631)&amp;" ")-1),",","."),FIND("/",SUBSTITUTE(LEFT(TRIM(C631),FIND(" ",TRIM(C631)&amp;" ")-1),",","."))+1,9)),IF(ISNUMBER(SEARCH("yea",C631)),IFERROR(_xlfn.NUMBERVALUE(SUBSTITUTE(LEFT(TRIM(C631),FIND(" ",TRIM(C631)&amp;" ")-1),",","."),"."),LEFT(SUBSTITUTE(LEFT(TRIM(C631),FIND(" ",TRIM(C631)&amp;" ")-1),",","."),FIND("/",SUBSTITUTE(LEFT(TRIM(C631),FIND(" ",TRIM(C631)&amp;" ")-1),",","."))-1)/MID(SUBSTITUTE(LEFT(TRIM(C631),FIND(" ",TRIM(C631)&amp;" ")-1),",","."),FIND("/",SUBSTITUTE(LEFT(TRIM(C631),FIND(" ",TRIM(C631)&amp;" ")-1),",","."))+1,9))*12,NA()))),0),24)*'Aturan &amp; Tarif'!$B$4,2)</f>
        <v>1362.72</v>
      </c>
      <c r="K631" s="32" t="n">
        <f aca="false">'Aturan &amp; Tarif'!$B$5</f>
        <v>2050</v>
      </c>
      <c r="L631" s="35" t="n">
        <f aca="false">I631+J631+K631</f>
        <v>6912.72</v>
      </c>
      <c r="M631" s="36" t="s">
        <v>3198</v>
      </c>
    </row>
    <row r="632" customFormat="false" ht="37.5" hidden="false" customHeight="true" outlineLevel="0" collapsed="false">
      <c r="A632" s="29"/>
      <c r="B632" s="30" t="s">
        <v>2211</v>
      </c>
      <c r="C632" s="31" t="s">
        <v>107</v>
      </c>
      <c r="D632" s="31" t="s">
        <v>108</v>
      </c>
      <c r="E632" s="32" t="n">
        <v>2000</v>
      </c>
      <c r="F632" s="32" t="n">
        <v>1000</v>
      </c>
      <c r="G632" s="32" t="n">
        <v>500</v>
      </c>
      <c r="H632" s="33" t="n">
        <v>1</v>
      </c>
      <c r="I632" s="34" t="n">
        <f aca="false">E632*H632+N(F632)+N(G632)</f>
        <v>3500</v>
      </c>
      <c r="J632" s="32" t="n">
        <f aca="false">ROUND(IFERROR(ROUND(IF(OR(ISNUMBER(SEARCH("week",C632)),ISNUMBER(SEARCH("minggu",C632))),IFERROR(_xlfn.NUMBERVALUE(SUBSTITUTE(LEFT(TRIM(C632),FIND(" ",TRIM(C632)&amp;" ")-1),",","."),"."),LEFT(SUBSTITUTE(LEFT(TRIM(C632),FIND(" ",TRIM(C632)&amp;" ")-1),",","."),FIND("/",SUBSTITUTE(LEFT(TRIM(C632),FIND(" ",TRIM(C632)&amp;" ")-1),",","."))-1)/MID(SUBSTITUTE(LEFT(TRIM(C632),FIND(" ",TRIM(C632)&amp;" ")-1),",","."),FIND("/",SUBSTITUTE(LEFT(TRIM(C632),FIND(" ",TRIM(C632)&amp;" ")-1),",","."))+1,9))*12/52,IF(ISNUMBER(SEARCH("month",C632)),IFERROR(_xlfn.NUMBERVALUE(SUBSTITUTE(LEFT(TRIM(C632),FIND(" ",TRIM(C632)&amp;" ")-1),",","."),"."),LEFT(SUBSTITUTE(LEFT(TRIM(C632),FIND(" ",TRIM(C632)&amp;" ")-1),",","."),FIND("/",SUBSTITUTE(LEFT(TRIM(C632),FIND(" ",TRIM(C632)&amp;" ")-1),",","."))-1)/MID(SUBSTITUTE(LEFT(TRIM(C632),FIND(" ",TRIM(C632)&amp;" ")-1),",","."),FIND("/",SUBSTITUTE(LEFT(TRIM(C632),FIND(" ",TRIM(C632)&amp;" ")-1),",","."))+1,9)),IF(ISNUMBER(SEARCH("yea",C632)),IFERROR(_xlfn.NUMBERVALUE(SUBSTITUTE(LEFT(TRIM(C632),FIND(" ",TRIM(C632)&amp;" ")-1),",","."),"."),LEFT(SUBSTITUTE(LEFT(TRIM(C632),FIND(" ",TRIM(C632)&amp;" ")-1),",","."),FIND("/",SUBSTITUTE(LEFT(TRIM(C632),FIND(" ",TRIM(C632)&amp;" ")-1),",","."))-1)/MID(SUBSTITUTE(LEFT(TRIM(C632),FIND(" ",TRIM(C632)&amp;" ")-1),",","."),FIND("/",SUBSTITUTE(LEFT(TRIM(C632),FIND(" ",TRIM(C632)&amp;" ")-1),",","."))+1,9))*12,NA()))),0),24)*'Aturan &amp; Tarif'!$B$4,2)</f>
        <v>1362.72</v>
      </c>
      <c r="K632" s="32" t="n">
        <f aca="false">'Aturan &amp; Tarif'!$B$5</f>
        <v>2050</v>
      </c>
      <c r="L632" s="35" t="n">
        <f aca="false">I632+J632+K632</f>
        <v>6912.72</v>
      </c>
      <c r="M632" s="36" t="s">
        <v>3198</v>
      </c>
    </row>
    <row r="633" customFormat="false" ht="37.5" hidden="false" customHeight="true" outlineLevel="0" collapsed="false">
      <c r="A633" s="29"/>
      <c r="B633" s="30" t="s">
        <v>2212</v>
      </c>
      <c r="C633" s="31" t="s">
        <v>130</v>
      </c>
      <c r="D633" s="31" t="s">
        <v>108</v>
      </c>
      <c r="E633" s="32" t="n">
        <v>2000</v>
      </c>
      <c r="F633" s="32" t="n">
        <v>1000</v>
      </c>
      <c r="G633" s="32" t="n">
        <v>500</v>
      </c>
      <c r="H633" s="33" t="n">
        <v>1</v>
      </c>
      <c r="I633" s="34" t="n">
        <f aca="false">E633*H633+N(F633)+N(G633)</f>
        <v>3500</v>
      </c>
      <c r="J633" s="32" t="n">
        <f aca="false">ROUND(IFERROR(ROUND(IF(OR(ISNUMBER(SEARCH("week",C633)),ISNUMBER(SEARCH("minggu",C633))),IFERROR(_xlfn.NUMBERVALUE(SUBSTITUTE(LEFT(TRIM(C633),FIND(" ",TRIM(C633)&amp;" ")-1),",","."),"."),LEFT(SUBSTITUTE(LEFT(TRIM(C633),FIND(" ",TRIM(C633)&amp;" ")-1),",","."),FIND("/",SUBSTITUTE(LEFT(TRIM(C633),FIND(" ",TRIM(C633)&amp;" ")-1),",","."))-1)/MID(SUBSTITUTE(LEFT(TRIM(C633),FIND(" ",TRIM(C633)&amp;" ")-1),",","."),FIND("/",SUBSTITUTE(LEFT(TRIM(C633),FIND(" ",TRIM(C633)&amp;" ")-1),",","."))+1,9))*12/52,IF(ISNUMBER(SEARCH("month",C633)),IFERROR(_xlfn.NUMBERVALUE(SUBSTITUTE(LEFT(TRIM(C633),FIND(" ",TRIM(C633)&amp;" ")-1),",","."),"."),LEFT(SUBSTITUTE(LEFT(TRIM(C633),FIND(" ",TRIM(C633)&amp;" ")-1),",","."),FIND("/",SUBSTITUTE(LEFT(TRIM(C633),FIND(" ",TRIM(C633)&amp;" ")-1),",","."))-1)/MID(SUBSTITUTE(LEFT(TRIM(C633),FIND(" ",TRIM(C633)&amp;" ")-1),",","."),FIND("/",SUBSTITUTE(LEFT(TRIM(C633),FIND(" ",TRIM(C633)&amp;" ")-1),",","."))+1,9)),IF(ISNUMBER(SEARCH("yea",C633)),IFERROR(_xlfn.NUMBERVALUE(SUBSTITUTE(LEFT(TRIM(C633),FIND(" ",TRIM(C633)&amp;" ")-1),",","."),"."),LEFT(SUBSTITUTE(LEFT(TRIM(C633),FIND(" ",TRIM(C633)&amp;" ")-1),",","."),FIND("/",SUBSTITUTE(LEFT(TRIM(C633),FIND(" ",TRIM(C633)&amp;" ")-1),",","."))-1)/MID(SUBSTITUTE(LEFT(TRIM(C633),FIND(" ",TRIM(C633)&amp;" ")-1),",","."),FIND("/",SUBSTITUTE(LEFT(TRIM(C633),FIND(" ",TRIM(C633)&amp;" ")-1),",","."))+1,9))*12,NA()))),0),12)*'Aturan &amp; Tarif'!$B$4,2)</f>
        <v>681.36</v>
      </c>
      <c r="K633" s="32" t="n">
        <f aca="false">'Aturan &amp; Tarif'!$B$5</f>
        <v>2050</v>
      </c>
      <c r="L633" s="35" t="n">
        <f aca="false">I633+J633+K633</f>
        <v>6231.36</v>
      </c>
      <c r="M633" s="37" t="s">
        <v>3199</v>
      </c>
    </row>
    <row r="634" customFormat="false" ht="48.75" hidden="false" customHeight="true" outlineLevel="0" collapsed="false">
      <c r="A634" s="29"/>
      <c r="B634" s="30" t="s">
        <v>2214</v>
      </c>
      <c r="C634" s="31" t="s">
        <v>107</v>
      </c>
      <c r="D634" s="31" t="s">
        <v>108</v>
      </c>
      <c r="E634" s="32" t="n">
        <v>2000</v>
      </c>
      <c r="F634" s="32" t="n">
        <v>1000</v>
      </c>
      <c r="G634" s="32" t="n">
        <v>500</v>
      </c>
      <c r="H634" s="33" t="n">
        <v>1</v>
      </c>
      <c r="I634" s="34" t="n">
        <f aca="false">E634*H634+N(F634)+N(G634)</f>
        <v>3500</v>
      </c>
      <c r="J634" s="32" t="n">
        <f aca="false">ROUND(IFERROR(ROUND(IF(OR(ISNUMBER(SEARCH("week",C634)),ISNUMBER(SEARCH("minggu",C634))),IFERROR(_xlfn.NUMBERVALUE(SUBSTITUTE(LEFT(TRIM(C634),FIND(" ",TRIM(C634)&amp;" ")-1),",","."),"."),LEFT(SUBSTITUTE(LEFT(TRIM(C634),FIND(" ",TRIM(C634)&amp;" ")-1),",","."),FIND("/",SUBSTITUTE(LEFT(TRIM(C634),FIND(" ",TRIM(C634)&amp;" ")-1),",","."))-1)/MID(SUBSTITUTE(LEFT(TRIM(C634),FIND(" ",TRIM(C634)&amp;" ")-1),",","."),FIND("/",SUBSTITUTE(LEFT(TRIM(C634),FIND(" ",TRIM(C634)&amp;" ")-1),",","."))+1,9))*12/52,IF(ISNUMBER(SEARCH("month",C634)),IFERROR(_xlfn.NUMBERVALUE(SUBSTITUTE(LEFT(TRIM(C634),FIND(" ",TRIM(C634)&amp;" ")-1),",","."),"."),LEFT(SUBSTITUTE(LEFT(TRIM(C634),FIND(" ",TRIM(C634)&amp;" ")-1),",","."),FIND("/",SUBSTITUTE(LEFT(TRIM(C634),FIND(" ",TRIM(C634)&amp;" ")-1),",","."))-1)/MID(SUBSTITUTE(LEFT(TRIM(C634),FIND(" ",TRIM(C634)&amp;" ")-1),",","."),FIND("/",SUBSTITUTE(LEFT(TRIM(C634),FIND(" ",TRIM(C634)&amp;" ")-1),",","."))+1,9)),IF(ISNUMBER(SEARCH("yea",C634)),IFERROR(_xlfn.NUMBERVALUE(SUBSTITUTE(LEFT(TRIM(C634),FIND(" ",TRIM(C634)&amp;" ")-1),",","."),"."),LEFT(SUBSTITUTE(LEFT(TRIM(C634),FIND(" ",TRIM(C634)&amp;" ")-1),",","."),FIND("/",SUBSTITUTE(LEFT(TRIM(C634),FIND(" ",TRIM(C634)&amp;" ")-1),",","."))-1)/MID(SUBSTITUTE(LEFT(TRIM(C634),FIND(" ",TRIM(C634)&amp;" ")-1),",","."),FIND("/",SUBSTITUTE(LEFT(TRIM(C634),FIND(" ",TRIM(C634)&amp;" ")-1),",","."))+1,9))*12,NA()))),0),24)*'Aturan &amp; Tarif'!$B$4,2)</f>
        <v>1362.72</v>
      </c>
      <c r="K634" s="32" t="n">
        <f aca="false">'Aturan &amp; Tarif'!$B$5</f>
        <v>2050</v>
      </c>
      <c r="L634" s="35" t="n">
        <f aca="false">I634+J634+K634</f>
        <v>6912.72</v>
      </c>
      <c r="M634" s="37" t="s">
        <v>3199</v>
      </c>
    </row>
    <row r="635" customFormat="false" ht="25.5" hidden="false" customHeight="true" outlineLevel="0" collapsed="false">
      <c r="A635" s="29"/>
      <c r="B635" s="30" t="s">
        <v>2215</v>
      </c>
      <c r="C635" s="31" t="s">
        <v>107</v>
      </c>
      <c r="D635" s="31" t="s">
        <v>108</v>
      </c>
      <c r="E635" s="32" t="n">
        <v>2000</v>
      </c>
      <c r="F635" s="32" t="n">
        <v>1000</v>
      </c>
      <c r="G635" s="32" t="n">
        <v>500</v>
      </c>
      <c r="H635" s="33" t="n">
        <v>1</v>
      </c>
      <c r="I635" s="34" t="n">
        <f aca="false">E635*H635+N(F635)+N(G635)</f>
        <v>3500</v>
      </c>
      <c r="J635" s="32" t="n">
        <f aca="false">ROUND(IFERROR(ROUND(IF(OR(ISNUMBER(SEARCH("week",C635)),ISNUMBER(SEARCH("minggu",C635))),IFERROR(_xlfn.NUMBERVALUE(SUBSTITUTE(LEFT(TRIM(C635),FIND(" ",TRIM(C635)&amp;" ")-1),",","."),"."),LEFT(SUBSTITUTE(LEFT(TRIM(C635),FIND(" ",TRIM(C635)&amp;" ")-1),",","."),FIND("/",SUBSTITUTE(LEFT(TRIM(C635),FIND(" ",TRIM(C635)&amp;" ")-1),",","."))-1)/MID(SUBSTITUTE(LEFT(TRIM(C635),FIND(" ",TRIM(C635)&amp;" ")-1),",","."),FIND("/",SUBSTITUTE(LEFT(TRIM(C635),FIND(" ",TRIM(C635)&amp;" ")-1),",","."))+1,9))*12/52,IF(ISNUMBER(SEARCH("month",C635)),IFERROR(_xlfn.NUMBERVALUE(SUBSTITUTE(LEFT(TRIM(C635),FIND(" ",TRIM(C635)&amp;" ")-1),",","."),"."),LEFT(SUBSTITUTE(LEFT(TRIM(C635),FIND(" ",TRIM(C635)&amp;" ")-1),",","."),FIND("/",SUBSTITUTE(LEFT(TRIM(C635),FIND(" ",TRIM(C635)&amp;" ")-1),",","."))-1)/MID(SUBSTITUTE(LEFT(TRIM(C635),FIND(" ",TRIM(C635)&amp;" ")-1),",","."),FIND("/",SUBSTITUTE(LEFT(TRIM(C635),FIND(" ",TRIM(C635)&amp;" ")-1),",","."))+1,9)),IF(ISNUMBER(SEARCH("yea",C635)),IFERROR(_xlfn.NUMBERVALUE(SUBSTITUTE(LEFT(TRIM(C635),FIND(" ",TRIM(C635)&amp;" ")-1),",","."),"."),LEFT(SUBSTITUTE(LEFT(TRIM(C635),FIND(" ",TRIM(C635)&amp;" ")-1),",","."),FIND("/",SUBSTITUTE(LEFT(TRIM(C635),FIND(" ",TRIM(C635)&amp;" ")-1),",","."))-1)/MID(SUBSTITUTE(LEFT(TRIM(C635),FIND(" ",TRIM(C635)&amp;" ")-1),",","."),FIND("/",SUBSTITUTE(LEFT(TRIM(C635),FIND(" ",TRIM(C635)&amp;" ")-1),",","."))+1,9))*12,NA()))),0),24)*'Aturan &amp; Tarif'!$B$4,2)</f>
        <v>1362.72</v>
      </c>
      <c r="K635" s="32" t="n">
        <f aca="false">'Aturan &amp; Tarif'!$B$5</f>
        <v>2050</v>
      </c>
      <c r="L635" s="35" t="n">
        <f aca="false">I635+J635+K635</f>
        <v>6912.72</v>
      </c>
      <c r="M635" s="37" t="s">
        <v>3199</v>
      </c>
    </row>
    <row r="636" customFormat="false" ht="25.5" hidden="false" customHeight="true" outlineLevel="0" collapsed="false">
      <c r="A636" s="29"/>
      <c r="B636" s="30" t="s">
        <v>2216</v>
      </c>
      <c r="C636" s="31" t="s">
        <v>130</v>
      </c>
      <c r="D636" s="31" t="s">
        <v>108</v>
      </c>
      <c r="E636" s="32" t="n">
        <v>2000</v>
      </c>
      <c r="F636" s="32" t="n">
        <v>1000</v>
      </c>
      <c r="G636" s="32" t="n">
        <v>500</v>
      </c>
      <c r="H636" s="33" t="n">
        <v>1</v>
      </c>
      <c r="I636" s="34" t="n">
        <f aca="false">E636*H636+N(F636)+N(G636)</f>
        <v>3500</v>
      </c>
      <c r="J636" s="32" t="n">
        <f aca="false">ROUND(IFERROR(ROUND(IF(OR(ISNUMBER(SEARCH("week",C636)),ISNUMBER(SEARCH("minggu",C636))),IFERROR(_xlfn.NUMBERVALUE(SUBSTITUTE(LEFT(TRIM(C636),FIND(" ",TRIM(C636)&amp;" ")-1),",","."),"."),LEFT(SUBSTITUTE(LEFT(TRIM(C636),FIND(" ",TRIM(C636)&amp;" ")-1),",","."),FIND("/",SUBSTITUTE(LEFT(TRIM(C636),FIND(" ",TRIM(C636)&amp;" ")-1),",","."))-1)/MID(SUBSTITUTE(LEFT(TRIM(C636),FIND(" ",TRIM(C636)&amp;" ")-1),",","."),FIND("/",SUBSTITUTE(LEFT(TRIM(C636),FIND(" ",TRIM(C636)&amp;" ")-1),",","."))+1,9))*12/52,IF(ISNUMBER(SEARCH("month",C636)),IFERROR(_xlfn.NUMBERVALUE(SUBSTITUTE(LEFT(TRIM(C636),FIND(" ",TRIM(C636)&amp;" ")-1),",","."),"."),LEFT(SUBSTITUTE(LEFT(TRIM(C636),FIND(" ",TRIM(C636)&amp;" ")-1),",","."),FIND("/",SUBSTITUTE(LEFT(TRIM(C636),FIND(" ",TRIM(C636)&amp;" ")-1),",","."))-1)/MID(SUBSTITUTE(LEFT(TRIM(C636),FIND(" ",TRIM(C636)&amp;" ")-1),",","."),FIND("/",SUBSTITUTE(LEFT(TRIM(C636),FIND(" ",TRIM(C636)&amp;" ")-1),",","."))+1,9)),IF(ISNUMBER(SEARCH("yea",C636)),IFERROR(_xlfn.NUMBERVALUE(SUBSTITUTE(LEFT(TRIM(C636),FIND(" ",TRIM(C636)&amp;" ")-1),",","."),"."),LEFT(SUBSTITUTE(LEFT(TRIM(C636),FIND(" ",TRIM(C636)&amp;" ")-1),",","."),FIND("/",SUBSTITUTE(LEFT(TRIM(C636),FIND(" ",TRIM(C636)&amp;" ")-1),",","."))-1)/MID(SUBSTITUTE(LEFT(TRIM(C636),FIND(" ",TRIM(C636)&amp;" ")-1),",","."),FIND("/",SUBSTITUTE(LEFT(TRIM(C636),FIND(" ",TRIM(C636)&amp;" ")-1),",","."))+1,9))*12,NA()))),0),12)*'Aturan &amp; Tarif'!$B$4,2)</f>
        <v>681.36</v>
      </c>
      <c r="K636" s="32" t="n">
        <f aca="false">'Aturan &amp; Tarif'!$B$5</f>
        <v>2050</v>
      </c>
      <c r="L636" s="35" t="n">
        <f aca="false">I636+J636+K636</f>
        <v>6231.36</v>
      </c>
      <c r="M636" s="37" t="s">
        <v>3199</v>
      </c>
    </row>
    <row r="637" customFormat="false" ht="25.5" hidden="false" customHeight="true" outlineLevel="0" collapsed="false">
      <c r="A637" s="29"/>
      <c r="B637" s="30" t="s">
        <v>2217</v>
      </c>
      <c r="C637" s="31" t="s">
        <v>107</v>
      </c>
      <c r="D637" s="31" t="s">
        <v>108</v>
      </c>
      <c r="E637" s="32" t="n">
        <v>2000</v>
      </c>
      <c r="F637" s="32" t="n">
        <v>1000</v>
      </c>
      <c r="G637" s="32" t="n">
        <v>500</v>
      </c>
      <c r="H637" s="33" t="n">
        <v>1</v>
      </c>
      <c r="I637" s="34" t="n">
        <f aca="false">E637*H637+N(F637)+N(G637)</f>
        <v>3500</v>
      </c>
      <c r="J637" s="32" t="n">
        <f aca="false">ROUND(IFERROR(ROUND(IF(OR(ISNUMBER(SEARCH("week",C637)),ISNUMBER(SEARCH("minggu",C637))),IFERROR(_xlfn.NUMBERVALUE(SUBSTITUTE(LEFT(TRIM(C637),FIND(" ",TRIM(C637)&amp;" ")-1),",","."),"."),LEFT(SUBSTITUTE(LEFT(TRIM(C637),FIND(" ",TRIM(C637)&amp;" ")-1),",","."),FIND("/",SUBSTITUTE(LEFT(TRIM(C637),FIND(" ",TRIM(C637)&amp;" ")-1),",","."))-1)/MID(SUBSTITUTE(LEFT(TRIM(C637),FIND(" ",TRIM(C637)&amp;" ")-1),",","."),FIND("/",SUBSTITUTE(LEFT(TRIM(C637),FIND(" ",TRIM(C637)&amp;" ")-1),",","."))+1,9))*12/52,IF(ISNUMBER(SEARCH("month",C637)),IFERROR(_xlfn.NUMBERVALUE(SUBSTITUTE(LEFT(TRIM(C637),FIND(" ",TRIM(C637)&amp;" ")-1),",","."),"."),LEFT(SUBSTITUTE(LEFT(TRIM(C637),FIND(" ",TRIM(C637)&amp;" ")-1),",","."),FIND("/",SUBSTITUTE(LEFT(TRIM(C637),FIND(" ",TRIM(C637)&amp;" ")-1),",","."))-1)/MID(SUBSTITUTE(LEFT(TRIM(C637),FIND(" ",TRIM(C637)&amp;" ")-1),",","."),FIND("/",SUBSTITUTE(LEFT(TRIM(C637),FIND(" ",TRIM(C637)&amp;" ")-1),",","."))+1,9)),IF(ISNUMBER(SEARCH("yea",C637)),IFERROR(_xlfn.NUMBERVALUE(SUBSTITUTE(LEFT(TRIM(C637),FIND(" ",TRIM(C637)&amp;" ")-1),",","."),"."),LEFT(SUBSTITUTE(LEFT(TRIM(C637),FIND(" ",TRIM(C637)&amp;" ")-1),",","."),FIND("/",SUBSTITUTE(LEFT(TRIM(C637),FIND(" ",TRIM(C637)&amp;" ")-1),",","."))-1)/MID(SUBSTITUTE(LEFT(TRIM(C637),FIND(" ",TRIM(C637)&amp;" ")-1),",","."),FIND("/",SUBSTITUTE(LEFT(TRIM(C637),FIND(" ",TRIM(C637)&amp;" ")-1),",","."))+1,9))*12,NA()))),0),24)*'Aturan &amp; Tarif'!$B$4,2)</f>
        <v>1362.72</v>
      </c>
      <c r="K637" s="32" t="n">
        <f aca="false">'Aturan &amp; Tarif'!$B$5</f>
        <v>2050</v>
      </c>
      <c r="L637" s="35" t="n">
        <f aca="false">I637+J637+K637</f>
        <v>6912.72</v>
      </c>
      <c r="M637" s="37" t="s">
        <v>3199</v>
      </c>
    </row>
    <row r="638" customFormat="false" ht="25.5" hidden="false" customHeight="true" outlineLevel="0" collapsed="false">
      <c r="A638" s="29"/>
      <c r="B638" s="30" t="s">
        <v>144</v>
      </c>
      <c r="C638" s="31" t="s">
        <v>107</v>
      </c>
      <c r="D638" s="31" t="s">
        <v>108</v>
      </c>
      <c r="E638" s="32" t="n">
        <v>2000</v>
      </c>
      <c r="F638" s="32" t="n">
        <v>1000</v>
      </c>
      <c r="G638" s="32" t="n">
        <v>500</v>
      </c>
      <c r="H638" s="33" t="n">
        <v>1</v>
      </c>
      <c r="I638" s="34" t="n">
        <f aca="false">E638*H638+N(F638)+N(G638)</f>
        <v>3500</v>
      </c>
      <c r="J638" s="32" t="n">
        <f aca="false">ROUND(IFERROR(ROUND(IF(OR(ISNUMBER(SEARCH("week",C638)),ISNUMBER(SEARCH("minggu",C638))),IFERROR(_xlfn.NUMBERVALUE(SUBSTITUTE(LEFT(TRIM(C638),FIND(" ",TRIM(C638)&amp;" ")-1),",","."),"."),LEFT(SUBSTITUTE(LEFT(TRIM(C638),FIND(" ",TRIM(C638)&amp;" ")-1),",","."),FIND("/",SUBSTITUTE(LEFT(TRIM(C638),FIND(" ",TRIM(C638)&amp;" ")-1),",","."))-1)/MID(SUBSTITUTE(LEFT(TRIM(C638),FIND(" ",TRIM(C638)&amp;" ")-1),",","."),FIND("/",SUBSTITUTE(LEFT(TRIM(C638),FIND(" ",TRIM(C638)&amp;" ")-1),",","."))+1,9))*12/52,IF(ISNUMBER(SEARCH("month",C638)),IFERROR(_xlfn.NUMBERVALUE(SUBSTITUTE(LEFT(TRIM(C638),FIND(" ",TRIM(C638)&amp;" ")-1),",","."),"."),LEFT(SUBSTITUTE(LEFT(TRIM(C638),FIND(" ",TRIM(C638)&amp;" ")-1),",","."),FIND("/",SUBSTITUTE(LEFT(TRIM(C638),FIND(" ",TRIM(C638)&amp;" ")-1),",","."))-1)/MID(SUBSTITUTE(LEFT(TRIM(C638),FIND(" ",TRIM(C638)&amp;" ")-1),",","."),FIND("/",SUBSTITUTE(LEFT(TRIM(C638),FIND(" ",TRIM(C638)&amp;" ")-1),",","."))+1,9)),IF(ISNUMBER(SEARCH("yea",C638)),IFERROR(_xlfn.NUMBERVALUE(SUBSTITUTE(LEFT(TRIM(C638),FIND(" ",TRIM(C638)&amp;" ")-1),",","."),"."),LEFT(SUBSTITUTE(LEFT(TRIM(C638),FIND(" ",TRIM(C638)&amp;" ")-1),",","."),FIND("/",SUBSTITUTE(LEFT(TRIM(C638),FIND(" ",TRIM(C638)&amp;" ")-1),",","."))-1)/MID(SUBSTITUTE(LEFT(TRIM(C638),FIND(" ",TRIM(C638)&amp;" ")-1),",","."),FIND("/",SUBSTITUTE(LEFT(TRIM(C638),FIND(" ",TRIM(C638)&amp;" ")-1),",","."))+1,9))*12,NA()))),0),24)*'Aturan &amp; Tarif'!$B$4,2)</f>
        <v>1362.72</v>
      </c>
      <c r="K638" s="32" t="n">
        <f aca="false">'Aturan &amp; Tarif'!$B$5</f>
        <v>2050</v>
      </c>
      <c r="L638" s="35" t="n">
        <f aca="false">I638+J638+K638</f>
        <v>6912.72</v>
      </c>
      <c r="M638" s="37" t="s">
        <v>3199</v>
      </c>
    </row>
    <row r="639" customFormat="false" ht="25.5" hidden="false" customHeight="true" outlineLevel="0" collapsed="false">
      <c r="A639" s="29"/>
      <c r="B639" s="30" t="s">
        <v>1973</v>
      </c>
      <c r="C639" s="31" t="s">
        <v>130</v>
      </c>
      <c r="D639" s="31" t="s">
        <v>108</v>
      </c>
      <c r="E639" s="32" t="n">
        <v>2000</v>
      </c>
      <c r="F639" s="32" t="n">
        <v>1000</v>
      </c>
      <c r="G639" s="32" t="n">
        <v>500</v>
      </c>
      <c r="H639" s="33" t="n">
        <v>1</v>
      </c>
      <c r="I639" s="34" t="n">
        <f aca="false">E639*H639+N(F639)+N(G639)</f>
        <v>3500</v>
      </c>
      <c r="J639" s="32" t="n">
        <f aca="false">ROUND(IFERROR(ROUND(IF(OR(ISNUMBER(SEARCH("week",C639)),ISNUMBER(SEARCH("minggu",C639))),IFERROR(_xlfn.NUMBERVALUE(SUBSTITUTE(LEFT(TRIM(C639),FIND(" ",TRIM(C639)&amp;" ")-1),",","."),"."),LEFT(SUBSTITUTE(LEFT(TRIM(C639),FIND(" ",TRIM(C639)&amp;" ")-1),",","."),FIND("/",SUBSTITUTE(LEFT(TRIM(C639),FIND(" ",TRIM(C639)&amp;" ")-1),",","."))-1)/MID(SUBSTITUTE(LEFT(TRIM(C639),FIND(" ",TRIM(C639)&amp;" ")-1),",","."),FIND("/",SUBSTITUTE(LEFT(TRIM(C639),FIND(" ",TRIM(C639)&amp;" ")-1),",","."))+1,9))*12/52,IF(ISNUMBER(SEARCH("month",C639)),IFERROR(_xlfn.NUMBERVALUE(SUBSTITUTE(LEFT(TRIM(C639),FIND(" ",TRIM(C639)&amp;" ")-1),",","."),"."),LEFT(SUBSTITUTE(LEFT(TRIM(C639),FIND(" ",TRIM(C639)&amp;" ")-1),",","."),FIND("/",SUBSTITUTE(LEFT(TRIM(C639),FIND(" ",TRIM(C639)&amp;" ")-1),",","."))-1)/MID(SUBSTITUTE(LEFT(TRIM(C639),FIND(" ",TRIM(C639)&amp;" ")-1),",","."),FIND("/",SUBSTITUTE(LEFT(TRIM(C639),FIND(" ",TRIM(C639)&amp;" ")-1),",","."))+1,9)),IF(ISNUMBER(SEARCH("yea",C639)),IFERROR(_xlfn.NUMBERVALUE(SUBSTITUTE(LEFT(TRIM(C639),FIND(" ",TRIM(C639)&amp;" ")-1),",","."),"."),LEFT(SUBSTITUTE(LEFT(TRIM(C639),FIND(" ",TRIM(C639)&amp;" ")-1),",","."),FIND("/",SUBSTITUTE(LEFT(TRIM(C639),FIND(" ",TRIM(C639)&amp;" ")-1),",","."))-1)/MID(SUBSTITUTE(LEFT(TRIM(C639),FIND(" ",TRIM(C639)&amp;" ")-1),",","."),FIND("/",SUBSTITUTE(LEFT(TRIM(C639),FIND(" ",TRIM(C639)&amp;" ")-1),",","."))+1,9))*12,NA()))),0),12)*'Aturan &amp; Tarif'!$B$4,2)</f>
        <v>681.36</v>
      </c>
      <c r="K639" s="32" t="n">
        <f aca="false">'Aturan &amp; Tarif'!$B$5</f>
        <v>2050</v>
      </c>
      <c r="L639" s="35" t="n">
        <f aca="false">I639+J639+K639</f>
        <v>6231.36</v>
      </c>
      <c r="M639" s="37" t="s">
        <v>3199</v>
      </c>
    </row>
    <row r="640" customFormat="false" ht="25.5" hidden="false" customHeight="true" outlineLevel="0" collapsed="false">
      <c r="A640" s="29"/>
      <c r="B640" s="30" t="s">
        <v>2218</v>
      </c>
      <c r="C640" s="31" t="s">
        <v>107</v>
      </c>
      <c r="D640" s="31" t="s">
        <v>108</v>
      </c>
      <c r="E640" s="32" t="n">
        <v>2000</v>
      </c>
      <c r="F640" s="32" t="n">
        <v>1000</v>
      </c>
      <c r="G640" s="32" t="n">
        <v>500</v>
      </c>
      <c r="H640" s="33" t="n">
        <v>1</v>
      </c>
      <c r="I640" s="34" t="n">
        <f aca="false">E640*H640+N(F640)+N(G640)</f>
        <v>3500</v>
      </c>
      <c r="J640" s="32" t="n">
        <f aca="false">ROUND(IFERROR(ROUND(IF(OR(ISNUMBER(SEARCH("week",C640)),ISNUMBER(SEARCH("minggu",C640))),IFERROR(_xlfn.NUMBERVALUE(SUBSTITUTE(LEFT(TRIM(C640),FIND(" ",TRIM(C640)&amp;" ")-1),",","."),"."),LEFT(SUBSTITUTE(LEFT(TRIM(C640),FIND(" ",TRIM(C640)&amp;" ")-1),",","."),FIND("/",SUBSTITUTE(LEFT(TRIM(C640),FIND(" ",TRIM(C640)&amp;" ")-1),",","."))-1)/MID(SUBSTITUTE(LEFT(TRIM(C640),FIND(" ",TRIM(C640)&amp;" ")-1),",","."),FIND("/",SUBSTITUTE(LEFT(TRIM(C640),FIND(" ",TRIM(C640)&amp;" ")-1),",","."))+1,9))*12/52,IF(ISNUMBER(SEARCH("month",C640)),IFERROR(_xlfn.NUMBERVALUE(SUBSTITUTE(LEFT(TRIM(C640),FIND(" ",TRIM(C640)&amp;" ")-1),",","."),"."),LEFT(SUBSTITUTE(LEFT(TRIM(C640),FIND(" ",TRIM(C640)&amp;" ")-1),",","."),FIND("/",SUBSTITUTE(LEFT(TRIM(C640),FIND(" ",TRIM(C640)&amp;" ")-1),",","."))-1)/MID(SUBSTITUTE(LEFT(TRIM(C640),FIND(" ",TRIM(C640)&amp;" ")-1),",","."),FIND("/",SUBSTITUTE(LEFT(TRIM(C640),FIND(" ",TRIM(C640)&amp;" ")-1),",","."))+1,9)),IF(ISNUMBER(SEARCH("yea",C640)),IFERROR(_xlfn.NUMBERVALUE(SUBSTITUTE(LEFT(TRIM(C640),FIND(" ",TRIM(C640)&amp;" ")-1),",","."),"."),LEFT(SUBSTITUTE(LEFT(TRIM(C640),FIND(" ",TRIM(C640)&amp;" ")-1),",","."),FIND("/",SUBSTITUTE(LEFT(TRIM(C640),FIND(" ",TRIM(C640)&amp;" ")-1),",","."))-1)/MID(SUBSTITUTE(LEFT(TRIM(C640),FIND(" ",TRIM(C640)&amp;" ")-1),",","."),FIND("/",SUBSTITUTE(LEFT(TRIM(C640),FIND(" ",TRIM(C640)&amp;" ")-1),",","."))+1,9))*12,NA()))),0),24)*'Aturan &amp; Tarif'!$B$4,2)</f>
        <v>1362.72</v>
      </c>
      <c r="K640" s="32" t="n">
        <f aca="false">'Aturan &amp; Tarif'!$B$5</f>
        <v>2050</v>
      </c>
      <c r="L640" s="35" t="n">
        <f aca="false">I640+J640+K640</f>
        <v>6912.72</v>
      </c>
      <c r="M640" s="37" t="s">
        <v>3199</v>
      </c>
    </row>
    <row r="641" customFormat="false" ht="25.5" hidden="false" customHeight="true" outlineLevel="0" collapsed="false">
      <c r="A641" s="29"/>
      <c r="B641" s="30" t="s">
        <v>809</v>
      </c>
      <c r="C641" s="31" t="s">
        <v>107</v>
      </c>
      <c r="D641" s="31" t="s">
        <v>108</v>
      </c>
      <c r="E641" s="32" t="n">
        <v>2000</v>
      </c>
      <c r="F641" s="32" t="n">
        <v>1000</v>
      </c>
      <c r="G641" s="32" t="n">
        <v>500</v>
      </c>
      <c r="H641" s="33" t="n">
        <v>1</v>
      </c>
      <c r="I641" s="34" t="n">
        <f aca="false">E641*H641+N(F641)+N(G641)</f>
        <v>3500</v>
      </c>
      <c r="J641" s="32" t="n">
        <f aca="false">ROUND(IFERROR(ROUND(IF(OR(ISNUMBER(SEARCH("week",C641)),ISNUMBER(SEARCH("minggu",C641))),IFERROR(_xlfn.NUMBERVALUE(SUBSTITUTE(LEFT(TRIM(C641),FIND(" ",TRIM(C641)&amp;" ")-1),",","."),"."),LEFT(SUBSTITUTE(LEFT(TRIM(C641),FIND(" ",TRIM(C641)&amp;" ")-1),",","."),FIND("/",SUBSTITUTE(LEFT(TRIM(C641),FIND(" ",TRIM(C641)&amp;" ")-1),",","."))-1)/MID(SUBSTITUTE(LEFT(TRIM(C641),FIND(" ",TRIM(C641)&amp;" ")-1),",","."),FIND("/",SUBSTITUTE(LEFT(TRIM(C641),FIND(" ",TRIM(C641)&amp;" ")-1),",","."))+1,9))*12/52,IF(ISNUMBER(SEARCH("month",C641)),IFERROR(_xlfn.NUMBERVALUE(SUBSTITUTE(LEFT(TRIM(C641),FIND(" ",TRIM(C641)&amp;" ")-1),",","."),"."),LEFT(SUBSTITUTE(LEFT(TRIM(C641),FIND(" ",TRIM(C641)&amp;" ")-1),",","."),FIND("/",SUBSTITUTE(LEFT(TRIM(C641),FIND(" ",TRIM(C641)&amp;" ")-1),",","."))-1)/MID(SUBSTITUTE(LEFT(TRIM(C641),FIND(" ",TRIM(C641)&amp;" ")-1),",","."),FIND("/",SUBSTITUTE(LEFT(TRIM(C641),FIND(" ",TRIM(C641)&amp;" ")-1),",","."))+1,9)),IF(ISNUMBER(SEARCH("yea",C641)),IFERROR(_xlfn.NUMBERVALUE(SUBSTITUTE(LEFT(TRIM(C641),FIND(" ",TRIM(C641)&amp;" ")-1),",","."),"."),LEFT(SUBSTITUTE(LEFT(TRIM(C641),FIND(" ",TRIM(C641)&amp;" ")-1),",","."),FIND("/",SUBSTITUTE(LEFT(TRIM(C641),FIND(" ",TRIM(C641)&amp;" ")-1),",","."))-1)/MID(SUBSTITUTE(LEFT(TRIM(C641),FIND(" ",TRIM(C641)&amp;" ")-1),",","."),FIND("/",SUBSTITUTE(LEFT(TRIM(C641),FIND(" ",TRIM(C641)&amp;" ")-1),",","."))+1,9))*12,NA()))),0),24)*'Aturan &amp; Tarif'!$B$4,2)</f>
        <v>1362.72</v>
      </c>
      <c r="K641" s="32" t="n">
        <f aca="false">'Aturan &amp; Tarif'!$B$5</f>
        <v>2050</v>
      </c>
      <c r="L641" s="35" t="n">
        <f aca="false">I641+J641+K641</f>
        <v>6912.72</v>
      </c>
      <c r="M641" s="37" t="s">
        <v>3199</v>
      </c>
    </row>
    <row r="642" customFormat="false" ht="25.5" hidden="false" customHeight="true" outlineLevel="0" collapsed="false">
      <c r="A642" s="29"/>
      <c r="B642" s="30" t="s">
        <v>471</v>
      </c>
      <c r="C642" s="31" t="s">
        <v>130</v>
      </c>
      <c r="D642" s="31" t="s">
        <v>108</v>
      </c>
      <c r="E642" s="32" t="n">
        <v>2000</v>
      </c>
      <c r="F642" s="32" t="n">
        <v>1000</v>
      </c>
      <c r="G642" s="32" t="n">
        <v>500</v>
      </c>
      <c r="H642" s="33" t="n">
        <v>1</v>
      </c>
      <c r="I642" s="34" t="n">
        <f aca="false">E642*H642+N(F642)+N(G642)</f>
        <v>3500</v>
      </c>
      <c r="J642" s="32" t="n">
        <f aca="false">ROUND(IFERROR(ROUND(IF(OR(ISNUMBER(SEARCH("week",C642)),ISNUMBER(SEARCH("minggu",C642))),IFERROR(_xlfn.NUMBERVALUE(SUBSTITUTE(LEFT(TRIM(C642),FIND(" ",TRIM(C642)&amp;" ")-1),",","."),"."),LEFT(SUBSTITUTE(LEFT(TRIM(C642),FIND(" ",TRIM(C642)&amp;" ")-1),",","."),FIND("/",SUBSTITUTE(LEFT(TRIM(C642),FIND(" ",TRIM(C642)&amp;" ")-1),",","."))-1)/MID(SUBSTITUTE(LEFT(TRIM(C642),FIND(" ",TRIM(C642)&amp;" ")-1),",","."),FIND("/",SUBSTITUTE(LEFT(TRIM(C642),FIND(" ",TRIM(C642)&amp;" ")-1),",","."))+1,9))*12/52,IF(ISNUMBER(SEARCH("month",C642)),IFERROR(_xlfn.NUMBERVALUE(SUBSTITUTE(LEFT(TRIM(C642),FIND(" ",TRIM(C642)&amp;" ")-1),",","."),"."),LEFT(SUBSTITUTE(LEFT(TRIM(C642),FIND(" ",TRIM(C642)&amp;" ")-1),",","."),FIND("/",SUBSTITUTE(LEFT(TRIM(C642),FIND(" ",TRIM(C642)&amp;" ")-1),",","."))-1)/MID(SUBSTITUTE(LEFT(TRIM(C642),FIND(" ",TRIM(C642)&amp;" ")-1),",","."),FIND("/",SUBSTITUTE(LEFT(TRIM(C642),FIND(" ",TRIM(C642)&amp;" ")-1),",","."))+1,9)),IF(ISNUMBER(SEARCH("yea",C642)),IFERROR(_xlfn.NUMBERVALUE(SUBSTITUTE(LEFT(TRIM(C642),FIND(" ",TRIM(C642)&amp;" ")-1),",","."),"."),LEFT(SUBSTITUTE(LEFT(TRIM(C642),FIND(" ",TRIM(C642)&amp;" ")-1),",","."),FIND("/",SUBSTITUTE(LEFT(TRIM(C642),FIND(" ",TRIM(C642)&amp;" ")-1),",","."))-1)/MID(SUBSTITUTE(LEFT(TRIM(C642),FIND(" ",TRIM(C642)&amp;" ")-1),",","."),FIND("/",SUBSTITUTE(LEFT(TRIM(C642),FIND(" ",TRIM(C642)&amp;" ")-1),",","."))+1,9))*12,NA()))),0),12)*'Aturan &amp; Tarif'!$B$4,2)</f>
        <v>681.36</v>
      </c>
      <c r="K642" s="32" t="n">
        <f aca="false">'Aturan &amp; Tarif'!$B$5</f>
        <v>2050</v>
      </c>
      <c r="L642" s="35" t="n">
        <f aca="false">I642+J642+K642</f>
        <v>6231.36</v>
      </c>
      <c r="M642" s="36" t="s">
        <v>3200</v>
      </c>
    </row>
    <row r="643" customFormat="false" ht="25.5" hidden="false" customHeight="true" outlineLevel="0" collapsed="false">
      <c r="A643" s="29"/>
      <c r="B643" s="30" t="s">
        <v>1902</v>
      </c>
      <c r="C643" s="31" t="s">
        <v>107</v>
      </c>
      <c r="D643" s="31" t="s">
        <v>108</v>
      </c>
      <c r="E643" s="32" t="n">
        <v>2000</v>
      </c>
      <c r="F643" s="32" t="n">
        <v>1000</v>
      </c>
      <c r="G643" s="32" t="n">
        <v>500</v>
      </c>
      <c r="H643" s="33" t="n">
        <v>1</v>
      </c>
      <c r="I643" s="34" t="n">
        <f aca="false">E643*H643+N(F643)+N(G643)</f>
        <v>3500</v>
      </c>
      <c r="J643" s="32" t="n">
        <f aca="false">ROUND(IFERROR(ROUND(IF(OR(ISNUMBER(SEARCH("week",C643)),ISNUMBER(SEARCH("minggu",C643))),IFERROR(_xlfn.NUMBERVALUE(SUBSTITUTE(LEFT(TRIM(C643),FIND(" ",TRIM(C643)&amp;" ")-1),",","."),"."),LEFT(SUBSTITUTE(LEFT(TRIM(C643),FIND(" ",TRIM(C643)&amp;" ")-1),",","."),FIND("/",SUBSTITUTE(LEFT(TRIM(C643),FIND(" ",TRIM(C643)&amp;" ")-1),",","."))-1)/MID(SUBSTITUTE(LEFT(TRIM(C643),FIND(" ",TRIM(C643)&amp;" ")-1),",","."),FIND("/",SUBSTITUTE(LEFT(TRIM(C643),FIND(" ",TRIM(C643)&amp;" ")-1),",","."))+1,9))*12/52,IF(ISNUMBER(SEARCH("month",C643)),IFERROR(_xlfn.NUMBERVALUE(SUBSTITUTE(LEFT(TRIM(C643),FIND(" ",TRIM(C643)&amp;" ")-1),",","."),"."),LEFT(SUBSTITUTE(LEFT(TRIM(C643),FIND(" ",TRIM(C643)&amp;" ")-1),",","."),FIND("/",SUBSTITUTE(LEFT(TRIM(C643),FIND(" ",TRIM(C643)&amp;" ")-1),",","."))-1)/MID(SUBSTITUTE(LEFT(TRIM(C643),FIND(" ",TRIM(C643)&amp;" ")-1),",","."),FIND("/",SUBSTITUTE(LEFT(TRIM(C643),FIND(" ",TRIM(C643)&amp;" ")-1),",","."))+1,9)),IF(ISNUMBER(SEARCH("yea",C643)),IFERROR(_xlfn.NUMBERVALUE(SUBSTITUTE(LEFT(TRIM(C643),FIND(" ",TRIM(C643)&amp;" ")-1),",","."),"."),LEFT(SUBSTITUTE(LEFT(TRIM(C643),FIND(" ",TRIM(C643)&amp;" ")-1),",","."),FIND("/",SUBSTITUTE(LEFT(TRIM(C643),FIND(" ",TRIM(C643)&amp;" ")-1),",","."))-1)/MID(SUBSTITUTE(LEFT(TRIM(C643),FIND(" ",TRIM(C643)&amp;" ")-1),",","."),FIND("/",SUBSTITUTE(LEFT(TRIM(C643),FIND(" ",TRIM(C643)&amp;" ")-1),",","."))+1,9))*12,NA()))),0),24)*'Aturan &amp; Tarif'!$B$4,2)</f>
        <v>1362.72</v>
      </c>
      <c r="K643" s="32" t="n">
        <f aca="false">'Aturan &amp; Tarif'!$B$5</f>
        <v>2050</v>
      </c>
      <c r="L643" s="35" t="n">
        <f aca="false">I643+J643+K643</f>
        <v>6912.72</v>
      </c>
      <c r="M643" s="36" t="s">
        <v>3200</v>
      </c>
    </row>
    <row r="644" customFormat="false" ht="37.5" hidden="false" customHeight="true" outlineLevel="0" collapsed="false">
      <c r="A644" s="29"/>
      <c r="B644" s="30" t="s">
        <v>143</v>
      </c>
      <c r="C644" s="31" t="s">
        <v>107</v>
      </c>
      <c r="D644" s="31" t="s">
        <v>108</v>
      </c>
      <c r="E644" s="32" t="n">
        <v>2000</v>
      </c>
      <c r="F644" s="32" t="n">
        <v>1000</v>
      </c>
      <c r="G644" s="32" t="n">
        <v>500</v>
      </c>
      <c r="H644" s="33" t="n">
        <v>1</v>
      </c>
      <c r="I644" s="34" t="n">
        <f aca="false">E644*H644+N(F644)+N(G644)</f>
        <v>3500</v>
      </c>
      <c r="J644" s="32" t="n">
        <f aca="false">ROUND(IFERROR(ROUND(IF(OR(ISNUMBER(SEARCH("week",C644)),ISNUMBER(SEARCH("minggu",C644))),IFERROR(_xlfn.NUMBERVALUE(SUBSTITUTE(LEFT(TRIM(C644),FIND(" ",TRIM(C644)&amp;" ")-1),",","."),"."),LEFT(SUBSTITUTE(LEFT(TRIM(C644),FIND(" ",TRIM(C644)&amp;" ")-1),",","."),FIND("/",SUBSTITUTE(LEFT(TRIM(C644),FIND(" ",TRIM(C644)&amp;" ")-1),",","."))-1)/MID(SUBSTITUTE(LEFT(TRIM(C644),FIND(" ",TRIM(C644)&amp;" ")-1),",","."),FIND("/",SUBSTITUTE(LEFT(TRIM(C644),FIND(" ",TRIM(C644)&amp;" ")-1),",","."))+1,9))*12/52,IF(ISNUMBER(SEARCH("month",C644)),IFERROR(_xlfn.NUMBERVALUE(SUBSTITUTE(LEFT(TRIM(C644),FIND(" ",TRIM(C644)&amp;" ")-1),",","."),"."),LEFT(SUBSTITUTE(LEFT(TRIM(C644),FIND(" ",TRIM(C644)&amp;" ")-1),",","."),FIND("/",SUBSTITUTE(LEFT(TRIM(C644),FIND(" ",TRIM(C644)&amp;" ")-1),",","."))-1)/MID(SUBSTITUTE(LEFT(TRIM(C644),FIND(" ",TRIM(C644)&amp;" ")-1),",","."),FIND("/",SUBSTITUTE(LEFT(TRIM(C644),FIND(" ",TRIM(C644)&amp;" ")-1),",","."))+1,9)),IF(ISNUMBER(SEARCH("yea",C644)),IFERROR(_xlfn.NUMBERVALUE(SUBSTITUTE(LEFT(TRIM(C644),FIND(" ",TRIM(C644)&amp;" ")-1),",","."),"."),LEFT(SUBSTITUTE(LEFT(TRIM(C644),FIND(" ",TRIM(C644)&amp;" ")-1),",","."),FIND("/",SUBSTITUTE(LEFT(TRIM(C644),FIND(" ",TRIM(C644)&amp;" ")-1),",","."))-1)/MID(SUBSTITUTE(LEFT(TRIM(C644),FIND(" ",TRIM(C644)&amp;" ")-1),",","."),FIND("/",SUBSTITUTE(LEFT(TRIM(C644),FIND(" ",TRIM(C644)&amp;" ")-1),",","."))+1,9))*12,NA()))),0),24)*'Aturan &amp; Tarif'!$B$4,2)</f>
        <v>1362.72</v>
      </c>
      <c r="K644" s="32" t="n">
        <f aca="false">'Aturan &amp; Tarif'!$B$5</f>
        <v>2050</v>
      </c>
      <c r="L644" s="35" t="n">
        <f aca="false">I644+J644+K644</f>
        <v>6912.72</v>
      </c>
      <c r="M644" s="36" t="s">
        <v>3200</v>
      </c>
    </row>
    <row r="645" customFormat="false" ht="25.5" hidden="false" customHeight="true" outlineLevel="0" collapsed="false">
      <c r="A645" s="29"/>
      <c r="B645" s="30" t="s">
        <v>652</v>
      </c>
      <c r="C645" s="31" t="s">
        <v>107</v>
      </c>
      <c r="D645" s="31" t="s">
        <v>108</v>
      </c>
      <c r="E645" s="32" t="n">
        <v>1500</v>
      </c>
      <c r="F645" s="32" t="n">
        <v>500</v>
      </c>
      <c r="G645" s="32" t="n">
        <v>500</v>
      </c>
      <c r="H645" s="33" t="n">
        <v>1</v>
      </c>
      <c r="I645" s="34" t="n">
        <f aca="false">E645*H645+N(F645)+N(G645)</f>
        <v>2500</v>
      </c>
      <c r="J645" s="32" t="n">
        <f aca="false">ROUND(IFERROR(ROUND(IF(OR(ISNUMBER(SEARCH("week",C645)),ISNUMBER(SEARCH("minggu",C645))),IFERROR(_xlfn.NUMBERVALUE(SUBSTITUTE(LEFT(TRIM(C645),FIND(" ",TRIM(C645)&amp;" ")-1),",","."),"."),LEFT(SUBSTITUTE(LEFT(TRIM(C645),FIND(" ",TRIM(C645)&amp;" ")-1),",","."),FIND("/",SUBSTITUTE(LEFT(TRIM(C645),FIND(" ",TRIM(C645)&amp;" ")-1),",","."))-1)/MID(SUBSTITUTE(LEFT(TRIM(C645),FIND(" ",TRIM(C645)&amp;" ")-1),",","."),FIND("/",SUBSTITUTE(LEFT(TRIM(C645),FIND(" ",TRIM(C645)&amp;" ")-1),",","."))+1,9))*12/52,IF(ISNUMBER(SEARCH("month",C645)),IFERROR(_xlfn.NUMBERVALUE(SUBSTITUTE(LEFT(TRIM(C645),FIND(" ",TRIM(C645)&amp;" ")-1),",","."),"."),LEFT(SUBSTITUTE(LEFT(TRIM(C645),FIND(" ",TRIM(C645)&amp;" ")-1),",","."),FIND("/",SUBSTITUTE(LEFT(TRIM(C645),FIND(" ",TRIM(C645)&amp;" ")-1),",","."))-1)/MID(SUBSTITUTE(LEFT(TRIM(C645),FIND(" ",TRIM(C645)&amp;" ")-1),",","."),FIND("/",SUBSTITUTE(LEFT(TRIM(C645),FIND(" ",TRIM(C645)&amp;" ")-1),",","."))+1,9)),IF(ISNUMBER(SEARCH("yea",C645)),IFERROR(_xlfn.NUMBERVALUE(SUBSTITUTE(LEFT(TRIM(C645),FIND(" ",TRIM(C645)&amp;" ")-1),",","."),"."),LEFT(SUBSTITUTE(LEFT(TRIM(C645),FIND(" ",TRIM(C645)&amp;" ")-1),",","."),FIND("/",SUBSTITUTE(LEFT(TRIM(C645),FIND(" ",TRIM(C645)&amp;" ")-1),",","."))-1)/MID(SUBSTITUTE(LEFT(TRIM(C645),FIND(" ",TRIM(C645)&amp;" ")-1),",","."),FIND("/",SUBSTITUTE(LEFT(TRIM(C645),FIND(" ",TRIM(C645)&amp;" ")-1),",","."))+1,9))*12,NA()))),0),24)*'Aturan &amp; Tarif'!$B$4,2)</f>
        <v>1362.72</v>
      </c>
      <c r="K645" s="32" t="n">
        <f aca="false">'Aturan &amp; Tarif'!$B$5</f>
        <v>2050</v>
      </c>
      <c r="L645" s="35" t="n">
        <f aca="false">I645+J645+K645</f>
        <v>5912.72</v>
      </c>
      <c r="M645" s="36" t="s">
        <v>3201</v>
      </c>
    </row>
    <row r="646" customFormat="false" ht="14.25" hidden="false" customHeight="true" outlineLevel="0" collapsed="false">
      <c r="A646" s="39" t="s">
        <v>2222</v>
      </c>
      <c r="B646" s="40" t="s">
        <v>2223</v>
      </c>
      <c r="C646" s="41" t="s">
        <v>138</v>
      </c>
      <c r="D646" s="41" t="s">
        <v>108</v>
      </c>
      <c r="E646" s="42" t="n">
        <v>2000</v>
      </c>
      <c r="F646" s="42" t="n">
        <v>200</v>
      </c>
      <c r="G646" s="42" t="n">
        <v>200</v>
      </c>
      <c r="H646" s="43" t="n">
        <v>1</v>
      </c>
      <c r="I646" s="34" t="n">
        <f aca="false">E646*H646+N(F646)+N(G646)</f>
        <v>2400</v>
      </c>
      <c r="J646" s="42" t="n">
        <f aca="false">ROUND(IFERROR(ROUND(IF(OR(ISNUMBER(SEARCH("week",C646)),ISNUMBER(SEARCH("minggu",C646))),IFERROR(_xlfn.NUMBERVALUE(SUBSTITUTE(LEFT(TRIM(C646),FIND(" ",TRIM(C646)&amp;" ")-1),",","."),"."),LEFT(SUBSTITUTE(LEFT(TRIM(C646),FIND(" ",TRIM(C646)&amp;" ")-1),",","."),FIND("/",SUBSTITUTE(LEFT(TRIM(C646),FIND(" ",TRIM(C646)&amp;" ")-1),",","."))-1)/MID(SUBSTITUTE(LEFT(TRIM(C646),FIND(" ",TRIM(C646)&amp;" ")-1),",","."),FIND("/",SUBSTITUTE(LEFT(TRIM(C646),FIND(" ",TRIM(C646)&amp;" ")-1),",","."))+1,9))*12/52,IF(ISNUMBER(SEARCH("month",C646)),IFERROR(_xlfn.NUMBERVALUE(SUBSTITUTE(LEFT(TRIM(C646),FIND(" ",TRIM(C646)&amp;" ")-1),",","."),"."),LEFT(SUBSTITUTE(LEFT(TRIM(C646),FIND(" ",TRIM(C646)&amp;" ")-1),",","."),FIND("/",SUBSTITUTE(LEFT(TRIM(C646),FIND(" ",TRIM(C646)&amp;" ")-1),",","."))-1)/MID(SUBSTITUTE(LEFT(TRIM(C646),FIND(" ",TRIM(C646)&amp;" ")-1),",","."),FIND("/",SUBSTITUTE(LEFT(TRIM(C646),FIND(" ",TRIM(C646)&amp;" ")-1),",","."))+1,9)),IF(ISNUMBER(SEARCH("yea",C646)),IFERROR(_xlfn.NUMBERVALUE(SUBSTITUTE(LEFT(TRIM(C646),FIND(" ",TRIM(C646)&amp;" ")-1),",","."),"."),LEFT(SUBSTITUTE(LEFT(TRIM(C646),FIND(" ",TRIM(C646)&amp;" ")-1),",","."),FIND("/",SUBSTITUTE(LEFT(TRIM(C646),FIND(" ",TRIM(C646)&amp;" ")-1),",","."))-1)/MID(SUBSTITUTE(LEFT(TRIM(C646),FIND(" ",TRIM(C646)&amp;" ")-1),",","."),FIND("/",SUBSTITUTE(LEFT(TRIM(C646),FIND(" ",TRIM(C646)&amp;" ")-1),",","."))+1,9))*12,NA()))),0),30)*'Aturan &amp; Tarif'!$B$4,2)</f>
        <v>1703.4</v>
      </c>
      <c r="K646" s="42" t="n">
        <f aca="false">'Aturan &amp; Tarif'!$B$5</f>
        <v>2050</v>
      </c>
      <c r="L646" s="35" t="n">
        <f aca="false">I646+J646+K646</f>
        <v>6153.4</v>
      </c>
      <c r="M646" s="45" t="s">
        <v>134</v>
      </c>
    </row>
    <row r="647" customFormat="false" ht="14.25" hidden="false" customHeight="true" outlineLevel="0" collapsed="false">
      <c r="A647" s="39"/>
      <c r="B647" s="40" t="s">
        <v>2224</v>
      </c>
      <c r="C647" s="41" t="s">
        <v>2225</v>
      </c>
      <c r="D647" s="41" t="s">
        <v>108</v>
      </c>
      <c r="E647" s="42" t="n">
        <v>2000</v>
      </c>
      <c r="F647" s="42" t="n">
        <v>200</v>
      </c>
      <c r="G647" s="42" t="n">
        <v>200</v>
      </c>
      <c r="H647" s="43" t="n">
        <v>1</v>
      </c>
      <c r="I647" s="34" t="n">
        <f aca="false">E647*H647+N(F647)+N(G647)</f>
        <v>2400</v>
      </c>
      <c r="J647" s="42" t="n">
        <f aca="false">ROUND(IFERROR(ROUND(IF(OR(ISNUMBER(SEARCH("week",C647)),ISNUMBER(SEARCH("minggu",C647))),IFERROR(_xlfn.NUMBERVALUE(SUBSTITUTE(LEFT(TRIM(C647),FIND(" ",TRIM(C647)&amp;" ")-1),",","."),"."),LEFT(SUBSTITUTE(LEFT(TRIM(C647),FIND(" ",TRIM(C647)&amp;" ")-1),",","."),FIND("/",SUBSTITUTE(LEFT(TRIM(C647),FIND(" ",TRIM(C647)&amp;" ")-1),",","."))-1)/MID(SUBSTITUTE(LEFT(TRIM(C647),FIND(" ",TRIM(C647)&amp;" ")-1),",","."),FIND("/",SUBSTITUTE(LEFT(TRIM(C647),FIND(" ",TRIM(C647)&amp;" ")-1),",","."))+1,9))*12/52,IF(ISNUMBER(SEARCH("month",C647)),IFERROR(_xlfn.NUMBERVALUE(SUBSTITUTE(LEFT(TRIM(C647),FIND(" ",TRIM(C647)&amp;" ")-1),",","."),"."),LEFT(SUBSTITUTE(LEFT(TRIM(C647),FIND(" ",TRIM(C647)&amp;" ")-1),",","."),FIND("/",SUBSTITUTE(LEFT(TRIM(C647),FIND(" ",TRIM(C647)&amp;" ")-1),",","."))-1)/MID(SUBSTITUTE(LEFT(TRIM(C647),FIND(" ",TRIM(C647)&amp;" ")-1),",","."),FIND("/",SUBSTITUTE(LEFT(TRIM(C647),FIND(" ",TRIM(C647)&amp;" ")-1),",","."))+1,9)),IF(ISNUMBER(SEARCH("yea",C647)),IFERROR(_xlfn.NUMBERVALUE(SUBSTITUTE(LEFT(TRIM(C647),FIND(" ",TRIM(C647)&amp;" ")-1),",","."),"."),LEFT(SUBSTITUTE(LEFT(TRIM(C647),FIND(" ",TRIM(C647)&amp;" ")-1),",","."),FIND("/",SUBSTITUTE(LEFT(TRIM(C647),FIND(" ",TRIM(C647)&amp;" ")-1),",","."))-1)/MID(SUBSTITUTE(LEFT(TRIM(C647),FIND(" ",TRIM(C647)&amp;" ")-1),",","."),FIND("/",SUBSTITUTE(LEFT(TRIM(C647),FIND(" ",TRIM(C647)&amp;" ")-1),",","."))+1,9))*12,NA()))),0),48)*'Aturan &amp; Tarif'!$B$4,2)</f>
        <v>2725.44</v>
      </c>
      <c r="K647" s="42" t="n">
        <f aca="false">'Aturan &amp; Tarif'!$B$5</f>
        <v>2050</v>
      </c>
      <c r="L647" s="35" t="n">
        <f aca="false">I647+J647+K647</f>
        <v>7175.44</v>
      </c>
      <c r="M647" s="44" t="s">
        <v>2226</v>
      </c>
    </row>
    <row r="648" customFormat="false" ht="14.25" hidden="false" customHeight="true" outlineLevel="0" collapsed="false">
      <c r="A648" s="39"/>
      <c r="B648" s="40" t="s">
        <v>1596</v>
      </c>
      <c r="C648" s="41" t="s">
        <v>138</v>
      </c>
      <c r="D648" s="41" t="s">
        <v>108</v>
      </c>
      <c r="E648" s="42" t="n">
        <v>2000</v>
      </c>
      <c r="F648" s="42" t="n">
        <v>200</v>
      </c>
      <c r="G648" s="42" t="n">
        <v>200</v>
      </c>
      <c r="H648" s="43" t="n">
        <v>1</v>
      </c>
      <c r="I648" s="34" t="n">
        <f aca="false">E648*H648+N(F648)+N(G648)</f>
        <v>2400</v>
      </c>
      <c r="J648" s="42" t="n">
        <f aca="false">ROUND(IFERROR(ROUND(IF(OR(ISNUMBER(SEARCH("week",C648)),ISNUMBER(SEARCH("minggu",C648))),IFERROR(_xlfn.NUMBERVALUE(SUBSTITUTE(LEFT(TRIM(C648),FIND(" ",TRIM(C648)&amp;" ")-1),",","."),"."),LEFT(SUBSTITUTE(LEFT(TRIM(C648),FIND(" ",TRIM(C648)&amp;" ")-1),",","."),FIND("/",SUBSTITUTE(LEFT(TRIM(C648),FIND(" ",TRIM(C648)&amp;" ")-1),",","."))-1)/MID(SUBSTITUTE(LEFT(TRIM(C648),FIND(" ",TRIM(C648)&amp;" ")-1),",","."),FIND("/",SUBSTITUTE(LEFT(TRIM(C648),FIND(" ",TRIM(C648)&amp;" ")-1),",","."))+1,9))*12/52,IF(ISNUMBER(SEARCH("month",C648)),IFERROR(_xlfn.NUMBERVALUE(SUBSTITUTE(LEFT(TRIM(C648),FIND(" ",TRIM(C648)&amp;" ")-1),",","."),"."),LEFT(SUBSTITUTE(LEFT(TRIM(C648),FIND(" ",TRIM(C648)&amp;" ")-1),",","."),FIND("/",SUBSTITUTE(LEFT(TRIM(C648),FIND(" ",TRIM(C648)&amp;" ")-1),",","."))-1)/MID(SUBSTITUTE(LEFT(TRIM(C648),FIND(" ",TRIM(C648)&amp;" ")-1),",","."),FIND("/",SUBSTITUTE(LEFT(TRIM(C648),FIND(" ",TRIM(C648)&amp;" ")-1),",","."))+1,9)),IF(ISNUMBER(SEARCH("yea",C648)),IFERROR(_xlfn.NUMBERVALUE(SUBSTITUTE(LEFT(TRIM(C648),FIND(" ",TRIM(C648)&amp;" ")-1),",","."),"."),LEFT(SUBSTITUTE(LEFT(TRIM(C648),FIND(" ",TRIM(C648)&amp;" ")-1),",","."),FIND("/",SUBSTITUTE(LEFT(TRIM(C648),FIND(" ",TRIM(C648)&amp;" ")-1),",","."))-1)/MID(SUBSTITUTE(LEFT(TRIM(C648),FIND(" ",TRIM(C648)&amp;" ")-1),",","."),FIND("/",SUBSTITUTE(LEFT(TRIM(C648),FIND(" ",TRIM(C648)&amp;" ")-1),",","."))+1,9))*12,NA()))),0),30)*'Aturan &amp; Tarif'!$B$4,2)</f>
        <v>1703.4</v>
      </c>
      <c r="K648" s="42" t="n">
        <f aca="false">'Aturan &amp; Tarif'!$B$5</f>
        <v>2050</v>
      </c>
      <c r="L648" s="35" t="n">
        <f aca="false">I648+J648+K648</f>
        <v>6153.4</v>
      </c>
      <c r="M648" s="45" t="s">
        <v>134</v>
      </c>
    </row>
    <row r="649" customFormat="false" ht="14.25" hidden="false" customHeight="true" outlineLevel="0" collapsed="false">
      <c r="A649" s="39"/>
      <c r="B649" s="40" t="s">
        <v>2227</v>
      </c>
      <c r="C649" s="41" t="s">
        <v>2225</v>
      </c>
      <c r="D649" s="41" t="s">
        <v>108</v>
      </c>
      <c r="E649" s="42" t="n">
        <v>2000</v>
      </c>
      <c r="F649" s="42" t="n">
        <v>200</v>
      </c>
      <c r="G649" s="42" t="n">
        <v>200</v>
      </c>
      <c r="H649" s="43" t="n">
        <v>1</v>
      </c>
      <c r="I649" s="34" t="n">
        <f aca="false">E649*H649+N(F649)+N(G649)</f>
        <v>2400</v>
      </c>
      <c r="J649" s="42" t="n">
        <f aca="false">ROUND(IFERROR(ROUND(IF(OR(ISNUMBER(SEARCH("week",C649)),ISNUMBER(SEARCH("minggu",C649))),IFERROR(_xlfn.NUMBERVALUE(SUBSTITUTE(LEFT(TRIM(C649),FIND(" ",TRIM(C649)&amp;" ")-1),",","."),"."),LEFT(SUBSTITUTE(LEFT(TRIM(C649),FIND(" ",TRIM(C649)&amp;" ")-1),",","."),FIND("/",SUBSTITUTE(LEFT(TRIM(C649),FIND(" ",TRIM(C649)&amp;" ")-1),",","."))-1)/MID(SUBSTITUTE(LEFT(TRIM(C649),FIND(" ",TRIM(C649)&amp;" ")-1),",","."),FIND("/",SUBSTITUTE(LEFT(TRIM(C649),FIND(" ",TRIM(C649)&amp;" ")-1),",","."))+1,9))*12/52,IF(ISNUMBER(SEARCH("month",C649)),IFERROR(_xlfn.NUMBERVALUE(SUBSTITUTE(LEFT(TRIM(C649),FIND(" ",TRIM(C649)&amp;" ")-1),",","."),"."),LEFT(SUBSTITUTE(LEFT(TRIM(C649),FIND(" ",TRIM(C649)&amp;" ")-1),",","."),FIND("/",SUBSTITUTE(LEFT(TRIM(C649),FIND(" ",TRIM(C649)&amp;" ")-1),",","."))-1)/MID(SUBSTITUTE(LEFT(TRIM(C649),FIND(" ",TRIM(C649)&amp;" ")-1),",","."),FIND("/",SUBSTITUTE(LEFT(TRIM(C649),FIND(" ",TRIM(C649)&amp;" ")-1),",","."))+1,9)),IF(ISNUMBER(SEARCH("yea",C649)),IFERROR(_xlfn.NUMBERVALUE(SUBSTITUTE(LEFT(TRIM(C649),FIND(" ",TRIM(C649)&amp;" ")-1),",","."),"."),LEFT(SUBSTITUTE(LEFT(TRIM(C649),FIND(" ",TRIM(C649)&amp;" ")-1),",","."),FIND("/",SUBSTITUTE(LEFT(TRIM(C649),FIND(" ",TRIM(C649)&amp;" ")-1),",","."))-1)/MID(SUBSTITUTE(LEFT(TRIM(C649),FIND(" ",TRIM(C649)&amp;" ")-1),",","."),FIND("/",SUBSTITUTE(LEFT(TRIM(C649),FIND(" ",TRIM(C649)&amp;" ")-1),",","."))+1,9))*12,NA()))),0),48)*'Aturan &amp; Tarif'!$B$4,2)</f>
        <v>2725.44</v>
      </c>
      <c r="K649" s="42" t="n">
        <f aca="false">'Aturan &amp; Tarif'!$B$5</f>
        <v>2050</v>
      </c>
      <c r="L649" s="35" t="n">
        <f aca="false">I649+J649+K649</f>
        <v>7175.44</v>
      </c>
      <c r="M649" s="45" t="s">
        <v>134</v>
      </c>
    </row>
    <row r="650" customFormat="false" ht="25.5" hidden="false" customHeight="true" outlineLevel="0" collapsed="false">
      <c r="A650" s="39"/>
      <c r="B650" s="40" t="s">
        <v>2228</v>
      </c>
      <c r="C650" s="41" t="s">
        <v>138</v>
      </c>
      <c r="D650" s="41" t="s">
        <v>108</v>
      </c>
      <c r="E650" s="42" t="n">
        <v>2000</v>
      </c>
      <c r="F650" s="42" t="n">
        <v>200</v>
      </c>
      <c r="G650" s="42" t="n">
        <v>200</v>
      </c>
      <c r="H650" s="43" t="n">
        <v>1</v>
      </c>
      <c r="I650" s="34" t="n">
        <f aca="false">E650*H650+N(F650)+N(G650)</f>
        <v>2400</v>
      </c>
      <c r="J650" s="42" t="n">
        <f aca="false">ROUND(IFERROR(ROUND(IF(OR(ISNUMBER(SEARCH("week",C650)),ISNUMBER(SEARCH("minggu",C650))),IFERROR(_xlfn.NUMBERVALUE(SUBSTITUTE(LEFT(TRIM(C650),FIND(" ",TRIM(C650)&amp;" ")-1),",","."),"."),LEFT(SUBSTITUTE(LEFT(TRIM(C650),FIND(" ",TRIM(C650)&amp;" ")-1),",","."),FIND("/",SUBSTITUTE(LEFT(TRIM(C650),FIND(" ",TRIM(C650)&amp;" ")-1),",","."))-1)/MID(SUBSTITUTE(LEFT(TRIM(C650),FIND(" ",TRIM(C650)&amp;" ")-1),",","."),FIND("/",SUBSTITUTE(LEFT(TRIM(C650),FIND(" ",TRIM(C650)&amp;" ")-1),",","."))+1,9))*12/52,IF(ISNUMBER(SEARCH("month",C650)),IFERROR(_xlfn.NUMBERVALUE(SUBSTITUTE(LEFT(TRIM(C650),FIND(" ",TRIM(C650)&amp;" ")-1),",","."),"."),LEFT(SUBSTITUTE(LEFT(TRIM(C650),FIND(" ",TRIM(C650)&amp;" ")-1),",","."),FIND("/",SUBSTITUTE(LEFT(TRIM(C650),FIND(" ",TRIM(C650)&amp;" ")-1),",","."))-1)/MID(SUBSTITUTE(LEFT(TRIM(C650),FIND(" ",TRIM(C650)&amp;" ")-1),",","."),FIND("/",SUBSTITUTE(LEFT(TRIM(C650),FIND(" ",TRIM(C650)&amp;" ")-1),",","."))+1,9)),IF(ISNUMBER(SEARCH("yea",C650)),IFERROR(_xlfn.NUMBERVALUE(SUBSTITUTE(LEFT(TRIM(C650),FIND(" ",TRIM(C650)&amp;" ")-1),",","."),"."),LEFT(SUBSTITUTE(LEFT(TRIM(C650),FIND(" ",TRIM(C650)&amp;" ")-1),",","."),FIND("/",SUBSTITUTE(LEFT(TRIM(C650),FIND(" ",TRIM(C650)&amp;" ")-1),",","."))-1)/MID(SUBSTITUTE(LEFT(TRIM(C650),FIND(" ",TRIM(C650)&amp;" ")-1),",","."),FIND("/",SUBSTITUTE(LEFT(TRIM(C650),FIND(" ",TRIM(C650)&amp;" ")-1),",","."))+1,9))*12,NA()))),0),30)*'Aturan &amp; Tarif'!$B$4,2)</f>
        <v>1703.4</v>
      </c>
      <c r="K650" s="42" t="n">
        <f aca="false">'Aturan &amp; Tarif'!$B$5</f>
        <v>2050</v>
      </c>
      <c r="L650" s="35" t="n">
        <f aca="false">I650+J650+K650</f>
        <v>6153.4</v>
      </c>
      <c r="M650" s="45" t="s">
        <v>134</v>
      </c>
    </row>
    <row r="651" customFormat="false" ht="25.5" hidden="false" customHeight="true" outlineLevel="0" collapsed="false">
      <c r="A651" s="39"/>
      <c r="B651" s="40" t="s">
        <v>2229</v>
      </c>
      <c r="C651" s="41" t="s">
        <v>2225</v>
      </c>
      <c r="D651" s="41" t="s">
        <v>108</v>
      </c>
      <c r="E651" s="42" t="n">
        <v>2000</v>
      </c>
      <c r="F651" s="42" t="n">
        <v>200</v>
      </c>
      <c r="G651" s="42" t="n">
        <v>200</v>
      </c>
      <c r="H651" s="43" t="n">
        <v>1</v>
      </c>
      <c r="I651" s="34" t="n">
        <f aca="false">E651*H651+N(F651)+N(G651)</f>
        <v>2400</v>
      </c>
      <c r="J651" s="42" t="n">
        <f aca="false">ROUND(IFERROR(ROUND(IF(OR(ISNUMBER(SEARCH("week",C651)),ISNUMBER(SEARCH("minggu",C651))),IFERROR(_xlfn.NUMBERVALUE(SUBSTITUTE(LEFT(TRIM(C651),FIND(" ",TRIM(C651)&amp;" ")-1),",","."),"."),LEFT(SUBSTITUTE(LEFT(TRIM(C651),FIND(" ",TRIM(C651)&amp;" ")-1),",","."),FIND("/",SUBSTITUTE(LEFT(TRIM(C651),FIND(" ",TRIM(C651)&amp;" ")-1),",","."))-1)/MID(SUBSTITUTE(LEFT(TRIM(C651),FIND(" ",TRIM(C651)&amp;" ")-1),",","."),FIND("/",SUBSTITUTE(LEFT(TRIM(C651),FIND(" ",TRIM(C651)&amp;" ")-1),",","."))+1,9))*12/52,IF(ISNUMBER(SEARCH("month",C651)),IFERROR(_xlfn.NUMBERVALUE(SUBSTITUTE(LEFT(TRIM(C651),FIND(" ",TRIM(C651)&amp;" ")-1),",","."),"."),LEFT(SUBSTITUTE(LEFT(TRIM(C651),FIND(" ",TRIM(C651)&amp;" ")-1),",","."),FIND("/",SUBSTITUTE(LEFT(TRIM(C651),FIND(" ",TRIM(C651)&amp;" ")-1),",","."))-1)/MID(SUBSTITUTE(LEFT(TRIM(C651),FIND(" ",TRIM(C651)&amp;" ")-1),",","."),FIND("/",SUBSTITUTE(LEFT(TRIM(C651),FIND(" ",TRIM(C651)&amp;" ")-1),",","."))+1,9)),IF(ISNUMBER(SEARCH("yea",C651)),IFERROR(_xlfn.NUMBERVALUE(SUBSTITUTE(LEFT(TRIM(C651),FIND(" ",TRIM(C651)&amp;" ")-1),",","."),"."),LEFT(SUBSTITUTE(LEFT(TRIM(C651),FIND(" ",TRIM(C651)&amp;" ")-1),",","."),FIND("/",SUBSTITUTE(LEFT(TRIM(C651),FIND(" ",TRIM(C651)&amp;" ")-1),",","."))-1)/MID(SUBSTITUTE(LEFT(TRIM(C651),FIND(" ",TRIM(C651)&amp;" ")-1),",","."),FIND("/",SUBSTITUTE(LEFT(TRIM(C651),FIND(" ",TRIM(C651)&amp;" ")-1),",","."))+1,9))*12,NA()))),0),48)*'Aturan &amp; Tarif'!$B$4,2)</f>
        <v>2725.44</v>
      </c>
      <c r="K651" s="42" t="n">
        <f aca="false">'Aturan &amp; Tarif'!$B$5</f>
        <v>2050</v>
      </c>
      <c r="L651" s="35" t="n">
        <f aca="false">I651+J651+K651</f>
        <v>7175.44</v>
      </c>
      <c r="M651" s="44" t="s">
        <v>2230</v>
      </c>
    </row>
    <row r="652" customFormat="false" ht="72" hidden="false" customHeight="true" outlineLevel="0" collapsed="false">
      <c r="A652" s="39"/>
      <c r="B652" s="40" t="s">
        <v>3202</v>
      </c>
      <c r="C652" s="41" t="s">
        <v>138</v>
      </c>
      <c r="D652" s="41" t="s">
        <v>108</v>
      </c>
      <c r="E652" s="42" t="n">
        <v>2000</v>
      </c>
      <c r="F652" s="42" t="n">
        <v>600</v>
      </c>
      <c r="G652" s="42" t="n">
        <v>200</v>
      </c>
      <c r="H652" s="43" t="n">
        <v>1</v>
      </c>
      <c r="I652" s="34" t="n">
        <f aca="false">E652*H652+N(F652)+N(G652)</f>
        <v>2800</v>
      </c>
      <c r="J652" s="42" t="n">
        <f aca="false">ROUND(IFERROR(ROUND(IF(OR(ISNUMBER(SEARCH("week",C652)),ISNUMBER(SEARCH("minggu",C652))),IFERROR(_xlfn.NUMBERVALUE(SUBSTITUTE(LEFT(TRIM(C652),FIND(" ",TRIM(C652)&amp;" ")-1),",","."),"."),LEFT(SUBSTITUTE(LEFT(TRIM(C652),FIND(" ",TRIM(C652)&amp;" ")-1),",","."),FIND("/",SUBSTITUTE(LEFT(TRIM(C652),FIND(" ",TRIM(C652)&amp;" ")-1),",","."))-1)/MID(SUBSTITUTE(LEFT(TRIM(C652),FIND(" ",TRIM(C652)&amp;" ")-1),",","."),FIND("/",SUBSTITUTE(LEFT(TRIM(C652),FIND(" ",TRIM(C652)&amp;" ")-1),",","."))+1,9))*12/52,IF(ISNUMBER(SEARCH("month",C652)),IFERROR(_xlfn.NUMBERVALUE(SUBSTITUTE(LEFT(TRIM(C652),FIND(" ",TRIM(C652)&amp;" ")-1),",","."),"."),LEFT(SUBSTITUTE(LEFT(TRIM(C652),FIND(" ",TRIM(C652)&amp;" ")-1),",","."),FIND("/",SUBSTITUTE(LEFT(TRIM(C652),FIND(" ",TRIM(C652)&amp;" ")-1),",","."))-1)/MID(SUBSTITUTE(LEFT(TRIM(C652),FIND(" ",TRIM(C652)&amp;" ")-1),",","."),FIND("/",SUBSTITUTE(LEFT(TRIM(C652),FIND(" ",TRIM(C652)&amp;" ")-1),",","."))+1,9)),IF(ISNUMBER(SEARCH("yea",C652)),IFERROR(_xlfn.NUMBERVALUE(SUBSTITUTE(LEFT(TRIM(C652),FIND(" ",TRIM(C652)&amp;" ")-1),",","."),"."),LEFT(SUBSTITUTE(LEFT(TRIM(C652),FIND(" ",TRIM(C652)&amp;" ")-1),",","."),FIND("/",SUBSTITUTE(LEFT(TRIM(C652),FIND(" ",TRIM(C652)&amp;" ")-1),",","."))-1)/MID(SUBSTITUTE(LEFT(TRIM(C652),FIND(" ",TRIM(C652)&amp;" ")-1),",","."),FIND("/",SUBSTITUTE(LEFT(TRIM(C652),FIND(" ",TRIM(C652)&amp;" ")-1),",","."))+1,9))*12,NA()))),0),30)*'Aturan &amp; Tarif'!$B$4,2)</f>
        <v>1703.4</v>
      </c>
      <c r="K652" s="42" t="n">
        <f aca="false">'Aturan &amp; Tarif'!$B$5</f>
        <v>2050</v>
      </c>
      <c r="L652" s="35" t="n">
        <f aca="false">I652+J652+K652</f>
        <v>6553.4</v>
      </c>
      <c r="M652" s="44" t="s">
        <v>2232</v>
      </c>
    </row>
    <row r="653" customFormat="false" ht="48.75" hidden="false" customHeight="true" outlineLevel="0" collapsed="false">
      <c r="A653" s="29" t="s">
        <v>2233</v>
      </c>
      <c r="B653" s="30" t="s">
        <v>2234</v>
      </c>
      <c r="C653" s="31" t="s">
        <v>127</v>
      </c>
      <c r="D653" s="31" t="s">
        <v>108</v>
      </c>
      <c r="E653" s="32" t="n">
        <v>4500</v>
      </c>
      <c r="F653" s="32" t="n">
        <v>1500</v>
      </c>
      <c r="G653" s="32" t="n">
        <v>250</v>
      </c>
      <c r="H653" s="33" t="n">
        <v>2</v>
      </c>
      <c r="I653" s="34" t="n">
        <f aca="false">E653*H653+N(F653)+N(G653)</f>
        <v>10750</v>
      </c>
      <c r="J653" s="32" t="n">
        <f aca="false">ROUND(IFERROR(ROUND(IF(OR(ISNUMBER(SEARCH("week",C653)),ISNUMBER(SEARCH("minggu",C653))),IFERROR(_xlfn.NUMBERVALUE(SUBSTITUTE(LEFT(TRIM(C653),FIND(" ",TRIM(C653)&amp;" ")-1),",","."),"."),LEFT(SUBSTITUTE(LEFT(TRIM(C653),FIND(" ",TRIM(C653)&amp;" ")-1),",","."),FIND("/",SUBSTITUTE(LEFT(TRIM(C653),FIND(" ",TRIM(C653)&amp;" ")-1),",","."))-1)/MID(SUBSTITUTE(LEFT(TRIM(C653),FIND(" ",TRIM(C653)&amp;" ")-1),",","."),FIND("/",SUBSTITUTE(LEFT(TRIM(C653),FIND(" ",TRIM(C653)&amp;" ")-1),",","."))+1,9))*12/52,IF(ISNUMBER(SEARCH("month",C653)),IFERROR(_xlfn.NUMBERVALUE(SUBSTITUTE(LEFT(TRIM(C653),FIND(" ",TRIM(C653)&amp;" ")-1),",","."),"."),LEFT(SUBSTITUTE(LEFT(TRIM(C653),FIND(" ",TRIM(C653)&amp;" ")-1),",","."),FIND("/",SUBSTITUTE(LEFT(TRIM(C653),FIND(" ",TRIM(C653)&amp;" ")-1),",","."))-1)/MID(SUBSTITUTE(LEFT(TRIM(C653),FIND(" ",TRIM(C653)&amp;" ")-1),",","."),FIND("/",SUBSTITUTE(LEFT(TRIM(C653),FIND(" ",TRIM(C653)&amp;" ")-1),",","."))+1,9)),IF(ISNUMBER(SEARCH("yea",C653)),IFERROR(_xlfn.NUMBERVALUE(SUBSTITUTE(LEFT(TRIM(C653),FIND(" ",TRIM(C653)&amp;" ")-1),",","."),"."),LEFT(SUBSTITUTE(LEFT(TRIM(C653),FIND(" ",TRIM(C653)&amp;" ")-1),",","."),FIND("/",SUBSTITUTE(LEFT(TRIM(C653),FIND(" ",TRIM(C653)&amp;" ")-1),",","."))-1)/MID(SUBSTITUTE(LEFT(TRIM(C653),FIND(" ",TRIM(C653)&amp;" ")-1),",","."),FIND("/",SUBSTITUTE(LEFT(TRIM(C653),FIND(" ",TRIM(C653)&amp;" ")-1),",","."))+1,9))*12,NA()))),0),36)*'Aturan &amp; Tarif'!$B$4,2)</f>
        <v>2044.08</v>
      </c>
      <c r="K653" s="32" t="n">
        <f aca="false">'Aturan &amp; Tarif'!$B$5</f>
        <v>2050</v>
      </c>
      <c r="L653" s="35" t="n">
        <f aca="false">I653+J653+K653</f>
        <v>14844.08</v>
      </c>
      <c r="M653" s="37" t="s">
        <v>2882</v>
      </c>
    </row>
    <row r="654" customFormat="false" ht="37.5" hidden="false" customHeight="true" outlineLevel="0" collapsed="false">
      <c r="A654" s="29"/>
      <c r="B654" s="30" t="s">
        <v>2236</v>
      </c>
      <c r="C654" s="31" t="s">
        <v>107</v>
      </c>
      <c r="D654" s="31" t="s">
        <v>108</v>
      </c>
      <c r="E654" s="32" t="n">
        <v>5500</v>
      </c>
      <c r="F654" s="32" t="n">
        <v>960</v>
      </c>
      <c r="G654" s="32" t="n">
        <v>250</v>
      </c>
      <c r="H654" s="33" t="n">
        <v>2</v>
      </c>
      <c r="I654" s="34" t="n">
        <f aca="false">E654*H654+N(F654)+N(G654)</f>
        <v>12210</v>
      </c>
      <c r="J654" s="32" t="n">
        <f aca="false">ROUND(IFERROR(ROUND(IF(OR(ISNUMBER(SEARCH("week",C654)),ISNUMBER(SEARCH("minggu",C654))),IFERROR(_xlfn.NUMBERVALUE(SUBSTITUTE(LEFT(TRIM(C654),FIND(" ",TRIM(C654)&amp;" ")-1),",","."),"."),LEFT(SUBSTITUTE(LEFT(TRIM(C654),FIND(" ",TRIM(C654)&amp;" ")-1),",","."),FIND("/",SUBSTITUTE(LEFT(TRIM(C654),FIND(" ",TRIM(C654)&amp;" ")-1),",","."))-1)/MID(SUBSTITUTE(LEFT(TRIM(C654),FIND(" ",TRIM(C654)&amp;" ")-1),",","."),FIND("/",SUBSTITUTE(LEFT(TRIM(C654),FIND(" ",TRIM(C654)&amp;" ")-1),",","."))+1,9))*12/52,IF(ISNUMBER(SEARCH("month",C654)),IFERROR(_xlfn.NUMBERVALUE(SUBSTITUTE(LEFT(TRIM(C654),FIND(" ",TRIM(C654)&amp;" ")-1),",","."),"."),LEFT(SUBSTITUTE(LEFT(TRIM(C654),FIND(" ",TRIM(C654)&amp;" ")-1),",","."),FIND("/",SUBSTITUTE(LEFT(TRIM(C654),FIND(" ",TRIM(C654)&amp;" ")-1),",","."))-1)/MID(SUBSTITUTE(LEFT(TRIM(C654),FIND(" ",TRIM(C654)&amp;" ")-1),",","."),FIND("/",SUBSTITUTE(LEFT(TRIM(C654),FIND(" ",TRIM(C654)&amp;" ")-1),",","."))+1,9)),IF(ISNUMBER(SEARCH("yea",C654)),IFERROR(_xlfn.NUMBERVALUE(SUBSTITUTE(LEFT(TRIM(C654),FIND(" ",TRIM(C654)&amp;" ")-1),",","."),"."),LEFT(SUBSTITUTE(LEFT(TRIM(C654),FIND(" ",TRIM(C654)&amp;" ")-1),",","."),FIND("/",SUBSTITUTE(LEFT(TRIM(C654),FIND(" ",TRIM(C654)&amp;" ")-1),",","."))-1)/MID(SUBSTITUTE(LEFT(TRIM(C654),FIND(" ",TRIM(C654)&amp;" ")-1),",","."),FIND("/",SUBSTITUTE(LEFT(TRIM(C654),FIND(" ",TRIM(C654)&amp;" ")-1),",","."))+1,9))*12,NA()))),0),24)*'Aturan &amp; Tarif'!$B$4,2)</f>
        <v>1362.72</v>
      </c>
      <c r="K654" s="32" t="n">
        <f aca="false">'Aturan &amp; Tarif'!$B$5</f>
        <v>2050</v>
      </c>
      <c r="L654" s="35" t="n">
        <f aca="false">I654+J654+K654</f>
        <v>15622.72</v>
      </c>
      <c r="M654" s="37" t="s">
        <v>2883</v>
      </c>
    </row>
    <row r="655" customFormat="false" ht="14.25" hidden="false" customHeight="true" outlineLevel="0" collapsed="false">
      <c r="A655" s="29"/>
      <c r="B655" s="30" t="s">
        <v>2238</v>
      </c>
      <c r="C655" s="31" t="s">
        <v>127</v>
      </c>
      <c r="D655" s="31" t="s">
        <v>108</v>
      </c>
      <c r="E655" s="32" t="n">
        <v>4000</v>
      </c>
      <c r="F655" s="32" t="n">
        <v>750</v>
      </c>
      <c r="G655" s="32" t="n">
        <v>250</v>
      </c>
      <c r="H655" s="33" t="n">
        <v>2</v>
      </c>
      <c r="I655" s="34" t="n">
        <f aca="false">E655*H655+N(F655)+N(G655)</f>
        <v>9000</v>
      </c>
      <c r="J655" s="32" t="n">
        <f aca="false">ROUND(IFERROR(ROUND(IF(OR(ISNUMBER(SEARCH("week",C655)),ISNUMBER(SEARCH("minggu",C655))),IFERROR(_xlfn.NUMBERVALUE(SUBSTITUTE(LEFT(TRIM(C655),FIND(" ",TRIM(C655)&amp;" ")-1),",","."),"."),LEFT(SUBSTITUTE(LEFT(TRIM(C655),FIND(" ",TRIM(C655)&amp;" ")-1),",","."),FIND("/",SUBSTITUTE(LEFT(TRIM(C655),FIND(" ",TRIM(C655)&amp;" ")-1),",","."))-1)/MID(SUBSTITUTE(LEFT(TRIM(C655),FIND(" ",TRIM(C655)&amp;" ")-1),",","."),FIND("/",SUBSTITUTE(LEFT(TRIM(C655),FIND(" ",TRIM(C655)&amp;" ")-1),",","."))+1,9))*12/52,IF(ISNUMBER(SEARCH("month",C655)),IFERROR(_xlfn.NUMBERVALUE(SUBSTITUTE(LEFT(TRIM(C655),FIND(" ",TRIM(C655)&amp;" ")-1),",","."),"."),LEFT(SUBSTITUTE(LEFT(TRIM(C655),FIND(" ",TRIM(C655)&amp;" ")-1),",","."),FIND("/",SUBSTITUTE(LEFT(TRIM(C655),FIND(" ",TRIM(C655)&amp;" ")-1),",","."))-1)/MID(SUBSTITUTE(LEFT(TRIM(C655),FIND(" ",TRIM(C655)&amp;" ")-1),",","."),FIND("/",SUBSTITUTE(LEFT(TRIM(C655),FIND(" ",TRIM(C655)&amp;" ")-1),",","."))+1,9)),IF(ISNUMBER(SEARCH("yea",C655)),IFERROR(_xlfn.NUMBERVALUE(SUBSTITUTE(LEFT(TRIM(C655),FIND(" ",TRIM(C655)&amp;" ")-1),",","."),"."),LEFT(SUBSTITUTE(LEFT(TRIM(C655),FIND(" ",TRIM(C655)&amp;" ")-1),",","."),FIND("/",SUBSTITUTE(LEFT(TRIM(C655),FIND(" ",TRIM(C655)&amp;" ")-1),",","."))-1)/MID(SUBSTITUTE(LEFT(TRIM(C655),FIND(" ",TRIM(C655)&amp;" ")-1),",","."),FIND("/",SUBSTITUTE(LEFT(TRIM(C655),FIND(" ",TRIM(C655)&amp;" ")-1),",","."))+1,9))*12,NA()))),0),36)*'Aturan &amp; Tarif'!$B$4,2)</f>
        <v>2044.08</v>
      </c>
      <c r="K655" s="32" t="n">
        <f aca="false">'Aturan &amp; Tarif'!$B$5</f>
        <v>2050</v>
      </c>
      <c r="L655" s="35" t="n">
        <f aca="false">I655+J655+K655</f>
        <v>13094.08</v>
      </c>
      <c r="M655" s="37" t="s">
        <v>2884</v>
      </c>
    </row>
    <row r="656" customFormat="false" ht="25.5" hidden="false" customHeight="true" outlineLevel="0" collapsed="false">
      <c r="A656" s="29"/>
      <c r="B656" s="30" t="s">
        <v>2240</v>
      </c>
      <c r="C656" s="31" t="s">
        <v>107</v>
      </c>
      <c r="D656" s="31" t="s">
        <v>108</v>
      </c>
      <c r="E656" s="32" t="n">
        <v>4250</v>
      </c>
      <c r="F656" s="32" t="n">
        <v>1000</v>
      </c>
      <c r="G656" s="32" t="n">
        <v>250</v>
      </c>
      <c r="H656" s="33" t="n">
        <v>2</v>
      </c>
      <c r="I656" s="34" t="n">
        <f aca="false">E656*H656+N(F656)+N(G656)</f>
        <v>9750</v>
      </c>
      <c r="J656" s="32" t="n">
        <f aca="false">ROUND(IFERROR(ROUND(IF(OR(ISNUMBER(SEARCH("week",C656)),ISNUMBER(SEARCH("minggu",C656))),IFERROR(_xlfn.NUMBERVALUE(SUBSTITUTE(LEFT(TRIM(C656),FIND(" ",TRIM(C656)&amp;" ")-1),",","."),"."),LEFT(SUBSTITUTE(LEFT(TRIM(C656),FIND(" ",TRIM(C656)&amp;" ")-1),",","."),FIND("/",SUBSTITUTE(LEFT(TRIM(C656),FIND(" ",TRIM(C656)&amp;" ")-1),",","."))-1)/MID(SUBSTITUTE(LEFT(TRIM(C656),FIND(" ",TRIM(C656)&amp;" ")-1),",","."),FIND("/",SUBSTITUTE(LEFT(TRIM(C656),FIND(" ",TRIM(C656)&amp;" ")-1),",","."))+1,9))*12/52,IF(ISNUMBER(SEARCH("month",C656)),IFERROR(_xlfn.NUMBERVALUE(SUBSTITUTE(LEFT(TRIM(C656),FIND(" ",TRIM(C656)&amp;" ")-1),",","."),"."),LEFT(SUBSTITUTE(LEFT(TRIM(C656),FIND(" ",TRIM(C656)&amp;" ")-1),",","."),FIND("/",SUBSTITUTE(LEFT(TRIM(C656),FIND(" ",TRIM(C656)&amp;" ")-1),",","."))-1)/MID(SUBSTITUTE(LEFT(TRIM(C656),FIND(" ",TRIM(C656)&amp;" ")-1),",","."),FIND("/",SUBSTITUTE(LEFT(TRIM(C656),FIND(" ",TRIM(C656)&amp;" ")-1),",","."))+1,9)),IF(ISNUMBER(SEARCH("yea",C656)),IFERROR(_xlfn.NUMBERVALUE(SUBSTITUTE(LEFT(TRIM(C656),FIND(" ",TRIM(C656)&amp;" ")-1),",","."),"."),LEFT(SUBSTITUTE(LEFT(TRIM(C656),FIND(" ",TRIM(C656)&amp;" ")-1),",","."),FIND("/",SUBSTITUTE(LEFT(TRIM(C656),FIND(" ",TRIM(C656)&amp;" ")-1),",","."))-1)/MID(SUBSTITUTE(LEFT(TRIM(C656),FIND(" ",TRIM(C656)&amp;" ")-1),",","."),FIND("/",SUBSTITUTE(LEFT(TRIM(C656),FIND(" ",TRIM(C656)&amp;" ")-1),",","."))+1,9))*12,NA()))),0),24)*'Aturan &amp; Tarif'!$B$4,2)</f>
        <v>1362.72</v>
      </c>
      <c r="K656" s="32" t="n">
        <f aca="false">'Aturan &amp; Tarif'!$B$5</f>
        <v>2050</v>
      </c>
      <c r="L656" s="35" t="n">
        <f aca="false">I656+J656+K656</f>
        <v>13162.72</v>
      </c>
      <c r="M656" s="37" t="s">
        <v>2885</v>
      </c>
    </row>
    <row r="657" customFormat="false" ht="14.25" hidden="false" customHeight="true" outlineLevel="0" collapsed="false">
      <c r="A657" s="29"/>
      <c r="B657" s="30" t="s">
        <v>2242</v>
      </c>
      <c r="C657" s="31" t="s">
        <v>191</v>
      </c>
      <c r="D657" s="31" t="s">
        <v>108</v>
      </c>
      <c r="E657" s="32" t="n">
        <v>5500</v>
      </c>
      <c r="F657" s="32" t="n">
        <v>2000</v>
      </c>
      <c r="G657" s="32" t="n">
        <v>250</v>
      </c>
      <c r="H657" s="33" t="n">
        <v>2</v>
      </c>
      <c r="I657" s="34" t="n">
        <f aca="false">E657*H657+N(F657)+N(G657)</f>
        <v>13250</v>
      </c>
      <c r="J657" s="32" t="n">
        <f aca="false">ROUND(IFERROR(ROUND(IF(OR(ISNUMBER(SEARCH("week",C657)),ISNUMBER(SEARCH("minggu",C657))),IFERROR(_xlfn.NUMBERVALUE(SUBSTITUTE(LEFT(TRIM(C657),FIND(" ",TRIM(C657)&amp;" ")-1),",","."),"."),LEFT(SUBSTITUTE(LEFT(TRIM(C657),FIND(" ",TRIM(C657)&amp;" ")-1),",","."),FIND("/",SUBSTITUTE(LEFT(TRIM(C657),FIND(" ",TRIM(C657)&amp;" ")-1),",","."))-1)/MID(SUBSTITUTE(LEFT(TRIM(C657),FIND(" ",TRIM(C657)&amp;" ")-1),",","."),FIND("/",SUBSTITUTE(LEFT(TRIM(C657),FIND(" ",TRIM(C657)&amp;" ")-1),",","."))+1,9))*12/52,IF(ISNUMBER(SEARCH("month",C657)),IFERROR(_xlfn.NUMBERVALUE(SUBSTITUTE(LEFT(TRIM(C657),FIND(" ",TRIM(C657)&amp;" ")-1),",","."),"."),LEFT(SUBSTITUTE(LEFT(TRIM(C657),FIND(" ",TRIM(C657)&amp;" ")-1),",","."),FIND("/",SUBSTITUTE(LEFT(TRIM(C657),FIND(" ",TRIM(C657)&amp;" ")-1),",","."))-1)/MID(SUBSTITUTE(LEFT(TRIM(C657),FIND(" ",TRIM(C657)&amp;" ")-1),",","."),FIND("/",SUBSTITUTE(LEFT(TRIM(C657),FIND(" ",TRIM(C657)&amp;" ")-1),",","."))+1,9)),IF(ISNUMBER(SEARCH("yea",C657)),IFERROR(_xlfn.NUMBERVALUE(SUBSTITUTE(LEFT(TRIM(C657),FIND(" ",TRIM(C657)&amp;" ")-1),",","."),"."),LEFT(SUBSTITUTE(LEFT(TRIM(C657),FIND(" ",TRIM(C657)&amp;" ")-1),",","."),FIND("/",SUBSTITUTE(LEFT(TRIM(C657),FIND(" ",TRIM(C657)&amp;" ")-1),",","."))-1)/MID(SUBSTITUTE(LEFT(TRIM(C657),FIND(" ",TRIM(C657)&amp;" ")-1),",","."),FIND("/",SUBSTITUTE(LEFT(TRIM(C657),FIND(" ",TRIM(C657)&amp;" ")-1),",","."))+1,9))*12,NA()))),0),48)*'Aturan &amp; Tarif'!$B$4,2)</f>
        <v>2725.44</v>
      </c>
      <c r="K657" s="32" t="n">
        <f aca="false">'Aturan &amp; Tarif'!$B$5</f>
        <v>2050</v>
      </c>
      <c r="L657" s="35" t="n">
        <f aca="false">I657+J657+K657</f>
        <v>18025.44</v>
      </c>
      <c r="M657" s="37" t="s">
        <v>2886</v>
      </c>
    </row>
    <row r="658" customFormat="false" ht="37.5" hidden="false" customHeight="true" outlineLevel="0" collapsed="false">
      <c r="A658" s="29"/>
      <c r="B658" s="30" t="s">
        <v>2244</v>
      </c>
      <c r="C658" s="31" t="s">
        <v>107</v>
      </c>
      <c r="D658" s="31" t="s">
        <v>108</v>
      </c>
      <c r="E658" s="32" t="n">
        <v>4250</v>
      </c>
      <c r="F658" s="32" t="n">
        <v>1000</v>
      </c>
      <c r="G658" s="32" t="n">
        <v>250</v>
      </c>
      <c r="H658" s="33" t="n">
        <v>2</v>
      </c>
      <c r="I658" s="34" t="n">
        <f aca="false">E658*H658+N(F658)+N(G658)</f>
        <v>9750</v>
      </c>
      <c r="J658" s="32" t="n">
        <f aca="false">ROUND(IFERROR(ROUND(IF(OR(ISNUMBER(SEARCH("week",C658)),ISNUMBER(SEARCH("minggu",C658))),IFERROR(_xlfn.NUMBERVALUE(SUBSTITUTE(LEFT(TRIM(C658),FIND(" ",TRIM(C658)&amp;" ")-1),",","."),"."),LEFT(SUBSTITUTE(LEFT(TRIM(C658),FIND(" ",TRIM(C658)&amp;" ")-1),",","."),FIND("/",SUBSTITUTE(LEFT(TRIM(C658),FIND(" ",TRIM(C658)&amp;" ")-1),",","."))-1)/MID(SUBSTITUTE(LEFT(TRIM(C658),FIND(" ",TRIM(C658)&amp;" ")-1),",","."),FIND("/",SUBSTITUTE(LEFT(TRIM(C658),FIND(" ",TRIM(C658)&amp;" ")-1),",","."))+1,9))*12/52,IF(ISNUMBER(SEARCH("month",C658)),IFERROR(_xlfn.NUMBERVALUE(SUBSTITUTE(LEFT(TRIM(C658),FIND(" ",TRIM(C658)&amp;" ")-1),",","."),"."),LEFT(SUBSTITUTE(LEFT(TRIM(C658),FIND(" ",TRIM(C658)&amp;" ")-1),",","."),FIND("/",SUBSTITUTE(LEFT(TRIM(C658),FIND(" ",TRIM(C658)&amp;" ")-1),",","."))-1)/MID(SUBSTITUTE(LEFT(TRIM(C658),FIND(" ",TRIM(C658)&amp;" ")-1),",","."),FIND("/",SUBSTITUTE(LEFT(TRIM(C658),FIND(" ",TRIM(C658)&amp;" ")-1),",","."))+1,9)),IF(ISNUMBER(SEARCH("yea",C658)),IFERROR(_xlfn.NUMBERVALUE(SUBSTITUTE(LEFT(TRIM(C658),FIND(" ",TRIM(C658)&amp;" ")-1),",","."),"."),LEFT(SUBSTITUTE(LEFT(TRIM(C658),FIND(" ",TRIM(C658)&amp;" ")-1),",","."),FIND("/",SUBSTITUTE(LEFT(TRIM(C658),FIND(" ",TRIM(C658)&amp;" ")-1),",","."))-1)/MID(SUBSTITUTE(LEFT(TRIM(C658),FIND(" ",TRIM(C658)&amp;" ")-1),",","."),FIND("/",SUBSTITUTE(LEFT(TRIM(C658),FIND(" ",TRIM(C658)&amp;" ")-1),",","."))+1,9))*12,NA()))),0),24)*'Aturan &amp; Tarif'!$B$4,2)</f>
        <v>1362.72</v>
      </c>
      <c r="K658" s="32" t="n">
        <f aca="false">'Aturan &amp; Tarif'!$B$5</f>
        <v>2050</v>
      </c>
      <c r="L658" s="35" t="n">
        <f aca="false">I658+J658+K658</f>
        <v>13162.72</v>
      </c>
      <c r="M658" s="37" t="s">
        <v>2885</v>
      </c>
    </row>
    <row r="659" customFormat="false" ht="25.5" hidden="false" customHeight="true" outlineLevel="0" collapsed="false">
      <c r="A659" s="29"/>
      <c r="B659" s="30" t="s">
        <v>2245</v>
      </c>
      <c r="C659" s="31" t="s">
        <v>127</v>
      </c>
      <c r="D659" s="31" t="s">
        <v>108</v>
      </c>
      <c r="E659" s="32" t="n">
        <v>4500</v>
      </c>
      <c r="F659" s="32" t="n">
        <v>750</v>
      </c>
      <c r="G659" s="32" t="n">
        <v>250</v>
      </c>
      <c r="H659" s="33" t="n">
        <v>2</v>
      </c>
      <c r="I659" s="34" t="n">
        <f aca="false">E659*H659+N(F659)+N(G659)</f>
        <v>10000</v>
      </c>
      <c r="J659" s="32" t="n">
        <f aca="false">ROUND(IFERROR(ROUND(IF(OR(ISNUMBER(SEARCH("week",C659)),ISNUMBER(SEARCH("minggu",C659))),IFERROR(_xlfn.NUMBERVALUE(SUBSTITUTE(LEFT(TRIM(C659),FIND(" ",TRIM(C659)&amp;" ")-1),",","."),"."),LEFT(SUBSTITUTE(LEFT(TRIM(C659),FIND(" ",TRIM(C659)&amp;" ")-1),",","."),FIND("/",SUBSTITUTE(LEFT(TRIM(C659),FIND(" ",TRIM(C659)&amp;" ")-1),",","."))-1)/MID(SUBSTITUTE(LEFT(TRIM(C659),FIND(" ",TRIM(C659)&amp;" ")-1),",","."),FIND("/",SUBSTITUTE(LEFT(TRIM(C659),FIND(" ",TRIM(C659)&amp;" ")-1),",","."))+1,9))*12/52,IF(ISNUMBER(SEARCH("month",C659)),IFERROR(_xlfn.NUMBERVALUE(SUBSTITUTE(LEFT(TRIM(C659),FIND(" ",TRIM(C659)&amp;" ")-1),",","."),"."),LEFT(SUBSTITUTE(LEFT(TRIM(C659),FIND(" ",TRIM(C659)&amp;" ")-1),",","."),FIND("/",SUBSTITUTE(LEFT(TRIM(C659),FIND(" ",TRIM(C659)&amp;" ")-1),",","."))-1)/MID(SUBSTITUTE(LEFT(TRIM(C659),FIND(" ",TRIM(C659)&amp;" ")-1),",","."),FIND("/",SUBSTITUTE(LEFT(TRIM(C659),FIND(" ",TRIM(C659)&amp;" ")-1),",","."))+1,9)),IF(ISNUMBER(SEARCH("yea",C659)),IFERROR(_xlfn.NUMBERVALUE(SUBSTITUTE(LEFT(TRIM(C659),FIND(" ",TRIM(C659)&amp;" ")-1),",","."),"."),LEFT(SUBSTITUTE(LEFT(TRIM(C659),FIND(" ",TRIM(C659)&amp;" ")-1),",","."),FIND("/",SUBSTITUTE(LEFT(TRIM(C659),FIND(" ",TRIM(C659)&amp;" ")-1),",","."))-1)/MID(SUBSTITUTE(LEFT(TRIM(C659),FIND(" ",TRIM(C659)&amp;" ")-1),",","."),FIND("/",SUBSTITUTE(LEFT(TRIM(C659),FIND(" ",TRIM(C659)&amp;" ")-1),",","."))+1,9))*12,NA()))),0),36)*'Aturan &amp; Tarif'!$B$4,2)</f>
        <v>2044.08</v>
      </c>
      <c r="K659" s="32" t="n">
        <f aca="false">'Aturan &amp; Tarif'!$B$5</f>
        <v>2050</v>
      </c>
      <c r="L659" s="35" t="n">
        <f aca="false">I659+J659+K659</f>
        <v>14094.08</v>
      </c>
      <c r="M659" s="37" t="s">
        <v>2887</v>
      </c>
    </row>
    <row r="660" customFormat="false" ht="14.25" hidden="false" customHeight="true" outlineLevel="0" collapsed="false">
      <c r="A660" s="29"/>
      <c r="B660" s="30" t="s">
        <v>2247</v>
      </c>
      <c r="C660" s="31" t="s">
        <v>191</v>
      </c>
      <c r="D660" s="31" t="s">
        <v>108</v>
      </c>
      <c r="E660" s="32" t="n">
        <v>4500</v>
      </c>
      <c r="F660" s="32" t="n">
        <v>2000</v>
      </c>
      <c r="G660" s="32" t="n">
        <v>250</v>
      </c>
      <c r="H660" s="33" t="n">
        <v>2</v>
      </c>
      <c r="I660" s="34" t="n">
        <f aca="false">E660*H660+N(F660)+N(G660)</f>
        <v>11250</v>
      </c>
      <c r="J660" s="32" t="n">
        <f aca="false">ROUND(IFERROR(ROUND(IF(OR(ISNUMBER(SEARCH("week",C660)),ISNUMBER(SEARCH("minggu",C660))),IFERROR(_xlfn.NUMBERVALUE(SUBSTITUTE(LEFT(TRIM(C660),FIND(" ",TRIM(C660)&amp;" ")-1),",","."),"."),LEFT(SUBSTITUTE(LEFT(TRIM(C660),FIND(" ",TRIM(C660)&amp;" ")-1),",","."),FIND("/",SUBSTITUTE(LEFT(TRIM(C660),FIND(" ",TRIM(C660)&amp;" ")-1),",","."))-1)/MID(SUBSTITUTE(LEFT(TRIM(C660),FIND(" ",TRIM(C660)&amp;" ")-1),",","."),FIND("/",SUBSTITUTE(LEFT(TRIM(C660),FIND(" ",TRIM(C660)&amp;" ")-1),",","."))+1,9))*12/52,IF(ISNUMBER(SEARCH("month",C660)),IFERROR(_xlfn.NUMBERVALUE(SUBSTITUTE(LEFT(TRIM(C660),FIND(" ",TRIM(C660)&amp;" ")-1),",","."),"."),LEFT(SUBSTITUTE(LEFT(TRIM(C660),FIND(" ",TRIM(C660)&amp;" ")-1),",","."),FIND("/",SUBSTITUTE(LEFT(TRIM(C660),FIND(" ",TRIM(C660)&amp;" ")-1),",","."))-1)/MID(SUBSTITUTE(LEFT(TRIM(C660),FIND(" ",TRIM(C660)&amp;" ")-1),",","."),FIND("/",SUBSTITUTE(LEFT(TRIM(C660),FIND(" ",TRIM(C660)&amp;" ")-1),",","."))+1,9)),IF(ISNUMBER(SEARCH("yea",C660)),IFERROR(_xlfn.NUMBERVALUE(SUBSTITUTE(LEFT(TRIM(C660),FIND(" ",TRIM(C660)&amp;" ")-1),",","."),"."),LEFT(SUBSTITUTE(LEFT(TRIM(C660),FIND(" ",TRIM(C660)&amp;" ")-1),",","."),FIND("/",SUBSTITUTE(LEFT(TRIM(C660),FIND(" ",TRIM(C660)&amp;" ")-1),",","."))-1)/MID(SUBSTITUTE(LEFT(TRIM(C660),FIND(" ",TRIM(C660)&amp;" ")-1),",","."),FIND("/",SUBSTITUTE(LEFT(TRIM(C660),FIND(" ",TRIM(C660)&amp;" ")-1),",","."))+1,9))*12,NA()))),0),48)*'Aturan &amp; Tarif'!$B$4,2)</f>
        <v>2725.44</v>
      </c>
      <c r="K660" s="32" t="n">
        <f aca="false">'Aturan &amp; Tarif'!$B$5</f>
        <v>2050</v>
      </c>
      <c r="L660" s="35" t="n">
        <f aca="false">I660+J660+K660</f>
        <v>16025.44</v>
      </c>
      <c r="M660" s="37" t="s">
        <v>2888</v>
      </c>
    </row>
    <row r="661" customFormat="false" ht="14.25" hidden="false" customHeight="true" outlineLevel="0" collapsed="false">
      <c r="A661" s="29"/>
      <c r="B661" s="30" t="s">
        <v>2249</v>
      </c>
      <c r="C661" s="31" t="s">
        <v>107</v>
      </c>
      <c r="D661" s="31" t="s">
        <v>108</v>
      </c>
      <c r="E661" s="32" t="n">
        <v>4500</v>
      </c>
      <c r="F661" s="32" t="n">
        <v>1000</v>
      </c>
      <c r="G661" s="32" t="n">
        <v>250</v>
      </c>
      <c r="H661" s="33" t="n">
        <v>2</v>
      </c>
      <c r="I661" s="34" t="n">
        <f aca="false">E661*H661+N(F661)+N(G661)</f>
        <v>10250</v>
      </c>
      <c r="J661" s="32" t="n">
        <f aca="false">ROUND(IFERROR(ROUND(IF(OR(ISNUMBER(SEARCH("week",C661)),ISNUMBER(SEARCH("minggu",C661))),IFERROR(_xlfn.NUMBERVALUE(SUBSTITUTE(LEFT(TRIM(C661),FIND(" ",TRIM(C661)&amp;" ")-1),",","."),"."),LEFT(SUBSTITUTE(LEFT(TRIM(C661),FIND(" ",TRIM(C661)&amp;" ")-1),",","."),FIND("/",SUBSTITUTE(LEFT(TRIM(C661),FIND(" ",TRIM(C661)&amp;" ")-1),",","."))-1)/MID(SUBSTITUTE(LEFT(TRIM(C661),FIND(" ",TRIM(C661)&amp;" ")-1),",","."),FIND("/",SUBSTITUTE(LEFT(TRIM(C661),FIND(" ",TRIM(C661)&amp;" ")-1),",","."))+1,9))*12/52,IF(ISNUMBER(SEARCH("month",C661)),IFERROR(_xlfn.NUMBERVALUE(SUBSTITUTE(LEFT(TRIM(C661),FIND(" ",TRIM(C661)&amp;" ")-1),",","."),"."),LEFT(SUBSTITUTE(LEFT(TRIM(C661),FIND(" ",TRIM(C661)&amp;" ")-1),",","."),FIND("/",SUBSTITUTE(LEFT(TRIM(C661),FIND(" ",TRIM(C661)&amp;" ")-1),",","."))-1)/MID(SUBSTITUTE(LEFT(TRIM(C661),FIND(" ",TRIM(C661)&amp;" ")-1),",","."),FIND("/",SUBSTITUTE(LEFT(TRIM(C661),FIND(" ",TRIM(C661)&amp;" ")-1),",","."))+1,9)),IF(ISNUMBER(SEARCH("yea",C661)),IFERROR(_xlfn.NUMBERVALUE(SUBSTITUTE(LEFT(TRIM(C661),FIND(" ",TRIM(C661)&amp;" ")-1),",","."),"."),LEFT(SUBSTITUTE(LEFT(TRIM(C661),FIND(" ",TRIM(C661)&amp;" ")-1),",","."),FIND("/",SUBSTITUTE(LEFT(TRIM(C661),FIND(" ",TRIM(C661)&amp;" ")-1),",","."))-1)/MID(SUBSTITUTE(LEFT(TRIM(C661),FIND(" ",TRIM(C661)&amp;" ")-1),",","."),FIND("/",SUBSTITUTE(LEFT(TRIM(C661),FIND(" ",TRIM(C661)&amp;" ")-1),",","."))+1,9))*12,NA()))),0),24)*'Aturan &amp; Tarif'!$B$4,2)</f>
        <v>1362.72</v>
      </c>
      <c r="K661" s="32" t="n">
        <f aca="false">'Aturan &amp; Tarif'!$B$5</f>
        <v>2050</v>
      </c>
      <c r="L661" s="35" t="n">
        <f aca="false">I661+J661+K661</f>
        <v>13662.72</v>
      </c>
      <c r="M661" s="37" t="s">
        <v>2889</v>
      </c>
    </row>
    <row r="662" customFormat="false" ht="48.75" hidden="false" customHeight="true" outlineLevel="0" collapsed="false">
      <c r="A662" s="29" t="s">
        <v>2251</v>
      </c>
      <c r="B662" s="30" t="s">
        <v>2059</v>
      </c>
      <c r="C662" s="31" t="s">
        <v>107</v>
      </c>
      <c r="D662" s="31" t="s">
        <v>108</v>
      </c>
      <c r="E662" s="32" t="n">
        <v>1250</v>
      </c>
      <c r="F662" s="32" t="n">
        <v>0</v>
      </c>
      <c r="G662" s="32" t="n">
        <v>200</v>
      </c>
      <c r="H662" s="33" t="n">
        <v>1</v>
      </c>
      <c r="I662" s="34" t="n">
        <f aca="false">E662*H662+N(F662)+N(G662)</f>
        <v>1450</v>
      </c>
      <c r="J662" s="32" t="n">
        <f aca="false">ROUND(IFERROR(ROUND(IF(OR(ISNUMBER(SEARCH("week",C662)),ISNUMBER(SEARCH("minggu",C662))),IFERROR(_xlfn.NUMBERVALUE(SUBSTITUTE(LEFT(TRIM(C662),FIND(" ",TRIM(C662)&amp;" ")-1),",","."),"."),LEFT(SUBSTITUTE(LEFT(TRIM(C662),FIND(" ",TRIM(C662)&amp;" ")-1),",","."),FIND("/",SUBSTITUTE(LEFT(TRIM(C662),FIND(" ",TRIM(C662)&amp;" ")-1),",","."))-1)/MID(SUBSTITUTE(LEFT(TRIM(C662),FIND(" ",TRIM(C662)&amp;" ")-1),",","."),FIND("/",SUBSTITUTE(LEFT(TRIM(C662),FIND(" ",TRIM(C662)&amp;" ")-1),",","."))+1,9))*12/52,IF(ISNUMBER(SEARCH("month",C662)),IFERROR(_xlfn.NUMBERVALUE(SUBSTITUTE(LEFT(TRIM(C662),FIND(" ",TRIM(C662)&amp;" ")-1),",","."),"."),LEFT(SUBSTITUTE(LEFT(TRIM(C662),FIND(" ",TRIM(C662)&amp;" ")-1),",","."),FIND("/",SUBSTITUTE(LEFT(TRIM(C662),FIND(" ",TRIM(C662)&amp;" ")-1),",","."))-1)/MID(SUBSTITUTE(LEFT(TRIM(C662),FIND(" ",TRIM(C662)&amp;" ")-1),",","."),FIND("/",SUBSTITUTE(LEFT(TRIM(C662),FIND(" ",TRIM(C662)&amp;" ")-1),",","."))+1,9)),IF(ISNUMBER(SEARCH("yea",C662)),IFERROR(_xlfn.NUMBERVALUE(SUBSTITUTE(LEFT(TRIM(C662),FIND(" ",TRIM(C662)&amp;" ")-1),",","."),"."),LEFT(SUBSTITUTE(LEFT(TRIM(C662),FIND(" ",TRIM(C662)&amp;" ")-1),",","."),FIND("/",SUBSTITUTE(LEFT(TRIM(C662),FIND(" ",TRIM(C662)&amp;" ")-1),",","."))-1)/MID(SUBSTITUTE(LEFT(TRIM(C662),FIND(" ",TRIM(C662)&amp;" ")-1),",","."),FIND("/",SUBSTITUTE(LEFT(TRIM(C662),FIND(" ",TRIM(C662)&amp;" ")-1),",","."))+1,9))*12,NA()))),0),24)*'Aturan &amp; Tarif'!$B$4,2)</f>
        <v>1362.72</v>
      </c>
      <c r="K662" s="32" t="n">
        <f aca="false">'Aturan &amp; Tarif'!$B$5</f>
        <v>2050</v>
      </c>
      <c r="L662" s="35" t="n">
        <f aca="false">I662+J662+K662</f>
        <v>4862.72</v>
      </c>
      <c r="M662" s="37" t="s">
        <v>3203</v>
      </c>
    </row>
    <row r="663" customFormat="false" ht="25.5" hidden="false" customHeight="true" outlineLevel="0" collapsed="false">
      <c r="A663" s="29"/>
      <c r="B663" s="30" t="s">
        <v>3204</v>
      </c>
      <c r="C663" s="31" t="s">
        <v>191</v>
      </c>
      <c r="D663" s="31" t="s">
        <v>108</v>
      </c>
      <c r="E663" s="32" t="n">
        <v>1250</v>
      </c>
      <c r="F663" s="32" t="n">
        <v>0</v>
      </c>
      <c r="G663" s="32" t="n">
        <v>200</v>
      </c>
      <c r="H663" s="33" t="n">
        <v>1</v>
      </c>
      <c r="I663" s="34" t="n">
        <f aca="false">E663*H663+N(F663)+N(G663)</f>
        <v>1450</v>
      </c>
      <c r="J663" s="32" t="n">
        <f aca="false">ROUND(IFERROR(ROUND(IF(OR(ISNUMBER(SEARCH("week",C663)),ISNUMBER(SEARCH("minggu",C663))),IFERROR(_xlfn.NUMBERVALUE(SUBSTITUTE(LEFT(TRIM(C663),FIND(" ",TRIM(C663)&amp;" ")-1),",","."),"."),LEFT(SUBSTITUTE(LEFT(TRIM(C663),FIND(" ",TRIM(C663)&amp;" ")-1),",","."),FIND("/",SUBSTITUTE(LEFT(TRIM(C663),FIND(" ",TRIM(C663)&amp;" ")-1),",","."))-1)/MID(SUBSTITUTE(LEFT(TRIM(C663),FIND(" ",TRIM(C663)&amp;" ")-1),",","."),FIND("/",SUBSTITUTE(LEFT(TRIM(C663),FIND(" ",TRIM(C663)&amp;" ")-1),",","."))+1,9))*12/52,IF(ISNUMBER(SEARCH("month",C663)),IFERROR(_xlfn.NUMBERVALUE(SUBSTITUTE(LEFT(TRIM(C663),FIND(" ",TRIM(C663)&amp;" ")-1),",","."),"."),LEFT(SUBSTITUTE(LEFT(TRIM(C663),FIND(" ",TRIM(C663)&amp;" ")-1),",","."),FIND("/",SUBSTITUTE(LEFT(TRIM(C663),FIND(" ",TRIM(C663)&amp;" ")-1),",","."))-1)/MID(SUBSTITUTE(LEFT(TRIM(C663),FIND(" ",TRIM(C663)&amp;" ")-1),",","."),FIND("/",SUBSTITUTE(LEFT(TRIM(C663),FIND(" ",TRIM(C663)&amp;" ")-1),",","."))+1,9)),IF(ISNUMBER(SEARCH("yea",C663)),IFERROR(_xlfn.NUMBERVALUE(SUBSTITUTE(LEFT(TRIM(C663),FIND(" ",TRIM(C663)&amp;" ")-1),",","."),"."),LEFT(SUBSTITUTE(LEFT(TRIM(C663),FIND(" ",TRIM(C663)&amp;" ")-1),",","."),FIND("/",SUBSTITUTE(LEFT(TRIM(C663),FIND(" ",TRIM(C663)&amp;" ")-1),",","."))-1)/MID(SUBSTITUTE(LEFT(TRIM(C663),FIND(" ",TRIM(C663)&amp;" ")-1),",","."),FIND("/",SUBSTITUTE(LEFT(TRIM(C663),FIND(" ",TRIM(C663)&amp;" ")-1),",","."))+1,9))*12,NA()))),0),48)*'Aturan &amp; Tarif'!$B$4,2)</f>
        <v>2725.44</v>
      </c>
      <c r="K663" s="32" t="n">
        <f aca="false">'Aturan &amp; Tarif'!$B$5</f>
        <v>2050</v>
      </c>
      <c r="L663" s="35" t="n">
        <f aca="false">I663+J663+K663</f>
        <v>6225.44</v>
      </c>
      <c r="M663" s="37" t="s">
        <v>3205</v>
      </c>
    </row>
    <row r="664" customFormat="false" ht="14.25" hidden="false" customHeight="true" outlineLevel="0" collapsed="false">
      <c r="A664" s="29"/>
      <c r="B664" s="30" t="s">
        <v>1596</v>
      </c>
      <c r="C664" s="31" t="s">
        <v>107</v>
      </c>
      <c r="D664" s="31" t="s">
        <v>108</v>
      </c>
      <c r="E664" s="32" t="n">
        <v>1250</v>
      </c>
      <c r="F664" s="32" t="n">
        <v>0</v>
      </c>
      <c r="G664" s="32" t="n">
        <v>200</v>
      </c>
      <c r="H664" s="33" t="n">
        <v>1</v>
      </c>
      <c r="I664" s="34" t="n">
        <f aca="false">E664*H664+N(F664)+N(G664)</f>
        <v>1450</v>
      </c>
      <c r="J664" s="32" t="n">
        <f aca="false">ROUND(IFERROR(ROUND(IF(OR(ISNUMBER(SEARCH("week",C664)),ISNUMBER(SEARCH("minggu",C664))),IFERROR(_xlfn.NUMBERVALUE(SUBSTITUTE(LEFT(TRIM(C664),FIND(" ",TRIM(C664)&amp;" ")-1),",","."),"."),LEFT(SUBSTITUTE(LEFT(TRIM(C664),FIND(" ",TRIM(C664)&amp;" ")-1),",","."),FIND("/",SUBSTITUTE(LEFT(TRIM(C664),FIND(" ",TRIM(C664)&amp;" ")-1),",","."))-1)/MID(SUBSTITUTE(LEFT(TRIM(C664),FIND(" ",TRIM(C664)&amp;" ")-1),",","."),FIND("/",SUBSTITUTE(LEFT(TRIM(C664),FIND(" ",TRIM(C664)&amp;" ")-1),",","."))+1,9))*12/52,IF(ISNUMBER(SEARCH("month",C664)),IFERROR(_xlfn.NUMBERVALUE(SUBSTITUTE(LEFT(TRIM(C664),FIND(" ",TRIM(C664)&amp;" ")-1),",","."),"."),LEFT(SUBSTITUTE(LEFT(TRIM(C664),FIND(" ",TRIM(C664)&amp;" ")-1),",","."),FIND("/",SUBSTITUTE(LEFT(TRIM(C664),FIND(" ",TRIM(C664)&amp;" ")-1),",","."))-1)/MID(SUBSTITUTE(LEFT(TRIM(C664),FIND(" ",TRIM(C664)&amp;" ")-1),",","."),FIND("/",SUBSTITUTE(LEFT(TRIM(C664),FIND(" ",TRIM(C664)&amp;" ")-1),",","."))+1,9)),IF(ISNUMBER(SEARCH("yea",C664)),IFERROR(_xlfn.NUMBERVALUE(SUBSTITUTE(LEFT(TRIM(C664),FIND(" ",TRIM(C664)&amp;" ")-1),",","."),"."),LEFT(SUBSTITUTE(LEFT(TRIM(C664),FIND(" ",TRIM(C664)&amp;" ")-1),",","."),FIND("/",SUBSTITUTE(LEFT(TRIM(C664),FIND(" ",TRIM(C664)&amp;" ")-1),",","."))-1)/MID(SUBSTITUTE(LEFT(TRIM(C664),FIND(" ",TRIM(C664)&amp;" ")-1),",","."),FIND("/",SUBSTITUTE(LEFT(TRIM(C664),FIND(" ",TRIM(C664)&amp;" ")-1),",","."))+1,9))*12,NA()))),0),24)*'Aturan &amp; Tarif'!$B$4,2)</f>
        <v>1362.72</v>
      </c>
      <c r="K664" s="32" t="n">
        <f aca="false">'Aturan &amp; Tarif'!$B$5</f>
        <v>2050</v>
      </c>
      <c r="L664" s="35" t="n">
        <f aca="false">I664+J664+K664</f>
        <v>4862.72</v>
      </c>
      <c r="M664" s="37" t="s">
        <v>3206</v>
      </c>
    </row>
    <row r="665" customFormat="false" ht="25.5" hidden="false" customHeight="true" outlineLevel="0" collapsed="false">
      <c r="A665" s="29"/>
      <c r="B665" s="30" t="s">
        <v>2227</v>
      </c>
      <c r="C665" s="31" t="s">
        <v>191</v>
      </c>
      <c r="D665" s="31" t="s">
        <v>108</v>
      </c>
      <c r="E665" s="32" t="n">
        <v>1250</v>
      </c>
      <c r="F665" s="32" t="n">
        <v>0</v>
      </c>
      <c r="G665" s="32" t="n">
        <v>200</v>
      </c>
      <c r="H665" s="33" t="n">
        <v>1</v>
      </c>
      <c r="I665" s="34" t="n">
        <f aca="false">E665*H665+N(F665)+N(G665)</f>
        <v>1450</v>
      </c>
      <c r="J665" s="32" t="n">
        <f aca="false">ROUND(IFERROR(ROUND(IF(OR(ISNUMBER(SEARCH("week",C665)),ISNUMBER(SEARCH("minggu",C665))),IFERROR(_xlfn.NUMBERVALUE(SUBSTITUTE(LEFT(TRIM(C665),FIND(" ",TRIM(C665)&amp;" ")-1),",","."),"."),LEFT(SUBSTITUTE(LEFT(TRIM(C665),FIND(" ",TRIM(C665)&amp;" ")-1),",","."),FIND("/",SUBSTITUTE(LEFT(TRIM(C665),FIND(" ",TRIM(C665)&amp;" ")-1),",","."))-1)/MID(SUBSTITUTE(LEFT(TRIM(C665),FIND(" ",TRIM(C665)&amp;" ")-1),",","."),FIND("/",SUBSTITUTE(LEFT(TRIM(C665),FIND(" ",TRIM(C665)&amp;" ")-1),",","."))+1,9))*12/52,IF(ISNUMBER(SEARCH("month",C665)),IFERROR(_xlfn.NUMBERVALUE(SUBSTITUTE(LEFT(TRIM(C665),FIND(" ",TRIM(C665)&amp;" ")-1),",","."),"."),LEFT(SUBSTITUTE(LEFT(TRIM(C665),FIND(" ",TRIM(C665)&amp;" ")-1),",","."),FIND("/",SUBSTITUTE(LEFT(TRIM(C665),FIND(" ",TRIM(C665)&amp;" ")-1),",","."))-1)/MID(SUBSTITUTE(LEFT(TRIM(C665),FIND(" ",TRIM(C665)&amp;" ")-1),",","."),FIND("/",SUBSTITUTE(LEFT(TRIM(C665),FIND(" ",TRIM(C665)&amp;" ")-1),",","."))+1,9)),IF(ISNUMBER(SEARCH("yea",C665)),IFERROR(_xlfn.NUMBERVALUE(SUBSTITUTE(LEFT(TRIM(C665),FIND(" ",TRIM(C665)&amp;" ")-1),",","."),"."),LEFT(SUBSTITUTE(LEFT(TRIM(C665),FIND(" ",TRIM(C665)&amp;" ")-1),",","."),FIND("/",SUBSTITUTE(LEFT(TRIM(C665),FIND(" ",TRIM(C665)&amp;" ")-1),",","."))-1)/MID(SUBSTITUTE(LEFT(TRIM(C665),FIND(" ",TRIM(C665)&amp;" ")-1),",","."),FIND("/",SUBSTITUTE(LEFT(TRIM(C665),FIND(" ",TRIM(C665)&amp;" ")-1),",","."))+1,9))*12,NA()))),0),48)*'Aturan &amp; Tarif'!$B$4,2)</f>
        <v>2725.44</v>
      </c>
      <c r="K665" s="32" t="n">
        <f aca="false">'Aturan &amp; Tarif'!$B$5</f>
        <v>2050</v>
      </c>
      <c r="L665" s="35" t="n">
        <f aca="false">I665+J665+K665</f>
        <v>6225.44</v>
      </c>
      <c r="M665" s="37" t="s">
        <v>3207</v>
      </c>
    </row>
    <row r="666" customFormat="false" ht="14.25" hidden="false" customHeight="true" outlineLevel="0" collapsed="false">
      <c r="A666" s="29"/>
      <c r="B666" s="30" t="s">
        <v>1967</v>
      </c>
      <c r="C666" s="31" t="s">
        <v>127</v>
      </c>
      <c r="D666" s="31" t="s">
        <v>108</v>
      </c>
      <c r="E666" s="32" t="n">
        <v>1250</v>
      </c>
      <c r="F666" s="32" t="n">
        <v>300</v>
      </c>
      <c r="G666" s="32" t="n">
        <v>200</v>
      </c>
      <c r="H666" s="33" t="n">
        <v>1</v>
      </c>
      <c r="I666" s="34" t="n">
        <f aca="false">E666*H666+N(F666)+N(G666)</f>
        <v>1750</v>
      </c>
      <c r="J666" s="32" t="n">
        <f aca="false">ROUND(IFERROR(ROUND(IF(OR(ISNUMBER(SEARCH("week",C666)),ISNUMBER(SEARCH("minggu",C666))),IFERROR(_xlfn.NUMBERVALUE(SUBSTITUTE(LEFT(TRIM(C666),FIND(" ",TRIM(C666)&amp;" ")-1),",","."),"."),LEFT(SUBSTITUTE(LEFT(TRIM(C666),FIND(" ",TRIM(C666)&amp;" ")-1),",","."),FIND("/",SUBSTITUTE(LEFT(TRIM(C666),FIND(" ",TRIM(C666)&amp;" ")-1),",","."))-1)/MID(SUBSTITUTE(LEFT(TRIM(C666),FIND(" ",TRIM(C666)&amp;" ")-1),",","."),FIND("/",SUBSTITUTE(LEFT(TRIM(C666),FIND(" ",TRIM(C666)&amp;" ")-1),",","."))+1,9))*12/52,IF(ISNUMBER(SEARCH("month",C666)),IFERROR(_xlfn.NUMBERVALUE(SUBSTITUTE(LEFT(TRIM(C666),FIND(" ",TRIM(C666)&amp;" ")-1),",","."),"."),LEFT(SUBSTITUTE(LEFT(TRIM(C666),FIND(" ",TRIM(C666)&amp;" ")-1),",","."),FIND("/",SUBSTITUTE(LEFT(TRIM(C666),FIND(" ",TRIM(C666)&amp;" ")-1),",","."))-1)/MID(SUBSTITUTE(LEFT(TRIM(C666),FIND(" ",TRIM(C666)&amp;" ")-1),",","."),FIND("/",SUBSTITUTE(LEFT(TRIM(C666),FIND(" ",TRIM(C666)&amp;" ")-1),",","."))+1,9)),IF(ISNUMBER(SEARCH("yea",C666)),IFERROR(_xlfn.NUMBERVALUE(SUBSTITUTE(LEFT(TRIM(C666),FIND(" ",TRIM(C666)&amp;" ")-1),",","."),"."),LEFT(SUBSTITUTE(LEFT(TRIM(C666),FIND(" ",TRIM(C666)&amp;" ")-1),",","."),FIND("/",SUBSTITUTE(LEFT(TRIM(C666),FIND(" ",TRIM(C666)&amp;" ")-1),",","."))-1)/MID(SUBSTITUTE(LEFT(TRIM(C666),FIND(" ",TRIM(C666)&amp;" ")-1),",","."),FIND("/",SUBSTITUTE(LEFT(TRIM(C666),FIND(" ",TRIM(C666)&amp;" ")-1),",","."))+1,9))*12,NA()))),0),36)*'Aturan &amp; Tarif'!$B$4,2)</f>
        <v>2044.08</v>
      </c>
      <c r="K666" s="32" t="n">
        <f aca="false">'Aturan &amp; Tarif'!$B$5</f>
        <v>2050</v>
      </c>
      <c r="L666" s="35" t="n">
        <f aca="false">I666+J666+K666</f>
        <v>5844.08</v>
      </c>
      <c r="M666" s="37" t="s">
        <v>2262</v>
      </c>
    </row>
    <row r="667" customFormat="false" ht="14.25" hidden="false" customHeight="true" outlineLevel="0" collapsed="false">
      <c r="A667" s="29"/>
      <c r="B667" s="30" t="s">
        <v>2324</v>
      </c>
      <c r="C667" s="31" t="s">
        <v>245</v>
      </c>
      <c r="D667" s="31" t="s">
        <v>108</v>
      </c>
      <c r="E667" s="32" t="n">
        <v>1250</v>
      </c>
      <c r="F667" s="32" t="n">
        <v>300</v>
      </c>
      <c r="G667" s="32" t="n">
        <v>200</v>
      </c>
      <c r="H667" s="33" t="n">
        <v>1</v>
      </c>
      <c r="I667" s="34" t="n">
        <f aca="false">E667*H667+N(F667)+N(G667)</f>
        <v>1750</v>
      </c>
      <c r="J667" s="32" t="n">
        <f aca="false">ROUND(IFERROR(ROUND(IF(OR(ISNUMBER(SEARCH("week",C667)),ISNUMBER(SEARCH("minggu",C667))),IFERROR(_xlfn.NUMBERVALUE(SUBSTITUTE(LEFT(TRIM(C667),FIND(" ",TRIM(C667)&amp;" ")-1),",","."),"."),LEFT(SUBSTITUTE(LEFT(TRIM(C667),FIND(" ",TRIM(C667)&amp;" ")-1),",","."),FIND("/",SUBSTITUTE(LEFT(TRIM(C667),FIND(" ",TRIM(C667)&amp;" ")-1),",","."))-1)/MID(SUBSTITUTE(LEFT(TRIM(C667),FIND(" ",TRIM(C667)&amp;" ")-1),",","."),FIND("/",SUBSTITUTE(LEFT(TRIM(C667),FIND(" ",TRIM(C667)&amp;" ")-1),",","."))+1,9))*12/52,IF(ISNUMBER(SEARCH("month",C667)),IFERROR(_xlfn.NUMBERVALUE(SUBSTITUTE(LEFT(TRIM(C667),FIND(" ",TRIM(C667)&amp;" ")-1),",","."),"."),LEFT(SUBSTITUTE(LEFT(TRIM(C667),FIND(" ",TRIM(C667)&amp;" ")-1),",","."),FIND("/",SUBSTITUTE(LEFT(TRIM(C667),FIND(" ",TRIM(C667)&amp;" ")-1),",","."))-1)/MID(SUBSTITUTE(LEFT(TRIM(C667),FIND(" ",TRIM(C667)&amp;" ")-1),",","."),FIND("/",SUBSTITUTE(LEFT(TRIM(C667),FIND(" ",TRIM(C667)&amp;" ")-1),",","."))+1,9)),IF(ISNUMBER(SEARCH("yea",C667)),IFERROR(_xlfn.NUMBERVALUE(SUBSTITUTE(LEFT(TRIM(C667),FIND(" ",TRIM(C667)&amp;" ")-1),",","."),"."),LEFT(SUBSTITUTE(LEFT(TRIM(C667),FIND(" ",TRIM(C667)&amp;" ")-1),",","."),FIND("/",SUBSTITUTE(LEFT(TRIM(C667),FIND(" ",TRIM(C667)&amp;" ")-1),",","."))-1)/MID(SUBSTITUTE(LEFT(TRIM(C667),FIND(" ",TRIM(C667)&amp;" ")-1),",","."),FIND("/",SUBSTITUTE(LEFT(TRIM(C667),FIND(" ",TRIM(C667)&amp;" ")-1),",","."))+1,9))*12,NA()))),0),60)*'Aturan &amp; Tarif'!$B$4,2)</f>
        <v>3406.8</v>
      </c>
      <c r="K667" s="32" t="n">
        <f aca="false">'Aturan &amp; Tarif'!$B$5</f>
        <v>2050</v>
      </c>
      <c r="L667" s="35" t="n">
        <f aca="false">I667+J667+K667</f>
        <v>7206.8</v>
      </c>
      <c r="M667" s="37" t="s">
        <v>3208</v>
      </c>
    </row>
    <row r="668" customFormat="false" ht="14.25" hidden="false" customHeight="true" outlineLevel="0" collapsed="false">
      <c r="A668" s="29"/>
      <c r="B668" s="30" t="s">
        <v>3209</v>
      </c>
      <c r="C668" s="31" t="s">
        <v>136</v>
      </c>
      <c r="D668" s="31" t="s">
        <v>108</v>
      </c>
      <c r="E668" s="32" t="n">
        <v>1800</v>
      </c>
      <c r="F668" s="32" t="n">
        <v>500</v>
      </c>
      <c r="G668" s="32" t="n">
        <v>200</v>
      </c>
      <c r="H668" s="33" t="n">
        <v>1</v>
      </c>
      <c r="I668" s="34" t="n">
        <f aca="false">E668*H668+N(F668)+N(G668)</f>
        <v>2500</v>
      </c>
      <c r="J668" s="32" t="n">
        <f aca="false">ROUND(IFERROR(ROUND(IF(OR(ISNUMBER(SEARCH("week",C668)),ISNUMBER(SEARCH("minggu",C668))),IFERROR(_xlfn.NUMBERVALUE(SUBSTITUTE(LEFT(TRIM(C668),FIND(" ",TRIM(C668)&amp;" ")-1),",","."),"."),LEFT(SUBSTITUTE(LEFT(TRIM(C668),FIND(" ",TRIM(C668)&amp;" ")-1),",","."),FIND("/",SUBSTITUTE(LEFT(TRIM(C668),FIND(" ",TRIM(C668)&amp;" ")-1),",","."))-1)/MID(SUBSTITUTE(LEFT(TRIM(C668),FIND(" ",TRIM(C668)&amp;" ")-1),",","."),FIND("/",SUBSTITUTE(LEFT(TRIM(C668),FIND(" ",TRIM(C668)&amp;" ")-1),",","."))+1,9))*12/52,IF(ISNUMBER(SEARCH("month",C668)),IFERROR(_xlfn.NUMBERVALUE(SUBSTITUTE(LEFT(TRIM(C668),FIND(" ",TRIM(C668)&amp;" ")-1),",","."),"."),LEFT(SUBSTITUTE(LEFT(TRIM(C668),FIND(" ",TRIM(C668)&amp;" ")-1),",","."),FIND("/",SUBSTITUTE(LEFT(TRIM(C668),FIND(" ",TRIM(C668)&amp;" ")-1),",","."))-1)/MID(SUBSTITUTE(LEFT(TRIM(C668),FIND(" ",TRIM(C668)&amp;" ")-1),",","."),FIND("/",SUBSTITUTE(LEFT(TRIM(C668),FIND(" ",TRIM(C668)&amp;" ")-1),",","."))+1,9)),IF(ISNUMBER(SEARCH("yea",C668)),IFERROR(_xlfn.NUMBERVALUE(SUBSTITUTE(LEFT(TRIM(C668),FIND(" ",TRIM(C668)&amp;" ")-1),",","."),"."),LEFT(SUBSTITUTE(LEFT(TRIM(C668),FIND(" ",TRIM(C668)&amp;" ")-1),",","."),FIND("/",SUBSTITUTE(LEFT(TRIM(C668),FIND(" ",TRIM(C668)&amp;" ")-1),",","."))-1)/MID(SUBSTITUTE(LEFT(TRIM(C668),FIND(" ",TRIM(C668)&amp;" ")-1),",","."),FIND("/",SUBSTITUTE(LEFT(TRIM(C668),FIND(" ",TRIM(C668)&amp;" ")-1),",","."))+1,9))*12,NA()))),0),42)*'Aturan &amp; Tarif'!$B$4,2)</f>
        <v>2384.76</v>
      </c>
      <c r="K668" s="32" t="n">
        <f aca="false">'Aturan &amp; Tarif'!$B$5</f>
        <v>2050</v>
      </c>
      <c r="L668" s="35" t="n">
        <f aca="false">I668+J668+K668</f>
        <v>6934.76</v>
      </c>
      <c r="M668" s="37" t="s">
        <v>3210</v>
      </c>
    </row>
    <row r="669" customFormat="false" ht="14.25" hidden="false" customHeight="true" outlineLevel="0" collapsed="false">
      <c r="A669" s="29"/>
      <c r="B669" s="30" t="s">
        <v>112</v>
      </c>
      <c r="C669" s="31" t="s">
        <v>113</v>
      </c>
      <c r="D669" s="31" t="s">
        <v>108</v>
      </c>
      <c r="E669" s="32" t="n">
        <v>1800</v>
      </c>
      <c r="F669" s="32" t="n">
        <v>0</v>
      </c>
      <c r="G669" s="32" t="n">
        <v>200</v>
      </c>
      <c r="H669" s="33" t="n">
        <v>1</v>
      </c>
      <c r="I669" s="34" t="n">
        <f aca="false">E669*H669+N(F669)+N(G669)</f>
        <v>2000</v>
      </c>
      <c r="J669" s="32" t="n">
        <f aca="false">ROUND(IFERROR(ROUND(IF(OR(ISNUMBER(SEARCH("week",C669)),ISNUMBER(SEARCH("minggu",C669))),IFERROR(_xlfn.NUMBERVALUE(SUBSTITUTE(LEFT(TRIM(C669),FIND(" ",TRIM(C669)&amp;" ")-1),",","."),"."),LEFT(SUBSTITUTE(LEFT(TRIM(C669),FIND(" ",TRIM(C669)&amp;" ")-1),",","."),FIND("/",SUBSTITUTE(LEFT(TRIM(C669),FIND(" ",TRIM(C669)&amp;" ")-1),",","."))-1)/MID(SUBSTITUTE(LEFT(TRIM(C669),FIND(" ",TRIM(C669)&amp;" ")-1),",","."),FIND("/",SUBSTITUTE(LEFT(TRIM(C669),FIND(" ",TRIM(C669)&amp;" ")-1),",","."))+1,9))*12/52,IF(ISNUMBER(SEARCH("month",C669)),IFERROR(_xlfn.NUMBERVALUE(SUBSTITUTE(LEFT(TRIM(C669),FIND(" ",TRIM(C669)&amp;" ")-1),",","."),"."),LEFT(SUBSTITUTE(LEFT(TRIM(C669),FIND(" ",TRIM(C669)&amp;" ")-1),",","."),FIND("/",SUBSTITUTE(LEFT(TRIM(C669),FIND(" ",TRIM(C669)&amp;" ")-1),",","."))-1)/MID(SUBSTITUTE(LEFT(TRIM(C669),FIND(" ",TRIM(C669)&amp;" ")-1),",","."),FIND("/",SUBSTITUTE(LEFT(TRIM(C669),FIND(" ",TRIM(C669)&amp;" ")-1),",","."))+1,9)),IF(ISNUMBER(SEARCH("yea",C669)),IFERROR(_xlfn.NUMBERVALUE(SUBSTITUTE(LEFT(TRIM(C669),FIND(" ",TRIM(C669)&amp;" ")-1),",","."),"."),LEFT(SUBSTITUTE(LEFT(TRIM(C669),FIND(" ",TRIM(C669)&amp;" ")-1),",","."),FIND("/",SUBSTITUTE(LEFT(TRIM(C669),FIND(" ",TRIM(C669)&amp;" ")-1),",","."))-1)/MID(SUBSTITUTE(LEFT(TRIM(C669),FIND(" ",TRIM(C669)&amp;" ")-1),",","."),FIND("/",SUBSTITUTE(LEFT(TRIM(C669),FIND(" ",TRIM(C669)&amp;" ")-1),",","."))+1,9))*12,NA()))),0),18)*'Aturan &amp; Tarif'!$B$4,2)</f>
        <v>1022.04</v>
      </c>
      <c r="K669" s="32" t="n">
        <f aca="false">'Aturan &amp; Tarif'!$B$5</f>
        <v>2050</v>
      </c>
      <c r="L669" s="35" t="n">
        <f aca="false">I669+J669+K669</f>
        <v>5072.04</v>
      </c>
      <c r="M669" s="37" t="s">
        <v>3211</v>
      </c>
    </row>
    <row r="670" customFormat="false" ht="14.25" hidden="false" customHeight="true" outlineLevel="0" collapsed="false">
      <c r="A670" s="29"/>
      <c r="B670" s="30" t="s">
        <v>3212</v>
      </c>
      <c r="C670" s="31" t="s">
        <v>107</v>
      </c>
      <c r="D670" s="31" t="s">
        <v>108</v>
      </c>
      <c r="E670" s="32" t="n">
        <v>1800</v>
      </c>
      <c r="F670" s="32" t="n">
        <v>0</v>
      </c>
      <c r="G670" s="32" t="n">
        <v>200</v>
      </c>
      <c r="H670" s="33" t="n">
        <v>1</v>
      </c>
      <c r="I670" s="34" t="n">
        <f aca="false">E670*H670+N(F670)+N(G670)</f>
        <v>2000</v>
      </c>
      <c r="J670" s="32" t="n">
        <f aca="false">ROUND(IFERROR(ROUND(IF(OR(ISNUMBER(SEARCH("week",C670)),ISNUMBER(SEARCH("minggu",C670))),IFERROR(_xlfn.NUMBERVALUE(SUBSTITUTE(LEFT(TRIM(C670),FIND(" ",TRIM(C670)&amp;" ")-1),",","."),"."),LEFT(SUBSTITUTE(LEFT(TRIM(C670),FIND(" ",TRIM(C670)&amp;" ")-1),",","."),FIND("/",SUBSTITUTE(LEFT(TRIM(C670),FIND(" ",TRIM(C670)&amp;" ")-1),",","."))-1)/MID(SUBSTITUTE(LEFT(TRIM(C670),FIND(" ",TRIM(C670)&amp;" ")-1),",","."),FIND("/",SUBSTITUTE(LEFT(TRIM(C670),FIND(" ",TRIM(C670)&amp;" ")-1),",","."))+1,9))*12/52,IF(ISNUMBER(SEARCH("month",C670)),IFERROR(_xlfn.NUMBERVALUE(SUBSTITUTE(LEFT(TRIM(C670),FIND(" ",TRIM(C670)&amp;" ")-1),",","."),"."),LEFT(SUBSTITUTE(LEFT(TRIM(C670),FIND(" ",TRIM(C670)&amp;" ")-1),",","."),FIND("/",SUBSTITUTE(LEFT(TRIM(C670),FIND(" ",TRIM(C670)&amp;" ")-1),",","."))-1)/MID(SUBSTITUTE(LEFT(TRIM(C670),FIND(" ",TRIM(C670)&amp;" ")-1),",","."),FIND("/",SUBSTITUTE(LEFT(TRIM(C670),FIND(" ",TRIM(C670)&amp;" ")-1),",","."))+1,9)),IF(ISNUMBER(SEARCH("yea",C670)),IFERROR(_xlfn.NUMBERVALUE(SUBSTITUTE(LEFT(TRIM(C670),FIND(" ",TRIM(C670)&amp;" ")-1),",","."),"."),LEFT(SUBSTITUTE(LEFT(TRIM(C670),FIND(" ",TRIM(C670)&amp;" ")-1),",","."),FIND("/",SUBSTITUTE(LEFT(TRIM(C670),FIND(" ",TRIM(C670)&amp;" ")-1),",","."))-1)/MID(SUBSTITUTE(LEFT(TRIM(C670),FIND(" ",TRIM(C670)&amp;" ")-1),",","."),FIND("/",SUBSTITUTE(LEFT(TRIM(C670),FIND(" ",TRIM(C670)&amp;" ")-1),",","."))+1,9))*12,NA()))),0),24)*'Aturan &amp; Tarif'!$B$4,2)</f>
        <v>1362.72</v>
      </c>
      <c r="K670" s="32" t="n">
        <f aca="false">'Aturan &amp; Tarif'!$B$5</f>
        <v>2050</v>
      </c>
      <c r="L670" s="35" t="n">
        <f aca="false">I670+J670+K670</f>
        <v>5412.72</v>
      </c>
      <c r="M670" s="37" t="s">
        <v>3211</v>
      </c>
    </row>
    <row r="671" customFormat="false" ht="14.25" hidden="false" customHeight="true" outlineLevel="0" collapsed="false">
      <c r="A671" s="29"/>
      <c r="B671" s="30" t="s">
        <v>2267</v>
      </c>
      <c r="C671" s="31" t="s">
        <v>107</v>
      </c>
      <c r="D671" s="31" t="s">
        <v>108</v>
      </c>
      <c r="E671" s="32" t="n">
        <v>2000</v>
      </c>
      <c r="F671" s="32" t="n">
        <v>0</v>
      </c>
      <c r="G671" s="32" t="n">
        <v>200</v>
      </c>
      <c r="H671" s="33" t="n">
        <v>1</v>
      </c>
      <c r="I671" s="34" t="n">
        <f aca="false">E671*H671+N(F671)+N(G671)</f>
        <v>2200</v>
      </c>
      <c r="J671" s="32" t="n">
        <f aca="false">ROUND(IFERROR(ROUND(IF(OR(ISNUMBER(SEARCH("week",C671)),ISNUMBER(SEARCH("minggu",C671))),IFERROR(_xlfn.NUMBERVALUE(SUBSTITUTE(LEFT(TRIM(C671),FIND(" ",TRIM(C671)&amp;" ")-1),",","."),"."),LEFT(SUBSTITUTE(LEFT(TRIM(C671),FIND(" ",TRIM(C671)&amp;" ")-1),",","."),FIND("/",SUBSTITUTE(LEFT(TRIM(C671),FIND(" ",TRIM(C671)&amp;" ")-1),",","."))-1)/MID(SUBSTITUTE(LEFT(TRIM(C671),FIND(" ",TRIM(C671)&amp;" ")-1),",","."),FIND("/",SUBSTITUTE(LEFT(TRIM(C671),FIND(" ",TRIM(C671)&amp;" ")-1),",","."))+1,9))*12/52,IF(ISNUMBER(SEARCH("month",C671)),IFERROR(_xlfn.NUMBERVALUE(SUBSTITUTE(LEFT(TRIM(C671),FIND(" ",TRIM(C671)&amp;" ")-1),",","."),"."),LEFT(SUBSTITUTE(LEFT(TRIM(C671),FIND(" ",TRIM(C671)&amp;" ")-1),",","."),FIND("/",SUBSTITUTE(LEFT(TRIM(C671),FIND(" ",TRIM(C671)&amp;" ")-1),",","."))-1)/MID(SUBSTITUTE(LEFT(TRIM(C671),FIND(" ",TRIM(C671)&amp;" ")-1),",","."),FIND("/",SUBSTITUTE(LEFT(TRIM(C671),FIND(" ",TRIM(C671)&amp;" ")-1),",","."))+1,9)),IF(ISNUMBER(SEARCH("yea",C671)),IFERROR(_xlfn.NUMBERVALUE(SUBSTITUTE(LEFT(TRIM(C671),FIND(" ",TRIM(C671)&amp;" ")-1),",","."),"."),LEFT(SUBSTITUTE(LEFT(TRIM(C671),FIND(" ",TRIM(C671)&amp;" ")-1),",","."),FIND("/",SUBSTITUTE(LEFT(TRIM(C671),FIND(" ",TRIM(C671)&amp;" ")-1),",","."))-1)/MID(SUBSTITUTE(LEFT(TRIM(C671),FIND(" ",TRIM(C671)&amp;" ")-1),",","."),FIND("/",SUBSTITUTE(LEFT(TRIM(C671),FIND(" ",TRIM(C671)&amp;" ")-1),",","."))+1,9))*12,NA()))),0),24)*'Aturan &amp; Tarif'!$B$4,2)</f>
        <v>1362.72</v>
      </c>
      <c r="K671" s="32" t="n">
        <f aca="false">'Aturan &amp; Tarif'!$B$5</f>
        <v>2050</v>
      </c>
      <c r="L671" s="35" t="n">
        <f aca="false">I671+J671+K671</f>
        <v>5612.72</v>
      </c>
      <c r="M671" s="37" t="s">
        <v>2268</v>
      </c>
    </row>
    <row r="672" customFormat="false" ht="48.75" hidden="false" customHeight="true" outlineLevel="0" collapsed="false">
      <c r="A672" s="39" t="s">
        <v>2269</v>
      </c>
      <c r="B672" s="40" t="s">
        <v>3213</v>
      </c>
      <c r="C672" s="41" t="s">
        <v>107</v>
      </c>
      <c r="D672" s="41" t="s">
        <v>108</v>
      </c>
      <c r="E672" s="42" t="n">
        <v>1590</v>
      </c>
      <c r="F672" s="42" t="n">
        <v>1000</v>
      </c>
      <c r="G672" s="42" t="n">
        <v>200</v>
      </c>
      <c r="H672" s="43" t="n">
        <v>1</v>
      </c>
      <c r="I672" s="34" t="n">
        <f aca="false">E672*H672+N(F672)+N(G672)</f>
        <v>2790</v>
      </c>
      <c r="J672" s="42" t="n">
        <f aca="false">ROUND(IFERROR(ROUND(IF(OR(ISNUMBER(SEARCH("week",C672)),ISNUMBER(SEARCH("minggu",C672))),IFERROR(_xlfn.NUMBERVALUE(SUBSTITUTE(LEFT(TRIM(C672),FIND(" ",TRIM(C672)&amp;" ")-1),",","."),"."),LEFT(SUBSTITUTE(LEFT(TRIM(C672),FIND(" ",TRIM(C672)&amp;" ")-1),",","."),FIND("/",SUBSTITUTE(LEFT(TRIM(C672),FIND(" ",TRIM(C672)&amp;" ")-1),",","."))-1)/MID(SUBSTITUTE(LEFT(TRIM(C672),FIND(" ",TRIM(C672)&amp;" ")-1),",","."),FIND("/",SUBSTITUTE(LEFT(TRIM(C672),FIND(" ",TRIM(C672)&amp;" ")-1),",","."))+1,9))*12/52,IF(ISNUMBER(SEARCH("month",C672)),IFERROR(_xlfn.NUMBERVALUE(SUBSTITUTE(LEFT(TRIM(C672),FIND(" ",TRIM(C672)&amp;" ")-1),",","."),"."),LEFT(SUBSTITUTE(LEFT(TRIM(C672),FIND(" ",TRIM(C672)&amp;" ")-1),",","."),FIND("/",SUBSTITUTE(LEFT(TRIM(C672),FIND(" ",TRIM(C672)&amp;" ")-1),",","."))-1)/MID(SUBSTITUTE(LEFT(TRIM(C672),FIND(" ",TRIM(C672)&amp;" ")-1),",","."),FIND("/",SUBSTITUTE(LEFT(TRIM(C672),FIND(" ",TRIM(C672)&amp;" ")-1),",","."))+1,9)),IF(ISNUMBER(SEARCH("yea",C672)),IFERROR(_xlfn.NUMBERVALUE(SUBSTITUTE(LEFT(TRIM(C672),FIND(" ",TRIM(C672)&amp;" ")-1),",","."),"."),LEFT(SUBSTITUTE(LEFT(TRIM(C672),FIND(" ",TRIM(C672)&amp;" ")-1),",","."),FIND("/",SUBSTITUTE(LEFT(TRIM(C672),FIND(" ",TRIM(C672)&amp;" ")-1),",","."))-1)/MID(SUBSTITUTE(LEFT(TRIM(C672),FIND(" ",TRIM(C672)&amp;" ")-1),",","."),FIND("/",SUBSTITUTE(LEFT(TRIM(C672),FIND(" ",TRIM(C672)&amp;" ")-1),",","."))+1,9))*12,NA()))),0),24)*'Aturan &amp; Tarif'!$B$4,2)</f>
        <v>1362.72</v>
      </c>
      <c r="K672" s="42" t="n">
        <f aca="false">'Aturan &amp; Tarif'!$B$5</f>
        <v>2050</v>
      </c>
      <c r="L672" s="35" t="n">
        <f aca="false">I672+J672+K672</f>
        <v>6202.72</v>
      </c>
      <c r="M672" s="45" t="s">
        <v>134</v>
      </c>
    </row>
    <row r="673" customFormat="false" ht="37.5" hidden="false" customHeight="true" outlineLevel="0" collapsed="false">
      <c r="A673" s="39"/>
      <c r="B673" s="40" t="s">
        <v>2271</v>
      </c>
      <c r="C673" s="41" t="s">
        <v>107</v>
      </c>
      <c r="D673" s="41" t="s">
        <v>108</v>
      </c>
      <c r="E673" s="42" t="n">
        <v>1590</v>
      </c>
      <c r="F673" s="42" t="n">
        <v>1000</v>
      </c>
      <c r="G673" s="42" t="n">
        <v>200</v>
      </c>
      <c r="H673" s="43" t="n">
        <v>1</v>
      </c>
      <c r="I673" s="34" t="n">
        <f aca="false">E673*H673+N(F673)+N(G673)</f>
        <v>2790</v>
      </c>
      <c r="J673" s="42" t="n">
        <f aca="false">ROUND(IFERROR(ROUND(IF(OR(ISNUMBER(SEARCH("week",C673)),ISNUMBER(SEARCH("minggu",C673))),IFERROR(_xlfn.NUMBERVALUE(SUBSTITUTE(LEFT(TRIM(C673),FIND(" ",TRIM(C673)&amp;" ")-1),",","."),"."),LEFT(SUBSTITUTE(LEFT(TRIM(C673),FIND(" ",TRIM(C673)&amp;" ")-1),",","."),FIND("/",SUBSTITUTE(LEFT(TRIM(C673),FIND(" ",TRIM(C673)&amp;" ")-1),",","."))-1)/MID(SUBSTITUTE(LEFT(TRIM(C673),FIND(" ",TRIM(C673)&amp;" ")-1),",","."),FIND("/",SUBSTITUTE(LEFT(TRIM(C673),FIND(" ",TRIM(C673)&amp;" ")-1),",","."))+1,9))*12/52,IF(ISNUMBER(SEARCH("month",C673)),IFERROR(_xlfn.NUMBERVALUE(SUBSTITUTE(LEFT(TRIM(C673),FIND(" ",TRIM(C673)&amp;" ")-1),",","."),"."),LEFT(SUBSTITUTE(LEFT(TRIM(C673),FIND(" ",TRIM(C673)&amp;" ")-1),",","."),FIND("/",SUBSTITUTE(LEFT(TRIM(C673),FIND(" ",TRIM(C673)&amp;" ")-1),",","."))-1)/MID(SUBSTITUTE(LEFT(TRIM(C673),FIND(" ",TRIM(C673)&amp;" ")-1),",","."),FIND("/",SUBSTITUTE(LEFT(TRIM(C673),FIND(" ",TRIM(C673)&amp;" ")-1),",","."))+1,9)),IF(ISNUMBER(SEARCH("yea",C673)),IFERROR(_xlfn.NUMBERVALUE(SUBSTITUTE(LEFT(TRIM(C673),FIND(" ",TRIM(C673)&amp;" ")-1),",","."),"."),LEFT(SUBSTITUTE(LEFT(TRIM(C673),FIND(" ",TRIM(C673)&amp;" ")-1),",","."),FIND("/",SUBSTITUTE(LEFT(TRIM(C673),FIND(" ",TRIM(C673)&amp;" ")-1),",","."))-1)/MID(SUBSTITUTE(LEFT(TRIM(C673),FIND(" ",TRIM(C673)&amp;" ")-1),",","."),FIND("/",SUBSTITUTE(LEFT(TRIM(C673),FIND(" ",TRIM(C673)&amp;" ")-1),",","."))+1,9))*12,NA()))),0),24)*'Aturan &amp; Tarif'!$B$4,2)</f>
        <v>1362.72</v>
      </c>
      <c r="K673" s="42" t="n">
        <f aca="false">'Aturan &amp; Tarif'!$B$5</f>
        <v>2050</v>
      </c>
      <c r="L673" s="35" t="n">
        <f aca="false">I673+J673+K673</f>
        <v>6202.72</v>
      </c>
      <c r="M673" s="45" t="s">
        <v>134</v>
      </c>
    </row>
    <row r="674" customFormat="false" ht="25.5" hidden="false" customHeight="true" outlineLevel="0" collapsed="false">
      <c r="A674" s="39"/>
      <c r="B674" s="40" t="s">
        <v>3214</v>
      </c>
      <c r="C674" s="41" t="s">
        <v>107</v>
      </c>
      <c r="D674" s="41" t="s">
        <v>108</v>
      </c>
      <c r="E674" s="42" t="n">
        <v>1930</v>
      </c>
      <c r="F674" s="42" t="n">
        <v>1000</v>
      </c>
      <c r="G674" s="42" t="n">
        <v>200</v>
      </c>
      <c r="H674" s="43" t="n">
        <v>1</v>
      </c>
      <c r="I674" s="34" t="n">
        <f aca="false">E674*H674+N(F674)+N(G674)</f>
        <v>3130</v>
      </c>
      <c r="J674" s="42" t="n">
        <f aca="false">ROUND(IFERROR(ROUND(IF(OR(ISNUMBER(SEARCH("week",C674)),ISNUMBER(SEARCH("minggu",C674))),IFERROR(_xlfn.NUMBERVALUE(SUBSTITUTE(LEFT(TRIM(C674),FIND(" ",TRIM(C674)&amp;" ")-1),",","."),"."),LEFT(SUBSTITUTE(LEFT(TRIM(C674),FIND(" ",TRIM(C674)&amp;" ")-1),",","."),FIND("/",SUBSTITUTE(LEFT(TRIM(C674),FIND(" ",TRIM(C674)&amp;" ")-1),",","."))-1)/MID(SUBSTITUTE(LEFT(TRIM(C674),FIND(" ",TRIM(C674)&amp;" ")-1),",","."),FIND("/",SUBSTITUTE(LEFT(TRIM(C674),FIND(" ",TRIM(C674)&amp;" ")-1),",","."))+1,9))*12/52,IF(ISNUMBER(SEARCH("month",C674)),IFERROR(_xlfn.NUMBERVALUE(SUBSTITUTE(LEFT(TRIM(C674),FIND(" ",TRIM(C674)&amp;" ")-1),",","."),"."),LEFT(SUBSTITUTE(LEFT(TRIM(C674),FIND(" ",TRIM(C674)&amp;" ")-1),",","."),FIND("/",SUBSTITUTE(LEFT(TRIM(C674),FIND(" ",TRIM(C674)&amp;" ")-1),",","."))-1)/MID(SUBSTITUTE(LEFT(TRIM(C674),FIND(" ",TRIM(C674)&amp;" ")-1),",","."),FIND("/",SUBSTITUTE(LEFT(TRIM(C674),FIND(" ",TRIM(C674)&amp;" ")-1),",","."))+1,9)),IF(ISNUMBER(SEARCH("yea",C674)),IFERROR(_xlfn.NUMBERVALUE(SUBSTITUTE(LEFT(TRIM(C674),FIND(" ",TRIM(C674)&amp;" ")-1),",","."),"."),LEFT(SUBSTITUTE(LEFT(TRIM(C674),FIND(" ",TRIM(C674)&amp;" ")-1),",","."),FIND("/",SUBSTITUTE(LEFT(TRIM(C674),FIND(" ",TRIM(C674)&amp;" ")-1),",","."))-1)/MID(SUBSTITUTE(LEFT(TRIM(C674),FIND(" ",TRIM(C674)&amp;" ")-1),",","."),FIND("/",SUBSTITUTE(LEFT(TRIM(C674),FIND(" ",TRIM(C674)&amp;" ")-1),",","."))+1,9))*12,NA()))),0),24)*'Aturan &amp; Tarif'!$B$4,2)</f>
        <v>1362.72</v>
      </c>
      <c r="K674" s="42" t="n">
        <f aca="false">'Aturan &amp; Tarif'!$B$5</f>
        <v>2050</v>
      </c>
      <c r="L674" s="35" t="n">
        <f aca="false">I674+J674+K674</f>
        <v>6542.72</v>
      </c>
      <c r="M674" s="45" t="s">
        <v>134</v>
      </c>
    </row>
    <row r="675" customFormat="false" ht="37.5" hidden="false" customHeight="true" outlineLevel="0" collapsed="false">
      <c r="A675" s="39"/>
      <c r="B675" s="40" t="s">
        <v>3215</v>
      </c>
      <c r="C675" s="41" t="s">
        <v>107</v>
      </c>
      <c r="D675" s="41" t="s">
        <v>108</v>
      </c>
      <c r="E675" s="42" t="n">
        <v>2670</v>
      </c>
      <c r="F675" s="42" t="n">
        <v>1500</v>
      </c>
      <c r="G675" s="42" t="n">
        <v>200</v>
      </c>
      <c r="H675" s="43" t="n">
        <v>1</v>
      </c>
      <c r="I675" s="34" t="n">
        <f aca="false">E675*H675+N(F675)+N(G675)</f>
        <v>4370</v>
      </c>
      <c r="J675" s="42" t="n">
        <f aca="false">ROUND(IFERROR(ROUND(IF(OR(ISNUMBER(SEARCH("week",C675)),ISNUMBER(SEARCH("minggu",C675))),IFERROR(_xlfn.NUMBERVALUE(SUBSTITUTE(LEFT(TRIM(C675),FIND(" ",TRIM(C675)&amp;" ")-1),",","."),"."),LEFT(SUBSTITUTE(LEFT(TRIM(C675),FIND(" ",TRIM(C675)&amp;" ")-1),",","."),FIND("/",SUBSTITUTE(LEFT(TRIM(C675),FIND(" ",TRIM(C675)&amp;" ")-1),",","."))-1)/MID(SUBSTITUTE(LEFT(TRIM(C675),FIND(" ",TRIM(C675)&amp;" ")-1),",","."),FIND("/",SUBSTITUTE(LEFT(TRIM(C675),FIND(" ",TRIM(C675)&amp;" ")-1),",","."))+1,9))*12/52,IF(ISNUMBER(SEARCH("month",C675)),IFERROR(_xlfn.NUMBERVALUE(SUBSTITUTE(LEFT(TRIM(C675),FIND(" ",TRIM(C675)&amp;" ")-1),",","."),"."),LEFT(SUBSTITUTE(LEFT(TRIM(C675),FIND(" ",TRIM(C675)&amp;" ")-1),",","."),FIND("/",SUBSTITUTE(LEFT(TRIM(C675),FIND(" ",TRIM(C675)&amp;" ")-1),",","."))-1)/MID(SUBSTITUTE(LEFT(TRIM(C675),FIND(" ",TRIM(C675)&amp;" ")-1),",","."),FIND("/",SUBSTITUTE(LEFT(TRIM(C675),FIND(" ",TRIM(C675)&amp;" ")-1),",","."))+1,9)),IF(ISNUMBER(SEARCH("yea",C675)),IFERROR(_xlfn.NUMBERVALUE(SUBSTITUTE(LEFT(TRIM(C675),FIND(" ",TRIM(C675)&amp;" ")-1),",","."),"."),LEFT(SUBSTITUTE(LEFT(TRIM(C675),FIND(" ",TRIM(C675)&amp;" ")-1),",","."),FIND("/",SUBSTITUTE(LEFT(TRIM(C675),FIND(" ",TRIM(C675)&amp;" ")-1),",","."))-1)/MID(SUBSTITUTE(LEFT(TRIM(C675),FIND(" ",TRIM(C675)&amp;" ")-1),",","."),FIND("/",SUBSTITUTE(LEFT(TRIM(C675),FIND(" ",TRIM(C675)&amp;" ")-1),",","."))+1,9))*12,NA()))),0),24)*'Aturan &amp; Tarif'!$B$4,2)</f>
        <v>1362.72</v>
      </c>
      <c r="K675" s="42" t="n">
        <f aca="false">'Aturan &amp; Tarif'!$B$5</f>
        <v>2050</v>
      </c>
      <c r="L675" s="35" t="n">
        <f aca="false">I675+J675+K675</f>
        <v>7782.72</v>
      </c>
      <c r="M675" s="44" t="s">
        <v>131</v>
      </c>
    </row>
    <row r="676" customFormat="false" ht="25.5" hidden="false" customHeight="true" outlineLevel="0" collapsed="false">
      <c r="A676" s="39"/>
      <c r="B676" s="40" t="s">
        <v>3216</v>
      </c>
      <c r="C676" s="41" t="s">
        <v>127</v>
      </c>
      <c r="D676" s="41" t="s">
        <v>108</v>
      </c>
      <c r="E676" s="42" t="n">
        <v>1825</v>
      </c>
      <c r="F676" s="42" t="n">
        <v>1000</v>
      </c>
      <c r="G676" s="42" t="n">
        <v>200</v>
      </c>
      <c r="H676" s="43" t="n">
        <v>1</v>
      </c>
      <c r="I676" s="34" t="n">
        <f aca="false">E676*H676+N(F676)+N(G676)</f>
        <v>3025</v>
      </c>
      <c r="J676" s="42" t="n">
        <f aca="false">ROUND(IFERROR(ROUND(IF(OR(ISNUMBER(SEARCH("week",C676)),ISNUMBER(SEARCH("minggu",C676))),IFERROR(_xlfn.NUMBERVALUE(SUBSTITUTE(LEFT(TRIM(C676),FIND(" ",TRIM(C676)&amp;" ")-1),",","."),"."),LEFT(SUBSTITUTE(LEFT(TRIM(C676),FIND(" ",TRIM(C676)&amp;" ")-1),",","."),FIND("/",SUBSTITUTE(LEFT(TRIM(C676),FIND(" ",TRIM(C676)&amp;" ")-1),",","."))-1)/MID(SUBSTITUTE(LEFT(TRIM(C676),FIND(" ",TRIM(C676)&amp;" ")-1),",","."),FIND("/",SUBSTITUTE(LEFT(TRIM(C676),FIND(" ",TRIM(C676)&amp;" ")-1),",","."))+1,9))*12/52,IF(ISNUMBER(SEARCH("month",C676)),IFERROR(_xlfn.NUMBERVALUE(SUBSTITUTE(LEFT(TRIM(C676),FIND(" ",TRIM(C676)&amp;" ")-1),",","."),"."),LEFT(SUBSTITUTE(LEFT(TRIM(C676),FIND(" ",TRIM(C676)&amp;" ")-1),",","."),FIND("/",SUBSTITUTE(LEFT(TRIM(C676),FIND(" ",TRIM(C676)&amp;" ")-1),",","."))-1)/MID(SUBSTITUTE(LEFT(TRIM(C676),FIND(" ",TRIM(C676)&amp;" ")-1),",","."),FIND("/",SUBSTITUTE(LEFT(TRIM(C676),FIND(" ",TRIM(C676)&amp;" ")-1),",","."))+1,9)),IF(ISNUMBER(SEARCH("yea",C676)),IFERROR(_xlfn.NUMBERVALUE(SUBSTITUTE(LEFT(TRIM(C676),FIND(" ",TRIM(C676)&amp;" ")-1),",","."),"."),LEFT(SUBSTITUTE(LEFT(TRIM(C676),FIND(" ",TRIM(C676)&amp;" ")-1),",","."),FIND("/",SUBSTITUTE(LEFT(TRIM(C676),FIND(" ",TRIM(C676)&amp;" ")-1),",","."))-1)/MID(SUBSTITUTE(LEFT(TRIM(C676),FIND(" ",TRIM(C676)&amp;" ")-1),",","."),FIND("/",SUBSTITUTE(LEFT(TRIM(C676),FIND(" ",TRIM(C676)&amp;" ")-1),",","."))+1,9))*12,NA()))),0),36)*'Aturan &amp; Tarif'!$B$4,2)</f>
        <v>2044.08</v>
      </c>
      <c r="K676" s="42" t="n">
        <f aca="false">'Aturan &amp; Tarif'!$B$5</f>
        <v>2050</v>
      </c>
      <c r="L676" s="35" t="n">
        <f aca="false">I676+J676+K676</f>
        <v>7119.08</v>
      </c>
      <c r="M676" s="44" t="s">
        <v>131</v>
      </c>
    </row>
    <row r="677" customFormat="false" ht="37.5" hidden="false" customHeight="true" outlineLevel="0" collapsed="false">
      <c r="A677" s="39"/>
      <c r="B677" s="40" t="s">
        <v>3217</v>
      </c>
      <c r="C677" s="41" t="s">
        <v>107</v>
      </c>
      <c r="D677" s="41" t="s">
        <v>108</v>
      </c>
      <c r="E677" s="42" t="n">
        <v>1800</v>
      </c>
      <c r="F677" s="42" t="n">
        <v>1000</v>
      </c>
      <c r="G677" s="42" t="n">
        <v>200</v>
      </c>
      <c r="H677" s="43" t="n">
        <v>1</v>
      </c>
      <c r="I677" s="34" t="n">
        <f aca="false">E677*H677+N(F677)+N(G677)</f>
        <v>3000</v>
      </c>
      <c r="J677" s="42" t="n">
        <f aca="false">ROUND(IFERROR(ROUND(IF(OR(ISNUMBER(SEARCH("week",C677)),ISNUMBER(SEARCH("minggu",C677))),IFERROR(_xlfn.NUMBERVALUE(SUBSTITUTE(LEFT(TRIM(C677),FIND(" ",TRIM(C677)&amp;" ")-1),",","."),"."),LEFT(SUBSTITUTE(LEFT(TRIM(C677),FIND(" ",TRIM(C677)&amp;" ")-1),",","."),FIND("/",SUBSTITUTE(LEFT(TRIM(C677),FIND(" ",TRIM(C677)&amp;" ")-1),",","."))-1)/MID(SUBSTITUTE(LEFT(TRIM(C677),FIND(" ",TRIM(C677)&amp;" ")-1),",","."),FIND("/",SUBSTITUTE(LEFT(TRIM(C677),FIND(" ",TRIM(C677)&amp;" ")-1),",","."))+1,9))*12/52,IF(ISNUMBER(SEARCH("month",C677)),IFERROR(_xlfn.NUMBERVALUE(SUBSTITUTE(LEFT(TRIM(C677),FIND(" ",TRIM(C677)&amp;" ")-1),",","."),"."),LEFT(SUBSTITUTE(LEFT(TRIM(C677),FIND(" ",TRIM(C677)&amp;" ")-1),",","."),FIND("/",SUBSTITUTE(LEFT(TRIM(C677),FIND(" ",TRIM(C677)&amp;" ")-1),",","."))-1)/MID(SUBSTITUTE(LEFT(TRIM(C677),FIND(" ",TRIM(C677)&amp;" ")-1),",","."),FIND("/",SUBSTITUTE(LEFT(TRIM(C677),FIND(" ",TRIM(C677)&amp;" ")-1),",","."))+1,9)),IF(ISNUMBER(SEARCH("yea",C677)),IFERROR(_xlfn.NUMBERVALUE(SUBSTITUTE(LEFT(TRIM(C677),FIND(" ",TRIM(C677)&amp;" ")-1),",","."),"."),LEFT(SUBSTITUTE(LEFT(TRIM(C677),FIND(" ",TRIM(C677)&amp;" ")-1),",","."),FIND("/",SUBSTITUTE(LEFT(TRIM(C677),FIND(" ",TRIM(C677)&amp;" ")-1),",","."))-1)/MID(SUBSTITUTE(LEFT(TRIM(C677),FIND(" ",TRIM(C677)&amp;" ")-1),",","."),FIND("/",SUBSTITUTE(LEFT(TRIM(C677),FIND(" ",TRIM(C677)&amp;" ")-1),",","."))+1,9))*12,NA()))),0),24)*'Aturan &amp; Tarif'!$B$4,2)</f>
        <v>1362.72</v>
      </c>
      <c r="K677" s="42" t="n">
        <f aca="false">'Aturan &amp; Tarif'!$B$5</f>
        <v>2050</v>
      </c>
      <c r="L677" s="35" t="n">
        <f aca="false">I677+J677+K677</f>
        <v>6412.72</v>
      </c>
      <c r="M677" s="44" t="s">
        <v>131</v>
      </c>
    </row>
    <row r="678" customFormat="false" ht="25.5" hidden="false" customHeight="true" outlineLevel="0" collapsed="false">
      <c r="A678" s="29" t="s">
        <v>2276</v>
      </c>
      <c r="B678" s="30" t="s">
        <v>106</v>
      </c>
      <c r="C678" s="31" t="s">
        <v>107</v>
      </c>
      <c r="D678" s="31" t="s">
        <v>108</v>
      </c>
      <c r="E678" s="32" t="n">
        <v>2100</v>
      </c>
      <c r="F678" s="32" t="n">
        <v>2000</v>
      </c>
      <c r="G678" s="32" t="n">
        <v>500</v>
      </c>
      <c r="H678" s="33" t="n">
        <v>1</v>
      </c>
      <c r="I678" s="34" t="n">
        <f aca="false">E678*H678+N(F678)+N(G678)</f>
        <v>4600</v>
      </c>
      <c r="J678" s="32" t="n">
        <f aca="false">ROUND(IFERROR(ROUND(IF(OR(ISNUMBER(SEARCH("week",C678)),ISNUMBER(SEARCH("minggu",C678))),IFERROR(_xlfn.NUMBERVALUE(SUBSTITUTE(LEFT(TRIM(C678),FIND(" ",TRIM(C678)&amp;" ")-1),",","."),"."),LEFT(SUBSTITUTE(LEFT(TRIM(C678),FIND(" ",TRIM(C678)&amp;" ")-1),",","."),FIND("/",SUBSTITUTE(LEFT(TRIM(C678),FIND(" ",TRIM(C678)&amp;" ")-1),",","."))-1)/MID(SUBSTITUTE(LEFT(TRIM(C678),FIND(" ",TRIM(C678)&amp;" ")-1),",","."),FIND("/",SUBSTITUTE(LEFT(TRIM(C678),FIND(" ",TRIM(C678)&amp;" ")-1),",","."))+1,9))*12/52,IF(ISNUMBER(SEARCH("month",C678)),IFERROR(_xlfn.NUMBERVALUE(SUBSTITUTE(LEFT(TRIM(C678),FIND(" ",TRIM(C678)&amp;" ")-1),",","."),"."),LEFT(SUBSTITUTE(LEFT(TRIM(C678),FIND(" ",TRIM(C678)&amp;" ")-1),",","."),FIND("/",SUBSTITUTE(LEFT(TRIM(C678),FIND(" ",TRIM(C678)&amp;" ")-1),",","."))-1)/MID(SUBSTITUTE(LEFT(TRIM(C678),FIND(" ",TRIM(C678)&amp;" ")-1),",","."),FIND("/",SUBSTITUTE(LEFT(TRIM(C678),FIND(" ",TRIM(C678)&amp;" ")-1),",","."))+1,9)),IF(ISNUMBER(SEARCH("yea",C678)),IFERROR(_xlfn.NUMBERVALUE(SUBSTITUTE(LEFT(TRIM(C678),FIND(" ",TRIM(C678)&amp;" ")-1),",","."),"."),LEFT(SUBSTITUTE(LEFT(TRIM(C678),FIND(" ",TRIM(C678)&amp;" ")-1),",","."),FIND("/",SUBSTITUTE(LEFT(TRIM(C678),FIND(" ",TRIM(C678)&amp;" ")-1),",","."))-1)/MID(SUBSTITUTE(LEFT(TRIM(C678),FIND(" ",TRIM(C678)&amp;" ")-1),",","."),FIND("/",SUBSTITUTE(LEFT(TRIM(C678),FIND(" ",TRIM(C678)&amp;" ")-1),",","."))+1,9))*12,NA()))),0),24)*'Aturan &amp; Tarif'!$B$4,2)</f>
        <v>1362.72</v>
      </c>
      <c r="K678" s="32" t="n">
        <f aca="false">'Aturan &amp; Tarif'!$B$5</f>
        <v>2050</v>
      </c>
      <c r="L678" s="35" t="n">
        <f aca="false">I678+J678+K678</f>
        <v>8012.72</v>
      </c>
      <c r="M678" s="36" t="s">
        <v>109</v>
      </c>
    </row>
    <row r="679" customFormat="false" ht="25.5" hidden="false" customHeight="true" outlineLevel="0" collapsed="false">
      <c r="A679" s="29"/>
      <c r="B679" s="30" t="s">
        <v>110</v>
      </c>
      <c r="C679" s="31" t="s">
        <v>107</v>
      </c>
      <c r="D679" s="31" t="s">
        <v>108</v>
      </c>
      <c r="E679" s="32" t="n">
        <v>2100</v>
      </c>
      <c r="F679" s="32" t="n">
        <v>1500</v>
      </c>
      <c r="G679" s="32" t="n">
        <v>500</v>
      </c>
      <c r="H679" s="33" t="n">
        <v>1</v>
      </c>
      <c r="I679" s="34" t="n">
        <f aca="false">E679*H679+N(F679)+N(G679)</f>
        <v>4100</v>
      </c>
      <c r="J679" s="32" t="n">
        <f aca="false">ROUND(IFERROR(ROUND(IF(OR(ISNUMBER(SEARCH("week",C679)),ISNUMBER(SEARCH("minggu",C679))),IFERROR(_xlfn.NUMBERVALUE(SUBSTITUTE(LEFT(TRIM(C679),FIND(" ",TRIM(C679)&amp;" ")-1),",","."),"."),LEFT(SUBSTITUTE(LEFT(TRIM(C679),FIND(" ",TRIM(C679)&amp;" ")-1),",","."),FIND("/",SUBSTITUTE(LEFT(TRIM(C679),FIND(" ",TRIM(C679)&amp;" ")-1),",","."))-1)/MID(SUBSTITUTE(LEFT(TRIM(C679),FIND(" ",TRIM(C679)&amp;" ")-1),",","."),FIND("/",SUBSTITUTE(LEFT(TRIM(C679),FIND(" ",TRIM(C679)&amp;" ")-1),",","."))+1,9))*12/52,IF(ISNUMBER(SEARCH("month",C679)),IFERROR(_xlfn.NUMBERVALUE(SUBSTITUTE(LEFT(TRIM(C679),FIND(" ",TRIM(C679)&amp;" ")-1),",","."),"."),LEFT(SUBSTITUTE(LEFT(TRIM(C679),FIND(" ",TRIM(C679)&amp;" ")-1),",","."),FIND("/",SUBSTITUTE(LEFT(TRIM(C679),FIND(" ",TRIM(C679)&amp;" ")-1),",","."))-1)/MID(SUBSTITUTE(LEFT(TRIM(C679),FIND(" ",TRIM(C679)&amp;" ")-1),",","."),FIND("/",SUBSTITUTE(LEFT(TRIM(C679),FIND(" ",TRIM(C679)&amp;" ")-1),",","."))+1,9)),IF(ISNUMBER(SEARCH("yea",C679)),IFERROR(_xlfn.NUMBERVALUE(SUBSTITUTE(LEFT(TRIM(C679),FIND(" ",TRIM(C679)&amp;" ")-1),",","."),"."),LEFT(SUBSTITUTE(LEFT(TRIM(C679),FIND(" ",TRIM(C679)&amp;" ")-1),",","."),FIND("/",SUBSTITUTE(LEFT(TRIM(C679),FIND(" ",TRIM(C679)&amp;" ")-1),",","."))-1)/MID(SUBSTITUTE(LEFT(TRIM(C679),FIND(" ",TRIM(C679)&amp;" ")-1),",","."),FIND("/",SUBSTITUTE(LEFT(TRIM(C679),FIND(" ",TRIM(C679)&amp;" ")-1),",","."))+1,9))*12,NA()))),0),24)*'Aturan &amp; Tarif'!$B$4,2)</f>
        <v>1362.72</v>
      </c>
      <c r="K679" s="32" t="n">
        <f aca="false">'Aturan &amp; Tarif'!$B$5</f>
        <v>2050</v>
      </c>
      <c r="L679" s="35" t="n">
        <f aca="false">I679+J679+K679</f>
        <v>7512.72</v>
      </c>
      <c r="M679" s="37" t="s">
        <v>3218</v>
      </c>
    </row>
    <row r="680" customFormat="false" ht="37.5" hidden="false" customHeight="true" outlineLevel="0" collapsed="false">
      <c r="A680" s="29"/>
      <c r="B680" s="30" t="s">
        <v>141</v>
      </c>
      <c r="C680" s="31" t="s">
        <v>127</v>
      </c>
      <c r="D680" s="31" t="s">
        <v>108</v>
      </c>
      <c r="E680" s="32" t="n">
        <v>2200</v>
      </c>
      <c r="F680" s="32" t="n">
        <v>3500</v>
      </c>
      <c r="G680" s="32" t="n">
        <v>200</v>
      </c>
      <c r="H680" s="33" t="n">
        <v>1</v>
      </c>
      <c r="I680" s="34" t="n">
        <f aca="false">E680*H680+N(F680)+N(G680)</f>
        <v>5900</v>
      </c>
      <c r="J680" s="32" t="n">
        <f aca="false">ROUND(IFERROR(ROUND(IF(OR(ISNUMBER(SEARCH("week",C680)),ISNUMBER(SEARCH("minggu",C680))),IFERROR(_xlfn.NUMBERVALUE(SUBSTITUTE(LEFT(TRIM(C680),FIND(" ",TRIM(C680)&amp;" ")-1),",","."),"."),LEFT(SUBSTITUTE(LEFT(TRIM(C680),FIND(" ",TRIM(C680)&amp;" ")-1),",","."),FIND("/",SUBSTITUTE(LEFT(TRIM(C680),FIND(" ",TRIM(C680)&amp;" ")-1),",","."))-1)/MID(SUBSTITUTE(LEFT(TRIM(C680),FIND(" ",TRIM(C680)&amp;" ")-1),",","."),FIND("/",SUBSTITUTE(LEFT(TRIM(C680),FIND(" ",TRIM(C680)&amp;" ")-1),",","."))+1,9))*12/52,IF(ISNUMBER(SEARCH("month",C680)),IFERROR(_xlfn.NUMBERVALUE(SUBSTITUTE(LEFT(TRIM(C680),FIND(" ",TRIM(C680)&amp;" ")-1),",","."),"."),LEFT(SUBSTITUTE(LEFT(TRIM(C680),FIND(" ",TRIM(C680)&amp;" ")-1),",","."),FIND("/",SUBSTITUTE(LEFT(TRIM(C680),FIND(" ",TRIM(C680)&amp;" ")-1),",","."))-1)/MID(SUBSTITUTE(LEFT(TRIM(C680),FIND(" ",TRIM(C680)&amp;" ")-1),",","."),FIND("/",SUBSTITUTE(LEFT(TRIM(C680),FIND(" ",TRIM(C680)&amp;" ")-1),",","."))+1,9)),IF(ISNUMBER(SEARCH("yea",C680)),IFERROR(_xlfn.NUMBERVALUE(SUBSTITUTE(LEFT(TRIM(C680),FIND(" ",TRIM(C680)&amp;" ")-1),",","."),"."),LEFT(SUBSTITUTE(LEFT(TRIM(C680),FIND(" ",TRIM(C680)&amp;" ")-1),",","."),FIND("/",SUBSTITUTE(LEFT(TRIM(C680),FIND(" ",TRIM(C680)&amp;" ")-1),",","."))-1)/MID(SUBSTITUTE(LEFT(TRIM(C680),FIND(" ",TRIM(C680)&amp;" ")-1),",","."),FIND("/",SUBSTITUTE(LEFT(TRIM(C680),FIND(" ",TRIM(C680)&amp;" ")-1),",","."))+1,9))*12,NA()))),0),36)*'Aturan &amp; Tarif'!$B$4,2)</f>
        <v>2044.08</v>
      </c>
      <c r="K680" s="32" t="n">
        <f aca="false">'Aturan &amp; Tarif'!$B$5</f>
        <v>2050</v>
      </c>
      <c r="L680" s="35" t="n">
        <f aca="false">I680+J680+K680</f>
        <v>9994.08</v>
      </c>
      <c r="M680" s="37" t="s">
        <v>3219</v>
      </c>
    </row>
    <row r="681" customFormat="false" ht="14.25" hidden="false" customHeight="true" outlineLevel="0" collapsed="false">
      <c r="A681" s="29"/>
      <c r="B681" s="30" t="s">
        <v>2279</v>
      </c>
      <c r="C681" s="31" t="s">
        <v>127</v>
      </c>
      <c r="D681" s="31" t="s">
        <v>108</v>
      </c>
      <c r="E681" s="32" t="n">
        <v>2200</v>
      </c>
      <c r="F681" s="32" t="n">
        <v>3000</v>
      </c>
      <c r="G681" s="32" t="n">
        <v>500</v>
      </c>
      <c r="H681" s="33" t="n">
        <v>1</v>
      </c>
      <c r="I681" s="34" t="n">
        <f aca="false">E681*H681+N(F681)+N(G681)</f>
        <v>5700</v>
      </c>
      <c r="J681" s="32" t="n">
        <f aca="false">ROUND(IFERROR(ROUND(IF(OR(ISNUMBER(SEARCH("week",C681)),ISNUMBER(SEARCH("minggu",C681))),IFERROR(_xlfn.NUMBERVALUE(SUBSTITUTE(LEFT(TRIM(C681),FIND(" ",TRIM(C681)&amp;" ")-1),",","."),"."),LEFT(SUBSTITUTE(LEFT(TRIM(C681),FIND(" ",TRIM(C681)&amp;" ")-1),",","."),FIND("/",SUBSTITUTE(LEFT(TRIM(C681),FIND(" ",TRIM(C681)&amp;" ")-1),",","."))-1)/MID(SUBSTITUTE(LEFT(TRIM(C681),FIND(" ",TRIM(C681)&amp;" ")-1),",","."),FIND("/",SUBSTITUTE(LEFT(TRIM(C681),FIND(" ",TRIM(C681)&amp;" ")-1),",","."))+1,9))*12/52,IF(ISNUMBER(SEARCH("month",C681)),IFERROR(_xlfn.NUMBERVALUE(SUBSTITUTE(LEFT(TRIM(C681),FIND(" ",TRIM(C681)&amp;" ")-1),",","."),"."),LEFT(SUBSTITUTE(LEFT(TRIM(C681),FIND(" ",TRIM(C681)&amp;" ")-1),",","."),FIND("/",SUBSTITUTE(LEFT(TRIM(C681),FIND(" ",TRIM(C681)&amp;" ")-1),",","."))-1)/MID(SUBSTITUTE(LEFT(TRIM(C681),FIND(" ",TRIM(C681)&amp;" ")-1),",","."),FIND("/",SUBSTITUTE(LEFT(TRIM(C681),FIND(" ",TRIM(C681)&amp;" ")-1),",","."))+1,9)),IF(ISNUMBER(SEARCH("yea",C681)),IFERROR(_xlfn.NUMBERVALUE(SUBSTITUTE(LEFT(TRIM(C681),FIND(" ",TRIM(C681)&amp;" ")-1),",","."),"."),LEFT(SUBSTITUTE(LEFT(TRIM(C681),FIND(" ",TRIM(C681)&amp;" ")-1),",","."),FIND("/",SUBSTITUTE(LEFT(TRIM(C681),FIND(" ",TRIM(C681)&amp;" ")-1),",","."))-1)/MID(SUBSTITUTE(LEFT(TRIM(C681),FIND(" ",TRIM(C681)&amp;" ")-1),",","."),FIND("/",SUBSTITUTE(LEFT(TRIM(C681),FIND(" ",TRIM(C681)&amp;" ")-1),",","."))+1,9))*12,NA()))),0),36)*'Aturan &amp; Tarif'!$B$4,2)</f>
        <v>2044.08</v>
      </c>
      <c r="K681" s="32" t="n">
        <f aca="false">'Aturan &amp; Tarif'!$B$5</f>
        <v>2050</v>
      </c>
      <c r="L681" s="35" t="n">
        <f aca="false">I681+J681+K681</f>
        <v>9794.08</v>
      </c>
      <c r="M681" s="37" t="s">
        <v>3218</v>
      </c>
    </row>
    <row r="682" customFormat="false" ht="37.5" hidden="false" customHeight="true" outlineLevel="0" collapsed="false">
      <c r="A682" s="29"/>
      <c r="B682" s="30" t="s">
        <v>2280</v>
      </c>
      <c r="C682" s="31" t="s">
        <v>127</v>
      </c>
      <c r="D682" s="31" t="s">
        <v>108</v>
      </c>
      <c r="E682" s="32" t="n">
        <v>2200</v>
      </c>
      <c r="F682" s="32" t="n">
        <v>3000</v>
      </c>
      <c r="G682" s="32" t="n">
        <v>500</v>
      </c>
      <c r="H682" s="33" t="n">
        <v>1</v>
      </c>
      <c r="I682" s="34" t="n">
        <f aca="false">E682*H682+N(F682)+N(G682)</f>
        <v>5700</v>
      </c>
      <c r="J682" s="32" t="n">
        <f aca="false">ROUND(IFERROR(ROUND(IF(OR(ISNUMBER(SEARCH("week",C682)),ISNUMBER(SEARCH("minggu",C682))),IFERROR(_xlfn.NUMBERVALUE(SUBSTITUTE(LEFT(TRIM(C682),FIND(" ",TRIM(C682)&amp;" ")-1),",","."),"."),LEFT(SUBSTITUTE(LEFT(TRIM(C682),FIND(" ",TRIM(C682)&amp;" ")-1),",","."),FIND("/",SUBSTITUTE(LEFT(TRIM(C682),FIND(" ",TRIM(C682)&amp;" ")-1),",","."))-1)/MID(SUBSTITUTE(LEFT(TRIM(C682),FIND(" ",TRIM(C682)&amp;" ")-1),",","."),FIND("/",SUBSTITUTE(LEFT(TRIM(C682),FIND(" ",TRIM(C682)&amp;" ")-1),",","."))+1,9))*12/52,IF(ISNUMBER(SEARCH("month",C682)),IFERROR(_xlfn.NUMBERVALUE(SUBSTITUTE(LEFT(TRIM(C682),FIND(" ",TRIM(C682)&amp;" ")-1),",","."),"."),LEFT(SUBSTITUTE(LEFT(TRIM(C682),FIND(" ",TRIM(C682)&amp;" ")-1),",","."),FIND("/",SUBSTITUTE(LEFT(TRIM(C682),FIND(" ",TRIM(C682)&amp;" ")-1),",","."))-1)/MID(SUBSTITUTE(LEFT(TRIM(C682),FIND(" ",TRIM(C682)&amp;" ")-1),",","."),FIND("/",SUBSTITUTE(LEFT(TRIM(C682),FIND(" ",TRIM(C682)&amp;" ")-1),",","."))+1,9)),IF(ISNUMBER(SEARCH("yea",C682)),IFERROR(_xlfn.NUMBERVALUE(SUBSTITUTE(LEFT(TRIM(C682),FIND(" ",TRIM(C682)&amp;" ")-1),",","."),"."),LEFT(SUBSTITUTE(LEFT(TRIM(C682),FIND(" ",TRIM(C682)&amp;" ")-1),",","."),FIND("/",SUBSTITUTE(LEFT(TRIM(C682),FIND(" ",TRIM(C682)&amp;" ")-1),",","."))-1)/MID(SUBSTITUTE(LEFT(TRIM(C682),FIND(" ",TRIM(C682)&amp;" ")-1),",","."),FIND("/",SUBSTITUTE(LEFT(TRIM(C682),FIND(" ",TRIM(C682)&amp;" ")-1),",","."))+1,9))*12,NA()))),0),36)*'Aturan &amp; Tarif'!$B$4,2)</f>
        <v>2044.08</v>
      </c>
      <c r="K682" s="32" t="n">
        <f aca="false">'Aturan &amp; Tarif'!$B$5</f>
        <v>2050</v>
      </c>
      <c r="L682" s="35" t="n">
        <f aca="false">I682+J682+K682</f>
        <v>9794.08</v>
      </c>
      <c r="M682" s="37" t="s">
        <v>3218</v>
      </c>
    </row>
    <row r="683" customFormat="false" ht="37.5" hidden="false" customHeight="true" outlineLevel="0" collapsed="false">
      <c r="A683" s="29"/>
      <c r="B683" s="30" t="s">
        <v>2281</v>
      </c>
      <c r="C683" s="31" t="s">
        <v>136</v>
      </c>
      <c r="D683" s="31" t="s">
        <v>108</v>
      </c>
      <c r="E683" s="32" t="n">
        <v>2250</v>
      </c>
      <c r="F683" s="32" t="n">
        <v>3000</v>
      </c>
      <c r="G683" s="32" t="n">
        <v>500</v>
      </c>
      <c r="H683" s="33" t="n">
        <v>1</v>
      </c>
      <c r="I683" s="34" t="n">
        <f aca="false">E683*H683+N(F683)+N(G683)</f>
        <v>5750</v>
      </c>
      <c r="J683" s="32" t="n">
        <f aca="false">ROUND(IFERROR(ROUND(IF(OR(ISNUMBER(SEARCH("week",C683)),ISNUMBER(SEARCH("minggu",C683))),IFERROR(_xlfn.NUMBERVALUE(SUBSTITUTE(LEFT(TRIM(C683),FIND(" ",TRIM(C683)&amp;" ")-1),",","."),"."),LEFT(SUBSTITUTE(LEFT(TRIM(C683),FIND(" ",TRIM(C683)&amp;" ")-1),",","."),FIND("/",SUBSTITUTE(LEFT(TRIM(C683),FIND(" ",TRIM(C683)&amp;" ")-1),",","."))-1)/MID(SUBSTITUTE(LEFT(TRIM(C683),FIND(" ",TRIM(C683)&amp;" ")-1),",","."),FIND("/",SUBSTITUTE(LEFT(TRIM(C683),FIND(" ",TRIM(C683)&amp;" ")-1),",","."))+1,9))*12/52,IF(ISNUMBER(SEARCH("month",C683)),IFERROR(_xlfn.NUMBERVALUE(SUBSTITUTE(LEFT(TRIM(C683),FIND(" ",TRIM(C683)&amp;" ")-1),",","."),"."),LEFT(SUBSTITUTE(LEFT(TRIM(C683),FIND(" ",TRIM(C683)&amp;" ")-1),",","."),FIND("/",SUBSTITUTE(LEFT(TRIM(C683),FIND(" ",TRIM(C683)&amp;" ")-1),",","."))-1)/MID(SUBSTITUTE(LEFT(TRIM(C683),FIND(" ",TRIM(C683)&amp;" ")-1),",","."),FIND("/",SUBSTITUTE(LEFT(TRIM(C683),FIND(" ",TRIM(C683)&amp;" ")-1),",","."))+1,9)),IF(ISNUMBER(SEARCH("yea",C683)),IFERROR(_xlfn.NUMBERVALUE(SUBSTITUTE(LEFT(TRIM(C683),FIND(" ",TRIM(C683)&amp;" ")-1),",","."),"."),LEFT(SUBSTITUTE(LEFT(TRIM(C683),FIND(" ",TRIM(C683)&amp;" ")-1),",","."),FIND("/",SUBSTITUTE(LEFT(TRIM(C683),FIND(" ",TRIM(C683)&amp;" ")-1),",","."))-1)/MID(SUBSTITUTE(LEFT(TRIM(C683),FIND(" ",TRIM(C683)&amp;" ")-1),",","."),FIND("/",SUBSTITUTE(LEFT(TRIM(C683),FIND(" ",TRIM(C683)&amp;" ")-1),",","."))+1,9))*12,NA()))),0),42)*'Aturan &amp; Tarif'!$B$4,2)</f>
        <v>2384.76</v>
      </c>
      <c r="K683" s="32" t="n">
        <f aca="false">'Aturan &amp; Tarif'!$B$5</f>
        <v>2050</v>
      </c>
      <c r="L683" s="35" t="n">
        <f aca="false">I683+J683+K683</f>
        <v>10184.76</v>
      </c>
      <c r="M683" s="37" t="s">
        <v>3218</v>
      </c>
    </row>
    <row r="684" customFormat="false" ht="25.5" hidden="false" customHeight="true" outlineLevel="0" collapsed="false">
      <c r="A684" s="29"/>
      <c r="B684" s="30" t="s">
        <v>2282</v>
      </c>
      <c r="C684" s="31" t="s">
        <v>191</v>
      </c>
      <c r="D684" s="31" t="s">
        <v>108</v>
      </c>
      <c r="E684" s="32" t="n">
        <v>2100</v>
      </c>
      <c r="F684" s="32" t="n">
        <v>3000</v>
      </c>
      <c r="G684" s="32" t="n">
        <v>500</v>
      </c>
      <c r="H684" s="33" t="n">
        <v>1</v>
      </c>
      <c r="I684" s="34" t="n">
        <f aca="false">E684*H684+N(F684)+N(G684)</f>
        <v>5600</v>
      </c>
      <c r="J684" s="32" t="n">
        <f aca="false">ROUND(IFERROR(ROUND(IF(OR(ISNUMBER(SEARCH("week",C684)),ISNUMBER(SEARCH("minggu",C684))),IFERROR(_xlfn.NUMBERVALUE(SUBSTITUTE(LEFT(TRIM(C684),FIND(" ",TRIM(C684)&amp;" ")-1),",","."),"."),LEFT(SUBSTITUTE(LEFT(TRIM(C684),FIND(" ",TRIM(C684)&amp;" ")-1),",","."),FIND("/",SUBSTITUTE(LEFT(TRIM(C684),FIND(" ",TRIM(C684)&amp;" ")-1),",","."))-1)/MID(SUBSTITUTE(LEFT(TRIM(C684),FIND(" ",TRIM(C684)&amp;" ")-1),",","."),FIND("/",SUBSTITUTE(LEFT(TRIM(C684),FIND(" ",TRIM(C684)&amp;" ")-1),",","."))+1,9))*12/52,IF(ISNUMBER(SEARCH("month",C684)),IFERROR(_xlfn.NUMBERVALUE(SUBSTITUTE(LEFT(TRIM(C684),FIND(" ",TRIM(C684)&amp;" ")-1),",","."),"."),LEFT(SUBSTITUTE(LEFT(TRIM(C684),FIND(" ",TRIM(C684)&amp;" ")-1),",","."),FIND("/",SUBSTITUTE(LEFT(TRIM(C684),FIND(" ",TRIM(C684)&amp;" ")-1),",","."))-1)/MID(SUBSTITUTE(LEFT(TRIM(C684),FIND(" ",TRIM(C684)&amp;" ")-1),",","."),FIND("/",SUBSTITUTE(LEFT(TRIM(C684),FIND(" ",TRIM(C684)&amp;" ")-1),",","."))+1,9)),IF(ISNUMBER(SEARCH("yea",C684)),IFERROR(_xlfn.NUMBERVALUE(SUBSTITUTE(LEFT(TRIM(C684),FIND(" ",TRIM(C684)&amp;" ")-1),",","."),"."),LEFT(SUBSTITUTE(LEFT(TRIM(C684),FIND(" ",TRIM(C684)&amp;" ")-1),",","."),FIND("/",SUBSTITUTE(LEFT(TRIM(C684),FIND(" ",TRIM(C684)&amp;" ")-1),",","."))-1)/MID(SUBSTITUTE(LEFT(TRIM(C684),FIND(" ",TRIM(C684)&amp;" ")-1),",","."),FIND("/",SUBSTITUTE(LEFT(TRIM(C684),FIND(" ",TRIM(C684)&amp;" ")-1),",","."))+1,9))*12,NA()))),0),48)*'Aturan &amp; Tarif'!$B$4,2)</f>
        <v>2725.44</v>
      </c>
      <c r="K684" s="32" t="n">
        <f aca="false">'Aturan &amp; Tarif'!$B$5</f>
        <v>2050</v>
      </c>
      <c r="L684" s="35" t="n">
        <f aca="false">I684+J684+K684</f>
        <v>10375.44</v>
      </c>
      <c r="M684" s="37" t="s">
        <v>3219</v>
      </c>
    </row>
    <row r="685" customFormat="false" ht="48.75" hidden="false" customHeight="true" outlineLevel="0" collapsed="false">
      <c r="A685" s="29"/>
      <c r="B685" s="30" t="s">
        <v>2283</v>
      </c>
      <c r="C685" s="31" t="s">
        <v>136</v>
      </c>
      <c r="D685" s="31" t="s">
        <v>108</v>
      </c>
      <c r="E685" s="32" t="n">
        <v>2200</v>
      </c>
      <c r="F685" s="32" t="n">
        <v>3000</v>
      </c>
      <c r="G685" s="32" t="n">
        <v>500</v>
      </c>
      <c r="H685" s="33" t="n">
        <v>1</v>
      </c>
      <c r="I685" s="34" t="n">
        <f aca="false">E685*H685+N(F685)+N(G685)</f>
        <v>5700</v>
      </c>
      <c r="J685" s="32" t="n">
        <f aca="false">ROUND(IFERROR(ROUND(IF(OR(ISNUMBER(SEARCH("week",C685)),ISNUMBER(SEARCH("minggu",C685))),IFERROR(_xlfn.NUMBERVALUE(SUBSTITUTE(LEFT(TRIM(C685),FIND(" ",TRIM(C685)&amp;" ")-1),",","."),"."),LEFT(SUBSTITUTE(LEFT(TRIM(C685),FIND(" ",TRIM(C685)&amp;" ")-1),",","."),FIND("/",SUBSTITUTE(LEFT(TRIM(C685),FIND(" ",TRIM(C685)&amp;" ")-1),",","."))-1)/MID(SUBSTITUTE(LEFT(TRIM(C685),FIND(" ",TRIM(C685)&amp;" ")-1),",","."),FIND("/",SUBSTITUTE(LEFT(TRIM(C685),FIND(" ",TRIM(C685)&amp;" ")-1),",","."))+1,9))*12/52,IF(ISNUMBER(SEARCH("month",C685)),IFERROR(_xlfn.NUMBERVALUE(SUBSTITUTE(LEFT(TRIM(C685),FIND(" ",TRIM(C685)&amp;" ")-1),",","."),"."),LEFT(SUBSTITUTE(LEFT(TRIM(C685),FIND(" ",TRIM(C685)&amp;" ")-1),",","."),FIND("/",SUBSTITUTE(LEFT(TRIM(C685),FIND(" ",TRIM(C685)&amp;" ")-1),",","."))-1)/MID(SUBSTITUTE(LEFT(TRIM(C685),FIND(" ",TRIM(C685)&amp;" ")-1),",","."),FIND("/",SUBSTITUTE(LEFT(TRIM(C685),FIND(" ",TRIM(C685)&amp;" ")-1),",","."))+1,9)),IF(ISNUMBER(SEARCH("yea",C685)),IFERROR(_xlfn.NUMBERVALUE(SUBSTITUTE(LEFT(TRIM(C685),FIND(" ",TRIM(C685)&amp;" ")-1),",","."),"."),LEFT(SUBSTITUTE(LEFT(TRIM(C685),FIND(" ",TRIM(C685)&amp;" ")-1),",","."),FIND("/",SUBSTITUTE(LEFT(TRIM(C685),FIND(" ",TRIM(C685)&amp;" ")-1),",","."))-1)/MID(SUBSTITUTE(LEFT(TRIM(C685),FIND(" ",TRIM(C685)&amp;" ")-1),",","."),FIND("/",SUBSTITUTE(LEFT(TRIM(C685),FIND(" ",TRIM(C685)&amp;" ")-1),",","."))+1,9))*12,NA()))),0),42)*'Aturan &amp; Tarif'!$B$4,2)</f>
        <v>2384.76</v>
      </c>
      <c r="K685" s="32" t="n">
        <f aca="false">'Aturan &amp; Tarif'!$B$5</f>
        <v>2050</v>
      </c>
      <c r="L685" s="35" t="n">
        <f aca="false">I685+J685+K685</f>
        <v>10134.76</v>
      </c>
      <c r="M685" s="37" t="s">
        <v>3218</v>
      </c>
    </row>
    <row r="686" customFormat="false" ht="48.75" hidden="false" customHeight="true" outlineLevel="0" collapsed="false">
      <c r="A686" s="29"/>
      <c r="B686" s="30" t="s">
        <v>2284</v>
      </c>
      <c r="C686" s="31" t="s">
        <v>127</v>
      </c>
      <c r="D686" s="31" t="s">
        <v>108</v>
      </c>
      <c r="E686" s="32" t="n">
        <v>2100</v>
      </c>
      <c r="F686" s="32" t="n">
        <v>3000</v>
      </c>
      <c r="G686" s="32" t="n">
        <v>500</v>
      </c>
      <c r="H686" s="33" t="n">
        <v>1</v>
      </c>
      <c r="I686" s="34" t="n">
        <f aca="false">E686*H686+N(F686)+N(G686)</f>
        <v>5600</v>
      </c>
      <c r="J686" s="32" t="n">
        <f aca="false">ROUND(IFERROR(ROUND(IF(OR(ISNUMBER(SEARCH("week",C686)),ISNUMBER(SEARCH("minggu",C686))),IFERROR(_xlfn.NUMBERVALUE(SUBSTITUTE(LEFT(TRIM(C686),FIND(" ",TRIM(C686)&amp;" ")-1),",","."),"."),LEFT(SUBSTITUTE(LEFT(TRIM(C686),FIND(" ",TRIM(C686)&amp;" ")-1),",","."),FIND("/",SUBSTITUTE(LEFT(TRIM(C686),FIND(" ",TRIM(C686)&amp;" ")-1),",","."))-1)/MID(SUBSTITUTE(LEFT(TRIM(C686),FIND(" ",TRIM(C686)&amp;" ")-1),",","."),FIND("/",SUBSTITUTE(LEFT(TRIM(C686),FIND(" ",TRIM(C686)&amp;" ")-1),",","."))+1,9))*12/52,IF(ISNUMBER(SEARCH("month",C686)),IFERROR(_xlfn.NUMBERVALUE(SUBSTITUTE(LEFT(TRIM(C686),FIND(" ",TRIM(C686)&amp;" ")-1),",","."),"."),LEFT(SUBSTITUTE(LEFT(TRIM(C686),FIND(" ",TRIM(C686)&amp;" ")-1),",","."),FIND("/",SUBSTITUTE(LEFT(TRIM(C686),FIND(" ",TRIM(C686)&amp;" ")-1),",","."))-1)/MID(SUBSTITUTE(LEFT(TRIM(C686),FIND(" ",TRIM(C686)&amp;" ")-1),",","."),FIND("/",SUBSTITUTE(LEFT(TRIM(C686),FIND(" ",TRIM(C686)&amp;" ")-1),",","."))+1,9)),IF(ISNUMBER(SEARCH("yea",C686)),IFERROR(_xlfn.NUMBERVALUE(SUBSTITUTE(LEFT(TRIM(C686),FIND(" ",TRIM(C686)&amp;" ")-1),",","."),"."),LEFT(SUBSTITUTE(LEFT(TRIM(C686),FIND(" ",TRIM(C686)&amp;" ")-1),",","."),FIND("/",SUBSTITUTE(LEFT(TRIM(C686),FIND(" ",TRIM(C686)&amp;" ")-1),",","."))-1)/MID(SUBSTITUTE(LEFT(TRIM(C686),FIND(" ",TRIM(C686)&amp;" ")-1),",","."),FIND("/",SUBSTITUTE(LEFT(TRIM(C686),FIND(" ",TRIM(C686)&amp;" ")-1),",","."))+1,9))*12,NA()))),0),36)*'Aturan &amp; Tarif'!$B$4,2)</f>
        <v>2044.08</v>
      </c>
      <c r="K686" s="32" t="n">
        <f aca="false">'Aturan &amp; Tarif'!$B$5</f>
        <v>2050</v>
      </c>
      <c r="L686" s="35" t="n">
        <f aca="false">I686+J686+K686</f>
        <v>9694.08</v>
      </c>
      <c r="M686" s="37" t="s">
        <v>3218</v>
      </c>
    </row>
    <row r="687" customFormat="false" ht="14.25" hidden="false" customHeight="true" outlineLevel="0" collapsed="false">
      <c r="A687" s="29"/>
      <c r="B687" s="30" t="s">
        <v>2285</v>
      </c>
      <c r="C687" s="31" t="s">
        <v>191</v>
      </c>
      <c r="D687" s="31" t="s">
        <v>108</v>
      </c>
      <c r="E687" s="32" t="n">
        <v>1900</v>
      </c>
      <c r="F687" s="32" t="n">
        <v>3500</v>
      </c>
      <c r="G687" s="32" t="n">
        <v>500</v>
      </c>
      <c r="H687" s="33" t="n">
        <v>1</v>
      </c>
      <c r="I687" s="34" t="n">
        <f aca="false">E687*H687+N(F687)+N(G687)</f>
        <v>5900</v>
      </c>
      <c r="J687" s="32" t="n">
        <f aca="false">ROUND(IFERROR(ROUND(IF(OR(ISNUMBER(SEARCH("week",C687)),ISNUMBER(SEARCH("minggu",C687))),IFERROR(_xlfn.NUMBERVALUE(SUBSTITUTE(LEFT(TRIM(C687),FIND(" ",TRIM(C687)&amp;" ")-1),",","."),"."),LEFT(SUBSTITUTE(LEFT(TRIM(C687),FIND(" ",TRIM(C687)&amp;" ")-1),",","."),FIND("/",SUBSTITUTE(LEFT(TRIM(C687),FIND(" ",TRIM(C687)&amp;" ")-1),",","."))-1)/MID(SUBSTITUTE(LEFT(TRIM(C687),FIND(" ",TRIM(C687)&amp;" ")-1),",","."),FIND("/",SUBSTITUTE(LEFT(TRIM(C687),FIND(" ",TRIM(C687)&amp;" ")-1),",","."))+1,9))*12/52,IF(ISNUMBER(SEARCH("month",C687)),IFERROR(_xlfn.NUMBERVALUE(SUBSTITUTE(LEFT(TRIM(C687),FIND(" ",TRIM(C687)&amp;" ")-1),",","."),"."),LEFT(SUBSTITUTE(LEFT(TRIM(C687),FIND(" ",TRIM(C687)&amp;" ")-1),",","."),FIND("/",SUBSTITUTE(LEFT(TRIM(C687),FIND(" ",TRIM(C687)&amp;" ")-1),",","."))-1)/MID(SUBSTITUTE(LEFT(TRIM(C687),FIND(" ",TRIM(C687)&amp;" ")-1),",","."),FIND("/",SUBSTITUTE(LEFT(TRIM(C687),FIND(" ",TRIM(C687)&amp;" ")-1),",","."))+1,9)),IF(ISNUMBER(SEARCH("yea",C687)),IFERROR(_xlfn.NUMBERVALUE(SUBSTITUTE(LEFT(TRIM(C687),FIND(" ",TRIM(C687)&amp;" ")-1),",","."),"."),LEFT(SUBSTITUTE(LEFT(TRIM(C687),FIND(" ",TRIM(C687)&amp;" ")-1),",","."),FIND("/",SUBSTITUTE(LEFT(TRIM(C687),FIND(" ",TRIM(C687)&amp;" ")-1),",","."))-1)/MID(SUBSTITUTE(LEFT(TRIM(C687),FIND(" ",TRIM(C687)&amp;" ")-1),",","."),FIND("/",SUBSTITUTE(LEFT(TRIM(C687),FIND(" ",TRIM(C687)&amp;" ")-1),",","."))+1,9))*12,NA()))),0),48)*'Aturan &amp; Tarif'!$B$4,2)</f>
        <v>2725.44</v>
      </c>
      <c r="K687" s="32" t="n">
        <f aca="false">'Aturan &amp; Tarif'!$B$5</f>
        <v>2050</v>
      </c>
      <c r="L687" s="35" t="n">
        <f aca="false">I687+J687+K687</f>
        <v>10675.44</v>
      </c>
      <c r="M687" s="37" t="s">
        <v>3218</v>
      </c>
    </row>
    <row r="688" customFormat="false" ht="37.5" hidden="false" customHeight="true" outlineLevel="0" collapsed="false">
      <c r="A688" s="29" t="s">
        <v>2286</v>
      </c>
      <c r="B688" s="30" t="s">
        <v>2287</v>
      </c>
      <c r="C688" s="31" t="s">
        <v>191</v>
      </c>
      <c r="D688" s="31" t="s">
        <v>108</v>
      </c>
      <c r="E688" s="32" t="n">
        <v>2875</v>
      </c>
      <c r="F688" s="32" t="n">
        <v>500</v>
      </c>
      <c r="G688" s="32" t="n">
        <v>250</v>
      </c>
      <c r="H688" s="33" t="n">
        <v>1</v>
      </c>
      <c r="I688" s="34" t="n">
        <f aca="false">E688*H688+N(F688)+N(G688)</f>
        <v>3625</v>
      </c>
      <c r="J688" s="32" t="n">
        <f aca="false">ROUND(IFERROR(ROUND(IF(OR(ISNUMBER(SEARCH("week",C688)),ISNUMBER(SEARCH("minggu",C688))),IFERROR(_xlfn.NUMBERVALUE(SUBSTITUTE(LEFT(TRIM(C688),FIND(" ",TRIM(C688)&amp;" ")-1),",","."),"."),LEFT(SUBSTITUTE(LEFT(TRIM(C688),FIND(" ",TRIM(C688)&amp;" ")-1),",","."),FIND("/",SUBSTITUTE(LEFT(TRIM(C688),FIND(" ",TRIM(C688)&amp;" ")-1),",","."))-1)/MID(SUBSTITUTE(LEFT(TRIM(C688),FIND(" ",TRIM(C688)&amp;" ")-1),",","."),FIND("/",SUBSTITUTE(LEFT(TRIM(C688),FIND(" ",TRIM(C688)&amp;" ")-1),",","."))+1,9))*12/52,IF(ISNUMBER(SEARCH("month",C688)),IFERROR(_xlfn.NUMBERVALUE(SUBSTITUTE(LEFT(TRIM(C688),FIND(" ",TRIM(C688)&amp;" ")-1),",","."),"."),LEFT(SUBSTITUTE(LEFT(TRIM(C688),FIND(" ",TRIM(C688)&amp;" ")-1),",","."),FIND("/",SUBSTITUTE(LEFT(TRIM(C688),FIND(" ",TRIM(C688)&amp;" ")-1),",","."))-1)/MID(SUBSTITUTE(LEFT(TRIM(C688),FIND(" ",TRIM(C688)&amp;" ")-1),",","."),FIND("/",SUBSTITUTE(LEFT(TRIM(C688),FIND(" ",TRIM(C688)&amp;" ")-1),",","."))+1,9)),IF(ISNUMBER(SEARCH("yea",C688)),IFERROR(_xlfn.NUMBERVALUE(SUBSTITUTE(LEFT(TRIM(C688),FIND(" ",TRIM(C688)&amp;" ")-1),",","."),"."),LEFT(SUBSTITUTE(LEFT(TRIM(C688),FIND(" ",TRIM(C688)&amp;" ")-1),",","."),FIND("/",SUBSTITUTE(LEFT(TRIM(C688),FIND(" ",TRIM(C688)&amp;" ")-1),",","."))-1)/MID(SUBSTITUTE(LEFT(TRIM(C688),FIND(" ",TRIM(C688)&amp;" ")-1),",","."),FIND("/",SUBSTITUTE(LEFT(TRIM(C688),FIND(" ",TRIM(C688)&amp;" ")-1),",","."))+1,9))*12,NA()))),0),48)*'Aturan &amp; Tarif'!$B$4,2)</f>
        <v>2725.44</v>
      </c>
      <c r="K688" s="32" t="n">
        <f aca="false">'Aturan &amp; Tarif'!$B$5</f>
        <v>2050</v>
      </c>
      <c r="L688" s="35" t="n">
        <f aca="false">I688+J688+K688</f>
        <v>8400.44</v>
      </c>
      <c r="M688" s="36" t="s">
        <v>131</v>
      </c>
    </row>
    <row r="689" customFormat="false" ht="37.5" hidden="false" customHeight="true" outlineLevel="0" collapsed="false">
      <c r="A689" s="29"/>
      <c r="B689" s="30" t="s">
        <v>2288</v>
      </c>
      <c r="C689" s="31" t="s">
        <v>136</v>
      </c>
      <c r="D689" s="31" t="s">
        <v>108</v>
      </c>
      <c r="E689" s="32" t="n">
        <v>2493.75</v>
      </c>
      <c r="F689" s="32" t="n">
        <v>500</v>
      </c>
      <c r="G689" s="32" t="n">
        <v>250</v>
      </c>
      <c r="H689" s="33" t="n">
        <v>1</v>
      </c>
      <c r="I689" s="34" t="n">
        <f aca="false">E689*H689+N(F689)+N(G689)</f>
        <v>3243.75</v>
      </c>
      <c r="J689" s="32" t="n">
        <f aca="false">ROUND(IFERROR(ROUND(IF(OR(ISNUMBER(SEARCH("week",C689)),ISNUMBER(SEARCH("minggu",C689))),IFERROR(_xlfn.NUMBERVALUE(SUBSTITUTE(LEFT(TRIM(C689),FIND(" ",TRIM(C689)&amp;" ")-1),",","."),"."),LEFT(SUBSTITUTE(LEFT(TRIM(C689),FIND(" ",TRIM(C689)&amp;" ")-1),",","."),FIND("/",SUBSTITUTE(LEFT(TRIM(C689),FIND(" ",TRIM(C689)&amp;" ")-1),",","."))-1)/MID(SUBSTITUTE(LEFT(TRIM(C689),FIND(" ",TRIM(C689)&amp;" ")-1),",","."),FIND("/",SUBSTITUTE(LEFT(TRIM(C689),FIND(" ",TRIM(C689)&amp;" ")-1),",","."))+1,9))*12/52,IF(ISNUMBER(SEARCH("month",C689)),IFERROR(_xlfn.NUMBERVALUE(SUBSTITUTE(LEFT(TRIM(C689),FIND(" ",TRIM(C689)&amp;" ")-1),",","."),"."),LEFT(SUBSTITUTE(LEFT(TRIM(C689),FIND(" ",TRIM(C689)&amp;" ")-1),",","."),FIND("/",SUBSTITUTE(LEFT(TRIM(C689),FIND(" ",TRIM(C689)&amp;" ")-1),",","."))-1)/MID(SUBSTITUTE(LEFT(TRIM(C689),FIND(" ",TRIM(C689)&amp;" ")-1),",","."),FIND("/",SUBSTITUTE(LEFT(TRIM(C689),FIND(" ",TRIM(C689)&amp;" ")-1),",","."))+1,9)),IF(ISNUMBER(SEARCH("yea",C689)),IFERROR(_xlfn.NUMBERVALUE(SUBSTITUTE(LEFT(TRIM(C689),FIND(" ",TRIM(C689)&amp;" ")-1),",","."),"."),LEFT(SUBSTITUTE(LEFT(TRIM(C689),FIND(" ",TRIM(C689)&amp;" ")-1),",","."),FIND("/",SUBSTITUTE(LEFT(TRIM(C689),FIND(" ",TRIM(C689)&amp;" ")-1),",","."))-1)/MID(SUBSTITUTE(LEFT(TRIM(C689),FIND(" ",TRIM(C689)&amp;" ")-1),",","."),FIND("/",SUBSTITUTE(LEFT(TRIM(C689),FIND(" ",TRIM(C689)&amp;" ")-1),",","."))+1,9))*12,NA()))),0),42)*'Aturan &amp; Tarif'!$B$4,2)</f>
        <v>2384.76</v>
      </c>
      <c r="K689" s="32" t="n">
        <f aca="false">'Aturan &amp; Tarif'!$B$5</f>
        <v>2050</v>
      </c>
      <c r="L689" s="35" t="n">
        <f aca="false">I689+J689+K689</f>
        <v>7678.51</v>
      </c>
      <c r="M689" s="36" t="s">
        <v>131</v>
      </c>
    </row>
    <row r="690" customFormat="false" ht="37.5" hidden="false" customHeight="true" outlineLevel="0" collapsed="false">
      <c r="A690" s="29"/>
      <c r="B690" s="30" t="s">
        <v>2289</v>
      </c>
      <c r="C690" s="31" t="s">
        <v>138</v>
      </c>
      <c r="D690" s="31" t="s">
        <v>108</v>
      </c>
      <c r="E690" s="32" t="n">
        <v>3000</v>
      </c>
      <c r="F690" s="32" t="n">
        <v>500</v>
      </c>
      <c r="G690" s="32" t="n">
        <v>250</v>
      </c>
      <c r="H690" s="33" t="n">
        <v>1</v>
      </c>
      <c r="I690" s="34" t="n">
        <f aca="false">E690*H690+N(F690)+N(G690)</f>
        <v>3750</v>
      </c>
      <c r="J690" s="32" t="n">
        <f aca="false">ROUND(IFERROR(ROUND(IF(OR(ISNUMBER(SEARCH("week",C690)),ISNUMBER(SEARCH("minggu",C690))),IFERROR(_xlfn.NUMBERVALUE(SUBSTITUTE(LEFT(TRIM(C690),FIND(" ",TRIM(C690)&amp;" ")-1),",","."),"."),LEFT(SUBSTITUTE(LEFT(TRIM(C690),FIND(" ",TRIM(C690)&amp;" ")-1),",","."),FIND("/",SUBSTITUTE(LEFT(TRIM(C690),FIND(" ",TRIM(C690)&amp;" ")-1),",","."))-1)/MID(SUBSTITUTE(LEFT(TRIM(C690),FIND(" ",TRIM(C690)&amp;" ")-1),",","."),FIND("/",SUBSTITUTE(LEFT(TRIM(C690),FIND(" ",TRIM(C690)&amp;" ")-1),",","."))+1,9))*12/52,IF(ISNUMBER(SEARCH("month",C690)),IFERROR(_xlfn.NUMBERVALUE(SUBSTITUTE(LEFT(TRIM(C690),FIND(" ",TRIM(C690)&amp;" ")-1),",","."),"."),LEFT(SUBSTITUTE(LEFT(TRIM(C690),FIND(" ",TRIM(C690)&amp;" ")-1),",","."),FIND("/",SUBSTITUTE(LEFT(TRIM(C690),FIND(" ",TRIM(C690)&amp;" ")-1),",","."))-1)/MID(SUBSTITUTE(LEFT(TRIM(C690),FIND(" ",TRIM(C690)&amp;" ")-1),",","."),FIND("/",SUBSTITUTE(LEFT(TRIM(C690),FIND(" ",TRIM(C690)&amp;" ")-1),",","."))+1,9)),IF(ISNUMBER(SEARCH("yea",C690)),IFERROR(_xlfn.NUMBERVALUE(SUBSTITUTE(LEFT(TRIM(C690),FIND(" ",TRIM(C690)&amp;" ")-1),",","."),"."),LEFT(SUBSTITUTE(LEFT(TRIM(C690),FIND(" ",TRIM(C690)&amp;" ")-1),",","."),FIND("/",SUBSTITUTE(LEFT(TRIM(C690),FIND(" ",TRIM(C690)&amp;" ")-1),",","."))-1)/MID(SUBSTITUTE(LEFT(TRIM(C690),FIND(" ",TRIM(C690)&amp;" ")-1),",","."),FIND("/",SUBSTITUTE(LEFT(TRIM(C690),FIND(" ",TRIM(C690)&amp;" ")-1),",","."))+1,9))*12,NA()))),0),30)*'Aturan &amp; Tarif'!$B$4,2)</f>
        <v>1703.4</v>
      </c>
      <c r="K690" s="32" t="n">
        <f aca="false">'Aturan &amp; Tarif'!$B$5</f>
        <v>2050</v>
      </c>
      <c r="L690" s="35" t="n">
        <f aca="false">I690+J690+K690</f>
        <v>7503.4</v>
      </c>
      <c r="M690" s="36" t="s">
        <v>131</v>
      </c>
    </row>
    <row r="691" customFormat="false" ht="37.5" hidden="false" customHeight="true" outlineLevel="0" collapsed="false">
      <c r="A691" s="29"/>
      <c r="B691" s="30" t="s">
        <v>2290</v>
      </c>
      <c r="C691" s="31" t="s">
        <v>495</v>
      </c>
      <c r="D691" s="31" t="s">
        <v>108</v>
      </c>
      <c r="E691" s="32" t="n">
        <v>2493.75</v>
      </c>
      <c r="F691" s="32" t="n">
        <v>500</v>
      </c>
      <c r="G691" s="32" t="n">
        <v>250</v>
      </c>
      <c r="H691" s="33" t="n">
        <v>1</v>
      </c>
      <c r="I691" s="34" t="n">
        <f aca="false">E691*H691+N(F691)+N(G691)</f>
        <v>3243.75</v>
      </c>
      <c r="J691" s="32" t="n">
        <f aca="false">ROUND(IFERROR(ROUND(IF(OR(ISNUMBER(SEARCH("week",C691)),ISNUMBER(SEARCH("minggu",C691))),IFERROR(_xlfn.NUMBERVALUE(SUBSTITUTE(LEFT(TRIM(C691),FIND(" ",TRIM(C691)&amp;" ")-1),",","."),"."),LEFT(SUBSTITUTE(LEFT(TRIM(C691),FIND(" ",TRIM(C691)&amp;" ")-1),",","."),FIND("/",SUBSTITUTE(LEFT(TRIM(C691),FIND(" ",TRIM(C691)&amp;" ")-1),",","."))-1)/MID(SUBSTITUTE(LEFT(TRIM(C691),FIND(" ",TRIM(C691)&amp;" ")-1),",","."),FIND("/",SUBSTITUTE(LEFT(TRIM(C691),FIND(" ",TRIM(C691)&amp;" ")-1),",","."))+1,9))*12/52,IF(ISNUMBER(SEARCH("month",C691)),IFERROR(_xlfn.NUMBERVALUE(SUBSTITUTE(LEFT(TRIM(C691),FIND(" ",TRIM(C691)&amp;" ")-1),",","."),"."),LEFT(SUBSTITUTE(LEFT(TRIM(C691),FIND(" ",TRIM(C691)&amp;" ")-1),",","."),FIND("/",SUBSTITUTE(LEFT(TRIM(C691),FIND(" ",TRIM(C691)&amp;" ")-1),",","."))-1)/MID(SUBSTITUTE(LEFT(TRIM(C691),FIND(" ",TRIM(C691)&amp;" ")-1),",","."),FIND("/",SUBSTITUTE(LEFT(TRIM(C691),FIND(" ",TRIM(C691)&amp;" ")-1),",","."))+1,9)),IF(ISNUMBER(SEARCH("yea",C691)),IFERROR(_xlfn.NUMBERVALUE(SUBSTITUTE(LEFT(TRIM(C691),FIND(" ",TRIM(C691)&amp;" ")-1),",","."),"."),LEFT(SUBSTITUTE(LEFT(TRIM(C691),FIND(" ",TRIM(C691)&amp;" ")-1),",","."),FIND("/",SUBSTITUTE(LEFT(TRIM(C691),FIND(" ",TRIM(C691)&amp;" ")-1),",","."))-1)/MID(SUBSTITUTE(LEFT(TRIM(C691),FIND(" ",TRIM(C691)&amp;" ")-1),",","."),FIND("/",SUBSTITUTE(LEFT(TRIM(C691),FIND(" ",TRIM(C691)&amp;" ")-1),",","."))+1,9))*12,NA()))),0),54)*'Aturan &amp; Tarif'!$B$4,2)</f>
        <v>3066.12</v>
      </c>
      <c r="K691" s="32" t="n">
        <f aca="false">'Aturan &amp; Tarif'!$B$5</f>
        <v>2050</v>
      </c>
      <c r="L691" s="35" t="n">
        <f aca="false">I691+J691+K691</f>
        <v>8359.87</v>
      </c>
      <c r="M691" s="36" t="s">
        <v>131</v>
      </c>
    </row>
    <row r="692" customFormat="false" ht="37.5" hidden="false" customHeight="true" outlineLevel="0" collapsed="false">
      <c r="A692" s="29"/>
      <c r="B692" s="30" t="s">
        <v>2291</v>
      </c>
      <c r="C692" s="31" t="s">
        <v>344</v>
      </c>
      <c r="D692" s="31" t="s">
        <v>108</v>
      </c>
      <c r="E692" s="32" t="n">
        <v>2875</v>
      </c>
      <c r="F692" s="32" t="n">
        <v>500</v>
      </c>
      <c r="G692" s="32" t="n">
        <v>250</v>
      </c>
      <c r="H692" s="33" t="n">
        <v>1</v>
      </c>
      <c r="I692" s="34" t="n">
        <f aca="false">E692*H692+N(F692)+N(G692)</f>
        <v>3625</v>
      </c>
      <c r="J692" s="32" t="n">
        <f aca="false">ROUND(IFERROR(ROUND(IF(OR(ISNUMBER(SEARCH("week",C692)),ISNUMBER(SEARCH("minggu",C692))),IFERROR(_xlfn.NUMBERVALUE(SUBSTITUTE(LEFT(TRIM(C692),FIND(" ",TRIM(C692)&amp;" ")-1),",","."),"."),LEFT(SUBSTITUTE(LEFT(TRIM(C692),FIND(" ",TRIM(C692)&amp;" ")-1),",","."),FIND("/",SUBSTITUTE(LEFT(TRIM(C692),FIND(" ",TRIM(C692)&amp;" ")-1),",","."))-1)/MID(SUBSTITUTE(LEFT(TRIM(C692),FIND(" ",TRIM(C692)&amp;" ")-1),",","."),FIND("/",SUBSTITUTE(LEFT(TRIM(C692),FIND(" ",TRIM(C692)&amp;" ")-1),",","."))+1,9))*12/52,IF(ISNUMBER(SEARCH("month",C692)),IFERROR(_xlfn.NUMBERVALUE(SUBSTITUTE(LEFT(TRIM(C692),FIND(" ",TRIM(C692)&amp;" ")-1),",","."),"."),LEFT(SUBSTITUTE(LEFT(TRIM(C692),FIND(" ",TRIM(C692)&amp;" ")-1),",","."),FIND("/",SUBSTITUTE(LEFT(TRIM(C692),FIND(" ",TRIM(C692)&amp;" ")-1),",","."))-1)/MID(SUBSTITUTE(LEFT(TRIM(C692),FIND(" ",TRIM(C692)&amp;" ")-1),",","."),FIND("/",SUBSTITUTE(LEFT(TRIM(C692),FIND(" ",TRIM(C692)&amp;" ")-1),",","."))+1,9)),IF(ISNUMBER(SEARCH("yea",C692)),IFERROR(_xlfn.NUMBERVALUE(SUBSTITUTE(LEFT(TRIM(C692),FIND(" ",TRIM(C692)&amp;" ")-1),",","."),"."),LEFT(SUBSTITUTE(LEFT(TRIM(C692),FIND(" ",TRIM(C692)&amp;" ")-1),",","."),FIND("/",SUBSTITUTE(LEFT(TRIM(C692),FIND(" ",TRIM(C692)&amp;" ")-1),",","."))-1)/MID(SUBSTITUTE(LEFT(TRIM(C692),FIND(" ",TRIM(C692)&amp;" ")-1),",","."),FIND("/",SUBSTITUTE(LEFT(TRIM(C692),FIND(" ",TRIM(C692)&amp;" ")-1),",","."))+1,9))*12,NA()))),0),6)*'Aturan &amp; Tarif'!$B$4,2)</f>
        <v>340.68</v>
      </c>
      <c r="K692" s="32" t="n">
        <f aca="false">'Aturan &amp; Tarif'!$B$5</f>
        <v>2050</v>
      </c>
      <c r="L692" s="35" t="n">
        <f aca="false">I692+J692+K692</f>
        <v>6015.68</v>
      </c>
      <c r="M692" s="37" t="s">
        <v>134</v>
      </c>
    </row>
    <row r="693" customFormat="false" ht="37.5" hidden="false" customHeight="true" outlineLevel="0" collapsed="false">
      <c r="A693" s="29"/>
      <c r="B693" s="30" t="s">
        <v>480</v>
      </c>
      <c r="C693" s="31" t="s">
        <v>130</v>
      </c>
      <c r="D693" s="31" t="s">
        <v>108</v>
      </c>
      <c r="E693" s="32" t="n">
        <v>2287.5</v>
      </c>
      <c r="F693" s="32" t="n">
        <v>500</v>
      </c>
      <c r="G693" s="32" t="n">
        <v>250</v>
      </c>
      <c r="H693" s="33" t="n">
        <v>1</v>
      </c>
      <c r="I693" s="34" t="n">
        <f aca="false">E693*H693+N(F693)+N(G693)</f>
        <v>3037.5</v>
      </c>
      <c r="J693" s="32" t="n">
        <f aca="false">ROUND(IFERROR(ROUND(IF(OR(ISNUMBER(SEARCH("week",C693)),ISNUMBER(SEARCH("minggu",C693))),IFERROR(_xlfn.NUMBERVALUE(SUBSTITUTE(LEFT(TRIM(C693),FIND(" ",TRIM(C693)&amp;" ")-1),",","."),"."),LEFT(SUBSTITUTE(LEFT(TRIM(C693),FIND(" ",TRIM(C693)&amp;" ")-1),",","."),FIND("/",SUBSTITUTE(LEFT(TRIM(C693),FIND(" ",TRIM(C693)&amp;" ")-1),",","."))-1)/MID(SUBSTITUTE(LEFT(TRIM(C693),FIND(" ",TRIM(C693)&amp;" ")-1),",","."),FIND("/",SUBSTITUTE(LEFT(TRIM(C693),FIND(" ",TRIM(C693)&amp;" ")-1),",","."))+1,9))*12/52,IF(ISNUMBER(SEARCH("month",C693)),IFERROR(_xlfn.NUMBERVALUE(SUBSTITUTE(LEFT(TRIM(C693),FIND(" ",TRIM(C693)&amp;" ")-1),",","."),"."),LEFT(SUBSTITUTE(LEFT(TRIM(C693),FIND(" ",TRIM(C693)&amp;" ")-1),",","."),FIND("/",SUBSTITUTE(LEFT(TRIM(C693),FIND(" ",TRIM(C693)&amp;" ")-1),",","."))-1)/MID(SUBSTITUTE(LEFT(TRIM(C693),FIND(" ",TRIM(C693)&amp;" ")-1),",","."),FIND("/",SUBSTITUTE(LEFT(TRIM(C693),FIND(" ",TRIM(C693)&amp;" ")-1),",","."))+1,9)),IF(ISNUMBER(SEARCH("yea",C693)),IFERROR(_xlfn.NUMBERVALUE(SUBSTITUTE(LEFT(TRIM(C693),FIND(" ",TRIM(C693)&amp;" ")-1),",","."),"."),LEFT(SUBSTITUTE(LEFT(TRIM(C693),FIND(" ",TRIM(C693)&amp;" ")-1),",","."),FIND("/",SUBSTITUTE(LEFT(TRIM(C693),FIND(" ",TRIM(C693)&amp;" ")-1),",","."))-1)/MID(SUBSTITUTE(LEFT(TRIM(C693),FIND(" ",TRIM(C693)&amp;" ")-1),",","."),FIND("/",SUBSTITUTE(LEFT(TRIM(C693),FIND(" ",TRIM(C693)&amp;" ")-1),",","."))+1,9))*12,NA()))),0),12)*'Aturan &amp; Tarif'!$B$4,2)</f>
        <v>681.36</v>
      </c>
      <c r="K693" s="32" t="n">
        <f aca="false">'Aturan &amp; Tarif'!$B$5</f>
        <v>2050</v>
      </c>
      <c r="L693" s="35" t="n">
        <f aca="false">I693+J693+K693</f>
        <v>5768.86</v>
      </c>
      <c r="M693" s="37" t="s">
        <v>134</v>
      </c>
    </row>
    <row r="694" customFormat="false" ht="37.5" hidden="false" customHeight="true" outlineLevel="0" collapsed="false">
      <c r="A694" s="29"/>
      <c r="B694" s="30" t="s">
        <v>2292</v>
      </c>
      <c r="C694" s="31" t="s">
        <v>344</v>
      </c>
      <c r="D694" s="31" t="s">
        <v>108</v>
      </c>
      <c r="E694" s="32" t="n">
        <v>4925</v>
      </c>
      <c r="F694" s="32" t="n">
        <v>500</v>
      </c>
      <c r="G694" s="32" t="n">
        <v>250</v>
      </c>
      <c r="H694" s="33" t="n">
        <v>1</v>
      </c>
      <c r="I694" s="34" t="n">
        <f aca="false">E694*H694+N(F694)+N(G694)</f>
        <v>5675</v>
      </c>
      <c r="J694" s="32" t="n">
        <f aca="false">ROUND(IFERROR(ROUND(IF(OR(ISNUMBER(SEARCH("week",C694)),ISNUMBER(SEARCH("minggu",C694))),IFERROR(_xlfn.NUMBERVALUE(SUBSTITUTE(LEFT(TRIM(C694),FIND(" ",TRIM(C694)&amp;" ")-1),",","."),"."),LEFT(SUBSTITUTE(LEFT(TRIM(C694),FIND(" ",TRIM(C694)&amp;" ")-1),",","."),FIND("/",SUBSTITUTE(LEFT(TRIM(C694),FIND(" ",TRIM(C694)&amp;" ")-1),",","."))-1)/MID(SUBSTITUTE(LEFT(TRIM(C694),FIND(" ",TRIM(C694)&amp;" ")-1),",","."),FIND("/",SUBSTITUTE(LEFT(TRIM(C694),FIND(" ",TRIM(C694)&amp;" ")-1),",","."))+1,9))*12/52,IF(ISNUMBER(SEARCH("month",C694)),IFERROR(_xlfn.NUMBERVALUE(SUBSTITUTE(LEFT(TRIM(C694),FIND(" ",TRIM(C694)&amp;" ")-1),",","."),"."),LEFT(SUBSTITUTE(LEFT(TRIM(C694),FIND(" ",TRIM(C694)&amp;" ")-1),",","."),FIND("/",SUBSTITUTE(LEFT(TRIM(C694),FIND(" ",TRIM(C694)&amp;" ")-1),",","."))-1)/MID(SUBSTITUTE(LEFT(TRIM(C694),FIND(" ",TRIM(C694)&amp;" ")-1),",","."),FIND("/",SUBSTITUTE(LEFT(TRIM(C694),FIND(" ",TRIM(C694)&amp;" ")-1),",","."))+1,9)),IF(ISNUMBER(SEARCH("yea",C694)),IFERROR(_xlfn.NUMBERVALUE(SUBSTITUTE(LEFT(TRIM(C694),FIND(" ",TRIM(C694)&amp;" ")-1),",","."),"."),LEFT(SUBSTITUTE(LEFT(TRIM(C694),FIND(" ",TRIM(C694)&amp;" ")-1),",","."),FIND("/",SUBSTITUTE(LEFT(TRIM(C694),FIND(" ",TRIM(C694)&amp;" ")-1),",","."))-1)/MID(SUBSTITUTE(LEFT(TRIM(C694),FIND(" ",TRIM(C694)&amp;" ")-1),",","."),FIND("/",SUBSTITUTE(LEFT(TRIM(C694),FIND(" ",TRIM(C694)&amp;" ")-1),",","."))+1,9))*12,NA()))),0),6)*'Aturan &amp; Tarif'!$B$4,2)</f>
        <v>340.68</v>
      </c>
      <c r="K694" s="32" t="n">
        <f aca="false">'Aturan &amp; Tarif'!$B$5</f>
        <v>2050</v>
      </c>
      <c r="L694" s="35" t="n">
        <f aca="false">I694+J694+K694</f>
        <v>8065.68</v>
      </c>
      <c r="M694" s="37" t="s">
        <v>134</v>
      </c>
    </row>
    <row r="695" customFormat="false" ht="37.5" hidden="false" customHeight="true" outlineLevel="0" collapsed="false">
      <c r="A695" s="29"/>
      <c r="B695" s="30" t="s">
        <v>2293</v>
      </c>
      <c r="C695" s="31" t="s">
        <v>130</v>
      </c>
      <c r="D695" s="31" t="s">
        <v>108</v>
      </c>
      <c r="E695" s="32" t="n">
        <v>2987.5</v>
      </c>
      <c r="F695" s="32" t="n">
        <v>500</v>
      </c>
      <c r="G695" s="32" t="n">
        <v>250</v>
      </c>
      <c r="H695" s="33" t="n">
        <v>1</v>
      </c>
      <c r="I695" s="34" t="n">
        <f aca="false">E695*H695+N(F695)+N(G695)</f>
        <v>3737.5</v>
      </c>
      <c r="J695" s="32" t="n">
        <f aca="false">ROUND(IFERROR(ROUND(IF(OR(ISNUMBER(SEARCH("week",C695)),ISNUMBER(SEARCH("minggu",C695))),IFERROR(_xlfn.NUMBERVALUE(SUBSTITUTE(LEFT(TRIM(C695),FIND(" ",TRIM(C695)&amp;" ")-1),",","."),"."),LEFT(SUBSTITUTE(LEFT(TRIM(C695),FIND(" ",TRIM(C695)&amp;" ")-1),",","."),FIND("/",SUBSTITUTE(LEFT(TRIM(C695),FIND(" ",TRIM(C695)&amp;" ")-1),",","."))-1)/MID(SUBSTITUTE(LEFT(TRIM(C695),FIND(" ",TRIM(C695)&amp;" ")-1),",","."),FIND("/",SUBSTITUTE(LEFT(TRIM(C695),FIND(" ",TRIM(C695)&amp;" ")-1),",","."))+1,9))*12/52,IF(ISNUMBER(SEARCH("month",C695)),IFERROR(_xlfn.NUMBERVALUE(SUBSTITUTE(LEFT(TRIM(C695),FIND(" ",TRIM(C695)&amp;" ")-1),",","."),"."),LEFT(SUBSTITUTE(LEFT(TRIM(C695),FIND(" ",TRIM(C695)&amp;" ")-1),",","."),FIND("/",SUBSTITUTE(LEFT(TRIM(C695),FIND(" ",TRIM(C695)&amp;" ")-1),",","."))-1)/MID(SUBSTITUTE(LEFT(TRIM(C695),FIND(" ",TRIM(C695)&amp;" ")-1),",","."),FIND("/",SUBSTITUTE(LEFT(TRIM(C695),FIND(" ",TRIM(C695)&amp;" ")-1),",","."))+1,9)),IF(ISNUMBER(SEARCH("yea",C695)),IFERROR(_xlfn.NUMBERVALUE(SUBSTITUTE(LEFT(TRIM(C695),FIND(" ",TRIM(C695)&amp;" ")-1),",","."),"."),LEFT(SUBSTITUTE(LEFT(TRIM(C695),FIND(" ",TRIM(C695)&amp;" ")-1),",","."),FIND("/",SUBSTITUTE(LEFT(TRIM(C695),FIND(" ",TRIM(C695)&amp;" ")-1),",","."))-1)/MID(SUBSTITUTE(LEFT(TRIM(C695),FIND(" ",TRIM(C695)&amp;" ")-1),",","."),FIND("/",SUBSTITUTE(LEFT(TRIM(C695),FIND(" ",TRIM(C695)&amp;" ")-1),",","."))+1,9))*12,NA()))),0),12)*'Aturan &amp; Tarif'!$B$4,2)</f>
        <v>681.36</v>
      </c>
      <c r="K695" s="32" t="n">
        <f aca="false">'Aturan &amp; Tarif'!$B$5</f>
        <v>2050</v>
      </c>
      <c r="L695" s="35" t="n">
        <f aca="false">I695+J695+K695</f>
        <v>6468.86</v>
      </c>
      <c r="M695" s="37" t="s">
        <v>134</v>
      </c>
    </row>
    <row r="696" customFormat="false" ht="37.5" hidden="false" customHeight="true" outlineLevel="0" collapsed="false">
      <c r="A696" s="29"/>
      <c r="B696" s="30" t="s">
        <v>2294</v>
      </c>
      <c r="C696" s="31" t="s">
        <v>107</v>
      </c>
      <c r="D696" s="31" t="s">
        <v>108</v>
      </c>
      <c r="E696" s="32" t="n">
        <v>2494</v>
      </c>
      <c r="F696" s="32" t="n">
        <v>500</v>
      </c>
      <c r="G696" s="32" t="n">
        <v>250</v>
      </c>
      <c r="H696" s="33" t="n">
        <v>1</v>
      </c>
      <c r="I696" s="34" t="n">
        <f aca="false">E696*H696+N(F696)+N(G696)</f>
        <v>3244</v>
      </c>
      <c r="J696" s="32" t="n">
        <f aca="false">ROUND(IFERROR(ROUND(IF(OR(ISNUMBER(SEARCH("week",C696)),ISNUMBER(SEARCH("minggu",C696))),IFERROR(_xlfn.NUMBERVALUE(SUBSTITUTE(LEFT(TRIM(C696),FIND(" ",TRIM(C696)&amp;" ")-1),",","."),"."),LEFT(SUBSTITUTE(LEFT(TRIM(C696),FIND(" ",TRIM(C696)&amp;" ")-1),",","."),FIND("/",SUBSTITUTE(LEFT(TRIM(C696),FIND(" ",TRIM(C696)&amp;" ")-1),",","."))-1)/MID(SUBSTITUTE(LEFT(TRIM(C696),FIND(" ",TRIM(C696)&amp;" ")-1),",","."),FIND("/",SUBSTITUTE(LEFT(TRIM(C696),FIND(" ",TRIM(C696)&amp;" ")-1),",","."))+1,9))*12/52,IF(ISNUMBER(SEARCH("month",C696)),IFERROR(_xlfn.NUMBERVALUE(SUBSTITUTE(LEFT(TRIM(C696),FIND(" ",TRIM(C696)&amp;" ")-1),",","."),"."),LEFT(SUBSTITUTE(LEFT(TRIM(C696),FIND(" ",TRIM(C696)&amp;" ")-1),",","."),FIND("/",SUBSTITUTE(LEFT(TRIM(C696),FIND(" ",TRIM(C696)&amp;" ")-1),",","."))-1)/MID(SUBSTITUTE(LEFT(TRIM(C696),FIND(" ",TRIM(C696)&amp;" ")-1),",","."),FIND("/",SUBSTITUTE(LEFT(TRIM(C696),FIND(" ",TRIM(C696)&amp;" ")-1),",","."))+1,9)),IF(ISNUMBER(SEARCH("yea",C696)),IFERROR(_xlfn.NUMBERVALUE(SUBSTITUTE(LEFT(TRIM(C696),FIND(" ",TRIM(C696)&amp;" ")-1),",","."),"."),LEFT(SUBSTITUTE(LEFT(TRIM(C696),FIND(" ",TRIM(C696)&amp;" ")-1),",","."),FIND("/",SUBSTITUTE(LEFT(TRIM(C696),FIND(" ",TRIM(C696)&amp;" ")-1),",","."))-1)/MID(SUBSTITUTE(LEFT(TRIM(C696),FIND(" ",TRIM(C696)&amp;" ")-1),",","."),FIND("/",SUBSTITUTE(LEFT(TRIM(C696),FIND(" ",TRIM(C696)&amp;" ")-1),",","."))+1,9))*12,NA()))),0),24)*'Aturan &amp; Tarif'!$B$4,2)</f>
        <v>1362.72</v>
      </c>
      <c r="K696" s="32" t="n">
        <f aca="false">'Aturan &amp; Tarif'!$B$5</f>
        <v>2050</v>
      </c>
      <c r="L696" s="35" t="n">
        <f aca="false">I696+J696+K696</f>
        <v>6656.72</v>
      </c>
      <c r="M696" s="37" t="s">
        <v>134</v>
      </c>
    </row>
    <row r="697" customFormat="false" ht="37.5" hidden="false" customHeight="true" outlineLevel="0" collapsed="false">
      <c r="A697" s="29"/>
      <c r="B697" s="30" t="s">
        <v>112</v>
      </c>
      <c r="C697" s="31" t="s">
        <v>113</v>
      </c>
      <c r="D697" s="31" t="s">
        <v>108</v>
      </c>
      <c r="E697" s="32" t="n">
        <v>3000</v>
      </c>
      <c r="F697" s="32" t="n">
        <v>500</v>
      </c>
      <c r="G697" s="32" t="n">
        <v>250</v>
      </c>
      <c r="H697" s="33" t="n">
        <v>1</v>
      </c>
      <c r="I697" s="34" t="n">
        <f aca="false">E697*H697+N(F697)+N(G697)</f>
        <v>3750</v>
      </c>
      <c r="J697" s="32" t="n">
        <f aca="false">ROUND(IFERROR(ROUND(IF(OR(ISNUMBER(SEARCH("week",C697)),ISNUMBER(SEARCH("minggu",C697))),IFERROR(_xlfn.NUMBERVALUE(SUBSTITUTE(LEFT(TRIM(C697),FIND(" ",TRIM(C697)&amp;" ")-1),",","."),"."),LEFT(SUBSTITUTE(LEFT(TRIM(C697),FIND(" ",TRIM(C697)&amp;" ")-1),",","."),FIND("/",SUBSTITUTE(LEFT(TRIM(C697),FIND(" ",TRIM(C697)&amp;" ")-1),",","."))-1)/MID(SUBSTITUTE(LEFT(TRIM(C697),FIND(" ",TRIM(C697)&amp;" ")-1),",","."),FIND("/",SUBSTITUTE(LEFT(TRIM(C697),FIND(" ",TRIM(C697)&amp;" ")-1),",","."))+1,9))*12/52,IF(ISNUMBER(SEARCH("month",C697)),IFERROR(_xlfn.NUMBERVALUE(SUBSTITUTE(LEFT(TRIM(C697),FIND(" ",TRIM(C697)&amp;" ")-1),",","."),"."),LEFT(SUBSTITUTE(LEFT(TRIM(C697),FIND(" ",TRIM(C697)&amp;" ")-1),",","."),FIND("/",SUBSTITUTE(LEFT(TRIM(C697),FIND(" ",TRIM(C697)&amp;" ")-1),",","."))-1)/MID(SUBSTITUTE(LEFT(TRIM(C697),FIND(" ",TRIM(C697)&amp;" ")-1),",","."),FIND("/",SUBSTITUTE(LEFT(TRIM(C697),FIND(" ",TRIM(C697)&amp;" ")-1),",","."))+1,9)),IF(ISNUMBER(SEARCH("yea",C697)),IFERROR(_xlfn.NUMBERVALUE(SUBSTITUTE(LEFT(TRIM(C697),FIND(" ",TRIM(C697)&amp;" ")-1),",","."),"."),LEFT(SUBSTITUTE(LEFT(TRIM(C697),FIND(" ",TRIM(C697)&amp;" ")-1),",","."),FIND("/",SUBSTITUTE(LEFT(TRIM(C697),FIND(" ",TRIM(C697)&amp;" ")-1),",","."))-1)/MID(SUBSTITUTE(LEFT(TRIM(C697),FIND(" ",TRIM(C697)&amp;" ")-1),",","."),FIND("/",SUBSTITUTE(LEFT(TRIM(C697),FIND(" ",TRIM(C697)&amp;" ")-1),",","."))+1,9))*12,NA()))),0),18)*'Aturan &amp; Tarif'!$B$4,2)</f>
        <v>1022.04</v>
      </c>
      <c r="K697" s="32" t="n">
        <f aca="false">'Aturan &amp; Tarif'!$B$5</f>
        <v>2050</v>
      </c>
      <c r="L697" s="35" t="n">
        <f aca="false">I697+J697+K697</f>
        <v>6822.04</v>
      </c>
      <c r="M697" s="37" t="s">
        <v>134</v>
      </c>
    </row>
    <row r="698" customFormat="false" ht="37.5" hidden="false" customHeight="true" outlineLevel="0" collapsed="false">
      <c r="A698" s="29"/>
      <c r="B698" s="30" t="s">
        <v>2295</v>
      </c>
      <c r="C698" s="31" t="s">
        <v>130</v>
      </c>
      <c r="D698" s="31" t="s">
        <v>108</v>
      </c>
      <c r="E698" s="32" t="n">
        <v>3750</v>
      </c>
      <c r="F698" s="32" t="n">
        <v>750</v>
      </c>
      <c r="G698" s="32" t="n">
        <v>250</v>
      </c>
      <c r="H698" s="33" t="n">
        <v>1</v>
      </c>
      <c r="I698" s="34" t="n">
        <f aca="false">E698*H698+N(F698)+N(G698)</f>
        <v>4750</v>
      </c>
      <c r="J698" s="32" t="n">
        <f aca="false">ROUND(IFERROR(ROUND(IF(OR(ISNUMBER(SEARCH("week",C698)),ISNUMBER(SEARCH("minggu",C698))),IFERROR(_xlfn.NUMBERVALUE(SUBSTITUTE(LEFT(TRIM(C698),FIND(" ",TRIM(C698)&amp;" ")-1),",","."),"."),LEFT(SUBSTITUTE(LEFT(TRIM(C698),FIND(" ",TRIM(C698)&amp;" ")-1),",","."),FIND("/",SUBSTITUTE(LEFT(TRIM(C698),FIND(" ",TRIM(C698)&amp;" ")-1),",","."))-1)/MID(SUBSTITUTE(LEFT(TRIM(C698),FIND(" ",TRIM(C698)&amp;" ")-1),",","."),FIND("/",SUBSTITUTE(LEFT(TRIM(C698),FIND(" ",TRIM(C698)&amp;" ")-1),",","."))+1,9))*12/52,IF(ISNUMBER(SEARCH("month",C698)),IFERROR(_xlfn.NUMBERVALUE(SUBSTITUTE(LEFT(TRIM(C698),FIND(" ",TRIM(C698)&amp;" ")-1),",","."),"."),LEFT(SUBSTITUTE(LEFT(TRIM(C698),FIND(" ",TRIM(C698)&amp;" ")-1),",","."),FIND("/",SUBSTITUTE(LEFT(TRIM(C698),FIND(" ",TRIM(C698)&amp;" ")-1),",","."))-1)/MID(SUBSTITUTE(LEFT(TRIM(C698),FIND(" ",TRIM(C698)&amp;" ")-1),",","."),FIND("/",SUBSTITUTE(LEFT(TRIM(C698),FIND(" ",TRIM(C698)&amp;" ")-1),",","."))+1,9)),IF(ISNUMBER(SEARCH("yea",C698)),IFERROR(_xlfn.NUMBERVALUE(SUBSTITUTE(LEFT(TRIM(C698),FIND(" ",TRIM(C698)&amp;" ")-1),",","."),"."),LEFT(SUBSTITUTE(LEFT(TRIM(C698),FIND(" ",TRIM(C698)&amp;" ")-1),",","."),FIND("/",SUBSTITUTE(LEFT(TRIM(C698),FIND(" ",TRIM(C698)&amp;" ")-1),",","."))-1)/MID(SUBSTITUTE(LEFT(TRIM(C698),FIND(" ",TRIM(C698)&amp;" ")-1),",","."),FIND("/",SUBSTITUTE(LEFT(TRIM(C698),FIND(" ",TRIM(C698)&amp;" ")-1),",","."))+1,9))*12,NA()))),0),12)*'Aturan &amp; Tarif'!$B$4,2)</f>
        <v>681.36</v>
      </c>
      <c r="K698" s="32" t="n">
        <f aca="false">'Aturan &amp; Tarif'!$B$5</f>
        <v>2050</v>
      </c>
      <c r="L698" s="35" t="n">
        <f aca="false">I698+J698+K698</f>
        <v>7481.36</v>
      </c>
      <c r="M698" s="37" t="s">
        <v>134</v>
      </c>
    </row>
    <row r="699" customFormat="false" ht="37.5" hidden="false" customHeight="true" outlineLevel="0" collapsed="false">
      <c r="A699" s="39" t="s">
        <v>2296</v>
      </c>
      <c r="B699" s="40" t="s">
        <v>2297</v>
      </c>
      <c r="C699" s="41" t="s">
        <v>107</v>
      </c>
      <c r="D699" s="41" t="s">
        <v>108</v>
      </c>
      <c r="E699" s="42" t="n">
        <v>2300</v>
      </c>
      <c r="F699" s="42" t="n">
        <v>1000</v>
      </c>
      <c r="G699" s="42" t="n">
        <v>200</v>
      </c>
      <c r="H699" s="43" t="n">
        <v>1</v>
      </c>
      <c r="I699" s="34" t="n">
        <f aca="false">E699*H699+N(F699)+N(G699)</f>
        <v>3500</v>
      </c>
      <c r="J699" s="42" t="n">
        <f aca="false">ROUND(IFERROR(ROUND(IF(OR(ISNUMBER(SEARCH("week",C699)),ISNUMBER(SEARCH("minggu",C699))),IFERROR(_xlfn.NUMBERVALUE(SUBSTITUTE(LEFT(TRIM(C699),FIND(" ",TRIM(C699)&amp;" ")-1),",","."),"."),LEFT(SUBSTITUTE(LEFT(TRIM(C699),FIND(" ",TRIM(C699)&amp;" ")-1),",","."),FIND("/",SUBSTITUTE(LEFT(TRIM(C699),FIND(" ",TRIM(C699)&amp;" ")-1),",","."))-1)/MID(SUBSTITUTE(LEFT(TRIM(C699),FIND(" ",TRIM(C699)&amp;" ")-1),",","."),FIND("/",SUBSTITUTE(LEFT(TRIM(C699),FIND(" ",TRIM(C699)&amp;" ")-1),",","."))+1,9))*12/52,IF(ISNUMBER(SEARCH("month",C699)),IFERROR(_xlfn.NUMBERVALUE(SUBSTITUTE(LEFT(TRIM(C699),FIND(" ",TRIM(C699)&amp;" ")-1),",","."),"."),LEFT(SUBSTITUTE(LEFT(TRIM(C699),FIND(" ",TRIM(C699)&amp;" ")-1),",","."),FIND("/",SUBSTITUTE(LEFT(TRIM(C699),FIND(" ",TRIM(C699)&amp;" ")-1),",","."))-1)/MID(SUBSTITUTE(LEFT(TRIM(C699),FIND(" ",TRIM(C699)&amp;" ")-1),",","."),FIND("/",SUBSTITUTE(LEFT(TRIM(C699),FIND(" ",TRIM(C699)&amp;" ")-1),",","."))+1,9)),IF(ISNUMBER(SEARCH("yea",C699)),IFERROR(_xlfn.NUMBERVALUE(SUBSTITUTE(LEFT(TRIM(C699),FIND(" ",TRIM(C699)&amp;" ")-1),",","."),"."),LEFT(SUBSTITUTE(LEFT(TRIM(C699),FIND(" ",TRIM(C699)&amp;" ")-1),",","."),FIND("/",SUBSTITUTE(LEFT(TRIM(C699),FIND(" ",TRIM(C699)&amp;" ")-1),",","."))-1)/MID(SUBSTITUTE(LEFT(TRIM(C699),FIND(" ",TRIM(C699)&amp;" ")-1),",","."),FIND("/",SUBSTITUTE(LEFT(TRIM(C699),FIND(" ",TRIM(C699)&amp;" ")-1),",","."))+1,9))*12,NA()))),0),24)*'Aturan &amp; Tarif'!$B$4,2)</f>
        <v>1362.72</v>
      </c>
      <c r="K699" s="42" t="n">
        <f aca="false">'Aturan &amp; Tarif'!$B$5</f>
        <v>2050</v>
      </c>
      <c r="L699" s="35" t="n">
        <f aca="false">I699+J699+K699</f>
        <v>6912.72</v>
      </c>
      <c r="M699" s="44" t="s">
        <v>2298</v>
      </c>
    </row>
    <row r="700" customFormat="false" ht="37.5" hidden="false" customHeight="true" outlineLevel="0" collapsed="false">
      <c r="A700" s="39"/>
      <c r="B700" s="40" t="s">
        <v>767</v>
      </c>
      <c r="C700" s="41" t="s">
        <v>113</v>
      </c>
      <c r="D700" s="41" t="s">
        <v>108</v>
      </c>
      <c r="E700" s="42" t="n">
        <v>2000</v>
      </c>
      <c r="F700" s="42" t="n">
        <v>500</v>
      </c>
      <c r="G700" s="42" t="n">
        <v>200</v>
      </c>
      <c r="H700" s="43" t="n">
        <v>1</v>
      </c>
      <c r="I700" s="34" t="n">
        <f aca="false">E700*H700+N(F700)+N(G700)</f>
        <v>2700</v>
      </c>
      <c r="J700" s="42" t="n">
        <f aca="false">ROUND(IFERROR(ROUND(IF(OR(ISNUMBER(SEARCH("week",C700)),ISNUMBER(SEARCH("minggu",C700))),IFERROR(_xlfn.NUMBERVALUE(SUBSTITUTE(LEFT(TRIM(C700),FIND(" ",TRIM(C700)&amp;" ")-1),",","."),"."),LEFT(SUBSTITUTE(LEFT(TRIM(C700),FIND(" ",TRIM(C700)&amp;" ")-1),",","."),FIND("/",SUBSTITUTE(LEFT(TRIM(C700),FIND(" ",TRIM(C700)&amp;" ")-1),",","."))-1)/MID(SUBSTITUTE(LEFT(TRIM(C700),FIND(" ",TRIM(C700)&amp;" ")-1),",","."),FIND("/",SUBSTITUTE(LEFT(TRIM(C700),FIND(" ",TRIM(C700)&amp;" ")-1),",","."))+1,9))*12/52,IF(ISNUMBER(SEARCH("month",C700)),IFERROR(_xlfn.NUMBERVALUE(SUBSTITUTE(LEFT(TRIM(C700),FIND(" ",TRIM(C700)&amp;" ")-1),",","."),"."),LEFT(SUBSTITUTE(LEFT(TRIM(C700),FIND(" ",TRIM(C700)&amp;" ")-1),",","."),FIND("/",SUBSTITUTE(LEFT(TRIM(C700),FIND(" ",TRIM(C700)&amp;" ")-1),",","."))-1)/MID(SUBSTITUTE(LEFT(TRIM(C700),FIND(" ",TRIM(C700)&amp;" ")-1),",","."),FIND("/",SUBSTITUTE(LEFT(TRIM(C700),FIND(" ",TRIM(C700)&amp;" ")-1),",","."))+1,9)),IF(ISNUMBER(SEARCH("yea",C700)),IFERROR(_xlfn.NUMBERVALUE(SUBSTITUTE(LEFT(TRIM(C700),FIND(" ",TRIM(C700)&amp;" ")-1),",","."),"."),LEFT(SUBSTITUTE(LEFT(TRIM(C700),FIND(" ",TRIM(C700)&amp;" ")-1),",","."),FIND("/",SUBSTITUTE(LEFT(TRIM(C700),FIND(" ",TRIM(C700)&amp;" ")-1),",","."))-1)/MID(SUBSTITUTE(LEFT(TRIM(C700),FIND(" ",TRIM(C700)&amp;" ")-1),",","."),FIND("/",SUBSTITUTE(LEFT(TRIM(C700),FIND(" ",TRIM(C700)&amp;" ")-1),",","."))+1,9))*12,NA()))),0),18)*'Aturan &amp; Tarif'!$B$4,2)</f>
        <v>1022.04</v>
      </c>
      <c r="K700" s="42" t="n">
        <f aca="false">'Aturan &amp; Tarif'!$B$5</f>
        <v>2050</v>
      </c>
      <c r="L700" s="35" t="n">
        <f aca="false">I700+J700+K700</f>
        <v>5772.04</v>
      </c>
      <c r="M700" s="44" t="s">
        <v>3220</v>
      </c>
    </row>
    <row r="701" customFormat="false" ht="37.5" hidden="false" customHeight="true" outlineLevel="0" collapsed="false">
      <c r="A701" s="39"/>
      <c r="B701" s="40" t="s">
        <v>115</v>
      </c>
      <c r="C701" s="41" t="s">
        <v>107</v>
      </c>
      <c r="D701" s="41" t="s">
        <v>108</v>
      </c>
      <c r="E701" s="42" t="n">
        <v>2200</v>
      </c>
      <c r="F701" s="42" t="n">
        <v>1000</v>
      </c>
      <c r="G701" s="42" t="n">
        <v>200</v>
      </c>
      <c r="H701" s="43" t="n">
        <v>1</v>
      </c>
      <c r="I701" s="34" t="n">
        <f aca="false">E701*H701+N(F701)+N(G701)</f>
        <v>3400</v>
      </c>
      <c r="J701" s="42" t="n">
        <f aca="false">ROUND(IFERROR(ROUND(IF(OR(ISNUMBER(SEARCH("week",C701)),ISNUMBER(SEARCH("minggu",C701))),IFERROR(_xlfn.NUMBERVALUE(SUBSTITUTE(LEFT(TRIM(C701),FIND(" ",TRIM(C701)&amp;" ")-1),",","."),"."),LEFT(SUBSTITUTE(LEFT(TRIM(C701),FIND(" ",TRIM(C701)&amp;" ")-1),",","."),FIND("/",SUBSTITUTE(LEFT(TRIM(C701),FIND(" ",TRIM(C701)&amp;" ")-1),",","."))-1)/MID(SUBSTITUTE(LEFT(TRIM(C701),FIND(" ",TRIM(C701)&amp;" ")-1),",","."),FIND("/",SUBSTITUTE(LEFT(TRIM(C701),FIND(" ",TRIM(C701)&amp;" ")-1),",","."))+1,9))*12/52,IF(ISNUMBER(SEARCH("month",C701)),IFERROR(_xlfn.NUMBERVALUE(SUBSTITUTE(LEFT(TRIM(C701),FIND(" ",TRIM(C701)&amp;" ")-1),",","."),"."),LEFT(SUBSTITUTE(LEFT(TRIM(C701),FIND(" ",TRIM(C701)&amp;" ")-1),",","."),FIND("/",SUBSTITUTE(LEFT(TRIM(C701),FIND(" ",TRIM(C701)&amp;" ")-1),",","."))-1)/MID(SUBSTITUTE(LEFT(TRIM(C701),FIND(" ",TRIM(C701)&amp;" ")-1),",","."),FIND("/",SUBSTITUTE(LEFT(TRIM(C701),FIND(" ",TRIM(C701)&amp;" ")-1),",","."))+1,9)),IF(ISNUMBER(SEARCH("yea",C701)),IFERROR(_xlfn.NUMBERVALUE(SUBSTITUTE(LEFT(TRIM(C701),FIND(" ",TRIM(C701)&amp;" ")-1),",","."),"."),LEFT(SUBSTITUTE(LEFT(TRIM(C701),FIND(" ",TRIM(C701)&amp;" ")-1),",","."),FIND("/",SUBSTITUTE(LEFT(TRIM(C701),FIND(" ",TRIM(C701)&amp;" ")-1),",","."))-1)/MID(SUBSTITUTE(LEFT(TRIM(C701),FIND(" ",TRIM(C701)&amp;" ")-1),",","."),FIND("/",SUBSTITUTE(LEFT(TRIM(C701),FIND(" ",TRIM(C701)&amp;" ")-1),",","."))+1,9))*12,NA()))),0),24)*'Aturan &amp; Tarif'!$B$4,2)</f>
        <v>1362.72</v>
      </c>
      <c r="K701" s="42" t="n">
        <f aca="false">'Aturan &amp; Tarif'!$B$5</f>
        <v>2050</v>
      </c>
      <c r="L701" s="35" t="n">
        <f aca="false">I701+J701+K701</f>
        <v>6812.72</v>
      </c>
      <c r="M701" s="44" t="s">
        <v>3221</v>
      </c>
    </row>
    <row r="702" customFormat="false" ht="48.75" hidden="false" customHeight="true" outlineLevel="0" collapsed="false">
      <c r="A702" s="39"/>
      <c r="B702" s="40" t="s">
        <v>3222</v>
      </c>
      <c r="C702" s="41" t="s">
        <v>136</v>
      </c>
      <c r="D702" s="41" t="s">
        <v>108</v>
      </c>
      <c r="E702" s="42" t="n">
        <v>2200</v>
      </c>
      <c r="F702" s="42" t="n">
        <v>500</v>
      </c>
      <c r="G702" s="42" t="n">
        <v>200</v>
      </c>
      <c r="H702" s="43" t="n">
        <v>1</v>
      </c>
      <c r="I702" s="34" t="n">
        <f aca="false">E702*H702+N(F702)+N(G702)</f>
        <v>2900</v>
      </c>
      <c r="J702" s="42" t="n">
        <f aca="false">ROUND(IFERROR(ROUND(IF(OR(ISNUMBER(SEARCH("week",C702)),ISNUMBER(SEARCH("minggu",C702))),IFERROR(_xlfn.NUMBERVALUE(SUBSTITUTE(LEFT(TRIM(C702),FIND(" ",TRIM(C702)&amp;" ")-1),",","."),"."),LEFT(SUBSTITUTE(LEFT(TRIM(C702),FIND(" ",TRIM(C702)&amp;" ")-1),",","."),FIND("/",SUBSTITUTE(LEFT(TRIM(C702),FIND(" ",TRIM(C702)&amp;" ")-1),",","."))-1)/MID(SUBSTITUTE(LEFT(TRIM(C702),FIND(" ",TRIM(C702)&amp;" ")-1),",","."),FIND("/",SUBSTITUTE(LEFT(TRIM(C702),FIND(" ",TRIM(C702)&amp;" ")-1),",","."))+1,9))*12/52,IF(ISNUMBER(SEARCH("month",C702)),IFERROR(_xlfn.NUMBERVALUE(SUBSTITUTE(LEFT(TRIM(C702),FIND(" ",TRIM(C702)&amp;" ")-1),",","."),"."),LEFT(SUBSTITUTE(LEFT(TRIM(C702),FIND(" ",TRIM(C702)&amp;" ")-1),",","."),FIND("/",SUBSTITUTE(LEFT(TRIM(C702),FIND(" ",TRIM(C702)&amp;" ")-1),",","."))-1)/MID(SUBSTITUTE(LEFT(TRIM(C702),FIND(" ",TRIM(C702)&amp;" ")-1),",","."),FIND("/",SUBSTITUTE(LEFT(TRIM(C702),FIND(" ",TRIM(C702)&amp;" ")-1),",","."))+1,9)),IF(ISNUMBER(SEARCH("yea",C702)),IFERROR(_xlfn.NUMBERVALUE(SUBSTITUTE(LEFT(TRIM(C702),FIND(" ",TRIM(C702)&amp;" ")-1),",","."),"."),LEFT(SUBSTITUTE(LEFT(TRIM(C702),FIND(" ",TRIM(C702)&amp;" ")-1),",","."),FIND("/",SUBSTITUTE(LEFT(TRIM(C702),FIND(" ",TRIM(C702)&amp;" ")-1),",","."))-1)/MID(SUBSTITUTE(LEFT(TRIM(C702),FIND(" ",TRIM(C702)&amp;" ")-1),",","."),FIND("/",SUBSTITUTE(LEFT(TRIM(C702),FIND(" ",TRIM(C702)&amp;" ")-1),",","."))+1,9))*12,NA()))),0),42)*'Aturan &amp; Tarif'!$B$4,2)</f>
        <v>2384.76</v>
      </c>
      <c r="K702" s="42" t="n">
        <f aca="false">'Aturan &amp; Tarif'!$B$5</f>
        <v>2050</v>
      </c>
      <c r="L702" s="35" t="n">
        <f aca="false">I702+J702+K702</f>
        <v>7334.76</v>
      </c>
      <c r="M702" s="44" t="s">
        <v>3223</v>
      </c>
    </row>
    <row r="703" customFormat="false" ht="14.25" hidden="false" customHeight="true" outlineLevel="0" collapsed="false">
      <c r="A703" s="39"/>
      <c r="B703" s="40" t="s">
        <v>594</v>
      </c>
      <c r="C703" s="41" t="s">
        <v>113</v>
      </c>
      <c r="D703" s="41" t="s">
        <v>108</v>
      </c>
      <c r="E703" s="42" t="n">
        <v>1250</v>
      </c>
      <c r="F703" s="42" t="n">
        <v>500</v>
      </c>
      <c r="G703" s="42" t="n">
        <v>200</v>
      </c>
      <c r="H703" s="43" t="n">
        <v>1</v>
      </c>
      <c r="I703" s="34" t="n">
        <f aca="false">E703*H703+N(F703)+N(G703)</f>
        <v>1950</v>
      </c>
      <c r="J703" s="42" t="n">
        <f aca="false">ROUND(IFERROR(ROUND(IF(OR(ISNUMBER(SEARCH("week",C703)),ISNUMBER(SEARCH("minggu",C703))),IFERROR(_xlfn.NUMBERVALUE(SUBSTITUTE(LEFT(TRIM(C703),FIND(" ",TRIM(C703)&amp;" ")-1),",","."),"."),LEFT(SUBSTITUTE(LEFT(TRIM(C703),FIND(" ",TRIM(C703)&amp;" ")-1),",","."),FIND("/",SUBSTITUTE(LEFT(TRIM(C703),FIND(" ",TRIM(C703)&amp;" ")-1),",","."))-1)/MID(SUBSTITUTE(LEFT(TRIM(C703),FIND(" ",TRIM(C703)&amp;" ")-1),",","."),FIND("/",SUBSTITUTE(LEFT(TRIM(C703),FIND(" ",TRIM(C703)&amp;" ")-1),",","."))+1,9))*12/52,IF(ISNUMBER(SEARCH("month",C703)),IFERROR(_xlfn.NUMBERVALUE(SUBSTITUTE(LEFT(TRIM(C703),FIND(" ",TRIM(C703)&amp;" ")-1),",","."),"."),LEFT(SUBSTITUTE(LEFT(TRIM(C703),FIND(" ",TRIM(C703)&amp;" ")-1),",","."),FIND("/",SUBSTITUTE(LEFT(TRIM(C703),FIND(" ",TRIM(C703)&amp;" ")-1),",","."))-1)/MID(SUBSTITUTE(LEFT(TRIM(C703),FIND(" ",TRIM(C703)&amp;" ")-1),",","."),FIND("/",SUBSTITUTE(LEFT(TRIM(C703),FIND(" ",TRIM(C703)&amp;" ")-1),",","."))+1,9)),IF(ISNUMBER(SEARCH("yea",C703)),IFERROR(_xlfn.NUMBERVALUE(SUBSTITUTE(LEFT(TRIM(C703),FIND(" ",TRIM(C703)&amp;" ")-1),",","."),"."),LEFT(SUBSTITUTE(LEFT(TRIM(C703),FIND(" ",TRIM(C703)&amp;" ")-1),",","."),FIND("/",SUBSTITUTE(LEFT(TRIM(C703),FIND(" ",TRIM(C703)&amp;" ")-1),",","."))-1)/MID(SUBSTITUTE(LEFT(TRIM(C703),FIND(" ",TRIM(C703)&amp;" ")-1),",","."),FIND("/",SUBSTITUTE(LEFT(TRIM(C703),FIND(" ",TRIM(C703)&amp;" ")-1),",","."))+1,9))*12,NA()))),0),18)*'Aturan &amp; Tarif'!$B$4,2)</f>
        <v>1022.04</v>
      </c>
      <c r="K703" s="42" t="n">
        <f aca="false">'Aturan &amp; Tarif'!$B$5</f>
        <v>2050</v>
      </c>
      <c r="L703" s="35" t="n">
        <f aca="false">I703+J703+K703</f>
        <v>5022.04</v>
      </c>
      <c r="M703" s="45" t="s">
        <v>2561</v>
      </c>
    </row>
    <row r="704" customFormat="false" ht="37.5" hidden="false" customHeight="true" outlineLevel="0" collapsed="false">
      <c r="A704" s="39"/>
      <c r="B704" s="40" t="s">
        <v>3224</v>
      </c>
      <c r="C704" s="41" t="s">
        <v>136</v>
      </c>
      <c r="D704" s="41" t="s">
        <v>108</v>
      </c>
      <c r="E704" s="42" t="n">
        <v>1250</v>
      </c>
      <c r="F704" s="42"/>
      <c r="G704" s="42" t="n">
        <v>200</v>
      </c>
      <c r="H704" s="43" t="n">
        <v>1</v>
      </c>
      <c r="I704" s="34" t="n">
        <f aca="false">E704*H704+N(F704)+N(G704)</f>
        <v>1450</v>
      </c>
      <c r="J704" s="42" t="n">
        <f aca="false">ROUND(IFERROR(ROUND(IF(OR(ISNUMBER(SEARCH("week",C704)),ISNUMBER(SEARCH("minggu",C704))),IFERROR(_xlfn.NUMBERVALUE(SUBSTITUTE(LEFT(TRIM(C704),FIND(" ",TRIM(C704)&amp;" ")-1),",","."),"."),LEFT(SUBSTITUTE(LEFT(TRIM(C704),FIND(" ",TRIM(C704)&amp;" ")-1),",","."),FIND("/",SUBSTITUTE(LEFT(TRIM(C704),FIND(" ",TRIM(C704)&amp;" ")-1),",","."))-1)/MID(SUBSTITUTE(LEFT(TRIM(C704),FIND(" ",TRIM(C704)&amp;" ")-1),",","."),FIND("/",SUBSTITUTE(LEFT(TRIM(C704),FIND(" ",TRIM(C704)&amp;" ")-1),",","."))+1,9))*12/52,IF(ISNUMBER(SEARCH("month",C704)),IFERROR(_xlfn.NUMBERVALUE(SUBSTITUTE(LEFT(TRIM(C704),FIND(" ",TRIM(C704)&amp;" ")-1),",","."),"."),LEFT(SUBSTITUTE(LEFT(TRIM(C704),FIND(" ",TRIM(C704)&amp;" ")-1),",","."),FIND("/",SUBSTITUTE(LEFT(TRIM(C704),FIND(" ",TRIM(C704)&amp;" ")-1),",","."))-1)/MID(SUBSTITUTE(LEFT(TRIM(C704),FIND(" ",TRIM(C704)&amp;" ")-1),",","."),FIND("/",SUBSTITUTE(LEFT(TRIM(C704),FIND(" ",TRIM(C704)&amp;" ")-1),",","."))+1,9)),IF(ISNUMBER(SEARCH("yea",C704)),IFERROR(_xlfn.NUMBERVALUE(SUBSTITUTE(LEFT(TRIM(C704),FIND(" ",TRIM(C704)&amp;" ")-1),",","."),"."),LEFT(SUBSTITUTE(LEFT(TRIM(C704),FIND(" ",TRIM(C704)&amp;" ")-1),",","."),FIND("/",SUBSTITUTE(LEFT(TRIM(C704),FIND(" ",TRIM(C704)&amp;" ")-1),",","."))-1)/MID(SUBSTITUTE(LEFT(TRIM(C704),FIND(" ",TRIM(C704)&amp;" ")-1),",","."),FIND("/",SUBSTITUTE(LEFT(TRIM(C704),FIND(" ",TRIM(C704)&amp;" ")-1),",","."))+1,9))*12,NA()))),0),42)*'Aturan &amp; Tarif'!$B$4,2)</f>
        <v>2384.76</v>
      </c>
      <c r="K704" s="42" t="n">
        <f aca="false">'Aturan &amp; Tarif'!$B$5</f>
        <v>2050</v>
      </c>
      <c r="L704" s="35" t="n">
        <f aca="false">I704+J704+K704</f>
        <v>5884.76</v>
      </c>
      <c r="M704" s="44" t="s">
        <v>3225</v>
      </c>
    </row>
    <row r="705" customFormat="false" ht="37.5" hidden="false" customHeight="true" outlineLevel="0" collapsed="false">
      <c r="A705" s="39"/>
      <c r="B705" s="40" t="s">
        <v>3226</v>
      </c>
      <c r="C705" s="41" t="s">
        <v>136</v>
      </c>
      <c r="D705" s="41" t="s">
        <v>108</v>
      </c>
      <c r="E705" s="42" t="n">
        <v>1250</v>
      </c>
      <c r="F705" s="42"/>
      <c r="G705" s="42" t="n">
        <v>200</v>
      </c>
      <c r="H705" s="43" t="n">
        <v>1</v>
      </c>
      <c r="I705" s="34" t="n">
        <f aca="false">E705*H705+N(F705)+N(G705)</f>
        <v>1450</v>
      </c>
      <c r="J705" s="42" t="n">
        <f aca="false">ROUND(IFERROR(ROUND(IF(OR(ISNUMBER(SEARCH("week",C705)),ISNUMBER(SEARCH("minggu",C705))),IFERROR(_xlfn.NUMBERVALUE(SUBSTITUTE(LEFT(TRIM(C705),FIND(" ",TRIM(C705)&amp;" ")-1),",","."),"."),LEFT(SUBSTITUTE(LEFT(TRIM(C705),FIND(" ",TRIM(C705)&amp;" ")-1),",","."),FIND("/",SUBSTITUTE(LEFT(TRIM(C705),FIND(" ",TRIM(C705)&amp;" ")-1),",","."))-1)/MID(SUBSTITUTE(LEFT(TRIM(C705),FIND(" ",TRIM(C705)&amp;" ")-1),",","."),FIND("/",SUBSTITUTE(LEFT(TRIM(C705),FIND(" ",TRIM(C705)&amp;" ")-1),",","."))+1,9))*12/52,IF(ISNUMBER(SEARCH("month",C705)),IFERROR(_xlfn.NUMBERVALUE(SUBSTITUTE(LEFT(TRIM(C705),FIND(" ",TRIM(C705)&amp;" ")-1),",","."),"."),LEFT(SUBSTITUTE(LEFT(TRIM(C705),FIND(" ",TRIM(C705)&amp;" ")-1),",","."),FIND("/",SUBSTITUTE(LEFT(TRIM(C705),FIND(" ",TRIM(C705)&amp;" ")-1),",","."))-1)/MID(SUBSTITUTE(LEFT(TRIM(C705),FIND(" ",TRIM(C705)&amp;" ")-1),",","."),FIND("/",SUBSTITUTE(LEFT(TRIM(C705),FIND(" ",TRIM(C705)&amp;" ")-1),",","."))+1,9)),IF(ISNUMBER(SEARCH("yea",C705)),IFERROR(_xlfn.NUMBERVALUE(SUBSTITUTE(LEFT(TRIM(C705),FIND(" ",TRIM(C705)&amp;" ")-1),",","."),"."),LEFT(SUBSTITUTE(LEFT(TRIM(C705),FIND(" ",TRIM(C705)&amp;" ")-1),",","."),FIND("/",SUBSTITUTE(LEFT(TRIM(C705),FIND(" ",TRIM(C705)&amp;" ")-1),",","."))-1)/MID(SUBSTITUTE(LEFT(TRIM(C705),FIND(" ",TRIM(C705)&amp;" ")-1),",","."),FIND("/",SUBSTITUTE(LEFT(TRIM(C705),FIND(" ",TRIM(C705)&amp;" ")-1),",","."))+1,9))*12,NA()))),0),42)*'Aturan &amp; Tarif'!$B$4,2)</f>
        <v>2384.76</v>
      </c>
      <c r="K705" s="42" t="n">
        <f aca="false">'Aturan &amp; Tarif'!$B$5</f>
        <v>2050</v>
      </c>
      <c r="L705" s="35" t="n">
        <f aca="false">I705+J705+K705</f>
        <v>5884.76</v>
      </c>
      <c r="M705" s="44" t="s">
        <v>3225</v>
      </c>
    </row>
    <row r="706" customFormat="false" ht="25.5" hidden="false" customHeight="true" outlineLevel="0" collapsed="false">
      <c r="A706" s="39"/>
      <c r="B706" s="40" t="s">
        <v>2300</v>
      </c>
      <c r="C706" s="41" t="s">
        <v>107</v>
      </c>
      <c r="D706" s="41" t="s">
        <v>108</v>
      </c>
      <c r="E706" s="42" t="n">
        <v>1500</v>
      </c>
      <c r="F706" s="42"/>
      <c r="G706" s="42" t="n">
        <v>200</v>
      </c>
      <c r="H706" s="43" t="n">
        <v>1</v>
      </c>
      <c r="I706" s="34" t="n">
        <f aca="false">E706*H706+N(F706)+N(G706)</f>
        <v>1700</v>
      </c>
      <c r="J706" s="42" t="n">
        <f aca="false">ROUND(IFERROR(ROUND(IF(OR(ISNUMBER(SEARCH("week",C706)),ISNUMBER(SEARCH("minggu",C706))),IFERROR(_xlfn.NUMBERVALUE(SUBSTITUTE(LEFT(TRIM(C706),FIND(" ",TRIM(C706)&amp;" ")-1),",","."),"."),LEFT(SUBSTITUTE(LEFT(TRIM(C706),FIND(" ",TRIM(C706)&amp;" ")-1),",","."),FIND("/",SUBSTITUTE(LEFT(TRIM(C706),FIND(" ",TRIM(C706)&amp;" ")-1),",","."))-1)/MID(SUBSTITUTE(LEFT(TRIM(C706),FIND(" ",TRIM(C706)&amp;" ")-1),",","."),FIND("/",SUBSTITUTE(LEFT(TRIM(C706),FIND(" ",TRIM(C706)&amp;" ")-1),",","."))+1,9))*12/52,IF(ISNUMBER(SEARCH("month",C706)),IFERROR(_xlfn.NUMBERVALUE(SUBSTITUTE(LEFT(TRIM(C706),FIND(" ",TRIM(C706)&amp;" ")-1),",","."),"."),LEFT(SUBSTITUTE(LEFT(TRIM(C706),FIND(" ",TRIM(C706)&amp;" ")-1),",","."),FIND("/",SUBSTITUTE(LEFT(TRIM(C706),FIND(" ",TRIM(C706)&amp;" ")-1),",","."))-1)/MID(SUBSTITUTE(LEFT(TRIM(C706),FIND(" ",TRIM(C706)&amp;" ")-1),",","."),FIND("/",SUBSTITUTE(LEFT(TRIM(C706),FIND(" ",TRIM(C706)&amp;" ")-1),",","."))+1,9)),IF(ISNUMBER(SEARCH("yea",C706)),IFERROR(_xlfn.NUMBERVALUE(SUBSTITUTE(LEFT(TRIM(C706),FIND(" ",TRIM(C706)&amp;" ")-1),",","."),"."),LEFT(SUBSTITUTE(LEFT(TRIM(C706),FIND(" ",TRIM(C706)&amp;" ")-1),",","."),FIND("/",SUBSTITUTE(LEFT(TRIM(C706),FIND(" ",TRIM(C706)&amp;" ")-1),",","."))-1)/MID(SUBSTITUTE(LEFT(TRIM(C706),FIND(" ",TRIM(C706)&amp;" ")-1),",","."),FIND("/",SUBSTITUTE(LEFT(TRIM(C706),FIND(" ",TRIM(C706)&amp;" ")-1),",","."))+1,9))*12,NA()))),0),24)*'Aturan &amp; Tarif'!$B$4,2)</f>
        <v>1362.72</v>
      </c>
      <c r="K706" s="42" t="n">
        <f aca="false">'Aturan &amp; Tarif'!$B$5</f>
        <v>2050</v>
      </c>
      <c r="L706" s="35" t="n">
        <f aca="false">I706+J706+K706</f>
        <v>5112.72</v>
      </c>
      <c r="M706" s="45" t="s">
        <v>2301</v>
      </c>
    </row>
    <row r="707" customFormat="false" ht="25.5" hidden="false" customHeight="true" outlineLevel="0" collapsed="false">
      <c r="A707" s="39"/>
      <c r="B707" s="40" t="s">
        <v>889</v>
      </c>
      <c r="C707" s="41" t="s">
        <v>107</v>
      </c>
      <c r="D707" s="41" t="s">
        <v>108</v>
      </c>
      <c r="E707" s="42" t="n">
        <v>1500</v>
      </c>
      <c r="F707" s="42"/>
      <c r="G707" s="42" t="n">
        <v>200</v>
      </c>
      <c r="H707" s="43" t="n">
        <v>1</v>
      </c>
      <c r="I707" s="34" t="n">
        <f aca="false">E707*H707+N(F707)+N(G707)</f>
        <v>1700</v>
      </c>
      <c r="J707" s="42" t="n">
        <f aca="false">ROUND(IFERROR(ROUND(IF(OR(ISNUMBER(SEARCH("week",C707)),ISNUMBER(SEARCH("minggu",C707))),IFERROR(_xlfn.NUMBERVALUE(SUBSTITUTE(LEFT(TRIM(C707),FIND(" ",TRIM(C707)&amp;" ")-1),",","."),"."),LEFT(SUBSTITUTE(LEFT(TRIM(C707),FIND(" ",TRIM(C707)&amp;" ")-1),",","."),FIND("/",SUBSTITUTE(LEFT(TRIM(C707),FIND(" ",TRIM(C707)&amp;" ")-1),",","."))-1)/MID(SUBSTITUTE(LEFT(TRIM(C707),FIND(" ",TRIM(C707)&amp;" ")-1),",","."),FIND("/",SUBSTITUTE(LEFT(TRIM(C707),FIND(" ",TRIM(C707)&amp;" ")-1),",","."))+1,9))*12/52,IF(ISNUMBER(SEARCH("month",C707)),IFERROR(_xlfn.NUMBERVALUE(SUBSTITUTE(LEFT(TRIM(C707),FIND(" ",TRIM(C707)&amp;" ")-1),",","."),"."),LEFT(SUBSTITUTE(LEFT(TRIM(C707),FIND(" ",TRIM(C707)&amp;" ")-1),",","."),FIND("/",SUBSTITUTE(LEFT(TRIM(C707),FIND(" ",TRIM(C707)&amp;" ")-1),",","."))-1)/MID(SUBSTITUTE(LEFT(TRIM(C707),FIND(" ",TRIM(C707)&amp;" ")-1),",","."),FIND("/",SUBSTITUTE(LEFT(TRIM(C707),FIND(" ",TRIM(C707)&amp;" ")-1),",","."))+1,9)),IF(ISNUMBER(SEARCH("yea",C707)),IFERROR(_xlfn.NUMBERVALUE(SUBSTITUTE(LEFT(TRIM(C707),FIND(" ",TRIM(C707)&amp;" ")-1),",","."),"."),LEFT(SUBSTITUTE(LEFT(TRIM(C707),FIND(" ",TRIM(C707)&amp;" ")-1),",","."),FIND("/",SUBSTITUTE(LEFT(TRIM(C707),FIND(" ",TRIM(C707)&amp;" ")-1),",","."))-1)/MID(SUBSTITUTE(LEFT(TRIM(C707),FIND(" ",TRIM(C707)&amp;" ")-1),",","."),FIND("/",SUBSTITUTE(LEFT(TRIM(C707),FIND(" ",TRIM(C707)&amp;" ")-1),",","."))+1,9))*12,NA()))),0),24)*'Aturan &amp; Tarif'!$B$4,2)</f>
        <v>1362.72</v>
      </c>
      <c r="K707" s="42" t="n">
        <f aca="false">'Aturan &amp; Tarif'!$B$5</f>
        <v>2050</v>
      </c>
      <c r="L707" s="35" t="n">
        <f aca="false">I707+J707+K707</f>
        <v>5112.72</v>
      </c>
      <c r="M707" s="45" t="s">
        <v>2301</v>
      </c>
    </row>
    <row r="708" customFormat="false" ht="37.5" hidden="false" customHeight="true" outlineLevel="0" collapsed="false">
      <c r="A708" s="39"/>
      <c r="B708" s="40" t="s">
        <v>2059</v>
      </c>
      <c r="C708" s="41" t="s">
        <v>107</v>
      </c>
      <c r="D708" s="41" t="s">
        <v>108</v>
      </c>
      <c r="E708" s="42" t="n">
        <v>1250</v>
      </c>
      <c r="F708" s="42"/>
      <c r="G708" s="42" t="n">
        <v>200</v>
      </c>
      <c r="H708" s="43" t="n">
        <v>1</v>
      </c>
      <c r="I708" s="34" t="n">
        <f aca="false">E708*H708+N(F708)+N(G708)</f>
        <v>1450</v>
      </c>
      <c r="J708" s="42" t="n">
        <f aca="false">ROUND(IFERROR(ROUND(IF(OR(ISNUMBER(SEARCH("week",C708)),ISNUMBER(SEARCH("minggu",C708))),IFERROR(_xlfn.NUMBERVALUE(SUBSTITUTE(LEFT(TRIM(C708),FIND(" ",TRIM(C708)&amp;" ")-1),",","."),"."),LEFT(SUBSTITUTE(LEFT(TRIM(C708),FIND(" ",TRIM(C708)&amp;" ")-1),",","."),FIND("/",SUBSTITUTE(LEFT(TRIM(C708),FIND(" ",TRIM(C708)&amp;" ")-1),",","."))-1)/MID(SUBSTITUTE(LEFT(TRIM(C708),FIND(" ",TRIM(C708)&amp;" ")-1),",","."),FIND("/",SUBSTITUTE(LEFT(TRIM(C708),FIND(" ",TRIM(C708)&amp;" ")-1),",","."))+1,9))*12/52,IF(ISNUMBER(SEARCH("month",C708)),IFERROR(_xlfn.NUMBERVALUE(SUBSTITUTE(LEFT(TRIM(C708),FIND(" ",TRIM(C708)&amp;" ")-1),",","."),"."),LEFT(SUBSTITUTE(LEFT(TRIM(C708),FIND(" ",TRIM(C708)&amp;" ")-1),",","."),FIND("/",SUBSTITUTE(LEFT(TRIM(C708),FIND(" ",TRIM(C708)&amp;" ")-1),",","."))-1)/MID(SUBSTITUTE(LEFT(TRIM(C708),FIND(" ",TRIM(C708)&amp;" ")-1),",","."),FIND("/",SUBSTITUTE(LEFT(TRIM(C708),FIND(" ",TRIM(C708)&amp;" ")-1),",","."))+1,9)),IF(ISNUMBER(SEARCH("yea",C708)),IFERROR(_xlfn.NUMBERVALUE(SUBSTITUTE(LEFT(TRIM(C708),FIND(" ",TRIM(C708)&amp;" ")-1),",","."),"."),LEFT(SUBSTITUTE(LEFT(TRIM(C708),FIND(" ",TRIM(C708)&amp;" ")-1),",","."),FIND("/",SUBSTITUTE(LEFT(TRIM(C708),FIND(" ",TRIM(C708)&amp;" ")-1),",","."))-1)/MID(SUBSTITUTE(LEFT(TRIM(C708),FIND(" ",TRIM(C708)&amp;" ")-1),",","."),FIND("/",SUBSTITUTE(LEFT(TRIM(C708),FIND(" ",TRIM(C708)&amp;" ")-1),",","."))+1,9))*12,NA()))),0),24)*'Aturan &amp; Tarif'!$B$4,2)</f>
        <v>1362.72</v>
      </c>
      <c r="K708" s="42" t="n">
        <f aca="false">'Aturan &amp; Tarif'!$B$5</f>
        <v>2050</v>
      </c>
      <c r="L708" s="35" t="n">
        <f aca="false">I708+J708+K708</f>
        <v>4862.72</v>
      </c>
      <c r="M708" s="44" t="s">
        <v>3227</v>
      </c>
    </row>
    <row r="709" customFormat="false" ht="37.5" hidden="false" customHeight="true" outlineLevel="0" collapsed="false">
      <c r="A709" s="39"/>
      <c r="B709" s="40" t="s">
        <v>3204</v>
      </c>
      <c r="C709" s="41" t="s">
        <v>191</v>
      </c>
      <c r="D709" s="41" t="s">
        <v>108</v>
      </c>
      <c r="E709" s="42" t="n">
        <v>1250</v>
      </c>
      <c r="F709" s="42"/>
      <c r="G709" s="42" t="n">
        <v>200</v>
      </c>
      <c r="H709" s="43" t="n">
        <v>1</v>
      </c>
      <c r="I709" s="34" t="n">
        <f aca="false">E709*H709+N(F709)+N(G709)</f>
        <v>1450</v>
      </c>
      <c r="J709" s="42" t="n">
        <f aca="false">ROUND(IFERROR(ROUND(IF(OR(ISNUMBER(SEARCH("week",C709)),ISNUMBER(SEARCH("minggu",C709))),IFERROR(_xlfn.NUMBERVALUE(SUBSTITUTE(LEFT(TRIM(C709),FIND(" ",TRIM(C709)&amp;" ")-1),",","."),"."),LEFT(SUBSTITUTE(LEFT(TRIM(C709),FIND(" ",TRIM(C709)&amp;" ")-1),",","."),FIND("/",SUBSTITUTE(LEFT(TRIM(C709),FIND(" ",TRIM(C709)&amp;" ")-1),",","."))-1)/MID(SUBSTITUTE(LEFT(TRIM(C709),FIND(" ",TRIM(C709)&amp;" ")-1),",","."),FIND("/",SUBSTITUTE(LEFT(TRIM(C709),FIND(" ",TRIM(C709)&amp;" ")-1),",","."))+1,9))*12/52,IF(ISNUMBER(SEARCH("month",C709)),IFERROR(_xlfn.NUMBERVALUE(SUBSTITUTE(LEFT(TRIM(C709),FIND(" ",TRIM(C709)&amp;" ")-1),",","."),"."),LEFT(SUBSTITUTE(LEFT(TRIM(C709),FIND(" ",TRIM(C709)&amp;" ")-1),",","."),FIND("/",SUBSTITUTE(LEFT(TRIM(C709),FIND(" ",TRIM(C709)&amp;" ")-1),",","."))-1)/MID(SUBSTITUTE(LEFT(TRIM(C709),FIND(" ",TRIM(C709)&amp;" ")-1),",","."),FIND("/",SUBSTITUTE(LEFT(TRIM(C709),FIND(" ",TRIM(C709)&amp;" ")-1),",","."))+1,9)),IF(ISNUMBER(SEARCH("yea",C709)),IFERROR(_xlfn.NUMBERVALUE(SUBSTITUTE(LEFT(TRIM(C709),FIND(" ",TRIM(C709)&amp;" ")-1),",","."),"."),LEFT(SUBSTITUTE(LEFT(TRIM(C709),FIND(" ",TRIM(C709)&amp;" ")-1),",","."),FIND("/",SUBSTITUTE(LEFT(TRIM(C709),FIND(" ",TRIM(C709)&amp;" ")-1),",","."))-1)/MID(SUBSTITUTE(LEFT(TRIM(C709),FIND(" ",TRIM(C709)&amp;" ")-1),",","."),FIND("/",SUBSTITUTE(LEFT(TRIM(C709),FIND(" ",TRIM(C709)&amp;" ")-1),",","."))+1,9))*12,NA()))),0),48)*'Aturan &amp; Tarif'!$B$4,2)</f>
        <v>2725.44</v>
      </c>
      <c r="K709" s="42" t="n">
        <f aca="false">'Aturan &amp; Tarif'!$B$5</f>
        <v>2050</v>
      </c>
      <c r="L709" s="35" t="n">
        <f aca="false">I709+J709+K709</f>
        <v>6225.44</v>
      </c>
      <c r="M709" s="44" t="s">
        <v>3227</v>
      </c>
    </row>
    <row r="710" customFormat="false" ht="37.5" hidden="false" customHeight="true" outlineLevel="0" collapsed="false">
      <c r="A710" s="39"/>
      <c r="B710" s="40" t="s">
        <v>3228</v>
      </c>
      <c r="C710" s="41" t="s">
        <v>107</v>
      </c>
      <c r="D710" s="41" t="s">
        <v>108</v>
      </c>
      <c r="E710" s="42" t="n">
        <v>1250</v>
      </c>
      <c r="F710" s="42"/>
      <c r="G710" s="42" t="n">
        <v>200</v>
      </c>
      <c r="H710" s="43" t="n">
        <v>1</v>
      </c>
      <c r="I710" s="34" t="n">
        <f aca="false">E710*H710+N(F710)+N(G710)</f>
        <v>1450</v>
      </c>
      <c r="J710" s="42" t="n">
        <f aca="false">ROUND(IFERROR(ROUND(IF(OR(ISNUMBER(SEARCH("week",C710)),ISNUMBER(SEARCH("minggu",C710))),IFERROR(_xlfn.NUMBERVALUE(SUBSTITUTE(LEFT(TRIM(C710),FIND(" ",TRIM(C710)&amp;" ")-1),",","."),"."),LEFT(SUBSTITUTE(LEFT(TRIM(C710),FIND(" ",TRIM(C710)&amp;" ")-1),",","."),FIND("/",SUBSTITUTE(LEFT(TRIM(C710),FIND(" ",TRIM(C710)&amp;" ")-1),",","."))-1)/MID(SUBSTITUTE(LEFT(TRIM(C710),FIND(" ",TRIM(C710)&amp;" ")-1),",","."),FIND("/",SUBSTITUTE(LEFT(TRIM(C710),FIND(" ",TRIM(C710)&amp;" ")-1),",","."))+1,9))*12/52,IF(ISNUMBER(SEARCH("month",C710)),IFERROR(_xlfn.NUMBERVALUE(SUBSTITUTE(LEFT(TRIM(C710),FIND(" ",TRIM(C710)&amp;" ")-1),",","."),"."),LEFT(SUBSTITUTE(LEFT(TRIM(C710),FIND(" ",TRIM(C710)&amp;" ")-1),",","."),FIND("/",SUBSTITUTE(LEFT(TRIM(C710),FIND(" ",TRIM(C710)&amp;" ")-1),",","."))-1)/MID(SUBSTITUTE(LEFT(TRIM(C710),FIND(" ",TRIM(C710)&amp;" ")-1),",","."),FIND("/",SUBSTITUTE(LEFT(TRIM(C710),FIND(" ",TRIM(C710)&amp;" ")-1),",","."))+1,9)),IF(ISNUMBER(SEARCH("yea",C710)),IFERROR(_xlfn.NUMBERVALUE(SUBSTITUTE(LEFT(TRIM(C710),FIND(" ",TRIM(C710)&amp;" ")-1),",","."),"."),LEFT(SUBSTITUTE(LEFT(TRIM(C710),FIND(" ",TRIM(C710)&amp;" ")-1),",","."),FIND("/",SUBSTITUTE(LEFT(TRIM(C710),FIND(" ",TRIM(C710)&amp;" ")-1),",","."))-1)/MID(SUBSTITUTE(LEFT(TRIM(C710),FIND(" ",TRIM(C710)&amp;" ")-1),",","."),FIND("/",SUBSTITUTE(LEFT(TRIM(C710),FIND(" ",TRIM(C710)&amp;" ")-1),",","."))+1,9))*12,NA()))),0),24)*'Aturan &amp; Tarif'!$B$4,2)</f>
        <v>1362.72</v>
      </c>
      <c r="K710" s="42" t="n">
        <f aca="false">'Aturan &amp; Tarif'!$B$5</f>
        <v>2050</v>
      </c>
      <c r="L710" s="35" t="n">
        <f aca="false">I710+J710+K710</f>
        <v>4862.72</v>
      </c>
      <c r="M710" s="44" t="s">
        <v>3229</v>
      </c>
    </row>
    <row r="711" customFormat="false" ht="37.5" hidden="false" customHeight="true" outlineLevel="0" collapsed="false">
      <c r="A711" s="39"/>
      <c r="B711" s="40" t="s">
        <v>3230</v>
      </c>
      <c r="C711" s="41" t="s">
        <v>191</v>
      </c>
      <c r="D711" s="41" t="s">
        <v>108</v>
      </c>
      <c r="E711" s="42" t="n">
        <v>1250</v>
      </c>
      <c r="F711" s="42"/>
      <c r="G711" s="42" t="n">
        <v>200</v>
      </c>
      <c r="H711" s="43" t="n">
        <v>1</v>
      </c>
      <c r="I711" s="34" t="n">
        <f aca="false">E711*H711+N(F711)+N(G711)</f>
        <v>1450</v>
      </c>
      <c r="J711" s="42" t="n">
        <f aca="false">ROUND(IFERROR(ROUND(IF(OR(ISNUMBER(SEARCH("week",C711)),ISNUMBER(SEARCH("minggu",C711))),IFERROR(_xlfn.NUMBERVALUE(SUBSTITUTE(LEFT(TRIM(C711),FIND(" ",TRIM(C711)&amp;" ")-1),",","."),"."),LEFT(SUBSTITUTE(LEFT(TRIM(C711),FIND(" ",TRIM(C711)&amp;" ")-1),",","."),FIND("/",SUBSTITUTE(LEFT(TRIM(C711),FIND(" ",TRIM(C711)&amp;" ")-1),",","."))-1)/MID(SUBSTITUTE(LEFT(TRIM(C711),FIND(" ",TRIM(C711)&amp;" ")-1),",","."),FIND("/",SUBSTITUTE(LEFT(TRIM(C711),FIND(" ",TRIM(C711)&amp;" ")-1),",","."))+1,9))*12/52,IF(ISNUMBER(SEARCH("month",C711)),IFERROR(_xlfn.NUMBERVALUE(SUBSTITUTE(LEFT(TRIM(C711),FIND(" ",TRIM(C711)&amp;" ")-1),",","."),"."),LEFT(SUBSTITUTE(LEFT(TRIM(C711),FIND(" ",TRIM(C711)&amp;" ")-1),",","."),FIND("/",SUBSTITUTE(LEFT(TRIM(C711),FIND(" ",TRIM(C711)&amp;" ")-1),",","."))-1)/MID(SUBSTITUTE(LEFT(TRIM(C711),FIND(" ",TRIM(C711)&amp;" ")-1),",","."),FIND("/",SUBSTITUTE(LEFT(TRIM(C711),FIND(" ",TRIM(C711)&amp;" ")-1),",","."))+1,9)),IF(ISNUMBER(SEARCH("yea",C711)),IFERROR(_xlfn.NUMBERVALUE(SUBSTITUTE(LEFT(TRIM(C711),FIND(" ",TRIM(C711)&amp;" ")-1),",","."),"."),LEFT(SUBSTITUTE(LEFT(TRIM(C711),FIND(" ",TRIM(C711)&amp;" ")-1),",","."),FIND("/",SUBSTITUTE(LEFT(TRIM(C711),FIND(" ",TRIM(C711)&amp;" ")-1),",","."))-1)/MID(SUBSTITUTE(LEFT(TRIM(C711),FIND(" ",TRIM(C711)&amp;" ")-1),",","."),FIND("/",SUBSTITUTE(LEFT(TRIM(C711),FIND(" ",TRIM(C711)&amp;" ")-1),",","."))+1,9))*12,NA()))),0),48)*'Aturan &amp; Tarif'!$B$4,2)</f>
        <v>2725.44</v>
      </c>
      <c r="K711" s="42" t="n">
        <f aca="false">'Aturan &amp; Tarif'!$B$5</f>
        <v>2050</v>
      </c>
      <c r="L711" s="35" t="n">
        <f aca="false">I711+J711+K711</f>
        <v>6225.44</v>
      </c>
      <c r="M711" s="44" t="s">
        <v>3229</v>
      </c>
    </row>
    <row r="712" customFormat="false" ht="37.5" hidden="false" customHeight="true" outlineLevel="0" collapsed="false">
      <c r="A712" s="39"/>
      <c r="B712" s="40" t="s">
        <v>2307</v>
      </c>
      <c r="C712" s="41" t="s">
        <v>107</v>
      </c>
      <c r="D712" s="41" t="s">
        <v>108</v>
      </c>
      <c r="E712" s="42" t="n">
        <v>1250</v>
      </c>
      <c r="F712" s="42"/>
      <c r="G712" s="42" t="n">
        <v>200</v>
      </c>
      <c r="H712" s="43" t="n">
        <v>1</v>
      </c>
      <c r="I712" s="34" t="n">
        <f aca="false">E712*H712+N(F712)+N(G712)</f>
        <v>1450</v>
      </c>
      <c r="J712" s="42" t="n">
        <f aca="false">ROUND(IFERROR(ROUND(IF(OR(ISNUMBER(SEARCH("week",C712)),ISNUMBER(SEARCH("minggu",C712))),IFERROR(_xlfn.NUMBERVALUE(SUBSTITUTE(LEFT(TRIM(C712),FIND(" ",TRIM(C712)&amp;" ")-1),",","."),"."),LEFT(SUBSTITUTE(LEFT(TRIM(C712),FIND(" ",TRIM(C712)&amp;" ")-1),",","."),FIND("/",SUBSTITUTE(LEFT(TRIM(C712),FIND(" ",TRIM(C712)&amp;" ")-1),",","."))-1)/MID(SUBSTITUTE(LEFT(TRIM(C712),FIND(" ",TRIM(C712)&amp;" ")-1),",","."),FIND("/",SUBSTITUTE(LEFT(TRIM(C712),FIND(" ",TRIM(C712)&amp;" ")-1),",","."))+1,9))*12/52,IF(ISNUMBER(SEARCH("month",C712)),IFERROR(_xlfn.NUMBERVALUE(SUBSTITUTE(LEFT(TRIM(C712),FIND(" ",TRIM(C712)&amp;" ")-1),",","."),"."),LEFT(SUBSTITUTE(LEFT(TRIM(C712),FIND(" ",TRIM(C712)&amp;" ")-1),",","."),FIND("/",SUBSTITUTE(LEFT(TRIM(C712),FIND(" ",TRIM(C712)&amp;" ")-1),",","."))-1)/MID(SUBSTITUTE(LEFT(TRIM(C712),FIND(" ",TRIM(C712)&amp;" ")-1),",","."),FIND("/",SUBSTITUTE(LEFT(TRIM(C712),FIND(" ",TRIM(C712)&amp;" ")-1),",","."))+1,9)),IF(ISNUMBER(SEARCH("yea",C712)),IFERROR(_xlfn.NUMBERVALUE(SUBSTITUTE(LEFT(TRIM(C712),FIND(" ",TRIM(C712)&amp;" ")-1),",","."),"."),LEFT(SUBSTITUTE(LEFT(TRIM(C712),FIND(" ",TRIM(C712)&amp;" ")-1),",","."),FIND("/",SUBSTITUTE(LEFT(TRIM(C712),FIND(" ",TRIM(C712)&amp;" ")-1),",","."))-1)/MID(SUBSTITUTE(LEFT(TRIM(C712),FIND(" ",TRIM(C712)&amp;" ")-1),",","."),FIND("/",SUBSTITUTE(LEFT(TRIM(C712),FIND(" ",TRIM(C712)&amp;" ")-1),",","."))+1,9))*12,NA()))),0),24)*'Aturan &amp; Tarif'!$B$4,2)</f>
        <v>1362.72</v>
      </c>
      <c r="K712" s="42" t="n">
        <f aca="false">'Aturan &amp; Tarif'!$B$5</f>
        <v>2050</v>
      </c>
      <c r="L712" s="35" t="n">
        <f aca="false">I712+J712+K712</f>
        <v>4862.72</v>
      </c>
      <c r="M712" s="44" t="s">
        <v>3227</v>
      </c>
    </row>
    <row r="713" customFormat="false" ht="37.5" hidden="false" customHeight="true" outlineLevel="0" collapsed="false">
      <c r="A713" s="39"/>
      <c r="B713" s="40" t="s">
        <v>3231</v>
      </c>
      <c r="C713" s="41" t="s">
        <v>191</v>
      </c>
      <c r="D713" s="41" t="s">
        <v>108</v>
      </c>
      <c r="E713" s="42" t="n">
        <v>1250</v>
      </c>
      <c r="F713" s="42"/>
      <c r="G713" s="42" t="n">
        <v>200</v>
      </c>
      <c r="H713" s="43" t="n">
        <v>1</v>
      </c>
      <c r="I713" s="34" t="n">
        <f aca="false">E713*H713+N(F713)+N(G713)</f>
        <v>1450</v>
      </c>
      <c r="J713" s="42" t="n">
        <f aca="false">ROUND(IFERROR(ROUND(IF(OR(ISNUMBER(SEARCH("week",C713)),ISNUMBER(SEARCH("minggu",C713))),IFERROR(_xlfn.NUMBERVALUE(SUBSTITUTE(LEFT(TRIM(C713),FIND(" ",TRIM(C713)&amp;" ")-1),",","."),"."),LEFT(SUBSTITUTE(LEFT(TRIM(C713),FIND(" ",TRIM(C713)&amp;" ")-1),",","."),FIND("/",SUBSTITUTE(LEFT(TRIM(C713),FIND(" ",TRIM(C713)&amp;" ")-1),",","."))-1)/MID(SUBSTITUTE(LEFT(TRIM(C713),FIND(" ",TRIM(C713)&amp;" ")-1),",","."),FIND("/",SUBSTITUTE(LEFT(TRIM(C713),FIND(" ",TRIM(C713)&amp;" ")-1),",","."))+1,9))*12/52,IF(ISNUMBER(SEARCH("month",C713)),IFERROR(_xlfn.NUMBERVALUE(SUBSTITUTE(LEFT(TRIM(C713),FIND(" ",TRIM(C713)&amp;" ")-1),",","."),"."),LEFT(SUBSTITUTE(LEFT(TRIM(C713),FIND(" ",TRIM(C713)&amp;" ")-1),",","."),FIND("/",SUBSTITUTE(LEFT(TRIM(C713),FIND(" ",TRIM(C713)&amp;" ")-1),",","."))-1)/MID(SUBSTITUTE(LEFT(TRIM(C713),FIND(" ",TRIM(C713)&amp;" ")-1),",","."),FIND("/",SUBSTITUTE(LEFT(TRIM(C713),FIND(" ",TRIM(C713)&amp;" ")-1),",","."))+1,9)),IF(ISNUMBER(SEARCH("yea",C713)),IFERROR(_xlfn.NUMBERVALUE(SUBSTITUTE(LEFT(TRIM(C713),FIND(" ",TRIM(C713)&amp;" ")-1),",","."),"."),LEFT(SUBSTITUTE(LEFT(TRIM(C713),FIND(" ",TRIM(C713)&amp;" ")-1),",","."),FIND("/",SUBSTITUTE(LEFT(TRIM(C713),FIND(" ",TRIM(C713)&amp;" ")-1),",","."))-1)/MID(SUBSTITUTE(LEFT(TRIM(C713),FIND(" ",TRIM(C713)&amp;" ")-1),",","."),FIND("/",SUBSTITUTE(LEFT(TRIM(C713),FIND(" ",TRIM(C713)&amp;" ")-1),",","."))+1,9))*12,NA()))),0),48)*'Aturan &amp; Tarif'!$B$4,2)</f>
        <v>2725.44</v>
      </c>
      <c r="K713" s="42" t="n">
        <f aca="false">'Aturan &amp; Tarif'!$B$5</f>
        <v>2050</v>
      </c>
      <c r="L713" s="35" t="n">
        <f aca="false">I713+J713+K713</f>
        <v>6225.44</v>
      </c>
      <c r="M713" s="44" t="s">
        <v>3227</v>
      </c>
    </row>
    <row r="714" customFormat="false" ht="37.5" hidden="false" customHeight="true" outlineLevel="0" collapsed="false">
      <c r="A714" s="39"/>
      <c r="B714" s="40" t="s">
        <v>1596</v>
      </c>
      <c r="C714" s="41" t="s">
        <v>107</v>
      </c>
      <c r="D714" s="41" t="s">
        <v>108</v>
      </c>
      <c r="E714" s="42" t="n">
        <v>1250</v>
      </c>
      <c r="F714" s="42"/>
      <c r="G714" s="42" t="n">
        <v>200</v>
      </c>
      <c r="H714" s="43" t="n">
        <v>1</v>
      </c>
      <c r="I714" s="34" t="n">
        <f aca="false">E714*H714+N(F714)+N(G714)</f>
        <v>1450</v>
      </c>
      <c r="J714" s="42" t="n">
        <f aca="false">ROUND(IFERROR(ROUND(IF(OR(ISNUMBER(SEARCH("week",C714)),ISNUMBER(SEARCH("minggu",C714))),IFERROR(_xlfn.NUMBERVALUE(SUBSTITUTE(LEFT(TRIM(C714),FIND(" ",TRIM(C714)&amp;" ")-1),",","."),"."),LEFT(SUBSTITUTE(LEFT(TRIM(C714),FIND(" ",TRIM(C714)&amp;" ")-1),",","."),FIND("/",SUBSTITUTE(LEFT(TRIM(C714),FIND(" ",TRIM(C714)&amp;" ")-1),",","."))-1)/MID(SUBSTITUTE(LEFT(TRIM(C714),FIND(" ",TRIM(C714)&amp;" ")-1),",","."),FIND("/",SUBSTITUTE(LEFT(TRIM(C714),FIND(" ",TRIM(C714)&amp;" ")-1),",","."))+1,9))*12/52,IF(ISNUMBER(SEARCH("month",C714)),IFERROR(_xlfn.NUMBERVALUE(SUBSTITUTE(LEFT(TRIM(C714),FIND(" ",TRIM(C714)&amp;" ")-1),",","."),"."),LEFT(SUBSTITUTE(LEFT(TRIM(C714),FIND(" ",TRIM(C714)&amp;" ")-1),",","."),FIND("/",SUBSTITUTE(LEFT(TRIM(C714),FIND(" ",TRIM(C714)&amp;" ")-1),",","."))-1)/MID(SUBSTITUTE(LEFT(TRIM(C714),FIND(" ",TRIM(C714)&amp;" ")-1),",","."),FIND("/",SUBSTITUTE(LEFT(TRIM(C714),FIND(" ",TRIM(C714)&amp;" ")-1),",","."))+1,9)),IF(ISNUMBER(SEARCH("yea",C714)),IFERROR(_xlfn.NUMBERVALUE(SUBSTITUTE(LEFT(TRIM(C714),FIND(" ",TRIM(C714)&amp;" ")-1),",","."),"."),LEFT(SUBSTITUTE(LEFT(TRIM(C714),FIND(" ",TRIM(C714)&amp;" ")-1),",","."),FIND("/",SUBSTITUTE(LEFT(TRIM(C714),FIND(" ",TRIM(C714)&amp;" ")-1),",","."))-1)/MID(SUBSTITUTE(LEFT(TRIM(C714),FIND(" ",TRIM(C714)&amp;" ")-1),",","."),FIND("/",SUBSTITUTE(LEFT(TRIM(C714),FIND(" ",TRIM(C714)&amp;" ")-1),",","."))+1,9))*12,NA()))),0),24)*'Aturan &amp; Tarif'!$B$4,2)</f>
        <v>1362.72</v>
      </c>
      <c r="K714" s="42" t="n">
        <f aca="false">'Aturan &amp; Tarif'!$B$5</f>
        <v>2050</v>
      </c>
      <c r="L714" s="35" t="n">
        <f aca="false">I714+J714+K714</f>
        <v>4862.72</v>
      </c>
      <c r="M714" s="44" t="s">
        <v>3227</v>
      </c>
    </row>
    <row r="715" customFormat="false" ht="37.5" hidden="false" customHeight="true" outlineLevel="0" collapsed="false">
      <c r="A715" s="39"/>
      <c r="B715" s="40" t="s">
        <v>1814</v>
      </c>
      <c r="C715" s="41" t="s">
        <v>191</v>
      </c>
      <c r="D715" s="41" t="s">
        <v>108</v>
      </c>
      <c r="E715" s="42" t="n">
        <v>1250</v>
      </c>
      <c r="F715" s="42"/>
      <c r="G715" s="42" t="n">
        <v>200</v>
      </c>
      <c r="H715" s="43" t="n">
        <v>1</v>
      </c>
      <c r="I715" s="34" t="n">
        <f aca="false">E715*H715+N(F715)+N(G715)</f>
        <v>1450</v>
      </c>
      <c r="J715" s="42" t="n">
        <f aca="false">ROUND(IFERROR(ROUND(IF(OR(ISNUMBER(SEARCH("week",C715)),ISNUMBER(SEARCH("minggu",C715))),IFERROR(_xlfn.NUMBERVALUE(SUBSTITUTE(LEFT(TRIM(C715),FIND(" ",TRIM(C715)&amp;" ")-1),",","."),"."),LEFT(SUBSTITUTE(LEFT(TRIM(C715),FIND(" ",TRIM(C715)&amp;" ")-1),",","."),FIND("/",SUBSTITUTE(LEFT(TRIM(C715),FIND(" ",TRIM(C715)&amp;" ")-1),",","."))-1)/MID(SUBSTITUTE(LEFT(TRIM(C715),FIND(" ",TRIM(C715)&amp;" ")-1),",","."),FIND("/",SUBSTITUTE(LEFT(TRIM(C715),FIND(" ",TRIM(C715)&amp;" ")-1),",","."))+1,9))*12/52,IF(ISNUMBER(SEARCH("month",C715)),IFERROR(_xlfn.NUMBERVALUE(SUBSTITUTE(LEFT(TRIM(C715),FIND(" ",TRIM(C715)&amp;" ")-1),",","."),"."),LEFT(SUBSTITUTE(LEFT(TRIM(C715),FIND(" ",TRIM(C715)&amp;" ")-1),",","."),FIND("/",SUBSTITUTE(LEFT(TRIM(C715),FIND(" ",TRIM(C715)&amp;" ")-1),",","."))-1)/MID(SUBSTITUTE(LEFT(TRIM(C715),FIND(" ",TRIM(C715)&amp;" ")-1),",","."),FIND("/",SUBSTITUTE(LEFT(TRIM(C715),FIND(" ",TRIM(C715)&amp;" ")-1),",","."))+1,9)),IF(ISNUMBER(SEARCH("yea",C715)),IFERROR(_xlfn.NUMBERVALUE(SUBSTITUTE(LEFT(TRIM(C715),FIND(" ",TRIM(C715)&amp;" ")-1),",","."),"."),LEFT(SUBSTITUTE(LEFT(TRIM(C715),FIND(" ",TRIM(C715)&amp;" ")-1),",","."),FIND("/",SUBSTITUTE(LEFT(TRIM(C715),FIND(" ",TRIM(C715)&amp;" ")-1),",","."))-1)/MID(SUBSTITUTE(LEFT(TRIM(C715),FIND(" ",TRIM(C715)&amp;" ")-1),",","."),FIND("/",SUBSTITUTE(LEFT(TRIM(C715),FIND(" ",TRIM(C715)&amp;" ")-1),",","."))+1,9))*12,NA()))),0),48)*'Aturan &amp; Tarif'!$B$4,2)</f>
        <v>2725.44</v>
      </c>
      <c r="K715" s="42" t="n">
        <f aca="false">'Aturan &amp; Tarif'!$B$5</f>
        <v>2050</v>
      </c>
      <c r="L715" s="35" t="n">
        <f aca="false">I715+J715+K715</f>
        <v>6225.44</v>
      </c>
      <c r="M715" s="44" t="s">
        <v>3227</v>
      </c>
    </row>
    <row r="716" customFormat="false" ht="48.75" hidden="false" customHeight="true" outlineLevel="0" collapsed="false">
      <c r="A716" s="29" t="s">
        <v>2310</v>
      </c>
      <c r="B716" s="30" t="s">
        <v>3232</v>
      </c>
      <c r="C716" s="31" t="s">
        <v>107</v>
      </c>
      <c r="D716" s="31" t="s">
        <v>108</v>
      </c>
      <c r="E716" s="32" t="n">
        <v>2250</v>
      </c>
      <c r="F716" s="32" t="n">
        <v>1750</v>
      </c>
      <c r="G716" s="32" t="n">
        <v>350</v>
      </c>
      <c r="H716" s="33" t="n">
        <v>1</v>
      </c>
      <c r="I716" s="34" t="n">
        <f aca="false">E716*H716+N(F716)+N(G716)</f>
        <v>4350</v>
      </c>
      <c r="J716" s="32" t="n">
        <f aca="false">ROUND(IFERROR(ROUND(IF(OR(ISNUMBER(SEARCH("week",C716)),ISNUMBER(SEARCH("minggu",C716))),IFERROR(_xlfn.NUMBERVALUE(SUBSTITUTE(LEFT(TRIM(C716),FIND(" ",TRIM(C716)&amp;" ")-1),",","."),"."),LEFT(SUBSTITUTE(LEFT(TRIM(C716),FIND(" ",TRIM(C716)&amp;" ")-1),",","."),FIND("/",SUBSTITUTE(LEFT(TRIM(C716),FIND(" ",TRIM(C716)&amp;" ")-1),",","."))-1)/MID(SUBSTITUTE(LEFT(TRIM(C716),FIND(" ",TRIM(C716)&amp;" ")-1),",","."),FIND("/",SUBSTITUTE(LEFT(TRIM(C716),FIND(" ",TRIM(C716)&amp;" ")-1),",","."))+1,9))*12/52,IF(ISNUMBER(SEARCH("month",C716)),IFERROR(_xlfn.NUMBERVALUE(SUBSTITUTE(LEFT(TRIM(C716),FIND(" ",TRIM(C716)&amp;" ")-1),",","."),"."),LEFT(SUBSTITUTE(LEFT(TRIM(C716),FIND(" ",TRIM(C716)&amp;" ")-1),",","."),FIND("/",SUBSTITUTE(LEFT(TRIM(C716),FIND(" ",TRIM(C716)&amp;" ")-1),",","."))-1)/MID(SUBSTITUTE(LEFT(TRIM(C716),FIND(" ",TRIM(C716)&amp;" ")-1),",","."),FIND("/",SUBSTITUTE(LEFT(TRIM(C716),FIND(" ",TRIM(C716)&amp;" ")-1),",","."))+1,9)),IF(ISNUMBER(SEARCH("yea",C716)),IFERROR(_xlfn.NUMBERVALUE(SUBSTITUTE(LEFT(TRIM(C716),FIND(" ",TRIM(C716)&amp;" ")-1),",","."),"."),LEFT(SUBSTITUTE(LEFT(TRIM(C716),FIND(" ",TRIM(C716)&amp;" ")-1),",","."),FIND("/",SUBSTITUTE(LEFT(TRIM(C716),FIND(" ",TRIM(C716)&amp;" ")-1),",","."))-1)/MID(SUBSTITUTE(LEFT(TRIM(C716),FIND(" ",TRIM(C716)&amp;" ")-1),",","."),FIND("/",SUBSTITUTE(LEFT(TRIM(C716),FIND(" ",TRIM(C716)&amp;" ")-1),",","."))+1,9))*12,NA()))),0),24)*'Aturan &amp; Tarif'!$B$4,2)</f>
        <v>1362.72</v>
      </c>
      <c r="K716" s="32" t="n">
        <f aca="false">'Aturan &amp; Tarif'!$B$5</f>
        <v>2050</v>
      </c>
      <c r="L716" s="35" t="n">
        <f aca="false">I716+J716+K716</f>
        <v>7762.72</v>
      </c>
      <c r="M716" s="36" t="s">
        <v>131</v>
      </c>
    </row>
    <row r="717" customFormat="false" ht="25.5" hidden="false" customHeight="true" outlineLevel="0" collapsed="false">
      <c r="A717" s="29"/>
      <c r="B717" s="30" t="s">
        <v>3233</v>
      </c>
      <c r="C717" s="31" t="s">
        <v>127</v>
      </c>
      <c r="D717" s="31" t="s">
        <v>108</v>
      </c>
      <c r="E717" s="32" t="n">
        <v>2600</v>
      </c>
      <c r="F717" s="32" t="n">
        <v>1750</v>
      </c>
      <c r="G717" s="32" t="n">
        <v>350</v>
      </c>
      <c r="H717" s="33" t="n">
        <v>1</v>
      </c>
      <c r="I717" s="34" t="n">
        <f aca="false">E717*H717+N(F717)+N(G717)</f>
        <v>4700</v>
      </c>
      <c r="J717" s="32" t="n">
        <f aca="false">ROUND(IFERROR(ROUND(IF(OR(ISNUMBER(SEARCH("week",C717)),ISNUMBER(SEARCH("minggu",C717))),IFERROR(_xlfn.NUMBERVALUE(SUBSTITUTE(LEFT(TRIM(C717),FIND(" ",TRIM(C717)&amp;" ")-1),",","."),"."),LEFT(SUBSTITUTE(LEFT(TRIM(C717),FIND(" ",TRIM(C717)&amp;" ")-1),",","."),FIND("/",SUBSTITUTE(LEFT(TRIM(C717),FIND(" ",TRIM(C717)&amp;" ")-1),",","."))-1)/MID(SUBSTITUTE(LEFT(TRIM(C717),FIND(" ",TRIM(C717)&amp;" ")-1),",","."),FIND("/",SUBSTITUTE(LEFT(TRIM(C717),FIND(" ",TRIM(C717)&amp;" ")-1),",","."))+1,9))*12/52,IF(ISNUMBER(SEARCH("month",C717)),IFERROR(_xlfn.NUMBERVALUE(SUBSTITUTE(LEFT(TRIM(C717),FIND(" ",TRIM(C717)&amp;" ")-1),",","."),"."),LEFT(SUBSTITUTE(LEFT(TRIM(C717),FIND(" ",TRIM(C717)&amp;" ")-1),",","."),FIND("/",SUBSTITUTE(LEFT(TRIM(C717),FIND(" ",TRIM(C717)&amp;" ")-1),",","."))-1)/MID(SUBSTITUTE(LEFT(TRIM(C717),FIND(" ",TRIM(C717)&amp;" ")-1),",","."),FIND("/",SUBSTITUTE(LEFT(TRIM(C717),FIND(" ",TRIM(C717)&amp;" ")-1),",","."))+1,9)),IF(ISNUMBER(SEARCH("yea",C717)),IFERROR(_xlfn.NUMBERVALUE(SUBSTITUTE(LEFT(TRIM(C717),FIND(" ",TRIM(C717)&amp;" ")-1),",","."),"."),LEFT(SUBSTITUTE(LEFT(TRIM(C717),FIND(" ",TRIM(C717)&amp;" ")-1),",","."),FIND("/",SUBSTITUTE(LEFT(TRIM(C717),FIND(" ",TRIM(C717)&amp;" ")-1),",","."))-1)/MID(SUBSTITUTE(LEFT(TRIM(C717),FIND(" ",TRIM(C717)&amp;" ")-1),",","."),FIND("/",SUBSTITUTE(LEFT(TRIM(C717),FIND(" ",TRIM(C717)&amp;" ")-1),",","."))+1,9))*12,NA()))),0),36)*'Aturan &amp; Tarif'!$B$4,2)</f>
        <v>2044.08</v>
      </c>
      <c r="K717" s="32" t="n">
        <f aca="false">'Aturan &amp; Tarif'!$B$5</f>
        <v>2050</v>
      </c>
      <c r="L717" s="35" t="n">
        <f aca="false">I717+J717+K717</f>
        <v>8794.08</v>
      </c>
      <c r="M717" s="36" t="s">
        <v>131</v>
      </c>
    </row>
    <row r="718" customFormat="false" ht="48.75" hidden="false" customHeight="true" outlineLevel="0" collapsed="false">
      <c r="A718" s="29"/>
      <c r="B718" s="30" t="s">
        <v>3234</v>
      </c>
      <c r="C718" s="31" t="s">
        <v>107</v>
      </c>
      <c r="D718" s="31" t="s">
        <v>108</v>
      </c>
      <c r="E718" s="32" t="n">
        <v>2750</v>
      </c>
      <c r="F718" s="32" t="n">
        <v>2000</v>
      </c>
      <c r="G718" s="32" t="n">
        <v>350</v>
      </c>
      <c r="H718" s="33" t="n">
        <v>1</v>
      </c>
      <c r="I718" s="34" t="n">
        <f aca="false">E718*H718+N(F718)+N(G718)</f>
        <v>5100</v>
      </c>
      <c r="J718" s="32" t="n">
        <f aca="false">ROUND(IFERROR(ROUND(IF(OR(ISNUMBER(SEARCH("week",C718)),ISNUMBER(SEARCH("minggu",C718))),IFERROR(_xlfn.NUMBERVALUE(SUBSTITUTE(LEFT(TRIM(C718),FIND(" ",TRIM(C718)&amp;" ")-1),",","."),"."),LEFT(SUBSTITUTE(LEFT(TRIM(C718),FIND(" ",TRIM(C718)&amp;" ")-1),",","."),FIND("/",SUBSTITUTE(LEFT(TRIM(C718),FIND(" ",TRIM(C718)&amp;" ")-1),",","."))-1)/MID(SUBSTITUTE(LEFT(TRIM(C718),FIND(" ",TRIM(C718)&amp;" ")-1),",","."),FIND("/",SUBSTITUTE(LEFT(TRIM(C718),FIND(" ",TRIM(C718)&amp;" ")-1),",","."))+1,9))*12/52,IF(ISNUMBER(SEARCH("month",C718)),IFERROR(_xlfn.NUMBERVALUE(SUBSTITUTE(LEFT(TRIM(C718),FIND(" ",TRIM(C718)&amp;" ")-1),",","."),"."),LEFT(SUBSTITUTE(LEFT(TRIM(C718),FIND(" ",TRIM(C718)&amp;" ")-1),",","."),FIND("/",SUBSTITUTE(LEFT(TRIM(C718),FIND(" ",TRIM(C718)&amp;" ")-1),",","."))-1)/MID(SUBSTITUTE(LEFT(TRIM(C718),FIND(" ",TRIM(C718)&amp;" ")-1),",","."),FIND("/",SUBSTITUTE(LEFT(TRIM(C718),FIND(" ",TRIM(C718)&amp;" ")-1),",","."))+1,9)),IF(ISNUMBER(SEARCH("yea",C718)),IFERROR(_xlfn.NUMBERVALUE(SUBSTITUTE(LEFT(TRIM(C718),FIND(" ",TRIM(C718)&amp;" ")-1),",","."),"."),LEFT(SUBSTITUTE(LEFT(TRIM(C718),FIND(" ",TRIM(C718)&amp;" ")-1),",","."),FIND("/",SUBSTITUTE(LEFT(TRIM(C718),FIND(" ",TRIM(C718)&amp;" ")-1),",","."))-1)/MID(SUBSTITUTE(LEFT(TRIM(C718),FIND(" ",TRIM(C718)&amp;" ")-1),",","."),FIND("/",SUBSTITUTE(LEFT(TRIM(C718),FIND(" ",TRIM(C718)&amp;" ")-1),",","."))+1,9))*12,NA()))),0),24)*'Aturan &amp; Tarif'!$B$4,2)</f>
        <v>1362.72</v>
      </c>
      <c r="K718" s="32" t="n">
        <f aca="false">'Aturan &amp; Tarif'!$B$5</f>
        <v>2050</v>
      </c>
      <c r="L718" s="35" t="n">
        <f aca="false">I718+J718+K718</f>
        <v>8512.72</v>
      </c>
      <c r="M718" s="36" t="s">
        <v>131</v>
      </c>
    </row>
    <row r="719" customFormat="false" ht="48.75" hidden="false" customHeight="true" outlineLevel="0" collapsed="false">
      <c r="A719" s="29"/>
      <c r="B719" s="30" t="s">
        <v>3235</v>
      </c>
      <c r="C719" s="31" t="s">
        <v>127</v>
      </c>
      <c r="D719" s="31" t="s">
        <v>108</v>
      </c>
      <c r="E719" s="32" t="n">
        <v>2750</v>
      </c>
      <c r="F719" s="32" t="n">
        <v>2000</v>
      </c>
      <c r="G719" s="32" t="n">
        <v>350</v>
      </c>
      <c r="H719" s="33" t="n">
        <v>1</v>
      </c>
      <c r="I719" s="34" t="n">
        <f aca="false">E719*H719+N(F719)+N(G719)</f>
        <v>5100</v>
      </c>
      <c r="J719" s="32" t="n">
        <f aca="false">ROUND(IFERROR(ROUND(IF(OR(ISNUMBER(SEARCH("week",C719)),ISNUMBER(SEARCH("minggu",C719))),IFERROR(_xlfn.NUMBERVALUE(SUBSTITUTE(LEFT(TRIM(C719),FIND(" ",TRIM(C719)&amp;" ")-1),",","."),"."),LEFT(SUBSTITUTE(LEFT(TRIM(C719),FIND(" ",TRIM(C719)&amp;" ")-1),",","."),FIND("/",SUBSTITUTE(LEFT(TRIM(C719),FIND(" ",TRIM(C719)&amp;" ")-1),",","."))-1)/MID(SUBSTITUTE(LEFT(TRIM(C719),FIND(" ",TRIM(C719)&amp;" ")-1),",","."),FIND("/",SUBSTITUTE(LEFT(TRIM(C719),FIND(" ",TRIM(C719)&amp;" ")-1),",","."))+1,9))*12/52,IF(ISNUMBER(SEARCH("month",C719)),IFERROR(_xlfn.NUMBERVALUE(SUBSTITUTE(LEFT(TRIM(C719),FIND(" ",TRIM(C719)&amp;" ")-1),",","."),"."),LEFT(SUBSTITUTE(LEFT(TRIM(C719),FIND(" ",TRIM(C719)&amp;" ")-1),",","."),FIND("/",SUBSTITUTE(LEFT(TRIM(C719),FIND(" ",TRIM(C719)&amp;" ")-1),",","."))-1)/MID(SUBSTITUTE(LEFT(TRIM(C719),FIND(" ",TRIM(C719)&amp;" ")-1),",","."),FIND("/",SUBSTITUTE(LEFT(TRIM(C719),FIND(" ",TRIM(C719)&amp;" ")-1),",","."))+1,9)),IF(ISNUMBER(SEARCH("yea",C719)),IFERROR(_xlfn.NUMBERVALUE(SUBSTITUTE(LEFT(TRIM(C719),FIND(" ",TRIM(C719)&amp;" ")-1),",","."),"."),LEFT(SUBSTITUTE(LEFT(TRIM(C719),FIND(" ",TRIM(C719)&amp;" ")-1),",","."),FIND("/",SUBSTITUTE(LEFT(TRIM(C719),FIND(" ",TRIM(C719)&amp;" ")-1),",","."))-1)/MID(SUBSTITUTE(LEFT(TRIM(C719),FIND(" ",TRIM(C719)&amp;" ")-1),",","."),FIND("/",SUBSTITUTE(LEFT(TRIM(C719),FIND(" ",TRIM(C719)&amp;" ")-1),",","."))+1,9))*12,NA()))),0),36)*'Aturan &amp; Tarif'!$B$4,2)</f>
        <v>2044.08</v>
      </c>
      <c r="K719" s="32" t="n">
        <f aca="false">'Aturan &amp; Tarif'!$B$5</f>
        <v>2050</v>
      </c>
      <c r="L719" s="35" t="n">
        <f aca="false">I719+J719+K719</f>
        <v>9194.08</v>
      </c>
      <c r="M719" s="36" t="s">
        <v>131</v>
      </c>
    </row>
    <row r="720" customFormat="false" ht="60" hidden="false" customHeight="true" outlineLevel="0" collapsed="false">
      <c r="A720" s="29"/>
      <c r="B720" s="30" t="s">
        <v>3236</v>
      </c>
      <c r="C720" s="31" t="s">
        <v>107</v>
      </c>
      <c r="D720" s="31" t="s">
        <v>108</v>
      </c>
      <c r="E720" s="32" t="n">
        <v>2333</v>
      </c>
      <c r="F720" s="32" t="n">
        <v>2000</v>
      </c>
      <c r="G720" s="32" t="n">
        <v>350</v>
      </c>
      <c r="H720" s="33" t="n">
        <v>1</v>
      </c>
      <c r="I720" s="34" t="n">
        <f aca="false">E720*H720+N(F720)+N(G720)</f>
        <v>4683</v>
      </c>
      <c r="J720" s="32" t="n">
        <f aca="false">ROUND(IFERROR(ROUND(IF(OR(ISNUMBER(SEARCH("week",C720)),ISNUMBER(SEARCH("minggu",C720))),IFERROR(_xlfn.NUMBERVALUE(SUBSTITUTE(LEFT(TRIM(C720),FIND(" ",TRIM(C720)&amp;" ")-1),",","."),"."),LEFT(SUBSTITUTE(LEFT(TRIM(C720),FIND(" ",TRIM(C720)&amp;" ")-1),",","."),FIND("/",SUBSTITUTE(LEFT(TRIM(C720),FIND(" ",TRIM(C720)&amp;" ")-1),",","."))-1)/MID(SUBSTITUTE(LEFT(TRIM(C720),FIND(" ",TRIM(C720)&amp;" ")-1),",","."),FIND("/",SUBSTITUTE(LEFT(TRIM(C720),FIND(" ",TRIM(C720)&amp;" ")-1),",","."))+1,9))*12/52,IF(ISNUMBER(SEARCH("month",C720)),IFERROR(_xlfn.NUMBERVALUE(SUBSTITUTE(LEFT(TRIM(C720),FIND(" ",TRIM(C720)&amp;" ")-1),",","."),"."),LEFT(SUBSTITUTE(LEFT(TRIM(C720),FIND(" ",TRIM(C720)&amp;" ")-1),",","."),FIND("/",SUBSTITUTE(LEFT(TRIM(C720),FIND(" ",TRIM(C720)&amp;" ")-1),",","."))-1)/MID(SUBSTITUTE(LEFT(TRIM(C720),FIND(" ",TRIM(C720)&amp;" ")-1),",","."),FIND("/",SUBSTITUTE(LEFT(TRIM(C720),FIND(" ",TRIM(C720)&amp;" ")-1),",","."))+1,9)),IF(ISNUMBER(SEARCH("yea",C720)),IFERROR(_xlfn.NUMBERVALUE(SUBSTITUTE(LEFT(TRIM(C720),FIND(" ",TRIM(C720)&amp;" ")-1),",","."),"."),LEFT(SUBSTITUTE(LEFT(TRIM(C720),FIND(" ",TRIM(C720)&amp;" ")-1),",","."),FIND("/",SUBSTITUTE(LEFT(TRIM(C720),FIND(" ",TRIM(C720)&amp;" ")-1),",","."))-1)/MID(SUBSTITUTE(LEFT(TRIM(C720),FIND(" ",TRIM(C720)&amp;" ")-1),",","."),FIND("/",SUBSTITUTE(LEFT(TRIM(C720),FIND(" ",TRIM(C720)&amp;" ")-1),",","."))+1,9))*12,NA()))),0),24)*'Aturan &amp; Tarif'!$B$4,2)</f>
        <v>1362.72</v>
      </c>
      <c r="K720" s="32" t="n">
        <f aca="false">'Aturan &amp; Tarif'!$B$5</f>
        <v>2050</v>
      </c>
      <c r="L720" s="35" t="n">
        <f aca="false">I720+J720+K720</f>
        <v>8095.72</v>
      </c>
      <c r="M720" s="36" t="s">
        <v>131</v>
      </c>
    </row>
    <row r="721" customFormat="false" ht="48.75" hidden="false" customHeight="true" outlineLevel="0" collapsed="false">
      <c r="A721" s="29"/>
      <c r="B721" s="30" t="s">
        <v>3237</v>
      </c>
      <c r="C721" s="31" t="s">
        <v>138</v>
      </c>
      <c r="D721" s="31" t="s">
        <v>108</v>
      </c>
      <c r="E721" s="32" t="n">
        <v>2333</v>
      </c>
      <c r="F721" s="32" t="n">
        <v>2000</v>
      </c>
      <c r="G721" s="32" t="n">
        <v>350</v>
      </c>
      <c r="H721" s="33" t="n">
        <v>1</v>
      </c>
      <c r="I721" s="34" t="n">
        <f aca="false">E721*H721+N(F721)+N(G721)</f>
        <v>4683</v>
      </c>
      <c r="J721" s="32" t="n">
        <f aca="false">ROUND(IFERROR(ROUND(IF(OR(ISNUMBER(SEARCH("week",C721)),ISNUMBER(SEARCH("minggu",C721))),IFERROR(_xlfn.NUMBERVALUE(SUBSTITUTE(LEFT(TRIM(C721),FIND(" ",TRIM(C721)&amp;" ")-1),",","."),"."),LEFT(SUBSTITUTE(LEFT(TRIM(C721),FIND(" ",TRIM(C721)&amp;" ")-1),",","."),FIND("/",SUBSTITUTE(LEFT(TRIM(C721),FIND(" ",TRIM(C721)&amp;" ")-1),",","."))-1)/MID(SUBSTITUTE(LEFT(TRIM(C721),FIND(" ",TRIM(C721)&amp;" ")-1),",","."),FIND("/",SUBSTITUTE(LEFT(TRIM(C721),FIND(" ",TRIM(C721)&amp;" ")-1),",","."))+1,9))*12/52,IF(ISNUMBER(SEARCH("month",C721)),IFERROR(_xlfn.NUMBERVALUE(SUBSTITUTE(LEFT(TRIM(C721),FIND(" ",TRIM(C721)&amp;" ")-1),",","."),"."),LEFT(SUBSTITUTE(LEFT(TRIM(C721),FIND(" ",TRIM(C721)&amp;" ")-1),",","."),FIND("/",SUBSTITUTE(LEFT(TRIM(C721),FIND(" ",TRIM(C721)&amp;" ")-1),",","."))-1)/MID(SUBSTITUTE(LEFT(TRIM(C721),FIND(" ",TRIM(C721)&amp;" ")-1),",","."),FIND("/",SUBSTITUTE(LEFT(TRIM(C721),FIND(" ",TRIM(C721)&amp;" ")-1),",","."))+1,9)),IF(ISNUMBER(SEARCH("yea",C721)),IFERROR(_xlfn.NUMBERVALUE(SUBSTITUTE(LEFT(TRIM(C721),FIND(" ",TRIM(C721)&amp;" ")-1),",","."),"."),LEFT(SUBSTITUTE(LEFT(TRIM(C721),FIND(" ",TRIM(C721)&amp;" ")-1),",","."),FIND("/",SUBSTITUTE(LEFT(TRIM(C721),FIND(" ",TRIM(C721)&amp;" ")-1),",","."))-1)/MID(SUBSTITUTE(LEFT(TRIM(C721),FIND(" ",TRIM(C721)&amp;" ")-1),",","."),FIND("/",SUBSTITUTE(LEFT(TRIM(C721),FIND(" ",TRIM(C721)&amp;" ")-1),",","."))+1,9))*12,NA()))),0),30)*'Aturan &amp; Tarif'!$B$4,2)</f>
        <v>1703.4</v>
      </c>
      <c r="K721" s="32" t="n">
        <f aca="false">'Aturan &amp; Tarif'!$B$5</f>
        <v>2050</v>
      </c>
      <c r="L721" s="35" t="n">
        <f aca="false">I721+J721+K721</f>
        <v>8436.4</v>
      </c>
      <c r="M721" s="36" t="s">
        <v>131</v>
      </c>
    </row>
    <row r="722" customFormat="false" ht="60" hidden="false" customHeight="true" outlineLevel="0" collapsed="false">
      <c r="A722" s="29"/>
      <c r="B722" s="30" t="s">
        <v>3238</v>
      </c>
      <c r="C722" s="31" t="s">
        <v>107</v>
      </c>
      <c r="D722" s="31" t="s">
        <v>108</v>
      </c>
      <c r="E722" s="32" t="n">
        <v>2500</v>
      </c>
      <c r="F722" s="32" t="n">
        <v>2000</v>
      </c>
      <c r="G722" s="32" t="n">
        <v>350</v>
      </c>
      <c r="H722" s="33" t="n">
        <v>1</v>
      </c>
      <c r="I722" s="34" t="n">
        <f aca="false">E722*H722+N(F722)+N(G722)</f>
        <v>4850</v>
      </c>
      <c r="J722" s="32" t="n">
        <f aca="false">ROUND(IFERROR(ROUND(IF(OR(ISNUMBER(SEARCH("week",C722)),ISNUMBER(SEARCH("minggu",C722))),IFERROR(_xlfn.NUMBERVALUE(SUBSTITUTE(LEFT(TRIM(C722),FIND(" ",TRIM(C722)&amp;" ")-1),",","."),"."),LEFT(SUBSTITUTE(LEFT(TRIM(C722),FIND(" ",TRIM(C722)&amp;" ")-1),",","."),FIND("/",SUBSTITUTE(LEFT(TRIM(C722),FIND(" ",TRIM(C722)&amp;" ")-1),",","."))-1)/MID(SUBSTITUTE(LEFT(TRIM(C722),FIND(" ",TRIM(C722)&amp;" ")-1),",","."),FIND("/",SUBSTITUTE(LEFT(TRIM(C722),FIND(" ",TRIM(C722)&amp;" ")-1),",","."))+1,9))*12/52,IF(ISNUMBER(SEARCH("month",C722)),IFERROR(_xlfn.NUMBERVALUE(SUBSTITUTE(LEFT(TRIM(C722),FIND(" ",TRIM(C722)&amp;" ")-1),",","."),"."),LEFT(SUBSTITUTE(LEFT(TRIM(C722),FIND(" ",TRIM(C722)&amp;" ")-1),",","."),FIND("/",SUBSTITUTE(LEFT(TRIM(C722),FIND(" ",TRIM(C722)&amp;" ")-1),",","."))-1)/MID(SUBSTITUTE(LEFT(TRIM(C722),FIND(" ",TRIM(C722)&amp;" ")-1),",","."),FIND("/",SUBSTITUTE(LEFT(TRIM(C722),FIND(" ",TRIM(C722)&amp;" ")-1),",","."))+1,9)),IF(ISNUMBER(SEARCH("yea",C722)),IFERROR(_xlfn.NUMBERVALUE(SUBSTITUTE(LEFT(TRIM(C722),FIND(" ",TRIM(C722)&amp;" ")-1),",","."),"."),LEFT(SUBSTITUTE(LEFT(TRIM(C722),FIND(" ",TRIM(C722)&amp;" ")-1),",","."),FIND("/",SUBSTITUTE(LEFT(TRIM(C722),FIND(" ",TRIM(C722)&amp;" ")-1),",","."))-1)/MID(SUBSTITUTE(LEFT(TRIM(C722),FIND(" ",TRIM(C722)&amp;" ")-1),",","."),FIND("/",SUBSTITUTE(LEFT(TRIM(C722),FIND(" ",TRIM(C722)&amp;" ")-1),",","."))+1,9))*12,NA()))),0),24)*'Aturan &amp; Tarif'!$B$4,2)</f>
        <v>1362.72</v>
      </c>
      <c r="K722" s="32" t="n">
        <f aca="false">'Aturan &amp; Tarif'!$B$5</f>
        <v>2050</v>
      </c>
      <c r="L722" s="35" t="n">
        <f aca="false">I722+J722+K722</f>
        <v>8262.72</v>
      </c>
      <c r="M722" s="36" t="s">
        <v>131</v>
      </c>
    </row>
    <row r="723" customFormat="false" ht="37.5" hidden="false" customHeight="true" outlineLevel="0" collapsed="false">
      <c r="A723" s="29"/>
      <c r="B723" s="30" t="s">
        <v>3239</v>
      </c>
      <c r="C723" s="31" t="s">
        <v>127</v>
      </c>
      <c r="D723" s="31" t="s">
        <v>108</v>
      </c>
      <c r="E723" s="32" t="n">
        <v>2500</v>
      </c>
      <c r="F723" s="32" t="n">
        <v>2000</v>
      </c>
      <c r="G723" s="32" t="n">
        <v>350</v>
      </c>
      <c r="H723" s="33" t="n">
        <v>1</v>
      </c>
      <c r="I723" s="34" t="n">
        <f aca="false">E723*H723+N(F723)+N(G723)</f>
        <v>4850</v>
      </c>
      <c r="J723" s="32" t="n">
        <f aca="false">ROUND(IFERROR(ROUND(IF(OR(ISNUMBER(SEARCH("week",C723)),ISNUMBER(SEARCH("minggu",C723))),IFERROR(_xlfn.NUMBERVALUE(SUBSTITUTE(LEFT(TRIM(C723),FIND(" ",TRIM(C723)&amp;" ")-1),",","."),"."),LEFT(SUBSTITUTE(LEFT(TRIM(C723),FIND(" ",TRIM(C723)&amp;" ")-1),",","."),FIND("/",SUBSTITUTE(LEFT(TRIM(C723),FIND(" ",TRIM(C723)&amp;" ")-1),",","."))-1)/MID(SUBSTITUTE(LEFT(TRIM(C723),FIND(" ",TRIM(C723)&amp;" ")-1),",","."),FIND("/",SUBSTITUTE(LEFT(TRIM(C723),FIND(" ",TRIM(C723)&amp;" ")-1),",","."))+1,9))*12/52,IF(ISNUMBER(SEARCH("month",C723)),IFERROR(_xlfn.NUMBERVALUE(SUBSTITUTE(LEFT(TRIM(C723),FIND(" ",TRIM(C723)&amp;" ")-1),",","."),"."),LEFT(SUBSTITUTE(LEFT(TRIM(C723),FIND(" ",TRIM(C723)&amp;" ")-1),",","."),FIND("/",SUBSTITUTE(LEFT(TRIM(C723),FIND(" ",TRIM(C723)&amp;" ")-1),",","."))-1)/MID(SUBSTITUTE(LEFT(TRIM(C723),FIND(" ",TRIM(C723)&amp;" ")-1),",","."),FIND("/",SUBSTITUTE(LEFT(TRIM(C723),FIND(" ",TRIM(C723)&amp;" ")-1),",","."))+1,9)),IF(ISNUMBER(SEARCH("yea",C723)),IFERROR(_xlfn.NUMBERVALUE(SUBSTITUTE(LEFT(TRIM(C723),FIND(" ",TRIM(C723)&amp;" ")-1),",","."),"."),LEFT(SUBSTITUTE(LEFT(TRIM(C723),FIND(" ",TRIM(C723)&amp;" ")-1),",","."),FIND("/",SUBSTITUTE(LEFT(TRIM(C723),FIND(" ",TRIM(C723)&amp;" ")-1),",","."))-1)/MID(SUBSTITUTE(LEFT(TRIM(C723),FIND(" ",TRIM(C723)&amp;" ")-1),",","."),FIND("/",SUBSTITUTE(LEFT(TRIM(C723),FIND(" ",TRIM(C723)&amp;" ")-1),",","."))+1,9))*12,NA()))),0),36)*'Aturan &amp; Tarif'!$B$4,2)</f>
        <v>2044.08</v>
      </c>
      <c r="K723" s="32" t="n">
        <f aca="false">'Aturan &amp; Tarif'!$B$5</f>
        <v>2050</v>
      </c>
      <c r="L723" s="35" t="n">
        <f aca="false">I723+J723+K723</f>
        <v>8944.08</v>
      </c>
      <c r="M723" s="36" t="s">
        <v>131</v>
      </c>
    </row>
    <row r="724" customFormat="false" ht="48.75" hidden="false" customHeight="true" outlineLevel="0" collapsed="false">
      <c r="A724" s="29"/>
      <c r="B724" s="30" t="s">
        <v>3240</v>
      </c>
      <c r="C724" s="31" t="s">
        <v>107</v>
      </c>
      <c r="D724" s="31" t="s">
        <v>108</v>
      </c>
      <c r="E724" s="32" t="n">
        <v>2500</v>
      </c>
      <c r="F724" s="32" t="n">
        <v>2000</v>
      </c>
      <c r="G724" s="32" t="n">
        <v>350</v>
      </c>
      <c r="H724" s="33" t="n">
        <v>1</v>
      </c>
      <c r="I724" s="34" t="n">
        <f aca="false">E724*H724+N(F724)+N(G724)</f>
        <v>4850</v>
      </c>
      <c r="J724" s="32" t="n">
        <f aca="false">ROUND(IFERROR(ROUND(IF(OR(ISNUMBER(SEARCH("week",C724)),ISNUMBER(SEARCH("minggu",C724))),IFERROR(_xlfn.NUMBERVALUE(SUBSTITUTE(LEFT(TRIM(C724),FIND(" ",TRIM(C724)&amp;" ")-1),",","."),"."),LEFT(SUBSTITUTE(LEFT(TRIM(C724),FIND(" ",TRIM(C724)&amp;" ")-1),",","."),FIND("/",SUBSTITUTE(LEFT(TRIM(C724),FIND(" ",TRIM(C724)&amp;" ")-1),",","."))-1)/MID(SUBSTITUTE(LEFT(TRIM(C724),FIND(" ",TRIM(C724)&amp;" ")-1),",","."),FIND("/",SUBSTITUTE(LEFT(TRIM(C724),FIND(" ",TRIM(C724)&amp;" ")-1),",","."))+1,9))*12/52,IF(ISNUMBER(SEARCH("month",C724)),IFERROR(_xlfn.NUMBERVALUE(SUBSTITUTE(LEFT(TRIM(C724),FIND(" ",TRIM(C724)&amp;" ")-1),",","."),"."),LEFT(SUBSTITUTE(LEFT(TRIM(C724),FIND(" ",TRIM(C724)&amp;" ")-1),",","."),FIND("/",SUBSTITUTE(LEFT(TRIM(C724),FIND(" ",TRIM(C724)&amp;" ")-1),",","."))-1)/MID(SUBSTITUTE(LEFT(TRIM(C724),FIND(" ",TRIM(C724)&amp;" ")-1),",","."),FIND("/",SUBSTITUTE(LEFT(TRIM(C724),FIND(" ",TRIM(C724)&amp;" ")-1),",","."))+1,9)),IF(ISNUMBER(SEARCH("yea",C724)),IFERROR(_xlfn.NUMBERVALUE(SUBSTITUTE(LEFT(TRIM(C724),FIND(" ",TRIM(C724)&amp;" ")-1),",","."),"."),LEFT(SUBSTITUTE(LEFT(TRIM(C724),FIND(" ",TRIM(C724)&amp;" ")-1),",","."),FIND("/",SUBSTITUTE(LEFT(TRIM(C724),FIND(" ",TRIM(C724)&amp;" ")-1),",","."))-1)/MID(SUBSTITUTE(LEFT(TRIM(C724),FIND(" ",TRIM(C724)&amp;" ")-1),",","."),FIND("/",SUBSTITUTE(LEFT(TRIM(C724),FIND(" ",TRIM(C724)&amp;" ")-1),",","."))+1,9))*12,NA()))),0),24)*'Aturan &amp; Tarif'!$B$4,2)</f>
        <v>1362.72</v>
      </c>
      <c r="K724" s="32" t="n">
        <f aca="false">'Aturan &amp; Tarif'!$B$5</f>
        <v>2050</v>
      </c>
      <c r="L724" s="35" t="n">
        <f aca="false">I724+J724+K724</f>
        <v>8262.72</v>
      </c>
      <c r="M724" s="36" t="s">
        <v>131</v>
      </c>
    </row>
    <row r="725" customFormat="false" ht="48.75" hidden="false" customHeight="true" outlineLevel="0" collapsed="false">
      <c r="A725" s="29"/>
      <c r="B725" s="30" t="s">
        <v>3241</v>
      </c>
      <c r="C725" s="31" t="s">
        <v>127</v>
      </c>
      <c r="D725" s="31" t="s">
        <v>108</v>
      </c>
      <c r="E725" s="32" t="n">
        <v>2500</v>
      </c>
      <c r="F725" s="32" t="n">
        <v>2000</v>
      </c>
      <c r="G725" s="32" t="n">
        <v>350</v>
      </c>
      <c r="H725" s="33" t="n">
        <v>1</v>
      </c>
      <c r="I725" s="34" t="n">
        <f aca="false">E725*H725+N(F725)+N(G725)</f>
        <v>4850</v>
      </c>
      <c r="J725" s="32" t="n">
        <f aca="false">ROUND(IFERROR(ROUND(IF(OR(ISNUMBER(SEARCH("week",C725)),ISNUMBER(SEARCH("minggu",C725))),IFERROR(_xlfn.NUMBERVALUE(SUBSTITUTE(LEFT(TRIM(C725),FIND(" ",TRIM(C725)&amp;" ")-1),",","."),"."),LEFT(SUBSTITUTE(LEFT(TRIM(C725),FIND(" ",TRIM(C725)&amp;" ")-1),",","."),FIND("/",SUBSTITUTE(LEFT(TRIM(C725),FIND(" ",TRIM(C725)&amp;" ")-1),",","."))-1)/MID(SUBSTITUTE(LEFT(TRIM(C725),FIND(" ",TRIM(C725)&amp;" ")-1),",","."),FIND("/",SUBSTITUTE(LEFT(TRIM(C725),FIND(" ",TRIM(C725)&amp;" ")-1),",","."))+1,9))*12/52,IF(ISNUMBER(SEARCH("month",C725)),IFERROR(_xlfn.NUMBERVALUE(SUBSTITUTE(LEFT(TRIM(C725),FIND(" ",TRIM(C725)&amp;" ")-1),",","."),"."),LEFT(SUBSTITUTE(LEFT(TRIM(C725),FIND(" ",TRIM(C725)&amp;" ")-1),",","."),FIND("/",SUBSTITUTE(LEFT(TRIM(C725),FIND(" ",TRIM(C725)&amp;" ")-1),",","."))-1)/MID(SUBSTITUTE(LEFT(TRIM(C725),FIND(" ",TRIM(C725)&amp;" ")-1),",","."),FIND("/",SUBSTITUTE(LEFT(TRIM(C725),FIND(" ",TRIM(C725)&amp;" ")-1),",","."))+1,9)),IF(ISNUMBER(SEARCH("yea",C725)),IFERROR(_xlfn.NUMBERVALUE(SUBSTITUTE(LEFT(TRIM(C725),FIND(" ",TRIM(C725)&amp;" ")-1),",","."),"."),LEFT(SUBSTITUTE(LEFT(TRIM(C725),FIND(" ",TRIM(C725)&amp;" ")-1),",","."),FIND("/",SUBSTITUTE(LEFT(TRIM(C725),FIND(" ",TRIM(C725)&amp;" ")-1),",","."))-1)/MID(SUBSTITUTE(LEFT(TRIM(C725),FIND(" ",TRIM(C725)&amp;" ")-1),",","."),FIND("/",SUBSTITUTE(LEFT(TRIM(C725),FIND(" ",TRIM(C725)&amp;" ")-1),",","."))+1,9))*12,NA()))),0),36)*'Aturan &amp; Tarif'!$B$4,2)</f>
        <v>2044.08</v>
      </c>
      <c r="K725" s="32" t="n">
        <f aca="false">'Aturan &amp; Tarif'!$B$5</f>
        <v>2050</v>
      </c>
      <c r="L725" s="35" t="n">
        <f aca="false">I725+J725+K725</f>
        <v>8944.08</v>
      </c>
      <c r="M725" s="36" t="s">
        <v>131</v>
      </c>
    </row>
    <row r="726" customFormat="false" ht="60" hidden="false" customHeight="true" outlineLevel="0" collapsed="false">
      <c r="A726" s="29"/>
      <c r="B726" s="30" t="s">
        <v>3242</v>
      </c>
      <c r="C726" s="31" t="s">
        <v>107</v>
      </c>
      <c r="D726" s="31" t="s">
        <v>108</v>
      </c>
      <c r="E726" s="32" t="n">
        <v>2333</v>
      </c>
      <c r="F726" s="32" t="n">
        <v>2000</v>
      </c>
      <c r="G726" s="32" t="n">
        <v>350</v>
      </c>
      <c r="H726" s="33" t="n">
        <v>1</v>
      </c>
      <c r="I726" s="34" t="n">
        <f aca="false">E726*H726+N(F726)+N(G726)</f>
        <v>4683</v>
      </c>
      <c r="J726" s="32" t="n">
        <f aca="false">ROUND(IFERROR(ROUND(IF(OR(ISNUMBER(SEARCH("week",C726)),ISNUMBER(SEARCH("minggu",C726))),IFERROR(_xlfn.NUMBERVALUE(SUBSTITUTE(LEFT(TRIM(C726),FIND(" ",TRIM(C726)&amp;" ")-1),",","."),"."),LEFT(SUBSTITUTE(LEFT(TRIM(C726),FIND(" ",TRIM(C726)&amp;" ")-1),",","."),FIND("/",SUBSTITUTE(LEFT(TRIM(C726),FIND(" ",TRIM(C726)&amp;" ")-1),",","."))-1)/MID(SUBSTITUTE(LEFT(TRIM(C726),FIND(" ",TRIM(C726)&amp;" ")-1),",","."),FIND("/",SUBSTITUTE(LEFT(TRIM(C726),FIND(" ",TRIM(C726)&amp;" ")-1),",","."))+1,9))*12/52,IF(ISNUMBER(SEARCH("month",C726)),IFERROR(_xlfn.NUMBERVALUE(SUBSTITUTE(LEFT(TRIM(C726),FIND(" ",TRIM(C726)&amp;" ")-1),",","."),"."),LEFT(SUBSTITUTE(LEFT(TRIM(C726),FIND(" ",TRIM(C726)&amp;" ")-1),",","."),FIND("/",SUBSTITUTE(LEFT(TRIM(C726),FIND(" ",TRIM(C726)&amp;" ")-1),",","."))-1)/MID(SUBSTITUTE(LEFT(TRIM(C726),FIND(" ",TRIM(C726)&amp;" ")-1),",","."),FIND("/",SUBSTITUTE(LEFT(TRIM(C726),FIND(" ",TRIM(C726)&amp;" ")-1),",","."))+1,9)),IF(ISNUMBER(SEARCH("yea",C726)),IFERROR(_xlfn.NUMBERVALUE(SUBSTITUTE(LEFT(TRIM(C726),FIND(" ",TRIM(C726)&amp;" ")-1),",","."),"."),LEFT(SUBSTITUTE(LEFT(TRIM(C726),FIND(" ",TRIM(C726)&amp;" ")-1),",","."),FIND("/",SUBSTITUTE(LEFT(TRIM(C726),FIND(" ",TRIM(C726)&amp;" ")-1),",","."))-1)/MID(SUBSTITUTE(LEFT(TRIM(C726),FIND(" ",TRIM(C726)&amp;" ")-1),",","."),FIND("/",SUBSTITUTE(LEFT(TRIM(C726),FIND(" ",TRIM(C726)&amp;" ")-1),",","."))+1,9))*12,NA()))),0),24)*'Aturan &amp; Tarif'!$B$4,2)</f>
        <v>1362.72</v>
      </c>
      <c r="K726" s="32" t="n">
        <f aca="false">'Aturan &amp; Tarif'!$B$5</f>
        <v>2050</v>
      </c>
      <c r="L726" s="35" t="n">
        <f aca="false">I726+J726+K726</f>
        <v>8095.72</v>
      </c>
      <c r="M726" s="36" t="s">
        <v>131</v>
      </c>
    </row>
    <row r="727" customFormat="false" ht="60" hidden="false" customHeight="true" outlineLevel="0" collapsed="false">
      <c r="A727" s="29"/>
      <c r="B727" s="30" t="s">
        <v>3243</v>
      </c>
      <c r="C727" s="31" t="s">
        <v>138</v>
      </c>
      <c r="D727" s="31" t="s">
        <v>108</v>
      </c>
      <c r="E727" s="32" t="n">
        <v>2333</v>
      </c>
      <c r="F727" s="32" t="n">
        <v>2000</v>
      </c>
      <c r="G727" s="32" t="n">
        <v>350</v>
      </c>
      <c r="H727" s="33" t="n">
        <v>1</v>
      </c>
      <c r="I727" s="34" t="n">
        <f aca="false">E727*H727+N(F727)+N(G727)</f>
        <v>4683</v>
      </c>
      <c r="J727" s="32" t="n">
        <f aca="false">ROUND(IFERROR(ROUND(IF(OR(ISNUMBER(SEARCH("week",C727)),ISNUMBER(SEARCH("minggu",C727))),IFERROR(_xlfn.NUMBERVALUE(SUBSTITUTE(LEFT(TRIM(C727),FIND(" ",TRIM(C727)&amp;" ")-1),",","."),"."),LEFT(SUBSTITUTE(LEFT(TRIM(C727),FIND(" ",TRIM(C727)&amp;" ")-1),",","."),FIND("/",SUBSTITUTE(LEFT(TRIM(C727),FIND(" ",TRIM(C727)&amp;" ")-1),",","."))-1)/MID(SUBSTITUTE(LEFT(TRIM(C727),FIND(" ",TRIM(C727)&amp;" ")-1),",","."),FIND("/",SUBSTITUTE(LEFT(TRIM(C727),FIND(" ",TRIM(C727)&amp;" ")-1),",","."))+1,9))*12/52,IF(ISNUMBER(SEARCH("month",C727)),IFERROR(_xlfn.NUMBERVALUE(SUBSTITUTE(LEFT(TRIM(C727),FIND(" ",TRIM(C727)&amp;" ")-1),",","."),"."),LEFT(SUBSTITUTE(LEFT(TRIM(C727),FIND(" ",TRIM(C727)&amp;" ")-1),",","."),FIND("/",SUBSTITUTE(LEFT(TRIM(C727),FIND(" ",TRIM(C727)&amp;" ")-1),",","."))-1)/MID(SUBSTITUTE(LEFT(TRIM(C727),FIND(" ",TRIM(C727)&amp;" ")-1),",","."),FIND("/",SUBSTITUTE(LEFT(TRIM(C727),FIND(" ",TRIM(C727)&amp;" ")-1),",","."))+1,9)),IF(ISNUMBER(SEARCH("yea",C727)),IFERROR(_xlfn.NUMBERVALUE(SUBSTITUTE(LEFT(TRIM(C727),FIND(" ",TRIM(C727)&amp;" ")-1),",","."),"."),LEFT(SUBSTITUTE(LEFT(TRIM(C727),FIND(" ",TRIM(C727)&amp;" ")-1),",","."),FIND("/",SUBSTITUTE(LEFT(TRIM(C727),FIND(" ",TRIM(C727)&amp;" ")-1),",","."))-1)/MID(SUBSTITUTE(LEFT(TRIM(C727),FIND(" ",TRIM(C727)&amp;" ")-1),",","."),FIND("/",SUBSTITUTE(LEFT(TRIM(C727),FIND(" ",TRIM(C727)&amp;" ")-1),",","."))+1,9))*12,NA()))),0),30)*'Aturan &amp; Tarif'!$B$4,2)</f>
        <v>1703.4</v>
      </c>
      <c r="K727" s="32" t="n">
        <f aca="false">'Aturan &amp; Tarif'!$B$5</f>
        <v>2050</v>
      </c>
      <c r="L727" s="35" t="n">
        <f aca="false">I727+J727+K727</f>
        <v>8436.4</v>
      </c>
      <c r="M727" s="36" t="s">
        <v>131</v>
      </c>
    </row>
    <row r="728" customFormat="false" ht="37.5" hidden="false" customHeight="true" outlineLevel="0" collapsed="false">
      <c r="A728" s="29" t="s">
        <v>2311</v>
      </c>
      <c r="B728" s="30" t="s">
        <v>2312</v>
      </c>
      <c r="C728" s="31" t="s">
        <v>107</v>
      </c>
      <c r="D728" s="31" t="s">
        <v>108</v>
      </c>
      <c r="E728" s="32" t="n">
        <v>3250</v>
      </c>
      <c r="F728" s="32" t="n">
        <v>250</v>
      </c>
      <c r="G728" s="32" t="n">
        <v>250</v>
      </c>
      <c r="H728" s="33" t="n">
        <v>1</v>
      </c>
      <c r="I728" s="34" t="n">
        <f aca="false">E728*H728+N(F728)+N(G728)</f>
        <v>3750</v>
      </c>
      <c r="J728" s="32" t="n">
        <f aca="false">ROUND(IFERROR(ROUND(IF(OR(ISNUMBER(SEARCH("week",C728)),ISNUMBER(SEARCH("minggu",C728))),IFERROR(_xlfn.NUMBERVALUE(SUBSTITUTE(LEFT(TRIM(C728),FIND(" ",TRIM(C728)&amp;" ")-1),",","."),"."),LEFT(SUBSTITUTE(LEFT(TRIM(C728),FIND(" ",TRIM(C728)&amp;" ")-1),",","."),FIND("/",SUBSTITUTE(LEFT(TRIM(C728),FIND(" ",TRIM(C728)&amp;" ")-1),",","."))-1)/MID(SUBSTITUTE(LEFT(TRIM(C728),FIND(" ",TRIM(C728)&amp;" ")-1),",","."),FIND("/",SUBSTITUTE(LEFT(TRIM(C728),FIND(" ",TRIM(C728)&amp;" ")-1),",","."))+1,9))*12/52,IF(ISNUMBER(SEARCH("month",C728)),IFERROR(_xlfn.NUMBERVALUE(SUBSTITUTE(LEFT(TRIM(C728),FIND(" ",TRIM(C728)&amp;" ")-1),",","."),"."),LEFT(SUBSTITUTE(LEFT(TRIM(C728),FIND(" ",TRIM(C728)&amp;" ")-1),",","."),FIND("/",SUBSTITUTE(LEFT(TRIM(C728),FIND(" ",TRIM(C728)&amp;" ")-1),",","."))-1)/MID(SUBSTITUTE(LEFT(TRIM(C728),FIND(" ",TRIM(C728)&amp;" ")-1),",","."),FIND("/",SUBSTITUTE(LEFT(TRIM(C728),FIND(" ",TRIM(C728)&amp;" ")-1),",","."))+1,9)),IF(ISNUMBER(SEARCH("yea",C728)),IFERROR(_xlfn.NUMBERVALUE(SUBSTITUTE(LEFT(TRIM(C728),FIND(" ",TRIM(C728)&amp;" ")-1),",","."),"."),LEFT(SUBSTITUTE(LEFT(TRIM(C728),FIND(" ",TRIM(C728)&amp;" ")-1),",","."),FIND("/",SUBSTITUTE(LEFT(TRIM(C728),FIND(" ",TRIM(C728)&amp;" ")-1),",","."))-1)/MID(SUBSTITUTE(LEFT(TRIM(C728),FIND(" ",TRIM(C728)&amp;" ")-1),",","."),FIND("/",SUBSTITUTE(LEFT(TRIM(C728),FIND(" ",TRIM(C728)&amp;" ")-1),",","."))+1,9))*12,NA()))),0),24)*'Aturan &amp; Tarif'!$B$4,2)</f>
        <v>1362.72</v>
      </c>
      <c r="K728" s="32" t="n">
        <f aca="false">'Aturan &amp; Tarif'!$B$5</f>
        <v>2050</v>
      </c>
      <c r="L728" s="35" t="n">
        <f aca="false">I728+J728+K728</f>
        <v>7162.72</v>
      </c>
      <c r="M728" s="36" t="s">
        <v>2313</v>
      </c>
    </row>
    <row r="729" customFormat="false" ht="25.5" hidden="false" customHeight="true" outlineLevel="0" collapsed="false">
      <c r="A729" s="29"/>
      <c r="B729" s="30" t="s">
        <v>3244</v>
      </c>
      <c r="C729" s="31" t="s">
        <v>107</v>
      </c>
      <c r="D729" s="31" t="s">
        <v>108</v>
      </c>
      <c r="E729" s="32" t="n">
        <v>3125</v>
      </c>
      <c r="F729" s="32" t="n">
        <v>250</v>
      </c>
      <c r="G729" s="32" t="n">
        <v>250</v>
      </c>
      <c r="H729" s="33" t="n">
        <v>1</v>
      </c>
      <c r="I729" s="34" t="n">
        <f aca="false">E729*H729+N(F729)+N(G729)</f>
        <v>3625</v>
      </c>
      <c r="J729" s="32" t="n">
        <f aca="false">ROUND(IFERROR(ROUND(IF(OR(ISNUMBER(SEARCH("week",C729)),ISNUMBER(SEARCH("minggu",C729))),IFERROR(_xlfn.NUMBERVALUE(SUBSTITUTE(LEFT(TRIM(C729),FIND(" ",TRIM(C729)&amp;" ")-1),",","."),"."),LEFT(SUBSTITUTE(LEFT(TRIM(C729),FIND(" ",TRIM(C729)&amp;" ")-1),",","."),FIND("/",SUBSTITUTE(LEFT(TRIM(C729),FIND(" ",TRIM(C729)&amp;" ")-1),",","."))-1)/MID(SUBSTITUTE(LEFT(TRIM(C729),FIND(" ",TRIM(C729)&amp;" ")-1),",","."),FIND("/",SUBSTITUTE(LEFT(TRIM(C729),FIND(" ",TRIM(C729)&amp;" ")-1),",","."))+1,9))*12/52,IF(ISNUMBER(SEARCH("month",C729)),IFERROR(_xlfn.NUMBERVALUE(SUBSTITUTE(LEFT(TRIM(C729),FIND(" ",TRIM(C729)&amp;" ")-1),",","."),"."),LEFT(SUBSTITUTE(LEFT(TRIM(C729),FIND(" ",TRIM(C729)&amp;" ")-1),",","."),FIND("/",SUBSTITUTE(LEFT(TRIM(C729),FIND(" ",TRIM(C729)&amp;" ")-1),",","."))-1)/MID(SUBSTITUTE(LEFT(TRIM(C729),FIND(" ",TRIM(C729)&amp;" ")-1),",","."),FIND("/",SUBSTITUTE(LEFT(TRIM(C729),FIND(" ",TRIM(C729)&amp;" ")-1),",","."))+1,9)),IF(ISNUMBER(SEARCH("yea",C729)),IFERROR(_xlfn.NUMBERVALUE(SUBSTITUTE(LEFT(TRIM(C729),FIND(" ",TRIM(C729)&amp;" ")-1),",","."),"."),LEFT(SUBSTITUTE(LEFT(TRIM(C729),FIND(" ",TRIM(C729)&amp;" ")-1),",","."),FIND("/",SUBSTITUTE(LEFT(TRIM(C729),FIND(" ",TRIM(C729)&amp;" ")-1),",","."))-1)/MID(SUBSTITUTE(LEFT(TRIM(C729),FIND(" ",TRIM(C729)&amp;" ")-1),",","."),FIND("/",SUBSTITUTE(LEFT(TRIM(C729),FIND(" ",TRIM(C729)&amp;" ")-1),",","."))+1,9))*12,NA()))),0),24)*'Aturan &amp; Tarif'!$B$4,2)</f>
        <v>1362.72</v>
      </c>
      <c r="K729" s="32" t="n">
        <f aca="false">'Aturan &amp; Tarif'!$B$5</f>
        <v>2050</v>
      </c>
      <c r="L729" s="35" t="n">
        <f aca="false">I729+J729+K729</f>
        <v>7037.72</v>
      </c>
      <c r="M729" s="37" t="s">
        <v>3245</v>
      </c>
    </row>
    <row r="730" customFormat="false" ht="72" hidden="false" customHeight="true" outlineLevel="0" collapsed="false">
      <c r="A730" s="29"/>
      <c r="B730" s="30" t="s">
        <v>3246</v>
      </c>
      <c r="C730" s="31" t="s">
        <v>191</v>
      </c>
      <c r="D730" s="31" t="s">
        <v>108</v>
      </c>
      <c r="E730" s="32" t="n">
        <v>3250</v>
      </c>
      <c r="F730" s="32" t="n">
        <v>250</v>
      </c>
      <c r="G730" s="32" t="n">
        <v>250</v>
      </c>
      <c r="H730" s="33" t="n">
        <v>1</v>
      </c>
      <c r="I730" s="34" t="n">
        <f aca="false">E730*H730+N(F730)+N(G730)</f>
        <v>3750</v>
      </c>
      <c r="J730" s="32" t="n">
        <f aca="false">ROUND(IFERROR(ROUND(IF(OR(ISNUMBER(SEARCH("week",C730)),ISNUMBER(SEARCH("minggu",C730))),IFERROR(_xlfn.NUMBERVALUE(SUBSTITUTE(LEFT(TRIM(C730),FIND(" ",TRIM(C730)&amp;" ")-1),",","."),"."),LEFT(SUBSTITUTE(LEFT(TRIM(C730),FIND(" ",TRIM(C730)&amp;" ")-1),",","."),FIND("/",SUBSTITUTE(LEFT(TRIM(C730),FIND(" ",TRIM(C730)&amp;" ")-1),",","."))-1)/MID(SUBSTITUTE(LEFT(TRIM(C730),FIND(" ",TRIM(C730)&amp;" ")-1),",","."),FIND("/",SUBSTITUTE(LEFT(TRIM(C730),FIND(" ",TRIM(C730)&amp;" ")-1),",","."))+1,9))*12/52,IF(ISNUMBER(SEARCH("month",C730)),IFERROR(_xlfn.NUMBERVALUE(SUBSTITUTE(LEFT(TRIM(C730),FIND(" ",TRIM(C730)&amp;" ")-1),",","."),"."),LEFT(SUBSTITUTE(LEFT(TRIM(C730),FIND(" ",TRIM(C730)&amp;" ")-1),",","."),FIND("/",SUBSTITUTE(LEFT(TRIM(C730),FIND(" ",TRIM(C730)&amp;" ")-1),",","."))-1)/MID(SUBSTITUTE(LEFT(TRIM(C730),FIND(" ",TRIM(C730)&amp;" ")-1),",","."),FIND("/",SUBSTITUTE(LEFT(TRIM(C730),FIND(" ",TRIM(C730)&amp;" ")-1),",","."))+1,9)),IF(ISNUMBER(SEARCH("yea",C730)),IFERROR(_xlfn.NUMBERVALUE(SUBSTITUTE(LEFT(TRIM(C730),FIND(" ",TRIM(C730)&amp;" ")-1),",","."),"."),LEFT(SUBSTITUTE(LEFT(TRIM(C730),FIND(" ",TRIM(C730)&amp;" ")-1),",","."),FIND("/",SUBSTITUTE(LEFT(TRIM(C730),FIND(" ",TRIM(C730)&amp;" ")-1),",","."))-1)/MID(SUBSTITUTE(LEFT(TRIM(C730),FIND(" ",TRIM(C730)&amp;" ")-1),",","."),FIND("/",SUBSTITUTE(LEFT(TRIM(C730),FIND(" ",TRIM(C730)&amp;" ")-1),",","."))+1,9))*12,NA()))),0),48)*'Aturan &amp; Tarif'!$B$4,2)</f>
        <v>2725.44</v>
      </c>
      <c r="K730" s="32" t="n">
        <f aca="false">'Aturan &amp; Tarif'!$B$5</f>
        <v>2050</v>
      </c>
      <c r="L730" s="35" t="n">
        <f aca="false">I730+J730+K730</f>
        <v>8525.44</v>
      </c>
      <c r="M730" s="36" t="s">
        <v>3247</v>
      </c>
    </row>
    <row r="731" customFormat="false" ht="25.5" hidden="false" customHeight="true" outlineLevel="0" collapsed="false">
      <c r="A731" s="29"/>
      <c r="B731" s="30" t="s">
        <v>3248</v>
      </c>
      <c r="C731" s="31" t="s">
        <v>127</v>
      </c>
      <c r="D731" s="31" t="s">
        <v>108</v>
      </c>
      <c r="E731" s="32" t="n">
        <v>2300</v>
      </c>
      <c r="F731" s="32" t="n">
        <v>300</v>
      </c>
      <c r="G731" s="32" t="n">
        <v>250</v>
      </c>
      <c r="H731" s="33" t="n">
        <v>1</v>
      </c>
      <c r="I731" s="34" t="n">
        <f aca="false">E731*H731+N(F731)+N(G731)</f>
        <v>2850</v>
      </c>
      <c r="J731" s="32" t="n">
        <f aca="false">ROUND(IFERROR(ROUND(IF(OR(ISNUMBER(SEARCH("week",C731)),ISNUMBER(SEARCH("minggu",C731))),IFERROR(_xlfn.NUMBERVALUE(SUBSTITUTE(LEFT(TRIM(C731),FIND(" ",TRIM(C731)&amp;" ")-1),",","."),"."),LEFT(SUBSTITUTE(LEFT(TRIM(C731),FIND(" ",TRIM(C731)&amp;" ")-1),",","."),FIND("/",SUBSTITUTE(LEFT(TRIM(C731),FIND(" ",TRIM(C731)&amp;" ")-1),",","."))-1)/MID(SUBSTITUTE(LEFT(TRIM(C731),FIND(" ",TRIM(C731)&amp;" ")-1),",","."),FIND("/",SUBSTITUTE(LEFT(TRIM(C731),FIND(" ",TRIM(C731)&amp;" ")-1),",","."))+1,9))*12/52,IF(ISNUMBER(SEARCH("month",C731)),IFERROR(_xlfn.NUMBERVALUE(SUBSTITUTE(LEFT(TRIM(C731),FIND(" ",TRIM(C731)&amp;" ")-1),",","."),"."),LEFT(SUBSTITUTE(LEFT(TRIM(C731),FIND(" ",TRIM(C731)&amp;" ")-1),",","."),FIND("/",SUBSTITUTE(LEFT(TRIM(C731),FIND(" ",TRIM(C731)&amp;" ")-1),",","."))-1)/MID(SUBSTITUTE(LEFT(TRIM(C731),FIND(" ",TRIM(C731)&amp;" ")-1),",","."),FIND("/",SUBSTITUTE(LEFT(TRIM(C731),FIND(" ",TRIM(C731)&amp;" ")-1),",","."))+1,9)),IF(ISNUMBER(SEARCH("yea",C731)),IFERROR(_xlfn.NUMBERVALUE(SUBSTITUTE(LEFT(TRIM(C731),FIND(" ",TRIM(C731)&amp;" ")-1),",","."),"."),LEFT(SUBSTITUTE(LEFT(TRIM(C731),FIND(" ",TRIM(C731)&amp;" ")-1),",","."),FIND("/",SUBSTITUTE(LEFT(TRIM(C731),FIND(" ",TRIM(C731)&amp;" ")-1),",","."))-1)/MID(SUBSTITUTE(LEFT(TRIM(C731),FIND(" ",TRIM(C731)&amp;" ")-1),",","."),FIND("/",SUBSTITUTE(LEFT(TRIM(C731),FIND(" ",TRIM(C731)&amp;" ")-1),",","."))+1,9))*12,NA()))),0),36)*'Aturan &amp; Tarif'!$B$4,2)</f>
        <v>2044.08</v>
      </c>
      <c r="K731" s="32" t="n">
        <f aca="false">'Aturan &amp; Tarif'!$B$5</f>
        <v>2050</v>
      </c>
      <c r="L731" s="35" t="n">
        <f aca="false">I731+J731+K731</f>
        <v>6944.08</v>
      </c>
      <c r="M731" s="36" t="s">
        <v>131</v>
      </c>
    </row>
    <row r="732" customFormat="false" ht="37.5" hidden="false" customHeight="true" outlineLevel="0" collapsed="false">
      <c r="A732" s="29"/>
      <c r="B732" s="30" t="s">
        <v>2318</v>
      </c>
      <c r="C732" s="31" t="s">
        <v>107</v>
      </c>
      <c r="D732" s="31" t="s">
        <v>108</v>
      </c>
      <c r="E732" s="32" t="n">
        <v>2000</v>
      </c>
      <c r="F732" s="32" t="n">
        <v>300</v>
      </c>
      <c r="G732" s="32" t="n">
        <v>250</v>
      </c>
      <c r="H732" s="33" t="n">
        <v>1</v>
      </c>
      <c r="I732" s="34" t="n">
        <f aca="false">E732*H732+N(F732)+N(G732)</f>
        <v>2550</v>
      </c>
      <c r="J732" s="32" t="n">
        <f aca="false">ROUND(IFERROR(ROUND(IF(OR(ISNUMBER(SEARCH("week",C732)),ISNUMBER(SEARCH("minggu",C732))),IFERROR(_xlfn.NUMBERVALUE(SUBSTITUTE(LEFT(TRIM(C732),FIND(" ",TRIM(C732)&amp;" ")-1),",","."),"."),LEFT(SUBSTITUTE(LEFT(TRIM(C732),FIND(" ",TRIM(C732)&amp;" ")-1),",","."),FIND("/",SUBSTITUTE(LEFT(TRIM(C732),FIND(" ",TRIM(C732)&amp;" ")-1),",","."))-1)/MID(SUBSTITUTE(LEFT(TRIM(C732),FIND(" ",TRIM(C732)&amp;" ")-1),",","."),FIND("/",SUBSTITUTE(LEFT(TRIM(C732),FIND(" ",TRIM(C732)&amp;" ")-1),",","."))+1,9))*12/52,IF(ISNUMBER(SEARCH("month",C732)),IFERROR(_xlfn.NUMBERVALUE(SUBSTITUTE(LEFT(TRIM(C732),FIND(" ",TRIM(C732)&amp;" ")-1),",","."),"."),LEFT(SUBSTITUTE(LEFT(TRIM(C732),FIND(" ",TRIM(C732)&amp;" ")-1),",","."),FIND("/",SUBSTITUTE(LEFT(TRIM(C732),FIND(" ",TRIM(C732)&amp;" ")-1),",","."))-1)/MID(SUBSTITUTE(LEFT(TRIM(C732),FIND(" ",TRIM(C732)&amp;" ")-1),",","."),FIND("/",SUBSTITUTE(LEFT(TRIM(C732),FIND(" ",TRIM(C732)&amp;" ")-1),",","."))+1,9)),IF(ISNUMBER(SEARCH("yea",C732)),IFERROR(_xlfn.NUMBERVALUE(SUBSTITUTE(LEFT(TRIM(C732),FIND(" ",TRIM(C732)&amp;" ")-1),",","."),"."),LEFT(SUBSTITUTE(LEFT(TRIM(C732),FIND(" ",TRIM(C732)&amp;" ")-1),",","."),FIND("/",SUBSTITUTE(LEFT(TRIM(C732),FIND(" ",TRIM(C732)&amp;" ")-1),",","."))-1)/MID(SUBSTITUTE(LEFT(TRIM(C732),FIND(" ",TRIM(C732)&amp;" ")-1),",","."),FIND("/",SUBSTITUTE(LEFT(TRIM(C732),FIND(" ",TRIM(C732)&amp;" ")-1),",","."))+1,9))*12,NA()))),0),24)*'Aturan &amp; Tarif'!$B$4,2)</f>
        <v>1362.72</v>
      </c>
      <c r="K732" s="32" t="n">
        <f aca="false">'Aturan &amp; Tarif'!$B$5</f>
        <v>2050</v>
      </c>
      <c r="L732" s="35" t="n">
        <f aca="false">I732+J732+K732</f>
        <v>5962.72</v>
      </c>
      <c r="M732" s="37" t="s">
        <v>134</v>
      </c>
    </row>
    <row r="733" customFormat="false" ht="37.5" hidden="false" customHeight="true" outlineLevel="0" collapsed="false">
      <c r="A733" s="29"/>
      <c r="B733" s="30" t="s">
        <v>2319</v>
      </c>
      <c r="C733" s="31" t="s">
        <v>191</v>
      </c>
      <c r="D733" s="31" t="s">
        <v>108</v>
      </c>
      <c r="E733" s="32" t="n">
        <v>2000</v>
      </c>
      <c r="F733" s="32" t="n">
        <v>300</v>
      </c>
      <c r="G733" s="32" t="n">
        <v>250</v>
      </c>
      <c r="H733" s="33" t="n">
        <v>1</v>
      </c>
      <c r="I733" s="34" t="n">
        <f aca="false">E733*H733+N(F733)+N(G733)</f>
        <v>2550</v>
      </c>
      <c r="J733" s="32" t="n">
        <f aca="false">ROUND(IFERROR(ROUND(IF(OR(ISNUMBER(SEARCH("week",C733)),ISNUMBER(SEARCH("minggu",C733))),IFERROR(_xlfn.NUMBERVALUE(SUBSTITUTE(LEFT(TRIM(C733),FIND(" ",TRIM(C733)&amp;" ")-1),",","."),"."),LEFT(SUBSTITUTE(LEFT(TRIM(C733),FIND(" ",TRIM(C733)&amp;" ")-1),",","."),FIND("/",SUBSTITUTE(LEFT(TRIM(C733),FIND(" ",TRIM(C733)&amp;" ")-1),",","."))-1)/MID(SUBSTITUTE(LEFT(TRIM(C733),FIND(" ",TRIM(C733)&amp;" ")-1),",","."),FIND("/",SUBSTITUTE(LEFT(TRIM(C733),FIND(" ",TRIM(C733)&amp;" ")-1),",","."))+1,9))*12/52,IF(ISNUMBER(SEARCH("month",C733)),IFERROR(_xlfn.NUMBERVALUE(SUBSTITUTE(LEFT(TRIM(C733),FIND(" ",TRIM(C733)&amp;" ")-1),",","."),"."),LEFT(SUBSTITUTE(LEFT(TRIM(C733),FIND(" ",TRIM(C733)&amp;" ")-1),",","."),FIND("/",SUBSTITUTE(LEFT(TRIM(C733),FIND(" ",TRIM(C733)&amp;" ")-1),",","."))-1)/MID(SUBSTITUTE(LEFT(TRIM(C733),FIND(" ",TRIM(C733)&amp;" ")-1),",","."),FIND("/",SUBSTITUTE(LEFT(TRIM(C733),FIND(" ",TRIM(C733)&amp;" ")-1),",","."))+1,9)),IF(ISNUMBER(SEARCH("yea",C733)),IFERROR(_xlfn.NUMBERVALUE(SUBSTITUTE(LEFT(TRIM(C733),FIND(" ",TRIM(C733)&amp;" ")-1),",","."),"."),LEFT(SUBSTITUTE(LEFT(TRIM(C733),FIND(" ",TRIM(C733)&amp;" ")-1),",","."),FIND("/",SUBSTITUTE(LEFT(TRIM(C733),FIND(" ",TRIM(C733)&amp;" ")-1),",","."))-1)/MID(SUBSTITUTE(LEFT(TRIM(C733),FIND(" ",TRIM(C733)&amp;" ")-1),",","."),FIND("/",SUBSTITUTE(LEFT(TRIM(C733),FIND(" ",TRIM(C733)&amp;" ")-1),",","."))+1,9))*12,NA()))),0),48)*'Aturan &amp; Tarif'!$B$4,2)</f>
        <v>2725.44</v>
      </c>
      <c r="K733" s="32" t="n">
        <f aca="false">'Aturan &amp; Tarif'!$B$5</f>
        <v>2050</v>
      </c>
      <c r="L733" s="35" t="n">
        <f aca="false">I733+J733+K733</f>
        <v>7325.44</v>
      </c>
      <c r="M733" s="37" t="s">
        <v>134</v>
      </c>
    </row>
    <row r="734" customFormat="false" ht="14.25" hidden="false" customHeight="true" outlineLevel="0" collapsed="false">
      <c r="A734" s="29"/>
      <c r="B734" s="30" t="s">
        <v>594</v>
      </c>
      <c r="C734" s="31" t="s">
        <v>113</v>
      </c>
      <c r="D734" s="31" t="s">
        <v>108</v>
      </c>
      <c r="E734" s="32" t="n">
        <v>1750</v>
      </c>
      <c r="F734" s="32" t="n">
        <v>200</v>
      </c>
      <c r="G734" s="32" t="n">
        <v>250</v>
      </c>
      <c r="H734" s="33" t="n">
        <v>1</v>
      </c>
      <c r="I734" s="34" t="n">
        <f aca="false">E734*H734+N(F734)+N(G734)</f>
        <v>2200</v>
      </c>
      <c r="J734" s="32" t="n">
        <f aca="false">ROUND(IFERROR(ROUND(IF(OR(ISNUMBER(SEARCH("week",C734)),ISNUMBER(SEARCH("minggu",C734))),IFERROR(_xlfn.NUMBERVALUE(SUBSTITUTE(LEFT(TRIM(C734),FIND(" ",TRIM(C734)&amp;" ")-1),",","."),"."),LEFT(SUBSTITUTE(LEFT(TRIM(C734),FIND(" ",TRIM(C734)&amp;" ")-1),",","."),FIND("/",SUBSTITUTE(LEFT(TRIM(C734),FIND(" ",TRIM(C734)&amp;" ")-1),",","."))-1)/MID(SUBSTITUTE(LEFT(TRIM(C734),FIND(" ",TRIM(C734)&amp;" ")-1),",","."),FIND("/",SUBSTITUTE(LEFT(TRIM(C734),FIND(" ",TRIM(C734)&amp;" ")-1),",","."))+1,9))*12/52,IF(ISNUMBER(SEARCH("month",C734)),IFERROR(_xlfn.NUMBERVALUE(SUBSTITUTE(LEFT(TRIM(C734),FIND(" ",TRIM(C734)&amp;" ")-1),",","."),"."),LEFT(SUBSTITUTE(LEFT(TRIM(C734),FIND(" ",TRIM(C734)&amp;" ")-1),",","."),FIND("/",SUBSTITUTE(LEFT(TRIM(C734),FIND(" ",TRIM(C734)&amp;" ")-1),",","."))-1)/MID(SUBSTITUTE(LEFT(TRIM(C734),FIND(" ",TRIM(C734)&amp;" ")-1),",","."),FIND("/",SUBSTITUTE(LEFT(TRIM(C734),FIND(" ",TRIM(C734)&amp;" ")-1),",","."))+1,9)),IF(ISNUMBER(SEARCH("yea",C734)),IFERROR(_xlfn.NUMBERVALUE(SUBSTITUTE(LEFT(TRIM(C734),FIND(" ",TRIM(C734)&amp;" ")-1),",","."),"."),LEFT(SUBSTITUTE(LEFT(TRIM(C734),FIND(" ",TRIM(C734)&amp;" ")-1),",","."),FIND("/",SUBSTITUTE(LEFT(TRIM(C734),FIND(" ",TRIM(C734)&amp;" ")-1),",","."))-1)/MID(SUBSTITUTE(LEFT(TRIM(C734),FIND(" ",TRIM(C734)&amp;" ")-1),",","."),FIND("/",SUBSTITUTE(LEFT(TRIM(C734),FIND(" ",TRIM(C734)&amp;" ")-1),",","."))+1,9))*12,NA()))),0),18)*'Aturan &amp; Tarif'!$B$4,2)</f>
        <v>1022.04</v>
      </c>
      <c r="K734" s="32" t="n">
        <f aca="false">'Aturan &amp; Tarif'!$B$5</f>
        <v>2050</v>
      </c>
      <c r="L734" s="35" t="n">
        <f aca="false">I734+J734+K734</f>
        <v>5272.04</v>
      </c>
      <c r="M734" s="37" t="s">
        <v>134</v>
      </c>
    </row>
    <row r="735" customFormat="false" ht="25.5" hidden="false" customHeight="true" outlineLevel="0" collapsed="false">
      <c r="A735" s="29"/>
      <c r="B735" s="30" t="s">
        <v>3249</v>
      </c>
      <c r="C735" s="31" t="s">
        <v>127</v>
      </c>
      <c r="D735" s="31" t="s">
        <v>108</v>
      </c>
      <c r="E735" s="32" t="n">
        <v>1750</v>
      </c>
      <c r="F735" s="32" t="n">
        <v>200</v>
      </c>
      <c r="G735" s="32" t="n">
        <v>250</v>
      </c>
      <c r="H735" s="33" t="n">
        <v>1</v>
      </c>
      <c r="I735" s="34" t="n">
        <f aca="false">E735*H735+N(F735)+N(G735)</f>
        <v>2200</v>
      </c>
      <c r="J735" s="32" t="n">
        <f aca="false">ROUND(IFERROR(ROUND(IF(OR(ISNUMBER(SEARCH("week",C735)),ISNUMBER(SEARCH("minggu",C735))),IFERROR(_xlfn.NUMBERVALUE(SUBSTITUTE(LEFT(TRIM(C735),FIND(" ",TRIM(C735)&amp;" ")-1),",","."),"."),LEFT(SUBSTITUTE(LEFT(TRIM(C735),FIND(" ",TRIM(C735)&amp;" ")-1),",","."),FIND("/",SUBSTITUTE(LEFT(TRIM(C735),FIND(" ",TRIM(C735)&amp;" ")-1),",","."))-1)/MID(SUBSTITUTE(LEFT(TRIM(C735),FIND(" ",TRIM(C735)&amp;" ")-1),",","."),FIND("/",SUBSTITUTE(LEFT(TRIM(C735),FIND(" ",TRIM(C735)&amp;" ")-1),",","."))+1,9))*12/52,IF(ISNUMBER(SEARCH("month",C735)),IFERROR(_xlfn.NUMBERVALUE(SUBSTITUTE(LEFT(TRIM(C735),FIND(" ",TRIM(C735)&amp;" ")-1),",","."),"."),LEFT(SUBSTITUTE(LEFT(TRIM(C735),FIND(" ",TRIM(C735)&amp;" ")-1),",","."),FIND("/",SUBSTITUTE(LEFT(TRIM(C735),FIND(" ",TRIM(C735)&amp;" ")-1),",","."))-1)/MID(SUBSTITUTE(LEFT(TRIM(C735),FIND(" ",TRIM(C735)&amp;" ")-1),",","."),FIND("/",SUBSTITUTE(LEFT(TRIM(C735),FIND(" ",TRIM(C735)&amp;" ")-1),",","."))+1,9)),IF(ISNUMBER(SEARCH("yea",C735)),IFERROR(_xlfn.NUMBERVALUE(SUBSTITUTE(LEFT(TRIM(C735),FIND(" ",TRIM(C735)&amp;" ")-1),",","."),"."),LEFT(SUBSTITUTE(LEFT(TRIM(C735),FIND(" ",TRIM(C735)&amp;" ")-1),",","."),FIND("/",SUBSTITUTE(LEFT(TRIM(C735),FIND(" ",TRIM(C735)&amp;" ")-1),",","."))-1)/MID(SUBSTITUTE(LEFT(TRIM(C735),FIND(" ",TRIM(C735)&amp;" ")-1),",","."),FIND("/",SUBSTITUTE(LEFT(TRIM(C735),FIND(" ",TRIM(C735)&amp;" ")-1),",","."))+1,9))*12,NA()))),0),36)*'Aturan &amp; Tarif'!$B$4,2)</f>
        <v>2044.08</v>
      </c>
      <c r="K735" s="32" t="n">
        <f aca="false">'Aturan &amp; Tarif'!$B$5</f>
        <v>2050</v>
      </c>
      <c r="L735" s="35" t="n">
        <f aca="false">I735+J735+K735</f>
        <v>6294.08</v>
      </c>
      <c r="M735" s="36" t="s">
        <v>3250</v>
      </c>
    </row>
    <row r="736" customFormat="false" ht="14.25" hidden="false" customHeight="true" outlineLevel="0" collapsed="false">
      <c r="A736" s="29"/>
      <c r="B736" s="30" t="s">
        <v>625</v>
      </c>
      <c r="C736" s="31" t="s">
        <v>127</v>
      </c>
      <c r="D736" s="31" t="s">
        <v>108</v>
      </c>
      <c r="E736" s="32" t="n">
        <v>1500</v>
      </c>
      <c r="F736" s="32" t="n">
        <v>200</v>
      </c>
      <c r="G736" s="32" t="n">
        <v>250</v>
      </c>
      <c r="H736" s="33" t="n">
        <v>1</v>
      </c>
      <c r="I736" s="34" t="n">
        <f aca="false">E736*H736+N(F736)+N(G736)</f>
        <v>1950</v>
      </c>
      <c r="J736" s="32" t="n">
        <f aca="false">ROUND(IFERROR(ROUND(IF(OR(ISNUMBER(SEARCH("week",C736)),ISNUMBER(SEARCH("minggu",C736))),IFERROR(_xlfn.NUMBERVALUE(SUBSTITUTE(LEFT(TRIM(C736),FIND(" ",TRIM(C736)&amp;" ")-1),",","."),"."),LEFT(SUBSTITUTE(LEFT(TRIM(C736),FIND(" ",TRIM(C736)&amp;" ")-1),",","."),FIND("/",SUBSTITUTE(LEFT(TRIM(C736),FIND(" ",TRIM(C736)&amp;" ")-1),",","."))-1)/MID(SUBSTITUTE(LEFT(TRIM(C736),FIND(" ",TRIM(C736)&amp;" ")-1),",","."),FIND("/",SUBSTITUTE(LEFT(TRIM(C736),FIND(" ",TRIM(C736)&amp;" ")-1),",","."))+1,9))*12/52,IF(ISNUMBER(SEARCH("month",C736)),IFERROR(_xlfn.NUMBERVALUE(SUBSTITUTE(LEFT(TRIM(C736),FIND(" ",TRIM(C736)&amp;" ")-1),",","."),"."),LEFT(SUBSTITUTE(LEFT(TRIM(C736),FIND(" ",TRIM(C736)&amp;" ")-1),",","."),FIND("/",SUBSTITUTE(LEFT(TRIM(C736),FIND(" ",TRIM(C736)&amp;" ")-1),",","."))-1)/MID(SUBSTITUTE(LEFT(TRIM(C736),FIND(" ",TRIM(C736)&amp;" ")-1),",","."),FIND("/",SUBSTITUTE(LEFT(TRIM(C736),FIND(" ",TRIM(C736)&amp;" ")-1),",","."))+1,9)),IF(ISNUMBER(SEARCH("yea",C736)),IFERROR(_xlfn.NUMBERVALUE(SUBSTITUTE(LEFT(TRIM(C736),FIND(" ",TRIM(C736)&amp;" ")-1),",","."),"."),LEFT(SUBSTITUTE(LEFT(TRIM(C736),FIND(" ",TRIM(C736)&amp;" ")-1),",","."),FIND("/",SUBSTITUTE(LEFT(TRIM(C736),FIND(" ",TRIM(C736)&amp;" ")-1),",","."))-1)/MID(SUBSTITUTE(LEFT(TRIM(C736),FIND(" ",TRIM(C736)&amp;" ")-1),",","."),FIND("/",SUBSTITUTE(LEFT(TRIM(C736),FIND(" ",TRIM(C736)&amp;" ")-1),",","."))+1,9))*12,NA()))),0),36)*'Aturan &amp; Tarif'!$B$4,2)</f>
        <v>2044.08</v>
      </c>
      <c r="K736" s="32" t="n">
        <f aca="false">'Aturan &amp; Tarif'!$B$5</f>
        <v>2050</v>
      </c>
      <c r="L736" s="35" t="n">
        <f aca="false">I736+J736+K736</f>
        <v>6044.08</v>
      </c>
      <c r="M736" s="37" t="s">
        <v>134</v>
      </c>
    </row>
    <row r="737" customFormat="false" ht="25.5" hidden="false" customHeight="true" outlineLevel="0" collapsed="false">
      <c r="A737" s="29"/>
      <c r="B737" s="30" t="s">
        <v>1602</v>
      </c>
      <c r="C737" s="31" t="s">
        <v>107</v>
      </c>
      <c r="D737" s="31" t="s">
        <v>108</v>
      </c>
      <c r="E737" s="32" t="n">
        <v>1500</v>
      </c>
      <c r="F737" s="32" t="n">
        <v>300</v>
      </c>
      <c r="G737" s="32" t="n">
        <v>250</v>
      </c>
      <c r="H737" s="33" t="n">
        <v>1</v>
      </c>
      <c r="I737" s="34" t="n">
        <f aca="false">E737*H737+N(F737)+N(G737)</f>
        <v>2050</v>
      </c>
      <c r="J737" s="32" t="n">
        <f aca="false">ROUND(IFERROR(ROUND(IF(OR(ISNUMBER(SEARCH("week",C737)),ISNUMBER(SEARCH("minggu",C737))),IFERROR(_xlfn.NUMBERVALUE(SUBSTITUTE(LEFT(TRIM(C737),FIND(" ",TRIM(C737)&amp;" ")-1),",","."),"."),LEFT(SUBSTITUTE(LEFT(TRIM(C737),FIND(" ",TRIM(C737)&amp;" ")-1),",","."),FIND("/",SUBSTITUTE(LEFT(TRIM(C737),FIND(" ",TRIM(C737)&amp;" ")-1),",","."))-1)/MID(SUBSTITUTE(LEFT(TRIM(C737),FIND(" ",TRIM(C737)&amp;" ")-1),",","."),FIND("/",SUBSTITUTE(LEFT(TRIM(C737),FIND(" ",TRIM(C737)&amp;" ")-1),",","."))+1,9))*12/52,IF(ISNUMBER(SEARCH("month",C737)),IFERROR(_xlfn.NUMBERVALUE(SUBSTITUTE(LEFT(TRIM(C737),FIND(" ",TRIM(C737)&amp;" ")-1),",","."),"."),LEFT(SUBSTITUTE(LEFT(TRIM(C737),FIND(" ",TRIM(C737)&amp;" ")-1),",","."),FIND("/",SUBSTITUTE(LEFT(TRIM(C737),FIND(" ",TRIM(C737)&amp;" ")-1),",","."))-1)/MID(SUBSTITUTE(LEFT(TRIM(C737),FIND(" ",TRIM(C737)&amp;" ")-1),",","."),FIND("/",SUBSTITUTE(LEFT(TRIM(C737),FIND(" ",TRIM(C737)&amp;" ")-1),",","."))+1,9)),IF(ISNUMBER(SEARCH("yea",C737)),IFERROR(_xlfn.NUMBERVALUE(SUBSTITUTE(LEFT(TRIM(C737),FIND(" ",TRIM(C737)&amp;" ")-1),",","."),"."),LEFT(SUBSTITUTE(LEFT(TRIM(C737),FIND(" ",TRIM(C737)&amp;" ")-1),",","."),FIND("/",SUBSTITUTE(LEFT(TRIM(C737),FIND(" ",TRIM(C737)&amp;" ")-1),",","."))-1)/MID(SUBSTITUTE(LEFT(TRIM(C737),FIND(" ",TRIM(C737)&amp;" ")-1),",","."),FIND("/",SUBSTITUTE(LEFT(TRIM(C737),FIND(" ",TRIM(C737)&amp;" ")-1),",","."))+1,9))*12,NA()))),0),24)*'Aturan &amp; Tarif'!$B$4,2)</f>
        <v>1362.72</v>
      </c>
      <c r="K737" s="32" t="n">
        <f aca="false">'Aturan &amp; Tarif'!$B$5</f>
        <v>2050</v>
      </c>
      <c r="L737" s="35" t="n">
        <f aca="false">I737+J737+K737</f>
        <v>5462.72</v>
      </c>
      <c r="M737" s="37" t="s">
        <v>134</v>
      </c>
    </row>
    <row r="738" customFormat="false" ht="25.5" hidden="false" customHeight="true" outlineLevel="0" collapsed="false">
      <c r="A738" s="29"/>
      <c r="B738" s="30" t="s">
        <v>3251</v>
      </c>
      <c r="C738" s="31" t="s">
        <v>127</v>
      </c>
      <c r="D738" s="31" t="s">
        <v>108</v>
      </c>
      <c r="E738" s="32" t="n">
        <v>1500</v>
      </c>
      <c r="F738" s="32" t="n">
        <v>200</v>
      </c>
      <c r="G738" s="32" t="n">
        <v>250</v>
      </c>
      <c r="H738" s="33" t="n">
        <v>1</v>
      </c>
      <c r="I738" s="34" t="n">
        <f aca="false">E738*H738+N(F738)+N(G738)</f>
        <v>1950</v>
      </c>
      <c r="J738" s="32" t="n">
        <f aca="false">ROUND(IFERROR(ROUND(IF(OR(ISNUMBER(SEARCH("week",C738)),ISNUMBER(SEARCH("minggu",C738))),IFERROR(_xlfn.NUMBERVALUE(SUBSTITUTE(LEFT(TRIM(C738),FIND(" ",TRIM(C738)&amp;" ")-1),",","."),"."),LEFT(SUBSTITUTE(LEFT(TRIM(C738),FIND(" ",TRIM(C738)&amp;" ")-1),",","."),FIND("/",SUBSTITUTE(LEFT(TRIM(C738),FIND(" ",TRIM(C738)&amp;" ")-1),",","."))-1)/MID(SUBSTITUTE(LEFT(TRIM(C738),FIND(" ",TRIM(C738)&amp;" ")-1),",","."),FIND("/",SUBSTITUTE(LEFT(TRIM(C738),FIND(" ",TRIM(C738)&amp;" ")-1),",","."))+1,9))*12/52,IF(ISNUMBER(SEARCH("month",C738)),IFERROR(_xlfn.NUMBERVALUE(SUBSTITUTE(LEFT(TRIM(C738),FIND(" ",TRIM(C738)&amp;" ")-1),",","."),"."),LEFT(SUBSTITUTE(LEFT(TRIM(C738),FIND(" ",TRIM(C738)&amp;" ")-1),",","."),FIND("/",SUBSTITUTE(LEFT(TRIM(C738),FIND(" ",TRIM(C738)&amp;" ")-1),",","."))-1)/MID(SUBSTITUTE(LEFT(TRIM(C738),FIND(" ",TRIM(C738)&amp;" ")-1),",","."),FIND("/",SUBSTITUTE(LEFT(TRIM(C738),FIND(" ",TRIM(C738)&amp;" ")-1),",","."))+1,9)),IF(ISNUMBER(SEARCH("yea",C738)),IFERROR(_xlfn.NUMBERVALUE(SUBSTITUTE(LEFT(TRIM(C738),FIND(" ",TRIM(C738)&amp;" ")-1),",","."),"."),LEFT(SUBSTITUTE(LEFT(TRIM(C738),FIND(" ",TRIM(C738)&amp;" ")-1),",","."),FIND("/",SUBSTITUTE(LEFT(TRIM(C738),FIND(" ",TRIM(C738)&amp;" ")-1),",","."))-1)/MID(SUBSTITUTE(LEFT(TRIM(C738),FIND(" ",TRIM(C738)&amp;" ")-1),",","."),FIND("/",SUBSTITUTE(LEFT(TRIM(C738),FIND(" ",TRIM(C738)&amp;" ")-1),",","."))+1,9))*12,NA()))),0),36)*'Aturan &amp; Tarif'!$B$4,2)</f>
        <v>2044.08</v>
      </c>
      <c r="K738" s="32" t="n">
        <f aca="false">'Aturan &amp; Tarif'!$B$5</f>
        <v>2050</v>
      </c>
      <c r="L738" s="35" t="n">
        <f aca="false">I738+J738+K738</f>
        <v>6044.08</v>
      </c>
      <c r="M738" s="36" t="s">
        <v>131</v>
      </c>
    </row>
    <row r="739" customFormat="false" ht="14.25" hidden="false" customHeight="true" outlineLevel="0" collapsed="false">
      <c r="A739" s="29"/>
      <c r="B739" s="30" t="s">
        <v>2320</v>
      </c>
      <c r="C739" s="31" t="s">
        <v>486</v>
      </c>
      <c r="D739" s="31" t="s">
        <v>108</v>
      </c>
      <c r="E739" s="32" t="n">
        <v>1500</v>
      </c>
      <c r="F739" s="32" t="n">
        <v>200</v>
      </c>
      <c r="G739" s="32" t="n">
        <v>250</v>
      </c>
      <c r="H739" s="33" t="n">
        <v>1</v>
      </c>
      <c r="I739" s="34" t="n">
        <f aca="false">E739*H739+N(F739)+N(G739)</f>
        <v>1950</v>
      </c>
      <c r="J739" s="32" t="n">
        <f aca="false">ROUND(IFERROR(ROUND(IF(OR(ISNUMBER(SEARCH("week",C739)),ISNUMBER(SEARCH("minggu",C739))),IFERROR(_xlfn.NUMBERVALUE(SUBSTITUTE(LEFT(TRIM(C739),FIND(" ",TRIM(C739)&amp;" ")-1),",","."),"."),LEFT(SUBSTITUTE(LEFT(TRIM(C739),FIND(" ",TRIM(C739)&amp;" ")-1),",","."),FIND("/",SUBSTITUTE(LEFT(TRIM(C739),FIND(" ",TRIM(C739)&amp;" ")-1),",","."))-1)/MID(SUBSTITUTE(LEFT(TRIM(C739),FIND(" ",TRIM(C739)&amp;" ")-1),",","."),FIND("/",SUBSTITUTE(LEFT(TRIM(C739),FIND(" ",TRIM(C739)&amp;" ")-1),",","."))+1,9))*12/52,IF(ISNUMBER(SEARCH("month",C739)),IFERROR(_xlfn.NUMBERVALUE(SUBSTITUTE(LEFT(TRIM(C739),FIND(" ",TRIM(C739)&amp;" ")-1),",","."),"."),LEFT(SUBSTITUTE(LEFT(TRIM(C739),FIND(" ",TRIM(C739)&amp;" ")-1),",","."),FIND("/",SUBSTITUTE(LEFT(TRIM(C739),FIND(" ",TRIM(C739)&amp;" ")-1),",","."))-1)/MID(SUBSTITUTE(LEFT(TRIM(C739),FIND(" ",TRIM(C739)&amp;" ")-1),",","."),FIND("/",SUBSTITUTE(LEFT(TRIM(C739),FIND(" ",TRIM(C739)&amp;" ")-1),",","."))+1,9)),IF(ISNUMBER(SEARCH("yea",C739)),IFERROR(_xlfn.NUMBERVALUE(SUBSTITUTE(LEFT(TRIM(C739),FIND(" ",TRIM(C739)&amp;" ")-1),",","."),"."),LEFT(SUBSTITUTE(LEFT(TRIM(C739),FIND(" ",TRIM(C739)&amp;" ")-1),",","."),FIND("/",SUBSTITUTE(LEFT(TRIM(C739),FIND(" ",TRIM(C739)&amp;" ")-1),",","."))-1)/MID(SUBSTITUTE(LEFT(TRIM(C739),FIND(" ",TRIM(C739)&amp;" ")-1),",","."),FIND("/",SUBSTITUTE(LEFT(TRIM(C739),FIND(" ",TRIM(C739)&amp;" ")-1),",","."))+1,9))*12,NA()))),0),12)*'Aturan &amp; Tarif'!$B$4,2)</f>
        <v>681.36</v>
      </c>
      <c r="K739" s="32" t="n">
        <f aca="false">'Aturan &amp; Tarif'!$B$5</f>
        <v>2050</v>
      </c>
      <c r="L739" s="35" t="n">
        <f aca="false">I739+J739+K739</f>
        <v>4681.36</v>
      </c>
      <c r="M739" s="37" t="s">
        <v>134</v>
      </c>
    </row>
    <row r="740" customFormat="false" ht="60" hidden="false" customHeight="true" outlineLevel="0" collapsed="false">
      <c r="A740" s="29"/>
      <c r="B740" s="30" t="s">
        <v>2321</v>
      </c>
      <c r="C740" s="31" t="s">
        <v>107</v>
      </c>
      <c r="D740" s="31" t="s">
        <v>108</v>
      </c>
      <c r="E740" s="32" t="n">
        <v>1500</v>
      </c>
      <c r="F740" s="32" t="n">
        <v>200</v>
      </c>
      <c r="G740" s="32" t="n">
        <v>250</v>
      </c>
      <c r="H740" s="33" t="n">
        <v>1</v>
      </c>
      <c r="I740" s="34" t="n">
        <f aca="false">E740*H740+N(F740)+N(G740)</f>
        <v>1950</v>
      </c>
      <c r="J740" s="32" t="n">
        <f aca="false">ROUND(IFERROR(ROUND(IF(OR(ISNUMBER(SEARCH("week",C740)),ISNUMBER(SEARCH("minggu",C740))),IFERROR(_xlfn.NUMBERVALUE(SUBSTITUTE(LEFT(TRIM(C740),FIND(" ",TRIM(C740)&amp;" ")-1),",","."),"."),LEFT(SUBSTITUTE(LEFT(TRIM(C740),FIND(" ",TRIM(C740)&amp;" ")-1),",","."),FIND("/",SUBSTITUTE(LEFT(TRIM(C740),FIND(" ",TRIM(C740)&amp;" ")-1),",","."))-1)/MID(SUBSTITUTE(LEFT(TRIM(C740),FIND(" ",TRIM(C740)&amp;" ")-1),",","."),FIND("/",SUBSTITUTE(LEFT(TRIM(C740),FIND(" ",TRIM(C740)&amp;" ")-1),",","."))+1,9))*12/52,IF(ISNUMBER(SEARCH("month",C740)),IFERROR(_xlfn.NUMBERVALUE(SUBSTITUTE(LEFT(TRIM(C740),FIND(" ",TRIM(C740)&amp;" ")-1),",","."),"."),LEFT(SUBSTITUTE(LEFT(TRIM(C740),FIND(" ",TRIM(C740)&amp;" ")-1),",","."),FIND("/",SUBSTITUTE(LEFT(TRIM(C740),FIND(" ",TRIM(C740)&amp;" ")-1),",","."))-1)/MID(SUBSTITUTE(LEFT(TRIM(C740),FIND(" ",TRIM(C740)&amp;" ")-1),",","."),FIND("/",SUBSTITUTE(LEFT(TRIM(C740),FIND(" ",TRIM(C740)&amp;" ")-1),",","."))+1,9)),IF(ISNUMBER(SEARCH("yea",C740)),IFERROR(_xlfn.NUMBERVALUE(SUBSTITUTE(LEFT(TRIM(C740),FIND(" ",TRIM(C740)&amp;" ")-1),",","."),"."),LEFT(SUBSTITUTE(LEFT(TRIM(C740),FIND(" ",TRIM(C740)&amp;" ")-1),",","."),FIND("/",SUBSTITUTE(LEFT(TRIM(C740),FIND(" ",TRIM(C740)&amp;" ")-1),",","."))-1)/MID(SUBSTITUTE(LEFT(TRIM(C740),FIND(" ",TRIM(C740)&amp;" ")-1),",","."),FIND("/",SUBSTITUTE(LEFT(TRIM(C740),FIND(" ",TRIM(C740)&amp;" ")-1),",","."))+1,9))*12,NA()))),0),24)*'Aturan &amp; Tarif'!$B$4,2)</f>
        <v>1362.72</v>
      </c>
      <c r="K740" s="32" t="n">
        <f aca="false">'Aturan &amp; Tarif'!$B$5</f>
        <v>2050</v>
      </c>
      <c r="L740" s="35" t="n">
        <f aca="false">I740+J740+K740</f>
        <v>5362.72</v>
      </c>
      <c r="M740" s="36" t="s">
        <v>2322</v>
      </c>
    </row>
    <row r="741" customFormat="false" ht="14.25" hidden="false" customHeight="true" outlineLevel="0" collapsed="false">
      <c r="A741" s="39" t="s">
        <v>2323</v>
      </c>
      <c r="B741" s="40" t="s">
        <v>1967</v>
      </c>
      <c r="C741" s="41" t="s">
        <v>107</v>
      </c>
      <c r="D741" s="41" t="s">
        <v>108</v>
      </c>
      <c r="E741" s="42" t="n">
        <v>1500</v>
      </c>
      <c r="F741" s="42" t="n">
        <v>200</v>
      </c>
      <c r="G741" s="42" t="n">
        <v>250</v>
      </c>
      <c r="H741" s="43" t="n">
        <v>1</v>
      </c>
      <c r="I741" s="34" t="n">
        <f aca="false">E741*H741+N(F741)+N(G741)</f>
        <v>1950</v>
      </c>
      <c r="J741" s="42" t="n">
        <f aca="false">ROUND(IFERROR(ROUND(IF(OR(ISNUMBER(SEARCH("week",C741)),ISNUMBER(SEARCH("minggu",C741))),IFERROR(_xlfn.NUMBERVALUE(SUBSTITUTE(LEFT(TRIM(C741),FIND(" ",TRIM(C741)&amp;" ")-1),",","."),"."),LEFT(SUBSTITUTE(LEFT(TRIM(C741),FIND(" ",TRIM(C741)&amp;" ")-1),",","."),FIND("/",SUBSTITUTE(LEFT(TRIM(C741),FIND(" ",TRIM(C741)&amp;" ")-1),",","."))-1)/MID(SUBSTITUTE(LEFT(TRIM(C741),FIND(" ",TRIM(C741)&amp;" ")-1),",","."),FIND("/",SUBSTITUTE(LEFT(TRIM(C741),FIND(" ",TRIM(C741)&amp;" ")-1),",","."))+1,9))*12/52,IF(ISNUMBER(SEARCH("month",C741)),IFERROR(_xlfn.NUMBERVALUE(SUBSTITUTE(LEFT(TRIM(C741),FIND(" ",TRIM(C741)&amp;" ")-1),",","."),"."),LEFT(SUBSTITUTE(LEFT(TRIM(C741),FIND(" ",TRIM(C741)&amp;" ")-1),",","."),FIND("/",SUBSTITUTE(LEFT(TRIM(C741),FIND(" ",TRIM(C741)&amp;" ")-1),",","."))-1)/MID(SUBSTITUTE(LEFT(TRIM(C741),FIND(" ",TRIM(C741)&amp;" ")-1),",","."),FIND("/",SUBSTITUTE(LEFT(TRIM(C741),FIND(" ",TRIM(C741)&amp;" ")-1),",","."))+1,9)),IF(ISNUMBER(SEARCH("yea",C741)),IFERROR(_xlfn.NUMBERVALUE(SUBSTITUTE(LEFT(TRIM(C741),FIND(" ",TRIM(C741)&amp;" ")-1),",","."),"."),LEFT(SUBSTITUTE(LEFT(TRIM(C741),FIND(" ",TRIM(C741)&amp;" ")-1),",","."),FIND("/",SUBSTITUTE(LEFT(TRIM(C741),FIND(" ",TRIM(C741)&amp;" ")-1),",","."))-1)/MID(SUBSTITUTE(LEFT(TRIM(C741),FIND(" ",TRIM(C741)&amp;" ")-1),",","."),FIND("/",SUBSTITUTE(LEFT(TRIM(C741),FIND(" ",TRIM(C741)&amp;" ")-1),",","."))+1,9))*12,NA()))),0),24)*'Aturan &amp; Tarif'!$B$4,2)</f>
        <v>1362.72</v>
      </c>
      <c r="K741" s="42" t="n">
        <f aca="false">'Aturan &amp; Tarif'!$B$5</f>
        <v>2050</v>
      </c>
      <c r="L741" s="35" t="n">
        <f aca="false">I741+J741+K741</f>
        <v>5362.72</v>
      </c>
      <c r="M741" s="45" t="s">
        <v>134</v>
      </c>
    </row>
    <row r="742" customFormat="false" ht="48.75" hidden="false" customHeight="true" outlineLevel="0" collapsed="false">
      <c r="A742" s="39"/>
      <c r="B742" s="40" t="s">
        <v>2324</v>
      </c>
      <c r="C742" s="41" t="s">
        <v>136</v>
      </c>
      <c r="D742" s="41" t="s">
        <v>108</v>
      </c>
      <c r="E742" s="42" t="n">
        <v>1500</v>
      </c>
      <c r="F742" s="42" t="n">
        <v>200</v>
      </c>
      <c r="G742" s="42" t="n">
        <v>250</v>
      </c>
      <c r="H742" s="43" t="n">
        <v>1</v>
      </c>
      <c r="I742" s="34" t="n">
        <f aca="false">E742*H742+N(F742)+N(G742)</f>
        <v>1950</v>
      </c>
      <c r="J742" s="42" t="n">
        <f aca="false">ROUND(IFERROR(ROUND(IF(OR(ISNUMBER(SEARCH("week",C742)),ISNUMBER(SEARCH("minggu",C742))),IFERROR(_xlfn.NUMBERVALUE(SUBSTITUTE(LEFT(TRIM(C742),FIND(" ",TRIM(C742)&amp;" ")-1),",","."),"."),LEFT(SUBSTITUTE(LEFT(TRIM(C742),FIND(" ",TRIM(C742)&amp;" ")-1),",","."),FIND("/",SUBSTITUTE(LEFT(TRIM(C742),FIND(" ",TRIM(C742)&amp;" ")-1),",","."))-1)/MID(SUBSTITUTE(LEFT(TRIM(C742),FIND(" ",TRIM(C742)&amp;" ")-1),",","."),FIND("/",SUBSTITUTE(LEFT(TRIM(C742),FIND(" ",TRIM(C742)&amp;" ")-1),",","."))+1,9))*12/52,IF(ISNUMBER(SEARCH("month",C742)),IFERROR(_xlfn.NUMBERVALUE(SUBSTITUTE(LEFT(TRIM(C742),FIND(" ",TRIM(C742)&amp;" ")-1),",","."),"."),LEFT(SUBSTITUTE(LEFT(TRIM(C742),FIND(" ",TRIM(C742)&amp;" ")-1),",","."),FIND("/",SUBSTITUTE(LEFT(TRIM(C742),FIND(" ",TRIM(C742)&amp;" ")-1),",","."))-1)/MID(SUBSTITUTE(LEFT(TRIM(C742),FIND(" ",TRIM(C742)&amp;" ")-1),",","."),FIND("/",SUBSTITUTE(LEFT(TRIM(C742),FIND(" ",TRIM(C742)&amp;" ")-1),",","."))+1,9)),IF(ISNUMBER(SEARCH("yea",C742)),IFERROR(_xlfn.NUMBERVALUE(SUBSTITUTE(LEFT(TRIM(C742),FIND(" ",TRIM(C742)&amp;" ")-1),",","."),"."),LEFT(SUBSTITUTE(LEFT(TRIM(C742),FIND(" ",TRIM(C742)&amp;" ")-1),",","."),FIND("/",SUBSTITUTE(LEFT(TRIM(C742),FIND(" ",TRIM(C742)&amp;" ")-1),",","."))-1)/MID(SUBSTITUTE(LEFT(TRIM(C742),FIND(" ",TRIM(C742)&amp;" ")-1),",","."),FIND("/",SUBSTITUTE(LEFT(TRIM(C742),FIND(" ",TRIM(C742)&amp;" ")-1),",","."))+1,9))*12,NA()))),0),42)*'Aturan &amp; Tarif'!$B$4,2)</f>
        <v>2384.76</v>
      </c>
      <c r="K742" s="42" t="n">
        <f aca="false">'Aturan &amp; Tarif'!$B$5</f>
        <v>2050</v>
      </c>
      <c r="L742" s="35" t="n">
        <f aca="false">I742+J742+K742</f>
        <v>6384.76</v>
      </c>
      <c r="M742" s="45" t="s">
        <v>134</v>
      </c>
    </row>
    <row r="743" customFormat="false" ht="14.25" hidden="false" customHeight="true" outlineLevel="0" collapsed="false">
      <c r="A743" s="39"/>
      <c r="B743" s="40" t="s">
        <v>430</v>
      </c>
      <c r="C743" s="41" t="s">
        <v>138</v>
      </c>
      <c r="D743" s="41" t="s">
        <v>108</v>
      </c>
      <c r="E743" s="42" t="n">
        <v>1500</v>
      </c>
      <c r="F743" s="42" t="n">
        <v>600</v>
      </c>
      <c r="G743" s="42" t="n">
        <v>250</v>
      </c>
      <c r="H743" s="43" t="n">
        <v>1</v>
      </c>
      <c r="I743" s="34" t="n">
        <f aca="false">E743*H743+N(F743)+N(G743)</f>
        <v>2350</v>
      </c>
      <c r="J743" s="42" t="n">
        <f aca="false">ROUND(IFERROR(ROUND(IF(OR(ISNUMBER(SEARCH("week",C743)),ISNUMBER(SEARCH("minggu",C743))),IFERROR(_xlfn.NUMBERVALUE(SUBSTITUTE(LEFT(TRIM(C743),FIND(" ",TRIM(C743)&amp;" ")-1),",","."),"."),LEFT(SUBSTITUTE(LEFT(TRIM(C743),FIND(" ",TRIM(C743)&amp;" ")-1),",","."),FIND("/",SUBSTITUTE(LEFT(TRIM(C743),FIND(" ",TRIM(C743)&amp;" ")-1),",","."))-1)/MID(SUBSTITUTE(LEFT(TRIM(C743),FIND(" ",TRIM(C743)&amp;" ")-1),",","."),FIND("/",SUBSTITUTE(LEFT(TRIM(C743),FIND(" ",TRIM(C743)&amp;" ")-1),",","."))+1,9))*12/52,IF(ISNUMBER(SEARCH("month",C743)),IFERROR(_xlfn.NUMBERVALUE(SUBSTITUTE(LEFT(TRIM(C743),FIND(" ",TRIM(C743)&amp;" ")-1),",","."),"."),LEFT(SUBSTITUTE(LEFT(TRIM(C743),FIND(" ",TRIM(C743)&amp;" ")-1),",","."),FIND("/",SUBSTITUTE(LEFT(TRIM(C743),FIND(" ",TRIM(C743)&amp;" ")-1),",","."))-1)/MID(SUBSTITUTE(LEFT(TRIM(C743),FIND(" ",TRIM(C743)&amp;" ")-1),",","."),FIND("/",SUBSTITUTE(LEFT(TRIM(C743),FIND(" ",TRIM(C743)&amp;" ")-1),",","."))+1,9)),IF(ISNUMBER(SEARCH("yea",C743)),IFERROR(_xlfn.NUMBERVALUE(SUBSTITUTE(LEFT(TRIM(C743),FIND(" ",TRIM(C743)&amp;" ")-1),",","."),"."),LEFT(SUBSTITUTE(LEFT(TRIM(C743),FIND(" ",TRIM(C743)&amp;" ")-1),",","."),FIND("/",SUBSTITUTE(LEFT(TRIM(C743),FIND(" ",TRIM(C743)&amp;" ")-1),",","."))-1)/MID(SUBSTITUTE(LEFT(TRIM(C743),FIND(" ",TRIM(C743)&amp;" ")-1),",","."),FIND("/",SUBSTITUTE(LEFT(TRIM(C743),FIND(" ",TRIM(C743)&amp;" ")-1),",","."))+1,9))*12,NA()))),0),30)*'Aturan &amp; Tarif'!$B$4,2)</f>
        <v>1703.4</v>
      </c>
      <c r="K743" s="42" t="n">
        <f aca="false">'Aturan &amp; Tarif'!$B$5</f>
        <v>2050</v>
      </c>
      <c r="L743" s="35" t="n">
        <f aca="false">I743+J743+K743</f>
        <v>6103.4</v>
      </c>
      <c r="M743" s="45" t="s">
        <v>134</v>
      </c>
    </row>
    <row r="744" customFormat="false" ht="14.25" hidden="false" customHeight="true" outlineLevel="0" collapsed="false">
      <c r="A744" s="39"/>
      <c r="B744" s="40" t="s">
        <v>2325</v>
      </c>
      <c r="C744" s="41" t="s">
        <v>107</v>
      </c>
      <c r="D744" s="41" t="s">
        <v>108</v>
      </c>
      <c r="E744" s="42" t="n">
        <v>2500</v>
      </c>
      <c r="F744" s="42" t="n">
        <v>1000</v>
      </c>
      <c r="G744" s="42" t="n">
        <v>250</v>
      </c>
      <c r="H744" s="43" t="n">
        <v>1</v>
      </c>
      <c r="I744" s="34" t="n">
        <f aca="false">E744*H744+N(F744)+N(G744)</f>
        <v>3750</v>
      </c>
      <c r="J744" s="42" t="n">
        <f aca="false">ROUND(IFERROR(ROUND(IF(OR(ISNUMBER(SEARCH("week",C744)),ISNUMBER(SEARCH("minggu",C744))),IFERROR(_xlfn.NUMBERVALUE(SUBSTITUTE(LEFT(TRIM(C744),FIND(" ",TRIM(C744)&amp;" ")-1),",","."),"."),LEFT(SUBSTITUTE(LEFT(TRIM(C744),FIND(" ",TRIM(C744)&amp;" ")-1),",","."),FIND("/",SUBSTITUTE(LEFT(TRIM(C744),FIND(" ",TRIM(C744)&amp;" ")-1),",","."))-1)/MID(SUBSTITUTE(LEFT(TRIM(C744),FIND(" ",TRIM(C744)&amp;" ")-1),",","."),FIND("/",SUBSTITUTE(LEFT(TRIM(C744),FIND(" ",TRIM(C744)&amp;" ")-1),",","."))+1,9))*12/52,IF(ISNUMBER(SEARCH("month",C744)),IFERROR(_xlfn.NUMBERVALUE(SUBSTITUTE(LEFT(TRIM(C744),FIND(" ",TRIM(C744)&amp;" ")-1),",","."),"."),LEFT(SUBSTITUTE(LEFT(TRIM(C744),FIND(" ",TRIM(C744)&amp;" ")-1),",","."),FIND("/",SUBSTITUTE(LEFT(TRIM(C744),FIND(" ",TRIM(C744)&amp;" ")-1),",","."))-1)/MID(SUBSTITUTE(LEFT(TRIM(C744),FIND(" ",TRIM(C744)&amp;" ")-1),",","."),FIND("/",SUBSTITUTE(LEFT(TRIM(C744),FIND(" ",TRIM(C744)&amp;" ")-1),",","."))+1,9)),IF(ISNUMBER(SEARCH("yea",C744)),IFERROR(_xlfn.NUMBERVALUE(SUBSTITUTE(LEFT(TRIM(C744),FIND(" ",TRIM(C744)&amp;" ")-1),",","."),"."),LEFT(SUBSTITUTE(LEFT(TRIM(C744),FIND(" ",TRIM(C744)&amp;" ")-1),",","."),FIND("/",SUBSTITUTE(LEFT(TRIM(C744),FIND(" ",TRIM(C744)&amp;" ")-1),",","."))-1)/MID(SUBSTITUTE(LEFT(TRIM(C744),FIND(" ",TRIM(C744)&amp;" ")-1),",","."),FIND("/",SUBSTITUTE(LEFT(TRIM(C744),FIND(" ",TRIM(C744)&amp;" ")-1),",","."))+1,9))*12,NA()))),0),24)*'Aturan &amp; Tarif'!$B$4,2)</f>
        <v>1362.72</v>
      </c>
      <c r="K744" s="42" t="n">
        <f aca="false">'Aturan &amp; Tarif'!$B$5</f>
        <v>2050</v>
      </c>
      <c r="L744" s="35" t="n">
        <f aca="false">I744+J744+K744</f>
        <v>7162.72</v>
      </c>
      <c r="M744" s="44" t="s">
        <v>131</v>
      </c>
    </row>
    <row r="745" customFormat="false" ht="60" hidden="false" customHeight="true" outlineLevel="0" collapsed="false">
      <c r="A745" s="39" t="s">
        <v>2326</v>
      </c>
      <c r="B745" s="40" t="s">
        <v>3252</v>
      </c>
      <c r="C745" s="41" t="s">
        <v>107</v>
      </c>
      <c r="D745" s="41" t="s">
        <v>108</v>
      </c>
      <c r="E745" s="42" t="n">
        <v>3650</v>
      </c>
      <c r="F745" s="42" t="n">
        <v>2500</v>
      </c>
      <c r="G745" s="42" t="n">
        <v>300</v>
      </c>
      <c r="H745" s="43" t="n">
        <v>1</v>
      </c>
      <c r="I745" s="34" t="n">
        <f aca="false">E745*H745+N(F745)+N(G745)</f>
        <v>6450</v>
      </c>
      <c r="J745" s="42" t="n">
        <f aca="false">ROUND(IFERROR(ROUND(IF(OR(ISNUMBER(SEARCH("week",C745)),ISNUMBER(SEARCH("minggu",C745))),IFERROR(_xlfn.NUMBERVALUE(SUBSTITUTE(LEFT(TRIM(C745),FIND(" ",TRIM(C745)&amp;" ")-1),",","."),"."),LEFT(SUBSTITUTE(LEFT(TRIM(C745),FIND(" ",TRIM(C745)&amp;" ")-1),",","."),FIND("/",SUBSTITUTE(LEFT(TRIM(C745),FIND(" ",TRIM(C745)&amp;" ")-1),",","."))-1)/MID(SUBSTITUTE(LEFT(TRIM(C745),FIND(" ",TRIM(C745)&amp;" ")-1),",","."),FIND("/",SUBSTITUTE(LEFT(TRIM(C745),FIND(" ",TRIM(C745)&amp;" ")-1),",","."))+1,9))*12/52,IF(ISNUMBER(SEARCH("month",C745)),IFERROR(_xlfn.NUMBERVALUE(SUBSTITUTE(LEFT(TRIM(C745),FIND(" ",TRIM(C745)&amp;" ")-1),",","."),"."),LEFT(SUBSTITUTE(LEFT(TRIM(C745),FIND(" ",TRIM(C745)&amp;" ")-1),",","."),FIND("/",SUBSTITUTE(LEFT(TRIM(C745),FIND(" ",TRIM(C745)&amp;" ")-1),",","."))-1)/MID(SUBSTITUTE(LEFT(TRIM(C745),FIND(" ",TRIM(C745)&amp;" ")-1),",","."),FIND("/",SUBSTITUTE(LEFT(TRIM(C745),FIND(" ",TRIM(C745)&amp;" ")-1),",","."))+1,9)),IF(ISNUMBER(SEARCH("yea",C745)),IFERROR(_xlfn.NUMBERVALUE(SUBSTITUTE(LEFT(TRIM(C745),FIND(" ",TRIM(C745)&amp;" ")-1),",","."),"."),LEFT(SUBSTITUTE(LEFT(TRIM(C745),FIND(" ",TRIM(C745)&amp;" ")-1),",","."),FIND("/",SUBSTITUTE(LEFT(TRIM(C745),FIND(" ",TRIM(C745)&amp;" ")-1),",","."))-1)/MID(SUBSTITUTE(LEFT(TRIM(C745),FIND(" ",TRIM(C745)&amp;" ")-1),",","."),FIND("/",SUBSTITUTE(LEFT(TRIM(C745),FIND(" ",TRIM(C745)&amp;" ")-1),",","."))+1,9))*12,NA()))),0),24)*'Aturan &amp; Tarif'!$B$4,2)</f>
        <v>1362.72</v>
      </c>
      <c r="K745" s="42" t="n">
        <f aca="false">'Aturan &amp; Tarif'!$B$5</f>
        <v>2050</v>
      </c>
      <c r="L745" s="35" t="n">
        <f aca="false">I745+J745+K745</f>
        <v>9862.72</v>
      </c>
      <c r="M745" s="45" t="s">
        <v>134</v>
      </c>
    </row>
    <row r="746" customFormat="false" ht="37.5" hidden="false" customHeight="true" outlineLevel="0" collapsed="false">
      <c r="A746" s="39"/>
      <c r="B746" s="40" t="s">
        <v>465</v>
      </c>
      <c r="C746" s="41" t="s">
        <v>107</v>
      </c>
      <c r="D746" s="41" t="s">
        <v>108</v>
      </c>
      <c r="E746" s="42" t="n">
        <v>1875</v>
      </c>
      <c r="F746" s="42" t="n">
        <v>500</v>
      </c>
      <c r="G746" s="42" t="n">
        <v>300</v>
      </c>
      <c r="H746" s="43" t="n">
        <v>1</v>
      </c>
      <c r="I746" s="34" t="n">
        <f aca="false">E746*H746+N(F746)+N(G746)</f>
        <v>2675</v>
      </c>
      <c r="J746" s="42" t="n">
        <f aca="false">ROUND(IFERROR(ROUND(IF(OR(ISNUMBER(SEARCH("week",C746)),ISNUMBER(SEARCH("minggu",C746))),IFERROR(_xlfn.NUMBERVALUE(SUBSTITUTE(LEFT(TRIM(C746),FIND(" ",TRIM(C746)&amp;" ")-1),",","."),"."),LEFT(SUBSTITUTE(LEFT(TRIM(C746),FIND(" ",TRIM(C746)&amp;" ")-1),",","."),FIND("/",SUBSTITUTE(LEFT(TRIM(C746),FIND(" ",TRIM(C746)&amp;" ")-1),",","."))-1)/MID(SUBSTITUTE(LEFT(TRIM(C746),FIND(" ",TRIM(C746)&amp;" ")-1),",","."),FIND("/",SUBSTITUTE(LEFT(TRIM(C746),FIND(" ",TRIM(C746)&amp;" ")-1),",","."))+1,9))*12/52,IF(ISNUMBER(SEARCH("month",C746)),IFERROR(_xlfn.NUMBERVALUE(SUBSTITUTE(LEFT(TRIM(C746),FIND(" ",TRIM(C746)&amp;" ")-1),",","."),"."),LEFT(SUBSTITUTE(LEFT(TRIM(C746),FIND(" ",TRIM(C746)&amp;" ")-1),",","."),FIND("/",SUBSTITUTE(LEFT(TRIM(C746),FIND(" ",TRIM(C746)&amp;" ")-1),",","."))-1)/MID(SUBSTITUTE(LEFT(TRIM(C746),FIND(" ",TRIM(C746)&amp;" ")-1),",","."),FIND("/",SUBSTITUTE(LEFT(TRIM(C746),FIND(" ",TRIM(C746)&amp;" ")-1),",","."))+1,9)),IF(ISNUMBER(SEARCH("yea",C746)),IFERROR(_xlfn.NUMBERVALUE(SUBSTITUTE(LEFT(TRIM(C746),FIND(" ",TRIM(C746)&amp;" ")-1),",","."),"."),LEFT(SUBSTITUTE(LEFT(TRIM(C746),FIND(" ",TRIM(C746)&amp;" ")-1),",","."),FIND("/",SUBSTITUTE(LEFT(TRIM(C746),FIND(" ",TRIM(C746)&amp;" ")-1),",","."))-1)/MID(SUBSTITUTE(LEFT(TRIM(C746),FIND(" ",TRIM(C746)&amp;" ")-1),",","."),FIND("/",SUBSTITUTE(LEFT(TRIM(C746),FIND(" ",TRIM(C746)&amp;" ")-1),",","."))+1,9))*12,NA()))),0),24)*'Aturan &amp; Tarif'!$B$4,2)</f>
        <v>1362.72</v>
      </c>
      <c r="K746" s="42" t="n">
        <f aca="false">'Aturan &amp; Tarif'!$B$5</f>
        <v>2050</v>
      </c>
      <c r="L746" s="35" t="n">
        <f aca="false">I746+J746+K746</f>
        <v>6087.72</v>
      </c>
      <c r="M746" s="44" t="s">
        <v>1652</v>
      </c>
    </row>
    <row r="747" customFormat="false" ht="72" hidden="false" customHeight="true" outlineLevel="0" collapsed="false">
      <c r="A747" s="39"/>
      <c r="B747" s="40" t="s">
        <v>470</v>
      </c>
      <c r="C747" s="41" t="s">
        <v>107</v>
      </c>
      <c r="D747" s="41" t="s">
        <v>108</v>
      </c>
      <c r="E747" s="42" t="n">
        <v>2750</v>
      </c>
      <c r="F747" s="42"/>
      <c r="G747" s="42" t="n">
        <v>300</v>
      </c>
      <c r="H747" s="43" t="n">
        <v>1</v>
      </c>
      <c r="I747" s="34" t="n">
        <f aca="false">E747*H747+N(F747)+N(G747)</f>
        <v>3050</v>
      </c>
      <c r="J747" s="42" t="n">
        <f aca="false">ROUND(IFERROR(ROUND(IF(OR(ISNUMBER(SEARCH("week",C747)),ISNUMBER(SEARCH("minggu",C747))),IFERROR(_xlfn.NUMBERVALUE(SUBSTITUTE(LEFT(TRIM(C747),FIND(" ",TRIM(C747)&amp;" ")-1),",","."),"."),LEFT(SUBSTITUTE(LEFT(TRIM(C747),FIND(" ",TRIM(C747)&amp;" ")-1),",","."),FIND("/",SUBSTITUTE(LEFT(TRIM(C747),FIND(" ",TRIM(C747)&amp;" ")-1),",","."))-1)/MID(SUBSTITUTE(LEFT(TRIM(C747),FIND(" ",TRIM(C747)&amp;" ")-1),",","."),FIND("/",SUBSTITUTE(LEFT(TRIM(C747),FIND(" ",TRIM(C747)&amp;" ")-1),",","."))+1,9))*12/52,IF(ISNUMBER(SEARCH("month",C747)),IFERROR(_xlfn.NUMBERVALUE(SUBSTITUTE(LEFT(TRIM(C747),FIND(" ",TRIM(C747)&amp;" ")-1),",","."),"."),LEFT(SUBSTITUTE(LEFT(TRIM(C747),FIND(" ",TRIM(C747)&amp;" ")-1),",","."),FIND("/",SUBSTITUTE(LEFT(TRIM(C747),FIND(" ",TRIM(C747)&amp;" ")-1),",","."))-1)/MID(SUBSTITUTE(LEFT(TRIM(C747),FIND(" ",TRIM(C747)&amp;" ")-1),",","."),FIND("/",SUBSTITUTE(LEFT(TRIM(C747),FIND(" ",TRIM(C747)&amp;" ")-1),",","."))+1,9)),IF(ISNUMBER(SEARCH("yea",C747)),IFERROR(_xlfn.NUMBERVALUE(SUBSTITUTE(LEFT(TRIM(C747),FIND(" ",TRIM(C747)&amp;" ")-1),",","."),"."),LEFT(SUBSTITUTE(LEFT(TRIM(C747),FIND(" ",TRIM(C747)&amp;" ")-1),",","."),FIND("/",SUBSTITUTE(LEFT(TRIM(C747),FIND(" ",TRIM(C747)&amp;" ")-1),",","."))-1)/MID(SUBSTITUTE(LEFT(TRIM(C747),FIND(" ",TRIM(C747)&amp;" ")-1),",","."),FIND("/",SUBSTITUTE(LEFT(TRIM(C747),FIND(" ",TRIM(C747)&amp;" ")-1),",","."))+1,9))*12,NA()))),0),24)*'Aturan &amp; Tarif'!$B$4,2)</f>
        <v>1362.72</v>
      </c>
      <c r="K747" s="42" t="n">
        <f aca="false">'Aturan &amp; Tarif'!$B$5</f>
        <v>2050</v>
      </c>
      <c r="L747" s="35" t="n">
        <f aca="false">I747+J747+K747</f>
        <v>6462.72</v>
      </c>
      <c r="M747" s="45" t="s">
        <v>1653</v>
      </c>
    </row>
    <row r="748" customFormat="false" ht="25.5" hidden="false" customHeight="true" outlineLevel="0" collapsed="false">
      <c r="A748" s="39"/>
      <c r="B748" s="40" t="s">
        <v>1654</v>
      </c>
      <c r="C748" s="41" t="s">
        <v>138</v>
      </c>
      <c r="D748" s="41" t="s">
        <v>108</v>
      </c>
      <c r="E748" s="42" t="n">
        <v>2300</v>
      </c>
      <c r="F748" s="42" t="n">
        <v>2250</v>
      </c>
      <c r="G748" s="42" t="n">
        <v>300</v>
      </c>
      <c r="H748" s="43" t="n">
        <v>1</v>
      </c>
      <c r="I748" s="34" t="n">
        <f aca="false">E748*H748+N(F748)+N(G748)</f>
        <v>4850</v>
      </c>
      <c r="J748" s="42" t="n">
        <f aca="false">ROUND(IFERROR(ROUND(IF(OR(ISNUMBER(SEARCH("week",C748)),ISNUMBER(SEARCH("minggu",C748))),IFERROR(_xlfn.NUMBERVALUE(SUBSTITUTE(LEFT(TRIM(C748),FIND(" ",TRIM(C748)&amp;" ")-1),",","."),"."),LEFT(SUBSTITUTE(LEFT(TRIM(C748),FIND(" ",TRIM(C748)&amp;" ")-1),",","."),FIND("/",SUBSTITUTE(LEFT(TRIM(C748),FIND(" ",TRIM(C748)&amp;" ")-1),",","."))-1)/MID(SUBSTITUTE(LEFT(TRIM(C748),FIND(" ",TRIM(C748)&amp;" ")-1),",","."),FIND("/",SUBSTITUTE(LEFT(TRIM(C748),FIND(" ",TRIM(C748)&amp;" ")-1),",","."))+1,9))*12/52,IF(ISNUMBER(SEARCH("month",C748)),IFERROR(_xlfn.NUMBERVALUE(SUBSTITUTE(LEFT(TRIM(C748),FIND(" ",TRIM(C748)&amp;" ")-1),",","."),"."),LEFT(SUBSTITUTE(LEFT(TRIM(C748),FIND(" ",TRIM(C748)&amp;" ")-1),",","."),FIND("/",SUBSTITUTE(LEFT(TRIM(C748),FIND(" ",TRIM(C748)&amp;" ")-1),",","."))-1)/MID(SUBSTITUTE(LEFT(TRIM(C748),FIND(" ",TRIM(C748)&amp;" ")-1),",","."),FIND("/",SUBSTITUTE(LEFT(TRIM(C748),FIND(" ",TRIM(C748)&amp;" ")-1),",","."))+1,9)),IF(ISNUMBER(SEARCH("yea",C748)),IFERROR(_xlfn.NUMBERVALUE(SUBSTITUTE(LEFT(TRIM(C748),FIND(" ",TRIM(C748)&amp;" ")-1),",","."),"."),LEFT(SUBSTITUTE(LEFT(TRIM(C748),FIND(" ",TRIM(C748)&amp;" ")-1),",","."),FIND("/",SUBSTITUTE(LEFT(TRIM(C748),FIND(" ",TRIM(C748)&amp;" ")-1),",","."))-1)/MID(SUBSTITUTE(LEFT(TRIM(C748),FIND(" ",TRIM(C748)&amp;" ")-1),",","."),FIND("/",SUBSTITUTE(LEFT(TRIM(C748),FIND(" ",TRIM(C748)&amp;" ")-1),",","."))+1,9))*12,NA()))),0),30)*'Aturan &amp; Tarif'!$B$4,2)</f>
        <v>1703.4</v>
      </c>
      <c r="K748" s="42" t="n">
        <f aca="false">'Aturan &amp; Tarif'!$B$5</f>
        <v>2050</v>
      </c>
      <c r="L748" s="35" t="n">
        <f aca="false">I748+J748+K748</f>
        <v>8603.4</v>
      </c>
      <c r="M748" s="44" t="s">
        <v>1655</v>
      </c>
    </row>
    <row r="749" customFormat="false" ht="25.5" hidden="false" customHeight="true" outlineLevel="0" collapsed="false">
      <c r="A749" s="39"/>
      <c r="B749" s="40" t="s">
        <v>2328</v>
      </c>
      <c r="C749" s="41" t="s">
        <v>191</v>
      </c>
      <c r="D749" s="41" t="s">
        <v>108</v>
      </c>
      <c r="E749" s="42" t="n">
        <v>3800</v>
      </c>
      <c r="F749" s="42"/>
      <c r="G749" s="42" t="n">
        <v>300</v>
      </c>
      <c r="H749" s="43" t="n">
        <v>1</v>
      </c>
      <c r="I749" s="34" t="n">
        <f aca="false">E749*H749+N(F749)+N(G749)</f>
        <v>4100</v>
      </c>
      <c r="J749" s="42" t="n">
        <f aca="false">ROUND(IFERROR(ROUND(IF(OR(ISNUMBER(SEARCH("week",C749)),ISNUMBER(SEARCH("minggu",C749))),IFERROR(_xlfn.NUMBERVALUE(SUBSTITUTE(LEFT(TRIM(C749),FIND(" ",TRIM(C749)&amp;" ")-1),",","."),"."),LEFT(SUBSTITUTE(LEFT(TRIM(C749),FIND(" ",TRIM(C749)&amp;" ")-1),",","."),FIND("/",SUBSTITUTE(LEFT(TRIM(C749),FIND(" ",TRIM(C749)&amp;" ")-1),",","."))-1)/MID(SUBSTITUTE(LEFT(TRIM(C749),FIND(" ",TRIM(C749)&amp;" ")-1),",","."),FIND("/",SUBSTITUTE(LEFT(TRIM(C749),FIND(" ",TRIM(C749)&amp;" ")-1),",","."))+1,9))*12/52,IF(ISNUMBER(SEARCH("month",C749)),IFERROR(_xlfn.NUMBERVALUE(SUBSTITUTE(LEFT(TRIM(C749),FIND(" ",TRIM(C749)&amp;" ")-1),",","."),"."),LEFT(SUBSTITUTE(LEFT(TRIM(C749),FIND(" ",TRIM(C749)&amp;" ")-1),",","."),FIND("/",SUBSTITUTE(LEFT(TRIM(C749),FIND(" ",TRIM(C749)&amp;" ")-1),",","."))-1)/MID(SUBSTITUTE(LEFT(TRIM(C749),FIND(" ",TRIM(C749)&amp;" ")-1),",","."),FIND("/",SUBSTITUTE(LEFT(TRIM(C749),FIND(" ",TRIM(C749)&amp;" ")-1),",","."))+1,9)),IF(ISNUMBER(SEARCH("yea",C749)),IFERROR(_xlfn.NUMBERVALUE(SUBSTITUTE(LEFT(TRIM(C749),FIND(" ",TRIM(C749)&amp;" ")-1),",","."),"."),LEFT(SUBSTITUTE(LEFT(TRIM(C749),FIND(" ",TRIM(C749)&amp;" ")-1),",","."),FIND("/",SUBSTITUTE(LEFT(TRIM(C749),FIND(" ",TRIM(C749)&amp;" ")-1),",","."))-1)/MID(SUBSTITUTE(LEFT(TRIM(C749),FIND(" ",TRIM(C749)&amp;" ")-1),",","."),FIND("/",SUBSTITUTE(LEFT(TRIM(C749),FIND(" ",TRIM(C749)&amp;" ")-1),",","."))+1,9))*12,NA()))),0),48)*'Aturan &amp; Tarif'!$B$4,2)</f>
        <v>2725.44</v>
      </c>
      <c r="K749" s="42" t="n">
        <f aca="false">'Aturan &amp; Tarif'!$B$5</f>
        <v>2050</v>
      </c>
      <c r="L749" s="35" t="n">
        <f aca="false">I749+J749+K749</f>
        <v>8875.44</v>
      </c>
      <c r="M749" s="45" t="s">
        <v>1658</v>
      </c>
    </row>
    <row r="750" customFormat="false" ht="25.5" hidden="false" customHeight="true" outlineLevel="0" collapsed="false">
      <c r="A750" s="39"/>
      <c r="B750" s="40" t="s">
        <v>2329</v>
      </c>
      <c r="C750" s="41" t="s">
        <v>191</v>
      </c>
      <c r="D750" s="41" t="s">
        <v>108</v>
      </c>
      <c r="E750" s="42" t="n">
        <v>3800</v>
      </c>
      <c r="F750" s="42"/>
      <c r="G750" s="42" t="n">
        <v>300</v>
      </c>
      <c r="H750" s="43" t="n">
        <v>1</v>
      </c>
      <c r="I750" s="34" t="n">
        <f aca="false">E750*H750+N(F750)+N(G750)</f>
        <v>4100</v>
      </c>
      <c r="J750" s="42" t="n">
        <f aca="false">ROUND(IFERROR(ROUND(IF(OR(ISNUMBER(SEARCH("week",C750)),ISNUMBER(SEARCH("minggu",C750))),IFERROR(_xlfn.NUMBERVALUE(SUBSTITUTE(LEFT(TRIM(C750),FIND(" ",TRIM(C750)&amp;" ")-1),",","."),"."),LEFT(SUBSTITUTE(LEFT(TRIM(C750),FIND(" ",TRIM(C750)&amp;" ")-1),",","."),FIND("/",SUBSTITUTE(LEFT(TRIM(C750),FIND(" ",TRIM(C750)&amp;" ")-1),",","."))-1)/MID(SUBSTITUTE(LEFT(TRIM(C750),FIND(" ",TRIM(C750)&amp;" ")-1),",","."),FIND("/",SUBSTITUTE(LEFT(TRIM(C750),FIND(" ",TRIM(C750)&amp;" ")-1),",","."))+1,9))*12/52,IF(ISNUMBER(SEARCH("month",C750)),IFERROR(_xlfn.NUMBERVALUE(SUBSTITUTE(LEFT(TRIM(C750),FIND(" ",TRIM(C750)&amp;" ")-1),",","."),"."),LEFT(SUBSTITUTE(LEFT(TRIM(C750),FIND(" ",TRIM(C750)&amp;" ")-1),",","."),FIND("/",SUBSTITUTE(LEFT(TRIM(C750),FIND(" ",TRIM(C750)&amp;" ")-1),",","."))-1)/MID(SUBSTITUTE(LEFT(TRIM(C750),FIND(" ",TRIM(C750)&amp;" ")-1),",","."),FIND("/",SUBSTITUTE(LEFT(TRIM(C750),FIND(" ",TRIM(C750)&amp;" ")-1),",","."))+1,9)),IF(ISNUMBER(SEARCH("yea",C750)),IFERROR(_xlfn.NUMBERVALUE(SUBSTITUTE(LEFT(TRIM(C750),FIND(" ",TRIM(C750)&amp;" ")-1),",","."),"."),LEFT(SUBSTITUTE(LEFT(TRIM(C750),FIND(" ",TRIM(C750)&amp;" ")-1),",","."),FIND("/",SUBSTITUTE(LEFT(TRIM(C750),FIND(" ",TRIM(C750)&amp;" ")-1),",","."))-1)/MID(SUBSTITUTE(LEFT(TRIM(C750),FIND(" ",TRIM(C750)&amp;" ")-1),",","."),FIND("/",SUBSTITUTE(LEFT(TRIM(C750),FIND(" ",TRIM(C750)&amp;" ")-1),",","."))+1,9))*12,NA()))),0),48)*'Aturan &amp; Tarif'!$B$4,2)</f>
        <v>2725.44</v>
      </c>
      <c r="K750" s="42" t="n">
        <f aca="false">'Aturan &amp; Tarif'!$B$5</f>
        <v>2050</v>
      </c>
      <c r="L750" s="35" t="n">
        <f aca="false">I750+J750+K750</f>
        <v>8875.44</v>
      </c>
      <c r="M750" s="45" t="s">
        <v>1658</v>
      </c>
    </row>
    <row r="751" customFormat="false" ht="25.5" hidden="false" customHeight="true" outlineLevel="0" collapsed="false">
      <c r="A751" s="39"/>
      <c r="B751" s="40" t="s">
        <v>2330</v>
      </c>
      <c r="C751" s="41" t="s">
        <v>191</v>
      </c>
      <c r="D751" s="41" t="s">
        <v>108</v>
      </c>
      <c r="E751" s="42" t="n">
        <v>1800</v>
      </c>
      <c r="F751" s="42" t="n">
        <v>250</v>
      </c>
      <c r="G751" s="42" t="n">
        <v>300</v>
      </c>
      <c r="H751" s="43" t="n">
        <v>1</v>
      </c>
      <c r="I751" s="34" t="n">
        <f aca="false">E751*H751+N(F751)+N(G751)</f>
        <v>2350</v>
      </c>
      <c r="J751" s="42" t="n">
        <f aca="false">ROUND(IFERROR(ROUND(IF(OR(ISNUMBER(SEARCH("week",C751)),ISNUMBER(SEARCH("minggu",C751))),IFERROR(_xlfn.NUMBERVALUE(SUBSTITUTE(LEFT(TRIM(C751),FIND(" ",TRIM(C751)&amp;" ")-1),",","."),"."),LEFT(SUBSTITUTE(LEFT(TRIM(C751),FIND(" ",TRIM(C751)&amp;" ")-1),",","."),FIND("/",SUBSTITUTE(LEFT(TRIM(C751),FIND(" ",TRIM(C751)&amp;" ")-1),",","."))-1)/MID(SUBSTITUTE(LEFT(TRIM(C751),FIND(" ",TRIM(C751)&amp;" ")-1),",","."),FIND("/",SUBSTITUTE(LEFT(TRIM(C751),FIND(" ",TRIM(C751)&amp;" ")-1),",","."))+1,9))*12/52,IF(ISNUMBER(SEARCH("month",C751)),IFERROR(_xlfn.NUMBERVALUE(SUBSTITUTE(LEFT(TRIM(C751),FIND(" ",TRIM(C751)&amp;" ")-1),",","."),"."),LEFT(SUBSTITUTE(LEFT(TRIM(C751),FIND(" ",TRIM(C751)&amp;" ")-1),",","."),FIND("/",SUBSTITUTE(LEFT(TRIM(C751),FIND(" ",TRIM(C751)&amp;" ")-1),",","."))-1)/MID(SUBSTITUTE(LEFT(TRIM(C751),FIND(" ",TRIM(C751)&amp;" ")-1),",","."),FIND("/",SUBSTITUTE(LEFT(TRIM(C751),FIND(" ",TRIM(C751)&amp;" ")-1),",","."))+1,9)),IF(ISNUMBER(SEARCH("yea",C751)),IFERROR(_xlfn.NUMBERVALUE(SUBSTITUTE(LEFT(TRIM(C751),FIND(" ",TRIM(C751)&amp;" ")-1),",","."),"."),LEFT(SUBSTITUTE(LEFT(TRIM(C751),FIND(" ",TRIM(C751)&amp;" ")-1),",","."),FIND("/",SUBSTITUTE(LEFT(TRIM(C751),FIND(" ",TRIM(C751)&amp;" ")-1),",","."))-1)/MID(SUBSTITUTE(LEFT(TRIM(C751),FIND(" ",TRIM(C751)&amp;" ")-1),",","."),FIND("/",SUBSTITUTE(LEFT(TRIM(C751),FIND(" ",TRIM(C751)&amp;" ")-1),",","."))+1,9))*12,NA()))),0),48)*'Aturan &amp; Tarif'!$B$4,2)</f>
        <v>2725.44</v>
      </c>
      <c r="K751" s="42" t="n">
        <f aca="false">'Aturan &amp; Tarif'!$B$5</f>
        <v>2050</v>
      </c>
      <c r="L751" s="35" t="n">
        <f aca="false">I751+J751+K751</f>
        <v>7125.44</v>
      </c>
      <c r="M751" s="45" t="s">
        <v>134</v>
      </c>
    </row>
    <row r="752" customFormat="false" ht="25.5" hidden="false" customHeight="true" outlineLevel="0" collapsed="false">
      <c r="A752" s="39"/>
      <c r="B752" s="40" t="s">
        <v>2331</v>
      </c>
      <c r="C752" s="41" t="s">
        <v>191</v>
      </c>
      <c r="D752" s="41" t="s">
        <v>108</v>
      </c>
      <c r="E752" s="42" t="n">
        <v>1800</v>
      </c>
      <c r="F752" s="42" t="n">
        <v>250</v>
      </c>
      <c r="G752" s="42" t="n">
        <v>300</v>
      </c>
      <c r="H752" s="43" t="n">
        <v>1</v>
      </c>
      <c r="I752" s="34" t="n">
        <f aca="false">E752*H752+N(F752)+N(G752)</f>
        <v>2350</v>
      </c>
      <c r="J752" s="42" t="n">
        <f aca="false">ROUND(IFERROR(ROUND(IF(OR(ISNUMBER(SEARCH("week",C752)),ISNUMBER(SEARCH("minggu",C752))),IFERROR(_xlfn.NUMBERVALUE(SUBSTITUTE(LEFT(TRIM(C752),FIND(" ",TRIM(C752)&amp;" ")-1),",","."),"."),LEFT(SUBSTITUTE(LEFT(TRIM(C752),FIND(" ",TRIM(C752)&amp;" ")-1),",","."),FIND("/",SUBSTITUTE(LEFT(TRIM(C752),FIND(" ",TRIM(C752)&amp;" ")-1),",","."))-1)/MID(SUBSTITUTE(LEFT(TRIM(C752),FIND(" ",TRIM(C752)&amp;" ")-1),",","."),FIND("/",SUBSTITUTE(LEFT(TRIM(C752),FIND(" ",TRIM(C752)&amp;" ")-1),",","."))+1,9))*12/52,IF(ISNUMBER(SEARCH("month",C752)),IFERROR(_xlfn.NUMBERVALUE(SUBSTITUTE(LEFT(TRIM(C752),FIND(" ",TRIM(C752)&amp;" ")-1),",","."),"."),LEFT(SUBSTITUTE(LEFT(TRIM(C752),FIND(" ",TRIM(C752)&amp;" ")-1),",","."),FIND("/",SUBSTITUTE(LEFT(TRIM(C752),FIND(" ",TRIM(C752)&amp;" ")-1),",","."))-1)/MID(SUBSTITUTE(LEFT(TRIM(C752),FIND(" ",TRIM(C752)&amp;" ")-1),",","."),FIND("/",SUBSTITUTE(LEFT(TRIM(C752),FIND(" ",TRIM(C752)&amp;" ")-1),",","."))+1,9)),IF(ISNUMBER(SEARCH("yea",C752)),IFERROR(_xlfn.NUMBERVALUE(SUBSTITUTE(LEFT(TRIM(C752),FIND(" ",TRIM(C752)&amp;" ")-1),",","."),"."),LEFT(SUBSTITUTE(LEFT(TRIM(C752),FIND(" ",TRIM(C752)&amp;" ")-1),",","."),FIND("/",SUBSTITUTE(LEFT(TRIM(C752),FIND(" ",TRIM(C752)&amp;" ")-1),",","."))-1)/MID(SUBSTITUTE(LEFT(TRIM(C752),FIND(" ",TRIM(C752)&amp;" ")-1),",","."),FIND("/",SUBSTITUTE(LEFT(TRIM(C752),FIND(" ",TRIM(C752)&amp;" ")-1),",","."))+1,9))*12,NA()))),0),48)*'Aturan &amp; Tarif'!$B$4,2)</f>
        <v>2725.44</v>
      </c>
      <c r="K752" s="42" t="n">
        <f aca="false">'Aturan &amp; Tarif'!$B$5</f>
        <v>2050</v>
      </c>
      <c r="L752" s="35" t="n">
        <f aca="false">I752+J752+K752</f>
        <v>7125.44</v>
      </c>
      <c r="M752" s="45" t="s">
        <v>134</v>
      </c>
    </row>
    <row r="753" customFormat="false" ht="129" hidden="false" customHeight="true" outlineLevel="0" collapsed="false">
      <c r="A753" s="39"/>
      <c r="B753" s="40" t="s">
        <v>2332</v>
      </c>
      <c r="C753" s="41" t="s">
        <v>107</v>
      </c>
      <c r="D753" s="41" t="s">
        <v>108</v>
      </c>
      <c r="E753" s="42" t="n">
        <v>2800</v>
      </c>
      <c r="F753" s="42" t="n">
        <v>1000</v>
      </c>
      <c r="G753" s="42" t="n">
        <v>300</v>
      </c>
      <c r="H753" s="43" t="n">
        <v>1</v>
      </c>
      <c r="I753" s="34" t="n">
        <f aca="false">E753*H753+N(F753)+N(G753)</f>
        <v>4100</v>
      </c>
      <c r="J753" s="42" t="n">
        <f aca="false">ROUND(IFERROR(ROUND(IF(OR(ISNUMBER(SEARCH("week",C753)),ISNUMBER(SEARCH("minggu",C753))),IFERROR(_xlfn.NUMBERVALUE(SUBSTITUTE(LEFT(TRIM(C753),FIND(" ",TRIM(C753)&amp;" ")-1),",","."),"."),LEFT(SUBSTITUTE(LEFT(TRIM(C753),FIND(" ",TRIM(C753)&amp;" ")-1),",","."),FIND("/",SUBSTITUTE(LEFT(TRIM(C753),FIND(" ",TRIM(C753)&amp;" ")-1),",","."))-1)/MID(SUBSTITUTE(LEFT(TRIM(C753),FIND(" ",TRIM(C753)&amp;" ")-1),",","."),FIND("/",SUBSTITUTE(LEFT(TRIM(C753),FIND(" ",TRIM(C753)&amp;" ")-1),",","."))+1,9))*12/52,IF(ISNUMBER(SEARCH("month",C753)),IFERROR(_xlfn.NUMBERVALUE(SUBSTITUTE(LEFT(TRIM(C753),FIND(" ",TRIM(C753)&amp;" ")-1),",","."),"."),LEFT(SUBSTITUTE(LEFT(TRIM(C753),FIND(" ",TRIM(C753)&amp;" ")-1),",","."),FIND("/",SUBSTITUTE(LEFT(TRIM(C753),FIND(" ",TRIM(C753)&amp;" ")-1),",","."))-1)/MID(SUBSTITUTE(LEFT(TRIM(C753),FIND(" ",TRIM(C753)&amp;" ")-1),",","."),FIND("/",SUBSTITUTE(LEFT(TRIM(C753),FIND(" ",TRIM(C753)&amp;" ")-1),",","."))+1,9)),IF(ISNUMBER(SEARCH("yea",C753)),IFERROR(_xlfn.NUMBERVALUE(SUBSTITUTE(LEFT(TRIM(C753),FIND(" ",TRIM(C753)&amp;" ")-1),",","."),"."),LEFT(SUBSTITUTE(LEFT(TRIM(C753),FIND(" ",TRIM(C753)&amp;" ")-1),",","."),FIND("/",SUBSTITUTE(LEFT(TRIM(C753),FIND(" ",TRIM(C753)&amp;" ")-1),",","."))-1)/MID(SUBSTITUTE(LEFT(TRIM(C753),FIND(" ",TRIM(C753)&amp;" ")-1),",","."),FIND("/",SUBSTITUTE(LEFT(TRIM(C753),FIND(" ",TRIM(C753)&amp;" ")-1),",","."))+1,9))*12,NA()))),0),24)*'Aturan &amp; Tarif'!$B$4,2)</f>
        <v>1362.72</v>
      </c>
      <c r="K753" s="42" t="n">
        <f aca="false">'Aturan &amp; Tarif'!$B$5</f>
        <v>2050</v>
      </c>
      <c r="L753" s="35" t="n">
        <f aca="false">I753+J753+K753</f>
        <v>7512.72</v>
      </c>
      <c r="M753" s="44" t="s">
        <v>131</v>
      </c>
    </row>
    <row r="754" customFormat="false" ht="60" hidden="false" customHeight="true" outlineLevel="0" collapsed="false">
      <c r="A754" s="29" t="s">
        <v>2333</v>
      </c>
      <c r="B754" s="30" t="s">
        <v>2234</v>
      </c>
      <c r="C754" s="31" t="s">
        <v>127</v>
      </c>
      <c r="D754" s="31" t="s">
        <v>108</v>
      </c>
      <c r="E754" s="32" t="n">
        <v>4455</v>
      </c>
      <c r="F754" s="32" t="n">
        <v>300</v>
      </c>
      <c r="G754" s="32" t="n">
        <v>250</v>
      </c>
      <c r="H754" s="33" t="n">
        <v>2</v>
      </c>
      <c r="I754" s="34" t="n">
        <f aca="false">E754*H754+N(F754)+N(G754)</f>
        <v>9460</v>
      </c>
      <c r="J754" s="32" t="n">
        <f aca="false">ROUND(IFERROR(ROUND(IF(OR(ISNUMBER(SEARCH("week",C754)),ISNUMBER(SEARCH("minggu",C754))),IFERROR(_xlfn.NUMBERVALUE(SUBSTITUTE(LEFT(TRIM(C754),FIND(" ",TRIM(C754)&amp;" ")-1),",","."),"."),LEFT(SUBSTITUTE(LEFT(TRIM(C754),FIND(" ",TRIM(C754)&amp;" ")-1),",","."),FIND("/",SUBSTITUTE(LEFT(TRIM(C754),FIND(" ",TRIM(C754)&amp;" ")-1),",","."))-1)/MID(SUBSTITUTE(LEFT(TRIM(C754),FIND(" ",TRIM(C754)&amp;" ")-1),",","."),FIND("/",SUBSTITUTE(LEFT(TRIM(C754),FIND(" ",TRIM(C754)&amp;" ")-1),",","."))+1,9))*12/52,IF(ISNUMBER(SEARCH("month",C754)),IFERROR(_xlfn.NUMBERVALUE(SUBSTITUTE(LEFT(TRIM(C754),FIND(" ",TRIM(C754)&amp;" ")-1),",","."),"."),LEFT(SUBSTITUTE(LEFT(TRIM(C754),FIND(" ",TRIM(C754)&amp;" ")-1),",","."),FIND("/",SUBSTITUTE(LEFT(TRIM(C754),FIND(" ",TRIM(C754)&amp;" ")-1),",","."))-1)/MID(SUBSTITUTE(LEFT(TRIM(C754),FIND(" ",TRIM(C754)&amp;" ")-1),",","."),FIND("/",SUBSTITUTE(LEFT(TRIM(C754),FIND(" ",TRIM(C754)&amp;" ")-1),",","."))+1,9)),IF(ISNUMBER(SEARCH("yea",C754)),IFERROR(_xlfn.NUMBERVALUE(SUBSTITUTE(LEFT(TRIM(C754),FIND(" ",TRIM(C754)&amp;" ")-1),",","."),"."),LEFT(SUBSTITUTE(LEFT(TRIM(C754),FIND(" ",TRIM(C754)&amp;" ")-1),",","."),FIND("/",SUBSTITUTE(LEFT(TRIM(C754),FIND(" ",TRIM(C754)&amp;" ")-1),",","."))-1)/MID(SUBSTITUTE(LEFT(TRIM(C754),FIND(" ",TRIM(C754)&amp;" ")-1),",","."),FIND("/",SUBSTITUTE(LEFT(TRIM(C754),FIND(" ",TRIM(C754)&amp;" ")-1),",","."))+1,9))*12,NA()))),0),36)*'Aturan &amp; Tarif'!$B$4,2)</f>
        <v>2044.08</v>
      </c>
      <c r="K754" s="32" t="n">
        <f aca="false">'Aturan &amp; Tarif'!$B$5</f>
        <v>2050</v>
      </c>
      <c r="L754" s="35" t="n">
        <f aca="false">I754+J754+K754</f>
        <v>13554.08</v>
      </c>
      <c r="M754" s="36" t="s">
        <v>2334</v>
      </c>
    </row>
    <row r="755" customFormat="false" ht="37.5" hidden="false" customHeight="true" outlineLevel="0" collapsed="false">
      <c r="A755" s="29"/>
      <c r="B755" s="30" t="s">
        <v>3253</v>
      </c>
      <c r="C755" s="31" t="s">
        <v>127</v>
      </c>
      <c r="D755" s="31" t="s">
        <v>108</v>
      </c>
      <c r="E755" s="32" t="n">
        <v>4455</v>
      </c>
      <c r="F755" s="32" t="n">
        <v>300</v>
      </c>
      <c r="G755" s="32" t="n">
        <v>250</v>
      </c>
      <c r="H755" s="33" t="n">
        <v>2</v>
      </c>
      <c r="I755" s="34" t="n">
        <f aca="false">E755*H755+N(F755)+N(G755)</f>
        <v>9460</v>
      </c>
      <c r="J755" s="32" t="n">
        <f aca="false">ROUND(IFERROR(ROUND(IF(OR(ISNUMBER(SEARCH("week",C755)),ISNUMBER(SEARCH("minggu",C755))),IFERROR(_xlfn.NUMBERVALUE(SUBSTITUTE(LEFT(TRIM(C755),FIND(" ",TRIM(C755)&amp;" ")-1),",","."),"."),LEFT(SUBSTITUTE(LEFT(TRIM(C755),FIND(" ",TRIM(C755)&amp;" ")-1),",","."),FIND("/",SUBSTITUTE(LEFT(TRIM(C755),FIND(" ",TRIM(C755)&amp;" ")-1),",","."))-1)/MID(SUBSTITUTE(LEFT(TRIM(C755),FIND(" ",TRIM(C755)&amp;" ")-1),",","."),FIND("/",SUBSTITUTE(LEFT(TRIM(C755),FIND(" ",TRIM(C755)&amp;" ")-1),",","."))+1,9))*12/52,IF(ISNUMBER(SEARCH("month",C755)),IFERROR(_xlfn.NUMBERVALUE(SUBSTITUTE(LEFT(TRIM(C755),FIND(" ",TRIM(C755)&amp;" ")-1),",","."),"."),LEFT(SUBSTITUTE(LEFT(TRIM(C755),FIND(" ",TRIM(C755)&amp;" ")-1),",","."),FIND("/",SUBSTITUTE(LEFT(TRIM(C755),FIND(" ",TRIM(C755)&amp;" ")-1),",","."))-1)/MID(SUBSTITUTE(LEFT(TRIM(C755),FIND(" ",TRIM(C755)&amp;" ")-1),",","."),FIND("/",SUBSTITUTE(LEFT(TRIM(C755),FIND(" ",TRIM(C755)&amp;" ")-1),",","."))+1,9)),IF(ISNUMBER(SEARCH("yea",C755)),IFERROR(_xlfn.NUMBERVALUE(SUBSTITUTE(LEFT(TRIM(C755),FIND(" ",TRIM(C755)&amp;" ")-1),",","."),"."),LEFT(SUBSTITUTE(LEFT(TRIM(C755),FIND(" ",TRIM(C755)&amp;" ")-1),",","."),FIND("/",SUBSTITUTE(LEFT(TRIM(C755),FIND(" ",TRIM(C755)&amp;" ")-1),",","."))-1)/MID(SUBSTITUTE(LEFT(TRIM(C755),FIND(" ",TRIM(C755)&amp;" ")-1),",","."),FIND("/",SUBSTITUTE(LEFT(TRIM(C755),FIND(" ",TRIM(C755)&amp;" ")-1),",","."))+1,9))*12,NA()))),0),36)*'Aturan &amp; Tarif'!$B$4,2)</f>
        <v>2044.08</v>
      </c>
      <c r="K755" s="32" t="n">
        <f aca="false">'Aturan &amp; Tarif'!$B$5</f>
        <v>2050</v>
      </c>
      <c r="L755" s="35" t="n">
        <f aca="false">I755+J755+K755</f>
        <v>13554.08</v>
      </c>
      <c r="M755" s="36" t="s">
        <v>2334</v>
      </c>
    </row>
    <row r="756" customFormat="false" ht="37.5" hidden="false" customHeight="true" outlineLevel="0" collapsed="false">
      <c r="A756" s="29"/>
      <c r="B756" s="30" t="s">
        <v>3254</v>
      </c>
      <c r="C756" s="31" t="s">
        <v>127</v>
      </c>
      <c r="D756" s="31" t="s">
        <v>108</v>
      </c>
      <c r="E756" s="32" t="n">
        <v>4455</v>
      </c>
      <c r="F756" s="32" t="n">
        <v>300</v>
      </c>
      <c r="G756" s="32" t="n">
        <v>250</v>
      </c>
      <c r="H756" s="33" t="n">
        <v>2</v>
      </c>
      <c r="I756" s="34" t="n">
        <f aca="false">E756*H756+N(F756)+N(G756)</f>
        <v>9460</v>
      </c>
      <c r="J756" s="32" t="n">
        <f aca="false">ROUND(IFERROR(ROUND(IF(OR(ISNUMBER(SEARCH("week",C756)),ISNUMBER(SEARCH("minggu",C756))),IFERROR(_xlfn.NUMBERVALUE(SUBSTITUTE(LEFT(TRIM(C756),FIND(" ",TRIM(C756)&amp;" ")-1),",","."),"."),LEFT(SUBSTITUTE(LEFT(TRIM(C756),FIND(" ",TRIM(C756)&amp;" ")-1),",","."),FIND("/",SUBSTITUTE(LEFT(TRIM(C756),FIND(" ",TRIM(C756)&amp;" ")-1),",","."))-1)/MID(SUBSTITUTE(LEFT(TRIM(C756),FIND(" ",TRIM(C756)&amp;" ")-1),",","."),FIND("/",SUBSTITUTE(LEFT(TRIM(C756),FIND(" ",TRIM(C756)&amp;" ")-1),",","."))+1,9))*12/52,IF(ISNUMBER(SEARCH("month",C756)),IFERROR(_xlfn.NUMBERVALUE(SUBSTITUTE(LEFT(TRIM(C756),FIND(" ",TRIM(C756)&amp;" ")-1),",","."),"."),LEFT(SUBSTITUTE(LEFT(TRIM(C756),FIND(" ",TRIM(C756)&amp;" ")-1),",","."),FIND("/",SUBSTITUTE(LEFT(TRIM(C756),FIND(" ",TRIM(C756)&amp;" ")-1),",","."))-1)/MID(SUBSTITUTE(LEFT(TRIM(C756),FIND(" ",TRIM(C756)&amp;" ")-1),",","."),FIND("/",SUBSTITUTE(LEFT(TRIM(C756),FIND(" ",TRIM(C756)&amp;" ")-1),",","."))+1,9)),IF(ISNUMBER(SEARCH("yea",C756)),IFERROR(_xlfn.NUMBERVALUE(SUBSTITUTE(LEFT(TRIM(C756),FIND(" ",TRIM(C756)&amp;" ")-1),",","."),"."),LEFT(SUBSTITUTE(LEFT(TRIM(C756),FIND(" ",TRIM(C756)&amp;" ")-1),",","."),FIND("/",SUBSTITUTE(LEFT(TRIM(C756),FIND(" ",TRIM(C756)&amp;" ")-1),",","."))-1)/MID(SUBSTITUTE(LEFT(TRIM(C756),FIND(" ",TRIM(C756)&amp;" ")-1),",","."),FIND("/",SUBSTITUTE(LEFT(TRIM(C756),FIND(" ",TRIM(C756)&amp;" ")-1),",","."))+1,9))*12,NA()))),0),36)*'Aturan &amp; Tarif'!$B$4,2)</f>
        <v>2044.08</v>
      </c>
      <c r="K756" s="32" t="n">
        <f aca="false">'Aturan &amp; Tarif'!$B$5</f>
        <v>2050</v>
      </c>
      <c r="L756" s="35" t="n">
        <f aca="false">I756+J756+K756</f>
        <v>13554.08</v>
      </c>
      <c r="M756" s="36" t="s">
        <v>2334</v>
      </c>
    </row>
    <row r="757" customFormat="false" ht="37.5" hidden="false" customHeight="true" outlineLevel="0" collapsed="false">
      <c r="A757" s="29"/>
      <c r="B757" s="30" t="s">
        <v>3255</v>
      </c>
      <c r="C757" s="31" t="s">
        <v>107</v>
      </c>
      <c r="D757" s="31" t="s">
        <v>108</v>
      </c>
      <c r="E757" s="32" t="n">
        <v>5400</v>
      </c>
      <c r="F757" s="32" t="n">
        <v>250</v>
      </c>
      <c r="G757" s="32" t="n">
        <v>500</v>
      </c>
      <c r="H757" s="33" t="n">
        <v>2</v>
      </c>
      <c r="I757" s="34" t="n">
        <f aca="false">E757*H757+N(F757)+N(G757)</f>
        <v>11550</v>
      </c>
      <c r="J757" s="32" t="n">
        <f aca="false">ROUND(IFERROR(ROUND(IF(OR(ISNUMBER(SEARCH("week",C757)),ISNUMBER(SEARCH("minggu",C757))),IFERROR(_xlfn.NUMBERVALUE(SUBSTITUTE(LEFT(TRIM(C757),FIND(" ",TRIM(C757)&amp;" ")-1),",","."),"."),LEFT(SUBSTITUTE(LEFT(TRIM(C757),FIND(" ",TRIM(C757)&amp;" ")-1),",","."),FIND("/",SUBSTITUTE(LEFT(TRIM(C757),FIND(" ",TRIM(C757)&amp;" ")-1),",","."))-1)/MID(SUBSTITUTE(LEFT(TRIM(C757),FIND(" ",TRIM(C757)&amp;" ")-1),",","."),FIND("/",SUBSTITUTE(LEFT(TRIM(C757),FIND(" ",TRIM(C757)&amp;" ")-1),",","."))+1,9))*12/52,IF(ISNUMBER(SEARCH("month",C757)),IFERROR(_xlfn.NUMBERVALUE(SUBSTITUTE(LEFT(TRIM(C757),FIND(" ",TRIM(C757)&amp;" ")-1),",","."),"."),LEFT(SUBSTITUTE(LEFT(TRIM(C757),FIND(" ",TRIM(C757)&amp;" ")-1),",","."),FIND("/",SUBSTITUTE(LEFT(TRIM(C757),FIND(" ",TRIM(C757)&amp;" ")-1),",","."))-1)/MID(SUBSTITUTE(LEFT(TRIM(C757),FIND(" ",TRIM(C757)&amp;" ")-1),",","."),FIND("/",SUBSTITUTE(LEFT(TRIM(C757),FIND(" ",TRIM(C757)&amp;" ")-1),",","."))+1,9)),IF(ISNUMBER(SEARCH("yea",C757)),IFERROR(_xlfn.NUMBERVALUE(SUBSTITUTE(LEFT(TRIM(C757),FIND(" ",TRIM(C757)&amp;" ")-1),",","."),"."),LEFT(SUBSTITUTE(LEFT(TRIM(C757),FIND(" ",TRIM(C757)&amp;" ")-1),",","."),FIND("/",SUBSTITUTE(LEFT(TRIM(C757),FIND(" ",TRIM(C757)&amp;" ")-1),",","."))-1)/MID(SUBSTITUTE(LEFT(TRIM(C757),FIND(" ",TRIM(C757)&amp;" ")-1),",","."),FIND("/",SUBSTITUTE(LEFT(TRIM(C757),FIND(" ",TRIM(C757)&amp;" ")-1),",","."))+1,9))*12,NA()))),0),24)*'Aturan &amp; Tarif'!$B$4,2)</f>
        <v>1362.72</v>
      </c>
      <c r="K757" s="32" t="n">
        <f aca="false">'Aturan &amp; Tarif'!$B$5</f>
        <v>2050</v>
      </c>
      <c r="L757" s="35" t="n">
        <f aca="false">I757+J757+K757</f>
        <v>14962.72</v>
      </c>
      <c r="M757" s="36" t="s">
        <v>2337</v>
      </c>
    </row>
    <row r="758" customFormat="false" ht="37.5" hidden="false" customHeight="true" outlineLevel="0" collapsed="false">
      <c r="A758" s="29"/>
      <c r="B758" s="30" t="s">
        <v>3256</v>
      </c>
      <c r="C758" s="31" t="s">
        <v>107</v>
      </c>
      <c r="D758" s="31" t="s">
        <v>108</v>
      </c>
      <c r="E758" s="32" t="n">
        <v>5400</v>
      </c>
      <c r="F758" s="32" t="n">
        <v>250</v>
      </c>
      <c r="G758" s="32" t="n">
        <v>500</v>
      </c>
      <c r="H758" s="33" t="n">
        <v>2</v>
      </c>
      <c r="I758" s="34" t="n">
        <f aca="false">E758*H758+N(F758)+N(G758)</f>
        <v>11550</v>
      </c>
      <c r="J758" s="32" t="n">
        <f aca="false">ROUND(IFERROR(ROUND(IF(OR(ISNUMBER(SEARCH("week",C758)),ISNUMBER(SEARCH("minggu",C758))),IFERROR(_xlfn.NUMBERVALUE(SUBSTITUTE(LEFT(TRIM(C758),FIND(" ",TRIM(C758)&amp;" ")-1),",","."),"."),LEFT(SUBSTITUTE(LEFT(TRIM(C758),FIND(" ",TRIM(C758)&amp;" ")-1),",","."),FIND("/",SUBSTITUTE(LEFT(TRIM(C758),FIND(" ",TRIM(C758)&amp;" ")-1),",","."))-1)/MID(SUBSTITUTE(LEFT(TRIM(C758),FIND(" ",TRIM(C758)&amp;" ")-1),",","."),FIND("/",SUBSTITUTE(LEFT(TRIM(C758),FIND(" ",TRIM(C758)&amp;" ")-1),",","."))+1,9))*12/52,IF(ISNUMBER(SEARCH("month",C758)),IFERROR(_xlfn.NUMBERVALUE(SUBSTITUTE(LEFT(TRIM(C758),FIND(" ",TRIM(C758)&amp;" ")-1),",","."),"."),LEFT(SUBSTITUTE(LEFT(TRIM(C758),FIND(" ",TRIM(C758)&amp;" ")-1),",","."),FIND("/",SUBSTITUTE(LEFT(TRIM(C758),FIND(" ",TRIM(C758)&amp;" ")-1),",","."))-1)/MID(SUBSTITUTE(LEFT(TRIM(C758),FIND(" ",TRIM(C758)&amp;" ")-1),",","."),FIND("/",SUBSTITUTE(LEFT(TRIM(C758),FIND(" ",TRIM(C758)&amp;" ")-1),",","."))+1,9)),IF(ISNUMBER(SEARCH("yea",C758)),IFERROR(_xlfn.NUMBERVALUE(SUBSTITUTE(LEFT(TRIM(C758),FIND(" ",TRIM(C758)&amp;" ")-1),",","."),"."),LEFT(SUBSTITUTE(LEFT(TRIM(C758),FIND(" ",TRIM(C758)&amp;" ")-1),",","."),FIND("/",SUBSTITUTE(LEFT(TRIM(C758),FIND(" ",TRIM(C758)&amp;" ")-1),",","."))-1)/MID(SUBSTITUTE(LEFT(TRIM(C758),FIND(" ",TRIM(C758)&amp;" ")-1),",","."),FIND("/",SUBSTITUTE(LEFT(TRIM(C758),FIND(" ",TRIM(C758)&amp;" ")-1),",","."))+1,9))*12,NA()))),0),24)*'Aturan &amp; Tarif'!$B$4,2)</f>
        <v>1362.72</v>
      </c>
      <c r="K758" s="32" t="n">
        <f aca="false">'Aturan &amp; Tarif'!$B$5</f>
        <v>2050</v>
      </c>
      <c r="L758" s="35" t="n">
        <f aca="false">I758+J758+K758</f>
        <v>14962.72</v>
      </c>
      <c r="M758" s="36" t="s">
        <v>2337</v>
      </c>
    </row>
    <row r="759" customFormat="false" ht="37.5" hidden="false" customHeight="true" outlineLevel="0" collapsed="false">
      <c r="A759" s="29" t="s">
        <v>2339</v>
      </c>
      <c r="B759" s="30" t="s">
        <v>465</v>
      </c>
      <c r="C759" s="31" t="s">
        <v>107</v>
      </c>
      <c r="D759" s="31" t="s">
        <v>108</v>
      </c>
      <c r="E759" s="32" t="n">
        <v>2700</v>
      </c>
      <c r="F759" s="32" t="n">
        <v>500</v>
      </c>
      <c r="G759" s="32" t="n">
        <v>250</v>
      </c>
      <c r="H759" s="33" t="n">
        <v>1</v>
      </c>
      <c r="I759" s="34" t="n">
        <f aca="false">E759*H759+N(F759)+N(G759)</f>
        <v>3450</v>
      </c>
      <c r="J759" s="32" t="n">
        <f aca="false">ROUND(IFERROR(ROUND(IF(OR(ISNUMBER(SEARCH("week",C759)),ISNUMBER(SEARCH("minggu",C759))),IFERROR(_xlfn.NUMBERVALUE(SUBSTITUTE(LEFT(TRIM(C759),FIND(" ",TRIM(C759)&amp;" ")-1),",","."),"."),LEFT(SUBSTITUTE(LEFT(TRIM(C759),FIND(" ",TRIM(C759)&amp;" ")-1),",","."),FIND("/",SUBSTITUTE(LEFT(TRIM(C759),FIND(" ",TRIM(C759)&amp;" ")-1),",","."))-1)/MID(SUBSTITUTE(LEFT(TRIM(C759),FIND(" ",TRIM(C759)&amp;" ")-1),",","."),FIND("/",SUBSTITUTE(LEFT(TRIM(C759),FIND(" ",TRIM(C759)&amp;" ")-1),",","."))+1,9))*12/52,IF(ISNUMBER(SEARCH("month",C759)),IFERROR(_xlfn.NUMBERVALUE(SUBSTITUTE(LEFT(TRIM(C759),FIND(" ",TRIM(C759)&amp;" ")-1),",","."),"."),LEFT(SUBSTITUTE(LEFT(TRIM(C759),FIND(" ",TRIM(C759)&amp;" ")-1),",","."),FIND("/",SUBSTITUTE(LEFT(TRIM(C759),FIND(" ",TRIM(C759)&amp;" ")-1),",","."))-1)/MID(SUBSTITUTE(LEFT(TRIM(C759),FIND(" ",TRIM(C759)&amp;" ")-1),",","."),FIND("/",SUBSTITUTE(LEFT(TRIM(C759),FIND(" ",TRIM(C759)&amp;" ")-1),",","."))+1,9)),IF(ISNUMBER(SEARCH("yea",C759)),IFERROR(_xlfn.NUMBERVALUE(SUBSTITUTE(LEFT(TRIM(C759),FIND(" ",TRIM(C759)&amp;" ")-1),",","."),"."),LEFT(SUBSTITUTE(LEFT(TRIM(C759),FIND(" ",TRIM(C759)&amp;" ")-1),",","."),FIND("/",SUBSTITUTE(LEFT(TRIM(C759),FIND(" ",TRIM(C759)&amp;" ")-1),",","."))-1)/MID(SUBSTITUTE(LEFT(TRIM(C759),FIND(" ",TRIM(C759)&amp;" ")-1),",","."),FIND("/",SUBSTITUTE(LEFT(TRIM(C759),FIND(" ",TRIM(C759)&amp;" ")-1),",","."))+1,9))*12,NA()))),0),24)*'Aturan &amp; Tarif'!$B$4,2)</f>
        <v>1362.72</v>
      </c>
      <c r="K759" s="32" t="n">
        <f aca="false">'Aturan &amp; Tarif'!$B$5</f>
        <v>2050</v>
      </c>
      <c r="L759" s="35" t="n">
        <f aca="false">I759+J759+K759</f>
        <v>6862.72</v>
      </c>
      <c r="M759" s="37" t="s">
        <v>1564</v>
      </c>
    </row>
    <row r="760" customFormat="false" ht="37.5" hidden="false" customHeight="true" outlineLevel="0" collapsed="false">
      <c r="A760" s="29"/>
      <c r="B760" s="30" t="s">
        <v>475</v>
      </c>
      <c r="C760" s="31" t="s">
        <v>138</v>
      </c>
      <c r="D760" s="31" t="s">
        <v>108</v>
      </c>
      <c r="E760" s="32" t="n">
        <v>3000</v>
      </c>
      <c r="F760" s="32" t="n">
        <v>750</v>
      </c>
      <c r="G760" s="32" t="n">
        <v>250</v>
      </c>
      <c r="H760" s="33" t="n">
        <v>1</v>
      </c>
      <c r="I760" s="34" t="n">
        <f aca="false">E760*H760+N(F760)+N(G760)</f>
        <v>4000</v>
      </c>
      <c r="J760" s="32" t="n">
        <f aca="false">ROUND(IFERROR(ROUND(IF(OR(ISNUMBER(SEARCH("week",C760)),ISNUMBER(SEARCH("minggu",C760))),IFERROR(_xlfn.NUMBERVALUE(SUBSTITUTE(LEFT(TRIM(C760),FIND(" ",TRIM(C760)&amp;" ")-1),",","."),"."),LEFT(SUBSTITUTE(LEFT(TRIM(C760),FIND(" ",TRIM(C760)&amp;" ")-1),",","."),FIND("/",SUBSTITUTE(LEFT(TRIM(C760),FIND(" ",TRIM(C760)&amp;" ")-1),",","."))-1)/MID(SUBSTITUTE(LEFT(TRIM(C760),FIND(" ",TRIM(C760)&amp;" ")-1),",","."),FIND("/",SUBSTITUTE(LEFT(TRIM(C760),FIND(" ",TRIM(C760)&amp;" ")-1),",","."))+1,9))*12/52,IF(ISNUMBER(SEARCH("month",C760)),IFERROR(_xlfn.NUMBERVALUE(SUBSTITUTE(LEFT(TRIM(C760),FIND(" ",TRIM(C760)&amp;" ")-1),",","."),"."),LEFT(SUBSTITUTE(LEFT(TRIM(C760),FIND(" ",TRIM(C760)&amp;" ")-1),",","."),FIND("/",SUBSTITUTE(LEFT(TRIM(C760),FIND(" ",TRIM(C760)&amp;" ")-1),",","."))-1)/MID(SUBSTITUTE(LEFT(TRIM(C760),FIND(" ",TRIM(C760)&amp;" ")-1),",","."),FIND("/",SUBSTITUTE(LEFT(TRIM(C760),FIND(" ",TRIM(C760)&amp;" ")-1),",","."))+1,9)),IF(ISNUMBER(SEARCH("yea",C760)),IFERROR(_xlfn.NUMBERVALUE(SUBSTITUTE(LEFT(TRIM(C760),FIND(" ",TRIM(C760)&amp;" ")-1),",","."),"."),LEFT(SUBSTITUTE(LEFT(TRIM(C760),FIND(" ",TRIM(C760)&amp;" ")-1),",","."),FIND("/",SUBSTITUTE(LEFT(TRIM(C760),FIND(" ",TRIM(C760)&amp;" ")-1),",","."))-1)/MID(SUBSTITUTE(LEFT(TRIM(C760),FIND(" ",TRIM(C760)&amp;" ")-1),",","."),FIND("/",SUBSTITUTE(LEFT(TRIM(C760),FIND(" ",TRIM(C760)&amp;" ")-1),",","."))+1,9))*12,NA()))),0),30)*'Aturan &amp; Tarif'!$B$4,2)</f>
        <v>1703.4</v>
      </c>
      <c r="K760" s="32" t="n">
        <f aca="false">'Aturan &amp; Tarif'!$B$5</f>
        <v>2050</v>
      </c>
      <c r="L760" s="35" t="n">
        <f aca="false">I760+J760+K760</f>
        <v>7753.4</v>
      </c>
      <c r="M760" s="37" t="s">
        <v>1564</v>
      </c>
    </row>
    <row r="761" customFormat="false" ht="25.5" hidden="false" customHeight="true" outlineLevel="0" collapsed="false">
      <c r="A761" s="29"/>
      <c r="B761" s="30" t="s">
        <v>616</v>
      </c>
      <c r="C761" s="31" t="s">
        <v>107</v>
      </c>
      <c r="D761" s="31" t="s">
        <v>108</v>
      </c>
      <c r="E761" s="32" t="n">
        <v>3125</v>
      </c>
      <c r="F761" s="32" t="n">
        <v>2000</v>
      </c>
      <c r="G761" s="32" t="n">
        <v>250</v>
      </c>
      <c r="H761" s="33" t="n">
        <v>1</v>
      </c>
      <c r="I761" s="34" t="n">
        <f aca="false">E761*H761+N(F761)+N(G761)</f>
        <v>5375</v>
      </c>
      <c r="J761" s="32" t="n">
        <f aca="false">ROUND(IFERROR(ROUND(IF(OR(ISNUMBER(SEARCH("week",C761)),ISNUMBER(SEARCH("minggu",C761))),IFERROR(_xlfn.NUMBERVALUE(SUBSTITUTE(LEFT(TRIM(C761),FIND(" ",TRIM(C761)&amp;" ")-1),",","."),"."),LEFT(SUBSTITUTE(LEFT(TRIM(C761),FIND(" ",TRIM(C761)&amp;" ")-1),",","."),FIND("/",SUBSTITUTE(LEFT(TRIM(C761),FIND(" ",TRIM(C761)&amp;" ")-1),",","."))-1)/MID(SUBSTITUTE(LEFT(TRIM(C761),FIND(" ",TRIM(C761)&amp;" ")-1),",","."),FIND("/",SUBSTITUTE(LEFT(TRIM(C761),FIND(" ",TRIM(C761)&amp;" ")-1),",","."))+1,9))*12/52,IF(ISNUMBER(SEARCH("month",C761)),IFERROR(_xlfn.NUMBERVALUE(SUBSTITUTE(LEFT(TRIM(C761),FIND(" ",TRIM(C761)&amp;" ")-1),",","."),"."),LEFT(SUBSTITUTE(LEFT(TRIM(C761),FIND(" ",TRIM(C761)&amp;" ")-1),",","."),FIND("/",SUBSTITUTE(LEFT(TRIM(C761),FIND(" ",TRIM(C761)&amp;" ")-1),",","."))-1)/MID(SUBSTITUTE(LEFT(TRIM(C761),FIND(" ",TRIM(C761)&amp;" ")-1),",","."),FIND("/",SUBSTITUTE(LEFT(TRIM(C761),FIND(" ",TRIM(C761)&amp;" ")-1),",","."))+1,9)),IF(ISNUMBER(SEARCH("yea",C761)),IFERROR(_xlfn.NUMBERVALUE(SUBSTITUTE(LEFT(TRIM(C761),FIND(" ",TRIM(C761)&amp;" ")-1),",","."),"."),LEFT(SUBSTITUTE(LEFT(TRIM(C761),FIND(" ",TRIM(C761)&amp;" ")-1),",","."),FIND("/",SUBSTITUTE(LEFT(TRIM(C761),FIND(" ",TRIM(C761)&amp;" ")-1),",","."))-1)/MID(SUBSTITUTE(LEFT(TRIM(C761),FIND(" ",TRIM(C761)&amp;" ")-1),",","."),FIND("/",SUBSTITUTE(LEFT(TRIM(C761),FIND(" ",TRIM(C761)&amp;" ")-1),",","."))+1,9))*12,NA()))),0),24)*'Aturan &amp; Tarif'!$B$4,2)</f>
        <v>1362.72</v>
      </c>
      <c r="K761" s="32" t="n">
        <f aca="false">'Aturan &amp; Tarif'!$B$5</f>
        <v>2050</v>
      </c>
      <c r="L761" s="35" t="n">
        <f aca="false">I761+J761+K761</f>
        <v>8787.72</v>
      </c>
      <c r="M761" s="37" t="s">
        <v>1662</v>
      </c>
    </row>
    <row r="762" customFormat="false" ht="25.5" hidden="false" customHeight="true" outlineLevel="0" collapsed="false">
      <c r="A762" s="29"/>
      <c r="B762" s="30" t="s">
        <v>618</v>
      </c>
      <c r="C762" s="31" t="s">
        <v>138</v>
      </c>
      <c r="D762" s="31" t="s">
        <v>108</v>
      </c>
      <c r="E762" s="32" t="n">
        <v>4300</v>
      </c>
      <c r="F762" s="32" t="n">
        <v>2000</v>
      </c>
      <c r="G762" s="32" t="n">
        <v>250</v>
      </c>
      <c r="H762" s="33" t="n">
        <v>1</v>
      </c>
      <c r="I762" s="34" t="n">
        <f aca="false">E762*H762+N(F762)+N(G762)</f>
        <v>6550</v>
      </c>
      <c r="J762" s="32" t="n">
        <f aca="false">ROUND(IFERROR(ROUND(IF(OR(ISNUMBER(SEARCH("week",C762)),ISNUMBER(SEARCH("minggu",C762))),IFERROR(_xlfn.NUMBERVALUE(SUBSTITUTE(LEFT(TRIM(C762),FIND(" ",TRIM(C762)&amp;" ")-1),",","."),"."),LEFT(SUBSTITUTE(LEFT(TRIM(C762),FIND(" ",TRIM(C762)&amp;" ")-1),",","."),FIND("/",SUBSTITUTE(LEFT(TRIM(C762),FIND(" ",TRIM(C762)&amp;" ")-1),",","."))-1)/MID(SUBSTITUTE(LEFT(TRIM(C762),FIND(" ",TRIM(C762)&amp;" ")-1),",","."),FIND("/",SUBSTITUTE(LEFT(TRIM(C762),FIND(" ",TRIM(C762)&amp;" ")-1),",","."))+1,9))*12/52,IF(ISNUMBER(SEARCH("month",C762)),IFERROR(_xlfn.NUMBERVALUE(SUBSTITUTE(LEFT(TRIM(C762),FIND(" ",TRIM(C762)&amp;" ")-1),",","."),"."),LEFT(SUBSTITUTE(LEFT(TRIM(C762),FIND(" ",TRIM(C762)&amp;" ")-1),",","."),FIND("/",SUBSTITUTE(LEFT(TRIM(C762),FIND(" ",TRIM(C762)&amp;" ")-1),",","."))-1)/MID(SUBSTITUTE(LEFT(TRIM(C762),FIND(" ",TRIM(C762)&amp;" ")-1),",","."),FIND("/",SUBSTITUTE(LEFT(TRIM(C762),FIND(" ",TRIM(C762)&amp;" ")-1),",","."))+1,9)),IF(ISNUMBER(SEARCH("yea",C762)),IFERROR(_xlfn.NUMBERVALUE(SUBSTITUTE(LEFT(TRIM(C762),FIND(" ",TRIM(C762)&amp;" ")-1),",","."),"."),LEFT(SUBSTITUTE(LEFT(TRIM(C762),FIND(" ",TRIM(C762)&amp;" ")-1),",","."),FIND("/",SUBSTITUTE(LEFT(TRIM(C762),FIND(" ",TRIM(C762)&amp;" ")-1),",","."))-1)/MID(SUBSTITUTE(LEFT(TRIM(C762),FIND(" ",TRIM(C762)&amp;" ")-1),",","."),FIND("/",SUBSTITUTE(LEFT(TRIM(C762),FIND(" ",TRIM(C762)&amp;" ")-1),",","."))+1,9))*12,NA()))),0),30)*'Aturan &amp; Tarif'!$B$4,2)</f>
        <v>1703.4</v>
      </c>
      <c r="K762" s="32" t="n">
        <f aca="false">'Aturan &amp; Tarif'!$B$5</f>
        <v>2050</v>
      </c>
      <c r="L762" s="35" t="n">
        <f aca="false">I762+J762+K762</f>
        <v>10303.4</v>
      </c>
      <c r="M762" s="37" t="s">
        <v>1564</v>
      </c>
    </row>
    <row r="763" customFormat="false" ht="37.5" hidden="false" customHeight="true" outlineLevel="0" collapsed="false">
      <c r="A763" s="29" t="s">
        <v>2340</v>
      </c>
      <c r="B763" s="30" t="s">
        <v>2341</v>
      </c>
      <c r="C763" s="31" t="s">
        <v>113</v>
      </c>
      <c r="D763" s="31" t="s">
        <v>108</v>
      </c>
      <c r="E763" s="32" t="n">
        <v>2500</v>
      </c>
      <c r="F763" s="32" t="n">
        <v>500</v>
      </c>
      <c r="G763" s="32" t="n">
        <v>200</v>
      </c>
      <c r="H763" s="33" t="n">
        <v>1</v>
      </c>
      <c r="I763" s="34" t="n">
        <f aca="false">E763*H763+N(F763)+N(G763)</f>
        <v>3200</v>
      </c>
      <c r="J763" s="32" t="n">
        <f aca="false">ROUND(IFERROR(ROUND(IF(OR(ISNUMBER(SEARCH("week",C763)),ISNUMBER(SEARCH("minggu",C763))),IFERROR(_xlfn.NUMBERVALUE(SUBSTITUTE(LEFT(TRIM(C763),FIND(" ",TRIM(C763)&amp;" ")-1),",","."),"."),LEFT(SUBSTITUTE(LEFT(TRIM(C763),FIND(" ",TRIM(C763)&amp;" ")-1),",","."),FIND("/",SUBSTITUTE(LEFT(TRIM(C763),FIND(" ",TRIM(C763)&amp;" ")-1),",","."))-1)/MID(SUBSTITUTE(LEFT(TRIM(C763),FIND(" ",TRIM(C763)&amp;" ")-1),",","."),FIND("/",SUBSTITUTE(LEFT(TRIM(C763),FIND(" ",TRIM(C763)&amp;" ")-1),",","."))+1,9))*12/52,IF(ISNUMBER(SEARCH("month",C763)),IFERROR(_xlfn.NUMBERVALUE(SUBSTITUTE(LEFT(TRIM(C763),FIND(" ",TRIM(C763)&amp;" ")-1),",","."),"."),LEFT(SUBSTITUTE(LEFT(TRIM(C763),FIND(" ",TRIM(C763)&amp;" ")-1),",","."),FIND("/",SUBSTITUTE(LEFT(TRIM(C763),FIND(" ",TRIM(C763)&amp;" ")-1),",","."))-1)/MID(SUBSTITUTE(LEFT(TRIM(C763),FIND(" ",TRIM(C763)&amp;" ")-1),",","."),FIND("/",SUBSTITUTE(LEFT(TRIM(C763),FIND(" ",TRIM(C763)&amp;" ")-1),",","."))+1,9)),IF(ISNUMBER(SEARCH("yea",C763)),IFERROR(_xlfn.NUMBERVALUE(SUBSTITUTE(LEFT(TRIM(C763),FIND(" ",TRIM(C763)&amp;" ")-1),",","."),"."),LEFT(SUBSTITUTE(LEFT(TRIM(C763),FIND(" ",TRIM(C763)&amp;" ")-1),",","."),FIND("/",SUBSTITUTE(LEFT(TRIM(C763),FIND(" ",TRIM(C763)&amp;" ")-1),",","."))-1)/MID(SUBSTITUTE(LEFT(TRIM(C763),FIND(" ",TRIM(C763)&amp;" ")-1),",","."),FIND("/",SUBSTITUTE(LEFT(TRIM(C763),FIND(" ",TRIM(C763)&amp;" ")-1),",","."))+1,9))*12,NA()))),0),18)*'Aturan &amp; Tarif'!$B$4,2)</f>
        <v>1022.04</v>
      </c>
      <c r="K763" s="32" t="n">
        <f aca="false">'Aturan &amp; Tarif'!$B$5</f>
        <v>2050</v>
      </c>
      <c r="L763" s="35" t="n">
        <f aca="false">I763+J763+K763</f>
        <v>6272.04</v>
      </c>
      <c r="M763" s="36" t="s">
        <v>2342</v>
      </c>
    </row>
    <row r="764" customFormat="false" ht="37.5" hidden="false" customHeight="true" outlineLevel="0" collapsed="false">
      <c r="A764" s="29"/>
      <c r="B764" s="30" t="s">
        <v>3257</v>
      </c>
      <c r="C764" s="31" t="s">
        <v>136</v>
      </c>
      <c r="D764" s="31" t="s">
        <v>108</v>
      </c>
      <c r="E764" s="32" t="n">
        <v>2500</v>
      </c>
      <c r="F764" s="32" t="n">
        <v>500</v>
      </c>
      <c r="G764" s="32" t="n">
        <v>200</v>
      </c>
      <c r="H764" s="33" t="n">
        <v>1</v>
      </c>
      <c r="I764" s="34" t="n">
        <f aca="false">E764*H764+N(F764)+N(G764)</f>
        <v>3200</v>
      </c>
      <c r="J764" s="32" t="n">
        <f aca="false">ROUND(IFERROR(ROUND(IF(OR(ISNUMBER(SEARCH("week",C764)),ISNUMBER(SEARCH("minggu",C764))),IFERROR(_xlfn.NUMBERVALUE(SUBSTITUTE(LEFT(TRIM(C764),FIND(" ",TRIM(C764)&amp;" ")-1),",","."),"."),LEFT(SUBSTITUTE(LEFT(TRIM(C764),FIND(" ",TRIM(C764)&amp;" ")-1),",","."),FIND("/",SUBSTITUTE(LEFT(TRIM(C764),FIND(" ",TRIM(C764)&amp;" ")-1),",","."))-1)/MID(SUBSTITUTE(LEFT(TRIM(C764),FIND(" ",TRIM(C764)&amp;" ")-1),",","."),FIND("/",SUBSTITUTE(LEFT(TRIM(C764),FIND(" ",TRIM(C764)&amp;" ")-1),",","."))+1,9))*12/52,IF(ISNUMBER(SEARCH("month",C764)),IFERROR(_xlfn.NUMBERVALUE(SUBSTITUTE(LEFT(TRIM(C764),FIND(" ",TRIM(C764)&amp;" ")-1),",","."),"."),LEFT(SUBSTITUTE(LEFT(TRIM(C764),FIND(" ",TRIM(C764)&amp;" ")-1),",","."),FIND("/",SUBSTITUTE(LEFT(TRIM(C764),FIND(" ",TRIM(C764)&amp;" ")-1),",","."))-1)/MID(SUBSTITUTE(LEFT(TRIM(C764),FIND(" ",TRIM(C764)&amp;" ")-1),",","."),FIND("/",SUBSTITUTE(LEFT(TRIM(C764),FIND(" ",TRIM(C764)&amp;" ")-1),",","."))+1,9)),IF(ISNUMBER(SEARCH("yea",C764)),IFERROR(_xlfn.NUMBERVALUE(SUBSTITUTE(LEFT(TRIM(C764),FIND(" ",TRIM(C764)&amp;" ")-1),",","."),"."),LEFT(SUBSTITUTE(LEFT(TRIM(C764),FIND(" ",TRIM(C764)&amp;" ")-1),",","."),FIND("/",SUBSTITUTE(LEFT(TRIM(C764),FIND(" ",TRIM(C764)&amp;" ")-1),",","."))-1)/MID(SUBSTITUTE(LEFT(TRIM(C764),FIND(" ",TRIM(C764)&amp;" ")-1),",","."),FIND("/",SUBSTITUTE(LEFT(TRIM(C764),FIND(" ",TRIM(C764)&amp;" ")-1),",","."))+1,9))*12,NA()))),0),42)*'Aturan &amp; Tarif'!$B$4,2)</f>
        <v>2384.76</v>
      </c>
      <c r="K764" s="32" t="n">
        <f aca="false">'Aturan &amp; Tarif'!$B$5</f>
        <v>2050</v>
      </c>
      <c r="L764" s="35" t="n">
        <f aca="false">I764+J764+K764</f>
        <v>7634.76</v>
      </c>
      <c r="M764" s="36" t="s">
        <v>3258</v>
      </c>
    </row>
    <row r="765" customFormat="false" ht="14.25" hidden="false" customHeight="true" outlineLevel="0" collapsed="false">
      <c r="A765" s="29"/>
      <c r="B765" s="30" t="s">
        <v>3125</v>
      </c>
      <c r="C765" s="31" t="s">
        <v>107</v>
      </c>
      <c r="D765" s="31" t="s">
        <v>108</v>
      </c>
      <c r="E765" s="32" t="n">
        <v>1500</v>
      </c>
      <c r="F765" s="32" t="n">
        <v>100</v>
      </c>
      <c r="G765" s="32" t="n">
        <v>200</v>
      </c>
      <c r="H765" s="33" t="n">
        <v>1</v>
      </c>
      <c r="I765" s="34" t="n">
        <f aca="false">E765*H765+N(F765)+N(G765)</f>
        <v>1800</v>
      </c>
      <c r="J765" s="32" t="n">
        <f aca="false">ROUND(IFERROR(ROUND(IF(OR(ISNUMBER(SEARCH("week",C765)),ISNUMBER(SEARCH("minggu",C765))),IFERROR(_xlfn.NUMBERVALUE(SUBSTITUTE(LEFT(TRIM(C765),FIND(" ",TRIM(C765)&amp;" ")-1),",","."),"."),LEFT(SUBSTITUTE(LEFT(TRIM(C765),FIND(" ",TRIM(C765)&amp;" ")-1),",","."),FIND("/",SUBSTITUTE(LEFT(TRIM(C765),FIND(" ",TRIM(C765)&amp;" ")-1),",","."))-1)/MID(SUBSTITUTE(LEFT(TRIM(C765),FIND(" ",TRIM(C765)&amp;" ")-1),",","."),FIND("/",SUBSTITUTE(LEFT(TRIM(C765),FIND(" ",TRIM(C765)&amp;" ")-1),",","."))+1,9))*12/52,IF(ISNUMBER(SEARCH("month",C765)),IFERROR(_xlfn.NUMBERVALUE(SUBSTITUTE(LEFT(TRIM(C765),FIND(" ",TRIM(C765)&amp;" ")-1),",","."),"."),LEFT(SUBSTITUTE(LEFT(TRIM(C765),FIND(" ",TRIM(C765)&amp;" ")-1),",","."),FIND("/",SUBSTITUTE(LEFT(TRIM(C765),FIND(" ",TRIM(C765)&amp;" ")-1),",","."))-1)/MID(SUBSTITUTE(LEFT(TRIM(C765),FIND(" ",TRIM(C765)&amp;" ")-1),",","."),FIND("/",SUBSTITUTE(LEFT(TRIM(C765),FIND(" ",TRIM(C765)&amp;" ")-1),",","."))+1,9)),IF(ISNUMBER(SEARCH("yea",C765)),IFERROR(_xlfn.NUMBERVALUE(SUBSTITUTE(LEFT(TRIM(C765),FIND(" ",TRIM(C765)&amp;" ")-1),",","."),"."),LEFT(SUBSTITUTE(LEFT(TRIM(C765),FIND(" ",TRIM(C765)&amp;" ")-1),",","."),FIND("/",SUBSTITUTE(LEFT(TRIM(C765),FIND(" ",TRIM(C765)&amp;" ")-1),",","."))-1)/MID(SUBSTITUTE(LEFT(TRIM(C765),FIND(" ",TRIM(C765)&amp;" ")-1),",","."),FIND("/",SUBSTITUTE(LEFT(TRIM(C765),FIND(" ",TRIM(C765)&amp;" ")-1),",","."))+1,9))*12,NA()))),0),24)*'Aturan &amp; Tarif'!$B$4,2)</f>
        <v>1362.72</v>
      </c>
      <c r="K765" s="32" t="n">
        <f aca="false">'Aturan &amp; Tarif'!$B$5</f>
        <v>2050</v>
      </c>
      <c r="L765" s="35" t="n">
        <f aca="false">I765+J765+K765</f>
        <v>5212.72</v>
      </c>
      <c r="M765" s="36" t="s">
        <v>3259</v>
      </c>
    </row>
    <row r="766" customFormat="false" ht="25.5" hidden="false" customHeight="true" outlineLevel="0" collapsed="false">
      <c r="A766" s="29"/>
      <c r="B766" s="30" t="s">
        <v>3260</v>
      </c>
      <c r="C766" s="31" t="s">
        <v>127</v>
      </c>
      <c r="D766" s="31" t="s">
        <v>108</v>
      </c>
      <c r="E766" s="32" t="n">
        <v>1500</v>
      </c>
      <c r="F766" s="32" t="n">
        <v>100</v>
      </c>
      <c r="G766" s="32" t="n">
        <v>200</v>
      </c>
      <c r="H766" s="33" t="n">
        <v>1</v>
      </c>
      <c r="I766" s="34" t="n">
        <f aca="false">E766*H766+N(F766)+N(G766)</f>
        <v>1800</v>
      </c>
      <c r="J766" s="32" t="n">
        <f aca="false">ROUND(IFERROR(ROUND(IF(OR(ISNUMBER(SEARCH("week",C766)),ISNUMBER(SEARCH("minggu",C766))),IFERROR(_xlfn.NUMBERVALUE(SUBSTITUTE(LEFT(TRIM(C766),FIND(" ",TRIM(C766)&amp;" ")-1),",","."),"."),LEFT(SUBSTITUTE(LEFT(TRIM(C766),FIND(" ",TRIM(C766)&amp;" ")-1),",","."),FIND("/",SUBSTITUTE(LEFT(TRIM(C766),FIND(" ",TRIM(C766)&amp;" ")-1),",","."))-1)/MID(SUBSTITUTE(LEFT(TRIM(C766),FIND(" ",TRIM(C766)&amp;" ")-1),",","."),FIND("/",SUBSTITUTE(LEFT(TRIM(C766),FIND(" ",TRIM(C766)&amp;" ")-1),",","."))+1,9))*12/52,IF(ISNUMBER(SEARCH("month",C766)),IFERROR(_xlfn.NUMBERVALUE(SUBSTITUTE(LEFT(TRIM(C766),FIND(" ",TRIM(C766)&amp;" ")-1),",","."),"."),LEFT(SUBSTITUTE(LEFT(TRIM(C766),FIND(" ",TRIM(C766)&amp;" ")-1),",","."),FIND("/",SUBSTITUTE(LEFT(TRIM(C766),FIND(" ",TRIM(C766)&amp;" ")-1),",","."))-1)/MID(SUBSTITUTE(LEFT(TRIM(C766),FIND(" ",TRIM(C766)&amp;" ")-1),",","."),FIND("/",SUBSTITUTE(LEFT(TRIM(C766),FIND(" ",TRIM(C766)&amp;" ")-1),",","."))+1,9)),IF(ISNUMBER(SEARCH("yea",C766)),IFERROR(_xlfn.NUMBERVALUE(SUBSTITUTE(LEFT(TRIM(C766),FIND(" ",TRIM(C766)&amp;" ")-1),",","."),"."),LEFT(SUBSTITUTE(LEFT(TRIM(C766),FIND(" ",TRIM(C766)&amp;" ")-1),",","."),FIND("/",SUBSTITUTE(LEFT(TRIM(C766),FIND(" ",TRIM(C766)&amp;" ")-1),",","."))-1)/MID(SUBSTITUTE(LEFT(TRIM(C766),FIND(" ",TRIM(C766)&amp;" ")-1),",","."),FIND("/",SUBSTITUTE(LEFT(TRIM(C766),FIND(" ",TRIM(C766)&amp;" ")-1),",","."))+1,9))*12,NA()))),0),36)*'Aturan &amp; Tarif'!$B$4,2)</f>
        <v>2044.08</v>
      </c>
      <c r="K766" s="32" t="n">
        <f aca="false">'Aturan &amp; Tarif'!$B$5</f>
        <v>2050</v>
      </c>
      <c r="L766" s="35" t="n">
        <f aca="false">I766+J766+K766</f>
        <v>5894.08</v>
      </c>
      <c r="M766" s="36" t="s">
        <v>3259</v>
      </c>
    </row>
    <row r="767" customFormat="false" ht="25.5" hidden="false" customHeight="true" outlineLevel="0" collapsed="false">
      <c r="A767" s="29"/>
      <c r="B767" s="30" t="s">
        <v>2347</v>
      </c>
      <c r="C767" s="31" t="s">
        <v>107</v>
      </c>
      <c r="D767" s="31" t="s">
        <v>108</v>
      </c>
      <c r="E767" s="32" t="n">
        <v>2750</v>
      </c>
      <c r="F767" s="32" t="n">
        <v>2000</v>
      </c>
      <c r="G767" s="32" t="n">
        <v>200</v>
      </c>
      <c r="H767" s="33" t="n">
        <v>1</v>
      </c>
      <c r="I767" s="34" t="n">
        <f aca="false">E767*H767+N(F767)+N(G767)</f>
        <v>4950</v>
      </c>
      <c r="J767" s="32" t="n">
        <f aca="false">ROUND(IFERROR(ROUND(IF(OR(ISNUMBER(SEARCH("week",C767)),ISNUMBER(SEARCH("minggu",C767))),IFERROR(_xlfn.NUMBERVALUE(SUBSTITUTE(LEFT(TRIM(C767),FIND(" ",TRIM(C767)&amp;" ")-1),",","."),"."),LEFT(SUBSTITUTE(LEFT(TRIM(C767),FIND(" ",TRIM(C767)&amp;" ")-1),",","."),FIND("/",SUBSTITUTE(LEFT(TRIM(C767),FIND(" ",TRIM(C767)&amp;" ")-1),",","."))-1)/MID(SUBSTITUTE(LEFT(TRIM(C767),FIND(" ",TRIM(C767)&amp;" ")-1),",","."),FIND("/",SUBSTITUTE(LEFT(TRIM(C767),FIND(" ",TRIM(C767)&amp;" ")-1),",","."))+1,9))*12/52,IF(ISNUMBER(SEARCH("month",C767)),IFERROR(_xlfn.NUMBERVALUE(SUBSTITUTE(LEFT(TRIM(C767),FIND(" ",TRIM(C767)&amp;" ")-1),",","."),"."),LEFT(SUBSTITUTE(LEFT(TRIM(C767),FIND(" ",TRIM(C767)&amp;" ")-1),",","."),FIND("/",SUBSTITUTE(LEFT(TRIM(C767),FIND(" ",TRIM(C767)&amp;" ")-1),",","."))-1)/MID(SUBSTITUTE(LEFT(TRIM(C767),FIND(" ",TRIM(C767)&amp;" ")-1),",","."),FIND("/",SUBSTITUTE(LEFT(TRIM(C767),FIND(" ",TRIM(C767)&amp;" ")-1),",","."))+1,9)),IF(ISNUMBER(SEARCH("yea",C767)),IFERROR(_xlfn.NUMBERVALUE(SUBSTITUTE(LEFT(TRIM(C767),FIND(" ",TRIM(C767)&amp;" ")-1),",","."),"."),LEFT(SUBSTITUTE(LEFT(TRIM(C767),FIND(" ",TRIM(C767)&amp;" ")-1),",","."),FIND("/",SUBSTITUTE(LEFT(TRIM(C767),FIND(" ",TRIM(C767)&amp;" ")-1),",","."))-1)/MID(SUBSTITUTE(LEFT(TRIM(C767),FIND(" ",TRIM(C767)&amp;" ")-1),",","."),FIND("/",SUBSTITUTE(LEFT(TRIM(C767),FIND(" ",TRIM(C767)&amp;" ")-1),",","."))+1,9))*12,NA()))),0),24)*'Aturan &amp; Tarif'!$B$4,2)</f>
        <v>1362.72</v>
      </c>
      <c r="K767" s="32" t="n">
        <f aca="false">'Aturan &amp; Tarif'!$B$5</f>
        <v>2050</v>
      </c>
      <c r="L767" s="35" t="n">
        <f aca="false">I767+J767+K767</f>
        <v>8362.72</v>
      </c>
      <c r="M767" s="36" t="s">
        <v>2348</v>
      </c>
    </row>
    <row r="768" customFormat="false" ht="37.5" hidden="false" customHeight="true" outlineLevel="0" collapsed="false">
      <c r="A768" s="39" t="s">
        <v>3261</v>
      </c>
      <c r="B768" s="40" t="s">
        <v>1817</v>
      </c>
      <c r="C768" s="41" t="s">
        <v>107</v>
      </c>
      <c r="D768" s="41" t="s">
        <v>108</v>
      </c>
      <c r="E768" s="42" t="n">
        <v>1350</v>
      </c>
      <c r="F768" s="42" t="n">
        <v>100</v>
      </c>
      <c r="G768" s="42" t="n">
        <v>200</v>
      </c>
      <c r="H768" s="43" t="n">
        <v>1</v>
      </c>
      <c r="I768" s="34" t="n">
        <f aca="false">E768*H768+N(F768)+N(G768)</f>
        <v>1650</v>
      </c>
      <c r="J768" s="42" t="n">
        <f aca="false">ROUND(IFERROR(ROUND(IF(OR(ISNUMBER(SEARCH("week",C768)),ISNUMBER(SEARCH("minggu",C768))),IFERROR(_xlfn.NUMBERVALUE(SUBSTITUTE(LEFT(TRIM(C768),FIND(" ",TRIM(C768)&amp;" ")-1),",","."),"."),LEFT(SUBSTITUTE(LEFT(TRIM(C768),FIND(" ",TRIM(C768)&amp;" ")-1),",","."),FIND("/",SUBSTITUTE(LEFT(TRIM(C768),FIND(" ",TRIM(C768)&amp;" ")-1),",","."))-1)/MID(SUBSTITUTE(LEFT(TRIM(C768),FIND(" ",TRIM(C768)&amp;" ")-1),",","."),FIND("/",SUBSTITUTE(LEFT(TRIM(C768),FIND(" ",TRIM(C768)&amp;" ")-1),",","."))+1,9))*12/52,IF(ISNUMBER(SEARCH("month",C768)),IFERROR(_xlfn.NUMBERVALUE(SUBSTITUTE(LEFT(TRIM(C768),FIND(" ",TRIM(C768)&amp;" ")-1),",","."),"."),LEFT(SUBSTITUTE(LEFT(TRIM(C768),FIND(" ",TRIM(C768)&amp;" ")-1),",","."),FIND("/",SUBSTITUTE(LEFT(TRIM(C768),FIND(" ",TRIM(C768)&amp;" ")-1),",","."))-1)/MID(SUBSTITUTE(LEFT(TRIM(C768),FIND(" ",TRIM(C768)&amp;" ")-1),",","."),FIND("/",SUBSTITUTE(LEFT(TRIM(C768),FIND(" ",TRIM(C768)&amp;" ")-1),",","."))+1,9)),IF(ISNUMBER(SEARCH("yea",C768)),IFERROR(_xlfn.NUMBERVALUE(SUBSTITUTE(LEFT(TRIM(C768),FIND(" ",TRIM(C768)&amp;" ")-1),",","."),"."),LEFT(SUBSTITUTE(LEFT(TRIM(C768),FIND(" ",TRIM(C768)&amp;" ")-1),",","."),FIND("/",SUBSTITUTE(LEFT(TRIM(C768),FIND(" ",TRIM(C768)&amp;" ")-1),",","."))-1)/MID(SUBSTITUTE(LEFT(TRIM(C768),FIND(" ",TRIM(C768)&amp;" ")-1),",","."),FIND("/",SUBSTITUTE(LEFT(TRIM(C768),FIND(" ",TRIM(C768)&amp;" ")-1),",","."))+1,9))*12,NA()))),0),24)*'Aturan &amp; Tarif'!$B$4,2)</f>
        <v>1362.72</v>
      </c>
      <c r="K768" s="42" t="n">
        <f aca="false">'Aturan &amp; Tarif'!$B$5</f>
        <v>2050</v>
      </c>
      <c r="L768" s="35" t="n">
        <f aca="false">I768+J768+K768</f>
        <v>5062.72</v>
      </c>
      <c r="M768" s="45" t="s">
        <v>134</v>
      </c>
    </row>
    <row r="769" customFormat="false" ht="25.5" hidden="false" customHeight="true" outlineLevel="0" collapsed="false">
      <c r="A769" s="39"/>
      <c r="B769" s="40" t="s">
        <v>2560</v>
      </c>
      <c r="C769" s="41" t="s">
        <v>191</v>
      </c>
      <c r="D769" s="41" t="s">
        <v>108</v>
      </c>
      <c r="E769" s="42" t="n">
        <v>1350</v>
      </c>
      <c r="F769" s="42" t="n">
        <v>100</v>
      </c>
      <c r="G769" s="42" t="n">
        <v>200</v>
      </c>
      <c r="H769" s="43" t="n">
        <v>1</v>
      </c>
      <c r="I769" s="34" t="n">
        <f aca="false">E769*H769+N(F769)+N(G769)</f>
        <v>1650</v>
      </c>
      <c r="J769" s="42" t="n">
        <f aca="false">ROUND(IFERROR(ROUND(IF(OR(ISNUMBER(SEARCH("week",C769)),ISNUMBER(SEARCH("minggu",C769))),IFERROR(_xlfn.NUMBERVALUE(SUBSTITUTE(LEFT(TRIM(C769),FIND(" ",TRIM(C769)&amp;" ")-1),",","."),"."),LEFT(SUBSTITUTE(LEFT(TRIM(C769),FIND(" ",TRIM(C769)&amp;" ")-1),",","."),FIND("/",SUBSTITUTE(LEFT(TRIM(C769),FIND(" ",TRIM(C769)&amp;" ")-1),",","."))-1)/MID(SUBSTITUTE(LEFT(TRIM(C769),FIND(" ",TRIM(C769)&amp;" ")-1),",","."),FIND("/",SUBSTITUTE(LEFT(TRIM(C769),FIND(" ",TRIM(C769)&amp;" ")-1),",","."))+1,9))*12/52,IF(ISNUMBER(SEARCH("month",C769)),IFERROR(_xlfn.NUMBERVALUE(SUBSTITUTE(LEFT(TRIM(C769),FIND(" ",TRIM(C769)&amp;" ")-1),",","."),"."),LEFT(SUBSTITUTE(LEFT(TRIM(C769),FIND(" ",TRIM(C769)&amp;" ")-1),",","."),FIND("/",SUBSTITUTE(LEFT(TRIM(C769),FIND(" ",TRIM(C769)&amp;" ")-1),",","."))-1)/MID(SUBSTITUTE(LEFT(TRIM(C769),FIND(" ",TRIM(C769)&amp;" ")-1),",","."),FIND("/",SUBSTITUTE(LEFT(TRIM(C769),FIND(" ",TRIM(C769)&amp;" ")-1),",","."))+1,9)),IF(ISNUMBER(SEARCH("yea",C769)),IFERROR(_xlfn.NUMBERVALUE(SUBSTITUTE(LEFT(TRIM(C769),FIND(" ",TRIM(C769)&amp;" ")-1),",","."),"."),LEFT(SUBSTITUTE(LEFT(TRIM(C769),FIND(" ",TRIM(C769)&amp;" ")-1),",","."),FIND("/",SUBSTITUTE(LEFT(TRIM(C769),FIND(" ",TRIM(C769)&amp;" ")-1),",","."))-1)/MID(SUBSTITUTE(LEFT(TRIM(C769),FIND(" ",TRIM(C769)&amp;" ")-1),",","."),FIND("/",SUBSTITUTE(LEFT(TRIM(C769),FIND(" ",TRIM(C769)&amp;" ")-1),",","."))+1,9))*12,NA()))),0),48)*'Aturan &amp; Tarif'!$B$4,2)</f>
        <v>2725.44</v>
      </c>
      <c r="K769" s="42" t="n">
        <f aca="false">'Aturan &amp; Tarif'!$B$5</f>
        <v>2050</v>
      </c>
      <c r="L769" s="35" t="n">
        <f aca="false">I769+J769+K769</f>
        <v>6425.44</v>
      </c>
      <c r="M769" s="45" t="s">
        <v>134</v>
      </c>
    </row>
    <row r="770" customFormat="false" ht="25.5" hidden="false" customHeight="true" outlineLevel="0" collapsed="false">
      <c r="A770" s="39"/>
      <c r="B770" s="40" t="s">
        <v>496</v>
      </c>
      <c r="C770" s="41" t="s">
        <v>127</v>
      </c>
      <c r="D770" s="41" t="s">
        <v>108</v>
      </c>
      <c r="E770" s="42" t="n">
        <v>1350</v>
      </c>
      <c r="F770" s="42" t="n">
        <v>100</v>
      </c>
      <c r="G770" s="42" t="n">
        <v>200</v>
      </c>
      <c r="H770" s="43" t="n">
        <v>1</v>
      </c>
      <c r="I770" s="34" t="n">
        <f aca="false">E770*H770+N(F770)+N(G770)</f>
        <v>1650</v>
      </c>
      <c r="J770" s="42" t="n">
        <f aca="false">ROUND(IFERROR(ROUND(IF(OR(ISNUMBER(SEARCH("week",C770)),ISNUMBER(SEARCH("minggu",C770))),IFERROR(_xlfn.NUMBERVALUE(SUBSTITUTE(LEFT(TRIM(C770),FIND(" ",TRIM(C770)&amp;" ")-1),",","."),"."),LEFT(SUBSTITUTE(LEFT(TRIM(C770),FIND(" ",TRIM(C770)&amp;" ")-1),",","."),FIND("/",SUBSTITUTE(LEFT(TRIM(C770),FIND(" ",TRIM(C770)&amp;" ")-1),",","."))-1)/MID(SUBSTITUTE(LEFT(TRIM(C770),FIND(" ",TRIM(C770)&amp;" ")-1),",","."),FIND("/",SUBSTITUTE(LEFT(TRIM(C770),FIND(" ",TRIM(C770)&amp;" ")-1),",","."))+1,9))*12/52,IF(ISNUMBER(SEARCH("month",C770)),IFERROR(_xlfn.NUMBERVALUE(SUBSTITUTE(LEFT(TRIM(C770),FIND(" ",TRIM(C770)&amp;" ")-1),",","."),"."),LEFT(SUBSTITUTE(LEFT(TRIM(C770),FIND(" ",TRIM(C770)&amp;" ")-1),",","."),FIND("/",SUBSTITUTE(LEFT(TRIM(C770),FIND(" ",TRIM(C770)&amp;" ")-1),",","."))-1)/MID(SUBSTITUTE(LEFT(TRIM(C770),FIND(" ",TRIM(C770)&amp;" ")-1),",","."),FIND("/",SUBSTITUTE(LEFT(TRIM(C770),FIND(" ",TRIM(C770)&amp;" ")-1),",","."))+1,9)),IF(ISNUMBER(SEARCH("yea",C770)),IFERROR(_xlfn.NUMBERVALUE(SUBSTITUTE(LEFT(TRIM(C770),FIND(" ",TRIM(C770)&amp;" ")-1),",","."),"."),LEFT(SUBSTITUTE(LEFT(TRIM(C770),FIND(" ",TRIM(C770)&amp;" ")-1),",","."),FIND("/",SUBSTITUTE(LEFT(TRIM(C770),FIND(" ",TRIM(C770)&amp;" ")-1),",","."))-1)/MID(SUBSTITUTE(LEFT(TRIM(C770),FIND(" ",TRIM(C770)&amp;" ")-1),",","."),FIND("/",SUBSTITUTE(LEFT(TRIM(C770),FIND(" ",TRIM(C770)&amp;" ")-1),",","."))+1,9))*12,NA()))),0),36)*'Aturan &amp; Tarif'!$B$4,2)</f>
        <v>2044.08</v>
      </c>
      <c r="K770" s="42" t="n">
        <f aca="false">'Aturan &amp; Tarif'!$B$5</f>
        <v>2050</v>
      </c>
      <c r="L770" s="35" t="n">
        <f aca="false">I770+J770+K770</f>
        <v>5744.08</v>
      </c>
      <c r="M770" s="45" t="s">
        <v>134</v>
      </c>
    </row>
    <row r="771" customFormat="false" ht="25.5" hidden="false" customHeight="true" outlineLevel="0" collapsed="false">
      <c r="A771" s="39"/>
      <c r="B771" s="40" t="s">
        <v>2096</v>
      </c>
      <c r="C771" s="41" t="s">
        <v>245</v>
      </c>
      <c r="D771" s="41" t="s">
        <v>108</v>
      </c>
      <c r="E771" s="42" t="n">
        <v>1350</v>
      </c>
      <c r="F771" s="42" t="n">
        <v>100</v>
      </c>
      <c r="G771" s="42" t="n">
        <v>200</v>
      </c>
      <c r="H771" s="43" t="n">
        <v>1</v>
      </c>
      <c r="I771" s="34" t="n">
        <f aca="false">E771*H771+N(F771)+N(G771)</f>
        <v>1650</v>
      </c>
      <c r="J771" s="42" t="n">
        <f aca="false">ROUND(IFERROR(ROUND(IF(OR(ISNUMBER(SEARCH("week",C771)),ISNUMBER(SEARCH("minggu",C771))),IFERROR(_xlfn.NUMBERVALUE(SUBSTITUTE(LEFT(TRIM(C771),FIND(" ",TRIM(C771)&amp;" ")-1),",","."),"."),LEFT(SUBSTITUTE(LEFT(TRIM(C771),FIND(" ",TRIM(C771)&amp;" ")-1),",","."),FIND("/",SUBSTITUTE(LEFT(TRIM(C771),FIND(" ",TRIM(C771)&amp;" ")-1),",","."))-1)/MID(SUBSTITUTE(LEFT(TRIM(C771),FIND(" ",TRIM(C771)&amp;" ")-1),",","."),FIND("/",SUBSTITUTE(LEFT(TRIM(C771),FIND(" ",TRIM(C771)&amp;" ")-1),",","."))+1,9))*12/52,IF(ISNUMBER(SEARCH("month",C771)),IFERROR(_xlfn.NUMBERVALUE(SUBSTITUTE(LEFT(TRIM(C771),FIND(" ",TRIM(C771)&amp;" ")-1),",","."),"."),LEFT(SUBSTITUTE(LEFT(TRIM(C771),FIND(" ",TRIM(C771)&amp;" ")-1),",","."),FIND("/",SUBSTITUTE(LEFT(TRIM(C771),FIND(" ",TRIM(C771)&amp;" ")-1),",","."))-1)/MID(SUBSTITUTE(LEFT(TRIM(C771),FIND(" ",TRIM(C771)&amp;" ")-1),",","."),FIND("/",SUBSTITUTE(LEFT(TRIM(C771),FIND(" ",TRIM(C771)&amp;" ")-1),",","."))+1,9)),IF(ISNUMBER(SEARCH("yea",C771)),IFERROR(_xlfn.NUMBERVALUE(SUBSTITUTE(LEFT(TRIM(C771),FIND(" ",TRIM(C771)&amp;" ")-1),",","."),"."),LEFT(SUBSTITUTE(LEFT(TRIM(C771),FIND(" ",TRIM(C771)&amp;" ")-1),",","."),FIND("/",SUBSTITUTE(LEFT(TRIM(C771),FIND(" ",TRIM(C771)&amp;" ")-1),",","."))-1)/MID(SUBSTITUTE(LEFT(TRIM(C771),FIND(" ",TRIM(C771)&amp;" ")-1),",","."),FIND("/",SUBSTITUTE(LEFT(TRIM(C771),FIND(" ",TRIM(C771)&amp;" ")-1),",","."))+1,9))*12,NA()))),0),60)*'Aturan &amp; Tarif'!$B$4,2)</f>
        <v>3406.8</v>
      </c>
      <c r="K771" s="42" t="n">
        <f aca="false">'Aturan &amp; Tarif'!$B$5</f>
        <v>2050</v>
      </c>
      <c r="L771" s="35" t="n">
        <f aca="false">I771+J771+K771</f>
        <v>7106.8</v>
      </c>
      <c r="M771" s="45" t="s">
        <v>134</v>
      </c>
    </row>
    <row r="772" customFormat="false" ht="14.25" hidden="false" customHeight="true" outlineLevel="0" collapsed="false">
      <c r="A772" s="39"/>
      <c r="B772" s="40" t="s">
        <v>3079</v>
      </c>
      <c r="C772" s="41" t="s">
        <v>107</v>
      </c>
      <c r="D772" s="41" t="s">
        <v>108</v>
      </c>
      <c r="E772" s="42" t="n">
        <v>1400</v>
      </c>
      <c r="F772" s="42" t="n">
        <v>100</v>
      </c>
      <c r="G772" s="42" t="n">
        <v>200</v>
      </c>
      <c r="H772" s="43" t="n">
        <v>1</v>
      </c>
      <c r="I772" s="34" t="n">
        <f aca="false">E772*H772+N(F772)+N(G772)</f>
        <v>1700</v>
      </c>
      <c r="J772" s="42" t="n">
        <f aca="false">ROUND(IFERROR(ROUND(IF(OR(ISNUMBER(SEARCH("week",C772)),ISNUMBER(SEARCH("minggu",C772))),IFERROR(_xlfn.NUMBERVALUE(SUBSTITUTE(LEFT(TRIM(C772),FIND(" ",TRIM(C772)&amp;" ")-1),",","."),"."),LEFT(SUBSTITUTE(LEFT(TRIM(C772),FIND(" ",TRIM(C772)&amp;" ")-1),",","."),FIND("/",SUBSTITUTE(LEFT(TRIM(C772),FIND(" ",TRIM(C772)&amp;" ")-1),",","."))-1)/MID(SUBSTITUTE(LEFT(TRIM(C772),FIND(" ",TRIM(C772)&amp;" ")-1),",","."),FIND("/",SUBSTITUTE(LEFT(TRIM(C772),FIND(" ",TRIM(C772)&amp;" ")-1),",","."))+1,9))*12/52,IF(ISNUMBER(SEARCH("month",C772)),IFERROR(_xlfn.NUMBERVALUE(SUBSTITUTE(LEFT(TRIM(C772),FIND(" ",TRIM(C772)&amp;" ")-1),",","."),"."),LEFT(SUBSTITUTE(LEFT(TRIM(C772),FIND(" ",TRIM(C772)&amp;" ")-1),",","."),FIND("/",SUBSTITUTE(LEFT(TRIM(C772),FIND(" ",TRIM(C772)&amp;" ")-1),",","."))-1)/MID(SUBSTITUTE(LEFT(TRIM(C772),FIND(" ",TRIM(C772)&amp;" ")-1),",","."),FIND("/",SUBSTITUTE(LEFT(TRIM(C772),FIND(" ",TRIM(C772)&amp;" ")-1),",","."))+1,9)),IF(ISNUMBER(SEARCH("yea",C772)),IFERROR(_xlfn.NUMBERVALUE(SUBSTITUTE(LEFT(TRIM(C772),FIND(" ",TRIM(C772)&amp;" ")-1),",","."),"."),LEFT(SUBSTITUTE(LEFT(TRIM(C772),FIND(" ",TRIM(C772)&amp;" ")-1),",","."),FIND("/",SUBSTITUTE(LEFT(TRIM(C772),FIND(" ",TRIM(C772)&amp;" ")-1),",","."))-1)/MID(SUBSTITUTE(LEFT(TRIM(C772),FIND(" ",TRIM(C772)&amp;" ")-1),",","."),FIND("/",SUBSTITUTE(LEFT(TRIM(C772),FIND(" ",TRIM(C772)&amp;" ")-1),",","."))+1,9))*12,NA()))),0),24)*'Aturan &amp; Tarif'!$B$4,2)</f>
        <v>1362.72</v>
      </c>
      <c r="K772" s="42" t="n">
        <f aca="false">'Aturan &amp; Tarif'!$B$5</f>
        <v>2050</v>
      </c>
      <c r="L772" s="35" t="n">
        <f aca="false">I772+J772+K772</f>
        <v>5112.72</v>
      </c>
      <c r="M772" s="45" t="s">
        <v>134</v>
      </c>
    </row>
    <row r="773" customFormat="false" ht="14.25" hidden="false" customHeight="true" outlineLevel="0" collapsed="false">
      <c r="A773" s="39"/>
      <c r="B773" s="40" t="s">
        <v>3262</v>
      </c>
      <c r="C773" s="41" t="s">
        <v>107</v>
      </c>
      <c r="D773" s="41" t="s">
        <v>108</v>
      </c>
      <c r="E773" s="42" t="n">
        <v>1400</v>
      </c>
      <c r="F773" s="42" t="n">
        <v>100</v>
      </c>
      <c r="G773" s="42" t="n">
        <v>200</v>
      </c>
      <c r="H773" s="43" t="n">
        <v>1</v>
      </c>
      <c r="I773" s="34" t="n">
        <f aca="false">E773*H773+N(F773)+N(G773)</f>
        <v>1700</v>
      </c>
      <c r="J773" s="42" t="n">
        <f aca="false">ROUND(IFERROR(ROUND(IF(OR(ISNUMBER(SEARCH("week",C773)),ISNUMBER(SEARCH("minggu",C773))),IFERROR(_xlfn.NUMBERVALUE(SUBSTITUTE(LEFT(TRIM(C773),FIND(" ",TRIM(C773)&amp;" ")-1),",","."),"."),LEFT(SUBSTITUTE(LEFT(TRIM(C773),FIND(" ",TRIM(C773)&amp;" ")-1),",","."),FIND("/",SUBSTITUTE(LEFT(TRIM(C773),FIND(" ",TRIM(C773)&amp;" ")-1),",","."))-1)/MID(SUBSTITUTE(LEFT(TRIM(C773),FIND(" ",TRIM(C773)&amp;" ")-1),",","."),FIND("/",SUBSTITUTE(LEFT(TRIM(C773),FIND(" ",TRIM(C773)&amp;" ")-1),",","."))+1,9))*12/52,IF(ISNUMBER(SEARCH("month",C773)),IFERROR(_xlfn.NUMBERVALUE(SUBSTITUTE(LEFT(TRIM(C773),FIND(" ",TRIM(C773)&amp;" ")-1),",","."),"."),LEFT(SUBSTITUTE(LEFT(TRIM(C773),FIND(" ",TRIM(C773)&amp;" ")-1),",","."),FIND("/",SUBSTITUTE(LEFT(TRIM(C773),FIND(" ",TRIM(C773)&amp;" ")-1),",","."))-1)/MID(SUBSTITUTE(LEFT(TRIM(C773),FIND(" ",TRIM(C773)&amp;" ")-1),",","."),FIND("/",SUBSTITUTE(LEFT(TRIM(C773),FIND(" ",TRIM(C773)&amp;" ")-1),",","."))+1,9)),IF(ISNUMBER(SEARCH("yea",C773)),IFERROR(_xlfn.NUMBERVALUE(SUBSTITUTE(LEFT(TRIM(C773),FIND(" ",TRIM(C773)&amp;" ")-1),",","."),"."),LEFT(SUBSTITUTE(LEFT(TRIM(C773),FIND(" ",TRIM(C773)&amp;" ")-1),",","."),FIND("/",SUBSTITUTE(LEFT(TRIM(C773),FIND(" ",TRIM(C773)&amp;" ")-1),",","."))-1)/MID(SUBSTITUTE(LEFT(TRIM(C773),FIND(" ",TRIM(C773)&amp;" ")-1),",","."),FIND("/",SUBSTITUTE(LEFT(TRIM(C773),FIND(" ",TRIM(C773)&amp;" ")-1),",","."))+1,9))*12,NA()))),0),24)*'Aturan &amp; Tarif'!$B$4,2)</f>
        <v>1362.72</v>
      </c>
      <c r="K773" s="42" t="n">
        <f aca="false">'Aturan &amp; Tarif'!$B$5</f>
        <v>2050</v>
      </c>
      <c r="L773" s="35" t="n">
        <f aca="false">I773+J773+K773</f>
        <v>5112.72</v>
      </c>
      <c r="M773" s="45" t="s">
        <v>134</v>
      </c>
    </row>
    <row r="774" customFormat="false" ht="14.25" hidden="false" customHeight="true" outlineLevel="0" collapsed="false">
      <c r="A774" s="39"/>
      <c r="B774" s="40" t="s">
        <v>3263</v>
      </c>
      <c r="C774" s="41" t="s">
        <v>191</v>
      </c>
      <c r="D774" s="41" t="s">
        <v>108</v>
      </c>
      <c r="E774" s="42" t="n">
        <v>1400</v>
      </c>
      <c r="F774" s="42" t="n">
        <v>100</v>
      </c>
      <c r="G774" s="42" t="n">
        <v>200</v>
      </c>
      <c r="H774" s="43" t="n">
        <v>1</v>
      </c>
      <c r="I774" s="34" t="n">
        <f aca="false">E774*H774+N(F774)+N(G774)</f>
        <v>1700</v>
      </c>
      <c r="J774" s="42" t="n">
        <f aca="false">ROUND(IFERROR(ROUND(IF(OR(ISNUMBER(SEARCH("week",C774)),ISNUMBER(SEARCH("minggu",C774))),IFERROR(_xlfn.NUMBERVALUE(SUBSTITUTE(LEFT(TRIM(C774),FIND(" ",TRIM(C774)&amp;" ")-1),",","."),"."),LEFT(SUBSTITUTE(LEFT(TRIM(C774),FIND(" ",TRIM(C774)&amp;" ")-1),",","."),FIND("/",SUBSTITUTE(LEFT(TRIM(C774),FIND(" ",TRIM(C774)&amp;" ")-1),",","."))-1)/MID(SUBSTITUTE(LEFT(TRIM(C774),FIND(" ",TRIM(C774)&amp;" ")-1),",","."),FIND("/",SUBSTITUTE(LEFT(TRIM(C774),FIND(" ",TRIM(C774)&amp;" ")-1),",","."))+1,9))*12/52,IF(ISNUMBER(SEARCH("month",C774)),IFERROR(_xlfn.NUMBERVALUE(SUBSTITUTE(LEFT(TRIM(C774),FIND(" ",TRIM(C774)&amp;" ")-1),",","."),"."),LEFT(SUBSTITUTE(LEFT(TRIM(C774),FIND(" ",TRIM(C774)&amp;" ")-1),",","."),FIND("/",SUBSTITUTE(LEFT(TRIM(C774),FIND(" ",TRIM(C774)&amp;" ")-1),",","."))-1)/MID(SUBSTITUTE(LEFT(TRIM(C774),FIND(" ",TRIM(C774)&amp;" ")-1),",","."),FIND("/",SUBSTITUTE(LEFT(TRIM(C774),FIND(" ",TRIM(C774)&amp;" ")-1),",","."))+1,9)),IF(ISNUMBER(SEARCH("yea",C774)),IFERROR(_xlfn.NUMBERVALUE(SUBSTITUTE(LEFT(TRIM(C774),FIND(" ",TRIM(C774)&amp;" ")-1),",","."),"."),LEFT(SUBSTITUTE(LEFT(TRIM(C774),FIND(" ",TRIM(C774)&amp;" ")-1),",","."),FIND("/",SUBSTITUTE(LEFT(TRIM(C774),FIND(" ",TRIM(C774)&amp;" ")-1),",","."))-1)/MID(SUBSTITUTE(LEFT(TRIM(C774),FIND(" ",TRIM(C774)&amp;" ")-1),",","."),FIND("/",SUBSTITUTE(LEFT(TRIM(C774),FIND(" ",TRIM(C774)&amp;" ")-1),",","."))+1,9))*12,NA()))),0),48)*'Aturan &amp; Tarif'!$B$4,2)</f>
        <v>2725.44</v>
      </c>
      <c r="K774" s="42" t="n">
        <f aca="false">'Aturan &amp; Tarif'!$B$5</f>
        <v>2050</v>
      </c>
      <c r="L774" s="35" t="n">
        <f aca="false">I774+J774+K774</f>
        <v>6475.44</v>
      </c>
      <c r="M774" s="45" t="s">
        <v>134</v>
      </c>
    </row>
    <row r="775" customFormat="false" ht="60" hidden="false" customHeight="true" outlineLevel="0" collapsed="false">
      <c r="A775" s="39" t="s">
        <v>2349</v>
      </c>
      <c r="B775" s="40" t="s">
        <v>2350</v>
      </c>
      <c r="C775" s="41" t="s">
        <v>127</v>
      </c>
      <c r="D775" s="41" t="s">
        <v>737</v>
      </c>
      <c r="E775" s="42" t="n">
        <v>4778</v>
      </c>
      <c r="F775" s="42"/>
      <c r="G775" s="42" t="n">
        <v>250</v>
      </c>
      <c r="H775" s="43" t="n">
        <v>1</v>
      </c>
      <c r="I775" s="34" t="n">
        <f aca="false">E775*H775+N(F775)+N(G775)</f>
        <v>5028</v>
      </c>
      <c r="J775" s="42" t="n">
        <f aca="false">ROUND(IFERROR(ROUND(IF(OR(ISNUMBER(SEARCH("week",C775)),ISNUMBER(SEARCH("minggu",C775))),IFERROR(_xlfn.NUMBERVALUE(SUBSTITUTE(LEFT(TRIM(C775),FIND(" ",TRIM(C775)&amp;" ")-1),",","."),"."),LEFT(SUBSTITUTE(LEFT(TRIM(C775),FIND(" ",TRIM(C775)&amp;" ")-1),",","."),FIND("/",SUBSTITUTE(LEFT(TRIM(C775),FIND(" ",TRIM(C775)&amp;" ")-1),",","."))-1)/MID(SUBSTITUTE(LEFT(TRIM(C775),FIND(" ",TRIM(C775)&amp;" ")-1),",","."),FIND("/",SUBSTITUTE(LEFT(TRIM(C775),FIND(" ",TRIM(C775)&amp;" ")-1),",","."))+1,9))*12/52,IF(ISNUMBER(SEARCH("month",C775)),IFERROR(_xlfn.NUMBERVALUE(SUBSTITUTE(LEFT(TRIM(C775),FIND(" ",TRIM(C775)&amp;" ")-1),",","."),"."),LEFT(SUBSTITUTE(LEFT(TRIM(C775),FIND(" ",TRIM(C775)&amp;" ")-1),",","."),FIND("/",SUBSTITUTE(LEFT(TRIM(C775),FIND(" ",TRIM(C775)&amp;" ")-1),",","."))-1)/MID(SUBSTITUTE(LEFT(TRIM(C775),FIND(" ",TRIM(C775)&amp;" ")-1),",","."),FIND("/",SUBSTITUTE(LEFT(TRIM(C775),FIND(" ",TRIM(C775)&amp;" ")-1),",","."))+1,9)),IF(ISNUMBER(SEARCH("yea",C775)),IFERROR(_xlfn.NUMBERVALUE(SUBSTITUTE(LEFT(TRIM(C775),FIND(" ",TRIM(C775)&amp;" ")-1),",","."),"."),LEFT(SUBSTITUTE(LEFT(TRIM(C775),FIND(" ",TRIM(C775)&amp;" ")-1),",","."),FIND("/",SUBSTITUTE(LEFT(TRIM(C775),FIND(" ",TRIM(C775)&amp;" ")-1),",","."))-1)/MID(SUBSTITUTE(LEFT(TRIM(C775),FIND(" ",TRIM(C775)&amp;" ")-1),",","."),FIND("/",SUBSTITUTE(LEFT(TRIM(C775),FIND(" ",TRIM(C775)&amp;" ")-1),",","."))+1,9))*12,NA()))),0),36)*'Aturan &amp; Tarif'!$B$4,2)</f>
        <v>2044.08</v>
      </c>
      <c r="K775" s="42" t="n">
        <f aca="false">'Aturan &amp; Tarif'!$B$5</f>
        <v>2050</v>
      </c>
      <c r="L775" s="35" t="n">
        <f aca="false">I775+J775+K775</f>
        <v>9122.08</v>
      </c>
      <c r="M775" s="44" t="s">
        <v>3264</v>
      </c>
    </row>
    <row r="776" customFormat="false" ht="14.25" hidden="false" customHeight="true" outlineLevel="0" collapsed="false">
      <c r="A776" s="39"/>
      <c r="B776" s="40" t="s">
        <v>2352</v>
      </c>
      <c r="C776" s="41" t="s">
        <v>107</v>
      </c>
      <c r="D776" s="41" t="s">
        <v>737</v>
      </c>
      <c r="E776" s="42" t="n">
        <v>4778</v>
      </c>
      <c r="F776" s="42"/>
      <c r="G776" s="42" t="n">
        <v>250</v>
      </c>
      <c r="H776" s="43" t="n">
        <v>1</v>
      </c>
      <c r="I776" s="34" t="n">
        <f aca="false">E776*H776+N(F776)+N(G776)</f>
        <v>5028</v>
      </c>
      <c r="J776" s="42" t="n">
        <f aca="false">ROUND(IFERROR(ROUND(IF(OR(ISNUMBER(SEARCH("week",C776)),ISNUMBER(SEARCH("minggu",C776))),IFERROR(_xlfn.NUMBERVALUE(SUBSTITUTE(LEFT(TRIM(C776),FIND(" ",TRIM(C776)&amp;" ")-1),",","."),"."),LEFT(SUBSTITUTE(LEFT(TRIM(C776),FIND(" ",TRIM(C776)&amp;" ")-1),",","."),FIND("/",SUBSTITUTE(LEFT(TRIM(C776),FIND(" ",TRIM(C776)&amp;" ")-1),",","."))-1)/MID(SUBSTITUTE(LEFT(TRIM(C776),FIND(" ",TRIM(C776)&amp;" ")-1),",","."),FIND("/",SUBSTITUTE(LEFT(TRIM(C776),FIND(" ",TRIM(C776)&amp;" ")-1),",","."))+1,9))*12/52,IF(ISNUMBER(SEARCH("month",C776)),IFERROR(_xlfn.NUMBERVALUE(SUBSTITUTE(LEFT(TRIM(C776),FIND(" ",TRIM(C776)&amp;" ")-1),",","."),"."),LEFT(SUBSTITUTE(LEFT(TRIM(C776),FIND(" ",TRIM(C776)&amp;" ")-1),",","."),FIND("/",SUBSTITUTE(LEFT(TRIM(C776),FIND(" ",TRIM(C776)&amp;" ")-1),",","."))-1)/MID(SUBSTITUTE(LEFT(TRIM(C776),FIND(" ",TRIM(C776)&amp;" ")-1),",","."),FIND("/",SUBSTITUTE(LEFT(TRIM(C776),FIND(" ",TRIM(C776)&amp;" ")-1),",","."))+1,9)),IF(ISNUMBER(SEARCH("yea",C776)),IFERROR(_xlfn.NUMBERVALUE(SUBSTITUTE(LEFT(TRIM(C776),FIND(" ",TRIM(C776)&amp;" ")-1),",","."),"."),LEFT(SUBSTITUTE(LEFT(TRIM(C776),FIND(" ",TRIM(C776)&amp;" ")-1),",","."),FIND("/",SUBSTITUTE(LEFT(TRIM(C776),FIND(" ",TRIM(C776)&amp;" ")-1),",","."))-1)/MID(SUBSTITUTE(LEFT(TRIM(C776),FIND(" ",TRIM(C776)&amp;" ")-1),",","."),FIND("/",SUBSTITUTE(LEFT(TRIM(C776),FIND(" ",TRIM(C776)&amp;" ")-1),",","."))+1,9))*12,NA()))),0),24)*'Aturan &amp; Tarif'!$B$4,2)</f>
        <v>1362.72</v>
      </c>
      <c r="K776" s="42" t="n">
        <f aca="false">'Aturan &amp; Tarif'!$B$5</f>
        <v>2050</v>
      </c>
      <c r="L776" s="35" t="n">
        <f aca="false">I776+J776+K776</f>
        <v>8440.72</v>
      </c>
      <c r="M776" s="44" t="s">
        <v>3264</v>
      </c>
    </row>
    <row r="777" customFormat="false" ht="14.25" hidden="false" customHeight="true" outlineLevel="0" collapsed="false">
      <c r="A777" s="39"/>
      <c r="B777" s="40" t="s">
        <v>2353</v>
      </c>
      <c r="C777" s="41" t="s">
        <v>127</v>
      </c>
      <c r="D777" s="41" t="s">
        <v>737</v>
      </c>
      <c r="E777" s="42" t="n">
        <v>4778</v>
      </c>
      <c r="F777" s="42"/>
      <c r="G777" s="42" t="n">
        <v>250</v>
      </c>
      <c r="H777" s="43" t="n">
        <v>1</v>
      </c>
      <c r="I777" s="34" t="n">
        <f aca="false">E777*H777+N(F777)+N(G777)</f>
        <v>5028</v>
      </c>
      <c r="J777" s="42" t="n">
        <f aca="false">ROUND(IFERROR(ROUND(IF(OR(ISNUMBER(SEARCH("week",C777)),ISNUMBER(SEARCH("minggu",C777))),IFERROR(_xlfn.NUMBERVALUE(SUBSTITUTE(LEFT(TRIM(C777),FIND(" ",TRIM(C777)&amp;" ")-1),",","."),"."),LEFT(SUBSTITUTE(LEFT(TRIM(C777),FIND(" ",TRIM(C777)&amp;" ")-1),",","."),FIND("/",SUBSTITUTE(LEFT(TRIM(C777),FIND(" ",TRIM(C777)&amp;" ")-1),",","."))-1)/MID(SUBSTITUTE(LEFT(TRIM(C777),FIND(" ",TRIM(C777)&amp;" ")-1),",","."),FIND("/",SUBSTITUTE(LEFT(TRIM(C777),FIND(" ",TRIM(C777)&amp;" ")-1),",","."))+1,9))*12/52,IF(ISNUMBER(SEARCH("month",C777)),IFERROR(_xlfn.NUMBERVALUE(SUBSTITUTE(LEFT(TRIM(C777),FIND(" ",TRIM(C777)&amp;" ")-1),",","."),"."),LEFT(SUBSTITUTE(LEFT(TRIM(C777),FIND(" ",TRIM(C777)&amp;" ")-1),",","."),FIND("/",SUBSTITUTE(LEFT(TRIM(C777),FIND(" ",TRIM(C777)&amp;" ")-1),",","."))-1)/MID(SUBSTITUTE(LEFT(TRIM(C777),FIND(" ",TRIM(C777)&amp;" ")-1),",","."),FIND("/",SUBSTITUTE(LEFT(TRIM(C777),FIND(" ",TRIM(C777)&amp;" ")-1),",","."))+1,9)),IF(ISNUMBER(SEARCH("yea",C777)),IFERROR(_xlfn.NUMBERVALUE(SUBSTITUTE(LEFT(TRIM(C777),FIND(" ",TRIM(C777)&amp;" ")-1),",","."),"."),LEFT(SUBSTITUTE(LEFT(TRIM(C777),FIND(" ",TRIM(C777)&amp;" ")-1),",","."),FIND("/",SUBSTITUTE(LEFT(TRIM(C777),FIND(" ",TRIM(C777)&amp;" ")-1),",","."))-1)/MID(SUBSTITUTE(LEFT(TRIM(C777),FIND(" ",TRIM(C777)&amp;" ")-1),",","."),FIND("/",SUBSTITUTE(LEFT(TRIM(C777),FIND(" ",TRIM(C777)&amp;" ")-1),",","."))+1,9))*12,NA()))),0),36)*'Aturan &amp; Tarif'!$B$4,2)</f>
        <v>2044.08</v>
      </c>
      <c r="K777" s="42" t="n">
        <f aca="false">'Aturan &amp; Tarif'!$B$5</f>
        <v>2050</v>
      </c>
      <c r="L777" s="35" t="n">
        <f aca="false">I777+J777+K777</f>
        <v>9122.08</v>
      </c>
      <c r="M777" s="44" t="s">
        <v>3264</v>
      </c>
    </row>
    <row r="778" customFormat="false" ht="37.5" hidden="false" customHeight="true" outlineLevel="0" collapsed="false">
      <c r="A778" s="39" t="s">
        <v>2354</v>
      </c>
      <c r="B778" s="40" t="s">
        <v>842</v>
      </c>
      <c r="C778" s="41" t="s">
        <v>107</v>
      </c>
      <c r="D778" s="41" t="s">
        <v>108</v>
      </c>
      <c r="E778" s="42" t="n">
        <v>2200</v>
      </c>
      <c r="F778" s="42" t="n">
        <v>1200</v>
      </c>
      <c r="G778" s="42" t="n">
        <v>250</v>
      </c>
      <c r="H778" s="43" t="n">
        <v>1</v>
      </c>
      <c r="I778" s="34" t="n">
        <f aca="false">E778*H778+N(F778)+N(G778)</f>
        <v>3650</v>
      </c>
      <c r="J778" s="42" t="n">
        <f aca="false">ROUND(IFERROR(ROUND(IF(OR(ISNUMBER(SEARCH("week",C778)),ISNUMBER(SEARCH("minggu",C778))),IFERROR(_xlfn.NUMBERVALUE(SUBSTITUTE(LEFT(TRIM(C778),FIND(" ",TRIM(C778)&amp;" ")-1),",","."),"."),LEFT(SUBSTITUTE(LEFT(TRIM(C778),FIND(" ",TRIM(C778)&amp;" ")-1),",","."),FIND("/",SUBSTITUTE(LEFT(TRIM(C778),FIND(" ",TRIM(C778)&amp;" ")-1),",","."))-1)/MID(SUBSTITUTE(LEFT(TRIM(C778),FIND(" ",TRIM(C778)&amp;" ")-1),",","."),FIND("/",SUBSTITUTE(LEFT(TRIM(C778),FIND(" ",TRIM(C778)&amp;" ")-1),",","."))+1,9))*12/52,IF(ISNUMBER(SEARCH("month",C778)),IFERROR(_xlfn.NUMBERVALUE(SUBSTITUTE(LEFT(TRIM(C778),FIND(" ",TRIM(C778)&amp;" ")-1),",","."),"."),LEFT(SUBSTITUTE(LEFT(TRIM(C778),FIND(" ",TRIM(C778)&amp;" ")-1),",","."),FIND("/",SUBSTITUTE(LEFT(TRIM(C778),FIND(" ",TRIM(C778)&amp;" ")-1),",","."))-1)/MID(SUBSTITUTE(LEFT(TRIM(C778),FIND(" ",TRIM(C778)&amp;" ")-1),",","."),FIND("/",SUBSTITUTE(LEFT(TRIM(C778),FIND(" ",TRIM(C778)&amp;" ")-1),",","."))+1,9)),IF(ISNUMBER(SEARCH("yea",C778)),IFERROR(_xlfn.NUMBERVALUE(SUBSTITUTE(LEFT(TRIM(C778),FIND(" ",TRIM(C778)&amp;" ")-1),",","."),"."),LEFT(SUBSTITUTE(LEFT(TRIM(C778),FIND(" ",TRIM(C778)&amp;" ")-1),",","."),FIND("/",SUBSTITUTE(LEFT(TRIM(C778),FIND(" ",TRIM(C778)&amp;" ")-1),",","."))-1)/MID(SUBSTITUTE(LEFT(TRIM(C778),FIND(" ",TRIM(C778)&amp;" ")-1),",","."),FIND("/",SUBSTITUTE(LEFT(TRIM(C778),FIND(" ",TRIM(C778)&amp;" ")-1),",","."))+1,9))*12,NA()))),0),24)*'Aturan &amp; Tarif'!$B$4,2)</f>
        <v>1362.72</v>
      </c>
      <c r="K778" s="42" t="n">
        <f aca="false">'Aturan &amp; Tarif'!$B$5</f>
        <v>2050</v>
      </c>
      <c r="L778" s="35" t="n">
        <f aca="false">I778+J778+K778</f>
        <v>7062.72</v>
      </c>
      <c r="M778" s="45" t="s">
        <v>134</v>
      </c>
    </row>
    <row r="779" customFormat="false" ht="14.25" hidden="false" customHeight="true" outlineLevel="0" collapsed="false">
      <c r="A779" s="39"/>
      <c r="B779" s="40" t="s">
        <v>126</v>
      </c>
      <c r="C779" s="41" t="s">
        <v>138</v>
      </c>
      <c r="D779" s="41" t="s">
        <v>108</v>
      </c>
      <c r="E779" s="42" t="n">
        <v>2200</v>
      </c>
      <c r="F779" s="42" t="n">
        <v>1800</v>
      </c>
      <c r="G779" s="42" t="n">
        <v>250</v>
      </c>
      <c r="H779" s="43" t="n">
        <v>1</v>
      </c>
      <c r="I779" s="34" t="n">
        <f aca="false">E779*H779+N(F779)+N(G779)</f>
        <v>4250</v>
      </c>
      <c r="J779" s="42" t="n">
        <f aca="false">ROUND(IFERROR(ROUND(IF(OR(ISNUMBER(SEARCH("week",C779)),ISNUMBER(SEARCH("minggu",C779))),IFERROR(_xlfn.NUMBERVALUE(SUBSTITUTE(LEFT(TRIM(C779),FIND(" ",TRIM(C779)&amp;" ")-1),",","."),"."),LEFT(SUBSTITUTE(LEFT(TRIM(C779),FIND(" ",TRIM(C779)&amp;" ")-1),",","."),FIND("/",SUBSTITUTE(LEFT(TRIM(C779),FIND(" ",TRIM(C779)&amp;" ")-1),",","."))-1)/MID(SUBSTITUTE(LEFT(TRIM(C779),FIND(" ",TRIM(C779)&amp;" ")-1),",","."),FIND("/",SUBSTITUTE(LEFT(TRIM(C779),FIND(" ",TRIM(C779)&amp;" ")-1),",","."))+1,9))*12/52,IF(ISNUMBER(SEARCH("month",C779)),IFERROR(_xlfn.NUMBERVALUE(SUBSTITUTE(LEFT(TRIM(C779),FIND(" ",TRIM(C779)&amp;" ")-1),",","."),"."),LEFT(SUBSTITUTE(LEFT(TRIM(C779),FIND(" ",TRIM(C779)&amp;" ")-1),",","."),FIND("/",SUBSTITUTE(LEFT(TRIM(C779),FIND(" ",TRIM(C779)&amp;" ")-1),",","."))-1)/MID(SUBSTITUTE(LEFT(TRIM(C779),FIND(" ",TRIM(C779)&amp;" ")-1),",","."),FIND("/",SUBSTITUTE(LEFT(TRIM(C779),FIND(" ",TRIM(C779)&amp;" ")-1),",","."))+1,9)),IF(ISNUMBER(SEARCH("yea",C779)),IFERROR(_xlfn.NUMBERVALUE(SUBSTITUTE(LEFT(TRIM(C779),FIND(" ",TRIM(C779)&amp;" ")-1),",","."),"."),LEFT(SUBSTITUTE(LEFT(TRIM(C779),FIND(" ",TRIM(C779)&amp;" ")-1),",","."),FIND("/",SUBSTITUTE(LEFT(TRIM(C779),FIND(" ",TRIM(C779)&amp;" ")-1),",","."))-1)/MID(SUBSTITUTE(LEFT(TRIM(C779),FIND(" ",TRIM(C779)&amp;" ")-1),",","."),FIND("/",SUBSTITUTE(LEFT(TRIM(C779),FIND(" ",TRIM(C779)&amp;" ")-1),",","."))+1,9))*12,NA()))),0),30)*'Aturan &amp; Tarif'!$B$4,2)</f>
        <v>1703.4</v>
      </c>
      <c r="K779" s="42" t="n">
        <f aca="false">'Aturan &amp; Tarif'!$B$5</f>
        <v>2050</v>
      </c>
      <c r="L779" s="35" t="n">
        <f aca="false">I779+J779+K779</f>
        <v>8003.4</v>
      </c>
      <c r="M779" s="45" t="s">
        <v>134</v>
      </c>
    </row>
    <row r="780" customFormat="false" ht="25.5" hidden="false" customHeight="true" outlineLevel="0" collapsed="false">
      <c r="A780" s="39"/>
      <c r="B780" s="40" t="s">
        <v>843</v>
      </c>
      <c r="C780" s="41" t="s">
        <v>138</v>
      </c>
      <c r="D780" s="41" t="s">
        <v>108</v>
      </c>
      <c r="E780" s="42" t="n">
        <v>2260</v>
      </c>
      <c r="F780" s="42" t="n">
        <v>2200</v>
      </c>
      <c r="G780" s="42" t="n">
        <v>250</v>
      </c>
      <c r="H780" s="43" t="n">
        <v>1</v>
      </c>
      <c r="I780" s="34" t="n">
        <f aca="false">E780*H780+N(F780)+N(G780)</f>
        <v>4710</v>
      </c>
      <c r="J780" s="42" t="n">
        <f aca="false">ROUND(IFERROR(ROUND(IF(OR(ISNUMBER(SEARCH("week",C780)),ISNUMBER(SEARCH("minggu",C780))),IFERROR(_xlfn.NUMBERVALUE(SUBSTITUTE(LEFT(TRIM(C780),FIND(" ",TRIM(C780)&amp;" ")-1),",","."),"."),LEFT(SUBSTITUTE(LEFT(TRIM(C780),FIND(" ",TRIM(C780)&amp;" ")-1),",","."),FIND("/",SUBSTITUTE(LEFT(TRIM(C780),FIND(" ",TRIM(C780)&amp;" ")-1),",","."))-1)/MID(SUBSTITUTE(LEFT(TRIM(C780),FIND(" ",TRIM(C780)&amp;" ")-1),",","."),FIND("/",SUBSTITUTE(LEFT(TRIM(C780),FIND(" ",TRIM(C780)&amp;" ")-1),",","."))+1,9))*12/52,IF(ISNUMBER(SEARCH("month",C780)),IFERROR(_xlfn.NUMBERVALUE(SUBSTITUTE(LEFT(TRIM(C780),FIND(" ",TRIM(C780)&amp;" ")-1),",","."),"."),LEFT(SUBSTITUTE(LEFT(TRIM(C780),FIND(" ",TRIM(C780)&amp;" ")-1),",","."),FIND("/",SUBSTITUTE(LEFT(TRIM(C780),FIND(" ",TRIM(C780)&amp;" ")-1),",","."))-1)/MID(SUBSTITUTE(LEFT(TRIM(C780),FIND(" ",TRIM(C780)&amp;" ")-1),",","."),FIND("/",SUBSTITUTE(LEFT(TRIM(C780),FIND(" ",TRIM(C780)&amp;" ")-1),",","."))+1,9)),IF(ISNUMBER(SEARCH("yea",C780)),IFERROR(_xlfn.NUMBERVALUE(SUBSTITUTE(LEFT(TRIM(C780),FIND(" ",TRIM(C780)&amp;" ")-1),",","."),"."),LEFT(SUBSTITUTE(LEFT(TRIM(C780),FIND(" ",TRIM(C780)&amp;" ")-1),",","."),FIND("/",SUBSTITUTE(LEFT(TRIM(C780),FIND(" ",TRIM(C780)&amp;" ")-1),",","."))-1)/MID(SUBSTITUTE(LEFT(TRIM(C780),FIND(" ",TRIM(C780)&amp;" ")-1),",","."),FIND("/",SUBSTITUTE(LEFT(TRIM(C780),FIND(" ",TRIM(C780)&amp;" ")-1),",","."))+1,9))*12,NA()))),0),30)*'Aturan &amp; Tarif'!$B$4,2)</f>
        <v>1703.4</v>
      </c>
      <c r="K780" s="42" t="n">
        <f aca="false">'Aturan &amp; Tarif'!$B$5</f>
        <v>2050</v>
      </c>
      <c r="L780" s="35" t="n">
        <f aca="false">I780+J780+K780</f>
        <v>8463.4</v>
      </c>
      <c r="M780" s="45" t="s">
        <v>134</v>
      </c>
    </row>
    <row r="781" customFormat="false" ht="14.25" hidden="false" customHeight="true" outlineLevel="0" collapsed="false">
      <c r="A781" s="39"/>
      <c r="B781" s="40" t="s">
        <v>2355</v>
      </c>
      <c r="C781" s="41" t="s">
        <v>107</v>
      </c>
      <c r="D781" s="41" t="s">
        <v>108</v>
      </c>
      <c r="E781" s="42" t="n">
        <v>1815</v>
      </c>
      <c r="F781" s="42" t="n">
        <v>1000</v>
      </c>
      <c r="G781" s="42" t="n">
        <v>250</v>
      </c>
      <c r="H781" s="43" t="n">
        <v>1</v>
      </c>
      <c r="I781" s="34" t="n">
        <f aca="false">E781*H781+N(F781)+N(G781)</f>
        <v>3065</v>
      </c>
      <c r="J781" s="42" t="n">
        <f aca="false">ROUND(IFERROR(ROUND(IF(OR(ISNUMBER(SEARCH("week",C781)),ISNUMBER(SEARCH("minggu",C781))),IFERROR(_xlfn.NUMBERVALUE(SUBSTITUTE(LEFT(TRIM(C781),FIND(" ",TRIM(C781)&amp;" ")-1),",","."),"."),LEFT(SUBSTITUTE(LEFT(TRIM(C781),FIND(" ",TRIM(C781)&amp;" ")-1),",","."),FIND("/",SUBSTITUTE(LEFT(TRIM(C781),FIND(" ",TRIM(C781)&amp;" ")-1),",","."))-1)/MID(SUBSTITUTE(LEFT(TRIM(C781),FIND(" ",TRIM(C781)&amp;" ")-1),",","."),FIND("/",SUBSTITUTE(LEFT(TRIM(C781),FIND(" ",TRIM(C781)&amp;" ")-1),",","."))+1,9))*12/52,IF(ISNUMBER(SEARCH("month",C781)),IFERROR(_xlfn.NUMBERVALUE(SUBSTITUTE(LEFT(TRIM(C781),FIND(" ",TRIM(C781)&amp;" ")-1),",","."),"."),LEFT(SUBSTITUTE(LEFT(TRIM(C781),FIND(" ",TRIM(C781)&amp;" ")-1),",","."),FIND("/",SUBSTITUTE(LEFT(TRIM(C781),FIND(" ",TRIM(C781)&amp;" ")-1),",","."))-1)/MID(SUBSTITUTE(LEFT(TRIM(C781),FIND(" ",TRIM(C781)&amp;" ")-1),",","."),FIND("/",SUBSTITUTE(LEFT(TRIM(C781),FIND(" ",TRIM(C781)&amp;" ")-1),",","."))+1,9)),IF(ISNUMBER(SEARCH("yea",C781)),IFERROR(_xlfn.NUMBERVALUE(SUBSTITUTE(LEFT(TRIM(C781),FIND(" ",TRIM(C781)&amp;" ")-1),",","."),"."),LEFT(SUBSTITUTE(LEFT(TRIM(C781),FIND(" ",TRIM(C781)&amp;" ")-1),",","."),FIND("/",SUBSTITUTE(LEFT(TRIM(C781),FIND(" ",TRIM(C781)&amp;" ")-1),",","."))-1)/MID(SUBSTITUTE(LEFT(TRIM(C781),FIND(" ",TRIM(C781)&amp;" ")-1),",","."),FIND("/",SUBSTITUTE(LEFT(TRIM(C781),FIND(" ",TRIM(C781)&amp;" ")-1),",","."))+1,9))*12,NA()))),0),24)*'Aturan &amp; Tarif'!$B$4,2)</f>
        <v>1362.72</v>
      </c>
      <c r="K781" s="42" t="n">
        <f aca="false">'Aturan &amp; Tarif'!$B$5</f>
        <v>2050</v>
      </c>
      <c r="L781" s="35" t="n">
        <f aca="false">I781+J781+K781</f>
        <v>6477.72</v>
      </c>
      <c r="M781" s="45" t="s">
        <v>134</v>
      </c>
    </row>
    <row r="782" customFormat="false" ht="25.5" hidden="false" customHeight="true" outlineLevel="0" collapsed="false">
      <c r="A782" s="39"/>
      <c r="B782" s="40" t="s">
        <v>1025</v>
      </c>
      <c r="C782" s="41" t="s">
        <v>107</v>
      </c>
      <c r="D782" s="41" t="s">
        <v>108</v>
      </c>
      <c r="E782" s="42" t="n">
        <v>2200</v>
      </c>
      <c r="F782" s="42" t="n">
        <v>500</v>
      </c>
      <c r="G782" s="42" t="n">
        <v>250</v>
      </c>
      <c r="H782" s="43" t="n">
        <v>1</v>
      </c>
      <c r="I782" s="34" t="n">
        <f aca="false">E782*H782+N(F782)+N(G782)</f>
        <v>2950</v>
      </c>
      <c r="J782" s="42" t="n">
        <f aca="false">ROUND(IFERROR(ROUND(IF(OR(ISNUMBER(SEARCH("week",C782)),ISNUMBER(SEARCH("minggu",C782))),IFERROR(_xlfn.NUMBERVALUE(SUBSTITUTE(LEFT(TRIM(C782),FIND(" ",TRIM(C782)&amp;" ")-1),",","."),"."),LEFT(SUBSTITUTE(LEFT(TRIM(C782),FIND(" ",TRIM(C782)&amp;" ")-1),",","."),FIND("/",SUBSTITUTE(LEFT(TRIM(C782),FIND(" ",TRIM(C782)&amp;" ")-1),",","."))-1)/MID(SUBSTITUTE(LEFT(TRIM(C782),FIND(" ",TRIM(C782)&amp;" ")-1),",","."),FIND("/",SUBSTITUTE(LEFT(TRIM(C782),FIND(" ",TRIM(C782)&amp;" ")-1),",","."))+1,9))*12/52,IF(ISNUMBER(SEARCH("month",C782)),IFERROR(_xlfn.NUMBERVALUE(SUBSTITUTE(LEFT(TRIM(C782),FIND(" ",TRIM(C782)&amp;" ")-1),",","."),"."),LEFT(SUBSTITUTE(LEFT(TRIM(C782),FIND(" ",TRIM(C782)&amp;" ")-1),",","."),FIND("/",SUBSTITUTE(LEFT(TRIM(C782),FIND(" ",TRIM(C782)&amp;" ")-1),",","."))-1)/MID(SUBSTITUTE(LEFT(TRIM(C782),FIND(" ",TRIM(C782)&amp;" ")-1),",","."),FIND("/",SUBSTITUTE(LEFT(TRIM(C782),FIND(" ",TRIM(C782)&amp;" ")-1),",","."))+1,9)),IF(ISNUMBER(SEARCH("yea",C782)),IFERROR(_xlfn.NUMBERVALUE(SUBSTITUTE(LEFT(TRIM(C782),FIND(" ",TRIM(C782)&amp;" ")-1),",","."),"."),LEFT(SUBSTITUTE(LEFT(TRIM(C782),FIND(" ",TRIM(C782)&amp;" ")-1),",","."),FIND("/",SUBSTITUTE(LEFT(TRIM(C782),FIND(" ",TRIM(C782)&amp;" ")-1),",","."))-1)/MID(SUBSTITUTE(LEFT(TRIM(C782),FIND(" ",TRIM(C782)&amp;" ")-1),",","."),FIND("/",SUBSTITUTE(LEFT(TRIM(C782),FIND(" ",TRIM(C782)&amp;" ")-1),",","."))+1,9))*12,NA()))),0),24)*'Aturan &amp; Tarif'!$B$4,2)</f>
        <v>1362.72</v>
      </c>
      <c r="K782" s="42" t="n">
        <f aca="false">'Aturan &amp; Tarif'!$B$5</f>
        <v>2050</v>
      </c>
      <c r="L782" s="35" t="n">
        <f aca="false">I782+J782+K782</f>
        <v>6362.72</v>
      </c>
      <c r="M782" s="45" t="s">
        <v>134</v>
      </c>
    </row>
    <row r="783" customFormat="false" ht="25.5" hidden="false" customHeight="true" outlineLevel="0" collapsed="false">
      <c r="A783" s="39"/>
      <c r="B783" s="40" t="s">
        <v>430</v>
      </c>
      <c r="C783" s="41" t="s">
        <v>107</v>
      </c>
      <c r="D783" s="41" t="s">
        <v>108</v>
      </c>
      <c r="E783" s="42" t="n">
        <v>2200</v>
      </c>
      <c r="F783" s="42" t="n">
        <v>500</v>
      </c>
      <c r="G783" s="42" t="n">
        <v>250</v>
      </c>
      <c r="H783" s="43" t="n">
        <v>1</v>
      </c>
      <c r="I783" s="34" t="n">
        <f aca="false">E783*H783+N(F783)+N(G783)</f>
        <v>2950</v>
      </c>
      <c r="J783" s="42" t="n">
        <f aca="false">ROUND(IFERROR(ROUND(IF(OR(ISNUMBER(SEARCH("week",C783)),ISNUMBER(SEARCH("minggu",C783))),IFERROR(_xlfn.NUMBERVALUE(SUBSTITUTE(LEFT(TRIM(C783),FIND(" ",TRIM(C783)&amp;" ")-1),",","."),"."),LEFT(SUBSTITUTE(LEFT(TRIM(C783),FIND(" ",TRIM(C783)&amp;" ")-1),",","."),FIND("/",SUBSTITUTE(LEFT(TRIM(C783),FIND(" ",TRIM(C783)&amp;" ")-1),",","."))-1)/MID(SUBSTITUTE(LEFT(TRIM(C783),FIND(" ",TRIM(C783)&amp;" ")-1),",","."),FIND("/",SUBSTITUTE(LEFT(TRIM(C783),FIND(" ",TRIM(C783)&amp;" ")-1),",","."))+1,9))*12/52,IF(ISNUMBER(SEARCH("month",C783)),IFERROR(_xlfn.NUMBERVALUE(SUBSTITUTE(LEFT(TRIM(C783),FIND(" ",TRIM(C783)&amp;" ")-1),",","."),"."),LEFT(SUBSTITUTE(LEFT(TRIM(C783),FIND(" ",TRIM(C783)&amp;" ")-1),",","."),FIND("/",SUBSTITUTE(LEFT(TRIM(C783),FIND(" ",TRIM(C783)&amp;" ")-1),",","."))-1)/MID(SUBSTITUTE(LEFT(TRIM(C783),FIND(" ",TRIM(C783)&amp;" ")-1),",","."),FIND("/",SUBSTITUTE(LEFT(TRIM(C783),FIND(" ",TRIM(C783)&amp;" ")-1),",","."))+1,9)),IF(ISNUMBER(SEARCH("yea",C783)),IFERROR(_xlfn.NUMBERVALUE(SUBSTITUTE(LEFT(TRIM(C783),FIND(" ",TRIM(C783)&amp;" ")-1),",","."),"."),LEFT(SUBSTITUTE(LEFT(TRIM(C783),FIND(" ",TRIM(C783)&amp;" ")-1),",","."),FIND("/",SUBSTITUTE(LEFT(TRIM(C783),FIND(" ",TRIM(C783)&amp;" ")-1),",","."))-1)/MID(SUBSTITUTE(LEFT(TRIM(C783),FIND(" ",TRIM(C783)&amp;" ")-1),",","."),FIND("/",SUBSTITUTE(LEFT(TRIM(C783),FIND(" ",TRIM(C783)&amp;" ")-1),",","."))+1,9))*12,NA()))),0),24)*'Aturan &amp; Tarif'!$B$4,2)</f>
        <v>1362.72</v>
      </c>
      <c r="K783" s="42" t="n">
        <f aca="false">'Aturan &amp; Tarif'!$B$5</f>
        <v>2050</v>
      </c>
      <c r="L783" s="35" t="n">
        <f aca="false">I783+J783+K783</f>
        <v>6362.72</v>
      </c>
      <c r="M783" s="45" t="s">
        <v>134</v>
      </c>
    </row>
    <row r="784" customFormat="false" ht="37.5" hidden="false" customHeight="true" outlineLevel="0" collapsed="false">
      <c r="A784" s="39"/>
      <c r="B784" s="40" t="s">
        <v>2356</v>
      </c>
      <c r="C784" s="41" t="s">
        <v>138</v>
      </c>
      <c r="D784" s="41" t="s">
        <v>108</v>
      </c>
      <c r="E784" s="42" t="n">
        <v>2260</v>
      </c>
      <c r="F784" s="42" t="n">
        <v>1200</v>
      </c>
      <c r="G784" s="42" t="n">
        <v>250</v>
      </c>
      <c r="H784" s="43" t="n">
        <v>1</v>
      </c>
      <c r="I784" s="34" t="n">
        <f aca="false">E784*H784+N(F784)+N(G784)</f>
        <v>3710</v>
      </c>
      <c r="J784" s="42" t="n">
        <f aca="false">ROUND(IFERROR(ROUND(IF(OR(ISNUMBER(SEARCH("week",C784)),ISNUMBER(SEARCH("minggu",C784))),IFERROR(_xlfn.NUMBERVALUE(SUBSTITUTE(LEFT(TRIM(C784),FIND(" ",TRIM(C784)&amp;" ")-1),",","."),"."),LEFT(SUBSTITUTE(LEFT(TRIM(C784),FIND(" ",TRIM(C784)&amp;" ")-1),",","."),FIND("/",SUBSTITUTE(LEFT(TRIM(C784),FIND(" ",TRIM(C784)&amp;" ")-1),",","."))-1)/MID(SUBSTITUTE(LEFT(TRIM(C784),FIND(" ",TRIM(C784)&amp;" ")-1),",","."),FIND("/",SUBSTITUTE(LEFT(TRIM(C784),FIND(" ",TRIM(C784)&amp;" ")-1),",","."))+1,9))*12/52,IF(ISNUMBER(SEARCH("month",C784)),IFERROR(_xlfn.NUMBERVALUE(SUBSTITUTE(LEFT(TRIM(C784),FIND(" ",TRIM(C784)&amp;" ")-1),",","."),"."),LEFT(SUBSTITUTE(LEFT(TRIM(C784),FIND(" ",TRIM(C784)&amp;" ")-1),",","."),FIND("/",SUBSTITUTE(LEFT(TRIM(C784),FIND(" ",TRIM(C784)&amp;" ")-1),",","."))-1)/MID(SUBSTITUTE(LEFT(TRIM(C784),FIND(" ",TRIM(C784)&amp;" ")-1),",","."),FIND("/",SUBSTITUTE(LEFT(TRIM(C784),FIND(" ",TRIM(C784)&amp;" ")-1),",","."))+1,9)),IF(ISNUMBER(SEARCH("yea",C784)),IFERROR(_xlfn.NUMBERVALUE(SUBSTITUTE(LEFT(TRIM(C784),FIND(" ",TRIM(C784)&amp;" ")-1),",","."),"."),LEFT(SUBSTITUTE(LEFT(TRIM(C784),FIND(" ",TRIM(C784)&amp;" ")-1),",","."),FIND("/",SUBSTITUTE(LEFT(TRIM(C784),FIND(" ",TRIM(C784)&amp;" ")-1),",","."))-1)/MID(SUBSTITUTE(LEFT(TRIM(C784),FIND(" ",TRIM(C784)&amp;" ")-1),",","."),FIND("/",SUBSTITUTE(LEFT(TRIM(C784),FIND(" ",TRIM(C784)&amp;" ")-1),",","."))+1,9))*12,NA()))),0),30)*'Aturan &amp; Tarif'!$B$4,2)</f>
        <v>1703.4</v>
      </c>
      <c r="K784" s="42" t="n">
        <f aca="false">'Aturan &amp; Tarif'!$B$5</f>
        <v>2050</v>
      </c>
      <c r="L784" s="35" t="n">
        <f aca="false">I784+J784+K784</f>
        <v>7463.4</v>
      </c>
      <c r="M784" s="45" t="s">
        <v>134</v>
      </c>
    </row>
    <row r="785" customFormat="false" ht="37.5" hidden="false" customHeight="true" outlineLevel="0" collapsed="false">
      <c r="A785" s="39"/>
      <c r="B785" s="40" t="s">
        <v>1596</v>
      </c>
      <c r="C785" s="41" t="s">
        <v>107</v>
      </c>
      <c r="D785" s="41" t="s">
        <v>108</v>
      </c>
      <c r="E785" s="42" t="n">
        <v>1750</v>
      </c>
      <c r="F785" s="42" t="n">
        <v>300</v>
      </c>
      <c r="G785" s="42" t="n">
        <v>250</v>
      </c>
      <c r="H785" s="43" t="n">
        <v>1</v>
      </c>
      <c r="I785" s="34" t="n">
        <f aca="false">E785*H785+N(F785)+N(G785)</f>
        <v>2300</v>
      </c>
      <c r="J785" s="42" t="n">
        <f aca="false">ROUND(IFERROR(ROUND(IF(OR(ISNUMBER(SEARCH("week",C785)),ISNUMBER(SEARCH("minggu",C785))),IFERROR(_xlfn.NUMBERVALUE(SUBSTITUTE(LEFT(TRIM(C785),FIND(" ",TRIM(C785)&amp;" ")-1),",","."),"."),LEFT(SUBSTITUTE(LEFT(TRIM(C785),FIND(" ",TRIM(C785)&amp;" ")-1),",","."),FIND("/",SUBSTITUTE(LEFT(TRIM(C785),FIND(" ",TRIM(C785)&amp;" ")-1),",","."))-1)/MID(SUBSTITUTE(LEFT(TRIM(C785),FIND(" ",TRIM(C785)&amp;" ")-1),",","."),FIND("/",SUBSTITUTE(LEFT(TRIM(C785),FIND(" ",TRIM(C785)&amp;" ")-1),",","."))+1,9))*12/52,IF(ISNUMBER(SEARCH("month",C785)),IFERROR(_xlfn.NUMBERVALUE(SUBSTITUTE(LEFT(TRIM(C785),FIND(" ",TRIM(C785)&amp;" ")-1),",","."),"."),LEFT(SUBSTITUTE(LEFT(TRIM(C785),FIND(" ",TRIM(C785)&amp;" ")-1),",","."),FIND("/",SUBSTITUTE(LEFT(TRIM(C785),FIND(" ",TRIM(C785)&amp;" ")-1),",","."))-1)/MID(SUBSTITUTE(LEFT(TRIM(C785),FIND(" ",TRIM(C785)&amp;" ")-1),",","."),FIND("/",SUBSTITUTE(LEFT(TRIM(C785),FIND(" ",TRIM(C785)&amp;" ")-1),",","."))+1,9)),IF(ISNUMBER(SEARCH("yea",C785)),IFERROR(_xlfn.NUMBERVALUE(SUBSTITUTE(LEFT(TRIM(C785),FIND(" ",TRIM(C785)&amp;" ")-1),",","."),"."),LEFT(SUBSTITUTE(LEFT(TRIM(C785),FIND(" ",TRIM(C785)&amp;" ")-1),",","."),FIND("/",SUBSTITUTE(LEFT(TRIM(C785),FIND(" ",TRIM(C785)&amp;" ")-1),",","."))-1)/MID(SUBSTITUTE(LEFT(TRIM(C785),FIND(" ",TRIM(C785)&amp;" ")-1),",","."),FIND("/",SUBSTITUTE(LEFT(TRIM(C785),FIND(" ",TRIM(C785)&amp;" ")-1),",","."))+1,9))*12,NA()))),0),24)*'Aturan &amp; Tarif'!$B$4,2)</f>
        <v>1362.72</v>
      </c>
      <c r="K785" s="42" t="n">
        <f aca="false">'Aturan &amp; Tarif'!$B$5</f>
        <v>2050</v>
      </c>
      <c r="L785" s="35" t="n">
        <f aca="false">I785+J785+K785</f>
        <v>5712.72</v>
      </c>
      <c r="M785" s="45" t="s">
        <v>134</v>
      </c>
    </row>
    <row r="786" customFormat="false" ht="37.5" hidden="false" customHeight="true" outlineLevel="0" collapsed="false">
      <c r="A786" s="39"/>
      <c r="B786" s="40" t="s">
        <v>625</v>
      </c>
      <c r="C786" s="41" t="s">
        <v>107</v>
      </c>
      <c r="D786" s="41" t="s">
        <v>108</v>
      </c>
      <c r="E786" s="42" t="n">
        <v>1750</v>
      </c>
      <c r="F786" s="42" t="n">
        <v>300</v>
      </c>
      <c r="G786" s="42" t="n">
        <v>250</v>
      </c>
      <c r="H786" s="43" t="n">
        <v>1</v>
      </c>
      <c r="I786" s="34" t="n">
        <f aca="false">E786*H786+N(F786)+N(G786)</f>
        <v>2300</v>
      </c>
      <c r="J786" s="42" t="n">
        <f aca="false">ROUND(IFERROR(ROUND(IF(OR(ISNUMBER(SEARCH("week",C786)),ISNUMBER(SEARCH("minggu",C786))),IFERROR(_xlfn.NUMBERVALUE(SUBSTITUTE(LEFT(TRIM(C786),FIND(" ",TRIM(C786)&amp;" ")-1),",","."),"."),LEFT(SUBSTITUTE(LEFT(TRIM(C786),FIND(" ",TRIM(C786)&amp;" ")-1),",","."),FIND("/",SUBSTITUTE(LEFT(TRIM(C786),FIND(" ",TRIM(C786)&amp;" ")-1),",","."))-1)/MID(SUBSTITUTE(LEFT(TRIM(C786),FIND(" ",TRIM(C786)&amp;" ")-1),",","."),FIND("/",SUBSTITUTE(LEFT(TRIM(C786),FIND(" ",TRIM(C786)&amp;" ")-1),",","."))+1,9))*12/52,IF(ISNUMBER(SEARCH("month",C786)),IFERROR(_xlfn.NUMBERVALUE(SUBSTITUTE(LEFT(TRIM(C786),FIND(" ",TRIM(C786)&amp;" ")-1),",","."),"."),LEFT(SUBSTITUTE(LEFT(TRIM(C786),FIND(" ",TRIM(C786)&amp;" ")-1),",","."),FIND("/",SUBSTITUTE(LEFT(TRIM(C786),FIND(" ",TRIM(C786)&amp;" ")-1),",","."))-1)/MID(SUBSTITUTE(LEFT(TRIM(C786),FIND(" ",TRIM(C786)&amp;" ")-1),",","."),FIND("/",SUBSTITUTE(LEFT(TRIM(C786),FIND(" ",TRIM(C786)&amp;" ")-1),",","."))+1,9)),IF(ISNUMBER(SEARCH("yea",C786)),IFERROR(_xlfn.NUMBERVALUE(SUBSTITUTE(LEFT(TRIM(C786),FIND(" ",TRIM(C786)&amp;" ")-1),",","."),"."),LEFT(SUBSTITUTE(LEFT(TRIM(C786),FIND(" ",TRIM(C786)&amp;" ")-1),",","."),FIND("/",SUBSTITUTE(LEFT(TRIM(C786),FIND(" ",TRIM(C786)&amp;" ")-1),",","."))-1)/MID(SUBSTITUTE(LEFT(TRIM(C786),FIND(" ",TRIM(C786)&amp;" ")-1),",","."),FIND("/",SUBSTITUTE(LEFT(TRIM(C786),FIND(" ",TRIM(C786)&amp;" ")-1),",","."))+1,9))*12,NA()))),0),24)*'Aturan &amp; Tarif'!$B$4,2)</f>
        <v>1362.72</v>
      </c>
      <c r="K786" s="42" t="n">
        <f aca="false">'Aturan &amp; Tarif'!$B$5</f>
        <v>2050</v>
      </c>
      <c r="L786" s="35" t="n">
        <f aca="false">I786+J786+K786</f>
        <v>5712.72</v>
      </c>
      <c r="M786" s="45" t="s">
        <v>134</v>
      </c>
    </row>
    <row r="787" customFormat="false" ht="37.5" hidden="false" customHeight="true" outlineLevel="0" collapsed="false">
      <c r="A787" s="39"/>
      <c r="B787" s="40" t="s">
        <v>1979</v>
      </c>
      <c r="C787" s="41" t="s">
        <v>107</v>
      </c>
      <c r="D787" s="41" t="s">
        <v>108</v>
      </c>
      <c r="E787" s="42" t="n">
        <v>1815</v>
      </c>
      <c r="F787" s="42" t="n">
        <v>1000</v>
      </c>
      <c r="G787" s="42" t="n">
        <v>250</v>
      </c>
      <c r="H787" s="43" t="n">
        <v>1</v>
      </c>
      <c r="I787" s="34" t="n">
        <f aca="false">E787*H787+N(F787)+N(G787)</f>
        <v>3065</v>
      </c>
      <c r="J787" s="42" t="n">
        <f aca="false">ROUND(IFERROR(ROUND(IF(OR(ISNUMBER(SEARCH("week",C787)),ISNUMBER(SEARCH("minggu",C787))),IFERROR(_xlfn.NUMBERVALUE(SUBSTITUTE(LEFT(TRIM(C787),FIND(" ",TRIM(C787)&amp;" ")-1),",","."),"."),LEFT(SUBSTITUTE(LEFT(TRIM(C787),FIND(" ",TRIM(C787)&amp;" ")-1),",","."),FIND("/",SUBSTITUTE(LEFT(TRIM(C787),FIND(" ",TRIM(C787)&amp;" ")-1),",","."))-1)/MID(SUBSTITUTE(LEFT(TRIM(C787),FIND(" ",TRIM(C787)&amp;" ")-1),",","."),FIND("/",SUBSTITUTE(LEFT(TRIM(C787),FIND(" ",TRIM(C787)&amp;" ")-1),",","."))+1,9))*12/52,IF(ISNUMBER(SEARCH("month",C787)),IFERROR(_xlfn.NUMBERVALUE(SUBSTITUTE(LEFT(TRIM(C787),FIND(" ",TRIM(C787)&amp;" ")-1),",","."),"."),LEFT(SUBSTITUTE(LEFT(TRIM(C787),FIND(" ",TRIM(C787)&amp;" ")-1),",","."),FIND("/",SUBSTITUTE(LEFT(TRIM(C787),FIND(" ",TRIM(C787)&amp;" ")-1),",","."))-1)/MID(SUBSTITUTE(LEFT(TRIM(C787),FIND(" ",TRIM(C787)&amp;" ")-1),",","."),FIND("/",SUBSTITUTE(LEFT(TRIM(C787),FIND(" ",TRIM(C787)&amp;" ")-1),",","."))+1,9)),IF(ISNUMBER(SEARCH("yea",C787)),IFERROR(_xlfn.NUMBERVALUE(SUBSTITUTE(LEFT(TRIM(C787),FIND(" ",TRIM(C787)&amp;" ")-1),",","."),"."),LEFT(SUBSTITUTE(LEFT(TRIM(C787),FIND(" ",TRIM(C787)&amp;" ")-1),",","."),FIND("/",SUBSTITUTE(LEFT(TRIM(C787),FIND(" ",TRIM(C787)&amp;" ")-1),",","."))-1)/MID(SUBSTITUTE(LEFT(TRIM(C787),FIND(" ",TRIM(C787)&amp;" ")-1),",","."),FIND("/",SUBSTITUTE(LEFT(TRIM(C787),FIND(" ",TRIM(C787)&amp;" ")-1),",","."))+1,9))*12,NA()))),0),24)*'Aturan &amp; Tarif'!$B$4,2)</f>
        <v>1362.72</v>
      </c>
      <c r="K787" s="42" t="n">
        <f aca="false">'Aturan &amp; Tarif'!$B$5</f>
        <v>2050</v>
      </c>
      <c r="L787" s="35" t="n">
        <f aca="false">I787+J787+K787</f>
        <v>6477.72</v>
      </c>
      <c r="M787" s="45" t="s">
        <v>134</v>
      </c>
    </row>
    <row r="788" customFormat="false" ht="14.25" hidden="false" customHeight="true" outlineLevel="0" collapsed="false">
      <c r="A788" s="39"/>
      <c r="B788" s="40" t="s">
        <v>139</v>
      </c>
      <c r="C788" s="41" t="s">
        <v>127</v>
      </c>
      <c r="D788" s="41" t="s">
        <v>108</v>
      </c>
      <c r="E788" s="42" t="n">
        <v>1670</v>
      </c>
      <c r="F788" s="42" t="n">
        <v>1200</v>
      </c>
      <c r="G788" s="42" t="n">
        <v>250</v>
      </c>
      <c r="H788" s="43" t="n">
        <v>1</v>
      </c>
      <c r="I788" s="34" t="n">
        <f aca="false">E788*H788+N(F788)+N(G788)</f>
        <v>3120</v>
      </c>
      <c r="J788" s="42" t="n">
        <f aca="false">ROUND(IFERROR(ROUND(IF(OR(ISNUMBER(SEARCH("week",C788)),ISNUMBER(SEARCH("minggu",C788))),IFERROR(_xlfn.NUMBERVALUE(SUBSTITUTE(LEFT(TRIM(C788),FIND(" ",TRIM(C788)&amp;" ")-1),",","."),"."),LEFT(SUBSTITUTE(LEFT(TRIM(C788),FIND(" ",TRIM(C788)&amp;" ")-1),",","."),FIND("/",SUBSTITUTE(LEFT(TRIM(C788),FIND(" ",TRIM(C788)&amp;" ")-1),",","."))-1)/MID(SUBSTITUTE(LEFT(TRIM(C788),FIND(" ",TRIM(C788)&amp;" ")-1),",","."),FIND("/",SUBSTITUTE(LEFT(TRIM(C788),FIND(" ",TRIM(C788)&amp;" ")-1),",","."))+1,9))*12/52,IF(ISNUMBER(SEARCH("month",C788)),IFERROR(_xlfn.NUMBERVALUE(SUBSTITUTE(LEFT(TRIM(C788),FIND(" ",TRIM(C788)&amp;" ")-1),",","."),"."),LEFT(SUBSTITUTE(LEFT(TRIM(C788),FIND(" ",TRIM(C788)&amp;" ")-1),",","."),FIND("/",SUBSTITUTE(LEFT(TRIM(C788),FIND(" ",TRIM(C788)&amp;" ")-1),",","."))-1)/MID(SUBSTITUTE(LEFT(TRIM(C788),FIND(" ",TRIM(C788)&amp;" ")-1),",","."),FIND("/",SUBSTITUTE(LEFT(TRIM(C788),FIND(" ",TRIM(C788)&amp;" ")-1),",","."))+1,9)),IF(ISNUMBER(SEARCH("yea",C788)),IFERROR(_xlfn.NUMBERVALUE(SUBSTITUTE(LEFT(TRIM(C788),FIND(" ",TRIM(C788)&amp;" ")-1),",","."),"."),LEFT(SUBSTITUTE(LEFT(TRIM(C788),FIND(" ",TRIM(C788)&amp;" ")-1),",","."),FIND("/",SUBSTITUTE(LEFT(TRIM(C788),FIND(" ",TRIM(C788)&amp;" ")-1),",","."))-1)/MID(SUBSTITUTE(LEFT(TRIM(C788),FIND(" ",TRIM(C788)&amp;" ")-1),",","."),FIND("/",SUBSTITUTE(LEFT(TRIM(C788),FIND(" ",TRIM(C788)&amp;" ")-1),",","."))+1,9))*12,NA()))),0),36)*'Aturan &amp; Tarif'!$B$4,2)</f>
        <v>2044.08</v>
      </c>
      <c r="K788" s="42" t="n">
        <f aca="false">'Aturan &amp; Tarif'!$B$5</f>
        <v>2050</v>
      </c>
      <c r="L788" s="35" t="n">
        <f aca="false">I788+J788+K788</f>
        <v>7214.08</v>
      </c>
      <c r="M788" s="45" t="s">
        <v>134</v>
      </c>
    </row>
    <row r="789" customFormat="false" ht="14.25" hidden="false" customHeight="true" outlineLevel="0" collapsed="false">
      <c r="A789" s="39"/>
      <c r="B789" s="40" t="s">
        <v>2357</v>
      </c>
      <c r="C789" s="41" t="s">
        <v>127</v>
      </c>
      <c r="D789" s="41" t="s">
        <v>108</v>
      </c>
      <c r="E789" s="42" t="n">
        <v>1670</v>
      </c>
      <c r="F789" s="42" t="n">
        <v>1500</v>
      </c>
      <c r="G789" s="42" t="n">
        <v>250</v>
      </c>
      <c r="H789" s="43" t="n">
        <v>1</v>
      </c>
      <c r="I789" s="34" t="n">
        <f aca="false">E789*H789+N(F789)+N(G789)</f>
        <v>3420</v>
      </c>
      <c r="J789" s="42" t="n">
        <f aca="false">ROUND(IFERROR(ROUND(IF(OR(ISNUMBER(SEARCH("week",C789)),ISNUMBER(SEARCH("minggu",C789))),IFERROR(_xlfn.NUMBERVALUE(SUBSTITUTE(LEFT(TRIM(C789),FIND(" ",TRIM(C789)&amp;" ")-1),",","."),"."),LEFT(SUBSTITUTE(LEFT(TRIM(C789),FIND(" ",TRIM(C789)&amp;" ")-1),",","."),FIND("/",SUBSTITUTE(LEFT(TRIM(C789),FIND(" ",TRIM(C789)&amp;" ")-1),",","."))-1)/MID(SUBSTITUTE(LEFT(TRIM(C789),FIND(" ",TRIM(C789)&amp;" ")-1),",","."),FIND("/",SUBSTITUTE(LEFT(TRIM(C789),FIND(" ",TRIM(C789)&amp;" ")-1),",","."))+1,9))*12/52,IF(ISNUMBER(SEARCH("month",C789)),IFERROR(_xlfn.NUMBERVALUE(SUBSTITUTE(LEFT(TRIM(C789),FIND(" ",TRIM(C789)&amp;" ")-1),",","."),"."),LEFT(SUBSTITUTE(LEFT(TRIM(C789),FIND(" ",TRIM(C789)&amp;" ")-1),",","."),FIND("/",SUBSTITUTE(LEFT(TRIM(C789),FIND(" ",TRIM(C789)&amp;" ")-1),",","."))-1)/MID(SUBSTITUTE(LEFT(TRIM(C789),FIND(" ",TRIM(C789)&amp;" ")-1),",","."),FIND("/",SUBSTITUTE(LEFT(TRIM(C789),FIND(" ",TRIM(C789)&amp;" ")-1),",","."))+1,9)),IF(ISNUMBER(SEARCH("yea",C789)),IFERROR(_xlfn.NUMBERVALUE(SUBSTITUTE(LEFT(TRIM(C789),FIND(" ",TRIM(C789)&amp;" ")-1),",","."),"."),LEFT(SUBSTITUTE(LEFT(TRIM(C789),FIND(" ",TRIM(C789)&amp;" ")-1),",","."),FIND("/",SUBSTITUTE(LEFT(TRIM(C789),FIND(" ",TRIM(C789)&amp;" ")-1),",","."))-1)/MID(SUBSTITUTE(LEFT(TRIM(C789),FIND(" ",TRIM(C789)&amp;" ")-1),",","."),FIND("/",SUBSTITUTE(LEFT(TRIM(C789),FIND(" ",TRIM(C789)&amp;" ")-1),",","."))+1,9))*12,NA()))),0),36)*'Aturan &amp; Tarif'!$B$4,2)</f>
        <v>2044.08</v>
      </c>
      <c r="K789" s="42" t="n">
        <f aca="false">'Aturan &amp; Tarif'!$B$5</f>
        <v>2050</v>
      </c>
      <c r="L789" s="35" t="n">
        <f aca="false">I789+J789+K789</f>
        <v>7514.08</v>
      </c>
      <c r="M789" s="45" t="s">
        <v>134</v>
      </c>
    </row>
    <row r="790" customFormat="false" ht="48.75" hidden="false" customHeight="true" outlineLevel="0" collapsed="false">
      <c r="A790" s="39" t="s">
        <v>2358</v>
      </c>
      <c r="B790" s="40" t="s">
        <v>2359</v>
      </c>
      <c r="C790" s="41" t="s">
        <v>127</v>
      </c>
      <c r="D790" s="41" t="s">
        <v>108</v>
      </c>
      <c r="E790" s="42" t="n">
        <v>1500</v>
      </c>
      <c r="F790" s="42" t="n">
        <v>50</v>
      </c>
      <c r="G790" s="42" t="n">
        <v>200</v>
      </c>
      <c r="H790" s="43" t="n">
        <v>1</v>
      </c>
      <c r="I790" s="34" t="n">
        <f aca="false">E790*H790+N(F790)+N(G790)</f>
        <v>1750</v>
      </c>
      <c r="J790" s="42" t="n">
        <f aca="false">ROUND(IFERROR(ROUND(IF(OR(ISNUMBER(SEARCH("week",C790)),ISNUMBER(SEARCH("minggu",C790))),IFERROR(_xlfn.NUMBERVALUE(SUBSTITUTE(LEFT(TRIM(C790),FIND(" ",TRIM(C790)&amp;" ")-1),",","."),"."),LEFT(SUBSTITUTE(LEFT(TRIM(C790),FIND(" ",TRIM(C790)&amp;" ")-1),",","."),FIND("/",SUBSTITUTE(LEFT(TRIM(C790),FIND(" ",TRIM(C790)&amp;" ")-1),",","."))-1)/MID(SUBSTITUTE(LEFT(TRIM(C790),FIND(" ",TRIM(C790)&amp;" ")-1),",","."),FIND("/",SUBSTITUTE(LEFT(TRIM(C790),FIND(" ",TRIM(C790)&amp;" ")-1),",","."))+1,9))*12/52,IF(ISNUMBER(SEARCH("month",C790)),IFERROR(_xlfn.NUMBERVALUE(SUBSTITUTE(LEFT(TRIM(C790),FIND(" ",TRIM(C790)&amp;" ")-1),",","."),"."),LEFT(SUBSTITUTE(LEFT(TRIM(C790),FIND(" ",TRIM(C790)&amp;" ")-1),",","."),FIND("/",SUBSTITUTE(LEFT(TRIM(C790),FIND(" ",TRIM(C790)&amp;" ")-1),",","."))-1)/MID(SUBSTITUTE(LEFT(TRIM(C790),FIND(" ",TRIM(C790)&amp;" ")-1),",","."),FIND("/",SUBSTITUTE(LEFT(TRIM(C790),FIND(" ",TRIM(C790)&amp;" ")-1),",","."))+1,9)),IF(ISNUMBER(SEARCH("yea",C790)),IFERROR(_xlfn.NUMBERVALUE(SUBSTITUTE(LEFT(TRIM(C790),FIND(" ",TRIM(C790)&amp;" ")-1),",","."),"."),LEFT(SUBSTITUTE(LEFT(TRIM(C790),FIND(" ",TRIM(C790)&amp;" ")-1),",","."),FIND("/",SUBSTITUTE(LEFT(TRIM(C790),FIND(" ",TRIM(C790)&amp;" ")-1),",","."))-1)/MID(SUBSTITUTE(LEFT(TRIM(C790),FIND(" ",TRIM(C790)&amp;" ")-1),",","."),FIND("/",SUBSTITUTE(LEFT(TRIM(C790),FIND(" ",TRIM(C790)&amp;" ")-1),",","."))+1,9))*12,NA()))),0),36)*'Aturan &amp; Tarif'!$B$4,2)</f>
        <v>2044.08</v>
      </c>
      <c r="K790" s="42" t="n">
        <f aca="false">'Aturan &amp; Tarif'!$B$5</f>
        <v>2050</v>
      </c>
      <c r="L790" s="35" t="n">
        <f aca="false">I790+J790+K790</f>
        <v>5844.08</v>
      </c>
      <c r="M790" s="45" t="s">
        <v>134</v>
      </c>
    </row>
    <row r="791" customFormat="false" ht="25.5" hidden="false" customHeight="true" outlineLevel="0" collapsed="false">
      <c r="A791" s="39"/>
      <c r="B791" s="40" t="s">
        <v>3265</v>
      </c>
      <c r="C791" s="41" t="s">
        <v>107</v>
      </c>
      <c r="D791" s="41" t="s">
        <v>108</v>
      </c>
      <c r="E791" s="42" t="n">
        <v>1350</v>
      </c>
      <c r="F791" s="42" t="n">
        <v>75</v>
      </c>
      <c r="G791" s="42" t="n">
        <v>200</v>
      </c>
      <c r="H791" s="43" t="n">
        <v>1</v>
      </c>
      <c r="I791" s="34" t="n">
        <f aca="false">E791*H791+N(F791)+N(G791)</f>
        <v>1625</v>
      </c>
      <c r="J791" s="42" t="n">
        <f aca="false">ROUND(IFERROR(ROUND(IF(OR(ISNUMBER(SEARCH("week",C791)),ISNUMBER(SEARCH("minggu",C791))),IFERROR(_xlfn.NUMBERVALUE(SUBSTITUTE(LEFT(TRIM(C791),FIND(" ",TRIM(C791)&amp;" ")-1),",","."),"."),LEFT(SUBSTITUTE(LEFT(TRIM(C791),FIND(" ",TRIM(C791)&amp;" ")-1),",","."),FIND("/",SUBSTITUTE(LEFT(TRIM(C791),FIND(" ",TRIM(C791)&amp;" ")-1),",","."))-1)/MID(SUBSTITUTE(LEFT(TRIM(C791),FIND(" ",TRIM(C791)&amp;" ")-1),",","."),FIND("/",SUBSTITUTE(LEFT(TRIM(C791),FIND(" ",TRIM(C791)&amp;" ")-1),",","."))+1,9))*12/52,IF(ISNUMBER(SEARCH("month",C791)),IFERROR(_xlfn.NUMBERVALUE(SUBSTITUTE(LEFT(TRIM(C791),FIND(" ",TRIM(C791)&amp;" ")-1),",","."),"."),LEFT(SUBSTITUTE(LEFT(TRIM(C791),FIND(" ",TRIM(C791)&amp;" ")-1),",","."),FIND("/",SUBSTITUTE(LEFT(TRIM(C791),FIND(" ",TRIM(C791)&amp;" ")-1),",","."))-1)/MID(SUBSTITUTE(LEFT(TRIM(C791),FIND(" ",TRIM(C791)&amp;" ")-1),",","."),FIND("/",SUBSTITUTE(LEFT(TRIM(C791),FIND(" ",TRIM(C791)&amp;" ")-1),",","."))+1,9)),IF(ISNUMBER(SEARCH("yea",C791)),IFERROR(_xlfn.NUMBERVALUE(SUBSTITUTE(LEFT(TRIM(C791),FIND(" ",TRIM(C791)&amp;" ")-1),",","."),"."),LEFT(SUBSTITUTE(LEFT(TRIM(C791),FIND(" ",TRIM(C791)&amp;" ")-1),",","."),FIND("/",SUBSTITUTE(LEFT(TRIM(C791),FIND(" ",TRIM(C791)&amp;" ")-1),",","."))-1)/MID(SUBSTITUTE(LEFT(TRIM(C791),FIND(" ",TRIM(C791)&amp;" ")-1),",","."),FIND("/",SUBSTITUTE(LEFT(TRIM(C791),FIND(" ",TRIM(C791)&amp;" ")-1),",","."))+1,9))*12,NA()))),0),24)*'Aturan &amp; Tarif'!$B$4,2)</f>
        <v>1362.72</v>
      </c>
      <c r="K791" s="42" t="n">
        <f aca="false">'Aturan &amp; Tarif'!$B$5</f>
        <v>2050</v>
      </c>
      <c r="L791" s="35" t="n">
        <f aca="false">I791+J791+K791</f>
        <v>5037.72</v>
      </c>
      <c r="M791" s="44" t="s">
        <v>131</v>
      </c>
    </row>
    <row r="792" customFormat="false" ht="25.5" hidden="false" customHeight="true" outlineLevel="0" collapsed="false">
      <c r="A792" s="39"/>
      <c r="B792" s="40" t="s">
        <v>3266</v>
      </c>
      <c r="C792" s="41" t="s">
        <v>127</v>
      </c>
      <c r="D792" s="41" t="s">
        <v>108</v>
      </c>
      <c r="E792" s="42" t="n">
        <v>1350</v>
      </c>
      <c r="F792" s="42" t="n">
        <v>75</v>
      </c>
      <c r="G792" s="42" t="n">
        <v>200</v>
      </c>
      <c r="H792" s="43" t="n">
        <v>1</v>
      </c>
      <c r="I792" s="34" t="n">
        <f aca="false">E792*H792+N(F792)+N(G792)</f>
        <v>1625</v>
      </c>
      <c r="J792" s="42" t="n">
        <f aca="false">ROUND(IFERROR(ROUND(IF(OR(ISNUMBER(SEARCH("week",C792)),ISNUMBER(SEARCH("minggu",C792))),IFERROR(_xlfn.NUMBERVALUE(SUBSTITUTE(LEFT(TRIM(C792),FIND(" ",TRIM(C792)&amp;" ")-1),",","."),"."),LEFT(SUBSTITUTE(LEFT(TRIM(C792),FIND(" ",TRIM(C792)&amp;" ")-1),",","."),FIND("/",SUBSTITUTE(LEFT(TRIM(C792),FIND(" ",TRIM(C792)&amp;" ")-1),",","."))-1)/MID(SUBSTITUTE(LEFT(TRIM(C792),FIND(" ",TRIM(C792)&amp;" ")-1),",","."),FIND("/",SUBSTITUTE(LEFT(TRIM(C792),FIND(" ",TRIM(C792)&amp;" ")-1),",","."))+1,9))*12/52,IF(ISNUMBER(SEARCH("month",C792)),IFERROR(_xlfn.NUMBERVALUE(SUBSTITUTE(LEFT(TRIM(C792),FIND(" ",TRIM(C792)&amp;" ")-1),",","."),"."),LEFT(SUBSTITUTE(LEFT(TRIM(C792),FIND(" ",TRIM(C792)&amp;" ")-1),",","."),FIND("/",SUBSTITUTE(LEFT(TRIM(C792),FIND(" ",TRIM(C792)&amp;" ")-1),",","."))-1)/MID(SUBSTITUTE(LEFT(TRIM(C792),FIND(" ",TRIM(C792)&amp;" ")-1),",","."),FIND("/",SUBSTITUTE(LEFT(TRIM(C792),FIND(" ",TRIM(C792)&amp;" ")-1),",","."))+1,9)),IF(ISNUMBER(SEARCH("yea",C792)),IFERROR(_xlfn.NUMBERVALUE(SUBSTITUTE(LEFT(TRIM(C792),FIND(" ",TRIM(C792)&amp;" ")-1),",","."),"."),LEFT(SUBSTITUTE(LEFT(TRIM(C792),FIND(" ",TRIM(C792)&amp;" ")-1),",","."),FIND("/",SUBSTITUTE(LEFT(TRIM(C792),FIND(" ",TRIM(C792)&amp;" ")-1),",","."))-1)/MID(SUBSTITUTE(LEFT(TRIM(C792),FIND(" ",TRIM(C792)&amp;" ")-1),",","."),FIND("/",SUBSTITUTE(LEFT(TRIM(C792),FIND(" ",TRIM(C792)&amp;" ")-1),",","."))+1,9))*12,NA()))),0),36)*'Aturan &amp; Tarif'!$B$4,2)</f>
        <v>2044.08</v>
      </c>
      <c r="K792" s="42" t="n">
        <f aca="false">'Aturan &amp; Tarif'!$B$5</f>
        <v>2050</v>
      </c>
      <c r="L792" s="35" t="n">
        <f aca="false">I792+J792+K792</f>
        <v>5719.08</v>
      </c>
      <c r="M792" s="44" t="s">
        <v>131</v>
      </c>
    </row>
    <row r="793" customFormat="false" ht="25.5" hidden="false" customHeight="true" outlineLevel="0" collapsed="false">
      <c r="A793" s="39"/>
      <c r="B793" s="40" t="s">
        <v>1979</v>
      </c>
      <c r="C793" s="41" t="s">
        <v>107</v>
      </c>
      <c r="D793" s="41" t="s">
        <v>108</v>
      </c>
      <c r="E793" s="42" t="n">
        <v>2100</v>
      </c>
      <c r="F793" s="42" t="n">
        <v>125</v>
      </c>
      <c r="G793" s="42" t="n">
        <v>200</v>
      </c>
      <c r="H793" s="43" t="n">
        <v>1</v>
      </c>
      <c r="I793" s="34" t="n">
        <f aca="false">E793*H793+N(F793)+N(G793)</f>
        <v>2425</v>
      </c>
      <c r="J793" s="42" t="n">
        <f aca="false">ROUND(IFERROR(ROUND(IF(OR(ISNUMBER(SEARCH("week",C793)),ISNUMBER(SEARCH("minggu",C793))),IFERROR(_xlfn.NUMBERVALUE(SUBSTITUTE(LEFT(TRIM(C793),FIND(" ",TRIM(C793)&amp;" ")-1),",","."),"."),LEFT(SUBSTITUTE(LEFT(TRIM(C793),FIND(" ",TRIM(C793)&amp;" ")-1),",","."),FIND("/",SUBSTITUTE(LEFT(TRIM(C793),FIND(" ",TRIM(C793)&amp;" ")-1),",","."))-1)/MID(SUBSTITUTE(LEFT(TRIM(C793),FIND(" ",TRIM(C793)&amp;" ")-1),",","."),FIND("/",SUBSTITUTE(LEFT(TRIM(C793),FIND(" ",TRIM(C793)&amp;" ")-1),",","."))+1,9))*12/52,IF(ISNUMBER(SEARCH("month",C793)),IFERROR(_xlfn.NUMBERVALUE(SUBSTITUTE(LEFT(TRIM(C793),FIND(" ",TRIM(C793)&amp;" ")-1),",","."),"."),LEFT(SUBSTITUTE(LEFT(TRIM(C793),FIND(" ",TRIM(C793)&amp;" ")-1),",","."),FIND("/",SUBSTITUTE(LEFT(TRIM(C793),FIND(" ",TRIM(C793)&amp;" ")-1),",","."))-1)/MID(SUBSTITUTE(LEFT(TRIM(C793),FIND(" ",TRIM(C793)&amp;" ")-1),",","."),FIND("/",SUBSTITUTE(LEFT(TRIM(C793),FIND(" ",TRIM(C793)&amp;" ")-1),",","."))+1,9)),IF(ISNUMBER(SEARCH("yea",C793)),IFERROR(_xlfn.NUMBERVALUE(SUBSTITUTE(LEFT(TRIM(C793),FIND(" ",TRIM(C793)&amp;" ")-1),",","."),"."),LEFT(SUBSTITUTE(LEFT(TRIM(C793),FIND(" ",TRIM(C793)&amp;" ")-1),",","."),FIND("/",SUBSTITUTE(LEFT(TRIM(C793),FIND(" ",TRIM(C793)&amp;" ")-1),",","."))-1)/MID(SUBSTITUTE(LEFT(TRIM(C793),FIND(" ",TRIM(C793)&amp;" ")-1),",","."),FIND("/",SUBSTITUTE(LEFT(TRIM(C793),FIND(" ",TRIM(C793)&amp;" ")-1),",","."))+1,9))*12,NA()))),0),24)*'Aturan &amp; Tarif'!$B$4,2)</f>
        <v>1362.72</v>
      </c>
      <c r="K793" s="42" t="n">
        <f aca="false">'Aturan &amp; Tarif'!$B$5</f>
        <v>2050</v>
      </c>
      <c r="L793" s="35" t="n">
        <f aca="false">I793+J793+K793</f>
        <v>5837.72</v>
      </c>
      <c r="M793" s="45" t="s">
        <v>134</v>
      </c>
    </row>
    <row r="794" customFormat="false" ht="37.5" hidden="false" customHeight="true" outlineLevel="0" collapsed="false">
      <c r="A794" s="39"/>
      <c r="B794" s="40" t="s">
        <v>2362</v>
      </c>
      <c r="C794" s="41" t="s">
        <v>191</v>
      </c>
      <c r="D794" s="41" t="s">
        <v>108</v>
      </c>
      <c r="E794" s="42" t="n">
        <v>2100</v>
      </c>
      <c r="F794" s="42" t="n">
        <v>125</v>
      </c>
      <c r="G794" s="42" t="n">
        <v>200</v>
      </c>
      <c r="H794" s="43" t="n">
        <v>1</v>
      </c>
      <c r="I794" s="34" t="n">
        <f aca="false">E794*H794+N(F794)+N(G794)</f>
        <v>2425</v>
      </c>
      <c r="J794" s="42" t="n">
        <f aca="false">ROUND(IFERROR(ROUND(IF(OR(ISNUMBER(SEARCH("week",C794)),ISNUMBER(SEARCH("minggu",C794))),IFERROR(_xlfn.NUMBERVALUE(SUBSTITUTE(LEFT(TRIM(C794),FIND(" ",TRIM(C794)&amp;" ")-1),",","."),"."),LEFT(SUBSTITUTE(LEFT(TRIM(C794),FIND(" ",TRIM(C794)&amp;" ")-1),",","."),FIND("/",SUBSTITUTE(LEFT(TRIM(C794),FIND(" ",TRIM(C794)&amp;" ")-1),",","."))-1)/MID(SUBSTITUTE(LEFT(TRIM(C794),FIND(" ",TRIM(C794)&amp;" ")-1),",","."),FIND("/",SUBSTITUTE(LEFT(TRIM(C794),FIND(" ",TRIM(C794)&amp;" ")-1),",","."))+1,9))*12/52,IF(ISNUMBER(SEARCH("month",C794)),IFERROR(_xlfn.NUMBERVALUE(SUBSTITUTE(LEFT(TRIM(C794),FIND(" ",TRIM(C794)&amp;" ")-1),",","."),"."),LEFT(SUBSTITUTE(LEFT(TRIM(C794),FIND(" ",TRIM(C794)&amp;" ")-1),",","."),FIND("/",SUBSTITUTE(LEFT(TRIM(C794),FIND(" ",TRIM(C794)&amp;" ")-1),",","."))-1)/MID(SUBSTITUTE(LEFT(TRIM(C794),FIND(" ",TRIM(C794)&amp;" ")-1),",","."),FIND("/",SUBSTITUTE(LEFT(TRIM(C794),FIND(" ",TRIM(C794)&amp;" ")-1),",","."))+1,9)),IF(ISNUMBER(SEARCH("yea",C794)),IFERROR(_xlfn.NUMBERVALUE(SUBSTITUTE(LEFT(TRIM(C794),FIND(" ",TRIM(C794)&amp;" ")-1),",","."),"."),LEFT(SUBSTITUTE(LEFT(TRIM(C794),FIND(" ",TRIM(C794)&amp;" ")-1),",","."),FIND("/",SUBSTITUTE(LEFT(TRIM(C794),FIND(" ",TRIM(C794)&amp;" ")-1),",","."))-1)/MID(SUBSTITUTE(LEFT(TRIM(C794),FIND(" ",TRIM(C794)&amp;" ")-1),",","."),FIND("/",SUBSTITUTE(LEFT(TRIM(C794),FIND(" ",TRIM(C794)&amp;" ")-1),",","."))+1,9))*12,NA()))),0),48)*'Aturan &amp; Tarif'!$B$4,2)</f>
        <v>2725.44</v>
      </c>
      <c r="K794" s="42" t="n">
        <f aca="false">'Aturan &amp; Tarif'!$B$5</f>
        <v>2050</v>
      </c>
      <c r="L794" s="35" t="n">
        <f aca="false">I794+J794+K794</f>
        <v>7200.44</v>
      </c>
      <c r="M794" s="45" t="s">
        <v>134</v>
      </c>
    </row>
    <row r="795" customFormat="false" ht="14.25" hidden="false" customHeight="true" outlineLevel="0" collapsed="false">
      <c r="A795" s="39"/>
      <c r="B795" s="40" t="s">
        <v>2363</v>
      </c>
      <c r="C795" s="41" t="s">
        <v>107</v>
      </c>
      <c r="D795" s="41" t="s">
        <v>108</v>
      </c>
      <c r="E795" s="42" t="n">
        <v>2100</v>
      </c>
      <c r="F795" s="42" t="n">
        <v>250</v>
      </c>
      <c r="G795" s="42" t="n">
        <v>500</v>
      </c>
      <c r="H795" s="43" t="n">
        <v>1</v>
      </c>
      <c r="I795" s="34" t="n">
        <f aca="false">E795*H795+N(F795)+N(G795)</f>
        <v>2850</v>
      </c>
      <c r="J795" s="42" t="n">
        <f aca="false">ROUND(IFERROR(ROUND(IF(OR(ISNUMBER(SEARCH("week",C795)),ISNUMBER(SEARCH("minggu",C795))),IFERROR(_xlfn.NUMBERVALUE(SUBSTITUTE(LEFT(TRIM(C795),FIND(" ",TRIM(C795)&amp;" ")-1),",","."),"."),LEFT(SUBSTITUTE(LEFT(TRIM(C795),FIND(" ",TRIM(C795)&amp;" ")-1),",","."),FIND("/",SUBSTITUTE(LEFT(TRIM(C795),FIND(" ",TRIM(C795)&amp;" ")-1),",","."))-1)/MID(SUBSTITUTE(LEFT(TRIM(C795),FIND(" ",TRIM(C795)&amp;" ")-1),",","."),FIND("/",SUBSTITUTE(LEFT(TRIM(C795),FIND(" ",TRIM(C795)&amp;" ")-1),",","."))+1,9))*12/52,IF(ISNUMBER(SEARCH("month",C795)),IFERROR(_xlfn.NUMBERVALUE(SUBSTITUTE(LEFT(TRIM(C795),FIND(" ",TRIM(C795)&amp;" ")-1),",","."),"."),LEFT(SUBSTITUTE(LEFT(TRIM(C795),FIND(" ",TRIM(C795)&amp;" ")-1),",","."),FIND("/",SUBSTITUTE(LEFT(TRIM(C795),FIND(" ",TRIM(C795)&amp;" ")-1),",","."))-1)/MID(SUBSTITUTE(LEFT(TRIM(C795),FIND(" ",TRIM(C795)&amp;" ")-1),",","."),FIND("/",SUBSTITUTE(LEFT(TRIM(C795),FIND(" ",TRIM(C795)&amp;" ")-1),",","."))+1,9)),IF(ISNUMBER(SEARCH("yea",C795)),IFERROR(_xlfn.NUMBERVALUE(SUBSTITUTE(LEFT(TRIM(C795),FIND(" ",TRIM(C795)&amp;" ")-1),",","."),"."),LEFT(SUBSTITUTE(LEFT(TRIM(C795),FIND(" ",TRIM(C795)&amp;" ")-1),",","."),FIND("/",SUBSTITUTE(LEFT(TRIM(C795),FIND(" ",TRIM(C795)&amp;" ")-1),",","."))-1)/MID(SUBSTITUTE(LEFT(TRIM(C795),FIND(" ",TRIM(C795)&amp;" ")-1),",","."),FIND("/",SUBSTITUTE(LEFT(TRIM(C795),FIND(" ",TRIM(C795)&amp;" ")-1),",","."))+1,9))*12,NA()))),0),24)*'Aturan &amp; Tarif'!$B$4,2)</f>
        <v>1362.72</v>
      </c>
      <c r="K795" s="42" t="n">
        <f aca="false">'Aturan &amp; Tarif'!$B$5</f>
        <v>2050</v>
      </c>
      <c r="L795" s="35" t="n">
        <f aca="false">I795+J795+K795</f>
        <v>6262.72</v>
      </c>
      <c r="M795" s="45" t="s">
        <v>134</v>
      </c>
    </row>
    <row r="796" customFormat="false" ht="25.5" hidden="false" customHeight="true" outlineLevel="0" collapsed="false">
      <c r="A796" s="29" t="s">
        <v>2364</v>
      </c>
      <c r="B796" s="30" t="s">
        <v>2365</v>
      </c>
      <c r="C796" s="31" t="s">
        <v>130</v>
      </c>
      <c r="D796" s="31" t="s">
        <v>108</v>
      </c>
      <c r="E796" s="32" t="n">
        <v>4575</v>
      </c>
      <c r="F796" s="32"/>
      <c r="G796" s="32" t="n">
        <v>100</v>
      </c>
      <c r="H796" s="33" t="n">
        <v>2</v>
      </c>
      <c r="I796" s="34" t="n">
        <f aca="false">E796*H796+N(F796)+N(G796)</f>
        <v>9250</v>
      </c>
      <c r="J796" s="32" t="n">
        <f aca="false">ROUND(IFERROR(ROUND(IF(OR(ISNUMBER(SEARCH("week",C796)),ISNUMBER(SEARCH("minggu",C796))),IFERROR(_xlfn.NUMBERVALUE(SUBSTITUTE(LEFT(TRIM(C796),FIND(" ",TRIM(C796)&amp;" ")-1),",","."),"."),LEFT(SUBSTITUTE(LEFT(TRIM(C796),FIND(" ",TRIM(C796)&amp;" ")-1),",","."),FIND("/",SUBSTITUTE(LEFT(TRIM(C796),FIND(" ",TRIM(C796)&amp;" ")-1),",","."))-1)/MID(SUBSTITUTE(LEFT(TRIM(C796),FIND(" ",TRIM(C796)&amp;" ")-1),",","."),FIND("/",SUBSTITUTE(LEFT(TRIM(C796),FIND(" ",TRIM(C796)&amp;" ")-1),",","."))+1,9))*12/52,IF(ISNUMBER(SEARCH("month",C796)),IFERROR(_xlfn.NUMBERVALUE(SUBSTITUTE(LEFT(TRIM(C796),FIND(" ",TRIM(C796)&amp;" ")-1),",","."),"."),LEFT(SUBSTITUTE(LEFT(TRIM(C796),FIND(" ",TRIM(C796)&amp;" ")-1),",","."),FIND("/",SUBSTITUTE(LEFT(TRIM(C796),FIND(" ",TRIM(C796)&amp;" ")-1),",","."))-1)/MID(SUBSTITUTE(LEFT(TRIM(C796),FIND(" ",TRIM(C796)&amp;" ")-1),",","."),FIND("/",SUBSTITUTE(LEFT(TRIM(C796),FIND(" ",TRIM(C796)&amp;" ")-1),",","."))+1,9)),IF(ISNUMBER(SEARCH("yea",C796)),IFERROR(_xlfn.NUMBERVALUE(SUBSTITUTE(LEFT(TRIM(C796),FIND(" ",TRIM(C796)&amp;" ")-1),",","."),"."),LEFT(SUBSTITUTE(LEFT(TRIM(C796),FIND(" ",TRIM(C796)&amp;" ")-1),",","."),FIND("/",SUBSTITUTE(LEFT(TRIM(C796),FIND(" ",TRIM(C796)&amp;" ")-1),",","."))-1)/MID(SUBSTITUTE(LEFT(TRIM(C796),FIND(" ",TRIM(C796)&amp;" ")-1),",","."),FIND("/",SUBSTITUTE(LEFT(TRIM(C796),FIND(" ",TRIM(C796)&amp;" ")-1),",","."))+1,9))*12,NA()))),0),12)*'Aturan &amp; Tarif'!$B$4,2)</f>
        <v>681.36</v>
      </c>
      <c r="K796" s="32" t="n">
        <f aca="false">'Aturan &amp; Tarif'!$B$5</f>
        <v>2050</v>
      </c>
      <c r="L796" s="35" t="n">
        <f aca="false">I796+J796+K796</f>
        <v>11981.36</v>
      </c>
      <c r="M796" s="37" t="s">
        <v>2366</v>
      </c>
    </row>
    <row r="797" customFormat="false" ht="25.5" hidden="false" customHeight="true" outlineLevel="0" collapsed="false">
      <c r="A797" s="29"/>
      <c r="B797" s="30" t="s">
        <v>2367</v>
      </c>
      <c r="C797" s="31" t="s">
        <v>107</v>
      </c>
      <c r="D797" s="31" t="s">
        <v>108</v>
      </c>
      <c r="E797" s="32" t="n">
        <v>3500</v>
      </c>
      <c r="F797" s="32"/>
      <c r="G797" s="32" t="n">
        <v>100</v>
      </c>
      <c r="H797" s="33" t="n">
        <v>2</v>
      </c>
      <c r="I797" s="34" t="n">
        <f aca="false">E797*H797+N(F797)+N(G797)</f>
        <v>7100</v>
      </c>
      <c r="J797" s="32" t="n">
        <f aca="false">ROUND(IFERROR(ROUND(IF(OR(ISNUMBER(SEARCH("week",C797)),ISNUMBER(SEARCH("minggu",C797))),IFERROR(_xlfn.NUMBERVALUE(SUBSTITUTE(LEFT(TRIM(C797),FIND(" ",TRIM(C797)&amp;" ")-1),",","."),"."),LEFT(SUBSTITUTE(LEFT(TRIM(C797),FIND(" ",TRIM(C797)&amp;" ")-1),",","."),FIND("/",SUBSTITUTE(LEFT(TRIM(C797),FIND(" ",TRIM(C797)&amp;" ")-1),",","."))-1)/MID(SUBSTITUTE(LEFT(TRIM(C797),FIND(" ",TRIM(C797)&amp;" ")-1),",","."),FIND("/",SUBSTITUTE(LEFT(TRIM(C797),FIND(" ",TRIM(C797)&amp;" ")-1),",","."))+1,9))*12/52,IF(ISNUMBER(SEARCH("month",C797)),IFERROR(_xlfn.NUMBERVALUE(SUBSTITUTE(LEFT(TRIM(C797),FIND(" ",TRIM(C797)&amp;" ")-1),",","."),"."),LEFT(SUBSTITUTE(LEFT(TRIM(C797),FIND(" ",TRIM(C797)&amp;" ")-1),",","."),FIND("/",SUBSTITUTE(LEFT(TRIM(C797),FIND(" ",TRIM(C797)&amp;" ")-1),",","."))-1)/MID(SUBSTITUTE(LEFT(TRIM(C797),FIND(" ",TRIM(C797)&amp;" ")-1),",","."),FIND("/",SUBSTITUTE(LEFT(TRIM(C797),FIND(" ",TRIM(C797)&amp;" ")-1),",","."))+1,9)),IF(ISNUMBER(SEARCH("yea",C797)),IFERROR(_xlfn.NUMBERVALUE(SUBSTITUTE(LEFT(TRIM(C797),FIND(" ",TRIM(C797)&amp;" ")-1),",","."),"."),LEFT(SUBSTITUTE(LEFT(TRIM(C797),FIND(" ",TRIM(C797)&amp;" ")-1),",","."),FIND("/",SUBSTITUTE(LEFT(TRIM(C797),FIND(" ",TRIM(C797)&amp;" ")-1),",","."))-1)/MID(SUBSTITUTE(LEFT(TRIM(C797),FIND(" ",TRIM(C797)&amp;" ")-1),",","."),FIND("/",SUBSTITUTE(LEFT(TRIM(C797),FIND(" ",TRIM(C797)&amp;" ")-1),",","."))+1,9))*12,NA()))),0),24)*'Aturan &amp; Tarif'!$B$4,2)</f>
        <v>1362.72</v>
      </c>
      <c r="K797" s="32" t="n">
        <f aca="false">'Aturan &amp; Tarif'!$B$5</f>
        <v>2050</v>
      </c>
      <c r="L797" s="35" t="n">
        <f aca="false">I797+J797+K797</f>
        <v>10512.72</v>
      </c>
      <c r="M797" s="36" t="s">
        <v>2368</v>
      </c>
    </row>
    <row r="798" customFormat="false" ht="37.5" hidden="false" customHeight="true" outlineLevel="0" collapsed="false">
      <c r="A798" s="29"/>
      <c r="B798" s="30" t="s">
        <v>2369</v>
      </c>
      <c r="C798" s="31" t="s">
        <v>107</v>
      </c>
      <c r="D798" s="31" t="s">
        <v>108</v>
      </c>
      <c r="E798" s="32" t="n">
        <v>4325</v>
      </c>
      <c r="F798" s="32"/>
      <c r="G798" s="32" t="n">
        <v>100</v>
      </c>
      <c r="H798" s="33" t="n">
        <v>2</v>
      </c>
      <c r="I798" s="34" t="n">
        <f aca="false">E798*H798+N(F798)+N(G798)</f>
        <v>8750</v>
      </c>
      <c r="J798" s="32" t="n">
        <f aca="false">ROUND(IFERROR(ROUND(IF(OR(ISNUMBER(SEARCH("week",C798)),ISNUMBER(SEARCH("minggu",C798))),IFERROR(_xlfn.NUMBERVALUE(SUBSTITUTE(LEFT(TRIM(C798),FIND(" ",TRIM(C798)&amp;" ")-1),",","."),"."),LEFT(SUBSTITUTE(LEFT(TRIM(C798),FIND(" ",TRIM(C798)&amp;" ")-1),",","."),FIND("/",SUBSTITUTE(LEFT(TRIM(C798),FIND(" ",TRIM(C798)&amp;" ")-1),",","."))-1)/MID(SUBSTITUTE(LEFT(TRIM(C798),FIND(" ",TRIM(C798)&amp;" ")-1),",","."),FIND("/",SUBSTITUTE(LEFT(TRIM(C798),FIND(" ",TRIM(C798)&amp;" ")-1),",","."))+1,9))*12/52,IF(ISNUMBER(SEARCH("month",C798)),IFERROR(_xlfn.NUMBERVALUE(SUBSTITUTE(LEFT(TRIM(C798),FIND(" ",TRIM(C798)&amp;" ")-1),",","."),"."),LEFT(SUBSTITUTE(LEFT(TRIM(C798),FIND(" ",TRIM(C798)&amp;" ")-1),",","."),FIND("/",SUBSTITUTE(LEFT(TRIM(C798),FIND(" ",TRIM(C798)&amp;" ")-1),",","."))-1)/MID(SUBSTITUTE(LEFT(TRIM(C798),FIND(" ",TRIM(C798)&amp;" ")-1),",","."),FIND("/",SUBSTITUTE(LEFT(TRIM(C798),FIND(" ",TRIM(C798)&amp;" ")-1),",","."))+1,9)),IF(ISNUMBER(SEARCH("yea",C798)),IFERROR(_xlfn.NUMBERVALUE(SUBSTITUTE(LEFT(TRIM(C798),FIND(" ",TRIM(C798)&amp;" ")-1),",","."),"."),LEFT(SUBSTITUTE(LEFT(TRIM(C798),FIND(" ",TRIM(C798)&amp;" ")-1),",","."),FIND("/",SUBSTITUTE(LEFT(TRIM(C798),FIND(" ",TRIM(C798)&amp;" ")-1),",","."))-1)/MID(SUBSTITUTE(LEFT(TRIM(C798),FIND(" ",TRIM(C798)&amp;" ")-1),",","."),FIND("/",SUBSTITUTE(LEFT(TRIM(C798),FIND(" ",TRIM(C798)&amp;" ")-1),",","."))+1,9))*12,NA()))),0),24)*'Aturan &amp; Tarif'!$B$4,2)</f>
        <v>1362.72</v>
      </c>
      <c r="K798" s="32" t="n">
        <f aca="false">'Aturan &amp; Tarif'!$B$5</f>
        <v>2050</v>
      </c>
      <c r="L798" s="35" t="n">
        <f aca="false">I798+J798+K798</f>
        <v>12162.72</v>
      </c>
      <c r="M798" s="36" t="s">
        <v>2368</v>
      </c>
    </row>
    <row r="799" customFormat="false" ht="25.5" hidden="false" customHeight="true" outlineLevel="0" collapsed="false">
      <c r="A799" s="29"/>
      <c r="B799" s="30" t="s">
        <v>2370</v>
      </c>
      <c r="C799" s="31" t="s">
        <v>113</v>
      </c>
      <c r="D799" s="31" t="s">
        <v>108</v>
      </c>
      <c r="E799" s="32" t="n">
        <v>6775</v>
      </c>
      <c r="F799" s="32"/>
      <c r="G799" s="32" t="n">
        <v>100</v>
      </c>
      <c r="H799" s="33" t="n">
        <v>2</v>
      </c>
      <c r="I799" s="34" t="n">
        <f aca="false">E799*H799+N(F799)+N(G799)</f>
        <v>13650</v>
      </c>
      <c r="J799" s="32" t="n">
        <f aca="false">ROUND(IFERROR(ROUND(IF(OR(ISNUMBER(SEARCH("week",C799)),ISNUMBER(SEARCH("minggu",C799))),IFERROR(_xlfn.NUMBERVALUE(SUBSTITUTE(LEFT(TRIM(C799),FIND(" ",TRIM(C799)&amp;" ")-1),",","."),"."),LEFT(SUBSTITUTE(LEFT(TRIM(C799),FIND(" ",TRIM(C799)&amp;" ")-1),",","."),FIND("/",SUBSTITUTE(LEFT(TRIM(C799),FIND(" ",TRIM(C799)&amp;" ")-1),",","."))-1)/MID(SUBSTITUTE(LEFT(TRIM(C799),FIND(" ",TRIM(C799)&amp;" ")-1),",","."),FIND("/",SUBSTITUTE(LEFT(TRIM(C799),FIND(" ",TRIM(C799)&amp;" ")-1),",","."))+1,9))*12/52,IF(ISNUMBER(SEARCH("month",C799)),IFERROR(_xlfn.NUMBERVALUE(SUBSTITUTE(LEFT(TRIM(C799),FIND(" ",TRIM(C799)&amp;" ")-1),",","."),"."),LEFT(SUBSTITUTE(LEFT(TRIM(C799),FIND(" ",TRIM(C799)&amp;" ")-1),",","."),FIND("/",SUBSTITUTE(LEFT(TRIM(C799),FIND(" ",TRIM(C799)&amp;" ")-1),",","."))-1)/MID(SUBSTITUTE(LEFT(TRIM(C799),FIND(" ",TRIM(C799)&amp;" ")-1),",","."),FIND("/",SUBSTITUTE(LEFT(TRIM(C799),FIND(" ",TRIM(C799)&amp;" ")-1),",","."))+1,9)),IF(ISNUMBER(SEARCH("yea",C799)),IFERROR(_xlfn.NUMBERVALUE(SUBSTITUTE(LEFT(TRIM(C799),FIND(" ",TRIM(C799)&amp;" ")-1),",","."),"."),LEFT(SUBSTITUTE(LEFT(TRIM(C799),FIND(" ",TRIM(C799)&amp;" ")-1),",","."),FIND("/",SUBSTITUTE(LEFT(TRIM(C799),FIND(" ",TRIM(C799)&amp;" ")-1),",","."))-1)/MID(SUBSTITUTE(LEFT(TRIM(C799),FIND(" ",TRIM(C799)&amp;" ")-1),",","."),FIND("/",SUBSTITUTE(LEFT(TRIM(C799),FIND(" ",TRIM(C799)&amp;" ")-1),",","."))+1,9))*12,NA()))),0),18)*'Aturan &amp; Tarif'!$B$4,2)</f>
        <v>1022.04</v>
      </c>
      <c r="K799" s="32" t="n">
        <f aca="false">'Aturan &amp; Tarif'!$B$5</f>
        <v>2050</v>
      </c>
      <c r="L799" s="35" t="n">
        <f aca="false">I799+J799+K799</f>
        <v>16722.04</v>
      </c>
      <c r="M799" s="36" t="s">
        <v>2368</v>
      </c>
    </row>
    <row r="800" customFormat="false" ht="25.5" hidden="false" customHeight="true" outlineLevel="0" collapsed="false">
      <c r="A800" s="29"/>
      <c r="B800" s="30" t="s">
        <v>2371</v>
      </c>
      <c r="C800" s="31" t="s">
        <v>113</v>
      </c>
      <c r="D800" s="31" t="s">
        <v>108</v>
      </c>
      <c r="E800" s="32" t="n">
        <v>4675</v>
      </c>
      <c r="F800" s="32"/>
      <c r="G800" s="32" t="n">
        <v>100</v>
      </c>
      <c r="H800" s="33" t="n">
        <v>2</v>
      </c>
      <c r="I800" s="34" t="n">
        <f aca="false">E800*H800+N(F800)+N(G800)</f>
        <v>9450</v>
      </c>
      <c r="J800" s="32" t="n">
        <f aca="false">ROUND(IFERROR(ROUND(IF(OR(ISNUMBER(SEARCH("week",C800)),ISNUMBER(SEARCH("minggu",C800))),IFERROR(_xlfn.NUMBERVALUE(SUBSTITUTE(LEFT(TRIM(C800),FIND(" ",TRIM(C800)&amp;" ")-1),",","."),"."),LEFT(SUBSTITUTE(LEFT(TRIM(C800),FIND(" ",TRIM(C800)&amp;" ")-1),",","."),FIND("/",SUBSTITUTE(LEFT(TRIM(C800),FIND(" ",TRIM(C800)&amp;" ")-1),",","."))-1)/MID(SUBSTITUTE(LEFT(TRIM(C800),FIND(" ",TRIM(C800)&amp;" ")-1),",","."),FIND("/",SUBSTITUTE(LEFT(TRIM(C800),FIND(" ",TRIM(C800)&amp;" ")-1),",","."))+1,9))*12/52,IF(ISNUMBER(SEARCH("month",C800)),IFERROR(_xlfn.NUMBERVALUE(SUBSTITUTE(LEFT(TRIM(C800),FIND(" ",TRIM(C800)&amp;" ")-1),",","."),"."),LEFT(SUBSTITUTE(LEFT(TRIM(C800),FIND(" ",TRIM(C800)&amp;" ")-1),",","."),FIND("/",SUBSTITUTE(LEFT(TRIM(C800),FIND(" ",TRIM(C800)&amp;" ")-1),",","."))-1)/MID(SUBSTITUTE(LEFT(TRIM(C800),FIND(" ",TRIM(C800)&amp;" ")-1),",","."),FIND("/",SUBSTITUTE(LEFT(TRIM(C800),FIND(" ",TRIM(C800)&amp;" ")-1),",","."))+1,9)),IF(ISNUMBER(SEARCH("yea",C800)),IFERROR(_xlfn.NUMBERVALUE(SUBSTITUTE(LEFT(TRIM(C800),FIND(" ",TRIM(C800)&amp;" ")-1),",","."),"."),LEFT(SUBSTITUTE(LEFT(TRIM(C800),FIND(" ",TRIM(C800)&amp;" ")-1),",","."),FIND("/",SUBSTITUTE(LEFT(TRIM(C800),FIND(" ",TRIM(C800)&amp;" ")-1),",","."))-1)/MID(SUBSTITUTE(LEFT(TRIM(C800),FIND(" ",TRIM(C800)&amp;" ")-1),",","."),FIND("/",SUBSTITUTE(LEFT(TRIM(C800),FIND(" ",TRIM(C800)&amp;" ")-1),",","."))+1,9))*12,NA()))),0),18)*'Aturan &amp; Tarif'!$B$4,2)</f>
        <v>1022.04</v>
      </c>
      <c r="K800" s="32" t="n">
        <f aca="false">'Aturan &amp; Tarif'!$B$5</f>
        <v>2050</v>
      </c>
      <c r="L800" s="35" t="n">
        <f aca="false">I800+J800+K800</f>
        <v>12522.04</v>
      </c>
      <c r="M800" s="36" t="s">
        <v>2368</v>
      </c>
    </row>
    <row r="801" customFormat="false" ht="25.5" hidden="false" customHeight="true" outlineLevel="0" collapsed="false">
      <c r="A801" s="29"/>
      <c r="B801" s="30" t="s">
        <v>2372</v>
      </c>
      <c r="C801" s="31" t="s">
        <v>127</v>
      </c>
      <c r="D801" s="31" t="s">
        <v>108</v>
      </c>
      <c r="E801" s="32" t="n">
        <v>4340</v>
      </c>
      <c r="F801" s="32"/>
      <c r="G801" s="32" t="n">
        <v>100</v>
      </c>
      <c r="H801" s="33" t="n">
        <v>2</v>
      </c>
      <c r="I801" s="34" t="n">
        <f aca="false">E801*H801+N(F801)+N(G801)</f>
        <v>8780</v>
      </c>
      <c r="J801" s="32" t="n">
        <f aca="false">ROUND(IFERROR(ROUND(IF(OR(ISNUMBER(SEARCH("week",C801)),ISNUMBER(SEARCH("minggu",C801))),IFERROR(_xlfn.NUMBERVALUE(SUBSTITUTE(LEFT(TRIM(C801),FIND(" ",TRIM(C801)&amp;" ")-1),",","."),"."),LEFT(SUBSTITUTE(LEFT(TRIM(C801),FIND(" ",TRIM(C801)&amp;" ")-1),",","."),FIND("/",SUBSTITUTE(LEFT(TRIM(C801),FIND(" ",TRIM(C801)&amp;" ")-1),",","."))-1)/MID(SUBSTITUTE(LEFT(TRIM(C801),FIND(" ",TRIM(C801)&amp;" ")-1),",","."),FIND("/",SUBSTITUTE(LEFT(TRIM(C801),FIND(" ",TRIM(C801)&amp;" ")-1),",","."))+1,9))*12/52,IF(ISNUMBER(SEARCH("month",C801)),IFERROR(_xlfn.NUMBERVALUE(SUBSTITUTE(LEFT(TRIM(C801),FIND(" ",TRIM(C801)&amp;" ")-1),",","."),"."),LEFT(SUBSTITUTE(LEFT(TRIM(C801),FIND(" ",TRIM(C801)&amp;" ")-1),",","."),FIND("/",SUBSTITUTE(LEFT(TRIM(C801),FIND(" ",TRIM(C801)&amp;" ")-1),",","."))-1)/MID(SUBSTITUTE(LEFT(TRIM(C801),FIND(" ",TRIM(C801)&amp;" ")-1),",","."),FIND("/",SUBSTITUTE(LEFT(TRIM(C801),FIND(" ",TRIM(C801)&amp;" ")-1),",","."))+1,9)),IF(ISNUMBER(SEARCH("yea",C801)),IFERROR(_xlfn.NUMBERVALUE(SUBSTITUTE(LEFT(TRIM(C801),FIND(" ",TRIM(C801)&amp;" ")-1),",","."),"."),LEFT(SUBSTITUTE(LEFT(TRIM(C801),FIND(" ",TRIM(C801)&amp;" ")-1),",","."),FIND("/",SUBSTITUTE(LEFT(TRIM(C801),FIND(" ",TRIM(C801)&amp;" ")-1),",","."))-1)/MID(SUBSTITUTE(LEFT(TRIM(C801),FIND(" ",TRIM(C801)&amp;" ")-1),",","."),FIND("/",SUBSTITUTE(LEFT(TRIM(C801),FIND(" ",TRIM(C801)&amp;" ")-1),",","."))+1,9))*12,NA()))),0),36)*'Aturan &amp; Tarif'!$B$4,2)</f>
        <v>2044.08</v>
      </c>
      <c r="K801" s="32" t="n">
        <f aca="false">'Aturan &amp; Tarif'!$B$5</f>
        <v>2050</v>
      </c>
      <c r="L801" s="35" t="n">
        <f aca="false">I801+J801+K801</f>
        <v>12874.08</v>
      </c>
      <c r="M801" s="37" t="s">
        <v>2373</v>
      </c>
    </row>
    <row r="802" customFormat="false" ht="60" hidden="false" customHeight="true" outlineLevel="0" collapsed="false">
      <c r="A802" s="29"/>
      <c r="B802" s="30" t="s">
        <v>2372</v>
      </c>
      <c r="C802" s="31" t="s">
        <v>107</v>
      </c>
      <c r="D802" s="31" t="s">
        <v>108</v>
      </c>
      <c r="E802" s="32" t="n">
        <v>4340</v>
      </c>
      <c r="F802" s="32"/>
      <c r="G802" s="32" t="n">
        <v>100</v>
      </c>
      <c r="H802" s="33" t="n">
        <v>2</v>
      </c>
      <c r="I802" s="34" t="n">
        <f aca="false">E802*H802+N(F802)+N(G802)</f>
        <v>8780</v>
      </c>
      <c r="J802" s="32" t="n">
        <f aca="false">ROUND(IFERROR(ROUND(IF(OR(ISNUMBER(SEARCH("week",C802)),ISNUMBER(SEARCH("minggu",C802))),IFERROR(_xlfn.NUMBERVALUE(SUBSTITUTE(LEFT(TRIM(C802),FIND(" ",TRIM(C802)&amp;" ")-1),",","."),"."),LEFT(SUBSTITUTE(LEFT(TRIM(C802),FIND(" ",TRIM(C802)&amp;" ")-1),",","."),FIND("/",SUBSTITUTE(LEFT(TRIM(C802),FIND(" ",TRIM(C802)&amp;" ")-1),",","."))-1)/MID(SUBSTITUTE(LEFT(TRIM(C802),FIND(" ",TRIM(C802)&amp;" ")-1),",","."),FIND("/",SUBSTITUTE(LEFT(TRIM(C802),FIND(" ",TRIM(C802)&amp;" ")-1),",","."))+1,9))*12/52,IF(ISNUMBER(SEARCH("month",C802)),IFERROR(_xlfn.NUMBERVALUE(SUBSTITUTE(LEFT(TRIM(C802),FIND(" ",TRIM(C802)&amp;" ")-1),",","."),"."),LEFT(SUBSTITUTE(LEFT(TRIM(C802),FIND(" ",TRIM(C802)&amp;" ")-1),",","."),FIND("/",SUBSTITUTE(LEFT(TRIM(C802),FIND(" ",TRIM(C802)&amp;" ")-1),",","."))-1)/MID(SUBSTITUTE(LEFT(TRIM(C802),FIND(" ",TRIM(C802)&amp;" ")-1),",","."),FIND("/",SUBSTITUTE(LEFT(TRIM(C802),FIND(" ",TRIM(C802)&amp;" ")-1),",","."))+1,9)),IF(ISNUMBER(SEARCH("yea",C802)),IFERROR(_xlfn.NUMBERVALUE(SUBSTITUTE(LEFT(TRIM(C802),FIND(" ",TRIM(C802)&amp;" ")-1),",","."),"."),LEFT(SUBSTITUTE(LEFT(TRIM(C802),FIND(" ",TRIM(C802)&amp;" ")-1),",","."),FIND("/",SUBSTITUTE(LEFT(TRIM(C802),FIND(" ",TRIM(C802)&amp;" ")-1),",","."))-1)/MID(SUBSTITUTE(LEFT(TRIM(C802),FIND(" ",TRIM(C802)&amp;" ")-1),",","."),FIND("/",SUBSTITUTE(LEFT(TRIM(C802),FIND(" ",TRIM(C802)&amp;" ")-1),",","."))+1,9))*12,NA()))),0),24)*'Aturan &amp; Tarif'!$B$4,2)</f>
        <v>1362.72</v>
      </c>
      <c r="K802" s="32" t="n">
        <f aca="false">'Aturan &amp; Tarif'!$B$5</f>
        <v>2050</v>
      </c>
      <c r="L802" s="35" t="n">
        <f aca="false">I802+J802+K802</f>
        <v>12192.72</v>
      </c>
      <c r="M802" s="37" t="s">
        <v>2373</v>
      </c>
    </row>
    <row r="803" customFormat="false" ht="37.5" hidden="false" customHeight="true" outlineLevel="0" collapsed="false">
      <c r="A803" s="29"/>
      <c r="B803" s="30" t="s">
        <v>2374</v>
      </c>
      <c r="C803" s="31" t="s">
        <v>138</v>
      </c>
      <c r="D803" s="31" t="s">
        <v>108</v>
      </c>
      <c r="E803" s="32" t="n">
        <v>4340</v>
      </c>
      <c r="F803" s="32"/>
      <c r="G803" s="32" t="n">
        <v>100</v>
      </c>
      <c r="H803" s="33" t="n">
        <v>2</v>
      </c>
      <c r="I803" s="34" t="n">
        <f aca="false">E803*H803+N(F803)+N(G803)</f>
        <v>8780</v>
      </c>
      <c r="J803" s="32" t="n">
        <f aca="false">ROUND(IFERROR(ROUND(IF(OR(ISNUMBER(SEARCH("week",C803)),ISNUMBER(SEARCH("minggu",C803))),IFERROR(_xlfn.NUMBERVALUE(SUBSTITUTE(LEFT(TRIM(C803),FIND(" ",TRIM(C803)&amp;" ")-1),",","."),"."),LEFT(SUBSTITUTE(LEFT(TRIM(C803),FIND(" ",TRIM(C803)&amp;" ")-1),",","."),FIND("/",SUBSTITUTE(LEFT(TRIM(C803),FIND(" ",TRIM(C803)&amp;" ")-1),",","."))-1)/MID(SUBSTITUTE(LEFT(TRIM(C803),FIND(" ",TRIM(C803)&amp;" ")-1),",","."),FIND("/",SUBSTITUTE(LEFT(TRIM(C803),FIND(" ",TRIM(C803)&amp;" ")-1),",","."))+1,9))*12/52,IF(ISNUMBER(SEARCH("month",C803)),IFERROR(_xlfn.NUMBERVALUE(SUBSTITUTE(LEFT(TRIM(C803),FIND(" ",TRIM(C803)&amp;" ")-1),",","."),"."),LEFT(SUBSTITUTE(LEFT(TRIM(C803),FIND(" ",TRIM(C803)&amp;" ")-1),",","."),FIND("/",SUBSTITUTE(LEFT(TRIM(C803),FIND(" ",TRIM(C803)&amp;" ")-1),",","."))-1)/MID(SUBSTITUTE(LEFT(TRIM(C803),FIND(" ",TRIM(C803)&amp;" ")-1),",","."),FIND("/",SUBSTITUTE(LEFT(TRIM(C803),FIND(" ",TRIM(C803)&amp;" ")-1),",","."))+1,9)),IF(ISNUMBER(SEARCH("yea",C803)),IFERROR(_xlfn.NUMBERVALUE(SUBSTITUTE(LEFT(TRIM(C803),FIND(" ",TRIM(C803)&amp;" ")-1),",","."),"."),LEFT(SUBSTITUTE(LEFT(TRIM(C803),FIND(" ",TRIM(C803)&amp;" ")-1),",","."),FIND("/",SUBSTITUTE(LEFT(TRIM(C803),FIND(" ",TRIM(C803)&amp;" ")-1),",","."))-1)/MID(SUBSTITUTE(LEFT(TRIM(C803),FIND(" ",TRIM(C803)&amp;" ")-1),",","."),FIND("/",SUBSTITUTE(LEFT(TRIM(C803),FIND(" ",TRIM(C803)&amp;" ")-1),",","."))+1,9))*12,NA()))),0),30)*'Aturan &amp; Tarif'!$B$4,2)</f>
        <v>1703.4</v>
      </c>
      <c r="K803" s="32" t="n">
        <f aca="false">'Aturan &amp; Tarif'!$B$5</f>
        <v>2050</v>
      </c>
      <c r="L803" s="35" t="n">
        <f aca="false">I803+J803+K803</f>
        <v>12533.4</v>
      </c>
      <c r="M803" s="37" t="s">
        <v>2373</v>
      </c>
    </row>
    <row r="804" customFormat="false" ht="60" hidden="false" customHeight="true" outlineLevel="0" collapsed="false">
      <c r="A804" s="29"/>
      <c r="B804" s="30" t="s">
        <v>2375</v>
      </c>
      <c r="C804" s="31" t="s">
        <v>127</v>
      </c>
      <c r="D804" s="31" t="s">
        <v>108</v>
      </c>
      <c r="E804" s="32" t="n">
        <v>4340</v>
      </c>
      <c r="F804" s="32"/>
      <c r="G804" s="32" t="n">
        <v>100</v>
      </c>
      <c r="H804" s="33" t="n">
        <v>2</v>
      </c>
      <c r="I804" s="34" t="n">
        <f aca="false">E804*H804+N(F804)+N(G804)</f>
        <v>8780</v>
      </c>
      <c r="J804" s="32" t="n">
        <f aca="false">ROUND(IFERROR(ROUND(IF(OR(ISNUMBER(SEARCH("week",C804)),ISNUMBER(SEARCH("minggu",C804))),IFERROR(_xlfn.NUMBERVALUE(SUBSTITUTE(LEFT(TRIM(C804),FIND(" ",TRIM(C804)&amp;" ")-1),",","."),"."),LEFT(SUBSTITUTE(LEFT(TRIM(C804),FIND(" ",TRIM(C804)&amp;" ")-1),",","."),FIND("/",SUBSTITUTE(LEFT(TRIM(C804),FIND(" ",TRIM(C804)&amp;" ")-1),",","."))-1)/MID(SUBSTITUTE(LEFT(TRIM(C804),FIND(" ",TRIM(C804)&amp;" ")-1),",","."),FIND("/",SUBSTITUTE(LEFT(TRIM(C804),FIND(" ",TRIM(C804)&amp;" ")-1),",","."))+1,9))*12/52,IF(ISNUMBER(SEARCH("month",C804)),IFERROR(_xlfn.NUMBERVALUE(SUBSTITUTE(LEFT(TRIM(C804),FIND(" ",TRIM(C804)&amp;" ")-1),",","."),"."),LEFT(SUBSTITUTE(LEFT(TRIM(C804),FIND(" ",TRIM(C804)&amp;" ")-1),",","."),FIND("/",SUBSTITUTE(LEFT(TRIM(C804),FIND(" ",TRIM(C804)&amp;" ")-1),",","."))-1)/MID(SUBSTITUTE(LEFT(TRIM(C804),FIND(" ",TRIM(C804)&amp;" ")-1),",","."),FIND("/",SUBSTITUTE(LEFT(TRIM(C804),FIND(" ",TRIM(C804)&amp;" ")-1),",","."))+1,9)),IF(ISNUMBER(SEARCH("yea",C804)),IFERROR(_xlfn.NUMBERVALUE(SUBSTITUTE(LEFT(TRIM(C804),FIND(" ",TRIM(C804)&amp;" ")-1),",","."),"."),LEFT(SUBSTITUTE(LEFT(TRIM(C804),FIND(" ",TRIM(C804)&amp;" ")-1),",","."),FIND("/",SUBSTITUTE(LEFT(TRIM(C804),FIND(" ",TRIM(C804)&amp;" ")-1),",","."))-1)/MID(SUBSTITUTE(LEFT(TRIM(C804),FIND(" ",TRIM(C804)&amp;" ")-1),",","."),FIND("/",SUBSTITUTE(LEFT(TRIM(C804),FIND(" ",TRIM(C804)&amp;" ")-1),",","."))+1,9))*12,NA()))),0),36)*'Aturan &amp; Tarif'!$B$4,2)</f>
        <v>2044.08</v>
      </c>
      <c r="K804" s="32" t="n">
        <f aca="false">'Aturan &amp; Tarif'!$B$5</f>
        <v>2050</v>
      </c>
      <c r="L804" s="35" t="n">
        <f aca="false">I804+J804+K804</f>
        <v>12874.08</v>
      </c>
      <c r="M804" s="37" t="s">
        <v>2373</v>
      </c>
    </row>
    <row r="805" customFormat="false" ht="37.5" hidden="false" customHeight="true" outlineLevel="0" collapsed="false">
      <c r="A805" s="29"/>
      <c r="B805" s="30" t="s">
        <v>2376</v>
      </c>
      <c r="C805" s="31" t="s">
        <v>107</v>
      </c>
      <c r="D805" s="31" t="s">
        <v>108</v>
      </c>
      <c r="E805" s="32" t="n">
        <v>4340</v>
      </c>
      <c r="F805" s="32"/>
      <c r="G805" s="32" t="n">
        <v>100</v>
      </c>
      <c r="H805" s="33" t="n">
        <v>2</v>
      </c>
      <c r="I805" s="34" t="n">
        <f aca="false">E805*H805+N(F805)+N(G805)</f>
        <v>8780</v>
      </c>
      <c r="J805" s="32" t="n">
        <f aca="false">ROUND(IFERROR(ROUND(IF(OR(ISNUMBER(SEARCH("week",C805)),ISNUMBER(SEARCH("minggu",C805))),IFERROR(_xlfn.NUMBERVALUE(SUBSTITUTE(LEFT(TRIM(C805),FIND(" ",TRIM(C805)&amp;" ")-1),",","."),"."),LEFT(SUBSTITUTE(LEFT(TRIM(C805),FIND(" ",TRIM(C805)&amp;" ")-1),",","."),FIND("/",SUBSTITUTE(LEFT(TRIM(C805),FIND(" ",TRIM(C805)&amp;" ")-1),",","."))-1)/MID(SUBSTITUTE(LEFT(TRIM(C805),FIND(" ",TRIM(C805)&amp;" ")-1),",","."),FIND("/",SUBSTITUTE(LEFT(TRIM(C805),FIND(" ",TRIM(C805)&amp;" ")-1),",","."))+1,9))*12/52,IF(ISNUMBER(SEARCH("month",C805)),IFERROR(_xlfn.NUMBERVALUE(SUBSTITUTE(LEFT(TRIM(C805),FIND(" ",TRIM(C805)&amp;" ")-1),",","."),"."),LEFT(SUBSTITUTE(LEFT(TRIM(C805),FIND(" ",TRIM(C805)&amp;" ")-1),",","."),FIND("/",SUBSTITUTE(LEFT(TRIM(C805),FIND(" ",TRIM(C805)&amp;" ")-1),",","."))-1)/MID(SUBSTITUTE(LEFT(TRIM(C805),FIND(" ",TRIM(C805)&amp;" ")-1),",","."),FIND("/",SUBSTITUTE(LEFT(TRIM(C805),FIND(" ",TRIM(C805)&amp;" ")-1),",","."))+1,9)),IF(ISNUMBER(SEARCH("yea",C805)),IFERROR(_xlfn.NUMBERVALUE(SUBSTITUTE(LEFT(TRIM(C805),FIND(" ",TRIM(C805)&amp;" ")-1),",","."),"."),LEFT(SUBSTITUTE(LEFT(TRIM(C805),FIND(" ",TRIM(C805)&amp;" ")-1),",","."),FIND("/",SUBSTITUTE(LEFT(TRIM(C805),FIND(" ",TRIM(C805)&amp;" ")-1),",","."))-1)/MID(SUBSTITUTE(LEFT(TRIM(C805),FIND(" ",TRIM(C805)&amp;" ")-1),",","."),FIND("/",SUBSTITUTE(LEFT(TRIM(C805),FIND(" ",TRIM(C805)&amp;" ")-1),",","."))+1,9))*12,NA()))),0),24)*'Aturan &amp; Tarif'!$B$4,2)</f>
        <v>1362.72</v>
      </c>
      <c r="K805" s="32" t="n">
        <f aca="false">'Aturan &amp; Tarif'!$B$5</f>
        <v>2050</v>
      </c>
      <c r="L805" s="35" t="n">
        <f aca="false">I805+J805+K805</f>
        <v>12192.72</v>
      </c>
      <c r="M805" s="37" t="s">
        <v>2373</v>
      </c>
    </row>
    <row r="806" customFormat="false" ht="25.5" hidden="false" customHeight="true" outlineLevel="0" collapsed="false">
      <c r="A806" s="29"/>
      <c r="B806" s="30" t="s">
        <v>2377</v>
      </c>
      <c r="C806" s="31" t="s">
        <v>107</v>
      </c>
      <c r="D806" s="31" t="s">
        <v>108</v>
      </c>
      <c r="E806" s="32" t="n">
        <v>3975</v>
      </c>
      <c r="F806" s="32"/>
      <c r="G806" s="32" t="n">
        <v>100</v>
      </c>
      <c r="H806" s="33" t="n">
        <v>2</v>
      </c>
      <c r="I806" s="34" t="n">
        <f aca="false">E806*H806+N(F806)+N(G806)</f>
        <v>8050</v>
      </c>
      <c r="J806" s="32" t="n">
        <f aca="false">ROUND(IFERROR(ROUND(IF(OR(ISNUMBER(SEARCH("week",C806)),ISNUMBER(SEARCH("minggu",C806))),IFERROR(_xlfn.NUMBERVALUE(SUBSTITUTE(LEFT(TRIM(C806),FIND(" ",TRIM(C806)&amp;" ")-1),",","."),"."),LEFT(SUBSTITUTE(LEFT(TRIM(C806),FIND(" ",TRIM(C806)&amp;" ")-1),",","."),FIND("/",SUBSTITUTE(LEFT(TRIM(C806),FIND(" ",TRIM(C806)&amp;" ")-1),",","."))-1)/MID(SUBSTITUTE(LEFT(TRIM(C806),FIND(" ",TRIM(C806)&amp;" ")-1),",","."),FIND("/",SUBSTITUTE(LEFT(TRIM(C806),FIND(" ",TRIM(C806)&amp;" ")-1),",","."))+1,9))*12/52,IF(ISNUMBER(SEARCH("month",C806)),IFERROR(_xlfn.NUMBERVALUE(SUBSTITUTE(LEFT(TRIM(C806),FIND(" ",TRIM(C806)&amp;" ")-1),",","."),"."),LEFT(SUBSTITUTE(LEFT(TRIM(C806),FIND(" ",TRIM(C806)&amp;" ")-1),",","."),FIND("/",SUBSTITUTE(LEFT(TRIM(C806),FIND(" ",TRIM(C806)&amp;" ")-1),",","."))-1)/MID(SUBSTITUTE(LEFT(TRIM(C806),FIND(" ",TRIM(C806)&amp;" ")-1),",","."),FIND("/",SUBSTITUTE(LEFT(TRIM(C806),FIND(" ",TRIM(C806)&amp;" ")-1),",","."))+1,9)),IF(ISNUMBER(SEARCH("yea",C806)),IFERROR(_xlfn.NUMBERVALUE(SUBSTITUTE(LEFT(TRIM(C806),FIND(" ",TRIM(C806)&amp;" ")-1),",","."),"."),LEFT(SUBSTITUTE(LEFT(TRIM(C806),FIND(" ",TRIM(C806)&amp;" ")-1),",","."),FIND("/",SUBSTITUTE(LEFT(TRIM(C806),FIND(" ",TRIM(C806)&amp;" ")-1),",","."))-1)/MID(SUBSTITUTE(LEFT(TRIM(C806),FIND(" ",TRIM(C806)&amp;" ")-1),",","."),FIND("/",SUBSTITUTE(LEFT(TRIM(C806),FIND(" ",TRIM(C806)&amp;" ")-1),",","."))+1,9))*12,NA()))),0),24)*'Aturan &amp; Tarif'!$B$4,2)</f>
        <v>1362.72</v>
      </c>
      <c r="K806" s="32" t="n">
        <f aca="false">'Aturan &amp; Tarif'!$B$5</f>
        <v>2050</v>
      </c>
      <c r="L806" s="35" t="n">
        <f aca="false">I806+J806+K806</f>
        <v>11462.72</v>
      </c>
      <c r="M806" s="36" t="s">
        <v>2368</v>
      </c>
    </row>
    <row r="807" customFormat="false" ht="37.5" hidden="false" customHeight="true" outlineLevel="0" collapsed="false">
      <c r="A807" s="29"/>
      <c r="B807" s="30" t="s">
        <v>2378</v>
      </c>
      <c r="C807" s="31" t="s">
        <v>344</v>
      </c>
      <c r="D807" s="31" t="s">
        <v>108</v>
      </c>
      <c r="E807" s="32" t="n">
        <v>4025</v>
      </c>
      <c r="F807" s="32"/>
      <c r="G807" s="32" t="n">
        <v>100</v>
      </c>
      <c r="H807" s="33" t="n">
        <v>2</v>
      </c>
      <c r="I807" s="34" t="n">
        <f aca="false">E807*H807+N(F807)+N(G807)</f>
        <v>8150</v>
      </c>
      <c r="J807" s="32" t="n">
        <f aca="false">ROUND(IFERROR(ROUND(IF(OR(ISNUMBER(SEARCH("week",C807)),ISNUMBER(SEARCH("minggu",C807))),IFERROR(_xlfn.NUMBERVALUE(SUBSTITUTE(LEFT(TRIM(C807),FIND(" ",TRIM(C807)&amp;" ")-1),",","."),"."),LEFT(SUBSTITUTE(LEFT(TRIM(C807),FIND(" ",TRIM(C807)&amp;" ")-1),",","."),FIND("/",SUBSTITUTE(LEFT(TRIM(C807),FIND(" ",TRIM(C807)&amp;" ")-1),",","."))-1)/MID(SUBSTITUTE(LEFT(TRIM(C807),FIND(" ",TRIM(C807)&amp;" ")-1),",","."),FIND("/",SUBSTITUTE(LEFT(TRIM(C807),FIND(" ",TRIM(C807)&amp;" ")-1),",","."))+1,9))*12/52,IF(ISNUMBER(SEARCH("month",C807)),IFERROR(_xlfn.NUMBERVALUE(SUBSTITUTE(LEFT(TRIM(C807),FIND(" ",TRIM(C807)&amp;" ")-1),",","."),"."),LEFT(SUBSTITUTE(LEFT(TRIM(C807),FIND(" ",TRIM(C807)&amp;" ")-1),",","."),FIND("/",SUBSTITUTE(LEFT(TRIM(C807),FIND(" ",TRIM(C807)&amp;" ")-1),",","."))-1)/MID(SUBSTITUTE(LEFT(TRIM(C807),FIND(" ",TRIM(C807)&amp;" ")-1),",","."),FIND("/",SUBSTITUTE(LEFT(TRIM(C807),FIND(" ",TRIM(C807)&amp;" ")-1),",","."))+1,9)),IF(ISNUMBER(SEARCH("yea",C807)),IFERROR(_xlfn.NUMBERVALUE(SUBSTITUTE(LEFT(TRIM(C807),FIND(" ",TRIM(C807)&amp;" ")-1),",","."),"."),LEFT(SUBSTITUTE(LEFT(TRIM(C807),FIND(" ",TRIM(C807)&amp;" ")-1),",","."),FIND("/",SUBSTITUTE(LEFT(TRIM(C807),FIND(" ",TRIM(C807)&amp;" ")-1),",","."))-1)/MID(SUBSTITUTE(LEFT(TRIM(C807),FIND(" ",TRIM(C807)&amp;" ")-1),",","."),FIND("/",SUBSTITUTE(LEFT(TRIM(C807),FIND(" ",TRIM(C807)&amp;" ")-1),",","."))+1,9))*12,NA()))),0),6)*'Aturan &amp; Tarif'!$B$4,2)</f>
        <v>340.68</v>
      </c>
      <c r="K807" s="32" t="n">
        <f aca="false">'Aturan &amp; Tarif'!$B$5</f>
        <v>2050</v>
      </c>
      <c r="L807" s="35" t="n">
        <f aca="false">I807+J807+K807</f>
        <v>10540.68</v>
      </c>
      <c r="M807" s="37" t="s">
        <v>2366</v>
      </c>
    </row>
    <row r="808" customFormat="false" ht="25.5" hidden="false" customHeight="true" outlineLevel="0" collapsed="false">
      <c r="A808" s="29"/>
      <c r="B808" s="30" t="s">
        <v>2379</v>
      </c>
      <c r="C808" s="31" t="s">
        <v>127</v>
      </c>
      <c r="D808" s="31" t="s">
        <v>108</v>
      </c>
      <c r="E808" s="32" t="n">
        <v>4340</v>
      </c>
      <c r="F808" s="32"/>
      <c r="G808" s="32" t="n">
        <v>100</v>
      </c>
      <c r="H808" s="33" t="n">
        <v>2</v>
      </c>
      <c r="I808" s="34" t="n">
        <f aca="false">E808*H808+N(F808)+N(G808)</f>
        <v>8780</v>
      </c>
      <c r="J808" s="32" t="n">
        <f aca="false">ROUND(IFERROR(ROUND(IF(OR(ISNUMBER(SEARCH("week",C808)),ISNUMBER(SEARCH("minggu",C808))),IFERROR(_xlfn.NUMBERVALUE(SUBSTITUTE(LEFT(TRIM(C808),FIND(" ",TRIM(C808)&amp;" ")-1),",","."),"."),LEFT(SUBSTITUTE(LEFT(TRIM(C808),FIND(" ",TRIM(C808)&amp;" ")-1),",","."),FIND("/",SUBSTITUTE(LEFT(TRIM(C808),FIND(" ",TRIM(C808)&amp;" ")-1),",","."))-1)/MID(SUBSTITUTE(LEFT(TRIM(C808),FIND(" ",TRIM(C808)&amp;" ")-1),",","."),FIND("/",SUBSTITUTE(LEFT(TRIM(C808),FIND(" ",TRIM(C808)&amp;" ")-1),",","."))+1,9))*12/52,IF(ISNUMBER(SEARCH("month",C808)),IFERROR(_xlfn.NUMBERVALUE(SUBSTITUTE(LEFT(TRIM(C808),FIND(" ",TRIM(C808)&amp;" ")-1),",","."),"."),LEFT(SUBSTITUTE(LEFT(TRIM(C808),FIND(" ",TRIM(C808)&amp;" ")-1),",","."),FIND("/",SUBSTITUTE(LEFT(TRIM(C808),FIND(" ",TRIM(C808)&amp;" ")-1),",","."))-1)/MID(SUBSTITUTE(LEFT(TRIM(C808),FIND(" ",TRIM(C808)&amp;" ")-1),",","."),FIND("/",SUBSTITUTE(LEFT(TRIM(C808),FIND(" ",TRIM(C808)&amp;" ")-1),",","."))+1,9)),IF(ISNUMBER(SEARCH("yea",C808)),IFERROR(_xlfn.NUMBERVALUE(SUBSTITUTE(LEFT(TRIM(C808),FIND(" ",TRIM(C808)&amp;" ")-1),",","."),"."),LEFT(SUBSTITUTE(LEFT(TRIM(C808),FIND(" ",TRIM(C808)&amp;" ")-1),",","."),FIND("/",SUBSTITUTE(LEFT(TRIM(C808),FIND(" ",TRIM(C808)&amp;" ")-1),",","."))-1)/MID(SUBSTITUTE(LEFT(TRIM(C808),FIND(" ",TRIM(C808)&amp;" ")-1),",","."),FIND("/",SUBSTITUTE(LEFT(TRIM(C808),FIND(" ",TRIM(C808)&amp;" ")-1),",","."))+1,9))*12,NA()))),0),36)*'Aturan &amp; Tarif'!$B$4,2)</f>
        <v>2044.08</v>
      </c>
      <c r="K808" s="32" t="n">
        <f aca="false">'Aturan &amp; Tarif'!$B$5</f>
        <v>2050</v>
      </c>
      <c r="L808" s="35" t="n">
        <f aca="false">I808+J808+K808</f>
        <v>12874.08</v>
      </c>
      <c r="M808" s="37" t="s">
        <v>2373</v>
      </c>
    </row>
    <row r="809" customFormat="false" ht="25.5" hidden="false" customHeight="true" outlineLevel="0" collapsed="false">
      <c r="A809" s="29"/>
      <c r="B809" s="30" t="s">
        <v>3267</v>
      </c>
      <c r="C809" s="31" t="s">
        <v>107</v>
      </c>
      <c r="D809" s="31" t="s">
        <v>108</v>
      </c>
      <c r="E809" s="32" t="n">
        <v>4340</v>
      </c>
      <c r="F809" s="32"/>
      <c r="G809" s="32" t="n">
        <v>100</v>
      </c>
      <c r="H809" s="33" t="n">
        <v>2</v>
      </c>
      <c r="I809" s="34" t="n">
        <f aca="false">E809*H809+N(F809)+N(G809)</f>
        <v>8780</v>
      </c>
      <c r="J809" s="32" t="n">
        <f aca="false">ROUND(IFERROR(ROUND(IF(OR(ISNUMBER(SEARCH("week",C809)),ISNUMBER(SEARCH("minggu",C809))),IFERROR(_xlfn.NUMBERVALUE(SUBSTITUTE(LEFT(TRIM(C809),FIND(" ",TRIM(C809)&amp;" ")-1),",","."),"."),LEFT(SUBSTITUTE(LEFT(TRIM(C809),FIND(" ",TRIM(C809)&amp;" ")-1),",","."),FIND("/",SUBSTITUTE(LEFT(TRIM(C809),FIND(" ",TRIM(C809)&amp;" ")-1),",","."))-1)/MID(SUBSTITUTE(LEFT(TRIM(C809),FIND(" ",TRIM(C809)&amp;" ")-1),",","."),FIND("/",SUBSTITUTE(LEFT(TRIM(C809),FIND(" ",TRIM(C809)&amp;" ")-1),",","."))+1,9))*12/52,IF(ISNUMBER(SEARCH("month",C809)),IFERROR(_xlfn.NUMBERVALUE(SUBSTITUTE(LEFT(TRIM(C809),FIND(" ",TRIM(C809)&amp;" ")-1),",","."),"."),LEFT(SUBSTITUTE(LEFT(TRIM(C809),FIND(" ",TRIM(C809)&amp;" ")-1),",","."),FIND("/",SUBSTITUTE(LEFT(TRIM(C809),FIND(" ",TRIM(C809)&amp;" ")-1),",","."))-1)/MID(SUBSTITUTE(LEFT(TRIM(C809),FIND(" ",TRIM(C809)&amp;" ")-1),",","."),FIND("/",SUBSTITUTE(LEFT(TRIM(C809),FIND(" ",TRIM(C809)&amp;" ")-1),",","."))+1,9)),IF(ISNUMBER(SEARCH("yea",C809)),IFERROR(_xlfn.NUMBERVALUE(SUBSTITUTE(LEFT(TRIM(C809),FIND(" ",TRIM(C809)&amp;" ")-1),",","."),"."),LEFT(SUBSTITUTE(LEFT(TRIM(C809),FIND(" ",TRIM(C809)&amp;" ")-1),",","."),FIND("/",SUBSTITUTE(LEFT(TRIM(C809),FIND(" ",TRIM(C809)&amp;" ")-1),",","."))-1)/MID(SUBSTITUTE(LEFT(TRIM(C809),FIND(" ",TRIM(C809)&amp;" ")-1),",","."),FIND("/",SUBSTITUTE(LEFT(TRIM(C809),FIND(" ",TRIM(C809)&amp;" ")-1),",","."))+1,9))*12,NA()))),0),24)*'Aturan &amp; Tarif'!$B$4,2)</f>
        <v>1362.72</v>
      </c>
      <c r="K809" s="32" t="n">
        <f aca="false">'Aturan &amp; Tarif'!$B$5</f>
        <v>2050</v>
      </c>
      <c r="L809" s="35" t="n">
        <f aca="false">I809+J809+K809</f>
        <v>12192.72</v>
      </c>
      <c r="M809" s="37" t="s">
        <v>2373</v>
      </c>
    </row>
    <row r="810" customFormat="false" ht="25.5" hidden="false" customHeight="true" outlineLevel="0" collapsed="false">
      <c r="A810" s="29"/>
      <c r="B810" s="30" t="s">
        <v>2381</v>
      </c>
      <c r="C810" s="31" t="s">
        <v>107</v>
      </c>
      <c r="D810" s="31" t="s">
        <v>108</v>
      </c>
      <c r="E810" s="32" t="n">
        <v>4340</v>
      </c>
      <c r="F810" s="32"/>
      <c r="G810" s="32" t="n">
        <v>100</v>
      </c>
      <c r="H810" s="33" t="n">
        <v>2</v>
      </c>
      <c r="I810" s="34" t="n">
        <f aca="false">E810*H810+N(F810)+N(G810)</f>
        <v>8780</v>
      </c>
      <c r="J810" s="32" t="n">
        <f aca="false">ROUND(IFERROR(ROUND(IF(OR(ISNUMBER(SEARCH("week",C810)),ISNUMBER(SEARCH("minggu",C810))),IFERROR(_xlfn.NUMBERVALUE(SUBSTITUTE(LEFT(TRIM(C810),FIND(" ",TRIM(C810)&amp;" ")-1),",","."),"."),LEFT(SUBSTITUTE(LEFT(TRIM(C810),FIND(" ",TRIM(C810)&amp;" ")-1),",","."),FIND("/",SUBSTITUTE(LEFT(TRIM(C810),FIND(" ",TRIM(C810)&amp;" ")-1),",","."))-1)/MID(SUBSTITUTE(LEFT(TRIM(C810),FIND(" ",TRIM(C810)&amp;" ")-1),",","."),FIND("/",SUBSTITUTE(LEFT(TRIM(C810),FIND(" ",TRIM(C810)&amp;" ")-1),",","."))+1,9))*12/52,IF(ISNUMBER(SEARCH("month",C810)),IFERROR(_xlfn.NUMBERVALUE(SUBSTITUTE(LEFT(TRIM(C810),FIND(" ",TRIM(C810)&amp;" ")-1),",","."),"."),LEFT(SUBSTITUTE(LEFT(TRIM(C810),FIND(" ",TRIM(C810)&amp;" ")-1),",","."),FIND("/",SUBSTITUTE(LEFT(TRIM(C810),FIND(" ",TRIM(C810)&amp;" ")-1),",","."))-1)/MID(SUBSTITUTE(LEFT(TRIM(C810),FIND(" ",TRIM(C810)&amp;" ")-1),",","."),FIND("/",SUBSTITUTE(LEFT(TRIM(C810),FIND(" ",TRIM(C810)&amp;" ")-1),",","."))+1,9)),IF(ISNUMBER(SEARCH("yea",C810)),IFERROR(_xlfn.NUMBERVALUE(SUBSTITUTE(LEFT(TRIM(C810),FIND(" ",TRIM(C810)&amp;" ")-1),",","."),"."),LEFT(SUBSTITUTE(LEFT(TRIM(C810),FIND(" ",TRIM(C810)&amp;" ")-1),",","."),FIND("/",SUBSTITUTE(LEFT(TRIM(C810),FIND(" ",TRIM(C810)&amp;" ")-1),",","."))-1)/MID(SUBSTITUTE(LEFT(TRIM(C810),FIND(" ",TRIM(C810)&amp;" ")-1),",","."),FIND("/",SUBSTITUTE(LEFT(TRIM(C810),FIND(" ",TRIM(C810)&amp;" ")-1),",","."))+1,9))*12,NA()))),0),24)*'Aturan &amp; Tarif'!$B$4,2)</f>
        <v>1362.72</v>
      </c>
      <c r="K810" s="32" t="n">
        <f aca="false">'Aturan &amp; Tarif'!$B$5</f>
        <v>2050</v>
      </c>
      <c r="L810" s="35" t="n">
        <f aca="false">I810+J810+K810</f>
        <v>12192.72</v>
      </c>
      <c r="M810" s="37" t="s">
        <v>2373</v>
      </c>
    </row>
    <row r="811" customFormat="false" ht="25.5" hidden="false" customHeight="true" outlineLevel="0" collapsed="false">
      <c r="A811" s="29"/>
      <c r="B811" s="30" t="s">
        <v>2382</v>
      </c>
      <c r="C811" s="31" t="s">
        <v>344</v>
      </c>
      <c r="D811" s="31" t="s">
        <v>108</v>
      </c>
      <c r="E811" s="32" t="n">
        <v>4250</v>
      </c>
      <c r="F811" s="32"/>
      <c r="G811" s="32" t="n">
        <v>100</v>
      </c>
      <c r="H811" s="33" t="n">
        <v>2</v>
      </c>
      <c r="I811" s="34" t="n">
        <f aca="false">E811*H811+N(F811)+N(G811)</f>
        <v>8600</v>
      </c>
      <c r="J811" s="32" t="n">
        <f aca="false">ROUND(IFERROR(ROUND(IF(OR(ISNUMBER(SEARCH("week",C811)),ISNUMBER(SEARCH("minggu",C811))),IFERROR(_xlfn.NUMBERVALUE(SUBSTITUTE(LEFT(TRIM(C811),FIND(" ",TRIM(C811)&amp;" ")-1),",","."),"."),LEFT(SUBSTITUTE(LEFT(TRIM(C811),FIND(" ",TRIM(C811)&amp;" ")-1),",","."),FIND("/",SUBSTITUTE(LEFT(TRIM(C811),FIND(" ",TRIM(C811)&amp;" ")-1),",","."))-1)/MID(SUBSTITUTE(LEFT(TRIM(C811),FIND(" ",TRIM(C811)&amp;" ")-1),",","."),FIND("/",SUBSTITUTE(LEFT(TRIM(C811),FIND(" ",TRIM(C811)&amp;" ")-1),",","."))+1,9))*12/52,IF(ISNUMBER(SEARCH("month",C811)),IFERROR(_xlfn.NUMBERVALUE(SUBSTITUTE(LEFT(TRIM(C811),FIND(" ",TRIM(C811)&amp;" ")-1),",","."),"."),LEFT(SUBSTITUTE(LEFT(TRIM(C811),FIND(" ",TRIM(C811)&amp;" ")-1),",","."),FIND("/",SUBSTITUTE(LEFT(TRIM(C811),FIND(" ",TRIM(C811)&amp;" ")-1),",","."))-1)/MID(SUBSTITUTE(LEFT(TRIM(C811),FIND(" ",TRIM(C811)&amp;" ")-1),",","."),FIND("/",SUBSTITUTE(LEFT(TRIM(C811),FIND(" ",TRIM(C811)&amp;" ")-1),",","."))+1,9)),IF(ISNUMBER(SEARCH("yea",C811)),IFERROR(_xlfn.NUMBERVALUE(SUBSTITUTE(LEFT(TRIM(C811),FIND(" ",TRIM(C811)&amp;" ")-1),",","."),"."),LEFT(SUBSTITUTE(LEFT(TRIM(C811),FIND(" ",TRIM(C811)&amp;" ")-1),",","."),FIND("/",SUBSTITUTE(LEFT(TRIM(C811),FIND(" ",TRIM(C811)&amp;" ")-1),",","."))-1)/MID(SUBSTITUTE(LEFT(TRIM(C811),FIND(" ",TRIM(C811)&amp;" ")-1),",","."),FIND("/",SUBSTITUTE(LEFT(TRIM(C811),FIND(" ",TRIM(C811)&amp;" ")-1),",","."))+1,9))*12,NA()))),0),6)*'Aturan &amp; Tarif'!$B$4,2)</f>
        <v>340.68</v>
      </c>
      <c r="K811" s="32" t="n">
        <f aca="false">'Aturan &amp; Tarif'!$B$5</f>
        <v>2050</v>
      </c>
      <c r="L811" s="35" t="n">
        <f aca="false">I811+J811+K811</f>
        <v>10990.68</v>
      </c>
      <c r="M811" s="37" t="s">
        <v>2366</v>
      </c>
    </row>
    <row r="812" customFormat="false" ht="37.5" hidden="false" customHeight="true" outlineLevel="0" collapsed="false">
      <c r="A812" s="29"/>
      <c r="B812" s="30" t="s">
        <v>2383</v>
      </c>
      <c r="C812" s="31" t="s">
        <v>344</v>
      </c>
      <c r="D812" s="31" t="s">
        <v>108</v>
      </c>
      <c r="E812" s="32" t="n">
        <v>5215</v>
      </c>
      <c r="F812" s="32"/>
      <c r="G812" s="32" t="n">
        <v>100</v>
      </c>
      <c r="H812" s="33" t="n">
        <v>2</v>
      </c>
      <c r="I812" s="34" t="n">
        <f aca="false">E812*H812+N(F812)+N(G812)</f>
        <v>10530</v>
      </c>
      <c r="J812" s="32" t="n">
        <f aca="false">ROUND(IFERROR(ROUND(IF(OR(ISNUMBER(SEARCH("week",C812)),ISNUMBER(SEARCH("minggu",C812))),IFERROR(_xlfn.NUMBERVALUE(SUBSTITUTE(LEFT(TRIM(C812),FIND(" ",TRIM(C812)&amp;" ")-1),",","."),"."),LEFT(SUBSTITUTE(LEFT(TRIM(C812),FIND(" ",TRIM(C812)&amp;" ")-1),",","."),FIND("/",SUBSTITUTE(LEFT(TRIM(C812),FIND(" ",TRIM(C812)&amp;" ")-1),",","."))-1)/MID(SUBSTITUTE(LEFT(TRIM(C812),FIND(" ",TRIM(C812)&amp;" ")-1),",","."),FIND("/",SUBSTITUTE(LEFT(TRIM(C812),FIND(" ",TRIM(C812)&amp;" ")-1),",","."))+1,9))*12/52,IF(ISNUMBER(SEARCH("month",C812)),IFERROR(_xlfn.NUMBERVALUE(SUBSTITUTE(LEFT(TRIM(C812),FIND(" ",TRIM(C812)&amp;" ")-1),",","."),"."),LEFT(SUBSTITUTE(LEFT(TRIM(C812),FIND(" ",TRIM(C812)&amp;" ")-1),",","."),FIND("/",SUBSTITUTE(LEFT(TRIM(C812),FIND(" ",TRIM(C812)&amp;" ")-1),",","."))-1)/MID(SUBSTITUTE(LEFT(TRIM(C812),FIND(" ",TRIM(C812)&amp;" ")-1),",","."),FIND("/",SUBSTITUTE(LEFT(TRIM(C812),FIND(" ",TRIM(C812)&amp;" ")-1),",","."))+1,9)),IF(ISNUMBER(SEARCH("yea",C812)),IFERROR(_xlfn.NUMBERVALUE(SUBSTITUTE(LEFT(TRIM(C812),FIND(" ",TRIM(C812)&amp;" ")-1),",","."),"."),LEFT(SUBSTITUTE(LEFT(TRIM(C812),FIND(" ",TRIM(C812)&amp;" ")-1),",","."),FIND("/",SUBSTITUTE(LEFT(TRIM(C812),FIND(" ",TRIM(C812)&amp;" ")-1),",","."))-1)/MID(SUBSTITUTE(LEFT(TRIM(C812),FIND(" ",TRIM(C812)&amp;" ")-1),",","."),FIND("/",SUBSTITUTE(LEFT(TRIM(C812),FIND(" ",TRIM(C812)&amp;" ")-1),",","."))+1,9))*12,NA()))),0),6)*'Aturan &amp; Tarif'!$B$4,2)</f>
        <v>340.68</v>
      </c>
      <c r="K812" s="32" t="n">
        <f aca="false">'Aturan &amp; Tarif'!$B$5</f>
        <v>2050</v>
      </c>
      <c r="L812" s="35" t="n">
        <f aca="false">I812+J812+K812</f>
        <v>12920.68</v>
      </c>
      <c r="M812" s="37" t="s">
        <v>2366</v>
      </c>
    </row>
    <row r="813" customFormat="false" ht="83.25" hidden="false" customHeight="true" outlineLevel="0" collapsed="false">
      <c r="A813" s="29"/>
      <c r="B813" s="30" t="s">
        <v>2384</v>
      </c>
      <c r="C813" s="31" t="s">
        <v>127</v>
      </c>
      <c r="D813" s="31" t="s">
        <v>108</v>
      </c>
      <c r="E813" s="32" t="n">
        <v>4340</v>
      </c>
      <c r="F813" s="32"/>
      <c r="G813" s="32" t="n">
        <v>100</v>
      </c>
      <c r="H813" s="33" t="n">
        <v>2</v>
      </c>
      <c r="I813" s="34" t="n">
        <f aca="false">E813*H813+N(F813)+N(G813)</f>
        <v>8780</v>
      </c>
      <c r="J813" s="32" t="n">
        <f aca="false">ROUND(IFERROR(ROUND(IF(OR(ISNUMBER(SEARCH("week",C813)),ISNUMBER(SEARCH("minggu",C813))),IFERROR(_xlfn.NUMBERVALUE(SUBSTITUTE(LEFT(TRIM(C813),FIND(" ",TRIM(C813)&amp;" ")-1),",","."),"."),LEFT(SUBSTITUTE(LEFT(TRIM(C813),FIND(" ",TRIM(C813)&amp;" ")-1),",","."),FIND("/",SUBSTITUTE(LEFT(TRIM(C813),FIND(" ",TRIM(C813)&amp;" ")-1),",","."))-1)/MID(SUBSTITUTE(LEFT(TRIM(C813),FIND(" ",TRIM(C813)&amp;" ")-1),",","."),FIND("/",SUBSTITUTE(LEFT(TRIM(C813),FIND(" ",TRIM(C813)&amp;" ")-1),",","."))+1,9))*12/52,IF(ISNUMBER(SEARCH("month",C813)),IFERROR(_xlfn.NUMBERVALUE(SUBSTITUTE(LEFT(TRIM(C813),FIND(" ",TRIM(C813)&amp;" ")-1),",","."),"."),LEFT(SUBSTITUTE(LEFT(TRIM(C813),FIND(" ",TRIM(C813)&amp;" ")-1),",","."),FIND("/",SUBSTITUTE(LEFT(TRIM(C813),FIND(" ",TRIM(C813)&amp;" ")-1),",","."))-1)/MID(SUBSTITUTE(LEFT(TRIM(C813),FIND(" ",TRIM(C813)&amp;" ")-1),",","."),FIND("/",SUBSTITUTE(LEFT(TRIM(C813),FIND(" ",TRIM(C813)&amp;" ")-1),",","."))+1,9)),IF(ISNUMBER(SEARCH("yea",C813)),IFERROR(_xlfn.NUMBERVALUE(SUBSTITUTE(LEFT(TRIM(C813),FIND(" ",TRIM(C813)&amp;" ")-1),",","."),"."),LEFT(SUBSTITUTE(LEFT(TRIM(C813),FIND(" ",TRIM(C813)&amp;" ")-1),",","."),FIND("/",SUBSTITUTE(LEFT(TRIM(C813),FIND(" ",TRIM(C813)&amp;" ")-1),",","."))-1)/MID(SUBSTITUTE(LEFT(TRIM(C813),FIND(" ",TRIM(C813)&amp;" ")-1),",","."),FIND("/",SUBSTITUTE(LEFT(TRIM(C813),FIND(" ",TRIM(C813)&amp;" ")-1),",","."))+1,9))*12,NA()))),0),36)*'Aturan &amp; Tarif'!$B$4,2)</f>
        <v>2044.08</v>
      </c>
      <c r="K813" s="32" t="n">
        <f aca="false">'Aturan &amp; Tarif'!$B$5</f>
        <v>2050</v>
      </c>
      <c r="L813" s="35" t="n">
        <f aca="false">I813+J813+K813</f>
        <v>12874.08</v>
      </c>
      <c r="M813" s="37" t="s">
        <v>2373</v>
      </c>
    </row>
    <row r="814" customFormat="false" ht="72" hidden="false" customHeight="true" outlineLevel="0" collapsed="false">
      <c r="A814" s="29"/>
      <c r="B814" s="30" t="s">
        <v>2385</v>
      </c>
      <c r="C814" s="31" t="s">
        <v>113</v>
      </c>
      <c r="D814" s="31" t="s">
        <v>108</v>
      </c>
      <c r="E814" s="32" t="n">
        <v>5250</v>
      </c>
      <c r="F814" s="32"/>
      <c r="G814" s="32" t="n">
        <v>100</v>
      </c>
      <c r="H814" s="33" t="n">
        <v>2</v>
      </c>
      <c r="I814" s="34" t="n">
        <f aca="false">E814*H814+N(F814)+N(G814)</f>
        <v>10600</v>
      </c>
      <c r="J814" s="32" t="n">
        <f aca="false">ROUND(IFERROR(ROUND(IF(OR(ISNUMBER(SEARCH("week",C814)),ISNUMBER(SEARCH("minggu",C814))),IFERROR(_xlfn.NUMBERVALUE(SUBSTITUTE(LEFT(TRIM(C814),FIND(" ",TRIM(C814)&amp;" ")-1),",","."),"."),LEFT(SUBSTITUTE(LEFT(TRIM(C814),FIND(" ",TRIM(C814)&amp;" ")-1),",","."),FIND("/",SUBSTITUTE(LEFT(TRIM(C814),FIND(" ",TRIM(C814)&amp;" ")-1),",","."))-1)/MID(SUBSTITUTE(LEFT(TRIM(C814),FIND(" ",TRIM(C814)&amp;" ")-1),",","."),FIND("/",SUBSTITUTE(LEFT(TRIM(C814),FIND(" ",TRIM(C814)&amp;" ")-1),",","."))+1,9))*12/52,IF(ISNUMBER(SEARCH("month",C814)),IFERROR(_xlfn.NUMBERVALUE(SUBSTITUTE(LEFT(TRIM(C814),FIND(" ",TRIM(C814)&amp;" ")-1),",","."),"."),LEFT(SUBSTITUTE(LEFT(TRIM(C814),FIND(" ",TRIM(C814)&amp;" ")-1),",","."),FIND("/",SUBSTITUTE(LEFT(TRIM(C814),FIND(" ",TRIM(C814)&amp;" ")-1),",","."))-1)/MID(SUBSTITUTE(LEFT(TRIM(C814),FIND(" ",TRIM(C814)&amp;" ")-1),",","."),FIND("/",SUBSTITUTE(LEFT(TRIM(C814),FIND(" ",TRIM(C814)&amp;" ")-1),",","."))+1,9)),IF(ISNUMBER(SEARCH("yea",C814)),IFERROR(_xlfn.NUMBERVALUE(SUBSTITUTE(LEFT(TRIM(C814),FIND(" ",TRIM(C814)&amp;" ")-1),",","."),"."),LEFT(SUBSTITUTE(LEFT(TRIM(C814),FIND(" ",TRIM(C814)&amp;" ")-1),",","."),FIND("/",SUBSTITUTE(LEFT(TRIM(C814),FIND(" ",TRIM(C814)&amp;" ")-1),",","."))-1)/MID(SUBSTITUTE(LEFT(TRIM(C814),FIND(" ",TRIM(C814)&amp;" ")-1),",","."),FIND("/",SUBSTITUTE(LEFT(TRIM(C814),FIND(" ",TRIM(C814)&amp;" ")-1),",","."))+1,9))*12,NA()))),0),18)*'Aturan &amp; Tarif'!$B$4,2)</f>
        <v>1022.04</v>
      </c>
      <c r="K814" s="32" t="n">
        <f aca="false">'Aturan &amp; Tarif'!$B$5</f>
        <v>2050</v>
      </c>
      <c r="L814" s="35" t="n">
        <f aca="false">I814+J814+K814</f>
        <v>13672.04</v>
      </c>
      <c r="M814" s="36" t="s">
        <v>2368</v>
      </c>
    </row>
    <row r="815" customFormat="false" ht="37.5" hidden="false" customHeight="true" outlineLevel="0" collapsed="false">
      <c r="A815" s="29"/>
      <c r="B815" s="30" t="s">
        <v>2386</v>
      </c>
      <c r="C815" s="31" t="s">
        <v>107</v>
      </c>
      <c r="D815" s="31" t="s">
        <v>108</v>
      </c>
      <c r="E815" s="32" t="n">
        <v>3525</v>
      </c>
      <c r="F815" s="32"/>
      <c r="G815" s="32" t="n">
        <v>100</v>
      </c>
      <c r="H815" s="33" t="n">
        <v>2</v>
      </c>
      <c r="I815" s="34" t="n">
        <f aca="false">E815*H815+N(F815)+N(G815)</f>
        <v>7150</v>
      </c>
      <c r="J815" s="32" t="n">
        <f aca="false">ROUND(IFERROR(ROUND(IF(OR(ISNUMBER(SEARCH("week",C815)),ISNUMBER(SEARCH("minggu",C815))),IFERROR(_xlfn.NUMBERVALUE(SUBSTITUTE(LEFT(TRIM(C815),FIND(" ",TRIM(C815)&amp;" ")-1),",","."),"."),LEFT(SUBSTITUTE(LEFT(TRIM(C815),FIND(" ",TRIM(C815)&amp;" ")-1),",","."),FIND("/",SUBSTITUTE(LEFT(TRIM(C815),FIND(" ",TRIM(C815)&amp;" ")-1),",","."))-1)/MID(SUBSTITUTE(LEFT(TRIM(C815),FIND(" ",TRIM(C815)&amp;" ")-1),",","."),FIND("/",SUBSTITUTE(LEFT(TRIM(C815),FIND(" ",TRIM(C815)&amp;" ")-1),",","."))+1,9))*12/52,IF(ISNUMBER(SEARCH("month",C815)),IFERROR(_xlfn.NUMBERVALUE(SUBSTITUTE(LEFT(TRIM(C815),FIND(" ",TRIM(C815)&amp;" ")-1),",","."),"."),LEFT(SUBSTITUTE(LEFT(TRIM(C815),FIND(" ",TRIM(C815)&amp;" ")-1),",","."),FIND("/",SUBSTITUTE(LEFT(TRIM(C815),FIND(" ",TRIM(C815)&amp;" ")-1),",","."))-1)/MID(SUBSTITUTE(LEFT(TRIM(C815),FIND(" ",TRIM(C815)&amp;" ")-1),",","."),FIND("/",SUBSTITUTE(LEFT(TRIM(C815),FIND(" ",TRIM(C815)&amp;" ")-1),",","."))+1,9)),IF(ISNUMBER(SEARCH("yea",C815)),IFERROR(_xlfn.NUMBERVALUE(SUBSTITUTE(LEFT(TRIM(C815),FIND(" ",TRIM(C815)&amp;" ")-1),",","."),"."),LEFT(SUBSTITUTE(LEFT(TRIM(C815),FIND(" ",TRIM(C815)&amp;" ")-1),",","."),FIND("/",SUBSTITUTE(LEFT(TRIM(C815),FIND(" ",TRIM(C815)&amp;" ")-1),",","."))-1)/MID(SUBSTITUTE(LEFT(TRIM(C815),FIND(" ",TRIM(C815)&amp;" ")-1),",","."),FIND("/",SUBSTITUTE(LEFT(TRIM(C815),FIND(" ",TRIM(C815)&amp;" ")-1),",","."))+1,9))*12,NA()))),0),24)*'Aturan &amp; Tarif'!$B$4,2)</f>
        <v>1362.72</v>
      </c>
      <c r="K815" s="32" t="n">
        <f aca="false">'Aturan &amp; Tarif'!$B$5</f>
        <v>2050</v>
      </c>
      <c r="L815" s="35" t="n">
        <f aca="false">I815+J815+K815</f>
        <v>10562.72</v>
      </c>
      <c r="M815" s="36" t="s">
        <v>2368</v>
      </c>
    </row>
    <row r="816" customFormat="false" ht="48.75" hidden="false" customHeight="true" outlineLevel="0" collapsed="false">
      <c r="A816" s="29"/>
      <c r="B816" s="30" t="s">
        <v>2387</v>
      </c>
      <c r="C816" s="31" t="s">
        <v>107</v>
      </c>
      <c r="D816" s="31" t="s">
        <v>108</v>
      </c>
      <c r="E816" s="32" t="n">
        <v>3125</v>
      </c>
      <c r="F816" s="32"/>
      <c r="G816" s="32" t="n">
        <v>100</v>
      </c>
      <c r="H816" s="33" t="n">
        <v>2</v>
      </c>
      <c r="I816" s="34" t="n">
        <f aca="false">E816*H816+N(F816)+N(G816)</f>
        <v>6350</v>
      </c>
      <c r="J816" s="32" t="n">
        <f aca="false">ROUND(IFERROR(ROUND(IF(OR(ISNUMBER(SEARCH("week",C816)),ISNUMBER(SEARCH("minggu",C816))),IFERROR(_xlfn.NUMBERVALUE(SUBSTITUTE(LEFT(TRIM(C816),FIND(" ",TRIM(C816)&amp;" ")-1),",","."),"."),LEFT(SUBSTITUTE(LEFT(TRIM(C816),FIND(" ",TRIM(C816)&amp;" ")-1),",","."),FIND("/",SUBSTITUTE(LEFT(TRIM(C816),FIND(" ",TRIM(C816)&amp;" ")-1),",","."))-1)/MID(SUBSTITUTE(LEFT(TRIM(C816),FIND(" ",TRIM(C816)&amp;" ")-1),",","."),FIND("/",SUBSTITUTE(LEFT(TRIM(C816),FIND(" ",TRIM(C816)&amp;" ")-1),",","."))+1,9))*12/52,IF(ISNUMBER(SEARCH("month",C816)),IFERROR(_xlfn.NUMBERVALUE(SUBSTITUTE(LEFT(TRIM(C816),FIND(" ",TRIM(C816)&amp;" ")-1),",","."),"."),LEFT(SUBSTITUTE(LEFT(TRIM(C816),FIND(" ",TRIM(C816)&amp;" ")-1),",","."),FIND("/",SUBSTITUTE(LEFT(TRIM(C816),FIND(" ",TRIM(C816)&amp;" ")-1),",","."))-1)/MID(SUBSTITUTE(LEFT(TRIM(C816),FIND(" ",TRIM(C816)&amp;" ")-1),",","."),FIND("/",SUBSTITUTE(LEFT(TRIM(C816),FIND(" ",TRIM(C816)&amp;" ")-1),",","."))+1,9)),IF(ISNUMBER(SEARCH("yea",C816)),IFERROR(_xlfn.NUMBERVALUE(SUBSTITUTE(LEFT(TRIM(C816),FIND(" ",TRIM(C816)&amp;" ")-1),",","."),"."),LEFT(SUBSTITUTE(LEFT(TRIM(C816),FIND(" ",TRIM(C816)&amp;" ")-1),",","."),FIND("/",SUBSTITUTE(LEFT(TRIM(C816),FIND(" ",TRIM(C816)&amp;" ")-1),",","."))-1)/MID(SUBSTITUTE(LEFT(TRIM(C816),FIND(" ",TRIM(C816)&amp;" ")-1),",","."),FIND("/",SUBSTITUTE(LEFT(TRIM(C816),FIND(" ",TRIM(C816)&amp;" ")-1),",","."))+1,9))*12,NA()))),0),24)*'Aturan &amp; Tarif'!$B$4,2)</f>
        <v>1362.72</v>
      </c>
      <c r="K816" s="32" t="n">
        <f aca="false">'Aturan &amp; Tarif'!$B$5</f>
        <v>2050</v>
      </c>
      <c r="L816" s="35" t="n">
        <f aca="false">I816+J816+K816</f>
        <v>9762.72</v>
      </c>
      <c r="M816" s="36" t="s">
        <v>2368</v>
      </c>
    </row>
    <row r="817" customFormat="false" ht="72" hidden="false" customHeight="true" outlineLevel="0" collapsed="false">
      <c r="A817" s="29"/>
      <c r="B817" s="30" t="s">
        <v>2388</v>
      </c>
      <c r="C817" s="31" t="s">
        <v>191</v>
      </c>
      <c r="D817" s="31" t="s">
        <v>108</v>
      </c>
      <c r="E817" s="32" t="n">
        <v>3880</v>
      </c>
      <c r="F817" s="32"/>
      <c r="G817" s="32" t="n">
        <v>100</v>
      </c>
      <c r="H817" s="33" t="n">
        <v>2</v>
      </c>
      <c r="I817" s="34" t="n">
        <f aca="false">E817*H817+N(F817)+N(G817)</f>
        <v>7860</v>
      </c>
      <c r="J817" s="32" t="n">
        <f aca="false">ROUND(IFERROR(ROUND(IF(OR(ISNUMBER(SEARCH("week",C817)),ISNUMBER(SEARCH("minggu",C817))),IFERROR(_xlfn.NUMBERVALUE(SUBSTITUTE(LEFT(TRIM(C817),FIND(" ",TRIM(C817)&amp;" ")-1),",","."),"."),LEFT(SUBSTITUTE(LEFT(TRIM(C817),FIND(" ",TRIM(C817)&amp;" ")-1),",","."),FIND("/",SUBSTITUTE(LEFT(TRIM(C817),FIND(" ",TRIM(C817)&amp;" ")-1),",","."))-1)/MID(SUBSTITUTE(LEFT(TRIM(C817),FIND(" ",TRIM(C817)&amp;" ")-1),",","."),FIND("/",SUBSTITUTE(LEFT(TRIM(C817),FIND(" ",TRIM(C817)&amp;" ")-1),",","."))+1,9))*12/52,IF(ISNUMBER(SEARCH("month",C817)),IFERROR(_xlfn.NUMBERVALUE(SUBSTITUTE(LEFT(TRIM(C817),FIND(" ",TRIM(C817)&amp;" ")-1),",","."),"."),LEFT(SUBSTITUTE(LEFT(TRIM(C817),FIND(" ",TRIM(C817)&amp;" ")-1),",","."),FIND("/",SUBSTITUTE(LEFT(TRIM(C817),FIND(" ",TRIM(C817)&amp;" ")-1),",","."))-1)/MID(SUBSTITUTE(LEFT(TRIM(C817),FIND(" ",TRIM(C817)&amp;" ")-1),",","."),FIND("/",SUBSTITUTE(LEFT(TRIM(C817),FIND(" ",TRIM(C817)&amp;" ")-1),",","."))+1,9)),IF(ISNUMBER(SEARCH("yea",C817)),IFERROR(_xlfn.NUMBERVALUE(SUBSTITUTE(LEFT(TRIM(C817),FIND(" ",TRIM(C817)&amp;" ")-1),",","."),"."),LEFT(SUBSTITUTE(LEFT(TRIM(C817),FIND(" ",TRIM(C817)&amp;" ")-1),",","."),FIND("/",SUBSTITUTE(LEFT(TRIM(C817),FIND(" ",TRIM(C817)&amp;" ")-1),",","."))-1)/MID(SUBSTITUTE(LEFT(TRIM(C817),FIND(" ",TRIM(C817)&amp;" ")-1),",","."),FIND("/",SUBSTITUTE(LEFT(TRIM(C817),FIND(" ",TRIM(C817)&amp;" ")-1),",","."))+1,9))*12,NA()))),0),48)*'Aturan &amp; Tarif'!$B$4,2)</f>
        <v>2725.44</v>
      </c>
      <c r="K817" s="32" t="n">
        <f aca="false">'Aturan &amp; Tarif'!$B$5</f>
        <v>2050</v>
      </c>
      <c r="L817" s="35" t="n">
        <f aca="false">I817+J817+K817</f>
        <v>12635.44</v>
      </c>
      <c r="M817" s="37" t="s">
        <v>2373</v>
      </c>
    </row>
    <row r="818" customFormat="false" ht="37.5" hidden="false" customHeight="true" outlineLevel="0" collapsed="false">
      <c r="A818" s="29"/>
      <c r="B818" s="30" t="s">
        <v>2389</v>
      </c>
      <c r="C818" s="31" t="s">
        <v>138</v>
      </c>
      <c r="D818" s="31" t="s">
        <v>108</v>
      </c>
      <c r="E818" s="32" t="n">
        <v>3880</v>
      </c>
      <c r="F818" s="32"/>
      <c r="G818" s="32" t="n">
        <v>100</v>
      </c>
      <c r="H818" s="33" t="n">
        <v>2</v>
      </c>
      <c r="I818" s="34" t="n">
        <f aca="false">E818*H818+N(F818)+N(G818)</f>
        <v>7860</v>
      </c>
      <c r="J818" s="32" t="n">
        <f aca="false">ROUND(IFERROR(ROUND(IF(OR(ISNUMBER(SEARCH("week",C818)),ISNUMBER(SEARCH("minggu",C818))),IFERROR(_xlfn.NUMBERVALUE(SUBSTITUTE(LEFT(TRIM(C818),FIND(" ",TRIM(C818)&amp;" ")-1),",","."),"."),LEFT(SUBSTITUTE(LEFT(TRIM(C818),FIND(" ",TRIM(C818)&amp;" ")-1),",","."),FIND("/",SUBSTITUTE(LEFT(TRIM(C818),FIND(" ",TRIM(C818)&amp;" ")-1),",","."))-1)/MID(SUBSTITUTE(LEFT(TRIM(C818),FIND(" ",TRIM(C818)&amp;" ")-1),",","."),FIND("/",SUBSTITUTE(LEFT(TRIM(C818),FIND(" ",TRIM(C818)&amp;" ")-1),",","."))+1,9))*12/52,IF(ISNUMBER(SEARCH("month",C818)),IFERROR(_xlfn.NUMBERVALUE(SUBSTITUTE(LEFT(TRIM(C818),FIND(" ",TRIM(C818)&amp;" ")-1),",","."),"."),LEFT(SUBSTITUTE(LEFT(TRIM(C818),FIND(" ",TRIM(C818)&amp;" ")-1),",","."),FIND("/",SUBSTITUTE(LEFT(TRIM(C818),FIND(" ",TRIM(C818)&amp;" ")-1),",","."))-1)/MID(SUBSTITUTE(LEFT(TRIM(C818),FIND(" ",TRIM(C818)&amp;" ")-1),",","."),FIND("/",SUBSTITUTE(LEFT(TRIM(C818),FIND(" ",TRIM(C818)&amp;" ")-1),",","."))+1,9)),IF(ISNUMBER(SEARCH("yea",C818)),IFERROR(_xlfn.NUMBERVALUE(SUBSTITUTE(LEFT(TRIM(C818),FIND(" ",TRIM(C818)&amp;" ")-1),",","."),"."),LEFT(SUBSTITUTE(LEFT(TRIM(C818),FIND(" ",TRIM(C818)&amp;" ")-1),",","."),FIND("/",SUBSTITUTE(LEFT(TRIM(C818),FIND(" ",TRIM(C818)&amp;" ")-1),",","."))-1)/MID(SUBSTITUTE(LEFT(TRIM(C818),FIND(" ",TRIM(C818)&amp;" ")-1),",","."),FIND("/",SUBSTITUTE(LEFT(TRIM(C818),FIND(" ",TRIM(C818)&amp;" ")-1),",","."))+1,9))*12,NA()))),0),30)*'Aturan &amp; Tarif'!$B$4,2)</f>
        <v>1703.4</v>
      </c>
      <c r="K818" s="32" t="n">
        <f aca="false">'Aturan &amp; Tarif'!$B$5</f>
        <v>2050</v>
      </c>
      <c r="L818" s="35" t="n">
        <f aca="false">I818+J818+K818</f>
        <v>11613.4</v>
      </c>
      <c r="M818" s="37" t="s">
        <v>2373</v>
      </c>
    </row>
    <row r="819" customFormat="false" ht="37.5" hidden="false" customHeight="true" outlineLevel="0" collapsed="false">
      <c r="A819" s="29"/>
      <c r="B819" s="30" t="s">
        <v>2390</v>
      </c>
      <c r="C819" s="31" t="s">
        <v>107</v>
      </c>
      <c r="D819" s="31" t="s">
        <v>108</v>
      </c>
      <c r="E819" s="32" t="n">
        <v>3350</v>
      </c>
      <c r="F819" s="32"/>
      <c r="G819" s="32" t="n">
        <v>100</v>
      </c>
      <c r="H819" s="33" t="n">
        <v>2</v>
      </c>
      <c r="I819" s="34" t="n">
        <f aca="false">E819*H819+N(F819)+N(G819)</f>
        <v>6800</v>
      </c>
      <c r="J819" s="32" t="n">
        <f aca="false">ROUND(IFERROR(ROUND(IF(OR(ISNUMBER(SEARCH("week",C819)),ISNUMBER(SEARCH("minggu",C819))),IFERROR(_xlfn.NUMBERVALUE(SUBSTITUTE(LEFT(TRIM(C819),FIND(" ",TRIM(C819)&amp;" ")-1),",","."),"."),LEFT(SUBSTITUTE(LEFT(TRIM(C819),FIND(" ",TRIM(C819)&amp;" ")-1),",","."),FIND("/",SUBSTITUTE(LEFT(TRIM(C819),FIND(" ",TRIM(C819)&amp;" ")-1),",","."))-1)/MID(SUBSTITUTE(LEFT(TRIM(C819),FIND(" ",TRIM(C819)&amp;" ")-1),",","."),FIND("/",SUBSTITUTE(LEFT(TRIM(C819),FIND(" ",TRIM(C819)&amp;" ")-1),",","."))+1,9))*12/52,IF(ISNUMBER(SEARCH("month",C819)),IFERROR(_xlfn.NUMBERVALUE(SUBSTITUTE(LEFT(TRIM(C819),FIND(" ",TRIM(C819)&amp;" ")-1),",","."),"."),LEFT(SUBSTITUTE(LEFT(TRIM(C819),FIND(" ",TRIM(C819)&amp;" ")-1),",","."),FIND("/",SUBSTITUTE(LEFT(TRIM(C819),FIND(" ",TRIM(C819)&amp;" ")-1),",","."))-1)/MID(SUBSTITUTE(LEFT(TRIM(C819),FIND(" ",TRIM(C819)&amp;" ")-1),",","."),FIND("/",SUBSTITUTE(LEFT(TRIM(C819),FIND(" ",TRIM(C819)&amp;" ")-1),",","."))+1,9)),IF(ISNUMBER(SEARCH("yea",C819)),IFERROR(_xlfn.NUMBERVALUE(SUBSTITUTE(LEFT(TRIM(C819),FIND(" ",TRIM(C819)&amp;" ")-1),",","."),"."),LEFT(SUBSTITUTE(LEFT(TRIM(C819),FIND(" ",TRIM(C819)&amp;" ")-1),",","."),FIND("/",SUBSTITUTE(LEFT(TRIM(C819),FIND(" ",TRIM(C819)&amp;" ")-1),",","."))-1)/MID(SUBSTITUTE(LEFT(TRIM(C819),FIND(" ",TRIM(C819)&amp;" ")-1),",","."),FIND("/",SUBSTITUTE(LEFT(TRIM(C819),FIND(" ",TRIM(C819)&amp;" ")-1),",","."))+1,9))*12,NA()))),0),24)*'Aturan &amp; Tarif'!$B$4,2)</f>
        <v>1362.72</v>
      </c>
      <c r="K819" s="32" t="n">
        <f aca="false">'Aturan &amp; Tarif'!$B$5</f>
        <v>2050</v>
      </c>
      <c r="L819" s="35" t="n">
        <f aca="false">I819+J819+K819</f>
        <v>10212.72</v>
      </c>
      <c r="M819" s="36" t="s">
        <v>2368</v>
      </c>
    </row>
    <row r="820" customFormat="false" ht="37.5" hidden="false" customHeight="true" outlineLevel="0" collapsed="false">
      <c r="A820" s="29"/>
      <c r="B820" s="30" t="s">
        <v>2391</v>
      </c>
      <c r="C820" s="31" t="s">
        <v>107</v>
      </c>
      <c r="D820" s="31" t="s">
        <v>108</v>
      </c>
      <c r="E820" s="32" t="n">
        <v>4510</v>
      </c>
      <c r="F820" s="32"/>
      <c r="G820" s="32" t="n">
        <v>100</v>
      </c>
      <c r="H820" s="33" t="n">
        <v>2</v>
      </c>
      <c r="I820" s="34" t="n">
        <f aca="false">E820*H820+N(F820)+N(G820)</f>
        <v>9120</v>
      </c>
      <c r="J820" s="32" t="n">
        <f aca="false">ROUND(IFERROR(ROUND(IF(OR(ISNUMBER(SEARCH("week",C820)),ISNUMBER(SEARCH("minggu",C820))),IFERROR(_xlfn.NUMBERVALUE(SUBSTITUTE(LEFT(TRIM(C820),FIND(" ",TRIM(C820)&amp;" ")-1),",","."),"."),LEFT(SUBSTITUTE(LEFT(TRIM(C820),FIND(" ",TRIM(C820)&amp;" ")-1),",","."),FIND("/",SUBSTITUTE(LEFT(TRIM(C820),FIND(" ",TRIM(C820)&amp;" ")-1),",","."))-1)/MID(SUBSTITUTE(LEFT(TRIM(C820),FIND(" ",TRIM(C820)&amp;" ")-1),",","."),FIND("/",SUBSTITUTE(LEFT(TRIM(C820),FIND(" ",TRIM(C820)&amp;" ")-1),",","."))+1,9))*12/52,IF(ISNUMBER(SEARCH("month",C820)),IFERROR(_xlfn.NUMBERVALUE(SUBSTITUTE(LEFT(TRIM(C820),FIND(" ",TRIM(C820)&amp;" ")-1),",","."),"."),LEFT(SUBSTITUTE(LEFT(TRIM(C820),FIND(" ",TRIM(C820)&amp;" ")-1),",","."),FIND("/",SUBSTITUTE(LEFT(TRIM(C820),FIND(" ",TRIM(C820)&amp;" ")-1),",","."))-1)/MID(SUBSTITUTE(LEFT(TRIM(C820),FIND(" ",TRIM(C820)&amp;" ")-1),",","."),FIND("/",SUBSTITUTE(LEFT(TRIM(C820),FIND(" ",TRIM(C820)&amp;" ")-1),",","."))+1,9)),IF(ISNUMBER(SEARCH("yea",C820)),IFERROR(_xlfn.NUMBERVALUE(SUBSTITUTE(LEFT(TRIM(C820),FIND(" ",TRIM(C820)&amp;" ")-1),",","."),"."),LEFT(SUBSTITUTE(LEFT(TRIM(C820),FIND(" ",TRIM(C820)&amp;" ")-1),",","."),FIND("/",SUBSTITUTE(LEFT(TRIM(C820),FIND(" ",TRIM(C820)&amp;" ")-1),",","."))-1)/MID(SUBSTITUTE(LEFT(TRIM(C820),FIND(" ",TRIM(C820)&amp;" ")-1),",","."),FIND("/",SUBSTITUTE(LEFT(TRIM(C820),FIND(" ",TRIM(C820)&amp;" ")-1),",","."))+1,9))*12,NA()))),0),24)*'Aturan &amp; Tarif'!$B$4,2)</f>
        <v>1362.72</v>
      </c>
      <c r="K820" s="32" t="n">
        <f aca="false">'Aturan &amp; Tarif'!$B$5</f>
        <v>2050</v>
      </c>
      <c r="L820" s="35" t="n">
        <f aca="false">I820+J820+K820</f>
        <v>12532.72</v>
      </c>
      <c r="M820" s="37" t="s">
        <v>2366</v>
      </c>
    </row>
    <row r="821" customFormat="false" ht="25.5" hidden="false" customHeight="true" outlineLevel="0" collapsed="false">
      <c r="A821" s="29"/>
      <c r="B821" s="30" t="s">
        <v>2392</v>
      </c>
      <c r="C821" s="31" t="s">
        <v>107</v>
      </c>
      <c r="D821" s="31" t="s">
        <v>108</v>
      </c>
      <c r="E821" s="32" t="n">
        <v>3580</v>
      </c>
      <c r="F821" s="32"/>
      <c r="G821" s="32" t="n">
        <v>100</v>
      </c>
      <c r="H821" s="33" t="n">
        <v>2</v>
      </c>
      <c r="I821" s="34" t="n">
        <f aca="false">E821*H821+N(F821)+N(G821)</f>
        <v>7260</v>
      </c>
      <c r="J821" s="32" t="n">
        <f aca="false">ROUND(IFERROR(ROUND(IF(OR(ISNUMBER(SEARCH("week",C821)),ISNUMBER(SEARCH("minggu",C821))),IFERROR(_xlfn.NUMBERVALUE(SUBSTITUTE(LEFT(TRIM(C821),FIND(" ",TRIM(C821)&amp;" ")-1),",","."),"."),LEFT(SUBSTITUTE(LEFT(TRIM(C821),FIND(" ",TRIM(C821)&amp;" ")-1),",","."),FIND("/",SUBSTITUTE(LEFT(TRIM(C821),FIND(" ",TRIM(C821)&amp;" ")-1),",","."))-1)/MID(SUBSTITUTE(LEFT(TRIM(C821),FIND(" ",TRIM(C821)&amp;" ")-1),",","."),FIND("/",SUBSTITUTE(LEFT(TRIM(C821),FIND(" ",TRIM(C821)&amp;" ")-1),",","."))+1,9))*12/52,IF(ISNUMBER(SEARCH("month",C821)),IFERROR(_xlfn.NUMBERVALUE(SUBSTITUTE(LEFT(TRIM(C821),FIND(" ",TRIM(C821)&amp;" ")-1),",","."),"."),LEFT(SUBSTITUTE(LEFT(TRIM(C821),FIND(" ",TRIM(C821)&amp;" ")-1),",","."),FIND("/",SUBSTITUTE(LEFT(TRIM(C821),FIND(" ",TRIM(C821)&amp;" ")-1),",","."))-1)/MID(SUBSTITUTE(LEFT(TRIM(C821),FIND(" ",TRIM(C821)&amp;" ")-1),",","."),FIND("/",SUBSTITUTE(LEFT(TRIM(C821),FIND(" ",TRIM(C821)&amp;" ")-1),",","."))+1,9)),IF(ISNUMBER(SEARCH("yea",C821)),IFERROR(_xlfn.NUMBERVALUE(SUBSTITUTE(LEFT(TRIM(C821),FIND(" ",TRIM(C821)&amp;" ")-1),",","."),"."),LEFT(SUBSTITUTE(LEFT(TRIM(C821),FIND(" ",TRIM(C821)&amp;" ")-1),",","."),FIND("/",SUBSTITUTE(LEFT(TRIM(C821),FIND(" ",TRIM(C821)&amp;" ")-1),",","."))-1)/MID(SUBSTITUTE(LEFT(TRIM(C821),FIND(" ",TRIM(C821)&amp;" ")-1),",","."),FIND("/",SUBSTITUTE(LEFT(TRIM(C821),FIND(" ",TRIM(C821)&amp;" ")-1),",","."))+1,9))*12,NA()))),0),24)*'Aturan &amp; Tarif'!$B$4,2)</f>
        <v>1362.72</v>
      </c>
      <c r="K821" s="32" t="n">
        <f aca="false">'Aturan &amp; Tarif'!$B$5</f>
        <v>2050</v>
      </c>
      <c r="L821" s="35" t="n">
        <f aca="false">I821+J821+K821</f>
        <v>10672.72</v>
      </c>
      <c r="M821" s="37" t="s">
        <v>2366</v>
      </c>
    </row>
    <row r="822" customFormat="false" ht="37.5" hidden="false" customHeight="true" outlineLevel="0" collapsed="false">
      <c r="A822" s="29"/>
      <c r="B822" s="30" t="s">
        <v>2393</v>
      </c>
      <c r="C822" s="31" t="s">
        <v>130</v>
      </c>
      <c r="D822" s="31" t="s">
        <v>108</v>
      </c>
      <c r="E822" s="32" t="n">
        <v>5000</v>
      </c>
      <c r="F822" s="32"/>
      <c r="G822" s="32" t="n">
        <v>100</v>
      </c>
      <c r="H822" s="33" t="n">
        <v>2</v>
      </c>
      <c r="I822" s="34" t="n">
        <f aca="false">E822*H822+N(F822)+N(G822)</f>
        <v>10100</v>
      </c>
      <c r="J822" s="32" t="n">
        <f aca="false">ROUND(IFERROR(ROUND(IF(OR(ISNUMBER(SEARCH("week",C822)),ISNUMBER(SEARCH("minggu",C822))),IFERROR(_xlfn.NUMBERVALUE(SUBSTITUTE(LEFT(TRIM(C822),FIND(" ",TRIM(C822)&amp;" ")-1),",","."),"."),LEFT(SUBSTITUTE(LEFT(TRIM(C822),FIND(" ",TRIM(C822)&amp;" ")-1),",","."),FIND("/",SUBSTITUTE(LEFT(TRIM(C822),FIND(" ",TRIM(C822)&amp;" ")-1),",","."))-1)/MID(SUBSTITUTE(LEFT(TRIM(C822),FIND(" ",TRIM(C822)&amp;" ")-1),",","."),FIND("/",SUBSTITUTE(LEFT(TRIM(C822),FIND(" ",TRIM(C822)&amp;" ")-1),",","."))+1,9))*12/52,IF(ISNUMBER(SEARCH("month",C822)),IFERROR(_xlfn.NUMBERVALUE(SUBSTITUTE(LEFT(TRIM(C822),FIND(" ",TRIM(C822)&amp;" ")-1),",","."),"."),LEFT(SUBSTITUTE(LEFT(TRIM(C822),FIND(" ",TRIM(C822)&amp;" ")-1),",","."),FIND("/",SUBSTITUTE(LEFT(TRIM(C822),FIND(" ",TRIM(C822)&amp;" ")-1),",","."))-1)/MID(SUBSTITUTE(LEFT(TRIM(C822),FIND(" ",TRIM(C822)&amp;" ")-1),",","."),FIND("/",SUBSTITUTE(LEFT(TRIM(C822),FIND(" ",TRIM(C822)&amp;" ")-1),",","."))+1,9)),IF(ISNUMBER(SEARCH("yea",C822)),IFERROR(_xlfn.NUMBERVALUE(SUBSTITUTE(LEFT(TRIM(C822),FIND(" ",TRIM(C822)&amp;" ")-1),",","."),"."),LEFT(SUBSTITUTE(LEFT(TRIM(C822),FIND(" ",TRIM(C822)&amp;" ")-1),",","."),FIND("/",SUBSTITUTE(LEFT(TRIM(C822),FIND(" ",TRIM(C822)&amp;" ")-1),",","."))-1)/MID(SUBSTITUTE(LEFT(TRIM(C822),FIND(" ",TRIM(C822)&amp;" ")-1),",","."),FIND("/",SUBSTITUTE(LEFT(TRIM(C822),FIND(" ",TRIM(C822)&amp;" ")-1),",","."))+1,9))*12,NA()))),0),12)*'Aturan &amp; Tarif'!$B$4,2)</f>
        <v>681.36</v>
      </c>
      <c r="K822" s="32" t="n">
        <f aca="false">'Aturan &amp; Tarif'!$B$5</f>
        <v>2050</v>
      </c>
      <c r="L822" s="35" t="n">
        <f aca="false">I822+J822+K822</f>
        <v>12831.36</v>
      </c>
      <c r="M822" s="37" t="s">
        <v>2366</v>
      </c>
    </row>
    <row r="823" customFormat="false" ht="25.5" hidden="false" customHeight="true" outlineLevel="0" collapsed="false">
      <c r="A823" s="29"/>
      <c r="B823" s="30" t="s">
        <v>2394</v>
      </c>
      <c r="C823" s="31" t="s">
        <v>130</v>
      </c>
      <c r="D823" s="31" t="s">
        <v>108</v>
      </c>
      <c r="E823" s="32" t="n">
        <v>4237.5</v>
      </c>
      <c r="F823" s="32"/>
      <c r="G823" s="32" t="n">
        <v>100</v>
      </c>
      <c r="H823" s="33" t="n">
        <v>2</v>
      </c>
      <c r="I823" s="34" t="n">
        <f aca="false">E823*H823+N(F823)+N(G823)</f>
        <v>8575</v>
      </c>
      <c r="J823" s="32" t="n">
        <f aca="false">ROUND(IFERROR(ROUND(IF(OR(ISNUMBER(SEARCH("week",C823)),ISNUMBER(SEARCH("minggu",C823))),IFERROR(_xlfn.NUMBERVALUE(SUBSTITUTE(LEFT(TRIM(C823),FIND(" ",TRIM(C823)&amp;" ")-1),",","."),"."),LEFT(SUBSTITUTE(LEFT(TRIM(C823),FIND(" ",TRIM(C823)&amp;" ")-1),",","."),FIND("/",SUBSTITUTE(LEFT(TRIM(C823),FIND(" ",TRIM(C823)&amp;" ")-1),",","."))-1)/MID(SUBSTITUTE(LEFT(TRIM(C823),FIND(" ",TRIM(C823)&amp;" ")-1),",","."),FIND("/",SUBSTITUTE(LEFT(TRIM(C823),FIND(" ",TRIM(C823)&amp;" ")-1),",","."))+1,9))*12/52,IF(ISNUMBER(SEARCH("month",C823)),IFERROR(_xlfn.NUMBERVALUE(SUBSTITUTE(LEFT(TRIM(C823),FIND(" ",TRIM(C823)&amp;" ")-1),",","."),"."),LEFT(SUBSTITUTE(LEFT(TRIM(C823),FIND(" ",TRIM(C823)&amp;" ")-1),",","."),FIND("/",SUBSTITUTE(LEFT(TRIM(C823),FIND(" ",TRIM(C823)&amp;" ")-1),",","."))-1)/MID(SUBSTITUTE(LEFT(TRIM(C823),FIND(" ",TRIM(C823)&amp;" ")-1),",","."),FIND("/",SUBSTITUTE(LEFT(TRIM(C823),FIND(" ",TRIM(C823)&amp;" ")-1),",","."))+1,9)),IF(ISNUMBER(SEARCH("yea",C823)),IFERROR(_xlfn.NUMBERVALUE(SUBSTITUTE(LEFT(TRIM(C823),FIND(" ",TRIM(C823)&amp;" ")-1),",","."),"."),LEFT(SUBSTITUTE(LEFT(TRIM(C823),FIND(" ",TRIM(C823)&amp;" ")-1),",","."),FIND("/",SUBSTITUTE(LEFT(TRIM(C823),FIND(" ",TRIM(C823)&amp;" ")-1),",","."))-1)/MID(SUBSTITUTE(LEFT(TRIM(C823),FIND(" ",TRIM(C823)&amp;" ")-1),",","."),FIND("/",SUBSTITUTE(LEFT(TRIM(C823),FIND(" ",TRIM(C823)&amp;" ")-1),",","."))+1,9))*12,NA()))),0),12)*'Aturan &amp; Tarif'!$B$4,2)</f>
        <v>681.36</v>
      </c>
      <c r="K823" s="32" t="n">
        <f aca="false">'Aturan &amp; Tarif'!$B$5</f>
        <v>2050</v>
      </c>
      <c r="L823" s="35" t="n">
        <f aca="false">I823+J823+K823</f>
        <v>11306.36</v>
      </c>
      <c r="M823" s="37" t="s">
        <v>2366</v>
      </c>
    </row>
    <row r="824" customFormat="false" ht="48.75" hidden="false" customHeight="true" outlineLevel="0" collapsed="false">
      <c r="A824" s="29"/>
      <c r="B824" s="30" t="s">
        <v>2395</v>
      </c>
      <c r="C824" s="31" t="s">
        <v>130</v>
      </c>
      <c r="D824" s="31" t="s">
        <v>108</v>
      </c>
      <c r="E824" s="32" t="n">
        <v>3732</v>
      </c>
      <c r="F824" s="32"/>
      <c r="G824" s="32" t="n">
        <v>100</v>
      </c>
      <c r="H824" s="33" t="n">
        <v>2</v>
      </c>
      <c r="I824" s="34" t="n">
        <f aca="false">E824*H824+N(F824)+N(G824)</f>
        <v>7564</v>
      </c>
      <c r="J824" s="32" t="n">
        <f aca="false">ROUND(IFERROR(ROUND(IF(OR(ISNUMBER(SEARCH("week",C824)),ISNUMBER(SEARCH("minggu",C824))),IFERROR(_xlfn.NUMBERVALUE(SUBSTITUTE(LEFT(TRIM(C824),FIND(" ",TRIM(C824)&amp;" ")-1),",","."),"."),LEFT(SUBSTITUTE(LEFT(TRIM(C824),FIND(" ",TRIM(C824)&amp;" ")-1),",","."),FIND("/",SUBSTITUTE(LEFT(TRIM(C824),FIND(" ",TRIM(C824)&amp;" ")-1),",","."))-1)/MID(SUBSTITUTE(LEFT(TRIM(C824),FIND(" ",TRIM(C824)&amp;" ")-1),",","."),FIND("/",SUBSTITUTE(LEFT(TRIM(C824),FIND(" ",TRIM(C824)&amp;" ")-1),",","."))+1,9))*12/52,IF(ISNUMBER(SEARCH("month",C824)),IFERROR(_xlfn.NUMBERVALUE(SUBSTITUTE(LEFT(TRIM(C824),FIND(" ",TRIM(C824)&amp;" ")-1),",","."),"."),LEFT(SUBSTITUTE(LEFT(TRIM(C824),FIND(" ",TRIM(C824)&amp;" ")-1),",","."),FIND("/",SUBSTITUTE(LEFT(TRIM(C824),FIND(" ",TRIM(C824)&amp;" ")-1),",","."))-1)/MID(SUBSTITUTE(LEFT(TRIM(C824),FIND(" ",TRIM(C824)&amp;" ")-1),",","."),FIND("/",SUBSTITUTE(LEFT(TRIM(C824),FIND(" ",TRIM(C824)&amp;" ")-1),",","."))+1,9)),IF(ISNUMBER(SEARCH("yea",C824)),IFERROR(_xlfn.NUMBERVALUE(SUBSTITUTE(LEFT(TRIM(C824),FIND(" ",TRIM(C824)&amp;" ")-1),",","."),"."),LEFT(SUBSTITUTE(LEFT(TRIM(C824),FIND(" ",TRIM(C824)&amp;" ")-1),",","."),FIND("/",SUBSTITUTE(LEFT(TRIM(C824),FIND(" ",TRIM(C824)&amp;" ")-1),",","."))-1)/MID(SUBSTITUTE(LEFT(TRIM(C824),FIND(" ",TRIM(C824)&amp;" ")-1),",","."),FIND("/",SUBSTITUTE(LEFT(TRIM(C824),FIND(" ",TRIM(C824)&amp;" ")-1),",","."))+1,9))*12,NA()))),0),12)*'Aturan &amp; Tarif'!$B$4,2)</f>
        <v>681.36</v>
      </c>
      <c r="K824" s="32" t="n">
        <f aca="false">'Aturan &amp; Tarif'!$B$5</f>
        <v>2050</v>
      </c>
      <c r="L824" s="35" t="n">
        <f aca="false">I824+J824+K824</f>
        <v>10295.36</v>
      </c>
      <c r="M824" s="37" t="s">
        <v>2366</v>
      </c>
    </row>
    <row r="825" customFormat="false" ht="60" hidden="false" customHeight="true" outlineLevel="0" collapsed="false">
      <c r="A825" s="29"/>
      <c r="B825" s="30" t="s">
        <v>2396</v>
      </c>
      <c r="C825" s="31" t="s">
        <v>138</v>
      </c>
      <c r="D825" s="31" t="s">
        <v>108</v>
      </c>
      <c r="E825" s="32" t="n">
        <v>5100</v>
      </c>
      <c r="F825" s="32"/>
      <c r="G825" s="32" t="n">
        <v>100</v>
      </c>
      <c r="H825" s="33" t="n">
        <v>2</v>
      </c>
      <c r="I825" s="34" t="n">
        <f aca="false">E825*H825+N(F825)+N(G825)</f>
        <v>10300</v>
      </c>
      <c r="J825" s="32" t="n">
        <f aca="false">ROUND(IFERROR(ROUND(IF(OR(ISNUMBER(SEARCH("week",C825)),ISNUMBER(SEARCH("minggu",C825))),IFERROR(_xlfn.NUMBERVALUE(SUBSTITUTE(LEFT(TRIM(C825),FIND(" ",TRIM(C825)&amp;" ")-1),",","."),"."),LEFT(SUBSTITUTE(LEFT(TRIM(C825),FIND(" ",TRIM(C825)&amp;" ")-1),",","."),FIND("/",SUBSTITUTE(LEFT(TRIM(C825),FIND(" ",TRIM(C825)&amp;" ")-1),",","."))-1)/MID(SUBSTITUTE(LEFT(TRIM(C825),FIND(" ",TRIM(C825)&amp;" ")-1),",","."),FIND("/",SUBSTITUTE(LEFT(TRIM(C825),FIND(" ",TRIM(C825)&amp;" ")-1),",","."))+1,9))*12/52,IF(ISNUMBER(SEARCH("month",C825)),IFERROR(_xlfn.NUMBERVALUE(SUBSTITUTE(LEFT(TRIM(C825),FIND(" ",TRIM(C825)&amp;" ")-1),",","."),"."),LEFT(SUBSTITUTE(LEFT(TRIM(C825),FIND(" ",TRIM(C825)&amp;" ")-1),",","."),FIND("/",SUBSTITUTE(LEFT(TRIM(C825),FIND(" ",TRIM(C825)&amp;" ")-1),",","."))-1)/MID(SUBSTITUTE(LEFT(TRIM(C825),FIND(" ",TRIM(C825)&amp;" ")-1),",","."),FIND("/",SUBSTITUTE(LEFT(TRIM(C825),FIND(" ",TRIM(C825)&amp;" ")-1),",","."))+1,9)),IF(ISNUMBER(SEARCH("yea",C825)),IFERROR(_xlfn.NUMBERVALUE(SUBSTITUTE(LEFT(TRIM(C825),FIND(" ",TRIM(C825)&amp;" ")-1),",","."),"."),LEFT(SUBSTITUTE(LEFT(TRIM(C825),FIND(" ",TRIM(C825)&amp;" ")-1),",","."),FIND("/",SUBSTITUTE(LEFT(TRIM(C825),FIND(" ",TRIM(C825)&amp;" ")-1),",","."))-1)/MID(SUBSTITUTE(LEFT(TRIM(C825),FIND(" ",TRIM(C825)&amp;" ")-1),",","."),FIND("/",SUBSTITUTE(LEFT(TRIM(C825),FIND(" ",TRIM(C825)&amp;" ")-1),",","."))+1,9))*12,NA()))),0),30)*'Aturan &amp; Tarif'!$B$4,2)</f>
        <v>1703.4</v>
      </c>
      <c r="K825" s="32" t="n">
        <f aca="false">'Aturan &amp; Tarif'!$B$5</f>
        <v>2050</v>
      </c>
      <c r="L825" s="35" t="n">
        <f aca="false">I825+J825+K825</f>
        <v>14053.4</v>
      </c>
      <c r="M825" s="36" t="s">
        <v>2397</v>
      </c>
    </row>
    <row r="826" customFormat="false" ht="48.75" hidden="false" customHeight="true" outlineLevel="0" collapsed="false">
      <c r="A826" s="29"/>
      <c r="B826" s="30" t="s">
        <v>2398</v>
      </c>
      <c r="C826" s="31" t="s">
        <v>107</v>
      </c>
      <c r="D826" s="31" t="s">
        <v>108</v>
      </c>
      <c r="E826" s="32" t="n">
        <v>8288</v>
      </c>
      <c r="F826" s="32"/>
      <c r="G826" s="32" t="n">
        <v>100</v>
      </c>
      <c r="H826" s="33" t="n">
        <v>2</v>
      </c>
      <c r="I826" s="34" t="n">
        <f aca="false">E826*H826+N(F826)+N(G826)</f>
        <v>16676</v>
      </c>
      <c r="J826" s="32" t="n">
        <f aca="false">ROUND(IFERROR(ROUND(IF(OR(ISNUMBER(SEARCH("week",C826)),ISNUMBER(SEARCH("minggu",C826))),IFERROR(_xlfn.NUMBERVALUE(SUBSTITUTE(LEFT(TRIM(C826),FIND(" ",TRIM(C826)&amp;" ")-1),",","."),"."),LEFT(SUBSTITUTE(LEFT(TRIM(C826),FIND(" ",TRIM(C826)&amp;" ")-1),",","."),FIND("/",SUBSTITUTE(LEFT(TRIM(C826),FIND(" ",TRIM(C826)&amp;" ")-1),",","."))-1)/MID(SUBSTITUTE(LEFT(TRIM(C826),FIND(" ",TRIM(C826)&amp;" ")-1),",","."),FIND("/",SUBSTITUTE(LEFT(TRIM(C826),FIND(" ",TRIM(C826)&amp;" ")-1),",","."))+1,9))*12/52,IF(ISNUMBER(SEARCH("month",C826)),IFERROR(_xlfn.NUMBERVALUE(SUBSTITUTE(LEFT(TRIM(C826),FIND(" ",TRIM(C826)&amp;" ")-1),",","."),"."),LEFT(SUBSTITUTE(LEFT(TRIM(C826),FIND(" ",TRIM(C826)&amp;" ")-1),",","."),FIND("/",SUBSTITUTE(LEFT(TRIM(C826),FIND(" ",TRIM(C826)&amp;" ")-1),",","."))-1)/MID(SUBSTITUTE(LEFT(TRIM(C826),FIND(" ",TRIM(C826)&amp;" ")-1),",","."),FIND("/",SUBSTITUTE(LEFT(TRIM(C826),FIND(" ",TRIM(C826)&amp;" ")-1),",","."))+1,9)),IF(ISNUMBER(SEARCH("yea",C826)),IFERROR(_xlfn.NUMBERVALUE(SUBSTITUTE(LEFT(TRIM(C826),FIND(" ",TRIM(C826)&amp;" ")-1),",","."),"."),LEFT(SUBSTITUTE(LEFT(TRIM(C826),FIND(" ",TRIM(C826)&amp;" ")-1),",","."),FIND("/",SUBSTITUTE(LEFT(TRIM(C826),FIND(" ",TRIM(C826)&amp;" ")-1),",","."))-1)/MID(SUBSTITUTE(LEFT(TRIM(C826),FIND(" ",TRIM(C826)&amp;" ")-1),",","."),FIND("/",SUBSTITUTE(LEFT(TRIM(C826),FIND(" ",TRIM(C826)&amp;" ")-1),",","."))+1,9))*12,NA()))),0),24)*'Aturan &amp; Tarif'!$B$4,2)</f>
        <v>1362.72</v>
      </c>
      <c r="K826" s="32" t="n">
        <f aca="false">'Aturan &amp; Tarif'!$B$5</f>
        <v>2050</v>
      </c>
      <c r="L826" s="35" t="n">
        <f aca="false">I826+J826+K826</f>
        <v>20088.72</v>
      </c>
      <c r="M826" s="36" t="s">
        <v>2399</v>
      </c>
    </row>
    <row r="827" customFormat="false" ht="60" hidden="false" customHeight="true" outlineLevel="0" collapsed="false">
      <c r="A827" s="29"/>
      <c r="B827" s="30" t="s">
        <v>2400</v>
      </c>
      <c r="C827" s="31" t="s">
        <v>107</v>
      </c>
      <c r="D827" s="31" t="s">
        <v>108</v>
      </c>
      <c r="E827" s="32" t="n">
        <v>4357</v>
      </c>
      <c r="F827" s="32"/>
      <c r="G827" s="32" t="n">
        <v>100</v>
      </c>
      <c r="H827" s="33" t="n">
        <v>2</v>
      </c>
      <c r="I827" s="34" t="n">
        <f aca="false">E827*H827+N(F827)+N(G827)</f>
        <v>8814</v>
      </c>
      <c r="J827" s="32" t="n">
        <f aca="false">ROUND(IFERROR(ROUND(IF(OR(ISNUMBER(SEARCH("week",C827)),ISNUMBER(SEARCH("minggu",C827))),IFERROR(_xlfn.NUMBERVALUE(SUBSTITUTE(LEFT(TRIM(C827),FIND(" ",TRIM(C827)&amp;" ")-1),",","."),"."),LEFT(SUBSTITUTE(LEFT(TRIM(C827),FIND(" ",TRIM(C827)&amp;" ")-1),",","."),FIND("/",SUBSTITUTE(LEFT(TRIM(C827),FIND(" ",TRIM(C827)&amp;" ")-1),",","."))-1)/MID(SUBSTITUTE(LEFT(TRIM(C827),FIND(" ",TRIM(C827)&amp;" ")-1),",","."),FIND("/",SUBSTITUTE(LEFT(TRIM(C827),FIND(" ",TRIM(C827)&amp;" ")-1),",","."))+1,9))*12/52,IF(ISNUMBER(SEARCH("month",C827)),IFERROR(_xlfn.NUMBERVALUE(SUBSTITUTE(LEFT(TRIM(C827),FIND(" ",TRIM(C827)&amp;" ")-1),",","."),"."),LEFT(SUBSTITUTE(LEFT(TRIM(C827),FIND(" ",TRIM(C827)&amp;" ")-1),",","."),FIND("/",SUBSTITUTE(LEFT(TRIM(C827),FIND(" ",TRIM(C827)&amp;" ")-1),",","."))-1)/MID(SUBSTITUTE(LEFT(TRIM(C827),FIND(" ",TRIM(C827)&amp;" ")-1),",","."),FIND("/",SUBSTITUTE(LEFT(TRIM(C827),FIND(" ",TRIM(C827)&amp;" ")-1),",","."))+1,9)),IF(ISNUMBER(SEARCH("yea",C827)),IFERROR(_xlfn.NUMBERVALUE(SUBSTITUTE(LEFT(TRIM(C827),FIND(" ",TRIM(C827)&amp;" ")-1),",","."),"."),LEFT(SUBSTITUTE(LEFT(TRIM(C827),FIND(" ",TRIM(C827)&amp;" ")-1),",","."),FIND("/",SUBSTITUTE(LEFT(TRIM(C827),FIND(" ",TRIM(C827)&amp;" ")-1),",","."))-1)/MID(SUBSTITUTE(LEFT(TRIM(C827),FIND(" ",TRIM(C827)&amp;" ")-1),",","."),FIND("/",SUBSTITUTE(LEFT(TRIM(C827),FIND(" ",TRIM(C827)&amp;" ")-1),",","."))+1,9))*12,NA()))),0),24)*'Aturan &amp; Tarif'!$B$4,2)</f>
        <v>1362.72</v>
      </c>
      <c r="K827" s="32" t="n">
        <f aca="false">'Aturan &amp; Tarif'!$B$5</f>
        <v>2050</v>
      </c>
      <c r="L827" s="35" t="n">
        <f aca="false">I827+J827+K827</f>
        <v>12226.72</v>
      </c>
      <c r="M827" s="36" t="s">
        <v>2368</v>
      </c>
    </row>
    <row r="828" customFormat="false" ht="25.5" hidden="false" customHeight="true" outlineLevel="0" collapsed="false">
      <c r="A828" s="29"/>
      <c r="B828" s="30" t="s">
        <v>2401</v>
      </c>
      <c r="C828" s="31" t="s">
        <v>127</v>
      </c>
      <c r="D828" s="31" t="s">
        <v>108</v>
      </c>
      <c r="E828" s="32" t="n">
        <v>6025</v>
      </c>
      <c r="F828" s="32"/>
      <c r="G828" s="32" t="n">
        <v>100</v>
      </c>
      <c r="H828" s="33" t="n">
        <v>2</v>
      </c>
      <c r="I828" s="34" t="n">
        <f aca="false">E828*H828+N(F828)+N(G828)</f>
        <v>12150</v>
      </c>
      <c r="J828" s="32" t="n">
        <f aca="false">ROUND(IFERROR(ROUND(IF(OR(ISNUMBER(SEARCH("week",C828)),ISNUMBER(SEARCH("minggu",C828))),IFERROR(_xlfn.NUMBERVALUE(SUBSTITUTE(LEFT(TRIM(C828),FIND(" ",TRIM(C828)&amp;" ")-1),",","."),"."),LEFT(SUBSTITUTE(LEFT(TRIM(C828),FIND(" ",TRIM(C828)&amp;" ")-1),",","."),FIND("/",SUBSTITUTE(LEFT(TRIM(C828),FIND(" ",TRIM(C828)&amp;" ")-1),",","."))-1)/MID(SUBSTITUTE(LEFT(TRIM(C828),FIND(" ",TRIM(C828)&amp;" ")-1),",","."),FIND("/",SUBSTITUTE(LEFT(TRIM(C828),FIND(" ",TRIM(C828)&amp;" ")-1),",","."))+1,9))*12/52,IF(ISNUMBER(SEARCH("month",C828)),IFERROR(_xlfn.NUMBERVALUE(SUBSTITUTE(LEFT(TRIM(C828),FIND(" ",TRIM(C828)&amp;" ")-1),",","."),"."),LEFT(SUBSTITUTE(LEFT(TRIM(C828),FIND(" ",TRIM(C828)&amp;" ")-1),",","."),FIND("/",SUBSTITUTE(LEFT(TRIM(C828),FIND(" ",TRIM(C828)&amp;" ")-1),",","."))-1)/MID(SUBSTITUTE(LEFT(TRIM(C828),FIND(" ",TRIM(C828)&amp;" ")-1),",","."),FIND("/",SUBSTITUTE(LEFT(TRIM(C828),FIND(" ",TRIM(C828)&amp;" ")-1),",","."))+1,9)),IF(ISNUMBER(SEARCH("yea",C828)),IFERROR(_xlfn.NUMBERVALUE(SUBSTITUTE(LEFT(TRIM(C828),FIND(" ",TRIM(C828)&amp;" ")-1),",","."),"."),LEFT(SUBSTITUTE(LEFT(TRIM(C828),FIND(" ",TRIM(C828)&amp;" ")-1),",","."),FIND("/",SUBSTITUTE(LEFT(TRIM(C828),FIND(" ",TRIM(C828)&amp;" ")-1),",","."))-1)/MID(SUBSTITUTE(LEFT(TRIM(C828),FIND(" ",TRIM(C828)&amp;" ")-1),",","."),FIND("/",SUBSTITUTE(LEFT(TRIM(C828),FIND(" ",TRIM(C828)&amp;" ")-1),",","."))+1,9))*12,NA()))),0),36)*'Aturan &amp; Tarif'!$B$4,2)</f>
        <v>2044.08</v>
      </c>
      <c r="K828" s="32" t="n">
        <f aca="false">'Aturan &amp; Tarif'!$B$5</f>
        <v>2050</v>
      </c>
      <c r="L828" s="35" t="n">
        <f aca="false">I828+J828+K828</f>
        <v>16244.08</v>
      </c>
      <c r="M828" s="36" t="s">
        <v>2368</v>
      </c>
    </row>
    <row r="829" customFormat="false" ht="37.5" hidden="false" customHeight="true" outlineLevel="0" collapsed="false">
      <c r="A829" s="29"/>
      <c r="B829" s="30" t="s">
        <v>2402</v>
      </c>
      <c r="C829" s="31" t="s">
        <v>107</v>
      </c>
      <c r="D829" s="31" t="s">
        <v>108</v>
      </c>
      <c r="E829" s="32" t="n">
        <v>5625</v>
      </c>
      <c r="F829" s="32"/>
      <c r="G829" s="32" t="n">
        <v>100</v>
      </c>
      <c r="H829" s="33" t="n">
        <v>2</v>
      </c>
      <c r="I829" s="34" t="n">
        <f aca="false">E829*H829+N(F829)+N(G829)</f>
        <v>11350</v>
      </c>
      <c r="J829" s="32" t="n">
        <f aca="false">ROUND(IFERROR(ROUND(IF(OR(ISNUMBER(SEARCH("week",C829)),ISNUMBER(SEARCH("minggu",C829))),IFERROR(_xlfn.NUMBERVALUE(SUBSTITUTE(LEFT(TRIM(C829),FIND(" ",TRIM(C829)&amp;" ")-1),",","."),"."),LEFT(SUBSTITUTE(LEFT(TRIM(C829),FIND(" ",TRIM(C829)&amp;" ")-1),",","."),FIND("/",SUBSTITUTE(LEFT(TRIM(C829),FIND(" ",TRIM(C829)&amp;" ")-1),",","."))-1)/MID(SUBSTITUTE(LEFT(TRIM(C829),FIND(" ",TRIM(C829)&amp;" ")-1),",","."),FIND("/",SUBSTITUTE(LEFT(TRIM(C829),FIND(" ",TRIM(C829)&amp;" ")-1),",","."))+1,9))*12/52,IF(ISNUMBER(SEARCH("month",C829)),IFERROR(_xlfn.NUMBERVALUE(SUBSTITUTE(LEFT(TRIM(C829),FIND(" ",TRIM(C829)&amp;" ")-1),",","."),"."),LEFT(SUBSTITUTE(LEFT(TRIM(C829),FIND(" ",TRIM(C829)&amp;" ")-1),",","."),FIND("/",SUBSTITUTE(LEFT(TRIM(C829),FIND(" ",TRIM(C829)&amp;" ")-1),",","."))-1)/MID(SUBSTITUTE(LEFT(TRIM(C829),FIND(" ",TRIM(C829)&amp;" ")-1),",","."),FIND("/",SUBSTITUTE(LEFT(TRIM(C829),FIND(" ",TRIM(C829)&amp;" ")-1),",","."))+1,9)),IF(ISNUMBER(SEARCH("yea",C829)),IFERROR(_xlfn.NUMBERVALUE(SUBSTITUTE(LEFT(TRIM(C829),FIND(" ",TRIM(C829)&amp;" ")-1),",","."),"."),LEFT(SUBSTITUTE(LEFT(TRIM(C829),FIND(" ",TRIM(C829)&amp;" ")-1),",","."),FIND("/",SUBSTITUTE(LEFT(TRIM(C829),FIND(" ",TRIM(C829)&amp;" ")-1),",","."))-1)/MID(SUBSTITUTE(LEFT(TRIM(C829),FIND(" ",TRIM(C829)&amp;" ")-1),",","."),FIND("/",SUBSTITUTE(LEFT(TRIM(C829),FIND(" ",TRIM(C829)&amp;" ")-1),",","."))+1,9))*12,NA()))),0),24)*'Aturan &amp; Tarif'!$B$4,2)</f>
        <v>1362.72</v>
      </c>
      <c r="K829" s="32" t="n">
        <f aca="false">'Aturan &amp; Tarif'!$B$5</f>
        <v>2050</v>
      </c>
      <c r="L829" s="35" t="n">
        <f aca="false">I829+J829+K829</f>
        <v>14762.72</v>
      </c>
      <c r="M829" s="36" t="s">
        <v>2368</v>
      </c>
    </row>
    <row r="830" customFormat="false" ht="37.5" hidden="false" customHeight="true" outlineLevel="0" collapsed="false">
      <c r="A830" s="29"/>
      <c r="B830" s="30" t="s">
        <v>2403</v>
      </c>
      <c r="C830" s="31" t="s">
        <v>113</v>
      </c>
      <c r="D830" s="31" t="s">
        <v>108</v>
      </c>
      <c r="E830" s="32" t="n">
        <v>8500</v>
      </c>
      <c r="F830" s="32"/>
      <c r="G830" s="32" t="n">
        <v>100</v>
      </c>
      <c r="H830" s="33" t="n">
        <v>2</v>
      </c>
      <c r="I830" s="34" t="n">
        <f aca="false">E830*H830+N(F830)+N(G830)</f>
        <v>17100</v>
      </c>
      <c r="J830" s="32" t="n">
        <f aca="false">ROUND(IFERROR(ROUND(IF(OR(ISNUMBER(SEARCH("week",C830)),ISNUMBER(SEARCH("minggu",C830))),IFERROR(_xlfn.NUMBERVALUE(SUBSTITUTE(LEFT(TRIM(C830),FIND(" ",TRIM(C830)&amp;" ")-1),",","."),"."),LEFT(SUBSTITUTE(LEFT(TRIM(C830),FIND(" ",TRIM(C830)&amp;" ")-1),",","."),FIND("/",SUBSTITUTE(LEFT(TRIM(C830),FIND(" ",TRIM(C830)&amp;" ")-1),",","."))-1)/MID(SUBSTITUTE(LEFT(TRIM(C830),FIND(" ",TRIM(C830)&amp;" ")-1),",","."),FIND("/",SUBSTITUTE(LEFT(TRIM(C830),FIND(" ",TRIM(C830)&amp;" ")-1),",","."))+1,9))*12/52,IF(ISNUMBER(SEARCH("month",C830)),IFERROR(_xlfn.NUMBERVALUE(SUBSTITUTE(LEFT(TRIM(C830),FIND(" ",TRIM(C830)&amp;" ")-1),",","."),"."),LEFT(SUBSTITUTE(LEFT(TRIM(C830),FIND(" ",TRIM(C830)&amp;" ")-1),",","."),FIND("/",SUBSTITUTE(LEFT(TRIM(C830),FIND(" ",TRIM(C830)&amp;" ")-1),",","."))-1)/MID(SUBSTITUTE(LEFT(TRIM(C830),FIND(" ",TRIM(C830)&amp;" ")-1),",","."),FIND("/",SUBSTITUTE(LEFT(TRIM(C830),FIND(" ",TRIM(C830)&amp;" ")-1),",","."))+1,9)),IF(ISNUMBER(SEARCH("yea",C830)),IFERROR(_xlfn.NUMBERVALUE(SUBSTITUTE(LEFT(TRIM(C830),FIND(" ",TRIM(C830)&amp;" ")-1),",","."),"."),LEFT(SUBSTITUTE(LEFT(TRIM(C830),FIND(" ",TRIM(C830)&amp;" ")-1),",","."),FIND("/",SUBSTITUTE(LEFT(TRIM(C830),FIND(" ",TRIM(C830)&amp;" ")-1),",","."))-1)/MID(SUBSTITUTE(LEFT(TRIM(C830),FIND(" ",TRIM(C830)&amp;" ")-1),",","."),FIND("/",SUBSTITUTE(LEFT(TRIM(C830),FIND(" ",TRIM(C830)&amp;" ")-1),",","."))+1,9))*12,NA()))),0),18)*'Aturan &amp; Tarif'!$B$4,2)</f>
        <v>1022.04</v>
      </c>
      <c r="K830" s="32" t="n">
        <f aca="false">'Aturan &amp; Tarif'!$B$5</f>
        <v>2050</v>
      </c>
      <c r="L830" s="35" t="n">
        <f aca="false">I830+J830+K830</f>
        <v>20172.04</v>
      </c>
      <c r="M830" s="36" t="s">
        <v>2368</v>
      </c>
    </row>
    <row r="831" customFormat="false" ht="25.5" hidden="false" customHeight="true" outlineLevel="0" collapsed="false">
      <c r="A831" s="29"/>
      <c r="B831" s="30" t="s">
        <v>2404</v>
      </c>
      <c r="C831" s="31" t="s">
        <v>113</v>
      </c>
      <c r="D831" s="31" t="s">
        <v>108</v>
      </c>
      <c r="E831" s="32" t="n">
        <v>8500</v>
      </c>
      <c r="F831" s="32"/>
      <c r="G831" s="32" t="n">
        <v>100</v>
      </c>
      <c r="H831" s="33" t="n">
        <v>2</v>
      </c>
      <c r="I831" s="34" t="n">
        <f aca="false">E831*H831+N(F831)+N(G831)</f>
        <v>17100</v>
      </c>
      <c r="J831" s="32" t="n">
        <f aca="false">ROUND(IFERROR(ROUND(IF(OR(ISNUMBER(SEARCH("week",C831)),ISNUMBER(SEARCH("minggu",C831))),IFERROR(_xlfn.NUMBERVALUE(SUBSTITUTE(LEFT(TRIM(C831),FIND(" ",TRIM(C831)&amp;" ")-1),",","."),"."),LEFT(SUBSTITUTE(LEFT(TRIM(C831),FIND(" ",TRIM(C831)&amp;" ")-1),",","."),FIND("/",SUBSTITUTE(LEFT(TRIM(C831),FIND(" ",TRIM(C831)&amp;" ")-1),",","."))-1)/MID(SUBSTITUTE(LEFT(TRIM(C831),FIND(" ",TRIM(C831)&amp;" ")-1),",","."),FIND("/",SUBSTITUTE(LEFT(TRIM(C831),FIND(" ",TRIM(C831)&amp;" ")-1),",","."))+1,9))*12/52,IF(ISNUMBER(SEARCH("month",C831)),IFERROR(_xlfn.NUMBERVALUE(SUBSTITUTE(LEFT(TRIM(C831),FIND(" ",TRIM(C831)&amp;" ")-1),",","."),"."),LEFT(SUBSTITUTE(LEFT(TRIM(C831),FIND(" ",TRIM(C831)&amp;" ")-1),",","."),FIND("/",SUBSTITUTE(LEFT(TRIM(C831),FIND(" ",TRIM(C831)&amp;" ")-1),",","."))-1)/MID(SUBSTITUTE(LEFT(TRIM(C831),FIND(" ",TRIM(C831)&amp;" ")-1),",","."),FIND("/",SUBSTITUTE(LEFT(TRIM(C831),FIND(" ",TRIM(C831)&amp;" ")-1),",","."))+1,9)),IF(ISNUMBER(SEARCH("yea",C831)),IFERROR(_xlfn.NUMBERVALUE(SUBSTITUTE(LEFT(TRIM(C831),FIND(" ",TRIM(C831)&amp;" ")-1),",","."),"."),LEFT(SUBSTITUTE(LEFT(TRIM(C831),FIND(" ",TRIM(C831)&amp;" ")-1),",","."),FIND("/",SUBSTITUTE(LEFT(TRIM(C831),FIND(" ",TRIM(C831)&amp;" ")-1),",","."))-1)/MID(SUBSTITUTE(LEFT(TRIM(C831),FIND(" ",TRIM(C831)&amp;" ")-1),",","."),FIND("/",SUBSTITUTE(LEFT(TRIM(C831),FIND(" ",TRIM(C831)&amp;" ")-1),",","."))+1,9))*12,NA()))),0),18)*'Aturan &amp; Tarif'!$B$4,2)</f>
        <v>1022.04</v>
      </c>
      <c r="K831" s="32" t="n">
        <f aca="false">'Aturan &amp; Tarif'!$B$5</f>
        <v>2050</v>
      </c>
      <c r="L831" s="35" t="n">
        <f aca="false">I831+J831+K831</f>
        <v>20172.04</v>
      </c>
      <c r="M831" s="36" t="s">
        <v>2368</v>
      </c>
    </row>
    <row r="832" customFormat="false" ht="37.5" hidden="false" customHeight="true" outlineLevel="0" collapsed="false">
      <c r="A832" s="29"/>
      <c r="B832" s="30" t="s">
        <v>2405</v>
      </c>
      <c r="C832" s="31" t="s">
        <v>113</v>
      </c>
      <c r="D832" s="31" t="s">
        <v>108</v>
      </c>
      <c r="E832" s="32" t="n">
        <v>8500</v>
      </c>
      <c r="F832" s="32"/>
      <c r="G832" s="32" t="n">
        <v>100</v>
      </c>
      <c r="H832" s="33" t="n">
        <v>2</v>
      </c>
      <c r="I832" s="34" t="n">
        <f aca="false">E832*H832+N(F832)+N(G832)</f>
        <v>17100</v>
      </c>
      <c r="J832" s="32" t="n">
        <f aca="false">ROUND(IFERROR(ROUND(IF(OR(ISNUMBER(SEARCH("week",C832)),ISNUMBER(SEARCH("minggu",C832))),IFERROR(_xlfn.NUMBERVALUE(SUBSTITUTE(LEFT(TRIM(C832),FIND(" ",TRIM(C832)&amp;" ")-1),",","."),"."),LEFT(SUBSTITUTE(LEFT(TRIM(C832),FIND(" ",TRIM(C832)&amp;" ")-1),",","."),FIND("/",SUBSTITUTE(LEFT(TRIM(C832),FIND(" ",TRIM(C832)&amp;" ")-1),",","."))-1)/MID(SUBSTITUTE(LEFT(TRIM(C832),FIND(" ",TRIM(C832)&amp;" ")-1),",","."),FIND("/",SUBSTITUTE(LEFT(TRIM(C832),FIND(" ",TRIM(C832)&amp;" ")-1),",","."))+1,9))*12/52,IF(ISNUMBER(SEARCH("month",C832)),IFERROR(_xlfn.NUMBERVALUE(SUBSTITUTE(LEFT(TRIM(C832),FIND(" ",TRIM(C832)&amp;" ")-1),",","."),"."),LEFT(SUBSTITUTE(LEFT(TRIM(C832),FIND(" ",TRIM(C832)&amp;" ")-1),",","."),FIND("/",SUBSTITUTE(LEFT(TRIM(C832),FIND(" ",TRIM(C832)&amp;" ")-1),",","."))-1)/MID(SUBSTITUTE(LEFT(TRIM(C832),FIND(" ",TRIM(C832)&amp;" ")-1),",","."),FIND("/",SUBSTITUTE(LEFT(TRIM(C832),FIND(" ",TRIM(C832)&amp;" ")-1),",","."))+1,9)),IF(ISNUMBER(SEARCH("yea",C832)),IFERROR(_xlfn.NUMBERVALUE(SUBSTITUTE(LEFT(TRIM(C832),FIND(" ",TRIM(C832)&amp;" ")-1),",","."),"."),LEFT(SUBSTITUTE(LEFT(TRIM(C832),FIND(" ",TRIM(C832)&amp;" ")-1),",","."),FIND("/",SUBSTITUTE(LEFT(TRIM(C832),FIND(" ",TRIM(C832)&amp;" ")-1),",","."))-1)/MID(SUBSTITUTE(LEFT(TRIM(C832),FIND(" ",TRIM(C832)&amp;" ")-1),",","."),FIND("/",SUBSTITUTE(LEFT(TRIM(C832),FIND(" ",TRIM(C832)&amp;" ")-1),",","."))+1,9))*12,NA()))),0),18)*'Aturan &amp; Tarif'!$B$4,2)</f>
        <v>1022.04</v>
      </c>
      <c r="K832" s="32" t="n">
        <f aca="false">'Aturan &amp; Tarif'!$B$5</f>
        <v>2050</v>
      </c>
      <c r="L832" s="35" t="n">
        <f aca="false">I832+J832+K832</f>
        <v>20172.04</v>
      </c>
      <c r="M832" s="36" t="s">
        <v>2368</v>
      </c>
    </row>
    <row r="833" customFormat="false" ht="25.5" hidden="false" customHeight="true" outlineLevel="0" collapsed="false">
      <c r="A833" s="29"/>
      <c r="B833" s="30" t="s">
        <v>2406</v>
      </c>
      <c r="C833" s="31" t="s">
        <v>113</v>
      </c>
      <c r="D833" s="31" t="s">
        <v>108</v>
      </c>
      <c r="E833" s="32" t="n">
        <v>3667</v>
      </c>
      <c r="F833" s="32"/>
      <c r="G833" s="32" t="n">
        <v>100</v>
      </c>
      <c r="H833" s="33" t="n">
        <v>2</v>
      </c>
      <c r="I833" s="34" t="n">
        <f aca="false">E833*H833+N(F833)+N(G833)</f>
        <v>7434</v>
      </c>
      <c r="J833" s="32" t="n">
        <f aca="false">ROUND(IFERROR(ROUND(IF(OR(ISNUMBER(SEARCH("week",C833)),ISNUMBER(SEARCH("minggu",C833))),IFERROR(_xlfn.NUMBERVALUE(SUBSTITUTE(LEFT(TRIM(C833),FIND(" ",TRIM(C833)&amp;" ")-1),",","."),"."),LEFT(SUBSTITUTE(LEFT(TRIM(C833),FIND(" ",TRIM(C833)&amp;" ")-1),",","."),FIND("/",SUBSTITUTE(LEFT(TRIM(C833),FIND(" ",TRIM(C833)&amp;" ")-1),",","."))-1)/MID(SUBSTITUTE(LEFT(TRIM(C833),FIND(" ",TRIM(C833)&amp;" ")-1),",","."),FIND("/",SUBSTITUTE(LEFT(TRIM(C833),FIND(" ",TRIM(C833)&amp;" ")-1),",","."))+1,9))*12/52,IF(ISNUMBER(SEARCH("month",C833)),IFERROR(_xlfn.NUMBERVALUE(SUBSTITUTE(LEFT(TRIM(C833),FIND(" ",TRIM(C833)&amp;" ")-1),",","."),"."),LEFT(SUBSTITUTE(LEFT(TRIM(C833),FIND(" ",TRIM(C833)&amp;" ")-1),",","."),FIND("/",SUBSTITUTE(LEFT(TRIM(C833),FIND(" ",TRIM(C833)&amp;" ")-1),",","."))-1)/MID(SUBSTITUTE(LEFT(TRIM(C833),FIND(" ",TRIM(C833)&amp;" ")-1),",","."),FIND("/",SUBSTITUTE(LEFT(TRIM(C833),FIND(" ",TRIM(C833)&amp;" ")-1),",","."))+1,9)),IF(ISNUMBER(SEARCH("yea",C833)),IFERROR(_xlfn.NUMBERVALUE(SUBSTITUTE(LEFT(TRIM(C833),FIND(" ",TRIM(C833)&amp;" ")-1),",","."),"."),LEFT(SUBSTITUTE(LEFT(TRIM(C833),FIND(" ",TRIM(C833)&amp;" ")-1),",","."),FIND("/",SUBSTITUTE(LEFT(TRIM(C833),FIND(" ",TRIM(C833)&amp;" ")-1),",","."))-1)/MID(SUBSTITUTE(LEFT(TRIM(C833),FIND(" ",TRIM(C833)&amp;" ")-1),",","."),FIND("/",SUBSTITUTE(LEFT(TRIM(C833),FIND(" ",TRIM(C833)&amp;" ")-1),",","."))+1,9))*12,NA()))),0),18)*'Aturan &amp; Tarif'!$B$4,2)</f>
        <v>1022.04</v>
      </c>
      <c r="K833" s="32" t="n">
        <f aca="false">'Aturan &amp; Tarif'!$B$5</f>
        <v>2050</v>
      </c>
      <c r="L833" s="35" t="n">
        <f aca="false">I833+J833+K833</f>
        <v>10506.04</v>
      </c>
      <c r="M833" s="37" t="s">
        <v>2366</v>
      </c>
    </row>
    <row r="834" customFormat="false" ht="25.5" hidden="false" customHeight="true" outlineLevel="0" collapsed="false">
      <c r="A834" s="29"/>
      <c r="B834" s="30" t="s">
        <v>2407</v>
      </c>
      <c r="C834" s="31" t="s">
        <v>2408</v>
      </c>
      <c r="D834" s="31" t="s">
        <v>108</v>
      </c>
      <c r="E834" s="32" t="n">
        <v>3738</v>
      </c>
      <c r="F834" s="32"/>
      <c r="G834" s="32" t="n">
        <v>100</v>
      </c>
      <c r="H834" s="33" t="n">
        <v>2</v>
      </c>
      <c r="I834" s="34" t="n">
        <f aca="false">E834*H834+N(F834)+N(G834)</f>
        <v>7576</v>
      </c>
      <c r="J834" s="32" t="n">
        <f aca="false">ROUND(IFERROR(ROUND(IF(OR(ISNUMBER(SEARCH("week",C834)),ISNUMBER(SEARCH("minggu",C834))),IFERROR(_xlfn.NUMBERVALUE(SUBSTITUTE(LEFT(TRIM(C834),FIND(" ",TRIM(C834)&amp;" ")-1),",","."),"."),LEFT(SUBSTITUTE(LEFT(TRIM(C834),FIND(" ",TRIM(C834)&amp;" ")-1),",","."),FIND("/",SUBSTITUTE(LEFT(TRIM(C834),FIND(" ",TRIM(C834)&amp;" ")-1),",","."))-1)/MID(SUBSTITUTE(LEFT(TRIM(C834),FIND(" ",TRIM(C834)&amp;" ")-1),",","."),FIND("/",SUBSTITUTE(LEFT(TRIM(C834),FIND(" ",TRIM(C834)&amp;" ")-1),",","."))+1,9))*12/52,IF(ISNUMBER(SEARCH("month",C834)),IFERROR(_xlfn.NUMBERVALUE(SUBSTITUTE(LEFT(TRIM(C834),FIND(" ",TRIM(C834)&amp;" ")-1),",","."),"."),LEFT(SUBSTITUTE(LEFT(TRIM(C834),FIND(" ",TRIM(C834)&amp;" ")-1),",","."),FIND("/",SUBSTITUTE(LEFT(TRIM(C834),FIND(" ",TRIM(C834)&amp;" ")-1),",","."))-1)/MID(SUBSTITUTE(LEFT(TRIM(C834),FIND(" ",TRIM(C834)&amp;" ")-1),",","."),FIND("/",SUBSTITUTE(LEFT(TRIM(C834),FIND(" ",TRIM(C834)&amp;" ")-1),",","."))+1,9)),IF(ISNUMBER(SEARCH("yea",C834)),IFERROR(_xlfn.NUMBERVALUE(SUBSTITUTE(LEFT(TRIM(C834),FIND(" ",TRIM(C834)&amp;" ")-1),",","."),"."),LEFT(SUBSTITUTE(LEFT(TRIM(C834),FIND(" ",TRIM(C834)&amp;" ")-1),",","."),FIND("/",SUBSTITUTE(LEFT(TRIM(C834),FIND(" ",TRIM(C834)&amp;" ")-1),",","."))-1)/MID(SUBSTITUTE(LEFT(TRIM(C834),FIND(" ",TRIM(C834)&amp;" ")-1),",","."),FIND("/",SUBSTITUTE(LEFT(TRIM(C834),FIND(" ",TRIM(C834)&amp;" ")-1),",","."))+1,9))*12,NA()))),0),30)*'Aturan &amp; Tarif'!$B$4,2)</f>
        <v>1703.4</v>
      </c>
      <c r="K834" s="32" t="n">
        <f aca="false">'Aturan &amp; Tarif'!$B$5</f>
        <v>2050</v>
      </c>
      <c r="L834" s="35" t="n">
        <f aca="false">I834+J834+K834</f>
        <v>11329.4</v>
      </c>
      <c r="M834" s="36" t="s">
        <v>2368</v>
      </c>
    </row>
    <row r="835" customFormat="false" ht="25.5" hidden="false" customHeight="true" outlineLevel="0" collapsed="false">
      <c r="A835" s="29"/>
      <c r="B835" s="30" t="s">
        <v>2409</v>
      </c>
      <c r="C835" s="31" t="s">
        <v>130</v>
      </c>
      <c r="D835" s="31" t="s">
        <v>108</v>
      </c>
      <c r="E835" s="32" t="n">
        <v>4788</v>
      </c>
      <c r="F835" s="32"/>
      <c r="G835" s="32" t="n">
        <v>100</v>
      </c>
      <c r="H835" s="33" t="n">
        <v>2</v>
      </c>
      <c r="I835" s="34" t="n">
        <f aca="false">E835*H835+N(F835)+N(G835)</f>
        <v>9676</v>
      </c>
      <c r="J835" s="32" t="n">
        <f aca="false">ROUND(IFERROR(ROUND(IF(OR(ISNUMBER(SEARCH("week",C835)),ISNUMBER(SEARCH("minggu",C835))),IFERROR(_xlfn.NUMBERVALUE(SUBSTITUTE(LEFT(TRIM(C835),FIND(" ",TRIM(C835)&amp;" ")-1),",","."),"."),LEFT(SUBSTITUTE(LEFT(TRIM(C835),FIND(" ",TRIM(C835)&amp;" ")-1),",","."),FIND("/",SUBSTITUTE(LEFT(TRIM(C835),FIND(" ",TRIM(C835)&amp;" ")-1),",","."))-1)/MID(SUBSTITUTE(LEFT(TRIM(C835),FIND(" ",TRIM(C835)&amp;" ")-1),",","."),FIND("/",SUBSTITUTE(LEFT(TRIM(C835),FIND(" ",TRIM(C835)&amp;" ")-1),",","."))+1,9))*12/52,IF(ISNUMBER(SEARCH("month",C835)),IFERROR(_xlfn.NUMBERVALUE(SUBSTITUTE(LEFT(TRIM(C835),FIND(" ",TRIM(C835)&amp;" ")-1),",","."),"."),LEFT(SUBSTITUTE(LEFT(TRIM(C835),FIND(" ",TRIM(C835)&amp;" ")-1),",","."),FIND("/",SUBSTITUTE(LEFT(TRIM(C835),FIND(" ",TRIM(C835)&amp;" ")-1),",","."))-1)/MID(SUBSTITUTE(LEFT(TRIM(C835),FIND(" ",TRIM(C835)&amp;" ")-1),",","."),FIND("/",SUBSTITUTE(LEFT(TRIM(C835),FIND(" ",TRIM(C835)&amp;" ")-1),",","."))+1,9)),IF(ISNUMBER(SEARCH("yea",C835)),IFERROR(_xlfn.NUMBERVALUE(SUBSTITUTE(LEFT(TRIM(C835),FIND(" ",TRIM(C835)&amp;" ")-1),",","."),"."),LEFT(SUBSTITUTE(LEFT(TRIM(C835),FIND(" ",TRIM(C835)&amp;" ")-1),",","."),FIND("/",SUBSTITUTE(LEFT(TRIM(C835),FIND(" ",TRIM(C835)&amp;" ")-1),",","."))-1)/MID(SUBSTITUTE(LEFT(TRIM(C835),FIND(" ",TRIM(C835)&amp;" ")-1),",","."),FIND("/",SUBSTITUTE(LEFT(TRIM(C835),FIND(" ",TRIM(C835)&amp;" ")-1),",","."))+1,9))*12,NA()))),0),12)*'Aturan &amp; Tarif'!$B$4,2)</f>
        <v>681.36</v>
      </c>
      <c r="K835" s="32" t="n">
        <f aca="false">'Aturan &amp; Tarif'!$B$5</f>
        <v>2050</v>
      </c>
      <c r="L835" s="35" t="n">
        <f aca="false">I835+J835+K835</f>
        <v>12407.36</v>
      </c>
      <c r="M835" s="37" t="s">
        <v>2366</v>
      </c>
    </row>
    <row r="836" customFormat="false" ht="37.5" hidden="false" customHeight="true" outlineLevel="0" collapsed="false">
      <c r="A836" s="29"/>
      <c r="B836" s="30" t="s">
        <v>3268</v>
      </c>
      <c r="C836" s="31" t="s">
        <v>113</v>
      </c>
      <c r="D836" s="31" t="s">
        <v>108</v>
      </c>
      <c r="E836" s="32" t="n">
        <v>5113</v>
      </c>
      <c r="F836" s="32"/>
      <c r="G836" s="32" t="n">
        <v>100</v>
      </c>
      <c r="H836" s="33" t="n">
        <v>2</v>
      </c>
      <c r="I836" s="34" t="n">
        <f aca="false">E836*H836+N(F836)+N(G836)</f>
        <v>10326</v>
      </c>
      <c r="J836" s="32" t="n">
        <f aca="false">ROUND(IFERROR(ROUND(IF(OR(ISNUMBER(SEARCH("week",C836)),ISNUMBER(SEARCH("minggu",C836))),IFERROR(_xlfn.NUMBERVALUE(SUBSTITUTE(LEFT(TRIM(C836),FIND(" ",TRIM(C836)&amp;" ")-1),",","."),"."),LEFT(SUBSTITUTE(LEFT(TRIM(C836),FIND(" ",TRIM(C836)&amp;" ")-1),",","."),FIND("/",SUBSTITUTE(LEFT(TRIM(C836),FIND(" ",TRIM(C836)&amp;" ")-1),",","."))-1)/MID(SUBSTITUTE(LEFT(TRIM(C836),FIND(" ",TRIM(C836)&amp;" ")-1),",","."),FIND("/",SUBSTITUTE(LEFT(TRIM(C836),FIND(" ",TRIM(C836)&amp;" ")-1),",","."))+1,9))*12/52,IF(ISNUMBER(SEARCH("month",C836)),IFERROR(_xlfn.NUMBERVALUE(SUBSTITUTE(LEFT(TRIM(C836),FIND(" ",TRIM(C836)&amp;" ")-1),",","."),"."),LEFT(SUBSTITUTE(LEFT(TRIM(C836),FIND(" ",TRIM(C836)&amp;" ")-1),",","."),FIND("/",SUBSTITUTE(LEFT(TRIM(C836),FIND(" ",TRIM(C836)&amp;" ")-1),",","."))-1)/MID(SUBSTITUTE(LEFT(TRIM(C836),FIND(" ",TRIM(C836)&amp;" ")-1),",","."),FIND("/",SUBSTITUTE(LEFT(TRIM(C836),FIND(" ",TRIM(C836)&amp;" ")-1),",","."))+1,9)),IF(ISNUMBER(SEARCH("yea",C836)),IFERROR(_xlfn.NUMBERVALUE(SUBSTITUTE(LEFT(TRIM(C836),FIND(" ",TRIM(C836)&amp;" ")-1),",","."),"."),LEFT(SUBSTITUTE(LEFT(TRIM(C836),FIND(" ",TRIM(C836)&amp;" ")-1),",","."),FIND("/",SUBSTITUTE(LEFT(TRIM(C836),FIND(" ",TRIM(C836)&amp;" ")-1),",","."))-1)/MID(SUBSTITUTE(LEFT(TRIM(C836),FIND(" ",TRIM(C836)&amp;" ")-1),",","."),FIND("/",SUBSTITUTE(LEFT(TRIM(C836),FIND(" ",TRIM(C836)&amp;" ")-1),",","."))+1,9))*12,NA()))),0),18)*'Aturan &amp; Tarif'!$B$4,2)</f>
        <v>1022.04</v>
      </c>
      <c r="K836" s="32" t="n">
        <f aca="false">'Aturan &amp; Tarif'!$B$5</f>
        <v>2050</v>
      </c>
      <c r="L836" s="35" t="n">
        <f aca="false">I836+J836+K836</f>
        <v>13398.04</v>
      </c>
      <c r="M836" s="36" t="s">
        <v>2368</v>
      </c>
    </row>
    <row r="837" customFormat="false" ht="25.5" hidden="false" customHeight="true" outlineLevel="0" collapsed="false">
      <c r="A837" s="29"/>
      <c r="B837" s="30" t="s">
        <v>3269</v>
      </c>
      <c r="C837" s="31" t="s">
        <v>113</v>
      </c>
      <c r="D837" s="31" t="s">
        <v>108</v>
      </c>
      <c r="E837" s="32" t="n">
        <v>5113</v>
      </c>
      <c r="F837" s="32"/>
      <c r="G837" s="32" t="n">
        <v>100</v>
      </c>
      <c r="H837" s="33" t="n">
        <v>2</v>
      </c>
      <c r="I837" s="34" t="n">
        <f aca="false">E837*H837+N(F837)+N(G837)</f>
        <v>10326</v>
      </c>
      <c r="J837" s="32" t="n">
        <f aca="false">ROUND(IFERROR(ROUND(IF(OR(ISNUMBER(SEARCH("week",C837)),ISNUMBER(SEARCH("minggu",C837))),IFERROR(_xlfn.NUMBERVALUE(SUBSTITUTE(LEFT(TRIM(C837),FIND(" ",TRIM(C837)&amp;" ")-1),",","."),"."),LEFT(SUBSTITUTE(LEFT(TRIM(C837),FIND(" ",TRIM(C837)&amp;" ")-1),",","."),FIND("/",SUBSTITUTE(LEFT(TRIM(C837),FIND(" ",TRIM(C837)&amp;" ")-1),",","."))-1)/MID(SUBSTITUTE(LEFT(TRIM(C837),FIND(" ",TRIM(C837)&amp;" ")-1),",","."),FIND("/",SUBSTITUTE(LEFT(TRIM(C837),FIND(" ",TRIM(C837)&amp;" ")-1),",","."))+1,9))*12/52,IF(ISNUMBER(SEARCH("month",C837)),IFERROR(_xlfn.NUMBERVALUE(SUBSTITUTE(LEFT(TRIM(C837),FIND(" ",TRIM(C837)&amp;" ")-1),",","."),"."),LEFT(SUBSTITUTE(LEFT(TRIM(C837),FIND(" ",TRIM(C837)&amp;" ")-1),",","."),FIND("/",SUBSTITUTE(LEFT(TRIM(C837),FIND(" ",TRIM(C837)&amp;" ")-1),",","."))-1)/MID(SUBSTITUTE(LEFT(TRIM(C837),FIND(" ",TRIM(C837)&amp;" ")-1),",","."),FIND("/",SUBSTITUTE(LEFT(TRIM(C837),FIND(" ",TRIM(C837)&amp;" ")-1),",","."))+1,9)),IF(ISNUMBER(SEARCH("yea",C837)),IFERROR(_xlfn.NUMBERVALUE(SUBSTITUTE(LEFT(TRIM(C837),FIND(" ",TRIM(C837)&amp;" ")-1),",","."),"."),LEFT(SUBSTITUTE(LEFT(TRIM(C837),FIND(" ",TRIM(C837)&amp;" ")-1),",","."),FIND("/",SUBSTITUTE(LEFT(TRIM(C837),FIND(" ",TRIM(C837)&amp;" ")-1),",","."))-1)/MID(SUBSTITUTE(LEFT(TRIM(C837),FIND(" ",TRIM(C837)&amp;" ")-1),",","."),FIND("/",SUBSTITUTE(LEFT(TRIM(C837),FIND(" ",TRIM(C837)&amp;" ")-1),",","."))+1,9))*12,NA()))),0),18)*'Aturan &amp; Tarif'!$B$4,2)</f>
        <v>1022.04</v>
      </c>
      <c r="K837" s="32" t="n">
        <f aca="false">'Aturan &amp; Tarif'!$B$5</f>
        <v>2050</v>
      </c>
      <c r="L837" s="35" t="n">
        <f aca="false">I837+J837+K837</f>
        <v>13398.04</v>
      </c>
      <c r="M837" s="36" t="s">
        <v>2368</v>
      </c>
    </row>
    <row r="838" customFormat="false" ht="25.5" hidden="false" customHeight="true" outlineLevel="0" collapsed="false">
      <c r="A838" s="29"/>
      <c r="B838" s="30" t="s">
        <v>3270</v>
      </c>
      <c r="C838" s="31" t="s">
        <v>113</v>
      </c>
      <c r="D838" s="31" t="s">
        <v>108</v>
      </c>
      <c r="E838" s="32" t="n">
        <v>5113</v>
      </c>
      <c r="F838" s="32"/>
      <c r="G838" s="32" t="n">
        <v>100</v>
      </c>
      <c r="H838" s="33" t="n">
        <v>2</v>
      </c>
      <c r="I838" s="34" t="n">
        <f aca="false">E838*H838+N(F838)+N(G838)</f>
        <v>10326</v>
      </c>
      <c r="J838" s="32" t="n">
        <f aca="false">ROUND(IFERROR(ROUND(IF(OR(ISNUMBER(SEARCH("week",C838)),ISNUMBER(SEARCH("minggu",C838))),IFERROR(_xlfn.NUMBERVALUE(SUBSTITUTE(LEFT(TRIM(C838),FIND(" ",TRIM(C838)&amp;" ")-1),",","."),"."),LEFT(SUBSTITUTE(LEFT(TRIM(C838),FIND(" ",TRIM(C838)&amp;" ")-1),",","."),FIND("/",SUBSTITUTE(LEFT(TRIM(C838),FIND(" ",TRIM(C838)&amp;" ")-1),",","."))-1)/MID(SUBSTITUTE(LEFT(TRIM(C838),FIND(" ",TRIM(C838)&amp;" ")-1),",","."),FIND("/",SUBSTITUTE(LEFT(TRIM(C838),FIND(" ",TRIM(C838)&amp;" ")-1),",","."))+1,9))*12/52,IF(ISNUMBER(SEARCH("month",C838)),IFERROR(_xlfn.NUMBERVALUE(SUBSTITUTE(LEFT(TRIM(C838),FIND(" ",TRIM(C838)&amp;" ")-1),",","."),"."),LEFT(SUBSTITUTE(LEFT(TRIM(C838),FIND(" ",TRIM(C838)&amp;" ")-1),",","."),FIND("/",SUBSTITUTE(LEFT(TRIM(C838),FIND(" ",TRIM(C838)&amp;" ")-1),",","."))-1)/MID(SUBSTITUTE(LEFT(TRIM(C838),FIND(" ",TRIM(C838)&amp;" ")-1),",","."),FIND("/",SUBSTITUTE(LEFT(TRIM(C838),FIND(" ",TRIM(C838)&amp;" ")-1),",","."))+1,9)),IF(ISNUMBER(SEARCH("yea",C838)),IFERROR(_xlfn.NUMBERVALUE(SUBSTITUTE(LEFT(TRIM(C838),FIND(" ",TRIM(C838)&amp;" ")-1),",","."),"."),LEFT(SUBSTITUTE(LEFT(TRIM(C838),FIND(" ",TRIM(C838)&amp;" ")-1),",","."),FIND("/",SUBSTITUTE(LEFT(TRIM(C838),FIND(" ",TRIM(C838)&amp;" ")-1),",","."))-1)/MID(SUBSTITUTE(LEFT(TRIM(C838),FIND(" ",TRIM(C838)&amp;" ")-1),",","."),FIND("/",SUBSTITUTE(LEFT(TRIM(C838),FIND(" ",TRIM(C838)&amp;" ")-1),",","."))+1,9))*12,NA()))),0),18)*'Aturan &amp; Tarif'!$B$4,2)</f>
        <v>1022.04</v>
      </c>
      <c r="K838" s="32" t="n">
        <f aca="false">'Aturan &amp; Tarif'!$B$5</f>
        <v>2050</v>
      </c>
      <c r="L838" s="35" t="n">
        <f aca="false">I838+J838+K838</f>
        <v>13398.04</v>
      </c>
      <c r="M838" s="36" t="s">
        <v>2368</v>
      </c>
    </row>
    <row r="839" customFormat="false" ht="25.5" hidden="false" customHeight="true" outlineLevel="0" collapsed="false">
      <c r="A839" s="29"/>
      <c r="B839" s="30" t="s">
        <v>3271</v>
      </c>
      <c r="C839" s="31" t="s">
        <v>113</v>
      </c>
      <c r="D839" s="31" t="s">
        <v>108</v>
      </c>
      <c r="E839" s="32" t="n">
        <v>5113</v>
      </c>
      <c r="F839" s="32"/>
      <c r="G839" s="32" t="n">
        <v>100</v>
      </c>
      <c r="H839" s="33" t="n">
        <v>2</v>
      </c>
      <c r="I839" s="34" t="n">
        <f aca="false">E839*H839+N(F839)+N(G839)</f>
        <v>10326</v>
      </c>
      <c r="J839" s="32" t="n">
        <f aca="false">ROUND(IFERROR(ROUND(IF(OR(ISNUMBER(SEARCH("week",C839)),ISNUMBER(SEARCH("minggu",C839))),IFERROR(_xlfn.NUMBERVALUE(SUBSTITUTE(LEFT(TRIM(C839),FIND(" ",TRIM(C839)&amp;" ")-1),",","."),"."),LEFT(SUBSTITUTE(LEFT(TRIM(C839),FIND(" ",TRIM(C839)&amp;" ")-1),",","."),FIND("/",SUBSTITUTE(LEFT(TRIM(C839),FIND(" ",TRIM(C839)&amp;" ")-1),",","."))-1)/MID(SUBSTITUTE(LEFT(TRIM(C839),FIND(" ",TRIM(C839)&amp;" ")-1),",","."),FIND("/",SUBSTITUTE(LEFT(TRIM(C839),FIND(" ",TRIM(C839)&amp;" ")-1),",","."))+1,9))*12/52,IF(ISNUMBER(SEARCH("month",C839)),IFERROR(_xlfn.NUMBERVALUE(SUBSTITUTE(LEFT(TRIM(C839),FIND(" ",TRIM(C839)&amp;" ")-1),",","."),"."),LEFT(SUBSTITUTE(LEFT(TRIM(C839),FIND(" ",TRIM(C839)&amp;" ")-1),",","."),FIND("/",SUBSTITUTE(LEFT(TRIM(C839),FIND(" ",TRIM(C839)&amp;" ")-1),",","."))-1)/MID(SUBSTITUTE(LEFT(TRIM(C839),FIND(" ",TRIM(C839)&amp;" ")-1),",","."),FIND("/",SUBSTITUTE(LEFT(TRIM(C839),FIND(" ",TRIM(C839)&amp;" ")-1),",","."))+1,9)),IF(ISNUMBER(SEARCH("yea",C839)),IFERROR(_xlfn.NUMBERVALUE(SUBSTITUTE(LEFT(TRIM(C839),FIND(" ",TRIM(C839)&amp;" ")-1),",","."),"."),LEFT(SUBSTITUTE(LEFT(TRIM(C839),FIND(" ",TRIM(C839)&amp;" ")-1),",","."),FIND("/",SUBSTITUTE(LEFT(TRIM(C839),FIND(" ",TRIM(C839)&amp;" ")-1),",","."))-1)/MID(SUBSTITUTE(LEFT(TRIM(C839),FIND(" ",TRIM(C839)&amp;" ")-1),",","."),FIND("/",SUBSTITUTE(LEFT(TRIM(C839),FIND(" ",TRIM(C839)&amp;" ")-1),",","."))+1,9))*12,NA()))),0),18)*'Aturan &amp; Tarif'!$B$4,2)</f>
        <v>1022.04</v>
      </c>
      <c r="K839" s="32" t="n">
        <f aca="false">'Aturan &amp; Tarif'!$B$5</f>
        <v>2050</v>
      </c>
      <c r="L839" s="35" t="n">
        <f aca="false">I839+J839+K839</f>
        <v>13398.04</v>
      </c>
      <c r="M839" s="36" t="s">
        <v>2368</v>
      </c>
    </row>
    <row r="840" customFormat="false" ht="37.5" hidden="false" customHeight="true" outlineLevel="0" collapsed="false">
      <c r="A840" s="29"/>
      <c r="B840" s="30" t="s">
        <v>3272</v>
      </c>
      <c r="C840" s="31" t="s">
        <v>344</v>
      </c>
      <c r="D840" s="31" t="s">
        <v>108</v>
      </c>
      <c r="E840" s="32" t="n">
        <v>6675</v>
      </c>
      <c r="F840" s="32"/>
      <c r="G840" s="32" t="n">
        <v>100</v>
      </c>
      <c r="H840" s="33" t="n">
        <v>2</v>
      </c>
      <c r="I840" s="34" t="n">
        <f aca="false">E840*H840+N(F840)+N(G840)</f>
        <v>13450</v>
      </c>
      <c r="J840" s="32" t="n">
        <f aca="false">ROUND(IFERROR(ROUND(IF(OR(ISNUMBER(SEARCH("week",C840)),ISNUMBER(SEARCH("minggu",C840))),IFERROR(_xlfn.NUMBERVALUE(SUBSTITUTE(LEFT(TRIM(C840),FIND(" ",TRIM(C840)&amp;" ")-1),",","."),"."),LEFT(SUBSTITUTE(LEFT(TRIM(C840),FIND(" ",TRIM(C840)&amp;" ")-1),",","."),FIND("/",SUBSTITUTE(LEFT(TRIM(C840),FIND(" ",TRIM(C840)&amp;" ")-1),",","."))-1)/MID(SUBSTITUTE(LEFT(TRIM(C840),FIND(" ",TRIM(C840)&amp;" ")-1),",","."),FIND("/",SUBSTITUTE(LEFT(TRIM(C840),FIND(" ",TRIM(C840)&amp;" ")-1),",","."))+1,9))*12/52,IF(ISNUMBER(SEARCH("month",C840)),IFERROR(_xlfn.NUMBERVALUE(SUBSTITUTE(LEFT(TRIM(C840),FIND(" ",TRIM(C840)&amp;" ")-1),",","."),"."),LEFT(SUBSTITUTE(LEFT(TRIM(C840),FIND(" ",TRIM(C840)&amp;" ")-1),",","."),FIND("/",SUBSTITUTE(LEFT(TRIM(C840),FIND(" ",TRIM(C840)&amp;" ")-1),",","."))-1)/MID(SUBSTITUTE(LEFT(TRIM(C840),FIND(" ",TRIM(C840)&amp;" ")-1),",","."),FIND("/",SUBSTITUTE(LEFT(TRIM(C840),FIND(" ",TRIM(C840)&amp;" ")-1),",","."))+1,9)),IF(ISNUMBER(SEARCH("yea",C840)),IFERROR(_xlfn.NUMBERVALUE(SUBSTITUTE(LEFT(TRIM(C840),FIND(" ",TRIM(C840)&amp;" ")-1),",","."),"."),LEFT(SUBSTITUTE(LEFT(TRIM(C840),FIND(" ",TRIM(C840)&amp;" ")-1),",","."),FIND("/",SUBSTITUTE(LEFT(TRIM(C840),FIND(" ",TRIM(C840)&amp;" ")-1),",","."))-1)/MID(SUBSTITUTE(LEFT(TRIM(C840),FIND(" ",TRIM(C840)&amp;" ")-1),",","."),FIND("/",SUBSTITUTE(LEFT(TRIM(C840),FIND(" ",TRIM(C840)&amp;" ")-1),",","."))+1,9))*12,NA()))),0),6)*'Aturan &amp; Tarif'!$B$4,2)</f>
        <v>340.68</v>
      </c>
      <c r="K840" s="32" t="n">
        <f aca="false">'Aturan &amp; Tarif'!$B$5</f>
        <v>2050</v>
      </c>
      <c r="L840" s="35" t="n">
        <f aca="false">I840+J840+K840</f>
        <v>15840.68</v>
      </c>
      <c r="M840" s="37" t="s">
        <v>2366</v>
      </c>
    </row>
    <row r="841" customFormat="false" ht="14.25" hidden="false" customHeight="true" outlineLevel="0" collapsed="false">
      <c r="A841" s="29"/>
      <c r="B841" s="30" t="s">
        <v>2415</v>
      </c>
      <c r="C841" s="31" t="s">
        <v>127</v>
      </c>
      <c r="D841" s="31" t="s">
        <v>108</v>
      </c>
      <c r="E841" s="32" t="n">
        <v>5760</v>
      </c>
      <c r="F841" s="32"/>
      <c r="G841" s="32" t="n">
        <v>100</v>
      </c>
      <c r="H841" s="33" t="n">
        <v>2</v>
      </c>
      <c r="I841" s="34" t="n">
        <f aca="false">E841*H841+N(F841)+N(G841)</f>
        <v>11620</v>
      </c>
      <c r="J841" s="32" t="n">
        <f aca="false">ROUND(IFERROR(ROUND(IF(OR(ISNUMBER(SEARCH("week",C841)),ISNUMBER(SEARCH("minggu",C841))),IFERROR(_xlfn.NUMBERVALUE(SUBSTITUTE(LEFT(TRIM(C841),FIND(" ",TRIM(C841)&amp;" ")-1),",","."),"."),LEFT(SUBSTITUTE(LEFT(TRIM(C841),FIND(" ",TRIM(C841)&amp;" ")-1),",","."),FIND("/",SUBSTITUTE(LEFT(TRIM(C841),FIND(" ",TRIM(C841)&amp;" ")-1),",","."))-1)/MID(SUBSTITUTE(LEFT(TRIM(C841),FIND(" ",TRIM(C841)&amp;" ")-1),",","."),FIND("/",SUBSTITUTE(LEFT(TRIM(C841),FIND(" ",TRIM(C841)&amp;" ")-1),",","."))+1,9))*12/52,IF(ISNUMBER(SEARCH("month",C841)),IFERROR(_xlfn.NUMBERVALUE(SUBSTITUTE(LEFT(TRIM(C841),FIND(" ",TRIM(C841)&amp;" ")-1),",","."),"."),LEFT(SUBSTITUTE(LEFT(TRIM(C841),FIND(" ",TRIM(C841)&amp;" ")-1),",","."),FIND("/",SUBSTITUTE(LEFT(TRIM(C841),FIND(" ",TRIM(C841)&amp;" ")-1),",","."))-1)/MID(SUBSTITUTE(LEFT(TRIM(C841),FIND(" ",TRIM(C841)&amp;" ")-1),",","."),FIND("/",SUBSTITUTE(LEFT(TRIM(C841),FIND(" ",TRIM(C841)&amp;" ")-1),",","."))+1,9)),IF(ISNUMBER(SEARCH("yea",C841)),IFERROR(_xlfn.NUMBERVALUE(SUBSTITUTE(LEFT(TRIM(C841),FIND(" ",TRIM(C841)&amp;" ")-1),",","."),"."),LEFT(SUBSTITUTE(LEFT(TRIM(C841),FIND(" ",TRIM(C841)&amp;" ")-1),",","."),FIND("/",SUBSTITUTE(LEFT(TRIM(C841),FIND(" ",TRIM(C841)&amp;" ")-1),",","."))-1)/MID(SUBSTITUTE(LEFT(TRIM(C841),FIND(" ",TRIM(C841)&amp;" ")-1),",","."),FIND("/",SUBSTITUTE(LEFT(TRIM(C841),FIND(" ",TRIM(C841)&amp;" ")-1),",","."))+1,9))*12,NA()))),0),36)*'Aturan &amp; Tarif'!$B$4,2)</f>
        <v>2044.08</v>
      </c>
      <c r="K841" s="32" t="n">
        <f aca="false">'Aturan &amp; Tarif'!$B$5</f>
        <v>2050</v>
      </c>
      <c r="L841" s="35" t="n">
        <f aca="false">I841+J841+K841</f>
        <v>15714.08</v>
      </c>
      <c r="M841" s="37" t="s">
        <v>2373</v>
      </c>
    </row>
    <row r="842" customFormat="false" ht="25.5" hidden="false" customHeight="true" outlineLevel="0" collapsed="false">
      <c r="A842" s="29"/>
      <c r="B842" s="30" t="s">
        <v>2416</v>
      </c>
      <c r="C842" s="31" t="s">
        <v>107</v>
      </c>
      <c r="D842" s="31" t="s">
        <v>108</v>
      </c>
      <c r="E842" s="32" t="n">
        <v>5760</v>
      </c>
      <c r="F842" s="32"/>
      <c r="G842" s="32" t="n">
        <v>100</v>
      </c>
      <c r="H842" s="33" t="n">
        <v>2</v>
      </c>
      <c r="I842" s="34" t="n">
        <f aca="false">E842*H842+N(F842)+N(G842)</f>
        <v>11620</v>
      </c>
      <c r="J842" s="32" t="n">
        <f aca="false">ROUND(IFERROR(ROUND(IF(OR(ISNUMBER(SEARCH("week",C842)),ISNUMBER(SEARCH("minggu",C842))),IFERROR(_xlfn.NUMBERVALUE(SUBSTITUTE(LEFT(TRIM(C842),FIND(" ",TRIM(C842)&amp;" ")-1),",","."),"."),LEFT(SUBSTITUTE(LEFT(TRIM(C842),FIND(" ",TRIM(C842)&amp;" ")-1),",","."),FIND("/",SUBSTITUTE(LEFT(TRIM(C842),FIND(" ",TRIM(C842)&amp;" ")-1),",","."))-1)/MID(SUBSTITUTE(LEFT(TRIM(C842),FIND(" ",TRIM(C842)&amp;" ")-1),",","."),FIND("/",SUBSTITUTE(LEFT(TRIM(C842),FIND(" ",TRIM(C842)&amp;" ")-1),",","."))+1,9))*12/52,IF(ISNUMBER(SEARCH("month",C842)),IFERROR(_xlfn.NUMBERVALUE(SUBSTITUTE(LEFT(TRIM(C842),FIND(" ",TRIM(C842)&amp;" ")-1),",","."),"."),LEFT(SUBSTITUTE(LEFT(TRIM(C842),FIND(" ",TRIM(C842)&amp;" ")-1),",","."),FIND("/",SUBSTITUTE(LEFT(TRIM(C842),FIND(" ",TRIM(C842)&amp;" ")-1),",","."))-1)/MID(SUBSTITUTE(LEFT(TRIM(C842),FIND(" ",TRIM(C842)&amp;" ")-1),",","."),FIND("/",SUBSTITUTE(LEFT(TRIM(C842),FIND(" ",TRIM(C842)&amp;" ")-1),",","."))+1,9)),IF(ISNUMBER(SEARCH("yea",C842)),IFERROR(_xlfn.NUMBERVALUE(SUBSTITUTE(LEFT(TRIM(C842),FIND(" ",TRIM(C842)&amp;" ")-1),",","."),"."),LEFT(SUBSTITUTE(LEFT(TRIM(C842),FIND(" ",TRIM(C842)&amp;" ")-1),",","."),FIND("/",SUBSTITUTE(LEFT(TRIM(C842),FIND(" ",TRIM(C842)&amp;" ")-1),",","."))-1)/MID(SUBSTITUTE(LEFT(TRIM(C842),FIND(" ",TRIM(C842)&amp;" ")-1),",","."),FIND("/",SUBSTITUTE(LEFT(TRIM(C842),FIND(" ",TRIM(C842)&amp;" ")-1),",","."))+1,9))*12,NA()))),0),24)*'Aturan &amp; Tarif'!$B$4,2)</f>
        <v>1362.72</v>
      </c>
      <c r="K842" s="32" t="n">
        <f aca="false">'Aturan &amp; Tarif'!$B$5</f>
        <v>2050</v>
      </c>
      <c r="L842" s="35" t="n">
        <f aca="false">I842+J842+K842</f>
        <v>15032.72</v>
      </c>
      <c r="M842" s="37" t="s">
        <v>2373</v>
      </c>
    </row>
    <row r="843" customFormat="false" ht="72" hidden="false" customHeight="true" outlineLevel="0" collapsed="false">
      <c r="A843" s="29"/>
      <c r="B843" s="30" t="s">
        <v>2417</v>
      </c>
      <c r="C843" s="31" t="s">
        <v>127</v>
      </c>
      <c r="D843" s="31" t="s">
        <v>108</v>
      </c>
      <c r="E843" s="32" t="n">
        <v>5760</v>
      </c>
      <c r="F843" s="32"/>
      <c r="G843" s="32" t="n">
        <v>100</v>
      </c>
      <c r="H843" s="33" t="n">
        <v>2</v>
      </c>
      <c r="I843" s="34" t="n">
        <f aca="false">E843*H843+N(F843)+N(G843)</f>
        <v>11620</v>
      </c>
      <c r="J843" s="32" t="n">
        <f aca="false">ROUND(IFERROR(ROUND(IF(OR(ISNUMBER(SEARCH("week",C843)),ISNUMBER(SEARCH("minggu",C843))),IFERROR(_xlfn.NUMBERVALUE(SUBSTITUTE(LEFT(TRIM(C843),FIND(" ",TRIM(C843)&amp;" ")-1),",","."),"."),LEFT(SUBSTITUTE(LEFT(TRIM(C843),FIND(" ",TRIM(C843)&amp;" ")-1),",","."),FIND("/",SUBSTITUTE(LEFT(TRIM(C843),FIND(" ",TRIM(C843)&amp;" ")-1),",","."))-1)/MID(SUBSTITUTE(LEFT(TRIM(C843),FIND(" ",TRIM(C843)&amp;" ")-1),",","."),FIND("/",SUBSTITUTE(LEFT(TRIM(C843),FIND(" ",TRIM(C843)&amp;" ")-1),",","."))+1,9))*12/52,IF(ISNUMBER(SEARCH("month",C843)),IFERROR(_xlfn.NUMBERVALUE(SUBSTITUTE(LEFT(TRIM(C843),FIND(" ",TRIM(C843)&amp;" ")-1),",","."),"."),LEFT(SUBSTITUTE(LEFT(TRIM(C843),FIND(" ",TRIM(C843)&amp;" ")-1),",","."),FIND("/",SUBSTITUTE(LEFT(TRIM(C843),FIND(" ",TRIM(C843)&amp;" ")-1),",","."))-1)/MID(SUBSTITUTE(LEFT(TRIM(C843),FIND(" ",TRIM(C843)&amp;" ")-1),",","."),FIND("/",SUBSTITUTE(LEFT(TRIM(C843),FIND(" ",TRIM(C843)&amp;" ")-1),",","."))+1,9)),IF(ISNUMBER(SEARCH("yea",C843)),IFERROR(_xlfn.NUMBERVALUE(SUBSTITUTE(LEFT(TRIM(C843),FIND(" ",TRIM(C843)&amp;" ")-1),",","."),"."),LEFT(SUBSTITUTE(LEFT(TRIM(C843),FIND(" ",TRIM(C843)&amp;" ")-1),",","."),FIND("/",SUBSTITUTE(LEFT(TRIM(C843),FIND(" ",TRIM(C843)&amp;" ")-1),",","."))-1)/MID(SUBSTITUTE(LEFT(TRIM(C843),FIND(" ",TRIM(C843)&amp;" ")-1),",","."),FIND("/",SUBSTITUTE(LEFT(TRIM(C843),FIND(" ",TRIM(C843)&amp;" ")-1),",","."))+1,9))*12,NA()))),0),36)*'Aturan &amp; Tarif'!$B$4,2)</f>
        <v>2044.08</v>
      </c>
      <c r="K843" s="32" t="n">
        <f aca="false">'Aturan &amp; Tarif'!$B$5</f>
        <v>2050</v>
      </c>
      <c r="L843" s="35" t="n">
        <f aca="false">I843+J843+K843</f>
        <v>15714.08</v>
      </c>
      <c r="M843" s="37" t="s">
        <v>2373</v>
      </c>
    </row>
    <row r="844" customFormat="false" ht="72" hidden="false" customHeight="true" outlineLevel="0" collapsed="false">
      <c r="A844" s="29"/>
      <c r="B844" s="30" t="s">
        <v>2418</v>
      </c>
      <c r="C844" s="31" t="s">
        <v>107</v>
      </c>
      <c r="D844" s="31" t="s">
        <v>108</v>
      </c>
      <c r="E844" s="32" t="n">
        <v>5760</v>
      </c>
      <c r="F844" s="32"/>
      <c r="G844" s="32" t="n">
        <v>100</v>
      </c>
      <c r="H844" s="33" t="n">
        <v>2</v>
      </c>
      <c r="I844" s="34" t="n">
        <f aca="false">E844*H844+N(F844)+N(G844)</f>
        <v>11620</v>
      </c>
      <c r="J844" s="32" t="n">
        <f aca="false">ROUND(IFERROR(ROUND(IF(OR(ISNUMBER(SEARCH("week",C844)),ISNUMBER(SEARCH("minggu",C844))),IFERROR(_xlfn.NUMBERVALUE(SUBSTITUTE(LEFT(TRIM(C844),FIND(" ",TRIM(C844)&amp;" ")-1),",","."),"."),LEFT(SUBSTITUTE(LEFT(TRIM(C844),FIND(" ",TRIM(C844)&amp;" ")-1),",","."),FIND("/",SUBSTITUTE(LEFT(TRIM(C844),FIND(" ",TRIM(C844)&amp;" ")-1),",","."))-1)/MID(SUBSTITUTE(LEFT(TRIM(C844),FIND(" ",TRIM(C844)&amp;" ")-1),",","."),FIND("/",SUBSTITUTE(LEFT(TRIM(C844),FIND(" ",TRIM(C844)&amp;" ")-1),",","."))+1,9))*12/52,IF(ISNUMBER(SEARCH("month",C844)),IFERROR(_xlfn.NUMBERVALUE(SUBSTITUTE(LEFT(TRIM(C844),FIND(" ",TRIM(C844)&amp;" ")-1),",","."),"."),LEFT(SUBSTITUTE(LEFT(TRIM(C844),FIND(" ",TRIM(C844)&amp;" ")-1),",","."),FIND("/",SUBSTITUTE(LEFT(TRIM(C844),FIND(" ",TRIM(C844)&amp;" ")-1),",","."))-1)/MID(SUBSTITUTE(LEFT(TRIM(C844),FIND(" ",TRIM(C844)&amp;" ")-1),",","."),FIND("/",SUBSTITUTE(LEFT(TRIM(C844),FIND(" ",TRIM(C844)&amp;" ")-1),",","."))+1,9)),IF(ISNUMBER(SEARCH("yea",C844)),IFERROR(_xlfn.NUMBERVALUE(SUBSTITUTE(LEFT(TRIM(C844),FIND(" ",TRIM(C844)&amp;" ")-1),",","."),"."),LEFT(SUBSTITUTE(LEFT(TRIM(C844),FIND(" ",TRIM(C844)&amp;" ")-1),",","."),FIND("/",SUBSTITUTE(LEFT(TRIM(C844),FIND(" ",TRIM(C844)&amp;" ")-1),",","."))-1)/MID(SUBSTITUTE(LEFT(TRIM(C844),FIND(" ",TRIM(C844)&amp;" ")-1),",","."),FIND("/",SUBSTITUTE(LEFT(TRIM(C844),FIND(" ",TRIM(C844)&amp;" ")-1),",","."))+1,9))*12,NA()))),0),24)*'Aturan &amp; Tarif'!$B$4,2)</f>
        <v>1362.72</v>
      </c>
      <c r="K844" s="32" t="n">
        <f aca="false">'Aturan &amp; Tarif'!$B$5</f>
        <v>2050</v>
      </c>
      <c r="L844" s="35" t="n">
        <f aca="false">I844+J844+K844</f>
        <v>15032.72</v>
      </c>
      <c r="M844" s="37" t="s">
        <v>2373</v>
      </c>
    </row>
    <row r="845" customFormat="false" ht="37.5" hidden="false" customHeight="true" outlineLevel="0" collapsed="false">
      <c r="A845" s="29"/>
      <c r="B845" s="30" t="s">
        <v>2419</v>
      </c>
      <c r="C845" s="31" t="s">
        <v>130</v>
      </c>
      <c r="D845" s="31" t="s">
        <v>108</v>
      </c>
      <c r="E845" s="32" t="n">
        <v>6663</v>
      </c>
      <c r="F845" s="32"/>
      <c r="G845" s="32" t="n">
        <v>100</v>
      </c>
      <c r="H845" s="33" t="n">
        <v>2</v>
      </c>
      <c r="I845" s="34" t="n">
        <f aca="false">E845*H845+N(F845)+N(G845)</f>
        <v>13426</v>
      </c>
      <c r="J845" s="32" t="n">
        <f aca="false">ROUND(IFERROR(ROUND(IF(OR(ISNUMBER(SEARCH("week",C845)),ISNUMBER(SEARCH("minggu",C845))),IFERROR(_xlfn.NUMBERVALUE(SUBSTITUTE(LEFT(TRIM(C845),FIND(" ",TRIM(C845)&amp;" ")-1),",","."),"."),LEFT(SUBSTITUTE(LEFT(TRIM(C845),FIND(" ",TRIM(C845)&amp;" ")-1),",","."),FIND("/",SUBSTITUTE(LEFT(TRIM(C845),FIND(" ",TRIM(C845)&amp;" ")-1),",","."))-1)/MID(SUBSTITUTE(LEFT(TRIM(C845),FIND(" ",TRIM(C845)&amp;" ")-1),",","."),FIND("/",SUBSTITUTE(LEFT(TRIM(C845),FIND(" ",TRIM(C845)&amp;" ")-1),",","."))+1,9))*12/52,IF(ISNUMBER(SEARCH("month",C845)),IFERROR(_xlfn.NUMBERVALUE(SUBSTITUTE(LEFT(TRIM(C845),FIND(" ",TRIM(C845)&amp;" ")-1),",","."),"."),LEFT(SUBSTITUTE(LEFT(TRIM(C845),FIND(" ",TRIM(C845)&amp;" ")-1),",","."),FIND("/",SUBSTITUTE(LEFT(TRIM(C845),FIND(" ",TRIM(C845)&amp;" ")-1),",","."))-1)/MID(SUBSTITUTE(LEFT(TRIM(C845),FIND(" ",TRIM(C845)&amp;" ")-1),",","."),FIND("/",SUBSTITUTE(LEFT(TRIM(C845),FIND(" ",TRIM(C845)&amp;" ")-1),",","."))+1,9)),IF(ISNUMBER(SEARCH("yea",C845)),IFERROR(_xlfn.NUMBERVALUE(SUBSTITUTE(LEFT(TRIM(C845),FIND(" ",TRIM(C845)&amp;" ")-1),",","."),"."),LEFT(SUBSTITUTE(LEFT(TRIM(C845),FIND(" ",TRIM(C845)&amp;" ")-1),",","."),FIND("/",SUBSTITUTE(LEFT(TRIM(C845),FIND(" ",TRIM(C845)&amp;" ")-1),",","."))-1)/MID(SUBSTITUTE(LEFT(TRIM(C845),FIND(" ",TRIM(C845)&amp;" ")-1),",","."),FIND("/",SUBSTITUTE(LEFT(TRIM(C845),FIND(" ",TRIM(C845)&amp;" ")-1),",","."))+1,9))*12,NA()))),0),12)*'Aturan &amp; Tarif'!$B$4,2)</f>
        <v>681.36</v>
      </c>
      <c r="K845" s="32" t="n">
        <f aca="false">'Aturan &amp; Tarif'!$B$5</f>
        <v>2050</v>
      </c>
      <c r="L845" s="35" t="n">
        <f aca="false">I845+J845+K845</f>
        <v>16157.36</v>
      </c>
      <c r="M845" s="37" t="s">
        <v>2366</v>
      </c>
    </row>
    <row r="846" customFormat="false" ht="25.5" hidden="false" customHeight="true" outlineLevel="0" collapsed="false">
      <c r="A846" s="29"/>
      <c r="B846" s="30" t="s">
        <v>2420</v>
      </c>
      <c r="C846" s="31" t="s">
        <v>130</v>
      </c>
      <c r="D846" s="31" t="s">
        <v>108</v>
      </c>
      <c r="E846" s="32" t="n">
        <v>6944</v>
      </c>
      <c r="F846" s="32"/>
      <c r="G846" s="32" t="n">
        <v>100</v>
      </c>
      <c r="H846" s="33" t="n">
        <v>2</v>
      </c>
      <c r="I846" s="34" t="n">
        <f aca="false">E846*H846+N(F846)+N(G846)</f>
        <v>13988</v>
      </c>
      <c r="J846" s="32" t="n">
        <f aca="false">ROUND(IFERROR(ROUND(IF(OR(ISNUMBER(SEARCH("week",C846)),ISNUMBER(SEARCH("minggu",C846))),IFERROR(_xlfn.NUMBERVALUE(SUBSTITUTE(LEFT(TRIM(C846),FIND(" ",TRIM(C846)&amp;" ")-1),",","."),"."),LEFT(SUBSTITUTE(LEFT(TRIM(C846),FIND(" ",TRIM(C846)&amp;" ")-1),",","."),FIND("/",SUBSTITUTE(LEFT(TRIM(C846),FIND(" ",TRIM(C846)&amp;" ")-1),",","."))-1)/MID(SUBSTITUTE(LEFT(TRIM(C846),FIND(" ",TRIM(C846)&amp;" ")-1),",","."),FIND("/",SUBSTITUTE(LEFT(TRIM(C846),FIND(" ",TRIM(C846)&amp;" ")-1),",","."))+1,9))*12/52,IF(ISNUMBER(SEARCH("month",C846)),IFERROR(_xlfn.NUMBERVALUE(SUBSTITUTE(LEFT(TRIM(C846),FIND(" ",TRIM(C846)&amp;" ")-1),",","."),"."),LEFT(SUBSTITUTE(LEFT(TRIM(C846),FIND(" ",TRIM(C846)&amp;" ")-1),",","."),FIND("/",SUBSTITUTE(LEFT(TRIM(C846),FIND(" ",TRIM(C846)&amp;" ")-1),",","."))-1)/MID(SUBSTITUTE(LEFT(TRIM(C846),FIND(" ",TRIM(C846)&amp;" ")-1),",","."),FIND("/",SUBSTITUTE(LEFT(TRIM(C846),FIND(" ",TRIM(C846)&amp;" ")-1),",","."))+1,9)),IF(ISNUMBER(SEARCH("yea",C846)),IFERROR(_xlfn.NUMBERVALUE(SUBSTITUTE(LEFT(TRIM(C846),FIND(" ",TRIM(C846)&amp;" ")-1),",","."),"."),LEFT(SUBSTITUTE(LEFT(TRIM(C846),FIND(" ",TRIM(C846)&amp;" ")-1),",","."),FIND("/",SUBSTITUTE(LEFT(TRIM(C846),FIND(" ",TRIM(C846)&amp;" ")-1),",","."))-1)/MID(SUBSTITUTE(LEFT(TRIM(C846),FIND(" ",TRIM(C846)&amp;" ")-1),",","."),FIND("/",SUBSTITUTE(LEFT(TRIM(C846),FIND(" ",TRIM(C846)&amp;" ")-1),",","."))+1,9))*12,NA()))),0),12)*'Aturan &amp; Tarif'!$B$4,2)</f>
        <v>681.36</v>
      </c>
      <c r="K846" s="32" t="n">
        <f aca="false">'Aturan &amp; Tarif'!$B$5</f>
        <v>2050</v>
      </c>
      <c r="L846" s="35" t="n">
        <f aca="false">I846+J846+K846</f>
        <v>16719.36</v>
      </c>
      <c r="M846" s="37" t="s">
        <v>2366</v>
      </c>
    </row>
    <row r="847" customFormat="false" ht="37.5" hidden="false" customHeight="true" outlineLevel="0" collapsed="false">
      <c r="A847" s="29"/>
      <c r="B847" s="30" t="s">
        <v>2421</v>
      </c>
      <c r="C847" s="31" t="s">
        <v>130</v>
      </c>
      <c r="D847" s="31" t="s">
        <v>108</v>
      </c>
      <c r="E847" s="32" t="n">
        <v>4682</v>
      </c>
      <c r="F847" s="32"/>
      <c r="G847" s="32" t="n">
        <v>100</v>
      </c>
      <c r="H847" s="33" t="n">
        <v>2</v>
      </c>
      <c r="I847" s="34" t="n">
        <f aca="false">E847*H847+N(F847)+N(G847)</f>
        <v>9464</v>
      </c>
      <c r="J847" s="32" t="n">
        <f aca="false">ROUND(IFERROR(ROUND(IF(OR(ISNUMBER(SEARCH("week",C847)),ISNUMBER(SEARCH("minggu",C847))),IFERROR(_xlfn.NUMBERVALUE(SUBSTITUTE(LEFT(TRIM(C847),FIND(" ",TRIM(C847)&amp;" ")-1),",","."),"."),LEFT(SUBSTITUTE(LEFT(TRIM(C847),FIND(" ",TRIM(C847)&amp;" ")-1),",","."),FIND("/",SUBSTITUTE(LEFT(TRIM(C847),FIND(" ",TRIM(C847)&amp;" ")-1),",","."))-1)/MID(SUBSTITUTE(LEFT(TRIM(C847),FIND(" ",TRIM(C847)&amp;" ")-1),",","."),FIND("/",SUBSTITUTE(LEFT(TRIM(C847),FIND(" ",TRIM(C847)&amp;" ")-1),",","."))+1,9))*12/52,IF(ISNUMBER(SEARCH("month",C847)),IFERROR(_xlfn.NUMBERVALUE(SUBSTITUTE(LEFT(TRIM(C847),FIND(" ",TRIM(C847)&amp;" ")-1),",","."),"."),LEFT(SUBSTITUTE(LEFT(TRIM(C847),FIND(" ",TRIM(C847)&amp;" ")-1),",","."),FIND("/",SUBSTITUTE(LEFT(TRIM(C847),FIND(" ",TRIM(C847)&amp;" ")-1),",","."))-1)/MID(SUBSTITUTE(LEFT(TRIM(C847),FIND(" ",TRIM(C847)&amp;" ")-1),",","."),FIND("/",SUBSTITUTE(LEFT(TRIM(C847),FIND(" ",TRIM(C847)&amp;" ")-1),",","."))+1,9)),IF(ISNUMBER(SEARCH("yea",C847)),IFERROR(_xlfn.NUMBERVALUE(SUBSTITUTE(LEFT(TRIM(C847),FIND(" ",TRIM(C847)&amp;" ")-1),",","."),"."),LEFT(SUBSTITUTE(LEFT(TRIM(C847),FIND(" ",TRIM(C847)&amp;" ")-1),",","."),FIND("/",SUBSTITUTE(LEFT(TRIM(C847),FIND(" ",TRIM(C847)&amp;" ")-1),",","."))-1)/MID(SUBSTITUTE(LEFT(TRIM(C847),FIND(" ",TRIM(C847)&amp;" ")-1),",","."),FIND("/",SUBSTITUTE(LEFT(TRIM(C847),FIND(" ",TRIM(C847)&amp;" ")-1),",","."))+1,9))*12,NA()))),0),12)*'Aturan &amp; Tarif'!$B$4,2)</f>
        <v>681.36</v>
      </c>
      <c r="K847" s="32" t="n">
        <f aca="false">'Aturan &amp; Tarif'!$B$5</f>
        <v>2050</v>
      </c>
      <c r="L847" s="35" t="n">
        <f aca="false">I847+J847+K847</f>
        <v>12195.36</v>
      </c>
      <c r="M847" s="37" t="s">
        <v>2366</v>
      </c>
    </row>
    <row r="848" customFormat="false" ht="25.5" hidden="false" customHeight="true" outlineLevel="0" collapsed="false">
      <c r="A848" s="29"/>
      <c r="B848" s="30" t="s">
        <v>2422</v>
      </c>
      <c r="C848" s="31" t="s">
        <v>130</v>
      </c>
      <c r="D848" s="31" t="s">
        <v>108</v>
      </c>
      <c r="E848" s="32" t="n">
        <v>4988</v>
      </c>
      <c r="F848" s="32"/>
      <c r="G848" s="32" t="n">
        <v>100</v>
      </c>
      <c r="H848" s="33" t="n">
        <v>2</v>
      </c>
      <c r="I848" s="34" t="n">
        <f aca="false">E848*H848+N(F848)+N(G848)</f>
        <v>10076</v>
      </c>
      <c r="J848" s="32" t="n">
        <f aca="false">ROUND(IFERROR(ROUND(IF(OR(ISNUMBER(SEARCH("week",C848)),ISNUMBER(SEARCH("minggu",C848))),IFERROR(_xlfn.NUMBERVALUE(SUBSTITUTE(LEFT(TRIM(C848),FIND(" ",TRIM(C848)&amp;" ")-1),",","."),"."),LEFT(SUBSTITUTE(LEFT(TRIM(C848),FIND(" ",TRIM(C848)&amp;" ")-1),",","."),FIND("/",SUBSTITUTE(LEFT(TRIM(C848),FIND(" ",TRIM(C848)&amp;" ")-1),",","."))-1)/MID(SUBSTITUTE(LEFT(TRIM(C848),FIND(" ",TRIM(C848)&amp;" ")-1),",","."),FIND("/",SUBSTITUTE(LEFT(TRIM(C848),FIND(" ",TRIM(C848)&amp;" ")-1),",","."))+1,9))*12/52,IF(ISNUMBER(SEARCH("month",C848)),IFERROR(_xlfn.NUMBERVALUE(SUBSTITUTE(LEFT(TRIM(C848),FIND(" ",TRIM(C848)&amp;" ")-1),",","."),"."),LEFT(SUBSTITUTE(LEFT(TRIM(C848),FIND(" ",TRIM(C848)&amp;" ")-1),",","."),FIND("/",SUBSTITUTE(LEFT(TRIM(C848),FIND(" ",TRIM(C848)&amp;" ")-1),",","."))-1)/MID(SUBSTITUTE(LEFT(TRIM(C848),FIND(" ",TRIM(C848)&amp;" ")-1),",","."),FIND("/",SUBSTITUTE(LEFT(TRIM(C848),FIND(" ",TRIM(C848)&amp;" ")-1),",","."))+1,9)),IF(ISNUMBER(SEARCH("yea",C848)),IFERROR(_xlfn.NUMBERVALUE(SUBSTITUTE(LEFT(TRIM(C848),FIND(" ",TRIM(C848)&amp;" ")-1),",","."),"."),LEFT(SUBSTITUTE(LEFT(TRIM(C848),FIND(" ",TRIM(C848)&amp;" ")-1),",","."),FIND("/",SUBSTITUTE(LEFT(TRIM(C848),FIND(" ",TRIM(C848)&amp;" ")-1),",","."))-1)/MID(SUBSTITUTE(LEFT(TRIM(C848),FIND(" ",TRIM(C848)&amp;" ")-1),",","."),FIND("/",SUBSTITUTE(LEFT(TRIM(C848),FIND(" ",TRIM(C848)&amp;" ")-1),",","."))+1,9))*12,NA()))),0),12)*'Aturan &amp; Tarif'!$B$4,2)</f>
        <v>681.36</v>
      </c>
      <c r="K848" s="32" t="n">
        <f aca="false">'Aturan &amp; Tarif'!$B$5</f>
        <v>2050</v>
      </c>
      <c r="L848" s="35" t="n">
        <f aca="false">I848+J848+K848</f>
        <v>12807.36</v>
      </c>
      <c r="M848" s="36" t="s">
        <v>2368</v>
      </c>
    </row>
    <row r="849" customFormat="false" ht="25.5" hidden="false" customHeight="true" outlineLevel="0" collapsed="false">
      <c r="A849" s="29"/>
      <c r="B849" s="30" t="s">
        <v>2423</v>
      </c>
      <c r="C849" s="31" t="s">
        <v>344</v>
      </c>
      <c r="D849" s="31" t="s">
        <v>108</v>
      </c>
      <c r="E849" s="32" t="n">
        <v>8400</v>
      </c>
      <c r="F849" s="32"/>
      <c r="G849" s="32" t="n">
        <v>100</v>
      </c>
      <c r="H849" s="33" t="n">
        <v>2</v>
      </c>
      <c r="I849" s="34" t="n">
        <f aca="false">E849*H849+N(F849)+N(G849)</f>
        <v>16900</v>
      </c>
      <c r="J849" s="32" t="n">
        <f aca="false">ROUND(IFERROR(ROUND(IF(OR(ISNUMBER(SEARCH("week",C849)),ISNUMBER(SEARCH("minggu",C849))),IFERROR(_xlfn.NUMBERVALUE(SUBSTITUTE(LEFT(TRIM(C849),FIND(" ",TRIM(C849)&amp;" ")-1),",","."),"."),LEFT(SUBSTITUTE(LEFT(TRIM(C849),FIND(" ",TRIM(C849)&amp;" ")-1),",","."),FIND("/",SUBSTITUTE(LEFT(TRIM(C849),FIND(" ",TRIM(C849)&amp;" ")-1),",","."))-1)/MID(SUBSTITUTE(LEFT(TRIM(C849),FIND(" ",TRIM(C849)&amp;" ")-1),",","."),FIND("/",SUBSTITUTE(LEFT(TRIM(C849),FIND(" ",TRIM(C849)&amp;" ")-1),",","."))+1,9))*12/52,IF(ISNUMBER(SEARCH("month",C849)),IFERROR(_xlfn.NUMBERVALUE(SUBSTITUTE(LEFT(TRIM(C849),FIND(" ",TRIM(C849)&amp;" ")-1),",","."),"."),LEFT(SUBSTITUTE(LEFT(TRIM(C849),FIND(" ",TRIM(C849)&amp;" ")-1),",","."),FIND("/",SUBSTITUTE(LEFT(TRIM(C849),FIND(" ",TRIM(C849)&amp;" ")-1),",","."))-1)/MID(SUBSTITUTE(LEFT(TRIM(C849),FIND(" ",TRIM(C849)&amp;" ")-1),",","."),FIND("/",SUBSTITUTE(LEFT(TRIM(C849),FIND(" ",TRIM(C849)&amp;" ")-1),",","."))+1,9)),IF(ISNUMBER(SEARCH("yea",C849)),IFERROR(_xlfn.NUMBERVALUE(SUBSTITUTE(LEFT(TRIM(C849),FIND(" ",TRIM(C849)&amp;" ")-1),",","."),"."),LEFT(SUBSTITUTE(LEFT(TRIM(C849),FIND(" ",TRIM(C849)&amp;" ")-1),",","."),FIND("/",SUBSTITUTE(LEFT(TRIM(C849),FIND(" ",TRIM(C849)&amp;" ")-1),",","."))-1)/MID(SUBSTITUTE(LEFT(TRIM(C849),FIND(" ",TRIM(C849)&amp;" ")-1),",","."),FIND("/",SUBSTITUTE(LEFT(TRIM(C849),FIND(" ",TRIM(C849)&amp;" ")-1),",","."))+1,9))*12,NA()))),0),6)*'Aturan &amp; Tarif'!$B$4,2)</f>
        <v>340.68</v>
      </c>
      <c r="K849" s="32" t="n">
        <f aca="false">'Aturan &amp; Tarif'!$B$5</f>
        <v>2050</v>
      </c>
      <c r="L849" s="35" t="n">
        <f aca="false">I849+J849+K849</f>
        <v>19290.68</v>
      </c>
      <c r="M849" s="37" t="s">
        <v>2366</v>
      </c>
    </row>
    <row r="850" customFormat="false" ht="37.5" hidden="false" customHeight="true" outlineLevel="0" collapsed="false">
      <c r="A850" s="29"/>
      <c r="B850" s="30" t="s">
        <v>2424</v>
      </c>
      <c r="C850" s="31" t="s">
        <v>344</v>
      </c>
      <c r="D850" s="31" t="s">
        <v>108</v>
      </c>
      <c r="E850" s="32" t="n">
        <v>6150</v>
      </c>
      <c r="F850" s="32"/>
      <c r="G850" s="32" t="n">
        <v>100</v>
      </c>
      <c r="H850" s="33" t="n">
        <v>2</v>
      </c>
      <c r="I850" s="34" t="n">
        <f aca="false">E850*H850+N(F850)+N(G850)</f>
        <v>12400</v>
      </c>
      <c r="J850" s="32" t="n">
        <f aca="false">ROUND(IFERROR(ROUND(IF(OR(ISNUMBER(SEARCH("week",C850)),ISNUMBER(SEARCH("minggu",C850))),IFERROR(_xlfn.NUMBERVALUE(SUBSTITUTE(LEFT(TRIM(C850),FIND(" ",TRIM(C850)&amp;" ")-1),",","."),"."),LEFT(SUBSTITUTE(LEFT(TRIM(C850),FIND(" ",TRIM(C850)&amp;" ")-1),",","."),FIND("/",SUBSTITUTE(LEFT(TRIM(C850),FIND(" ",TRIM(C850)&amp;" ")-1),",","."))-1)/MID(SUBSTITUTE(LEFT(TRIM(C850),FIND(" ",TRIM(C850)&amp;" ")-1),",","."),FIND("/",SUBSTITUTE(LEFT(TRIM(C850),FIND(" ",TRIM(C850)&amp;" ")-1),",","."))+1,9))*12/52,IF(ISNUMBER(SEARCH("month",C850)),IFERROR(_xlfn.NUMBERVALUE(SUBSTITUTE(LEFT(TRIM(C850),FIND(" ",TRIM(C850)&amp;" ")-1),",","."),"."),LEFT(SUBSTITUTE(LEFT(TRIM(C850),FIND(" ",TRIM(C850)&amp;" ")-1),",","."),FIND("/",SUBSTITUTE(LEFT(TRIM(C850),FIND(" ",TRIM(C850)&amp;" ")-1),",","."))-1)/MID(SUBSTITUTE(LEFT(TRIM(C850),FIND(" ",TRIM(C850)&amp;" ")-1),",","."),FIND("/",SUBSTITUTE(LEFT(TRIM(C850),FIND(" ",TRIM(C850)&amp;" ")-1),",","."))+1,9)),IF(ISNUMBER(SEARCH("yea",C850)),IFERROR(_xlfn.NUMBERVALUE(SUBSTITUTE(LEFT(TRIM(C850),FIND(" ",TRIM(C850)&amp;" ")-1),",","."),"."),LEFT(SUBSTITUTE(LEFT(TRIM(C850),FIND(" ",TRIM(C850)&amp;" ")-1),",","."),FIND("/",SUBSTITUTE(LEFT(TRIM(C850),FIND(" ",TRIM(C850)&amp;" ")-1),",","."))-1)/MID(SUBSTITUTE(LEFT(TRIM(C850),FIND(" ",TRIM(C850)&amp;" ")-1),",","."),FIND("/",SUBSTITUTE(LEFT(TRIM(C850),FIND(" ",TRIM(C850)&amp;" ")-1),",","."))+1,9))*12,NA()))),0),6)*'Aturan &amp; Tarif'!$B$4,2)</f>
        <v>340.68</v>
      </c>
      <c r="K850" s="32" t="n">
        <f aca="false">'Aturan &amp; Tarif'!$B$5</f>
        <v>2050</v>
      </c>
      <c r="L850" s="35" t="n">
        <f aca="false">I850+J850+K850</f>
        <v>14790.68</v>
      </c>
      <c r="M850" s="37" t="s">
        <v>2366</v>
      </c>
    </row>
    <row r="851" customFormat="false" ht="25.5" hidden="false" customHeight="true" outlineLevel="0" collapsed="false">
      <c r="A851" s="29"/>
      <c r="B851" s="30" t="s">
        <v>2425</v>
      </c>
      <c r="C851" s="31" t="s">
        <v>130</v>
      </c>
      <c r="D851" s="31" t="s">
        <v>108</v>
      </c>
      <c r="E851" s="32" t="n">
        <v>9100</v>
      </c>
      <c r="F851" s="32"/>
      <c r="G851" s="32" t="n">
        <v>100</v>
      </c>
      <c r="H851" s="33" t="n">
        <v>2</v>
      </c>
      <c r="I851" s="34" t="n">
        <f aca="false">E851*H851+N(F851)+N(G851)</f>
        <v>18300</v>
      </c>
      <c r="J851" s="32" t="n">
        <f aca="false">ROUND(IFERROR(ROUND(IF(OR(ISNUMBER(SEARCH("week",C851)),ISNUMBER(SEARCH("minggu",C851))),IFERROR(_xlfn.NUMBERVALUE(SUBSTITUTE(LEFT(TRIM(C851),FIND(" ",TRIM(C851)&amp;" ")-1),",","."),"."),LEFT(SUBSTITUTE(LEFT(TRIM(C851),FIND(" ",TRIM(C851)&amp;" ")-1),",","."),FIND("/",SUBSTITUTE(LEFT(TRIM(C851),FIND(" ",TRIM(C851)&amp;" ")-1),",","."))-1)/MID(SUBSTITUTE(LEFT(TRIM(C851),FIND(" ",TRIM(C851)&amp;" ")-1),",","."),FIND("/",SUBSTITUTE(LEFT(TRIM(C851),FIND(" ",TRIM(C851)&amp;" ")-1),",","."))+1,9))*12/52,IF(ISNUMBER(SEARCH("month",C851)),IFERROR(_xlfn.NUMBERVALUE(SUBSTITUTE(LEFT(TRIM(C851),FIND(" ",TRIM(C851)&amp;" ")-1),",","."),"."),LEFT(SUBSTITUTE(LEFT(TRIM(C851),FIND(" ",TRIM(C851)&amp;" ")-1),",","."),FIND("/",SUBSTITUTE(LEFT(TRIM(C851),FIND(" ",TRIM(C851)&amp;" ")-1),",","."))-1)/MID(SUBSTITUTE(LEFT(TRIM(C851),FIND(" ",TRIM(C851)&amp;" ")-1),",","."),FIND("/",SUBSTITUTE(LEFT(TRIM(C851),FIND(" ",TRIM(C851)&amp;" ")-1),",","."))+1,9)),IF(ISNUMBER(SEARCH("yea",C851)),IFERROR(_xlfn.NUMBERVALUE(SUBSTITUTE(LEFT(TRIM(C851),FIND(" ",TRIM(C851)&amp;" ")-1),",","."),"."),LEFT(SUBSTITUTE(LEFT(TRIM(C851),FIND(" ",TRIM(C851)&amp;" ")-1),",","."),FIND("/",SUBSTITUTE(LEFT(TRIM(C851),FIND(" ",TRIM(C851)&amp;" ")-1),",","."))-1)/MID(SUBSTITUTE(LEFT(TRIM(C851),FIND(" ",TRIM(C851)&amp;" ")-1),",","."),FIND("/",SUBSTITUTE(LEFT(TRIM(C851),FIND(" ",TRIM(C851)&amp;" ")-1),",","."))+1,9))*12,NA()))),0),12)*'Aturan &amp; Tarif'!$B$4,2)</f>
        <v>681.36</v>
      </c>
      <c r="K851" s="32" t="n">
        <f aca="false">'Aturan &amp; Tarif'!$B$5</f>
        <v>2050</v>
      </c>
      <c r="L851" s="35" t="n">
        <f aca="false">I851+J851+K851</f>
        <v>21031.36</v>
      </c>
      <c r="M851" s="37" t="s">
        <v>2366</v>
      </c>
    </row>
    <row r="852" customFormat="false" ht="25.5" hidden="false" customHeight="true" outlineLevel="0" collapsed="false">
      <c r="A852" s="29"/>
      <c r="B852" s="30" t="s">
        <v>2426</v>
      </c>
      <c r="C852" s="31" t="s">
        <v>130</v>
      </c>
      <c r="D852" s="31" t="s">
        <v>108</v>
      </c>
      <c r="E852" s="32" t="n">
        <v>9100</v>
      </c>
      <c r="F852" s="32"/>
      <c r="G852" s="32" t="n">
        <v>100</v>
      </c>
      <c r="H852" s="33" t="n">
        <v>2</v>
      </c>
      <c r="I852" s="34" t="n">
        <f aca="false">E852*H852+N(F852)+N(G852)</f>
        <v>18300</v>
      </c>
      <c r="J852" s="32" t="n">
        <f aca="false">ROUND(IFERROR(ROUND(IF(OR(ISNUMBER(SEARCH("week",C852)),ISNUMBER(SEARCH("minggu",C852))),IFERROR(_xlfn.NUMBERVALUE(SUBSTITUTE(LEFT(TRIM(C852),FIND(" ",TRIM(C852)&amp;" ")-1),",","."),"."),LEFT(SUBSTITUTE(LEFT(TRIM(C852),FIND(" ",TRIM(C852)&amp;" ")-1),",","."),FIND("/",SUBSTITUTE(LEFT(TRIM(C852),FIND(" ",TRIM(C852)&amp;" ")-1),",","."))-1)/MID(SUBSTITUTE(LEFT(TRIM(C852),FIND(" ",TRIM(C852)&amp;" ")-1),",","."),FIND("/",SUBSTITUTE(LEFT(TRIM(C852),FIND(" ",TRIM(C852)&amp;" ")-1),",","."))+1,9))*12/52,IF(ISNUMBER(SEARCH("month",C852)),IFERROR(_xlfn.NUMBERVALUE(SUBSTITUTE(LEFT(TRIM(C852),FIND(" ",TRIM(C852)&amp;" ")-1),",","."),"."),LEFT(SUBSTITUTE(LEFT(TRIM(C852),FIND(" ",TRIM(C852)&amp;" ")-1),",","."),FIND("/",SUBSTITUTE(LEFT(TRIM(C852),FIND(" ",TRIM(C852)&amp;" ")-1),",","."))-1)/MID(SUBSTITUTE(LEFT(TRIM(C852),FIND(" ",TRIM(C852)&amp;" ")-1),",","."),FIND("/",SUBSTITUTE(LEFT(TRIM(C852),FIND(" ",TRIM(C852)&amp;" ")-1),",","."))+1,9)),IF(ISNUMBER(SEARCH("yea",C852)),IFERROR(_xlfn.NUMBERVALUE(SUBSTITUTE(LEFT(TRIM(C852),FIND(" ",TRIM(C852)&amp;" ")-1),",","."),"."),LEFT(SUBSTITUTE(LEFT(TRIM(C852),FIND(" ",TRIM(C852)&amp;" ")-1),",","."),FIND("/",SUBSTITUTE(LEFT(TRIM(C852),FIND(" ",TRIM(C852)&amp;" ")-1),",","."))-1)/MID(SUBSTITUTE(LEFT(TRIM(C852),FIND(" ",TRIM(C852)&amp;" ")-1),",","."),FIND("/",SUBSTITUTE(LEFT(TRIM(C852),FIND(" ",TRIM(C852)&amp;" ")-1),",","."))+1,9))*12,NA()))),0),12)*'Aturan &amp; Tarif'!$B$4,2)</f>
        <v>681.36</v>
      </c>
      <c r="K852" s="32" t="n">
        <f aca="false">'Aturan &amp; Tarif'!$B$5</f>
        <v>2050</v>
      </c>
      <c r="L852" s="35" t="n">
        <f aca="false">I852+J852+K852</f>
        <v>21031.36</v>
      </c>
      <c r="M852" s="37" t="s">
        <v>2366</v>
      </c>
    </row>
    <row r="853" customFormat="false" ht="25.5" hidden="false" customHeight="true" outlineLevel="0" collapsed="false">
      <c r="A853" s="29"/>
      <c r="B853" s="30" t="s">
        <v>2427</v>
      </c>
      <c r="C853" s="31" t="s">
        <v>130</v>
      </c>
      <c r="D853" s="31" t="s">
        <v>108</v>
      </c>
      <c r="E853" s="32" t="n">
        <v>6060</v>
      </c>
      <c r="F853" s="32"/>
      <c r="G853" s="32" t="n">
        <v>100</v>
      </c>
      <c r="H853" s="33" t="n">
        <v>2</v>
      </c>
      <c r="I853" s="34" t="n">
        <f aca="false">E853*H853+N(F853)+N(G853)</f>
        <v>12220</v>
      </c>
      <c r="J853" s="32" t="n">
        <f aca="false">ROUND(IFERROR(ROUND(IF(OR(ISNUMBER(SEARCH("week",C853)),ISNUMBER(SEARCH("minggu",C853))),IFERROR(_xlfn.NUMBERVALUE(SUBSTITUTE(LEFT(TRIM(C853),FIND(" ",TRIM(C853)&amp;" ")-1),",","."),"."),LEFT(SUBSTITUTE(LEFT(TRIM(C853),FIND(" ",TRIM(C853)&amp;" ")-1),",","."),FIND("/",SUBSTITUTE(LEFT(TRIM(C853),FIND(" ",TRIM(C853)&amp;" ")-1),",","."))-1)/MID(SUBSTITUTE(LEFT(TRIM(C853),FIND(" ",TRIM(C853)&amp;" ")-1),",","."),FIND("/",SUBSTITUTE(LEFT(TRIM(C853),FIND(" ",TRIM(C853)&amp;" ")-1),",","."))+1,9))*12/52,IF(ISNUMBER(SEARCH("month",C853)),IFERROR(_xlfn.NUMBERVALUE(SUBSTITUTE(LEFT(TRIM(C853),FIND(" ",TRIM(C853)&amp;" ")-1),",","."),"."),LEFT(SUBSTITUTE(LEFT(TRIM(C853),FIND(" ",TRIM(C853)&amp;" ")-1),",","."),FIND("/",SUBSTITUTE(LEFT(TRIM(C853),FIND(" ",TRIM(C853)&amp;" ")-1),",","."))-1)/MID(SUBSTITUTE(LEFT(TRIM(C853),FIND(" ",TRIM(C853)&amp;" ")-1),",","."),FIND("/",SUBSTITUTE(LEFT(TRIM(C853),FIND(" ",TRIM(C853)&amp;" ")-1),",","."))+1,9)),IF(ISNUMBER(SEARCH("yea",C853)),IFERROR(_xlfn.NUMBERVALUE(SUBSTITUTE(LEFT(TRIM(C853),FIND(" ",TRIM(C853)&amp;" ")-1),",","."),"."),LEFT(SUBSTITUTE(LEFT(TRIM(C853),FIND(" ",TRIM(C853)&amp;" ")-1),",","."),FIND("/",SUBSTITUTE(LEFT(TRIM(C853),FIND(" ",TRIM(C853)&amp;" ")-1),",","."))-1)/MID(SUBSTITUTE(LEFT(TRIM(C853),FIND(" ",TRIM(C853)&amp;" ")-1),",","."),FIND("/",SUBSTITUTE(LEFT(TRIM(C853),FIND(" ",TRIM(C853)&amp;" ")-1),",","."))+1,9))*12,NA()))),0),12)*'Aturan &amp; Tarif'!$B$4,2)</f>
        <v>681.36</v>
      </c>
      <c r="K853" s="32" t="n">
        <f aca="false">'Aturan &amp; Tarif'!$B$5</f>
        <v>2050</v>
      </c>
      <c r="L853" s="35" t="n">
        <f aca="false">I853+J853+K853</f>
        <v>14951.36</v>
      </c>
      <c r="M853" s="37" t="s">
        <v>2366</v>
      </c>
    </row>
    <row r="854" customFormat="false" ht="72" hidden="false" customHeight="true" outlineLevel="0" collapsed="false">
      <c r="A854" s="29"/>
      <c r="B854" s="30" t="s">
        <v>2428</v>
      </c>
      <c r="C854" s="31" t="s">
        <v>127</v>
      </c>
      <c r="D854" s="31" t="s">
        <v>108</v>
      </c>
      <c r="E854" s="32" t="n">
        <v>6060</v>
      </c>
      <c r="F854" s="32"/>
      <c r="G854" s="32" t="n">
        <v>100</v>
      </c>
      <c r="H854" s="33" t="n">
        <v>2</v>
      </c>
      <c r="I854" s="34" t="n">
        <f aca="false">E854*H854+N(F854)+N(G854)</f>
        <v>12220</v>
      </c>
      <c r="J854" s="32" t="n">
        <f aca="false">ROUND(IFERROR(ROUND(IF(OR(ISNUMBER(SEARCH("week",C854)),ISNUMBER(SEARCH("minggu",C854))),IFERROR(_xlfn.NUMBERVALUE(SUBSTITUTE(LEFT(TRIM(C854),FIND(" ",TRIM(C854)&amp;" ")-1),",","."),"."),LEFT(SUBSTITUTE(LEFT(TRIM(C854),FIND(" ",TRIM(C854)&amp;" ")-1),",","."),FIND("/",SUBSTITUTE(LEFT(TRIM(C854),FIND(" ",TRIM(C854)&amp;" ")-1),",","."))-1)/MID(SUBSTITUTE(LEFT(TRIM(C854),FIND(" ",TRIM(C854)&amp;" ")-1),",","."),FIND("/",SUBSTITUTE(LEFT(TRIM(C854),FIND(" ",TRIM(C854)&amp;" ")-1),",","."))+1,9))*12/52,IF(ISNUMBER(SEARCH("month",C854)),IFERROR(_xlfn.NUMBERVALUE(SUBSTITUTE(LEFT(TRIM(C854),FIND(" ",TRIM(C854)&amp;" ")-1),",","."),"."),LEFT(SUBSTITUTE(LEFT(TRIM(C854),FIND(" ",TRIM(C854)&amp;" ")-1),",","."),FIND("/",SUBSTITUTE(LEFT(TRIM(C854),FIND(" ",TRIM(C854)&amp;" ")-1),",","."))-1)/MID(SUBSTITUTE(LEFT(TRIM(C854),FIND(" ",TRIM(C854)&amp;" ")-1),",","."),FIND("/",SUBSTITUTE(LEFT(TRIM(C854),FIND(" ",TRIM(C854)&amp;" ")-1),",","."))+1,9)),IF(ISNUMBER(SEARCH("yea",C854)),IFERROR(_xlfn.NUMBERVALUE(SUBSTITUTE(LEFT(TRIM(C854),FIND(" ",TRIM(C854)&amp;" ")-1),",","."),"."),LEFT(SUBSTITUTE(LEFT(TRIM(C854),FIND(" ",TRIM(C854)&amp;" ")-1),",","."),FIND("/",SUBSTITUTE(LEFT(TRIM(C854),FIND(" ",TRIM(C854)&amp;" ")-1),",","."))-1)/MID(SUBSTITUTE(LEFT(TRIM(C854),FIND(" ",TRIM(C854)&amp;" ")-1),",","."),FIND("/",SUBSTITUTE(LEFT(TRIM(C854),FIND(" ",TRIM(C854)&amp;" ")-1),",","."))+1,9))*12,NA()))),0),36)*'Aturan &amp; Tarif'!$B$4,2)</f>
        <v>2044.08</v>
      </c>
      <c r="K854" s="32" t="n">
        <f aca="false">'Aturan &amp; Tarif'!$B$5</f>
        <v>2050</v>
      </c>
      <c r="L854" s="35" t="n">
        <f aca="false">I854+J854+K854</f>
        <v>16314.08</v>
      </c>
      <c r="M854" s="37" t="s">
        <v>2373</v>
      </c>
    </row>
    <row r="855" customFormat="false" ht="25.5" hidden="false" customHeight="true" outlineLevel="0" collapsed="false">
      <c r="A855" s="29"/>
      <c r="B855" s="30" t="s">
        <v>2429</v>
      </c>
      <c r="C855" s="31" t="s">
        <v>107</v>
      </c>
      <c r="D855" s="31" t="s">
        <v>108</v>
      </c>
      <c r="E855" s="32" t="n">
        <v>4988</v>
      </c>
      <c r="F855" s="32"/>
      <c r="G855" s="32" t="n">
        <v>100</v>
      </c>
      <c r="H855" s="33" t="n">
        <v>2</v>
      </c>
      <c r="I855" s="34" t="n">
        <f aca="false">E855*H855+N(F855)+N(G855)</f>
        <v>10076</v>
      </c>
      <c r="J855" s="32" t="n">
        <f aca="false">ROUND(IFERROR(ROUND(IF(OR(ISNUMBER(SEARCH("week",C855)),ISNUMBER(SEARCH("minggu",C855))),IFERROR(_xlfn.NUMBERVALUE(SUBSTITUTE(LEFT(TRIM(C855),FIND(" ",TRIM(C855)&amp;" ")-1),",","."),"."),LEFT(SUBSTITUTE(LEFT(TRIM(C855),FIND(" ",TRIM(C855)&amp;" ")-1),",","."),FIND("/",SUBSTITUTE(LEFT(TRIM(C855),FIND(" ",TRIM(C855)&amp;" ")-1),",","."))-1)/MID(SUBSTITUTE(LEFT(TRIM(C855),FIND(" ",TRIM(C855)&amp;" ")-1),",","."),FIND("/",SUBSTITUTE(LEFT(TRIM(C855),FIND(" ",TRIM(C855)&amp;" ")-1),",","."))+1,9))*12/52,IF(ISNUMBER(SEARCH("month",C855)),IFERROR(_xlfn.NUMBERVALUE(SUBSTITUTE(LEFT(TRIM(C855),FIND(" ",TRIM(C855)&amp;" ")-1),",","."),"."),LEFT(SUBSTITUTE(LEFT(TRIM(C855),FIND(" ",TRIM(C855)&amp;" ")-1),",","."),FIND("/",SUBSTITUTE(LEFT(TRIM(C855),FIND(" ",TRIM(C855)&amp;" ")-1),",","."))-1)/MID(SUBSTITUTE(LEFT(TRIM(C855),FIND(" ",TRIM(C855)&amp;" ")-1),",","."),FIND("/",SUBSTITUTE(LEFT(TRIM(C855),FIND(" ",TRIM(C855)&amp;" ")-1),",","."))+1,9)),IF(ISNUMBER(SEARCH("yea",C855)),IFERROR(_xlfn.NUMBERVALUE(SUBSTITUTE(LEFT(TRIM(C855),FIND(" ",TRIM(C855)&amp;" ")-1),",","."),"."),LEFT(SUBSTITUTE(LEFT(TRIM(C855),FIND(" ",TRIM(C855)&amp;" ")-1),",","."),FIND("/",SUBSTITUTE(LEFT(TRIM(C855),FIND(" ",TRIM(C855)&amp;" ")-1),",","."))-1)/MID(SUBSTITUTE(LEFT(TRIM(C855),FIND(" ",TRIM(C855)&amp;" ")-1),",","."),FIND("/",SUBSTITUTE(LEFT(TRIM(C855),FIND(" ",TRIM(C855)&amp;" ")-1),",","."))+1,9))*12,NA()))),0),24)*'Aturan &amp; Tarif'!$B$4,2)</f>
        <v>1362.72</v>
      </c>
      <c r="K855" s="32" t="n">
        <f aca="false">'Aturan &amp; Tarif'!$B$5</f>
        <v>2050</v>
      </c>
      <c r="L855" s="35" t="n">
        <f aca="false">I855+J855+K855</f>
        <v>13488.72</v>
      </c>
      <c r="M855" s="36" t="s">
        <v>2368</v>
      </c>
    </row>
    <row r="856" customFormat="false" ht="25.5" hidden="false" customHeight="true" outlineLevel="0" collapsed="false">
      <c r="A856" s="29"/>
      <c r="B856" s="30" t="s">
        <v>2430</v>
      </c>
      <c r="C856" s="31" t="s">
        <v>127</v>
      </c>
      <c r="D856" s="31" t="s">
        <v>108</v>
      </c>
      <c r="E856" s="32" t="n">
        <v>4988</v>
      </c>
      <c r="F856" s="32"/>
      <c r="G856" s="32" t="n">
        <v>100</v>
      </c>
      <c r="H856" s="33" t="n">
        <v>2</v>
      </c>
      <c r="I856" s="34" t="n">
        <f aca="false">E856*H856+N(F856)+N(G856)</f>
        <v>10076</v>
      </c>
      <c r="J856" s="32" t="n">
        <f aca="false">ROUND(IFERROR(ROUND(IF(OR(ISNUMBER(SEARCH("week",C856)),ISNUMBER(SEARCH("minggu",C856))),IFERROR(_xlfn.NUMBERVALUE(SUBSTITUTE(LEFT(TRIM(C856),FIND(" ",TRIM(C856)&amp;" ")-1),",","."),"."),LEFT(SUBSTITUTE(LEFT(TRIM(C856),FIND(" ",TRIM(C856)&amp;" ")-1),",","."),FIND("/",SUBSTITUTE(LEFT(TRIM(C856),FIND(" ",TRIM(C856)&amp;" ")-1),",","."))-1)/MID(SUBSTITUTE(LEFT(TRIM(C856),FIND(" ",TRIM(C856)&amp;" ")-1),",","."),FIND("/",SUBSTITUTE(LEFT(TRIM(C856),FIND(" ",TRIM(C856)&amp;" ")-1),",","."))+1,9))*12/52,IF(ISNUMBER(SEARCH("month",C856)),IFERROR(_xlfn.NUMBERVALUE(SUBSTITUTE(LEFT(TRIM(C856),FIND(" ",TRIM(C856)&amp;" ")-1),",","."),"."),LEFT(SUBSTITUTE(LEFT(TRIM(C856),FIND(" ",TRIM(C856)&amp;" ")-1),",","."),FIND("/",SUBSTITUTE(LEFT(TRIM(C856),FIND(" ",TRIM(C856)&amp;" ")-1),",","."))-1)/MID(SUBSTITUTE(LEFT(TRIM(C856),FIND(" ",TRIM(C856)&amp;" ")-1),",","."),FIND("/",SUBSTITUTE(LEFT(TRIM(C856),FIND(" ",TRIM(C856)&amp;" ")-1),",","."))+1,9)),IF(ISNUMBER(SEARCH("yea",C856)),IFERROR(_xlfn.NUMBERVALUE(SUBSTITUTE(LEFT(TRIM(C856),FIND(" ",TRIM(C856)&amp;" ")-1),",","."),"."),LEFT(SUBSTITUTE(LEFT(TRIM(C856),FIND(" ",TRIM(C856)&amp;" ")-1),",","."),FIND("/",SUBSTITUTE(LEFT(TRIM(C856),FIND(" ",TRIM(C856)&amp;" ")-1),",","."))-1)/MID(SUBSTITUTE(LEFT(TRIM(C856),FIND(" ",TRIM(C856)&amp;" ")-1),",","."),FIND("/",SUBSTITUTE(LEFT(TRIM(C856),FIND(" ",TRIM(C856)&amp;" ")-1),",","."))+1,9))*12,NA()))),0),36)*'Aturan &amp; Tarif'!$B$4,2)</f>
        <v>2044.08</v>
      </c>
      <c r="K856" s="32" t="n">
        <f aca="false">'Aturan &amp; Tarif'!$B$5</f>
        <v>2050</v>
      </c>
      <c r="L856" s="35" t="n">
        <f aca="false">I856+J856+K856</f>
        <v>14170.08</v>
      </c>
      <c r="M856" s="36" t="s">
        <v>2368</v>
      </c>
    </row>
    <row r="857" customFormat="false" ht="37.5" hidden="false" customHeight="true" outlineLevel="0" collapsed="false">
      <c r="A857" s="29"/>
      <c r="B857" s="30" t="s">
        <v>2431</v>
      </c>
      <c r="C857" s="31" t="s">
        <v>113</v>
      </c>
      <c r="D857" s="31" t="s">
        <v>108</v>
      </c>
      <c r="E857" s="32" t="n">
        <v>7138</v>
      </c>
      <c r="F857" s="32"/>
      <c r="G857" s="32" t="n">
        <v>100</v>
      </c>
      <c r="H857" s="33" t="n">
        <v>2</v>
      </c>
      <c r="I857" s="34" t="n">
        <f aca="false">E857*H857+N(F857)+N(G857)</f>
        <v>14376</v>
      </c>
      <c r="J857" s="32" t="n">
        <f aca="false">ROUND(IFERROR(ROUND(IF(OR(ISNUMBER(SEARCH("week",C857)),ISNUMBER(SEARCH("minggu",C857))),IFERROR(_xlfn.NUMBERVALUE(SUBSTITUTE(LEFT(TRIM(C857),FIND(" ",TRIM(C857)&amp;" ")-1),",","."),"."),LEFT(SUBSTITUTE(LEFT(TRIM(C857),FIND(" ",TRIM(C857)&amp;" ")-1),",","."),FIND("/",SUBSTITUTE(LEFT(TRIM(C857),FIND(" ",TRIM(C857)&amp;" ")-1),",","."))-1)/MID(SUBSTITUTE(LEFT(TRIM(C857),FIND(" ",TRIM(C857)&amp;" ")-1),",","."),FIND("/",SUBSTITUTE(LEFT(TRIM(C857),FIND(" ",TRIM(C857)&amp;" ")-1),",","."))+1,9))*12/52,IF(ISNUMBER(SEARCH("month",C857)),IFERROR(_xlfn.NUMBERVALUE(SUBSTITUTE(LEFT(TRIM(C857),FIND(" ",TRIM(C857)&amp;" ")-1),",","."),"."),LEFT(SUBSTITUTE(LEFT(TRIM(C857),FIND(" ",TRIM(C857)&amp;" ")-1),",","."),FIND("/",SUBSTITUTE(LEFT(TRIM(C857),FIND(" ",TRIM(C857)&amp;" ")-1),",","."))-1)/MID(SUBSTITUTE(LEFT(TRIM(C857),FIND(" ",TRIM(C857)&amp;" ")-1),",","."),FIND("/",SUBSTITUTE(LEFT(TRIM(C857),FIND(" ",TRIM(C857)&amp;" ")-1),",","."))+1,9)),IF(ISNUMBER(SEARCH("yea",C857)),IFERROR(_xlfn.NUMBERVALUE(SUBSTITUTE(LEFT(TRIM(C857),FIND(" ",TRIM(C857)&amp;" ")-1),",","."),"."),LEFT(SUBSTITUTE(LEFT(TRIM(C857),FIND(" ",TRIM(C857)&amp;" ")-1),",","."),FIND("/",SUBSTITUTE(LEFT(TRIM(C857),FIND(" ",TRIM(C857)&amp;" ")-1),",","."))-1)/MID(SUBSTITUTE(LEFT(TRIM(C857),FIND(" ",TRIM(C857)&amp;" ")-1),",","."),FIND("/",SUBSTITUTE(LEFT(TRIM(C857),FIND(" ",TRIM(C857)&amp;" ")-1),",","."))+1,9))*12,NA()))),0),18)*'Aturan &amp; Tarif'!$B$4,2)</f>
        <v>1022.04</v>
      </c>
      <c r="K857" s="32" t="n">
        <f aca="false">'Aturan &amp; Tarif'!$B$5</f>
        <v>2050</v>
      </c>
      <c r="L857" s="35" t="n">
        <f aca="false">I857+J857+K857</f>
        <v>17448.04</v>
      </c>
      <c r="M857" s="36" t="s">
        <v>2368</v>
      </c>
    </row>
    <row r="858" customFormat="false" ht="25.5" hidden="false" customHeight="true" outlineLevel="0" collapsed="false">
      <c r="A858" s="29"/>
      <c r="B858" s="30" t="s">
        <v>2432</v>
      </c>
      <c r="C858" s="31" t="s">
        <v>127</v>
      </c>
      <c r="D858" s="31" t="s">
        <v>108</v>
      </c>
      <c r="E858" s="32" t="n">
        <v>6060</v>
      </c>
      <c r="F858" s="32"/>
      <c r="G858" s="32" t="n">
        <v>100</v>
      </c>
      <c r="H858" s="33" t="n">
        <v>2</v>
      </c>
      <c r="I858" s="34" t="n">
        <f aca="false">E858*H858+N(F858)+N(G858)</f>
        <v>12220</v>
      </c>
      <c r="J858" s="32" t="n">
        <f aca="false">ROUND(IFERROR(ROUND(IF(OR(ISNUMBER(SEARCH("week",C858)),ISNUMBER(SEARCH("minggu",C858))),IFERROR(_xlfn.NUMBERVALUE(SUBSTITUTE(LEFT(TRIM(C858),FIND(" ",TRIM(C858)&amp;" ")-1),",","."),"."),LEFT(SUBSTITUTE(LEFT(TRIM(C858),FIND(" ",TRIM(C858)&amp;" ")-1),",","."),FIND("/",SUBSTITUTE(LEFT(TRIM(C858),FIND(" ",TRIM(C858)&amp;" ")-1),",","."))-1)/MID(SUBSTITUTE(LEFT(TRIM(C858),FIND(" ",TRIM(C858)&amp;" ")-1),",","."),FIND("/",SUBSTITUTE(LEFT(TRIM(C858),FIND(" ",TRIM(C858)&amp;" ")-1),",","."))+1,9))*12/52,IF(ISNUMBER(SEARCH("month",C858)),IFERROR(_xlfn.NUMBERVALUE(SUBSTITUTE(LEFT(TRIM(C858),FIND(" ",TRIM(C858)&amp;" ")-1),",","."),"."),LEFT(SUBSTITUTE(LEFT(TRIM(C858),FIND(" ",TRIM(C858)&amp;" ")-1),",","."),FIND("/",SUBSTITUTE(LEFT(TRIM(C858),FIND(" ",TRIM(C858)&amp;" ")-1),",","."))-1)/MID(SUBSTITUTE(LEFT(TRIM(C858),FIND(" ",TRIM(C858)&amp;" ")-1),",","."),FIND("/",SUBSTITUTE(LEFT(TRIM(C858),FIND(" ",TRIM(C858)&amp;" ")-1),",","."))+1,9)),IF(ISNUMBER(SEARCH("yea",C858)),IFERROR(_xlfn.NUMBERVALUE(SUBSTITUTE(LEFT(TRIM(C858),FIND(" ",TRIM(C858)&amp;" ")-1),",","."),"."),LEFT(SUBSTITUTE(LEFT(TRIM(C858),FIND(" ",TRIM(C858)&amp;" ")-1),",","."),FIND("/",SUBSTITUTE(LEFT(TRIM(C858),FIND(" ",TRIM(C858)&amp;" ")-1),",","."))-1)/MID(SUBSTITUTE(LEFT(TRIM(C858),FIND(" ",TRIM(C858)&amp;" ")-1),",","."),FIND("/",SUBSTITUTE(LEFT(TRIM(C858),FIND(" ",TRIM(C858)&amp;" ")-1),",","."))+1,9))*12,NA()))),0),36)*'Aturan &amp; Tarif'!$B$4,2)</f>
        <v>2044.08</v>
      </c>
      <c r="K858" s="32" t="n">
        <f aca="false">'Aturan &amp; Tarif'!$B$5</f>
        <v>2050</v>
      </c>
      <c r="L858" s="35" t="n">
        <f aca="false">I858+J858+K858</f>
        <v>16314.08</v>
      </c>
      <c r="M858" s="37" t="s">
        <v>2373</v>
      </c>
    </row>
    <row r="859" customFormat="false" ht="14.25" hidden="false" customHeight="true" outlineLevel="0" collapsed="false">
      <c r="A859" s="29"/>
      <c r="B859" s="30" t="s">
        <v>2433</v>
      </c>
      <c r="C859" s="31" t="s">
        <v>113</v>
      </c>
      <c r="D859" s="31" t="s">
        <v>108</v>
      </c>
      <c r="E859" s="32" t="n">
        <v>4400</v>
      </c>
      <c r="F859" s="32"/>
      <c r="G859" s="32" t="n">
        <v>100</v>
      </c>
      <c r="H859" s="33" t="n">
        <v>2</v>
      </c>
      <c r="I859" s="34" t="n">
        <f aca="false">E859*H859+N(F859)+N(G859)</f>
        <v>8900</v>
      </c>
      <c r="J859" s="32" t="n">
        <f aca="false">ROUND(IFERROR(ROUND(IF(OR(ISNUMBER(SEARCH("week",C859)),ISNUMBER(SEARCH("minggu",C859))),IFERROR(_xlfn.NUMBERVALUE(SUBSTITUTE(LEFT(TRIM(C859),FIND(" ",TRIM(C859)&amp;" ")-1),",","."),"."),LEFT(SUBSTITUTE(LEFT(TRIM(C859),FIND(" ",TRIM(C859)&amp;" ")-1),",","."),FIND("/",SUBSTITUTE(LEFT(TRIM(C859),FIND(" ",TRIM(C859)&amp;" ")-1),",","."))-1)/MID(SUBSTITUTE(LEFT(TRIM(C859),FIND(" ",TRIM(C859)&amp;" ")-1),",","."),FIND("/",SUBSTITUTE(LEFT(TRIM(C859),FIND(" ",TRIM(C859)&amp;" ")-1),",","."))+1,9))*12/52,IF(ISNUMBER(SEARCH("month",C859)),IFERROR(_xlfn.NUMBERVALUE(SUBSTITUTE(LEFT(TRIM(C859),FIND(" ",TRIM(C859)&amp;" ")-1),",","."),"."),LEFT(SUBSTITUTE(LEFT(TRIM(C859),FIND(" ",TRIM(C859)&amp;" ")-1),",","."),FIND("/",SUBSTITUTE(LEFT(TRIM(C859),FIND(" ",TRIM(C859)&amp;" ")-1),",","."))-1)/MID(SUBSTITUTE(LEFT(TRIM(C859),FIND(" ",TRIM(C859)&amp;" ")-1),",","."),FIND("/",SUBSTITUTE(LEFT(TRIM(C859),FIND(" ",TRIM(C859)&amp;" ")-1),",","."))+1,9)),IF(ISNUMBER(SEARCH("yea",C859)),IFERROR(_xlfn.NUMBERVALUE(SUBSTITUTE(LEFT(TRIM(C859),FIND(" ",TRIM(C859)&amp;" ")-1),",","."),"."),LEFT(SUBSTITUTE(LEFT(TRIM(C859),FIND(" ",TRIM(C859)&amp;" ")-1),",","."),FIND("/",SUBSTITUTE(LEFT(TRIM(C859),FIND(" ",TRIM(C859)&amp;" ")-1),",","."))-1)/MID(SUBSTITUTE(LEFT(TRIM(C859),FIND(" ",TRIM(C859)&amp;" ")-1),",","."),FIND("/",SUBSTITUTE(LEFT(TRIM(C859),FIND(" ",TRIM(C859)&amp;" ")-1),",","."))+1,9))*12,NA()))),0),18)*'Aturan &amp; Tarif'!$B$4,2)</f>
        <v>1022.04</v>
      </c>
      <c r="K859" s="32" t="n">
        <f aca="false">'Aturan &amp; Tarif'!$B$5</f>
        <v>2050</v>
      </c>
      <c r="L859" s="35" t="n">
        <f aca="false">I859+J859+K859</f>
        <v>11972.04</v>
      </c>
      <c r="M859" s="36" t="s">
        <v>2368</v>
      </c>
    </row>
    <row r="860" customFormat="false" ht="25.5" hidden="false" customHeight="true" outlineLevel="0" collapsed="false">
      <c r="A860" s="29"/>
      <c r="B860" s="30" t="s">
        <v>2434</v>
      </c>
      <c r="C860" s="31" t="s">
        <v>113</v>
      </c>
      <c r="D860" s="31" t="s">
        <v>108</v>
      </c>
      <c r="E860" s="32" t="n">
        <v>4400</v>
      </c>
      <c r="F860" s="32"/>
      <c r="G860" s="32" t="n">
        <v>100</v>
      </c>
      <c r="H860" s="33" t="n">
        <v>2</v>
      </c>
      <c r="I860" s="34" t="n">
        <f aca="false">E860*H860+N(F860)+N(G860)</f>
        <v>8900</v>
      </c>
      <c r="J860" s="32" t="n">
        <f aca="false">ROUND(IFERROR(ROUND(IF(OR(ISNUMBER(SEARCH("week",C860)),ISNUMBER(SEARCH("minggu",C860))),IFERROR(_xlfn.NUMBERVALUE(SUBSTITUTE(LEFT(TRIM(C860),FIND(" ",TRIM(C860)&amp;" ")-1),",","."),"."),LEFT(SUBSTITUTE(LEFT(TRIM(C860),FIND(" ",TRIM(C860)&amp;" ")-1),",","."),FIND("/",SUBSTITUTE(LEFT(TRIM(C860),FIND(" ",TRIM(C860)&amp;" ")-1),",","."))-1)/MID(SUBSTITUTE(LEFT(TRIM(C860),FIND(" ",TRIM(C860)&amp;" ")-1),",","."),FIND("/",SUBSTITUTE(LEFT(TRIM(C860),FIND(" ",TRIM(C860)&amp;" ")-1),",","."))+1,9))*12/52,IF(ISNUMBER(SEARCH("month",C860)),IFERROR(_xlfn.NUMBERVALUE(SUBSTITUTE(LEFT(TRIM(C860),FIND(" ",TRIM(C860)&amp;" ")-1),",","."),"."),LEFT(SUBSTITUTE(LEFT(TRIM(C860),FIND(" ",TRIM(C860)&amp;" ")-1),",","."),FIND("/",SUBSTITUTE(LEFT(TRIM(C860),FIND(" ",TRIM(C860)&amp;" ")-1),",","."))-1)/MID(SUBSTITUTE(LEFT(TRIM(C860),FIND(" ",TRIM(C860)&amp;" ")-1),",","."),FIND("/",SUBSTITUTE(LEFT(TRIM(C860),FIND(" ",TRIM(C860)&amp;" ")-1),",","."))+1,9)),IF(ISNUMBER(SEARCH("yea",C860)),IFERROR(_xlfn.NUMBERVALUE(SUBSTITUTE(LEFT(TRIM(C860),FIND(" ",TRIM(C860)&amp;" ")-1),",","."),"."),LEFT(SUBSTITUTE(LEFT(TRIM(C860),FIND(" ",TRIM(C860)&amp;" ")-1),",","."),FIND("/",SUBSTITUTE(LEFT(TRIM(C860),FIND(" ",TRIM(C860)&amp;" ")-1),",","."))-1)/MID(SUBSTITUTE(LEFT(TRIM(C860),FIND(" ",TRIM(C860)&amp;" ")-1),",","."),FIND("/",SUBSTITUTE(LEFT(TRIM(C860),FIND(" ",TRIM(C860)&amp;" ")-1),",","."))+1,9))*12,NA()))),0),18)*'Aturan &amp; Tarif'!$B$4,2)</f>
        <v>1022.04</v>
      </c>
      <c r="K860" s="32" t="n">
        <f aca="false">'Aturan &amp; Tarif'!$B$5</f>
        <v>2050</v>
      </c>
      <c r="L860" s="35" t="n">
        <f aca="false">I860+J860+K860</f>
        <v>11972.04</v>
      </c>
      <c r="M860" s="36" t="s">
        <v>2368</v>
      </c>
    </row>
    <row r="861" customFormat="false" ht="25.5" hidden="false" customHeight="true" outlineLevel="0" collapsed="false">
      <c r="A861" s="29"/>
      <c r="B861" s="30" t="s">
        <v>2435</v>
      </c>
      <c r="C861" s="31" t="s">
        <v>113</v>
      </c>
      <c r="D861" s="31" t="s">
        <v>108</v>
      </c>
      <c r="E861" s="32" t="n">
        <v>4400</v>
      </c>
      <c r="F861" s="32"/>
      <c r="G861" s="32" t="n">
        <v>100</v>
      </c>
      <c r="H861" s="33" t="n">
        <v>2</v>
      </c>
      <c r="I861" s="34" t="n">
        <f aca="false">E861*H861+N(F861)+N(G861)</f>
        <v>8900</v>
      </c>
      <c r="J861" s="32" t="n">
        <f aca="false">ROUND(IFERROR(ROUND(IF(OR(ISNUMBER(SEARCH("week",C861)),ISNUMBER(SEARCH("minggu",C861))),IFERROR(_xlfn.NUMBERVALUE(SUBSTITUTE(LEFT(TRIM(C861),FIND(" ",TRIM(C861)&amp;" ")-1),",","."),"."),LEFT(SUBSTITUTE(LEFT(TRIM(C861),FIND(" ",TRIM(C861)&amp;" ")-1),",","."),FIND("/",SUBSTITUTE(LEFT(TRIM(C861),FIND(" ",TRIM(C861)&amp;" ")-1),",","."))-1)/MID(SUBSTITUTE(LEFT(TRIM(C861),FIND(" ",TRIM(C861)&amp;" ")-1),",","."),FIND("/",SUBSTITUTE(LEFT(TRIM(C861),FIND(" ",TRIM(C861)&amp;" ")-1),",","."))+1,9))*12/52,IF(ISNUMBER(SEARCH("month",C861)),IFERROR(_xlfn.NUMBERVALUE(SUBSTITUTE(LEFT(TRIM(C861),FIND(" ",TRIM(C861)&amp;" ")-1),",","."),"."),LEFT(SUBSTITUTE(LEFT(TRIM(C861),FIND(" ",TRIM(C861)&amp;" ")-1),",","."),FIND("/",SUBSTITUTE(LEFT(TRIM(C861),FIND(" ",TRIM(C861)&amp;" ")-1),",","."))-1)/MID(SUBSTITUTE(LEFT(TRIM(C861),FIND(" ",TRIM(C861)&amp;" ")-1),",","."),FIND("/",SUBSTITUTE(LEFT(TRIM(C861),FIND(" ",TRIM(C861)&amp;" ")-1),",","."))+1,9)),IF(ISNUMBER(SEARCH("yea",C861)),IFERROR(_xlfn.NUMBERVALUE(SUBSTITUTE(LEFT(TRIM(C861),FIND(" ",TRIM(C861)&amp;" ")-1),",","."),"."),LEFT(SUBSTITUTE(LEFT(TRIM(C861),FIND(" ",TRIM(C861)&amp;" ")-1),",","."),FIND("/",SUBSTITUTE(LEFT(TRIM(C861),FIND(" ",TRIM(C861)&amp;" ")-1),",","."))-1)/MID(SUBSTITUTE(LEFT(TRIM(C861),FIND(" ",TRIM(C861)&amp;" ")-1),",","."),FIND("/",SUBSTITUTE(LEFT(TRIM(C861),FIND(" ",TRIM(C861)&amp;" ")-1),",","."))+1,9))*12,NA()))),0),18)*'Aturan &amp; Tarif'!$B$4,2)</f>
        <v>1022.04</v>
      </c>
      <c r="K861" s="32" t="n">
        <f aca="false">'Aturan &amp; Tarif'!$B$5</f>
        <v>2050</v>
      </c>
      <c r="L861" s="35" t="n">
        <f aca="false">I861+J861+K861</f>
        <v>11972.04</v>
      </c>
      <c r="M861" s="36" t="s">
        <v>2368</v>
      </c>
    </row>
    <row r="862" customFormat="false" ht="83.25" hidden="false" customHeight="true" outlineLevel="0" collapsed="false">
      <c r="A862" s="29"/>
      <c r="B862" s="30" t="s">
        <v>2436</v>
      </c>
      <c r="C862" s="31" t="s">
        <v>107</v>
      </c>
      <c r="D862" s="31" t="s">
        <v>108</v>
      </c>
      <c r="E862" s="32" t="n">
        <v>6600</v>
      </c>
      <c r="F862" s="32"/>
      <c r="G862" s="32" t="n">
        <v>100</v>
      </c>
      <c r="H862" s="33" t="n">
        <v>2</v>
      </c>
      <c r="I862" s="34" t="n">
        <f aca="false">E862*H862+N(F862)+N(G862)</f>
        <v>13300</v>
      </c>
      <c r="J862" s="32" t="n">
        <f aca="false">ROUND(IFERROR(ROUND(IF(OR(ISNUMBER(SEARCH("week",C862)),ISNUMBER(SEARCH("minggu",C862))),IFERROR(_xlfn.NUMBERVALUE(SUBSTITUTE(LEFT(TRIM(C862),FIND(" ",TRIM(C862)&amp;" ")-1),",","."),"."),LEFT(SUBSTITUTE(LEFT(TRIM(C862),FIND(" ",TRIM(C862)&amp;" ")-1),",","."),FIND("/",SUBSTITUTE(LEFT(TRIM(C862),FIND(" ",TRIM(C862)&amp;" ")-1),",","."))-1)/MID(SUBSTITUTE(LEFT(TRIM(C862),FIND(" ",TRIM(C862)&amp;" ")-1),",","."),FIND("/",SUBSTITUTE(LEFT(TRIM(C862),FIND(" ",TRIM(C862)&amp;" ")-1),",","."))+1,9))*12/52,IF(ISNUMBER(SEARCH("month",C862)),IFERROR(_xlfn.NUMBERVALUE(SUBSTITUTE(LEFT(TRIM(C862),FIND(" ",TRIM(C862)&amp;" ")-1),",","."),"."),LEFT(SUBSTITUTE(LEFT(TRIM(C862),FIND(" ",TRIM(C862)&amp;" ")-1),",","."),FIND("/",SUBSTITUTE(LEFT(TRIM(C862),FIND(" ",TRIM(C862)&amp;" ")-1),",","."))-1)/MID(SUBSTITUTE(LEFT(TRIM(C862),FIND(" ",TRIM(C862)&amp;" ")-1),",","."),FIND("/",SUBSTITUTE(LEFT(TRIM(C862),FIND(" ",TRIM(C862)&amp;" ")-1),",","."))+1,9)),IF(ISNUMBER(SEARCH("yea",C862)),IFERROR(_xlfn.NUMBERVALUE(SUBSTITUTE(LEFT(TRIM(C862),FIND(" ",TRIM(C862)&amp;" ")-1),",","."),"."),LEFT(SUBSTITUTE(LEFT(TRIM(C862),FIND(" ",TRIM(C862)&amp;" ")-1),",","."),FIND("/",SUBSTITUTE(LEFT(TRIM(C862),FIND(" ",TRIM(C862)&amp;" ")-1),",","."))-1)/MID(SUBSTITUTE(LEFT(TRIM(C862),FIND(" ",TRIM(C862)&amp;" ")-1),",","."),FIND("/",SUBSTITUTE(LEFT(TRIM(C862),FIND(" ",TRIM(C862)&amp;" ")-1),",","."))+1,9))*12,NA()))),0),24)*'Aturan &amp; Tarif'!$B$4,2)</f>
        <v>1362.72</v>
      </c>
      <c r="K862" s="32" t="n">
        <f aca="false">'Aturan &amp; Tarif'!$B$5</f>
        <v>2050</v>
      </c>
      <c r="L862" s="35" t="n">
        <f aca="false">I862+J862+K862</f>
        <v>16712.72</v>
      </c>
      <c r="M862" s="37" t="s">
        <v>2373</v>
      </c>
    </row>
    <row r="863" customFormat="false" ht="25.5" hidden="false" customHeight="true" outlineLevel="0" collapsed="false">
      <c r="A863" s="29"/>
      <c r="B863" s="30" t="s">
        <v>2437</v>
      </c>
      <c r="C863" s="31" t="s">
        <v>130</v>
      </c>
      <c r="D863" s="31" t="s">
        <v>108</v>
      </c>
      <c r="E863" s="32" t="n">
        <v>4163</v>
      </c>
      <c r="F863" s="32"/>
      <c r="G863" s="32" t="n">
        <v>100</v>
      </c>
      <c r="H863" s="33" t="n">
        <v>2</v>
      </c>
      <c r="I863" s="34" t="n">
        <f aca="false">E863*H863+N(F863)+N(G863)</f>
        <v>8426</v>
      </c>
      <c r="J863" s="32" t="n">
        <f aca="false">ROUND(IFERROR(ROUND(IF(OR(ISNUMBER(SEARCH("week",C863)),ISNUMBER(SEARCH("minggu",C863))),IFERROR(_xlfn.NUMBERVALUE(SUBSTITUTE(LEFT(TRIM(C863),FIND(" ",TRIM(C863)&amp;" ")-1),",","."),"."),LEFT(SUBSTITUTE(LEFT(TRIM(C863),FIND(" ",TRIM(C863)&amp;" ")-1),",","."),FIND("/",SUBSTITUTE(LEFT(TRIM(C863),FIND(" ",TRIM(C863)&amp;" ")-1),",","."))-1)/MID(SUBSTITUTE(LEFT(TRIM(C863),FIND(" ",TRIM(C863)&amp;" ")-1),",","."),FIND("/",SUBSTITUTE(LEFT(TRIM(C863),FIND(" ",TRIM(C863)&amp;" ")-1),",","."))+1,9))*12/52,IF(ISNUMBER(SEARCH("month",C863)),IFERROR(_xlfn.NUMBERVALUE(SUBSTITUTE(LEFT(TRIM(C863),FIND(" ",TRIM(C863)&amp;" ")-1),",","."),"."),LEFT(SUBSTITUTE(LEFT(TRIM(C863),FIND(" ",TRIM(C863)&amp;" ")-1),",","."),FIND("/",SUBSTITUTE(LEFT(TRIM(C863),FIND(" ",TRIM(C863)&amp;" ")-1),",","."))-1)/MID(SUBSTITUTE(LEFT(TRIM(C863),FIND(" ",TRIM(C863)&amp;" ")-1),",","."),FIND("/",SUBSTITUTE(LEFT(TRIM(C863),FIND(" ",TRIM(C863)&amp;" ")-1),",","."))+1,9)),IF(ISNUMBER(SEARCH("yea",C863)),IFERROR(_xlfn.NUMBERVALUE(SUBSTITUTE(LEFT(TRIM(C863),FIND(" ",TRIM(C863)&amp;" ")-1),",","."),"."),LEFT(SUBSTITUTE(LEFT(TRIM(C863),FIND(" ",TRIM(C863)&amp;" ")-1),",","."),FIND("/",SUBSTITUTE(LEFT(TRIM(C863),FIND(" ",TRIM(C863)&amp;" ")-1),",","."))-1)/MID(SUBSTITUTE(LEFT(TRIM(C863),FIND(" ",TRIM(C863)&amp;" ")-1),",","."),FIND("/",SUBSTITUTE(LEFT(TRIM(C863),FIND(" ",TRIM(C863)&amp;" ")-1),",","."))+1,9))*12,NA()))),0),12)*'Aturan &amp; Tarif'!$B$4,2)</f>
        <v>681.36</v>
      </c>
      <c r="K863" s="32" t="n">
        <f aca="false">'Aturan &amp; Tarif'!$B$5</f>
        <v>2050</v>
      </c>
      <c r="L863" s="35" t="n">
        <f aca="false">I863+J863+K863</f>
        <v>11157.36</v>
      </c>
      <c r="M863" s="37" t="s">
        <v>2366</v>
      </c>
    </row>
    <row r="864" customFormat="false" ht="25.5" hidden="false" customHeight="true" outlineLevel="0" collapsed="false">
      <c r="A864" s="29"/>
      <c r="B864" s="30" t="s">
        <v>2438</v>
      </c>
      <c r="C864" s="31" t="s">
        <v>113</v>
      </c>
      <c r="D864" s="31" t="s">
        <v>108</v>
      </c>
      <c r="E864" s="32" t="n">
        <v>7388</v>
      </c>
      <c r="F864" s="32"/>
      <c r="G864" s="32" t="n">
        <v>100</v>
      </c>
      <c r="H864" s="33" t="n">
        <v>2</v>
      </c>
      <c r="I864" s="34" t="n">
        <f aca="false">E864*H864+N(F864)+N(G864)</f>
        <v>14876</v>
      </c>
      <c r="J864" s="32" t="n">
        <f aca="false">ROUND(IFERROR(ROUND(IF(OR(ISNUMBER(SEARCH("week",C864)),ISNUMBER(SEARCH("minggu",C864))),IFERROR(_xlfn.NUMBERVALUE(SUBSTITUTE(LEFT(TRIM(C864),FIND(" ",TRIM(C864)&amp;" ")-1),",","."),"."),LEFT(SUBSTITUTE(LEFT(TRIM(C864),FIND(" ",TRIM(C864)&amp;" ")-1),",","."),FIND("/",SUBSTITUTE(LEFT(TRIM(C864),FIND(" ",TRIM(C864)&amp;" ")-1),",","."))-1)/MID(SUBSTITUTE(LEFT(TRIM(C864),FIND(" ",TRIM(C864)&amp;" ")-1),",","."),FIND("/",SUBSTITUTE(LEFT(TRIM(C864),FIND(" ",TRIM(C864)&amp;" ")-1),",","."))+1,9))*12/52,IF(ISNUMBER(SEARCH("month",C864)),IFERROR(_xlfn.NUMBERVALUE(SUBSTITUTE(LEFT(TRIM(C864),FIND(" ",TRIM(C864)&amp;" ")-1),",","."),"."),LEFT(SUBSTITUTE(LEFT(TRIM(C864),FIND(" ",TRIM(C864)&amp;" ")-1),",","."),FIND("/",SUBSTITUTE(LEFT(TRIM(C864),FIND(" ",TRIM(C864)&amp;" ")-1),",","."))-1)/MID(SUBSTITUTE(LEFT(TRIM(C864),FIND(" ",TRIM(C864)&amp;" ")-1),",","."),FIND("/",SUBSTITUTE(LEFT(TRIM(C864),FIND(" ",TRIM(C864)&amp;" ")-1),",","."))+1,9)),IF(ISNUMBER(SEARCH("yea",C864)),IFERROR(_xlfn.NUMBERVALUE(SUBSTITUTE(LEFT(TRIM(C864),FIND(" ",TRIM(C864)&amp;" ")-1),",","."),"."),LEFT(SUBSTITUTE(LEFT(TRIM(C864),FIND(" ",TRIM(C864)&amp;" ")-1),",","."),FIND("/",SUBSTITUTE(LEFT(TRIM(C864),FIND(" ",TRIM(C864)&amp;" ")-1),",","."))-1)/MID(SUBSTITUTE(LEFT(TRIM(C864),FIND(" ",TRIM(C864)&amp;" ")-1),",","."),FIND("/",SUBSTITUTE(LEFT(TRIM(C864),FIND(" ",TRIM(C864)&amp;" ")-1),",","."))+1,9))*12,NA()))),0),18)*'Aturan &amp; Tarif'!$B$4,2)</f>
        <v>1022.04</v>
      </c>
      <c r="K864" s="32" t="n">
        <f aca="false">'Aturan &amp; Tarif'!$B$5</f>
        <v>2050</v>
      </c>
      <c r="L864" s="35" t="n">
        <f aca="false">I864+J864+K864</f>
        <v>17948.04</v>
      </c>
      <c r="M864" s="36" t="s">
        <v>2368</v>
      </c>
    </row>
    <row r="865" customFormat="false" ht="25.5" hidden="false" customHeight="true" outlineLevel="0" collapsed="false">
      <c r="A865" s="29"/>
      <c r="B865" s="30" t="s">
        <v>2439</v>
      </c>
      <c r="C865" s="31" t="s">
        <v>127</v>
      </c>
      <c r="D865" s="31" t="s">
        <v>108</v>
      </c>
      <c r="E865" s="32" t="n">
        <v>6260</v>
      </c>
      <c r="F865" s="32"/>
      <c r="G865" s="32" t="n">
        <v>100</v>
      </c>
      <c r="H865" s="33" t="n">
        <v>2</v>
      </c>
      <c r="I865" s="34" t="n">
        <f aca="false">E865*H865+N(F865)+N(G865)</f>
        <v>12620</v>
      </c>
      <c r="J865" s="32" t="n">
        <f aca="false">ROUND(IFERROR(ROUND(IF(OR(ISNUMBER(SEARCH("week",C865)),ISNUMBER(SEARCH("minggu",C865))),IFERROR(_xlfn.NUMBERVALUE(SUBSTITUTE(LEFT(TRIM(C865),FIND(" ",TRIM(C865)&amp;" ")-1),",","."),"."),LEFT(SUBSTITUTE(LEFT(TRIM(C865),FIND(" ",TRIM(C865)&amp;" ")-1),",","."),FIND("/",SUBSTITUTE(LEFT(TRIM(C865),FIND(" ",TRIM(C865)&amp;" ")-1),",","."))-1)/MID(SUBSTITUTE(LEFT(TRIM(C865),FIND(" ",TRIM(C865)&amp;" ")-1),",","."),FIND("/",SUBSTITUTE(LEFT(TRIM(C865),FIND(" ",TRIM(C865)&amp;" ")-1),",","."))+1,9))*12/52,IF(ISNUMBER(SEARCH("month",C865)),IFERROR(_xlfn.NUMBERVALUE(SUBSTITUTE(LEFT(TRIM(C865),FIND(" ",TRIM(C865)&amp;" ")-1),",","."),"."),LEFT(SUBSTITUTE(LEFT(TRIM(C865),FIND(" ",TRIM(C865)&amp;" ")-1),",","."),FIND("/",SUBSTITUTE(LEFT(TRIM(C865),FIND(" ",TRIM(C865)&amp;" ")-1),",","."))-1)/MID(SUBSTITUTE(LEFT(TRIM(C865),FIND(" ",TRIM(C865)&amp;" ")-1),",","."),FIND("/",SUBSTITUTE(LEFT(TRIM(C865),FIND(" ",TRIM(C865)&amp;" ")-1),",","."))+1,9)),IF(ISNUMBER(SEARCH("yea",C865)),IFERROR(_xlfn.NUMBERVALUE(SUBSTITUTE(LEFT(TRIM(C865),FIND(" ",TRIM(C865)&amp;" ")-1),",","."),"."),LEFT(SUBSTITUTE(LEFT(TRIM(C865),FIND(" ",TRIM(C865)&amp;" ")-1),",","."),FIND("/",SUBSTITUTE(LEFT(TRIM(C865),FIND(" ",TRIM(C865)&amp;" ")-1),",","."))-1)/MID(SUBSTITUTE(LEFT(TRIM(C865),FIND(" ",TRIM(C865)&amp;" ")-1),",","."),FIND("/",SUBSTITUTE(LEFT(TRIM(C865),FIND(" ",TRIM(C865)&amp;" ")-1),",","."))+1,9))*12,NA()))),0),36)*'Aturan &amp; Tarif'!$B$4,2)</f>
        <v>2044.08</v>
      </c>
      <c r="K865" s="32" t="n">
        <f aca="false">'Aturan &amp; Tarif'!$B$5</f>
        <v>2050</v>
      </c>
      <c r="L865" s="35" t="n">
        <f aca="false">I865+J865+K865</f>
        <v>16714.08</v>
      </c>
      <c r="M865" s="37" t="s">
        <v>2373</v>
      </c>
    </row>
    <row r="866" customFormat="false" ht="25.5" hidden="false" customHeight="true" outlineLevel="0" collapsed="false">
      <c r="A866" s="29" t="s">
        <v>2440</v>
      </c>
      <c r="B866" s="30" t="s">
        <v>346</v>
      </c>
      <c r="C866" s="31" t="s">
        <v>159</v>
      </c>
      <c r="D866" s="31" t="s">
        <v>108</v>
      </c>
      <c r="E866" s="32" t="n">
        <v>4500</v>
      </c>
      <c r="F866" s="32"/>
      <c r="G866" s="32" t="n">
        <v>300</v>
      </c>
      <c r="H866" s="33" t="n">
        <v>2</v>
      </c>
      <c r="I866" s="34" t="n">
        <f aca="false">E866*H866+N(F866)+N(G866)</f>
        <v>9300</v>
      </c>
      <c r="J866" s="32" t="n">
        <f aca="false">ROUND(IFERROR(ROUND(IF(OR(ISNUMBER(SEARCH("week",C866)),ISNUMBER(SEARCH("minggu",C866))),IFERROR(_xlfn.NUMBERVALUE(SUBSTITUTE(LEFT(TRIM(C866),FIND(" ",TRIM(C866)&amp;" ")-1),",","."),"."),LEFT(SUBSTITUTE(LEFT(TRIM(C866),FIND(" ",TRIM(C866)&amp;" ")-1),",","."),FIND("/",SUBSTITUTE(LEFT(TRIM(C866),FIND(" ",TRIM(C866)&amp;" ")-1),",","."))-1)/MID(SUBSTITUTE(LEFT(TRIM(C866),FIND(" ",TRIM(C866)&amp;" ")-1),",","."),FIND("/",SUBSTITUTE(LEFT(TRIM(C866),FIND(" ",TRIM(C866)&amp;" ")-1),",","."))+1,9))*12/52,IF(ISNUMBER(SEARCH("month",C866)),IFERROR(_xlfn.NUMBERVALUE(SUBSTITUTE(LEFT(TRIM(C866),FIND(" ",TRIM(C866)&amp;" ")-1),",","."),"."),LEFT(SUBSTITUTE(LEFT(TRIM(C866),FIND(" ",TRIM(C866)&amp;" ")-1),",","."),FIND("/",SUBSTITUTE(LEFT(TRIM(C866),FIND(" ",TRIM(C866)&amp;" ")-1),",","."))-1)/MID(SUBSTITUTE(LEFT(TRIM(C866),FIND(" ",TRIM(C866)&amp;" ")-1),",","."),FIND("/",SUBSTITUTE(LEFT(TRIM(C866),FIND(" ",TRIM(C866)&amp;" ")-1),",","."))+1,9)),IF(ISNUMBER(SEARCH("yea",C866)),IFERROR(_xlfn.NUMBERVALUE(SUBSTITUTE(LEFT(TRIM(C866),FIND(" ",TRIM(C866)&amp;" ")-1),",","."),"."),LEFT(SUBSTITUTE(LEFT(TRIM(C866),FIND(" ",TRIM(C866)&amp;" ")-1),",","."),FIND("/",SUBSTITUTE(LEFT(TRIM(C866),FIND(" ",TRIM(C866)&amp;" ")-1),",","."))-1)/MID(SUBSTITUTE(LEFT(TRIM(C866),FIND(" ",TRIM(C866)&amp;" ")-1),",","."),FIND("/",SUBSTITUTE(LEFT(TRIM(C866),FIND(" ",TRIM(C866)&amp;" ")-1),",","."))+1,9))*12,NA()))),0),6)*'Aturan &amp; Tarif'!$B$4,2)</f>
        <v>340.68</v>
      </c>
      <c r="K866" s="32" t="n">
        <f aca="false">'Aturan &amp; Tarif'!$B$5</f>
        <v>2050</v>
      </c>
      <c r="L866" s="35" t="n">
        <f aca="false">I866+J866+K866</f>
        <v>11690.68</v>
      </c>
      <c r="M866" s="37" t="s">
        <v>2442</v>
      </c>
    </row>
    <row r="867" customFormat="false" ht="25.5" hidden="false" customHeight="true" outlineLevel="0" collapsed="false">
      <c r="A867" s="29"/>
      <c r="B867" s="30" t="s">
        <v>343</v>
      </c>
      <c r="C867" s="31" t="s">
        <v>159</v>
      </c>
      <c r="D867" s="31" t="s">
        <v>108</v>
      </c>
      <c r="E867" s="32" t="n">
        <v>4100</v>
      </c>
      <c r="F867" s="32"/>
      <c r="G867" s="32" t="n">
        <v>300</v>
      </c>
      <c r="H867" s="33" t="n">
        <v>2</v>
      </c>
      <c r="I867" s="34" t="n">
        <f aca="false">E867*H867+N(F867)+N(G867)</f>
        <v>8500</v>
      </c>
      <c r="J867" s="32" t="n">
        <f aca="false">ROUND(IFERROR(ROUND(IF(OR(ISNUMBER(SEARCH("week",C867)),ISNUMBER(SEARCH("minggu",C867))),IFERROR(_xlfn.NUMBERVALUE(SUBSTITUTE(LEFT(TRIM(C867),FIND(" ",TRIM(C867)&amp;" ")-1),",","."),"."),LEFT(SUBSTITUTE(LEFT(TRIM(C867),FIND(" ",TRIM(C867)&amp;" ")-1),",","."),FIND("/",SUBSTITUTE(LEFT(TRIM(C867),FIND(" ",TRIM(C867)&amp;" ")-1),",","."))-1)/MID(SUBSTITUTE(LEFT(TRIM(C867),FIND(" ",TRIM(C867)&amp;" ")-1),",","."),FIND("/",SUBSTITUTE(LEFT(TRIM(C867),FIND(" ",TRIM(C867)&amp;" ")-1),",","."))+1,9))*12/52,IF(ISNUMBER(SEARCH("month",C867)),IFERROR(_xlfn.NUMBERVALUE(SUBSTITUTE(LEFT(TRIM(C867),FIND(" ",TRIM(C867)&amp;" ")-1),",","."),"."),LEFT(SUBSTITUTE(LEFT(TRIM(C867),FIND(" ",TRIM(C867)&amp;" ")-1),",","."),FIND("/",SUBSTITUTE(LEFT(TRIM(C867),FIND(" ",TRIM(C867)&amp;" ")-1),",","."))-1)/MID(SUBSTITUTE(LEFT(TRIM(C867),FIND(" ",TRIM(C867)&amp;" ")-1),",","."),FIND("/",SUBSTITUTE(LEFT(TRIM(C867),FIND(" ",TRIM(C867)&amp;" ")-1),",","."))+1,9)),IF(ISNUMBER(SEARCH("yea",C867)),IFERROR(_xlfn.NUMBERVALUE(SUBSTITUTE(LEFT(TRIM(C867),FIND(" ",TRIM(C867)&amp;" ")-1),",","."),"."),LEFT(SUBSTITUTE(LEFT(TRIM(C867),FIND(" ",TRIM(C867)&amp;" ")-1),",","."),FIND("/",SUBSTITUTE(LEFT(TRIM(C867),FIND(" ",TRIM(C867)&amp;" ")-1),",","."))-1)/MID(SUBSTITUTE(LEFT(TRIM(C867),FIND(" ",TRIM(C867)&amp;" ")-1),",","."),FIND("/",SUBSTITUTE(LEFT(TRIM(C867),FIND(" ",TRIM(C867)&amp;" ")-1),",","."))+1,9))*12,NA()))),0),6)*'Aturan &amp; Tarif'!$B$4,2)</f>
        <v>340.68</v>
      </c>
      <c r="K867" s="32" t="n">
        <f aca="false">'Aturan &amp; Tarif'!$B$5</f>
        <v>2050</v>
      </c>
      <c r="L867" s="35" t="n">
        <f aca="false">I867+J867+K867</f>
        <v>10890.68</v>
      </c>
      <c r="M867" s="37" t="s">
        <v>2442</v>
      </c>
    </row>
    <row r="868" customFormat="false" ht="14.25" hidden="false" customHeight="true" outlineLevel="0" collapsed="false">
      <c r="A868" s="29"/>
      <c r="B868" s="30" t="s">
        <v>2443</v>
      </c>
      <c r="C868" s="31" t="s">
        <v>159</v>
      </c>
      <c r="D868" s="31" t="s">
        <v>108</v>
      </c>
      <c r="E868" s="32" t="n">
        <v>4100</v>
      </c>
      <c r="F868" s="32"/>
      <c r="G868" s="32" t="n">
        <v>300</v>
      </c>
      <c r="H868" s="33" t="n">
        <v>2</v>
      </c>
      <c r="I868" s="34" t="n">
        <f aca="false">E868*H868+N(F868)+N(G868)</f>
        <v>8500</v>
      </c>
      <c r="J868" s="32" t="n">
        <f aca="false">ROUND(IFERROR(ROUND(IF(OR(ISNUMBER(SEARCH("week",C868)),ISNUMBER(SEARCH("minggu",C868))),IFERROR(_xlfn.NUMBERVALUE(SUBSTITUTE(LEFT(TRIM(C868),FIND(" ",TRIM(C868)&amp;" ")-1),",","."),"."),LEFT(SUBSTITUTE(LEFT(TRIM(C868),FIND(" ",TRIM(C868)&amp;" ")-1),",","."),FIND("/",SUBSTITUTE(LEFT(TRIM(C868),FIND(" ",TRIM(C868)&amp;" ")-1),",","."))-1)/MID(SUBSTITUTE(LEFT(TRIM(C868),FIND(" ",TRIM(C868)&amp;" ")-1),",","."),FIND("/",SUBSTITUTE(LEFT(TRIM(C868),FIND(" ",TRIM(C868)&amp;" ")-1),",","."))+1,9))*12/52,IF(ISNUMBER(SEARCH("month",C868)),IFERROR(_xlfn.NUMBERVALUE(SUBSTITUTE(LEFT(TRIM(C868),FIND(" ",TRIM(C868)&amp;" ")-1),",","."),"."),LEFT(SUBSTITUTE(LEFT(TRIM(C868),FIND(" ",TRIM(C868)&amp;" ")-1),",","."),FIND("/",SUBSTITUTE(LEFT(TRIM(C868),FIND(" ",TRIM(C868)&amp;" ")-1),",","."))-1)/MID(SUBSTITUTE(LEFT(TRIM(C868),FIND(" ",TRIM(C868)&amp;" ")-1),",","."),FIND("/",SUBSTITUTE(LEFT(TRIM(C868),FIND(" ",TRIM(C868)&amp;" ")-1),",","."))+1,9)),IF(ISNUMBER(SEARCH("yea",C868)),IFERROR(_xlfn.NUMBERVALUE(SUBSTITUTE(LEFT(TRIM(C868),FIND(" ",TRIM(C868)&amp;" ")-1),",","."),"."),LEFT(SUBSTITUTE(LEFT(TRIM(C868),FIND(" ",TRIM(C868)&amp;" ")-1),",","."),FIND("/",SUBSTITUTE(LEFT(TRIM(C868),FIND(" ",TRIM(C868)&amp;" ")-1),",","."))-1)/MID(SUBSTITUTE(LEFT(TRIM(C868),FIND(" ",TRIM(C868)&amp;" ")-1),",","."),FIND("/",SUBSTITUTE(LEFT(TRIM(C868),FIND(" ",TRIM(C868)&amp;" ")-1),",","."))+1,9))*12,NA()))),0),6)*'Aturan &amp; Tarif'!$B$4,2)</f>
        <v>340.68</v>
      </c>
      <c r="K868" s="32" t="n">
        <f aca="false">'Aturan &amp; Tarif'!$B$5</f>
        <v>2050</v>
      </c>
      <c r="L868" s="35" t="n">
        <f aca="false">I868+J868+K868</f>
        <v>10890.68</v>
      </c>
      <c r="M868" s="37" t="s">
        <v>2442</v>
      </c>
    </row>
    <row r="869" customFormat="false" ht="14.25" hidden="false" customHeight="true" outlineLevel="0" collapsed="false">
      <c r="A869" s="29"/>
      <c r="B869" s="30" t="s">
        <v>2444</v>
      </c>
      <c r="C869" s="31" t="s">
        <v>107</v>
      </c>
      <c r="D869" s="31" t="s">
        <v>108</v>
      </c>
      <c r="E869" s="32" t="n">
        <v>4500</v>
      </c>
      <c r="F869" s="32"/>
      <c r="G869" s="32" t="n">
        <v>300</v>
      </c>
      <c r="H869" s="33" t="n">
        <v>2</v>
      </c>
      <c r="I869" s="34" t="n">
        <f aca="false">E869*H869+N(F869)+N(G869)</f>
        <v>9300</v>
      </c>
      <c r="J869" s="32" t="n">
        <f aca="false">ROUND(IFERROR(ROUND(IF(OR(ISNUMBER(SEARCH("week",C869)),ISNUMBER(SEARCH("minggu",C869))),IFERROR(_xlfn.NUMBERVALUE(SUBSTITUTE(LEFT(TRIM(C869),FIND(" ",TRIM(C869)&amp;" ")-1),",","."),"."),LEFT(SUBSTITUTE(LEFT(TRIM(C869),FIND(" ",TRIM(C869)&amp;" ")-1),",","."),FIND("/",SUBSTITUTE(LEFT(TRIM(C869),FIND(" ",TRIM(C869)&amp;" ")-1),",","."))-1)/MID(SUBSTITUTE(LEFT(TRIM(C869),FIND(" ",TRIM(C869)&amp;" ")-1),",","."),FIND("/",SUBSTITUTE(LEFT(TRIM(C869),FIND(" ",TRIM(C869)&amp;" ")-1),",","."))+1,9))*12/52,IF(ISNUMBER(SEARCH("month",C869)),IFERROR(_xlfn.NUMBERVALUE(SUBSTITUTE(LEFT(TRIM(C869),FIND(" ",TRIM(C869)&amp;" ")-1),",","."),"."),LEFT(SUBSTITUTE(LEFT(TRIM(C869),FIND(" ",TRIM(C869)&amp;" ")-1),",","."),FIND("/",SUBSTITUTE(LEFT(TRIM(C869),FIND(" ",TRIM(C869)&amp;" ")-1),",","."))-1)/MID(SUBSTITUTE(LEFT(TRIM(C869),FIND(" ",TRIM(C869)&amp;" ")-1),",","."),FIND("/",SUBSTITUTE(LEFT(TRIM(C869),FIND(" ",TRIM(C869)&amp;" ")-1),",","."))+1,9)),IF(ISNUMBER(SEARCH("yea",C869)),IFERROR(_xlfn.NUMBERVALUE(SUBSTITUTE(LEFT(TRIM(C869),FIND(" ",TRIM(C869)&amp;" ")-1),",","."),"."),LEFT(SUBSTITUTE(LEFT(TRIM(C869),FIND(" ",TRIM(C869)&amp;" ")-1),",","."),FIND("/",SUBSTITUTE(LEFT(TRIM(C869),FIND(" ",TRIM(C869)&amp;" ")-1),",","."))-1)/MID(SUBSTITUTE(LEFT(TRIM(C869),FIND(" ",TRIM(C869)&amp;" ")-1),",","."),FIND("/",SUBSTITUTE(LEFT(TRIM(C869),FIND(" ",TRIM(C869)&amp;" ")-1),",","."))+1,9))*12,NA()))),0),24)*'Aturan &amp; Tarif'!$B$4,2)</f>
        <v>1362.72</v>
      </c>
      <c r="K869" s="32" t="n">
        <f aca="false">'Aturan &amp; Tarif'!$B$5</f>
        <v>2050</v>
      </c>
      <c r="L869" s="35" t="n">
        <f aca="false">I869+J869+K869</f>
        <v>12712.72</v>
      </c>
      <c r="M869" s="37" t="s">
        <v>2442</v>
      </c>
    </row>
    <row r="870" customFormat="false" ht="14.25" hidden="false" customHeight="true" outlineLevel="0" collapsed="false">
      <c r="A870" s="29"/>
      <c r="B870" s="30" t="s">
        <v>870</v>
      </c>
      <c r="C870" s="31" t="s">
        <v>107</v>
      </c>
      <c r="D870" s="31" t="s">
        <v>108</v>
      </c>
      <c r="E870" s="32" t="n">
        <v>4100</v>
      </c>
      <c r="F870" s="32"/>
      <c r="G870" s="32" t="n">
        <v>300</v>
      </c>
      <c r="H870" s="33" t="n">
        <v>2</v>
      </c>
      <c r="I870" s="34" t="n">
        <f aca="false">E870*H870+N(F870)+N(G870)</f>
        <v>8500</v>
      </c>
      <c r="J870" s="32" t="n">
        <f aca="false">ROUND(IFERROR(ROUND(IF(OR(ISNUMBER(SEARCH("week",C870)),ISNUMBER(SEARCH("minggu",C870))),IFERROR(_xlfn.NUMBERVALUE(SUBSTITUTE(LEFT(TRIM(C870),FIND(" ",TRIM(C870)&amp;" ")-1),",","."),"."),LEFT(SUBSTITUTE(LEFT(TRIM(C870),FIND(" ",TRIM(C870)&amp;" ")-1),",","."),FIND("/",SUBSTITUTE(LEFT(TRIM(C870),FIND(" ",TRIM(C870)&amp;" ")-1),",","."))-1)/MID(SUBSTITUTE(LEFT(TRIM(C870),FIND(" ",TRIM(C870)&amp;" ")-1),",","."),FIND("/",SUBSTITUTE(LEFT(TRIM(C870),FIND(" ",TRIM(C870)&amp;" ")-1),",","."))+1,9))*12/52,IF(ISNUMBER(SEARCH("month",C870)),IFERROR(_xlfn.NUMBERVALUE(SUBSTITUTE(LEFT(TRIM(C870),FIND(" ",TRIM(C870)&amp;" ")-1),",","."),"."),LEFT(SUBSTITUTE(LEFT(TRIM(C870),FIND(" ",TRIM(C870)&amp;" ")-1),",","."),FIND("/",SUBSTITUTE(LEFT(TRIM(C870),FIND(" ",TRIM(C870)&amp;" ")-1),",","."))-1)/MID(SUBSTITUTE(LEFT(TRIM(C870),FIND(" ",TRIM(C870)&amp;" ")-1),",","."),FIND("/",SUBSTITUTE(LEFT(TRIM(C870),FIND(" ",TRIM(C870)&amp;" ")-1),",","."))+1,9)),IF(ISNUMBER(SEARCH("yea",C870)),IFERROR(_xlfn.NUMBERVALUE(SUBSTITUTE(LEFT(TRIM(C870),FIND(" ",TRIM(C870)&amp;" ")-1),",","."),"."),LEFT(SUBSTITUTE(LEFT(TRIM(C870),FIND(" ",TRIM(C870)&amp;" ")-1),",","."),FIND("/",SUBSTITUTE(LEFT(TRIM(C870),FIND(" ",TRIM(C870)&amp;" ")-1),",","."))-1)/MID(SUBSTITUTE(LEFT(TRIM(C870),FIND(" ",TRIM(C870)&amp;" ")-1),",","."),FIND("/",SUBSTITUTE(LEFT(TRIM(C870),FIND(" ",TRIM(C870)&amp;" ")-1),",","."))+1,9))*12,NA()))),0),24)*'Aturan &amp; Tarif'!$B$4,2)</f>
        <v>1362.72</v>
      </c>
      <c r="K870" s="32" t="n">
        <f aca="false">'Aturan &amp; Tarif'!$B$5</f>
        <v>2050</v>
      </c>
      <c r="L870" s="35" t="n">
        <f aca="false">I870+J870+K870</f>
        <v>11912.72</v>
      </c>
      <c r="M870" s="37" t="s">
        <v>2442</v>
      </c>
    </row>
    <row r="871" customFormat="false" ht="25.5" hidden="false" customHeight="true" outlineLevel="0" collapsed="false">
      <c r="A871" s="29"/>
      <c r="B871" s="30" t="s">
        <v>2445</v>
      </c>
      <c r="C871" s="31" t="s">
        <v>113</v>
      </c>
      <c r="D871" s="31" t="s">
        <v>108</v>
      </c>
      <c r="E871" s="32" t="n">
        <v>4100</v>
      </c>
      <c r="F871" s="32"/>
      <c r="G871" s="32" t="n">
        <v>300</v>
      </c>
      <c r="H871" s="33" t="n">
        <v>2</v>
      </c>
      <c r="I871" s="34" t="n">
        <f aca="false">E871*H871+N(F871)+N(G871)</f>
        <v>8500</v>
      </c>
      <c r="J871" s="32" t="n">
        <f aca="false">ROUND(IFERROR(ROUND(IF(OR(ISNUMBER(SEARCH("week",C871)),ISNUMBER(SEARCH("minggu",C871))),IFERROR(_xlfn.NUMBERVALUE(SUBSTITUTE(LEFT(TRIM(C871),FIND(" ",TRIM(C871)&amp;" ")-1),",","."),"."),LEFT(SUBSTITUTE(LEFT(TRIM(C871),FIND(" ",TRIM(C871)&amp;" ")-1),",","."),FIND("/",SUBSTITUTE(LEFT(TRIM(C871),FIND(" ",TRIM(C871)&amp;" ")-1),",","."))-1)/MID(SUBSTITUTE(LEFT(TRIM(C871),FIND(" ",TRIM(C871)&amp;" ")-1),",","."),FIND("/",SUBSTITUTE(LEFT(TRIM(C871),FIND(" ",TRIM(C871)&amp;" ")-1),",","."))+1,9))*12/52,IF(ISNUMBER(SEARCH("month",C871)),IFERROR(_xlfn.NUMBERVALUE(SUBSTITUTE(LEFT(TRIM(C871),FIND(" ",TRIM(C871)&amp;" ")-1),",","."),"."),LEFT(SUBSTITUTE(LEFT(TRIM(C871),FIND(" ",TRIM(C871)&amp;" ")-1),",","."),FIND("/",SUBSTITUTE(LEFT(TRIM(C871),FIND(" ",TRIM(C871)&amp;" ")-1),",","."))-1)/MID(SUBSTITUTE(LEFT(TRIM(C871),FIND(" ",TRIM(C871)&amp;" ")-1),",","."),FIND("/",SUBSTITUTE(LEFT(TRIM(C871),FIND(" ",TRIM(C871)&amp;" ")-1),",","."))+1,9)),IF(ISNUMBER(SEARCH("yea",C871)),IFERROR(_xlfn.NUMBERVALUE(SUBSTITUTE(LEFT(TRIM(C871),FIND(" ",TRIM(C871)&amp;" ")-1),",","."),"."),LEFT(SUBSTITUTE(LEFT(TRIM(C871),FIND(" ",TRIM(C871)&amp;" ")-1),",","."),FIND("/",SUBSTITUTE(LEFT(TRIM(C871),FIND(" ",TRIM(C871)&amp;" ")-1),",","."))-1)/MID(SUBSTITUTE(LEFT(TRIM(C871),FIND(" ",TRIM(C871)&amp;" ")-1),",","."),FIND("/",SUBSTITUTE(LEFT(TRIM(C871),FIND(" ",TRIM(C871)&amp;" ")-1),",","."))+1,9))*12,NA()))),0),18)*'Aturan &amp; Tarif'!$B$4,2)</f>
        <v>1022.04</v>
      </c>
      <c r="K871" s="32" t="n">
        <f aca="false">'Aturan &amp; Tarif'!$B$5</f>
        <v>2050</v>
      </c>
      <c r="L871" s="35" t="n">
        <f aca="false">I871+J871+K871</f>
        <v>11572.04</v>
      </c>
      <c r="M871" s="37" t="s">
        <v>2442</v>
      </c>
    </row>
    <row r="872" customFormat="false" ht="14.25" hidden="false" customHeight="true" outlineLevel="0" collapsed="false">
      <c r="A872" s="29"/>
      <c r="B872" s="30" t="s">
        <v>2446</v>
      </c>
      <c r="C872" s="31" t="s">
        <v>107</v>
      </c>
      <c r="D872" s="31" t="s">
        <v>108</v>
      </c>
      <c r="E872" s="32" t="n">
        <v>4100</v>
      </c>
      <c r="F872" s="32"/>
      <c r="G872" s="32" t="n">
        <v>300</v>
      </c>
      <c r="H872" s="33" t="n">
        <v>2</v>
      </c>
      <c r="I872" s="34" t="n">
        <f aca="false">E872*H872+N(F872)+N(G872)</f>
        <v>8500</v>
      </c>
      <c r="J872" s="32" t="n">
        <f aca="false">ROUND(IFERROR(ROUND(IF(OR(ISNUMBER(SEARCH("week",C872)),ISNUMBER(SEARCH("minggu",C872))),IFERROR(_xlfn.NUMBERVALUE(SUBSTITUTE(LEFT(TRIM(C872),FIND(" ",TRIM(C872)&amp;" ")-1),",","."),"."),LEFT(SUBSTITUTE(LEFT(TRIM(C872),FIND(" ",TRIM(C872)&amp;" ")-1),",","."),FIND("/",SUBSTITUTE(LEFT(TRIM(C872),FIND(" ",TRIM(C872)&amp;" ")-1),",","."))-1)/MID(SUBSTITUTE(LEFT(TRIM(C872),FIND(" ",TRIM(C872)&amp;" ")-1),",","."),FIND("/",SUBSTITUTE(LEFT(TRIM(C872),FIND(" ",TRIM(C872)&amp;" ")-1),",","."))+1,9))*12/52,IF(ISNUMBER(SEARCH("month",C872)),IFERROR(_xlfn.NUMBERVALUE(SUBSTITUTE(LEFT(TRIM(C872),FIND(" ",TRIM(C872)&amp;" ")-1),",","."),"."),LEFT(SUBSTITUTE(LEFT(TRIM(C872),FIND(" ",TRIM(C872)&amp;" ")-1),",","."),FIND("/",SUBSTITUTE(LEFT(TRIM(C872),FIND(" ",TRIM(C872)&amp;" ")-1),",","."))-1)/MID(SUBSTITUTE(LEFT(TRIM(C872),FIND(" ",TRIM(C872)&amp;" ")-1),",","."),FIND("/",SUBSTITUTE(LEFT(TRIM(C872),FIND(" ",TRIM(C872)&amp;" ")-1),",","."))+1,9)),IF(ISNUMBER(SEARCH("yea",C872)),IFERROR(_xlfn.NUMBERVALUE(SUBSTITUTE(LEFT(TRIM(C872),FIND(" ",TRIM(C872)&amp;" ")-1),",","."),"."),LEFT(SUBSTITUTE(LEFT(TRIM(C872),FIND(" ",TRIM(C872)&amp;" ")-1),",","."),FIND("/",SUBSTITUTE(LEFT(TRIM(C872),FIND(" ",TRIM(C872)&amp;" ")-1),",","."))-1)/MID(SUBSTITUTE(LEFT(TRIM(C872),FIND(" ",TRIM(C872)&amp;" ")-1),",","."),FIND("/",SUBSTITUTE(LEFT(TRIM(C872),FIND(" ",TRIM(C872)&amp;" ")-1),",","."))+1,9))*12,NA()))),0),24)*'Aturan &amp; Tarif'!$B$4,2)</f>
        <v>1362.72</v>
      </c>
      <c r="K872" s="32" t="n">
        <f aca="false">'Aturan &amp; Tarif'!$B$5</f>
        <v>2050</v>
      </c>
      <c r="L872" s="35" t="n">
        <f aca="false">I872+J872+K872</f>
        <v>11912.72</v>
      </c>
      <c r="M872" s="37" t="s">
        <v>2442</v>
      </c>
    </row>
    <row r="873" customFormat="false" ht="14.25" hidden="false" customHeight="true" outlineLevel="0" collapsed="false">
      <c r="A873" s="29"/>
      <c r="B873" s="30" t="s">
        <v>2234</v>
      </c>
      <c r="C873" s="31" t="s">
        <v>127</v>
      </c>
      <c r="D873" s="31" t="s">
        <v>108</v>
      </c>
      <c r="E873" s="32" t="n">
        <v>3700</v>
      </c>
      <c r="F873" s="32"/>
      <c r="G873" s="32" t="n">
        <v>300</v>
      </c>
      <c r="H873" s="33" t="n">
        <v>2</v>
      </c>
      <c r="I873" s="34" t="n">
        <f aca="false">E873*H873+N(F873)+N(G873)</f>
        <v>7700</v>
      </c>
      <c r="J873" s="32" t="n">
        <f aca="false">ROUND(IFERROR(ROUND(IF(OR(ISNUMBER(SEARCH("week",C873)),ISNUMBER(SEARCH("minggu",C873))),IFERROR(_xlfn.NUMBERVALUE(SUBSTITUTE(LEFT(TRIM(C873),FIND(" ",TRIM(C873)&amp;" ")-1),",","."),"."),LEFT(SUBSTITUTE(LEFT(TRIM(C873),FIND(" ",TRIM(C873)&amp;" ")-1),",","."),FIND("/",SUBSTITUTE(LEFT(TRIM(C873),FIND(" ",TRIM(C873)&amp;" ")-1),",","."))-1)/MID(SUBSTITUTE(LEFT(TRIM(C873),FIND(" ",TRIM(C873)&amp;" ")-1),",","."),FIND("/",SUBSTITUTE(LEFT(TRIM(C873),FIND(" ",TRIM(C873)&amp;" ")-1),",","."))+1,9))*12/52,IF(ISNUMBER(SEARCH("month",C873)),IFERROR(_xlfn.NUMBERVALUE(SUBSTITUTE(LEFT(TRIM(C873),FIND(" ",TRIM(C873)&amp;" ")-1),",","."),"."),LEFT(SUBSTITUTE(LEFT(TRIM(C873),FIND(" ",TRIM(C873)&amp;" ")-1),",","."),FIND("/",SUBSTITUTE(LEFT(TRIM(C873),FIND(" ",TRIM(C873)&amp;" ")-1),",","."))-1)/MID(SUBSTITUTE(LEFT(TRIM(C873),FIND(" ",TRIM(C873)&amp;" ")-1),",","."),FIND("/",SUBSTITUTE(LEFT(TRIM(C873),FIND(" ",TRIM(C873)&amp;" ")-1),",","."))+1,9)),IF(ISNUMBER(SEARCH("yea",C873)),IFERROR(_xlfn.NUMBERVALUE(SUBSTITUTE(LEFT(TRIM(C873),FIND(" ",TRIM(C873)&amp;" ")-1),",","."),"."),LEFT(SUBSTITUTE(LEFT(TRIM(C873),FIND(" ",TRIM(C873)&amp;" ")-1),",","."),FIND("/",SUBSTITUTE(LEFT(TRIM(C873),FIND(" ",TRIM(C873)&amp;" ")-1),",","."))-1)/MID(SUBSTITUTE(LEFT(TRIM(C873),FIND(" ",TRIM(C873)&amp;" ")-1),",","."),FIND("/",SUBSTITUTE(LEFT(TRIM(C873),FIND(" ",TRIM(C873)&amp;" ")-1),",","."))+1,9))*12,NA()))),0),36)*'Aturan &amp; Tarif'!$B$4,2)</f>
        <v>2044.08</v>
      </c>
      <c r="K873" s="32" t="n">
        <f aca="false">'Aturan &amp; Tarif'!$B$5</f>
        <v>2050</v>
      </c>
      <c r="L873" s="35" t="n">
        <f aca="false">I873+J873+K873</f>
        <v>11794.08</v>
      </c>
      <c r="M873" s="37" t="s">
        <v>2442</v>
      </c>
    </row>
    <row r="874" customFormat="false" ht="37.5" hidden="false" customHeight="true" outlineLevel="0" collapsed="false">
      <c r="A874" s="29"/>
      <c r="B874" s="30" t="s">
        <v>2447</v>
      </c>
      <c r="C874" s="31" t="s">
        <v>127</v>
      </c>
      <c r="D874" s="31" t="s">
        <v>108</v>
      </c>
      <c r="E874" s="32" t="n">
        <v>3700</v>
      </c>
      <c r="F874" s="32"/>
      <c r="G874" s="32" t="n">
        <v>300</v>
      </c>
      <c r="H874" s="33" t="n">
        <v>2</v>
      </c>
      <c r="I874" s="34" t="n">
        <f aca="false">E874*H874+N(F874)+N(G874)</f>
        <v>7700</v>
      </c>
      <c r="J874" s="32" t="n">
        <f aca="false">ROUND(IFERROR(ROUND(IF(OR(ISNUMBER(SEARCH("week",C874)),ISNUMBER(SEARCH("minggu",C874))),IFERROR(_xlfn.NUMBERVALUE(SUBSTITUTE(LEFT(TRIM(C874),FIND(" ",TRIM(C874)&amp;" ")-1),",","."),"."),LEFT(SUBSTITUTE(LEFT(TRIM(C874),FIND(" ",TRIM(C874)&amp;" ")-1),",","."),FIND("/",SUBSTITUTE(LEFT(TRIM(C874),FIND(" ",TRIM(C874)&amp;" ")-1),",","."))-1)/MID(SUBSTITUTE(LEFT(TRIM(C874),FIND(" ",TRIM(C874)&amp;" ")-1),",","."),FIND("/",SUBSTITUTE(LEFT(TRIM(C874),FIND(" ",TRIM(C874)&amp;" ")-1),",","."))+1,9))*12/52,IF(ISNUMBER(SEARCH("month",C874)),IFERROR(_xlfn.NUMBERVALUE(SUBSTITUTE(LEFT(TRIM(C874),FIND(" ",TRIM(C874)&amp;" ")-1),",","."),"."),LEFT(SUBSTITUTE(LEFT(TRIM(C874),FIND(" ",TRIM(C874)&amp;" ")-1),",","."),FIND("/",SUBSTITUTE(LEFT(TRIM(C874),FIND(" ",TRIM(C874)&amp;" ")-1),",","."))-1)/MID(SUBSTITUTE(LEFT(TRIM(C874),FIND(" ",TRIM(C874)&amp;" ")-1),",","."),FIND("/",SUBSTITUTE(LEFT(TRIM(C874),FIND(" ",TRIM(C874)&amp;" ")-1),",","."))+1,9)),IF(ISNUMBER(SEARCH("yea",C874)),IFERROR(_xlfn.NUMBERVALUE(SUBSTITUTE(LEFT(TRIM(C874),FIND(" ",TRIM(C874)&amp;" ")-1),",","."),"."),LEFT(SUBSTITUTE(LEFT(TRIM(C874),FIND(" ",TRIM(C874)&amp;" ")-1),",","."),FIND("/",SUBSTITUTE(LEFT(TRIM(C874),FIND(" ",TRIM(C874)&amp;" ")-1),",","."))-1)/MID(SUBSTITUTE(LEFT(TRIM(C874),FIND(" ",TRIM(C874)&amp;" ")-1),",","."),FIND("/",SUBSTITUTE(LEFT(TRIM(C874),FIND(" ",TRIM(C874)&amp;" ")-1),",","."))+1,9))*12,NA()))),0),36)*'Aturan &amp; Tarif'!$B$4,2)</f>
        <v>2044.08</v>
      </c>
      <c r="K874" s="32" t="n">
        <f aca="false">'Aturan &amp; Tarif'!$B$5</f>
        <v>2050</v>
      </c>
      <c r="L874" s="35" t="n">
        <f aca="false">I874+J874+K874</f>
        <v>11794.08</v>
      </c>
      <c r="M874" s="37" t="s">
        <v>2442</v>
      </c>
    </row>
    <row r="875" customFormat="false" ht="37.5" hidden="false" customHeight="true" outlineLevel="0" collapsed="false">
      <c r="A875" s="29" t="s">
        <v>2448</v>
      </c>
      <c r="B875" s="30" t="s">
        <v>1978</v>
      </c>
      <c r="C875" s="31" t="s">
        <v>138</v>
      </c>
      <c r="D875" s="31" t="s">
        <v>108</v>
      </c>
      <c r="E875" s="32" t="n">
        <v>2000</v>
      </c>
      <c r="F875" s="32" t="n">
        <v>200</v>
      </c>
      <c r="G875" s="32" t="n">
        <v>250</v>
      </c>
      <c r="H875" s="33" t="n">
        <v>1</v>
      </c>
      <c r="I875" s="34" t="n">
        <f aca="false">E875*H875+N(F875)+N(G875)</f>
        <v>2450</v>
      </c>
      <c r="J875" s="32" t="n">
        <f aca="false">ROUND(IFERROR(ROUND(IF(OR(ISNUMBER(SEARCH("week",C875)),ISNUMBER(SEARCH("minggu",C875))),IFERROR(_xlfn.NUMBERVALUE(SUBSTITUTE(LEFT(TRIM(C875),FIND(" ",TRIM(C875)&amp;" ")-1),",","."),"."),LEFT(SUBSTITUTE(LEFT(TRIM(C875),FIND(" ",TRIM(C875)&amp;" ")-1),",","."),FIND("/",SUBSTITUTE(LEFT(TRIM(C875),FIND(" ",TRIM(C875)&amp;" ")-1),",","."))-1)/MID(SUBSTITUTE(LEFT(TRIM(C875),FIND(" ",TRIM(C875)&amp;" ")-1),",","."),FIND("/",SUBSTITUTE(LEFT(TRIM(C875),FIND(" ",TRIM(C875)&amp;" ")-1),",","."))+1,9))*12/52,IF(ISNUMBER(SEARCH("month",C875)),IFERROR(_xlfn.NUMBERVALUE(SUBSTITUTE(LEFT(TRIM(C875),FIND(" ",TRIM(C875)&amp;" ")-1),",","."),"."),LEFT(SUBSTITUTE(LEFT(TRIM(C875),FIND(" ",TRIM(C875)&amp;" ")-1),",","."),FIND("/",SUBSTITUTE(LEFT(TRIM(C875),FIND(" ",TRIM(C875)&amp;" ")-1),",","."))-1)/MID(SUBSTITUTE(LEFT(TRIM(C875),FIND(" ",TRIM(C875)&amp;" ")-1),",","."),FIND("/",SUBSTITUTE(LEFT(TRIM(C875),FIND(" ",TRIM(C875)&amp;" ")-1),",","."))+1,9)),IF(ISNUMBER(SEARCH("yea",C875)),IFERROR(_xlfn.NUMBERVALUE(SUBSTITUTE(LEFT(TRIM(C875),FIND(" ",TRIM(C875)&amp;" ")-1),",","."),"."),LEFT(SUBSTITUTE(LEFT(TRIM(C875),FIND(" ",TRIM(C875)&amp;" ")-1),",","."),FIND("/",SUBSTITUTE(LEFT(TRIM(C875),FIND(" ",TRIM(C875)&amp;" ")-1),",","."))-1)/MID(SUBSTITUTE(LEFT(TRIM(C875),FIND(" ",TRIM(C875)&amp;" ")-1),",","."),FIND("/",SUBSTITUTE(LEFT(TRIM(C875),FIND(" ",TRIM(C875)&amp;" ")-1),",","."))+1,9))*12,NA()))),0),30)*'Aturan &amp; Tarif'!$B$4,2)</f>
        <v>1703.4</v>
      </c>
      <c r="K875" s="32" t="n">
        <f aca="false">'Aturan &amp; Tarif'!$B$5</f>
        <v>2050</v>
      </c>
      <c r="L875" s="35" t="n">
        <f aca="false">I875+J875+K875</f>
        <v>6203.4</v>
      </c>
      <c r="M875" s="37" t="s">
        <v>134</v>
      </c>
    </row>
    <row r="876" customFormat="false" ht="14.25" hidden="false" customHeight="true" outlineLevel="0" collapsed="false">
      <c r="A876" s="29"/>
      <c r="B876" s="30" t="s">
        <v>2449</v>
      </c>
      <c r="C876" s="31" t="s">
        <v>107</v>
      </c>
      <c r="D876" s="31" t="s">
        <v>108</v>
      </c>
      <c r="E876" s="32" t="n">
        <v>1500</v>
      </c>
      <c r="F876" s="32" t="n">
        <v>50</v>
      </c>
      <c r="G876" s="32" t="n">
        <v>250</v>
      </c>
      <c r="H876" s="33" t="n">
        <v>1</v>
      </c>
      <c r="I876" s="34" t="n">
        <f aca="false">E876*H876+N(F876)+N(G876)</f>
        <v>1800</v>
      </c>
      <c r="J876" s="32" t="n">
        <f aca="false">ROUND(IFERROR(ROUND(IF(OR(ISNUMBER(SEARCH("week",C876)),ISNUMBER(SEARCH("minggu",C876))),IFERROR(_xlfn.NUMBERVALUE(SUBSTITUTE(LEFT(TRIM(C876),FIND(" ",TRIM(C876)&amp;" ")-1),",","."),"."),LEFT(SUBSTITUTE(LEFT(TRIM(C876),FIND(" ",TRIM(C876)&amp;" ")-1),",","."),FIND("/",SUBSTITUTE(LEFT(TRIM(C876),FIND(" ",TRIM(C876)&amp;" ")-1),",","."))-1)/MID(SUBSTITUTE(LEFT(TRIM(C876),FIND(" ",TRIM(C876)&amp;" ")-1),",","."),FIND("/",SUBSTITUTE(LEFT(TRIM(C876),FIND(" ",TRIM(C876)&amp;" ")-1),",","."))+1,9))*12/52,IF(ISNUMBER(SEARCH("month",C876)),IFERROR(_xlfn.NUMBERVALUE(SUBSTITUTE(LEFT(TRIM(C876),FIND(" ",TRIM(C876)&amp;" ")-1),",","."),"."),LEFT(SUBSTITUTE(LEFT(TRIM(C876),FIND(" ",TRIM(C876)&amp;" ")-1),",","."),FIND("/",SUBSTITUTE(LEFT(TRIM(C876),FIND(" ",TRIM(C876)&amp;" ")-1),",","."))-1)/MID(SUBSTITUTE(LEFT(TRIM(C876),FIND(" ",TRIM(C876)&amp;" ")-1),",","."),FIND("/",SUBSTITUTE(LEFT(TRIM(C876),FIND(" ",TRIM(C876)&amp;" ")-1),",","."))+1,9)),IF(ISNUMBER(SEARCH("yea",C876)),IFERROR(_xlfn.NUMBERVALUE(SUBSTITUTE(LEFT(TRIM(C876),FIND(" ",TRIM(C876)&amp;" ")-1),",","."),"."),LEFT(SUBSTITUTE(LEFT(TRIM(C876),FIND(" ",TRIM(C876)&amp;" ")-1),",","."),FIND("/",SUBSTITUTE(LEFT(TRIM(C876),FIND(" ",TRIM(C876)&amp;" ")-1),",","."))-1)/MID(SUBSTITUTE(LEFT(TRIM(C876),FIND(" ",TRIM(C876)&amp;" ")-1),",","."),FIND("/",SUBSTITUTE(LEFT(TRIM(C876),FIND(" ",TRIM(C876)&amp;" ")-1),",","."))+1,9))*12,NA()))),0),24)*'Aturan &amp; Tarif'!$B$4,2)</f>
        <v>1362.72</v>
      </c>
      <c r="K876" s="32" t="n">
        <f aca="false">'Aturan &amp; Tarif'!$B$5</f>
        <v>2050</v>
      </c>
      <c r="L876" s="35" t="n">
        <f aca="false">I876+J876+K876</f>
        <v>5212.72</v>
      </c>
      <c r="M876" s="37" t="s">
        <v>134</v>
      </c>
    </row>
    <row r="877" customFormat="false" ht="25.5" hidden="false" customHeight="true" outlineLevel="0" collapsed="false">
      <c r="A877" s="29"/>
      <c r="B877" s="30" t="s">
        <v>2023</v>
      </c>
      <c r="C877" s="31" t="s">
        <v>127</v>
      </c>
      <c r="D877" s="31" t="s">
        <v>108</v>
      </c>
      <c r="E877" s="32" t="n">
        <v>1500</v>
      </c>
      <c r="F877" s="32" t="n">
        <v>50</v>
      </c>
      <c r="G877" s="32" t="n">
        <v>250</v>
      </c>
      <c r="H877" s="33" t="n">
        <v>1</v>
      </c>
      <c r="I877" s="34" t="n">
        <f aca="false">E877*H877+N(F877)+N(G877)</f>
        <v>1800</v>
      </c>
      <c r="J877" s="32" t="n">
        <f aca="false">ROUND(IFERROR(ROUND(IF(OR(ISNUMBER(SEARCH("week",C877)),ISNUMBER(SEARCH("minggu",C877))),IFERROR(_xlfn.NUMBERVALUE(SUBSTITUTE(LEFT(TRIM(C877),FIND(" ",TRIM(C877)&amp;" ")-1),",","."),"."),LEFT(SUBSTITUTE(LEFT(TRIM(C877),FIND(" ",TRIM(C877)&amp;" ")-1),",","."),FIND("/",SUBSTITUTE(LEFT(TRIM(C877),FIND(" ",TRIM(C877)&amp;" ")-1),",","."))-1)/MID(SUBSTITUTE(LEFT(TRIM(C877),FIND(" ",TRIM(C877)&amp;" ")-1),",","."),FIND("/",SUBSTITUTE(LEFT(TRIM(C877),FIND(" ",TRIM(C877)&amp;" ")-1),",","."))+1,9))*12/52,IF(ISNUMBER(SEARCH("month",C877)),IFERROR(_xlfn.NUMBERVALUE(SUBSTITUTE(LEFT(TRIM(C877),FIND(" ",TRIM(C877)&amp;" ")-1),",","."),"."),LEFT(SUBSTITUTE(LEFT(TRIM(C877),FIND(" ",TRIM(C877)&amp;" ")-1),",","."),FIND("/",SUBSTITUTE(LEFT(TRIM(C877),FIND(" ",TRIM(C877)&amp;" ")-1),",","."))-1)/MID(SUBSTITUTE(LEFT(TRIM(C877),FIND(" ",TRIM(C877)&amp;" ")-1),",","."),FIND("/",SUBSTITUTE(LEFT(TRIM(C877),FIND(" ",TRIM(C877)&amp;" ")-1),",","."))+1,9)),IF(ISNUMBER(SEARCH("yea",C877)),IFERROR(_xlfn.NUMBERVALUE(SUBSTITUTE(LEFT(TRIM(C877),FIND(" ",TRIM(C877)&amp;" ")-1),",","."),"."),LEFT(SUBSTITUTE(LEFT(TRIM(C877),FIND(" ",TRIM(C877)&amp;" ")-1),",","."),FIND("/",SUBSTITUTE(LEFT(TRIM(C877),FIND(" ",TRIM(C877)&amp;" ")-1),",","."))-1)/MID(SUBSTITUTE(LEFT(TRIM(C877),FIND(" ",TRIM(C877)&amp;" ")-1),",","."),FIND("/",SUBSTITUTE(LEFT(TRIM(C877),FIND(" ",TRIM(C877)&amp;" ")-1),",","."))+1,9))*12,NA()))),0),36)*'Aturan &amp; Tarif'!$B$4,2)</f>
        <v>2044.08</v>
      </c>
      <c r="K877" s="32" t="n">
        <f aca="false">'Aturan &amp; Tarif'!$B$5</f>
        <v>2050</v>
      </c>
      <c r="L877" s="35" t="n">
        <f aca="false">I877+J877+K877</f>
        <v>5894.08</v>
      </c>
      <c r="M877" s="37" t="s">
        <v>134</v>
      </c>
    </row>
    <row r="878" customFormat="false" ht="25.5" hidden="false" customHeight="true" outlineLevel="0" collapsed="false">
      <c r="A878" s="29"/>
      <c r="B878" s="30" t="s">
        <v>2451</v>
      </c>
      <c r="C878" s="31" t="s">
        <v>113</v>
      </c>
      <c r="D878" s="31" t="s">
        <v>108</v>
      </c>
      <c r="E878" s="32" t="n">
        <v>2000</v>
      </c>
      <c r="F878" s="32" t="n">
        <v>200</v>
      </c>
      <c r="G878" s="32" t="n">
        <v>250</v>
      </c>
      <c r="H878" s="33" t="n">
        <v>1</v>
      </c>
      <c r="I878" s="34" t="n">
        <f aca="false">E878*H878+N(F878)+N(G878)</f>
        <v>2450</v>
      </c>
      <c r="J878" s="32" t="n">
        <f aca="false">ROUND(IFERROR(ROUND(IF(OR(ISNUMBER(SEARCH("week",C878)),ISNUMBER(SEARCH("minggu",C878))),IFERROR(_xlfn.NUMBERVALUE(SUBSTITUTE(LEFT(TRIM(C878),FIND(" ",TRIM(C878)&amp;" ")-1),",","."),"."),LEFT(SUBSTITUTE(LEFT(TRIM(C878),FIND(" ",TRIM(C878)&amp;" ")-1),",","."),FIND("/",SUBSTITUTE(LEFT(TRIM(C878),FIND(" ",TRIM(C878)&amp;" ")-1),",","."))-1)/MID(SUBSTITUTE(LEFT(TRIM(C878),FIND(" ",TRIM(C878)&amp;" ")-1),",","."),FIND("/",SUBSTITUTE(LEFT(TRIM(C878),FIND(" ",TRIM(C878)&amp;" ")-1),",","."))+1,9))*12/52,IF(ISNUMBER(SEARCH("month",C878)),IFERROR(_xlfn.NUMBERVALUE(SUBSTITUTE(LEFT(TRIM(C878),FIND(" ",TRIM(C878)&amp;" ")-1),",","."),"."),LEFT(SUBSTITUTE(LEFT(TRIM(C878),FIND(" ",TRIM(C878)&amp;" ")-1),",","."),FIND("/",SUBSTITUTE(LEFT(TRIM(C878),FIND(" ",TRIM(C878)&amp;" ")-1),",","."))-1)/MID(SUBSTITUTE(LEFT(TRIM(C878),FIND(" ",TRIM(C878)&amp;" ")-1),",","."),FIND("/",SUBSTITUTE(LEFT(TRIM(C878),FIND(" ",TRIM(C878)&amp;" ")-1),",","."))+1,9)),IF(ISNUMBER(SEARCH("yea",C878)),IFERROR(_xlfn.NUMBERVALUE(SUBSTITUTE(LEFT(TRIM(C878),FIND(" ",TRIM(C878)&amp;" ")-1),",","."),"."),LEFT(SUBSTITUTE(LEFT(TRIM(C878),FIND(" ",TRIM(C878)&amp;" ")-1),",","."),FIND("/",SUBSTITUTE(LEFT(TRIM(C878),FIND(" ",TRIM(C878)&amp;" ")-1),",","."))-1)/MID(SUBSTITUTE(LEFT(TRIM(C878),FIND(" ",TRIM(C878)&amp;" ")-1),",","."),FIND("/",SUBSTITUTE(LEFT(TRIM(C878),FIND(" ",TRIM(C878)&amp;" ")-1),",","."))+1,9))*12,NA()))),0),18)*'Aturan &amp; Tarif'!$B$4,2)</f>
        <v>1022.04</v>
      </c>
      <c r="K878" s="32" t="n">
        <f aca="false">'Aturan &amp; Tarif'!$B$5</f>
        <v>2050</v>
      </c>
      <c r="L878" s="35" t="n">
        <f aca="false">I878+J878+K878</f>
        <v>5522.04</v>
      </c>
      <c r="M878" s="37" t="s">
        <v>134</v>
      </c>
    </row>
    <row r="879" customFormat="false" ht="37.5" hidden="false" customHeight="true" outlineLevel="0" collapsed="false">
      <c r="A879" s="29"/>
      <c r="B879" s="30" t="s">
        <v>2452</v>
      </c>
      <c r="C879" s="31" t="s">
        <v>138</v>
      </c>
      <c r="D879" s="31" t="s">
        <v>108</v>
      </c>
      <c r="E879" s="32" t="n">
        <v>2000</v>
      </c>
      <c r="F879" s="32" t="n">
        <v>200</v>
      </c>
      <c r="G879" s="32" t="n">
        <v>250</v>
      </c>
      <c r="H879" s="33" t="n">
        <v>1</v>
      </c>
      <c r="I879" s="34" t="n">
        <f aca="false">E879*H879+N(F879)+N(G879)</f>
        <v>2450</v>
      </c>
      <c r="J879" s="32" t="n">
        <f aca="false">ROUND(IFERROR(ROUND(IF(OR(ISNUMBER(SEARCH("week",C879)),ISNUMBER(SEARCH("minggu",C879))),IFERROR(_xlfn.NUMBERVALUE(SUBSTITUTE(LEFT(TRIM(C879),FIND(" ",TRIM(C879)&amp;" ")-1),",","."),"."),LEFT(SUBSTITUTE(LEFT(TRIM(C879),FIND(" ",TRIM(C879)&amp;" ")-1),",","."),FIND("/",SUBSTITUTE(LEFT(TRIM(C879),FIND(" ",TRIM(C879)&amp;" ")-1),",","."))-1)/MID(SUBSTITUTE(LEFT(TRIM(C879),FIND(" ",TRIM(C879)&amp;" ")-1),",","."),FIND("/",SUBSTITUTE(LEFT(TRIM(C879),FIND(" ",TRIM(C879)&amp;" ")-1),",","."))+1,9))*12/52,IF(ISNUMBER(SEARCH("month",C879)),IFERROR(_xlfn.NUMBERVALUE(SUBSTITUTE(LEFT(TRIM(C879),FIND(" ",TRIM(C879)&amp;" ")-1),",","."),"."),LEFT(SUBSTITUTE(LEFT(TRIM(C879),FIND(" ",TRIM(C879)&amp;" ")-1),",","."),FIND("/",SUBSTITUTE(LEFT(TRIM(C879),FIND(" ",TRIM(C879)&amp;" ")-1),",","."))-1)/MID(SUBSTITUTE(LEFT(TRIM(C879),FIND(" ",TRIM(C879)&amp;" ")-1),",","."),FIND("/",SUBSTITUTE(LEFT(TRIM(C879),FIND(" ",TRIM(C879)&amp;" ")-1),",","."))+1,9)),IF(ISNUMBER(SEARCH("yea",C879)),IFERROR(_xlfn.NUMBERVALUE(SUBSTITUTE(LEFT(TRIM(C879),FIND(" ",TRIM(C879)&amp;" ")-1),",","."),"."),LEFT(SUBSTITUTE(LEFT(TRIM(C879),FIND(" ",TRIM(C879)&amp;" ")-1),",","."),FIND("/",SUBSTITUTE(LEFT(TRIM(C879),FIND(" ",TRIM(C879)&amp;" ")-1),",","."))-1)/MID(SUBSTITUTE(LEFT(TRIM(C879),FIND(" ",TRIM(C879)&amp;" ")-1),",","."),FIND("/",SUBSTITUTE(LEFT(TRIM(C879),FIND(" ",TRIM(C879)&amp;" ")-1),",","."))+1,9))*12,NA()))),0),30)*'Aturan &amp; Tarif'!$B$4,2)</f>
        <v>1703.4</v>
      </c>
      <c r="K879" s="32" t="n">
        <f aca="false">'Aturan &amp; Tarif'!$B$5</f>
        <v>2050</v>
      </c>
      <c r="L879" s="35" t="n">
        <f aca="false">I879+J879+K879</f>
        <v>6203.4</v>
      </c>
      <c r="M879" s="37" t="s">
        <v>134</v>
      </c>
    </row>
    <row r="880" customFormat="false" ht="14.25" hidden="false" customHeight="true" outlineLevel="0" collapsed="false">
      <c r="A880" s="29"/>
      <c r="B880" s="30" t="s">
        <v>2062</v>
      </c>
      <c r="C880" s="31" t="s">
        <v>107</v>
      </c>
      <c r="D880" s="31" t="s">
        <v>108</v>
      </c>
      <c r="E880" s="32" t="n">
        <v>1500</v>
      </c>
      <c r="F880" s="32" t="n">
        <v>50</v>
      </c>
      <c r="G880" s="32" t="n">
        <v>250</v>
      </c>
      <c r="H880" s="33" t="n">
        <v>1</v>
      </c>
      <c r="I880" s="34" t="n">
        <f aca="false">E880*H880+N(F880)+N(G880)</f>
        <v>1800</v>
      </c>
      <c r="J880" s="32" t="n">
        <f aca="false">ROUND(IFERROR(ROUND(IF(OR(ISNUMBER(SEARCH("week",C880)),ISNUMBER(SEARCH("minggu",C880))),IFERROR(_xlfn.NUMBERVALUE(SUBSTITUTE(LEFT(TRIM(C880),FIND(" ",TRIM(C880)&amp;" ")-1),",","."),"."),LEFT(SUBSTITUTE(LEFT(TRIM(C880),FIND(" ",TRIM(C880)&amp;" ")-1),",","."),FIND("/",SUBSTITUTE(LEFT(TRIM(C880),FIND(" ",TRIM(C880)&amp;" ")-1),",","."))-1)/MID(SUBSTITUTE(LEFT(TRIM(C880),FIND(" ",TRIM(C880)&amp;" ")-1),",","."),FIND("/",SUBSTITUTE(LEFT(TRIM(C880),FIND(" ",TRIM(C880)&amp;" ")-1),",","."))+1,9))*12/52,IF(ISNUMBER(SEARCH("month",C880)),IFERROR(_xlfn.NUMBERVALUE(SUBSTITUTE(LEFT(TRIM(C880),FIND(" ",TRIM(C880)&amp;" ")-1),",","."),"."),LEFT(SUBSTITUTE(LEFT(TRIM(C880),FIND(" ",TRIM(C880)&amp;" ")-1),",","."),FIND("/",SUBSTITUTE(LEFT(TRIM(C880),FIND(" ",TRIM(C880)&amp;" ")-1),",","."))-1)/MID(SUBSTITUTE(LEFT(TRIM(C880),FIND(" ",TRIM(C880)&amp;" ")-1),",","."),FIND("/",SUBSTITUTE(LEFT(TRIM(C880),FIND(" ",TRIM(C880)&amp;" ")-1),",","."))+1,9)),IF(ISNUMBER(SEARCH("yea",C880)),IFERROR(_xlfn.NUMBERVALUE(SUBSTITUTE(LEFT(TRIM(C880),FIND(" ",TRIM(C880)&amp;" ")-1),",","."),"."),LEFT(SUBSTITUTE(LEFT(TRIM(C880),FIND(" ",TRIM(C880)&amp;" ")-1),",","."),FIND("/",SUBSTITUTE(LEFT(TRIM(C880),FIND(" ",TRIM(C880)&amp;" ")-1),",","."))-1)/MID(SUBSTITUTE(LEFT(TRIM(C880),FIND(" ",TRIM(C880)&amp;" ")-1),",","."),FIND("/",SUBSTITUTE(LEFT(TRIM(C880),FIND(" ",TRIM(C880)&amp;" ")-1),",","."))+1,9))*12,NA()))),0),24)*'Aturan &amp; Tarif'!$B$4,2)</f>
        <v>1362.72</v>
      </c>
      <c r="K880" s="32" t="n">
        <f aca="false">'Aturan &amp; Tarif'!$B$5</f>
        <v>2050</v>
      </c>
      <c r="L880" s="35" t="n">
        <f aca="false">I880+J880+K880</f>
        <v>5212.72</v>
      </c>
      <c r="M880" s="37" t="s">
        <v>134</v>
      </c>
    </row>
    <row r="881" customFormat="false" ht="83.25" hidden="false" customHeight="true" outlineLevel="0" collapsed="false">
      <c r="A881" s="39" t="s">
        <v>2453</v>
      </c>
      <c r="B881" s="40" t="s">
        <v>2454</v>
      </c>
      <c r="C881" s="41" t="s">
        <v>138</v>
      </c>
      <c r="D881" s="41" t="s">
        <v>108</v>
      </c>
      <c r="E881" s="42" t="n">
        <v>1500</v>
      </c>
      <c r="F881" s="42" t="n">
        <v>50</v>
      </c>
      <c r="G881" s="42" t="n">
        <v>250</v>
      </c>
      <c r="H881" s="43" t="n">
        <v>1</v>
      </c>
      <c r="I881" s="34" t="n">
        <f aca="false">E881*H881+N(F881)+N(G881)</f>
        <v>1800</v>
      </c>
      <c r="J881" s="42" t="n">
        <f aca="false">ROUND(IFERROR(ROUND(IF(OR(ISNUMBER(SEARCH("week",C881)),ISNUMBER(SEARCH("minggu",C881))),IFERROR(_xlfn.NUMBERVALUE(SUBSTITUTE(LEFT(TRIM(C881),FIND(" ",TRIM(C881)&amp;" ")-1),",","."),"."),LEFT(SUBSTITUTE(LEFT(TRIM(C881),FIND(" ",TRIM(C881)&amp;" ")-1),",","."),FIND("/",SUBSTITUTE(LEFT(TRIM(C881),FIND(" ",TRIM(C881)&amp;" ")-1),",","."))-1)/MID(SUBSTITUTE(LEFT(TRIM(C881),FIND(" ",TRIM(C881)&amp;" ")-1),",","."),FIND("/",SUBSTITUTE(LEFT(TRIM(C881),FIND(" ",TRIM(C881)&amp;" ")-1),",","."))+1,9))*12/52,IF(ISNUMBER(SEARCH("month",C881)),IFERROR(_xlfn.NUMBERVALUE(SUBSTITUTE(LEFT(TRIM(C881),FIND(" ",TRIM(C881)&amp;" ")-1),",","."),"."),LEFT(SUBSTITUTE(LEFT(TRIM(C881),FIND(" ",TRIM(C881)&amp;" ")-1),",","."),FIND("/",SUBSTITUTE(LEFT(TRIM(C881),FIND(" ",TRIM(C881)&amp;" ")-1),",","."))-1)/MID(SUBSTITUTE(LEFT(TRIM(C881),FIND(" ",TRIM(C881)&amp;" ")-1),",","."),FIND("/",SUBSTITUTE(LEFT(TRIM(C881),FIND(" ",TRIM(C881)&amp;" ")-1),",","."))+1,9)),IF(ISNUMBER(SEARCH("yea",C881)),IFERROR(_xlfn.NUMBERVALUE(SUBSTITUTE(LEFT(TRIM(C881),FIND(" ",TRIM(C881)&amp;" ")-1),",","."),"."),LEFT(SUBSTITUTE(LEFT(TRIM(C881),FIND(" ",TRIM(C881)&amp;" ")-1),",","."),FIND("/",SUBSTITUTE(LEFT(TRIM(C881),FIND(" ",TRIM(C881)&amp;" ")-1),",","."))-1)/MID(SUBSTITUTE(LEFT(TRIM(C881),FIND(" ",TRIM(C881)&amp;" ")-1),",","."),FIND("/",SUBSTITUTE(LEFT(TRIM(C881),FIND(" ",TRIM(C881)&amp;" ")-1),",","."))+1,9))*12,NA()))),0),30)*'Aturan &amp; Tarif'!$B$4,2)</f>
        <v>1703.4</v>
      </c>
      <c r="K881" s="42" t="n">
        <f aca="false">'Aturan &amp; Tarif'!$B$5</f>
        <v>2050</v>
      </c>
      <c r="L881" s="35" t="n">
        <f aca="false">I881+J881+K881</f>
        <v>5553.4</v>
      </c>
      <c r="M881" s="45" t="s">
        <v>134</v>
      </c>
    </row>
    <row r="882" customFormat="false" ht="14.25" hidden="false" customHeight="true" outlineLevel="0" collapsed="false">
      <c r="A882" s="39"/>
      <c r="B882" s="40" t="s">
        <v>2059</v>
      </c>
      <c r="C882" s="41" t="s">
        <v>107</v>
      </c>
      <c r="D882" s="41" t="s">
        <v>108</v>
      </c>
      <c r="E882" s="42" t="n">
        <v>1500</v>
      </c>
      <c r="F882" s="42" t="n">
        <v>50</v>
      </c>
      <c r="G882" s="42" t="n">
        <v>250</v>
      </c>
      <c r="H882" s="43" t="n">
        <v>1</v>
      </c>
      <c r="I882" s="34" t="n">
        <f aca="false">E882*H882+N(F882)+N(G882)</f>
        <v>1800</v>
      </c>
      <c r="J882" s="42" t="n">
        <f aca="false">ROUND(IFERROR(ROUND(IF(OR(ISNUMBER(SEARCH("week",C882)),ISNUMBER(SEARCH("minggu",C882))),IFERROR(_xlfn.NUMBERVALUE(SUBSTITUTE(LEFT(TRIM(C882),FIND(" ",TRIM(C882)&amp;" ")-1),",","."),"."),LEFT(SUBSTITUTE(LEFT(TRIM(C882),FIND(" ",TRIM(C882)&amp;" ")-1),",","."),FIND("/",SUBSTITUTE(LEFT(TRIM(C882),FIND(" ",TRIM(C882)&amp;" ")-1),",","."))-1)/MID(SUBSTITUTE(LEFT(TRIM(C882),FIND(" ",TRIM(C882)&amp;" ")-1),",","."),FIND("/",SUBSTITUTE(LEFT(TRIM(C882),FIND(" ",TRIM(C882)&amp;" ")-1),",","."))+1,9))*12/52,IF(ISNUMBER(SEARCH("month",C882)),IFERROR(_xlfn.NUMBERVALUE(SUBSTITUTE(LEFT(TRIM(C882),FIND(" ",TRIM(C882)&amp;" ")-1),",","."),"."),LEFT(SUBSTITUTE(LEFT(TRIM(C882),FIND(" ",TRIM(C882)&amp;" ")-1),",","."),FIND("/",SUBSTITUTE(LEFT(TRIM(C882),FIND(" ",TRIM(C882)&amp;" ")-1),",","."))-1)/MID(SUBSTITUTE(LEFT(TRIM(C882),FIND(" ",TRIM(C882)&amp;" ")-1),",","."),FIND("/",SUBSTITUTE(LEFT(TRIM(C882),FIND(" ",TRIM(C882)&amp;" ")-1),",","."))+1,9)),IF(ISNUMBER(SEARCH("yea",C882)),IFERROR(_xlfn.NUMBERVALUE(SUBSTITUTE(LEFT(TRIM(C882),FIND(" ",TRIM(C882)&amp;" ")-1),",","."),"."),LEFT(SUBSTITUTE(LEFT(TRIM(C882),FIND(" ",TRIM(C882)&amp;" ")-1),",","."),FIND("/",SUBSTITUTE(LEFT(TRIM(C882),FIND(" ",TRIM(C882)&amp;" ")-1),",","."))-1)/MID(SUBSTITUTE(LEFT(TRIM(C882),FIND(" ",TRIM(C882)&amp;" ")-1),",","."),FIND("/",SUBSTITUTE(LEFT(TRIM(C882),FIND(" ",TRIM(C882)&amp;" ")-1),",","."))+1,9))*12,NA()))),0),24)*'Aturan &amp; Tarif'!$B$4,2)</f>
        <v>1362.72</v>
      </c>
      <c r="K882" s="42" t="n">
        <f aca="false">'Aturan &amp; Tarif'!$B$5</f>
        <v>2050</v>
      </c>
      <c r="L882" s="35" t="n">
        <f aca="false">I882+J882+K882</f>
        <v>5212.72</v>
      </c>
      <c r="M882" s="45" t="s">
        <v>134</v>
      </c>
    </row>
    <row r="883" customFormat="false" ht="25.5" hidden="false" customHeight="true" outlineLevel="0" collapsed="false">
      <c r="A883" s="39"/>
      <c r="B883" s="40" t="s">
        <v>2455</v>
      </c>
      <c r="C883" s="41" t="s">
        <v>136</v>
      </c>
      <c r="D883" s="41" t="s">
        <v>108</v>
      </c>
      <c r="E883" s="42" t="n">
        <v>1500</v>
      </c>
      <c r="F883" s="42" t="n">
        <v>50</v>
      </c>
      <c r="G883" s="42" t="n">
        <v>250</v>
      </c>
      <c r="H883" s="43" t="n">
        <v>1</v>
      </c>
      <c r="I883" s="34" t="n">
        <f aca="false">E883*H883+N(F883)+N(G883)</f>
        <v>1800</v>
      </c>
      <c r="J883" s="42" t="n">
        <f aca="false">ROUND(IFERROR(ROUND(IF(OR(ISNUMBER(SEARCH("week",C883)),ISNUMBER(SEARCH("minggu",C883))),IFERROR(_xlfn.NUMBERVALUE(SUBSTITUTE(LEFT(TRIM(C883),FIND(" ",TRIM(C883)&amp;" ")-1),",","."),"."),LEFT(SUBSTITUTE(LEFT(TRIM(C883),FIND(" ",TRIM(C883)&amp;" ")-1),",","."),FIND("/",SUBSTITUTE(LEFT(TRIM(C883),FIND(" ",TRIM(C883)&amp;" ")-1),",","."))-1)/MID(SUBSTITUTE(LEFT(TRIM(C883),FIND(" ",TRIM(C883)&amp;" ")-1),",","."),FIND("/",SUBSTITUTE(LEFT(TRIM(C883),FIND(" ",TRIM(C883)&amp;" ")-1),",","."))+1,9))*12/52,IF(ISNUMBER(SEARCH("month",C883)),IFERROR(_xlfn.NUMBERVALUE(SUBSTITUTE(LEFT(TRIM(C883),FIND(" ",TRIM(C883)&amp;" ")-1),",","."),"."),LEFT(SUBSTITUTE(LEFT(TRIM(C883),FIND(" ",TRIM(C883)&amp;" ")-1),",","."),FIND("/",SUBSTITUTE(LEFT(TRIM(C883),FIND(" ",TRIM(C883)&amp;" ")-1),",","."))-1)/MID(SUBSTITUTE(LEFT(TRIM(C883),FIND(" ",TRIM(C883)&amp;" ")-1),",","."),FIND("/",SUBSTITUTE(LEFT(TRIM(C883),FIND(" ",TRIM(C883)&amp;" ")-1),",","."))+1,9)),IF(ISNUMBER(SEARCH("yea",C883)),IFERROR(_xlfn.NUMBERVALUE(SUBSTITUTE(LEFT(TRIM(C883),FIND(" ",TRIM(C883)&amp;" ")-1),",","."),"."),LEFT(SUBSTITUTE(LEFT(TRIM(C883),FIND(" ",TRIM(C883)&amp;" ")-1),",","."),FIND("/",SUBSTITUTE(LEFT(TRIM(C883),FIND(" ",TRIM(C883)&amp;" ")-1),",","."))-1)/MID(SUBSTITUTE(LEFT(TRIM(C883),FIND(" ",TRIM(C883)&amp;" ")-1),",","."),FIND("/",SUBSTITUTE(LEFT(TRIM(C883),FIND(" ",TRIM(C883)&amp;" ")-1),",","."))+1,9))*12,NA()))),0),42)*'Aturan &amp; Tarif'!$B$4,2)</f>
        <v>2384.76</v>
      </c>
      <c r="K883" s="42" t="n">
        <f aca="false">'Aturan &amp; Tarif'!$B$5</f>
        <v>2050</v>
      </c>
      <c r="L883" s="35" t="n">
        <f aca="false">I883+J883+K883</f>
        <v>6234.76</v>
      </c>
      <c r="M883" s="45" t="s">
        <v>134</v>
      </c>
    </row>
    <row r="884" customFormat="false" ht="25.5" hidden="false" customHeight="true" outlineLevel="0" collapsed="false">
      <c r="A884" s="39"/>
      <c r="B884" s="40" t="s">
        <v>430</v>
      </c>
      <c r="C884" s="41" t="s">
        <v>127</v>
      </c>
      <c r="D884" s="41" t="s">
        <v>108</v>
      </c>
      <c r="E884" s="42" t="n">
        <v>1500</v>
      </c>
      <c r="F884" s="42" t="n">
        <v>50</v>
      </c>
      <c r="G884" s="42" t="n">
        <v>250</v>
      </c>
      <c r="H884" s="43" t="n">
        <v>1</v>
      </c>
      <c r="I884" s="34" t="n">
        <f aca="false">E884*H884+N(F884)+N(G884)</f>
        <v>1800</v>
      </c>
      <c r="J884" s="42" t="n">
        <f aca="false">ROUND(IFERROR(ROUND(IF(OR(ISNUMBER(SEARCH("week",C884)),ISNUMBER(SEARCH("minggu",C884))),IFERROR(_xlfn.NUMBERVALUE(SUBSTITUTE(LEFT(TRIM(C884),FIND(" ",TRIM(C884)&amp;" ")-1),",","."),"."),LEFT(SUBSTITUTE(LEFT(TRIM(C884),FIND(" ",TRIM(C884)&amp;" ")-1),",","."),FIND("/",SUBSTITUTE(LEFT(TRIM(C884),FIND(" ",TRIM(C884)&amp;" ")-1),",","."))-1)/MID(SUBSTITUTE(LEFT(TRIM(C884),FIND(" ",TRIM(C884)&amp;" ")-1),",","."),FIND("/",SUBSTITUTE(LEFT(TRIM(C884),FIND(" ",TRIM(C884)&amp;" ")-1),",","."))+1,9))*12/52,IF(ISNUMBER(SEARCH("month",C884)),IFERROR(_xlfn.NUMBERVALUE(SUBSTITUTE(LEFT(TRIM(C884),FIND(" ",TRIM(C884)&amp;" ")-1),",","."),"."),LEFT(SUBSTITUTE(LEFT(TRIM(C884),FIND(" ",TRIM(C884)&amp;" ")-1),",","."),FIND("/",SUBSTITUTE(LEFT(TRIM(C884),FIND(" ",TRIM(C884)&amp;" ")-1),",","."))-1)/MID(SUBSTITUTE(LEFT(TRIM(C884),FIND(" ",TRIM(C884)&amp;" ")-1),",","."),FIND("/",SUBSTITUTE(LEFT(TRIM(C884),FIND(" ",TRIM(C884)&amp;" ")-1),",","."))+1,9)),IF(ISNUMBER(SEARCH("yea",C884)),IFERROR(_xlfn.NUMBERVALUE(SUBSTITUTE(LEFT(TRIM(C884),FIND(" ",TRIM(C884)&amp;" ")-1),",","."),"."),LEFT(SUBSTITUTE(LEFT(TRIM(C884),FIND(" ",TRIM(C884)&amp;" ")-1),",","."),FIND("/",SUBSTITUTE(LEFT(TRIM(C884),FIND(" ",TRIM(C884)&amp;" ")-1),",","."))-1)/MID(SUBSTITUTE(LEFT(TRIM(C884),FIND(" ",TRIM(C884)&amp;" ")-1),",","."),FIND("/",SUBSTITUTE(LEFT(TRIM(C884),FIND(" ",TRIM(C884)&amp;" ")-1),",","."))+1,9))*12,NA()))),0),36)*'Aturan &amp; Tarif'!$B$4,2)</f>
        <v>2044.08</v>
      </c>
      <c r="K884" s="42" t="n">
        <f aca="false">'Aturan &amp; Tarif'!$B$5</f>
        <v>2050</v>
      </c>
      <c r="L884" s="35" t="n">
        <f aca="false">I884+J884+K884</f>
        <v>5894.08</v>
      </c>
      <c r="M884" s="45" t="s">
        <v>134</v>
      </c>
    </row>
    <row r="885" customFormat="false" ht="25.5" hidden="false" customHeight="true" outlineLevel="0" collapsed="false">
      <c r="A885" s="39"/>
      <c r="B885" s="40" t="s">
        <v>148</v>
      </c>
      <c r="C885" s="41" t="s">
        <v>127</v>
      </c>
      <c r="D885" s="41" t="s">
        <v>108</v>
      </c>
      <c r="E885" s="42" t="n">
        <v>2250</v>
      </c>
      <c r="F885" s="42" t="n">
        <v>1500</v>
      </c>
      <c r="G885" s="42" t="n">
        <v>250</v>
      </c>
      <c r="H885" s="43" t="n">
        <v>1</v>
      </c>
      <c r="I885" s="34" t="n">
        <f aca="false">E885*H885+N(F885)+N(G885)</f>
        <v>4000</v>
      </c>
      <c r="J885" s="42" t="n">
        <f aca="false">ROUND(IFERROR(ROUND(IF(OR(ISNUMBER(SEARCH("week",C885)),ISNUMBER(SEARCH("minggu",C885))),IFERROR(_xlfn.NUMBERVALUE(SUBSTITUTE(LEFT(TRIM(C885),FIND(" ",TRIM(C885)&amp;" ")-1),",","."),"."),LEFT(SUBSTITUTE(LEFT(TRIM(C885),FIND(" ",TRIM(C885)&amp;" ")-1),",","."),FIND("/",SUBSTITUTE(LEFT(TRIM(C885),FIND(" ",TRIM(C885)&amp;" ")-1),",","."))-1)/MID(SUBSTITUTE(LEFT(TRIM(C885),FIND(" ",TRIM(C885)&amp;" ")-1),",","."),FIND("/",SUBSTITUTE(LEFT(TRIM(C885),FIND(" ",TRIM(C885)&amp;" ")-1),",","."))+1,9))*12/52,IF(ISNUMBER(SEARCH("month",C885)),IFERROR(_xlfn.NUMBERVALUE(SUBSTITUTE(LEFT(TRIM(C885),FIND(" ",TRIM(C885)&amp;" ")-1),",","."),"."),LEFT(SUBSTITUTE(LEFT(TRIM(C885),FIND(" ",TRIM(C885)&amp;" ")-1),",","."),FIND("/",SUBSTITUTE(LEFT(TRIM(C885),FIND(" ",TRIM(C885)&amp;" ")-1),",","."))-1)/MID(SUBSTITUTE(LEFT(TRIM(C885),FIND(" ",TRIM(C885)&amp;" ")-1),",","."),FIND("/",SUBSTITUTE(LEFT(TRIM(C885),FIND(" ",TRIM(C885)&amp;" ")-1),",","."))+1,9)),IF(ISNUMBER(SEARCH("yea",C885)),IFERROR(_xlfn.NUMBERVALUE(SUBSTITUTE(LEFT(TRIM(C885),FIND(" ",TRIM(C885)&amp;" ")-1),",","."),"."),LEFT(SUBSTITUTE(LEFT(TRIM(C885),FIND(" ",TRIM(C885)&amp;" ")-1),",","."),FIND("/",SUBSTITUTE(LEFT(TRIM(C885),FIND(" ",TRIM(C885)&amp;" ")-1),",","."))-1)/MID(SUBSTITUTE(LEFT(TRIM(C885),FIND(" ",TRIM(C885)&amp;" ")-1),",","."),FIND("/",SUBSTITUTE(LEFT(TRIM(C885),FIND(" ",TRIM(C885)&amp;" ")-1),",","."))+1,9))*12,NA()))),0),36)*'Aturan &amp; Tarif'!$B$4,2)</f>
        <v>2044.08</v>
      </c>
      <c r="K885" s="42" t="n">
        <f aca="false">'Aturan &amp; Tarif'!$B$5</f>
        <v>2050</v>
      </c>
      <c r="L885" s="35" t="n">
        <f aca="false">I885+J885+K885</f>
        <v>8094.08</v>
      </c>
      <c r="M885" s="45" t="s">
        <v>134</v>
      </c>
    </row>
    <row r="886" customFormat="false" ht="25.5" hidden="false" customHeight="true" outlineLevel="0" collapsed="false">
      <c r="A886" s="39"/>
      <c r="B886" s="40" t="s">
        <v>806</v>
      </c>
      <c r="C886" s="41" t="s">
        <v>245</v>
      </c>
      <c r="D886" s="41" t="s">
        <v>108</v>
      </c>
      <c r="E886" s="42" t="n">
        <v>2250</v>
      </c>
      <c r="F886" s="42" t="n">
        <v>1500</v>
      </c>
      <c r="G886" s="42" t="n">
        <v>250</v>
      </c>
      <c r="H886" s="43" t="n">
        <v>1</v>
      </c>
      <c r="I886" s="34" t="n">
        <f aca="false">E886*H886+N(F886)+N(G886)</f>
        <v>4000</v>
      </c>
      <c r="J886" s="42" t="n">
        <f aca="false">ROUND(IFERROR(ROUND(IF(OR(ISNUMBER(SEARCH("week",C886)),ISNUMBER(SEARCH("minggu",C886))),IFERROR(_xlfn.NUMBERVALUE(SUBSTITUTE(LEFT(TRIM(C886),FIND(" ",TRIM(C886)&amp;" ")-1),",","."),"."),LEFT(SUBSTITUTE(LEFT(TRIM(C886),FIND(" ",TRIM(C886)&amp;" ")-1),",","."),FIND("/",SUBSTITUTE(LEFT(TRIM(C886),FIND(" ",TRIM(C886)&amp;" ")-1),",","."))-1)/MID(SUBSTITUTE(LEFT(TRIM(C886),FIND(" ",TRIM(C886)&amp;" ")-1),",","."),FIND("/",SUBSTITUTE(LEFT(TRIM(C886),FIND(" ",TRIM(C886)&amp;" ")-1),",","."))+1,9))*12/52,IF(ISNUMBER(SEARCH("month",C886)),IFERROR(_xlfn.NUMBERVALUE(SUBSTITUTE(LEFT(TRIM(C886),FIND(" ",TRIM(C886)&amp;" ")-1),",","."),"."),LEFT(SUBSTITUTE(LEFT(TRIM(C886),FIND(" ",TRIM(C886)&amp;" ")-1),",","."),FIND("/",SUBSTITUTE(LEFT(TRIM(C886),FIND(" ",TRIM(C886)&amp;" ")-1),",","."))-1)/MID(SUBSTITUTE(LEFT(TRIM(C886),FIND(" ",TRIM(C886)&amp;" ")-1),",","."),FIND("/",SUBSTITUTE(LEFT(TRIM(C886),FIND(" ",TRIM(C886)&amp;" ")-1),",","."))+1,9)),IF(ISNUMBER(SEARCH("yea",C886)),IFERROR(_xlfn.NUMBERVALUE(SUBSTITUTE(LEFT(TRIM(C886),FIND(" ",TRIM(C886)&amp;" ")-1),",","."),"."),LEFT(SUBSTITUTE(LEFT(TRIM(C886),FIND(" ",TRIM(C886)&amp;" ")-1),",","."),FIND("/",SUBSTITUTE(LEFT(TRIM(C886),FIND(" ",TRIM(C886)&amp;" ")-1),",","."))-1)/MID(SUBSTITUTE(LEFT(TRIM(C886),FIND(" ",TRIM(C886)&amp;" ")-1),",","."),FIND("/",SUBSTITUTE(LEFT(TRIM(C886),FIND(" ",TRIM(C886)&amp;" ")-1),",","."))+1,9))*12,NA()))),0),60)*'Aturan &amp; Tarif'!$B$4,2)</f>
        <v>3406.8</v>
      </c>
      <c r="K886" s="42" t="n">
        <f aca="false">'Aturan &amp; Tarif'!$B$5</f>
        <v>2050</v>
      </c>
      <c r="L886" s="35" t="n">
        <f aca="false">I886+J886+K886</f>
        <v>9456.8</v>
      </c>
      <c r="M886" s="45" t="s">
        <v>134</v>
      </c>
    </row>
    <row r="887" customFormat="false" ht="25.5" hidden="false" customHeight="true" outlineLevel="0" collapsed="false">
      <c r="A887" s="39"/>
      <c r="B887" s="40" t="s">
        <v>2456</v>
      </c>
      <c r="C887" s="41" t="s">
        <v>107</v>
      </c>
      <c r="D887" s="41" t="s">
        <v>108</v>
      </c>
      <c r="E887" s="42" t="n">
        <v>2200</v>
      </c>
      <c r="F887" s="42" t="n">
        <v>500</v>
      </c>
      <c r="G887" s="42" t="n">
        <v>250</v>
      </c>
      <c r="H887" s="43" t="n">
        <v>1</v>
      </c>
      <c r="I887" s="34" t="n">
        <f aca="false">E887*H887+N(F887)+N(G887)</f>
        <v>2950</v>
      </c>
      <c r="J887" s="42" t="n">
        <f aca="false">ROUND(IFERROR(ROUND(IF(OR(ISNUMBER(SEARCH("week",C887)),ISNUMBER(SEARCH("minggu",C887))),IFERROR(_xlfn.NUMBERVALUE(SUBSTITUTE(LEFT(TRIM(C887),FIND(" ",TRIM(C887)&amp;" ")-1),",","."),"."),LEFT(SUBSTITUTE(LEFT(TRIM(C887),FIND(" ",TRIM(C887)&amp;" ")-1),",","."),FIND("/",SUBSTITUTE(LEFT(TRIM(C887),FIND(" ",TRIM(C887)&amp;" ")-1),",","."))-1)/MID(SUBSTITUTE(LEFT(TRIM(C887),FIND(" ",TRIM(C887)&amp;" ")-1),",","."),FIND("/",SUBSTITUTE(LEFT(TRIM(C887),FIND(" ",TRIM(C887)&amp;" ")-1),",","."))+1,9))*12/52,IF(ISNUMBER(SEARCH("month",C887)),IFERROR(_xlfn.NUMBERVALUE(SUBSTITUTE(LEFT(TRIM(C887),FIND(" ",TRIM(C887)&amp;" ")-1),",","."),"."),LEFT(SUBSTITUTE(LEFT(TRIM(C887),FIND(" ",TRIM(C887)&amp;" ")-1),",","."),FIND("/",SUBSTITUTE(LEFT(TRIM(C887),FIND(" ",TRIM(C887)&amp;" ")-1),",","."))-1)/MID(SUBSTITUTE(LEFT(TRIM(C887),FIND(" ",TRIM(C887)&amp;" ")-1),",","."),FIND("/",SUBSTITUTE(LEFT(TRIM(C887),FIND(" ",TRIM(C887)&amp;" ")-1),",","."))+1,9)),IF(ISNUMBER(SEARCH("yea",C887)),IFERROR(_xlfn.NUMBERVALUE(SUBSTITUTE(LEFT(TRIM(C887),FIND(" ",TRIM(C887)&amp;" ")-1),",","."),"."),LEFT(SUBSTITUTE(LEFT(TRIM(C887),FIND(" ",TRIM(C887)&amp;" ")-1),",","."),FIND("/",SUBSTITUTE(LEFT(TRIM(C887),FIND(" ",TRIM(C887)&amp;" ")-1),",","."))-1)/MID(SUBSTITUTE(LEFT(TRIM(C887),FIND(" ",TRIM(C887)&amp;" ")-1),",","."),FIND("/",SUBSTITUTE(LEFT(TRIM(C887),FIND(" ",TRIM(C887)&amp;" ")-1),",","."))+1,9))*12,NA()))),0),24)*'Aturan &amp; Tarif'!$B$4,2)</f>
        <v>1362.72</v>
      </c>
      <c r="K887" s="42" t="n">
        <f aca="false">'Aturan &amp; Tarif'!$B$5</f>
        <v>2050</v>
      </c>
      <c r="L887" s="35" t="n">
        <f aca="false">I887+J887+K887</f>
        <v>6362.72</v>
      </c>
      <c r="M887" s="45" t="s">
        <v>134</v>
      </c>
    </row>
    <row r="888" customFormat="false" ht="60" hidden="false" customHeight="true" outlineLevel="0" collapsed="false">
      <c r="A888" s="39" t="s">
        <v>2457</v>
      </c>
      <c r="B888" s="40" t="s">
        <v>2458</v>
      </c>
      <c r="C888" s="41" t="s">
        <v>130</v>
      </c>
      <c r="D888" s="41" t="s">
        <v>108</v>
      </c>
      <c r="E888" s="42" t="n">
        <v>7900</v>
      </c>
      <c r="F888" s="42"/>
      <c r="G888" s="42"/>
      <c r="H888" s="43" t="n">
        <v>2</v>
      </c>
      <c r="I888" s="34" t="n">
        <f aca="false">E888*H888+N(F888)+N(G888)</f>
        <v>15800</v>
      </c>
      <c r="J888" s="42" t="n">
        <f aca="false">ROUND(IFERROR(ROUND(IF(OR(ISNUMBER(SEARCH("week",C888)),ISNUMBER(SEARCH("minggu",C888))),IFERROR(_xlfn.NUMBERVALUE(SUBSTITUTE(LEFT(TRIM(C888),FIND(" ",TRIM(C888)&amp;" ")-1),",","."),"."),LEFT(SUBSTITUTE(LEFT(TRIM(C888),FIND(" ",TRIM(C888)&amp;" ")-1),",","."),FIND("/",SUBSTITUTE(LEFT(TRIM(C888),FIND(" ",TRIM(C888)&amp;" ")-1),",","."))-1)/MID(SUBSTITUTE(LEFT(TRIM(C888),FIND(" ",TRIM(C888)&amp;" ")-1),",","."),FIND("/",SUBSTITUTE(LEFT(TRIM(C888),FIND(" ",TRIM(C888)&amp;" ")-1),",","."))+1,9))*12/52,IF(ISNUMBER(SEARCH("month",C888)),IFERROR(_xlfn.NUMBERVALUE(SUBSTITUTE(LEFT(TRIM(C888),FIND(" ",TRIM(C888)&amp;" ")-1),",","."),"."),LEFT(SUBSTITUTE(LEFT(TRIM(C888),FIND(" ",TRIM(C888)&amp;" ")-1),",","."),FIND("/",SUBSTITUTE(LEFT(TRIM(C888),FIND(" ",TRIM(C888)&amp;" ")-1),",","."))-1)/MID(SUBSTITUTE(LEFT(TRIM(C888),FIND(" ",TRIM(C888)&amp;" ")-1),",","."),FIND("/",SUBSTITUTE(LEFT(TRIM(C888),FIND(" ",TRIM(C888)&amp;" ")-1),",","."))+1,9)),IF(ISNUMBER(SEARCH("yea",C888)),IFERROR(_xlfn.NUMBERVALUE(SUBSTITUTE(LEFT(TRIM(C888),FIND(" ",TRIM(C888)&amp;" ")-1),",","."),"."),LEFT(SUBSTITUTE(LEFT(TRIM(C888),FIND(" ",TRIM(C888)&amp;" ")-1),",","."),FIND("/",SUBSTITUTE(LEFT(TRIM(C888),FIND(" ",TRIM(C888)&amp;" ")-1),",","."))-1)/MID(SUBSTITUTE(LEFT(TRIM(C888),FIND(" ",TRIM(C888)&amp;" ")-1),",","."),FIND("/",SUBSTITUTE(LEFT(TRIM(C888),FIND(" ",TRIM(C888)&amp;" ")-1),",","."))+1,9))*12,NA()))),0),12)*'Aturan &amp; Tarif'!$B$4,2)</f>
        <v>681.36</v>
      </c>
      <c r="K888" s="42" t="n">
        <f aca="false">'Aturan &amp; Tarif'!$B$5</f>
        <v>2050</v>
      </c>
      <c r="L888" s="35" t="n">
        <f aca="false">I888+J888+K888</f>
        <v>18531.36</v>
      </c>
      <c r="M888" s="45" t="s">
        <v>2459</v>
      </c>
    </row>
    <row r="889" customFormat="false" ht="60" hidden="false" customHeight="true" outlineLevel="0" collapsed="false">
      <c r="A889" s="39"/>
      <c r="B889" s="40" t="s">
        <v>2460</v>
      </c>
      <c r="C889" s="41" t="s">
        <v>127</v>
      </c>
      <c r="D889" s="41" t="s">
        <v>108</v>
      </c>
      <c r="E889" s="42" t="n">
        <v>7900</v>
      </c>
      <c r="F889" s="42"/>
      <c r="G889" s="42"/>
      <c r="H889" s="43" t="n">
        <v>2</v>
      </c>
      <c r="I889" s="34" t="n">
        <f aca="false">E889*H889+N(F889)+N(G889)</f>
        <v>15800</v>
      </c>
      <c r="J889" s="42" t="n">
        <f aca="false">ROUND(IFERROR(ROUND(IF(OR(ISNUMBER(SEARCH("week",C889)),ISNUMBER(SEARCH("minggu",C889))),IFERROR(_xlfn.NUMBERVALUE(SUBSTITUTE(LEFT(TRIM(C889),FIND(" ",TRIM(C889)&amp;" ")-1),",","."),"."),LEFT(SUBSTITUTE(LEFT(TRIM(C889),FIND(" ",TRIM(C889)&amp;" ")-1),",","."),FIND("/",SUBSTITUTE(LEFT(TRIM(C889),FIND(" ",TRIM(C889)&amp;" ")-1),",","."))-1)/MID(SUBSTITUTE(LEFT(TRIM(C889),FIND(" ",TRIM(C889)&amp;" ")-1),",","."),FIND("/",SUBSTITUTE(LEFT(TRIM(C889),FIND(" ",TRIM(C889)&amp;" ")-1),",","."))+1,9))*12/52,IF(ISNUMBER(SEARCH("month",C889)),IFERROR(_xlfn.NUMBERVALUE(SUBSTITUTE(LEFT(TRIM(C889),FIND(" ",TRIM(C889)&amp;" ")-1),",","."),"."),LEFT(SUBSTITUTE(LEFT(TRIM(C889),FIND(" ",TRIM(C889)&amp;" ")-1),",","."),FIND("/",SUBSTITUTE(LEFT(TRIM(C889),FIND(" ",TRIM(C889)&amp;" ")-1),",","."))-1)/MID(SUBSTITUTE(LEFT(TRIM(C889),FIND(" ",TRIM(C889)&amp;" ")-1),",","."),FIND("/",SUBSTITUTE(LEFT(TRIM(C889),FIND(" ",TRIM(C889)&amp;" ")-1),",","."))+1,9)),IF(ISNUMBER(SEARCH("yea",C889)),IFERROR(_xlfn.NUMBERVALUE(SUBSTITUTE(LEFT(TRIM(C889),FIND(" ",TRIM(C889)&amp;" ")-1),",","."),"."),LEFT(SUBSTITUTE(LEFT(TRIM(C889),FIND(" ",TRIM(C889)&amp;" ")-1),",","."),FIND("/",SUBSTITUTE(LEFT(TRIM(C889),FIND(" ",TRIM(C889)&amp;" ")-1),",","."))-1)/MID(SUBSTITUTE(LEFT(TRIM(C889),FIND(" ",TRIM(C889)&amp;" ")-1),",","."),FIND("/",SUBSTITUTE(LEFT(TRIM(C889),FIND(" ",TRIM(C889)&amp;" ")-1),",","."))+1,9))*12,NA()))),0),36)*'Aturan &amp; Tarif'!$B$4,2)</f>
        <v>2044.08</v>
      </c>
      <c r="K889" s="42" t="n">
        <f aca="false">'Aturan &amp; Tarif'!$B$5</f>
        <v>2050</v>
      </c>
      <c r="L889" s="35" t="n">
        <f aca="false">I889+J889+K889</f>
        <v>19894.08</v>
      </c>
      <c r="M889" s="45" t="s">
        <v>2461</v>
      </c>
    </row>
    <row r="890" customFormat="false" ht="60" hidden="false" customHeight="true" outlineLevel="0" collapsed="false">
      <c r="A890" s="39"/>
      <c r="B890" s="40" t="s">
        <v>1032</v>
      </c>
      <c r="C890" s="41" t="s">
        <v>130</v>
      </c>
      <c r="D890" s="41" t="s">
        <v>108</v>
      </c>
      <c r="E890" s="42" t="n">
        <v>7900</v>
      </c>
      <c r="F890" s="42"/>
      <c r="G890" s="42"/>
      <c r="H890" s="43" t="n">
        <v>2</v>
      </c>
      <c r="I890" s="34" t="n">
        <f aca="false">E890*H890+N(F890)+N(G890)</f>
        <v>15800</v>
      </c>
      <c r="J890" s="42" t="n">
        <f aca="false">ROUND(IFERROR(ROUND(IF(OR(ISNUMBER(SEARCH("week",C890)),ISNUMBER(SEARCH("minggu",C890))),IFERROR(_xlfn.NUMBERVALUE(SUBSTITUTE(LEFT(TRIM(C890),FIND(" ",TRIM(C890)&amp;" ")-1),",","."),"."),LEFT(SUBSTITUTE(LEFT(TRIM(C890),FIND(" ",TRIM(C890)&amp;" ")-1),",","."),FIND("/",SUBSTITUTE(LEFT(TRIM(C890),FIND(" ",TRIM(C890)&amp;" ")-1),",","."))-1)/MID(SUBSTITUTE(LEFT(TRIM(C890),FIND(" ",TRIM(C890)&amp;" ")-1),",","."),FIND("/",SUBSTITUTE(LEFT(TRIM(C890),FIND(" ",TRIM(C890)&amp;" ")-1),",","."))+1,9))*12/52,IF(ISNUMBER(SEARCH("month",C890)),IFERROR(_xlfn.NUMBERVALUE(SUBSTITUTE(LEFT(TRIM(C890),FIND(" ",TRIM(C890)&amp;" ")-1),",","."),"."),LEFT(SUBSTITUTE(LEFT(TRIM(C890),FIND(" ",TRIM(C890)&amp;" ")-1),",","."),FIND("/",SUBSTITUTE(LEFT(TRIM(C890),FIND(" ",TRIM(C890)&amp;" ")-1),",","."))-1)/MID(SUBSTITUTE(LEFT(TRIM(C890),FIND(" ",TRIM(C890)&amp;" ")-1),",","."),FIND("/",SUBSTITUTE(LEFT(TRIM(C890),FIND(" ",TRIM(C890)&amp;" ")-1),",","."))+1,9)),IF(ISNUMBER(SEARCH("yea",C890)),IFERROR(_xlfn.NUMBERVALUE(SUBSTITUTE(LEFT(TRIM(C890),FIND(" ",TRIM(C890)&amp;" ")-1),",","."),"."),LEFT(SUBSTITUTE(LEFT(TRIM(C890),FIND(" ",TRIM(C890)&amp;" ")-1),",","."),FIND("/",SUBSTITUTE(LEFT(TRIM(C890),FIND(" ",TRIM(C890)&amp;" ")-1),",","."))-1)/MID(SUBSTITUTE(LEFT(TRIM(C890),FIND(" ",TRIM(C890)&amp;" ")-1),",","."),FIND("/",SUBSTITUTE(LEFT(TRIM(C890),FIND(" ",TRIM(C890)&amp;" ")-1),",","."))+1,9))*12,NA()))),0),12)*'Aturan &amp; Tarif'!$B$4,2)</f>
        <v>681.36</v>
      </c>
      <c r="K890" s="42" t="n">
        <f aca="false">'Aturan &amp; Tarif'!$B$5</f>
        <v>2050</v>
      </c>
      <c r="L890" s="35" t="n">
        <f aca="false">I890+J890+K890</f>
        <v>18531.36</v>
      </c>
      <c r="M890" s="44" t="s">
        <v>1033</v>
      </c>
    </row>
    <row r="891" customFormat="false" ht="60" hidden="false" customHeight="true" outlineLevel="0" collapsed="false">
      <c r="A891" s="39"/>
      <c r="B891" s="40" t="s">
        <v>321</v>
      </c>
      <c r="C891" s="41" t="s">
        <v>127</v>
      </c>
      <c r="D891" s="41" t="s">
        <v>108</v>
      </c>
      <c r="E891" s="42" t="n">
        <v>7900</v>
      </c>
      <c r="F891" s="42"/>
      <c r="G891" s="42"/>
      <c r="H891" s="43" t="n">
        <v>2</v>
      </c>
      <c r="I891" s="34" t="n">
        <f aca="false">E891*H891+N(F891)+N(G891)</f>
        <v>15800</v>
      </c>
      <c r="J891" s="42" t="n">
        <f aca="false">ROUND(IFERROR(ROUND(IF(OR(ISNUMBER(SEARCH("week",C891)),ISNUMBER(SEARCH("minggu",C891))),IFERROR(_xlfn.NUMBERVALUE(SUBSTITUTE(LEFT(TRIM(C891),FIND(" ",TRIM(C891)&amp;" ")-1),",","."),"."),LEFT(SUBSTITUTE(LEFT(TRIM(C891),FIND(" ",TRIM(C891)&amp;" ")-1),",","."),FIND("/",SUBSTITUTE(LEFT(TRIM(C891),FIND(" ",TRIM(C891)&amp;" ")-1),",","."))-1)/MID(SUBSTITUTE(LEFT(TRIM(C891),FIND(" ",TRIM(C891)&amp;" ")-1),",","."),FIND("/",SUBSTITUTE(LEFT(TRIM(C891),FIND(" ",TRIM(C891)&amp;" ")-1),",","."))+1,9))*12/52,IF(ISNUMBER(SEARCH("month",C891)),IFERROR(_xlfn.NUMBERVALUE(SUBSTITUTE(LEFT(TRIM(C891),FIND(" ",TRIM(C891)&amp;" ")-1),",","."),"."),LEFT(SUBSTITUTE(LEFT(TRIM(C891),FIND(" ",TRIM(C891)&amp;" ")-1),",","."),FIND("/",SUBSTITUTE(LEFT(TRIM(C891),FIND(" ",TRIM(C891)&amp;" ")-1),",","."))-1)/MID(SUBSTITUTE(LEFT(TRIM(C891),FIND(" ",TRIM(C891)&amp;" ")-1),",","."),FIND("/",SUBSTITUTE(LEFT(TRIM(C891),FIND(" ",TRIM(C891)&amp;" ")-1),",","."))+1,9)),IF(ISNUMBER(SEARCH("yea",C891)),IFERROR(_xlfn.NUMBERVALUE(SUBSTITUTE(LEFT(TRIM(C891),FIND(" ",TRIM(C891)&amp;" ")-1),",","."),"."),LEFT(SUBSTITUTE(LEFT(TRIM(C891),FIND(" ",TRIM(C891)&amp;" ")-1),",","."),FIND("/",SUBSTITUTE(LEFT(TRIM(C891),FIND(" ",TRIM(C891)&amp;" ")-1),",","."))-1)/MID(SUBSTITUTE(LEFT(TRIM(C891),FIND(" ",TRIM(C891)&amp;" ")-1),",","."),FIND("/",SUBSTITUTE(LEFT(TRIM(C891),FIND(" ",TRIM(C891)&amp;" ")-1),",","."))+1,9))*12,NA()))),0),36)*'Aturan &amp; Tarif'!$B$4,2)</f>
        <v>2044.08</v>
      </c>
      <c r="K891" s="42" t="n">
        <f aca="false">'Aturan &amp; Tarif'!$B$5</f>
        <v>2050</v>
      </c>
      <c r="L891" s="35" t="n">
        <f aca="false">I891+J891+K891</f>
        <v>19894.08</v>
      </c>
      <c r="M891" s="44" t="s">
        <v>1034</v>
      </c>
    </row>
    <row r="892" customFormat="false" ht="60" hidden="false" customHeight="true" outlineLevel="0" collapsed="false">
      <c r="A892" s="39"/>
      <c r="B892" s="40" t="s">
        <v>1035</v>
      </c>
      <c r="C892" s="41" t="s">
        <v>130</v>
      </c>
      <c r="D892" s="41" t="s">
        <v>108</v>
      </c>
      <c r="E892" s="42" t="n">
        <v>7900</v>
      </c>
      <c r="F892" s="42"/>
      <c r="G892" s="42"/>
      <c r="H892" s="43" t="n">
        <v>2</v>
      </c>
      <c r="I892" s="34" t="n">
        <f aca="false">E892*H892+N(F892)+N(G892)</f>
        <v>15800</v>
      </c>
      <c r="J892" s="42" t="n">
        <f aca="false">ROUND(IFERROR(ROUND(IF(OR(ISNUMBER(SEARCH("week",C892)),ISNUMBER(SEARCH("minggu",C892))),IFERROR(_xlfn.NUMBERVALUE(SUBSTITUTE(LEFT(TRIM(C892),FIND(" ",TRIM(C892)&amp;" ")-1),",","."),"."),LEFT(SUBSTITUTE(LEFT(TRIM(C892),FIND(" ",TRIM(C892)&amp;" ")-1),",","."),FIND("/",SUBSTITUTE(LEFT(TRIM(C892),FIND(" ",TRIM(C892)&amp;" ")-1),",","."))-1)/MID(SUBSTITUTE(LEFT(TRIM(C892),FIND(" ",TRIM(C892)&amp;" ")-1),",","."),FIND("/",SUBSTITUTE(LEFT(TRIM(C892),FIND(" ",TRIM(C892)&amp;" ")-1),",","."))+1,9))*12/52,IF(ISNUMBER(SEARCH("month",C892)),IFERROR(_xlfn.NUMBERVALUE(SUBSTITUTE(LEFT(TRIM(C892),FIND(" ",TRIM(C892)&amp;" ")-1),",","."),"."),LEFT(SUBSTITUTE(LEFT(TRIM(C892),FIND(" ",TRIM(C892)&amp;" ")-1),",","."),FIND("/",SUBSTITUTE(LEFT(TRIM(C892),FIND(" ",TRIM(C892)&amp;" ")-1),",","."))-1)/MID(SUBSTITUTE(LEFT(TRIM(C892),FIND(" ",TRIM(C892)&amp;" ")-1),",","."),FIND("/",SUBSTITUTE(LEFT(TRIM(C892),FIND(" ",TRIM(C892)&amp;" ")-1),",","."))+1,9)),IF(ISNUMBER(SEARCH("yea",C892)),IFERROR(_xlfn.NUMBERVALUE(SUBSTITUTE(LEFT(TRIM(C892),FIND(" ",TRIM(C892)&amp;" ")-1),",","."),"."),LEFT(SUBSTITUTE(LEFT(TRIM(C892),FIND(" ",TRIM(C892)&amp;" ")-1),",","."),FIND("/",SUBSTITUTE(LEFT(TRIM(C892),FIND(" ",TRIM(C892)&amp;" ")-1),",","."))-1)/MID(SUBSTITUTE(LEFT(TRIM(C892),FIND(" ",TRIM(C892)&amp;" ")-1),",","."),FIND("/",SUBSTITUTE(LEFT(TRIM(C892),FIND(" ",TRIM(C892)&amp;" ")-1),",","."))+1,9))*12,NA()))),0),12)*'Aturan &amp; Tarif'!$B$4,2)</f>
        <v>681.36</v>
      </c>
      <c r="K892" s="42" t="n">
        <f aca="false">'Aturan &amp; Tarif'!$B$5</f>
        <v>2050</v>
      </c>
      <c r="L892" s="35" t="n">
        <f aca="false">I892+J892+K892</f>
        <v>18531.36</v>
      </c>
      <c r="M892" s="44" t="s">
        <v>1036</v>
      </c>
    </row>
    <row r="893" customFormat="false" ht="60" hidden="false" customHeight="true" outlineLevel="0" collapsed="false">
      <c r="A893" s="39"/>
      <c r="B893" s="40" t="s">
        <v>1037</v>
      </c>
      <c r="C893" s="41" t="s">
        <v>127</v>
      </c>
      <c r="D893" s="41" t="s">
        <v>108</v>
      </c>
      <c r="E893" s="42" t="n">
        <v>7900</v>
      </c>
      <c r="F893" s="42"/>
      <c r="G893" s="42"/>
      <c r="H893" s="43" t="n">
        <v>2</v>
      </c>
      <c r="I893" s="34" t="n">
        <f aca="false">E893*H893+N(F893)+N(G893)</f>
        <v>15800</v>
      </c>
      <c r="J893" s="42" t="n">
        <f aca="false">ROUND(IFERROR(ROUND(IF(OR(ISNUMBER(SEARCH("week",C893)),ISNUMBER(SEARCH("minggu",C893))),IFERROR(_xlfn.NUMBERVALUE(SUBSTITUTE(LEFT(TRIM(C893),FIND(" ",TRIM(C893)&amp;" ")-1),",","."),"."),LEFT(SUBSTITUTE(LEFT(TRIM(C893),FIND(" ",TRIM(C893)&amp;" ")-1),",","."),FIND("/",SUBSTITUTE(LEFT(TRIM(C893),FIND(" ",TRIM(C893)&amp;" ")-1),",","."))-1)/MID(SUBSTITUTE(LEFT(TRIM(C893),FIND(" ",TRIM(C893)&amp;" ")-1),",","."),FIND("/",SUBSTITUTE(LEFT(TRIM(C893),FIND(" ",TRIM(C893)&amp;" ")-1),",","."))+1,9))*12/52,IF(ISNUMBER(SEARCH("month",C893)),IFERROR(_xlfn.NUMBERVALUE(SUBSTITUTE(LEFT(TRIM(C893),FIND(" ",TRIM(C893)&amp;" ")-1),",","."),"."),LEFT(SUBSTITUTE(LEFT(TRIM(C893),FIND(" ",TRIM(C893)&amp;" ")-1),",","."),FIND("/",SUBSTITUTE(LEFT(TRIM(C893),FIND(" ",TRIM(C893)&amp;" ")-1),",","."))-1)/MID(SUBSTITUTE(LEFT(TRIM(C893),FIND(" ",TRIM(C893)&amp;" ")-1),",","."),FIND("/",SUBSTITUTE(LEFT(TRIM(C893),FIND(" ",TRIM(C893)&amp;" ")-1),",","."))+1,9)),IF(ISNUMBER(SEARCH("yea",C893)),IFERROR(_xlfn.NUMBERVALUE(SUBSTITUTE(LEFT(TRIM(C893),FIND(" ",TRIM(C893)&amp;" ")-1),",","."),"."),LEFT(SUBSTITUTE(LEFT(TRIM(C893),FIND(" ",TRIM(C893)&amp;" ")-1),",","."),FIND("/",SUBSTITUTE(LEFT(TRIM(C893),FIND(" ",TRIM(C893)&amp;" ")-1),",","."))-1)/MID(SUBSTITUTE(LEFT(TRIM(C893),FIND(" ",TRIM(C893)&amp;" ")-1),",","."),FIND("/",SUBSTITUTE(LEFT(TRIM(C893),FIND(" ",TRIM(C893)&amp;" ")-1),",","."))+1,9))*12,NA()))),0),36)*'Aturan &amp; Tarif'!$B$4,2)</f>
        <v>2044.08</v>
      </c>
      <c r="K893" s="42" t="n">
        <f aca="false">'Aturan &amp; Tarif'!$B$5</f>
        <v>2050</v>
      </c>
      <c r="L893" s="35" t="n">
        <f aca="false">I893+J893+K893</f>
        <v>19894.08</v>
      </c>
      <c r="M893" s="44" t="s">
        <v>1036</v>
      </c>
    </row>
    <row r="894" customFormat="false" ht="60" hidden="false" customHeight="true" outlineLevel="0" collapsed="false">
      <c r="A894" s="39"/>
      <c r="B894" s="40" t="s">
        <v>1038</v>
      </c>
      <c r="C894" s="41" t="s">
        <v>127</v>
      </c>
      <c r="D894" s="41" t="s">
        <v>108</v>
      </c>
      <c r="E894" s="42" t="n">
        <v>7900</v>
      </c>
      <c r="F894" s="42"/>
      <c r="G894" s="42"/>
      <c r="H894" s="43" t="n">
        <v>2</v>
      </c>
      <c r="I894" s="34" t="n">
        <f aca="false">E894*H894+N(F894)+N(G894)</f>
        <v>15800</v>
      </c>
      <c r="J894" s="42" t="n">
        <f aca="false">ROUND(IFERROR(ROUND(IF(OR(ISNUMBER(SEARCH("week",C894)),ISNUMBER(SEARCH("minggu",C894))),IFERROR(_xlfn.NUMBERVALUE(SUBSTITUTE(LEFT(TRIM(C894),FIND(" ",TRIM(C894)&amp;" ")-1),",","."),"."),LEFT(SUBSTITUTE(LEFT(TRIM(C894),FIND(" ",TRIM(C894)&amp;" ")-1),",","."),FIND("/",SUBSTITUTE(LEFT(TRIM(C894),FIND(" ",TRIM(C894)&amp;" ")-1),",","."))-1)/MID(SUBSTITUTE(LEFT(TRIM(C894),FIND(" ",TRIM(C894)&amp;" ")-1),",","."),FIND("/",SUBSTITUTE(LEFT(TRIM(C894),FIND(" ",TRIM(C894)&amp;" ")-1),",","."))+1,9))*12/52,IF(ISNUMBER(SEARCH("month",C894)),IFERROR(_xlfn.NUMBERVALUE(SUBSTITUTE(LEFT(TRIM(C894),FIND(" ",TRIM(C894)&amp;" ")-1),",","."),"."),LEFT(SUBSTITUTE(LEFT(TRIM(C894),FIND(" ",TRIM(C894)&amp;" ")-1),",","."),FIND("/",SUBSTITUTE(LEFT(TRIM(C894),FIND(" ",TRIM(C894)&amp;" ")-1),",","."))-1)/MID(SUBSTITUTE(LEFT(TRIM(C894),FIND(" ",TRIM(C894)&amp;" ")-1),",","."),FIND("/",SUBSTITUTE(LEFT(TRIM(C894),FIND(" ",TRIM(C894)&amp;" ")-1),",","."))+1,9)),IF(ISNUMBER(SEARCH("yea",C894)),IFERROR(_xlfn.NUMBERVALUE(SUBSTITUTE(LEFT(TRIM(C894),FIND(" ",TRIM(C894)&amp;" ")-1),",","."),"."),LEFT(SUBSTITUTE(LEFT(TRIM(C894),FIND(" ",TRIM(C894)&amp;" ")-1),",","."),FIND("/",SUBSTITUTE(LEFT(TRIM(C894),FIND(" ",TRIM(C894)&amp;" ")-1),",","."))-1)/MID(SUBSTITUTE(LEFT(TRIM(C894),FIND(" ",TRIM(C894)&amp;" ")-1),",","."),FIND("/",SUBSTITUTE(LEFT(TRIM(C894),FIND(" ",TRIM(C894)&amp;" ")-1),",","."))+1,9))*12,NA()))),0),36)*'Aturan &amp; Tarif'!$B$4,2)</f>
        <v>2044.08</v>
      </c>
      <c r="K894" s="42" t="n">
        <f aca="false">'Aturan &amp; Tarif'!$B$5</f>
        <v>2050</v>
      </c>
      <c r="L894" s="35" t="n">
        <f aca="false">I894+J894+K894</f>
        <v>19894.08</v>
      </c>
      <c r="M894" s="44" t="s">
        <v>1039</v>
      </c>
    </row>
    <row r="895" customFormat="false" ht="60" hidden="false" customHeight="true" outlineLevel="0" collapsed="false">
      <c r="A895" s="39"/>
      <c r="B895" s="40" t="s">
        <v>1040</v>
      </c>
      <c r="C895" s="41" t="s">
        <v>127</v>
      </c>
      <c r="D895" s="41" t="s">
        <v>108</v>
      </c>
      <c r="E895" s="42" t="n">
        <v>7900</v>
      </c>
      <c r="F895" s="42"/>
      <c r="G895" s="42"/>
      <c r="H895" s="43" t="n">
        <v>2</v>
      </c>
      <c r="I895" s="34" t="n">
        <f aca="false">E895*H895+N(F895)+N(G895)</f>
        <v>15800</v>
      </c>
      <c r="J895" s="42" t="n">
        <f aca="false">ROUND(IFERROR(ROUND(IF(OR(ISNUMBER(SEARCH("week",C895)),ISNUMBER(SEARCH("minggu",C895))),IFERROR(_xlfn.NUMBERVALUE(SUBSTITUTE(LEFT(TRIM(C895),FIND(" ",TRIM(C895)&amp;" ")-1),",","."),"."),LEFT(SUBSTITUTE(LEFT(TRIM(C895),FIND(" ",TRIM(C895)&amp;" ")-1),",","."),FIND("/",SUBSTITUTE(LEFT(TRIM(C895),FIND(" ",TRIM(C895)&amp;" ")-1),",","."))-1)/MID(SUBSTITUTE(LEFT(TRIM(C895),FIND(" ",TRIM(C895)&amp;" ")-1),",","."),FIND("/",SUBSTITUTE(LEFT(TRIM(C895),FIND(" ",TRIM(C895)&amp;" ")-1),",","."))+1,9))*12/52,IF(ISNUMBER(SEARCH("month",C895)),IFERROR(_xlfn.NUMBERVALUE(SUBSTITUTE(LEFT(TRIM(C895),FIND(" ",TRIM(C895)&amp;" ")-1),",","."),"."),LEFT(SUBSTITUTE(LEFT(TRIM(C895),FIND(" ",TRIM(C895)&amp;" ")-1),",","."),FIND("/",SUBSTITUTE(LEFT(TRIM(C895),FIND(" ",TRIM(C895)&amp;" ")-1),",","."))-1)/MID(SUBSTITUTE(LEFT(TRIM(C895),FIND(" ",TRIM(C895)&amp;" ")-1),",","."),FIND("/",SUBSTITUTE(LEFT(TRIM(C895),FIND(" ",TRIM(C895)&amp;" ")-1),",","."))+1,9)),IF(ISNUMBER(SEARCH("yea",C895)),IFERROR(_xlfn.NUMBERVALUE(SUBSTITUTE(LEFT(TRIM(C895),FIND(" ",TRIM(C895)&amp;" ")-1),",","."),"."),LEFT(SUBSTITUTE(LEFT(TRIM(C895),FIND(" ",TRIM(C895)&amp;" ")-1),",","."),FIND("/",SUBSTITUTE(LEFT(TRIM(C895),FIND(" ",TRIM(C895)&amp;" ")-1),",","."))-1)/MID(SUBSTITUTE(LEFT(TRIM(C895),FIND(" ",TRIM(C895)&amp;" ")-1),",","."),FIND("/",SUBSTITUTE(LEFT(TRIM(C895),FIND(" ",TRIM(C895)&amp;" ")-1),",","."))+1,9))*12,NA()))),0),36)*'Aturan &amp; Tarif'!$B$4,2)</f>
        <v>2044.08</v>
      </c>
      <c r="K895" s="42" t="n">
        <f aca="false">'Aturan &amp; Tarif'!$B$5</f>
        <v>2050</v>
      </c>
      <c r="L895" s="35" t="n">
        <f aca="false">I895+J895+K895</f>
        <v>19894.08</v>
      </c>
      <c r="M895" s="44" t="s">
        <v>1041</v>
      </c>
    </row>
    <row r="896" customFormat="false" ht="60" hidden="false" customHeight="true" outlineLevel="0" collapsed="false">
      <c r="A896" s="39"/>
      <c r="B896" s="40" t="s">
        <v>1042</v>
      </c>
      <c r="C896" s="41" t="s">
        <v>130</v>
      </c>
      <c r="D896" s="41" t="s">
        <v>108</v>
      </c>
      <c r="E896" s="42" t="n">
        <v>7900</v>
      </c>
      <c r="F896" s="42"/>
      <c r="G896" s="42"/>
      <c r="H896" s="43" t="n">
        <v>2</v>
      </c>
      <c r="I896" s="34" t="n">
        <f aca="false">E896*H896+N(F896)+N(G896)</f>
        <v>15800</v>
      </c>
      <c r="J896" s="42" t="n">
        <f aca="false">ROUND(IFERROR(ROUND(IF(OR(ISNUMBER(SEARCH("week",C896)),ISNUMBER(SEARCH("minggu",C896))),IFERROR(_xlfn.NUMBERVALUE(SUBSTITUTE(LEFT(TRIM(C896),FIND(" ",TRIM(C896)&amp;" ")-1),",","."),"."),LEFT(SUBSTITUTE(LEFT(TRIM(C896),FIND(" ",TRIM(C896)&amp;" ")-1),",","."),FIND("/",SUBSTITUTE(LEFT(TRIM(C896),FIND(" ",TRIM(C896)&amp;" ")-1),",","."))-1)/MID(SUBSTITUTE(LEFT(TRIM(C896),FIND(" ",TRIM(C896)&amp;" ")-1),",","."),FIND("/",SUBSTITUTE(LEFT(TRIM(C896),FIND(" ",TRIM(C896)&amp;" ")-1),",","."))+1,9))*12/52,IF(ISNUMBER(SEARCH("month",C896)),IFERROR(_xlfn.NUMBERVALUE(SUBSTITUTE(LEFT(TRIM(C896),FIND(" ",TRIM(C896)&amp;" ")-1),",","."),"."),LEFT(SUBSTITUTE(LEFT(TRIM(C896),FIND(" ",TRIM(C896)&amp;" ")-1),",","."),FIND("/",SUBSTITUTE(LEFT(TRIM(C896),FIND(" ",TRIM(C896)&amp;" ")-1),",","."))-1)/MID(SUBSTITUTE(LEFT(TRIM(C896),FIND(" ",TRIM(C896)&amp;" ")-1),",","."),FIND("/",SUBSTITUTE(LEFT(TRIM(C896),FIND(" ",TRIM(C896)&amp;" ")-1),",","."))+1,9)),IF(ISNUMBER(SEARCH("yea",C896)),IFERROR(_xlfn.NUMBERVALUE(SUBSTITUTE(LEFT(TRIM(C896),FIND(" ",TRIM(C896)&amp;" ")-1),",","."),"."),LEFT(SUBSTITUTE(LEFT(TRIM(C896),FIND(" ",TRIM(C896)&amp;" ")-1),",","."),FIND("/",SUBSTITUTE(LEFT(TRIM(C896),FIND(" ",TRIM(C896)&amp;" ")-1),",","."))-1)/MID(SUBSTITUTE(LEFT(TRIM(C896),FIND(" ",TRIM(C896)&amp;" ")-1),",","."),FIND("/",SUBSTITUTE(LEFT(TRIM(C896),FIND(" ",TRIM(C896)&amp;" ")-1),",","."))+1,9))*12,NA()))),0),12)*'Aturan &amp; Tarif'!$B$4,2)</f>
        <v>681.36</v>
      </c>
      <c r="K896" s="42" t="n">
        <f aca="false">'Aturan &amp; Tarif'!$B$5</f>
        <v>2050</v>
      </c>
      <c r="L896" s="35" t="n">
        <f aca="false">I896+J896+K896</f>
        <v>18531.36</v>
      </c>
      <c r="M896" s="44" t="s">
        <v>1043</v>
      </c>
    </row>
    <row r="897" customFormat="false" ht="14.25" hidden="false" customHeight="true" outlineLevel="0" collapsed="false">
      <c r="A897" s="39"/>
      <c r="B897" s="40" t="s">
        <v>1044</v>
      </c>
      <c r="C897" s="41" t="s">
        <v>127</v>
      </c>
      <c r="D897" s="41" t="s">
        <v>108</v>
      </c>
      <c r="E897" s="42" t="n">
        <v>7900</v>
      </c>
      <c r="F897" s="42"/>
      <c r="G897" s="42"/>
      <c r="H897" s="43" t="n">
        <v>2</v>
      </c>
      <c r="I897" s="34" t="n">
        <f aca="false">E897*H897+N(F897)+N(G897)</f>
        <v>15800</v>
      </c>
      <c r="J897" s="42" t="n">
        <f aca="false">ROUND(IFERROR(ROUND(IF(OR(ISNUMBER(SEARCH("week",C897)),ISNUMBER(SEARCH("minggu",C897))),IFERROR(_xlfn.NUMBERVALUE(SUBSTITUTE(LEFT(TRIM(C897),FIND(" ",TRIM(C897)&amp;" ")-1),",","."),"."),LEFT(SUBSTITUTE(LEFT(TRIM(C897),FIND(" ",TRIM(C897)&amp;" ")-1),",","."),FIND("/",SUBSTITUTE(LEFT(TRIM(C897),FIND(" ",TRIM(C897)&amp;" ")-1),",","."))-1)/MID(SUBSTITUTE(LEFT(TRIM(C897),FIND(" ",TRIM(C897)&amp;" ")-1),",","."),FIND("/",SUBSTITUTE(LEFT(TRIM(C897),FIND(" ",TRIM(C897)&amp;" ")-1),",","."))+1,9))*12/52,IF(ISNUMBER(SEARCH("month",C897)),IFERROR(_xlfn.NUMBERVALUE(SUBSTITUTE(LEFT(TRIM(C897),FIND(" ",TRIM(C897)&amp;" ")-1),",","."),"."),LEFT(SUBSTITUTE(LEFT(TRIM(C897),FIND(" ",TRIM(C897)&amp;" ")-1),",","."),FIND("/",SUBSTITUTE(LEFT(TRIM(C897),FIND(" ",TRIM(C897)&amp;" ")-1),",","."))-1)/MID(SUBSTITUTE(LEFT(TRIM(C897),FIND(" ",TRIM(C897)&amp;" ")-1),",","."),FIND("/",SUBSTITUTE(LEFT(TRIM(C897),FIND(" ",TRIM(C897)&amp;" ")-1),",","."))+1,9)),IF(ISNUMBER(SEARCH("yea",C897)),IFERROR(_xlfn.NUMBERVALUE(SUBSTITUTE(LEFT(TRIM(C897),FIND(" ",TRIM(C897)&amp;" ")-1),",","."),"."),LEFT(SUBSTITUTE(LEFT(TRIM(C897),FIND(" ",TRIM(C897)&amp;" ")-1),",","."),FIND("/",SUBSTITUTE(LEFT(TRIM(C897),FIND(" ",TRIM(C897)&amp;" ")-1),",","."))-1)/MID(SUBSTITUTE(LEFT(TRIM(C897),FIND(" ",TRIM(C897)&amp;" ")-1),",","."),FIND("/",SUBSTITUTE(LEFT(TRIM(C897),FIND(" ",TRIM(C897)&amp;" ")-1),",","."))+1,9))*12,NA()))),0),36)*'Aturan &amp; Tarif'!$B$4,2)</f>
        <v>2044.08</v>
      </c>
      <c r="K897" s="42" t="n">
        <f aca="false">'Aturan &amp; Tarif'!$B$5</f>
        <v>2050</v>
      </c>
      <c r="L897" s="35" t="n">
        <f aca="false">I897+J897+K897</f>
        <v>19894.08</v>
      </c>
      <c r="M897" s="44" t="s">
        <v>1045</v>
      </c>
    </row>
    <row r="898" customFormat="false" ht="25.5" hidden="false" customHeight="true" outlineLevel="0" collapsed="false">
      <c r="A898" s="39"/>
      <c r="B898" s="40" t="s">
        <v>1046</v>
      </c>
      <c r="C898" s="41" t="s">
        <v>127</v>
      </c>
      <c r="D898" s="41" t="s">
        <v>108</v>
      </c>
      <c r="E898" s="42" t="n">
        <v>7900</v>
      </c>
      <c r="F898" s="42"/>
      <c r="G898" s="42"/>
      <c r="H898" s="43" t="n">
        <v>2</v>
      </c>
      <c r="I898" s="34" t="n">
        <f aca="false">E898*H898+N(F898)+N(G898)</f>
        <v>15800</v>
      </c>
      <c r="J898" s="42" t="n">
        <f aca="false">ROUND(IFERROR(ROUND(IF(OR(ISNUMBER(SEARCH("week",C898)),ISNUMBER(SEARCH("minggu",C898))),IFERROR(_xlfn.NUMBERVALUE(SUBSTITUTE(LEFT(TRIM(C898),FIND(" ",TRIM(C898)&amp;" ")-1),",","."),"."),LEFT(SUBSTITUTE(LEFT(TRIM(C898),FIND(" ",TRIM(C898)&amp;" ")-1),",","."),FIND("/",SUBSTITUTE(LEFT(TRIM(C898),FIND(" ",TRIM(C898)&amp;" ")-1),",","."))-1)/MID(SUBSTITUTE(LEFT(TRIM(C898),FIND(" ",TRIM(C898)&amp;" ")-1),",","."),FIND("/",SUBSTITUTE(LEFT(TRIM(C898),FIND(" ",TRIM(C898)&amp;" ")-1),",","."))+1,9))*12/52,IF(ISNUMBER(SEARCH("month",C898)),IFERROR(_xlfn.NUMBERVALUE(SUBSTITUTE(LEFT(TRIM(C898),FIND(" ",TRIM(C898)&amp;" ")-1),",","."),"."),LEFT(SUBSTITUTE(LEFT(TRIM(C898),FIND(" ",TRIM(C898)&amp;" ")-1),",","."),FIND("/",SUBSTITUTE(LEFT(TRIM(C898),FIND(" ",TRIM(C898)&amp;" ")-1),",","."))-1)/MID(SUBSTITUTE(LEFT(TRIM(C898),FIND(" ",TRIM(C898)&amp;" ")-1),",","."),FIND("/",SUBSTITUTE(LEFT(TRIM(C898),FIND(" ",TRIM(C898)&amp;" ")-1),",","."))+1,9)),IF(ISNUMBER(SEARCH("yea",C898)),IFERROR(_xlfn.NUMBERVALUE(SUBSTITUTE(LEFT(TRIM(C898),FIND(" ",TRIM(C898)&amp;" ")-1),",","."),"."),LEFT(SUBSTITUTE(LEFT(TRIM(C898),FIND(" ",TRIM(C898)&amp;" ")-1),",","."),FIND("/",SUBSTITUTE(LEFT(TRIM(C898),FIND(" ",TRIM(C898)&amp;" ")-1),",","."))-1)/MID(SUBSTITUTE(LEFT(TRIM(C898),FIND(" ",TRIM(C898)&amp;" ")-1),",","."),FIND("/",SUBSTITUTE(LEFT(TRIM(C898),FIND(" ",TRIM(C898)&amp;" ")-1),",","."))+1,9))*12,NA()))),0),36)*'Aturan &amp; Tarif'!$B$4,2)</f>
        <v>2044.08</v>
      </c>
      <c r="K898" s="42" t="n">
        <f aca="false">'Aturan &amp; Tarif'!$B$5</f>
        <v>2050</v>
      </c>
      <c r="L898" s="35" t="n">
        <f aca="false">I898+J898+K898</f>
        <v>19894.08</v>
      </c>
      <c r="M898" s="44" t="s">
        <v>1047</v>
      </c>
    </row>
    <row r="899" customFormat="false" ht="14.25" hidden="false" customHeight="true" outlineLevel="0" collapsed="false">
      <c r="A899" s="39"/>
      <c r="B899" s="40" t="s">
        <v>167</v>
      </c>
      <c r="C899" s="41" t="s">
        <v>113</v>
      </c>
      <c r="D899" s="41" t="s">
        <v>108</v>
      </c>
      <c r="E899" s="42" t="n">
        <v>9000</v>
      </c>
      <c r="F899" s="42"/>
      <c r="G899" s="42"/>
      <c r="H899" s="43" t="n">
        <v>2</v>
      </c>
      <c r="I899" s="34" t="n">
        <f aca="false">E899*H899+N(F899)+N(G899)</f>
        <v>18000</v>
      </c>
      <c r="J899" s="42" t="n">
        <f aca="false">ROUND(IFERROR(ROUND(IF(OR(ISNUMBER(SEARCH("week",C899)),ISNUMBER(SEARCH("minggu",C899))),IFERROR(_xlfn.NUMBERVALUE(SUBSTITUTE(LEFT(TRIM(C899),FIND(" ",TRIM(C899)&amp;" ")-1),",","."),"."),LEFT(SUBSTITUTE(LEFT(TRIM(C899),FIND(" ",TRIM(C899)&amp;" ")-1),",","."),FIND("/",SUBSTITUTE(LEFT(TRIM(C899),FIND(" ",TRIM(C899)&amp;" ")-1),",","."))-1)/MID(SUBSTITUTE(LEFT(TRIM(C899),FIND(" ",TRIM(C899)&amp;" ")-1),",","."),FIND("/",SUBSTITUTE(LEFT(TRIM(C899),FIND(" ",TRIM(C899)&amp;" ")-1),",","."))+1,9))*12/52,IF(ISNUMBER(SEARCH("month",C899)),IFERROR(_xlfn.NUMBERVALUE(SUBSTITUTE(LEFT(TRIM(C899),FIND(" ",TRIM(C899)&amp;" ")-1),",","."),"."),LEFT(SUBSTITUTE(LEFT(TRIM(C899),FIND(" ",TRIM(C899)&amp;" ")-1),",","."),FIND("/",SUBSTITUTE(LEFT(TRIM(C899),FIND(" ",TRIM(C899)&amp;" ")-1),",","."))-1)/MID(SUBSTITUTE(LEFT(TRIM(C899),FIND(" ",TRIM(C899)&amp;" ")-1),",","."),FIND("/",SUBSTITUTE(LEFT(TRIM(C899),FIND(" ",TRIM(C899)&amp;" ")-1),",","."))+1,9)),IF(ISNUMBER(SEARCH("yea",C899)),IFERROR(_xlfn.NUMBERVALUE(SUBSTITUTE(LEFT(TRIM(C899),FIND(" ",TRIM(C899)&amp;" ")-1),",","."),"."),LEFT(SUBSTITUTE(LEFT(TRIM(C899),FIND(" ",TRIM(C899)&amp;" ")-1),",","."),FIND("/",SUBSTITUTE(LEFT(TRIM(C899),FIND(" ",TRIM(C899)&amp;" ")-1),",","."))-1)/MID(SUBSTITUTE(LEFT(TRIM(C899),FIND(" ",TRIM(C899)&amp;" ")-1),",","."),FIND("/",SUBSTITUTE(LEFT(TRIM(C899),FIND(" ",TRIM(C899)&amp;" ")-1),",","."))+1,9))*12,NA()))),0),18)*'Aturan &amp; Tarif'!$B$4,2)</f>
        <v>1022.04</v>
      </c>
      <c r="K899" s="42" t="n">
        <f aca="false">'Aturan &amp; Tarif'!$B$5</f>
        <v>2050</v>
      </c>
      <c r="L899" s="35" t="n">
        <f aca="false">I899+J899+K899</f>
        <v>21072.04</v>
      </c>
      <c r="M899" s="44" t="s">
        <v>2462</v>
      </c>
    </row>
    <row r="900" customFormat="false" ht="60" hidden="false" customHeight="true" outlineLevel="0" collapsed="false">
      <c r="A900" s="39"/>
      <c r="B900" s="40" t="s">
        <v>2463</v>
      </c>
      <c r="C900" s="41" t="s">
        <v>107</v>
      </c>
      <c r="D900" s="41" t="s">
        <v>108</v>
      </c>
      <c r="E900" s="42" t="n">
        <v>9000</v>
      </c>
      <c r="F900" s="42"/>
      <c r="G900" s="42"/>
      <c r="H900" s="43" t="n">
        <v>2</v>
      </c>
      <c r="I900" s="34" t="n">
        <f aca="false">E900*H900+N(F900)+N(G900)</f>
        <v>18000</v>
      </c>
      <c r="J900" s="42" t="n">
        <f aca="false">ROUND(IFERROR(ROUND(IF(OR(ISNUMBER(SEARCH("week",C900)),ISNUMBER(SEARCH("minggu",C900))),IFERROR(_xlfn.NUMBERVALUE(SUBSTITUTE(LEFT(TRIM(C900),FIND(" ",TRIM(C900)&amp;" ")-1),",","."),"."),LEFT(SUBSTITUTE(LEFT(TRIM(C900),FIND(" ",TRIM(C900)&amp;" ")-1),",","."),FIND("/",SUBSTITUTE(LEFT(TRIM(C900),FIND(" ",TRIM(C900)&amp;" ")-1),",","."))-1)/MID(SUBSTITUTE(LEFT(TRIM(C900),FIND(" ",TRIM(C900)&amp;" ")-1),",","."),FIND("/",SUBSTITUTE(LEFT(TRIM(C900),FIND(" ",TRIM(C900)&amp;" ")-1),",","."))+1,9))*12/52,IF(ISNUMBER(SEARCH("month",C900)),IFERROR(_xlfn.NUMBERVALUE(SUBSTITUTE(LEFT(TRIM(C900),FIND(" ",TRIM(C900)&amp;" ")-1),",","."),"."),LEFT(SUBSTITUTE(LEFT(TRIM(C900),FIND(" ",TRIM(C900)&amp;" ")-1),",","."),FIND("/",SUBSTITUTE(LEFT(TRIM(C900),FIND(" ",TRIM(C900)&amp;" ")-1),",","."))-1)/MID(SUBSTITUTE(LEFT(TRIM(C900),FIND(" ",TRIM(C900)&amp;" ")-1),",","."),FIND("/",SUBSTITUTE(LEFT(TRIM(C900),FIND(" ",TRIM(C900)&amp;" ")-1),",","."))+1,9)),IF(ISNUMBER(SEARCH("yea",C900)),IFERROR(_xlfn.NUMBERVALUE(SUBSTITUTE(LEFT(TRIM(C900),FIND(" ",TRIM(C900)&amp;" ")-1),",","."),"."),LEFT(SUBSTITUTE(LEFT(TRIM(C900),FIND(" ",TRIM(C900)&amp;" ")-1),",","."),FIND("/",SUBSTITUTE(LEFT(TRIM(C900),FIND(" ",TRIM(C900)&amp;" ")-1),",","."))-1)/MID(SUBSTITUTE(LEFT(TRIM(C900),FIND(" ",TRIM(C900)&amp;" ")-1),",","."),FIND("/",SUBSTITUTE(LEFT(TRIM(C900),FIND(" ",TRIM(C900)&amp;" ")-1),",","."))+1,9))*12,NA()))),0),24)*'Aturan &amp; Tarif'!$B$4,2)</f>
        <v>1362.72</v>
      </c>
      <c r="K900" s="42" t="n">
        <f aca="false">'Aturan &amp; Tarif'!$B$5</f>
        <v>2050</v>
      </c>
      <c r="L900" s="35" t="n">
        <f aca="false">I900+J900+K900</f>
        <v>21412.72</v>
      </c>
      <c r="M900" s="44" t="s">
        <v>2464</v>
      </c>
    </row>
    <row r="901" customFormat="false" ht="60" hidden="false" customHeight="true" outlineLevel="0" collapsed="false">
      <c r="A901" s="39"/>
      <c r="B901" s="40" t="s">
        <v>1048</v>
      </c>
      <c r="C901" s="41" t="s">
        <v>344</v>
      </c>
      <c r="D901" s="41" t="s">
        <v>108</v>
      </c>
      <c r="E901" s="42" t="n">
        <v>4500</v>
      </c>
      <c r="F901" s="42"/>
      <c r="G901" s="42"/>
      <c r="H901" s="43" t="n">
        <v>2</v>
      </c>
      <c r="I901" s="34" t="n">
        <f aca="false">E901*H901+N(F901)+N(G901)</f>
        <v>9000</v>
      </c>
      <c r="J901" s="42" t="n">
        <f aca="false">ROUND(IFERROR(ROUND(IF(OR(ISNUMBER(SEARCH("week",C901)),ISNUMBER(SEARCH("minggu",C901))),IFERROR(_xlfn.NUMBERVALUE(SUBSTITUTE(LEFT(TRIM(C901),FIND(" ",TRIM(C901)&amp;" ")-1),",","."),"."),LEFT(SUBSTITUTE(LEFT(TRIM(C901),FIND(" ",TRIM(C901)&amp;" ")-1),",","."),FIND("/",SUBSTITUTE(LEFT(TRIM(C901),FIND(" ",TRIM(C901)&amp;" ")-1),",","."))-1)/MID(SUBSTITUTE(LEFT(TRIM(C901),FIND(" ",TRIM(C901)&amp;" ")-1),",","."),FIND("/",SUBSTITUTE(LEFT(TRIM(C901),FIND(" ",TRIM(C901)&amp;" ")-1),",","."))+1,9))*12/52,IF(ISNUMBER(SEARCH("month",C901)),IFERROR(_xlfn.NUMBERVALUE(SUBSTITUTE(LEFT(TRIM(C901),FIND(" ",TRIM(C901)&amp;" ")-1),",","."),"."),LEFT(SUBSTITUTE(LEFT(TRIM(C901),FIND(" ",TRIM(C901)&amp;" ")-1),",","."),FIND("/",SUBSTITUTE(LEFT(TRIM(C901),FIND(" ",TRIM(C901)&amp;" ")-1),",","."))-1)/MID(SUBSTITUTE(LEFT(TRIM(C901),FIND(" ",TRIM(C901)&amp;" ")-1),",","."),FIND("/",SUBSTITUTE(LEFT(TRIM(C901),FIND(" ",TRIM(C901)&amp;" ")-1),",","."))+1,9)),IF(ISNUMBER(SEARCH("yea",C901)),IFERROR(_xlfn.NUMBERVALUE(SUBSTITUTE(LEFT(TRIM(C901),FIND(" ",TRIM(C901)&amp;" ")-1),",","."),"."),LEFT(SUBSTITUTE(LEFT(TRIM(C901),FIND(" ",TRIM(C901)&amp;" ")-1),",","."),FIND("/",SUBSTITUTE(LEFT(TRIM(C901),FIND(" ",TRIM(C901)&amp;" ")-1),",","."))-1)/MID(SUBSTITUTE(LEFT(TRIM(C901),FIND(" ",TRIM(C901)&amp;" ")-1),",","."),FIND("/",SUBSTITUTE(LEFT(TRIM(C901),FIND(" ",TRIM(C901)&amp;" ")-1),",","."))+1,9))*12,NA()))),0),6)*'Aturan &amp; Tarif'!$B$4,2)</f>
        <v>340.68</v>
      </c>
      <c r="K901" s="42" t="n">
        <f aca="false">'Aturan &amp; Tarif'!$B$5</f>
        <v>2050</v>
      </c>
      <c r="L901" s="35" t="n">
        <f aca="false">I901+J901+K901</f>
        <v>11390.68</v>
      </c>
      <c r="M901" s="44" t="s">
        <v>1049</v>
      </c>
    </row>
    <row r="902" customFormat="false" ht="60" hidden="false" customHeight="true" outlineLevel="0" collapsed="false">
      <c r="A902" s="39"/>
      <c r="B902" s="40" t="s">
        <v>1050</v>
      </c>
      <c r="C902" s="41" t="s">
        <v>130</v>
      </c>
      <c r="D902" s="41" t="s">
        <v>108</v>
      </c>
      <c r="E902" s="42" t="n">
        <v>9000</v>
      </c>
      <c r="F902" s="42"/>
      <c r="G902" s="42"/>
      <c r="H902" s="43" t="n">
        <v>2</v>
      </c>
      <c r="I902" s="34" t="n">
        <f aca="false">E902*H902+N(F902)+N(G902)</f>
        <v>18000</v>
      </c>
      <c r="J902" s="42" t="n">
        <f aca="false">ROUND(IFERROR(ROUND(IF(OR(ISNUMBER(SEARCH("week",C902)),ISNUMBER(SEARCH("minggu",C902))),IFERROR(_xlfn.NUMBERVALUE(SUBSTITUTE(LEFT(TRIM(C902),FIND(" ",TRIM(C902)&amp;" ")-1),",","."),"."),LEFT(SUBSTITUTE(LEFT(TRIM(C902),FIND(" ",TRIM(C902)&amp;" ")-1),",","."),FIND("/",SUBSTITUTE(LEFT(TRIM(C902),FIND(" ",TRIM(C902)&amp;" ")-1),",","."))-1)/MID(SUBSTITUTE(LEFT(TRIM(C902),FIND(" ",TRIM(C902)&amp;" ")-1),",","."),FIND("/",SUBSTITUTE(LEFT(TRIM(C902),FIND(" ",TRIM(C902)&amp;" ")-1),",","."))+1,9))*12/52,IF(ISNUMBER(SEARCH("month",C902)),IFERROR(_xlfn.NUMBERVALUE(SUBSTITUTE(LEFT(TRIM(C902),FIND(" ",TRIM(C902)&amp;" ")-1),",","."),"."),LEFT(SUBSTITUTE(LEFT(TRIM(C902),FIND(" ",TRIM(C902)&amp;" ")-1),",","."),FIND("/",SUBSTITUTE(LEFT(TRIM(C902),FIND(" ",TRIM(C902)&amp;" ")-1),",","."))-1)/MID(SUBSTITUTE(LEFT(TRIM(C902),FIND(" ",TRIM(C902)&amp;" ")-1),",","."),FIND("/",SUBSTITUTE(LEFT(TRIM(C902),FIND(" ",TRIM(C902)&amp;" ")-1),",","."))+1,9)),IF(ISNUMBER(SEARCH("yea",C902)),IFERROR(_xlfn.NUMBERVALUE(SUBSTITUTE(LEFT(TRIM(C902),FIND(" ",TRIM(C902)&amp;" ")-1),",","."),"."),LEFT(SUBSTITUTE(LEFT(TRIM(C902),FIND(" ",TRIM(C902)&amp;" ")-1),",","."),FIND("/",SUBSTITUTE(LEFT(TRIM(C902),FIND(" ",TRIM(C902)&amp;" ")-1),",","."))-1)/MID(SUBSTITUTE(LEFT(TRIM(C902),FIND(" ",TRIM(C902)&amp;" ")-1),",","."),FIND("/",SUBSTITUTE(LEFT(TRIM(C902),FIND(" ",TRIM(C902)&amp;" ")-1),",","."))+1,9))*12,NA()))),0),12)*'Aturan &amp; Tarif'!$B$4,2)</f>
        <v>681.36</v>
      </c>
      <c r="K902" s="42" t="n">
        <f aca="false">'Aturan &amp; Tarif'!$B$5</f>
        <v>2050</v>
      </c>
      <c r="L902" s="35" t="n">
        <f aca="false">I902+J902+K902</f>
        <v>20731.36</v>
      </c>
      <c r="M902" s="44" t="s">
        <v>1051</v>
      </c>
    </row>
    <row r="903" customFormat="false" ht="60" hidden="false" customHeight="true" outlineLevel="0" collapsed="false">
      <c r="A903" s="39"/>
      <c r="B903" s="40" t="s">
        <v>348</v>
      </c>
      <c r="C903" s="41" t="s">
        <v>113</v>
      </c>
      <c r="D903" s="41" t="s">
        <v>108</v>
      </c>
      <c r="E903" s="42" t="n">
        <v>9000</v>
      </c>
      <c r="F903" s="42"/>
      <c r="G903" s="42"/>
      <c r="H903" s="43" t="n">
        <v>2</v>
      </c>
      <c r="I903" s="34" t="n">
        <f aca="false">E903*H903+N(F903)+N(G903)</f>
        <v>18000</v>
      </c>
      <c r="J903" s="42" t="n">
        <f aca="false">ROUND(IFERROR(ROUND(IF(OR(ISNUMBER(SEARCH("week",C903)),ISNUMBER(SEARCH("minggu",C903))),IFERROR(_xlfn.NUMBERVALUE(SUBSTITUTE(LEFT(TRIM(C903),FIND(" ",TRIM(C903)&amp;" ")-1),",","."),"."),LEFT(SUBSTITUTE(LEFT(TRIM(C903),FIND(" ",TRIM(C903)&amp;" ")-1),",","."),FIND("/",SUBSTITUTE(LEFT(TRIM(C903),FIND(" ",TRIM(C903)&amp;" ")-1),",","."))-1)/MID(SUBSTITUTE(LEFT(TRIM(C903),FIND(" ",TRIM(C903)&amp;" ")-1),",","."),FIND("/",SUBSTITUTE(LEFT(TRIM(C903),FIND(" ",TRIM(C903)&amp;" ")-1),",","."))+1,9))*12/52,IF(ISNUMBER(SEARCH("month",C903)),IFERROR(_xlfn.NUMBERVALUE(SUBSTITUTE(LEFT(TRIM(C903),FIND(" ",TRIM(C903)&amp;" ")-1),",","."),"."),LEFT(SUBSTITUTE(LEFT(TRIM(C903),FIND(" ",TRIM(C903)&amp;" ")-1),",","."),FIND("/",SUBSTITUTE(LEFT(TRIM(C903),FIND(" ",TRIM(C903)&amp;" ")-1),",","."))-1)/MID(SUBSTITUTE(LEFT(TRIM(C903),FIND(" ",TRIM(C903)&amp;" ")-1),",","."),FIND("/",SUBSTITUTE(LEFT(TRIM(C903),FIND(" ",TRIM(C903)&amp;" ")-1),",","."))+1,9)),IF(ISNUMBER(SEARCH("yea",C903)),IFERROR(_xlfn.NUMBERVALUE(SUBSTITUTE(LEFT(TRIM(C903),FIND(" ",TRIM(C903)&amp;" ")-1),",","."),"."),LEFT(SUBSTITUTE(LEFT(TRIM(C903),FIND(" ",TRIM(C903)&amp;" ")-1),",","."),FIND("/",SUBSTITUTE(LEFT(TRIM(C903),FIND(" ",TRIM(C903)&amp;" ")-1),",","."))-1)/MID(SUBSTITUTE(LEFT(TRIM(C903),FIND(" ",TRIM(C903)&amp;" ")-1),",","."),FIND("/",SUBSTITUTE(LEFT(TRIM(C903),FIND(" ",TRIM(C903)&amp;" ")-1),",","."))+1,9))*12,NA()))),0),18)*'Aturan &amp; Tarif'!$B$4,2)</f>
        <v>1022.04</v>
      </c>
      <c r="K903" s="42" t="n">
        <f aca="false">'Aturan &amp; Tarif'!$B$5</f>
        <v>2050</v>
      </c>
      <c r="L903" s="35" t="n">
        <f aca="false">I903+J903+K903</f>
        <v>21072.04</v>
      </c>
      <c r="M903" s="44" t="s">
        <v>1052</v>
      </c>
    </row>
    <row r="904" customFormat="false" ht="60" hidden="false" customHeight="true" outlineLevel="0" collapsed="false">
      <c r="A904" s="39"/>
      <c r="B904" s="40" t="s">
        <v>1053</v>
      </c>
      <c r="C904" s="41" t="s">
        <v>107</v>
      </c>
      <c r="D904" s="41" t="s">
        <v>108</v>
      </c>
      <c r="E904" s="42" t="n">
        <v>9000</v>
      </c>
      <c r="F904" s="42"/>
      <c r="G904" s="42"/>
      <c r="H904" s="43" t="n">
        <v>2</v>
      </c>
      <c r="I904" s="34" t="n">
        <f aca="false">E904*H904+N(F904)+N(G904)</f>
        <v>18000</v>
      </c>
      <c r="J904" s="42" t="n">
        <f aca="false">ROUND(IFERROR(ROUND(IF(OR(ISNUMBER(SEARCH("week",C904)),ISNUMBER(SEARCH("minggu",C904))),IFERROR(_xlfn.NUMBERVALUE(SUBSTITUTE(LEFT(TRIM(C904),FIND(" ",TRIM(C904)&amp;" ")-1),",","."),"."),LEFT(SUBSTITUTE(LEFT(TRIM(C904),FIND(" ",TRIM(C904)&amp;" ")-1),",","."),FIND("/",SUBSTITUTE(LEFT(TRIM(C904),FIND(" ",TRIM(C904)&amp;" ")-1),",","."))-1)/MID(SUBSTITUTE(LEFT(TRIM(C904),FIND(" ",TRIM(C904)&amp;" ")-1),",","."),FIND("/",SUBSTITUTE(LEFT(TRIM(C904),FIND(" ",TRIM(C904)&amp;" ")-1),",","."))+1,9))*12/52,IF(ISNUMBER(SEARCH("month",C904)),IFERROR(_xlfn.NUMBERVALUE(SUBSTITUTE(LEFT(TRIM(C904),FIND(" ",TRIM(C904)&amp;" ")-1),",","."),"."),LEFT(SUBSTITUTE(LEFT(TRIM(C904),FIND(" ",TRIM(C904)&amp;" ")-1),",","."),FIND("/",SUBSTITUTE(LEFT(TRIM(C904),FIND(" ",TRIM(C904)&amp;" ")-1),",","."))-1)/MID(SUBSTITUTE(LEFT(TRIM(C904),FIND(" ",TRIM(C904)&amp;" ")-1),",","."),FIND("/",SUBSTITUTE(LEFT(TRIM(C904),FIND(" ",TRIM(C904)&amp;" ")-1),",","."))+1,9)),IF(ISNUMBER(SEARCH("yea",C904)),IFERROR(_xlfn.NUMBERVALUE(SUBSTITUTE(LEFT(TRIM(C904),FIND(" ",TRIM(C904)&amp;" ")-1),",","."),"."),LEFT(SUBSTITUTE(LEFT(TRIM(C904),FIND(" ",TRIM(C904)&amp;" ")-1),",","."),FIND("/",SUBSTITUTE(LEFT(TRIM(C904),FIND(" ",TRIM(C904)&amp;" ")-1),",","."))-1)/MID(SUBSTITUTE(LEFT(TRIM(C904),FIND(" ",TRIM(C904)&amp;" ")-1),",","."),FIND("/",SUBSTITUTE(LEFT(TRIM(C904),FIND(" ",TRIM(C904)&amp;" ")-1),",","."))+1,9))*12,NA()))),0),24)*'Aturan &amp; Tarif'!$B$4,2)</f>
        <v>1362.72</v>
      </c>
      <c r="K904" s="42" t="n">
        <f aca="false">'Aturan &amp; Tarif'!$B$5</f>
        <v>2050</v>
      </c>
      <c r="L904" s="35" t="n">
        <f aca="false">I904+J904+K904</f>
        <v>21412.72</v>
      </c>
      <c r="M904" s="44" t="s">
        <v>1054</v>
      </c>
    </row>
    <row r="905" customFormat="false" ht="60" hidden="false" customHeight="true" outlineLevel="0" collapsed="false">
      <c r="A905" s="39"/>
      <c r="B905" s="40" t="s">
        <v>1055</v>
      </c>
      <c r="C905" s="41" t="s">
        <v>107</v>
      </c>
      <c r="D905" s="41" t="s">
        <v>108</v>
      </c>
      <c r="E905" s="42" t="n">
        <v>9000</v>
      </c>
      <c r="F905" s="42"/>
      <c r="G905" s="42"/>
      <c r="H905" s="43" t="n">
        <v>2</v>
      </c>
      <c r="I905" s="34" t="n">
        <f aca="false">E905*H905+N(F905)+N(G905)</f>
        <v>18000</v>
      </c>
      <c r="J905" s="42" t="n">
        <f aca="false">ROUND(IFERROR(ROUND(IF(OR(ISNUMBER(SEARCH("week",C905)),ISNUMBER(SEARCH("minggu",C905))),IFERROR(_xlfn.NUMBERVALUE(SUBSTITUTE(LEFT(TRIM(C905),FIND(" ",TRIM(C905)&amp;" ")-1),",","."),"."),LEFT(SUBSTITUTE(LEFT(TRIM(C905),FIND(" ",TRIM(C905)&amp;" ")-1),",","."),FIND("/",SUBSTITUTE(LEFT(TRIM(C905),FIND(" ",TRIM(C905)&amp;" ")-1),",","."))-1)/MID(SUBSTITUTE(LEFT(TRIM(C905),FIND(" ",TRIM(C905)&amp;" ")-1),",","."),FIND("/",SUBSTITUTE(LEFT(TRIM(C905),FIND(" ",TRIM(C905)&amp;" ")-1),",","."))+1,9))*12/52,IF(ISNUMBER(SEARCH("month",C905)),IFERROR(_xlfn.NUMBERVALUE(SUBSTITUTE(LEFT(TRIM(C905),FIND(" ",TRIM(C905)&amp;" ")-1),",","."),"."),LEFT(SUBSTITUTE(LEFT(TRIM(C905),FIND(" ",TRIM(C905)&amp;" ")-1),",","."),FIND("/",SUBSTITUTE(LEFT(TRIM(C905),FIND(" ",TRIM(C905)&amp;" ")-1),",","."))-1)/MID(SUBSTITUTE(LEFT(TRIM(C905),FIND(" ",TRIM(C905)&amp;" ")-1),",","."),FIND("/",SUBSTITUTE(LEFT(TRIM(C905),FIND(" ",TRIM(C905)&amp;" ")-1),",","."))+1,9)),IF(ISNUMBER(SEARCH("yea",C905)),IFERROR(_xlfn.NUMBERVALUE(SUBSTITUTE(LEFT(TRIM(C905),FIND(" ",TRIM(C905)&amp;" ")-1),",","."),"."),LEFT(SUBSTITUTE(LEFT(TRIM(C905),FIND(" ",TRIM(C905)&amp;" ")-1),",","."),FIND("/",SUBSTITUTE(LEFT(TRIM(C905),FIND(" ",TRIM(C905)&amp;" ")-1),",","."))-1)/MID(SUBSTITUTE(LEFT(TRIM(C905),FIND(" ",TRIM(C905)&amp;" ")-1),",","."),FIND("/",SUBSTITUTE(LEFT(TRIM(C905),FIND(" ",TRIM(C905)&amp;" ")-1),",","."))+1,9))*12,NA()))),0),24)*'Aturan &amp; Tarif'!$B$4,2)</f>
        <v>1362.72</v>
      </c>
      <c r="K905" s="42" t="n">
        <f aca="false">'Aturan &amp; Tarif'!$B$5</f>
        <v>2050</v>
      </c>
      <c r="L905" s="35" t="n">
        <f aca="false">I905+J905+K905</f>
        <v>21412.72</v>
      </c>
      <c r="M905" s="44" t="s">
        <v>1056</v>
      </c>
    </row>
    <row r="906" customFormat="false" ht="60" hidden="false" customHeight="true" outlineLevel="0" collapsed="false">
      <c r="A906" s="39"/>
      <c r="B906" s="40" t="s">
        <v>1057</v>
      </c>
      <c r="C906" s="41" t="s">
        <v>107</v>
      </c>
      <c r="D906" s="41" t="s">
        <v>108</v>
      </c>
      <c r="E906" s="42" t="n">
        <v>7950</v>
      </c>
      <c r="F906" s="42"/>
      <c r="G906" s="42"/>
      <c r="H906" s="43" t="n">
        <v>2</v>
      </c>
      <c r="I906" s="34" t="n">
        <f aca="false">E906*H906+N(F906)+N(G906)</f>
        <v>15900</v>
      </c>
      <c r="J906" s="42" t="n">
        <f aca="false">ROUND(IFERROR(ROUND(IF(OR(ISNUMBER(SEARCH("week",C906)),ISNUMBER(SEARCH("minggu",C906))),IFERROR(_xlfn.NUMBERVALUE(SUBSTITUTE(LEFT(TRIM(C906),FIND(" ",TRIM(C906)&amp;" ")-1),",","."),"."),LEFT(SUBSTITUTE(LEFT(TRIM(C906),FIND(" ",TRIM(C906)&amp;" ")-1),",","."),FIND("/",SUBSTITUTE(LEFT(TRIM(C906),FIND(" ",TRIM(C906)&amp;" ")-1),",","."))-1)/MID(SUBSTITUTE(LEFT(TRIM(C906),FIND(" ",TRIM(C906)&amp;" ")-1),",","."),FIND("/",SUBSTITUTE(LEFT(TRIM(C906),FIND(" ",TRIM(C906)&amp;" ")-1),",","."))+1,9))*12/52,IF(ISNUMBER(SEARCH("month",C906)),IFERROR(_xlfn.NUMBERVALUE(SUBSTITUTE(LEFT(TRIM(C906),FIND(" ",TRIM(C906)&amp;" ")-1),",","."),"."),LEFT(SUBSTITUTE(LEFT(TRIM(C906),FIND(" ",TRIM(C906)&amp;" ")-1),",","."),FIND("/",SUBSTITUTE(LEFT(TRIM(C906),FIND(" ",TRIM(C906)&amp;" ")-1),",","."))-1)/MID(SUBSTITUTE(LEFT(TRIM(C906),FIND(" ",TRIM(C906)&amp;" ")-1),",","."),FIND("/",SUBSTITUTE(LEFT(TRIM(C906),FIND(" ",TRIM(C906)&amp;" ")-1),",","."))+1,9)),IF(ISNUMBER(SEARCH("yea",C906)),IFERROR(_xlfn.NUMBERVALUE(SUBSTITUTE(LEFT(TRIM(C906),FIND(" ",TRIM(C906)&amp;" ")-1),",","."),"."),LEFT(SUBSTITUTE(LEFT(TRIM(C906),FIND(" ",TRIM(C906)&amp;" ")-1),",","."),FIND("/",SUBSTITUTE(LEFT(TRIM(C906),FIND(" ",TRIM(C906)&amp;" ")-1),",","."))-1)/MID(SUBSTITUTE(LEFT(TRIM(C906),FIND(" ",TRIM(C906)&amp;" ")-1),",","."),FIND("/",SUBSTITUTE(LEFT(TRIM(C906),FIND(" ",TRIM(C906)&amp;" ")-1),",","."))+1,9))*12,NA()))),0),24)*'Aturan &amp; Tarif'!$B$4,2)</f>
        <v>1362.72</v>
      </c>
      <c r="K906" s="42" t="n">
        <f aca="false">'Aturan &amp; Tarif'!$B$5</f>
        <v>2050</v>
      </c>
      <c r="L906" s="35" t="n">
        <f aca="false">I906+J906+K906</f>
        <v>19312.72</v>
      </c>
      <c r="M906" s="44" t="s">
        <v>1058</v>
      </c>
    </row>
    <row r="907" customFormat="false" ht="60" hidden="false" customHeight="true" outlineLevel="0" collapsed="false">
      <c r="A907" s="39"/>
      <c r="B907" s="40" t="s">
        <v>1059</v>
      </c>
      <c r="C907" s="41" t="s">
        <v>113</v>
      </c>
      <c r="D907" s="41" t="s">
        <v>108</v>
      </c>
      <c r="E907" s="42" t="n">
        <v>9000</v>
      </c>
      <c r="F907" s="42"/>
      <c r="G907" s="42"/>
      <c r="H907" s="43" t="n">
        <v>2</v>
      </c>
      <c r="I907" s="34" t="n">
        <f aca="false">E907*H907+N(F907)+N(G907)</f>
        <v>18000</v>
      </c>
      <c r="J907" s="42" t="n">
        <f aca="false">ROUND(IFERROR(ROUND(IF(OR(ISNUMBER(SEARCH("week",C907)),ISNUMBER(SEARCH("minggu",C907))),IFERROR(_xlfn.NUMBERVALUE(SUBSTITUTE(LEFT(TRIM(C907),FIND(" ",TRIM(C907)&amp;" ")-1),",","."),"."),LEFT(SUBSTITUTE(LEFT(TRIM(C907),FIND(" ",TRIM(C907)&amp;" ")-1),",","."),FIND("/",SUBSTITUTE(LEFT(TRIM(C907),FIND(" ",TRIM(C907)&amp;" ")-1),",","."))-1)/MID(SUBSTITUTE(LEFT(TRIM(C907),FIND(" ",TRIM(C907)&amp;" ")-1),",","."),FIND("/",SUBSTITUTE(LEFT(TRIM(C907),FIND(" ",TRIM(C907)&amp;" ")-1),",","."))+1,9))*12/52,IF(ISNUMBER(SEARCH("month",C907)),IFERROR(_xlfn.NUMBERVALUE(SUBSTITUTE(LEFT(TRIM(C907),FIND(" ",TRIM(C907)&amp;" ")-1),",","."),"."),LEFT(SUBSTITUTE(LEFT(TRIM(C907),FIND(" ",TRIM(C907)&amp;" ")-1),",","."),FIND("/",SUBSTITUTE(LEFT(TRIM(C907),FIND(" ",TRIM(C907)&amp;" ")-1),",","."))-1)/MID(SUBSTITUTE(LEFT(TRIM(C907),FIND(" ",TRIM(C907)&amp;" ")-1),",","."),FIND("/",SUBSTITUTE(LEFT(TRIM(C907),FIND(" ",TRIM(C907)&amp;" ")-1),",","."))+1,9)),IF(ISNUMBER(SEARCH("yea",C907)),IFERROR(_xlfn.NUMBERVALUE(SUBSTITUTE(LEFT(TRIM(C907),FIND(" ",TRIM(C907)&amp;" ")-1),",","."),"."),LEFT(SUBSTITUTE(LEFT(TRIM(C907),FIND(" ",TRIM(C907)&amp;" ")-1),",","."),FIND("/",SUBSTITUTE(LEFT(TRIM(C907),FIND(" ",TRIM(C907)&amp;" ")-1),",","."))-1)/MID(SUBSTITUTE(LEFT(TRIM(C907),FIND(" ",TRIM(C907)&amp;" ")-1),",","."),FIND("/",SUBSTITUTE(LEFT(TRIM(C907),FIND(" ",TRIM(C907)&amp;" ")-1),",","."))+1,9))*12,NA()))),0),18)*'Aturan &amp; Tarif'!$B$4,2)</f>
        <v>1022.04</v>
      </c>
      <c r="K907" s="42" t="n">
        <f aca="false">'Aturan &amp; Tarif'!$B$5</f>
        <v>2050</v>
      </c>
      <c r="L907" s="35" t="n">
        <f aca="false">I907+J907+K907</f>
        <v>21072.04</v>
      </c>
      <c r="M907" s="44" t="s">
        <v>1060</v>
      </c>
    </row>
    <row r="908" customFormat="false" ht="60" hidden="false" customHeight="true" outlineLevel="0" collapsed="false">
      <c r="A908" s="39"/>
      <c r="B908" s="40" t="s">
        <v>1061</v>
      </c>
      <c r="C908" s="41" t="s">
        <v>107</v>
      </c>
      <c r="D908" s="41" t="s">
        <v>108</v>
      </c>
      <c r="E908" s="42" t="n">
        <v>9000</v>
      </c>
      <c r="F908" s="42"/>
      <c r="G908" s="42"/>
      <c r="H908" s="43" t="n">
        <v>2</v>
      </c>
      <c r="I908" s="34" t="n">
        <f aca="false">E908*H908+N(F908)+N(G908)</f>
        <v>18000</v>
      </c>
      <c r="J908" s="42" t="n">
        <f aca="false">ROUND(IFERROR(ROUND(IF(OR(ISNUMBER(SEARCH("week",C908)),ISNUMBER(SEARCH("minggu",C908))),IFERROR(_xlfn.NUMBERVALUE(SUBSTITUTE(LEFT(TRIM(C908),FIND(" ",TRIM(C908)&amp;" ")-1),",","."),"."),LEFT(SUBSTITUTE(LEFT(TRIM(C908),FIND(" ",TRIM(C908)&amp;" ")-1),",","."),FIND("/",SUBSTITUTE(LEFT(TRIM(C908),FIND(" ",TRIM(C908)&amp;" ")-1),",","."))-1)/MID(SUBSTITUTE(LEFT(TRIM(C908),FIND(" ",TRIM(C908)&amp;" ")-1),",","."),FIND("/",SUBSTITUTE(LEFT(TRIM(C908),FIND(" ",TRIM(C908)&amp;" ")-1),",","."))+1,9))*12/52,IF(ISNUMBER(SEARCH("month",C908)),IFERROR(_xlfn.NUMBERVALUE(SUBSTITUTE(LEFT(TRIM(C908),FIND(" ",TRIM(C908)&amp;" ")-1),",","."),"."),LEFT(SUBSTITUTE(LEFT(TRIM(C908),FIND(" ",TRIM(C908)&amp;" ")-1),",","."),FIND("/",SUBSTITUTE(LEFT(TRIM(C908),FIND(" ",TRIM(C908)&amp;" ")-1),",","."))-1)/MID(SUBSTITUTE(LEFT(TRIM(C908),FIND(" ",TRIM(C908)&amp;" ")-1),",","."),FIND("/",SUBSTITUTE(LEFT(TRIM(C908),FIND(" ",TRIM(C908)&amp;" ")-1),",","."))+1,9)),IF(ISNUMBER(SEARCH("yea",C908)),IFERROR(_xlfn.NUMBERVALUE(SUBSTITUTE(LEFT(TRIM(C908),FIND(" ",TRIM(C908)&amp;" ")-1),",","."),"."),LEFT(SUBSTITUTE(LEFT(TRIM(C908),FIND(" ",TRIM(C908)&amp;" ")-1),",","."),FIND("/",SUBSTITUTE(LEFT(TRIM(C908),FIND(" ",TRIM(C908)&amp;" ")-1),",","."))-1)/MID(SUBSTITUTE(LEFT(TRIM(C908),FIND(" ",TRIM(C908)&amp;" ")-1),",","."),FIND("/",SUBSTITUTE(LEFT(TRIM(C908),FIND(" ",TRIM(C908)&amp;" ")-1),",","."))+1,9))*12,NA()))),0),24)*'Aturan &amp; Tarif'!$B$4,2)</f>
        <v>1362.72</v>
      </c>
      <c r="K908" s="42" t="n">
        <f aca="false">'Aturan &amp; Tarif'!$B$5</f>
        <v>2050</v>
      </c>
      <c r="L908" s="35" t="n">
        <f aca="false">I908+J908+K908</f>
        <v>21412.72</v>
      </c>
      <c r="M908" s="44" t="s">
        <v>1062</v>
      </c>
    </row>
    <row r="909" customFormat="false" ht="25.5" hidden="false" customHeight="true" outlineLevel="0" collapsed="false">
      <c r="A909" s="39"/>
      <c r="B909" s="40" t="s">
        <v>1063</v>
      </c>
      <c r="C909" s="41" t="s">
        <v>130</v>
      </c>
      <c r="D909" s="41" t="s">
        <v>108</v>
      </c>
      <c r="E909" s="42" t="n">
        <v>4500</v>
      </c>
      <c r="F909" s="42"/>
      <c r="G909" s="42"/>
      <c r="H909" s="43" t="n">
        <v>2</v>
      </c>
      <c r="I909" s="34" t="n">
        <f aca="false">E909*H909+N(F909)+N(G909)</f>
        <v>9000</v>
      </c>
      <c r="J909" s="42" t="n">
        <f aca="false">ROUND(IFERROR(ROUND(IF(OR(ISNUMBER(SEARCH("week",C909)),ISNUMBER(SEARCH("minggu",C909))),IFERROR(_xlfn.NUMBERVALUE(SUBSTITUTE(LEFT(TRIM(C909),FIND(" ",TRIM(C909)&amp;" ")-1),",","."),"."),LEFT(SUBSTITUTE(LEFT(TRIM(C909),FIND(" ",TRIM(C909)&amp;" ")-1),",","."),FIND("/",SUBSTITUTE(LEFT(TRIM(C909),FIND(" ",TRIM(C909)&amp;" ")-1),",","."))-1)/MID(SUBSTITUTE(LEFT(TRIM(C909),FIND(" ",TRIM(C909)&amp;" ")-1),",","."),FIND("/",SUBSTITUTE(LEFT(TRIM(C909),FIND(" ",TRIM(C909)&amp;" ")-1),",","."))+1,9))*12/52,IF(ISNUMBER(SEARCH("month",C909)),IFERROR(_xlfn.NUMBERVALUE(SUBSTITUTE(LEFT(TRIM(C909),FIND(" ",TRIM(C909)&amp;" ")-1),",","."),"."),LEFT(SUBSTITUTE(LEFT(TRIM(C909),FIND(" ",TRIM(C909)&amp;" ")-1),",","."),FIND("/",SUBSTITUTE(LEFT(TRIM(C909),FIND(" ",TRIM(C909)&amp;" ")-1),",","."))-1)/MID(SUBSTITUTE(LEFT(TRIM(C909),FIND(" ",TRIM(C909)&amp;" ")-1),",","."),FIND("/",SUBSTITUTE(LEFT(TRIM(C909),FIND(" ",TRIM(C909)&amp;" ")-1),",","."))+1,9)),IF(ISNUMBER(SEARCH("yea",C909)),IFERROR(_xlfn.NUMBERVALUE(SUBSTITUTE(LEFT(TRIM(C909),FIND(" ",TRIM(C909)&amp;" ")-1),",","."),"."),LEFT(SUBSTITUTE(LEFT(TRIM(C909),FIND(" ",TRIM(C909)&amp;" ")-1),",","."),FIND("/",SUBSTITUTE(LEFT(TRIM(C909),FIND(" ",TRIM(C909)&amp;" ")-1),",","."))-1)/MID(SUBSTITUTE(LEFT(TRIM(C909),FIND(" ",TRIM(C909)&amp;" ")-1),",","."),FIND("/",SUBSTITUTE(LEFT(TRIM(C909),FIND(" ",TRIM(C909)&amp;" ")-1),",","."))+1,9))*12,NA()))),0),12)*'Aturan &amp; Tarif'!$B$4,2)</f>
        <v>681.36</v>
      </c>
      <c r="K909" s="42" t="n">
        <f aca="false">'Aturan &amp; Tarif'!$B$5</f>
        <v>2050</v>
      </c>
      <c r="L909" s="35" t="n">
        <f aca="false">I909+J909+K909</f>
        <v>11731.36</v>
      </c>
      <c r="M909" s="45" t="s">
        <v>1064</v>
      </c>
    </row>
    <row r="910" customFormat="false" ht="60" hidden="false" customHeight="true" outlineLevel="0" collapsed="false">
      <c r="A910" s="39"/>
      <c r="B910" s="40" t="s">
        <v>1065</v>
      </c>
      <c r="C910" s="41" t="s">
        <v>130</v>
      </c>
      <c r="D910" s="41" t="s">
        <v>108</v>
      </c>
      <c r="E910" s="42" t="n">
        <v>4500</v>
      </c>
      <c r="F910" s="42"/>
      <c r="G910" s="42"/>
      <c r="H910" s="43" t="n">
        <v>2</v>
      </c>
      <c r="I910" s="34" t="n">
        <f aca="false">E910*H910+N(F910)+N(G910)</f>
        <v>9000</v>
      </c>
      <c r="J910" s="42" t="n">
        <f aca="false">ROUND(IFERROR(ROUND(IF(OR(ISNUMBER(SEARCH("week",C910)),ISNUMBER(SEARCH("minggu",C910))),IFERROR(_xlfn.NUMBERVALUE(SUBSTITUTE(LEFT(TRIM(C910),FIND(" ",TRIM(C910)&amp;" ")-1),",","."),"."),LEFT(SUBSTITUTE(LEFT(TRIM(C910),FIND(" ",TRIM(C910)&amp;" ")-1),",","."),FIND("/",SUBSTITUTE(LEFT(TRIM(C910),FIND(" ",TRIM(C910)&amp;" ")-1),",","."))-1)/MID(SUBSTITUTE(LEFT(TRIM(C910),FIND(" ",TRIM(C910)&amp;" ")-1),",","."),FIND("/",SUBSTITUTE(LEFT(TRIM(C910),FIND(" ",TRIM(C910)&amp;" ")-1),",","."))+1,9))*12/52,IF(ISNUMBER(SEARCH("month",C910)),IFERROR(_xlfn.NUMBERVALUE(SUBSTITUTE(LEFT(TRIM(C910),FIND(" ",TRIM(C910)&amp;" ")-1),",","."),"."),LEFT(SUBSTITUTE(LEFT(TRIM(C910),FIND(" ",TRIM(C910)&amp;" ")-1),",","."),FIND("/",SUBSTITUTE(LEFT(TRIM(C910),FIND(" ",TRIM(C910)&amp;" ")-1),",","."))-1)/MID(SUBSTITUTE(LEFT(TRIM(C910),FIND(" ",TRIM(C910)&amp;" ")-1),",","."),FIND("/",SUBSTITUTE(LEFT(TRIM(C910),FIND(" ",TRIM(C910)&amp;" ")-1),",","."))+1,9)),IF(ISNUMBER(SEARCH("yea",C910)),IFERROR(_xlfn.NUMBERVALUE(SUBSTITUTE(LEFT(TRIM(C910),FIND(" ",TRIM(C910)&amp;" ")-1),",","."),"."),LEFT(SUBSTITUTE(LEFT(TRIM(C910),FIND(" ",TRIM(C910)&amp;" ")-1),",","."),FIND("/",SUBSTITUTE(LEFT(TRIM(C910),FIND(" ",TRIM(C910)&amp;" ")-1),",","."))-1)/MID(SUBSTITUTE(LEFT(TRIM(C910),FIND(" ",TRIM(C910)&amp;" ")-1),",","."),FIND("/",SUBSTITUTE(LEFT(TRIM(C910),FIND(" ",TRIM(C910)&amp;" ")-1),",","."))+1,9))*12,NA()))),0),12)*'Aturan &amp; Tarif'!$B$4,2)</f>
        <v>681.36</v>
      </c>
      <c r="K910" s="42" t="n">
        <f aca="false">'Aturan &amp; Tarif'!$B$5</f>
        <v>2050</v>
      </c>
      <c r="L910" s="35" t="n">
        <f aca="false">I910+J910+K910</f>
        <v>11731.36</v>
      </c>
      <c r="M910" s="45" t="s">
        <v>1066</v>
      </c>
    </row>
    <row r="911" customFormat="false" ht="60" hidden="false" customHeight="true" outlineLevel="0" collapsed="false">
      <c r="A911" s="39"/>
      <c r="B911" s="40" t="s">
        <v>1067</v>
      </c>
      <c r="C911" s="41" t="s">
        <v>130</v>
      </c>
      <c r="D911" s="41" t="s">
        <v>108</v>
      </c>
      <c r="E911" s="42" t="n">
        <v>9000</v>
      </c>
      <c r="F911" s="42"/>
      <c r="G911" s="42"/>
      <c r="H911" s="43" t="n">
        <v>2</v>
      </c>
      <c r="I911" s="34" t="n">
        <f aca="false">E911*H911+N(F911)+N(G911)</f>
        <v>18000</v>
      </c>
      <c r="J911" s="42" t="n">
        <f aca="false">ROUND(IFERROR(ROUND(IF(OR(ISNUMBER(SEARCH("week",C911)),ISNUMBER(SEARCH("minggu",C911))),IFERROR(_xlfn.NUMBERVALUE(SUBSTITUTE(LEFT(TRIM(C911),FIND(" ",TRIM(C911)&amp;" ")-1),",","."),"."),LEFT(SUBSTITUTE(LEFT(TRIM(C911),FIND(" ",TRIM(C911)&amp;" ")-1),",","."),FIND("/",SUBSTITUTE(LEFT(TRIM(C911),FIND(" ",TRIM(C911)&amp;" ")-1),",","."))-1)/MID(SUBSTITUTE(LEFT(TRIM(C911),FIND(" ",TRIM(C911)&amp;" ")-1),",","."),FIND("/",SUBSTITUTE(LEFT(TRIM(C911),FIND(" ",TRIM(C911)&amp;" ")-1),",","."))+1,9))*12/52,IF(ISNUMBER(SEARCH("month",C911)),IFERROR(_xlfn.NUMBERVALUE(SUBSTITUTE(LEFT(TRIM(C911),FIND(" ",TRIM(C911)&amp;" ")-1),",","."),"."),LEFT(SUBSTITUTE(LEFT(TRIM(C911),FIND(" ",TRIM(C911)&amp;" ")-1),",","."),FIND("/",SUBSTITUTE(LEFT(TRIM(C911),FIND(" ",TRIM(C911)&amp;" ")-1),",","."))-1)/MID(SUBSTITUTE(LEFT(TRIM(C911),FIND(" ",TRIM(C911)&amp;" ")-1),",","."),FIND("/",SUBSTITUTE(LEFT(TRIM(C911),FIND(" ",TRIM(C911)&amp;" ")-1),",","."))+1,9)),IF(ISNUMBER(SEARCH("yea",C911)),IFERROR(_xlfn.NUMBERVALUE(SUBSTITUTE(LEFT(TRIM(C911),FIND(" ",TRIM(C911)&amp;" ")-1),",","."),"."),LEFT(SUBSTITUTE(LEFT(TRIM(C911),FIND(" ",TRIM(C911)&amp;" ")-1),",","."),FIND("/",SUBSTITUTE(LEFT(TRIM(C911),FIND(" ",TRIM(C911)&amp;" ")-1),",","."))-1)/MID(SUBSTITUTE(LEFT(TRIM(C911),FIND(" ",TRIM(C911)&amp;" ")-1),",","."),FIND("/",SUBSTITUTE(LEFT(TRIM(C911),FIND(" ",TRIM(C911)&amp;" ")-1),",","."))+1,9))*12,NA()))),0),12)*'Aturan &amp; Tarif'!$B$4,2)</f>
        <v>681.36</v>
      </c>
      <c r="K911" s="42" t="n">
        <f aca="false">'Aturan &amp; Tarif'!$B$5</f>
        <v>2050</v>
      </c>
      <c r="L911" s="35" t="n">
        <f aca="false">I911+J911+K911</f>
        <v>20731.36</v>
      </c>
      <c r="M911" s="45" t="s">
        <v>1068</v>
      </c>
    </row>
    <row r="912" customFormat="false" ht="60" hidden="false" customHeight="true" outlineLevel="0" collapsed="false">
      <c r="A912" s="39"/>
      <c r="B912" s="40" t="s">
        <v>1069</v>
      </c>
      <c r="C912" s="41" t="s">
        <v>130</v>
      </c>
      <c r="D912" s="41" t="s">
        <v>108</v>
      </c>
      <c r="E912" s="42" t="n">
        <v>9000</v>
      </c>
      <c r="F912" s="42"/>
      <c r="G912" s="42"/>
      <c r="H912" s="43" t="n">
        <v>2</v>
      </c>
      <c r="I912" s="34" t="n">
        <f aca="false">E912*H912+N(F912)+N(G912)</f>
        <v>18000</v>
      </c>
      <c r="J912" s="42" t="n">
        <f aca="false">ROUND(IFERROR(ROUND(IF(OR(ISNUMBER(SEARCH("week",C912)),ISNUMBER(SEARCH("minggu",C912))),IFERROR(_xlfn.NUMBERVALUE(SUBSTITUTE(LEFT(TRIM(C912),FIND(" ",TRIM(C912)&amp;" ")-1),",","."),"."),LEFT(SUBSTITUTE(LEFT(TRIM(C912),FIND(" ",TRIM(C912)&amp;" ")-1),",","."),FIND("/",SUBSTITUTE(LEFT(TRIM(C912),FIND(" ",TRIM(C912)&amp;" ")-1),",","."))-1)/MID(SUBSTITUTE(LEFT(TRIM(C912),FIND(" ",TRIM(C912)&amp;" ")-1),",","."),FIND("/",SUBSTITUTE(LEFT(TRIM(C912),FIND(" ",TRIM(C912)&amp;" ")-1),",","."))+1,9))*12/52,IF(ISNUMBER(SEARCH("month",C912)),IFERROR(_xlfn.NUMBERVALUE(SUBSTITUTE(LEFT(TRIM(C912),FIND(" ",TRIM(C912)&amp;" ")-1),",","."),"."),LEFT(SUBSTITUTE(LEFT(TRIM(C912),FIND(" ",TRIM(C912)&amp;" ")-1),",","."),FIND("/",SUBSTITUTE(LEFT(TRIM(C912),FIND(" ",TRIM(C912)&amp;" ")-1),",","."))-1)/MID(SUBSTITUTE(LEFT(TRIM(C912),FIND(" ",TRIM(C912)&amp;" ")-1),",","."),FIND("/",SUBSTITUTE(LEFT(TRIM(C912),FIND(" ",TRIM(C912)&amp;" ")-1),",","."))+1,9)),IF(ISNUMBER(SEARCH("yea",C912)),IFERROR(_xlfn.NUMBERVALUE(SUBSTITUTE(LEFT(TRIM(C912),FIND(" ",TRIM(C912)&amp;" ")-1),",","."),"."),LEFT(SUBSTITUTE(LEFT(TRIM(C912),FIND(" ",TRIM(C912)&amp;" ")-1),",","."),FIND("/",SUBSTITUTE(LEFT(TRIM(C912),FIND(" ",TRIM(C912)&amp;" ")-1),",","."))-1)/MID(SUBSTITUTE(LEFT(TRIM(C912),FIND(" ",TRIM(C912)&amp;" ")-1),",","."),FIND("/",SUBSTITUTE(LEFT(TRIM(C912),FIND(" ",TRIM(C912)&amp;" ")-1),",","."))+1,9))*12,NA()))),0),12)*'Aturan &amp; Tarif'!$B$4,2)</f>
        <v>681.36</v>
      </c>
      <c r="K912" s="42" t="n">
        <f aca="false">'Aturan &amp; Tarif'!$B$5</f>
        <v>2050</v>
      </c>
      <c r="L912" s="35" t="n">
        <f aca="false">I912+J912+K912</f>
        <v>20731.36</v>
      </c>
      <c r="M912" s="44" t="s">
        <v>1036</v>
      </c>
    </row>
    <row r="913" customFormat="false" ht="60" hidden="false" customHeight="true" outlineLevel="0" collapsed="false">
      <c r="A913" s="39"/>
      <c r="B913" s="40" t="s">
        <v>1070</v>
      </c>
      <c r="C913" s="41" t="s">
        <v>107</v>
      </c>
      <c r="D913" s="41" t="s">
        <v>108</v>
      </c>
      <c r="E913" s="42" t="n">
        <v>9000</v>
      </c>
      <c r="F913" s="42"/>
      <c r="G913" s="42"/>
      <c r="H913" s="43" t="n">
        <v>2</v>
      </c>
      <c r="I913" s="34" t="n">
        <f aca="false">E913*H913+N(F913)+N(G913)</f>
        <v>18000</v>
      </c>
      <c r="J913" s="42" t="n">
        <f aca="false">ROUND(IFERROR(ROUND(IF(OR(ISNUMBER(SEARCH("week",C913)),ISNUMBER(SEARCH("minggu",C913))),IFERROR(_xlfn.NUMBERVALUE(SUBSTITUTE(LEFT(TRIM(C913),FIND(" ",TRIM(C913)&amp;" ")-1),",","."),"."),LEFT(SUBSTITUTE(LEFT(TRIM(C913),FIND(" ",TRIM(C913)&amp;" ")-1),",","."),FIND("/",SUBSTITUTE(LEFT(TRIM(C913),FIND(" ",TRIM(C913)&amp;" ")-1),",","."))-1)/MID(SUBSTITUTE(LEFT(TRIM(C913),FIND(" ",TRIM(C913)&amp;" ")-1),",","."),FIND("/",SUBSTITUTE(LEFT(TRIM(C913),FIND(" ",TRIM(C913)&amp;" ")-1),",","."))+1,9))*12/52,IF(ISNUMBER(SEARCH("month",C913)),IFERROR(_xlfn.NUMBERVALUE(SUBSTITUTE(LEFT(TRIM(C913),FIND(" ",TRIM(C913)&amp;" ")-1),",","."),"."),LEFT(SUBSTITUTE(LEFT(TRIM(C913),FIND(" ",TRIM(C913)&amp;" ")-1),",","."),FIND("/",SUBSTITUTE(LEFT(TRIM(C913),FIND(" ",TRIM(C913)&amp;" ")-1),",","."))-1)/MID(SUBSTITUTE(LEFT(TRIM(C913),FIND(" ",TRIM(C913)&amp;" ")-1),",","."),FIND("/",SUBSTITUTE(LEFT(TRIM(C913),FIND(" ",TRIM(C913)&amp;" ")-1),",","."))+1,9)),IF(ISNUMBER(SEARCH("yea",C913)),IFERROR(_xlfn.NUMBERVALUE(SUBSTITUTE(LEFT(TRIM(C913),FIND(" ",TRIM(C913)&amp;" ")-1),",","."),"."),LEFT(SUBSTITUTE(LEFT(TRIM(C913),FIND(" ",TRIM(C913)&amp;" ")-1),",","."),FIND("/",SUBSTITUTE(LEFT(TRIM(C913),FIND(" ",TRIM(C913)&amp;" ")-1),",","."))-1)/MID(SUBSTITUTE(LEFT(TRIM(C913),FIND(" ",TRIM(C913)&amp;" ")-1),",","."),FIND("/",SUBSTITUTE(LEFT(TRIM(C913),FIND(" ",TRIM(C913)&amp;" ")-1),",","."))+1,9))*12,NA()))),0),24)*'Aturan &amp; Tarif'!$B$4,2)</f>
        <v>1362.72</v>
      </c>
      <c r="K913" s="42" t="n">
        <f aca="false">'Aturan &amp; Tarif'!$B$5</f>
        <v>2050</v>
      </c>
      <c r="L913" s="35" t="n">
        <f aca="false">I913+J913+K913</f>
        <v>21412.72</v>
      </c>
      <c r="M913" s="44" t="s">
        <v>1036</v>
      </c>
    </row>
    <row r="914" customFormat="false" ht="60" hidden="false" customHeight="true" outlineLevel="0" collapsed="false">
      <c r="A914" s="39"/>
      <c r="B914" s="40" t="s">
        <v>1071</v>
      </c>
      <c r="C914" s="41" t="s">
        <v>107</v>
      </c>
      <c r="D914" s="41" t="s">
        <v>108</v>
      </c>
      <c r="E914" s="42" t="n">
        <v>9000</v>
      </c>
      <c r="F914" s="42"/>
      <c r="G914" s="42"/>
      <c r="H914" s="43" t="n">
        <v>2</v>
      </c>
      <c r="I914" s="34" t="n">
        <f aca="false">E914*H914+N(F914)+N(G914)</f>
        <v>18000</v>
      </c>
      <c r="J914" s="42" t="n">
        <f aca="false">ROUND(IFERROR(ROUND(IF(OR(ISNUMBER(SEARCH("week",C914)),ISNUMBER(SEARCH("minggu",C914))),IFERROR(_xlfn.NUMBERVALUE(SUBSTITUTE(LEFT(TRIM(C914),FIND(" ",TRIM(C914)&amp;" ")-1),",","."),"."),LEFT(SUBSTITUTE(LEFT(TRIM(C914),FIND(" ",TRIM(C914)&amp;" ")-1),",","."),FIND("/",SUBSTITUTE(LEFT(TRIM(C914),FIND(" ",TRIM(C914)&amp;" ")-1),",","."))-1)/MID(SUBSTITUTE(LEFT(TRIM(C914),FIND(" ",TRIM(C914)&amp;" ")-1),",","."),FIND("/",SUBSTITUTE(LEFT(TRIM(C914),FIND(" ",TRIM(C914)&amp;" ")-1),",","."))+1,9))*12/52,IF(ISNUMBER(SEARCH("month",C914)),IFERROR(_xlfn.NUMBERVALUE(SUBSTITUTE(LEFT(TRIM(C914),FIND(" ",TRIM(C914)&amp;" ")-1),",","."),"."),LEFT(SUBSTITUTE(LEFT(TRIM(C914),FIND(" ",TRIM(C914)&amp;" ")-1),",","."),FIND("/",SUBSTITUTE(LEFT(TRIM(C914),FIND(" ",TRIM(C914)&amp;" ")-1),",","."))-1)/MID(SUBSTITUTE(LEFT(TRIM(C914),FIND(" ",TRIM(C914)&amp;" ")-1),",","."),FIND("/",SUBSTITUTE(LEFT(TRIM(C914),FIND(" ",TRIM(C914)&amp;" ")-1),",","."))+1,9)),IF(ISNUMBER(SEARCH("yea",C914)),IFERROR(_xlfn.NUMBERVALUE(SUBSTITUTE(LEFT(TRIM(C914),FIND(" ",TRIM(C914)&amp;" ")-1),",","."),"."),LEFT(SUBSTITUTE(LEFT(TRIM(C914),FIND(" ",TRIM(C914)&amp;" ")-1),",","."),FIND("/",SUBSTITUTE(LEFT(TRIM(C914),FIND(" ",TRIM(C914)&amp;" ")-1),",","."))-1)/MID(SUBSTITUTE(LEFT(TRIM(C914),FIND(" ",TRIM(C914)&amp;" ")-1),",","."),FIND("/",SUBSTITUTE(LEFT(TRIM(C914),FIND(" ",TRIM(C914)&amp;" ")-1),",","."))+1,9))*12,NA()))),0),24)*'Aturan &amp; Tarif'!$B$4,2)</f>
        <v>1362.72</v>
      </c>
      <c r="K914" s="42" t="n">
        <f aca="false">'Aturan &amp; Tarif'!$B$5</f>
        <v>2050</v>
      </c>
      <c r="L914" s="35" t="n">
        <f aca="false">I914+J914+K914</f>
        <v>21412.72</v>
      </c>
      <c r="M914" s="44" t="s">
        <v>1072</v>
      </c>
    </row>
    <row r="915" customFormat="false" ht="60" hidden="false" customHeight="true" outlineLevel="0" collapsed="false">
      <c r="A915" s="39"/>
      <c r="B915" s="40" t="s">
        <v>1073</v>
      </c>
      <c r="C915" s="41" t="s">
        <v>344</v>
      </c>
      <c r="D915" s="41" t="s">
        <v>108</v>
      </c>
      <c r="E915" s="42" t="n">
        <v>4500</v>
      </c>
      <c r="F915" s="42"/>
      <c r="G915" s="42"/>
      <c r="H915" s="43" t="n">
        <v>2</v>
      </c>
      <c r="I915" s="34" t="n">
        <f aca="false">E915*H915+N(F915)+N(G915)</f>
        <v>9000</v>
      </c>
      <c r="J915" s="42" t="n">
        <f aca="false">ROUND(IFERROR(ROUND(IF(OR(ISNUMBER(SEARCH("week",C915)),ISNUMBER(SEARCH("minggu",C915))),IFERROR(_xlfn.NUMBERVALUE(SUBSTITUTE(LEFT(TRIM(C915),FIND(" ",TRIM(C915)&amp;" ")-1),",","."),"."),LEFT(SUBSTITUTE(LEFT(TRIM(C915),FIND(" ",TRIM(C915)&amp;" ")-1),",","."),FIND("/",SUBSTITUTE(LEFT(TRIM(C915),FIND(" ",TRIM(C915)&amp;" ")-1),",","."))-1)/MID(SUBSTITUTE(LEFT(TRIM(C915),FIND(" ",TRIM(C915)&amp;" ")-1),",","."),FIND("/",SUBSTITUTE(LEFT(TRIM(C915),FIND(" ",TRIM(C915)&amp;" ")-1),",","."))+1,9))*12/52,IF(ISNUMBER(SEARCH("month",C915)),IFERROR(_xlfn.NUMBERVALUE(SUBSTITUTE(LEFT(TRIM(C915),FIND(" ",TRIM(C915)&amp;" ")-1),",","."),"."),LEFT(SUBSTITUTE(LEFT(TRIM(C915),FIND(" ",TRIM(C915)&amp;" ")-1),",","."),FIND("/",SUBSTITUTE(LEFT(TRIM(C915),FIND(" ",TRIM(C915)&amp;" ")-1),",","."))-1)/MID(SUBSTITUTE(LEFT(TRIM(C915),FIND(" ",TRIM(C915)&amp;" ")-1),",","."),FIND("/",SUBSTITUTE(LEFT(TRIM(C915),FIND(" ",TRIM(C915)&amp;" ")-1),",","."))+1,9)),IF(ISNUMBER(SEARCH("yea",C915)),IFERROR(_xlfn.NUMBERVALUE(SUBSTITUTE(LEFT(TRIM(C915),FIND(" ",TRIM(C915)&amp;" ")-1),",","."),"."),LEFT(SUBSTITUTE(LEFT(TRIM(C915),FIND(" ",TRIM(C915)&amp;" ")-1),",","."),FIND("/",SUBSTITUTE(LEFT(TRIM(C915),FIND(" ",TRIM(C915)&amp;" ")-1),",","."))-1)/MID(SUBSTITUTE(LEFT(TRIM(C915),FIND(" ",TRIM(C915)&amp;" ")-1),",","."),FIND("/",SUBSTITUTE(LEFT(TRIM(C915),FIND(" ",TRIM(C915)&amp;" ")-1),",","."))+1,9))*12,NA()))),0),6)*'Aturan &amp; Tarif'!$B$4,2)</f>
        <v>340.68</v>
      </c>
      <c r="K915" s="42" t="n">
        <f aca="false">'Aturan &amp; Tarif'!$B$5</f>
        <v>2050</v>
      </c>
      <c r="L915" s="35" t="n">
        <f aca="false">I915+J915+K915</f>
        <v>11390.68</v>
      </c>
      <c r="M915" s="44" t="s">
        <v>1036</v>
      </c>
    </row>
    <row r="916" customFormat="false" ht="60" hidden="false" customHeight="true" outlineLevel="0" collapsed="false">
      <c r="A916" s="39"/>
      <c r="B916" s="40" t="s">
        <v>1074</v>
      </c>
      <c r="C916" s="41" t="s">
        <v>130</v>
      </c>
      <c r="D916" s="41" t="s">
        <v>108</v>
      </c>
      <c r="E916" s="42" t="n">
        <v>9000</v>
      </c>
      <c r="F916" s="42"/>
      <c r="G916" s="42"/>
      <c r="H916" s="43" t="n">
        <v>2</v>
      </c>
      <c r="I916" s="34" t="n">
        <f aca="false">E916*H916+N(F916)+N(G916)</f>
        <v>18000</v>
      </c>
      <c r="J916" s="42" t="n">
        <f aca="false">ROUND(IFERROR(ROUND(IF(OR(ISNUMBER(SEARCH("week",C916)),ISNUMBER(SEARCH("minggu",C916))),IFERROR(_xlfn.NUMBERVALUE(SUBSTITUTE(LEFT(TRIM(C916),FIND(" ",TRIM(C916)&amp;" ")-1),",","."),"."),LEFT(SUBSTITUTE(LEFT(TRIM(C916),FIND(" ",TRIM(C916)&amp;" ")-1),",","."),FIND("/",SUBSTITUTE(LEFT(TRIM(C916),FIND(" ",TRIM(C916)&amp;" ")-1),",","."))-1)/MID(SUBSTITUTE(LEFT(TRIM(C916),FIND(" ",TRIM(C916)&amp;" ")-1),",","."),FIND("/",SUBSTITUTE(LEFT(TRIM(C916),FIND(" ",TRIM(C916)&amp;" ")-1),",","."))+1,9))*12/52,IF(ISNUMBER(SEARCH("month",C916)),IFERROR(_xlfn.NUMBERVALUE(SUBSTITUTE(LEFT(TRIM(C916),FIND(" ",TRIM(C916)&amp;" ")-1),",","."),"."),LEFT(SUBSTITUTE(LEFT(TRIM(C916),FIND(" ",TRIM(C916)&amp;" ")-1),",","."),FIND("/",SUBSTITUTE(LEFT(TRIM(C916),FIND(" ",TRIM(C916)&amp;" ")-1),",","."))-1)/MID(SUBSTITUTE(LEFT(TRIM(C916),FIND(" ",TRIM(C916)&amp;" ")-1),",","."),FIND("/",SUBSTITUTE(LEFT(TRIM(C916),FIND(" ",TRIM(C916)&amp;" ")-1),",","."))+1,9)),IF(ISNUMBER(SEARCH("yea",C916)),IFERROR(_xlfn.NUMBERVALUE(SUBSTITUTE(LEFT(TRIM(C916),FIND(" ",TRIM(C916)&amp;" ")-1),",","."),"."),LEFT(SUBSTITUTE(LEFT(TRIM(C916),FIND(" ",TRIM(C916)&amp;" ")-1),",","."),FIND("/",SUBSTITUTE(LEFT(TRIM(C916),FIND(" ",TRIM(C916)&amp;" ")-1),",","."))-1)/MID(SUBSTITUTE(LEFT(TRIM(C916),FIND(" ",TRIM(C916)&amp;" ")-1),",","."),FIND("/",SUBSTITUTE(LEFT(TRIM(C916),FIND(" ",TRIM(C916)&amp;" ")-1),",","."))+1,9))*12,NA()))),0),12)*'Aturan &amp; Tarif'!$B$4,2)</f>
        <v>681.36</v>
      </c>
      <c r="K916" s="42" t="n">
        <f aca="false">'Aturan &amp; Tarif'!$B$5</f>
        <v>2050</v>
      </c>
      <c r="L916" s="35" t="n">
        <f aca="false">I916+J916+K916</f>
        <v>20731.36</v>
      </c>
      <c r="M916" s="44" t="s">
        <v>1036</v>
      </c>
    </row>
    <row r="917" customFormat="false" ht="60" hidden="false" customHeight="true" outlineLevel="0" collapsed="false">
      <c r="A917" s="39"/>
      <c r="B917" s="40" t="s">
        <v>1075</v>
      </c>
      <c r="C917" s="41" t="s">
        <v>113</v>
      </c>
      <c r="D917" s="41" t="s">
        <v>108</v>
      </c>
      <c r="E917" s="42" t="n">
        <v>9000</v>
      </c>
      <c r="F917" s="42"/>
      <c r="G917" s="42"/>
      <c r="H917" s="43" t="n">
        <v>2</v>
      </c>
      <c r="I917" s="34" t="n">
        <f aca="false">E917*H917+N(F917)+N(G917)</f>
        <v>18000</v>
      </c>
      <c r="J917" s="42" t="n">
        <f aca="false">ROUND(IFERROR(ROUND(IF(OR(ISNUMBER(SEARCH("week",C917)),ISNUMBER(SEARCH("minggu",C917))),IFERROR(_xlfn.NUMBERVALUE(SUBSTITUTE(LEFT(TRIM(C917),FIND(" ",TRIM(C917)&amp;" ")-1),",","."),"."),LEFT(SUBSTITUTE(LEFT(TRIM(C917),FIND(" ",TRIM(C917)&amp;" ")-1),",","."),FIND("/",SUBSTITUTE(LEFT(TRIM(C917),FIND(" ",TRIM(C917)&amp;" ")-1),",","."))-1)/MID(SUBSTITUTE(LEFT(TRIM(C917),FIND(" ",TRIM(C917)&amp;" ")-1),",","."),FIND("/",SUBSTITUTE(LEFT(TRIM(C917),FIND(" ",TRIM(C917)&amp;" ")-1),",","."))+1,9))*12/52,IF(ISNUMBER(SEARCH("month",C917)),IFERROR(_xlfn.NUMBERVALUE(SUBSTITUTE(LEFT(TRIM(C917),FIND(" ",TRIM(C917)&amp;" ")-1),",","."),"."),LEFT(SUBSTITUTE(LEFT(TRIM(C917),FIND(" ",TRIM(C917)&amp;" ")-1),",","."),FIND("/",SUBSTITUTE(LEFT(TRIM(C917),FIND(" ",TRIM(C917)&amp;" ")-1),",","."))-1)/MID(SUBSTITUTE(LEFT(TRIM(C917),FIND(" ",TRIM(C917)&amp;" ")-1),",","."),FIND("/",SUBSTITUTE(LEFT(TRIM(C917),FIND(" ",TRIM(C917)&amp;" ")-1),",","."))+1,9)),IF(ISNUMBER(SEARCH("yea",C917)),IFERROR(_xlfn.NUMBERVALUE(SUBSTITUTE(LEFT(TRIM(C917),FIND(" ",TRIM(C917)&amp;" ")-1),",","."),"."),LEFT(SUBSTITUTE(LEFT(TRIM(C917),FIND(" ",TRIM(C917)&amp;" ")-1),",","."),FIND("/",SUBSTITUTE(LEFT(TRIM(C917),FIND(" ",TRIM(C917)&amp;" ")-1),",","."))-1)/MID(SUBSTITUTE(LEFT(TRIM(C917),FIND(" ",TRIM(C917)&amp;" ")-1),",","."),FIND("/",SUBSTITUTE(LEFT(TRIM(C917),FIND(" ",TRIM(C917)&amp;" ")-1),",","."))+1,9))*12,NA()))),0),18)*'Aturan &amp; Tarif'!$B$4,2)</f>
        <v>1022.04</v>
      </c>
      <c r="K917" s="42" t="n">
        <f aca="false">'Aturan &amp; Tarif'!$B$5</f>
        <v>2050</v>
      </c>
      <c r="L917" s="35" t="n">
        <f aca="false">I917+J917+K917</f>
        <v>21072.04</v>
      </c>
      <c r="M917" s="44" t="s">
        <v>1036</v>
      </c>
    </row>
    <row r="918" customFormat="false" ht="60" hidden="false" customHeight="true" outlineLevel="0" collapsed="false">
      <c r="A918" s="39"/>
      <c r="B918" s="40" t="s">
        <v>1076</v>
      </c>
      <c r="C918" s="41" t="s">
        <v>107</v>
      </c>
      <c r="D918" s="41" t="s">
        <v>108</v>
      </c>
      <c r="E918" s="42" t="n">
        <v>9000</v>
      </c>
      <c r="F918" s="42"/>
      <c r="G918" s="42"/>
      <c r="H918" s="43" t="n">
        <v>2</v>
      </c>
      <c r="I918" s="34" t="n">
        <f aca="false">E918*H918+N(F918)+N(G918)</f>
        <v>18000</v>
      </c>
      <c r="J918" s="42" t="n">
        <f aca="false">ROUND(IFERROR(ROUND(IF(OR(ISNUMBER(SEARCH("week",C918)),ISNUMBER(SEARCH("minggu",C918))),IFERROR(_xlfn.NUMBERVALUE(SUBSTITUTE(LEFT(TRIM(C918),FIND(" ",TRIM(C918)&amp;" ")-1),",","."),"."),LEFT(SUBSTITUTE(LEFT(TRIM(C918),FIND(" ",TRIM(C918)&amp;" ")-1),",","."),FIND("/",SUBSTITUTE(LEFT(TRIM(C918),FIND(" ",TRIM(C918)&amp;" ")-1),",","."))-1)/MID(SUBSTITUTE(LEFT(TRIM(C918),FIND(" ",TRIM(C918)&amp;" ")-1),",","."),FIND("/",SUBSTITUTE(LEFT(TRIM(C918),FIND(" ",TRIM(C918)&amp;" ")-1),",","."))+1,9))*12/52,IF(ISNUMBER(SEARCH("month",C918)),IFERROR(_xlfn.NUMBERVALUE(SUBSTITUTE(LEFT(TRIM(C918),FIND(" ",TRIM(C918)&amp;" ")-1),",","."),"."),LEFT(SUBSTITUTE(LEFT(TRIM(C918),FIND(" ",TRIM(C918)&amp;" ")-1),",","."),FIND("/",SUBSTITUTE(LEFT(TRIM(C918),FIND(" ",TRIM(C918)&amp;" ")-1),",","."))-1)/MID(SUBSTITUTE(LEFT(TRIM(C918),FIND(" ",TRIM(C918)&amp;" ")-1),",","."),FIND("/",SUBSTITUTE(LEFT(TRIM(C918),FIND(" ",TRIM(C918)&amp;" ")-1),",","."))+1,9)),IF(ISNUMBER(SEARCH("yea",C918)),IFERROR(_xlfn.NUMBERVALUE(SUBSTITUTE(LEFT(TRIM(C918),FIND(" ",TRIM(C918)&amp;" ")-1),",","."),"."),LEFT(SUBSTITUTE(LEFT(TRIM(C918),FIND(" ",TRIM(C918)&amp;" ")-1),",","."),FIND("/",SUBSTITUTE(LEFT(TRIM(C918),FIND(" ",TRIM(C918)&amp;" ")-1),",","."))-1)/MID(SUBSTITUTE(LEFT(TRIM(C918),FIND(" ",TRIM(C918)&amp;" ")-1),",","."),FIND("/",SUBSTITUTE(LEFT(TRIM(C918),FIND(" ",TRIM(C918)&amp;" ")-1),",","."))+1,9))*12,NA()))),0),24)*'Aturan &amp; Tarif'!$B$4,2)</f>
        <v>1362.72</v>
      </c>
      <c r="K918" s="42" t="n">
        <f aca="false">'Aturan &amp; Tarif'!$B$5</f>
        <v>2050</v>
      </c>
      <c r="L918" s="35" t="n">
        <f aca="false">I918+J918+K918</f>
        <v>21412.72</v>
      </c>
      <c r="M918" s="44" t="s">
        <v>1036</v>
      </c>
    </row>
    <row r="919" customFormat="false" ht="60" hidden="false" customHeight="true" outlineLevel="0" collapsed="false">
      <c r="A919" s="39"/>
      <c r="B919" s="40" t="s">
        <v>1055</v>
      </c>
      <c r="C919" s="41" t="s">
        <v>107</v>
      </c>
      <c r="D919" s="41" t="s">
        <v>108</v>
      </c>
      <c r="E919" s="42" t="n">
        <v>9000</v>
      </c>
      <c r="F919" s="42"/>
      <c r="G919" s="42"/>
      <c r="H919" s="43" t="n">
        <v>2</v>
      </c>
      <c r="I919" s="34" t="n">
        <f aca="false">E919*H919+N(F919)+N(G919)</f>
        <v>18000</v>
      </c>
      <c r="J919" s="42" t="n">
        <f aca="false">ROUND(IFERROR(ROUND(IF(OR(ISNUMBER(SEARCH("week",C919)),ISNUMBER(SEARCH("minggu",C919))),IFERROR(_xlfn.NUMBERVALUE(SUBSTITUTE(LEFT(TRIM(C919),FIND(" ",TRIM(C919)&amp;" ")-1),",","."),"."),LEFT(SUBSTITUTE(LEFT(TRIM(C919),FIND(" ",TRIM(C919)&amp;" ")-1),",","."),FIND("/",SUBSTITUTE(LEFT(TRIM(C919),FIND(" ",TRIM(C919)&amp;" ")-1),",","."))-1)/MID(SUBSTITUTE(LEFT(TRIM(C919),FIND(" ",TRIM(C919)&amp;" ")-1),",","."),FIND("/",SUBSTITUTE(LEFT(TRIM(C919),FIND(" ",TRIM(C919)&amp;" ")-1),",","."))+1,9))*12/52,IF(ISNUMBER(SEARCH("month",C919)),IFERROR(_xlfn.NUMBERVALUE(SUBSTITUTE(LEFT(TRIM(C919),FIND(" ",TRIM(C919)&amp;" ")-1),",","."),"."),LEFT(SUBSTITUTE(LEFT(TRIM(C919),FIND(" ",TRIM(C919)&amp;" ")-1),",","."),FIND("/",SUBSTITUTE(LEFT(TRIM(C919),FIND(" ",TRIM(C919)&amp;" ")-1),",","."))-1)/MID(SUBSTITUTE(LEFT(TRIM(C919),FIND(" ",TRIM(C919)&amp;" ")-1),",","."),FIND("/",SUBSTITUTE(LEFT(TRIM(C919),FIND(" ",TRIM(C919)&amp;" ")-1),",","."))+1,9)),IF(ISNUMBER(SEARCH("yea",C919)),IFERROR(_xlfn.NUMBERVALUE(SUBSTITUTE(LEFT(TRIM(C919),FIND(" ",TRIM(C919)&amp;" ")-1),",","."),"."),LEFT(SUBSTITUTE(LEFT(TRIM(C919),FIND(" ",TRIM(C919)&amp;" ")-1),",","."),FIND("/",SUBSTITUTE(LEFT(TRIM(C919),FIND(" ",TRIM(C919)&amp;" ")-1),",","."))-1)/MID(SUBSTITUTE(LEFT(TRIM(C919),FIND(" ",TRIM(C919)&amp;" ")-1),",","."),FIND("/",SUBSTITUTE(LEFT(TRIM(C919),FIND(" ",TRIM(C919)&amp;" ")-1),",","."))+1,9))*12,NA()))),0),24)*'Aturan &amp; Tarif'!$B$4,2)</f>
        <v>1362.72</v>
      </c>
      <c r="K919" s="42" t="n">
        <f aca="false">'Aturan &amp; Tarif'!$B$5</f>
        <v>2050</v>
      </c>
      <c r="L919" s="35" t="n">
        <f aca="false">I919+J919+K919</f>
        <v>21412.72</v>
      </c>
      <c r="M919" s="44" t="s">
        <v>1056</v>
      </c>
    </row>
    <row r="920" customFormat="false" ht="60" hidden="false" customHeight="true" outlineLevel="0" collapsed="false">
      <c r="A920" s="39"/>
      <c r="B920" s="40" t="s">
        <v>1077</v>
      </c>
      <c r="C920" s="41" t="s">
        <v>107</v>
      </c>
      <c r="D920" s="41" t="s">
        <v>108</v>
      </c>
      <c r="E920" s="42" t="n">
        <v>7950</v>
      </c>
      <c r="F920" s="42"/>
      <c r="G920" s="42"/>
      <c r="H920" s="43" t="n">
        <v>2</v>
      </c>
      <c r="I920" s="34" t="n">
        <f aca="false">E920*H920+N(F920)+N(G920)</f>
        <v>15900</v>
      </c>
      <c r="J920" s="42" t="n">
        <f aca="false">ROUND(IFERROR(ROUND(IF(OR(ISNUMBER(SEARCH("week",C920)),ISNUMBER(SEARCH("minggu",C920))),IFERROR(_xlfn.NUMBERVALUE(SUBSTITUTE(LEFT(TRIM(C920),FIND(" ",TRIM(C920)&amp;" ")-1),",","."),"."),LEFT(SUBSTITUTE(LEFT(TRIM(C920),FIND(" ",TRIM(C920)&amp;" ")-1),",","."),FIND("/",SUBSTITUTE(LEFT(TRIM(C920),FIND(" ",TRIM(C920)&amp;" ")-1),",","."))-1)/MID(SUBSTITUTE(LEFT(TRIM(C920),FIND(" ",TRIM(C920)&amp;" ")-1),",","."),FIND("/",SUBSTITUTE(LEFT(TRIM(C920),FIND(" ",TRIM(C920)&amp;" ")-1),",","."))+1,9))*12/52,IF(ISNUMBER(SEARCH("month",C920)),IFERROR(_xlfn.NUMBERVALUE(SUBSTITUTE(LEFT(TRIM(C920),FIND(" ",TRIM(C920)&amp;" ")-1),",","."),"."),LEFT(SUBSTITUTE(LEFT(TRIM(C920),FIND(" ",TRIM(C920)&amp;" ")-1),",","."),FIND("/",SUBSTITUTE(LEFT(TRIM(C920),FIND(" ",TRIM(C920)&amp;" ")-1),",","."))-1)/MID(SUBSTITUTE(LEFT(TRIM(C920),FIND(" ",TRIM(C920)&amp;" ")-1),",","."),FIND("/",SUBSTITUTE(LEFT(TRIM(C920),FIND(" ",TRIM(C920)&amp;" ")-1),",","."))+1,9)),IF(ISNUMBER(SEARCH("yea",C920)),IFERROR(_xlfn.NUMBERVALUE(SUBSTITUTE(LEFT(TRIM(C920),FIND(" ",TRIM(C920)&amp;" ")-1),",","."),"."),LEFT(SUBSTITUTE(LEFT(TRIM(C920),FIND(" ",TRIM(C920)&amp;" ")-1),",","."),FIND("/",SUBSTITUTE(LEFT(TRIM(C920),FIND(" ",TRIM(C920)&amp;" ")-1),",","."))-1)/MID(SUBSTITUTE(LEFT(TRIM(C920),FIND(" ",TRIM(C920)&amp;" ")-1),",","."),FIND("/",SUBSTITUTE(LEFT(TRIM(C920),FIND(" ",TRIM(C920)&amp;" ")-1),",","."))+1,9))*12,NA()))),0),24)*'Aturan &amp; Tarif'!$B$4,2)</f>
        <v>1362.72</v>
      </c>
      <c r="K920" s="42" t="n">
        <f aca="false">'Aturan &amp; Tarif'!$B$5</f>
        <v>2050</v>
      </c>
      <c r="L920" s="35" t="n">
        <f aca="false">I920+J920+K920</f>
        <v>19312.72</v>
      </c>
      <c r="M920" s="44" t="s">
        <v>1036</v>
      </c>
    </row>
    <row r="921" customFormat="false" ht="60" hidden="false" customHeight="true" outlineLevel="0" collapsed="false">
      <c r="A921" s="39"/>
      <c r="B921" s="40" t="s">
        <v>1078</v>
      </c>
      <c r="C921" s="41" t="s">
        <v>107</v>
      </c>
      <c r="D921" s="41" t="s">
        <v>108</v>
      </c>
      <c r="E921" s="42" t="n">
        <v>20635</v>
      </c>
      <c r="F921" s="42"/>
      <c r="G921" s="42"/>
      <c r="H921" s="43" t="n">
        <v>2</v>
      </c>
      <c r="I921" s="34" t="n">
        <f aca="false">E921*H921+N(F921)+N(G921)</f>
        <v>41270</v>
      </c>
      <c r="J921" s="42" t="n">
        <f aca="false">ROUND(IFERROR(ROUND(IF(OR(ISNUMBER(SEARCH("week",C921)),ISNUMBER(SEARCH("minggu",C921))),IFERROR(_xlfn.NUMBERVALUE(SUBSTITUTE(LEFT(TRIM(C921),FIND(" ",TRIM(C921)&amp;" ")-1),",","."),"."),LEFT(SUBSTITUTE(LEFT(TRIM(C921),FIND(" ",TRIM(C921)&amp;" ")-1),",","."),FIND("/",SUBSTITUTE(LEFT(TRIM(C921),FIND(" ",TRIM(C921)&amp;" ")-1),",","."))-1)/MID(SUBSTITUTE(LEFT(TRIM(C921),FIND(" ",TRIM(C921)&amp;" ")-1),",","."),FIND("/",SUBSTITUTE(LEFT(TRIM(C921),FIND(" ",TRIM(C921)&amp;" ")-1),",","."))+1,9))*12/52,IF(ISNUMBER(SEARCH("month",C921)),IFERROR(_xlfn.NUMBERVALUE(SUBSTITUTE(LEFT(TRIM(C921),FIND(" ",TRIM(C921)&amp;" ")-1),",","."),"."),LEFT(SUBSTITUTE(LEFT(TRIM(C921),FIND(" ",TRIM(C921)&amp;" ")-1),",","."),FIND("/",SUBSTITUTE(LEFT(TRIM(C921),FIND(" ",TRIM(C921)&amp;" ")-1),",","."))-1)/MID(SUBSTITUTE(LEFT(TRIM(C921),FIND(" ",TRIM(C921)&amp;" ")-1),",","."),FIND("/",SUBSTITUTE(LEFT(TRIM(C921),FIND(" ",TRIM(C921)&amp;" ")-1),",","."))+1,9)),IF(ISNUMBER(SEARCH("yea",C921)),IFERROR(_xlfn.NUMBERVALUE(SUBSTITUTE(LEFT(TRIM(C921),FIND(" ",TRIM(C921)&amp;" ")-1),",","."),"."),LEFT(SUBSTITUTE(LEFT(TRIM(C921),FIND(" ",TRIM(C921)&amp;" ")-1),",","."),FIND("/",SUBSTITUTE(LEFT(TRIM(C921),FIND(" ",TRIM(C921)&amp;" ")-1),",","."))-1)/MID(SUBSTITUTE(LEFT(TRIM(C921),FIND(" ",TRIM(C921)&amp;" ")-1),",","."),FIND("/",SUBSTITUTE(LEFT(TRIM(C921),FIND(" ",TRIM(C921)&amp;" ")-1),",","."))+1,9))*12,NA()))),0),24)*'Aturan &amp; Tarif'!$B$4,2)</f>
        <v>1362.72</v>
      </c>
      <c r="K921" s="42" t="n">
        <f aca="false">'Aturan &amp; Tarif'!$B$5</f>
        <v>2050</v>
      </c>
      <c r="L921" s="35" t="n">
        <f aca="false">I921+J921+K921</f>
        <v>44682.72</v>
      </c>
      <c r="M921" s="45" t="s">
        <v>1079</v>
      </c>
    </row>
    <row r="922" customFormat="false" ht="60" hidden="false" customHeight="true" outlineLevel="0" collapsed="false">
      <c r="A922" s="39"/>
      <c r="B922" s="40" t="s">
        <v>2465</v>
      </c>
      <c r="C922" s="41" t="s">
        <v>130</v>
      </c>
      <c r="D922" s="41" t="s">
        <v>108</v>
      </c>
      <c r="E922" s="42" t="n">
        <v>9375</v>
      </c>
      <c r="F922" s="42"/>
      <c r="G922" s="42"/>
      <c r="H922" s="43" t="n">
        <v>2</v>
      </c>
      <c r="I922" s="34" t="n">
        <f aca="false">E922*H922+N(F922)+N(G922)</f>
        <v>18750</v>
      </c>
      <c r="J922" s="42" t="n">
        <f aca="false">ROUND(IFERROR(ROUND(IF(OR(ISNUMBER(SEARCH("week",C922)),ISNUMBER(SEARCH("minggu",C922))),IFERROR(_xlfn.NUMBERVALUE(SUBSTITUTE(LEFT(TRIM(C922),FIND(" ",TRIM(C922)&amp;" ")-1),",","."),"."),LEFT(SUBSTITUTE(LEFT(TRIM(C922),FIND(" ",TRIM(C922)&amp;" ")-1),",","."),FIND("/",SUBSTITUTE(LEFT(TRIM(C922),FIND(" ",TRIM(C922)&amp;" ")-1),",","."))-1)/MID(SUBSTITUTE(LEFT(TRIM(C922),FIND(" ",TRIM(C922)&amp;" ")-1),",","."),FIND("/",SUBSTITUTE(LEFT(TRIM(C922),FIND(" ",TRIM(C922)&amp;" ")-1),",","."))+1,9))*12/52,IF(ISNUMBER(SEARCH("month",C922)),IFERROR(_xlfn.NUMBERVALUE(SUBSTITUTE(LEFT(TRIM(C922),FIND(" ",TRIM(C922)&amp;" ")-1),",","."),"."),LEFT(SUBSTITUTE(LEFT(TRIM(C922),FIND(" ",TRIM(C922)&amp;" ")-1),",","."),FIND("/",SUBSTITUTE(LEFT(TRIM(C922),FIND(" ",TRIM(C922)&amp;" ")-1),",","."))-1)/MID(SUBSTITUTE(LEFT(TRIM(C922),FIND(" ",TRIM(C922)&amp;" ")-1),",","."),FIND("/",SUBSTITUTE(LEFT(TRIM(C922),FIND(" ",TRIM(C922)&amp;" ")-1),",","."))+1,9)),IF(ISNUMBER(SEARCH("yea",C922)),IFERROR(_xlfn.NUMBERVALUE(SUBSTITUTE(LEFT(TRIM(C922),FIND(" ",TRIM(C922)&amp;" ")-1),",","."),"."),LEFT(SUBSTITUTE(LEFT(TRIM(C922),FIND(" ",TRIM(C922)&amp;" ")-1),",","."),FIND("/",SUBSTITUTE(LEFT(TRIM(C922),FIND(" ",TRIM(C922)&amp;" ")-1),",","."))-1)/MID(SUBSTITUTE(LEFT(TRIM(C922),FIND(" ",TRIM(C922)&amp;" ")-1),",","."),FIND("/",SUBSTITUTE(LEFT(TRIM(C922),FIND(" ",TRIM(C922)&amp;" ")-1),",","."))+1,9))*12,NA()))),0),12)*'Aturan &amp; Tarif'!$B$4,2)</f>
        <v>681.36</v>
      </c>
      <c r="K922" s="42" t="n">
        <f aca="false">'Aturan &amp; Tarif'!$B$5</f>
        <v>2050</v>
      </c>
      <c r="L922" s="35" t="n">
        <f aca="false">I922+J922+K922</f>
        <v>21481.36</v>
      </c>
      <c r="M922" s="44" t="s">
        <v>2466</v>
      </c>
    </row>
    <row r="923" customFormat="false" ht="60" hidden="false" customHeight="true" outlineLevel="0" collapsed="false">
      <c r="A923" s="39"/>
      <c r="B923" s="40" t="s">
        <v>1080</v>
      </c>
      <c r="C923" s="41" t="s">
        <v>113</v>
      </c>
      <c r="D923" s="41" t="s">
        <v>108</v>
      </c>
      <c r="E923" s="42" t="n">
        <v>6250</v>
      </c>
      <c r="F923" s="42"/>
      <c r="G923" s="42"/>
      <c r="H923" s="43" t="n">
        <v>2</v>
      </c>
      <c r="I923" s="34" t="n">
        <f aca="false">E923*H923+N(F923)+N(G923)</f>
        <v>12500</v>
      </c>
      <c r="J923" s="42" t="n">
        <f aca="false">ROUND(IFERROR(ROUND(IF(OR(ISNUMBER(SEARCH("week",C923)),ISNUMBER(SEARCH("minggu",C923))),IFERROR(_xlfn.NUMBERVALUE(SUBSTITUTE(LEFT(TRIM(C923),FIND(" ",TRIM(C923)&amp;" ")-1),",","."),"."),LEFT(SUBSTITUTE(LEFT(TRIM(C923),FIND(" ",TRIM(C923)&amp;" ")-1),",","."),FIND("/",SUBSTITUTE(LEFT(TRIM(C923),FIND(" ",TRIM(C923)&amp;" ")-1),",","."))-1)/MID(SUBSTITUTE(LEFT(TRIM(C923),FIND(" ",TRIM(C923)&amp;" ")-1),",","."),FIND("/",SUBSTITUTE(LEFT(TRIM(C923),FIND(" ",TRIM(C923)&amp;" ")-1),",","."))+1,9))*12/52,IF(ISNUMBER(SEARCH("month",C923)),IFERROR(_xlfn.NUMBERVALUE(SUBSTITUTE(LEFT(TRIM(C923),FIND(" ",TRIM(C923)&amp;" ")-1),",","."),"."),LEFT(SUBSTITUTE(LEFT(TRIM(C923),FIND(" ",TRIM(C923)&amp;" ")-1),",","."),FIND("/",SUBSTITUTE(LEFT(TRIM(C923),FIND(" ",TRIM(C923)&amp;" ")-1),",","."))-1)/MID(SUBSTITUTE(LEFT(TRIM(C923),FIND(" ",TRIM(C923)&amp;" ")-1),",","."),FIND("/",SUBSTITUTE(LEFT(TRIM(C923),FIND(" ",TRIM(C923)&amp;" ")-1),",","."))+1,9)),IF(ISNUMBER(SEARCH("yea",C923)),IFERROR(_xlfn.NUMBERVALUE(SUBSTITUTE(LEFT(TRIM(C923),FIND(" ",TRIM(C923)&amp;" ")-1),",","."),"."),LEFT(SUBSTITUTE(LEFT(TRIM(C923),FIND(" ",TRIM(C923)&amp;" ")-1),",","."),FIND("/",SUBSTITUTE(LEFT(TRIM(C923),FIND(" ",TRIM(C923)&amp;" ")-1),",","."))-1)/MID(SUBSTITUTE(LEFT(TRIM(C923),FIND(" ",TRIM(C923)&amp;" ")-1),",","."),FIND("/",SUBSTITUTE(LEFT(TRIM(C923),FIND(" ",TRIM(C923)&amp;" ")-1),",","."))+1,9))*12,NA()))),0),18)*'Aturan &amp; Tarif'!$B$4,2)</f>
        <v>1022.04</v>
      </c>
      <c r="K923" s="42" t="n">
        <f aca="false">'Aturan &amp; Tarif'!$B$5</f>
        <v>2050</v>
      </c>
      <c r="L923" s="35" t="n">
        <f aca="false">I923+J923+K923</f>
        <v>15572.04</v>
      </c>
      <c r="M923" s="44" t="s">
        <v>2467</v>
      </c>
    </row>
    <row r="924" customFormat="false" ht="60" hidden="false" customHeight="true" outlineLevel="0" collapsed="false">
      <c r="A924" s="39"/>
      <c r="B924" s="40" t="s">
        <v>1082</v>
      </c>
      <c r="C924" s="41" t="s">
        <v>127</v>
      </c>
      <c r="D924" s="41" t="s">
        <v>108</v>
      </c>
      <c r="E924" s="42" t="n">
        <v>9375</v>
      </c>
      <c r="F924" s="42"/>
      <c r="G924" s="42"/>
      <c r="H924" s="43" t="n">
        <v>2</v>
      </c>
      <c r="I924" s="34" t="n">
        <f aca="false">E924*H924+N(F924)+N(G924)</f>
        <v>18750</v>
      </c>
      <c r="J924" s="42" t="n">
        <f aca="false">ROUND(IFERROR(ROUND(IF(OR(ISNUMBER(SEARCH("week",C924)),ISNUMBER(SEARCH("minggu",C924))),IFERROR(_xlfn.NUMBERVALUE(SUBSTITUTE(LEFT(TRIM(C924),FIND(" ",TRIM(C924)&amp;" ")-1),",","."),"."),LEFT(SUBSTITUTE(LEFT(TRIM(C924),FIND(" ",TRIM(C924)&amp;" ")-1),",","."),FIND("/",SUBSTITUTE(LEFT(TRIM(C924),FIND(" ",TRIM(C924)&amp;" ")-1),",","."))-1)/MID(SUBSTITUTE(LEFT(TRIM(C924),FIND(" ",TRIM(C924)&amp;" ")-1),",","."),FIND("/",SUBSTITUTE(LEFT(TRIM(C924),FIND(" ",TRIM(C924)&amp;" ")-1),",","."))+1,9))*12/52,IF(ISNUMBER(SEARCH("month",C924)),IFERROR(_xlfn.NUMBERVALUE(SUBSTITUTE(LEFT(TRIM(C924),FIND(" ",TRIM(C924)&amp;" ")-1),",","."),"."),LEFT(SUBSTITUTE(LEFT(TRIM(C924),FIND(" ",TRIM(C924)&amp;" ")-1),",","."),FIND("/",SUBSTITUTE(LEFT(TRIM(C924),FIND(" ",TRIM(C924)&amp;" ")-1),",","."))-1)/MID(SUBSTITUTE(LEFT(TRIM(C924),FIND(" ",TRIM(C924)&amp;" ")-1),",","."),FIND("/",SUBSTITUTE(LEFT(TRIM(C924),FIND(" ",TRIM(C924)&amp;" ")-1),",","."))+1,9)),IF(ISNUMBER(SEARCH("yea",C924)),IFERROR(_xlfn.NUMBERVALUE(SUBSTITUTE(LEFT(TRIM(C924),FIND(" ",TRIM(C924)&amp;" ")-1),",","."),"."),LEFT(SUBSTITUTE(LEFT(TRIM(C924),FIND(" ",TRIM(C924)&amp;" ")-1),",","."),FIND("/",SUBSTITUTE(LEFT(TRIM(C924),FIND(" ",TRIM(C924)&amp;" ")-1),",","."))-1)/MID(SUBSTITUTE(LEFT(TRIM(C924),FIND(" ",TRIM(C924)&amp;" ")-1),",","."),FIND("/",SUBSTITUTE(LEFT(TRIM(C924),FIND(" ",TRIM(C924)&amp;" ")-1),",","."))+1,9))*12,NA()))),0),36)*'Aturan &amp; Tarif'!$B$4,2)</f>
        <v>2044.08</v>
      </c>
      <c r="K924" s="42" t="n">
        <f aca="false">'Aturan &amp; Tarif'!$B$5</f>
        <v>2050</v>
      </c>
      <c r="L924" s="35" t="n">
        <f aca="false">I924+J924+K924</f>
        <v>22844.08</v>
      </c>
      <c r="M924" s="44" t="s">
        <v>2468</v>
      </c>
    </row>
    <row r="925" customFormat="false" ht="60" hidden="false" customHeight="true" outlineLevel="0" collapsed="false">
      <c r="A925" s="39"/>
      <c r="B925" s="40" t="s">
        <v>1084</v>
      </c>
      <c r="C925" s="41" t="s">
        <v>130</v>
      </c>
      <c r="D925" s="41" t="s">
        <v>108</v>
      </c>
      <c r="E925" s="42" t="n">
        <v>9375</v>
      </c>
      <c r="F925" s="42"/>
      <c r="G925" s="42"/>
      <c r="H925" s="43" t="n">
        <v>2</v>
      </c>
      <c r="I925" s="34" t="n">
        <f aca="false">E925*H925+N(F925)+N(G925)</f>
        <v>18750</v>
      </c>
      <c r="J925" s="42" t="n">
        <f aca="false">ROUND(IFERROR(ROUND(IF(OR(ISNUMBER(SEARCH("week",C925)),ISNUMBER(SEARCH("minggu",C925))),IFERROR(_xlfn.NUMBERVALUE(SUBSTITUTE(LEFT(TRIM(C925),FIND(" ",TRIM(C925)&amp;" ")-1),",","."),"."),LEFT(SUBSTITUTE(LEFT(TRIM(C925),FIND(" ",TRIM(C925)&amp;" ")-1),",","."),FIND("/",SUBSTITUTE(LEFT(TRIM(C925),FIND(" ",TRIM(C925)&amp;" ")-1),",","."))-1)/MID(SUBSTITUTE(LEFT(TRIM(C925),FIND(" ",TRIM(C925)&amp;" ")-1),",","."),FIND("/",SUBSTITUTE(LEFT(TRIM(C925),FIND(" ",TRIM(C925)&amp;" ")-1),",","."))+1,9))*12/52,IF(ISNUMBER(SEARCH("month",C925)),IFERROR(_xlfn.NUMBERVALUE(SUBSTITUTE(LEFT(TRIM(C925),FIND(" ",TRIM(C925)&amp;" ")-1),",","."),"."),LEFT(SUBSTITUTE(LEFT(TRIM(C925),FIND(" ",TRIM(C925)&amp;" ")-1),",","."),FIND("/",SUBSTITUTE(LEFT(TRIM(C925),FIND(" ",TRIM(C925)&amp;" ")-1),",","."))-1)/MID(SUBSTITUTE(LEFT(TRIM(C925),FIND(" ",TRIM(C925)&amp;" ")-1),",","."),FIND("/",SUBSTITUTE(LEFT(TRIM(C925),FIND(" ",TRIM(C925)&amp;" ")-1),",","."))+1,9)),IF(ISNUMBER(SEARCH("yea",C925)),IFERROR(_xlfn.NUMBERVALUE(SUBSTITUTE(LEFT(TRIM(C925),FIND(" ",TRIM(C925)&amp;" ")-1),",","."),"."),LEFT(SUBSTITUTE(LEFT(TRIM(C925),FIND(" ",TRIM(C925)&amp;" ")-1),",","."),FIND("/",SUBSTITUTE(LEFT(TRIM(C925),FIND(" ",TRIM(C925)&amp;" ")-1),",","."))-1)/MID(SUBSTITUTE(LEFT(TRIM(C925),FIND(" ",TRIM(C925)&amp;" ")-1),",","."),FIND("/",SUBSTITUTE(LEFT(TRIM(C925),FIND(" ",TRIM(C925)&amp;" ")-1),",","."))+1,9))*12,NA()))),0),12)*'Aturan &amp; Tarif'!$B$4,2)</f>
        <v>681.36</v>
      </c>
      <c r="K925" s="42" t="n">
        <f aca="false">'Aturan &amp; Tarif'!$B$5</f>
        <v>2050</v>
      </c>
      <c r="L925" s="35" t="n">
        <f aca="false">I925+J925+K925</f>
        <v>21481.36</v>
      </c>
      <c r="M925" s="44" t="s">
        <v>1085</v>
      </c>
    </row>
    <row r="926" customFormat="false" ht="60" hidden="false" customHeight="true" outlineLevel="0" collapsed="false">
      <c r="A926" s="39"/>
      <c r="B926" s="40" t="s">
        <v>1086</v>
      </c>
      <c r="C926" s="41" t="s">
        <v>130</v>
      </c>
      <c r="D926" s="41" t="s">
        <v>108</v>
      </c>
      <c r="E926" s="42" t="n">
        <v>9375</v>
      </c>
      <c r="F926" s="42"/>
      <c r="G926" s="42"/>
      <c r="H926" s="43" t="n">
        <v>2</v>
      </c>
      <c r="I926" s="34" t="n">
        <f aca="false">E926*H926+N(F926)+N(G926)</f>
        <v>18750</v>
      </c>
      <c r="J926" s="42" t="n">
        <f aca="false">ROUND(IFERROR(ROUND(IF(OR(ISNUMBER(SEARCH("week",C926)),ISNUMBER(SEARCH("minggu",C926))),IFERROR(_xlfn.NUMBERVALUE(SUBSTITUTE(LEFT(TRIM(C926),FIND(" ",TRIM(C926)&amp;" ")-1),",","."),"."),LEFT(SUBSTITUTE(LEFT(TRIM(C926),FIND(" ",TRIM(C926)&amp;" ")-1),",","."),FIND("/",SUBSTITUTE(LEFT(TRIM(C926),FIND(" ",TRIM(C926)&amp;" ")-1),",","."))-1)/MID(SUBSTITUTE(LEFT(TRIM(C926),FIND(" ",TRIM(C926)&amp;" ")-1),",","."),FIND("/",SUBSTITUTE(LEFT(TRIM(C926),FIND(" ",TRIM(C926)&amp;" ")-1),",","."))+1,9))*12/52,IF(ISNUMBER(SEARCH("month",C926)),IFERROR(_xlfn.NUMBERVALUE(SUBSTITUTE(LEFT(TRIM(C926),FIND(" ",TRIM(C926)&amp;" ")-1),",","."),"."),LEFT(SUBSTITUTE(LEFT(TRIM(C926),FIND(" ",TRIM(C926)&amp;" ")-1),",","."),FIND("/",SUBSTITUTE(LEFT(TRIM(C926),FIND(" ",TRIM(C926)&amp;" ")-1),",","."))-1)/MID(SUBSTITUTE(LEFT(TRIM(C926),FIND(" ",TRIM(C926)&amp;" ")-1),",","."),FIND("/",SUBSTITUTE(LEFT(TRIM(C926),FIND(" ",TRIM(C926)&amp;" ")-1),",","."))+1,9)),IF(ISNUMBER(SEARCH("yea",C926)),IFERROR(_xlfn.NUMBERVALUE(SUBSTITUTE(LEFT(TRIM(C926),FIND(" ",TRIM(C926)&amp;" ")-1),",","."),"."),LEFT(SUBSTITUTE(LEFT(TRIM(C926),FIND(" ",TRIM(C926)&amp;" ")-1),",","."),FIND("/",SUBSTITUTE(LEFT(TRIM(C926),FIND(" ",TRIM(C926)&amp;" ")-1),",","."))-1)/MID(SUBSTITUTE(LEFT(TRIM(C926),FIND(" ",TRIM(C926)&amp;" ")-1),",","."),FIND("/",SUBSTITUTE(LEFT(TRIM(C926),FIND(" ",TRIM(C926)&amp;" ")-1),",","."))+1,9))*12,NA()))),0),12)*'Aturan &amp; Tarif'!$B$4,2)</f>
        <v>681.36</v>
      </c>
      <c r="K926" s="42" t="n">
        <f aca="false">'Aturan &amp; Tarif'!$B$5</f>
        <v>2050</v>
      </c>
      <c r="L926" s="35" t="n">
        <f aca="false">I926+J926+K926</f>
        <v>21481.36</v>
      </c>
      <c r="M926" s="44" t="s">
        <v>1087</v>
      </c>
    </row>
    <row r="927" customFormat="false" ht="60" hidden="false" customHeight="true" outlineLevel="0" collapsed="false">
      <c r="A927" s="39"/>
      <c r="B927" s="40" t="s">
        <v>1088</v>
      </c>
      <c r="C927" s="41" t="s">
        <v>127</v>
      </c>
      <c r="D927" s="41" t="s">
        <v>108</v>
      </c>
      <c r="E927" s="42" t="n">
        <v>9375</v>
      </c>
      <c r="F927" s="42"/>
      <c r="G927" s="42"/>
      <c r="H927" s="43" t="n">
        <v>2</v>
      </c>
      <c r="I927" s="34" t="n">
        <f aca="false">E927*H927+N(F927)+N(G927)</f>
        <v>18750</v>
      </c>
      <c r="J927" s="42" t="n">
        <f aca="false">ROUND(IFERROR(ROUND(IF(OR(ISNUMBER(SEARCH("week",C927)),ISNUMBER(SEARCH("minggu",C927))),IFERROR(_xlfn.NUMBERVALUE(SUBSTITUTE(LEFT(TRIM(C927),FIND(" ",TRIM(C927)&amp;" ")-1),",","."),"."),LEFT(SUBSTITUTE(LEFT(TRIM(C927),FIND(" ",TRIM(C927)&amp;" ")-1),",","."),FIND("/",SUBSTITUTE(LEFT(TRIM(C927),FIND(" ",TRIM(C927)&amp;" ")-1),",","."))-1)/MID(SUBSTITUTE(LEFT(TRIM(C927),FIND(" ",TRIM(C927)&amp;" ")-1),",","."),FIND("/",SUBSTITUTE(LEFT(TRIM(C927),FIND(" ",TRIM(C927)&amp;" ")-1),",","."))+1,9))*12/52,IF(ISNUMBER(SEARCH("month",C927)),IFERROR(_xlfn.NUMBERVALUE(SUBSTITUTE(LEFT(TRIM(C927),FIND(" ",TRIM(C927)&amp;" ")-1),",","."),"."),LEFT(SUBSTITUTE(LEFT(TRIM(C927),FIND(" ",TRIM(C927)&amp;" ")-1),",","."),FIND("/",SUBSTITUTE(LEFT(TRIM(C927),FIND(" ",TRIM(C927)&amp;" ")-1),",","."))-1)/MID(SUBSTITUTE(LEFT(TRIM(C927),FIND(" ",TRIM(C927)&amp;" ")-1),",","."),FIND("/",SUBSTITUTE(LEFT(TRIM(C927),FIND(" ",TRIM(C927)&amp;" ")-1),",","."))+1,9)),IF(ISNUMBER(SEARCH("yea",C927)),IFERROR(_xlfn.NUMBERVALUE(SUBSTITUTE(LEFT(TRIM(C927),FIND(" ",TRIM(C927)&amp;" ")-1),",","."),"."),LEFT(SUBSTITUTE(LEFT(TRIM(C927),FIND(" ",TRIM(C927)&amp;" ")-1),",","."),FIND("/",SUBSTITUTE(LEFT(TRIM(C927),FIND(" ",TRIM(C927)&amp;" ")-1),",","."))-1)/MID(SUBSTITUTE(LEFT(TRIM(C927),FIND(" ",TRIM(C927)&amp;" ")-1),",","."),FIND("/",SUBSTITUTE(LEFT(TRIM(C927),FIND(" ",TRIM(C927)&amp;" ")-1),",","."))+1,9))*12,NA()))),0),36)*'Aturan &amp; Tarif'!$B$4,2)</f>
        <v>2044.08</v>
      </c>
      <c r="K927" s="42" t="n">
        <f aca="false">'Aturan &amp; Tarif'!$B$5</f>
        <v>2050</v>
      </c>
      <c r="L927" s="35" t="n">
        <f aca="false">I927+J927+K927</f>
        <v>22844.08</v>
      </c>
      <c r="M927" s="44" t="s">
        <v>1089</v>
      </c>
    </row>
    <row r="928" customFormat="false" ht="60" hidden="false" customHeight="true" outlineLevel="0" collapsed="false">
      <c r="A928" s="39"/>
      <c r="B928" s="40" t="s">
        <v>1090</v>
      </c>
      <c r="C928" s="41" t="s">
        <v>127</v>
      </c>
      <c r="D928" s="41" t="s">
        <v>108</v>
      </c>
      <c r="E928" s="42" t="n">
        <v>9375</v>
      </c>
      <c r="F928" s="42"/>
      <c r="G928" s="42"/>
      <c r="H928" s="43" t="n">
        <v>2</v>
      </c>
      <c r="I928" s="34" t="n">
        <f aca="false">E928*H928+N(F928)+N(G928)</f>
        <v>18750</v>
      </c>
      <c r="J928" s="42" t="n">
        <f aca="false">ROUND(IFERROR(ROUND(IF(OR(ISNUMBER(SEARCH("week",C928)),ISNUMBER(SEARCH("minggu",C928))),IFERROR(_xlfn.NUMBERVALUE(SUBSTITUTE(LEFT(TRIM(C928),FIND(" ",TRIM(C928)&amp;" ")-1),",","."),"."),LEFT(SUBSTITUTE(LEFT(TRIM(C928),FIND(" ",TRIM(C928)&amp;" ")-1),",","."),FIND("/",SUBSTITUTE(LEFT(TRIM(C928),FIND(" ",TRIM(C928)&amp;" ")-1),",","."))-1)/MID(SUBSTITUTE(LEFT(TRIM(C928),FIND(" ",TRIM(C928)&amp;" ")-1),",","."),FIND("/",SUBSTITUTE(LEFT(TRIM(C928),FIND(" ",TRIM(C928)&amp;" ")-1),",","."))+1,9))*12/52,IF(ISNUMBER(SEARCH("month",C928)),IFERROR(_xlfn.NUMBERVALUE(SUBSTITUTE(LEFT(TRIM(C928),FIND(" ",TRIM(C928)&amp;" ")-1),",","."),"."),LEFT(SUBSTITUTE(LEFT(TRIM(C928),FIND(" ",TRIM(C928)&amp;" ")-1),",","."),FIND("/",SUBSTITUTE(LEFT(TRIM(C928),FIND(" ",TRIM(C928)&amp;" ")-1),",","."))-1)/MID(SUBSTITUTE(LEFT(TRIM(C928),FIND(" ",TRIM(C928)&amp;" ")-1),",","."),FIND("/",SUBSTITUTE(LEFT(TRIM(C928),FIND(" ",TRIM(C928)&amp;" ")-1),",","."))+1,9)),IF(ISNUMBER(SEARCH("yea",C928)),IFERROR(_xlfn.NUMBERVALUE(SUBSTITUTE(LEFT(TRIM(C928),FIND(" ",TRIM(C928)&amp;" ")-1),",","."),"."),LEFT(SUBSTITUTE(LEFT(TRIM(C928),FIND(" ",TRIM(C928)&amp;" ")-1),",","."),FIND("/",SUBSTITUTE(LEFT(TRIM(C928),FIND(" ",TRIM(C928)&amp;" ")-1),",","."))-1)/MID(SUBSTITUTE(LEFT(TRIM(C928),FIND(" ",TRIM(C928)&amp;" ")-1),",","."),FIND("/",SUBSTITUTE(LEFT(TRIM(C928),FIND(" ",TRIM(C928)&amp;" ")-1),",","."))+1,9))*12,NA()))),0),36)*'Aturan &amp; Tarif'!$B$4,2)</f>
        <v>2044.08</v>
      </c>
      <c r="K928" s="42" t="n">
        <f aca="false">'Aturan &amp; Tarif'!$B$5</f>
        <v>2050</v>
      </c>
      <c r="L928" s="35" t="n">
        <f aca="false">I928+J928+K928</f>
        <v>22844.08</v>
      </c>
      <c r="M928" s="44" t="s">
        <v>1091</v>
      </c>
    </row>
    <row r="929" customFormat="false" ht="60" hidden="false" customHeight="true" outlineLevel="0" collapsed="false">
      <c r="A929" s="39"/>
      <c r="B929" s="40" t="s">
        <v>1092</v>
      </c>
      <c r="C929" s="41" t="s">
        <v>107</v>
      </c>
      <c r="D929" s="41" t="s">
        <v>108</v>
      </c>
      <c r="E929" s="42" t="n">
        <v>6250</v>
      </c>
      <c r="F929" s="42"/>
      <c r="G929" s="42"/>
      <c r="H929" s="43" t="n">
        <v>2</v>
      </c>
      <c r="I929" s="34" t="n">
        <f aca="false">E929*H929+N(F929)+N(G929)</f>
        <v>12500</v>
      </c>
      <c r="J929" s="42" t="n">
        <f aca="false">ROUND(IFERROR(ROUND(IF(OR(ISNUMBER(SEARCH("week",C929)),ISNUMBER(SEARCH("minggu",C929))),IFERROR(_xlfn.NUMBERVALUE(SUBSTITUTE(LEFT(TRIM(C929),FIND(" ",TRIM(C929)&amp;" ")-1),",","."),"."),LEFT(SUBSTITUTE(LEFT(TRIM(C929),FIND(" ",TRIM(C929)&amp;" ")-1),",","."),FIND("/",SUBSTITUTE(LEFT(TRIM(C929),FIND(" ",TRIM(C929)&amp;" ")-1),",","."))-1)/MID(SUBSTITUTE(LEFT(TRIM(C929),FIND(" ",TRIM(C929)&amp;" ")-1),",","."),FIND("/",SUBSTITUTE(LEFT(TRIM(C929),FIND(" ",TRIM(C929)&amp;" ")-1),",","."))+1,9))*12/52,IF(ISNUMBER(SEARCH("month",C929)),IFERROR(_xlfn.NUMBERVALUE(SUBSTITUTE(LEFT(TRIM(C929),FIND(" ",TRIM(C929)&amp;" ")-1),",","."),"."),LEFT(SUBSTITUTE(LEFT(TRIM(C929),FIND(" ",TRIM(C929)&amp;" ")-1),",","."),FIND("/",SUBSTITUTE(LEFT(TRIM(C929),FIND(" ",TRIM(C929)&amp;" ")-1),",","."))-1)/MID(SUBSTITUTE(LEFT(TRIM(C929),FIND(" ",TRIM(C929)&amp;" ")-1),",","."),FIND("/",SUBSTITUTE(LEFT(TRIM(C929),FIND(" ",TRIM(C929)&amp;" ")-1),",","."))+1,9)),IF(ISNUMBER(SEARCH("yea",C929)),IFERROR(_xlfn.NUMBERVALUE(SUBSTITUTE(LEFT(TRIM(C929),FIND(" ",TRIM(C929)&amp;" ")-1),",","."),"."),LEFT(SUBSTITUTE(LEFT(TRIM(C929),FIND(" ",TRIM(C929)&amp;" ")-1),",","."),FIND("/",SUBSTITUTE(LEFT(TRIM(C929),FIND(" ",TRIM(C929)&amp;" ")-1),",","."))-1)/MID(SUBSTITUTE(LEFT(TRIM(C929),FIND(" ",TRIM(C929)&amp;" ")-1),",","."),FIND("/",SUBSTITUTE(LEFT(TRIM(C929),FIND(" ",TRIM(C929)&amp;" ")-1),",","."))+1,9))*12,NA()))),0),24)*'Aturan &amp; Tarif'!$B$4,2)</f>
        <v>1362.72</v>
      </c>
      <c r="K929" s="42" t="n">
        <f aca="false">'Aturan &amp; Tarif'!$B$5</f>
        <v>2050</v>
      </c>
      <c r="L929" s="35" t="n">
        <f aca="false">I929+J929+K929</f>
        <v>15912.72</v>
      </c>
      <c r="M929" s="44" t="s">
        <v>1093</v>
      </c>
    </row>
    <row r="930" customFormat="false" ht="60" hidden="false" customHeight="true" outlineLevel="0" collapsed="false">
      <c r="A930" s="39"/>
      <c r="B930" s="40" t="s">
        <v>1094</v>
      </c>
      <c r="C930" s="41" t="s">
        <v>130</v>
      </c>
      <c r="D930" s="41" t="s">
        <v>108</v>
      </c>
      <c r="E930" s="42" t="n">
        <v>6250</v>
      </c>
      <c r="F930" s="42"/>
      <c r="G930" s="42"/>
      <c r="H930" s="43" t="n">
        <v>2</v>
      </c>
      <c r="I930" s="34" t="n">
        <f aca="false">E930*H930+N(F930)+N(G930)</f>
        <v>12500</v>
      </c>
      <c r="J930" s="42" t="n">
        <f aca="false">ROUND(IFERROR(ROUND(IF(OR(ISNUMBER(SEARCH("week",C930)),ISNUMBER(SEARCH("minggu",C930))),IFERROR(_xlfn.NUMBERVALUE(SUBSTITUTE(LEFT(TRIM(C930),FIND(" ",TRIM(C930)&amp;" ")-1),",","."),"."),LEFT(SUBSTITUTE(LEFT(TRIM(C930),FIND(" ",TRIM(C930)&amp;" ")-1),",","."),FIND("/",SUBSTITUTE(LEFT(TRIM(C930),FIND(" ",TRIM(C930)&amp;" ")-1),",","."))-1)/MID(SUBSTITUTE(LEFT(TRIM(C930),FIND(" ",TRIM(C930)&amp;" ")-1),",","."),FIND("/",SUBSTITUTE(LEFT(TRIM(C930),FIND(" ",TRIM(C930)&amp;" ")-1),",","."))+1,9))*12/52,IF(ISNUMBER(SEARCH("month",C930)),IFERROR(_xlfn.NUMBERVALUE(SUBSTITUTE(LEFT(TRIM(C930),FIND(" ",TRIM(C930)&amp;" ")-1),",","."),"."),LEFT(SUBSTITUTE(LEFT(TRIM(C930),FIND(" ",TRIM(C930)&amp;" ")-1),",","."),FIND("/",SUBSTITUTE(LEFT(TRIM(C930),FIND(" ",TRIM(C930)&amp;" ")-1),",","."))-1)/MID(SUBSTITUTE(LEFT(TRIM(C930),FIND(" ",TRIM(C930)&amp;" ")-1),",","."),FIND("/",SUBSTITUTE(LEFT(TRIM(C930),FIND(" ",TRIM(C930)&amp;" ")-1),",","."))+1,9)),IF(ISNUMBER(SEARCH("yea",C930)),IFERROR(_xlfn.NUMBERVALUE(SUBSTITUTE(LEFT(TRIM(C930),FIND(" ",TRIM(C930)&amp;" ")-1),",","."),"."),LEFT(SUBSTITUTE(LEFT(TRIM(C930),FIND(" ",TRIM(C930)&amp;" ")-1),",","."),FIND("/",SUBSTITUTE(LEFT(TRIM(C930),FIND(" ",TRIM(C930)&amp;" ")-1),",","."))-1)/MID(SUBSTITUTE(LEFT(TRIM(C930),FIND(" ",TRIM(C930)&amp;" ")-1),",","."),FIND("/",SUBSTITUTE(LEFT(TRIM(C930),FIND(" ",TRIM(C930)&amp;" ")-1),",","."))+1,9))*12,NA()))),0),12)*'Aturan &amp; Tarif'!$B$4,2)</f>
        <v>681.36</v>
      </c>
      <c r="K930" s="42" t="n">
        <f aca="false">'Aturan &amp; Tarif'!$B$5</f>
        <v>2050</v>
      </c>
      <c r="L930" s="35" t="n">
        <f aca="false">I930+J930+K930</f>
        <v>15231.36</v>
      </c>
      <c r="M930" s="44" t="s">
        <v>1095</v>
      </c>
    </row>
    <row r="931" customFormat="false" ht="60" hidden="false" customHeight="true" outlineLevel="0" collapsed="false">
      <c r="A931" s="39"/>
      <c r="B931" s="40" t="s">
        <v>1096</v>
      </c>
      <c r="C931" s="41" t="s">
        <v>130</v>
      </c>
      <c r="D931" s="41" t="s">
        <v>108</v>
      </c>
      <c r="E931" s="42" t="n">
        <v>9375</v>
      </c>
      <c r="F931" s="42"/>
      <c r="G931" s="42"/>
      <c r="H931" s="43" t="n">
        <v>2</v>
      </c>
      <c r="I931" s="34" t="n">
        <f aca="false">E931*H931+N(F931)+N(G931)</f>
        <v>18750</v>
      </c>
      <c r="J931" s="42" t="n">
        <f aca="false">ROUND(IFERROR(ROUND(IF(OR(ISNUMBER(SEARCH("week",C931)),ISNUMBER(SEARCH("minggu",C931))),IFERROR(_xlfn.NUMBERVALUE(SUBSTITUTE(LEFT(TRIM(C931),FIND(" ",TRIM(C931)&amp;" ")-1),",","."),"."),LEFT(SUBSTITUTE(LEFT(TRIM(C931),FIND(" ",TRIM(C931)&amp;" ")-1),",","."),FIND("/",SUBSTITUTE(LEFT(TRIM(C931),FIND(" ",TRIM(C931)&amp;" ")-1),",","."))-1)/MID(SUBSTITUTE(LEFT(TRIM(C931),FIND(" ",TRIM(C931)&amp;" ")-1),",","."),FIND("/",SUBSTITUTE(LEFT(TRIM(C931),FIND(" ",TRIM(C931)&amp;" ")-1),",","."))+1,9))*12/52,IF(ISNUMBER(SEARCH("month",C931)),IFERROR(_xlfn.NUMBERVALUE(SUBSTITUTE(LEFT(TRIM(C931),FIND(" ",TRIM(C931)&amp;" ")-1),",","."),"."),LEFT(SUBSTITUTE(LEFT(TRIM(C931),FIND(" ",TRIM(C931)&amp;" ")-1),",","."),FIND("/",SUBSTITUTE(LEFT(TRIM(C931),FIND(" ",TRIM(C931)&amp;" ")-1),",","."))-1)/MID(SUBSTITUTE(LEFT(TRIM(C931),FIND(" ",TRIM(C931)&amp;" ")-1),",","."),FIND("/",SUBSTITUTE(LEFT(TRIM(C931),FIND(" ",TRIM(C931)&amp;" ")-1),",","."))+1,9)),IF(ISNUMBER(SEARCH("yea",C931)),IFERROR(_xlfn.NUMBERVALUE(SUBSTITUTE(LEFT(TRIM(C931),FIND(" ",TRIM(C931)&amp;" ")-1),",","."),"."),LEFT(SUBSTITUTE(LEFT(TRIM(C931),FIND(" ",TRIM(C931)&amp;" ")-1),",","."),FIND("/",SUBSTITUTE(LEFT(TRIM(C931),FIND(" ",TRIM(C931)&amp;" ")-1),",","."))-1)/MID(SUBSTITUTE(LEFT(TRIM(C931),FIND(" ",TRIM(C931)&amp;" ")-1),",","."),FIND("/",SUBSTITUTE(LEFT(TRIM(C931),FIND(" ",TRIM(C931)&amp;" ")-1),",","."))+1,9))*12,NA()))),0),12)*'Aturan &amp; Tarif'!$B$4,2)</f>
        <v>681.36</v>
      </c>
      <c r="K931" s="42" t="n">
        <f aca="false">'Aturan &amp; Tarif'!$B$5</f>
        <v>2050</v>
      </c>
      <c r="L931" s="35" t="n">
        <f aca="false">I931+J931+K931</f>
        <v>21481.36</v>
      </c>
      <c r="M931" s="44" t="s">
        <v>2469</v>
      </c>
    </row>
    <row r="932" customFormat="false" ht="60" hidden="false" customHeight="true" outlineLevel="0" collapsed="false">
      <c r="A932" s="39"/>
      <c r="B932" s="40" t="s">
        <v>1098</v>
      </c>
      <c r="C932" s="41" t="s">
        <v>127</v>
      </c>
      <c r="D932" s="41" t="s">
        <v>108</v>
      </c>
      <c r="E932" s="42" t="n">
        <v>9375</v>
      </c>
      <c r="F932" s="42"/>
      <c r="G932" s="42"/>
      <c r="H932" s="43" t="n">
        <v>2</v>
      </c>
      <c r="I932" s="34" t="n">
        <f aca="false">E932*H932+N(F932)+N(G932)</f>
        <v>18750</v>
      </c>
      <c r="J932" s="42" t="n">
        <f aca="false">ROUND(IFERROR(ROUND(IF(OR(ISNUMBER(SEARCH("week",C932)),ISNUMBER(SEARCH("minggu",C932))),IFERROR(_xlfn.NUMBERVALUE(SUBSTITUTE(LEFT(TRIM(C932),FIND(" ",TRIM(C932)&amp;" ")-1),",","."),"."),LEFT(SUBSTITUTE(LEFT(TRIM(C932),FIND(" ",TRIM(C932)&amp;" ")-1),",","."),FIND("/",SUBSTITUTE(LEFT(TRIM(C932),FIND(" ",TRIM(C932)&amp;" ")-1),",","."))-1)/MID(SUBSTITUTE(LEFT(TRIM(C932),FIND(" ",TRIM(C932)&amp;" ")-1),",","."),FIND("/",SUBSTITUTE(LEFT(TRIM(C932),FIND(" ",TRIM(C932)&amp;" ")-1),",","."))+1,9))*12/52,IF(ISNUMBER(SEARCH("month",C932)),IFERROR(_xlfn.NUMBERVALUE(SUBSTITUTE(LEFT(TRIM(C932),FIND(" ",TRIM(C932)&amp;" ")-1),",","."),"."),LEFT(SUBSTITUTE(LEFT(TRIM(C932),FIND(" ",TRIM(C932)&amp;" ")-1),",","."),FIND("/",SUBSTITUTE(LEFT(TRIM(C932),FIND(" ",TRIM(C932)&amp;" ")-1),",","."))-1)/MID(SUBSTITUTE(LEFT(TRIM(C932),FIND(" ",TRIM(C932)&amp;" ")-1),",","."),FIND("/",SUBSTITUTE(LEFT(TRIM(C932),FIND(" ",TRIM(C932)&amp;" ")-1),",","."))+1,9)),IF(ISNUMBER(SEARCH("yea",C932)),IFERROR(_xlfn.NUMBERVALUE(SUBSTITUTE(LEFT(TRIM(C932),FIND(" ",TRIM(C932)&amp;" ")-1),",","."),"."),LEFT(SUBSTITUTE(LEFT(TRIM(C932),FIND(" ",TRIM(C932)&amp;" ")-1),",","."),FIND("/",SUBSTITUTE(LEFT(TRIM(C932),FIND(" ",TRIM(C932)&amp;" ")-1),",","."))-1)/MID(SUBSTITUTE(LEFT(TRIM(C932),FIND(" ",TRIM(C932)&amp;" ")-1),",","."),FIND("/",SUBSTITUTE(LEFT(TRIM(C932),FIND(" ",TRIM(C932)&amp;" ")-1),",","."))+1,9))*12,NA()))),0),36)*'Aturan &amp; Tarif'!$B$4,2)</f>
        <v>2044.08</v>
      </c>
      <c r="K932" s="42" t="n">
        <f aca="false">'Aturan &amp; Tarif'!$B$5</f>
        <v>2050</v>
      </c>
      <c r="L932" s="35" t="n">
        <f aca="false">I932+J932+K932</f>
        <v>22844.08</v>
      </c>
      <c r="M932" s="44" t="s">
        <v>1099</v>
      </c>
    </row>
    <row r="933" customFormat="false" ht="60" hidden="false" customHeight="true" outlineLevel="0" collapsed="false">
      <c r="A933" s="39"/>
      <c r="B933" s="40" t="s">
        <v>1100</v>
      </c>
      <c r="C933" s="41" t="s">
        <v>127</v>
      </c>
      <c r="D933" s="41" t="s">
        <v>108</v>
      </c>
      <c r="E933" s="42" t="n">
        <v>9375</v>
      </c>
      <c r="F933" s="42"/>
      <c r="G933" s="42"/>
      <c r="H933" s="43" t="n">
        <v>2</v>
      </c>
      <c r="I933" s="34" t="n">
        <f aca="false">E933*H933+N(F933)+N(G933)</f>
        <v>18750</v>
      </c>
      <c r="J933" s="42" t="n">
        <f aca="false">ROUND(IFERROR(ROUND(IF(OR(ISNUMBER(SEARCH("week",C933)),ISNUMBER(SEARCH("minggu",C933))),IFERROR(_xlfn.NUMBERVALUE(SUBSTITUTE(LEFT(TRIM(C933),FIND(" ",TRIM(C933)&amp;" ")-1),",","."),"."),LEFT(SUBSTITUTE(LEFT(TRIM(C933),FIND(" ",TRIM(C933)&amp;" ")-1),",","."),FIND("/",SUBSTITUTE(LEFT(TRIM(C933),FIND(" ",TRIM(C933)&amp;" ")-1),",","."))-1)/MID(SUBSTITUTE(LEFT(TRIM(C933),FIND(" ",TRIM(C933)&amp;" ")-1),",","."),FIND("/",SUBSTITUTE(LEFT(TRIM(C933),FIND(" ",TRIM(C933)&amp;" ")-1),",","."))+1,9))*12/52,IF(ISNUMBER(SEARCH("month",C933)),IFERROR(_xlfn.NUMBERVALUE(SUBSTITUTE(LEFT(TRIM(C933),FIND(" ",TRIM(C933)&amp;" ")-1),",","."),"."),LEFT(SUBSTITUTE(LEFT(TRIM(C933),FIND(" ",TRIM(C933)&amp;" ")-1),",","."),FIND("/",SUBSTITUTE(LEFT(TRIM(C933),FIND(" ",TRIM(C933)&amp;" ")-1),",","."))-1)/MID(SUBSTITUTE(LEFT(TRIM(C933),FIND(" ",TRIM(C933)&amp;" ")-1),",","."),FIND("/",SUBSTITUTE(LEFT(TRIM(C933),FIND(" ",TRIM(C933)&amp;" ")-1),",","."))+1,9)),IF(ISNUMBER(SEARCH("yea",C933)),IFERROR(_xlfn.NUMBERVALUE(SUBSTITUTE(LEFT(TRIM(C933),FIND(" ",TRIM(C933)&amp;" ")-1),",","."),"."),LEFT(SUBSTITUTE(LEFT(TRIM(C933),FIND(" ",TRIM(C933)&amp;" ")-1),",","."),FIND("/",SUBSTITUTE(LEFT(TRIM(C933),FIND(" ",TRIM(C933)&amp;" ")-1),",","."))-1)/MID(SUBSTITUTE(LEFT(TRIM(C933),FIND(" ",TRIM(C933)&amp;" ")-1),",","."),FIND("/",SUBSTITUTE(LEFT(TRIM(C933),FIND(" ",TRIM(C933)&amp;" ")-1),",","."))+1,9))*12,NA()))),0),36)*'Aturan &amp; Tarif'!$B$4,2)</f>
        <v>2044.08</v>
      </c>
      <c r="K933" s="42" t="n">
        <f aca="false">'Aturan &amp; Tarif'!$B$5</f>
        <v>2050</v>
      </c>
      <c r="L933" s="35" t="n">
        <f aca="false">I933+J933+K933</f>
        <v>22844.08</v>
      </c>
      <c r="M933" s="44" t="s">
        <v>2470</v>
      </c>
    </row>
    <row r="934" customFormat="false" ht="60" hidden="false" customHeight="true" outlineLevel="0" collapsed="false">
      <c r="A934" s="39"/>
      <c r="B934" s="40" t="s">
        <v>2471</v>
      </c>
      <c r="C934" s="41" t="s">
        <v>127</v>
      </c>
      <c r="D934" s="41" t="s">
        <v>108</v>
      </c>
      <c r="E934" s="42" t="n">
        <v>6250</v>
      </c>
      <c r="F934" s="42"/>
      <c r="G934" s="42"/>
      <c r="H934" s="43" t="n">
        <v>2</v>
      </c>
      <c r="I934" s="34" t="n">
        <f aca="false">E934*H934+N(F934)+N(G934)</f>
        <v>12500</v>
      </c>
      <c r="J934" s="42" t="n">
        <f aca="false">ROUND(IFERROR(ROUND(IF(OR(ISNUMBER(SEARCH("week",C934)),ISNUMBER(SEARCH("minggu",C934))),IFERROR(_xlfn.NUMBERVALUE(SUBSTITUTE(LEFT(TRIM(C934),FIND(" ",TRIM(C934)&amp;" ")-1),",","."),"."),LEFT(SUBSTITUTE(LEFT(TRIM(C934),FIND(" ",TRIM(C934)&amp;" ")-1),",","."),FIND("/",SUBSTITUTE(LEFT(TRIM(C934),FIND(" ",TRIM(C934)&amp;" ")-1),",","."))-1)/MID(SUBSTITUTE(LEFT(TRIM(C934),FIND(" ",TRIM(C934)&amp;" ")-1),",","."),FIND("/",SUBSTITUTE(LEFT(TRIM(C934),FIND(" ",TRIM(C934)&amp;" ")-1),",","."))+1,9))*12/52,IF(ISNUMBER(SEARCH("month",C934)),IFERROR(_xlfn.NUMBERVALUE(SUBSTITUTE(LEFT(TRIM(C934),FIND(" ",TRIM(C934)&amp;" ")-1),",","."),"."),LEFT(SUBSTITUTE(LEFT(TRIM(C934),FIND(" ",TRIM(C934)&amp;" ")-1),",","."),FIND("/",SUBSTITUTE(LEFT(TRIM(C934),FIND(" ",TRIM(C934)&amp;" ")-1),",","."))-1)/MID(SUBSTITUTE(LEFT(TRIM(C934),FIND(" ",TRIM(C934)&amp;" ")-1),",","."),FIND("/",SUBSTITUTE(LEFT(TRIM(C934),FIND(" ",TRIM(C934)&amp;" ")-1),",","."))+1,9)),IF(ISNUMBER(SEARCH("yea",C934)),IFERROR(_xlfn.NUMBERVALUE(SUBSTITUTE(LEFT(TRIM(C934),FIND(" ",TRIM(C934)&amp;" ")-1),",","."),"."),LEFT(SUBSTITUTE(LEFT(TRIM(C934),FIND(" ",TRIM(C934)&amp;" ")-1),",","."),FIND("/",SUBSTITUTE(LEFT(TRIM(C934),FIND(" ",TRIM(C934)&amp;" ")-1),",","."))-1)/MID(SUBSTITUTE(LEFT(TRIM(C934),FIND(" ",TRIM(C934)&amp;" ")-1),",","."),FIND("/",SUBSTITUTE(LEFT(TRIM(C934),FIND(" ",TRIM(C934)&amp;" ")-1),",","."))+1,9))*12,NA()))),0),36)*'Aturan &amp; Tarif'!$B$4,2)</f>
        <v>2044.08</v>
      </c>
      <c r="K934" s="42" t="n">
        <f aca="false">'Aturan &amp; Tarif'!$B$5</f>
        <v>2050</v>
      </c>
      <c r="L934" s="35" t="n">
        <f aca="false">I934+J934+K934</f>
        <v>16594.08</v>
      </c>
      <c r="M934" s="44" t="s">
        <v>2472</v>
      </c>
    </row>
    <row r="935" customFormat="false" ht="60" hidden="false" customHeight="true" outlineLevel="0" collapsed="false">
      <c r="A935" s="39"/>
      <c r="B935" s="40" t="s">
        <v>2473</v>
      </c>
      <c r="C935" s="41" t="s">
        <v>113</v>
      </c>
      <c r="D935" s="41" t="s">
        <v>108</v>
      </c>
      <c r="E935" s="42" t="n">
        <v>6250</v>
      </c>
      <c r="F935" s="42"/>
      <c r="G935" s="42"/>
      <c r="H935" s="43" t="n">
        <v>2</v>
      </c>
      <c r="I935" s="34" t="n">
        <f aca="false">E935*H935+N(F935)+N(G935)</f>
        <v>12500</v>
      </c>
      <c r="J935" s="42" t="n">
        <f aca="false">ROUND(IFERROR(ROUND(IF(OR(ISNUMBER(SEARCH("week",C935)),ISNUMBER(SEARCH("minggu",C935))),IFERROR(_xlfn.NUMBERVALUE(SUBSTITUTE(LEFT(TRIM(C935),FIND(" ",TRIM(C935)&amp;" ")-1),",","."),"."),LEFT(SUBSTITUTE(LEFT(TRIM(C935),FIND(" ",TRIM(C935)&amp;" ")-1),",","."),FIND("/",SUBSTITUTE(LEFT(TRIM(C935),FIND(" ",TRIM(C935)&amp;" ")-1),",","."))-1)/MID(SUBSTITUTE(LEFT(TRIM(C935),FIND(" ",TRIM(C935)&amp;" ")-1),",","."),FIND("/",SUBSTITUTE(LEFT(TRIM(C935),FIND(" ",TRIM(C935)&amp;" ")-1),",","."))+1,9))*12/52,IF(ISNUMBER(SEARCH("month",C935)),IFERROR(_xlfn.NUMBERVALUE(SUBSTITUTE(LEFT(TRIM(C935),FIND(" ",TRIM(C935)&amp;" ")-1),",","."),"."),LEFT(SUBSTITUTE(LEFT(TRIM(C935),FIND(" ",TRIM(C935)&amp;" ")-1),",","."),FIND("/",SUBSTITUTE(LEFT(TRIM(C935),FIND(" ",TRIM(C935)&amp;" ")-1),",","."))-1)/MID(SUBSTITUTE(LEFT(TRIM(C935),FIND(" ",TRIM(C935)&amp;" ")-1),",","."),FIND("/",SUBSTITUTE(LEFT(TRIM(C935),FIND(" ",TRIM(C935)&amp;" ")-1),",","."))+1,9)),IF(ISNUMBER(SEARCH("yea",C935)),IFERROR(_xlfn.NUMBERVALUE(SUBSTITUTE(LEFT(TRIM(C935),FIND(" ",TRIM(C935)&amp;" ")-1),",","."),"."),LEFT(SUBSTITUTE(LEFT(TRIM(C935),FIND(" ",TRIM(C935)&amp;" ")-1),",","."),FIND("/",SUBSTITUTE(LEFT(TRIM(C935),FIND(" ",TRIM(C935)&amp;" ")-1),",","."))-1)/MID(SUBSTITUTE(LEFT(TRIM(C935),FIND(" ",TRIM(C935)&amp;" ")-1),",","."),FIND("/",SUBSTITUTE(LEFT(TRIM(C935),FIND(" ",TRIM(C935)&amp;" ")-1),",","."))+1,9))*12,NA()))),0),18)*'Aturan &amp; Tarif'!$B$4,2)</f>
        <v>1022.04</v>
      </c>
      <c r="K935" s="42" t="n">
        <f aca="false">'Aturan &amp; Tarif'!$B$5</f>
        <v>2050</v>
      </c>
      <c r="L935" s="35" t="n">
        <f aca="false">I935+J935+K935</f>
        <v>15572.04</v>
      </c>
      <c r="M935" s="44" t="s">
        <v>2474</v>
      </c>
    </row>
    <row r="936" customFormat="false" ht="60" hidden="false" customHeight="true" outlineLevel="0" collapsed="false">
      <c r="A936" s="39"/>
      <c r="B936" s="40" t="s">
        <v>2475</v>
      </c>
      <c r="C936" s="41" t="s">
        <v>127</v>
      </c>
      <c r="D936" s="41" t="s">
        <v>108</v>
      </c>
      <c r="E936" s="42" t="n">
        <v>9375</v>
      </c>
      <c r="F936" s="42"/>
      <c r="G936" s="42"/>
      <c r="H936" s="43" t="n">
        <v>2</v>
      </c>
      <c r="I936" s="34" t="n">
        <f aca="false">E936*H936+N(F936)+N(G936)</f>
        <v>18750</v>
      </c>
      <c r="J936" s="42" t="n">
        <f aca="false">ROUND(IFERROR(ROUND(IF(OR(ISNUMBER(SEARCH("week",C936)),ISNUMBER(SEARCH("minggu",C936))),IFERROR(_xlfn.NUMBERVALUE(SUBSTITUTE(LEFT(TRIM(C936),FIND(" ",TRIM(C936)&amp;" ")-1),",","."),"."),LEFT(SUBSTITUTE(LEFT(TRIM(C936),FIND(" ",TRIM(C936)&amp;" ")-1),",","."),FIND("/",SUBSTITUTE(LEFT(TRIM(C936),FIND(" ",TRIM(C936)&amp;" ")-1),",","."))-1)/MID(SUBSTITUTE(LEFT(TRIM(C936),FIND(" ",TRIM(C936)&amp;" ")-1),",","."),FIND("/",SUBSTITUTE(LEFT(TRIM(C936),FIND(" ",TRIM(C936)&amp;" ")-1),",","."))+1,9))*12/52,IF(ISNUMBER(SEARCH("month",C936)),IFERROR(_xlfn.NUMBERVALUE(SUBSTITUTE(LEFT(TRIM(C936),FIND(" ",TRIM(C936)&amp;" ")-1),",","."),"."),LEFT(SUBSTITUTE(LEFT(TRIM(C936),FIND(" ",TRIM(C936)&amp;" ")-1),",","."),FIND("/",SUBSTITUTE(LEFT(TRIM(C936),FIND(" ",TRIM(C936)&amp;" ")-1),",","."))-1)/MID(SUBSTITUTE(LEFT(TRIM(C936),FIND(" ",TRIM(C936)&amp;" ")-1),",","."),FIND("/",SUBSTITUTE(LEFT(TRIM(C936),FIND(" ",TRIM(C936)&amp;" ")-1),",","."))+1,9)),IF(ISNUMBER(SEARCH("yea",C936)),IFERROR(_xlfn.NUMBERVALUE(SUBSTITUTE(LEFT(TRIM(C936),FIND(" ",TRIM(C936)&amp;" ")-1),",","."),"."),LEFT(SUBSTITUTE(LEFT(TRIM(C936),FIND(" ",TRIM(C936)&amp;" ")-1),",","."),FIND("/",SUBSTITUTE(LEFT(TRIM(C936),FIND(" ",TRIM(C936)&amp;" ")-1),",","."))-1)/MID(SUBSTITUTE(LEFT(TRIM(C936),FIND(" ",TRIM(C936)&amp;" ")-1),",","."),FIND("/",SUBSTITUTE(LEFT(TRIM(C936),FIND(" ",TRIM(C936)&amp;" ")-1),",","."))+1,9))*12,NA()))),0),36)*'Aturan &amp; Tarif'!$B$4,2)</f>
        <v>2044.08</v>
      </c>
      <c r="K936" s="42" t="n">
        <f aca="false">'Aturan &amp; Tarif'!$B$5</f>
        <v>2050</v>
      </c>
      <c r="L936" s="35" t="n">
        <f aca="false">I936+J936+K936</f>
        <v>22844.08</v>
      </c>
      <c r="M936" s="44" t="s">
        <v>2476</v>
      </c>
    </row>
    <row r="937" customFormat="false" ht="60" hidden="false" customHeight="true" outlineLevel="0" collapsed="false">
      <c r="A937" s="39"/>
      <c r="B937" s="40" t="s">
        <v>2477</v>
      </c>
      <c r="C937" s="41" t="s">
        <v>113</v>
      </c>
      <c r="D937" s="41" t="s">
        <v>108</v>
      </c>
      <c r="E937" s="42" t="n">
        <v>6250</v>
      </c>
      <c r="F937" s="42"/>
      <c r="G937" s="42"/>
      <c r="H937" s="43" t="n">
        <v>2</v>
      </c>
      <c r="I937" s="34" t="n">
        <f aca="false">E937*H937+N(F937)+N(G937)</f>
        <v>12500</v>
      </c>
      <c r="J937" s="42" t="n">
        <f aca="false">ROUND(IFERROR(ROUND(IF(OR(ISNUMBER(SEARCH("week",C937)),ISNUMBER(SEARCH("minggu",C937))),IFERROR(_xlfn.NUMBERVALUE(SUBSTITUTE(LEFT(TRIM(C937),FIND(" ",TRIM(C937)&amp;" ")-1),",","."),"."),LEFT(SUBSTITUTE(LEFT(TRIM(C937),FIND(" ",TRIM(C937)&amp;" ")-1),",","."),FIND("/",SUBSTITUTE(LEFT(TRIM(C937),FIND(" ",TRIM(C937)&amp;" ")-1),",","."))-1)/MID(SUBSTITUTE(LEFT(TRIM(C937),FIND(" ",TRIM(C937)&amp;" ")-1),",","."),FIND("/",SUBSTITUTE(LEFT(TRIM(C937),FIND(" ",TRIM(C937)&amp;" ")-1),",","."))+1,9))*12/52,IF(ISNUMBER(SEARCH("month",C937)),IFERROR(_xlfn.NUMBERVALUE(SUBSTITUTE(LEFT(TRIM(C937),FIND(" ",TRIM(C937)&amp;" ")-1),",","."),"."),LEFT(SUBSTITUTE(LEFT(TRIM(C937),FIND(" ",TRIM(C937)&amp;" ")-1),",","."),FIND("/",SUBSTITUTE(LEFT(TRIM(C937),FIND(" ",TRIM(C937)&amp;" ")-1),",","."))-1)/MID(SUBSTITUTE(LEFT(TRIM(C937),FIND(" ",TRIM(C937)&amp;" ")-1),",","."),FIND("/",SUBSTITUTE(LEFT(TRIM(C937),FIND(" ",TRIM(C937)&amp;" ")-1),",","."))+1,9)),IF(ISNUMBER(SEARCH("yea",C937)),IFERROR(_xlfn.NUMBERVALUE(SUBSTITUTE(LEFT(TRIM(C937),FIND(" ",TRIM(C937)&amp;" ")-1),",","."),"."),LEFT(SUBSTITUTE(LEFT(TRIM(C937),FIND(" ",TRIM(C937)&amp;" ")-1),",","."),FIND("/",SUBSTITUTE(LEFT(TRIM(C937),FIND(" ",TRIM(C937)&amp;" ")-1),",","."))-1)/MID(SUBSTITUTE(LEFT(TRIM(C937),FIND(" ",TRIM(C937)&amp;" ")-1),",","."),FIND("/",SUBSTITUTE(LEFT(TRIM(C937),FIND(" ",TRIM(C937)&amp;" ")-1),",","."))+1,9))*12,NA()))),0),18)*'Aturan &amp; Tarif'!$B$4,2)</f>
        <v>1022.04</v>
      </c>
      <c r="K937" s="42" t="n">
        <f aca="false">'Aturan &amp; Tarif'!$B$5</f>
        <v>2050</v>
      </c>
      <c r="L937" s="35" t="n">
        <f aca="false">I937+J937+K937</f>
        <v>15572.04</v>
      </c>
      <c r="M937" s="44" t="s">
        <v>2478</v>
      </c>
    </row>
    <row r="938" customFormat="false" ht="60" hidden="false" customHeight="true" outlineLevel="0" collapsed="false">
      <c r="A938" s="39"/>
      <c r="B938" s="40" t="s">
        <v>2479</v>
      </c>
      <c r="C938" s="41" t="s">
        <v>344</v>
      </c>
      <c r="D938" s="41" t="s">
        <v>108</v>
      </c>
      <c r="E938" s="42" t="n">
        <v>4450</v>
      </c>
      <c r="F938" s="42"/>
      <c r="G938" s="42"/>
      <c r="H938" s="43" t="n">
        <v>2</v>
      </c>
      <c r="I938" s="34" t="n">
        <f aca="false">E938*H938+N(F938)+N(G938)</f>
        <v>8900</v>
      </c>
      <c r="J938" s="42" t="n">
        <f aca="false">ROUND(IFERROR(ROUND(IF(OR(ISNUMBER(SEARCH("week",C938)),ISNUMBER(SEARCH("minggu",C938))),IFERROR(_xlfn.NUMBERVALUE(SUBSTITUTE(LEFT(TRIM(C938),FIND(" ",TRIM(C938)&amp;" ")-1),",","."),"."),LEFT(SUBSTITUTE(LEFT(TRIM(C938),FIND(" ",TRIM(C938)&amp;" ")-1),",","."),FIND("/",SUBSTITUTE(LEFT(TRIM(C938),FIND(" ",TRIM(C938)&amp;" ")-1),",","."))-1)/MID(SUBSTITUTE(LEFT(TRIM(C938),FIND(" ",TRIM(C938)&amp;" ")-1),",","."),FIND("/",SUBSTITUTE(LEFT(TRIM(C938),FIND(" ",TRIM(C938)&amp;" ")-1),",","."))+1,9))*12/52,IF(ISNUMBER(SEARCH("month",C938)),IFERROR(_xlfn.NUMBERVALUE(SUBSTITUTE(LEFT(TRIM(C938),FIND(" ",TRIM(C938)&amp;" ")-1),",","."),"."),LEFT(SUBSTITUTE(LEFT(TRIM(C938),FIND(" ",TRIM(C938)&amp;" ")-1),",","."),FIND("/",SUBSTITUTE(LEFT(TRIM(C938),FIND(" ",TRIM(C938)&amp;" ")-1),",","."))-1)/MID(SUBSTITUTE(LEFT(TRIM(C938),FIND(" ",TRIM(C938)&amp;" ")-1),",","."),FIND("/",SUBSTITUTE(LEFT(TRIM(C938),FIND(" ",TRIM(C938)&amp;" ")-1),",","."))+1,9)),IF(ISNUMBER(SEARCH("yea",C938)),IFERROR(_xlfn.NUMBERVALUE(SUBSTITUTE(LEFT(TRIM(C938),FIND(" ",TRIM(C938)&amp;" ")-1),",","."),"."),LEFT(SUBSTITUTE(LEFT(TRIM(C938),FIND(" ",TRIM(C938)&amp;" ")-1),",","."),FIND("/",SUBSTITUTE(LEFT(TRIM(C938),FIND(" ",TRIM(C938)&amp;" ")-1),",","."))-1)/MID(SUBSTITUTE(LEFT(TRIM(C938),FIND(" ",TRIM(C938)&amp;" ")-1),",","."),FIND("/",SUBSTITUTE(LEFT(TRIM(C938),FIND(" ",TRIM(C938)&amp;" ")-1),",","."))+1,9))*12,NA()))),0),6)*'Aturan &amp; Tarif'!$B$4,2)</f>
        <v>340.68</v>
      </c>
      <c r="K938" s="42" t="n">
        <f aca="false">'Aturan &amp; Tarif'!$B$5</f>
        <v>2050</v>
      </c>
      <c r="L938" s="35" t="n">
        <f aca="false">I938+J938+K938</f>
        <v>11290.68</v>
      </c>
      <c r="M938" s="44" t="s">
        <v>2480</v>
      </c>
    </row>
    <row r="939" customFormat="false" ht="60" hidden="false" customHeight="true" outlineLevel="0" collapsed="false">
      <c r="A939" s="39"/>
      <c r="B939" s="40" t="s">
        <v>2481</v>
      </c>
      <c r="C939" s="41" t="s">
        <v>107</v>
      </c>
      <c r="D939" s="41" t="s">
        <v>108</v>
      </c>
      <c r="E939" s="42" t="n">
        <v>8900</v>
      </c>
      <c r="F939" s="42"/>
      <c r="G939" s="42"/>
      <c r="H939" s="43" t="n">
        <v>2</v>
      </c>
      <c r="I939" s="34" t="n">
        <f aca="false">E939*H939+N(F939)+N(G939)</f>
        <v>17800</v>
      </c>
      <c r="J939" s="42" t="n">
        <f aca="false">ROUND(IFERROR(ROUND(IF(OR(ISNUMBER(SEARCH("week",C939)),ISNUMBER(SEARCH("minggu",C939))),IFERROR(_xlfn.NUMBERVALUE(SUBSTITUTE(LEFT(TRIM(C939),FIND(" ",TRIM(C939)&amp;" ")-1),",","."),"."),LEFT(SUBSTITUTE(LEFT(TRIM(C939),FIND(" ",TRIM(C939)&amp;" ")-1),",","."),FIND("/",SUBSTITUTE(LEFT(TRIM(C939),FIND(" ",TRIM(C939)&amp;" ")-1),",","."))-1)/MID(SUBSTITUTE(LEFT(TRIM(C939),FIND(" ",TRIM(C939)&amp;" ")-1),",","."),FIND("/",SUBSTITUTE(LEFT(TRIM(C939),FIND(" ",TRIM(C939)&amp;" ")-1),",","."))+1,9))*12/52,IF(ISNUMBER(SEARCH("month",C939)),IFERROR(_xlfn.NUMBERVALUE(SUBSTITUTE(LEFT(TRIM(C939),FIND(" ",TRIM(C939)&amp;" ")-1),",","."),"."),LEFT(SUBSTITUTE(LEFT(TRIM(C939),FIND(" ",TRIM(C939)&amp;" ")-1),",","."),FIND("/",SUBSTITUTE(LEFT(TRIM(C939),FIND(" ",TRIM(C939)&amp;" ")-1),",","."))-1)/MID(SUBSTITUTE(LEFT(TRIM(C939),FIND(" ",TRIM(C939)&amp;" ")-1),",","."),FIND("/",SUBSTITUTE(LEFT(TRIM(C939),FIND(" ",TRIM(C939)&amp;" ")-1),",","."))+1,9)),IF(ISNUMBER(SEARCH("yea",C939)),IFERROR(_xlfn.NUMBERVALUE(SUBSTITUTE(LEFT(TRIM(C939),FIND(" ",TRIM(C939)&amp;" ")-1),",","."),"."),LEFT(SUBSTITUTE(LEFT(TRIM(C939),FIND(" ",TRIM(C939)&amp;" ")-1),",","."),FIND("/",SUBSTITUTE(LEFT(TRIM(C939),FIND(" ",TRIM(C939)&amp;" ")-1),",","."))-1)/MID(SUBSTITUTE(LEFT(TRIM(C939),FIND(" ",TRIM(C939)&amp;" ")-1),",","."),FIND("/",SUBSTITUTE(LEFT(TRIM(C939),FIND(" ",TRIM(C939)&amp;" ")-1),",","."))+1,9))*12,NA()))),0),24)*'Aturan &amp; Tarif'!$B$4,2)</f>
        <v>1362.72</v>
      </c>
      <c r="K939" s="42" t="n">
        <f aca="false">'Aturan &amp; Tarif'!$B$5</f>
        <v>2050</v>
      </c>
      <c r="L939" s="35" t="n">
        <f aca="false">I939+J939+K939</f>
        <v>21212.72</v>
      </c>
      <c r="M939" s="44" t="s">
        <v>2482</v>
      </c>
    </row>
    <row r="940" customFormat="false" ht="60" hidden="false" customHeight="true" outlineLevel="0" collapsed="false">
      <c r="A940" s="39"/>
      <c r="B940" s="40" t="s">
        <v>3273</v>
      </c>
      <c r="C940" s="41" t="s">
        <v>107</v>
      </c>
      <c r="D940" s="41" t="s">
        <v>108</v>
      </c>
      <c r="E940" s="42" t="n">
        <v>8900</v>
      </c>
      <c r="F940" s="42"/>
      <c r="G940" s="42"/>
      <c r="H940" s="43" t="n">
        <v>2</v>
      </c>
      <c r="I940" s="34" t="n">
        <f aca="false">E940*H940+N(F940)+N(G940)</f>
        <v>17800</v>
      </c>
      <c r="J940" s="42" t="n">
        <f aca="false">ROUND(IFERROR(ROUND(IF(OR(ISNUMBER(SEARCH("week",C940)),ISNUMBER(SEARCH("minggu",C940))),IFERROR(_xlfn.NUMBERVALUE(SUBSTITUTE(LEFT(TRIM(C940),FIND(" ",TRIM(C940)&amp;" ")-1),",","."),"."),LEFT(SUBSTITUTE(LEFT(TRIM(C940),FIND(" ",TRIM(C940)&amp;" ")-1),",","."),FIND("/",SUBSTITUTE(LEFT(TRIM(C940),FIND(" ",TRIM(C940)&amp;" ")-1),",","."))-1)/MID(SUBSTITUTE(LEFT(TRIM(C940),FIND(" ",TRIM(C940)&amp;" ")-1),",","."),FIND("/",SUBSTITUTE(LEFT(TRIM(C940),FIND(" ",TRIM(C940)&amp;" ")-1),",","."))+1,9))*12/52,IF(ISNUMBER(SEARCH("month",C940)),IFERROR(_xlfn.NUMBERVALUE(SUBSTITUTE(LEFT(TRIM(C940),FIND(" ",TRIM(C940)&amp;" ")-1),",","."),"."),LEFT(SUBSTITUTE(LEFT(TRIM(C940),FIND(" ",TRIM(C940)&amp;" ")-1),",","."),FIND("/",SUBSTITUTE(LEFT(TRIM(C940),FIND(" ",TRIM(C940)&amp;" ")-1),",","."))-1)/MID(SUBSTITUTE(LEFT(TRIM(C940),FIND(" ",TRIM(C940)&amp;" ")-1),",","."),FIND("/",SUBSTITUTE(LEFT(TRIM(C940),FIND(" ",TRIM(C940)&amp;" ")-1),",","."))+1,9)),IF(ISNUMBER(SEARCH("yea",C940)),IFERROR(_xlfn.NUMBERVALUE(SUBSTITUTE(LEFT(TRIM(C940),FIND(" ",TRIM(C940)&amp;" ")-1),",","."),"."),LEFT(SUBSTITUTE(LEFT(TRIM(C940),FIND(" ",TRIM(C940)&amp;" ")-1),",","."),FIND("/",SUBSTITUTE(LEFT(TRIM(C940),FIND(" ",TRIM(C940)&amp;" ")-1),",","."))-1)/MID(SUBSTITUTE(LEFT(TRIM(C940),FIND(" ",TRIM(C940)&amp;" ")-1),",","."),FIND("/",SUBSTITUTE(LEFT(TRIM(C940),FIND(" ",TRIM(C940)&amp;" ")-1),",","."))+1,9))*12,NA()))),0),24)*'Aturan &amp; Tarif'!$B$4,2)</f>
        <v>1362.72</v>
      </c>
      <c r="K940" s="42" t="n">
        <f aca="false">'Aturan &amp; Tarif'!$B$5</f>
        <v>2050</v>
      </c>
      <c r="L940" s="35" t="n">
        <f aca="false">I940+J940+K940</f>
        <v>21212.72</v>
      </c>
      <c r="M940" s="44" t="s">
        <v>2482</v>
      </c>
    </row>
    <row r="941" customFormat="false" ht="60" hidden="false" customHeight="true" outlineLevel="0" collapsed="false">
      <c r="A941" s="39"/>
      <c r="B941" s="40" t="s">
        <v>1035</v>
      </c>
      <c r="C941" s="41" t="s">
        <v>130</v>
      </c>
      <c r="D941" s="41" t="s">
        <v>108</v>
      </c>
      <c r="E941" s="42" t="n">
        <v>7900</v>
      </c>
      <c r="F941" s="42"/>
      <c r="G941" s="42"/>
      <c r="H941" s="43" t="n">
        <v>2</v>
      </c>
      <c r="I941" s="34" t="n">
        <f aca="false">E941*H941+N(F941)+N(G941)</f>
        <v>15800</v>
      </c>
      <c r="J941" s="42" t="n">
        <f aca="false">ROUND(IFERROR(ROUND(IF(OR(ISNUMBER(SEARCH("week",C941)),ISNUMBER(SEARCH("minggu",C941))),IFERROR(_xlfn.NUMBERVALUE(SUBSTITUTE(LEFT(TRIM(C941),FIND(" ",TRIM(C941)&amp;" ")-1),",","."),"."),LEFT(SUBSTITUTE(LEFT(TRIM(C941),FIND(" ",TRIM(C941)&amp;" ")-1),",","."),FIND("/",SUBSTITUTE(LEFT(TRIM(C941),FIND(" ",TRIM(C941)&amp;" ")-1),",","."))-1)/MID(SUBSTITUTE(LEFT(TRIM(C941),FIND(" ",TRIM(C941)&amp;" ")-1),",","."),FIND("/",SUBSTITUTE(LEFT(TRIM(C941),FIND(" ",TRIM(C941)&amp;" ")-1),",","."))+1,9))*12/52,IF(ISNUMBER(SEARCH("month",C941)),IFERROR(_xlfn.NUMBERVALUE(SUBSTITUTE(LEFT(TRIM(C941),FIND(" ",TRIM(C941)&amp;" ")-1),",","."),"."),LEFT(SUBSTITUTE(LEFT(TRIM(C941),FIND(" ",TRIM(C941)&amp;" ")-1),",","."),FIND("/",SUBSTITUTE(LEFT(TRIM(C941),FIND(" ",TRIM(C941)&amp;" ")-1),",","."))-1)/MID(SUBSTITUTE(LEFT(TRIM(C941),FIND(" ",TRIM(C941)&amp;" ")-1),",","."),FIND("/",SUBSTITUTE(LEFT(TRIM(C941),FIND(" ",TRIM(C941)&amp;" ")-1),",","."))+1,9)),IF(ISNUMBER(SEARCH("yea",C941)),IFERROR(_xlfn.NUMBERVALUE(SUBSTITUTE(LEFT(TRIM(C941),FIND(" ",TRIM(C941)&amp;" ")-1),",","."),"."),LEFT(SUBSTITUTE(LEFT(TRIM(C941),FIND(" ",TRIM(C941)&amp;" ")-1),",","."),FIND("/",SUBSTITUTE(LEFT(TRIM(C941),FIND(" ",TRIM(C941)&amp;" ")-1),",","."))-1)/MID(SUBSTITUTE(LEFT(TRIM(C941),FIND(" ",TRIM(C941)&amp;" ")-1),",","."),FIND("/",SUBSTITUTE(LEFT(TRIM(C941),FIND(" ",TRIM(C941)&amp;" ")-1),",","."))+1,9))*12,NA()))),0),12)*'Aturan &amp; Tarif'!$B$4,2)</f>
        <v>681.36</v>
      </c>
      <c r="K941" s="42" t="n">
        <f aca="false">'Aturan &amp; Tarif'!$B$5</f>
        <v>2050</v>
      </c>
      <c r="L941" s="35" t="n">
        <f aca="false">I941+J941+K941</f>
        <v>18531.36</v>
      </c>
      <c r="M941" s="44" t="s">
        <v>1036</v>
      </c>
    </row>
    <row r="942" customFormat="false" ht="60" hidden="false" customHeight="true" outlineLevel="0" collapsed="false">
      <c r="A942" s="39"/>
      <c r="B942" s="40" t="s">
        <v>1037</v>
      </c>
      <c r="C942" s="41" t="s">
        <v>127</v>
      </c>
      <c r="D942" s="41" t="s">
        <v>108</v>
      </c>
      <c r="E942" s="42" t="n">
        <v>7900</v>
      </c>
      <c r="F942" s="42"/>
      <c r="G942" s="42"/>
      <c r="H942" s="43" t="n">
        <v>2</v>
      </c>
      <c r="I942" s="34" t="n">
        <f aca="false">E942*H942+N(F942)+N(G942)</f>
        <v>15800</v>
      </c>
      <c r="J942" s="42" t="n">
        <f aca="false">ROUND(IFERROR(ROUND(IF(OR(ISNUMBER(SEARCH("week",C942)),ISNUMBER(SEARCH("minggu",C942))),IFERROR(_xlfn.NUMBERVALUE(SUBSTITUTE(LEFT(TRIM(C942),FIND(" ",TRIM(C942)&amp;" ")-1),",","."),"."),LEFT(SUBSTITUTE(LEFT(TRIM(C942),FIND(" ",TRIM(C942)&amp;" ")-1),",","."),FIND("/",SUBSTITUTE(LEFT(TRIM(C942),FIND(" ",TRIM(C942)&amp;" ")-1),",","."))-1)/MID(SUBSTITUTE(LEFT(TRIM(C942),FIND(" ",TRIM(C942)&amp;" ")-1),",","."),FIND("/",SUBSTITUTE(LEFT(TRIM(C942),FIND(" ",TRIM(C942)&amp;" ")-1),",","."))+1,9))*12/52,IF(ISNUMBER(SEARCH("month",C942)),IFERROR(_xlfn.NUMBERVALUE(SUBSTITUTE(LEFT(TRIM(C942),FIND(" ",TRIM(C942)&amp;" ")-1),",","."),"."),LEFT(SUBSTITUTE(LEFT(TRIM(C942),FIND(" ",TRIM(C942)&amp;" ")-1),",","."),FIND("/",SUBSTITUTE(LEFT(TRIM(C942),FIND(" ",TRIM(C942)&amp;" ")-1),",","."))-1)/MID(SUBSTITUTE(LEFT(TRIM(C942),FIND(" ",TRIM(C942)&amp;" ")-1),",","."),FIND("/",SUBSTITUTE(LEFT(TRIM(C942),FIND(" ",TRIM(C942)&amp;" ")-1),",","."))+1,9)),IF(ISNUMBER(SEARCH("yea",C942)),IFERROR(_xlfn.NUMBERVALUE(SUBSTITUTE(LEFT(TRIM(C942),FIND(" ",TRIM(C942)&amp;" ")-1),",","."),"."),LEFT(SUBSTITUTE(LEFT(TRIM(C942),FIND(" ",TRIM(C942)&amp;" ")-1),",","."),FIND("/",SUBSTITUTE(LEFT(TRIM(C942),FIND(" ",TRIM(C942)&amp;" ")-1),",","."))-1)/MID(SUBSTITUTE(LEFT(TRIM(C942),FIND(" ",TRIM(C942)&amp;" ")-1),",","."),FIND("/",SUBSTITUTE(LEFT(TRIM(C942),FIND(" ",TRIM(C942)&amp;" ")-1),",","."))+1,9))*12,NA()))),0),36)*'Aturan &amp; Tarif'!$B$4,2)</f>
        <v>2044.08</v>
      </c>
      <c r="K942" s="42" t="n">
        <f aca="false">'Aturan &amp; Tarif'!$B$5</f>
        <v>2050</v>
      </c>
      <c r="L942" s="35" t="n">
        <f aca="false">I942+J942+K942</f>
        <v>19894.08</v>
      </c>
      <c r="M942" s="44" t="s">
        <v>1036</v>
      </c>
    </row>
    <row r="943" customFormat="false" ht="60" hidden="false" customHeight="true" outlineLevel="0" collapsed="false">
      <c r="A943" s="39"/>
      <c r="B943" s="40" t="s">
        <v>1779</v>
      </c>
      <c r="C943" s="41" t="s">
        <v>130</v>
      </c>
      <c r="D943" s="41" t="s">
        <v>108</v>
      </c>
      <c r="E943" s="42" t="n">
        <v>9375</v>
      </c>
      <c r="F943" s="42"/>
      <c r="G943" s="42"/>
      <c r="H943" s="43" t="n">
        <v>2</v>
      </c>
      <c r="I943" s="34" t="n">
        <f aca="false">E943*H943+N(F943)+N(G943)</f>
        <v>18750</v>
      </c>
      <c r="J943" s="42" t="n">
        <f aca="false">ROUND(IFERROR(ROUND(IF(OR(ISNUMBER(SEARCH("week",C943)),ISNUMBER(SEARCH("minggu",C943))),IFERROR(_xlfn.NUMBERVALUE(SUBSTITUTE(LEFT(TRIM(C943),FIND(" ",TRIM(C943)&amp;" ")-1),",","."),"."),LEFT(SUBSTITUTE(LEFT(TRIM(C943),FIND(" ",TRIM(C943)&amp;" ")-1),",","."),FIND("/",SUBSTITUTE(LEFT(TRIM(C943),FIND(" ",TRIM(C943)&amp;" ")-1),",","."))-1)/MID(SUBSTITUTE(LEFT(TRIM(C943),FIND(" ",TRIM(C943)&amp;" ")-1),",","."),FIND("/",SUBSTITUTE(LEFT(TRIM(C943),FIND(" ",TRIM(C943)&amp;" ")-1),",","."))+1,9))*12/52,IF(ISNUMBER(SEARCH("month",C943)),IFERROR(_xlfn.NUMBERVALUE(SUBSTITUTE(LEFT(TRIM(C943),FIND(" ",TRIM(C943)&amp;" ")-1),",","."),"."),LEFT(SUBSTITUTE(LEFT(TRIM(C943),FIND(" ",TRIM(C943)&amp;" ")-1),",","."),FIND("/",SUBSTITUTE(LEFT(TRIM(C943),FIND(" ",TRIM(C943)&amp;" ")-1),",","."))-1)/MID(SUBSTITUTE(LEFT(TRIM(C943),FIND(" ",TRIM(C943)&amp;" ")-1),",","."),FIND("/",SUBSTITUTE(LEFT(TRIM(C943),FIND(" ",TRIM(C943)&amp;" ")-1),",","."))+1,9)),IF(ISNUMBER(SEARCH("yea",C943)),IFERROR(_xlfn.NUMBERVALUE(SUBSTITUTE(LEFT(TRIM(C943),FIND(" ",TRIM(C943)&amp;" ")-1),",","."),"."),LEFT(SUBSTITUTE(LEFT(TRIM(C943),FIND(" ",TRIM(C943)&amp;" ")-1),",","."),FIND("/",SUBSTITUTE(LEFT(TRIM(C943),FIND(" ",TRIM(C943)&amp;" ")-1),",","."))-1)/MID(SUBSTITUTE(LEFT(TRIM(C943),FIND(" ",TRIM(C943)&amp;" ")-1),",","."),FIND("/",SUBSTITUTE(LEFT(TRIM(C943),FIND(" ",TRIM(C943)&amp;" ")-1),",","."))+1,9))*12,NA()))),0),12)*'Aturan &amp; Tarif'!$B$4,2)</f>
        <v>681.36</v>
      </c>
      <c r="K943" s="42" t="n">
        <f aca="false">'Aturan &amp; Tarif'!$B$5</f>
        <v>2050</v>
      </c>
      <c r="L943" s="35" t="n">
        <f aca="false">I943+J943+K943</f>
        <v>21481.36</v>
      </c>
      <c r="M943" s="44" t="s">
        <v>1103</v>
      </c>
    </row>
    <row r="944" customFormat="false" ht="60" hidden="false" customHeight="true" outlineLevel="0" collapsed="false">
      <c r="A944" s="39"/>
      <c r="B944" s="40" t="s">
        <v>1276</v>
      </c>
      <c r="C944" s="41" t="s">
        <v>127</v>
      </c>
      <c r="D944" s="41" t="s">
        <v>108</v>
      </c>
      <c r="E944" s="42" t="n">
        <v>9375</v>
      </c>
      <c r="F944" s="42"/>
      <c r="G944" s="42"/>
      <c r="H944" s="43" t="n">
        <v>2</v>
      </c>
      <c r="I944" s="34" t="n">
        <f aca="false">E944*H944+N(F944)+N(G944)</f>
        <v>18750</v>
      </c>
      <c r="J944" s="42" t="n">
        <f aca="false">ROUND(IFERROR(ROUND(IF(OR(ISNUMBER(SEARCH("week",C944)),ISNUMBER(SEARCH("minggu",C944))),IFERROR(_xlfn.NUMBERVALUE(SUBSTITUTE(LEFT(TRIM(C944),FIND(" ",TRIM(C944)&amp;" ")-1),",","."),"."),LEFT(SUBSTITUTE(LEFT(TRIM(C944),FIND(" ",TRIM(C944)&amp;" ")-1),",","."),FIND("/",SUBSTITUTE(LEFT(TRIM(C944),FIND(" ",TRIM(C944)&amp;" ")-1),",","."))-1)/MID(SUBSTITUTE(LEFT(TRIM(C944),FIND(" ",TRIM(C944)&amp;" ")-1),",","."),FIND("/",SUBSTITUTE(LEFT(TRIM(C944),FIND(" ",TRIM(C944)&amp;" ")-1),",","."))+1,9))*12/52,IF(ISNUMBER(SEARCH("month",C944)),IFERROR(_xlfn.NUMBERVALUE(SUBSTITUTE(LEFT(TRIM(C944),FIND(" ",TRIM(C944)&amp;" ")-1),",","."),"."),LEFT(SUBSTITUTE(LEFT(TRIM(C944),FIND(" ",TRIM(C944)&amp;" ")-1),",","."),FIND("/",SUBSTITUTE(LEFT(TRIM(C944),FIND(" ",TRIM(C944)&amp;" ")-1),",","."))-1)/MID(SUBSTITUTE(LEFT(TRIM(C944),FIND(" ",TRIM(C944)&amp;" ")-1),",","."),FIND("/",SUBSTITUTE(LEFT(TRIM(C944),FIND(" ",TRIM(C944)&amp;" ")-1),",","."))+1,9)),IF(ISNUMBER(SEARCH("yea",C944)),IFERROR(_xlfn.NUMBERVALUE(SUBSTITUTE(LEFT(TRIM(C944),FIND(" ",TRIM(C944)&amp;" ")-1),",","."),"."),LEFT(SUBSTITUTE(LEFT(TRIM(C944),FIND(" ",TRIM(C944)&amp;" ")-1),",","."),FIND("/",SUBSTITUTE(LEFT(TRIM(C944),FIND(" ",TRIM(C944)&amp;" ")-1),",","."))-1)/MID(SUBSTITUTE(LEFT(TRIM(C944),FIND(" ",TRIM(C944)&amp;" ")-1),",","."),FIND("/",SUBSTITUTE(LEFT(TRIM(C944),FIND(" ",TRIM(C944)&amp;" ")-1),",","."))+1,9))*12,NA()))),0),36)*'Aturan &amp; Tarif'!$B$4,2)</f>
        <v>2044.08</v>
      </c>
      <c r="K944" s="42" t="n">
        <f aca="false">'Aturan &amp; Tarif'!$B$5</f>
        <v>2050</v>
      </c>
      <c r="L944" s="35" t="n">
        <f aca="false">I944+J944+K944</f>
        <v>22844.08</v>
      </c>
      <c r="M944" s="44" t="s">
        <v>2483</v>
      </c>
    </row>
    <row r="945" customFormat="false" ht="60" hidden="false" customHeight="true" outlineLevel="0" collapsed="false">
      <c r="A945" s="39"/>
      <c r="B945" s="40" t="s">
        <v>2484</v>
      </c>
      <c r="C945" s="41" t="s">
        <v>130</v>
      </c>
      <c r="D945" s="41" t="s">
        <v>108</v>
      </c>
      <c r="E945" s="42" t="n">
        <v>9375</v>
      </c>
      <c r="F945" s="42"/>
      <c r="G945" s="42"/>
      <c r="H945" s="43" t="n">
        <v>2</v>
      </c>
      <c r="I945" s="34" t="n">
        <f aca="false">E945*H945+N(F945)+N(G945)</f>
        <v>18750</v>
      </c>
      <c r="J945" s="42" t="n">
        <f aca="false">ROUND(IFERROR(ROUND(IF(OR(ISNUMBER(SEARCH("week",C945)),ISNUMBER(SEARCH("minggu",C945))),IFERROR(_xlfn.NUMBERVALUE(SUBSTITUTE(LEFT(TRIM(C945),FIND(" ",TRIM(C945)&amp;" ")-1),",","."),"."),LEFT(SUBSTITUTE(LEFT(TRIM(C945),FIND(" ",TRIM(C945)&amp;" ")-1),",","."),FIND("/",SUBSTITUTE(LEFT(TRIM(C945),FIND(" ",TRIM(C945)&amp;" ")-1),",","."))-1)/MID(SUBSTITUTE(LEFT(TRIM(C945),FIND(" ",TRIM(C945)&amp;" ")-1),",","."),FIND("/",SUBSTITUTE(LEFT(TRIM(C945),FIND(" ",TRIM(C945)&amp;" ")-1),",","."))+1,9))*12/52,IF(ISNUMBER(SEARCH("month",C945)),IFERROR(_xlfn.NUMBERVALUE(SUBSTITUTE(LEFT(TRIM(C945),FIND(" ",TRIM(C945)&amp;" ")-1),",","."),"."),LEFT(SUBSTITUTE(LEFT(TRIM(C945),FIND(" ",TRIM(C945)&amp;" ")-1),",","."),FIND("/",SUBSTITUTE(LEFT(TRIM(C945),FIND(" ",TRIM(C945)&amp;" ")-1),",","."))-1)/MID(SUBSTITUTE(LEFT(TRIM(C945),FIND(" ",TRIM(C945)&amp;" ")-1),",","."),FIND("/",SUBSTITUTE(LEFT(TRIM(C945),FIND(" ",TRIM(C945)&amp;" ")-1),",","."))+1,9)),IF(ISNUMBER(SEARCH("yea",C945)),IFERROR(_xlfn.NUMBERVALUE(SUBSTITUTE(LEFT(TRIM(C945),FIND(" ",TRIM(C945)&amp;" ")-1),",","."),"."),LEFT(SUBSTITUTE(LEFT(TRIM(C945),FIND(" ",TRIM(C945)&amp;" ")-1),",","."),FIND("/",SUBSTITUTE(LEFT(TRIM(C945),FIND(" ",TRIM(C945)&amp;" ")-1),",","."))-1)/MID(SUBSTITUTE(LEFT(TRIM(C945),FIND(" ",TRIM(C945)&amp;" ")-1),",","."),FIND("/",SUBSTITUTE(LEFT(TRIM(C945),FIND(" ",TRIM(C945)&amp;" ")-1),",","."))+1,9))*12,NA()))),0),12)*'Aturan &amp; Tarif'!$B$4,2)</f>
        <v>681.36</v>
      </c>
      <c r="K945" s="42" t="n">
        <f aca="false">'Aturan &amp; Tarif'!$B$5</f>
        <v>2050</v>
      </c>
      <c r="L945" s="35" t="n">
        <f aca="false">I945+J945+K945</f>
        <v>21481.36</v>
      </c>
      <c r="M945" s="44" t="s">
        <v>1036</v>
      </c>
    </row>
    <row r="946" customFormat="false" ht="60" hidden="false" customHeight="true" outlineLevel="0" collapsed="false">
      <c r="A946" s="39"/>
      <c r="B946" s="40" t="s">
        <v>2485</v>
      </c>
      <c r="C946" s="41" t="s">
        <v>127</v>
      </c>
      <c r="D946" s="41" t="s">
        <v>108</v>
      </c>
      <c r="E946" s="42" t="n">
        <v>9375</v>
      </c>
      <c r="F946" s="42"/>
      <c r="G946" s="42"/>
      <c r="H946" s="43" t="n">
        <v>2</v>
      </c>
      <c r="I946" s="34" t="n">
        <f aca="false">E946*H946+N(F946)+N(G946)</f>
        <v>18750</v>
      </c>
      <c r="J946" s="42" t="n">
        <f aca="false">ROUND(IFERROR(ROUND(IF(OR(ISNUMBER(SEARCH("week",C946)),ISNUMBER(SEARCH("minggu",C946))),IFERROR(_xlfn.NUMBERVALUE(SUBSTITUTE(LEFT(TRIM(C946),FIND(" ",TRIM(C946)&amp;" ")-1),",","."),"."),LEFT(SUBSTITUTE(LEFT(TRIM(C946),FIND(" ",TRIM(C946)&amp;" ")-1),",","."),FIND("/",SUBSTITUTE(LEFT(TRIM(C946),FIND(" ",TRIM(C946)&amp;" ")-1),",","."))-1)/MID(SUBSTITUTE(LEFT(TRIM(C946),FIND(" ",TRIM(C946)&amp;" ")-1),",","."),FIND("/",SUBSTITUTE(LEFT(TRIM(C946),FIND(" ",TRIM(C946)&amp;" ")-1),",","."))+1,9))*12/52,IF(ISNUMBER(SEARCH("month",C946)),IFERROR(_xlfn.NUMBERVALUE(SUBSTITUTE(LEFT(TRIM(C946),FIND(" ",TRIM(C946)&amp;" ")-1),",","."),"."),LEFT(SUBSTITUTE(LEFT(TRIM(C946),FIND(" ",TRIM(C946)&amp;" ")-1),",","."),FIND("/",SUBSTITUTE(LEFT(TRIM(C946),FIND(" ",TRIM(C946)&amp;" ")-1),",","."))-1)/MID(SUBSTITUTE(LEFT(TRIM(C946),FIND(" ",TRIM(C946)&amp;" ")-1),",","."),FIND("/",SUBSTITUTE(LEFT(TRIM(C946),FIND(" ",TRIM(C946)&amp;" ")-1),",","."))+1,9)),IF(ISNUMBER(SEARCH("yea",C946)),IFERROR(_xlfn.NUMBERVALUE(SUBSTITUTE(LEFT(TRIM(C946),FIND(" ",TRIM(C946)&amp;" ")-1),",","."),"."),LEFT(SUBSTITUTE(LEFT(TRIM(C946),FIND(" ",TRIM(C946)&amp;" ")-1),",","."),FIND("/",SUBSTITUTE(LEFT(TRIM(C946),FIND(" ",TRIM(C946)&amp;" ")-1),",","."))-1)/MID(SUBSTITUTE(LEFT(TRIM(C946),FIND(" ",TRIM(C946)&amp;" ")-1),",","."),FIND("/",SUBSTITUTE(LEFT(TRIM(C946),FIND(" ",TRIM(C946)&amp;" ")-1),",","."))+1,9))*12,NA()))),0),36)*'Aturan &amp; Tarif'!$B$4,2)</f>
        <v>2044.08</v>
      </c>
      <c r="K946" s="42" t="n">
        <f aca="false">'Aturan &amp; Tarif'!$B$5</f>
        <v>2050</v>
      </c>
      <c r="L946" s="35" t="n">
        <f aca="false">I946+J946+K946</f>
        <v>22844.08</v>
      </c>
      <c r="M946" s="44" t="s">
        <v>2486</v>
      </c>
    </row>
    <row r="947" customFormat="false" ht="60" hidden="false" customHeight="true" outlineLevel="0" collapsed="false">
      <c r="A947" s="39"/>
      <c r="B947" s="40" t="s">
        <v>1104</v>
      </c>
      <c r="C947" s="41" t="s">
        <v>130</v>
      </c>
      <c r="D947" s="41" t="s">
        <v>108</v>
      </c>
      <c r="E947" s="42" t="n">
        <v>7900</v>
      </c>
      <c r="F947" s="42"/>
      <c r="G947" s="42"/>
      <c r="H947" s="43" t="n">
        <v>2</v>
      </c>
      <c r="I947" s="34" t="n">
        <f aca="false">E947*H947+N(F947)+N(G947)</f>
        <v>15800</v>
      </c>
      <c r="J947" s="42" t="n">
        <f aca="false">ROUND(IFERROR(ROUND(IF(OR(ISNUMBER(SEARCH("week",C947)),ISNUMBER(SEARCH("minggu",C947))),IFERROR(_xlfn.NUMBERVALUE(SUBSTITUTE(LEFT(TRIM(C947),FIND(" ",TRIM(C947)&amp;" ")-1),",","."),"."),LEFT(SUBSTITUTE(LEFT(TRIM(C947),FIND(" ",TRIM(C947)&amp;" ")-1),",","."),FIND("/",SUBSTITUTE(LEFT(TRIM(C947),FIND(" ",TRIM(C947)&amp;" ")-1),",","."))-1)/MID(SUBSTITUTE(LEFT(TRIM(C947),FIND(" ",TRIM(C947)&amp;" ")-1),",","."),FIND("/",SUBSTITUTE(LEFT(TRIM(C947),FIND(" ",TRIM(C947)&amp;" ")-1),",","."))+1,9))*12/52,IF(ISNUMBER(SEARCH("month",C947)),IFERROR(_xlfn.NUMBERVALUE(SUBSTITUTE(LEFT(TRIM(C947),FIND(" ",TRIM(C947)&amp;" ")-1),",","."),"."),LEFT(SUBSTITUTE(LEFT(TRIM(C947),FIND(" ",TRIM(C947)&amp;" ")-1),",","."),FIND("/",SUBSTITUTE(LEFT(TRIM(C947),FIND(" ",TRIM(C947)&amp;" ")-1),",","."))-1)/MID(SUBSTITUTE(LEFT(TRIM(C947),FIND(" ",TRIM(C947)&amp;" ")-1),",","."),FIND("/",SUBSTITUTE(LEFT(TRIM(C947),FIND(" ",TRIM(C947)&amp;" ")-1),",","."))+1,9)),IF(ISNUMBER(SEARCH("yea",C947)),IFERROR(_xlfn.NUMBERVALUE(SUBSTITUTE(LEFT(TRIM(C947),FIND(" ",TRIM(C947)&amp;" ")-1),",","."),"."),LEFT(SUBSTITUTE(LEFT(TRIM(C947),FIND(" ",TRIM(C947)&amp;" ")-1),",","."),FIND("/",SUBSTITUTE(LEFT(TRIM(C947),FIND(" ",TRIM(C947)&amp;" ")-1),",","."))-1)/MID(SUBSTITUTE(LEFT(TRIM(C947),FIND(" ",TRIM(C947)&amp;" ")-1),",","."),FIND("/",SUBSTITUTE(LEFT(TRIM(C947),FIND(" ",TRIM(C947)&amp;" ")-1),",","."))+1,9))*12,NA()))),0),12)*'Aturan &amp; Tarif'!$B$4,2)</f>
        <v>681.36</v>
      </c>
      <c r="K947" s="42" t="n">
        <f aca="false">'Aturan &amp; Tarif'!$B$5</f>
        <v>2050</v>
      </c>
      <c r="L947" s="35" t="n">
        <f aca="false">I947+J947+K947</f>
        <v>18531.36</v>
      </c>
      <c r="M947" s="44" t="s">
        <v>1105</v>
      </c>
    </row>
    <row r="948" customFormat="false" ht="60" hidden="false" customHeight="true" outlineLevel="0" collapsed="false">
      <c r="A948" s="39"/>
      <c r="B948" s="40" t="s">
        <v>335</v>
      </c>
      <c r="C948" s="41" t="s">
        <v>127</v>
      </c>
      <c r="D948" s="41" t="s">
        <v>108</v>
      </c>
      <c r="E948" s="42" t="n">
        <v>7900</v>
      </c>
      <c r="F948" s="42"/>
      <c r="G948" s="42"/>
      <c r="H948" s="43" t="n">
        <v>2</v>
      </c>
      <c r="I948" s="34" t="n">
        <f aca="false">E948*H948+N(F948)+N(G948)</f>
        <v>15800</v>
      </c>
      <c r="J948" s="42" t="n">
        <f aca="false">ROUND(IFERROR(ROUND(IF(OR(ISNUMBER(SEARCH("week",C948)),ISNUMBER(SEARCH("minggu",C948))),IFERROR(_xlfn.NUMBERVALUE(SUBSTITUTE(LEFT(TRIM(C948),FIND(" ",TRIM(C948)&amp;" ")-1),",","."),"."),LEFT(SUBSTITUTE(LEFT(TRIM(C948),FIND(" ",TRIM(C948)&amp;" ")-1),",","."),FIND("/",SUBSTITUTE(LEFT(TRIM(C948),FIND(" ",TRIM(C948)&amp;" ")-1),",","."))-1)/MID(SUBSTITUTE(LEFT(TRIM(C948),FIND(" ",TRIM(C948)&amp;" ")-1),",","."),FIND("/",SUBSTITUTE(LEFT(TRIM(C948),FIND(" ",TRIM(C948)&amp;" ")-1),",","."))+1,9))*12/52,IF(ISNUMBER(SEARCH("month",C948)),IFERROR(_xlfn.NUMBERVALUE(SUBSTITUTE(LEFT(TRIM(C948),FIND(" ",TRIM(C948)&amp;" ")-1),",","."),"."),LEFT(SUBSTITUTE(LEFT(TRIM(C948),FIND(" ",TRIM(C948)&amp;" ")-1),",","."),FIND("/",SUBSTITUTE(LEFT(TRIM(C948),FIND(" ",TRIM(C948)&amp;" ")-1),",","."))-1)/MID(SUBSTITUTE(LEFT(TRIM(C948),FIND(" ",TRIM(C948)&amp;" ")-1),",","."),FIND("/",SUBSTITUTE(LEFT(TRIM(C948),FIND(" ",TRIM(C948)&amp;" ")-1),",","."))+1,9)),IF(ISNUMBER(SEARCH("yea",C948)),IFERROR(_xlfn.NUMBERVALUE(SUBSTITUTE(LEFT(TRIM(C948),FIND(" ",TRIM(C948)&amp;" ")-1),",","."),"."),LEFT(SUBSTITUTE(LEFT(TRIM(C948),FIND(" ",TRIM(C948)&amp;" ")-1),",","."),FIND("/",SUBSTITUTE(LEFT(TRIM(C948),FIND(" ",TRIM(C948)&amp;" ")-1),",","."))-1)/MID(SUBSTITUTE(LEFT(TRIM(C948),FIND(" ",TRIM(C948)&amp;" ")-1),",","."),FIND("/",SUBSTITUTE(LEFT(TRIM(C948),FIND(" ",TRIM(C948)&amp;" ")-1),",","."))+1,9))*12,NA()))),0),36)*'Aturan &amp; Tarif'!$B$4,2)</f>
        <v>2044.08</v>
      </c>
      <c r="K948" s="42" t="n">
        <f aca="false">'Aturan &amp; Tarif'!$B$5</f>
        <v>2050</v>
      </c>
      <c r="L948" s="35" t="n">
        <f aca="false">I948+J948+K948</f>
        <v>19894.08</v>
      </c>
      <c r="M948" s="44" t="s">
        <v>1106</v>
      </c>
    </row>
    <row r="949" customFormat="false" ht="60" hidden="false" customHeight="true" outlineLevel="0" collapsed="false">
      <c r="A949" s="39"/>
      <c r="B949" s="40" t="s">
        <v>2487</v>
      </c>
      <c r="C949" s="41" t="s">
        <v>127</v>
      </c>
      <c r="D949" s="41" t="s">
        <v>108</v>
      </c>
      <c r="E949" s="42" t="n">
        <v>9375</v>
      </c>
      <c r="F949" s="42"/>
      <c r="G949" s="42"/>
      <c r="H949" s="43" t="n">
        <v>2</v>
      </c>
      <c r="I949" s="34" t="n">
        <f aca="false">E949*H949+N(F949)+N(G949)</f>
        <v>18750</v>
      </c>
      <c r="J949" s="42" t="n">
        <f aca="false">ROUND(IFERROR(ROUND(IF(OR(ISNUMBER(SEARCH("week",C949)),ISNUMBER(SEARCH("minggu",C949))),IFERROR(_xlfn.NUMBERVALUE(SUBSTITUTE(LEFT(TRIM(C949),FIND(" ",TRIM(C949)&amp;" ")-1),",","."),"."),LEFT(SUBSTITUTE(LEFT(TRIM(C949),FIND(" ",TRIM(C949)&amp;" ")-1),",","."),FIND("/",SUBSTITUTE(LEFT(TRIM(C949),FIND(" ",TRIM(C949)&amp;" ")-1),",","."))-1)/MID(SUBSTITUTE(LEFT(TRIM(C949),FIND(" ",TRIM(C949)&amp;" ")-1),",","."),FIND("/",SUBSTITUTE(LEFT(TRIM(C949),FIND(" ",TRIM(C949)&amp;" ")-1),",","."))+1,9))*12/52,IF(ISNUMBER(SEARCH("month",C949)),IFERROR(_xlfn.NUMBERVALUE(SUBSTITUTE(LEFT(TRIM(C949),FIND(" ",TRIM(C949)&amp;" ")-1),",","."),"."),LEFT(SUBSTITUTE(LEFT(TRIM(C949),FIND(" ",TRIM(C949)&amp;" ")-1),",","."),FIND("/",SUBSTITUTE(LEFT(TRIM(C949),FIND(" ",TRIM(C949)&amp;" ")-1),",","."))-1)/MID(SUBSTITUTE(LEFT(TRIM(C949),FIND(" ",TRIM(C949)&amp;" ")-1),",","."),FIND("/",SUBSTITUTE(LEFT(TRIM(C949),FIND(" ",TRIM(C949)&amp;" ")-1),",","."))+1,9)),IF(ISNUMBER(SEARCH("yea",C949)),IFERROR(_xlfn.NUMBERVALUE(SUBSTITUTE(LEFT(TRIM(C949),FIND(" ",TRIM(C949)&amp;" ")-1),",","."),"."),LEFT(SUBSTITUTE(LEFT(TRIM(C949),FIND(" ",TRIM(C949)&amp;" ")-1),",","."),FIND("/",SUBSTITUTE(LEFT(TRIM(C949),FIND(" ",TRIM(C949)&amp;" ")-1),",","."))-1)/MID(SUBSTITUTE(LEFT(TRIM(C949),FIND(" ",TRIM(C949)&amp;" ")-1),",","."),FIND("/",SUBSTITUTE(LEFT(TRIM(C949),FIND(" ",TRIM(C949)&amp;" ")-1),",","."))+1,9))*12,NA()))),0),36)*'Aturan &amp; Tarif'!$B$4,2)</f>
        <v>2044.08</v>
      </c>
      <c r="K949" s="42" t="n">
        <f aca="false">'Aturan &amp; Tarif'!$B$5</f>
        <v>2050</v>
      </c>
      <c r="L949" s="35" t="n">
        <f aca="false">I949+J949+K949</f>
        <v>22844.08</v>
      </c>
      <c r="M949" s="44" t="s">
        <v>1036</v>
      </c>
    </row>
    <row r="950" customFormat="false" ht="60" hidden="false" customHeight="true" outlineLevel="0" collapsed="false">
      <c r="A950" s="39"/>
      <c r="B950" s="40" t="s">
        <v>1069</v>
      </c>
      <c r="C950" s="41" t="s">
        <v>130</v>
      </c>
      <c r="D950" s="41" t="s">
        <v>108</v>
      </c>
      <c r="E950" s="42" t="n">
        <v>9000</v>
      </c>
      <c r="F950" s="42"/>
      <c r="G950" s="42"/>
      <c r="H950" s="43" t="n">
        <v>2</v>
      </c>
      <c r="I950" s="34" t="n">
        <f aca="false">E950*H950+N(F950)+N(G950)</f>
        <v>18000</v>
      </c>
      <c r="J950" s="42" t="n">
        <f aca="false">ROUND(IFERROR(ROUND(IF(OR(ISNUMBER(SEARCH("week",C950)),ISNUMBER(SEARCH("minggu",C950))),IFERROR(_xlfn.NUMBERVALUE(SUBSTITUTE(LEFT(TRIM(C950),FIND(" ",TRIM(C950)&amp;" ")-1),",","."),"."),LEFT(SUBSTITUTE(LEFT(TRIM(C950),FIND(" ",TRIM(C950)&amp;" ")-1),",","."),FIND("/",SUBSTITUTE(LEFT(TRIM(C950),FIND(" ",TRIM(C950)&amp;" ")-1),",","."))-1)/MID(SUBSTITUTE(LEFT(TRIM(C950),FIND(" ",TRIM(C950)&amp;" ")-1),",","."),FIND("/",SUBSTITUTE(LEFT(TRIM(C950),FIND(" ",TRIM(C950)&amp;" ")-1),",","."))+1,9))*12/52,IF(ISNUMBER(SEARCH("month",C950)),IFERROR(_xlfn.NUMBERVALUE(SUBSTITUTE(LEFT(TRIM(C950),FIND(" ",TRIM(C950)&amp;" ")-1),",","."),"."),LEFT(SUBSTITUTE(LEFT(TRIM(C950),FIND(" ",TRIM(C950)&amp;" ")-1),",","."),FIND("/",SUBSTITUTE(LEFT(TRIM(C950),FIND(" ",TRIM(C950)&amp;" ")-1),",","."))-1)/MID(SUBSTITUTE(LEFT(TRIM(C950),FIND(" ",TRIM(C950)&amp;" ")-1),",","."),FIND("/",SUBSTITUTE(LEFT(TRIM(C950),FIND(" ",TRIM(C950)&amp;" ")-1),",","."))+1,9)),IF(ISNUMBER(SEARCH("yea",C950)),IFERROR(_xlfn.NUMBERVALUE(SUBSTITUTE(LEFT(TRIM(C950),FIND(" ",TRIM(C950)&amp;" ")-1),",","."),"."),LEFT(SUBSTITUTE(LEFT(TRIM(C950),FIND(" ",TRIM(C950)&amp;" ")-1),",","."),FIND("/",SUBSTITUTE(LEFT(TRIM(C950),FIND(" ",TRIM(C950)&amp;" ")-1),",","."))-1)/MID(SUBSTITUTE(LEFT(TRIM(C950),FIND(" ",TRIM(C950)&amp;" ")-1),",","."),FIND("/",SUBSTITUTE(LEFT(TRIM(C950),FIND(" ",TRIM(C950)&amp;" ")-1),",","."))+1,9))*12,NA()))),0),12)*'Aturan &amp; Tarif'!$B$4,2)</f>
        <v>681.36</v>
      </c>
      <c r="K950" s="42" t="n">
        <f aca="false">'Aturan &amp; Tarif'!$B$5</f>
        <v>2050</v>
      </c>
      <c r="L950" s="35" t="n">
        <f aca="false">I950+J950+K950</f>
        <v>20731.36</v>
      </c>
      <c r="M950" s="44" t="s">
        <v>1036</v>
      </c>
    </row>
    <row r="951" customFormat="false" ht="60" hidden="false" customHeight="true" outlineLevel="0" collapsed="false">
      <c r="A951" s="39"/>
      <c r="B951" s="40" t="s">
        <v>1070</v>
      </c>
      <c r="C951" s="41" t="s">
        <v>107</v>
      </c>
      <c r="D951" s="41" t="s">
        <v>108</v>
      </c>
      <c r="E951" s="42" t="n">
        <v>9000</v>
      </c>
      <c r="F951" s="42"/>
      <c r="G951" s="42"/>
      <c r="H951" s="43" t="n">
        <v>2</v>
      </c>
      <c r="I951" s="34" t="n">
        <f aca="false">E951*H951+N(F951)+N(G951)</f>
        <v>18000</v>
      </c>
      <c r="J951" s="42" t="n">
        <f aca="false">ROUND(IFERROR(ROUND(IF(OR(ISNUMBER(SEARCH("week",C951)),ISNUMBER(SEARCH("minggu",C951))),IFERROR(_xlfn.NUMBERVALUE(SUBSTITUTE(LEFT(TRIM(C951),FIND(" ",TRIM(C951)&amp;" ")-1),",","."),"."),LEFT(SUBSTITUTE(LEFT(TRIM(C951),FIND(" ",TRIM(C951)&amp;" ")-1),",","."),FIND("/",SUBSTITUTE(LEFT(TRIM(C951),FIND(" ",TRIM(C951)&amp;" ")-1),",","."))-1)/MID(SUBSTITUTE(LEFT(TRIM(C951),FIND(" ",TRIM(C951)&amp;" ")-1),",","."),FIND("/",SUBSTITUTE(LEFT(TRIM(C951),FIND(" ",TRIM(C951)&amp;" ")-1),",","."))+1,9))*12/52,IF(ISNUMBER(SEARCH("month",C951)),IFERROR(_xlfn.NUMBERVALUE(SUBSTITUTE(LEFT(TRIM(C951),FIND(" ",TRIM(C951)&amp;" ")-1),",","."),"."),LEFT(SUBSTITUTE(LEFT(TRIM(C951),FIND(" ",TRIM(C951)&amp;" ")-1),",","."),FIND("/",SUBSTITUTE(LEFT(TRIM(C951),FIND(" ",TRIM(C951)&amp;" ")-1),",","."))-1)/MID(SUBSTITUTE(LEFT(TRIM(C951),FIND(" ",TRIM(C951)&amp;" ")-1),",","."),FIND("/",SUBSTITUTE(LEFT(TRIM(C951),FIND(" ",TRIM(C951)&amp;" ")-1),",","."))+1,9)),IF(ISNUMBER(SEARCH("yea",C951)),IFERROR(_xlfn.NUMBERVALUE(SUBSTITUTE(LEFT(TRIM(C951),FIND(" ",TRIM(C951)&amp;" ")-1),",","."),"."),LEFT(SUBSTITUTE(LEFT(TRIM(C951),FIND(" ",TRIM(C951)&amp;" ")-1),",","."),FIND("/",SUBSTITUTE(LEFT(TRIM(C951),FIND(" ",TRIM(C951)&amp;" ")-1),",","."))-1)/MID(SUBSTITUTE(LEFT(TRIM(C951),FIND(" ",TRIM(C951)&amp;" ")-1),",","."),FIND("/",SUBSTITUTE(LEFT(TRIM(C951),FIND(" ",TRIM(C951)&amp;" ")-1),",","."))+1,9))*12,NA()))),0),24)*'Aturan &amp; Tarif'!$B$4,2)</f>
        <v>1362.72</v>
      </c>
      <c r="K951" s="42" t="n">
        <f aca="false">'Aturan &amp; Tarif'!$B$5</f>
        <v>2050</v>
      </c>
      <c r="L951" s="35" t="n">
        <f aca="false">I951+J951+K951</f>
        <v>21412.72</v>
      </c>
      <c r="M951" s="44" t="s">
        <v>1036</v>
      </c>
    </row>
    <row r="952" customFormat="false" ht="60" hidden="false" customHeight="true" outlineLevel="0" collapsed="false">
      <c r="A952" s="39"/>
      <c r="B952" s="40" t="s">
        <v>1115</v>
      </c>
      <c r="C952" s="41" t="s">
        <v>130</v>
      </c>
      <c r="D952" s="41" t="s">
        <v>108</v>
      </c>
      <c r="E952" s="42" t="n">
        <v>4500</v>
      </c>
      <c r="F952" s="42"/>
      <c r="G952" s="42"/>
      <c r="H952" s="43" t="n">
        <v>2</v>
      </c>
      <c r="I952" s="34" t="n">
        <f aca="false">E952*H952+N(F952)+N(G952)</f>
        <v>9000</v>
      </c>
      <c r="J952" s="42" t="n">
        <f aca="false">ROUND(IFERROR(ROUND(IF(OR(ISNUMBER(SEARCH("week",C952)),ISNUMBER(SEARCH("minggu",C952))),IFERROR(_xlfn.NUMBERVALUE(SUBSTITUTE(LEFT(TRIM(C952),FIND(" ",TRIM(C952)&amp;" ")-1),",","."),"."),LEFT(SUBSTITUTE(LEFT(TRIM(C952),FIND(" ",TRIM(C952)&amp;" ")-1),",","."),FIND("/",SUBSTITUTE(LEFT(TRIM(C952),FIND(" ",TRIM(C952)&amp;" ")-1),",","."))-1)/MID(SUBSTITUTE(LEFT(TRIM(C952),FIND(" ",TRIM(C952)&amp;" ")-1),",","."),FIND("/",SUBSTITUTE(LEFT(TRIM(C952),FIND(" ",TRIM(C952)&amp;" ")-1),",","."))+1,9))*12/52,IF(ISNUMBER(SEARCH("month",C952)),IFERROR(_xlfn.NUMBERVALUE(SUBSTITUTE(LEFT(TRIM(C952),FIND(" ",TRIM(C952)&amp;" ")-1),",","."),"."),LEFT(SUBSTITUTE(LEFT(TRIM(C952),FIND(" ",TRIM(C952)&amp;" ")-1),",","."),FIND("/",SUBSTITUTE(LEFT(TRIM(C952),FIND(" ",TRIM(C952)&amp;" ")-1),",","."))-1)/MID(SUBSTITUTE(LEFT(TRIM(C952),FIND(" ",TRIM(C952)&amp;" ")-1),",","."),FIND("/",SUBSTITUTE(LEFT(TRIM(C952),FIND(" ",TRIM(C952)&amp;" ")-1),",","."))+1,9)),IF(ISNUMBER(SEARCH("yea",C952)),IFERROR(_xlfn.NUMBERVALUE(SUBSTITUTE(LEFT(TRIM(C952),FIND(" ",TRIM(C952)&amp;" ")-1),",","."),"."),LEFT(SUBSTITUTE(LEFT(TRIM(C952),FIND(" ",TRIM(C952)&amp;" ")-1),",","."),FIND("/",SUBSTITUTE(LEFT(TRIM(C952),FIND(" ",TRIM(C952)&amp;" ")-1),",","."))-1)/MID(SUBSTITUTE(LEFT(TRIM(C952),FIND(" ",TRIM(C952)&amp;" ")-1),",","."),FIND("/",SUBSTITUTE(LEFT(TRIM(C952),FIND(" ",TRIM(C952)&amp;" ")-1),",","."))+1,9))*12,NA()))),0),12)*'Aturan &amp; Tarif'!$B$4,2)</f>
        <v>681.36</v>
      </c>
      <c r="K952" s="42" t="n">
        <f aca="false">'Aturan &amp; Tarif'!$B$5</f>
        <v>2050</v>
      </c>
      <c r="L952" s="35" t="n">
        <f aca="false">I952+J952+K952</f>
        <v>11731.36</v>
      </c>
      <c r="M952" s="44" t="s">
        <v>1116</v>
      </c>
    </row>
    <row r="953" customFormat="false" ht="60" hidden="false" customHeight="true" outlineLevel="0" collapsed="false">
      <c r="A953" s="39"/>
      <c r="B953" s="40" t="s">
        <v>1117</v>
      </c>
      <c r="C953" s="41" t="s">
        <v>130</v>
      </c>
      <c r="D953" s="41" t="s">
        <v>108</v>
      </c>
      <c r="E953" s="42" t="n">
        <v>9000</v>
      </c>
      <c r="F953" s="42"/>
      <c r="G953" s="42"/>
      <c r="H953" s="43" t="n">
        <v>2</v>
      </c>
      <c r="I953" s="34" t="n">
        <f aca="false">E953*H953+N(F953)+N(G953)</f>
        <v>18000</v>
      </c>
      <c r="J953" s="42" t="n">
        <f aca="false">ROUND(IFERROR(ROUND(IF(OR(ISNUMBER(SEARCH("week",C953)),ISNUMBER(SEARCH("minggu",C953))),IFERROR(_xlfn.NUMBERVALUE(SUBSTITUTE(LEFT(TRIM(C953),FIND(" ",TRIM(C953)&amp;" ")-1),",","."),"."),LEFT(SUBSTITUTE(LEFT(TRIM(C953),FIND(" ",TRIM(C953)&amp;" ")-1),",","."),FIND("/",SUBSTITUTE(LEFT(TRIM(C953),FIND(" ",TRIM(C953)&amp;" ")-1),",","."))-1)/MID(SUBSTITUTE(LEFT(TRIM(C953),FIND(" ",TRIM(C953)&amp;" ")-1),",","."),FIND("/",SUBSTITUTE(LEFT(TRIM(C953),FIND(" ",TRIM(C953)&amp;" ")-1),",","."))+1,9))*12/52,IF(ISNUMBER(SEARCH("month",C953)),IFERROR(_xlfn.NUMBERVALUE(SUBSTITUTE(LEFT(TRIM(C953),FIND(" ",TRIM(C953)&amp;" ")-1),",","."),"."),LEFT(SUBSTITUTE(LEFT(TRIM(C953),FIND(" ",TRIM(C953)&amp;" ")-1),",","."),FIND("/",SUBSTITUTE(LEFT(TRIM(C953),FIND(" ",TRIM(C953)&amp;" ")-1),",","."))-1)/MID(SUBSTITUTE(LEFT(TRIM(C953),FIND(" ",TRIM(C953)&amp;" ")-1),",","."),FIND("/",SUBSTITUTE(LEFT(TRIM(C953),FIND(" ",TRIM(C953)&amp;" ")-1),",","."))+1,9)),IF(ISNUMBER(SEARCH("yea",C953)),IFERROR(_xlfn.NUMBERVALUE(SUBSTITUTE(LEFT(TRIM(C953),FIND(" ",TRIM(C953)&amp;" ")-1),",","."),"."),LEFT(SUBSTITUTE(LEFT(TRIM(C953),FIND(" ",TRIM(C953)&amp;" ")-1),",","."),FIND("/",SUBSTITUTE(LEFT(TRIM(C953),FIND(" ",TRIM(C953)&amp;" ")-1),",","."))-1)/MID(SUBSTITUTE(LEFT(TRIM(C953),FIND(" ",TRIM(C953)&amp;" ")-1),",","."),FIND("/",SUBSTITUTE(LEFT(TRIM(C953),FIND(" ",TRIM(C953)&amp;" ")-1),",","."))+1,9))*12,NA()))),0),12)*'Aturan &amp; Tarif'!$B$4,2)</f>
        <v>681.36</v>
      </c>
      <c r="K953" s="42" t="n">
        <f aca="false">'Aturan &amp; Tarif'!$B$5</f>
        <v>2050</v>
      </c>
      <c r="L953" s="35" t="n">
        <f aca="false">I953+J953+K953</f>
        <v>20731.36</v>
      </c>
      <c r="M953" s="44" t="s">
        <v>1118</v>
      </c>
    </row>
    <row r="954" customFormat="false" ht="60" hidden="false" customHeight="true" outlineLevel="0" collapsed="false">
      <c r="A954" s="39"/>
      <c r="B954" s="40" t="s">
        <v>349</v>
      </c>
      <c r="C954" s="41" t="s">
        <v>107</v>
      </c>
      <c r="D954" s="41" t="s">
        <v>108</v>
      </c>
      <c r="E954" s="42" t="n">
        <v>9000</v>
      </c>
      <c r="F954" s="42"/>
      <c r="G954" s="42"/>
      <c r="H954" s="43" t="n">
        <v>2</v>
      </c>
      <c r="I954" s="34" t="n">
        <f aca="false">E954*H954+N(F954)+N(G954)</f>
        <v>18000</v>
      </c>
      <c r="J954" s="42" t="n">
        <f aca="false">ROUND(IFERROR(ROUND(IF(OR(ISNUMBER(SEARCH("week",C954)),ISNUMBER(SEARCH("minggu",C954))),IFERROR(_xlfn.NUMBERVALUE(SUBSTITUTE(LEFT(TRIM(C954),FIND(" ",TRIM(C954)&amp;" ")-1),",","."),"."),LEFT(SUBSTITUTE(LEFT(TRIM(C954),FIND(" ",TRIM(C954)&amp;" ")-1),",","."),FIND("/",SUBSTITUTE(LEFT(TRIM(C954),FIND(" ",TRIM(C954)&amp;" ")-1),",","."))-1)/MID(SUBSTITUTE(LEFT(TRIM(C954),FIND(" ",TRIM(C954)&amp;" ")-1),",","."),FIND("/",SUBSTITUTE(LEFT(TRIM(C954),FIND(" ",TRIM(C954)&amp;" ")-1),",","."))+1,9))*12/52,IF(ISNUMBER(SEARCH("month",C954)),IFERROR(_xlfn.NUMBERVALUE(SUBSTITUTE(LEFT(TRIM(C954),FIND(" ",TRIM(C954)&amp;" ")-1),",","."),"."),LEFT(SUBSTITUTE(LEFT(TRIM(C954),FIND(" ",TRIM(C954)&amp;" ")-1),",","."),FIND("/",SUBSTITUTE(LEFT(TRIM(C954),FIND(" ",TRIM(C954)&amp;" ")-1),",","."))-1)/MID(SUBSTITUTE(LEFT(TRIM(C954),FIND(" ",TRIM(C954)&amp;" ")-1),",","."),FIND("/",SUBSTITUTE(LEFT(TRIM(C954),FIND(" ",TRIM(C954)&amp;" ")-1),",","."))+1,9)),IF(ISNUMBER(SEARCH("yea",C954)),IFERROR(_xlfn.NUMBERVALUE(SUBSTITUTE(LEFT(TRIM(C954),FIND(" ",TRIM(C954)&amp;" ")-1),",","."),"."),LEFT(SUBSTITUTE(LEFT(TRIM(C954),FIND(" ",TRIM(C954)&amp;" ")-1),",","."),FIND("/",SUBSTITUTE(LEFT(TRIM(C954),FIND(" ",TRIM(C954)&amp;" ")-1),",","."))-1)/MID(SUBSTITUTE(LEFT(TRIM(C954),FIND(" ",TRIM(C954)&amp;" ")-1),",","."),FIND("/",SUBSTITUTE(LEFT(TRIM(C954),FIND(" ",TRIM(C954)&amp;" ")-1),",","."))+1,9))*12,NA()))),0),24)*'Aturan &amp; Tarif'!$B$4,2)</f>
        <v>1362.72</v>
      </c>
      <c r="K954" s="42" t="n">
        <f aca="false">'Aturan &amp; Tarif'!$B$5</f>
        <v>2050</v>
      </c>
      <c r="L954" s="35" t="n">
        <f aca="false">I954+J954+K954</f>
        <v>21412.72</v>
      </c>
      <c r="M954" s="44" t="s">
        <v>1119</v>
      </c>
    </row>
    <row r="955" customFormat="false" ht="60" hidden="false" customHeight="true" outlineLevel="0" collapsed="false">
      <c r="A955" s="39"/>
      <c r="B955" s="40" t="s">
        <v>1120</v>
      </c>
      <c r="C955" s="41" t="s">
        <v>107</v>
      </c>
      <c r="D955" s="41" t="s">
        <v>108</v>
      </c>
      <c r="E955" s="42" t="n">
        <v>9000</v>
      </c>
      <c r="F955" s="42"/>
      <c r="G955" s="42"/>
      <c r="H955" s="43" t="n">
        <v>2</v>
      </c>
      <c r="I955" s="34" t="n">
        <f aca="false">E955*H955+N(F955)+N(G955)</f>
        <v>18000</v>
      </c>
      <c r="J955" s="42" t="n">
        <f aca="false">ROUND(IFERROR(ROUND(IF(OR(ISNUMBER(SEARCH("week",C955)),ISNUMBER(SEARCH("minggu",C955))),IFERROR(_xlfn.NUMBERVALUE(SUBSTITUTE(LEFT(TRIM(C955),FIND(" ",TRIM(C955)&amp;" ")-1),",","."),"."),LEFT(SUBSTITUTE(LEFT(TRIM(C955),FIND(" ",TRIM(C955)&amp;" ")-1),",","."),FIND("/",SUBSTITUTE(LEFT(TRIM(C955),FIND(" ",TRIM(C955)&amp;" ")-1),",","."))-1)/MID(SUBSTITUTE(LEFT(TRIM(C955),FIND(" ",TRIM(C955)&amp;" ")-1),",","."),FIND("/",SUBSTITUTE(LEFT(TRIM(C955),FIND(" ",TRIM(C955)&amp;" ")-1),",","."))+1,9))*12/52,IF(ISNUMBER(SEARCH("month",C955)),IFERROR(_xlfn.NUMBERVALUE(SUBSTITUTE(LEFT(TRIM(C955),FIND(" ",TRIM(C955)&amp;" ")-1),",","."),"."),LEFT(SUBSTITUTE(LEFT(TRIM(C955),FIND(" ",TRIM(C955)&amp;" ")-1),",","."),FIND("/",SUBSTITUTE(LEFT(TRIM(C955),FIND(" ",TRIM(C955)&amp;" ")-1),",","."))-1)/MID(SUBSTITUTE(LEFT(TRIM(C955),FIND(" ",TRIM(C955)&amp;" ")-1),",","."),FIND("/",SUBSTITUTE(LEFT(TRIM(C955),FIND(" ",TRIM(C955)&amp;" ")-1),",","."))+1,9)),IF(ISNUMBER(SEARCH("yea",C955)),IFERROR(_xlfn.NUMBERVALUE(SUBSTITUTE(LEFT(TRIM(C955),FIND(" ",TRIM(C955)&amp;" ")-1),",","."),"."),LEFT(SUBSTITUTE(LEFT(TRIM(C955),FIND(" ",TRIM(C955)&amp;" ")-1),",","."),FIND("/",SUBSTITUTE(LEFT(TRIM(C955),FIND(" ",TRIM(C955)&amp;" ")-1),",","."))-1)/MID(SUBSTITUTE(LEFT(TRIM(C955),FIND(" ",TRIM(C955)&amp;" ")-1),",","."),FIND("/",SUBSTITUTE(LEFT(TRIM(C955),FIND(" ",TRIM(C955)&amp;" ")-1),",","."))+1,9))*12,NA()))),0),24)*'Aturan &amp; Tarif'!$B$4,2)</f>
        <v>1362.72</v>
      </c>
      <c r="K955" s="42" t="n">
        <f aca="false">'Aturan &amp; Tarif'!$B$5</f>
        <v>2050</v>
      </c>
      <c r="L955" s="35" t="n">
        <f aca="false">I955+J955+K955</f>
        <v>21412.72</v>
      </c>
      <c r="M955" s="44" t="s">
        <v>1121</v>
      </c>
    </row>
    <row r="956" customFormat="false" ht="60" hidden="false" customHeight="true" outlineLevel="0" collapsed="false">
      <c r="A956" s="39"/>
      <c r="B956" s="40" t="s">
        <v>2488</v>
      </c>
      <c r="C956" s="41" t="s">
        <v>107</v>
      </c>
      <c r="D956" s="41" t="s">
        <v>108</v>
      </c>
      <c r="E956" s="42" t="n">
        <v>9950</v>
      </c>
      <c r="F956" s="42"/>
      <c r="G956" s="42"/>
      <c r="H956" s="43" t="n">
        <v>2</v>
      </c>
      <c r="I956" s="34" t="n">
        <f aca="false">E956*H956+N(F956)+N(G956)</f>
        <v>19900</v>
      </c>
      <c r="J956" s="42" t="n">
        <f aca="false">ROUND(IFERROR(ROUND(IF(OR(ISNUMBER(SEARCH("week",C956)),ISNUMBER(SEARCH("minggu",C956))),IFERROR(_xlfn.NUMBERVALUE(SUBSTITUTE(LEFT(TRIM(C956),FIND(" ",TRIM(C956)&amp;" ")-1),",","."),"."),LEFT(SUBSTITUTE(LEFT(TRIM(C956),FIND(" ",TRIM(C956)&amp;" ")-1),",","."),FIND("/",SUBSTITUTE(LEFT(TRIM(C956),FIND(" ",TRIM(C956)&amp;" ")-1),",","."))-1)/MID(SUBSTITUTE(LEFT(TRIM(C956),FIND(" ",TRIM(C956)&amp;" ")-1),",","."),FIND("/",SUBSTITUTE(LEFT(TRIM(C956),FIND(" ",TRIM(C956)&amp;" ")-1),",","."))+1,9))*12/52,IF(ISNUMBER(SEARCH("month",C956)),IFERROR(_xlfn.NUMBERVALUE(SUBSTITUTE(LEFT(TRIM(C956),FIND(" ",TRIM(C956)&amp;" ")-1),",","."),"."),LEFT(SUBSTITUTE(LEFT(TRIM(C956),FIND(" ",TRIM(C956)&amp;" ")-1),",","."),FIND("/",SUBSTITUTE(LEFT(TRIM(C956),FIND(" ",TRIM(C956)&amp;" ")-1),",","."))-1)/MID(SUBSTITUTE(LEFT(TRIM(C956),FIND(" ",TRIM(C956)&amp;" ")-1),",","."),FIND("/",SUBSTITUTE(LEFT(TRIM(C956),FIND(" ",TRIM(C956)&amp;" ")-1),",","."))+1,9)),IF(ISNUMBER(SEARCH("yea",C956)),IFERROR(_xlfn.NUMBERVALUE(SUBSTITUTE(LEFT(TRIM(C956),FIND(" ",TRIM(C956)&amp;" ")-1),",","."),"."),LEFT(SUBSTITUTE(LEFT(TRIM(C956),FIND(" ",TRIM(C956)&amp;" ")-1),",","."),FIND("/",SUBSTITUTE(LEFT(TRIM(C956),FIND(" ",TRIM(C956)&amp;" ")-1),",","."))-1)/MID(SUBSTITUTE(LEFT(TRIM(C956),FIND(" ",TRIM(C956)&amp;" ")-1),",","."),FIND("/",SUBSTITUTE(LEFT(TRIM(C956),FIND(" ",TRIM(C956)&amp;" ")-1),",","."))+1,9))*12,NA()))),0),24)*'Aturan &amp; Tarif'!$B$4,2)</f>
        <v>1362.72</v>
      </c>
      <c r="K956" s="42" t="n">
        <f aca="false">'Aturan &amp; Tarif'!$B$5</f>
        <v>2050</v>
      </c>
      <c r="L956" s="35" t="n">
        <f aca="false">I956+J956+K956</f>
        <v>23312.72</v>
      </c>
      <c r="M956" s="44" t="s">
        <v>1036</v>
      </c>
    </row>
    <row r="957" customFormat="false" ht="60" hidden="false" customHeight="true" outlineLevel="0" collapsed="false">
      <c r="A957" s="39"/>
      <c r="B957" s="40" t="s">
        <v>2489</v>
      </c>
      <c r="C957" s="41" t="s">
        <v>344</v>
      </c>
      <c r="D957" s="41" t="s">
        <v>108</v>
      </c>
      <c r="E957" s="42" t="n">
        <v>3513</v>
      </c>
      <c r="F957" s="42"/>
      <c r="G957" s="42"/>
      <c r="H957" s="43" t="n">
        <v>2</v>
      </c>
      <c r="I957" s="34" t="n">
        <f aca="false">E957*H957+N(F957)+N(G957)</f>
        <v>7026</v>
      </c>
      <c r="J957" s="42" t="n">
        <f aca="false">ROUND(IFERROR(ROUND(IF(OR(ISNUMBER(SEARCH("week",C957)),ISNUMBER(SEARCH("minggu",C957))),IFERROR(_xlfn.NUMBERVALUE(SUBSTITUTE(LEFT(TRIM(C957),FIND(" ",TRIM(C957)&amp;" ")-1),",","."),"."),LEFT(SUBSTITUTE(LEFT(TRIM(C957),FIND(" ",TRIM(C957)&amp;" ")-1),",","."),FIND("/",SUBSTITUTE(LEFT(TRIM(C957),FIND(" ",TRIM(C957)&amp;" ")-1),",","."))-1)/MID(SUBSTITUTE(LEFT(TRIM(C957),FIND(" ",TRIM(C957)&amp;" ")-1),",","."),FIND("/",SUBSTITUTE(LEFT(TRIM(C957),FIND(" ",TRIM(C957)&amp;" ")-1),",","."))+1,9))*12/52,IF(ISNUMBER(SEARCH("month",C957)),IFERROR(_xlfn.NUMBERVALUE(SUBSTITUTE(LEFT(TRIM(C957),FIND(" ",TRIM(C957)&amp;" ")-1),",","."),"."),LEFT(SUBSTITUTE(LEFT(TRIM(C957),FIND(" ",TRIM(C957)&amp;" ")-1),",","."),FIND("/",SUBSTITUTE(LEFT(TRIM(C957),FIND(" ",TRIM(C957)&amp;" ")-1),",","."))-1)/MID(SUBSTITUTE(LEFT(TRIM(C957),FIND(" ",TRIM(C957)&amp;" ")-1),",","."),FIND("/",SUBSTITUTE(LEFT(TRIM(C957),FIND(" ",TRIM(C957)&amp;" ")-1),",","."))+1,9)),IF(ISNUMBER(SEARCH("yea",C957)),IFERROR(_xlfn.NUMBERVALUE(SUBSTITUTE(LEFT(TRIM(C957),FIND(" ",TRIM(C957)&amp;" ")-1),",","."),"."),LEFT(SUBSTITUTE(LEFT(TRIM(C957),FIND(" ",TRIM(C957)&amp;" ")-1),",","."),FIND("/",SUBSTITUTE(LEFT(TRIM(C957),FIND(" ",TRIM(C957)&amp;" ")-1),",","."))-1)/MID(SUBSTITUTE(LEFT(TRIM(C957),FIND(" ",TRIM(C957)&amp;" ")-1),",","."),FIND("/",SUBSTITUTE(LEFT(TRIM(C957),FIND(" ",TRIM(C957)&amp;" ")-1),",","."))+1,9))*12,NA()))),0),6)*'Aturan &amp; Tarif'!$B$4,2)</f>
        <v>340.68</v>
      </c>
      <c r="K957" s="42" t="n">
        <f aca="false">'Aturan &amp; Tarif'!$B$5</f>
        <v>2050</v>
      </c>
      <c r="L957" s="35" t="n">
        <f aca="false">I957+J957+K957</f>
        <v>9416.68</v>
      </c>
      <c r="M957" s="44" t="s">
        <v>2490</v>
      </c>
    </row>
    <row r="958" customFormat="false" ht="60" hidden="false" customHeight="true" outlineLevel="0" collapsed="false">
      <c r="A958" s="39"/>
      <c r="B958" s="40" t="s">
        <v>2491</v>
      </c>
      <c r="C958" s="41" t="s">
        <v>130</v>
      </c>
      <c r="D958" s="41" t="s">
        <v>108</v>
      </c>
      <c r="E958" s="42" t="n">
        <v>7025</v>
      </c>
      <c r="F958" s="42"/>
      <c r="G958" s="42"/>
      <c r="H958" s="43" t="n">
        <v>2</v>
      </c>
      <c r="I958" s="34" t="n">
        <f aca="false">E958*H958+N(F958)+N(G958)</f>
        <v>14050</v>
      </c>
      <c r="J958" s="42" t="n">
        <f aca="false">ROUND(IFERROR(ROUND(IF(OR(ISNUMBER(SEARCH("week",C958)),ISNUMBER(SEARCH("minggu",C958))),IFERROR(_xlfn.NUMBERVALUE(SUBSTITUTE(LEFT(TRIM(C958),FIND(" ",TRIM(C958)&amp;" ")-1),",","."),"."),LEFT(SUBSTITUTE(LEFT(TRIM(C958),FIND(" ",TRIM(C958)&amp;" ")-1),",","."),FIND("/",SUBSTITUTE(LEFT(TRIM(C958),FIND(" ",TRIM(C958)&amp;" ")-1),",","."))-1)/MID(SUBSTITUTE(LEFT(TRIM(C958),FIND(" ",TRIM(C958)&amp;" ")-1),",","."),FIND("/",SUBSTITUTE(LEFT(TRIM(C958),FIND(" ",TRIM(C958)&amp;" ")-1),",","."))+1,9))*12/52,IF(ISNUMBER(SEARCH("month",C958)),IFERROR(_xlfn.NUMBERVALUE(SUBSTITUTE(LEFT(TRIM(C958),FIND(" ",TRIM(C958)&amp;" ")-1),",","."),"."),LEFT(SUBSTITUTE(LEFT(TRIM(C958),FIND(" ",TRIM(C958)&amp;" ")-1),",","."),FIND("/",SUBSTITUTE(LEFT(TRIM(C958),FIND(" ",TRIM(C958)&amp;" ")-1),",","."))-1)/MID(SUBSTITUTE(LEFT(TRIM(C958),FIND(" ",TRIM(C958)&amp;" ")-1),",","."),FIND("/",SUBSTITUTE(LEFT(TRIM(C958),FIND(" ",TRIM(C958)&amp;" ")-1),",","."))+1,9)),IF(ISNUMBER(SEARCH("yea",C958)),IFERROR(_xlfn.NUMBERVALUE(SUBSTITUTE(LEFT(TRIM(C958),FIND(" ",TRIM(C958)&amp;" ")-1),",","."),"."),LEFT(SUBSTITUTE(LEFT(TRIM(C958),FIND(" ",TRIM(C958)&amp;" ")-1),",","."),FIND("/",SUBSTITUTE(LEFT(TRIM(C958),FIND(" ",TRIM(C958)&amp;" ")-1),",","."))-1)/MID(SUBSTITUTE(LEFT(TRIM(C958),FIND(" ",TRIM(C958)&amp;" ")-1),",","."),FIND("/",SUBSTITUTE(LEFT(TRIM(C958),FIND(" ",TRIM(C958)&amp;" ")-1),",","."))+1,9))*12,NA()))),0),12)*'Aturan &amp; Tarif'!$B$4,2)</f>
        <v>681.36</v>
      </c>
      <c r="K958" s="42" t="n">
        <f aca="false">'Aturan &amp; Tarif'!$B$5</f>
        <v>2050</v>
      </c>
      <c r="L958" s="35" t="n">
        <f aca="false">I958+J958+K958</f>
        <v>16781.36</v>
      </c>
      <c r="M958" s="44" t="s">
        <v>2492</v>
      </c>
    </row>
    <row r="959" customFormat="false" ht="60" hidden="false" customHeight="true" outlineLevel="0" collapsed="false">
      <c r="A959" s="39"/>
      <c r="B959" s="40" t="s">
        <v>2493</v>
      </c>
      <c r="C959" s="41" t="s">
        <v>113</v>
      </c>
      <c r="D959" s="41" t="s">
        <v>108</v>
      </c>
      <c r="E959" s="42" t="n">
        <v>7025</v>
      </c>
      <c r="F959" s="42"/>
      <c r="G959" s="42"/>
      <c r="H959" s="43" t="n">
        <v>2</v>
      </c>
      <c r="I959" s="34" t="n">
        <f aca="false">E959*H959+N(F959)+N(G959)</f>
        <v>14050</v>
      </c>
      <c r="J959" s="42" t="n">
        <f aca="false">ROUND(IFERROR(ROUND(IF(OR(ISNUMBER(SEARCH("week",C959)),ISNUMBER(SEARCH("minggu",C959))),IFERROR(_xlfn.NUMBERVALUE(SUBSTITUTE(LEFT(TRIM(C959),FIND(" ",TRIM(C959)&amp;" ")-1),",","."),"."),LEFT(SUBSTITUTE(LEFT(TRIM(C959),FIND(" ",TRIM(C959)&amp;" ")-1),",","."),FIND("/",SUBSTITUTE(LEFT(TRIM(C959),FIND(" ",TRIM(C959)&amp;" ")-1),",","."))-1)/MID(SUBSTITUTE(LEFT(TRIM(C959),FIND(" ",TRIM(C959)&amp;" ")-1),",","."),FIND("/",SUBSTITUTE(LEFT(TRIM(C959),FIND(" ",TRIM(C959)&amp;" ")-1),",","."))+1,9))*12/52,IF(ISNUMBER(SEARCH("month",C959)),IFERROR(_xlfn.NUMBERVALUE(SUBSTITUTE(LEFT(TRIM(C959),FIND(" ",TRIM(C959)&amp;" ")-1),",","."),"."),LEFT(SUBSTITUTE(LEFT(TRIM(C959),FIND(" ",TRIM(C959)&amp;" ")-1),",","."),FIND("/",SUBSTITUTE(LEFT(TRIM(C959),FIND(" ",TRIM(C959)&amp;" ")-1),",","."))-1)/MID(SUBSTITUTE(LEFT(TRIM(C959),FIND(" ",TRIM(C959)&amp;" ")-1),",","."),FIND("/",SUBSTITUTE(LEFT(TRIM(C959),FIND(" ",TRIM(C959)&amp;" ")-1),",","."))+1,9)),IF(ISNUMBER(SEARCH("yea",C959)),IFERROR(_xlfn.NUMBERVALUE(SUBSTITUTE(LEFT(TRIM(C959),FIND(" ",TRIM(C959)&amp;" ")-1),",","."),"."),LEFT(SUBSTITUTE(LEFT(TRIM(C959),FIND(" ",TRIM(C959)&amp;" ")-1),",","."),FIND("/",SUBSTITUTE(LEFT(TRIM(C959),FIND(" ",TRIM(C959)&amp;" ")-1),",","."))-1)/MID(SUBSTITUTE(LEFT(TRIM(C959),FIND(" ",TRIM(C959)&amp;" ")-1),",","."),FIND("/",SUBSTITUTE(LEFT(TRIM(C959),FIND(" ",TRIM(C959)&amp;" ")-1),",","."))+1,9))*12,NA()))),0),18)*'Aturan &amp; Tarif'!$B$4,2)</f>
        <v>1022.04</v>
      </c>
      <c r="K959" s="42" t="n">
        <f aca="false">'Aturan &amp; Tarif'!$B$5</f>
        <v>2050</v>
      </c>
      <c r="L959" s="35" t="n">
        <f aca="false">I959+J959+K959</f>
        <v>17122.04</v>
      </c>
      <c r="M959" s="44" t="s">
        <v>2494</v>
      </c>
    </row>
    <row r="960" customFormat="false" ht="60" hidden="false" customHeight="true" outlineLevel="0" collapsed="false">
      <c r="A960" s="39"/>
      <c r="B960" s="40" t="s">
        <v>2495</v>
      </c>
      <c r="C960" s="41" t="s">
        <v>107</v>
      </c>
      <c r="D960" s="41" t="s">
        <v>108</v>
      </c>
      <c r="E960" s="42" t="n">
        <v>7025</v>
      </c>
      <c r="F960" s="42"/>
      <c r="G960" s="42"/>
      <c r="H960" s="43" t="n">
        <v>2</v>
      </c>
      <c r="I960" s="34" t="n">
        <f aca="false">E960*H960+N(F960)+N(G960)</f>
        <v>14050</v>
      </c>
      <c r="J960" s="42" t="n">
        <f aca="false">ROUND(IFERROR(ROUND(IF(OR(ISNUMBER(SEARCH("week",C960)),ISNUMBER(SEARCH("minggu",C960))),IFERROR(_xlfn.NUMBERVALUE(SUBSTITUTE(LEFT(TRIM(C960),FIND(" ",TRIM(C960)&amp;" ")-1),",","."),"."),LEFT(SUBSTITUTE(LEFT(TRIM(C960),FIND(" ",TRIM(C960)&amp;" ")-1),",","."),FIND("/",SUBSTITUTE(LEFT(TRIM(C960),FIND(" ",TRIM(C960)&amp;" ")-1),",","."))-1)/MID(SUBSTITUTE(LEFT(TRIM(C960),FIND(" ",TRIM(C960)&amp;" ")-1),",","."),FIND("/",SUBSTITUTE(LEFT(TRIM(C960),FIND(" ",TRIM(C960)&amp;" ")-1),",","."))+1,9))*12/52,IF(ISNUMBER(SEARCH("month",C960)),IFERROR(_xlfn.NUMBERVALUE(SUBSTITUTE(LEFT(TRIM(C960),FIND(" ",TRIM(C960)&amp;" ")-1),",","."),"."),LEFT(SUBSTITUTE(LEFT(TRIM(C960),FIND(" ",TRIM(C960)&amp;" ")-1),",","."),FIND("/",SUBSTITUTE(LEFT(TRIM(C960),FIND(" ",TRIM(C960)&amp;" ")-1),",","."))-1)/MID(SUBSTITUTE(LEFT(TRIM(C960),FIND(" ",TRIM(C960)&amp;" ")-1),",","."),FIND("/",SUBSTITUTE(LEFT(TRIM(C960),FIND(" ",TRIM(C960)&amp;" ")-1),",","."))+1,9)),IF(ISNUMBER(SEARCH("yea",C960)),IFERROR(_xlfn.NUMBERVALUE(SUBSTITUTE(LEFT(TRIM(C960),FIND(" ",TRIM(C960)&amp;" ")-1),",","."),"."),LEFT(SUBSTITUTE(LEFT(TRIM(C960),FIND(" ",TRIM(C960)&amp;" ")-1),",","."),FIND("/",SUBSTITUTE(LEFT(TRIM(C960),FIND(" ",TRIM(C960)&amp;" ")-1),",","."))-1)/MID(SUBSTITUTE(LEFT(TRIM(C960),FIND(" ",TRIM(C960)&amp;" ")-1),",","."),FIND("/",SUBSTITUTE(LEFT(TRIM(C960),FIND(" ",TRIM(C960)&amp;" ")-1),",","."))+1,9))*12,NA()))),0),24)*'Aturan &amp; Tarif'!$B$4,2)</f>
        <v>1362.72</v>
      </c>
      <c r="K960" s="42" t="n">
        <f aca="false">'Aturan &amp; Tarif'!$B$5</f>
        <v>2050</v>
      </c>
      <c r="L960" s="35" t="n">
        <f aca="false">I960+J960+K960</f>
        <v>17462.72</v>
      </c>
      <c r="M960" s="44" t="s">
        <v>2496</v>
      </c>
    </row>
    <row r="961" customFormat="false" ht="14.25" hidden="false" customHeight="true" outlineLevel="0" collapsed="false">
      <c r="A961" s="39"/>
      <c r="B961" s="40" t="s">
        <v>2497</v>
      </c>
      <c r="C961" s="41" t="s">
        <v>130</v>
      </c>
      <c r="D961" s="41" t="s">
        <v>108</v>
      </c>
      <c r="E961" s="42" t="n">
        <v>7025</v>
      </c>
      <c r="F961" s="42"/>
      <c r="G961" s="42"/>
      <c r="H961" s="43" t="n">
        <v>2</v>
      </c>
      <c r="I961" s="34" t="n">
        <f aca="false">E961*H961+N(F961)+N(G961)</f>
        <v>14050</v>
      </c>
      <c r="J961" s="42" t="n">
        <f aca="false">ROUND(IFERROR(ROUND(IF(OR(ISNUMBER(SEARCH("week",C961)),ISNUMBER(SEARCH("minggu",C961))),IFERROR(_xlfn.NUMBERVALUE(SUBSTITUTE(LEFT(TRIM(C961),FIND(" ",TRIM(C961)&amp;" ")-1),",","."),"."),LEFT(SUBSTITUTE(LEFT(TRIM(C961),FIND(" ",TRIM(C961)&amp;" ")-1),",","."),FIND("/",SUBSTITUTE(LEFT(TRIM(C961),FIND(" ",TRIM(C961)&amp;" ")-1),",","."))-1)/MID(SUBSTITUTE(LEFT(TRIM(C961),FIND(" ",TRIM(C961)&amp;" ")-1),",","."),FIND("/",SUBSTITUTE(LEFT(TRIM(C961),FIND(" ",TRIM(C961)&amp;" ")-1),",","."))+1,9))*12/52,IF(ISNUMBER(SEARCH("month",C961)),IFERROR(_xlfn.NUMBERVALUE(SUBSTITUTE(LEFT(TRIM(C961),FIND(" ",TRIM(C961)&amp;" ")-1),",","."),"."),LEFT(SUBSTITUTE(LEFT(TRIM(C961),FIND(" ",TRIM(C961)&amp;" ")-1),",","."),FIND("/",SUBSTITUTE(LEFT(TRIM(C961),FIND(" ",TRIM(C961)&amp;" ")-1),",","."))-1)/MID(SUBSTITUTE(LEFT(TRIM(C961),FIND(" ",TRIM(C961)&amp;" ")-1),",","."),FIND("/",SUBSTITUTE(LEFT(TRIM(C961),FIND(" ",TRIM(C961)&amp;" ")-1),",","."))+1,9)),IF(ISNUMBER(SEARCH("yea",C961)),IFERROR(_xlfn.NUMBERVALUE(SUBSTITUTE(LEFT(TRIM(C961),FIND(" ",TRIM(C961)&amp;" ")-1),",","."),"."),LEFT(SUBSTITUTE(LEFT(TRIM(C961),FIND(" ",TRIM(C961)&amp;" ")-1),",","."),FIND("/",SUBSTITUTE(LEFT(TRIM(C961),FIND(" ",TRIM(C961)&amp;" ")-1),",","."))-1)/MID(SUBSTITUTE(LEFT(TRIM(C961),FIND(" ",TRIM(C961)&amp;" ")-1),",","."),FIND("/",SUBSTITUTE(LEFT(TRIM(C961),FIND(" ",TRIM(C961)&amp;" ")-1),",","."))+1,9))*12,NA()))),0),12)*'Aturan &amp; Tarif'!$B$4,2)</f>
        <v>681.36</v>
      </c>
      <c r="K961" s="42" t="n">
        <f aca="false">'Aturan &amp; Tarif'!$B$5</f>
        <v>2050</v>
      </c>
      <c r="L961" s="35" t="n">
        <f aca="false">I961+J961+K961</f>
        <v>16781.36</v>
      </c>
      <c r="M961" s="44" t="s">
        <v>2498</v>
      </c>
    </row>
    <row r="962" customFormat="false" ht="60" hidden="false" customHeight="true" outlineLevel="0" collapsed="false">
      <c r="A962" s="39"/>
      <c r="B962" s="40" t="s">
        <v>2499</v>
      </c>
      <c r="C962" s="41" t="s">
        <v>113</v>
      </c>
      <c r="D962" s="41" t="s">
        <v>108</v>
      </c>
      <c r="E962" s="42" t="n">
        <v>7025</v>
      </c>
      <c r="F962" s="42"/>
      <c r="G962" s="42"/>
      <c r="H962" s="43" t="n">
        <v>2</v>
      </c>
      <c r="I962" s="34" t="n">
        <f aca="false">E962*H962+N(F962)+N(G962)</f>
        <v>14050</v>
      </c>
      <c r="J962" s="42" t="n">
        <f aca="false">ROUND(IFERROR(ROUND(IF(OR(ISNUMBER(SEARCH("week",C962)),ISNUMBER(SEARCH("minggu",C962))),IFERROR(_xlfn.NUMBERVALUE(SUBSTITUTE(LEFT(TRIM(C962),FIND(" ",TRIM(C962)&amp;" ")-1),",","."),"."),LEFT(SUBSTITUTE(LEFT(TRIM(C962),FIND(" ",TRIM(C962)&amp;" ")-1),",","."),FIND("/",SUBSTITUTE(LEFT(TRIM(C962),FIND(" ",TRIM(C962)&amp;" ")-1),",","."))-1)/MID(SUBSTITUTE(LEFT(TRIM(C962),FIND(" ",TRIM(C962)&amp;" ")-1),",","."),FIND("/",SUBSTITUTE(LEFT(TRIM(C962),FIND(" ",TRIM(C962)&amp;" ")-1),",","."))+1,9))*12/52,IF(ISNUMBER(SEARCH("month",C962)),IFERROR(_xlfn.NUMBERVALUE(SUBSTITUTE(LEFT(TRIM(C962),FIND(" ",TRIM(C962)&amp;" ")-1),",","."),"."),LEFT(SUBSTITUTE(LEFT(TRIM(C962),FIND(" ",TRIM(C962)&amp;" ")-1),",","."),FIND("/",SUBSTITUTE(LEFT(TRIM(C962),FIND(" ",TRIM(C962)&amp;" ")-1),",","."))-1)/MID(SUBSTITUTE(LEFT(TRIM(C962),FIND(" ",TRIM(C962)&amp;" ")-1),",","."),FIND("/",SUBSTITUTE(LEFT(TRIM(C962),FIND(" ",TRIM(C962)&amp;" ")-1),",","."))+1,9)),IF(ISNUMBER(SEARCH("yea",C962)),IFERROR(_xlfn.NUMBERVALUE(SUBSTITUTE(LEFT(TRIM(C962),FIND(" ",TRIM(C962)&amp;" ")-1),",","."),"."),LEFT(SUBSTITUTE(LEFT(TRIM(C962),FIND(" ",TRIM(C962)&amp;" ")-1),",","."),FIND("/",SUBSTITUTE(LEFT(TRIM(C962),FIND(" ",TRIM(C962)&amp;" ")-1),",","."))-1)/MID(SUBSTITUTE(LEFT(TRIM(C962),FIND(" ",TRIM(C962)&amp;" ")-1),",","."),FIND("/",SUBSTITUTE(LEFT(TRIM(C962),FIND(" ",TRIM(C962)&amp;" ")-1),",","."))+1,9))*12,NA()))),0),18)*'Aturan &amp; Tarif'!$B$4,2)</f>
        <v>1022.04</v>
      </c>
      <c r="K962" s="42" t="n">
        <f aca="false">'Aturan &amp; Tarif'!$B$5</f>
        <v>2050</v>
      </c>
      <c r="L962" s="35" t="n">
        <f aca="false">I962+J962+K962</f>
        <v>17122.04</v>
      </c>
      <c r="M962" s="44" t="s">
        <v>2500</v>
      </c>
    </row>
    <row r="963" customFormat="false" ht="60" hidden="false" customHeight="true" outlineLevel="0" collapsed="false">
      <c r="A963" s="39"/>
      <c r="B963" s="40" t="s">
        <v>2501</v>
      </c>
      <c r="C963" s="41" t="s">
        <v>107</v>
      </c>
      <c r="D963" s="41" t="s">
        <v>108</v>
      </c>
      <c r="E963" s="42" t="n">
        <v>7025</v>
      </c>
      <c r="F963" s="42"/>
      <c r="G963" s="42"/>
      <c r="H963" s="43" t="n">
        <v>2</v>
      </c>
      <c r="I963" s="34" t="n">
        <f aca="false">E963*H963+N(F963)+N(G963)</f>
        <v>14050</v>
      </c>
      <c r="J963" s="42" t="n">
        <f aca="false">ROUND(IFERROR(ROUND(IF(OR(ISNUMBER(SEARCH("week",C963)),ISNUMBER(SEARCH("minggu",C963))),IFERROR(_xlfn.NUMBERVALUE(SUBSTITUTE(LEFT(TRIM(C963),FIND(" ",TRIM(C963)&amp;" ")-1),",","."),"."),LEFT(SUBSTITUTE(LEFT(TRIM(C963),FIND(" ",TRIM(C963)&amp;" ")-1),",","."),FIND("/",SUBSTITUTE(LEFT(TRIM(C963),FIND(" ",TRIM(C963)&amp;" ")-1),",","."))-1)/MID(SUBSTITUTE(LEFT(TRIM(C963),FIND(" ",TRIM(C963)&amp;" ")-1),",","."),FIND("/",SUBSTITUTE(LEFT(TRIM(C963),FIND(" ",TRIM(C963)&amp;" ")-1),",","."))+1,9))*12/52,IF(ISNUMBER(SEARCH("month",C963)),IFERROR(_xlfn.NUMBERVALUE(SUBSTITUTE(LEFT(TRIM(C963),FIND(" ",TRIM(C963)&amp;" ")-1),",","."),"."),LEFT(SUBSTITUTE(LEFT(TRIM(C963),FIND(" ",TRIM(C963)&amp;" ")-1),",","."),FIND("/",SUBSTITUTE(LEFT(TRIM(C963),FIND(" ",TRIM(C963)&amp;" ")-1),",","."))-1)/MID(SUBSTITUTE(LEFT(TRIM(C963),FIND(" ",TRIM(C963)&amp;" ")-1),",","."),FIND("/",SUBSTITUTE(LEFT(TRIM(C963),FIND(" ",TRIM(C963)&amp;" ")-1),",","."))+1,9)),IF(ISNUMBER(SEARCH("yea",C963)),IFERROR(_xlfn.NUMBERVALUE(SUBSTITUTE(LEFT(TRIM(C963),FIND(" ",TRIM(C963)&amp;" ")-1),",","."),"."),LEFT(SUBSTITUTE(LEFT(TRIM(C963),FIND(" ",TRIM(C963)&amp;" ")-1),",","."),FIND("/",SUBSTITUTE(LEFT(TRIM(C963),FIND(" ",TRIM(C963)&amp;" ")-1),",","."))-1)/MID(SUBSTITUTE(LEFT(TRIM(C963),FIND(" ",TRIM(C963)&amp;" ")-1),",","."),FIND("/",SUBSTITUTE(LEFT(TRIM(C963),FIND(" ",TRIM(C963)&amp;" ")-1),",","."))+1,9))*12,NA()))),0),24)*'Aturan &amp; Tarif'!$B$4,2)</f>
        <v>1362.72</v>
      </c>
      <c r="K963" s="42" t="n">
        <f aca="false">'Aturan &amp; Tarif'!$B$5</f>
        <v>2050</v>
      </c>
      <c r="L963" s="35" t="n">
        <f aca="false">I963+J963+K963</f>
        <v>17462.72</v>
      </c>
      <c r="M963" s="44" t="s">
        <v>2502</v>
      </c>
    </row>
    <row r="964" customFormat="false" ht="60" hidden="false" customHeight="true" outlineLevel="0" collapsed="false">
      <c r="A964" s="39"/>
      <c r="B964" s="40" t="s">
        <v>2503</v>
      </c>
      <c r="C964" s="41" t="s">
        <v>130</v>
      </c>
      <c r="D964" s="41" t="s">
        <v>108</v>
      </c>
      <c r="E964" s="42" t="n">
        <v>7025</v>
      </c>
      <c r="F964" s="42"/>
      <c r="G964" s="42"/>
      <c r="H964" s="43" t="n">
        <v>2</v>
      </c>
      <c r="I964" s="34" t="n">
        <f aca="false">E964*H964+N(F964)+N(G964)</f>
        <v>14050</v>
      </c>
      <c r="J964" s="42" t="n">
        <f aca="false">ROUND(IFERROR(ROUND(IF(OR(ISNUMBER(SEARCH("week",C964)),ISNUMBER(SEARCH("minggu",C964))),IFERROR(_xlfn.NUMBERVALUE(SUBSTITUTE(LEFT(TRIM(C964),FIND(" ",TRIM(C964)&amp;" ")-1),",","."),"."),LEFT(SUBSTITUTE(LEFT(TRIM(C964),FIND(" ",TRIM(C964)&amp;" ")-1),",","."),FIND("/",SUBSTITUTE(LEFT(TRIM(C964),FIND(" ",TRIM(C964)&amp;" ")-1),",","."))-1)/MID(SUBSTITUTE(LEFT(TRIM(C964),FIND(" ",TRIM(C964)&amp;" ")-1),",","."),FIND("/",SUBSTITUTE(LEFT(TRIM(C964),FIND(" ",TRIM(C964)&amp;" ")-1),",","."))+1,9))*12/52,IF(ISNUMBER(SEARCH("month",C964)),IFERROR(_xlfn.NUMBERVALUE(SUBSTITUTE(LEFT(TRIM(C964),FIND(" ",TRIM(C964)&amp;" ")-1),",","."),"."),LEFT(SUBSTITUTE(LEFT(TRIM(C964),FIND(" ",TRIM(C964)&amp;" ")-1),",","."),FIND("/",SUBSTITUTE(LEFT(TRIM(C964),FIND(" ",TRIM(C964)&amp;" ")-1),",","."))-1)/MID(SUBSTITUTE(LEFT(TRIM(C964),FIND(" ",TRIM(C964)&amp;" ")-1),",","."),FIND("/",SUBSTITUTE(LEFT(TRIM(C964),FIND(" ",TRIM(C964)&amp;" ")-1),",","."))+1,9)),IF(ISNUMBER(SEARCH("yea",C964)),IFERROR(_xlfn.NUMBERVALUE(SUBSTITUTE(LEFT(TRIM(C964),FIND(" ",TRIM(C964)&amp;" ")-1),",","."),"."),LEFT(SUBSTITUTE(LEFT(TRIM(C964),FIND(" ",TRIM(C964)&amp;" ")-1),",","."),FIND("/",SUBSTITUTE(LEFT(TRIM(C964),FIND(" ",TRIM(C964)&amp;" ")-1),",","."))-1)/MID(SUBSTITUTE(LEFT(TRIM(C964),FIND(" ",TRIM(C964)&amp;" ")-1),",","."),FIND("/",SUBSTITUTE(LEFT(TRIM(C964),FIND(" ",TRIM(C964)&amp;" ")-1),",","."))+1,9))*12,NA()))),0),12)*'Aturan &amp; Tarif'!$B$4,2)</f>
        <v>681.36</v>
      </c>
      <c r="K964" s="42" t="n">
        <f aca="false">'Aturan &amp; Tarif'!$B$5</f>
        <v>2050</v>
      </c>
      <c r="L964" s="35" t="n">
        <f aca="false">I964+J964+K964</f>
        <v>16781.36</v>
      </c>
      <c r="M964" s="44" t="s">
        <v>2504</v>
      </c>
    </row>
    <row r="965" customFormat="false" ht="60" hidden="false" customHeight="true" outlineLevel="0" collapsed="false">
      <c r="A965" s="39"/>
      <c r="B965" s="40" t="s">
        <v>2505</v>
      </c>
      <c r="C965" s="41" t="s">
        <v>113</v>
      </c>
      <c r="D965" s="41" t="s">
        <v>108</v>
      </c>
      <c r="E965" s="42" t="n">
        <v>7025</v>
      </c>
      <c r="F965" s="42"/>
      <c r="G965" s="42"/>
      <c r="H965" s="43" t="n">
        <v>2</v>
      </c>
      <c r="I965" s="34" t="n">
        <f aca="false">E965*H965+N(F965)+N(G965)</f>
        <v>14050</v>
      </c>
      <c r="J965" s="42" t="n">
        <f aca="false">ROUND(IFERROR(ROUND(IF(OR(ISNUMBER(SEARCH("week",C965)),ISNUMBER(SEARCH("minggu",C965))),IFERROR(_xlfn.NUMBERVALUE(SUBSTITUTE(LEFT(TRIM(C965),FIND(" ",TRIM(C965)&amp;" ")-1),",","."),"."),LEFT(SUBSTITUTE(LEFT(TRIM(C965),FIND(" ",TRIM(C965)&amp;" ")-1),",","."),FIND("/",SUBSTITUTE(LEFT(TRIM(C965),FIND(" ",TRIM(C965)&amp;" ")-1),",","."))-1)/MID(SUBSTITUTE(LEFT(TRIM(C965),FIND(" ",TRIM(C965)&amp;" ")-1),",","."),FIND("/",SUBSTITUTE(LEFT(TRIM(C965),FIND(" ",TRIM(C965)&amp;" ")-1),",","."))+1,9))*12/52,IF(ISNUMBER(SEARCH("month",C965)),IFERROR(_xlfn.NUMBERVALUE(SUBSTITUTE(LEFT(TRIM(C965),FIND(" ",TRIM(C965)&amp;" ")-1),",","."),"."),LEFT(SUBSTITUTE(LEFT(TRIM(C965),FIND(" ",TRIM(C965)&amp;" ")-1),",","."),FIND("/",SUBSTITUTE(LEFT(TRIM(C965),FIND(" ",TRIM(C965)&amp;" ")-1),",","."))-1)/MID(SUBSTITUTE(LEFT(TRIM(C965),FIND(" ",TRIM(C965)&amp;" ")-1),",","."),FIND("/",SUBSTITUTE(LEFT(TRIM(C965),FIND(" ",TRIM(C965)&amp;" ")-1),",","."))+1,9)),IF(ISNUMBER(SEARCH("yea",C965)),IFERROR(_xlfn.NUMBERVALUE(SUBSTITUTE(LEFT(TRIM(C965),FIND(" ",TRIM(C965)&amp;" ")-1),",","."),"."),LEFT(SUBSTITUTE(LEFT(TRIM(C965),FIND(" ",TRIM(C965)&amp;" ")-1),",","."),FIND("/",SUBSTITUTE(LEFT(TRIM(C965),FIND(" ",TRIM(C965)&amp;" ")-1),",","."))-1)/MID(SUBSTITUTE(LEFT(TRIM(C965),FIND(" ",TRIM(C965)&amp;" ")-1),",","."),FIND("/",SUBSTITUTE(LEFT(TRIM(C965),FIND(" ",TRIM(C965)&amp;" ")-1),",","."))+1,9))*12,NA()))),0),18)*'Aturan &amp; Tarif'!$B$4,2)</f>
        <v>1022.04</v>
      </c>
      <c r="K965" s="42" t="n">
        <f aca="false">'Aturan &amp; Tarif'!$B$5</f>
        <v>2050</v>
      </c>
      <c r="L965" s="35" t="n">
        <f aca="false">I965+J965+K965</f>
        <v>17122.04</v>
      </c>
      <c r="M965" s="44" t="s">
        <v>2506</v>
      </c>
    </row>
    <row r="966" customFormat="false" ht="60" hidden="false" customHeight="true" outlineLevel="0" collapsed="false">
      <c r="A966" s="39"/>
      <c r="B966" s="40" t="s">
        <v>2507</v>
      </c>
      <c r="C966" s="41" t="s">
        <v>107</v>
      </c>
      <c r="D966" s="41" t="s">
        <v>108</v>
      </c>
      <c r="E966" s="42" t="n">
        <v>7025</v>
      </c>
      <c r="F966" s="42"/>
      <c r="G966" s="42"/>
      <c r="H966" s="43" t="n">
        <v>2</v>
      </c>
      <c r="I966" s="34" t="n">
        <f aca="false">E966*H966+N(F966)+N(G966)</f>
        <v>14050</v>
      </c>
      <c r="J966" s="42" t="n">
        <f aca="false">ROUND(IFERROR(ROUND(IF(OR(ISNUMBER(SEARCH("week",C966)),ISNUMBER(SEARCH("minggu",C966))),IFERROR(_xlfn.NUMBERVALUE(SUBSTITUTE(LEFT(TRIM(C966),FIND(" ",TRIM(C966)&amp;" ")-1),",","."),"."),LEFT(SUBSTITUTE(LEFT(TRIM(C966),FIND(" ",TRIM(C966)&amp;" ")-1),",","."),FIND("/",SUBSTITUTE(LEFT(TRIM(C966),FIND(" ",TRIM(C966)&amp;" ")-1),",","."))-1)/MID(SUBSTITUTE(LEFT(TRIM(C966),FIND(" ",TRIM(C966)&amp;" ")-1),",","."),FIND("/",SUBSTITUTE(LEFT(TRIM(C966),FIND(" ",TRIM(C966)&amp;" ")-1),",","."))+1,9))*12/52,IF(ISNUMBER(SEARCH("month",C966)),IFERROR(_xlfn.NUMBERVALUE(SUBSTITUTE(LEFT(TRIM(C966),FIND(" ",TRIM(C966)&amp;" ")-1),",","."),"."),LEFT(SUBSTITUTE(LEFT(TRIM(C966),FIND(" ",TRIM(C966)&amp;" ")-1),",","."),FIND("/",SUBSTITUTE(LEFT(TRIM(C966),FIND(" ",TRIM(C966)&amp;" ")-1),",","."))-1)/MID(SUBSTITUTE(LEFT(TRIM(C966),FIND(" ",TRIM(C966)&amp;" ")-1),",","."),FIND("/",SUBSTITUTE(LEFT(TRIM(C966),FIND(" ",TRIM(C966)&amp;" ")-1),",","."))+1,9)),IF(ISNUMBER(SEARCH("yea",C966)),IFERROR(_xlfn.NUMBERVALUE(SUBSTITUTE(LEFT(TRIM(C966),FIND(" ",TRIM(C966)&amp;" ")-1),",","."),"."),LEFT(SUBSTITUTE(LEFT(TRIM(C966),FIND(" ",TRIM(C966)&amp;" ")-1),",","."),FIND("/",SUBSTITUTE(LEFT(TRIM(C966),FIND(" ",TRIM(C966)&amp;" ")-1),",","."))-1)/MID(SUBSTITUTE(LEFT(TRIM(C966),FIND(" ",TRIM(C966)&amp;" ")-1),",","."),FIND("/",SUBSTITUTE(LEFT(TRIM(C966),FIND(" ",TRIM(C966)&amp;" ")-1),",","."))+1,9))*12,NA()))),0),24)*'Aturan &amp; Tarif'!$B$4,2)</f>
        <v>1362.72</v>
      </c>
      <c r="K966" s="42" t="n">
        <f aca="false">'Aturan &amp; Tarif'!$B$5</f>
        <v>2050</v>
      </c>
      <c r="L966" s="35" t="n">
        <f aca="false">I966+J966+K966</f>
        <v>17462.72</v>
      </c>
      <c r="M966" s="44" t="s">
        <v>2508</v>
      </c>
    </row>
    <row r="967" customFormat="false" ht="60" hidden="false" customHeight="true" outlineLevel="0" collapsed="false">
      <c r="A967" s="39"/>
      <c r="B967" s="40" t="s">
        <v>1126</v>
      </c>
      <c r="C967" s="41" t="s">
        <v>130</v>
      </c>
      <c r="D967" s="41" t="s">
        <v>108</v>
      </c>
      <c r="E967" s="42" t="n">
        <v>7333</v>
      </c>
      <c r="F967" s="42"/>
      <c r="G967" s="42"/>
      <c r="H967" s="43" t="n">
        <v>2</v>
      </c>
      <c r="I967" s="34" t="n">
        <f aca="false">E967*H967+N(F967)+N(G967)</f>
        <v>14666</v>
      </c>
      <c r="J967" s="42" t="n">
        <f aca="false">ROUND(IFERROR(ROUND(IF(OR(ISNUMBER(SEARCH("week",C967)),ISNUMBER(SEARCH("minggu",C967))),IFERROR(_xlfn.NUMBERVALUE(SUBSTITUTE(LEFT(TRIM(C967),FIND(" ",TRIM(C967)&amp;" ")-1),",","."),"."),LEFT(SUBSTITUTE(LEFT(TRIM(C967),FIND(" ",TRIM(C967)&amp;" ")-1),",","."),FIND("/",SUBSTITUTE(LEFT(TRIM(C967),FIND(" ",TRIM(C967)&amp;" ")-1),",","."))-1)/MID(SUBSTITUTE(LEFT(TRIM(C967),FIND(" ",TRIM(C967)&amp;" ")-1),",","."),FIND("/",SUBSTITUTE(LEFT(TRIM(C967),FIND(" ",TRIM(C967)&amp;" ")-1),",","."))+1,9))*12/52,IF(ISNUMBER(SEARCH("month",C967)),IFERROR(_xlfn.NUMBERVALUE(SUBSTITUTE(LEFT(TRIM(C967),FIND(" ",TRIM(C967)&amp;" ")-1),",","."),"."),LEFT(SUBSTITUTE(LEFT(TRIM(C967),FIND(" ",TRIM(C967)&amp;" ")-1),",","."),FIND("/",SUBSTITUTE(LEFT(TRIM(C967),FIND(" ",TRIM(C967)&amp;" ")-1),",","."))-1)/MID(SUBSTITUTE(LEFT(TRIM(C967),FIND(" ",TRIM(C967)&amp;" ")-1),",","."),FIND("/",SUBSTITUTE(LEFT(TRIM(C967),FIND(" ",TRIM(C967)&amp;" ")-1),",","."))+1,9)),IF(ISNUMBER(SEARCH("yea",C967)),IFERROR(_xlfn.NUMBERVALUE(SUBSTITUTE(LEFT(TRIM(C967),FIND(" ",TRIM(C967)&amp;" ")-1),",","."),"."),LEFT(SUBSTITUTE(LEFT(TRIM(C967),FIND(" ",TRIM(C967)&amp;" ")-1),",","."),FIND("/",SUBSTITUTE(LEFT(TRIM(C967),FIND(" ",TRIM(C967)&amp;" ")-1),",","."))-1)/MID(SUBSTITUTE(LEFT(TRIM(C967),FIND(" ",TRIM(C967)&amp;" ")-1),",","."),FIND("/",SUBSTITUTE(LEFT(TRIM(C967),FIND(" ",TRIM(C967)&amp;" ")-1),",","."))+1,9))*12,NA()))),0),12)*'Aturan &amp; Tarif'!$B$4,2)</f>
        <v>681.36</v>
      </c>
      <c r="K967" s="42" t="n">
        <f aca="false">'Aturan &amp; Tarif'!$B$5</f>
        <v>2050</v>
      </c>
      <c r="L967" s="35" t="n">
        <f aca="false">I967+J967+K967</f>
        <v>17397.36</v>
      </c>
      <c r="M967" s="44" t="s">
        <v>1127</v>
      </c>
    </row>
    <row r="968" customFormat="false" ht="60" hidden="false" customHeight="true" outlineLevel="0" collapsed="false">
      <c r="A968" s="39"/>
      <c r="B968" s="40" t="s">
        <v>1130</v>
      </c>
      <c r="C968" s="41" t="s">
        <v>191</v>
      </c>
      <c r="D968" s="41" t="s">
        <v>108</v>
      </c>
      <c r="E968" s="42" t="n">
        <v>7333</v>
      </c>
      <c r="F968" s="42"/>
      <c r="G968" s="42"/>
      <c r="H968" s="43" t="n">
        <v>2</v>
      </c>
      <c r="I968" s="34" t="n">
        <f aca="false">E968*H968+N(F968)+N(G968)</f>
        <v>14666</v>
      </c>
      <c r="J968" s="42" t="n">
        <f aca="false">ROUND(IFERROR(ROUND(IF(OR(ISNUMBER(SEARCH("week",C968)),ISNUMBER(SEARCH("minggu",C968))),IFERROR(_xlfn.NUMBERVALUE(SUBSTITUTE(LEFT(TRIM(C968),FIND(" ",TRIM(C968)&amp;" ")-1),",","."),"."),LEFT(SUBSTITUTE(LEFT(TRIM(C968),FIND(" ",TRIM(C968)&amp;" ")-1),",","."),FIND("/",SUBSTITUTE(LEFT(TRIM(C968),FIND(" ",TRIM(C968)&amp;" ")-1),",","."))-1)/MID(SUBSTITUTE(LEFT(TRIM(C968),FIND(" ",TRIM(C968)&amp;" ")-1),",","."),FIND("/",SUBSTITUTE(LEFT(TRIM(C968),FIND(" ",TRIM(C968)&amp;" ")-1),",","."))+1,9))*12/52,IF(ISNUMBER(SEARCH("month",C968)),IFERROR(_xlfn.NUMBERVALUE(SUBSTITUTE(LEFT(TRIM(C968),FIND(" ",TRIM(C968)&amp;" ")-1),",","."),"."),LEFT(SUBSTITUTE(LEFT(TRIM(C968),FIND(" ",TRIM(C968)&amp;" ")-1),",","."),FIND("/",SUBSTITUTE(LEFT(TRIM(C968),FIND(" ",TRIM(C968)&amp;" ")-1),",","."))-1)/MID(SUBSTITUTE(LEFT(TRIM(C968),FIND(" ",TRIM(C968)&amp;" ")-1),",","."),FIND("/",SUBSTITUTE(LEFT(TRIM(C968),FIND(" ",TRIM(C968)&amp;" ")-1),",","."))+1,9)),IF(ISNUMBER(SEARCH("yea",C968)),IFERROR(_xlfn.NUMBERVALUE(SUBSTITUTE(LEFT(TRIM(C968),FIND(" ",TRIM(C968)&amp;" ")-1),",","."),"."),LEFT(SUBSTITUTE(LEFT(TRIM(C968),FIND(" ",TRIM(C968)&amp;" ")-1),",","."),FIND("/",SUBSTITUTE(LEFT(TRIM(C968),FIND(" ",TRIM(C968)&amp;" ")-1),",","."))-1)/MID(SUBSTITUTE(LEFT(TRIM(C968),FIND(" ",TRIM(C968)&amp;" ")-1),",","."),FIND("/",SUBSTITUTE(LEFT(TRIM(C968),FIND(" ",TRIM(C968)&amp;" ")-1),",","."))+1,9))*12,NA()))),0),48)*'Aturan &amp; Tarif'!$B$4,2)</f>
        <v>2725.44</v>
      </c>
      <c r="K968" s="42" t="n">
        <f aca="false">'Aturan &amp; Tarif'!$B$5</f>
        <v>2050</v>
      </c>
      <c r="L968" s="35" t="n">
        <f aca="false">I968+J968+K968</f>
        <v>19441.44</v>
      </c>
      <c r="M968" s="44" t="s">
        <v>1131</v>
      </c>
    </row>
    <row r="969" customFormat="false" ht="60" hidden="false" customHeight="true" outlineLevel="0" collapsed="false">
      <c r="A969" s="39"/>
      <c r="B969" s="40" t="s">
        <v>1132</v>
      </c>
      <c r="C969" s="41" t="s">
        <v>127</v>
      </c>
      <c r="D969" s="41" t="s">
        <v>108</v>
      </c>
      <c r="E969" s="42" t="n">
        <v>7333</v>
      </c>
      <c r="F969" s="42"/>
      <c r="G969" s="42"/>
      <c r="H969" s="43" t="n">
        <v>2</v>
      </c>
      <c r="I969" s="34" t="n">
        <f aca="false">E969*H969+N(F969)+N(G969)</f>
        <v>14666</v>
      </c>
      <c r="J969" s="42" t="n">
        <f aca="false">ROUND(IFERROR(ROUND(IF(OR(ISNUMBER(SEARCH("week",C969)),ISNUMBER(SEARCH("minggu",C969))),IFERROR(_xlfn.NUMBERVALUE(SUBSTITUTE(LEFT(TRIM(C969),FIND(" ",TRIM(C969)&amp;" ")-1),",","."),"."),LEFT(SUBSTITUTE(LEFT(TRIM(C969),FIND(" ",TRIM(C969)&amp;" ")-1),",","."),FIND("/",SUBSTITUTE(LEFT(TRIM(C969),FIND(" ",TRIM(C969)&amp;" ")-1),",","."))-1)/MID(SUBSTITUTE(LEFT(TRIM(C969),FIND(" ",TRIM(C969)&amp;" ")-1),",","."),FIND("/",SUBSTITUTE(LEFT(TRIM(C969),FIND(" ",TRIM(C969)&amp;" ")-1),",","."))+1,9))*12/52,IF(ISNUMBER(SEARCH("month",C969)),IFERROR(_xlfn.NUMBERVALUE(SUBSTITUTE(LEFT(TRIM(C969),FIND(" ",TRIM(C969)&amp;" ")-1),",","."),"."),LEFT(SUBSTITUTE(LEFT(TRIM(C969),FIND(" ",TRIM(C969)&amp;" ")-1),",","."),FIND("/",SUBSTITUTE(LEFT(TRIM(C969),FIND(" ",TRIM(C969)&amp;" ")-1),",","."))-1)/MID(SUBSTITUTE(LEFT(TRIM(C969),FIND(" ",TRIM(C969)&amp;" ")-1),",","."),FIND("/",SUBSTITUTE(LEFT(TRIM(C969),FIND(" ",TRIM(C969)&amp;" ")-1),",","."))+1,9)),IF(ISNUMBER(SEARCH("yea",C969)),IFERROR(_xlfn.NUMBERVALUE(SUBSTITUTE(LEFT(TRIM(C969),FIND(" ",TRIM(C969)&amp;" ")-1),",","."),"."),LEFT(SUBSTITUTE(LEFT(TRIM(C969),FIND(" ",TRIM(C969)&amp;" ")-1),",","."),FIND("/",SUBSTITUTE(LEFT(TRIM(C969),FIND(" ",TRIM(C969)&amp;" ")-1),",","."))-1)/MID(SUBSTITUTE(LEFT(TRIM(C969),FIND(" ",TRIM(C969)&amp;" ")-1),",","."),FIND("/",SUBSTITUTE(LEFT(TRIM(C969),FIND(" ",TRIM(C969)&amp;" ")-1),",","."))+1,9))*12,NA()))),0),36)*'Aturan &amp; Tarif'!$B$4,2)</f>
        <v>2044.08</v>
      </c>
      <c r="K969" s="42" t="n">
        <f aca="false">'Aturan &amp; Tarif'!$B$5</f>
        <v>2050</v>
      </c>
      <c r="L969" s="35" t="n">
        <f aca="false">I969+J969+K969</f>
        <v>18760.08</v>
      </c>
      <c r="M969" s="44" t="s">
        <v>1133</v>
      </c>
    </row>
    <row r="970" customFormat="false" ht="60" hidden="false" customHeight="true" outlineLevel="0" collapsed="false">
      <c r="A970" s="39"/>
      <c r="B970" s="40" t="s">
        <v>1134</v>
      </c>
      <c r="C970" s="41" t="s">
        <v>127</v>
      </c>
      <c r="D970" s="41" t="s">
        <v>108</v>
      </c>
      <c r="E970" s="42" t="n">
        <v>7333</v>
      </c>
      <c r="F970" s="42"/>
      <c r="G970" s="42"/>
      <c r="H970" s="43" t="n">
        <v>2</v>
      </c>
      <c r="I970" s="34" t="n">
        <f aca="false">E970*H970+N(F970)+N(G970)</f>
        <v>14666</v>
      </c>
      <c r="J970" s="42" t="n">
        <f aca="false">ROUND(IFERROR(ROUND(IF(OR(ISNUMBER(SEARCH("week",C970)),ISNUMBER(SEARCH("minggu",C970))),IFERROR(_xlfn.NUMBERVALUE(SUBSTITUTE(LEFT(TRIM(C970),FIND(" ",TRIM(C970)&amp;" ")-1),",","."),"."),LEFT(SUBSTITUTE(LEFT(TRIM(C970),FIND(" ",TRIM(C970)&amp;" ")-1),",","."),FIND("/",SUBSTITUTE(LEFT(TRIM(C970),FIND(" ",TRIM(C970)&amp;" ")-1),",","."))-1)/MID(SUBSTITUTE(LEFT(TRIM(C970),FIND(" ",TRIM(C970)&amp;" ")-1),",","."),FIND("/",SUBSTITUTE(LEFT(TRIM(C970),FIND(" ",TRIM(C970)&amp;" ")-1),",","."))+1,9))*12/52,IF(ISNUMBER(SEARCH("month",C970)),IFERROR(_xlfn.NUMBERVALUE(SUBSTITUTE(LEFT(TRIM(C970),FIND(" ",TRIM(C970)&amp;" ")-1),",","."),"."),LEFT(SUBSTITUTE(LEFT(TRIM(C970),FIND(" ",TRIM(C970)&amp;" ")-1),",","."),FIND("/",SUBSTITUTE(LEFT(TRIM(C970),FIND(" ",TRIM(C970)&amp;" ")-1),",","."))-1)/MID(SUBSTITUTE(LEFT(TRIM(C970),FIND(" ",TRIM(C970)&amp;" ")-1),",","."),FIND("/",SUBSTITUTE(LEFT(TRIM(C970),FIND(" ",TRIM(C970)&amp;" ")-1),",","."))+1,9)),IF(ISNUMBER(SEARCH("yea",C970)),IFERROR(_xlfn.NUMBERVALUE(SUBSTITUTE(LEFT(TRIM(C970),FIND(" ",TRIM(C970)&amp;" ")-1),",","."),"."),LEFT(SUBSTITUTE(LEFT(TRIM(C970),FIND(" ",TRIM(C970)&amp;" ")-1),",","."),FIND("/",SUBSTITUTE(LEFT(TRIM(C970),FIND(" ",TRIM(C970)&amp;" ")-1),",","."))-1)/MID(SUBSTITUTE(LEFT(TRIM(C970),FIND(" ",TRIM(C970)&amp;" ")-1),",","."),FIND("/",SUBSTITUTE(LEFT(TRIM(C970),FIND(" ",TRIM(C970)&amp;" ")-1),",","."))+1,9))*12,NA()))),0),36)*'Aturan &amp; Tarif'!$B$4,2)</f>
        <v>2044.08</v>
      </c>
      <c r="K970" s="42" t="n">
        <f aca="false">'Aturan &amp; Tarif'!$B$5</f>
        <v>2050</v>
      </c>
      <c r="L970" s="35" t="n">
        <f aca="false">I970+J970+K970</f>
        <v>18760.08</v>
      </c>
      <c r="M970" s="44" t="s">
        <v>1781</v>
      </c>
    </row>
    <row r="971" customFormat="false" ht="60" hidden="false" customHeight="true" outlineLevel="0" collapsed="false">
      <c r="A971" s="39"/>
      <c r="B971" s="40" t="s">
        <v>265</v>
      </c>
      <c r="C971" s="41" t="s">
        <v>127</v>
      </c>
      <c r="D971" s="41" t="s">
        <v>108</v>
      </c>
      <c r="E971" s="42" t="n">
        <v>8750</v>
      </c>
      <c r="F971" s="42"/>
      <c r="G971" s="42"/>
      <c r="H971" s="43" t="n">
        <v>2</v>
      </c>
      <c r="I971" s="34" t="n">
        <f aca="false">E971*H971+N(F971)+N(G971)</f>
        <v>17500</v>
      </c>
      <c r="J971" s="42" t="n">
        <f aca="false">ROUND(IFERROR(ROUND(IF(OR(ISNUMBER(SEARCH("week",C971)),ISNUMBER(SEARCH("minggu",C971))),IFERROR(_xlfn.NUMBERVALUE(SUBSTITUTE(LEFT(TRIM(C971),FIND(" ",TRIM(C971)&amp;" ")-1),",","."),"."),LEFT(SUBSTITUTE(LEFT(TRIM(C971),FIND(" ",TRIM(C971)&amp;" ")-1),",","."),FIND("/",SUBSTITUTE(LEFT(TRIM(C971),FIND(" ",TRIM(C971)&amp;" ")-1),",","."))-1)/MID(SUBSTITUTE(LEFT(TRIM(C971),FIND(" ",TRIM(C971)&amp;" ")-1),",","."),FIND("/",SUBSTITUTE(LEFT(TRIM(C971),FIND(" ",TRIM(C971)&amp;" ")-1),",","."))+1,9))*12/52,IF(ISNUMBER(SEARCH("month",C971)),IFERROR(_xlfn.NUMBERVALUE(SUBSTITUTE(LEFT(TRIM(C971),FIND(" ",TRIM(C971)&amp;" ")-1),",","."),"."),LEFT(SUBSTITUTE(LEFT(TRIM(C971),FIND(" ",TRIM(C971)&amp;" ")-1),",","."),FIND("/",SUBSTITUTE(LEFT(TRIM(C971),FIND(" ",TRIM(C971)&amp;" ")-1),",","."))-1)/MID(SUBSTITUTE(LEFT(TRIM(C971),FIND(" ",TRIM(C971)&amp;" ")-1),",","."),FIND("/",SUBSTITUTE(LEFT(TRIM(C971),FIND(" ",TRIM(C971)&amp;" ")-1),",","."))+1,9)),IF(ISNUMBER(SEARCH("yea",C971)),IFERROR(_xlfn.NUMBERVALUE(SUBSTITUTE(LEFT(TRIM(C971),FIND(" ",TRIM(C971)&amp;" ")-1),",","."),"."),LEFT(SUBSTITUTE(LEFT(TRIM(C971),FIND(" ",TRIM(C971)&amp;" ")-1),",","."),FIND("/",SUBSTITUTE(LEFT(TRIM(C971),FIND(" ",TRIM(C971)&amp;" ")-1),",","."))-1)/MID(SUBSTITUTE(LEFT(TRIM(C971),FIND(" ",TRIM(C971)&amp;" ")-1),",","."),FIND("/",SUBSTITUTE(LEFT(TRIM(C971),FIND(" ",TRIM(C971)&amp;" ")-1),",","."))+1,9))*12,NA()))),0),36)*'Aturan &amp; Tarif'!$B$4,2)</f>
        <v>2044.08</v>
      </c>
      <c r="K971" s="42" t="n">
        <f aca="false">'Aturan &amp; Tarif'!$B$5</f>
        <v>2050</v>
      </c>
      <c r="L971" s="35" t="n">
        <f aca="false">I971+J971+K971</f>
        <v>21594.08</v>
      </c>
      <c r="M971" s="44" t="s">
        <v>1136</v>
      </c>
    </row>
    <row r="972" customFormat="false" ht="25.5" hidden="false" customHeight="true" outlineLevel="0" collapsed="false">
      <c r="A972" s="39"/>
      <c r="B972" s="40" t="s">
        <v>1137</v>
      </c>
      <c r="C972" s="41" t="s">
        <v>127</v>
      </c>
      <c r="D972" s="41" t="s">
        <v>108</v>
      </c>
      <c r="E972" s="42" t="n">
        <v>7333</v>
      </c>
      <c r="F972" s="42"/>
      <c r="G972" s="42"/>
      <c r="H972" s="43" t="n">
        <v>2</v>
      </c>
      <c r="I972" s="34" t="n">
        <f aca="false">E972*H972+N(F972)+N(G972)</f>
        <v>14666</v>
      </c>
      <c r="J972" s="42" t="n">
        <f aca="false">ROUND(IFERROR(ROUND(IF(OR(ISNUMBER(SEARCH("week",C972)),ISNUMBER(SEARCH("minggu",C972))),IFERROR(_xlfn.NUMBERVALUE(SUBSTITUTE(LEFT(TRIM(C972),FIND(" ",TRIM(C972)&amp;" ")-1),",","."),"."),LEFT(SUBSTITUTE(LEFT(TRIM(C972),FIND(" ",TRIM(C972)&amp;" ")-1),",","."),FIND("/",SUBSTITUTE(LEFT(TRIM(C972),FIND(" ",TRIM(C972)&amp;" ")-1),",","."))-1)/MID(SUBSTITUTE(LEFT(TRIM(C972),FIND(" ",TRIM(C972)&amp;" ")-1),",","."),FIND("/",SUBSTITUTE(LEFT(TRIM(C972),FIND(" ",TRIM(C972)&amp;" ")-1),",","."))+1,9))*12/52,IF(ISNUMBER(SEARCH("month",C972)),IFERROR(_xlfn.NUMBERVALUE(SUBSTITUTE(LEFT(TRIM(C972),FIND(" ",TRIM(C972)&amp;" ")-1),",","."),"."),LEFT(SUBSTITUTE(LEFT(TRIM(C972),FIND(" ",TRIM(C972)&amp;" ")-1),",","."),FIND("/",SUBSTITUTE(LEFT(TRIM(C972),FIND(" ",TRIM(C972)&amp;" ")-1),",","."))-1)/MID(SUBSTITUTE(LEFT(TRIM(C972),FIND(" ",TRIM(C972)&amp;" ")-1),",","."),FIND("/",SUBSTITUTE(LEFT(TRIM(C972),FIND(" ",TRIM(C972)&amp;" ")-1),",","."))+1,9)),IF(ISNUMBER(SEARCH("yea",C972)),IFERROR(_xlfn.NUMBERVALUE(SUBSTITUTE(LEFT(TRIM(C972),FIND(" ",TRIM(C972)&amp;" ")-1),",","."),"."),LEFT(SUBSTITUTE(LEFT(TRIM(C972),FIND(" ",TRIM(C972)&amp;" ")-1),",","."),FIND("/",SUBSTITUTE(LEFT(TRIM(C972),FIND(" ",TRIM(C972)&amp;" ")-1),",","."))-1)/MID(SUBSTITUTE(LEFT(TRIM(C972),FIND(" ",TRIM(C972)&amp;" ")-1),",","."),FIND("/",SUBSTITUTE(LEFT(TRIM(C972),FIND(" ",TRIM(C972)&amp;" ")-1),",","."))+1,9))*12,NA()))),0),36)*'Aturan &amp; Tarif'!$B$4,2)</f>
        <v>2044.08</v>
      </c>
      <c r="K972" s="42" t="n">
        <f aca="false">'Aturan &amp; Tarif'!$B$5</f>
        <v>2050</v>
      </c>
      <c r="L972" s="35" t="n">
        <f aca="false">I972+J972+K972</f>
        <v>18760.08</v>
      </c>
      <c r="M972" s="44" t="s">
        <v>1138</v>
      </c>
    </row>
    <row r="973" customFormat="false" ht="25.5" hidden="false" customHeight="true" outlineLevel="0" collapsed="false">
      <c r="A973" s="39"/>
      <c r="B973" s="40" t="s">
        <v>575</v>
      </c>
      <c r="C973" s="41" t="s">
        <v>127</v>
      </c>
      <c r="D973" s="41" t="s">
        <v>108</v>
      </c>
      <c r="E973" s="42" t="n">
        <v>8637</v>
      </c>
      <c r="F973" s="42"/>
      <c r="G973" s="42"/>
      <c r="H973" s="43" t="n">
        <v>2</v>
      </c>
      <c r="I973" s="34" t="n">
        <f aca="false">E973*H973+N(F973)+N(G973)</f>
        <v>17274</v>
      </c>
      <c r="J973" s="42" t="n">
        <f aca="false">ROUND(IFERROR(ROUND(IF(OR(ISNUMBER(SEARCH("week",C973)),ISNUMBER(SEARCH("minggu",C973))),IFERROR(_xlfn.NUMBERVALUE(SUBSTITUTE(LEFT(TRIM(C973),FIND(" ",TRIM(C973)&amp;" ")-1),",","."),"."),LEFT(SUBSTITUTE(LEFT(TRIM(C973),FIND(" ",TRIM(C973)&amp;" ")-1),",","."),FIND("/",SUBSTITUTE(LEFT(TRIM(C973),FIND(" ",TRIM(C973)&amp;" ")-1),",","."))-1)/MID(SUBSTITUTE(LEFT(TRIM(C973),FIND(" ",TRIM(C973)&amp;" ")-1),",","."),FIND("/",SUBSTITUTE(LEFT(TRIM(C973),FIND(" ",TRIM(C973)&amp;" ")-1),",","."))+1,9))*12/52,IF(ISNUMBER(SEARCH("month",C973)),IFERROR(_xlfn.NUMBERVALUE(SUBSTITUTE(LEFT(TRIM(C973),FIND(" ",TRIM(C973)&amp;" ")-1),",","."),"."),LEFT(SUBSTITUTE(LEFT(TRIM(C973),FIND(" ",TRIM(C973)&amp;" ")-1),",","."),FIND("/",SUBSTITUTE(LEFT(TRIM(C973),FIND(" ",TRIM(C973)&amp;" ")-1),",","."))-1)/MID(SUBSTITUTE(LEFT(TRIM(C973),FIND(" ",TRIM(C973)&amp;" ")-1),",","."),FIND("/",SUBSTITUTE(LEFT(TRIM(C973),FIND(" ",TRIM(C973)&amp;" ")-1),",","."))+1,9)),IF(ISNUMBER(SEARCH("yea",C973)),IFERROR(_xlfn.NUMBERVALUE(SUBSTITUTE(LEFT(TRIM(C973),FIND(" ",TRIM(C973)&amp;" ")-1),",","."),"."),LEFT(SUBSTITUTE(LEFT(TRIM(C973),FIND(" ",TRIM(C973)&amp;" ")-1),",","."),FIND("/",SUBSTITUTE(LEFT(TRIM(C973),FIND(" ",TRIM(C973)&amp;" ")-1),",","."))-1)/MID(SUBSTITUTE(LEFT(TRIM(C973),FIND(" ",TRIM(C973)&amp;" ")-1),",","."),FIND("/",SUBSTITUTE(LEFT(TRIM(C973),FIND(" ",TRIM(C973)&amp;" ")-1),",","."))+1,9))*12,NA()))),0),36)*'Aturan &amp; Tarif'!$B$4,2)</f>
        <v>2044.08</v>
      </c>
      <c r="K973" s="42" t="n">
        <f aca="false">'Aturan &amp; Tarif'!$B$5</f>
        <v>2050</v>
      </c>
      <c r="L973" s="35" t="n">
        <f aca="false">I973+J973+K973</f>
        <v>21368.08</v>
      </c>
      <c r="M973" s="45" t="s">
        <v>1139</v>
      </c>
    </row>
    <row r="974" customFormat="false" ht="25.5" hidden="false" customHeight="true" outlineLevel="0" collapsed="false">
      <c r="A974" s="39"/>
      <c r="B974" s="40" t="s">
        <v>560</v>
      </c>
      <c r="C974" s="41" t="s">
        <v>344</v>
      </c>
      <c r="D974" s="41" t="s">
        <v>108</v>
      </c>
      <c r="E974" s="42" t="n">
        <v>3975</v>
      </c>
      <c r="F974" s="42"/>
      <c r="G974" s="42"/>
      <c r="H974" s="43" t="n">
        <v>2</v>
      </c>
      <c r="I974" s="34" t="n">
        <f aca="false">E974*H974+N(F974)+N(G974)</f>
        <v>7950</v>
      </c>
      <c r="J974" s="42" t="n">
        <f aca="false">ROUND(IFERROR(ROUND(IF(OR(ISNUMBER(SEARCH("week",C974)),ISNUMBER(SEARCH("minggu",C974))),IFERROR(_xlfn.NUMBERVALUE(SUBSTITUTE(LEFT(TRIM(C974),FIND(" ",TRIM(C974)&amp;" ")-1),",","."),"."),LEFT(SUBSTITUTE(LEFT(TRIM(C974),FIND(" ",TRIM(C974)&amp;" ")-1),",","."),FIND("/",SUBSTITUTE(LEFT(TRIM(C974),FIND(" ",TRIM(C974)&amp;" ")-1),",","."))-1)/MID(SUBSTITUTE(LEFT(TRIM(C974),FIND(" ",TRIM(C974)&amp;" ")-1),",","."),FIND("/",SUBSTITUTE(LEFT(TRIM(C974),FIND(" ",TRIM(C974)&amp;" ")-1),",","."))+1,9))*12/52,IF(ISNUMBER(SEARCH("month",C974)),IFERROR(_xlfn.NUMBERVALUE(SUBSTITUTE(LEFT(TRIM(C974),FIND(" ",TRIM(C974)&amp;" ")-1),",","."),"."),LEFT(SUBSTITUTE(LEFT(TRIM(C974),FIND(" ",TRIM(C974)&amp;" ")-1),",","."),FIND("/",SUBSTITUTE(LEFT(TRIM(C974),FIND(" ",TRIM(C974)&amp;" ")-1),",","."))-1)/MID(SUBSTITUTE(LEFT(TRIM(C974),FIND(" ",TRIM(C974)&amp;" ")-1),",","."),FIND("/",SUBSTITUTE(LEFT(TRIM(C974),FIND(" ",TRIM(C974)&amp;" ")-1),",","."))+1,9)),IF(ISNUMBER(SEARCH("yea",C974)),IFERROR(_xlfn.NUMBERVALUE(SUBSTITUTE(LEFT(TRIM(C974),FIND(" ",TRIM(C974)&amp;" ")-1),",","."),"."),LEFT(SUBSTITUTE(LEFT(TRIM(C974),FIND(" ",TRIM(C974)&amp;" ")-1),",","."),FIND("/",SUBSTITUTE(LEFT(TRIM(C974),FIND(" ",TRIM(C974)&amp;" ")-1),",","."))-1)/MID(SUBSTITUTE(LEFT(TRIM(C974),FIND(" ",TRIM(C974)&amp;" ")-1),",","."),FIND("/",SUBSTITUTE(LEFT(TRIM(C974),FIND(" ",TRIM(C974)&amp;" ")-1),",","."))+1,9))*12,NA()))),0),6)*'Aturan &amp; Tarif'!$B$4,2)</f>
        <v>340.68</v>
      </c>
      <c r="K974" s="42" t="n">
        <f aca="false">'Aturan &amp; Tarif'!$B$5</f>
        <v>2050</v>
      </c>
      <c r="L974" s="35" t="n">
        <f aca="false">I974+J974+K974</f>
        <v>10340.68</v>
      </c>
      <c r="M974" s="44" t="s">
        <v>1140</v>
      </c>
    </row>
    <row r="975" customFormat="false" ht="60" hidden="false" customHeight="true" outlineLevel="0" collapsed="false">
      <c r="A975" s="39"/>
      <c r="B975" s="40" t="s">
        <v>559</v>
      </c>
      <c r="C975" s="41" t="s">
        <v>130</v>
      </c>
      <c r="D975" s="41" t="s">
        <v>108</v>
      </c>
      <c r="E975" s="42" t="n">
        <v>7950</v>
      </c>
      <c r="F975" s="42"/>
      <c r="G975" s="42"/>
      <c r="H975" s="43" t="n">
        <v>2</v>
      </c>
      <c r="I975" s="34" t="n">
        <f aca="false">E975*H975+N(F975)+N(G975)</f>
        <v>15900</v>
      </c>
      <c r="J975" s="42" t="n">
        <f aca="false">ROUND(IFERROR(ROUND(IF(OR(ISNUMBER(SEARCH("week",C975)),ISNUMBER(SEARCH("minggu",C975))),IFERROR(_xlfn.NUMBERVALUE(SUBSTITUTE(LEFT(TRIM(C975),FIND(" ",TRIM(C975)&amp;" ")-1),",","."),"."),LEFT(SUBSTITUTE(LEFT(TRIM(C975),FIND(" ",TRIM(C975)&amp;" ")-1),",","."),FIND("/",SUBSTITUTE(LEFT(TRIM(C975),FIND(" ",TRIM(C975)&amp;" ")-1),",","."))-1)/MID(SUBSTITUTE(LEFT(TRIM(C975),FIND(" ",TRIM(C975)&amp;" ")-1),",","."),FIND("/",SUBSTITUTE(LEFT(TRIM(C975),FIND(" ",TRIM(C975)&amp;" ")-1),",","."))+1,9))*12/52,IF(ISNUMBER(SEARCH("month",C975)),IFERROR(_xlfn.NUMBERVALUE(SUBSTITUTE(LEFT(TRIM(C975),FIND(" ",TRIM(C975)&amp;" ")-1),",","."),"."),LEFT(SUBSTITUTE(LEFT(TRIM(C975),FIND(" ",TRIM(C975)&amp;" ")-1),",","."),FIND("/",SUBSTITUTE(LEFT(TRIM(C975),FIND(" ",TRIM(C975)&amp;" ")-1),",","."))-1)/MID(SUBSTITUTE(LEFT(TRIM(C975),FIND(" ",TRIM(C975)&amp;" ")-1),",","."),FIND("/",SUBSTITUTE(LEFT(TRIM(C975),FIND(" ",TRIM(C975)&amp;" ")-1),",","."))+1,9)),IF(ISNUMBER(SEARCH("yea",C975)),IFERROR(_xlfn.NUMBERVALUE(SUBSTITUTE(LEFT(TRIM(C975),FIND(" ",TRIM(C975)&amp;" ")-1),",","."),"."),LEFT(SUBSTITUTE(LEFT(TRIM(C975),FIND(" ",TRIM(C975)&amp;" ")-1),",","."),FIND("/",SUBSTITUTE(LEFT(TRIM(C975),FIND(" ",TRIM(C975)&amp;" ")-1),",","."))-1)/MID(SUBSTITUTE(LEFT(TRIM(C975),FIND(" ",TRIM(C975)&amp;" ")-1),",","."),FIND("/",SUBSTITUTE(LEFT(TRIM(C975),FIND(" ",TRIM(C975)&amp;" ")-1),",","."))+1,9))*12,NA()))),0),12)*'Aturan &amp; Tarif'!$B$4,2)</f>
        <v>681.36</v>
      </c>
      <c r="K975" s="42" t="n">
        <f aca="false">'Aturan &amp; Tarif'!$B$5</f>
        <v>2050</v>
      </c>
      <c r="L975" s="35" t="n">
        <f aca="false">I975+J975+K975</f>
        <v>18631.36</v>
      </c>
      <c r="M975" s="44" t="s">
        <v>1141</v>
      </c>
    </row>
    <row r="976" customFormat="false" ht="60" hidden="false" customHeight="true" outlineLevel="0" collapsed="false">
      <c r="A976" s="39"/>
      <c r="B976" s="40" t="s">
        <v>283</v>
      </c>
      <c r="C976" s="41" t="s">
        <v>113</v>
      </c>
      <c r="D976" s="41" t="s">
        <v>108</v>
      </c>
      <c r="E976" s="42" t="n">
        <v>7950</v>
      </c>
      <c r="F976" s="42"/>
      <c r="G976" s="42"/>
      <c r="H976" s="43" t="n">
        <v>2</v>
      </c>
      <c r="I976" s="34" t="n">
        <f aca="false">E976*H976+N(F976)+N(G976)</f>
        <v>15900</v>
      </c>
      <c r="J976" s="42" t="n">
        <f aca="false">ROUND(IFERROR(ROUND(IF(OR(ISNUMBER(SEARCH("week",C976)),ISNUMBER(SEARCH("minggu",C976))),IFERROR(_xlfn.NUMBERVALUE(SUBSTITUTE(LEFT(TRIM(C976),FIND(" ",TRIM(C976)&amp;" ")-1),",","."),"."),LEFT(SUBSTITUTE(LEFT(TRIM(C976),FIND(" ",TRIM(C976)&amp;" ")-1),",","."),FIND("/",SUBSTITUTE(LEFT(TRIM(C976),FIND(" ",TRIM(C976)&amp;" ")-1),",","."))-1)/MID(SUBSTITUTE(LEFT(TRIM(C976),FIND(" ",TRIM(C976)&amp;" ")-1),",","."),FIND("/",SUBSTITUTE(LEFT(TRIM(C976),FIND(" ",TRIM(C976)&amp;" ")-1),",","."))+1,9))*12/52,IF(ISNUMBER(SEARCH("month",C976)),IFERROR(_xlfn.NUMBERVALUE(SUBSTITUTE(LEFT(TRIM(C976),FIND(" ",TRIM(C976)&amp;" ")-1),",","."),"."),LEFT(SUBSTITUTE(LEFT(TRIM(C976),FIND(" ",TRIM(C976)&amp;" ")-1),",","."),FIND("/",SUBSTITUTE(LEFT(TRIM(C976),FIND(" ",TRIM(C976)&amp;" ")-1),",","."))-1)/MID(SUBSTITUTE(LEFT(TRIM(C976),FIND(" ",TRIM(C976)&amp;" ")-1),",","."),FIND("/",SUBSTITUTE(LEFT(TRIM(C976),FIND(" ",TRIM(C976)&amp;" ")-1),",","."))+1,9)),IF(ISNUMBER(SEARCH("yea",C976)),IFERROR(_xlfn.NUMBERVALUE(SUBSTITUTE(LEFT(TRIM(C976),FIND(" ",TRIM(C976)&amp;" ")-1),",","."),"."),LEFT(SUBSTITUTE(LEFT(TRIM(C976),FIND(" ",TRIM(C976)&amp;" ")-1),",","."),FIND("/",SUBSTITUTE(LEFT(TRIM(C976),FIND(" ",TRIM(C976)&amp;" ")-1),",","."))-1)/MID(SUBSTITUTE(LEFT(TRIM(C976),FIND(" ",TRIM(C976)&amp;" ")-1),",","."),FIND("/",SUBSTITUTE(LEFT(TRIM(C976),FIND(" ",TRIM(C976)&amp;" ")-1),",","."))+1,9))*12,NA()))),0),18)*'Aturan &amp; Tarif'!$B$4,2)</f>
        <v>1022.04</v>
      </c>
      <c r="K976" s="42" t="n">
        <f aca="false">'Aturan &amp; Tarif'!$B$5</f>
        <v>2050</v>
      </c>
      <c r="L976" s="35" t="n">
        <f aca="false">I976+J976+K976</f>
        <v>18972.04</v>
      </c>
      <c r="M976" s="44" t="s">
        <v>1142</v>
      </c>
    </row>
    <row r="977" customFormat="false" ht="25.5" hidden="false" customHeight="true" outlineLevel="0" collapsed="false">
      <c r="A977" s="39"/>
      <c r="B977" s="40" t="s">
        <v>1143</v>
      </c>
      <c r="C977" s="41" t="s">
        <v>107</v>
      </c>
      <c r="D977" s="41" t="s">
        <v>108</v>
      </c>
      <c r="E977" s="42" t="n">
        <v>7950</v>
      </c>
      <c r="F977" s="42"/>
      <c r="G977" s="42"/>
      <c r="H977" s="43" t="n">
        <v>2</v>
      </c>
      <c r="I977" s="34" t="n">
        <f aca="false">E977*H977+N(F977)+N(G977)</f>
        <v>15900</v>
      </c>
      <c r="J977" s="42" t="n">
        <f aca="false">ROUND(IFERROR(ROUND(IF(OR(ISNUMBER(SEARCH("week",C977)),ISNUMBER(SEARCH("minggu",C977))),IFERROR(_xlfn.NUMBERVALUE(SUBSTITUTE(LEFT(TRIM(C977),FIND(" ",TRIM(C977)&amp;" ")-1),",","."),"."),LEFT(SUBSTITUTE(LEFT(TRIM(C977),FIND(" ",TRIM(C977)&amp;" ")-1),",","."),FIND("/",SUBSTITUTE(LEFT(TRIM(C977),FIND(" ",TRIM(C977)&amp;" ")-1),",","."))-1)/MID(SUBSTITUTE(LEFT(TRIM(C977),FIND(" ",TRIM(C977)&amp;" ")-1),",","."),FIND("/",SUBSTITUTE(LEFT(TRIM(C977),FIND(" ",TRIM(C977)&amp;" ")-1),",","."))+1,9))*12/52,IF(ISNUMBER(SEARCH("month",C977)),IFERROR(_xlfn.NUMBERVALUE(SUBSTITUTE(LEFT(TRIM(C977),FIND(" ",TRIM(C977)&amp;" ")-1),",","."),"."),LEFT(SUBSTITUTE(LEFT(TRIM(C977),FIND(" ",TRIM(C977)&amp;" ")-1),",","."),FIND("/",SUBSTITUTE(LEFT(TRIM(C977),FIND(" ",TRIM(C977)&amp;" ")-1),",","."))-1)/MID(SUBSTITUTE(LEFT(TRIM(C977),FIND(" ",TRIM(C977)&amp;" ")-1),",","."),FIND("/",SUBSTITUTE(LEFT(TRIM(C977),FIND(" ",TRIM(C977)&amp;" ")-1),",","."))+1,9)),IF(ISNUMBER(SEARCH("yea",C977)),IFERROR(_xlfn.NUMBERVALUE(SUBSTITUTE(LEFT(TRIM(C977),FIND(" ",TRIM(C977)&amp;" ")-1),",","."),"."),LEFT(SUBSTITUTE(LEFT(TRIM(C977),FIND(" ",TRIM(C977)&amp;" ")-1),",","."),FIND("/",SUBSTITUTE(LEFT(TRIM(C977),FIND(" ",TRIM(C977)&amp;" ")-1),",","."))-1)/MID(SUBSTITUTE(LEFT(TRIM(C977),FIND(" ",TRIM(C977)&amp;" ")-1),",","."),FIND("/",SUBSTITUTE(LEFT(TRIM(C977),FIND(" ",TRIM(C977)&amp;" ")-1),",","."))+1,9))*12,NA()))),0),24)*'Aturan &amp; Tarif'!$B$4,2)</f>
        <v>1362.72</v>
      </c>
      <c r="K977" s="42" t="n">
        <f aca="false">'Aturan &amp; Tarif'!$B$5</f>
        <v>2050</v>
      </c>
      <c r="L977" s="35" t="n">
        <f aca="false">I977+J977+K977</f>
        <v>19312.72</v>
      </c>
      <c r="M977" s="44" t="s">
        <v>1144</v>
      </c>
    </row>
    <row r="978" customFormat="false" ht="25.5" hidden="false" customHeight="true" outlineLevel="0" collapsed="false">
      <c r="A978" s="39"/>
      <c r="B978" s="40" t="s">
        <v>1057</v>
      </c>
      <c r="C978" s="41" t="s">
        <v>107</v>
      </c>
      <c r="D978" s="41" t="s">
        <v>108</v>
      </c>
      <c r="E978" s="42" t="n">
        <v>7950</v>
      </c>
      <c r="F978" s="42"/>
      <c r="G978" s="42"/>
      <c r="H978" s="43" t="n">
        <v>2</v>
      </c>
      <c r="I978" s="34" t="n">
        <f aca="false">E978*H978+N(F978)+N(G978)</f>
        <v>15900</v>
      </c>
      <c r="J978" s="42" t="n">
        <f aca="false">ROUND(IFERROR(ROUND(IF(OR(ISNUMBER(SEARCH("week",C978)),ISNUMBER(SEARCH("minggu",C978))),IFERROR(_xlfn.NUMBERVALUE(SUBSTITUTE(LEFT(TRIM(C978),FIND(" ",TRIM(C978)&amp;" ")-1),",","."),"."),LEFT(SUBSTITUTE(LEFT(TRIM(C978),FIND(" ",TRIM(C978)&amp;" ")-1),",","."),FIND("/",SUBSTITUTE(LEFT(TRIM(C978),FIND(" ",TRIM(C978)&amp;" ")-1),",","."))-1)/MID(SUBSTITUTE(LEFT(TRIM(C978),FIND(" ",TRIM(C978)&amp;" ")-1),",","."),FIND("/",SUBSTITUTE(LEFT(TRIM(C978),FIND(" ",TRIM(C978)&amp;" ")-1),",","."))+1,9))*12/52,IF(ISNUMBER(SEARCH("month",C978)),IFERROR(_xlfn.NUMBERVALUE(SUBSTITUTE(LEFT(TRIM(C978),FIND(" ",TRIM(C978)&amp;" ")-1),",","."),"."),LEFT(SUBSTITUTE(LEFT(TRIM(C978),FIND(" ",TRIM(C978)&amp;" ")-1),",","."),FIND("/",SUBSTITUTE(LEFT(TRIM(C978),FIND(" ",TRIM(C978)&amp;" ")-1),",","."))-1)/MID(SUBSTITUTE(LEFT(TRIM(C978),FIND(" ",TRIM(C978)&amp;" ")-1),",","."),FIND("/",SUBSTITUTE(LEFT(TRIM(C978),FIND(" ",TRIM(C978)&amp;" ")-1),",","."))+1,9)),IF(ISNUMBER(SEARCH("yea",C978)),IFERROR(_xlfn.NUMBERVALUE(SUBSTITUTE(LEFT(TRIM(C978),FIND(" ",TRIM(C978)&amp;" ")-1),",","."),"."),LEFT(SUBSTITUTE(LEFT(TRIM(C978),FIND(" ",TRIM(C978)&amp;" ")-1),",","."),FIND("/",SUBSTITUTE(LEFT(TRIM(C978),FIND(" ",TRIM(C978)&amp;" ")-1),",","."))-1)/MID(SUBSTITUTE(LEFT(TRIM(C978),FIND(" ",TRIM(C978)&amp;" ")-1),",","."),FIND("/",SUBSTITUTE(LEFT(TRIM(C978),FIND(" ",TRIM(C978)&amp;" ")-1),",","."))+1,9))*12,NA()))),0),24)*'Aturan &amp; Tarif'!$B$4,2)</f>
        <v>1362.72</v>
      </c>
      <c r="K978" s="42" t="n">
        <f aca="false">'Aturan &amp; Tarif'!$B$5</f>
        <v>2050</v>
      </c>
      <c r="L978" s="35" t="n">
        <f aca="false">I978+J978+K978</f>
        <v>19312.72</v>
      </c>
      <c r="M978" s="44" t="s">
        <v>1058</v>
      </c>
    </row>
    <row r="979" customFormat="false" ht="60" hidden="false" customHeight="true" outlineLevel="0" collapsed="false">
      <c r="A979" s="39"/>
      <c r="B979" s="40" t="s">
        <v>1077</v>
      </c>
      <c r="C979" s="41" t="s">
        <v>107</v>
      </c>
      <c r="D979" s="41" t="s">
        <v>108</v>
      </c>
      <c r="E979" s="42" t="n">
        <v>7950</v>
      </c>
      <c r="F979" s="42"/>
      <c r="G979" s="42"/>
      <c r="H979" s="43" t="n">
        <v>2</v>
      </c>
      <c r="I979" s="34" t="n">
        <f aca="false">E979*H979+N(F979)+N(G979)</f>
        <v>15900</v>
      </c>
      <c r="J979" s="42" t="n">
        <f aca="false">ROUND(IFERROR(ROUND(IF(OR(ISNUMBER(SEARCH("week",C979)),ISNUMBER(SEARCH("minggu",C979))),IFERROR(_xlfn.NUMBERVALUE(SUBSTITUTE(LEFT(TRIM(C979),FIND(" ",TRIM(C979)&amp;" ")-1),",","."),"."),LEFT(SUBSTITUTE(LEFT(TRIM(C979),FIND(" ",TRIM(C979)&amp;" ")-1),",","."),FIND("/",SUBSTITUTE(LEFT(TRIM(C979),FIND(" ",TRIM(C979)&amp;" ")-1),",","."))-1)/MID(SUBSTITUTE(LEFT(TRIM(C979),FIND(" ",TRIM(C979)&amp;" ")-1),",","."),FIND("/",SUBSTITUTE(LEFT(TRIM(C979),FIND(" ",TRIM(C979)&amp;" ")-1),",","."))+1,9))*12/52,IF(ISNUMBER(SEARCH("month",C979)),IFERROR(_xlfn.NUMBERVALUE(SUBSTITUTE(LEFT(TRIM(C979),FIND(" ",TRIM(C979)&amp;" ")-1),",","."),"."),LEFT(SUBSTITUTE(LEFT(TRIM(C979),FIND(" ",TRIM(C979)&amp;" ")-1),",","."),FIND("/",SUBSTITUTE(LEFT(TRIM(C979),FIND(" ",TRIM(C979)&amp;" ")-1),",","."))-1)/MID(SUBSTITUTE(LEFT(TRIM(C979),FIND(" ",TRIM(C979)&amp;" ")-1),",","."),FIND("/",SUBSTITUTE(LEFT(TRIM(C979),FIND(" ",TRIM(C979)&amp;" ")-1),",","."))+1,9)),IF(ISNUMBER(SEARCH("yea",C979)),IFERROR(_xlfn.NUMBERVALUE(SUBSTITUTE(LEFT(TRIM(C979),FIND(" ",TRIM(C979)&amp;" ")-1),",","."),"."),LEFT(SUBSTITUTE(LEFT(TRIM(C979),FIND(" ",TRIM(C979)&amp;" ")-1),",","."),FIND("/",SUBSTITUTE(LEFT(TRIM(C979),FIND(" ",TRIM(C979)&amp;" ")-1),",","."))-1)/MID(SUBSTITUTE(LEFT(TRIM(C979),FIND(" ",TRIM(C979)&amp;" ")-1),",","."),FIND("/",SUBSTITUTE(LEFT(TRIM(C979),FIND(" ",TRIM(C979)&amp;" ")-1),",","."))+1,9))*12,NA()))),0),24)*'Aturan &amp; Tarif'!$B$4,2)</f>
        <v>1362.72</v>
      </c>
      <c r="K979" s="42" t="n">
        <f aca="false">'Aturan &amp; Tarif'!$B$5</f>
        <v>2050</v>
      </c>
      <c r="L979" s="35" t="n">
        <f aca="false">I979+J979+K979</f>
        <v>19312.72</v>
      </c>
      <c r="M979" s="44" t="s">
        <v>1036</v>
      </c>
    </row>
    <row r="980" customFormat="false" ht="60" hidden="false" customHeight="true" outlineLevel="0" collapsed="false">
      <c r="A980" s="39"/>
      <c r="B980" s="40" t="s">
        <v>1145</v>
      </c>
      <c r="C980" s="41" t="s">
        <v>113</v>
      </c>
      <c r="D980" s="41" t="s">
        <v>108</v>
      </c>
      <c r="E980" s="42" t="n">
        <v>6563</v>
      </c>
      <c r="F980" s="42"/>
      <c r="G980" s="42"/>
      <c r="H980" s="43" t="n">
        <v>2</v>
      </c>
      <c r="I980" s="34" t="n">
        <f aca="false">E980*H980+N(F980)+N(G980)</f>
        <v>13126</v>
      </c>
      <c r="J980" s="42" t="n">
        <f aca="false">ROUND(IFERROR(ROUND(IF(OR(ISNUMBER(SEARCH("week",C980)),ISNUMBER(SEARCH("minggu",C980))),IFERROR(_xlfn.NUMBERVALUE(SUBSTITUTE(LEFT(TRIM(C980),FIND(" ",TRIM(C980)&amp;" ")-1),",","."),"."),LEFT(SUBSTITUTE(LEFT(TRIM(C980),FIND(" ",TRIM(C980)&amp;" ")-1),",","."),FIND("/",SUBSTITUTE(LEFT(TRIM(C980),FIND(" ",TRIM(C980)&amp;" ")-1),",","."))-1)/MID(SUBSTITUTE(LEFT(TRIM(C980),FIND(" ",TRIM(C980)&amp;" ")-1),",","."),FIND("/",SUBSTITUTE(LEFT(TRIM(C980),FIND(" ",TRIM(C980)&amp;" ")-1),",","."))+1,9))*12/52,IF(ISNUMBER(SEARCH("month",C980)),IFERROR(_xlfn.NUMBERVALUE(SUBSTITUTE(LEFT(TRIM(C980),FIND(" ",TRIM(C980)&amp;" ")-1),",","."),"."),LEFT(SUBSTITUTE(LEFT(TRIM(C980),FIND(" ",TRIM(C980)&amp;" ")-1),",","."),FIND("/",SUBSTITUTE(LEFT(TRIM(C980),FIND(" ",TRIM(C980)&amp;" ")-1),",","."))-1)/MID(SUBSTITUTE(LEFT(TRIM(C980),FIND(" ",TRIM(C980)&amp;" ")-1),",","."),FIND("/",SUBSTITUTE(LEFT(TRIM(C980),FIND(" ",TRIM(C980)&amp;" ")-1),",","."))+1,9)),IF(ISNUMBER(SEARCH("yea",C980)),IFERROR(_xlfn.NUMBERVALUE(SUBSTITUTE(LEFT(TRIM(C980),FIND(" ",TRIM(C980)&amp;" ")-1),",","."),"."),LEFT(SUBSTITUTE(LEFT(TRIM(C980),FIND(" ",TRIM(C980)&amp;" ")-1),",","."),FIND("/",SUBSTITUTE(LEFT(TRIM(C980),FIND(" ",TRIM(C980)&amp;" ")-1),",","."))-1)/MID(SUBSTITUTE(LEFT(TRIM(C980),FIND(" ",TRIM(C980)&amp;" ")-1),",","."),FIND("/",SUBSTITUTE(LEFT(TRIM(C980),FIND(" ",TRIM(C980)&amp;" ")-1),",","."))+1,9))*12,NA()))),0),18)*'Aturan &amp; Tarif'!$B$4,2)</f>
        <v>1022.04</v>
      </c>
      <c r="K980" s="42" t="n">
        <f aca="false">'Aturan &amp; Tarif'!$B$5</f>
        <v>2050</v>
      </c>
      <c r="L980" s="35" t="n">
        <f aca="false">I980+J980+K980</f>
        <v>16198.04</v>
      </c>
      <c r="M980" s="44" t="s">
        <v>1146</v>
      </c>
    </row>
    <row r="981" customFormat="false" ht="60" hidden="false" customHeight="true" outlineLevel="0" collapsed="false">
      <c r="A981" s="39"/>
      <c r="B981" s="40" t="s">
        <v>2509</v>
      </c>
      <c r="C981" s="41" t="s">
        <v>130</v>
      </c>
      <c r="D981" s="41" t="s">
        <v>108</v>
      </c>
      <c r="E981" s="42" t="n">
        <v>7900</v>
      </c>
      <c r="F981" s="42"/>
      <c r="G981" s="42"/>
      <c r="H981" s="43" t="n">
        <v>2</v>
      </c>
      <c r="I981" s="34" t="n">
        <f aca="false">E981*H981+N(F981)+N(G981)</f>
        <v>15800</v>
      </c>
      <c r="J981" s="42" t="n">
        <f aca="false">ROUND(IFERROR(ROUND(IF(OR(ISNUMBER(SEARCH("week",C981)),ISNUMBER(SEARCH("minggu",C981))),IFERROR(_xlfn.NUMBERVALUE(SUBSTITUTE(LEFT(TRIM(C981),FIND(" ",TRIM(C981)&amp;" ")-1),",","."),"."),LEFT(SUBSTITUTE(LEFT(TRIM(C981),FIND(" ",TRIM(C981)&amp;" ")-1),",","."),FIND("/",SUBSTITUTE(LEFT(TRIM(C981),FIND(" ",TRIM(C981)&amp;" ")-1),",","."))-1)/MID(SUBSTITUTE(LEFT(TRIM(C981),FIND(" ",TRIM(C981)&amp;" ")-1),",","."),FIND("/",SUBSTITUTE(LEFT(TRIM(C981),FIND(" ",TRIM(C981)&amp;" ")-1),",","."))+1,9))*12/52,IF(ISNUMBER(SEARCH("month",C981)),IFERROR(_xlfn.NUMBERVALUE(SUBSTITUTE(LEFT(TRIM(C981),FIND(" ",TRIM(C981)&amp;" ")-1),",","."),"."),LEFT(SUBSTITUTE(LEFT(TRIM(C981),FIND(" ",TRIM(C981)&amp;" ")-1),",","."),FIND("/",SUBSTITUTE(LEFT(TRIM(C981),FIND(" ",TRIM(C981)&amp;" ")-1),",","."))-1)/MID(SUBSTITUTE(LEFT(TRIM(C981),FIND(" ",TRIM(C981)&amp;" ")-1),",","."),FIND("/",SUBSTITUTE(LEFT(TRIM(C981),FIND(" ",TRIM(C981)&amp;" ")-1),",","."))+1,9)),IF(ISNUMBER(SEARCH("yea",C981)),IFERROR(_xlfn.NUMBERVALUE(SUBSTITUTE(LEFT(TRIM(C981),FIND(" ",TRIM(C981)&amp;" ")-1),",","."),"."),LEFT(SUBSTITUTE(LEFT(TRIM(C981),FIND(" ",TRIM(C981)&amp;" ")-1),",","."),FIND("/",SUBSTITUTE(LEFT(TRIM(C981),FIND(" ",TRIM(C981)&amp;" ")-1),",","."))-1)/MID(SUBSTITUTE(LEFT(TRIM(C981),FIND(" ",TRIM(C981)&amp;" ")-1),",","."),FIND("/",SUBSTITUTE(LEFT(TRIM(C981),FIND(" ",TRIM(C981)&amp;" ")-1),",","."))+1,9))*12,NA()))),0),12)*'Aturan &amp; Tarif'!$B$4,2)</f>
        <v>681.36</v>
      </c>
      <c r="K981" s="42" t="n">
        <f aca="false">'Aturan &amp; Tarif'!$B$5</f>
        <v>2050</v>
      </c>
      <c r="L981" s="35" t="n">
        <f aca="false">I981+J981+K981</f>
        <v>18531.36</v>
      </c>
      <c r="M981" s="44" t="s">
        <v>2510</v>
      </c>
    </row>
    <row r="982" customFormat="false" ht="60" hidden="false" customHeight="true" outlineLevel="0" collapsed="false">
      <c r="A982" s="39"/>
      <c r="B982" s="40" t="s">
        <v>1147</v>
      </c>
      <c r="C982" s="41" t="s">
        <v>127</v>
      </c>
      <c r="D982" s="41" t="s">
        <v>108</v>
      </c>
      <c r="E982" s="42" t="n">
        <v>7900</v>
      </c>
      <c r="F982" s="42"/>
      <c r="G982" s="42"/>
      <c r="H982" s="43" t="n">
        <v>2</v>
      </c>
      <c r="I982" s="34" t="n">
        <f aca="false">E982*H982+N(F982)+N(G982)</f>
        <v>15800</v>
      </c>
      <c r="J982" s="42" t="n">
        <f aca="false">ROUND(IFERROR(ROUND(IF(OR(ISNUMBER(SEARCH("week",C982)),ISNUMBER(SEARCH("minggu",C982))),IFERROR(_xlfn.NUMBERVALUE(SUBSTITUTE(LEFT(TRIM(C982),FIND(" ",TRIM(C982)&amp;" ")-1),",","."),"."),LEFT(SUBSTITUTE(LEFT(TRIM(C982),FIND(" ",TRIM(C982)&amp;" ")-1),",","."),FIND("/",SUBSTITUTE(LEFT(TRIM(C982),FIND(" ",TRIM(C982)&amp;" ")-1),",","."))-1)/MID(SUBSTITUTE(LEFT(TRIM(C982),FIND(" ",TRIM(C982)&amp;" ")-1),",","."),FIND("/",SUBSTITUTE(LEFT(TRIM(C982),FIND(" ",TRIM(C982)&amp;" ")-1),",","."))+1,9))*12/52,IF(ISNUMBER(SEARCH("month",C982)),IFERROR(_xlfn.NUMBERVALUE(SUBSTITUTE(LEFT(TRIM(C982),FIND(" ",TRIM(C982)&amp;" ")-1),",","."),"."),LEFT(SUBSTITUTE(LEFT(TRIM(C982),FIND(" ",TRIM(C982)&amp;" ")-1),",","."),FIND("/",SUBSTITUTE(LEFT(TRIM(C982),FIND(" ",TRIM(C982)&amp;" ")-1),",","."))-1)/MID(SUBSTITUTE(LEFT(TRIM(C982),FIND(" ",TRIM(C982)&amp;" ")-1),",","."),FIND("/",SUBSTITUTE(LEFT(TRIM(C982),FIND(" ",TRIM(C982)&amp;" ")-1),",","."))+1,9)),IF(ISNUMBER(SEARCH("yea",C982)),IFERROR(_xlfn.NUMBERVALUE(SUBSTITUTE(LEFT(TRIM(C982),FIND(" ",TRIM(C982)&amp;" ")-1),",","."),"."),LEFT(SUBSTITUTE(LEFT(TRIM(C982),FIND(" ",TRIM(C982)&amp;" ")-1),",","."),FIND("/",SUBSTITUTE(LEFT(TRIM(C982),FIND(" ",TRIM(C982)&amp;" ")-1),",","."))-1)/MID(SUBSTITUTE(LEFT(TRIM(C982),FIND(" ",TRIM(C982)&amp;" ")-1),",","."),FIND("/",SUBSTITUTE(LEFT(TRIM(C982),FIND(" ",TRIM(C982)&amp;" ")-1),",","."))+1,9))*12,NA()))),0),36)*'Aturan &amp; Tarif'!$B$4,2)</f>
        <v>2044.08</v>
      </c>
      <c r="K982" s="42" t="n">
        <f aca="false">'Aturan &amp; Tarif'!$B$5</f>
        <v>2050</v>
      </c>
      <c r="L982" s="35" t="n">
        <f aca="false">I982+J982+K982</f>
        <v>19894.08</v>
      </c>
      <c r="M982" s="44" t="s">
        <v>2511</v>
      </c>
    </row>
    <row r="983" customFormat="false" ht="60" hidden="false" customHeight="true" outlineLevel="0" collapsed="false">
      <c r="A983" s="39"/>
      <c r="B983" s="40" t="s">
        <v>1040</v>
      </c>
      <c r="C983" s="41" t="s">
        <v>127</v>
      </c>
      <c r="D983" s="41" t="s">
        <v>108</v>
      </c>
      <c r="E983" s="42" t="n">
        <v>7900</v>
      </c>
      <c r="F983" s="42"/>
      <c r="G983" s="42"/>
      <c r="H983" s="43" t="n">
        <v>2</v>
      </c>
      <c r="I983" s="34" t="n">
        <f aca="false">E983*H983+N(F983)+N(G983)</f>
        <v>15800</v>
      </c>
      <c r="J983" s="42" t="n">
        <f aca="false">ROUND(IFERROR(ROUND(IF(OR(ISNUMBER(SEARCH("week",C983)),ISNUMBER(SEARCH("minggu",C983))),IFERROR(_xlfn.NUMBERVALUE(SUBSTITUTE(LEFT(TRIM(C983),FIND(" ",TRIM(C983)&amp;" ")-1),",","."),"."),LEFT(SUBSTITUTE(LEFT(TRIM(C983),FIND(" ",TRIM(C983)&amp;" ")-1),",","."),FIND("/",SUBSTITUTE(LEFT(TRIM(C983),FIND(" ",TRIM(C983)&amp;" ")-1),",","."))-1)/MID(SUBSTITUTE(LEFT(TRIM(C983),FIND(" ",TRIM(C983)&amp;" ")-1),",","."),FIND("/",SUBSTITUTE(LEFT(TRIM(C983),FIND(" ",TRIM(C983)&amp;" ")-1),",","."))+1,9))*12/52,IF(ISNUMBER(SEARCH("month",C983)),IFERROR(_xlfn.NUMBERVALUE(SUBSTITUTE(LEFT(TRIM(C983),FIND(" ",TRIM(C983)&amp;" ")-1),",","."),"."),LEFT(SUBSTITUTE(LEFT(TRIM(C983),FIND(" ",TRIM(C983)&amp;" ")-1),",","."),FIND("/",SUBSTITUTE(LEFT(TRIM(C983),FIND(" ",TRIM(C983)&amp;" ")-1),",","."))-1)/MID(SUBSTITUTE(LEFT(TRIM(C983),FIND(" ",TRIM(C983)&amp;" ")-1),",","."),FIND("/",SUBSTITUTE(LEFT(TRIM(C983),FIND(" ",TRIM(C983)&amp;" ")-1),",","."))+1,9)),IF(ISNUMBER(SEARCH("yea",C983)),IFERROR(_xlfn.NUMBERVALUE(SUBSTITUTE(LEFT(TRIM(C983),FIND(" ",TRIM(C983)&amp;" ")-1),",","."),"."),LEFT(SUBSTITUTE(LEFT(TRIM(C983),FIND(" ",TRIM(C983)&amp;" ")-1),",","."),FIND("/",SUBSTITUTE(LEFT(TRIM(C983),FIND(" ",TRIM(C983)&amp;" ")-1),",","."))-1)/MID(SUBSTITUTE(LEFT(TRIM(C983),FIND(" ",TRIM(C983)&amp;" ")-1),",","."),FIND("/",SUBSTITUTE(LEFT(TRIM(C983),FIND(" ",TRIM(C983)&amp;" ")-1),",","."))+1,9))*12,NA()))),0),36)*'Aturan &amp; Tarif'!$B$4,2)</f>
        <v>2044.08</v>
      </c>
      <c r="K983" s="42" t="n">
        <f aca="false">'Aturan &amp; Tarif'!$B$5</f>
        <v>2050</v>
      </c>
      <c r="L983" s="35" t="n">
        <f aca="false">I983+J983+K983</f>
        <v>19894.08</v>
      </c>
      <c r="M983" s="44" t="s">
        <v>1041</v>
      </c>
    </row>
    <row r="984" customFormat="false" ht="60" hidden="false" customHeight="true" outlineLevel="0" collapsed="false">
      <c r="A984" s="39"/>
      <c r="B984" s="40" t="s">
        <v>1149</v>
      </c>
      <c r="C984" s="41" t="s">
        <v>130</v>
      </c>
      <c r="D984" s="41" t="s">
        <v>108</v>
      </c>
      <c r="E984" s="42" t="n">
        <v>9372</v>
      </c>
      <c r="F984" s="42"/>
      <c r="G984" s="42"/>
      <c r="H984" s="43" t="n">
        <v>2</v>
      </c>
      <c r="I984" s="34" t="n">
        <f aca="false">E984*H984+N(F984)+N(G984)</f>
        <v>18744</v>
      </c>
      <c r="J984" s="42" t="n">
        <f aca="false">ROUND(IFERROR(ROUND(IF(OR(ISNUMBER(SEARCH("week",C984)),ISNUMBER(SEARCH("minggu",C984))),IFERROR(_xlfn.NUMBERVALUE(SUBSTITUTE(LEFT(TRIM(C984),FIND(" ",TRIM(C984)&amp;" ")-1),",","."),"."),LEFT(SUBSTITUTE(LEFT(TRIM(C984),FIND(" ",TRIM(C984)&amp;" ")-1),",","."),FIND("/",SUBSTITUTE(LEFT(TRIM(C984),FIND(" ",TRIM(C984)&amp;" ")-1),",","."))-1)/MID(SUBSTITUTE(LEFT(TRIM(C984),FIND(" ",TRIM(C984)&amp;" ")-1),",","."),FIND("/",SUBSTITUTE(LEFT(TRIM(C984),FIND(" ",TRIM(C984)&amp;" ")-1),",","."))+1,9))*12/52,IF(ISNUMBER(SEARCH("month",C984)),IFERROR(_xlfn.NUMBERVALUE(SUBSTITUTE(LEFT(TRIM(C984),FIND(" ",TRIM(C984)&amp;" ")-1),",","."),"."),LEFT(SUBSTITUTE(LEFT(TRIM(C984),FIND(" ",TRIM(C984)&amp;" ")-1),",","."),FIND("/",SUBSTITUTE(LEFT(TRIM(C984),FIND(" ",TRIM(C984)&amp;" ")-1),",","."))-1)/MID(SUBSTITUTE(LEFT(TRIM(C984),FIND(" ",TRIM(C984)&amp;" ")-1),",","."),FIND("/",SUBSTITUTE(LEFT(TRIM(C984),FIND(" ",TRIM(C984)&amp;" ")-1),",","."))+1,9)),IF(ISNUMBER(SEARCH("yea",C984)),IFERROR(_xlfn.NUMBERVALUE(SUBSTITUTE(LEFT(TRIM(C984),FIND(" ",TRIM(C984)&amp;" ")-1),",","."),"."),LEFT(SUBSTITUTE(LEFT(TRIM(C984),FIND(" ",TRIM(C984)&amp;" ")-1),",","."),FIND("/",SUBSTITUTE(LEFT(TRIM(C984),FIND(" ",TRIM(C984)&amp;" ")-1),",","."))-1)/MID(SUBSTITUTE(LEFT(TRIM(C984),FIND(" ",TRIM(C984)&amp;" ")-1),",","."),FIND("/",SUBSTITUTE(LEFT(TRIM(C984),FIND(" ",TRIM(C984)&amp;" ")-1),",","."))+1,9))*12,NA()))),0),12)*'Aturan &amp; Tarif'!$B$4,2)</f>
        <v>681.36</v>
      </c>
      <c r="K984" s="42" t="n">
        <f aca="false">'Aturan &amp; Tarif'!$B$5</f>
        <v>2050</v>
      </c>
      <c r="L984" s="35" t="n">
        <f aca="false">I984+J984+K984</f>
        <v>21475.36</v>
      </c>
      <c r="M984" s="45" t="s">
        <v>2512</v>
      </c>
    </row>
    <row r="985" customFormat="false" ht="14.25" hidden="false" customHeight="true" outlineLevel="0" collapsed="false">
      <c r="A985" s="39"/>
      <c r="B985" s="40" t="s">
        <v>2513</v>
      </c>
      <c r="C985" s="41" t="s">
        <v>107</v>
      </c>
      <c r="D985" s="41" t="s">
        <v>108</v>
      </c>
      <c r="E985" s="42" t="n">
        <v>9372</v>
      </c>
      <c r="F985" s="42"/>
      <c r="G985" s="42"/>
      <c r="H985" s="43" t="n">
        <v>2</v>
      </c>
      <c r="I985" s="34" t="n">
        <f aca="false">E985*H985+N(F985)+N(G985)</f>
        <v>18744</v>
      </c>
      <c r="J985" s="42" t="n">
        <f aca="false">ROUND(IFERROR(ROUND(IF(OR(ISNUMBER(SEARCH("week",C985)),ISNUMBER(SEARCH("minggu",C985))),IFERROR(_xlfn.NUMBERVALUE(SUBSTITUTE(LEFT(TRIM(C985),FIND(" ",TRIM(C985)&amp;" ")-1),",","."),"."),LEFT(SUBSTITUTE(LEFT(TRIM(C985),FIND(" ",TRIM(C985)&amp;" ")-1),",","."),FIND("/",SUBSTITUTE(LEFT(TRIM(C985),FIND(" ",TRIM(C985)&amp;" ")-1),",","."))-1)/MID(SUBSTITUTE(LEFT(TRIM(C985),FIND(" ",TRIM(C985)&amp;" ")-1),",","."),FIND("/",SUBSTITUTE(LEFT(TRIM(C985),FIND(" ",TRIM(C985)&amp;" ")-1),",","."))+1,9))*12/52,IF(ISNUMBER(SEARCH("month",C985)),IFERROR(_xlfn.NUMBERVALUE(SUBSTITUTE(LEFT(TRIM(C985),FIND(" ",TRIM(C985)&amp;" ")-1),",","."),"."),LEFT(SUBSTITUTE(LEFT(TRIM(C985),FIND(" ",TRIM(C985)&amp;" ")-1),",","."),FIND("/",SUBSTITUTE(LEFT(TRIM(C985),FIND(" ",TRIM(C985)&amp;" ")-1),",","."))-1)/MID(SUBSTITUTE(LEFT(TRIM(C985),FIND(" ",TRIM(C985)&amp;" ")-1),",","."),FIND("/",SUBSTITUTE(LEFT(TRIM(C985),FIND(" ",TRIM(C985)&amp;" ")-1),",","."))+1,9)),IF(ISNUMBER(SEARCH("yea",C985)),IFERROR(_xlfn.NUMBERVALUE(SUBSTITUTE(LEFT(TRIM(C985),FIND(" ",TRIM(C985)&amp;" ")-1),",","."),"."),LEFT(SUBSTITUTE(LEFT(TRIM(C985),FIND(" ",TRIM(C985)&amp;" ")-1),",","."),FIND("/",SUBSTITUTE(LEFT(TRIM(C985),FIND(" ",TRIM(C985)&amp;" ")-1),",","."))-1)/MID(SUBSTITUTE(LEFT(TRIM(C985),FIND(" ",TRIM(C985)&amp;" ")-1),",","."),FIND("/",SUBSTITUTE(LEFT(TRIM(C985),FIND(" ",TRIM(C985)&amp;" ")-1),",","."))+1,9))*12,NA()))),0),24)*'Aturan &amp; Tarif'!$B$4,2)</f>
        <v>1362.72</v>
      </c>
      <c r="K985" s="42" t="n">
        <f aca="false">'Aturan &amp; Tarif'!$B$5</f>
        <v>2050</v>
      </c>
      <c r="L985" s="35" t="n">
        <f aca="false">I985+J985+K985</f>
        <v>22156.72</v>
      </c>
      <c r="M985" s="45" t="s">
        <v>2514</v>
      </c>
    </row>
    <row r="986" customFormat="false" ht="60" hidden="false" customHeight="true" outlineLevel="0" collapsed="false">
      <c r="A986" s="39"/>
      <c r="B986" s="40" t="s">
        <v>2515</v>
      </c>
      <c r="C986" s="41" t="s">
        <v>127</v>
      </c>
      <c r="D986" s="41" t="s">
        <v>108</v>
      </c>
      <c r="E986" s="42" t="n">
        <v>9372</v>
      </c>
      <c r="F986" s="42"/>
      <c r="G986" s="42"/>
      <c r="H986" s="43" t="n">
        <v>2</v>
      </c>
      <c r="I986" s="34" t="n">
        <f aca="false">E986*H986+N(F986)+N(G986)</f>
        <v>18744</v>
      </c>
      <c r="J986" s="42" t="n">
        <f aca="false">ROUND(IFERROR(ROUND(IF(OR(ISNUMBER(SEARCH("week",C986)),ISNUMBER(SEARCH("minggu",C986))),IFERROR(_xlfn.NUMBERVALUE(SUBSTITUTE(LEFT(TRIM(C986),FIND(" ",TRIM(C986)&amp;" ")-1),",","."),"."),LEFT(SUBSTITUTE(LEFT(TRIM(C986),FIND(" ",TRIM(C986)&amp;" ")-1),",","."),FIND("/",SUBSTITUTE(LEFT(TRIM(C986),FIND(" ",TRIM(C986)&amp;" ")-1),",","."))-1)/MID(SUBSTITUTE(LEFT(TRIM(C986),FIND(" ",TRIM(C986)&amp;" ")-1),",","."),FIND("/",SUBSTITUTE(LEFT(TRIM(C986),FIND(" ",TRIM(C986)&amp;" ")-1),",","."))+1,9))*12/52,IF(ISNUMBER(SEARCH("month",C986)),IFERROR(_xlfn.NUMBERVALUE(SUBSTITUTE(LEFT(TRIM(C986),FIND(" ",TRIM(C986)&amp;" ")-1),",","."),"."),LEFT(SUBSTITUTE(LEFT(TRIM(C986),FIND(" ",TRIM(C986)&amp;" ")-1),",","."),FIND("/",SUBSTITUTE(LEFT(TRIM(C986),FIND(" ",TRIM(C986)&amp;" ")-1),",","."))-1)/MID(SUBSTITUTE(LEFT(TRIM(C986),FIND(" ",TRIM(C986)&amp;" ")-1),",","."),FIND("/",SUBSTITUTE(LEFT(TRIM(C986),FIND(" ",TRIM(C986)&amp;" ")-1),",","."))+1,9)),IF(ISNUMBER(SEARCH("yea",C986)),IFERROR(_xlfn.NUMBERVALUE(SUBSTITUTE(LEFT(TRIM(C986),FIND(" ",TRIM(C986)&amp;" ")-1),",","."),"."),LEFT(SUBSTITUTE(LEFT(TRIM(C986),FIND(" ",TRIM(C986)&amp;" ")-1),",","."),FIND("/",SUBSTITUTE(LEFT(TRIM(C986),FIND(" ",TRIM(C986)&amp;" ")-1),",","."))-1)/MID(SUBSTITUTE(LEFT(TRIM(C986),FIND(" ",TRIM(C986)&amp;" ")-1),",","."),FIND("/",SUBSTITUTE(LEFT(TRIM(C986),FIND(" ",TRIM(C986)&amp;" ")-1),",","."))+1,9))*12,NA()))),0),36)*'Aturan &amp; Tarif'!$B$4,2)</f>
        <v>2044.08</v>
      </c>
      <c r="K986" s="42" t="n">
        <f aca="false">'Aturan &amp; Tarif'!$B$5</f>
        <v>2050</v>
      </c>
      <c r="L986" s="35" t="n">
        <f aca="false">I986+J986+K986</f>
        <v>22838.08</v>
      </c>
      <c r="M986" s="45" t="s">
        <v>2516</v>
      </c>
    </row>
    <row r="987" customFormat="false" ht="25.5" hidden="false" customHeight="true" outlineLevel="0" collapsed="false">
      <c r="A987" s="39"/>
      <c r="B987" s="40" t="s">
        <v>1783</v>
      </c>
      <c r="C987" s="41" t="s">
        <v>344</v>
      </c>
      <c r="D987" s="41" t="s">
        <v>108</v>
      </c>
      <c r="E987" s="42" t="n">
        <v>5248</v>
      </c>
      <c r="F987" s="42"/>
      <c r="G987" s="42"/>
      <c r="H987" s="43" t="n">
        <v>2</v>
      </c>
      <c r="I987" s="34" t="n">
        <f aca="false">E987*H987+N(F987)+N(G987)</f>
        <v>10496</v>
      </c>
      <c r="J987" s="42" t="n">
        <f aca="false">ROUND(IFERROR(ROUND(IF(OR(ISNUMBER(SEARCH("week",C987)),ISNUMBER(SEARCH("minggu",C987))),IFERROR(_xlfn.NUMBERVALUE(SUBSTITUTE(LEFT(TRIM(C987),FIND(" ",TRIM(C987)&amp;" ")-1),",","."),"."),LEFT(SUBSTITUTE(LEFT(TRIM(C987),FIND(" ",TRIM(C987)&amp;" ")-1),",","."),FIND("/",SUBSTITUTE(LEFT(TRIM(C987),FIND(" ",TRIM(C987)&amp;" ")-1),",","."))-1)/MID(SUBSTITUTE(LEFT(TRIM(C987),FIND(" ",TRIM(C987)&amp;" ")-1),",","."),FIND("/",SUBSTITUTE(LEFT(TRIM(C987),FIND(" ",TRIM(C987)&amp;" ")-1),",","."))+1,9))*12/52,IF(ISNUMBER(SEARCH("month",C987)),IFERROR(_xlfn.NUMBERVALUE(SUBSTITUTE(LEFT(TRIM(C987),FIND(" ",TRIM(C987)&amp;" ")-1),",","."),"."),LEFT(SUBSTITUTE(LEFT(TRIM(C987),FIND(" ",TRIM(C987)&amp;" ")-1),",","."),FIND("/",SUBSTITUTE(LEFT(TRIM(C987),FIND(" ",TRIM(C987)&amp;" ")-1),",","."))-1)/MID(SUBSTITUTE(LEFT(TRIM(C987),FIND(" ",TRIM(C987)&amp;" ")-1),",","."),FIND("/",SUBSTITUTE(LEFT(TRIM(C987),FIND(" ",TRIM(C987)&amp;" ")-1),",","."))+1,9)),IF(ISNUMBER(SEARCH("yea",C987)),IFERROR(_xlfn.NUMBERVALUE(SUBSTITUTE(LEFT(TRIM(C987),FIND(" ",TRIM(C987)&amp;" ")-1),",","."),"."),LEFT(SUBSTITUTE(LEFT(TRIM(C987),FIND(" ",TRIM(C987)&amp;" ")-1),",","."),FIND("/",SUBSTITUTE(LEFT(TRIM(C987),FIND(" ",TRIM(C987)&amp;" ")-1),",","."))-1)/MID(SUBSTITUTE(LEFT(TRIM(C987),FIND(" ",TRIM(C987)&amp;" ")-1),",","."),FIND("/",SUBSTITUTE(LEFT(TRIM(C987),FIND(" ",TRIM(C987)&amp;" ")-1),",","."))+1,9))*12,NA()))),0),6)*'Aturan &amp; Tarif'!$B$4,2)</f>
        <v>340.68</v>
      </c>
      <c r="K987" s="42" t="n">
        <f aca="false">'Aturan &amp; Tarif'!$B$5</f>
        <v>2050</v>
      </c>
      <c r="L987" s="35" t="n">
        <f aca="false">I987+J987+K987</f>
        <v>12886.68</v>
      </c>
      <c r="M987" s="44" t="s">
        <v>1784</v>
      </c>
    </row>
    <row r="988" customFormat="false" ht="14.25" hidden="false" customHeight="true" outlineLevel="0" collapsed="false">
      <c r="A988" s="39"/>
      <c r="B988" s="40" t="s">
        <v>2517</v>
      </c>
      <c r="C988" s="41" t="s">
        <v>344</v>
      </c>
      <c r="D988" s="41" t="s">
        <v>108</v>
      </c>
      <c r="E988" s="42" t="n">
        <v>5700</v>
      </c>
      <c r="F988" s="42"/>
      <c r="G988" s="42"/>
      <c r="H988" s="43" t="n">
        <v>2</v>
      </c>
      <c r="I988" s="34" t="n">
        <f aca="false">E988*H988+N(F988)+N(G988)</f>
        <v>11400</v>
      </c>
      <c r="J988" s="42" t="n">
        <f aca="false">ROUND(IFERROR(ROUND(IF(OR(ISNUMBER(SEARCH("week",C988)),ISNUMBER(SEARCH("minggu",C988))),IFERROR(_xlfn.NUMBERVALUE(SUBSTITUTE(LEFT(TRIM(C988),FIND(" ",TRIM(C988)&amp;" ")-1),",","."),"."),LEFT(SUBSTITUTE(LEFT(TRIM(C988),FIND(" ",TRIM(C988)&amp;" ")-1),",","."),FIND("/",SUBSTITUTE(LEFT(TRIM(C988),FIND(" ",TRIM(C988)&amp;" ")-1),",","."))-1)/MID(SUBSTITUTE(LEFT(TRIM(C988),FIND(" ",TRIM(C988)&amp;" ")-1),",","."),FIND("/",SUBSTITUTE(LEFT(TRIM(C988),FIND(" ",TRIM(C988)&amp;" ")-1),",","."))+1,9))*12/52,IF(ISNUMBER(SEARCH("month",C988)),IFERROR(_xlfn.NUMBERVALUE(SUBSTITUTE(LEFT(TRIM(C988),FIND(" ",TRIM(C988)&amp;" ")-1),",","."),"."),LEFT(SUBSTITUTE(LEFT(TRIM(C988),FIND(" ",TRIM(C988)&amp;" ")-1),",","."),FIND("/",SUBSTITUTE(LEFT(TRIM(C988),FIND(" ",TRIM(C988)&amp;" ")-1),",","."))-1)/MID(SUBSTITUTE(LEFT(TRIM(C988),FIND(" ",TRIM(C988)&amp;" ")-1),",","."),FIND("/",SUBSTITUTE(LEFT(TRIM(C988),FIND(" ",TRIM(C988)&amp;" ")-1),",","."))+1,9)),IF(ISNUMBER(SEARCH("yea",C988)),IFERROR(_xlfn.NUMBERVALUE(SUBSTITUTE(LEFT(TRIM(C988),FIND(" ",TRIM(C988)&amp;" ")-1),",","."),"."),LEFT(SUBSTITUTE(LEFT(TRIM(C988),FIND(" ",TRIM(C988)&amp;" ")-1),",","."),FIND("/",SUBSTITUTE(LEFT(TRIM(C988),FIND(" ",TRIM(C988)&amp;" ")-1),",","."))-1)/MID(SUBSTITUTE(LEFT(TRIM(C988),FIND(" ",TRIM(C988)&amp;" ")-1),",","."),FIND("/",SUBSTITUTE(LEFT(TRIM(C988),FIND(" ",TRIM(C988)&amp;" ")-1),",","."))+1,9))*12,NA()))),0),6)*'Aturan &amp; Tarif'!$B$4,2)</f>
        <v>340.68</v>
      </c>
      <c r="K988" s="42" t="n">
        <f aca="false">'Aturan &amp; Tarif'!$B$5</f>
        <v>2050</v>
      </c>
      <c r="L988" s="35" t="n">
        <f aca="false">I988+J988+K988</f>
        <v>13790.68</v>
      </c>
      <c r="M988" s="44" t="s">
        <v>2518</v>
      </c>
    </row>
    <row r="989" customFormat="false" ht="14.25" hidden="false" customHeight="true" outlineLevel="0" collapsed="false">
      <c r="A989" s="39"/>
      <c r="B989" s="40" t="s">
        <v>1785</v>
      </c>
      <c r="C989" s="41" t="s">
        <v>107</v>
      </c>
      <c r="D989" s="41" t="s">
        <v>108</v>
      </c>
      <c r="E989" s="42" t="n">
        <v>10495</v>
      </c>
      <c r="F989" s="42"/>
      <c r="G989" s="42"/>
      <c r="H989" s="43" t="n">
        <v>2</v>
      </c>
      <c r="I989" s="34" t="n">
        <f aca="false">E989*H989+N(F989)+N(G989)</f>
        <v>20990</v>
      </c>
      <c r="J989" s="42" t="n">
        <f aca="false">ROUND(IFERROR(ROUND(IF(OR(ISNUMBER(SEARCH("week",C989)),ISNUMBER(SEARCH("minggu",C989))),IFERROR(_xlfn.NUMBERVALUE(SUBSTITUTE(LEFT(TRIM(C989),FIND(" ",TRIM(C989)&amp;" ")-1),",","."),"."),LEFT(SUBSTITUTE(LEFT(TRIM(C989),FIND(" ",TRIM(C989)&amp;" ")-1),",","."),FIND("/",SUBSTITUTE(LEFT(TRIM(C989),FIND(" ",TRIM(C989)&amp;" ")-1),",","."))-1)/MID(SUBSTITUTE(LEFT(TRIM(C989),FIND(" ",TRIM(C989)&amp;" ")-1),",","."),FIND("/",SUBSTITUTE(LEFT(TRIM(C989),FIND(" ",TRIM(C989)&amp;" ")-1),",","."))+1,9))*12/52,IF(ISNUMBER(SEARCH("month",C989)),IFERROR(_xlfn.NUMBERVALUE(SUBSTITUTE(LEFT(TRIM(C989),FIND(" ",TRIM(C989)&amp;" ")-1),",","."),"."),LEFT(SUBSTITUTE(LEFT(TRIM(C989),FIND(" ",TRIM(C989)&amp;" ")-1),",","."),FIND("/",SUBSTITUTE(LEFT(TRIM(C989),FIND(" ",TRIM(C989)&amp;" ")-1),",","."))-1)/MID(SUBSTITUTE(LEFT(TRIM(C989),FIND(" ",TRIM(C989)&amp;" ")-1),",","."),FIND("/",SUBSTITUTE(LEFT(TRIM(C989),FIND(" ",TRIM(C989)&amp;" ")-1),",","."))+1,9)),IF(ISNUMBER(SEARCH("yea",C989)),IFERROR(_xlfn.NUMBERVALUE(SUBSTITUTE(LEFT(TRIM(C989),FIND(" ",TRIM(C989)&amp;" ")-1),",","."),"."),LEFT(SUBSTITUTE(LEFT(TRIM(C989),FIND(" ",TRIM(C989)&amp;" ")-1),",","."),FIND("/",SUBSTITUTE(LEFT(TRIM(C989),FIND(" ",TRIM(C989)&amp;" ")-1),",","."))-1)/MID(SUBSTITUTE(LEFT(TRIM(C989),FIND(" ",TRIM(C989)&amp;" ")-1),",","."),FIND("/",SUBSTITUTE(LEFT(TRIM(C989),FIND(" ",TRIM(C989)&amp;" ")-1),",","."))+1,9))*12,NA()))),0),24)*'Aturan &amp; Tarif'!$B$4,2)</f>
        <v>1362.72</v>
      </c>
      <c r="K989" s="42" t="n">
        <f aca="false">'Aturan &amp; Tarif'!$B$5</f>
        <v>2050</v>
      </c>
      <c r="L989" s="35" t="n">
        <f aca="false">I989+J989+K989</f>
        <v>24402.72</v>
      </c>
      <c r="M989" s="45" t="s">
        <v>1786</v>
      </c>
    </row>
    <row r="990" customFormat="false" ht="25.5" hidden="false" customHeight="true" outlineLevel="0" collapsed="false">
      <c r="A990" s="39"/>
      <c r="B990" s="40" t="s">
        <v>2519</v>
      </c>
      <c r="C990" s="41" t="s">
        <v>107</v>
      </c>
      <c r="D990" s="41" t="s">
        <v>108</v>
      </c>
      <c r="E990" s="42" t="n">
        <v>11400</v>
      </c>
      <c r="F990" s="42"/>
      <c r="G990" s="42"/>
      <c r="H990" s="43" t="n">
        <v>2</v>
      </c>
      <c r="I990" s="34" t="n">
        <f aca="false">E990*H990+N(F990)+N(G990)</f>
        <v>22800</v>
      </c>
      <c r="J990" s="42" t="n">
        <f aca="false">ROUND(IFERROR(ROUND(IF(OR(ISNUMBER(SEARCH("week",C990)),ISNUMBER(SEARCH("minggu",C990))),IFERROR(_xlfn.NUMBERVALUE(SUBSTITUTE(LEFT(TRIM(C990),FIND(" ",TRIM(C990)&amp;" ")-1),",","."),"."),LEFT(SUBSTITUTE(LEFT(TRIM(C990),FIND(" ",TRIM(C990)&amp;" ")-1),",","."),FIND("/",SUBSTITUTE(LEFT(TRIM(C990),FIND(" ",TRIM(C990)&amp;" ")-1),",","."))-1)/MID(SUBSTITUTE(LEFT(TRIM(C990),FIND(" ",TRIM(C990)&amp;" ")-1),",","."),FIND("/",SUBSTITUTE(LEFT(TRIM(C990),FIND(" ",TRIM(C990)&amp;" ")-1),",","."))+1,9))*12/52,IF(ISNUMBER(SEARCH("month",C990)),IFERROR(_xlfn.NUMBERVALUE(SUBSTITUTE(LEFT(TRIM(C990),FIND(" ",TRIM(C990)&amp;" ")-1),",","."),"."),LEFT(SUBSTITUTE(LEFT(TRIM(C990),FIND(" ",TRIM(C990)&amp;" ")-1),",","."),FIND("/",SUBSTITUTE(LEFT(TRIM(C990),FIND(" ",TRIM(C990)&amp;" ")-1),",","."))-1)/MID(SUBSTITUTE(LEFT(TRIM(C990),FIND(" ",TRIM(C990)&amp;" ")-1),",","."),FIND("/",SUBSTITUTE(LEFT(TRIM(C990),FIND(" ",TRIM(C990)&amp;" ")-1),",","."))+1,9)),IF(ISNUMBER(SEARCH("yea",C990)),IFERROR(_xlfn.NUMBERVALUE(SUBSTITUTE(LEFT(TRIM(C990),FIND(" ",TRIM(C990)&amp;" ")-1),",","."),"."),LEFT(SUBSTITUTE(LEFT(TRIM(C990),FIND(" ",TRIM(C990)&amp;" ")-1),",","."),FIND("/",SUBSTITUTE(LEFT(TRIM(C990),FIND(" ",TRIM(C990)&amp;" ")-1),",","."))-1)/MID(SUBSTITUTE(LEFT(TRIM(C990),FIND(" ",TRIM(C990)&amp;" ")-1),",","."),FIND("/",SUBSTITUTE(LEFT(TRIM(C990),FIND(" ",TRIM(C990)&amp;" ")-1),",","."))+1,9))*12,NA()))),0),24)*'Aturan &amp; Tarif'!$B$4,2)</f>
        <v>1362.72</v>
      </c>
      <c r="K990" s="42" t="n">
        <f aca="false">'Aturan &amp; Tarif'!$B$5</f>
        <v>2050</v>
      </c>
      <c r="L990" s="35" t="n">
        <f aca="false">I990+J990+K990</f>
        <v>26212.72</v>
      </c>
      <c r="M990" s="45" t="s">
        <v>2520</v>
      </c>
    </row>
    <row r="991" customFormat="false" ht="14.25" hidden="false" customHeight="true" outlineLevel="0" collapsed="false">
      <c r="A991" s="39"/>
      <c r="B991" s="40" t="s">
        <v>1151</v>
      </c>
      <c r="C991" s="41" t="s">
        <v>344</v>
      </c>
      <c r="D991" s="41" t="s">
        <v>108</v>
      </c>
      <c r="E991" s="42" t="n">
        <v>3688</v>
      </c>
      <c r="F991" s="42"/>
      <c r="G991" s="42"/>
      <c r="H991" s="43" t="n">
        <v>2</v>
      </c>
      <c r="I991" s="34" t="n">
        <f aca="false">E991*H991+N(F991)+N(G991)</f>
        <v>7376</v>
      </c>
      <c r="J991" s="42" t="n">
        <f aca="false">ROUND(IFERROR(ROUND(IF(OR(ISNUMBER(SEARCH("week",C991)),ISNUMBER(SEARCH("minggu",C991))),IFERROR(_xlfn.NUMBERVALUE(SUBSTITUTE(LEFT(TRIM(C991),FIND(" ",TRIM(C991)&amp;" ")-1),",","."),"."),LEFT(SUBSTITUTE(LEFT(TRIM(C991),FIND(" ",TRIM(C991)&amp;" ")-1),",","."),FIND("/",SUBSTITUTE(LEFT(TRIM(C991),FIND(" ",TRIM(C991)&amp;" ")-1),",","."))-1)/MID(SUBSTITUTE(LEFT(TRIM(C991),FIND(" ",TRIM(C991)&amp;" ")-1),",","."),FIND("/",SUBSTITUTE(LEFT(TRIM(C991),FIND(" ",TRIM(C991)&amp;" ")-1),",","."))+1,9))*12/52,IF(ISNUMBER(SEARCH("month",C991)),IFERROR(_xlfn.NUMBERVALUE(SUBSTITUTE(LEFT(TRIM(C991),FIND(" ",TRIM(C991)&amp;" ")-1),",","."),"."),LEFT(SUBSTITUTE(LEFT(TRIM(C991),FIND(" ",TRIM(C991)&amp;" ")-1),",","."),FIND("/",SUBSTITUTE(LEFT(TRIM(C991),FIND(" ",TRIM(C991)&amp;" ")-1),",","."))-1)/MID(SUBSTITUTE(LEFT(TRIM(C991),FIND(" ",TRIM(C991)&amp;" ")-1),",","."),FIND("/",SUBSTITUTE(LEFT(TRIM(C991),FIND(" ",TRIM(C991)&amp;" ")-1),",","."))+1,9)),IF(ISNUMBER(SEARCH("yea",C991)),IFERROR(_xlfn.NUMBERVALUE(SUBSTITUTE(LEFT(TRIM(C991),FIND(" ",TRIM(C991)&amp;" ")-1),",","."),"."),LEFT(SUBSTITUTE(LEFT(TRIM(C991),FIND(" ",TRIM(C991)&amp;" ")-1),",","."),FIND("/",SUBSTITUTE(LEFT(TRIM(C991),FIND(" ",TRIM(C991)&amp;" ")-1),",","."))-1)/MID(SUBSTITUTE(LEFT(TRIM(C991),FIND(" ",TRIM(C991)&amp;" ")-1),",","."),FIND("/",SUBSTITUTE(LEFT(TRIM(C991),FIND(" ",TRIM(C991)&amp;" ")-1),",","."))+1,9))*12,NA()))),0),6)*'Aturan &amp; Tarif'!$B$4,2)</f>
        <v>340.68</v>
      </c>
      <c r="K991" s="42" t="n">
        <f aca="false">'Aturan &amp; Tarif'!$B$5</f>
        <v>2050</v>
      </c>
      <c r="L991" s="35" t="n">
        <f aca="false">I991+J991+K991</f>
        <v>9766.68</v>
      </c>
      <c r="M991" s="44" t="s">
        <v>1152</v>
      </c>
    </row>
    <row r="992" customFormat="false" ht="14.25" hidden="false" customHeight="true" outlineLevel="0" collapsed="false">
      <c r="A992" s="39"/>
      <c r="B992" s="40" t="s">
        <v>1153</v>
      </c>
      <c r="C992" s="41" t="s">
        <v>130</v>
      </c>
      <c r="D992" s="41" t="s">
        <v>108</v>
      </c>
      <c r="E992" s="42" t="n">
        <v>7375</v>
      </c>
      <c r="F992" s="42"/>
      <c r="G992" s="42"/>
      <c r="H992" s="43" t="n">
        <v>2</v>
      </c>
      <c r="I992" s="34" t="n">
        <f aca="false">E992*H992+N(F992)+N(G992)</f>
        <v>14750</v>
      </c>
      <c r="J992" s="42" t="n">
        <f aca="false">ROUND(IFERROR(ROUND(IF(OR(ISNUMBER(SEARCH("week",C992)),ISNUMBER(SEARCH("minggu",C992))),IFERROR(_xlfn.NUMBERVALUE(SUBSTITUTE(LEFT(TRIM(C992),FIND(" ",TRIM(C992)&amp;" ")-1),",","."),"."),LEFT(SUBSTITUTE(LEFT(TRIM(C992),FIND(" ",TRIM(C992)&amp;" ")-1),",","."),FIND("/",SUBSTITUTE(LEFT(TRIM(C992),FIND(" ",TRIM(C992)&amp;" ")-1),",","."))-1)/MID(SUBSTITUTE(LEFT(TRIM(C992),FIND(" ",TRIM(C992)&amp;" ")-1),",","."),FIND("/",SUBSTITUTE(LEFT(TRIM(C992),FIND(" ",TRIM(C992)&amp;" ")-1),",","."))+1,9))*12/52,IF(ISNUMBER(SEARCH("month",C992)),IFERROR(_xlfn.NUMBERVALUE(SUBSTITUTE(LEFT(TRIM(C992),FIND(" ",TRIM(C992)&amp;" ")-1),",","."),"."),LEFT(SUBSTITUTE(LEFT(TRIM(C992),FIND(" ",TRIM(C992)&amp;" ")-1),",","."),FIND("/",SUBSTITUTE(LEFT(TRIM(C992),FIND(" ",TRIM(C992)&amp;" ")-1),",","."))-1)/MID(SUBSTITUTE(LEFT(TRIM(C992),FIND(" ",TRIM(C992)&amp;" ")-1),",","."),FIND("/",SUBSTITUTE(LEFT(TRIM(C992),FIND(" ",TRIM(C992)&amp;" ")-1),",","."))+1,9)),IF(ISNUMBER(SEARCH("yea",C992)),IFERROR(_xlfn.NUMBERVALUE(SUBSTITUTE(LEFT(TRIM(C992),FIND(" ",TRIM(C992)&amp;" ")-1),",","."),"."),LEFT(SUBSTITUTE(LEFT(TRIM(C992),FIND(" ",TRIM(C992)&amp;" ")-1),",","."),FIND("/",SUBSTITUTE(LEFT(TRIM(C992),FIND(" ",TRIM(C992)&amp;" ")-1),",","."))-1)/MID(SUBSTITUTE(LEFT(TRIM(C992),FIND(" ",TRIM(C992)&amp;" ")-1),",","."),FIND("/",SUBSTITUTE(LEFT(TRIM(C992),FIND(" ",TRIM(C992)&amp;" ")-1),",","."))+1,9))*12,NA()))),0),12)*'Aturan &amp; Tarif'!$B$4,2)</f>
        <v>681.36</v>
      </c>
      <c r="K992" s="42" t="n">
        <f aca="false">'Aturan &amp; Tarif'!$B$5</f>
        <v>2050</v>
      </c>
      <c r="L992" s="35" t="n">
        <f aca="false">I992+J992+K992</f>
        <v>17481.36</v>
      </c>
      <c r="M992" s="44" t="s">
        <v>1154</v>
      </c>
    </row>
    <row r="993" customFormat="false" ht="25.5" hidden="false" customHeight="true" outlineLevel="0" collapsed="false">
      <c r="A993" s="39"/>
      <c r="B993" s="40" t="s">
        <v>1155</v>
      </c>
      <c r="C993" s="41" t="s">
        <v>107</v>
      </c>
      <c r="D993" s="41" t="s">
        <v>108</v>
      </c>
      <c r="E993" s="42" t="n">
        <v>7375</v>
      </c>
      <c r="F993" s="42"/>
      <c r="G993" s="42"/>
      <c r="H993" s="43" t="n">
        <v>2</v>
      </c>
      <c r="I993" s="34" t="n">
        <f aca="false">E993*H993+N(F993)+N(G993)</f>
        <v>14750</v>
      </c>
      <c r="J993" s="42" t="n">
        <f aca="false">ROUND(IFERROR(ROUND(IF(OR(ISNUMBER(SEARCH("week",C993)),ISNUMBER(SEARCH("minggu",C993))),IFERROR(_xlfn.NUMBERVALUE(SUBSTITUTE(LEFT(TRIM(C993),FIND(" ",TRIM(C993)&amp;" ")-1),",","."),"."),LEFT(SUBSTITUTE(LEFT(TRIM(C993),FIND(" ",TRIM(C993)&amp;" ")-1),",","."),FIND("/",SUBSTITUTE(LEFT(TRIM(C993),FIND(" ",TRIM(C993)&amp;" ")-1),",","."))-1)/MID(SUBSTITUTE(LEFT(TRIM(C993),FIND(" ",TRIM(C993)&amp;" ")-1),",","."),FIND("/",SUBSTITUTE(LEFT(TRIM(C993),FIND(" ",TRIM(C993)&amp;" ")-1),",","."))+1,9))*12/52,IF(ISNUMBER(SEARCH("month",C993)),IFERROR(_xlfn.NUMBERVALUE(SUBSTITUTE(LEFT(TRIM(C993),FIND(" ",TRIM(C993)&amp;" ")-1),",","."),"."),LEFT(SUBSTITUTE(LEFT(TRIM(C993),FIND(" ",TRIM(C993)&amp;" ")-1),",","."),FIND("/",SUBSTITUTE(LEFT(TRIM(C993),FIND(" ",TRIM(C993)&amp;" ")-1),",","."))-1)/MID(SUBSTITUTE(LEFT(TRIM(C993),FIND(" ",TRIM(C993)&amp;" ")-1),",","."),FIND("/",SUBSTITUTE(LEFT(TRIM(C993),FIND(" ",TRIM(C993)&amp;" ")-1),",","."))+1,9)),IF(ISNUMBER(SEARCH("yea",C993)),IFERROR(_xlfn.NUMBERVALUE(SUBSTITUTE(LEFT(TRIM(C993),FIND(" ",TRIM(C993)&amp;" ")-1),",","."),"."),LEFT(SUBSTITUTE(LEFT(TRIM(C993),FIND(" ",TRIM(C993)&amp;" ")-1),",","."),FIND("/",SUBSTITUTE(LEFT(TRIM(C993),FIND(" ",TRIM(C993)&amp;" ")-1),",","."))-1)/MID(SUBSTITUTE(LEFT(TRIM(C993),FIND(" ",TRIM(C993)&amp;" ")-1),",","."),FIND("/",SUBSTITUTE(LEFT(TRIM(C993),FIND(" ",TRIM(C993)&amp;" ")-1),",","."))+1,9))*12,NA()))),0),24)*'Aturan &amp; Tarif'!$B$4,2)</f>
        <v>1362.72</v>
      </c>
      <c r="K993" s="42" t="n">
        <f aca="false">'Aturan &amp; Tarif'!$B$5</f>
        <v>2050</v>
      </c>
      <c r="L993" s="35" t="n">
        <f aca="false">I993+J993+K993</f>
        <v>18162.72</v>
      </c>
      <c r="M993" s="44" t="s">
        <v>1156</v>
      </c>
    </row>
    <row r="994" customFormat="false" ht="14.25" hidden="false" customHeight="true" outlineLevel="0" collapsed="false">
      <c r="A994" s="39"/>
      <c r="B994" s="40" t="s">
        <v>407</v>
      </c>
      <c r="C994" s="41" t="s">
        <v>107</v>
      </c>
      <c r="D994" s="41" t="s">
        <v>108</v>
      </c>
      <c r="E994" s="42" t="n">
        <v>7375</v>
      </c>
      <c r="F994" s="42"/>
      <c r="G994" s="42"/>
      <c r="H994" s="43" t="n">
        <v>2</v>
      </c>
      <c r="I994" s="34" t="n">
        <f aca="false">E994*H994+N(F994)+N(G994)</f>
        <v>14750</v>
      </c>
      <c r="J994" s="42" t="n">
        <f aca="false">ROUND(IFERROR(ROUND(IF(OR(ISNUMBER(SEARCH("week",C994)),ISNUMBER(SEARCH("minggu",C994))),IFERROR(_xlfn.NUMBERVALUE(SUBSTITUTE(LEFT(TRIM(C994),FIND(" ",TRIM(C994)&amp;" ")-1),",","."),"."),LEFT(SUBSTITUTE(LEFT(TRIM(C994),FIND(" ",TRIM(C994)&amp;" ")-1),",","."),FIND("/",SUBSTITUTE(LEFT(TRIM(C994),FIND(" ",TRIM(C994)&amp;" ")-1),",","."))-1)/MID(SUBSTITUTE(LEFT(TRIM(C994),FIND(" ",TRIM(C994)&amp;" ")-1),",","."),FIND("/",SUBSTITUTE(LEFT(TRIM(C994),FIND(" ",TRIM(C994)&amp;" ")-1),",","."))+1,9))*12/52,IF(ISNUMBER(SEARCH("month",C994)),IFERROR(_xlfn.NUMBERVALUE(SUBSTITUTE(LEFT(TRIM(C994),FIND(" ",TRIM(C994)&amp;" ")-1),",","."),"."),LEFT(SUBSTITUTE(LEFT(TRIM(C994),FIND(" ",TRIM(C994)&amp;" ")-1),",","."),FIND("/",SUBSTITUTE(LEFT(TRIM(C994),FIND(" ",TRIM(C994)&amp;" ")-1),",","."))-1)/MID(SUBSTITUTE(LEFT(TRIM(C994),FIND(" ",TRIM(C994)&amp;" ")-1),",","."),FIND("/",SUBSTITUTE(LEFT(TRIM(C994),FIND(" ",TRIM(C994)&amp;" ")-1),",","."))+1,9)),IF(ISNUMBER(SEARCH("yea",C994)),IFERROR(_xlfn.NUMBERVALUE(SUBSTITUTE(LEFT(TRIM(C994),FIND(" ",TRIM(C994)&amp;" ")-1),",","."),"."),LEFT(SUBSTITUTE(LEFT(TRIM(C994),FIND(" ",TRIM(C994)&amp;" ")-1),",","."),FIND("/",SUBSTITUTE(LEFT(TRIM(C994),FIND(" ",TRIM(C994)&amp;" ")-1),",","."))-1)/MID(SUBSTITUTE(LEFT(TRIM(C994),FIND(" ",TRIM(C994)&amp;" ")-1),",","."),FIND("/",SUBSTITUTE(LEFT(TRIM(C994),FIND(" ",TRIM(C994)&amp;" ")-1),",","."))+1,9))*12,NA()))),0),24)*'Aturan &amp; Tarif'!$B$4,2)</f>
        <v>1362.72</v>
      </c>
      <c r="K994" s="42" t="n">
        <f aca="false">'Aturan &amp; Tarif'!$B$5</f>
        <v>2050</v>
      </c>
      <c r="L994" s="35" t="n">
        <f aca="false">I994+J994+K994</f>
        <v>18162.72</v>
      </c>
      <c r="M994" s="44" t="s">
        <v>1157</v>
      </c>
    </row>
    <row r="995" customFormat="false" ht="14.25" hidden="false" customHeight="true" outlineLevel="0" collapsed="false">
      <c r="A995" s="39"/>
      <c r="B995" s="40" t="s">
        <v>406</v>
      </c>
      <c r="C995" s="41" t="s">
        <v>127</v>
      </c>
      <c r="D995" s="41" t="s">
        <v>108</v>
      </c>
      <c r="E995" s="42" t="n">
        <v>7375</v>
      </c>
      <c r="F995" s="42"/>
      <c r="G995" s="42"/>
      <c r="H995" s="43" t="n">
        <v>2</v>
      </c>
      <c r="I995" s="34" t="n">
        <f aca="false">E995*H995+N(F995)+N(G995)</f>
        <v>14750</v>
      </c>
      <c r="J995" s="42" t="n">
        <f aca="false">ROUND(IFERROR(ROUND(IF(OR(ISNUMBER(SEARCH("week",C995)),ISNUMBER(SEARCH("minggu",C995))),IFERROR(_xlfn.NUMBERVALUE(SUBSTITUTE(LEFT(TRIM(C995),FIND(" ",TRIM(C995)&amp;" ")-1),",","."),"."),LEFT(SUBSTITUTE(LEFT(TRIM(C995),FIND(" ",TRIM(C995)&amp;" ")-1),",","."),FIND("/",SUBSTITUTE(LEFT(TRIM(C995),FIND(" ",TRIM(C995)&amp;" ")-1),",","."))-1)/MID(SUBSTITUTE(LEFT(TRIM(C995),FIND(" ",TRIM(C995)&amp;" ")-1),",","."),FIND("/",SUBSTITUTE(LEFT(TRIM(C995),FIND(" ",TRIM(C995)&amp;" ")-1),",","."))+1,9))*12/52,IF(ISNUMBER(SEARCH("month",C995)),IFERROR(_xlfn.NUMBERVALUE(SUBSTITUTE(LEFT(TRIM(C995),FIND(" ",TRIM(C995)&amp;" ")-1),",","."),"."),LEFT(SUBSTITUTE(LEFT(TRIM(C995),FIND(" ",TRIM(C995)&amp;" ")-1),",","."),FIND("/",SUBSTITUTE(LEFT(TRIM(C995),FIND(" ",TRIM(C995)&amp;" ")-1),",","."))-1)/MID(SUBSTITUTE(LEFT(TRIM(C995),FIND(" ",TRIM(C995)&amp;" ")-1),",","."),FIND("/",SUBSTITUTE(LEFT(TRIM(C995),FIND(" ",TRIM(C995)&amp;" ")-1),",","."))+1,9)),IF(ISNUMBER(SEARCH("yea",C995)),IFERROR(_xlfn.NUMBERVALUE(SUBSTITUTE(LEFT(TRIM(C995),FIND(" ",TRIM(C995)&amp;" ")-1),",","."),"."),LEFT(SUBSTITUTE(LEFT(TRIM(C995),FIND(" ",TRIM(C995)&amp;" ")-1),",","."),FIND("/",SUBSTITUTE(LEFT(TRIM(C995),FIND(" ",TRIM(C995)&amp;" ")-1),",","."))-1)/MID(SUBSTITUTE(LEFT(TRIM(C995),FIND(" ",TRIM(C995)&amp;" ")-1),",","."),FIND("/",SUBSTITUTE(LEFT(TRIM(C995),FIND(" ",TRIM(C995)&amp;" ")-1),",","."))+1,9))*12,NA()))),0),36)*'Aturan &amp; Tarif'!$B$4,2)</f>
        <v>2044.08</v>
      </c>
      <c r="K995" s="42" t="n">
        <f aca="false">'Aturan &amp; Tarif'!$B$5</f>
        <v>2050</v>
      </c>
      <c r="L995" s="35" t="n">
        <f aca="false">I995+J995+K995</f>
        <v>18844.08</v>
      </c>
      <c r="M995" s="44" t="s">
        <v>1158</v>
      </c>
    </row>
    <row r="996" customFormat="false" ht="14.25" hidden="false" customHeight="true" outlineLevel="0" collapsed="false">
      <c r="A996" s="39"/>
      <c r="B996" s="40" t="s">
        <v>1159</v>
      </c>
      <c r="C996" s="41" t="s">
        <v>127</v>
      </c>
      <c r="D996" s="41" t="s">
        <v>108</v>
      </c>
      <c r="E996" s="42" t="n">
        <v>7375</v>
      </c>
      <c r="F996" s="42"/>
      <c r="G996" s="42"/>
      <c r="H996" s="43" t="n">
        <v>2</v>
      </c>
      <c r="I996" s="34" t="n">
        <f aca="false">E996*H996+N(F996)+N(G996)</f>
        <v>14750</v>
      </c>
      <c r="J996" s="42" t="n">
        <f aca="false">ROUND(IFERROR(ROUND(IF(OR(ISNUMBER(SEARCH("week",C996)),ISNUMBER(SEARCH("minggu",C996))),IFERROR(_xlfn.NUMBERVALUE(SUBSTITUTE(LEFT(TRIM(C996),FIND(" ",TRIM(C996)&amp;" ")-1),",","."),"."),LEFT(SUBSTITUTE(LEFT(TRIM(C996),FIND(" ",TRIM(C996)&amp;" ")-1),",","."),FIND("/",SUBSTITUTE(LEFT(TRIM(C996),FIND(" ",TRIM(C996)&amp;" ")-1),",","."))-1)/MID(SUBSTITUTE(LEFT(TRIM(C996),FIND(" ",TRIM(C996)&amp;" ")-1),",","."),FIND("/",SUBSTITUTE(LEFT(TRIM(C996),FIND(" ",TRIM(C996)&amp;" ")-1),",","."))+1,9))*12/52,IF(ISNUMBER(SEARCH("month",C996)),IFERROR(_xlfn.NUMBERVALUE(SUBSTITUTE(LEFT(TRIM(C996),FIND(" ",TRIM(C996)&amp;" ")-1),",","."),"."),LEFT(SUBSTITUTE(LEFT(TRIM(C996),FIND(" ",TRIM(C996)&amp;" ")-1),",","."),FIND("/",SUBSTITUTE(LEFT(TRIM(C996),FIND(" ",TRIM(C996)&amp;" ")-1),",","."))-1)/MID(SUBSTITUTE(LEFT(TRIM(C996),FIND(" ",TRIM(C996)&amp;" ")-1),",","."),FIND("/",SUBSTITUTE(LEFT(TRIM(C996),FIND(" ",TRIM(C996)&amp;" ")-1),",","."))+1,9)),IF(ISNUMBER(SEARCH("yea",C996)),IFERROR(_xlfn.NUMBERVALUE(SUBSTITUTE(LEFT(TRIM(C996),FIND(" ",TRIM(C996)&amp;" ")-1),",","."),"."),LEFT(SUBSTITUTE(LEFT(TRIM(C996),FIND(" ",TRIM(C996)&amp;" ")-1),",","."),FIND("/",SUBSTITUTE(LEFT(TRIM(C996),FIND(" ",TRIM(C996)&amp;" ")-1),",","."))-1)/MID(SUBSTITUTE(LEFT(TRIM(C996),FIND(" ",TRIM(C996)&amp;" ")-1),",","."),FIND("/",SUBSTITUTE(LEFT(TRIM(C996),FIND(" ",TRIM(C996)&amp;" ")-1),",","."))+1,9))*12,NA()))),0),36)*'Aturan &amp; Tarif'!$B$4,2)</f>
        <v>2044.08</v>
      </c>
      <c r="K996" s="42" t="n">
        <f aca="false">'Aturan &amp; Tarif'!$B$5</f>
        <v>2050</v>
      </c>
      <c r="L996" s="35" t="n">
        <f aca="false">I996+J996+K996</f>
        <v>18844.08</v>
      </c>
      <c r="M996" s="44" t="s">
        <v>1160</v>
      </c>
    </row>
    <row r="997" customFormat="false" ht="25.5" hidden="false" customHeight="true" outlineLevel="0" collapsed="false">
      <c r="A997" s="39"/>
      <c r="B997" s="40" t="s">
        <v>1161</v>
      </c>
      <c r="C997" s="41" t="s">
        <v>127</v>
      </c>
      <c r="D997" s="41" t="s">
        <v>108</v>
      </c>
      <c r="E997" s="42" t="n">
        <v>7375</v>
      </c>
      <c r="F997" s="42"/>
      <c r="G997" s="42"/>
      <c r="H997" s="43" t="n">
        <v>2</v>
      </c>
      <c r="I997" s="34" t="n">
        <f aca="false">E997*H997+N(F997)+N(G997)</f>
        <v>14750</v>
      </c>
      <c r="J997" s="42" t="n">
        <f aca="false">ROUND(IFERROR(ROUND(IF(OR(ISNUMBER(SEARCH("week",C997)),ISNUMBER(SEARCH("minggu",C997))),IFERROR(_xlfn.NUMBERVALUE(SUBSTITUTE(LEFT(TRIM(C997),FIND(" ",TRIM(C997)&amp;" ")-1),",","."),"."),LEFT(SUBSTITUTE(LEFT(TRIM(C997),FIND(" ",TRIM(C997)&amp;" ")-1),",","."),FIND("/",SUBSTITUTE(LEFT(TRIM(C997),FIND(" ",TRIM(C997)&amp;" ")-1),",","."))-1)/MID(SUBSTITUTE(LEFT(TRIM(C997),FIND(" ",TRIM(C997)&amp;" ")-1),",","."),FIND("/",SUBSTITUTE(LEFT(TRIM(C997),FIND(" ",TRIM(C997)&amp;" ")-1),",","."))+1,9))*12/52,IF(ISNUMBER(SEARCH("month",C997)),IFERROR(_xlfn.NUMBERVALUE(SUBSTITUTE(LEFT(TRIM(C997),FIND(" ",TRIM(C997)&amp;" ")-1),",","."),"."),LEFT(SUBSTITUTE(LEFT(TRIM(C997),FIND(" ",TRIM(C997)&amp;" ")-1),",","."),FIND("/",SUBSTITUTE(LEFT(TRIM(C997),FIND(" ",TRIM(C997)&amp;" ")-1),",","."))-1)/MID(SUBSTITUTE(LEFT(TRIM(C997),FIND(" ",TRIM(C997)&amp;" ")-1),",","."),FIND("/",SUBSTITUTE(LEFT(TRIM(C997),FIND(" ",TRIM(C997)&amp;" ")-1),",","."))+1,9)),IF(ISNUMBER(SEARCH("yea",C997)),IFERROR(_xlfn.NUMBERVALUE(SUBSTITUTE(LEFT(TRIM(C997),FIND(" ",TRIM(C997)&amp;" ")-1),",","."),"."),LEFT(SUBSTITUTE(LEFT(TRIM(C997),FIND(" ",TRIM(C997)&amp;" ")-1),",","."),FIND("/",SUBSTITUTE(LEFT(TRIM(C997),FIND(" ",TRIM(C997)&amp;" ")-1),",","."))-1)/MID(SUBSTITUTE(LEFT(TRIM(C997),FIND(" ",TRIM(C997)&amp;" ")-1),",","."),FIND("/",SUBSTITUTE(LEFT(TRIM(C997),FIND(" ",TRIM(C997)&amp;" ")-1),",","."))+1,9))*12,NA()))),0),36)*'Aturan &amp; Tarif'!$B$4,2)</f>
        <v>2044.08</v>
      </c>
      <c r="K997" s="42" t="n">
        <f aca="false">'Aturan &amp; Tarif'!$B$5</f>
        <v>2050</v>
      </c>
      <c r="L997" s="35" t="n">
        <f aca="false">I997+J997+K997</f>
        <v>18844.08</v>
      </c>
      <c r="M997" s="45" t="s">
        <v>1162</v>
      </c>
    </row>
    <row r="998" customFormat="false" ht="25.5" hidden="false" customHeight="true" outlineLevel="0" collapsed="false">
      <c r="A998" s="29" t="s">
        <v>2521</v>
      </c>
      <c r="B998" s="30" t="s">
        <v>265</v>
      </c>
      <c r="C998" s="31" t="s">
        <v>127</v>
      </c>
      <c r="D998" s="31" t="s">
        <v>108</v>
      </c>
      <c r="E998" s="32" t="n">
        <v>10737.5</v>
      </c>
      <c r="F998" s="32"/>
      <c r="G998" s="32"/>
      <c r="H998" s="33" t="n">
        <v>2</v>
      </c>
      <c r="I998" s="34" t="n">
        <f aca="false">E998*H998+N(F998)+N(G998)</f>
        <v>21475</v>
      </c>
      <c r="J998" s="32" t="n">
        <f aca="false">ROUND(IFERROR(ROUND(IF(OR(ISNUMBER(SEARCH("week",C998)),ISNUMBER(SEARCH("minggu",C998))),IFERROR(_xlfn.NUMBERVALUE(SUBSTITUTE(LEFT(TRIM(C998),FIND(" ",TRIM(C998)&amp;" ")-1),",","."),"."),LEFT(SUBSTITUTE(LEFT(TRIM(C998),FIND(" ",TRIM(C998)&amp;" ")-1),",","."),FIND("/",SUBSTITUTE(LEFT(TRIM(C998),FIND(" ",TRIM(C998)&amp;" ")-1),",","."))-1)/MID(SUBSTITUTE(LEFT(TRIM(C998),FIND(" ",TRIM(C998)&amp;" ")-1),",","."),FIND("/",SUBSTITUTE(LEFT(TRIM(C998),FIND(" ",TRIM(C998)&amp;" ")-1),",","."))+1,9))*12/52,IF(ISNUMBER(SEARCH("month",C998)),IFERROR(_xlfn.NUMBERVALUE(SUBSTITUTE(LEFT(TRIM(C998),FIND(" ",TRIM(C998)&amp;" ")-1),",","."),"."),LEFT(SUBSTITUTE(LEFT(TRIM(C998),FIND(" ",TRIM(C998)&amp;" ")-1),",","."),FIND("/",SUBSTITUTE(LEFT(TRIM(C998),FIND(" ",TRIM(C998)&amp;" ")-1),",","."))-1)/MID(SUBSTITUTE(LEFT(TRIM(C998),FIND(" ",TRIM(C998)&amp;" ")-1),",","."),FIND("/",SUBSTITUTE(LEFT(TRIM(C998),FIND(" ",TRIM(C998)&amp;" ")-1),",","."))+1,9)),IF(ISNUMBER(SEARCH("yea",C998)),IFERROR(_xlfn.NUMBERVALUE(SUBSTITUTE(LEFT(TRIM(C998),FIND(" ",TRIM(C998)&amp;" ")-1),",","."),"."),LEFT(SUBSTITUTE(LEFT(TRIM(C998),FIND(" ",TRIM(C998)&amp;" ")-1),",","."),FIND("/",SUBSTITUTE(LEFT(TRIM(C998),FIND(" ",TRIM(C998)&amp;" ")-1),",","."))-1)/MID(SUBSTITUTE(LEFT(TRIM(C998),FIND(" ",TRIM(C998)&amp;" ")-1),",","."),FIND("/",SUBSTITUTE(LEFT(TRIM(C998),FIND(" ",TRIM(C998)&amp;" ")-1),",","."))+1,9))*12,NA()))),0),36)*'Aturan &amp; Tarif'!$B$4,2)</f>
        <v>2044.08</v>
      </c>
      <c r="K998" s="32" t="n">
        <f aca="false">'Aturan &amp; Tarif'!$B$5</f>
        <v>2050</v>
      </c>
      <c r="L998" s="35" t="n">
        <f aca="false">I998+J998+K998</f>
        <v>25569.08</v>
      </c>
      <c r="M998" s="36" t="s">
        <v>2522</v>
      </c>
    </row>
    <row r="999" customFormat="false" ht="60" hidden="false" customHeight="true" outlineLevel="0" collapsed="false">
      <c r="A999" s="29"/>
      <c r="B999" s="30" t="s">
        <v>321</v>
      </c>
      <c r="C999" s="31" t="s">
        <v>127</v>
      </c>
      <c r="D999" s="31" t="s">
        <v>108</v>
      </c>
      <c r="E999" s="32" t="n">
        <v>9487.5</v>
      </c>
      <c r="F999" s="32"/>
      <c r="G999" s="32"/>
      <c r="H999" s="33" t="n">
        <v>2</v>
      </c>
      <c r="I999" s="34" t="n">
        <f aca="false">E999*H999+N(F999)+N(G999)</f>
        <v>18975</v>
      </c>
      <c r="J999" s="32" t="n">
        <f aca="false">ROUND(IFERROR(ROUND(IF(OR(ISNUMBER(SEARCH("week",C999)),ISNUMBER(SEARCH("minggu",C999))),IFERROR(_xlfn.NUMBERVALUE(SUBSTITUTE(LEFT(TRIM(C999),FIND(" ",TRIM(C999)&amp;" ")-1),",","."),"."),LEFT(SUBSTITUTE(LEFT(TRIM(C999),FIND(" ",TRIM(C999)&amp;" ")-1),",","."),FIND("/",SUBSTITUTE(LEFT(TRIM(C999),FIND(" ",TRIM(C999)&amp;" ")-1),",","."))-1)/MID(SUBSTITUTE(LEFT(TRIM(C999),FIND(" ",TRIM(C999)&amp;" ")-1),",","."),FIND("/",SUBSTITUTE(LEFT(TRIM(C999),FIND(" ",TRIM(C999)&amp;" ")-1),",","."))+1,9))*12/52,IF(ISNUMBER(SEARCH("month",C999)),IFERROR(_xlfn.NUMBERVALUE(SUBSTITUTE(LEFT(TRIM(C999),FIND(" ",TRIM(C999)&amp;" ")-1),",","."),"."),LEFT(SUBSTITUTE(LEFT(TRIM(C999),FIND(" ",TRIM(C999)&amp;" ")-1),",","."),FIND("/",SUBSTITUTE(LEFT(TRIM(C999),FIND(" ",TRIM(C999)&amp;" ")-1),",","."))-1)/MID(SUBSTITUTE(LEFT(TRIM(C999),FIND(" ",TRIM(C999)&amp;" ")-1),",","."),FIND("/",SUBSTITUTE(LEFT(TRIM(C999),FIND(" ",TRIM(C999)&amp;" ")-1),",","."))+1,9)),IF(ISNUMBER(SEARCH("yea",C999)),IFERROR(_xlfn.NUMBERVALUE(SUBSTITUTE(LEFT(TRIM(C999),FIND(" ",TRIM(C999)&amp;" ")-1),",","."),"."),LEFT(SUBSTITUTE(LEFT(TRIM(C999),FIND(" ",TRIM(C999)&amp;" ")-1),",","."),FIND("/",SUBSTITUTE(LEFT(TRIM(C999),FIND(" ",TRIM(C999)&amp;" ")-1),",","."))-1)/MID(SUBSTITUTE(LEFT(TRIM(C999),FIND(" ",TRIM(C999)&amp;" ")-1),",","."),FIND("/",SUBSTITUTE(LEFT(TRIM(C999),FIND(" ",TRIM(C999)&amp;" ")-1),",","."))+1,9))*12,NA()))),0),36)*'Aturan &amp; Tarif'!$B$4,2)</f>
        <v>2044.08</v>
      </c>
      <c r="K999" s="32" t="n">
        <f aca="false">'Aturan &amp; Tarif'!$B$5</f>
        <v>2050</v>
      </c>
      <c r="L999" s="35" t="n">
        <f aca="false">I999+J999+K999</f>
        <v>23069.08</v>
      </c>
      <c r="M999" s="36" t="s">
        <v>2523</v>
      </c>
    </row>
    <row r="1000" customFormat="false" ht="25.5" hidden="false" customHeight="true" outlineLevel="0" collapsed="false">
      <c r="A1000" s="29"/>
      <c r="B1000" s="30" t="s">
        <v>247</v>
      </c>
      <c r="C1000" s="31" t="s">
        <v>127</v>
      </c>
      <c r="D1000" s="31" t="s">
        <v>108</v>
      </c>
      <c r="E1000" s="32" t="n">
        <v>9987.5</v>
      </c>
      <c r="F1000" s="32"/>
      <c r="G1000" s="32"/>
      <c r="H1000" s="33" t="n">
        <v>2</v>
      </c>
      <c r="I1000" s="34" t="n">
        <f aca="false">E1000*H1000+N(F1000)+N(G1000)</f>
        <v>19975</v>
      </c>
      <c r="J1000" s="32" t="n">
        <f aca="false">ROUND(IFERROR(ROUND(IF(OR(ISNUMBER(SEARCH("week",C1000)),ISNUMBER(SEARCH("minggu",C1000))),IFERROR(_xlfn.NUMBERVALUE(SUBSTITUTE(LEFT(TRIM(C1000),FIND(" ",TRIM(C1000)&amp;" ")-1),",","."),"."),LEFT(SUBSTITUTE(LEFT(TRIM(C1000),FIND(" ",TRIM(C1000)&amp;" ")-1),",","."),FIND("/",SUBSTITUTE(LEFT(TRIM(C1000),FIND(" ",TRIM(C1000)&amp;" ")-1),",","."))-1)/MID(SUBSTITUTE(LEFT(TRIM(C1000),FIND(" ",TRIM(C1000)&amp;" ")-1),",","."),FIND("/",SUBSTITUTE(LEFT(TRIM(C1000),FIND(" ",TRIM(C1000)&amp;" ")-1),",","."))+1,9))*12/52,IF(ISNUMBER(SEARCH("month",C1000)),IFERROR(_xlfn.NUMBERVALUE(SUBSTITUTE(LEFT(TRIM(C1000),FIND(" ",TRIM(C1000)&amp;" ")-1),",","."),"."),LEFT(SUBSTITUTE(LEFT(TRIM(C1000),FIND(" ",TRIM(C1000)&amp;" ")-1),",","."),FIND("/",SUBSTITUTE(LEFT(TRIM(C1000),FIND(" ",TRIM(C1000)&amp;" ")-1),",","."))-1)/MID(SUBSTITUTE(LEFT(TRIM(C1000),FIND(" ",TRIM(C1000)&amp;" ")-1),",","."),FIND("/",SUBSTITUTE(LEFT(TRIM(C1000),FIND(" ",TRIM(C1000)&amp;" ")-1),",","."))+1,9)),IF(ISNUMBER(SEARCH("yea",C1000)),IFERROR(_xlfn.NUMBERVALUE(SUBSTITUTE(LEFT(TRIM(C1000),FIND(" ",TRIM(C1000)&amp;" ")-1),",","."),"."),LEFT(SUBSTITUTE(LEFT(TRIM(C1000),FIND(" ",TRIM(C1000)&amp;" ")-1),",","."),FIND("/",SUBSTITUTE(LEFT(TRIM(C1000),FIND(" ",TRIM(C1000)&amp;" ")-1),",","."))-1)/MID(SUBSTITUTE(LEFT(TRIM(C1000),FIND(" ",TRIM(C1000)&amp;" ")-1),",","."),FIND("/",SUBSTITUTE(LEFT(TRIM(C1000),FIND(" ",TRIM(C1000)&amp;" ")-1),",","."))+1,9))*12,NA()))),0),36)*'Aturan &amp; Tarif'!$B$4,2)</f>
        <v>2044.08</v>
      </c>
      <c r="K1000" s="32" t="n">
        <f aca="false">'Aturan &amp; Tarif'!$B$5</f>
        <v>2050</v>
      </c>
      <c r="L1000" s="35" t="n">
        <f aca="false">I1000+J1000+K1000</f>
        <v>24069.08</v>
      </c>
      <c r="M1000" s="36" t="s">
        <v>2524</v>
      </c>
    </row>
    <row r="1001" customFormat="false" ht="25.5" hidden="false" customHeight="true" outlineLevel="0" collapsed="false">
      <c r="A1001" s="29"/>
      <c r="B1001" s="30" t="s">
        <v>165</v>
      </c>
      <c r="C1001" s="31" t="s">
        <v>107</v>
      </c>
      <c r="D1001" s="31" t="s">
        <v>108</v>
      </c>
      <c r="E1001" s="32" t="n">
        <v>8522</v>
      </c>
      <c r="F1001" s="32"/>
      <c r="G1001" s="32"/>
      <c r="H1001" s="33" t="n">
        <v>2</v>
      </c>
      <c r="I1001" s="34" t="n">
        <f aca="false">E1001*H1001+N(F1001)+N(G1001)</f>
        <v>17044</v>
      </c>
      <c r="J1001" s="32" t="n">
        <f aca="false">ROUND(IFERROR(ROUND(IF(OR(ISNUMBER(SEARCH("week",C1001)),ISNUMBER(SEARCH("minggu",C1001))),IFERROR(_xlfn.NUMBERVALUE(SUBSTITUTE(LEFT(TRIM(C1001),FIND(" ",TRIM(C1001)&amp;" ")-1),",","."),"."),LEFT(SUBSTITUTE(LEFT(TRIM(C1001),FIND(" ",TRIM(C1001)&amp;" ")-1),",","."),FIND("/",SUBSTITUTE(LEFT(TRIM(C1001),FIND(" ",TRIM(C1001)&amp;" ")-1),",","."))-1)/MID(SUBSTITUTE(LEFT(TRIM(C1001),FIND(" ",TRIM(C1001)&amp;" ")-1),",","."),FIND("/",SUBSTITUTE(LEFT(TRIM(C1001),FIND(" ",TRIM(C1001)&amp;" ")-1),",","."))+1,9))*12/52,IF(ISNUMBER(SEARCH("month",C1001)),IFERROR(_xlfn.NUMBERVALUE(SUBSTITUTE(LEFT(TRIM(C1001),FIND(" ",TRIM(C1001)&amp;" ")-1),",","."),"."),LEFT(SUBSTITUTE(LEFT(TRIM(C1001),FIND(" ",TRIM(C1001)&amp;" ")-1),",","."),FIND("/",SUBSTITUTE(LEFT(TRIM(C1001),FIND(" ",TRIM(C1001)&amp;" ")-1),",","."))-1)/MID(SUBSTITUTE(LEFT(TRIM(C1001),FIND(" ",TRIM(C1001)&amp;" ")-1),",","."),FIND("/",SUBSTITUTE(LEFT(TRIM(C1001),FIND(" ",TRIM(C1001)&amp;" ")-1),",","."))+1,9)),IF(ISNUMBER(SEARCH("yea",C1001)),IFERROR(_xlfn.NUMBERVALUE(SUBSTITUTE(LEFT(TRIM(C1001),FIND(" ",TRIM(C1001)&amp;" ")-1),",","."),"."),LEFT(SUBSTITUTE(LEFT(TRIM(C1001),FIND(" ",TRIM(C1001)&amp;" ")-1),",","."),FIND("/",SUBSTITUTE(LEFT(TRIM(C1001),FIND(" ",TRIM(C1001)&amp;" ")-1),",","."))-1)/MID(SUBSTITUTE(LEFT(TRIM(C1001),FIND(" ",TRIM(C1001)&amp;" ")-1),",","."),FIND("/",SUBSTITUTE(LEFT(TRIM(C1001),FIND(" ",TRIM(C1001)&amp;" ")-1),",","."))+1,9))*12,NA()))),0),24)*'Aturan &amp; Tarif'!$B$4,2)</f>
        <v>1362.72</v>
      </c>
      <c r="K1001" s="32" t="n">
        <f aca="false">'Aturan &amp; Tarif'!$B$5</f>
        <v>2050</v>
      </c>
      <c r="L1001" s="35" t="n">
        <f aca="false">I1001+J1001+K1001</f>
        <v>20456.72</v>
      </c>
      <c r="M1001" s="36" t="s">
        <v>2525</v>
      </c>
    </row>
    <row r="1002" customFormat="false" ht="14.25" hidden="false" customHeight="true" outlineLevel="0" collapsed="false">
      <c r="A1002" s="29"/>
      <c r="B1002" s="30" t="s">
        <v>257</v>
      </c>
      <c r="C1002" s="31" t="s">
        <v>107</v>
      </c>
      <c r="D1002" s="31" t="s">
        <v>108</v>
      </c>
      <c r="E1002" s="32" t="n">
        <v>9987.5</v>
      </c>
      <c r="F1002" s="32"/>
      <c r="G1002" s="32"/>
      <c r="H1002" s="33" t="n">
        <v>2</v>
      </c>
      <c r="I1002" s="34" t="n">
        <f aca="false">E1002*H1002+N(F1002)+N(G1002)</f>
        <v>19975</v>
      </c>
      <c r="J1002" s="32" t="n">
        <f aca="false">ROUND(IFERROR(ROUND(IF(OR(ISNUMBER(SEARCH("week",C1002)),ISNUMBER(SEARCH("minggu",C1002))),IFERROR(_xlfn.NUMBERVALUE(SUBSTITUTE(LEFT(TRIM(C1002),FIND(" ",TRIM(C1002)&amp;" ")-1),",","."),"."),LEFT(SUBSTITUTE(LEFT(TRIM(C1002),FIND(" ",TRIM(C1002)&amp;" ")-1),",","."),FIND("/",SUBSTITUTE(LEFT(TRIM(C1002),FIND(" ",TRIM(C1002)&amp;" ")-1),",","."))-1)/MID(SUBSTITUTE(LEFT(TRIM(C1002),FIND(" ",TRIM(C1002)&amp;" ")-1),",","."),FIND("/",SUBSTITUTE(LEFT(TRIM(C1002),FIND(" ",TRIM(C1002)&amp;" ")-1),",","."))+1,9))*12/52,IF(ISNUMBER(SEARCH("month",C1002)),IFERROR(_xlfn.NUMBERVALUE(SUBSTITUTE(LEFT(TRIM(C1002),FIND(" ",TRIM(C1002)&amp;" ")-1),",","."),"."),LEFT(SUBSTITUTE(LEFT(TRIM(C1002),FIND(" ",TRIM(C1002)&amp;" ")-1),",","."),FIND("/",SUBSTITUTE(LEFT(TRIM(C1002),FIND(" ",TRIM(C1002)&amp;" ")-1),",","."))-1)/MID(SUBSTITUTE(LEFT(TRIM(C1002),FIND(" ",TRIM(C1002)&amp;" ")-1),",","."),FIND("/",SUBSTITUTE(LEFT(TRIM(C1002),FIND(" ",TRIM(C1002)&amp;" ")-1),",","."))+1,9)),IF(ISNUMBER(SEARCH("yea",C1002)),IFERROR(_xlfn.NUMBERVALUE(SUBSTITUTE(LEFT(TRIM(C1002),FIND(" ",TRIM(C1002)&amp;" ")-1),",","."),"."),LEFT(SUBSTITUTE(LEFT(TRIM(C1002),FIND(" ",TRIM(C1002)&amp;" ")-1),",","."),FIND("/",SUBSTITUTE(LEFT(TRIM(C1002),FIND(" ",TRIM(C1002)&amp;" ")-1),",","."))-1)/MID(SUBSTITUTE(LEFT(TRIM(C1002),FIND(" ",TRIM(C1002)&amp;" ")-1),",","."),FIND("/",SUBSTITUTE(LEFT(TRIM(C1002),FIND(" ",TRIM(C1002)&amp;" ")-1),",","."))+1,9))*12,NA()))),0),24)*'Aturan &amp; Tarif'!$B$4,2)</f>
        <v>1362.72</v>
      </c>
      <c r="K1002" s="32" t="n">
        <f aca="false">'Aturan &amp; Tarif'!$B$5</f>
        <v>2050</v>
      </c>
      <c r="L1002" s="35" t="n">
        <f aca="false">I1002+J1002+K1002</f>
        <v>23387.72</v>
      </c>
      <c r="M1002" s="36" t="s">
        <v>2523</v>
      </c>
    </row>
    <row r="1003" customFormat="false" ht="14.25" hidden="false" customHeight="true" outlineLevel="0" collapsed="false">
      <c r="A1003" s="29"/>
      <c r="B1003" s="30" t="s">
        <v>2526</v>
      </c>
      <c r="C1003" s="31" t="s">
        <v>107</v>
      </c>
      <c r="D1003" s="31" t="s">
        <v>108</v>
      </c>
      <c r="E1003" s="32" t="n">
        <v>6647</v>
      </c>
      <c r="F1003" s="32"/>
      <c r="G1003" s="32"/>
      <c r="H1003" s="33" t="n">
        <v>2</v>
      </c>
      <c r="I1003" s="34" t="n">
        <f aca="false">E1003*H1003+N(F1003)+N(G1003)</f>
        <v>13294</v>
      </c>
      <c r="J1003" s="32" t="n">
        <f aca="false">ROUND(IFERROR(ROUND(IF(OR(ISNUMBER(SEARCH("week",C1003)),ISNUMBER(SEARCH("minggu",C1003))),IFERROR(_xlfn.NUMBERVALUE(SUBSTITUTE(LEFT(TRIM(C1003),FIND(" ",TRIM(C1003)&amp;" ")-1),",","."),"."),LEFT(SUBSTITUTE(LEFT(TRIM(C1003),FIND(" ",TRIM(C1003)&amp;" ")-1),",","."),FIND("/",SUBSTITUTE(LEFT(TRIM(C1003),FIND(" ",TRIM(C1003)&amp;" ")-1),",","."))-1)/MID(SUBSTITUTE(LEFT(TRIM(C1003),FIND(" ",TRIM(C1003)&amp;" ")-1),",","."),FIND("/",SUBSTITUTE(LEFT(TRIM(C1003),FIND(" ",TRIM(C1003)&amp;" ")-1),",","."))+1,9))*12/52,IF(ISNUMBER(SEARCH("month",C1003)),IFERROR(_xlfn.NUMBERVALUE(SUBSTITUTE(LEFT(TRIM(C1003),FIND(" ",TRIM(C1003)&amp;" ")-1),",","."),"."),LEFT(SUBSTITUTE(LEFT(TRIM(C1003),FIND(" ",TRIM(C1003)&amp;" ")-1),",","."),FIND("/",SUBSTITUTE(LEFT(TRIM(C1003),FIND(" ",TRIM(C1003)&amp;" ")-1),",","."))-1)/MID(SUBSTITUTE(LEFT(TRIM(C1003),FIND(" ",TRIM(C1003)&amp;" ")-1),",","."),FIND("/",SUBSTITUTE(LEFT(TRIM(C1003),FIND(" ",TRIM(C1003)&amp;" ")-1),",","."))+1,9)),IF(ISNUMBER(SEARCH("yea",C1003)),IFERROR(_xlfn.NUMBERVALUE(SUBSTITUTE(LEFT(TRIM(C1003),FIND(" ",TRIM(C1003)&amp;" ")-1),",","."),"."),LEFT(SUBSTITUTE(LEFT(TRIM(C1003),FIND(" ",TRIM(C1003)&amp;" ")-1),",","."),FIND("/",SUBSTITUTE(LEFT(TRIM(C1003),FIND(" ",TRIM(C1003)&amp;" ")-1),",","."))-1)/MID(SUBSTITUTE(LEFT(TRIM(C1003),FIND(" ",TRIM(C1003)&amp;" ")-1),",","."),FIND("/",SUBSTITUTE(LEFT(TRIM(C1003),FIND(" ",TRIM(C1003)&amp;" ")-1),",","."))+1,9))*12,NA()))),0),24)*'Aturan &amp; Tarif'!$B$4,2)</f>
        <v>1362.72</v>
      </c>
      <c r="K1003" s="32" t="n">
        <f aca="false">'Aturan &amp; Tarif'!$B$5</f>
        <v>2050</v>
      </c>
      <c r="L1003" s="35" t="n">
        <f aca="false">I1003+J1003+K1003</f>
        <v>16706.72</v>
      </c>
      <c r="M1003" s="36" t="s">
        <v>2523</v>
      </c>
    </row>
    <row r="1004" customFormat="false" ht="37.5" hidden="false" customHeight="true" outlineLevel="0" collapsed="false">
      <c r="A1004" s="29" t="s">
        <v>2527</v>
      </c>
      <c r="B1004" s="30" t="s">
        <v>2528</v>
      </c>
      <c r="C1004" s="31" t="s">
        <v>138</v>
      </c>
      <c r="D1004" s="31" t="s">
        <v>108</v>
      </c>
      <c r="E1004" s="32" t="n">
        <v>1400</v>
      </c>
      <c r="F1004" s="32" t="n">
        <v>150</v>
      </c>
      <c r="G1004" s="32" t="n">
        <v>200</v>
      </c>
      <c r="H1004" s="33" t="n">
        <v>1</v>
      </c>
      <c r="I1004" s="34" t="n">
        <f aca="false">E1004*H1004+N(F1004)+N(G1004)</f>
        <v>1750</v>
      </c>
      <c r="J1004" s="32" t="n">
        <f aca="false">ROUND(IFERROR(ROUND(IF(OR(ISNUMBER(SEARCH("week",C1004)),ISNUMBER(SEARCH("minggu",C1004))),IFERROR(_xlfn.NUMBERVALUE(SUBSTITUTE(LEFT(TRIM(C1004),FIND(" ",TRIM(C1004)&amp;" ")-1),",","."),"."),LEFT(SUBSTITUTE(LEFT(TRIM(C1004),FIND(" ",TRIM(C1004)&amp;" ")-1),",","."),FIND("/",SUBSTITUTE(LEFT(TRIM(C1004),FIND(" ",TRIM(C1004)&amp;" ")-1),",","."))-1)/MID(SUBSTITUTE(LEFT(TRIM(C1004),FIND(" ",TRIM(C1004)&amp;" ")-1),",","."),FIND("/",SUBSTITUTE(LEFT(TRIM(C1004),FIND(" ",TRIM(C1004)&amp;" ")-1),",","."))+1,9))*12/52,IF(ISNUMBER(SEARCH("month",C1004)),IFERROR(_xlfn.NUMBERVALUE(SUBSTITUTE(LEFT(TRIM(C1004),FIND(" ",TRIM(C1004)&amp;" ")-1),",","."),"."),LEFT(SUBSTITUTE(LEFT(TRIM(C1004),FIND(" ",TRIM(C1004)&amp;" ")-1),",","."),FIND("/",SUBSTITUTE(LEFT(TRIM(C1004),FIND(" ",TRIM(C1004)&amp;" ")-1),",","."))-1)/MID(SUBSTITUTE(LEFT(TRIM(C1004),FIND(" ",TRIM(C1004)&amp;" ")-1),",","."),FIND("/",SUBSTITUTE(LEFT(TRIM(C1004),FIND(" ",TRIM(C1004)&amp;" ")-1),",","."))+1,9)),IF(ISNUMBER(SEARCH("yea",C1004)),IFERROR(_xlfn.NUMBERVALUE(SUBSTITUTE(LEFT(TRIM(C1004),FIND(" ",TRIM(C1004)&amp;" ")-1),",","."),"."),LEFT(SUBSTITUTE(LEFT(TRIM(C1004),FIND(" ",TRIM(C1004)&amp;" ")-1),",","."),FIND("/",SUBSTITUTE(LEFT(TRIM(C1004),FIND(" ",TRIM(C1004)&amp;" ")-1),",","."))-1)/MID(SUBSTITUTE(LEFT(TRIM(C1004),FIND(" ",TRIM(C1004)&amp;" ")-1),",","."),FIND("/",SUBSTITUTE(LEFT(TRIM(C1004),FIND(" ",TRIM(C1004)&amp;" ")-1),",","."))+1,9))*12,NA()))),0),30)*'Aturan &amp; Tarif'!$B$4,2)</f>
        <v>1703.4</v>
      </c>
      <c r="K1004" s="32" t="n">
        <f aca="false">'Aturan &amp; Tarif'!$B$5</f>
        <v>2050</v>
      </c>
      <c r="L1004" s="35" t="n">
        <f aca="false">I1004+J1004+K1004</f>
        <v>5503.4</v>
      </c>
      <c r="M1004" s="36" t="s">
        <v>131</v>
      </c>
    </row>
    <row r="1005" customFormat="false" ht="25.5" hidden="false" customHeight="true" outlineLevel="0" collapsed="false">
      <c r="A1005" s="29"/>
      <c r="B1005" s="30" t="s">
        <v>2529</v>
      </c>
      <c r="C1005" s="31" t="s">
        <v>191</v>
      </c>
      <c r="D1005" s="31" t="s">
        <v>108</v>
      </c>
      <c r="E1005" s="32" t="n">
        <v>1400</v>
      </c>
      <c r="F1005" s="32" t="n">
        <v>150</v>
      </c>
      <c r="G1005" s="32" t="n">
        <v>200</v>
      </c>
      <c r="H1005" s="33" t="n">
        <v>1</v>
      </c>
      <c r="I1005" s="34" t="n">
        <f aca="false">E1005*H1005+N(F1005)+N(G1005)</f>
        <v>1750</v>
      </c>
      <c r="J1005" s="32" t="n">
        <f aca="false">ROUND(IFERROR(ROUND(IF(OR(ISNUMBER(SEARCH("week",C1005)),ISNUMBER(SEARCH("minggu",C1005))),IFERROR(_xlfn.NUMBERVALUE(SUBSTITUTE(LEFT(TRIM(C1005),FIND(" ",TRIM(C1005)&amp;" ")-1),",","."),"."),LEFT(SUBSTITUTE(LEFT(TRIM(C1005),FIND(" ",TRIM(C1005)&amp;" ")-1),",","."),FIND("/",SUBSTITUTE(LEFT(TRIM(C1005),FIND(" ",TRIM(C1005)&amp;" ")-1),",","."))-1)/MID(SUBSTITUTE(LEFT(TRIM(C1005),FIND(" ",TRIM(C1005)&amp;" ")-1),",","."),FIND("/",SUBSTITUTE(LEFT(TRIM(C1005),FIND(" ",TRIM(C1005)&amp;" ")-1),",","."))+1,9))*12/52,IF(ISNUMBER(SEARCH("month",C1005)),IFERROR(_xlfn.NUMBERVALUE(SUBSTITUTE(LEFT(TRIM(C1005),FIND(" ",TRIM(C1005)&amp;" ")-1),",","."),"."),LEFT(SUBSTITUTE(LEFT(TRIM(C1005),FIND(" ",TRIM(C1005)&amp;" ")-1),",","."),FIND("/",SUBSTITUTE(LEFT(TRIM(C1005),FIND(" ",TRIM(C1005)&amp;" ")-1),",","."))-1)/MID(SUBSTITUTE(LEFT(TRIM(C1005),FIND(" ",TRIM(C1005)&amp;" ")-1),",","."),FIND("/",SUBSTITUTE(LEFT(TRIM(C1005),FIND(" ",TRIM(C1005)&amp;" ")-1),",","."))+1,9)),IF(ISNUMBER(SEARCH("yea",C1005)),IFERROR(_xlfn.NUMBERVALUE(SUBSTITUTE(LEFT(TRIM(C1005),FIND(" ",TRIM(C1005)&amp;" ")-1),",","."),"."),LEFT(SUBSTITUTE(LEFT(TRIM(C1005),FIND(" ",TRIM(C1005)&amp;" ")-1),",","."),FIND("/",SUBSTITUTE(LEFT(TRIM(C1005),FIND(" ",TRIM(C1005)&amp;" ")-1),",","."))-1)/MID(SUBSTITUTE(LEFT(TRIM(C1005),FIND(" ",TRIM(C1005)&amp;" ")-1),",","."),FIND("/",SUBSTITUTE(LEFT(TRIM(C1005),FIND(" ",TRIM(C1005)&amp;" ")-1),",","."))+1,9))*12,NA()))),0),48)*'Aturan &amp; Tarif'!$B$4,2)</f>
        <v>2725.44</v>
      </c>
      <c r="K1005" s="32" t="n">
        <f aca="false">'Aturan &amp; Tarif'!$B$5</f>
        <v>2050</v>
      </c>
      <c r="L1005" s="35" t="n">
        <f aca="false">I1005+J1005+K1005</f>
        <v>6525.44</v>
      </c>
      <c r="M1005" s="36" t="s">
        <v>131</v>
      </c>
    </row>
    <row r="1006" customFormat="false" ht="25.5" hidden="false" customHeight="true" outlineLevel="0" collapsed="false">
      <c r="A1006" s="29"/>
      <c r="B1006" s="30" t="s">
        <v>2530</v>
      </c>
      <c r="C1006" s="31" t="s">
        <v>138</v>
      </c>
      <c r="D1006" s="31" t="s">
        <v>108</v>
      </c>
      <c r="E1006" s="32" t="n">
        <v>1400</v>
      </c>
      <c r="F1006" s="32" t="n">
        <v>100</v>
      </c>
      <c r="G1006" s="32" t="n">
        <v>200</v>
      </c>
      <c r="H1006" s="33" t="n">
        <v>1</v>
      </c>
      <c r="I1006" s="34" t="n">
        <f aca="false">E1006*H1006+N(F1006)+N(G1006)</f>
        <v>1700</v>
      </c>
      <c r="J1006" s="32" t="n">
        <f aca="false">ROUND(IFERROR(ROUND(IF(OR(ISNUMBER(SEARCH("week",C1006)),ISNUMBER(SEARCH("minggu",C1006))),IFERROR(_xlfn.NUMBERVALUE(SUBSTITUTE(LEFT(TRIM(C1006),FIND(" ",TRIM(C1006)&amp;" ")-1),",","."),"."),LEFT(SUBSTITUTE(LEFT(TRIM(C1006),FIND(" ",TRIM(C1006)&amp;" ")-1),",","."),FIND("/",SUBSTITUTE(LEFT(TRIM(C1006),FIND(" ",TRIM(C1006)&amp;" ")-1),",","."))-1)/MID(SUBSTITUTE(LEFT(TRIM(C1006),FIND(" ",TRIM(C1006)&amp;" ")-1),",","."),FIND("/",SUBSTITUTE(LEFT(TRIM(C1006),FIND(" ",TRIM(C1006)&amp;" ")-1),",","."))+1,9))*12/52,IF(ISNUMBER(SEARCH("month",C1006)),IFERROR(_xlfn.NUMBERVALUE(SUBSTITUTE(LEFT(TRIM(C1006),FIND(" ",TRIM(C1006)&amp;" ")-1),",","."),"."),LEFT(SUBSTITUTE(LEFT(TRIM(C1006),FIND(" ",TRIM(C1006)&amp;" ")-1),",","."),FIND("/",SUBSTITUTE(LEFT(TRIM(C1006),FIND(" ",TRIM(C1006)&amp;" ")-1),",","."))-1)/MID(SUBSTITUTE(LEFT(TRIM(C1006),FIND(" ",TRIM(C1006)&amp;" ")-1),",","."),FIND("/",SUBSTITUTE(LEFT(TRIM(C1006),FIND(" ",TRIM(C1006)&amp;" ")-1),",","."))+1,9)),IF(ISNUMBER(SEARCH("yea",C1006)),IFERROR(_xlfn.NUMBERVALUE(SUBSTITUTE(LEFT(TRIM(C1006),FIND(" ",TRIM(C1006)&amp;" ")-1),",","."),"."),LEFT(SUBSTITUTE(LEFT(TRIM(C1006),FIND(" ",TRIM(C1006)&amp;" ")-1),",","."),FIND("/",SUBSTITUTE(LEFT(TRIM(C1006),FIND(" ",TRIM(C1006)&amp;" ")-1),",","."))-1)/MID(SUBSTITUTE(LEFT(TRIM(C1006),FIND(" ",TRIM(C1006)&amp;" ")-1),",","."),FIND("/",SUBSTITUTE(LEFT(TRIM(C1006),FIND(" ",TRIM(C1006)&amp;" ")-1),",","."))+1,9))*12,NA()))),0),30)*'Aturan &amp; Tarif'!$B$4,2)</f>
        <v>1703.4</v>
      </c>
      <c r="K1006" s="32" t="n">
        <f aca="false">'Aturan &amp; Tarif'!$B$5</f>
        <v>2050</v>
      </c>
      <c r="L1006" s="35" t="n">
        <f aca="false">I1006+J1006+K1006</f>
        <v>5453.4</v>
      </c>
      <c r="M1006" s="36" t="s">
        <v>131</v>
      </c>
    </row>
    <row r="1007" customFormat="false" ht="37.5" hidden="false" customHeight="true" outlineLevel="0" collapsed="false">
      <c r="A1007" s="29"/>
      <c r="B1007" s="30" t="s">
        <v>2531</v>
      </c>
      <c r="C1007" s="31" t="s">
        <v>191</v>
      </c>
      <c r="D1007" s="31" t="s">
        <v>108</v>
      </c>
      <c r="E1007" s="32" t="n">
        <v>1400</v>
      </c>
      <c r="F1007" s="32" t="n">
        <v>100</v>
      </c>
      <c r="G1007" s="32" t="n">
        <v>200</v>
      </c>
      <c r="H1007" s="33" t="n">
        <v>1</v>
      </c>
      <c r="I1007" s="34" t="n">
        <f aca="false">E1007*H1007+N(F1007)+N(G1007)</f>
        <v>1700</v>
      </c>
      <c r="J1007" s="32" t="n">
        <f aca="false">ROUND(IFERROR(ROUND(IF(OR(ISNUMBER(SEARCH("week",C1007)),ISNUMBER(SEARCH("minggu",C1007))),IFERROR(_xlfn.NUMBERVALUE(SUBSTITUTE(LEFT(TRIM(C1007),FIND(" ",TRIM(C1007)&amp;" ")-1),",","."),"."),LEFT(SUBSTITUTE(LEFT(TRIM(C1007),FIND(" ",TRIM(C1007)&amp;" ")-1),",","."),FIND("/",SUBSTITUTE(LEFT(TRIM(C1007),FIND(" ",TRIM(C1007)&amp;" ")-1),",","."))-1)/MID(SUBSTITUTE(LEFT(TRIM(C1007),FIND(" ",TRIM(C1007)&amp;" ")-1),",","."),FIND("/",SUBSTITUTE(LEFT(TRIM(C1007),FIND(" ",TRIM(C1007)&amp;" ")-1),",","."))+1,9))*12/52,IF(ISNUMBER(SEARCH("month",C1007)),IFERROR(_xlfn.NUMBERVALUE(SUBSTITUTE(LEFT(TRIM(C1007),FIND(" ",TRIM(C1007)&amp;" ")-1),",","."),"."),LEFT(SUBSTITUTE(LEFT(TRIM(C1007),FIND(" ",TRIM(C1007)&amp;" ")-1),",","."),FIND("/",SUBSTITUTE(LEFT(TRIM(C1007),FIND(" ",TRIM(C1007)&amp;" ")-1),",","."))-1)/MID(SUBSTITUTE(LEFT(TRIM(C1007),FIND(" ",TRIM(C1007)&amp;" ")-1),",","."),FIND("/",SUBSTITUTE(LEFT(TRIM(C1007),FIND(" ",TRIM(C1007)&amp;" ")-1),",","."))+1,9)),IF(ISNUMBER(SEARCH("yea",C1007)),IFERROR(_xlfn.NUMBERVALUE(SUBSTITUTE(LEFT(TRIM(C1007),FIND(" ",TRIM(C1007)&amp;" ")-1),",","."),"."),LEFT(SUBSTITUTE(LEFT(TRIM(C1007),FIND(" ",TRIM(C1007)&amp;" ")-1),",","."),FIND("/",SUBSTITUTE(LEFT(TRIM(C1007),FIND(" ",TRIM(C1007)&amp;" ")-1),",","."))-1)/MID(SUBSTITUTE(LEFT(TRIM(C1007),FIND(" ",TRIM(C1007)&amp;" ")-1),",","."),FIND("/",SUBSTITUTE(LEFT(TRIM(C1007),FIND(" ",TRIM(C1007)&amp;" ")-1),",","."))+1,9))*12,NA()))),0),48)*'Aturan &amp; Tarif'!$B$4,2)</f>
        <v>2725.44</v>
      </c>
      <c r="K1007" s="32" t="n">
        <f aca="false">'Aturan &amp; Tarif'!$B$5</f>
        <v>2050</v>
      </c>
      <c r="L1007" s="35" t="n">
        <f aca="false">I1007+J1007+K1007</f>
        <v>6475.44</v>
      </c>
      <c r="M1007" s="36" t="s">
        <v>131</v>
      </c>
    </row>
    <row r="1008" customFormat="false" ht="25.5" hidden="false" customHeight="true" outlineLevel="0" collapsed="false">
      <c r="A1008" s="29"/>
      <c r="B1008" s="30" t="s">
        <v>2532</v>
      </c>
      <c r="C1008" s="31" t="s">
        <v>127</v>
      </c>
      <c r="D1008" s="31" t="s">
        <v>108</v>
      </c>
      <c r="E1008" s="32" t="n">
        <v>1400</v>
      </c>
      <c r="F1008" s="32" t="n">
        <v>150</v>
      </c>
      <c r="G1008" s="32" t="n">
        <v>200</v>
      </c>
      <c r="H1008" s="33" t="n">
        <v>1</v>
      </c>
      <c r="I1008" s="34" t="n">
        <f aca="false">E1008*H1008+N(F1008)+N(G1008)</f>
        <v>1750</v>
      </c>
      <c r="J1008" s="32" t="n">
        <f aca="false">ROUND(IFERROR(ROUND(IF(OR(ISNUMBER(SEARCH("week",C1008)),ISNUMBER(SEARCH("minggu",C1008))),IFERROR(_xlfn.NUMBERVALUE(SUBSTITUTE(LEFT(TRIM(C1008),FIND(" ",TRIM(C1008)&amp;" ")-1),",","."),"."),LEFT(SUBSTITUTE(LEFT(TRIM(C1008),FIND(" ",TRIM(C1008)&amp;" ")-1),",","."),FIND("/",SUBSTITUTE(LEFT(TRIM(C1008),FIND(" ",TRIM(C1008)&amp;" ")-1),",","."))-1)/MID(SUBSTITUTE(LEFT(TRIM(C1008),FIND(" ",TRIM(C1008)&amp;" ")-1),",","."),FIND("/",SUBSTITUTE(LEFT(TRIM(C1008),FIND(" ",TRIM(C1008)&amp;" ")-1),",","."))+1,9))*12/52,IF(ISNUMBER(SEARCH("month",C1008)),IFERROR(_xlfn.NUMBERVALUE(SUBSTITUTE(LEFT(TRIM(C1008),FIND(" ",TRIM(C1008)&amp;" ")-1),",","."),"."),LEFT(SUBSTITUTE(LEFT(TRIM(C1008),FIND(" ",TRIM(C1008)&amp;" ")-1),",","."),FIND("/",SUBSTITUTE(LEFT(TRIM(C1008),FIND(" ",TRIM(C1008)&amp;" ")-1),",","."))-1)/MID(SUBSTITUTE(LEFT(TRIM(C1008),FIND(" ",TRIM(C1008)&amp;" ")-1),",","."),FIND("/",SUBSTITUTE(LEFT(TRIM(C1008),FIND(" ",TRIM(C1008)&amp;" ")-1),",","."))+1,9)),IF(ISNUMBER(SEARCH("yea",C1008)),IFERROR(_xlfn.NUMBERVALUE(SUBSTITUTE(LEFT(TRIM(C1008),FIND(" ",TRIM(C1008)&amp;" ")-1),",","."),"."),LEFT(SUBSTITUTE(LEFT(TRIM(C1008),FIND(" ",TRIM(C1008)&amp;" ")-1),",","."),FIND("/",SUBSTITUTE(LEFT(TRIM(C1008),FIND(" ",TRIM(C1008)&amp;" ")-1),",","."))-1)/MID(SUBSTITUTE(LEFT(TRIM(C1008),FIND(" ",TRIM(C1008)&amp;" ")-1),",","."),FIND("/",SUBSTITUTE(LEFT(TRIM(C1008),FIND(" ",TRIM(C1008)&amp;" ")-1),",","."))+1,9))*12,NA()))),0),36)*'Aturan &amp; Tarif'!$B$4,2)</f>
        <v>2044.08</v>
      </c>
      <c r="K1008" s="32" t="n">
        <f aca="false">'Aturan &amp; Tarif'!$B$5</f>
        <v>2050</v>
      </c>
      <c r="L1008" s="35" t="n">
        <f aca="false">I1008+J1008+K1008</f>
        <v>5844.08</v>
      </c>
      <c r="M1008" s="36" t="s">
        <v>131</v>
      </c>
    </row>
    <row r="1009" customFormat="false" ht="25.5" hidden="false" customHeight="true" outlineLevel="0" collapsed="false">
      <c r="A1009" s="29"/>
      <c r="B1009" s="30" t="s">
        <v>2533</v>
      </c>
      <c r="C1009" s="31" t="s">
        <v>495</v>
      </c>
      <c r="D1009" s="31" t="s">
        <v>108</v>
      </c>
      <c r="E1009" s="32" t="n">
        <v>1400</v>
      </c>
      <c r="F1009" s="32" t="n">
        <v>150</v>
      </c>
      <c r="G1009" s="32" t="n">
        <v>200</v>
      </c>
      <c r="H1009" s="33" t="n">
        <v>1</v>
      </c>
      <c r="I1009" s="34" t="n">
        <f aca="false">E1009*H1009+N(F1009)+N(G1009)</f>
        <v>1750</v>
      </c>
      <c r="J1009" s="32" t="n">
        <f aca="false">ROUND(IFERROR(ROUND(IF(OR(ISNUMBER(SEARCH("week",C1009)),ISNUMBER(SEARCH("minggu",C1009))),IFERROR(_xlfn.NUMBERVALUE(SUBSTITUTE(LEFT(TRIM(C1009),FIND(" ",TRIM(C1009)&amp;" ")-1),",","."),"."),LEFT(SUBSTITUTE(LEFT(TRIM(C1009),FIND(" ",TRIM(C1009)&amp;" ")-1),",","."),FIND("/",SUBSTITUTE(LEFT(TRIM(C1009),FIND(" ",TRIM(C1009)&amp;" ")-1),",","."))-1)/MID(SUBSTITUTE(LEFT(TRIM(C1009),FIND(" ",TRIM(C1009)&amp;" ")-1),",","."),FIND("/",SUBSTITUTE(LEFT(TRIM(C1009),FIND(" ",TRIM(C1009)&amp;" ")-1),",","."))+1,9))*12/52,IF(ISNUMBER(SEARCH("month",C1009)),IFERROR(_xlfn.NUMBERVALUE(SUBSTITUTE(LEFT(TRIM(C1009),FIND(" ",TRIM(C1009)&amp;" ")-1),",","."),"."),LEFT(SUBSTITUTE(LEFT(TRIM(C1009),FIND(" ",TRIM(C1009)&amp;" ")-1),",","."),FIND("/",SUBSTITUTE(LEFT(TRIM(C1009),FIND(" ",TRIM(C1009)&amp;" ")-1),",","."))-1)/MID(SUBSTITUTE(LEFT(TRIM(C1009),FIND(" ",TRIM(C1009)&amp;" ")-1),",","."),FIND("/",SUBSTITUTE(LEFT(TRIM(C1009),FIND(" ",TRIM(C1009)&amp;" ")-1),",","."))+1,9)),IF(ISNUMBER(SEARCH("yea",C1009)),IFERROR(_xlfn.NUMBERVALUE(SUBSTITUTE(LEFT(TRIM(C1009),FIND(" ",TRIM(C1009)&amp;" ")-1),",","."),"."),LEFT(SUBSTITUTE(LEFT(TRIM(C1009),FIND(" ",TRIM(C1009)&amp;" ")-1),",","."),FIND("/",SUBSTITUTE(LEFT(TRIM(C1009),FIND(" ",TRIM(C1009)&amp;" ")-1),",","."))-1)/MID(SUBSTITUTE(LEFT(TRIM(C1009),FIND(" ",TRIM(C1009)&amp;" ")-1),",","."),FIND("/",SUBSTITUTE(LEFT(TRIM(C1009),FIND(" ",TRIM(C1009)&amp;" ")-1),",","."))+1,9))*12,NA()))),0),54)*'Aturan &amp; Tarif'!$B$4,2)</f>
        <v>3066.12</v>
      </c>
      <c r="K1009" s="32" t="n">
        <f aca="false">'Aturan &amp; Tarif'!$B$5</f>
        <v>2050</v>
      </c>
      <c r="L1009" s="35" t="n">
        <f aca="false">I1009+J1009+K1009</f>
        <v>6866.12</v>
      </c>
      <c r="M1009" s="36" t="s">
        <v>131</v>
      </c>
    </row>
    <row r="1010" customFormat="false" ht="25.5" hidden="false" customHeight="true" outlineLevel="0" collapsed="false">
      <c r="A1010" s="29"/>
      <c r="B1010" s="30" t="s">
        <v>2534</v>
      </c>
      <c r="C1010" s="31" t="s">
        <v>127</v>
      </c>
      <c r="D1010" s="31" t="s">
        <v>108</v>
      </c>
      <c r="E1010" s="32" t="n">
        <v>1400</v>
      </c>
      <c r="F1010" s="32" t="n">
        <v>150</v>
      </c>
      <c r="G1010" s="32" t="n">
        <v>200</v>
      </c>
      <c r="H1010" s="33" t="n">
        <v>1</v>
      </c>
      <c r="I1010" s="34" t="n">
        <f aca="false">E1010*H1010+N(F1010)+N(G1010)</f>
        <v>1750</v>
      </c>
      <c r="J1010" s="32" t="n">
        <f aca="false">ROUND(IFERROR(ROUND(IF(OR(ISNUMBER(SEARCH("week",C1010)),ISNUMBER(SEARCH("minggu",C1010))),IFERROR(_xlfn.NUMBERVALUE(SUBSTITUTE(LEFT(TRIM(C1010),FIND(" ",TRIM(C1010)&amp;" ")-1),",","."),"."),LEFT(SUBSTITUTE(LEFT(TRIM(C1010),FIND(" ",TRIM(C1010)&amp;" ")-1),",","."),FIND("/",SUBSTITUTE(LEFT(TRIM(C1010),FIND(" ",TRIM(C1010)&amp;" ")-1),",","."))-1)/MID(SUBSTITUTE(LEFT(TRIM(C1010),FIND(" ",TRIM(C1010)&amp;" ")-1),",","."),FIND("/",SUBSTITUTE(LEFT(TRIM(C1010),FIND(" ",TRIM(C1010)&amp;" ")-1),",","."))+1,9))*12/52,IF(ISNUMBER(SEARCH("month",C1010)),IFERROR(_xlfn.NUMBERVALUE(SUBSTITUTE(LEFT(TRIM(C1010),FIND(" ",TRIM(C1010)&amp;" ")-1),",","."),"."),LEFT(SUBSTITUTE(LEFT(TRIM(C1010),FIND(" ",TRIM(C1010)&amp;" ")-1),",","."),FIND("/",SUBSTITUTE(LEFT(TRIM(C1010),FIND(" ",TRIM(C1010)&amp;" ")-1),",","."))-1)/MID(SUBSTITUTE(LEFT(TRIM(C1010),FIND(" ",TRIM(C1010)&amp;" ")-1),",","."),FIND("/",SUBSTITUTE(LEFT(TRIM(C1010),FIND(" ",TRIM(C1010)&amp;" ")-1),",","."))+1,9)),IF(ISNUMBER(SEARCH("yea",C1010)),IFERROR(_xlfn.NUMBERVALUE(SUBSTITUTE(LEFT(TRIM(C1010),FIND(" ",TRIM(C1010)&amp;" ")-1),",","."),"."),LEFT(SUBSTITUTE(LEFT(TRIM(C1010),FIND(" ",TRIM(C1010)&amp;" ")-1),",","."),FIND("/",SUBSTITUTE(LEFT(TRIM(C1010),FIND(" ",TRIM(C1010)&amp;" ")-1),",","."))-1)/MID(SUBSTITUTE(LEFT(TRIM(C1010),FIND(" ",TRIM(C1010)&amp;" ")-1),",","."),FIND("/",SUBSTITUTE(LEFT(TRIM(C1010),FIND(" ",TRIM(C1010)&amp;" ")-1),",","."))+1,9))*12,NA()))),0),36)*'Aturan &amp; Tarif'!$B$4,2)</f>
        <v>2044.08</v>
      </c>
      <c r="K1010" s="32" t="n">
        <f aca="false">'Aturan &amp; Tarif'!$B$5</f>
        <v>2050</v>
      </c>
      <c r="L1010" s="35" t="n">
        <f aca="false">I1010+J1010+K1010</f>
        <v>5844.08</v>
      </c>
      <c r="M1010" s="36" t="s">
        <v>131</v>
      </c>
    </row>
    <row r="1011" customFormat="false" ht="25.5" hidden="false" customHeight="true" outlineLevel="0" collapsed="false">
      <c r="A1011" s="29"/>
      <c r="B1011" s="30" t="s">
        <v>2535</v>
      </c>
      <c r="C1011" s="31" t="s">
        <v>495</v>
      </c>
      <c r="D1011" s="31" t="s">
        <v>108</v>
      </c>
      <c r="E1011" s="32" t="n">
        <v>1400</v>
      </c>
      <c r="F1011" s="32" t="n">
        <v>150</v>
      </c>
      <c r="G1011" s="32" t="n">
        <v>200</v>
      </c>
      <c r="H1011" s="33" t="n">
        <v>1</v>
      </c>
      <c r="I1011" s="34" t="n">
        <f aca="false">E1011*H1011+N(F1011)+N(G1011)</f>
        <v>1750</v>
      </c>
      <c r="J1011" s="32" t="n">
        <f aca="false">ROUND(IFERROR(ROUND(IF(OR(ISNUMBER(SEARCH("week",C1011)),ISNUMBER(SEARCH("minggu",C1011))),IFERROR(_xlfn.NUMBERVALUE(SUBSTITUTE(LEFT(TRIM(C1011),FIND(" ",TRIM(C1011)&amp;" ")-1),",","."),"."),LEFT(SUBSTITUTE(LEFT(TRIM(C1011),FIND(" ",TRIM(C1011)&amp;" ")-1),",","."),FIND("/",SUBSTITUTE(LEFT(TRIM(C1011),FIND(" ",TRIM(C1011)&amp;" ")-1),",","."))-1)/MID(SUBSTITUTE(LEFT(TRIM(C1011),FIND(" ",TRIM(C1011)&amp;" ")-1),",","."),FIND("/",SUBSTITUTE(LEFT(TRIM(C1011),FIND(" ",TRIM(C1011)&amp;" ")-1),",","."))+1,9))*12/52,IF(ISNUMBER(SEARCH("month",C1011)),IFERROR(_xlfn.NUMBERVALUE(SUBSTITUTE(LEFT(TRIM(C1011),FIND(" ",TRIM(C1011)&amp;" ")-1),",","."),"."),LEFT(SUBSTITUTE(LEFT(TRIM(C1011),FIND(" ",TRIM(C1011)&amp;" ")-1),",","."),FIND("/",SUBSTITUTE(LEFT(TRIM(C1011),FIND(" ",TRIM(C1011)&amp;" ")-1),",","."))-1)/MID(SUBSTITUTE(LEFT(TRIM(C1011),FIND(" ",TRIM(C1011)&amp;" ")-1),",","."),FIND("/",SUBSTITUTE(LEFT(TRIM(C1011),FIND(" ",TRIM(C1011)&amp;" ")-1),",","."))+1,9)),IF(ISNUMBER(SEARCH("yea",C1011)),IFERROR(_xlfn.NUMBERVALUE(SUBSTITUTE(LEFT(TRIM(C1011),FIND(" ",TRIM(C1011)&amp;" ")-1),",","."),"."),LEFT(SUBSTITUTE(LEFT(TRIM(C1011),FIND(" ",TRIM(C1011)&amp;" ")-1),",","."),FIND("/",SUBSTITUTE(LEFT(TRIM(C1011),FIND(" ",TRIM(C1011)&amp;" ")-1),",","."))-1)/MID(SUBSTITUTE(LEFT(TRIM(C1011),FIND(" ",TRIM(C1011)&amp;" ")-1),",","."),FIND("/",SUBSTITUTE(LEFT(TRIM(C1011),FIND(" ",TRIM(C1011)&amp;" ")-1),",","."))+1,9))*12,NA()))),0),54)*'Aturan &amp; Tarif'!$B$4,2)</f>
        <v>3066.12</v>
      </c>
      <c r="K1011" s="32" t="n">
        <f aca="false">'Aturan &amp; Tarif'!$B$5</f>
        <v>2050</v>
      </c>
      <c r="L1011" s="35" t="n">
        <f aca="false">I1011+J1011+K1011</f>
        <v>6866.12</v>
      </c>
      <c r="M1011" s="36" t="s">
        <v>131</v>
      </c>
    </row>
    <row r="1012" customFormat="false" ht="14.25" hidden="false" customHeight="true" outlineLevel="0" collapsed="false">
      <c r="A1012" s="29"/>
      <c r="B1012" s="30" t="s">
        <v>2536</v>
      </c>
      <c r="C1012" s="31" t="s">
        <v>191</v>
      </c>
      <c r="D1012" s="31" t="s">
        <v>108</v>
      </c>
      <c r="E1012" s="32" t="n">
        <v>1600</v>
      </c>
      <c r="F1012" s="32" t="n">
        <v>50</v>
      </c>
      <c r="G1012" s="32" t="n">
        <v>200</v>
      </c>
      <c r="H1012" s="33" t="n">
        <v>1</v>
      </c>
      <c r="I1012" s="34" t="n">
        <f aca="false">E1012*H1012+N(F1012)+N(G1012)</f>
        <v>1850</v>
      </c>
      <c r="J1012" s="32" t="n">
        <f aca="false">ROUND(IFERROR(ROUND(IF(OR(ISNUMBER(SEARCH("week",C1012)),ISNUMBER(SEARCH("minggu",C1012))),IFERROR(_xlfn.NUMBERVALUE(SUBSTITUTE(LEFT(TRIM(C1012),FIND(" ",TRIM(C1012)&amp;" ")-1),",","."),"."),LEFT(SUBSTITUTE(LEFT(TRIM(C1012),FIND(" ",TRIM(C1012)&amp;" ")-1),",","."),FIND("/",SUBSTITUTE(LEFT(TRIM(C1012),FIND(" ",TRIM(C1012)&amp;" ")-1),",","."))-1)/MID(SUBSTITUTE(LEFT(TRIM(C1012),FIND(" ",TRIM(C1012)&amp;" ")-1),",","."),FIND("/",SUBSTITUTE(LEFT(TRIM(C1012),FIND(" ",TRIM(C1012)&amp;" ")-1),",","."))+1,9))*12/52,IF(ISNUMBER(SEARCH("month",C1012)),IFERROR(_xlfn.NUMBERVALUE(SUBSTITUTE(LEFT(TRIM(C1012),FIND(" ",TRIM(C1012)&amp;" ")-1),",","."),"."),LEFT(SUBSTITUTE(LEFT(TRIM(C1012),FIND(" ",TRIM(C1012)&amp;" ")-1),",","."),FIND("/",SUBSTITUTE(LEFT(TRIM(C1012),FIND(" ",TRIM(C1012)&amp;" ")-1),",","."))-1)/MID(SUBSTITUTE(LEFT(TRIM(C1012),FIND(" ",TRIM(C1012)&amp;" ")-1),",","."),FIND("/",SUBSTITUTE(LEFT(TRIM(C1012),FIND(" ",TRIM(C1012)&amp;" ")-1),",","."))+1,9)),IF(ISNUMBER(SEARCH("yea",C1012)),IFERROR(_xlfn.NUMBERVALUE(SUBSTITUTE(LEFT(TRIM(C1012),FIND(" ",TRIM(C1012)&amp;" ")-1),",","."),"."),LEFT(SUBSTITUTE(LEFT(TRIM(C1012),FIND(" ",TRIM(C1012)&amp;" ")-1),",","."),FIND("/",SUBSTITUTE(LEFT(TRIM(C1012),FIND(" ",TRIM(C1012)&amp;" ")-1),",","."))-1)/MID(SUBSTITUTE(LEFT(TRIM(C1012),FIND(" ",TRIM(C1012)&amp;" ")-1),",","."),FIND("/",SUBSTITUTE(LEFT(TRIM(C1012),FIND(" ",TRIM(C1012)&amp;" ")-1),",","."))+1,9))*12,NA()))),0),48)*'Aturan &amp; Tarif'!$B$4,2)</f>
        <v>2725.44</v>
      </c>
      <c r="K1012" s="32" t="n">
        <f aca="false">'Aturan &amp; Tarif'!$B$5</f>
        <v>2050</v>
      </c>
      <c r="L1012" s="35" t="n">
        <f aca="false">I1012+J1012+K1012</f>
        <v>6625.44</v>
      </c>
      <c r="M1012" s="37" t="s">
        <v>134</v>
      </c>
    </row>
    <row r="1013" customFormat="false" ht="25.5" hidden="false" customHeight="true" outlineLevel="0" collapsed="false">
      <c r="A1013" s="29"/>
      <c r="B1013" s="30" t="s">
        <v>2537</v>
      </c>
      <c r="C1013" s="31" t="s">
        <v>495</v>
      </c>
      <c r="D1013" s="31" t="s">
        <v>108</v>
      </c>
      <c r="E1013" s="32" t="n">
        <v>1600</v>
      </c>
      <c r="F1013" s="32" t="n">
        <v>50</v>
      </c>
      <c r="G1013" s="32" t="n">
        <v>200</v>
      </c>
      <c r="H1013" s="33" t="n">
        <v>1</v>
      </c>
      <c r="I1013" s="34" t="n">
        <f aca="false">E1013*H1013+N(F1013)+N(G1013)</f>
        <v>1850</v>
      </c>
      <c r="J1013" s="32" t="n">
        <f aca="false">ROUND(IFERROR(ROUND(IF(OR(ISNUMBER(SEARCH("week",C1013)),ISNUMBER(SEARCH("minggu",C1013))),IFERROR(_xlfn.NUMBERVALUE(SUBSTITUTE(LEFT(TRIM(C1013),FIND(" ",TRIM(C1013)&amp;" ")-1),",","."),"."),LEFT(SUBSTITUTE(LEFT(TRIM(C1013),FIND(" ",TRIM(C1013)&amp;" ")-1),",","."),FIND("/",SUBSTITUTE(LEFT(TRIM(C1013),FIND(" ",TRIM(C1013)&amp;" ")-1),",","."))-1)/MID(SUBSTITUTE(LEFT(TRIM(C1013),FIND(" ",TRIM(C1013)&amp;" ")-1),",","."),FIND("/",SUBSTITUTE(LEFT(TRIM(C1013),FIND(" ",TRIM(C1013)&amp;" ")-1),",","."))+1,9))*12/52,IF(ISNUMBER(SEARCH("month",C1013)),IFERROR(_xlfn.NUMBERVALUE(SUBSTITUTE(LEFT(TRIM(C1013),FIND(" ",TRIM(C1013)&amp;" ")-1),",","."),"."),LEFT(SUBSTITUTE(LEFT(TRIM(C1013),FIND(" ",TRIM(C1013)&amp;" ")-1),",","."),FIND("/",SUBSTITUTE(LEFT(TRIM(C1013),FIND(" ",TRIM(C1013)&amp;" ")-1),",","."))-1)/MID(SUBSTITUTE(LEFT(TRIM(C1013),FIND(" ",TRIM(C1013)&amp;" ")-1),",","."),FIND("/",SUBSTITUTE(LEFT(TRIM(C1013),FIND(" ",TRIM(C1013)&amp;" ")-1),",","."))+1,9)),IF(ISNUMBER(SEARCH("yea",C1013)),IFERROR(_xlfn.NUMBERVALUE(SUBSTITUTE(LEFT(TRIM(C1013),FIND(" ",TRIM(C1013)&amp;" ")-1),",","."),"."),LEFT(SUBSTITUTE(LEFT(TRIM(C1013),FIND(" ",TRIM(C1013)&amp;" ")-1),",","."),FIND("/",SUBSTITUTE(LEFT(TRIM(C1013),FIND(" ",TRIM(C1013)&amp;" ")-1),",","."))-1)/MID(SUBSTITUTE(LEFT(TRIM(C1013),FIND(" ",TRIM(C1013)&amp;" ")-1),",","."),FIND("/",SUBSTITUTE(LEFT(TRIM(C1013),FIND(" ",TRIM(C1013)&amp;" ")-1),",","."))+1,9))*12,NA()))),0),54)*'Aturan &amp; Tarif'!$B$4,2)</f>
        <v>3066.12</v>
      </c>
      <c r="K1013" s="32" t="n">
        <f aca="false">'Aturan &amp; Tarif'!$B$5</f>
        <v>2050</v>
      </c>
      <c r="L1013" s="35" t="n">
        <f aca="false">I1013+J1013+K1013</f>
        <v>6966.12</v>
      </c>
      <c r="M1013" s="37" t="s">
        <v>134</v>
      </c>
    </row>
    <row r="1014" customFormat="false" ht="37.5" hidden="false" customHeight="true" outlineLevel="0" collapsed="false">
      <c r="A1014" s="29"/>
      <c r="B1014" s="30" t="s">
        <v>2538</v>
      </c>
      <c r="C1014" s="31" t="s">
        <v>107</v>
      </c>
      <c r="D1014" s="31" t="s">
        <v>108</v>
      </c>
      <c r="E1014" s="32" t="n">
        <v>2600</v>
      </c>
      <c r="F1014" s="32" t="n">
        <v>950</v>
      </c>
      <c r="G1014" s="32" t="n">
        <v>200</v>
      </c>
      <c r="H1014" s="33" t="n">
        <v>1</v>
      </c>
      <c r="I1014" s="34" t="n">
        <f aca="false">E1014*H1014+N(F1014)+N(G1014)</f>
        <v>3750</v>
      </c>
      <c r="J1014" s="32" t="n">
        <f aca="false">ROUND(IFERROR(ROUND(IF(OR(ISNUMBER(SEARCH("week",C1014)),ISNUMBER(SEARCH("minggu",C1014))),IFERROR(_xlfn.NUMBERVALUE(SUBSTITUTE(LEFT(TRIM(C1014),FIND(" ",TRIM(C1014)&amp;" ")-1),",","."),"."),LEFT(SUBSTITUTE(LEFT(TRIM(C1014),FIND(" ",TRIM(C1014)&amp;" ")-1),",","."),FIND("/",SUBSTITUTE(LEFT(TRIM(C1014),FIND(" ",TRIM(C1014)&amp;" ")-1),",","."))-1)/MID(SUBSTITUTE(LEFT(TRIM(C1014),FIND(" ",TRIM(C1014)&amp;" ")-1),",","."),FIND("/",SUBSTITUTE(LEFT(TRIM(C1014),FIND(" ",TRIM(C1014)&amp;" ")-1),",","."))+1,9))*12/52,IF(ISNUMBER(SEARCH("month",C1014)),IFERROR(_xlfn.NUMBERVALUE(SUBSTITUTE(LEFT(TRIM(C1014),FIND(" ",TRIM(C1014)&amp;" ")-1),",","."),"."),LEFT(SUBSTITUTE(LEFT(TRIM(C1014),FIND(" ",TRIM(C1014)&amp;" ")-1),",","."),FIND("/",SUBSTITUTE(LEFT(TRIM(C1014),FIND(" ",TRIM(C1014)&amp;" ")-1),",","."))-1)/MID(SUBSTITUTE(LEFT(TRIM(C1014),FIND(" ",TRIM(C1014)&amp;" ")-1),",","."),FIND("/",SUBSTITUTE(LEFT(TRIM(C1014),FIND(" ",TRIM(C1014)&amp;" ")-1),",","."))+1,9)),IF(ISNUMBER(SEARCH("yea",C1014)),IFERROR(_xlfn.NUMBERVALUE(SUBSTITUTE(LEFT(TRIM(C1014),FIND(" ",TRIM(C1014)&amp;" ")-1),",","."),"."),LEFT(SUBSTITUTE(LEFT(TRIM(C1014),FIND(" ",TRIM(C1014)&amp;" ")-1),",","."),FIND("/",SUBSTITUTE(LEFT(TRIM(C1014),FIND(" ",TRIM(C1014)&amp;" ")-1),",","."))-1)/MID(SUBSTITUTE(LEFT(TRIM(C1014),FIND(" ",TRIM(C1014)&amp;" ")-1),",","."),FIND("/",SUBSTITUTE(LEFT(TRIM(C1014),FIND(" ",TRIM(C1014)&amp;" ")-1),",","."))+1,9))*12,NA()))),0),24)*'Aturan &amp; Tarif'!$B$4,2)</f>
        <v>1362.72</v>
      </c>
      <c r="K1014" s="32" t="n">
        <f aca="false">'Aturan &amp; Tarif'!$B$5</f>
        <v>2050</v>
      </c>
      <c r="L1014" s="35" t="n">
        <f aca="false">I1014+J1014+K1014</f>
        <v>7162.72</v>
      </c>
      <c r="M1014" s="36" t="s">
        <v>131</v>
      </c>
    </row>
    <row r="1015" customFormat="false" ht="37.5" hidden="false" customHeight="true" outlineLevel="0" collapsed="false">
      <c r="A1015" s="29"/>
      <c r="B1015" s="30" t="s">
        <v>2539</v>
      </c>
      <c r="C1015" s="31" t="s">
        <v>127</v>
      </c>
      <c r="D1015" s="31" t="s">
        <v>108</v>
      </c>
      <c r="E1015" s="32" t="n">
        <v>2600</v>
      </c>
      <c r="F1015" s="32" t="n">
        <v>950</v>
      </c>
      <c r="G1015" s="32" t="n">
        <v>200</v>
      </c>
      <c r="H1015" s="33" t="n">
        <v>1</v>
      </c>
      <c r="I1015" s="34" t="n">
        <f aca="false">E1015*H1015+N(F1015)+N(G1015)</f>
        <v>3750</v>
      </c>
      <c r="J1015" s="32" t="n">
        <f aca="false">ROUND(IFERROR(ROUND(IF(OR(ISNUMBER(SEARCH("week",C1015)),ISNUMBER(SEARCH("minggu",C1015))),IFERROR(_xlfn.NUMBERVALUE(SUBSTITUTE(LEFT(TRIM(C1015),FIND(" ",TRIM(C1015)&amp;" ")-1),",","."),"."),LEFT(SUBSTITUTE(LEFT(TRIM(C1015),FIND(" ",TRIM(C1015)&amp;" ")-1),",","."),FIND("/",SUBSTITUTE(LEFT(TRIM(C1015),FIND(" ",TRIM(C1015)&amp;" ")-1),",","."))-1)/MID(SUBSTITUTE(LEFT(TRIM(C1015),FIND(" ",TRIM(C1015)&amp;" ")-1),",","."),FIND("/",SUBSTITUTE(LEFT(TRIM(C1015),FIND(" ",TRIM(C1015)&amp;" ")-1),",","."))+1,9))*12/52,IF(ISNUMBER(SEARCH("month",C1015)),IFERROR(_xlfn.NUMBERVALUE(SUBSTITUTE(LEFT(TRIM(C1015),FIND(" ",TRIM(C1015)&amp;" ")-1),",","."),"."),LEFT(SUBSTITUTE(LEFT(TRIM(C1015),FIND(" ",TRIM(C1015)&amp;" ")-1),",","."),FIND("/",SUBSTITUTE(LEFT(TRIM(C1015),FIND(" ",TRIM(C1015)&amp;" ")-1),",","."))-1)/MID(SUBSTITUTE(LEFT(TRIM(C1015),FIND(" ",TRIM(C1015)&amp;" ")-1),",","."),FIND("/",SUBSTITUTE(LEFT(TRIM(C1015),FIND(" ",TRIM(C1015)&amp;" ")-1),",","."))+1,9)),IF(ISNUMBER(SEARCH("yea",C1015)),IFERROR(_xlfn.NUMBERVALUE(SUBSTITUTE(LEFT(TRIM(C1015),FIND(" ",TRIM(C1015)&amp;" ")-1),",","."),"."),LEFT(SUBSTITUTE(LEFT(TRIM(C1015),FIND(" ",TRIM(C1015)&amp;" ")-1),",","."),FIND("/",SUBSTITUTE(LEFT(TRIM(C1015),FIND(" ",TRIM(C1015)&amp;" ")-1),",","."))-1)/MID(SUBSTITUTE(LEFT(TRIM(C1015),FIND(" ",TRIM(C1015)&amp;" ")-1),",","."),FIND("/",SUBSTITUTE(LEFT(TRIM(C1015),FIND(" ",TRIM(C1015)&amp;" ")-1),",","."))+1,9))*12,NA()))),0),36)*'Aturan &amp; Tarif'!$B$4,2)</f>
        <v>2044.08</v>
      </c>
      <c r="K1015" s="32" t="n">
        <f aca="false">'Aturan &amp; Tarif'!$B$5</f>
        <v>2050</v>
      </c>
      <c r="L1015" s="35" t="n">
        <f aca="false">I1015+J1015+K1015</f>
        <v>7844.08</v>
      </c>
      <c r="M1015" s="36" t="s">
        <v>131</v>
      </c>
    </row>
    <row r="1016" customFormat="false" ht="37.5" hidden="false" customHeight="true" outlineLevel="0" collapsed="false">
      <c r="A1016" s="39" t="s">
        <v>2540</v>
      </c>
      <c r="B1016" s="40" t="s">
        <v>2541</v>
      </c>
      <c r="C1016" s="41" t="s">
        <v>107</v>
      </c>
      <c r="D1016" s="41" t="s">
        <v>108</v>
      </c>
      <c r="E1016" s="42" t="n">
        <v>1500</v>
      </c>
      <c r="F1016" s="42" t="n">
        <v>60</v>
      </c>
      <c r="G1016" s="42" t="n">
        <v>250</v>
      </c>
      <c r="H1016" s="43" t="n">
        <v>1</v>
      </c>
      <c r="I1016" s="34" t="n">
        <f aca="false">E1016*H1016+N(F1016)+N(G1016)</f>
        <v>1810</v>
      </c>
      <c r="J1016" s="42" t="n">
        <f aca="false">ROUND(IFERROR(ROUND(IF(OR(ISNUMBER(SEARCH("week",C1016)),ISNUMBER(SEARCH("minggu",C1016))),IFERROR(_xlfn.NUMBERVALUE(SUBSTITUTE(LEFT(TRIM(C1016),FIND(" ",TRIM(C1016)&amp;" ")-1),",","."),"."),LEFT(SUBSTITUTE(LEFT(TRIM(C1016),FIND(" ",TRIM(C1016)&amp;" ")-1),",","."),FIND("/",SUBSTITUTE(LEFT(TRIM(C1016),FIND(" ",TRIM(C1016)&amp;" ")-1),",","."))-1)/MID(SUBSTITUTE(LEFT(TRIM(C1016),FIND(" ",TRIM(C1016)&amp;" ")-1),",","."),FIND("/",SUBSTITUTE(LEFT(TRIM(C1016),FIND(" ",TRIM(C1016)&amp;" ")-1),",","."))+1,9))*12/52,IF(ISNUMBER(SEARCH("month",C1016)),IFERROR(_xlfn.NUMBERVALUE(SUBSTITUTE(LEFT(TRIM(C1016),FIND(" ",TRIM(C1016)&amp;" ")-1),",","."),"."),LEFT(SUBSTITUTE(LEFT(TRIM(C1016),FIND(" ",TRIM(C1016)&amp;" ")-1),",","."),FIND("/",SUBSTITUTE(LEFT(TRIM(C1016),FIND(" ",TRIM(C1016)&amp;" ")-1),",","."))-1)/MID(SUBSTITUTE(LEFT(TRIM(C1016),FIND(" ",TRIM(C1016)&amp;" ")-1),",","."),FIND("/",SUBSTITUTE(LEFT(TRIM(C1016),FIND(" ",TRIM(C1016)&amp;" ")-1),",","."))+1,9)),IF(ISNUMBER(SEARCH("yea",C1016)),IFERROR(_xlfn.NUMBERVALUE(SUBSTITUTE(LEFT(TRIM(C1016),FIND(" ",TRIM(C1016)&amp;" ")-1),",","."),"."),LEFT(SUBSTITUTE(LEFT(TRIM(C1016),FIND(" ",TRIM(C1016)&amp;" ")-1),",","."),FIND("/",SUBSTITUTE(LEFT(TRIM(C1016),FIND(" ",TRIM(C1016)&amp;" ")-1),",","."))-1)/MID(SUBSTITUTE(LEFT(TRIM(C1016),FIND(" ",TRIM(C1016)&amp;" ")-1),",","."),FIND("/",SUBSTITUTE(LEFT(TRIM(C1016),FIND(" ",TRIM(C1016)&amp;" ")-1),",","."))+1,9))*12,NA()))),0),24)*'Aturan &amp; Tarif'!$B$4,2)</f>
        <v>1362.72</v>
      </c>
      <c r="K1016" s="42" t="n">
        <f aca="false">'Aturan &amp; Tarif'!$B$5</f>
        <v>2050</v>
      </c>
      <c r="L1016" s="35" t="n">
        <f aca="false">I1016+J1016+K1016</f>
        <v>5222.72</v>
      </c>
      <c r="M1016" s="45" t="s">
        <v>3274</v>
      </c>
    </row>
    <row r="1017" customFormat="false" ht="14.25" hidden="false" customHeight="true" outlineLevel="0" collapsed="false">
      <c r="A1017" s="39"/>
      <c r="B1017" s="40" t="s">
        <v>2543</v>
      </c>
      <c r="C1017" s="41" t="s">
        <v>127</v>
      </c>
      <c r="D1017" s="41" t="s">
        <v>108</v>
      </c>
      <c r="E1017" s="42" t="n">
        <v>1500</v>
      </c>
      <c r="F1017" s="42" t="n">
        <v>60</v>
      </c>
      <c r="G1017" s="42" t="n">
        <v>250</v>
      </c>
      <c r="H1017" s="43" t="n">
        <v>1</v>
      </c>
      <c r="I1017" s="34" t="n">
        <f aca="false">E1017*H1017+N(F1017)+N(G1017)</f>
        <v>1810</v>
      </c>
      <c r="J1017" s="42" t="n">
        <f aca="false">ROUND(IFERROR(ROUND(IF(OR(ISNUMBER(SEARCH("week",C1017)),ISNUMBER(SEARCH("minggu",C1017))),IFERROR(_xlfn.NUMBERVALUE(SUBSTITUTE(LEFT(TRIM(C1017),FIND(" ",TRIM(C1017)&amp;" ")-1),",","."),"."),LEFT(SUBSTITUTE(LEFT(TRIM(C1017),FIND(" ",TRIM(C1017)&amp;" ")-1),",","."),FIND("/",SUBSTITUTE(LEFT(TRIM(C1017),FIND(" ",TRIM(C1017)&amp;" ")-1),",","."))-1)/MID(SUBSTITUTE(LEFT(TRIM(C1017),FIND(" ",TRIM(C1017)&amp;" ")-1),",","."),FIND("/",SUBSTITUTE(LEFT(TRIM(C1017),FIND(" ",TRIM(C1017)&amp;" ")-1),",","."))+1,9))*12/52,IF(ISNUMBER(SEARCH("month",C1017)),IFERROR(_xlfn.NUMBERVALUE(SUBSTITUTE(LEFT(TRIM(C1017),FIND(" ",TRIM(C1017)&amp;" ")-1),",","."),"."),LEFT(SUBSTITUTE(LEFT(TRIM(C1017),FIND(" ",TRIM(C1017)&amp;" ")-1),",","."),FIND("/",SUBSTITUTE(LEFT(TRIM(C1017),FIND(" ",TRIM(C1017)&amp;" ")-1),",","."))-1)/MID(SUBSTITUTE(LEFT(TRIM(C1017),FIND(" ",TRIM(C1017)&amp;" ")-1),",","."),FIND("/",SUBSTITUTE(LEFT(TRIM(C1017),FIND(" ",TRIM(C1017)&amp;" ")-1),",","."))+1,9)),IF(ISNUMBER(SEARCH("yea",C1017)),IFERROR(_xlfn.NUMBERVALUE(SUBSTITUTE(LEFT(TRIM(C1017),FIND(" ",TRIM(C1017)&amp;" ")-1),",","."),"."),LEFT(SUBSTITUTE(LEFT(TRIM(C1017),FIND(" ",TRIM(C1017)&amp;" ")-1),",","."),FIND("/",SUBSTITUTE(LEFT(TRIM(C1017),FIND(" ",TRIM(C1017)&amp;" ")-1),",","."))-1)/MID(SUBSTITUTE(LEFT(TRIM(C1017),FIND(" ",TRIM(C1017)&amp;" ")-1),",","."),FIND("/",SUBSTITUTE(LEFT(TRIM(C1017),FIND(" ",TRIM(C1017)&amp;" ")-1),",","."))+1,9))*12,NA()))),0),36)*'Aturan &amp; Tarif'!$B$4,2)</f>
        <v>2044.08</v>
      </c>
      <c r="K1017" s="42" t="n">
        <f aca="false">'Aturan &amp; Tarif'!$B$5</f>
        <v>2050</v>
      </c>
      <c r="L1017" s="35" t="n">
        <f aca="false">I1017+J1017+K1017</f>
        <v>5904.08</v>
      </c>
      <c r="M1017" s="45" t="s">
        <v>3274</v>
      </c>
    </row>
    <row r="1018" customFormat="false" ht="25.5" hidden="false" customHeight="true" outlineLevel="0" collapsed="false">
      <c r="A1018" s="39"/>
      <c r="B1018" s="40" t="s">
        <v>2544</v>
      </c>
      <c r="C1018" s="41" t="s">
        <v>191</v>
      </c>
      <c r="D1018" s="41" t="s">
        <v>108</v>
      </c>
      <c r="E1018" s="42" t="n">
        <v>1500</v>
      </c>
      <c r="F1018" s="42" t="n">
        <v>60</v>
      </c>
      <c r="G1018" s="42" t="n">
        <v>250</v>
      </c>
      <c r="H1018" s="43" t="n">
        <v>1</v>
      </c>
      <c r="I1018" s="34" t="n">
        <f aca="false">E1018*H1018+N(F1018)+N(G1018)</f>
        <v>1810</v>
      </c>
      <c r="J1018" s="42" t="n">
        <f aca="false">ROUND(IFERROR(ROUND(IF(OR(ISNUMBER(SEARCH("week",C1018)),ISNUMBER(SEARCH("minggu",C1018))),IFERROR(_xlfn.NUMBERVALUE(SUBSTITUTE(LEFT(TRIM(C1018),FIND(" ",TRIM(C1018)&amp;" ")-1),",","."),"."),LEFT(SUBSTITUTE(LEFT(TRIM(C1018),FIND(" ",TRIM(C1018)&amp;" ")-1),",","."),FIND("/",SUBSTITUTE(LEFT(TRIM(C1018),FIND(" ",TRIM(C1018)&amp;" ")-1),",","."))-1)/MID(SUBSTITUTE(LEFT(TRIM(C1018),FIND(" ",TRIM(C1018)&amp;" ")-1),",","."),FIND("/",SUBSTITUTE(LEFT(TRIM(C1018),FIND(" ",TRIM(C1018)&amp;" ")-1),",","."))+1,9))*12/52,IF(ISNUMBER(SEARCH("month",C1018)),IFERROR(_xlfn.NUMBERVALUE(SUBSTITUTE(LEFT(TRIM(C1018),FIND(" ",TRIM(C1018)&amp;" ")-1),",","."),"."),LEFT(SUBSTITUTE(LEFT(TRIM(C1018),FIND(" ",TRIM(C1018)&amp;" ")-1),",","."),FIND("/",SUBSTITUTE(LEFT(TRIM(C1018),FIND(" ",TRIM(C1018)&amp;" ")-1),",","."))-1)/MID(SUBSTITUTE(LEFT(TRIM(C1018),FIND(" ",TRIM(C1018)&amp;" ")-1),",","."),FIND("/",SUBSTITUTE(LEFT(TRIM(C1018),FIND(" ",TRIM(C1018)&amp;" ")-1),",","."))+1,9)),IF(ISNUMBER(SEARCH("yea",C1018)),IFERROR(_xlfn.NUMBERVALUE(SUBSTITUTE(LEFT(TRIM(C1018),FIND(" ",TRIM(C1018)&amp;" ")-1),",","."),"."),LEFT(SUBSTITUTE(LEFT(TRIM(C1018),FIND(" ",TRIM(C1018)&amp;" ")-1),",","."),FIND("/",SUBSTITUTE(LEFT(TRIM(C1018),FIND(" ",TRIM(C1018)&amp;" ")-1),",","."))-1)/MID(SUBSTITUTE(LEFT(TRIM(C1018),FIND(" ",TRIM(C1018)&amp;" ")-1),",","."),FIND("/",SUBSTITUTE(LEFT(TRIM(C1018),FIND(" ",TRIM(C1018)&amp;" ")-1),",","."))+1,9))*12,NA()))),0),48)*'Aturan &amp; Tarif'!$B$4,2)</f>
        <v>2725.44</v>
      </c>
      <c r="K1018" s="42" t="n">
        <f aca="false">'Aturan &amp; Tarif'!$B$5</f>
        <v>2050</v>
      </c>
      <c r="L1018" s="35" t="n">
        <f aca="false">I1018+J1018+K1018</f>
        <v>6585.44</v>
      </c>
      <c r="M1018" s="45" t="s">
        <v>3274</v>
      </c>
    </row>
    <row r="1019" customFormat="false" ht="25.5" hidden="false" customHeight="true" outlineLevel="0" collapsed="false">
      <c r="A1019" s="39"/>
      <c r="B1019" s="40" t="s">
        <v>2545</v>
      </c>
      <c r="C1019" s="41" t="s">
        <v>2024</v>
      </c>
      <c r="D1019" s="41" t="s">
        <v>108</v>
      </c>
      <c r="E1019" s="42" t="n">
        <v>1500</v>
      </c>
      <c r="F1019" s="42" t="n">
        <v>60</v>
      </c>
      <c r="G1019" s="42" t="n">
        <v>250</v>
      </c>
      <c r="H1019" s="43" t="n">
        <v>1</v>
      </c>
      <c r="I1019" s="34" t="n">
        <f aca="false">E1019*H1019+N(F1019)+N(G1019)</f>
        <v>1810</v>
      </c>
      <c r="J1019" s="42" t="n">
        <f aca="false">ROUND(IFERROR(ROUND(IF(OR(ISNUMBER(SEARCH("week",C1019)),ISNUMBER(SEARCH("minggu",C1019))),IFERROR(_xlfn.NUMBERVALUE(SUBSTITUTE(LEFT(TRIM(C1019),FIND(" ",TRIM(C1019)&amp;" ")-1),",","."),"."),LEFT(SUBSTITUTE(LEFT(TRIM(C1019),FIND(" ",TRIM(C1019)&amp;" ")-1),",","."),FIND("/",SUBSTITUTE(LEFT(TRIM(C1019),FIND(" ",TRIM(C1019)&amp;" ")-1),",","."))-1)/MID(SUBSTITUTE(LEFT(TRIM(C1019),FIND(" ",TRIM(C1019)&amp;" ")-1),",","."),FIND("/",SUBSTITUTE(LEFT(TRIM(C1019),FIND(" ",TRIM(C1019)&amp;" ")-1),",","."))+1,9))*12/52,IF(ISNUMBER(SEARCH("month",C1019)),IFERROR(_xlfn.NUMBERVALUE(SUBSTITUTE(LEFT(TRIM(C1019),FIND(" ",TRIM(C1019)&amp;" ")-1),",","."),"."),LEFT(SUBSTITUTE(LEFT(TRIM(C1019),FIND(" ",TRIM(C1019)&amp;" ")-1),",","."),FIND("/",SUBSTITUTE(LEFT(TRIM(C1019),FIND(" ",TRIM(C1019)&amp;" ")-1),",","."))-1)/MID(SUBSTITUTE(LEFT(TRIM(C1019),FIND(" ",TRIM(C1019)&amp;" ")-1),",","."),FIND("/",SUBSTITUTE(LEFT(TRIM(C1019),FIND(" ",TRIM(C1019)&amp;" ")-1),",","."))+1,9)),IF(ISNUMBER(SEARCH("yea",C1019)),IFERROR(_xlfn.NUMBERVALUE(SUBSTITUTE(LEFT(TRIM(C1019),FIND(" ",TRIM(C1019)&amp;" ")-1),",","."),"."),LEFT(SUBSTITUTE(LEFT(TRIM(C1019),FIND(" ",TRIM(C1019)&amp;" ")-1),",","."),FIND("/",SUBSTITUTE(LEFT(TRIM(C1019),FIND(" ",TRIM(C1019)&amp;" ")-1),",","."))-1)/MID(SUBSTITUTE(LEFT(TRIM(C1019),FIND(" ",TRIM(C1019)&amp;" ")-1),",","."),FIND("/",SUBSTITUTE(LEFT(TRIM(C1019),FIND(" ",TRIM(C1019)&amp;" ")-1),",","."))+1,9))*12,NA()))),0),54)*'Aturan &amp; Tarif'!$B$4,2)</f>
        <v>3066.12</v>
      </c>
      <c r="K1019" s="42" t="n">
        <f aca="false">'Aturan &amp; Tarif'!$B$5</f>
        <v>2050</v>
      </c>
      <c r="L1019" s="35" t="n">
        <f aca="false">I1019+J1019+K1019</f>
        <v>6926.12</v>
      </c>
      <c r="M1019" s="45" t="s">
        <v>3274</v>
      </c>
    </row>
    <row r="1020" customFormat="false" ht="25.5" hidden="false" customHeight="true" outlineLevel="0" collapsed="false">
      <c r="A1020" s="39"/>
      <c r="B1020" s="40" t="s">
        <v>496</v>
      </c>
      <c r="C1020" s="41" t="s">
        <v>138</v>
      </c>
      <c r="D1020" s="41" t="s">
        <v>108</v>
      </c>
      <c r="E1020" s="42" t="n">
        <v>1500</v>
      </c>
      <c r="F1020" s="42" t="n">
        <v>60</v>
      </c>
      <c r="G1020" s="42" t="n">
        <v>250</v>
      </c>
      <c r="H1020" s="43" t="n">
        <v>1</v>
      </c>
      <c r="I1020" s="34" t="n">
        <f aca="false">E1020*H1020+N(F1020)+N(G1020)</f>
        <v>1810</v>
      </c>
      <c r="J1020" s="42" t="n">
        <f aca="false">ROUND(IFERROR(ROUND(IF(OR(ISNUMBER(SEARCH("week",C1020)),ISNUMBER(SEARCH("minggu",C1020))),IFERROR(_xlfn.NUMBERVALUE(SUBSTITUTE(LEFT(TRIM(C1020),FIND(" ",TRIM(C1020)&amp;" ")-1),",","."),"."),LEFT(SUBSTITUTE(LEFT(TRIM(C1020),FIND(" ",TRIM(C1020)&amp;" ")-1),",","."),FIND("/",SUBSTITUTE(LEFT(TRIM(C1020),FIND(" ",TRIM(C1020)&amp;" ")-1),",","."))-1)/MID(SUBSTITUTE(LEFT(TRIM(C1020),FIND(" ",TRIM(C1020)&amp;" ")-1),",","."),FIND("/",SUBSTITUTE(LEFT(TRIM(C1020),FIND(" ",TRIM(C1020)&amp;" ")-1),",","."))+1,9))*12/52,IF(ISNUMBER(SEARCH("month",C1020)),IFERROR(_xlfn.NUMBERVALUE(SUBSTITUTE(LEFT(TRIM(C1020),FIND(" ",TRIM(C1020)&amp;" ")-1),",","."),"."),LEFT(SUBSTITUTE(LEFT(TRIM(C1020),FIND(" ",TRIM(C1020)&amp;" ")-1),",","."),FIND("/",SUBSTITUTE(LEFT(TRIM(C1020),FIND(" ",TRIM(C1020)&amp;" ")-1),",","."))-1)/MID(SUBSTITUTE(LEFT(TRIM(C1020),FIND(" ",TRIM(C1020)&amp;" ")-1),",","."),FIND("/",SUBSTITUTE(LEFT(TRIM(C1020),FIND(" ",TRIM(C1020)&amp;" ")-1),",","."))+1,9)),IF(ISNUMBER(SEARCH("yea",C1020)),IFERROR(_xlfn.NUMBERVALUE(SUBSTITUTE(LEFT(TRIM(C1020),FIND(" ",TRIM(C1020)&amp;" ")-1),",","."),"."),LEFT(SUBSTITUTE(LEFT(TRIM(C1020),FIND(" ",TRIM(C1020)&amp;" ")-1),",","."),FIND("/",SUBSTITUTE(LEFT(TRIM(C1020),FIND(" ",TRIM(C1020)&amp;" ")-1),",","."))-1)/MID(SUBSTITUTE(LEFT(TRIM(C1020),FIND(" ",TRIM(C1020)&amp;" ")-1),",","."),FIND("/",SUBSTITUTE(LEFT(TRIM(C1020),FIND(" ",TRIM(C1020)&amp;" ")-1),",","."))+1,9))*12,NA()))),0),30)*'Aturan &amp; Tarif'!$B$4,2)</f>
        <v>1703.4</v>
      </c>
      <c r="K1020" s="42" t="n">
        <f aca="false">'Aturan &amp; Tarif'!$B$5</f>
        <v>2050</v>
      </c>
      <c r="L1020" s="35" t="n">
        <f aca="false">I1020+J1020+K1020</f>
        <v>5563.4</v>
      </c>
      <c r="M1020" s="45" t="s">
        <v>3274</v>
      </c>
    </row>
    <row r="1021" customFormat="false" ht="25.5" hidden="false" customHeight="true" outlineLevel="0" collapsed="false">
      <c r="A1021" s="39"/>
      <c r="B1021" s="40" t="s">
        <v>2546</v>
      </c>
      <c r="C1021" s="41" t="s">
        <v>191</v>
      </c>
      <c r="D1021" s="41" t="s">
        <v>108</v>
      </c>
      <c r="E1021" s="42" t="n">
        <v>1500</v>
      </c>
      <c r="F1021" s="42" t="n">
        <v>60</v>
      </c>
      <c r="G1021" s="42" t="n">
        <v>250</v>
      </c>
      <c r="H1021" s="43" t="n">
        <v>1</v>
      </c>
      <c r="I1021" s="34" t="n">
        <f aca="false">E1021*H1021+N(F1021)+N(G1021)</f>
        <v>1810</v>
      </c>
      <c r="J1021" s="42" t="n">
        <f aca="false">ROUND(IFERROR(ROUND(IF(OR(ISNUMBER(SEARCH("week",C1021)),ISNUMBER(SEARCH("minggu",C1021))),IFERROR(_xlfn.NUMBERVALUE(SUBSTITUTE(LEFT(TRIM(C1021),FIND(" ",TRIM(C1021)&amp;" ")-1),",","."),"."),LEFT(SUBSTITUTE(LEFT(TRIM(C1021),FIND(" ",TRIM(C1021)&amp;" ")-1),",","."),FIND("/",SUBSTITUTE(LEFT(TRIM(C1021),FIND(" ",TRIM(C1021)&amp;" ")-1),",","."))-1)/MID(SUBSTITUTE(LEFT(TRIM(C1021),FIND(" ",TRIM(C1021)&amp;" ")-1),",","."),FIND("/",SUBSTITUTE(LEFT(TRIM(C1021),FIND(" ",TRIM(C1021)&amp;" ")-1),",","."))+1,9))*12/52,IF(ISNUMBER(SEARCH("month",C1021)),IFERROR(_xlfn.NUMBERVALUE(SUBSTITUTE(LEFT(TRIM(C1021),FIND(" ",TRIM(C1021)&amp;" ")-1),",","."),"."),LEFT(SUBSTITUTE(LEFT(TRIM(C1021),FIND(" ",TRIM(C1021)&amp;" ")-1),",","."),FIND("/",SUBSTITUTE(LEFT(TRIM(C1021),FIND(" ",TRIM(C1021)&amp;" ")-1),",","."))-1)/MID(SUBSTITUTE(LEFT(TRIM(C1021),FIND(" ",TRIM(C1021)&amp;" ")-1),",","."),FIND("/",SUBSTITUTE(LEFT(TRIM(C1021),FIND(" ",TRIM(C1021)&amp;" ")-1),",","."))+1,9)),IF(ISNUMBER(SEARCH("yea",C1021)),IFERROR(_xlfn.NUMBERVALUE(SUBSTITUTE(LEFT(TRIM(C1021),FIND(" ",TRIM(C1021)&amp;" ")-1),",","."),"."),LEFT(SUBSTITUTE(LEFT(TRIM(C1021),FIND(" ",TRIM(C1021)&amp;" ")-1),",","."),FIND("/",SUBSTITUTE(LEFT(TRIM(C1021),FIND(" ",TRIM(C1021)&amp;" ")-1),",","."))-1)/MID(SUBSTITUTE(LEFT(TRIM(C1021),FIND(" ",TRIM(C1021)&amp;" ")-1),",","."),FIND("/",SUBSTITUTE(LEFT(TRIM(C1021),FIND(" ",TRIM(C1021)&amp;" ")-1),",","."))+1,9))*12,NA()))),0),48)*'Aturan &amp; Tarif'!$B$4,2)</f>
        <v>2725.44</v>
      </c>
      <c r="K1021" s="42" t="n">
        <f aca="false">'Aturan &amp; Tarif'!$B$5</f>
        <v>2050</v>
      </c>
      <c r="L1021" s="35" t="n">
        <f aca="false">I1021+J1021+K1021</f>
        <v>6585.44</v>
      </c>
      <c r="M1021" s="45" t="s">
        <v>3274</v>
      </c>
    </row>
    <row r="1022" customFormat="false" ht="14.25" hidden="false" customHeight="true" outlineLevel="0" collapsed="false">
      <c r="A1022" s="39"/>
      <c r="B1022" s="40" t="s">
        <v>2547</v>
      </c>
      <c r="C1022" s="41" t="s">
        <v>127</v>
      </c>
      <c r="D1022" s="41" t="s">
        <v>108</v>
      </c>
      <c r="E1022" s="42" t="n">
        <v>1750</v>
      </c>
      <c r="F1022" s="42" t="n">
        <v>60</v>
      </c>
      <c r="G1022" s="42" t="n">
        <v>250</v>
      </c>
      <c r="H1022" s="43" t="n">
        <v>1</v>
      </c>
      <c r="I1022" s="34" t="n">
        <f aca="false">E1022*H1022+N(F1022)+N(G1022)</f>
        <v>2060</v>
      </c>
      <c r="J1022" s="42" t="n">
        <f aca="false">ROUND(IFERROR(ROUND(IF(OR(ISNUMBER(SEARCH("week",C1022)),ISNUMBER(SEARCH("minggu",C1022))),IFERROR(_xlfn.NUMBERVALUE(SUBSTITUTE(LEFT(TRIM(C1022),FIND(" ",TRIM(C1022)&amp;" ")-1),",","."),"."),LEFT(SUBSTITUTE(LEFT(TRIM(C1022),FIND(" ",TRIM(C1022)&amp;" ")-1),",","."),FIND("/",SUBSTITUTE(LEFT(TRIM(C1022),FIND(" ",TRIM(C1022)&amp;" ")-1),",","."))-1)/MID(SUBSTITUTE(LEFT(TRIM(C1022),FIND(" ",TRIM(C1022)&amp;" ")-1),",","."),FIND("/",SUBSTITUTE(LEFT(TRIM(C1022),FIND(" ",TRIM(C1022)&amp;" ")-1),",","."))+1,9))*12/52,IF(ISNUMBER(SEARCH("month",C1022)),IFERROR(_xlfn.NUMBERVALUE(SUBSTITUTE(LEFT(TRIM(C1022),FIND(" ",TRIM(C1022)&amp;" ")-1),",","."),"."),LEFT(SUBSTITUTE(LEFT(TRIM(C1022),FIND(" ",TRIM(C1022)&amp;" ")-1),",","."),FIND("/",SUBSTITUTE(LEFT(TRIM(C1022),FIND(" ",TRIM(C1022)&amp;" ")-1),",","."))-1)/MID(SUBSTITUTE(LEFT(TRIM(C1022),FIND(" ",TRIM(C1022)&amp;" ")-1),",","."),FIND("/",SUBSTITUTE(LEFT(TRIM(C1022),FIND(" ",TRIM(C1022)&amp;" ")-1),",","."))+1,9)),IF(ISNUMBER(SEARCH("yea",C1022)),IFERROR(_xlfn.NUMBERVALUE(SUBSTITUTE(LEFT(TRIM(C1022),FIND(" ",TRIM(C1022)&amp;" ")-1),",","."),"."),LEFT(SUBSTITUTE(LEFT(TRIM(C1022),FIND(" ",TRIM(C1022)&amp;" ")-1),",","."),FIND("/",SUBSTITUTE(LEFT(TRIM(C1022),FIND(" ",TRIM(C1022)&amp;" ")-1),",","."))-1)/MID(SUBSTITUTE(LEFT(TRIM(C1022),FIND(" ",TRIM(C1022)&amp;" ")-1),",","."),FIND("/",SUBSTITUTE(LEFT(TRIM(C1022),FIND(" ",TRIM(C1022)&amp;" ")-1),",","."))+1,9))*12,NA()))),0),36)*'Aturan &amp; Tarif'!$B$4,2)</f>
        <v>2044.08</v>
      </c>
      <c r="K1022" s="42" t="n">
        <f aca="false">'Aturan &amp; Tarif'!$B$5</f>
        <v>2050</v>
      </c>
      <c r="L1022" s="35" t="n">
        <f aca="false">I1022+J1022+K1022</f>
        <v>6154.08</v>
      </c>
      <c r="M1022" s="45" t="s">
        <v>3274</v>
      </c>
    </row>
    <row r="1023" customFormat="false" ht="14.25" hidden="false" customHeight="true" outlineLevel="0" collapsed="false">
      <c r="A1023" s="39" t="s">
        <v>3275</v>
      </c>
      <c r="B1023" s="40" t="s">
        <v>148</v>
      </c>
      <c r="C1023" s="41" t="s">
        <v>107</v>
      </c>
      <c r="D1023" s="41" t="s">
        <v>108</v>
      </c>
      <c r="E1023" s="42" t="n">
        <v>2000</v>
      </c>
      <c r="F1023" s="42" t="n">
        <v>2000</v>
      </c>
      <c r="G1023" s="42" t="n">
        <v>250</v>
      </c>
      <c r="H1023" s="43" t="n">
        <v>1</v>
      </c>
      <c r="I1023" s="34" t="n">
        <f aca="false">E1023*H1023+N(F1023)+N(G1023)</f>
        <v>4250</v>
      </c>
      <c r="J1023" s="42" t="n">
        <f aca="false">ROUND(IFERROR(ROUND(IF(OR(ISNUMBER(SEARCH("week",C1023)),ISNUMBER(SEARCH("minggu",C1023))),IFERROR(_xlfn.NUMBERVALUE(SUBSTITUTE(LEFT(TRIM(C1023),FIND(" ",TRIM(C1023)&amp;" ")-1),",","."),"."),LEFT(SUBSTITUTE(LEFT(TRIM(C1023),FIND(" ",TRIM(C1023)&amp;" ")-1),",","."),FIND("/",SUBSTITUTE(LEFT(TRIM(C1023),FIND(" ",TRIM(C1023)&amp;" ")-1),",","."))-1)/MID(SUBSTITUTE(LEFT(TRIM(C1023),FIND(" ",TRIM(C1023)&amp;" ")-1),",","."),FIND("/",SUBSTITUTE(LEFT(TRIM(C1023),FIND(" ",TRIM(C1023)&amp;" ")-1),",","."))+1,9))*12/52,IF(ISNUMBER(SEARCH("month",C1023)),IFERROR(_xlfn.NUMBERVALUE(SUBSTITUTE(LEFT(TRIM(C1023),FIND(" ",TRIM(C1023)&amp;" ")-1),",","."),"."),LEFT(SUBSTITUTE(LEFT(TRIM(C1023),FIND(" ",TRIM(C1023)&amp;" ")-1),",","."),FIND("/",SUBSTITUTE(LEFT(TRIM(C1023),FIND(" ",TRIM(C1023)&amp;" ")-1),",","."))-1)/MID(SUBSTITUTE(LEFT(TRIM(C1023),FIND(" ",TRIM(C1023)&amp;" ")-1),",","."),FIND("/",SUBSTITUTE(LEFT(TRIM(C1023),FIND(" ",TRIM(C1023)&amp;" ")-1),",","."))+1,9)),IF(ISNUMBER(SEARCH("yea",C1023)),IFERROR(_xlfn.NUMBERVALUE(SUBSTITUTE(LEFT(TRIM(C1023),FIND(" ",TRIM(C1023)&amp;" ")-1),",","."),"."),LEFT(SUBSTITUTE(LEFT(TRIM(C1023),FIND(" ",TRIM(C1023)&amp;" ")-1),",","."),FIND("/",SUBSTITUTE(LEFT(TRIM(C1023),FIND(" ",TRIM(C1023)&amp;" ")-1),",","."))-1)/MID(SUBSTITUTE(LEFT(TRIM(C1023),FIND(" ",TRIM(C1023)&amp;" ")-1),",","."),FIND("/",SUBSTITUTE(LEFT(TRIM(C1023),FIND(" ",TRIM(C1023)&amp;" ")-1),",","."))+1,9))*12,NA()))),0),24)*'Aturan &amp; Tarif'!$B$4,2)</f>
        <v>1362.72</v>
      </c>
      <c r="K1023" s="42" t="n">
        <f aca="false">'Aturan &amp; Tarif'!$B$5</f>
        <v>2050</v>
      </c>
      <c r="L1023" s="35" t="n">
        <f aca="false">I1023+J1023+K1023</f>
        <v>7662.72</v>
      </c>
      <c r="M1023" s="45" t="s">
        <v>134</v>
      </c>
    </row>
    <row r="1024" customFormat="false" ht="25.5" hidden="false" customHeight="true" outlineLevel="0" collapsed="false">
      <c r="A1024" s="39"/>
      <c r="B1024" s="40" t="s">
        <v>3276</v>
      </c>
      <c r="C1024" s="41" t="s">
        <v>107</v>
      </c>
      <c r="D1024" s="41" t="s">
        <v>108</v>
      </c>
      <c r="E1024" s="42" t="n">
        <v>3000</v>
      </c>
      <c r="F1024" s="42" t="n">
        <v>2000</v>
      </c>
      <c r="G1024" s="42" t="n">
        <v>250</v>
      </c>
      <c r="H1024" s="43" t="n">
        <v>1</v>
      </c>
      <c r="I1024" s="34" t="n">
        <f aca="false">E1024*H1024+N(F1024)+N(G1024)</f>
        <v>5250</v>
      </c>
      <c r="J1024" s="42" t="n">
        <f aca="false">ROUND(IFERROR(ROUND(IF(OR(ISNUMBER(SEARCH("week",C1024)),ISNUMBER(SEARCH("minggu",C1024))),IFERROR(_xlfn.NUMBERVALUE(SUBSTITUTE(LEFT(TRIM(C1024),FIND(" ",TRIM(C1024)&amp;" ")-1),",","."),"."),LEFT(SUBSTITUTE(LEFT(TRIM(C1024),FIND(" ",TRIM(C1024)&amp;" ")-1),",","."),FIND("/",SUBSTITUTE(LEFT(TRIM(C1024),FIND(" ",TRIM(C1024)&amp;" ")-1),",","."))-1)/MID(SUBSTITUTE(LEFT(TRIM(C1024),FIND(" ",TRIM(C1024)&amp;" ")-1),",","."),FIND("/",SUBSTITUTE(LEFT(TRIM(C1024),FIND(" ",TRIM(C1024)&amp;" ")-1),",","."))+1,9))*12/52,IF(ISNUMBER(SEARCH("month",C1024)),IFERROR(_xlfn.NUMBERVALUE(SUBSTITUTE(LEFT(TRIM(C1024),FIND(" ",TRIM(C1024)&amp;" ")-1),",","."),"."),LEFT(SUBSTITUTE(LEFT(TRIM(C1024),FIND(" ",TRIM(C1024)&amp;" ")-1),",","."),FIND("/",SUBSTITUTE(LEFT(TRIM(C1024),FIND(" ",TRIM(C1024)&amp;" ")-1),",","."))-1)/MID(SUBSTITUTE(LEFT(TRIM(C1024),FIND(" ",TRIM(C1024)&amp;" ")-1),",","."),FIND("/",SUBSTITUTE(LEFT(TRIM(C1024),FIND(" ",TRIM(C1024)&amp;" ")-1),",","."))+1,9)),IF(ISNUMBER(SEARCH("yea",C1024)),IFERROR(_xlfn.NUMBERVALUE(SUBSTITUTE(LEFT(TRIM(C1024),FIND(" ",TRIM(C1024)&amp;" ")-1),",","."),"."),LEFT(SUBSTITUTE(LEFT(TRIM(C1024),FIND(" ",TRIM(C1024)&amp;" ")-1),",","."),FIND("/",SUBSTITUTE(LEFT(TRIM(C1024),FIND(" ",TRIM(C1024)&amp;" ")-1),",","."))-1)/MID(SUBSTITUTE(LEFT(TRIM(C1024),FIND(" ",TRIM(C1024)&amp;" ")-1),",","."),FIND("/",SUBSTITUTE(LEFT(TRIM(C1024),FIND(" ",TRIM(C1024)&amp;" ")-1),",","."))+1,9))*12,NA()))),0),24)*'Aturan &amp; Tarif'!$B$4,2)</f>
        <v>1362.72</v>
      </c>
      <c r="K1024" s="42" t="n">
        <f aca="false">'Aturan &amp; Tarif'!$B$5</f>
        <v>2050</v>
      </c>
      <c r="L1024" s="35" t="n">
        <f aca="false">I1024+J1024+K1024</f>
        <v>8662.72</v>
      </c>
      <c r="M1024" s="45" t="s">
        <v>134</v>
      </c>
    </row>
    <row r="1025" customFormat="false" ht="37.5" hidden="false" customHeight="true" outlineLevel="0" collapsed="false">
      <c r="A1025" s="39"/>
      <c r="B1025" s="40" t="s">
        <v>3277</v>
      </c>
      <c r="C1025" s="41" t="s">
        <v>107</v>
      </c>
      <c r="D1025" s="41" t="s">
        <v>108</v>
      </c>
      <c r="E1025" s="42" t="n">
        <v>3000</v>
      </c>
      <c r="F1025" s="42" t="n">
        <v>2000</v>
      </c>
      <c r="G1025" s="42" t="n">
        <v>250</v>
      </c>
      <c r="H1025" s="43" t="n">
        <v>1</v>
      </c>
      <c r="I1025" s="34" t="n">
        <f aca="false">E1025*H1025+N(F1025)+N(G1025)</f>
        <v>5250</v>
      </c>
      <c r="J1025" s="42" t="n">
        <f aca="false">ROUND(IFERROR(ROUND(IF(OR(ISNUMBER(SEARCH("week",C1025)),ISNUMBER(SEARCH("minggu",C1025))),IFERROR(_xlfn.NUMBERVALUE(SUBSTITUTE(LEFT(TRIM(C1025),FIND(" ",TRIM(C1025)&amp;" ")-1),",","."),"."),LEFT(SUBSTITUTE(LEFT(TRIM(C1025),FIND(" ",TRIM(C1025)&amp;" ")-1),",","."),FIND("/",SUBSTITUTE(LEFT(TRIM(C1025),FIND(" ",TRIM(C1025)&amp;" ")-1),",","."))-1)/MID(SUBSTITUTE(LEFT(TRIM(C1025),FIND(" ",TRIM(C1025)&amp;" ")-1),",","."),FIND("/",SUBSTITUTE(LEFT(TRIM(C1025),FIND(" ",TRIM(C1025)&amp;" ")-1),",","."))+1,9))*12/52,IF(ISNUMBER(SEARCH("month",C1025)),IFERROR(_xlfn.NUMBERVALUE(SUBSTITUTE(LEFT(TRIM(C1025),FIND(" ",TRIM(C1025)&amp;" ")-1),",","."),"."),LEFT(SUBSTITUTE(LEFT(TRIM(C1025),FIND(" ",TRIM(C1025)&amp;" ")-1),",","."),FIND("/",SUBSTITUTE(LEFT(TRIM(C1025),FIND(" ",TRIM(C1025)&amp;" ")-1),",","."))-1)/MID(SUBSTITUTE(LEFT(TRIM(C1025),FIND(" ",TRIM(C1025)&amp;" ")-1),",","."),FIND("/",SUBSTITUTE(LEFT(TRIM(C1025),FIND(" ",TRIM(C1025)&amp;" ")-1),",","."))+1,9)),IF(ISNUMBER(SEARCH("yea",C1025)),IFERROR(_xlfn.NUMBERVALUE(SUBSTITUTE(LEFT(TRIM(C1025),FIND(" ",TRIM(C1025)&amp;" ")-1),",","."),"."),LEFT(SUBSTITUTE(LEFT(TRIM(C1025),FIND(" ",TRIM(C1025)&amp;" ")-1),",","."),FIND("/",SUBSTITUTE(LEFT(TRIM(C1025),FIND(" ",TRIM(C1025)&amp;" ")-1),",","."))-1)/MID(SUBSTITUTE(LEFT(TRIM(C1025),FIND(" ",TRIM(C1025)&amp;" ")-1),",","."),FIND("/",SUBSTITUTE(LEFT(TRIM(C1025),FIND(" ",TRIM(C1025)&amp;" ")-1),",","."))+1,9))*12,NA()))),0),24)*'Aturan &amp; Tarif'!$B$4,2)</f>
        <v>1362.72</v>
      </c>
      <c r="K1025" s="42" t="n">
        <f aca="false">'Aturan &amp; Tarif'!$B$5</f>
        <v>2050</v>
      </c>
      <c r="L1025" s="35" t="n">
        <f aca="false">I1025+J1025+K1025</f>
        <v>8662.72</v>
      </c>
      <c r="M1025" s="45" t="s">
        <v>134</v>
      </c>
    </row>
    <row r="1026" customFormat="false" ht="60" hidden="false" customHeight="true" outlineLevel="0" collapsed="false">
      <c r="A1026" s="39"/>
      <c r="B1026" s="40" t="s">
        <v>3278</v>
      </c>
      <c r="C1026" s="41" t="s">
        <v>107</v>
      </c>
      <c r="D1026" s="41" t="s">
        <v>108</v>
      </c>
      <c r="E1026" s="42" t="n">
        <v>2000</v>
      </c>
      <c r="F1026" s="42" t="n">
        <v>1000</v>
      </c>
      <c r="G1026" s="42" t="n">
        <v>250</v>
      </c>
      <c r="H1026" s="43" t="n">
        <v>1</v>
      </c>
      <c r="I1026" s="34" t="n">
        <f aca="false">E1026*H1026+N(F1026)+N(G1026)</f>
        <v>3250</v>
      </c>
      <c r="J1026" s="42" t="n">
        <f aca="false">ROUND(IFERROR(ROUND(IF(OR(ISNUMBER(SEARCH("week",C1026)),ISNUMBER(SEARCH("minggu",C1026))),IFERROR(_xlfn.NUMBERVALUE(SUBSTITUTE(LEFT(TRIM(C1026),FIND(" ",TRIM(C1026)&amp;" ")-1),",","."),"."),LEFT(SUBSTITUTE(LEFT(TRIM(C1026),FIND(" ",TRIM(C1026)&amp;" ")-1),",","."),FIND("/",SUBSTITUTE(LEFT(TRIM(C1026),FIND(" ",TRIM(C1026)&amp;" ")-1),",","."))-1)/MID(SUBSTITUTE(LEFT(TRIM(C1026),FIND(" ",TRIM(C1026)&amp;" ")-1),",","."),FIND("/",SUBSTITUTE(LEFT(TRIM(C1026),FIND(" ",TRIM(C1026)&amp;" ")-1),",","."))+1,9))*12/52,IF(ISNUMBER(SEARCH("month",C1026)),IFERROR(_xlfn.NUMBERVALUE(SUBSTITUTE(LEFT(TRIM(C1026),FIND(" ",TRIM(C1026)&amp;" ")-1),",","."),"."),LEFT(SUBSTITUTE(LEFT(TRIM(C1026),FIND(" ",TRIM(C1026)&amp;" ")-1),",","."),FIND("/",SUBSTITUTE(LEFT(TRIM(C1026),FIND(" ",TRIM(C1026)&amp;" ")-1),",","."))-1)/MID(SUBSTITUTE(LEFT(TRIM(C1026),FIND(" ",TRIM(C1026)&amp;" ")-1),",","."),FIND("/",SUBSTITUTE(LEFT(TRIM(C1026),FIND(" ",TRIM(C1026)&amp;" ")-1),",","."))+1,9)),IF(ISNUMBER(SEARCH("yea",C1026)),IFERROR(_xlfn.NUMBERVALUE(SUBSTITUTE(LEFT(TRIM(C1026),FIND(" ",TRIM(C1026)&amp;" ")-1),",","."),"."),LEFT(SUBSTITUTE(LEFT(TRIM(C1026),FIND(" ",TRIM(C1026)&amp;" ")-1),",","."),FIND("/",SUBSTITUTE(LEFT(TRIM(C1026),FIND(" ",TRIM(C1026)&amp;" ")-1),",","."))-1)/MID(SUBSTITUTE(LEFT(TRIM(C1026),FIND(" ",TRIM(C1026)&amp;" ")-1),",","."),FIND("/",SUBSTITUTE(LEFT(TRIM(C1026),FIND(" ",TRIM(C1026)&amp;" ")-1),",","."))+1,9))*12,NA()))),0),24)*'Aturan &amp; Tarif'!$B$4,2)</f>
        <v>1362.72</v>
      </c>
      <c r="K1026" s="42" t="n">
        <f aca="false">'Aturan &amp; Tarif'!$B$5</f>
        <v>2050</v>
      </c>
      <c r="L1026" s="35" t="n">
        <f aca="false">I1026+J1026+K1026</f>
        <v>6662.72</v>
      </c>
      <c r="M1026" s="45" t="s">
        <v>134</v>
      </c>
    </row>
    <row r="1027" customFormat="false" ht="14.25" hidden="false" customHeight="true" outlineLevel="0" collapsed="false">
      <c r="A1027" s="39"/>
      <c r="B1027" s="40" t="s">
        <v>3279</v>
      </c>
      <c r="C1027" s="41" t="s">
        <v>130</v>
      </c>
      <c r="D1027" s="41" t="s">
        <v>108</v>
      </c>
      <c r="E1027" s="42" t="n">
        <v>2250</v>
      </c>
      <c r="F1027" s="42" t="n">
        <v>500</v>
      </c>
      <c r="G1027" s="42" t="n">
        <v>250</v>
      </c>
      <c r="H1027" s="43" t="n">
        <v>1</v>
      </c>
      <c r="I1027" s="34" t="n">
        <f aca="false">E1027*H1027+N(F1027)+N(G1027)</f>
        <v>3000</v>
      </c>
      <c r="J1027" s="42" t="n">
        <f aca="false">ROUND(IFERROR(ROUND(IF(OR(ISNUMBER(SEARCH("week",C1027)),ISNUMBER(SEARCH("minggu",C1027))),IFERROR(_xlfn.NUMBERVALUE(SUBSTITUTE(LEFT(TRIM(C1027),FIND(" ",TRIM(C1027)&amp;" ")-1),",","."),"."),LEFT(SUBSTITUTE(LEFT(TRIM(C1027),FIND(" ",TRIM(C1027)&amp;" ")-1),",","."),FIND("/",SUBSTITUTE(LEFT(TRIM(C1027),FIND(" ",TRIM(C1027)&amp;" ")-1),",","."))-1)/MID(SUBSTITUTE(LEFT(TRIM(C1027),FIND(" ",TRIM(C1027)&amp;" ")-1),",","."),FIND("/",SUBSTITUTE(LEFT(TRIM(C1027),FIND(" ",TRIM(C1027)&amp;" ")-1),",","."))+1,9))*12/52,IF(ISNUMBER(SEARCH("month",C1027)),IFERROR(_xlfn.NUMBERVALUE(SUBSTITUTE(LEFT(TRIM(C1027),FIND(" ",TRIM(C1027)&amp;" ")-1),",","."),"."),LEFT(SUBSTITUTE(LEFT(TRIM(C1027),FIND(" ",TRIM(C1027)&amp;" ")-1),",","."),FIND("/",SUBSTITUTE(LEFT(TRIM(C1027),FIND(" ",TRIM(C1027)&amp;" ")-1),",","."))-1)/MID(SUBSTITUTE(LEFT(TRIM(C1027),FIND(" ",TRIM(C1027)&amp;" ")-1),",","."),FIND("/",SUBSTITUTE(LEFT(TRIM(C1027),FIND(" ",TRIM(C1027)&amp;" ")-1),",","."))+1,9)),IF(ISNUMBER(SEARCH("yea",C1027)),IFERROR(_xlfn.NUMBERVALUE(SUBSTITUTE(LEFT(TRIM(C1027),FIND(" ",TRIM(C1027)&amp;" ")-1),",","."),"."),LEFT(SUBSTITUTE(LEFT(TRIM(C1027),FIND(" ",TRIM(C1027)&amp;" ")-1),",","."),FIND("/",SUBSTITUTE(LEFT(TRIM(C1027),FIND(" ",TRIM(C1027)&amp;" ")-1),",","."))-1)/MID(SUBSTITUTE(LEFT(TRIM(C1027),FIND(" ",TRIM(C1027)&amp;" ")-1),",","."),FIND("/",SUBSTITUTE(LEFT(TRIM(C1027),FIND(" ",TRIM(C1027)&amp;" ")-1),",","."))+1,9))*12,NA()))),0),12)*'Aturan &amp; Tarif'!$B$4,2)</f>
        <v>681.36</v>
      </c>
      <c r="K1027" s="42" t="n">
        <f aca="false">'Aturan &amp; Tarif'!$B$5</f>
        <v>2050</v>
      </c>
      <c r="L1027" s="35" t="n">
        <f aca="false">I1027+J1027+K1027</f>
        <v>5731.36</v>
      </c>
      <c r="M1027" s="45" t="s">
        <v>134</v>
      </c>
    </row>
    <row r="1028" customFormat="false" ht="48.75" hidden="false" customHeight="true" outlineLevel="0" collapsed="false">
      <c r="A1028" s="39" t="s">
        <v>2548</v>
      </c>
      <c r="B1028" s="40" t="s">
        <v>1025</v>
      </c>
      <c r="C1028" s="41" t="s">
        <v>138</v>
      </c>
      <c r="D1028" s="41" t="s">
        <v>108</v>
      </c>
      <c r="E1028" s="42" t="n">
        <v>1500</v>
      </c>
      <c r="F1028" s="42" t="n">
        <v>50</v>
      </c>
      <c r="G1028" s="42" t="n">
        <v>250</v>
      </c>
      <c r="H1028" s="43" t="n">
        <v>1</v>
      </c>
      <c r="I1028" s="34" t="n">
        <f aca="false">E1028*H1028+N(F1028)+N(G1028)</f>
        <v>1800</v>
      </c>
      <c r="J1028" s="42" t="n">
        <f aca="false">ROUND(IFERROR(ROUND(IF(OR(ISNUMBER(SEARCH("week",C1028)),ISNUMBER(SEARCH("minggu",C1028))),IFERROR(_xlfn.NUMBERVALUE(SUBSTITUTE(LEFT(TRIM(C1028),FIND(" ",TRIM(C1028)&amp;" ")-1),",","."),"."),LEFT(SUBSTITUTE(LEFT(TRIM(C1028),FIND(" ",TRIM(C1028)&amp;" ")-1),",","."),FIND("/",SUBSTITUTE(LEFT(TRIM(C1028),FIND(" ",TRIM(C1028)&amp;" ")-1),",","."))-1)/MID(SUBSTITUTE(LEFT(TRIM(C1028),FIND(" ",TRIM(C1028)&amp;" ")-1),",","."),FIND("/",SUBSTITUTE(LEFT(TRIM(C1028),FIND(" ",TRIM(C1028)&amp;" ")-1),",","."))+1,9))*12/52,IF(ISNUMBER(SEARCH("month",C1028)),IFERROR(_xlfn.NUMBERVALUE(SUBSTITUTE(LEFT(TRIM(C1028),FIND(" ",TRIM(C1028)&amp;" ")-1),",","."),"."),LEFT(SUBSTITUTE(LEFT(TRIM(C1028),FIND(" ",TRIM(C1028)&amp;" ")-1),",","."),FIND("/",SUBSTITUTE(LEFT(TRIM(C1028),FIND(" ",TRIM(C1028)&amp;" ")-1),",","."))-1)/MID(SUBSTITUTE(LEFT(TRIM(C1028),FIND(" ",TRIM(C1028)&amp;" ")-1),",","."),FIND("/",SUBSTITUTE(LEFT(TRIM(C1028),FIND(" ",TRIM(C1028)&amp;" ")-1),",","."))+1,9)),IF(ISNUMBER(SEARCH("yea",C1028)),IFERROR(_xlfn.NUMBERVALUE(SUBSTITUTE(LEFT(TRIM(C1028),FIND(" ",TRIM(C1028)&amp;" ")-1),",","."),"."),LEFT(SUBSTITUTE(LEFT(TRIM(C1028),FIND(" ",TRIM(C1028)&amp;" ")-1),",","."),FIND("/",SUBSTITUTE(LEFT(TRIM(C1028),FIND(" ",TRIM(C1028)&amp;" ")-1),",","."))-1)/MID(SUBSTITUTE(LEFT(TRIM(C1028),FIND(" ",TRIM(C1028)&amp;" ")-1),",","."),FIND("/",SUBSTITUTE(LEFT(TRIM(C1028),FIND(" ",TRIM(C1028)&amp;" ")-1),",","."))+1,9))*12,NA()))),0),30)*'Aturan &amp; Tarif'!$B$4,2)</f>
        <v>1703.4</v>
      </c>
      <c r="K1028" s="42" t="n">
        <f aca="false">'Aturan &amp; Tarif'!$B$5</f>
        <v>2050</v>
      </c>
      <c r="L1028" s="35" t="n">
        <f aca="false">I1028+J1028+K1028</f>
        <v>5553.4</v>
      </c>
      <c r="M1028" s="45" t="s">
        <v>134</v>
      </c>
    </row>
    <row r="1029" customFormat="false" ht="25.5" hidden="false" customHeight="true" outlineLevel="0" collapsed="false">
      <c r="A1029" s="39"/>
      <c r="B1029" s="40" t="s">
        <v>2356</v>
      </c>
      <c r="C1029" s="41" t="s">
        <v>136</v>
      </c>
      <c r="D1029" s="41" t="s">
        <v>108</v>
      </c>
      <c r="E1029" s="42" t="n">
        <v>1500</v>
      </c>
      <c r="F1029" s="42" t="n">
        <v>50</v>
      </c>
      <c r="G1029" s="42" t="n">
        <v>250</v>
      </c>
      <c r="H1029" s="43" t="n">
        <v>1</v>
      </c>
      <c r="I1029" s="34" t="n">
        <f aca="false">E1029*H1029+N(F1029)+N(G1029)</f>
        <v>1800</v>
      </c>
      <c r="J1029" s="42" t="n">
        <f aca="false">ROUND(IFERROR(ROUND(IF(OR(ISNUMBER(SEARCH("week",C1029)),ISNUMBER(SEARCH("minggu",C1029))),IFERROR(_xlfn.NUMBERVALUE(SUBSTITUTE(LEFT(TRIM(C1029),FIND(" ",TRIM(C1029)&amp;" ")-1),",","."),"."),LEFT(SUBSTITUTE(LEFT(TRIM(C1029),FIND(" ",TRIM(C1029)&amp;" ")-1),",","."),FIND("/",SUBSTITUTE(LEFT(TRIM(C1029),FIND(" ",TRIM(C1029)&amp;" ")-1),",","."))-1)/MID(SUBSTITUTE(LEFT(TRIM(C1029),FIND(" ",TRIM(C1029)&amp;" ")-1),",","."),FIND("/",SUBSTITUTE(LEFT(TRIM(C1029),FIND(" ",TRIM(C1029)&amp;" ")-1),",","."))+1,9))*12/52,IF(ISNUMBER(SEARCH("month",C1029)),IFERROR(_xlfn.NUMBERVALUE(SUBSTITUTE(LEFT(TRIM(C1029),FIND(" ",TRIM(C1029)&amp;" ")-1),",","."),"."),LEFT(SUBSTITUTE(LEFT(TRIM(C1029),FIND(" ",TRIM(C1029)&amp;" ")-1),",","."),FIND("/",SUBSTITUTE(LEFT(TRIM(C1029),FIND(" ",TRIM(C1029)&amp;" ")-1),",","."))-1)/MID(SUBSTITUTE(LEFT(TRIM(C1029),FIND(" ",TRIM(C1029)&amp;" ")-1),",","."),FIND("/",SUBSTITUTE(LEFT(TRIM(C1029),FIND(" ",TRIM(C1029)&amp;" ")-1),",","."))+1,9)),IF(ISNUMBER(SEARCH("yea",C1029)),IFERROR(_xlfn.NUMBERVALUE(SUBSTITUTE(LEFT(TRIM(C1029),FIND(" ",TRIM(C1029)&amp;" ")-1),",","."),"."),LEFT(SUBSTITUTE(LEFT(TRIM(C1029),FIND(" ",TRIM(C1029)&amp;" ")-1),",","."),FIND("/",SUBSTITUTE(LEFT(TRIM(C1029),FIND(" ",TRIM(C1029)&amp;" ")-1),",","."))-1)/MID(SUBSTITUTE(LEFT(TRIM(C1029),FIND(" ",TRIM(C1029)&amp;" ")-1),",","."),FIND("/",SUBSTITUTE(LEFT(TRIM(C1029),FIND(" ",TRIM(C1029)&amp;" ")-1),",","."))+1,9))*12,NA()))),0),42)*'Aturan &amp; Tarif'!$B$4,2)</f>
        <v>2384.76</v>
      </c>
      <c r="K1029" s="42" t="n">
        <f aca="false">'Aturan &amp; Tarif'!$B$5</f>
        <v>2050</v>
      </c>
      <c r="L1029" s="35" t="n">
        <f aca="false">I1029+J1029+K1029</f>
        <v>6234.76</v>
      </c>
      <c r="M1029" s="45" t="s">
        <v>134</v>
      </c>
    </row>
    <row r="1030" customFormat="false" ht="25.5" hidden="false" customHeight="true" outlineLevel="0" collapsed="false">
      <c r="A1030" s="39"/>
      <c r="B1030" s="40" t="s">
        <v>496</v>
      </c>
      <c r="C1030" s="41" t="s">
        <v>138</v>
      </c>
      <c r="D1030" s="41" t="s">
        <v>108</v>
      </c>
      <c r="E1030" s="42" t="n">
        <v>1500</v>
      </c>
      <c r="F1030" s="42" t="n">
        <v>50</v>
      </c>
      <c r="G1030" s="42" t="n">
        <v>250</v>
      </c>
      <c r="H1030" s="43" t="n">
        <v>1</v>
      </c>
      <c r="I1030" s="34" t="n">
        <f aca="false">E1030*H1030+N(F1030)+N(G1030)</f>
        <v>1800</v>
      </c>
      <c r="J1030" s="42" t="n">
        <f aca="false">ROUND(IFERROR(ROUND(IF(OR(ISNUMBER(SEARCH("week",C1030)),ISNUMBER(SEARCH("minggu",C1030))),IFERROR(_xlfn.NUMBERVALUE(SUBSTITUTE(LEFT(TRIM(C1030),FIND(" ",TRIM(C1030)&amp;" ")-1),",","."),"."),LEFT(SUBSTITUTE(LEFT(TRIM(C1030),FIND(" ",TRIM(C1030)&amp;" ")-1),",","."),FIND("/",SUBSTITUTE(LEFT(TRIM(C1030),FIND(" ",TRIM(C1030)&amp;" ")-1),",","."))-1)/MID(SUBSTITUTE(LEFT(TRIM(C1030),FIND(" ",TRIM(C1030)&amp;" ")-1),",","."),FIND("/",SUBSTITUTE(LEFT(TRIM(C1030),FIND(" ",TRIM(C1030)&amp;" ")-1),",","."))+1,9))*12/52,IF(ISNUMBER(SEARCH("month",C1030)),IFERROR(_xlfn.NUMBERVALUE(SUBSTITUTE(LEFT(TRIM(C1030),FIND(" ",TRIM(C1030)&amp;" ")-1),",","."),"."),LEFT(SUBSTITUTE(LEFT(TRIM(C1030),FIND(" ",TRIM(C1030)&amp;" ")-1),",","."),FIND("/",SUBSTITUTE(LEFT(TRIM(C1030),FIND(" ",TRIM(C1030)&amp;" ")-1),",","."))-1)/MID(SUBSTITUTE(LEFT(TRIM(C1030),FIND(" ",TRIM(C1030)&amp;" ")-1),",","."),FIND("/",SUBSTITUTE(LEFT(TRIM(C1030),FIND(" ",TRIM(C1030)&amp;" ")-1),",","."))+1,9)),IF(ISNUMBER(SEARCH("yea",C1030)),IFERROR(_xlfn.NUMBERVALUE(SUBSTITUTE(LEFT(TRIM(C1030),FIND(" ",TRIM(C1030)&amp;" ")-1),",","."),"."),LEFT(SUBSTITUTE(LEFT(TRIM(C1030),FIND(" ",TRIM(C1030)&amp;" ")-1),",","."),FIND("/",SUBSTITUTE(LEFT(TRIM(C1030),FIND(" ",TRIM(C1030)&amp;" ")-1),",","."))-1)/MID(SUBSTITUTE(LEFT(TRIM(C1030),FIND(" ",TRIM(C1030)&amp;" ")-1),",","."),FIND("/",SUBSTITUTE(LEFT(TRIM(C1030),FIND(" ",TRIM(C1030)&amp;" ")-1),",","."))+1,9))*12,NA()))),0),30)*'Aturan &amp; Tarif'!$B$4,2)</f>
        <v>1703.4</v>
      </c>
      <c r="K1030" s="42" t="n">
        <f aca="false">'Aturan &amp; Tarif'!$B$5</f>
        <v>2050</v>
      </c>
      <c r="L1030" s="35" t="n">
        <f aca="false">I1030+J1030+K1030</f>
        <v>5553.4</v>
      </c>
      <c r="M1030" s="45" t="s">
        <v>134</v>
      </c>
    </row>
    <row r="1031" customFormat="false" ht="25.5" hidden="false" customHeight="true" outlineLevel="0" collapsed="false">
      <c r="A1031" s="39"/>
      <c r="B1031" s="40" t="s">
        <v>1993</v>
      </c>
      <c r="C1031" s="41" t="s">
        <v>191</v>
      </c>
      <c r="D1031" s="41" t="s">
        <v>108</v>
      </c>
      <c r="E1031" s="42" t="n">
        <v>1500</v>
      </c>
      <c r="F1031" s="42" t="n">
        <v>50</v>
      </c>
      <c r="G1031" s="42" t="n">
        <v>250</v>
      </c>
      <c r="H1031" s="43" t="n">
        <v>1</v>
      </c>
      <c r="I1031" s="34" t="n">
        <f aca="false">E1031*H1031+N(F1031)+N(G1031)</f>
        <v>1800</v>
      </c>
      <c r="J1031" s="42" t="n">
        <f aca="false">ROUND(IFERROR(ROUND(IF(OR(ISNUMBER(SEARCH("week",C1031)),ISNUMBER(SEARCH("minggu",C1031))),IFERROR(_xlfn.NUMBERVALUE(SUBSTITUTE(LEFT(TRIM(C1031),FIND(" ",TRIM(C1031)&amp;" ")-1),",","."),"."),LEFT(SUBSTITUTE(LEFT(TRIM(C1031),FIND(" ",TRIM(C1031)&amp;" ")-1),",","."),FIND("/",SUBSTITUTE(LEFT(TRIM(C1031),FIND(" ",TRIM(C1031)&amp;" ")-1),",","."))-1)/MID(SUBSTITUTE(LEFT(TRIM(C1031),FIND(" ",TRIM(C1031)&amp;" ")-1),",","."),FIND("/",SUBSTITUTE(LEFT(TRIM(C1031),FIND(" ",TRIM(C1031)&amp;" ")-1),",","."))+1,9))*12/52,IF(ISNUMBER(SEARCH("month",C1031)),IFERROR(_xlfn.NUMBERVALUE(SUBSTITUTE(LEFT(TRIM(C1031),FIND(" ",TRIM(C1031)&amp;" ")-1),",","."),"."),LEFT(SUBSTITUTE(LEFT(TRIM(C1031),FIND(" ",TRIM(C1031)&amp;" ")-1),",","."),FIND("/",SUBSTITUTE(LEFT(TRIM(C1031),FIND(" ",TRIM(C1031)&amp;" ")-1),",","."))-1)/MID(SUBSTITUTE(LEFT(TRIM(C1031),FIND(" ",TRIM(C1031)&amp;" ")-1),",","."),FIND("/",SUBSTITUTE(LEFT(TRIM(C1031),FIND(" ",TRIM(C1031)&amp;" ")-1),",","."))+1,9)),IF(ISNUMBER(SEARCH("yea",C1031)),IFERROR(_xlfn.NUMBERVALUE(SUBSTITUTE(LEFT(TRIM(C1031),FIND(" ",TRIM(C1031)&amp;" ")-1),",","."),"."),LEFT(SUBSTITUTE(LEFT(TRIM(C1031),FIND(" ",TRIM(C1031)&amp;" ")-1),",","."),FIND("/",SUBSTITUTE(LEFT(TRIM(C1031),FIND(" ",TRIM(C1031)&amp;" ")-1),",","."))-1)/MID(SUBSTITUTE(LEFT(TRIM(C1031),FIND(" ",TRIM(C1031)&amp;" ")-1),",","."),FIND("/",SUBSTITUTE(LEFT(TRIM(C1031),FIND(" ",TRIM(C1031)&amp;" ")-1),",","."))+1,9))*12,NA()))),0),48)*'Aturan &amp; Tarif'!$B$4,2)</f>
        <v>2725.44</v>
      </c>
      <c r="K1031" s="42" t="n">
        <f aca="false">'Aturan &amp; Tarif'!$B$5</f>
        <v>2050</v>
      </c>
      <c r="L1031" s="35" t="n">
        <f aca="false">I1031+J1031+K1031</f>
        <v>6575.44</v>
      </c>
      <c r="M1031" s="45" t="s">
        <v>134</v>
      </c>
    </row>
    <row r="1032" customFormat="false" ht="25.5" hidden="false" customHeight="true" outlineLevel="0" collapsed="false">
      <c r="A1032" s="39"/>
      <c r="B1032" s="40" t="s">
        <v>2549</v>
      </c>
      <c r="C1032" s="41" t="s">
        <v>107</v>
      </c>
      <c r="D1032" s="41" t="s">
        <v>108</v>
      </c>
      <c r="E1032" s="42" t="n">
        <v>1500</v>
      </c>
      <c r="F1032" s="42" t="n">
        <v>50</v>
      </c>
      <c r="G1032" s="42" t="n">
        <v>250</v>
      </c>
      <c r="H1032" s="43" t="n">
        <v>1</v>
      </c>
      <c r="I1032" s="34" t="n">
        <f aca="false">E1032*H1032+N(F1032)+N(G1032)</f>
        <v>1800</v>
      </c>
      <c r="J1032" s="42" t="n">
        <f aca="false">ROUND(IFERROR(ROUND(IF(OR(ISNUMBER(SEARCH("week",C1032)),ISNUMBER(SEARCH("minggu",C1032))),IFERROR(_xlfn.NUMBERVALUE(SUBSTITUTE(LEFT(TRIM(C1032),FIND(" ",TRIM(C1032)&amp;" ")-1),",","."),"."),LEFT(SUBSTITUTE(LEFT(TRIM(C1032),FIND(" ",TRIM(C1032)&amp;" ")-1),",","."),FIND("/",SUBSTITUTE(LEFT(TRIM(C1032),FIND(" ",TRIM(C1032)&amp;" ")-1),",","."))-1)/MID(SUBSTITUTE(LEFT(TRIM(C1032),FIND(" ",TRIM(C1032)&amp;" ")-1),",","."),FIND("/",SUBSTITUTE(LEFT(TRIM(C1032),FIND(" ",TRIM(C1032)&amp;" ")-1),",","."))+1,9))*12/52,IF(ISNUMBER(SEARCH("month",C1032)),IFERROR(_xlfn.NUMBERVALUE(SUBSTITUTE(LEFT(TRIM(C1032),FIND(" ",TRIM(C1032)&amp;" ")-1),",","."),"."),LEFT(SUBSTITUTE(LEFT(TRIM(C1032),FIND(" ",TRIM(C1032)&amp;" ")-1),",","."),FIND("/",SUBSTITUTE(LEFT(TRIM(C1032),FIND(" ",TRIM(C1032)&amp;" ")-1),",","."))-1)/MID(SUBSTITUTE(LEFT(TRIM(C1032),FIND(" ",TRIM(C1032)&amp;" ")-1),",","."),FIND("/",SUBSTITUTE(LEFT(TRIM(C1032),FIND(" ",TRIM(C1032)&amp;" ")-1),",","."))+1,9)),IF(ISNUMBER(SEARCH("yea",C1032)),IFERROR(_xlfn.NUMBERVALUE(SUBSTITUTE(LEFT(TRIM(C1032),FIND(" ",TRIM(C1032)&amp;" ")-1),",","."),"."),LEFT(SUBSTITUTE(LEFT(TRIM(C1032),FIND(" ",TRIM(C1032)&amp;" ")-1),",","."),FIND("/",SUBSTITUTE(LEFT(TRIM(C1032),FIND(" ",TRIM(C1032)&amp;" ")-1),",","."))-1)/MID(SUBSTITUTE(LEFT(TRIM(C1032),FIND(" ",TRIM(C1032)&amp;" ")-1),",","."),FIND("/",SUBSTITUTE(LEFT(TRIM(C1032),FIND(" ",TRIM(C1032)&amp;" ")-1),",","."))+1,9))*12,NA()))),0),24)*'Aturan &amp; Tarif'!$B$4,2)</f>
        <v>1362.72</v>
      </c>
      <c r="K1032" s="42" t="n">
        <f aca="false">'Aturan &amp; Tarif'!$B$5</f>
        <v>2050</v>
      </c>
      <c r="L1032" s="35" t="n">
        <f aca="false">I1032+J1032+K1032</f>
        <v>5212.72</v>
      </c>
      <c r="M1032" s="45" t="s">
        <v>134</v>
      </c>
    </row>
    <row r="1033" customFormat="false" ht="25.5" hidden="false" customHeight="true" outlineLevel="0" collapsed="false">
      <c r="A1033" s="39"/>
      <c r="B1033" s="40" t="s">
        <v>2550</v>
      </c>
      <c r="C1033" s="41" t="s">
        <v>127</v>
      </c>
      <c r="D1033" s="41" t="s">
        <v>108</v>
      </c>
      <c r="E1033" s="42" t="n">
        <v>1500</v>
      </c>
      <c r="F1033" s="42" t="n">
        <v>50</v>
      </c>
      <c r="G1033" s="42" t="n">
        <v>250</v>
      </c>
      <c r="H1033" s="43" t="n">
        <v>1</v>
      </c>
      <c r="I1033" s="34" t="n">
        <f aca="false">E1033*H1033+N(F1033)+N(G1033)</f>
        <v>1800</v>
      </c>
      <c r="J1033" s="42" t="n">
        <f aca="false">ROUND(IFERROR(ROUND(IF(OR(ISNUMBER(SEARCH("week",C1033)),ISNUMBER(SEARCH("minggu",C1033))),IFERROR(_xlfn.NUMBERVALUE(SUBSTITUTE(LEFT(TRIM(C1033),FIND(" ",TRIM(C1033)&amp;" ")-1),",","."),"."),LEFT(SUBSTITUTE(LEFT(TRIM(C1033),FIND(" ",TRIM(C1033)&amp;" ")-1),",","."),FIND("/",SUBSTITUTE(LEFT(TRIM(C1033),FIND(" ",TRIM(C1033)&amp;" ")-1),",","."))-1)/MID(SUBSTITUTE(LEFT(TRIM(C1033),FIND(" ",TRIM(C1033)&amp;" ")-1),",","."),FIND("/",SUBSTITUTE(LEFT(TRIM(C1033),FIND(" ",TRIM(C1033)&amp;" ")-1),",","."))+1,9))*12/52,IF(ISNUMBER(SEARCH("month",C1033)),IFERROR(_xlfn.NUMBERVALUE(SUBSTITUTE(LEFT(TRIM(C1033),FIND(" ",TRIM(C1033)&amp;" ")-1),",","."),"."),LEFT(SUBSTITUTE(LEFT(TRIM(C1033),FIND(" ",TRIM(C1033)&amp;" ")-1),",","."),FIND("/",SUBSTITUTE(LEFT(TRIM(C1033),FIND(" ",TRIM(C1033)&amp;" ")-1),",","."))-1)/MID(SUBSTITUTE(LEFT(TRIM(C1033),FIND(" ",TRIM(C1033)&amp;" ")-1),",","."),FIND("/",SUBSTITUTE(LEFT(TRIM(C1033),FIND(" ",TRIM(C1033)&amp;" ")-1),",","."))+1,9)),IF(ISNUMBER(SEARCH("yea",C1033)),IFERROR(_xlfn.NUMBERVALUE(SUBSTITUTE(LEFT(TRIM(C1033),FIND(" ",TRIM(C1033)&amp;" ")-1),",","."),"."),LEFT(SUBSTITUTE(LEFT(TRIM(C1033),FIND(" ",TRIM(C1033)&amp;" ")-1),",","."),FIND("/",SUBSTITUTE(LEFT(TRIM(C1033),FIND(" ",TRIM(C1033)&amp;" ")-1),",","."))-1)/MID(SUBSTITUTE(LEFT(TRIM(C1033),FIND(" ",TRIM(C1033)&amp;" ")-1),",","."),FIND("/",SUBSTITUTE(LEFT(TRIM(C1033),FIND(" ",TRIM(C1033)&amp;" ")-1),",","."))+1,9))*12,NA()))),0),36)*'Aturan &amp; Tarif'!$B$4,2)</f>
        <v>2044.08</v>
      </c>
      <c r="K1033" s="42" t="n">
        <f aca="false">'Aturan &amp; Tarif'!$B$5</f>
        <v>2050</v>
      </c>
      <c r="L1033" s="35" t="n">
        <f aca="false">I1033+J1033+K1033</f>
        <v>5894.08</v>
      </c>
      <c r="M1033" s="45" t="s">
        <v>134</v>
      </c>
    </row>
    <row r="1034" customFormat="false" ht="25.5" hidden="false" customHeight="true" outlineLevel="0" collapsed="false">
      <c r="A1034" s="39"/>
      <c r="B1034" s="40" t="s">
        <v>2551</v>
      </c>
      <c r="C1034" s="41" t="s">
        <v>191</v>
      </c>
      <c r="D1034" s="41" t="s">
        <v>108</v>
      </c>
      <c r="E1034" s="42" t="n">
        <v>1500</v>
      </c>
      <c r="F1034" s="42" t="n">
        <v>50</v>
      </c>
      <c r="G1034" s="42" t="n">
        <v>250</v>
      </c>
      <c r="H1034" s="43" t="n">
        <v>1</v>
      </c>
      <c r="I1034" s="34" t="n">
        <f aca="false">E1034*H1034+N(F1034)+N(G1034)</f>
        <v>1800</v>
      </c>
      <c r="J1034" s="42" t="n">
        <f aca="false">ROUND(IFERROR(ROUND(IF(OR(ISNUMBER(SEARCH("week",C1034)),ISNUMBER(SEARCH("minggu",C1034))),IFERROR(_xlfn.NUMBERVALUE(SUBSTITUTE(LEFT(TRIM(C1034),FIND(" ",TRIM(C1034)&amp;" ")-1),",","."),"."),LEFT(SUBSTITUTE(LEFT(TRIM(C1034),FIND(" ",TRIM(C1034)&amp;" ")-1),",","."),FIND("/",SUBSTITUTE(LEFT(TRIM(C1034),FIND(" ",TRIM(C1034)&amp;" ")-1),",","."))-1)/MID(SUBSTITUTE(LEFT(TRIM(C1034),FIND(" ",TRIM(C1034)&amp;" ")-1),",","."),FIND("/",SUBSTITUTE(LEFT(TRIM(C1034),FIND(" ",TRIM(C1034)&amp;" ")-1),",","."))+1,9))*12/52,IF(ISNUMBER(SEARCH("month",C1034)),IFERROR(_xlfn.NUMBERVALUE(SUBSTITUTE(LEFT(TRIM(C1034),FIND(" ",TRIM(C1034)&amp;" ")-1),",","."),"."),LEFT(SUBSTITUTE(LEFT(TRIM(C1034),FIND(" ",TRIM(C1034)&amp;" ")-1),",","."),FIND("/",SUBSTITUTE(LEFT(TRIM(C1034),FIND(" ",TRIM(C1034)&amp;" ")-1),",","."))-1)/MID(SUBSTITUTE(LEFT(TRIM(C1034),FIND(" ",TRIM(C1034)&amp;" ")-1),",","."),FIND("/",SUBSTITUTE(LEFT(TRIM(C1034),FIND(" ",TRIM(C1034)&amp;" ")-1),",","."))+1,9)),IF(ISNUMBER(SEARCH("yea",C1034)),IFERROR(_xlfn.NUMBERVALUE(SUBSTITUTE(LEFT(TRIM(C1034),FIND(" ",TRIM(C1034)&amp;" ")-1),",","."),"."),LEFT(SUBSTITUTE(LEFT(TRIM(C1034),FIND(" ",TRIM(C1034)&amp;" ")-1),",","."),FIND("/",SUBSTITUTE(LEFT(TRIM(C1034),FIND(" ",TRIM(C1034)&amp;" ")-1),",","."))-1)/MID(SUBSTITUTE(LEFT(TRIM(C1034),FIND(" ",TRIM(C1034)&amp;" ")-1),",","."),FIND("/",SUBSTITUTE(LEFT(TRIM(C1034),FIND(" ",TRIM(C1034)&amp;" ")-1),",","."))+1,9))*12,NA()))),0),48)*'Aturan &amp; Tarif'!$B$4,2)</f>
        <v>2725.44</v>
      </c>
      <c r="K1034" s="42" t="n">
        <f aca="false">'Aturan &amp; Tarif'!$B$5</f>
        <v>2050</v>
      </c>
      <c r="L1034" s="35" t="n">
        <f aca="false">I1034+J1034+K1034</f>
        <v>6575.44</v>
      </c>
      <c r="M1034" s="45" t="s">
        <v>134</v>
      </c>
    </row>
    <row r="1035" customFormat="false" ht="25.5" hidden="false" customHeight="true" outlineLevel="0" collapsed="false">
      <c r="A1035" s="39"/>
      <c r="B1035" s="40" t="s">
        <v>2552</v>
      </c>
      <c r="C1035" s="41" t="s">
        <v>127</v>
      </c>
      <c r="D1035" s="41" t="s">
        <v>108</v>
      </c>
      <c r="E1035" s="42" t="n">
        <v>1500</v>
      </c>
      <c r="F1035" s="42" t="n">
        <v>50</v>
      </c>
      <c r="G1035" s="42" t="n">
        <v>250</v>
      </c>
      <c r="H1035" s="43" t="n">
        <v>1</v>
      </c>
      <c r="I1035" s="34" t="n">
        <f aca="false">E1035*H1035+N(F1035)+N(G1035)</f>
        <v>1800</v>
      </c>
      <c r="J1035" s="42" t="n">
        <f aca="false">ROUND(IFERROR(ROUND(IF(OR(ISNUMBER(SEARCH("week",C1035)),ISNUMBER(SEARCH("minggu",C1035))),IFERROR(_xlfn.NUMBERVALUE(SUBSTITUTE(LEFT(TRIM(C1035),FIND(" ",TRIM(C1035)&amp;" ")-1),",","."),"."),LEFT(SUBSTITUTE(LEFT(TRIM(C1035),FIND(" ",TRIM(C1035)&amp;" ")-1),",","."),FIND("/",SUBSTITUTE(LEFT(TRIM(C1035),FIND(" ",TRIM(C1035)&amp;" ")-1),",","."))-1)/MID(SUBSTITUTE(LEFT(TRIM(C1035),FIND(" ",TRIM(C1035)&amp;" ")-1),",","."),FIND("/",SUBSTITUTE(LEFT(TRIM(C1035),FIND(" ",TRIM(C1035)&amp;" ")-1),",","."))+1,9))*12/52,IF(ISNUMBER(SEARCH("month",C1035)),IFERROR(_xlfn.NUMBERVALUE(SUBSTITUTE(LEFT(TRIM(C1035),FIND(" ",TRIM(C1035)&amp;" ")-1),",","."),"."),LEFT(SUBSTITUTE(LEFT(TRIM(C1035),FIND(" ",TRIM(C1035)&amp;" ")-1),",","."),FIND("/",SUBSTITUTE(LEFT(TRIM(C1035),FIND(" ",TRIM(C1035)&amp;" ")-1),",","."))-1)/MID(SUBSTITUTE(LEFT(TRIM(C1035),FIND(" ",TRIM(C1035)&amp;" ")-1),",","."),FIND("/",SUBSTITUTE(LEFT(TRIM(C1035),FIND(" ",TRIM(C1035)&amp;" ")-1),",","."))+1,9)),IF(ISNUMBER(SEARCH("yea",C1035)),IFERROR(_xlfn.NUMBERVALUE(SUBSTITUTE(LEFT(TRIM(C1035),FIND(" ",TRIM(C1035)&amp;" ")-1),",","."),"."),LEFT(SUBSTITUTE(LEFT(TRIM(C1035),FIND(" ",TRIM(C1035)&amp;" ")-1),",","."),FIND("/",SUBSTITUTE(LEFT(TRIM(C1035),FIND(" ",TRIM(C1035)&amp;" ")-1),",","."))-1)/MID(SUBSTITUTE(LEFT(TRIM(C1035),FIND(" ",TRIM(C1035)&amp;" ")-1),",","."),FIND("/",SUBSTITUTE(LEFT(TRIM(C1035),FIND(" ",TRIM(C1035)&amp;" ")-1),",","."))+1,9))*12,NA()))),0),36)*'Aturan &amp; Tarif'!$B$4,2)</f>
        <v>2044.08</v>
      </c>
      <c r="K1035" s="42" t="n">
        <f aca="false">'Aturan &amp; Tarif'!$B$5</f>
        <v>2050</v>
      </c>
      <c r="L1035" s="35" t="n">
        <f aca="false">I1035+J1035+K1035</f>
        <v>5894.08</v>
      </c>
      <c r="M1035" s="45" t="s">
        <v>134</v>
      </c>
    </row>
    <row r="1036" customFormat="false" ht="37.5" hidden="false" customHeight="true" outlineLevel="0" collapsed="false">
      <c r="A1036" s="39"/>
      <c r="B1036" s="40" t="s">
        <v>2553</v>
      </c>
      <c r="C1036" s="41" t="s">
        <v>191</v>
      </c>
      <c r="D1036" s="41" t="s">
        <v>108</v>
      </c>
      <c r="E1036" s="42" t="n">
        <v>1500</v>
      </c>
      <c r="F1036" s="42" t="n">
        <v>50</v>
      </c>
      <c r="G1036" s="42" t="n">
        <v>250</v>
      </c>
      <c r="H1036" s="43" t="n">
        <v>1</v>
      </c>
      <c r="I1036" s="34" t="n">
        <f aca="false">E1036*H1036+N(F1036)+N(G1036)</f>
        <v>1800</v>
      </c>
      <c r="J1036" s="42" t="n">
        <f aca="false">ROUND(IFERROR(ROUND(IF(OR(ISNUMBER(SEARCH("week",C1036)),ISNUMBER(SEARCH("minggu",C1036))),IFERROR(_xlfn.NUMBERVALUE(SUBSTITUTE(LEFT(TRIM(C1036),FIND(" ",TRIM(C1036)&amp;" ")-1),",","."),"."),LEFT(SUBSTITUTE(LEFT(TRIM(C1036),FIND(" ",TRIM(C1036)&amp;" ")-1),",","."),FIND("/",SUBSTITUTE(LEFT(TRIM(C1036),FIND(" ",TRIM(C1036)&amp;" ")-1),",","."))-1)/MID(SUBSTITUTE(LEFT(TRIM(C1036),FIND(" ",TRIM(C1036)&amp;" ")-1),",","."),FIND("/",SUBSTITUTE(LEFT(TRIM(C1036),FIND(" ",TRIM(C1036)&amp;" ")-1),",","."))+1,9))*12/52,IF(ISNUMBER(SEARCH("month",C1036)),IFERROR(_xlfn.NUMBERVALUE(SUBSTITUTE(LEFT(TRIM(C1036),FIND(" ",TRIM(C1036)&amp;" ")-1),",","."),"."),LEFT(SUBSTITUTE(LEFT(TRIM(C1036),FIND(" ",TRIM(C1036)&amp;" ")-1),",","."),FIND("/",SUBSTITUTE(LEFT(TRIM(C1036),FIND(" ",TRIM(C1036)&amp;" ")-1),",","."))-1)/MID(SUBSTITUTE(LEFT(TRIM(C1036),FIND(" ",TRIM(C1036)&amp;" ")-1),",","."),FIND("/",SUBSTITUTE(LEFT(TRIM(C1036),FIND(" ",TRIM(C1036)&amp;" ")-1),",","."))+1,9)),IF(ISNUMBER(SEARCH("yea",C1036)),IFERROR(_xlfn.NUMBERVALUE(SUBSTITUTE(LEFT(TRIM(C1036),FIND(" ",TRIM(C1036)&amp;" ")-1),",","."),"."),LEFT(SUBSTITUTE(LEFT(TRIM(C1036),FIND(" ",TRIM(C1036)&amp;" ")-1),",","."),FIND("/",SUBSTITUTE(LEFT(TRIM(C1036),FIND(" ",TRIM(C1036)&amp;" ")-1),",","."))-1)/MID(SUBSTITUTE(LEFT(TRIM(C1036),FIND(" ",TRIM(C1036)&amp;" ")-1),",","."),FIND("/",SUBSTITUTE(LEFT(TRIM(C1036),FIND(" ",TRIM(C1036)&amp;" ")-1),",","."))+1,9))*12,NA()))),0),48)*'Aturan &amp; Tarif'!$B$4,2)</f>
        <v>2725.44</v>
      </c>
      <c r="K1036" s="42" t="n">
        <f aca="false">'Aturan &amp; Tarif'!$B$5</f>
        <v>2050</v>
      </c>
      <c r="L1036" s="35" t="n">
        <f aca="false">I1036+J1036+K1036</f>
        <v>6575.44</v>
      </c>
      <c r="M1036" s="45" t="s">
        <v>134</v>
      </c>
    </row>
    <row r="1037" customFormat="false" ht="25.5" hidden="false" customHeight="true" outlineLevel="0" collapsed="false">
      <c r="A1037" s="39"/>
      <c r="B1037" s="40" t="s">
        <v>2554</v>
      </c>
      <c r="C1037" s="41" t="s">
        <v>107</v>
      </c>
      <c r="D1037" s="41" t="s">
        <v>108</v>
      </c>
      <c r="E1037" s="42" t="n">
        <v>1500</v>
      </c>
      <c r="F1037" s="42" t="n">
        <v>50</v>
      </c>
      <c r="G1037" s="42" t="n">
        <v>250</v>
      </c>
      <c r="H1037" s="43" t="n">
        <v>1</v>
      </c>
      <c r="I1037" s="34" t="n">
        <f aca="false">E1037*H1037+N(F1037)+N(G1037)</f>
        <v>1800</v>
      </c>
      <c r="J1037" s="42" t="n">
        <f aca="false">ROUND(IFERROR(ROUND(IF(OR(ISNUMBER(SEARCH("week",C1037)),ISNUMBER(SEARCH("minggu",C1037))),IFERROR(_xlfn.NUMBERVALUE(SUBSTITUTE(LEFT(TRIM(C1037),FIND(" ",TRIM(C1037)&amp;" ")-1),",","."),"."),LEFT(SUBSTITUTE(LEFT(TRIM(C1037),FIND(" ",TRIM(C1037)&amp;" ")-1),",","."),FIND("/",SUBSTITUTE(LEFT(TRIM(C1037),FIND(" ",TRIM(C1037)&amp;" ")-1),",","."))-1)/MID(SUBSTITUTE(LEFT(TRIM(C1037),FIND(" ",TRIM(C1037)&amp;" ")-1),",","."),FIND("/",SUBSTITUTE(LEFT(TRIM(C1037),FIND(" ",TRIM(C1037)&amp;" ")-1),",","."))+1,9))*12/52,IF(ISNUMBER(SEARCH("month",C1037)),IFERROR(_xlfn.NUMBERVALUE(SUBSTITUTE(LEFT(TRIM(C1037),FIND(" ",TRIM(C1037)&amp;" ")-1),",","."),"."),LEFT(SUBSTITUTE(LEFT(TRIM(C1037),FIND(" ",TRIM(C1037)&amp;" ")-1),",","."),FIND("/",SUBSTITUTE(LEFT(TRIM(C1037),FIND(" ",TRIM(C1037)&amp;" ")-1),",","."))-1)/MID(SUBSTITUTE(LEFT(TRIM(C1037),FIND(" ",TRIM(C1037)&amp;" ")-1),",","."),FIND("/",SUBSTITUTE(LEFT(TRIM(C1037),FIND(" ",TRIM(C1037)&amp;" ")-1),",","."))+1,9)),IF(ISNUMBER(SEARCH("yea",C1037)),IFERROR(_xlfn.NUMBERVALUE(SUBSTITUTE(LEFT(TRIM(C1037),FIND(" ",TRIM(C1037)&amp;" ")-1),",","."),"."),LEFT(SUBSTITUTE(LEFT(TRIM(C1037),FIND(" ",TRIM(C1037)&amp;" ")-1),",","."),FIND("/",SUBSTITUTE(LEFT(TRIM(C1037),FIND(" ",TRIM(C1037)&amp;" ")-1),",","."))-1)/MID(SUBSTITUTE(LEFT(TRIM(C1037),FIND(" ",TRIM(C1037)&amp;" ")-1),",","."),FIND("/",SUBSTITUTE(LEFT(TRIM(C1037),FIND(" ",TRIM(C1037)&amp;" ")-1),",","."))+1,9))*12,NA()))),0),24)*'Aturan &amp; Tarif'!$B$4,2)</f>
        <v>1362.72</v>
      </c>
      <c r="K1037" s="42" t="n">
        <f aca="false">'Aturan &amp; Tarif'!$B$5</f>
        <v>2050</v>
      </c>
      <c r="L1037" s="35" t="n">
        <f aca="false">I1037+J1037+K1037</f>
        <v>5212.72</v>
      </c>
      <c r="M1037" s="45" t="s">
        <v>134</v>
      </c>
    </row>
    <row r="1038" customFormat="false" ht="48.75" hidden="false" customHeight="true" outlineLevel="0" collapsed="false">
      <c r="A1038" s="39" t="s">
        <v>2555</v>
      </c>
      <c r="B1038" s="40" t="s">
        <v>2536</v>
      </c>
      <c r="C1038" s="41" t="s">
        <v>138</v>
      </c>
      <c r="D1038" s="41" t="s">
        <v>108</v>
      </c>
      <c r="E1038" s="42" t="n">
        <v>2000</v>
      </c>
      <c r="F1038" s="42" t="n">
        <v>150</v>
      </c>
      <c r="G1038" s="42" t="n">
        <v>250</v>
      </c>
      <c r="H1038" s="43" t="n">
        <v>1</v>
      </c>
      <c r="I1038" s="34" t="n">
        <f aca="false">E1038*H1038+N(F1038)+N(G1038)</f>
        <v>2400</v>
      </c>
      <c r="J1038" s="42" t="n">
        <f aca="false">ROUND(IFERROR(ROUND(IF(OR(ISNUMBER(SEARCH("week",C1038)),ISNUMBER(SEARCH("minggu",C1038))),IFERROR(_xlfn.NUMBERVALUE(SUBSTITUTE(LEFT(TRIM(C1038),FIND(" ",TRIM(C1038)&amp;" ")-1),",","."),"."),LEFT(SUBSTITUTE(LEFT(TRIM(C1038),FIND(" ",TRIM(C1038)&amp;" ")-1),",","."),FIND("/",SUBSTITUTE(LEFT(TRIM(C1038),FIND(" ",TRIM(C1038)&amp;" ")-1),",","."))-1)/MID(SUBSTITUTE(LEFT(TRIM(C1038),FIND(" ",TRIM(C1038)&amp;" ")-1),",","."),FIND("/",SUBSTITUTE(LEFT(TRIM(C1038),FIND(" ",TRIM(C1038)&amp;" ")-1),",","."))+1,9))*12/52,IF(ISNUMBER(SEARCH("month",C1038)),IFERROR(_xlfn.NUMBERVALUE(SUBSTITUTE(LEFT(TRIM(C1038),FIND(" ",TRIM(C1038)&amp;" ")-1),",","."),"."),LEFT(SUBSTITUTE(LEFT(TRIM(C1038),FIND(" ",TRIM(C1038)&amp;" ")-1),",","."),FIND("/",SUBSTITUTE(LEFT(TRIM(C1038),FIND(" ",TRIM(C1038)&amp;" ")-1),",","."))-1)/MID(SUBSTITUTE(LEFT(TRIM(C1038),FIND(" ",TRIM(C1038)&amp;" ")-1),",","."),FIND("/",SUBSTITUTE(LEFT(TRIM(C1038),FIND(" ",TRIM(C1038)&amp;" ")-1),",","."))+1,9)),IF(ISNUMBER(SEARCH("yea",C1038)),IFERROR(_xlfn.NUMBERVALUE(SUBSTITUTE(LEFT(TRIM(C1038),FIND(" ",TRIM(C1038)&amp;" ")-1),",","."),"."),LEFT(SUBSTITUTE(LEFT(TRIM(C1038),FIND(" ",TRIM(C1038)&amp;" ")-1),",","."),FIND("/",SUBSTITUTE(LEFT(TRIM(C1038),FIND(" ",TRIM(C1038)&amp;" ")-1),",","."))-1)/MID(SUBSTITUTE(LEFT(TRIM(C1038),FIND(" ",TRIM(C1038)&amp;" ")-1),",","."),FIND("/",SUBSTITUTE(LEFT(TRIM(C1038),FIND(" ",TRIM(C1038)&amp;" ")-1),",","."))+1,9))*12,NA()))),0),30)*'Aturan &amp; Tarif'!$B$4,2)</f>
        <v>1703.4</v>
      </c>
      <c r="K1038" s="42" t="n">
        <f aca="false">'Aturan &amp; Tarif'!$B$5</f>
        <v>2050</v>
      </c>
      <c r="L1038" s="35" t="n">
        <f aca="false">I1038+J1038+K1038</f>
        <v>6153.4</v>
      </c>
      <c r="M1038" s="45" t="s">
        <v>134</v>
      </c>
    </row>
    <row r="1039" customFormat="false" ht="25.5" hidden="false" customHeight="true" outlineLevel="0" collapsed="false">
      <c r="A1039" s="39"/>
      <c r="B1039" s="40" t="s">
        <v>2556</v>
      </c>
      <c r="C1039" s="41" t="s">
        <v>136</v>
      </c>
      <c r="D1039" s="41" t="s">
        <v>108</v>
      </c>
      <c r="E1039" s="42" t="n">
        <v>2000</v>
      </c>
      <c r="F1039" s="42" t="n">
        <v>150</v>
      </c>
      <c r="G1039" s="42" t="n">
        <v>250</v>
      </c>
      <c r="H1039" s="43" t="n">
        <v>1</v>
      </c>
      <c r="I1039" s="34" t="n">
        <f aca="false">E1039*H1039+N(F1039)+N(G1039)</f>
        <v>2400</v>
      </c>
      <c r="J1039" s="42" t="n">
        <f aca="false">ROUND(IFERROR(ROUND(IF(OR(ISNUMBER(SEARCH("week",C1039)),ISNUMBER(SEARCH("minggu",C1039))),IFERROR(_xlfn.NUMBERVALUE(SUBSTITUTE(LEFT(TRIM(C1039),FIND(" ",TRIM(C1039)&amp;" ")-1),",","."),"."),LEFT(SUBSTITUTE(LEFT(TRIM(C1039),FIND(" ",TRIM(C1039)&amp;" ")-1),",","."),FIND("/",SUBSTITUTE(LEFT(TRIM(C1039),FIND(" ",TRIM(C1039)&amp;" ")-1),",","."))-1)/MID(SUBSTITUTE(LEFT(TRIM(C1039),FIND(" ",TRIM(C1039)&amp;" ")-1),",","."),FIND("/",SUBSTITUTE(LEFT(TRIM(C1039),FIND(" ",TRIM(C1039)&amp;" ")-1),",","."))+1,9))*12/52,IF(ISNUMBER(SEARCH("month",C1039)),IFERROR(_xlfn.NUMBERVALUE(SUBSTITUTE(LEFT(TRIM(C1039),FIND(" ",TRIM(C1039)&amp;" ")-1),",","."),"."),LEFT(SUBSTITUTE(LEFT(TRIM(C1039),FIND(" ",TRIM(C1039)&amp;" ")-1),",","."),FIND("/",SUBSTITUTE(LEFT(TRIM(C1039),FIND(" ",TRIM(C1039)&amp;" ")-1),",","."))-1)/MID(SUBSTITUTE(LEFT(TRIM(C1039),FIND(" ",TRIM(C1039)&amp;" ")-1),",","."),FIND("/",SUBSTITUTE(LEFT(TRIM(C1039),FIND(" ",TRIM(C1039)&amp;" ")-1),",","."))+1,9)),IF(ISNUMBER(SEARCH("yea",C1039)),IFERROR(_xlfn.NUMBERVALUE(SUBSTITUTE(LEFT(TRIM(C1039),FIND(" ",TRIM(C1039)&amp;" ")-1),",","."),"."),LEFT(SUBSTITUTE(LEFT(TRIM(C1039),FIND(" ",TRIM(C1039)&amp;" ")-1),",","."),FIND("/",SUBSTITUTE(LEFT(TRIM(C1039),FIND(" ",TRIM(C1039)&amp;" ")-1),",","."))-1)/MID(SUBSTITUTE(LEFT(TRIM(C1039),FIND(" ",TRIM(C1039)&amp;" ")-1),",","."),FIND("/",SUBSTITUTE(LEFT(TRIM(C1039),FIND(" ",TRIM(C1039)&amp;" ")-1),",","."))+1,9))*12,NA()))),0),42)*'Aturan &amp; Tarif'!$B$4,2)</f>
        <v>2384.76</v>
      </c>
      <c r="K1039" s="42" t="n">
        <f aca="false">'Aturan &amp; Tarif'!$B$5</f>
        <v>2050</v>
      </c>
      <c r="L1039" s="35" t="n">
        <f aca="false">I1039+J1039+K1039</f>
        <v>6834.76</v>
      </c>
      <c r="M1039" s="45" t="s">
        <v>134</v>
      </c>
    </row>
    <row r="1040" customFormat="false" ht="25.5" hidden="false" customHeight="true" outlineLevel="0" collapsed="false">
      <c r="A1040" s="39"/>
      <c r="B1040" s="40" t="s">
        <v>422</v>
      </c>
      <c r="C1040" s="41" t="s">
        <v>2557</v>
      </c>
      <c r="D1040" s="41" t="s">
        <v>108</v>
      </c>
      <c r="E1040" s="42" t="n">
        <v>2000</v>
      </c>
      <c r="F1040" s="42" t="n">
        <v>950</v>
      </c>
      <c r="G1040" s="42" t="n">
        <v>250</v>
      </c>
      <c r="H1040" s="43" t="n">
        <v>1</v>
      </c>
      <c r="I1040" s="34" t="n">
        <f aca="false">E1040*H1040+N(F1040)+N(G1040)</f>
        <v>3200</v>
      </c>
      <c r="J1040" s="42" t="n">
        <f aca="false">ROUND(IFERROR(ROUND(IF(OR(ISNUMBER(SEARCH("week",C1040)),ISNUMBER(SEARCH("minggu",C1040))),IFERROR(_xlfn.NUMBERVALUE(SUBSTITUTE(LEFT(TRIM(C1040),FIND(" ",TRIM(C1040)&amp;" ")-1),",","."),"."),LEFT(SUBSTITUTE(LEFT(TRIM(C1040),FIND(" ",TRIM(C1040)&amp;" ")-1),",","."),FIND("/",SUBSTITUTE(LEFT(TRIM(C1040),FIND(" ",TRIM(C1040)&amp;" ")-1),",","."))-1)/MID(SUBSTITUTE(LEFT(TRIM(C1040),FIND(" ",TRIM(C1040)&amp;" ")-1),",","."),FIND("/",SUBSTITUTE(LEFT(TRIM(C1040),FIND(" ",TRIM(C1040)&amp;" ")-1),",","."))+1,9))*12/52,IF(ISNUMBER(SEARCH("month",C1040)),IFERROR(_xlfn.NUMBERVALUE(SUBSTITUTE(LEFT(TRIM(C1040),FIND(" ",TRIM(C1040)&amp;" ")-1),",","."),"."),LEFT(SUBSTITUTE(LEFT(TRIM(C1040),FIND(" ",TRIM(C1040)&amp;" ")-1),",","."),FIND("/",SUBSTITUTE(LEFT(TRIM(C1040),FIND(" ",TRIM(C1040)&amp;" ")-1),",","."))-1)/MID(SUBSTITUTE(LEFT(TRIM(C1040),FIND(" ",TRIM(C1040)&amp;" ")-1),",","."),FIND("/",SUBSTITUTE(LEFT(TRIM(C1040),FIND(" ",TRIM(C1040)&amp;" ")-1),",","."))+1,9)),IF(ISNUMBER(SEARCH("yea",C1040)),IFERROR(_xlfn.NUMBERVALUE(SUBSTITUTE(LEFT(TRIM(C1040),FIND(" ",TRIM(C1040)&amp;" ")-1),",","."),"."),LEFT(SUBSTITUTE(LEFT(TRIM(C1040),FIND(" ",TRIM(C1040)&amp;" ")-1),",","."),FIND("/",SUBSTITUTE(LEFT(TRIM(C1040),FIND(" ",TRIM(C1040)&amp;" ")-1),",","."))-1)/MID(SUBSTITUTE(LEFT(TRIM(C1040),FIND(" ",TRIM(C1040)&amp;" ")-1),",","."),FIND("/",SUBSTITUTE(LEFT(TRIM(C1040),FIND(" ",TRIM(C1040)&amp;" ")-1),",","."))+1,9))*12,NA()))),0),18)*'Aturan &amp; Tarif'!$B$4,2)</f>
        <v>1022.04</v>
      </c>
      <c r="K1040" s="42" t="n">
        <f aca="false">'Aturan &amp; Tarif'!$B$5</f>
        <v>2050</v>
      </c>
      <c r="L1040" s="35" t="n">
        <f aca="false">I1040+J1040+K1040</f>
        <v>6272.04</v>
      </c>
      <c r="M1040" s="45" t="s">
        <v>134</v>
      </c>
    </row>
    <row r="1041" customFormat="false" ht="25.5" hidden="false" customHeight="true" outlineLevel="0" collapsed="false">
      <c r="A1041" s="39"/>
      <c r="B1041" s="40" t="s">
        <v>148</v>
      </c>
      <c r="C1041" s="41" t="s">
        <v>107</v>
      </c>
      <c r="D1041" s="41" t="s">
        <v>108</v>
      </c>
      <c r="E1041" s="42" t="n">
        <v>2000</v>
      </c>
      <c r="F1041" s="42" t="n">
        <v>950</v>
      </c>
      <c r="G1041" s="42" t="n">
        <v>250</v>
      </c>
      <c r="H1041" s="43" t="n">
        <v>1</v>
      </c>
      <c r="I1041" s="34" t="n">
        <f aca="false">E1041*H1041+N(F1041)+N(G1041)</f>
        <v>3200</v>
      </c>
      <c r="J1041" s="42" t="n">
        <f aca="false">ROUND(IFERROR(ROUND(IF(OR(ISNUMBER(SEARCH("week",C1041)),ISNUMBER(SEARCH("minggu",C1041))),IFERROR(_xlfn.NUMBERVALUE(SUBSTITUTE(LEFT(TRIM(C1041),FIND(" ",TRIM(C1041)&amp;" ")-1),",","."),"."),LEFT(SUBSTITUTE(LEFT(TRIM(C1041),FIND(" ",TRIM(C1041)&amp;" ")-1),",","."),FIND("/",SUBSTITUTE(LEFT(TRIM(C1041),FIND(" ",TRIM(C1041)&amp;" ")-1),",","."))-1)/MID(SUBSTITUTE(LEFT(TRIM(C1041),FIND(" ",TRIM(C1041)&amp;" ")-1),",","."),FIND("/",SUBSTITUTE(LEFT(TRIM(C1041),FIND(" ",TRIM(C1041)&amp;" ")-1),",","."))+1,9))*12/52,IF(ISNUMBER(SEARCH("month",C1041)),IFERROR(_xlfn.NUMBERVALUE(SUBSTITUTE(LEFT(TRIM(C1041),FIND(" ",TRIM(C1041)&amp;" ")-1),",","."),"."),LEFT(SUBSTITUTE(LEFT(TRIM(C1041),FIND(" ",TRIM(C1041)&amp;" ")-1),",","."),FIND("/",SUBSTITUTE(LEFT(TRIM(C1041),FIND(" ",TRIM(C1041)&amp;" ")-1),",","."))-1)/MID(SUBSTITUTE(LEFT(TRIM(C1041),FIND(" ",TRIM(C1041)&amp;" ")-1),",","."),FIND("/",SUBSTITUTE(LEFT(TRIM(C1041),FIND(" ",TRIM(C1041)&amp;" ")-1),",","."))+1,9)),IF(ISNUMBER(SEARCH("yea",C1041)),IFERROR(_xlfn.NUMBERVALUE(SUBSTITUTE(LEFT(TRIM(C1041),FIND(" ",TRIM(C1041)&amp;" ")-1),",","."),"."),LEFT(SUBSTITUTE(LEFT(TRIM(C1041),FIND(" ",TRIM(C1041)&amp;" ")-1),",","."),FIND("/",SUBSTITUTE(LEFT(TRIM(C1041),FIND(" ",TRIM(C1041)&amp;" ")-1),",","."))-1)/MID(SUBSTITUTE(LEFT(TRIM(C1041),FIND(" ",TRIM(C1041)&amp;" ")-1),",","."),FIND("/",SUBSTITUTE(LEFT(TRIM(C1041),FIND(" ",TRIM(C1041)&amp;" ")-1),",","."))+1,9))*12,NA()))),0),24)*'Aturan &amp; Tarif'!$B$4,2)</f>
        <v>1362.72</v>
      </c>
      <c r="K1041" s="42" t="n">
        <f aca="false">'Aturan &amp; Tarif'!$B$5</f>
        <v>2050</v>
      </c>
      <c r="L1041" s="35" t="n">
        <f aca="false">I1041+J1041+K1041</f>
        <v>6612.72</v>
      </c>
      <c r="M1041" s="45" t="s">
        <v>134</v>
      </c>
    </row>
    <row r="1042" customFormat="false" ht="25.5" hidden="false" customHeight="true" outlineLevel="0" collapsed="false">
      <c r="A1042" s="39"/>
      <c r="B1042" s="40" t="s">
        <v>806</v>
      </c>
      <c r="C1042" s="41" t="s">
        <v>127</v>
      </c>
      <c r="D1042" s="41" t="s">
        <v>108</v>
      </c>
      <c r="E1042" s="42" t="n">
        <v>2000</v>
      </c>
      <c r="F1042" s="42" t="n">
        <v>950</v>
      </c>
      <c r="G1042" s="42" t="n">
        <v>250</v>
      </c>
      <c r="H1042" s="43" t="n">
        <v>1</v>
      </c>
      <c r="I1042" s="34" t="n">
        <f aca="false">E1042*H1042+N(F1042)+N(G1042)</f>
        <v>3200</v>
      </c>
      <c r="J1042" s="42" t="n">
        <f aca="false">ROUND(IFERROR(ROUND(IF(OR(ISNUMBER(SEARCH("week",C1042)),ISNUMBER(SEARCH("minggu",C1042))),IFERROR(_xlfn.NUMBERVALUE(SUBSTITUTE(LEFT(TRIM(C1042),FIND(" ",TRIM(C1042)&amp;" ")-1),",","."),"."),LEFT(SUBSTITUTE(LEFT(TRIM(C1042),FIND(" ",TRIM(C1042)&amp;" ")-1),",","."),FIND("/",SUBSTITUTE(LEFT(TRIM(C1042),FIND(" ",TRIM(C1042)&amp;" ")-1),",","."))-1)/MID(SUBSTITUTE(LEFT(TRIM(C1042),FIND(" ",TRIM(C1042)&amp;" ")-1),",","."),FIND("/",SUBSTITUTE(LEFT(TRIM(C1042),FIND(" ",TRIM(C1042)&amp;" ")-1),",","."))+1,9))*12/52,IF(ISNUMBER(SEARCH("month",C1042)),IFERROR(_xlfn.NUMBERVALUE(SUBSTITUTE(LEFT(TRIM(C1042),FIND(" ",TRIM(C1042)&amp;" ")-1),",","."),"."),LEFT(SUBSTITUTE(LEFT(TRIM(C1042),FIND(" ",TRIM(C1042)&amp;" ")-1),",","."),FIND("/",SUBSTITUTE(LEFT(TRIM(C1042),FIND(" ",TRIM(C1042)&amp;" ")-1),",","."))-1)/MID(SUBSTITUTE(LEFT(TRIM(C1042),FIND(" ",TRIM(C1042)&amp;" ")-1),",","."),FIND("/",SUBSTITUTE(LEFT(TRIM(C1042),FIND(" ",TRIM(C1042)&amp;" ")-1),",","."))+1,9)),IF(ISNUMBER(SEARCH("yea",C1042)),IFERROR(_xlfn.NUMBERVALUE(SUBSTITUTE(LEFT(TRIM(C1042),FIND(" ",TRIM(C1042)&amp;" ")-1),",","."),"."),LEFT(SUBSTITUTE(LEFT(TRIM(C1042),FIND(" ",TRIM(C1042)&amp;" ")-1),",","."),FIND("/",SUBSTITUTE(LEFT(TRIM(C1042),FIND(" ",TRIM(C1042)&amp;" ")-1),",","."))-1)/MID(SUBSTITUTE(LEFT(TRIM(C1042),FIND(" ",TRIM(C1042)&amp;" ")-1),",","."),FIND("/",SUBSTITUTE(LEFT(TRIM(C1042),FIND(" ",TRIM(C1042)&amp;" ")-1),",","."))+1,9))*12,NA()))),0),36)*'Aturan &amp; Tarif'!$B$4,2)</f>
        <v>2044.08</v>
      </c>
      <c r="K1042" s="42" t="n">
        <f aca="false">'Aturan &amp; Tarif'!$B$5</f>
        <v>2050</v>
      </c>
      <c r="L1042" s="35" t="n">
        <f aca="false">I1042+J1042+K1042</f>
        <v>7294.08</v>
      </c>
      <c r="M1042" s="45" t="s">
        <v>134</v>
      </c>
    </row>
    <row r="1043" customFormat="false" ht="25.5" hidden="false" customHeight="true" outlineLevel="0" collapsed="false">
      <c r="A1043" s="39"/>
      <c r="B1043" s="40" t="s">
        <v>1025</v>
      </c>
      <c r="C1043" s="41" t="s">
        <v>107</v>
      </c>
      <c r="D1043" s="41" t="s">
        <v>108</v>
      </c>
      <c r="E1043" s="42" t="n">
        <v>1500</v>
      </c>
      <c r="F1043" s="42" t="n">
        <v>50</v>
      </c>
      <c r="G1043" s="42" t="n">
        <v>250</v>
      </c>
      <c r="H1043" s="43" t="n">
        <v>1</v>
      </c>
      <c r="I1043" s="34" t="n">
        <f aca="false">E1043*H1043+N(F1043)+N(G1043)</f>
        <v>1800</v>
      </c>
      <c r="J1043" s="42" t="n">
        <f aca="false">ROUND(IFERROR(ROUND(IF(OR(ISNUMBER(SEARCH("week",C1043)),ISNUMBER(SEARCH("minggu",C1043))),IFERROR(_xlfn.NUMBERVALUE(SUBSTITUTE(LEFT(TRIM(C1043),FIND(" ",TRIM(C1043)&amp;" ")-1),",","."),"."),LEFT(SUBSTITUTE(LEFT(TRIM(C1043),FIND(" ",TRIM(C1043)&amp;" ")-1),",","."),FIND("/",SUBSTITUTE(LEFT(TRIM(C1043),FIND(" ",TRIM(C1043)&amp;" ")-1),",","."))-1)/MID(SUBSTITUTE(LEFT(TRIM(C1043),FIND(" ",TRIM(C1043)&amp;" ")-1),",","."),FIND("/",SUBSTITUTE(LEFT(TRIM(C1043),FIND(" ",TRIM(C1043)&amp;" ")-1),",","."))+1,9))*12/52,IF(ISNUMBER(SEARCH("month",C1043)),IFERROR(_xlfn.NUMBERVALUE(SUBSTITUTE(LEFT(TRIM(C1043),FIND(" ",TRIM(C1043)&amp;" ")-1),",","."),"."),LEFT(SUBSTITUTE(LEFT(TRIM(C1043),FIND(" ",TRIM(C1043)&amp;" ")-1),",","."),FIND("/",SUBSTITUTE(LEFT(TRIM(C1043),FIND(" ",TRIM(C1043)&amp;" ")-1),",","."))-1)/MID(SUBSTITUTE(LEFT(TRIM(C1043),FIND(" ",TRIM(C1043)&amp;" ")-1),",","."),FIND("/",SUBSTITUTE(LEFT(TRIM(C1043),FIND(" ",TRIM(C1043)&amp;" ")-1),",","."))+1,9)),IF(ISNUMBER(SEARCH("yea",C1043)),IFERROR(_xlfn.NUMBERVALUE(SUBSTITUTE(LEFT(TRIM(C1043),FIND(" ",TRIM(C1043)&amp;" ")-1),",","."),"."),LEFT(SUBSTITUTE(LEFT(TRIM(C1043),FIND(" ",TRIM(C1043)&amp;" ")-1),",","."),FIND("/",SUBSTITUTE(LEFT(TRIM(C1043),FIND(" ",TRIM(C1043)&amp;" ")-1),",","."))-1)/MID(SUBSTITUTE(LEFT(TRIM(C1043),FIND(" ",TRIM(C1043)&amp;" ")-1),",","."),FIND("/",SUBSTITUTE(LEFT(TRIM(C1043),FIND(" ",TRIM(C1043)&amp;" ")-1),",","."))+1,9))*12,NA()))),0),24)*'Aturan &amp; Tarif'!$B$4,2)</f>
        <v>1362.72</v>
      </c>
      <c r="K1043" s="42" t="n">
        <f aca="false">'Aturan &amp; Tarif'!$B$5</f>
        <v>2050</v>
      </c>
      <c r="L1043" s="35" t="n">
        <f aca="false">I1043+J1043+K1043</f>
        <v>5212.72</v>
      </c>
      <c r="M1043" s="45" t="s">
        <v>134</v>
      </c>
    </row>
    <row r="1044" customFormat="false" ht="25.5" hidden="false" customHeight="true" outlineLevel="0" collapsed="false">
      <c r="A1044" s="39"/>
      <c r="B1044" s="40" t="s">
        <v>2356</v>
      </c>
      <c r="C1044" s="41" t="s">
        <v>127</v>
      </c>
      <c r="D1044" s="41" t="s">
        <v>108</v>
      </c>
      <c r="E1044" s="42" t="n">
        <v>1500</v>
      </c>
      <c r="F1044" s="42" t="n">
        <v>50</v>
      </c>
      <c r="G1044" s="42" t="n">
        <v>250</v>
      </c>
      <c r="H1044" s="43" t="n">
        <v>1</v>
      </c>
      <c r="I1044" s="34" t="n">
        <f aca="false">E1044*H1044+N(F1044)+N(G1044)</f>
        <v>1800</v>
      </c>
      <c r="J1044" s="42" t="n">
        <f aca="false">ROUND(IFERROR(ROUND(IF(OR(ISNUMBER(SEARCH("week",C1044)),ISNUMBER(SEARCH("minggu",C1044))),IFERROR(_xlfn.NUMBERVALUE(SUBSTITUTE(LEFT(TRIM(C1044),FIND(" ",TRIM(C1044)&amp;" ")-1),",","."),"."),LEFT(SUBSTITUTE(LEFT(TRIM(C1044),FIND(" ",TRIM(C1044)&amp;" ")-1),",","."),FIND("/",SUBSTITUTE(LEFT(TRIM(C1044),FIND(" ",TRIM(C1044)&amp;" ")-1),",","."))-1)/MID(SUBSTITUTE(LEFT(TRIM(C1044),FIND(" ",TRIM(C1044)&amp;" ")-1),",","."),FIND("/",SUBSTITUTE(LEFT(TRIM(C1044),FIND(" ",TRIM(C1044)&amp;" ")-1),",","."))+1,9))*12/52,IF(ISNUMBER(SEARCH("month",C1044)),IFERROR(_xlfn.NUMBERVALUE(SUBSTITUTE(LEFT(TRIM(C1044),FIND(" ",TRIM(C1044)&amp;" ")-1),",","."),"."),LEFT(SUBSTITUTE(LEFT(TRIM(C1044),FIND(" ",TRIM(C1044)&amp;" ")-1),",","."),FIND("/",SUBSTITUTE(LEFT(TRIM(C1044),FIND(" ",TRIM(C1044)&amp;" ")-1),",","."))-1)/MID(SUBSTITUTE(LEFT(TRIM(C1044),FIND(" ",TRIM(C1044)&amp;" ")-1),",","."),FIND("/",SUBSTITUTE(LEFT(TRIM(C1044),FIND(" ",TRIM(C1044)&amp;" ")-1),",","."))+1,9)),IF(ISNUMBER(SEARCH("yea",C1044)),IFERROR(_xlfn.NUMBERVALUE(SUBSTITUTE(LEFT(TRIM(C1044),FIND(" ",TRIM(C1044)&amp;" ")-1),",","."),"."),LEFT(SUBSTITUTE(LEFT(TRIM(C1044),FIND(" ",TRIM(C1044)&amp;" ")-1),",","."),FIND("/",SUBSTITUTE(LEFT(TRIM(C1044),FIND(" ",TRIM(C1044)&amp;" ")-1),",","."))-1)/MID(SUBSTITUTE(LEFT(TRIM(C1044),FIND(" ",TRIM(C1044)&amp;" ")-1),",","."),FIND("/",SUBSTITUTE(LEFT(TRIM(C1044),FIND(" ",TRIM(C1044)&amp;" ")-1),",","."))+1,9))*12,NA()))),0),36)*'Aturan &amp; Tarif'!$B$4,2)</f>
        <v>2044.08</v>
      </c>
      <c r="K1044" s="42" t="n">
        <f aca="false">'Aturan &amp; Tarif'!$B$5</f>
        <v>2050</v>
      </c>
      <c r="L1044" s="35" t="n">
        <f aca="false">I1044+J1044+K1044</f>
        <v>5894.08</v>
      </c>
      <c r="M1044" s="45" t="s">
        <v>134</v>
      </c>
    </row>
    <row r="1045" customFormat="false" ht="14.25" hidden="false" customHeight="true" outlineLevel="0" collapsed="false">
      <c r="A1045" s="39"/>
      <c r="B1045" s="40" t="s">
        <v>2449</v>
      </c>
      <c r="C1045" s="41" t="s">
        <v>107</v>
      </c>
      <c r="D1045" s="41" t="s">
        <v>108</v>
      </c>
      <c r="E1045" s="42" t="n">
        <v>1500</v>
      </c>
      <c r="F1045" s="42" t="n">
        <v>50</v>
      </c>
      <c r="G1045" s="42" t="n">
        <v>250</v>
      </c>
      <c r="H1045" s="43" t="n">
        <v>1</v>
      </c>
      <c r="I1045" s="34" t="n">
        <f aca="false">E1045*H1045+N(F1045)+N(G1045)</f>
        <v>1800</v>
      </c>
      <c r="J1045" s="42" t="n">
        <f aca="false">ROUND(IFERROR(ROUND(IF(OR(ISNUMBER(SEARCH("week",C1045)),ISNUMBER(SEARCH("minggu",C1045))),IFERROR(_xlfn.NUMBERVALUE(SUBSTITUTE(LEFT(TRIM(C1045),FIND(" ",TRIM(C1045)&amp;" ")-1),",","."),"."),LEFT(SUBSTITUTE(LEFT(TRIM(C1045),FIND(" ",TRIM(C1045)&amp;" ")-1),",","."),FIND("/",SUBSTITUTE(LEFT(TRIM(C1045),FIND(" ",TRIM(C1045)&amp;" ")-1),",","."))-1)/MID(SUBSTITUTE(LEFT(TRIM(C1045),FIND(" ",TRIM(C1045)&amp;" ")-1),",","."),FIND("/",SUBSTITUTE(LEFT(TRIM(C1045),FIND(" ",TRIM(C1045)&amp;" ")-1),",","."))+1,9))*12/52,IF(ISNUMBER(SEARCH("month",C1045)),IFERROR(_xlfn.NUMBERVALUE(SUBSTITUTE(LEFT(TRIM(C1045),FIND(" ",TRIM(C1045)&amp;" ")-1),",","."),"."),LEFT(SUBSTITUTE(LEFT(TRIM(C1045),FIND(" ",TRIM(C1045)&amp;" ")-1),",","."),FIND("/",SUBSTITUTE(LEFT(TRIM(C1045),FIND(" ",TRIM(C1045)&amp;" ")-1),",","."))-1)/MID(SUBSTITUTE(LEFT(TRIM(C1045),FIND(" ",TRIM(C1045)&amp;" ")-1),",","."),FIND("/",SUBSTITUTE(LEFT(TRIM(C1045),FIND(" ",TRIM(C1045)&amp;" ")-1),",","."))+1,9)),IF(ISNUMBER(SEARCH("yea",C1045)),IFERROR(_xlfn.NUMBERVALUE(SUBSTITUTE(LEFT(TRIM(C1045),FIND(" ",TRIM(C1045)&amp;" ")-1),",","."),"."),LEFT(SUBSTITUTE(LEFT(TRIM(C1045),FIND(" ",TRIM(C1045)&amp;" ")-1),",","."),FIND("/",SUBSTITUTE(LEFT(TRIM(C1045),FIND(" ",TRIM(C1045)&amp;" ")-1),",","."))-1)/MID(SUBSTITUTE(LEFT(TRIM(C1045),FIND(" ",TRIM(C1045)&amp;" ")-1),",","."),FIND("/",SUBSTITUTE(LEFT(TRIM(C1045),FIND(" ",TRIM(C1045)&amp;" ")-1),",","."))+1,9))*12,NA()))),0),24)*'Aturan &amp; Tarif'!$B$4,2)</f>
        <v>1362.72</v>
      </c>
      <c r="K1045" s="42" t="n">
        <f aca="false">'Aturan &amp; Tarif'!$B$5</f>
        <v>2050</v>
      </c>
      <c r="L1045" s="35" t="n">
        <f aca="false">I1045+J1045+K1045</f>
        <v>5212.72</v>
      </c>
      <c r="M1045" s="45" t="s">
        <v>134</v>
      </c>
    </row>
    <row r="1046" customFormat="false" ht="25.5" hidden="false" customHeight="true" outlineLevel="0" collapsed="false">
      <c r="A1046" s="39"/>
      <c r="B1046" s="40" t="s">
        <v>2023</v>
      </c>
      <c r="C1046" s="41" t="s">
        <v>127</v>
      </c>
      <c r="D1046" s="41" t="s">
        <v>108</v>
      </c>
      <c r="E1046" s="42" t="n">
        <v>1500</v>
      </c>
      <c r="F1046" s="42" t="n">
        <v>50</v>
      </c>
      <c r="G1046" s="42" t="n">
        <v>250</v>
      </c>
      <c r="H1046" s="43" t="n">
        <v>1</v>
      </c>
      <c r="I1046" s="34" t="n">
        <f aca="false">E1046*H1046+N(F1046)+N(G1046)</f>
        <v>1800</v>
      </c>
      <c r="J1046" s="42" t="n">
        <f aca="false">ROUND(IFERROR(ROUND(IF(OR(ISNUMBER(SEARCH("week",C1046)),ISNUMBER(SEARCH("minggu",C1046))),IFERROR(_xlfn.NUMBERVALUE(SUBSTITUTE(LEFT(TRIM(C1046),FIND(" ",TRIM(C1046)&amp;" ")-1),",","."),"."),LEFT(SUBSTITUTE(LEFT(TRIM(C1046),FIND(" ",TRIM(C1046)&amp;" ")-1),",","."),FIND("/",SUBSTITUTE(LEFT(TRIM(C1046),FIND(" ",TRIM(C1046)&amp;" ")-1),",","."))-1)/MID(SUBSTITUTE(LEFT(TRIM(C1046),FIND(" ",TRIM(C1046)&amp;" ")-1),",","."),FIND("/",SUBSTITUTE(LEFT(TRIM(C1046),FIND(" ",TRIM(C1046)&amp;" ")-1),",","."))+1,9))*12/52,IF(ISNUMBER(SEARCH("month",C1046)),IFERROR(_xlfn.NUMBERVALUE(SUBSTITUTE(LEFT(TRIM(C1046),FIND(" ",TRIM(C1046)&amp;" ")-1),",","."),"."),LEFT(SUBSTITUTE(LEFT(TRIM(C1046),FIND(" ",TRIM(C1046)&amp;" ")-1),",","."),FIND("/",SUBSTITUTE(LEFT(TRIM(C1046),FIND(" ",TRIM(C1046)&amp;" ")-1),",","."))-1)/MID(SUBSTITUTE(LEFT(TRIM(C1046),FIND(" ",TRIM(C1046)&amp;" ")-1),",","."),FIND("/",SUBSTITUTE(LEFT(TRIM(C1046),FIND(" ",TRIM(C1046)&amp;" ")-1),",","."))+1,9)),IF(ISNUMBER(SEARCH("yea",C1046)),IFERROR(_xlfn.NUMBERVALUE(SUBSTITUTE(LEFT(TRIM(C1046),FIND(" ",TRIM(C1046)&amp;" ")-1),",","."),"."),LEFT(SUBSTITUTE(LEFT(TRIM(C1046),FIND(" ",TRIM(C1046)&amp;" ")-1),",","."),FIND("/",SUBSTITUTE(LEFT(TRIM(C1046),FIND(" ",TRIM(C1046)&amp;" ")-1),",","."))-1)/MID(SUBSTITUTE(LEFT(TRIM(C1046),FIND(" ",TRIM(C1046)&amp;" ")-1),",","."),FIND("/",SUBSTITUTE(LEFT(TRIM(C1046),FIND(" ",TRIM(C1046)&amp;" ")-1),",","."))+1,9))*12,NA()))),0),36)*'Aturan &amp; Tarif'!$B$4,2)</f>
        <v>2044.08</v>
      </c>
      <c r="K1046" s="42" t="n">
        <f aca="false">'Aturan &amp; Tarif'!$B$5</f>
        <v>2050</v>
      </c>
      <c r="L1046" s="35" t="n">
        <f aca="false">I1046+J1046+K1046</f>
        <v>5894.08</v>
      </c>
      <c r="M1046" s="45" t="s">
        <v>134</v>
      </c>
    </row>
    <row r="1047" customFormat="false" ht="37.5" hidden="false" customHeight="true" outlineLevel="0" collapsed="false">
      <c r="A1047" s="39" t="s">
        <v>2558</v>
      </c>
      <c r="B1047" s="40" t="s">
        <v>1817</v>
      </c>
      <c r="C1047" s="41" t="s">
        <v>138</v>
      </c>
      <c r="D1047" s="41" t="s">
        <v>108</v>
      </c>
      <c r="E1047" s="42" t="n">
        <v>3250</v>
      </c>
      <c r="F1047" s="42" t="n">
        <v>300</v>
      </c>
      <c r="G1047" s="42" t="n">
        <v>250</v>
      </c>
      <c r="H1047" s="43" t="n">
        <v>1</v>
      </c>
      <c r="I1047" s="34" t="n">
        <f aca="false">E1047*H1047+N(F1047)+N(G1047)</f>
        <v>3800</v>
      </c>
      <c r="J1047" s="42" t="n">
        <f aca="false">ROUND(IFERROR(ROUND(IF(OR(ISNUMBER(SEARCH("week",C1047)),ISNUMBER(SEARCH("minggu",C1047))),IFERROR(_xlfn.NUMBERVALUE(SUBSTITUTE(LEFT(TRIM(C1047),FIND(" ",TRIM(C1047)&amp;" ")-1),",","."),"."),LEFT(SUBSTITUTE(LEFT(TRIM(C1047),FIND(" ",TRIM(C1047)&amp;" ")-1),",","."),FIND("/",SUBSTITUTE(LEFT(TRIM(C1047),FIND(" ",TRIM(C1047)&amp;" ")-1),",","."))-1)/MID(SUBSTITUTE(LEFT(TRIM(C1047),FIND(" ",TRIM(C1047)&amp;" ")-1),",","."),FIND("/",SUBSTITUTE(LEFT(TRIM(C1047),FIND(" ",TRIM(C1047)&amp;" ")-1),",","."))+1,9))*12/52,IF(ISNUMBER(SEARCH("month",C1047)),IFERROR(_xlfn.NUMBERVALUE(SUBSTITUTE(LEFT(TRIM(C1047),FIND(" ",TRIM(C1047)&amp;" ")-1),",","."),"."),LEFT(SUBSTITUTE(LEFT(TRIM(C1047),FIND(" ",TRIM(C1047)&amp;" ")-1),",","."),FIND("/",SUBSTITUTE(LEFT(TRIM(C1047),FIND(" ",TRIM(C1047)&amp;" ")-1),",","."))-1)/MID(SUBSTITUTE(LEFT(TRIM(C1047),FIND(" ",TRIM(C1047)&amp;" ")-1),",","."),FIND("/",SUBSTITUTE(LEFT(TRIM(C1047),FIND(" ",TRIM(C1047)&amp;" ")-1),",","."))+1,9)),IF(ISNUMBER(SEARCH("yea",C1047)),IFERROR(_xlfn.NUMBERVALUE(SUBSTITUTE(LEFT(TRIM(C1047),FIND(" ",TRIM(C1047)&amp;" ")-1),",","."),"."),LEFT(SUBSTITUTE(LEFT(TRIM(C1047),FIND(" ",TRIM(C1047)&amp;" ")-1),",","."),FIND("/",SUBSTITUTE(LEFT(TRIM(C1047),FIND(" ",TRIM(C1047)&amp;" ")-1),",","."))-1)/MID(SUBSTITUTE(LEFT(TRIM(C1047),FIND(" ",TRIM(C1047)&amp;" ")-1),",","."),FIND("/",SUBSTITUTE(LEFT(TRIM(C1047),FIND(" ",TRIM(C1047)&amp;" ")-1),",","."))+1,9))*12,NA()))),0),30)*'Aturan &amp; Tarif'!$B$4,2)</f>
        <v>1703.4</v>
      </c>
      <c r="K1047" s="42" t="n">
        <f aca="false">'Aturan &amp; Tarif'!$B$5</f>
        <v>2050</v>
      </c>
      <c r="L1047" s="35" t="n">
        <f aca="false">I1047+J1047+K1047</f>
        <v>7553.4</v>
      </c>
      <c r="M1047" s="45" t="s">
        <v>2559</v>
      </c>
    </row>
    <row r="1048" customFormat="false" ht="25.5" hidden="false" customHeight="true" outlineLevel="0" collapsed="false">
      <c r="A1048" s="39"/>
      <c r="B1048" s="40" t="s">
        <v>2560</v>
      </c>
      <c r="C1048" s="41" t="s">
        <v>191</v>
      </c>
      <c r="D1048" s="41" t="s">
        <v>108</v>
      </c>
      <c r="E1048" s="42" t="n">
        <v>3250</v>
      </c>
      <c r="F1048" s="42" t="n">
        <v>300</v>
      </c>
      <c r="G1048" s="42" t="n">
        <v>250</v>
      </c>
      <c r="H1048" s="43" t="n">
        <v>1</v>
      </c>
      <c r="I1048" s="34" t="n">
        <f aca="false">E1048*H1048+N(F1048)+N(G1048)</f>
        <v>3800</v>
      </c>
      <c r="J1048" s="42" t="n">
        <f aca="false">ROUND(IFERROR(ROUND(IF(OR(ISNUMBER(SEARCH("week",C1048)),ISNUMBER(SEARCH("minggu",C1048))),IFERROR(_xlfn.NUMBERVALUE(SUBSTITUTE(LEFT(TRIM(C1048),FIND(" ",TRIM(C1048)&amp;" ")-1),",","."),"."),LEFT(SUBSTITUTE(LEFT(TRIM(C1048),FIND(" ",TRIM(C1048)&amp;" ")-1),",","."),FIND("/",SUBSTITUTE(LEFT(TRIM(C1048),FIND(" ",TRIM(C1048)&amp;" ")-1),",","."))-1)/MID(SUBSTITUTE(LEFT(TRIM(C1048),FIND(" ",TRIM(C1048)&amp;" ")-1),",","."),FIND("/",SUBSTITUTE(LEFT(TRIM(C1048),FIND(" ",TRIM(C1048)&amp;" ")-1),",","."))+1,9))*12/52,IF(ISNUMBER(SEARCH("month",C1048)),IFERROR(_xlfn.NUMBERVALUE(SUBSTITUTE(LEFT(TRIM(C1048),FIND(" ",TRIM(C1048)&amp;" ")-1),",","."),"."),LEFT(SUBSTITUTE(LEFT(TRIM(C1048),FIND(" ",TRIM(C1048)&amp;" ")-1),",","."),FIND("/",SUBSTITUTE(LEFT(TRIM(C1048),FIND(" ",TRIM(C1048)&amp;" ")-1),",","."))-1)/MID(SUBSTITUTE(LEFT(TRIM(C1048),FIND(" ",TRIM(C1048)&amp;" ")-1),",","."),FIND("/",SUBSTITUTE(LEFT(TRIM(C1048),FIND(" ",TRIM(C1048)&amp;" ")-1),",","."))+1,9)),IF(ISNUMBER(SEARCH("yea",C1048)),IFERROR(_xlfn.NUMBERVALUE(SUBSTITUTE(LEFT(TRIM(C1048),FIND(" ",TRIM(C1048)&amp;" ")-1),",","."),"."),LEFT(SUBSTITUTE(LEFT(TRIM(C1048),FIND(" ",TRIM(C1048)&amp;" ")-1),",","."),FIND("/",SUBSTITUTE(LEFT(TRIM(C1048),FIND(" ",TRIM(C1048)&amp;" ")-1),",","."))-1)/MID(SUBSTITUTE(LEFT(TRIM(C1048),FIND(" ",TRIM(C1048)&amp;" ")-1),",","."),FIND("/",SUBSTITUTE(LEFT(TRIM(C1048),FIND(" ",TRIM(C1048)&amp;" ")-1),",","."))+1,9))*12,NA()))),0),48)*'Aturan &amp; Tarif'!$B$4,2)</f>
        <v>2725.44</v>
      </c>
      <c r="K1048" s="42" t="n">
        <f aca="false">'Aturan &amp; Tarif'!$B$5</f>
        <v>2050</v>
      </c>
      <c r="L1048" s="35" t="n">
        <f aca="false">I1048+J1048+K1048</f>
        <v>8575.44</v>
      </c>
      <c r="M1048" s="45" t="s">
        <v>2559</v>
      </c>
    </row>
    <row r="1049" customFormat="false" ht="14.25" hidden="false" customHeight="true" outlineLevel="0" collapsed="false">
      <c r="A1049" s="39"/>
      <c r="B1049" s="40" t="s">
        <v>1984</v>
      </c>
      <c r="C1049" s="41" t="s">
        <v>138</v>
      </c>
      <c r="D1049" s="41" t="s">
        <v>108</v>
      </c>
      <c r="E1049" s="42" t="n">
        <v>3250</v>
      </c>
      <c r="F1049" s="42" t="n">
        <v>450</v>
      </c>
      <c r="G1049" s="42" t="n">
        <v>250</v>
      </c>
      <c r="H1049" s="43" t="n">
        <v>1</v>
      </c>
      <c r="I1049" s="34" t="n">
        <f aca="false">E1049*H1049+N(F1049)+N(G1049)</f>
        <v>3950</v>
      </c>
      <c r="J1049" s="42" t="n">
        <f aca="false">ROUND(IFERROR(ROUND(IF(OR(ISNUMBER(SEARCH("week",C1049)),ISNUMBER(SEARCH("minggu",C1049))),IFERROR(_xlfn.NUMBERVALUE(SUBSTITUTE(LEFT(TRIM(C1049),FIND(" ",TRIM(C1049)&amp;" ")-1),",","."),"."),LEFT(SUBSTITUTE(LEFT(TRIM(C1049),FIND(" ",TRIM(C1049)&amp;" ")-1),",","."),FIND("/",SUBSTITUTE(LEFT(TRIM(C1049),FIND(" ",TRIM(C1049)&amp;" ")-1),",","."))-1)/MID(SUBSTITUTE(LEFT(TRIM(C1049),FIND(" ",TRIM(C1049)&amp;" ")-1),",","."),FIND("/",SUBSTITUTE(LEFT(TRIM(C1049),FIND(" ",TRIM(C1049)&amp;" ")-1),",","."))+1,9))*12/52,IF(ISNUMBER(SEARCH("month",C1049)),IFERROR(_xlfn.NUMBERVALUE(SUBSTITUTE(LEFT(TRIM(C1049),FIND(" ",TRIM(C1049)&amp;" ")-1),",","."),"."),LEFT(SUBSTITUTE(LEFT(TRIM(C1049),FIND(" ",TRIM(C1049)&amp;" ")-1),",","."),FIND("/",SUBSTITUTE(LEFT(TRIM(C1049),FIND(" ",TRIM(C1049)&amp;" ")-1),",","."))-1)/MID(SUBSTITUTE(LEFT(TRIM(C1049),FIND(" ",TRIM(C1049)&amp;" ")-1),",","."),FIND("/",SUBSTITUTE(LEFT(TRIM(C1049),FIND(" ",TRIM(C1049)&amp;" ")-1),",","."))+1,9)),IF(ISNUMBER(SEARCH("yea",C1049)),IFERROR(_xlfn.NUMBERVALUE(SUBSTITUTE(LEFT(TRIM(C1049),FIND(" ",TRIM(C1049)&amp;" ")-1),",","."),"."),LEFT(SUBSTITUTE(LEFT(TRIM(C1049),FIND(" ",TRIM(C1049)&amp;" ")-1),",","."),FIND("/",SUBSTITUTE(LEFT(TRIM(C1049),FIND(" ",TRIM(C1049)&amp;" ")-1),",","."))-1)/MID(SUBSTITUTE(LEFT(TRIM(C1049),FIND(" ",TRIM(C1049)&amp;" ")-1),",","."),FIND("/",SUBSTITUTE(LEFT(TRIM(C1049),FIND(" ",TRIM(C1049)&amp;" ")-1),",","."))+1,9))*12,NA()))),0),30)*'Aturan &amp; Tarif'!$B$4,2)</f>
        <v>1703.4</v>
      </c>
      <c r="K1049" s="42" t="n">
        <f aca="false">'Aturan &amp; Tarif'!$B$5</f>
        <v>2050</v>
      </c>
      <c r="L1049" s="35" t="n">
        <f aca="false">I1049+J1049+K1049</f>
        <v>7703.4</v>
      </c>
      <c r="M1049" s="45" t="s">
        <v>2561</v>
      </c>
    </row>
    <row r="1050" customFormat="false" ht="48.75" hidden="false" customHeight="true" outlineLevel="0" collapsed="false">
      <c r="A1050" s="39"/>
      <c r="B1050" s="40" t="s">
        <v>3280</v>
      </c>
      <c r="C1050" s="41" t="s">
        <v>107</v>
      </c>
      <c r="D1050" s="41" t="s">
        <v>108</v>
      </c>
      <c r="E1050" s="42" t="n">
        <v>3250</v>
      </c>
      <c r="F1050" s="42" t="n">
        <v>450</v>
      </c>
      <c r="G1050" s="42" t="n">
        <v>250</v>
      </c>
      <c r="H1050" s="43" t="n">
        <v>1</v>
      </c>
      <c r="I1050" s="34" t="n">
        <f aca="false">E1050*H1050+N(F1050)+N(G1050)</f>
        <v>3950</v>
      </c>
      <c r="J1050" s="42" t="n">
        <f aca="false">ROUND(IFERROR(ROUND(IF(OR(ISNUMBER(SEARCH("week",C1050)),ISNUMBER(SEARCH("minggu",C1050))),IFERROR(_xlfn.NUMBERVALUE(SUBSTITUTE(LEFT(TRIM(C1050),FIND(" ",TRIM(C1050)&amp;" ")-1),",","."),"."),LEFT(SUBSTITUTE(LEFT(TRIM(C1050),FIND(" ",TRIM(C1050)&amp;" ")-1),",","."),FIND("/",SUBSTITUTE(LEFT(TRIM(C1050),FIND(" ",TRIM(C1050)&amp;" ")-1),",","."))-1)/MID(SUBSTITUTE(LEFT(TRIM(C1050),FIND(" ",TRIM(C1050)&amp;" ")-1),",","."),FIND("/",SUBSTITUTE(LEFT(TRIM(C1050),FIND(" ",TRIM(C1050)&amp;" ")-1),",","."))+1,9))*12/52,IF(ISNUMBER(SEARCH("month",C1050)),IFERROR(_xlfn.NUMBERVALUE(SUBSTITUTE(LEFT(TRIM(C1050),FIND(" ",TRIM(C1050)&amp;" ")-1),",","."),"."),LEFT(SUBSTITUTE(LEFT(TRIM(C1050),FIND(" ",TRIM(C1050)&amp;" ")-1),",","."),FIND("/",SUBSTITUTE(LEFT(TRIM(C1050),FIND(" ",TRIM(C1050)&amp;" ")-1),",","."))-1)/MID(SUBSTITUTE(LEFT(TRIM(C1050),FIND(" ",TRIM(C1050)&amp;" ")-1),",","."),FIND("/",SUBSTITUTE(LEFT(TRIM(C1050),FIND(" ",TRIM(C1050)&amp;" ")-1),",","."))+1,9)),IF(ISNUMBER(SEARCH("yea",C1050)),IFERROR(_xlfn.NUMBERVALUE(SUBSTITUTE(LEFT(TRIM(C1050),FIND(" ",TRIM(C1050)&amp;" ")-1),",","."),"."),LEFT(SUBSTITUTE(LEFT(TRIM(C1050),FIND(" ",TRIM(C1050)&amp;" ")-1),",","."),FIND("/",SUBSTITUTE(LEFT(TRIM(C1050),FIND(" ",TRIM(C1050)&amp;" ")-1),",","."))-1)/MID(SUBSTITUTE(LEFT(TRIM(C1050),FIND(" ",TRIM(C1050)&amp;" ")-1),",","."),FIND("/",SUBSTITUTE(LEFT(TRIM(C1050),FIND(" ",TRIM(C1050)&amp;" ")-1),",","."))+1,9))*12,NA()))),0),24)*'Aturan &amp; Tarif'!$B$4,2)</f>
        <v>1362.72</v>
      </c>
      <c r="K1050" s="42" t="n">
        <f aca="false">'Aturan &amp; Tarif'!$B$5</f>
        <v>2050</v>
      </c>
      <c r="L1050" s="35" t="n">
        <f aca="false">I1050+J1050+K1050</f>
        <v>7362.72</v>
      </c>
      <c r="M1050" s="44" t="s">
        <v>1905</v>
      </c>
    </row>
    <row r="1051" customFormat="false" ht="25.5" hidden="false" customHeight="true" outlineLevel="0" collapsed="false">
      <c r="A1051" s="39"/>
      <c r="B1051" s="40" t="s">
        <v>1025</v>
      </c>
      <c r="C1051" s="41" t="s">
        <v>127</v>
      </c>
      <c r="D1051" s="41" t="s">
        <v>108</v>
      </c>
      <c r="E1051" s="42" t="n">
        <v>3250</v>
      </c>
      <c r="F1051" s="42" t="n">
        <v>450</v>
      </c>
      <c r="G1051" s="42" t="n">
        <v>250</v>
      </c>
      <c r="H1051" s="43" t="n">
        <v>1</v>
      </c>
      <c r="I1051" s="34" t="n">
        <f aca="false">E1051*H1051+N(F1051)+N(G1051)</f>
        <v>3950</v>
      </c>
      <c r="J1051" s="42" t="n">
        <f aca="false">ROUND(IFERROR(ROUND(IF(OR(ISNUMBER(SEARCH("week",C1051)),ISNUMBER(SEARCH("minggu",C1051))),IFERROR(_xlfn.NUMBERVALUE(SUBSTITUTE(LEFT(TRIM(C1051),FIND(" ",TRIM(C1051)&amp;" ")-1),",","."),"."),LEFT(SUBSTITUTE(LEFT(TRIM(C1051),FIND(" ",TRIM(C1051)&amp;" ")-1),",","."),FIND("/",SUBSTITUTE(LEFT(TRIM(C1051),FIND(" ",TRIM(C1051)&amp;" ")-1),",","."))-1)/MID(SUBSTITUTE(LEFT(TRIM(C1051),FIND(" ",TRIM(C1051)&amp;" ")-1),",","."),FIND("/",SUBSTITUTE(LEFT(TRIM(C1051),FIND(" ",TRIM(C1051)&amp;" ")-1),",","."))+1,9))*12/52,IF(ISNUMBER(SEARCH("month",C1051)),IFERROR(_xlfn.NUMBERVALUE(SUBSTITUTE(LEFT(TRIM(C1051),FIND(" ",TRIM(C1051)&amp;" ")-1),",","."),"."),LEFT(SUBSTITUTE(LEFT(TRIM(C1051),FIND(" ",TRIM(C1051)&amp;" ")-1),",","."),FIND("/",SUBSTITUTE(LEFT(TRIM(C1051),FIND(" ",TRIM(C1051)&amp;" ")-1),",","."))-1)/MID(SUBSTITUTE(LEFT(TRIM(C1051),FIND(" ",TRIM(C1051)&amp;" ")-1),",","."),FIND("/",SUBSTITUTE(LEFT(TRIM(C1051),FIND(" ",TRIM(C1051)&amp;" ")-1),",","."))+1,9)),IF(ISNUMBER(SEARCH("yea",C1051)),IFERROR(_xlfn.NUMBERVALUE(SUBSTITUTE(LEFT(TRIM(C1051),FIND(" ",TRIM(C1051)&amp;" ")-1),",","."),"."),LEFT(SUBSTITUTE(LEFT(TRIM(C1051),FIND(" ",TRIM(C1051)&amp;" ")-1),",","."),FIND("/",SUBSTITUTE(LEFT(TRIM(C1051),FIND(" ",TRIM(C1051)&amp;" ")-1),",","."))-1)/MID(SUBSTITUTE(LEFT(TRIM(C1051),FIND(" ",TRIM(C1051)&amp;" ")-1),",","."),FIND("/",SUBSTITUTE(LEFT(TRIM(C1051),FIND(" ",TRIM(C1051)&amp;" ")-1),",","."))+1,9))*12,NA()))),0),36)*'Aturan &amp; Tarif'!$B$4,2)</f>
        <v>2044.08</v>
      </c>
      <c r="K1051" s="42" t="n">
        <f aca="false">'Aturan &amp; Tarif'!$B$5</f>
        <v>2050</v>
      </c>
      <c r="L1051" s="35" t="n">
        <f aca="false">I1051+J1051+K1051</f>
        <v>8044.08</v>
      </c>
      <c r="M1051" s="45" t="s">
        <v>2559</v>
      </c>
    </row>
    <row r="1052" customFormat="false" ht="25.5" hidden="false" customHeight="true" outlineLevel="0" collapsed="false">
      <c r="A1052" s="39"/>
      <c r="B1052" s="40" t="s">
        <v>2562</v>
      </c>
      <c r="C1052" s="41" t="s">
        <v>191</v>
      </c>
      <c r="D1052" s="41" t="s">
        <v>108</v>
      </c>
      <c r="E1052" s="42" t="n">
        <v>3250</v>
      </c>
      <c r="F1052" s="42" t="n">
        <v>450</v>
      </c>
      <c r="G1052" s="42" t="n">
        <v>250</v>
      </c>
      <c r="H1052" s="43" t="n">
        <v>1</v>
      </c>
      <c r="I1052" s="34" t="n">
        <f aca="false">E1052*H1052+N(F1052)+N(G1052)</f>
        <v>3950</v>
      </c>
      <c r="J1052" s="42" t="n">
        <f aca="false">ROUND(IFERROR(ROUND(IF(OR(ISNUMBER(SEARCH("week",C1052)),ISNUMBER(SEARCH("minggu",C1052))),IFERROR(_xlfn.NUMBERVALUE(SUBSTITUTE(LEFT(TRIM(C1052),FIND(" ",TRIM(C1052)&amp;" ")-1),",","."),"."),LEFT(SUBSTITUTE(LEFT(TRIM(C1052),FIND(" ",TRIM(C1052)&amp;" ")-1),",","."),FIND("/",SUBSTITUTE(LEFT(TRIM(C1052),FIND(" ",TRIM(C1052)&amp;" ")-1),",","."))-1)/MID(SUBSTITUTE(LEFT(TRIM(C1052),FIND(" ",TRIM(C1052)&amp;" ")-1),",","."),FIND("/",SUBSTITUTE(LEFT(TRIM(C1052),FIND(" ",TRIM(C1052)&amp;" ")-1),",","."))+1,9))*12/52,IF(ISNUMBER(SEARCH("month",C1052)),IFERROR(_xlfn.NUMBERVALUE(SUBSTITUTE(LEFT(TRIM(C1052),FIND(" ",TRIM(C1052)&amp;" ")-1),",","."),"."),LEFT(SUBSTITUTE(LEFT(TRIM(C1052),FIND(" ",TRIM(C1052)&amp;" ")-1),",","."),FIND("/",SUBSTITUTE(LEFT(TRIM(C1052),FIND(" ",TRIM(C1052)&amp;" ")-1),",","."))-1)/MID(SUBSTITUTE(LEFT(TRIM(C1052),FIND(" ",TRIM(C1052)&amp;" ")-1),",","."),FIND("/",SUBSTITUTE(LEFT(TRIM(C1052),FIND(" ",TRIM(C1052)&amp;" ")-1),",","."))+1,9)),IF(ISNUMBER(SEARCH("yea",C1052)),IFERROR(_xlfn.NUMBERVALUE(SUBSTITUTE(LEFT(TRIM(C1052),FIND(" ",TRIM(C1052)&amp;" ")-1),",","."),"."),LEFT(SUBSTITUTE(LEFT(TRIM(C1052),FIND(" ",TRIM(C1052)&amp;" ")-1),",","."),FIND("/",SUBSTITUTE(LEFT(TRIM(C1052),FIND(" ",TRIM(C1052)&amp;" ")-1),",","."))-1)/MID(SUBSTITUTE(LEFT(TRIM(C1052),FIND(" ",TRIM(C1052)&amp;" ")-1),",","."),FIND("/",SUBSTITUTE(LEFT(TRIM(C1052),FIND(" ",TRIM(C1052)&amp;" ")-1),",","."))+1,9))*12,NA()))),0),48)*'Aturan &amp; Tarif'!$B$4,2)</f>
        <v>2725.44</v>
      </c>
      <c r="K1052" s="42" t="n">
        <f aca="false">'Aturan &amp; Tarif'!$B$5</f>
        <v>2050</v>
      </c>
      <c r="L1052" s="35" t="n">
        <f aca="false">I1052+J1052+K1052</f>
        <v>8725.44</v>
      </c>
      <c r="M1052" s="45" t="s">
        <v>2559</v>
      </c>
    </row>
    <row r="1053" customFormat="false" ht="25.5" hidden="false" customHeight="true" outlineLevel="0" collapsed="false">
      <c r="A1053" s="39"/>
      <c r="B1053" s="40" t="s">
        <v>2563</v>
      </c>
      <c r="C1053" s="41" t="s">
        <v>138</v>
      </c>
      <c r="D1053" s="41" t="s">
        <v>108</v>
      </c>
      <c r="E1053" s="42" t="n">
        <v>3250</v>
      </c>
      <c r="F1053" s="42" t="n">
        <v>450</v>
      </c>
      <c r="G1053" s="42" t="n">
        <v>250</v>
      </c>
      <c r="H1053" s="43" t="n">
        <v>1</v>
      </c>
      <c r="I1053" s="34" t="n">
        <f aca="false">E1053*H1053+N(F1053)+N(G1053)</f>
        <v>3950</v>
      </c>
      <c r="J1053" s="42" t="n">
        <f aca="false">ROUND(IFERROR(ROUND(IF(OR(ISNUMBER(SEARCH("week",C1053)),ISNUMBER(SEARCH("minggu",C1053))),IFERROR(_xlfn.NUMBERVALUE(SUBSTITUTE(LEFT(TRIM(C1053),FIND(" ",TRIM(C1053)&amp;" ")-1),",","."),"."),LEFT(SUBSTITUTE(LEFT(TRIM(C1053),FIND(" ",TRIM(C1053)&amp;" ")-1),",","."),FIND("/",SUBSTITUTE(LEFT(TRIM(C1053),FIND(" ",TRIM(C1053)&amp;" ")-1),",","."))-1)/MID(SUBSTITUTE(LEFT(TRIM(C1053),FIND(" ",TRIM(C1053)&amp;" ")-1),",","."),FIND("/",SUBSTITUTE(LEFT(TRIM(C1053),FIND(" ",TRIM(C1053)&amp;" ")-1),",","."))+1,9))*12/52,IF(ISNUMBER(SEARCH("month",C1053)),IFERROR(_xlfn.NUMBERVALUE(SUBSTITUTE(LEFT(TRIM(C1053),FIND(" ",TRIM(C1053)&amp;" ")-1),",","."),"."),LEFT(SUBSTITUTE(LEFT(TRIM(C1053),FIND(" ",TRIM(C1053)&amp;" ")-1),",","."),FIND("/",SUBSTITUTE(LEFT(TRIM(C1053),FIND(" ",TRIM(C1053)&amp;" ")-1),",","."))-1)/MID(SUBSTITUTE(LEFT(TRIM(C1053),FIND(" ",TRIM(C1053)&amp;" ")-1),",","."),FIND("/",SUBSTITUTE(LEFT(TRIM(C1053),FIND(" ",TRIM(C1053)&amp;" ")-1),",","."))+1,9)),IF(ISNUMBER(SEARCH("yea",C1053)),IFERROR(_xlfn.NUMBERVALUE(SUBSTITUTE(LEFT(TRIM(C1053),FIND(" ",TRIM(C1053)&amp;" ")-1),",","."),"."),LEFT(SUBSTITUTE(LEFT(TRIM(C1053),FIND(" ",TRIM(C1053)&amp;" ")-1),",","."),FIND("/",SUBSTITUTE(LEFT(TRIM(C1053),FIND(" ",TRIM(C1053)&amp;" ")-1),",","."))-1)/MID(SUBSTITUTE(LEFT(TRIM(C1053),FIND(" ",TRIM(C1053)&amp;" ")-1),",","."),FIND("/",SUBSTITUTE(LEFT(TRIM(C1053),FIND(" ",TRIM(C1053)&amp;" ")-1),",","."))+1,9))*12,NA()))),0),30)*'Aturan &amp; Tarif'!$B$4,2)</f>
        <v>1703.4</v>
      </c>
      <c r="K1053" s="42" t="n">
        <f aca="false">'Aturan &amp; Tarif'!$B$5</f>
        <v>2050</v>
      </c>
      <c r="L1053" s="35" t="n">
        <f aca="false">I1053+J1053+K1053</f>
        <v>7703.4</v>
      </c>
      <c r="M1053" s="45" t="s">
        <v>2559</v>
      </c>
    </row>
    <row r="1054" customFormat="false" ht="14.25" hidden="false" customHeight="true" outlineLevel="0" collapsed="false">
      <c r="A1054" s="39"/>
      <c r="B1054" s="40" t="s">
        <v>1967</v>
      </c>
      <c r="C1054" s="41" t="s">
        <v>127</v>
      </c>
      <c r="D1054" s="41" t="s">
        <v>108</v>
      </c>
      <c r="E1054" s="42" t="n">
        <v>3250</v>
      </c>
      <c r="F1054" s="42" t="n">
        <v>450</v>
      </c>
      <c r="G1054" s="42" t="n">
        <v>250</v>
      </c>
      <c r="H1054" s="43" t="n">
        <v>1</v>
      </c>
      <c r="I1054" s="34" t="n">
        <f aca="false">E1054*H1054+N(F1054)+N(G1054)</f>
        <v>3950</v>
      </c>
      <c r="J1054" s="42" t="n">
        <f aca="false">ROUND(IFERROR(ROUND(IF(OR(ISNUMBER(SEARCH("week",C1054)),ISNUMBER(SEARCH("minggu",C1054))),IFERROR(_xlfn.NUMBERVALUE(SUBSTITUTE(LEFT(TRIM(C1054),FIND(" ",TRIM(C1054)&amp;" ")-1),",","."),"."),LEFT(SUBSTITUTE(LEFT(TRIM(C1054),FIND(" ",TRIM(C1054)&amp;" ")-1),",","."),FIND("/",SUBSTITUTE(LEFT(TRIM(C1054),FIND(" ",TRIM(C1054)&amp;" ")-1),",","."))-1)/MID(SUBSTITUTE(LEFT(TRIM(C1054),FIND(" ",TRIM(C1054)&amp;" ")-1),",","."),FIND("/",SUBSTITUTE(LEFT(TRIM(C1054),FIND(" ",TRIM(C1054)&amp;" ")-1),",","."))+1,9))*12/52,IF(ISNUMBER(SEARCH("month",C1054)),IFERROR(_xlfn.NUMBERVALUE(SUBSTITUTE(LEFT(TRIM(C1054),FIND(" ",TRIM(C1054)&amp;" ")-1),",","."),"."),LEFT(SUBSTITUTE(LEFT(TRIM(C1054),FIND(" ",TRIM(C1054)&amp;" ")-1),",","."),FIND("/",SUBSTITUTE(LEFT(TRIM(C1054),FIND(" ",TRIM(C1054)&amp;" ")-1),",","."))-1)/MID(SUBSTITUTE(LEFT(TRIM(C1054),FIND(" ",TRIM(C1054)&amp;" ")-1),",","."),FIND("/",SUBSTITUTE(LEFT(TRIM(C1054),FIND(" ",TRIM(C1054)&amp;" ")-1),",","."))+1,9)),IF(ISNUMBER(SEARCH("yea",C1054)),IFERROR(_xlfn.NUMBERVALUE(SUBSTITUTE(LEFT(TRIM(C1054),FIND(" ",TRIM(C1054)&amp;" ")-1),",","."),"."),LEFT(SUBSTITUTE(LEFT(TRIM(C1054),FIND(" ",TRIM(C1054)&amp;" ")-1),",","."),FIND("/",SUBSTITUTE(LEFT(TRIM(C1054),FIND(" ",TRIM(C1054)&amp;" ")-1),",","."))-1)/MID(SUBSTITUTE(LEFT(TRIM(C1054),FIND(" ",TRIM(C1054)&amp;" ")-1),",","."),FIND("/",SUBSTITUTE(LEFT(TRIM(C1054),FIND(" ",TRIM(C1054)&amp;" ")-1),",","."))+1,9))*12,NA()))),0),36)*'Aturan &amp; Tarif'!$B$4,2)</f>
        <v>2044.08</v>
      </c>
      <c r="K1054" s="42" t="n">
        <f aca="false">'Aturan &amp; Tarif'!$B$5</f>
        <v>2050</v>
      </c>
      <c r="L1054" s="35" t="n">
        <f aca="false">I1054+J1054+K1054</f>
        <v>8044.08</v>
      </c>
      <c r="M1054" s="45" t="s">
        <v>2561</v>
      </c>
    </row>
    <row r="1055" customFormat="false" ht="14.25" hidden="false" customHeight="true" outlineLevel="0" collapsed="false">
      <c r="A1055" s="39"/>
      <c r="B1055" s="40" t="s">
        <v>2564</v>
      </c>
      <c r="C1055" s="41" t="s">
        <v>1987</v>
      </c>
      <c r="D1055" s="41" t="s">
        <v>108</v>
      </c>
      <c r="E1055" s="42" t="n">
        <v>3250</v>
      </c>
      <c r="F1055" s="42" t="n">
        <v>450</v>
      </c>
      <c r="G1055" s="42" t="n">
        <v>250</v>
      </c>
      <c r="H1055" s="43" t="n">
        <v>1</v>
      </c>
      <c r="I1055" s="34" t="n">
        <f aca="false">E1055*H1055+N(F1055)+N(G1055)</f>
        <v>3950</v>
      </c>
      <c r="J1055" s="42" t="n">
        <f aca="false">ROUND(IFERROR(ROUND(IF(OR(ISNUMBER(SEARCH("week",C1055)),ISNUMBER(SEARCH("minggu",C1055))),IFERROR(_xlfn.NUMBERVALUE(SUBSTITUTE(LEFT(TRIM(C1055),FIND(" ",TRIM(C1055)&amp;" ")-1),",","."),"."),LEFT(SUBSTITUTE(LEFT(TRIM(C1055),FIND(" ",TRIM(C1055)&amp;" ")-1),",","."),FIND("/",SUBSTITUTE(LEFT(TRIM(C1055),FIND(" ",TRIM(C1055)&amp;" ")-1),",","."))-1)/MID(SUBSTITUTE(LEFT(TRIM(C1055),FIND(" ",TRIM(C1055)&amp;" ")-1),",","."),FIND("/",SUBSTITUTE(LEFT(TRIM(C1055),FIND(" ",TRIM(C1055)&amp;" ")-1),",","."))+1,9))*12/52,IF(ISNUMBER(SEARCH("month",C1055)),IFERROR(_xlfn.NUMBERVALUE(SUBSTITUTE(LEFT(TRIM(C1055),FIND(" ",TRIM(C1055)&amp;" ")-1),",","."),"."),LEFT(SUBSTITUTE(LEFT(TRIM(C1055),FIND(" ",TRIM(C1055)&amp;" ")-1),",","."),FIND("/",SUBSTITUTE(LEFT(TRIM(C1055),FIND(" ",TRIM(C1055)&amp;" ")-1),",","."))-1)/MID(SUBSTITUTE(LEFT(TRIM(C1055),FIND(" ",TRIM(C1055)&amp;" ")-1),",","."),FIND("/",SUBSTITUTE(LEFT(TRIM(C1055),FIND(" ",TRIM(C1055)&amp;" ")-1),",","."))+1,9)),IF(ISNUMBER(SEARCH("yea",C1055)),IFERROR(_xlfn.NUMBERVALUE(SUBSTITUTE(LEFT(TRIM(C1055),FIND(" ",TRIM(C1055)&amp;" ")-1),",","."),"."),LEFT(SUBSTITUTE(LEFT(TRIM(C1055),FIND(" ",TRIM(C1055)&amp;" ")-1),",","."),FIND("/",SUBSTITUTE(LEFT(TRIM(C1055),FIND(" ",TRIM(C1055)&amp;" ")-1),",","."))-1)/MID(SUBSTITUTE(LEFT(TRIM(C1055),FIND(" ",TRIM(C1055)&amp;" ")-1),",","."),FIND("/",SUBSTITUTE(LEFT(TRIM(C1055),FIND(" ",TRIM(C1055)&amp;" ")-1),",","."))+1,9))*12,NA()))),0),42)*'Aturan &amp; Tarif'!$B$4,2)</f>
        <v>2384.76</v>
      </c>
      <c r="K1055" s="42" t="n">
        <f aca="false">'Aturan &amp; Tarif'!$B$5</f>
        <v>2050</v>
      </c>
      <c r="L1055" s="35" t="n">
        <f aca="false">I1055+J1055+K1055</f>
        <v>8384.76</v>
      </c>
      <c r="M1055" s="45" t="s">
        <v>2561</v>
      </c>
    </row>
    <row r="1056" customFormat="false" ht="25.5" hidden="false" customHeight="true" outlineLevel="0" collapsed="false">
      <c r="A1056" s="39"/>
      <c r="B1056" s="40" t="s">
        <v>2565</v>
      </c>
      <c r="C1056" s="41" t="s">
        <v>107</v>
      </c>
      <c r="D1056" s="41" t="s">
        <v>108</v>
      </c>
      <c r="E1056" s="42" t="n">
        <v>3250</v>
      </c>
      <c r="F1056" s="42" t="n">
        <v>1500</v>
      </c>
      <c r="G1056" s="42" t="n">
        <v>250</v>
      </c>
      <c r="H1056" s="43" t="n">
        <v>1</v>
      </c>
      <c r="I1056" s="34" t="n">
        <f aca="false">E1056*H1056+N(F1056)+N(G1056)</f>
        <v>5000</v>
      </c>
      <c r="J1056" s="42" t="n">
        <f aca="false">ROUND(IFERROR(ROUND(IF(OR(ISNUMBER(SEARCH("week",C1056)),ISNUMBER(SEARCH("minggu",C1056))),IFERROR(_xlfn.NUMBERVALUE(SUBSTITUTE(LEFT(TRIM(C1056),FIND(" ",TRIM(C1056)&amp;" ")-1),",","."),"."),LEFT(SUBSTITUTE(LEFT(TRIM(C1056),FIND(" ",TRIM(C1056)&amp;" ")-1),",","."),FIND("/",SUBSTITUTE(LEFT(TRIM(C1056),FIND(" ",TRIM(C1056)&amp;" ")-1),",","."))-1)/MID(SUBSTITUTE(LEFT(TRIM(C1056),FIND(" ",TRIM(C1056)&amp;" ")-1),",","."),FIND("/",SUBSTITUTE(LEFT(TRIM(C1056),FIND(" ",TRIM(C1056)&amp;" ")-1),",","."))+1,9))*12/52,IF(ISNUMBER(SEARCH("month",C1056)),IFERROR(_xlfn.NUMBERVALUE(SUBSTITUTE(LEFT(TRIM(C1056),FIND(" ",TRIM(C1056)&amp;" ")-1),",","."),"."),LEFT(SUBSTITUTE(LEFT(TRIM(C1056),FIND(" ",TRIM(C1056)&amp;" ")-1),",","."),FIND("/",SUBSTITUTE(LEFT(TRIM(C1056),FIND(" ",TRIM(C1056)&amp;" ")-1),",","."))-1)/MID(SUBSTITUTE(LEFT(TRIM(C1056),FIND(" ",TRIM(C1056)&amp;" ")-1),",","."),FIND("/",SUBSTITUTE(LEFT(TRIM(C1056),FIND(" ",TRIM(C1056)&amp;" ")-1),",","."))+1,9)),IF(ISNUMBER(SEARCH("yea",C1056)),IFERROR(_xlfn.NUMBERVALUE(SUBSTITUTE(LEFT(TRIM(C1056),FIND(" ",TRIM(C1056)&amp;" ")-1),",","."),"."),LEFT(SUBSTITUTE(LEFT(TRIM(C1056),FIND(" ",TRIM(C1056)&amp;" ")-1),",","."),FIND("/",SUBSTITUTE(LEFT(TRIM(C1056),FIND(" ",TRIM(C1056)&amp;" ")-1),",","."))-1)/MID(SUBSTITUTE(LEFT(TRIM(C1056),FIND(" ",TRIM(C1056)&amp;" ")-1),",","."),FIND("/",SUBSTITUTE(LEFT(TRIM(C1056),FIND(" ",TRIM(C1056)&amp;" ")-1),",","."))+1,9))*12,NA()))),0),24)*'Aturan &amp; Tarif'!$B$4,2)</f>
        <v>1362.72</v>
      </c>
      <c r="K1056" s="42" t="n">
        <f aca="false">'Aturan &amp; Tarif'!$B$5</f>
        <v>2050</v>
      </c>
      <c r="L1056" s="35" t="n">
        <f aca="false">I1056+J1056+K1056</f>
        <v>8412.72</v>
      </c>
      <c r="M1056" s="45" t="s">
        <v>2559</v>
      </c>
    </row>
    <row r="1057" customFormat="false" ht="25.5" hidden="false" customHeight="true" outlineLevel="0" collapsed="false">
      <c r="A1057" s="39"/>
      <c r="B1057" s="40" t="s">
        <v>2566</v>
      </c>
      <c r="C1057" s="41" t="s">
        <v>1987</v>
      </c>
      <c r="D1057" s="41" t="s">
        <v>108</v>
      </c>
      <c r="E1057" s="42" t="n">
        <v>3250</v>
      </c>
      <c r="F1057" s="42" t="n">
        <v>1500</v>
      </c>
      <c r="G1057" s="42" t="n">
        <v>250</v>
      </c>
      <c r="H1057" s="43" t="n">
        <v>1</v>
      </c>
      <c r="I1057" s="34" t="n">
        <f aca="false">E1057*H1057+N(F1057)+N(G1057)</f>
        <v>5000</v>
      </c>
      <c r="J1057" s="42" t="n">
        <f aca="false">ROUND(IFERROR(ROUND(IF(OR(ISNUMBER(SEARCH("week",C1057)),ISNUMBER(SEARCH("minggu",C1057))),IFERROR(_xlfn.NUMBERVALUE(SUBSTITUTE(LEFT(TRIM(C1057),FIND(" ",TRIM(C1057)&amp;" ")-1),",","."),"."),LEFT(SUBSTITUTE(LEFT(TRIM(C1057),FIND(" ",TRIM(C1057)&amp;" ")-1),",","."),FIND("/",SUBSTITUTE(LEFT(TRIM(C1057),FIND(" ",TRIM(C1057)&amp;" ")-1),",","."))-1)/MID(SUBSTITUTE(LEFT(TRIM(C1057),FIND(" ",TRIM(C1057)&amp;" ")-1),",","."),FIND("/",SUBSTITUTE(LEFT(TRIM(C1057),FIND(" ",TRIM(C1057)&amp;" ")-1),",","."))+1,9))*12/52,IF(ISNUMBER(SEARCH("month",C1057)),IFERROR(_xlfn.NUMBERVALUE(SUBSTITUTE(LEFT(TRIM(C1057),FIND(" ",TRIM(C1057)&amp;" ")-1),",","."),"."),LEFT(SUBSTITUTE(LEFT(TRIM(C1057),FIND(" ",TRIM(C1057)&amp;" ")-1),",","."),FIND("/",SUBSTITUTE(LEFT(TRIM(C1057),FIND(" ",TRIM(C1057)&amp;" ")-1),",","."))-1)/MID(SUBSTITUTE(LEFT(TRIM(C1057),FIND(" ",TRIM(C1057)&amp;" ")-1),",","."),FIND("/",SUBSTITUTE(LEFT(TRIM(C1057),FIND(" ",TRIM(C1057)&amp;" ")-1),",","."))+1,9)),IF(ISNUMBER(SEARCH("yea",C1057)),IFERROR(_xlfn.NUMBERVALUE(SUBSTITUTE(LEFT(TRIM(C1057),FIND(" ",TRIM(C1057)&amp;" ")-1),",","."),"."),LEFT(SUBSTITUTE(LEFT(TRIM(C1057),FIND(" ",TRIM(C1057)&amp;" ")-1),",","."),FIND("/",SUBSTITUTE(LEFT(TRIM(C1057),FIND(" ",TRIM(C1057)&amp;" ")-1),",","."))-1)/MID(SUBSTITUTE(LEFT(TRIM(C1057),FIND(" ",TRIM(C1057)&amp;" ")-1),",","."),FIND("/",SUBSTITUTE(LEFT(TRIM(C1057),FIND(" ",TRIM(C1057)&amp;" ")-1),",","."))+1,9))*12,NA()))),0),42)*'Aturan &amp; Tarif'!$B$4,2)</f>
        <v>2384.76</v>
      </c>
      <c r="K1057" s="42" t="n">
        <f aca="false">'Aturan &amp; Tarif'!$B$5</f>
        <v>2050</v>
      </c>
      <c r="L1057" s="35" t="n">
        <f aca="false">I1057+J1057+K1057</f>
        <v>9434.76</v>
      </c>
      <c r="M1057" s="45" t="s">
        <v>2559</v>
      </c>
    </row>
    <row r="1058" customFormat="false" ht="25.5" hidden="false" customHeight="true" outlineLevel="0" collapsed="false">
      <c r="A1058" s="39"/>
      <c r="B1058" s="40" t="s">
        <v>2567</v>
      </c>
      <c r="C1058" s="41" t="s">
        <v>107</v>
      </c>
      <c r="D1058" s="41" t="s">
        <v>108</v>
      </c>
      <c r="E1058" s="42" t="n">
        <v>3250</v>
      </c>
      <c r="F1058" s="42" t="n">
        <v>1000</v>
      </c>
      <c r="G1058" s="42" t="n">
        <v>250</v>
      </c>
      <c r="H1058" s="43" t="n">
        <v>1</v>
      </c>
      <c r="I1058" s="34" t="n">
        <f aca="false">E1058*H1058+N(F1058)+N(G1058)</f>
        <v>4500</v>
      </c>
      <c r="J1058" s="42" t="n">
        <f aca="false">ROUND(IFERROR(ROUND(IF(OR(ISNUMBER(SEARCH("week",C1058)),ISNUMBER(SEARCH("minggu",C1058))),IFERROR(_xlfn.NUMBERVALUE(SUBSTITUTE(LEFT(TRIM(C1058),FIND(" ",TRIM(C1058)&amp;" ")-1),",","."),"."),LEFT(SUBSTITUTE(LEFT(TRIM(C1058),FIND(" ",TRIM(C1058)&amp;" ")-1),",","."),FIND("/",SUBSTITUTE(LEFT(TRIM(C1058),FIND(" ",TRIM(C1058)&amp;" ")-1),",","."))-1)/MID(SUBSTITUTE(LEFT(TRIM(C1058),FIND(" ",TRIM(C1058)&amp;" ")-1),",","."),FIND("/",SUBSTITUTE(LEFT(TRIM(C1058),FIND(" ",TRIM(C1058)&amp;" ")-1),",","."))+1,9))*12/52,IF(ISNUMBER(SEARCH("month",C1058)),IFERROR(_xlfn.NUMBERVALUE(SUBSTITUTE(LEFT(TRIM(C1058),FIND(" ",TRIM(C1058)&amp;" ")-1),",","."),"."),LEFT(SUBSTITUTE(LEFT(TRIM(C1058),FIND(" ",TRIM(C1058)&amp;" ")-1),",","."),FIND("/",SUBSTITUTE(LEFT(TRIM(C1058),FIND(" ",TRIM(C1058)&amp;" ")-1),",","."))-1)/MID(SUBSTITUTE(LEFT(TRIM(C1058),FIND(" ",TRIM(C1058)&amp;" ")-1),",","."),FIND("/",SUBSTITUTE(LEFT(TRIM(C1058),FIND(" ",TRIM(C1058)&amp;" ")-1),",","."))+1,9)),IF(ISNUMBER(SEARCH("yea",C1058)),IFERROR(_xlfn.NUMBERVALUE(SUBSTITUTE(LEFT(TRIM(C1058),FIND(" ",TRIM(C1058)&amp;" ")-1),",","."),"."),LEFT(SUBSTITUTE(LEFT(TRIM(C1058),FIND(" ",TRIM(C1058)&amp;" ")-1),",","."),FIND("/",SUBSTITUTE(LEFT(TRIM(C1058),FIND(" ",TRIM(C1058)&amp;" ")-1),",","."))-1)/MID(SUBSTITUTE(LEFT(TRIM(C1058),FIND(" ",TRIM(C1058)&amp;" ")-1),",","."),FIND("/",SUBSTITUTE(LEFT(TRIM(C1058),FIND(" ",TRIM(C1058)&amp;" ")-1),",","."))+1,9))*12,NA()))),0),24)*'Aturan &amp; Tarif'!$B$4,2)</f>
        <v>1362.72</v>
      </c>
      <c r="K1058" s="42" t="n">
        <f aca="false">'Aturan &amp; Tarif'!$B$5</f>
        <v>2050</v>
      </c>
      <c r="L1058" s="35" t="n">
        <f aca="false">I1058+J1058+K1058</f>
        <v>7912.72</v>
      </c>
      <c r="M1058" s="45" t="s">
        <v>2561</v>
      </c>
    </row>
    <row r="1059" customFormat="false" ht="14.25" hidden="false" customHeight="true" outlineLevel="0" collapsed="false">
      <c r="A1059" s="39"/>
      <c r="B1059" s="40" t="s">
        <v>1693</v>
      </c>
      <c r="C1059" s="41" t="s">
        <v>107</v>
      </c>
      <c r="D1059" s="41" t="s">
        <v>108</v>
      </c>
      <c r="E1059" s="42" t="n">
        <v>3250</v>
      </c>
      <c r="F1059" s="42" t="n">
        <v>1000</v>
      </c>
      <c r="G1059" s="42" t="n">
        <v>250</v>
      </c>
      <c r="H1059" s="43" t="n">
        <v>1</v>
      </c>
      <c r="I1059" s="34" t="n">
        <f aca="false">E1059*H1059+N(F1059)+N(G1059)</f>
        <v>4500</v>
      </c>
      <c r="J1059" s="42" t="n">
        <f aca="false">ROUND(IFERROR(ROUND(IF(OR(ISNUMBER(SEARCH("week",C1059)),ISNUMBER(SEARCH("minggu",C1059))),IFERROR(_xlfn.NUMBERVALUE(SUBSTITUTE(LEFT(TRIM(C1059),FIND(" ",TRIM(C1059)&amp;" ")-1),",","."),"."),LEFT(SUBSTITUTE(LEFT(TRIM(C1059),FIND(" ",TRIM(C1059)&amp;" ")-1),",","."),FIND("/",SUBSTITUTE(LEFT(TRIM(C1059),FIND(" ",TRIM(C1059)&amp;" ")-1),",","."))-1)/MID(SUBSTITUTE(LEFT(TRIM(C1059),FIND(" ",TRIM(C1059)&amp;" ")-1),",","."),FIND("/",SUBSTITUTE(LEFT(TRIM(C1059),FIND(" ",TRIM(C1059)&amp;" ")-1),",","."))+1,9))*12/52,IF(ISNUMBER(SEARCH("month",C1059)),IFERROR(_xlfn.NUMBERVALUE(SUBSTITUTE(LEFT(TRIM(C1059),FIND(" ",TRIM(C1059)&amp;" ")-1),",","."),"."),LEFT(SUBSTITUTE(LEFT(TRIM(C1059),FIND(" ",TRIM(C1059)&amp;" ")-1),",","."),FIND("/",SUBSTITUTE(LEFT(TRIM(C1059),FIND(" ",TRIM(C1059)&amp;" ")-1),",","."))-1)/MID(SUBSTITUTE(LEFT(TRIM(C1059),FIND(" ",TRIM(C1059)&amp;" ")-1),",","."),FIND("/",SUBSTITUTE(LEFT(TRIM(C1059),FIND(" ",TRIM(C1059)&amp;" ")-1),",","."))+1,9)),IF(ISNUMBER(SEARCH("yea",C1059)),IFERROR(_xlfn.NUMBERVALUE(SUBSTITUTE(LEFT(TRIM(C1059),FIND(" ",TRIM(C1059)&amp;" ")-1),",","."),"."),LEFT(SUBSTITUTE(LEFT(TRIM(C1059),FIND(" ",TRIM(C1059)&amp;" ")-1),",","."),FIND("/",SUBSTITUTE(LEFT(TRIM(C1059),FIND(" ",TRIM(C1059)&amp;" ")-1),",","."))-1)/MID(SUBSTITUTE(LEFT(TRIM(C1059),FIND(" ",TRIM(C1059)&amp;" ")-1),",","."),FIND("/",SUBSTITUTE(LEFT(TRIM(C1059),FIND(" ",TRIM(C1059)&amp;" ")-1),",","."))+1,9))*12,NA()))),0),24)*'Aturan &amp; Tarif'!$B$4,2)</f>
        <v>1362.72</v>
      </c>
      <c r="K1059" s="42" t="n">
        <f aca="false">'Aturan &amp; Tarif'!$B$5</f>
        <v>2050</v>
      </c>
      <c r="L1059" s="35" t="n">
        <f aca="false">I1059+J1059+K1059</f>
        <v>7912.72</v>
      </c>
      <c r="M1059" s="45" t="s">
        <v>2561</v>
      </c>
    </row>
    <row r="1060" customFormat="false" ht="14.25" hidden="false" customHeight="true" outlineLevel="0" collapsed="false">
      <c r="A1060" s="39"/>
      <c r="B1060" s="40" t="s">
        <v>2568</v>
      </c>
      <c r="C1060" s="41" t="s">
        <v>113</v>
      </c>
      <c r="D1060" s="41" t="s">
        <v>108</v>
      </c>
      <c r="E1060" s="42" t="n">
        <v>2000</v>
      </c>
      <c r="F1060" s="42" t="n">
        <v>500</v>
      </c>
      <c r="G1060" s="42" t="n">
        <v>250</v>
      </c>
      <c r="H1060" s="43" t="n">
        <v>1</v>
      </c>
      <c r="I1060" s="34" t="n">
        <f aca="false">E1060*H1060+N(F1060)+N(G1060)</f>
        <v>2750</v>
      </c>
      <c r="J1060" s="42" t="n">
        <f aca="false">ROUND(IFERROR(ROUND(IF(OR(ISNUMBER(SEARCH("week",C1060)),ISNUMBER(SEARCH("minggu",C1060))),IFERROR(_xlfn.NUMBERVALUE(SUBSTITUTE(LEFT(TRIM(C1060),FIND(" ",TRIM(C1060)&amp;" ")-1),",","."),"."),LEFT(SUBSTITUTE(LEFT(TRIM(C1060),FIND(" ",TRIM(C1060)&amp;" ")-1),",","."),FIND("/",SUBSTITUTE(LEFT(TRIM(C1060),FIND(" ",TRIM(C1060)&amp;" ")-1),",","."))-1)/MID(SUBSTITUTE(LEFT(TRIM(C1060),FIND(" ",TRIM(C1060)&amp;" ")-1),",","."),FIND("/",SUBSTITUTE(LEFT(TRIM(C1060),FIND(" ",TRIM(C1060)&amp;" ")-1),",","."))+1,9))*12/52,IF(ISNUMBER(SEARCH("month",C1060)),IFERROR(_xlfn.NUMBERVALUE(SUBSTITUTE(LEFT(TRIM(C1060),FIND(" ",TRIM(C1060)&amp;" ")-1),",","."),"."),LEFT(SUBSTITUTE(LEFT(TRIM(C1060),FIND(" ",TRIM(C1060)&amp;" ")-1),",","."),FIND("/",SUBSTITUTE(LEFT(TRIM(C1060),FIND(" ",TRIM(C1060)&amp;" ")-1),",","."))-1)/MID(SUBSTITUTE(LEFT(TRIM(C1060),FIND(" ",TRIM(C1060)&amp;" ")-1),",","."),FIND("/",SUBSTITUTE(LEFT(TRIM(C1060),FIND(" ",TRIM(C1060)&amp;" ")-1),",","."))+1,9)),IF(ISNUMBER(SEARCH("yea",C1060)),IFERROR(_xlfn.NUMBERVALUE(SUBSTITUTE(LEFT(TRIM(C1060),FIND(" ",TRIM(C1060)&amp;" ")-1),",","."),"."),LEFT(SUBSTITUTE(LEFT(TRIM(C1060),FIND(" ",TRIM(C1060)&amp;" ")-1),",","."),FIND("/",SUBSTITUTE(LEFT(TRIM(C1060),FIND(" ",TRIM(C1060)&amp;" ")-1),",","."))-1)/MID(SUBSTITUTE(LEFT(TRIM(C1060),FIND(" ",TRIM(C1060)&amp;" ")-1),",","."),FIND("/",SUBSTITUTE(LEFT(TRIM(C1060),FIND(" ",TRIM(C1060)&amp;" ")-1),",","."))+1,9))*12,NA()))),0),18)*'Aturan &amp; Tarif'!$B$4,2)</f>
        <v>1022.04</v>
      </c>
      <c r="K1060" s="42" t="n">
        <f aca="false">'Aturan &amp; Tarif'!$B$5</f>
        <v>2050</v>
      </c>
      <c r="L1060" s="35" t="n">
        <f aca="false">I1060+J1060+K1060</f>
        <v>5822.04</v>
      </c>
      <c r="M1060" s="45" t="s">
        <v>2561</v>
      </c>
    </row>
    <row r="1061" customFormat="false" ht="25.5" hidden="false" customHeight="true" outlineLevel="0" collapsed="false">
      <c r="A1061" s="39"/>
      <c r="B1061" s="40" t="s">
        <v>2569</v>
      </c>
      <c r="C1061" s="41" t="s">
        <v>107</v>
      </c>
      <c r="D1061" s="41" t="s">
        <v>108</v>
      </c>
      <c r="E1061" s="42" t="n">
        <v>2400</v>
      </c>
      <c r="F1061" s="42" t="n">
        <v>1000</v>
      </c>
      <c r="G1061" s="42" t="n">
        <v>250</v>
      </c>
      <c r="H1061" s="43" t="n">
        <v>1</v>
      </c>
      <c r="I1061" s="34" t="n">
        <f aca="false">E1061*H1061+N(F1061)+N(G1061)</f>
        <v>3650</v>
      </c>
      <c r="J1061" s="42" t="n">
        <f aca="false">ROUND(IFERROR(ROUND(IF(OR(ISNUMBER(SEARCH("week",C1061)),ISNUMBER(SEARCH("minggu",C1061))),IFERROR(_xlfn.NUMBERVALUE(SUBSTITUTE(LEFT(TRIM(C1061),FIND(" ",TRIM(C1061)&amp;" ")-1),",","."),"."),LEFT(SUBSTITUTE(LEFT(TRIM(C1061),FIND(" ",TRIM(C1061)&amp;" ")-1),",","."),FIND("/",SUBSTITUTE(LEFT(TRIM(C1061),FIND(" ",TRIM(C1061)&amp;" ")-1),",","."))-1)/MID(SUBSTITUTE(LEFT(TRIM(C1061),FIND(" ",TRIM(C1061)&amp;" ")-1),",","."),FIND("/",SUBSTITUTE(LEFT(TRIM(C1061),FIND(" ",TRIM(C1061)&amp;" ")-1),",","."))+1,9))*12/52,IF(ISNUMBER(SEARCH("month",C1061)),IFERROR(_xlfn.NUMBERVALUE(SUBSTITUTE(LEFT(TRIM(C1061),FIND(" ",TRIM(C1061)&amp;" ")-1),",","."),"."),LEFT(SUBSTITUTE(LEFT(TRIM(C1061),FIND(" ",TRIM(C1061)&amp;" ")-1),",","."),FIND("/",SUBSTITUTE(LEFT(TRIM(C1061),FIND(" ",TRIM(C1061)&amp;" ")-1),",","."))-1)/MID(SUBSTITUTE(LEFT(TRIM(C1061),FIND(" ",TRIM(C1061)&amp;" ")-1),",","."),FIND("/",SUBSTITUTE(LEFT(TRIM(C1061),FIND(" ",TRIM(C1061)&amp;" ")-1),",","."))+1,9)),IF(ISNUMBER(SEARCH("yea",C1061)),IFERROR(_xlfn.NUMBERVALUE(SUBSTITUTE(LEFT(TRIM(C1061),FIND(" ",TRIM(C1061)&amp;" ")-1),",","."),"."),LEFT(SUBSTITUTE(LEFT(TRIM(C1061),FIND(" ",TRIM(C1061)&amp;" ")-1),",","."),FIND("/",SUBSTITUTE(LEFT(TRIM(C1061),FIND(" ",TRIM(C1061)&amp;" ")-1),",","."))-1)/MID(SUBSTITUTE(LEFT(TRIM(C1061),FIND(" ",TRIM(C1061)&amp;" ")-1),",","."),FIND("/",SUBSTITUTE(LEFT(TRIM(C1061),FIND(" ",TRIM(C1061)&amp;" ")-1),",","."))+1,9))*12,NA()))),0),24)*'Aturan &amp; Tarif'!$B$4,2)</f>
        <v>1362.72</v>
      </c>
      <c r="K1061" s="42" t="n">
        <f aca="false">'Aturan &amp; Tarif'!$B$5</f>
        <v>2050</v>
      </c>
      <c r="L1061" s="35" t="n">
        <f aca="false">I1061+J1061+K1061</f>
        <v>7062.72</v>
      </c>
      <c r="M1061" s="45" t="s">
        <v>2561</v>
      </c>
    </row>
    <row r="1062" customFormat="false" ht="25.5" hidden="false" customHeight="true" outlineLevel="0" collapsed="false">
      <c r="A1062" s="39" t="s">
        <v>2570</v>
      </c>
      <c r="B1062" s="40" t="s">
        <v>2571</v>
      </c>
      <c r="C1062" s="41" t="s">
        <v>127</v>
      </c>
      <c r="D1062" s="41" t="s">
        <v>108</v>
      </c>
      <c r="E1062" s="42" t="n">
        <v>8125</v>
      </c>
      <c r="F1062" s="42"/>
      <c r="G1062" s="42"/>
      <c r="H1062" s="43" t="n">
        <v>2</v>
      </c>
      <c r="I1062" s="34" t="n">
        <f aca="false">E1062*H1062+N(F1062)+N(G1062)</f>
        <v>16250</v>
      </c>
      <c r="J1062" s="42" t="n">
        <f aca="false">ROUND(IFERROR(ROUND(IF(OR(ISNUMBER(SEARCH("week",C1062)),ISNUMBER(SEARCH("minggu",C1062))),IFERROR(_xlfn.NUMBERVALUE(SUBSTITUTE(LEFT(TRIM(C1062),FIND(" ",TRIM(C1062)&amp;" ")-1),",","."),"."),LEFT(SUBSTITUTE(LEFT(TRIM(C1062),FIND(" ",TRIM(C1062)&amp;" ")-1),",","."),FIND("/",SUBSTITUTE(LEFT(TRIM(C1062),FIND(" ",TRIM(C1062)&amp;" ")-1),",","."))-1)/MID(SUBSTITUTE(LEFT(TRIM(C1062),FIND(" ",TRIM(C1062)&amp;" ")-1),",","."),FIND("/",SUBSTITUTE(LEFT(TRIM(C1062),FIND(" ",TRIM(C1062)&amp;" ")-1),",","."))+1,9))*12/52,IF(ISNUMBER(SEARCH("month",C1062)),IFERROR(_xlfn.NUMBERVALUE(SUBSTITUTE(LEFT(TRIM(C1062),FIND(" ",TRIM(C1062)&amp;" ")-1),",","."),"."),LEFT(SUBSTITUTE(LEFT(TRIM(C1062),FIND(" ",TRIM(C1062)&amp;" ")-1),",","."),FIND("/",SUBSTITUTE(LEFT(TRIM(C1062),FIND(" ",TRIM(C1062)&amp;" ")-1),",","."))-1)/MID(SUBSTITUTE(LEFT(TRIM(C1062),FIND(" ",TRIM(C1062)&amp;" ")-1),",","."),FIND("/",SUBSTITUTE(LEFT(TRIM(C1062),FIND(" ",TRIM(C1062)&amp;" ")-1),",","."))+1,9)),IF(ISNUMBER(SEARCH("yea",C1062)),IFERROR(_xlfn.NUMBERVALUE(SUBSTITUTE(LEFT(TRIM(C1062),FIND(" ",TRIM(C1062)&amp;" ")-1),",","."),"."),LEFT(SUBSTITUTE(LEFT(TRIM(C1062),FIND(" ",TRIM(C1062)&amp;" ")-1),",","."),FIND("/",SUBSTITUTE(LEFT(TRIM(C1062),FIND(" ",TRIM(C1062)&amp;" ")-1),",","."))-1)/MID(SUBSTITUTE(LEFT(TRIM(C1062),FIND(" ",TRIM(C1062)&amp;" ")-1),",","."),FIND("/",SUBSTITUTE(LEFT(TRIM(C1062),FIND(" ",TRIM(C1062)&amp;" ")-1),",","."))+1,9))*12,NA()))),0),36)*'Aturan &amp; Tarif'!$B$4,2)</f>
        <v>2044.08</v>
      </c>
      <c r="K1062" s="42" t="n">
        <f aca="false">'Aturan &amp; Tarif'!$B$5</f>
        <v>2050</v>
      </c>
      <c r="L1062" s="35" t="n">
        <f aca="false">I1062+J1062+K1062</f>
        <v>20344.08</v>
      </c>
      <c r="M1062" s="45" t="s">
        <v>2572</v>
      </c>
    </row>
    <row r="1063" customFormat="false" ht="25.5" hidden="false" customHeight="true" outlineLevel="0" collapsed="false">
      <c r="A1063" s="39"/>
      <c r="B1063" s="40" t="s">
        <v>2573</v>
      </c>
      <c r="C1063" s="41" t="s">
        <v>127</v>
      </c>
      <c r="D1063" s="41" t="s">
        <v>108</v>
      </c>
      <c r="E1063" s="42" t="n">
        <v>8125</v>
      </c>
      <c r="F1063" s="42"/>
      <c r="G1063" s="42"/>
      <c r="H1063" s="43" t="n">
        <v>2</v>
      </c>
      <c r="I1063" s="34" t="n">
        <f aca="false">E1063*H1063+N(F1063)+N(G1063)</f>
        <v>16250</v>
      </c>
      <c r="J1063" s="42" t="n">
        <f aca="false">ROUND(IFERROR(ROUND(IF(OR(ISNUMBER(SEARCH("week",C1063)),ISNUMBER(SEARCH("minggu",C1063))),IFERROR(_xlfn.NUMBERVALUE(SUBSTITUTE(LEFT(TRIM(C1063),FIND(" ",TRIM(C1063)&amp;" ")-1),",","."),"."),LEFT(SUBSTITUTE(LEFT(TRIM(C1063),FIND(" ",TRIM(C1063)&amp;" ")-1),",","."),FIND("/",SUBSTITUTE(LEFT(TRIM(C1063),FIND(" ",TRIM(C1063)&amp;" ")-1),",","."))-1)/MID(SUBSTITUTE(LEFT(TRIM(C1063),FIND(" ",TRIM(C1063)&amp;" ")-1),",","."),FIND("/",SUBSTITUTE(LEFT(TRIM(C1063),FIND(" ",TRIM(C1063)&amp;" ")-1),",","."))+1,9))*12/52,IF(ISNUMBER(SEARCH("month",C1063)),IFERROR(_xlfn.NUMBERVALUE(SUBSTITUTE(LEFT(TRIM(C1063),FIND(" ",TRIM(C1063)&amp;" ")-1),",","."),"."),LEFT(SUBSTITUTE(LEFT(TRIM(C1063),FIND(" ",TRIM(C1063)&amp;" ")-1),",","."),FIND("/",SUBSTITUTE(LEFT(TRIM(C1063),FIND(" ",TRIM(C1063)&amp;" ")-1),",","."))-1)/MID(SUBSTITUTE(LEFT(TRIM(C1063),FIND(" ",TRIM(C1063)&amp;" ")-1),",","."),FIND("/",SUBSTITUTE(LEFT(TRIM(C1063),FIND(" ",TRIM(C1063)&amp;" ")-1),",","."))+1,9)),IF(ISNUMBER(SEARCH("yea",C1063)),IFERROR(_xlfn.NUMBERVALUE(SUBSTITUTE(LEFT(TRIM(C1063),FIND(" ",TRIM(C1063)&amp;" ")-1),",","."),"."),LEFT(SUBSTITUTE(LEFT(TRIM(C1063),FIND(" ",TRIM(C1063)&amp;" ")-1),",","."),FIND("/",SUBSTITUTE(LEFT(TRIM(C1063),FIND(" ",TRIM(C1063)&amp;" ")-1),",","."))-1)/MID(SUBSTITUTE(LEFT(TRIM(C1063),FIND(" ",TRIM(C1063)&amp;" ")-1),",","."),FIND("/",SUBSTITUTE(LEFT(TRIM(C1063),FIND(" ",TRIM(C1063)&amp;" ")-1),",","."))+1,9))*12,NA()))),0),36)*'Aturan &amp; Tarif'!$B$4,2)</f>
        <v>2044.08</v>
      </c>
      <c r="K1063" s="42" t="n">
        <f aca="false">'Aturan &amp; Tarif'!$B$5</f>
        <v>2050</v>
      </c>
      <c r="L1063" s="35" t="n">
        <f aca="false">I1063+J1063+K1063</f>
        <v>20344.08</v>
      </c>
      <c r="M1063" s="45" t="s">
        <v>2572</v>
      </c>
    </row>
    <row r="1064" customFormat="false" ht="25.5" hidden="false" customHeight="true" outlineLevel="0" collapsed="false">
      <c r="A1064" s="39"/>
      <c r="B1064" s="40" t="s">
        <v>2574</v>
      </c>
      <c r="C1064" s="41" t="s">
        <v>127</v>
      </c>
      <c r="D1064" s="41" t="s">
        <v>108</v>
      </c>
      <c r="E1064" s="42" t="n">
        <v>8694</v>
      </c>
      <c r="F1064" s="42"/>
      <c r="G1064" s="42"/>
      <c r="H1064" s="43" t="n">
        <v>2</v>
      </c>
      <c r="I1064" s="34" t="n">
        <f aca="false">E1064*H1064+N(F1064)+N(G1064)</f>
        <v>17388</v>
      </c>
      <c r="J1064" s="42" t="n">
        <f aca="false">ROUND(IFERROR(ROUND(IF(OR(ISNUMBER(SEARCH("week",C1064)),ISNUMBER(SEARCH("minggu",C1064))),IFERROR(_xlfn.NUMBERVALUE(SUBSTITUTE(LEFT(TRIM(C1064),FIND(" ",TRIM(C1064)&amp;" ")-1),",","."),"."),LEFT(SUBSTITUTE(LEFT(TRIM(C1064),FIND(" ",TRIM(C1064)&amp;" ")-1),",","."),FIND("/",SUBSTITUTE(LEFT(TRIM(C1064),FIND(" ",TRIM(C1064)&amp;" ")-1),",","."))-1)/MID(SUBSTITUTE(LEFT(TRIM(C1064),FIND(" ",TRIM(C1064)&amp;" ")-1),",","."),FIND("/",SUBSTITUTE(LEFT(TRIM(C1064),FIND(" ",TRIM(C1064)&amp;" ")-1),",","."))+1,9))*12/52,IF(ISNUMBER(SEARCH("month",C1064)),IFERROR(_xlfn.NUMBERVALUE(SUBSTITUTE(LEFT(TRIM(C1064),FIND(" ",TRIM(C1064)&amp;" ")-1),",","."),"."),LEFT(SUBSTITUTE(LEFT(TRIM(C1064),FIND(" ",TRIM(C1064)&amp;" ")-1),",","."),FIND("/",SUBSTITUTE(LEFT(TRIM(C1064),FIND(" ",TRIM(C1064)&amp;" ")-1),",","."))-1)/MID(SUBSTITUTE(LEFT(TRIM(C1064),FIND(" ",TRIM(C1064)&amp;" ")-1),",","."),FIND("/",SUBSTITUTE(LEFT(TRIM(C1064),FIND(" ",TRIM(C1064)&amp;" ")-1),",","."))+1,9)),IF(ISNUMBER(SEARCH("yea",C1064)),IFERROR(_xlfn.NUMBERVALUE(SUBSTITUTE(LEFT(TRIM(C1064),FIND(" ",TRIM(C1064)&amp;" ")-1),",","."),"."),LEFT(SUBSTITUTE(LEFT(TRIM(C1064),FIND(" ",TRIM(C1064)&amp;" ")-1),",","."),FIND("/",SUBSTITUTE(LEFT(TRIM(C1064),FIND(" ",TRIM(C1064)&amp;" ")-1),",","."))-1)/MID(SUBSTITUTE(LEFT(TRIM(C1064),FIND(" ",TRIM(C1064)&amp;" ")-1),",","."),FIND("/",SUBSTITUTE(LEFT(TRIM(C1064),FIND(" ",TRIM(C1064)&amp;" ")-1),",","."))+1,9))*12,NA()))),0),36)*'Aturan &amp; Tarif'!$B$4,2)</f>
        <v>2044.08</v>
      </c>
      <c r="K1064" s="42" t="n">
        <f aca="false">'Aturan &amp; Tarif'!$B$5</f>
        <v>2050</v>
      </c>
      <c r="L1064" s="35" t="n">
        <f aca="false">I1064+J1064+K1064</f>
        <v>21482.08</v>
      </c>
      <c r="M1064" s="45" t="s">
        <v>2572</v>
      </c>
    </row>
    <row r="1065" customFormat="false" ht="72" hidden="false" customHeight="true" outlineLevel="0" collapsed="false">
      <c r="A1065" s="39"/>
      <c r="B1065" s="40" t="s">
        <v>2575</v>
      </c>
      <c r="C1065" s="41" t="s">
        <v>127</v>
      </c>
      <c r="D1065" s="41" t="s">
        <v>108</v>
      </c>
      <c r="E1065" s="42" t="n">
        <v>8694</v>
      </c>
      <c r="F1065" s="42"/>
      <c r="G1065" s="42"/>
      <c r="H1065" s="43" t="n">
        <v>2</v>
      </c>
      <c r="I1065" s="34" t="n">
        <f aca="false">E1065*H1065+N(F1065)+N(G1065)</f>
        <v>17388</v>
      </c>
      <c r="J1065" s="42" t="n">
        <f aca="false">ROUND(IFERROR(ROUND(IF(OR(ISNUMBER(SEARCH("week",C1065)),ISNUMBER(SEARCH("minggu",C1065))),IFERROR(_xlfn.NUMBERVALUE(SUBSTITUTE(LEFT(TRIM(C1065),FIND(" ",TRIM(C1065)&amp;" ")-1),",","."),"."),LEFT(SUBSTITUTE(LEFT(TRIM(C1065),FIND(" ",TRIM(C1065)&amp;" ")-1),",","."),FIND("/",SUBSTITUTE(LEFT(TRIM(C1065),FIND(" ",TRIM(C1065)&amp;" ")-1),",","."))-1)/MID(SUBSTITUTE(LEFT(TRIM(C1065),FIND(" ",TRIM(C1065)&amp;" ")-1),",","."),FIND("/",SUBSTITUTE(LEFT(TRIM(C1065),FIND(" ",TRIM(C1065)&amp;" ")-1),",","."))+1,9))*12/52,IF(ISNUMBER(SEARCH("month",C1065)),IFERROR(_xlfn.NUMBERVALUE(SUBSTITUTE(LEFT(TRIM(C1065),FIND(" ",TRIM(C1065)&amp;" ")-1),",","."),"."),LEFT(SUBSTITUTE(LEFT(TRIM(C1065),FIND(" ",TRIM(C1065)&amp;" ")-1),",","."),FIND("/",SUBSTITUTE(LEFT(TRIM(C1065),FIND(" ",TRIM(C1065)&amp;" ")-1),",","."))-1)/MID(SUBSTITUTE(LEFT(TRIM(C1065),FIND(" ",TRIM(C1065)&amp;" ")-1),",","."),FIND("/",SUBSTITUTE(LEFT(TRIM(C1065),FIND(" ",TRIM(C1065)&amp;" ")-1),",","."))+1,9)),IF(ISNUMBER(SEARCH("yea",C1065)),IFERROR(_xlfn.NUMBERVALUE(SUBSTITUTE(LEFT(TRIM(C1065),FIND(" ",TRIM(C1065)&amp;" ")-1),",","."),"."),LEFT(SUBSTITUTE(LEFT(TRIM(C1065),FIND(" ",TRIM(C1065)&amp;" ")-1),",","."),FIND("/",SUBSTITUTE(LEFT(TRIM(C1065),FIND(" ",TRIM(C1065)&amp;" ")-1),",","."))-1)/MID(SUBSTITUTE(LEFT(TRIM(C1065),FIND(" ",TRIM(C1065)&amp;" ")-1),",","."),FIND("/",SUBSTITUTE(LEFT(TRIM(C1065),FIND(" ",TRIM(C1065)&amp;" ")-1),",","."))+1,9))*12,NA()))),0),36)*'Aturan &amp; Tarif'!$B$4,2)</f>
        <v>2044.08</v>
      </c>
      <c r="K1065" s="42" t="n">
        <f aca="false">'Aturan &amp; Tarif'!$B$5</f>
        <v>2050</v>
      </c>
      <c r="L1065" s="35" t="n">
        <f aca="false">I1065+J1065+K1065</f>
        <v>21482.08</v>
      </c>
      <c r="M1065" s="45" t="s">
        <v>2572</v>
      </c>
    </row>
    <row r="1066" customFormat="false" ht="83.25" hidden="false" customHeight="true" outlineLevel="0" collapsed="false">
      <c r="A1066" s="39"/>
      <c r="B1066" s="40" t="s">
        <v>2576</v>
      </c>
      <c r="C1066" s="41" t="s">
        <v>191</v>
      </c>
      <c r="D1066" s="41" t="s">
        <v>108</v>
      </c>
      <c r="E1066" s="42" t="n">
        <v>8694</v>
      </c>
      <c r="F1066" s="42"/>
      <c r="G1066" s="42"/>
      <c r="H1066" s="43" t="n">
        <v>2</v>
      </c>
      <c r="I1066" s="34" t="n">
        <f aca="false">E1066*H1066+N(F1066)+N(G1066)</f>
        <v>17388</v>
      </c>
      <c r="J1066" s="42" t="n">
        <f aca="false">ROUND(IFERROR(ROUND(IF(OR(ISNUMBER(SEARCH("week",C1066)),ISNUMBER(SEARCH("minggu",C1066))),IFERROR(_xlfn.NUMBERVALUE(SUBSTITUTE(LEFT(TRIM(C1066),FIND(" ",TRIM(C1066)&amp;" ")-1),",","."),"."),LEFT(SUBSTITUTE(LEFT(TRIM(C1066),FIND(" ",TRIM(C1066)&amp;" ")-1),",","."),FIND("/",SUBSTITUTE(LEFT(TRIM(C1066),FIND(" ",TRIM(C1066)&amp;" ")-1),",","."))-1)/MID(SUBSTITUTE(LEFT(TRIM(C1066),FIND(" ",TRIM(C1066)&amp;" ")-1),",","."),FIND("/",SUBSTITUTE(LEFT(TRIM(C1066),FIND(" ",TRIM(C1066)&amp;" ")-1),",","."))+1,9))*12/52,IF(ISNUMBER(SEARCH("month",C1066)),IFERROR(_xlfn.NUMBERVALUE(SUBSTITUTE(LEFT(TRIM(C1066),FIND(" ",TRIM(C1066)&amp;" ")-1),",","."),"."),LEFT(SUBSTITUTE(LEFT(TRIM(C1066),FIND(" ",TRIM(C1066)&amp;" ")-1),",","."),FIND("/",SUBSTITUTE(LEFT(TRIM(C1066),FIND(" ",TRIM(C1066)&amp;" ")-1),",","."))-1)/MID(SUBSTITUTE(LEFT(TRIM(C1066),FIND(" ",TRIM(C1066)&amp;" ")-1),",","."),FIND("/",SUBSTITUTE(LEFT(TRIM(C1066),FIND(" ",TRIM(C1066)&amp;" ")-1),",","."))+1,9)),IF(ISNUMBER(SEARCH("yea",C1066)),IFERROR(_xlfn.NUMBERVALUE(SUBSTITUTE(LEFT(TRIM(C1066),FIND(" ",TRIM(C1066)&amp;" ")-1),",","."),"."),LEFT(SUBSTITUTE(LEFT(TRIM(C1066),FIND(" ",TRIM(C1066)&amp;" ")-1),",","."),FIND("/",SUBSTITUTE(LEFT(TRIM(C1066),FIND(" ",TRIM(C1066)&amp;" ")-1),",","."))-1)/MID(SUBSTITUTE(LEFT(TRIM(C1066),FIND(" ",TRIM(C1066)&amp;" ")-1),",","."),FIND("/",SUBSTITUTE(LEFT(TRIM(C1066),FIND(" ",TRIM(C1066)&amp;" ")-1),",","."))+1,9))*12,NA()))),0),48)*'Aturan &amp; Tarif'!$B$4,2)</f>
        <v>2725.44</v>
      </c>
      <c r="K1066" s="42" t="n">
        <f aca="false">'Aturan &amp; Tarif'!$B$5</f>
        <v>2050</v>
      </c>
      <c r="L1066" s="35" t="n">
        <f aca="false">I1066+J1066+K1066</f>
        <v>22163.44</v>
      </c>
      <c r="M1066" s="45" t="s">
        <v>2572</v>
      </c>
    </row>
    <row r="1067" customFormat="false" ht="48.75" hidden="false" customHeight="true" outlineLevel="0" collapsed="false">
      <c r="A1067" s="39"/>
      <c r="B1067" s="40" t="s">
        <v>2577</v>
      </c>
      <c r="C1067" s="41" t="s">
        <v>127</v>
      </c>
      <c r="D1067" s="41" t="s">
        <v>108</v>
      </c>
      <c r="E1067" s="42" t="n">
        <v>8694</v>
      </c>
      <c r="F1067" s="42"/>
      <c r="G1067" s="42"/>
      <c r="H1067" s="43" t="n">
        <v>2</v>
      </c>
      <c r="I1067" s="34" t="n">
        <f aca="false">E1067*H1067+N(F1067)+N(G1067)</f>
        <v>17388</v>
      </c>
      <c r="J1067" s="42" t="n">
        <f aca="false">ROUND(IFERROR(ROUND(IF(OR(ISNUMBER(SEARCH("week",C1067)),ISNUMBER(SEARCH("minggu",C1067))),IFERROR(_xlfn.NUMBERVALUE(SUBSTITUTE(LEFT(TRIM(C1067),FIND(" ",TRIM(C1067)&amp;" ")-1),",","."),"."),LEFT(SUBSTITUTE(LEFT(TRIM(C1067),FIND(" ",TRIM(C1067)&amp;" ")-1),",","."),FIND("/",SUBSTITUTE(LEFT(TRIM(C1067),FIND(" ",TRIM(C1067)&amp;" ")-1),",","."))-1)/MID(SUBSTITUTE(LEFT(TRIM(C1067),FIND(" ",TRIM(C1067)&amp;" ")-1),",","."),FIND("/",SUBSTITUTE(LEFT(TRIM(C1067),FIND(" ",TRIM(C1067)&amp;" ")-1),",","."))+1,9))*12/52,IF(ISNUMBER(SEARCH("month",C1067)),IFERROR(_xlfn.NUMBERVALUE(SUBSTITUTE(LEFT(TRIM(C1067),FIND(" ",TRIM(C1067)&amp;" ")-1),",","."),"."),LEFT(SUBSTITUTE(LEFT(TRIM(C1067),FIND(" ",TRIM(C1067)&amp;" ")-1),",","."),FIND("/",SUBSTITUTE(LEFT(TRIM(C1067),FIND(" ",TRIM(C1067)&amp;" ")-1),",","."))-1)/MID(SUBSTITUTE(LEFT(TRIM(C1067),FIND(" ",TRIM(C1067)&amp;" ")-1),",","."),FIND("/",SUBSTITUTE(LEFT(TRIM(C1067),FIND(" ",TRIM(C1067)&amp;" ")-1),",","."))+1,9)),IF(ISNUMBER(SEARCH("yea",C1067)),IFERROR(_xlfn.NUMBERVALUE(SUBSTITUTE(LEFT(TRIM(C1067),FIND(" ",TRIM(C1067)&amp;" ")-1),",","."),"."),LEFT(SUBSTITUTE(LEFT(TRIM(C1067),FIND(" ",TRIM(C1067)&amp;" ")-1),",","."),FIND("/",SUBSTITUTE(LEFT(TRIM(C1067),FIND(" ",TRIM(C1067)&amp;" ")-1),",","."))-1)/MID(SUBSTITUTE(LEFT(TRIM(C1067),FIND(" ",TRIM(C1067)&amp;" ")-1),",","."),FIND("/",SUBSTITUTE(LEFT(TRIM(C1067),FIND(" ",TRIM(C1067)&amp;" ")-1),",","."))+1,9))*12,NA()))),0),36)*'Aturan &amp; Tarif'!$B$4,2)</f>
        <v>2044.08</v>
      </c>
      <c r="K1067" s="42" t="n">
        <f aca="false">'Aturan &amp; Tarif'!$B$5</f>
        <v>2050</v>
      </c>
      <c r="L1067" s="35" t="n">
        <f aca="false">I1067+J1067+K1067</f>
        <v>21482.08</v>
      </c>
      <c r="M1067" s="45" t="s">
        <v>2572</v>
      </c>
    </row>
    <row r="1068" customFormat="false" ht="60" hidden="false" customHeight="true" outlineLevel="0" collapsed="false">
      <c r="A1068" s="39"/>
      <c r="B1068" s="40" t="s">
        <v>2578</v>
      </c>
      <c r="C1068" s="41" t="s">
        <v>127</v>
      </c>
      <c r="D1068" s="41" t="s">
        <v>108</v>
      </c>
      <c r="E1068" s="42" t="n">
        <v>8694</v>
      </c>
      <c r="F1068" s="42"/>
      <c r="G1068" s="42"/>
      <c r="H1068" s="43" t="n">
        <v>2</v>
      </c>
      <c r="I1068" s="34" t="n">
        <f aca="false">E1068*H1068+N(F1068)+N(G1068)</f>
        <v>17388</v>
      </c>
      <c r="J1068" s="42" t="n">
        <f aca="false">ROUND(IFERROR(ROUND(IF(OR(ISNUMBER(SEARCH("week",C1068)),ISNUMBER(SEARCH("minggu",C1068))),IFERROR(_xlfn.NUMBERVALUE(SUBSTITUTE(LEFT(TRIM(C1068),FIND(" ",TRIM(C1068)&amp;" ")-1),",","."),"."),LEFT(SUBSTITUTE(LEFT(TRIM(C1068),FIND(" ",TRIM(C1068)&amp;" ")-1),",","."),FIND("/",SUBSTITUTE(LEFT(TRIM(C1068),FIND(" ",TRIM(C1068)&amp;" ")-1),",","."))-1)/MID(SUBSTITUTE(LEFT(TRIM(C1068),FIND(" ",TRIM(C1068)&amp;" ")-1),",","."),FIND("/",SUBSTITUTE(LEFT(TRIM(C1068),FIND(" ",TRIM(C1068)&amp;" ")-1),",","."))+1,9))*12/52,IF(ISNUMBER(SEARCH("month",C1068)),IFERROR(_xlfn.NUMBERVALUE(SUBSTITUTE(LEFT(TRIM(C1068),FIND(" ",TRIM(C1068)&amp;" ")-1),",","."),"."),LEFT(SUBSTITUTE(LEFT(TRIM(C1068),FIND(" ",TRIM(C1068)&amp;" ")-1),",","."),FIND("/",SUBSTITUTE(LEFT(TRIM(C1068),FIND(" ",TRIM(C1068)&amp;" ")-1),",","."))-1)/MID(SUBSTITUTE(LEFT(TRIM(C1068),FIND(" ",TRIM(C1068)&amp;" ")-1),",","."),FIND("/",SUBSTITUTE(LEFT(TRIM(C1068),FIND(" ",TRIM(C1068)&amp;" ")-1),",","."))+1,9)),IF(ISNUMBER(SEARCH("yea",C1068)),IFERROR(_xlfn.NUMBERVALUE(SUBSTITUTE(LEFT(TRIM(C1068),FIND(" ",TRIM(C1068)&amp;" ")-1),",","."),"."),LEFT(SUBSTITUTE(LEFT(TRIM(C1068),FIND(" ",TRIM(C1068)&amp;" ")-1),",","."),FIND("/",SUBSTITUTE(LEFT(TRIM(C1068),FIND(" ",TRIM(C1068)&amp;" ")-1),",","."))-1)/MID(SUBSTITUTE(LEFT(TRIM(C1068),FIND(" ",TRIM(C1068)&amp;" ")-1),",","."),FIND("/",SUBSTITUTE(LEFT(TRIM(C1068),FIND(" ",TRIM(C1068)&amp;" ")-1),",","."))+1,9))*12,NA()))),0),36)*'Aturan &amp; Tarif'!$B$4,2)</f>
        <v>2044.08</v>
      </c>
      <c r="K1068" s="42" t="n">
        <f aca="false">'Aturan &amp; Tarif'!$B$5</f>
        <v>2050</v>
      </c>
      <c r="L1068" s="35" t="n">
        <f aca="false">I1068+J1068+K1068</f>
        <v>21482.08</v>
      </c>
      <c r="M1068" s="45" t="s">
        <v>2572</v>
      </c>
    </row>
    <row r="1069" customFormat="false" ht="83.25" hidden="false" customHeight="true" outlineLevel="0" collapsed="false">
      <c r="A1069" s="39"/>
      <c r="B1069" s="40" t="s">
        <v>2579</v>
      </c>
      <c r="C1069" s="41" t="s">
        <v>127</v>
      </c>
      <c r="D1069" s="41" t="s">
        <v>108</v>
      </c>
      <c r="E1069" s="42" t="n">
        <v>8967</v>
      </c>
      <c r="F1069" s="42"/>
      <c r="G1069" s="42"/>
      <c r="H1069" s="43" t="n">
        <v>2</v>
      </c>
      <c r="I1069" s="34" t="n">
        <f aca="false">E1069*H1069+N(F1069)+N(G1069)</f>
        <v>17934</v>
      </c>
      <c r="J1069" s="42" t="n">
        <f aca="false">ROUND(IFERROR(ROUND(IF(OR(ISNUMBER(SEARCH("week",C1069)),ISNUMBER(SEARCH("minggu",C1069))),IFERROR(_xlfn.NUMBERVALUE(SUBSTITUTE(LEFT(TRIM(C1069),FIND(" ",TRIM(C1069)&amp;" ")-1),",","."),"."),LEFT(SUBSTITUTE(LEFT(TRIM(C1069),FIND(" ",TRIM(C1069)&amp;" ")-1),",","."),FIND("/",SUBSTITUTE(LEFT(TRIM(C1069),FIND(" ",TRIM(C1069)&amp;" ")-1),",","."))-1)/MID(SUBSTITUTE(LEFT(TRIM(C1069),FIND(" ",TRIM(C1069)&amp;" ")-1),",","."),FIND("/",SUBSTITUTE(LEFT(TRIM(C1069),FIND(" ",TRIM(C1069)&amp;" ")-1),",","."))+1,9))*12/52,IF(ISNUMBER(SEARCH("month",C1069)),IFERROR(_xlfn.NUMBERVALUE(SUBSTITUTE(LEFT(TRIM(C1069),FIND(" ",TRIM(C1069)&amp;" ")-1),",","."),"."),LEFT(SUBSTITUTE(LEFT(TRIM(C1069),FIND(" ",TRIM(C1069)&amp;" ")-1),",","."),FIND("/",SUBSTITUTE(LEFT(TRIM(C1069),FIND(" ",TRIM(C1069)&amp;" ")-1),",","."))-1)/MID(SUBSTITUTE(LEFT(TRIM(C1069),FIND(" ",TRIM(C1069)&amp;" ")-1),",","."),FIND("/",SUBSTITUTE(LEFT(TRIM(C1069),FIND(" ",TRIM(C1069)&amp;" ")-1),",","."))+1,9)),IF(ISNUMBER(SEARCH("yea",C1069)),IFERROR(_xlfn.NUMBERVALUE(SUBSTITUTE(LEFT(TRIM(C1069),FIND(" ",TRIM(C1069)&amp;" ")-1),",","."),"."),LEFT(SUBSTITUTE(LEFT(TRIM(C1069),FIND(" ",TRIM(C1069)&amp;" ")-1),",","."),FIND("/",SUBSTITUTE(LEFT(TRIM(C1069),FIND(" ",TRIM(C1069)&amp;" ")-1),",","."))-1)/MID(SUBSTITUTE(LEFT(TRIM(C1069),FIND(" ",TRIM(C1069)&amp;" ")-1),",","."),FIND("/",SUBSTITUTE(LEFT(TRIM(C1069),FIND(" ",TRIM(C1069)&amp;" ")-1),",","."))+1,9))*12,NA()))),0),36)*'Aturan &amp; Tarif'!$B$4,2)</f>
        <v>2044.08</v>
      </c>
      <c r="K1069" s="42" t="n">
        <f aca="false">'Aturan &amp; Tarif'!$B$5</f>
        <v>2050</v>
      </c>
      <c r="L1069" s="35" t="n">
        <f aca="false">I1069+J1069+K1069</f>
        <v>22028.08</v>
      </c>
      <c r="M1069" s="45" t="s">
        <v>2572</v>
      </c>
    </row>
    <row r="1070" customFormat="false" ht="25.5" hidden="false" customHeight="true" outlineLevel="0" collapsed="false">
      <c r="A1070" s="39"/>
      <c r="B1070" s="40" t="s">
        <v>2580</v>
      </c>
      <c r="C1070" s="41" t="s">
        <v>127</v>
      </c>
      <c r="D1070" s="41" t="s">
        <v>108</v>
      </c>
      <c r="E1070" s="42" t="n">
        <v>8967</v>
      </c>
      <c r="F1070" s="42"/>
      <c r="G1070" s="42"/>
      <c r="H1070" s="43" t="n">
        <v>2</v>
      </c>
      <c r="I1070" s="34" t="n">
        <f aca="false">E1070*H1070+N(F1070)+N(G1070)</f>
        <v>17934</v>
      </c>
      <c r="J1070" s="42" t="n">
        <f aca="false">ROUND(IFERROR(ROUND(IF(OR(ISNUMBER(SEARCH("week",C1070)),ISNUMBER(SEARCH("minggu",C1070))),IFERROR(_xlfn.NUMBERVALUE(SUBSTITUTE(LEFT(TRIM(C1070),FIND(" ",TRIM(C1070)&amp;" ")-1),",","."),"."),LEFT(SUBSTITUTE(LEFT(TRIM(C1070),FIND(" ",TRIM(C1070)&amp;" ")-1),",","."),FIND("/",SUBSTITUTE(LEFT(TRIM(C1070),FIND(" ",TRIM(C1070)&amp;" ")-1),",","."))-1)/MID(SUBSTITUTE(LEFT(TRIM(C1070),FIND(" ",TRIM(C1070)&amp;" ")-1),",","."),FIND("/",SUBSTITUTE(LEFT(TRIM(C1070),FIND(" ",TRIM(C1070)&amp;" ")-1),",","."))+1,9))*12/52,IF(ISNUMBER(SEARCH("month",C1070)),IFERROR(_xlfn.NUMBERVALUE(SUBSTITUTE(LEFT(TRIM(C1070),FIND(" ",TRIM(C1070)&amp;" ")-1),",","."),"."),LEFT(SUBSTITUTE(LEFT(TRIM(C1070),FIND(" ",TRIM(C1070)&amp;" ")-1),",","."),FIND("/",SUBSTITUTE(LEFT(TRIM(C1070),FIND(" ",TRIM(C1070)&amp;" ")-1),",","."))-1)/MID(SUBSTITUTE(LEFT(TRIM(C1070),FIND(" ",TRIM(C1070)&amp;" ")-1),",","."),FIND("/",SUBSTITUTE(LEFT(TRIM(C1070),FIND(" ",TRIM(C1070)&amp;" ")-1),",","."))+1,9)),IF(ISNUMBER(SEARCH("yea",C1070)),IFERROR(_xlfn.NUMBERVALUE(SUBSTITUTE(LEFT(TRIM(C1070),FIND(" ",TRIM(C1070)&amp;" ")-1),",","."),"."),LEFT(SUBSTITUTE(LEFT(TRIM(C1070),FIND(" ",TRIM(C1070)&amp;" ")-1),",","."),FIND("/",SUBSTITUTE(LEFT(TRIM(C1070),FIND(" ",TRIM(C1070)&amp;" ")-1),",","."))-1)/MID(SUBSTITUTE(LEFT(TRIM(C1070),FIND(" ",TRIM(C1070)&amp;" ")-1),",","."),FIND("/",SUBSTITUTE(LEFT(TRIM(C1070),FIND(" ",TRIM(C1070)&amp;" ")-1),",","."))+1,9))*12,NA()))),0),36)*'Aturan &amp; Tarif'!$B$4,2)</f>
        <v>2044.08</v>
      </c>
      <c r="K1070" s="42" t="n">
        <f aca="false">'Aturan &amp; Tarif'!$B$5</f>
        <v>2050</v>
      </c>
      <c r="L1070" s="35" t="n">
        <f aca="false">I1070+J1070+K1070</f>
        <v>22028.08</v>
      </c>
      <c r="M1070" s="45" t="s">
        <v>2572</v>
      </c>
    </row>
    <row r="1071" customFormat="false" ht="25.5" hidden="false" customHeight="true" outlineLevel="0" collapsed="false">
      <c r="A1071" s="39"/>
      <c r="B1071" s="40" t="s">
        <v>2581</v>
      </c>
      <c r="C1071" s="41" t="s">
        <v>127</v>
      </c>
      <c r="D1071" s="41" t="s">
        <v>108</v>
      </c>
      <c r="E1071" s="42" t="n">
        <v>10229</v>
      </c>
      <c r="F1071" s="42"/>
      <c r="G1071" s="42"/>
      <c r="H1071" s="43" t="n">
        <v>2</v>
      </c>
      <c r="I1071" s="34" t="n">
        <f aca="false">E1071*H1071+N(F1071)+N(G1071)</f>
        <v>20458</v>
      </c>
      <c r="J1071" s="42" t="n">
        <f aca="false">ROUND(IFERROR(ROUND(IF(OR(ISNUMBER(SEARCH("week",C1071)),ISNUMBER(SEARCH("minggu",C1071))),IFERROR(_xlfn.NUMBERVALUE(SUBSTITUTE(LEFT(TRIM(C1071),FIND(" ",TRIM(C1071)&amp;" ")-1),",","."),"."),LEFT(SUBSTITUTE(LEFT(TRIM(C1071),FIND(" ",TRIM(C1071)&amp;" ")-1),",","."),FIND("/",SUBSTITUTE(LEFT(TRIM(C1071),FIND(" ",TRIM(C1071)&amp;" ")-1),",","."))-1)/MID(SUBSTITUTE(LEFT(TRIM(C1071),FIND(" ",TRIM(C1071)&amp;" ")-1),",","."),FIND("/",SUBSTITUTE(LEFT(TRIM(C1071),FIND(" ",TRIM(C1071)&amp;" ")-1),",","."))+1,9))*12/52,IF(ISNUMBER(SEARCH("month",C1071)),IFERROR(_xlfn.NUMBERVALUE(SUBSTITUTE(LEFT(TRIM(C1071),FIND(" ",TRIM(C1071)&amp;" ")-1),",","."),"."),LEFT(SUBSTITUTE(LEFT(TRIM(C1071),FIND(" ",TRIM(C1071)&amp;" ")-1),",","."),FIND("/",SUBSTITUTE(LEFT(TRIM(C1071),FIND(" ",TRIM(C1071)&amp;" ")-1),",","."))-1)/MID(SUBSTITUTE(LEFT(TRIM(C1071),FIND(" ",TRIM(C1071)&amp;" ")-1),",","."),FIND("/",SUBSTITUTE(LEFT(TRIM(C1071),FIND(" ",TRIM(C1071)&amp;" ")-1),",","."))+1,9)),IF(ISNUMBER(SEARCH("yea",C1071)),IFERROR(_xlfn.NUMBERVALUE(SUBSTITUTE(LEFT(TRIM(C1071),FIND(" ",TRIM(C1071)&amp;" ")-1),",","."),"."),LEFT(SUBSTITUTE(LEFT(TRIM(C1071),FIND(" ",TRIM(C1071)&amp;" ")-1),",","."),FIND("/",SUBSTITUTE(LEFT(TRIM(C1071),FIND(" ",TRIM(C1071)&amp;" ")-1),",","."))-1)/MID(SUBSTITUTE(LEFT(TRIM(C1071),FIND(" ",TRIM(C1071)&amp;" ")-1),",","."),FIND("/",SUBSTITUTE(LEFT(TRIM(C1071),FIND(" ",TRIM(C1071)&amp;" ")-1),",","."))+1,9))*12,NA()))),0),36)*'Aturan &amp; Tarif'!$B$4,2)</f>
        <v>2044.08</v>
      </c>
      <c r="K1071" s="42" t="n">
        <f aca="false">'Aturan &amp; Tarif'!$B$5</f>
        <v>2050</v>
      </c>
      <c r="L1071" s="35" t="n">
        <f aca="false">I1071+J1071+K1071</f>
        <v>24552.08</v>
      </c>
      <c r="M1071" s="45" t="s">
        <v>2572</v>
      </c>
    </row>
    <row r="1072" customFormat="false" ht="25.5" hidden="false" customHeight="true" outlineLevel="0" collapsed="false">
      <c r="A1072" s="39"/>
      <c r="B1072" s="40" t="s">
        <v>2582</v>
      </c>
      <c r="C1072" s="41" t="s">
        <v>191</v>
      </c>
      <c r="D1072" s="41" t="s">
        <v>108</v>
      </c>
      <c r="E1072" s="42" t="n">
        <v>10229</v>
      </c>
      <c r="F1072" s="42"/>
      <c r="G1072" s="42"/>
      <c r="H1072" s="43" t="n">
        <v>2</v>
      </c>
      <c r="I1072" s="34" t="n">
        <f aca="false">E1072*H1072+N(F1072)+N(G1072)</f>
        <v>20458</v>
      </c>
      <c r="J1072" s="42" t="n">
        <f aca="false">ROUND(IFERROR(ROUND(IF(OR(ISNUMBER(SEARCH("week",C1072)),ISNUMBER(SEARCH("minggu",C1072))),IFERROR(_xlfn.NUMBERVALUE(SUBSTITUTE(LEFT(TRIM(C1072),FIND(" ",TRIM(C1072)&amp;" ")-1),",","."),"."),LEFT(SUBSTITUTE(LEFT(TRIM(C1072),FIND(" ",TRIM(C1072)&amp;" ")-1),",","."),FIND("/",SUBSTITUTE(LEFT(TRIM(C1072),FIND(" ",TRIM(C1072)&amp;" ")-1),",","."))-1)/MID(SUBSTITUTE(LEFT(TRIM(C1072),FIND(" ",TRIM(C1072)&amp;" ")-1),",","."),FIND("/",SUBSTITUTE(LEFT(TRIM(C1072),FIND(" ",TRIM(C1072)&amp;" ")-1),",","."))+1,9))*12/52,IF(ISNUMBER(SEARCH("month",C1072)),IFERROR(_xlfn.NUMBERVALUE(SUBSTITUTE(LEFT(TRIM(C1072),FIND(" ",TRIM(C1072)&amp;" ")-1),",","."),"."),LEFT(SUBSTITUTE(LEFT(TRIM(C1072),FIND(" ",TRIM(C1072)&amp;" ")-1),",","."),FIND("/",SUBSTITUTE(LEFT(TRIM(C1072),FIND(" ",TRIM(C1072)&amp;" ")-1),",","."))-1)/MID(SUBSTITUTE(LEFT(TRIM(C1072),FIND(" ",TRIM(C1072)&amp;" ")-1),",","."),FIND("/",SUBSTITUTE(LEFT(TRIM(C1072),FIND(" ",TRIM(C1072)&amp;" ")-1),",","."))+1,9)),IF(ISNUMBER(SEARCH("yea",C1072)),IFERROR(_xlfn.NUMBERVALUE(SUBSTITUTE(LEFT(TRIM(C1072),FIND(" ",TRIM(C1072)&amp;" ")-1),",","."),"."),LEFT(SUBSTITUTE(LEFT(TRIM(C1072),FIND(" ",TRIM(C1072)&amp;" ")-1),",","."),FIND("/",SUBSTITUTE(LEFT(TRIM(C1072),FIND(" ",TRIM(C1072)&amp;" ")-1),",","."))-1)/MID(SUBSTITUTE(LEFT(TRIM(C1072),FIND(" ",TRIM(C1072)&amp;" ")-1),",","."),FIND("/",SUBSTITUTE(LEFT(TRIM(C1072),FIND(" ",TRIM(C1072)&amp;" ")-1),",","."))+1,9))*12,NA()))),0),48)*'Aturan &amp; Tarif'!$B$4,2)</f>
        <v>2725.44</v>
      </c>
      <c r="K1072" s="42" t="n">
        <f aca="false">'Aturan &amp; Tarif'!$B$5</f>
        <v>2050</v>
      </c>
      <c r="L1072" s="35" t="n">
        <f aca="false">I1072+J1072+K1072</f>
        <v>25233.44</v>
      </c>
      <c r="M1072" s="45" t="s">
        <v>2572</v>
      </c>
    </row>
    <row r="1073" customFormat="false" ht="60" hidden="false" customHeight="true" outlineLevel="0" collapsed="false">
      <c r="A1073" s="39"/>
      <c r="B1073" s="40" t="s">
        <v>2583</v>
      </c>
      <c r="C1073" s="41" t="s">
        <v>127</v>
      </c>
      <c r="D1073" s="41" t="s">
        <v>108</v>
      </c>
      <c r="E1073" s="42" t="n">
        <v>10229</v>
      </c>
      <c r="F1073" s="42"/>
      <c r="G1073" s="42"/>
      <c r="H1073" s="43" t="n">
        <v>2</v>
      </c>
      <c r="I1073" s="34" t="n">
        <f aca="false">E1073*H1073+N(F1073)+N(G1073)</f>
        <v>20458</v>
      </c>
      <c r="J1073" s="42" t="n">
        <f aca="false">ROUND(IFERROR(ROUND(IF(OR(ISNUMBER(SEARCH("week",C1073)),ISNUMBER(SEARCH("minggu",C1073))),IFERROR(_xlfn.NUMBERVALUE(SUBSTITUTE(LEFT(TRIM(C1073),FIND(" ",TRIM(C1073)&amp;" ")-1),",","."),"."),LEFT(SUBSTITUTE(LEFT(TRIM(C1073),FIND(" ",TRIM(C1073)&amp;" ")-1),",","."),FIND("/",SUBSTITUTE(LEFT(TRIM(C1073),FIND(" ",TRIM(C1073)&amp;" ")-1),",","."))-1)/MID(SUBSTITUTE(LEFT(TRIM(C1073),FIND(" ",TRIM(C1073)&amp;" ")-1),",","."),FIND("/",SUBSTITUTE(LEFT(TRIM(C1073),FIND(" ",TRIM(C1073)&amp;" ")-1),",","."))+1,9))*12/52,IF(ISNUMBER(SEARCH("month",C1073)),IFERROR(_xlfn.NUMBERVALUE(SUBSTITUTE(LEFT(TRIM(C1073),FIND(" ",TRIM(C1073)&amp;" ")-1),",","."),"."),LEFT(SUBSTITUTE(LEFT(TRIM(C1073),FIND(" ",TRIM(C1073)&amp;" ")-1),",","."),FIND("/",SUBSTITUTE(LEFT(TRIM(C1073),FIND(" ",TRIM(C1073)&amp;" ")-1),",","."))-1)/MID(SUBSTITUTE(LEFT(TRIM(C1073),FIND(" ",TRIM(C1073)&amp;" ")-1),",","."),FIND("/",SUBSTITUTE(LEFT(TRIM(C1073),FIND(" ",TRIM(C1073)&amp;" ")-1),",","."))+1,9)),IF(ISNUMBER(SEARCH("yea",C1073)),IFERROR(_xlfn.NUMBERVALUE(SUBSTITUTE(LEFT(TRIM(C1073),FIND(" ",TRIM(C1073)&amp;" ")-1),",","."),"."),LEFT(SUBSTITUTE(LEFT(TRIM(C1073),FIND(" ",TRIM(C1073)&amp;" ")-1),",","."),FIND("/",SUBSTITUTE(LEFT(TRIM(C1073),FIND(" ",TRIM(C1073)&amp;" ")-1),",","."))-1)/MID(SUBSTITUTE(LEFT(TRIM(C1073),FIND(" ",TRIM(C1073)&amp;" ")-1),",","."),FIND("/",SUBSTITUTE(LEFT(TRIM(C1073),FIND(" ",TRIM(C1073)&amp;" ")-1),",","."))+1,9))*12,NA()))),0),36)*'Aturan &amp; Tarif'!$B$4,2)</f>
        <v>2044.08</v>
      </c>
      <c r="K1073" s="42" t="n">
        <f aca="false">'Aturan &amp; Tarif'!$B$5</f>
        <v>2050</v>
      </c>
      <c r="L1073" s="35" t="n">
        <f aca="false">I1073+J1073+K1073</f>
        <v>24552.08</v>
      </c>
      <c r="M1073" s="45" t="s">
        <v>2572</v>
      </c>
    </row>
    <row r="1074" customFormat="false" ht="25.5" hidden="false" customHeight="true" outlineLevel="0" collapsed="false">
      <c r="A1074" s="39"/>
      <c r="B1074" s="40" t="s">
        <v>2584</v>
      </c>
      <c r="C1074" s="41" t="s">
        <v>127</v>
      </c>
      <c r="D1074" s="41" t="s">
        <v>108</v>
      </c>
      <c r="E1074" s="42" t="n">
        <v>10229</v>
      </c>
      <c r="F1074" s="42"/>
      <c r="G1074" s="42"/>
      <c r="H1074" s="43" t="n">
        <v>2</v>
      </c>
      <c r="I1074" s="34" t="n">
        <f aca="false">E1074*H1074+N(F1074)+N(G1074)</f>
        <v>20458</v>
      </c>
      <c r="J1074" s="42" t="n">
        <f aca="false">ROUND(IFERROR(ROUND(IF(OR(ISNUMBER(SEARCH("week",C1074)),ISNUMBER(SEARCH("minggu",C1074))),IFERROR(_xlfn.NUMBERVALUE(SUBSTITUTE(LEFT(TRIM(C1074),FIND(" ",TRIM(C1074)&amp;" ")-1),",","."),"."),LEFT(SUBSTITUTE(LEFT(TRIM(C1074),FIND(" ",TRIM(C1074)&amp;" ")-1),",","."),FIND("/",SUBSTITUTE(LEFT(TRIM(C1074),FIND(" ",TRIM(C1074)&amp;" ")-1),",","."))-1)/MID(SUBSTITUTE(LEFT(TRIM(C1074),FIND(" ",TRIM(C1074)&amp;" ")-1),",","."),FIND("/",SUBSTITUTE(LEFT(TRIM(C1074),FIND(" ",TRIM(C1074)&amp;" ")-1),",","."))+1,9))*12/52,IF(ISNUMBER(SEARCH("month",C1074)),IFERROR(_xlfn.NUMBERVALUE(SUBSTITUTE(LEFT(TRIM(C1074),FIND(" ",TRIM(C1074)&amp;" ")-1),",","."),"."),LEFT(SUBSTITUTE(LEFT(TRIM(C1074),FIND(" ",TRIM(C1074)&amp;" ")-1),",","."),FIND("/",SUBSTITUTE(LEFT(TRIM(C1074),FIND(" ",TRIM(C1074)&amp;" ")-1),",","."))-1)/MID(SUBSTITUTE(LEFT(TRIM(C1074),FIND(" ",TRIM(C1074)&amp;" ")-1),",","."),FIND("/",SUBSTITUTE(LEFT(TRIM(C1074),FIND(" ",TRIM(C1074)&amp;" ")-1),",","."))+1,9)),IF(ISNUMBER(SEARCH("yea",C1074)),IFERROR(_xlfn.NUMBERVALUE(SUBSTITUTE(LEFT(TRIM(C1074),FIND(" ",TRIM(C1074)&amp;" ")-1),",","."),"."),LEFT(SUBSTITUTE(LEFT(TRIM(C1074),FIND(" ",TRIM(C1074)&amp;" ")-1),",","."),FIND("/",SUBSTITUTE(LEFT(TRIM(C1074),FIND(" ",TRIM(C1074)&amp;" ")-1),",","."))-1)/MID(SUBSTITUTE(LEFT(TRIM(C1074),FIND(" ",TRIM(C1074)&amp;" ")-1),",","."),FIND("/",SUBSTITUTE(LEFT(TRIM(C1074),FIND(" ",TRIM(C1074)&amp;" ")-1),",","."))+1,9))*12,NA()))),0),36)*'Aturan &amp; Tarif'!$B$4,2)</f>
        <v>2044.08</v>
      </c>
      <c r="K1074" s="42" t="n">
        <f aca="false">'Aturan &amp; Tarif'!$B$5</f>
        <v>2050</v>
      </c>
      <c r="L1074" s="35" t="n">
        <f aca="false">I1074+J1074+K1074</f>
        <v>24552.08</v>
      </c>
      <c r="M1074" s="45" t="s">
        <v>2572</v>
      </c>
    </row>
    <row r="1075" customFormat="false" ht="25.5" hidden="false" customHeight="true" outlineLevel="0" collapsed="false">
      <c r="A1075" s="39"/>
      <c r="B1075" s="40" t="s">
        <v>2585</v>
      </c>
      <c r="C1075" s="41" t="s">
        <v>191</v>
      </c>
      <c r="D1075" s="41" t="s">
        <v>108</v>
      </c>
      <c r="E1075" s="42" t="n">
        <v>10229</v>
      </c>
      <c r="F1075" s="42"/>
      <c r="G1075" s="42"/>
      <c r="H1075" s="43" t="n">
        <v>2</v>
      </c>
      <c r="I1075" s="34" t="n">
        <f aca="false">E1075*H1075+N(F1075)+N(G1075)</f>
        <v>20458</v>
      </c>
      <c r="J1075" s="42" t="n">
        <f aca="false">ROUND(IFERROR(ROUND(IF(OR(ISNUMBER(SEARCH("week",C1075)),ISNUMBER(SEARCH("minggu",C1075))),IFERROR(_xlfn.NUMBERVALUE(SUBSTITUTE(LEFT(TRIM(C1075),FIND(" ",TRIM(C1075)&amp;" ")-1),",","."),"."),LEFT(SUBSTITUTE(LEFT(TRIM(C1075),FIND(" ",TRIM(C1075)&amp;" ")-1),",","."),FIND("/",SUBSTITUTE(LEFT(TRIM(C1075),FIND(" ",TRIM(C1075)&amp;" ")-1),",","."))-1)/MID(SUBSTITUTE(LEFT(TRIM(C1075),FIND(" ",TRIM(C1075)&amp;" ")-1),",","."),FIND("/",SUBSTITUTE(LEFT(TRIM(C1075),FIND(" ",TRIM(C1075)&amp;" ")-1),",","."))+1,9))*12/52,IF(ISNUMBER(SEARCH("month",C1075)),IFERROR(_xlfn.NUMBERVALUE(SUBSTITUTE(LEFT(TRIM(C1075),FIND(" ",TRIM(C1075)&amp;" ")-1),",","."),"."),LEFT(SUBSTITUTE(LEFT(TRIM(C1075),FIND(" ",TRIM(C1075)&amp;" ")-1),",","."),FIND("/",SUBSTITUTE(LEFT(TRIM(C1075),FIND(" ",TRIM(C1075)&amp;" ")-1),",","."))-1)/MID(SUBSTITUTE(LEFT(TRIM(C1075),FIND(" ",TRIM(C1075)&amp;" ")-1),",","."),FIND("/",SUBSTITUTE(LEFT(TRIM(C1075),FIND(" ",TRIM(C1075)&amp;" ")-1),",","."))+1,9)),IF(ISNUMBER(SEARCH("yea",C1075)),IFERROR(_xlfn.NUMBERVALUE(SUBSTITUTE(LEFT(TRIM(C1075),FIND(" ",TRIM(C1075)&amp;" ")-1),",","."),"."),LEFT(SUBSTITUTE(LEFT(TRIM(C1075),FIND(" ",TRIM(C1075)&amp;" ")-1),",","."),FIND("/",SUBSTITUTE(LEFT(TRIM(C1075),FIND(" ",TRIM(C1075)&amp;" ")-1),",","."))-1)/MID(SUBSTITUTE(LEFT(TRIM(C1075),FIND(" ",TRIM(C1075)&amp;" ")-1),",","."),FIND("/",SUBSTITUTE(LEFT(TRIM(C1075),FIND(" ",TRIM(C1075)&amp;" ")-1),",","."))+1,9))*12,NA()))),0),48)*'Aturan &amp; Tarif'!$B$4,2)</f>
        <v>2725.44</v>
      </c>
      <c r="K1075" s="42" t="n">
        <f aca="false">'Aturan &amp; Tarif'!$B$5</f>
        <v>2050</v>
      </c>
      <c r="L1075" s="35" t="n">
        <f aca="false">I1075+J1075+K1075</f>
        <v>25233.44</v>
      </c>
      <c r="M1075" s="45" t="s">
        <v>2572</v>
      </c>
    </row>
    <row r="1076" customFormat="false" ht="25.5" hidden="false" customHeight="true" outlineLevel="0" collapsed="false">
      <c r="A1076" s="39"/>
      <c r="B1076" s="40" t="s">
        <v>2586</v>
      </c>
      <c r="C1076" s="41" t="s">
        <v>191</v>
      </c>
      <c r="D1076" s="41" t="s">
        <v>108</v>
      </c>
      <c r="E1076" s="42" t="n">
        <v>10229</v>
      </c>
      <c r="F1076" s="42"/>
      <c r="G1076" s="42"/>
      <c r="H1076" s="43" t="n">
        <v>2</v>
      </c>
      <c r="I1076" s="34" t="n">
        <f aca="false">E1076*H1076+N(F1076)+N(G1076)</f>
        <v>20458</v>
      </c>
      <c r="J1076" s="42" t="n">
        <f aca="false">ROUND(IFERROR(ROUND(IF(OR(ISNUMBER(SEARCH("week",C1076)),ISNUMBER(SEARCH("minggu",C1076))),IFERROR(_xlfn.NUMBERVALUE(SUBSTITUTE(LEFT(TRIM(C1076),FIND(" ",TRIM(C1076)&amp;" ")-1),",","."),"."),LEFT(SUBSTITUTE(LEFT(TRIM(C1076),FIND(" ",TRIM(C1076)&amp;" ")-1),",","."),FIND("/",SUBSTITUTE(LEFT(TRIM(C1076),FIND(" ",TRIM(C1076)&amp;" ")-1),",","."))-1)/MID(SUBSTITUTE(LEFT(TRIM(C1076),FIND(" ",TRIM(C1076)&amp;" ")-1),",","."),FIND("/",SUBSTITUTE(LEFT(TRIM(C1076),FIND(" ",TRIM(C1076)&amp;" ")-1),",","."))+1,9))*12/52,IF(ISNUMBER(SEARCH("month",C1076)),IFERROR(_xlfn.NUMBERVALUE(SUBSTITUTE(LEFT(TRIM(C1076),FIND(" ",TRIM(C1076)&amp;" ")-1),",","."),"."),LEFT(SUBSTITUTE(LEFT(TRIM(C1076),FIND(" ",TRIM(C1076)&amp;" ")-1),",","."),FIND("/",SUBSTITUTE(LEFT(TRIM(C1076),FIND(" ",TRIM(C1076)&amp;" ")-1),",","."))-1)/MID(SUBSTITUTE(LEFT(TRIM(C1076),FIND(" ",TRIM(C1076)&amp;" ")-1),",","."),FIND("/",SUBSTITUTE(LEFT(TRIM(C1076),FIND(" ",TRIM(C1076)&amp;" ")-1),",","."))+1,9)),IF(ISNUMBER(SEARCH("yea",C1076)),IFERROR(_xlfn.NUMBERVALUE(SUBSTITUTE(LEFT(TRIM(C1076),FIND(" ",TRIM(C1076)&amp;" ")-1),",","."),"."),LEFT(SUBSTITUTE(LEFT(TRIM(C1076),FIND(" ",TRIM(C1076)&amp;" ")-1),",","."),FIND("/",SUBSTITUTE(LEFT(TRIM(C1076),FIND(" ",TRIM(C1076)&amp;" ")-1),",","."))-1)/MID(SUBSTITUTE(LEFT(TRIM(C1076),FIND(" ",TRIM(C1076)&amp;" ")-1),",","."),FIND("/",SUBSTITUTE(LEFT(TRIM(C1076),FIND(" ",TRIM(C1076)&amp;" ")-1),",","."))+1,9))*12,NA()))),0),48)*'Aturan &amp; Tarif'!$B$4,2)</f>
        <v>2725.44</v>
      </c>
      <c r="K1076" s="42" t="n">
        <f aca="false">'Aturan &amp; Tarif'!$B$5</f>
        <v>2050</v>
      </c>
      <c r="L1076" s="35" t="n">
        <f aca="false">I1076+J1076+K1076</f>
        <v>25233.44</v>
      </c>
      <c r="M1076" s="45" t="s">
        <v>2572</v>
      </c>
    </row>
    <row r="1077" customFormat="false" ht="25.5" hidden="false" customHeight="true" outlineLevel="0" collapsed="false">
      <c r="A1077" s="39"/>
      <c r="B1077" s="40" t="s">
        <v>2587</v>
      </c>
      <c r="C1077" s="41" t="s">
        <v>191</v>
      </c>
      <c r="D1077" s="41" t="s">
        <v>108</v>
      </c>
      <c r="E1077" s="42" t="n">
        <v>10229</v>
      </c>
      <c r="F1077" s="42"/>
      <c r="G1077" s="42"/>
      <c r="H1077" s="43" t="n">
        <v>2</v>
      </c>
      <c r="I1077" s="34" t="n">
        <f aca="false">E1077*H1077+N(F1077)+N(G1077)</f>
        <v>20458</v>
      </c>
      <c r="J1077" s="42" t="n">
        <f aca="false">ROUND(IFERROR(ROUND(IF(OR(ISNUMBER(SEARCH("week",C1077)),ISNUMBER(SEARCH("minggu",C1077))),IFERROR(_xlfn.NUMBERVALUE(SUBSTITUTE(LEFT(TRIM(C1077),FIND(" ",TRIM(C1077)&amp;" ")-1),",","."),"."),LEFT(SUBSTITUTE(LEFT(TRIM(C1077),FIND(" ",TRIM(C1077)&amp;" ")-1),",","."),FIND("/",SUBSTITUTE(LEFT(TRIM(C1077),FIND(" ",TRIM(C1077)&amp;" ")-1),",","."))-1)/MID(SUBSTITUTE(LEFT(TRIM(C1077),FIND(" ",TRIM(C1077)&amp;" ")-1),",","."),FIND("/",SUBSTITUTE(LEFT(TRIM(C1077),FIND(" ",TRIM(C1077)&amp;" ")-1),",","."))+1,9))*12/52,IF(ISNUMBER(SEARCH("month",C1077)),IFERROR(_xlfn.NUMBERVALUE(SUBSTITUTE(LEFT(TRIM(C1077),FIND(" ",TRIM(C1077)&amp;" ")-1),",","."),"."),LEFT(SUBSTITUTE(LEFT(TRIM(C1077),FIND(" ",TRIM(C1077)&amp;" ")-1),",","."),FIND("/",SUBSTITUTE(LEFT(TRIM(C1077),FIND(" ",TRIM(C1077)&amp;" ")-1),",","."))-1)/MID(SUBSTITUTE(LEFT(TRIM(C1077),FIND(" ",TRIM(C1077)&amp;" ")-1),",","."),FIND("/",SUBSTITUTE(LEFT(TRIM(C1077),FIND(" ",TRIM(C1077)&amp;" ")-1),",","."))+1,9)),IF(ISNUMBER(SEARCH("yea",C1077)),IFERROR(_xlfn.NUMBERVALUE(SUBSTITUTE(LEFT(TRIM(C1077),FIND(" ",TRIM(C1077)&amp;" ")-1),",","."),"."),LEFT(SUBSTITUTE(LEFT(TRIM(C1077),FIND(" ",TRIM(C1077)&amp;" ")-1),",","."),FIND("/",SUBSTITUTE(LEFT(TRIM(C1077),FIND(" ",TRIM(C1077)&amp;" ")-1),",","."))-1)/MID(SUBSTITUTE(LEFT(TRIM(C1077),FIND(" ",TRIM(C1077)&amp;" ")-1),",","."),FIND("/",SUBSTITUTE(LEFT(TRIM(C1077),FIND(" ",TRIM(C1077)&amp;" ")-1),",","."))+1,9))*12,NA()))),0),48)*'Aturan &amp; Tarif'!$B$4,2)</f>
        <v>2725.44</v>
      </c>
      <c r="K1077" s="42" t="n">
        <f aca="false">'Aturan &amp; Tarif'!$B$5</f>
        <v>2050</v>
      </c>
      <c r="L1077" s="35" t="n">
        <f aca="false">I1077+J1077+K1077</f>
        <v>25233.44</v>
      </c>
      <c r="M1077" s="45" t="s">
        <v>2572</v>
      </c>
    </row>
    <row r="1078" customFormat="false" ht="25.5" hidden="false" customHeight="true" outlineLevel="0" collapsed="false">
      <c r="A1078" s="39"/>
      <c r="B1078" s="40" t="s">
        <v>2588</v>
      </c>
      <c r="C1078" s="41" t="s">
        <v>127</v>
      </c>
      <c r="D1078" s="41" t="s">
        <v>108</v>
      </c>
      <c r="E1078" s="42" t="n">
        <v>10229</v>
      </c>
      <c r="F1078" s="42"/>
      <c r="G1078" s="42"/>
      <c r="H1078" s="43" t="n">
        <v>2</v>
      </c>
      <c r="I1078" s="34" t="n">
        <f aca="false">E1078*H1078+N(F1078)+N(G1078)</f>
        <v>20458</v>
      </c>
      <c r="J1078" s="42" t="n">
        <f aca="false">ROUND(IFERROR(ROUND(IF(OR(ISNUMBER(SEARCH("week",C1078)),ISNUMBER(SEARCH("minggu",C1078))),IFERROR(_xlfn.NUMBERVALUE(SUBSTITUTE(LEFT(TRIM(C1078),FIND(" ",TRIM(C1078)&amp;" ")-1),",","."),"."),LEFT(SUBSTITUTE(LEFT(TRIM(C1078),FIND(" ",TRIM(C1078)&amp;" ")-1),",","."),FIND("/",SUBSTITUTE(LEFT(TRIM(C1078),FIND(" ",TRIM(C1078)&amp;" ")-1),",","."))-1)/MID(SUBSTITUTE(LEFT(TRIM(C1078),FIND(" ",TRIM(C1078)&amp;" ")-1),",","."),FIND("/",SUBSTITUTE(LEFT(TRIM(C1078),FIND(" ",TRIM(C1078)&amp;" ")-1),",","."))+1,9))*12/52,IF(ISNUMBER(SEARCH("month",C1078)),IFERROR(_xlfn.NUMBERVALUE(SUBSTITUTE(LEFT(TRIM(C1078),FIND(" ",TRIM(C1078)&amp;" ")-1),",","."),"."),LEFT(SUBSTITUTE(LEFT(TRIM(C1078),FIND(" ",TRIM(C1078)&amp;" ")-1),",","."),FIND("/",SUBSTITUTE(LEFT(TRIM(C1078),FIND(" ",TRIM(C1078)&amp;" ")-1),",","."))-1)/MID(SUBSTITUTE(LEFT(TRIM(C1078),FIND(" ",TRIM(C1078)&amp;" ")-1),",","."),FIND("/",SUBSTITUTE(LEFT(TRIM(C1078),FIND(" ",TRIM(C1078)&amp;" ")-1),",","."))+1,9)),IF(ISNUMBER(SEARCH("yea",C1078)),IFERROR(_xlfn.NUMBERVALUE(SUBSTITUTE(LEFT(TRIM(C1078),FIND(" ",TRIM(C1078)&amp;" ")-1),",","."),"."),LEFT(SUBSTITUTE(LEFT(TRIM(C1078),FIND(" ",TRIM(C1078)&amp;" ")-1),",","."),FIND("/",SUBSTITUTE(LEFT(TRIM(C1078),FIND(" ",TRIM(C1078)&amp;" ")-1),",","."))-1)/MID(SUBSTITUTE(LEFT(TRIM(C1078),FIND(" ",TRIM(C1078)&amp;" ")-1),",","."),FIND("/",SUBSTITUTE(LEFT(TRIM(C1078),FIND(" ",TRIM(C1078)&amp;" ")-1),",","."))+1,9))*12,NA()))),0),36)*'Aturan &amp; Tarif'!$B$4,2)</f>
        <v>2044.08</v>
      </c>
      <c r="K1078" s="42" t="n">
        <f aca="false">'Aturan &amp; Tarif'!$B$5</f>
        <v>2050</v>
      </c>
      <c r="L1078" s="35" t="n">
        <f aca="false">I1078+J1078+K1078</f>
        <v>24552.08</v>
      </c>
      <c r="M1078" s="45" t="s">
        <v>2572</v>
      </c>
    </row>
    <row r="1079" customFormat="false" ht="25.5" hidden="false" customHeight="true" outlineLevel="0" collapsed="false">
      <c r="A1079" s="39"/>
      <c r="B1079" s="40" t="s">
        <v>3281</v>
      </c>
      <c r="C1079" s="41" t="s">
        <v>127</v>
      </c>
      <c r="D1079" s="41" t="s">
        <v>108</v>
      </c>
      <c r="E1079" s="42" t="n">
        <v>9560</v>
      </c>
      <c r="F1079" s="42"/>
      <c r="G1079" s="42"/>
      <c r="H1079" s="43" t="n">
        <v>2</v>
      </c>
      <c r="I1079" s="34" t="n">
        <f aca="false">E1079*H1079+N(F1079)+N(G1079)</f>
        <v>19120</v>
      </c>
      <c r="J1079" s="42" t="n">
        <f aca="false">ROUND(IFERROR(ROUND(IF(OR(ISNUMBER(SEARCH("week",C1079)),ISNUMBER(SEARCH("minggu",C1079))),IFERROR(_xlfn.NUMBERVALUE(SUBSTITUTE(LEFT(TRIM(C1079),FIND(" ",TRIM(C1079)&amp;" ")-1),",","."),"."),LEFT(SUBSTITUTE(LEFT(TRIM(C1079),FIND(" ",TRIM(C1079)&amp;" ")-1),",","."),FIND("/",SUBSTITUTE(LEFT(TRIM(C1079),FIND(" ",TRIM(C1079)&amp;" ")-1),",","."))-1)/MID(SUBSTITUTE(LEFT(TRIM(C1079),FIND(" ",TRIM(C1079)&amp;" ")-1),",","."),FIND("/",SUBSTITUTE(LEFT(TRIM(C1079),FIND(" ",TRIM(C1079)&amp;" ")-1),",","."))+1,9))*12/52,IF(ISNUMBER(SEARCH("month",C1079)),IFERROR(_xlfn.NUMBERVALUE(SUBSTITUTE(LEFT(TRIM(C1079),FIND(" ",TRIM(C1079)&amp;" ")-1),",","."),"."),LEFT(SUBSTITUTE(LEFT(TRIM(C1079),FIND(" ",TRIM(C1079)&amp;" ")-1),",","."),FIND("/",SUBSTITUTE(LEFT(TRIM(C1079),FIND(" ",TRIM(C1079)&amp;" ")-1),",","."))-1)/MID(SUBSTITUTE(LEFT(TRIM(C1079),FIND(" ",TRIM(C1079)&amp;" ")-1),",","."),FIND("/",SUBSTITUTE(LEFT(TRIM(C1079),FIND(" ",TRIM(C1079)&amp;" ")-1),",","."))+1,9)),IF(ISNUMBER(SEARCH("yea",C1079)),IFERROR(_xlfn.NUMBERVALUE(SUBSTITUTE(LEFT(TRIM(C1079),FIND(" ",TRIM(C1079)&amp;" ")-1),",","."),"."),LEFT(SUBSTITUTE(LEFT(TRIM(C1079),FIND(" ",TRIM(C1079)&amp;" ")-1),",","."),FIND("/",SUBSTITUTE(LEFT(TRIM(C1079),FIND(" ",TRIM(C1079)&amp;" ")-1),",","."))-1)/MID(SUBSTITUTE(LEFT(TRIM(C1079),FIND(" ",TRIM(C1079)&amp;" ")-1),",","."),FIND("/",SUBSTITUTE(LEFT(TRIM(C1079),FIND(" ",TRIM(C1079)&amp;" ")-1),",","."))+1,9))*12,NA()))),0),36)*'Aturan &amp; Tarif'!$B$4,2)</f>
        <v>2044.08</v>
      </c>
      <c r="K1079" s="42" t="n">
        <f aca="false">'Aturan &amp; Tarif'!$B$5</f>
        <v>2050</v>
      </c>
      <c r="L1079" s="35" t="n">
        <f aca="false">I1079+J1079+K1079</f>
        <v>23214.08</v>
      </c>
      <c r="M1079" s="45" t="s">
        <v>2572</v>
      </c>
    </row>
    <row r="1080" customFormat="false" ht="25.5" hidden="false" customHeight="true" outlineLevel="0" collapsed="false">
      <c r="A1080" s="39"/>
      <c r="B1080" s="40" t="s">
        <v>3282</v>
      </c>
      <c r="C1080" s="41" t="s">
        <v>127</v>
      </c>
      <c r="D1080" s="41" t="s">
        <v>108</v>
      </c>
      <c r="E1080" s="42" t="n">
        <v>9560</v>
      </c>
      <c r="F1080" s="42"/>
      <c r="G1080" s="42"/>
      <c r="H1080" s="43" t="n">
        <v>2</v>
      </c>
      <c r="I1080" s="34" t="n">
        <f aca="false">E1080*H1080+N(F1080)+N(G1080)</f>
        <v>19120</v>
      </c>
      <c r="J1080" s="42" t="n">
        <f aca="false">ROUND(IFERROR(ROUND(IF(OR(ISNUMBER(SEARCH("week",C1080)),ISNUMBER(SEARCH("minggu",C1080))),IFERROR(_xlfn.NUMBERVALUE(SUBSTITUTE(LEFT(TRIM(C1080),FIND(" ",TRIM(C1080)&amp;" ")-1),",","."),"."),LEFT(SUBSTITUTE(LEFT(TRIM(C1080),FIND(" ",TRIM(C1080)&amp;" ")-1),",","."),FIND("/",SUBSTITUTE(LEFT(TRIM(C1080),FIND(" ",TRIM(C1080)&amp;" ")-1),",","."))-1)/MID(SUBSTITUTE(LEFT(TRIM(C1080),FIND(" ",TRIM(C1080)&amp;" ")-1),",","."),FIND("/",SUBSTITUTE(LEFT(TRIM(C1080),FIND(" ",TRIM(C1080)&amp;" ")-1),",","."))+1,9))*12/52,IF(ISNUMBER(SEARCH("month",C1080)),IFERROR(_xlfn.NUMBERVALUE(SUBSTITUTE(LEFT(TRIM(C1080),FIND(" ",TRIM(C1080)&amp;" ")-1),",","."),"."),LEFT(SUBSTITUTE(LEFT(TRIM(C1080),FIND(" ",TRIM(C1080)&amp;" ")-1),",","."),FIND("/",SUBSTITUTE(LEFT(TRIM(C1080),FIND(" ",TRIM(C1080)&amp;" ")-1),",","."))-1)/MID(SUBSTITUTE(LEFT(TRIM(C1080),FIND(" ",TRIM(C1080)&amp;" ")-1),",","."),FIND("/",SUBSTITUTE(LEFT(TRIM(C1080),FIND(" ",TRIM(C1080)&amp;" ")-1),",","."))+1,9)),IF(ISNUMBER(SEARCH("yea",C1080)),IFERROR(_xlfn.NUMBERVALUE(SUBSTITUTE(LEFT(TRIM(C1080),FIND(" ",TRIM(C1080)&amp;" ")-1),",","."),"."),LEFT(SUBSTITUTE(LEFT(TRIM(C1080),FIND(" ",TRIM(C1080)&amp;" ")-1),",","."),FIND("/",SUBSTITUTE(LEFT(TRIM(C1080),FIND(" ",TRIM(C1080)&amp;" ")-1),",","."))-1)/MID(SUBSTITUTE(LEFT(TRIM(C1080),FIND(" ",TRIM(C1080)&amp;" ")-1),",","."),FIND("/",SUBSTITUTE(LEFT(TRIM(C1080),FIND(" ",TRIM(C1080)&amp;" ")-1),",","."))+1,9))*12,NA()))),0),36)*'Aturan &amp; Tarif'!$B$4,2)</f>
        <v>2044.08</v>
      </c>
      <c r="K1080" s="42" t="n">
        <f aca="false">'Aturan &amp; Tarif'!$B$5</f>
        <v>2050</v>
      </c>
      <c r="L1080" s="35" t="n">
        <f aca="false">I1080+J1080+K1080</f>
        <v>23214.08</v>
      </c>
      <c r="M1080" s="45" t="s">
        <v>2591</v>
      </c>
    </row>
    <row r="1081" customFormat="false" ht="25.5" hidden="false" customHeight="true" outlineLevel="0" collapsed="false">
      <c r="A1081" s="39"/>
      <c r="B1081" s="40" t="s">
        <v>2592</v>
      </c>
      <c r="C1081" s="41" t="s">
        <v>127</v>
      </c>
      <c r="D1081" s="41" t="s">
        <v>108</v>
      </c>
      <c r="E1081" s="42" t="n">
        <v>9560</v>
      </c>
      <c r="F1081" s="42"/>
      <c r="G1081" s="42"/>
      <c r="H1081" s="43" t="n">
        <v>2</v>
      </c>
      <c r="I1081" s="34" t="n">
        <f aca="false">E1081*H1081+N(F1081)+N(G1081)</f>
        <v>19120</v>
      </c>
      <c r="J1081" s="42" t="n">
        <f aca="false">ROUND(IFERROR(ROUND(IF(OR(ISNUMBER(SEARCH("week",C1081)),ISNUMBER(SEARCH("minggu",C1081))),IFERROR(_xlfn.NUMBERVALUE(SUBSTITUTE(LEFT(TRIM(C1081),FIND(" ",TRIM(C1081)&amp;" ")-1),",","."),"."),LEFT(SUBSTITUTE(LEFT(TRIM(C1081),FIND(" ",TRIM(C1081)&amp;" ")-1),",","."),FIND("/",SUBSTITUTE(LEFT(TRIM(C1081),FIND(" ",TRIM(C1081)&amp;" ")-1),",","."))-1)/MID(SUBSTITUTE(LEFT(TRIM(C1081),FIND(" ",TRIM(C1081)&amp;" ")-1),",","."),FIND("/",SUBSTITUTE(LEFT(TRIM(C1081),FIND(" ",TRIM(C1081)&amp;" ")-1),",","."))+1,9))*12/52,IF(ISNUMBER(SEARCH("month",C1081)),IFERROR(_xlfn.NUMBERVALUE(SUBSTITUTE(LEFT(TRIM(C1081),FIND(" ",TRIM(C1081)&amp;" ")-1),",","."),"."),LEFT(SUBSTITUTE(LEFT(TRIM(C1081),FIND(" ",TRIM(C1081)&amp;" ")-1),",","."),FIND("/",SUBSTITUTE(LEFT(TRIM(C1081),FIND(" ",TRIM(C1081)&amp;" ")-1),",","."))-1)/MID(SUBSTITUTE(LEFT(TRIM(C1081),FIND(" ",TRIM(C1081)&amp;" ")-1),",","."),FIND("/",SUBSTITUTE(LEFT(TRIM(C1081),FIND(" ",TRIM(C1081)&amp;" ")-1),",","."))+1,9)),IF(ISNUMBER(SEARCH("yea",C1081)),IFERROR(_xlfn.NUMBERVALUE(SUBSTITUTE(LEFT(TRIM(C1081),FIND(" ",TRIM(C1081)&amp;" ")-1),",","."),"."),LEFT(SUBSTITUTE(LEFT(TRIM(C1081),FIND(" ",TRIM(C1081)&amp;" ")-1),",","."),FIND("/",SUBSTITUTE(LEFT(TRIM(C1081),FIND(" ",TRIM(C1081)&amp;" ")-1),",","."))-1)/MID(SUBSTITUTE(LEFT(TRIM(C1081),FIND(" ",TRIM(C1081)&amp;" ")-1),",","."),FIND("/",SUBSTITUTE(LEFT(TRIM(C1081),FIND(" ",TRIM(C1081)&amp;" ")-1),",","."))+1,9))*12,NA()))),0),36)*'Aturan &amp; Tarif'!$B$4,2)</f>
        <v>2044.08</v>
      </c>
      <c r="K1081" s="42" t="n">
        <f aca="false">'Aturan &amp; Tarif'!$B$5</f>
        <v>2050</v>
      </c>
      <c r="L1081" s="35" t="n">
        <f aca="false">I1081+J1081+K1081</f>
        <v>23214.08</v>
      </c>
      <c r="M1081" s="45" t="s">
        <v>2572</v>
      </c>
    </row>
    <row r="1082" customFormat="false" ht="25.5" hidden="false" customHeight="true" outlineLevel="0" collapsed="false">
      <c r="A1082" s="39"/>
      <c r="B1082" s="40" t="s">
        <v>2593</v>
      </c>
      <c r="C1082" s="41" t="s">
        <v>127</v>
      </c>
      <c r="D1082" s="41" t="s">
        <v>108</v>
      </c>
      <c r="E1082" s="42" t="n">
        <v>10032</v>
      </c>
      <c r="F1082" s="42"/>
      <c r="G1082" s="42"/>
      <c r="H1082" s="43" t="n">
        <v>2</v>
      </c>
      <c r="I1082" s="34" t="n">
        <f aca="false">E1082*H1082+N(F1082)+N(G1082)</f>
        <v>20064</v>
      </c>
      <c r="J1082" s="42" t="n">
        <f aca="false">ROUND(IFERROR(ROUND(IF(OR(ISNUMBER(SEARCH("week",C1082)),ISNUMBER(SEARCH("minggu",C1082))),IFERROR(_xlfn.NUMBERVALUE(SUBSTITUTE(LEFT(TRIM(C1082),FIND(" ",TRIM(C1082)&amp;" ")-1),",","."),"."),LEFT(SUBSTITUTE(LEFT(TRIM(C1082),FIND(" ",TRIM(C1082)&amp;" ")-1),",","."),FIND("/",SUBSTITUTE(LEFT(TRIM(C1082),FIND(" ",TRIM(C1082)&amp;" ")-1),",","."))-1)/MID(SUBSTITUTE(LEFT(TRIM(C1082),FIND(" ",TRIM(C1082)&amp;" ")-1),",","."),FIND("/",SUBSTITUTE(LEFT(TRIM(C1082),FIND(" ",TRIM(C1082)&amp;" ")-1),",","."))+1,9))*12/52,IF(ISNUMBER(SEARCH("month",C1082)),IFERROR(_xlfn.NUMBERVALUE(SUBSTITUTE(LEFT(TRIM(C1082),FIND(" ",TRIM(C1082)&amp;" ")-1),",","."),"."),LEFT(SUBSTITUTE(LEFT(TRIM(C1082),FIND(" ",TRIM(C1082)&amp;" ")-1),",","."),FIND("/",SUBSTITUTE(LEFT(TRIM(C1082),FIND(" ",TRIM(C1082)&amp;" ")-1),",","."))-1)/MID(SUBSTITUTE(LEFT(TRIM(C1082),FIND(" ",TRIM(C1082)&amp;" ")-1),",","."),FIND("/",SUBSTITUTE(LEFT(TRIM(C1082),FIND(" ",TRIM(C1082)&amp;" ")-1),",","."))+1,9)),IF(ISNUMBER(SEARCH("yea",C1082)),IFERROR(_xlfn.NUMBERVALUE(SUBSTITUTE(LEFT(TRIM(C1082),FIND(" ",TRIM(C1082)&amp;" ")-1),",","."),"."),LEFT(SUBSTITUTE(LEFT(TRIM(C1082),FIND(" ",TRIM(C1082)&amp;" ")-1),",","."),FIND("/",SUBSTITUTE(LEFT(TRIM(C1082),FIND(" ",TRIM(C1082)&amp;" ")-1),",","."))-1)/MID(SUBSTITUTE(LEFT(TRIM(C1082),FIND(" ",TRIM(C1082)&amp;" ")-1),",","."),FIND("/",SUBSTITUTE(LEFT(TRIM(C1082),FIND(" ",TRIM(C1082)&amp;" ")-1),",","."))+1,9))*12,NA()))),0),36)*'Aturan &amp; Tarif'!$B$4,2)</f>
        <v>2044.08</v>
      </c>
      <c r="K1082" s="42" t="n">
        <f aca="false">'Aturan &amp; Tarif'!$B$5</f>
        <v>2050</v>
      </c>
      <c r="L1082" s="35" t="n">
        <f aca="false">I1082+J1082+K1082</f>
        <v>24158.08</v>
      </c>
      <c r="M1082" s="45" t="s">
        <v>2572</v>
      </c>
    </row>
    <row r="1083" customFormat="false" ht="25.5" hidden="false" customHeight="true" outlineLevel="0" collapsed="false">
      <c r="A1083" s="39"/>
      <c r="B1083" s="40" t="s">
        <v>2594</v>
      </c>
      <c r="C1083" s="41" t="s">
        <v>127</v>
      </c>
      <c r="D1083" s="41" t="s">
        <v>108</v>
      </c>
      <c r="E1083" s="42" t="n">
        <v>10032</v>
      </c>
      <c r="F1083" s="42"/>
      <c r="G1083" s="42"/>
      <c r="H1083" s="43" t="n">
        <v>2</v>
      </c>
      <c r="I1083" s="34" t="n">
        <f aca="false">E1083*H1083+N(F1083)+N(G1083)</f>
        <v>20064</v>
      </c>
      <c r="J1083" s="42" t="n">
        <f aca="false">ROUND(IFERROR(ROUND(IF(OR(ISNUMBER(SEARCH("week",C1083)),ISNUMBER(SEARCH("minggu",C1083))),IFERROR(_xlfn.NUMBERVALUE(SUBSTITUTE(LEFT(TRIM(C1083),FIND(" ",TRIM(C1083)&amp;" ")-1),",","."),"."),LEFT(SUBSTITUTE(LEFT(TRIM(C1083),FIND(" ",TRIM(C1083)&amp;" ")-1),",","."),FIND("/",SUBSTITUTE(LEFT(TRIM(C1083),FIND(" ",TRIM(C1083)&amp;" ")-1),",","."))-1)/MID(SUBSTITUTE(LEFT(TRIM(C1083),FIND(" ",TRIM(C1083)&amp;" ")-1),",","."),FIND("/",SUBSTITUTE(LEFT(TRIM(C1083),FIND(" ",TRIM(C1083)&amp;" ")-1),",","."))+1,9))*12/52,IF(ISNUMBER(SEARCH("month",C1083)),IFERROR(_xlfn.NUMBERVALUE(SUBSTITUTE(LEFT(TRIM(C1083),FIND(" ",TRIM(C1083)&amp;" ")-1),",","."),"."),LEFT(SUBSTITUTE(LEFT(TRIM(C1083),FIND(" ",TRIM(C1083)&amp;" ")-1),",","."),FIND("/",SUBSTITUTE(LEFT(TRIM(C1083),FIND(" ",TRIM(C1083)&amp;" ")-1),",","."))-1)/MID(SUBSTITUTE(LEFT(TRIM(C1083),FIND(" ",TRIM(C1083)&amp;" ")-1),",","."),FIND("/",SUBSTITUTE(LEFT(TRIM(C1083),FIND(" ",TRIM(C1083)&amp;" ")-1),",","."))+1,9)),IF(ISNUMBER(SEARCH("yea",C1083)),IFERROR(_xlfn.NUMBERVALUE(SUBSTITUTE(LEFT(TRIM(C1083),FIND(" ",TRIM(C1083)&amp;" ")-1),",","."),"."),LEFT(SUBSTITUTE(LEFT(TRIM(C1083),FIND(" ",TRIM(C1083)&amp;" ")-1),",","."),FIND("/",SUBSTITUTE(LEFT(TRIM(C1083),FIND(" ",TRIM(C1083)&amp;" ")-1),",","."))-1)/MID(SUBSTITUTE(LEFT(TRIM(C1083),FIND(" ",TRIM(C1083)&amp;" ")-1),",","."),FIND("/",SUBSTITUTE(LEFT(TRIM(C1083),FIND(" ",TRIM(C1083)&amp;" ")-1),",","."))+1,9))*12,NA()))),0),36)*'Aturan &amp; Tarif'!$B$4,2)</f>
        <v>2044.08</v>
      </c>
      <c r="K1083" s="42" t="n">
        <f aca="false">'Aturan &amp; Tarif'!$B$5</f>
        <v>2050</v>
      </c>
      <c r="L1083" s="35" t="n">
        <f aca="false">I1083+J1083+K1083</f>
        <v>24158.08</v>
      </c>
      <c r="M1083" s="45" t="s">
        <v>2572</v>
      </c>
    </row>
    <row r="1084" customFormat="false" ht="25.5" hidden="false" customHeight="true" outlineLevel="0" collapsed="false">
      <c r="A1084" s="39"/>
      <c r="B1084" s="40" t="s">
        <v>2595</v>
      </c>
      <c r="C1084" s="41" t="s">
        <v>127</v>
      </c>
      <c r="D1084" s="41" t="s">
        <v>108</v>
      </c>
      <c r="E1084" s="42" t="n">
        <v>9560</v>
      </c>
      <c r="F1084" s="42"/>
      <c r="G1084" s="42"/>
      <c r="H1084" s="43" t="n">
        <v>2</v>
      </c>
      <c r="I1084" s="34" t="n">
        <f aca="false">E1084*H1084+N(F1084)+N(G1084)</f>
        <v>19120</v>
      </c>
      <c r="J1084" s="42" t="n">
        <f aca="false">ROUND(IFERROR(ROUND(IF(OR(ISNUMBER(SEARCH("week",C1084)),ISNUMBER(SEARCH("minggu",C1084))),IFERROR(_xlfn.NUMBERVALUE(SUBSTITUTE(LEFT(TRIM(C1084),FIND(" ",TRIM(C1084)&amp;" ")-1),",","."),"."),LEFT(SUBSTITUTE(LEFT(TRIM(C1084),FIND(" ",TRIM(C1084)&amp;" ")-1),",","."),FIND("/",SUBSTITUTE(LEFT(TRIM(C1084),FIND(" ",TRIM(C1084)&amp;" ")-1),",","."))-1)/MID(SUBSTITUTE(LEFT(TRIM(C1084),FIND(" ",TRIM(C1084)&amp;" ")-1),",","."),FIND("/",SUBSTITUTE(LEFT(TRIM(C1084),FIND(" ",TRIM(C1084)&amp;" ")-1),",","."))+1,9))*12/52,IF(ISNUMBER(SEARCH("month",C1084)),IFERROR(_xlfn.NUMBERVALUE(SUBSTITUTE(LEFT(TRIM(C1084),FIND(" ",TRIM(C1084)&amp;" ")-1),",","."),"."),LEFT(SUBSTITUTE(LEFT(TRIM(C1084),FIND(" ",TRIM(C1084)&amp;" ")-1),",","."),FIND("/",SUBSTITUTE(LEFT(TRIM(C1084),FIND(" ",TRIM(C1084)&amp;" ")-1),",","."))-1)/MID(SUBSTITUTE(LEFT(TRIM(C1084),FIND(" ",TRIM(C1084)&amp;" ")-1),",","."),FIND("/",SUBSTITUTE(LEFT(TRIM(C1084),FIND(" ",TRIM(C1084)&amp;" ")-1),",","."))+1,9)),IF(ISNUMBER(SEARCH("yea",C1084)),IFERROR(_xlfn.NUMBERVALUE(SUBSTITUTE(LEFT(TRIM(C1084),FIND(" ",TRIM(C1084)&amp;" ")-1),",","."),"."),LEFT(SUBSTITUTE(LEFT(TRIM(C1084),FIND(" ",TRIM(C1084)&amp;" ")-1),",","."),FIND("/",SUBSTITUTE(LEFT(TRIM(C1084),FIND(" ",TRIM(C1084)&amp;" ")-1),",","."))-1)/MID(SUBSTITUTE(LEFT(TRIM(C1084),FIND(" ",TRIM(C1084)&amp;" ")-1),",","."),FIND("/",SUBSTITUTE(LEFT(TRIM(C1084),FIND(" ",TRIM(C1084)&amp;" ")-1),",","."))+1,9))*12,NA()))),0),36)*'Aturan &amp; Tarif'!$B$4,2)</f>
        <v>2044.08</v>
      </c>
      <c r="K1084" s="42" t="n">
        <f aca="false">'Aturan &amp; Tarif'!$B$5</f>
        <v>2050</v>
      </c>
      <c r="L1084" s="35" t="n">
        <f aca="false">I1084+J1084+K1084</f>
        <v>23214.08</v>
      </c>
      <c r="M1084" s="45" t="s">
        <v>2572</v>
      </c>
    </row>
    <row r="1085" customFormat="false" ht="25.5" hidden="false" customHeight="true" outlineLevel="0" collapsed="false">
      <c r="A1085" s="39"/>
      <c r="B1085" s="40" t="s">
        <v>2596</v>
      </c>
      <c r="C1085" s="41" t="s">
        <v>127</v>
      </c>
      <c r="D1085" s="41" t="s">
        <v>108</v>
      </c>
      <c r="E1085" s="42" t="n">
        <v>8694</v>
      </c>
      <c r="F1085" s="42"/>
      <c r="G1085" s="42"/>
      <c r="H1085" s="43" t="n">
        <v>2</v>
      </c>
      <c r="I1085" s="34" t="n">
        <f aca="false">E1085*H1085+N(F1085)+N(G1085)</f>
        <v>17388</v>
      </c>
      <c r="J1085" s="42" t="n">
        <f aca="false">ROUND(IFERROR(ROUND(IF(OR(ISNUMBER(SEARCH("week",C1085)),ISNUMBER(SEARCH("minggu",C1085))),IFERROR(_xlfn.NUMBERVALUE(SUBSTITUTE(LEFT(TRIM(C1085),FIND(" ",TRIM(C1085)&amp;" ")-1),",","."),"."),LEFT(SUBSTITUTE(LEFT(TRIM(C1085),FIND(" ",TRIM(C1085)&amp;" ")-1),",","."),FIND("/",SUBSTITUTE(LEFT(TRIM(C1085),FIND(" ",TRIM(C1085)&amp;" ")-1),",","."))-1)/MID(SUBSTITUTE(LEFT(TRIM(C1085),FIND(" ",TRIM(C1085)&amp;" ")-1),",","."),FIND("/",SUBSTITUTE(LEFT(TRIM(C1085),FIND(" ",TRIM(C1085)&amp;" ")-1),",","."))+1,9))*12/52,IF(ISNUMBER(SEARCH("month",C1085)),IFERROR(_xlfn.NUMBERVALUE(SUBSTITUTE(LEFT(TRIM(C1085),FIND(" ",TRIM(C1085)&amp;" ")-1),",","."),"."),LEFT(SUBSTITUTE(LEFT(TRIM(C1085),FIND(" ",TRIM(C1085)&amp;" ")-1),",","."),FIND("/",SUBSTITUTE(LEFT(TRIM(C1085),FIND(" ",TRIM(C1085)&amp;" ")-1),",","."))-1)/MID(SUBSTITUTE(LEFT(TRIM(C1085),FIND(" ",TRIM(C1085)&amp;" ")-1),",","."),FIND("/",SUBSTITUTE(LEFT(TRIM(C1085),FIND(" ",TRIM(C1085)&amp;" ")-1),",","."))+1,9)),IF(ISNUMBER(SEARCH("yea",C1085)),IFERROR(_xlfn.NUMBERVALUE(SUBSTITUTE(LEFT(TRIM(C1085),FIND(" ",TRIM(C1085)&amp;" ")-1),",","."),"."),LEFT(SUBSTITUTE(LEFT(TRIM(C1085),FIND(" ",TRIM(C1085)&amp;" ")-1),",","."),FIND("/",SUBSTITUTE(LEFT(TRIM(C1085),FIND(" ",TRIM(C1085)&amp;" ")-1),",","."))-1)/MID(SUBSTITUTE(LEFT(TRIM(C1085),FIND(" ",TRIM(C1085)&amp;" ")-1),",","."),FIND("/",SUBSTITUTE(LEFT(TRIM(C1085),FIND(" ",TRIM(C1085)&amp;" ")-1),",","."))+1,9))*12,NA()))),0),36)*'Aturan &amp; Tarif'!$B$4,2)</f>
        <v>2044.08</v>
      </c>
      <c r="K1085" s="42" t="n">
        <f aca="false">'Aturan &amp; Tarif'!$B$5</f>
        <v>2050</v>
      </c>
      <c r="L1085" s="35" t="n">
        <f aca="false">I1085+J1085+K1085</f>
        <v>21482.08</v>
      </c>
      <c r="M1085" s="45" t="s">
        <v>2572</v>
      </c>
    </row>
    <row r="1086" customFormat="false" ht="25.5" hidden="false" customHeight="true" outlineLevel="0" collapsed="false">
      <c r="A1086" s="39"/>
      <c r="B1086" s="40" t="s">
        <v>2597</v>
      </c>
      <c r="C1086" s="41" t="s">
        <v>127</v>
      </c>
      <c r="D1086" s="41" t="s">
        <v>108</v>
      </c>
      <c r="E1086" s="42" t="n">
        <v>10530</v>
      </c>
      <c r="F1086" s="42"/>
      <c r="G1086" s="42"/>
      <c r="H1086" s="43" t="n">
        <v>2</v>
      </c>
      <c r="I1086" s="34" t="n">
        <f aca="false">E1086*H1086+N(F1086)+N(G1086)</f>
        <v>21060</v>
      </c>
      <c r="J1086" s="42" t="n">
        <f aca="false">ROUND(IFERROR(ROUND(IF(OR(ISNUMBER(SEARCH("week",C1086)),ISNUMBER(SEARCH("minggu",C1086))),IFERROR(_xlfn.NUMBERVALUE(SUBSTITUTE(LEFT(TRIM(C1086),FIND(" ",TRIM(C1086)&amp;" ")-1),",","."),"."),LEFT(SUBSTITUTE(LEFT(TRIM(C1086),FIND(" ",TRIM(C1086)&amp;" ")-1),",","."),FIND("/",SUBSTITUTE(LEFT(TRIM(C1086),FIND(" ",TRIM(C1086)&amp;" ")-1),",","."))-1)/MID(SUBSTITUTE(LEFT(TRIM(C1086),FIND(" ",TRIM(C1086)&amp;" ")-1),",","."),FIND("/",SUBSTITUTE(LEFT(TRIM(C1086),FIND(" ",TRIM(C1086)&amp;" ")-1),",","."))+1,9))*12/52,IF(ISNUMBER(SEARCH("month",C1086)),IFERROR(_xlfn.NUMBERVALUE(SUBSTITUTE(LEFT(TRIM(C1086),FIND(" ",TRIM(C1086)&amp;" ")-1),",","."),"."),LEFT(SUBSTITUTE(LEFT(TRIM(C1086),FIND(" ",TRIM(C1086)&amp;" ")-1),",","."),FIND("/",SUBSTITUTE(LEFT(TRIM(C1086),FIND(" ",TRIM(C1086)&amp;" ")-1),",","."))-1)/MID(SUBSTITUTE(LEFT(TRIM(C1086),FIND(" ",TRIM(C1086)&amp;" ")-1),",","."),FIND("/",SUBSTITUTE(LEFT(TRIM(C1086),FIND(" ",TRIM(C1086)&amp;" ")-1),",","."))+1,9)),IF(ISNUMBER(SEARCH("yea",C1086)),IFERROR(_xlfn.NUMBERVALUE(SUBSTITUTE(LEFT(TRIM(C1086),FIND(" ",TRIM(C1086)&amp;" ")-1),",","."),"."),LEFT(SUBSTITUTE(LEFT(TRIM(C1086),FIND(" ",TRIM(C1086)&amp;" ")-1),",","."),FIND("/",SUBSTITUTE(LEFT(TRIM(C1086),FIND(" ",TRIM(C1086)&amp;" ")-1),",","."))-1)/MID(SUBSTITUTE(LEFT(TRIM(C1086),FIND(" ",TRIM(C1086)&amp;" ")-1),",","."),FIND("/",SUBSTITUTE(LEFT(TRIM(C1086),FIND(" ",TRIM(C1086)&amp;" ")-1),",","."))+1,9))*12,NA()))),0),36)*'Aturan &amp; Tarif'!$B$4,2)</f>
        <v>2044.08</v>
      </c>
      <c r="K1086" s="42" t="n">
        <f aca="false">'Aturan &amp; Tarif'!$B$5</f>
        <v>2050</v>
      </c>
      <c r="L1086" s="35" t="n">
        <f aca="false">I1086+J1086+K1086</f>
        <v>25154.08</v>
      </c>
      <c r="M1086" s="45" t="s">
        <v>2572</v>
      </c>
    </row>
    <row r="1087" customFormat="false" ht="25.5" hidden="false" customHeight="true" outlineLevel="0" collapsed="false">
      <c r="A1087" s="39"/>
      <c r="B1087" s="40" t="s">
        <v>2598</v>
      </c>
      <c r="C1087" s="41" t="s">
        <v>127</v>
      </c>
      <c r="D1087" s="41" t="s">
        <v>108</v>
      </c>
      <c r="E1087" s="42" t="n">
        <v>8694</v>
      </c>
      <c r="F1087" s="42"/>
      <c r="G1087" s="42"/>
      <c r="H1087" s="43" t="n">
        <v>2</v>
      </c>
      <c r="I1087" s="34" t="n">
        <f aca="false">E1087*H1087+N(F1087)+N(G1087)</f>
        <v>17388</v>
      </c>
      <c r="J1087" s="42" t="n">
        <f aca="false">ROUND(IFERROR(ROUND(IF(OR(ISNUMBER(SEARCH("week",C1087)),ISNUMBER(SEARCH("minggu",C1087))),IFERROR(_xlfn.NUMBERVALUE(SUBSTITUTE(LEFT(TRIM(C1087),FIND(" ",TRIM(C1087)&amp;" ")-1),",","."),"."),LEFT(SUBSTITUTE(LEFT(TRIM(C1087),FIND(" ",TRIM(C1087)&amp;" ")-1),",","."),FIND("/",SUBSTITUTE(LEFT(TRIM(C1087),FIND(" ",TRIM(C1087)&amp;" ")-1),",","."))-1)/MID(SUBSTITUTE(LEFT(TRIM(C1087),FIND(" ",TRIM(C1087)&amp;" ")-1),",","."),FIND("/",SUBSTITUTE(LEFT(TRIM(C1087),FIND(" ",TRIM(C1087)&amp;" ")-1),",","."))+1,9))*12/52,IF(ISNUMBER(SEARCH("month",C1087)),IFERROR(_xlfn.NUMBERVALUE(SUBSTITUTE(LEFT(TRIM(C1087),FIND(" ",TRIM(C1087)&amp;" ")-1),",","."),"."),LEFT(SUBSTITUTE(LEFT(TRIM(C1087),FIND(" ",TRIM(C1087)&amp;" ")-1),",","."),FIND("/",SUBSTITUTE(LEFT(TRIM(C1087),FIND(" ",TRIM(C1087)&amp;" ")-1),",","."))-1)/MID(SUBSTITUTE(LEFT(TRIM(C1087),FIND(" ",TRIM(C1087)&amp;" ")-1),",","."),FIND("/",SUBSTITUTE(LEFT(TRIM(C1087),FIND(" ",TRIM(C1087)&amp;" ")-1),",","."))+1,9)),IF(ISNUMBER(SEARCH("yea",C1087)),IFERROR(_xlfn.NUMBERVALUE(SUBSTITUTE(LEFT(TRIM(C1087),FIND(" ",TRIM(C1087)&amp;" ")-1),",","."),"."),LEFT(SUBSTITUTE(LEFT(TRIM(C1087),FIND(" ",TRIM(C1087)&amp;" ")-1),",","."),FIND("/",SUBSTITUTE(LEFT(TRIM(C1087),FIND(" ",TRIM(C1087)&amp;" ")-1),",","."))-1)/MID(SUBSTITUTE(LEFT(TRIM(C1087),FIND(" ",TRIM(C1087)&amp;" ")-1),",","."),FIND("/",SUBSTITUTE(LEFT(TRIM(C1087),FIND(" ",TRIM(C1087)&amp;" ")-1),",","."))+1,9))*12,NA()))),0),36)*'Aturan &amp; Tarif'!$B$4,2)</f>
        <v>2044.08</v>
      </c>
      <c r="K1087" s="42" t="n">
        <f aca="false">'Aturan &amp; Tarif'!$B$5</f>
        <v>2050</v>
      </c>
      <c r="L1087" s="35" t="n">
        <f aca="false">I1087+J1087+K1087</f>
        <v>21482.08</v>
      </c>
      <c r="M1087" s="45" t="s">
        <v>2572</v>
      </c>
    </row>
    <row r="1088" customFormat="false" ht="37.5" hidden="false" customHeight="true" outlineLevel="0" collapsed="false">
      <c r="A1088" s="39"/>
      <c r="B1088" s="40" t="s">
        <v>2599</v>
      </c>
      <c r="C1088" s="41" t="s">
        <v>127</v>
      </c>
      <c r="D1088" s="41" t="s">
        <v>108</v>
      </c>
      <c r="E1088" s="42" t="n">
        <v>9314</v>
      </c>
      <c r="F1088" s="42"/>
      <c r="G1088" s="42"/>
      <c r="H1088" s="43" t="n">
        <v>2</v>
      </c>
      <c r="I1088" s="34" t="n">
        <f aca="false">E1088*H1088+N(F1088)+N(G1088)</f>
        <v>18628</v>
      </c>
      <c r="J1088" s="42" t="n">
        <f aca="false">ROUND(IFERROR(ROUND(IF(OR(ISNUMBER(SEARCH("week",C1088)),ISNUMBER(SEARCH("minggu",C1088))),IFERROR(_xlfn.NUMBERVALUE(SUBSTITUTE(LEFT(TRIM(C1088),FIND(" ",TRIM(C1088)&amp;" ")-1),",","."),"."),LEFT(SUBSTITUTE(LEFT(TRIM(C1088),FIND(" ",TRIM(C1088)&amp;" ")-1),",","."),FIND("/",SUBSTITUTE(LEFT(TRIM(C1088),FIND(" ",TRIM(C1088)&amp;" ")-1),",","."))-1)/MID(SUBSTITUTE(LEFT(TRIM(C1088),FIND(" ",TRIM(C1088)&amp;" ")-1),",","."),FIND("/",SUBSTITUTE(LEFT(TRIM(C1088),FIND(" ",TRIM(C1088)&amp;" ")-1),",","."))+1,9))*12/52,IF(ISNUMBER(SEARCH("month",C1088)),IFERROR(_xlfn.NUMBERVALUE(SUBSTITUTE(LEFT(TRIM(C1088),FIND(" ",TRIM(C1088)&amp;" ")-1),",","."),"."),LEFT(SUBSTITUTE(LEFT(TRIM(C1088),FIND(" ",TRIM(C1088)&amp;" ")-1),",","."),FIND("/",SUBSTITUTE(LEFT(TRIM(C1088),FIND(" ",TRIM(C1088)&amp;" ")-1),",","."))-1)/MID(SUBSTITUTE(LEFT(TRIM(C1088),FIND(" ",TRIM(C1088)&amp;" ")-1),",","."),FIND("/",SUBSTITUTE(LEFT(TRIM(C1088),FIND(" ",TRIM(C1088)&amp;" ")-1),",","."))+1,9)),IF(ISNUMBER(SEARCH("yea",C1088)),IFERROR(_xlfn.NUMBERVALUE(SUBSTITUTE(LEFT(TRIM(C1088),FIND(" ",TRIM(C1088)&amp;" ")-1),",","."),"."),LEFT(SUBSTITUTE(LEFT(TRIM(C1088),FIND(" ",TRIM(C1088)&amp;" ")-1),",","."),FIND("/",SUBSTITUTE(LEFT(TRIM(C1088),FIND(" ",TRIM(C1088)&amp;" ")-1),",","."))-1)/MID(SUBSTITUTE(LEFT(TRIM(C1088),FIND(" ",TRIM(C1088)&amp;" ")-1),",","."),FIND("/",SUBSTITUTE(LEFT(TRIM(C1088),FIND(" ",TRIM(C1088)&amp;" ")-1),",","."))+1,9))*12,NA()))),0),36)*'Aturan &amp; Tarif'!$B$4,2)</f>
        <v>2044.08</v>
      </c>
      <c r="K1088" s="42" t="n">
        <f aca="false">'Aturan &amp; Tarif'!$B$5</f>
        <v>2050</v>
      </c>
      <c r="L1088" s="35" t="n">
        <f aca="false">I1088+J1088+K1088</f>
        <v>22722.08</v>
      </c>
      <c r="M1088" s="45" t="s">
        <v>2572</v>
      </c>
    </row>
    <row r="1089" customFormat="false" ht="25.5" hidden="false" customHeight="true" outlineLevel="0" collapsed="false">
      <c r="A1089" s="39"/>
      <c r="B1089" s="40" t="s">
        <v>2600</v>
      </c>
      <c r="C1089" s="41" t="s">
        <v>191</v>
      </c>
      <c r="D1089" s="41" t="s">
        <v>108</v>
      </c>
      <c r="E1089" s="42" t="n">
        <v>9440</v>
      </c>
      <c r="F1089" s="42"/>
      <c r="G1089" s="42"/>
      <c r="H1089" s="43" t="n">
        <v>2</v>
      </c>
      <c r="I1089" s="34" t="n">
        <f aca="false">E1089*H1089+N(F1089)+N(G1089)</f>
        <v>18880</v>
      </c>
      <c r="J1089" s="42" t="n">
        <f aca="false">ROUND(IFERROR(ROUND(IF(OR(ISNUMBER(SEARCH("week",C1089)),ISNUMBER(SEARCH("minggu",C1089))),IFERROR(_xlfn.NUMBERVALUE(SUBSTITUTE(LEFT(TRIM(C1089),FIND(" ",TRIM(C1089)&amp;" ")-1),",","."),"."),LEFT(SUBSTITUTE(LEFT(TRIM(C1089),FIND(" ",TRIM(C1089)&amp;" ")-1),",","."),FIND("/",SUBSTITUTE(LEFT(TRIM(C1089),FIND(" ",TRIM(C1089)&amp;" ")-1),",","."))-1)/MID(SUBSTITUTE(LEFT(TRIM(C1089),FIND(" ",TRIM(C1089)&amp;" ")-1),",","."),FIND("/",SUBSTITUTE(LEFT(TRIM(C1089),FIND(" ",TRIM(C1089)&amp;" ")-1),",","."))+1,9))*12/52,IF(ISNUMBER(SEARCH("month",C1089)),IFERROR(_xlfn.NUMBERVALUE(SUBSTITUTE(LEFT(TRIM(C1089),FIND(" ",TRIM(C1089)&amp;" ")-1),",","."),"."),LEFT(SUBSTITUTE(LEFT(TRIM(C1089),FIND(" ",TRIM(C1089)&amp;" ")-1),",","."),FIND("/",SUBSTITUTE(LEFT(TRIM(C1089),FIND(" ",TRIM(C1089)&amp;" ")-1),",","."))-1)/MID(SUBSTITUTE(LEFT(TRIM(C1089),FIND(" ",TRIM(C1089)&amp;" ")-1),",","."),FIND("/",SUBSTITUTE(LEFT(TRIM(C1089),FIND(" ",TRIM(C1089)&amp;" ")-1),",","."))+1,9)),IF(ISNUMBER(SEARCH("yea",C1089)),IFERROR(_xlfn.NUMBERVALUE(SUBSTITUTE(LEFT(TRIM(C1089),FIND(" ",TRIM(C1089)&amp;" ")-1),",","."),"."),LEFT(SUBSTITUTE(LEFT(TRIM(C1089),FIND(" ",TRIM(C1089)&amp;" ")-1),",","."),FIND("/",SUBSTITUTE(LEFT(TRIM(C1089),FIND(" ",TRIM(C1089)&amp;" ")-1),",","."))-1)/MID(SUBSTITUTE(LEFT(TRIM(C1089),FIND(" ",TRIM(C1089)&amp;" ")-1),",","."),FIND("/",SUBSTITUTE(LEFT(TRIM(C1089),FIND(" ",TRIM(C1089)&amp;" ")-1),",","."))+1,9))*12,NA()))),0),48)*'Aturan &amp; Tarif'!$B$4,2)</f>
        <v>2725.44</v>
      </c>
      <c r="K1089" s="42" t="n">
        <f aca="false">'Aturan &amp; Tarif'!$B$5</f>
        <v>2050</v>
      </c>
      <c r="L1089" s="35" t="n">
        <f aca="false">I1089+J1089+K1089</f>
        <v>23655.44</v>
      </c>
      <c r="M1089" s="45" t="s">
        <v>2572</v>
      </c>
    </row>
    <row r="1090" customFormat="false" ht="25.5" hidden="false" customHeight="true" outlineLevel="0" collapsed="false">
      <c r="A1090" s="39"/>
      <c r="B1090" s="40" t="s">
        <v>2601</v>
      </c>
      <c r="C1090" s="41" t="s">
        <v>191</v>
      </c>
      <c r="D1090" s="41" t="s">
        <v>108</v>
      </c>
      <c r="E1090" s="42" t="n">
        <v>9440</v>
      </c>
      <c r="F1090" s="42"/>
      <c r="G1090" s="42"/>
      <c r="H1090" s="43" t="n">
        <v>2</v>
      </c>
      <c r="I1090" s="34" t="n">
        <f aca="false">E1090*H1090+N(F1090)+N(G1090)</f>
        <v>18880</v>
      </c>
      <c r="J1090" s="42" t="n">
        <f aca="false">ROUND(IFERROR(ROUND(IF(OR(ISNUMBER(SEARCH("week",C1090)),ISNUMBER(SEARCH("minggu",C1090))),IFERROR(_xlfn.NUMBERVALUE(SUBSTITUTE(LEFT(TRIM(C1090),FIND(" ",TRIM(C1090)&amp;" ")-1),",","."),"."),LEFT(SUBSTITUTE(LEFT(TRIM(C1090),FIND(" ",TRIM(C1090)&amp;" ")-1),",","."),FIND("/",SUBSTITUTE(LEFT(TRIM(C1090),FIND(" ",TRIM(C1090)&amp;" ")-1),",","."))-1)/MID(SUBSTITUTE(LEFT(TRIM(C1090),FIND(" ",TRIM(C1090)&amp;" ")-1),",","."),FIND("/",SUBSTITUTE(LEFT(TRIM(C1090),FIND(" ",TRIM(C1090)&amp;" ")-1),",","."))+1,9))*12/52,IF(ISNUMBER(SEARCH("month",C1090)),IFERROR(_xlfn.NUMBERVALUE(SUBSTITUTE(LEFT(TRIM(C1090),FIND(" ",TRIM(C1090)&amp;" ")-1),",","."),"."),LEFT(SUBSTITUTE(LEFT(TRIM(C1090),FIND(" ",TRIM(C1090)&amp;" ")-1),",","."),FIND("/",SUBSTITUTE(LEFT(TRIM(C1090),FIND(" ",TRIM(C1090)&amp;" ")-1),",","."))-1)/MID(SUBSTITUTE(LEFT(TRIM(C1090),FIND(" ",TRIM(C1090)&amp;" ")-1),",","."),FIND("/",SUBSTITUTE(LEFT(TRIM(C1090),FIND(" ",TRIM(C1090)&amp;" ")-1),",","."))+1,9)),IF(ISNUMBER(SEARCH("yea",C1090)),IFERROR(_xlfn.NUMBERVALUE(SUBSTITUTE(LEFT(TRIM(C1090),FIND(" ",TRIM(C1090)&amp;" ")-1),",","."),"."),LEFT(SUBSTITUTE(LEFT(TRIM(C1090),FIND(" ",TRIM(C1090)&amp;" ")-1),",","."),FIND("/",SUBSTITUTE(LEFT(TRIM(C1090),FIND(" ",TRIM(C1090)&amp;" ")-1),",","."))-1)/MID(SUBSTITUTE(LEFT(TRIM(C1090),FIND(" ",TRIM(C1090)&amp;" ")-1),",","."),FIND("/",SUBSTITUTE(LEFT(TRIM(C1090),FIND(" ",TRIM(C1090)&amp;" ")-1),",","."))+1,9))*12,NA()))),0),48)*'Aturan &amp; Tarif'!$B$4,2)</f>
        <v>2725.44</v>
      </c>
      <c r="K1090" s="42" t="n">
        <f aca="false">'Aturan &amp; Tarif'!$B$5</f>
        <v>2050</v>
      </c>
      <c r="L1090" s="35" t="n">
        <f aca="false">I1090+J1090+K1090</f>
        <v>23655.44</v>
      </c>
      <c r="M1090" s="45" t="s">
        <v>2572</v>
      </c>
    </row>
    <row r="1091" customFormat="false" ht="37.5" hidden="false" customHeight="true" outlineLevel="0" collapsed="false">
      <c r="A1091" s="39"/>
      <c r="B1091" s="40" t="s">
        <v>2602</v>
      </c>
      <c r="C1091" s="41" t="s">
        <v>191</v>
      </c>
      <c r="D1091" s="41" t="s">
        <v>108</v>
      </c>
      <c r="E1091" s="42" t="n">
        <v>9440</v>
      </c>
      <c r="F1091" s="42"/>
      <c r="G1091" s="42"/>
      <c r="H1091" s="43" t="n">
        <v>2</v>
      </c>
      <c r="I1091" s="34" t="n">
        <f aca="false">E1091*H1091+N(F1091)+N(G1091)</f>
        <v>18880</v>
      </c>
      <c r="J1091" s="42" t="n">
        <f aca="false">ROUND(IFERROR(ROUND(IF(OR(ISNUMBER(SEARCH("week",C1091)),ISNUMBER(SEARCH("minggu",C1091))),IFERROR(_xlfn.NUMBERVALUE(SUBSTITUTE(LEFT(TRIM(C1091),FIND(" ",TRIM(C1091)&amp;" ")-1),",","."),"."),LEFT(SUBSTITUTE(LEFT(TRIM(C1091),FIND(" ",TRIM(C1091)&amp;" ")-1),",","."),FIND("/",SUBSTITUTE(LEFT(TRIM(C1091),FIND(" ",TRIM(C1091)&amp;" ")-1),",","."))-1)/MID(SUBSTITUTE(LEFT(TRIM(C1091),FIND(" ",TRIM(C1091)&amp;" ")-1),",","."),FIND("/",SUBSTITUTE(LEFT(TRIM(C1091),FIND(" ",TRIM(C1091)&amp;" ")-1),",","."))+1,9))*12/52,IF(ISNUMBER(SEARCH("month",C1091)),IFERROR(_xlfn.NUMBERVALUE(SUBSTITUTE(LEFT(TRIM(C1091),FIND(" ",TRIM(C1091)&amp;" ")-1),",","."),"."),LEFT(SUBSTITUTE(LEFT(TRIM(C1091),FIND(" ",TRIM(C1091)&amp;" ")-1),",","."),FIND("/",SUBSTITUTE(LEFT(TRIM(C1091),FIND(" ",TRIM(C1091)&amp;" ")-1),",","."))-1)/MID(SUBSTITUTE(LEFT(TRIM(C1091),FIND(" ",TRIM(C1091)&amp;" ")-1),",","."),FIND("/",SUBSTITUTE(LEFT(TRIM(C1091),FIND(" ",TRIM(C1091)&amp;" ")-1),",","."))+1,9)),IF(ISNUMBER(SEARCH("yea",C1091)),IFERROR(_xlfn.NUMBERVALUE(SUBSTITUTE(LEFT(TRIM(C1091),FIND(" ",TRIM(C1091)&amp;" ")-1),",","."),"."),LEFT(SUBSTITUTE(LEFT(TRIM(C1091),FIND(" ",TRIM(C1091)&amp;" ")-1),",","."),FIND("/",SUBSTITUTE(LEFT(TRIM(C1091),FIND(" ",TRIM(C1091)&amp;" ")-1),",","."))-1)/MID(SUBSTITUTE(LEFT(TRIM(C1091),FIND(" ",TRIM(C1091)&amp;" ")-1),",","."),FIND("/",SUBSTITUTE(LEFT(TRIM(C1091),FIND(" ",TRIM(C1091)&amp;" ")-1),",","."))+1,9))*12,NA()))),0),48)*'Aturan &amp; Tarif'!$B$4,2)</f>
        <v>2725.44</v>
      </c>
      <c r="K1091" s="42" t="n">
        <f aca="false">'Aturan &amp; Tarif'!$B$5</f>
        <v>2050</v>
      </c>
      <c r="L1091" s="35" t="n">
        <f aca="false">I1091+J1091+K1091</f>
        <v>23655.44</v>
      </c>
      <c r="M1091" s="45" t="s">
        <v>2572</v>
      </c>
    </row>
    <row r="1092" customFormat="false" ht="25.5" hidden="false" customHeight="true" outlineLevel="0" collapsed="false">
      <c r="A1092" s="39"/>
      <c r="B1092" s="40" t="s">
        <v>2603</v>
      </c>
      <c r="C1092" s="41" t="s">
        <v>495</v>
      </c>
      <c r="D1092" s="41" t="s">
        <v>108</v>
      </c>
      <c r="E1092" s="42" t="n">
        <v>9440</v>
      </c>
      <c r="F1092" s="42"/>
      <c r="G1092" s="42"/>
      <c r="H1092" s="43" t="n">
        <v>2</v>
      </c>
      <c r="I1092" s="34" t="n">
        <f aca="false">E1092*H1092+N(F1092)+N(G1092)</f>
        <v>18880</v>
      </c>
      <c r="J1092" s="42" t="n">
        <f aca="false">ROUND(IFERROR(ROUND(IF(OR(ISNUMBER(SEARCH("week",C1092)),ISNUMBER(SEARCH("minggu",C1092))),IFERROR(_xlfn.NUMBERVALUE(SUBSTITUTE(LEFT(TRIM(C1092),FIND(" ",TRIM(C1092)&amp;" ")-1),",","."),"."),LEFT(SUBSTITUTE(LEFT(TRIM(C1092),FIND(" ",TRIM(C1092)&amp;" ")-1),",","."),FIND("/",SUBSTITUTE(LEFT(TRIM(C1092),FIND(" ",TRIM(C1092)&amp;" ")-1),",","."))-1)/MID(SUBSTITUTE(LEFT(TRIM(C1092),FIND(" ",TRIM(C1092)&amp;" ")-1),",","."),FIND("/",SUBSTITUTE(LEFT(TRIM(C1092),FIND(" ",TRIM(C1092)&amp;" ")-1),",","."))+1,9))*12/52,IF(ISNUMBER(SEARCH("month",C1092)),IFERROR(_xlfn.NUMBERVALUE(SUBSTITUTE(LEFT(TRIM(C1092),FIND(" ",TRIM(C1092)&amp;" ")-1),",","."),"."),LEFT(SUBSTITUTE(LEFT(TRIM(C1092),FIND(" ",TRIM(C1092)&amp;" ")-1),",","."),FIND("/",SUBSTITUTE(LEFT(TRIM(C1092),FIND(" ",TRIM(C1092)&amp;" ")-1),",","."))-1)/MID(SUBSTITUTE(LEFT(TRIM(C1092),FIND(" ",TRIM(C1092)&amp;" ")-1),",","."),FIND("/",SUBSTITUTE(LEFT(TRIM(C1092),FIND(" ",TRIM(C1092)&amp;" ")-1),",","."))+1,9)),IF(ISNUMBER(SEARCH("yea",C1092)),IFERROR(_xlfn.NUMBERVALUE(SUBSTITUTE(LEFT(TRIM(C1092),FIND(" ",TRIM(C1092)&amp;" ")-1),",","."),"."),LEFT(SUBSTITUTE(LEFT(TRIM(C1092),FIND(" ",TRIM(C1092)&amp;" ")-1),",","."),FIND("/",SUBSTITUTE(LEFT(TRIM(C1092),FIND(" ",TRIM(C1092)&amp;" ")-1),",","."))-1)/MID(SUBSTITUTE(LEFT(TRIM(C1092),FIND(" ",TRIM(C1092)&amp;" ")-1),",","."),FIND("/",SUBSTITUTE(LEFT(TRIM(C1092),FIND(" ",TRIM(C1092)&amp;" ")-1),",","."))+1,9))*12,NA()))),0),54)*'Aturan &amp; Tarif'!$B$4,2)</f>
        <v>3066.12</v>
      </c>
      <c r="K1092" s="42" t="n">
        <f aca="false">'Aturan &amp; Tarif'!$B$5</f>
        <v>2050</v>
      </c>
      <c r="L1092" s="35" t="n">
        <f aca="false">I1092+J1092+K1092</f>
        <v>23996.12</v>
      </c>
      <c r="M1092" s="45" t="s">
        <v>2572</v>
      </c>
    </row>
    <row r="1093" customFormat="false" ht="37.5" hidden="false" customHeight="true" outlineLevel="0" collapsed="false">
      <c r="A1093" s="39"/>
      <c r="B1093" s="40" t="s">
        <v>2604</v>
      </c>
      <c r="C1093" s="41" t="s">
        <v>191</v>
      </c>
      <c r="D1093" s="41" t="s">
        <v>108</v>
      </c>
      <c r="E1093" s="42" t="n">
        <v>9440</v>
      </c>
      <c r="F1093" s="42"/>
      <c r="G1093" s="42"/>
      <c r="H1093" s="43" t="n">
        <v>2</v>
      </c>
      <c r="I1093" s="34" t="n">
        <f aca="false">E1093*H1093+N(F1093)+N(G1093)</f>
        <v>18880</v>
      </c>
      <c r="J1093" s="42" t="n">
        <f aca="false">ROUND(IFERROR(ROUND(IF(OR(ISNUMBER(SEARCH("week",C1093)),ISNUMBER(SEARCH("minggu",C1093))),IFERROR(_xlfn.NUMBERVALUE(SUBSTITUTE(LEFT(TRIM(C1093),FIND(" ",TRIM(C1093)&amp;" ")-1),",","."),"."),LEFT(SUBSTITUTE(LEFT(TRIM(C1093),FIND(" ",TRIM(C1093)&amp;" ")-1),",","."),FIND("/",SUBSTITUTE(LEFT(TRIM(C1093),FIND(" ",TRIM(C1093)&amp;" ")-1),",","."))-1)/MID(SUBSTITUTE(LEFT(TRIM(C1093),FIND(" ",TRIM(C1093)&amp;" ")-1),",","."),FIND("/",SUBSTITUTE(LEFT(TRIM(C1093),FIND(" ",TRIM(C1093)&amp;" ")-1),",","."))+1,9))*12/52,IF(ISNUMBER(SEARCH("month",C1093)),IFERROR(_xlfn.NUMBERVALUE(SUBSTITUTE(LEFT(TRIM(C1093),FIND(" ",TRIM(C1093)&amp;" ")-1),",","."),"."),LEFT(SUBSTITUTE(LEFT(TRIM(C1093),FIND(" ",TRIM(C1093)&amp;" ")-1),",","."),FIND("/",SUBSTITUTE(LEFT(TRIM(C1093),FIND(" ",TRIM(C1093)&amp;" ")-1),",","."))-1)/MID(SUBSTITUTE(LEFT(TRIM(C1093),FIND(" ",TRIM(C1093)&amp;" ")-1),",","."),FIND("/",SUBSTITUTE(LEFT(TRIM(C1093),FIND(" ",TRIM(C1093)&amp;" ")-1),",","."))+1,9)),IF(ISNUMBER(SEARCH("yea",C1093)),IFERROR(_xlfn.NUMBERVALUE(SUBSTITUTE(LEFT(TRIM(C1093),FIND(" ",TRIM(C1093)&amp;" ")-1),",","."),"."),LEFT(SUBSTITUTE(LEFT(TRIM(C1093),FIND(" ",TRIM(C1093)&amp;" ")-1),",","."),FIND("/",SUBSTITUTE(LEFT(TRIM(C1093),FIND(" ",TRIM(C1093)&amp;" ")-1),",","."))-1)/MID(SUBSTITUTE(LEFT(TRIM(C1093),FIND(" ",TRIM(C1093)&amp;" ")-1),",","."),FIND("/",SUBSTITUTE(LEFT(TRIM(C1093),FIND(" ",TRIM(C1093)&amp;" ")-1),",","."))+1,9))*12,NA()))),0),48)*'Aturan &amp; Tarif'!$B$4,2)</f>
        <v>2725.44</v>
      </c>
      <c r="K1093" s="42" t="n">
        <f aca="false">'Aturan &amp; Tarif'!$B$5</f>
        <v>2050</v>
      </c>
      <c r="L1093" s="35" t="n">
        <f aca="false">I1093+J1093+K1093</f>
        <v>23655.44</v>
      </c>
      <c r="M1093" s="45" t="s">
        <v>2572</v>
      </c>
    </row>
    <row r="1094" customFormat="false" ht="37.5" hidden="false" customHeight="true" outlineLevel="0" collapsed="false">
      <c r="A1094" s="39"/>
      <c r="B1094" s="40" t="s">
        <v>2605</v>
      </c>
      <c r="C1094" s="41" t="s">
        <v>191</v>
      </c>
      <c r="D1094" s="41" t="s">
        <v>108</v>
      </c>
      <c r="E1094" s="42" t="n">
        <v>9440</v>
      </c>
      <c r="F1094" s="42"/>
      <c r="G1094" s="42"/>
      <c r="H1094" s="43" t="n">
        <v>2</v>
      </c>
      <c r="I1094" s="34" t="n">
        <f aca="false">E1094*H1094+N(F1094)+N(G1094)</f>
        <v>18880</v>
      </c>
      <c r="J1094" s="42" t="n">
        <f aca="false">ROUND(IFERROR(ROUND(IF(OR(ISNUMBER(SEARCH("week",C1094)),ISNUMBER(SEARCH("minggu",C1094))),IFERROR(_xlfn.NUMBERVALUE(SUBSTITUTE(LEFT(TRIM(C1094),FIND(" ",TRIM(C1094)&amp;" ")-1),",","."),"."),LEFT(SUBSTITUTE(LEFT(TRIM(C1094),FIND(" ",TRIM(C1094)&amp;" ")-1),",","."),FIND("/",SUBSTITUTE(LEFT(TRIM(C1094),FIND(" ",TRIM(C1094)&amp;" ")-1),",","."))-1)/MID(SUBSTITUTE(LEFT(TRIM(C1094),FIND(" ",TRIM(C1094)&amp;" ")-1),",","."),FIND("/",SUBSTITUTE(LEFT(TRIM(C1094),FIND(" ",TRIM(C1094)&amp;" ")-1),",","."))+1,9))*12/52,IF(ISNUMBER(SEARCH("month",C1094)),IFERROR(_xlfn.NUMBERVALUE(SUBSTITUTE(LEFT(TRIM(C1094),FIND(" ",TRIM(C1094)&amp;" ")-1),",","."),"."),LEFT(SUBSTITUTE(LEFT(TRIM(C1094),FIND(" ",TRIM(C1094)&amp;" ")-1),",","."),FIND("/",SUBSTITUTE(LEFT(TRIM(C1094),FIND(" ",TRIM(C1094)&amp;" ")-1),",","."))-1)/MID(SUBSTITUTE(LEFT(TRIM(C1094),FIND(" ",TRIM(C1094)&amp;" ")-1),",","."),FIND("/",SUBSTITUTE(LEFT(TRIM(C1094),FIND(" ",TRIM(C1094)&amp;" ")-1),",","."))+1,9)),IF(ISNUMBER(SEARCH("yea",C1094)),IFERROR(_xlfn.NUMBERVALUE(SUBSTITUTE(LEFT(TRIM(C1094),FIND(" ",TRIM(C1094)&amp;" ")-1),",","."),"."),LEFT(SUBSTITUTE(LEFT(TRIM(C1094),FIND(" ",TRIM(C1094)&amp;" ")-1),",","."),FIND("/",SUBSTITUTE(LEFT(TRIM(C1094),FIND(" ",TRIM(C1094)&amp;" ")-1),",","."))-1)/MID(SUBSTITUTE(LEFT(TRIM(C1094),FIND(" ",TRIM(C1094)&amp;" ")-1),",","."),FIND("/",SUBSTITUTE(LEFT(TRIM(C1094),FIND(" ",TRIM(C1094)&amp;" ")-1),",","."))+1,9))*12,NA()))),0),48)*'Aturan &amp; Tarif'!$B$4,2)</f>
        <v>2725.44</v>
      </c>
      <c r="K1094" s="42" t="n">
        <f aca="false">'Aturan &amp; Tarif'!$B$5</f>
        <v>2050</v>
      </c>
      <c r="L1094" s="35" t="n">
        <f aca="false">I1094+J1094+K1094</f>
        <v>23655.44</v>
      </c>
      <c r="M1094" s="45" t="s">
        <v>2572</v>
      </c>
    </row>
    <row r="1095" customFormat="false" ht="37.5" hidden="false" customHeight="true" outlineLevel="0" collapsed="false">
      <c r="A1095" s="39"/>
      <c r="B1095" s="40" t="s">
        <v>2606</v>
      </c>
      <c r="C1095" s="41" t="s">
        <v>191</v>
      </c>
      <c r="D1095" s="41" t="s">
        <v>108</v>
      </c>
      <c r="E1095" s="42" t="n">
        <v>9440</v>
      </c>
      <c r="F1095" s="42"/>
      <c r="G1095" s="42"/>
      <c r="H1095" s="43" t="n">
        <v>2</v>
      </c>
      <c r="I1095" s="34" t="n">
        <f aca="false">E1095*H1095+N(F1095)+N(G1095)</f>
        <v>18880</v>
      </c>
      <c r="J1095" s="42" t="n">
        <f aca="false">ROUND(IFERROR(ROUND(IF(OR(ISNUMBER(SEARCH("week",C1095)),ISNUMBER(SEARCH("minggu",C1095))),IFERROR(_xlfn.NUMBERVALUE(SUBSTITUTE(LEFT(TRIM(C1095),FIND(" ",TRIM(C1095)&amp;" ")-1),",","."),"."),LEFT(SUBSTITUTE(LEFT(TRIM(C1095),FIND(" ",TRIM(C1095)&amp;" ")-1),",","."),FIND("/",SUBSTITUTE(LEFT(TRIM(C1095),FIND(" ",TRIM(C1095)&amp;" ")-1),",","."))-1)/MID(SUBSTITUTE(LEFT(TRIM(C1095),FIND(" ",TRIM(C1095)&amp;" ")-1),",","."),FIND("/",SUBSTITUTE(LEFT(TRIM(C1095),FIND(" ",TRIM(C1095)&amp;" ")-1),",","."))+1,9))*12/52,IF(ISNUMBER(SEARCH("month",C1095)),IFERROR(_xlfn.NUMBERVALUE(SUBSTITUTE(LEFT(TRIM(C1095),FIND(" ",TRIM(C1095)&amp;" ")-1),",","."),"."),LEFT(SUBSTITUTE(LEFT(TRIM(C1095),FIND(" ",TRIM(C1095)&amp;" ")-1),",","."),FIND("/",SUBSTITUTE(LEFT(TRIM(C1095),FIND(" ",TRIM(C1095)&amp;" ")-1),",","."))-1)/MID(SUBSTITUTE(LEFT(TRIM(C1095),FIND(" ",TRIM(C1095)&amp;" ")-1),",","."),FIND("/",SUBSTITUTE(LEFT(TRIM(C1095),FIND(" ",TRIM(C1095)&amp;" ")-1),",","."))+1,9)),IF(ISNUMBER(SEARCH("yea",C1095)),IFERROR(_xlfn.NUMBERVALUE(SUBSTITUTE(LEFT(TRIM(C1095),FIND(" ",TRIM(C1095)&amp;" ")-1),",","."),"."),LEFT(SUBSTITUTE(LEFT(TRIM(C1095),FIND(" ",TRIM(C1095)&amp;" ")-1),",","."),FIND("/",SUBSTITUTE(LEFT(TRIM(C1095),FIND(" ",TRIM(C1095)&amp;" ")-1),",","."))-1)/MID(SUBSTITUTE(LEFT(TRIM(C1095),FIND(" ",TRIM(C1095)&amp;" ")-1),",","."),FIND("/",SUBSTITUTE(LEFT(TRIM(C1095),FIND(" ",TRIM(C1095)&amp;" ")-1),",","."))+1,9))*12,NA()))),0),48)*'Aturan &amp; Tarif'!$B$4,2)</f>
        <v>2725.44</v>
      </c>
      <c r="K1095" s="42" t="n">
        <f aca="false">'Aturan &amp; Tarif'!$B$5</f>
        <v>2050</v>
      </c>
      <c r="L1095" s="35" t="n">
        <f aca="false">I1095+J1095+K1095</f>
        <v>23655.44</v>
      </c>
      <c r="M1095" s="45" t="s">
        <v>2572</v>
      </c>
    </row>
    <row r="1096" customFormat="false" ht="37.5" hidden="false" customHeight="true" outlineLevel="0" collapsed="false">
      <c r="A1096" s="39"/>
      <c r="B1096" s="40" t="s">
        <v>2607</v>
      </c>
      <c r="C1096" s="41" t="s">
        <v>191</v>
      </c>
      <c r="D1096" s="41" t="s">
        <v>108</v>
      </c>
      <c r="E1096" s="42" t="n">
        <v>9440</v>
      </c>
      <c r="F1096" s="42"/>
      <c r="G1096" s="42"/>
      <c r="H1096" s="43" t="n">
        <v>2</v>
      </c>
      <c r="I1096" s="34" t="n">
        <f aca="false">E1096*H1096+N(F1096)+N(G1096)</f>
        <v>18880</v>
      </c>
      <c r="J1096" s="42" t="n">
        <f aca="false">ROUND(IFERROR(ROUND(IF(OR(ISNUMBER(SEARCH("week",C1096)),ISNUMBER(SEARCH("minggu",C1096))),IFERROR(_xlfn.NUMBERVALUE(SUBSTITUTE(LEFT(TRIM(C1096),FIND(" ",TRIM(C1096)&amp;" ")-1),",","."),"."),LEFT(SUBSTITUTE(LEFT(TRIM(C1096),FIND(" ",TRIM(C1096)&amp;" ")-1),",","."),FIND("/",SUBSTITUTE(LEFT(TRIM(C1096),FIND(" ",TRIM(C1096)&amp;" ")-1),",","."))-1)/MID(SUBSTITUTE(LEFT(TRIM(C1096),FIND(" ",TRIM(C1096)&amp;" ")-1),",","."),FIND("/",SUBSTITUTE(LEFT(TRIM(C1096),FIND(" ",TRIM(C1096)&amp;" ")-1),",","."))+1,9))*12/52,IF(ISNUMBER(SEARCH("month",C1096)),IFERROR(_xlfn.NUMBERVALUE(SUBSTITUTE(LEFT(TRIM(C1096),FIND(" ",TRIM(C1096)&amp;" ")-1),",","."),"."),LEFT(SUBSTITUTE(LEFT(TRIM(C1096),FIND(" ",TRIM(C1096)&amp;" ")-1),",","."),FIND("/",SUBSTITUTE(LEFT(TRIM(C1096),FIND(" ",TRIM(C1096)&amp;" ")-1),",","."))-1)/MID(SUBSTITUTE(LEFT(TRIM(C1096),FIND(" ",TRIM(C1096)&amp;" ")-1),",","."),FIND("/",SUBSTITUTE(LEFT(TRIM(C1096),FIND(" ",TRIM(C1096)&amp;" ")-1),",","."))+1,9)),IF(ISNUMBER(SEARCH("yea",C1096)),IFERROR(_xlfn.NUMBERVALUE(SUBSTITUTE(LEFT(TRIM(C1096),FIND(" ",TRIM(C1096)&amp;" ")-1),",","."),"."),LEFT(SUBSTITUTE(LEFT(TRIM(C1096),FIND(" ",TRIM(C1096)&amp;" ")-1),",","."),FIND("/",SUBSTITUTE(LEFT(TRIM(C1096),FIND(" ",TRIM(C1096)&amp;" ")-1),",","."))-1)/MID(SUBSTITUTE(LEFT(TRIM(C1096),FIND(" ",TRIM(C1096)&amp;" ")-1),",","."),FIND("/",SUBSTITUTE(LEFT(TRIM(C1096),FIND(" ",TRIM(C1096)&amp;" ")-1),",","."))+1,9))*12,NA()))),0),48)*'Aturan &amp; Tarif'!$B$4,2)</f>
        <v>2725.44</v>
      </c>
      <c r="K1096" s="42" t="n">
        <f aca="false">'Aturan &amp; Tarif'!$B$5</f>
        <v>2050</v>
      </c>
      <c r="L1096" s="35" t="n">
        <f aca="false">I1096+J1096+K1096</f>
        <v>23655.44</v>
      </c>
      <c r="M1096" s="45" t="s">
        <v>2572</v>
      </c>
    </row>
    <row r="1097" customFormat="false" ht="37.5" hidden="false" customHeight="true" outlineLevel="0" collapsed="false">
      <c r="A1097" s="39"/>
      <c r="B1097" s="40" t="s">
        <v>2608</v>
      </c>
      <c r="C1097" s="41" t="s">
        <v>191</v>
      </c>
      <c r="D1097" s="41" t="s">
        <v>108</v>
      </c>
      <c r="E1097" s="42" t="n">
        <v>9539</v>
      </c>
      <c r="F1097" s="42"/>
      <c r="G1097" s="42"/>
      <c r="H1097" s="43" t="n">
        <v>2</v>
      </c>
      <c r="I1097" s="34" t="n">
        <f aca="false">E1097*H1097+N(F1097)+N(G1097)</f>
        <v>19078</v>
      </c>
      <c r="J1097" s="42" t="n">
        <f aca="false">ROUND(IFERROR(ROUND(IF(OR(ISNUMBER(SEARCH("week",C1097)),ISNUMBER(SEARCH("minggu",C1097))),IFERROR(_xlfn.NUMBERVALUE(SUBSTITUTE(LEFT(TRIM(C1097),FIND(" ",TRIM(C1097)&amp;" ")-1),",","."),"."),LEFT(SUBSTITUTE(LEFT(TRIM(C1097),FIND(" ",TRIM(C1097)&amp;" ")-1),",","."),FIND("/",SUBSTITUTE(LEFT(TRIM(C1097),FIND(" ",TRIM(C1097)&amp;" ")-1),",","."))-1)/MID(SUBSTITUTE(LEFT(TRIM(C1097),FIND(" ",TRIM(C1097)&amp;" ")-1),",","."),FIND("/",SUBSTITUTE(LEFT(TRIM(C1097),FIND(" ",TRIM(C1097)&amp;" ")-1),",","."))+1,9))*12/52,IF(ISNUMBER(SEARCH("month",C1097)),IFERROR(_xlfn.NUMBERVALUE(SUBSTITUTE(LEFT(TRIM(C1097),FIND(" ",TRIM(C1097)&amp;" ")-1),",","."),"."),LEFT(SUBSTITUTE(LEFT(TRIM(C1097),FIND(" ",TRIM(C1097)&amp;" ")-1),",","."),FIND("/",SUBSTITUTE(LEFT(TRIM(C1097),FIND(" ",TRIM(C1097)&amp;" ")-1),",","."))-1)/MID(SUBSTITUTE(LEFT(TRIM(C1097),FIND(" ",TRIM(C1097)&amp;" ")-1),",","."),FIND("/",SUBSTITUTE(LEFT(TRIM(C1097),FIND(" ",TRIM(C1097)&amp;" ")-1),",","."))+1,9)),IF(ISNUMBER(SEARCH("yea",C1097)),IFERROR(_xlfn.NUMBERVALUE(SUBSTITUTE(LEFT(TRIM(C1097),FIND(" ",TRIM(C1097)&amp;" ")-1),",","."),"."),LEFT(SUBSTITUTE(LEFT(TRIM(C1097),FIND(" ",TRIM(C1097)&amp;" ")-1),",","."),FIND("/",SUBSTITUTE(LEFT(TRIM(C1097),FIND(" ",TRIM(C1097)&amp;" ")-1),",","."))-1)/MID(SUBSTITUTE(LEFT(TRIM(C1097),FIND(" ",TRIM(C1097)&amp;" ")-1),",","."),FIND("/",SUBSTITUTE(LEFT(TRIM(C1097),FIND(" ",TRIM(C1097)&amp;" ")-1),",","."))+1,9))*12,NA()))),0),48)*'Aturan &amp; Tarif'!$B$4,2)</f>
        <v>2725.44</v>
      </c>
      <c r="K1097" s="42" t="n">
        <f aca="false">'Aturan &amp; Tarif'!$B$5</f>
        <v>2050</v>
      </c>
      <c r="L1097" s="35" t="n">
        <f aca="false">I1097+J1097+K1097</f>
        <v>23853.44</v>
      </c>
      <c r="M1097" s="45" t="s">
        <v>2572</v>
      </c>
    </row>
    <row r="1098" customFormat="false" ht="25.5" hidden="false" customHeight="true" outlineLevel="0" collapsed="false">
      <c r="A1098" s="39"/>
      <c r="B1098" s="40" t="s">
        <v>2609</v>
      </c>
      <c r="C1098" s="41" t="s">
        <v>245</v>
      </c>
      <c r="D1098" s="41" t="s">
        <v>108</v>
      </c>
      <c r="E1098" s="42" t="n">
        <v>9539</v>
      </c>
      <c r="F1098" s="42"/>
      <c r="G1098" s="42"/>
      <c r="H1098" s="43" t="n">
        <v>2</v>
      </c>
      <c r="I1098" s="34" t="n">
        <f aca="false">E1098*H1098+N(F1098)+N(G1098)</f>
        <v>19078</v>
      </c>
      <c r="J1098" s="42" t="n">
        <f aca="false">ROUND(IFERROR(ROUND(IF(OR(ISNUMBER(SEARCH("week",C1098)),ISNUMBER(SEARCH("minggu",C1098))),IFERROR(_xlfn.NUMBERVALUE(SUBSTITUTE(LEFT(TRIM(C1098),FIND(" ",TRIM(C1098)&amp;" ")-1),",","."),"."),LEFT(SUBSTITUTE(LEFT(TRIM(C1098),FIND(" ",TRIM(C1098)&amp;" ")-1),",","."),FIND("/",SUBSTITUTE(LEFT(TRIM(C1098),FIND(" ",TRIM(C1098)&amp;" ")-1),",","."))-1)/MID(SUBSTITUTE(LEFT(TRIM(C1098),FIND(" ",TRIM(C1098)&amp;" ")-1),",","."),FIND("/",SUBSTITUTE(LEFT(TRIM(C1098),FIND(" ",TRIM(C1098)&amp;" ")-1),",","."))+1,9))*12/52,IF(ISNUMBER(SEARCH("month",C1098)),IFERROR(_xlfn.NUMBERVALUE(SUBSTITUTE(LEFT(TRIM(C1098),FIND(" ",TRIM(C1098)&amp;" ")-1),",","."),"."),LEFT(SUBSTITUTE(LEFT(TRIM(C1098),FIND(" ",TRIM(C1098)&amp;" ")-1),",","."),FIND("/",SUBSTITUTE(LEFT(TRIM(C1098),FIND(" ",TRIM(C1098)&amp;" ")-1),",","."))-1)/MID(SUBSTITUTE(LEFT(TRIM(C1098),FIND(" ",TRIM(C1098)&amp;" ")-1),",","."),FIND("/",SUBSTITUTE(LEFT(TRIM(C1098),FIND(" ",TRIM(C1098)&amp;" ")-1),",","."))+1,9)),IF(ISNUMBER(SEARCH("yea",C1098)),IFERROR(_xlfn.NUMBERVALUE(SUBSTITUTE(LEFT(TRIM(C1098),FIND(" ",TRIM(C1098)&amp;" ")-1),",","."),"."),LEFT(SUBSTITUTE(LEFT(TRIM(C1098),FIND(" ",TRIM(C1098)&amp;" ")-1),",","."),FIND("/",SUBSTITUTE(LEFT(TRIM(C1098),FIND(" ",TRIM(C1098)&amp;" ")-1),",","."))-1)/MID(SUBSTITUTE(LEFT(TRIM(C1098),FIND(" ",TRIM(C1098)&amp;" ")-1),",","."),FIND("/",SUBSTITUTE(LEFT(TRIM(C1098),FIND(" ",TRIM(C1098)&amp;" ")-1),",","."))+1,9))*12,NA()))),0),60)*'Aturan &amp; Tarif'!$B$4,2)</f>
        <v>3406.8</v>
      </c>
      <c r="K1098" s="42" t="n">
        <f aca="false">'Aturan &amp; Tarif'!$B$5</f>
        <v>2050</v>
      </c>
      <c r="L1098" s="35" t="n">
        <f aca="false">I1098+J1098+K1098</f>
        <v>24534.8</v>
      </c>
      <c r="M1098" s="45" t="s">
        <v>2572</v>
      </c>
    </row>
    <row r="1099" customFormat="false" ht="25.5" hidden="false" customHeight="true" outlineLevel="0" collapsed="false">
      <c r="A1099" s="39"/>
      <c r="B1099" s="40" t="s">
        <v>2610</v>
      </c>
      <c r="C1099" s="41" t="s">
        <v>245</v>
      </c>
      <c r="D1099" s="41" t="s">
        <v>108</v>
      </c>
      <c r="E1099" s="42" t="n">
        <v>9539</v>
      </c>
      <c r="F1099" s="42"/>
      <c r="G1099" s="42"/>
      <c r="H1099" s="43" t="n">
        <v>2</v>
      </c>
      <c r="I1099" s="34" t="n">
        <f aca="false">E1099*H1099+N(F1099)+N(G1099)</f>
        <v>19078</v>
      </c>
      <c r="J1099" s="42" t="n">
        <f aca="false">ROUND(IFERROR(ROUND(IF(OR(ISNUMBER(SEARCH("week",C1099)),ISNUMBER(SEARCH("minggu",C1099))),IFERROR(_xlfn.NUMBERVALUE(SUBSTITUTE(LEFT(TRIM(C1099),FIND(" ",TRIM(C1099)&amp;" ")-1),",","."),"."),LEFT(SUBSTITUTE(LEFT(TRIM(C1099),FIND(" ",TRIM(C1099)&amp;" ")-1),",","."),FIND("/",SUBSTITUTE(LEFT(TRIM(C1099),FIND(" ",TRIM(C1099)&amp;" ")-1),",","."))-1)/MID(SUBSTITUTE(LEFT(TRIM(C1099),FIND(" ",TRIM(C1099)&amp;" ")-1),",","."),FIND("/",SUBSTITUTE(LEFT(TRIM(C1099),FIND(" ",TRIM(C1099)&amp;" ")-1),",","."))+1,9))*12/52,IF(ISNUMBER(SEARCH("month",C1099)),IFERROR(_xlfn.NUMBERVALUE(SUBSTITUTE(LEFT(TRIM(C1099),FIND(" ",TRIM(C1099)&amp;" ")-1),",","."),"."),LEFT(SUBSTITUTE(LEFT(TRIM(C1099),FIND(" ",TRIM(C1099)&amp;" ")-1),",","."),FIND("/",SUBSTITUTE(LEFT(TRIM(C1099),FIND(" ",TRIM(C1099)&amp;" ")-1),",","."))-1)/MID(SUBSTITUTE(LEFT(TRIM(C1099),FIND(" ",TRIM(C1099)&amp;" ")-1),",","."),FIND("/",SUBSTITUTE(LEFT(TRIM(C1099),FIND(" ",TRIM(C1099)&amp;" ")-1),",","."))+1,9)),IF(ISNUMBER(SEARCH("yea",C1099)),IFERROR(_xlfn.NUMBERVALUE(SUBSTITUTE(LEFT(TRIM(C1099),FIND(" ",TRIM(C1099)&amp;" ")-1),",","."),"."),LEFT(SUBSTITUTE(LEFT(TRIM(C1099),FIND(" ",TRIM(C1099)&amp;" ")-1),",","."),FIND("/",SUBSTITUTE(LEFT(TRIM(C1099),FIND(" ",TRIM(C1099)&amp;" ")-1),",","."))-1)/MID(SUBSTITUTE(LEFT(TRIM(C1099),FIND(" ",TRIM(C1099)&amp;" ")-1),",","."),FIND("/",SUBSTITUTE(LEFT(TRIM(C1099),FIND(" ",TRIM(C1099)&amp;" ")-1),",","."))+1,9))*12,NA()))),0),60)*'Aturan &amp; Tarif'!$B$4,2)</f>
        <v>3406.8</v>
      </c>
      <c r="K1099" s="42" t="n">
        <f aca="false">'Aturan &amp; Tarif'!$B$5</f>
        <v>2050</v>
      </c>
      <c r="L1099" s="35" t="n">
        <f aca="false">I1099+J1099+K1099</f>
        <v>24534.8</v>
      </c>
      <c r="M1099" s="45" t="s">
        <v>2572</v>
      </c>
    </row>
    <row r="1100" customFormat="false" ht="37.5" hidden="false" customHeight="true" outlineLevel="0" collapsed="false">
      <c r="A1100" s="39"/>
      <c r="B1100" s="40" t="s">
        <v>2611</v>
      </c>
      <c r="C1100" s="41" t="s">
        <v>245</v>
      </c>
      <c r="D1100" s="41" t="s">
        <v>108</v>
      </c>
      <c r="E1100" s="42" t="n">
        <v>9539</v>
      </c>
      <c r="F1100" s="42"/>
      <c r="G1100" s="42"/>
      <c r="H1100" s="43" t="n">
        <v>2</v>
      </c>
      <c r="I1100" s="34" t="n">
        <f aca="false">E1100*H1100+N(F1100)+N(G1100)</f>
        <v>19078</v>
      </c>
      <c r="J1100" s="42" t="n">
        <f aca="false">ROUND(IFERROR(ROUND(IF(OR(ISNUMBER(SEARCH("week",C1100)),ISNUMBER(SEARCH("minggu",C1100))),IFERROR(_xlfn.NUMBERVALUE(SUBSTITUTE(LEFT(TRIM(C1100),FIND(" ",TRIM(C1100)&amp;" ")-1),",","."),"."),LEFT(SUBSTITUTE(LEFT(TRIM(C1100),FIND(" ",TRIM(C1100)&amp;" ")-1),",","."),FIND("/",SUBSTITUTE(LEFT(TRIM(C1100),FIND(" ",TRIM(C1100)&amp;" ")-1),",","."))-1)/MID(SUBSTITUTE(LEFT(TRIM(C1100),FIND(" ",TRIM(C1100)&amp;" ")-1),",","."),FIND("/",SUBSTITUTE(LEFT(TRIM(C1100),FIND(" ",TRIM(C1100)&amp;" ")-1),",","."))+1,9))*12/52,IF(ISNUMBER(SEARCH("month",C1100)),IFERROR(_xlfn.NUMBERVALUE(SUBSTITUTE(LEFT(TRIM(C1100),FIND(" ",TRIM(C1100)&amp;" ")-1),",","."),"."),LEFT(SUBSTITUTE(LEFT(TRIM(C1100),FIND(" ",TRIM(C1100)&amp;" ")-1),",","."),FIND("/",SUBSTITUTE(LEFT(TRIM(C1100),FIND(" ",TRIM(C1100)&amp;" ")-1),",","."))-1)/MID(SUBSTITUTE(LEFT(TRIM(C1100),FIND(" ",TRIM(C1100)&amp;" ")-1),",","."),FIND("/",SUBSTITUTE(LEFT(TRIM(C1100),FIND(" ",TRIM(C1100)&amp;" ")-1),",","."))+1,9)),IF(ISNUMBER(SEARCH("yea",C1100)),IFERROR(_xlfn.NUMBERVALUE(SUBSTITUTE(LEFT(TRIM(C1100),FIND(" ",TRIM(C1100)&amp;" ")-1),",","."),"."),LEFT(SUBSTITUTE(LEFT(TRIM(C1100),FIND(" ",TRIM(C1100)&amp;" ")-1),",","."),FIND("/",SUBSTITUTE(LEFT(TRIM(C1100),FIND(" ",TRIM(C1100)&amp;" ")-1),",","."))-1)/MID(SUBSTITUTE(LEFT(TRIM(C1100),FIND(" ",TRIM(C1100)&amp;" ")-1),",","."),FIND("/",SUBSTITUTE(LEFT(TRIM(C1100),FIND(" ",TRIM(C1100)&amp;" ")-1),",","."))+1,9))*12,NA()))),0),60)*'Aturan &amp; Tarif'!$B$4,2)</f>
        <v>3406.8</v>
      </c>
      <c r="K1100" s="42" t="n">
        <f aca="false">'Aturan &amp; Tarif'!$B$5</f>
        <v>2050</v>
      </c>
      <c r="L1100" s="35" t="n">
        <f aca="false">I1100+J1100+K1100</f>
        <v>24534.8</v>
      </c>
      <c r="M1100" s="45" t="s">
        <v>2572</v>
      </c>
    </row>
    <row r="1101" customFormat="false" ht="25.5" hidden="false" customHeight="true" outlineLevel="0" collapsed="false">
      <c r="A1101" s="39"/>
      <c r="B1101" s="40" t="s">
        <v>2612</v>
      </c>
      <c r="C1101" s="41" t="s">
        <v>245</v>
      </c>
      <c r="D1101" s="41" t="s">
        <v>108</v>
      </c>
      <c r="E1101" s="42" t="n">
        <v>9539</v>
      </c>
      <c r="F1101" s="42"/>
      <c r="G1101" s="42"/>
      <c r="H1101" s="43" t="n">
        <v>2</v>
      </c>
      <c r="I1101" s="34" t="n">
        <f aca="false">E1101*H1101+N(F1101)+N(G1101)</f>
        <v>19078</v>
      </c>
      <c r="J1101" s="42" t="n">
        <f aca="false">ROUND(IFERROR(ROUND(IF(OR(ISNUMBER(SEARCH("week",C1101)),ISNUMBER(SEARCH("minggu",C1101))),IFERROR(_xlfn.NUMBERVALUE(SUBSTITUTE(LEFT(TRIM(C1101),FIND(" ",TRIM(C1101)&amp;" ")-1),",","."),"."),LEFT(SUBSTITUTE(LEFT(TRIM(C1101),FIND(" ",TRIM(C1101)&amp;" ")-1),",","."),FIND("/",SUBSTITUTE(LEFT(TRIM(C1101),FIND(" ",TRIM(C1101)&amp;" ")-1),",","."))-1)/MID(SUBSTITUTE(LEFT(TRIM(C1101),FIND(" ",TRIM(C1101)&amp;" ")-1),",","."),FIND("/",SUBSTITUTE(LEFT(TRIM(C1101),FIND(" ",TRIM(C1101)&amp;" ")-1),",","."))+1,9))*12/52,IF(ISNUMBER(SEARCH("month",C1101)),IFERROR(_xlfn.NUMBERVALUE(SUBSTITUTE(LEFT(TRIM(C1101),FIND(" ",TRIM(C1101)&amp;" ")-1),",","."),"."),LEFT(SUBSTITUTE(LEFT(TRIM(C1101),FIND(" ",TRIM(C1101)&amp;" ")-1),",","."),FIND("/",SUBSTITUTE(LEFT(TRIM(C1101),FIND(" ",TRIM(C1101)&amp;" ")-1),",","."))-1)/MID(SUBSTITUTE(LEFT(TRIM(C1101),FIND(" ",TRIM(C1101)&amp;" ")-1),",","."),FIND("/",SUBSTITUTE(LEFT(TRIM(C1101),FIND(" ",TRIM(C1101)&amp;" ")-1),",","."))+1,9)),IF(ISNUMBER(SEARCH("yea",C1101)),IFERROR(_xlfn.NUMBERVALUE(SUBSTITUTE(LEFT(TRIM(C1101),FIND(" ",TRIM(C1101)&amp;" ")-1),",","."),"."),LEFT(SUBSTITUTE(LEFT(TRIM(C1101),FIND(" ",TRIM(C1101)&amp;" ")-1),",","."),FIND("/",SUBSTITUTE(LEFT(TRIM(C1101),FIND(" ",TRIM(C1101)&amp;" ")-1),",","."))-1)/MID(SUBSTITUTE(LEFT(TRIM(C1101),FIND(" ",TRIM(C1101)&amp;" ")-1),",","."),FIND("/",SUBSTITUTE(LEFT(TRIM(C1101),FIND(" ",TRIM(C1101)&amp;" ")-1),",","."))+1,9))*12,NA()))),0),60)*'Aturan &amp; Tarif'!$B$4,2)</f>
        <v>3406.8</v>
      </c>
      <c r="K1101" s="42" t="n">
        <f aca="false">'Aturan &amp; Tarif'!$B$5</f>
        <v>2050</v>
      </c>
      <c r="L1101" s="35" t="n">
        <f aca="false">I1101+J1101+K1101</f>
        <v>24534.8</v>
      </c>
      <c r="M1101" s="45" t="s">
        <v>2572</v>
      </c>
    </row>
    <row r="1102" customFormat="false" ht="25.5" hidden="false" customHeight="true" outlineLevel="0" collapsed="false">
      <c r="A1102" s="39"/>
      <c r="B1102" s="40" t="s">
        <v>2613</v>
      </c>
      <c r="C1102" s="41" t="s">
        <v>245</v>
      </c>
      <c r="D1102" s="41" t="s">
        <v>108</v>
      </c>
      <c r="E1102" s="42" t="n">
        <v>9539</v>
      </c>
      <c r="F1102" s="42"/>
      <c r="G1102" s="42"/>
      <c r="H1102" s="43" t="n">
        <v>2</v>
      </c>
      <c r="I1102" s="34" t="n">
        <f aca="false">E1102*H1102+N(F1102)+N(G1102)</f>
        <v>19078</v>
      </c>
      <c r="J1102" s="42" t="n">
        <f aca="false">ROUND(IFERROR(ROUND(IF(OR(ISNUMBER(SEARCH("week",C1102)),ISNUMBER(SEARCH("minggu",C1102))),IFERROR(_xlfn.NUMBERVALUE(SUBSTITUTE(LEFT(TRIM(C1102),FIND(" ",TRIM(C1102)&amp;" ")-1),",","."),"."),LEFT(SUBSTITUTE(LEFT(TRIM(C1102),FIND(" ",TRIM(C1102)&amp;" ")-1),",","."),FIND("/",SUBSTITUTE(LEFT(TRIM(C1102),FIND(" ",TRIM(C1102)&amp;" ")-1),",","."))-1)/MID(SUBSTITUTE(LEFT(TRIM(C1102),FIND(" ",TRIM(C1102)&amp;" ")-1),",","."),FIND("/",SUBSTITUTE(LEFT(TRIM(C1102),FIND(" ",TRIM(C1102)&amp;" ")-1),",","."))+1,9))*12/52,IF(ISNUMBER(SEARCH("month",C1102)),IFERROR(_xlfn.NUMBERVALUE(SUBSTITUTE(LEFT(TRIM(C1102),FIND(" ",TRIM(C1102)&amp;" ")-1),",","."),"."),LEFT(SUBSTITUTE(LEFT(TRIM(C1102),FIND(" ",TRIM(C1102)&amp;" ")-1),",","."),FIND("/",SUBSTITUTE(LEFT(TRIM(C1102),FIND(" ",TRIM(C1102)&amp;" ")-1),",","."))-1)/MID(SUBSTITUTE(LEFT(TRIM(C1102),FIND(" ",TRIM(C1102)&amp;" ")-1),",","."),FIND("/",SUBSTITUTE(LEFT(TRIM(C1102),FIND(" ",TRIM(C1102)&amp;" ")-1),",","."))+1,9)),IF(ISNUMBER(SEARCH("yea",C1102)),IFERROR(_xlfn.NUMBERVALUE(SUBSTITUTE(LEFT(TRIM(C1102),FIND(" ",TRIM(C1102)&amp;" ")-1),",","."),"."),LEFT(SUBSTITUTE(LEFT(TRIM(C1102),FIND(" ",TRIM(C1102)&amp;" ")-1),",","."),FIND("/",SUBSTITUTE(LEFT(TRIM(C1102),FIND(" ",TRIM(C1102)&amp;" ")-1),",","."))-1)/MID(SUBSTITUTE(LEFT(TRIM(C1102),FIND(" ",TRIM(C1102)&amp;" ")-1),",","."),FIND("/",SUBSTITUTE(LEFT(TRIM(C1102),FIND(" ",TRIM(C1102)&amp;" ")-1),",","."))+1,9))*12,NA()))),0),60)*'Aturan &amp; Tarif'!$B$4,2)</f>
        <v>3406.8</v>
      </c>
      <c r="K1102" s="42" t="n">
        <f aca="false">'Aturan &amp; Tarif'!$B$5</f>
        <v>2050</v>
      </c>
      <c r="L1102" s="35" t="n">
        <f aca="false">I1102+J1102+K1102</f>
        <v>24534.8</v>
      </c>
      <c r="M1102" s="45" t="s">
        <v>2572</v>
      </c>
    </row>
    <row r="1103" customFormat="false" ht="37.5" hidden="false" customHeight="true" outlineLevel="0" collapsed="false">
      <c r="A1103" s="39"/>
      <c r="B1103" s="40" t="s">
        <v>2614</v>
      </c>
      <c r="C1103" s="41" t="s">
        <v>245</v>
      </c>
      <c r="D1103" s="41" t="s">
        <v>108</v>
      </c>
      <c r="E1103" s="42" t="n">
        <v>9539</v>
      </c>
      <c r="F1103" s="42"/>
      <c r="G1103" s="42"/>
      <c r="H1103" s="43" t="n">
        <v>2</v>
      </c>
      <c r="I1103" s="34" t="n">
        <f aca="false">E1103*H1103+N(F1103)+N(G1103)</f>
        <v>19078</v>
      </c>
      <c r="J1103" s="42" t="n">
        <f aca="false">ROUND(IFERROR(ROUND(IF(OR(ISNUMBER(SEARCH("week",C1103)),ISNUMBER(SEARCH("minggu",C1103))),IFERROR(_xlfn.NUMBERVALUE(SUBSTITUTE(LEFT(TRIM(C1103),FIND(" ",TRIM(C1103)&amp;" ")-1),",","."),"."),LEFT(SUBSTITUTE(LEFT(TRIM(C1103),FIND(" ",TRIM(C1103)&amp;" ")-1),",","."),FIND("/",SUBSTITUTE(LEFT(TRIM(C1103),FIND(" ",TRIM(C1103)&amp;" ")-1),",","."))-1)/MID(SUBSTITUTE(LEFT(TRIM(C1103),FIND(" ",TRIM(C1103)&amp;" ")-1),",","."),FIND("/",SUBSTITUTE(LEFT(TRIM(C1103),FIND(" ",TRIM(C1103)&amp;" ")-1),",","."))+1,9))*12/52,IF(ISNUMBER(SEARCH("month",C1103)),IFERROR(_xlfn.NUMBERVALUE(SUBSTITUTE(LEFT(TRIM(C1103),FIND(" ",TRIM(C1103)&amp;" ")-1),",","."),"."),LEFT(SUBSTITUTE(LEFT(TRIM(C1103),FIND(" ",TRIM(C1103)&amp;" ")-1),",","."),FIND("/",SUBSTITUTE(LEFT(TRIM(C1103),FIND(" ",TRIM(C1103)&amp;" ")-1),",","."))-1)/MID(SUBSTITUTE(LEFT(TRIM(C1103),FIND(" ",TRIM(C1103)&amp;" ")-1),",","."),FIND("/",SUBSTITUTE(LEFT(TRIM(C1103),FIND(" ",TRIM(C1103)&amp;" ")-1),",","."))+1,9)),IF(ISNUMBER(SEARCH("yea",C1103)),IFERROR(_xlfn.NUMBERVALUE(SUBSTITUTE(LEFT(TRIM(C1103),FIND(" ",TRIM(C1103)&amp;" ")-1),",","."),"."),LEFT(SUBSTITUTE(LEFT(TRIM(C1103),FIND(" ",TRIM(C1103)&amp;" ")-1),",","."),FIND("/",SUBSTITUTE(LEFT(TRIM(C1103),FIND(" ",TRIM(C1103)&amp;" ")-1),",","."))-1)/MID(SUBSTITUTE(LEFT(TRIM(C1103),FIND(" ",TRIM(C1103)&amp;" ")-1),",","."),FIND("/",SUBSTITUTE(LEFT(TRIM(C1103),FIND(" ",TRIM(C1103)&amp;" ")-1),",","."))+1,9))*12,NA()))),0),60)*'Aturan &amp; Tarif'!$B$4,2)</f>
        <v>3406.8</v>
      </c>
      <c r="K1103" s="42" t="n">
        <f aca="false">'Aturan &amp; Tarif'!$B$5</f>
        <v>2050</v>
      </c>
      <c r="L1103" s="35" t="n">
        <f aca="false">I1103+J1103+K1103</f>
        <v>24534.8</v>
      </c>
      <c r="M1103" s="45" t="s">
        <v>2572</v>
      </c>
    </row>
    <row r="1104" customFormat="false" ht="83.25" hidden="false" customHeight="true" outlineLevel="0" collapsed="false">
      <c r="A1104" s="39"/>
      <c r="B1104" s="40" t="s">
        <v>2615</v>
      </c>
      <c r="C1104" s="41" t="s">
        <v>245</v>
      </c>
      <c r="D1104" s="41" t="s">
        <v>108</v>
      </c>
      <c r="E1104" s="42" t="n">
        <v>9539</v>
      </c>
      <c r="F1104" s="42"/>
      <c r="G1104" s="42"/>
      <c r="H1104" s="43" t="n">
        <v>2</v>
      </c>
      <c r="I1104" s="34" t="n">
        <f aca="false">E1104*H1104+N(F1104)+N(G1104)</f>
        <v>19078</v>
      </c>
      <c r="J1104" s="42" t="n">
        <f aca="false">ROUND(IFERROR(ROUND(IF(OR(ISNUMBER(SEARCH("week",C1104)),ISNUMBER(SEARCH("minggu",C1104))),IFERROR(_xlfn.NUMBERVALUE(SUBSTITUTE(LEFT(TRIM(C1104),FIND(" ",TRIM(C1104)&amp;" ")-1),",","."),"."),LEFT(SUBSTITUTE(LEFT(TRIM(C1104),FIND(" ",TRIM(C1104)&amp;" ")-1),",","."),FIND("/",SUBSTITUTE(LEFT(TRIM(C1104),FIND(" ",TRIM(C1104)&amp;" ")-1),",","."))-1)/MID(SUBSTITUTE(LEFT(TRIM(C1104),FIND(" ",TRIM(C1104)&amp;" ")-1),",","."),FIND("/",SUBSTITUTE(LEFT(TRIM(C1104),FIND(" ",TRIM(C1104)&amp;" ")-1),",","."))+1,9))*12/52,IF(ISNUMBER(SEARCH("month",C1104)),IFERROR(_xlfn.NUMBERVALUE(SUBSTITUTE(LEFT(TRIM(C1104),FIND(" ",TRIM(C1104)&amp;" ")-1),",","."),"."),LEFT(SUBSTITUTE(LEFT(TRIM(C1104),FIND(" ",TRIM(C1104)&amp;" ")-1),",","."),FIND("/",SUBSTITUTE(LEFT(TRIM(C1104),FIND(" ",TRIM(C1104)&amp;" ")-1),",","."))-1)/MID(SUBSTITUTE(LEFT(TRIM(C1104),FIND(" ",TRIM(C1104)&amp;" ")-1),",","."),FIND("/",SUBSTITUTE(LEFT(TRIM(C1104),FIND(" ",TRIM(C1104)&amp;" ")-1),",","."))+1,9)),IF(ISNUMBER(SEARCH("yea",C1104)),IFERROR(_xlfn.NUMBERVALUE(SUBSTITUTE(LEFT(TRIM(C1104),FIND(" ",TRIM(C1104)&amp;" ")-1),",","."),"."),LEFT(SUBSTITUTE(LEFT(TRIM(C1104),FIND(" ",TRIM(C1104)&amp;" ")-1),",","."),FIND("/",SUBSTITUTE(LEFT(TRIM(C1104),FIND(" ",TRIM(C1104)&amp;" ")-1),",","."))-1)/MID(SUBSTITUTE(LEFT(TRIM(C1104),FIND(" ",TRIM(C1104)&amp;" ")-1),",","."),FIND("/",SUBSTITUTE(LEFT(TRIM(C1104),FIND(" ",TRIM(C1104)&amp;" ")-1),",","."))+1,9))*12,NA()))),0),60)*'Aturan &amp; Tarif'!$B$4,2)</f>
        <v>3406.8</v>
      </c>
      <c r="K1104" s="42" t="n">
        <f aca="false">'Aturan &amp; Tarif'!$B$5</f>
        <v>2050</v>
      </c>
      <c r="L1104" s="35" t="n">
        <f aca="false">I1104+J1104+K1104</f>
        <v>24534.8</v>
      </c>
      <c r="M1104" s="45" t="s">
        <v>2572</v>
      </c>
    </row>
    <row r="1105" customFormat="false" ht="48.75" hidden="false" customHeight="true" outlineLevel="0" collapsed="false">
      <c r="A1105" s="39"/>
      <c r="B1105" s="40" t="s">
        <v>2616</v>
      </c>
      <c r="C1105" s="41" t="s">
        <v>245</v>
      </c>
      <c r="D1105" s="41" t="s">
        <v>108</v>
      </c>
      <c r="E1105" s="42" t="n">
        <v>9539</v>
      </c>
      <c r="F1105" s="42"/>
      <c r="G1105" s="42"/>
      <c r="H1105" s="43" t="n">
        <v>2</v>
      </c>
      <c r="I1105" s="34" t="n">
        <f aca="false">E1105*H1105+N(F1105)+N(G1105)</f>
        <v>19078</v>
      </c>
      <c r="J1105" s="42" t="n">
        <f aca="false">ROUND(IFERROR(ROUND(IF(OR(ISNUMBER(SEARCH("week",C1105)),ISNUMBER(SEARCH("minggu",C1105))),IFERROR(_xlfn.NUMBERVALUE(SUBSTITUTE(LEFT(TRIM(C1105),FIND(" ",TRIM(C1105)&amp;" ")-1),",","."),"."),LEFT(SUBSTITUTE(LEFT(TRIM(C1105),FIND(" ",TRIM(C1105)&amp;" ")-1),",","."),FIND("/",SUBSTITUTE(LEFT(TRIM(C1105),FIND(" ",TRIM(C1105)&amp;" ")-1),",","."))-1)/MID(SUBSTITUTE(LEFT(TRIM(C1105),FIND(" ",TRIM(C1105)&amp;" ")-1),",","."),FIND("/",SUBSTITUTE(LEFT(TRIM(C1105),FIND(" ",TRIM(C1105)&amp;" ")-1),",","."))+1,9))*12/52,IF(ISNUMBER(SEARCH("month",C1105)),IFERROR(_xlfn.NUMBERVALUE(SUBSTITUTE(LEFT(TRIM(C1105),FIND(" ",TRIM(C1105)&amp;" ")-1),",","."),"."),LEFT(SUBSTITUTE(LEFT(TRIM(C1105),FIND(" ",TRIM(C1105)&amp;" ")-1),",","."),FIND("/",SUBSTITUTE(LEFT(TRIM(C1105),FIND(" ",TRIM(C1105)&amp;" ")-1),",","."))-1)/MID(SUBSTITUTE(LEFT(TRIM(C1105),FIND(" ",TRIM(C1105)&amp;" ")-1),",","."),FIND("/",SUBSTITUTE(LEFT(TRIM(C1105),FIND(" ",TRIM(C1105)&amp;" ")-1),",","."))+1,9)),IF(ISNUMBER(SEARCH("yea",C1105)),IFERROR(_xlfn.NUMBERVALUE(SUBSTITUTE(LEFT(TRIM(C1105),FIND(" ",TRIM(C1105)&amp;" ")-1),",","."),"."),LEFT(SUBSTITUTE(LEFT(TRIM(C1105),FIND(" ",TRIM(C1105)&amp;" ")-1),",","."),FIND("/",SUBSTITUTE(LEFT(TRIM(C1105),FIND(" ",TRIM(C1105)&amp;" ")-1),",","."))-1)/MID(SUBSTITUTE(LEFT(TRIM(C1105),FIND(" ",TRIM(C1105)&amp;" ")-1),",","."),FIND("/",SUBSTITUTE(LEFT(TRIM(C1105),FIND(" ",TRIM(C1105)&amp;" ")-1),",","."))+1,9))*12,NA()))),0),60)*'Aturan &amp; Tarif'!$B$4,2)</f>
        <v>3406.8</v>
      </c>
      <c r="K1105" s="42" t="n">
        <f aca="false">'Aturan &amp; Tarif'!$B$5</f>
        <v>2050</v>
      </c>
      <c r="L1105" s="35" t="n">
        <f aca="false">I1105+J1105+K1105</f>
        <v>24534.8</v>
      </c>
      <c r="M1105" s="45" t="s">
        <v>2572</v>
      </c>
    </row>
    <row r="1106" customFormat="false" ht="83.25" hidden="false" customHeight="true" outlineLevel="0" collapsed="false">
      <c r="A1106" s="39"/>
      <c r="B1106" s="40" t="s">
        <v>2617</v>
      </c>
      <c r="C1106" s="41" t="s">
        <v>245</v>
      </c>
      <c r="D1106" s="41" t="s">
        <v>108</v>
      </c>
      <c r="E1106" s="42" t="n">
        <v>9539</v>
      </c>
      <c r="F1106" s="42"/>
      <c r="G1106" s="42"/>
      <c r="H1106" s="43" t="n">
        <v>2</v>
      </c>
      <c r="I1106" s="34" t="n">
        <f aca="false">E1106*H1106+N(F1106)+N(G1106)</f>
        <v>19078</v>
      </c>
      <c r="J1106" s="42" t="n">
        <f aca="false">ROUND(IFERROR(ROUND(IF(OR(ISNUMBER(SEARCH("week",C1106)),ISNUMBER(SEARCH("minggu",C1106))),IFERROR(_xlfn.NUMBERVALUE(SUBSTITUTE(LEFT(TRIM(C1106),FIND(" ",TRIM(C1106)&amp;" ")-1),",","."),"."),LEFT(SUBSTITUTE(LEFT(TRIM(C1106),FIND(" ",TRIM(C1106)&amp;" ")-1),",","."),FIND("/",SUBSTITUTE(LEFT(TRIM(C1106),FIND(" ",TRIM(C1106)&amp;" ")-1),",","."))-1)/MID(SUBSTITUTE(LEFT(TRIM(C1106),FIND(" ",TRIM(C1106)&amp;" ")-1),",","."),FIND("/",SUBSTITUTE(LEFT(TRIM(C1106),FIND(" ",TRIM(C1106)&amp;" ")-1),",","."))+1,9))*12/52,IF(ISNUMBER(SEARCH("month",C1106)),IFERROR(_xlfn.NUMBERVALUE(SUBSTITUTE(LEFT(TRIM(C1106),FIND(" ",TRIM(C1106)&amp;" ")-1),",","."),"."),LEFT(SUBSTITUTE(LEFT(TRIM(C1106),FIND(" ",TRIM(C1106)&amp;" ")-1),",","."),FIND("/",SUBSTITUTE(LEFT(TRIM(C1106),FIND(" ",TRIM(C1106)&amp;" ")-1),",","."))-1)/MID(SUBSTITUTE(LEFT(TRIM(C1106),FIND(" ",TRIM(C1106)&amp;" ")-1),",","."),FIND("/",SUBSTITUTE(LEFT(TRIM(C1106),FIND(" ",TRIM(C1106)&amp;" ")-1),",","."))+1,9)),IF(ISNUMBER(SEARCH("yea",C1106)),IFERROR(_xlfn.NUMBERVALUE(SUBSTITUTE(LEFT(TRIM(C1106),FIND(" ",TRIM(C1106)&amp;" ")-1),",","."),"."),LEFT(SUBSTITUTE(LEFT(TRIM(C1106),FIND(" ",TRIM(C1106)&amp;" ")-1),",","."),FIND("/",SUBSTITUTE(LEFT(TRIM(C1106),FIND(" ",TRIM(C1106)&amp;" ")-1),",","."))-1)/MID(SUBSTITUTE(LEFT(TRIM(C1106),FIND(" ",TRIM(C1106)&amp;" ")-1),",","."),FIND("/",SUBSTITUTE(LEFT(TRIM(C1106),FIND(" ",TRIM(C1106)&amp;" ")-1),",","."))+1,9))*12,NA()))),0),60)*'Aturan &amp; Tarif'!$B$4,2)</f>
        <v>3406.8</v>
      </c>
      <c r="K1106" s="42" t="n">
        <f aca="false">'Aturan &amp; Tarif'!$B$5</f>
        <v>2050</v>
      </c>
      <c r="L1106" s="35" t="n">
        <f aca="false">I1106+J1106+K1106</f>
        <v>24534.8</v>
      </c>
      <c r="M1106" s="45" t="s">
        <v>2572</v>
      </c>
    </row>
    <row r="1107" customFormat="false" ht="83.25" hidden="false" customHeight="true" outlineLevel="0" collapsed="false">
      <c r="A1107" s="39"/>
      <c r="B1107" s="40" t="s">
        <v>2618</v>
      </c>
      <c r="C1107" s="41" t="s">
        <v>245</v>
      </c>
      <c r="D1107" s="41" t="s">
        <v>108</v>
      </c>
      <c r="E1107" s="42" t="n">
        <v>9539</v>
      </c>
      <c r="F1107" s="42"/>
      <c r="G1107" s="42"/>
      <c r="H1107" s="43" t="n">
        <v>2</v>
      </c>
      <c r="I1107" s="34" t="n">
        <f aca="false">E1107*H1107+N(F1107)+N(G1107)</f>
        <v>19078</v>
      </c>
      <c r="J1107" s="42" t="n">
        <f aca="false">ROUND(IFERROR(ROUND(IF(OR(ISNUMBER(SEARCH("week",C1107)),ISNUMBER(SEARCH("minggu",C1107))),IFERROR(_xlfn.NUMBERVALUE(SUBSTITUTE(LEFT(TRIM(C1107),FIND(" ",TRIM(C1107)&amp;" ")-1),",","."),"."),LEFT(SUBSTITUTE(LEFT(TRIM(C1107),FIND(" ",TRIM(C1107)&amp;" ")-1),",","."),FIND("/",SUBSTITUTE(LEFT(TRIM(C1107),FIND(" ",TRIM(C1107)&amp;" ")-1),",","."))-1)/MID(SUBSTITUTE(LEFT(TRIM(C1107),FIND(" ",TRIM(C1107)&amp;" ")-1),",","."),FIND("/",SUBSTITUTE(LEFT(TRIM(C1107),FIND(" ",TRIM(C1107)&amp;" ")-1),",","."))+1,9))*12/52,IF(ISNUMBER(SEARCH("month",C1107)),IFERROR(_xlfn.NUMBERVALUE(SUBSTITUTE(LEFT(TRIM(C1107),FIND(" ",TRIM(C1107)&amp;" ")-1),",","."),"."),LEFT(SUBSTITUTE(LEFT(TRIM(C1107),FIND(" ",TRIM(C1107)&amp;" ")-1),",","."),FIND("/",SUBSTITUTE(LEFT(TRIM(C1107),FIND(" ",TRIM(C1107)&amp;" ")-1),",","."))-1)/MID(SUBSTITUTE(LEFT(TRIM(C1107),FIND(" ",TRIM(C1107)&amp;" ")-1),",","."),FIND("/",SUBSTITUTE(LEFT(TRIM(C1107),FIND(" ",TRIM(C1107)&amp;" ")-1),",","."))+1,9)),IF(ISNUMBER(SEARCH("yea",C1107)),IFERROR(_xlfn.NUMBERVALUE(SUBSTITUTE(LEFT(TRIM(C1107),FIND(" ",TRIM(C1107)&amp;" ")-1),",","."),"."),LEFT(SUBSTITUTE(LEFT(TRIM(C1107),FIND(" ",TRIM(C1107)&amp;" ")-1),",","."),FIND("/",SUBSTITUTE(LEFT(TRIM(C1107),FIND(" ",TRIM(C1107)&amp;" ")-1),",","."))-1)/MID(SUBSTITUTE(LEFT(TRIM(C1107),FIND(" ",TRIM(C1107)&amp;" ")-1),",","."),FIND("/",SUBSTITUTE(LEFT(TRIM(C1107),FIND(" ",TRIM(C1107)&amp;" ")-1),",","."))+1,9))*12,NA()))),0),60)*'Aturan &amp; Tarif'!$B$4,2)</f>
        <v>3406.8</v>
      </c>
      <c r="K1107" s="42" t="n">
        <f aca="false">'Aturan &amp; Tarif'!$B$5</f>
        <v>2050</v>
      </c>
      <c r="L1107" s="35" t="n">
        <f aca="false">I1107+J1107+K1107</f>
        <v>24534.8</v>
      </c>
      <c r="M1107" s="45" t="s">
        <v>2572</v>
      </c>
    </row>
    <row r="1108" customFormat="false" ht="25.5" hidden="false" customHeight="true" outlineLevel="0" collapsed="false">
      <c r="A1108" s="39"/>
      <c r="B1108" s="40" t="s">
        <v>2619</v>
      </c>
      <c r="C1108" s="41" t="s">
        <v>245</v>
      </c>
      <c r="D1108" s="41" t="s">
        <v>108</v>
      </c>
      <c r="E1108" s="42" t="n">
        <v>9539</v>
      </c>
      <c r="F1108" s="42"/>
      <c r="G1108" s="42"/>
      <c r="H1108" s="43" t="n">
        <v>2</v>
      </c>
      <c r="I1108" s="34" t="n">
        <f aca="false">E1108*H1108+N(F1108)+N(G1108)</f>
        <v>19078</v>
      </c>
      <c r="J1108" s="42" t="n">
        <f aca="false">ROUND(IFERROR(ROUND(IF(OR(ISNUMBER(SEARCH("week",C1108)),ISNUMBER(SEARCH("minggu",C1108))),IFERROR(_xlfn.NUMBERVALUE(SUBSTITUTE(LEFT(TRIM(C1108),FIND(" ",TRIM(C1108)&amp;" ")-1),",","."),"."),LEFT(SUBSTITUTE(LEFT(TRIM(C1108),FIND(" ",TRIM(C1108)&amp;" ")-1),",","."),FIND("/",SUBSTITUTE(LEFT(TRIM(C1108),FIND(" ",TRIM(C1108)&amp;" ")-1),",","."))-1)/MID(SUBSTITUTE(LEFT(TRIM(C1108),FIND(" ",TRIM(C1108)&amp;" ")-1),",","."),FIND("/",SUBSTITUTE(LEFT(TRIM(C1108),FIND(" ",TRIM(C1108)&amp;" ")-1),",","."))+1,9))*12/52,IF(ISNUMBER(SEARCH("month",C1108)),IFERROR(_xlfn.NUMBERVALUE(SUBSTITUTE(LEFT(TRIM(C1108),FIND(" ",TRIM(C1108)&amp;" ")-1),",","."),"."),LEFT(SUBSTITUTE(LEFT(TRIM(C1108),FIND(" ",TRIM(C1108)&amp;" ")-1),",","."),FIND("/",SUBSTITUTE(LEFT(TRIM(C1108),FIND(" ",TRIM(C1108)&amp;" ")-1),",","."))-1)/MID(SUBSTITUTE(LEFT(TRIM(C1108),FIND(" ",TRIM(C1108)&amp;" ")-1),",","."),FIND("/",SUBSTITUTE(LEFT(TRIM(C1108),FIND(" ",TRIM(C1108)&amp;" ")-1),",","."))+1,9)),IF(ISNUMBER(SEARCH("yea",C1108)),IFERROR(_xlfn.NUMBERVALUE(SUBSTITUTE(LEFT(TRIM(C1108),FIND(" ",TRIM(C1108)&amp;" ")-1),",","."),"."),LEFT(SUBSTITUTE(LEFT(TRIM(C1108),FIND(" ",TRIM(C1108)&amp;" ")-1),",","."),FIND("/",SUBSTITUTE(LEFT(TRIM(C1108),FIND(" ",TRIM(C1108)&amp;" ")-1),",","."))-1)/MID(SUBSTITUTE(LEFT(TRIM(C1108),FIND(" ",TRIM(C1108)&amp;" ")-1),",","."),FIND("/",SUBSTITUTE(LEFT(TRIM(C1108),FIND(" ",TRIM(C1108)&amp;" ")-1),",","."))+1,9))*12,NA()))),0),60)*'Aturan &amp; Tarif'!$B$4,2)</f>
        <v>3406.8</v>
      </c>
      <c r="K1108" s="42" t="n">
        <f aca="false">'Aturan &amp; Tarif'!$B$5</f>
        <v>2050</v>
      </c>
      <c r="L1108" s="35" t="n">
        <f aca="false">I1108+J1108+K1108</f>
        <v>24534.8</v>
      </c>
      <c r="M1108" s="45" t="s">
        <v>2572</v>
      </c>
    </row>
    <row r="1109" customFormat="false" ht="25.5" hidden="false" customHeight="true" outlineLevel="0" collapsed="false">
      <c r="A1109" s="39"/>
      <c r="B1109" s="40" t="s">
        <v>2620</v>
      </c>
      <c r="C1109" s="41" t="s">
        <v>245</v>
      </c>
      <c r="D1109" s="41" t="s">
        <v>108</v>
      </c>
      <c r="E1109" s="42" t="n">
        <v>9539</v>
      </c>
      <c r="F1109" s="42"/>
      <c r="G1109" s="42"/>
      <c r="H1109" s="43" t="n">
        <v>2</v>
      </c>
      <c r="I1109" s="34" t="n">
        <f aca="false">E1109*H1109+N(F1109)+N(G1109)</f>
        <v>19078</v>
      </c>
      <c r="J1109" s="42" t="n">
        <f aca="false">ROUND(IFERROR(ROUND(IF(OR(ISNUMBER(SEARCH("week",C1109)),ISNUMBER(SEARCH("minggu",C1109))),IFERROR(_xlfn.NUMBERVALUE(SUBSTITUTE(LEFT(TRIM(C1109),FIND(" ",TRIM(C1109)&amp;" ")-1),",","."),"."),LEFT(SUBSTITUTE(LEFT(TRIM(C1109),FIND(" ",TRIM(C1109)&amp;" ")-1),",","."),FIND("/",SUBSTITUTE(LEFT(TRIM(C1109),FIND(" ",TRIM(C1109)&amp;" ")-1),",","."))-1)/MID(SUBSTITUTE(LEFT(TRIM(C1109),FIND(" ",TRIM(C1109)&amp;" ")-1),",","."),FIND("/",SUBSTITUTE(LEFT(TRIM(C1109),FIND(" ",TRIM(C1109)&amp;" ")-1),",","."))+1,9))*12/52,IF(ISNUMBER(SEARCH("month",C1109)),IFERROR(_xlfn.NUMBERVALUE(SUBSTITUTE(LEFT(TRIM(C1109),FIND(" ",TRIM(C1109)&amp;" ")-1),",","."),"."),LEFT(SUBSTITUTE(LEFT(TRIM(C1109),FIND(" ",TRIM(C1109)&amp;" ")-1),",","."),FIND("/",SUBSTITUTE(LEFT(TRIM(C1109),FIND(" ",TRIM(C1109)&amp;" ")-1),",","."))-1)/MID(SUBSTITUTE(LEFT(TRIM(C1109),FIND(" ",TRIM(C1109)&amp;" ")-1),",","."),FIND("/",SUBSTITUTE(LEFT(TRIM(C1109),FIND(" ",TRIM(C1109)&amp;" ")-1),",","."))+1,9)),IF(ISNUMBER(SEARCH("yea",C1109)),IFERROR(_xlfn.NUMBERVALUE(SUBSTITUTE(LEFT(TRIM(C1109),FIND(" ",TRIM(C1109)&amp;" ")-1),",","."),"."),LEFT(SUBSTITUTE(LEFT(TRIM(C1109),FIND(" ",TRIM(C1109)&amp;" ")-1),",","."),FIND("/",SUBSTITUTE(LEFT(TRIM(C1109),FIND(" ",TRIM(C1109)&amp;" ")-1),",","."))-1)/MID(SUBSTITUTE(LEFT(TRIM(C1109),FIND(" ",TRIM(C1109)&amp;" ")-1),",","."),FIND("/",SUBSTITUTE(LEFT(TRIM(C1109),FIND(" ",TRIM(C1109)&amp;" ")-1),",","."))+1,9))*12,NA()))),0),60)*'Aturan &amp; Tarif'!$B$4,2)</f>
        <v>3406.8</v>
      </c>
      <c r="K1109" s="42" t="n">
        <f aca="false">'Aturan &amp; Tarif'!$B$5</f>
        <v>2050</v>
      </c>
      <c r="L1109" s="35" t="n">
        <f aca="false">I1109+J1109+K1109</f>
        <v>24534.8</v>
      </c>
      <c r="M1109" s="45" t="s">
        <v>2572</v>
      </c>
    </row>
    <row r="1110" customFormat="false" ht="25.5" hidden="false" customHeight="true" outlineLevel="0" collapsed="false">
      <c r="A1110" s="39"/>
      <c r="B1110" s="40" t="s">
        <v>2621</v>
      </c>
      <c r="C1110" s="41" t="s">
        <v>245</v>
      </c>
      <c r="D1110" s="41" t="s">
        <v>108</v>
      </c>
      <c r="E1110" s="42" t="n">
        <v>9539</v>
      </c>
      <c r="F1110" s="42"/>
      <c r="G1110" s="42"/>
      <c r="H1110" s="43" t="n">
        <v>2</v>
      </c>
      <c r="I1110" s="34" t="n">
        <f aca="false">E1110*H1110+N(F1110)+N(G1110)</f>
        <v>19078</v>
      </c>
      <c r="J1110" s="42" t="n">
        <f aca="false">ROUND(IFERROR(ROUND(IF(OR(ISNUMBER(SEARCH("week",C1110)),ISNUMBER(SEARCH("minggu",C1110))),IFERROR(_xlfn.NUMBERVALUE(SUBSTITUTE(LEFT(TRIM(C1110),FIND(" ",TRIM(C1110)&amp;" ")-1),",","."),"."),LEFT(SUBSTITUTE(LEFT(TRIM(C1110),FIND(" ",TRIM(C1110)&amp;" ")-1),",","."),FIND("/",SUBSTITUTE(LEFT(TRIM(C1110),FIND(" ",TRIM(C1110)&amp;" ")-1),",","."))-1)/MID(SUBSTITUTE(LEFT(TRIM(C1110),FIND(" ",TRIM(C1110)&amp;" ")-1),",","."),FIND("/",SUBSTITUTE(LEFT(TRIM(C1110),FIND(" ",TRIM(C1110)&amp;" ")-1),",","."))+1,9))*12/52,IF(ISNUMBER(SEARCH("month",C1110)),IFERROR(_xlfn.NUMBERVALUE(SUBSTITUTE(LEFT(TRIM(C1110),FIND(" ",TRIM(C1110)&amp;" ")-1),",","."),"."),LEFT(SUBSTITUTE(LEFT(TRIM(C1110),FIND(" ",TRIM(C1110)&amp;" ")-1),",","."),FIND("/",SUBSTITUTE(LEFT(TRIM(C1110),FIND(" ",TRIM(C1110)&amp;" ")-1),",","."))-1)/MID(SUBSTITUTE(LEFT(TRIM(C1110),FIND(" ",TRIM(C1110)&amp;" ")-1),",","."),FIND("/",SUBSTITUTE(LEFT(TRIM(C1110),FIND(" ",TRIM(C1110)&amp;" ")-1),",","."))+1,9)),IF(ISNUMBER(SEARCH("yea",C1110)),IFERROR(_xlfn.NUMBERVALUE(SUBSTITUTE(LEFT(TRIM(C1110),FIND(" ",TRIM(C1110)&amp;" ")-1),",","."),"."),LEFT(SUBSTITUTE(LEFT(TRIM(C1110),FIND(" ",TRIM(C1110)&amp;" ")-1),",","."),FIND("/",SUBSTITUTE(LEFT(TRIM(C1110),FIND(" ",TRIM(C1110)&amp;" ")-1),",","."))-1)/MID(SUBSTITUTE(LEFT(TRIM(C1110),FIND(" ",TRIM(C1110)&amp;" ")-1),",","."),FIND("/",SUBSTITUTE(LEFT(TRIM(C1110),FIND(" ",TRIM(C1110)&amp;" ")-1),",","."))+1,9))*12,NA()))),0),60)*'Aturan &amp; Tarif'!$B$4,2)</f>
        <v>3406.8</v>
      </c>
      <c r="K1110" s="42" t="n">
        <f aca="false">'Aturan &amp; Tarif'!$B$5</f>
        <v>2050</v>
      </c>
      <c r="L1110" s="35" t="n">
        <f aca="false">I1110+J1110+K1110</f>
        <v>24534.8</v>
      </c>
      <c r="M1110" s="45" t="s">
        <v>2572</v>
      </c>
    </row>
    <row r="1111" customFormat="false" ht="25.5" hidden="false" customHeight="true" outlineLevel="0" collapsed="false">
      <c r="A1111" s="39"/>
      <c r="B1111" s="40" t="s">
        <v>2622</v>
      </c>
      <c r="C1111" s="41" t="s">
        <v>127</v>
      </c>
      <c r="D1111" s="41" t="s">
        <v>108</v>
      </c>
      <c r="E1111" s="42" t="n">
        <v>9263</v>
      </c>
      <c r="F1111" s="42"/>
      <c r="G1111" s="42"/>
      <c r="H1111" s="43" t="n">
        <v>2</v>
      </c>
      <c r="I1111" s="34" t="n">
        <f aca="false">E1111*H1111+N(F1111)+N(G1111)</f>
        <v>18526</v>
      </c>
      <c r="J1111" s="42" t="n">
        <f aca="false">ROUND(IFERROR(ROUND(IF(OR(ISNUMBER(SEARCH("week",C1111)),ISNUMBER(SEARCH("minggu",C1111))),IFERROR(_xlfn.NUMBERVALUE(SUBSTITUTE(LEFT(TRIM(C1111),FIND(" ",TRIM(C1111)&amp;" ")-1),",","."),"."),LEFT(SUBSTITUTE(LEFT(TRIM(C1111),FIND(" ",TRIM(C1111)&amp;" ")-1),",","."),FIND("/",SUBSTITUTE(LEFT(TRIM(C1111),FIND(" ",TRIM(C1111)&amp;" ")-1),",","."))-1)/MID(SUBSTITUTE(LEFT(TRIM(C1111),FIND(" ",TRIM(C1111)&amp;" ")-1),",","."),FIND("/",SUBSTITUTE(LEFT(TRIM(C1111),FIND(" ",TRIM(C1111)&amp;" ")-1),",","."))+1,9))*12/52,IF(ISNUMBER(SEARCH("month",C1111)),IFERROR(_xlfn.NUMBERVALUE(SUBSTITUTE(LEFT(TRIM(C1111),FIND(" ",TRIM(C1111)&amp;" ")-1),",","."),"."),LEFT(SUBSTITUTE(LEFT(TRIM(C1111),FIND(" ",TRIM(C1111)&amp;" ")-1),",","."),FIND("/",SUBSTITUTE(LEFT(TRIM(C1111),FIND(" ",TRIM(C1111)&amp;" ")-1),",","."))-1)/MID(SUBSTITUTE(LEFT(TRIM(C1111),FIND(" ",TRIM(C1111)&amp;" ")-1),",","."),FIND("/",SUBSTITUTE(LEFT(TRIM(C1111),FIND(" ",TRIM(C1111)&amp;" ")-1),",","."))+1,9)),IF(ISNUMBER(SEARCH("yea",C1111)),IFERROR(_xlfn.NUMBERVALUE(SUBSTITUTE(LEFT(TRIM(C1111),FIND(" ",TRIM(C1111)&amp;" ")-1),",","."),"."),LEFT(SUBSTITUTE(LEFT(TRIM(C1111),FIND(" ",TRIM(C1111)&amp;" ")-1),",","."),FIND("/",SUBSTITUTE(LEFT(TRIM(C1111),FIND(" ",TRIM(C1111)&amp;" ")-1),",","."))-1)/MID(SUBSTITUTE(LEFT(TRIM(C1111),FIND(" ",TRIM(C1111)&amp;" ")-1),",","."),FIND("/",SUBSTITUTE(LEFT(TRIM(C1111),FIND(" ",TRIM(C1111)&amp;" ")-1),",","."))+1,9))*12,NA()))),0),36)*'Aturan &amp; Tarif'!$B$4,2)</f>
        <v>2044.08</v>
      </c>
      <c r="K1111" s="42" t="n">
        <f aca="false">'Aturan &amp; Tarif'!$B$5</f>
        <v>2050</v>
      </c>
      <c r="L1111" s="35" t="n">
        <f aca="false">I1111+J1111+K1111</f>
        <v>22620.08</v>
      </c>
      <c r="M1111" s="45" t="s">
        <v>2572</v>
      </c>
    </row>
    <row r="1112" customFormat="false" ht="25.5" hidden="false" customHeight="true" outlineLevel="0" collapsed="false">
      <c r="A1112" s="39"/>
      <c r="B1112" s="40" t="s">
        <v>2623</v>
      </c>
      <c r="C1112" s="41" t="s">
        <v>245</v>
      </c>
      <c r="D1112" s="41" t="s">
        <v>108</v>
      </c>
      <c r="E1112" s="42" t="n">
        <v>21380</v>
      </c>
      <c r="F1112" s="42"/>
      <c r="G1112" s="42"/>
      <c r="H1112" s="43" t="n">
        <v>2</v>
      </c>
      <c r="I1112" s="34" t="n">
        <f aca="false">E1112*H1112+N(F1112)+N(G1112)</f>
        <v>42760</v>
      </c>
      <c r="J1112" s="42" t="n">
        <f aca="false">ROUND(IFERROR(ROUND(IF(OR(ISNUMBER(SEARCH("week",C1112)),ISNUMBER(SEARCH("minggu",C1112))),IFERROR(_xlfn.NUMBERVALUE(SUBSTITUTE(LEFT(TRIM(C1112),FIND(" ",TRIM(C1112)&amp;" ")-1),",","."),"."),LEFT(SUBSTITUTE(LEFT(TRIM(C1112),FIND(" ",TRIM(C1112)&amp;" ")-1),",","."),FIND("/",SUBSTITUTE(LEFT(TRIM(C1112),FIND(" ",TRIM(C1112)&amp;" ")-1),",","."))-1)/MID(SUBSTITUTE(LEFT(TRIM(C1112),FIND(" ",TRIM(C1112)&amp;" ")-1),",","."),FIND("/",SUBSTITUTE(LEFT(TRIM(C1112),FIND(" ",TRIM(C1112)&amp;" ")-1),",","."))+1,9))*12/52,IF(ISNUMBER(SEARCH("month",C1112)),IFERROR(_xlfn.NUMBERVALUE(SUBSTITUTE(LEFT(TRIM(C1112),FIND(" ",TRIM(C1112)&amp;" ")-1),",","."),"."),LEFT(SUBSTITUTE(LEFT(TRIM(C1112),FIND(" ",TRIM(C1112)&amp;" ")-1),",","."),FIND("/",SUBSTITUTE(LEFT(TRIM(C1112),FIND(" ",TRIM(C1112)&amp;" ")-1),",","."))-1)/MID(SUBSTITUTE(LEFT(TRIM(C1112),FIND(" ",TRIM(C1112)&amp;" ")-1),",","."),FIND("/",SUBSTITUTE(LEFT(TRIM(C1112),FIND(" ",TRIM(C1112)&amp;" ")-1),",","."))+1,9)),IF(ISNUMBER(SEARCH("yea",C1112)),IFERROR(_xlfn.NUMBERVALUE(SUBSTITUTE(LEFT(TRIM(C1112),FIND(" ",TRIM(C1112)&amp;" ")-1),",","."),"."),LEFT(SUBSTITUTE(LEFT(TRIM(C1112),FIND(" ",TRIM(C1112)&amp;" ")-1),",","."),FIND("/",SUBSTITUTE(LEFT(TRIM(C1112),FIND(" ",TRIM(C1112)&amp;" ")-1),",","."))-1)/MID(SUBSTITUTE(LEFT(TRIM(C1112),FIND(" ",TRIM(C1112)&amp;" ")-1),",","."),FIND("/",SUBSTITUTE(LEFT(TRIM(C1112),FIND(" ",TRIM(C1112)&amp;" ")-1),",","."))+1,9))*12,NA()))),0),60)*'Aturan &amp; Tarif'!$B$4,2)</f>
        <v>3406.8</v>
      </c>
      <c r="K1112" s="42" t="n">
        <f aca="false">'Aturan &amp; Tarif'!$B$5</f>
        <v>2050</v>
      </c>
      <c r="L1112" s="35" t="n">
        <f aca="false">I1112+J1112+K1112</f>
        <v>48216.8</v>
      </c>
      <c r="M1112" s="45" t="s">
        <v>2572</v>
      </c>
    </row>
    <row r="1113" customFormat="false" ht="83.25" hidden="false" customHeight="true" outlineLevel="0" collapsed="false">
      <c r="A1113" s="39"/>
      <c r="B1113" s="40" t="s">
        <v>2624</v>
      </c>
      <c r="C1113" s="41" t="s">
        <v>127</v>
      </c>
      <c r="D1113" s="41" t="s">
        <v>108</v>
      </c>
      <c r="E1113" s="42" t="n">
        <v>9709</v>
      </c>
      <c r="F1113" s="42"/>
      <c r="G1113" s="42"/>
      <c r="H1113" s="43" t="n">
        <v>2</v>
      </c>
      <c r="I1113" s="34" t="n">
        <f aca="false">E1113*H1113+N(F1113)+N(G1113)</f>
        <v>19418</v>
      </c>
      <c r="J1113" s="42" t="n">
        <f aca="false">ROUND(IFERROR(ROUND(IF(OR(ISNUMBER(SEARCH("week",C1113)),ISNUMBER(SEARCH("minggu",C1113))),IFERROR(_xlfn.NUMBERVALUE(SUBSTITUTE(LEFT(TRIM(C1113),FIND(" ",TRIM(C1113)&amp;" ")-1),",","."),"."),LEFT(SUBSTITUTE(LEFT(TRIM(C1113),FIND(" ",TRIM(C1113)&amp;" ")-1),",","."),FIND("/",SUBSTITUTE(LEFT(TRIM(C1113),FIND(" ",TRIM(C1113)&amp;" ")-1),",","."))-1)/MID(SUBSTITUTE(LEFT(TRIM(C1113),FIND(" ",TRIM(C1113)&amp;" ")-1),",","."),FIND("/",SUBSTITUTE(LEFT(TRIM(C1113),FIND(" ",TRIM(C1113)&amp;" ")-1),",","."))+1,9))*12/52,IF(ISNUMBER(SEARCH("month",C1113)),IFERROR(_xlfn.NUMBERVALUE(SUBSTITUTE(LEFT(TRIM(C1113),FIND(" ",TRIM(C1113)&amp;" ")-1),",","."),"."),LEFT(SUBSTITUTE(LEFT(TRIM(C1113),FIND(" ",TRIM(C1113)&amp;" ")-1),",","."),FIND("/",SUBSTITUTE(LEFT(TRIM(C1113),FIND(" ",TRIM(C1113)&amp;" ")-1),",","."))-1)/MID(SUBSTITUTE(LEFT(TRIM(C1113),FIND(" ",TRIM(C1113)&amp;" ")-1),",","."),FIND("/",SUBSTITUTE(LEFT(TRIM(C1113),FIND(" ",TRIM(C1113)&amp;" ")-1),",","."))+1,9)),IF(ISNUMBER(SEARCH("yea",C1113)),IFERROR(_xlfn.NUMBERVALUE(SUBSTITUTE(LEFT(TRIM(C1113),FIND(" ",TRIM(C1113)&amp;" ")-1),",","."),"."),LEFT(SUBSTITUTE(LEFT(TRIM(C1113),FIND(" ",TRIM(C1113)&amp;" ")-1),",","."),FIND("/",SUBSTITUTE(LEFT(TRIM(C1113),FIND(" ",TRIM(C1113)&amp;" ")-1),",","."))-1)/MID(SUBSTITUTE(LEFT(TRIM(C1113),FIND(" ",TRIM(C1113)&amp;" ")-1),",","."),FIND("/",SUBSTITUTE(LEFT(TRIM(C1113),FIND(" ",TRIM(C1113)&amp;" ")-1),",","."))+1,9))*12,NA()))),0),36)*'Aturan &amp; Tarif'!$B$4,2)</f>
        <v>2044.08</v>
      </c>
      <c r="K1113" s="42" t="n">
        <f aca="false">'Aturan &amp; Tarif'!$B$5</f>
        <v>2050</v>
      </c>
      <c r="L1113" s="35" t="n">
        <f aca="false">I1113+J1113+K1113</f>
        <v>23512.08</v>
      </c>
      <c r="M1113" s="45" t="s">
        <v>2572</v>
      </c>
    </row>
    <row r="1114" customFormat="false" ht="25.5" hidden="false" customHeight="true" outlineLevel="0" collapsed="false">
      <c r="A1114" s="39"/>
      <c r="B1114" s="40" t="s">
        <v>2625</v>
      </c>
      <c r="C1114" s="41" t="s">
        <v>191</v>
      </c>
      <c r="D1114" s="41" t="s">
        <v>108</v>
      </c>
      <c r="E1114" s="42" t="n">
        <v>9263</v>
      </c>
      <c r="F1114" s="42"/>
      <c r="G1114" s="42"/>
      <c r="H1114" s="43" t="n">
        <v>2</v>
      </c>
      <c r="I1114" s="34" t="n">
        <f aca="false">E1114*H1114+N(F1114)+N(G1114)</f>
        <v>18526</v>
      </c>
      <c r="J1114" s="42" t="n">
        <f aca="false">ROUND(IFERROR(ROUND(IF(OR(ISNUMBER(SEARCH("week",C1114)),ISNUMBER(SEARCH("minggu",C1114))),IFERROR(_xlfn.NUMBERVALUE(SUBSTITUTE(LEFT(TRIM(C1114),FIND(" ",TRIM(C1114)&amp;" ")-1),",","."),"."),LEFT(SUBSTITUTE(LEFT(TRIM(C1114),FIND(" ",TRIM(C1114)&amp;" ")-1),",","."),FIND("/",SUBSTITUTE(LEFT(TRIM(C1114),FIND(" ",TRIM(C1114)&amp;" ")-1),",","."))-1)/MID(SUBSTITUTE(LEFT(TRIM(C1114),FIND(" ",TRIM(C1114)&amp;" ")-1),",","."),FIND("/",SUBSTITUTE(LEFT(TRIM(C1114),FIND(" ",TRIM(C1114)&amp;" ")-1),",","."))+1,9))*12/52,IF(ISNUMBER(SEARCH("month",C1114)),IFERROR(_xlfn.NUMBERVALUE(SUBSTITUTE(LEFT(TRIM(C1114),FIND(" ",TRIM(C1114)&amp;" ")-1),",","."),"."),LEFT(SUBSTITUTE(LEFT(TRIM(C1114),FIND(" ",TRIM(C1114)&amp;" ")-1),",","."),FIND("/",SUBSTITUTE(LEFT(TRIM(C1114),FIND(" ",TRIM(C1114)&amp;" ")-1),",","."))-1)/MID(SUBSTITUTE(LEFT(TRIM(C1114),FIND(" ",TRIM(C1114)&amp;" ")-1),",","."),FIND("/",SUBSTITUTE(LEFT(TRIM(C1114),FIND(" ",TRIM(C1114)&amp;" ")-1),",","."))+1,9)),IF(ISNUMBER(SEARCH("yea",C1114)),IFERROR(_xlfn.NUMBERVALUE(SUBSTITUTE(LEFT(TRIM(C1114),FIND(" ",TRIM(C1114)&amp;" ")-1),",","."),"."),LEFT(SUBSTITUTE(LEFT(TRIM(C1114),FIND(" ",TRIM(C1114)&amp;" ")-1),",","."),FIND("/",SUBSTITUTE(LEFT(TRIM(C1114),FIND(" ",TRIM(C1114)&amp;" ")-1),",","."))-1)/MID(SUBSTITUTE(LEFT(TRIM(C1114),FIND(" ",TRIM(C1114)&amp;" ")-1),",","."),FIND("/",SUBSTITUTE(LEFT(TRIM(C1114),FIND(" ",TRIM(C1114)&amp;" ")-1),",","."))+1,9))*12,NA()))),0),48)*'Aturan &amp; Tarif'!$B$4,2)</f>
        <v>2725.44</v>
      </c>
      <c r="K1114" s="42" t="n">
        <f aca="false">'Aturan &amp; Tarif'!$B$5</f>
        <v>2050</v>
      </c>
      <c r="L1114" s="35" t="n">
        <f aca="false">I1114+J1114+K1114</f>
        <v>23301.44</v>
      </c>
      <c r="M1114" s="45" t="s">
        <v>2572</v>
      </c>
    </row>
    <row r="1115" customFormat="false" ht="25.5" hidden="false" customHeight="true" outlineLevel="0" collapsed="false">
      <c r="A1115" s="39"/>
      <c r="B1115" s="40" t="s">
        <v>2626</v>
      </c>
      <c r="C1115" s="41" t="s">
        <v>127</v>
      </c>
      <c r="D1115" s="41" t="s">
        <v>108</v>
      </c>
      <c r="E1115" s="42" t="n">
        <v>9263</v>
      </c>
      <c r="F1115" s="42"/>
      <c r="G1115" s="42"/>
      <c r="H1115" s="43" t="n">
        <v>2</v>
      </c>
      <c r="I1115" s="34" t="n">
        <f aca="false">E1115*H1115+N(F1115)+N(G1115)</f>
        <v>18526</v>
      </c>
      <c r="J1115" s="42" t="n">
        <f aca="false">ROUND(IFERROR(ROUND(IF(OR(ISNUMBER(SEARCH("week",C1115)),ISNUMBER(SEARCH("minggu",C1115))),IFERROR(_xlfn.NUMBERVALUE(SUBSTITUTE(LEFT(TRIM(C1115),FIND(" ",TRIM(C1115)&amp;" ")-1),",","."),"."),LEFT(SUBSTITUTE(LEFT(TRIM(C1115),FIND(" ",TRIM(C1115)&amp;" ")-1),",","."),FIND("/",SUBSTITUTE(LEFT(TRIM(C1115),FIND(" ",TRIM(C1115)&amp;" ")-1),",","."))-1)/MID(SUBSTITUTE(LEFT(TRIM(C1115),FIND(" ",TRIM(C1115)&amp;" ")-1),",","."),FIND("/",SUBSTITUTE(LEFT(TRIM(C1115),FIND(" ",TRIM(C1115)&amp;" ")-1),",","."))+1,9))*12/52,IF(ISNUMBER(SEARCH("month",C1115)),IFERROR(_xlfn.NUMBERVALUE(SUBSTITUTE(LEFT(TRIM(C1115),FIND(" ",TRIM(C1115)&amp;" ")-1),",","."),"."),LEFT(SUBSTITUTE(LEFT(TRIM(C1115),FIND(" ",TRIM(C1115)&amp;" ")-1),",","."),FIND("/",SUBSTITUTE(LEFT(TRIM(C1115),FIND(" ",TRIM(C1115)&amp;" ")-1),",","."))-1)/MID(SUBSTITUTE(LEFT(TRIM(C1115),FIND(" ",TRIM(C1115)&amp;" ")-1),",","."),FIND("/",SUBSTITUTE(LEFT(TRIM(C1115),FIND(" ",TRIM(C1115)&amp;" ")-1),",","."))+1,9)),IF(ISNUMBER(SEARCH("yea",C1115)),IFERROR(_xlfn.NUMBERVALUE(SUBSTITUTE(LEFT(TRIM(C1115),FIND(" ",TRIM(C1115)&amp;" ")-1),",","."),"."),LEFT(SUBSTITUTE(LEFT(TRIM(C1115),FIND(" ",TRIM(C1115)&amp;" ")-1),",","."),FIND("/",SUBSTITUTE(LEFT(TRIM(C1115),FIND(" ",TRIM(C1115)&amp;" ")-1),",","."))-1)/MID(SUBSTITUTE(LEFT(TRIM(C1115),FIND(" ",TRIM(C1115)&amp;" ")-1),",","."),FIND("/",SUBSTITUTE(LEFT(TRIM(C1115),FIND(" ",TRIM(C1115)&amp;" ")-1),",","."))+1,9))*12,NA()))),0),36)*'Aturan &amp; Tarif'!$B$4,2)</f>
        <v>2044.08</v>
      </c>
      <c r="K1115" s="42" t="n">
        <f aca="false">'Aturan &amp; Tarif'!$B$5</f>
        <v>2050</v>
      </c>
      <c r="L1115" s="35" t="n">
        <f aca="false">I1115+J1115+K1115</f>
        <v>22620.08</v>
      </c>
      <c r="M1115" s="45" t="s">
        <v>2572</v>
      </c>
    </row>
    <row r="1116" customFormat="false" ht="37.5" hidden="false" customHeight="true" outlineLevel="0" collapsed="false">
      <c r="A1116" s="39"/>
      <c r="B1116" s="40" t="s">
        <v>2627</v>
      </c>
      <c r="C1116" s="41" t="s">
        <v>127</v>
      </c>
      <c r="D1116" s="41" t="s">
        <v>108</v>
      </c>
      <c r="E1116" s="42" t="n">
        <v>9908</v>
      </c>
      <c r="F1116" s="42"/>
      <c r="G1116" s="42"/>
      <c r="H1116" s="43" t="n">
        <v>2</v>
      </c>
      <c r="I1116" s="34" t="n">
        <f aca="false">E1116*H1116+N(F1116)+N(G1116)</f>
        <v>19816</v>
      </c>
      <c r="J1116" s="42" t="n">
        <f aca="false">ROUND(IFERROR(ROUND(IF(OR(ISNUMBER(SEARCH("week",C1116)),ISNUMBER(SEARCH("minggu",C1116))),IFERROR(_xlfn.NUMBERVALUE(SUBSTITUTE(LEFT(TRIM(C1116),FIND(" ",TRIM(C1116)&amp;" ")-1),",","."),"."),LEFT(SUBSTITUTE(LEFT(TRIM(C1116),FIND(" ",TRIM(C1116)&amp;" ")-1),",","."),FIND("/",SUBSTITUTE(LEFT(TRIM(C1116),FIND(" ",TRIM(C1116)&amp;" ")-1),",","."))-1)/MID(SUBSTITUTE(LEFT(TRIM(C1116),FIND(" ",TRIM(C1116)&amp;" ")-1),",","."),FIND("/",SUBSTITUTE(LEFT(TRIM(C1116),FIND(" ",TRIM(C1116)&amp;" ")-1),",","."))+1,9))*12/52,IF(ISNUMBER(SEARCH("month",C1116)),IFERROR(_xlfn.NUMBERVALUE(SUBSTITUTE(LEFT(TRIM(C1116),FIND(" ",TRIM(C1116)&amp;" ")-1),",","."),"."),LEFT(SUBSTITUTE(LEFT(TRIM(C1116),FIND(" ",TRIM(C1116)&amp;" ")-1),",","."),FIND("/",SUBSTITUTE(LEFT(TRIM(C1116),FIND(" ",TRIM(C1116)&amp;" ")-1),",","."))-1)/MID(SUBSTITUTE(LEFT(TRIM(C1116),FIND(" ",TRIM(C1116)&amp;" ")-1),",","."),FIND("/",SUBSTITUTE(LEFT(TRIM(C1116),FIND(" ",TRIM(C1116)&amp;" ")-1),",","."))+1,9)),IF(ISNUMBER(SEARCH("yea",C1116)),IFERROR(_xlfn.NUMBERVALUE(SUBSTITUTE(LEFT(TRIM(C1116),FIND(" ",TRIM(C1116)&amp;" ")-1),",","."),"."),LEFT(SUBSTITUTE(LEFT(TRIM(C1116),FIND(" ",TRIM(C1116)&amp;" ")-1),",","."),FIND("/",SUBSTITUTE(LEFT(TRIM(C1116),FIND(" ",TRIM(C1116)&amp;" ")-1),",","."))-1)/MID(SUBSTITUTE(LEFT(TRIM(C1116),FIND(" ",TRIM(C1116)&amp;" ")-1),",","."),FIND("/",SUBSTITUTE(LEFT(TRIM(C1116),FIND(" ",TRIM(C1116)&amp;" ")-1),",","."))+1,9))*12,NA()))),0),36)*'Aturan &amp; Tarif'!$B$4,2)</f>
        <v>2044.08</v>
      </c>
      <c r="K1116" s="42" t="n">
        <f aca="false">'Aturan &amp; Tarif'!$B$5</f>
        <v>2050</v>
      </c>
      <c r="L1116" s="35" t="n">
        <f aca="false">I1116+J1116+K1116</f>
        <v>23910.08</v>
      </c>
      <c r="M1116" s="45" t="s">
        <v>2572</v>
      </c>
    </row>
    <row r="1117" customFormat="false" ht="37.5" hidden="false" customHeight="true" outlineLevel="0" collapsed="false">
      <c r="A1117" s="39"/>
      <c r="B1117" s="40" t="s">
        <v>2628</v>
      </c>
      <c r="C1117" s="41" t="s">
        <v>127</v>
      </c>
      <c r="D1117" s="41" t="s">
        <v>108</v>
      </c>
      <c r="E1117" s="42" t="n">
        <v>9908</v>
      </c>
      <c r="F1117" s="42"/>
      <c r="G1117" s="42"/>
      <c r="H1117" s="43" t="n">
        <v>2</v>
      </c>
      <c r="I1117" s="34" t="n">
        <f aca="false">E1117*H1117+N(F1117)+N(G1117)</f>
        <v>19816</v>
      </c>
      <c r="J1117" s="42" t="n">
        <f aca="false">ROUND(IFERROR(ROUND(IF(OR(ISNUMBER(SEARCH("week",C1117)),ISNUMBER(SEARCH("minggu",C1117))),IFERROR(_xlfn.NUMBERVALUE(SUBSTITUTE(LEFT(TRIM(C1117),FIND(" ",TRIM(C1117)&amp;" ")-1),",","."),"."),LEFT(SUBSTITUTE(LEFT(TRIM(C1117),FIND(" ",TRIM(C1117)&amp;" ")-1),",","."),FIND("/",SUBSTITUTE(LEFT(TRIM(C1117),FIND(" ",TRIM(C1117)&amp;" ")-1),",","."))-1)/MID(SUBSTITUTE(LEFT(TRIM(C1117),FIND(" ",TRIM(C1117)&amp;" ")-1),",","."),FIND("/",SUBSTITUTE(LEFT(TRIM(C1117),FIND(" ",TRIM(C1117)&amp;" ")-1),",","."))+1,9))*12/52,IF(ISNUMBER(SEARCH("month",C1117)),IFERROR(_xlfn.NUMBERVALUE(SUBSTITUTE(LEFT(TRIM(C1117),FIND(" ",TRIM(C1117)&amp;" ")-1),",","."),"."),LEFT(SUBSTITUTE(LEFT(TRIM(C1117),FIND(" ",TRIM(C1117)&amp;" ")-1),",","."),FIND("/",SUBSTITUTE(LEFT(TRIM(C1117),FIND(" ",TRIM(C1117)&amp;" ")-1),",","."))-1)/MID(SUBSTITUTE(LEFT(TRIM(C1117),FIND(" ",TRIM(C1117)&amp;" ")-1),",","."),FIND("/",SUBSTITUTE(LEFT(TRIM(C1117),FIND(" ",TRIM(C1117)&amp;" ")-1),",","."))+1,9)),IF(ISNUMBER(SEARCH("yea",C1117)),IFERROR(_xlfn.NUMBERVALUE(SUBSTITUTE(LEFT(TRIM(C1117),FIND(" ",TRIM(C1117)&amp;" ")-1),",","."),"."),LEFT(SUBSTITUTE(LEFT(TRIM(C1117),FIND(" ",TRIM(C1117)&amp;" ")-1),",","."),FIND("/",SUBSTITUTE(LEFT(TRIM(C1117),FIND(" ",TRIM(C1117)&amp;" ")-1),",","."))-1)/MID(SUBSTITUTE(LEFT(TRIM(C1117),FIND(" ",TRIM(C1117)&amp;" ")-1),",","."),FIND("/",SUBSTITUTE(LEFT(TRIM(C1117),FIND(" ",TRIM(C1117)&amp;" ")-1),",","."))+1,9))*12,NA()))),0),36)*'Aturan &amp; Tarif'!$B$4,2)</f>
        <v>2044.08</v>
      </c>
      <c r="K1117" s="42" t="n">
        <f aca="false">'Aturan &amp; Tarif'!$B$5</f>
        <v>2050</v>
      </c>
      <c r="L1117" s="35" t="n">
        <f aca="false">I1117+J1117+K1117</f>
        <v>23910.08</v>
      </c>
      <c r="M1117" s="45" t="s">
        <v>2572</v>
      </c>
    </row>
    <row r="1118" customFormat="false" ht="37.5" hidden="false" customHeight="true" outlineLevel="0" collapsed="false">
      <c r="A1118" s="39"/>
      <c r="B1118" s="40" t="s">
        <v>2629</v>
      </c>
      <c r="C1118" s="41" t="s">
        <v>127</v>
      </c>
      <c r="D1118" s="41" t="s">
        <v>108</v>
      </c>
      <c r="E1118" s="42" t="n">
        <v>9908</v>
      </c>
      <c r="F1118" s="42"/>
      <c r="G1118" s="42"/>
      <c r="H1118" s="43" t="n">
        <v>2</v>
      </c>
      <c r="I1118" s="34" t="n">
        <f aca="false">E1118*H1118+N(F1118)+N(G1118)</f>
        <v>19816</v>
      </c>
      <c r="J1118" s="42" t="n">
        <f aca="false">ROUND(IFERROR(ROUND(IF(OR(ISNUMBER(SEARCH("week",C1118)),ISNUMBER(SEARCH("minggu",C1118))),IFERROR(_xlfn.NUMBERVALUE(SUBSTITUTE(LEFT(TRIM(C1118),FIND(" ",TRIM(C1118)&amp;" ")-1),",","."),"."),LEFT(SUBSTITUTE(LEFT(TRIM(C1118),FIND(" ",TRIM(C1118)&amp;" ")-1),",","."),FIND("/",SUBSTITUTE(LEFT(TRIM(C1118),FIND(" ",TRIM(C1118)&amp;" ")-1),",","."))-1)/MID(SUBSTITUTE(LEFT(TRIM(C1118),FIND(" ",TRIM(C1118)&amp;" ")-1),",","."),FIND("/",SUBSTITUTE(LEFT(TRIM(C1118),FIND(" ",TRIM(C1118)&amp;" ")-1),",","."))+1,9))*12/52,IF(ISNUMBER(SEARCH("month",C1118)),IFERROR(_xlfn.NUMBERVALUE(SUBSTITUTE(LEFT(TRIM(C1118),FIND(" ",TRIM(C1118)&amp;" ")-1),",","."),"."),LEFT(SUBSTITUTE(LEFT(TRIM(C1118),FIND(" ",TRIM(C1118)&amp;" ")-1),",","."),FIND("/",SUBSTITUTE(LEFT(TRIM(C1118),FIND(" ",TRIM(C1118)&amp;" ")-1),",","."))-1)/MID(SUBSTITUTE(LEFT(TRIM(C1118),FIND(" ",TRIM(C1118)&amp;" ")-1),",","."),FIND("/",SUBSTITUTE(LEFT(TRIM(C1118),FIND(" ",TRIM(C1118)&amp;" ")-1),",","."))+1,9)),IF(ISNUMBER(SEARCH("yea",C1118)),IFERROR(_xlfn.NUMBERVALUE(SUBSTITUTE(LEFT(TRIM(C1118),FIND(" ",TRIM(C1118)&amp;" ")-1),",","."),"."),LEFT(SUBSTITUTE(LEFT(TRIM(C1118),FIND(" ",TRIM(C1118)&amp;" ")-1),",","."),FIND("/",SUBSTITUTE(LEFT(TRIM(C1118),FIND(" ",TRIM(C1118)&amp;" ")-1),",","."))-1)/MID(SUBSTITUTE(LEFT(TRIM(C1118),FIND(" ",TRIM(C1118)&amp;" ")-1),",","."),FIND("/",SUBSTITUTE(LEFT(TRIM(C1118),FIND(" ",TRIM(C1118)&amp;" ")-1),",","."))+1,9))*12,NA()))),0),36)*'Aturan &amp; Tarif'!$B$4,2)</f>
        <v>2044.08</v>
      </c>
      <c r="K1118" s="42" t="n">
        <f aca="false">'Aturan &amp; Tarif'!$B$5</f>
        <v>2050</v>
      </c>
      <c r="L1118" s="35" t="n">
        <f aca="false">I1118+J1118+K1118</f>
        <v>23910.08</v>
      </c>
      <c r="M1118" s="45" t="s">
        <v>2572</v>
      </c>
    </row>
    <row r="1119" customFormat="false" ht="37.5" hidden="false" customHeight="true" outlineLevel="0" collapsed="false">
      <c r="A1119" s="39"/>
      <c r="B1119" s="40" t="s">
        <v>2630</v>
      </c>
      <c r="C1119" s="41" t="s">
        <v>127</v>
      </c>
      <c r="D1119" s="41" t="s">
        <v>108</v>
      </c>
      <c r="E1119" s="42" t="n">
        <v>9908</v>
      </c>
      <c r="F1119" s="42"/>
      <c r="G1119" s="42"/>
      <c r="H1119" s="43" t="n">
        <v>2</v>
      </c>
      <c r="I1119" s="34" t="n">
        <f aca="false">E1119*H1119+N(F1119)+N(G1119)</f>
        <v>19816</v>
      </c>
      <c r="J1119" s="42" t="n">
        <f aca="false">ROUND(IFERROR(ROUND(IF(OR(ISNUMBER(SEARCH("week",C1119)),ISNUMBER(SEARCH("minggu",C1119))),IFERROR(_xlfn.NUMBERVALUE(SUBSTITUTE(LEFT(TRIM(C1119),FIND(" ",TRIM(C1119)&amp;" ")-1),",","."),"."),LEFT(SUBSTITUTE(LEFT(TRIM(C1119),FIND(" ",TRIM(C1119)&amp;" ")-1),",","."),FIND("/",SUBSTITUTE(LEFT(TRIM(C1119),FIND(" ",TRIM(C1119)&amp;" ")-1),",","."))-1)/MID(SUBSTITUTE(LEFT(TRIM(C1119),FIND(" ",TRIM(C1119)&amp;" ")-1),",","."),FIND("/",SUBSTITUTE(LEFT(TRIM(C1119),FIND(" ",TRIM(C1119)&amp;" ")-1),",","."))+1,9))*12/52,IF(ISNUMBER(SEARCH("month",C1119)),IFERROR(_xlfn.NUMBERVALUE(SUBSTITUTE(LEFT(TRIM(C1119),FIND(" ",TRIM(C1119)&amp;" ")-1),",","."),"."),LEFT(SUBSTITUTE(LEFT(TRIM(C1119),FIND(" ",TRIM(C1119)&amp;" ")-1),",","."),FIND("/",SUBSTITUTE(LEFT(TRIM(C1119),FIND(" ",TRIM(C1119)&amp;" ")-1),",","."))-1)/MID(SUBSTITUTE(LEFT(TRIM(C1119),FIND(" ",TRIM(C1119)&amp;" ")-1),",","."),FIND("/",SUBSTITUTE(LEFT(TRIM(C1119),FIND(" ",TRIM(C1119)&amp;" ")-1),",","."))+1,9)),IF(ISNUMBER(SEARCH("yea",C1119)),IFERROR(_xlfn.NUMBERVALUE(SUBSTITUTE(LEFT(TRIM(C1119),FIND(" ",TRIM(C1119)&amp;" ")-1),",","."),"."),LEFT(SUBSTITUTE(LEFT(TRIM(C1119),FIND(" ",TRIM(C1119)&amp;" ")-1),",","."),FIND("/",SUBSTITUTE(LEFT(TRIM(C1119),FIND(" ",TRIM(C1119)&amp;" ")-1),",","."))-1)/MID(SUBSTITUTE(LEFT(TRIM(C1119),FIND(" ",TRIM(C1119)&amp;" ")-1),",","."),FIND("/",SUBSTITUTE(LEFT(TRIM(C1119),FIND(" ",TRIM(C1119)&amp;" ")-1),",","."))+1,9))*12,NA()))),0),36)*'Aturan &amp; Tarif'!$B$4,2)</f>
        <v>2044.08</v>
      </c>
      <c r="K1119" s="42" t="n">
        <f aca="false">'Aturan &amp; Tarif'!$B$5</f>
        <v>2050</v>
      </c>
      <c r="L1119" s="35" t="n">
        <f aca="false">I1119+J1119+K1119</f>
        <v>23910.08</v>
      </c>
      <c r="M1119" s="45" t="s">
        <v>2572</v>
      </c>
    </row>
    <row r="1120" customFormat="false" ht="25.5" hidden="false" customHeight="true" outlineLevel="0" collapsed="false">
      <c r="A1120" s="39"/>
      <c r="B1120" s="40" t="s">
        <v>2631</v>
      </c>
      <c r="C1120" s="41" t="s">
        <v>127</v>
      </c>
      <c r="D1120" s="41" t="s">
        <v>108</v>
      </c>
      <c r="E1120" s="42" t="n">
        <v>8125</v>
      </c>
      <c r="F1120" s="42"/>
      <c r="G1120" s="42"/>
      <c r="H1120" s="43" t="n">
        <v>2</v>
      </c>
      <c r="I1120" s="34" t="n">
        <f aca="false">E1120*H1120+N(F1120)+N(G1120)</f>
        <v>16250</v>
      </c>
      <c r="J1120" s="42" t="n">
        <f aca="false">ROUND(IFERROR(ROUND(IF(OR(ISNUMBER(SEARCH("week",C1120)),ISNUMBER(SEARCH("minggu",C1120))),IFERROR(_xlfn.NUMBERVALUE(SUBSTITUTE(LEFT(TRIM(C1120),FIND(" ",TRIM(C1120)&amp;" ")-1),",","."),"."),LEFT(SUBSTITUTE(LEFT(TRIM(C1120),FIND(" ",TRIM(C1120)&amp;" ")-1),",","."),FIND("/",SUBSTITUTE(LEFT(TRIM(C1120),FIND(" ",TRIM(C1120)&amp;" ")-1),",","."))-1)/MID(SUBSTITUTE(LEFT(TRIM(C1120),FIND(" ",TRIM(C1120)&amp;" ")-1),",","."),FIND("/",SUBSTITUTE(LEFT(TRIM(C1120),FIND(" ",TRIM(C1120)&amp;" ")-1),",","."))+1,9))*12/52,IF(ISNUMBER(SEARCH("month",C1120)),IFERROR(_xlfn.NUMBERVALUE(SUBSTITUTE(LEFT(TRIM(C1120),FIND(" ",TRIM(C1120)&amp;" ")-1),",","."),"."),LEFT(SUBSTITUTE(LEFT(TRIM(C1120),FIND(" ",TRIM(C1120)&amp;" ")-1),",","."),FIND("/",SUBSTITUTE(LEFT(TRIM(C1120),FIND(" ",TRIM(C1120)&amp;" ")-1),",","."))-1)/MID(SUBSTITUTE(LEFT(TRIM(C1120),FIND(" ",TRIM(C1120)&amp;" ")-1),",","."),FIND("/",SUBSTITUTE(LEFT(TRIM(C1120),FIND(" ",TRIM(C1120)&amp;" ")-1),",","."))+1,9)),IF(ISNUMBER(SEARCH("yea",C1120)),IFERROR(_xlfn.NUMBERVALUE(SUBSTITUTE(LEFT(TRIM(C1120),FIND(" ",TRIM(C1120)&amp;" ")-1),",","."),"."),LEFT(SUBSTITUTE(LEFT(TRIM(C1120),FIND(" ",TRIM(C1120)&amp;" ")-1),",","."),FIND("/",SUBSTITUTE(LEFT(TRIM(C1120),FIND(" ",TRIM(C1120)&amp;" ")-1),",","."))-1)/MID(SUBSTITUTE(LEFT(TRIM(C1120),FIND(" ",TRIM(C1120)&amp;" ")-1),",","."),FIND("/",SUBSTITUTE(LEFT(TRIM(C1120),FIND(" ",TRIM(C1120)&amp;" ")-1),",","."))+1,9))*12,NA()))),0),36)*'Aturan &amp; Tarif'!$B$4,2)</f>
        <v>2044.08</v>
      </c>
      <c r="K1120" s="42" t="n">
        <f aca="false">'Aturan &amp; Tarif'!$B$5</f>
        <v>2050</v>
      </c>
      <c r="L1120" s="35" t="n">
        <f aca="false">I1120+J1120+K1120</f>
        <v>20344.08</v>
      </c>
      <c r="M1120" s="45" t="s">
        <v>2572</v>
      </c>
    </row>
    <row r="1121" customFormat="false" ht="25.5" hidden="false" customHeight="true" outlineLevel="0" collapsed="false">
      <c r="A1121" s="39"/>
      <c r="B1121" s="40" t="s">
        <v>2632</v>
      </c>
      <c r="C1121" s="41" t="s">
        <v>127</v>
      </c>
      <c r="D1121" s="41" t="s">
        <v>108</v>
      </c>
      <c r="E1121" s="42" t="n">
        <v>8125</v>
      </c>
      <c r="F1121" s="42"/>
      <c r="G1121" s="42"/>
      <c r="H1121" s="43" t="n">
        <v>2</v>
      </c>
      <c r="I1121" s="34" t="n">
        <f aca="false">E1121*H1121+N(F1121)+N(G1121)</f>
        <v>16250</v>
      </c>
      <c r="J1121" s="42" t="n">
        <f aca="false">ROUND(IFERROR(ROUND(IF(OR(ISNUMBER(SEARCH("week",C1121)),ISNUMBER(SEARCH("minggu",C1121))),IFERROR(_xlfn.NUMBERVALUE(SUBSTITUTE(LEFT(TRIM(C1121),FIND(" ",TRIM(C1121)&amp;" ")-1),",","."),"."),LEFT(SUBSTITUTE(LEFT(TRIM(C1121),FIND(" ",TRIM(C1121)&amp;" ")-1),",","."),FIND("/",SUBSTITUTE(LEFT(TRIM(C1121),FIND(" ",TRIM(C1121)&amp;" ")-1),",","."))-1)/MID(SUBSTITUTE(LEFT(TRIM(C1121),FIND(" ",TRIM(C1121)&amp;" ")-1),",","."),FIND("/",SUBSTITUTE(LEFT(TRIM(C1121),FIND(" ",TRIM(C1121)&amp;" ")-1),",","."))+1,9))*12/52,IF(ISNUMBER(SEARCH("month",C1121)),IFERROR(_xlfn.NUMBERVALUE(SUBSTITUTE(LEFT(TRIM(C1121),FIND(" ",TRIM(C1121)&amp;" ")-1),",","."),"."),LEFT(SUBSTITUTE(LEFT(TRIM(C1121),FIND(" ",TRIM(C1121)&amp;" ")-1),",","."),FIND("/",SUBSTITUTE(LEFT(TRIM(C1121),FIND(" ",TRIM(C1121)&amp;" ")-1),",","."))-1)/MID(SUBSTITUTE(LEFT(TRIM(C1121),FIND(" ",TRIM(C1121)&amp;" ")-1),",","."),FIND("/",SUBSTITUTE(LEFT(TRIM(C1121),FIND(" ",TRIM(C1121)&amp;" ")-1),",","."))+1,9)),IF(ISNUMBER(SEARCH("yea",C1121)),IFERROR(_xlfn.NUMBERVALUE(SUBSTITUTE(LEFT(TRIM(C1121),FIND(" ",TRIM(C1121)&amp;" ")-1),",","."),"."),LEFT(SUBSTITUTE(LEFT(TRIM(C1121),FIND(" ",TRIM(C1121)&amp;" ")-1),",","."),FIND("/",SUBSTITUTE(LEFT(TRIM(C1121),FIND(" ",TRIM(C1121)&amp;" ")-1),",","."))-1)/MID(SUBSTITUTE(LEFT(TRIM(C1121),FIND(" ",TRIM(C1121)&amp;" ")-1),",","."),FIND("/",SUBSTITUTE(LEFT(TRIM(C1121),FIND(" ",TRIM(C1121)&amp;" ")-1),",","."))+1,9))*12,NA()))),0),36)*'Aturan &amp; Tarif'!$B$4,2)</f>
        <v>2044.08</v>
      </c>
      <c r="K1121" s="42" t="n">
        <f aca="false">'Aturan &amp; Tarif'!$B$5</f>
        <v>2050</v>
      </c>
      <c r="L1121" s="35" t="n">
        <f aca="false">I1121+J1121+K1121</f>
        <v>20344.08</v>
      </c>
      <c r="M1121" s="45" t="s">
        <v>2572</v>
      </c>
    </row>
    <row r="1122" customFormat="false" ht="25.5" hidden="false" customHeight="true" outlineLevel="0" collapsed="false">
      <c r="A1122" s="39"/>
      <c r="B1122" s="40" t="s">
        <v>2633</v>
      </c>
      <c r="C1122" s="41" t="s">
        <v>127</v>
      </c>
      <c r="D1122" s="41" t="s">
        <v>108</v>
      </c>
      <c r="E1122" s="42" t="n">
        <v>8125</v>
      </c>
      <c r="F1122" s="42"/>
      <c r="G1122" s="42"/>
      <c r="H1122" s="43" t="n">
        <v>2</v>
      </c>
      <c r="I1122" s="34" t="n">
        <f aca="false">E1122*H1122+N(F1122)+N(G1122)</f>
        <v>16250</v>
      </c>
      <c r="J1122" s="42" t="n">
        <f aca="false">ROUND(IFERROR(ROUND(IF(OR(ISNUMBER(SEARCH("week",C1122)),ISNUMBER(SEARCH("minggu",C1122))),IFERROR(_xlfn.NUMBERVALUE(SUBSTITUTE(LEFT(TRIM(C1122),FIND(" ",TRIM(C1122)&amp;" ")-1),",","."),"."),LEFT(SUBSTITUTE(LEFT(TRIM(C1122),FIND(" ",TRIM(C1122)&amp;" ")-1),",","."),FIND("/",SUBSTITUTE(LEFT(TRIM(C1122),FIND(" ",TRIM(C1122)&amp;" ")-1),",","."))-1)/MID(SUBSTITUTE(LEFT(TRIM(C1122),FIND(" ",TRIM(C1122)&amp;" ")-1),",","."),FIND("/",SUBSTITUTE(LEFT(TRIM(C1122),FIND(" ",TRIM(C1122)&amp;" ")-1),",","."))+1,9))*12/52,IF(ISNUMBER(SEARCH("month",C1122)),IFERROR(_xlfn.NUMBERVALUE(SUBSTITUTE(LEFT(TRIM(C1122),FIND(" ",TRIM(C1122)&amp;" ")-1),",","."),"."),LEFT(SUBSTITUTE(LEFT(TRIM(C1122),FIND(" ",TRIM(C1122)&amp;" ")-1),",","."),FIND("/",SUBSTITUTE(LEFT(TRIM(C1122),FIND(" ",TRIM(C1122)&amp;" ")-1),",","."))-1)/MID(SUBSTITUTE(LEFT(TRIM(C1122),FIND(" ",TRIM(C1122)&amp;" ")-1),",","."),FIND("/",SUBSTITUTE(LEFT(TRIM(C1122),FIND(" ",TRIM(C1122)&amp;" ")-1),",","."))+1,9)),IF(ISNUMBER(SEARCH("yea",C1122)),IFERROR(_xlfn.NUMBERVALUE(SUBSTITUTE(LEFT(TRIM(C1122),FIND(" ",TRIM(C1122)&amp;" ")-1),",","."),"."),LEFT(SUBSTITUTE(LEFT(TRIM(C1122),FIND(" ",TRIM(C1122)&amp;" ")-1),",","."),FIND("/",SUBSTITUTE(LEFT(TRIM(C1122),FIND(" ",TRIM(C1122)&amp;" ")-1),",","."))-1)/MID(SUBSTITUTE(LEFT(TRIM(C1122),FIND(" ",TRIM(C1122)&amp;" ")-1),",","."),FIND("/",SUBSTITUTE(LEFT(TRIM(C1122),FIND(" ",TRIM(C1122)&amp;" ")-1),",","."))+1,9))*12,NA()))),0),36)*'Aturan &amp; Tarif'!$B$4,2)</f>
        <v>2044.08</v>
      </c>
      <c r="K1122" s="42" t="n">
        <f aca="false">'Aturan &amp; Tarif'!$B$5</f>
        <v>2050</v>
      </c>
      <c r="L1122" s="35" t="n">
        <f aca="false">I1122+J1122+K1122</f>
        <v>20344.08</v>
      </c>
      <c r="M1122" s="45" t="s">
        <v>2572</v>
      </c>
    </row>
    <row r="1123" customFormat="false" ht="37.5" hidden="false" customHeight="true" outlineLevel="0" collapsed="false">
      <c r="A1123" s="39"/>
      <c r="B1123" s="40" t="s">
        <v>2634</v>
      </c>
      <c r="C1123" s="41" t="s">
        <v>127</v>
      </c>
      <c r="D1123" s="41" t="s">
        <v>108</v>
      </c>
      <c r="E1123" s="42" t="n">
        <v>8125</v>
      </c>
      <c r="F1123" s="42"/>
      <c r="G1123" s="42"/>
      <c r="H1123" s="43" t="n">
        <v>2</v>
      </c>
      <c r="I1123" s="34" t="n">
        <f aca="false">E1123*H1123+N(F1123)+N(G1123)</f>
        <v>16250</v>
      </c>
      <c r="J1123" s="42" t="n">
        <f aca="false">ROUND(IFERROR(ROUND(IF(OR(ISNUMBER(SEARCH("week",C1123)),ISNUMBER(SEARCH("minggu",C1123))),IFERROR(_xlfn.NUMBERVALUE(SUBSTITUTE(LEFT(TRIM(C1123),FIND(" ",TRIM(C1123)&amp;" ")-1),",","."),"."),LEFT(SUBSTITUTE(LEFT(TRIM(C1123),FIND(" ",TRIM(C1123)&amp;" ")-1),",","."),FIND("/",SUBSTITUTE(LEFT(TRIM(C1123),FIND(" ",TRIM(C1123)&amp;" ")-1),",","."))-1)/MID(SUBSTITUTE(LEFT(TRIM(C1123),FIND(" ",TRIM(C1123)&amp;" ")-1),",","."),FIND("/",SUBSTITUTE(LEFT(TRIM(C1123),FIND(" ",TRIM(C1123)&amp;" ")-1),",","."))+1,9))*12/52,IF(ISNUMBER(SEARCH("month",C1123)),IFERROR(_xlfn.NUMBERVALUE(SUBSTITUTE(LEFT(TRIM(C1123),FIND(" ",TRIM(C1123)&amp;" ")-1),",","."),"."),LEFT(SUBSTITUTE(LEFT(TRIM(C1123),FIND(" ",TRIM(C1123)&amp;" ")-1),",","."),FIND("/",SUBSTITUTE(LEFT(TRIM(C1123),FIND(" ",TRIM(C1123)&amp;" ")-1),",","."))-1)/MID(SUBSTITUTE(LEFT(TRIM(C1123),FIND(" ",TRIM(C1123)&amp;" ")-1),",","."),FIND("/",SUBSTITUTE(LEFT(TRIM(C1123),FIND(" ",TRIM(C1123)&amp;" ")-1),",","."))+1,9)),IF(ISNUMBER(SEARCH("yea",C1123)),IFERROR(_xlfn.NUMBERVALUE(SUBSTITUTE(LEFT(TRIM(C1123),FIND(" ",TRIM(C1123)&amp;" ")-1),",","."),"."),LEFT(SUBSTITUTE(LEFT(TRIM(C1123),FIND(" ",TRIM(C1123)&amp;" ")-1),",","."),FIND("/",SUBSTITUTE(LEFT(TRIM(C1123),FIND(" ",TRIM(C1123)&amp;" ")-1),",","."))-1)/MID(SUBSTITUTE(LEFT(TRIM(C1123),FIND(" ",TRIM(C1123)&amp;" ")-1),",","."),FIND("/",SUBSTITUTE(LEFT(TRIM(C1123),FIND(" ",TRIM(C1123)&amp;" ")-1),",","."))+1,9))*12,NA()))),0),36)*'Aturan &amp; Tarif'!$B$4,2)</f>
        <v>2044.08</v>
      </c>
      <c r="K1123" s="42" t="n">
        <f aca="false">'Aturan &amp; Tarif'!$B$5</f>
        <v>2050</v>
      </c>
      <c r="L1123" s="35" t="n">
        <f aca="false">I1123+J1123+K1123</f>
        <v>20344.08</v>
      </c>
      <c r="M1123" s="45" t="s">
        <v>2572</v>
      </c>
    </row>
    <row r="1124" customFormat="false" ht="25.5" hidden="false" customHeight="true" outlineLevel="0" collapsed="false">
      <c r="A1124" s="39"/>
      <c r="B1124" s="40" t="s">
        <v>2635</v>
      </c>
      <c r="C1124" s="41" t="s">
        <v>127</v>
      </c>
      <c r="D1124" s="41" t="s">
        <v>108</v>
      </c>
      <c r="E1124" s="42" t="n">
        <v>8125</v>
      </c>
      <c r="F1124" s="42"/>
      <c r="G1124" s="42"/>
      <c r="H1124" s="43" t="n">
        <v>2</v>
      </c>
      <c r="I1124" s="34" t="n">
        <f aca="false">E1124*H1124+N(F1124)+N(G1124)</f>
        <v>16250</v>
      </c>
      <c r="J1124" s="42" t="n">
        <f aca="false">ROUND(IFERROR(ROUND(IF(OR(ISNUMBER(SEARCH("week",C1124)),ISNUMBER(SEARCH("minggu",C1124))),IFERROR(_xlfn.NUMBERVALUE(SUBSTITUTE(LEFT(TRIM(C1124),FIND(" ",TRIM(C1124)&amp;" ")-1),",","."),"."),LEFT(SUBSTITUTE(LEFT(TRIM(C1124),FIND(" ",TRIM(C1124)&amp;" ")-1),",","."),FIND("/",SUBSTITUTE(LEFT(TRIM(C1124),FIND(" ",TRIM(C1124)&amp;" ")-1),",","."))-1)/MID(SUBSTITUTE(LEFT(TRIM(C1124),FIND(" ",TRIM(C1124)&amp;" ")-1),",","."),FIND("/",SUBSTITUTE(LEFT(TRIM(C1124),FIND(" ",TRIM(C1124)&amp;" ")-1),",","."))+1,9))*12/52,IF(ISNUMBER(SEARCH("month",C1124)),IFERROR(_xlfn.NUMBERVALUE(SUBSTITUTE(LEFT(TRIM(C1124),FIND(" ",TRIM(C1124)&amp;" ")-1),",","."),"."),LEFT(SUBSTITUTE(LEFT(TRIM(C1124),FIND(" ",TRIM(C1124)&amp;" ")-1),",","."),FIND("/",SUBSTITUTE(LEFT(TRIM(C1124),FIND(" ",TRIM(C1124)&amp;" ")-1),",","."))-1)/MID(SUBSTITUTE(LEFT(TRIM(C1124),FIND(" ",TRIM(C1124)&amp;" ")-1),",","."),FIND("/",SUBSTITUTE(LEFT(TRIM(C1124),FIND(" ",TRIM(C1124)&amp;" ")-1),",","."))+1,9)),IF(ISNUMBER(SEARCH("yea",C1124)),IFERROR(_xlfn.NUMBERVALUE(SUBSTITUTE(LEFT(TRIM(C1124),FIND(" ",TRIM(C1124)&amp;" ")-1),",","."),"."),LEFT(SUBSTITUTE(LEFT(TRIM(C1124),FIND(" ",TRIM(C1124)&amp;" ")-1),",","."),FIND("/",SUBSTITUTE(LEFT(TRIM(C1124),FIND(" ",TRIM(C1124)&amp;" ")-1),",","."))-1)/MID(SUBSTITUTE(LEFT(TRIM(C1124),FIND(" ",TRIM(C1124)&amp;" ")-1),",","."),FIND("/",SUBSTITUTE(LEFT(TRIM(C1124),FIND(" ",TRIM(C1124)&amp;" ")-1),",","."))+1,9))*12,NA()))),0),36)*'Aturan &amp; Tarif'!$B$4,2)</f>
        <v>2044.08</v>
      </c>
      <c r="K1124" s="42" t="n">
        <f aca="false">'Aturan &amp; Tarif'!$B$5</f>
        <v>2050</v>
      </c>
      <c r="L1124" s="35" t="n">
        <f aca="false">I1124+J1124+K1124</f>
        <v>20344.08</v>
      </c>
      <c r="M1124" s="45" t="s">
        <v>2572</v>
      </c>
    </row>
    <row r="1125" customFormat="false" ht="83.25" hidden="false" customHeight="true" outlineLevel="0" collapsed="false">
      <c r="A1125" s="39"/>
      <c r="B1125" s="40" t="s">
        <v>2636</v>
      </c>
      <c r="C1125" s="41" t="s">
        <v>127</v>
      </c>
      <c r="D1125" s="41" t="s">
        <v>108</v>
      </c>
      <c r="E1125" s="42" t="n">
        <v>8125</v>
      </c>
      <c r="F1125" s="42"/>
      <c r="G1125" s="42"/>
      <c r="H1125" s="43" t="n">
        <v>2</v>
      </c>
      <c r="I1125" s="34" t="n">
        <f aca="false">E1125*H1125+N(F1125)+N(G1125)</f>
        <v>16250</v>
      </c>
      <c r="J1125" s="42" t="n">
        <f aca="false">ROUND(IFERROR(ROUND(IF(OR(ISNUMBER(SEARCH("week",C1125)),ISNUMBER(SEARCH("minggu",C1125))),IFERROR(_xlfn.NUMBERVALUE(SUBSTITUTE(LEFT(TRIM(C1125),FIND(" ",TRIM(C1125)&amp;" ")-1),",","."),"."),LEFT(SUBSTITUTE(LEFT(TRIM(C1125),FIND(" ",TRIM(C1125)&amp;" ")-1),",","."),FIND("/",SUBSTITUTE(LEFT(TRIM(C1125),FIND(" ",TRIM(C1125)&amp;" ")-1),",","."))-1)/MID(SUBSTITUTE(LEFT(TRIM(C1125),FIND(" ",TRIM(C1125)&amp;" ")-1),",","."),FIND("/",SUBSTITUTE(LEFT(TRIM(C1125),FIND(" ",TRIM(C1125)&amp;" ")-1),",","."))+1,9))*12/52,IF(ISNUMBER(SEARCH("month",C1125)),IFERROR(_xlfn.NUMBERVALUE(SUBSTITUTE(LEFT(TRIM(C1125),FIND(" ",TRIM(C1125)&amp;" ")-1),",","."),"."),LEFT(SUBSTITUTE(LEFT(TRIM(C1125),FIND(" ",TRIM(C1125)&amp;" ")-1),",","."),FIND("/",SUBSTITUTE(LEFT(TRIM(C1125),FIND(" ",TRIM(C1125)&amp;" ")-1),",","."))-1)/MID(SUBSTITUTE(LEFT(TRIM(C1125),FIND(" ",TRIM(C1125)&amp;" ")-1),",","."),FIND("/",SUBSTITUTE(LEFT(TRIM(C1125),FIND(" ",TRIM(C1125)&amp;" ")-1),",","."))+1,9)),IF(ISNUMBER(SEARCH("yea",C1125)),IFERROR(_xlfn.NUMBERVALUE(SUBSTITUTE(LEFT(TRIM(C1125),FIND(" ",TRIM(C1125)&amp;" ")-1),",","."),"."),LEFT(SUBSTITUTE(LEFT(TRIM(C1125),FIND(" ",TRIM(C1125)&amp;" ")-1),",","."),FIND("/",SUBSTITUTE(LEFT(TRIM(C1125),FIND(" ",TRIM(C1125)&amp;" ")-1),",","."))-1)/MID(SUBSTITUTE(LEFT(TRIM(C1125),FIND(" ",TRIM(C1125)&amp;" ")-1),",","."),FIND("/",SUBSTITUTE(LEFT(TRIM(C1125),FIND(" ",TRIM(C1125)&amp;" ")-1),",","."))+1,9))*12,NA()))),0),36)*'Aturan &amp; Tarif'!$B$4,2)</f>
        <v>2044.08</v>
      </c>
      <c r="K1125" s="42" t="n">
        <f aca="false">'Aturan &amp; Tarif'!$B$5</f>
        <v>2050</v>
      </c>
      <c r="L1125" s="35" t="n">
        <f aca="false">I1125+J1125+K1125</f>
        <v>20344.08</v>
      </c>
      <c r="M1125" s="45" t="s">
        <v>2572</v>
      </c>
    </row>
    <row r="1126" customFormat="false" ht="37.5" hidden="false" customHeight="true" outlineLevel="0" collapsed="false">
      <c r="A1126" s="39"/>
      <c r="B1126" s="40" t="s">
        <v>2637</v>
      </c>
      <c r="C1126" s="41" t="s">
        <v>127</v>
      </c>
      <c r="D1126" s="41" t="s">
        <v>108</v>
      </c>
      <c r="E1126" s="42" t="n">
        <v>8125</v>
      </c>
      <c r="F1126" s="42"/>
      <c r="G1126" s="42"/>
      <c r="H1126" s="43" t="n">
        <v>2</v>
      </c>
      <c r="I1126" s="34" t="n">
        <f aca="false">E1126*H1126+N(F1126)+N(G1126)</f>
        <v>16250</v>
      </c>
      <c r="J1126" s="42" t="n">
        <f aca="false">ROUND(IFERROR(ROUND(IF(OR(ISNUMBER(SEARCH("week",C1126)),ISNUMBER(SEARCH("minggu",C1126))),IFERROR(_xlfn.NUMBERVALUE(SUBSTITUTE(LEFT(TRIM(C1126),FIND(" ",TRIM(C1126)&amp;" ")-1),",","."),"."),LEFT(SUBSTITUTE(LEFT(TRIM(C1126),FIND(" ",TRIM(C1126)&amp;" ")-1),",","."),FIND("/",SUBSTITUTE(LEFT(TRIM(C1126),FIND(" ",TRIM(C1126)&amp;" ")-1),",","."))-1)/MID(SUBSTITUTE(LEFT(TRIM(C1126),FIND(" ",TRIM(C1126)&amp;" ")-1),",","."),FIND("/",SUBSTITUTE(LEFT(TRIM(C1126),FIND(" ",TRIM(C1126)&amp;" ")-1),",","."))+1,9))*12/52,IF(ISNUMBER(SEARCH("month",C1126)),IFERROR(_xlfn.NUMBERVALUE(SUBSTITUTE(LEFT(TRIM(C1126),FIND(" ",TRIM(C1126)&amp;" ")-1),",","."),"."),LEFT(SUBSTITUTE(LEFT(TRIM(C1126),FIND(" ",TRIM(C1126)&amp;" ")-1),",","."),FIND("/",SUBSTITUTE(LEFT(TRIM(C1126),FIND(" ",TRIM(C1126)&amp;" ")-1),",","."))-1)/MID(SUBSTITUTE(LEFT(TRIM(C1126),FIND(" ",TRIM(C1126)&amp;" ")-1),",","."),FIND("/",SUBSTITUTE(LEFT(TRIM(C1126),FIND(" ",TRIM(C1126)&amp;" ")-1),",","."))+1,9)),IF(ISNUMBER(SEARCH("yea",C1126)),IFERROR(_xlfn.NUMBERVALUE(SUBSTITUTE(LEFT(TRIM(C1126),FIND(" ",TRIM(C1126)&amp;" ")-1),",","."),"."),LEFT(SUBSTITUTE(LEFT(TRIM(C1126),FIND(" ",TRIM(C1126)&amp;" ")-1),",","."),FIND("/",SUBSTITUTE(LEFT(TRIM(C1126),FIND(" ",TRIM(C1126)&amp;" ")-1),",","."))-1)/MID(SUBSTITUTE(LEFT(TRIM(C1126),FIND(" ",TRIM(C1126)&amp;" ")-1),",","."),FIND("/",SUBSTITUTE(LEFT(TRIM(C1126),FIND(" ",TRIM(C1126)&amp;" ")-1),",","."))+1,9))*12,NA()))),0),36)*'Aturan &amp; Tarif'!$B$4,2)</f>
        <v>2044.08</v>
      </c>
      <c r="K1126" s="42" t="n">
        <f aca="false">'Aturan &amp; Tarif'!$B$5</f>
        <v>2050</v>
      </c>
      <c r="L1126" s="35" t="n">
        <f aca="false">I1126+J1126+K1126</f>
        <v>20344.08</v>
      </c>
      <c r="M1126" s="45" t="s">
        <v>2572</v>
      </c>
    </row>
    <row r="1127" customFormat="false" ht="25.5" hidden="false" customHeight="true" outlineLevel="0" collapsed="false">
      <c r="A1127" s="39"/>
      <c r="B1127" s="40" t="s">
        <v>2638</v>
      </c>
      <c r="C1127" s="41" t="s">
        <v>191</v>
      </c>
      <c r="D1127" s="41" t="s">
        <v>108</v>
      </c>
      <c r="E1127" s="42" t="n">
        <v>8125</v>
      </c>
      <c r="F1127" s="42"/>
      <c r="G1127" s="42"/>
      <c r="H1127" s="43" t="n">
        <v>2</v>
      </c>
      <c r="I1127" s="34" t="n">
        <f aca="false">E1127*H1127+N(F1127)+N(G1127)</f>
        <v>16250</v>
      </c>
      <c r="J1127" s="42" t="n">
        <f aca="false">ROUND(IFERROR(ROUND(IF(OR(ISNUMBER(SEARCH("week",C1127)),ISNUMBER(SEARCH("minggu",C1127))),IFERROR(_xlfn.NUMBERVALUE(SUBSTITUTE(LEFT(TRIM(C1127),FIND(" ",TRIM(C1127)&amp;" ")-1),",","."),"."),LEFT(SUBSTITUTE(LEFT(TRIM(C1127),FIND(" ",TRIM(C1127)&amp;" ")-1),",","."),FIND("/",SUBSTITUTE(LEFT(TRIM(C1127),FIND(" ",TRIM(C1127)&amp;" ")-1),",","."))-1)/MID(SUBSTITUTE(LEFT(TRIM(C1127),FIND(" ",TRIM(C1127)&amp;" ")-1),",","."),FIND("/",SUBSTITUTE(LEFT(TRIM(C1127),FIND(" ",TRIM(C1127)&amp;" ")-1),",","."))+1,9))*12/52,IF(ISNUMBER(SEARCH("month",C1127)),IFERROR(_xlfn.NUMBERVALUE(SUBSTITUTE(LEFT(TRIM(C1127),FIND(" ",TRIM(C1127)&amp;" ")-1),",","."),"."),LEFT(SUBSTITUTE(LEFT(TRIM(C1127),FIND(" ",TRIM(C1127)&amp;" ")-1),",","."),FIND("/",SUBSTITUTE(LEFT(TRIM(C1127),FIND(" ",TRIM(C1127)&amp;" ")-1),",","."))-1)/MID(SUBSTITUTE(LEFT(TRIM(C1127),FIND(" ",TRIM(C1127)&amp;" ")-1),",","."),FIND("/",SUBSTITUTE(LEFT(TRIM(C1127),FIND(" ",TRIM(C1127)&amp;" ")-1),",","."))+1,9)),IF(ISNUMBER(SEARCH("yea",C1127)),IFERROR(_xlfn.NUMBERVALUE(SUBSTITUTE(LEFT(TRIM(C1127),FIND(" ",TRIM(C1127)&amp;" ")-1),",","."),"."),LEFT(SUBSTITUTE(LEFT(TRIM(C1127),FIND(" ",TRIM(C1127)&amp;" ")-1),",","."),FIND("/",SUBSTITUTE(LEFT(TRIM(C1127),FIND(" ",TRIM(C1127)&amp;" ")-1),",","."))-1)/MID(SUBSTITUTE(LEFT(TRIM(C1127),FIND(" ",TRIM(C1127)&amp;" ")-1),",","."),FIND("/",SUBSTITUTE(LEFT(TRIM(C1127),FIND(" ",TRIM(C1127)&amp;" ")-1),",","."))+1,9))*12,NA()))),0),48)*'Aturan &amp; Tarif'!$B$4,2)</f>
        <v>2725.44</v>
      </c>
      <c r="K1127" s="42" t="n">
        <f aca="false">'Aturan &amp; Tarif'!$B$5</f>
        <v>2050</v>
      </c>
      <c r="L1127" s="35" t="n">
        <f aca="false">I1127+J1127+K1127</f>
        <v>21025.44</v>
      </c>
      <c r="M1127" s="45" t="s">
        <v>2572</v>
      </c>
    </row>
    <row r="1128" customFormat="false" ht="37.5" hidden="false" customHeight="true" outlineLevel="0" collapsed="false">
      <c r="A1128" s="39"/>
      <c r="B1128" s="40" t="s">
        <v>2639</v>
      </c>
      <c r="C1128" s="41" t="s">
        <v>127</v>
      </c>
      <c r="D1128" s="41" t="s">
        <v>108</v>
      </c>
      <c r="E1128" s="42" t="n">
        <v>8967</v>
      </c>
      <c r="F1128" s="42"/>
      <c r="G1128" s="42"/>
      <c r="H1128" s="43" t="n">
        <v>2</v>
      </c>
      <c r="I1128" s="34" t="n">
        <f aca="false">E1128*H1128+N(F1128)+N(G1128)</f>
        <v>17934</v>
      </c>
      <c r="J1128" s="42" t="n">
        <f aca="false">ROUND(IFERROR(ROUND(IF(OR(ISNUMBER(SEARCH("week",C1128)),ISNUMBER(SEARCH("minggu",C1128))),IFERROR(_xlfn.NUMBERVALUE(SUBSTITUTE(LEFT(TRIM(C1128),FIND(" ",TRIM(C1128)&amp;" ")-1),",","."),"."),LEFT(SUBSTITUTE(LEFT(TRIM(C1128),FIND(" ",TRIM(C1128)&amp;" ")-1),",","."),FIND("/",SUBSTITUTE(LEFT(TRIM(C1128),FIND(" ",TRIM(C1128)&amp;" ")-1),",","."))-1)/MID(SUBSTITUTE(LEFT(TRIM(C1128),FIND(" ",TRIM(C1128)&amp;" ")-1),",","."),FIND("/",SUBSTITUTE(LEFT(TRIM(C1128),FIND(" ",TRIM(C1128)&amp;" ")-1),",","."))+1,9))*12/52,IF(ISNUMBER(SEARCH("month",C1128)),IFERROR(_xlfn.NUMBERVALUE(SUBSTITUTE(LEFT(TRIM(C1128),FIND(" ",TRIM(C1128)&amp;" ")-1),",","."),"."),LEFT(SUBSTITUTE(LEFT(TRIM(C1128),FIND(" ",TRIM(C1128)&amp;" ")-1),",","."),FIND("/",SUBSTITUTE(LEFT(TRIM(C1128),FIND(" ",TRIM(C1128)&amp;" ")-1),",","."))-1)/MID(SUBSTITUTE(LEFT(TRIM(C1128),FIND(" ",TRIM(C1128)&amp;" ")-1),",","."),FIND("/",SUBSTITUTE(LEFT(TRIM(C1128),FIND(" ",TRIM(C1128)&amp;" ")-1),",","."))+1,9)),IF(ISNUMBER(SEARCH("yea",C1128)),IFERROR(_xlfn.NUMBERVALUE(SUBSTITUTE(LEFT(TRIM(C1128),FIND(" ",TRIM(C1128)&amp;" ")-1),",","."),"."),LEFT(SUBSTITUTE(LEFT(TRIM(C1128),FIND(" ",TRIM(C1128)&amp;" ")-1),",","."),FIND("/",SUBSTITUTE(LEFT(TRIM(C1128),FIND(" ",TRIM(C1128)&amp;" ")-1),",","."))-1)/MID(SUBSTITUTE(LEFT(TRIM(C1128),FIND(" ",TRIM(C1128)&amp;" ")-1),",","."),FIND("/",SUBSTITUTE(LEFT(TRIM(C1128),FIND(" ",TRIM(C1128)&amp;" ")-1),",","."))+1,9))*12,NA()))),0),36)*'Aturan &amp; Tarif'!$B$4,2)</f>
        <v>2044.08</v>
      </c>
      <c r="K1128" s="42" t="n">
        <f aca="false">'Aturan &amp; Tarif'!$B$5</f>
        <v>2050</v>
      </c>
      <c r="L1128" s="35" t="n">
        <f aca="false">I1128+J1128+K1128</f>
        <v>22028.08</v>
      </c>
      <c r="M1128" s="45" t="s">
        <v>2572</v>
      </c>
    </row>
    <row r="1129" customFormat="false" ht="37.5" hidden="false" customHeight="true" outlineLevel="0" collapsed="false">
      <c r="A1129" s="39"/>
      <c r="B1129" s="40" t="s">
        <v>2640</v>
      </c>
      <c r="C1129" s="41" t="s">
        <v>127</v>
      </c>
      <c r="D1129" s="41" t="s">
        <v>108</v>
      </c>
      <c r="E1129" s="42" t="n">
        <v>8125</v>
      </c>
      <c r="F1129" s="42"/>
      <c r="G1129" s="42"/>
      <c r="H1129" s="43" t="n">
        <v>2</v>
      </c>
      <c r="I1129" s="34" t="n">
        <f aca="false">E1129*H1129+N(F1129)+N(G1129)</f>
        <v>16250</v>
      </c>
      <c r="J1129" s="42" t="n">
        <f aca="false">ROUND(IFERROR(ROUND(IF(OR(ISNUMBER(SEARCH("week",C1129)),ISNUMBER(SEARCH("minggu",C1129))),IFERROR(_xlfn.NUMBERVALUE(SUBSTITUTE(LEFT(TRIM(C1129),FIND(" ",TRIM(C1129)&amp;" ")-1),",","."),"."),LEFT(SUBSTITUTE(LEFT(TRIM(C1129),FIND(" ",TRIM(C1129)&amp;" ")-1),",","."),FIND("/",SUBSTITUTE(LEFT(TRIM(C1129),FIND(" ",TRIM(C1129)&amp;" ")-1),",","."))-1)/MID(SUBSTITUTE(LEFT(TRIM(C1129),FIND(" ",TRIM(C1129)&amp;" ")-1),",","."),FIND("/",SUBSTITUTE(LEFT(TRIM(C1129),FIND(" ",TRIM(C1129)&amp;" ")-1),",","."))+1,9))*12/52,IF(ISNUMBER(SEARCH("month",C1129)),IFERROR(_xlfn.NUMBERVALUE(SUBSTITUTE(LEFT(TRIM(C1129),FIND(" ",TRIM(C1129)&amp;" ")-1),",","."),"."),LEFT(SUBSTITUTE(LEFT(TRIM(C1129),FIND(" ",TRIM(C1129)&amp;" ")-1),",","."),FIND("/",SUBSTITUTE(LEFT(TRIM(C1129),FIND(" ",TRIM(C1129)&amp;" ")-1),",","."))-1)/MID(SUBSTITUTE(LEFT(TRIM(C1129),FIND(" ",TRIM(C1129)&amp;" ")-1),",","."),FIND("/",SUBSTITUTE(LEFT(TRIM(C1129),FIND(" ",TRIM(C1129)&amp;" ")-1),",","."))+1,9)),IF(ISNUMBER(SEARCH("yea",C1129)),IFERROR(_xlfn.NUMBERVALUE(SUBSTITUTE(LEFT(TRIM(C1129),FIND(" ",TRIM(C1129)&amp;" ")-1),",","."),"."),LEFT(SUBSTITUTE(LEFT(TRIM(C1129),FIND(" ",TRIM(C1129)&amp;" ")-1),",","."),FIND("/",SUBSTITUTE(LEFT(TRIM(C1129),FIND(" ",TRIM(C1129)&amp;" ")-1),",","."))-1)/MID(SUBSTITUTE(LEFT(TRIM(C1129),FIND(" ",TRIM(C1129)&amp;" ")-1),",","."),FIND("/",SUBSTITUTE(LEFT(TRIM(C1129),FIND(" ",TRIM(C1129)&amp;" ")-1),",","."))+1,9))*12,NA()))),0),36)*'Aturan &amp; Tarif'!$B$4,2)</f>
        <v>2044.08</v>
      </c>
      <c r="K1129" s="42" t="n">
        <f aca="false">'Aturan &amp; Tarif'!$B$5</f>
        <v>2050</v>
      </c>
      <c r="L1129" s="35" t="n">
        <f aca="false">I1129+J1129+K1129</f>
        <v>20344.08</v>
      </c>
      <c r="M1129" s="45" t="s">
        <v>2572</v>
      </c>
    </row>
    <row r="1130" customFormat="false" ht="37.5" hidden="false" customHeight="true" outlineLevel="0" collapsed="false">
      <c r="A1130" s="39"/>
      <c r="B1130" s="40" t="s">
        <v>2641</v>
      </c>
      <c r="C1130" s="41" t="s">
        <v>127</v>
      </c>
      <c r="D1130" s="41" t="s">
        <v>108</v>
      </c>
      <c r="E1130" s="42" t="n">
        <v>8125</v>
      </c>
      <c r="F1130" s="42"/>
      <c r="G1130" s="42"/>
      <c r="H1130" s="43" t="n">
        <v>2</v>
      </c>
      <c r="I1130" s="34" t="n">
        <f aca="false">E1130*H1130+N(F1130)+N(G1130)</f>
        <v>16250</v>
      </c>
      <c r="J1130" s="42" t="n">
        <f aca="false">ROUND(IFERROR(ROUND(IF(OR(ISNUMBER(SEARCH("week",C1130)),ISNUMBER(SEARCH("minggu",C1130))),IFERROR(_xlfn.NUMBERVALUE(SUBSTITUTE(LEFT(TRIM(C1130),FIND(" ",TRIM(C1130)&amp;" ")-1),",","."),"."),LEFT(SUBSTITUTE(LEFT(TRIM(C1130),FIND(" ",TRIM(C1130)&amp;" ")-1),",","."),FIND("/",SUBSTITUTE(LEFT(TRIM(C1130),FIND(" ",TRIM(C1130)&amp;" ")-1),",","."))-1)/MID(SUBSTITUTE(LEFT(TRIM(C1130),FIND(" ",TRIM(C1130)&amp;" ")-1),",","."),FIND("/",SUBSTITUTE(LEFT(TRIM(C1130),FIND(" ",TRIM(C1130)&amp;" ")-1),",","."))+1,9))*12/52,IF(ISNUMBER(SEARCH("month",C1130)),IFERROR(_xlfn.NUMBERVALUE(SUBSTITUTE(LEFT(TRIM(C1130),FIND(" ",TRIM(C1130)&amp;" ")-1),",","."),"."),LEFT(SUBSTITUTE(LEFT(TRIM(C1130),FIND(" ",TRIM(C1130)&amp;" ")-1),",","."),FIND("/",SUBSTITUTE(LEFT(TRIM(C1130),FIND(" ",TRIM(C1130)&amp;" ")-1),",","."))-1)/MID(SUBSTITUTE(LEFT(TRIM(C1130),FIND(" ",TRIM(C1130)&amp;" ")-1),",","."),FIND("/",SUBSTITUTE(LEFT(TRIM(C1130),FIND(" ",TRIM(C1130)&amp;" ")-1),",","."))+1,9)),IF(ISNUMBER(SEARCH("yea",C1130)),IFERROR(_xlfn.NUMBERVALUE(SUBSTITUTE(LEFT(TRIM(C1130),FIND(" ",TRIM(C1130)&amp;" ")-1),",","."),"."),LEFT(SUBSTITUTE(LEFT(TRIM(C1130),FIND(" ",TRIM(C1130)&amp;" ")-1),",","."),FIND("/",SUBSTITUTE(LEFT(TRIM(C1130),FIND(" ",TRIM(C1130)&amp;" ")-1),",","."))-1)/MID(SUBSTITUTE(LEFT(TRIM(C1130),FIND(" ",TRIM(C1130)&amp;" ")-1),",","."),FIND("/",SUBSTITUTE(LEFT(TRIM(C1130),FIND(" ",TRIM(C1130)&amp;" ")-1),",","."))+1,9))*12,NA()))),0),36)*'Aturan &amp; Tarif'!$B$4,2)</f>
        <v>2044.08</v>
      </c>
      <c r="K1130" s="42" t="n">
        <f aca="false">'Aturan &amp; Tarif'!$B$5</f>
        <v>2050</v>
      </c>
      <c r="L1130" s="35" t="n">
        <f aca="false">I1130+J1130+K1130</f>
        <v>20344.08</v>
      </c>
      <c r="M1130" s="45" t="s">
        <v>2572</v>
      </c>
    </row>
    <row r="1131" customFormat="false" ht="25.5" hidden="false" customHeight="true" outlineLevel="0" collapsed="false">
      <c r="A1131" s="39"/>
      <c r="B1131" s="40" t="s">
        <v>2642</v>
      </c>
      <c r="C1131" s="41" t="s">
        <v>127</v>
      </c>
      <c r="D1131" s="41" t="s">
        <v>108</v>
      </c>
      <c r="E1131" s="42" t="n">
        <v>8125</v>
      </c>
      <c r="F1131" s="42"/>
      <c r="G1131" s="42"/>
      <c r="H1131" s="43" t="n">
        <v>2</v>
      </c>
      <c r="I1131" s="34" t="n">
        <f aca="false">E1131*H1131+N(F1131)+N(G1131)</f>
        <v>16250</v>
      </c>
      <c r="J1131" s="42" t="n">
        <f aca="false">ROUND(IFERROR(ROUND(IF(OR(ISNUMBER(SEARCH("week",C1131)),ISNUMBER(SEARCH("minggu",C1131))),IFERROR(_xlfn.NUMBERVALUE(SUBSTITUTE(LEFT(TRIM(C1131),FIND(" ",TRIM(C1131)&amp;" ")-1),",","."),"."),LEFT(SUBSTITUTE(LEFT(TRIM(C1131),FIND(" ",TRIM(C1131)&amp;" ")-1),",","."),FIND("/",SUBSTITUTE(LEFT(TRIM(C1131),FIND(" ",TRIM(C1131)&amp;" ")-1),",","."))-1)/MID(SUBSTITUTE(LEFT(TRIM(C1131),FIND(" ",TRIM(C1131)&amp;" ")-1),",","."),FIND("/",SUBSTITUTE(LEFT(TRIM(C1131),FIND(" ",TRIM(C1131)&amp;" ")-1),",","."))+1,9))*12/52,IF(ISNUMBER(SEARCH("month",C1131)),IFERROR(_xlfn.NUMBERVALUE(SUBSTITUTE(LEFT(TRIM(C1131),FIND(" ",TRIM(C1131)&amp;" ")-1),",","."),"."),LEFT(SUBSTITUTE(LEFT(TRIM(C1131),FIND(" ",TRIM(C1131)&amp;" ")-1),",","."),FIND("/",SUBSTITUTE(LEFT(TRIM(C1131),FIND(" ",TRIM(C1131)&amp;" ")-1),",","."))-1)/MID(SUBSTITUTE(LEFT(TRIM(C1131),FIND(" ",TRIM(C1131)&amp;" ")-1),",","."),FIND("/",SUBSTITUTE(LEFT(TRIM(C1131),FIND(" ",TRIM(C1131)&amp;" ")-1),",","."))+1,9)),IF(ISNUMBER(SEARCH("yea",C1131)),IFERROR(_xlfn.NUMBERVALUE(SUBSTITUTE(LEFT(TRIM(C1131),FIND(" ",TRIM(C1131)&amp;" ")-1),",","."),"."),LEFT(SUBSTITUTE(LEFT(TRIM(C1131),FIND(" ",TRIM(C1131)&amp;" ")-1),",","."),FIND("/",SUBSTITUTE(LEFT(TRIM(C1131),FIND(" ",TRIM(C1131)&amp;" ")-1),",","."))-1)/MID(SUBSTITUTE(LEFT(TRIM(C1131),FIND(" ",TRIM(C1131)&amp;" ")-1),",","."),FIND("/",SUBSTITUTE(LEFT(TRIM(C1131),FIND(" ",TRIM(C1131)&amp;" ")-1),",","."))+1,9))*12,NA()))),0),36)*'Aturan &amp; Tarif'!$B$4,2)</f>
        <v>2044.08</v>
      </c>
      <c r="K1131" s="42" t="n">
        <f aca="false">'Aturan &amp; Tarif'!$B$5</f>
        <v>2050</v>
      </c>
      <c r="L1131" s="35" t="n">
        <f aca="false">I1131+J1131+K1131</f>
        <v>20344.08</v>
      </c>
      <c r="M1131" s="45" t="s">
        <v>2572</v>
      </c>
    </row>
    <row r="1132" customFormat="false" ht="25.5" hidden="false" customHeight="true" outlineLevel="0" collapsed="false">
      <c r="A1132" s="39"/>
      <c r="B1132" s="40" t="s">
        <v>2643</v>
      </c>
      <c r="C1132" s="41" t="s">
        <v>191</v>
      </c>
      <c r="D1132" s="41" t="s">
        <v>108</v>
      </c>
      <c r="E1132" s="42" t="n">
        <v>8125</v>
      </c>
      <c r="F1132" s="42"/>
      <c r="G1132" s="42"/>
      <c r="H1132" s="43" t="n">
        <v>2</v>
      </c>
      <c r="I1132" s="34" t="n">
        <f aca="false">E1132*H1132+N(F1132)+N(G1132)</f>
        <v>16250</v>
      </c>
      <c r="J1132" s="42" t="n">
        <f aca="false">ROUND(IFERROR(ROUND(IF(OR(ISNUMBER(SEARCH("week",C1132)),ISNUMBER(SEARCH("minggu",C1132))),IFERROR(_xlfn.NUMBERVALUE(SUBSTITUTE(LEFT(TRIM(C1132),FIND(" ",TRIM(C1132)&amp;" ")-1),",","."),"."),LEFT(SUBSTITUTE(LEFT(TRIM(C1132),FIND(" ",TRIM(C1132)&amp;" ")-1),",","."),FIND("/",SUBSTITUTE(LEFT(TRIM(C1132),FIND(" ",TRIM(C1132)&amp;" ")-1),",","."))-1)/MID(SUBSTITUTE(LEFT(TRIM(C1132),FIND(" ",TRIM(C1132)&amp;" ")-1),",","."),FIND("/",SUBSTITUTE(LEFT(TRIM(C1132),FIND(" ",TRIM(C1132)&amp;" ")-1),",","."))+1,9))*12/52,IF(ISNUMBER(SEARCH("month",C1132)),IFERROR(_xlfn.NUMBERVALUE(SUBSTITUTE(LEFT(TRIM(C1132),FIND(" ",TRIM(C1132)&amp;" ")-1),",","."),"."),LEFT(SUBSTITUTE(LEFT(TRIM(C1132),FIND(" ",TRIM(C1132)&amp;" ")-1),",","."),FIND("/",SUBSTITUTE(LEFT(TRIM(C1132),FIND(" ",TRIM(C1132)&amp;" ")-1),",","."))-1)/MID(SUBSTITUTE(LEFT(TRIM(C1132),FIND(" ",TRIM(C1132)&amp;" ")-1),",","."),FIND("/",SUBSTITUTE(LEFT(TRIM(C1132),FIND(" ",TRIM(C1132)&amp;" ")-1),",","."))+1,9)),IF(ISNUMBER(SEARCH("yea",C1132)),IFERROR(_xlfn.NUMBERVALUE(SUBSTITUTE(LEFT(TRIM(C1132),FIND(" ",TRIM(C1132)&amp;" ")-1),",","."),"."),LEFT(SUBSTITUTE(LEFT(TRIM(C1132),FIND(" ",TRIM(C1132)&amp;" ")-1),",","."),FIND("/",SUBSTITUTE(LEFT(TRIM(C1132),FIND(" ",TRIM(C1132)&amp;" ")-1),",","."))-1)/MID(SUBSTITUTE(LEFT(TRIM(C1132),FIND(" ",TRIM(C1132)&amp;" ")-1),",","."),FIND("/",SUBSTITUTE(LEFT(TRIM(C1132),FIND(" ",TRIM(C1132)&amp;" ")-1),",","."))+1,9))*12,NA()))),0),48)*'Aturan &amp; Tarif'!$B$4,2)</f>
        <v>2725.44</v>
      </c>
      <c r="K1132" s="42" t="n">
        <f aca="false">'Aturan &amp; Tarif'!$B$5</f>
        <v>2050</v>
      </c>
      <c r="L1132" s="35" t="n">
        <f aca="false">I1132+J1132+K1132</f>
        <v>21025.44</v>
      </c>
      <c r="M1132" s="45" t="s">
        <v>2572</v>
      </c>
    </row>
    <row r="1133" customFormat="false" ht="37.5" hidden="false" customHeight="true" outlineLevel="0" collapsed="false">
      <c r="A1133" s="39"/>
      <c r="B1133" s="40" t="s">
        <v>2644</v>
      </c>
      <c r="C1133" s="41" t="s">
        <v>191</v>
      </c>
      <c r="D1133" s="41" t="s">
        <v>108</v>
      </c>
      <c r="E1133" s="42" t="n">
        <v>8125</v>
      </c>
      <c r="F1133" s="42"/>
      <c r="G1133" s="42"/>
      <c r="H1133" s="43" t="n">
        <v>2</v>
      </c>
      <c r="I1133" s="34" t="n">
        <f aca="false">E1133*H1133+N(F1133)+N(G1133)</f>
        <v>16250</v>
      </c>
      <c r="J1133" s="42" t="n">
        <f aca="false">ROUND(IFERROR(ROUND(IF(OR(ISNUMBER(SEARCH("week",C1133)),ISNUMBER(SEARCH("minggu",C1133))),IFERROR(_xlfn.NUMBERVALUE(SUBSTITUTE(LEFT(TRIM(C1133),FIND(" ",TRIM(C1133)&amp;" ")-1),",","."),"."),LEFT(SUBSTITUTE(LEFT(TRIM(C1133),FIND(" ",TRIM(C1133)&amp;" ")-1),",","."),FIND("/",SUBSTITUTE(LEFT(TRIM(C1133),FIND(" ",TRIM(C1133)&amp;" ")-1),",","."))-1)/MID(SUBSTITUTE(LEFT(TRIM(C1133),FIND(" ",TRIM(C1133)&amp;" ")-1),",","."),FIND("/",SUBSTITUTE(LEFT(TRIM(C1133),FIND(" ",TRIM(C1133)&amp;" ")-1),",","."))+1,9))*12/52,IF(ISNUMBER(SEARCH("month",C1133)),IFERROR(_xlfn.NUMBERVALUE(SUBSTITUTE(LEFT(TRIM(C1133),FIND(" ",TRIM(C1133)&amp;" ")-1),",","."),"."),LEFT(SUBSTITUTE(LEFT(TRIM(C1133),FIND(" ",TRIM(C1133)&amp;" ")-1),",","."),FIND("/",SUBSTITUTE(LEFT(TRIM(C1133),FIND(" ",TRIM(C1133)&amp;" ")-1),",","."))-1)/MID(SUBSTITUTE(LEFT(TRIM(C1133),FIND(" ",TRIM(C1133)&amp;" ")-1),",","."),FIND("/",SUBSTITUTE(LEFT(TRIM(C1133),FIND(" ",TRIM(C1133)&amp;" ")-1),",","."))+1,9)),IF(ISNUMBER(SEARCH("yea",C1133)),IFERROR(_xlfn.NUMBERVALUE(SUBSTITUTE(LEFT(TRIM(C1133),FIND(" ",TRIM(C1133)&amp;" ")-1),",","."),"."),LEFT(SUBSTITUTE(LEFT(TRIM(C1133),FIND(" ",TRIM(C1133)&amp;" ")-1),",","."),FIND("/",SUBSTITUTE(LEFT(TRIM(C1133),FIND(" ",TRIM(C1133)&amp;" ")-1),",","."))-1)/MID(SUBSTITUTE(LEFT(TRIM(C1133),FIND(" ",TRIM(C1133)&amp;" ")-1),",","."),FIND("/",SUBSTITUTE(LEFT(TRIM(C1133),FIND(" ",TRIM(C1133)&amp;" ")-1),",","."))+1,9))*12,NA()))),0),48)*'Aturan &amp; Tarif'!$B$4,2)</f>
        <v>2725.44</v>
      </c>
      <c r="K1133" s="42" t="n">
        <f aca="false">'Aturan &amp; Tarif'!$B$5</f>
        <v>2050</v>
      </c>
      <c r="L1133" s="35" t="n">
        <f aca="false">I1133+J1133+K1133</f>
        <v>21025.44</v>
      </c>
      <c r="M1133" s="45" t="s">
        <v>2572</v>
      </c>
    </row>
    <row r="1134" customFormat="false" ht="37.5" hidden="false" customHeight="true" outlineLevel="0" collapsed="false">
      <c r="A1134" s="39"/>
      <c r="B1134" s="40" t="s">
        <v>2645</v>
      </c>
      <c r="C1134" s="41" t="s">
        <v>191</v>
      </c>
      <c r="D1134" s="41" t="s">
        <v>108</v>
      </c>
      <c r="E1134" s="42" t="n">
        <v>8125</v>
      </c>
      <c r="F1134" s="42"/>
      <c r="G1134" s="42"/>
      <c r="H1134" s="43" t="n">
        <v>2</v>
      </c>
      <c r="I1134" s="34" t="n">
        <f aca="false">E1134*H1134+N(F1134)+N(G1134)</f>
        <v>16250</v>
      </c>
      <c r="J1134" s="42" t="n">
        <f aca="false">ROUND(IFERROR(ROUND(IF(OR(ISNUMBER(SEARCH("week",C1134)),ISNUMBER(SEARCH("minggu",C1134))),IFERROR(_xlfn.NUMBERVALUE(SUBSTITUTE(LEFT(TRIM(C1134),FIND(" ",TRIM(C1134)&amp;" ")-1),",","."),"."),LEFT(SUBSTITUTE(LEFT(TRIM(C1134),FIND(" ",TRIM(C1134)&amp;" ")-1),",","."),FIND("/",SUBSTITUTE(LEFT(TRIM(C1134),FIND(" ",TRIM(C1134)&amp;" ")-1),",","."))-1)/MID(SUBSTITUTE(LEFT(TRIM(C1134),FIND(" ",TRIM(C1134)&amp;" ")-1),",","."),FIND("/",SUBSTITUTE(LEFT(TRIM(C1134),FIND(" ",TRIM(C1134)&amp;" ")-1),",","."))+1,9))*12/52,IF(ISNUMBER(SEARCH("month",C1134)),IFERROR(_xlfn.NUMBERVALUE(SUBSTITUTE(LEFT(TRIM(C1134),FIND(" ",TRIM(C1134)&amp;" ")-1),",","."),"."),LEFT(SUBSTITUTE(LEFT(TRIM(C1134),FIND(" ",TRIM(C1134)&amp;" ")-1),",","."),FIND("/",SUBSTITUTE(LEFT(TRIM(C1134),FIND(" ",TRIM(C1134)&amp;" ")-1),",","."))-1)/MID(SUBSTITUTE(LEFT(TRIM(C1134),FIND(" ",TRIM(C1134)&amp;" ")-1),",","."),FIND("/",SUBSTITUTE(LEFT(TRIM(C1134),FIND(" ",TRIM(C1134)&amp;" ")-1),",","."))+1,9)),IF(ISNUMBER(SEARCH("yea",C1134)),IFERROR(_xlfn.NUMBERVALUE(SUBSTITUTE(LEFT(TRIM(C1134),FIND(" ",TRIM(C1134)&amp;" ")-1),",","."),"."),LEFT(SUBSTITUTE(LEFT(TRIM(C1134),FIND(" ",TRIM(C1134)&amp;" ")-1),",","."),FIND("/",SUBSTITUTE(LEFT(TRIM(C1134),FIND(" ",TRIM(C1134)&amp;" ")-1),",","."))-1)/MID(SUBSTITUTE(LEFT(TRIM(C1134),FIND(" ",TRIM(C1134)&amp;" ")-1),",","."),FIND("/",SUBSTITUTE(LEFT(TRIM(C1134),FIND(" ",TRIM(C1134)&amp;" ")-1),",","."))+1,9))*12,NA()))),0),48)*'Aturan &amp; Tarif'!$B$4,2)</f>
        <v>2725.44</v>
      </c>
      <c r="K1134" s="42" t="n">
        <f aca="false">'Aturan &amp; Tarif'!$B$5</f>
        <v>2050</v>
      </c>
      <c r="L1134" s="35" t="n">
        <f aca="false">I1134+J1134+K1134</f>
        <v>21025.44</v>
      </c>
      <c r="M1134" s="45" t="s">
        <v>2572</v>
      </c>
    </row>
    <row r="1135" customFormat="false" ht="37.5" hidden="false" customHeight="true" outlineLevel="0" collapsed="false">
      <c r="A1135" s="39"/>
      <c r="B1135" s="40" t="s">
        <v>2646</v>
      </c>
      <c r="C1135" s="41" t="s">
        <v>127</v>
      </c>
      <c r="D1135" s="41" t="s">
        <v>108</v>
      </c>
      <c r="E1135" s="42" t="n">
        <v>9908</v>
      </c>
      <c r="F1135" s="42"/>
      <c r="G1135" s="42"/>
      <c r="H1135" s="43" t="n">
        <v>2</v>
      </c>
      <c r="I1135" s="34" t="n">
        <f aca="false">E1135*H1135+N(F1135)+N(G1135)</f>
        <v>19816</v>
      </c>
      <c r="J1135" s="42" t="n">
        <f aca="false">ROUND(IFERROR(ROUND(IF(OR(ISNUMBER(SEARCH("week",C1135)),ISNUMBER(SEARCH("minggu",C1135))),IFERROR(_xlfn.NUMBERVALUE(SUBSTITUTE(LEFT(TRIM(C1135),FIND(" ",TRIM(C1135)&amp;" ")-1),",","."),"."),LEFT(SUBSTITUTE(LEFT(TRIM(C1135),FIND(" ",TRIM(C1135)&amp;" ")-1),",","."),FIND("/",SUBSTITUTE(LEFT(TRIM(C1135),FIND(" ",TRIM(C1135)&amp;" ")-1),",","."))-1)/MID(SUBSTITUTE(LEFT(TRIM(C1135),FIND(" ",TRIM(C1135)&amp;" ")-1),",","."),FIND("/",SUBSTITUTE(LEFT(TRIM(C1135),FIND(" ",TRIM(C1135)&amp;" ")-1),",","."))+1,9))*12/52,IF(ISNUMBER(SEARCH("month",C1135)),IFERROR(_xlfn.NUMBERVALUE(SUBSTITUTE(LEFT(TRIM(C1135),FIND(" ",TRIM(C1135)&amp;" ")-1),",","."),"."),LEFT(SUBSTITUTE(LEFT(TRIM(C1135),FIND(" ",TRIM(C1135)&amp;" ")-1),",","."),FIND("/",SUBSTITUTE(LEFT(TRIM(C1135),FIND(" ",TRIM(C1135)&amp;" ")-1),",","."))-1)/MID(SUBSTITUTE(LEFT(TRIM(C1135),FIND(" ",TRIM(C1135)&amp;" ")-1),",","."),FIND("/",SUBSTITUTE(LEFT(TRIM(C1135),FIND(" ",TRIM(C1135)&amp;" ")-1),",","."))+1,9)),IF(ISNUMBER(SEARCH("yea",C1135)),IFERROR(_xlfn.NUMBERVALUE(SUBSTITUTE(LEFT(TRIM(C1135),FIND(" ",TRIM(C1135)&amp;" ")-1),",","."),"."),LEFT(SUBSTITUTE(LEFT(TRIM(C1135),FIND(" ",TRIM(C1135)&amp;" ")-1),",","."),FIND("/",SUBSTITUTE(LEFT(TRIM(C1135),FIND(" ",TRIM(C1135)&amp;" ")-1),",","."))-1)/MID(SUBSTITUTE(LEFT(TRIM(C1135),FIND(" ",TRIM(C1135)&amp;" ")-1),",","."),FIND("/",SUBSTITUTE(LEFT(TRIM(C1135),FIND(" ",TRIM(C1135)&amp;" ")-1),",","."))+1,9))*12,NA()))),0),36)*'Aturan &amp; Tarif'!$B$4,2)</f>
        <v>2044.08</v>
      </c>
      <c r="K1135" s="42" t="n">
        <f aca="false">'Aturan &amp; Tarif'!$B$5</f>
        <v>2050</v>
      </c>
      <c r="L1135" s="35" t="n">
        <f aca="false">I1135+J1135+K1135</f>
        <v>23910.08</v>
      </c>
      <c r="M1135" s="45" t="s">
        <v>2572</v>
      </c>
    </row>
    <row r="1136" customFormat="false" ht="25.5" hidden="false" customHeight="true" outlineLevel="0" collapsed="false">
      <c r="A1136" s="39"/>
      <c r="B1136" s="40" t="s">
        <v>2647</v>
      </c>
      <c r="C1136" s="41" t="s">
        <v>127</v>
      </c>
      <c r="D1136" s="41" t="s">
        <v>108</v>
      </c>
      <c r="E1136" s="42" t="n">
        <v>8694</v>
      </c>
      <c r="F1136" s="42"/>
      <c r="G1136" s="42"/>
      <c r="H1136" s="43" t="n">
        <v>2</v>
      </c>
      <c r="I1136" s="34" t="n">
        <f aca="false">E1136*H1136+N(F1136)+N(G1136)</f>
        <v>17388</v>
      </c>
      <c r="J1136" s="42" t="n">
        <f aca="false">ROUND(IFERROR(ROUND(IF(OR(ISNUMBER(SEARCH("week",C1136)),ISNUMBER(SEARCH("minggu",C1136))),IFERROR(_xlfn.NUMBERVALUE(SUBSTITUTE(LEFT(TRIM(C1136),FIND(" ",TRIM(C1136)&amp;" ")-1),",","."),"."),LEFT(SUBSTITUTE(LEFT(TRIM(C1136),FIND(" ",TRIM(C1136)&amp;" ")-1),",","."),FIND("/",SUBSTITUTE(LEFT(TRIM(C1136),FIND(" ",TRIM(C1136)&amp;" ")-1),",","."))-1)/MID(SUBSTITUTE(LEFT(TRIM(C1136),FIND(" ",TRIM(C1136)&amp;" ")-1),",","."),FIND("/",SUBSTITUTE(LEFT(TRIM(C1136),FIND(" ",TRIM(C1136)&amp;" ")-1),",","."))+1,9))*12/52,IF(ISNUMBER(SEARCH("month",C1136)),IFERROR(_xlfn.NUMBERVALUE(SUBSTITUTE(LEFT(TRIM(C1136),FIND(" ",TRIM(C1136)&amp;" ")-1),",","."),"."),LEFT(SUBSTITUTE(LEFT(TRIM(C1136),FIND(" ",TRIM(C1136)&amp;" ")-1),",","."),FIND("/",SUBSTITUTE(LEFT(TRIM(C1136),FIND(" ",TRIM(C1136)&amp;" ")-1),",","."))-1)/MID(SUBSTITUTE(LEFT(TRIM(C1136),FIND(" ",TRIM(C1136)&amp;" ")-1),",","."),FIND("/",SUBSTITUTE(LEFT(TRIM(C1136),FIND(" ",TRIM(C1136)&amp;" ")-1),",","."))+1,9)),IF(ISNUMBER(SEARCH("yea",C1136)),IFERROR(_xlfn.NUMBERVALUE(SUBSTITUTE(LEFT(TRIM(C1136),FIND(" ",TRIM(C1136)&amp;" ")-1),",","."),"."),LEFT(SUBSTITUTE(LEFT(TRIM(C1136),FIND(" ",TRIM(C1136)&amp;" ")-1),",","."),FIND("/",SUBSTITUTE(LEFT(TRIM(C1136),FIND(" ",TRIM(C1136)&amp;" ")-1),",","."))-1)/MID(SUBSTITUTE(LEFT(TRIM(C1136),FIND(" ",TRIM(C1136)&amp;" ")-1),",","."),FIND("/",SUBSTITUTE(LEFT(TRIM(C1136),FIND(" ",TRIM(C1136)&amp;" ")-1),",","."))+1,9))*12,NA()))),0),36)*'Aturan &amp; Tarif'!$B$4,2)</f>
        <v>2044.08</v>
      </c>
      <c r="K1136" s="42" t="n">
        <f aca="false">'Aturan &amp; Tarif'!$B$5</f>
        <v>2050</v>
      </c>
      <c r="L1136" s="35" t="n">
        <f aca="false">I1136+J1136+K1136</f>
        <v>21482.08</v>
      </c>
      <c r="M1136" s="45" t="s">
        <v>2648</v>
      </c>
    </row>
    <row r="1137" customFormat="false" ht="25.5" hidden="false" customHeight="true" outlineLevel="0" collapsed="false">
      <c r="A1137" s="39"/>
      <c r="B1137" s="40" t="s">
        <v>2649</v>
      </c>
      <c r="C1137" s="41" t="s">
        <v>127</v>
      </c>
      <c r="D1137" s="41" t="s">
        <v>108</v>
      </c>
      <c r="E1137" s="42" t="n">
        <v>8125</v>
      </c>
      <c r="F1137" s="42"/>
      <c r="G1137" s="42"/>
      <c r="H1137" s="43" t="n">
        <v>2</v>
      </c>
      <c r="I1137" s="34" t="n">
        <f aca="false">E1137*H1137+N(F1137)+N(G1137)</f>
        <v>16250</v>
      </c>
      <c r="J1137" s="42" t="n">
        <f aca="false">ROUND(IFERROR(ROUND(IF(OR(ISNUMBER(SEARCH("week",C1137)),ISNUMBER(SEARCH("minggu",C1137))),IFERROR(_xlfn.NUMBERVALUE(SUBSTITUTE(LEFT(TRIM(C1137),FIND(" ",TRIM(C1137)&amp;" ")-1),",","."),"."),LEFT(SUBSTITUTE(LEFT(TRIM(C1137),FIND(" ",TRIM(C1137)&amp;" ")-1),",","."),FIND("/",SUBSTITUTE(LEFT(TRIM(C1137),FIND(" ",TRIM(C1137)&amp;" ")-1),",","."))-1)/MID(SUBSTITUTE(LEFT(TRIM(C1137),FIND(" ",TRIM(C1137)&amp;" ")-1),",","."),FIND("/",SUBSTITUTE(LEFT(TRIM(C1137),FIND(" ",TRIM(C1137)&amp;" ")-1),",","."))+1,9))*12/52,IF(ISNUMBER(SEARCH("month",C1137)),IFERROR(_xlfn.NUMBERVALUE(SUBSTITUTE(LEFT(TRIM(C1137),FIND(" ",TRIM(C1137)&amp;" ")-1),",","."),"."),LEFT(SUBSTITUTE(LEFT(TRIM(C1137),FIND(" ",TRIM(C1137)&amp;" ")-1),",","."),FIND("/",SUBSTITUTE(LEFT(TRIM(C1137),FIND(" ",TRIM(C1137)&amp;" ")-1),",","."))-1)/MID(SUBSTITUTE(LEFT(TRIM(C1137),FIND(" ",TRIM(C1137)&amp;" ")-1),",","."),FIND("/",SUBSTITUTE(LEFT(TRIM(C1137),FIND(" ",TRIM(C1137)&amp;" ")-1),",","."))+1,9)),IF(ISNUMBER(SEARCH("yea",C1137)),IFERROR(_xlfn.NUMBERVALUE(SUBSTITUTE(LEFT(TRIM(C1137),FIND(" ",TRIM(C1137)&amp;" ")-1),",","."),"."),LEFT(SUBSTITUTE(LEFT(TRIM(C1137),FIND(" ",TRIM(C1137)&amp;" ")-1),",","."),FIND("/",SUBSTITUTE(LEFT(TRIM(C1137),FIND(" ",TRIM(C1137)&amp;" ")-1),",","."))-1)/MID(SUBSTITUTE(LEFT(TRIM(C1137),FIND(" ",TRIM(C1137)&amp;" ")-1),",","."),FIND("/",SUBSTITUTE(LEFT(TRIM(C1137),FIND(" ",TRIM(C1137)&amp;" ")-1),",","."))+1,9))*12,NA()))),0),36)*'Aturan &amp; Tarif'!$B$4,2)</f>
        <v>2044.08</v>
      </c>
      <c r="K1137" s="42" t="n">
        <f aca="false">'Aturan &amp; Tarif'!$B$5</f>
        <v>2050</v>
      </c>
      <c r="L1137" s="35" t="n">
        <f aca="false">I1137+J1137+K1137</f>
        <v>20344.08</v>
      </c>
      <c r="M1137" s="45" t="s">
        <v>2648</v>
      </c>
    </row>
    <row r="1138" customFormat="false" ht="37.5" hidden="false" customHeight="true" outlineLevel="0" collapsed="false">
      <c r="A1138" s="39"/>
      <c r="B1138" s="40" t="s">
        <v>2650</v>
      </c>
      <c r="C1138" s="41" t="s">
        <v>127</v>
      </c>
      <c r="D1138" s="41" t="s">
        <v>108</v>
      </c>
      <c r="E1138" s="42" t="n">
        <v>8125</v>
      </c>
      <c r="F1138" s="42"/>
      <c r="G1138" s="42"/>
      <c r="H1138" s="43" t="n">
        <v>2</v>
      </c>
      <c r="I1138" s="34" t="n">
        <f aca="false">E1138*H1138+N(F1138)+N(G1138)</f>
        <v>16250</v>
      </c>
      <c r="J1138" s="42" t="n">
        <f aca="false">ROUND(IFERROR(ROUND(IF(OR(ISNUMBER(SEARCH("week",C1138)),ISNUMBER(SEARCH("minggu",C1138))),IFERROR(_xlfn.NUMBERVALUE(SUBSTITUTE(LEFT(TRIM(C1138),FIND(" ",TRIM(C1138)&amp;" ")-1),",","."),"."),LEFT(SUBSTITUTE(LEFT(TRIM(C1138),FIND(" ",TRIM(C1138)&amp;" ")-1),",","."),FIND("/",SUBSTITUTE(LEFT(TRIM(C1138),FIND(" ",TRIM(C1138)&amp;" ")-1),",","."))-1)/MID(SUBSTITUTE(LEFT(TRIM(C1138),FIND(" ",TRIM(C1138)&amp;" ")-1),",","."),FIND("/",SUBSTITUTE(LEFT(TRIM(C1138),FIND(" ",TRIM(C1138)&amp;" ")-1),",","."))+1,9))*12/52,IF(ISNUMBER(SEARCH("month",C1138)),IFERROR(_xlfn.NUMBERVALUE(SUBSTITUTE(LEFT(TRIM(C1138),FIND(" ",TRIM(C1138)&amp;" ")-1),",","."),"."),LEFT(SUBSTITUTE(LEFT(TRIM(C1138),FIND(" ",TRIM(C1138)&amp;" ")-1),",","."),FIND("/",SUBSTITUTE(LEFT(TRIM(C1138),FIND(" ",TRIM(C1138)&amp;" ")-1),",","."))-1)/MID(SUBSTITUTE(LEFT(TRIM(C1138),FIND(" ",TRIM(C1138)&amp;" ")-1),",","."),FIND("/",SUBSTITUTE(LEFT(TRIM(C1138),FIND(" ",TRIM(C1138)&amp;" ")-1),",","."))+1,9)),IF(ISNUMBER(SEARCH("yea",C1138)),IFERROR(_xlfn.NUMBERVALUE(SUBSTITUTE(LEFT(TRIM(C1138),FIND(" ",TRIM(C1138)&amp;" ")-1),",","."),"."),LEFT(SUBSTITUTE(LEFT(TRIM(C1138),FIND(" ",TRIM(C1138)&amp;" ")-1),",","."),FIND("/",SUBSTITUTE(LEFT(TRIM(C1138),FIND(" ",TRIM(C1138)&amp;" ")-1),",","."))-1)/MID(SUBSTITUTE(LEFT(TRIM(C1138),FIND(" ",TRIM(C1138)&amp;" ")-1),",","."),FIND("/",SUBSTITUTE(LEFT(TRIM(C1138),FIND(" ",TRIM(C1138)&amp;" ")-1),",","."))+1,9))*12,NA()))),0),36)*'Aturan &amp; Tarif'!$B$4,2)</f>
        <v>2044.08</v>
      </c>
      <c r="K1138" s="42" t="n">
        <f aca="false">'Aturan &amp; Tarif'!$B$5</f>
        <v>2050</v>
      </c>
      <c r="L1138" s="35" t="n">
        <f aca="false">I1138+J1138+K1138</f>
        <v>20344.08</v>
      </c>
      <c r="M1138" s="45" t="s">
        <v>2572</v>
      </c>
    </row>
    <row r="1139" customFormat="false" ht="25.5" hidden="false" customHeight="true" outlineLevel="0" collapsed="false">
      <c r="A1139" s="39"/>
      <c r="B1139" s="40" t="s">
        <v>2651</v>
      </c>
      <c r="C1139" s="41" t="s">
        <v>127</v>
      </c>
      <c r="D1139" s="41" t="s">
        <v>108</v>
      </c>
      <c r="E1139" s="42" t="n">
        <v>8125</v>
      </c>
      <c r="F1139" s="42"/>
      <c r="G1139" s="42"/>
      <c r="H1139" s="43" t="n">
        <v>2</v>
      </c>
      <c r="I1139" s="34" t="n">
        <f aca="false">E1139*H1139+N(F1139)+N(G1139)</f>
        <v>16250</v>
      </c>
      <c r="J1139" s="42" t="n">
        <f aca="false">ROUND(IFERROR(ROUND(IF(OR(ISNUMBER(SEARCH("week",C1139)),ISNUMBER(SEARCH("minggu",C1139))),IFERROR(_xlfn.NUMBERVALUE(SUBSTITUTE(LEFT(TRIM(C1139),FIND(" ",TRIM(C1139)&amp;" ")-1),",","."),"."),LEFT(SUBSTITUTE(LEFT(TRIM(C1139),FIND(" ",TRIM(C1139)&amp;" ")-1),",","."),FIND("/",SUBSTITUTE(LEFT(TRIM(C1139),FIND(" ",TRIM(C1139)&amp;" ")-1),",","."))-1)/MID(SUBSTITUTE(LEFT(TRIM(C1139),FIND(" ",TRIM(C1139)&amp;" ")-1),",","."),FIND("/",SUBSTITUTE(LEFT(TRIM(C1139),FIND(" ",TRIM(C1139)&amp;" ")-1),",","."))+1,9))*12/52,IF(ISNUMBER(SEARCH("month",C1139)),IFERROR(_xlfn.NUMBERVALUE(SUBSTITUTE(LEFT(TRIM(C1139),FIND(" ",TRIM(C1139)&amp;" ")-1),",","."),"."),LEFT(SUBSTITUTE(LEFT(TRIM(C1139),FIND(" ",TRIM(C1139)&amp;" ")-1),",","."),FIND("/",SUBSTITUTE(LEFT(TRIM(C1139),FIND(" ",TRIM(C1139)&amp;" ")-1),",","."))-1)/MID(SUBSTITUTE(LEFT(TRIM(C1139),FIND(" ",TRIM(C1139)&amp;" ")-1),",","."),FIND("/",SUBSTITUTE(LEFT(TRIM(C1139),FIND(" ",TRIM(C1139)&amp;" ")-1),",","."))+1,9)),IF(ISNUMBER(SEARCH("yea",C1139)),IFERROR(_xlfn.NUMBERVALUE(SUBSTITUTE(LEFT(TRIM(C1139),FIND(" ",TRIM(C1139)&amp;" ")-1),",","."),"."),LEFT(SUBSTITUTE(LEFT(TRIM(C1139),FIND(" ",TRIM(C1139)&amp;" ")-1),",","."),FIND("/",SUBSTITUTE(LEFT(TRIM(C1139),FIND(" ",TRIM(C1139)&amp;" ")-1),",","."))-1)/MID(SUBSTITUTE(LEFT(TRIM(C1139),FIND(" ",TRIM(C1139)&amp;" ")-1),",","."),FIND("/",SUBSTITUTE(LEFT(TRIM(C1139),FIND(" ",TRIM(C1139)&amp;" ")-1),",","."))+1,9))*12,NA()))),0),36)*'Aturan &amp; Tarif'!$B$4,2)</f>
        <v>2044.08</v>
      </c>
      <c r="K1139" s="42" t="n">
        <f aca="false">'Aturan &amp; Tarif'!$B$5</f>
        <v>2050</v>
      </c>
      <c r="L1139" s="35" t="n">
        <f aca="false">I1139+J1139+K1139</f>
        <v>20344.08</v>
      </c>
      <c r="M1139" s="45" t="s">
        <v>2572</v>
      </c>
    </row>
    <row r="1140" customFormat="false" ht="25.5" hidden="false" customHeight="true" outlineLevel="0" collapsed="false">
      <c r="A1140" s="39"/>
      <c r="B1140" s="40" t="s">
        <v>2652</v>
      </c>
      <c r="C1140" s="41" t="s">
        <v>191</v>
      </c>
      <c r="D1140" s="41" t="s">
        <v>108</v>
      </c>
      <c r="E1140" s="42" t="n">
        <v>8967</v>
      </c>
      <c r="F1140" s="42"/>
      <c r="G1140" s="42"/>
      <c r="H1140" s="43" t="n">
        <v>2</v>
      </c>
      <c r="I1140" s="34" t="n">
        <f aca="false">E1140*H1140+N(F1140)+N(G1140)</f>
        <v>17934</v>
      </c>
      <c r="J1140" s="42" t="n">
        <f aca="false">ROUND(IFERROR(ROUND(IF(OR(ISNUMBER(SEARCH("week",C1140)),ISNUMBER(SEARCH("minggu",C1140))),IFERROR(_xlfn.NUMBERVALUE(SUBSTITUTE(LEFT(TRIM(C1140),FIND(" ",TRIM(C1140)&amp;" ")-1),",","."),"."),LEFT(SUBSTITUTE(LEFT(TRIM(C1140),FIND(" ",TRIM(C1140)&amp;" ")-1),",","."),FIND("/",SUBSTITUTE(LEFT(TRIM(C1140),FIND(" ",TRIM(C1140)&amp;" ")-1),",","."))-1)/MID(SUBSTITUTE(LEFT(TRIM(C1140),FIND(" ",TRIM(C1140)&amp;" ")-1),",","."),FIND("/",SUBSTITUTE(LEFT(TRIM(C1140),FIND(" ",TRIM(C1140)&amp;" ")-1),",","."))+1,9))*12/52,IF(ISNUMBER(SEARCH("month",C1140)),IFERROR(_xlfn.NUMBERVALUE(SUBSTITUTE(LEFT(TRIM(C1140),FIND(" ",TRIM(C1140)&amp;" ")-1),",","."),"."),LEFT(SUBSTITUTE(LEFT(TRIM(C1140),FIND(" ",TRIM(C1140)&amp;" ")-1),",","."),FIND("/",SUBSTITUTE(LEFT(TRIM(C1140),FIND(" ",TRIM(C1140)&amp;" ")-1),",","."))-1)/MID(SUBSTITUTE(LEFT(TRIM(C1140),FIND(" ",TRIM(C1140)&amp;" ")-1),",","."),FIND("/",SUBSTITUTE(LEFT(TRIM(C1140),FIND(" ",TRIM(C1140)&amp;" ")-1),",","."))+1,9)),IF(ISNUMBER(SEARCH("yea",C1140)),IFERROR(_xlfn.NUMBERVALUE(SUBSTITUTE(LEFT(TRIM(C1140),FIND(" ",TRIM(C1140)&amp;" ")-1),",","."),"."),LEFT(SUBSTITUTE(LEFT(TRIM(C1140),FIND(" ",TRIM(C1140)&amp;" ")-1),",","."),FIND("/",SUBSTITUTE(LEFT(TRIM(C1140),FIND(" ",TRIM(C1140)&amp;" ")-1),",","."))-1)/MID(SUBSTITUTE(LEFT(TRIM(C1140),FIND(" ",TRIM(C1140)&amp;" ")-1),",","."),FIND("/",SUBSTITUTE(LEFT(TRIM(C1140),FIND(" ",TRIM(C1140)&amp;" ")-1),",","."))+1,9))*12,NA()))),0),48)*'Aturan &amp; Tarif'!$B$4,2)</f>
        <v>2725.44</v>
      </c>
      <c r="K1140" s="42" t="n">
        <f aca="false">'Aturan &amp; Tarif'!$B$5</f>
        <v>2050</v>
      </c>
      <c r="L1140" s="35" t="n">
        <f aca="false">I1140+J1140+K1140</f>
        <v>22709.44</v>
      </c>
      <c r="M1140" s="45" t="s">
        <v>2572</v>
      </c>
    </row>
    <row r="1141" customFormat="false" ht="25.5" hidden="false" customHeight="true" outlineLevel="0" collapsed="false">
      <c r="A1141" s="39"/>
      <c r="B1141" s="40" t="s">
        <v>2653</v>
      </c>
      <c r="C1141" s="41" t="s">
        <v>191</v>
      </c>
      <c r="D1141" s="41" t="s">
        <v>108</v>
      </c>
      <c r="E1141" s="42" t="n">
        <v>8125</v>
      </c>
      <c r="F1141" s="42"/>
      <c r="G1141" s="42"/>
      <c r="H1141" s="43" t="n">
        <v>2</v>
      </c>
      <c r="I1141" s="34" t="n">
        <f aca="false">E1141*H1141+N(F1141)+N(G1141)</f>
        <v>16250</v>
      </c>
      <c r="J1141" s="42" t="n">
        <f aca="false">ROUND(IFERROR(ROUND(IF(OR(ISNUMBER(SEARCH("week",C1141)),ISNUMBER(SEARCH("minggu",C1141))),IFERROR(_xlfn.NUMBERVALUE(SUBSTITUTE(LEFT(TRIM(C1141),FIND(" ",TRIM(C1141)&amp;" ")-1),",","."),"."),LEFT(SUBSTITUTE(LEFT(TRIM(C1141),FIND(" ",TRIM(C1141)&amp;" ")-1),",","."),FIND("/",SUBSTITUTE(LEFT(TRIM(C1141),FIND(" ",TRIM(C1141)&amp;" ")-1),",","."))-1)/MID(SUBSTITUTE(LEFT(TRIM(C1141),FIND(" ",TRIM(C1141)&amp;" ")-1),",","."),FIND("/",SUBSTITUTE(LEFT(TRIM(C1141),FIND(" ",TRIM(C1141)&amp;" ")-1),",","."))+1,9))*12/52,IF(ISNUMBER(SEARCH("month",C1141)),IFERROR(_xlfn.NUMBERVALUE(SUBSTITUTE(LEFT(TRIM(C1141),FIND(" ",TRIM(C1141)&amp;" ")-1),",","."),"."),LEFT(SUBSTITUTE(LEFT(TRIM(C1141),FIND(" ",TRIM(C1141)&amp;" ")-1),",","."),FIND("/",SUBSTITUTE(LEFT(TRIM(C1141),FIND(" ",TRIM(C1141)&amp;" ")-1),",","."))-1)/MID(SUBSTITUTE(LEFT(TRIM(C1141),FIND(" ",TRIM(C1141)&amp;" ")-1),",","."),FIND("/",SUBSTITUTE(LEFT(TRIM(C1141),FIND(" ",TRIM(C1141)&amp;" ")-1),",","."))+1,9)),IF(ISNUMBER(SEARCH("yea",C1141)),IFERROR(_xlfn.NUMBERVALUE(SUBSTITUTE(LEFT(TRIM(C1141),FIND(" ",TRIM(C1141)&amp;" ")-1),",","."),"."),LEFT(SUBSTITUTE(LEFT(TRIM(C1141),FIND(" ",TRIM(C1141)&amp;" ")-1),",","."),FIND("/",SUBSTITUTE(LEFT(TRIM(C1141),FIND(" ",TRIM(C1141)&amp;" ")-1),",","."))-1)/MID(SUBSTITUTE(LEFT(TRIM(C1141),FIND(" ",TRIM(C1141)&amp;" ")-1),",","."),FIND("/",SUBSTITUTE(LEFT(TRIM(C1141),FIND(" ",TRIM(C1141)&amp;" ")-1),",","."))+1,9))*12,NA()))),0),48)*'Aturan &amp; Tarif'!$B$4,2)</f>
        <v>2725.44</v>
      </c>
      <c r="K1141" s="42" t="n">
        <f aca="false">'Aturan &amp; Tarif'!$B$5</f>
        <v>2050</v>
      </c>
      <c r="L1141" s="35" t="n">
        <f aca="false">I1141+J1141+K1141</f>
        <v>21025.44</v>
      </c>
      <c r="M1141" s="45" t="s">
        <v>2572</v>
      </c>
    </row>
    <row r="1142" customFormat="false" ht="25.5" hidden="false" customHeight="true" outlineLevel="0" collapsed="false">
      <c r="A1142" s="39"/>
      <c r="B1142" s="40" t="s">
        <v>2654</v>
      </c>
      <c r="C1142" s="41" t="s">
        <v>191</v>
      </c>
      <c r="D1142" s="41" t="s">
        <v>108</v>
      </c>
      <c r="E1142" s="42" t="n">
        <v>8694</v>
      </c>
      <c r="F1142" s="42"/>
      <c r="G1142" s="42"/>
      <c r="H1142" s="43" t="n">
        <v>2</v>
      </c>
      <c r="I1142" s="34" t="n">
        <f aca="false">E1142*H1142+N(F1142)+N(G1142)</f>
        <v>17388</v>
      </c>
      <c r="J1142" s="42" t="n">
        <f aca="false">ROUND(IFERROR(ROUND(IF(OR(ISNUMBER(SEARCH("week",C1142)),ISNUMBER(SEARCH("minggu",C1142))),IFERROR(_xlfn.NUMBERVALUE(SUBSTITUTE(LEFT(TRIM(C1142),FIND(" ",TRIM(C1142)&amp;" ")-1),",","."),"."),LEFT(SUBSTITUTE(LEFT(TRIM(C1142),FIND(" ",TRIM(C1142)&amp;" ")-1),",","."),FIND("/",SUBSTITUTE(LEFT(TRIM(C1142),FIND(" ",TRIM(C1142)&amp;" ")-1),",","."))-1)/MID(SUBSTITUTE(LEFT(TRIM(C1142),FIND(" ",TRIM(C1142)&amp;" ")-1),",","."),FIND("/",SUBSTITUTE(LEFT(TRIM(C1142),FIND(" ",TRIM(C1142)&amp;" ")-1),",","."))+1,9))*12/52,IF(ISNUMBER(SEARCH("month",C1142)),IFERROR(_xlfn.NUMBERVALUE(SUBSTITUTE(LEFT(TRIM(C1142),FIND(" ",TRIM(C1142)&amp;" ")-1),",","."),"."),LEFT(SUBSTITUTE(LEFT(TRIM(C1142),FIND(" ",TRIM(C1142)&amp;" ")-1),",","."),FIND("/",SUBSTITUTE(LEFT(TRIM(C1142),FIND(" ",TRIM(C1142)&amp;" ")-1),",","."))-1)/MID(SUBSTITUTE(LEFT(TRIM(C1142),FIND(" ",TRIM(C1142)&amp;" ")-1),",","."),FIND("/",SUBSTITUTE(LEFT(TRIM(C1142),FIND(" ",TRIM(C1142)&amp;" ")-1),",","."))+1,9)),IF(ISNUMBER(SEARCH("yea",C1142)),IFERROR(_xlfn.NUMBERVALUE(SUBSTITUTE(LEFT(TRIM(C1142),FIND(" ",TRIM(C1142)&amp;" ")-1),",","."),"."),LEFT(SUBSTITUTE(LEFT(TRIM(C1142),FIND(" ",TRIM(C1142)&amp;" ")-1),",","."),FIND("/",SUBSTITUTE(LEFT(TRIM(C1142),FIND(" ",TRIM(C1142)&amp;" ")-1),",","."))-1)/MID(SUBSTITUTE(LEFT(TRIM(C1142),FIND(" ",TRIM(C1142)&amp;" ")-1),",","."),FIND("/",SUBSTITUTE(LEFT(TRIM(C1142),FIND(" ",TRIM(C1142)&amp;" ")-1),",","."))+1,9))*12,NA()))),0),48)*'Aturan &amp; Tarif'!$B$4,2)</f>
        <v>2725.44</v>
      </c>
      <c r="K1142" s="42" t="n">
        <f aca="false">'Aturan &amp; Tarif'!$B$5</f>
        <v>2050</v>
      </c>
      <c r="L1142" s="35" t="n">
        <f aca="false">I1142+J1142+K1142</f>
        <v>22163.44</v>
      </c>
      <c r="M1142" s="45" t="s">
        <v>2648</v>
      </c>
    </row>
    <row r="1143" customFormat="false" ht="25.5" hidden="false" customHeight="true" outlineLevel="0" collapsed="false">
      <c r="A1143" s="39"/>
      <c r="B1143" s="40" t="s">
        <v>2655</v>
      </c>
      <c r="C1143" s="41" t="s">
        <v>191</v>
      </c>
      <c r="D1143" s="41" t="s">
        <v>108</v>
      </c>
      <c r="E1143" s="42" t="n">
        <v>8694</v>
      </c>
      <c r="F1143" s="42"/>
      <c r="G1143" s="42"/>
      <c r="H1143" s="43" t="n">
        <v>2</v>
      </c>
      <c r="I1143" s="34" t="n">
        <f aca="false">E1143*H1143+N(F1143)+N(G1143)</f>
        <v>17388</v>
      </c>
      <c r="J1143" s="42" t="n">
        <f aca="false">ROUND(IFERROR(ROUND(IF(OR(ISNUMBER(SEARCH("week",C1143)),ISNUMBER(SEARCH("minggu",C1143))),IFERROR(_xlfn.NUMBERVALUE(SUBSTITUTE(LEFT(TRIM(C1143),FIND(" ",TRIM(C1143)&amp;" ")-1),",","."),"."),LEFT(SUBSTITUTE(LEFT(TRIM(C1143),FIND(" ",TRIM(C1143)&amp;" ")-1),",","."),FIND("/",SUBSTITUTE(LEFT(TRIM(C1143),FIND(" ",TRIM(C1143)&amp;" ")-1),",","."))-1)/MID(SUBSTITUTE(LEFT(TRIM(C1143),FIND(" ",TRIM(C1143)&amp;" ")-1),",","."),FIND("/",SUBSTITUTE(LEFT(TRIM(C1143),FIND(" ",TRIM(C1143)&amp;" ")-1),",","."))+1,9))*12/52,IF(ISNUMBER(SEARCH("month",C1143)),IFERROR(_xlfn.NUMBERVALUE(SUBSTITUTE(LEFT(TRIM(C1143),FIND(" ",TRIM(C1143)&amp;" ")-1),",","."),"."),LEFT(SUBSTITUTE(LEFT(TRIM(C1143),FIND(" ",TRIM(C1143)&amp;" ")-1),",","."),FIND("/",SUBSTITUTE(LEFT(TRIM(C1143),FIND(" ",TRIM(C1143)&amp;" ")-1),",","."))-1)/MID(SUBSTITUTE(LEFT(TRIM(C1143),FIND(" ",TRIM(C1143)&amp;" ")-1),",","."),FIND("/",SUBSTITUTE(LEFT(TRIM(C1143),FIND(" ",TRIM(C1143)&amp;" ")-1),",","."))+1,9)),IF(ISNUMBER(SEARCH("yea",C1143)),IFERROR(_xlfn.NUMBERVALUE(SUBSTITUTE(LEFT(TRIM(C1143),FIND(" ",TRIM(C1143)&amp;" ")-1),",","."),"."),LEFT(SUBSTITUTE(LEFT(TRIM(C1143),FIND(" ",TRIM(C1143)&amp;" ")-1),",","."),FIND("/",SUBSTITUTE(LEFT(TRIM(C1143),FIND(" ",TRIM(C1143)&amp;" ")-1),",","."))-1)/MID(SUBSTITUTE(LEFT(TRIM(C1143),FIND(" ",TRIM(C1143)&amp;" ")-1),",","."),FIND("/",SUBSTITUTE(LEFT(TRIM(C1143),FIND(" ",TRIM(C1143)&amp;" ")-1),",","."))+1,9))*12,NA()))),0),48)*'Aturan &amp; Tarif'!$B$4,2)</f>
        <v>2725.44</v>
      </c>
      <c r="K1143" s="42" t="n">
        <f aca="false">'Aturan &amp; Tarif'!$B$5</f>
        <v>2050</v>
      </c>
      <c r="L1143" s="35" t="n">
        <f aca="false">I1143+J1143+K1143</f>
        <v>22163.44</v>
      </c>
      <c r="M1143" s="45" t="s">
        <v>2648</v>
      </c>
    </row>
    <row r="1144" customFormat="false" ht="25.5" hidden="false" customHeight="true" outlineLevel="0" collapsed="false">
      <c r="A1144" s="39"/>
      <c r="B1144" s="40" t="s">
        <v>2656</v>
      </c>
      <c r="C1144" s="41" t="s">
        <v>191</v>
      </c>
      <c r="D1144" s="41" t="s">
        <v>108</v>
      </c>
      <c r="E1144" s="42" t="n">
        <v>8694</v>
      </c>
      <c r="F1144" s="42"/>
      <c r="G1144" s="42"/>
      <c r="H1144" s="43" t="n">
        <v>2</v>
      </c>
      <c r="I1144" s="34" t="n">
        <f aca="false">E1144*H1144+N(F1144)+N(G1144)</f>
        <v>17388</v>
      </c>
      <c r="J1144" s="42" t="n">
        <f aca="false">ROUND(IFERROR(ROUND(IF(OR(ISNUMBER(SEARCH("week",C1144)),ISNUMBER(SEARCH("minggu",C1144))),IFERROR(_xlfn.NUMBERVALUE(SUBSTITUTE(LEFT(TRIM(C1144),FIND(" ",TRIM(C1144)&amp;" ")-1),",","."),"."),LEFT(SUBSTITUTE(LEFT(TRIM(C1144),FIND(" ",TRIM(C1144)&amp;" ")-1),",","."),FIND("/",SUBSTITUTE(LEFT(TRIM(C1144),FIND(" ",TRIM(C1144)&amp;" ")-1),",","."))-1)/MID(SUBSTITUTE(LEFT(TRIM(C1144),FIND(" ",TRIM(C1144)&amp;" ")-1),",","."),FIND("/",SUBSTITUTE(LEFT(TRIM(C1144),FIND(" ",TRIM(C1144)&amp;" ")-1),",","."))+1,9))*12/52,IF(ISNUMBER(SEARCH("month",C1144)),IFERROR(_xlfn.NUMBERVALUE(SUBSTITUTE(LEFT(TRIM(C1144),FIND(" ",TRIM(C1144)&amp;" ")-1),",","."),"."),LEFT(SUBSTITUTE(LEFT(TRIM(C1144),FIND(" ",TRIM(C1144)&amp;" ")-1),",","."),FIND("/",SUBSTITUTE(LEFT(TRIM(C1144),FIND(" ",TRIM(C1144)&amp;" ")-1),",","."))-1)/MID(SUBSTITUTE(LEFT(TRIM(C1144),FIND(" ",TRIM(C1144)&amp;" ")-1),",","."),FIND("/",SUBSTITUTE(LEFT(TRIM(C1144),FIND(" ",TRIM(C1144)&amp;" ")-1),",","."))+1,9)),IF(ISNUMBER(SEARCH("yea",C1144)),IFERROR(_xlfn.NUMBERVALUE(SUBSTITUTE(LEFT(TRIM(C1144),FIND(" ",TRIM(C1144)&amp;" ")-1),",","."),"."),LEFT(SUBSTITUTE(LEFT(TRIM(C1144),FIND(" ",TRIM(C1144)&amp;" ")-1),",","."),FIND("/",SUBSTITUTE(LEFT(TRIM(C1144),FIND(" ",TRIM(C1144)&amp;" ")-1),",","."))-1)/MID(SUBSTITUTE(LEFT(TRIM(C1144),FIND(" ",TRIM(C1144)&amp;" ")-1),",","."),FIND("/",SUBSTITUTE(LEFT(TRIM(C1144),FIND(" ",TRIM(C1144)&amp;" ")-1),",","."))+1,9))*12,NA()))),0),48)*'Aturan &amp; Tarif'!$B$4,2)</f>
        <v>2725.44</v>
      </c>
      <c r="K1144" s="42" t="n">
        <f aca="false">'Aturan &amp; Tarif'!$B$5</f>
        <v>2050</v>
      </c>
      <c r="L1144" s="35" t="n">
        <f aca="false">I1144+J1144+K1144</f>
        <v>22163.44</v>
      </c>
      <c r="M1144" s="45" t="s">
        <v>2648</v>
      </c>
    </row>
    <row r="1145" customFormat="false" ht="25.5" hidden="false" customHeight="true" outlineLevel="0" collapsed="false">
      <c r="A1145" s="39"/>
      <c r="B1145" s="40" t="s">
        <v>2657</v>
      </c>
      <c r="C1145" s="41" t="s">
        <v>245</v>
      </c>
      <c r="D1145" s="41" t="s">
        <v>108</v>
      </c>
      <c r="E1145" s="42" t="n">
        <v>8125</v>
      </c>
      <c r="F1145" s="42"/>
      <c r="G1145" s="42"/>
      <c r="H1145" s="43" t="n">
        <v>2</v>
      </c>
      <c r="I1145" s="34" t="n">
        <f aca="false">E1145*H1145+N(F1145)+N(G1145)</f>
        <v>16250</v>
      </c>
      <c r="J1145" s="42" t="n">
        <f aca="false">ROUND(IFERROR(ROUND(IF(OR(ISNUMBER(SEARCH("week",C1145)),ISNUMBER(SEARCH("minggu",C1145))),IFERROR(_xlfn.NUMBERVALUE(SUBSTITUTE(LEFT(TRIM(C1145),FIND(" ",TRIM(C1145)&amp;" ")-1),",","."),"."),LEFT(SUBSTITUTE(LEFT(TRIM(C1145),FIND(" ",TRIM(C1145)&amp;" ")-1),",","."),FIND("/",SUBSTITUTE(LEFT(TRIM(C1145),FIND(" ",TRIM(C1145)&amp;" ")-1),",","."))-1)/MID(SUBSTITUTE(LEFT(TRIM(C1145),FIND(" ",TRIM(C1145)&amp;" ")-1),",","."),FIND("/",SUBSTITUTE(LEFT(TRIM(C1145),FIND(" ",TRIM(C1145)&amp;" ")-1),",","."))+1,9))*12/52,IF(ISNUMBER(SEARCH("month",C1145)),IFERROR(_xlfn.NUMBERVALUE(SUBSTITUTE(LEFT(TRIM(C1145),FIND(" ",TRIM(C1145)&amp;" ")-1),",","."),"."),LEFT(SUBSTITUTE(LEFT(TRIM(C1145),FIND(" ",TRIM(C1145)&amp;" ")-1),",","."),FIND("/",SUBSTITUTE(LEFT(TRIM(C1145),FIND(" ",TRIM(C1145)&amp;" ")-1),",","."))-1)/MID(SUBSTITUTE(LEFT(TRIM(C1145),FIND(" ",TRIM(C1145)&amp;" ")-1),",","."),FIND("/",SUBSTITUTE(LEFT(TRIM(C1145),FIND(" ",TRIM(C1145)&amp;" ")-1),",","."))+1,9)),IF(ISNUMBER(SEARCH("yea",C1145)),IFERROR(_xlfn.NUMBERVALUE(SUBSTITUTE(LEFT(TRIM(C1145),FIND(" ",TRIM(C1145)&amp;" ")-1),",","."),"."),LEFT(SUBSTITUTE(LEFT(TRIM(C1145),FIND(" ",TRIM(C1145)&amp;" ")-1),",","."),FIND("/",SUBSTITUTE(LEFT(TRIM(C1145),FIND(" ",TRIM(C1145)&amp;" ")-1),",","."))-1)/MID(SUBSTITUTE(LEFT(TRIM(C1145),FIND(" ",TRIM(C1145)&amp;" ")-1),",","."),FIND("/",SUBSTITUTE(LEFT(TRIM(C1145),FIND(" ",TRIM(C1145)&amp;" ")-1),",","."))+1,9))*12,NA()))),0),60)*'Aturan &amp; Tarif'!$B$4,2)</f>
        <v>3406.8</v>
      </c>
      <c r="K1145" s="42" t="n">
        <f aca="false">'Aturan &amp; Tarif'!$B$5</f>
        <v>2050</v>
      </c>
      <c r="L1145" s="35" t="n">
        <f aca="false">I1145+J1145+K1145</f>
        <v>21706.8</v>
      </c>
      <c r="M1145" s="45" t="s">
        <v>2572</v>
      </c>
    </row>
    <row r="1146" customFormat="false" ht="25.5" hidden="false" customHeight="true" outlineLevel="0" collapsed="false">
      <c r="A1146" s="39"/>
      <c r="B1146" s="40" t="s">
        <v>2658</v>
      </c>
      <c r="C1146" s="41" t="s">
        <v>191</v>
      </c>
      <c r="D1146" s="41" t="s">
        <v>108</v>
      </c>
      <c r="E1146" s="42" t="n">
        <v>8967</v>
      </c>
      <c r="F1146" s="42"/>
      <c r="G1146" s="42"/>
      <c r="H1146" s="43" t="n">
        <v>2</v>
      </c>
      <c r="I1146" s="34" t="n">
        <f aca="false">E1146*H1146+N(F1146)+N(G1146)</f>
        <v>17934</v>
      </c>
      <c r="J1146" s="42" t="n">
        <f aca="false">ROUND(IFERROR(ROUND(IF(OR(ISNUMBER(SEARCH("week",C1146)),ISNUMBER(SEARCH("minggu",C1146))),IFERROR(_xlfn.NUMBERVALUE(SUBSTITUTE(LEFT(TRIM(C1146),FIND(" ",TRIM(C1146)&amp;" ")-1),",","."),"."),LEFT(SUBSTITUTE(LEFT(TRIM(C1146),FIND(" ",TRIM(C1146)&amp;" ")-1),",","."),FIND("/",SUBSTITUTE(LEFT(TRIM(C1146),FIND(" ",TRIM(C1146)&amp;" ")-1),",","."))-1)/MID(SUBSTITUTE(LEFT(TRIM(C1146),FIND(" ",TRIM(C1146)&amp;" ")-1),",","."),FIND("/",SUBSTITUTE(LEFT(TRIM(C1146),FIND(" ",TRIM(C1146)&amp;" ")-1),",","."))+1,9))*12/52,IF(ISNUMBER(SEARCH("month",C1146)),IFERROR(_xlfn.NUMBERVALUE(SUBSTITUTE(LEFT(TRIM(C1146),FIND(" ",TRIM(C1146)&amp;" ")-1),",","."),"."),LEFT(SUBSTITUTE(LEFT(TRIM(C1146),FIND(" ",TRIM(C1146)&amp;" ")-1),",","."),FIND("/",SUBSTITUTE(LEFT(TRIM(C1146),FIND(" ",TRIM(C1146)&amp;" ")-1),",","."))-1)/MID(SUBSTITUTE(LEFT(TRIM(C1146),FIND(" ",TRIM(C1146)&amp;" ")-1),",","."),FIND("/",SUBSTITUTE(LEFT(TRIM(C1146),FIND(" ",TRIM(C1146)&amp;" ")-1),",","."))+1,9)),IF(ISNUMBER(SEARCH("yea",C1146)),IFERROR(_xlfn.NUMBERVALUE(SUBSTITUTE(LEFT(TRIM(C1146),FIND(" ",TRIM(C1146)&amp;" ")-1),",","."),"."),LEFT(SUBSTITUTE(LEFT(TRIM(C1146),FIND(" ",TRIM(C1146)&amp;" ")-1),",","."),FIND("/",SUBSTITUTE(LEFT(TRIM(C1146),FIND(" ",TRIM(C1146)&amp;" ")-1),",","."))-1)/MID(SUBSTITUTE(LEFT(TRIM(C1146),FIND(" ",TRIM(C1146)&amp;" ")-1),",","."),FIND("/",SUBSTITUTE(LEFT(TRIM(C1146),FIND(" ",TRIM(C1146)&amp;" ")-1),",","."))+1,9))*12,NA()))),0),48)*'Aturan &amp; Tarif'!$B$4,2)</f>
        <v>2725.44</v>
      </c>
      <c r="K1146" s="42" t="n">
        <f aca="false">'Aturan &amp; Tarif'!$B$5</f>
        <v>2050</v>
      </c>
      <c r="L1146" s="35" t="n">
        <f aca="false">I1146+J1146+K1146</f>
        <v>22709.44</v>
      </c>
      <c r="M1146" s="45" t="s">
        <v>2572</v>
      </c>
    </row>
    <row r="1147" customFormat="false" ht="25.5" hidden="false" customHeight="true" outlineLevel="0" collapsed="false">
      <c r="A1147" s="39"/>
      <c r="B1147" s="40" t="s">
        <v>2659</v>
      </c>
      <c r="C1147" s="41" t="s">
        <v>191</v>
      </c>
      <c r="D1147" s="41" t="s">
        <v>108</v>
      </c>
      <c r="E1147" s="42" t="n">
        <v>8125</v>
      </c>
      <c r="F1147" s="42"/>
      <c r="G1147" s="42"/>
      <c r="H1147" s="43" t="n">
        <v>2</v>
      </c>
      <c r="I1147" s="34" t="n">
        <f aca="false">E1147*H1147+N(F1147)+N(G1147)</f>
        <v>16250</v>
      </c>
      <c r="J1147" s="42" t="n">
        <f aca="false">ROUND(IFERROR(ROUND(IF(OR(ISNUMBER(SEARCH("week",C1147)),ISNUMBER(SEARCH("minggu",C1147))),IFERROR(_xlfn.NUMBERVALUE(SUBSTITUTE(LEFT(TRIM(C1147),FIND(" ",TRIM(C1147)&amp;" ")-1),",","."),"."),LEFT(SUBSTITUTE(LEFT(TRIM(C1147),FIND(" ",TRIM(C1147)&amp;" ")-1),",","."),FIND("/",SUBSTITUTE(LEFT(TRIM(C1147),FIND(" ",TRIM(C1147)&amp;" ")-1),",","."))-1)/MID(SUBSTITUTE(LEFT(TRIM(C1147),FIND(" ",TRIM(C1147)&amp;" ")-1),",","."),FIND("/",SUBSTITUTE(LEFT(TRIM(C1147),FIND(" ",TRIM(C1147)&amp;" ")-1),",","."))+1,9))*12/52,IF(ISNUMBER(SEARCH("month",C1147)),IFERROR(_xlfn.NUMBERVALUE(SUBSTITUTE(LEFT(TRIM(C1147),FIND(" ",TRIM(C1147)&amp;" ")-1),",","."),"."),LEFT(SUBSTITUTE(LEFT(TRIM(C1147),FIND(" ",TRIM(C1147)&amp;" ")-1),",","."),FIND("/",SUBSTITUTE(LEFT(TRIM(C1147),FIND(" ",TRIM(C1147)&amp;" ")-1),",","."))-1)/MID(SUBSTITUTE(LEFT(TRIM(C1147),FIND(" ",TRIM(C1147)&amp;" ")-1),",","."),FIND("/",SUBSTITUTE(LEFT(TRIM(C1147),FIND(" ",TRIM(C1147)&amp;" ")-1),",","."))+1,9)),IF(ISNUMBER(SEARCH("yea",C1147)),IFERROR(_xlfn.NUMBERVALUE(SUBSTITUTE(LEFT(TRIM(C1147),FIND(" ",TRIM(C1147)&amp;" ")-1),",","."),"."),LEFT(SUBSTITUTE(LEFT(TRIM(C1147),FIND(" ",TRIM(C1147)&amp;" ")-1),",","."),FIND("/",SUBSTITUTE(LEFT(TRIM(C1147),FIND(" ",TRIM(C1147)&amp;" ")-1),",","."))-1)/MID(SUBSTITUTE(LEFT(TRIM(C1147),FIND(" ",TRIM(C1147)&amp;" ")-1),",","."),FIND("/",SUBSTITUTE(LEFT(TRIM(C1147),FIND(" ",TRIM(C1147)&amp;" ")-1),",","."))+1,9))*12,NA()))),0),48)*'Aturan &amp; Tarif'!$B$4,2)</f>
        <v>2725.44</v>
      </c>
      <c r="K1147" s="42" t="n">
        <f aca="false">'Aturan &amp; Tarif'!$B$5</f>
        <v>2050</v>
      </c>
      <c r="L1147" s="35" t="n">
        <f aca="false">I1147+J1147+K1147</f>
        <v>21025.44</v>
      </c>
      <c r="M1147" s="45" t="s">
        <v>2572</v>
      </c>
    </row>
    <row r="1148" customFormat="false" ht="25.5" hidden="false" customHeight="true" outlineLevel="0" collapsed="false">
      <c r="A1148" s="39"/>
      <c r="B1148" s="40" t="s">
        <v>2660</v>
      </c>
      <c r="C1148" s="41" t="s">
        <v>191</v>
      </c>
      <c r="D1148" s="41" t="s">
        <v>108</v>
      </c>
      <c r="E1148" s="42" t="n">
        <v>9908</v>
      </c>
      <c r="F1148" s="42"/>
      <c r="G1148" s="42"/>
      <c r="H1148" s="43" t="n">
        <v>2</v>
      </c>
      <c r="I1148" s="34" t="n">
        <f aca="false">E1148*H1148+N(F1148)+N(G1148)</f>
        <v>19816</v>
      </c>
      <c r="J1148" s="42" t="n">
        <f aca="false">ROUND(IFERROR(ROUND(IF(OR(ISNUMBER(SEARCH("week",C1148)),ISNUMBER(SEARCH("minggu",C1148))),IFERROR(_xlfn.NUMBERVALUE(SUBSTITUTE(LEFT(TRIM(C1148),FIND(" ",TRIM(C1148)&amp;" ")-1),",","."),"."),LEFT(SUBSTITUTE(LEFT(TRIM(C1148),FIND(" ",TRIM(C1148)&amp;" ")-1),",","."),FIND("/",SUBSTITUTE(LEFT(TRIM(C1148),FIND(" ",TRIM(C1148)&amp;" ")-1),",","."))-1)/MID(SUBSTITUTE(LEFT(TRIM(C1148),FIND(" ",TRIM(C1148)&amp;" ")-1),",","."),FIND("/",SUBSTITUTE(LEFT(TRIM(C1148),FIND(" ",TRIM(C1148)&amp;" ")-1),",","."))+1,9))*12/52,IF(ISNUMBER(SEARCH("month",C1148)),IFERROR(_xlfn.NUMBERVALUE(SUBSTITUTE(LEFT(TRIM(C1148),FIND(" ",TRIM(C1148)&amp;" ")-1),",","."),"."),LEFT(SUBSTITUTE(LEFT(TRIM(C1148),FIND(" ",TRIM(C1148)&amp;" ")-1),",","."),FIND("/",SUBSTITUTE(LEFT(TRIM(C1148),FIND(" ",TRIM(C1148)&amp;" ")-1),",","."))-1)/MID(SUBSTITUTE(LEFT(TRIM(C1148),FIND(" ",TRIM(C1148)&amp;" ")-1),",","."),FIND("/",SUBSTITUTE(LEFT(TRIM(C1148),FIND(" ",TRIM(C1148)&amp;" ")-1),",","."))+1,9)),IF(ISNUMBER(SEARCH("yea",C1148)),IFERROR(_xlfn.NUMBERVALUE(SUBSTITUTE(LEFT(TRIM(C1148),FIND(" ",TRIM(C1148)&amp;" ")-1),",","."),"."),LEFT(SUBSTITUTE(LEFT(TRIM(C1148),FIND(" ",TRIM(C1148)&amp;" ")-1),",","."),FIND("/",SUBSTITUTE(LEFT(TRIM(C1148),FIND(" ",TRIM(C1148)&amp;" ")-1),",","."))-1)/MID(SUBSTITUTE(LEFT(TRIM(C1148),FIND(" ",TRIM(C1148)&amp;" ")-1),",","."),FIND("/",SUBSTITUTE(LEFT(TRIM(C1148),FIND(" ",TRIM(C1148)&amp;" ")-1),",","."))+1,9))*12,NA()))),0),48)*'Aturan &amp; Tarif'!$B$4,2)</f>
        <v>2725.44</v>
      </c>
      <c r="K1148" s="42" t="n">
        <f aca="false">'Aturan &amp; Tarif'!$B$5</f>
        <v>2050</v>
      </c>
      <c r="L1148" s="35" t="n">
        <f aca="false">I1148+J1148+K1148</f>
        <v>24591.44</v>
      </c>
      <c r="M1148" s="45" t="s">
        <v>2572</v>
      </c>
    </row>
    <row r="1149" customFormat="false" ht="25.5" hidden="false" customHeight="true" outlineLevel="0" collapsed="false">
      <c r="A1149" s="39"/>
      <c r="B1149" s="40" t="s">
        <v>2661</v>
      </c>
      <c r="C1149" s="41" t="s">
        <v>191</v>
      </c>
      <c r="D1149" s="41" t="s">
        <v>108</v>
      </c>
      <c r="E1149" s="42" t="n">
        <v>9908</v>
      </c>
      <c r="F1149" s="42"/>
      <c r="G1149" s="42"/>
      <c r="H1149" s="43" t="n">
        <v>2</v>
      </c>
      <c r="I1149" s="34" t="n">
        <f aca="false">E1149*H1149+N(F1149)+N(G1149)</f>
        <v>19816</v>
      </c>
      <c r="J1149" s="42" t="n">
        <f aca="false">ROUND(IFERROR(ROUND(IF(OR(ISNUMBER(SEARCH("week",C1149)),ISNUMBER(SEARCH("minggu",C1149))),IFERROR(_xlfn.NUMBERVALUE(SUBSTITUTE(LEFT(TRIM(C1149),FIND(" ",TRIM(C1149)&amp;" ")-1),",","."),"."),LEFT(SUBSTITUTE(LEFT(TRIM(C1149),FIND(" ",TRIM(C1149)&amp;" ")-1),",","."),FIND("/",SUBSTITUTE(LEFT(TRIM(C1149),FIND(" ",TRIM(C1149)&amp;" ")-1),",","."))-1)/MID(SUBSTITUTE(LEFT(TRIM(C1149),FIND(" ",TRIM(C1149)&amp;" ")-1),",","."),FIND("/",SUBSTITUTE(LEFT(TRIM(C1149),FIND(" ",TRIM(C1149)&amp;" ")-1),",","."))+1,9))*12/52,IF(ISNUMBER(SEARCH("month",C1149)),IFERROR(_xlfn.NUMBERVALUE(SUBSTITUTE(LEFT(TRIM(C1149),FIND(" ",TRIM(C1149)&amp;" ")-1),",","."),"."),LEFT(SUBSTITUTE(LEFT(TRIM(C1149),FIND(" ",TRIM(C1149)&amp;" ")-1),",","."),FIND("/",SUBSTITUTE(LEFT(TRIM(C1149),FIND(" ",TRIM(C1149)&amp;" ")-1),",","."))-1)/MID(SUBSTITUTE(LEFT(TRIM(C1149),FIND(" ",TRIM(C1149)&amp;" ")-1),",","."),FIND("/",SUBSTITUTE(LEFT(TRIM(C1149),FIND(" ",TRIM(C1149)&amp;" ")-1),",","."))+1,9)),IF(ISNUMBER(SEARCH("yea",C1149)),IFERROR(_xlfn.NUMBERVALUE(SUBSTITUTE(LEFT(TRIM(C1149),FIND(" ",TRIM(C1149)&amp;" ")-1),",","."),"."),LEFT(SUBSTITUTE(LEFT(TRIM(C1149),FIND(" ",TRIM(C1149)&amp;" ")-1),",","."),FIND("/",SUBSTITUTE(LEFT(TRIM(C1149),FIND(" ",TRIM(C1149)&amp;" ")-1),",","."))-1)/MID(SUBSTITUTE(LEFT(TRIM(C1149),FIND(" ",TRIM(C1149)&amp;" ")-1),",","."),FIND("/",SUBSTITUTE(LEFT(TRIM(C1149),FIND(" ",TRIM(C1149)&amp;" ")-1),",","."))+1,9))*12,NA()))),0),48)*'Aturan &amp; Tarif'!$B$4,2)</f>
        <v>2725.44</v>
      </c>
      <c r="K1149" s="42" t="n">
        <f aca="false">'Aturan &amp; Tarif'!$B$5</f>
        <v>2050</v>
      </c>
      <c r="L1149" s="35" t="n">
        <f aca="false">I1149+J1149+K1149</f>
        <v>24591.44</v>
      </c>
      <c r="M1149" s="45" t="s">
        <v>2572</v>
      </c>
    </row>
    <row r="1150" customFormat="false" ht="25.5" hidden="false" customHeight="true" outlineLevel="0" collapsed="false">
      <c r="A1150" s="39"/>
      <c r="B1150" s="40" t="s">
        <v>2662</v>
      </c>
      <c r="C1150" s="41" t="s">
        <v>245</v>
      </c>
      <c r="D1150" s="41" t="s">
        <v>108</v>
      </c>
      <c r="E1150" s="42" t="n">
        <v>10229</v>
      </c>
      <c r="F1150" s="42"/>
      <c r="G1150" s="42"/>
      <c r="H1150" s="43" t="n">
        <v>2</v>
      </c>
      <c r="I1150" s="34" t="n">
        <f aca="false">E1150*H1150+N(F1150)+N(G1150)</f>
        <v>20458</v>
      </c>
      <c r="J1150" s="42" t="n">
        <f aca="false">ROUND(IFERROR(ROUND(IF(OR(ISNUMBER(SEARCH("week",C1150)),ISNUMBER(SEARCH("minggu",C1150))),IFERROR(_xlfn.NUMBERVALUE(SUBSTITUTE(LEFT(TRIM(C1150),FIND(" ",TRIM(C1150)&amp;" ")-1),",","."),"."),LEFT(SUBSTITUTE(LEFT(TRIM(C1150),FIND(" ",TRIM(C1150)&amp;" ")-1),",","."),FIND("/",SUBSTITUTE(LEFT(TRIM(C1150),FIND(" ",TRIM(C1150)&amp;" ")-1),",","."))-1)/MID(SUBSTITUTE(LEFT(TRIM(C1150),FIND(" ",TRIM(C1150)&amp;" ")-1),",","."),FIND("/",SUBSTITUTE(LEFT(TRIM(C1150),FIND(" ",TRIM(C1150)&amp;" ")-1),",","."))+1,9))*12/52,IF(ISNUMBER(SEARCH("month",C1150)),IFERROR(_xlfn.NUMBERVALUE(SUBSTITUTE(LEFT(TRIM(C1150),FIND(" ",TRIM(C1150)&amp;" ")-1),",","."),"."),LEFT(SUBSTITUTE(LEFT(TRIM(C1150),FIND(" ",TRIM(C1150)&amp;" ")-1),",","."),FIND("/",SUBSTITUTE(LEFT(TRIM(C1150),FIND(" ",TRIM(C1150)&amp;" ")-1),",","."))-1)/MID(SUBSTITUTE(LEFT(TRIM(C1150),FIND(" ",TRIM(C1150)&amp;" ")-1),",","."),FIND("/",SUBSTITUTE(LEFT(TRIM(C1150),FIND(" ",TRIM(C1150)&amp;" ")-1),",","."))+1,9)),IF(ISNUMBER(SEARCH("yea",C1150)),IFERROR(_xlfn.NUMBERVALUE(SUBSTITUTE(LEFT(TRIM(C1150),FIND(" ",TRIM(C1150)&amp;" ")-1),",","."),"."),LEFT(SUBSTITUTE(LEFT(TRIM(C1150),FIND(" ",TRIM(C1150)&amp;" ")-1),",","."),FIND("/",SUBSTITUTE(LEFT(TRIM(C1150),FIND(" ",TRIM(C1150)&amp;" ")-1),",","."))-1)/MID(SUBSTITUTE(LEFT(TRIM(C1150),FIND(" ",TRIM(C1150)&amp;" ")-1),",","."),FIND("/",SUBSTITUTE(LEFT(TRIM(C1150),FIND(" ",TRIM(C1150)&amp;" ")-1),",","."))+1,9))*12,NA()))),0),60)*'Aturan &amp; Tarif'!$B$4,2)</f>
        <v>3406.8</v>
      </c>
      <c r="K1150" s="42" t="n">
        <f aca="false">'Aturan &amp; Tarif'!$B$5</f>
        <v>2050</v>
      </c>
      <c r="L1150" s="35" t="n">
        <f aca="false">I1150+J1150+K1150</f>
        <v>25914.8</v>
      </c>
      <c r="M1150" s="45" t="s">
        <v>2572</v>
      </c>
    </row>
    <row r="1151" customFormat="false" ht="25.5" hidden="false" customHeight="true" outlineLevel="0" collapsed="false">
      <c r="A1151" s="39"/>
      <c r="B1151" s="40" t="s">
        <v>2663</v>
      </c>
      <c r="C1151" s="41" t="s">
        <v>191</v>
      </c>
      <c r="D1151" s="41" t="s">
        <v>108</v>
      </c>
      <c r="E1151" s="42" t="n">
        <v>8694</v>
      </c>
      <c r="F1151" s="42"/>
      <c r="G1151" s="42"/>
      <c r="H1151" s="43" t="n">
        <v>2</v>
      </c>
      <c r="I1151" s="34" t="n">
        <f aca="false">E1151*H1151+N(F1151)+N(G1151)</f>
        <v>17388</v>
      </c>
      <c r="J1151" s="42" t="n">
        <f aca="false">ROUND(IFERROR(ROUND(IF(OR(ISNUMBER(SEARCH("week",C1151)),ISNUMBER(SEARCH("minggu",C1151))),IFERROR(_xlfn.NUMBERVALUE(SUBSTITUTE(LEFT(TRIM(C1151),FIND(" ",TRIM(C1151)&amp;" ")-1),",","."),"."),LEFT(SUBSTITUTE(LEFT(TRIM(C1151),FIND(" ",TRIM(C1151)&amp;" ")-1),",","."),FIND("/",SUBSTITUTE(LEFT(TRIM(C1151),FIND(" ",TRIM(C1151)&amp;" ")-1),",","."))-1)/MID(SUBSTITUTE(LEFT(TRIM(C1151),FIND(" ",TRIM(C1151)&amp;" ")-1),",","."),FIND("/",SUBSTITUTE(LEFT(TRIM(C1151),FIND(" ",TRIM(C1151)&amp;" ")-1),",","."))+1,9))*12/52,IF(ISNUMBER(SEARCH("month",C1151)),IFERROR(_xlfn.NUMBERVALUE(SUBSTITUTE(LEFT(TRIM(C1151),FIND(" ",TRIM(C1151)&amp;" ")-1),",","."),"."),LEFT(SUBSTITUTE(LEFT(TRIM(C1151),FIND(" ",TRIM(C1151)&amp;" ")-1),",","."),FIND("/",SUBSTITUTE(LEFT(TRIM(C1151),FIND(" ",TRIM(C1151)&amp;" ")-1),",","."))-1)/MID(SUBSTITUTE(LEFT(TRIM(C1151),FIND(" ",TRIM(C1151)&amp;" ")-1),",","."),FIND("/",SUBSTITUTE(LEFT(TRIM(C1151),FIND(" ",TRIM(C1151)&amp;" ")-1),",","."))+1,9)),IF(ISNUMBER(SEARCH("yea",C1151)),IFERROR(_xlfn.NUMBERVALUE(SUBSTITUTE(LEFT(TRIM(C1151),FIND(" ",TRIM(C1151)&amp;" ")-1),",","."),"."),LEFT(SUBSTITUTE(LEFT(TRIM(C1151),FIND(" ",TRIM(C1151)&amp;" ")-1),",","."),FIND("/",SUBSTITUTE(LEFT(TRIM(C1151),FIND(" ",TRIM(C1151)&amp;" ")-1),",","."))-1)/MID(SUBSTITUTE(LEFT(TRIM(C1151),FIND(" ",TRIM(C1151)&amp;" ")-1),",","."),FIND("/",SUBSTITUTE(LEFT(TRIM(C1151),FIND(" ",TRIM(C1151)&amp;" ")-1),",","."))+1,9))*12,NA()))),0),48)*'Aturan &amp; Tarif'!$B$4,2)</f>
        <v>2725.44</v>
      </c>
      <c r="K1151" s="42" t="n">
        <f aca="false">'Aturan &amp; Tarif'!$B$5</f>
        <v>2050</v>
      </c>
      <c r="L1151" s="35" t="n">
        <f aca="false">I1151+J1151+K1151</f>
        <v>22163.44</v>
      </c>
      <c r="M1151" s="45" t="s">
        <v>2572</v>
      </c>
    </row>
    <row r="1152" customFormat="false" ht="37.5" hidden="false" customHeight="true" outlineLevel="0" collapsed="false">
      <c r="A1152" s="39"/>
      <c r="B1152" s="40" t="s">
        <v>2664</v>
      </c>
      <c r="C1152" s="41" t="s">
        <v>113</v>
      </c>
      <c r="D1152" s="41" t="s">
        <v>108</v>
      </c>
      <c r="E1152" s="42" t="n">
        <v>8684</v>
      </c>
      <c r="F1152" s="42"/>
      <c r="G1152" s="42"/>
      <c r="H1152" s="43" t="n">
        <v>2</v>
      </c>
      <c r="I1152" s="34" t="n">
        <f aca="false">E1152*H1152+N(F1152)+N(G1152)</f>
        <v>17368</v>
      </c>
      <c r="J1152" s="42" t="n">
        <f aca="false">ROUND(IFERROR(ROUND(IF(OR(ISNUMBER(SEARCH("week",C1152)),ISNUMBER(SEARCH("minggu",C1152))),IFERROR(_xlfn.NUMBERVALUE(SUBSTITUTE(LEFT(TRIM(C1152),FIND(" ",TRIM(C1152)&amp;" ")-1),",","."),"."),LEFT(SUBSTITUTE(LEFT(TRIM(C1152),FIND(" ",TRIM(C1152)&amp;" ")-1),",","."),FIND("/",SUBSTITUTE(LEFT(TRIM(C1152),FIND(" ",TRIM(C1152)&amp;" ")-1),",","."))-1)/MID(SUBSTITUTE(LEFT(TRIM(C1152),FIND(" ",TRIM(C1152)&amp;" ")-1),",","."),FIND("/",SUBSTITUTE(LEFT(TRIM(C1152),FIND(" ",TRIM(C1152)&amp;" ")-1),",","."))+1,9))*12/52,IF(ISNUMBER(SEARCH("month",C1152)),IFERROR(_xlfn.NUMBERVALUE(SUBSTITUTE(LEFT(TRIM(C1152),FIND(" ",TRIM(C1152)&amp;" ")-1),",","."),"."),LEFT(SUBSTITUTE(LEFT(TRIM(C1152),FIND(" ",TRIM(C1152)&amp;" ")-1),",","."),FIND("/",SUBSTITUTE(LEFT(TRIM(C1152),FIND(" ",TRIM(C1152)&amp;" ")-1),",","."))-1)/MID(SUBSTITUTE(LEFT(TRIM(C1152),FIND(" ",TRIM(C1152)&amp;" ")-1),",","."),FIND("/",SUBSTITUTE(LEFT(TRIM(C1152),FIND(" ",TRIM(C1152)&amp;" ")-1),",","."))+1,9)),IF(ISNUMBER(SEARCH("yea",C1152)),IFERROR(_xlfn.NUMBERVALUE(SUBSTITUTE(LEFT(TRIM(C1152),FIND(" ",TRIM(C1152)&amp;" ")-1),",","."),"."),LEFT(SUBSTITUTE(LEFT(TRIM(C1152),FIND(" ",TRIM(C1152)&amp;" ")-1),",","."),FIND("/",SUBSTITUTE(LEFT(TRIM(C1152),FIND(" ",TRIM(C1152)&amp;" ")-1),",","."))-1)/MID(SUBSTITUTE(LEFT(TRIM(C1152),FIND(" ",TRIM(C1152)&amp;" ")-1),",","."),FIND("/",SUBSTITUTE(LEFT(TRIM(C1152),FIND(" ",TRIM(C1152)&amp;" ")-1),",","."))+1,9))*12,NA()))),0),18)*'Aturan &amp; Tarif'!$B$4,2)</f>
        <v>1022.04</v>
      </c>
      <c r="K1152" s="42" t="n">
        <f aca="false">'Aturan &amp; Tarif'!$B$5</f>
        <v>2050</v>
      </c>
      <c r="L1152" s="35" t="n">
        <f aca="false">I1152+J1152+K1152</f>
        <v>20440.04</v>
      </c>
      <c r="M1152" s="45" t="s">
        <v>2665</v>
      </c>
    </row>
    <row r="1153" customFormat="false" ht="25.5" hidden="false" customHeight="true" outlineLevel="0" collapsed="false">
      <c r="A1153" s="39"/>
      <c r="B1153" s="40" t="s">
        <v>2666</v>
      </c>
      <c r="C1153" s="41" t="s">
        <v>107</v>
      </c>
      <c r="D1153" s="41" t="s">
        <v>108</v>
      </c>
      <c r="E1153" s="42" t="n">
        <v>8843</v>
      </c>
      <c r="F1153" s="42"/>
      <c r="G1153" s="42"/>
      <c r="H1153" s="43" t="n">
        <v>2</v>
      </c>
      <c r="I1153" s="34" t="n">
        <f aca="false">E1153*H1153+N(F1153)+N(G1153)</f>
        <v>17686</v>
      </c>
      <c r="J1153" s="42" t="n">
        <f aca="false">ROUND(IFERROR(ROUND(IF(OR(ISNUMBER(SEARCH("week",C1153)),ISNUMBER(SEARCH("minggu",C1153))),IFERROR(_xlfn.NUMBERVALUE(SUBSTITUTE(LEFT(TRIM(C1153),FIND(" ",TRIM(C1153)&amp;" ")-1),",","."),"."),LEFT(SUBSTITUTE(LEFT(TRIM(C1153),FIND(" ",TRIM(C1153)&amp;" ")-1),",","."),FIND("/",SUBSTITUTE(LEFT(TRIM(C1153),FIND(" ",TRIM(C1153)&amp;" ")-1),",","."))-1)/MID(SUBSTITUTE(LEFT(TRIM(C1153),FIND(" ",TRIM(C1153)&amp;" ")-1),",","."),FIND("/",SUBSTITUTE(LEFT(TRIM(C1153),FIND(" ",TRIM(C1153)&amp;" ")-1),",","."))+1,9))*12/52,IF(ISNUMBER(SEARCH("month",C1153)),IFERROR(_xlfn.NUMBERVALUE(SUBSTITUTE(LEFT(TRIM(C1153),FIND(" ",TRIM(C1153)&amp;" ")-1),",","."),"."),LEFT(SUBSTITUTE(LEFT(TRIM(C1153),FIND(" ",TRIM(C1153)&amp;" ")-1),",","."),FIND("/",SUBSTITUTE(LEFT(TRIM(C1153),FIND(" ",TRIM(C1153)&amp;" ")-1),",","."))-1)/MID(SUBSTITUTE(LEFT(TRIM(C1153),FIND(" ",TRIM(C1153)&amp;" ")-1),",","."),FIND("/",SUBSTITUTE(LEFT(TRIM(C1153),FIND(" ",TRIM(C1153)&amp;" ")-1),",","."))+1,9)),IF(ISNUMBER(SEARCH("yea",C1153)),IFERROR(_xlfn.NUMBERVALUE(SUBSTITUTE(LEFT(TRIM(C1153),FIND(" ",TRIM(C1153)&amp;" ")-1),",","."),"."),LEFT(SUBSTITUTE(LEFT(TRIM(C1153),FIND(" ",TRIM(C1153)&amp;" ")-1),",","."),FIND("/",SUBSTITUTE(LEFT(TRIM(C1153),FIND(" ",TRIM(C1153)&amp;" ")-1),",","."))-1)/MID(SUBSTITUTE(LEFT(TRIM(C1153),FIND(" ",TRIM(C1153)&amp;" ")-1),",","."),FIND("/",SUBSTITUTE(LEFT(TRIM(C1153),FIND(" ",TRIM(C1153)&amp;" ")-1),",","."))+1,9))*12,NA()))),0),24)*'Aturan &amp; Tarif'!$B$4,2)</f>
        <v>1362.72</v>
      </c>
      <c r="K1153" s="42" t="n">
        <f aca="false">'Aturan &amp; Tarif'!$B$5</f>
        <v>2050</v>
      </c>
      <c r="L1153" s="35" t="n">
        <f aca="false">I1153+J1153+K1153</f>
        <v>21098.72</v>
      </c>
      <c r="M1153" s="45" t="s">
        <v>2665</v>
      </c>
    </row>
    <row r="1154" customFormat="false" ht="25.5" hidden="false" customHeight="true" outlineLevel="0" collapsed="false">
      <c r="A1154" s="39"/>
      <c r="B1154" s="40" t="s">
        <v>2667</v>
      </c>
      <c r="C1154" s="41" t="s">
        <v>107</v>
      </c>
      <c r="D1154" s="41" t="s">
        <v>108</v>
      </c>
      <c r="E1154" s="42" t="n">
        <v>9835</v>
      </c>
      <c r="F1154" s="42"/>
      <c r="G1154" s="42"/>
      <c r="H1154" s="43" t="n">
        <v>2</v>
      </c>
      <c r="I1154" s="34" t="n">
        <f aca="false">E1154*H1154+N(F1154)+N(G1154)</f>
        <v>19670</v>
      </c>
      <c r="J1154" s="42" t="n">
        <f aca="false">ROUND(IFERROR(ROUND(IF(OR(ISNUMBER(SEARCH("week",C1154)),ISNUMBER(SEARCH("minggu",C1154))),IFERROR(_xlfn.NUMBERVALUE(SUBSTITUTE(LEFT(TRIM(C1154),FIND(" ",TRIM(C1154)&amp;" ")-1),",","."),"."),LEFT(SUBSTITUTE(LEFT(TRIM(C1154),FIND(" ",TRIM(C1154)&amp;" ")-1),",","."),FIND("/",SUBSTITUTE(LEFT(TRIM(C1154),FIND(" ",TRIM(C1154)&amp;" ")-1),",","."))-1)/MID(SUBSTITUTE(LEFT(TRIM(C1154),FIND(" ",TRIM(C1154)&amp;" ")-1),",","."),FIND("/",SUBSTITUTE(LEFT(TRIM(C1154),FIND(" ",TRIM(C1154)&amp;" ")-1),",","."))+1,9))*12/52,IF(ISNUMBER(SEARCH("month",C1154)),IFERROR(_xlfn.NUMBERVALUE(SUBSTITUTE(LEFT(TRIM(C1154),FIND(" ",TRIM(C1154)&amp;" ")-1),",","."),"."),LEFT(SUBSTITUTE(LEFT(TRIM(C1154),FIND(" ",TRIM(C1154)&amp;" ")-1),",","."),FIND("/",SUBSTITUTE(LEFT(TRIM(C1154),FIND(" ",TRIM(C1154)&amp;" ")-1),",","."))-1)/MID(SUBSTITUTE(LEFT(TRIM(C1154),FIND(" ",TRIM(C1154)&amp;" ")-1),",","."),FIND("/",SUBSTITUTE(LEFT(TRIM(C1154),FIND(" ",TRIM(C1154)&amp;" ")-1),",","."))+1,9)),IF(ISNUMBER(SEARCH("yea",C1154)),IFERROR(_xlfn.NUMBERVALUE(SUBSTITUTE(LEFT(TRIM(C1154),FIND(" ",TRIM(C1154)&amp;" ")-1),",","."),"."),LEFT(SUBSTITUTE(LEFT(TRIM(C1154),FIND(" ",TRIM(C1154)&amp;" ")-1),",","."),FIND("/",SUBSTITUTE(LEFT(TRIM(C1154),FIND(" ",TRIM(C1154)&amp;" ")-1),",","."))-1)/MID(SUBSTITUTE(LEFT(TRIM(C1154),FIND(" ",TRIM(C1154)&amp;" ")-1),",","."),FIND("/",SUBSTITUTE(LEFT(TRIM(C1154),FIND(" ",TRIM(C1154)&amp;" ")-1),",","."))+1,9))*12,NA()))),0),24)*'Aturan &amp; Tarif'!$B$4,2)</f>
        <v>1362.72</v>
      </c>
      <c r="K1154" s="42" t="n">
        <f aca="false">'Aturan &amp; Tarif'!$B$5</f>
        <v>2050</v>
      </c>
      <c r="L1154" s="35" t="n">
        <f aca="false">I1154+J1154+K1154</f>
        <v>23082.72</v>
      </c>
      <c r="M1154" s="45" t="s">
        <v>2665</v>
      </c>
    </row>
    <row r="1155" customFormat="false" ht="25.5" hidden="false" customHeight="true" outlineLevel="0" collapsed="false">
      <c r="A1155" s="39"/>
      <c r="B1155" s="40" t="s">
        <v>2668</v>
      </c>
      <c r="C1155" s="41" t="s">
        <v>344</v>
      </c>
      <c r="D1155" s="41" t="s">
        <v>108</v>
      </c>
      <c r="E1155" s="42" t="n">
        <v>4918</v>
      </c>
      <c r="F1155" s="42"/>
      <c r="G1155" s="42"/>
      <c r="H1155" s="43" t="n">
        <v>2</v>
      </c>
      <c r="I1155" s="34" t="n">
        <f aca="false">E1155*H1155+N(F1155)+N(G1155)</f>
        <v>9836</v>
      </c>
      <c r="J1155" s="42" t="n">
        <f aca="false">ROUND(IFERROR(ROUND(IF(OR(ISNUMBER(SEARCH("week",C1155)),ISNUMBER(SEARCH("minggu",C1155))),IFERROR(_xlfn.NUMBERVALUE(SUBSTITUTE(LEFT(TRIM(C1155),FIND(" ",TRIM(C1155)&amp;" ")-1),",","."),"."),LEFT(SUBSTITUTE(LEFT(TRIM(C1155),FIND(" ",TRIM(C1155)&amp;" ")-1),",","."),FIND("/",SUBSTITUTE(LEFT(TRIM(C1155),FIND(" ",TRIM(C1155)&amp;" ")-1),",","."))-1)/MID(SUBSTITUTE(LEFT(TRIM(C1155),FIND(" ",TRIM(C1155)&amp;" ")-1),",","."),FIND("/",SUBSTITUTE(LEFT(TRIM(C1155),FIND(" ",TRIM(C1155)&amp;" ")-1),",","."))+1,9))*12/52,IF(ISNUMBER(SEARCH("month",C1155)),IFERROR(_xlfn.NUMBERVALUE(SUBSTITUTE(LEFT(TRIM(C1155),FIND(" ",TRIM(C1155)&amp;" ")-1),",","."),"."),LEFT(SUBSTITUTE(LEFT(TRIM(C1155),FIND(" ",TRIM(C1155)&amp;" ")-1),",","."),FIND("/",SUBSTITUTE(LEFT(TRIM(C1155),FIND(" ",TRIM(C1155)&amp;" ")-1),",","."))-1)/MID(SUBSTITUTE(LEFT(TRIM(C1155),FIND(" ",TRIM(C1155)&amp;" ")-1),",","."),FIND("/",SUBSTITUTE(LEFT(TRIM(C1155),FIND(" ",TRIM(C1155)&amp;" ")-1),",","."))+1,9)),IF(ISNUMBER(SEARCH("yea",C1155)),IFERROR(_xlfn.NUMBERVALUE(SUBSTITUTE(LEFT(TRIM(C1155),FIND(" ",TRIM(C1155)&amp;" ")-1),",","."),"."),LEFT(SUBSTITUTE(LEFT(TRIM(C1155),FIND(" ",TRIM(C1155)&amp;" ")-1),",","."),FIND("/",SUBSTITUTE(LEFT(TRIM(C1155),FIND(" ",TRIM(C1155)&amp;" ")-1),",","."))-1)/MID(SUBSTITUTE(LEFT(TRIM(C1155),FIND(" ",TRIM(C1155)&amp;" ")-1),",","."),FIND("/",SUBSTITUTE(LEFT(TRIM(C1155),FIND(" ",TRIM(C1155)&amp;" ")-1),",","."))+1,9))*12,NA()))),0),6)*'Aturan &amp; Tarif'!$B$4,2)</f>
        <v>340.68</v>
      </c>
      <c r="K1155" s="42" t="n">
        <f aca="false">'Aturan &amp; Tarif'!$B$5</f>
        <v>2050</v>
      </c>
      <c r="L1155" s="35" t="n">
        <f aca="false">I1155+J1155+K1155</f>
        <v>12226.68</v>
      </c>
      <c r="M1155" s="45" t="s">
        <v>2665</v>
      </c>
    </row>
    <row r="1156" customFormat="false" ht="25.5" hidden="false" customHeight="true" outlineLevel="0" collapsed="false">
      <c r="A1156" s="39"/>
      <c r="B1156" s="40" t="s">
        <v>2669</v>
      </c>
      <c r="C1156" s="41" t="s">
        <v>107</v>
      </c>
      <c r="D1156" s="41" t="s">
        <v>108</v>
      </c>
      <c r="E1156" s="42" t="n">
        <v>9835</v>
      </c>
      <c r="F1156" s="42"/>
      <c r="G1156" s="42"/>
      <c r="H1156" s="43" t="n">
        <v>2</v>
      </c>
      <c r="I1156" s="34" t="n">
        <f aca="false">E1156*H1156+N(F1156)+N(G1156)</f>
        <v>19670</v>
      </c>
      <c r="J1156" s="42" t="n">
        <f aca="false">ROUND(IFERROR(ROUND(IF(OR(ISNUMBER(SEARCH("week",C1156)),ISNUMBER(SEARCH("minggu",C1156))),IFERROR(_xlfn.NUMBERVALUE(SUBSTITUTE(LEFT(TRIM(C1156),FIND(" ",TRIM(C1156)&amp;" ")-1),",","."),"."),LEFT(SUBSTITUTE(LEFT(TRIM(C1156),FIND(" ",TRIM(C1156)&amp;" ")-1),",","."),FIND("/",SUBSTITUTE(LEFT(TRIM(C1156),FIND(" ",TRIM(C1156)&amp;" ")-1),",","."))-1)/MID(SUBSTITUTE(LEFT(TRIM(C1156),FIND(" ",TRIM(C1156)&amp;" ")-1),",","."),FIND("/",SUBSTITUTE(LEFT(TRIM(C1156),FIND(" ",TRIM(C1156)&amp;" ")-1),",","."))+1,9))*12/52,IF(ISNUMBER(SEARCH("month",C1156)),IFERROR(_xlfn.NUMBERVALUE(SUBSTITUTE(LEFT(TRIM(C1156),FIND(" ",TRIM(C1156)&amp;" ")-1),",","."),"."),LEFT(SUBSTITUTE(LEFT(TRIM(C1156),FIND(" ",TRIM(C1156)&amp;" ")-1),",","."),FIND("/",SUBSTITUTE(LEFT(TRIM(C1156),FIND(" ",TRIM(C1156)&amp;" ")-1),",","."))-1)/MID(SUBSTITUTE(LEFT(TRIM(C1156),FIND(" ",TRIM(C1156)&amp;" ")-1),",","."),FIND("/",SUBSTITUTE(LEFT(TRIM(C1156),FIND(" ",TRIM(C1156)&amp;" ")-1),",","."))+1,9)),IF(ISNUMBER(SEARCH("yea",C1156)),IFERROR(_xlfn.NUMBERVALUE(SUBSTITUTE(LEFT(TRIM(C1156),FIND(" ",TRIM(C1156)&amp;" ")-1),",","."),"."),LEFT(SUBSTITUTE(LEFT(TRIM(C1156),FIND(" ",TRIM(C1156)&amp;" ")-1),",","."),FIND("/",SUBSTITUTE(LEFT(TRIM(C1156),FIND(" ",TRIM(C1156)&amp;" ")-1),",","."))-1)/MID(SUBSTITUTE(LEFT(TRIM(C1156),FIND(" ",TRIM(C1156)&amp;" ")-1),",","."),FIND("/",SUBSTITUTE(LEFT(TRIM(C1156),FIND(" ",TRIM(C1156)&amp;" ")-1),",","."))+1,9))*12,NA()))),0),24)*'Aturan &amp; Tarif'!$B$4,2)</f>
        <v>1362.72</v>
      </c>
      <c r="K1156" s="42" t="n">
        <f aca="false">'Aturan &amp; Tarif'!$B$5</f>
        <v>2050</v>
      </c>
      <c r="L1156" s="35" t="n">
        <f aca="false">I1156+J1156+K1156</f>
        <v>23082.72</v>
      </c>
      <c r="M1156" s="45" t="s">
        <v>2665</v>
      </c>
    </row>
    <row r="1157" customFormat="false" ht="25.5" hidden="false" customHeight="true" outlineLevel="0" collapsed="false">
      <c r="A1157" s="39"/>
      <c r="B1157" s="40" t="s">
        <v>2670</v>
      </c>
      <c r="C1157" s="41" t="s">
        <v>344</v>
      </c>
      <c r="D1157" s="41" t="s">
        <v>108</v>
      </c>
      <c r="E1157" s="42" t="n">
        <v>4918</v>
      </c>
      <c r="F1157" s="42"/>
      <c r="G1157" s="42"/>
      <c r="H1157" s="43" t="n">
        <v>2</v>
      </c>
      <c r="I1157" s="34" t="n">
        <f aca="false">E1157*H1157+N(F1157)+N(G1157)</f>
        <v>9836</v>
      </c>
      <c r="J1157" s="42" t="n">
        <f aca="false">ROUND(IFERROR(ROUND(IF(OR(ISNUMBER(SEARCH("week",C1157)),ISNUMBER(SEARCH("minggu",C1157))),IFERROR(_xlfn.NUMBERVALUE(SUBSTITUTE(LEFT(TRIM(C1157),FIND(" ",TRIM(C1157)&amp;" ")-1),",","."),"."),LEFT(SUBSTITUTE(LEFT(TRIM(C1157),FIND(" ",TRIM(C1157)&amp;" ")-1),",","."),FIND("/",SUBSTITUTE(LEFT(TRIM(C1157),FIND(" ",TRIM(C1157)&amp;" ")-1),",","."))-1)/MID(SUBSTITUTE(LEFT(TRIM(C1157),FIND(" ",TRIM(C1157)&amp;" ")-1),",","."),FIND("/",SUBSTITUTE(LEFT(TRIM(C1157),FIND(" ",TRIM(C1157)&amp;" ")-1),",","."))+1,9))*12/52,IF(ISNUMBER(SEARCH("month",C1157)),IFERROR(_xlfn.NUMBERVALUE(SUBSTITUTE(LEFT(TRIM(C1157),FIND(" ",TRIM(C1157)&amp;" ")-1),",","."),"."),LEFT(SUBSTITUTE(LEFT(TRIM(C1157),FIND(" ",TRIM(C1157)&amp;" ")-1),",","."),FIND("/",SUBSTITUTE(LEFT(TRIM(C1157),FIND(" ",TRIM(C1157)&amp;" ")-1),",","."))-1)/MID(SUBSTITUTE(LEFT(TRIM(C1157),FIND(" ",TRIM(C1157)&amp;" ")-1),",","."),FIND("/",SUBSTITUTE(LEFT(TRIM(C1157),FIND(" ",TRIM(C1157)&amp;" ")-1),",","."))+1,9)),IF(ISNUMBER(SEARCH("yea",C1157)),IFERROR(_xlfn.NUMBERVALUE(SUBSTITUTE(LEFT(TRIM(C1157),FIND(" ",TRIM(C1157)&amp;" ")-1),",","."),"."),LEFT(SUBSTITUTE(LEFT(TRIM(C1157),FIND(" ",TRIM(C1157)&amp;" ")-1),",","."),FIND("/",SUBSTITUTE(LEFT(TRIM(C1157),FIND(" ",TRIM(C1157)&amp;" ")-1),",","."))-1)/MID(SUBSTITUTE(LEFT(TRIM(C1157),FIND(" ",TRIM(C1157)&amp;" ")-1),",","."),FIND("/",SUBSTITUTE(LEFT(TRIM(C1157),FIND(" ",TRIM(C1157)&amp;" ")-1),",","."))+1,9))*12,NA()))),0),6)*'Aturan &amp; Tarif'!$B$4,2)</f>
        <v>340.68</v>
      </c>
      <c r="K1157" s="42" t="n">
        <f aca="false">'Aturan &amp; Tarif'!$B$5</f>
        <v>2050</v>
      </c>
      <c r="L1157" s="35" t="n">
        <f aca="false">I1157+J1157+K1157</f>
        <v>12226.68</v>
      </c>
      <c r="M1157" s="45" t="s">
        <v>2665</v>
      </c>
    </row>
    <row r="1158" customFormat="false" ht="25.5" hidden="false" customHeight="true" outlineLevel="0" collapsed="false">
      <c r="A1158" s="39"/>
      <c r="B1158" s="40" t="s">
        <v>2671</v>
      </c>
      <c r="C1158" s="41" t="s">
        <v>107</v>
      </c>
      <c r="D1158" s="41" t="s">
        <v>108</v>
      </c>
      <c r="E1158" s="42" t="n">
        <v>9835</v>
      </c>
      <c r="F1158" s="42"/>
      <c r="G1158" s="42"/>
      <c r="H1158" s="43" t="n">
        <v>2</v>
      </c>
      <c r="I1158" s="34" t="n">
        <f aca="false">E1158*H1158+N(F1158)+N(G1158)</f>
        <v>19670</v>
      </c>
      <c r="J1158" s="42" t="n">
        <f aca="false">ROUND(IFERROR(ROUND(IF(OR(ISNUMBER(SEARCH("week",C1158)),ISNUMBER(SEARCH("minggu",C1158))),IFERROR(_xlfn.NUMBERVALUE(SUBSTITUTE(LEFT(TRIM(C1158),FIND(" ",TRIM(C1158)&amp;" ")-1),",","."),"."),LEFT(SUBSTITUTE(LEFT(TRIM(C1158),FIND(" ",TRIM(C1158)&amp;" ")-1),",","."),FIND("/",SUBSTITUTE(LEFT(TRIM(C1158),FIND(" ",TRIM(C1158)&amp;" ")-1),",","."))-1)/MID(SUBSTITUTE(LEFT(TRIM(C1158),FIND(" ",TRIM(C1158)&amp;" ")-1),",","."),FIND("/",SUBSTITUTE(LEFT(TRIM(C1158),FIND(" ",TRIM(C1158)&amp;" ")-1),",","."))+1,9))*12/52,IF(ISNUMBER(SEARCH("month",C1158)),IFERROR(_xlfn.NUMBERVALUE(SUBSTITUTE(LEFT(TRIM(C1158),FIND(" ",TRIM(C1158)&amp;" ")-1),",","."),"."),LEFT(SUBSTITUTE(LEFT(TRIM(C1158),FIND(" ",TRIM(C1158)&amp;" ")-1),",","."),FIND("/",SUBSTITUTE(LEFT(TRIM(C1158),FIND(" ",TRIM(C1158)&amp;" ")-1),",","."))-1)/MID(SUBSTITUTE(LEFT(TRIM(C1158),FIND(" ",TRIM(C1158)&amp;" ")-1),",","."),FIND("/",SUBSTITUTE(LEFT(TRIM(C1158),FIND(" ",TRIM(C1158)&amp;" ")-1),",","."))+1,9)),IF(ISNUMBER(SEARCH("yea",C1158)),IFERROR(_xlfn.NUMBERVALUE(SUBSTITUTE(LEFT(TRIM(C1158),FIND(" ",TRIM(C1158)&amp;" ")-1),",","."),"."),LEFT(SUBSTITUTE(LEFT(TRIM(C1158),FIND(" ",TRIM(C1158)&amp;" ")-1),",","."),FIND("/",SUBSTITUTE(LEFT(TRIM(C1158),FIND(" ",TRIM(C1158)&amp;" ")-1),",","."))-1)/MID(SUBSTITUTE(LEFT(TRIM(C1158),FIND(" ",TRIM(C1158)&amp;" ")-1),",","."),FIND("/",SUBSTITUTE(LEFT(TRIM(C1158),FIND(" ",TRIM(C1158)&amp;" ")-1),",","."))+1,9))*12,NA()))),0),24)*'Aturan &amp; Tarif'!$B$4,2)</f>
        <v>1362.72</v>
      </c>
      <c r="K1158" s="42" t="n">
        <f aca="false">'Aturan &amp; Tarif'!$B$5</f>
        <v>2050</v>
      </c>
      <c r="L1158" s="35" t="n">
        <f aca="false">I1158+J1158+K1158</f>
        <v>23082.72</v>
      </c>
      <c r="M1158" s="45" t="s">
        <v>2665</v>
      </c>
    </row>
    <row r="1159" customFormat="false" ht="37.5" hidden="false" customHeight="true" outlineLevel="0" collapsed="false">
      <c r="A1159" s="39"/>
      <c r="B1159" s="40" t="s">
        <v>2672</v>
      </c>
      <c r="C1159" s="41" t="s">
        <v>130</v>
      </c>
      <c r="D1159" s="41" t="s">
        <v>108</v>
      </c>
      <c r="E1159" s="42" t="n">
        <v>9835</v>
      </c>
      <c r="F1159" s="42"/>
      <c r="G1159" s="42"/>
      <c r="H1159" s="43" t="n">
        <v>2</v>
      </c>
      <c r="I1159" s="34" t="n">
        <f aca="false">E1159*H1159+N(F1159)+N(G1159)</f>
        <v>19670</v>
      </c>
      <c r="J1159" s="42" t="n">
        <f aca="false">ROUND(IFERROR(ROUND(IF(OR(ISNUMBER(SEARCH("week",C1159)),ISNUMBER(SEARCH("minggu",C1159))),IFERROR(_xlfn.NUMBERVALUE(SUBSTITUTE(LEFT(TRIM(C1159),FIND(" ",TRIM(C1159)&amp;" ")-1),",","."),"."),LEFT(SUBSTITUTE(LEFT(TRIM(C1159),FIND(" ",TRIM(C1159)&amp;" ")-1),",","."),FIND("/",SUBSTITUTE(LEFT(TRIM(C1159),FIND(" ",TRIM(C1159)&amp;" ")-1),",","."))-1)/MID(SUBSTITUTE(LEFT(TRIM(C1159),FIND(" ",TRIM(C1159)&amp;" ")-1),",","."),FIND("/",SUBSTITUTE(LEFT(TRIM(C1159),FIND(" ",TRIM(C1159)&amp;" ")-1),",","."))+1,9))*12/52,IF(ISNUMBER(SEARCH("month",C1159)),IFERROR(_xlfn.NUMBERVALUE(SUBSTITUTE(LEFT(TRIM(C1159),FIND(" ",TRIM(C1159)&amp;" ")-1),",","."),"."),LEFT(SUBSTITUTE(LEFT(TRIM(C1159),FIND(" ",TRIM(C1159)&amp;" ")-1),",","."),FIND("/",SUBSTITUTE(LEFT(TRIM(C1159),FIND(" ",TRIM(C1159)&amp;" ")-1),",","."))-1)/MID(SUBSTITUTE(LEFT(TRIM(C1159),FIND(" ",TRIM(C1159)&amp;" ")-1),",","."),FIND("/",SUBSTITUTE(LEFT(TRIM(C1159),FIND(" ",TRIM(C1159)&amp;" ")-1),",","."))+1,9)),IF(ISNUMBER(SEARCH("yea",C1159)),IFERROR(_xlfn.NUMBERVALUE(SUBSTITUTE(LEFT(TRIM(C1159),FIND(" ",TRIM(C1159)&amp;" ")-1),",","."),"."),LEFT(SUBSTITUTE(LEFT(TRIM(C1159),FIND(" ",TRIM(C1159)&amp;" ")-1),",","."),FIND("/",SUBSTITUTE(LEFT(TRIM(C1159),FIND(" ",TRIM(C1159)&amp;" ")-1),",","."))-1)/MID(SUBSTITUTE(LEFT(TRIM(C1159),FIND(" ",TRIM(C1159)&amp;" ")-1),",","."),FIND("/",SUBSTITUTE(LEFT(TRIM(C1159),FIND(" ",TRIM(C1159)&amp;" ")-1),",","."))+1,9))*12,NA()))),0),12)*'Aturan &amp; Tarif'!$B$4,2)</f>
        <v>681.36</v>
      </c>
      <c r="K1159" s="42" t="n">
        <f aca="false">'Aturan &amp; Tarif'!$B$5</f>
        <v>2050</v>
      </c>
      <c r="L1159" s="35" t="n">
        <f aca="false">I1159+J1159+K1159</f>
        <v>22401.36</v>
      </c>
      <c r="M1159" s="45" t="s">
        <v>2665</v>
      </c>
    </row>
    <row r="1160" customFormat="false" ht="25.5" hidden="false" customHeight="true" outlineLevel="0" collapsed="false">
      <c r="A1160" s="39"/>
      <c r="B1160" s="40" t="s">
        <v>2673</v>
      </c>
      <c r="C1160" s="41" t="s">
        <v>130</v>
      </c>
      <c r="D1160" s="41" t="s">
        <v>108</v>
      </c>
      <c r="E1160" s="42" t="n">
        <v>9835</v>
      </c>
      <c r="F1160" s="42"/>
      <c r="G1160" s="42"/>
      <c r="H1160" s="43" t="n">
        <v>2</v>
      </c>
      <c r="I1160" s="34" t="n">
        <f aca="false">E1160*H1160+N(F1160)+N(G1160)</f>
        <v>19670</v>
      </c>
      <c r="J1160" s="42" t="n">
        <f aca="false">ROUND(IFERROR(ROUND(IF(OR(ISNUMBER(SEARCH("week",C1160)),ISNUMBER(SEARCH("minggu",C1160))),IFERROR(_xlfn.NUMBERVALUE(SUBSTITUTE(LEFT(TRIM(C1160),FIND(" ",TRIM(C1160)&amp;" ")-1),",","."),"."),LEFT(SUBSTITUTE(LEFT(TRIM(C1160),FIND(" ",TRIM(C1160)&amp;" ")-1),",","."),FIND("/",SUBSTITUTE(LEFT(TRIM(C1160),FIND(" ",TRIM(C1160)&amp;" ")-1),",","."))-1)/MID(SUBSTITUTE(LEFT(TRIM(C1160),FIND(" ",TRIM(C1160)&amp;" ")-1),",","."),FIND("/",SUBSTITUTE(LEFT(TRIM(C1160),FIND(" ",TRIM(C1160)&amp;" ")-1),",","."))+1,9))*12/52,IF(ISNUMBER(SEARCH("month",C1160)),IFERROR(_xlfn.NUMBERVALUE(SUBSTITUTE(LEFT(TRIM(C1160),FIND(" ",TRIM(C1160)&amp;" ")-1),",","."),"."),LEFT(SUBSTITUTE(LEFT(TRIM(C1160),FIND(" ",TRIM(C1160)&amp;" ")-1),",","."),FIND("/",SUBSTITUTE(LEFT(TRIM(C1160),FIND(" ",TRIM(C1160)&amp;" ")-1),",","."))-1)/MID(SUBSTITUTE(LEFT(TRIM(C1160),FIND(" ",TRIM(C1160)&amp;" ")-1),",","."),FIND("/",SUBSTITUTE(LEFT(TRIM(C1160),FIND(" ",TRIM(C1160)&amp;" ")-1),",","."))+1,9)),IF(ISNUMBER(SEARCH("yea",C1160)),IFERROR(_xlfn.NUMBERVALUE(SUBSTITUTE(LEFT(TRIM(C1160),FIND(" ",TRIM(C1160)&amp;" ")-1),",","."),"."),LEFT(SUBSTITUTE(LEFT(TRIM(C1160),FIND(" ",TRIM(C1160)&amp;" ")-1),",","."),FIND("/",SUBSTITUTE(LEFT(TRIM(C1160),FIND(" ",TRIM(C1160)&amp;" ")-1),",","."))-1)/MID(SUBSTITUTE(LEFT(TRIM(C1160),FIND(" ",TRIM(C1160)&amp;" ")-1),",","."),FIND("/",SUBSTITUTE(LEFT(TRIM(C1160),FIND(" ",TRIM(C1160)&amp;" ")-1),",","."))+1,9))*12,NA()))),0),12)*'Aturan &amp; Tarif'!$B$4,2)</f>
        <v>681.36</v>
      </c>
      <c r="K1160" s="42" t="n">
        <f aca="false">'Aturan &amp; Tarif'!$B$5</f>
        <v>2050</v>
      </c>
      <c r="L1160" s="35" t="n">
        <f aca="false">I1160+J1160+K1160</f>
        <v>22401.36</v>
      </c>
      <c r="M1160" s="45" t="s">
        <v>2665</v>
      </c>
    </row>
    <row r="1161" customFormat="false" ht="37.5" hidden="false" customHeight="true" outlineLevel="0" collapsed="false">
      <c r="A1161" s="39"/>
      <c r="B1161" s="40" t="s">
        <v>2674</v>
      </c>
      <c r="C1161" s="41" t="s">
        <v>130</v>
      </c>
      <c r="D1161" s="41" t="s">
        <v>108</v>
      </c>
      <c r="E1161" s="42" t="n">
        <v>9835</v>
      </c>
      <c r="F1161" s="42"/>
      <c r="G1161" s="42"/>
      <c r="H1161" s="43" t="n">
        <v>2</v>
      </c>
      <c r="I1161" s="34" t="n">
        <f aca="false">E1161*H1161+N(F1161)+N(G1161)</f>
        <v>19670</v>
      </c>
      <c r="J1161" s="42" t="n">
        <f aca="false">ROUND(IFERROR(ROUND(IF(OR(ISNUMBER(SEARCH("week",C1161)),ISNUMBER(SEARCH("minggu",C1161))),IFERROR(_xlfn.NUMBERVALUE(SUBSTITUTE(LEFT(TRIM(C1161),FIND(" ",TRIM(C1161)&amp;" ")-1),",","."),"."),LEFT(SUBSTITUTE(LEFT(TRIM(C1161),FIND(" ",TRIM(C1161)&amp;" ")-1),",","."),FIND("/",SUBSTITUTE(LEFT(TRIM(C1161),FIND(" ",TRIM(C1161)&amp;" ")-1),",","."))-1)/MID(SUBSTITUTE(LEFT(TRIM(C1161),FIND(" ",TRIM(C1161)&amp;" ")-1),",","."),FIND("/",SUBSTITUTE(LEFT(TRIM(C1161),FIND(" ",TRIM(C1161)&amp;" ")-1),",","."))+1,9))*12/52,IF(ISNUMBER(SEARCH("month",C1161)),IFERROR(_xlfn.NUMBERVALUE(SUBSTITUTE(LEFT(TRIM(C1161),FIND(" ",TRIM(C1161)&amp;" ")-1),",","."),"."),LEFT(SUBSTITUTE(LEFT(TRIM(C1161),FIND(" ",TRIM(C1161)&amp;" ")-1),",","."),FIND("/",SUBSTITUTE(LEFT(TRIM(C1161),FIND(" ",TRIM(C1161)&amp;" ")-1),",","."))-1)/MID(SUBSTITUTE(LEFT(TRIM(C1161),FIND(" ",TRIM(C1161)&amp;" ")-1),",","."),FIND("/",SUBSTITUTE(LEFT(TRIM(C1161),FIND(" ",TRIM(C1161)&amp;" ")-1),",","."))+1,9)),IF(ISNUMBER(SEARCH("yea",C1161)),IFERROR(_xlfn.NUMBERVALUE(SUBSTITUTE(LEFT(TRIM(C1161),FIND(" ",TRIM(C1161)&amp;" ")-1),",","."),"."),LEFT(SUBSTITUTE(LEFT(TRIM(C1161),FIND(" ",TRIM(C1161)&amp;" ")-1),",","."),FIND("/",SUBSTITUTE(LEFT(TRIM(C1161),FIND(" ",TRIM(C1161)&amp;" ")-1),",","."))-1)/MID(SUBSTITUTE(LEFT(TRIM(C1161),FIND(" ",TRIM(C1161)&amp;" ")-1),",","."),FIND("/",SUBSTITUTE(LEFT(TRIM(C1161),FIND(" ",TRIM(C1161)&amp;" ")-1),",","."))+1,9))*12,NA()))),0),12)*'Aturan &amp; Tarif'!$B$4,2)</f>
        <v>681.36</v>
      </c>
      <c r="K1161" s="42" t="n">
        <f aca="false">'Aturan &amp; Tarif'!$B$5</f>
        <v>2050</v>
      </c>
      <c r="L1161" s="35" t="n">
        <f aca="false">I1161+J1161+K1161</f>
        <v>22401.36</v>
      </c>
      <c r="M1161" s="45" t="s">
        <v>2665</v>
      </c>
    </row>
    <row r="1162" customFormat="false" ht="25.5" hidden="false" customHeight="true" outlineLevel="0" collapsed="false">
      <c r="A1162" s="39"/>
      <c r="B1162" s="40" t="s">
        <v>2675</v>
      </c>
      <c r="C1162" s="41" t="s">
        <v>107</v>
      </c>
      <c r="D1162" s="41" t="s">
        <v>108</v>
      </c>
      <c r="E1162" s="42" t="n">
        <v>9835</v>
      </c>
      <c r="F1162" s="42"/>
      <c r="G1162" s="42"/>
      <c r="H1162" s="43" t="n">
        <v>2</v>
      </c>
      <c r="I1162" s="34" t="n">
        <f aca="false">E1162*H1162+N(F1162)+N(G1162)</f>
        <v>19670</v>
      </c>
      <c r="J1162" s="42" t="n">
        <f aca="false">ROUND(IFERROR(ROUND(IF(OR(ISNUMBER(SEARCH("week",C1162)),ISNUMBER(SEARCH("minggu",C1162))),IFERROR(_xlfn.NUMBERVALUE(SUBSTITUTE(LEFT(TRIM(C1162),FIND(" ",TRIM(C1162)&amp;" ")-1),",","."),"."),LEFT(SUBSTITUTE(LEFT(TRIM(C1162),FIND(" ",TRIM(C1162)&amp;" ")-1),",","."),FIND("/",SUBSTITUTE(LEFT(TRIM(C1162),FIND(" ",TRIM(C1162)&amp;" ")-1),",","."))-1)/MID(SUBSTITUTE(LEFT(TRIM(C1162),FIND(" ",TRIM(C1162)&amp;" ")-1),",","."),FIND("/",SUBSTITUTE(LEFT(TRIM(C1162),FIND(" ",TRIM(C1162)&amp;" ")-1),",","."))+1,9))*12/52,IF(ISNUMBER(SEARCH("month",C1162)),IFERROR(_xlfn.NUMBERVALUE(SUBSTITUTE(LEFT(TRIM(C1162),FIND(" ",TRIM(C1162)&amp;" ")-1),",","."),"."),LEFT(SUBSTITUTE(LEFT(TRIM(C1162),FIND(" ",TRIM(C1162)&amp;" ")-1),",","."),FIND("/",SUBSTITUTE(LEFT(TRIM(C1162),FIND(" ",TRIM(C1162)&amp;" ")-1),",","."))-1)/MID(SUBSTITUTE(LEFT(TRIM(C1162),FIND(" ",TRIM(C1162)&amp;" ")-1),",","."),FIND("/",SUBSTITUTE(LEFT(TRIM(C1162),FIND(" ",TRIM(C1162)&amp;" ")-1),",","."))+1,9)),IF(ISNUMBER(SEARCH("yea",C1162)),IFERROR(_xlfn.NUMBERVALUE(SUBSTITUTE(LEFT(TRIM(C1162),FIND(" ",TRIM(C1162)&amp;" ")-1),",","."),"."),LEFT(SUBSTITUTE(LEFT(TRIM(C1162),FIND(" ",TRIM(C1162)&amp;" ")-1),",","."),FIND("/",SUBSTITUTE(LEFT(TRIM(C1162),FIND(" ",TRIM(C1162)&amp;" ")-1),",","."))-1)/MID(SUBSTITUTE(LEFT(TRIM(C1162),FIND(" ",TRIM(C1162)&amp;" ")-1),",","."),FIND("/",SUBSTITUTE(LEFT(TRIM(C1162),FIND(" ",TRIM(C1162)&amp;" ")-1),",","."))+1,9))*12,NA()))),0),24)*'Aturan &amp; Tarif'!$B$4,2)</f>
        <v>1362.72</v>
      </c>
      <c r="K1162" s="42" t="n">
        <f aca="false">'Aturan &amp; Tarif'!$B$5</f>
        <v>2050</v>
      </c>
      <c r="L1162" s="35" t="n">
        <f aca="false">I1162+J1162+K1162</f>
        <v>23082.72</v>
      </c>
      <c r="M1162" s="45" t="s">
        <v>2665</v>
      </c>
    </row>
    <row r="1163" customFormat="false" ht="25.5" hidden="false" customHeight="true" outlineLevel="0" collapsed="false">
      <c r="A1163" s="39"/>
      <c r="B1163" s="40" t="s">
        <v>2676</v>
      </c>
      <c r="C1163" s="41" t="s">
        <v>344</v>
      </c>
      <c r="D1163" s="41" t="s">
        <v>108</v>
      </c>
      <c r="E1163" s="42" t="n">
        <v>4918</v>
      </c>
      <c r="F1163" s="42"/>
      <c r="G1163" s="42"/>
      <c r="H1163" s="43" t="n">
        <v>2</v>
      </c>
      <c r="I1163" s="34" t="n">
        <f aca="false">E1163*H1163+N(F1163)+N(G1163)</f>
        <v>9836</v>
      </c>
      <c r="J1163" s="42" t="n">
        <f aca="false">ROUND(IFERROR(ROUND(IF(OR(ISNUMBER(SEARCH("week",C1163)),ISNUMBER(SEARCH("minggu",C1163))),IFERROR(_xlfn.NUMBERVALUE(SUBSTITUTE(LEFT(TRIM(C1163),FIND(" ",TRIM(C1163)&amp;" ")-1),",","."),"."),LEFT(SUBSTITUTE(LEFT(TRIM(C1163),FIND(" ",TRIM(C1163)&amp;" ")-1),",","."),FIND("/",SUBSTITUTE(LEFT(TRIM(C1163),FIND(" ",TRIM(C1163)&amp;" ")-1),",","."))-1)/MID(SUBSTITUTE(LEFT(TRIM(C1163),FIND(" ",TRIM(C1163)&amp;" ")-1),",","."),FIND("/",SUBSTITUTE(LEFT(TRIM(C1163),FIND(" ",TRIM(C1163)&amp;" ")-1),",","."))+1,9))*12/52,IF(ISNUMBER(SEARCH("month",C1163)),IFERROR(_xlfn.NUMBERVALUE(SUBSTITUTE(LEFT(TRIM(C1163),FIND(" ",TRIM(C1163)&amp;" ")-1),",","."),"."),LEFT(SUBSTITUTE(LEFT(TRIM(C1163),FIND(" ",TRIM(C1163)&amp;" ")-1),",","."),FIND("/",SUBSTITUTE(LEFT(TRIM(C1163),FIND(" ",TRIM(C1163)&amp;" ")-1),",","."))-1)/MID(SUBSTITUTE(LEFT(TRIM(C1163),FIND(" ",TRIM(C1163)&amp;" ")-1),",","."),FIND("/",SUBSTITUTE(LEFT(TRIM(C1163),FIND(" ",TRIM(C1163)&amp;" ")-1),",","."))+1,9)),IF(ISNUMBER(SEARCH("yea",C1163)),IFERROR(_xlfn.NUMBERVALUE(SUBSTITUTE(LEFT(TRIM(C1163),FIND(" ",TRIM(C1163)&amp;" ")-1),",","."),"."),LEFT(SUBSTITUTE(LEFT(TRIM(C1163),FIND(" ",TRIM(C1163)&amp;" ")-1),",","."),FIND("/",SUBSTITUTE(LEFT(TRIM(C1163),FIND(" ",TRIM(C1163)&amp;" ")-1),",","."))-1)/MID(SUBSTITUTE(LEFT(TRIM(C1163),FIND(" ",TRIM(C1163)&amp;" ")-1),",","."),FIND("/",SUBSTITUTE(LEFT(TRIM(C1163),FIND(" ",TRIM(C1163)&amp;" ")-1),",","."))+1,9))*12,NA()))),0),6)*'Aturan &amp; Tarif'!$B$4,2)</f>
        <v>340.68</v>
      </c>
      <c r="K1163" s="42" t="n">
        <f aca="false">'Aturan &amp; Tarif'!$B$5</f>
        <v>2050</v>
      </c>
      <c r="L1163" s="35" t="n">
        <f aca="false">I1163+J1163+K1163</f>
        <v>12226.68</v>
      </c>
      <c r="M1163" s="45" t="s">
        <v>2665</v>
      </c>
    </row>
    <row r="1164" customFormat="false" ht="25.5" hidden="false" customHeight="true" outlineLevel="0" collapsed="false">
      <c r="A1164" s="39"/>
      <c r="B1164" s="40" t="s">
        <v>2677</v>
      </c>
      <c r="C1164" s="41" t="s">
        <v>107</v>
      </c>
      <c r="D1164" s="41" t="s">
        <v>108</v>
      </c>
      <c r="E1164" s="42" t="n">
        <v>9835</v>
      </c>
      <c r="F1164" s="42"/>
      <c r="G1164" s="42"/>
      <c r="H1164" s="43" t="n">
        <v>2</v>
      </c>
      <c r="I1164" s="34" t="n">
        <f aca="false">E1164*H1164+N(F1164)+N(G1164)</f>
        <v>19670</v>
      </c>
      <c r="J1164" s="42" t="n">
        <f aca="false">ROUND(IFERROR(ROUND(IF(OR(ISNUMBER(SEARCH("week",C1164)),ISNUMBER(SEARCH("minggu",C1164))),IFERROR(_xlfn.NUMBERVALUE(SUBSTITUTE(LEFT(TRIM(C1164),FIND(" ",TRIM(C1164)&amp;" ")-1),",","."),"."),LEFT(SUBSTITUTE(LEFT(TRIM(C1164),FIND(" ",TRIM(C1164)&amp;" ")-1),",","."),FIND("/",SUBSTITUTE(LEFT(TRIM(C1164),FIND(" ",TRIM(C1164)&amp;" ")-1),",","."))-1)/MID(SUBSTITUTE(LEFT(TRIM(C1164),FIND(" ",TRIM(C1164)&amp;" ")-1),",","."),FIND("/",SUBSTITUTE(LEFT(TRIM(C1164),FIND(" ",TRIM(C1164)&amp;" ")-1),",","."))+1,9))*12/52,IF(ISNUMBER(SEARCH("month",C1164)),IFERROR(_xlfn.NUMBERVALUE(SUBSTITUTE(LEFT(TRIM(C1164),FIND(" ",TRIM(C1164)&amp;" ")-1),",","."),"."),LEFT(SUBSTITUTE(LEFT(TRIM(C1164),FIND(" ",TRIM(C1164)&amp;" ")-1),",","."),FIND("/",SUBSTITUTE(LEFT(TRIM(C1164),FIND(" ",TRIM(C1164)&amp;" ")-1),",","."))-1)/MID(SUBSTITUTE(LEFT(TRIM(C1164),FIND(" ",TRIM(C1164)&amp;" ")-1),",","."),FIND("/",SUBSTITUTE(LEFT(TRIM(C1164),FIND(" ",TRIM(C1164)&amp;" ")-1),",","."))+1,9)),IF(ISNUMBER(SEARCH("yea",C1164)),IFERROR(_xlfn.NUMBERVALUE(SUBSTITUTE(LEFT(TRIM(C1164),FIND(" ",TRIM(C1164)&amp;" ")-1),",","."),"."),LEFT(SUBSTITUTE(LEFT(TRIM(C1164),FIND(" ",TRIM(C1164)&amp;" ")-1),",","."),FIND("/",SUBSTITUTE(LEFT(TRIM(C1164),FIND(" ",TRIM(C1164)&amp;" ")-1),",","."))-1)/MID(SUBSTITUTE(LEFT(TRIM(C1164),FIND(" ",TRIM(C1164)&amp;" ")-1),",","."),FIND("/",SUBSTITUTE(LEFT(TRIM(C1164),FIND(" ",TRIM(C1164)&amp;" ")-1),",","."))+1,9))*12,NA()))),0),24)*'Aturan &amp; Tarif'!$B$4,2)</f>
        <v>1362.72</v>
      </c>
      <c r="K1164" s="42" t="n">
        <f aca="false">'Aturan &amp; Tarif'!$B$5</f>
        <v>2050</v>
      </c>
      <c r="L1164" s="35" t="n">
        <f aca="false">I1164+J1164+K1164</f>
        <v>23082.72</v>
      </c>
      <c r="M1164" s="45" t="s">
        <v>2665</v>
      </c>
    </row>
    <row r="1165" customFormat="false" ht="25.5" hidden="false" customHeight="true" outlineLevel="0" collapsed="false">
      <c r="A1165" s="39"/>
      <c r="B1165" s="40" t="s">
        <v>2678</v>
      </c>
      <c r="C1165" s="41" t="s">
        <v>113</v>
      </c>
      <c r="D1165" s="41" t="s">
        <v>108</v>
      </c>
      <c r="E1165" s="42" t="n">
        <v>9835</v>
      </c>
      <c r="F1165" s="42"/>
      <c r="G1165" s="42"/>
      <c r="H1165" s="43" t="n">
        <v>2</v>
      </c>
      <c r="I1165" s="34" t="n">
        <f aca="false">E1165*H1165+N(F1165)+N(G1165)</f>
        <v>19670</v>
      </c>
      <c r="J1165" s="42" t="n">
        <f aca="false">ROUND(IFERROR(ROUND(IF(OR(ISNUMBER(SEARCH("week",C1165)),ISNUMBER(SEARCH("minggu",C1165))),IFERROR(_xlfn.NUMBERVALUE(SUBSTITUTE(LEFT(TRIM(C1165),FIND(" ",TRIM(C1165)&amp;" ")-1),",","."),"."),LEFT(SUBSTITUTE(LEFT(TRIM(C1165),FIND(" ",TRIM(C1165)&amp;" ")-1),",","."),FIND("/",SUBSTITUTE(LEFT(TRIM(C1165),FIND(" ",TRIM(C1165)&amp;" ")-1),",","."))-1)/MID(SUBSTITUTE(LEFT(TRIM(C1165),FIND(" ",TRIM(C1165)&amp;" ")-1),",","."),FIND("/",SUBSTITUTE(LEFT(TRIM(C1165),FIND(" ",TRIM(C1165)&amp;" ")-1),",","."))+1,9))*12/52,IF(ISNUMBER(SEARCH("month",C1165)),IFERROR(_xlfn.NUMBERVALUE(SUBSTITUTE(LEFT(TRIM(C1165),FIND(" ",TRIM(C1165)&amp;" ")-1),",","."),"."),LEFT(SUBSTITUTE(LEFT(TRIM(C1165),FIND(" ",TRIM(C1165)&amp;" ")-1),",","."),FIND("/",SUBSTITUTE(LEFT(TRIM(C1165),FIND(" ",TRIM(C1165)&amp;" ")-1),",","."))-1)/MID(SUBSTITUTE(LEFT(TRIM(C1165),FIND(" ",TRIM(C1165)&amp;" ")-1),",","."),FIND("/",SUBSTITUTE(LEFT(TRIM(C1165),FIND(" ",TRIM(C1165)&amp;" ")-1),",","."))+1,9)),IF(ISNUMBER(SEARCH("yea",C1165)),IFERROR(_xlfn.NUMBERVALUE(SUBSTITUTE(LEFT(TRIM(C1165),FIND(" ",TRIM(C1165)&amp;" ")-1),",","."),"."),LEFT(SUBSTITUTE(LEFT(TRIM(C1165),FIND(" ",TRIM(C1165)&amp;" ")-1),",","."),FIND("/",SUBSTITUTE(LEFT(TRIM(C1165),FIND(" ",TRIM(C1165)&amp;" ")-1),",","."))-1)/MID(SUBSTITUTE(LEFT(TRIM(C1165),FIND(" ",TRIM(C1165)&amp;" ")-1),",","."),FIND("/",SUBSTITUTE(LEFT(TRIM(C1165),FIND(" ",TRIM(C1165)&amp;" ")-1),",","."))+1,9))*12,NA()))),0),18)*'Aturan &amp; Tarif'!$B$4,2)</f>
        <v>1022.04</v>
      </c>
      <c r="K1165" s="42" t="n">
        <f aca="false">'Aturan &amp; Tarif'!$B$5</f>
        <v>2050</v>
      </c>
      <c r="L1165" s="35" t="n">
        <f aca="false">I1165+J1165+K1165</f>
        <v>22742.04</v>
      </c>
      <c r="M1165" s="45" t="s">
        <v>2665</v>
      </c>
    </row>
    <row r="1166" customFormat="false" ht="14.25" hidden="false" customHeight="true" outlineLevel="0" collapsed="false">
      <c r="A1166" s="39"/>
      <c r="B1166" s="40" t="s">
        <v>2679</v>
      </c>
      <c r="C1166" s="41" t="s">
        <v>107</v>
      </c>
      <c r="D1166" s="41" t="s">
        <v>108</v>
      </c>
      <c r="E1166" s="42" t="n">
        <v>9835</v>
      </c>
      <c r="F1166" s="42"/>
      <c r="G1166" s="42"/>
      <c r="H1166" s="43" t="n">
        <v>2</v>
      </c>
      <c r="I1166" s="34" t="n">
        <f aca="false">E1166*H1166+N(F1166)+N(G1166)</f>
        <v>19670</v>
      </c>
      <c r="J1166" s="42" t="n">
        <f aca="false">ROUND(IFERROR(ROUND(IF(OR(ISNUMBER(SEARCH("week",C1166)),ISNUMBER(SEARCH("minggu",C1166))),IFERROR(_xlfn.NUMBERVALUE(SUBSTITUTE(LEFT(TRIM(C1166),FIND(" ",TRIM(C1166)&amp;" ")-1),",","."),"."),LEFT(SUBSTITUTE(LEFT(TRIM(C1166),FIND(" ",TRIM(C1166)&amp;" ")-1),",","."),FIND("/",SUBSTITUTE(LEFT(TRIM(C1166),FIND(" ",TRIM(C1166)&amp;" ")-1),",","."))-1)/MID(SUBSTITUTE(LEFT(TRIM(C1166),FIND(" ",TRIM(C1166)&amp;" ")-1),",","."),FIND("/",SUBSTITUTE(LEFT(TRIM(C1166),FIND(" ",TRIM(C1166)&amp;" ")-1),",","."))+1,9))*12/52,IF(ISNUMBER(SEARCH("month",C1166)),IFERROR(_xlfn.NUMBERVALUE(SUBSTITUTE(LEFT(TRIM(C1166),FIND(" ",TRIM(C1166)&amp;" ")-1),",","."),"."),LEFT(SUBSTITUTE(LEFT(TRIM(C1166),FIND(" ",TRIM(C1166)&amp;" ")-1),",","."),FIND("/",SUBSTITUTE(LEFT(TRIM(C1166),FIND(" ",TRIM(C1166)&amp;" ")-1),",","."))-1)/MID(SUBSTITUTE(LEFT(TRIM(C1166),FIND(" ",TRIM(C1166)&amp;" ")-1),",","."),FIND("/",SUBSTITUTE(LEFT(TRIM(C1166),FIND(" ",TRIM(C1166)&amp;" ")-1),",","."))+1,9)),IF(ISNUMBER(SEARCH("yea",C1166)),IFERROR(_xlfn.NUMBERVALUE(SUBSTITUTE(LEFT(TRIM(C1166),FIND(" ",TRIM(C1166)&amp;" ")-1),",","."),"."),LEFT(SUBSTITUTE(LEFT(TRIM(C1166),FIND(" ",TRIM(C1166)&amp;" ")-1),",","."),FIND("/",SUBSTITUTE(LEFT(TRIM(C1166),FIND(" ",TRIM(C1166)&amp;" ")-1),",","."))-1)/MID(SUBSTITUTE(LEFT(TRIM(C1166),FIND(" ",TRIM(C1166)&amp;" ")-1),",","."),FIND("/",SUBSTITUTE(LEFT(TRIM(C1166),FIND(" ",TRIM(C1166)&amp;" ")-1),",","."))+1,9))*12,NA()))),0),24)*'Aturan &amp; Tarif'!$B$4,2)</f>
        <v>1362.72</v>
      </c>
      <c r="K1166" s="42" t="n">
        <f aca="false">'Aturan &amp; Tarif'!$B$5</f>
        <v>2050</v>
      </c>
      <c r="L1166" s="35" t="n">
        <f aca="false">I1166+J1166+K1166</f>
        <v>23082.72</v>
      </c>
      <c r="M1166" s="45" t="s">
        <v>2665</v>
      </c>
    </row>
    <row r="1167" customFormat="false" ht="25.5" hidden="false" customHeight="true" outlineLevel="0" collapsed="false">
      <c r="A1167" s="39"/>
      <c r="B1167" s="40" t="s">
        <v>2680</v>
      </c>
      <c r="C1167" s="41" t="s">
        <v>344</v>
      </c>
      <c r="D1167" s="41" t="s">
        <v>108</v>
      </c>
      <c r="E1167" s="42" t="n">
        <v>4918</v>
      </c>
      <c r="F1167" s="42"/>
      <c r="G1167" s="42"/>
      <c r="H1167" s="43" t="n">
        <v>2</v>
      </c>
      <c r="I1167" s="34" t="n">
        <f aca="false">E1167*H1167+N(F1167)+N(G1167)</f>
        <v>9836</v>
      </c>
      <c r="J1167" s="42" t="n">
        <f aca="false">ROUND(IFERROR(ROUND(IF(OR(ISNUMBER(SEARCH("week",C1167)),ISNUMBER(SEARCH("minggu",C1167))),IFERROR(_xlfn.NUMBERVALUE(SUBSTITUTE(LEFT(TRIM(C1167),FIND(" ",TRIM(C1167)&amp;" ")-1),",","."),"."),LEFT(SUBSTITUTE(LEFT(TRIM(C1167),FIND(" ",TRIM(C1167)&amp;" ")-1),",","."),FIND("/",SUBSTITUTE(LEFT(TRIM(C1167),FIND(" ",TRIM(C1167)&amp;" ")-1),",","."))-1)/MID(SUBSTITUTE(LEFT(TRIM(C1167),FIND(" ",TRIM(C1167)&amp;" ")-1),",","."),FIND("/",SUBSTITUTE(LEFT(TRIM(C1167),FIND(" ",TRIM(C1167)&amp;" ")-1),",","."))+1,9))*12/52,IF(ISNUMBER(SEARCH("month",C1167)),IFERROR(_xlfn.NUMBERVALUE(SUBSTITUTE(LEFT(TRIM(C1167),FIND(" ",TRIM(C1167)&amp;" ")-1),",","."),"."),LEFT(SUBSTITUTE(LEFT(TRIM(C1167),FIND(" ",TRIM(C1167)&amp;" ")-1),",","."),FIND("/",SUBSTITUTE(LEFT(TRIM(C1167),FIND(" ",TRIM(C1167)&amp;" ")-1),",","."))-1)/MID(SUBSTITUTE(LEFT(TRIM(C1167),FIND(" ",TRIM(C1167)&amp;" ")-1),",","."),FIND("/",SUBSTITUTE(LEFT(TRIM(C1167),FIND(" ",TRIM(C1167)&amp;" ")-1),",","."))+1,9)),IF(ISNUMBER(SEARCH("yea",C1167)),IFERROR(_xlfn.NUMBERVALUE(SUBSTITUTE(LEFT(TRIM(C1167),FIND(" ",TRIM(C1167)&amp;" ")-1),",","."),"."),LEFT(SUBSTITUTE(LEFT(TRIM(C1167),FIND(" ",TRIM(C1167)&amp;" ")-1),",","."),FIND("/",SUBSTITUTE(LEFT(TRIM(C1167),FIND(" ",TRIM(C1167)&amp;" ")-1),",","."))-1)/MID(SUBSTITUTE(LEFT(TRIM(C1167),FIND(" ",TRIM(C1167)&amp;" ")-1),",","."),FIND("/",SUBSTITUTE(LEFT(TRIM(C1167),FIND(" ",TRIM(C1167)&amp;" ")-1),",","."))+1,9))*12,NA()))),0),6)*'Aturan &amp; Tarif'!$B$4,2)</f>
        <v>340.68</v>
      </c>
      <c r="K1167" s="42" t="n">
        <f aca="false">'Aturan &amp; Tarif'!$B$5</f>
        <v>2050</v>
      </c>
      <c r="L1167" s="35" t="n">
        <f aca="false">I1167+J1167+K1167</f>
        <v>12226.68</v>
      </c>
      <c r="M1167" s="45" t="s">
        <v>2665</v>
      </c>
    </row>
    <row r="1168" customFormat="false" ht="25.5" hidden="false" customHeight="true" outlineLevel="0" collapsed="false">
      <c r="A1168" s="39"/>
      <c r="B1168" s="40" t="s">
        <v>2681</v>
      </c>
      <c r="C1168" s="41" t="s">
        <v>107</v>
      </c>
      <c r="D1168" s="41" t="s">
        <v>108</v>
      </c>
      <c r="E1168" s="42" t="n">
        <v>10305</v>
      </c>
      <c r="F1168" s="42"/>
      <c r="G1168" s="42"/>
      <c r="H1168" s="43" t="n">
        <v>2</v>
      </c>
      <c r="I1168" s="34" t="n">
        <f aca="false">E1168*H1168+N(F1168)+N(G1168)</f>
        <v>20610</v>
      </c>
      <c r="J1168" s="42" t="n">
        <f aca="false">ROUND(IFERROR(ROUND(IF(OR(ISNUMBER(SEARCH("week",C1168)),ISNUMBER(SEARCH("minggu",C1168))),IFERROR(_xlfn.NUMBERVALUE(SUBSTITUTE(LEFT(TRIM(C1168),FIND(" ",TRIM(C1168)&amp;" ")-1),",","."),"."),LEFT(SUBSTITUTE(LEFT(TRIM(C1168),FIND(" ",TRIM(C1168)&amp;" ")-1),",","."),FIND("/",SUBSTITUTE(LEFT(TRIM(C1168),FIND(" ",TRIM(C1168)&amp;" ")-1),",","."))-1)/MID(SUBSTITUTE(LEFT(TRIM(C1168),FIND(" ",TRIM(C1168)&amp;" ")-1),",","."),FIND("/",SUBSTITUTE(LEFT(TRIM(C1168),FIND(" ",TRIM(C1168)&amp;" ")-1),",","."))+1,9))*12/52,IF(ISNUMBER(SEARCH("month",C1168)),IFERROR(_xlfn.NUMBERVALUE(SUBSTITUTE(LEFT(TRIM(C1168),FIND(" ",TRIM(C1168)&amp;" ")-1),",","."),"."),LEFT(SUBSTITUTE(LEFT(TRIM(C1168),FIND(" ",TRIM(C1168)&amp;" ")-1),",","."),FIND("/",SUBSTITUTE(LEFT(TRIM(C1168),FIND(" ",TRIM(C1168)&amp;" ")-1),",","."))-1)/MID(SUBSTITUTE(LEFT(TRIM(C1168),FIND(" ",TRIM(C1168)&amp;" ")-1),",","."),FIND("/",SUBSTITUTE(LEFT(TRIM(C1168),FIND(" ",TRIM(C1168)&amp;" ")-1),",","."))+1,9)),IF(ISNUMBER(SEARCH("yea",C1168)),IFERROR(_xlfn.NUMBERVALUE(SUBSTITUTE(LEFT(TRIM(C1168),FIND(" ",TRIM(C1168)&amp;" ")-1),",","."),"."),LEFT(SUBSTITUTE(LEFT(TRIM(C1168),FIND(" ",TRIM(C1168)&amp;" ")-1),",","."),FIND("/",SUBSTITUTE(LEFT(TRIM(C1168),FIND(" ",TRIM(C1168)&amp;" ")-1),",","."))-1)/MID(SUBSTITUTE(LEFT(TRIM(C1168),FIND(" ",TRIM(C1168)&amp;" ")-1),",","."),FIND("/",SUBSTITUTE(LEFT(TRIM(C1168),FIND(" ",TRIM(C1168)&amp;" ")-1),",","."))+1,9))*12,NA()))),0),24)*'Aturan &amp; Tarif'!$B$4,2)</f>
        <v>1362.72</v>
      </c>
      <c r="K1168" s="42" t="n">
        <f aca="false">'Aturan &amp; Tarif'!$B$5</f>
        <v>2050</v>
      </c>
      <c r="L1168" s="35" t="n">
        <f aca="false">I1168+J1168+K1168</f>
        <v>24022.72</v>
      </c>
      <c r="M1168" s="45" t="s">
        <v>2665</v>
      </c>
    </row>
    <row r="1169" customFormat="false" ht="48.75" hidden="false" customHeight="true" outlineLevel="0" collapsed="false">
      <c r="A1169" s="39"/>
      <c r="B1169" s="40" t="s">
        <v>2682</v>
      </c>
      <c r="C1169" s="41" t="s">
        <v>107</v>
      </c>
      <c r="D1169" s="41" t="s">
        <v>108</v>
      </c>
      <c r="E1169" s="42" t="n">
        <v>10305</v>
      </c>
      <c r="F1169" s="42"/>
      <c r="G1169" s="42"/>
      <c r="H1169" s="43" t="n">
        <v>2</v>
      </c>
      <c r="I1169" s="34" t="n">
        <f aca="false">E1169*H1169+N(F1169)+N(G1169)</f>
        <v>20610</v>
      </c>
      <c r="J1169" s="42" t="n">
        <f aca="false">ROUND(IFERROR(ROUND(IF(OR(ISNUMBER(SEARCH("week",C1169)),ISNUMBER(SEARCH("minggu",C1169))),IFERROR(_xlfn.NUMBERVALUE(SUBSTITUTE(LEFT(TRIM(C1169),FIND(" ",TRIM(C1169)&amp;" ")-1),",","."),"."),LEFT(SUBSTITUTE(LEFT(TRIM(C1169),FIND(" ",TRIM(C1169)&amp;" ")-1),",","."),FIND("/",SUBSTITUTE(LEFT(TRIM(C1169),FIND(" ",TRIM(C1169)&amp;" ")-1),",","."))-1)/MID(SUBSTITUTE(LEFT(TRIM(C1169),FIND(" ",TRIM(C1169)&amp;" ")-1),",","."),FIND("/",SUBSTITUTE(LEFT(TRIM(C1169),FIND(" ",TRIM(C1169)&amp;" ")-1),",","."))+1,9))*12/52,IF(ISNUMBER(SEARCH("month",C1169)),IFERROR(_xlfn.NUMBERVALUE(SUBSTITUTE(LEFT(TRIM(C1169),FIND(" ",TRIM(C1169)&amp;" ")-1),",","."),"."),LEFT(SUBSTITUTE(LEFT(TRIM(C1169),FIND(" ",TRIM(C1169)&amp;" ")-1),",","."),FIND("/",SUBSTITUTE(LEFT(TRIM(C1169),FIND(" ",TRIM(C1169)&amp;" ")-1),",","."))-1)/MID(SUBSTITUTE(LEFT(TRIM(C1169),FIND(" ",TRIM(C1169)&amp;" ")-1),",","."),FIND("/",SUBSTITUTE(LEFT(TRIM(C1169),FIND(" ",TRIM(C1169)&amp;" ")-1),",","."))+1,9)),IF(ISNUMBER(SEARCH("yea",C1169)),IFERROR(_xlfn.NUMBERVALUE(SUBSTITUTE(LEFT(TRIM(C1169),FIND(" ",TRIM(C1169)&amp;" ")-1),",","."),"."),LEFT(SUBSTITUTE(LEFT(TRIM(C1169),FIND(" ",TRIM(C1169)&amp;" ")-1),",","."),FIND("/",SUBSTITUTE(LEFT(TRIM(C1169),FIND(" ",TRIM(C1169)&amp;" ")-1),",","."))-1)/MID(SUBSTITUTE(LEFT(TRIM(C1169),FIND(" ",TRIM(C1169)&amp;" ")-1),",","."),FIND("/",SUBSTITUTE(LEFT(TRIM(C1169),FIND(" ",TRIM(C1169)&amp;" ")-1),",","."))+1,9))*12,NA()))),0),24)*'Aturan &amp; Tarif'!$B$4,2)</f>
        <v>1362.72</v>
      </c>
      <c r="K1169" s="42" t="n">
        <f aca="false">'Aturan &amp; Tarif'!$B$5</f>
        <v>2050</v>
      </c>
      <c r="L1169" s="35" t="n">
        <f aca="false">I1169+J1169+K1169</f>
        <v>24022.72</v>
      </c>
      <c r="M1169" s="45" t="s">
        <v>2665</v>
      </c>
    </row>
    <row r="1170" customFormat="false" ht="25.5" hidden="false" customHeight="true" outlineLevel="0" collapsed="false">
      <c r="A1170" s="39"/>
      <c r="B1170" s="40" t="s">
        <v>2683</v>
      </c>
      <c r="C1170" s="41" t="s">
        <v>138</v>
      </c>
      <c r="D1170" s="41" t="s">
        <v>108</v>
      </c>
      <c r="E1170" s="42" t="n">
        <v>10305</v>
      </c>
      <c r="F1170" s="42"/>
      <c r="G1170" s="42"/>
      <c r="H1170" s="43" t="n">
        <v>2</v>
      </c>
      <c r="I1170" s="34" t="n">
        <f aca="false">E1170*H1170+N(F1170)+N(G1170)</f>
        <v>20610</v>
      </c>
      <c r="J1170" s="42" t="n">
        <f aca="false">ROUND(IFERROR(ROUND(IF(OR(ISNUMBER(SEARCH("week",C1170)),ISNUMBER(SEARCH("minggu",C1170))),IFERROR(_xlfn.NUMBERVALUE(SUBSTITUTE(LEFT(TRIM(C1170),FIND(" ",TRIM(C1170)&amp;" ")-1),",","."),"."),LEFT(SUBSTITUTE(LEFT(TRIM(C1170),FIND(" ",TRIM(C1170)&amp;" ")-1),",","."),FIND("/",SUBSTITUTE(LEFT(TRIM(C1170),FIND(" ",TRIM(C1170)&amp;" ")-1),",","."))-1)/MID(SUBSTITUTE(LEFT(TRIM(C1170),FIND(" ",TRIM(C1170)&amp;" ")-1),",","."),FIND("/",SUBSTITUTE(LEFT(TRIM(C1170),FIND(" ",TRIM(C1170)&amp;" ")-1),",","."))+1,9))*12/52,IF(ISNUMBER(SEARCH("month",C1170)),IFERROR(_xlfn.NUMBERVALUE(SUBSTITUTE(LEFT(TRIM(C1170),FIND(" ",TRIM(C1170)&amp;" ")-1),",","."),"."),LEFT(SUBSTITUTE(LEFT(TRIM(C1170),FIND(" ",TRIM(C1170)&amp;" ")-1),",","."),FIND("/",SUBSTITUTE(LEFT(TRIM(C1170),FIND(" ",TRIM(C1170)&amp;" ")-1),",","."))-1)/MID(SUBSTITUTE(LEFT(TRIM(C1170),FIND(" ",TRIM(C1170)&amp;" ")-1),",","."),FIND("/",SUBSTITUTE(LEFT(TRIM(C1170),FIND(" ",TRIM(C1170)&amp;" ")-1),",","."))+1,9)),IF(ISNUMBER(SEARCH("yea",C1170)),IFERROR(_xlfn.NUMBERVALUE(SUBSTITUTE(LEFT(TRIM(C1170),FIND(" ",TRIM(C1170)&amp;" ")-1),",","."),"."),LEFT(SUBSTITUTE(LEFT(TRIM(C1170),FIND(" ",TRIM(C1170)&amp;" ")-1),",","."),FIND("/",SUBSTITUTE(LEFT(TRIM(C1170),FIND(" ",TRIM(C1170)&amp;" ")-1),",","."))-1)/MID(SUBSTITUTE(LEFT(TRIM(C1170),FIND(" ",TRIM(C1170)&amp;" ")-1),",","."),FIND("/",SUBSTITUTE(LEFT(TRIM(C1170),FIND(" ",TRIM(C1170)&amp;" ")-1),",","."))+1,9))*12,NA()))),0),30)*'Aturan &amp; Tarif'!$B$4,2)</f>
        <v>1703.4</v>
      </c>
      <c r="K1170" s="42" t="n">
        <f aca="false">'Aturan &amp; Tarif'!$B$5</f>
        <v>2050</v>
      </c>
      <c r="L1170" s="35" t="n">
        <f aca="false">I1170+J1170+K1170</f>
        <v>24363.4</v>
      </c>
      <c r="M1170" s="45" t="s">
        <v>2665</v>
      </c>
    </row>
    <row r="1171" customFormat="false" ht="25.5" hidden="false" customHeight="true" outlineLevel="0" collapsed="false">
      <c r="A1171" s="39"/>
      <c r="B1171" s="40" t="s">
        <v>2684</v>
      </c>
      <c r="C1171" s="41" t="s">
        <v>107</v>
      </c>
      <c r="D1171" s="41" t="s">
        <v>108</v>
      </c>
      <c r="E1171" s="42" t="n">
        <v>10305</v>
      </c>
      <c r="F1171" s="42"/>
      <c r="G1171" s="42"/>
      <c r="H1171" s="43" t="n">
        <v>2</v>
      </c>
      <c r="I1171" s="34" t="n">
        <f aca="false">E1171*H1171+N(F1171)+N(G1171)</f>
        <v>20610</v>
      </c>
      <c r="J1171" s="42" t="n">
        <f aca="false">ROUND(IFERROR(ROUND(IF(OR(ISNUMBER(SEARCH("week",C1171)),ISNUMBER(SEARCH("minggu",C1171))),IFERROR(_xlfn.NUMBERVALUE(SUBSTITUTE(LEFT(TRIM(C1171),FIND(" ",TRIM(C1171)&amp;" ")-1),",","."),"."),LEFT(SUBSTITUTE(LEFT(TRIM(C1171),FIND(" ",TRIM(C1171)&amp;" ")-1),",","."),FIND("/",SUBSTITUTE(LEFT(TRIM(C1171),FIND(" ",TRIM(C1171)&amp;" ")-1),",","."))-1)/MID(SUBSTITUTE(LEFT(TRIM(C1171),FIND(" ",TRIM(C1171)&amp;" ")-1),",","."),FIND("/",SUBSTITUTE(LEFT(TRIM(C1171),FIND(" ",TRIM(C1171)&amp;" ")-1),",","."))+1,9))*12/52,IF(ISNUMBER(SEARCH("month",C1171)),IFERROR(_xlfn.NUMBERVALUE(SUBSTITUTE(LEFT(TRIM(C1171),FIND(" ",TRIM(C1171)&amp;" ")-1),",","."),"."),LEFT(SUBSTITUTE(LEFT(TRIM(C1171),FIND(" ",TRIM(C1171)&amp;" ")-1),",","."),FIND("/",SUBSTITUTE(LEFT(TRIM(C1171),FIND(" ",TRIM(C1171)&amp;" ")-1),",","."))-1)/MID(SUBSTITUTE(LEFT(TRIM(C1171),FIND(" ",TRIM(C1171)&amp;" ")-1),",","."),FIND("/",SUBSTITUTE(LEFT(TRIM(C1171),FIND(" ",TRIM(C1171)&amp;" ")-1),",","."))+1,9)),IF(ISNUMBER(SEARCH("yea",C1171)),IFERROR(_xlfn.NUMBERVALUE(SUBSTITUTE(LEFT(TRIM(C1171),FIND(" ",TRIM(C1171)&amp;" ")-1),",","."),"."),LEFT(SUBSTITUTE(LEFT(TRIM(C1171),FIND(" ",TRIM(C1171)&amp;" ")-1),",","."),FIND("/",SUBSTITUTE(LEFT(TRIM(C1171),FIND(" ",TRIM(C1171)&amp;" ")-1),",","."))-1)/MID(SUBSTITUTE(LEFT(TRIM(C1171),FIND(" ",TRIM(C1171)&amp;" ")-1),",","."),FIND("/",SUBSTITUTE(LEFT(TRIM(C1171),FIND(" ",TRIM(C1171)&amp;" ")-1),",","."))+1,9))*12,NA()))),0),24)*'Aturan &amp; Tarif'!$B$4,2)</f>
        <v>1362.72</v>
      </c>
      <c r="K1171" s="42" t="n">
        <f aca="false">'Aturan &amp; Tarif'!$B$5</f>
        <v>2050</v>
      </c>
      <c r="L1171" s="35" t="n">
        <f aca="false">I1171+J1171+K1171</f>
        <v>24022.72</v>
      </c>
      <c r="M1171" s="45" t="s">
        <v>2665</v>
      </c>
    </row>
    <row r="1172" customFormat="false" ht="25.5" hidden="false" customHeight="true" outlineLevel="0" collapsed="false">
      <c r="A1172" s="39"/>
      <c r="B1172" s="40" t="s">
        <v>2685</v>
      </c>
      <c r="C1172" s="41" t="s">
        <v>113</v>
      </c>
      <c r="D1172" s="41" t="s">
        <v>108</v>
      </c>
      <c r="E1172" s="42" t="n">
        <v>10305</v>
      </c>
      <c r="F1172" s="42"/>
      <c r="G1172" s="42"/>
      <c r="H1172" s="43" t="n">
        <v>2</v>
      </c>
      <c r="I1172" s="34" t="n">
        <f aca="false">E1172*H1172+N(F1172)+N(G1172)</f>
        <v>20610</v>
      </c>
      <c r="J1172" s="42" t="n">
        <f aca="false">ROUND(IFERROR(ROUND(IF(OR(ISNUMBER(SEARCH("week",C1172)),ISNUMBER(SEARCH("minggu",C1172))),IFERROR(_xlfn.NUMBERVALUE(SUBSTITUTE(LEFT(TRIM(C1172),FIND(" ",TRIM(C1172)&amp;" ")-1),",","."),"."),LEFT(SUBSTITUTE(LEFT(TRIM(C1172),FIND(" ",TRIM(C1172)&amp;" ")-1),",","."),FIND("/",SUBSTITUTE(LEFT(TRIM(C1172),FIND(" ",TRIM(C1172)&amp;" ")-1),",","."))-1)/MID(SUBSTITUTE(LEFT(TRIM(C1172),FIND(" ",TRIM(C1172)&amp;" ")-1),",","."),FIND("/",SUBSTITUTE(LEFT(TRIM(C1172),FIND(" ",TRIM(C1172)&amp;" ")-1),",","."))+1,9))*12/52,IF(ISNUMBER(SEARCH("month",C1172)),IFERROR(_xlfn.NUMBERVALUE(SUBSTITUTE(LEFT(TRIM(C1172),FIND(" ",TRIM(C1172)&amp;" ")-1),",","."),"."),LEFT(SUBSTITUTE(LEFT(TRIM(C1172),FIND(" ",TRIM(C1172)&amp;" ")-1),",","."),FIND("/",SUBSTITUTE(LEFT(TRIM(C1172),FIND(" ",TRIM(C1172)&amp;" ")-1),",","."))-1)/MID(SUBSTITUTE(LEFT(TRIM(C1172),FIND(" ",TRIM(C1172)&amp;" ")-1),",","."),FIND("/",SUBSTITUTE(LEFT(TRIM(C1172),FIND(" ",TRIM(C1172)&amp;" ")-1),",","."))+1,9)),IF(ISNUMBER(SEARCH("yea",C1172)),IFERROR(_xlfn.NUMBERVALUE(SUBSTITUTE(LEFT(TRIM(C1172),FIND(" ",TRIM(C1172)&amp;" ")-1),",","."),"."),LEFT(SUBSTITUTE(LEFT(TRIM(C1172),FIND(" ",TRIM(C1172)&amp;" ")-1),",","."),FIND("/",SUBSTITUTE(LEFT(TRIM(C1172),FIND(" ",TRIM(C1172)&amp;" ")-1),",","."))-1)/MID(SUBSTITUTE(LEFT(TRIM(C1172),FIND(" ",TRIM(C1172)&amp;" ")-1),",","."),FIND("/",SUBSTITUTE(LEFT(TRIM(C1172),FIND(" ",TRIM(C1172)&amp;" ")-1),",","."))+1,9))*12,NA()))),0),18)*'Aturan &amp; Tarif'!$B$4,2)</f>
        <v>1022.04</v>
      </c>
      <c r="K1172" s="42" t="n">
        <f aca="false">'Aturan &amp; Tarif'!$B$5</f>
        <v>2050</v>
      </c>
      <c r="L1172" s="35" t="n">
        <f aca="false">I1172+J1172+K1172</f>
        <v>23682.04</v>
      </c>
      <c r="M1172" s="45" t="s">
        <v>2665</v>
      </c>
    </row>
    <row r="1173" customFormat="false" ht="25.5" hidden="false" customHeight="true" outlineLevel="0" collapsed="false">
      <c r="A1173" s="39"/>
      <c r="B1173" s="40" t="s">
        <v>2686</v>
      </c>
      <c r="C1173" s="41" t="s">
        <v>130</v>
      </c>
      <c r="D1173" s="41" t="s">
        <v>108</v>
      </c>
      <c r="E1173" s="42" t="n">
        <v>10305</v>
      </c>
      <c r="F1173" s="42"/>
      <c r="G1173" s="42"/>
      <c r="H1173" s="43" t="n">
        <v>2</v>
      </c>
      <c r="I1173" s="34" t="n">
        <f aca="false">E1173*H1173+N(F1173)+N(G1173)</f>
        <v>20610</v>
      </c>
      <c r="J1173" s="42" t="n">
        <f aca="false">ROUND(IFERROR(ROUND(IF(OR(ISNUMBER(SEARCH("week",C1173)),ISNUMBER(SEARCH("minggu",C1173))),IFERROR(_xlfn.NUMBERVALUE(SUBSTITUTE(LEFT(TRIM(C1173),FIND(" ",TRIM(C1173)&amp;" ")-1),",","."),"."),LEFT(SUBSTITUTE(LEFT(TRIM(C1173),FIND(" ",TRIM(C1173)&amp;" ")-1),",","."),FIND("/",SUBSTITUTE(LEFT(TRIM(C1173),FIND(" ",TRIM(C1173)&amp;" ")-1),",","."))-1)/MID(SUBSTITUTE(LEFT(TRIM(C1173),FIND(" ",TRIM(C1173)&amp;" ")-1),",","."),FIND("/",SUBSTITUTE(LEFT(TRIM(C1173),FIND(" ",TRIM(C1173)&amp;" ")-1),",","."))+1,9))*12/52,IF(ISNUMBER(SEARCH("month",C1173)),IFERROR(_xlfn.NUMBERVALUE(SUBSTITUTE(LEFT(TRIM(C1173),FIND(" ",TRIM(C1173)&amp;" ")-1),",","."),"."),LEFT(SUBSTITUTE(LEFT(TRIM(C1173),FIND(" ",TRIM(C1173)&amp;" ")-1),",","."),FIND("/",SUBSTITUTE(LEFT(TRIM(C1173),FIND(" ",TRIM(C1173)&amp;" ")-1),",","."))-1)/MID(SUBSTITUTE(LEFT(TRIM(C1173),FIND(" ",TRIM(C1173)&amp;" ")-1),",","."),FIND("/",SUBSTITUTE(LEFT(TRIM(C1173),FIND(" ",TRIM(C1173)&amp;" ")-1),",","."))+1,9)),IF(ISNUMBER(SEARCH("yea",C1173)),IFERROR(_xlfn.NUMBERVALUE(SUBSTITUTE(LEFT(TRIM(C1173),FIND(" ",TRIM(C1173)&amp;" ")-1),",","."),"."),LEFT(SUBSTITUTE(LEFT(TRIM(C1173),FIND(" ",TRIM(C1173)&amp;" ")-1),",","."),FIND("/",SUBSTITUTE(LEFT(TRIM(C1173),FIND(" ",TRIM(C1173)&amp;" ")-1),",","."))-1)/MID(SUBSTITUTE(LEFT(TRIM(C1173),FIND(" ",TRIM(C1173)&amp;" ")-1),",","."),FIND("/",SUBSTITUTE(LEFT(TRIM(C1173),FIND(" ",TRIM(C1173)&amp;" ")-1),",","."))+1,9))*12,NA()))),0),12)*'Aturan &amp; Tarif'!$B$4,2)</f>
        <v>681.36</v>
      </c>
      <c r="K1173" s="42" t="n">
        <f aca="false">'Aturan &amp; Tarif'!$B$5</f>
        <v>2050</v>
      </c>
      <c r="L1173" s="35" t="n">
        <f aca="false">I1173+J1173+K1173</f>
        <v>23341.36</v>
      </c>
      <c r="M1173" s="45" t="s">
        <v>2665</v>
      </c>
    </row>
    <row r="1174" customFormat="false" ht="25.5" hidden="false" customHeight="true" outlineLevel="0" collapsed="false">
      <c r="A1174" s="39"/>
      <c r="B1174" s="40" t="s">
        <v>2687</v>
      </c>
      <c r="C1174" s="41" t="s">
        <v>107</v>
      </c>
      <c r="D1174" s="41" t="s">
        <v>108</v>
      </c>
      <c r="E1174" s="42" t="n">
        <v>10305</v>
      </c>
      <c r="F1174" s="42"/>
      <c r="G1174" s="42"/>
      <c r="H1174" s="43" t="n">
        <v>2</v>
      </c>
      <c r="I1174" s="34" t="n">
        <f aca="false">E1174*H1174+N(F1174)+N(G1174)</f>
        <v>20610</v>
      </c>
      <c r="J1174" s="42" t="n">
        <f aca="false">ROUND(IFERROR(ROUND(IF(OR(ISNUMBER(SEARCH("week",C1174)),ISNUMBER(SEARCH("minggu",C1174))),IFERROR(_xlfn.NUMBERVALUE(SUBSTITUTE(LEFT(TRIM(C1174),FIND(" ",TRIM(C1174)&amp;" ")-1),",","."),"."),LEFT(SUBSTITUTE(LEFT(TRIM(C1174),FIND(" ",TRIM(C1174)&amp;" ")-1),",","."),FIND("/",SUBSTITUTE(LEFT(TRIM(C1174),FIND(" ",TRIM(C1174)&amp;" ")-1),",","."))-1)/MID(SUBSTITUTE(LEFT(TRIM(C1174),FIND(" ",TRIM(C1174)&amp;" ")-1),",","."),FIND("/",SUBSTITUTE(LEFT(TRIM(C1174),FIND(" ",TRIM(C1174)&amp;" ")-1),",","."))+1,9))*12/52,IF(ISNUMBER(SEARCH("month",C1174)),IFERROR(_xlfn.NUMBERVALUE(SUBSTITUTE(LEFT(TRIM(C1174),FIND(" ",TRIM(C1174)&amp;" ")-1),",","."),"."),LEFT(SUBSTITUTE(LEFT(TRIM(C1174),FIND(" ",TRIM(C1174)&amp;" ")-1),",","."),FIND("/",SUBSTITUTE(LEFT(TRIM(C1174),FIND(" ",TRIM(C1174)&amp;" ")-1),",","."))-1)/MID(SUBSTITUTE(LEFT(TRIM(C1174),FIND(" ",TRIM(C1174)&amp;" ")-1),",","."),FIND("/",SUBSTITUTE(LEFT(TRIM(C1174),FIND(" ",TRIM(C1174)&amp;" ")-1),",","."))+1,9)),IF(ISNUMBER(SEARCH("yea",C1174)),IFERROR(_xlfn.NUMBERVALUE(SUBSTITUTE(LEFT(TRIM(C1174),FIND(" ",TRIM(C1174)&amp;" ")-1),",","."),"."),LEFT(SUBSTITUTE(LEFT(TRIM(C1174),FIND(" ",TRIM(C1174)&amp;" ")-1),",","."),FIND("/",SUBSTITUTE(LEFT(TRIM(C1174),FIND(" ",TRIM(C1174)&amp;" ")-1),",","."))-1)/MID(SUBSTITUTE(LEFT(TRIM(C1174),FIND(" ",TRIM(C1174)&amp;" ")-1),",","."),FIND("/",SUBSTITUTE(LEFT(TRIM(C1174),FIND(" ",TRIM(C1174)&amp;" ")-1),",","."))+1,9))*12,NA()))),0),24)*'Aturan &amp; Tarif'!$B$4,2)</f>
        <v>1362.72</v>
      </c>
      <c r="K1174" s="42" t="n">
        <f aca="false">'Aturan &amp; Tarif'!$B$5</f>
        <v>2050</v>
      </c>
      <c r="L1174" s="35" t="n">
        <f aca="false">I1174+J1174+K1174</f>
        <v>24022.72</v>
      </c>
      <c r="M1174" s="45" t="s">
        <v>2665</v>
      </c>
    </row>
    <row r="1175" customFormat="false" ht="25.5" hidden="false" customHeight="true" outlineLevel="0" collapsed="false">
      <c r="A1175" s="39"/>
      <c r="B1175" s="40" t="s">
        <v>2688</v>
      </c>
      <c r="C1175" s="41" t="s">
        <v>344</v>
      </c>
      <c r="D1175" s="41" t="s">
        <v>108</v>
      </c>
      <c r="E1175" s="42" t="n">
        <v>5153</v>
      </c>
      <c r="F1175" s="42"/>
      <c r="G1175" s="42"/>
      <c r="H1175" s="43" t="n">
        <v>2</v>
      </c>
      <c r="I1175" s="34" t="n">
        <f aca="false">E1175*H1175+N(F1175)+N(G1175)</f>
        <v>10306</v>
      </c>
      <c r="J1175" s="42" t="n">
        <f aca="false">ROUND(IFERROR(ROUND(IF(OR(ISNUMBER(SEARCH("week",C1175)),ISNUMBER(SEARCH("minggu",C1175))),IFERROR(_xlfn.NUMBERVALUE(SUBSTITUTE(LEFT(TRIM(C1175),FIND(" ",TRIM(C1175)&amp;" ")-1),",","."),"."),LEFT(SUBSTITUTE(LEFT(TRIM(C1175),FIND(" ",TRIM(C1175)&amp;" ")-1),",","."),FIND("/",SUBSTITUTE(LEFT(TRIM(C1175),FIND(" ",TRIM(C1175)&amp;" ")-1),",","."))-1)/MID(SUBSTITUTE(LEFT(TRIM(C1175),FIND(" ",TRIM(C1175)&amp;" ")-1),",","."),FIND("/",SUBSTITUTE(LEFT(TRIM(C1175),FIND(" ",TRIM(C1175)&amp;" ")-1),",","."))+1,9))*12/52,IF(ISNUMBER(SEARCH("month",C1175)),IFERROR(_xlfn.NUMBERVALUE(SUBSTITUTE(LEFT(TRIM(C1175),FIND(" ",TRIM(C1175)&amp;" ")-1),",","."),"."),LEFT(SUBSTITUTE(LEFT(TRIM(C1175),FIND(" ",TRIM(C1175)&amp;" ")-1),",","."),FIND("/",SUBSTITUTE(LEFT(TRIM(C1175),FIND(" ",TRIM(C1175)&amp;" ")-1),",","."))-1)/MID(SUBSTITUTE(LEFT(TRIM(C1175),FIND(" ",TRIM(C1175)&amp;" ")-1),",","."),FIND("/",SUBSTITUTE(LEFT(TRIM(C1175),FIND(" ",TRIM(C1175)&amp;" ")-1),",","."))+1,9)),IF(ISNUMBER(SEARCH("yea",C1175)),IFERROR(_xlfn.NUMBERVALUE(SUBSTITUTE(LEFT(TRIM(C1175),FIND(" ",TRIM(C1175)&amp;" ")-1),",","."),"."),LEFT(SUBSTITUTE(LEFT(TRIM(C1175),FIND(" ",TRIM(C1175)&amp;" ")-1),",","."),FIND("/",SUBSTITUTE(LEFT(TRIM(C1175),FIND(" ",TRIM(C1175)&amp;" ")-1),",","."))-1)/MID(SUBSTITUTE(LEFT(TRIM(C1175),FIND(" ",TRIM(C1175)&amp;" ")-1),",","."),FIND("/",SUBSTITUTE(LEFT(TRIM(C1175),FIND(" ",TRIM(C1175)&amp;" ")-1),",","."))+1,9))*12,NA()))),0),6)*'Aturan &amp; Tarif'!$B$4,2)</f>
        <v>340.68</v>
      </c>
      <c r="K1175" s="42" t="n">
        <f aca="false">'Aturan &amp; Tarif'!$B$5</f>
        <v>2050</v>
      </c>
      <c r="L1175" s="35" t="n">
        <f aca="false">I1175+J1175+K1175</f>
        <v>12696.68</v>
      </c>
      <c r="M1175" s="45" t="s">
        <v>2665</v>
      </c>
    </row>
    <row r="1176" customFormat="false" ht="25.5" hidden="false" customHeight="true" outlineLevel="0" collapsed="false">
      <c r="A1176" s="39"/>
      <c r="B1176" s="40" t="s">
        <v>2689</v>
      </c>
      <c r="C1176" s="41" t="s">
        <v>130</v>
      </c>
      <c r="D1176" s="41" t="s">
        <v>108</v>
      </c>
      <c r="E1176" s="42" t="n">
        <v>10305</v>
      </c>
      <c r="F1176" s="42"/>
      <c r="G1176" s="42"/>
      <c r="H1176" s="43" t="n">
        <v>2</v>
      </c>
      <c r="I1176" s="34" t="n">
        <f aca="false">E1176*H1176+N(F1176)+N(G1176)</f>
        <v>20610</v>
      </c>
      <c r="J1176" s="42" t="n">
        <f aca="false">ROUND(IFERROR(ROUND(IF(OR(ISNUMBER(SEARCH("week",C1176)),ISNUMBER(SEARCH("minggu",C1176))),IFERROR(_xlfn.NUMBERVALUE(SUBSTITUTE(LEFT(TRIM(C1176),FIND(" ",TRIM(C1176)&amp;" ")-1),",","."),"."),LEFT(SUBSTITUTE(LEFT(TRIM(C1176),FIND(" ",TRIM(C1176)&amp;" ")-1),",","."),FIND("/",SUBSTITUTE(LEFT(TRIM(C1176),FIND(" ",TRIM(C1176)&amp;" ")-1),",","."))-1)/MID(SUBSTITUTE(LEFT(TRIM(C1176),FIND(" ",TRIM(C1176)&amp;" ")-1),",","."),FIND("/",SUBSTITUTE(LEFT(TRIM(C1176),FIND(" ",TRIM(C1176)&amp;" ")-1),",","."))+1,9))*12/52,IF(ISNUMBER(SEARCH("month",C1176)),IFERROR(_xlfn.NUMBERVALUE(SUBSTITUTE(LEFT(TRIM(C1176),FIND(" ",TRIM(C1176)&amp;" ")-1),",","."),"."),LEFT(SUBSTITUTE(LEFT(TRIM(C1176),FIND(" ",TRIM(C1176)&amp;" ")-1),",","."),FIND("/",SUBSTITUTE(LEFT(TRIM(C1176),FIND(" ",TRIM(C1176)&amp;" ")-1),",","."))-1)/MID(SUBSTITUTE(LEFT(TRIM(C1176),FIND(" ",TRIM(C1176)&amp;" ")-1),",","."),FIND("/",SUBSTITUTE(LEFT(TRIM(C1176),FIND(" ",TRIM(C1176)&amp;" ")-1),",","."))+1,9)),IF(ISNUMBER(SEARCH("yea",C1176)),IFERROR(_xlfn.NUMBERVALUE(SUBSTITUTE(LEFT(TRIM(C1176),FIND(" ",TRIM(C1176)&amp;" ")-1),",","."),"."),LEFT(SUBSTITUTE(LEFT(TRIM(C1176),FIND(" ",TRIM(C1176)&amp;" ")-1),",","."),FIND("/",SUBSTITUTE(LEFT(TRIM(C1176),FIND(" ",TRIM(C1176)&amp;" ")-1),",","."))-1)/MID(SUBSTITUTE(LEFT(TRIM(C1176),FIND(" ",TRIM(C1176)&amp;" ")-1),",","."),FIND("/",SUBSTITUTE(LEFT(TRIM(C1176),FIND(" ",TRIM(C1176)&amp;" ")-1),",","."))+1,9))*12,NA()))),0),12)*'Aturan &amp; Tarif'!$B$4,2)</f>
        <v>681.36</v>
      </c>
      <c r="K1176" s="42" t="n">
        <f aca="false">'Aturan &amp; Tarif'!$B$5</f>
        <v>2050</v>
      </c>
      <c r="L1176" s="35" t="n">
        <f aca="false">I1176+J1176+K1176</f>
        <v>23341.36</v>
      </c>
      <c r="M1176" s="45" t="s">
        <v>2665</v>
      </c>
    </row>
    <row r="1177" customFormat="false" ht="25.5" hidden="false" customHeight="true" outlineLevel="0" collapsed="false">
      <c r="A1177" s="39"/>
      <c r="B1177" s="40" t="s">
        <v>2690</v>
      </c>
      <c r="C1177" s="41" t="s">
        <v>107</v>
      </c>
      <c r="D1177" s="41" t="s">
        <v>108</v>
      </c>
      <c r="E1177" s="42" t="n">
        <v>10305</v>
      </c>
      <c r="F1177" s="42"/>
      <c r="G1177" s="42"/>
      <c r="H1177" s="43" t="n">
        <v>2</v>
      </c>
      <c r="I1177" s="34" t="n">
        <f aca="false">E1177*H1177+N(F1177)+N(G1177)</f>
        <v>20610</v>
      </c>
      <c r="J1177" s="42" t="n">
        <f aca="false">ROUND(IFERROR(ROUND(IF(OR(ISNUMBER(SEARCH("week",C1177)),ISNUMBER(SEARCH("minggu",C1177))),IFERROR(_xlfn.NUMBERVALUE(SUBSTITUTE(LEFT(TRIM(C1177),FIND(" ",TRIM(C1177)&amp;" ")-1),",","."),"."),LEFT(SUBSTITUTE(LEFT(TRIM(C1177),FIND(" ",TRIM(C1177)&amp;" ")-1),",","."),FIND("/",SUBSTITUTE(LEFT(TRIM(C1177),FIND(" ",TRIM(C1177)&amp;" ")-1),",","."))-1)/MID(SUBSTITUTE(LEFT(TRIM(C1177),FIND(" ",TRIM(C1177)&amp;" ")-1),",","."),FIND("/",SUBSTITUTE(LEFT(TRIM(C1177),FIND(" ",TRIM(C1177)&amp;" ")-1),",","."))+1,9))*12/52,IF(ISNUMBER(SEARCH("month",C1177)),IFERROR(_xlfn.NUMBERVALUE(SUBSTITUTE(LEFT(TRIM(C1177),FIND(" ",TRIM(C1177)&amp;" ")-1),",","."),"."),LEFT(SUBSTITUTE(LEFT(TRIM(C1177),FIND(" ",TRIM(C1177)&amp;" ")-1),",","."),FIND("/",SUBSTITUTE(LEFT(TRIM(C1177),FIND(" ",TRIM(C1177)&amp;" ")-1),",","."))-1)/MID(SUBSTITUTE(LEFT(TRIM(C1177),FIND(" ",TRIM(C1177)&amp;" ")-1),",","."),FIND("/",SUBSTITUTE(LEFT(TRIM(C1177),FIND(" ",TRIM(C1177)&amp;" ")-1),",","."))+1,9)),IF(ISNUMBER(SEARCH("yea",C1177)),IFERROR(_xlfn.NUMBERVALUE(SUBSTITUTE(LEFT(TRIM(C1177),FIND(" ",TRIM(C1177)&amp;" ")-1),",","."),"."),LEFT(SUBSTITUTE(LEFT(TRIM(C1177),FIND(" ",TRIM(C1177)&amp;" ")-1),",","."),FIND("/",SUBSTITUTE(LEFT(TRIM(C1177),FIND(" ",TRIM(C1177)&amp;" ")-1),",","."))-1)/MID(SUBSTITUTE(LEFT(TRIM(C1177),FIND(" ",TRIM(C1177)&amp;" ")-1),",","."),FIND("/",SUBSTITUTE(LEFT(TRIM(C1177),FIND(" ",TRIM(C1177)&amp;" ")-1),",","."))+1,9))*12,NA()))),0),24)*'Aturan &amp; Tarif'!$B$4,2)</f>
        <v>1362.72</v>
      </c>
      <c r="K1177" s="42" t="n">
        <f aca="false">'Aturan &amp; Tarif'!$B$5</f>
        <v>2050</v>
      </c>
      <c r="L1177" s="35" t="n">
        <f aca="false">I1177+J1177+K1177</f>
        <v>24022.72</v>
      </c>
      <c r="M1177" s="45" t="s">
        <v>2665</v>
      </c>
    </row>
    <row r="1178" customFormat="false" ht="25.5" hidden="false" customHeight="true" outlineLevel="0" collapsed="false">
      <c r="A1178" s="39"/>
      <c r="B1178" s="40" t="s">
        <v>2691</v>
      </c>
      <c r="C1178" s="41" t="s">
        <v>107</v>
      </c>
      <c r="D1178" s="41" t="s">
        <v>108</v>
      </c>
      <c r="E1178" s="42" t="n">
        <v>10305</v>
      </c>
      <c r="F1178" s="42"/>
      <c r="G1178" s="42"/>
      <c r="H1178" s="43" t="n">
        <v>2</v>
      </c>
      <c r="I1178" s="34" t="n">
        <f aca="false">E1178*H1178+N(F1178)+N(G1178)</f>
        <v>20610</v>
      </c>
      <c r="J1178" s="42" t="n">
        <f aca="false">ROUND(IFERROR(ROUND(IF(OR(ISNUMBER(SEARCH("week",C1178)),ISNUMBER(SEARCH("minggu",C1178))),IFERROR(_xlfn.NUMBERVALUE(SUBSTITUTE(LEFT(TRIM(C1178),FIND(" ",TRIM(C1178)&amp;" ")-1),",","."),"."),LEFT(SUBSTITUTE(LEFT(TRIM(C1178),FIND(" ",TRIM(C1178)&amp;" ")-1),",","."),FIND("/",SUBSTITUTE(LEFT(TRIM(C1178),FIND(" ",TRIM(C1178)&amp;" ")-1),",","."))-1)/MID(SUBSTITUTE(LEFT(TRIM(C1178),FIND(" ",TRIM(C1178)&amp;" ")-1),",","."),FIND("/",SUBSTITUTE(LEFT(TRIM(C1178),FIND(" ",TRIM(C1178)&amp;" ")-1),",","."))+1,9))*12/52,IF(ISNUMBER(SEARCH("month",C1178)),IFERROR(_xlfn.NUMBERVALUE(SUBSTITUTE(LEFT(TRIM(C1178),FIND(" ",TRIM(C1178)&amp;" ")-1),",","."),"."),LEFT(SUBSTITUTE(LEFT(TRIM(C1178),FIND(" ",TRIM(C1178)&amp;" ")-1),",","."),FIND("/",SUBSTITUTE(LEFT(TRIM(C1178),FIND(" ",TRIM(C1178)&amp;" ")-1),",","."))-1)/MID(SUBSTITUTE(LEFT(TRIM(C1178),FIND(" ",TRIM(C1178)&amp;" ")-1),",","."),FIND("/",SUBSTITUTE(LEFT(TRIM(C1178),FIND(" ",TRIM(C1178)&amp;" ")-1),",","."))+1,9)),IF(ISNUMBER(SEARCH("yea",C1178)),IFERROR(_xlfn.NUMBERVALUE(SUBSTITUTE(LEFT(TRIM(C1178),FIND(" ",TRIM(C1178)&amp;" ")-1),",","."),"."),LEFT(SUBSTITUTE(LEFT(TRIM(C1178),FIND(" ",TRIM(C1178)&amp;" ")-1),",","."),FIND("/",SUBSTITUTE(LEFT(TRIM(C1178),FIND(" ",TRIM(C1178)&amp;" ")-1),",","."))-1)/MID(SUBSTITUTE(LEFT(TRIM(C1178),FIND(" ",TRIM(C1178)&amp;" ")-1),",","."),FIND("/",SUBSTITUTE(LEFT(TRIM(C1178),FIND(" ",TRIM(C1178)&amp;" ")-1),",","."))+1,9))*12,NA()))),0),24)*'Aturan &amp; Tarif'!$B$4,2)</f>
        <v>1362.72</v>
      </c>
      <c r="K1178" s="42" t="n">
        <f aca="false">'Aturan &amp; Tarif'!$B$5</f>
        <v>2050</v>
      </c>
      <c r="L1178" s="35" t="n">
        <f aca="false">I1178+J1178+K1178</f>
        <v>24022.72</v>
      </c>
      <c r="M1178" s="45" t="s">
        <v>2665</v>
      </c>
    </row>
    <row r="1179" customFormat="false" ht="25.5" hidden="false" customHeight="true" outlineLevel="0" collapsed="false">
      <c r="A1179" s="39"/>
      <c r="B1179" s="40" t="s">
        <v>2692</v>
      </c>
      <c r="C1179" s="41" t="s">
        <v>107</v>
      </c>
      <c r="D1179" s="41" t="s">
        <v>108</v>
      </c>
      <c r="E1179" s="42" t="n">
        <v>10305</v>
      </c>
      <c r="F1179" s="42"/>
      <c r="G1179" s="42"/>
      <c r="H1179" s="43" t="n">
        <v>2</v>
      </c>
      <c r="I1179" s="34" t="n">
        <f aca="false">E1179*H1179+N(F1179)+N(G1179)</f>
        <v>20610</v>
      </c>
      <c r="J1179" s="42" t="n">
        <f aca="false">ROUND(IFERROR(ROUND(IF(OR(ISNUMBER(SEARCH("week",C1179)),ISNUMBER(SEARCH("minggu",C1179))),IFERROR(_xlfn.NUMBERVALUE(SUBSTITUTE(LEFT(TRIM(C1179),FIND(" ",TRIM(C1179)&amp;" ")-1),",","."),"."),LEFT(SUBSTITUTE(LEFT(TRIM(C1179),FIND(" ",TRIM(C1179)&amp;" ")-1),",","."),FIND("/",SUBSTITUTE(LEFT(TRIM(C1179),FIND(" ",TRIM(C1179)&amp;" ")-1),",","."))-1)/MID(SUBSTITUTE(LEFT(TRIM(C1179),FIND(" ",TRIM(C1179)&amp;" ")-1),",","."),FIND("/",SUBSTITUTE(LEFT(TRIM(C1179),FIND(" ",TRIM(C1179)&amp;" ")-1),",","."))+1,9))*12/52,IF(ISNUMBER(SEARCH("month",C1179)),IFERROR(_xlfn.NUMBERVALUE(SUBSTITUTE(LEFT(TRIM(C1179),FIND(" ",TRIM(C1179)&amp;" ")-1),",","."),"."),LEFT(SUBSTITUTE(LEFT(TRIM(C1179),FIND(" ",TRIM(C1179)&amp;" ")-1),",","."),FIND("/",SUBSTITUTE(LEFT(TRIM(C1179),FIND(" ",TRIM(C1179)&amp;" ")-1),",","."))-1)/MID(SUBSTITUTE(LEFT(TRIM(C1179),FIND(" ",TRIM(C1179)&amp;" ")-1),",","."),FIND("/",SUBSTITUTE(LEFT(TRIM(C1179),FIND(" ",TRIM(C1179)&amp;" ")-1),",","."))+1,9)),IF(ISNUMBER(SEARCH("yea",C1179)),IFERROR(_xlfn.NUMBERVALUE(SUBSTITUTE(LEFT(TRIM(C1179),FIND(" ",TRIM(C1179)&amp;" ")-1),",","."),"."),LEFT(SUBSTITUTE(LEFT(TRIM(C1179),FIND(" ",TRIM(C1179)&amp;" ")-1),",","."),FIND("/",SUBSTITUTE(LEFT(TRIM(C1179),FIND(" ",TRIM(C1179)&amp;" ")-1),",","."))-1)/MID(SUBSTITUTE(LEFT(TRIM(C1179),FIND(" ",TRIM(C1179)&amp;" ")-1),",","."),FIND("/",SUBSTITUTE(LEFT(TRIM(C1179),FIND(" ",TRIM(C1179)&amp;" ")-1),",","."))+1,9))*12,NA()))),0),24)*'Aturan &amp; Tarif'!$B$4,2)</f>
        <v>1362.72</v>
      </c>
      <c r="K1179" s="42" t="n">
        <f aca="false">'Aturan &amp; Tarif'!$B$5</f>
        <v>2050</v>
      </c>
      <c r="L1179" s="35" t="n">
        <f aca="false">I1179+J1179+K1179</f>
        <v>24022.72</v>
      </c>
      <c r="M1179" s="45" t="s">
        <v>2665</v>
      </c>
    </row>
    <row r="1180" customFormat="false" ht="25.5" hidden="false" customHeight="true" outlineLevel="0" collapsed="false">
      <c r="A1180" s="39"/>
      <c r="B1180" s="40" t="s">
        <v>2693</v>
      </c>
      <c r="C1180" s="41" t="s">
        <v>130</v>
      </c>
      <c r="D1180" s="41" t="s">
        <v>108</v>
      </c>
      <c r="E1180" s="42" t="n">
        <v>10305</v>
      </c>
      <c r="F1180" s="42"/>
      <c r="G1180" s="42"/>
      <c r="H1180" s="43" t="n">
        <v>2</v>
      </c>
      <c r="I1180" s="34" t="n">
        <f aca="false">E1180*H1180+N(F1180)+N(G1180)</f>
        <v>20610</v>
      </c>
      <c r="J1180" s="42" t="n">
        <f aca="false">ROUND(IFERROR(ROUND(IF(OR(ISNUMBER(SEARCH("week",C1180)),ISNUMBER(SEARCH("minggu",C1180))),IFERROR(_xlfn.NUMBERVALUE(SUBSTITUTE(LEFT(TRIM(C1180),FIND(" ",TRIM(C1180)&amp;" ")-1),",","."),"."),LEFT(SUBSTITUTE(LEFT(TRIM(C1180),FIND(" ",TRIM(C1180)&amp;" ")-1),",","."),FIND("/",SUBSTITUTE(LEFT(TRIM(C1180),FIND(" ",TRIM(C1180)&amp;" ")-1),",","."))-1)/MID(SUBSTITUTE(LEFT(TRIM(C1180),FIND(" ",TRIM(C1180)&amp;" ")-1),",","."),FIND("/",SUBSTITUTE(LEFT(TRIM(C1180),FIND(" ",TRIM(C1180)&amp;" ")-1),",","."))+1,9))*12/52,IF(ISNUMBER(SEARCH("month",C1180)),IFERROR(_xlfn.NUMBERVALUE(SUBSTITUTE(LEFT(TRIM(C1180),FIND(" ",TRIM(C1180)&amp;" ")-1),",","."),"."),LEFT(SUBSTITUTE(LEFT(TRIM(C1180),FIND(" ",TRIM(C1180)&amp;" ")-1),",","."),FIND("/",SUBSTITUTE(LEFT(TRIM(C1180),FIND(" ",TRIM(C1180)&amp;" ")-1),",","."))-1)/MID(SUBSTITUTE(LEFT(TRIM(C1180),FIND(" ",TRIM(C1180)&amp;" ")-1),",","."),FIND("/",SUBSTITUTE(LEFT(TRIM(C1180),FIND(" ",TRIM(C1180)&amp;" ")-1),",","."))+1,9)),IF(ISNUMBER(SEARCH("yea",C1180)),IFERROR(_xlfn.NUMBERVALUE(SUBSTITUTE(LEFT(TRIM(C1180),FIND(" ",TRIM(C1180)&amp;" ")-1),",","."),"."),LEFT(SUBSTITUTE(LEFT(TRIM(C1180),FIND(" ",TRIM(C1180)&amp;" ")-1),",","."),FIND("/",SUBSTITUTE(LEFT(TRIM(C1180),FIND(" ",TRIM(C1180)&amp;" ")-1),",","."))-1)/MID(SUBSTITUTE(LEFT(TRIM(C1180),FIND(" ",TRIM(C1180)&amp;" ")-1),",","."),FIND("/",SUBSTITUTE(LEFT(TRIM(C1180),FIND(" ",TRIM(C1180)&amp;" ")-1),",","."))+1,9))*12,NA()))),0),12)*'Aturan &amp; Tarif'!$B$4,2)</f>
        <v>681.36</v>
      </c>
      <c r="K1180" s="42" t="n">
        <f aca="false">'Aturan &amp; Tarif'!$B$5</f>
        <v>2050</v>
      </c>
      <c r="L1180" s="35" t="n">
        <f aca="false">I1180+J1180+K1180</f>
        <v>23341.36</v>
      </c>
      <c r="M1180" s="45" t="s">
        <v>2665</v>
      </c>
    </row>
    <row r="1181" customFormat="false" ht="25.5" hidden="false" customHeight="true" outlineLevel="0" collapsed="false">
      <c r="A1181" s="39"/>
      <c r="B1181" s="40" t="s">
        <v>2694</v>
      </c>
      <c r="C1181" s="41" t="s">
        <v>107</v>
      </c>
      <c r="D1181" s="41" t="s">
        <v>108</v>
      </c>
      <c r="E1181" s="42" t="n">
        <v>9314</v>
      </c>
      <c r="F1181" s="42"/>
      <c r="G1181" s="42"/>
      <c r="H1181" s="43" t="n">
        <v>2</v>
      </c>
      <c r="I1181" s="34" t="n">
        <f aca="false">E1181*H1181+N(F1181)+N(G1181)</f>
        <v>18628</v>
      </c>
      <c r="J1181" s="42" t="n">
        <f aca="false">ROUND(IFERROR(ROUND(IF(OR(ISNUMBER(SEARCH("week",C1181)),ISNUMBER(SEARCH("minggu",C1181))),IFERROR(_xlfn.NUMBERVALUE(SUBSTITUTE(LEFT(TRIM(C1181),FIND(" ",TRIM(C1181)&amp;" ")-1),",","."),"."),LEFT(SUBSTITUTE(LEFT(TRIM(C1181),FIND(" ",TRIM(C1181)&amp;" ")-1),",","."),FIND("/",SUBSTITUTE(LEFT(TRIM(C1181),FIND(" ",TRIM(C1181)&amp;" ")-1),",","."))-1)/MID(SUBSTITUTE(LEFT(TRIM(C1181),FIND(" ",TRIM(C1181)&amp;" ")-1),",","."),FIND("/",SUBSTITUTE(LEFT(TRIM(C1181),FIND(" ",TRIM(C1181)&amp;" ")-1),",","."))+1,9))*12/52,IF(ISNUMBER(SEARCH("month",C1181)),IFERROR(_xlfn.NUMBERVALUE(SUBSTITUTE(LEFT(TRIM(C1181),FIND(" ",TRIM(C1181)&amp;" ")-1),",","."),"."),LEFT(SUBSTITUTE(LEFT(TRIM(C1181),FIND(" ",TRIM(C1181)&amp;" ")-1),",","."),FIND("/",SUBSTITUTE(LEFT(TRIM(C1181),FIND(" ",TRIM(C1181)&amp;" ")-1),",","."))-1)/MID(SUBSTITUTE(LEFT(TRIM(C1181),FIND(" ",TRIM(C1181)&amp;" ")-1),",","."),FIND("/",SUBSTITUTE(LEFT(TRIM(C1181),FIND(" ",TRIM(C1181)&amp;" ")-1),",","."))+1,9)),IF(ISNUMBER(SEARCH("yea",C1181)),IFERROR(_xlfn.NUMBERVALUE(SUBSTITUTE(LEFT(TRIM(C1181),FIND(" ",TRIM(C1181)&amp;" ")-1),",","."),"."),LEFT(SUBSTITUTE(LEFT(TRIM(C1181),FIND(" ",TRIM(C1181)&amp;" ")-1),",","."),FIND("/",SUBSTITUTE(LEFT(TRIM(C1181),FIND(" ",TRIM(C1181)&amp;" ")-1),",","."))-1)/MID(SUBSTITUTE(LEFT(TRIM(C1181),FIND(" ",TRIM(C1181)&amp;" ")-1),",","."),FIND("/",SUBSTITUTE(LEFT(TRIM(C1181),FIND(" ",TRIM(C1181)&amp;" ")-1),",","."))+1,9))*12,NA()))),0),24)*'Aturan &amp; Tarif'!$B$4,2)</f>
        <v>1362.72</v>
      </c>
      <c r="K1181" s="42" t="n">
        <f aca="false">'Aturan &amp; Tarif'!$B$5</f>
        <v>2050</v>
      </c>
      <c r="L1181" s="35" t="n">
        <f aca="false">I1181+J1181+K1181</f>
        <v>22040.72</v>
      </c>
      <c r="M1181" s="45" t="s">
        <v>2665</v>
      </c>
    </row>
    <row r="1182" customFormat="false" ht="25.5" hidden="false" customHeight="true" outlineLevel="0" collapsed="false">
      <c r="A1182" s="39"/>
      <c r="B1182" s="40" t="s">
        <v>2695</v>
      </c>
      <c r="C1182" s="41" t="s">
        <v>130</v>
      </c>
      <c r="D1182" s="41" t="s">
        <v>108</v>
      </c>
      <c r="E1182" s="42" t="n">
        <v>9314</v>
      </c>
      <c r="F1182" s="42"/>
      <c r="G1182" s="42"/>
      <c r="H1182" s="43" t="n">
        <v>2</v>
      </c>
      <c r="I1182" s="34" t="n">
        <f aca="false">E1182*H1182+N(F1182)+N(G1182)</f>
        <v>18628</v>
      </c>
      <c r="J1182" s="42" t="n">
        <f aca="false">ROUND(IFERROR(ROUND(IF(OR(ISNUMBER(SEARCH("week",C1182)),ISNUMBER(SEARCH("minggu",C1182))),IFERROR(_xlfn.NUMBERVALUE(SUBSTITUTE(LEFT(TRIM(C1182),FIND(" ",TRIM(C1182)&amp;" ")-1),",","."),"."),LEFT(SUBSTITUTE(LEFT(TRIM(C1182),FIND(" ",TRIM(C1182)&amp;" ")-1),",","."),FIND("/",SUBSTITUTE(LEFT(TRIM(C1182),FIND(" ",TRIM(C1182)&amp;" ")-1),",","."))-1)/MID(SUBSTITUTE(LEFT(TRIM(C1182),FIND(" ",TRIM(C1182)&amp;" ")-1),",","."),FIND("/",SUBSTITUTE(LEFT(TRIM(C1182),FIND(" ",TRIM(C1182)&amp;" ")-1),",","."))+1,9))*12/52,IF(ISNUMBER(SEARCH("month",C1182)),IFERROR(_xlfn.NUMBERVALUE(SUBSTITUTE(LEFT(TRIM(C1182),FIND(" ",TRIM(C1182)&amp;" ")-1),",","."),"."),LEFT(SUBSTITUTE(LEFT(TRIM(C1182),FIND(" ",TRIM(C1182)&amp;" ")-1),",","."),FIND("/",SUBSTITUTE(LEFT(TRIM(C1182),FIND(" ",TRIM(C1182)&amp;" ")-1),",","."))-1)/MID(SUBSTITUTE(LEFT(TRIM(C1182),FIND(" ",TRIM(C1182)&amp;" ")-1),",","."),FIND("/",SUBSTITUTE(LEFT(TRIM(C1182),FIND(" ",TRIM(C1182)&amp;" ")-1),",","."))+1,9)),IF(ISNUMBER(SEARCH("yea",C1182)),IFERROR(_xlfn.NUMBERVALUE(SUBSTITUTE(LEFT(TRIM(C1182),FIND(" ",TRIM(C1182)&amp;" ")-1),",","."),"."),LEFT(SUBSTITUTE(LEFT(TRIM(C1182),FIND(" ",TRIM(C1182)&amp;" ")-1),",","."),FIND("/",SUBSTITUTE(LEFT(TRIM(C1182),FIND(" ",TRIM(C1182)&amp;" ")-1),",","."))-1)/MID(SUBSTITUTE(LEFT(TRIM(C1182),FIND(" ",TRIM(C1182)&amp;" ")-1),",","."),FIND("/",SUBSTITUTE(LEFT(TRIM(C1182),FIND(" ",TRIM(C1182)&amp;" ")-1),",","."))+1,9))*12,NA()))),0),12)*'Aturan &amp; Tarif'!$B$4,2)</f>
        <v>681.36</v>
      </c>
      <c r="K1182" s="42" t="n">
        <f aca="false">'Aturan &amp; Tarif'!$B$5</f>
        <v>2050</v>
      </c>
      <c r="L1182" s="35" t="n">
        <f aca="false">I1182+J1182+K1182</f>
        <v>21359.36</v>
      </c>
      <c r="M1182" s="45" t="s">
        <v>2665</v>
      </c>
    </row>
    <row r="1183" customFormat="false" ht="25.5" hidden="false" customHeight="true" outlineLevel="0" collapsed="false">
      <c r="A1183" s="39"/>
      <c r="B1183" s="40" t="s">
        <v>2696</v>
      </c>
      <c r="C1183" s="41" t="s">
        <v>344</v>
      </c>
      <c r="D1183" s="41" t="s">
        <v>108</v>
      </c>
      <c r="E1183" s="42" t="n">
        <v>9314</v>
      </c>
      <c r="F1183" s="42"/>
      <c r="G1183" s="42"/>
      <c r="H1183" s="43" t="n">
        <v>2</v>
      </c>
      <c r="I1183" s="34" t="n">
        <f aca="false">E1183*H1183+N(F1183)+N(G1183)</f>
        <v>18628</v>
      </c>
      <c r="J1183" s="42" t="n">
        <f aca="false">ROUND(IFERROR(ROUND(IF(OR(ISNUMBER(SEARCH("week",C1183)),ISNUMBER(SEARCH("minggu",C1183))),IFERROR(_xlfn.NUMBERVALUE(SUBSTITUTE(LEFT(TRIM(C1183),FIND(" ",TRIM(C1183)&amp;" ")-1),",","."),"."),LEFT(SUBSTITUTE(LEFT(TRIM(C1183),FIND(" ",TRIM(C1183)&amp;" ")-1),",","."),FIND("/",SUBSTITUTE(LEFT(TRIM(C1183),FIND(" ",TRIM(C1183)&amp;" ")-1),",","."))-1)/MID(SUBSTITUTE(LEFT(TRIM(C1183),FIND(" ",TRIM(C1183)&amp;" ")-1),",","."),FIND("/",SUBSTITUTE(LEFT(TRIM(C1183),FIND(" ",TRIM(C1183)&amp;" ")-1),",","."))+1,9))*12/52,IF(ISNUMBER(SEARCH("month",C1183)),IFERROR(_xlfn.NUMBERVALUE(SUBSTITUTE(LEFT(TRIM(C1183),FIND(" ",TRIM(C1183)&amp;" ")-1),",","."),"."),LEFT(SUBSTITUTE(LEFT(TRIM(C1183),FIND(" ",TRIM(C1183)&amp;" ")-1),",","."),FIND("/",SUBSTITUTE(LEFT(TRIM(C1183),FIND(" ",TRIM(C1183)&amp;" ")-1),",","."))-1)/MID(SUBSTITUTE(LEFT(TRIM(C1183),FIND(" ",TRIM(C1183)&amp;" ")-1),",","."),FIND("/",SUBSTITUTE(LEFT(TRIM(C1183),FIND(" ",TRIM(C1183)&amp;" ")-1),",","."))+1,9)),IF(ISNUMBER(SEARCH("yea",C1183)),IFERROR(_xlfn.NUMBERVALUE(SUBSTITUTE(LEFT(TRIM(C1183),FIND(" ",TRIM(C1183)&amp;" ")-1),",","."),"."),LEFT(SUBSTITUTE(LEFT(TRIM(C1183),FIND(" ",TRIM(C1183)&amp;" ")-1),",","."),FIND("/",SUBSTITUTE(LEFT(TRIM(C1183),FIND(" ",TRIM(C1183)&amp;" ")-1),",","."))-1)/MID(SUBSTITUTE(LEFT(TRIM(C1183),FIND(" ",TRIM(C1183)&amp;" ")-1),",","."),FIND("/",SUBSTITUTE(LEFT(TRIM(C1183),FIND(" ",TRIM(C1183)&amp;" ")-1),",","."))+1,9))*12,NA()))),0),6)*'Aturan &amp; Tarif'!$B$4,2)</f>
        <v>340.68</v>
      </c>
      <c r="K1183" s="42" t="n">
        <f aca="false">'Aturan &amp; Tarif'!$B$5</f>
        <v>2050</v>
      </c>
      <c r="L1183" s="35" t="n">
        <f aca="false">I1183+J1183+K1183</f>
        <v>21018.68</v>
      </c>
      <c r="M1183" s="45" t="s">
        <v>2665</v>
      </c>
    </row>
    <row r="1184" customFormat="false" ht="25.5" hidden="false" customHeight="true" outlineLevel="0" collapsed="false">
      <c r="A1184" s="39"/>
      <c r="B1184" s="40" t="s">
        <v>2697</v>
      </c>
      <c r="C1184" s="41" t="s">
        <v>107</v>
      </c>
      <c r="D1184" s="41" t="s">
        <v>108</v>
      </c>
      <c r="E1184" s="42" t="n">
        <v>9314</v>
      </c>
      <c r="F1184" s="42"/>
      <c r="G1184" s="42"/>
      <c r="H1184" s="43" t="n">
        <v>2</v>
      </c>
      <c r="I1184" s="34" t="n">
        <f aca="false">E1184*H1184+N(F1184)+N(G1184)</f>
        <v>18628</v>
      </c>
      <c r="J1184" s="42" t="n">
        <f aca="false">ROUND(IFERROR(ROUND(IF(OR(ISNUMBER(SEARCH("week",C1184)),ISNUMBER(SEARCH("minggu",C1184))),IFERROR(_xlfn.NUMBERVALUE(SUBSTITUTE(LEFT(TRIM(C1184),FIND(" ",TRIM(C1184)&amp;" ")-1),",","."),"."),LEFT(SUBSTITUTE(LEFT(TRIM(C1184),FIND(" ",TRIM(C1184)&amp;" ")-1),",","."),FIND("/",SUBSTITUTE(LEFT(TRIM(C1184),FIND(" ",TRIM(C1184)&amp;" ")-1),",","."))-1)/MID(SUBSTITUTE(LEFT(TRIM(C1184),FIND(" ",TRIM(C1184)&amp;" ")-1),",","."),FIND("/",SUBSTITUTE(LEFT(TRIM(C1184),FIND(" ",TRIM(C1184)&amp;" ")-1),",","."))+1,9))*12/52,IF(ISNUMBER(SEARCH("month",C1184)),IFERROR(_xlfn.NUMBERVALUE(SUBSTITUTE(LEFT(TRIM(C1184),FIND(" ",TRIM(C1184)&amp;" ")-1),",","."),"."),LEFT(SUBSTITUTE(LEFT(TRIM(C1184),FIND(" ",TRIM(C1184)&amp;" ")-1),",","."),FIND("/",SUBSTITUTE(LEFT(TRIM(C1184),FIND(" ",TRIM(C1184)&amp;" ")-1),",","."))-1)/MID(SUBSTITUTE(LEFT(TRIM(C1184),FIND(" ",TRIM(C1184)&amp;" ")-1),",","."),FIND("/",SUBSTITUTE(LEFT(TRIM(C1184),FIND(" ",TRIM(C1184)&amp;" ")-1),",","."))+1,9)),IF(ISNUMBER(SEARCH("yea",C1184)),IFERROR(_xlfn.NUMBERVALUE(SUBSTITUTE(LEFT(TRIM(C1184),FIND(" ",TRIM(C1184)&amp;" ")-1),",","."),"."),LEFT(SUBSTITUTE(LEFT(TRIM(C1184),FIND(" ",TRIM(C1184)&amp;" ")-1),",","."),FIND("/",SUBSTITUTE(LEFT(TRIM(C1184),FIND(" ",TRIM(C1184)&amp;" ")-1),",","."))-1)/MID(SUBSTITUTE(LEFT(TRIM(C1184),FIND(" ",TRIM(C1184)&amp;" ")-1),",","."),FIND("/",SUBSTITUTE(LEFT(TRIM(C1184),FIND(" ",TRIM(C1184)&amp;" ")-1),",","."))+1,9))*12,NA()))),0),24)*'Aturan &amp; Tarif'!$B$4,2)</f>
        <v>1362.72</v>
      </c>
      <c r="K1184" s="42" t="n">
        <f aca="false">'Aturan &amp; Tarif'!$B$5</f>
        <v>2050</v>
      </c>
      <c r="L1184" s="35" t="n">
        <f aca="false">I1184+J1184+K1184</f>
        <v>22040.72</v>
      </c>
      <c r="M1184" s="45" t="s">
        <v>2665</v>
      </c>
    </row>
    <row r="1185" customFormat="false" ht="25.5" hidden="false" customHeight="true" outlineLevel="0" collapsed="false">
      <c r="A1185" s="39"/>
      <c r="B1185" s="40" t="s">
        <v>3283</v>
      </c>
      <c r="C1185" s="41" t="s">
        <v>130</v>
      </c>
      <c r="D1185" s="41" t="s">
        <v>108</v>
      </c>
      <c r="E1185" s="42" t="n">
        <v>9314</v>
      </c>
      <c r="F1185" s="42"/>
      <c r="G1185" s="42"/>
      <c r="H1185" s="43" t="n">
        <v>2</v>
      </c>
      <c r="I1185" s="34" t="n">
        <f aca="false">E1185*H1185+N(F1185)+N(G1185)</f>
        <v>18628</v>
      </c>
      <c r="J1185" s="42" t="n">
        <f aca="false">ROUND(IFERROR(ROUND(IF(OR(ISNUMBER(SEARCH("week",C1185)),ISNUMBER(SEARCH("minggu",C1185))),IFERROR(_xlfn.NUMBERVALUE(SUBSTITUTE(LEFT(TRIM(C1185),FIND(" ",TRIM(C1185)&amp;" ")-1),",","."),"."),LEFT(SUBSTITUTE(LEFT(TRIM(C1185),FIND(" ",TRIM(C1185)&amp;" ")-1),",","."),FIND("/",SUBSTITUTE(LEFT(TRIM(C1185),FIND(" ",TRIM(C1185)&amp;" ")-1),",","."))-1)/MID(SUBSTITUTE(LEFT(TRIM(C1185),FIND(" ",TRIM(C1185)&amp;" ")-1),",","."),FIND("/",SUBSTITUTE(LEFT(TRIM(C1185),FIND(" ",TRIM(C1185)&amp;" ")-1),",","."))+1,9))*12/52,IF(ISNUMBER(SEARCH("month",C1185)),IFERROR(_xlfn.NUMBERVALUE(SUBSTITUTE(LEFT(TRIM(C1185),FIND(" ",TRIM(C1185)&amp;" ")-1),",","."),"."),LEFT(SUBSTITUTE(LEFT(TRIM(C1185),FIND(" ",TRIM(C1185)&amp;" ")-1),",","."),FIND("/",SUBSTITUTE(LEFT(TRIM(C1185),FIND(" ",TRIM(C1185)&amp;" ")-1),",","."))-1)/MID(SUBSTITUTE(LEFT(TRIM(C1185),FIND(" ",TRIM(C1185)&amp;" ")-1),",","."),FIND("/",SUBSTITUTE(LEFT(TRIM(C1185),FIND(" ",TRIM(C1185)&amp;" ")-1),",","."))+1,9)),IF(ISNUMBER(SEARCH("yea",C1185)),IFERROR(_xlfn.NUMBERVALUE(SUBSTITUTE(LEFT(TRIM(C1185),FIND(" ",TRIM(C1185)&amp;" ")-1),",","."),"."),LEFT(SUBSTITUTE(LEFT(TRIM(C1185),FIND(" ",TRIM(C1185)&amp;" ")-1),",","."),FIND("/",SUBSTITUTE(LEFT(TRIM(C1185),FIND(" ",TRIM(C1185)&amp;" ")-1),",","."))-1)/MID(SUBSTITUTE(LEFT(TRIM(C1185),FIND(" ",TRIM(C1185)&amp;" ")-1),",","."),FIND("/",SUBSTITUTE(LEFT(TRIM(C1185),FIND(" ",TRIM(C1185)&amp;" ")-1),",","."))+1,9))*12,NA()))),0),12)*'Aturan &amp; Tarif'!$B$4,2)</f>
        <v>681.36</v>
      </c>
      <c r="K1185" s="42" t="n">
        <f aca="false">'Aturan &amp; Tarif'!$B$5</f>
        <v>2050</v>
      </c>
      <c r="L1185" s="35" t="n">
        <f aca="false">I1185+J1185+K1185</f>
        <v>21359.36</v>
      </c>
      <c r="M1185" s="45" t="s">
        <v>2665</v>
      </c>
    </row>
    <row r="1186" customFormat="false" ht="14.25" hidden="false" customHeight="true" outlineLevel="0" collapsed="false">
      <c r="A1186" s="39"/>
      <c r="B1186" s="40" t="s">
        <v>2699</v>
      </c>
      <c r="C1186" s="41" t="s">
        <v>344</v>
      </c>
      <c r="D1186" s="41" t="s">
        <v>108</v>
      </c>
      <c r="E1186" s="42" t="n">
        <v>9314</v>
      </c>
      <c r="F1186" s="42"/>
      <c r="G1186" s="42"/>
      <c r="H1186" s="43" t="n">
        <v>2</v>
      </c>
      <c r="I1186" s="34" t="n">
        <f aca="false">E1186*H1186+N(F1186)+N(G1186)</f>
        <v>18628</v>
      </c>
      <c r="J1186" s="42" t="n">
        <f aca="false">ROUND(IFERROR(ROUND(IF(OR(ISNUMBER(SEARCH("week",C1186)),ISNUMBER(SEARCH("minggu",C1186))),IFERROR(_xlfn.NUMBERVALUE(SUBSTITUTE(LEFT(TRIM(C1186),FIND(" ",TRIM(C1186)&amp;" ")-1),",","."),"."),LEFT(SUBSTITUTE(LEFT(TRIM(C1186),FIND(" ",TRIM(C1186)&amp;" ")-1),",","."),FIND("/",SUBSTITUTE(LEFT(TRIM(C1186),FIND(" ",TRIM(C1186)&amp;" ")-1),",","."))-1)/MID(SUBSTITUTE(LEFT(TRIM(C1186),FIND(" ",TRIM(C1186)&amp;" ")-1),",","."),FIND("/",SUBSTITUTE(LEFT(TRIM(C1186),FIND(" ",TRIM(C1186)&amp;" ")-1),",","."))+1,9))*12/52,IF(ISNUMBER(SEARCH("month",C1186)),IFERROR(_xlfn.NUMBERVALUE(SUBSTITUTE(LEFT(TRIM(C1186),FIND(" ",TRIM(C1186)&amp;" ")-1),",","."),"."),LEFT(SUBSTITUTE(LEFT(TRIM(C1186),FIND(" ",TRIM(C1186)&amp;" ")-1),",","."),FIND("/",SUBSTITUTE(LEFT(TRIM(C1186),FIND(" ",TRIM(C1186)&amp;" ")-1),",","."))-1)/MID(SUBSTITUTE(LEFT(TRIM(C1186),FIND(" ",TRIM(C1186)&amp;" ")-1),",","."),FIND("/",SUBSTITUTE(LEFT(TRIM(C1186),FIND(" ",TRIM(C1186)&amp;" ")-1),",","."))+1,9)),IF(ISNUMBER(SEARCH("yea",C1186)),IFERROR(_xlfn.NUMBERVALUE(SUBSTITUTE(LEFT(TRIM(C1186),FIND(" ",TRIM(C1186)&amp;" ")-1),",","."),"."),LEFT(SUBSTITUTE(LEFT(TRIM(C1186),FIND(" ",TRIM(C1186)&amp;" ")-1),",","."),FIND("/",SUBSTITUTE(LEFT(TRIM(C1186),FIND(" ",TRIM(C1186)&amp;" ")-1),",","."))-1)/MID(SUBSTITUTE(LEFT(TRIM(C1186),FIND(" ",TRIM(C1186)&amp;" ")-1),",","."),FIND("/",SUBSTITUTE(LEFT(TRIM(C1186),FIND(" ",TRIM(C1186)&amp;" ")-1),",","."))+1,9))*12,NA()))),0),6)*'Aturan &amp; Tarif'!$B$4,2)</f>
        <v>340.68</v>
      </c>
      <c r="K1186" s="42" t="n">
        <f aca="false">'Aturan &amp; Tarif'!$B$5</f>
        <v>2050</v>
      </c>
      <c r="L1186" s="35" t="n">
        <f aca="false">I1186+J1186+K1186</f>
        <v>21018.68</v>
      </c>
      <c r="M1186" s="45" t="s">
        <v>2665</v>
      </c>
    </row>
    <row r="1187" customFormat="false" ht="25.5" hidden="false" customHeight="true" outlineLevel="0" collapsed="false">
      <c r="A1187" s="39"/>
      <c r="B1187" s="40" t="s">
        <v>2700</v>
      </c>
      <c r="C1187" s="41" t="s">
        <v>107</v>
      </c>
      <c r="D1187" s="41" t="s">
        <v>108</v>
      </c>
      <c r="E1187" s="42" t="n">
        <v>8694</v>
      </c>
      <c r="F1187" s="42"/>
      <c r="G1187" s="42"/>
      <c r="H1187" s="43" t="n">
        <v>2</v>
      </c>
      <c r="I1187" s="34" t="n">
        <f aca="false">E1187*H1187+N(F1187)+N(G1187)</f>
        <v>17388</v>
      </c>
      <c r="J1187" s="42" t="n">
        <f aca="false">ROUND(IFERROR(ROUND(IF(OR(ISNUMBER(SEARCH("week",C1187)),ISNUMBER(SEARCH("minggu",C1187))),IFERROR(_xlfn.NUMBERVALUE(SUBSTITUTE(LEFT(TRIM(C1187),FIND(" ",TRIM(C1187)&amp;" ")-1),",","."),"."),LEFT(SUBSTITUTE(LEFT(TRIM(C1187),FIND(" ",TRIM(C1187)&amp;" ")-1),",","."),FIND("/",SUBSTITUTE(LEFT(TRIM(C1187),FIND(" ",TRIM(C1187)&amp;" ")-1),",","."))-1)/MID(SUBSTITUTE(LEFT(TRIM(C1187),FIND(" ",TRIM(C1187)&amp;" ")-1),",","."),FIND("/",SUBSTITUTE(LEFT(TRIM(C1187),FIND(" ",TRIM(C1187)&amp;" ")-1),",","."))+1,9))*12/52,IF(ISNUMBER(SEARCH("month",C1187)),IFERROR(_xlfn.NUMBERVALUE(SUBSTITUTE(LEFT(TRIM(C1187),FIND(" ",TRIM(C1187)&amp;" ")-1),",","."),"."),LEFT(SUBSTITUTE(LEFT(TRIM(C1187),FIND(" ",TRIM(C1187)&amp;" ")-1),",","."),FIND("/",SUBSTITUTE(LEFT(TRIM(C1187),FIND(" ",TRIM(C1187)&amp;" ")-1),",","."))-1)/MID(SUBSTITUTE(LEFT(TRIM(C1187),FIND(" ",TRIM(C1187)&amp;" ")-1),",","."),FIND("/",SUBSTITUTE(LEFT(TRIM(C1187),FIND(" ",TRIM(C1187)&amp;" ")-1),",","."))+1,9)),IF(ISNUMBER(SEARCH("yea",C1187)),IFERROR(_xlfn.NUMBERVALUE(SUBSTITUTE(LEFT(TRIM(C1187),FIND(" ",TRIM(C1187)&amp;" ")-1),",","."),"."),LEFT(SUBSTITUTE(LEFT(TRIM(C1187),FIND(" ",TRIM(C1187)&amp;" ")-1),",","."),FIND("/",SUBSTITUTE(LEFT(TRIM(C1187),FIND(" ",TRIM(C1187)&amp;" ")-1),",","."))-1)/MID(SUBSTITUTE(LEFT(TRIM(C1187),FIND(" ",TRIM(C1187)&amp;" ")-1),",","."),FIND("/",SUBSTITUTE(LEFT(TRIM(C1187),FIND(" ",TRIM(C1187)&amp;" ")-1),",","."))+1,9))*12,NA()))),0),24)*'Aturan &amp; Tarif'!$B$4,2)</f>
        <v>1362.72</v>
      </c>
      <c r="K1187" s="42" t="n">
        <f aca="false">'Aturan &amp; Tarif'!$B$5</f>
        <v>2050</v>
      </c>
      <c r="L1187" s="35" t="n">
        <f aca="false">I1187+J1187+K1187</f>
        <v>20800.72</v>
      </c>
      <c r="M1187" s="45" t="s">
        <v>2665</v>
      </c>
    </row>
    <row r="1188" customFormat="false" ht="25.5" hidden="false" customHeight="true" outlineLevel="0" collapsed="false">
      <c r="A1188" s="39"/>
      <c r="B1188" s="40" t="s">
        <v>2701</v>
      </c>
      <c r="C1188" s="41" t="s">
        <v>130</v>
      </c>
      <c r="D1188" s="41" t="s">
        <v>108</v>
      </c>
      <c r="E1188" s="42" t="n">
        <v>9314</v>
      </c>
      <c r="F1188" s="42"/>
      <c r="G1188" s="42"/>
      <c r="H1188" s="43" t="n">
        <v>2</v>
      </c>
      <c r="I1188" s="34" t="n">
        <f aca="false">E1188*H1188+N(F1188)+N(G1188)</f>
        <v>18628</v>
      </c>
      <c r="J1188" s="42" t="n">
        <f aca="false">ROUND(IFERROR(ROUND(IF(OR(ISNUMBER(SEARCH("week",C1188)),ISNUMBER(SEARCH("minggu",C1188))),IFERROR(_xlfn.NUMBERVALUE(SUBSTITUTE(LEFT(TRIM(C1188),FIND(" ",TRIM(C1188)&amp;" ")-1),",","."),"."),LEFT(SUBSTITUTE(LEFT(TRIM(C1188),FIND(" ",TRIM(C1188)&amp;" ")-1),",","."),FIND("/",SUBSTITUTE(LEFT(TRIM(C1188),FIND(" ",TRIM(C1188)&amp;" ")-1),",","."))-1)/MID(SUBSTITUTE(LEFT(TRIM(C1188),FIND(" ",TRIM(C1188)&amp;" ")-1),",","."),FIND("/",SUBSTITUTE(LEFT(TRIM(C1188),FIND(" ",TRIM(C1188)&amp;" ")-1),",","."))+1,9))*12/52,IF(ISNUMBER(SEARCH("month",C1188)),IFERROR(_xlfn.NUMBERVALUE(SUBSTITUTE(LEFT(TRIM(C1188),FIND(" ",TRIM(C1188)&amp;" ")-1),",","."),"."),LEFT(SUBSTITUTE(LEFT(TRIM(C1188),FIND(" ",TRIM(C1188)&amp;" ")-1),",","."),FIND("/",SUBSTITUTE(LEFT(TRIM(C1188),FIND(" ",TRIM(C1188)&amp;" ")-1),",","."))-1)/MID(SUBSTITUTE(LEFT(TRIM(C1188),FIND(" ",TRIM(C1188)&amp;" ")-1),",","."),FIND("/",SUBSTITUTE(LEFT(TRIM(C1188),FIND(" ",TRIM(C1188)&amp;" ")-1),",","."))+1,9)),IF(ISNUMBER(SEARCH("yea",C1188)),IFERROR(_xlfn.NUMBERVALUE(SUBSTITUTE(LEFT(TRIM(C1188),FIND(" ",TRIM(C1188)&amp;" ")-1),",","."),"."),LEFT(SUBSTITUTE(LEFT(TRIM(C1188),FIND(" ",TRIM(C1188)&amp;" ")-1),",","."),FIND("/",SUBSTITUTE(LEFT(TRIM(C1188),FIND(" ",TRIM(C1188)&amp;" ")-1),",","."))-1)/MID(SUBSTITUTE(LEFT(TRIM(C1188),FIND(" ",TRIM(C1188)&amp;" ")-1),",","."),FIND("/",SUBSTITUTE(LEFT(TRIM(C1188),FIND(" ",TRIM(C1188)&amp;" ")-1),",","."))+1,9))*12,NA()))),0),12)*'Aturan &amp; Tarif'!$B$4,2)</f>
        <v>681.36</v>
      </c>
      <c r="K1188" s="42" t="n">
        <f aca="false">'Aturan &amp; Tarif'!$B$5</f>
        <v>2050</v>
      </c>
      <c r="L1188" s="35" t="n">
        <f aca="false">I1188+J1188+K1188</f>
        <v>21359.36</v>
      </c>
      <c r="M1188" s="45" t="s">
        <v>2665</v>
      </c>
    </row>
    <row r="1189" customFormat="false" ht="25.5" hidden="false" customHeight="true" outlineLevel="0" collapsed="false">
      <c r="A1189" s="39"/>
      <c r="B1189" s="40" t="s">
        <v>2702</v>
      </c>
      <c r="C1189" s="41" t="s">
        <v>130</v>
      </c>
      <c r="D1189" s="41" t="s">
        <v>108</v>
      </c>
      <c r="E1189" s="42" t="n">
        <v>9314</v>
      </c>
      <c r="F1189" s="42"/>
      <c r="G1189" s="42"/>
      <c r="H1189" s="43" t="n">
        <v>2</v>
      </c>
      <c r="I1189" s="34" t="n">
        <f aca="false">E1189*H1189+N(F1189)+N(G1189)</f>
        <v>18628</v>
      </c>
      <c r="J1189" s="42" t="n">
        <f aca="false">ROUND(IFERROR(ROUND(IF(OR(ISNUMBER(SEARCH("week",C1189)),ISNUMBER(SEARCH("minggu",C1189))),IFERROR(_xlfn.NUMBERVALUE(SUBSTITUTE(LEFT(TRIM(C1189),FIND(" ",TRIM(C1189)&amp;" ")-1),",","."),"."),LEFT(SUBSTITUTE(LEFT(TRIM(C1189),FIND(" ",TRIM(C1189)&amp;" ")-1),",","."),FIND("/",SUBSTITUTE(LEFT(TRIM(C1189),FIND(" ",TRIM(C1189)&amp;" ")-1),",","."))-1)/MID(SUBSTITUTE(LEFT(TRIM(C1189),FIND(" ",TRIM(C1189)&amp;" ")-1),",","."),FIND("/",SUBSTITUTE(LEFT(TRIM(C1189),FIND(" ",TRIM(C1189)&amp;" ")-1),",","."))+1,9))*12/52,IF(ISNUMBER(SEARCH("month",C1189)),IFERROR(_xlfn.NUMBERVALUE(SUBSTITUTE(LEFT(TRIM(C1189),FIND(" ",TRIM(C1189)&amp;" ")-1),",","."),"."),LEFT(SUBSTITUTE(LEFT(TRIM(C1189),FIND(" ",TRIM(C1189)&amp;" ")-1),",","."),FIND("/",SUBSTITUTE(LEFT(TRIM(C1189),FIND(" ",TRIM(C1189)&amp;" ")-1),",","."))-1)/MID(SUBSTITUTE(LEFT(TRIM(C1189),FIND(" ",TRIM(C1189)&amp;" ")-1),",","."),FIND("/",SUBSTITUTE(LEFT(TRIM(C1189),FIND(" ",TRIM(C1189)&amp;" ")-1),",","."))+1,9)),IF(ISNUMBER(SEARCH("yea",C1189)),IFERROR(_xlfn.NUMBERVALUE(SUBSTITUTE(LEFT(TRIM(C1189),FIND(" ",TRIM(C1189)&amp;" ")-1),",","."),"."),LEFT(SUBSTITUTE(LEFT(TRIM(C1189),FIND(" ",TRIM(C1189)&amp;" ")-1),",","."),FIND("/",SUBSTITUTE(LEFT(TRIM(C1189),FIND(" ",TRIM(C1189)&amp;" ")-1),",","."))-1)/MID(SUBSTITUTE(LEFT(TRIM(C1189),FIND(" ",TRIM(C1189)&amp;" ")-1),",","."),FIND("/",SUBSTITUTE(LEFT(TRIM(C1189),FIND(" ",TRIM(C1189)&amp;" ")-1),",","."))+1,9))*12,NA()))),0),12)*'Aturan &amp; Tarif'!$B$4,2)</f>
        <v>681.36</v>
      </c>
      <c r="K1189" s="42" t="n">
        <f aca="false">'Aturan &amp; Tarif'!$B$5</f>
        <v>2050</v>
      </c>
      <c r="L1189" s="35" t="n">
        <f aca="false">I1189+J1189+K1189</f>
        <v>21359.36</v>
      </c>
      <c r="M1189" s="45" t="s">
        <v>2665</v>
      </c>
    </row>
    <row r="1190" customFormat="false" ht="25.5" hidden="false" customHeight="true" outlineLevel="0" collapsed="false">
      <c r="A1190" s="39"/>
      <c r="B1190" s="40" t="s">
        <v>2703</v>
      </c>
      <c r="C1190" s="41" t="s">
        <v>130</v>
      </c>
      <c r="D1190" s="41" t="s">
        <v>108</v>
      </c>
      <c r="E1190" s="42" t="n">
        <v>9314</v>
      </c>
      <c r="F1190" s="42"/>
      <c r="G1190" s="42"/>
      <c r="H1190" s="43" t="n">
        <v>2</v>
      </c>
      <c r="I1190" s="34" t="n">
        <f aca="false">E1190*H1190+N(F1190)+N(G1190)</f>
        <v>18628</v>
      </c>
      <c r="J1190" s="42" t="n">
        <f aca="false">ROUND(IFERROR(ROUND(IF(OR(ISNUMBER(SEARCH("week",C1190)),ISNUMBER(SEARCH("minggu",C1190))),IFERROR(_xlfn.NUMBERVALUE(SUBSTITUTE(LEFT(TRIM(C1190),FIND(" ",TRIM(C1190)&amp;" ")-1),",","."),"."),LEFT(SUBSTITUTE(LEFT(TRIM(C1190),FIND(" ",TRIM(C1190)&amp;" ")-1),",","."),FIND("/",SUBSTITUTE(LEFT(TRIM(C1190),FIND(" ",TRIM(C1190)&amp;" ")-1),",","."))-1)/MID(SUBSTITUTE(LEFT(TRIM(C1190),FIND(" ",TRIM(C1190)&amp;" ")-1),",","."),FIND("/",SUBSTITUTE(LEFT(TRIM(C1190),FIND(" ",TRIM(C1190)&amp;" ")-1),",","."))+1,9))*12/52,IF(ISNUMBER(SEARCH("month",C1190)),IFERROR(_xlfn.NUMBERVALUE(SUBSTITUTE(LEFT(TRIM(C1190),FIND(" ",TRIM(C1190)&amp;" ")-1),",","."),"."),LEFT(SUBSTITUTE(LEFT(TRIM(C1190),FIND(" ",TRIM(C1190)&amp;" ")-1),",","."),FIND("/",SUBSTITUTE(LEFT(TRIM(C1190),FIND(" ",TRIM(C1190)&amp;" ")-1),",","."))-1)/MID(SUBSTITUTE(LEFT(TRIM(C1190),FIND(" ",TRIM(C1190)&amp;" ")-1),",","."),FIND("/",SUBSTITUTE(LEFT(TRIM(C1190),FIND(" ",TRIM(C1190)&amp;" ")-1),",","."))+1,9)),IF(ISNUMBER(SEARCH("yea",C1190)),IFERROR(_xlfn.NUMBERVALUE(SUBSTITUTE(LEFT(TRIM(C1190),FIND(" ",TRIM(C1190)&amp;" ")-1),",","."),"."),LEFT(SUBSTITUTE(LEFT(TRIM(C1190),FIND(" ",TRIM(C1190)&amp;" ")-1),",","."),FIND("/",SUBSTITUTE(LEFT(TRIM(C1190),FIND(" ",TRIM(C1190)&amp;" ")-1),",","."))-1)/MID(SUBSTITUTE(LEFT(TRIM(C1190),FIND(" ",TRIM(C1190)&amp;" ")-1),",","."),FIND("/",SUBSTITUTE(LEFT(TRIM(C1190),FIND(" ",TRIM(C1190)&amp;" ")-1),",","."))+1,9))*12,NA()))),0),12)*'Aturan &amp; Tarif'!$B$4,2)</f>
        <v>681.36</v>
      </c>
      <c r="K1190" s="42" t="n">
        <f aca="false">'Aturan &amp; Tarif'!$B$5</f>
        <v>2050</v>
      </c>
      <c r="L1190" s="35" t="n">
        <f aca="false">I1190+J1190+K1190</f>
        <v>21359.36</v>
      </c>
      <c r="M1190" s="45" t="s">
        <v>2665</v>
      </c>
    </row>
    <row r="1191" customFormat="false" ht="60" hidden="false" customHeight="true" outlineLevel="0" collapsed="false">
      <c r="A1191" s="39"/>
      <c r="B1191" s="40" t="s">
        <v>2704</v>
      </c>
      <c r="C1191" s="41" t="s">
        <v>130</v>
      </c>
      <c r="D1191" s="41" t="s">
        <v>108</v>
      </c>
      <c r="E1191" s="42" t="n">
        <v>9314</v>
      </c>
      <c r="F1191" s="42"/>
      <c r="G1191" s="42"/>
      <c r="H1191" s="43" t="n">
        <v>2</v>
      </c>
      <c r="I1191" s="34" t="n">
        <f aca="false">E1191*H1191+N(F1191)+N(G1191)</f>
        <v>18628</v>
      </c>
      <c r="J1191" s="42" t="n">
        <f aca="false">ROUND(IFERROR(ROUND(IF(OR(ISNUMBER(SEARCH("week",C1191)),ISNUMBER(SEARCH("minggu",C1191))),IFERROR(_xlfn.NUMBERVALUE(SUBSTITUTE(LEFT(TRIM(C1191),FIND(" ",TRIM(C1191)&amp;" ")-1),",","."),"."),LEFT(SUBSTITUTE(LEFT(TRIM(C1191),FIND(" ",TRIM(C1191)&amp;" ")-1),",","."),FIND("/",SUBSTITUTE(LEFT(TRIM(C1191),FIND(" ",TRIM(C1191)&amp;" ")-1),",","."))-1)/MID(SUBSTITUTE(LEFT(TRIM(C1191),FIND(" ",TRIM(C1191)&amp;" ")-1),",","."),FIND("/",SUBSTITUTE(LEFT(TRIM(C1191),FIND(" ",TRIM(C1191)&amp;" ")-1),",","."))+1,9))*12/52,IF(ISNUMBER(SEARCH("month",C1191)),IFERROR(_xlfn.NUMBERVALUE(SUBSTITUTE(LEFT(TRIM(C1191),FIND(" ",TRIM(C1191)&amp;" ")-1),",","."),"."),LEFT(SUBSTITUTE(LEFT(TRIM(C1191),FIND(" ",TRIM(C1191)&amp;" ")-1),",","."),FIND("/",SUBSTITUTE(LEFT(TRIM(C1191),FIND(" ",TRIM(C1191)&amp;" ")-1),",","."))-1)/MID(SUBSTITUTE(LEFT(TRIM(C1191),FIND(" ",TRIM(C1191)&amp;" ")-1),",","."),FIND("/",SUBSTITUTE(LEFT(TRIM(C1191),FIND(" ",TRIM(C1191)&amp;" ")-1),",","."))+1,9)),IF(ISNUMBER(SEARCH("yea",C1191)),IFERROR(_xlfn.NUMBERVALUE(SUBSTITUTE(LEFT(TRIM(C1191),FIND(" ",TRIM(C1191)&amp;" ")-1),",","."),"."),LEFT(SUBSTITUTE(LEFT(TRIM(C1191),FIND(" ",TRIM(C1191)&amp;" ")-1),",","."),FIND("/",SUBSTITUTE(LEFT(TRIM(C1191),FIND(" ",TRIM(C1191)&amp;" ")-1),",","."))-1)/MID(SUBSTITUTE(LEFT(TRIM(C1191),FIND(" ",TRIM(C1191)&amp;" ")-1),",","."),FIND("/",SUBSTITUTE(LEFT(TRIM(C1191),FIND(" ",TRIM(C1191)&amp;" ")-1),",","."))+1,9))*12,NA()))),0),12)*'Aturan &amp; Tarif'!$B$4,2)</f>
        <v>681.36</v>
      </c>
      <c r="K1191" s="42" t="n">
        <f aca="false">'Aturan &amp; Tarif'!$B$5</f>
        <v>2050</v>
      </c>
      <c r="L1191" s="35" t="n">
        <f aca="false">I1191+J1191+K1191</f>
        <v>21359.36</v>
      </c>
      <c r="M1191" s="45" t="s">
        <v>2665</v>
      </c>
    </row>
    <row r="1192" customFormat="false" ht="37.5" hidden="false" customHeight="true" outlineLevel="0" collapsed="false">
      <c r="A1192" s="39"/>
      <c r="B1192" s="40" t="s">
        <v>2705</v>
      </c>
      <c r="C1192" s="41" t="s">
        <v>130</v>
      </c>
      <c r="D1192" s="41" t="s">
        <v>108</v>
      </c>
      <c r="E1192" s="42" t="n">
        <v>9835</v>
      </c>
      <c r="F1192" s="42"/>
      <c r="G1192" s="42"/>
      <c r="H1192" s="43" t="n">
        <v>2</v>
      </c>
      <c r="I1192" s="34" t="n">
        <f aca="false">E1192*H1192+N(F1192)+N(G1192)</f>
        <v>19670</v>
      </c>
      <c r="J1192" s="42" t="n">
        <f aca="false">ROUND(IFERROR(ROUND(IF(OR(ISNUMBER(SEARCH("week",C1192)),ISNUMBER(SEARCH("minggu",C1192))),IFERROR(_xlfn.NUMBERVALUE(SUBSTITUTE(LEFT(TRIM(C1192),FIND(" ",TRIM(C1192)&amp;" ")-1),",","."),"."),LEFT(SUBSTITUTE(LEFT(TRIM(C1192),FIND(" ",TRIM(C1192)&amp;" ")-1),",","."),FIND("/",SUBSTITUTE(LEFT(TRIM(C1192),FIND(" ",TRIM(C1192)&amp;" ")-1),",","."))-1)/MID(SUBSTITUTE(LEFT(TRIM(C1192),FIND(" ",TRIM(C1192)&amp;" ")-1),",","."),FIND("/",SUBSTITUTE(LEFT(TRIM(C1192),FIND(" ",TRIM(C1192)&amp;" ")-1),",","."))+1,9))*12/52,IF(ISNUMBER(SEARCH("month",C1192)),IFERROR(_xlfn.NUMBERVALUE(SUBSTITUTE(LEFT(TRIM(C1192),FIND(" ",TRIM(C1192)&amp;" ")-1),",","."),"."),LEFT(SUBSTITUTE(LEFT(TRIM(C1192),FIND(" ",TRIM(C1192)&amp;" ")-1),",","."),FIND("/",SUBSTITUTE(LEFT(TRIM(C1192),FIND(" ",TRIM(C1192)&amp;" ")-1),",","."))-1)/MID(SUBSTITUTE(LEFT(TRIM(C1192),FIND(" ",TRIM(C1192)&amp;" ")-1),",","."),FIND("/",SUBSTITUTE(LEFT(TRIM(C1192),FIND(" ",TRIM(C1192)&amp;" ")-1),",","."))+1,9)),IF(ISNUMBER(SEARCH("yea",C1192)),IFERROR(_xlfn.NUMBERVALUE(SUBSTITUTE(LEFT(TRIM(C1192),FIND(" ",TRIM(C1192)&amp;" ")-1),",","."),"."),LEFT(SUBSTITUTE(LEFT(TRIM(C1192),FIND(" ",TRIM(C1192)&amp;" ")-1),",","."),FIND("/",SUBSTITUTE(LEFT(TRIM(C1192),FIND(" ",TRIM(C1192)&amp;" ")-1),",","."))-1)/MID(SUBSTITUTE(LEFT(TRIM(C1192),FIND(" ",TRIM(C1192)&amp;" ")-1),",","."),FIND("/",SUBSTITUTE(LEFT(TRIM(C1192),FIND(" ",TRIM(C1192)&amp;" ")-1),",","."))+1,9))*12,NA()))),0),12)*'Aturan &amp; Tarif'!$B$4,2)</f>
        <v>681.36</v>
      </c>
      <c r="K1192" s="42" t="n">
        <f aca="false">'Aturan &amp; Tarif'!$B$5</f>
        <v>2050</v>
      </c>
      <c r="L1192" s="35" t="n">
        <f aca="false">I1192+J1192+K1192</f>
        <v>22401.36</v>
      </c>
      <c r="M1192" s="45" t="s">
        <v>2665</v>
      </c>
    </row>
    <row r="1193" customFormat="false" ht="37.5" hidden="false" customHeight="true" outlineLevel="0" collapsed="false">
      <c r="A1193" s="39"/>
      <c r="B1193" s="40" t="s">
        <v>2706</v>
      </c>
      <c r="C1193" s="41" t="s">
        <v>113</v>
      </c>
      <c r="D1193" s="41" t="s">
        <v>108</v>
      </c>
      <c r="E1193" s="42" t="n">
        <v>9835</v>
      </c>
      <c r="F1193" s="42"/>
      <c r="G1193" s="42"/>
      <c r="H1193" s="43" t="n">
        <v>2</v>
      </c>
      <c r="I1193" s="34" t="n">
        <f aca="false">E1193*H1193+N(F1193)+N(G1193)</f>
        <v>19670</v>
      </c>
      <c r="J1193" s="42" t="n">
        <f aca="false">ROUND(IFERROR(ROUND(IF(OR(ISNUMBER(SEARCH("week",C1193)),ISNUMBER(SEARCH("minggu",C1193))),IFERROR(_xlfn.NUMBERVALUE(SUBSTITUTE(LEFT(TRIM(C1193),FIND(" ",TRIM(C1193)&amp;" ")-1),",","."),"."),LEFT(SUBSTITUTE(LEFT(TRIM(C1193),FIND(" ",TRIM(C1193)&amp;" ")-1),",","."),FIND("/",SUBSTITUTE(LEFT(TRIM(C1193),FIND(" ",TRIM(C1193)&amp;" ")-1),",","."))-1)/MID(SUBSTITUTE(LEFT(TRIM(C1193),FIND(" ",TRIM(C1193)&amp;" ")-1),",","."),FIND("/",SUBSTITUTE(LEFT(TRIM(C1193),FIND(" ",TRIM(C1193)&amp;" ")-1),",","."))+1,9))*12/52,IF(ISNUMBER(SEARCH("month",C1193)),IFERROR(_xlfn.NUMBERVALUE(SUBSTITUTE(LEFT(TRIM(C1193),FIND(" ",TRIM(C1193)&amp;" ")-1),",","."),"."),LEFT(SUBSTITUTE(LEFT(TRIM(C1193),FIND(" ",TRIM(C1193)&amp;" ")-1),",","."),FIND("/",SUBSTITUTE(LEFT(TRIM(C1193),FIND(" ",TRIM(C1193)&amp;" ")-1),",","."))-1)/MID(SUBSTITUTE(LEFT(TRIM(C1193),FIND(" ",TRIM(C1193)&amp;" ")-1),",","."),FIND("/",SUBSTITUTE(LEFT(TRIM(C1193),FIND(" ",TRIM(C1193)&amp;" ")-1),",","."))+1,9)),IF(ISNUMBER(SEARCH("yea",C1193)),IFERROR(_xlfn.NUMBERVALUE(SUBSTITUTE(LEFT(TRIM(C1193),FIND(" ",TRIM(C1193)&amp;" ")-1),",","."),"."),LEFT(SUBSTITUTE(LEFT(TRIM(C1193),FIND(" ",TRIM(C1193)&amp;" ")-1),",","."),FIND("/",SUBSTITUTE(LEFT(TRIM(C1193),FIND(" ",TRIM(C1193)&amp;" ")-1),",","."))-1)/MID(SUBSTITUTE(LEFT(TRIM(C1193),FIND(" ",TRIM(C1193)&amp;" ")-1),",","."),FIND("/",SUBSTITUTE(LEFT(TRIM(C1193),FIND(" ",TRIM(C1193)&amp;" ")-1),",","."))+1,9))*12,NA()))),0),18)*'Aturan &amp; Tarif'!$B$4,2)</f>
        <v>1022.04</v>
      </c>
      <c r="K1193" s="42" t="n">
        <f aca="false">'Aturan &amp; Tarif'!$B$5</f>
        <v>2050</v>
      </c>
      <c r="L1193" s="35" t="n">
        <f aca="false">I1193+J1193+K1193</f>
        <v>22742.04</v>
      </c>
      <c r="M1193" s="45" t="s">
        <v>2665</v>
      </c>
    </row>
    <row r="1194" customFormat="false" ht="25.5" hidden="false" customHeight="true" outlineLevel="0" collapsed="false">
      <c r="A1194" s="39"/>
      <c r="B1194" s="40" t="s">
        <v>2707</v>
      </c>
      <c r="C1194" s="41" t="s">
        <v>107</v>
      </c>
      <c r="D1194" s="41" t="s">
        <v>108</v>
      </c>
      <c r="E1194" s="42" t="n">
        <v>9835</v>
      </c>
      <c r="F1194" s="42"/>
      <c r="G1194" s="42"/>
      <c r="H1194" s="43" t="n">
        <v>2</v>
      </c>
      <c r="I1194" s="34" t="n">
        <f aca="false">E1194*H1194+N(F1194)+N(G1194)</f>
        <v>19670</v>
      </c>
      <c r="J1194" s="42" t="n">
        <f aca="false">ROUND(IFERROR(ROUND(IF(OR(ISNUMBER(SEARCH("week",C1194)),ISNUMBER(SEARCH("minggu",C1194))),IFERROR(_xlfn.NUMBERVALUE(SUBSTITUTE(LEFT(TRIM(C1194),FIND(" ",TRIM(C1194)&amp;" ")-1),",","."),"."),LEFT(SUBSTITUTE(LEFT(TRIM(C1194),FIND(" ",TRIM(C1194)&amp;" ")-1),",","."),FIND("/",SUBSTITUTE(LEFT(TRIM(C1194),FIND(" ",TRIM(C1194)&amp;" ")-1),",","."))-1)/MID(SUBSTITUTE(LEFT(TRIM(C1194),FIND(" ",TRIM(C1194)&amp;" ")-1),",","."),FIND("/",SUBSTITUTE(LEFT(TRIM(C1194),FIND(" ",TRIM(C1194)&amp;" ")-1),",","."))+1,9))*12/52,IF(ISNUMBER(SEARCH("month",C1194)),IFERROR(_xlfn.NUMBERVALUE(SUBSTITUTE(LEFT(TRIM(C1194),FIND(" ",TRIM(C1194)&amp;" ")-1),",","."),"."),LEFT(SUBSTITUTE(LEFT(TRIM(C1194),FIND(" ",TRIM(C1194)&amp;" ")-1),",","."),FIND("/",SUBSTITUTE(LEFT(TRIM(C1194),FIND(" ",TRIM(C1194)&amp;" ")-1),",","."))-1)/MID(SUBSTITUTE(LEFT(TRIM(C1194),FIND(" ",TRIM(C1194)&amp;" ")-1),",","."),FIND("/",SUBSTITUTE(LEFT(TRIM(C1194),FIND(" ",TRIM(C1194)&amp;" ")-1),",","."))+1,9)),IF(ISNUMBER(SEARCH("yea",C1194)),IFERROR(_xlfn.NUMBERVALUE(SUBSTITUTE(LEFT(TRIM(C1194),FIND(" ",TRIM(C1194)&amp;" ")-1),",","."),"."),LEFT(SUBSTITUTE(LEFT(TRIM(C1194),FIND(" ",TRIM(C1194)&amp;" ")-1),",","."),FIND("/",SUBSTITUTE(LEFT(TRIM(C1194),FIND(" ",TRIM(C1194)&amp;" ")-1),",","."))-1)/MID(SUBSTITUTE(LEFT(TRIM(C1194),FIND(" ",TRIM(C1194)&amp;" ")-1),",","."),FIND("/",SUBSTITUTE(LEFT(TRIM(C1194),FIND(" ",TRIM(C1194)&amp;" ")-1),",","."))+1,9))*12,NA()))),0),24)*'Aturan &amp; Tarif'!$B$4,2)</f>
        <v>1362.72</v>
      </c>
      <c r="K1194" s="42" t="n">
        <f aca="false">'Aturan &amp; Tarif'!$B$5</f>
        <v>2050</v>
      </c>
      <c r="L1194" s="35" t="n">
        <f aca="false">I1194+J1194+K1194</f>
        <v>23082.72</v>
      </c>
      <c r="M1194" s="45" t="s">
        <v>2665</v>
      </c>
    </row>
    <row r="1195" customFormat="false" ht="25.5" hidden="false" customHeight="true" outlineLevel="0" collapsed="false">
      <c r="A1195" s="39"/>
      <c r="B1195" s="40" t="s">
        <v>2708</v>
      </c>
      <c r="C1195" s="41" t="s">
        <v>107</v>
      </c>
      <c r="D1195" s="41" t="s">
        <v>108</v>
      </c>
      <c r="E1195" s="42" t="n">
        <v>9314</v>
      </c>
      <c r="F1195" s="42"/>
      <c r="G1195" s="42"/>
      <c r="H1195" s="43" t="n">
        <v>2</v>
      </c>
      <c r="I1195" s="34" t="n">
        <f aca="false">E1195*H1195+N(F1195)+N(G1195)</f>
        <v>18628</v>
      </c>
      <c r="J1195" s="42" t="n">
        <f aca="false">ROUND(IFERROR(ROUND(IF(OR(ISNUMBER(SEARCH("week",C1195)),ISNUMBER(SEARCH("minggu",C1195))),IFERROR(_xlfn.NUMBERVALUE(SUBSTITUTE(LEFT(TRIM(C1195),FIND(" ",TRIM(C1195)&amp;" ")-1),",","."),"."),LEFT(SUBSTITUTE(LEFT(TRIM(C1195),FIND(" ",TRIM(C1195)&amp;" ")-1),",","."),FIND("/",SUBSTITUTE(LEFT(TRIM(C1195),FIND(" ",TRIM(C1195)&amp;" ")-1),",","."))-1)/MID(SUBSTITUTE(LEFT(TRIM(C1195),FIND(" ",TRIM(C1195)&amp;" ")-1),",","."),FIND("/",SUBSTITUTE(LEFT(TRIM(C1195),FIND(" ",TRIM(C1195)&amp;" ")-1),",","."))+1,9))*12/52,IF(ISNUMBER(SEARCH("month",C1195)),IFERROR(_xlfn.NUMBERVALUE(SUBSTITUTE(LEFT(TRIM(C1195),FIND(" ",TRIM(C1195)&amp;" ")-1),",","."),"."),LEFT(SUBSTITUTE(LEFT(TRIM(C1195),FIND(" ",TRIM(C1195)&amp;" ")-1),",","."),FIND("/",SUBSTITUTE(LEFT(TRIM(C1195),FIND(" ",TRIM(C1195)&amp;" ")-1),",","."))-1)/MID(SUBSTITUTE(LEFT(TRIM(C1195),FIND(" ",TRIM(C1195)&amp;" ")-1),",","."),FIND("/",SUBSTITUTE(LEFT(TRIM(C1195),FIND(" ",TRIM(C1195)&amp;" ")-1),",","."))+1,9)),IF(ISNUMBER(SEARCH("yea",C1195)),IFERROR(_xlfn.NUMBERVALUE(SUBSTITUTE(LEFT(TRIM(C1195),FIND(" ",TRIM(C1195)&amp;" ")-1),",","."),"."),LEFT(SUBSTITUTE(LEFT(TRIM(C1195),FIND(" ",TRIM(C1195)&amp;" ")-1),",","."),FIND("/",SUBSTITUTE(LEFT(TRIM(C1195),FIND(" ",TRIM(C1195)&amp;" ")-1),",","."))-1)/MID(SUBSTITUTE(LEFT(TRIM(C1195),FIND(" ",TRIM(C1195)&amp;" ")-1),",","."),FIND("/",SUBSTITUTE(LEFT(TRIM(C1195),FIND(" ",TRIM(C1195)&amp;" ")-1),",","."))+1,9))*12,NA()))),0),24)*'Aturan &amp; Tarif'!$B$4,2)</f>
        <v>1362.72</v>
      </c>
      <c r="K1195" s="42" t="n">
        <f aca="false">'Aturan &amp; Tarif'!$B$5</f>
        <v>2050</v>
      </c>
      <c r="L1195" s="35" t="n">
        <f aca="false">I1195+J1195+K1195</f>
        <v>22040.72</v>
      </c>
      <c r="M1195" s="45" t="s">
        <v>2665</v>
      </c>
    </row>
    <row r="1196" customFormat="false" ht="37.5" hidden="false" customHeight="true" outlineLevel="0" collapsed="false">
      <c r="A1196" s="39"/>
      <c r="B1196" s="40" t="s">
        <v>2709</v>
      </c>
      <c r="C1196" s="41" t="s">
        <v>130</v>
      </c>
      <c r="D1196" s="41" t="s">
        <v>108</v>
      </c>
      <c r="E1196" s="42" t="n">
        <v>9314</v>
      </c>
      <c r="F1196" s="42"/>
      <c r="G1196" s="42"/>
      <c r="H1196" s="43" t="n">
        <v>2</v>
      </c>
      <c r="I1196" s="34" t="n">
        <f aca="false">E1196*H1196+N(F1196)+N(G1196)</f>
        <v>18628</v>
      </c>
      <c r="J1196" s="42" t="n">
        <f aca="false">ROUND(IFERROR(ROUND(IF(OR(ISNUMBER(SEARCH("week",C1196)),ISNUMBER(SEARCH("minggu",C1196))),IFERROR(_xlfn.NUMBERVALUE(SUBSTITUTE(LEFT(TRIM(C1196),FIND(" ",TRIM(C1196)&amp;" ")-1),",","."),"."),LEFT(SUBSTITUTE(LEFT(TRIM(C1196),FIND(" ",TRIM(C1196)&amp;" ")-1),",","."),FIND("/",SUBSTITUTE(LEFT(TRIM(C1196),FIND(" ",TRIM(C1196)&amp;" ")-1),",","."))-1)/MID(SUBSTITUTE(LEFT(TRIM(C1196),FIND(" ",TRIM(C1196)&amp;" ")-1),",","."),FIND("/",SUBSTITUTE(LEFT(TRIM(C1196),FIND(" ",TRIM(C1196)&amp;" ")-1),",","."))+1,9))*12/52,IF(ISNUMBER(SEARCH("month",C1196)),IFERROR(_xlfn.NUMBERVALUE(SUBSTITUTE(LEFT(TRIM(C1196),FIND(" ",TRIM(C1196)&amp;" ")-1),",","."),"."),LEFT(SUBSTITUTE(LEFT(TRIM(C1196),FIND(" ",TRIM(C1196)&amp;" ")-1),",","."),FIND("/",SUBSTITUTE(LEFT(TRIM(C1196),FIND(" ",TRIM(C1196)&amp;" ")-1),",","."))-1)/MID(SUBSTITUTE(LEFT(TRIM(C1196),FIND(" ",TRIM(C1196)&amp;" ")-1),",","."),FIND("/",SUBSTITUTE(LEFT(TRIM(C1196),FIND(" ",TRIM(C1196)&amp;" ")-1),",","."))+1,9)),IF(ISNUMBER(SEARCH("yea",C1196)),IFERROR(_xlfn.NUMBERVALUE(SUBSTITUTE(LEFT(TRIM(C1196),FIND(" ",TRIM(C1196)&amp;" ")-1),",","."),"."),LEFT(SUBSTITUTE(LEFT(TRIM(C1196),FIND(" ",TRIM(C1196)&amp;" ")-1),",","."),FIND("/",SUBSTITUTE(LEFT(TRIM(C1196),FIND(" ",TRIM(C1196)&amp;" ")-1),",","."))-1)/MID(SUBSTITUTE(LEFT(TRIM(C1196),FIND(" ",TRIM(C1196)&amp;" ")-1),",","."),FIND("/",SUBSTITUTE(LEFT(TRIM(C1196),FIND(" ",TRIM(C1196)&amp;" ")-1),",","."))+1,9))*12,NA()))),0),12)*'Aturan &amp; Tarif'!$B$4,2)</f>
        <v>681.36</v>
      </c>
      <c r="K1196" s="42" t="n">
        <f aca="false">'Aturan &amp; Tarif'!$B$5</f>
        <v>2050</v>
      </c>
      <c r="L1196" s="35" t="n">
        <f aca="false">I1196+J1196+K1196</f>
        <v>21359.36</v>
      </c>
      <c r="M1196" s="45" t="s">
        <v>2665</v>
      </c>
    </row>
    <row r="1197" customFormat="false" ht="25.5" hidden="false" customHeight="true" outlineLevel="0" collapsed="false">
      <c r="A1197" s="39"/>
      <c r="B1197" s="40" t="s">
        <v>2710</v>
      </c>
      <c r="C1197" s="41" t="s">
        <v>344</v>
      </c>
      <c r="D1197" s="41" t="s">
        <v>108</v>
      </c>
      <c r="E1197" s="42" t="n">
        <v>4657</v>
      </c>
      <c r="F1197" s="42"/>
      <c r="G1197" s="42"/>
      <c r="H1197" s="43" t="n">
        <v>2</v>
      </c>
      <c r="I1197" s="34" t="n">
        <f aca="false">E1197*H1197+N(F1197)+N(G1197)</f>
        <v>9314</v>
      </c>
      <c r="J1197" s="42" t="n">
        <f aca="false">ROUND(IFERROR(ROUND(IF(OR(ISNUMBER(SEARCH("week",C1197)),ISNUMBER(SEARCH("minggu",C1197))),IFERROR(_xlfn.NUMBERVALUE(SUBSTITUTE(LEFT(TRIM(C1197),FIND(" ",TRIM(C1197)&amp;" ")-1),",","."),"."),LEFT(SUBSTITUTE(LEFT(TRIM(C1197),FIND(" ",TRIM(C1197)&amp;" ")-1),",","."),FIND("/",SUBSTITUTE(LEFT(TRIM(C1197),FIND(" ",TRIM(C1197)&amp;" ")-1),",","."))-1)/MID(SUBSTITUTE(LEFT(TRIM(C1197),FIND(" ",TRIM(C1197)&amp;" ")-1),",","."),FIND("/",SUBSTITUTE(LEFT(TRIM(C1197),FIND(" ",TRIM(C1197)&amp;" ")-1),",","."))+1,9))*12/52,IF(ISNUMBER(SEARCH("month",C1197)),IFERROR(_xlfn.NUMBERVALUE(SUBSTITUTE(LEFT(TRIM(C1197),FIND(" ",TRIM(C1197)&amp;" ")-1),",","."),"."),LEFT(SUBSTITUTE(LEFT(TRIM(C1197),FIND(" ",TRIM(C1197)&amp;" ")-1),",","."),FIND("/",SUBSTITUTE(LEFT(TRIM(C1197),FIND(" ",TRIM(C1197)&amp;" ")-1),",","."))-1)/MID(SUBSTITUTE(LEFT(TRIM(C1197),FIND(" ",TRIM(C1197)&amp;" ")-1),",","."),FIND("/",SUBSTITUTE(LEFT(TRIM(C1197),FIND(" ",TRIM(C1197)&amp;" ")-1),",","."))+1,9)),IF(ISNUMBER(SEARCH("yea",C1197)),IFERROR(_xlfn.NUMBERVALUE(SUBSTITUTE(LEFT(TRIM(C1197),FIND(" ",TRIM(C1197)&amp;" ")-1),",","."),"."),LEFT(SUBSTITUTE(LEFT(TRIM(C1197),FIND(" ",TRIM(C1197)&amp;" ")-1),",","."),FIND("/",SUBSTITUTE(LEFT(TRIM(C1197),FIND(" ",TRIM(C1197)&amp;" ")-1),",","."))-1)/MID(SUBSTITUTE(LEFT(TRIM(C1197),FIND(" ",TRIM(C1197)&amp;" ")-1),",","."),FIND("/",SUBSTITUTE(LEFT(TRIM(C1197),FIND(" ",TRIM(C1197)&amp;" ")-1),",","."))+1,9))*12,NA()))),0),6)*'Aturan &amp; Tarif'!$B$4,2)</f>
        <v>340.68</v>
      </c>
      <c r="K1197" s="42" t="n">
        <f aca="false">'Aturan &amp; Tarif'!$B$5</f>
        <v>2050</v>
      </c>
      <c r="L1197" s="35" t="n">
        <f aca="false">I1197+J1197+K1197</f>
        <v>11704.68</v>
      </c>
      <c r="M1197" s="45" t="s">
        <v>2665</v>
      </c>
    </row>
    <row r="1198" customFormat="false" ht="25.5" hidden="false" customHeight="true" outlineLevel="0" collapsed="false">
      <c r="A1198" s="39"/>
      <c r="B1198" s="40" t="s">
        <v>2711</v>
      </c>
      <c r="C1198" s="41" t="s">
        <v>629</v>
      </c>
      <c r="D1198" s="41" t="s">
        <v>108</v>
      </c>
      <c r="E1198" s="42" t="n">
        <v>9686</v>
      </c>
      <c r="F1198" s="42"/>
      <c r="G1198" s="42"/>
      <c r="H1198" s="43" t="n">
        <v>2</v>
      </c>
      <c r="I1198" s="34" t="n">
        <f aca="false">E1198*H1198+N(F1198)+N(G1198)</f>
        <v>19372</v>
      </c>
      <c r="J1198" s="42" t="n">
        <f aca="false">ROUND(IFERROR(ROUND(IF(OR(ISNUMBER(SEARCH("week",C1198)),ISNUMBER(SEARCH("minggu",C1198))),IFERROR(_xlfn.NUMBERVALUE(SUBSTITUTE(LEFT(TRIM(C1198),FIND(" ",TRIM(C1198)&amp;" ")-1),",","."),"."),LEFT(SUBSTITUTE(LEFT(TRIM(C1198),FIND(" ",TRIM(C1198)&amp;" ")-1),",","."),FIND("/",SUBSTITUTE(LEFT(TRIM(C1198),FIND(" ",TRIM(C1198)&amp;" ")-1),",","."))-1)/MID(SUBSTITUTE(LEFT(TRIM(C1198),FIND(" ",TRIM(C1198)&amp;" ")-1),",","."),FIND("/",SUBSTITUTE(LEFT(TRIM(C1198),FIND(" ",TRIM(C1198)&amp;" ")-1),",","."))+1,9))*12/52,IF(ISNUMBER(SEARCH("month",C1198)),IFERROR(_xlfn.NUMBERVALUE(SUBSTITUTE(LEFT(TRIM(C1198),FIND(" ",TRIM(C1198)&amp;" ")-1),",","."),"."),LEFT(SUBSTITUTE(LEFT(TRIM(C1198),FIND(" ",TRIM(C1198)&amp;" ")-1),",","."),FIND("/",SUBSTITUTE(LEFT(TRIM(C1198),FIND(" ",TRIM(C1198)&amp;" ")-1),",","."))-1)/MID(SUBSTITUTE(LEFT(TRIM(C1198),FIND(" ",TRIM(C1198)&amp;" ")-1),",","."),FIND("/",SUBSTITUTE(LEFT(TRIM(C1198),FIND(" ",TRIM(C1198)&amp;" ")-1),",","."))+1,9)),IF(ISNUMBER(SEARCH("yea",C1198)),IFERROR(_xlfn.NUMBERVALUE(SUBSTITUTE(LEFT(TRIM(C1198),FIND(" ",TRIM(C1198)&amp;" ")-1),",","."),"."),LEFT(SUBSTITUTE(LEFT(TRIM(C1198),FIND(" ",TRIM(C1198)&amp;" ")-1),",","."),FIND("/",SUBSTITUTE(LEFT(TRIM(C1198),FIND(" ",TRIM(C1198)&amp;" ")-1),",","."))-1)/MID(SUBSTITUTE(LEFT(TRIM(C1198),FIND(" ",TRIM(C1198)&amp;" ")-1),",","."),FIND("/",SUBSTITUTE(LEFT(TRIM(C1198),FIND(" ",TRIM(C1198)&amp;" ")-1),",","."))+1,9))*12,NA()))),0),18)*'Aturan &amp; Tarif'!$B$4,2)</f>
        <v>1022.04</v>
      </c>
      <c r="K1198" s="42" t="n">
        <f aca="false">'Aturan &amp; Tarif'!$B$5</f>
        <v>2050</v>
      </c>
      <c r="L1198" s="35" t="n">
        <f aca="false">I1198+J1198+K1198</f>
        <v>22444.04</v>
      </c>
      <c r="M1198" s="45" t="s">
        <v>2665</v>
      </c>
    </row>
    <row r="1199" customFormat="false" ht="25.5" hidden="false" customHeight="true" outlineLevel="0" collapsed="false">
      <c r="A1199" s="39"/>
      <c r="B1199" s="40" t="s">
        <v>3284</v>
      </c>
      <c r="C1199" s="41" t="s">
        <v>107</v>
      </c>
      <c r="D1199" s="41" t="s">
        <v>108</v>
      </c>
      <c r="E1199" s="42" t="n">
        <v>11138</v>
      </c>
      <c r="F1199" s="42"/>
      <c r="G1199" s="42"/>
      <c r="H1199" s="43" t="n">
        <v>2</v>
      </c>
      <c r="I1199" s="34" t="n">
        <f aca="false">E1199*H1199+N(F1199)+N(G1199)</f>
        <v>22276</v>
      </c>
      <c r="J1199" s="42" t="n">
        <f aca="false">ROUND(IFERROR(ROUND(IF(OR(ISNUMBER(SEARCH("week",C1199)),ISNUMBER(SEARCH("minggu",C1199))),IFERROR(_xlfn.NUMBERVALUE(SUBSTITUTE(LEFT(TRIM(C1199),FIND(" ",TRIM(C1199)&amp;" ")-1),",","."),"."),LEFT(SUBSTITUTE(LEFT(TRIM(C1199),FIND(" ",TRIM(C1199)&amp;" ")-1),",","."),FIND("/",SUBSTITUTE(LEFT(TRIM(C1199),FIND(" ",TRIM(C1199)&amp;" ")-1),",","."))-1)/MID(SUBSTITUTE(LEFT(TRIM(C1199),FIND(" ",TRIM(C1199)&amp;" ")-1),",","."),FIND("/",SUBSTITUTE(LEFT(TRIM(C1199),FIND(" ",TRIM(C1199)&amp;" ")-1),",","."))+1,9))*12/52,IF(ISNUMBER(SEARCH("month",C1199)),IFERROR(_xlfn.NUMBERVALUE(SUBSTITUTE(LEFT(TRIM(C1199),FIND(" ",TRIM(C1199)&amp;" ")-1),",","."),"."),LEFT(SUBSTITUTE(LEFT(TRIM(C1199),FIND(" ",TRIM(C1199)&amp;" ")-1),",","."),FIND("/",SUBSTITUTE(LEFT(TRIM(C1199),FIND(" ",TRIM(C1199)&amp;" ")-1),",","."))-1)/MID(SUBSTITUTE(LEFT(TRIM(C1199),FIND(" ",TRIM(C1199)&amp;" ")-1),",","."),FIND("/",SUBSTITUTE(LEFT(TRIM(C1199),FIND(" ",TRIM(C1199)&amp;" ")-1),",","."))+1,9)),IF(ISNUMBER(SEARCH("yea",C1199)),IFERROR(_xlfn.NUMBERVALUE(SUBSTITUTE(LEFT(TRIM(C1199),FIND(" ",TRIM(C1199)&amp;" ")-1),",","."),"."),LEFT(SUBSTITUTE(LEFT(TRIM(C1199),FIND(" ",TRIM(C1199)&amp;" ")-1),",","."),FIND("/",SUBSTITUTE(LEFT(TRIM(C1199),FIND(" ",TRIM(C1199)&amp;" ")-1),",","."))-1)/MID(SUBSTITUTE(LEFT(TRIM(C1199),FIND(" ",TRIM(C1199)&amp;" ")-1),",","."),FIND("/",SUBSTITUTE(LEFT(TRIM(C1199),FIND(" ",TRIM(C1199)&amp;" ")-1),",","."))+1,9))*12,NA()))),0),24)*'Aturan &amp; Tarif'!$B$4,2)</f>
        <v>1362.72</v>
      </c>
      <c r="K1199" s="42" t="n">
        <f aca="false">'Aturan &amp; Tarif'!$B$5</f>
        <v>2050</v>
      </c>
      <c r="L1199" s="35" t="n">
        <f aca="false">I1199+J1199+K1199</f>
        <v>25688.72</v>
      </c>
      <c r="M1199" s="45" t="s">
        <v>2665</v>
      </c>
    </row>
    <row r="1200" customFormat="false" ht="25.5" hidden="false" customHeight="true" outlineLevel="0" collapsed="false">
      <c r="A1200" s="39"/>
      <c r="B1200" s="40" t="s">
        <v>2713</v>
      </c>
      <c r="C1200" s="41" t="s">
        <v>130</v>
      </c>
      <c r="D1200" s="41" t="s">
        <v>108</v>
      </c>
      <c r="E1200" s="42" t="n">
        <v>11891</v>
      </c>
      <c r="F1200" s="42"/>
      <c r="G1200" s="42"/>
      <c r="H1200" s="43" t="n">
        <v>2</v>
      </c>
      <c r="I1200" s="34" t="n">
        <f aca="false">E1200*H1200+N(F1200)+N(G1200)</f>
        <v>23782</v>
      </c>
      <c r="J1200" s="42" t="n">
        <f aca="false">ROUND(IFERROR(ROUND(IF(OR(ISNUMBER(SEARCH("week",C1200)),ISNUMBER(SEARCH("minggu",C1200))),IFERROR(_xlfn.NUMBERVALUE(SUBSTITUTE(LEFT(TRIM(C1200),FIND(" ",TRIM(C1200)&amp;" ")-1),",","."),"."),LEFT(SUBSTITUTE(LEFT(TRIM(C1200),FIND(" ",TRIM(C1200)&amp;" ")-1),",","."),FIND("/",SUBSTITUTE(LEFT(TRIM(C1200),FIND(" ",TRIM(C1200)&amp;" ")-1),",","."))-1)/MID(SUBSTITUTE(LEFT(TRIM(C1200),FIND(" ",TRIM(C1200)&amp;" ")-1),",","."),FIND("/",SUBSTITUTE(LEFT(TRIM(C1200),FIND(" ",TRIM(C1200)&amp;" ")-1),",","."))+1,9))*12/52,IF(ISNUMBER(SEARCH("month",C1200)),IFERROR(_xlfn.NUMBERVALUE(SUBSTITUTE(LEFT(TRIM(C1200),FIND(" ",TRIM(C1200)&amp;" ")-1),",","."),"."),LEFT(SUBSTITUTE(LEFT(TRIM(C1200),FIND(" ",TRIM(C1200)&amp;" ")-1),",","."),FIND("/",SUBSTITUTE(LEFT(TRIM(C1200),FIND(" ",TRIM(C1200)&amp;" ")-1),",","."))-1)/MID(SUBSTITUTE(LEFT(TRIM(C1200),FIND(" ",TRIM(C1200)&amp;" ")-1),",","."),FIND("/",SUBSTITUTE(LEFT(TRIM(C1200),FIND(" ",TRIM(C1200)&amp;" ")-1),",","."))+1,9)),IF(ISNUMBER(SEARCH("yea",C1200)),IFERROR(_xlfn.NUMBERVALUE(SUBSTITUTE(LEFT(TRIM(C1200),FIND(" ",TRIM(C1200)&amp;" ")-1),",","."),"."),LEFT(SUBSTITUTE(LEFT(TRIM(C1200),FIND(" ",TRIM(C1200)&amp;" ")-1),",","."),FIND("/",SUBSTITUTE(LEFT(TRIM(C1200),FIND(" ",TRIM(C1200)&amp;" ")-1),",","."))-1)/MID(SUBSTITUTE(LEFT(TRIM(C1200),FIND(" ",TRIM(C1200)&amp;" ")-1),",","."),FIND("/",SUBSTITUTE(LEFT(TRIM(C1200),FIND(" ",TRIM(C1200)&amp;" ")-1),",","."))+1,9))*12,NA()))),0),12)*'Aturan &amp; Tarif'!$B$4,2)</f>
        <v>681.36</v>
      </c>
      <c r="K1200" s="42" t="n">
        <f aca="false">'Aturan &amp; Tarif'!$B$5</f>
        <v>2050</v>
      </c>
      <c r="L1200" s="35" t="n">
        <f aca="false">I1200+J1200+K1200</f>
        <v>26513.36</v>
      </c>
      <c r="M1200" s="45" t="s">
        <v>2665</v>
      </c>
    </row>
    <row r="1201" customFormat="false" ht="25.5" hidden="false" customHeight="true" outlineLevel="0" collapsed="false">
      <c r="A1201" s="39"/>
      <c r="B1201" s="40" t="s">
        <v>3285</v>
      </c>
      <c r="C1201" s="41" t="s">
        <v>107</v>
      </c>
      <c r="D1201" s="41" t="s">
        <v>108</v>
      </c>
      <c r="E1201" s="42" t="n">
        <v>11891</v>
      </c>
      <c r="F1201" s="42"/>
      <c r="G1201" s="42"/>
      <c r="H1201" s="43" t="n">
        <v>2</v>
      </c>
      <c r="I1201" s="34" t="n">
        <f aca="false">E1201*H1201+N(F1201)+N(G1201)</f>
        <v>23782</v>
      </c>
      <c r="J1201" s="42" t="n">
        <f aca="false">ROUND(IFERROR(ROUND(IF(OR(ISNUMBER(SEARCH("week",C1201)),ISNUMBER(SEARCH("minggu",C1201))),IFERROR(_xlfn.NUMBERVALUE(SUBSTITUTE(LEFT(TRIM(C1201),FIND(" ",TRIM(C1201)&amp;" ")-1),",","."),"."),LEFT(SUBSTITUTE(LEFT(TRIM(C1201),FIND(" ",TRIM(C1201)&amp;" ")-1),",","."),FIND("/",SUBSTITUTE(LEFT(TRIM(C1201),FIND(" ",TRIM(C1201)&amp;" ")-1),",","."))-1)/MID(SUBSTITUTE(LEFT(TRIM(C1201),FIND(" ",TRIM(C1201)&amp;" ")-1),",","."),FIND("/",SUBSTITUTE(LEFT(TRIM(C1201),FIND(" ",TRIM(C1201)&amp;" ")-1),",","."))+1,9))*12/52,IF(ISNUMBER(SEARCH("month",C1201)),IFERROR(_xlfn.NUMBERVALUE(SUBSTITUTE(LEFT(TRIM(C1201),FIND(" ",TRIM(C1201)&amp;" ")-1),",","."),"."),LEFT(SUBSTITUTE(LEFT(TRIM(C1201),FIND(" ",TRIM(C1201)&amp;" ")-1),",","."),FIND("/",SUBSTITUTE(LEFT(TRIM(C1201),FIND(" ",TRIM(C1201)&amp;" ")-1),",","."))-1)/MID(SUBSTITUTE(LEFT(TRIM(C1201),FIND(" ",TRIM(C1201)&amp;" ")-1),",","."),FIND("/",SUBSTITUTE(LEFT(TRIM(C1201),FIND(" ",TRIM(C1201)&amp;" ")-1),",","."))+1,9)),IF(ISNUMBER(SEARCH("yea",C1201)),IFERROR(_xlfn.NUMBERVALUE(SUBSTITUTE(LEFT(TRIM(C1201),FIND(" ",TRIM(C1201)&amp;" ")-1),",","."),"."),LEFT(SUBSTITUTE(LEFT(TRIM(C1201),FIND(" ",TRIM(C1201)&amp;" ")-1),",","."),FIND("/",SUBSTITUTE(LEFT(TRIM(C1201),FIND(" ",TRIM(C1201)&amp;" ")-1),",","."))-1)/MID(SUBSTITUTE(LEFT(TRIM(C1201),FIND(" ",TRIM(C1201)&amp;" ")-1),",","."),FIND("/",SUBSTITUTE(LEFT(TRIM(C1201),FIND(" ",TRIM(C1201)&amp;" ")-1),",","."))+1,9))*12,NA()))),0),24)*'Aturan &amp; Tarif'!$B$4,2)</f>
        <v>1362.72</v>
      </c>
      <c r="K1201" s="42" t="n">
        <f aca="false">'Aturan &amp; Tarif'!$B$5</f>
        <v>2050</v>
      </c>
      <c r="L1201" s="35" t="n">
        <f aca="false">I1201+J1201+K1201</f>
        <v>27194.72</v>
      </c>
      <c r="M1201" s="45" t="s">
        <v>2665</v>
      </c>
    </row>
    <row r="1202" customFormat="false" ht="25.5" hidden="false" customHeight="true" outlineLevel="0" collapsed="false">
      <c r="A1202" s="39"/>
      <c r="B1202" s="40" t="s">
        <v>2715</v>
      </c>
      <c r="C1202" s="41" t="s">
        <v>130</v>
      </c>
      <c r="D1202" s="41" t="s">
        <v>108</v>
      </c>
      <c r="E1202" s="42" t="n">
        <v>11891</v>
      </c>
      <c r="F1202" s="42"/>
      <c r="G1202" s="42"/>
      <c r="H1202" s="43" t="n">
        <v>2</v>
      </c>
      <c r="I1202" s="34" t="n">
        <f aca="false">E1202*H1202+N(F1202)+N(G1202)</f>
        <v>23782</v>
      </c>
      <c r="J1202" s="42" t="n">
        <f aca="false">ROUND(IFERROR(ROUND(IF(OR(ISNUMBER(SEARCH("week",C1202)),ISNUMBER(SEARCH("minggu",C1202))),IFERROR(_xlfn.NUMBERVALUE(SUBSTITUTE(LEFT(TRIM(C1202),FIND(" ",TRIM(C1202)&amp;" ")-1),",","."),"."),LEFT(SUBSTITUTE(LEFT(TRIM(C1202),FIND(" ",TRIM(C1202)&amp;" ")-1),",","."),FIND("/",SUBSTITUTE(LEFT(TRIM(C1202),FIND(" ",TRIM(C1202)&amp;" ")-1),",","."))-1)/MID(SUBSTITUTE(LEFT(TRIM(C1202),FIND(" ",TRIM(C1202)&amp;" ")-1),",","."),FIND("/",SUBSTITUTE(LEFT(TRIM(C1202),FIND(" ",TRIM(C1202)&amp;" ")-1),",","."))+1,9))*12/52,IF(ISNUMBER(SEARCH("month",C1202)),IFERROR(_xlfn.NUMBERVALUE(SUBSTITUTE(LEFT(TRIM(C1202),FIND(" ",TRIM(C1202)&amp;" ")-1),",","."),"."),LEFT(SUBSTITUTE(LEFT(TRIM(C1202),FIND(" ",TRIM(C1202)&amp;" ")-1),",","."),FIND("/",SUBSTITUTE(LEFT(TRIM(C1202),FIND(" ",TRIM(C1202)&amp;" ")-1),",","."))-1)/MID(SUBSTITUTE(LEFT(TRIM(C1202),FIND(" ",TRIM(C1202)&amp;" ")-1),",","."),FIND("/",SUBSTITUTE(LEFT(TRIM(C1202),FIND(" ",TRIM(C1202)&amp;" ")-1),",","."))+1,9)),IF(ISNUMBER(SEARCH("yea",C1202)),IFERROR(_xlfn.NUMBERVALUE(SUBSTITUTE(LEFT(TRIM(C1202),FIND(" ",TRIM(C1202)&amp;" ")-1),",","."),"."),LEFT(SUBSTITUTE(LEFT(TRIM(C1202),FIND(" ",TRIM(C1202)&amp;" ")-1),",","."),FIND("/",SUBSTITUTE(LEFT(TRIM(C1202),FIND(" ",TRIM(C1202)&amp;" ")-1),",","."))-1)/MID(SUBSTITUTE(LEFT(TRIM(C1202),FIND(" ",TRIM(C1202)&amp;" ")-1),",","."),FIND("/",SUBSTITUTE(LEFT(TRIM(C1202),FIND(" ",TRIM(C1202)&amp;" ")-1),",","."))+1,9))*12,NA()))),0),12)*'Aturan &amp; Tarif'!$B$4,2)</f>
        <v>681.36</v>
      </c>
      <c r="K1202" s="42" t="n">
        <f aca="false">'Aturan &amp; Tarif'!$B$5</f>
        <v>2050</v>
      </c>
      <c r="L1202" s="35" t="n">
        <f aca="false">I1202+J1202+K1202</f>
        <v>26513.36</v>
      </c>
      <c r="M1202" s="45" t="s">
        <v>2665</v>
      </c>
    </row>
    <row r="1203" customFormat="false" ht="25.5" hidden="false" customHeight="true" outlineLevel="0" collapsed="false">
      <c r="A1203" s="39"/>
      <c r="B1203" s="40" t="s">
        <v>2716</v>
      </c>
      <c r="C1203" s="41" t="s">
        <v>107</v>
      </c>
      <c r="D1203" s="41" t="s">
        <v>108</v>
      </c>
      <c r="E1203" s="42" t="n">
        <v>10305</v>
      </c>
      <c r="F1203" s="42"/>
      <c r="G1203" s="42"/>
      <c r="H1203" s="43" t="n">
        <v>2</v>
      </c>
      <c r="I1203" s="34" t="n">
        <f aca="false">E1203*H1203+N(F1203)+N(G1203)</f>
        <v>20610</v>
      </c>
      <c r="J1203" s="42" t="n">
        <f aca="false">ROUND(IFERROR(ROUND(IF(OR(ISNUMBER(SEARCH("week",C1203)),ISNUMBER(SEARCH("minggu",C1203))),IFERROR(_xlfn.NUMBERVALUE(SUBSTITUTE(LEFT(TRIM(C1203),FIND(" ",TRIM(C1203)&amp;" ")-1),",","."),"."),LEFT(SUBSTITUTE(LEFT(TRIM(C1203),FIND(" ",TRIM(C1203)&amp;" ")-1),",","."),FIND("/",SUBSTITUTE(LEFT(TRIM(C1203),FIND(" ",TRIM(C1203)&amp;" ")-1),",","."))-1)/MID(SUBSTITUTE(LEFT(TRIM(C1203),FIND(" ",TRIM(C1203)&amp;" ")-1),",","."),FIND("/",SUBSTITUTE(LEFT(TRIM(C1203),FIND(" ",TRIM(C1203)&amp;" ")-1),",","."))+1,9))*12/52,IF(ISNUMBER(SEARCH("month",C1203)),IFERROR(_xlfn.NUMBERVALUE(SUBSTITUTE(LEFT(TRIM(C1203),FIND(" ",TRIM(C1203)&amp;" ")-1),",","."),"."),LEFT(SUBSTITUTE(LEFT(TRIM(C1203),FIND(" ",TRIM(C1203)&amp;" ")-1),",","."),FIND("/",SUBSTITUTE(LEFT(TRIM(C1203),FIND(" ",TRIM(C1203)&amp;" ")-1),",","."))-1)/MID(SUBSTITUTE(LEFT(TRIM(C1203),FIND(" ",TRIM(C1203)&amp;" ")-1),",","."),FIND("/",SUBSTITUTE(LEFT(TRIM(C1203),FIND(" ",TRIM(C1203)&amp;" ")-1),",","."))+1,9)),IF(ISNUMBER(SEARCH("yea",C1203)),IFERROR(_xlfn.NUMBERVALUE(SUBSTITUTE(LEFT(TRIM(C1203),FIND(" ",TRIM(C1203)&amp;" ")-1),",","."),"."),LEFT(SUBSTITUTE(LEFT(TRIM(C1203),FIND(" ",TRIM(C1203)&amp;" ")-1),",","."),FIND("/",SUBSTITUTE(LEFT(TRIM(C1203),FIND(" ",TRIM(C1203)&amp;" ")-1),",","."))-1)/MID(SUBSTITUTE(LEFT(TRIM(C1203),FIND(" ",TRIM(C1203)&amp;" ")-1),",","."),FIND("/",SUBSTITUTE(LEFT(TRIM(C1203),FIND(" ",TRIM(C1203)&amp;" ")-1),",","."))+1,9))*12,NA()))),0),24)*'Aturan &amp; Tarif'!$B$4,2)</f>
        <v>1362.72</v>
      </c>
      <c r="K1203" s="42" t="n">
        <f aca="false">'Aturan &amp; Tarif'!$B$5</f>
        <v>2050</v>
      </c>
      <c r="L1203" s="35" t="n">
        <f aca="false">I1203+J1203+K1203</f>
        <v>24022.72</v>
      </c>
      <c r="M1203" s="45" t="s">
        <v>2665</v>
      </c>
    </row>
    <row r="1204" customFormat="false" ht="25.5" hidden="false" customHeight="true" outlineLevel="0" collapsed="false">
      <c r="A1204" s="39"/>
      <c r="B1204" s="40" t="s">
        <v>2717</v>
      </c>
      <c r="C1204" s="41" t="s">
        <v>107</v>
      </c>
      <c r="D1204" s="41" t="s">
        <v>108</v>
      </c>
      <c r="E1204" s="42" t="n">
        <v>8694</v>
      </c>
      <c r="F1204" s="42"/>
      <c r="G1204" s="42"/>
      <c r="H1204" s="43" t="n">
        <v>2</v>
      </c>
      <c r="I1204" s="34" t="n">
        <f aca="false">E1204*H1204+N(F1204)+N(G1204)</f>
        <v>17388</v>
      </c>
      <c r="J1204" s="42" t="n">
        <f aca="false">ROUND(IFERROR(ROUND(IF(OR(ISNUMBER(SEARCH("week",C1204)),ISNUMBER(SEARCH("minggu",C1204))),IFERROR(_xlfn.NUMBERVALUE(SUBSTITUTE(LEFT(TRIM(C1204),FIND(" ",TRIM(C1204)&amp;" ")-1),",","."),"."),LEFT(SUBSTITUTE(LEFT(TRIM(C1204),FIND(" ",TRIM(C1204)&amp;" ")-1),",","."),FIND("/",SUBSTITUTE(LEFT(TRIM(C1204),FIND(" ",TRIM(C1204)&amp;" ")-1),",","."))-1)/MID(SUBSTITUTE(LEFT(TRIM(C1204),FIND(" ",TRIM(C1204)&amp;" ")-1),",","."),FIND("/",SUBSTITUTE(LEFT(TRIM(C1204),FIND(" ",TRIM(C1204)&amp;" ")-1),",","."))+1,9))*12/52,IF(ISNUMBER(SEARCH("month",C1204)),IFERROR(_xlfn.NUMBERVALUE(SUBSTITUTE(LEFT(TRIM(C1204),FIND(" ",TRIM(C1204)&amp;" ")-1),",","."),"."),LEFT(SUBSTITUTE(LEFT(TRIM(C1204),FIND(" ",TRIM(C1204)&amp;" ")-1),",","."),FIND("/",SUBSTITUTE(LEFT(TRIM(C1204),FIND(" ",TRIM(C1204)&amp;" ")-1),",","."))-1)/MID(SUBSTITUTE(LEFT(TRIM(C1204),FIND(" ",TRIM(C1204)&amp;" ")-1),",","."),FIND("/",SUBSTITUTE(LEFT(TRIM(C1204),FIND(" ",TRIM(C1204)&amp;" ")-1),",","."))+1,9)),IF(ISNUMBER(SEARCH("yea",C1204)),IFERROR(_xlfn.NUMBERVALUE(SUBSTITUTE(LEFT(TRIM(C1204),FIND(" ",TRIM(C1204)&amp;" ")-1),",","."),"."),LEFT(SUBSTITUTE(LEFT(TRIM(C1204),FIND(" ",TRIM(C1204)&amp;" ")-1),",","."),FIND("/",SUBSTITUTE(LEFT(TRIM(C1204),FIND(" ",TRIM(C1204)&amp;" ")-1),",","."))-1)/MID(SUBSTITUTE(LEFT(TRIM(C1204),FIND(" ",TRIM(C1204)&amp;" ")-1),",","."),FIND("/",SUBSTITUTE(LEFT(TRIM(C1204),FIND(" ",TRIM(C1204)&amp;" ")-1),",","."))+1,9))*12,NA()))),0),24)*'Aturan &amp; Tarif'!$B$4,2)</f>
        <v>1362.72</v>
      </c>
      <c r="K1204" s="42" t="n">
        <f aca="false">'Aturan &amp; Tarif'!$B$5</f>
        <v>2050</v>
      </c>
      <c r="L1204" s="35" t="n">
        <f aca="false">I1204+J1204+K1204</f>
        <v>20800.72</v>
      </c>
      <c r="M1204" s="45" t="s">
        <v>2665</v>
      </c>
    </row>
    <row r="1205" customFormat="false" ht="25.5" hidden="false" customHeight="true" outlineLevel="0" collapsed="false">
      <c r="A1205" s="39"/>
      <c r="B1205" s="40" t="s">
        <v>2718</v>
      </c>
      <c r="C1205" s="41" t="s">
        <v>344</v>
      </c>
      <c r="D1205" s="41" t="s">
        <v>108</v>
      </c>
      <c r="E1205" s="42" t="n">
        <v>4347</v>
      </c>
      <c r="F1205" s="42"/>
      <c r="G1205" s="42"/>
      <c r="H1205" s="43" t="n">
        <v>2</v>
      </c>
      <c r="I1205" s="34" t="n">
        <f aca="false">E1205*H1205+N(F1205)+N(G1205)</f>
        <v>8694</v>
      </c>
      <c r="J1205" s="42" t="n">
        <f aca="false">ROUND(IFERROR(ROUND(IF(OR(ISNUMBER(SEARCH("week",C1205)),ISNUMBER(SEARCH("minggu",C1205))),IFERROR(_xlfn.NUMBERVALUE(SUBSTITUTE(LEFT(TRIM(C1205),FIND(" ",TRIM(C1205)&amp;" ")-1),",","."),"."),LEFT(SUBSTITUTE(LEFT(TRIM(C1205),FIND(" ",TRIM(C1205)&amp;" ")-1),",","."),FIND("/",SUBSTITUTE(LEFT(TRIM(C1205),FIND(" ",TRIM(C1205)&amp;" ")-1),",","."))-1)/MID(SUBSTITUTE(LEFT(TRIM(C1205),FIND(" ",TRIM(C1205)&amp;" ")-1),",","."),FIND("/",SUBSTITUTE(LEFT(TRIM(C1205),FIND(" ",TRIM(C1205)&amp;" ")-1),",","."))+1,9))*12/52,IF(ISNUMBER(SEARCH("month",C1205)),IFERROR(_xlfn.NUMBERVALUE(SUBSTITUTE(LEFT(TRIM(C1205),FIND(" ",TRIM(C1205)&amp;" ")-1),",","."),"."),LEFT(SUBSTITUTE(LEFT(TRIM(C1205),FIND(" ",TRIM(C1205)&amp;" ")-1),",","."),FIND("/",SUBSTITUTE(LEFT(TRIM(C1205),FIND(" ",TRIM(C1205)&amp;" ")-1),",","."))-1)/MID(SUBSTITUTE(LEFT(TRIM(C1205),FIND(" ",TRIM(C1205)&amp;" ")-1),",","."),FIND("/",SUBSTITUTE(LEFT(TRIM(C1205),FIND(" ",TRIM(C1205)&amp;" ")-1),",","."))+1,9)),IF(ISNUMBER(SEARCH("yea",C1205)),IFERROR(_xlfn.NUMBERVALUE(SUBSTITUTE(LEFT(TRIM(C1205),FIND(" ",TRIM(C1205)&amp;" ")-1),",","."),"."),LEFT(SUBSTITUTE(LEFT(TRIM(C1205),FIND(" ",TRIM(C1205)&amp;" ")-1),",","."),FIND("/",SUBSTITUTE(LEFT(TRIM(C1205),FIND(" ",TRIM(C1205)&amp;" ")-1),",","."))-1)/MID(SUBSTITUTE(LEFT(TRIM(C1205),FIND(" ",TRIM(C1205)&amp;" ")-1),",","."),FIND("/",SUBSTITUTE(LEFT(TRIM(C1205),FIND(" ",TRIM(C1205)&amp;" ")-1),",","."))+1,9))*12,NA()))),0),6)*'Aturan &amp; Tarif'!$B$4,2)</f>
        <v>340.68</v>
      </c>
      <c r="K1205" s="42" t="n">
        <f aca="false">'Aturan &amp; Tarif'!$B$5</f>
        <v>2050</v>
      </c>
      <c r="L1205" s="35" t="n">
        <f aca="false">I1205+J1205+K1205</f>
        <v>11084.68</v>
      </c>
      <c r="M1205" s="45" t="s">
        <v>2665</v>
      </c>
    </row>
    <row r="1206" customFormat="false" ht="25.5" hidden="false" customHeight="true" outlineLevel="0" collapsed="false">
      <c r="A1206" s="39"/>
      <c r="B1206" s="40" t="s">
        <v>2719</v>
      </c>
      <c r="C1206" s="41" t="s">
        <v>107</v>
      </c>
      <c r="D1206" s="41" t="s">
        <v>108</v>
      </c>
      <c r="E1206" s="42" t="n">
        <v>8694</v>
      </c>
      <c r="F1206" s="42"/>
      <c r="G1206" s="42"/>
      <c r="H1206" s="43" t="n">
        <v>2</v>
      </c>
      <c r="I1206" s="34" t="n">
        <f aca="false">E1206*H1206+N(F1206)+N(G1206)</f>
        <v>17388</v>
      </c>
      <c r="J1206" s="42" t="n">
        <f aca="false">ROUND(IFERROR(ROUND(IF(OR(ISNUMBER(SEARCH("week",C1206)),ISNUMBER(SEARCH("minggu",C1206))),IFERROR(_xlfn.NUMBERVALUE(SUBSTITUTE(LEFT(TRIM(C1206),FIND(" ",TRIM(C1206)&amp;" ")-1),",","."),"."),LEFT(SUBSTITUTE(LEFT(TRIM(C1206),FIND(" ",TRIM(C1206)&amp;" ")-1),",","."),FIND("/",SUBSTITUTE(LEFT(TRIM(C1206),FIND(" ",TRIM(C1206)&amp;" ")-1),",","."))-1)/MID(SUBSTITUTE(LEFT(TRIM(C1206),FIND(" ",TRIM(C1206)&amp;" ")-1),",","."),FIND("/",SUBSTITUTE(LEFT(TRIM(C1206),FIND(" ",TRIM(C1206)&amp;" ")-1),",","."))+1,9))*12/52,IF(ISNUMBER(SEARCH("month",C1206)),IFERROR(_xlfn.NUMBERVALUE(SUBSTITUTE(LEFT(TRIM(C1206),FIND(" ",TRIM(C1206)&amp;" ")-1),",","."),"."),LEFT(SUBSTITUTE(LEFT(TRIM(C1206),FIND(" ",TRIM(C1206)&amp;" ")-1),",","."),FIND("/",SUBSTITUTE(LEFT(TRIM(C1206),FIND(" ",TRIM(C1206)&amp;" ")-1),",","."))-1)/MID(SUBSTITUTE(LEFT(TRIM(C1206),FIND(" ",TRIM(C1206)&amp;" ")-1),",","."),FIND("/",SUBSTITUTE(LEFT(TRIM(C1206),FIND(" ",TRIM(C1206)&amp;" ")-1),",","."))+1,9)),IF(ISNUMBER(SEARCH("yea",C1206)),IFERROR(_xlfn.NUMBERVALUE(SUBSTITUTE(LEFT(TRIM(C1206),FIND(" ",TRIM(C1206)&amp;" ")-1),",","."),"."),LEFT(SUBSTITUTE(LEFT(TRIM(C1206),FIND(" ",TRIM(C1206)&amp;" ")-1),",","."),FIND("/",SUBSTITUTE(LEFT(TRIM(C1206),FIND(" ",TRIM(C1206)&amp;" ")-1),",","."))-1)/MID(SUBSTITUTE(LEFT(TRIM(C1206),FIND(" ",TRIM(C1206)&amp;" ")-1),",","."),FIND("/",SUBSTITUTE(LEFT(TRIM(C1206),FIND(" ",TRIM(C1206)&amp;" ")-1),",","."))+1,9))*12,NA()))),0),24)*'Aturan &amp; Tarif'!$B$4,2)</f>
        <v>1362.72</v>
      </c>
      <c r="K1206" s="42" t="n">
        <f aca="false">'Aturan &amp; Tarif'!$B$5</f>
        <v>2050</v>
      </c>
      <c r="L1206" s="35" t="n">
        <f aca="false">I1206+J1206+K1206</f>
        <v>20800.72</v>
      </c>
      <c r="M1206" s="45" t="s">
        <v>2665</v>
      </c>
    </row>
    <row r="1207" customFormat="false" ht="25.5" hidden="false" customHeight="true" outlineLevel="0" collapsed="false">
      <c r="A1207" s="39"/>
      <c r="B1207" s="40" t="s">
        <v>2720</v>
      </c>
      <c r="C1207" s="41" t="s">
        <v>130</v>
      </c>
      <c r="D1207" s="41" t="s">
        <v>108</v>
      </c>
      <c r="E1207" s="42" t="n">
        <v>8694</v>
      </c>
      <c r="F1207" s="42"/>
      <c r="G1207" s="42"/>
      <c r="H1207" s="43" t="n">
        <v>2</v>
      </c>
      <c r="I1207" s="34" t="n">
        <f aca="false">E1207*H1207+N(F1207)+N(G1207)</f>
        <v>17388</v>
      </c>
      <c r="J1207" s="42" t="n">
        <f aca="false">ROUND(IFERROR(ROUND(IF(OR(ISNUMBER(SEARCH("week",C1207)),ISNUMBER(SEARCH("minggu",C1207))),IFERROR(_xlfn.NUMBERVALUE(SUBSTITUTE(LEFT(TRIM(C1207),FIND(" ",TRIM(C1207)&amp;" ")-1),",","."),"."),LEFT(SUBSTITUTE(LEFT(TRIM(C1207),FIND(" ",TRIM(C1207)&amp;" ")-1),",","."),FIND("/",SUBSTITUTE(LEFT(TRIM(C1207),FIND(" ",TRIM(C1207)&amp;" ")-1),",","."))-1)/MID(SUBSTITUTE(LEFT(TRIM(C1207),FIND(" ",TRIM(C1207)&amp;" ")-1),",","."),FIND("/",SUBSTITUTE(LEFT(TRIM(C1207),FIND(" ",TRIM(C1207)&amp;" ")-1),",","."))+1,9))*12/52,IF(ISNUMBER(SEARCH("month",C1207)),IFERROR(_xlfn.NUMBERVALUE(SUBSTITUTE(LEFT(TRIM(C1207),FIND(" ",TRIM(C1207)&amp;" ")-1),",","."),"."),LEFT(SUBSTITUTE(LEFT(TRIM(C1207),FIND(" ",TRIM(C1207)&amp;" ")-1),",","."),FIND("/",SUBSTITUTE(LEFT(TRIM(C1207),FIND(" ",TRIM(C1207)&amp;" ")-1),",","."))-1)/MID(SUBSTITUTE(LEFT(TRIM(C1207),FIND(" ",TRIM(C1207)&amp;" ")-1),",","."),FIND("/",SUBSTITUTE(LEFT(TRIM(C1207),FIND(" ",TRIM(C1207)&amp;" ")-1),",","."))+1,9)),IF(ISNUMBER(SEARCH("yea",C1207)),IFERROR(_xlfn.NUMBERVALUE(SUBSTITUTE(LEFT(TRIM(C1207),FIND(" ",TRIM(C1207)&amp;" ")-1),",","."),"."),LEFT(SUBSTITUTE(LEFT(TRIM(C1207),FIND(" ",TRIM(C1207)&amp;" ")-1),",","."),FIND("/",SUBSTITUTE(LEFT(TRIM(C1207),FIND(" ",TRIM(C1207)&amp;" ")-1),",","."))-1)/MID(SUBSTITUTE(LEFT(TRIM(C1207),FIND(" ",TRIM(C1207)&amp;" ")-1),",","."),FIND("/",SUBSTITUTE(LEFT(TRIM(C1207),FIND(" ",TRIM(C1207)&amp;" ")-1),",","."))+1,9))*12,NA()))),0),12)*'Aturan &amp; Tarif'!$B$4,2)</f>
        <v>681.36</v>
      </c>
      <c r="K1207" s="42" t="n">
        <f aca="false">'Aturan &amp; Tarif'!$B$5</f>
        <v>2050</v>
      </c>
      <c r="L1207" s="35" t="n">
        <f aca="false">I1207+J1207+K1207</f>
        <v>20119.36</v>
      </c>
      <c r="M1207" s="45" t="s">
        <v>2665</v>
      </c>
    </row>
    <row r="1208" customFormat="false" ht="25.5" hidden="false" customHeight="true" outlineLevel="0" collapsed="false">
      <c r="A1208" s="39"/>
      <c r="B1208" s="40" t="s">
        <v>2721</v>
      </c>
      <c r="C1208" s="41" t="s">
        <v>344</v>
      </c>
      <c r="D1208" s="41" t="s">
        <v>108</v>
      </c>
      <c r="E1208" s="42" t="n">
        <v>4347</v>
      </c>
      <c r="F1208" s="42"/>
      <c r="G1208" s="42"/>
      <c r="H1208" s="43" t="n">
        <v>2</v>
      </c>
      <c r="I1208" s="34" t="n">
        <f aca="false">E1208*H1208+N(F1208)+N(G1208)</f>
        <v>8694</v>
      </c>
      <c r="J1208" s="42" t="n">
        <f aca="false">ROUND(IFERROR(ROUND(IF(OR(ISNUMBER(SEARCH("week",C1208)),ISNUMBER(SEARCH("minggu",C1208))),IFERROR(_xlfn.NUMBERVALUE(SUBSTITUTE(LEFT(TRIM(C1208),FIND(" ",TRIM(C1208)&amp;" ")-1),",","."),"."),LEFT(SUBSTITUTE(LEFT(TRIM(C1208),FIND(" ",TRIM(C1208)&amp;" ")-1),",","."),FIND("/",SUBSTITUTE(LEFT(TRIM(C1208),FIND(" ",TRIM(C1208)&amp;" ")-1),",","."))-1)/MID(SUBSTITUTE(LEFT(TRIM(C1208),FIND(" ",TRIM(C1208)&amp;" ")-1),",","."),FIND("/",SUBSTITUTE(LEFT(TRIM(C1208),FIND(" ",TRIM(C1208)&amp;" ")-1),",","."))+1,9))*12/52,IF(ISNUMBER(SEARCH("month",C1208)),IFERROR(_xlfn.NUMBERVALUE(SUBSTITUTE(LEFT(TRIM(C1208),FIND(" ",TRIM(C1208)&amp;" ")-1),",","."),"."),LEFT(SUBSTITUTE(LEFT(TRIM(C1208),FIND(" ",TRIM(C1208)&amp;" ")-1),",","."),FIND("/",SUBSTITUTE(LEFT(TRIM(C1208),FIND(" ",TRIM(C1208)&amp;" ")-1),",","."))-1)/MID(SUBSTITUTE(LEFT(TRIM(C1208),FIND(" ",TRIM(C1208)&amp;" ")-1),",","."),FIND("/",SUBSTITUTE(LEFT(TRIM(C1208),FIND(" ",TRIM(C1208)&amp;" ")-1),",","."))+1,9)),IF(ISNUMBER(SEARCH("yea",C1208)),IFERROR(_xlfn.NUMBERVALUE(SUBSTITUTE(LEFT(TRIM(C1208),FIND(" ",TRIM(C1208)&amp;" ")-1),",","."),"."),LEFT(SUBSTITUTE(LEFT(TRIM(C1208),FIND(" ",TRIM(C1208)&amp;" ")-1),",","."),FIND("/",SUBSTITUTE(LEFT(TRIM(C1208),FIND(" ",TRIM(C1208)&amp;" ")-1),",","."))-1)/MID(SUBSTITUTE(LEFT(TRIM(C1208),FIND(" ",TRIM(C1208)&amp;" ")-1),",","."),FIND("/",SUBSTITUTE(LEFT(TRIM(C1208),FIND(" ",TRIM(C1208)&amp;" ")-1),",","."))+1,9))*12,NA()))),0),6)*'Aturan &amp; Tarif'!$B$4,2)</f>
        <v>340.68</v>
      </c>
      <c r="K1208" s="42" t="n">
        <f aca="false">'Aturan &amp; Tarif'!$B$5</f>
        <v>2050</v>
      </c>
      <c r="L1208" s="35" t="n">
        <f aca="false">I1208+J1208+K1208</f>
        <v>11084.68</v>
      </c>
      <c r="M1208" s="45" t="s">
        <v>2665</v>
      </c>
    </row>
    <row r="1209" customFormat="false" ht="25.5" hidden="false" customHeight="true" outlineLevel="0" collapsed="false">
      <c r="A1209" s="39"/>
      <c r="B1209" s="40" t="s">
        <v>2722</v>
      </c>
      <c r="C1209" s="41" t="s">
        <v>107</v>
      </c>
      <c r="D1209" s="41" t="s">
        <v>108</v>
      </c>
      <c r="E1209" s="42" t="n">
        <v>8694</v>
      </c>
      <c r="F1209" s="42"/>
      <c r="G1209" s="42"/>
      <c r="H1209" s="43" t="n">
        <v>2</v>
      </c>
      <c r="I1209" s="34" t="n">
        <f aca="false">E1209*H1209+N(F1209)+N(G1209)</f>
        <v>17388</v>
      </c>
      <c r="J1209" s="42" t="n">
        <f aca="false">ROUND(IFERROR(ROUND(IF(OR(ISNUMBER(SEARCH("week",C1209)),ISNUMBER(SEARCH("minggu",C1209))),IFERROR(_xlfn.NUMBERVALUE(SUBSTITUTE(LEFT(TRIM(C1209),FIND(" ",TRIM(C1209)&amp;" ")-1),",","."),"."),LEFT(SUBSTITUTE(LEFT(TRIM(C1209),FIND(" ",TRIM(C1209)&amp;" ")-1),",","."),FIND("/",SUBSTITUTE(LEFT(TRIM(C1209),FIND(" ",TRIM(C1209)&amp;" ")-1),",","."))-1)/MID(SUBSTITUTE(LEFT(TRIM(C1209),FIND(" ",TRIM(C1209)&amp;" ")-1),",","."),FIND("/",SUBSTITUTE(LEFT(TRIM(C1209),FIND(" ",TRIM(C1209)&amp;" ")-1),",","."))+1,9))*12/52,IF(ISNUMBER(SEARCH("month",C1209)),IFERROR(_xlfn.NUMBERVALUE(SUBSTITUTE(LEFT(TRIM(C1209),FIND(" ",TRIM(C1209)&amp;" ")-1),",","."),"."),LEFT(SUBSTITUTE(LEFT(TRIM(C1209),FIND(" ",TRIM(C1209)&amp;" ")-1),",","."),FIND("/",SUBSTITUTE(LEFT(TRIM(C1209),FIND(" ",TRIM(C1209)&amp;" ")-1),",","."))-1)/MID(SUBSTITUTE(LEFT(TRIM(C1209),FIND(" ",TRIM(C1209)&amp;" ")-1),",","."),FIND("/",SUBSTITUTE(LEFT(TRIM(C1209),FIND(" ",TRIM(C1209)&amp;" ")-1),",","."))+1,9)),IF(ISNUMBER(SEARCH("yea",C1209)),IFERROR(_xlfn.NUMBERVALUE(SUBSTITUTE(LEFT(TRIM(C1209),FIND(" ",TRIM(C1209)&amp;" ")-1),",","."),"."),LEFT(SUBSTITUTE(LEFT(TRIM(C1209),FIND(" ",TRIM(C1209)&amp;" ")-1),",","."),FIND("/",SUBSTITUTE(LEFT(TRIM(C1209),FIND(" ",TRIM(C1209)&amp;" ")-1),",","."))-1)/MID(SUBSTITUTE(LEFT(TRIM(C1209),FIND(" ",TRIM(C1209)&amp;" ")-1),",","."),FIND("/",SUBSTITUTE(LEFT(TRIM(C1209),FIND(" ",TRIM(C1209)&amp;" ")-1),",","."))+1,9))*12,NA()))),0),24)*'Aturan &amp; Tarif'!$B$4,2)</f>
        <v>1362.72</v>
      </c>
      <c r="K1209" s="42" t="n">
        <f aca="false">'Aturan &amp; Tarif'!$B$5</f>
        <v>2050</v>
      </c>
      <c r="L1209" s="35" t="n">
        <f aca="false">I1209+J1209+K1209</f>
        <v>20800.72</v>
      </c>
      <c r="M1209" s="45" t="s">
        <v>2665</v>
      </c>
    </row>
    <row r="1210" customFormat="false" ht="25.5" hidden="false" customHeight="true" outlineLevel="0" collapsed="false">
      <c r="A1210" s="39"/>
      <c r="B1210" s="40" t="s">
        <v>2723</v>
      </c>
      <c r="C1210" s="41" t="s">
        <v>107</v>
      </c>
      <c r="D1210" s="41" t="s">
        <v>108</v>
      </c>
      <c r="E1210" s="42" t="n">
        <v>8694</v>
      </c>
      <c r="F1210" s="42"/>
      <c r="G1210" s="42"/>
      <c r="H1210" s="43" t="n">
        <v>2</v>
      </c>
      <c r="I1210" s="34" t="n">
        <f aca="false">E1210*H1210+N(F1210)+N(G1210)</f>
        <v>17388</v>
      </c>
      <c r="J1210" s="42" t="n">
        <f aca="false">ROUND(IFERROR(ROUND(IF(OR(ISNUMBER(SEARCH("week",C1210)),ISNUMBER(SEARCH("minggu",C1210))),IFERROR(_xlfn.NUMBERVALUE(SUBSTITUTE(LEFT(TRIM(C1210),FIND(" ",TRIM(C1210)&amp;" ")-1),",","."),"."),LEFT(SUBSTITUTE(LEFT(TRIM(C1210),FIND(" ",TRIM(C1210)&amp;" ")-1),",","."),FIND("/",SUBSTITUTE(LEFT(TRIM(C1210),FIND(" ",TRIM(C1210)&amp;" ")-1),",","."))-1)/MID(SUBSTITUTE(LEFT(TRIM(C1210),FIND(" ",TRIM(C1210)&amp;" ")-1),",","."),FIND("/",SUBSTITUTE(LEFT(TRIM(C1210),FIND(" ",TRIM(C1210)&amp;" ")-1),",","."))+1,9))*12/52,IF(ISNUMBER(SEARCH("month",C1210)),IFERROR(_xlfn.NUMBERVALUE(SUBSTITUTE(LEFT(TRIM(C1210),FIND(" ",TRIM(C1210)&amp;" ")-1),",","."),"."),LEFT(SUBSTITUTE(LEFT(TRIM(C1210),FIND(" ",TRIM(C1210)&amp;" ")-1),",","."),FIND("/",SUBSTITUTE(LEFT(TRIM(C1210),FIND(" ",TRIM(C1210)&amp;" ")-1),",","."))-1)/MID(SUBSTITUTE(LEFT(TRIM(C1210),FIND(" ",TRIM(C1210)&amp;" ")-1),",","."),FIND("/",SUBSTITUTE(LEFT(TRIM(C1210),FIND(" ",TRIM(C1210)&amp;" ")-1),",","."))+1,9)),IF(ISNUMBER(SEARCH("yea",C1210)),IFERROR(_xlfn.NUMBERVALUE(SUBSTITUTE(LEFT(TRIM(C1210),FIND(" ",TRIM(C1210)&amp;" ")-1),",","."),"."),LEFT(SUBSTITUTE(LEFT(TRIM(C1210),FIND(" ",TRIM(C1210)&amp;" ")-1),",","."),FIND("/",SUBSTITUTE(LEFT(TRIM(C1210),FIND(" ",TRIM(C1210)&amp;" ")-1),",","."))-1)/MID(SUBSTITUTE(LEFT(TRIM(C1210),FIND(" ",TRIM(C1210)&amp;" ")-1),",","."),FIND("/",SUBSTITUTE(LEFT(TRIM(C1210),FIND(" ",TRIM(C1210)&amp;" ")-1),",","."))+1,9))*12,NA()))),0),24)*'Aturan &amp; Tarif'!$B$4,2)</f>
        <v>1362.72</v>
      </c>
      <c r="K1210" s="42" t="n">
        <f aca="false">'Aturan &amp; Tarif'!$B$5</f>
        <v>2050</v>
      </c>
      <c r="L1210" s="35" t="n">
        <f aca="false">I1210+J1210+K1210</f>
        <v>20800.72</v>
      </c>
      <c r="M1210" s="45" t="s">
        <v>2665</v>
      </c>
    </row>
    <row r="1211" customFormat="false" ht="25.5" hidden="false" customHeight="true" outlineLevel="0" collapsed="false">
      <c r="A1211" s="39"/>
      <c r="B1211" s="40" t="s">
        <v>2724</v>
      </c>
      <c r="C1211" s="41" t="s">
        <v>138</v>
      </c>
      <c r="D1211" s="41" t="s">
        <v>108</v>
      </c>
      <c r="E1211" s="42" t="n">
        <v>8768</v>
      </c>
      <c r="F1211" s="42"/>
      <c r="G1211" s="42"/>
      <c r="H1211" s="43" t="n">
        <v>2</v>
      </c>
      <c r="I1211" s="34" t="n">
        <f aca="false">E1211*H1211+N(F1211)+N(G1211)</f>
        <v>17536</v>
      </c>
      <c r="J1211" s="42" t="n">
        <f aca="false">ROUND(IFERROR(ROUND(IF(OR(ISNUMBER(SEARCH("week",C1211)),ISNUMBER(SEARCH("minggu",C1211))),IFERROR(_xlfn.NUMBERVALUE(SUBSTITUTE(LEFT(TRIM(C1211),FIND(" ",TRIM(C1211)&amp;" ")-1),",","."),"."),LEFT(SUBSTITUTE(LEFT(TRIM(C1211),FIND(" ",TRIM(C1211)&amp;" ")-1),",","."),FIND("/",SUBSTITUTE(LEFT(TRIM(C1211),FIND(" ",TRIM(C1211)&amp;" ")-1),",","."))-1)/MID(SUBSTITUTE(LEFT(TRIM(C1211),FIND(" ",TRIM(C1211)&amp;" ")-1),",","."),FIND("/",SUBSTITUTE(LEFT(TRIM(C1211),FIND(" ",TRIM(C1211)&amp;" ")-1),",","."))+1,9))*12/52,IF(ISNUMBER(SEARCH("month",C1211)),IFERROR(_xlfn.NUMBERVALUE(SUBSTITUTE(LEFT(TRIM(C1211),FIND(" ",TRIM(C1211)&amp;" ")-1),",","."),"."),LEFT(SUBSTITUTE(LEFT(TRIM(C1211),FIND(" ",TRIM(C1211)&amp;" ")-1),",","."),FIND("/",SUBSTITUTE(LEFT(TRIM(C1211),FIND(" ",TRIM(C1211)&amp;" ")-1),",","."))-1)/MID(SUBSTITUTE(LEFT(TRIM(C1211),FIND(" ",TRIM(C1211)&amp;" ")-1),",","."),FIND("/",SUBSTITUTE(LEFT(TRIM(C1211),FIND(" ",TRIM(C1211)&amp;" ")-1),",","."))+1,9)),IF(ISNUMBER(SEARCH("yea",C1211)),IFERROR(_xlfn.NUMBERVALUE(SUBSTITUTE(LEFT(TRIM(C1211),FIND(" ",TRIM(C1211)&amp;" ")-1),",","."),"."),LEFT(SUBSTITUTE(LEFT(TRIM(C1211),FIND(" ",TRIM(C1211)&amp;" ")-1),",","."),FIND("/",SUBSTITUTE(LEFT(TRIM(C1211),FIND(" ",TRIM(C1211)&amp;" ")-1),",","."))-1)/MID(SUBSTITUTE(LEFT(TRIM(C1211),FIND(" ",TRIM(C1211)&amp;" ")-1),",","."),FIND("/",SUBSTITUTE(LEFT(TRIM(C1211),FIND(" ",TRIM(C1211)&amp;" ")-1),",","."))+1,9))*12,NA()))),0),30)*'Aturan &amp; Tarif'!$B$4,2)</f>
        <v>1703.4</v>
      </c>
      <c r="K1211" s="42" t="n">
        <f aca="false">'Aturan &amp; Tarif'!$B$5</f>
        <v>2050</v>
      </c>
      <c r="L1211" s="35" t="n">
        <f aca="false">I1211+J1211+K1211</f>
        <v>21289.4</v>
      </c>
      <c r="M1211" s="45" t="s">
        <v>2665</v>
      </c>
    </row>
    <row r="1212" customFormat="false" ht="25.5" hidden="false" customHeight="true" outlineLevel="0" collapsed="false">
      <c r="A1212" s="39"/>
      <c r="B1212" s="40" t="s">
        <v>2725</v>
      </c>
      <c r="C1212" s="41" t="s">
        <v>107</v>
      </c>
      <c r="D1212" s="41" t="s">
        <v>108</v>
      </c>
      <c r="E1212" s="42" t="n">
        <v>8768</v>
      </c>
      <c r="F1212" s="42"/>
      <c r="G1212" s="42"/>
      <c r="H1212" s="43" t="n">
        <v>2</v>
      </c>
      <c r="I1212" s="34" t="n">
        <f aca="false">E1212*H1212+N(F1212)+N(G1212)</f>
        <v>17536</v>
      </c>
      <c r="J1212" s="42" t="n">
        <f aca="false">ROUND(IFERROR(ROUND(IF(OR(ISNUMBER(SEARCH("week",C1212)),ISNUMBER(SEARCH("minggu",C1212))),IFERROR(_xlfn.NUMBERVALUE(SUBSTITUTE(LEFT(TRIM(C1212),FIND(" ",TRIM(C1212)&amp;" ")-1),",","."),"."),LEFT(SUBSTITUTE(LEFT(TRIM(C1212),FIND(" ",TRIM(C1212)&amp;" ")-1),",","."),FIND("/",SUBSTITUTE(LEFT(TRIM(C1212),FIND(" ",TRIM(C1212)&amp;" ")-1),",","."))-1)/MID(SUBSTITUTE(LEFT(TRIM(C1212),FIND(" ",TRIM(C1212)&amp;" ")-1),",","."),FIND("/",SUBSTITUTE(LEFT(TRIM(C1212),FIND(" ",TRIM(C1212)&amp;" ")-1),",","."))+1,9))*12/52,IF(ISNUMBER(SEARCH("month",C1212)),IFERROR(_xlfn.NUMBERVALUE(SUBSTITUTE(LEFT(TRIM(C1212),FIND(" ",TRIM(C1212)&amp;" ")-1),",","."),"."),LEFT(SUBSTITUTE(LEFT(TRIM(C1212),FIND(" ",TRIM(C1212)&amp;" ")-1),",","."),FIND("/",SUBSTITUTE(LEFT(TRIM(C1212),FIND(" ",TRIM(C1212)&amp;" ")-1),",","."))-1)/MID(SUBSTITUTE(LEFT(TRIM(C1212),FIND(" ",TRIM(C1212)&amp;" ")-1),",","."),FIND("/",SUBSTITUTE(LEFT(TRIM(C1212),FIND(" ",TRIM(C1212)&amp;" ")-1),",","."))+1,9)),IF(ISNUMBER(SEARCH("yea",C1212)),IFERROR(_xlfn.NUMBERVALUE(SUBSTITUTE(LEFT(TRIM(C1212),FIND(" ",TRIM(C1212)&amp;" ")-1),",","."),"."),LEFT(SUBSTITUTE(LEFT(TRIM(C1212),FIND(" ",TRIM(C1212)&amp;" ")-1),",","."),FIND("/",SUBSTITUTE(LEFT(TRIM(C1212),FIND(" ",TRIM(C1212)&amp;" ")-1),",","."))-1)/MID(SUBSTITUTE(LEFT(TRIM(C1212),FIND(" ",TRIM(C1212)&amp;" ")-1),",","."),FIND("/",SUBSTITUTE(LEFT(TRIM(C1212),FIND(" ",TRIM(C1212)&amp;" ")-1),",","."))+1,9))*12,NA()))),0),24)*'Aturan &amp; Tarif'!$B$4,2)</f>
        <v>1362.72</v>
      </c>
      <c r="K1212" s="42" t="n">
        <f aca="false">'Aturan &amp; Tarif'!$B$5</f>
        <v>2050</v>
      </c>
      <c r="L1212" s="35" t="n">
        <f aca="false">I1212+J1212+K1212</f>
        <v>20948.72</v>
      </c>
      <c r="M1212" s="45" t="s">
        <v>2665</v>
      </c>
    </row>
    <row r="1213" customFormat="false" ht="25.5" hidden="false" customHeight="true" outlineLevel="0" collapsed="false">
      <c r="A1213" s="39"/>
      <c r="B1213" s="40" t="s">
        <v>2726</v>
      </c>
      <c r="C1213" s="41" t="s">
        <v>107</v>
      </c>
      <c r="D1213" s="41" t="s">
        <v>108</v>
      </c>
      <c r="E1213" s="42" t="n">
        <v>8768</v>
      </c>
      <c r="F1213" s="42"/>
      <c r="G1213" s="42"/>
      <c r="H1213" s="43" t="n">
        <v>2</v>
      </c>
      <c r="I1213" s="34" t="n">
        <f aca="false">E1213*H1213+N(F1213)+N(G1213)</f>
        <v>17536</v>
      </c>
      <c r="J1213" s="42" t="n">
        <f aca="false">ROUND(IFERROR(ROUND(IF(OR(ISNUMBER(SEARCH("week",C1213)),ISNUMBER(SEARCH("minggu",C1213))),IFERROR(_xlfn.NUMBERVALUE(SUBSTITUTE(LEFT(TRIM(C1213),FIND(" ",TRIM(C1213)&amp;" ")-1),",","."),"."),LEFT(SUBSTITUTE(LEFT(TRIM(C1213),FIND(" ",TRIM(C1213)&amp;" ")-1),",","."),FIND("/",SUBSTITUTE(LEFT(TRIM(C1213),FIND(" ",TRIM(C1213)&amp;" ")-1),",","."))-1)/MID(SUBSTITUTE(LEFT(TRIM(C1213),FIND(" ",TRIM(C1213)&amp;" ")-1),",","."),FIND("/",SUBSTITUTE(LEFT(TRIM(C1213),FIND(" ",TRIM(C1213)&amp;" ")-1),",","."))+1,9))*12/52,IF(ISNUMBER(SEARCH("month",C1213)),IFERROR(_xlfn.NUMBERVALUE(SUBSTITUTE(LEFT(TRIM(C1213),FIND(" ",TRIM(C1213)&amp;" ")-1),",","."),"."),LEFT(SUBSTITUTE(LEFT(TRIM(C1213),FIND(" ",TRIM(C1213)&amp;" ")-1),",","."),FIND("/",SUBSTITUTE(LEFT(TRIM(C1213),FIND(" ",TRIM(C1213)&amp;" ")-1),",","."))-1)/MID(SUBSTITUTE(LEFT(TRIM(C1213),FIND(" ",TRIM(C1213)&amp;" ")-1),",","."),FIND("/",SUBSTITUTE(LEFT(TRIM(C1213),FIND(" ",TRIM(C1213)&amp;" ")-1),",","."))+1,9)),IF(ISNUMBER(SEARCH("yea",C1213)),IFERROR(_xlfn.NUMBERVALUE(SUBSTITUTE(LEFT(TRIM(C1213),FIND(" ",TRIM(C1213)&amp;" ")-1),",","."),"."),LEFT(SUBSTITUTE(LEFT(TRIM(C1213),FIND(" ",TRIM(C1213)&amp;" ")-1),",","."),FIND("/",SUBSTITUTE(LEFT(TRIM(C1213),FIND(" ",TRIM(C1213)&amp;" ")-1),",","."))-1)/MID(SUBSTITUTE(LEFT(TRIM(C1213),FIND(" ",TRIM(C1213)&amp;" ")-1),",","."),FIND("/",SUBSTITUTE(LEFT(TRIM(C1213),FIND(" ",TRIM(C1213)&amp;" ")-1),",","."))+1,9))*12,NA()))),0),24)*'Aturan &amp; Tarif'!$B$4,2)</f>
        <v>1362.72</v>
      </c>
      <c r="K1213" s="42" t="n">
        <f aca="false">'Aturan &amp; Tarif'!$B$5</f>
        <v>2050</v>
      </c>
      <c r="L1213" s="35" t="n">
        <f aca="false">I1213+J1213+K1213</f>
        <v>20948.72</v>
      </c>
      <c r="M1213" s="45" t="s">
        <v>2665</v>
      </c>
    </row>
    <row r="1214" customFormat="false" ht="25.5" hidden="false" customHeight="true" outlineLevel="0" collapsed="false">
      <c r="A1214" s="39"/>
      <c r="B1214" s="40" t="s">
        <v>2727</v>
      </c>
      <c r="C1214" s="41" t="s">
        <v>107</v>
      </c>
      <c r="D1214" s="41" t="s">
        <v>108</v>
      </c>
      <c r="E1214" s="42" t="n">
        <v>8768</v>
      </c>
      <c r="F1214" s="42"/>
      <c r="G1214" s="42"/>
      <c r="H1214" s="43" t="n">
        <v>2</v>
      </c>
      <c r="I1214" s="34" t="n">
        <f aca="false">E1214*H1214+N(F1214)+N(G1214)</f>
        <v>17536</v>
      </c>
      <c r="J1214" s="42" t="n">
        <f aca="false">ROUND(IFERROR(ROUND(IF(OR(ISNUMBER(SEARCH("week",C1214)),ISNUMBER(SEARCH("minggu",C1214))),IFERROR(_xlfn.NUMBERVALUE(SUBSTITUTE(LEFT(TRIM(C1214),FIND(" ",TRIM(C1214)&amp;" ")-1),",","."),"."),LEFT(SUBSTITUTE(LEFT(TRIM(C1214),FIND(" ",TRIM(C1214)&amp;" ")-1),",","."),FIND("/",SUBSTITUTE(LEFT(TRIM(C1214),FIND(" ",TRIM(C1214)&amp;" ")-1),",","."))-1)/MID(SUBSTITUTE(LEFT(TRIM(C1214),FIND(" ",TRIM(C1214)&amp;" ")-1),",","."),FIND("/",SUBSTITUTE(LEFT(TRIM(C1214),FIND(" ",TRIM(C1214)&amp;" ")-1),",","."))+1,9))*12/52,IF(ISNUMBER(SEARCH("month",C1214)),IFERROR(_xlfn.NUMBERVALUE(SUBSTITUTE(LEFT(TRIM(C1214),FIND(" ",TRIM(C1214)&amp;" ")-1),",","."),"."),LEFT(SUBSTITUTE(LEFT(TRIM(C1214),FIND(" ",TRIM(C1214)&amp;" ")-1),",","."),FIND("/",SUBSTITUTE(LEFT(TRIM(C1214),FIND(" ",TRIM(C1214)&amp;" ")-1),",","."))-1)/MID(SUBSTITUTE(LEFT(TRIM(C1214),FIND(" ",TRIM(C1214)&amp;" ")-1),",","."),FIND("/",SUBSTITUTE(LEFT(TRIM(C1214),FIND(" ",TRIM(C1214)&amp;" ")-1),",","."))+1,9)),IF(ISNUMBER(SEARCH("yea",C1214)),IFERROR(_xlfn.NUMBERVALUE(SUBSTITUTE(LEFT(TRIM(C1214),FIND(" ",TRIM(C1214)&amp;" ")-1),",","."),"."),LEFT(SUBSTITUTE(LEFT(TRIM(C1214),FIND(" ",TRIM(C1214)&amp;" ")-1),",","."),FIND("/",SUBSTITUTE(LEFT(TRIM(C1214),FIND(" ",TRIM(C1214)&amp;" ")-1),",","."))-1)/MID(SUBSTITUTE(LEFT(TRIM(C1214),FIND(" ",TRIM(C1214)&amp;" ")-1),",","."),FIND("/",SUBSTITUTE(LEFT(TRIM(C1214),FIND(" ",TRIM(C1214)&amp;" ")-1),",","."))+1,9))*12,NA()))),0),24)*'Aturan &amp; Tarif'!$B$4,2)</f>
        <v>1362.72</v>
      </c>
      <c r="K1214" s="42" t="n">
        <f aca="false">'Aturan &amp; Tarif'!$B$5</f>
        <v>2050</v>
      </c>
      <c r="L1214" s="35" t="n">
        <f aca="false">I1214+J1214+K1214</f>
        <v>20948.72</v>
      </c>
      <c r="M1214" s="45" t="s">
        <v>2665</v>
      </c>
    </row>
    <row r="1215" customFormat="false" ht="25.5" hidden="false" customHeight="true" outlineLevel="0" collapsed="false">
      <c r="A1215" s="39"/>
      <c r="B1215" s="40" t="s">
        <v>2728</v>
      </c>
      <c r="C1215" s="41" t="s">
        <v>107</v>
      </c>
      <c r="D1215" s="41" t="s">
        <v>108</v>
      </c>
      <c r="E1215" s="42" t="n">
        <v>8768</v>
      </c>
      <c r="F1215" s="42"/>
      <c r="G1215" s="42"/>
      <c r="H1215" s="43" t="n">
        <v>2</v>
      </c>
      <c r="I1215" s="34" t="n">
        <f aca="false">E1215*H1215+N(F1215)+N(G1215)</f>
        <v>17536</v>
      </c>
      <c r="J1215" s="42" t="n">
        <f aca="false">ROUND(IFERROR(ROUND(IF(OR(ISNUMBER(SEARCH("week",C1215)),ISNUMBER(SEARCH("minggu",C1215))),IFERROR(_xlfn.NUMBERVALUE(SUBSTITUTE(LEFT(TRIM(C1215),FIND(" ",TRIM(C1215)&amp;" ")-1),",","."),"."),LEFT(SUBSTITUTE(LEFT(TRIM(C1215),FIND(" ",TRIM(C1215)&amp;" ")-1),",","."),FIND("/",SUBSTITUTE(LEFT(TRIM(C1215),FIND(" ",TRIM(C1215)&amp;" ")-1),",","."))-1)/MID(SUBSTITUTE(LEFT(TRIM(C1215),FIND(" ",TRIM(C1215)&amp;" ")-1),",","."),FIND("/",SUBSTITUTE(LEFT(TRIM(C1215),FIND(" ",TRIM(C1215)&amp;" ")-1),",","."))+1,9))*12/52,IF(ISNUMBER(SEARCH("month",C1215)),IFERROR(_xlfn.NUMBERVALUE(SUBSTITUTE(LEFT(TRIM(C1215),FIND(" ",TRIM(C1215)&amp;" ")-1),",","."),"."),LEFT(SUBSTITUTE(LEFT(TRIM(C1215),FIND(" ",TRIM(C1215)&amp;" ")-1),",","."),FIND("/",SUBSTITUTE(LEFT(TRIM(C1215),FIND(" ",TRIM(C1215)&amp;" ")-1),",","."))-1)/MID(SUBSTITUTE(LEFT(TRIM(C1215),FIND(" ",TRIM(C1215)&amp;" ")-1),",","."),FIND("/",SUBSTITUTE(LEFT(TRIM(C1215),FIND(" ",TRIM(C1215)&amp;" ")-1),",","."))+1,9)),IF(ISNUMBER(SEARCH("yea",C1215)),IFERROR(_xlfn.NUMBERVALUE(SUBSTITUTE(LEFT(TRIM(C1215),FIND(" ",TRIM(C1215)&amp;" ")-1),",","."),"."),LEFT(SUBSTITUTE(LEFT(TRIM(C1215),FIND(" ",TRIM(C1215)&amp;" ")-1),",","."),FIND("/",SUBSTITUTE(LEFT(TRIM(C1215),FIND(" ",TRIM(C1215)&amp;" ")-1),",","."))-1)/MID(SUBSTITUTE(LEFT(TRIM(C1215),FIND(" ",TRIM(C1215)&amp;" ")-1),",","."),FIND("/",SUBSTITUTE(LEFT(TRIM(C1215),FIND(" ",TRIM(C1215)&amp;" ")-1),",","."))+1,9))*12,NA()))),0),24)*'Aturan &amp; Tarif'!$B$4,2)</f>
        <v>1362.72</v>
      </c>
      <c r="K1215" s="42" t="n">
        <f aca="false">'Aturan &amp; Tarif'!$B$5</f>
        <v>2050</v>
      </c>
      <c r="L1215" s="35" t="n">
        <f aca="false">I1215+J1215+K1215</f>
        <v>20948.72</v>
      </c>
      <c r="M1215" s="45" t="s">
        <v>2665</v>
      </c>
    </row>
    <row r="1216" customFormat="false" ht="83.25" hidden="false" customHeight="true" outlineLevel="0" collapsed="false">
      <c r="A1216" s="39"/>
      <c r="B1216" s="40" t="s">
        <v>2729</v>
      </c>
      <c r="C1216" s="41" t="s">
        <v>130</v>
      </c>
      <c r="D1216" s="41" t="s">
        <v>108</v>
      </c>
      <c r="E1216" s="42" t="n">
        <v>8694</v>
      </c>
      <c r="F1216" s="42"/>
      <c r="G1216" s="42"/>
      <c r="H1216" s="43" t="n">
        <v>2</v>
      </c>
      <c r="I1216" s="34" t="n">
        <f aca="false">E1216*H1216+N(F1216)+N(G1216)</f>
        <v>17388</v>
      </c>
      <c r="J1216" s="42" t="n">
        <f aca="false">ROUND(IFERROR(ROUND(IF(OR(ISNUMBER(SEARCH("week",C1216)),ISNUMBER(SEARCH("minggu",C1216))),IFERROR(_xlfn.NUMBERVALUE(SUBSTITUTE(LEFT(TRIM(C1216),FIND(" ",TRIM(C1216)&amp;" ")-1),",","."),"."),LEFT(SUBSTITUTE(LEFT(TRIM(C1216),FIND(" ",TRIM(C1216)&amp;" ")-1),",","."),FIND("/",SUBSTITUTE(LEFT(TRIM(C1216),FIND(" ",TRIM(C1216)&amp;" ")-1),",","."))-1)/MID(SUBSTITUTE(LEFT(TRIM(C1216),FIND(" ",TRIM(C1216)&amp;" ")-1),",","."),FIND("/",SUBSTITUTE(LEFT(TRIM(C1216),FIND(" ",TRIM(C1216)&amp;" ")-1),",","."))+1,9))*12/52,IF(ISNUMBER(SEARCH("month",C1216)),IFERROR(_xlfn.NUMBERVALUE(SUBSTITUTE(LEFT(TRIM(C1216),FIND(" ",TRIM(C1216)&amp;" ")-1),",","."),"."),LEFT(SUBSTITUTE(LEFT(TRIM(C1216),FIND(" ",TRIM(C1216)&amp;" ")-1),",","."),FIND("/",SUBSTITUTE(LEFT(TRIM(C1216),FIND(" ",TRIM(C1216)&amp;" ")-1),",","."))-1)/MID(SUBSTITUTE(LEFT(TRIM(C1216),FIND(" ",TRIM(C1216)&amp;" ")-1),",","."),FIND("/",SUBSTITUTE(LEFT(TRIM(C1216),FIND(" ",TRIM(C1216)&amp;" ")-1),",","."))+1,9)),IF(ISNUMBER(SEARCH("yea",C1216)),IFERROR(_xlfn.NUMBERVALUE(SUBSTITUTE(LEFT(TRIM(C1216),FIND(" ",TRIM(C1216)&amp;" ")-1),",","."),"."),LEFT(SUBSTITUTE(LEFT(TRIM(C1216),FIND(" ",TRIM(C1216)&amp;" ")-1),",","."),FIND("/",SUBSTITUTE(LEFT(TRIM(C1216),FIND(" ",TRIM(C1216)&amp;" ")-1),",","."))-1)/MID(SUBSTITUTE(LEFT(TRIM(C1216),FIND(" ",TRIM(C1216)&amp;" ")-1),",","."),FIND("/",SUBSTITUTE(LEFT(TRIM(C1216),FIND(" ",TRIM(C1216)&amp;" ")-1),",","."))+1,9))*12,NA()))),0),12)*'Aturan &amp; Tarif'!$B$4,2)</f>
        <v>681.36</v>
      </c>
      <c r="K1216" s="42" t="n">
        <f aca="false">'Aturan &amp; Tarif'!$B$5</f>
        <v>2050</v>
      </c>
      <c r="L1216" s="35" t="n">
        <f aca="false">I1216+J1216+K1216</f>
        <v>20119.36</v>
      </c>
      <c r="M1216" s="45" t="s">
        <v>2665</v>
      </c>
    </row>
    <row r="1217" customFormat="false" ht="14.25" hidden="false" customHeight="true" outlineLevel="0" collapsed="false">
      <c r="A1217" s="39"/>
      <c r="B1217" s="40" t="s">
        <v>2730</v>
      </c>
      <c r="C1217" s="41" t="s">
        <v>130</v>
      </c>
      <c r="D1217" s="41" t="s">
        <v>108</v>
      </c>
      <c r="E1217" s="42" t="n">
        <v>8694</v>
      </c>
      <c r="F1217" s="42"/>
      <c r="G1217" s="42"/>
      <c r="H1217" s="43" t="n">
        <v>2</v>
      </c>
      <c r="I1217" s="34" t="n">
        <f aca="false">E1217*H1217+N(F1217)+N(G1217)</f>
        <v>17388</v>
      </c>
      <c r="J1217" s="42" t="n">
        <f aca="false">ROUND(IFERROR(ROUND(IF(OR(ISNUMBER(SEARCH("week",C1217)),ISNUMBER(SEARCH("minggu",C1217))),IFERROR(_xlfn.NUMBERVALUE(SUBSTITUTE(LEFT(TRIM(C1217),FIND(" ",TRIM(C1217)&amp;" ")-1),",","."),"."),LEFT(SUBSTITUTE(LEFT(TRIM(C1217),FIND(" ",TRIM(C1217)&amp;" ")-1),",","."),FIND("/",SUBSTITUTE(LEFT(TRIM(C1217),FIND(" ",TRIM(C1217)&amp;" ")-1),",","."))-1)/MID(SUBSTITUTE(LEFT(TRIM(C1217),FIND(" ",TRIM(C1217)&amp;" ")-1),",","."),FIND("/",SUBSTITUTE(LEFT(TRIM(C1217),FIND(" ",TRIM(C1217)&amp;" ")-1),",","."))+1,9))*12/52,IF(ISNUMBER(SEARCH("month",C1217)),IFERROR(_xlfn.NUMBERVALUE(SUBSTITUTE(LEFT(TRIM(C1217),FIND(" ",TRIM(C1217)&amp;" ")-1),",","."),"."),LEFT(SUBSTITUTE(LEFT(TRIM(C1217),FIND(" ",TRIM(C1217)&amp;" ")-1),",","."),FIND("/",SUBSTITUTE(LEFT(TRIM(C1217),FIND(" ",TRIM(C1217)&amp;" ")-1),",","."))-1)/MID(SUBSTITUTE(LEFT(TRIM(C1217),FIND(" ",TRIM(C1217)&amp;" ")-1),",","."),FIND("/",SUBSTITUTE(LEFT(TRIM(C1217),FIND(" ",TRIM(C1217)&amp;" ")-1),",","."))+1,9)),IF(ISNUMBER(SEARCH("yea",C1217)),IFERROR(_xlfn.NUMBERVALUE(SUBSTITUTE(LEFT(TRIM(C1217),FIND(" ",TRIM(C1217)&amp;" ")-1),",","."),"."),LEFT(SUBSTITUTE(LEFT(TRIM(C1217),FIND(" ",TRIM(C1217)&amp;" ")-1),",","."),FIND("/",SUBSTITUTE(LEFT(TRIM(C1217),FIND(" ",TRIM(C1217)&amp;" ")-1),",","."))-1)/MID(SUBSTITUTE(LEFT(TRIM(C1217),FIND(" ",TRIM(C1217)&amp;" ")-1),",","."),FIND("/",SUBSTITUTE(LEFT(TRIM(C1217),FIND(" ",TRIM(C1217)&amp;" ")-1),",","."))+1,9))*12,NA()))),0),12)*'Aturan &amp; Tarif'!$B$4,2)</f>
        <v>681.36</v>
      </c>
      <c r="K1217" s="42" t="n">
        <f aca="false">'Aturan &amp; Tarif'!$B$5</f>
        <v>2050</v>
      </c>
      <c r="L1217" s="35" t="n">
        <f aca="false">I1217+J1217+K1217</f>
        <v>20119.36</v>
      </c>
      <c r="M1217" s="45" t="s">
        <v>2665</v>
      </c>
    </row>
    <row r="1218" customFormat="false" ht="14.25" hidden="false" customHeight="true" outlineLevel="0" collapsed="false">
      <c r="A1218" s="39"/>
      <c r="B1218" s="40" t="s">
        <v>2731</v>
      </c>
      <c r="C1218" s="41" t="s">
        <v>107</v>
      </c>
      <c r="D1218" s="41" t="s">
        <v>108</v>
      </c>
      <c r="E1218" s="42" t="n">
        <v>9908</v>
      </c>
      <c r="F1218" s="42"/>
      <c r="G1218" s="42"/>
      <c r="H1218" s="43" t="n">
        <v>2</v>
      </c>
      <c r="I1218" s="34" t="n">
        <f aca="false">E1218*H1218+N(F1218)+N(G1218)</f>
        <v>19816</v>
      </c>
      <c r="J1218" s="42" t="n">
        <f aca="false">ROUND(IFERROR(ROUND(IF(OR(ISNUMBER(SEARCH("week",C1218)),ISNUMBER(SEARCH("minggu",C1218))),IFERROR(_xlfn.NUMBERVALUE(SUBSTITUTE(LEFT(TRIM(C1218),FIND(" ",TRIM(C1218)&amp;" ")-1),",","."),"."),LEFT(SUBSTITUTE(LEFT(TRIM(C1218),FIND(" ",TRIM(C1218)&amp;" ")-1),",","."),FIND("/",SUBSTITUTE(LEFT(TRIM(C1218),FIND(" ",TRIM(C1218)&amp;" ")-1),",","."))-1)/MID(SUBSTITUTE(LEFT(TRIM(C1218),FIND(" ",TRIM(C1218)&amp;" ")-1),",","."),FIND("/",SUBSTITUTE(LEFT(TRIM(C1218),FIND(" ",TRIM(C1218)&amp;" ")-1),",","."))+1,9))*12/52,IF(ISNUMBER(SEARCH("month",C1218)),IFERROR(_xlfn.NUMBERVALUE(SUBSTITUTE(LEFT(TRIM(C1218),FIND(" ",TRIM(C1218)&amp;" ")-1),",","."),"."),LEFT(SUBSTITUTE(LEFT(TRIM(C1218),FIND(" ",TRIM(C1218)&amp;" ")-1),",","."),FIND("/",SUBSTITUTE(LEFT(TRIM(C1218),FIND(" ",TRIM(C1218)&amp;" ")-1),",","."))-1)/MID(SUBSTITUTE(LEFT(TRIM(C1218),FIND(" ",TRIM(C1218)&amp;" ")-1),",","."),FIND("/",SUBSTITUTE(LEFT(TRIM(C1218),FIND(" ",TRIM(C1218)&amp;" ")-1),",","."))+1,9)),IF(ISNUMBER(SEARCH("yea",C1218)),IFERROR(_xlfn.NUMBERVALUE(SUBSTITUTE(LEFT(TRIM(C1218),FIND(" ",TRIM(C1218)&amp;" ")-1),",","."),"."),LEFT(SUBSTITUTE(LEFT(TRIM(C1218),FIND(" ",TRIM(C1218)&amp;" ")-1),",","."),FIND("/",SUBSTITUTE(LEFT(TRIM(C1218),FIND(" ",TRIM(C1218)&amp;" ")-1),",","."))-1)/MID(SUBSTITUTE(LEFT(TRIM(C1218),FIND(" ",TRIM(C1218)&amp;" ")-1),",","."),FIND("/",SUBSTITUTE(LEFT(TRIM(C1218),FIND(" ",TRIM(C1218)&amp;" ")-1),",","."))+1,9))*12,NA()))),0),24)*'Aturan &amp; Tarif'!$B$4,2)</f>
        <v>1362.72</v>
      </c>
      <c r="K1218" s="42" t="n">
        <f aca="false">'Aturan &amp; Tarif'!$B$5</f>
        <v>2050</v>
      </c>
      <c r="L1218" s="35" t="n">
        <f aca="false">I1218+J1218+K1218</f>
        <v>23228.72</v>
      </c>
      <c r="M1218" s="45" t="s">
        <v>2665</v>
      </c>
    </row>
    <row r="1219" customFormat="false" ht="14.25" hidden="false" customHeight="true" outlineLevel="0" collapsed="false">
      <c r="A1219" s="39"/>
      <c r="B1219" s="40" t="s">
        <v>2732</v>
      </c>
      <c r="C1219" s="41" t="s">
        <v>107</v>
      </c>
      <c r="D1219" s="41" t="s">
        <v>108</v>
      </c>
      <c r="E1219" s="42" t="n">
        <v>9908</v>
      </c>
      <c r="F1219" s="42"/>
      <c r="G1219" s="42"/>
      <c r="H1219" s="43" t="n">
        <v>2</v>
      </c>
      <c r="I1219" s="34" t="n">
        <f aca="false">E1219*H1219+N(F1219)+N(G1219)</f>
        <v>19816</v>
      </c>
      <c r="J1219" s="42" t="n">
        <f aca="false">ROUND(IFERROR(ROUND(IF(OR(ISNUMBER(SEARCH("week",C1219)),ISNUMBER(SEARCH("minggu",C1219))),IFERROR(_xlfn.NUMBERVALUE(SUBSTITUTE(LEFT(TRIM(C1219),FIND(" ",TRIM(C1219)&amp;" ")-1),",","."),"."),LEFT(SUBSTITUTE(LEFT(TRIM(C1219),FIND(" ",TRIM(C1219)&amp;" ")-1),",","."),FIND("/",SUBSTITUTE(LEFT(TRIM(C1219),FIND(" ",TRIM(C1219)&amp;" ")-1),",","."))-1)/MID(SUBSTITUTE(LEFT(TRIM(C1219),FIND(" ",TRIM(C1219)&amp;" ")-1),",","."),FIND("/",SUBSTITUTE(LEFT(TRIM(C1219),FIND(" ",TRIM(C1219)&amp;" ")-1),",","."))+1,9))*12/52,IF(ISNUMBER(SEARCH("month",C1219)),IFERROR(_xlfn.NUMBERVALUE(SUBSTITUTE(LEFT(TRIM(C1219),FIND(" ",TRIM(C1219)&amp;" ")-1),",","."),"."),LEFT(SUBSTITUTE(LEFT(TRIM(C1219),FIND(" ",TRIM(C1219)&amp;" ")-1),",","."),FIND("/",SUBSTITUTE(LEFT(TRIM(C1219),FIND(" ",TRIM(C1219)&amp;" ")-1),",","."))-1)/MID(SUBSTITUTE(LEFT(TRIM(C1219),FIND(" ",TRIM(C1219)&amp;" ")-1),",","."),FIND("/",SUBSTITUTE(LEFT(TRIM(C1219),FIND(" ",TRIM(C1219)&amp;" ")-1),",","."))+1,9)),IF(ISNUMBER(SEARCH("yea",C1219)),IFERROR(_xlfn.NUMBERVALUE(SUBSTITUTE(LEFT(TRIM(C1219),FIND(" ",TRIM(C1219)&amp;" ")-1),",","."),"."),LEFT(SUBSTITUTE(LEFT(TRIM(C1219),FIND(" ",TRIM(C1219)&amp;" ")-1),",","."),FIND("/",SUBSTITUTE(LEFT(TRIM(C1219),FIND(" ",TRIM(C1219)&amp;" ")-1),",","."))-1)/MID(SUBSTITUTE(LEFT(TRIM(C1219),FIND(" ",TRIM(C1219)&amp;" ")-1),",","."),FIND("/",SUBSTITUTE(LEFT(TRIM(C1219),FIND(" ",TRIM(C1219)&amp;" ")-1),",","."))+1,9))*12,NA()))),0),24)*'Aturan &amp; Tarif'!$B$4,2)</f>
        <v>1362.72</v>
      </c>
      <c r="K1219" s="42" t="n">
        <f aca="false">'Aturan &amp; Tarif'!$B$5</f>
        <v>2050</v>
      </c>
      <c r="L1219" s="35" t="n">
        <f aca="false">I1219+J1219+K1219</f>
        <v>23228.72</v>
      </c>
      <c r="M1219" s="45" t="s">
        <v>2665</v>
      </c>
    </row>
    <row r="1220" customFormat="false" ht="37.5" hidden="false" customHeight="true" outlineLevel="0" collapsed="false">
      <c r="A1220" s="39"/>
      <c r="B1220" s="40" t="s">
        <v>2733</v>
      </c>
      <c r="C1220" s="41" t="s">
        <v>344</v>
      </c>
      <c r="D1220" s="41" t="s">
        <v>108</v>
      </c>
      <c r="E1220" s="42" t="n">
        <v>4954</v>
      </c>
      <c r="F1220" s="42"/>
      <c r="G1220" s="42"/>
      <c r="H1220" s="43" t="n">
        <v>2</v>
      </c>
      <c r="I1220" s="34" t="n">
        <f aca="false">E1220*H1220+N(F1220)+N(G1220)</f>
        <v>9908</v>
      </c>
      <c r="J1220" s="42" t="n">
        <f aca="false">ROUND(IFERROR(ROUND(IF(OR(ISNUMBER(SEARCH("week",C1220)),ISNUMBER(SEARCH("minggu",C1220))),IFERROR(_xlfn.NUMBERVALUE(SUBSTITUTE(LEFT(TRIM(C1220),FIND(" ",TRIM(C1220)&amp;" ")-1),",","."),"."),LEFT(SUBSTITUTE(LEFT(TRIM(C1220),FIND(" ",TRIM(C1220)&amp;" ")-1),",","."),FIND("/",SUBSTITUTE(LEFT(TRIM(C1220),FIND(" ",TRIM(C1220)&amp;" ")-1),",","."))-1)/MID(SUBSTITUTE(LEFT(TRIM(C1220),FIND(" ",TRIM(C1220)&amp;" ")-1),",","."),FIND("/",SUBSTITUTE(LEFT(TRIM(C1220),FIND(" ",TRIM(C1220)&amp;" ")-1),",","."))+1,9))*12/52,IF(ISNUMBER(SEARCH("month",C1220)),IFERROR(_xlfn.NUMBERVALUE(SUBSTITUTE(LEFT(TRIM(C1220),FIND(" ",TRIM(C1220)&amp;" ")-1),",","."),"."),LEFT(SUBSTITUTE(LEFT(TRIM(C1220),FIND(" ",TRIM(C1220)&amp;" ")-1),",","."),FIND("/",SUBSTITUTE(LEFT(TRIM(C1220),FIND(" ",TRIM(C1220)&amp;" ")-1),",","."))-1)/MID(SUBSTITUTE(LEFT(TRIM(C1220),FIND(" ",TRIM(C1220)&amp;" ")-1),",","."),FIND("/",SUBSTITUTE(LEFT(TRIM(C1220),FIND(" ",TRIM(C1220)&amp;" ")-1),",","."))+1,9)),IF(ISNUMBER(SEARCH("yea",C1220)),IFERROR(_xlfn.NUMBERVALUE(SUBSTITUTE(LEFT(TRIM(C1220),FIND(" ",TRIM(C1220)&amp;" ")-1),",","."),"."),LEFT(SUBSTITUTE(LEFT(TRIM(C1220),FIND(" ",TRIM(C1220)&amp;" ")-1),",","."),FIND("/",SUBSTITUTE(LEFT(TRIM(C1220),FIND(" ",TRIM(C1220)&amp;" ")-1),",","."))-1)/MID(SUBSTITUTE(LEFT(TRIM(C1220),FIND(" ",TRIM(C1220)&amp;" ")-1),",","."),FIND("/",SUBSTITUTE(LEFT(TRIM(C1220),FIND(" ",TRIM(C1220)&amp;" ")-1),",","."))+1,9))*12,NA()))),0),6)*'Aturan &amp; Tarif'!$B$4,2)</f>
        <v>340.68</v>
      </c>
      <c r="K1220" s="42" t="n">
        <f aca="false">'Aturan &amp; Tarif'!$B$5</f>
        <v>2050</v>
      </c>
      <c r="L1220" s="35" t="n">
        <f aca="false">I1220+J1220+K1220</f>
        <v>12298.68</v>
      </c>
      <c r="M1220" s="45" t="s">
        <v>2665</v>
      </c>
    </row>
    <row r="1221" customFormat="false" ht="14.25" hidden="false" customHeight="true" outlineLevel="0" collapsed="false">
      <c r="A1221" s="39"/>
      <c r="B1221" s="40" t="s">
        <v>2734</v>
      </c>
      <c r="C1221" s="41" t="s">
        <v>107</v>
      </c>
      <c r="D1221" s="41" t="s">
        <v>108</v>
      </c>
      <c r="E1221" s="42" t="n">
        <v>8272</v>
      </c>
      <c r="F1221" s="42"/>
      <c r="G1221" s="42"/>
      <c r="H1221" s="43" t="n">
        <v>2</v>
      </c>
      <c r="I1221" s="34" t="n">
        <f aca="false">E1221*H1221+N(F1221)+N(G1221)</f>
        <v>16544</v>
      </c>
      <c r="J1221" s="42" t="n">
        <f aca="false">ROUND(IFERROR(ROUND(IF(OR(ISNUMBER(SEARCH("week",C1221)),ISNUMBER(SEARCH("minggu",C1221))),IFERROR(_xlfn.NUMBERVALUE(SUBSTITUTE(LEFT(TRIM(C1221),FIND(" ",TRIM(C1221)&amp;" ")-1),",","."),"."),LEFT(SUBSTITUTE(LEFT(TRIM(C1221),FIND(" ",TRIM(C1221)&amp;" ")-1),",","."),FIND("/",SUBSTITUTE(LEFT(TRIM(C1221),FIND(" ",TRIM(C1221)&amp;" ")-1),",","."))-1)/MID(SUBSTITUTE(LEFT(TRIM(C1221),FIND(" ",TRIM(C1221)&amp;" ")-1),",","."),FIND("/",SUBSTITUTE(LEFT(TRIM(C1221),FIND(" ",TRIM(C1221)&amp;" ")-1),",","."))+1,9))*12/52,IF(ISNUMBER(SEARCH("month",C1221)),IFERROR(_xlfn.NUMBERVALUE(SUBSTITUTE(LEFT(TRIM(C1221),FIND(" ",TRIM(C1221)&amp;" ")-1),",","."),"."),LEFT(SUBSTITUTE(LEFT(TRIM(C1221),FIND(" ",TRIM(C1221)&amp;" ")-1),",","."),FIND("/",SUBSTITUTE(LEFT(TRIM(C1221),FIND(" ",TRIM(C1221)&amp;" ")-1),",","."))-1)/MID(SUBSTITUTE(LEFT(TRIM(C1221),FIND(" ",TRIM(C1221)&amp;" ")-1),",","."),FIND("/",SUBSTITUTE(LEFT(TRIM(C1221),FIND(" ",TRIM(C1221)&amp;" ")-1),",","."))+1,9)),IF(ISNUMBER(SEARCH("yea",C1221)),IFERROR(_xlfn.NUMBERVALUE(SUBSTITUTE(LEFT(TRIM(C1221),FIND(" ",TRIM(C1221)&amp;" ")-1),",","."),"."),LEFT(SUBSTITUTE(LEFT(TRIM(C1221),FIND(" ",TRIM(C1221)&amp;" ")-1),",","."),FIND("/",SUBSTITUTE(LEFT(TRIM(C1221),FIND(" ",TRIM(C1221)&amp;" ")-1),",","."))-1)/MID(SUBSTITUTE(LEFT(TRIM(C1221),FIND(" ",TRIM(C1221)&amp;" ")-1),",","."),FIND("/",SUBSTITUTE(LEFT(TRIM(C1221),FIND(" ",TRIM(C1221)&amp;" ")-1),",","."))+1,9))*12,NA()))),0),24)*'Aturan &amp; Tarif'!$B$4,2)</f>
        <v>1362.72</v>
      </c>
      <c r="K1221" s="42" t="n">
        <f aca="false">'Aturan &amp; Tarif'!$B$5</f>
        <v>2050</v>
      </c>
      <c r="L1221" s="35" t="n">
        <f aca="false">I1221+J1221+K1221</f>
        <v>19956.72</v>
      </c>
      <c r="M1221" s="45" t="s">
        <v>2665</v>
      </c>
    </row>
    <row r="1222" customFormat="false" ht="14.25" hidden="false" customHeight="true" outlineLevel="0" collapsed="false">
      <c r="A1222" s="39"/>
      <c r="B1222" s="40" t="s">
        <v>2666</v>
      </c>
      <c r="C1222" s="41" t="s">
        <v>107</v>
      </c>
      <c r="D1222" s="41" t="s">
        <v>108</v>
      </c>
      <c r="E1222" s="42" t="n">
        <v>6632</v>
      </c>
      <c r="F1222" s="42"/>
      <c r="G1222" s="42"/>
      <c r="H1222" s="43" t="n">
        <v>2</v>
      </c>
      <c r="I1222" s="34" t="n">
        <f aca="false">E1222*H1222+N(F1222)+N(G1222)</f>
        <v>13264</v>
      </c>
      <c r="J1222" s="42" t="n">
        <f aca="false">ROUND(IFERROR(ROUND(IF(OR(ISNUMBER(SEARCH("week",C1222)),ISNUMBER(SEARCH("minggu",C1222))),IFERROR(_xlfn.NUMBERVALUE(SUBSTITUTE(LEFT(TRIM(C1222),FIND(" ",TRIM(C1222)&amp;" ")-1),",","."),"."),LEFT(SUBSTITUTE(LEFT(TRIM(C1222),FIND(" ",TRIM(C1222)&amp;" ")-1),",","."),FIND("/",SUBSTITUTE(LEFT(TRIM(C1222),FIND(" ",TRIM(C1222)&amp;" ")-1),",","."))-1)/MID(SUBSTITUTE(LEFT(TRIM(C1222),FIND(" ",TRIM(C1222)&amp;" ")-1),",","."),FIND("/",SUBSTITUTE(LEFT(TRIM(C1222),FIND(" ",TRIM(C1222)&amp;" ")-1),",","."))+1,9))*12/52,IF(ISNUMBER(SEARCH("month",C1222)),IFERROR(_xlfn.NUMBERVALUE(SUBSTITUTE(LEFT(TRIM(C1222),FIND(" ",TRIM(C1222)&amp;" ")-1),",","."),"."),LEFT(SUBSTITUTE(LEFT(TRIM(C1222),FIND(" ",TRIM(C1222)&amp;" ")-1),",","."),FIND("/",SUBSTITUTE(LEFT(TRIM(C1222),FIND(" ",TRIM(C1222)&amp;" ")-1),",","."))-1)/MID(SUBSTITUTE(LEFT(TRIM(C1222),FIND(" ",TRIM(C1222)&amp;" ")-1),",","."),FIND("/",SUBSTITUTE(LEFT(TRIM(C1222),FIND(" ",TRIM(C1222)&amp;" ")-1),",","."))+1,9)),IF(ISNUMBER(SEARCH("yea",C1222)),IFERROR(_xlfn.NUMBERVALUE(SUBSTITUTE(LEFT(TRIM(C1222),FIND(" ",TRIM(C1222)&amp;" ")-1),",","."),"."),LEFT(SUBSTITUTE(LEFT(TRIM(C1222),FIND(" ",TRIM(C1222)&amp;" ")-1),",","."),FIND("/",SUBSTITUTE(LEFT(TRIM(C1222),FIND(" ",TRIM(C1222)&amp;" ")-1),",","."))-1)/MID(SUBSTITUTE(LEFT(TRIM(C1222),FIND(" ",TRIM(C1222)&amp;" ")-1),",","."),FIND("/",SUBSTITUTE(LEFT(TRIM(C1222),FIND(" ",TRIM(C1222)&amp;" ")-1),",","."))+1,9))*12,NA()))),0),24)*'Aturan &amp; Tarif'!$B$4,2)</f>
        <v>1362.72</v>
      </c>
      <c r="K1222" s="42" t="n">
        <f aca="false">'Aturan &amp; Tarif'!$B$5</f>
        <v>2050</v>
      </c>
      <c r="L1222" s="35" t="n">
        <f aca="false">I1222+J1222+K1222</f>
        <v>16676.72</v>
      </c>
      <c r="M1222" s="45" t="s">
        <v>2665</v>
      </c>
    </row>
    <row r="1223" customFormat="false" ht="60" hidden="false" customHeight="true" outlineLevel="0" collapsed="false">
      <c r="A1223" s="39"/>
      <c r="B1223" s="40" t="s">
        <v>2735</v>
      </c>
      <c r="C1223" s="41" t="s">
        <v>107</v>
      </c>
      <c r="D1223" s="41" t="s">
        <v>108</v>
      </c>
      <c r="E1223" s="42" t="n">
        <v>8694</v>
      </c>
      <c r="F1223" s="42"/>
      <c r="G1223" s="42"/>
      <c r="H1223" s="43" t="n">
        <v>2</v>
      </c>
      <c r="I1223" s="34" t="n">
        <f aca="false">E1223*H1223+N(F1223)+N(G1223)</f>
        <v>17388</v>
      </c>
      <c r="J1223" s="42" t="n">
        <f aca="false">ROUND(IFERROR(ROUND(IF(OR(ISNUMBER(SEARCH("week",C1223)),ISNUMBER(SEARCH("minggu",C1223))),IFERROR(_xlfn.NUMBERVALUE(SUBSTITUTE(LEFT(TRIM(C1223),FIND(" ",TRIM(C1223)&amp;" ")-1),",","."),"."),LEFT(SUBSTITUTE(LEFT(TRIM(C1223),FIND(" ",TRIM(C1223)&amp;" ")-1),",","."),FIND("/",SUBSTITUTE(LEFT(TRIM(C1223),FIND(" ",TRIM(C1223)&amp;" ")-1),",","."))-1)/MID(SUBSTITUTE(LEFT(TRIM(C1223),FIND(" ",TRIM(C1223)&amp;" ")-1),",","."),FIND("/",SUBSTITUTE(LEFT(TRIM(C1223),FIND(" ",TRIM(C1223)&amp;" ")-1),",","."))+1,9))*12/52,IF(ISNUMBER(SEARCH("month",C1223)),IFERROR(_xlfn.NUMBERVALUE(SUBSTITUTE(LEFT(TRIM(C1223),FIND(" ",TRIM(C1223)&amp;" ")-1),",","."),"."),LEFT(SUBSTITUTE(LEFT(TRIM(C1223),FIND(" ",TRIM(C1223)&amp;" ")-1),",","."),FIND("/",SUBSTITUTE(LEFT(TRIM(C1223),FIND(" ",TRIM(C1223)&amp;" ")-1),",","."))-1)/MID(SUBSTITUTE(LEFT(TRIM(C1223),FIND(" ",TRIM(C1223)&amp;" ")-1),",","."),FIND("/",SUBSTITUTE(LEFT(TRIM(C1223),FIND(" ",TRIM(C1223)&amp;" ")-1),",","."))+1,9)),IF(ISNUMBER(SEARCH("yea",C1223)),IFERROR(_xlfn.NUMBERVALUE(SUBSTITUTE(LEFT(TRIM(C1223),FIND(" ",TRIM(C1223)&amp;" ")-1),",","."),"."),LEFT(SUBSTITUTE(LEFT(TRIM(C1223),FIND(" ",TRIM(C1223)&amp;" ")-1),",","."),FIND("/",SUBSTITUTE(LEFT(TRIM(C1223),FIND(" ",TRIM(C1223)&amp;" ")-1),",","."))-1)/MID(SUBSTITUTE(LEFT(TRIM(C1223),FIND(" ",TRIM(C1223)&amp;" ")-1),",","."),FIND("/",SUBSTITUTE(LEFT(TRIM(C1223),FIND(" ",TRIM(C1223)&amp;" ")-1),",","."))+1,9))*12,NA()))),0),24)*'Aturan &amp; Tarif'!$B$4,2)</f>
        <v>1362.72</v>
      </c>
      <c r="K1223" s="42" t="n">
        <f aca="false">'Aturan &amp; Tarif'!$B$5</f>
        <v>2050</v>
      </c>
      <c r="L1223" s="35" t="n">
        <f aca="false">I1223+J1223+K1223</f>
        <v>20800.72</v>
      </c>
      <c r="M1223" s="45" t="s">
        <v>2665</v>
      </c>
    </row>
    <row r="1224" customFormat="false" ht="25.5" hidden="false" customHeight="true" outlineLevel="0" collapsed="false">
      <c r="A1224" s="39"/>
      <c r="B1224" s="40" t="s">
        <v>2736</v>
      </c>
      <c r="C1224" s="41" t="s">
        <v>107</v>
      </c>
      <c r="D1224" s="41" t="s">
        <v>108</v>
      </c>
      <c r="E1224" s="42" t="n">
        <v>8694</v>
      </c>
      <c r="F1224" s="42"/>
      <c r="G1224" s="42"/>
      <c r="H1224" s="43" t="n">
        <v>2</v>
      </c>
      <c r="I1224" s="34" t="n">
        <f aca="false">E1224*H1224+N(F1224)+N(G1224)</f>
        <v>17388</v>
      </c>
      <c r="J1224" s="42" t="n">
        <f aca="false">ROUND(IFERROR(ROUND(IF(OR(ISNUMBER(SEARCH("week",C1224)),ISNUMBER(SEARCH("minggu",C1224))),IFERROR(_xlfn.NUMBERVALUE(SUBSTITUTE(LEFT(TRIM(C1224),FIND(" ",TRIM(C1224)&amp;" ")-1),",","."),"."),LEFT(SUBSTITUTE(LEFT(TRIM(C1224),FIND(" ",TRIM(C1224)&amp;" ")-1),",","."),FIND("/",SUBSTITUTE(LEFT(TRIM(C1224),FIND(" ",TRIM(C1224)&amp;" ")-1),",","."))-1)/MID(SUBSTITUTE(LEFT(TRIM(C1224),FIND(" ",TRIM(C1224)&amp;" ")-1),",","."),FIND("/",SUBSTITUTE(LEFT(TRIM(C1224),FIND(" ",TRIM(C1224)&amp;" ")-1),",","."))+1,9))*12/52,IF(ISNUMBER(SEARCH("month",C1224)),IFERROR(_xlfn.NUMBERVALUE(SUBSTITUTE(LEFT(TRIM(C1224),FIND(" ",TRIM(C1224)&amp;" ")-1),",","."),"."),LEFT(SUBSTITUTE(LEFT(TRIM(C1224),FIND(" ",TRIM(C1224)&amp;" ")-1),",","."),FIND("/",SUBSTITUTE(LEFT(TRIM(C1224),FIND(" ",TRIM(C1224)&amp;" ")-1),",","."))-1)/MID(SUBSTITUTE(LEFT(TRIM(C1224),FIND(" ",TRIM(C1224)&amp;" ")-1),",","."),FIND("/",SUBSTITUTE(LEFT(TRIM(C1224),FIND(" ",TRIM(C1224)&amp;" ")-1),",","."))+1,9)),IF(ISNUMBER(SEARCH("yea",C1224)),IFERROR(_xlfn.NUMBERVALUE(SUBSTITUTE(LEFT(TRIM(C1224),FIND(" ",TRIM(C1224)&amp;" ")-1),",","."),"."),LEFT(SUBSTITUTE(LEFT(TRIM(C1224),FIND(" ",TRIM(C1224)&amp;" ")-1),",","."),FIND("/",SUBSTITUTE(LEFT(TRIM(C1224),FIND(" ",TRIM(C1224)&amp;" ")-1),",","."))-1)/MID(SUBSTITUTE(LEFT(TRIM(C1224),FIND(" ",TRIM(C1224)&amp;" ")-1),",","."),FIND("/",SUBSTITUTE(LEFT(TRIM(C1224),FIND(" ",TRIM(C1224)&amp;" ")-1),",","."))+1,9))*12,NA()))),0),24)*'Aturan &amp; Tarif'!$B$4,2)</f>
        <v>1362.72</v>
      </c>
      <c r="K1224" s="42" t="n">
        <f aca="false">'Aturan &amp; Tarif'!$B$5</f>
        <v>2050</v>
      </c>
      <c r="L1224" s="35" t="n">
        <f aca="false">I1224+J1224+K1224</f>
        <v>20800.72</v>
      </c>
      <c r="M1224" s="45" t="s">
        <v>2665</v>
      </c>
    </row>
    <row r="1225" customFormat="false" ht="25.5" hidden="false" customHeight="true" outlineLevel="0" collapsed="false">
      <c r="A1225" s="39"/>
      <c r="B1225" s="40" t="s">
        <v>2737</v>
      </c>
      <c r="C1225" s="41" t="s">
        <v>344</v>
      </c>
      <c r="D1225" s="41" t="s">
        <v>108</v>
      </c>
      <c r="E1225" s="42" t="n">
        <v>4347</v>
      </c>
      <c r="F1225" s="42"/>
      <c r="G1225" s="42"/>
      <c r="H1225" s="43" t="n">
        <v>2</v>
      </c>
      <c r="I1225" s="34" t="n">
        <f aca="false">E1225*H1225+N(F1225)+N(G1225)</f>
        <v>8694</v>
      </c>
      <c r="J1225" s="42" t="n">
        <f aca="false">ROUND(IFERROR(ROUND(IF(OR(ISNUMBER(SEARCH("week",C1225)),ISNUMBER(SEARCH("minggu",C1225))),IFERROR(_xlfn.NUMBERVALUE(SUBSTITUTE(LEFT(TRIM(C1225),FIND(" ",TRIM(C1225)&amp;" ")-1),",","."),"."),LEFT(SUBSTITUTE(LEFT(TRIM(C1225),FIND(" ",TRIM(C1225)&amp;" ")-1),",","."),FIND("/",SUBSTITUTE(LEFT(TRIM(C1225),FIND(" ",TRIM(C1225)&amp;" ")-1),",","."))-1)/MID(SUBSTITUTE(LEFT(TRIM(C1225),FIND(" ",TRIM(C1225)&amp;" ")-1),",","."),FIND("/",SUBSTITUTE(LEFT(TRIM(C1225),FIND(" ",TRIM(C1225)&amp;" ")-1),",","."))+1,9))*12/52,IF(ISNUMBER(SEARCH("month",C1225)),IFERROR(_xlfn.NUMBERVALUE(SUBSTITUTE(LEFT(TRIM(C1225),FIND(" ",TRIM(C1225)&amp;" ")-1),",","."),"."),LEFT(SUBSTITUTE(LEFT(TRIM(C1225),FIND(" ",TRIM(C1225)&amp;" ")-1),",","."),FIND("/",SUBSTITUTE(LEFT(TRIM(C1225),FIND(" ",TRIM(C1225)&amp;" ")-1),",","."))-1)/MID(SUBSTITUTE(LEFT(TRIM(C1225),FIND(" ",TRIM(C1225)&amp;" ")-1),",","."),FIND("/",SUBSTITUTE(LEFT(TRIM(C1225),FIND(" ",TRIM(C1225)&amp;" ")-1),",","."))+1,9)),IF(ISNUMBER(SEARCH("yea",C1225)),IFERROR(_xlfn.NUMBERVALUE(SUBSTITUTE(LEFT(TRIM(C1225),FIND(" ",TRIM(C1225)&amp;" ")-1),",","."),"."),LEFT(SUBSTITUTE(LEFT(TRIM(C1225),FIND(" ",TRIM(C1225)&amp;" ")-1),",","."),FIND("/",SUBSTITUTE(LEFT(TRIM(C1225),FIND(" ",TRIM(C1225)&amp;" ")-1),",","."))-1)/MID(SUBSTITUTE(LEFT(TRIM(C1225),FIND(" ",TRIM(C1225)&amp;" ")-1),",","."),FIND("/",SUBSTITUTE(LEFT(TRIM(C1225),FIND(" ",TRIM(C1225)&amp;" ")-1),",","."))+1,9))*12,NA()))),0),6)*'Aturan &amp; Tarif'!$B$4,2)</f>
        <v>340.68</v>
      </c>
      <c r="K1225" s="42" t="n">
        <f aca="false">'Aturan &amp; Tarif'!$B$5</f>
        <v>2050</v>
      </c>
      <c r="L1225" s="35" t="n">
        <f aca="false">I1225+J1225+K1225</f>
        <v>11084.68</v>
      </c>
      <c r="M1225" s="45" t="s">
        <v>2665</v>
      </c>
    </row>
    <row r="1226" customFormat="false" ht="25.5" hidden="false" customHeight="true" outlineLevel="0" collapsed="false">
      <c r="A1226" s="39"/>
      <c r="B1226" s="40" t="s">
        <v>3286</v>
      </c>
      <c r="C1226" s="41" t="s">
        <v>130</v>
      </c>
      <c r="D1226" s="41" t="s">
        <v>108</v>
      </c>
      <c r="E1226" s="42" t="n">
        <v>8694</v>
      </c>
      <c r="F1226" s="42"/>
      <c r="G1226" s="42"/>
      <c r="H1226" s="43" t="n">
        <v>2</v>
      </c>
      <c r="I1226" s="34" t="n">
        <f aca="false">E1226*H1226+N(F1226)+N(G1226)</f>
        <v>17388</v>
      </c>
      <c r="J1226" s="42" t="n">
        <f aca="false">ROUND(IFERROR(ROUND(IF(OR(ISNUMBER(SEARCH("week",C1226)),ISNUMBER(SEARCH("minggu",C1226))),IFERROR(_xlfn.NUMBERVALUE(SUBSTITUTE(LEFT(TRIM(C1226),FIND(" ",TRIM(C1226)&amp;" ")-1),",","."),"."),LEFT(SUBSTITUTE(LEFT(TRIM(C1226),FIND(" ",TRIM(C1226)&amp;" ")-1),",","."),FIND("/",SUBSTITUTE(LEFT(TRIM(C1226),FIND(" ",TRIM(C1226)&amp;" ")-1),",","."))-1)/MID(SUBSTITUTE(LEFT(TRIM(C1226),FIND(" ",TRIM(C1226)&amp;" ")-1),",","."),FIND("/",SUBSTITUTE(LEFT(TRIM(C1226),FIND(" ",TRIM(C1226)&amp;" ")-1),",","."))+1,9))*12/52,IF(ISNUMBER(SEARCH("month",C1226)),IFERROR(_xlfn.NUMBERVALUE(SUBSTITUTE(LEFT(TRIM(C1226),FIND(" ",TRIM(C1226)&amp;" ")-1),",","."),"."),LEFT(SUBSTITUTE(LEFT(TRIM(C1226),FIND(" ",TRIM(C1226)&amp;" ")-1),",","."),FIND("/",SUBSTITUTE(LEFT(TRIM(C1226),FIND(" ",TRIM(C1226)&amp;" ")-1),",","."))-1)/MID(SUBSTITUTE(LEFT(TRIM(C1226),FIND(" ",TRIM(C1226)&amp;" ")-1),",","."),FIND("/",SUBSTITUTE(LEFT(TRIM(C1226),FIND(" ",TRIM(C1226)&amp;" ")-1),",","."))+1,9)),IF(ISNUMBER(SEARCH("yea",C1226)),IFERROR(_xlfn.NUMBERVALUE(SUBSTITUTE(LEFT(TRIM(C1226),FIND(" ",TRIM(C1226)&amp;" ")-1),",","."),"."),LEFT(SUBSTITUTE(LEFT(TRIM(C1226),FIND(" ",TRIM(C1226)&amp;" ")-1),",","."),FIND("/",SUBSTITUTE(LEFT(TRIM(C1226),FIND(" ",TRIM(C1226)&amp;" ")-1),",","."))-1)/MID(SUBSTITUTE(LEFT(TRIM(C1226),FIND(" ",TRIM(C1226)&amp;" ")-1),",","."),FIND("/",SUBSTITUTE(LEFT(TRIM(C1226),FIND(" ",TRIM(C1226)&amp;" ")-1),",","."))+1,9))*12,NA()))),0),12)*'Aturan &amp; Tarif'!$B$4,2)</f>
        <v>681.36</v>
      </c>
      <c r="K1226" s="42" t="n">
        <f aca="false">'Aturan &amp; Tarif'!$B$5</f>
        <v>2050</v>
      </c>
      <c r="L1226" s="35" t="n">
        <f aca="false">I1226+J1226+K1226</f>
        <v>20119.36</v>
      </c>
      <c r="M1226" s="45" t="s">
        <v>2665</v>
      </c>
    </row>
    <row r="1227" customFormat="false" ht="25.5" hidden="false" customHeight="true" outlineLevel="0" collapsed="false">
      <c r="A1227" s="39"/>
      <c r="B1227" s="40" t="s">
        <v>2739</v>
      </c>
      <c r="C1227" s="41" t="s">
        <v>107</v>
      </c>
      <c r="D1227" s="41" t="s">
        <v>108</v>
      </c>
      <c r="E1227" s="42" t="n">
        <v>8694</v>
      </c>
      <c r="F1227" s="42"/>
      <c r="G1227" s="42"/>
      <c r="H1227" s="43" t="n">
        <v>2</v>
      </c>
      <c r="I1227" s="34" t="n">
        <f aca="false">E1227*H1227+N(F1227)+N(G1227)</f>
        <v>17388</v>
      </c>
      <c r="J1227" s="42" t="n">
        <f aca="false">ROUND(IFERROR(ROUND(IF(OR(ISNUMBER(SEARCH("week",C1227)),ISNUMBER(SEARCH("minggu",C1227))),IFERROR(_xlfn.NUMBERVALUE(SUBSTITUTE(LEFT(TRIM(C1227),FIND(" ",TRIM(C1227)&amp;" ")-1),",","."),"."),LEFT(SUBSTITUTE(LEFT(TRIM(C1227),FIND(" ",TRIM(C1227)&amp;" ")-1),",","."),FIND("/",SUBSTITUTE(LEFT(TRIM(C1227),FIND(" ",TRIM(C1227)&amp;" ")-1),",","."))-1)/MID(SUBSTITUTE(LEFT(TRIM(C1227),FIND(" ",TRIM(C1227)&amp;" ")-1),",","."),FIND("/",SUBSTITUTE(LEFT(TRIM(C1227),FIND(" ",TRIM(C1227)&amp;" ")-1),",","."))+1,9))*12/52,IF(ISNUMBER(SEARCH("month",C1227)),IFERROR(_xlfn.NUMBERVALUE(SUBSTITUTE(LEFT(TRIM(C1227),FIND(" ",TRIM(C1227)&amp;" ")-1),",","."),"."),LEFT(SUBSTITUTE(LEFT(TRIM(C1227),FIND(" ",TRIM(C1227)&amp;" ")-1),",","."),FIND("/",SUBSTITUTE(LEFT(TRIM(C1227),FIND(" ",TRIM(C1227)&amp;" ")-1),",","."))-1)/MID(SUBSTITUTE(LEFT(TRIM(C1227),FIND(" ",TRIM(C1227)&amp;" ")-1),",","."),FIND("/",SUBSTITUTE(LEFT(TRIM(C1227),FIND(" ",TRIM(C1227)&amp;" ")-1),",","."))+1,9)),IF(ISNUMBER(SEARCH("yea",C1227)),IFERROR(_xlfn.NUMBERVALUE(SUBSTITUTE(LEFT(TRIM(C1227),FIND(" ",TRIM(C1227)&amp;" ")-1),",","."),"."),LEFT(SUBSTITUTE(LEFT(TRIM(C1227),FIND(" ",TRIM(C1227)&amp;" ")-1),",","."),FIND("/",SUBSTITUTE(LEFT(TRIM(C1227),FIND(" ",TRIM(C1227)&amp;" ")-1),",","."))-1)/MID(SUBSTITUTE(LEFT(TRIM(C1227),FIND(" ",TRIM(C1227)&amp;" ")-1),",","."),FIND("/",SUBSTITUTE(LEFT(TRIM(C1227),FIND(" ",TRIM(C1227)&amp;" ")-1),",","."))+1,9))*12,NA()))),0),24)*'Aturan &amp; Tarif'!$B$4,2)</f>
        <v>1362.72</v>
      </c>
      <c r="K1227" s="42" t="n">
        <f aca="false">'Aturan &amp; Tarif'!$B$5</f>
        <v>2050</v>
      </c>
      <c r="L1227" s="35" t="n">
        <f aca="false">I1227+J1227+K1227</f>
        <v>20800.72</v>
      </c>
      <c r="M1227" s="45" t="s">
        <v>2665</v>
      </c>
    </row>
    <row r="1228" customFormat="false" ht="72" hidden="false" customHeight="true" outlineLevel="0" collapsed="false">
      <c r="A1228" s="39" t="s">
        <v>2740</v>
      </c>
      <c r="B1228" s="40" t="s">
        <v>478</v>
      </c>
      <c r="C1228" s="41" t="s">
        <v>130</v>
      </c>
      <c r="D1228" s="41" t="s">
        <v>108</v>
      </c>
      <c r="E1228" s="42" t="n">
        <v>2750</v>
      </c>
      <c r="F1228" s="42" t="n">
        <v>250</v>
      </c>
      <c r="G1228" s="42" t="n">
        <v>150</v>
      </c>
      <c r="H1228" s="43" t="n">
        <v>1</v>
      </c>
      <c r="I1228" s="34" t="n">
        <f aca="false">E1228*H1228+N(F1228)+N(G1228)</f>
        <v>3150</v>
      </c>
      <c r="J1228" s="42" t="n">
        <f aca="false">ROUND(IFERROR(ROUND(IF(OR(ISNUMBER(SEARCH("week",C1228)),ISNUMBER(SEARCH("minggu",C1228))),IFERROR(_xlfn.NUMBERVALUE(SUBSTITUTE(LEFT(TRIM(C1228),FIND(" ",TRIM(C1228)&amp;" ")-1),",","."),"."),LEFT(SUBSTITUTE(LEFT(TRIM(C1228),FIND(" ",TRIM(C1228)&amp;" ")-1),",","."),FIND("/",SUBSTITUTE(LEFT(TRIM(C1228),FIND(" ",TRIM(C1228)&amp;" ")-1),",","."))-1)/MID(SUBSTITUTE(LEFT(TRIM(C1228),FIND(" ",TRIM(C1228)&amp;" ")-1),",","."),FIND("/",SUBSTITUTE(LEFT(TRIM(C1228),FIND(" ",TRIM(C1228)&amp;" ")-1),",","."))+1,9))*12/52,IF(ISNUMBER(SEARCH("month",C1228)),IFERROR(_xlfn.NUMBERVALUE(SUBSTITUTE(LEFT(TRIM(C1228),FIND(" ",TRIM(C1228)&amp;" ")-1),",","."),"."),LEFT(SUBSTITUTE(LEFT(TRIM(C1228),FIND(" ",TRIM(C1228)&amp;" ")-1),",","."),FIND("/",SUBSTITUTE(LEFT(TRIM(C1228),FIND(" ",TRIM(C1228)&amp;" ")-1),",","."))-1)/MID(SUBSTITUTE(LEFT(TRIM(C1228),FIND(" ",TRIM(C1228)&amp;" ")-1),",","."),FIND("/",SUBSTITUTE(LEFT(TRIM(C1228),FIND(" ",TRIM(C1228)&amp;" ")-1),",","."))+1,9)),IF(ISNUMBER(SEARCH("yea",C1228)),IFERROR(_xlfn.NUMBERVALUE(SUBSTITUTE(LEFT(TRIM(C1228),FIND(" ",TRIM(C1228)&amp;" ")-1),",","."),"."),LEFT(SUBSTITUTE(LEFT(TRIM(C1228),FIND(" ",TRIM(C1228)&amp;" ")-1),",","."),FIND("/",SUBSTITUTE(LEFT(TRIM(C1228),FIND(" ",TRIM(C1228)&amp;" ")-1),",","."))-1)/MID(SUBSTITUTE(LEFT(TRIM(C1228),FIND(" ",TRIM(C1228)&amp;" ")-1),",","."),FIND("/",SUBSTITUTE(LEFT(TRIM(C1228),FIND(" ",TRIM(C1228)&amp;" ")-1),",","."))+1,9))*12,NA()))),0),12)*'Aturan &amp; Tarif'!$B$4,2)</f>
        <v>681.36</v>
      </c>
      <c r="K1228" s="42" t="n">
        <f aca="false">'Aturan &amp; Tarif'!$B$5</f>
        <v>2050</v>
      </c>
      <c r="L1228" s="35" t="n">
        <f aca="false">I1228+J1228+K1228</f>
        <v>5881.36</v>
      </c>
      <c r="M1228" s="44" t="s">
        <v>2741</v>
      </c>
    </row>
    <row r="1229" customFormat="false" ht="25.5" hidden="false" customHeight="true" outlineLevel="0" collapsed="false">
      <c r="A1229" s="39"/>
      <c r="B1229" s="40" t="s">
        <v>480</v>
      </c>
      <c r="C1229" s="41" t="s">
        <v>130</v>
      </c>
      <c r="D1229" s="41" t="s">
        <v>108</v>
      </c>
      <c r="E1229" s="42" t="n">
        <v>2750</v>
      </c>
      <c r="F1229" s="42" t="n">
        <v>250</v>
      </c>
      <c r="G1229" s="42" t="n">
        <v>150</v>
      </c>
      <c r="H1229" s="43" t="n">
        <v>1</v>
      </c>
      <c r="I1229" s="34" t="n">
        <f aca="false">E1229*H1229+N(F1229)+N(G1229)</f>
        <v>3150</v>
      </c>
      <c r="J1229" s="42" t="n">
        <f aca="false">ROUND(IFERROR(ROUND(IF(OR(ISNUMBER(SEARCH("week",C1229)),ISNUMBER(SEARCH("minggu",C1229))),IFERROR(_xlfn.NUMBERVALUE(SUBSTITUTE(LEFT(TRIM(C1229),FIND(" ",TRIM(C1229)&amp;" ")-1),",","."),"."),LEFT(SUBSTITUTE(LEFT(TRIM(C1229),FIND(" ",TRIM(C1229)&amp;" ")-1),",","."),FIND("/",SUBSTITUTE(LEFT(TRIM(C1229),FIND(" ",TRIM(C1229)&amp;" ")-1),",","."))-1)/MID(SUBSTITUTE(LEFT(TRIM(C1229),FIND(" ",TRIM(C1229)&amp;" ")-1),",","."),FIND("/",SUBSTITUTE(LEFT(TRIM(C1229),FIND(" ",TRIM(C1229)&amp;" ")-1),",","."))+1,9))*12/52,IF(ISNUMBER(SEARCH("month",C1229)),IFERROR(_xlfn.NUMBERVALUE(SUBSTITUTE(LEFT(TRIM(C1229),FIND(" ",TRIM(C1229)&amp;" ")-1),",","."),"."),LEFT(SUBSTITUTE(LEFT(TRIM(C1229),FIND(" ",TRIM(C1229)&amp;" ")-1),",","."),FIND("/",SUBSTITUTE(LEFT(TRIM(C1229),FIND(" ",TRIM(C1229)&amp;" ")-1),",","."))-1)/MID(SUBSTITUTE(LEFT(TRIM(C1229),FIND(" ",TRIM(C1229)&amp;" ")-1),",","."),FIND("/",SUBSTITUTE(LEFT(TRIM(C1229),FIND(" ",TRIM(C1229)&amp;" ")-1),",","."))+1,9)),IF(ISNUMBER(SEARCH("yea",C1229)),IFERROR(_xlfn.NUMBERVALUE(SUBSTITUTE(LEFT(TRIM(C1229),FIND(" ",TRIM(C1229)&amp;" ")-1),",","."),"."),LEFT(SUBSTITUTE(LEFT(TRIM(C1229),FIND(" ",TRIM(C1229)&amp;" ")-1),",","."),FIND("/",SUBSTITUTE(LEFT(TRIM(C1229),FIND(" ",TRIM(C1229)&amp;" ")-1),",","."))-1)/MID(SUBSTITUTE(LEFT(TRIM(C1229),FIND(" ",TRIM(C1229)&amp;" ")-1),",","."),FIND("/",SUBSTITUTE(LEFT(TRIM(C1229),FIND(" ",TRIM(C1229)&amp;" ")-1),",","."))+1,9))*12,NA()))),0),12)*'Aturan &amp; Tarif'!$B$4,2)</f>
        <v>681.36</v>
      </c>
      <c r="K1229" s="42" t="n">
        <f aca="false">'Aturan &amp; Tarif'!$B$5</f>
        <v>2050</v>
      </c>
      <c r="L1229" s="35" t="n">
        <f aca="false">I1229+J1229+K1229</f>
        <v>5881.36</v>
      </c>
      <c r="M1229" s="45" t="s">
        <v>2742</v>
      </c>
    </row>
    <row r="1230" customFormat="false" ht="72" hidden="false" customHeight="true" outlineLevel="0" collapsed="false">
      <c r="A1230" s="39"/>
      <c r="B1230" s="40" t="s">
        <v>3287</v>
      </c>
      <c r="C1230" s="41" t="s">
        <v>191</v>
      </c>
      <c r="D1230" s="41" t="s">
        <v>108</v>
      </c>
      <c r="E1230" s="42" t="n">
        <v>2750</v>
      </c>
      <c r="F1230" s="42" t="n">
        <v>250</v>
      </c>
      <c r="G1230" s="42" t="n">
        <v>150</v>
      </c>
      <c r="H1230" s="43" t="n">
        <v>1</v>
      </c>
      <c r="I1230" s="34" t="n">
        <f aca="false">E1230*H1230+N(F1230)+N(G1230)</f>
        <v>3150</v>
      </c>
      <c r="J1230" s="42" t="n">
        <f aca="false">ROUND(IFERROR(ROUND(IF(OR(ISNUMBER(SEARCH("week",C1230)),ISNUMBER(SEARCH("minggu",C1230))),IFERROR(_xlfn.NUMBERVALUE(SUBSTITUTE(LEFT(TRIM(C1230),FIND(" ",TRIM(C1230)&amp;" ")-1),",","."),"."),LEFT(SUBSTITUTE(LEFT(TRIM(C1230),FIND(" ",TRIM(C1230)&amp;" ")-1),",","."),FIND("/",SUBSTITUTE(LEFT(TRIM(C1230),FIND(" ",TRIM(C1230)&amp;" ")-1),",","."))-1)/MID(SUBSTITUTE(LEFT(TRIM(C1230),FIND(" ",TRIM(C1230)&amp;" ")-1),",","."),FIND("/",SUBSTITUTE(LEFT(TRIM(C1230),FIND(" ",TRIM(C1230)&amp;" ")-1),",","."))+1,9))*12/52,IF(ISNUMBER(SEARCH("month",C1230)),IFERROR(_xlfn.NUMBERVALUE(SUBSTITUTE(LEFT(TRIM(C1230),FIND(" ",TRIM(C1230)&amp;" ")-1),",","."),"."),LEFT(SUBSTITUTE(LEFT(TRIM(C1230),FIND(" ",TRIM(C1230)&amp;" ")-1),",","."),FIND("/",SUBSTITUTE(LEFT(TRIM(C1230),FIND(" ",TRIM(C1230)&amp;" ")-1),",","."))-1)/MID(SUBSTITUTE(LEFT(TRIM(C1230),FIND(" ",TRIM(C1230)&amp;" ")-1),",","."),FIND("/",SUBSTITUTE(LEFT(TRIM(C1230),FIND(" ",TRIM(C1230)&amp;" ")-1),",","."))+1,9)),IF(ISNUMBER(SEARCH("yea",C1230)),IFERROR(_xlfn.NUMBERVALUE(SUBSTITUTE(LEFT(TRIM(C1230),FIND(" ",TRIM(C1230)&amp;" ")-1),",","."),"."),LEFT(SUBSTITUTE(LEFT(TRIM(C1230),FIND(" ",TRIM(C1230)&amp;" ")-1),",","."),FIND("/",SUBSTITUTE(LEFT(TRIM(C1230),FIND(" ",TRIM(C1230)&amp;" ")-1),",","."))-1)/MID(SUBSTITUTE(LEFT(TRIM(C1230),FIND(" ",TRIM(C1230)&amp;" ")-1),",","."),FIND("/",SUBSTITUTE(LEFT(TRIM(C1230),FIND(" ",TRIM(C1230)&amp;" ")-1),",","."))+1,9))*12,NA()))),0),48)*'Aturan &amp; Tarif'!$B$4,2)</f>
        <v>2725.44</v>
      </c>
      <c r="K1230" s="42" t="n">
        <f aca="false">'Aturan &amp; Tarif'!$B$5</f>
        <v>2050</v>
      </c>
      <c r="L1230" s="35" t="n">
        <f aca="false">I1230+J1230+K1230</f>
        <v>7925.44</v>
      </c>
      <c r="M1230" s="44" t="s">
        <v>2744</v>
      </c>
    </row>
    <row r="1231" customFormat="false" ht="25.5" hidden="false" customHeight="true" outlineLevel="0" collapsed="false">
      <c r="A1231" s="39" t="s">
        <v>3288</v>
      </c>
      <c r="B1231" s="40" t="s">
        <v>1021</v>
      </c>
      <c r="C1231" s="41" t="s">
        <v>107</v>
      </c>
      <c r="D1231" s="41" t="s">
        <v>108</v>
      </c>
      <c r="E1231" s="42" t="n">
        <v>4200</v>
      </c>
      <c r="F1231" s="42" t="n">
        <v>1385</v>
      </c>
      <c r="G1231" s="42" t="n">
        <v>600</v>
      </c>
      <c r="H1231" s="43" t="n">
        <v>2</v>
      </c>
      <c r="I1231" s="34" t="n">
        <f aca="false">E1231*H1231+N(F1231)+N(G1231)</f>
        <v>10385</v>
      </c>
      <c r="J1231" s="42" t="n">
        <f aca="false">ROUND(IFERROR(ROUND(IF(OR(ISNUMBER(SEARCH("week",C1231)),ISNUMBER(SEARCH("minggu",C1231))),IFERROR(_xlfn.NUMBERVALUE(SUBSTITUTE(LEFT(TRIM(C1231),FIND(" ",TRIM(C1231)&amp;" ")-1),",","."),"."),LEFT(SUBSTITUTE(LEFT(TRIM(C1231),FIND(" ",TRIM(C1231)&amp;" ")-1),",","."),FIND("/",SUBSTITUTE(LEFT(TRIM(C1231),FIND(" ",TRIM(C1231)&amp;" ")-1),",","."))-1)/MID(SUBSTITUTE(LEFT(TRIM(C1231),FIND(" ",TRIM(C1231)&amp;" ")-1),",","."),FIND("/",SUBSTITUTE(LEFT(TRIM(C1231),FIND(" ",TRIM(C1231)&amp;" ")-1),",","."))+1,9))*12/52,IF(ISNUMBER(SEARCH("month",C1231)),IFERROR(_xlfn.NUMBERVALUE(SUBSTITUTE(LEFT(TRIM(C1231),FIND(" ",TRIM(C1231)&amp;" ")-1),",","."),"."),LEFT(SUBSTITUTE(LEFT(TRIM(C1231),FIND(" ",TRIM(C1231)&amp;" ")-1),",","."),FIND("/",SUBSTITUTE(LEFT(TRIM(C1231),FIND(" ",TRIM(C1231)&amp;" ")-1),",","."))-1)/MID(SUBSTITUTE(LEFT(TRIM(C1231),FIND(" ",TRIM(C1231)&amp;" ")-1),",","."),FIND("/",SUBSTITUTE(LEFT(TRIM(C1231),FIND(" ",TRIM(C1231)&amp;" ")-1),",","."))+1,9)),IF(ISNUMBER(SEARCH("yea",C1231)),IFERROR(_xlfn.NUMBERVALUE(SUBSTITUTE(LEFT(TRIM(C1231),FIND(" ",TRIM(C1231)&amp;" ")-1),",","."),"."),LEFT(SUBSTITUTE(LEFT(TRIM(C1231),FIND(" ",TRIM(C1231)&amp;" ")-1),",","."),FIND("/",SUBSTITUTE(LEFT(TRIM(C1231),FIND(" ",TRIM(C1231)&amp;" ")-1),",","."))-1)/MID(SUBSTITUTE(LEFT(TRIM(C1231),FIND(" ",TRIM(C1231)&amp;" ")-1),",","."),FIND("/",SUBSTITUTE(LEFT(TRIM(C1231),FIND(" ",TRIM(C1231)&amp;" ")-1),",","."))+1,9))*12,NA()))),0),24)*'Aturan &amp; Tarif'!$B$4,2)</f>
        <v>1362.72</v>
      </c>
      <c r="K1231" s="42" t="n">
        <f aca="false">'Aturan &amp; Tarif'!$B$5</f>
        <v>2050</v>
      </c>
      <c r="L1231" s="35" t="n">
        <f aca="false">I1231+J1231+K1231</f>
        <v>13797.72</v>
      </c>
      <c r="M1231" s="45" t="s">
        <v>3289</v>
      </c>
    </row>
    <row r="1232" customFormat="false" ht="60" hidden="false" customHeight="true" outlineLevel="0" collapsed="false">
      <c r="A1232" s="39"/>
      <c r="B1232" s="40" t="s">
        <v>3290</v>
      </c>
      <c r="C1232" s="41" t="s">
        <v>138</v>
      </c>
      <c r="D1232" s="41" t="s">
        <v>108</v>
      </c>
      <c r="E1232" s="42" t="n">
        <v>4200</v>
      </c>
      <c r="F1232" s="42" t="n">
        <v>1385</v>
      </c>
      <c r="G1232" s="42" t="n">
        <v>600</v>
      </c>
      <c r="H1232" s="43" t="n">
        <v>2</v>
      </c>
      <c r="I1232" s="34" t="n">
        <f aca="false">E1232*H1232+N(F1232)+N(G1232)</f>
        <v>10385</v>
      </c>
      <c r="J1232" s="42" t="n">
        <f aca="false">ROUND(IFERROR(ROUND(IF(OR(ISNUMBER(SEARCH("week",C1232)),ISNUMBER(SEARCH("minggu",C1232))),IFERROR(_xlfn.NUMBERVALUE(SUBSTITUTE(LEFT(TRIM(C1232),FIND(" ",TRIM(C1232)&amp;" ")-1),",","."),"."),LEFT(SUBSTITUTE(LEFT(TRIM(C1232),FIND(" ",TRIM(C1232)&amp;" ")-1),",","."),FIND("/",SUBSTITUTE(LEFT(TRIM(C1232),FIND(" ",TRIM(C1232)&amp;" ")-1),",","."))-1)/MID(SUBSTITUTE(LEFT(TRIM(C1232),FIND(" ",TRIM(C1232)&amp;" ")-1),",","."),FIND("/",SUBSTITUTE(LEFT(TRIM(C1232),FIND(" ",TRIM(C1232)&amp;" ")-1),",","."))+1,9))*12/52,IF(ISNUMBER(SEARCH("month",C1232)),IFERROR(_xlfn.NUMBERVALUE(SUBSTITUTE(LEFT(TRIM(C1232),FIND(" ",TRIM(C1232)&amp;" ")-1),",","."),"."),LEFT(SUBSTITUTE(LEFT(TRIM(C1232),FIND(" ",TRIM(C1232)&amp;" ")-1),",","."),FIND("/",SUBSTITUTE(LEFT(TRIM(C1232),FIND(" ",TRIM(C1232)&amp;" ")-1),",","."))-1)/MID(SUBSTITUTE(LEFT(TRIM(C1232),FIND(" ",TRIM(C1232)&amp;" ")-1),",","."),FIND("/",SUBSTITUTE(LEFT(TRIM(C1232),FIND(" ",TRIM(C1232)&amp;" ")-1),",","."))+1,9)),IF(ISNUMBER(SEARCH("yea",C1232)),IFERROR(_xlfn.NUMBERVALUE(SUBSTITUTE(LEFT(TRIM(C1232),FIND(" ",TRIM(C1232)&amp;" ")-1),",","."),"."),LEFT(SUBSTITUTE(LEFT(TRIM(C1232),FIND(" ",TRIM(C1232)&amp;" ")-1),",","."),FIND("/",SUBSTITUTE(LEFT(TRIM(C1232),FIND(" ",TRIM(C1232)&amp;" ")-1),",","."))-1)/MID(SUBSTITUTE(LEFT(TRIM(C1232),FIND(" ",TRIM(C1232)&amp;" ")-1),",","."),FIND("/",SUBSTITUTE(LEFT(TRIM(C1232),FIND(" ",TRIM(C1232)&amp;" ")-1),",","."))+1,9))*12,NA()))),0),30)*'Aturan &amp; Tarif'!$B$4,2)</f>
        <v>1703.4</v>
      </c>
      <c r="K1232" s="42" t="n">
        <f aca="false">'Aturan &amp; Tarif'!$B$5</f>
        <v>2050</v>
      </c>
      <c r="L1232" s="35" t="n">
        <f aca="false">I1232+J1232+K1232</f>
        <v>14138.4</v>
      </c>
      <c r="M1232" s="45" t="s">
        <v>3289</v>
      </c>
    </row>
    <row r="1233" customFormat="false" ht="60" hidden="false" customHeight="true" outlineLevel="0" collapsed="false">
      <c r="A1233" s="39"/>
      <c r="B1233" s="40" t="s">
        <v>2986</v>
      </c>
      <c r="C1233" s="41" t="s">
        <v>107</v>
      </c>
      <c r="D1233" s="41" t="s">
        <v>108</v>
      </c>
      <c r="E1233" s="42" t="n">
        <v>4200</v>
      </c>
      <c r="F1233" s="42" t="n">
        <v>1315</v>
      </c>
      <c r="G1233" s="42" t="n">
        <v>600</v>
      </c>
      <c r="H1233" s="43" t="n">
        <v>2</v>
      </c>
      <c r="I1233" s="34" t="n">
        <f aca="false">E1233*H1233+N(F1233)+N(G1233)</f>
        <v>10315</v>
      </c>
      <c r="J1233" s="42" t="n">
        <f aca="false">ROUND(IFERROR(ROUND(IF(OR(ISNUMBER(SEARCH("week",C1233)),ISNUMBER(SEARCH("minggu",C1233))),IFERROR(_xlfn.NUMBERVALUE(SUBSTITUTE(LEFT(TRIM(C1233),FIND(" ",TRIM(C1233)&amp;" ")-1),",","."),"."),LEFT(SUBSTITUTE(LEFT(TRIM(C1233),FIND(" ",TRIM(C1233)&amp;" ")-1),",","."),FIND("/",SUBSTITUTE(LEFT(TRIM(C1233),FIND(" ",TRIM(C1233)&amp;" ")-1),",","."))-1)/MID(SUBSTITUTE(LEFT(TRIM(C1233),FIND(" ",TRIM(C1233)&amp;" ")-1),",","."),FIND("/",SUBSTITUTE(LEFT(TRIM(C1233),FIND(" ",TRIM(C1233)&amp;" ")-1),",","."))+1,9))*12/52,IF(ISNUMBER(SEARCH("month",C1233)),IFERROR(_xlfn.NUMBERVALUE(SUBSTITUTE(LEFT(TRIM(C1233),FIND(" ",TRIM(C1233)&amp;" ")-1),",","."),"."),LEFT(SUBSTITUTE(LEFT(TRIM(C1233),FIND(" ",TRIM(C1233)&amp;" ")-1),",","."),FIND("/",SUBSTITUTE(LEFT(TRIM(C1233),FIND(" ",TRIM(C1233)&amp;" ")-1),",","."))-1)/MID(SUBSTITUTE(LEFT(TRIM(C1233),FIND(" ",TRIM(C1233)&amp;" ")-1),",","."),FIND("/",SUBSTITUTE(LEFT(TRIM(C1233),FIND(" ",TRIM(C1233)&amp;" ")-1),",","."))+1,9)),IF(ISNUMBER(SEARCH("yea",C1233)),IFERROR(_xlfn.NUMBERVALUE(SUBSTITUTE(LEFT(TRIM(C1233),FIND(" ",TRIM(C1233)&amp;" ")-1),",","."),"."),LEFT(SUBSTITUTE(LEFT(TRIM(C1233),FIND(" ",TRIM(C1233)&amp;" ")-1),",","."),FIND("/",SUBSTITUTE(LEFT(TRIM(C1233),FIND(" ",TRIM(C1233)&amp;" ")-1),",","."))-1)/MID(SUBSTITUTE(LEFT(TRIM(C1233),FIND(" ",TRIM(C1233)&amp;" ")-1),",","."),FIND("/",SUBSTITUTE(LEFT(TRIM(C1233),FIND(" ",TRIM(C1233)&amp;" ")-1),",","."))+1,9))*12,NA()))),0),24)*'Aturan &amp; Tarif'!$B$4,2)</f>
        <v>1362.72</v>
      </c>
      <c r="K1233" s="42" t="n">
        <f aca="false">'Aturan &amp; Tarif'!$B$5</f>
        <v>2050</v>
      </c>
      <c r="L1233" s="35" t="n">
        <f aca="false">I1233+J1233+K1233</f>
        <v>13727.72</v>
      </c>
      <c r="M1233" s="44" t="s">
        <v>2987</v>
      </c>
    </row>
    <row r="1234" customFormat="false" ht="25.5" hidden="false" customHeight="true" outlineLevel="0" collapsed="false">
      <c r="A1234" s="39"/>
      <c r="B1234" s="40" t="s">
        <v>2988</v>
      </c>
      <c r="C1234" s="41" t="s">
        <v>138</v>
      </c>
      <c r="D1234" s="41" t="s">
        <v>108</v>
      </c>
      <c r="E1234" s="42" t="n">
        <v>4200</v>
      </c>
      <c r="F1234" s="42" t="n">
        <v>1315</v>
      </c>
      <c r="G1234" s="42" t="n">
        <v>600</v>
      </c>
      <c r="H1234" s="43" t="n">
        <v>2</v>
      </c>
      <c r="I1234" s="34" t="n">
        <f aca="false">E1234*H1234+N(F1234)+N(G1234)</f>
        <v>10315</v>
      </c>
      <c r="J1234" s="42" t="n">
        <f aca="false">ROUND(IFERROR(ROUND(IF(OR(ISNUMBER(SEARCH("week",C1234)),ISNUMBER(SEARCH("minggu",C1234))),IFERROR(_xlfn.NUMBERVALUE(SUBSTITUTE(LEFT(TRIM(C1234),FIND(" ",TRIM(C1234)&amp;" ")-1),",","."),"."),LEFT(SUBSTITUTE(LEFT(TRIM(C1234),FIND(" ",TRIM(C1234)&amp;" ")-1),",","."),FIND("/",SUBSTITUTE(LEFT(TRIM(C1234),FIND(" ",TRIM(C1234)&amp;" ")-1),",","."))-1)/MID(SUBSTITUTE(LEFT(TRIM(C1234),FIND(" ",TRIM(C1234)&amp;" ")-1),",","."),FIND("/",SUBSTITUTE(LEFT(TRIM(C1234),FIND(" ",TRIM(C1234)&amp;" ")-1),",","."))+1,9))*12/52,IF(ISNUMBER(SEARCH("month",C1234)),IFERROR(_xlfn.NUMBERVALUE(SUBSTITUTE(LEFT(TRIM(C1234),FIND(" ",TRIM(C1234)&amp;" ")-1),",","."),"."),LEFT(SUBSTITUTE(LEFT(TRIM(C1234),FIND(" ",TRIM(C1234)&amp;" ")-1),",","."),FIND("/",SUBSTITUTE(LEFT(TRIM(C1234),FIND(" ",TRIM(C1234)&amp;" ")-1),",","."))-1)/MID(SUBSTITUTE(LEFT(TRIM(C1234),FIND(" ",TRIM(C1234)&amp;" ")-1),",","."),FIND("/",SUBSTITUTE(LEFT(TRIM(C1234),FIND(" ",TRIM(C1234)&amp;" ")-1),",","."))+1,9)),IF(ISNUMBER(SEARCH("yea",C1234)),IFERROR(_xlfn.NUMBERVALUE(SUBSTITUTE(LEFT(TRIM(C1234),FIND(" ",TRIM(C1234)&amp;" ")-1),",","."),"."),LEFT(SUBSTITUTE(LEFT(TRIM(C1234),FIND(" ",TRIM(C1234)&amp;" ")-1),",","."),FIND("/",SUBSTITUTE(LEFT(TRIM(C1234),FIND(" ",TRIM(C1234)&amp;" ")-1),",","."))-1)/MID(SUBSTITUTE(LEFT(TRIM(C1234),FIND(" ",TRIM(C1234)&amp;" ")-1),",","."),FIND("/",SUBSTITUTE(LEFT(TRIM(C1234),FIND(" ",TRIM(C1234)&amp;" ")-1),",","."))+1,9))*12,NA()))),0),30)*'Aturan &amp; Tarif'!$B$4,2)</f>
        <v>1703.4</v>
      </c>
      <c r="K1234" s="42" t="n">
        <f aca="false">'Aturan &amp; Tarif'!$B$5</f>
        <v>2050</v>
      </c>
      <c r="L1234" s="35" t="n">
        <f aca="false">I1234+J1234+K1234</f>
        <v>14068.4</v>
      </c>
      <c r="M1234" s="44" t="s">
        <v>2989</v>
      </c>
    </row>
    <row r="1235" customFormat="false" ht="60" hidden="false" customHeight="true" outlineLevel="0" collapsed="false">
      <c r="A1235" s="39"/>
      <c r="B1235" s="40" t="s">
        <v>1809</v>
      </c>
      <c r="C1235" s="41" t="s">
        <v>138</v>
      </c>
      <c r="D1235" s="41" t="s">
        <v>108</v>
      </c>
      <c r="E1235" s="42" t="n">
        <v>4500</v>
      </c>
      <c r="F1235" s="42" t="n">
        <v>1385</v>
      </c>
      <c r="G1235" s="42" t="n">
        <v>100</v>
      </c>
      <c r="H1235" s="43" t="n">
        <v>2</v>
      </c>
      <c r="I1235" s="34" t="n">
        <f aca="false">E1235*H1235+N(F1235)+N(G1235)</f>
        <v>10485</v>
      </c>
      <c r="J1235" s="42" t="n">
        <f aca="false">ROUND(IFERROR(ROUND(IF(OR(ISNUMBER(SEARCH("week",C1235)),ISNUMBER(SEARCH("minggu",C1235))),IFERROR(_xlfn.NUMBERVALUE(SUBSTITUTE(LEFT(TRIM(C1235),FIND(" ",TRIM(C1235)&amp;" ")-1),",","."),"."),LEFT(SUBSTITUTE(LEFT(TRIM(C1235),FIND(" ",TRIM(C1235)&amp;" ")-1),",","."),FIND("/",SUBSTITUTE(LEFT(TRIM(C1235),FIND(" ",TRIM(C1235)&amp;" ")-1),",","."))-1)/MID(SUBSTITUTE(LEFT(TRIM(C1235),FIND(" ",TRIM(C1235)&amp;" ")-1),",","."),FIND("/",SUBSTITUTE(LEFT(TRIM(C1235),FIND(" ",TRIM(C1235)&amp;" ")-1),",","."))+1,9))*12/52,IF(ISNUMBER(SEARCH("month",C1235)),IFERROR(_xlfn.NUMBERVALUE(SUBSTITUTE(LEFT(TRIM(C1235),FIND(" ",TRIM(C1235)&amp;" ")-1),",","."),"."),LEFT(SUBSTITUTE(LEFT(TRIM(C1235),FIND(" ",TRIM(C1235)&amp;" ")-1),",","."),FIND("/",SUBSTITUTE(LEFT(TRIM(C1235),FIND(" ",TRIM(C1235)&amp;" ")-1),",","."))-1)/MID(SUBSTITUTE(LEFT(TRIM(C1235),FIND(" ",TRIM(C1235)&amp;" ")-1),",","."),FIND("/",SUBSTITUTE(LEFT(TRIM(C1235),FIND(" ",TRIM(C1235)&amp;" ")-1),",","."))+1,9)),IF(ISNUMBER(SEARCH("yea",C1235)),IFERROR(_xlfn.NUMBERVALUE(SUBSTITUTE(LEFT(TRIM(C1235),FIND(" ",TRIM(C1235)&amp;" ")-1),",","."),"."),LEFT(SUBSTITUTE(LEFT(TRIM(C1235),FIND(" ",TRIM(C1235)&amp;" ")-1),",","."),FIND("/",SUBSTITUTE(LEFT(TRIM(C1235),FIND(" ",TRIM(C1235)&amp;" ")-1),",","."))-1)/MID(SUBSTITUTE(LEFT(TRIM(C1235),FIND(" ",TRIM(C1235)&amp;" ")-1),",","."),FIND("/",SUBSTITUTE(LEFT(TRIM(C1235),FIND(" ",TRIM(C1235)&amp;" ")-1),",","."))+1,9))*12,NA()))),0),30)*'Aturan &amp; Tarif'!$B$4,2)</f>
        <v>1703.4</v>
      </c>
      <c r="K1235" s="42" t="n">
        <f aca="false">'Aturan &amp; Tarif'!$B$5</f>
        <v>2050</v>
      </c>
      <c r="L1235" s="35" t="n">
        <f aca="false">I1235+J1235+K1235</f>
        <v>14238.4</v>
      </c>
      <c r="M1235" s="45" t="s">
        <v>3289</v>
      </c>
    </row>
    <row r="1236" customFormat="false" ht="72" hidden="false" customHeight="true" outlineLevel="0" collapsed="false">
      <c r="A1236" s="39"/>
      <c r="B1236" s="40" t="s">
        <v>2992</v>
      </c>
      <c r="C1236" s="41" t="s">
        <v>127</v>
      </c>
      <c r="D1236" s="41" t="s">
        <v>108</v>
      </c>
      <c r="E1236" s="42" t="n">
        <v>4200</v>
      </c>
      <c r="F1236" s="42" t="n">
        <v>1385</v>
      </c>
      <c r="G1236" s="42" t="n">
        <v>600</v>
      </c>
      <c r="H1236" s="43" t="n">
        <v>2</v>
      </c>
      <c r="I1236" s="34" t="n">
        <f aca="false">E1236*H1236+N(F1236)+N(G1236)</f>
        <v>10385</v>
      </c>
      <c r="J1236" s="42" t="n">
        <f aca="false">ROUND(IFERROR(ROUND(IF(OR(ISNUMBER(SEARCH("week",C1236)),ISNUMBER(SEARCH("minggu",C1236))),IFERROR(_xlfn.NUMBERVALUE(SUBSTITUTE(LEFT(TRIM(C1236),FIND(" ",TRIM(C1236)&amp;" ")-1),",","."),"."),LEFT(SUBSTITUTE(LEFT(TRIM(C1236),FIND(" ",TRIM(C1236)&amp;" ")-1),",","."),FIND("/",SUBSTITUTE(LEFT(TRIM(C1236),FIND(" ",TRIM(C1236)&amp;" ")-1),",","."))-1)/MID(SUBSTITUTE(LEFT(TRIM(C1236),FIND(" ",TRIM(C1236)&amp;" ")-1),",","."),FIND("/",SUBSTITUTE(LEFT(TRIM(C1236),FIND(" ",TRIM(C1236)&amp;" ")-1),",","."))+1,9))*12/52,IF(ISNUMBER(SEARCH("month",C1236)),IFERROR(_xlfn.NUMBERVALUE(SUBSTITUTE(LEFT(TRIM(C1236),FIND(" ",TRIM(C1236)&amp;" ")-1),",","."),"."),LEFT(SUBSTITUTE(LEFT(TRIM(C1236),FIND(" ",TRIM(C1236)&amp;" ")-1),",","."),FIND("/",SUBSTITUTE(LEFT(TRIM(C1236),FIND(" ",TRIM(C1236)&amp;" ")-1),",","."))-1)/MID(SUBSTITUTE(LEFT(TRIM(C1236),FIND(" ",TRIM(C1236)&amp;" ")-1),",","."),FIND("/",SUBSTITUTE(LEFT(TRIM(C1236),FIND(" ",TRIM(C1236)&amp;" ")-1),",","."))+1,9)),IF(ISNUMBER(SEARCH("yea",C1236)),IFERROR(_xlfn.NUMBERVALUE(SUBSTITUTE(LEFT(TRIM(C1236),FIND(" ",TRIM(C1236)&amp;" ")-1),",","."),"."),LEFT(SUBSTITUTE(LEFT(TRIM(C1236),FIND(" ",TRIM(C1236)&amp;" ")-1),",","."),FIND("/",SUBSTITUTE(LEFT(TRIM(C1236),FIND(" ",TRIM(C1236)&amp;" ")-1),",","."))-1)/MID(SUBSTITUTE(LEFT(TRIM(C1236),FIND(" ",TRIM(C1236)&amp;" ")-1),",","."),FIND("/",SUBSTITUTE(LEFT(TRIM(C1236),FIND(" ",TRIM(C1236)&amp;" ")-1),",","."))+1,9))*12,NA()))),0),36)*'Aturan &amp; Tarif'!$B$4,2)</f>
        <v>2044.08</v>
      </c>
      <c r="K1236" s="42" t="n">
        <f aca="false">'Aturan &amp; Tarif'!$B$5</f>
        <v>2050</v>
      </c>
      <c r="L1236" s="35" t="n">
        <f aca="false">I1236+J1236+K1236</f>
        <v>14479.08</v>
      </c>
      <c r="M1236" s="44" t="s">
        <v>2993</v>
      </c>
    </row>
    <row r="1237" customFormat="false" ht="60" hidden="false" customHeight="true" outlineLevel="0" collapsed="false">
      <c r="A1237" s="29" t="s">
        <v>2745</v>
      </c>
      <c r="B1237" s="30" t="s">
        <v>877</v>
      </c>
      <c r="C1237" s="31" t="s">
        <v>138</v>
      </c>
      <c r="D1237" s="31" t="s">
        <v>108</v>
      </c>
      <c r="E1237" s="32" t="n">
        <v>1500</v>
      </c>
      <c r="F1237" s="32" t="n">
        <v>50</v>
      </c>
      <c r="G1237" s="32" t="n">
        <v>200</v>
      </c>
      <c r="H1237" s="33" t="n">
        <v>1</v>
      </c>
      <c r="I1237" s="34" t="n">
        <f aca="false">E1237*H1237+N(F1237)+N(G1237)</f>
        <v>1750</v>
      </c>
      <c r="J1237" s="32" t="n">
        <f aca="false">ROUND(IFERROR(ROUND(IF(OR(ISNUMBER(SEARCH("week",C1237)),ISNUMBER(SEARCH("minggu",C1237))),IFERROR(_xlfn.NUMBERVALUE(SUBSTITUTE(LEFT(TRIM(C1237),FIND(" ",TRIM(C1237)&amp;" ")-1),",","."),"."),LEFT(SUBSTITUTE(LEFT(TRIM(C1237),FIND(" ",TRIM(C1237)&amp;" ")-1),",","."),FIND("/",SUBSTITUTE(LEFT(TRIM(C1237),FIND(" ",TRIM(C1237)&amp;" ")-1),",","."))-1)/MID(SUBSTITUTE(LEFT(TRIM(C1237),FIND(" ",TRIM(C1237)&amp;" ")-1),",","."),FIND("/",SUBSTITUTE(LEFT(TRIM(C1237),FIND(" ",TRIM(C1237)&amp;" ")-1),",","."))+1,9))*12/52,IF(ISNUMBER(SEARCH("month",C1237)),IFERROR(_xlfn.NUMBERVALUE(SUBSTITUTE(LEFT(TRIM(C1237),FIND(" ",TRIM(C1237)&amp;" ")-1),",","."),"."),LEFT(SUBSTITUTE(LEFT(TRIM(C1237),FIND(" ",TRIM(C1237)&amp;" ")-1),",","."),FIND("/",SUBSTITUTE(LEFT(TRIM(C1237),FIND(" ",TRIM(C1237)&amp;" ")-1),",","."))-1)/MID(SUBSTITUTE(LEFT(TRIM(C1237),FIND(" ",TRIM(C1237)&amp;" ")-1),",","."),FIND("/",SUBSTITUTE(LEFT(TRIM(C1237),FIND(" ",TRIM(C1237)&amp;" ")-1),",","."))+1,9)),IF(ISNUMBER(SEARCH("yea",C1237)),IFERROR(_xlfn.NUMBERVALUE(SUBSTITUTE(LEFT(TRIM(C1237),FIND(" ",TRIM(C1237)&amp;" ")-1),",","."),"."),LEFT(SUBSTITUTE(LEFT(TRIM(C1237),FIND(" ",TRIM(C1237)&amp;" ")-1),",","."),FIND("/",SUBSTITUTE(LEFT(TRIM(C1237),FIND(" ",TRIM(C1237)&amp;" ")-1),",","."))-1)/MID(SUBSTITUTE(LEFT(TRIM(C1237),FIND(" ",TRIM(C1237)&amp;" ")-1),",","."),FIND("/",SUBSTITUTE(LEFT(TRIM(C1237),FIND(" ",TRIM(C1237)&amp;" ")-1),",","."))+1,9))*12,NA()))),0),30)*'Aturan &amp; Tarif'!$B$4,2)</f>
        <v>1703.4</v>
      </c>
      <c r="K1237" s="32" t="n">
        <f aca="false">'Aturan &amp; Tarif'!$B$5</f>
        <v>2050</v>
      </c>
      <c r="L1237" s="35" t="n">
        <f aca="false">I1237+J1237+K1237</f>
        <v>5503.4</v>
      </c>
      <c r="M1237" s="36" t="s">
        <v>2746</v>
      </c>
    </row>
    <row r="1238" customFormat="false" ht="25.5" hidden="false" customHeight="true" outlineLevel="0" collapsed="false">
      <c r="A1238" s="29"/>
      <c r="B1238" s="30" t="s">
        <v>2747</v>
      </c>
      <c r="C1238" s="31" t="s">
        <v>136</v>
      </c>
      <c r="D1238" s="31" t="s">
        <v>108</v>
      </c>
      <c r="E1238" s="32" t="n">
        <v>1500</v>
      </c>
      <c r="F1238" s="32" t="n">
        <v>50</v>
      </c>
      <c r="G1238" s="32" t="n">
        <v>200</v>
      </c>
      <c r="H1238" s="33" t="n">
        <v>1</v>
      </c>
      <c r="I1238" s="34" t="n">
        <f aca="false">E1238*H1238+N(F1238)+N(G1238)</f>
        <v>1750</v>
      </c>
      <c r="J1238" s="32" t="n">
        <f aca="false">ROUND(IFERROR(ROUND(IF(OR(ISNUMBER(SEARCH("week",C1238)),ISNUMBER(SEARCH("minggu",C1238))),IFERROR(_xlfn.NUMBERVALUE(SUBSTITUTE(LEFT(TRIM(C1238),FIND(" ",TRIM(C1238)&amp;" ")-1),",","."),"."),LEFT(SUBSTITUTE(LEFT(TRIM(C1238),FIND(" ",TRIM(C1238)&amp;" ")-1),",","."),FIND("/",SUBSTITUTE(LEFT(TRIM(C1238),FIND(" ",TRIM(C1238)&amp;" ")-1),",","."))-1)/MID(SUBSTITUTE(LEFT(TRIM(C1238),FIND(" ",TRIM(C1238)&amp;" ")-1),",","."),FIND("/",SUBSTITUTE(LEFT(TRIM(C1238),FIND(" ",TRIM(C1238)&amp;" ")-1),",","."))+1,9))*12/52,IF(ISNUMBER(SEARCH("month",C1238)),IFERROR(_xlfn.NUMBERVALUE(SUBSTITUTE(LEFT(TRIM(C1238),FIND(" ",TRIM(C1238)&amp;" ")-1),",","."),"."),LEFT(SUBSTITUTE(LEFT(TRIM(C1238),FIND(" ",TRIM(C1238)&amp;" ")-1),",","."),FIND("/",SUBSTITUTE(LEFT(TRIM(C1238),FIND(" ",TRIM(C1238)&amp;" ")-1),",","."))-1)/MID(SUBSTITUTE(LEFT(TRIM(C1238),FIND(" ",TRIM(C1238)&amp;" ")-1),",","."),FIND("/",SUBSTITUTE(LEFT(TRIM(C1238),FIND(" ",TRIM(C1238)&amp;" ")-1),",","."))+1,9)),IF(ISNUMBER(SEARCH("yea",C1238)),IFERROR(_xlfn.NUMBERVALUE(SUBSTITUTE(LEFT(TRIM(C1238),FIND(" ",TRIM(C1238)&amp;" ")-1),",","."),"."),LEFT(SUBSTITUTE(LEFT(TRIM(C1238),FIND(" ",TRIM(C1238)&amp;" ")-1),",","."),FIND("/",SUBSTITUTE(LEFT(TRIM(C1238),FIND(" ",TRIM(C1238)&amp;" ")-1),",","."))-1)/MID(SUBSTITUTE(LEFT(TRIM(C1238),FIND(" ",TRIM(C1238)&amp;" ")-1),",","."),FIND("/",SUBSTITUTE(LEFT(TRIM(C1238),FIND(" ",TRIM(C1238)&amp;" ")-1),",","."))+1,9))*12,NA()))),0),42)*'Aturan &amp; Tarif'!$B$4,2)</f>
        <v>2384.76</v>
      </c>
      <c r="K1238" s="32" t="n">
        <f aca="false">'Aturan &amp; Tarif'!$B$5</f>
        <v>2050</v>
      </c>
      <c r="L1238" s="35" t="n">
        <f aca="false">I1238+J1238+K1238</f>
        <v>6184.76</v>
      </c>
      <c r="M1238" s="37" t="s">
        <v>3291</v>
      </c>
    </row>
    <row r="1239" customFormat="false" ht="14.25" hidden="false" customHeight="true" outlineLevel="0" collapsed="false">
      <c r="A1239" s="29"/>
      <c r="B1239" s="30" t="s">
        <v>1818</v>
      </c>
      <c r="C1239" s="31" t="s">
        <v>138</v>
      </c>
      <c r="D1239" s="31" t="s">
        <v>108</v>
      </c>
      <c r="E1239" s="32" t="n">
        <v>1500</v>
      </c>
      <c r="F1239" s="32" t="n">
        <v>50</v>
      </c>
      <c r="G1239" s="32" t="n">
        <v>200</v>
      </c>
      <c r="H1239" s="33" t="n">
        <v>1</v>
      </c>
      <c r="I1239" s="34" t="n">
        <f aca="false">E1239*H1239+N(F1239)+N(G1239)</f>
        <v>1750</v>
      </c>
      <c r="J1239" s="32" t="n">
        <f aca="false">ROUND(IFERROR(ROUND(IF(OR(ISNUMBER(SEARCH("week",C1239)),ISNUMBER(SEARCH("minggu",C1239))),IFERROR(_xlfn.NUMBERVALUE(SUBSTITUTE(LEFT(TRIM(C1239),FIND(" ",TRIM(C1239)&amp;" ")-1),",","."),"."),LEFT(SUBSTITUTE(LEFT(TRIM(C1239),FIND(" ",TRIM(C1239)&amp;" ")-1),",","."),FIND("/",SUBSTITUTE(LEFT(TRIM(C1239),FIND(" ",TRIM(C1239)&amp;" ")-1),",","."))-1)/MID(SUBSTITUTE(LEFT(TRIM(C1239),FIND(" ",TRIM(C1239)&amp;" ")-1),",","."),FIND("/",SUBSTITUTE(LEFT(TRIM(C1239),FIND(" ",TRIM(C1239)&amp;" ")-1),",","."))+1,9))*12/52,IF(ISNUMBER(SEARCH("month",C1239)),IFERROR(_xlfn.NUMBERVALUE(SUBSTITUTE(LEFT(TRIM(C1239),FIND(" ",TRIM(C1239)&amp;" ")-1),",","."),"."),LEFT(SUBSTITUTE(LEFT(TRIM(C1239),FIND(" ",TRIM(C1239)&amp;" ")-1),",","."),FIND("/",SUBSTITUTE(LEFT(TRIM(C1239),FIND(" ",TRIM(C1239)&amp;" ")-1),",","."))-1)/MID(SUBSTITUTE(LEFT(TRIM(C1239),FIND(" ",TRIM(C1239)&amp;" ")-1),",","."),FIND("/",SUBSTITUTE(LEFT(TRIM(C1239),FIND(" ",TRIM(C1239)&amp;" ")-1),",","."))+1,9)),IF(ISNUMBER(SEARCH("yea",C1239)),IFERROR(_xlfn.NUMBERVALUE(SUBSTITUTE(LEFT(TRIM(C1239),FIND(" ",TRIM(C1239)&amp;" ")-1),",","."),"."),LEFT(SUBSTITUTE(LEFT(TRIM(C1239),FIND(" ",TRIM(C1239)&amp;" ")-1),",","."),FIND("/",SUBSTITUTE(LEFT(TRIM(C1239),FIND(" ",TRIM(C1239)&amp;" ")-1),",","."))-1)/MID(SUBSTITUTE(LEFT(TRIM(C1239),FIND(" ",TRIM(C1239)&amp;" ")-1),",","."),FIND("/",SUBSTITUTE(LEFT(TRIM(C1239),FIND(" ",TRIM(C1239)&amp;" ")-1),",","."))+1,9))*12,NA()))),0),30)*'Aturan &amp; Tarif'!$B$4,2)</f>
        <v>1703.4</v>
      </c>
      <c r="K1239" s="32" t="n">
        <f aca="false">'Aturan &amp; Tarif'!$B$5</f>
        <v>2050</v>
      </c>
      <c r="L1239" s="35" t="n">
        <f aca="false">I1239+J1239+K1239</f>
        <v>5503.4</v>
      </c>
      <c r="M1239" s="37" t="s">
        <v>3291</v>
      </c>
    </row>
    <row r="1240" customFormat="false" ht="14.25" hidden="false" customHeight="true" outlineLevel="0" collapsed="false">
      <c r="A1240" s="29"/>
      <c r="B1240" s="30" t="s">
        <v>1967</v>
      </c>
      <c r="C1240" s="31" t="s">
        <v>138</v>
      </c>
      <c r="D1240" s="31" t="s">
        <v>108</v>
      </c>
      <c r="E1240" s="32" t="n">
        <v>1500</v>
      </c>
      <c r="F1240" s="32" t="n">
        <v>50</v>
      </c>
      <c r="G1240" s="32" t="n">
        <v>200</v>
      </c>
      <c r="H1240" s="33" t="n">
        <v>1</v>
      </c>
      <c r="I1240" s="34" t="n">
        <f aca="false">E1240*H1240+N(F1240)+N(G1240)</f>
        <v>1750</v>
      </c>
      <c r="J1240" s="32" t="n">
        <f aca="false">ROUND(IFERROR(ROUND(IF(OR(ISNUMBER(SEARCH("week",C1240)),ISNUMBER(SEARCH("minggu",C1240))),IFERROR(_xlfn.NUMBERVALUE(SUBSTITUTE(LEFT(TRIM(C1240),FIND(" ",TRIM(C1240)&amp;" ")-1),",","."),"."),LEFT(SUBSTITUTE(LEFT(TRIM(C1240),FIND(" ",TRIM(C1240)&amp;" ")-1),",","."),FIND("/",SUBSTITUTE(LEFT(TRIM(C1240),FIND(" ",TRIM(C1240)&amp;" ")-1),",","."))-1)/MID(SUBSTITUTE(LEFT(TRIM(C1240),FIND(" ",TRIM(C1240)&amp;" ")-1),",","."),FIND("/",SUBSTITUTE(LEFT(TRIM(C1240),FIND(" ",TRIM(C1240)&amp;" ")-1),",","."))+1,9))*12/52,IF(ISNUMBER(SEARCH("month",C1240)),IFERROR(_xlfn.NUMBERVALUE(SUBSTITUTE(LEFT(TRIM(C1240),FIND(" ",TRIM(C1240)&amp;" ")-1),",","."),"."),LEFT(SUBSTITUTE(LEFT(TRIM(C1240),FIND(" ",TRIM(C1240)&amp;" ")-1),",","."),FIND("/",SUBSTITUTE(LEFT(TRIM(C1240),FIND(" ",TRIM(C1240)&amp;" ")-1),",","."))-1)/MID(SUBSTITUTE(LEFT(TRIM(C1240),FIND(" ",TRIM(C1240)&amp;" ")-1),",","."),FIND("/",SUBSTITUTE(LEFT(TRIM(C1240),FIND(" ",TRIM(C1240)&amp;" ")-1),",","."))+1,9)),IF(ISNUMBER(SEARCH("yea",C1240)),IFERROR(_xlfn.NUMBERVALUE(SUBSTITUTE(LEFT(TRIM(C1240),FIND(" ",TRIM(C1240)&amp;" ")-1),",","."),"."),LEFT(SUBSTITUTE(LEFT(TRIM(C1240),FIND(" ",TRIM(C1240)&amp;" ")-1),",","."),FIND("/",SUBSTITUTE(LEFT(TRIM(C1240),FIND(" ",TRIM(C1240)&amp;" ")-1),",","."))-1)/MID(SUBSTITUTE(LEFT(TRIM(C1240),FIND(" ",TRIM(C1240)&amp;" ")-1),",","."),FIND("/",SUBSTITUTE(LEFT(TRIM(C1240),FIND(" ",TRIM(C1240)&amp;" ")-1),",","."))+1,9))*12,NA()))),0),30)*'Aturan &amp; Tarif'!$B$4,2)</f>
        <v>1703.4</v>
      </c>
      <c r="K1240" s="32" t="n">
        <f aca="false">'Aturan &amp; Tarif'!$B$5</f>
        <v>2050</v>
      </c>
      <c r="L1240" s="35" t="n">
        <f aca="false">I1240+J1240+K1240</f>
        <v>5503.4</v>
      </c>
      <c r="M1240" s="37" t="s">
        <v>3291</v>
      </c>
    </row>
    <row r="1241" customFormat="false" ht="14.25" hidden="false" customHeight="true" outlineLevel="0" collapsed="false">
      <c r="A1241" s="29"/>
      <c r="B1241" s="30" t="s">
        <v>2324</v>
      </c>
      <c r="C1241" s="31" t="s">
        <v>136</v>
      </c>
      <c r="D1241" s="31" t="s">
        <v>108</v>
      </c>
      <c r="E1241" s="32" t="n">
        <v>1500</v>
      </c>
      <c r="F1241" s="32" t="n">
        <v>50</v>
      </c>
      <c r="G1241" s="32" t="n">
        <v>200</v>
      </c>
      <c r="H1241" s="33" t="n">
        <v>1</v>
      </c>
      <c r="I1241" s="34" t="n">
        <f aca="false">E1241*H1241+N(F1241)+N(G1241)</f>
        <v>1750</v>
      </c>
      <c r="J1241" s="32" t="n">
        <f aca="false">ROUND(IFERROR(ROUND(IF(OR(ISNUMBER(SEARCH("week",C1241)),ISNUMBER(SEARCH("minggu",C1241))),IFERROR(_xlfn.NUMBERVALUE(SUBSTITUTE(LEFT(TRIM(C1241),FIND(" ",TRIM(C1241)&amp;" ")-1),",","."),"."),LEFT(SUBSTITUTE(LEFT(TRIM(C1241),FIND(" ",TRIM(C1241)&amp;" ")-1),",","."),FIND("/",SUBSTITUTE(LEFT(TRIM(C1241),FIND(" ",TRIM(C1241)&amp;" ")-1),",","."))-1)/MID(SUBSTITUTE(LEFT(TRIM(C1241),FIND(" ",TRIM(C1241)&amp;" ")-1),",","."),FIND("/",SUBSTITUTE(LEFT(TRIM(C1241),FIND(" ",TRIM(C1241)&amp;" ")-1),",","."))+1,9))*12/52,IF(ISNUMBER(SEARCH("month",C1241)),IFERROR(_xlfn.NUMBERVALUE(SUBSTITUTE(LEFT(TRIM(C1241),FIND(" ",TRIM(C1241)&amp;" ")-1),",","."),"."),LEFT(SUBSTITUTE(LEFT(TRIM(C1241),FIND(" ",TRIM(C1241)&amp;" ")-1),",","."),FIND("/",SUBSTITUTE(LEFT(TRIM(C1241),FIND(" ",TRIM(C1241)&amp;" ")-1),",","."))-1)/MID(SUBSTITUTE(LEFT(TRIM(C1241),FIND(" ",TRIM(C1241)&amp;" ")-1),",","."),FIND("/",SUBSTITUTE(LEFT(TRIM(C1241),FIND(" ",TRIM(C1241)&amp;" ")-1),",","."))+1,9)),IF(ISNUMBER(SEARCH("yea",C1241)),IFERROR(_xlfn.NUMBERVALUE(SUBSTITUTE(LEFT(TRIM(C1241),FIND(" ",TRIM(C1241)&amp;" ")-1),",","."),"."),LEFT(SUBSTITUTE(LEFT(TRIM(C1241),FIND(" ",TRIM(C1241)&amp;" ")-1),",","."),FIND("/",SUBSTITUTE(LEFT(TRIM(C1241),FIND(" ",TRIM(C1241)&amp;" ")-1),",","."))-1)/MID(SUBSTITUTE(LEFT(TRIM(C1241),FIND(" ",TRIM(C1241)&amp;" ")-1),",","."),FIND("/",SUBSTITUTE(LEFT(TRIM(C1241),FIND(" ",TRIM(C1241)&amp;" ")-1),",","."))+1,9))*12,NA()))),0),42)*'Aturan &amp; Tarif'!$B$4,2)</f>
        <v>2384.76</v>
      </c>
      <c r="K1241" s="32" t="n">
        <f aca="false">'Aturan &amp; Tarif'!$B$5</f>
        <v>2050</v>
      </c>
      <c r="L1241" s="35" t="n">
        <f aca="false">I1241+J1241+K1241</f>
        <v>6184.76</v>
      </c>
      <c r="M1241" s="37" t="s">
        <v>3291</v>
      </c>
    </row>
    <row r="1242" customFormat="false" ht="14.25" hidden="false" customHeight="true" outlineLevel="0" collapsed="false">
      <c r="A1242" s="29"/>
      <c r="B1242" s="30" t="s">
        <v>2749</v>
      </c>
      <c r="C1242" s="31" t="s">
        <v>138</v>
      </c>
      <c r="D1242" s="31" t="s">
        <v>108</v>
      </c>
      <c r="E1242" s="32" t="n">
        <v>1500</v>
      </c>
      <c r="F1242" s="32" t="n">
        <v>100</v>
      </c>
      <c r="G1242" s="32" t="n">
        <v>200</v>
      </c>
      <c r="H1242" s="33" t="n">
        <v>1</v>
      </c>
      <c r="I1242" s="34" t="n">
        <f aca="false">E1242*H1242+N(F1242)+N(G1242)</f>
        <v>1800</v>
      </c>
      <c r="J1242" s="32" t="n">
        <f aca="false">ROUND(IFERROR(ROUND(IF(OR(ISNUMBER(SEARCH("week",C1242)),ISNUMBER(SEARCH("minggu",C1242))),IFERROR(_xlfn.NUMBERVALUE(SUBSTITUTE(LEFT(TRIM(C1242),FIND(" ",TRIM(C1242)&amp;" ")-1),",","."),"."),LEFT(SUBSTITUTE(LEFT(TRIM(C1242),FIND(" ",TRIM(C1242)&amp;" ")-1),",","."),FIND("/",SUBSTITUTE(LEFT(TRIM(C1242),FIND(" ",TRIM(C1242)&amp;" ")-1),",","."))-1)/MID(SUBSTITUTE(LEFT(TRIM(C1242),FIND(" ",TRIM(C1242)&amp;" ")-1),",","."),FIND("/",SUBSTITUTE(LEFT(TRIM(C1242),FIND(" ",TRIM(C1242)&amp;" ")-1),",","."))+1,9))*12/52,IF(ISNUMBER(SEARCH("month",C1242)),IFERROR(_xlfn.NUMBERVALUE(SUBSTITUTE(LEFT(TRIM(C1242),FIND(" ",TRIM(C1242)&amp;" ")-1),",","."),"."),LEFT(SUBSTITUTE(LEFT(TRIM(C1242),FIND(" ",TRIM(C1242)&amp;" ")-1),",","."),FIND("/",SUBSTITUTE(LEFT(TRIM(C1242),FIND(" ",TRIM(C1242)&amp;" ")-1),",","."))-1)/MID(SUBSTITUTE(LEFT(TRIM(C1242),FIND(" ",TRIM(C1242)&amp;" ")-1),",","."),FIND("/",SUBSTITUTE(LEFT(TRIM(C1242),FIND(" ",TRIM(C1242)&amp;" ")-1),",","."))+1,9)),IF(ISNUMBER(SEARCH("yea",C1242)),IFERROR(_xlfn.NUMBERVALUE(SUBSTITUTE(LEFT(TRIM(C1242),FIND(" ",TRIM(C1242)&amp;" ")-1),",","."),"."),LEFT(SUBSTITUTE(LEFT(TRIM(C1242),FIND(" ",TRIM(C1242)&amp;" ")-1),",","."),FIND("/",SUBSTITUTE(LEFT(TRIM(C1242),FIND(" ",TRIM(C1242)&amp;" ")-1),",","."))-1)/MID(SUBSTITUTE(LEFT(TRIM(C1242),FIND(" ",TRIM(C1242)&amp;" ")-1),",","."),FIND("/",SUBSTITUTE(LEFT(TRIM(C1242),FIND(" ",TRIM(C1242)&amp;" ")-1),",","."))+1,9))*12,NA()))),0),30)*'Aturan &amp; Tarif'!$B$4,2)</f>
        <v>1703.4</v>
      </c>
      <c r="K1242" s="32" t="n">
        <f aca="false">'Aturan &amp; Tarif'!$B$5</f>
        <v>2050</v>
      </c>
      <c r="L1242" s="35" t="n">
        <f aca="false">I1242+J1242+K1242</f>
        <v>5553.4</v>
      </c>
      <c r="M1242" s="37" t="s">
        <v>3291</v>
      </c>
    </row>
    <row r="1243" customFormat="false" ht="14.25" hidden="false" customHeight="true" outlineLevel="0" collapsed="false">
      <c r="A1243" s="29"/>
      <c r="B1243" s="30" t="s">
        <v>2750</v>
      </c>
      <c r="C1243" s="31" t="s">
        <v>495</v>
      </c>
      <c r="D1243" s="31" t="s">
        <v>108</v>
      </c>
      <c r="E1243" s="32" t="n">
        <v>1500</v>
      </c>
      <c r="F1243" s="32" t="n">
        <v>100</v>
      </c>
      <c r="G1243" s="32" t="n">
        <v>200</v>
      </c>
      <c r="H1243" s="33" t="n">
        <v>1</v>
      </c>
      <c r="I1243" s="34" t="n">
        <f aca="false">E1243*H1243+N(F1243)+N(G1243)</f>
        <v>1800</v>
      </c>
      <c r="J1243" s="32" t="n">
        <f aca="false">ROUND(IFERROR(ROUND(IF(OR(ISNUMBER(SEARCH("week",C1243)),ISNUMBER(SEARCH("minggu",C1243))),IFERROR(_xlfn.NUMBERVALUE(SUBSTITUTE(LEFT(TRIM(C1243),FIND(" ",TRIM(C1243)&amp;" ")-1),",","."),"."),LEFT(SUBSTITUTE(LEFT(TRIM(C1243),FIND(" ",TRIM(C1243)&amp;" ")-1),",","."),FIND("/",SUBSTITUTE(LEFT(TRIM(C1243),FIND(" ",TRIM(C1243)&amp;" ")-1),",","."))-1)/MID(SUBSTITUTE(LEFT(TRIM(C1243),FIND(" ",TRIM(C1243)&amp;" ")-1),",","."),FIND("/",SUBSTITUTE(LEFT(TRIM(C1243),FIND(" ",TRIM(C1243)&amp;" ")-1),",","."))+1,9))*12/52,IF(ISNUMBER(SEARCH("month",C1243)),IFERROR(_xlfn.NUMBERVALUE(SUBSTITUTE(LEFT(TRIM(C1243),FIND(" ",TRIM(C1243)&amp;" ")-1),",","."),"."),LEFT(SUBSTITUTE(LEFT(TRIM(C1243),FIND(" ",TRIM(C1243)&amp;" ")-1),",","."),FIND("/",SUBSTITUTE(LEFT(TRIM(C1243),FIND(" ",TRIM(C1243)&amp;" ")-1),",","."))-1)/MID(SUBSTITUTE(LEFT(TRIM(C1243),FIND(" ",TRIM(C1243)&amp;" ")-1),",","."),FIND("/",SUBSTITUTE(LEFT(TRIM(C1243),FIND(" ",TRIM(C1243)&amp;" ")-1),",","."))+1,9)),IF(ISNUMBER(SEARCH("yea",C1243)),IFERROR(_xlfn.NUMBERVALUE(SUBSTITUTE(LEFT(TRIM(C1243),FIND(" ",TRIM(C1243)&amp;" ")-1),",","."),"."),LEFT(SUBSTITUTE(LEFT(TRIM(C1243),FIND(" ",TRIM(C1243)&amp;" ")-1),",","."),FIND("/",SUBSTITUTE(LEFT(TRIM(C1243),FIND(" ",TRIM(C1243)&amp;" ")-1),",","."))-1)/MID(SUBSTITUTE(LEFT(TRIM(C1243),FIND(" ",TRIM(C1243)&amp;" ")-1),",","."),FIND("/",SUBSTITUTE(LEFT(TRIM(C1243),FIND(" ",TRIM(C1243)&amp;" ")-1),",","."))+1,9))*12,NA()))),0),54)*'Aturan &amp; Tarif'!$B$4,2)</f>
        <v>3066.12</v>
      </c>
      <c r="K1243" s="32" t="n">
        <f aca="false">'Aturan &amp; Tarif'!$B$5</f>
        <v>2050</v>
      </c>
      <c r="L1243" s="35" t="n">
        <f aca="false">I1243+J1243+K1243</f>
        <v>6916.12</v>
      </c>
      <c r="M1243" s="37" t="s">
        <v>3291</v>
      </c>
    </row>
    <row r="1244" customFormat="false" ht="14.25" hidden="false" customHeight="true" outlineLevel="0" collapsed="false">
      <c r="A1244" s="29"/>
      <c r="B1244" s="30" t="s">
        <v>2062</v>
      </c>
      <c r="C1244" s="31" t="s">
        <v>138</v>
      </c>
      <c r="D1244" s="31" t="s">
        <v>108</v>
      </c>
      <c r="E1244" s="32" t="n">
        <v>1500</v>
      </c>
      <c r="F1244" s="32" t="n">
        <v>50</v>
      </c>
      <c r="G1244" s="32" t="n">
        <v>200</v>
      </c>
      <c r="H1244" s="33" t="n">
        <v>1</v>
      </c>
      <c r="I1244" s="34" t="n">
        <f aca="false">E1244*H1244+N(F1244)+N(G1244)</f>
        <v>1750</v>
      </c>
      <c r="J1244" s="32" t="n">
        <f aca="false">ROUND(IFERROR(ROUND(IF(OR(ISNUMBER(SEARCH("week",C1244)),ISNUMBER(SEARCH("minggu",C1244))),IFERROR(_xlfn.NUMBERVALUE(SUBSTITUTE(LEFT(TRIM(C1244),FIND(" ",TRIM(C1244)&amp;" ")-1),",","."),"."),LEFT(SUBSTITUTE(LEFT(TRIM(C1244),FIND(" ",TRIM(C1244)&amp;" ")-1),",","."),FIND("/",SUBSTITUTE(LEFT(TRIM(C1244),FIND(" ",TRIM(C1244)&amp;" ")-1),",","."))-1)/MID(SUBSTITUTE(LEFT(TRIM(C1244),FIND(" ",TRIM(C1244)&amp;" ")-1),",","."),FIND("/",SUBSTITUTE(LEFT(TRIM(C1244),FIND(" ",TRIM(C1244)&amp;" ")-1),",","."))+1,9))*12/52,IF(ISNUMBER(SEARCH("month",C1244)),IFERROR(_xlfn.NUMBERVALUE(SUBSTITUTE(LEFT(TRIM(C1244),FIND(" ",TRIM(C1244)&amp;" ")-1),",","."),"."),LEFT(SUBSTITUTE(LEFT(TRIM(C1244),FIND(" ",TRIM(C1244)&amp;" ")-1),",","."),FIND("/",SUBSTITUTE(LEFT(TRIM(C1244),FIND(" ",TRIM(C1244)&amp;" ")-1),",","."))-1)/MID(SUBSTITUTE(LEFT(TRIM(C1244),FIND(" ",TRIM(C1244)&amp;" ")-1),",","."),FIND("/",SUBSTITUTE(LEFT(TRIM(C1244),FIND(" ",TRIM(C1244)&amp;" ")-1),",","."))+1,9)),IF(ISNUMBER(SEARCH("yea",C1244)),IFERROR(_xlfn.NUMBERVALUE(SUBSTITUTE(LEFT(TRIM(C1244),FIND(" ",TRIM(C1244)&amp;" ")-1),",","."),"."),LEFT(SUBSTITUTE(LEFT(TRIM(C1244),FIND(" ",TRIM(C1244)&amp;" ")-1),",","."),FIND("/",SUBSTITUTE(LEFT(TRIM(C1244),FIND(" ",TRIM(C1244)&amp;" ")-1),",","."))-1)/MID(SUBSTITUTE(LEFT(TRIM(C1244),FIND(" ",TRIM(C1244)&amp;" ")-1),",","."),FIND("/",SUBSTITUTE(LEFT(TRIM(C1244),FIND(" ",TRIM(C1244)&amp;" ")-1),",","."))+1,9))*12,NA()))),0),30)*'Aturan &amp; Tarif'!$B$4,2)</f>
        <v>1703.4</v>
      </c>
      <c r="K1244" s="32" t="n">
        <f aca="false">'Aturan &amp; Tarif'!$B$5</f>
        <v>2050</v>
      </c>
      <c r="L1244" s="35" t="n">
        <f aca="false">I1244+J1244+K1244</f>
        <v>5503.4</v>
      </c>
      <c r="M1244" s="37" t="s">
        <v>3291</v>
      </c>
    </row>
    <row r="1245" customFormat="false" ht="14.25" hidden="false" customHeight="true" outlineLevel="0" collapsed="false">
      <c r="A1245" s="29"/>
      <c r="B1245" s="30" t="s">
        <v>2063</v>
      </c>
      <c r="C1245" s="31" t="s">
        <v>191</v>
      </c>
      <c r="D1245" s="31" t="s">
        <v>108</v>
      </c>
      <c r="E1245" s="32" t="n">
        <v>1500</v>
      </c>
      <c r="F1245" s="32" t="n">
        <v>50</v>
      </c>
      <c r="G1245" s="32" t="n">
        <v>200</v>
      </c>
      <c r="H1245" s="33" t="n">
        <v>1</v>
      </c>
      <c r="I1245" s="34" t="n">
        <f aca="false">E1245*H1245+N(F1245)+N(G1245)</f>
        <v>1750</v>
      </c>
      <c r="J1245" s="32" t="n">
        <f aca="false">ROUND(IFERROR(ROUND(IF(OR(ISNUMBER(SEARCH("week",C1245)),ISNUMBER(SEARCH("minggu",C1245))),IFERROR(_xlfn.NUMBERVALUE(SUBSTITUTE(LEFT(TRIM(C1245),FIND(" ",TRIM(C1245)&amp;" ")-1),",","."),"."),LEFT(SUBSTITUTE(LEFT(TRIM(C1245),FIND(" ",TRIM(C1245)&amp;" ")-1),",","."),FIND("/",SUBSTITUTE(LEFT(TRIM(C1245),FIND(" ",TRIM(C1245)&amp;" ")-1),",","."))-1)/MID(SUBSTITUTE(LEFT(TRIM(C1245),FIND(" ",TRIM(C1245)&amp;" ")-1),",","."),FIND("/",SUBSTITUTE(LEFT(TRIM(C1245),FIND(" ",TRIM(C1245)&amp;" ")-1),",","."))+1,9))*12/52,IF(ISNUMBER(SEARCH("month",C1245)),IFERROR(_xlfn.NUMBERVALUE(SUBSTITUTE(LEFT(TRIM(C1245),FIND(" ",TRIM(C1245)&amp;" ")-1),",","."),"."),LEFT(SUBSTITUTE(LEFT(TRIM(C1245),FIND(" ",TRIM(C1245)&amp;" ")-1),",","."),FIND("/",SUBSTITUTE(LEFT(TRIM(C1245),FIND(" ",TRIM(C1245)&amp;" ")-1),",","."))-1)/MID(SUBSTITUTE(LEFT(TRIM(C1245),FIND(" ",TRIM(C1245)&amp;" ")-1),",","."),FIND("/",SUBSTITUTE(LEFT(TRIM(C1245),FIND(" ",TRIM(C1245)&amp;" ")-1),",","."))+1,9)),IF(ISNUMBER(SEARCH("yea",C1245)),IFERROR(_xlfn.NUMBERVALUE(SUBSTITUTE(LEFT(TRIM(C1245),FIND(" ",TRIM(C1245)&amp;" ")-1),",","."),"."),LEFT(SUBSTITUTE(LEFT(TRIM(C1245),FIND(" ",TRIM(C1245)&amp;" ")-1),",","."),FIND("/",SUBSTITUTE(LEFT(TRIM(C1245),FIND(" ",TRIM(C1245)&amp;" ")-1),",","."))-1)/MID(SUBSTITUTE(LEFT(TRIM(C1245),FIND(" ",TRIM(C1245)&amp;" ")-1),",","."),FIND("/",SUBSTITUTE(LEFT(TRIM(C1245),FIND(" ",TRIM(C1245)&amp;" ")-1),",","."))+1,9))*12,NA()))),0),48)*'Aturan &amp; Tarif'!$B$4,2)</f>
        <v>2725.44</v>
      </c>
      <c r="K1245" s="32" t="n">
        <f aca="false">'Aturan &amp; Tarif'!$B$5</f>
        <v>2050</v>
      </c>
      <c r="L1245" s="35" t="n">
        <f aca="false">I1245+J1245+K1245</f>
        <v>6525.44</v>
      </c>
      <c r="M1245" s="37" t="s">
        <v>3291</v>
      </c>
    </row>
    <row r="1246" customFormat="false" ht="25.5" hidden="false" customHeight="true" outlineLevel="0" collapsed="false">
      <c r="A1246" s="29"/>
      <c r="B1246" s="30" t="s">
        <v>1025</v>
      </c>
      <c r="C1246" s="31" t="s">
        <v>136</v>
      </c>
      <c r="D1246" s="31" t="s">
        <v>108</v>
      </c>
      <c r="E1246" s="32" t="n">
        <v>1500</v>
      </c>
      <c r="F1246" s="32" t="n">
        <v>50</v>
      </c>
      <c r="G1246" s="32" t="n">
        <v>200</v>
      </c>
      <c r="H1246" s="33" t="n">
        <v>1</v>
      </c>
      <c r="I1246" s="34" t="n">
        <f aca="false">E1246*H1246+N(F1246)+N(G1246)</f>
        <v>1750</v>
      </c>
      <c r="J1246" s="32" t="n">
        <f aca="false">ROUND(IFERROR(ROUND(IF(OR(ISNUMBER(SEARCH("week",C1246)),ISNUMBER(SEARCH("minggu",C1246))),IFERROR(_xlfn.NUMBERVALUE(SUBSTITUTE(LEFT(TRIM(C1246),FIND(" ",TRIM(C1246)&amp;" ")-1),",","."),"."),LEFT(SUBSTITUTE(LEFT(TRIM(C1246),FIND(" ",TRIM(C1246)&amp;" ")-1),",","."),FIND("/",SUBSTITUTE(LEFT(TRIM(C1246),FIND(" ",TRIM(C1246)&amp;" ")-1),",","."))-1)/MID(SUBSTITUTE(LEFT(TRIM(C1246),FIND(" ",TRIM(C1246)&amp;" ")-1),",","."),FIND("/",SUBSTITUTE(LEFT(TRIM(C1246),FIND(" ",TRIM(C1246)&amp;" ")-1),",","."))+1,9))*12/52,IF(ISNUMBER(SEARCH("month",C1246)),IFERROR(_xlfn.NUMBERVALUE(SUBSTITUTE(LEFT(TRIM(C1246),FIND(" ",TRIM(C1246)&amp;" ")-1),",","."),"."),LEFT(SUBSTITUTE(LEFT(TRIM(C1246),FIND(" ",TRIM(C1246)&amp;" ")-1),",","."),FIND("/",SUBSTITUTE(LEFT(TRIM(C1246),FIND(" ",TRIM(C1246)&amp;" ")-1),",","."))-1)/MID(SUBSTITUTE(LEFT(TRIM(C1246),FIND(" ",TRIM(C1246)&amp;" ")-1),",","."),FIND("/",SUBSTITUTE(LEFT(TRIM(C1246),FIND(" ",TRIM(C1246)&amp;" ")-1),",","."))+1,9)),IF(ISNUMBER(SEARCH("yea",C1246)),IFERROR(_xlfn.NUMBERVALUE(SUBSTITUTE(LEFT(TRIM(C1246),FIND(" ",TRIM(C1246)&amp;" ")-1),",","."),"."),LEFT(SUBSTITUTE(LEFT(TRIM(C1246),FIND(" ",TRIM(C1246)&amp;" ")-1),",","."),FIND("/",SUBSTITUTE(LEFT(TRIM(C1246),FIND(" ",TRIM(C1246)&amp;" ")-1),",","."))-1)/MID(SUBSTITUTE(LEFT(TRIM(C1246),FIND(" ",TRIM(C1246)&amp;" ")-1),",","."),FIND("/",SUBSTITUTE(LEFT(TRIM(C1246),FIND(" ",TRIM(C1246)&amp;" ")-1),",","."))+1,9))*12,NA()))),0),42)*'Aturan &amp; Tarif'!$B$4,2)</f>
        <v>2384.76</v>
      </c>
      <c r="K1246" s="32" t="n">
        <f aca="false">'Aturan &amp; Tarif'!$B$5</f>
        <v>2050</v>
      </c>
      <c r="L1246" s="35" t="n">
        <f aca="false">I1246+J1246+K1246</f>
        <v>6184.76</v>
      </c>
      <c r="M1246" s="37" t="s">
        <v>3291</v>
      </c>
    </row>
    <row r="1247" customFormat="false" ht="25.5" hidden="false" customHeight="true" outlineLevel="0" collapsed="false">
      <c r="A1247" s="29"/>
      <c r="B1247" s="30" t="s">
        <v>3292</v>
      </c>
      <c r="C1247" s="31" t="s">
        <v>245</v>
      </c>
      <c r="D1247" s="31" t="s">
        <v>108</v>
      </c>
      <c r="E1247" s="32" t="n">
        <v>1500</v>
      </c>
      <c r="F1247" s="32" t="n">
        <v>50</v>
      </c>
      <c r="G1247" s="32" t="n">
        <v>200</v>
      </c>
      <c r="H1247" s="33" t="n">
        <v>1</v>
      </c>
      <c r="I1247" s="34" t="n">
        <f aca="false">E1247*H1247+N(F1247)+N(G1247)</f>
        <v>1750</v>
      </c>
      <c r="J1247" s="32" t="n">
        <f aca="false">ROUND(IFERROR(ROUND(IF(OR(ISNUMBER(SEARCH("week",C1247)),ISNUMBER(SEARCH("minggu",C1247))),IFERROR(_xlfn.NUMBERVALUE(SUBSTITUTE(LEFT(TRIM(C1247),FIND(" ",TRIM(C1247)&amp;" ")-1),",","."),"."),LEFT(SUBSTITUTE(LEFT(TRIM(C1247),FIND(" ",TRIM(C1247)&amp;" ")-1),",","."),FIND("/",SUBSTITUTE(LEFT(TRIM(C1247),FIND(" ",TRIM(C1247)&amp;" ")-1),",","."))-1)/MID(SUBSTITUTE(LEFT(TRIM(C1247),FIND(" ",TRIM(C1247)&amp;" ")-1),",","."),FIND("/",SUBSTITUTE(LEFT(TRIM(C1247),FIND(" ",TRIM(C1247)&amp;" ")-1),",","."))+1,9))*12/52,IF(ISNUMBER(SEARCH("month",C1247)),IFERROR(_xlfn.NUMBERVALUE(SUBSTITUTE(LEFT(TRIM(C1247),FIND(" ",TRIM(C1247)&amp;" ")-1),",","."),"."),LEFT(SUBSTITUTE(LEFT(TRIM(C1247),FIND(" ",TRIM(C1247)&amp;" ")-1),",","."),FIND("/",SUBSTITUTE(LEFT(TRIM(C1247),FIND(" ",TRIM(C1247)&amp;" ")-1),",","."))-1)/MID(SUBSTITUTE(LEFT(TRIM(C1247),FIND(" ",TRIM(C1247)&amp;" ")-1),",","."),FIND("/",SUBSTITUTE(LEFT(TRIM(C1247),FIND(" ",TRIM(C1247)&amp;" ")-1),",","."))+1,9)),IF(ISNUMBER(SEARCH("yea",C1247)),IFERROR(_xlfn.NUMBERVALUE(SUBSTITUTE(LEFT(TRIM(C1247),FIND(" ",TRIM(C1247)&amp;" ")-1),",","."),"."),LEFT(SUBSTITUTE(LEFT(TRIM(C1247),FIND(" ",TRIM(C1247)&amp;" ")-1),",","."),FIND("/",SUBSTITUTE(LEFT(TRIM(C1247),FIND(" ",TRIM(C1247)&amp;" ")-1),",","."))-1)/MID(SUBSTITUTE(LEFT(TRIM(C1247),FIND(" ",TRIM(C1247)&amp;" ")-1),",","."),FIND("/",SUBSTITUTE(LEFT(TRIM(C1247),FIND(" ",TRIM(C1247)&amp;" ")-1),",","."))+1,9))*12,NA()))),0),60)*'Aturan &amp; Tarif'!$B$4,2)</f>
        <v>3406.8</v>
      </c>
      <c r="K1247" s="32" t="n">
        <f aca="false">'Aturan &amp; Tarif'!$B$5</f>
        <v>2050</v>
      </c>
      <c r="L1247" s="35" t="n">
        <f aca="false">I1247+J1247+K1247</f>
        <v>7206.8</v>
      </c>
      <c r="M1247" s="36" t="s">
        <v>3293</v>
      </c>
    </row>
    <row r="1248" customFormat="false" ht="14.25" hidden="false" customHeight="true" outlineLevel="0" collapsed="false">
      <c r="A1248" s="29"/>
      <c r="B1248" s="30" t="s">
        <v>471</v>
      </c>
      <c r="C1248" s="31" t="s">
        <v>107</v>
      </c>
      <c r="D1248" s="31" t="s">
        <v>108</v>
      </c>
      <c r="E1248" s="32" t="n">
        <v>2500</v>
      </c>
      <c r="F1248" s="32" t="n">
        <v>200</v>
      </c>
      <c r="G1248" s="32" t="n">
        <v>200</v>
      </c>
      <c r="H1248" s="33" t="n">
        <v>1</v>
      </c>
      <c r="I1248" s="34" t="n">
        <f aca="false">E1248*H1248+N(F1248)+N(G1248)</f>
        <v>2900</v>
      </c>
      <c r="J1248" s="32" t="n">
        <f aca="false">ROUND(IFERROR(ROUND(IF(OR(ISNUMBER(SEARCH("week",C1248)),ISNUMBER(SEARCH("minggu",C1248))),IFERROR(_xlfn.NUMBERVALUE(SUBSTITUTE(LEFT(TRIM(C1248),FIND(" ",TRIM(C1248)&amp;" ")-1),",","."),"."),LEFT(SUBSTITUTE(LEFT(TRIM(C1248),FIND(" ",TRIM(C1248)&amp;" ")-1),",","."),FIND("/",SUBSTITUTE(LEFT(TRIM(C1248),FIND(" ",TRIM(C1248)&amp;" ")-1),",","."))-1)/MID(SUBSTITUTE(LEFT(TRIM(C1248),FIND(" ",TRIM(C1248)&amp;" ")-1),",","."),FIND("/",SUBSTITUTE(LEFT(TRIM(C1248),FIND(" ",TRIM(C1248)&amp;" ")-1),",","."))+1,9))*12/52,IF(ISNUMBER(SEARCH("month",C1248)),IFERROR(_xlfn.NUMBERVALUE(SUBSTITUTE(LEFT(TRIM(C1248),FIND(" ",TRIM(C1248)&amp;" ")-1),",","."),"."),LEFT(SUBSTITUTE(LEFT(TRIM(C1248),FIND(" ",TRIM(C1248)&amp;" ")-1),",","."),FIND("/",SUBSTITUTE(LEFT(TRIM(C1248),FIND(" ",TRIM(C1248)&amp;" ")-1),",","."))-1)/MID(SUBSTITUTE(LEFT(TRIM(C1248),FIND(" ",TRIM(C1248)&amp;" ")-1),",","."),FIND("/",SUBSTITUTE(LEFT(TRIM(C1248),FIND(" ",TRIM(C1248)&amp;" ")-1),",","."))+1,9)),IF(ISNUMBER(SEARCH("yea",C1248)),IFERROR(_xlfn.NUMBERVALUE(SUBSTITUTE(LEFT(TRIM(C1248),FIND(" ",TRIM(C1248)&amp;" ")-1),",","."),"."),LEFT(SUBSTITUTE(LEFT(TRIM(C1248),FIND(" ",TRIM(C1248)&amp;" ")-1),",","."),FIND("/",SUBSTITUTE(LEFT(TRIM(C1248),FIND(" ",TRIM(C1248)&amp;" ")-1),",","."))-1)/MID(SUBSTITUTE(LEFT(TRIM(C1248),FIND(" ",TRIM(C1248)&amp;" ")-1),",","."),FIND("/",SUBSTITUTE(LEFT(TRIM(C1248),FIND(" ",TRIM(C1248)&amp;" ")-1),",","."))+1,9))*12,NA()))),0),24)*'Aturan &amp; Tarif'!$B$4,2)</f>
        <v>1362.72</v>
      </c>
      <c r="K1248" s="32" t="n">
        <f aca="false">'Aturan &amp; Tarif'!$B$5</f>
        <v>2050</v>
      </c>
      <c r="L1248" s="35" t="n">
        <f aca="false">I1248+J1248+K1248</f>
        <v>6312.72</v>
      </c>
      <c r="M1248" s="37" t="s">
        <v>3291</v>
      </c>
    </row>
    <row r="1249" customFormat="false" ht="14.25" hidden="false" customHeight="true" outlineLevel="0" collapsed="false">
      <c r="A1249" s="29"/>
      <c r="B1249" s="30" t="s">
        <v>907</v>
      </c>
      <c r="C1249" s="31" t="s">
        <v>130</v>
      </c>
      <c r="D1249" s="31" t="s">
        <v>108</v>
      </c>
      <c r="E1249" s="32" t="n">
        <v>2500</v>
      </c>
      <c r="F1249" s="32" t="n">
        <v>200</v>
      </c>
      <c r="G1249" s="32" t="n">
        <v>200</v>
      </c>
      <c r="H1249" s="33" t="n">
        <v>1</v>
      </c>
      <c r="I1249" s="34" t="n">
        <f aca="false">E1249*H1249+N(F1249)+N(G1249)</f>
        <v>2900</v>
      </c>
      <c r="J1249" s="32" t="n">
        <f aca="false">ROUND(IFERROR(ROUND(IF(OR(ISNUMBER(SEARCH("week",C1249)),ISNUMBER(SEARCH("minggu",C1249))),IFERROR(_xlfn.NUMBERVALUE(SUBSTITUTE(LEFT(TRIM(C1249),FIND(" ",TRIM(C1249)&amp;" ")-1),",","."),"."),LEFT(SUBSTITUTE(LEFT(TRIM(C1249),FIND(" ",TRIM(C1249)&amp;" ")-1),",","."),FIND("/",SUBSTITUTE(LEFT(TRIM(C1249),FIND(" ",TRIM(C1249)&amp;" ")-1),",","."))-1)/MID(SUBSTITUTE(LEFT(TRIM(C1249),FIND(" ",TRIM(C1249)&amp;" ")-1),",","."),FIND("/",SUBSTITUTE(LEFT(TRIM(C1249),FIND(" ",TRIM(C1249)&amp;" ")-1),",","."))+1,9))*12/52,IF(ISNUMBER(SEARCH("month",C1249)),IFERROR(_xlfn.NUMBERVALUE(SUBSTITUTE(LEFT(TRIM(C1249),FIND(" ",TRIM(C1249)&amp;" ")-1),",","."),"."),LEFT(SUBSTITUTE(LEFT(TRIM(C1249),FIND(" ",TRIM(C1249)&amp;" ")-1),",","."),FIND("/",SUBSTITUTE(LEFT(TRIM(C1249),FIND(" ",TRIM(C1249)&amp;" ")-1),",","."))-1)/MID(SUBSTITUTE(LEFT(TRIM(C1249),FIND(" ",TRIM(C1249)&amp;" ")-1),",","."),FIND("/",SUBSTITUTE(LEFT(TRIM(C1249),FIND(" ",TRIM(C1249)&amp;" ")-1),",","."))+1,9)),IF(ISNUMBER(SEARCH("yea",C1249)),IFERROR(_xlfn.NUMBERVALUE(SUBSTITUTE(LEFT(TRIM(C1249),FIND(" ",TRIM(C1249)&amp;" ")-1),",","."),"."),LEFT(SUBSTITUTE(LEFT(TRIM(C1249),FIND(" ",TRIM(C1249)&amp;" ")-1),",","."),FIND("/",SUBSTITUTE(LEFT(TRIM(C1249),FIND(" ",TRIM(C1249)&amp;" ")-1),",","."))-1)/MID(SUBSTITUTE(LEFT(TRIM(C1249),FIND(" ",TRIM(C1249)&amp;" ")-1),",","."),FIND("/",SUBSTITUTE(LEFT(TRIM(C1249),FIND(" ",TRIM(C1249)&amp;" ")-1),",","."))+1,9))*12,NA()))),0),12)*'Aturan &amp; Tarif'!$B$4,2)</f>
        <v>681.36</v>
      </c>
      <c r="K1249" s="32" t="n">
        <f aca="false">'Aturan &amp; Tarif'!$B$5</f>
        <v>2050</v>
      </c>
      <c r="L1249" s="35" t="n">
        <f aca="false">I1249+J1249+K1249</f>
        <v>5631.36</v>
      </c>
      <c r="M1249" s="37" t="s">
        <v>3291</v>
      </c>
    </row>
    <row r="1250" customFormat="false" ht="14.25" hidden="false" customHeight="true" outlineLevel="0" collapsed="false">
      <c r="A1250" s="29"/>
      <c r="B1250" s="30" t="s">
        <v>673</v>
      </c>
      <c r="C1250" s="31" t="s">
        <v>130</v>
      </c>
      <c r="D1250" s="31" t="s">
        <v>108</v>
      </c>
      <c r="E1250" s="32" t="n">
        <v>2500</v>
      </c>
      <c r="F1250" s="32" t="n">
        <v>200</v>
      </c>
      <c r="G1250" s="32" t="n">
        <v>200</v>
      </c>
      <c r="H1250" s="33" t="n">
        <v>1</v>
      </c>
      <c r="I1250" s="34" t="n">
        <f aca="false">E1250*H1250+N(F1250)+N(G1250)</f>
        <v>2900</v>
      </c>
      <c r="J1250" s="32" t="n">
        <f aca="false">ROUND(IFERROR(ROUND(IF(OR(ISNUMBER(SEARCH("week",C1250)),ISNUMBER(SEARCH("minggu",C1250))),IFERROR(_xlfn.NUMBERVALUE(SUBSTITUTE(LEFT(TRIM(C1250),FIND(" ",TRIM(C1250)&amp;" ")-1),",","."),"."),LEFT(SUBSTITUTE(LEFT(TRIM(C1250),FIND(" ",TRIM(C1250)&amp;" ")-1),",","."),FIND("/",SUBSTITUTE(LEFT(TRIM(C1250),FIND(" ",TRIM(C1250)&amp;" ")-1),",","."))-1)/MID(SUBSTITUTE(LEFT(TRIM(C1250),FIND(" ",TRIM(C1250)&amp;" ")-1),",","."),FIND("/",SUBSTITUTE(LEFT(TRIM(C1250),FIND(" ",TRIM(C1250)&amp;" ")-1),",","."))+1,9))*12/52,IF(ISNUMBER(SEARCH("month",C1250)),IFERROR(_xlfn.NUMBERVALUE(SUBSTITUTE(LEFT(TRIM(C1250),FIND(" ",TRIM(C1250)&amp;" ")-1),",","."),"."),LEFT(SUBSTITUTE(LEFT(TRIM(C1250),FIND(" ",TRIM(C1250)&amp;" ")-1),",","."),FIND("/",SUBSTITUTE(LEFT(TRIM(C1250),FIND(" ",TRIM(C1250)&amp;" ")-1),",","."))-1)/MID(SUBSTITUTE(LEFT(TRIM(C1250),FIND(" ",TRIM(C1250)&amp;" ")-1),",","."),FIND("/",SUBSTITUTE(LEFT(TRIM(C1250),FIND(" ",TRIM(C1250)&amp;" ")-1),",","."))+1,9)),IF(ISNUMBER(SEARCH("yea",C1250)),IFERROR(_xlfn.NUMBERVALUE(SUBSTITUTE(LEFT(TRIM(C1250),FIND(" ",TRIM(C1250)&amp;" ")-1),",","."),"."),LEFT(SUBSTITUTE(LEFT(TRIM(C1250),FIND(" ",TRIM(C1250)&amp;" ")-1),",","."),FIND("/",SUBSTITUTE(LEFT(TRIM(C1250),FIND(" ",TRIM(C1250)&amp;" ")-1),",","."))-1)/MID(SUBSTITUTE(LEFT(TRIM(C1250),FIND(" ",TRIM(C1250)&amp;" ")-1),",","."),FIND("/",SUBSTITUTE(LEFT(TRIM(C1250),FIND(" ",TRIM(C1250)&amp;" ")-1),",","."))+1,9))*12,NA()))),0),12)*'Aturan &amp; Tarif'!$B$4,2)</f>
        <v>681.36</v>
      </c>
      <c r="K1250" s="32" t="n">
        <f aca="false">'Aturan &amp; Tarif'!$B$5</f>
        <v>2050</v>
      </c>
      <c r="L1250" s="35" t="n">
        <f aca="false">I1250+J1250+K1250</f>
        <v>5631.36</v>
      </c>
      <c r="M1250" s="37" t="s">
        <v>3291</v>
      </c>
    </row>
    <row r="1251" customFormat="false" ht="25.5" hidden="false" customHeight="true" outlineLevel="0" collapsed="false">
      <c r="A1251" s="29"/>
      <c r="B1251" s="30" t="s">
        <v>2754</v>
      </c>
      <c r="C1251" s="31" t="s">
        <v>127</v>
      </c>
      <c r="D1251" s="31" t="s">
        <v>108</v>
      </c>
      <c r="E1251" s="32" t="n">
        <v>2500</v>
      </c>
      <c r="F1251" s="32" t="n">
        <v>200</v>
      </c>
      <c r="G1251" s="32" t="n">
        <v>200</v>
      </c>
      <c r="H1251" s="33" t="n">
        <v>1</v>
      </c>
      <c r="I1251" s="34" t="n">
        <f aca="false">E1251*H1251+N(F1251)+N(G1251)</f>
        <v>2900</v>
      </c>
      <c r="J1251" s="32" t="n">
        <f aca="false">ROUND(IFERROR(ROUND(IF(OR(ISNUMBER(SEARCH("week",C1251)),ISNUMBER(SEARCH("minggu",C1251))),IFERROR(_xlfn.NUMBERVALUE(SUBSTITUTE(LEFT(TRIM(C1251),FIND(" ",TRIM(C1251)&amp;" ")-1),",","."),"."),LEFT(SUBSTITUTE(LEFT(TRIM(C1251),FIND(" ",TRIM(C1251)&amp;" ")-1),",","."),FIND("/",SUBSTITUTE(LEFT(TRIM(C1251),FIND(" ",TRIM(C1251)&amp;" ")-1),",","."))-1)/MID(SUBSTITUTE(LEFT(TRIM(C1251),FIND(" ",TRIM(C1251)&amp;" ")-1),",","."),FIND("/",SUBSTITUTE(LEFT(TRIM(C1251),FIND(" ",TRIM(C1251)&amp;" ")-1),",","."))+1,9))*12/52,IF(ISNUMBER(SEARCH("month",C1251)),IFERROR(_xlfn.NUMBERVALUE(SUBSTITUTE(LEFT(TRIM(C1251),FIND(" ",TRIM(C1251)&amp;" ")-1),",","."),"."),LEFT(SUBSTITUTE(LEFT(TRIM(C1251),FIND(" ",TRIM(C1251)&amp;" ")-1),",","."),FIND("/",SUBSTITUTE(LEFT(TRIM(C1251),FIND(" ",TRIM(C1251)&amp;" ")-1),",","."))-1)/MID(SUBSTITUTE(LEFT(TRIM(C1251),FIND(" ",TRIM(C1251)&amp;" ")-1),",","."),FIND("/",SUBSTITUTE(LEFT(TRIM(C1251),FIND(" ",TRIM(C1251)&amp;" ")-1),",","."))+1,9)),IF(ISNUMBER(SEARCH("yea",C1251)),IFERROR(_xlfn.NUMBERVALUE(SUBSTITUTE(LEFT(TRIM(C1251),FIND(" ",TRIM(C1251)&amp;" ")-1),",","."),"."),LEFT(SUBSTITUTE(LEFT(TRIM(C1251),FIND(" ",TRIM(C1251)&amp;" ")-1),",","."),FIND("/",SUBSTITUTE(LEFT(TRIM(C1251),FIND(" ",TRIM(C1251)&amp;" ")-1),",","."))-1)/MID(SUBSTITUTE(LEFT(TRIM(C1251),FIND(" ",TRIM(C1251)&amp;" ")-1),",","."),FIND("/",SUBSTITUTE(LEFT(TRIM(C1251),FIND(" ",TRIM(C1251)&amp;" ")-1),",","."))+1,9))*12,NA()))),0),36)*'Aturan &amp; Tarif'!$B$4,2)</f>
        <v>2044.08</v>
      </c>
      <c r="K1251" s="32" t="n">
        <f aca="false">'Aturan &amp; Tarif'!$B$5</f>
        <v>2050</v>
      </c>
      <c r="L1251" s="35" t="n">
        <f aca="false">I1251+J1251+K1251</f>
        <v>6994.08</v>
      </c>
      <c r="M1251" s="37" t="s">
        <v>3291</v>
      </c>
    </row>
    <row r="1252" customFormat="false" ht="25.5" hidden="false" customHeight="true" outlineLevel="0" collapsed="false">
      <c r="A1252" s="29"/>
      <c r="B1252" s="30" t="s">
        <v>2755</v>
      </c>
      <c r="C1252" s="31" t="s">
        <v>107</v>
      </c>
      <c r="D1252" s="31" t="s">
        <v>108</v>
      </c>
      <c r="E1252" s="32" t="n">
        <v>2500</v>
      </c>
      <c r="F1252" s="32" t="n">
        <v>200</v>
      </c>
      <c r="G1252" s="32" t="n">
        <v>200</v>
      </c>
      <c r="H1252" s="33" t="n">
        <v>1</v>
      </c>
      <c r="I1252" s="34" t="n">
        <f aca="false">E1252*H1252+N(F1252)+N(G1252)</f>
        <v>2900</v>
      </c>
      <c r="J1252" s="32" t="n">
        <f aca="false">ROUND(IFERROR(ROUND(IF(OR(ISNUMBER(SEARCH("week",C1252)),ISNUMBER(SEARCH("minggu",C1252))),IFERROR(_xlfn.NUMBERVALUE(SUBSTITUTE(LEFT(TRIM(C1252),FIND(" ",TRIM(C1252)&amp;" ")-1),",","."),"."),LEFT(SUBSTITUTE(LEFT(TRIM(C1252),FIND(" ",TRIM(C1252)&amp;" ")-1),",","."),FIND("/",SUBSTITUTE(LEFT(TRIM(C1252),FIND(" ",TRIM(C1252)&amp;" ")-1),",","."))-1)/MID(SUBSTITUTE(LEFT(TRIM(C1252),FIND(" ",TRIM(C1252)&amp;" ")-1),",","."),FIND("/",SUBSTITUTE(LEFT(TRIM(C1252),FIND(" ",TRIM(C1252)&amp;" ")-1),",","."))+1,9))*12/52,IF(ISNUMBER(SEARCH("month",C1252)),IFERROR(_xlfn.NUMBERVALUE(SUBSTITUTE(LEFT(TRIM(C1252),FIND(" ",TRIM(C1252)&amp;" ")-1),",","."),"."),LEFT(SUBSTITUTE(LEFT(TRIM(C1252),FIND(" ",TRIM(C1252)&amp;" ")-1),",","."),FIND("/",SUBSTITUTE(LEFT(TRIM(C1252),FIND(" ",TRIM(C1252)&amp;" ")-1),",","."))-1)/MID(SUBSTITUTE(LEFT(TRIM(C1252),FIND(" ",TRIM(C1252)&amp;" ")-1),",","."),FIND("/",SUBSTITUTE(LEFT(TRIM(C1252),FIND(" ",TRIM(C1252)&amp;" ")-1),",","."))+1,9)),IF(ISNUMBER(SEARCH("yea",C1252)),IFERROR(_xlfn.NUMBERVALUE(SUBSTITUTE(LEFT(TRIM(C1252),FIND(" ",TRIM(C1252)&amp;" ")-1),",","."),"."),LEFT(SUBSTITUTE(LEFT(TRIM(C1252),FIND(" ",TRIM(C1252)&amp;" ")-1),",","."),FIND("/",SUBSTITUTE(LEFT(TRIM(C1252),FIND(" ",TRIM(C1252)&amp;" ")-1),",","."))-1)/MID(SUBSTITUTE(LEFT(TRIM(C1252),FIND(" ",TRIM(C1252)&amp;" ")-1),",","."),FIND("/",SUBSTITUTE(LEFT(TRIM(C1252),FIND(" ",TRIM(C1252)&amp;" ")-1),",","."))+1,9))*12,NA()))),0),24)*'Aturan &amp; Tarif'!$B$4,2)</f>
        <v>1362.72</v>
      </c>
      <c r="K1252" s="32" t="n">
        <f aca="false">'Aturan &amp; Tarif'!$B$5</f>
        <v>2050</v>
      </c>
      <c r="L1252" s="35" t="n">
        <f aca="false">I1252+J1252+K1252</f>
        <v>6312.72</v>
      </c>
      <c r="M1252" s="37" t="s">
        <v>3291</v>
      </c>
    </row>
    <row r="1253" customFormat="false" ht="25.5" hidden="false" customHeight="true" outlineLevel="0" collapsed="false">
      <c r="A1253" s="29"/>
      <c r="B1253" s="30" t="s">
        <v>2756</v>
      </c>
      <c r="C1253" s="31" t="s">
        <v>107</v>
      </c>
      <c r="D1253" s="31" t="s">
        <v>108</v>
      </c>
      <c r="E1253" s="32" t="n">
        <v>2500</v>
      </c>
      <c r="F1253" s="32" t="n">
        <v>200</v>
      </c>
      <c r="G1253" s="32" t="n">
        <v>200</v>
      </c>
      <c r="H1253" s="33" t="n">
        <v>1</v>
      </c>
      <c r="I1253" s="34" t="n">
        <f aca="false">E1253*H1253+N(F1253)+N(G1253)</f>
        <v>2900</v>
      </c>
      <c r="J1253" s="32" t="n">
        <f aca="false">ROUND(IFERROR(ROUND(IF(OR(ISNUMBER(SEARCH("week",C1253)),ISNUMBER(SEARCH("minggu",C1253))),IFERROR(_xlfn.NUMBERVALUE(SUBSTITUTE(LEFT(TRIM(C1253),FIND(" ",TRIM(C1253)&amp;" ")-1),",","."),"."),LEFT(SUBSTITUTE(LEFT(TRIM(C1253),FIND(" ",TRIM(C1253)&amp;" ")-1),",","."),FIND("/",SUBSTITUTE(LEFT(TRIM(C1253),FIND(" ",TRIM(C1253)&amp;" ")-1),",","."))-1)/MID(SUBSTITUTE(LEFT(TRIM(C1253),FIND(" ",TRIM(C1253)&amp;" ")-1),",","."),FIND("/",SUBSTITUTE(LEFT(TRIM(C1253),FIND(" ",TRIM(C1253)&amp;" ")-1),",","."))+1,9))*12/52,IF(ISNUMBER(SEARCH("month",C1253)),IFERROR(_xlfn.NUMBERVALUE(SUBSTITUTE(LEFT(TRIM(C1253),FIND(" ",TRIM(C1253)&amp;" ")-1),",","."),"."),LEFT(SUBSTITUTE(LEFT(TRIM(C1253),FIND(" ",TRIM(C1253)&amp;" ")-1),",","."),FIND("/",SUBSTITUTE(LEFT(TRIM(C1253),FIND(" ",TRIM(C1253)&amp;" ")-1),",","."))-1)/MID(SUBSTITUTE(LEFT(TRIM(C1253),FIND(" ",TRIM(C1253)&amp;" ")-1),",","."),FIND("/",SUBSTITUTE(LEFT(TRIM(C1253),FIND(" ",TRIM(C1253)&amp;" ")-1),",","."))+1,9)),IF(ISNUMBER(SEARCH("yea",C1253)),IFERROR(_xlfn.NUMBERVALUE(SUBSTITUTE(LEFT(TRIM(C1253),FIND(" ",TRIM(C1253)&amp;" ")-1),",","."),"."),LEFT(SUBSTITUTE(LEFT(TRIM(C1253),FIND(" ",TRIM(C1253)&amp;" ")-1),",","."),FIND("/",SUBSTITUTE(LEFT(TRIM(C1253),FIND(" ",TRIM(C1253)&amp;" ")-1),",","."))-1)/MID(SUBSTITUTE(LEFT(TRIM(C1253),FIND(" ",TRIM(C1253)&amp;" ")-1),",","."),FIND("/",SUBSTITUTE(LEFT(TRIM(C1253),FIND(" ",TRIM(C1253)&amp;" ")-1),",","."))+1,9))*12,NA()))),0),24)*'Aturan &amp; Tarif'!$B$4,2)</f>
        <v>1362.72</v>
      </c>
      <c r="K1253" s="32" t="n">
        <f aca="false">'Aturan &amp; Tarif'!$B$5</f>
        <v>2050</v>
      </c>
      <c r="L1253" s="35" t="n">
        <f aca="false">I1253+J1253+K1253</f>
        <v>6312.72</v>
      </c>
      <c r="M1253" s="37" t="s">
        <v>3291</v>
      </c>
    </row>
    <row r="1254" customFormat="false" ht="14.25" hidden="false" customHeight="true" outlineLevel="0" collapsed="false">
      <c r="A1254" s="29"/>
      <c r="B1254" s="30" t="s">
        <v>2757</v>
      </c>
      <c r="C1254" s="31" t="s">
        <v>107</v>
      </c>
      <c r="D1254" s="31" t="s">
        <v>108</v>
      </c>
      <c r="E1254" s="32" t="n">
        <v>2200</v>
      </c>
      <c r="F1254" s="32" t="n">
        <v>100</v>
      </c>
      <c r="G1254" s="32" t="n">
        <v>200</v>
      </c>
      <c r="H1254" s="33" t="n">
        <v>1</v>
      </c>
      <c r="I1254" s="34" t="n">
        <f aca="false">E1254*H1254+N(F1254)+N(G1254)</f>
        <v>2500</v>
      </c>
      <c r="J1254" s="32" t="n">
        <f aca="false">ROUND(IFERROR(ROUND(IF(OR(ISNUMBER(SEARCH("week",C1254)),ISNUMBER(SEARCH("minggu",C1254))),IFERROR(_xlfn.NUMBERVALUE(SUBSTITUTE(LEFT(TRIM(C1254),FIND(" ",TRIM(C1254)&amp;" ")-1),",","."),"."),LEFT(SUBSTITUTE(LEFT(TRIM(C1254),FIND(" ",TRIM(C1254)&amp;" ")-1),",","."),FIND("/",SUBSTITUTE(LEFT(TRIM(C1254),FIND(" ",TRIM(C1254)&amp;" ")-1),",","."))-1)/MID(SUBSTITUTE(LEFT(TRIM(C1254),FIND(" ",TRIM(C1254)&amp;" ")-1),",","."),FIND("/",SUBSTITUTE(LEFT(TRIM(C1254),FIND(" ",TRIM(C1254)&amp;" ")-1),",","."))+1,9))*12/52,IF(ISNUMBER(SEARCH("month",C1254)),IFERROR(_xlfn.NUMBERVALUE(SUBSTITUTE(LEFT(TRIM(C1254),FIND(" ",TRIM(C1254)&amp;" ")-1),",","."),"."),LEFT(SUBSTITUTE(LEFT(TRIM(C1254),FIND(" ",TRIM(C1254)&amp;" ")-1),",","."),FIND("/",SUBSTITUTE(LEFT(TRIM(C1254),FIND(" ",TRIM(C1254)&amp;" ")-1),",","."))-1)/MID(SUBSTITUTE(LEFT(TRIM(C1254),FIND(" ",TRIM(C1254)&amp;" ")-1),",","."),FIND("/",SUBSTITUTE(LEFT(TRIM(C1254),FIND(" ",TRIM(C1254)&amp;" ")-1),",","."))+1,9)),IF(ISNUMBER(SEARCH("yea",C1254)),IFERROR(_xlfn.NUMBERVALUE(SUBSTITUTE(LEFT(TRIM(C1254),FIND(" ",TRIM(C1254)&amp;" ")-1),",","."),"."),LEFT(SUBSTITUTE(LEFT(TRIM(C1254),FIND(" ",TRIM(C1254)&amp;" ")-1),",","."),FIND("/",SUBSTITUTE(LEFT(TRIM(C1254),FIND(" ",TRIM(C1254)&amp;" ")-1),",","."))-1)/MID(SUBSTITUTE(LEFT(TRIM(C1254),FIND(" ",TRIM(C1254)&amp;" ")-1),",","."),FIND("/",SUBSTITUTE(LEFT(TRIM(C1254),FIND(" ",TRIM(C1254)&amp;" ")-1),",","."))+1,9))*12,NA()))),0),24)*'Aturan &amp; Tarif'!$B$4,2)</f>
        <v>1362.72</v>
      </c>
      <c r="K1254" s="32" t="n">
        <f aca="false">'Aturan &amp; Tarif'!$B$5</f>
        <v>2050</v>
      </c>
      <c r="L1254" s="35" t="n">
        <f aca="false">I1254+J1254+K1254</f>
        <v>5912.72</v>
      </c>
      <c r="M1254" s="37" t="s">
        <v>3291</v>
      </c>
    </row>
    <row r="1256" customFormat="false" ht="45.75" hidden="false" customHeight="true" outlineLevel="0" collapsed="false">
      <c r="A1256" s="38" t="s">
        <v>117</v>
      </c>
    </row>
    <row r="1257" customFormat="false" ht="27.75" hidden="false" customHeight="true" outlineLevel="0" collapsed="false">
      <c r="A1257" s="38" t="s">
        <v>118</v>
      </c>
    </row>
    <row r="1258" customFormat="false" ht="81.75" hidden="false" customHeight="true" outlineLevel="0" collapsed="false">
      <c r="A1258" s="38" t="s">
        <v>119</v>
      </c>
    </row>
    <row r="1259" customFormat="false" ht="45.75" hidden="false" customHeight="true" outlineLevel="0" collapsed="false">
      <c r="A1259" s="38" t="s">
        <v>120</v>
      </c>
    </row>
    <row r="1260" customFormat="false" ht="54.75" hidden="false" customHeight="true" outlineLevel="0" collapsed="false">
      <c r="A1260" s="38" t="s">
        <v>121</v>
      </c>
    </row>
    <row r="1261" customFormat="false" ht="63.75" hidden="false" customHeight="true" outlineLevel="0" collapsed="false">
      <c r="A1261" s="38" t="s">
        <v>3294</v>
      </c>
    </row>
    <row r="1262" customFormat="false" ht="15" hidden="false" customHeight="true" outlineLevel="0" collapsed="false">
      <c r="A1262" s="38" t="s">
        <v>2759</v>
      </c>
    </row>
    <row r="1263" customFormat="false" ht="15" hidden="false" customHeight="true" outlineLevel="0" collapsed="false">
      <c r="A1263" s="38" t="s">
        <v>3295</v>
      </c>
    </row>
    <row r="1264" customFormat="false" ht="15" hidden="false" customHeight="true" outlineLevel="0" collapsed="false">
      <c r="A1264" s="38" t="s">
        <v>3296</v>
      </c>
    </row>
    <row r="1265" customFormat="false" ht="15" hidden="false" customHeight="true" outlineLevel="0" collapsed="false">
      <c r="A1265" s="38" t="s">
        <v>3297</v>
      </c>
    </row>
    <row r="1266" customFormat="false" ht="15" hidden="false" customHeight="true" outlineLevel="0" collapsed="false">
      <c r="A1266" s="38" t="s">
        <v>3298</v>
      </c>
    </row>
    <row r="1267" customFormat="false" ht="15" hidden="false" customHeight="true" outlineLevel="0" collapsed="false">
      <c r="A1267" s="38" t="s">
        <v>3299</v>
      </c>
    </row>
    <row r="1268" customFormat="false" ht="18.75" hidden="false" customHeight="true" outlineLevel="0" collapsed="false">
      <c r="A1268" s="38" t="s">
        <v>2761</v>
      </c>
    </row>
    <row r="1269" customFormat="false" ht="15" hidden="false" customHeight="true" outlineLevel="0" collapsed="false">
      <c r="A1269" s="38" t="s">
        <v>3300</v>
      </c>
    </row>
    <row r="1270" customFormat="false" ht="18.75" hidden="false" customHeight="true" outlineLevel="0" collapsed="false">
      <c r="A1270" s="38" t="s">
        <v>3301</v>
      </c>
    </row>
    <row r="1271" customFormat="false" ht="27.75" hidden="false" customHeight="true" outlineLevel="0" collapsed="false">
      <c r="A1271" s="38" t="s">
        <v>122</v>
      </c>
    </row>
    <row r="1272" customFormat="false" ht="18.75" hidden="false" customHeight="true" outlineLevel="0" collapsed="false">
      <c r="A1272" s="38" t="s">
        <v>123</v>
      </c>
    </row>
    <row r="1273" customFormat="false" ht="63.75" hidden="false" customHeight="true" outlineLevel="0" collapsed="false">
      <c r="A1273" s="38" t="s">
        <v>3302</v>
      </c>
    </row>
  </sheetData>
  <autoFilter ref="A5:M1254"/>
  <conditionalFormatting sqref="J6:J1254">
    <cfRule type="expression" priority="2" aboveAverage="0" equalAverage="0" bottom="0" percent="0" rank="0" text="" dxfId="6">
      <formula>AND($E6&lt;&gt;"",OR(ISERROR(ROUND(IF(OR(ISNUMBER(SEARCH("week",C6)),ISNUMBER(SEARCH("minggu",C6))),IFERROR(_xlfn.NUMBERVALUE(SUBSTITUTE(LEFT(TRIM(C6),FIND("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")-1),",","."))+1,9))*12,NA()))),0)&lt;1,1),IFERROR(ROUND(IF(OR(ISNUMBER(SEARCH("week",C6)),ISNUMBER(SEARCH("minggu",C6))),IFERROR(_xlfn.NUMBERVALUE(SUBSTITUTE(LEFT(TRIM(C6),FIND("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")-1),",","."))+1,9))*12,NA()))),0)&gt;96,1)))</formula>
    </cfRule>
  </conditionalFormatting>
  <printOptions headings="false" gridLines="false" gridLinesSet="true" horizontalCentered="true" verticalCentered="false"/>
  <pageMargins left="0.3" right="0.3" top="0.5" bottom="0.5" header="0.2" footer="0.2"/>
  <pageSetup paperSize="9" scale="100" fitToWidth="1" fitToHeight="0" pageOrder="downThenOver" orientation="landscape" blackAndWhite="false" draft="false" cellComments="none" horizontalDpi="300" verticalDpi="300" copies="1"/>
  <headerFooter differentFirst="false" differentOddEven="false">
    <oddHeader>&amp;R&amp;8 ONSHORE - SYDNEY</oddHeader>
    <oddFooter>&amp;L&amp;8 TEG Pricelist - harga bisa berubah sewaktu-waktu&amp;R&amp;8 Halaman &amp;P dari &amp;N</oddFooter>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614"/>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2" min="2" style="1" width="55"/>
    <col collapsed="false" customWidth="true" hidden="false" outlineLevel="0" max="3" min="3" style="1" width="14"/>
    <col collapsed="false" customWidth="true" hidden="false" outlineLevel="0" max="4" min="4" style="1" width="11"/>
    <col collapsed="false" customWidth="true" hidden="false" outlineLevel="0" max="5" min="5" style="1" width="12"/>
    <col collapsed="false" customWidth="true" hidden="false" outlineLevel="0" max="8" min="6" style="1" width="11"/>
    <col collapsed="false" customWidth="true" hidden="false" outlineLevel="0" max="9" min="9" style="1" width="15"/>
    <col collapsed="false" customWidth="true" hidden="false" outlineLevel="0" max="10" min="10" style="1" width="12"/>
    <col collapsed="false" customWidth="true" hidden="false" outlineLevel="0" max="11" min="11" style="1" width="10"/>
    <col collapsed="false" customWidth="true" hidden="false" outlineLevel="0" max="12" min="12" style="1" width="15"/>
    <col collapsed="false" customWidth="true" hidden="false" outlineLevel="0" max="13" min="13" style="1" width="110"/>
    <col collapsed="false" customWidth="true" hidden="false" outlineLevel="0" max="44" min="14" style="1" width="9"/>
  </cols>
  <sheetData>
    <row r="1" customFormat="false" ht="17.25" hidden="false" customHeight="true" outlineLevel="0" collapsed="false">
      <c r="A1" s="14" t="s">
        <v>3303</v>
      </c>
    </row>
    <row r="2" customFormat="false" ht="15" hidden="false" customHeight="true" outlineLevel="0" collapsed="false">
      <c r="A2" s="25" t="s">
        <v>91</v>
      </c>
    </row>
    <row r="3" customFormat="false" ht="15" hidden="false" customHeight="true" outlineLevel="0" collapsed="false">
      <c r="A3" s="26" t="s">
        <v>3014</v>
      </c>
    </row>
    <row r="5" customFormat="false" ht="36" hidden="false" customHeight="true" outlineLevel="0" collapsed="false">
      <c r="A5" s="27" t="s">
        <v>93</v>
      </c>
      <c r="B5" s="27" t="s">
        <v>94</v>
      </c>
      <c r="C5" s="27" t="s">
        <v>95</v>
      </c>
      <c r="D5" s="27" t="s">
        <v>96</v>
      </c>
      <c r="E5" s="27" t="s">
        <v>97</v>
      </c>
      <c r="F5" s="27" t="s">
        <v>98</v>
      </c>
      <c r="G5" s="27" t="s">
        <v>99</v>
      </c>
      <c r="H5" s="27" t="s">
        <v>100</v>
      </c>
      <c r="I5" s="27" t="s">
        <v>101</v>
      </c>
      <c r="J5" s="27" t="s">
        <v>10</v>
      </c>
      <c r="K5" s="27" t="s">
        <v>102</v>
      </c>
      <c r="L5" s="27" t="s">
        <v>104</v>
      </c>
      <c r="M5" s="28" t="s">
        <v>14</v>
      </c>
    </row>
    <row r="6" customFormat="false" ht="37.5" hidden="false" customHeight="true" outlineLevel="0" collapsed="false">
      <c r="A6" s="29" t="s">
        <v>2763</v>
      </c>
      <c r="B6" s="30" t="s">
        <v>2764</v>
      </c>
      <c r="C6" s="31" t="s">
        <v>127</v>
      </c>
      <c r="D6" s="31" t="s">
        <v>108</v>
      </c>
      <c r="E6" s="32" t="n">
        <v>5000</v>
      </c>
      <c r="F6" s="32" t="n">
        <v>120</v>
      </c>
      <c r="G6" s="32" t="n">
        <v>250</v>
      </c>
      <c r="H6" s="33" t="n">
        <v>2</v>
      </c>
      <c r="I6" s="34" t="n">
        <f aca="false">E6*H6+N(F6)+N(G6)</f>
        <v>10370</v>
      </c>
      <c r="J6" s="32" t="n">
        <f aca="false">ROUND(IFERROR(ROUND(IF(OR(ISNUMBER(SEARCH("week",C6)),ISNUMBER(SEARCH("minggu",C6))),IFERROR(_xlfn.NUMBERVALUE(SUBSTITUTE(LEFT(TRIM(C6),FIND("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")-1),",","."))+1,9))*12,NA()))),0),36)*'Aturan &amp; Tarif'!$B$4,2)</f>
        <v>2044.08</v>
      </c>
      <c r="K6" s="32" t="n">
        <f aca="false">'Aturan &amp; Tarif'!$B$5</f>
        <v>2050</v>
      </c>
      <c r="L6" s="35" t="n">
        <f aca="false">I6+J6+K6</f>
        <v>14464.08</v>
      </c>
      <c r="M6" s="37" t="s">
        <v>3304</v>
      </c>
    </row>
    <row r="7" customFormat="false" ht="14.25" hidden="false" customHeight="true" outlineLevel="0" collapsed="false">
      <c r="A7" s="29"/>
      <c r="B7" s="30" t="s">
        <v>625</v>
      </c>
      <c r="C7" s="31" t="s">
        <v>107</v>
      </c>
      <c r="D7" s="31" t="s">
        <v>108</v>
      </c>
      <c r="E7" s="32" t="n">
        <v>1350</v>
      </c>
      <c r="F7" s="32" t="n">
        <v>100</v>
      </c>
      <c r="G7" s="32" t="n">
        <v>200</v>
      </c>
      <c r="H7" s="33" t="n">
        <v>1</v>
      </c>
      <c r="I7" s="34" t="n">
        <f aca="false">E7*H7+N(F7)+N(G7)</f>
        <v>1650</v>
      </c>
      <c r="J7" s="32" t="n">
        <f aca="false">ROUND(IFERROR(ROUND(IF(OR(ISNUMBER(SEARCH("week",C7)),ISNUMBER(SEARCH("minggu",C7))),IFERROR(_xlfn.NUMBERVALUE(SUBSTITUTE(LEFT(TRIM(C7),FIND(" ",TRIM(C7)&amp;" ")-1),",","."),"."),LEFT(SUBSTITUTE(LEFT(TRIM(C7),FIND(" ",TRIM(C7)&amp;" ")-1),",","."),FIND("/",SUBSTITUTE(LEFT(TRIM(C7),FIND(" ",TRIM(C7)&amp;" ")-1),",","."))-1)/MID(SUBSTITUTE(LEFT(TRIM(C7),FIND(" ",TRIM(C7)&amp;" ")-1),",","."),FIND("/",SUBSTITUTE(LEFT(TRIM(C7),FIND(" ",TRIM(C7)&amp;" ")-1),",","."))+1,9))*12/52,IF(ISNUMBER(SEARCH("month",C7)),IFERROR(_xlfn.NUMBERVALUE(SUBSTITUTE(LEFT(TRIM(C7),FIND(" ",TRIM(C7)&amp;" ")-1),",","."),"."),LEFT(SUBSTITUTE(LEFT(TRIM(C7),FIND(" ",TRIM(C7)&amp;" ")-1),",","."),FIND("/",SUBSTITUTE(LEFT(TRIM(C7),FIND(" ",TRIM(C7)&amp;" ")-1),",","."))-1)/MID(SUBSTITUTE(LEFT(TRIM(C7),FIND(" ",TRIM(C7)&amp;" ")-1),",","."),FIND("/",SUBSTITUTE(LEFT(TRIM(C7),FIND(" ",TRIM(C7)&amp;" ")-1),",","."))+1,9)),IF(ISNUMBER(SEARCH("yea",C7)),IFERROR(_xlfn.NUMBERVALUE(SUBSTITUTE(LEFT(TRIM(C7),FIND(" ",TRIM(C7)&amp;" ")-1),",","."),"."),LEFT(SUBSTITUTE(LEFT(TRIM(C7),FIND(" ",TRIM(C7)&amp;" ")-1),",","."),FIND("/",SUBSTITUTE(LEFT(TRIM(C7),FIND(" ",TRIM(C7)&amp;" ")-1),",","."))-1)/MID(SUBSTITUTE(LEFT(TRIM(C7),FIND(" ",TRIM(C7)&amp;" ")-1),",","."),FIND("/",SUBSTITUTE(LEFT(TRIM(C7),FIND(" ",TRIM(C7)&amp;" ")-1),",","."))+1,9))*12,NA()))),0),24)*'Aturan &amp; Tarif'!$B$4,2)</f>
        <v>1362.72</v>
      </c>
      <c r="K7" s="32" t="n">
        <f aca="false">'Aturan &amp; Tarif'!$B$5</f>
        <v>2050</v>
      </c>
      <c r="L7" s="35" t="n">
        <f aca="false">I7+J7+K7</f>
        <v>5062.72</v>
      </c>
      <c r="M7" s="37" t="s">
        <v>3305</v>
      </c>
    </row>
    <row r="8" customFormat="false" ht="14.25" hidden="false" customHeight="true" outlineLevel="0" collapsed="false">
      <c r="A8" s="29"/>
      <c r="B8" s="30" t="s">
        <v>1829</v>
      </c>
      <c r="C8" s="31" t="s">
        <v>127</v>
      </c>
      <c r="D8" s="31" t="s">
        <v>108</v>
      </c>
      <c r="E8" s="32" t="n">
        <v>5000</v>
      </c>
      <c r="F8" s="32" t="n">
        <v>120</v>
      </c>
      <c r="G8" s="32" t="n">
        <v>250</v>
      </c>
      <c r="H8" s="33" t="n">
        <v>2</v>
      </c>
      <c r="I8" s="34" t="n">
        <f aca="false">E8*H8+N(F8)+N(G8)</f>
        <v>10370</v>
      </c>
      <c r="J8" s="32" t="n">
        <f aca="false">ROUND(IFERROR(ROUND(IF(OR(ISNUMBER(SEARCH("week",C8)),ISNUMBER(SEARCH("minggu",C8))),IFERROR(_xlfn.NUMBERVALUE(SUBSTITUTE(LEFT(TRIM(C8),FIND(" ",TRIM(C8)&amp;" ")-1),",","."),"."),LEFT(SUBSTITUTE(LEFT(TRIM(C8),FIND(" ",TRIM(C8)&amp;" ")-1),",","."),FIND("/",SUBSTITUTE(LEFT(TRIM(C8),FIND(" ",TRIM(C8)&amp;" ")-1),",","."))-1)/MID(SUBSTITUTE(LEFT(TRIM(C8),FIND(" ",TRIM(C8)&amp;" ")-1),",","."),FIND("/",SUBSTITUTE(LEFT(TRIM(C8),FIND(" ",TRIM(C8)&amp;" ")-1),",","."))+1,9))*12/52,IF(ISNUMBER(SEARCH("month",C8)),IFERROR(_xlfn.NUMBERVALUE(SUBSTITUTE(LEFT(TRIM(C8),FIND(" ",TRIM(C8)&amp;" ")-1),",","."),"."),LEFT(SUBSTITUTE(LEFT(TRIM(C8),FIND(" ",TRIM(C8)&amp;" ")-1),",","."),FIND("/",SUBSTITUTE(LEFT(TRIM(C8),FIND(" ",TRIM(C8)&amp;" ")-1),",","."))-1)/MID(SUBSTITUTE(LEFT(TRIM(C8),FIND(" ",TRIM(C8)&amp;" ")-1),",","."),FIND("/",SUBSTITUTE(LEFT(TRIM(C8),FIND(" ",TRIM(C8)&amp;" ")-1),",","."))+1,9)),IF(ISNUMBER(SEARCH("yea",C8)),IFERROR(_xlfn.NUMBERVALUE(SUBSTITUTE(LEFT(TRIM(C8),FIND(" ",TRIM(C8)&amp;" ")-1),",","."),"."),LEFT(SUBSTITUTE(LEFT(TRIM(C8),FIND(" ",TRIM(C8)&amp;" ")-1),",","."),FIND("/",SUBSTITUTE(LEFT(TRIM(C8),FIND(" ",TRIM(C8)&amp;" ")-1),",","."))-1)/MID(SUBSTITUTE(LEFT(TRIM(C8),FIND(" ",TRIM(C8)&amp;" ")-1),",","."),FIND("/",SUBSTITUTE(LEFT(TRIM(C8),FIND(" ",TRIM(C8)&amp;" ")-1),",","."))+1,9))*12,NA()))),0),36)*'Aturan &amp; Tarif'!$B$4,2)</f>
        <v>2044.08</v>
      </c>
      <c r="K8" s="32" t="n">
        <f aca="false">'Aturan &amp; Tarif'!$B$5</f>
        <v>2050</v>
      </c>
      <c r="L8" s="35" t="n">
        <f aca="false">I8+J8+K8</f>
        <v>14464.08</v>
      </c>
      <c r="M8" s="37" t="s">
        <v>3304</v>
      </c>
    </row>
    <row r="9" customFormat="false" ht="37.5" hidden="false" customHeight="true" outlineLevel="0" collapsed="false">
      <c r="A9" s="29"/>
      <c r="B9" s="30" t="s">
        <v>2765</v>
      </c>
      <c r="C9" s="31" t="s">
        <v>113</v>
      </c>
      <c r="D9" s="31" t="s">
        <v>108</v>
      </c>
      <c r="E9" s="32" t="n">
        <v>1350</v>
      </c>
      <c r="F9" s="32" t="n">
        <v>100</v>
      </c>
      <c r="G9" s="32" t="n">
        <v>200</v>
      </c>
      <c r="H9" s="33" t="n">
        <v>1</v>
      </c>
      <c r="I9" s="34" t="n">
        <f aca="false">E9*H9+N(F9)+N(G9)</f>
        <v>1650</v>
      </c>
      <c r="J9" s="32" t="n">
        <f aca="false">ROUND(IFERROR(ROUND(IF(OR(ISNUMBER(SEARCH("week",C9)),ISNUMBER(SEARCH("minggu",C9))),IFERROR(_xlfn.NUMBERVALUE(SUBSTITUTE(LEFT(TRIM(C9),FIND(" ",TRIM(C9)&amp;" ")-1),",","."),"."),LEFT(SUBSTITUTE(LEFT(TRIM(C9),FIND(" ",TRIM(C9)&amp;" ")-1),",","."),FIND("/",SUBSTITUTE(LEFT(TRIM(C9),FIND(" ",TRIM(C9)&amp;" ")-1),",","."))-1)/MID(SUBSTITUTE(LEFT(TRIM(C9),FIND(" ",TRIM(C9)&amp;" ")-1),",","."),FIND("/",SUBSTITUTE(LEFT(TRIM(C9),FIND(" ",TRIM(C9)&amp;" ")-1),",","."))+1,9))*12/52,IF(ISNUMBER(SEARCH("month",C9)),IFERROR(_xlfn.NUMBERVALUE(SUBSTITUTE(LEFT(TRIM(C9),FIND(" ",TRIM(C9)&amp;" ")-1),",","."),"."),LEFT(SUBSTITUTE(LEFT(TRIM(C9),FIND(" ",TRIM(C9)&amp;" ")-1),",","."),FIND("/",SUBSTITUTE(LEFT(TRIM(C9),FIND(" ",TRIM(C9)&amp;" ")-1),",","."))-1)/MID(SUBSTITUTE(LEFT(TRIM(C9),FIND(" ",TRIM(C9)&amp;" ")-1),",","."),FIND("/",SUBSTITUTE(LEFT(TRIM(C9),FIND(" ",TRIM(C9)&amp;" ")-1),",","."))+1,9)),IF(ISNUMBER(SEARCH("yea",C9)),IFERROR(_xlfn.NUMBERVALUE(SUBSTITUTE(LEFT(TRIM(C9),FIND(" ",TRIM(C9)&amp;" ")-1),",","."),"."),LEFT(SUBSTITUTE(LEFT(TRIM(C9),FIND(" ",TRIM(C9)&amp;" ")-1),",","."),FIND("/",SUBSTITUTE(LEFT(TRIM(C9),FIND(" ",TRIM(C9)&amp;" ")-1),",","."))-1)/MID(SUBSTITUTE(LEFT(TRIM(C9),FIND(" ",TRIM(C9)&amp;" ")-1),",","."),FIND("/",SUBSTITUTE(LEFT(TRIM(C9),FIND(" ",TRIM(C9)&amp;" ")-1),",","."))+1,9))*12,NA()))),0),18)*'Aturan &amp; Tarif'!$B$4,2)</f>
        <v>1022.04</v>
      </c>
      <c r="K9" s="32" t="n">
        <f aca="false">'Aturan &amp; Tarif'!$B$5</f>
        <v>2050</v>
      </c>
      <c r="L9" s="35" t="n">
        <f aca="false">I9+J9+K9</f>
        <v>4722.04</v>
      </c>
      <c r="M9" s="36" t="s">
        <v>3306</v>
      </c>
    </row>
    <row r="10" customFormat="false" ht="25.5" hidden="false" customHeight="true" outlineLevel="0" collapsed="false">
      <c r="A10" s="29"/>
      <c r="B10" s="30" t="s">
        <v>1831</v>
      </c>
      <c r="C10" s="31" t="s">
        <v>127</v>
      </c>
      <c r="D10" s="31" t="s">
        <v>108</v>
      </c>
      <c r="E10" s="32" t="n">
        <v>5000</v>
      </c>
      <c r="F10" s="32" t="n">
        <v>120</v>
      </c>
      <c r="G10" s="32" t="n">
        <v>250</v>
      </c>
      <c r="H10" s="33" t="n">
        <v>2</v>
      </c>
      <c r="I10" s="34" t="n">
        <f aca="false">E10*H10+N(F10)+N(G10)</f>
        <v>10370</v>
      </c>
      <c r="J10" s="32" t="n">
        <f aca="false">ROUND(IFERROR(ROUND(IF(OR(ISNUMBER(SEARCH("week",C10)),ISNUMBER(SEARCH("minggu",C10))),IFERROR(_xlfn.NUMBERVALUE(SUBSTITUTE(LEFT(TRIM(C10),FIND(" ",TRIM(C10)&amp;" ")-1),",","."),"."),LEFT(SUBSTITUTE(LEFT(TRIM(C10),FIND(" ",TRIM(C10)&amp;" ")-1),",","."),FIND("/",SUBSTITUTE(LEFT(TRIM(C10),FIND(" ",TRIM(C10)&amp;" ")-1),",","."))-1)/MID(SUBSTITUTE(LEFT(TRIM(C10),FIND(" ",TRIM(C10)&amp;" ")-1),",","."),FIND("/",SUBSTITUTE(LEFT(TRIM(C10),FIND(" ",TRIM(C10)&amp;" ")-1),",","."))+1,9))*12/52,IF(ISNUMBER(SEARCH("month",C10)),IFERROR(_xlfn.NUMBERVALUE(SUBSTITUTE(LEFT(TRIM(C10),FIND(" ",TRIM(C10)&amp;" ")-1),",","."),"."),LEFT(SUBSTITUTE(LEFT(TRIM(C10),FIND(" ",TRIM(C10)&amp;" ")-1),",","."),FIND("/",SUBSTITUTE(LEFT(TRIM(C10),FIND(" ",TRIM(C10)&amp;" ")-1),",","."))-1)/MID(SUBSTITUTE(LEFT(TRIM(C10),FIND(" ",TRIM(C10)&amp;" ")-1),",","."),FIND("/",SUBSTITUTE(LEFT(TRIM(C10),FIND(" ",TRIM(C10)&amp;" ")-1),",","."))+1,9)),IF(ISNUMBER(SEARCH("yea",C10)),IFERROR(_xlfn.NUMBERVALUE(SUBSTITUTE(LEFT(TRIM(C10),FIND(" ",TRIM(C10)&amp;" ")-1),",","."),"."),LEFT(SUBSTITUTE(LEFT(TRIM(C10),FIND(" ",TRIM(C10)&amp;" ")-1),",","."),FIND("/",SUBSTITUTE(LEFT(TRIM(C10),FIND(" ",TRIM(C10)&amp;" ")-1),",","."))-1)/MID(SUBSTITUTE(LEFT(TRIM(C10),FIND(" ",TRIM(C10)&amp;" ")-1),",","."),FIND("/",SUBSTITUTE(LEFT(TRIM(C10),FIND(" ",TRIM(C10)&amp;" ")-1),",","."))+1,9))*12,NA()))),0),36)*'Aturan &amp; Tarif'!$B$4,2)</f>
        <v>2044.08</v>
      </c>
      <c r="K10" s="32" t="n">
        <f aca="false">'Aturan &amp; Tarif'!$B$5</f>
        <v>2050</v>
      </c>
      <c r="L10" s="35" t="n">
        <f aca="false">I10+J10+K10</f>
        <v>14464.08</v>
      </c>
      <c r="M10" s="37" t="s">
        <v>3304</v>
      </c>
    </row>
    <row r="11" customFormat="false" ht="25.5" hidden="false" customHeight="true" outlineLevel="0" collapsed="false">
      <c r="A11" s="29"/>
      <c r="B11" s="30" t="s">
        <v>1833</v>
      </c>
      <c r="C11" s="31" t="s">
        <v>107</v>
      </c>
      <c r="D11" s="31" t="s">
        <v>108</v>
      </c>
      <c r="E11" s="32" t="n">
        <v>4250</v>
      </c>
      <c r="F11" s="32" t="n">
        <v>100</v>
      </c>
      <c r="G11" s="32" t="n">
        <v>200</v>
      </c>
      <c r="H11" s="33" t="n">
        <v>2</v>
      </c>
      <c r="I11" s="34" t="n">
        <f aca="false">E11*H11+N(F11)+N(G11)</f>
        <v>8800</v>
      </c>
      <c r="J11" s="32" t="n">
        <f aca="false">ROUND(IFERROR(ROUND(IF(OR(ISNUMBER(SEARCH("week",C11)),ISNUMBER(SEARCH("minggu",C11))),IFERROR(_xlfn.NUMBERVALUE(SUBSTITUTE(LEFT(TRIM(C11),FIND(" ",TRIM(C11)&amp;" ")-1),",","."),"."),LEFT(SUBSTITUTE(LEFT(TRIM(C11),FIND(" ",TRIM(C11)&amp;" ")-1),",","."),FIND("/",SUBSTITUTE(LEFT(TRIM(C11),FIND(" ",TRIM(C11)&amp;" ")-1),",","."))-1)/MID(SUBSTITUTE(LEFT(TRIM(C11),FIND(" ",TRIM(C11)&amp;" ")-1),",","."),FIND("/",SUBSTITUTE(LEFT(TRIM(C11),FIND(" ",TRIM(C11)&amp;" ")-1),",","."))+1,9))*12/52,IF(ISNUMBER(SEARCH("month",C11)),IFERROR(_xlfn.NUMBERVALUE(SUBSTITUTE(LEFT(TRIM(C11),FIND(" ",TRIM(C11)&amp;" ")-1),",","."),"."),LEFT(SUBSTITUTE(LEFT(TRIM(C11),FIND(" ",TRIM(C11)&amp;" ")-1),",","."),FIND("/",SUBSTITUTE(LEFT(TRIM(C11),FIND(" ",TRIM(C11)&amp;" ")-1),",","."))-1)/MID(SUBSTITUTE(LEFT(TRIM(C11),FIND(" ",TRIM(C11)&amp;" ")-1),",","."),FIND("/",SUBSTITUTE(LEFT(TRIM(C11),FIND(" ",TRIM(C11)&amp;" ")-1),",","."))+1,9)),IF(ISNUMBER(SEARCH("yea",C11)),IFERROR(_xlfn.NUMBERVALUE(SUBSTITUTE(LEFT(TRIM(C11),FIND(" ",TRIM(C11)&amp;" ")-1),",","."),"."),LEFT(SUBSTITUTE(LEFT(TRIM(C11),FIND(" ",TRIM(C11)&amp;" ")-1),",","."),FIND("/",SUBSTITUTE(LEFT(TRIM(C11),FIND(" ",TRIM(C11)&amp;" ")-1),",","."))-1)/MID(SUBSTITUTE(LEFT(TRIM(C11),FIND(" ",TRIM(C11)&amp;" ")-1),",","."),FIND("/",SUBSTITUTE(LEFT(TRIM(C11),FIND(" ",TRIM(C11)&amp;" ")-1),",","."))+1,9))*12,NA()))),0),24)*'Aturan &amp; Tarif'!$B$4,2)</f>
        <v>1362.72</v>
      </c>
      <c r="K11" s="32" t="n">
        <f aca="false">'Aturan &amp; Tarif'!$B$5</f>
        <v>2050</v>
      </c>
      <c r="L11" s="35" t="n">
        <f aca="false">I11+J11+K11</f>
        <v>12212.72</v>
      </c>
      <c r="M11" s="37" t="s">
        <v>3304</v>
      </c>
    </row>
    <row r="12" customFormat="false" ht="25.5" hidden="false" customHeight="true" outlineLevel="0" collapsed="false">
      <c r="A12" s="29"/>
      <c r="B12" s="30" t="s">
        <v>422</v>
      </c>
      <c r="C12" s="31" t="s">
        <v>113</v>
      </c>
      <c r="D12" s="31" t="s">
        <v>108</v>
      </c>
      <c r="E12" s="32" t="n">
        <v>2250</v>
      </c>
      <c r="F12" s="32" t="n">
        <v>1990</v>
      </c>
      <c r="G12" s="32" t="n">
        <v>200</v>
      </c>
      <c r="H12" s="33" t="n">
        <v>1</v>
      </c>
      <c r="I12" s="34" t="n">
        <f aca="false">E12*H12+N(F12)+N(G12)</f>
        <v>4440</v>
      </c>
      <c r="J12" s="32" t="n">
        <f aca="false">ROUND(IFERROR(ROUND(IF(OR(ISNUMBER(SEARCH("week",C12)),ISNUMBER(SEARCH("minggu",C12))),IFERROR(_xlfn.NUMBERVALUE(SUBSTITUTE(LEFT(TRIM(C12),FIND(" ",TRIM(C12)&amp;" ")-1),",","."),"."),LEFT(SUBSTITUTE(LEFT(TRIM(C12),FIND(" ",TRIM(C12)&amp;" ")-1),",","."),FIND("/",SUBSTITUTE(LEFT(TRIM(C12),FIND(" ",TRIM(C12)&amp;" ")-1),",","."))-1)/MID(SUBSTITUTE(LEFT(TRIM(C12),FIND(" ",TRIM(C12)&amp;" ")-1),",","."),FIND("/",SUBSTITUTE(LEFT(TRIM(C12),FIND(" ",TRIM(C12)&amp;" ")-1),",","."))+1,9))*12/52,IF(ISNUMBER(SEARCH("month",C12)),IFERROR(_xlfn.NUMBERVALUE(SUBSTITUTE(LEFT(TRIM(C12),FIND(" ",TRIM(C12)&amp;" ")-1),",","."),"."),LEFT(SUBSTITUTE(LEFT(TRIM(C12),FIND(" ",TRIM(C12)&amp;" ")-1),",","."),FIND("/",SUBSTITUTE(LEFT(TRIM(C12),FIND(" ",TRIM(C12)&amp;" ")-1),",","."))-1)/MID(SUBSTITUTE(LEFT(TRIM(C12),FIND(" ",TRIM(C12)&amp;" ")-1),",","."),FIND("/",SUBSTITUTE(LEFT(TRIM(C12),FIND(" ",TRIM(C12)&amp;" ")-1),",","."))+1,9)),IF(ISNUMBER(SEARCH("yea",C12)),IFERROR(_xlfn.NUMBERVALUE(SUBSTITUTE(LEFT(TRIM(C12),FIND(" ",TRIM(C12)&amp;" ")-1),",","."),"."),LEFT(SUBSTITUTE(LEFT(TRIM(C12),FIND(" ",TRIM(C12)&amp;" ")-1),",","."),FIND("/",SUBSTITUTE(LEFT(TRIM(C12),FIND(" ",TRIM(C12)&amp;" ")-1),",","."))-1)/MID(SUBSTITUTE(LEFT(TRIM(C12),FIND(" ",TRIM(C12)&amp;" ")-1),",","."),FIND("/",SUBSTITUTE(LEFT(TRIM(C12),FIND(" ",TRIM(C12)&amp;" ")-1),",","."))+1,9))*12,NA()))),0),18)*'Aturan &amp; Tarif'!$B$4,2)</f>
        <v>1022.04</v>
      </c>
      <c r="K12" s="32" t="n">
        <f aca="false">'Aturan &amp; Tarif'!$B$5</f>
        <v>2050</v>
      </c>
      <c r="L12" s="35" t="n">
        <f aca="false">I12+J12+K12</f>
        <v>7512.04</v>
      </c>
      <c r="M12" s="37" t="s">
        <v>3305</v>
      </c>
    </row>
    <row r="13" customFormat="false" ht="25.5" hidden="false" customHeight="true" outlineLevel="0" collapsed="false">
      <c r="A13" s="29"/>
      <c r="B13" s="30" t="s">
        <v>2767</v>
      </c>
      <c r="C13" s="31" t="s">
        <v>127</v>
      </c>
      <c r="D13" s="31" t="s">
        <v>108</v>
      </c>
      <c r="E13" s="32" t="n">
        <v>2250</v>
      </c>
      <c r="F13" s="32" t="n">
        <v>1990</v>
      </c>
      <c r="G13" s="32" t="n">
        <v>200</v>
      </c>
      <c r="H13" s="33" t="n">
        <v>1</v>
      </c>
      <c r="I13" s="34" t="n">
        <f aca="false">E13*H13+N(F13)+N(G13)</f>
        <v>4440</v>
      </c>
      <c r="J13" s="32" t="n">
        <f aca="false">ROUND(IFERROR(ROUND(IF(OR(ISNUMBER(SEARCH("week",C13)),ISNUMBER(SEARCH("minggu",C13))),IFERROR(_xlfn.NUMBERVALUE(SUBSTITUTE(LEFT(TRIM(C13),FIND(" ",TRIM(C13)&amp;" ")-1),",","."),"."),LEFT(SUBSTITUTE(LEFT(TRIM(C13),FIND(" ",TRIM(C13)&amp;" ")-1),",","."),FIND("/",SUBSTITUTE(LEFT(TRIM(C13),FIND(" ",TRIM(C13)&amp;" ")-1),",","."))-1)/MID(SUBSTITUTE(LEFT(TRIM(C13),FIND(" ",TRIM(C13)&amp;" ")-1),",","."),FIND("/",SUBSTITUTE(LEFT(TRIM(C13),FIND(" ",TRIM(C13)&amp;" ")-1),",","."))+1,9))*12/52,IF(ISNUMBER(SEARCH("month",C13)),IFERROR(_xlfn.NUMBERVALUE(SUBSTITUTE(LEFT(TRIM(C13),FIND(" ",TRIM(C13)&amp;" ")-1),",","."),"."),LEFT(SUBSTITUTE(LEFT(TRIM(C13),FIND(" ",TRIM(C13)&amp;" ")-1),",","."),FIND("/",SUBSTITUTE(LEFT(TRIM(C13),FIND(" ",TRIM(C13)&amp;" ")-1),",","."))-1)/MID(SUBSTITUTE(LEFT(TRIM(C13),FIND(" ",TRIM(C13)&amp;" ")-1),",","."),FIND("/",SUBSTITUTE(LEFT(TRIM(C13),FIND(" ",TRIM(C13)&amp;" ")-1),",","."))+1,9)),IF(ISNUMBER(SEARCH("yea",C13)),IFERROR(_xlfn.NUMBERVALUE(SUBSTITUTE(LEFT(TRIM(C13),FIND(" ",TRIM(C13)&amp;" ")-1),",","."),"."),LEFT(SUBSTITUTE(LEFT(TRIM(C13),FIND(" ",TRIM(C13)&amp;" ")-1),",","."),FIND("/",SUBSTITUTE(LEFT(TRIM(C13),FIND(" ",TRIM(C13)&amp;" ")-1),",","."))-1)/MID(SUBSTITUTE(LEFT(TRIM(C13),FIND(" ",TRIM(C13)&amp;" ")-1),",","."),FIND("/",SUBSTITUTE(LEFT(TRIM(C13),FIND(" ",TRIM(C13)&amp;" ")-1),",","."))+1,9))*12,NA()))),0),36)*'Aturan &amp; Tarif'!$B$4,2)</f>
        <v>2044.08</v>
      </c>
      <c r="K13" s="32" t="n">
        <f aca="false">'Aturan &amp; Tarif'!$B$5</f>
        <v>2050</v>
      </c>
      <c r="L13" s="35" t="n">
        <f aca="false">I13+J13+K13</f>
        <v>8534.08</v>
      </c>
      <c r="M13" s="37" t="s">
        <v>3305</v>
      </c>
    </row>
    <row r="14" customFormat="false" ht="37.5" hidden="false" customHeight="true" outlineLevel="0" collapsed="false">
      <c r="A14" s="29"/>
      <c r="B14" s="30" t="s">
        <v>2768</v>
      </c>
      <c r="C14" s="31" t="s">
        <v>136</v>
      </c>
      <c r="D14" s="31" t="s">
        <v>108</v>
      </c>
      <c r="E14" s="32" t="n">
        <v>2250</v>
      </c>
      <c r="F14" s="32" t="n">
        <v>1990</v>
      </c>
      <c r="G14" s="32" t="n">
        <v>200</v>
      </c>
      <c r="H14" s="33" t="n">
        <v>1</v>
      </c>
      <c r="I14" s="34" t="n">
        <f aca="false">E14*H14+N(F14)+N(G14)</f>
        <v>4440</v>
      </c>
      <c r="J14" s="32" t="n">
        <f aca="false">ROUND(IFERROR(ROUND(IF(OR(ISNUMBER(SEARCH("week",C14)),ISNUMBER(SEARCH("minggu",C14))),IFERROR(_xlfn.NUMBERVALUE(SUBSTITUTE(LEFT(TRIM(C14),FIND(" ",TRIM(C14)&amp;" ")-1),",","."),"."),LEFT(SUBSTITUTE(LEFT(TRIM(C14),FIND(" ",TRIM(C14)&amp;" ")-1),",","."),FIND("/",SUBSTITUTE(LEFT(TRIM(C14),FIND(" ",TRIM(C14)&amp;" ")-1),",","."))-1)/MID(SUBSTITUTE(LEFT(TRIM(C14),FIND(" ",TRIM(C14)&amp;" ")-1),",","."),FIND("/",SUBSTITUTE(LEFT(TRIM(C14),FIND(" ",TRIM(C14)&amp;" ")-1),",","."))+1,9))*12/52,IF(ISNUMBER(SEARCH("month",C14)),IFERROR(_xlfn.NUMBERVALUE(SUBSTITUTE(LEFT(TRIM(C14),FIND(" ",TRIM(C14)&amp;" ")-1),",","."),"."),LEFT(SUBSTITUTE(LEFT(TRIM(C14),FIND(" ",TRIM(C14)&amp;" ")-1),",","."),FIND("/",SUBSTITUTE(LEFT(TRIM(C14),FIND(" ",TRIM(C14)&amp;" ")-1),",","."))-1)/MID(SUBSTITUTE(LEFT(TRIM(C14),FIND(" ",TRIM(C14)&amp;" ")-1),",","."),FIND("/",SUBSTITUTE(LEFT(TRIM(C14),FIND(" ",TRIM(C14)&amp;" ")-1),",","."))+1,9)),IF(ISNUMBER(SEARCH("yea",C14)),IFERROR(_xlfn.NUMBERVALUE(SUBSTITUTE(LEFT(TRIM(C14),FIND(" ",TRIM(C14)&amp;" ")-1),",","."),"."),LEFT(SUBSTITUTE(LEFT(TRIM(C14),FIND(" ",TRIM(C14)&amp;" ")-1),",","."),FIND("/",SUBSTITUTE(LEFT(TRIM(C14),FIND(" ",TRIM(C14)&amp;" ")-1),",","."))-1)/MID(SUBSTITUTE(LEFT(TRIM(C14),FIND(" ",TRIM(C14)&amp;" ")-1),",","."),FIND("/",SUBSTITUTE(LEFT(TRIM(C14),FIND(" ",TRIM(C14)&amp;" ")-1),",","."))+1,9))*12,NA()))),0),42)*'Aturan &amp; Tarif'!$B$4,2)</f>
        <v>2384.76</v>
      </c>
      <c r="K14" s="32" t="n">
        <f aca="false">'Aturan &amp; Tarif'!$B$5</f>
        <v>2050</v>
      </c>
      <c r="L14" s="35" t="n">
        <f aca="false">I14+J14+K14</f>
        <v>8874.76</v>
      </c>
      <c r="M14" s="37" t="s">
        <v>3305</v>
      </c>
    </row>
    <row r="15" customFormat="false" ht="37.5" hidden="false" customHeight="true" outlineLevel="0" collapsed="false">
      <c r="A15" s="29"/>
      <c r="B15" s="30" t="s">
        <v>1834</v>
      </c>
      <c r="C15" s="31" t="s">
        <v>107</v>
      </c>
      <c r="D15" s="31" t="s">
        <v>108</v>
      </c>
      <c r="E15" s="32" t="n">
        <v>1350</v>
      </c>
      <c r="F15" s="32" t="n">
        <v>100</v>
      </c>
      <c r="G15" s="32" t="n">
        <v>200</v>
      </c>
      <c r="H15" s="33" t="n">
        <v>1</v>
      </c>
      <c r="I15" s="34" t="n">
        <f aca="false">E15*H15+N(F15)+N(G15)</f>
        <v>1650</v>
      </c>
      <c r="J15" s="32" t="n">
        <f aca="false">ROUND(IFERROR(ROUND(IF(OR(ISNUMBER(SEARCH("week",C15)),ISNUMBER(SEARCH("minggu",C15))),IFERROR(_xlfn.NUMBERVALUE(SUBSTITUTE(LEFT(TRIM(C15),FIND(" ",TRIM(C15)&amp;" ")-1),",","."),"."),LEFT(SUBSTITUTE(LEFT(TRIM(C15),FIND(" ",TRIM(C15)&amp;" ")-1),",","."),FIND("/",SUBSTITUTE(LEFT(TRIM(C15),FIND(" ",TRIM(C15)&amp;" ")-1),",","."))-1)/MID(SUBSTITUTE(LEFT(TRIM(C15),FIND(" ",TRIM(C15)&amp;" ")-1),",","."),FIND("/",SUBSTITUTE(LEFT(TRIM(C15),FIND(" ",TRIM(C15)&amp;" ")-1),",","."))+1,9))*12/52,IF(ISNUMBER(SEARCH("month",C15)),IFERROR(_xlfn.NUMBERVALUE(SUBSTITUTE(LEFT(TRIM(C15),FIND(" ",TRIM(C15)&amp;" ")-1),",","."),"."),LEFT(SUBSTITUTE(LEFT(TRIM(C15),FIND(" ",TRIM(C15)&amp;" ")-1),",","."),FIND("/",SUBSTITUTE(LEFT(TRIM(C15),FIND(" ",TRIM(C15)&amp;" ")-1),",","."))-1)/MID(SUBSTITUTE(LEFT(TRIM(C15),FIND(" ",TRIM(C15)&amp;" ")-1),",","."),FIND("/",SUBSTITUTE(LEFT(TRIM(C15),FIND(" ",TRIM(C15)&amp;" ")-1),",","."))+1,9)),IF(ISNUMBER(SEARCH("yea",C15)),IFERROR(_xlfn.NUMBERVALUE(SUBSTITUTE(LEFT(TRIM(C15),FIND(" ",TRIM(C15)&amp;" ")-1),",","."),"."),LEFT(SUBSTITUTE(LEFT(TRIM(C15),FIND(" ",TRIM(C15)&amp;" ")-1),",","."),FIND("/",SUBSTITUTE(LEFT(TRIM(C15),FIND(" ",TRIM(C15)&amp;" ")-1),",","."))-1)/MID(SUBSTITUTE(LEFT(TRIM(C15),FIND(" ",TRIM(C15)&amp;" ")-1),",","."),FIND("/",SUBSTITUTE(LEFT(TRIM(C15),FIND(" ",TRIM(C15)&amp;" ")-1),",","."))+1,9))*12,NA()))),0),24)*'Aturan &amp; Tarif'!$B$4,2)</f>
        <v>1362.72</v>
      </c>
      <c r="K15" s="32" t="n">
        <f aca="false">'Aturan &amp; Tarif'!$B$5</f>
        <v>2050</v>
      </c>
      <c r="L15" s="35" t="n">
        <f aca="false">I15+J15+K15</f>
        <v>5062.72</v>
      </c>
      <c r="M15" s="36" t="s">
        <v>3307</v>
      </c>
    </row>
    <row r="16" customFormat="false" ht="14.25" hidden="false" customHeight="true" outlineLevel="0" collapsed="false">
      <c r="A16" s="29"/>
      <c r="B16" s="30" t="s">
        <v>2770</v>
      </c>
      <c r="C16" s="31" t="s">
        <v>127</v>
      </c>
      <c r="D16" s="31" t="s">
        <v>108</v>
      </c>
      <c r="E16" s="32" t="n">
        <v>5000</v>
      </c>
      <c r="F16" s="32" t="n">
        <v>120</v>
      </c>
      <c r="G16" s="32" t="n">
        <v>250</v>
      </c>
      <c r="H16" s="33" t="n">
        <v>2</v>
      </c>
      <c r="I16" s="34" t="n">
        <f aca="false">E16*H16+N(F16)+N(G16)</f>
        <v>10370</v>
      </c>
      <c r="J16" s="32" t="n">
        <f aca="false">ROUND(IFERROR(ROUND(IF(OR(ISNUMBER(SEARCH("week",C16)),ISNUMBER(SEARCH("minggu",C16))),IFERROR(_xlfn.NUMBERVALUE(SUBSTITUTE(LEFT(TRIM(C16),FIND(" ",TRIM(C16)&amp;" ")-1),",","."),"."),LEFT(SUBSTITUTE(LEFT(TRIM(C16),FIND(" ",TRIM(C16)&amp;" ")-1),",","."),FIND("/",SUBSTITUTE(LEFT(TRIM(C16),FIND(" ",TRIM(C16)&amp;" ")-1),",","."))-1)/MID(SUBSTITUTE(LEFT(TRIM(C16),FIND(" ",TRIM(C16)&amp;" ")-1),",","."),FIND("/",SUBSTITUTE(LEFT(TRIM(C16),FIND(" ",TRIM(C16)&amp;" ")-1),",","."))+1,9))*12/52,IF(ISNUMBER(SEARCH("month",C16)),IFERROR(_xlfn.NUMBERVALUE(SUBSTITUTE(LEFT(TRIM(C16),FIND(" ",TRIM(C16)&amp;" ")-1),",","."),"."),LEFT(SUBSTITUTE(LEFT(TRIM(C16),FIND(" ",TRIM(C16)&amp;" ")-1),",","."),FIND("/",SUBSTITUTE(LEFT(TRIM(C16),FIND(" ",TRIM(C16)&amp;" ")-1),",","."))-1)/MID(SUBSTITUTE(LEFT(TRIM(C16),FIND(" ",TRIM(C16)&amp;" ")-1),",","."),FIND("/",SUBSTITUTE(LEFT(TRIM(C16),FIND(" ",TRIM(C16)&amp;" ")-1),",","."))+1,9)),IF(ISNUMBER(SEARCH("yea",C16)),IFERROR(_xlfn.NUMBERVALUE(SUBSTITUTE(LEFT(TRIM(C16),FIND(" ",TRIM(C16)&amp;" ")-1),",","."),"."),LEFT(SUBSTITUTE(LEFT(TRIM(C16),FIND(" ",TRIM(C16)&amp;" ")-1),",","."),FIND("/",SUBSTITUTE(LEFT(TRIM(C16),FIND(" ",TRIM(C16)&amp;" ")-1),",","."))-1)/MID(SUBSTITUTE(LEFT(TRIM(C16),FIND(" ",TRIM(C16)&amp;" ")-1),",","."),FIND("/",SUBSTITUTE(LEFT(TRIM(C16),FIND(" ",TRIM(C16)&amp;" ")-1),",","."))+1,9))*12,NA()))),0),36)*'Aturan &amp; Tarif'!$B$4,2)</f>
        <v>2044.08</v>
      </c>
      <c r="K16" s="32" t="n">
        <f aca="false">'Aturan &amp; Tarif'!$B$5</f>
        <v>2050</v>
      </c>
      <c r="L16" s="35" t="n">
        <f aca="false">I16+J16+K16</f>
        <v>14464.08</v>
      </c>
      <c r="M16" s="37" t="s">
        <v>3304</v>
      </c>
    </row>
    <row r="17" customFormat="false" ht="25.5" hidden="false" customHeight="true" outlineLevel="0" collapsed="false">
      <c r="A17" s="29"/>
      <c r="B17" s="30" t="s">
        <v>2771</v>
      </c>
      <c r="C17" s="31" t="s">
        <v>107</v>
      </c>
      <c r="D17" s="31" t="s">
        <v>108</v>
      </c>
      <c r="E17" s="32" t="n">
        <v>1900</v>
      </c>
      <c r="F17" s="32" t="n">
        <v>200</v>
      </c>
      <c r="G17" s="32" t="n">
        <v>200</v>
      </c>
      <c r="H17" s="33" t="n">
        <v>1</v>
      </c>
      <c r="I17" s="34" t="n">
        <f aca="false">E17*H17+N(F17)+N(G17)</f>
        <v>2300</v>
      </c>
      <c r="J17" s="32" t="n">
        <f aca="false">ROUND(IFERROR(ROUND(IF(OR(ISNUMBER(SEARCH("week",C17)),ISNUMBER(SEARCH("minggu",C17))),IFERROR(_xlfn.NUMBERVALUE(SUBSTITUTE(LEFT(TRIM(C17),FIND(" ",TRIM(C17)&amp;" ")-1),",","."),"."),LEFT(SUBSTITUTE(LEFT(TRIM(C17),FIND(" ",TRIM(C17)&amp;" ")-1),",","."),FIND("/",SUBSTITUTE(LEFT(TRIM(C17),FIND(" ",TRIM(C17)&amp;" ")-1),",","."))-1)/MID(SUBSTITUTE(LEFT(TRIM(C17),FIND(" ",TRIM(C17)&amp;" ")-1),",","."),FIND("/",SUBSTITUTE(LEFT(TRIM(C17),FIND(" ",TRIM(C17)&amp;" ")-1),",","."))+1,9))*12/52,IF(ISNUMBER(SEARCH("month",C17)),IFERROR(_xlfn.NUMBERVALUE(SUBSTITUTE(LEFT(TRIM(C17),FIND(" ",TRIM(C17)&amp;" ")-1),",","."),"."),LEFT(SUBSTITUTE(LEFT(TRIM(C17),FIND(" ",TRIM(C17)&amp;" ")-1),",","."),FIND("/",SUBSTITUTE(LEFT(TRIM(C17),FIND(" ",TRIM(C17)&amp;" ")-1),",","."))-1)/MID(SUBSTITUTE(LEFT(TRIM(C17),FIND(" ",TRIM(C17)&amp;" ")-1),",","."),FIND("/",SUBSTITUTE(LEFT(TRIM(C17),FIND(" ",TRIM(C17)&amp;" ")-1),",","."))+1,9)),IF(ISNUMBER(SEARCH("yea",C17)),IFERROR(_xlfn.NUMBERVALUE(SUBSTITUTE(LEFT(TRIM(C17),FIND(" ",TRIM(C17)&amp;" ")-1),",","."),"."),LEFT(SUBSTITUTE(LEFT(TRIM(C17),FIND(" ",TRIM(C17)&amp;" ")-1),",","."),FIND("/",SUBSTITUTE(LEFT(TRIM(C17),FIND(" ",TRIM(C17)&amp;" ")-1),",","."))-1)/MID(SUBSTITUTE(LEFT(TRIM(C17),FIND(" ",TRIM(C17)&amp;" ")-1),",","."),FIND("/",SUBSTITUTE(LEFT(TRIM(C17),FIND(" ",TRIM(C17)&amp;" ")-1),",","."))+1,9))*12,NA()))),0),24)*'Aturan &amp; Tarif'!$B$4,2)</f>
        <v>1362.72</v>
      </c>
      <c r="K17" s="32" t="n">
        <f aca="false">'Aturan &amp; Tarif'!$B$5</f>
        <v>2050</v>
      </c>
      <c r="L17" s="35" t="n">
        <f aca="false">I17+J17+K17</f>
        <v>5712.72</v>
      </c>
      <c r="M17" s="37" t="s">
        <v>3305</v>
      </c>
    </row>
    <row r="18" customFormat="false" ht="60" hidden="false" customHeight="true" outlineLevel="0" collapsed="false">
      <c r="A18" s="39" t="s">
        <v>2772</v>
      </c>
      <c r="B18" s="40" t="s">
        <v>1842</v>
      </c>
      <c r="C18" s="41" t="s">
        <v>127</v>
      </c>
      <c r="D18" s="41" t="s">
        <v>108</v>
      </c>
      <c r="E18" s="42" t="n">
        <v>5750</v>
      </c>
      <c r="F18" s="42"/>
      <c r="G18" s="42" t="n">
        <v>200</v>
      </c>
      <c r="H18" s="43" t="n">
        <v>2</v>
      </c>
      <c r="I18" s="34" t="n">
        <f aca="false">E18*H18+N(F18)+N(G18)</f>
        <v>11700</v>
      </c>
      <c r="J18" s="42" t="n">
        <f aca="false">ROUND(IFERROR(ROUND(IF(OR(ISNUMBER(SEARCH("week",C18)),ISNUMBER(SEARCH("minggu",C18))),IFERROR(_xlfn.NUMBERVALUE(SUBSTITUTE(LEFT(TRIM(C18),FIND(" ",TRIM(C18)&amp;" ")-1),",","."),"."),LEFT(SUBSTITUTE(LEFT(TRIM(C18),FIND(" ",TRIM(C18)&amp;" ")-1),",","."),FIND("/",SUBSTITUTE(LEFT(TRIM(C18),FIND(" ",TRIM(C18)&amp;" ")-1),",","."))-1)/MID(SUBSTITUTE(LEFT(TRIM(C18),FIND(" ",TRIM(C18)&amp;" ")-1),",","."),FIND("/",SUBSTITUTE(LEFT(TRIM(C18),FIND(" ",TRIM(C18)&amp;" ")-1),",","."))+1,9))*12/52,IF(ISNUMBER(SEARCH("month",C18)),IFERROR(_xlfn.NUMBERVALUE(SUBSTITUTE(LEFT(TRIM(C18),FIND(" ",TRIM(C18)&amp;" ")-1),",","."),"."),LEFT(SUBSTITUTE(LEFT(TRIM(C18),FIND(" ",TRIM(C18)&amp;" ")-1),",","."),FIND("/",SUBSTITUTE(LEFT(TRIM(C18),FIND(" ",TRIM(C18)&amp;" ")-1),",","."))-1)/MID(SUBSTITUTE(LEFT(TRIM(C18),FIND(" ",TRIM(C18)&amp;" ")-1),",","."),FIND("/",SUBSTITUTE(LEFT(TRIM(C18),FIND(" ",TRIM(C18)&amp;" ")-1),",","."))+1,9)),IF(ISNUMBER(SEARCH("yea",C18)),IFERROR(_xlfn.NUMBERVALUE(SUBSTITUTE(LEFT(TRIM(C18),FIND(" ",TRIM(C18)&amp;" ")-1),",","."),"."),LEFT(SUBSTITUTE(LEFT(TRIM(C18),FIND(" ",TRIM(C18)&amp;" ")-1),",","."),FIND("/",SUBSTITUTE(LEFT(TRIM(C18),FIND(" ",TRIM(C18)&amp;" ")-1),",","."))-1)/MID(SUBSTITUTE(LEFT(TRIM(C18),FIND(" ",TRIM(C18)&amp;" ")-1),",","."),FIND("/",SUBSTITUTE(LEFT(TRIM(C18),FIND(" ",TRIM(C18)&amp;" ")-1),",","."))+1,9))*12,NA()))),0),36)*'Aturan &amp; Tarif'!$B$4,2)</f>
        <v>2044.08</v>
      </c>
      <c r="K18" s="42" t="n">
        <f aca="false">'Aturan &amp; Tarif'!$B$5</f>
        <v>2050</v>
      </c>
      <c r="L18" s="35" t="n">
        <f aca="false">I18+J18+K18</f>
        <v>15794.08</v>
      </c>
      <c r="M18" s="45" t="s">
        <v>3308</v>
      </c>
    </row>
    <row r="19" customFormat="false" ht="14.25" hidden="false" customHeight="true" outlineLevel="0" collapsed="false">
      <c r="A19" s="39"/>
      <c r="B19" s="40" t="s">
        <v>1844</v>
      </c>
      <c r="C19" s="41" t="s">
        <v>127</v>
      </c>
      <c r="D19" s="41" t="s">
        <v>108</v>
      </c>
      <c r="E19" s="42" t="n">
        <v>5750</v>
      </c>
      <c r="F19" s="42" t="n">
        <v>200</v>
      </c>
      <c r="G19" s="42" t="n">
        <v>200</v>
      </c>
      <c r="H19" s="43" t="n">
        <v>2</v>
      </c>
      <c r="I19" s="34" t="n">
        <f aca="false">E19*H19+N(F19)+N(G19)</f>
        <v>11900</v>
      </c>
      <c r="J19" s="42" t="n">
        <f aca="false">ROUND(IFERROR(ROUND(IF(OR(ISNUMBER(SEARCH("week",C19)),ISNUMBER(SEARCH("minggu",C19))),IFERROR(_xlfn.NUMBERVALUE(SUBSTITUTE(LEFT(TRIM(C19),FIND(" ",TRIM(C19)&amp;" ")-1),",","."),"."),LEFT(SUBSTITUTE(LEFT(TRIM(C19),FIND(" ",TRIM(C19)&amp;" ")-1),",","."),FIND("/",SUBSTITUTE(LEFT(TRIM(C19),FIND(" ",TRIM(C19)&amp;" ")-1),",","."))-1)/MID(SUBSTITUTE(LEFT(TRIM(C19),FIND(" ",TRIM(C19)&amp;" ")-1),",","."),FIND("/",SUBSTITUTE(LEFT(TRIM(C19),FIND(" ",TRIM(C19)&amp;" ")-1),",","."))+1,9))*12/52,IF(ISNUMBER(SEARCH("month",C19)),IFERROR(_xlfn.NUMBERVALUE(SUBSTITUTE(LEFT(TRIM(C19),FIND(" ",TRIM(C19)&amp;" ")-1),",","."),"."),LEFT(SUBSTITUTE(LEFT(TRIM(C19),FIND(" ",TRIM(C19)&amp;" ")-1),",","."),FIND("/",SUBSTITUTE(LEFT(TRIM(C19),FIND(" ",TRIM(C19)&amp;" ")-1),",","."))-1)/MID(SUBSTITUTE(LEFT(TRIM(C19),FIND(" ",TRIM(C19)&amp;" ")-1),",","."),FIND("/",SUBSTITUTE(LEFT(TRIM(C19),FIND(" ",TRIM(C19)&amp;" ")-1),",","."))+1,9)),IF(ISNUMBER(SEARCH("yea",C19)),IFERROR(_xlfn.NUMBERVALUE(SUBSTITUTE(LEFT(TRIM(C19),FIND(" ",TRIM(C19)&amp;" ")-1),",","."),"."),LEFT(SUBSTITUTE(LEFT(TRIM(C19),FIND(" ",TRIM(C19)&amp;" ")-1),",","."),FIND("/",SUBSTITUTE(LEFT(TRIM(C19),FIND(" ",TRIM(C19)&amp;" ")-1),",","."))-1)/MID(SUBSTITUTE(LEFT(TRIM(C19),FIND(" ",TRIM(C19)&amp;" ")-1),",","."),FIND("/",SUBSTITUTE(LEFT(TRIM(C19),FIND(" ",TRIM(C19)&amp;" ")-1),",","."))+1,9))*12,NA()))),0),36)*'Aturan &amp; Tarif'!$B$4,2)</f>
        <v>2044.08</v>
      </c>
      <c r="K19" s="42" t="n">
        <f aca="false">'Aturan &amp; Tarif'!$B$5</f>
        <v>2050</v>
      </c>
      <c r="L19" s="35" t="n">
        <f aca="false">I19+J19+K19</f>
        <v>15994.08</v>
      </c>
      <c r="M19" s="44" t="s">
        <v>3309</v>
      </c>
    </row>
    <row r="20" customFormat="false" ht="60" hidden="false" customHeight="true" outlineLevel="0" collapsed="false">
      <c r="A20" s="39"/>
      <c r="B20" s="40" t="s">
        <v>1846</v>
      </c>
      <c r="C20" s="41" t="s">
        <v>127</v>
      </c>
      <c r="D20" s="41" t="s">
        <v>108</v>
      </c>
      <c r="E20" s="42" t="n">
        <v>5750</v>
      </c>
      <c r="F20" s="42"/>
      <c r="G20" s="42" t="n">
        <v>200</v>
      </c>
      <c r="H20" s="43" t="n">
        <v>2</v>
      </c>
      <c r="I20" s="34" t="n">
        <f aca="false">E20*H20+N(F20)+N(G20)</f>
        <v>11700</v>
      </c>
      <c r="J20" s="42" t="n">
        <f aca="false">ROUND(IFERROR(ROUND(IF(OR(ISNUMBER(SEARCH("week",C20)),ISNUMBER(SEARCH("minggu",C20))),IFERROR(_xlfn.NUMBERVALUE(SUBSTITUTE(LEFT(TRIM(C20),FIND(" ",TRIM(C20)&amp;" ")-1),",","."),"."),LEFT(SUBSTITUTE(LEFT(TRIM(C20),FIND(" ",TRIM(C20)&amp;" ")-1),",","."),FIND("/",SUBSTITUTE(LEFT(TRIM(C20),FIND(" ",TRIM(C20)&amp;" ")-1),",","."))-1)/MID(SUBSTITUTE(LEFT(TRIM(C20),FIND(" ",TRIM(C20)&amp;" ")-1),",","."),FIND("/",SUBSTITUTE(LEFT(TRIM(C20),FIND(" ",TRIM(C20)&amp;" ")-1),",","."))+1,9))*12/52,IF(ISNUMBER(SEARCH("month",C20)),IFERROR(_xlfn.NUMBERVALUE(SUBSTITUTE(LEFT(TRIM(C20),FIND(" ",TRIM(C20)&amp;" ")-1),",","."),"."),LEFT(SUBSTITUTE(LEFT(TRIM(C20),FIND(" ",TRIM(C20)&amp;" ")-1),",","."),FIND("/",SUBSTITUTE(LEFT(TRIM(C20),FIND(" ",TRIM(C20)&amp;" ")-1),",","."))-1)/MID(SUBSTITUTE(LEFT(TRIM(C20),FIND(" ",TRIM(C20)&amp;" ")-1),",","."),FIND("/",SUBSTITUTE(LEFT(TRIM(C20),FIND(" ",TRIM(C20)&amp;" ")-1),",","."))+1,9)),IF(ISNUMBER(SEARCH("yea",C20)),IFERROR(_xlfn.NUMBERVALUE(SUBSTITUTE(LEFT(TRIM(C20),FIND(" ",TRIM(C20)&amp;" ")-1),",","."),"."),LEFT(SUBSTITUTE(LEFT(TRIM(C20),FIND(" ",TRIM(C20)&amp;" ")-1),",","."),FIND("/",SUBSTITUTE(LEFT(TRIM(C20),FIND(" ",TRIM(C20)&amp;" ")-1),",","."))-1)/MID(SUBSTITUTE(LEFT(TRIM(C20),FIND(" ",TRIM(C20)&amp;" ")-1),",","."),FIND("/",SUBSTITUTE(LEFT(TRIM(C20),FIND(" ",TRIM(C20)&amp;" ")-1),",","."))+1,9))*12,NA()))),0),36)*'Aturan &amp; Tarif'!$B$4,2)</f>
        <v>2044.08</v>
      </c>
      <c r="K20" s="42" t="n">
        <f aca="false">'Aturan &amp; Tarif'!$B$5</f>
        <v>2050</v>
      </c>
      <c r="L20" s="35" t="n">
        <f aca="false">I20+J20+K20</f>
        <v>15794.08</v>
      </c>
      <c r="M20" s="45" t="s">
        <v>1847</v>
      </c>
    </row>
    <row r="21" customFormat="false" ht="60" hidden="false" customHeight="true" outlineLevel="0" collapsed="false">
      <c r="A21" s="39"/>
      <c r="B21" s="40" t="s">
        <v>1848</v>
      </c>
      <c r="C21" s="41" t="s">
        <v>127</v>
      </c>
      <c r="D21" s="41" t="s">
        <v>108</v>
      </c>
      <c r="E21" s="42" t="n">
        <v>5750</v>
      </c>
      <c r="F21" s="42" t="n">
        <v>200</v>
      </c>
      <c r="G21" s="42" t="n">
        <v>200</v>
      </c>
      <c r="H21" s="43" t="n">
        <v>2</v>
      </c>
      <c r="I21" s="34" t="n">
        <f aca="false">E21*H21+N(F21)+N(G21)</f>
        <v>11900</v>
      </c>
      <c r="J21" s="42" t="n">
        <f aca="false">ROUND(IFERROR(ROUND(IF(OR(ISNUMBER(SEARCH("week",C21)),ISNUMBER(SEARCH("minggu",C21))),IFERROR(_xlfn.NUMBERVALUE(SUBSTITUTE(LEFT(TRIM(C21),FIND(" ",TRIM(C21)&amp;" ")-1),",","."),"."),LEFT(SUBSTITUTE(LEFT(TRIM(C21),FIND(" ",TRIM(C21)&amp;" ")-1),",","."),FIND("/",SUBSTITUTE(LEFT(TRIM(C21),FIND(" ",TRIM(C21)&amp;" ")-1),",","."))-1)/MID(SUBSTITUTE(LEFT(TRIM(C21),FIND(" ",TRIM(C21)&amp;" ")-1),",","."),FIND("/",SUBSTITUTE(LEFT(TRIM(C21),FIND(" ",TRIM(C21)&amp;" ")-1),",","."))+1,9))*12/52,IF(ISNUMBER(SEARCH("month",C21)),IFERROR(_xlfn.NUMBERVALUE(SUBSTITUTE(LEFT(TRIM(C21),FIND(" ",TRIM(C21)&amp;" ")-1),",","."),"."),LEFT(SUBSTITUTE(LEFT(TRIM(C21),FIND(" ",TRIM(C21)&amp;" ")-1),",","."),FIND("/",SUBSTITUTE(LEFT(TRIM(C21),FIND(" ",TRIM(C21)&amp;" ")-1),",","."))-1)/MID(SUBSTITUTE(LEFT(TRIM(C21),FIND(" ",TRIM(C21)&amp;" ")-1),",","."),FIND("/",SUBSTITUTE(LEFT(TRIM(C21),FIND(" ",TRIM(C21)&amp;" ")-1),",","."))+1,9)),IF(ISNUMBER(SEARCH("yea",C21)),IFERROR(_xlfn.NUMBERVALUE(SUBSTITUTE(LEFT(TRIM(C21),FIND(" ",TRIM(C21)&amp;" ")-1),",","."),"."),LEFT(SUBSTITUTE(LEFT(TRIM(C21),FIND(" ",TRIM(C21)&amp;" ")-1),",","."),FIND("/",SUBSTITUTE(LEFT(TRIM(C21),FIND(" ",TRIM(C21)&amp;" ")-1),",","."))-1)/MID(SUBSTITUTE(LEFT(TRIM(C21),FIND(" ",TRIM(C21)&amp;" ")-1),",","."),FIND("/",SUBSTITUTE(LEFT(TRIM(C21),FIND(" ",TRIM(C21)&amp;" ")-1),",","."))+1,9))*12,NA()))),0),36)*'Aturan &amp; Tarif'!$B$4,2)</f>
        <v>2044.08</v>
      </c>
      <c r="K21" s="42" t="n">
        <f aca="false">'Aturan &amp; Tarif'!$B$5</f>
        <v>2050</v>
      </c>
      <c r="L21" s="35" t="n">
        <f aca="false">I21+J21+K21</f>
        <v>15994.08</v>
      </c>
      <c r="M21" s="44" t="s">
        <v>3310</v>
      </c>
    </row>
    <row r="22" customFormat="false" ht="14.25" hidden="false" customHeight="true" outlineLevel="0" collapsed="false">
      <c r="A22" s="39"/>
      <c r="B22" s="40" t="s">
        <v>1850</v>
      </c>
      <c r="C22" s="41" t="s">
        <v>127</v>
      </c>
      <c r="D22" s="41" t="s">
        <v>108</v>
      </c>
      <c r="E22" s="42" t="n">
        <v>5750</v>
      </c>
      <c r="F22" s="42"/>
      <c r="G22" s="42" t="n">
        <v>200</v>
      </c>
      <c r="H22" s="43" t="n">
        <v>2</v>
      </c>
      <c r="I22" s="34" t="n">
        <f aca="false">E22*H22+N(F22)+N(G22)</f>
        <v>11700</v>
      </c>
      <c r="J22" s="42" t="n">
        <f aca="false">ROUND(IFERROR(ROUND(IF(OR(ISNUMBER(SEARCH("week",C22)),ISNUMBER(SEARCH("minggu",C22))),IFERROR(_xlfn.NUMBERVALUE(SUBSTITUTE(LEFT(TRIM(C22),FIND(" ",TRIM(C22)&amp;" ")-1),",","."),"."),LEFT(SUBSTITUTE(LEFT(TRIM(C22),FIND(" ",TRIM(C22)&amp;" ")-1),",","."),FIND("/",SUBSTITUTE(LEFT(TRIM(C22),FIND(" ",TRIM(C22)&amp;" ")-1),",","."))-1)/MID(SUBSTITUTE(LEFT(TRIM(C22),FIND(" ",TRIM(C22)&amp;" ")-1),",","."),FIND("/",SUBSTITUTE(LEFT(TRIM(C22),FIND(" ",TRIM(C22)&amp;" ")-1),",","."))+1,9))*12/52,IF(ISNUMBER(SEARCH("month",C22)),IFERROR(_xlfn.NUMBERVALUE(SUBSTITUTE(LEFT(TRIM(C22),FIND(" ",TRIM(C22)&amp;" ")-1),",","."),"."),LEFT(SUBSTITUTE(LEFT(TRIM(C22),FIND(" ",TRIM(C22)&amp;" ")-1),",","."),FIND("/",SUBSTITUTE(LEFT(TRIM(C22),FIND(" ",TRIM(C22)&amp;" ")-1),",","."))-1)/MID(SUBSTITUTE(LEFT(TRIM(C22),FIND(" ",TRIM(C22)&amp;" ")-1),",","."),FIND("/",SUBSTITUTE(LEFT(TRIM(C22),FIND(" ",TRIM(C22)&amp;" ")-1),",","."))+1,9)),IF(ISNUMBER(SEARCH("yea",C22)),IFERROR(_xlfn.NUMBERVALUE(SUBSTITUTE(LEFT(TRIM(C22),FIND(" ",TRIM(C22)&amp;" ")-1),",","."),"."),LEFT(SUBSTITUTE(LEFT(TRIM(C22),FIND(" ",TRIM(C22)&amp;" ")-1),",","."),FIND("/",SUBSTITUTE(LEFT(TRIM(C22),FIND(" ",TRIM(C22)&amp;" ")-1),",","."))-1)/MID(SUBSTITUTE(LEFT(TRIM(C22),FIND(" ",TRIM(C22)&amp;" ")-1),",","."),FIND("/",SUBSTITUTE(LEFT(TRIM(C22),FIND(" ",TRIM(C22)&amp;" ")-1),",","."))+1,9))*12,NA()))),0),36)*'Aturan &amp; Tarif'!$B$4,2)</f>
        <v>2044.08</v>
      </c>
      <c r="K22" s="42" t="n">
        <f aca="false">'Aturan &amp; Tarif'!$B$5</f>
        <v>2050</v>
      </c>
      <c r="L22" s="35" t="n">
        <f aca="false">I22+J22+K22</f>
        <v>15794.08</v>
      </c>
      <c r="M22" s="44" t="s">
        <v>3311</v>
      </c>
    </row>
    <row r="23" customFormat="false" ht="14.25" hidden="false" customHeight="true" outlineLevel="0" collapsed="false">
      <c r="A23" s="39"/>
      <c r="B23" s="40" t="s">
        <v>1852</v>
      </c>
      <c r="C23" s="41" t="s">
        <v>130</v>
      </c>
      <c r="D23" s="41" t="s">
        <v>108</v>
      </c>
      <c r="E23" s="42" t="n">
        <v>5750</v>
      </c>
      <c r="F23" s="42"/>
      <c r="G23" s="42" t="n">
        <v>200</v>
      </c>
      <c r="H23" s="43" t="n">
        <v>2</v>
      </c>
      <c r="I23" s="34" t="n">
        <f aca="false">E23*H23+N(F23)+N(G23)</f>
        <v>11700</v>
      </c>
      <c r="J23" s="42" t="n">
        <f aca="false">ROUND(IFERROR(ROUND(IF(OR(ISNUMBER(SEARCH("week",C23)),ISNUMBER(SEARCH("minggu",C23))),IFERROR(_xlfn.NUMBERVALUE(SUBSTITUTE(LEFT(TRIM(C23),FIND(" ",TRIM(C23)&amp;" ")-1),",","."),"."),LEFT(SUBSTITUTE(LEFT(TRIM(C23),FIND(" ",TRIM(C23)&amp;" ")-1),",","."),FIND("/",SUBSTITUTE(LEFT(TRIM(C23),FIND(" ",TRIM(C23)&amp;" ")-1),",","."))-1)/MID(SUBSTITUTE(LEFT(TRIM(C23),FIND(" ",TRIM(C23)&amp;" ")-1),",","."),FIND("/",SUBSTITUTE(LEFT(TRIM(C23),FIND(" ",TRIM(C23)&amp;" ")-1),",","."))+1,9))*12/52,IF(ISNUMBER(SEARCH("month",C23)),IFERROR(_xlfn.NUMBERVALUE(SUBSTITUTE(LEFT(TRIM(C23),FIND(" ",TRIM(C23)&amp;" ")-1),",","."),"."),LEFT(SUBSTITUTE(LEFT(TRIM(C23),FIND(" ",TRIM(C23)&amp;" ")-1),",","."),FIND("/",SUBSTITUTE(LEFT(TRIM(C23),FIND(" ",TRIM(C23)&amp;" ")-1),",","."))-1)/MID(SUBSTITUTE(LEFT(TRIM(C23),FIND(" ",TRIM(C23)&amp;" ")-1),",","."),FIND("/",SUBSTITUTE(LEFT(TRIM(C23),FIND(" ",TRIM(C23)&amp;" ")-1),",","."))+1,9)),IF(ISNUMBER(SEARCH("yea",C23)),IFERROR(_xlfn.NUMBERVALUE(SUBSTITUTE(LEFT(TRIM(C23),FIND(" ",TRIM(C23)&amp;" ")-1),",","."),"."),LEFT(SUBSTITUTE(LEFT(TRIM(C23),FIND(" ",TRIM(C23)&amp;" ")-1),",","."),FIND("/",SUBSTITUTE(LEFT(TRIM(C23),FIND(" ",TRIM(C23)&amp;" ")-1),",","."))-1)/MID(SUBSTITUTE(LEFT(TRIM(C23),FIND(" ",TRIM(C23)&amp;" ")-1),",","."),FIND("/",SUBSTITUTE(LEFT(TRIM(C23),FIND(" ",TRIM(C23)&amp;" ")-1),",","."))+1,9))*12,NA()))),0),12)*'Aturan &amp; Tarif'!$B$4,2)</f>
        <v>681.36</v>
      </c>
      <c r="K23" s="42" t="n">
        <f aca="false">'Aturan &amp; Tarif'!$B$5</f>
        <v>2050</v>
      </c>
      <c r="L23" s="35" t="n">
        <f aca="false">I23+J23+K23</f>
        <v>14431.36</v>
      </c>
      <c r="M23" s="45" t="s">
        <v>1853</v>
      </c>
    </row>
    <row r="24" customFormat="false" ht="14.25" hidden="false" customHeight="true" outlineLevel="0" collapsed="false">
      <c r="A24" s="39"/>
      <c r="B24" s="40" t="s">
        <v>1854</v>
      </c>
      <c r="C24" s="41" t="s">
        <v>130</v>
      </c>
      <c r="D24" s="41" t="s">
        <v>108</v>
      </c>
      <c r="E24" s="42" t="n">
        <v>5750</v>
      </c>
      <c r="F24" s="42"/>
      <c r="G24" s="42" t="n">
        <v>200</v>
      </c>
      <c r="H24" s="43" t="n">
        <v>2</v>
      </c>
      <c r="I24" s="34" t="n">
        <f aca="false">E24*H24+N(F24)+N(G24)</f>
        <v>11700</v>
      </c>
      <c r="J24" s="42" t="n">
        <f aca="false">ROUND(IFERROR(ROUND(IF(OR(ISNUMBER(SEARCH("week",C24)),ISNUMBER(SEARCH("minggu",C24))),IFERROR(_xlfn.NUMBERVALUE(SUBSTITUTE(LEFT(TRIM(C24),FIND(" ",TRIM(C24)&amp;" ")-1),",","."),"."),LEFT(SUBSTITUTE(LEFT(TRIM(C24),FIND(" ",TRIM(C24)&amp;" ")-1),",","."),FIND("/",SUBSTITUTE(LEFT(TRIM(C24),FIND(" ",TRIM(C24)&amp;" ")-1),",","."))-1)/MID(SUBSTITUTE(LEFT(TRIM(C24),FIND(" ",TRIM(C24)&amp;" ")-1),",","."),FIND("/",SUBSTITUTE(LEFT(TRIM(C24),FIND(" ",TRIM(C24)&amp;" ")-1),",","."))+1,9))*12/52,IF(ISNUMBER(SEARCH("month",C24)),IFERROR(_xlfn.NUMBERVALUE(SUBSTITUTE(LEFT(TRIM(C24),FIND(" ",TRIM(C24)&amp;" ")-1),",","."),"."),LEFT(SUBSTITUTE(LEFT(TRIM(C24),FIND(" ",TRIM(C24)&amp;" ")-1),",","."),FIND("/",SUBSTITUTE(LEFT(TRIM(C24),FIND(" ",TRIM(C24)&amp;" ")-1),",","."))-1)/MID(SUBSTITUTE(LEFT(TRIM(C24),FIND(" ",TRIM(C24)&amp;" ")-1),",","."),FIND("/",SUBSTITUTE(LEFT(TRIM(C24),FIND(" ",TRIM(C24)&amp;" ")-1),",","."))+1,9)),IF(ISNUMBER(SEARCH("yea",C24)),IFERROR(_xlfn.NUMBERVALUE(SUBSTITUTE(LEFT(TRIM(C24),FIND(" ",TRIM(C24)&amp;" ")-1),",","."),"."),LEFT(SUBSTITUTE(LEFT(TRIM(C24),FIND(" ",TRIM(C24)&amp;" ")-1),",","."),FIND("/",SUBSTITUTE(LEFT(TRIM(C24),FIND(" ",TRIM(C24)&amp;" ")-1),",","."))-1)/MID(SUBSTITUTE(LEFT(TRIM(C24),FIND(" ",TRIM(C24)&amp;" ")-1),",","."),FIND("/",SUBSTITUTE(LEFT(TRIM(C24),FIND(" ",TRIM(C24)&amp;" ")-1),",","."))+1,9))*12,NA()))),0),12)*'Aturan &amp; Tarif'!$B$4,2)</f>
        <v>681.36</v>
      </c>
      <c r="K24" s="42" t="n">
        <f aca="false">'Aturan &amp; Tarif'!$B$5</f>
        <v>2050</v>
      </c>
      <c r="L24" s="35" t="n">
        <f aca="false">I24+J24+K24</f>
        <v>14431.36</v>
      </c>
      <c r="M24" s="45" t="s">
        <v>1853</v>
      </c>
    </row>
    <row r="25" customFormat="false" ht="14.25" hidden="false" customHeight="true" outlineLevel="0" collapsed="false">
      <c r="A25" s="39"/>
      <c r="B25" s="40" t="s">
        <v>1855</v>
      </c>
      <c r="C25" s="41" t="s">
        <v>130</v>
      </c>
      <c r="D25" s="41" t="s">
        <v>108</v>
      </c>
      <c r="E25" s="42" t="n">
        <v>5750</v>
      </c>
      <c r="F25" s="42"/>
      <c r="G25" s="42" t="n">
        <v>200</v>
      </c>
      <c r="H25" s="43" t="n">
        <v>2</v>
      </c>
      <c r="I25" s="34" t="n">
        <f aca="false">E25*H25+N(F25)+N(G25)</f>
        <v>11700</v>
      </c>
      <c r="J25" s="42" t="n">
        <f aca="false">ROUND(IFERROR(ROUND(IF(OR(ISNUMBER(SEARCH("week",C25)),ISNUMBER(SEARCH("minggu",C25))),IFERROR(_xlfn.NUMBERVALUE(SUBSTITUTE(LEFT(TRIM(C25),FIND(" ",TRIM(C25)&amp;" ")-1),",","."),"."),LEFT(SUBSTITUTE(LEFT(TRIM(C25),FIND(" ",TRIM(C25)&amp;" ")-1),",","."),FIND("/",SUBSTITUTE(LEFT(TRIM(C25),FIND(" ",TRIM(C25)&amp;" ")-1),",","."))-1)/MID(SUBSTITUTE(LEFT(TRIM(C25),FIND(" ",TRIM(C25)&amp;" ")-1),",","."),FIND("/",SUBSTITUTE(LEFT(TRIM(C25),FIND(" ",TRIM(C25)&amp;" ")-1),",","."))+1,9))*12/52,IF(ISNUMBER(SEARCH("month",C25)),IFERROR(_xlfn.NUMBERVALUE(SUBSTITUTE(LEFT(TRIM(C25),FIND(" ",TRIM(C25)&amp;" ")-1),",","."),"."),LEFT(SUBSTITUTE(LEFT(TRIM(C25),FIND(" ",TRIM(C25)&amp;" ")-1),",","."),FIND("/",SUBSTITUTE(LEFT(TRIM(C25),FIND(" ",TRIM(C25)&amp;" ")-1),",","."))-1)/MID(SUBSTITUTE(LEFT(TRIM(C25),FIND(" ",TRIM(C25)&amp;" ")-1),",","."),FIND("/",SUBSTITUTE(LEFT(TRIM(C25),FIND(" ",TRIM(C25)&amp;" ")-1),",","."))+1,9)),IF(ISNUMBER(SEARCH("yea",C25)),IFERROR(_xlfn.NUMBERVALUE(SUBSTITUTE(LEFT(TRIM(C25),FIND(" ",TRIM(C25)&amp;" ")-1),",","."),"."),LEFT(SUBSTITUTE(LEFT(TRIM(C25),FIND(" ",TRIM(C25)&amp;" ")-1),",","."),FIND("/",SUBSTITUTE(LEFT(TRIM(C25),FIND(" ",TRIM(C25)&amp;" ")-1),",","."))-1)/MID(SUBSTITUTE(LEFT(TRIM(C25),FIND(" ",TRIM(C25)&amp;" ")-1),",","."),FIND("/",SUBSTITUTE(LEFT(TRIM(C25),FIND(" ",TRIM(C25)&amp;" ")-1),",","."))+1,9))*12,NA()))),0),12)*'Aturan &amp; Tarif'!$B$4,2)</f>
        <v>681.36</v>
      </c>
      <c r="K25" s="42" t="n">
        <f aca="false">'Aturan &amp; Tarif'!$B$5</f>
        <v>2050</v>
      </c>
      <c r="L25" s="35" t="n">
        <f aca="false">I25+J25+K25</f>
        <v>14431.36</v>
      </c>
      <c r="M25" s="45" t="s">
        <v>1847</v>
      </c>
    </row>
    <row r="26" customFormat="false" ht="25.5" hidden="false" customHeight="true" outlineLevel="0" collapsed="false">
      <c r="A26" s="39"/>
      <c r="B26" s="40" t="s">
        <v>1856</v>
      </c>
      <c r="C26" s="41" t="s">
        <v>130</v>
      </c>
      <c r="D26" s="41" t="s">
        <v>108</v>
      </c>
      <c r="E26" s="42" t="n">
        <v>5750</v>
      </c>
      <c r="F26" s="42"/>
      <c r="G26" s="42" t="n">
        <v>200</v>
      </c>
      <c r="H26" s="43" t="n">
        <v>2</v>
      </c>
      <c r="I26" s="34" t="n">
        <f aca="false">E26*H26+N(F26)+N(G26)</f>
        <v>11700</v>
      </c>
      <c r="J26" s="42" t="n">
        <f aca="false">ROUND(IFERROR(ROUND(IF(OR(ISNUMBER(SEARCH("week",C26)),ISNUMBER(SEARCH("minggu",C26))),IFERROR(_xlfn.NUMBERVALUE(SUBSTITUTE(LEFT(TRIM(C26),FIND(" ",TRIM(C26)&amp;" ")-1),",","."),"."),LEFT(SUBSTITUTE(LEFT(TRIM(C26),FIND(" ",TRIM(C26)&amp;" ")-1),",","."),FIND("/",SUBSTITUTE(LEFT(TRIM(C26),FIND(" ",TRIM(C26)&amp;" ")-1),",","."))-1)/MID(SUBSTITUTE(LEFT(TRIM(C26),FIND(" ",TRIM(C26)&amp;" ")-1),",","."),FIND("/",SUBSTITUTE(LEFT(TRIM(C26),FIND(" ",TRIM(C26)&amp;" ")-1),",","."))+1,9))*12/52,IF(ISNUMBER(SEARCH("month",C26)),IFERROR(_xlfn.NUMBERVALUE(SUBSTITUTE(LEFT(TRIM(C26),FIND(" ",TRIM(C26)&amp;" ")-1),",","."),"."),LEFT(SUBSTITUTE(LEFT(TRIM(C26),FIND(" ",TRIM(C26)&amp;" ")-1),",","."),FIND("/",SUBSTITUTE(LEFT(TRIM(C26),FIND(" ",TRIM(C26)&amp;" ")-1),",","."))-1)/MID(SUBSTITUTE(LEFT(TRIM(C26),FIND(" ",TRIM(C26)&amp;" ")-1),",","."),FIND("/",SUBSTITUTE(LEFT(TRIM(C26),FIND(" ",TRIM(C26)&amp;" ")-1),",","."))+1,9)),IF(ISNUMBER(SEARCH("yea",C26)),IFERROR(_xlfn.NUMBERVALUE(SUBSTITUTE(LEFT(TRIM(C26),FIND(" ",TRIM(C26)&amp;" ")-1),",","."),"."),LEFT(SUBSTITUTE(LEFT(TRIM(C26),FIND(" ",TRIM(C26)&amp;" ")-1),",","."),FIND("/",SUBSTITUTE(LEFT(TRIM(C26),FIND(" ",TRIM(C26)&amp;" ")-1),",","."))-1)/MID(SUBSTITUTE(LEFT(TRIM(C26),FIND(" ",TRIM(C26)&amp;" ")-1),",","."),FIND("/",SUBSTITUTE(LEFT(TRIM(C26),FIND(" ",TRIM(C26)&amp;" ")-1),",","."))+1,9))*12,NA()))),0),12)*'Aturan &amp; Tarif'!$B$4,2)</f>
        <v>681.36</v>
      </c>
      <c r="K26" s="42" t="n">
        <f aca="false">'Aturan &amp; Tarif'!$B$5</f>
        <v>2050</v>
      </c>
      <c r="L26" s="35" t="n">
        <f aca="false">I26+J26+K26</f>
        <v>14431.36</v>
      </c>
      <c r="M26" s="45" t="s">
        <v>1853</v>
      </c>
    </row>
    <row r="27" customFormat="false" ht="25.5" hidden="false" customHeight="true" outlineLevel="0" collapsed="false">
      <c r="A27" s="39"/>
      <c r="B27" s="40" t="s">
        <v>1857</v>
      </c>
      <c r="C27" s="41" t="s">
        <v>130</v>
      </c>
      <c r="D27" s="41" t="s">
        <v>108</v>
      </c>
      <c r="E27" s="42" t="n">
        <v>5750</v>
      </c>
      <c r="F27" s="42"/>
      <c r="G27" s="42" t="n">
        <v>200</v>
      </c>
      <c r="H27" s="43" t="n">
        <v>2</v>
      </c>
      <c r="I27" s="34" t="n">
        <f aca="false">E27*H27+N(F27)+N(G27)</f>
        <v>11700</v>
      </c>
      <c r="J27" s="42" t="n">
        <f aca="false">ROUND(IFERROR(ROUND(IF(OR(ISNUMBER(SEARCH("week",C27)),ISNUMBER(SEARCH("minggu",C27))),IFERROR(_xlfn.NUMBERVALUE(SUBSTITUTE(LEFT(TRIM(C27),FIND(" ",TRIM(C27)&amp;" ")-1),",","."),"."),LEFT(SUBSTITUTE(LEFT(TRIM(C27),FIND(" ",TRIM(C27)&amp;" ")-1),",","."),FIND("/",SUBSTITUTE(LEFT(TRIM(C27),FIND(" ",TRIM(C27)&amp;" ")-1),",","."))-1)/MID(SUBSTITUTE(LEFT(TRIM(C27),FIND(" ",TRIM(C27)&amp;" ")-1),",","."),FIND("/",SUBSTITUTE(LEFT(TRIM(C27),FIND(" ",TRIM(C27)&amp;" ")-1),",","."))+1,9))*12/52,IF(ISNUMBER(SEARCH("month",C27)),IFERROR(_xlfn.NUMBERVALUE(SUBSTITUTE(LEFT(TRIM(C27),FIND(" ",TRIM(C27)&amp;" ")-1),",","."),"."),LEFT(SUBSTITUTE(LEFT(TRIM(C27),FIND(" ",TRIM(C27)&amp;" ")-1),",","."),FIND("/",SUBSTITUTE(LEFT(TRIM(C27),FIND(" ",TRIM(C27)&amp;" ")-1),",","."))-1)/MID(SUBSTITUTE(LEFT(TRIM(C27),FIND(" ",TRIM(C27)&amp;" ")-1),",","."),FIND("/",SUBSTITUTE(LEFT(TRIM(C27),FIND(" ",TRIM(C27)&amp;" ")-1),",","."))+1,9)),IF(ISNUMBER(SEARCH("yea",C27)),IFERROR(_xlfn.NUMBERVALUE(SUBSTITUTE(LEFT(TRIM(C27),FIND(" ",TRIM(C27)&amp;" ")-1),",","."),"."),LEFT(SUBSTITUTE(LEFT(TRIM(C27),FIND(" ",TRIM(C27)&amp;" ")-1),",","."),FIND("/",SUBSTITUTE(LEFT(TRIM(C27),FIND(" ",TRIM(C27)&amp;" ")-1),",","."))-1)/MID(SUBSTITUTE(LEFT(TRIM(C27),FIND(" ",TRIM(C27)&amp;" ")-1),",","."),FIND("/",SUBSTITUTE(LEFT(TRIM(C27),FIND(" ",TRIM(C27)&amp;" ")-1),",","."))+1,9))*12,NA()))),0),12)*'Aturan &amp; Tarif'!$B$4,2)</f>
        <v>681.36</v>
      </c>
      <c r="K27" s="42" t="n">
        <f aca="false">'Aturan &amp; Tarif'!$B$5</f>
        <v>2050</v>
      </c>
      <c r="L27" s="35" t="n">
        <f aca="false">I27+J27+K27</f>
        <v>14431.36</v>
      </c>
      <c r="M27" s="45" t="s">
        <v>1858</v>
      </c>
    </row>
    <row r="28" customFormat="false" ht="37.5" hidden="false" customHeight="true" outlineLevel="0" collapsed="false">
      <c r="A28" s="39"/>
      <c r="B28" s="40" t="s">
        <v>1859</v>
      </c>
      <c r="C28" s="41" t="s">
        <v>130</v>
      </c>
      <c r="D28" s="41" t="s">
        <v>108</v>
      </c>
      <c r="E28" s="42" t="n">
        <v>5750</v>
      </c>
      <c r="F28" s="42"/>
      <c r="G28" s="42" t="n">
        <v>200</v>
      </c>
      <c r="H28" s="43" t="n">
        <v>2</v>
      </c>
      <c r="I28" s="34" t="n">
        <f aca="false">E28*H28+N(F28)+N(G28)</f>
        <v>11700</v>
      </c>
      <c r="J28" s="42" t="n">
        <f aca="false">ROUND(IFERROR(ROUND(IF(OR(ISNUMBER(SEARCH("week",C28)),ISNUMBER(SEARCH("minggu",C28))),IFERROR(_xlfn.NUMBERVALUE(SUBSTITUTE(LEFT(TRIM(C28),FIND(" ",TRIM(C28)&amp;" ")-1),",","."),"."),LEFT(SUBSTITUTE(LEFT(TRIM(C28),FIND(" ",TRIM(C28)&amp;" ")-1),",","."),FIND("/",SUBSTITUTE(LEFT(TRIM(C28),FIND(" ",TRIM(C28)&amp;" ")-1),",","."))-1)/MID(SUBSTITUTE(LEFT(TRIM(C28),FIND(" ",TRIM(C28)&amp;" ")-1),",","."),FIND("/",SUBSTITUTE(LEFT(TRIM(C28),FIND(" ",TRIM(C28)&amp;" ")-1),",","."))+1,9))*12/52,IF(ISNUMBER(SEARCH("month",C28)),IFERROR(_xlfn.NUMBERVALUE(SUBSTITUTE(LEFT(TRIM(C28),FIND(" ",TRIM(C28)&amp;" ")-1),",","."),"."),LEFT(SUBSTITUTE(LEFT(TRIM(C28),FIND(" ",TRIM(C28)&amp;" ")-1),",","."),FIND("/",SUBSTITUTE(LEFT(TRIM(C28),FIND(" ",TRIM(C28)&amp;" ")-1),",","."))-1)/MID(SUBSTITUTE(LEFT(TRIM(C28),FIND(" ",TRIM(C28)&amp;" ")-1),",","."),FIND("/",SUBSTITUTE(LEFT(TRIM(C28),FIND(" ",TRIM(C28)&amp;" ")-1),",","."))+1,9)),IF(ISNUMBER(SEARCH("yea",C28)),IFERROR(_xlfn.NUMBERVALUE(SUBSTITUTE(LEFT(TRIM(C28),FIND(" ",TRIM(C28)&amp;" ")-1),",","."),"."),LEFT(SUBSTITUTE(LEFT(TRIM(C28),FIND(" ",TRIM(C28)&amp;" ")-1),",","."),FIND("/",SUBSTITUTE(LEFT(TRIM(C28),FIND(" ",TRIM(C28)&amp;" ")-1),",","."))-1)/MID(SUBSTITUTE(LEFT(TRIM(C28),FIND(" ",TRIM(C28)&amp;" ")-1),",","."),FIND("/",SUBSTITUTE(LEFT(TRIM(C28),FIND(" ",TRIM(C28)&amp;" ")-1),",","."))+1,9))*12,NA()))),0),12)*'Aturan &amp; Tarif'!$B$4,2)</f>
        <v>681.36</v>
      </c>
      <c r="K28" s="42" t="n">
        <f aca="false">'Aturan &amp; Tarif'!$B$5</f>
        <v>2050</v>
      </c>
      <c r="L28" s="35" t="n">
        <f aca="false">I28+J28+K28</f>
        <v>14431.36</v>
      </c>
      <c r="M28" s="45" t="s">
        <v>1860</v>
      </c>
    </row>
    <row r="29" customFormat="false" ht="14.25" hidden="false" customHeight="true" outlineLevel="0" collapsed="false">
      <c r="A29" s="29" t="s">
        <v>2778</v>
      </c>
      <c r="B29" s="30" t="s">
        <v>1276</v>
      </c>
      <c r="C29" s="31" t="s">
        <v>127</v>
      </c>
      <c r="D29" s="31" t="s">
        <v>108</v>
      </c>
      <c r="E29" s="32" t="n">
        <v>3250</v>
      </c>
      <c r="F29" s="32"/>
      <c r="G29" s="32" t="n">
        <v>250</v>
      </c>
      <c r="H29" s="33" t="n">
        <v>2</v>
      </c>
      <c r="I29" s="34" t="n">
        <f aca="false">E29*H29+N(F29)+N(G29)</f>
        <v>6750</v>
      </c>
      <c r="J29" s="32" t="n">
        <f aca="false">ROUND(IFERROR(ROUND(IF(OR(ISNUMBER(SEARCH("week",C29)),ISNUMBER(SEARCH("minggu",C29))),IFERROR(_xlfn.NUMBERVALUE(SUBSTITUTE(LEFT(TRIM(C29),FIND(" ",TRIM(C29)&amp;" ")-1),",","."),"."),LEFT(SUBSTITUTE(LEFT(TRIM(C29),FIND(" ",TRIM(C29)&amp;" ")-1),",","."),FIND("/",SUBSTITUTE(LEFT(TRIM(C29),FIND(" ",TRIM(C29)&amp;" ")-1),",","."))-1)/MID(SUBSTITUTE(LEFT(TRIM(C29),FIND(" ",TRIM(C29)&amp;" ")-1),",","."),FIND("/",SUBSTITUTE(LEFT(TRIM(C29),FIND(" ",TRIM(C29)&amp;" ")-1),",","."))+1,9))*12/52,IF(ISNUMBER(SEARCH("month",C29)),IFERROR(_xlfn.NUMBERVALUE(SUBSTITUTE(LEFT(TRIM(C29),FIND(" ",TRIM(C29)&amp;" ")-1),",","."),"."),LEFT(SUBSTITUTE(LEFT(TRIM(C29),FIND(" ",TRIM(C29)&amp;" ")-1),",","."),FIND("/",SUBSTITUTE(LEFT(TRIM(C29),FIND(" ",TRIM(C29)&amp;" ")-1),",","."))-1)/MID(SUBSTITUTE(LEFT(TRIM(C29),FIND(" ",TRIM(C29)&amp;" ")-1),",","."),FIND("/",SUBSTITUTE(LEFT(TRIM(C29),FIND(" ",TRIM(C29)&amp;" ")-1),",","."))+1,9)),IF(ISNUMBER(SEARCH("yea",C29)),IFERROR(_xlfn.NUMBERVALUE(SUBSTITUTE(LEFT(TRIM(C29),FIND(" ",TRIM(C29)&amp;" ")-1),",","."),"."),LEFT(SUBSTITUTE(LEFT(TRIM(C29),FIND(" ",TRIM(C29)&amp;" ")-1),",","."),FIND("/",SUBSTITUTE(LEFT(TRIM(C29),FIND(" ",TRIM(C29)&amp;" ")-1),",","."))-1)/MID(SUBSTITUTE(LEFT(TRIM(C29),FIND(" ",TRIM(C29)&amp;" ")-1),",","."),FIND("/",SUBSTITUTE(LEFT(TRIM(C29),FIND(" ",TRIM(C29)&amp;" ")-1),",","."))+1,9))*12,NA()))),0),36)*'Aturan &amp; Tarif'!$B$4,2)</f>
        <v>2044.08</v>
      </c>
      <c r="K29" s="32" t="n">
        <f aca="false">'Aturan &amp; Tarif'!$B$5</f>
        <v>2050</v>
      </c>
      <c r="L29" s="35" t="n">
        <f aca="false">I29+J29+K29</f>
        <v>10844.08</v>
      </c>
      <c r="M29" s="37" t="s">
        <v>3053</v>
      </c>
    </row>
    <row r="30" customFormat="false" ht="25.5" hidden="false" customHeight="true" outlineLevel="0" collapsed="false">
      <c r="A30" s="29"/>
      <c r="B30" s="30" t="s">
        <v>321</v>
      </c>
      <c r="C30" s="31" t="s">
        <v>127</v>
      </c>
      <c r="D30" s="31" t="s">
        <v>108</v>
      </c>
      <c r="E30" s="32" t="n">
        <v>3250</v>
      </c>
      <c r="F30" s="32"/>
      <c r="G30" s="32" t="n">
        <v>250</v>
      </c>
      <c r="H30" s="33" t="n">
        <v>2</v>
      </c>
      <c r="I30" s="34" t="n">
        <f aca="false">E30*H30+N(F30)+N(G30)</f>
        <v>6750</v>
      </c>
      <c r="J30" s="32" t="n">
        <f aca="false">ROUND(IFERROR(ROUND(IF(OR(ISNUMBER(SEARCH("week",C30)),ISNUMBER(SEARCH("minggu",C30))),IFERROR(_xlfn.NUMBERVALUE(SUBSTITUTE(LEFT(TRIM(C30),FIND(" ",TRIM(C30)&amp;" ")-1),",","."),"."),LEFT(SUBSTITUTE(LEFT(TRIM(C30),FIND(" ",TRIM(C30)&amp;" ")-1),",","."),FIND("/",SUBSTITUTE(LEFT(TRIM(C30),FIND(" ",TRIM(C30)&amp;" ")-1),",","."))-1)/MID(SUBSTITUTE(LEFT(TRIM(C30),FIND(" ",TRIM(C30)&amp;" ")-1),",","."),FIND("/",SUBSTITUTE(LEFT(TRIM(C30),FIND(" ",TRIM(C30)&amp;" ")-1),",","."))+1,9))*12/52,IF(ISNUMBER(SEARCH("month",C30)),IFERROR(_xlfn.NUMBERVALUE(SUBSTITUTE(LEFT(TRIM(C30),FIND(" ",TRIM(C30)&amp;" ")-1),",","."),"."),LEFT(SUBSTITUTE(LEFT(TRIM(C30),FIND(" ",TRIM(C30)&amp;" ")-1),",","."),FIND("/",SUBSTITUTE(LEFT(TRIM(C30),FIND(" ",TRIM(C30)&amp;" ")-1),",","."))-1)/MID(SUBSTITUTE(LEFT(TRIM(C30),FIND(" ",TRIM(C30)&amp;" ")-1),",","."),FIND("/",SUBSTITUTE(LEFT(TRIM(C30),FIND(" ",TRIM(C30)&amp;" ")-1),",","."))+1,9)),IF(ISNUMBER(SEARCH("yea",C30)),IFERROR(_xlfn.NUMBERVALUE(SUBSTITUTE(LEFT(TRIM(C30),FIND(" ",TRIM(C30)&amp;" ")-1),",","."),"."),LEFT(SUBSTITUTE(LEFT(TRIM(C30),FIND(" ",TRIM(C30)&amp;" ")-1),",","."),FIND("/",SUBSTITUTE(LEFT(TRIM(C30),FIND(" ",TRIM(C30)&amp;" ")-1),",","."))-1)/MID(SUBSTITUTE(LEFT(TRIM(C30),FIND(" ",TRIM(C30)&amp;" ")-1),",","."),FIND("/",SUBSTITUTE(LEFT(TRIM(C30),FIND(" ",TRIM(C30)&amp;" ")-1),",","."))+1,9))*12,NA()))),0),36)*'Aturan &amp; Tarif'!$B$4,2)</f>
        <v>2044.08</v>
      </c>
      <c r="K30" s="32" t="n">
        <f aca="false">'Aturan &amp; Tarif'!$B$5</f>
        <v>2050</v>
      </c>
      <c r="L30" s="35" t="n">
        <f aca="false">I30+J30+K30</f>
        <v>10844.08</v>
      </c>
      <c r="M30" s="37" t="s">
        <v>3053</v>
      </c>
    </row>
    <row r="31" customFormat="false" ht="14.25" hidden="false" customHeight="true" outlineLevel="0" collapsed="false">
      <c r="A31" s="29"/>
      <c r="B31" s="30" t="s">
        <v>3054</v>
      </c>
      <c r="C31" s="31" t="s">
        <v>127</v>
      </c>
      <c r="D31" s="31" t="s">
        <v>108</v>
      </c>
      <c r="E31" s="32" t="n">
        <v>3250</v>
      </c>
      <c r="F31" s="32"/>
      <c r="G31" s="32" t="n">
        <v>250</v>
      </c>
      <c r="H31" s="33" t="n">
        <v>2</v>
      </c>
      <c r="I31" s="34" t="n">
        <f aca="false">E31*H31+N(F31)+N(G31)</f>
        <v>6750</v>
      </c>
      <c r="J31" s="32" t="n">
        <f aca="false">ROUND(IFERROR(ROUND(IF(OR(ISNUMBER(SEARCH("week",C31)),ISNUMBER(SEARCH("minggu",C31))),IFERROR(_xlfn.NUMBERVALUE(SUBSTITUTE(LEFT(TRIM(C31),FIND(" ",TRIM(C31)&amp;" ")-1),",","."),"."),LEFT(SUBSTITUTE(LEFT(TRIM(C31),FIND(" ",TRIM(C31)&amp;" ")-1),",","."),FIND("/",SUBSTITUTE(LEFT(TRIM(C31),FIND(" ",TRIM(C31)&amp;" ")-1),",","."))-1)/MID(SUBSTITUTE(LEFT(TRIM(C31),FIND(" ",TRIM(C31)&amp;" ")-1),",","."),FIND("/",SUBSTITUTE(LEFT(TRIM(C31),FIND(" ",TRIM(C31)&amp;" ")-1),",","."))+1,9))*12/52,IF(ISNUMBER(SEARCH("month",C31)),IFERROR(_xlfn.NUMBERVALUE(SUBSTITUTE(LEFT(TRIM(C31),FIND(" ",TRIM(C31)&amp;" ")-1),",","."),"."),LEFT(SUBSTITUTE(LEFT(TRIM(C31),FIND(" ",TRIM(C31)&amp;" ")-1),",","."),FIND("/",SUBSTITUTE(LEFT(TRIM(C31),FIND(" ",TRIM(C31)&amp;" ")-1),",","."))-1)/MID(SUBSTITUTE(LEFT(TRIM(C31),FIND(" ",TRIM(C31)&amp;" ")-1),",","."),FIND("/",SUBSTITUTE(LEFT(TRIM(C31),FIND(" ",TRIM(C31)&amp;" ")-1),",","."))+1,9)),IF(ISNUMBER(SEARCH("yea",C31)),IFERROR(_xlfn.NUMBERVALUE(SUBSTITUTE(LEFT(TRIM(C31),FIND(" ",TRIM(C31)&amp;" ")-1),",","."),"."),LEFT(SUBSTITUTE(LEFT(TRIM(C31),FIND(" ",TRIM(C31)&amp;" ")-1),",","."),FIND("/",SUBSTITUTE(LEFT(TRIM(C31),FIND(" ",TRIM(C31)&amp;" ")-1),",","."))-1)/MID(SUBSTITUTE(LEFT(TRIM(C31),FIND(" ",TRIM(C31)&amp;" ")-1),",","."),FIND("/",SUBSTITUTE(LEFT(TRIM(C31),FIND(" ",TRIM(C31)&amp;" ")-1),",","."))+1,9))*12,NA()))),0),36)*'Aturan &amp; Tarif'!$B$4,2)</f>
        <v>2044.08</v>
      </c>
      <c r="K31" s="32" t="n">
        <f aca="false">'Aturan &amp; Tarif'!$B$5</f>
        <v>2050</v>
      </c>
      <c r="L31" s="35" t="n">
        <f aca="false">I31+J31+K31</f>
        <v>10844.08</v>
      </c>
      <c r="M31" s="37" t="s">
        <v>3053</v>
      </c>
    </row>
    <row r="32" customFormat="false" ht="25.5" hidden="false" customHeight="true" outlineLevel="0" collapsed="false">
      <c r="A32" s="29"/>
      <c r="B32" s="30" t="s">
        <v>3055</v>
      </c>
      <c r="C32" s="31" t="s">
        <v>127</v>
      </c>
      <c r="D32" s="31" t="s">
        <v>108</v>
      </c>
      <c r="E32" s="32" t="n">
        <v>3250</v>
      </c>
      <c r="F32" s="32"/>
      <c r="G32" s="32" t="n">
        <v>250</v>
      </c>
      <c r="H32" s="33" t="n">
        <v>2</v>
      </c>
      <c r="I32" s="34" t="n">
        <f aca="false">E32*H32+N(F32)+N(G32)</f>
        <v>6750</v>
      </c>
      <c r="J32" s="32" t="n">
        <f aca="false">ROUND(IFERROR(ROUND(IF(OR(ISNUMBER(SEARCH("week",C32)),ISNUMBER(SEARCH("minggu",C32))),IFERROR(_xlfn.NUMBERVALUE(SUBSTITUTE(LEFT(TRIM(C32),FIND(" ",TRIM(C32)&amp;" ")-1),",","."),"."),LEFT(SUBSTITUTE(LEFT(TRIM(C32),FIND(" ",TRIM(C32)&amp;" ")-1),",","."),FIND("/",SUBSTITUTE(LEFT(TRIM(C32),FIND(" ",TRIM(C32)&amp;" ")-1),",","."))-1)/MID(SUBSTITUTE(LEFT(TRIM(C32),FIND(" ",TRIM(C32)&amp;" ")-1),",","."),FIND("/",SUBSTITUTE(LEFT(TRIM(C32),FIND(" ",TRIM(C32)&amp;" ")-1),",","."))+1,9))*12/52,IF(ISNUMBER(SEARCH("month",C32)),IFERROR(_xlfn.NUMBERVALUE(SUBSTITUTE(LEFT(TRIM(C32),FIND(" ",TRIM(C32)&amp;" ")-1),",","."),"."),LEFT(SUBSTITUTE(LEFT(TRIM(C32),FIND(" ",TRIM(C32)&amp;" ")-1),",","."),FIND("/",SUBSTITUTE(LEFT(TRIM(C32),FIND(" ",TRIM(C32)&amp;" ")-1),",","."))-1)/MID(SUBSTITUTE(LEFT(TRIM(C32),FIND(" ",TRIM(C32)&amp;" ")-1),",","."),FIND("/",SUBSTITUTE(LEFT(TRIM(C32),FIND(" ",TRIM(C32)&amp;" ")-1),",","."))+1,9)),IF(ISNUMBER(SEARCH("yea",C32)),IFERROR(_xlfn.NUMBERVALUE(SUBSTITUTE(LEFT(TRIM(C32),FIND(" ",TRIM(C32)&amp;" ")-1),",","."),"."),LEFT(SUBSTITUTE(LEFT(TRIM(C32),FIND(" ",TRIM(C32)&amp;" ")-1),",","."),FIND("/",SUBSTITUTE(LEFT(TRIM(C32),FIND(" ",TRIM(C32)&amp;" ")-1),",","."))-1)/MID(SUBSTITUTE(LEFT(TRIM(C32),FIND(" ",TRIM(C32)&amp;" ")-1),",","."),FIND("/",SUBSTITUTE(LEFT(TRIM(C32),FIND(" ",TRIM(C32)&amp;" ")-1),",","."))+1,9))*12,NA()))),0),36)*'Aturan &amp; Tarif'!$B$4,2)</f>
        <v>2044.08</v>
      </c>
      <c r="K32" s="32" t="n">
        <f aca="false">'Aturan &amp; Tarif'!$B$5</f>
        <v>2050</v>
      </c>
      <c r="L32" s="35" t="n">
        <f aca="false">I32+J32+K32</f>
        <v>10844.08</v>
      </c>
      <c r="M32" s="37" t="s">
        <v>3053</v>
      </c>
    </row>
    <row r="33" customFormat="false" ht="25.5" hidden="false" customHeight="true" outlineLevel="0" collapsed="false">
      <c r="A33" s="29"/>
      <c r="B33" s="30" t="s">
        <v>3056</v>
      </c>
      <c r="C33" s="31" t="s">
        <v>127</v>
      </c>
      <c r="D33" s="31" t="s">
        <v>108</v>
      </c>
      <c r="E33" s="32" t="n">
        <v>3250</v>
      </c>
      <c r="F33" s="32"/>
      <c r="G33" s="32" t="n">
        <v>250</v>
      </c>
      <c r="H33" s="33" t="n">
        <v>2</v>
      </c>
      <c r="I33" s="34" t="n">
        <f aca="false">E33*H33+N(F33)+N(G33)</f>
        <v>6750</v>
      </c>
      <c r="J33" s="32" t="n">
        <f aca="false">ROUND(IFERROR(ROUND(IF(OR(ISNUMBER(SEARCH("week",C33)),ISNUMBER(SEARCH("minggu",C33))),IFERROR(_xlfn.NUMBERVALUE(SUBSTITUTE(LEFT(TRIM(C33),FIND(" ",TRIM(C33)&amp;" ")-1),",","."),"."),LEFT(SUBSTITUTE(LEFT(TRIM(C33),FIND(" ",TRIM(C33)&amp;" ")-1),",","."),FIND("/",SUBSTITUTE(LEFT(TRIM(C33),FIND(" ",TRIM(C33)&amp;" ")-1),",","."))-1)/MID(SUBSTITUTE(LEFT(TRIM(C33),FIND(" ",TRIM(C33)&amp;" ")-1),",","."),FIND("/",SUBSTITUTE(LEFT(TRIM(C33),FIND(" ",TRIM(C33)&amp;" ")-1),",","."))+1,9))*12/52,IF(ISNUMBER(SEARCH("month",C33)),IFERROR(_xlfn.NUMBERVALUE(SUBSTITUTE(LEFT(TRIM(C33),FIND(" ",TRIM(C33)&amp;" ")-1),",","."),"."),LEFT(SUBSTITUTE(LEFT(TRIM(C33),FIND(" ",TRIM(C33)&amp;" ")-1),",","."),FIND("/",SUBSTITUTE(LEFT(TRIM(C33),FIND(" ",TRIM(C33)&amp;" ")-1),",","."))-1)/MID(SUBSTITUTE(LEFT(TRIM(C33),FIND(" ",TRIM(C33)&amp;" ")-1),",","."),FIND("/",SUBSTITUTE(LEFT(TRIM(C33),FIND(" ",TRIM(C33)&amp;" ")-1),",","."))+1,9)),IF(ISNUMBER(SEARCH("yea",C33)),IFERROR(_xlfn.NUMBERVALUE(SUBSTITUTE(LEFT(TRIM(C33),FIND(" ",TRIM(C33)&amp;" ")-1),",","."),"."),LEFT(SUBSTITUTE(LEFT(TRIM(C33),FIND(" ",TRIM(C33)&amp;" ")-1),",","."),FIND("/",SUBSTITUTE(LEFT(TRIM(C33),FIND(" ",TRIM(C33)&amp;" ")-1),",","."))-1)/MID(SUBSTITUTE(LEFT(TRIM(C33),FIND(" ",TRIM(C33)&amp;" ")-1),",","."),FIND("/",SUBSTITUTE(LEFT(TRIM(C33),FIND(" ",TRIM(C33)&amp;" ")-1),",","."))+1,9))*12,NA()))),0),36)*'Aturan &amp; Tarif'!$B$4,2)</f>
        <v>2044.08</v>
      </c>
      <c r="K33" s="32" t="n">
        <f aca="false">'Aturan &amp; Tarif'!$B$5</f>
        <v>2050</v>
      </c>
      <c r="L33" s="35" t="n">
        <f aca="false">I33+J33+K33</f>
        <v>10844.08</v>
      </c>
      <c r="M33" s="37" t="s">
        <v>3053</v>
      </c>
    </row>
    <row r="34" customFormat="false" ht="37.5" hidden="false" customHeight="true" outlineLevel="0" collapsed="false">
      <c r="A34" s="29"/>
      <c r="B34" s="30" t="s">
        <v>640</v>
      </c>
      <c r="C34" s="31" t="s">
        <v>107</v>
      </c>
      <c r="D34" s="31" t="s">
        <v>108</v>
      </c>
      <c r="E34" s="32" t="n">
        <v>4050</v>
      </c>
      <c r="F34" s="32"/>
      <c r="G34" s="32" t="n">
        <v>250</v>
      </c>
      <c r="H34" s="33" t="n">
        <v>2</v>
      </c>
      <c r="I34" s="34" t="n">
        <f aca="false">E34*H34+N(F34)+N(G34)</f>
        <v>8350</v>
      </c>
      <c r="J34" s="32" t="n">
        <f aca="false">ROUND(IFERROR(ROUND(IF(OR(ISNUMBER(SEARCH("week",C34)),ISNUMBER(SEARCH("minggu",C34))),IFERROR(_xlfn.NUMBERVALUE(SUBSTITUTE(LEFT(TRIM(C34),FIND(" ",TRIM(C34)&amp;" ")-1),",","."),"."),LEFT(SUBSTITUTE(LEFT(TRIM(C34),FIND(" ",TRIM(C34)&amp;" ")-1),",","."),FIND("/",SUBSTITUTE(LEFT(TRIM(C34),FIND(" ",TRIM(C34)&amp;" ")-1),",","."))-1)/MID(SUBSTITUTE(LEFT(TRIM(C34),FIND(" ",TRIM(C34)&amp;" ")-1),",","."),FIND("/",SUBSTITUTE(LEFT(TRIM(C34),FIND(" ",TRIM(C34)&amp;" ")-1),",","."))+1,9))*12/52,IF(ISNUMBER(SEARCH("month",C34)),IFERROR(_xlfn.NUMBERVALUE(SUBSTITUTE(LEFT(TRIM(C34),FIND(" ",TRIM(C34)&amp;" ")-1),",","."),"."),LEFT(SUBSTITUTE(LEFT(TRIM(C34),FIND(" ",TRIM(C34)&amp;" ")-1),",","."),FIND("/",SUBSTITUTE(LEFT(TRIM(C34),FIND(" ",TRIM(C34)&amp;" ")-1),",","."))-1)/MID(SUBSTITUTE(LEFT(TRIM(C34),FIND(" ",TRIM(C34)&amp;" ")-1),",","."),FIND("/",SUBSTITUTE(LEFT(TRIM(C34),FIND(" ",TRIM(C34)&amp;" ")-1),",","."))+1,9)),IF(ISNUMBER(SEARCH("yea",C34)),IFERROR(_xlfn.NUMBERVALUE(SUBSTITUTE(LEFT(TRIM(C34),FIND(" ",TRIM(C34)&amp;" ")-1),",","."),"."),LEFT(SUBSTITUTE(LEFT(TRIM(C34),FIND(" ",TRIM(C34)&amp;" ")-1),",","."),FIND("/",SUBSTITUTE(LEFT(TRIM(C34),FIND(" ",TRIM(C34)&amp;" ")-1),",","."))-1)/MID(SUBSTITUTE(LEFT(TRIM(C34),FIND(" ",TRIM(C34)&amp;" ")-1),",","."),FIND("/",SUBSTITUTE(LEFT(TRIM(C34),FIND(" ",TRIM(C34)&amp;" ")-1),",","."))+1,9))*12,NA()))),0),24)*'Aturan &amp; Tarif'!$B$4,2)</f>
        <v>1362.72</v>
      </c>
      <c r="K34" s="32" t="n">
        <f aca="false">'Aturan &amp; Tarif'!$B$5</f>
        <v>2050</v>
      </c>
      <c r="L34" s="35" t="n">
        <f aca="false">I34+J34+K34</f>
        <v>11762.72</v>
      </c>
      <c r="M34" s="37" t="s">
        <v>3053</v>
      </c>
    </row>
    <row r="35" customFormat="false" ht="37.5" hidden="false" customHeight="true" outlineLevel="0" collapsed="false">
      <c r="A35" s="29"/>
      <c r="B35" s="30" t="s">
        <v>642</v>
      </c>
      <c r="C35" s="31" t="s">
        <v>107</v>
      </c>
      <c r="D35" s="31" t="s">
        <v>108</v>
      </c>
      <c r="E35" s="32" t="n">
        <v>4050</v>
      </c>
      <c r="F35" s="32"/>
      <c r="G35" s="32" t="n">
        <v>250</v>
      </c>
      <c r="H35" s="33" t="n">
        <v>2</v>
      </c>
      <c r="I35" s="34" t="n">
        <f aca="false">E35*H35+N(F35)+N(G35)</f>
        <v>8350</v>
      </c>
      <c r="J35" s="32" t="n">
        <f aca="false">ROUND(IFERROR(ROUND(IF(OR(ISNUMBER(SEARCH("week",C35)),ISNUMBER(SEARCH("minggu",C35))),IFERROR(_xlfn.NUMBERVALUE(SUBSTITUTE(LEFT(TRIM(C35),FIND(" ",TRIM(C35)&amp;" ")-1),",","."),"."),LEFT(SUBSTITUTE(LEFT(TRIM(C35),FIND(" ",TRIM(C35)&amp;" ")-1),",","."),FIND("/",SUBSTITUTE(LEFT(TRIM(C35),FIND(" ",TRIM(C35)&amp;" ")-1),",","."))-1)/MID(SUBSTITUTE(LEFT(TRIM(C35),FIND(" ",TRIM(C35)&amp;" ")-1),",","."),FIND("/",SUBSTITUTE(LEFT(TRIM(C35),FIND(" ",TRIM(C35)&amp;" ")-1),",","."))+1,9))*12/52,IF(ISNUMBER(SEARCH("month",C35)),IFERROR(_xlfn.NUMBERVALUE(SUBSTITUTE(LEFT(TRIM(C35),FIND(" ",TRIM(C35)&amp;" ")-1),",","."),"."),LEFT(SUBSTITUTE(LEFT(TRIM(C35),FIND(" ",TRIM(C35)&amp;" ")-1),",","."),FIND("/",SUBSTITUTE(LEFT(TRIM(C35),FIND(" ",TRIM(C35)&amp;" ")-1),",","."))-1)/MID(SUBSTITUTE(LEFT(TRIM(C35),FIND(" ",TRIM(C35)&amp;" ")-1),",","."),FIND("/",SUBSTITUTE(LEFT(TRIM(C35),FIND(" ",TRIM(C35)&amp;" ")-1),",","."))+1,9)),IF(ISNUMBER(SEARCH("yea",C35)),IFERROR(_xlfn.NUMBERVALUE(SUBSTITUTE(LEFT(TRIM(C35),FIND(" ",TRIM(C35)&amp;" ")-1),",","."),"."),LEFT(SUBSTITUTE(LEFT(TRIM(C35),FIND(" ",TRIM(C35)&amp;" ")-1),",","."),FIND("/",SUBSTITUTE(LEFT(TRIM(C35),FIND(" ",TRIM(C35)&amp;" ")-1),",","."))-1)/MID(SUBSTITUTE(LEFT(TRIM(C35),FIND(" ",TRIM(C35)&amp;" ")-1),",","."),FIND("/",SUBSTITUTE(LEFT(TRIM(C35),FIND(" ",TRIM(C35)&amp;" ")-1),",","."))+1,9))*12,NA()))),0),24)*'Aturan &amp; Tarif'!$B$4,2)</f>
        <v>1362.72</v>
      </c>
      <c r="K35" s="32" t="n">
        <f aca="false">'Aturan &amp; Tarif'!$B$5</f>
        <v>2050</v>
      </c>
      <c r="L35" s="35" t="n">
        <f aca="false">I35+J35+K35</f>
        <v>11762.72</v>
      </c>
      <c r="M35" s="37" t="s">
        <v>3053</v>
      </c>
    </row>
    <row r="36" customFormat="false" ht="37.5" hidden="false" customHeight="true" outlineLevel="0" collapsed="false">
      <c r="A36" s="29"/>
      <c r="B36" s="30" t="s">
        <v>643</v>
      </c>
      <c r="C36" s="31" t="s">
        <v>107</v>
      </c>
      <c r="D36" s="31" t="s">
        <v>108</v>
      </c>
      <c r="E36" s="32" t="n">
        <v>4050</v>
      </c>
      <c r="F36" s="32"/>
      <c r="G36" s="32" t="n">
        <v>250</v>
      </c>
      <c r="H36" s="33" t="n">
        <v>2</v>
      </c>
      <c r="I36" s="34" t="n">
        <f aca="false">E36*H36+N(F36)+N(G36)</f>
        <v>8350</v>
      </c>
      <c r="J36" s="32" t="n">
        <f aca="false">ROUND(IFERROR(ROUND(IF(OR(ISNUMBER(SEARCH("week",C36)),ISNUMBER(SEARCH("minggu",C36))),IFERROR(_xlfn.NUMBERVALUE(SUBSTITUTE(LEFT(TRIM(C36),FIND(" ",TRIM(C36)&amp;" ")-1),",","."),"."),LEFT(SUBSTITUTE(LEFT(TRIM(C36),FIND(" ",TRIM(C36)&amp;" ")-1),",","."),FIND("/",SUBSTITUTE(LEFT(TRIM(C36),FIND(" ",TRIM(C36)&amp;" ")-1),",","."))-1)/MID(SUBSTITUTE(LEFT(TRIM(C36),FIND(" ",TRIM(C36)&amp;" ")-1),",","."),FIND("/",SUBSTITUTE(LEFT(TRIM(C36),FIND(" ",TRIM(C36)&amp;" ")-1),",","."))+1,9))*12/52,IF(ISNUMBER(SEARCH("month",C36)),IFERROR(_xlfn.NUMBERVALUE(SUBSTITUTE(LEFT(TRIM(C36),FIND(" ",TRIM(C36)&amp;" ")-1),",","."),"."),LEFT(SUBSTITUTE(LEFT(TRIM(C36),FIND(" ",TRIM(C36)&amp;" ")-1),",","."),FIND("/",SUBSTITUTE(LEFT(TRIM(C36),FIND(" ",TRIM(C36)&amp;" ")-1),",","."))-1)/MID(SUBSTITUTE(LEFT(TRIM(C36),FIND(" ",TRIM(C36)&amp;" ")-1),",","."),FIND("/",SUBSTITUTE(LEFT(TRIM(C36),FIND(" ",TRIM(C36)&amp;" ")-1),",","."))+1,9)),IF(ISNUMBER(SEARCH("yea",C36)),IFERROR(_xlfn.NUMBERVALUE(SUBSTITUTE(LEFT(TRIM(C36),FIND(" ",TRIM(C36)&amp;" ")-1),",","."),"."),LEFT(SUBSTITUTE(LEFT(TRIM(C36),FIND(" ",TRIM(C36)&amp;" ")-1),",","."),FIND("/",SUBSTITUTE(LEFT(TRIM(C36),FIND(" ",TRIM(C36)&amp;" ")-1),",","."))-1)/MID(SUBSTITUTE(LEFT(TRIM(C36),FIND(" ",TRIM(C36)&amp;" ")-1),",","."),FIND("/",SUBSTITUTE(LEFT(TRIM(C36),FIND(" ",TRIM(C36)&amp;" ")-1),",","."))+1,9))*12,NA()))),0),24)*'Aturan &amp; Tarif'!$B$4,2)</f>
        <v>1362.72</v>
      </c>
      <c r="K36" s="32" t="n">
        <f aca="false">'Aturan &amp; Tarif'!$B$5</f>
        <v>2050</v>
      </c>
      <c r="L36" s="35" t="n">
        <f aca="false">I36+J36+K36</f>
        <v>11762.72</v>
      </c>
      <c r="M36" s="37" t="s">
        <v>3053</v>
      </c>
    </row>
    <row r="37" customFormat="false" ht="37.5" hidden="false" customHeight="true" outlineLevel="0" collapsed="false">
      <c r="A37" s="29"/>
      <c r="B37" s="30" t="s">
        <v>644</v>
      </c>
      <c r="C37" s="31" t="s">
        <v>107</v>
      </c>
      <c r="D37" s="31" t="s">
        <v>108</v>
      </c>
      <c r="E37" s="32" t="n">
        <v>4050</v>
      </c>
      <c r="F37" s="32"/>
      <c r="G37" s="32" t="n">
        <v>250</v>
      </c>
      <c r="H37" s="33" t="n">
        <v>2</v>
      </c>
      <c r="I37" s="34" t="n">
        <f aca="false">E37*H37+N(F37)+N(G37)</f>
        <v>8350</v>
      </c>
      <c r="J37" s="32" t="n">
        <f aca="false">ROUND(IFERROR(ROUND(IF(OR(ISNUMBER(SEARCH("week",C37)),ISNUMBER(SEARCH("minggu",C37))),IFERROR(_xlfn.NUMBERVALUE(SUBSTITUTE(LEFT(TRIM(C37),FIND(" ",TRIM(C37)&amp;" ")-1),",","."),"."),LEFT(SUBSTITUTE(LEFT(TRIM(C37),FIND(" ",TRIM(C37)&amp;" ")-1),",","."),FIND("/",SUBSTITUTE(LEFT(TRIM(C37),FIND(" ",TRIM(C37)&amp;" ")-1),",","."))-1)/MID(SUBSTITUTE(LEFT(TRIM(C37),FIND(" ",TRIM(C37)&amp;" ")-1),",","."),FIND("/",SUBSTITUTE(LEFT(TRIM(C37),FIND(" ",TRIM(C37)&amp;" ")-1),",","."))+1,9))*12/52,IF(ISNUMBER(SEARCH("month",C37)),IFERROR(_xlfn.NUMBERVALUE(SUBSTITUTE(LEFT(TRIM(C37),FIND(" ",TRIM(C37)&amp;" ")-1),",","."),"."),LEFT(SUBSTITUTE(LEFT(TRIM(C37),FIND(" ",TRIM(C37)&amp;" ")-1),",","."),FIND("/",SUBSTITUTE(LEFT(TRIM(C37),FIND(" ",TRIM(C37)&amp;" ")-1),",","."))-1)/MID(SUBSTITUTE(LEFT(TRIM(C37),FIND(" ",TRIM(C37)&amp;" ")-1),",","."),FIND("/",SUBSTITUTE(LEFT(TRIM(C37),FIND(" ",TRIM(C37)&amp;" ")-1),",","."))+1,9)),IF(ISNUMBER(SEARCH("yea",C37)),IFERROR(_xlfn.NUMBERVALUE(SUBSTITUTE(LEFT(TRIM(C37),FIND(" ",TRIM(C37)&amp;" ")-1),",","."),"."),LEFT(SUBSTITUTE(LEFT(TRIM(C37),FIND(" ",TRIM(C37)&amp;" ")-1),",","."),FIND("/",SUBSTITUTE(LEFT(TRIM(C37),FIND(" ",TRIM(C37)&amp;" ")-1),",","."))-1)/MID(SUBSTITUTE(LEFT(TRIM(C37),FIND(" ",TRIM(C37)&amp;" ")-1),",","."),FIND("/",SUBSTITUTE(LEFT(TRIM(C37),FIND(" ",TRIM(C37)&amp;" ")-1),",","."))+1,9))*12,NA()))),0),24)*'Aturan &amp; Tarif'!$B$4,2)</f>
        <v>1362.72</v>
      </c>
      <c r="K37" s="32" t="n">
        <f aca="false">'Aturan &amp; Tarif'!$B$5</f>
        <v>2050</v>
      </c>
      <c r="L37" s="35" t="n">
        <f aca="false">I37+J37+K37</f>
        <v>11762.72</v>
      </c>
      <c r="M37" s="37" t="s">
        <v>3053</v>
      </c>
    </row>
    <row r="38" customFormat="false" ht="14.25" hidden="false" customHeight="true" outlineLevel="0" collapsed="false">
      <c r="A38" s="29"/>
      <c r="B38" s="30" t="s">
        <v>645</v>
      </c>
      <c r="C38" s="31" t="s">
        <v>107</v>
      </c>
      <c r="D38" s="31" t="s">
        <v>108</v>
      </c>
      <c r="E38" s="32" t="n">
        <v>4050</v>
      </c>
      <c r="F38" s="32"/>
      <c r="G38" s="32" t="n">
        <v>250</v>
      </c>
      <c r="H38" s="33" t="n">
        <v>2</v>
      </c>
      <c r="I38" s="34" t="n">
        <f aca="false">E38*H38+N(F38)+N(G38)</f>
        <v>8350</v>
      </c>
      <c r="J38" s="32" t="n">
        <f aca="false">ROUND(IFERROR(ROUND(IF(OR(ISNUMBER(SEARCH("week",C38)),ISNUMBER(SEARCH("minggu",C38))),IFERROR(_xlfn.NUMBERVALUE(SUBSTITUTE(LEFT(TRIM(C38),FIND(" ",TRIM(C38)&amp;" ")-1),",","."),"."),LEFT(SUBSTITUTE(LEFT(TRIM(C38),FIND(" ",TRIM(C38)&amp;" ")-1),",","."),FIND("/",SUBSTITUTE(LEFT(TRIM(C38),FIND(" ",TRIM(C38)&amp;" ")-1),",","."))-1)/MID(SUBSTITUTE(LEFT(TRIM(C38),FIND(" ",TRIM(C38)&amp;" ")-1),",","."),FIND("/",SUBSTITUTE(LEFT(TRIM(C38),FIND(" ",TRIM(C38)&amp;" ")-1),",","."))+1,9))*12/52,IF(ISNUMBER(SEARCH("month",C38)),IFERROR(_xlfn.NUMBERVALUE(SUBSTITUTE(LEFT(TRIM(C38),FIND(" ",TRIM(C38)&amp;" ")-1),",","."),"."),LEFT(SUBSTITUTE(LEFT(TRIM(C38),FIND(" ",TRIM(C38)&amp;" ")-1),",","."),FIND("/",SUBSTITUTE(LEFT(TRIM(C38),FIND(" ",TRIM(C38)&amp;" ")-1),",","."))-1)/MID(SUBSTITUTE(LEFT(TRIM(C38),FIND(" ",TRIM(C38)&amp;" ")-1),",","."),FIND("/",SUBSTITUTE(LEFT(TRIM(C38),FIND(" ",TRIM(C38)&amp;" ")-1),",","."))+1,9)),IF(ISNUMBER(SEARCH("yea",C38)),IFERROR(_xlfn.NUMBERVALUE(SUBSTITUTE(LEFT(TRIM(C38),FIND(" ",TRIM(C38)&amp;" ")-1),",","."),"."),LEFT(SUBSTITUTE(LEFT(TRIM(C38),FIND(" ",TRIM(C38)&amp;" ")-1),",","."),FIND("/",SUBSTITUTE(LEFT(TRIM(C38),FIND(" ",TRIM(C38)&amp;" ")-1),",","."))-1)/MID(SUBSTITUTE(LEFT(TRIM(C38),FIND(" ",TRIM(C38)&amp;" ")-1),",","."),FIND("/",SUBSTITUTE(LEFT(TRIM(C38),FIND(" ",TRIM(C38)&amp;" ")-1),",","."))+1,9))*12,NA()))),0),24)*'Aturan &amp; Tarif'!$B$4,2)</f>
        <v>1362.72</v>
      </c>
      <c r="K38" s="32" t="n">
        <f aca="false">'Aturan &amp; Tarif'!$B$5</f>
        <v>2050</v>
      </c>
      <c r="L38" s="35" t="n">
        <f aca="false">I38+J38+K38</f>
        <v>11762.72</v>
      </c>
      <c r="M38" s="37" t="s">
        <v>3053</v>
      </c>
    </row>
    <row r="39" customFormat="false" ht="14.25" hidden="false" customHeight="true" outlineLevel="0" collapsed="false">
      <c r="A39" s="29"/>
      <c r="B39" s="30" t="s">
        <v>646</v>
      </c>
      <c r="C39" s="31" t="s">
        <v>130</v>
      </c>
      <c r="D39" s="31" t="s">
        <v>108</v>
      </c>
      <c r="E39" s="32" t="n">
        <v>4050</v>
      </c>
      <c r="F39" s="32"/>
      <c r="G39" s="32" t="n">
        <v>250</v>
      </c>
      <c r="H39" s="33" t="n">
        <v>2</v>
      </c>
      <c r="I39" s="34" t="n">
        <f aca="false">E39*H39+N(F39)+N(G39)</f>
        <v>8350</v>
      </c>
      <c r="J39" s="32" t="n">
        <f aca="false">ROUND(IFERROR(ROUND(IF(OR(ISNUMBER(SEARCH("week",C39)),ISNUMBER(SEARCH("minggu",C39))),IFERROR(_xlfn.NUMBERVALUE(SUBSTITUTE(LEFT(TRIM(C39),FIND(" ",TRIM(C39)&amp;" ")-1),",","."),"."),LEFT(SUBSTITUTE(LEFT(TRIM(C39),FIND(" ",TRIM(C39)&amp;" ")-1),",","."),FIND("/",SUBSTITUTE(LEFT(TRIM(C39),FIND(" ",TRIM(C39)&amp;" ")-1),",","."))-1)/MID(SUBSTITUTE(LEFT(TRIM(C39),FIND(" ",TRIM(C39)&amp;" ")-1),",","."),FIND("/",SUBSTITUTE(LEFT(TRIM(C39),FIND(" ",TRIM(C39)&amp;" ")-1),",","."))+1,9))*12/52,IF(ISNUMBER(SEARCH("month",C39)),IFERROR(_xlfn.NUMBERVALUE(SUBSTITUTE(LEFT(TRIM(C39),FIND(" ",TRIM(C39)&amp;" ")-1),",","."),"."),LEFT(SUBSTITUTE(LEFT(TRIM(C39),FIND(" ",TRIM(C39)&amp;" ")-1),",","."),FIND("/",SUBSTITUTE(LEFT(TRIM(C39),FIND(" ",TRIM(C39)&amp;" ")-1),",","."))-1)/MID(SUBSTITUTE(LEFT(TRIM(C39),FIND(" ",TRIM(C39)&amp;" ")-1),",","."),FIND("/",SUBSTITUTE(LEFT(TRIM(C39),FIND(" ",TRIM(C39)&amp;" ")-1),",","."))+1,9)),IF(ISNUMBER(SEARCH("yea",C39)),IFERROR(_xlfn.NUMBERVALUE(SUBSTITUTE(LEFT(TRIM(C39),FIND(" ",TRIM(C39)&amp;" ")-1),",","."),"."),LEFT(SUBSTITUTE(LEFT(TRIM(C39),FIND(" ",TRIM(C39)&amp;" ")-1),",","."),FIND("/",SUBSTITUTE(LEFT(TRIM(C39),FIND(" ",TRIM(C39)&amp;" ")-1),",","."))-1)/MID(SUBSTITUTE(LEFT(TRIM(C39),FIND(" ",TRIM(C39)&amp;" ")-1),",","."),FIND("/",SUBSTITUTE(LEFT(TRIM(C39),FIND(" ",TRIM(C39)&amp;" ")-1),",","."))+1,9))*12,NA()))),0),12)*'Aturan &amp; Tarif'!$B$4,2)</f>
        <v>681.36</v>
      </c>
      <c r="K39" s="32" t="n">
        <f aca="false">'Aturan &amp; Tarif'!$B$5</f>
        <v>2050</v>
      </c>
      <c r="L39" s="35" t="n">
        <f aca="false">I39+J39+K39</f>
        <v>11081.36</v>
      </c>
      <c r="M39" s="37" t="s">
        <v>3053</v>
      </c>
    </row>
    <row r="40" customFormat="false" ht="25.5" hidden="false" customHeight="true" outlineLevel="0" collapsed="false">
      <c r="A40" s="29"/>
      <c r="B40" s="30" t="s">
        <v>647</v>
      </c>
      <c r="C40" s="31" t="s">
        <v>648</v>
      </c>
      <c r="D40" s="31" t="s">
        <v>108</v>
      </c>
      <c r="E40" s="32" t="n">
        <v>2700</v>
      </c>
      <c r="F40" s="32"/>
      <c r="G40" s="32" t="n">
        <v>250</v>
      </c>
      <c r="H40" s="33" t="n">
        <v>2</v>
      </c>
      <c r="I40" s="34" t="n">
        <f aca="false">E40*H40+N(F40)+N(G40)</f>
        <v>5650</v>
      </c>
      <c r="J40" s="32" t="n">
        <f aca="false">ROUND(IFERROR(ROUND(IF(OR(ISNUMBER(SEARCH("week",C40)),ISNUMBER(SEARCH("minggu",C40))),IFERROR(_xlfn.NUMBERVALUE(SUBSTITUTE(LEFT(TRIM(C40),FIND(" ",TRIM(C40)&amp;" ")-1),",","."),"."),LEFT(SUBSTITUTE(LEFT(TRIM(C40),FIND(" ",TRIM(C40)&amp;" ")-1),",","."),FIND("/",SUBSTITUTE(LEFT(TRIM(C40),FIND(" ",TRIM(C40)&amp;" ")-1),",","."))-1)/MID(SUBSTITUTE(LEFT(TRIM(C40),FIND(" ",TRIM(C40)&amp;" ")-1),",","."),FIND("/",SUBSTITUTE(LEFT(TRIM(C40),FIND(" ",TRIM(C40)&amp;" ")-1),",","."))+1,9))*12/52,IF(ISNUMBER(SEARCH("month",C40)),IFERROR(_xlfn.NUMBERVALUE(SUBSTITUTE(LEFT(TRIM(C40),FIND(" ",TRIM(C40)&amp;" ")-1),",","."),"."),LEFT(SUBSTITUTE(LEFT(TRIM(C40),FIND(" ",TRIM(C40)&amp;" ")-1),",","."),FIND("/",SUBSTITUTE(LEFT(TRIM(C40),FIND(" ",TRIM(C40)&amp;" ")-1),",","."))-1)/MID(SUBSTITUTE(LEFT(TRIM(C40),FIND(" ",TRIM(C40)&amp;" ")-1),",","."),FIND("/",SUBSTITUTE(LEFT(TRIM(C40),FIND(" ",TRIM(C40)&amp;" ")-1),",","."))+1,9)),IF(ISNUMBER(SEARCH("yea",C40)),IFERROR(_xlfn.NUMBERVALUE(SUBSTITUTE(LEFT(TRIM(C40),FIND(" ",TRIM(C40)&amp;" ")-1),",","."),"."),LEFT(SUBSTITUTE(LEFT(TRIM(C40),FIND(" ",TRIM(C40)&amp;" ")-1),",","."),FIND("/",SUBSTITUTE(LEFT(TRIM(C40),FIND(" ",TRIM(C40)&amp;" ")-1),",","."))-1)/MID(SUBSTITUTE(LEFT(TRIM(C40),FIND(" ",TRIM(C40)&amp;" ")-1),",","."),FIND("/",SUBSTITUTE(LEFT(TRIM(C40),FIND(" ",TRIM(C40)&amp;" ")-1),",","."))+1,9))*12,NA()))),0),8)*'Aturan &amp; Tarif'!$B$4,2)</f>
        <v>454.24</v>
      </c>
      <c r="K40" s="32" t="n">
        <f aca="false">'Aturan &amp; Tarif'!$B$5</f>
        <v>2050</v>
      </c>
      <c r="L40" s="35" t="n">
        <f aca="false">I40+J40+K40</f>
        <v>8154.24</v>
      </c>
      <c r="M40" s="37" t="s">
        <v>3053</v>
      </c>
    </row>
    <row r="41" customFormat="false" ht="25.5" hidden="false" customHeight="true" outlineLevel="0" collapsed="false">
      <c r="A41" s="29"/>
      <c r="B41" s="30" t="s">
        <v>649</v>
      </c>
      <c r="C41" s="31" t="s">
        <v>130</v>
      </c>
      <c r="D41" s="31" t="s">
        <v>108</v>
      </c>
      <c r="E41" s="32" t="n">
        <v>4050</v>
      </c>
      <c r="F41" s="32"/>
      <c r="G41" s="32" t="n">
        <v>250</v>
      </c>
      <c r="H41" s="33" t="n">
        <v>2</v>
      </c>
      <c r="I41" s="34" t="n">
        <f aca="false">E41*H41+N(F41)+N(G41)</f>
        <v>8350</v>
      </c>
      <c r="J41" s="32" t="n">
        <f aca="false">ROUND(IFERROR(ROUND(IF(OR(ISNUMBER(SEARCH("week",C41)),ISNUMBER(SEARCH("minggu",C41))),IFERROR(_xlfn.NUMBERVALUE(SUBSTITUTE(LEFT(TRIM(C41),FIND(" ",TRIM(C41)&amp;" ")-1),",","."),"."),LEFT(SUBSTITUTE(LEFT(TRIM(C41),FIND(" ",TRIM(C41)&amp;" ")-1),",","."),FIND("/",SUBSTITUTE(LEFT(TRIM(C41),FIND(" ",TRIM(C41)&amp;" ")-1),",","."))-1)/MID(SUBSTITUTE(LEFT(TRIM(C41),FIND(" ",TRIM(C41)&amp;" ")-1),",","."),FIND("/",SUBSTITUTE(LEFT(TRIM(C41),FIND(" ",TRIM(C41)&amp;" ")-1),",","."))+1,9))*12/52,IF(ISNUMBER(SEARCH("month",C41)),IFERROR(_xlfn.NUMBERVALUE(SUBSTITUTE(LEFT(TRIM(C41),FIND(" ",TRIM(C41)&amp;" ")-1),",","."),"."),LEFT(SUBSTITUTE(LEFT(TRIM(C41),FIND(" ",TRIM(C41)&amp;" ")-1),",","."),FIND("/",SUBSTITUTE(LEFT(TRIM(C41),FIND(" ",TRIM(C41)&amp;" ")-1),",","."))-1)/MID(SUBSTITUTE(LEFT(TRIM(C41),FIND(" ",TRIM(C41)&amp;" ")-1),",","."),FIND("/",SUBSTITUTE(LEFT(TRIM(C41),FIND(" ",TRIM(C41)&amp;" ")-1),",","."))+1,9)),IF(ISNUMBER(SEARCH("yea",C41)),IFERROR(_xlfn.NUMBERVALUE(SUBSTITUTE(LEFT(TRIM(C41),FIND(" ",TRIM(C41)&amp;" ")-1),",","."),"."),LEFT(SUBSTITUTE(LEFT(TRIM(C41),FIND(" ",TRIM(C41)&amp;" ")-1),",","."),FIND("/",SUBSTITUTE(LEFT(TRIM(C41),FIND(" ",TRIM(C41)&amp;" ")-1),",","."))-1)/MID(SUBSTITUTE(LEFT(TRIM(C41),FIND(" ",TRIM(C41)&amp;" ")-1),",","."),FIND("/",SUBSTITUTE(LEFT(TRIM(C41),FIND(" ",TRIM(C41)&amp;" ")-1),",","."))+1,9))*12,NA()))),0),12)*'Aturan &amp; Tarif'!$B$4,2)</f>
        <v>681.36</v>
      </c>
      <c r="K41" s="32" t="n">
        <f aca="false">'Aturan &amp; Tarif'!$B$5</f>
        <v>2050</v>
      </c>
      <c r="L41" s="35" t="n">
        <f aca="false">I41+J41+K41</f>
        <v>11081.36</v>
      </c>
      <c r="M41" s="37" t="s">
        <v>3053</v>
      </c>
    </row>
    <row r="42" customFormat="false" ht="37.5" hidden="false" customHeight="true" outlineLevel="0" collapsed="false">
      <c r="A42" s="29"/>
      <c r="B42" s="30" t="s">
        <v>650</v>
      </c>
      <c r="C42" s="31" t="s">
        <v>648</v>
      </c>
      <c r="D42" s="31" t="s">
        <v>108</v>
      </c>
      <c r="E42" s="32" t="n">
        <v>2700</v>
      </c>
      <c r="F42" s="32"/>
      <c r="G42" s="32" t="n">
        <v>250</v>
      </c>
      <c r="H42" s="33" t="n">
        <v>2</v>
      </c>
      <c r="I42" s="34" t="n">
        <f aca="false">E42*H42+N(F42)+N(G42)</f>
        <v>5650</v>
      </c>
      <c r="J42" s="32" t="n">
        <f aca="false">ROUND(IFERROR(ROUND(IF(OR(ISNUMBER(SEARCH("week",C42)),ISNUMBER(SEARCH("minggu",C42))),IFERROR(_xlfn.NUMBERVALUE(SUBSTITUTE(LEFT(TRIM(C42),FIND(" ",TRIM(C42)&amp;" ")-1),",","."),"."),LEFT(SUBSTITUTE(LEFT(TRIM(C42),FIND(" ",TRIM(C42)&amp;" ")-1),",","."),FIND("/",SUBSTITUTE(LEFT(TRIM(C42),FIND(" ",TRIM(C42)&amp;" ")-1),",","."))-1)/MID(SUBSTITUTE(LEFT(TRIM(C42),FIND(" ",TRIM(C42)&amp;" ")-1),",","."),FIND("/",SUBSTITUTE(LEFT(TRIM(C42),FIND(" ",TRIM(C42)&amp;" ")-1),",","."))+1,9))*12/52,IF(ISNUMBER(SEARCH("month",C42)),IFERROR(_xlfn.NUMBERVALUE(SUBSTITUTE(LEFT(TRIM(C42),FIND(" ",TRIM(C42)&amp;" ")-1),",","."),"."),LEFT(SUBSTITUTE(LEFT(TRIM(C42),FIND(" ",TRIM(C42)&amp;" ")-1),",","."),FIND("/",SUBSTITUTE(LEFT(TRIM(C42),FIND(" ",TRIM(C42)&amp;" ")-1),",","."))-1)/MID(SUBSTITUTE(LEFT(TRIM(C42),FIND(" ",TRIM(C42)&amp;" ")-1),",","."),FIND("/",SUBSTITUTE(LEFT(TRIM(C42),FIND(" ",TRIM(C42)&amp;" ")-1),",","."))+1,9)),IF(ISNUMBER(SEARCH("yea",C42)),IFERROR(_xlfn.NUMBERVALUE(SUBSTITUTE(LEFT(TRIM(C42),FIND(" ",TRIM(C42)&amp;" ")-1),",","."),"."),LEFT(SUBSTITUTE(LEFT(TRIM(C42),FIND(" ",TRIM(C42)&amp;" ")-1),",","."),FIND("/",SUBSTITUTE(LEFT(TRIM(C42),FIND(" ",TRIM(C42)&amp;" ")-1),",","."))-1)/MID(SUBSTITUTE(LEFT(TRIM(C42),FIND(" ",TRIM(C42)&amp;" ")-1),",","."),FIND("/",SUBSTITUTE(LEFT(TRIM(C42),FIND(" ",TRIM(C42)&amp;" ")-1),",","."))+1,9))*12,NA()))),0),8)*'Aturan &amp; Tarif'!$B$4,2)</f>
        <v>454.24</v>
      </c>
      <c r="K42" s="32" t="n">
        <f aca="false">'Aturan &amp; Tarif'!$B$5</f>
        <v>2050</v>
      </c>
      <c r="L42" s="35" t="n">
        <f aca="false">I42+J42+K42</f>
        <v>8154.24</v>
      </c>
      <c r="M42" s="37" t="s">
        <v>3053</v>
      </c>
    </row>
    <row r="43" customFormat="false" ht="37.5" hidden="false" customHeight="true" outlineLevel="0" collapsed="false">
      <c r="A43" s="29" t="s">
        <v>3312</v>
      </c>
      <c r="B43" s="30" t="s">
        <v>867</v>
      </c>
      <c r="C43" s="31" t="s">
        <v>127</v>
      </c>
      <c r="D43" s="31" t="s">
        <v>1863</v>
      </c>
      <c r="E43" s="32" t="n">
        <v>1680</v>
      </c>
      <c r="F43" s="32" t="n">
        <v>50</v>
      </c>
      <c r="G43" s="32" t="n">
        <v>250</v>
      </c>
      <c r="H43" s="33" t="n">
        <v>4</v>
      </c>
      <c r="I43" s="34" t="n">
        <f aca="false">E43*H43+N(F43)*H43+N(G43)</f>
        <v>7170</v>
      </c>
      <c r="J43" s="32" t="n">
        <f aca="false">ROUND(IFERROR(ROUND(IF(OR(ISNUMBER(SEARCH("week",C43)),ISNUMBER(SEARCH("minggu",C43))),IFERROR(_xlfn.NUMBERVALUE(SUBSTITUTE(LEFT(TRIM(C43),FIND(" ",TRIM(C43)&amp;" ")-1),",","."),"."),LEFT(SUBSTITUTE(LEFT(TRIM(C43),FIND(" ",TRIM(C43)&amp;" ")-1),",","."),FIND("/",SUBSTITUTE(LEFT(TRIM(C43),FIND(" ",TRIM(C43)&amp;" ")-1),",","."))-1)/MID(SUBSTITUTE(LEFT(TRIM(C43),FIND(" ",TRIM(C43)&amp;" ")-1),",","."),FIND("/",SUBSTITUTE(LEFT(TRIM(C43),FIND(" ",TRIM(C43)&amp;" ")-1),",","."))+1,9))*12/52,IF(ISNUMBER(SEARCH("month",C43)),IFERROR(_xlfn.NUMBERVALUE(SUBSTITUTE(LEFT(TRIM(C43),FIND(" ",TRIM(C43)&amp;" ")-1),",","."),"."),LEFT(SUBSTITUTE(LEFT(TRIM(C43),FIND(" ",TRIM(C43)&amp;" ")-1),",","."),FIND("/",SUBSTITUTE(LEFT(TRIM(C43),FIND(" ",TRIM(C43)&amp;" ")-1),",","."))-1)/MID(SUBSTITUTE(LEFT(TRIM(C43),FIND(" ",TRIM(C43)&amp;" ")-1),",","."),FIND("/",SUBSTITUTE(LEFT(TRIM(C43),FIND(" ",TRIM(C43)&amp;" ")-1),",","."))+1,9)),IF(ISNUMBER(SEARCH("yea",C43)),IFERROR(_xlfn.NUMBERVALUE(SUBSTITUTE(LEFT(TRIM(C43),FIND(" ",TRIM(C43)&amp;" ")-1),",","."),"."),LEFT(SUBSTITUTE(LEFT(TRIM(C43),FIND(" ",TRIM(C43)&amp;" ")-1),",","."),FIND("/",SUBSTITUTE(LEFT(TRIM(C43),FIND(" ",TRIM(C43)&amp;" ")-1),",","."))-1)/MID(SUBSTITUTE(LEFT(TRIM(C43),FIND(" ",TRIM(C43)&amp;" ")-1),",","."),FIND("/",SUBSTITUTE(LEFT(TRIM(C43),FIND(" ",TRIM(C43)&amp;" ")-1),",","."))+1,9))*12,NA()))),0),36)*'Aturan &amp; Tarif'!$B$4,2)</f>
        <v>2044.08</v>
      </c>
      <c r="K43" s="32" t="n">
        <f aca="false">'Aturan &amp; Tarif'!$B$5</f>
        <v>2050</v>
      </c>
      <c r="L43" s="35" t="n">
        <f aca="false">I43+J43+K43</f>
        <v>11264.08</v>
      </c>
      <c r="M43" s="36" t="s">
        <v>3057</v>
      </c>
    </row>
    <row r="44" customFormat="false" ht="37.5" hidden="false" customHeight="true" outlineLevel="0" collapsed="false">
      <c r="A44" s="29"/>
      <c r="B44" s="30" t="s">
        <v>1865</v>
      </c>
      <c r="C44" s="31" t="s">
        <v>127</v>
      </c>
      <c r="D44" s="31" t="s">
        <v>1863</v>
      </c>
      <c r="E44" s="32" t="n">
        <v>1790</v>
      </c>
      <c r="F44" s="32" t="n">
        <v>50</v>
      </c>
      <c r="G44" s="32" t="n">
        <v>250</v>
      </c>
      <c r="H44" s="33" t="n">
        <v>4</v>
      </c>
      <c r="I44" s="34" t="n">
        <f aca="false">E44*H44+N(F44)*H44+N(G44)</f>
        <v>7610</v>
      </c>
      <c r="J44" s="32" t="n">
        <f aca="false">ROUND(IFERROR(ROUND(IF(OR(ISNUMBER(SEARCH("week",C44)),ISNUMBER(SEARCH("minggu",C44))),IFERROR(_xlfn.NUMBERVALUE(SUBSTITUTE(LEFT(TRIM(C44),FIND(" ",TRIM(C44)&amp;" ")-1),",","."),"."),LEFT(SUBSTITUTE(LEFT(TRIM(C44),FIND(" ",TRIM(C44)&amp;" ")-1),",","."),FIND("/",SUBSTITUTE(LEFT(TRIM(C44),FIND(" ",TRIM(C44)&amp;" ")-1),",","."))-1)/MID(SUBSTITUTE(LEFT(TRIM(C44),FIND(" ",TRIM(C44)&amp;" ")-1),",","."),FIND("/",SUBSTITUTE(LEFT(TRIM(C44),FIND(" ",TRIM(C44)&amp;" ")-1),",","."))+1,9))*12/52,IF(ISNUMBER(SEARCH("month",C44)),IFERROR(_xlfn.NUMBERVALUE(SUBSTITUTE(LEFT(TRIM(C44),FIND(" ",TRIM(C44)&amp;" ")-1),",","."),"."),LEFT(SUBSTITUTE(LEFT(TRIM(C44),FIND(" ",TRIM(C44)&amp;" ")-1),",","."),FIND("/",SUBSTITUTE(LEFT(TRIM(C44),FIND(" ",TRIM(C44)&amp;" ")-1),",","."))-1)/MID(SUBSTITUTE(LEFT(TRIM(C44),FIND(" ",TRIM(C44)&amp;" ")-1),",","."),FIND("/",SUBSTITUTE(LEFT(TRIM(C44),FIND(" ",TRIM(C44)&amp;" ")-1),",","."))+1,9)),IF(ISNUMBER(SEARCH("yea",C44)),IFERROR(_xlfn.NUMBERVALUE(SUBSTITUTE(LEFT(TRIM(C44),FIND(" ",TRIM(C44)&amp;" ")-1),",","."),"."),LEFT(SUBSTITUTE(LEFT(TRIM(C44),FIND(" ",TRIM(C44)&amp;" ")-1),",","."),FIND("/",SUBSTITUTE(LEFT(TRIM(C44),FIND(" ",TRIM(C44)&amp;" ")-1),",","."))-1)/MID(SUBSTITUTE(LEFT(TRIM(C44),FIND(" ",TRIM(C44)&amp;" ")-1),",","."),FIND("/",SUBSTITUTE(LEFT(TRIM(C44),FIND(" ",TRIM(C44)&amp;" ")-1),",","."))+1,9))*12,NA()))),0),36)*'Aturan &amp; Tarif'!$B$4,2)</f>
        <v>2044.08</v>
      </c>
      <c r="K44" s="32" t="n">
        <f aca="false">'Aturan &amp; Tarif'!$B$5</f>
        <v>2050</v>
      </c>
      <c r="L44" s="35" t="n">
        <f aca="false">I44+J44+K44</f>
        <v>11704.08</v>
      </c>
      <c r="M44" s="36" t="s">
        <v>3058</v>
      </c>
    </row>
    <row r="45" customFormat="false" ht="37.5" hidden="false" customHeight="true" outlineLevel="0" collapsed="false">
      <c r="A45" s="29"/>
      <c r="B45" s="30" t="s">
        <v>1867</v>
      </c>
      <c r="C45" s="31" t="s">
        <v>127</v>
      </c>
      <c r="D45" s="31" t="s">
        <v>1863</v>
      </c>
      <c r="E45" s="32" t="n">
        <v>1790</v>
      </c>
      <c r="F45" s="32" t="n">
        <v>50</v>
      </c>
      <c r="G45" s="32" t="n">
        <v>250</v>
      </c>
      <c r="H45" s="33" t="n">
        <v>4</v>
      </c>
      <c r="I45" s="34" t="n">
        <f aca="false">E45*H45+N(F45)*H45+N(G45)</f>
        <v>7610</v>
      </c>
      <c r="J45" s="32" t="n">
        <f aca="false">ROUND(IFERROR(ROUND(IF(OR(ISNUMBER(SEARCH("week",C45)),ISNUMBER(SEARCH("minggu",C45))),IFERROR(_xlfn.NUMBERVALUE(SUBSTITUTE(LEFT(TRIM(C45),FIND(" ",TRIM(C45)&amp;" ")-1),",","."),"."),LEFT(SUBSTITUTE(LEFT(TRIM(C45),FIND(" ",TRIM(C45)&amp;" ")-1),",","."),FIND("/",SUBSTITUTE(LEFT(TRIM(C45),FIND(" ",TRIM(C45)&amp;" ")-1),",","."))-1)/MID(SUBSTITUTE(LEFT(TRIM(C45),FIND(" ",TRIM(C45)&amp;" ")-1),",","."),FIND("/",SUBSTITUTE(LEFT(TRIM(C45),FIND(" ",TRIM(C45)&amp;" ")-1),",","."))+1,9))*12/52,IF(ISNUMBER(SEARCH("month",C45)),IFERROR(_xlfn.NUMBERVALUE(SUBSTITUTE(LEFT(TRIM(C45),FIND(" ",TRIM(C45)&amp;" ")-1),",","."),"."),LEFT(SUBSTITUTE(LEFT(TRIM(C45),FIND(" ",TRIM(C45)&amp;" ")-1),",","."),FIND("/",SUBSTITUTE(LEFT(TRIM(C45),FIND(" ",TRIM(C45)&amp;" ")-1),",","."))-1)/MID(SUBSTITUTE(LEFT(TRIM(C45),FIND(" ",TRIM(C45)&amp;" ")-1),",","."),FIND("/",SUBSTITUTE(LEFT(TRIM(C45),FIND(" ",TRIM(C45)&amp;" ")-1),",","."))+1,9)),IF(ISNUMBER(SEARCH("yea",C45)),IFERROR(_xlfn.NUMBERVALUE(SUBSTITUTE(LEFT(TRIM(C45),FIND(" ",TRIM(C45)&amp;" ")-1),",","."),"."),LEFT(SUBSTITUTE(LEFT(TRIM(C45),FIND(" ",TRIM(C45)&amp;" ")-1),",","."),FIND("/",SUBSTITUTE(LEFT(TRIM(C45),FIND(" ",TRIM(C45)&amp;" ")-1),",","."))-1)/MID(SUBSTITUTE(LEFT(TRIM(C45),FIND(" ",TRIM(C45)&amp;" ")-1),",","."),FIND("/",SUBSTITUTE(LEFT(TRIM(C45),FIND(" ",TRIM(C45)&amp;" ")-1),",","."))+1,9))*12,NA()))),0),36)*'Aturan &amp; Tarif'!$B$4,2)</f>
        <v>2044.08</v>
      </c>
      <c r="K45" s="32" t="n">
        <f aca="false">'Aturan &amp; Tarif'!$B$5</f>
        <v>2050</v>
      </c>
      <c r="L45" s="35" t="n">
        <f aca="false">I45+J45+K45</f>
        <v>11704.08</v>
      </c>
      <c r="M45" s="36" t="s">
        <v>3059</v>
      </c>
    </row>
    <row r="46" customFormat="false" ht="37.5" hidden="false" customHeight="true" outlineLevel="0" collapsed="false">
      <c r="A46" s="29"/>
      <c r="B46" s="30" t="s">
        <v>1869</v>
      </c>
      <c r="C46" s="31" t="s">
        <v>127</v>
      </c>
      <c r="D46" s="31" t="s">
        <v>1863</v>
      </c>
      <c r="E46" s="32" t="n">
        <v>1790</v>
      </c>
      <c r="F46" s="32" t="n">
        <v>50</v>
      </c>
      <c r="G46" s="32" t="n">
        <v>250</v>
      </c>
      <c r="H46" s="33" t="n">
        <v>4</v>
      </c>
      <c r="I46" s="34" t="n">
        <f aca="false">E46*H46+N(F46)*H46+N(G46)</f>
        <v>7610</v>
      </c>
      <c r="J46" s="32" t="n">
        <f aca="false">ROUND(IFERROR(ROUND(IF(OR(ISNUMBER(SEARCH("week",C46)),ISNUMBER(SEARCH("minggu",C46))),IFERROR(_xlfn.NUMBERVALUE(SUBSTITUTE(LEFT(TRIM(C46),FIND(" ",TRIM(C46)&amp;" ")-1),",","."),"."),LEFT(SUBSTITUTE(LEFT(TRIM(C46),FIND(" ",TRIM(C46)&amp;" ")-1),",","."),FIND("/",SUBSTITUTE(LEFT(TRIM(C46),FIND(" ",TRIM(C46)&amp;" ")-1),",","."))-1)/MID(SUBSTITUTE(LEFT(TRIM(C46),FIND(" ",TRIM(C46)&amp;" ")-1),",","."),FIND("/",SUBSTITUTE(LEFT(TRIM(C46),FIND(" ",TRIM(C46)&amp;" ")-1),",","."))+1,9))*12/52,IF(ISNUMBER(SEARCH("month",C46)),IFERROR(_xlfn.NUMBERVALUE(SUBSTITUTE(LEFT(TRIM(C46),FIND(" ",TRIM(C46)&amp;" ")-1),",","."),"."),LEFT(SUBSTITUTE(LEFT(TRIM(C46),FIND(" ",TRIM(C46)&amp;" ")-1),",","."),FIND("/",SUBSTITUTE(LEFT(TRIM(C46),FIND(" ",TRIM(C46)&amp;" ")-1),",","."))-1)/MID(SUBSTITUTE(LEFT(TRIM(C46),FIND(" ",TRIM(C46)&amp;" ")-1),",","."),FIND("/",SUBSTITUTE(LEFT(TRIM(C46),FIND(" ",TRIM(C46)&amp;" ")-1),",","."))+1,9)),IF(ISNUMBER(SEARCH("yea",C46)),IFERROR(_xlfn.NUMBERVALUE(SUBSTITUTE(LEFT(TRIM(C46),FIND(" ",TRIM(C46)&amp;" ")-1),",","."),"."),LEFT(SUBSTITUTE(LEFT(TRIM(C46),FIND(" ",TRIM(C46)&amp;" ")-1),",","."),FIND("/",SUBSTITUTE(LEFT(TRIM(C46),FIND(" ",TRIM(C46)&amp;" ")-1),",","."))-1)/MID(SUBSTITUTE(LEFT(TRIM(C46),FIND(" ",TRIM(C46)&amp;" ")-1),",","."),FIND("/",SUBSTITUTE(LEFT(TRIM(C46),FIND(" ",TRIM(C46)&amp;" ")-1),",","."))+1,9))*12,NA()))),0),36)*'Aturan &amp; Tarif'!$B$4,2)</f>
        <v>2044.08</v>
      </c>
      <c r="K46" s="32" t="n">
        <f aca="false">'Aturan &amp; Tarif'!$B$5</f>
        <v>2050</v>
      </c>
      <c r="L46" s="35" t="n">
        <f aca="false">I46+J46+K46</f>
        <v>11704.08</v>
      </c>
      <c r="M46" s="36" t="s">
        <v>3060</v>
      </c>
    </row>
    <row r="47" customFormat="false" ht="37.5" hidden="false" customHeight="true" outlineLevel="0" collapsed="false">
      <c r="A47" s="29"/>
      <c r="B47" s="30" t="s">
        <v>1871</v>
      </c>
      <c r="C47" s="31" t="s">
        <v>127</v>
      </c>
      <c r="D47" s="31" t="s">
        <v>1863</v>
      </c>
      <c r="E47" s="32" t="n">
        <v>1790</v>
      </c>
      <c r="F47" s="32" t="n">
        <v>50</v>
      </c>
      <c r="G47" s="32" t="n">
        <v>250</v>
      </c>
      <c r="H47" s="33" t="n">
        <v>4</v>
      </c>
      <c r="I47" s="34" t="n">
        <f aca="false">E47*H47+N(F47)*H47+N(G47)</f>
        <v>7610</v>
      </c>
      <c r="J47" s="32" t="n">
        <f aca="false">ROUND(IFERROR(ROUND(IF(OR(ISNUMBER(SEARCH("week",C47)),ISNUMBER(SEARCH("minggu",C47))),IFERROR(_xlfn.NUMBERVALUE(SUBSTITUTE(LEFT(TRIM(C47),FIND(" ",TRIM(C47)&amp;" ")-1),",","."),"."),LEFT(SUBSTITUTE(LEFT(TRIM(C47),FIND(" ",TRIM(C47)&amp;" ")-1),",","."),FIND("/",SUBSTITUTE(LEFT(TRIM(C47),FIND(" ",TRIM(C47)&amp;" ")-1),",","."))-1)/MID(SUBSTITUTE(LEFT(TRIM(C47),FIND(" ",TRIM(C47)&amp;" ")-1),",","."),FIND("/",SUBSTITUTE(LEFT(TRIM(C47),FIND(" ",TRIM(C47)&amp;" ")-1),",","."))+1,9))*12/52,IF(ISNUMBER(SEARCH("month",C47)),IFERROR(_xlfn.NUMBERVALUE(SUBSTITUTE(LEFT(TRIM(C47),FIND(" ",TRIM(C47)&amp;" ")-1),",","."),"."),LEFT(SUBSTITUTE(LEFT(TRIM(C47),FIND(" ",TRIM(C47)&amp;" ")-1),",","."),FIND("/",SUBSTITUTE(LEFT(TRIM(C47),FIND(" ",TRIM(C47)&amp;" ")-1),",","."))-1)/MID(SUBSTITUTE(LEFT(TRIM(C47),FIND(" ",TRIM(C47)&amp;" ")-1),",","."),FIND("/",SUBSTITUTE(LEFT(TRIM(C47),FIND(" ",TRIM(C47)&amp;" ")-1),",","."))+1,9)),IF(ISNUMBER(SEARCH("yea",C47)),IFERROR(_xlfn.NUMBERVALUE(SUBSTITUTE(LEFT(TRIM(C47),FIND(" ",TRIM(C47)&amp;" ")-1),",","."),"."),LEFT(SUBSTITUTE(LEFT(TRIM(C47),FIND(" ",TRIM(C47)&amp;" ")-1),",","."),FIND("/",SUBSTITUTE(LEFT(TRIM(C47),FIND(" ",TRIM(C47)&amp;" ")-1),",","."))-1)/MID(SUBSTITUTE(LEFT(TRIM(C47),FIND(" ",TRIM(C47)&amp;" ")-1),",","."),FIND("/",SUBSTITUTE(LEFT(TRIM(C47),FIND(" ",TRIM(C47)&amp;" ")-1),",","."))+1,9))*12,NA()))),0),36)*'Aturan &amp; Tarif'!$B$4,2)</f>
        <v>2044.08</v>
      </c>
      <c r="K47" s="32" t="n">
        <f aca="false">'Aturan &amp; Tarif'!$B$5</f>
        <v>2050</v>
      </c>
      <c r="L47" s="35" t="n">
        <f aca="false">I47+J47+K47</f>
        <v>11704.08</v>
      </c>
      <c r="M47" s="36" t="s">
        <v>3061</v>
      </c>
    </row>
    <row r="48" customFormat="false" ht="37.5" hidden="false" customHeight="true" outlineLevel="0" collapsed="false">
      <c r="A48" s="29"/>
      <c r="B48" s="30" t="s">
        <v>1873</v>
      </c>
      <c r="C48" s="31" t="s">
        <v>107</v>
      </c>
      <c r="D48" s="31" t="s">
        <v>1863</v>
      </c>
      <c r="E48" s="32" t="n">
        <v>2150</v>
      </c>
      <c r="F48" s="32" t="n">
        <v>50</v>
      </c>
      <c r="G48" s="32" t="n">
        <v>250</v>
      </c>
      <c r="H48" s="33" t="n">
        <v>4</v>
      </c>
      <c r="I48" s="34" t="n">
        <f aca="false">E48*H48+N(F48)*H48+N(G48)</f>
        <v>9050</v>
      </c>
      <c r="J48" s="32" t="n">
        <f aca="false">ROUND(IFERROR(ROUND(IF(OR(ISNUMBER(SEARCH("week",C48)),ISNUMBER(SEARCH("minggu",C48))),IFERROR(_xlfn.NUMBERVALUE(SUBSTITUTE(LEFT(TRIM(C48),FIND(" ",TRIM(C48)&amp;" ")-1),",","."),"."),LEFT(SUBSTITUTE(LEFT(TRIM(C48),FIND(" ",TRIM(C48)&amp;" ")-1),",","."),FIND("/",SUBSTITUTE(LEFT(TRIM(C48),FIND(" ",TRIM(C48)&amp;" ")-1),",","."))-1)/MID(SUBSTITUTE(LEFT(TRIM(C48),FIND(" ",TRIM(C48)&amp;" ")-1),",","."),FIND("/",SUBSTITUTE(LEFT(TRIM(C48),FIND(" ",TRIM(C48)&amp;" ")-1),",","."))+1,9))*12/52,IF(ISNUMBER(SEARCH("month",C48)),IFERROR(_xlfn.NUMBERVALUE(SUBSTITUTE(LEFT(TRIM(C48),FIND(" ",TRIM(C48)&amp;" ")-1),",","."),"."),LEFT(SUBSTITUTE(LEFT(TRIM(C48),FIND(" ",TRIM(C48)&amp;" ")-1),",","."),FIND("/",SUBSTITUTE(LEFT(TRIM(C48),FIND(" ",TRIM(C48)&amp;" ")-1),",","."))-1)/MID(SUBSTITUTE(LEFT(TRIM(C48),FIND(" ",TRIM(C48)&amp;" ")-1),",","."),FIND("/",SUBSTITUTE(LEFT(TRIM(C48),FIND(" ",TRIM(C48)&amp;" ")-1),",","."))+1,9)),IF(ISNUMBER(SEARCH("yea",C48)),IFERROR(_xlfn.NUMBERVALUE(SUBSTITUTE(LEFT(TRIM(C48),FIND(" ",TRIM(C48)&amp;" ")-1),",","."),"."),LEFT(SUBSTITUTE(LEFT(TRIM(C48),FIND(" ",TRIM(C48)&amp;" ")-1),",","."),FIND("/",SUBSTITUTE(LEFT(TRIM(C48),FIND(" ",TRIM(C48)&amp;" ")-1),",","."))-1)/MID(SUBSTITUTE(LEFT(TRIM(C48),FIND(" ",TRIM(C48)&amp;" ")-1),",","."),FIND("/",SUBSTITUTE(LEFT(TRIM(C48),FIND(" ",TRIM(C48)&amp;" ")-1),",","."))+1,9))*12,NA()))),0),24)*'Aturan &amp; Tarif'!$B$4,2)</f>
        <v>1362.72</v>
      </c>
      <c r="K48" s="32" t="n">
        <f aca="false">'Aturan &amp; Tarif'!$B$5</f>
        <v>2050</v>
      </c>
      <c r="L48" s="35" t="n">
        <f aca="false">I48+J48+K48</f>
        <v>12462.72</v>
      </c>
      <c r="M48" s="36" t="s">
        <v>3062</v>
      </c>
    </row>
    <row r="49" customFormat="false" ht="37.5" hidden="false" customHeight="true" outlineLevel="0" collapsed="false">
      <c r="A49" s="29"/>
      <c r="B49" s="30" t="s">
        <v>1875</v>
      </c>
      <c r="C49" s="31" t="s">
        <v>107</v>
      </c>
      <c r="D49" s="31" t="s">
        <v>1863</v>
      </c>
      <c r="E49" s="32" t="n">
        <v>2320</v>
      </c>
      <c r="F49" s="32" t="n">
        <v>50</v>
      </c>
      <c r="G49" s="32" t="n">
        <v>250</v>
      </c>
      <c r="H49" s="33" t="n">
        <v>4</v>
      </c>
      <c r="I49" s="34" t="n">
        <f aca="false">E49*H49+N(F49)*H49+N(G49)</f>
        <v>9730</v>
      </c>
      <c r="J49" s="32" t="n">
        <f aca="false">ROUND(IFERROR(ROUND(IF(OR(ISNUMBER(SEARCH("week",C49)),ISNUMBER(SEARCH("minggu",C49))),IFERROR(_xlfn.NUMBERVALUE(SUBSTITUTE(LEFT(TRIM(C49),FIND(" ",TRIM(C49)&amp;" ")-1),",","."),"."),LEFT(SUBSTITUTE(LEFT(TRIM(C49),FIND(" ",TRIM(C49)&amp;" ")-1),",","."),FIND("/",SUBSTITUTE(LEFT(TRIM(C49),FIND(" ",TRIM(C49)&amp;" ")-1),",","."))-1)/MID(SUBSTITUTE(LEFT(TRIM(C49),FIND(" ",TRIM(C49)&amp;" ")-1),",","."),FIND("/",SUBSTITUTE(LEFT(TRIM(C49),FIND(" ",TRIM(C49)&amp;" ")-1),",","."))+1,9))*12/52,IF(ISNUMBER(SEARCH("month",C49)),IFERROR(_xlfn.NUMBERVALUE(SUBSTITUTE(LEFT(TRIM(C49),FIND(" ",TRIM(C49)&amp;" ")-1),",","."),"."),LEFT(SUBSTITUTE(LEFT(TRIM(C49),FIND(" ",TRIM(C49)&amp;" ")-1),",","."),FIND("/",SUBSTITUTE(LEFT(TRIM(C49),FIND(" ",TRIM(C49)&amp;" ")-1),",","."))-1)/MID(SUBSTITUTE(LEFT(TRIM(C49),FIND(" ",TRIM(C49)&amp;" ")-1),",","."),FIND("/",SUBSTITUTE(LEFT(TRIM(C49),FIND(" ",TRIM(C49)&amp;" ")-1),",","."))+1,9)),IF(ISNUMBER(SEARCH("yea",C49)),IFERROR(_xlfn.NUMBERVALUE(SUBSTITUTE(LEFT(TRIM(C49),FIND(" ",TRIM(C49)&amp;" ")-1),",","."),"."),LEFT(SUBSTITUTE(LEFT(TRIM(C49),FIND(" ",TRIM(C49)&amp;" ")-1),",","."),FIND("/",SUBSTITUTE(LEFT(TRIM(C49),FIND(" ",TRIM(C49)&amp;" ")-1),",","."))-1)/MID(SUBSTITUTE(LEFT(TRIM(C49),FIND(" ",TRIM(C49)&amp;" ")-1),",","."),FIND("/",SUBSTITUTE(LEFT(TRIM(C49),FIND(" ",TRIM(C49)&amp;" ")-1),",","."))+1,9))*12,NA()))),0),24)*'Aturan &amp; Tarif'!$B$4,2)</f>
        <v>1362.72</v>
      </c>
      <c r="K49" s="32" t="n">
        <f aca="false">'Aturan &amp; Tarif'!$B$5</f>
        <v>2050</v>
      </c>
      <c r="L49" s="35" t="n">
        <f aca="false">I49+J49+K49</f>
        <v>13142.72</v>
      </c>
      <c r="M49" s="36" t="s">
        <v>3063</v>
      </c>
    </row>
    <row r="50" customFormat="false" ht="37.5" hidden="false" customHeight="true" outlineLevel="0" collapsed="false">
      <c r="A50" s="29"/>
      <c r="B50" s="30" t="s">
        <v>1877</v>
      </c>
      <c r="C50" s="31" t="s">
        <v>107</v>
      </c>
      <c r="D50" s="31" t="s">
        <v>1863</v>
      </c>
      <c r="E50" s="32" t="n">
        <v>2320</v>
      </c>
      <c r="F50" s="32" t="n">
        <v>50</v>
      </c>
      <c r="G50" s="32" t="n">
        <v>250</v>
      </c>
      <c r="H50" s="33" t="n">
        <v>4</v>
      </c>
      <c r="I50" s="34" t="n">
        <f aca="false">E50*H50+N(F50)*H50+N(G50)</f>
        <v>9730</v>
      </c>
      <c r="J50" s="32" t="n">
        <f aca="false">ROUND(IFERROR(ROUND(IF(OR(ISNUMBER(SEARCH("week",C50)),ISNUMBER(SEARCH("minggu",C50))),IFERROR(_xlfn.NUMBERVALUE(SUBSTITUTE(LEFT(TRIM(C50),FIND(" ",TRIM(C50)&amp;" ")-1),",","."),"."),LEFT(SUBSTITUTE(LEFT(TRIM(C50),FIND(" ",TRIM(C50)&amp;" ")-1),",","."),FIND("/",SUBSTITUTE(LEFT(TRIM(C50),FIND(" ",TRIM(C50)&amp;" ")-1),",","."))-1)/MID(SUBSTITUTE(LEFT(TRIM(C50),FIND(" ",TRIM(C50)&amp;" ")-1),",","."),FIND("/",SUBSTITUTE(LEFT(TRIM(C50),FIND(" ",TRIM(C50)&amp;" ")-1),",","."))+1,9))*12/52,IF(ISNUMBER(SEARCH("month",C50)),IFERROR(_xlfn.NUMBERVALUE(SUBSTITUTE(LEFT(TRIM(C50),FIND(" ",TRIM(C50)&amp;" ")-1),",","."),"."),LEFT(SUBSTITUTE(LEFT(TRIM(C50),FIND(" ",TRIM(C50)&amp;" ")-1),",","."),FIND("/",SUBSTITUTE(LEFT(TRIM(C50),FIND(" ",TRIM(C50)&amp;" ")-1),",","."))-1)/MID(SUBSTITUTE(LEFT(TRIM(C50),FIND(" ",TRIM(C50)&amp;" ")-1),",","."),FIND("/",SUBSTITUTE(LEFT(TRIM(C50),FIND(" ",TRIM(C50)&amp;" ")-1),",","."))+1,9)),IF(ISNUMBER(SEARCH("yea",C50)),IFERROR(_xlfn.NUMBERVALUE(SUBSTITUTE(LEFT(TRIM(C50),FIND(" ",TRIM(C50)&amp;" ")-1),",","."),"."),LEFT(SUBSTITUTE(LEFT(TRIM(C50),FIND(" ",TRIM(C50)&amp;" ")-1),",","."),FIND("/",SUBSTITUTE(LEFT(TRIM(C50),FIND(" ",TRIM(C50)&amp;" ")-1),",","."))-1)/MID(SUBSTITUTE(LEFT(TRIM(C50),FIND(" ",TRIM(C50)&amp;" ")-1),",","."),FIND("/",SUBSTITUTE(LEFT(TRIM(C50),FIND(" ",TRIM(C50)&amp;" ")-1),",","."))+1,9))*12,NA()))),0),24)*'Aturan &amp; Tarif'!$B$4,2)</f>
        <v>1362.72</v>
      </c>
      <c r="K50" s="32" t="n">
        <f aca="false">'Aturan &amp; Tarif'!$B$5</f>
        <v>2050</v>
      </c>
      <c r="L50" s="35" t="n">
        <f aca="false">I50+J50+K50</f>
        <v>13142.72</v>
      </c>
      <c r="M50" s="36" t="s">
        <v>3064</v>
      </c>
    </row>
    <row r="51" customFormat="false" ht="37.5" hidden="false" customHeight="true" outlineLevel="0" collapsed="false">
      <c r="A51" s="29"/>
      <c r="B51" s="30" t="s">
        <v>1879</v>
      </c>
      <c r="C51" s="31" t="s">
        <v>107</v>
      </c>
      <c r="D51" s="31" t="s">
        <v>1863</v>
      </c>
      <c r="E51" s="32" t="n">
        <v>2150</v>
      </c>
      <c r="F51" s="32" t="n">
        <v>50</v>
      </c>
      <c r="G51" s="32" t="n">
        <v>250</v>
      </c>
      <c r="H51" s="33" t="n">
        <v>4</v>
      </c>
      <c r="I51" s="34" t="n">
        <f aca="false">E51*H51+N(F51)*H51+N(G51)</f>
        <v>9050</v>
      </c>
      <c r="J51" s="32" t="n">
        <f aca="false">ROUND(IFERROR(ROUND(IF(OR(ISNUMBER(SEARCH("week",C51)),ISNUMBER(SEARCH("minggu",C51))),IFERROR(_xlfn.NUMBERVALUE(SUBSTITUTE(LEFT(TRIM(C51),FIND(" ",TRIM(C51)&amp;" ")-1),",","."),"."),LEFT(SUBSTITUTE(LEFT(TRIM(C51),FIND(" ",TRIM(C51)&amp;" ")-1),",","."),FIND("/",SUBSTITUTE(LEFT(TRIM(C51),FIND(" ",TRIM(C51)&amp;" ")-1),",","."))-1)/MID(SUBSTITUTE(LEFT(TRIM(C51),FIND(" ",TRIM(C51)&amp;" ")-1),",","."),FIND("/",SUBSTITUTE(LEFT(TRIM(C51),FIND(" ",TRIM(C51)&amp;" ")-1),",","."))+1,9))*12/52,IF(ISNUMBER(SEARCH("month",C51)),IFERROR(_xlfn.NUMBERVALUE(SUBSTITUTE(LEFT(TRIM(C51),FIND(" ",TRIM(C51)&amp;" ")-1),",","."),"."),LEFT(SUBSTITUTE(LEFT(TRIM(C51),FIND(" ",TRIM(C51)&amp;" ")-1),",","."),FIND("/",SUBSTITUTE(LEFT(TRIM(C51),FIND(" ",TRIM(C51)&amp;" ")-1),",","."))-1)/MID(SUBSTITUTE(LEFT(TRIM(C51),FIND(" ",TRIM(C51)&amp;" ")-1),",","."),FIND("/",SUBSTITUTE(LEFT(TRIM(C51),FIND(" ",TRIM(C51)&amp;" ")-1),",","."))+1,9)),IF(ISNUMBER(SEARCH("yea",C51)),IFERROR(_xlfn.NUMBERVALUE(SUBSTITUTE(LEFT(TRIM(C51),FIND(" ",TRIM(C51)&amp;" ")-1),",","."),"."),LEFT(SUBSTITUTE(LEFT(TRIM(C51),FIND(" ",TRIM(C51)&amp;" ")-1),",","."),FIND("/",SUBSTITUTE(LEFT(TRIM(C51),FIND(" ",TRIM(C51)&amp;" ")-1),",","."))-1)/MID(SUBSTITUTE(LEFT(TRIM(C51),FIND(" ",TRIM(C51)&amp;" ")-1),",","."),FIND("/",SUBSTITUTE(LEFT(TRIM(C51),FIND(" ",TRIM(C51)&amp;" ")-1),",","."))+1,9))*12,NA()))),0),24)*'Aturan &amp; Tarif'!$B$4,2)</f>
        <v>1362.72</v>
      </c>
      <c r="K51" s="32" t="n">
        <f aca="false">'Aturan &amp; Tarif'!$B$5</f>
        <v>2050</v>
      </c>
      <c r="L51" s="35" t="n">
        <f aca="false">I51+J51+K51</f>
        <v>12462.72</v>
      </c>
      <c r="M51" s="36" t="s">
        <v>3065</v>
      </c>
    </row>
    <row r="52" customFormat="false" ht="37.5" hidden="false" customHeight="true" outlineLevel="0" collapsed="false">
      <c r="A52" s="29"/>
      <c r="B52" s="30" t="s">
        <v>1881</v>
      </c>
      <c r="C52" s="31" t="s">
        <v>107</v>
      </c>
      <c r="D52" s="31" t="s">
        <v>1863</v>
      </c>
      <c r="E52" s="32" t="n">
        <v>2240</v>
      </c>
      <c r="F52" s="32" t="n">
        <v>50</v>
      </c>
      <c r="G52" s="32" t="n">
        <v>250</v>
      </c>
      <c r="H52" s="33" t="n">
        <v>4</v>
      </c>
      <c r="I52" s="34" t="n">
        <f aca="false">E52*H52+N(F52)*H52+N(G52)</f>
        <v>9410</v>
      </c>
      <c r="J52" s="32" t="n">
        <f aca="false">ROUND(IFERROR(ROUND(IF(OR(ISNUMBER(SEARCH("week",C52)),ISNUMBER(SEARCH("minggu",C52))),IFERROR(_xlfn.NUMBERVALUE(SUBSTITUTE(LEFT(TRIM(C52),FIND(" ",TRIM(C52)&amp;" ")-1),",","."),"."),LEFT(SUBSTITUTE(LEFT(TRIM(C52),FIND(" ",TRIM(C52)&amp;" ")-1),",","."),FIND("/",SUBSTITUTE(LEFT(TRIM(C52),FIND(" ",TRIM(C52)&amp;" ")-1),",","."))-1)/MID(SUBSTITUTE(LEFT(TRIM(C52),FIND(" ",TRIM(C52)&amp;" ")-1),",","."),FIND("/",SUBSTITUTE(LEFT(TRIM(C52),FIND(" ",TRIM(C52)&amp;" ")-1),",","."))+1,9))*12/52,IF(ISNUMBER(SEARCH("month",C52)),IFERROR(_xlfn.NUMBERVALUE(SUBSTITUTE(LEFT(TRIM(C52),FIND(" ",TRIM(C52)&amp;" ")-1),",","."),"."),LEFT(SUBSTITUTE(LEFT(TRIM(C52),FIND(" ",TRIM(C52)&amp;" ")-1),",","."),FIND("/",SUBSTITUTE(LEFT(TRIM(C52),FIND(" ",TRIM(C52)&amp;" ")-1),",","."))-1)/MID(SUBSTITUTE(LEFT(TRIM(C52),FIND(" ",TRIM(C52)&amp;" ")-1),",","."),FIND("/",SUBSTITUTE(LEFT(TRIM(C52),FIND(" ",TRIM(C52)&amp;" ")-1),",","."))+1,9)),IF(ISNUMBER(SEARCH("yea",C52)),IFERROR(_xlfn.NUMBERVALUE(SUBSTITUTE(LEFT(TRIM(C52),FIND(" ",TRIM(C52)&amp;" ")-1),",","."),"."),LEFT(SUBSTITUTE(LEFT(TRIM(C52),FIND(" ",TRIM(C52)&amp;" ")-1),",","."),FIND("/",SUBSTITUTE(LEFT(TRIM(C52),FIND(" ",TRIM(C52)&amp;" ")-1),",","."))-1)/MID(SUBSTITUTE(LEFT(TRIM(C52),FIND(" ",TRIM(C52)&amp;" ")-1),",","."),FIND("/",SUBSTITUTE(LEFT(TRIM(C52),FIND(" ",TRIM(C52)&amp;" ")-1),",","."))+1,9))*12,NA()))),0),24)*'Aturan &amp; Tarif'!$B$4,2)</f>
        <v>1362.72</v>
      </c>
      <c r="K52" s="32" t="n">
        <f aca="false">'Aturan &amp; Tarif'!$B$5</f>
        <v>2050</v>
      </c>
      <c r="L52" s="35" t="n">
        <f aca="false">I52+J52+K52</f>
        <v>12822.72</v>
      </c>
      <c r="M52" s="36" t="s">
        <v>3066</v>
      </c>
    </row>
    <row r="53" customFormat="false" ht="25.5" hidden="false" customHeight="true" outlineLevel="0" collapsed="false">
      <c r="A53" s="39" t="s">
        <v>2780</v>
      </c>
      <c r="B53" s="40" t="s">
        <v>3313</v>
      </c>
      <c r="C53" s="41" t="s">
        <v>107</v>
      </c>
      <c r="D53" s="41" t="s">
        <v>108</v>
      </c>
      <c r="E53" s="42" t="n">
        <v>2500</v>
      </c>
      <c r="F53" s="42" t="n">
        <v>2300</v>
      </c>
      <c r="G53" s="42" t="n">
        <v>200</v>
      </c>
      <c r="H53" s="43" t="n">
        <v>1</v>
      </c>
      <c r="I53" s="34" t="n">
        <f aca="false">E53*H53+N(F53)+N(G53)</f>
        <v>5000</v>
      </c>
      <c r="J53" s="42" t="n">
        <f aca="false">ROUND(IFERROR(ROUND(IF(OR(ISNUMBER(SEARCH("week",C53)),ISNUMBER(SEARCH("minggu",C53))),IFERROR(_xlfn.NUMBERVALUE(SUBSTITUTE(LEFT(TRIM(C53),FIND(" ",TRIM(C53)&amp;" ")-1),",","."),"."),LEFT(SUBSTITUTE(LEFT(TRIM(C53),FIND(" ",TRIM(C53)&amp;" ")-1),",","."),FIND("/",SUBSTITUTE(LEFT(TRIM(C53),FIND(" ",TRIM(C53)&amp;" ")-1),",","."))-1)/MID(SUBSTITUTE(LEFT(TRIM(C53),FIND(" ",TRIM(C53)&amp;" ")-1),",","."),FIND("/",SUBSTITUTE(LEFT(TRIM(C53),FIND(" ",TRIM(C53)&amp;" ")-1),",","."))+1,9))*12/52,IF(ISNUMBER(SEARCH("month",C53)),IFERROR(_xlfn.NUMBERVALUE(SUBSTITUTE(LEFT(TRIM(C53),FIND(" ",TRIM(C53)&amp;" ")-1),",","."),"."),LEFT(SUBSTITUTE(LEFT(TRIM(C53),FIND(" ",TRIM(C53)&amp;" ")-1),",","."),FIND("/",SUBSTITUTE(LEFT(TRIM(C53),FIND(" ",TRIM(C53)&amp;" ")-1),",","."))-1)/MID(SUBSTITUTE(LEFT(TRIM(C53),FIND(" ",TRIM(C53)&amp;" ")-1),",","."),FIND("/",SUBSTITUTE(LEFT(TRIM(C53),FIND(" ",TRIM(C53)&amp;" ")-1),",","."))+1,9)),IF(ISNUMBER(SEARCH("yea",C53)),IFERROR(_xlfn.NUMBERVALUE(SUBSTITUTE(LEFT(TRIM(C53),FIND(" ",TRIM(C53)&amp;" ")-1),",","."),"."),LEFT(SUBSTITUTE(LEFT(TRIM(C53),FIND(" ",TRIM(C53)&amp;" ")-1),",","."),FIND("/",SUBSTITUTE(LEFT(TRIM(C53),FIND(" ",TRIM(C53)&amp;" ")-1),",","."))-1)/MID(SUBSTITUTE(LEFT(TRIM(C53),FIND(" ",TRIM(C53)&amp;" ")-1),",","."),FIND("/",SUBSTITUTE(LEFT(TRIM(C53),FIND(" ",TRIM(C53)&amp;" ")-1),",","."))+1,9))*12,NA()))),0),24)*'Aturan &amp; Tarif'!$B$4,2)</f>
        <v>1362.72</v>
      </c>
      <c r="K53" s="42" t="n">
        <f aca="false">'Aturan &amp; Tarif'!$B$5</f>
        <v>2050</v>
      </c>
      <c r="L53" s="35" t="n">
        <f aca="false">I53+J53+K53</f>
        <v>8412.72</v>
      </c>
      <c r="M53" s="45" t="s">
        <v>3068</v>
      </c>
    </row>
    <row r="54" customFormat="false" ht="14.25" hidden="false" customHeight="true" outlineLevel="0" collapsed="false">
      <c r="A54" s="39"/>
      <c r="B54" s="40" t="s">
        <v>3314</v>
      </c>
      <c r="C54" s="41" t="s">
        <v>107</v>
      </c>
      <c r="D54" s="41" t="s">
        <v>108</v>
      </c>
      <c r="E54" s="42" t="n">
        <v>2500</v>
      </c>
      <c r="F54" s="42" t="n">
        <v>2300</v>
      </c>
      <c r="G54" s="42" t="n">
        <v>200</v>
      </c>
      <c r="H54" s="43" t="n">
        <v>1</v>
      </c>
      <c r="I54" s="34" t="n">
        <f aca="false">E54*H54+N(F54)+N(G54)</f>
        <v>5000</v>
      </c>
      <c r="J54" s="42" t="n">
        <f aca="false">ROUND(IFERROR(ROUND(IF(OR(ISNUMBER(SEARCH("week",C54)),ISNUMBER(SEARCH("minggu",C54))),IFERROR(_xlfn.NUMBERVALUE(SUBSTITUTE(LEFT(TRIM(C54),FIND(" ",TRIM(C54)&amp;" ")-1),",","."),"."),LEFT(SUBSTITUTE(LEFT(TRIM(C54),FIND(" ",TRIM(C54)&amp;" ")-1),",","."),FIND("/",SUBSTITUTE(LEFT(TRIM(C54),FIND(" ",TRIM(C54)&amp;" ")-1),",","."))-1)/MID(SUBSTITUTE(LEFT(TRIM(C54),FIND(" ",TRIM(C54)&amp;" ")-1),",","."),FIND("/",SUBSTITUTE(LEFT(TRIM(C54),FIND(" ",TRIM(C54)&amp;" ")-1),",","."))+1,9))*12/52,IF(ISNUMBER(SEARCH("month",C54)),IFERROR(_xlfn.NUMBERVALUE(SUBSTITUTE(LEFT(TRIM(C54),FIND(" ",TRIM(C54)&amp;" ")-1),",","."),"."),LEFT(SUBSTITUTE(LEFT(TRIM(C54),FIND(" ",TRIM(C54)&amp;" ")-1),",","."),FIND("/",SUBSTITUTE(LEFT(TRIM(C54),FIND(" ",TRIM(C54)&amp;" ")-1),",","."))-1)/MID(SUBSTITUTE(LEFT(TRIM(C54),FIND(" ",TRIM(C54)&amp;" ")-1),",","."),FIND("/",SUBSTITUTE(LEFT(TRIM(C54),FIND(" ",TRIM(C54)&amp;" ")-1),",","."))+1,9)),IF(ISNUMBER(SEARCH("yea",C54)),IFERROR(_xlfn.NUMBERVALUE(SUBSTITUTE(LEFT(TRIM(C54),FIND(" ",TRIM(C54)&amp;" ")-1),",","."),"."),LEFT(SUBSTITUTE(LEFT(TRIM(C54),FIND(" ",TRIM(C54)&amp;" ")-1),",","."),FIND("/",SUBSTITUTE(LEFT(TRIM(C54),FIND(" ",TRIM(C54)&amp;" ")-1),",","."))-1)/MID(SUBSTITUTE(LEFT(TRIM(C54),FIND(" ",TRIM(C54)&amp;" ")-1),",","."),FIND("/",SUBSTITUTE(LEFT(TRIM(C54),FIND(" ",TRIM(C54)&amp;" ")-1),",","."))+1,9))*12,NA()))),0),24)*'Aturan &amp; Tarif'!$B$4,2)</f>
        <v>1362.72</v>
      </c>
      <c r="K54" s="42" t="n">
        <f aca="false">'Aturan &amp; Tarif'!$B$5</f>
        <v>2050</v>
      </c>
      <c r="L54" s="35" t="n">
        <f aca="false">I54+J54+K54</f>
        <v>8412.72</v>
      </c>
      <c r="M54" s="45" t="s">
        <v>3068</v>
      </c>
    </row>
    <row r="55" customFormat="false" ht="14.25" hidden="false" customHeight="true" outlineLevel="0" collapsed="false">
      <c r="A55" s="39"/>
      <c r="B55" s="40" t="s">
        <v>833</v>
      </c>
      <c r="C55" s="41" t="s">
        <v>107</v>
      </c>
      <c r="D55" s="41" t="s">
        <v>108</v>
      </c>
      <c r="E55" s="42" t="n">
        <v>1250</v>
      </c>
      <c r="F55" s="42" t="n">
        <v>0</v>
      </c>
      <c r="G55" s="42" t="n">
        <v>200</v>
      </c>
      <c r="H55" s="43" t="n">
        <v>1</v>
      </c>
      <c r="I55" s="34" t="n">
        <f aca="false">E55*H55+N(F55)+N(G55)</f>
        <v>1450</v>
      </c>
      <c r="J55" s="42" t="n">
        <f aca="false">ROUND(IFERROR(ROUND(IF(OR(ISNUMBER(SEARCH("week",C55)),ISNUMBER(SEARCH("minggu",C55))),IFERROR(_xlfn.NUMBERVALUE(SUBSTITUTE(LEFT(TRIM(C55),FIND(" ",TRIM(C55)&amp;" ")-1),",","."),"."),LEFT(SUBSTITUTE(LEFT(TRIM(C55),FIND(" ",TRIM(C55)&amp;" ")-1),",","."),FIND("/",SUBSTITUTE(LEFT(TRIM(C55),FIND(" ",TRIM(C55)&amp;" ")-1),",","."))-1)/MID(SUBSTITUTE(LEFT(TRIM(C55),FIND(" ",TRIM(C55)&amp;" ")-1),",","."),FIND("/",SUBSTITUTE(LEFT(TRIM(C55),FIND(" ",TRIM(C55)&amp;" ")-1),",","."))+1,9))*12/52,IF(ISNUMBER(SEARCH("month",C55)),IFERROR(_xlfn.NUMBERVALUE(SUBSTITUTE(LEFT(TRIM(C55),FIND(" ",TRIM(C55)&amp;" ")-1),",","."),"."),LEFT(SUBSTITUTE(LEFT(TRIM(C55),FIND(" ",TRIM(C55)&amp;" ")-1),",","."),FIND("/",SUBSTITUTE(LEFT(TRIM(C55),FIND(" ",TRIM(C55)&amp;" ")-1),",","."))-1)/MID(SUBSTITUTE(LEFT(TRIM(C55),FIND(" ",TRIM(C55)&amp;" ")-1),",","."),FIND("/",SUBSTITUTE(LEFT(TRIM(C55),FIND(" ",TRIM(C55)&amp;" ")-1),",","."))+1,9)),IF(ISNUMBER(SEARCH("yea",C55)),IFERROR(_xlfn.NUMBERVALUE(SUBSTITUTE(LEFT(TRIM(C55),FIND(" ",TRIM(C55)&amp;" ")-1),",","."),"."),LEFT(SUBSTITUTE(LEFT(TRIM(C55),FIND(" ",TRIM(C55)&amp;" ")-1),",","."),FIND("/",SUBSTITUTE(LEFT(TRIM(C55),FIND(" ",TRIM(C55)&amp;" ")-1),",","."))-1)/MID(SUBSTITUTE(LEFT(TRIM(C55),FIND(" ",TRIM(C55)&amp;" ")-1),",","."),FIND("/",SUBSTITUTE(LEFT(TRIM(C55),FIND(" ",TRIM(C55)&amp;" ")-1),",","."))+1,9))*12,NA()))),0),24)*'Aturan &amp; Tarif'!$B$4,2)</f>
        <v>1362.72</v>
      </c>
      <c r="K55" s="42" t="n">
        <f aca="false">'Aturan &amp; Tarif'!$B$5</f>
        <v>2050</v>
      </c>
      <c r="L55" s="35" t="n">
        <f aca="false">I55+J55+K55</f>
        <v>4862.72</v>
      </c>
      <c r="M55" s="45" t="s">
        <v>3067</v>
      </c>
    </row>
    <row r="56" customFormat="false" ht="25.5" hidden="false" customHeight="true" outlineLevel="0" collapsed="false">
      <c r="A56" s="39"/>
      <c r="B56" s="40" t="s">
        <v>835</v>
      </c>
      <c r="C56" s="41" t="s">
        <v>107</v>
      </c>
      <c r="D56" s="41" t="s">
        <v>108</v>
      </c>
      <c r="E56" s="42" t="n">
        <v>1625</v>
      </c>
      <c r="F56" s="42" t="n">
        <v>1000</v>
      </c>
      <c r="G56" s="42" t="n">
        <v>200</v>
      </c>
      <c r="H56" s="43" t="n">
        <v>1</v>
      </c>
      <c r="I56" s="34" t="n">
        <f aca="false">E56*H56+N(F56)+N(G56)</f>
        <v>2825</v>
      </c>
      <c r="J56" s="42" t="n">
        <f aca="false">ROUND(IFERROR(ROUND(IF(OR(ISNUMBER(SEARCH("week",C56)),ISNUMBER(SEARCH("minggu",C56))),IFERROR(_xlfn.NUMBERVALUE(SUBSTITUTE(LEFT(TRIM(C56),FIND(" ",TRIM(C56)&amp;" ")-1),",","."),"."),LEFT(SUBSTITUTE(LEFT(TRIM(C56),FIND(" ",TRIM(C56)&amp;" ")-1),",","."),FIND("/",SUBSTITUTE(LEFT(TRIM(C56),FIND(" ",TRIM(C56)&amp;" ")-1),",","."))-1)/MID(SUBSTITUTE(LEFT(TRIM(C56),FIND(" ",TRIM(C56)&amp;" ")-1),",","."),FIND("/",SUBSTITUTE(LEFT(TRIM(C56),FIND(" ",TRIM(C56)&amp;" ")-1),",","."))+1,9))*12/52,IF(ISNUMBER(SEARCH("month",C56)),IFERROR(_xlfn.NUMBERVALUE(SUBSTITUTE(LEFT(TRIM(C56),FIND(" ",TRIM(C56)&amp;" ")-1),",","."),"."),LEFT(SUBSTITUTE(LEFT(TRIM(C56),FIND(" ",TRIM(C56)&amp;" ")-1),",","."),FIND("/",SUBSTITUTE(LEFT(TRIM(C56),FIND(" ",TRIM(C56)&amp;" ")-1),",","."))-1)/MID(SUBSTITUTE(LEFT(TRIM(C56),FIND(" ",TRIM(C56)&amp;" ")-1),",","."),FIND("/",SUBSTITUTE(LEFT(TRIM(C56),FIND(" ",TRIM(C56)&amp;" ")-1),",","."))+1,9)),IF(ISNUMBER(SEARCH("yea",C56)),IFERROR(_xlfn.NUMBERVALUE(SUBSTITUTE(LEFT(TRIM(C56),FIND(" ",TRIM(C56)&amp;" ")-1),",","."),"."),LEFT(SUBSTITUTE(LEFT(TRIM(C56),FIND(" ",TRIM(C56)&amp;" ")-1),",","."),FIND("/",SUBSTITUTE(LEFT(TRIM(C56),FIND(" ",TRIM(C56)&amp;" ")-1),",","."))-1)/MID(SUBSTITUTE(LEFT(TRIM(C56),FIND(" ",TRIM(C56)&amp;" ")-1),",","."),FIND("/",SUBSTITUTE(LEFT(TRIM(C56),FIND(" ",TRIM(C56)&amp;" ")-1),",","."))+1,9))*12,NA()))),0),24)*'Aturan &amp; Tarif'!$B$4,2)</f>
        <v>1362.72</v>
      </c>
      <c r="K56" s="42" t="n">
        <f aca="false">'Aturan &amp; Tarif'!$B$5</f>
        <v>2050</v>
      </c>
      <c r="L56" s="35" t="n">
        <f aca="false">I56+J56+K56</f>
        <v>6237.72</v>
      </c>
      <c r="M56" s="45" t="s">
        <v>3068</v>
      </c>
    </row>
    <row r="57" customFormat="false" ht="37.5" hidden="false" customHeight="true" outlineLevel="0" collapsed="false">
      <c r="A57" s="39"/>
      <c r="B57" s="40" t="s">
        <v>837</v>
      </c>
      <c r="C57" s="41" t="s">
        <v>107</v>
      </c>
      <c r="D57" s="41" t="s">
        <v>108</v>
      </c>
      <c r="E57" s="42" t="n">
        <v>2375</v>
      </c>
      <c r="F57" s="42" t="n">
        <v>500</v>
      </c>
      <c r="G57" s="42" t="n">
        <v>200</v>
      </c>
      <c r="H57" s="43" t="n">
        <v>1</v>
      </c>
      <c r="I57" s="34" t="n">
        <f aca="false">E57*H57+N(F57)+N(G57)</f>
        <v>3075</v>
      </c>
      <c r="J57" s="42" t="n">
        <f aca="false">ROUND(IFERROR(ROUND(IF(OR(ISNUMBER(SEARCH("week",C57)),ISNUMBER(SEARCH("minggu",C57))),IFERROR(_xlfn.NUMBERVALUE(SUBSTITUTE(LEFT(TRIM(C57),FIND(" ",TRIM(C57)&amp;" ")-1),",","."),"."),LEFT(SUBSTITUTE(LEFT(TRIM(C57),FIND(" ",TRIM(C57)&amp;" ")-1),",","."),FIND("/",SUBSTITUTE(LEFT(TRIM(C57),FIND(" ",TRIM(C57)&amp;" ")-1),",","."))-1)/MID(SUBSTITUTE(LEFT(TRIM(C57),FIND(" ",TRIM(C57)&amp;" ")-1),",","."),FIND("/",SUBSTITUTE(LEFT(TRIM(C57),FIND(" ",TRIM(C57)&amp;" ")-1),",","."))+1,9))*12/52,IF(ISNUMBER(SEARCH("month",C57)),IFERROR(_xlfn.NUMBERVALUE(SUBSTITUTE(LEFT(TRIM(C57),FIND(" ",TRIM(C57)&amp;" ")-1),",","."),"."),LEFT(SUBSTITUTE(LEFT(TRIM(C57),FIND(" ",TRIM(C57)&amp;" ")-1),",","."),FIND("/",SUBSTITUTE(LEFT(TRIM(C57),FIND(" ",TRIM(C57)&amp;" ")-1),",","."))-1)/MID(SUBSTITUTE(LEFT(TRIM(C57),FIND(" ",TRIM(C57)&amp;" ")-1),",","."),FIND("/",SUBSTITUTE(LEFT(TRIM(C57),FIND(" ",TRIM(C57)&amp;" ")-1),",","."))+1,9)),IF(ISNUMBER(SEARCH("yea",C57)),IFERROR(_xlfn.NUMBERVALUE(SUBSTITUTE(LEFT(TRIM(C57),FIND(" ",TRIM(C57)&amp;" ")-1),",","."),"."),LEFT(SUBSTITUTE(LEFT(TRIM(C57),FIND(" ",TRIM(C57)&amp;" ")-1),",","."),FIND("/",SUBSTITUTE(LEFT(TRIM(C57),FIND(" ",TRIM(C57)&amp;" ")-1),",","."))-1)/MID(SUBSTITUTE(LEFT(TRIM(C57),FIND(" ",TRIM(C57)&amp;" ")-1),",","."),FIND("/",SUBSTITUTE(LEFT(TRIM(C57),FIND(" ",TRIM(C57)&amp;" ")-1),",","."))+1,9))*12,NA()))),0),24)*'Aturan &amp; Tarif'!$B$4,2)</f>
        <v>1362.72</v>
      </c>
      <c r="K57" s="42" t="n">
        <f aca="false">'Aturan &amp; Tarif'!$B$5</f>
        <v>2050</v>
      </c>
      <c r="L57" s="35" t="n">
        <f aca="false">I57+J57+K57</f>
        <v>6487.72</v>
      </c>
      <c r="M57" s="45" t="s">
        <v>3068</v>
      </c>
    </row>
    <row r="58" customFormat="false" ht="25.5" hidden="false" customHeight="true" outlineLevel="0" collapsed="false">
      <c r="A58" s="39"/>
      <c r="B58" s="40" t="s">
        <v>1561</v>
      </c>
      <c r="C58" s="41" t="s">
        <v>107</v>
      </c>
      <c r="D58" s="41" t="s">
        <v>108</v>
      </c>
      <c r="E58" s="42" t="n">
        <v>1875</v>
      </c>
      <c r="F58" s="42" t="n">
        <v>1500</v>
      </c>
      <c r="G58" s="42" t="n">
        <v>200</v>
      </c>
      <c r="H58" s="43" t="n">
        <v>1</v>
      </c>
      <c r="I58" s="34" t="n">
        <f aca="false">E58*H58+N(F58)+N(G58)</f>
        <v>3575</v>
      </c>
      <c r="J58" s="42" t="n">
        <f aca="false">ROUND(IFERROR(ROUND(IF(OR(ISNUMBER(SEARCH("week",C58)),ISNUMBER(SEARCH("minggu",C58))),IFERROR(_xlfn.NUMBERVALUE(SUBSTITUTE(LEFT(TRIM(C58),FIND(" ",TRIM(C58)&amp;" ")-1),",","."),"."),LEFT(SUBSTITUTE(LEFT(TRIM(C58),FIND(" ",TRIM(C58)&amp;" ")-1),",","."),FIND("/",SUBSTITUTE(LEFT(TRIM(C58),FIND(" ",TRIM(C58)&amp;" ")-1),",","."))-1)/MID(SUBSTITUTE(LEFT(TRIM(C58),FIND(" ",TRIM(C58)&amp;" ")-1),",","."),FIND("/",SUBSTITUTE(LEFT(TRIM(C58),FIND(" ",TRIM(C58)&amp;" ")-1),",","."))+1,9))*12/52,IF(ISNUMBER(SEARCH("month",C58)),IFERROR(_xlfn.NUMBERVALUE(SUBSTITUTE(LEFT(TRIM(C58),FIND(" ",TRIM(C58)&amp;" ")-1),",","."),"."),LEFT(SUBSTITUTE(LEFT(TRIM(C58),FIND(" ",TRIM(C58)&amp;" ")-1),",","."),FIND("/",SUBSTITUTE(LEFT(TRIM(C58),FIND(" ",TRIM(C58)&amp;" ")-1),",","."))-1)/MID(SUBSTITUTE(LEFT(TRIM(C58),FIND(" ",TRIM(C58)&amp;" ")-1),",","."),FIND("/",SUBSTITUTE(LEFT(TRIM(C58),FIND(" ",TRIM(C58)&amp;" ")-1),",","."))+1,9)),IF(ISNUMBER(SEARCH("yea",C58)),IFERROR(_xlfn.NUMBERVALUE(SUBSTITUTE(LEFT(TRIM(C58),FIND(" ",TRIM(C58)&amp;" ")-1),",","."),"."),LEFT(SUBSTITUTE(LEFT(TRIM(C58),FIND(" ",TRIM(C58)&amp;" ")-1),",","."),FIND("/",SUBSTITUTE(LEFT(TRIM(C58),FIND(" ",TRIM(C58)&amp;" ")-1),",","."))-1)/MID(SUBSTITUTE(LEFT(TRIM(C58),FIND(" ",TRIM(C58)&amp;" ")-1),",","."),FIND("/",SUBSTITUTE(LEFT(TRIM(C58),FIND(" ",TRIM(C58)&amp;" ")-1),",","."))+1,9))*12,NA()))),0),24)*'Aturan &amp; Tarif'!$B$4,2)</f>
        <v>1362.72</v>
      </c>
      <c r="K58" s="42" t="n">
        <f aca="false">'Aturan &amp; Tarif'!$B$5</f>
        <v>2050</v>
      </c>
      <c r="L58" s="35" t="n">
        <f aca="false">I58+J58+K58</f>
        <v>6987.72</v>
      </c>
      <c r="M58" s="45" t="s">
        <v>3068</v>
      </c>
    </row>
    <row r="59" customFormat="false" ht="25.5" hidden="false" customHeight="true" outlineLevel="0" collapsed="false">
      <c r="A59" s="39"/>
      <c r="B59" s="40" t="s">
        <v>1884</v>
      </c>
      <c r="C59" s="41" t="s">
        <v>107</v>
      </c>
      <c r="D59" s="41" t="s">
        <v>108</v>
      </c>
      <c r="E59" s="42" t="n">
        <v>1250</v>
      </c>
      <c r="F59" s="42" t="n">
        <v>0</v>
      </c>
      <c r="G59" s="42" t="n">
        <v>200</v>
      </c>
      <c r="H59" s="43" t="n">
        <v>1</v>
      </c>
      <c r="I59" s="34" t="n">
        <f aca="false">E59*H59+N(F59)+N(G59)</f>
        <v>1450</v>
      </c>
      <c r="J59" s="42" t="n">
        <f aca="false">ROUND(IFERROR(ROUND(IF(OR(ISNUMBER(SEARCH("week",C59)),ISNUMBER(SEARCH("minggu",C59))),IFERROR(_xlfn.NUMBERVALUE(SUBSTITUTE(LEFT(TRIM(C59),FIND(" ",TRIM(C59)&amp;" ")-1),",","."),"."),LEFT(SUBSTITUTE(LEFT(TRIM(C59),FIND(" ",TRIM(C59)&amp;" ")-1),",","."),FIND("/",SUBSTITUTE(LEFT(TRIM(C59),FIND(" ",TRIM(C59)&amp;" ")-1),",","."))-1)/MID(SUBSTITUTE(LEFT(TRIM(C59),FIND(" ",TRIM(C59)&amp;" ")-1),",","."),FIND("/",SUBSTITUTE(LEFT(TRIM(C59),FIND(" ",TRIM(C59)&amp;" ")-1),",","."))+1,9))*12/52,IF(ISNUMBER(SEARCH("month",C59)),IFERROR(_xlfn.NUMBERVALUE(SUBSTITUTE(LEFT(TRIM(C59),FIND(" ",TRIM(C59)&amp;" ")-1),",","."),"."),LEFT(SUBSTITUTE(LEFT(TRIM(C59),FIND(" ",TRIM(C59)&amp;" ")-1),",","."),FIND("/",SUBSTITUTE(LEFT(TRIM(C59),FIND(" ",TRIM(C59)&amp;" ")-1),",","."))-1)/MID(SUBSTITUTE(LEFT(TRIM(C59),FIND(" ",TRIM(C59)&amp;" ")-1),",","."),FIND("/",SUBSTITUTE(LEFT(TRIM(C59),FIND(" ",TRIM(C59)&amp;" ")-1),",","."))+1,9)),IF(ISNUMBER(SEARCH("yea",C59)),IFERROR(_xlfn.NUMBERVALUE(SUBSTITUTE(LEFT(TRIM(C59),FIND(" ",TRIM(C59)&amp;" ")-1),",","."),"."),LEFT(SUBSTITUTE(LEFT(TRIM(C59),FIND(" ",TRIM(C59)&amp;" ")-1),",","."),FIND("/",SUBSTITUTE(LEFT(TRIM(C59),FIND(" ",TRIM(C59)&amp;" ")-1),",","."))-1)/MID(SUBSTITUTE(LEFT(TRIM(C59),FIND(" ",TRIM(C59)&amp;" ")-1),",","."),FIND("/",SUBSTITUTE(LEFT(TRIM(C59),FIND(" ",TRIM(C59)&amp;" ")-1),",","."))+1,9))*12,NA()))),0),24)*'Aturan &amp; Tarif'!$B$4,2)</f>
        <v>1362.72</v>
      </c>
      <c r="K59" s="42" t="n">
        <f aca="false">'Aturan &amp; Tarif'!$B$5</f>
        <v>2050</v>
      </c>
      <c r="L59" s="35" t="n">
        <f aca="false">I59+J59+K59</f>
        <v>4862.72</v>
      </c>
      <c r="M59" s="45" t="s">
        <v>3067</v>
      </c>
    </row>
    <row r="60" customFormat="false" ht="48.75" hidden="false" customHeight="true" outlineLevel="0" collapsed="false">
      <c r="A60" s="39"/>
      <c r="B60" s="40" t="s">
        <v>1562</v>
      </c>
      <c r="C60" s="41" t="s">
        <v>107</v>
      </c>
      <c r="D60" s="41" t="s">
        <v>108</v>
      </c>
      <c r="E60" s="42" t="n">
        <v>1250</v>
      </c>
      <c r="F60" s="42" t="n">
        <v>0</v>
      </c>
      <c r="G60" s="42" t="n">
        <v>200</v>
      </c>
      <c r="H60" s="43" t="n">
        <v>1</v>
      </c>
      <c r="I60" s="34" t="n">
        <f aca="false">E60*H60+N(F60)+N(G60)</f>
        <v>1450</v>
      </c>
      <c r="J60" s="42" t="n">
        <f aca="false">ROUND(IFERROR(ROUND(IF(OR(ISNUMBER(SEARCH("week",C60)),ISNUMBER(SEARCH("minggu",C60))),IFERROR(_xlfn.NUMBERVALUE(SUBSTITUTE(LEFT(TRIM(C60),FIND(" ",TRIM(C60)&amp;" ")-1),",","."),"."),LEFT(SUBSTITUTE(LEFT(TRIM(C60),FIND(" ",TRIM(C60)&amp;" ")-1),",","."),FIND("/",SUBSTITUTE(LEFT(TRIM(C60),FIND(" ",TRIM(C60)&amp;" ")-1),",","."))-1)/MID(SUBSTITUTE(LEFT(TRIM(C60),FIND(" ",TRIM(C60)&amp;" ")-1),",","."),FIND("/",SUBSTITUTE(LEFT(TRIM(C60),FIND(" ",TRIM(C60)&amp;" ")-1),",","."))+1,9))*12/52,IF(ISNUMBER(SEARCH("month",C60)),IFERROR(_xlfn.NUMBERVALUE(SUBSTITUTE(LEFT(TRIM(C60),FIND(" ",TRIM(C60)&amp;" ")-1),",","."),"."),LEFT(SUBSTITUTE(LEFT(TRIM(C60),FIND(" ",TRIM(C60)&amp;" ")-1),",","."),FIND("/",SUBSTITUTE(LEFT(TRIM(C60),FIND(" ",TRIM(C60)&amp;" ")-1),",","."))-1)/MID(SUBSTITUTE(LEFT(TRIM(C60),FIND(" ",TRIM(C60)&amp;" ")-1),",","."),FIND("/",SUBSTITUTE(LEFT(TRIM(C60),FIND(" ",TRIM(C60)&amp;" ")-1),",","."))+1,9)),IF(ISNUMBER(SEARCH("yea",C60)),IFERROR(_xlfn.NUMBERVALUE(SUBSTITUTE(LEFT(TRIM(C60),FIND(" ",TRIM(C60)&amp;" ")-1),",","."),"."),LEFT(SUBSTITUTE(LEFT(TRIM(C60),FIND(" ",TRIM(C60)&amp;" ")-1),",","."),FIND("/",SUBSTITUTE(LEFT(TRIM(C60),FIND(" ",TRIM(C60)&amp;" ")-1),",","."))-1)/MID(SUBSTITUTE(LEFT(TRIM(C60),FIND(" ",TRIM(C60)&amp;" ")-1),",","."),FIND("/",SUBSTITUTE(LEFT(TRIM(C60),FIND(" ",TRIM(C60)&amp;" ")-1),",","."))+1,9))*12,NA()))),0),24)*'Aturan &amp; Tarif'!$B$4,2)</f>
        <v>1362.72</v>
      </c>
      <c r="K60" s="42" t="n">
        <f aca="false">'Aturan &amp; Tarif'!$B$5</f>
        <v>2050</v>
      </c>
      <c r="L60" s="35" t="n">
        <f aca="false">I60+J60+K60</f>
        <v>4862.72</v>
      </c>
      <c r="M60" s="45" t="s">
        <v>3067</v>
      </c>
    </row>
    <row r="61" customFormat="false" ht="48.75" hidden="false" customHeight="true" outlineLevel="0" collapsed="false">
      <c r="A61" s="29" t="s">
        <v>2784</v>
      </c>
      <c r="B61" s="30" t="s">
        <v>3315</v>
      </c>
      <c r="C61" s="31" t="s">
        <v>107</v>
      </c>
      <c r="D61" s="31" t="s">
        <v>108</v>
      </c>
      <c r="E61" s="32" t="n">
        <v>1250</v>
      </c>
      <c r="F61" s="32" t="n">
        <v>1250</v>
      </c>
      <c r="G61" s="32" t="n">
        <v>250</v>
      </c>
      <c r="H61" s="33" t="n">
        <v>1</v>
      </c>
      <c r="I61" s="34" t="n">
        <f aca="false">E61*H61+N(F61)+N(G61)</f>
        <v>2750</v>
      </c>
      <c r="J61" s="32" t="n">
        <f aca="false">ROUND(IFERROR(ROUND(IF(OR(ISNUMBER(SEARCH("week",C61)),ISNUMBER(SEARCH("minggu",C61))),IFERROR(_xlfn.NUMBERVALUE(SUBSTITUTE(LEFT(TRIM(C61),FIND(" ",TRIM(C61)&amp;" ")-1),",","."),"."),LEFT(SUBSTITUTE(LEFT(TRIM(C61),FIND(" ",TRIM(C61)&amp;" ")-1),",","."),FIND("/",SUBSTITUTE(LEFT(TRIM(C61),FIND(" ",TRIM(C61)&amp;" ")-1),",","."))-1)/MID(SUBSTITUTE(LEFT(TRIM(C61),FIND(" ",TRIM(C61)&amp;" ")-1),",","."),FIND("/",SUBSTITUTE(LEFT(TRIM(C61),FIND(" ",TRIM(C61)&amp;" ")-1),",","."))+1,9))*12/52,IF(ISNUMBER(SEARCH("month",C61)),IFERROR(_xlfn.NUMBERVALUE(SUBSTITUTE(LEFT(TRIM(C61),FIND(" ",TRIM(C61)&amp;" ")-1),",","."),"."),LEFT(SUBSTITUTE(LEFT(TRIM(C61),FIND(" ",TRIM(C61)&amp;" ")-1),",","."),FIND("/",SUBSTITUTE(LEFT(TRIM(C61),FIND(" ",TRIM(C61)&amp;" ")-1),",","."))-1)/MID(SUBSTITUTE(LEFT(TRIM(C61),FIND(" ",TRIM(C61)&amp;" ")-1),",","."),FIND("/",SUBSTITUTE(LEFT(TRIM(C61),FIND(" ",TRIM(C61)&amp;" ")-1),",","."))+1,9)),IF(ISNUMBER(SEARCH("yea",C61)),IFERROR(_xlfn.NUMBERVALUE(SUBSTITUTE(LEFT(TRIM(C61),FIND(" ",TRIM(C61)&amp;" ")-1),",","."),"."),LEFT(SUBSTITUTE(LEFT(TRIM(C61),FIND(" ",TRIM(C61)&amp;" ")-1),",","."),FIND("/",SUBSTITUTE(LEFT(TRIM(C61),FIND(" ",TRIM(C61)&amp;" ")-1),",","."))-1)/MID(SUBSTITUTE(LEFT(TRIM(C61),FIND(" ",TRIM(C61)&amp;" ")-1),",","."),FIND("/",SUBSTITUTE(LEFT(TRIM(C61),FIND(" ",TRIM(C61)&amp;" ")-1),",","."))+1,9))*12,NA()))),0),24)*'Aturan &amp; Tarif'!$B$4,2)</f>
        <v>1362.72</v>
      </c>
      <c r="K61" s="32" t="n">
        <f aca="false">'Aturan &amp; Tarif'!$B$5</f>
        <v>2050</v>
      </c>
      <c r="L61" s="35" t="n">
        <f aca="false">I61+J61+K61</f>
        <v>6162.72</v>
      </c>
      <c r="M61" s="36" t="s">
        <v>3316</v>
      </c>
    </row>
    <row r="62" customFormat="false" ht="48.75" hidden="false" customHeight="true" outlineLevel="0" collapsed="false">
      <c r="A62" s="29"/>
      <c r="B62" s="30" t="s">
        <v>3317</v>
      </c>
      <c r="C62" s="31" t="s">
        <v>127</v>
      </c>
      <c r="D62" s="31" t="s">
        <v>108</v>
      </c>
      <c r="E62" s="32" t="n">
        <v>1250</v>
      </c>
      <c r="F62" s="32" t="n">
        <v>1250</v>
      </c>
      <c r="G62" s="32" t="n">
        <v>250</v>
      </c>
      <c r="H62" s="33" t="n">
        <v>1</v>
      </c>
      <c r="I62" s="34" t="n">
        <f aca="false">E62*H62+N(F62)+N(G62)</f>
        <v>2750</v>
      </c>
      <c r="J62" s="32" t="n">
        <f aca="false">ROUND(IFERROR(ROUND(IF(OR(ISNUMBER(SEARCH("week",C62)),ISNUMBER(SEARCH("minggu",C62))),IFERROR(_xlfn.NUMBERVALUE(SUBSTITUTE(LEFT(TRIM(C62),FIND(" ",TRIM(C62)&amp;" ")-1),",","."),"."),LEFT(SUBSTITUTE(LEFT(TRIM(C62),FIND(" ",TRIM(C62)&amp;" ")-1),",","."),FIND("/",SUBSTITUTE(LEFT(TRIM(C62),FIND(" ",TRIM(C62)&amp;" ")-1),",","."))-1)/MID(SUBSTITUTE(LEFT(TRIM(C62),FIND(" ",TRIM(C62)&amp;" ")-1),",","."),FIND("/",SUBSTITUTE(LEFT(TRIM(C62),FIND(" ",TRIM(C62)&amp;" ")-1),",","."))+1,9))*12/52,IF(ISNUMBER(SEARCH("month",C62)),IFERROR(_xlfn.NUMBERVALUE(SUBSTITUTE(LEFT(TRIM(C62),FIND(" ",TRIM(C62)&amp;" ")-1),",","."),"."),LEFT(SUBSTITUTE(LEFT(TRIM(C62),FIND(" ",TRIM(C62)&amp;" ")-1),",","."),FIND("/",SUBSTITUTE(LEFT(TRIM(C62),FIND(" ",TRIM(C62)&amp;" ")-1),",","."))-1)/MID(SUBSTITUTE(LEFT(TRIM(C62),FIND(" ",TRIM(C62)&amp;" ")-1),",","."),FIND("/",SUBSTITUTE(LEFT(TRIM(C62),FIND(" ",TRIM(C62)&amp;" ")-1),",","."))+1,9)),IF(ISNUMBER(SEARCH("yea",C62)),IFERROR(_xlfn.NUMBERVALUE(SUBSTITUTE(LEFT(TRIM(C62),FIND(" ",TRIM(C62)&amp;" ")-1),",","."),"."),LEFT(SUBSTITUTE(LEFT(TRIM(C62),FIND(" ",TRIM(C62)&amp;" ")-1),",","."),FIND("/",SUBSTITUTE(LEFT(TRIM(C62),FIND(" ",TRIM(C62)&amp;" ")-1),",","."))-1)/MID(SUBSTITUTE(LEFT(TRIM(C62),FIND(" ",TRIM(C62)&amp;" ")-1),",","."),FIND("/",SUBSTITUTE(LEFT(TRIM(C62),FIND(" ",TRIM(C62)&amp;" ")-1),",","."))+1,9))*12,NA()))),0),36)*'Aturan &amp; Tarif'!$B$4,2)</f>
        <v>2044.08</v>
      </c>
      <c r="K62" s="32" t="n">
        <f aca="false">'Aturan &amp; Tarif'!$B$5</f>
        <v>2050</v>
      </c>
      <c r="L62" s="35" t="n">
        <f aca="false">I62+J62+K62</f>
        <v>6844.08</v>
      </c>
      <c r="M62" s="36" t="s">
        <v>3318</v>
      </c>
    </row>
    <row r="63" customFormat="false" ht="48.75" hidden="false" customHeight="true" outlineLevel="0" collapsed="false">
      <c r="A63" s="29"/>
      <c r="B63" s="30" t="s">
        <v>3319</v>
      </c>
      <c r="C63" s="31" t="s">
        <v>127</v>
      </c>
      <c r="D63" s="31" t="s">
        <v>108</v>
      </c>
      <c r="E63" s="32" t="n">
        <v>2125</v>
      </c>
      <c r="F63" s="32" t="n">
        <v>1250</v>
      </c>
      <c r="G63" s="32" t="n">
        <v>250</v>
      </c>
      <c r="H63" s="33" t="n">
        <v>1</v>
      </c>
      <c r="I63" s="34" t="n">
        <f aca="false">E63*H63+N(F63)+N(G63)</f>
        <v>3625</v>
      </c>
      <c r="J63" s="32" t="n">
        <f aca="false">ROUND(IFERROR(ROUND(IF(OR(ISNUMBER(SEARCH("week",C63)),ISNUMBER(SEARCH("minggu",C63))),IFERROR(_xlfn.NUMBERVALUE(SUBSTITUTE(LEFT(TRIM(C63),FIND(" ",TRIM(C63)&amp;" ")-1),",","."),"."),LEFT(SUBSTITUTE(LEFT(TRIM(C63),FIND(" ",TRIM(C63)&amp;" ")-1),",","."),FIND("/",SUBSTITUTE(LEFT(TRIM(C63),FIND(" ",TRIM(C63)&amp;" ")-1),",","."))-1)/MID(SUBSTITUTE(LEFT(TRIM(C63),FIND(" ",TRIM(C63)&amp;" ")-1),",","."),FIND("/",SUBSTITUTE(LEFT(TRIM(C63),FIND(" ",TRIM(C63)&amp;" ")-1),",","."))+1,9))*12/52,IF(ISNUMBER(SEARCH("month",C63)),IFERROR(_xlfn.NUMBERVALUE(SUBSTITUTE(LEFT(TRIM(C63),FIND(" ",TRIM(C63)&amp;" ")-1),",","."),"."),LEFT(SUBSTITUTE(LEFT(TRIM(C63),FIND(" ",TRIM(C63)&amp;" ")-1),",","."),FIND("/",SUBSTITUTE(LEFT(TRIM(C63),FIND(" ",TRIM(C63)&amp;" ")-1),",","."))-1)/MID(SUBSTITUTE(LEFT(TRIM(C63),FIND(" ",TRIM(C63)&amp;" ")-1),",","."),FIND("/",SUBSTITUTE(LEFT(TRIM(C63),FIND(" ",TRIM(C63)&amp;" ")-1),",","."))+1,9)),IF(ISNUMBER(SEARCH("yea",C63)),IFERROR(_xlfn.NUMBERVALUE(SUBSTITUTE(LEFT(TRIM(C63),FIND(" ",TRIM(C63)&amp;" ")-1),",","."),"."),LEFT(SUBSTITUTE(LEFT(TRIM(C63),FIND(" ",TRIM(C63)&amp;" ")-1),",","."),FIND("/",SUBSTITUTE(LEFT(TRIM(C63),FIND(" ",TRIM(C63)&amp;" ")-1),",","."))-1)/MID(SUBSTITUTE(LEFT(TRIM(C63),FIND(" ",TRIM(C63)&amp;" ")-1),",","."),FIND("/",SUBSTITUTE(LEFT(TRIM(C63),FIND(" ",TRIM(C63)&amp;" ")-1),",","."))+1,9))*12,NA()))),0),36)*'Aturan &amp; Tarif'!$B$4,2)</f>
        <v>2044.08</v>
      </c>
      <c r="K63" s="32" t="n">
        <f aca="false">'Aturan &amp; Tarif'!$B$5</f>
        <v>2050</v>
      </c>
      <c r="L63" s="35" t="n">
        <f aca="false">I63+J63+K63</f>
        <v>7719.08</v>
      </c>
      <c r="M63" s="36" t="s">
        <v>3320</v>
      </c>
    </row>
    <row r="64" customFormat="false" ht="37.5" hidden="false" customHeight="true" outlineLevel="0" collapsed="false">
      <c r="A64" s="29"/>
      <c r="B64" s="30" t="s">
        <v>3321</v>
      </c>
      <c r="C64" s="31" t="s">
        <v>107</v>
      </c>
      <c r="D64" s="31" t="s">
        <v>108</v>
      </c>
      <c r="E64" s="32" t="n">
        <v>2000</v>
      </c>
      <c r="F64" s="32" t="n">
        <v>1500</v>
      </c>
      <c r="G64" s="32" t="n">
        <v>250</v>
      </c>
      <c r="H64" s="33" t="n">
        <v>1</v>
      </c>
      <c r="I64" s="34" t="n">
        <f aca="false">E64*H64+N(F64)+N(G64)</f>
        <v>3750</v>
      </c>
      <c r="J64" s="32" t="n">
        <f aca="false">ROUND(IFERROR(ROUND(IF(OR(ISNUMBER(SEARCH("week",C64)),ISNUMBER(SEARCH("minggu",C64))),IFERROR(_xlfn.NUMBERVALUE(SUBSTITUTE(LEFT(TRIM(C64),FIND(" ",TRIM(C64)&amp;" ")-1),",","."),"."),LEFT(SUBSTITUTE(LEFT(TRIM(C64),FIND(" ",TRIM(C64)&amp;" ")-1),",","."),FIND("/",SUBSTITUTE(LEFT(TRIM(C64),FIND(" ",TRIM(C64)&amp;" ")-1),",","."))-1)/MID(SUBSTITUTE(LEFT(TRIM(C64),FIND(" ",TRIM(C64)&amp;" ")-1),",","."),FIND("/",SUBSTITUTE(LEFT(TRIM(C64),FIND(" ",TRIM(C64)&amp;" ")-1),",","."))+1,9))*12/52,IF(ISNUMBER(SEARCH("month",C64)),IFERROR(_xlfn.NUMBERVALUE(SUBSTITUTE(LEFT(TRIM(C64),FIND(" ",TRIM(C64)&amp;" ")-1),",","."),"."),LEFT(SUBSTITUTE(LEFT(TRIM(C64),FIND(" ",TRIM(C64)&amp;" ")-1),",","."),FIND("/",SUBSTITUTE(LEFT(TRIM(C64),FIND(" ",TRIM(C64)&amp;" ")-1),",","."))-1)/MID(SUBSTITUTE(LEFT(TRIM(C64),FIND(" ",TRIM(C64)&amp;" ")-1),",","."),FIND("/",SUBSTITUTE(LEFT(TRIM(C64),FIND(" ",TRIM(C64)&amp;" ")-1),",","."))+1,9)),IF(ISNUMBER(SEARCH("yea",C64)),IFERROR(_xlfn.NUMBERVALUE(SUBSTITUTE(LEFT(TRIM(C64),FIND(" ",TRIM(C64)&amp;" ")-1),",","."),"."),LEFT(SUBSTITUTE(LEFT(TRIM(C64),FIND(" ",TRIM(C64)&amp;" ")-1),",","."),FIND("/",SUBSTITUTE(LEFT(TRIM(C64),FIND(" ",TRIM(C64)&amp;" ")-1),",","."))-1)/MID(SUBSTITUTE(LEFT(TRIM(C64),FIND(" ",TRIM(C64)&amp;" ")-1),",","."),FIND("/",SUBSTITUTE(LEFT(TRIM(C64),FIND(" ",TRIM(C64)&amp;" ")-1),",","."))+1,9))*12,NA()))),0),24)*'Aturan &amp; Tarif'!$B$4,2)</f>
        <v>1362.72</v>
      </c>
      <c r="K64" s="32" t="n">
        <f aca="false">'Aturan &amp; Tarif'!$B$5</f>
        <v>2050</v>
      </c>
      <c r="L64" s="35" t="n">
        <f aca="false">I64+J64+K64</f>
        <v>7162.72</v>
      </c>
      <c r="M64" s="36" t="s">
        <v>3322</v>
      </c>
    </row>
    <row r="65" customFormat="false" ht="37.5" hidden="false" customHeight="true" outlineLevel="0" collapsed="false">
      <c r="A65" s="29" t="s">
        <v>2791</v>
      </c>
      <c r="B65" s="30" t="s">
        <v>2793</v>
      </c>
      <c r="C65" s="31" t="s">
        <v>127</v>
      </c>
      <c r="D65" s="31" t="s">
        <v>108</v>
      </c>
      <c r="E65" s="32" t="n">
        <v>1625</v>
      </c>
      <c r="F65" s="32" t="n">
        <v>200</v>
      </c>
      <c r="G65" s="32" t="n">
        <v>250</v>
      </c>
      <c r="H65" s="33" t="n">
        <v>1</v>
      </c>
      <c r="I65" s="34" t="n">
        <f aca="false">E65*H65+N(F65)+N(G65)</f>
        <v>2075</v>
      </c>
      <c r="J65" s="32" t="n">
        <f aca="false">ROUND(IFERROR(ROUND(IF(OR(ISNUMBER(SEARCH("week",C65)),ISNUMBER(SEARCH("minggu",C65))),IFERROR(_xlfn.NUMBERVALUE(SUBSTITUTE(LEFT(TRIM(C65),FIND(" ",TRIM(C65)&amp;" ")-1),",","."),"."),LEFT(SUBSTITUTE(LEFT(TRIM(C65),FIND(" ",TRIM(C65)&amp;" ")-1),",","."),FIND("/",SUBSTITUTE(LEFT(TRIM(C65),FIND(" ",TRIM(C65)&amp;" ")-1),",","."))-1)/MID(SUBSTITUTE(LEFT(TRIM(C65),FIND(" ",TRIM(C65)&amp;" ")-1),",","."),FIND("/",SUBSTITUTE(LEFT(TRIM(C65),FIND(" ",TRIM(C65)&amp;" ")-1),",","."))+1,9))*12/52,IF(ISNUMBER(SEARCH("month",C65)),IFERROR(_xlfn.NUMBERVALUE(SUBSTITUTE(LEFT(TRIM(C65),FIND(" ",TRIM(C65)&amp;" ")-1),",","."),"."),LEFT(SUBSTITUTE(LEFT(TRIM(C65),FIND(" ",TRIM(C65)&amp;" ")-1),",","."),FIND("/",SUBSTITUTE(LEFT(TRIM(C65),FIND(" ",TRIM(C65)&amp;" ")-1),",","."))-1)/MID(SUBSTITUTE(LEFT(TRIM(C65),FIND(" ",TRIM(C65)&amp;" ")-1),",","."),FIND("/",SUBSTITUTE(LEFT(TRIM(C65),FIND(" ",TRIM(C65)&amp;" ")-1),",","."))+1,9)),IF(ISNUMBER(SEARCH("yea",C65)),IFERROR(_xlfn.NUMBERVALUE(SUBSTITUTE(LEFT(TRIM(C65),FIND(" ",TRIM(C65)&amp;" ")-1),",","."),"."),LEFT(SUBSTITUTE(LEFT(TRIM(C65),FIND(" ",TRIM(C65)&amp;" ")-1),",","."),FIND("/",SUBSTITUTE(LEFT(TRIM(C65),FIND(" ",TRIM(C65)&amp;" ")-1),",","."))-1)/MID(SUBSTITUTE(LEFT(TRIM(C65),FIND(" ",TRIM(C65)&amp;" ")-1),",","."),FIND("/",SUBSTITUTE(LEFT(TRIM(C65),FIND(" ",TRIM(C65)&amp;" ")-1),",","."))+1,9))*12,NA()))),0),36)*'Aturan &amp; Tarif'!$B$4,2)</f>
        <v>2044.08</v>
      </c>
      <c r="K65" s="32" t="n">
        <f aca="false">'Aturan &amp; Tarif'!$B$5</f>
        <v>2050</v>
      </c>
      <c r="L65" s="35" t="n">
        <f aca="false">I65+J65+K65</f>
        <v>6169.08</v>
      </c>
      <c r="M65" s="37" t="s">
        <v>134</v>
      </c>
    </row>
    <row r="66" customFormat="false" ht="25.5" hidden="false" customHeight="true" outlineLevel="0" collapsed="false">
      <c r="A66" s="29"/>
      <c r="B66" s="30" t="s">
        <v>2794</v>
      </c>
      <c r="C66" s="31" t="s">
        <v>107</v>
      </c>
      <c r="D66" s="31" t="s">
        <v>108</v>
      </c>
      <c r="E66" s="32" t="n">
        <v>1625</v>
      </c>
      <c r="F66" s="32" t="n">
        <v>200</v>
      </c>
      <c r="G66" s="32" t="n">
        <v>250</v>
      </c>
      <c r="H66" s="33" t="n">
        <v>1</v>
      </c>
      <c r="I66" s="34" t="n">
        <f aca="false">E66*H66+N(F66)+N(G66)</f>
        <v>2075</v>
      </c>
      <c r="J66" s="32" t="n">
        <f aca="false">ROUND(IFERROR(ROUND(IF(OR(ISNUMBER(SEARCH("week",C66)),ISNUMBER(SEARCH("minggu",C66))),IFERROR(_xlfn.NUMBERVALUE(SUBSTITUTE(LEFT(TRIM(C66),FIND(" ",TRIM(C66)&amp;" ")-1),",","."),"."),LEFT(SUBSTITUTE(LEFT(TRIM(C66),FIND(" ",TRIM(C66)&amp;" ")-1),",","."),FIND("/",SUBSTITUTE(LEFT(TRIM(C66),FIND(" ",TRIM(C66)&amp;" ")-1),",","."))-1)/MID(SUBSTITUTE(LEFT(TRIM(C66),FIND(" ",TRIM(C66)&amp;" ")-1),",","."),FIND("/",SUBSTITUTE(LEFT(TRIM(C66),FIND(" ",TRIM(C66)&amp;" ")-1),",","."))+1,9))*12/52,IF(ISNUMBER(SEARCH("month",C66)),IFERROR(_xlfn.NUMBERVALUE(SUBSTITUTE(LEFT(TRIM(C66),FIND(" ",TRIM(C66)&amp;" ")-1),",","."),"."),LEFT(SUBSTITUTE(LEFT(TRIM(C66),FIND(" ",TRIM(C66)&amp;" ")-1),",","."),FIND("/",SUBSTITUTE(LEFT(TRIM(C66),FIND(" ",TRIM(C66)&amp;" ")-1),",","."))-1)/MID(SUBSTITUTE(LEFT(TRIM(C66),FIND(" ",TRIM(C66)&amp;" ")-1),",","."),FIND("/",SUBSTITUTE(LEFT(TRIM(C66),FIND(" ",TRIM(C66)&amp;" ")-1),",","."))+1,9)),IF(ISNUMBER(SEARCH("yea",C66)),IFERROR(_xlfn.NUMBERVALUE(SUBSTITUTE(LEFT(TRIM(C66),FIND(" ",TRIM(C66)&amp;" ")-1),",","."),"."),LEFT(SUBSTITUTE(LEFT(TRIM(C66),FIND(" ",TRIM(C66)&amp;" ")-1),",","."),FIND("/",SUBSTITUTE(LEFT(TRIM(C66),FIND(" ",TRIM(C66)&amp;" ")-1),",","."))-1)/MID(SUBSTITUTE(LEFT(TRIM(C66),FIND(" ",TRIM(C66)&amp;" ")-1),",","."),FIND("/",SUBSTITUTE(LEFT(TRIM(C66),FIND(" ",TRIM(C66)&amp;" ")-1),",","."))+1,9))*12,NA()))),0),24)*'Aturan &amp; Tarif'!$B$4,2)</f>
        <v>1362.72</v>
      </c>
      <c r="K66" s="32" t="n">
        <f aca="false">'Aturan &amp; Tarif'!$B$5</f>
        <v>2050</v>
      </c>
      <c r="L66" s="35" t="n">
        <f aca="false">I66+J66+K66</f>
        <v>5487.72</v>
      </c>
      <c r="M66" s="37" t="s">
        <v>134</v>
      </c>
    </row>
    <row r="67" customFormat="false" ht="25.5" hidden="false" customHeight="true" outlineLevel="0" collapsed="false">
      <c r="A67" s="29"/>
      <c r="B67" s="30" t="s">
        <v>2795</v>
      </c>
      <c r="C67" s="31" t="s">
        <v>127</v>
      </c>
      <c r="D67" s="31" t="s">
        <v>108</v>
      </c>
      <c r="E67" s="32" t="n">
        <v>1625</v>
      </c>
      <c r="F67" s="32" t="n">
        <v>200</v>
      </c>
      <c r="G67" s="32" t="n">
        <v>250</v>
      </c>
      <c r="H67" s="33" t="n">
        <v>1</v>
      </c>
      <c r="I67" s="34" t="n">
        <f aca="false">E67*H67+N(F67)+N(G67)</f>
        <v>2075</v>
      </c>
      <c r="J67" s="32" t="n">
        <f aca="false">ROUND(IFERROR(ROUND(IF(OR(ISNUMBER(SEARCH("week",C67)),ISNUMBER(SEARCH("minggu",C67))),IFERROR(_xlfn.NUMBERVALUE(SUBSTITUTE(LEFT(TRIM(C67),FIND(" ",TRIM(C67)&amp;" ")-1),",","."),"."),LEFT(SUBSTITUTE(LEFT(TRIM(C67),FIND(" ",TRIM(C67)&amp;" ")-1),",","."),FIND("/",SUBSTITUTE(LEFT(TRIM(C67),FIND(" ",TRIM(C67)&amp;" ")-1),",","."))-1)/MID(SUBSTITUTE(LEFT(TRIM(C67),FIND(" ",TRIM(C67)&amp;" ")-1),",","."),FIND("/",SUBSTITUTE(LEFT(TRIM(C67),FIND(" ",TRIM(C67)&amp;" ")-1),",","."))+1,9))*12/52,IF(ISNUMBER(SEARCH("month",C67)),IFERROR(_xlfn.NUMBERVALUE(SUBSTITUTE(LEFT(TRIM(C67),FIND(" ",TRIM(C67)&amp;" ")-1),",","."),"."),LEFT(SUBSTITUTE(LEFT(TRIM(C67),FIND(" ",TRIM(C67)&amp;" ")-1),",","."),FIND("/",SUBSTITUTE(LEFT(TRIM(C67),FIND(" ",TRIM(C67)&amp;" ")-1),",","."))-1)/MID(SUBSTITUTE(LEFT(TRIM(C67),FIND(" ",TRIM(C67)&amp;" ")-1),",","."),FIND("/",SUBSTITUTE(LEFT(TRIM(C67),FIND(" ",TRIM(C67)&amp;" ")-1),",","."))+1,9)),IF(ISNUMBER(SEARCH("yea",C67)),IFERROR(_xlfn.NUMBERVALUE(SUBSTITUTE(LEFT(TRIM(C67),FIND(" ",TRIM(C67)&amp;" ")-1),",","."),"."),LEFT(SUBSTITUTE(LEFT(TRIM(C67),FIND(" ",TRIM(C67)&amp;" ")-1),",","."),FIND("/",SUBSTITUTE(LEFT(TRIM(C67),FIND(" ",TRIM(C67)&amp;" ")-1),",","."))-1)/MID(SUBSTITUTE(LEFT(TRIM(C67),FIND(" ",TRIM(C67)&amp;" ")-1),",","."),FIND("/",SUBSTITUTE(LEFT(TRIM(C67),FIND(" ",TRIM(C67)&amp;" ")-1),",","."))+1,9))*12,NA()))),0),36)*'Aturan &amp; Tarif'!$B$4,2)</f>
        <v>2044.08</v>
      </c>
      <c r="K67" s="32" t="n">
        <f aca="false">'Aturan &amp; Tarif'!$B$5</f>
        <v>2050</v>
      </c>
      <c r="L67" s="35" t="n">
        <f aca="false">I67+J67+K67</f>
        <v>6169.08</v>
      </c>
      <c r="M67" s="37" t="s">
        <v>134</v>
      </c>
    </row>
    <row r="68" customFormat="false" ht="14.25" hidden="false" customHeight="true" outlineLevel="0" collapsed="false">
      <c r="A68" s="29"/>
      <c r="B68" s="30" t="s">
        <v>471</v>
      </c>
      <c r="C68" s="31" t="s">
        <v>107</v>
      </c>
      <c r="D68" s="31" t="s">
        <v>108</v>
      </c>
      <c r="E68" s="32" t="n">
        <v>2500</v>
      </c>
      <c r="F68" s="32" t="n">
        <v>1750</v>
      </c>
      <c r="G68" s="32" t="n">
        <v>250</v>
      </c>
      <c r="H68" s="33" t="n">
        <v>1</v>
      </c>
      <c r="I68" s="34" t="n">
        <f aca="false">E68*H68+N(F68)+N(G68)</f>
        <v>4500</v>
      </c>
      <c r="J68" s="32" t="n">
        <f aca="false">ROUND(IFERROR(ROUND(IF(OR(ISNUMBER(SEARCH("week",C68)),ISNUMBER(SEARCH("minggu",C68))),IFERROR(_xlfn.NUMBERVALUE(SUBSTITUTE(LEFT(TRIM(C68),FIND(" ",TRIM(C68)&amp;" ")-1),",","."),"."),LEFT(SUBSTITUTE(LEFT(TRIM(C68),FIND(" ",TRIM(C68)&amp;" ")-1),",","."),FIND("/",SUBSTITUTE(LEFT(TRIM(C68),FIND(" ",TRIM(C68)&amp;" ")-1),",","."))-1)/MID(SUBSTITUTE(LEFT(TRIM(C68),FIND(" ",TRIM(C68)&amp;" ")-1),",","."),FIND("/",SUBSTITUTE(LEFT(TRIM(C68),FIND(" ",TRIM(C68)&amp;" ")-1),",","."))+1,9))*12/52,IF(ISNUMBER(SEARCH("month",C68)),IFERROR(_xlfn.NUMBERVALUE(SUBSTITUTE(LEFT(TRIM(C68),FIND(" ",TRIM(C68)&amp;" ")-1),",","."),"."),LEFT(SUBSTITUTE(LEFT(TRIM(C68),FIND(" ",TRIM(C68)&amp;" ")-1),",","."),FIND("/",SUBSTITUTE(LEFT(TRIM(C68),FIND(" ",TRIM(C68)&amp;" ")-1),",","."))-1)/MID(SUBSTITUTE(LEFT(TRIM(C68),FIND(" ",TRIM(C68)&amp;" ")-1),",","."),FIND("/",SUBSTITUTE(LEFT(TRIM(C68),FIND(" ",TRIM(C68)&amp;" ")-1),",","."))+1,9)),IF(ISNUMBER(SEARCH("yea",C68)),IFERROR(_xlfn.NUMBERVALUE(SUBSTITUTE(LEFT(TRIM(C68),FIND(" ",TRIM(C68)&amp;" ")-1),",","."),"."),LEFT(SUBSTITUTE(LEFT(TRIM(C68),FIND(" ",TRIM(C68)&amp;" ")-1),",","."),FIND("/",SUBSTITUTE(LEFT(TRIM(C68),FIND(" ",TRIM(C68)&amp;" ")-1),",","."))-1)/MID(SUBSTITUTE(LEFT(TRIM(C68),FIND(" ",TRIM(C68)&amp;" ")-1),",","."),FIND("/",SUBSTITUTE(LEFT(TRIM(C68),FIND(" ",TRIM(C68)&amp;" ")-1),",","."))+1,9))*12,NA()))),0),24)*'Aturan &amp; Tarif'!$B$4,2)</f>
        <v>1362.72</v>
      </c>
      <c r="K68" s="32" t="n">
        <f aca="false">'Aturan &amp; Tarif'!$B$5</f>
        <v>2050</v>
      </c>
      <c r="L68" s="35" t="n">
        <f aca="false">I68+J68+K68</f>
        <v>7912.72</v>
      </c>
      <c r="M68" s="37" t="s">
        <v>134</v>
      </c>
    </row>
    <row r="69" customFormat="false" ht="25.5" hidden="false" customHeight="true" outlineLevel="0" collapsed="false">
      <c r="A69" s="29"/>
      <c r="B69" s="30" t="s">
        <v>2796</v>
      </c>
      <c r="C69" s="31" t="s">
        <v>136</v>
      </c>
      <c r="D69" s="31" t="s">
        <v>108</v>
      </c>
      <c r="E69" s="32" t="n">
        <v>2500</v>
      </c>
      <c r="F69" s="32" t="n">
        <v>1750</v>
      </c>
      <c r="G69" s="32" t="n">
        <v>250</v>
      </c>
      <c r="H69" s="33" t="n">
        <v>1</v>
      </c>
      <c r="I69" s="34" t="n">
        <f aca="false">E69*H69+N(F69)+N(G69)</f>
        <v>4500</v>
      </c>
      <c r="J69" s="32" t="n">
        <f aca="false">ROUND(IFERROR(ROUND(IF(OR(ISNUMBER(SEARCH("week",C69)),ISNUMBER(SEARCH("minggu",C69))),IFERROR(_xlfn.NUMBERVALUE(SUBSTITUTE(LEFT(TRIM(C69),FIND(" ",TRIM(C69)&amp;" ")-1),",","."),"."),LEFT(SUBSTITUTE(LEFT(TRIM(C69),FIND(" ",TRIM(C69)&amp;" ")-1),",","."),FIND("/",SUBSTITUTE(LEFT(TRIM(C69),FIND(" ",TRIM(C69)&amp;" ")-1),",","."))-1)/MID(SUBSTITUTE(LEFT(TRIM(C69),FIND(" ",TRIM(C69)&amp;" ")-1),",","."),FIND("/",SUBSTITUTE(LEFT(TRIM(C69),FIND(" ",TRIM(C69)&amp;" ")-1),",","."))+1,9))*12/52,IF(ISNUMBER(SEARCH("month",C69)),IFERROR(_xlfn.NUMBERVALUE(SUBSTITUTE(LEFT(TRIM(C69),FIND(" ",TRIM(C69)&amp;" ")-1),",","."),"."),LEFT(SUBSTITUTE(LEFT(TRIM(C69),FIND(" ",TRIM(C69)&amp;" ")-1),",","."),FIND("/",SUBSTITUTE(LEFT(TRIM(C69),FIND(" ",TRIM(C69)&amp;" ")-1),",","."))-1)/MID(SUBSTITUTE(LEFT(TRIM(C69),FIND(" ",TRIM(C69)&amp;" ")-1),",","."),FIND("/",SUBSTITUTE(LEFT(TRIM(C69),FIND(" ",TRIM(C69)&amp;" ")-1),",","."))+1,9)),IF(ISNUMBER(SEARCH("yea",C69)),IFERROR(_xlfn.NUMBERVALUE(SUBSTITUTE(LEFT(TRIM(C69),FIND(" ",TRIM(C69)&amp;" ")-1),",","."),"."),LEFT(SUBSTITUTE(LEFT(TRIM(C69),FIND(" ",TRIM(C69)&amp;" ")-1),",","."),FIND("/",SUBSTITUTE(LEFT(TRIM(C69),FIND(" ",TRIM(C69)&amp;" ")-1),",","."))-1)/MID(SUBSTITUTE(LEFT(TRIM(C69),FIND(" ",TRIM(C69)&amp;" ")-1),",","."),FIND("/",SUBSTITUTE(LEFT(TRIM(C69),FIND(" ",TRIM(C69)&amp;" ")-1),",","."))+1,9))*12,NA()))),0),42)*'Aturan &amp; Tarif'!$B$4,2)</f>
        <v>2384.76</v>
      </c>
      <c r="K69" s="32" t="n">
        <f aca="false">'Aturan &amp; Tarif'!$B$5</f>
        <v>2050</v>
      </c>
      <c r="L69" s="35" t="n">
        <f aca="false">I69+J69+K69</f>
        <v>8934.76</v>
      </c>
      <c r="M69" s="37" t="s">
        <v>134</v>
      </c>
    </row>
    <row r="70" customFormat="false" ht="25.5" hidden="false" customHeight="true" outlineLevel="0" collapsed="false">
      <c r="A70" s="29"/>
      <c r="B70" s="30" t="s">
        <v>2797</v>
      </c>
      <c r="C70" s="31" t="s">
        <v>130</v>
      </c>
      <c r="D70" s="31" t="s">
        <v>108</v>
      </c>
      <c r="E70" s="32" t="n">
        <v>2750</v>
      </c>
      <c r="F70" s="32" t="n">
        <v>1750</v>
      </c>
      <c r="G70" s="32" t="n">
        <v>250</v>
      </c>
      <c r="H70" s="33" t="n">
        <v>1</v>
      </c>
      <c r="I70" s="34" t="n">
        <f aca="false">E70*H70+N(F70)+N(G70)</f>
        <v>4750</v>
      </c>
      <c r="J70" s="32" t="n">
        <f aca="false">ROUND(IFERROR(ROUND(IF(OR(ISNUMBER(SEARCH("week",C70)),ISNUMBER(SEARCH("minggu",C70))),IFERROR(_xlfn.NUMBERVALUE(SUBSTITUTE(LEFT(TRIM(C70),FIND(" ",TRIM(C70)&amp;" ")-1),",","."),"."),LEFT(SUBSTITUTE(LEFT(TRIM(C70),FIND(" ",TRIM(C70)&amp;" ")-1),",","."),FIND("/",SUBSTITUTE(LEFT(TRIM(C70),FIND(" ",TRIM(C70)&amp;" ")-1),",","."))-1)/MID(SUBSTITUTE(LEFT(TRIM(C70),FIND(" ",TRIM(C70)&amp;" ")-1),",","."),FIND("/",SUBSTITUTE(LEFT(TRIM(C70),FIND(" ",TRIM(C70)&amp;" ")-1),",","."))+1,9))*12/52,IF(ISNUMBER(SEARCH("month",C70)),IFERROR(_xlfn.NUMBERVALUE(SUBSTITUTE(LEFT(TRIM(C70),FIND(" ",TRIM(C70)&amp;" ")-1),",","."),"."),LEFT(SUBSTITUTE(LEFT(TRIM(C70),FIND(" ",TRIM(C70)&amp;" ")-1),",","."),FIND("/",SUBSTITUTE(LEFT(TRIM(C70),FIND(" ",TRIM(C70)&amp;" ")-1),",","."))-1)/MID(SUBSTITUTE(LEFT(TRIM(C70),FIND(" ",TRIM(C70)&amp;" ")-1),",","."),FIND("/",SUBSTITUTE(LEFT(TRIM(C70),FIND(" ",TRIM(C70)&amp;" ")-1),",","."))+1,9)),IF(ISNUMBER(SEARCH("yea",C70)),IFERROR(_xlfn.NUMBERVALUE(SUBSTITUTE(LEFT(TRIM(C70),FIND(" ",TRIM(C70)&amp;" ")-1),",","."),"."),LEFT(SUBSTITUTE(LEFT(TRIM(C70),FIND(" ",TRIM(C70)&amp;" ")-1),",","."),FIND("/",SUBSTITUTE(LEFT(TRIM(C70),FIND(" ",TRIM(C70)&amp;" ")-1),",","."))-1)/MID(SUBSTITUTE(LEFT(TRIM(C70),FIND(" ",TRIM(C70)&amp;" ")-1),",","."),FIND("/",SUBSTITUTE(LEFT(TRIM(C70),FIND(" ",TRIM(C70)&amp;" ")-1),",","."))+1,9))*12,NA()))),0),12)*'Aturan &amp; Tarif'!$B$4,2)</f>
        <v>681.36</v>
      </c>
      <c r="K70" s="32" t="n">
        <f aca="false">'Aturan &amp; Tarif'!$B$5</f>
        <v>2050</v>
      </c>
      <c r="L70" s="35" t="n">
        <f aca="false">I70+J70+K70</f>
        <v>7481.36</v>
      </c>
      <c r="M70" s="37" t="s">
        <v>134</v>
      </c>
    </row>
    <row r="71" customFormat="false" ht="25.5" hidden="false" customHeight="true" outlineLevel="0" collapsed="false">
      <c r="A71" s="29"/>
      <c r="B71" s="30" t="s">
        <v>422</v>
      </c>
      <c r="C71" s="31" t="s">
        <v>113</v>
      </c>
      <c r="D71" s="31" t="s">
        <v>108</v>
      </c>
      <c r="E71" s="32" t="n">
        <v>2625</v>
      </c>
      <c r="F71" s="32" t="n">
        <v>1500</v>
      </c>
      <c r="G71" s="32" t="n">
        <v>250</v>
      </c>
      <c r="H71" s="33" t="n">
        <v>1</v>
      </c>
      <c r="I71" s="34" t="n">
        <f aca="false">E71*H71+N(F71)+N(G71)</f>
        <v>4375</v>
      </c>
      <c r="J71" s="32" t="n">
        <f aca="false">ROUND(IFERROR(ROUND(IF(OR(ISNUMBER(SEARCH("week",C71)),ISNUMBER(SEARCH("minggu",C71))),IFERROR(_xlfn.NUMBERVALUE(SUBSTITUTE(LEFT(TRIM(C71),FIND(" ",TRIM(C71)&amp;" ")-1),",","."),"."),LEFT(SUBSTITUTE(LEFT(TRIM(C71),FIND(" ",TRIM(C71)&amp;" ")-1),",","."),FIND("/",SUBSTITUTE(LEFT(TRIM(C71),FIND(" ",TRIM(C71)&amp;" ")-1),",","."))-1)/MID(SUBSTITUTE(LEFT(TRIM(C71),FIND(" ",TRIM(C71)&amp;" ")-1),",","."),FIND("/",SUBSTITUTE(LEFT(TRIM(C71),FIND(" ",TRIM(C71)&amp;" ")-1),",","."))+1,9))*12/52,IF(ISNUMBER(SEARCH("month",C71)),IFERROR(_xlfn.NUMBERVALUE(SUBSTITUTE(LEFT(TRIM(C71),FIND(" ",TRIM(C71)&amp;" ")-1),",","."),"."),LEFT(SUBSTITUTE(LEFT(TRIM(C71),FIND(" ",TRIM(C71)&amp;" ")-1),",","."),FIND("/",SUBSTITUTE(LEFT(TRIM(C71),FIND(" ",TRIM(C71)&amp;" ")-1),",","."))-1)/MID(SUBSTITUTE(LEFT(TRIM(C71),FIND(" ",TRIM(C71)&amp;" ")-1),",","."),FIND("/",SUBSTITUTE(LEFT(TRIM(C71),FIND(" ",TRIM(C71)&amp;" ")-1),",","."))+1,9)),IF(ISNUMBER(SEARCH("yea",C71)),IFERROR(_xlfn.NUMBERVALUE(SUBSTITUTE(LEFT(TRIM(C71),FIND(" ",TRIM(C71)&amp;" ")-1),",","."),"."),LEFT(SUBSTITUTE(LEFT(TRIM(C71),FIND(" ",TRIM(C71)&amp;" ")-1),",","."),FIND("/",SUBSTITUTE(LEFT(TRIM(C71),FIND(" ",TRIM(C71)&amp;" ")-1),",","."))-1)/MID(SUBSTITUTE(LEFT(TRIM(C71),FIND(" ",TRIM(C71)&amp;" ")-1),",","."),FIND("/",SUBSTITUTE(LEFT(TRIM(C71),FIND(" ",TRIM(C71)&amp;" ")-1),",","."))+1,9))*12,NA()))),0),18)*'Aturan &amp; Tarif'!$B$4,2)</f>
        <v>1022.04</v>
      </c>
      <c r="K71" s="32" t="n">
        <f aca="false">'Aturan &amp; Tarif'!$B$5</f>
        <v>2050</v>
      </c>
      <c r="L71" s="35" t="n">
        <f aca="false">I71+J71+K71</f>
        <v>7447.04</v>
      </c>
      <c r="M71" s="37" t="s">
        <v>134</v>
      </c>
    </row>
    <row r="72" customFormat="false" ht="37.5" hidden="false" customHeight="true" outlineLevel="0" collapsed="false">
      <c r="A72" s="29"/>
      <c r="B72" s="30" t="s">
        <v>2798</v>
      </c>
      <c r="C72" s="31" t="s">
        <v>107</v>
      </c>
      <c r="D72" s="31" t="s">
        <v>108</v>
      </c>
      <c r="E72" s="32" t="n">
        <v>2625</v>
      </c>
      <c r="F72" s="32" t="n">
        <v>1500</v>
      </c>
      <c r="G72" s="32" t="n">
        <v>250</v>
      </c>
      <c r="H72" s="33" t="n">
        <v>1</v>
      </c>
      <c r="I72" s="34" t="n">
        <f aca="false">E72*H72+N(F72)+N(G72)</f>
        <v>4375</v>
      </c>
      <c r="J72" s="32" t="n">
        <f aca="false">ROUND(IFERROR(ROUND(IF(OR(ISNUMBER(SEARCH("week",C72)),ISNUMBER(SEARCH("minggu",C72))),IFERROR(_xlfn.NUMBERVALUE(SUBSTITUTE(LEFT(TRIM(C72),FIND(" ",TRIM(C72)&amp;" ")-1),",","."),"."),LEFT(SUBSTITUTE(LEFT(TRIM(C72),FIND(" ",TRIM(C72)&amp;" ")-1),",","."),FIND("/",SUBSTITUTE(LEFT(TRIM(C72),FIND(" ",TRIM(C72)&amp;" ")-1),",","."))-1)/MID(SUBSTITUTE(LEFT(TRIM(C72),FIND(" ",TRIM(C72)&amp;" ")-1),",","."),FIND("/",SUBSTITUTE(LEFT(TRIM(C72),FIND(" ",TRIM(C72)&amp;" ")-1),",","."))+1,9))*12/52,IF(ISNUMBER(SEARCH("month",C72)),IFERROR(_xlfn.NUMBERVALUE(SUBSTITUTE(LEFT(TRIM(C72),FIND(" ",TRIM(C72)&amp;" ")-1),",","."),"."),LEFT(SUBSTITUTE(LEFT(TRIM(C72),FIND(" ",TRIM(C72)&amp;" ")-1),",","."),FIND("/",SUBSTITUTE(LEFT(TRIM(C72),FIND(" ",TRIM(C72)&amp;" ")-1),",","."))-1)/MID(SUBSTITUTE(LEFT(TRIM(C72),FIND(" ",TRIM(C72)&amp;" ")-1),",","."),FIND("/",SUBSTITUTE(LEFT(TRIM(C72),FIND(" ",TRIM(C72)&amp;" ")-1),",","."))+1,9)),IF(ISNUMBER(SEARCH("yea",C72)),IFERROR(_xlfn.NUMBERVALUE(SUBSTITUTE(LEFT(TRIM(C72),FIND(" ",TRIM(C72)&amp;" ")-1),",","."),"."),LEFT(SUBSTITUTE(LEFT(TRIM(C72),FIND(" ",TRIM(C72)&amp;" ")-1),",","."),FIND("/",SUBSTITUTE(LEFT(TRIM(C72),FIND(" ",TRIM(C72)&amp;" ")-1),",","."))-1)/MID(SUBSTITUTE(LEFT(TRIM(C72),FIND(" ",TRIM(C72)&amp;" ")-1),",","."),FIND("/",SUBSTITUTE(LEFT(TRIM(C72),FIND(" ",TRIM(C72)&amp;" ")-1),",","."))+1,9))*12,NA()))),0),24)*'Aturan &amp; Tarif'!$B$4,2)</f>
        <v>1362.72</v>
      </c>
      <c r="K72" s="32" t="n">
        <f aca="false">'Aturan &amp; Tarif'!$B$5</f>
        <v>2050</v>
      </c>
      <c r="L72" s="35" t="n">
        <f aca="false">I72+J72+K72</f>
        <v>7787.72</v>
      </c>
      <c r="M72" s="37" t="s">
        <v>134</v>
      </c>
    </row>
    <row r="73" customFormat="false" ht="37.5" hidden="false" customHeight="true" outlineLevel="0" collapsed="false">
      <c r="A73" s="29"/>
      <c r="B73" s="30" t="s">
        <v>2799</v>
      </c>
      <c r="C73" s="31" t="s">
        <v>127</v>
      </c>
      <c r="D73" s="31" t="s">
        <v>108</v>
      </c>
      <c r="E73" s="32" t="n">
        <v>2625</v>
      </c>
      <c r="F73" s="32" t="n">
        <v>1500</v>
      </c>
      <c r="G73" s="32" t="n">
        <v>250</v>
      </c>
      <c r="H73" s="33" t="n">
        <v>1</v>
      </c>
      <c r="I73" s="34" t="n">
        <f aca="false">E73*H73+N(F73)+N(G73)</f>
        <v>4375</v>
      </c>
      <c r="J73" s="32" t="n">
        <f aca="false">ROUND(IFERROR(ROUND(IF(OR(ISNUMBER(SEARCH("week",C73)),ISNUMBER(SEARCH("minggu",C73))),IFERROR(_xlfn.NUMBERVALUE(SUBSTITUTE(LEFT(TRIM(C73),FIND(" ",TRIM(C73)&amp;" ")-1),",","."),"."),LEFT(SUBSTITUTE(LEFT(TRIM(C73),FIND(" ",TRIM(C73)&amp;" ")-1),",","."),FIND("/",SUBSTITUTE(LEFT(TRIM(C73),FIND(" ",TRIM(C73)&amp;" ")-1),",","."))-1)/MID(SUBSTITUTE(LEFT(TRIM(C73),FIND(" ",TRIM(C73)&amp;" ")-1),",","."),FIND("/",SUBSTITUTE(LEFT(TRIM(C73),FIND(" ",TRIM(C73)&amp;" ")-1),",","."))+1,9))*12/52,IF(ISNUMBER(SEARCH("month",C73)),IFERROR(_xlfn.NUMBERVALUE(SUBSTITUTE(LEFT(TRIM(C73),FIND(" ",TRIM(C73)&amp;" ")-1),",","."),"."),LEFT(SUBSTITUTE(LEFT(TRIM(C73),FIND(" ",TRIM(C73)&amp;" ")-1),",","."),FIND("/",SUBSTITUTE(LEFT(TRIM(C73),FIND(" ",TRIM(C73)&amp;" ")-1),",","."))-1)/MID(SUBSTITUTE(LEFT(TRIM(C73),FIND(" ",TRIM(C73)&amp;" ")-1),",","."),FIND("/",SUBSTITUTE(LEFT(TRIM(C73),FIND(" ",TRIM(C73)&amp;" ")-1),",","."))+1,9)),IF(ISNUMBER(SEARCH("yea",C73)),IFERROR(_xlfn.NUMBERVALUE(SUBSTITUTE(LEFT(TRIM(C73),FIND(" ",TRIM(C73)&amp;" ")-1),",","."),"."),LEFT(SUBSTITUTE(LEFT(TRIM(C73),FIND(" ",TRIM(C73)&amp;" ")-1),",","."),FIND("/",SUBSTITUTE(LEFT(TRIM(C73),FIND(" ",TRIM(C73)&amp;" ")-1),",","."))-1)/MID(SUBSTITUTE(LEFT(TRIM(C73),FIND(" ",TRIM(C73)&amp;" ")-1),",","."),FIND("/",SUBSTITUTE(LEFT(TRIM(C73),FIND(" ",TRIM(C73)&amp;" ")-1),",","."))+1,9))*12,NA()))),0),36)*'Aturan &amp; Tarif'!$B$4,2)</f>
        <v>2044.08</v>
      </c>
      <c r="K73" s="32" t="n">
        <f aca="false">'Aturan &amp; Tarif'!$B$5</f>
        <v>2050</v>
      </c>
      <c r="L73" s="35" t="n">
        <f aca="false">I73+J73+K73</f>
        <v>8469.08</v>
      </c>
      <c r="M73" s="37" t="s">
        <v>134</v>
      </c>
    </row>
    <row r="74" customFormat="false" ht="48.75" hidden="false" customHeight="true" outlineLevel="0" collapsed="false">
      <c r="A74" s="39" t="s">
        <v>2800</v>
      </c>
      <c r="B74" s="40" t="s">
        <v>2801</v>
      </c>
      <c r="C74" s="41" t="s">
        <v>107</v>
      </c>
      <c r="D74" s="41" t="s">
        <v>108</v>
      </c>
      <c r="E74" s="42" t="n">
        <v>3475</v>
      </c>
      <c r="F74" s="42"/>
      <c r="G74" s="42" t="n">
        <v>250</v>
      </c>
      <c r="H74" s="43" t="n">
        <v>2</v>
      </c>
      <c r="I74" s="34" t="n">
        <f aca="false">E74*H74+N(F74)+N(G74)</f>
        <v>7200</v>
      </c>
      <c r="J74" s="42" t="n">
        <f aca="false">ROUND(IFERROR(ROUND(IF(OR(ISNUMBER(SEARCH("week",C74)),ISNUMBER(SEARCH("minggu",C74))),IFERROR(_xlfn.NUMBERVALUE(SUBSTITUTE(LEFT(TRIM(C74),FIND(" ",TRIM(C74)&amp;" ")-1),",","."),"."),LEFT(SUBSTITUTE(LEFT(TRIM(C74),FIND(" ",TRIM(C74)&amp;" ")-1),",","."),FIND("/",SUBSTITUTE(LEFT(TRIM(C74),FIND(" ",TRIM(C74)&amp;" ")-1),",","."))-1)/MID(SUBSTITUTE(LEFT(TRIM(C74),FIND(" ",TRIM(C74)&amp;" ")-1),",","."),FIND("/",SUBSTITUTE(LEFT(TRIM(C74),FIND(" ",TRIM(C74)&amp;" ")-1),",","."))+1,9))*12/52,IF(ISNUMBER(SEARCH("month",C74)),IFERROR(_xlfn.NUMBERVALUE(SUBSTITUTE(LEFT(TRIM(C74),FIND(" ",TRIM(C74)&amp;" ")-1),",","."),"."),LEFT(SUBSTITUTE(LEFT(TRIM(C74),FIND(" ",TRIM(C74)&amp;" ")-1),",","."),FIND("/",SUBSTITUTE(LEFT(TRIM(C74),FIND(" ",TRIM(C74)&amp;" ")-1),",","."))-1)/MID(SUBSTITUTE(LEFT(TRIM(C74),FIND(" ",TRIM(C74)&amp;" ")-1),",","."),FIND("/",SUBSTITUTE(LEFT(TRIM(C74),FIND(" ",TRIM(C74)&amp;" ")-1),",","."))+1,9)),IF(ISNUMBER(SEARCH("yea",C74)),IFERROR(_xlfn.NUMBERVALUE(SUBSTITUTE(LEFT(TRIM(C74),FIND(" ",TRIM(C74)&amp;" ")-1),",","."),"."),LEFT(SUBSTITUTE(LEFT(TRIM(C74),FIND(" ",TRIM(C74)&amp;" ")-1),",","."),FIND("/",SUBSTITUTE(LEFT(TRIM(C74),FIND(" ",TRIM(C74)&amp;" ")-1),",","."))-1)/MID(SUBSTITUTE(LEFT(TRIM(C74),FIND(" ",TRIM(C74)&amp;" ")-1),",","."),FIND("/",SUBSTITUTE(LEFT(TRIM(C74),FIND(" ",TRIM(C74)&amp;" ")-1),",","."))+1,9))*12,NA()))),0),24)*'Aturan &amp; Tarif'!$B$4,2)</f>
        <v>1362.72</v>
      </c>
      <c r="K74" s="42" t="n">
        <f aca="false">'Aturan &amp; Tarif'!$B$5</f>
        <v>2050</v>
      </c>
      <c r="L74" s="35" t="n">
        <f aca="false">I74+J74+K74</f>
        <v>10612.72</v>
      </c>
      <c r="M74" s="44" t="s">
        <v>3323</v>
      </c>
    </row>
    <row r="75" customFormat="false" ht="37.5" hidden="false" customHeight="true" outlineLevel="0" collapsed="false">
      <c r="A75" s="39"/>
      <c r="B75" s="40" t="s">
        <v>2803</v>
      </c>
      <c r="C75" s="41" t="s">
        <v>113</v>
      </c>
      <c r="D75" s="41" t="s">
        <v>108</v>
      </c>
      <c r="E75" s="42" t="n">
        <v>3975</v>
      </c>
      <c r="F75" s="42"/>
      <c r="G75" s="42" t="n">
        <v>250</v>
      </c>
      <c r="H75" s="43" t="n">
        <v>2</v>
      </c>
      <c r="I75" s="34" t="n">
        <f aca="false">E75*H75+N(F75)+N(G75)</f>
        <v>8200</v>
      </c>
      <c r="J75" s="42" t="n">
        <f aca="false">ROUND(IFERROR(ROUND(IF(OR(ISNUMBER(SEARCH("week",C75)),ISNUMBER(SEARCH("minggu",C75))),IFERROR(_xlfn.NUMBERVALUE(SUBSTITUTE(LEFT(TRIM(C75),FIND(" ",TRIM(C75)&amp;" ")-1),",","."),"."),LEFT(SUBSTITUTE(LEFT(TRIM(C75),FIND(" ",TRIM(C75)&amp;" ")-1),",","."),FIND("/",SUBSTITUTE(LEFT(TRIM(C75),FIND(" ",TRIM(C75)&amp;" ")-1),",","."))-1)/MID(SUBSTITUTE(LEFT(TRIM(C75),FIND(" ",TRIM(C75)&amp;" ")-1),",","."),FIND("/",SUBSTITUTE(LEFT(TRIM(C75),FIND(" ",TRIM(C75)&amp;" ")-1),",","."))+1,9))*12/52,IF(ISNUMBER(SEARCH("month",C75)),IFERROR(_xlfn.NUMBERVALUE(SUBSTITUTE(LEFT(TRIM(C75),FIND(" ",TRIM(C75)&amp;" ")-1),",","."),"."),LEFT(SUBSTITUTE(LEFT(TRIM(C75),FIND(" ",TRIM(C75)&amp;" ")-1),",","."),FIND("/",SUBSTITUTE(LEFT(TRIM(C75),FIND(" ",TRIM(C75)&amp;" ")-1),",","."))-1)/MID(SUBSTITUTE(LEFT(TRIM(C75),FIND(" ",TRIM(C75)&amp;" ")-1),",","."),FIND("/",SUBSTITUTE(LEFT(TRIM(C75),FIND(" ",TRIM(C75)&amp;" ")-1),",","."))+1,9)),IF(ISNUMBER(SEARCH("yea",C75)),IFERROR(_xlfn.NUMBERVALUE(SUBSTITUTE(LEFT(TRIM(C75),FIND(" ",TRIM(C75)&amp;" ")-1),",","."),"."),LEFT(SUBSTITUTE(LEFT(TRIM(C75),FIND(" ",TRIM(C75)&amp;" ")-1),",","."),FIND("/",SUBSTITUTE(LEFT(TRIM(C75),FIND(" ",TRIM(C75)&amp;" ")-1),",","."))-1)/MID(SUBSTITUTE(LEFT(TRIM(C75),FIND(" ",TRIM(C75)&amp;" ")-1),",","."),FIND("/",SUBSTITUTE(LEFT(TRIM(C75),FIND(" ",TRIM(C75)&amp;" ")-1),",","."))+1,9))*12,NA()))),0),18)*'Aturan &amp; Tarif'!$B$4,2)</f>
        <v>1022.04</v>
      </c>
      <c r="K75" s="42" t="n">
        <f aca="false">'Aturan &amp; Tarif'!$B$5</f>
        <v>2050</v>
      </c>
      <c r="L75" s="35" t="n">
        <f aca="false">I75+J75+K75</f>
        <v>11272.04</v>
      </c>
      <c r="M75" s="44" t="s">
        <v>3324</v>
      </c>
    </row>
    <row r="76" customFormat="false" ht="37.5" hidden="false" customHeight="true" outlineLevel="0" collapsed="false">
      <c r="A76" s="39"/>
      <c r="B76" s="40" t="s">
        <v>2805</v>
      </c>
      <c r="C76" s="41" t="s">
        <v>107</v>
      </c>
      <c r="D76" s="41" t="s">
        <v>108</v>
      </c>
      <c r="E76" s="42" t="n">
        <v>3475</v>
      </c>
      <c r="F76" s="42"/>
      <c r="G76" s="42" t="n">
        <v>250</v>
      </c>
      <c r="H76" s="43" t="n">
        <v>2</v>
      </c>
      <c r="I76" s="34" t="n">
        <f aca="false">E76*H76+N(F76)+N(G76)</f>
        <v>7200</v>
      </c>
      <c r="J76" s="42" t="n">
        <f aca="false">ROUND(IFERROR(ROUND(IF(OR(ISNUMBER(SEARCH("week",C76)),ISNUMBER(SEARCH("minggu",C76))),IFERROR(_xlfn.NUMBERVALUE(SUBSTITUTE(LEFT(TRIM(C76),FIND(" ",TRIM(C76)&amp;" ")-1),",","."),"."),LEFT(SUBSTITUTE(LEFT(TRIM(C76),FIND(" ",TRIM(C76)&amp;" ")-1),",","."),FIND("/",SUBSTITUTE(LEFT(TRIM(C76),FIND(" ",TRIM(C76)&amp;" ")-1),",","."))-1)/MID(SUBSTITUTE(LEFT(TRIM(C76),FIND(" ",TRIM(C76)&amp;" ")-1),",","."),FIND("/",SUBSTITUTE(LEFT(TRIM(C76),FIND(" ",TRIM(C76)&amp;" ")-1),",","."))+1,9))*12/52,IF(ISNUMBER(SEARCH("month",C76)),IFERROR(_xlfn.NUMBERVALUE(SUBSTITUTE(LEFT(TRIM(C76),FIND(" ",TRIM(C76)&amp;" ")-1),",","."),"."),LEFT(SUBSTITUTE(LEFT(TRIM(C76),FIND(" ",TRIM(C76)&amp;" ")-1),",","."),FIND("/",SUBSTITUTE(LEFT(TRIM(C76),FIND(" ",TRIM(C76)&amp;" ")-1),",","."))-1)/MID(SUBSTITUTE(LEFT(TRIM(C76),FIND(" ",TRIM(C76)&amp;" ")-1),",","."),FIND("/",SUBSTITUTE(LEFT(TRIM(C76),FIND(" ",TRIM(C76)&amp;" ")-1),",","."))+1,9)),IF(ISNUMBER(SEARCH("yea",C76)),IFERROR(_xlfn.NUMBERVALUE(SUBSTITUTE(LEFT(TRIM(C76),FIND(" ",TRIM(C76)&amp;" ")-1),",","."),"."),LEFT(SUBSTITUTE(LEFT(TRIM(C76),FIND(" ",TRIM(C76)&amp;" ")-1),",","."),FIND("/",SUBSTITUTE(LEFT(TRIM(C76),FIND(" ",TRIM(C76)&amp;" ")-1),",","."))-1)/MID(SUBSTITUTE(LEFT(TRIM(C76),FIND(" ",TRIM(C76)&amp;" ")-1),",","."),FIND("/",SUBSTITUTE(LEFT(TRIM(C76),FIND(" ",TRIM(C76)&amp;" ")-1),",","."))+1,9))*12,NA()))),0),24)*'Aturan &amp; Tarif'!$B$4,2)</f>
        <v>1362.72</v>
      </c>
      <c r="K76" s="42" t="n">
        <f aca="false">'Aturan &amp; Tarif'!$B$5</f>
        <v>2050</v>
      </c>
      <c r="L76" s="35" t="n">
        <f aca="false">I76+J76+K76</f>
        <v>10612.72</v>
      </c>
      <c r="M76" s="44" t="s">
        <v>3323</v>
      </c>
    </row>
    <row r="77" customFormat="false" ht="37.5" hidden="false" customHeight="true" outlineLevel="0" collapsed="false">
      <c r="A77" s="29" t="s">
        <v>2806</v>
      </c>
      <c r="B77" s="30" t="s">
        <v>1908</v>
      </c>
      <c r="C77" s="31" t="s">
        <v>130</v>
      </c>
      <c r="D77" s="31" t="s">
        <v>737</v>
      </c>
      <c r="E77" s="32" t="n">
        <v>3000</v>
      </c>
      <c r="F77" s="32"/>
      <c r="G77" s="32" t="n">
        <v>200</v>
      </c>
      <c r="H77" s="33" t="n">
        <v>1</v>
      </c>
      <c r="I77" s="34" t="n">
        <f aca="false">E77*H77+N(F77)+N(G77)</f>
        <v>3200</v>
      </c>
      <c r="J77" s="32" t="n">
        <f aca="false">ROUND(IFERROR(ROUND(IF(OR(ISNUMBER(SEARCH("week",C77)),ISNUMBER(SEARCH("minggu",C77))),IFERROR(_xlfn.NUMBERVALUE(SUBSTITUTE(LEFT(TRIM(C77),FIND(" ",TRIM(C77)&amp;" ")-1),",","."),"."),LEFT(SUBSTITUTE(LEFT(TRIM(C77),FIND(" ",TRIM(C77)&amp;" ")-1),",","."),FIND("/",SUBSTITUTE(LEFT(TRIM(C77),FIND(" ",TRIM(C77)&amp;" ")-1),",","."))-1)/MID(SUBSTITUTE(LEFT(TRIM(C77),FIND(" ",TRIM(C77)&amp;" ")-1),",","."),FIND("/",SUBSTITUTE(LEFT(TRIM(C77),FIND(" ",TRIM(C77)&amp;" ")-1),",","."))+1,9))*12/52,IF(ISNUMBER(SEARCH("month",C77)),IFERROR(_xlfn.NUMBERVALUE(SUBSTITUTE(LEFT(TRIM(C77),FIND(" ",TRIM(C77)&amp;" ")-1),",","."),"."),LEFT(SUBSTITUTE(LEFT(TRIM(C77),FIND(" ",TRIM(C77)&amp;" ")-1),",","."),FIND("/",SUBSTITUTE(LEFT(TRIM(C77),FIND(" ",TRIM(C77)&amp;" ")-1),",","."))-1)/MID(SUBSTITUTE(LEFT(TRIM(C77),FIND(" ",TRIM(C77)&amp;" ")-1),",","."),FIND("/",SUBSTITUTE(LEFT(TRIM(C77),FIND(" ",TRIM(C77)&amp;" ")-1),",","."))+1,9)),IF(ISNUMBER(SEARCH("yea",C77)),IFERROR(_xlfn.NUMBERVALUE(SUBSTITUTE(LEFT(TRIM(C77),FIND(" ",TRIM(C77)&amp;" ")-1),",","."),"."),LEFT(SUBSTITUTE(LEFT(TRIM(C77),FIND(" ",TRIM(C77)&amp;" ")-1),",","."),FIND("/",SUBSTITUTE(LEFT(TRIM(C77),FIND(" ",TRIM(C77)&amp;" ")-1),",","."))-1)/MID(SUBSTITUTE(LEFT(TRIM(C77),FIND(" ",TRIM(C77)&amp;" ")-1),",","."),FIND("/",SUBSTITUTE(LEFT(TRIM(C77),FIND(" ",TRIM(C77)&amp;" ")-1),",","."))+1,9))*12,NA()))),0),12)*'Aturan &amp; Tarif'!$B$4,2)</f>
        <v>681.36</v>
      </c>
      <c r="K77" s="32" t="n">
        <f aca="false">'Aturan &amp; Tarif'!$B$5</f>
        <v>2050</v>
      </c>
      <c r="L77" s="35" t="n">
        <f aca="false">I77+J77+K77</f>
        <v>5931.36</v>
      </c>
      <c r="M77" s="37" t="s">
        <v>846</v>
      </c>
    </row>
    <row r="78" customFormat="false" ht="37.5" hidden="false" customHeight="true" outlineLevel="0" collapsed="false">
      <c r="A78" s="29"/>
      <c r="B78" s="30" t="s">
        <v>1909</v>
      </c>
      <c r="C78" s="31" t="s">
        <v>127</v>
      </c>
      <c r="D78" s="31" t="s">
        <v>737</v>
      </c>
      <c r="E78" s="32" t="n">
        <v>4500</v>
      </c>
      <c r="F78" s="32"/>
      <c r="G78" s="32" t="n">
        <v>200</v>
      </c>
      <c r="H78" s="33" t="n">
        <v>1</v>
      </c>
      <c r="I78" s="34" t="n">
        <f aca="false">E78*H78+N(F78)+N(G78)</f>
        <v>4700</v>
      </c>
      <c r="J78" s="32" t="n">
        <f aca="false">ROUND(IFERROR(ROUND(IF(OR(ISNUMBER(SEARCH("week",C78)),ISNUMBER(SEARCH("minggu",C78))),IFERROR(_xlfn.NUMBERVALUE(SUBSTITUTE(LEFT(TRIM(C78),FIND(" ",TRIM(C78)&amp;" ")-1),",","."),"."),LEFT(SUBSTITUTE(LEFT(TRIM(C78),FIND(" ",TRIM(C78)&amp;" ")-1),",","."),FIND("/",SUBSTITUTE(LEFT(TRIM(C78),FIND(" ",TRIM(C78)&amp;" ")-1),",","."))-1)/MID(SUBSTITUTE(LEFT(TRIM(C78),FIND(" ",TRIM(C78)&amp;" ")-1),",","."),FIND("/",SUBSTITUTE(LEFT(TRIM(C78),FIND(" ",TRIM(C78)&amp;" ")-1),",","."))+1,9))*12/52,IF(ISNUMBER(SEARCH("month",C78)),IFERROR(_xlfn.NUMBERVALUE(SUBSTITUTE(LEFT(TRIM(C78),FIND(" ",TRIM(C78)&amp;" ")-1),",","."),"."),LEFT(SUBSTITUTE(LEFT(TRIM(C78),FIND(" ",TRIM(C78)&amp;" ")-1),",","."),FIND("/",SUBSTITUTE(LEFT(TRIM(C78),FIND(" ",TRIM(C78)&amp;" ")-1),",","."))-1)/MID(SUBSTITUTE(LEFT(TRIM(C78),FIND(" ",TRIM(C78)&amp;" ")-1),",","."),FIND("/",SUBSTITUTE(LEFT(TRIM(C78),FIND(" ",TRIM(C78)&amp;" ")-1),",","."))+1,9)),IF(ISNUMBER(SEARCH("yea",C78)),IFERROR(_xlfn.NUMBERVALUE(SUBSTITUTE(LEFT(TRIM(C78),FIND(" ",TRIM(C78)&amp;" ")-1),",","."),"."),LEFT(SUBSTITUTE(LEFT(TRIM(C78),FIND(" ",TRIM(C78)&amp;" ")-1),",","."),FIND("/",SUBSTITUTE(LEFT(TRIM(C78),FIND(" ",TRIM(C78)&amp;" ")-1),",","."))-1)/MID(SUBSTITUTE(LEFT(TRIM(C78),FIND(" ",TRIM(C78)&amp;" ")-1),",","."),FIND("/",SUBSTITUTE(LEFT(TRIM(C78),FIND(" ",TRIM(C78)&amp;" ")-1),",","."))+1,9))*12,NA()))),0),36)*'Aturan &amp; Tarif'!$B$4,2)</f>
        <v>2044.08</v>
      </c>
      <c r="K78" s="32" t="n">
        <f aca="false">'Aturan &amp; Tarif'!$B$5</f>
        <v>2050</v>
      </c>
      <c r="L78" s="35" t="n">
        <f aca="false">I78+J78+K78</f>
        <v>8794.08</v>
      </c>
      <c r="M78" s="36" t="s">
        <v>847</v>
      </c>
    </row>
    <row r="79" customFormat="false" ht="37.5" hidden="false" customHeight="true" outlineLevel="0" collapsed="false">
      <c r="A79" s="29"/>
      <c r="B79" s="30" t="s">
        <v>1910</v>
      </c>
      <c r="C79" s="31" t="s">
        <v>130</v>
      </c>
      <c r="D79" s="31" t="s">
        <v>737</v>
      </c>
      <c r="E79" s="32" t="n">
        <v>3000</v>
      </c>
      <c r="F79" s="32"/>
      <c r="G79" s="32" t="n">
        <v>200</v>
      </c>
      <c r="H79" s="33" t="n">
        <v>1</v>
      </c>
      <c r="I79" s="34" t="n">
        <f aca="false">E79*H79+N(F79)+N(G79)</f>
        <v>3200</v>
      </c>
      <c r="J79" s="32" t="n">
        <f aca="false">ROUND(IFERROR(ROUND(IF(OR(ISNUMBER(SEARCH("week",C79)),ISNUMBER(SEARCH("minggu",C79))),IFERROR(_xlfn.NUMBERVALUE(SUBSTITUTE(LEFT(TRIM(C79),FIND(" ",TRIM(C79)&amp;" ")-1),",","."),"."),LEFT(SUBSTITUTE(LEFT(TRIM(C79),FIND(" ",TRIM(C79)&amp;" ")-1),",","."),FIND("/",SUBSTITUTE(LEFT(TRIM(C79),FIND(" ",TRIM(C79)&amp;" ")-1),",","."))-1)/MID(SUBSTITUTE(LEFT(TRIM(C79),FIND(" ",TRIM(C79)&amp;" ")-1),",","."),FIND("/",SUBSTITUTE(LEFT(TRIM(C79),FIND(" ",TRIM(C79)&amp;" ")-1),",","."))+1,9))*12/52,IF(ISNUMBER(SEARCH("month",C79)),IFERROR(_xlfn.NUMBERVALUE(SUBSTITUTE(LEFT(TRIM(C79),FIND(" ",TRIM(C79)&amp;" ")-1),",","."),"."),LEFT(SUBSTITUTE(LEFT(TRIM(C79),FIND(" ",TRIM(C79)&amp;" ")-1),",","."),FIND("/",SUBSTITUTE(LEFT(TRIM(C79),FIND(" ",TRIM(C79)&amp;" ")-1),",","."))-1)/MID(SUBSTITUTE(LEFT(TRIM(C79),FIND(" ",TRIM(C79)&amp;" ")-1),",","."),FIND("/",SUBSTITUTE(LEFT(TRIM(C79),FIND(" ",TRIM(C79)&amp;" ")-1),",","."))+1,9)),IF(ISNUMBER(SEARCH("yea",C79)),IFERROR(_xlfn.NUMBERVALUE(SUBSTITUTE(LEFT(TRIM(C79),FIND(" ",TRIM(C79)&amp;" ")-1),",","."),"."),LEFT(SUBSTITUTE(LEFT(TRIM(C79),FIND(" ",TRIM(C79)&amp;" ")-1),",","."),FIND("/",SUBSTITUTE(LEFT(TRIM(C79),FIND(" ",TRIM(C79)&amp;" ")-1),",","."))-1)/MID(SUBSTITUTE(LEFT(TRIM(C79),FIND(" ",TRIM(C79)&amp;" ")-1),",","."),FIND("/",SUBSTITUTE(LEFT(TRIM(C79),FIND(" ",TRIM(C79)&amp;" ")-1),",","."))+1,9))*12,NA()))),0),12)*'Aturan &amp; Tarif'!$B$4,2)</f>
        <v>681.36</v>
      </c>
      <c r="K79" s="32" t="n">
        <f aca="false">'Aturan &amp; Tarif'!$B$5</f>
        <v>2050</v>
      </c>
      <c r="L79" s="35" t="n">
        <f aca="false">I79+J79+K79</f>
        <v>5931.36</v>
      </c>
      <c r="M79" s="36" t="s">
        <v>849</v>
      </c>
    </row>
    <row r="80" customFormat="false" ht="37.5" hidden="false" customHeight="true" outlineLevel="0" collapsed="false">
      <c r="A80" s="29"/>
      <c r="B80" s="30" t="s">
        <v>968</v>
      </c>
      <c r="C80" s="31" t="s">
        <v>127</v>
      </c>
      <c r="D80" s="31" t="s">
        <v>737</v>
      </c>
      <c r="E80" s="32" t="n">
        <v>4500</v>
      </c>
      <c r="F80" s="32"/>
      <c r="G80" s="32" t="n">
        <v>200</v>
      </c>
      <c r="H80" s="33" t="n">
        <v>1</v>
      </c>
      <c r="I80" s="34" t="n">
        <f aca="false">E80*H80+N(F80)+N(G80)</f>
        <v>4700</v>
      </c>
      <c r="J80" s="32" t="n">
        <f aca="false">ROUND(IFERROR(ROUND(IF(OR(ISNUMBER(SEARCH("week",C80)),ISNUMBER(SEARCH("minggu",C80))),IFERROR(_xlfn.NUMBERVALUE(SUBSTITUTE(LEFT(TRIM(C80),FIND(" ",TRIM(C80)&amp;" ")-1),",","."),"."),LEFT(SUBSTITUTE(LEFT(TRIM(C80),FIND(" ",TRIM(C80)&amp;" ")-1),",","."),FIND("/",SUBSTITUTE(LEFT(TRIM(C80),FIND(" ",TRIM(C80)&amp;" ")-1),",","."))-1)/MID(SUBSTITUTE(LEFT(TRIM(C80),FIND(" ",TRIM(C80)&amp;" ")-1),",","."),FIND("/",SUBSTITUTE(LEFT(TRIM(C80),FIND(" ",TRIM(C80)&amp;" ")-1),",","."))+1,9))*12/52,IF(ISNUMBER(SEARCH("month",C80)),IFERROR(_xlfn.NUMBERVALUE(SUBSTITUTE(LEFT(TRIM(C80),FIND(" ",TRIM(C80)&amp;" ")-1),",","."),"."),LEFT(SUBSTITUTE(LEFT(TRIM(C80),FIND(" ",TRIM(C80)&amp;" ")-1),",","."),FIND("/",SUBSTITUTE(LEFT(TRIM(C80),FIND(" ",TRIM(C80)&amp;" ")-1),",","."))-1)/MID(SUBSTITUTE(LEFT(TRIM(C80),FIND(" ",TRIM(C80)&amp;" ")-1),",","."),FIND("/",SUBSTITUTE(LEFT(TRIM(C80),FIND(" ",TRIM(C80)&amp;" ")-1),",","."))+1,9)),IF(ISNUMBER(SEARCH("yea",C80)),IFERROR(_xlfn.NUMBERVALUE(SUBSTITUTE(LEFT(TRIM(C80),FIND(" ",TRIM(C80)&amp;" ")-1),",","."),"."),LEFT(SUBSTITUTE(LEFT(TRIM(C80),FIND(" ",TRIM(C80)&amp;" ")-1),",","."),FIND("/",SUBSTITUTE(LEFT(TRIM(C80),FIND(" ",TRIM(C80)&amp;" ")-1),",","."))-1)/MID(SUBSTITUTE(LEFT(TRIM(C80),FIND(" ",TRIM(C80)&amp;" ")-1),",","."),FIND("/",SUBSTITUTE(LEFT(TRIM(C80),FIND(" ",TRIM(C80)&amp;" ")-1),",","."))+1,9))*12,NA()))),0),36)*'Aturan &amp; Tarif'!$B$4,2)</f>
        <v>2044.08</v>
      </c>
      <c r="K80" s="32" t="n">
        <f aca="false">'Aturan &amp; Tarif'!$B$5</f>
        <v>2050</v>
      </c>
      <c r="L80" s="35" t="n">
        <f aca="false">I80+J80+K80</f>
        <v>8794.08</v>
      </c>
      <c r="M80" s="36" t="s">
        <v>847</v>
      </c>
    </row>
    <row r="81" customFormat="false" ht="37.5" hidden="false" customHeight="true" outlineLevel="0" collapsed="false">
      <c r="A81" s="29"/>
      <c r="B81" s="30" t="s">
        <v>1911</v>
      </c>
      <c r="C81" s="31" t="s">
        <v>127</v>
      </c>
      <c r="D81" s="31" t="s">
        <v>737</v>
      </c>
      <c r="E81" s="32" t="n">
        <v>4500</v>
      </c>
      <c r="F81" s="32"/>
      <c r="G81" s="32" t="n">
        <v>200</v>
      </c>
      <c r="H81" s="33" t="n">
        <v>1</v>
      </c>
      <c r="I81" s="34" t="n">
        <f aca="false">E81*H81+N(F81)+N(G81)</f>
        <v>4700</v>
      </c>
      <c r="J81" s="32" t="n">
        <f aca="false">ROUND(IFERROR(ROUND(IF(OR(ISNUMBER(SEARCH("week",C81)),ISNUMBER(SEARCH("minggu",C81))),IFERROR(_xlfn.NUMBERVALUE(SUBSTITUTE(LEFT(TRIM(C81),FIND(" ",TRIM(C81)&amp;" ")-1),",","."),"."),LEFT(SUBSTITUTE(LEFT(TRIM(C81),FIND(" ",TRIM(C81)&amp;" ")-1),",","."),FIND("/",SUBSTITUTE(LEFT(TRIM(C81),FIND(" ",TRIM(C81)&amp;" ")-1),",","."))-1)/MID(SUBSTITUTE(LEFT(TRIM(C81),FIND(" ",TRIM(C81)&amp;" ")-1),",","."),FIND("/",SUBSTITUTE(LEFT(TRIM(C81),FIND(" ",TRIM(C81)&amp;" ")-1),",","."))+1,9))*12/52,IF(ISNUMBER(SEARCH("month",C81)),IFERROR(_xlfn.NUMBERVALUE(SUBSTITUTE(LEFT(TRIM(C81),FIND(" ",TRIM(C81)&amp;" ")-1),",","."),"."),LEFT(SUBSTITUTE(LEFT(TRIM(C81),FIND(" ",TRIM(C81)&amp;" ")-1),",","."),FIND("/",SUBSTITUTE(LEFT(TRIM(C81),FIND(" ",TRIM(C81)&amp;" ")-1),",","."))-1)/MID(SUBSTITUTE(LEFT(TRIM(C81),FIND(" ",TRIM(C81)&amp;" ")-1),",","."),FIND("/",SUBSTITUTE(LEFT(TRIM(C81),FIND(" ",TRIM(C81)&amp;" ")-1),",","."))+1,9)),IF(ISNUMBER(SEARCH("yea",C81)),IFERROR(_xlfn.NUMBERVALUE(SUBSTITUTE(LEFT(TRIM(C81),FIND(" ",TRIM(C81)&amp;" ")-1),",","."),"."),LEFT(SUBSTITUTE(LEFT(TRIM(C81),FIND(" ",TRIM(C81)&amp;" ")-1),",","."),FIND("/",SUBSTITUTE(LEFT(TRIM(C81),FIND(" ",TRIM(C81)&amp;" ")-1),",","."))-1)/MID(SUBSTITUTE(LEFT(TRIM(C81),FIND(" ",TRIM(C81)&amp;" ")-1),",","."),FIND("/",SUBSTITUTE(LEFT(TRIM(C81),FIND(" ",TRIM(C81)&amp;" ")-1),",","."))+1,9))*12,NA()))),0),36)*'Aturan &amp; Tarif'!$B$4,2)</f>
        <v>2044.08</v>
      </c>
      <c r="K81" s="32" t="n">
        <f aca="false">'Aturan &amp; Tarif'!$B$5</f>
        <v>2050</v>
      </c>
      <c r="L81" s="35" t="n">
        <f aca="false">I81+J81+K81</f>
        <v>8794.08</v>
      </c>
      <c r="M81" s="36" t="s">
        <v>847</v>
      </c>
    </row>
    <row r="82" customFormat="false" ht="37.5" hidden="false" customHeight="true" outlineLevel="0" collapsed="false">
      <c r="A82" s="29"/>
      <c r="B82" s="30" t="s">
        <v>1912</v>
      </c>
      <c r="C82" s="31" t="s">
        <v>852</v>
      </c>
      <c r="D82" s="31" t="s">
        <v>737</v>
      </c>
      <c r="E82" s="32" t="n">
        <v>7800</v>
      </c>
      <c r="F82" s="32"/>
      <c r="G82" s="32" t="n">
        <v>200</v>
      </c>
      <c r="H82" s="33" t="n">
        <v>1</v>
      </c>
      <c r="I82" s="34" t="n">
        <f aca="false">E82*H82+N(F82)+N(G82)</f>
        <v>8000</v>
      </c>
      <c r="J82" s="32" t="n">
        <f aca="false">ROUND(IFERROR(ROUND(IF(OR(ISNUMBER(SEARCH("week",C82)),ISNUMBER(SEARCH("minggu",C82))),IFERROR(_xlfn.NUMBERVALUE(SUBSTITUTE(LEFT(TRIM(C82),FIND(" ",TRIM(C82)&amp;" ")-1),",","."),"."),LEFT(SUBSTITUTE(LEFT(TRIM(C82),FIND(" ",TRIM(C82)&amp;" ")-1),",","."),FIND("/",SUBSTITUTE(LEFT(TRIM(C82),FIND(" ",TRIM(C82)&amp;" ")-1),",","."))-1)/MID(SUBSTITUTE(LEFT(TRIM(C82),FIND(" ",TRIM(C82)&amp;" ")-1),",","."),FIND("/",SUBSTITUTE(LEFT(TRIM(C82),FIND(" ",TRIM(C82)&amp;" ")-1),",","."))+1,9))*12/52,IF(ISNUMBER(SEARCH("month",C82)),IFERROR(_xlfn.NUMBERVALUE(SUBSTITUTE(LEFT(TRIM(C82),FIND(" ",TRIM(C82)&amp;" ")-1),",","."),"."),LEFT(SUBSTITUTE(LEFT(TRIM(C82),FIND(" ",TRIM(C82)&amp;" ")-1),",","."),FIND("/",SUBSTITUTE(LEFT(TRIM(C82),FIND(" ",TRIM(C82)&amp;" ")-1),",","."))-1)/MID(SUBSTITUTE(LEFT(TRIM(C82),FIND(" ",TRIM(C82)&amp;" ")-1),",","."),FIND("/",SUBSTITUTE(LEFT(TRIM(C82),FIND(" ",TRIM(C82)&amp;" ")-1),",","."))+1,9)),IF(ISNUMBER(SEARCH("yea",C82)),IFERROR(_xlfn.NUMBERVALUE(SUBSTITUTE(LEFT(TRIM(C82),FIND(" ",TRIM(C82)&amp;" ")-1),",","."),"."),LEFT(SUBSTITUTE(LEFT(TRIM(C82),FIND(" ",TRIM(C82)&amp;" ")-1),",","."),FIND("/",SUBSTITUTE(LEFT(TRIM(C82),FIND(" ",TRIM(C82)&amp;" ")-1),",","."))-1)/MID(SUBSTITUTE(LEFT(TRIM(C82),FIND(" ",TRIM(C82)&amp;" ")-1),",","."),FIND("/",SUBSTITUTE(LEFT(TRIM(C82),FIND(" ",TRIM(C82)&amp;" ")-1),",","."))+1,9))*12,NA()))),0),9)*'Aturan &amp; Tarif'!$B$4,2)</f>
        <v>511.02</v>
      </c>
      <c r="K82" s="32" t="n">
        <f aca="false">'Aturan &amp; Tarif'!$B$5</f>
        <v>2050</v>
      </c>
      <c r="L82" s="35" t="n">
        <f aca="false">I82+J82+K82</f>
        <v>10561.02</v>
      </c>
      <c r="M82" s="36" t="s">
        <v>853</v>
      </c>
    </row>
    <row r="83" customFormat="false" ht="37.5" hidden="false" customHeight="true" outlineLevel="0" collapsed="false">
      <c r="A83" s="29"/>
      <c r="B83" s="30" t="s">
        <v>1913</v>
      </c>
      <c r="C83" s="31" t="s">
        <v>130</v>
      </c>
      <c r="D83" s="31" t="s">
        <v>737</v>
      </c>
      <c r="E83" s="32" t="n">
        <v>7800</v>
      </c>
      <c r="F83" s="32"/>
      <c r="G83" s="32" t="n">
        <v>200</v>
      </c>
      <c r="H83" s="33" t="n">
        <v>1</v>
      </c>
      <c r="I83" s="34" t="n">
        <f aca="false">E83*H83+N(F83)+N(G83)</f>
        <v>8000</v>
      </c>
      <c r="J83" s="32" t="n">
        <f aca="false">ROUND(IFERROR(ROUND(IF(OR(ISNUMBER(SEARCH("week",C83)),ISNUMBER(SEARCH("minggu",C83))),IFERROR(_xlfn.NUMBERVALUE(SUBSTITUTE(LEFT(TRIM(C83),FIND(" ",TRIM(C83)&amp;" ")-1),",","."),"."),LEFT(SUBSTITUTE(LEFT(TRIM(C83),FIND(" ",TRIM(C83)&amp;" ")-1),",","."),FIND("/",SUBSTITUTE(LEFT(TRIM(C83),FIND(" ",TRIM(C83)&amp;" ")-1),",","."))-1)/MID(SUBSTITUTE(LEFT(TRIM(C83),FIND(" ",TRIM(C83)&amp;" ")-1),",","."),FIND("/",SUBSTITUTE(LEFT(TRIM(C83),FIND(" ",TRIM(C83)&amp;" ")-1),",","."))+1,9))*12/52,IF(ISNUMBER(SEARCH("month",C83)),IFERROR(_xlfn.NUMBERVALUE(SUBSTITUTE(LEFT(TRIM(C83),FIND(" ",TRIM(C83)&amp;" ")-1),",","."),"."),LEFT(SUBSTITUTE(LEFT(TRIM(C83),FIND(" ",TRIM(C83)&amp;" ")-1),",","."),FIND("/",SUBSTITUTE(LEFT(TRIM(C83),FIND(" ",TRIM(C83)&amp;" ")-1),",","."))-1)/MID(SUBSTITUTE(LEFT(TRIM(C83),FIND(" ",TRIM(C83)&amp;" ")-1),",","."),FIND("/",SUBSTITUTE(LEFT(TRIM(C83),FIND(" ",TRIM(C83)&amp;" ")-1),",","."))+1,9)),IF(ISNUMBER(SEARCH("yea",C83)),IFERROR(_xlfn.NUMBERVALUE(SUBSTITUTE(LEFT(TRIM(C83),FIND(" ",TRIM(C83)&amp;" ")-1),",","."),"."),LEFT(SUBSTITUTE(LEFT(TRIM(C83),FIND(" ",TRIM(C83)&amp;" ")-1),",","."),FIND("/",SUBSTITUTE(LEFT(TRIM(C83),FIND(" ",TRIM(C83)&amp;" ")-1),",","."))-1)/MID(SUBSTITUTE(LEFT(TRIM(C83),FIND(" ",TRIM(C83)&amp;" ")-1),",","."),FIND("/",SUBSTITUTE(LEFT(TRIM(C83),FIND(" ",TRIM(C83)&amp;" ")-1),",","."))+1,9))*12,NA()))),0),12)*'Aturan &amp; Tarif'!$B$4,2)</f>
        <v>681.36</v>
      </c>
      <c r="K83" s="32" t="n">
        <f aca="false">'Aturan &amp; Tarif'!$B$5</f>
        <v>2050</v>
      </c>
      <c r="L83" s="35" t="n">
        <f aca="false">I83+J83+K83</f>
        <v>10731.36</v>
      </c>
      <c r="M83" s="36" t="s">
        <v>853</v>
      </c>
    </row>
    <row r="84" customFormat="false" ht="37.5" hidden="false" customHeight="true" outlineLevel="0" collapsed="false">
      <c r="A84" s="29"/>
      <c r="B84" s="30" t="s">
        <v>971</v>
      </c>
      <c r="C84" s="31" t="s">
        <v>107</v>
      </c>
      <c r="D84" s="31" t="s">
        <v>737</v>
      </c>
      <c r="E84" s="32" t="n">
        <v>7800</v>
      </c>
      <c r="F84" s="32"/>
      <c r="G84" s="32" t="n">
        <v>200</v>
      </c>
      <c r="H84" s="33" t="n">
        <v>1</v>
      </c>
      <c r="I84" s="34" t="n">
        <f aca="false">E84*H84+N(F84)+N(G84)</f>
        <v>8000</v>
      </c>
      <c r="J84" s="32" t="n">
        <f aca="false">ROUND(IFERROR(ROUND(IF(OR(ISNUMBER(SEARCH("week",C84)),ISNUMBER(SEARCH("minggu",C84))),IFERROR(_xlfn.NUMBERVALUE(SUBSTITUTE(LEFT(TRIM(C84),FIND(" ",TRIM(C84)&amp;" ")-1),",","."),"."),LEFT(SUBSTITUTE(LEFT(TRIM(C84),FIND(" ",TRIM(C84)&amp;" ")-1),",","."),FIND("/",SUBSTITUTE(LEFT(TRIM(C84),FIND(" ",TRIM(C84)&amp;" ")-1),",","."))-1)/MID(SUBSTITUTE(LEFT(TRIM(C84),FIND(" ",TRIM(C84)&amp;" ")-1),",","."),FIND("/",SUBSTITUTE(LEFT(TRIM(C84),FIND(" ",TRIM(C84)&amp;" ")-1),",","."))+1,9))*12/52,IF(ISNUMBER(SEARCH("month",C84)),IFERROR(_xlfn.NUMBERVALUE(SUBSTITUTE(LEFT(TRIM(C84),FIND(" ",TRIM(C84)&amp;" ")-1),",","."),"."),LEFT(SUBSTITUTE(LEFT(TRIM(C84),FIND(" ",TRIM(C84)&amp;" ")-1),",","."),FIND("/",SUBSTITUTE(LEFT(TRIM(C84),FIND(" ",TRIM(C84)&amp;" ")-1),",","."))-1)/MID(SUBSTITUTE(LEFT(TRIM(C84),FIND(" ",TRIM(C84)&amp;" ")-1),",","."),FIND("/",SUBSTITUTE(LEFT(TRIM(C84),FIND(" ",TRIM(C84)&amp;" ")-1),",","."))+1,9)),IF(ISNUMBER(SEARCH("yea",C84)),IFERROR(_xlfn.NUMBERVALUE(SUBSTITUTE(LEFT(TRIM(C84),FIND(" ",TRIM(C84)&amp;" ")-1),",","."),"."),LEFT(SUBSTITUTE(LEFT(TRIM(C84),FIND(" ",TRIM(C84)&amp;" ")-1),",","."),FIND("/",SUBSTITUTE(LEFT(TRIM(C84),FIND(" ",TRIM(C84)&amp;" ")-1),",","."))-1)/MID(SUBSTITUTE(LEFT(TRIM(C84),FIND(" ",TRIM(C84)&amp;" ")-1),",","."),FIND("/",SUBSTITUTE(LEFT(TRIM(C84),FIND(" ",TRIM(C84)&amp;" ")-1),",","."))+1,9))*12,NA()))),0),24)*'Aturan &amp; Tarif'!$B$4,2)</f>
        <v>1362.72</v>
      </c>
      <c r="K84" s="32" t="n">
        <f aca="false">'Aturan &amp; Tarif'!$B$5</f>
        <v>2050</v>
      </c>
      <c r="L84" s="35" t="n">
        <f aca="false">I84+J84+K84</f>
        <v>11412.72</v>
      </c>
      <c r="M84" s="36" t="s">
        <v>3071</v>
      </c>
    </row>
    <row r="85" customFormat="false" ht="37.5" hidden="false" customHeight="true" outlineLevel="0" collapsed="false">
      <c r="A85" s="29"/>
      <c r="B85" s="30" t="s">
        <v>1914</v>
      </c>
      <c r="C85" s="31" t="s">
        <v>344</v>
      </c>
      <c r="D85" s="31" t="s">
        <v>737</v>
      </c>
      <c r="E85" s="32" t="n">
        <v>7800</v>
      </c>
      <c r="F85" s="32"/>
      <c r="G85" s="32" t="n">
        <v>200</v>
      </c>
      <c r="H85" s="33" t="n">
        <v>1</v>
      </c>
      <c r="I85" s="34" t="n">
        <f aca="false">E85*H85+N(F85)+N(G85)</f>
        <v>8000</v>
      </c>
      <c r="J85" s="32" t="n">
        <f aca="false">ROUND(IFERROR(ROUND(IF(OR(ISNUMBER(SEARCH("week",C85)),ISNUMBER(SEARCH("minggu",C85))),IFERROR(_xlfn.NUMBERVALUE(SUBSTITUTE(LEFT(TRIM(C85),FIND(" ",TRIM(C85)&amp;" ")-1),",","."),"."),LEFT(SUBSTITUTE(LEFT(TRIM(C85),FIND(" ",TRIM(C85)&amp;" ")-1),",","."),FIND("/",SUBSTITUTE(LEFT(TRIM(C85),FIND(" ",TRIM(C85)&amp;" ")-1),",","."))-1)/MID(SUBSTITUTE(LEFT(TRIM(C85),FIND(" ",TRIM(C85)&amp;" ")-1),",","."),FIND("/",SUBSTITUTE(LEFT(TRIM(C85),FIND(" ",TRIM(C85)&amp;" ")-1),",","."))+1,9))*12/52,IF(ISNUMBER(SEARCH("month",C85)),IFERROR(_xlfn.NUMBERVALUE(SUBSTITUTE(LEFT(TRIM(C85),FIND(" ",TRIM(C85)&amp;" ")-1),",","."),"."),LEFT(SUBSTITUTE(LEFT(TRIM(C85),FIND(" ",TRIM(C85)&amp;" ")-1),",","."),FIND("/",SUBSTITUTE(LEFT(TRIM(C85),FIND(" ",TRIM(C85)&amp;" ")-1),",","."))-1)/MID(SUBSTITUTE(LEFT(TRIM(C85),FIND(" ",TRIM(C85)&amp;" ")-1),",","."),FIND("/",SUBSTITUTE(LEFT(TRIM(C85),FIND(" ",TRIM(C85)&amp;" ")-1),",","."))+1,9)),IF(ISNUMBER(SEARCH("yea",C85)),IFERROR(_xlfn.NUMBERVALUE(SUBSTITUTE(LEFT(TRIM(C85),FIND(" ",TRIM(C85)&amp;" ")-1),",","."),"."),LEFT(SUBSTITUTE(LEFT(TRIM(C85),FIND(" ",TRIM(C85)&amp;" ")-1),",","."),FIND("/",SUBSTITUTE(LEFT(TRIM(C85),FIND(" ",TRIM(C85)&amp;" ")-1),",","."))-1)/MID(SUBSTITUTE(LEFT(TRIM(C85),FIND(" ",TRIM(C85)&amp;" ")-1),",","."),FIND("/",SUBSTITUTE(LEFT(TRIM(C85),FIND(" ",TRIM(C85)&amp;" ")-1),",","."))+1,9))*12,NA()))),0),6)*'Aturan &amp; Tarif'!$B$4,2)</f>
        <v>340.68</v>
      </c>
      <c r="K85" s="32" t="n">
        <f aca="false">'Aturan &amp; Tarif'!$B$5</f>
        <v>2050</v>
      </c>
      <c r="L85" s="35" t="n">
        <f aca="false">I85+J85+K85</f>
        <v>10390.68</v>
      </c>
      <c r="M85" s="36" t="s">
        <v>853</v>
      </c>
    </row>
    <row r="86" customFormat="false" ht="37.5" hidden="false" customHeight="true" outlineLevel="0" collapsed="false">
      <c r="A86" s="29"/>
      <c r="B86" s="30" t="s">
        <v>1915</v>
      </c>
      <c r="C86" s="31" t="s">
        <v>107</v>
      </c>
      <c r="D86" s="31" t="s">
        <v>737</v>
      </c>
      <c r="E86" s="32" t="n">
        <v>7800</v>
      </c>
      <c r="F86" s="32"/>
      <c r="G86" s="32" t="n">
        <v>200</v>
      </c>
      <c r="H86" s="33" t="n">
        <v>1</v>
      </c>
      <c r="I86" s="34" t="n">
        <f aca="false">E86*H86+N(F86)+N(G86)</f>
        <v>8000</v>
      </c>
      <c r="J86" s="32" t="n">
        <f aca="false">ROUND(IFERROR(ROUND(IF(OR(ISNUMBER(SEARCH("week",C86)),ISNUMBER(SEARCH("minggu",C86))),IFERROR(_xlfn.NUMBERVALUE(SUBSTITUTE(LEFT(TRIM(C86),FIND(" ",TRIM(C86)&amp;" ")-1),",","."),"."),LEFT(SUBSTITUTE(LEFT(TRIM(C86),FIND(" ",TRIM(C86)&amp;" ")-1),",","."),FIND("/",SUBSTITUTE(LEFT(TRIM(C86),FIND(" ",TRIM(C86)&amp;" ")-1),",","."))-1)/MID(SUBSTITUTE(LEFT(TRIM(C86),FIND(" ",TRIM(C86)&amp;" ")-1),",","."),FIND("/",SUBSTITUTE(LEFT(TRIM(C86),FIND(" ",TRIM(C86)&amp;" ")-1),",","."))+1,9))*12/52,IF(ISNUMBER(SEARCH("month",C86)),IFERROR(_xlfn.NUMBERVALUE(SUBSTITUTE(LEFT(TRIM(C86),FIND(" ",TRIM(C86)&amp;" ")-1),",","."),"."),LEFT(SUBSTITUTE(LEFT(TRIM(C86),FIND(" ",TRIM(C86)&amp;" ")-1),",","."),FIND("/",SUBSTITUTE(LEFT(TRIM(C86),FIND(" ",TRIM(C86)&amp;" ")-1),",","."))-1)/MID(SUBSTITUTE(LEFT(TRIM(C86),FIND(" ",TRIM(C86)&amp;" ")-1),",","."),FIND("/",SUBSTITUTE(LEFT(TRIM(C86),FIND(" ",TRIM(C86)&amp;" ")-1),",","."))+1,9)),IF(ISNUMBER(SEARCH("yea",C86)),IFERROR(_xlfn.NUMBERVALUE(SUBSTITUTE(LEFT(TRIM(C86),FIND(" ",TRIM(C86)&amp;" ")-1),",","."),"."),LEFT(SUBSTITUTE(LEFT(TRIM(C86),FIND(" ",TRIM(C86)&amp;" ")-1),",","."),FIND("/",SUBSTITUTE(LEFT(TRIM(C86),FIND(" ",TRIM(C86)&amp;" ")-1),",","."))-1)/MID(SUBSTITUTE(LEFT(TRIM(C86),FIND(" ",TRIM(C86)&amp;" ")-1),",","."),FIND("/",SUBSTITUTE(LEFT(TRIM(C86),FIND(" ",TRIM(C86)&amp;" ")-1),",","."))+1,9))*12,NA()))),0),24)*'Aturan &amp; Tarif'!$B$4,2)</f>
        <v>1362.72</v>
      </c>
      <c r="K86" s="32" t="n">
        <f aca="false">'Aturan &amp; Tarif'!$B$5</f>
        <v>2050</v>
      </c>
      <c r="L86" s="35" t="n">
        <f aca="false">I86+J86+K86</f>
        <v>11412.72</v>
      </c>
      <c r="M86" s="36" t="s">
        <v>3071</v>
      </c>
    </row>
    <row r="87" customFormat="false" ht="37.5" hidden="false" customHeight="true" outlineLevel="0" collapsed="false">
      <c r="A87" s="29"/>
      <c r="B87" s="30" t="s">
        <v>1916</v>
      </c>
      <c r="C87" s="31" t="s">
        <v>852</v>
      </c>
      <c r="D87" s="31" t="s">
        <v>737</v>
      </c>
      <c r="E87" s="32" t="n">
        <v>7800</v>
      </c>
      <c r="F87" s="32"/>
      <c r="G87" s="32" t="n">
        <v>200</v>
      </c>
      <c r="H87" s="33" t="n">
        <v>1</v>
      </c>
      <c r="I87" s="34" t="n">
        <f aca="false">E87*H87+N(F87)+N(G87)</f>
        <v>8000</v>
      </c>
      <c r="J87" s="32" t="n">
        <f aca="false">ROUND(IFERROR(ROUND(IF(OR(ISNUMBER(SEARCH("week",C87)),ISNUMBER(SEARCH("minggu",C87))),IFERROR(_xlfn.NUMBERVALUE(SUBSTITUTE(LEFT(TRIM(C87),FIND(" ",TRIM(C87)&amp;" ")-1),",","."),"."),LEFT(SUBSTITUTE(LEFT(TRIM(C87),FIND(" ",TRIM(C87)&amp;" ")-1),",","."),FIND("/",SUBSTITUTE(LEFT(TRIM(C87),FIND(" ",TRIM(C87)&amp;" ")-1),",","."))-1)/MID(SUBSTITUTE(LEFT(TRIM(C87),FIND(" ",TRIM(C87)&amp;" ")-1),",","."),FIND("/",SUBSTITUTE(LEFT(TRIM(C87),FIND(" ",TRIM(C87)&amp;" ")-1),",","."))+1,9))*12/52,IF(ISNUMBER(SEARCH("month",C87)),IFERROR(_xlfn.NUMBERVALUE(SUBSTITUTE(LEFT(TRIM(C87),FIND(" ",TRIM(C87)&amp;" ")-1),",","."),"."),LEFT(SUBSTITUTE(LEFT(TRIM(C87),FIND(" ",TRIM(C87)&amp;" ")-1),",","."),FIND("/",SUBSTITUTE(LEFT(TRIM(C87),FIND(" ",TRIM(C87)&amp;" ")-1),",","."))-1)/MID(SUBSTITUTE(LEFT(TRIM(C87),FIND(" ",TRIM(C87)&amp;" ")-1),",","."),FIND("/",SUBSTITUTE(LEFT(TRIM(C87),FIND(" ",TRIM(C87)&amp;" ")-1),",","."))+1,9)),IF(ISNUMBER(SEARCH("yea",C87)),IFERROR(_xlfn.NUMBERVALUE(SUBSTITUTE(LEFT(TRIM(C87),FIND(" ",TRIM(C87)&amp;" ")-1),",","."),"."),LEFT(SUBSTITUTE(LEFT(TRIM(C87),FIND(" ",TRIM(C87)&amp;" ")-1),",","."),FIND("/",SUBSTITUTE(LEFT(TRIM(C87),FIND(" ",TRIM(C87)&amp;" ")-1),",","."))-1)/MID(SUBSTITUTE(LEFT(TRIM(C87),FIND(" ",TRIM(C87)&amp;" ")-1),",","."),FIND("/",SUBSTITUTE(LEFT(TRIM(C87),FIND(" ",TRIM(C87)&amp;" ")-1),",","."))+1,9))*12,NA()))),0),9)*'Aturan &amp; Tarif'!$B$4,2)</f>
        <v>511.02</v>
      </c>
      <c r="K87" s="32" t="n">
        <f aca="false">'Aturan &amp; Tarif'!$B$5</f>
        <v>2050</v>
      </c>
      <c r="L87" s="35" t="n">
        <f aca="false">I87+J87+K87</f>
        <v>10561.02</v>
      </c>
      <c r="M87" s="36" t="s">
        <v>853</v>
      </c>
    </row>
    <row r="88" customFormat="false" ht="37.5" hidden="false" customHeight="true" outlineLevel="0" collapsed="false">
      <c r="A88" s="29"/>
      <c r="B88" s="30" t="s">
        <v>1917</v>
      </c>
      <c r="C88" s="31" t="s">
        <v>130</v>
      </c>
      <c r="D88" s="31" t="s">
        <v>737</v>
      </c>
      <c r="E88" s="32" t="n">
        <v>7800</v>
      </c>
      <c r="F88" s="32"/>
      <c r="G88" s="32" t="n">
        <v>200</v>
      </c>
      <c r="H88" s="33" t="n">
        <v>1</v>
      </c>
      <c r="I88" s="34" t="n">
        <f aca="false">E88*H88+N(F88)+N(G88)</f>
        <v>8000</v>
      </c>
      <c r="J88" s="32" t="n">
        <f aca="false">ROUND(IFERROR(ROUND(IF(OR(ISNUMBER(SEARCH("week",C88)),ISNUMBER(SEARCH("minggu",C88))),IFERROR(_xlfn.NUMBERVALUE(SUBSTITUTE(LEFT(TRIM(C88),FIND(" ",TRIM(C88)&amp;" ")-1),",","."),"."),LEFT(SUBSTITUTE(LEFT(TRIM(C88),FIND(" ",TRIM(C88)&amp;" ")-1),",","."),FIND("/",SUBSTITUTE(LEFT(TRIM(C88),FIND(" ",TRIM(C88)&amp;" ")-1),",","."))-1)/MID(SUBSTITUTE(LEFT(TRIM(C88),FIND(" ",TRIM(C88)&amp;" ")-1),",","."),FIND("/",SUBSTITUTE(LEFT(TRIM(C88),FIND(" ",TRIM(C88)&amp;" ")-1),",","."))+1,9))*12/52,IF(ISNUMBER(SEARCH("month",C88)),IFERROR(_xlfn.NUMBERVALUE(SUBSTITUTE(LEFT(TRIM(C88),FIND(" ",TRIM(C88)&amp;" ")-1),",","."),"."),LEFT(SUBSTITUTE(LEFT(TRIM(C88),FIND(" ",TRIM(C88)&amp;" ")-1),",","."),FIND("/",SUBSTITUTE(LEFT(TRIM(C88),FIND(" ",TRIM(C88)&amp;" ")-1),",","."))-1)/MID(SUBSTITUTE(LEFT(TRIM(C88),FIND(" ",TRIM(C88)&amp;" ")-1),",","."),FIND("/",SUBSTITUTE(LEFT(TRIM(C88),FIND(" ",TRIM(C88)&amp;" ")-1),",","."))+1,9)),IF(ISNUMBER(SEARCH("yea",C88)),IFERROR(_xlfn.NUMBERVALUE(SUBSTITUTE(LEFT(TRIM(C88),FIND(" ",TRIM(C88)&amp;" ")-1),",","."),"."),LEFT(SUBSTITUTE(LEFT(TRIM(C88),FIND(" ",TRIM(C88)&amp;" ")-1),",","."),FIND("/",SUBSTITUTE(LEFT(TRIM(C88),FIND(" ",TRIM(C88)&amp;" ")-1),",","."))-1)/MID(SUBSTITUTE(LEFT(TRIM(C88),FIND(" ",TRIM(C88)&amp;" ")-1),",","."),FIND("/",SUBSTITUTE(LEFT(TRIM(C88),FIND(" ",TRIM(C88)&amp;" ")-1),",","."))+1,9))*12,NA()))),0),12)*'Aturan &amp; Tarif'!$B$4,2)</f>
        <v>681.36</v>
      </c>
      <c r="K88" s="32" t="n">
        <f aca="false">'Aturan &amp; Tarif'!$B$5</f>
        <v>2050</v>
      </c>
      <c r="L88" s="35" t="n">
        <f aca="false">I88+J88+K88</f>
        <v>10731.36</v>
      </c>
      <c r="M88" s="36" t="s">
        <v>853</v>
      </c>
    </row>
    <row r="89" customFormat="false" ht="72" hidden="false" customHeight="true" outlineLevel="0" collapsed="false">
      <c r="A89" s="29"/>
      <c r="B89" s="30" t="s">
        <v>3072</v>
      </c>
      <c r="C89" s="31" t="s">
        <v>107</v>
      </c>
      <c r="D89" s="31" t="s">
        <v>737</v>
      </c>
      <c r="E89" s="32" t="n">
        <v>7800</v>
      </c>
      <c r="F89" s="32"/>
      <c r="G89" s="32" t="n">
        <v>200</v>
      </c>
      <c r="H89" s="33" t="n">
        <v>1</v>
      </c>
      <c r="I89" s="34" t="n">
        <f aca="false">E89*H89+N(F89)+N(G89)</f>
        <v>8000</v>
      </c>
      <c r="J89" s="32" t="n">
        <f aca="false">ROUND(IFERROR(ROUND(IF(OR(ISNUMBER(SEARCH("week",C89)),ISNUMBER(SEARCH("minggu",C89))),IFERROR(_xlfn.NUMBERVALUE(SUBSTITUTE(LEFT(TRIM(C89),FIND(" ",TRIM(C89)&amp;" ")-1),",","."),"."),LEFT(SUBSTITUTE(LEFT(TRIM(C89),FIND(" ",TRIM(C89)&amp;" ")-1),",","."),FIND("/",SUBSTITUTE(LEFT(TRIM(C89),FIND(" ",TRIM(C89)&amp;" ")-1),",","."))-1)/MID(SUBSTITUTE(LEFT(TRIM(C89),FIND(" ",TRIM(C89)&amp;" ")-1),",","."),FIND("/",SUBSTITUTE(LEFT(TRIM(C89),FIND(" ",TRIM(C89)&amp;" ")-1),",","."))+1,9))*12/52,IF(ISNUMBER(SEARCH("month",C89)),IFERROR(_xlfn.NUMBERVALUE(SUBSTITUTE(LEFT(TRIM(C89),FIND(" ",TRIM(C89)&amp;" ")-1),",","."),"."),LEFT(SUBSTITUTE(LEFT(TRIM(C89),FIND(" ",TRIM(C89)&amp;" ")-1),",","."),FIND("/",SUBSTITUTE(LEFT(TRIM(C89),FIND(" ",TRIM(C89)&amp;" ")-1),",","."))-1)/MID(SUBSTITUTE(LEFT(TRIM(C89),FIND(" ",TRIM(C89)&amp;" ")-1),",","."),FIND("/",SUBSTITUTE(LEFT(TRIM(C89),FIND(" ",TRIM(C89)&amp;" ")-1),",","."))+1,9)),IF(ISNUMBER(SEARCH("yea",C89)),IFERROR(_xlfn.NUMBERVALUE(SUBSTITUTE(LEFT(TRIM(C89),FIND(" ",TRIM(C89)&amp;" ")-1),",","."),"."),LEFT(SUBSTITUTE(LEFT(TRIM(C89),FIND(" ",TRIM(C89)&amp;" ")-1),",","."),FIND("/",SUBSTITUTE(LEFT(TRIM(C89),FIND(" ",TRIM(C89)&amp;" ")-1),",","."))-1)/MID(SUBSTITUTE(LEFT(TRIM(C89),FIND(" ",TRIM(C89)&amp;" ")-1),",","."),FIND("/",SUBSTITUTE(LEFT(TRIM(C89),FIND(" ",TRIM(C89)&amp;" ")-1),",","."))+1,9))*12,NA()))),0),24)*'Aturan &amp; Tarif'!$B$4,2)</f>
        <v>1362.72</v>
      </c>
      <c r="K89" s="32" t="n">
        <f aca="false">'Aturan &amp; Tarif'!$B$5</f>
        <v>2050</v>
      </c>
      <c r="L89" s="35" t="n">
        <f aca="false">I89+J89+K89</f>
        <v>11412.72</v>
      </c>
      <c r="M89" s="36" t="s">
        <v>3071</v>
      </c>
    </row>
    <row r="90" customFormat="false" ht="25.5" hidden="false" customHeight="true" outlineLevel="0" collapsed="false">
      <c r="A90" s="29" t="s">
        <v>2807</v>
      </c>
      <c r="B90" s="30" t="s">
        <v>909</v>
      </c>
      <c r="C90" s="31" t="s">
        <v>107</v>
      </c>
      <c r="D90" s="31" t="s">
        <v>108</v>
      </c>
      <c r="E90" s="32" t="n">
        <v>2562.5</v>
      </c>
      <c r="F90" s="32" t="n">
        <v>1500</v>
      </c>
      <c r="G90" s="32" t="n">
        <v>250</v>
      </c>
      <c r="H90" s="33" t="n">
        <v>1</v>
      </c>
      <c r="I90" s="34" t="n">
        <f aca="false">E90*H90+N(F90)+N(G90)</f>
        <v>4312.5</v>
      </c>
      <c r="J90" s="32" t="n">
        <f aca="false">ROUND(IFERROR(ROUND(IF(OR(ISNUMBER(SEARCH("week",C90)),ISNUMBER(SEARCH("minggu",C90))),IFERROR(_xlfn.NUMBERVALUE(SUBSTITUTE(LEFT(TRIM(C90),FIND(" ",TRIM(C90)&amp;" ")-1),",","."),"."),LEFT(SUBSTITUTE(LEFT(TRIM(C90),FIND(" ",TRIM(C90)&amp;" ")-1),",","."),FIND("/",SUBSTITUTE(LEFT(TRIM(C90),FIND(" ",TRIM(C90)&amp;" ")-1),",","."))-1)/MID(SUBSTITUTE(LEFT(TRIM(C90),FIND(" ",TRIM(C90)&amp;" ")-1),",","."),FIND("/",SUBSTITUTE(LEFT(TRIM(C90),FIND(" ",TRIM(C90)&amp;" ")-1),",","."))+1,9))*12/52,IF(ISNUMBER(SEARCH("month",C90)),IFERROR(_xlfn.NUMBERVALUE(SUBSTITUTE(LEFT(TRIM(C90),FIND(" ",TRIM(C90)&amp;" ")-1),",","."),"."),LEFT(SUBSTITUTE(LEFT(TRIM(C90),FIND(" ",TRIM(C90)&amp;" ")-1),",","."),FIND("/",SUBSTITUTE(LEFT(TRIM(C90),FIND(" ",TRIM(C90)&amp;" ")-1),",","."))-1)/MID(SUBSTITUTE(LEFT(TRIM(C90),FIND(" ",TRIM(C90)&amp;" ")-1),",","."),FIND("/",SUBSTITUTE(LEFT(TRIM(C90),FIND(" ",TRIM(C90)&amp;" ")-1),",","."))+1,9)),IF(ISNUMBER(SEARCH("yea",C90)),IFERROR(_xlfn.NUMBERVALUE(SUBSTITUTE(LEFT(TRIM(C90),FIND(" ",TRIM(C90)&amp;" ")-1),",","."),"."),LEFT(SUBSTITUTE(LEFT(TRIM(C90),FIND(" ",TRIM(C90)&amp;" ")-1),",","."),FIND("/",SUBSTITUTE(LEFT(TRIM(C90),FIND(" ",TRIM(C90)&amp;" ")-1),",","."))-1)/MID(SUBSTITUTE(LEFT(TRIM(C90),FIND(" ",TRIM(C90)&amp;" ")-1),",","."),FIND("/",SUBSTITUTE(LEFT(TRIM(C90),FIND(" ",TRIM(C90)&amp;" ")-1),",","."))+1,9))*12,NA()))),0),24)*'Aturan &amp; Tarif'!$B$4,2)</f>
        <v>1362.72</v>
      </c>
      <c r="K90" s="32" t="n">
        <f aca="false">'Aturan &amp; Tarif'!$B$5</f>
        <v>2050</v>
      </c>
      <c r="L90" s="35" t="n">
        <f aca="false">I90+J90+K90</f>
        <v>7725.22</v>
      </c>
      <c r="M90" s="37" t="s">
        <v>134</v>
      </c>
    </row>
    <row r="91" customFormat="false" ht="37.5" hidden="false" customHeight="true" outlineLevel="0" collapsed="false">
      <c r="A91" s="29"/>
      <c r="B91" s="30" t="s">
        <v>1580</v>
      </c>
      <c r="C91" s="31" t="s">
        <v>113</v>
      </c>
      <c r="D91" s="31" t="s">
        <v>108</v>
      </c>
      <c r="E91" s="32" t="n">
        <v>2166.66</v>
      </c>
      <c r="F91" s="32" t="n">
        <v>1500</v>
      </c>
      <c r="G91" s="32" t="n">
        <v>250</v>
      </c>
      <c r="H91" s="33" t="n">
        <v>1</v>
      </c>
      <c r="I91" s="34" t="n">
        <f aca="false">E91*H91+N(F91)+N(G91)</f>
        <v>3916.66</v>
      </c>
      <c r="J91" s="32" t="n">
        <f aca="false">ROUND(IFERROR(ROUND(IF(OR(ISNUMBER(SEARCH("week",C91)),ISNUMBER(SEARCH("minggu",C91))),IFERROR(_xlfn.NUMBERVALUE(SUBSTITUTE(LEFT(TRIM(C91),FIND(" ",TRIM(C91)&amp;" ")-1),",","."),"."),LEFT(SUBSTITUTE(LEFT(TRIM(C91),FIND(" ",TRIM(C91)&amp;" ")-1),",","."),FIND("/",SUBSTITUTE(LEFT(TRIM(C91),FIND(" ",TRIM(C91)&amp;" ")-1),",","."))-1)/MID(SUBSTITUTE(LEFT(TRIM(C91),FIND(" ",TRIM(C91)&amp;" ")-1),",","."),FIND("/",SUBSTITUTE(LEFT(TRIM(C91),FIND(" ",TRIM(C91)&amp;" ")-1),",","."))+1,9))*12/52,IF(ISNUMBER(SEARCH("month",C91)),IFERROR(_xlfn.NUMBERVALUE(SUBSTITUTE(LEFT(TRIM(C91),FIND(" ",TRIM(C91)&amp;" ")-1),",","."),"."),LEFT(SUBSTITUTE(LEFT(TRIM(C91),FIND(" ",TRIM(C91)&amp;" ")-1),",","."),FIND("/",SUBSTITUTE(LEFT(TRIM(C91),FIND(" ",TRIM(C91)&amp;" ")-1),",","."))-1)/MID(SUBSTITUTE(LEFT(TRIM(C91),FIND(" ",TRIM(C91)&amp;" ")-1),",","."),FIND("/",SUBSTITUTE(LEFT(TRIM(C91),FIND(" ",TRIM(C91)&amp;" ")-1),",","."))+1,9)),IF(ISNUMBER(SEARCH("yea",C91)),IFERROR(_xlfn.NUMBERVALUE(SUBSTITUTE(LEFT(TRIM(C91),FIND(" ",TRIM(C91)&amp;" ")-1),",","."),"."),LEFT(SUBSTITUTE(LEFT(TRIM(C91),FIND(" ",TRIM(C91)&amp;" ")-1),",","."),FIND("/",SUBSTITUTE(LEFT(TRIM(C91),FIND(" ",TRIM(C91)&amp;" ")-1),",","."))-1)/MID(SUBSTITUTE(LEFT(TRIM(C91),FIND(" ",TRIM(C91)&amp;" ")-1),",","."),FIND("/",SUBSTITUTE(LEFT(TRIM(C91),FIND(" ",TRIM(C91)&amp;" ")-1),",","."))+1,9))*12,NA()))),0),18)*'Aturan &amp; Tarif'!$B$4,2)</f>
        <v>1022.04</v>
      </c>
      <c r="K91" s="32" t="n">
        <f aca="false">'Aturan &amp; Tarif'!$B$5</f>
        <v>2050</v>
      </c>
      <c r="L91" s="35" t="n">
        <f aca="false">I91+J91+K91</f>
        <v>6988.7</v>
      </c>
      <c r="M91" s="37" t="s">
        <v>134</v>
      </c>
    </row>
    <row r="92" customFormat="false" ht="37.5" hidden="false" customHeight="true" outlineLevel="0" collapsed="false">
      <c r="A92" s="29"/>
      <c r="B92" s="30" t="s">
        <v>1581</v>
      </c>
      <c r="C92" s="31" t="s">
        <v>107</v>
      </c>
      <c r="D92" s="31" t="s">
        <v>108</v>
      </c>
      <c r="E92" s="32" t="n">
        <v>2125</v>
      </c>
      <c r="F92" s="32" t="n">
        <v>2500</v>
      </c>
      <c r="G92" s="32" t="n">
        <v>250</v>
      </c>
      <c r="H92" s="33" t="n">
        <v>1</v>
      </c>
      <c r="I92" s="34" t="n">
        <f aca="false">E92*H92+N(F92)+N(G92)</f>
        <v>4875</v>
      </c>
      <c r="J92" s="32" t="n">
        <f aca="false">ROUND(IFERROR(ROUND(IF(OR(ISNUMBER(SEARCH("week",C92)),ISNUMBER(SEARCH("minggu",C92))),IFERROR(_xlfn.NUMBERVALUE(SUBSTITUTE(LEFT(TRIM(C92),FIND(" ",TRIM(C92)&amp;" ")-1),",","."),"."),LEFT(SUBSTITUTE(LEFT(TRIM(C92),FIND(" ",TRIM(C92)&amp;" ")-1),",","."),FIND("/",SUBSTITUTE(LEFT(TRIM(C92),FIND(" ",TRIM(C92)&amp;" ")-1),",","."))-1)/MID(SUBSTITUTE(LEFT(TRIM(C92),FIND(" ",TRIM(C92)&amp;" ")-1),",","."),FIND("/",SUBSTITUTE(LEFT(TRIM(C92),FIND(" ",TRIM(C92)&amp;" ")-1),",","."))+1,9))*12/52,IF(ISNUMBER(SEARCH("month",C92)),IFERROR(_xlfn.NUMBERVALUE(SUBSTITUTE(LEFT(TRIM(C92),FIND(" ",TRIM(C92)&amp;" ")-1),",","."),"."),LEFT(SUBSTITUTE(LEFT(TRIM(C92),FIND(" ",TRIM(C92)&amp;" ")-1),",","."),FIND("/",SUBSTITUTE(LEFT(TRIM(C92),FIND(" ",TRIM(C92)&amp;" ")-1),",","."))-1)/MID(SUBSTITUTE(LEFT(TRIM(C92),FIND(" ",TRIM(C92)&amp;" ")-1),",","."),FIND("/",SUBSTITUTE(LEFT(TRIM(C92),FIND(" ",TRIM(C92)&amp;" ")-1),",","."))+1,9)),IF(ISNUMBER(SEARCH("yea",C92)),IFERROR(_xlfn.NUMBERVALUE(SUBSTITUTE(LEFT(TRIM(C92),FIND(" ",TRIM(C92)&amp;" ")-1),",","."),"."),LEFT(SUBSTITUTE(LEFT(TRIM(C92),FIND(" ",TRIM(C92)&amp;" ")-1),",","."),FIND("/",SUBSTITUTE(LEFT(TRIM(C92),FIND(" ",TRIM(C92)&amp;" ")-1),",","."))-1)/MID(SUBSTITUTE(LEFT(TRIM(C92),FIND(" ",TRIM(C92)&amp;" ")-1),",","."),FIND("/",SUBSTITUTE(LEFT(TRIM(C92),FIND(" ",TRIM(C92)&amp;" ")-1),",","."))+1,9))*12,NA()))),0),24)*'Aturan &amp; Tarif'!$B$4,2)</f>
        <v>1362.72</v>
      </c>
      <c r="K92" s="32" t="n">
        <f aca="false">'Aturan &amp; Tarif'!$B$5</f>
        <v>2050</v>
      </c>
      <c r="L92" s="35" t="n">
        <f aca="false">I92+J92+K92</f>
        <v>8287.72</v>
      </c>
      <c r="M92" s="37" t="s">
        <v>134</v>
      </c>
    </row>
    <row r="93" customFormat="false" ht="48.75" hidden="false" customHeight="true" outlineLevel="0" collapsed="false">
      <c r="A93" s="29"/>
      <c r="B93" s="30" t="s">
        <v>1582</v>
      </c>
      <c r="C93" s="31" t="s">
        <v>138</v>
      </c>
      <c r="D93" s="31" t="s">
        <v>108</v>
      </c>
      <c r="E93" s="32" t="n">
        <v>2100</v>
      </c>
      <c r="F93" s="32" t="n">
        <v>2500</v>
      </c>
      <c r="G93" s="32" t="n">
        <v>250</v>
      </c>
      <c r="H93" s="33" t="n">
        <v>1</v>
      </c>
      <c r="I93" s="34" t="n">
        <f aca="false">E93*H93+N(F93)+N(G93)</f>
        <v>4850</v>
      </c>
      <c r="J93" s="32" t="n">
        <f aca="false">ROUND(IFERROR(ROUND(IF(OR(ISNUMBER(SEARCH("week",C93)),ISNUMBER(SEARCH("minggu",C93))),IFERROR(_xlfn.NUMBERVALUE(SUBSTITUTE(LEFT(TRIM(C93),FIND(" ",TRIM(C93)&amp;" ")-1),",","."),"."),LEFT(SUBSTITUTE(LEFT(TRIM(C93),FIND(" ",TRIM(C93)&amp;" ")-1),",","."),FIND("/",SUBSTITUTE(LEFT(TRIM(C93),FIND(" ",TRIM(C93)&amp;" ")-1),",","."))-1)/MID(SUBSTITUTE(LEFT(TRIM(C93),FIND(" ",TRIM(C93)&amp;" ")-1),",","."),FIND("/",SUBSTITUTE(LEFT(TRIM(C93),FIND(" ",TRIM(C93)&amp;" ")-1),",","."))+1,9))*12/52,IF(ISNUMBER(SEARCH("month",C93)),IFERROR(_xlfn.NUMBERVALUE(SUBSTITUTE(LEFT(TRIM(C93),FIND(" ",TRIM(C93)&amp;" ")-1),",","."),"."),LEFT(SUBSTITUTE(LEFT(TRIM(C93),FIND(" ",TRIM(C93)&amp;" ")-1),",","."),FIND("/",SUBSTITUTE(LEFT(TRIM(C93),FIND(" ",TRIM(C93)&amp;" ")-1),",","."))-1)/MID(SUBSTITUTE(LEFT(TRIM(C93),FIND(" ",TRIM(C93)&amp;" ")-1),",","."),FIND("/",SUBSTITUTE(LEFT(TRIM(C93),FIND(" ",TRIM(C93)&amp;" ")-1),",","."))+1,9)),IF(ISNUMBER(SEARCH("yea",C93)),IFERROR(_xlfn.NUMBERVALUE(SUBSTITUTE(LEFT(TRIM(C93),FIND(" ",TRIM(C93)&amp;" ")-1),",","."),"."),LEFT(SUBSTITUTE(LEFT(TRIM(C93),FIND(" ",TRIM(C93)&amp;" ")-1),",","."),FIND("/",SUBSTITUTE(LEFT(TRIM(C93),FIND(" ",TRIM(C93)&amp;" ")-1),",","."))-1)/MID(SUBSTITUTE(LEFT(TRIM(C93),FIND(" ",TRIM(C93)&amp;" ")-1),",","."),FIND("/",SUBSTITUTE(LEFT(TRIM(C93),FIND(" ",TRIM(C93)&amp;" ")-1),",","."))+1,9))*12,NA()))),0),30)*'Aturan &amp; Tarif'!$B$4,2)</f>
        <v>1703.4</v>
      </c>
      <c r="K93" s="32" t="n">
        <f aca="false">'Aturan &amp; Tarif'!$B$5</f>
        <v>2050</v>
      </c>
      <c r="L93" s="35" t="n">
        <f aca="false">I93+J93+K93</f>
        <v>8603.4</v>
      </c>
      <c r="M93" s="37" t="s">
        <v>134</v>
      </c>
    </row>
    <row r="94" customFormat="false" ht="14.25" hidden="false" customHeight="true" outlineLevel="0" collapsed="false">
      <c r="A94" s="29" t="s">
        <v>2808</v>
      </c>
      <c r="B94" s="30" t="s">
        <v>317</v>
      </c>
      <c r="C94" s="31" t="s">
        <v>127</v>
      </c>
      <c r="D94" s="31" t="s">
        <v>108</v>
      </c>
      <c r="E94" s="32" t="n">
        <v>8742</v>
      </c>
      <c r="F94" s="32"/>
      <c r="G94" s="32"/>
      <c r="H94" s="33" t="n">
        <v>2</v>
      </c>
      <c r="I94" s="34" t="n">
        <f aca="false">E94*H94+N(F94)+N(G94)</f>
        <v>17484</v>
      </c>
      <c r="J94" s="32" t="n">
        <f aca="false">ROUND(IFERROR(ROUND(IF(OR(ISNUMBER(SEARCH("week",C94)),ISNUMBER(SEARCH("minggu",C94))),IFERROR(_xlfn.NUMBERVALUE(SUBSTITUTE(LEFT(TRIM(C94),FIND(" ",TRIM(C94)&amp;" ")-1),",","."),"."),LEFT(SUBSTITUTE(LEFT(TRIM(C94),FIND(" ",TRIM(C94)&amp;" ")-1),",","."),FIND("/",SUBSTITUTE(LEFT(TRIM(C94),FIND(" ",TRIM(C94)&amp;" ")-1),",","."))-1)/MID(SUBSTITUTE(LEFT(TRIM(C94),FIND(" ",TRIM(C94)&amp;" ")-1),",","."),FIND("/",SUBSTITUTE(LEFT(TRIM(C94),FIND(" ",TRIM(C94)&amp;" ")-1),",","."))+1,9))*12/52,IF(ISNUMBER(SEARCH("month",C94)),IFERROR(_xlfn.NUMBERVALUE(SUBSTITUTE(LEFT(TRIM(C94),FIND(" ",TRIM(C94)&amp;" ")-1),",","."),"."),LEFT(SUBSTITUTE(LEFT(TRIM(C94),FIND(" ",TRIM(C94)&amp;" ")-1),",","."),FIND("/",SUBSTITUTE(LEFT(TRIM(C94),FIND(" ",TRIM(C94)&amp;" ")-1),",","."))-1)/MID(SUBSTITUTE(LEFT(TRIM(C94),FIND(" ",TRIM(C94)&amp;" ")-1),",","."),FIND("/",SUBSTITUTE(LEFT(TRIM(C94),FIND(" ",TRIM(C94)&amp;" ")-1),",","."))+1,9)),IF(ISNUMBER(SEARCH("yea",C94)),IFERROR(_xlfn.NUMBERVALUE(SUBSTITUTE(LEFT(TRIM(C94),FIND(" ",TRIM(C94)&amp;" ")-1),",","."),"."),LEFT(SUBSTITUTE(LEFT(TRIM(C94),FIND(" ",TRIM(C94)&amp;" ")-1),",","."),FIND("/",SUBSTITUTE(LEFT(TRIM(C94),FIND(" ",TRIM(C94)&amp;" ")-1),",","."))-1)/MID(SUBSTITUTE(LEFT(TRIM(C94),FIND(" ",TRIM(C94)&amp;" ")-1),",","."),FIND("/",SUBSTITUTE(LEFT(TRIM(C94),FIND(" ",TRIM(C94)&amp;" ")-1),",","."))+1,9))*12,NA()))),0),36)*'Aturan &amp; Tarif'!$B$4,2)</f>
        <v>2044.08</v>
      </c>
      <c r="K94" s="32" t="n">
        <f aca="false">'Aturan &amp; Tarif'!$B$5</f>
        <v>2050</v>
      </c>
      <c r="L94" s="35" t="n">
        <f aca="false">I94+J94+K94</f>
        <v>21578.08</v>
      </c>
      <c r="M94" s="37" t="s">
        <v>318</v>
      </c>
    </row>
    <row r="95" customFormat="false" ht="14.25" hidden="false" customHeight="true" outlineLevel="0" collapsed="false">
      <c r="A95" s="29"/>
      <c r="B95" s="30" t="s">
        <v>319</v>
      </c>
      <c r="C95" s="31" t="s">
        <v>191</v>
      </c>
      <c r="D95" s="31" t="s">
        <v>108</v>
      </c>
      <c r="E95" s="32" t="n">
        <v>8742</v>
      </c>
      <c r="F95" s="32"/>
      <c r="G95" s="32"/>
      <c r="H95" s="33" t="n">
        <v>2</v>
      </c>
      <c r="I95" s="34" t="n">
        <f aca="false">E95*H95+N(F95)+N(G95)</f>
        <v>17484</v>
      </c>
      <c r="J95" s="32" t="n">
        <f aca="false">ROUND(IFERROR(ROUND(IF(OR(ISNUMBER(SEARCH("week",C95)),ISNUMBER(SEARCH("minggu",C95))),IFERROR(_xlfn.NUMBERVALUE(SUBSTITUTE(LEFT(TRIM(C95),FIND(" ",TRIM(C95)&amp;" ")-1),",","."),"."),LEFT(SUBSTITUTE(LEFT(TRIM(C95),FIND(" ",TRIM(C95)&amp;" ")-1),",","."),FIND("/",SUBSTITUTE(LEFT(TRIM(C95),FIND(" ",TRIM(C95)&amp;" ")-1),",","."))-1)/MID(SUBSTITUTE(LEFT(TRIM(C95),FIND(" ",TRIM(C95)&amp;" ")-1),",","."),FIND("/",SUBSTITUTE(LEFT(TRIM(C95),FIND(" ",TRIM(C95)&amp;" ")-1),",","."))+1,9))*12/52,IF(ISNUMBER(SEARCH("month",C95)),IFERROR(_xlfn.NUMBERVALUE(SUBSTITUTE(LEFT(TRIM(C95),FIND(" ",TRIM(C95)&amp;" ")-1),",","."),"."),LEFT(SUBSTITUTE(LEFT(TRIM(C95),FIND(" ",TRIM(C95)&amp;" ")-1),",","."),FIND("/",SUBSTITUTE(LEFT(TRIM(C95),FIND(" ",TRIM(C95)&amp;" ")-1),",","."))-1)/MID(SUBSTITUTE(LEFT(TRIM(C95),FIND(" ",TRIM(C95)&amp;" ")-1),",","."),FIND("/",SUBSTITUTE(LEFT(TRIM(C95),FIND(" ",TRIM(C95)&amp;" ")-1),",","."))+1,9)),IF(ISNUMBER(SEARCH("yea",C95)),IFERROR(_xlfn.NUMBERVALUE(SUBSTITUTE(LEFT(TRIM(C95),FIND(" ",TRIM(C95)&amp;" ")-1),",","."),"."),LEFT(SUBSTITUTE(LEFT(TRIM(C95),FIND(" ",TRIM(C95)&amp;" ")-1),",","."),FIND("/",SUBSTITUTE(LEFT(TRIM(C95),FIND(" ",TRIM(C95)&amp;" ")-1),",","."))-1)/MID(SUBSTITUTE(LEFT(TRIM(C95),FIND(" ",TRIM(C95)&amp;" ")-1),",","."),FIND("/",SUBSTITUTE(LEFT(TRIM(C95),FIND(" ",TRIM(C95)&amp;" ")-1),",","."))+1,9))*12,NA()))),0),48)*'Aturan &amp; Tarif'!$B$4,2)</f>
        <v>2725.44</v>
      </c>
      <c r="K95" s="32" t="n">
        <f aca="false">'Aturan &amp; Tarif'!$B$5</f>
        <v>2050</v>
      </c>
      <c r="L95" s="35" t="n">
        <f aca="false">I95+J95+K95</f>
        <v>22259.44</v>
      </c>
      <c r="M95" s="37" t="s">
        <v>318</v>
      </c>
    </row>
    <row r="96" customFormat="false" ht="14.25" hidden="false" customHeight="true" outlineLevel="0" collapsed="false">
      <c r="A96" s="29"/>
      <c r="B96" s="30" t="s">
        <v>320</v>
      </c>
      <c r="C96" s="31" t="s">
        <v>245</v>
      </c>
      <c r="D96" s="31" t="s">
        <v>108</v>
      </c>
      <c r="E96" s="32" t="n">
        <v>9200</v>
      </c>
      <c r="F96" s="32"/>
      <c r="G96" s="32"/>
      <c r="H96" s="33" t="n">
        <v>2</v>
      </c>
      <c r="I96" s="34" t="n">
        <f aca="false">E96*H96+N(F96)+N(G96)</f>
        <v>18400</v>
      </c>
      <c r="J96" s="32" t="n">
        <f aca="false">ROUND(IFERROR(ROUND(IF(OR(ISNUMBER(SEARCH("week",C96)),ISNUMBER(SEARCH("minggu",C96))),IFERROR(_xlfn.NUMBERVALUE(SUBSTITUTE(LEFT(TRIM(C96),FIND(" ",TRIM(C96)&amp;" ")-1),",","."),"."),LEFT(SUBSTITUTE(LEFT(TRIM(C96),FIND(" ",TRIM(C96)&amp;" ")-1),",","."),FIND("/",SUBSTITUTE(LEFT(TRIM(C96),FIND(" ",TRIM(C96)&amp;" ")-1),",","."))-1)/MID(SUBSTITUTE(LEFT(TRIM(C96),FIND(" ",TRIM(C96)&amp;" ")-1),",","."),FIND("/",SUBSTITUTE(LEFT(TRIM(C96),FIND(" ",TRIM(C96)&amp;" ")-1),",","."))+1,9))*12/52,IF(ISNUMBER(SEARCH("month",C96)),IFERROR(_xlfn.NUMBERVALUE(SUBSTITUTE(LEFT(TRIM(C96),FIND(" ",TRIM(C96)&amp;" ")-1),",","."),"."),LEFT(SUBSTITUTE(LEFT(TRIM(C96),FIND(" ",TRIM(C96)&amp;" ")-1),",","."),FIND("/",SUBSTITUTE(LEFT(TRIM(C96),FIND(" ",TRIM(C96)&amp;" ")-1),",","."))-1)/MID(SUBSTITUTE(LEFT(TRIM(C96),FIND(" ",TRIM(C96)&amp;" ")-1),",","."),FIND("/",SUBSTITUTE(LEFT(TRIM(C96),FIND(" ",TRIM(C96)&amp;" ")-1),",","."))+1,9)),IF(ISNUMBER(SEARCH("yea",C96)),IFERROR(_xlfn.NUMBERVALUE(SUBSTITUTE(LEFT(TRIM(C96),FIND(" ",TRIM(C96)&amp;" ")-1),",","."),"."),LEFT(SUBSTITUTE(LEFT(TRIM(C96),FIND(" ",TRIM(C96)&amp;" ")-1),",","."),FIND("/",SUBSTITUTE(LEFT(TRIM(C96),FIND(" ",TRIM(C96)&amp;" ")-1),",","."))-1)/MID(SUBSTITUTE(LEFT(TRIM(C96),FIND(" ",TRIM(C96)&amp;" ")-1),",","."),FIND("/",SUBSTITUTE(LEFT(TRIM(C96),FIND(" ",TRIM(C96)&amp;" ")-1),",","."))+1,9))*12,NA()))),0),60)*'Aturan &amp; Tarif'!$B$4,2)</f>
        <v>3406.8</v>
      </c>
      <c r="K96" s="32" t="n">
        <f aca="false">'Aturan &amp; Tarif'!$B$5</f>
        <v>2050</v>
      </c>
      <c r="L96" s="35" t="n">
        <f aca="false">I96+J96+K96</f>
        <v>23856.8</v>
      </c>
      <c r="M96" s="37" t="s">
        <v>318</v>
      </c>
    </row>
    <row r="97" customFormat="false" ht="37.5" hidden="false" customHeight="true" outlineLevel="0" collapsed="false">
      <c r="A97" s="29"/>
      <c r="B97" s="30" t="s">
        <v>321</v>
      </c>
      <c r="C97" s="31" t="s">
        <v>127</v>
      </c>
      <c r="D97" s="31" t="s">
        <v>108</v>
      </c>
      <c r="E97" s="32" t="n">
        <v>8742</v>
      </c>
      <c r="F97" s="32"/>
      <c r="G97" s="32"/>
      <c r="H97" s="33" t="n">
        <v>2</v>
      </c>
      <c r="I97" s="34" t="n">
        <f aca="false">E97*H97+N(F97)+N(G97)</f>
        <v>17484</v>
      </c>
      <c r="J97" s="32" t="n">
        <f aca="false">ROUND(IFERROR(ROUND(IF(OR(ISNUMBER(SEARCH("week",C97)),ISNUMBER(SEARCH("minggu",C97))),IFERROR(_xlfn.NUMBERVALUE(SUBSTITUTE(LEFT(TRIM(C97),FIND(" ",TRIM(C97)&amp;" ")-1),",","."),"."),LEFT(SUBSTITUTE(LEFT(TRIM(C97),FIND(" ",TRIM(C97)&amp;" ")-1),",","."),FIND("/",SUBSTITUTE(LEFT(TRIM(C97),FIND(" ",TRIM(C97)&amp;" ")-1),",","."))-1)/MID(SUBSTITUTE(LEFT(TRIM(C97),FIND(" ",TRIM(C97)&amp;" ")-1),",","."),FIND("/",SUBSTITUTE(LEFT(TRIM(C97),FIND(" ",TRIM(C97)&amp;" ")-1),",","."))+1,9))*12/52,IF(ISNUMBER(SEARCH("month",C97)),IFERROR(_xlfn.NUMBERVALUE(SUBSTITUTE(LEFT(TRIM(C97),FIND(" ",TRIM(C97)&amp;" ")-1),",","."),"."),LEFT(SUBSTITUTE(LEFT(TRIM(C97),FIND(" ",TRIM(C97)&amp;" ")-1),",","."),FIND("/",SUBSTITUTE(LEFT(TRIM(C97),FIND(" ",TRIM(C97)&amp;" ")-1),",","."))-1)/MID(SUBSTITUTE(LEFT(TRIM(C97),FIND(" ",TRIM(C97)&amp;" ")-1),",","."),FIND("/",SUBSTITUTE(LEFT(TRIM(C97),FIND(" ",TRIM(C97)&amp;" ")-1),",","."))+1,9)),IF(ISNUMBER(SEARCH("yea",C97)),IFERROR(_xlfn.NUMBERVALUE(SUBSTITUTE(LEFT(TRIM(C97),FIND(" ",TRIM(C97)&amp;" ")-1),",","."),"."),LEFT(SUBSTITUTE(LEFT(TRIM(C97),FIND(" ",TRIM(C97)&amp;" ")-1),",","."),FIND("/",SUBSTITUTE(LEFT(TRIM(C97),FIND(" ",TRIM(C97)&amp;" ")-1),",","."))-1)/MID(SUBSTITUTE(LEFT(TRIM(C97),FIND(" ",TRIM(C97)&amp;" ")-1),",","."),FIND("/",SUBSTITUTE(LEFT(TRIM(C97),FIND(" ",TRIM(C97)&amp;" ")-1),",","."))+1,9))*12,NA()))),0),36)*'Aturan &amp; Tarif'!$B$4,2)</f>
        <v>2044.08</v>
      </c>
      <c r="K97" s="32" t="n">
        <f aca="false">'Aturan &amp; Tarif'!$B$5</f>
        <v>2050</v>
      </c>
      <c r="L97" s="35" t="n">
        <f aca="false">I97+J97+K97</f>
        <v>21578.08</v>
      </c>
      <c r="M97" s="37" t="s">
        <v>322</v>
      </c>
    </row>
    <row r="98" customFormat="false" ht="14.25" hidden="false" customHeight="true" outlineLevel="0" collapsed="false">
      <c r="A98" s="29"/>
      <c r="B98" s="30" t="s">
        <v>323</v>
      </c>
      <c r="C98" s="31" t="s">
        <v>245</v>
      </c>
      <c r="D98" s="31" t="s">
        <v>108</v>
      </c>
      <c r="E98" s="32" t="n">
        <v>8742</v>
      </c>
      <c r="F98" s="32"/>
      <c r="G98" s="32"/>
      <c r="H98" s="33" t="n">
        <v>2</v>
      </c>
      <c r="I98" s="34" t="n">
        <f aca="false">E98*H98+N(F98)+N(G98)</f>
        <v>17484</v>
      </c>
      <c r="J98" s="32" t="n">
        <f aca="false">ROUND(IFERROR(ROUND(IF(OR(ISNUMBER(SEARCH("week",C98)),ISNUMBER(SEARCH("minggu",C98))),IFERROR(_xlfn.NUMBERVALUE(SUBSTITUTE(LEFT(TRIM(C98),FIND(" ",TRIM(C98)&amp;" ")-1),",","."),"."),LEFT(SUBSTITUTE(LEFT(TRIM(C98),FIND(" ",TRIM(C98)&amp;" ")-1),",","."),FIND("/",SUBSTITUTE(LEFT(TRIM(C98),FIND(" ",TRIM(C98)&amp;" ")-1),",","."))-1)/MID(SUBSTITUTE(LEFT(TRIM(C98),FIND(" ",TRIM(C98)&amp;" ")-1),",","."),FIND("/",SUBSTITUTE(LEFT(TRIM(C98),FIND(" ",TRIM(C98)&amp;" ")-1),",","."))+1,9))*12/52,IF(ISNUMBER(SEARCH("month",C98)),IFERROR(_xlfn.NUMBERVALUE(SUBSTITUTE(LEFT(TRIM(C98),FIND(" ",TRIM(C98)&amp;" ")-1),",","."),"."),LEFT(SUBSTITUTE(LEFT(TRIM(C98),FIND(" ",TRIM(C98)&amp;" ")-1),",","."),FIND("/",SUBSTITUTE(LEFT(TRIM(C98),FIND(" ",TRIM(C98)&amp;" ")-1),",","."))-1)/MID(SUBSTITUTE(LEFT(TRIM(C98),FIND(" ",TRIM(C98)&amp;" ")-1),",","."),FIND("/",SUBSTITUTE(LEFT(TRIM(C98),FIND(" ",TRIM(C98)&amp;" ")-1),",","."))+1,9)),IF(ISNUMBER(SEARCH("yea",C98)),IFERROR(_xlfn.NUMBERVALUE(SUBSTITUTE(LEFT(TRIM(C98),FIND(" ",TRIM(C98)&amp;" ")-1),",","."),"."),LEFT(SUBSTITUTE(LEFT(TRIM(C98),FIND(" ",TRIM(C98)&amp;" ")-1),",","."),FIND("/",SUBSTITUTE(LEFT(TRIM(C98),FIND(" ",TRIM(C98)&amp;" ")-1),",","."))-1)/MID(SUBSTITUTE(LEFT(TRIM(C98),FIND(" ",TRIM(C98)&amp;" ")-1),",","."),FIND("/",SUBSTITUTE(LEFT(TRIM(C98),FIND(" ",TRIM(C98)&amp;" ")-1),",","."))+1,9))*12,NA()))),0),60)*'Aturan &amp; Tarif'!$B$4,2)</f>
        <v>3406.8</v>
      </c>
      <c r="K98" s="32" t="n">
        <f aca="false">'Aturan &amp; Tarif'!$B$5</f>
        <v>2050</v>
      </c>
      <c r="L98" s="35" t="n">
        <f aca="false">I98+J98+K98</f>
        <v>22940.8</v>
      </c>
      <c r="M98" s="36" t="s">
        <v>324</v>
      </c>
    </row>
    <row r="99" customFormat="false" ht="14.25" hidden="false" customHeight="true" outlineLevel="0" collapsed="false">
      <c r="A99" s="29"/>
      <c r="B99" s="30" t="s">
        <v>325</v>
      </c>
      <c r="C99" s="31" t="s">
        <v>127</v>
      </c>
      <c r="D99" s="31" t="s">
        <v>108</v>
      </c>
      <c r="E99" s="32" t="n">
        <v>8742</v>
      </c>
      <c r="F99" s="32"/>
      <c r="G99" s="32"/>
      <c r="H99" s="33" t="n">
        <v>2</v>
      </c>
      <c r="I99" s="34" t="n">
        <f aca="false">E99*H99+N(F99)+N(G99)</f>
        <v>17484</v>
      </c>
      <c r="J99" s="32" t="n">
        <f aca="false">ROUND(IFERROR(ROUND(IF(OR(ISNUMBER(SEARCH("week",C99)),ISNUMBER(SEARCH("minggu",C99))),IFERROR(_xlfn.NUMBERVALUE(SUBSTITUTE(LEFT(TRIM(C99),FIND(" ",TRIM(C99)&amp;" ")-1),",","."),"."),LEFT(SUBSTITUTE(LEFT(TRIM(C99),FIND(" ",TRIM(C99)&amp;" ")-1),",","."),FIND("/",SUBSTITUTE(LEFT(TRIM(C99),FIND(" ",TRIM(C99)&amp;" ")-1),",","."))-1)/MID(SUBSTITUTE(LEFT(TRIM(C99),FIND(" ",TRIM(C99)&amp;" ")-1),",","."),FIND("/",SUBSTITUTE(LEFT(TRIM(C99),FIND(" ",TRIM(C99)&amp;" ")-1),",","."))+1,9))*12/52,IF(ISNUMBER(SEARCH("month",C99)),IFERROR(_xlfn.NUMBERVALUE(SUBSTITUTE(LEFT(TRIM(C99),FIND(" ",TRIM(C99)&amp;" ")-1),",","."),"."),LEFT(SUBSTITUTE(LEFT(TRIM(C99),FIND(" ",TRIM(C99)&amp;" ")-1),",","."),FIND("/",SUBSTITUTE(LEFT(TRIM(C99),FIND(" ",TRIM(C99)&amp;" ")-1),",","."))-1)/MID(SUBSTITUTE(LEFT(TRIM(C99),FIND(" ",TRIM(C99)&amp;" ")-1),",","."),FIND("/",SUBSTITUTE(LEFT(TRIM(C99),FIND(" ",TRIM(C99)&amp;" ")-1),",","."))+1,9)),IF(ISNUMBER(SEARCH("yea",C99)),IFERROR(_xlfn.NUMBERVALUE(SUBSTITUTE(LEFT(TRIM(C99),FIND(" ",TRIM(C99)&amp;" ")-1),",","."),"."),LEFT(SUBSTITUTE(LEFT(TRIM(C99),FIND(" ",TRIM(C99)&amp;" ")-1),",","."),FIND("/",SUBSTITUTE(LEFT(TRIM(C99),FIND(" ",TRIM(C99)&amp;" ")-1),",","."))-1)/MID(SUBSTITUTE(LEFT(TRIM(C99),FIND(" ",TRIM(C99)&amp;" ")-1),",","."),FIND("/",SUBSTITUTE(LEFT(TRIM(C99),FIND(" ",TRIM(C99)&amp;" ")-1),",","."))+1,9))*12,NA()))),0),36)*'Aturan &amp; Tarif'!$B$4,2)</f>
        <v>2044.08</v>
      </c>
      <c r="K99" s="32" t="n">
        <f aca="false">'Aturan &amp; Tarif'!$B$5</f>
        <v>2050</v>
      </c>
      <c r="L99" s="35" t="n">
        <f aca="false">I99+J99+K99</f>
        <v>21578.08</v>
      </c>
      <c r="M99" s="37" t="s">
        <v>322</v>
      </c>
    </row>
    <row r="100" customFormat="false" ht="60" hidden="false" customHeight="true" outlineLevel="0" collapsed="false">
      <c r="A100" s="29"/>
      <c r="B100" s="30" t="s">
        <v>326</v>
      </c>
      <c r="C100" s="31" t="s">
        <v>245</v>
      </c>
      <c r="D100" s="31" t="s">
        <v>108</v>
      </c>
      <c r="E100" s="32" t="n">
        <v>9200</v>
      </c>
      <c r="F100" s="32"/>
      <c r="G100" s="32"/>
      <c r="H100" s="33" t="n">
        <v>2</v>
      </c>
      <c r="I100" s="34" t="n">
        <f aca="false">E100*H100+N(F100)+N(G100)</f>
        <v>18400</v>
      </c>
      <c r="J100" s="32" t="n">
        <f aca="false">ROUND(IFERROR(ROUND(IF(OR(ISNUMBER(SEARCH("week",C100)),ISNUMBER(SEARCH("minggu",C100))),IFERROR(_xlfn.NUMBERVALUE(SUBSTITUTE(LEFT(TRIM(C100),FIND(" ",TRIM(C100)&amp;" ")-1),",","."),"."),LEFT(SUBSTITUTE(LEFT(TRIM(C100),FIND(" ",TRIM(C100)&amp;" ")-1),",","."),FIND("/",SUBSTITUTE(LEFT(TRIM(C100),FIND(" ",TRIM(C100)&amp;" ")-1),",","."))-1)/MID(SUBSTITUTE(LEFT(TRIM(C100),FIND(" ",TRIM(C100)&amp;" ")-1),",","."),FIND("/",SUBSTITUTE(LEFT(TRIM(C100),FIND(" ",TRIM(C100)&amp;" ")-1),",","."))+1,9))*12/52,IF(ISNUMBER(SEARCH("month",C100)),IFERROR(_xlfn.NUMBERVALUE(SUBSTITUTE(LEFT(TRIM(C100),FIND(" ",TRIM(C100)&amp;" ")-1),",","."),"."),LEFT(SUBSTITUTE(LEFT(TRIM(C100),FIND(" ",TRIM(C100)&amp;" ")-1),",","."),FIND("/",SUBSTITUTE(LEFT(TRIM(C100),FIND(" ",TRIM(C100)&amp;" ")-1),",","."))-1)/MID(SUBSTITUTE(LEFT(TRIM(C100),FIND(" ",TRIM(C100)&amp;" ")-1),",","."),FIND("/",SUBSTITUTE(LEFT(TRIM(C100),FIND(" ",TRIM(C100)&amp;" ")-1),",","."))+1,9)),IF(ISNUMBER(SEARCH("yea",C100)),IFERROR(_xlfn.NUMBERVALUE(SUBSTITUTE(LEFT(TRIM(C100),FIND(" ",TRIM(C100)&amp;" ")-1),",","."),"."),LEFT(SUBSTITUTE(LEFT(TRIM(C100),FIND(" ",TRIM(C100)&amp;" ")-1),",","."),FIND("/",SUBSTITUTE(LEFT(TRIM(C100),FIND(" ",TRIM(C100)&amp;" ")-1),",","."))-1)/MID(SUBSTITUTE(LEFT(TRIM(C100),FIND(" ",TRIM(C100)&amp;" ")-1),",","."),FIND("/",SUBSTITUTE(LEFT(TRIM(C100),FIND(" ",TRIM(C100)&amp;" ")-1),",","."))+1,9))*12,NA()))),0),60)*'Aturan &amp; Tarif'!$B$4,2)</f>
        <v>3406.8</v>
      </c>
      <c r="K100" s="32" t="n">
        <f aca="false">'Aturan &amp; Tarif'!$B$5</f>
        <v>2050</v>
      </c>
      <c r="L100" s="35" t="n">
        <f aca="false">I100+J100+K100</f>
        <v>23856.8</v>
      </c>
      <c r="M100" s="37" t="s">
        <v>318</v>
      </c>
    </row>
    <row r="101" customFormat="false" ht="25.5" hidden="false" customHeight="true" outlineLevel="0" collapsed="false">
      <c r="A101" s="29"/>
      <c r="B101" s="30" t="s">
        <v>327</v>
      </c>
      <c r="C101" s="31" t="s">
        <v>127</v>
      </c>
      <c r="D101" s="31" t="s">
        <v>108</v>
      </c>
      <c r="E101" s="32" t="n">
        <v>9750</v>
      </c>
      <c r="F101" s="32"/>
      <c r="G101" s="32"/>
      <c r="H101" s="33" t="n">
        <v>2</v>
      </c>
      <c r="I101" s="34" t="n">
        <f aca="false">E101*H101+N(F101)+N(G101)</f>
        <v>19500</v>
      </c>
      <c r="J101" s="32" t="n">
        <f aca="false">ROUND(IFERROR(ROUND(IF(OR(ISNUMBER(SEARCH("week",C101)),ISNUMBER(SEARCH("minggu",C101))),IFERROR(_xlfn.NUMBERVALUE(SUBSTITUTE(LEFT(TRIM(C101),FIND(" ",TRIM(C101)&amp;" ")-1),",","."),"."),LEFT(SUBSTITUTE(LEFT(TRIM(C101),FIND(" ",TRIM(C101)&amp;" ")-1),",","."),FIND("/",SUBSTITUTE(LEFT(TRIM(C101),FIND(" ",TRIM(C101)&amp;" ")-1),",","."))-1)/MID(SUBSTITUTE(LEFT(TRIM(C101),FIND(" ",TRIM(C101)&amp;" ")-1),",","."),FIND("/",SUBSTITUTE(LEFT(TRIM(C101),FIND(" ",TRIM(C101)&amp;" ")-1),",","."))+1,9))*12/52,IF(ISNUMBER(SEARCH("month",C101)),IFERROR(_xlfn.NUMBERVALUE(SUBSTITUTE(LEFT(TRIM(C101),FIND(" ",TRIM(C101)&amp;" ")-1),",","."),"."),LEFT(SUBSTITUTE(LEFT(TRIM(C101),FIND(" ",TRIM(C101)&amp;" ")-1),",","."),FIND("/",SUBSTITUTE(LEFT(TRIM(C101),FIND(" ",TRIM(C101)&amp;" ")-1),",","."))-1)/MID(SUBSTITUTE(LEFT(TRIM(C101),FIND(" ",TRIM(C101)&amp;" ")-1),",","."),FIND("/",SUBSTITUTE(LEFT(TRIM(C101),FIND(" ",TRIM(C101)&amp;" ")-1),",","."))+1,9)),IF(ISNUMBER(SEARCH("yea",C101)),IFERROR(_xlfn.NUMBERVALUE(SUBSTITUTE(LEFT(TRIM(C101),FIND(" ",TRIM(C101)&amp;" ")-1),",","."),"."),LEFT(SUBSTITUTE(LEFT(TRIM(C101),FIND(" ",TRIM(C101)&amp;" ")-1),",","."),FIND("/",SUBSTITUTE(LEFT(TRIM(C101),FIND(" ",TRIM(C101)&amp;" ")-1),",","."))-1)/MID(SUBSTITUTE(LEFT(TRIM(C101),FIND(" ",TRIM(C101)&amp;" ")-1),",","."),FIND("/",SUBSTITUTE(LEFT(TRIM(C101),FIND(" ",TRIM(C101)&amp;" ")-1),",","."))+1,9))*12,NA()))),0),36)*'Aturan &amp; Tarif'!$B$4,2)</f>
        <v>2044.08</v>
      </c>
      <c r="K101" s="32" t="n">
        <f aca="false">'Aturan &amp; Tarif'!$B$5</f>
        <v>2050</v>
      </c>
      <c r="L101" s="35" t="n">
        <f aca="false">I101+J101+K101</f>
        <v>23594.08</v>
      </c>
      <c r="M101" s="36" t="s">
        <v>328</v>
      </c>
    </row>
    <row r="102" customFormat="false" ht="25.5" hidden="false" customHeight="true" outlineLevel="0" collapsed="false">
      <c r="A102" s="29"/>
      <c r="B102" s="30" t="s">
        <v>329</v>
      </c>
      <c r="C102" s="31" t="s">
        <v>191</v>
      </c>
      <c r="D102" s="31" t="s">
        <v>108</v>
      </c>
      <c r="E102" s="32" t="n">
        <v>9750</v>
      </c>
      <c r="F102" s="32"/>
      <c r="G102" s="32"/>
      <c r="H102" s="33" t="n">
        <v>2</v>
      </c>
      <c r="I102" s="34" t="n">
        <f aca="false">E102*H102+N(F102)+N(G102)</f>
        <v>19500</v>
      </c>
      <c r="J102" s="32" t="n">
        <f aca="false">ROUND(IFERROR(ROUND(IF(OR(ISNUMBER(SEARCH("week",C102)),ISNUMBER(SEARCH("minggu",C102))),IFERROR(_xlfn.NUMBERVALUE(SUBSTITUTE(LEFT(TRIM(C102),FIND(" ",TRIM(C102)&amp;" ")-1),",","."),"."),LEFT(SUBSTITUTE(LEFT(TRIM(C102),FIND(" ",TRIM(C102)&amp;" ")-1),",","."),FIND("/",SUBSTITUTE(LEFT(TRIM(C102),FIND(" ",TRIM(C102)&amp;" ")-1),",","."))-1)/MID(SUBSTITUTE(LEFT(TRIM(C102),FIND(" ",TRIM(C102)&amp;" ")-1),",","."),FIND("/",SUBSTITUTE(LEFT(TRIM(C102),FIND(" ",TRIM(C102)&amp;" ")-1),",","."))+1,9))*12/52,IF(ISNUMBER(SEARCH("month",C102)),IFERROR(_xlfn.NUMBERVALUE(SUBSTITUTE(LEFT(TRIM(C102),FIND(" ",TRIM(C102)&amp;" ")-1),",","."),"."),LEFT(SUBSTITUTE(LEFT(TRIM(C102),FIND(" ",TRIM(C102)&amp;" ")-1),",","."),FIND("/",SUBSTITUTE(LEFT(TRIM(C102),FIND(" ",TRIM(C102)&amp;" ")-1),",","."))-1)/MID(SUBSTITUTE(LEFT(TRIM(C102),FIND(" ",TRIM(C102)&amp;" ")-1),",","."),FIND("/",SUBSTITUTE(LEFT(TRIM(C102),FIND(" ",TRIM(C102)&amp;" ")-1),",","."))+1,9)),IF(ISNUMBER(SEARCH("yea",C102)),IFERROR(_xlfn.NUMBERVALUE(SUBSTITUTE(LEFT(TRIM(C102),FIND(" ",TRIM(C102)&amp;" ")-1),",","."),"."),LEFT(SUBSTITUTE(LEFT(TRIM(C102),FIND(" ",TRIM(C102)&amp;" ")-1),",","."),FIND("/",SUBSTITUTE(LEFT(TRIM(C102),FIND(" ",TRIM(C102)&amp;" ")-1),",","."))-1)/MID(SUBSTITUTE(LEFT(TRIM(C102),FIND(" ",TRIM(C102)&amp;" ")-1),",","."),FIND("/",SUBSTITUTE(LEFT(TRIM(C102),FIND(" ",TRIM(C102)&amp;" ")-1),",","."))+1,9))*12,NA()))),0),48)*'Aturan &amp; Tarif'!$B$4,2)</f>
        <v>2725.44</v>
      </c>
      <c r="K102" s="32" t="n">
        <f aca="false">'Aturan &amp; Tarif'!$B$5</f>
        <v>2050</v>
      </c>
      <c r="L102" s="35" t="n">
        <f aca="false">I102+J102+K102</f>
        <v>24275.44</v>
      </c>
      <c r="M102" s="37" t="s">
        <v>318</v>
      </c>
    </row>
    <row r="103" customFormat="false" ht="25.5" hidden="false" customHeight="true" outlineLevel="0" collapsed="false">
      <c r="A103" s="29"/>
      <c r="B103" s="30" t="s">
        <v>330</v>
      </c>
      <c r="C103" s="31" t="s">
        <v>127</v>
      </c>
      <c r="D103" s="31" t="s">
        <v>108</v>
      </c>
      <c r="E103" s="32" t="n">
        <v>9200</v>
      </c>
      <c r="F103" s="32"/>
      <c r="G103" s="32"/>
      <c r="H103" s="33" t="n">
        <v>2</v>
      </c>
      <c r="I103" s="34" t="n">
        <f aca="false">E103*H103+N(F103)+N(G103)</f>
        <v>18400</v>
      </c>
      <c r="J103" s="32" t="n">
        <f aca="false">ROUND(IFERROR(ROUND(IF(OR(ISNUMBER(SEARCH("week",C103)),ISNUMBER(SEARCH("minggu",C103))),IFERROR(_xlfn.NUMBERVALUE(SUBSTITUTE(LEFT(TRIM(C103),FIND(" ",TRIM(C103)&amp;" ")-1),",","."),"."),LEFT(SUBSTITUTE(LEFT(TRIM(C103),FIND(" ",TRIM(C103)&amp;" ")-1),",","."),FIND("/",SUBSTITUTE(LEFT(TRIM(C103),FIND(" ",TRIM(C103)&amp;" ")-1),",","."))-1)/MID(SUBSTITUTE(LEFT(TRIM(C103),FIND(" ",TRIM(C103)&amp;" ")-1),",","."),FIND("/",SUBSTITUTE(LEFT(TRIM(C103),FIND(" ",TRIM(C103)&amp;" ")-1),",","."))+1,9))*12/52,IF(ISNUMBER(SEARCH("month",C103)),IFERROR(_xlfn.NUMBERVALUE(SUBSTITUTE(LEFT(TRIM(C103),FIND(" ",TRIM(C103)&amp;" ")-1),",","."),"."),LEFT(SUBSTITUTE(LEFT(TRIM(C103),FIND(" ",TRIM(C103)&amp;" ")-1),",","."),FIND("/",SUBSTITUTE(LEFT(TRIM(C103),FIND(" ",TRIM(C103)&amp;" ")-1),",","."))-1)/MID(SUBSTITUTE(LEFT(TRIM(C103),FIND(" ",TRIM(C103)&amp;" ")-1),",","."),FIND("/",SUBSTITUTE(LEFT(TRIM(C103),FIND(" ",TRIM(C103)&amp;" ")-1),",","."))+1,9)),IF(ISNUMBER(SEARCH("yea",C103)),IFERROR(_xlfn.NUMBERVALUE(SUBSTITUTE(LEFT(TRIM(C103),FIND(" ",TRIM(C103)&amp;" ")-1),",","."),"."),LEFT(SUBSTITUTE(LEFT(TRIM(C103),FIND(" ",TRIM(C103)&amp;" ")-1),",","."),FIND("/",SUBSTITUTE(LEFT(TRIM(C103),FIND(" ",TRIM(C103)&amp;" ")-1),",","."))-1)/MID(SUBSTITUTE(LEFT(TRIM(C103),FIND(" ",TRIM(C103)&amp;" ")-1),",","."),FIND("/",SUBSTITUTE(LEFT(TRIM(C103),FIND(" ",TRIM(C103)&amp;" ")-1),",","."))+1,9))*12,NA()))),0),36)*'Aturan &amp; Tarif'!$B$4,2)</f>
        <v>2044.08</v>
      </c>
      <c r="K103" s="32" t="n">
        <f aca="false">'Aturan &amp; Tarif'!$B$5</f>
        <v>2050</v>
      </c>
      <c r="L103" s="35" t="n">
        <f aca="false">I103+J103+K103</f>
        <v>22494.08</v>
      </c>
      <c r="M103" s="37" t="s">
        <v>318</v>
      </c>
    </row>
    <row r="104" customFormat="false" ht="25.5" hidden="false" customHeight="true" outlineLevel="0" collapsed="false">
      <c r="A104" s="29"/>
      <c r="B104" s="30" t="s">
        <v>331</v>
      </c>
      <c r="C104" s="31" t="s">
        <v>245</v>
      </c>
      <c r="D104" s="31" t="s">
        <v>108</v>
      </c>
      <c r="E104" s="32" t="n">
        <v>9200</v>
      </c>
      <c r="F104" s="32"/>
      <c r="G104" s="32"/>
      <c r="H104" s="33" t="n">
        <v>2</v>
      </c>
      <c r="I104" s="34" t="n">
        <f aca="false">E104*H104+N(F104)+N(G104)</f>
        <v>18400</v>
      </c>
      <c r="J104" s="32" t="n">
        <f aca="false">ROUND(IFERROR(ROUND(IF(OR(ISNUMBER(SEARCH("week",C104)),ISNUMBER(SEARCH("minggu",C104))),IFERROR(_xlfn.NUMBERVALUE(SUBSTITUTE(LEFT(TRIM(C104),FIND(" ",TRIM(C104)&amp;" ")-1),",","."),"."),LEFT(SUBSTITUTE(LEFT(TRIM(C104),FIND(" ",TRIM(C104)&amp;" ")-1),",","."),FIND("/",SUBSTITUTE(LEFT(TRIM(C104),FIND(" ",TRIM(C104)&amp;" ")-1),",","."))-1)/MID(SUBSTITUTE(LEFT(TRIM(C104),FIND(" ",TRIM(C104)&amp;" ")-1),",","."),FIND("/",SUBSTITUTE(LEFT(TRIM(C104),FIND(" ",TRIM(C104)&amp;" ")-1),",","."))+1,9))*12/52,IF(ISNUMBER(SEARCH("month",C104)),IFERROR(_xlfn.NUMBERVALUE(SUBSTITUTE(LEFT(TRIM(C104),FIND(" ",TRIM(C104)&amp;" ")-1),",","."),"."),LEFT(SUBSTITUTE(LEFT(TRIM(C104),FIND(" ",TRIM(C104)&amp;" ")-1),",","."),FIND("/",SUBSTITUTE(LEFT(TRIM(C104),FIND(" ",TRIM(C104)&amp;" ")-1),",","."))-1)/MID(SUBSTITUTE(LEFT(TRIM(C104),FIND(" ",TRIM(C104)&amp;" ")-1),",","."),FIND("/",SUBSTITUTE(LEFT(TRIM(C104),FIND(" ",TRIM(C104)&amp;" ")-1),",","."))+1,9)),IF(ISNUMBER(SEARCH("yea",C104)),IFERROR(_xlfn.NUMBERVALUE(SUBSTITUTE(LEFT(TRIM(C104),FIND(" ",TRIM(C104)&amp;" ")-1),",","."),"."),LEFT(SUBSTITUTE(LEFT(TRIM(C104),FIND(" ",TRIM(C104)&amp;" ")-1),",","."),FIND("/",SUBSTITUTE(LEFT(TRIM(C104),FIND(" ",TRIM(C104)&amp;" ")-1),",","."))-1)/MID(SUBSTITUTE(LEFT(TRIM(C104),FIND(" ",TRIM(C104)&amp;" ")-1),",","."),FIND("/",SUBSTITUTE(LEFT(TRIM(C104),FIND(" ",TRIM(C104)&amp;" ")-1),",","."))+1,9))*12,NA()))),0),60)*'Aturan &amp; Tarif'!$B$4,2)</f>
        <v>3406.8</v>
      </c>
      <c r="K104" s="32" t="n">
        <f aca="false">'Aturan &amp; Tarif'!$B$5</f>
        <v>2050</v>
      </c>
      <c r="L104" s="35" t="n">
        <f aca="false">I104+J104+K104</f>
        <v>23856.8</v>
      </c>
      <c r="M104" s="37" t="s">
        <v>318</v>
      </c>
    </row>
    <row r="105" customFormat="false" ht="25.5" hidden="false" customHeight="true" outlineLevel="0" collapsed="false">
      <c r="A105" s="29"/>
      <c r="B105" s="30" t="s">
        <v>332</v>
      </c>
      <c r="C105" s="31" t="s">
        <v>245</v>
      </c>
      <c r="D105" s="31" t="s">
        <v>108</v>
      </c>
      <c r="E105" s="32" t="n">
        <v>9200</v>
      </c>
      <c r="F105" s="32"/>
      <c r="G105" s="32"/>
      <c r="H105" s="33" t="n">
        <v>2</v>
      </c>
      <c r="I105" s="34" t="n">
        <f aca="false">E105*H105+N(F105)+N(G105)</f>
        <v>18400</v>
      </c>
      <c r="J105" s="32" t="n">
        <f aca="false">ROUND(IFERROR(ROUND(IF(OR(ISNUMBER(SEARCH("week",C105)),ISNUMBER(SEARCH("minggu",C105))),IFERROR(_xlfn.NUMBERVALUE(SUBSTITUTE(LEFT(TRIM(C105),FIND(" ",TRIM(C105)&amp;" ")-1),",","."),"."),LEFT(SUBSTITUTE(LEFT(TRIM(C105),FIND(" ",TRIM(C105)&amp;" ")-1),",","."),FIND("/",SUBSTITUTE(LEFT(TRIM(C105),FIND(" ",TRIM(C105)&amp;" ")-1),",","."))-1)/MID(SUBSTITUTE(LEFT(TRIM(C105),FIND(" ",TRIM(C105)&amp;" ")-1),",","."),FIND("/",SUBSTITUTE(LEFT(TRIM(C105),FIND(" ",TRIM(C105)&amp;" ")-1),",","."))+1,9))*12/52,IF(ISNUMBER(SEARCH("month",C105)),IFERROR(_xlfn.NUMBERVALUE(SUBSTITUTE(LEFT(TRIM(C105),FIND(" ",TRIM(C105)&amp;" ")-1),",","."),"."),LEFT(SUBSTITUTE(LEFT(TRIM(C105),FIND(" ",TRIM(C105)&amp;" ")-1),",","."),FIND("/",SUBSTITUTE(LEFT(TRIM(C105),FIND(" ",TRIM(C105)&amp;" ")-1),",","."))-1)/MID(SUBSTITUTE(LEFT(TRIM(C105),FIND(" ",TRIM(C105)&amp;" ")-1),",","."),FIND("/",SUBSTITUTE(LEFT(TRIM(C105),FIND(" ",TRIM(C105)&amp;" ")-1),",","."))+1,9)),IF(ISNUMBER(SEARCH("yea",C105)),IFERROR(_xlfn.NUMBERVALUE(SUBSTITUTE(LEFT(TRIM(C105),FIND(" ",TRIM(C105)&amp;" ")-1),",","."),"."),LEFT(SUBSTITUTE(LEFT(TRIM(C105),FIND(" ",TRIM(C105)&amp;" ")-1),",","."),FIND("/",SUBSTITUTE(LEFT(TRIM(C105),FIND(" ",TRIM(C105)&amp;" ")-1),",","."))-1)/MID(SUBSTITUTE(LEFT(TRIM(C105),FIND(" ",TRIM(C105)&amp;" ")-1),",","."),FIND("/",SUBSTITUTE(LEFT(TRIM(C105),FIND(" ",TRIM(C105)&amp;" ")-1),",","."))+1,9))*12,NA()))),0),60)*'Aturan &amp; Tarif'!$B$4,2)</f>
        <v>3406.8</v>
      </c>
      <c r="K105" s="32" t="n">
        <f aca="false">'Aturan &amp; Tarif'!$B$5</f>
        <v>2050</v>
      </c>
      <c r="L105" s="35" t="n">
        <f aca="false">I105+J105+K105</f>
        <v>23856.8</v>
      </c>
      <c r="M105" s="37" t="s">
        <v>318</v>
      </c>
    </row>
    <row r="106" customFormat="false" ht="25.5" hidden="false" customHeight="true" outlineLevel="0" collapsed="false">
      <c r="A106" s="29"/>
      <c r="B106" s="30" t="s">
        <v>333</v>
      </c>
      <c r="C106" s="31" t="s">
        <v>191</v>
      </c>
      <c r="D106" s="31" t="s">
        <v>108</v>
      </c>
      <c r="E106" s="32" t="n">
        <v>9200</v>
      </c>
      <c r="F106" s="32"/>
      <c r="G106" s="32"/>
      <c r="H106" s="33" t="n">
        <v>2</v>
      </c>
      <c r="I106" s="34" t="n">
        <f aca="false">E106*H106+N(F106)+N(G106)</f>
        <v>18400</v>
      </c>
      <c r="J106" s="32" t="n">
        <f aca="false">ROUND(IFERROR(ROUND(IF(OR(ISNUMBER(SEARCH("week",C106)),ISNUMBER(SEARCH("minggu",C106))),IFERROR(_xlfn.NUMBERVALUE(SUBSTITUTE(LEFT(TRIM(C106),FIND(" ",TRIM(C106)&amp;" ")-1),",","."),"."),LEFT(SUBSTITUTE(LEFT(TRIM(C106),FIND(" ",TRIM(C106)&amp;" ")-1),",","."),FIND("/",SUBSTITUTE(LEFT(TRIM(C106),FIND(" ",TRIM(C106)&amp;" ")-1),",","."))-1)/MID(SUBSTITUTE(LEFT(TRIM(C106),FIND(" ",TRIM(C106)&amp;" ")-1),",","."),FIND("/",SUBSTITUTE(LEFT(TRIM(C106),FIND(" ",TRIM(C106)&amp;" ")-1),",","."))+1,9))*12/52,IF(ISNUMBER(SEARCH("month",C106)),IFERROR(_xlfn.NUMBERVALUE(SUBSTITUTE(LEFT(TRIM(C106),FIND(" ",TRIM(C106)&amp;" ")-1),",","."),"."),LEFT(SUBSTITUTE(LEFT(TRIM(C106),FIND(" ",TRIM(C106)&amp;" ")-1),",","."),FIND("/",SUBSTITUTE(LEFT(TRIM(C106),FIND(" ",TRIM(C106)&amp;" ")-1),",","."))-1)/MID(SUBSTITUTE(LEFT(TRIM(C106),FIND(" ",TRIM(C106)&amp;" ")-1),",","."),FIND("/",SUBSTITUTE(LEFT(TRIM(C106),FIND(" ",TRIM(C106)&amp;" ")-1),",","."))+1,9)),IF(ISNUMBER(SEARCH("yea",C106)),IFERROR(_xlfn.NUMBERVALUE(SUBSTITUTE(LEFT(TRIM(C106),FIND(" ",TRIM(C106)&amp;" ")-1),",","."),"."),LEFT(SUBSTITUTE(LEFT(TRIM(C106),FIND(" ",TRIM(C106)&amp;" ")-1),",","."),FIND("/",SUBSTITUTE(LEFT(TRIM(C106),FIND(" ",TRIM(C106)&amp;" ")-1),",","."))-1)/MID(SUBSTITUTE(LEFT(TRIM(C106),FIND(" ",TRIM(C106)&amp;" ")-1),",","."),FIND("/",SUBSTITUTE(LEFT(TRIM(C106),FIND(" ",TRIM(C106)&amp;" ")-1),",","."))+1,9))*12,NA()))),0),48)*'Aturan &amp; Tarif'!$B$4,2)</f>
        <v>2725.44</v>
      </c>
      <c r="K106" s="32" t="n">
        <f aca="false">'Aturan &amp; Tarif'!$B$5</f>
        <v>2050</v>
      </c>
      <c r="L106" s="35" t="n">
        <f aca="false">I106+J106+K106</f>
        <v>23175.44</v>
      </c>
      <c r="M106" s="37" t="s">
        <v>318</v>
      </c>
    </row>
    <row r="107" customFormat="false" ht="14.25" hidden="false" customHeight="true" outlineLevel="0" collapsed="false">
      <c r="A107" s="29"/>
      <c r="B107" s="30" t="s">
        <v>334</v>
      </c>
      <c r="C107" s="31" t="s">
        <v>245</v>
      </c>
      <c r="D107" s="31" t="s">
        <v>108</v>
      </c>
      <c r="E107" s="32" t="n">
        <v>9200</v>
      </c>
      <c r="F107" s="32"/>
      <c r="G107" s="32"/>
      <c r="H107" s="33" t="n">
        <v>2</v>
      </c>
      <c r="I107" s="34" t="n">
        <f aca="false">E107*H107+N(F107)+N(G107)</f>
        <v>18400</v>
      </c>
      <c r="J107" s="32" t="n">
        <f aca="false">ROUND(IFERROR(ROUND(IF(OR(ISNUMBER(SEARCH("week",C107)),ISNUMBER(SEARCH("minggu",C107))),IFERROR(_xlfn.NUMBERVALUE(SUBSTITUTE(LEFT(TRIM(C107),FIND(" ",TRIM(C107)&amp;" ")-1),",","."),"."),LEFT(SUBSTITUTE(LEFT(TRIM(C107),FIND(" ",TRIM(C107)&amp;" ")-1),",","."),FIND("/",SUBSTITUTE(LEFT(TRIM(C107),FIND(" ",TRIM(C107)&amp;" ")-1),",","."))-1)/MID(SUBSTITUTE(LEFT(TRIM(C107),FIND(" ",TRIM(C107)&amp;" ")-1),",","."),FIND("/",SUBSTITUTE(LEFT(TRIM(C107),FIND(" ",TRIM(C107)&amp;" ")-1),",","."))+1,9))*12/52,IF(ISNUMBER(SEARCH("month",C107)),IFERROR(_xlfn.NUMBERVALUE(SUBSTITUTE(LEFT(TRIM(C107),FIND(" ",TRIM(C107)&amp;" ")-1),",","."),"."),LEFT(SUBSTITUTE(LEFT(TRIM(C107),FIND(" ",TRIM(C107)&amp;" ")-1),",","."),FIND("/",SUBSTITUTE(LEFT(TRIM(C107),FIND(" ",TRIM(C107)&amp;" ")-1),",","."))-1)/MID(SUBSTITUTE(LEFT(TRIM(C107),FIND(" ",TRIM(C107)&amp;" ")-1),",","."),FIND("/",SUBSTITUTE(LEFT(TRIM(C107),FIND(" ",TRIM(C107)&amp;" ")-1),",","."))+1,9)),IF(ISNUMBER(SEARCH("yea",C107)),IFERROR(_xlfn.NUMBERVALUE(SUBSTITUTE(LEFT(TRIM(C107),FIND(" ",TRIM(C107)&amp;" ")-1),",","."),"."),LEFT(SUBSTITUTE(LEFT(TRIM(C107),FIND(" ",TRIM(C107)&amp;" ")-1),",","."),FIND("/",SUBSTITUTE(LEFT(TRIM(C107),FIND(" ",TRIM(C107)&amp;" ")-1),",","."))-1)/MID(SUBSTITUTE(LEFT(TRIM(C107),FIND(" ",TRIM(C107)&amp;" ")-1),",","."),FIND("/",SUBSTITUTE(LEFT(TRIM(C107),FIND(" ",TRIM(C107)&amp;" ")-1),",","."))+1,9))*12,NA()))),0),60)*'Aturan &amp; Tarif'!$B$4,2)</f>
        <v>3406.8</v>
      </c>
      <c r="K107" s="32" t="n">
        <f aca="false">'Aturan &amp; Tarif'!$B$5</f>
        <v>2050</v>
      </c>
      <c r="L107" s="35" t="n">
        <f aca="false">I107+J107+K107</f>
        <v>23856.8</v>
      </c>
      <c r="M107" s="37" t="s">
        <v>318</v>
      </c>
    </row>
    <row r="108" customFormat="false" ht="25.5" hidden="false" customHeight="true" outlineLevel="0" collapsed="false">
      <c r="A108" s="29"/>
      <c r="B108" s="30" t="s">
        <v>335</v>
      </c>
      <c r="C108" s="31" t="s">
        <v>127</v>
      </c>
      <c r="D108" s="31" t="s">
        <v>108</v>
      </c>
      <c r="E108" s="32" t="n">
        <v>8742</v>
      </c>
      <c r="F108" s="32"/>
      <c r="G108" s="32"/>
      <c r="H108" s="33" t="n">
        <v>2</v>
      </c>
      <c r="I108" s="34" t="n">
        <f aca="false">E108*H108+N(F108)+N(G108)</f>
        <v>17484</v>
      </c>
      <c r="J108" s="32" t="n">
        <f aca="false">ROUND(IFERROR(ROUND(IF(OR(ISNUMBER(SEARCH("week",C108)),ISNUMBER(SEARCH("minggu",C108))),IFERROR(_xlfn.NUMBERVALUE(SUBSTITUTE(LEFT(TRIM(C108),FIND(" ",TRIM(C108)&amp;" ")-1),",","."),"."),LEFT(SUBSTITUTE(LEFT(TRIM(C108),FIND(" ",TRIM(C108)&amp;" ")-1),",","."),FIND("/",SUBSTITUTE(LEFT(TRIM(C108),FIND(" ",TRIM(C108)&amp;" ")-1),",","."))-1)/MID(SUBSTITUTE(LEFT(TRIM(C108),FIND(" ",TRIM(C108)&amp;" ")-1),",","."),FIND("/",SUBSTITUTE(LEFT(TRIM(C108),FIND(" ",TRIM(C108)&amp;" ")-1),",","."))+1,9))*12/52,IF(ISNUMBER(SEARCH("month",C108)),IFERROR(_xlfn.NUMBERVALUE(SUBSTITUTE(LEFT(TRIM(C108),FIND(" ",TRIM(C108)&amp;" ")-1),",","."),"."),LEFT(SUBSTITUTE(LEFT(TRIM(C108),FIND(" ",TRIM(C108)&amp;" ")-1),",","."),FIND("/",SUBSTITUTE(LEFT(TRIM(C108),FIND(" ",TRIM(C108)&amp;" ")-1),",","."))-1)/MID(SUBSTITUTE(LEFT(TRIM(C108),FIND(" ",TRIM(C108)&amp;" ")-1),",","."),FIND("/",SUBSTITUTE(LEFT(TRIM(C108),FIND(" ",TRIM(C108)&amp;" ")-1),",","."))+1,9)),IF(ISNUMBER(SEARCH("yea",C108)),IFERROR(_xlfn.NUMBERVALUE(SUBSTITUTE(LEFT(TRIM(C108),FIND(" ",TRIM(C108)&amp;" ")-1),",","."),"."),LEFT(SUBSTITUTE(LEFT(TRIM(C108),FIND(" ",TRIM(C108)&amp;" ")-1),",","."),FIND("/",SUBSTITUTE(LEFT(TRIM(C108),FIND(" ",TRIM(C108)&amp;" ")-1),",","."))-1)/MID(SUBSTITUTE(LEFT(TRIM(C108),FIND(" ",TRIM(C108)&amp;" ")-1),",","."),FIND("/",SUBSTITUTE(LEFT(TRIM(C108),FIND(" ",TRIM(C108)&amp;" ")-1),",","."))+1,9))*12,NA()))),0),36)*'Aturan &amp; Tarif'!$B$4,2)</f>
        <v>2044.08</v>
      </c>
      <c r="K108" s="32" t="n">
        <f aca="false">'Aturan &amp; Tarif'!$B$5</f>
        <v>2050</v>
      </c>
      <c r="L108" s="35" t="n">
        <f aca="false">I108+J108+K108</f>
        <v>21578.08</v>
      </c>
      <c r="M108" s="37" t="s">
        <v>318</v>
      </c>
    </row>
    <row r="109" customFormat="false" ht="14.25" hidden="false" customHeight="true" outlineLevel="0" collapsed="false">
      <c r="A109" s="29"/>
      <c r="B109" s="30" t="s">
        <v>336</v>
      </c>
      <c r="C109" s="31" t="s">
        <v>191</v>
      </c>
      <c r="D109" s="31" t="s">
        <v>108</v>
      </c>
      <c r="E109" s="32" t="n">
        <v>8742</v>
      </c>
      <c r="F109" s="32"/>
      <c r="G109" s="32"/>
      <c r="H109" s="33" t="n">
        <v>2</v>
      </c>
      <c r="I109" s="34" t="n">
        <f aca="false">E109*H109+N(F109)+N(G109)</f>
        <v>17484</v>
      </c>
      <c r="J109" s="32" t="n">
        <f aca="false">ROUND(IFERROR(ROUND(IF(OR(ISNUMBER(SEARCH("week",C109)),ISNUMBER(SEARCH("minggu",C109))),IFERROR(_xlfn.NUMBERVALUE(SUBSTITUTE(LEFT(TRIM(C109),FIND(" ",TRIM(C109)&amp;" ")-1),",","."),"."),LEFT(SUBSTITUTE(LEFT(TRIM(C109),FIND(" ",TRIM(C109)&amp;" ")-1),",","."),FIND("/",SUBSTITUTE(LEFT(TRIM(C109),FIND(" ",TRIM(C109)&amp;" ")-1),",","."))-1)/MID(SUBSTITUTE(LEFT(TRIM(C109),FIND(" ",TRIM(C109)&amp;" ")-1),",","."),FIND("/",SUBSTITUTE(LEFT(TRIM(C109),FIND(" ",TRIM(C109)&amp;" ")-1),",","."))+1,9))*12/52,IF(ISNUMBER(SEARCH("month",C109)),IFERROR(_xlfn.NUMBERVALUE(SUBSTITUTE(LEFT(TRIM(C109),FIND(" ",TRIM(C109)&amp;" ")-1),",","."),"."),LEFT(SUBSTITUTE(LEFT(TRIM(C109),FIND(" ",TRIM(C109)&amp;" ")-1),",","."),FIND("/",SUBSTITUTE(LEFT(TRIM(C109),FIND(" ",TRIM(C109)&amp;" ")-1),",","."))-1)/MID(SUBSTITUTE(LEFT(TRIM(C109),FIND(" ",TRIM(C109)&amp;" ")-1),",","."),FIND("/",SUBSTITUTE(LEFT(TRIM(C109),FIND(" ",TRIM(C109)&amp;" ")-1),",","."))+1,9)),IF(ISNUMBER(SEARCH("yea",C109)),IFERROR(_xlfn.NUMBERVALUE(SUBSTITUTE(LEFT(TRIM(C109),FIND(" ",TRIM(C109)&amp;" ")-1),",","."),"."),LEFT(SUBSTITUTE(LEFT(TRIM(C109),FIND(" ",TRIM(C109)&amp;" ")-1),",","."),FIND("/",SUBSTITUTE(LEFT(TRIM(C109),FIND(" ",TRIM(C109)&amp;" ")-1),",","."))-1)/MID(SUBSTITUTE(LEFT(TRIM(C109),FIND(" ",TRIM(C109)&amp;" ")-1),",","."),FIND("/",SUBSTITUTE(LEFT(TRIM(C109),FIND(" ",TRIM(C109)&amp;" ")-1),",","."))+1,9))*12,NA()))),0),48)*'Aturan &amp; Tarif'!$B$4,2)</f>
        <v>2725.44</v>
      </c>
      <c r="K109" s="32" t="n">
        <f aca="false">'Aturan &amp; Tarif'!$B$5</f>
        <v>2050</v>
      </c>
      <c r="L109" s="35" t="n">
        <f aca="false">I109+J109+K109</f>
        <v>22259.44</v>
      </c>
      <c r="M109" s="37" t="s">
        <v>318</v>
      </c>
    </row>
    <row r="110" customFormat="false" ht="14.25" hidden="false" customHeight="true" outlineLevel="0" collapsed="false">
      <c r="A110" s="29"/>
      <c r="B110" s="30" t="s">
        <v>156</v>
      </c>
      <c r="C110" s="31" t="s">
        <v>191</v>
      </c>
      <c r="D110" s="31" t="s">
        <v>108</v>
      </c>
      <c r="E110" s="32" t="n">
        <v>9200</v>
      </c>
      <c r="F110" s="32"/>
      <c r="G110" s="32"/>
      <c r="H110" s="33" t="n">
        <v>2</v>
      </c>
      <c r="I110" s="34" t="n">
        <f aca="false">E110*H110+N(F110)+N(G110)</f>
        <v>18400</v>
      </c>
      <c r="J110" s="32" t="n">
        <f aca="false">ROUND(IFERROR(ROUND(IF(OR(ISNUMBER(SEARCH("week",C110)),ISNUMBER(SEARCH("minggu",C110))),IFERROR(_xlfn.NUMBERVALUE(SUBSTITUTE(LEFT(TRIM(C110),FIND(" ",TRIM(C110)&amp;" ")-1),",","."),"."),LEFT(SUBSTITUTE(LEFT(TRIM(C110),FIND(" ",TRIM(C110)&amp;" ")-1),",","."),FIND("/",SUBSTITUTE(LEFT(TRIM(C110),FIND(" ",TRIM(C110)&amp;" ")-1),",","."))-1)/MID(SUBSTITUTE(LEFT(TRIM(C110),FIND(" ",TRIM(C110)&amp;" ")-1),",","."),FIND("/",SUBSTITUTE(LEFT(TRIM(C110),FIND(" ",TRIM(C110)&amp;" ")-1),",","."))+1,9))*12/52,IF(ISNUMBER(SEARCH("month",C110)),IFERROR(_xlfn.NUMBERVALUE(SUBSTITUTE(LEFT(TRIM(C110),FIND(" ",TRIM(C110)&amp;" ")-1),",","."),"."),LEFT(SUBSTITUTE(LEFT(TRIM(C110),FIND(" ",TRIM(C110)&amp;" ")-1),",","."),FIND("/",SUBSTITUTE(LEFT(TRIM(C110),FIND(" ",TRIM(C110)&amp;" ")-1),",","."))-1)/MID(SUBSTITUTE(LEFT(TRIM(C110),FIND(" ",TRIM(C110)&amp;" ")-1),",","."),FIND("/",SUBSTITUTE(LEFT(TRIM(C110),FIND(" ",TRIM(C110)&amp;" ")-1),",","."))+1,9)),IF(ISNUMBER(SEARCH("yea",C110)),IFERROR(_xlfn.NUMBERVALUE(SUBSTITUTE(LEFT(TRIM(C110),FIND(" ",TRIM(C110)&amp;" ")-1),",","."),"."),LEFT(SUBSTITUTE(LEFT(TRIM(C110),FIND(" ",TRIM(C110)&amp;" ")-1),",","."),FIND("/",SUBSTITUTE(LEFT(TRIM(C110),FIND(" ",TRIM(C110)&amp;" ")-1),",","."))-1)/MID(SUBSTITUTE(LEFT(TRIM(C110),FIND(" ",TRIM(C110)&amp;" ")-1),",","."),FIND("/",SUBSTITUTE(LEFT(TRIM(C110),FIND(" ",TRIM(C110)&amp;" ")-1),",","."))+1,9))*12,NA()))),0),48)*'Aturan &amp; Tarif'!$B$4,2)</f>
        <v>2725.44</v>
      </c>
      <c r="K110" s="32" t="n">
        <f aca="false">'Aturan &amp; Tarif'!$B$5</f>
        <v>2050</v>
      </c>
      <c r="L110" s="35" t="n">
        <f aca="false">I110+J110+K110</f>
        <v>23175.44</v>
      </c>
      <c r="M110" s="37" t="s">
        <v>318</v>
      </c>
    </row>
    <row r="111" customFormat="false" ht="25.5" hidden="false" customHeight="true" outlineLevel="0" collapsed="false">
      <c r="A111" s="29"/>
      <c r="B111" s="30" t="s">
        <v>337</v>
      </c>
      <c r="C111" s="31" t="s">
        <v>127</v>
      </c>
      <c r="D111" s="31" t="s">
        <v>108</v>
      </c>
      <c r="E111" s="32" t="n">
        <v>9200</v>
      </c>
      <c r="F111" s="32"/>
      <c r="G111" s="32"/>
      <c r="H111" s="33" t="n">
        <v>2</v>
      </c>
      <c r="I111" s="34" t="n">
        <f aca="false">E111*H111+N(F111)+N(G111)</f>
        <v>18400</v>
      </c>
      <c r="J111" s="32" t="n">
        <f aca="false">ROUND(IFERROR(ROUND(IF(OR(ISNUMBER(SEARCH("week",C111)),ISNUMBER(SEARCH("minggu",C111))),IFERROR(_xlfn.NUMBERVALUE(SUBSTITUTE(LEFT(TRIM(C111),FIND(" ",TRIM(C111)&amp;" ")-1),",","."),"."),LEFT(SUBSTITUTE(LEFT(TRIM(C111),FIND(" ",TRIM(C111)&amp;" ")-1),",","."),FIND("/",SUBSTITUTE(LEFT(TRIM(C111),FIND(" ",TRIM(C111)&amp;" ")-1),",","."))-1)/MID(SUBSTITUTE(LEFT(TRIM(C111),FIND(" ",TRIM(C111)&amp;" ")-1),",","."),FIND("/",SUBSTITUTE(LEFT(TRIM(C111),FIND(" ",TRIM(C111)&amp;" ")-1),",","."))+1,9))*12/52,IF(ISNUMBER(SEARCH("month",C111)),IFERROR(_xlfn.NUMBERVALUE(SUBSTITUTE(LEFT(TRIM(C111),FIND(" ",TRIM(C111)&amp;" ")-1),",","."),"."),LEFT(SUBSTITUTE(LEFT(TRIM(C111),FIND(" ",TRIM(C111)&amp;" ")-1),",","."),FIND("/",SUBSTITUTE(LEFT(TRIM(C111),FIND(" ",TRIM(C111)&amp;" ")-1),",","."))-1)/MID(SUBSTITUTE(LEFT(TRIM(C111),FIND(" ",TRIM(C111)&amp;" ")-1),",","."),FIND("/",SUBSTITUTE(LEFT(TRIM(C111),FIND(" ",TRIM(C111)&amp;" ")-1),",","."))+1,9)),IF(ISNUMBER(SEARCH("yea",C111)),IFERROR(_xlfn.NUMBERVALUE(SUBSTITUTE(LEFT(TRIM(C111),FIND(" ",TRIM(C111)&amp;" ")-1),",","."),"."),LEFT(SUBSTITUTE(LEFT(TRIM(C111),FIND(" ",TRIM(C111)&amp;" ")-1),",","."),FIND("/",SUBSTITUTE(LEFT(TRIM(C111),FIND(" ",TRIM(C111)&amp;" ")-1),",","."))-1)/MID(SUBSTITUTE(LEFT(TRIM(C111),FIND(" ",TRIM(C111)&amp;" ")-1),",","."),FIND("/",SUBSTITUTE(LEFT(TRIM(C111),FIND(" ",TRIM(C111)&amp;" ")-1),",","."))+1,9))*12,NA()))),0),36)*'Aturan &amp; Tarif'!$B$4,2)</f>
        <v>2044.08</v>
      </c>
      <c r="K111" s="32" t="n">
        <f aca="false">'Aturan &amp; Tarif'!$B$5</f>
        <v>2050</v>
      </c>
      <c r="L111" s="35" t="n">
        <f aca="false">I111+J111+K111</f>
        <v>22494.08</v>
      </c>
      <c r="M111" s="37" t="s">
        <v>318</v>
      </c>
    </row>
    <row r="112" customFormat="false" ht="25.5" hidden="false" customHeight="true" outlineLevel="0" collapsed="false">
      <c r="A112" s="29"/>
      <c r="B112" s="30" t="s">
        <v>338</v>
      </c>
      <c r="C112" s="31" t="s">
        <v>191</v>
      </c>
      <c r="D112" s="31" t="s">
        <v>108</v>
      </c>
      <c r="E112" s="32" t="n">
        <v>9200</v>
      </c>
      <c r="F112" s="32"/>
      <c r="G112" s="32"/>
      <c r="H112" s="33" t="n">
        <v>2</v>
      </c>
      <c r="I112" s="34" t="n">
        <f aca="false">E112*H112+N(F112)+N(G112)</f>
        <v>18400</v>
      </c>
      <c r="J112" s="32" t="n">
        <f aca="false">ROUND(IFERROR(ROUND(IF(OR(ISNUMBER(SEARCH("week",C112)),ISNUMBER(SEARCH("minggu",C112))),IFERROR(_xlfn.NUMBERVALUE(SUBSTITUTE(LEFT(TRIM(C112),FIND(" ",TRIM(C112)&amp;" ")-1),",","."),"."),LEFT(SUBSTITUTE(LEFT(TRIM(C112),FIND(" ",TRIM(C112)&amp;" ")-1),",","."),FIND("/",SUBSTITUTE(LEFT(TRIM(C112),FIND(" ",TRIM(C112)&amp;" ")-1),",","."))-1)/MID(SUBSTITUTE(LEFT(TRIM(C112),FIND(" ",TRIM(C112)&amp;" ")-1),",","."),FIND("/",SUBSTITUTE(LEFT(TRIM(C112),FIND(" ",TRIM(C112)&amp;" ")-1),",","."))+1,9))*12/52,IF(ISNUMBER(SEARCH("month",C112)),IFERROR(_xlfn.NUMBERVALUE(SUBSTITUTE(LEFT(TRIM(C112),FIND(" ",TRIM(C112)&amp;" ")-1),",","."),"."),LEFT(SUBSTITUTE(LEFT(TRIM(C112),FIND(" ",TRIM(C112)&amp;" ")-1),",","."),FIND("/",SUBSTITUTE(LEFT(TRIM(C112),FIND(" ",TRIM(C112)&amp;" ")-1),",","."))-1)/MID(SUBSTITUTE(LEFT(TRIM(C112),FIND(" ",TRIM(C112)&amp;" ")-1),",","."),FIND("/",SUBSTITUTE(LEFT(TRIM(C112),FIND(" ",TRIM(C112)&amp;" ")-1),",","."))+1,9)),IF(ISNUMBER(SEARCH("yea",C112)),IFERROR(_xlfn.NUMBERVALUE(SUBSTITUTE(LEFT(TRIM(C112),FIND(" ",TRIM(C112)&amp;" ")-1),",","."),"."),LEFT(SUBSTITUTE(LEFT(TRIM(C112),FIND(" ",TRIM(C112)&amp;" ")-1),",","."),FIND("/",SUBSTITUTE(LEFT(TRIM(C112),FIND(" ",TRIM(C112)&amp;" ")-1),",","."))-1)/MID(SUBSTITUTE(LEFT(TRIM(C112),FIND(" ",TRIM(C112)&amp;" ")-1),",","."),FIND("/",SUBSTITUTE(LEFT(TRIM(C112),FIND(" ",TRIM(C112)&amp;" ")-1),",","."))+1,9))*12,NA()))),0),48)*'Aturan &amp; Tarif'!$B$4,2)</f>
        <v>2725.44</v>
      </c>
      <c r="K112" s="32" t="n">
        <f aca="false">'Aturan &amp; Tarif'!$B$5</f>
        <v>2050</v>
      </c>
      <c r="L112" s="35" t="n">
        <f aca="false">I112+J112+K112</f>
        <v>23175.44</v>
      </c>
      <c r="M112" s="37" t="s">
        <v>318</v>
      </c>
    </row>
    <row r="113" customFormat="false" ht="25.5" hidden="false" customHeight="true" outlineLevel="0" collapsed="false">
      <c r="A113" s="29"/>
      <c r="B113" s="30" t="s">
        <v>339</v>
      </c>
      <c r="C113" s="31" t="s">
        <v>191</v>
      </c>
      <c r="D113" s="31" t="s">
        <v>108</v>
      </c>
      <c r="E113" s="32" t="n">
        <v>9200</v>
      </c>
      <c r="F113" s="32"/>
      <c r="G113" s="32"/>
      <c r="H113" s="33" t="n">
        <v>2</v>
      </c>
      <c r="I113" s="34" t="n">
        <f aca="false">E113*H113+N(F113)+N(G113)</f>
        <v>18400</v>
      </c>
      <c r="J113" s="32" t="n">
        <f aca="false">ROUND(IFERROR(ROUND(IF(OR(ISNUMBER(SEARCH("week",C113)),ISNUMBER(SEARCH("minggu",C113))),IFERROR(_xlfn.NUMBERVALUE(SUBSTITUTE(LEFT(TRIM(C113),FIND(" ",TRIM(C113)&amp;" ")-1),",","."),"."),LEFT(SUBSTITUTE(LEFT(TRIM(C113),FIND(" ",TRIM(C113)&amp;" ")-1),",","."),FIND("/",SUBSTITUTE(LEFT(TRIM(C113),FIND(" ",TRIM(C113)&amp;" ")-1),",","."))-1)/MID(SUBSTITUTE(LEFT(TRIM(C113),FIND(" ",TRIM(C113)&amp;" ")-1),",","."),FIND("/",SUBSTITUTE(LEFT(TRIM(C113),FIND(" ",TRIM(C113)&amp;" ")-1),",","."))+1,9))*12/52,IF(ISNUMBER(SEARCH("month",C113)),IFERROR(_xlfn.NUMBERVALUE(SUBSTITUTE(LEFT(TRIM(C113),FIND(" ",TRIM(C113)&amp;" ")-1),",","."),"."),LEFT(SUBSTITUTE(LEFT(TRIM(C113),FIND(" ",TRIM(C113)&amp;" ")-1),",","."),FIND("/",SUBSTITUTE(LEFT(TRIM(C113),FIND(" ",TRIM(C113)&amp;" ")-1),",","."))-1)/MID(SUBSTITUTE(LEFT(TRIM(C113),FIND(" ",TRIM(C113)&amp;" ")-1),",","."),FIND("/",SUBSTITUTE(LEFT(TRIM(C113),FIND(" ",TRIM(C113)&amp;" ")-1),",","."))+1,9)),IF(ISNUMBER(SEARCH("yea",C113)),IFERROR(_xlfn.NUMBERVALUE(SUBSTITUTE(LEFT(TRIM(C113),FIND(" ",TRIM(C113)&amp;" ")-1),",","."),"."),LEFT(SUBSTITUTE(LEFT(TRIM(C113),FIND(" ",TRIM(C113)&amp;" ")-1),",","."),FIND("/",SUBSTITUTE(LEFT(TRIM(C113),FIND(" ",TRIM(C113)&amp;" ")-1),",","."))-1)/MID(SUBSTITUTE(LEFT(TRIM(C113),FIND(" ",TRIM(C113)&amp;" ")-1),",","."),FIND("/",SUBSTITUTE(LEFT(TRIM(C113),FIND(" ",TRIM(C113)&amp;" ")-1),",","."))+1,9))*12,NA()))),0),48)*'Aturan &amp; Tarif'!$B$4,2)</f>
        <v>2725.44</v>
      </c>
      <c r="K113" s="32" t="n">
        <f aca="false">'Aturan &amp; Tarif'!$B$5</f>
        <v>2050</v>
      </c>
      <c r="L113" s="35" t="n">
        <f aca="false">I113+J113+K113</f>
        <v>23175.44</v>
      </c>
      <c r="M113" s="37" t="s">
        <v>318</v>
      </c>
    </row>
    <row r="114" customFormat="false" ht="14.25" hidden="false" customHeight="true" outlineLevel="0" collapsed="false">
      <c r="A114" s="29"/>
      <c r="B114" s="30" t="s">
        <v>340</v>
      </c>
      <c r="C114" s="31" t="s">
        <v>191</v>
      </c>
      <c r="D114" s="31" t="s">
        <v>108</v>
      </c>
      <c r="E114" s="32" t="n">
        <v>8742</v>
      </c>
      <c r="F114" s="32"/>
      <c r="G114" s="32"/>
      <c r="H114" s="33" t="n">
        <v>2</v>
      </c>
      <c r="I114" s="34" t="n">
        <f aca="false">E114*H114+N(F114)+N(G114)</f>
        <v>17484</v>
      </c>
      <c r="J114" s="32" t="n">
        <f aca="false">ROUND(IFERROR(ROUND(IF(OR(ISNUMBER(SEARCH("week",C114)),ISNUMBER(SEARCH("minggu",C114))),IFERROR(_xlfn.NUMBERVALUE(SUBSTITUTE(LEFT(TRIM(C114),FIND(" ",TRIM(C114)&amp;" ")-1),",","."),"."),LEFT(SUBSTITUTE(LEFT(TRIM(C114),FIND(" ",TRIM(C114)&amp;" ")-1),",","."),FIND("/",SUBSTITUTE(LEFT(TRIM(C114),FIND(" ",TRIM(C114)&amp;" ")-1),",","."))-1)/MID(SUBSTITUTE(LEFT(TRIM(C114),FIND(" ",TRIM(C114)&amp;" ")-1),",","."),FIND("/",SUBSTITUTE(LEFT(TRIM(C114),FIND(" ",TRIM(C114)&amp;" ")-1),",","."))+1,9))*12/52,IF(ISNUMBER(SEARCH("month",C114)),IFERROR(_xlfn.NUMBERVALUE(SUBSTITUTE(LEFT(TRIM(C114),FIND(" ",TRIM(C114)&amp;" ")-1),",","."),"."),LEFT(SUBSTITUTE(LEFT(TRIM(C114),FIND(" ",TRIM(C114)&amp;" ")-1),",","."),FIND("/",SUBSTITUTE(LEFT(TRIM(C114),FIND(" ",TRIM(C114)&amp;" ")-1),",","."))-1)/MID(SUBSTITUTE(LEFT(TRIM(C114),FIND(" ",TRIM(C114)&amp;" ")-1),",","."),FIND("/",SUBSTITUTE(LEFT(TRIM(C114),FIND(" ",TRIM(C114)&amp;" ")-1),",","."))+1,9)),IF(ISNUMBER(SEARCH("yea",C114)),IFERROR(_xlfn.NUMBERVALUE(SUBSTITUTE(LEFT(TRIM(C114),FIND(" ",TRIM(C114)&amp;" ")-1),",","."),"."),LEFT(SUBSTITUTE(LEFT(TRIM(C114),FIND(" ",TRIM(C114)&amp;" ")-1),",","."),FIND("/",SUBSTITUTE(LEFT(TRIM(C114),FIND(" ",TRIM(C114)&amp;" ")-1),",","."))-1)/MID(SUBSTITUTE(LEFT(TRIM(C114),FIND(" ",TRIM(C114)&amp;" ")-1),",","."),FIND("/",SUBSTITUTE(LEFT(TRIM(C114),FIND(" ",TRIM(C114)&amp;" ")-1),",","."))+1,9))*12,NA()))),0),48)*'Aturan &amp; Tarif'!$B$4,2)</f>
        <v>2725.44</v>
      </c>
      <c r="K114" s="32" t="n">
        <f aca="false">'Aturan &amp; Tarif'!$B$5</f>
        <v>2050</v>
      </c>
      <c r="L114" s="35" t="n">
        <f aca="false">I114+J114+K114</f>
        <v>22259.44</v>
      </c>
      <c r="M114" s="37" t="s">
        <v>318</v>
      </c>
    </row>
    <row r="115" customFormat="false" ht="14.25" hidden="false" customHeight="true" outlineLevel="0" collapsed="false">
      <c r="A115" s="29"/>
      <c r="B115" s="30" t="s">
        <v>341</v>
      </c>
      <c r="C115" s="31" t="s">
        <v>245</v>
      </c>
      <c r="D115" s="31" t="s">
        <v>108</v>
      </c>
      <c r="E115" s="32" t="n">
        <v>9200</v>
      </c>
      <c r="F115" s="32"/>
      <c r="G115" s="32"/>
      <c r="H115" s="33" t="n">
        <v>2</v>
      </c>
      <c r="I115" s="34" t="n">
        <f aca="false">E115*H115+N(F115)+N(G115)</f>
        <v>18400</v>
      </c>
      <c r="J115" s="32" t="n">
        <f aca="false">ROUND(IFERROR(ROUND(IF(OR(ISNUMBER(SEARCH("week",C115)),ISNUMBER(SEARCH("minggu",C115))),IFERROR(_xlfn.NUMBERVALUE(SUBSTITUTE(LEFT(TRIM(C115),FIND(" ",TRIM(C115)&amp;" ")-1),",","."),"."),LEFT(SUBSTITUTE(LEFT(TRIM(C115),FIND(" ",TRIM(C115)&amp;" ")-1),",","."),FIND("/",SUBSTITUTE(LEFT(TRIM(C115),FIND(" ",TRIM(C115)&amp;" ")-1),",","."))-1)/MID(SUBSTITUTE(LEFT(TRIM(C115),FIND(" ",TRIM(C115)&amp;" ")-1),",","."),FIND("/",SUBSTITUTE(LEFT(TRIM(C115),FIND(" ",TRIM(C115)&amp;" ")-1),",","."))+1,9))*12/52,IF(ISNUMBER(SEARCH("month",C115)),IFERROR(_xlfn.NUMBERVALUE(SUBSTITUTE(LEFT(TRIM(C115),FIND(" ",TRIM(C115)&amp;" ")-1),",","."),"."),LEFT(SUBSTITUTE(LEFT(TRIM(C115),FIND(" ",TRIM(C115)&amp;" ")-1),",","."),FIND("/",SUBSTITUTE(LEFT(TRIM(C115),FIND(" ",TRIM(C115)&amp;" ")-1),",","."))-1)/MID(SUBSTITUTE(LEFT(TRIM(C115),FIND(" ",TRIM(C115)&amp;" ")-1),",","."),FIND("/",SUBSTITUTE(LEFT(TRIM(C115),FIND(" ",TRIM(C115)&amp;" ")-1),",","."))+1,9)),IF(ISNUMBER(SEARCH("yea",C115)),IFERROR(_xlfn.NUMBERVALUE(SUBSTITUTE(LEFT(TRIM(C115),FIND(" ",TRIM(C115)&amp;" ")-1),",","."),"."),LEFT(SUBSTITUTE(LEFT(TRIM(C115),FIND(" ",TRIM(C115)&amp;" ")-1),",","."),FIND("/",SUBSTITUTE(LEFT(TRIM(C115),FIND(" ",TRIM(C115)&amp;" ")-1),",","."))-1)/MID(SUBSTITUTE(LEFT(TRIM(C115),FIND(" ",TRIM(C115)&amp;" ")-1),",","."),FIND("/",SUBSTITUTE(LEFT(TRIM(C115),FIND(" ",TRIM(C115)&amp;" ")-1),",","."))+1,9))*12,NA()))),0),60)*'Aturan &amp; Tarif'!$B$4,2)</f>
        <v>3406.8</v>
      </c>
      <c r="K115" s="32" t="n">
        <f aca="false">'Aturan &amp; Tarif'!$B$5</f>
        <v>2050</v>
      </c>
      <c r="L115" s="35" t="n">
        <f aca="false">I115+J115+K115</f>
        <v>23856.8</v>
      </c>
      <c r="M115" s="37" t="s">
        <v>318</v>
      </c>
    </row>
    <row r="116" customFormat="false" ht="25.5" hidden="false" customHeight="true" outlineLevel="0" collapsed="false">
      <c r="A116" s="29"/>
      <c r="B116" s="30" t="s">
        <v>342</v>
      </c>
      <c r="C116" s="31" t="s">
        <v>245</v>
      </c>
      <c r="D116" s="31" t="s">
        <v>108</v>
      </c>
      <c r="E116" s="32" t="n">
        <v>9200</v>
      </c>
      <c r="F116" s="32"/>
      <c r="G116" s="32"/>
      <c r="H116" s="33" t="n">
        <v>2</v>
      </c>
      <c r="I116" s="34" t="n">
        <f aca="false">E116*H116+N(F116)+N(G116)</f>
        <v>18400</v>
      </c>
      <c r="J116" s="32" t="n">
        <f aca="false">ROUND(IFERROR(ROUND(IF(OR(ISNUMBER(SEARCH("week",C116)),ISNUMBER(SEARCH("minggu",C116))),IFERROR(_xlfn.NUMBERVALUE(SUBSTITUTE(LEFT(TRIM(C116),FIND(" ",TRIM(C116)&amp;" ")-1),",","."),"."),LEFT(SUBSTITUTE(LEFT(TRIM(C116),FIND(" ",TRIM(C116)&amp;" ")-1),",","."),FIND("/",SUBSTITUTE(LEFT(TRIM(C116),FIND(" ",TRIM(C116)&amp;" ")-1),",","."))-1)/MID(SUBSTITUTE(LEFT(TRIM(C116),FIND(" ",TRIM(C116)&amp;" ")-1),",","."),FIND("/",SUBSTITUTE(LEFT(TRIM(C116),FIND(" ",TRIM(C116)&amp;" ")-1),",","."))+1,9))*12/52,IF(ISNUMBER(SEARCH("month",C116)),IFERROR(_xlfn.NUMBERVALUE(SUBSTITUTE(LEFT(TRIM(C116),FIND(" ",TRIM(C116)&amp;" ")-1),",","."),"."),LEFT(SUBSTITUTE(LEFT(TRIM(C116),FIND(" ",TRIM(C116)&amp;" ")-1),",","."),FIND("/",SUBSTITUTE(LEFT(TRIM(C116),FIND(" ",TRIM(C116)&amp;" ")-1),",","."))-1)/MID(SUBSTITUTE(LEFT(TRIM(C116),FIND(" ",TRIM(C116)&amp;" ")-1),",","."),FIND("/",SUBSTITUTE(LEFT(TRIM(C116),FIND(" ",TRIM(C116)&amp;" ")-1),",","."))+1,9)),IF(ISNUMBER(SEARCH("yea",C116)),IFERROR(_xlfn.NUMBERVALUE(SUBSTITUTE(LEFT(TRIM(C116),FIND(" ",TRIM(C116)&amp;" ")-1),",","."),"."),LEFT(SUBSTITUTE(LEFT(TRIM(C116),FIND(" ",TRIM(C116)&amp;" ")-1),",","."),FIND("/",SUBSTITUTE(LEFT(TRIM(C116),FIND(" ",TRIM(C116)&amp;" ")-1),",","."))-1)/MID(SUBSTITUTE(LEFT(TRIM(C116),FIND(" ",TRIM(C116)&amp;" ")-1),",","."),FIND("/",SUBSTITUTE(LEFT(TRIM(C116),FIND(" ",TRIM(C116)&amp;" ")-1),",","."))+1,9))*12,NA()))),0),60)*'Aturan &amp; Tarif'!$B$4,2)</f>
        <v>3406.8</v>
      </c>
      <c r="K116" s="32" t="n">
        <f aca="false">'Aturan &amp; Tarif'!$B$5</f>
        <v>2050</v>
      </c>
      <c r="L116" s="35" t="n">
        <f aca="false">I116+J116+K116</f>
        <v>23856.8</v>
      </c>
      <c r="M116" s="37" t="s">
        <v>318</v>
      </c>
    </row>
    <row r="117" customFormat="false" ht="25.5" hidden="false" customHeight="true" outlineLevel="0" collapsed="false">
      <c r="A117" s="29"/>
      <c r="B117" s="30" t="s">
        <v>343</v>
      </c>
      <c r="C117" s="31" t="s">
        <v>344</v>
      </c>
      <c r="D117" s="31" t="s">
        <v>108</v>
      </c>
      <c r="E117" s="32" t="n">
        <v>4762</v>
      </c>
      <c r="F117" s="32"/>
      <c r="G117" s="32"/>
      <c r="H117" s="33" t="n">
        <v>2</v>
      </c>
      <c r="I117" s="34" t="n">
        <f aca="false">E117*H117+N(F117)+N(G117)</f>
        <v>9524</v>
      </c>
      <c r="J117" s="32" t="n">
        <f aca="false">ROUND(IFERROR(ROUND(IF(OR(ISNUMBER(SEARCH("week",C117)),ISNUMBER(SEARCH("minggu",C117))),IFERROR(_xlfn.NUMBERVALUE(SUBSTITUTE(LEFT(TRIM(C117),FIND(" ",TRIM(C117)&amp;" ")-1),",","."),"."),LEFT(SUBSTITUTE(LEFT(TRIM(C117),FIND(" ",TRIM(C117)&amp;" ")-1),",","."),FIND("/",SUBSTITUTE(LEFT(TRIM(C117),FIND(" ",TRIM(C117)&amp;" ")-1),",","."))-1)/MID(SUBSTITUTE(LEFT(TRIM(C117),FIND(" ",TRIM(C117)&amp;" ")-1),",","."),FIND("/",SUBSTITUTE(LEFT(TRIM(C117),FIND(" ",TRIM(C117)&amp;" ")-1),",","."))+1,9))*12/52,IF(ISNUMBER(SEARCH("month",C117)),IFERROR(_xlfn.NUMBERVALUE(SUBSTITUTE(LEFT(TRIM(C117),FIND(" ",TRIM(C117)&amp;" ")-1),",","."),"."),LEFT(SUBSTITUTE(LEFT(TRIM(C117),FIND(" ",TRIM(C117)&amp;" ")-1),",","."),FIND("/",SUBSTITUTE(LEFT(TRIM(C117),FIND(" ",TRIM(C117)&amp;" ")-1),",","."))-1)/MID(SUBSTITUTE(LEFT(TRIM(C117),FIND(" ",TRIM(C117)&amp;" ")-1),",","."),FIND("/",SUBSTITUTE(LEFT(TRIM(C117),FIND(" ",TRIM(C117)&amp;" ")-1),",","."))+1,9)),IF(ISNUMBER(SEARCH("yea",C117)),IFERROR(_xlfn.NUMBERVALUE(SUBSTITUTE(LEFT(TRIM(C117),FIND(" ",TRIM(C117)&amp;" ")-1),",","."),"."),LEFT(SUBSTITUTE(LEFT(TRIM(C117),FIND(" ",TRIM(C117)&amp;" ")-1),",","."),FIND("/",SUBSTITUTE(LEFT(TRIM(C117),FIND(" ",TRIM(C117)&amp;" ")-1),",","."))-1)/MID(SUBSTITUTE(LEFT(TRIM(C117),FIND(" ",TRIM(C117)&amp;" ")-1),",","."),FIND("/",SUBSTITUTE(LEFT(TRIM(C117),FIND(" ",TRIM(C117)&amp;" ")-1),",","."))+1,9))*12,NA()))),0),6)*'Aturan &amp; Tarif'!$B$4,2)</f>
        <v>340.68</v>
      </c>
      <c r="K117" s="32" t="n">
        <f aca="false">'Aturan &amp; Tarif'!$B$5</f>
        <v>2050</v>
      </c>
      <c r="L117" s="35" t="n">
        <f aca="false">I117+J117+K117</f>
        <v>11914.68</v>
      </c>
      <c r="M117" s="37" t="s">
        <v>345</v>
      </c>
    </row>
    <row r="118" customFormat="false" ht="25.5" hidden="false" customHeight="true" outlineLevel="0" collapsed="false">
      <c r="A118" s="29"/>
      <c r="B118" s="30" t="s">
        <v>346</v>
      </c>
      <c r="C118" s="31" t="s">
        <v>344</v>
      </c>
      <c r="D118" s="31" t="s">
        <v>108</v>
      </c>
      <c r="E118" s="32" t="n">
        <v>4762</v>
      </c>
      <c r="F118" s="32"/>
      <c r="G118" s="32"/>
      <c r="H118" s="33" t="n">
        <v>2</v>
      </c>
      <c r="I118" s="34" t="n">
        <f aca="false">E118*H118+N(F118)+N(G118)</f>
        <v>9524</v>
      </c>
      <c r="J118" s="32" t="n">
        <f aca="false">ROUND(IFERROR(ROUND(IF(OR(ISNUMBER(SEARCH("week",C118)),ISNUMBER(SEARCH("minggu",C118))),IFERROR(_xlfn.NUMBERVALUE(SUBSTITUTE(LEFT(TRIM(C118),FIND(" ",TRIM(C118)&amp;" ")-1),",","."),"."),LEFT(SUBSTITUTE(LEFT(TRIM(C118),FIND(" ",TRIM(C118)&amp;" ")-1),",","."),FIND("/",SUBSTITUTE(LEFT(TRIM(C118),FIND(" ",TRIM(C118)&amp;" ")-1),",","."))-1)/MID(SUBSTITUTE(LEFT(TRIM(C118),FIND(" ",TRIM(C118)&amp;" ")-1),",","."),FIND("/",SUBSTITUTE(LEFT(TRIM(C118),FIND(" ",TRIM(C118)&amp;" ")-1),",","."))+1,9))*12/52,IF(ISNUMBER(SEARCH("month",C118)),IFERROR(_xlfn.NUMBERVALUE(SUBSTITUTE(LEFT(TRIM(C118),FIND(" ",TRIM(C118)&amp;" ")-1),",","."),"."),LEFT(SUBSTITUTE(LEFT(TRIM(C118),FIND(" ",TRIM(C118)&amp;" ")-1),",","."),FIND("/",SUBSTITUTE(LEFT(TRIM(C118),FIND(" ",TRIM(C118)&amp;" ")-1),",","."))-1)/MID(SUBSTITUTE(LEFT(TRIM(C118),FIND(" ",TRIM(C118)&amp;" ")-1),",","."),FIND("/",SUBSTITUTE(LEFT(TRIM(C118),FIND(" ",TRIM(C118)&amp;" ")-1),",","."))+1,9)),IF(ISNUMBER(SEARCH("yea",C118)),IFERROR(_xlfn.NUMBERVALUE(SUBSTITUTE(LEFT(TRIM(C118),FIND(" ",TRIM(C118)&amp;" ")-1),",","."),"."),LEFT(SUBSTITUTE(LEFT(TRIM(C118),FIND(" ",TRIM(C118)&amp;" ")-1),",","."),FIND("/",SUBSTITUTE(LEFT(TRIM(C118),FIND(" ",TRIM(C118)&amp;" ")-1),",","."))-1)/MID(SUBSTITUTE(LEFT(TRIM(C118),FIND(" ",TRIM(C118)&amp;" ")-1),",","."),FIND("/",SUBSTITUTE(LEFT(TRIM(C118),FIND(" ",TRIM(C118)&amp;" ")-1),",","."))+1,9))*12,NA()))),0),6)*'Aturan &amp; Tarif'!$B$4,2)</f>
        <v>340.68</v>
      </c>
      <c r="K118" s="32" t="n">
        <f aca="false">'Aturan &amp; Tarif'!$B$5</f>
        <v>2050</v>
      </c>
      <c r="L118" s="35" t="n">
        <f aca="false">I118+J118+K118</f>
        <v>11914.68</v>
      </c>
      <c r="M118" s="37" t="s">
        <v>345</v>
      </c>
    </row>
    <row r="119" customFormat="false" ht="14.25" hidden="false" customHeight="true" outlineLevel="0" collapsed="false">
      <c r="A119" s="29"/>
      <c r="B119" s="30" t="s">
        <v>347</v>
      </c>
      <c r="C119" s="31" t="s">
        <v>344</v>
      </c>
      <c r="D119" s="31" t="s">
        <v>108</v>
      </c>
      <c r="E119" s="32" t="n">
        <v>4614</v>
      </c>
      <c r="F119" s="32"/>
      <c r="G119" s="32"/>
      <c r="H119" s="33" t="n">
        <v>2</v>
      </c>
      <c r="I119" s="34" t="n">
        <f aca="false">E119*H119+N(F119)+N(G119)</f>
        <v>9228</v>
      </c>
      <c r="J119" s="32" t="n">
        <f aca="false">ROUND(IFERROR(ROUND(IF(OR(ISNUMBER(SEARCH("week",C119)),ISNUMBER(SEARCH("minggu",C119))),IFERROR(_xlfn.NUMBERVALUE(SUBSTITUTE(LEFT(TRIM(C119),FIND(" ",TRIM(C119)&amp;" ")-1),",","."),"."),LEFT(SUBSTITUTE(LEFT(TRIM(C119),FIND(" ",TRIM(C119)&amp;" ")-1),",","."),FIND("/",SUBSTITUTE(LEFT(TRIM(C119),FIND(" ",TRIM(C119)&amp;" ")-1),",","."))-1)/MID(SUBSTITUTE(LEFT(TRIM(C119),FIND(" ",TRIM(C119)&amp;" ")-1),",","."),FIND("/",SUBSTITUTE(LEFT(TRIM(C119),FIND(" ",TRIM(C119)&amp;" ")-1),",","."))+1,9))*12/52,IF(ISNUMBER(SEARCH("month",C119)),IFERROR(_xlfn.NUMBERVALUE(SUBSTITUTE(LEFT(TRIM(C119),FIND(" ",TRIM(C119)&amp;" ")-1),",","."),"."),LEFT(SUBSTITUTE(LEFT(TRIM(C119),FIND(" ",TRIM(C119)&amp;" ")-1),",","."),FIND("/",SUBSTITUTE(LEFT(TRIM(C119),FIND(" ",TRIM(C119)&amp;" ")-1),",","."))-1)/MID(SUBSTITUTE(LEFT(TRIM(C119),FIND(" ",TRIM(C119)&amp;" ")-1),",","."),FIND("/",SUBSTITUTE(LEFT(TRIM(C119),FIND(" ",TRIM(C119)&amp;" ")-1),",","."))+1,9)),IF(ISNUMBER(SEARCH("yea",C119)),IFERROR(_xlfn.NUMBERVALUE(SUBSTITUTE(LEFT(TRIM(C119),FIND(" ",TRIM(C119)&amp;" ")-1),",","."),"."),LEFT(SUBSTITUTE(LEFT(TRIM(C119),FIND(" ",TRIM(C119)&amp;" ")-1),",","."),FIND("/",SUBSTITUTE(LEFT(TRIM(C119),FIND(" ",TRIM(C119)&amp;" ")-1),",","."))-1)/MID(SUBSTITUTE(LEFT(TRIM(C119),FIND(" ",TRIM(C119)&amp;" ")-1),",","."),FIND("/",SUBSTITUTE(LEFT(TRIM(C119),FIND(" ",TRIM(C119)&amp;" ")-1),",","."))+1,9))*12,NA()))),0),6)*'Aturan &amp; Tarif'!$B$4,2)</f>
        <v>340.68</v>
      </c>
      <c r="K119" s="32" t="n">
        <f aca="false">'Aturan &amp; Tarif'!$B$5</f>
        <v>2050</v>
      </c>
      <c r="L119" s="35" t="n">
        <f aca="false">I119+J119+K119</f>
        <v>11618.68</v>
      </c>
      <c r="M119" s="37" t="s">
        <v>345</v>
      </c>
    </row>
    <row r="120" customFormat="false" ht="14.25" hidden="false" customHeight="true" outlineLevel="0" collapsed="false">
      <c r="A120" s="29"/>
      <c r="B120" s="30" t="s">
        <v>348</v>
      </c>
      <c r="C120" s="31" t="s">
        <v>107</v>
      </c>
      <c r="D120" s="31" t="s">
        <v>108</v>
      </c>
      <c r="E120" s="32" t="n">
        <v>9524</v>
      </c>
      <c r="F120" s="32"/>
      <c r="G120" s="32"/>
      <c r="H120" s="33" t="n">
        <v>2</v>
      </c>
      <c r="I120" s="34" t="n">
        <f aca="false">E120*H120+N(F120)+N(G120)</f>
        <v>19048</v>
      </c>
      <c r="J120" s="32" t="n">
        <f aca="false">ROUND(IFERROR(ROUND(IF(OR(ISNUMBER(SEARCH("week",C120)),ISNUMBER(SEARCH("minggu",C120))),IFERROR(_xlfn.NUMBERVALUE(SUBSTITUTE(LEFT(TRIM(C120),FIND(" ",TRIM(C120)&amp;" ")-1),",","."),"."),LEFT(SUBSTITUTE(LEFT(TRIM(C120),FIND(" ",TRIM(C120)&amp;" ")-1),",","."),FIND("/",SUBSTITUTE(LEFT(TRIM(C120),FIND(" ",TRIM(C120)&amp;" ")-1),",","."))-1)/MID(SUBSTITUTE(LEFT(TRIM(C120),FIND(" ",TRIM(C120)&amp;" ")-1),",","."),FIND("/",SUBSTITUTE(LEFT(TRIM(C120),FIND(" ",TRIM(C120)&amp;" ")-1),",","."))+1,9))*12/52,IF(ISNUMBER(SEARCH("month",C120)),IFERROR(_xlfn.NUMBERVALUE(SUBSTITUTE(LEFT(TRIM(C120),FIND(" ",TRIM(C120)&amp;" ")-1),",","."),"."),LEFT(SUBSTITUTE(LEFT(TRIM(C120),FIND(" ",TRIM(C120)&amp;" ")-1),",","."),FIND("/",SUBSTITUTE(LEFT(TRIM(C120),FIND(" ",TRIM(C120)&amp;" ")-1),",","."))-1)/MID(SUBSTITUTE(LEFT(TRIM(C120),FIND(" ",TRIM(C120)&amp;" ")-1),",","."),FIND("/",SUBSTITUTE(LEFT(TRIM(C120),FIND(" ",TRIM(C120)&amp;" ")-1),",","."))+1,9)),IF(ISNUMBER(SEARCH("yea",C120)),IFERROR(_xlfn.NUMBERVALUE(SUBSTITUTE(LEFT(TRIM(C120),FIND(" ",TRIM(C120)&amp;" ")-1),",","."),"."),LEFT(SUBSTITUTE(LEFT(TRIM(C120),FIND(" ",TRIM(C120)&amp;" ")-1),",","."),FIND("/",SUBSTITUTE(LEFT(TRIM(C120),FIND(" ",TRIM(C120)&amp;" ")-1),",","."))-1)/MID(SUBSTITUTE(LEFT(TRIM(C120),FIND(" ",TRIM(C120)&amp;" ")-1),",","."),FIND("/",SUBSTITUTE(LEFT(TRIM(C120),FIND(" ",TRIM(C120)&amp;" ")-1),",","."))+1,9))*12,NA()))),0),24)*'Aturan &amp; Tarif'!$B$4,2)</f>
        <v>1362.72</v>
      </c>
      <c r="K120" s="32" t="n">
        <f aca="false">'Aturan &amp; Tarif'!$B$5</f>
        <v>2050</v>
      </c>
      <c r="L120" s="35" t="n">
        <f aca="false">I120+J120+K120</f>
        <v>22460.72</v>
      </c>
      <c r="M120" s="37" t="s">
        <v>318</v>
      </c>
    </row>
    <row r="121" customFormat="false" ht="14.25" hidden="false" customHeight="true" outlineLevel="0" collapsed="false">
      <c r="A121" s="29"/>
      <c r="B121" s="30" t="s">
        <v>349</v>
      </c>
      <c r="C121" s="31" t="s">
        <v>107</v>
      </c>
      <c r="D121" s="31" t="s">
        <v>108</v>
      </c>
      <c r="E121" s="32" t="n">
        <v>9524</v>
      </c>
      <c r="F121" s="32"/>
      <c r="G121" s="32"/>
      <c r="H121" s="33" t="n">
        <v>2</v>
      </c>
      <c r="I121" s="34" t="n">
        <f aca="false">E121*H121+N(F121)+N(G121)</f>
        <v>19048</v>
      </c>
      <c r="J121" s="32" t="n">
        <f aca="false">ROUND(IFERROR(ROUND(IF(OR(ISNUMBER(SEARCH("week",C121)),ISNUMBER(SEARCH("minggu",C121))),IFERROR(_xlfn.NUMBERVALUE(SUBSTITUTE(LEFT(TRIM(C121),FIND(" ",TRIM(C121)&amp;" ")-1),",","."),"."),LEFT(SUBSTITUTE(LEFT(TRIM(C121),FIND(" ",TRIM(C121)&amp;" ")-1),",","."),FIND("/",SUBSTITUTE(LEFT(TRIM(C121),FIND(" ",TRIM(C121)&amp;" ")-1),",","."))-1)/MID(SUBSTITUTE(LEFT(TRIM(C121),FIND(" ",TRIM(C121)&amp;" ")-1),",","."),FIND("/",SUBSTITUTE(LEFT(TRIM(C121),FIND(" ",TRIM(C121)&amp;" ")-1),",","."))+1,9))*12/52,IF(ISNUMBER(SEARCH("month",C121)),IFERROR(_xlfn.NUMBERVALUE(SUBSTITUTE(LEFT(TRIM(C121),FIND(" ",TRIM(C121)&amp;" ")-1),",","."),"."),LEFT(SUBSTITUTE(LEFT(TRIM(C121),FIND(" ",TRIM(C121)&amp;" ")-1),",","."),FIND("/",SUBSTITUTE(LEFT(TRIM(C121),FIND(" ",TRIM(C121)&amp;" ")-1),",","."))-1)/MID(SUBSTITUTE(LEFT(TRIM(C121),FIND(" ",TRIM(C121)&amp;" ")-1),",","."),FIND("/",SUBSTITUTE(LEFT(TRIM(C121),FIND(" ",TRIM(C121)&amp;" ")-1),",","."))+1,9)),IF(ISNUMBER(SEARCH("yea",C121)),IFERROR(_xlfn.NUMBERVALUE(SUBSTITUTE(LEFT(TRIM(C121),FIND(" ",TRIM(C121)&amp;" ")-1),",","."),"."),LEFT(SUBSTITUTE(LEFT(TRIM(C121),FIND(" ",TRIM(C121)&amp;" ")-1),",","."),FIND("/",SUBSTITUTE(LEFT(TRIM(C121),FIND(" ",TRIM(C121)&amp;" ")-1),",","."))-1)/MID(SUBSTITUTE(LEFT(TRIM(C121),FIND(" ",TRIM(C121)&amp;" ")-1),",","."),FIND("/",SUBSTITUTE(LEFT(TRIM(C121),FIND(" ",TRIM(C121)&amp;" ")-1),",","."))+1,9))*12,NA()))),0),24)*'Aturan &amp; Tarif'!$B$4,2)</f>
        <v>1362.72</v>
      </c>
      <c r="K121" s="32" t="n">
        <f aca="false">'Aturan &amp; Tarif'!$B$5</f>
        <v>2050</v>
      </c>
      <c r="L121" s="35" t="n">
        <f aca="false">I121+J121+K121</f>
        <v>22460.72</v>
      </c>
      <c r="M121" s="37" t="s">
        <v>318</v>
      </c>
    </row>
    <row r="122" customFormat="false" ht="14.25" hidden="false" customHeight="true" outlineLevel="0" collapsed="false">
      <c r="A122" s="29"/>
      <c r="B122" s="30" t="s">
        <v>167</v>
      </c>
      <c r="C122" s="31" t="s">
        <v>107</v>
      </c>
      <c r="D122" s="31" t="s">
        <v>108</v>
      </c>
      <c r="E122" s="32" t="n">
        <v>9524</v>
      </c>
      <c r="F122" s="32"/>
      <c r="G122" s="32"/>
      <c r="H122" s="33" t="n">
        <v>2</v>
      </c>
      <c r="I122" s="34" t="n">
        <f aca="false">E122*H122+N(F122)+N(G122)</f>
        <v>19048</v>
      </c>
      <c r="J122" s="32" t="n">
        <f aca="false">ROUND(IFERROR(ROUND(IF(OR(ISNUMBER(SEARCH("week",C122)),ISNUMBER(SEARCH("minggu",C122))),IFERROR(_xlfn.NUMBERVALUE(SUBSTITUTE(LEFT(TRIM(C122),FIND(" ",TRIM(C122)&amp;" ")-1),",","."),"."),LEFT(SUBSTITUTE(LEFT(TRIM(C122),FIND(" ",TRIM(C122)&amp;" ")-1),",","."),FIND("/",SUBSTITUTE(LEFT(TRIM(C122),FIND(" ",TRIM(C122)&amp;" ")-1),",","."))-1)/MID(SUBSTITUTE(LEFT(TRIM(C122),FIND(" ",TRIM(C122)&amp;" ")-1),",","."),FIND("/",SUBSTITUTE(LEFT(TRIM(C122),FIND(" ",TRIM(C122)&amp;" ")-1),",","."))+1,9))*12/52,IF(ISNUMBER(SEARCH("month",C122)),IFERROR(_xlfn.NUMBERVALUE(SUBSTITUTE(LEFT(TRIM(C122),FIND(" ",TRIM(C122)&amp;" ")-1),",","."),"."),LEFT(SUBSTITUTE(LEFT(TRIM(C122),FIND(" ",TRIM(C122)&amp;" ")-1),",","."),FIND("/",SUBSTITUTE(LEFT(TRIM(C122),FIND(" ",TRIM(C122)&amp;" ")-1),",","."))-1)/MID(SUBSTITUTE(LEFT(TRIM(C122),FIND(" ",TRIM(C122)&amp;" ")-1),",","."),FIND("/",SUBSTITUTE(LEFT(TRIM(C122),FIND(" ",TRIM(C122)&amp;" ")-1),",","."))+1,9)),IF(ISNUMBER(SEARCH("yea",C122)),IFERROR(_xlfn.NUMBERVALUE(SUBSTITUTE(LEFT(TRIM(C122),FIND(" ",TRIM(C122)&amp;" ")-1),",","."),"."),LEFT(SUBSTITUTE(LEFT(TRIM(C122),FIND(" ",TRIM(C122)&amp;" ")-1),",","."),FIND("/",SUBSTITUTE(LEFT(TRIM(C122),FIND(" ",TRIM(C122)&amp;" ")-1),",","."))-1)/MID(SUBSTITUTE(LEFT(TRIM(C122),FIND(" ",TRIM(C122)&amp;" ")-1),",","."),FIND("/",SUBSTITUTE(LEFT(TRIM(C122),FIND(" ",TRIM(C122)&amp;" ")-1),",","."))+1,9))*12,NA()))),0),24)*'Aturan &amp; Tarif'!$B$4,2)</f>
        <v>1362.72</v>
      </c>
      <c r="K122" s="32" t="n">
        <f aca="false">'Aturan &amp; Tarif'!$B$5</f>
        <v>2050</v>
      </c>
      <c r="L122" s="35" t="n">
        <f aca="false">I122+J122+K122</f>
        <v>22460.72</v>
      </c>
      <c r="M122" s="37" t="s">
        <v>318</v>
      </c>
    </row>
    <row r="123" customFormat="false" ht="25.5" hidden="false" customHeight="true" outlineLevel="0" collapsed="false">
      <c r="A123" s="29"/>
      <c r="B123" s="30" t="s">
        <v>236</v>
      </c>
      <c r="C123" s="31" t="s">
        <v>127</v>
      </c>
      <c r="D123" s="31" t="s">
        <v>108</v>
      </c>
      <c r="E123" s="32" t="n">
        <v>8906</v>
      </c>
      <c r="F123" s="32"/>
      <c r="G123" s="32"/>
      <c r="H123" s="33" t="n">
        <v>2</v>
      </c>
      <c r="I123" s="34" t="n">
        <f aca="false">E123*H123+N(F123)+N(G123)</f>
        <v>17812</v>
      </c>
      <c r="J123" s="32" t="n">
        <f aca="false">ROUND(IFERROR(ROUND(IF(OR(ISNUMBER(SEARCH("week",C123)),ISNUMBER(SEARCH("minggu",C123))),IFERROR(_xlfn.NUMBERVALUE(SUBSTITUTE(LEFT(TRIM(C123),FIND(" ",TRIM(C123)&amp;" ")-1),",","."),"."),LEFT(SUBSTITUTE(LEFT(TRIM(C123),FIND(" ",TRIM(C123)&amp;" ")-1),",","."),FIND("/",SUBSTITUTE(LEFT(TRIM(C123),FIND(" ",TRIM(C123)&amp;" ")-1),",","."))-1)/MID(SUBSTITUTE(LEFT(TRIM(C123),FIND(" ",TRIM(C123)&amp;" ")-1),",","."),FIND("/",SUBSTITUTE(LEFT(TRIM(C123),FIND(" ",TRIM(C123)&amp;" ")-1),",","."))+1,9))*12/52,IF(ISNUMBER(SEARCH("month",C123)),IFERROR(_xlfn.NUMBERVALUE(SUBSTITUTE(LEFT(TRIM(C123),FIND(" ",TRIM(C123)&amp;" ")-1),",","."),"."),LEFT(SUBSTITUTE(LEFT(TRIM(C123),FIND(" ",TRIM(C123)&amp;" ")-1),",","."),FIND("/",SUBSTITUTE(LEFT(TRIM(C123),FIND(" ",TRIM(C123)&amp;" ")-1),",","."))-1)/MID(SUBSTITUTE(LEFT(TRIM(C123),FIND(" ",TRIM(C123)&amp;" ")-1),",","."),FIND("/",SUBSTITUTE(LEFT(TRIM(C123),FIND(" ",TRIM(C123)&amp;" ")-1),",","."))+1,9)),IF(ISNUMBER(SEARCH("yea",C123)),IFERROR(_xlfn.NUMBERVALUE(SUBSTITUTE(LEFT(TRIM(C123),FIND(" ",TRIM(C123)&amp;" ")-1),",","."),"."),LEFT(SUBSTITUTE(LEFT(TRIM(C123),FIND(" ",TRIM(C123)&amp;" ")-1),",","."),FIND("/",SUBSTITUTE(LEFT(TRIM(C123),FIND(" ",TRIM(C123)&amp;" ")-1),",","."))-1)/MID(SUBSTITUTE(LEFT(TRIM(C123),FIND(" ",TRIM(C123)&amp;" ")-1),",","."),FIND("/",SUBSTITUTE(LEFT(TRIM(C123),FIND(" ",TRIM(C123)&amp;" ")-1),",","."))+1,9))*12,NA()))),0),36)*'Aturan &amp; Tarif'!$B$4,2)</f>
        <v>2044.08</v>
      </c>
      <c r="K123" s="32" t="n">
        <f aca="false">'Aturan &amp; Tarif'!$B$5</f>
        <v>2050</v>
      </c>
      <c r="L123" s="35" t="n">
        <f aca="false">I123+J123+K123</f>
        <v>21906.08</v>
      </c>
      <c r="M123" s="37" t="s">
        <v>318</v>
      </c>
    </row>
    <row r="124" customFormat="false" ht="25.5" hidden="false" customHeight="true" outlineLevel="0" collapsed="false">
      <c r="A124" s="29"/>
      <c r="B124" s="30" t="s">
        <v>350</v>
      </c>
      <c r="C124" s="31" t="s">
        <v>191</v>
      </c>
      <c r="D124" s="31" t="s">
        <v>108</v>
      </c>
      <c r="E124" s="32" t="n">
        <v>8906</v>
      </c>
      <c r="F124" s="32"/>
      <c r="G124" s="32"/>
      <c r="H124" s="33" t="n">
        <v>2</v>
      </c>
      <c r="I124" s="34" t="n">
        <f aca="false">E124*H124+N(F124)+N(G124)</f>
        <v>17812</v>
      </c>
      <c r="J124" s="32" t="n">
        <f aca="false">ROUND(IFERROR(ROUND(IF(OR(ISNUMBER(SEARCH("week",C124)),ISNUMBER(SEARCH("minggu",C124))),IFERROR(_xlfn.NUMBERVALUE(SUBSTITUTE(LEFT(TRIM(C124),FIND(" ",TRIM(C124)&amp;" ")-1),",","."),"."),LEFT(SUBSTITUTE(LEFT(TRIM(C124),FIND(" ",TRIM(C124)&amp;" ")-1),",","."),FIND("/",SUBSTITUTE(LEFT(TRIM(C124),FIND(" ",TRIM(C124)&amp;" ")-1),",","."))-1)/MID(SUBSTITUTE(LEFT(TRIM(C124),FIND(" ",TRIM(C124)&amp;" ")-1),",","."),FIND("/",SUBSTITUTE(LEFT(TRIM(C124),FIND(" ",TRIM(C124)&amp;" ")-1),",","."))+1,9))*12/52,IF(ISNUMBER(SEARCH("month",C124)),IFERROR(_xlfn.NUMBERVALUE(SUBSTITUTE(LEFT(TRIM(C124),FIND(" ",TRIM(C124)&amp;" ")-1),",","."),"."),LEFT(SUBSTITUTE(LEFT(TRIM(C124),FIND(" ",TRIM(C124)&amp;" ")-1),",","."),FIND("/",SUBSTITUTE(LEFT(TRIM(C124),FIND(" ",TRIM(C124)&amp;" ")-1),",","."))-1)/MID(SUBSTITUTE(LEFT(TRIM(C124),FIND(" ",TRIM(C124)&amp;" ")-1),",","."),FIND("/",SUBSTITUTE(LEFT(TRIM(C124),FIND(" ",TRIM(C124)&amp;" ")-1),",","."))+1,9)),IF(ISNUMBER(SEARCH("yea",C124)),IFERROR(_xlfn.NUMBERVALUE(SUBSTITUTE(LEFT(TRIM(C124),FIND(" ",TRIM(C124)&amp;" ")-1),",","."),"."),LEFT(SUBSTITUTE(LEFT(TRIM(C124),FIND(" ",TRIM(C124)&amp;" ")-1),",","."),FIND("/",SUBSTITUTE(LEFT(TRIM(C124),FIND(" ",TRIM(C124)&amp;" ")-1),",","."))-1)/MID(SUBSTITUTE(LEFT(TRIM(C124),FIND(" ",TRIM(C124)&amp;" ")-1),",","."),FIND("/",SUBSTITUTE(LEFT(TRIM(C124),FIND(" ",TRIM(C124)&amp;" ")-1),",","."))+1,9))*12,NA()))),0),48)*'Aturan &amp; Tarif'!$B$4,2)</f>
        <v>2725.44</v>
      </c>
      <c r="K124" s="32" t="n">
        <f aca="false">'Aturan &amp; Tarif'!$B$5</f>
        <v>2050</v>
      </c>
      <c r="L124" s="35" t="n">
        <f aca="false">I124+J124+K124</f>
        <v>22587.44</v>
      </c>
      <c r="M124" s="37" t="s">
        <v>318</v>
      </c>
    </row>
    <row r="125" customFormat="false" ht="25.5" hidden="false" customHeight="true" outlineLevel="0" collapsed="false">
      <c r="A125" s="29"/>
      <c r="B125" s="30" t="s">
        <v>351</v>
      </c>
      <c r="C125" s="31" t="s">
        <v>191</v>
      </c>
      <c r="D125" s="31" t="s">
        <v>108</v>
      </c>
      <c r="E125" s="32" t="n">
        <v>8906</v>
      </c>
      <c r="F125" s="32"/>
      <c r="G125" s="32"/>
      <c r="H125" s="33" t="n">
        <v>2</v>
      </c>
      <c r="I125" s="34" t="n">
        <f aca="false">E125*H125+N(F125)+N(G125)</f>
        <v>17812</v>
      </c>
      <c r="J125" s="32" t="n">
        <f aca="false">ROUND(IFERROR(ROUND(IF(OR(ISNUMBER(SEARCH("week",C125)),ISNUMBER(SEARCH("minggu",C125))),IFERROR(_xlfn.NUMBERVALUE(SUBSTITUTE(LEFT(TRIM(C125),FIND(" ",TRIM(C125)&amp;" ")-1),",","."),"."),LEFT(SUBSTITUTE(LEFT(TRIM(C125),FIND(" ",TRIM(C125)&amp;" ")-1),",","."),FIND("/",SUBSTITUTE(LEFT(TRIM(C125),FIND(" ",TRIM(C125)&amp;" ")-1),",","."))-1)/MID(SUBSTITUTE(LEFT(TRIM(C125),FIND(" ",TRIM(C125)&amp;" ")-1),",","."),FIND("/",SUBSTITUTE(LEFT(TRIM(C125),FIND(" ",TRIM(C125)&amp;" ")-1),",","."))+1,9))*12/52,IF(ISNUMBER(SEARCH("month",C125)),IFERROR(_xlfn.NUMBERVALUE(SUBSTITUTE(LEFT(TRIM(C125),FIND(" ",TRIM(C125)&amp;" ")-1),",","."),"."),LEFT(SUBSTITUTE(LEFT(TRIM(C125),FIND(" ",TRIM(C125)&amp;" ")-1),",","."),FIND("/",SUBSTITUTE(LEFT(TRIM(C125),FIND(" ",TRIM(C125)&amp;" ")-1),",","."))-1)/MID(SUBSTITUTE(LEFT(TRIM(C125),FIND(" ",TRIM(C125)&amp;" ")-1),",","."),FIND("/",SUBSTITUTE(LEFT(TRIM(C125),FIND(" ",TRIM(C125)&amp;" ")-1),",","."))+1,9)),IF(ISNUMBER(SEARCH("yea",C125)),IFERROR(_xlfn.NUMBERVALUE(SUBSTITUTE(LEFT(TRIM(C125),FIND(" ",TRIM(C125)&amp;" ")-1),",","."),"."),LEFT(SUBSTITUTE(LEFT(TRIM(C125),FIND(" ",TRIM(C125)&amp;" ")-1),",","."),FIND("/",SUBSTITUTE(LEFT(TRIM(C125),FIND(" ",TRIM(C125)&amp;" ")-1),",","."))-1)/MID(SUBSTITUTE(LEFT(TRIM(C125),FIND(" ",TRIM(C125)&amp;" ")-1),",","."),FIND("/",SUBSTITUTE(LEFT(TRIM(C125),FIND(" ",TRIM(C125)&amp;" ")-1),",","."))+1,9))*12,NA()))),0),48)*'Aturan &amp; Tarif'!$B$4,2)</f>
        <v>2725.44</v>
      </c>
      <c r="K125" s="32" t="n">
        <f aca="false">'Aturan &amp; Tarif'!$B$5</f>
        <v>2050</v>
      </c>
      <c r="L125" s="35" t="n">
        <f aca="false">I125+J125+K125</f>
        <v>22587.44</v>
      </c>
      <c r="M125" s="37" t="s">
        <v>318</v>
      </c>
    </row>
    <row r="126" customFormat="false" ht="25.5" hidden="false" customHeight="true" outlineLevel="0" collapsed="false">
      <c r="A126" s="29"/>
      <c r="B126" s="30" t="s">
        <v>352</v>
      </c>
      <c r="C126" s="31" t="s">
        <v>191</v>
      </c>
      <c r="D126" s="31" t="s">
        <v>108</v>
      </c>
      <c r="E126" s="32" t="n">
        <v>8906</v>
      </c>
      <c r="F126" s="32"/>
      <c r="G126" s="32"/>
      <c r="H126" s="33" t="n">
        <v>2</v>
      </c>
      <c r="I126" s="34" t="n">
        <f aca="false">E126*H126+N(F126)+N(G126)</f>
        <v>17812</v>
      </c>
      <c r="J126" s="32" t="n">
        <f aca="false">ROUND(IFERROR(ROUND(IF(OR(ISNUMBER(SEARCH("week",C126)),ISNUMBER(SEARCH("minggu",C126))),IFERROR(_xlfn.NUMBERVALUE(SUBSTITUTE(LEFT(TRIM(C126),FIND(" ",TRIM(C126)&amp;" ")-1),",","."),"."),LEFT(SUBSTITUTE(LEFT(TRIM(C126),FIND(" ",TRIM(C126)&amp;" ")-1),",","."),FIND("/",SUBSTITUTE(LEFT(TRIM(C126),FIND(" ",TRIM(C126)&amp;" ")-1),",","."))-1)/MID(SUBSTITUTE(LEFT(TRIM(C126),FIND(" ",TRIM(C126)&amp;" ")-1),",","."),FIND("/",SUBSTITUTE(LEFT(TRIM(C126),FIND(" ",TRIM(C126)&amp;" ")-1),",","."))+1,9))*12/52,IF(ISNUMBER(SEARCH("month",C126)),IFERROR(_xlfn.NUMBERVALUE(SUBSTITUTE(LEFT(TRIM(C126),FIND(" ",TRIM(C126)&amp;" ")-1),",","."),"."),LEFT(SUBSTITUTE(LEFT(TRIM(C126),FIND(" ",TRIM(C126)&amp;" ")-1),",","."),FIND("/",SUBSTITUTE(LEFT(TRIM(C126),FIND(" ",TRIM(C126)&amp;" ")-1),",","."))-1)/MID(SUBSTITUTE(LEFT(TRIM(C126),FIND(" ",TRIM(C126)&amp;" ")-1),",","."),FIND("/",SUBSTITUTE(LEFT(TRIM(C126),FIND(" ",TRIM(C126)&amp;" ")-1),",","."))+1,9)),IF(ISNUMBER(SEARCH("yea",C126)),IFERROR(_xlfn.NUMBERVALUE(SUBSTITUTE(LEFT(TRIM(C126),FIND(" ",TRIM(C126)&amp;" ")-1),",","."),"."),LEFT(SUBSTITUTE(LEFT(TRIM(C126),FIND(" ",TRIM(C126)&amp;" ")-1),",","."),FIND("/",SUBSTITUTE(LEFT(TRIM(C126),FIND(" ",TRIM(C126)&amp;" ")-1),",","."))-1)/MID(SUBSTITUTE(LEFT(TRIM(C126),FIND(" ",TRIM(C126)&amp;" ")-1),",","."),FIND("/",SUBSTITUTE(LEFT(TRIM(C126),FIND(" ",TRIM(C126)&amp;" ")-1),",","."))+1,9))*12,NA()))),0),48)*'Aturan &amp; Tarif'!$B$4,2)</f>
        <v>2725.44</v>
      </c>
      <c r="K126" s="32" t="n">
        <f aca="false">'Aturan &amp; Tarif'!$B$5</f>
        <v>2050</v>
      </c>
      <c r="L126" s="35" t="n">
        <f aca="false">I126+J126+K126</f>
        <v>22587.44</v>
      </c>
      <c r="M126" s="37" t="s">
        <v>318</v>
      </c>
    </row>
    <row r="127" customFormat="false" ht="25.5" hidden="false" customHeight="true" outlineLevel="0" collapsed="false">
      <c r="A127" s="29"/>
      <c r="B127" s="30" t="s">
        <v>353</v>
      </c>
      <c r="C127" s="31" t="s">
        <v>191</v>
      </c>
      <c r="D127" s="31" t="s">
        <v>108</v>
      </c>
      <c r="E127" s="32" t="n">
        <v>8906</v>
      </c>
      <c r="F127" s="32"/>
      <c r="G127" s="32"/>
      <c r="H127" s="33" t="n">
        <v>2</v>
      </c>
      <c r="I127" s="34" t="n">
        <f aca="false">E127*H127+N(F127)+N(G127)</f>
        <v>17812</v>
      </c>
      <c r="J127" s="32" t="n">
        <f aca="false">ROUND(IFERROR(ROUND(IF(OR(ISNUMBER(SEARCH("week",C127)),ISNUMBER(SEARCH("minggu",C127))),IFERROR(_xlfn.NUMBERVALUE(SUBSTITUTE(LEFT(TRIM(C127),FIND(" ",TRIM(C127)&amp;" ")-1),",","."),"."),LEFT(SUBSTITUTE(LEFT(TRIM(C127),FIND(" ",TRIM(C127)&amp;" ")-1),",","."),FIND("/",SUBSTITUTE(LEFT(TRIM(C127),FIND(" ",TRIM(C127)&amp;" ")-1),",","."))-1)/MID(SUBSTITUTE(LEFT(TRIM(C127),FIND(" ",TRIM(C127)&amp;" ")-1),",","."),FIND("/",SUBSTITUTE(LEFT(TRIM(C127),FIND(" ",TRIM(C127)&amp;" ")-1),",","."))+1,9))*12/52,IF(ISNUMBER(SEARCH("month",C127)),IFERROR(_xlfn.NUMBERVALUE(SUBSTITUTE(LEFT(TRIM(C127),FIND(" ",TRIM(C127)&amp;" ")-1),",","."),"."),LEFT(SUBSTITUTE(LEFT(TRIM(C127),FIND(" ",TRIM(C127)&amp;" ")-1),",","."),FIND("/",SUBSTITUTE(LEFT(TRIM(C127),FIND(" ",TRIM(C127)&amp;" ")-1),",","."))-1)/MID(SUBSTITUTE(LEFT(TRIM(C127),FIND(" ",TRIM(C127)&amp;" ")-1),",","."),FIND("/",SUBSTITUTE(LEFT(TRIM(C127),FIND(" ",TRIM(C127)&amp;" ")-1),",","."))+1,9)),IF(ISNUMBER(SEARCH("yea",C127)),IFERROR(_xlfn.NUMBERVALUE(SUBSTITUTE(LEFT(TRIM(C127),FIND(" ",TRIM(C127)&amp;" ")-1),",","."),"."),LEFT(SUBSTITUTE(LEFT(TRIM(C127),FIND(" ",TRIM(C127)&amp;" ")-1),",","."),FIND("/",SUBSTITUTE(LEFT(TRIM(C127),FIND(" ",TRIM(C127)&amp;" ")-1),",","."))-1)/MID(SUBSTITUTE(LEFT(TRIM(C127),FIND(" ",TRIM(C127)&amp;" ")-1),",","."),FIND("/",SUBSTITUTE(LEFT(TRIM(C127),FIND(" ",TRIM(C127)&amp;" ")-1),",","."))+1,9))*12,NA()))),0),48)*'Aturan &amp; Tarif'!$B$4,2)</f>
        <v>2725.44</v>
      </c>
      <c r="K127" s="32" t="n">
        <f aca="false">'Aturan &amp; Tarif'!$B$5</f>
        <v>2050</v>
      </c>
      <c r="L127" s="35" t="n">
        <f aca="false">I127+J127+K127</f>
        <v>22587.44</v>
      </c>
      <c r="M127" s="37" t="s">
        <v>318</v>
      </c>
    </row>
    <row r="128" customFormat="false" ht="14.25" hidden="false" customHeight="true" outlineLevel="0" collapsed="false">
      <c r="A128" s="29"/>
      <c r="B128" s="30" t="s">
        <v>354</v>
      </c>
      <c r="C128" s="31" t="s">
        <v>191</v>
      </c>
      <c r="D128" s="31" t="s">
        <v>108</v>
      </c>
      <c r="E128" s="32" t="n">
        <v>9706</v>
      </c>
      <c r="F128" s="32"/>
      <c r="G128" s="32"/>
      <c r="H128" s="33" t="n">
        <v>2</v>
      </c>
      <c r="I128" s="34" t="n">
        <f aca="false">E128*H128+N(F128)+N(G128)</f>
        <v>19412</v>
      </c>
      <c r="J128" s="32" t="n">
        <f aca="false">ROUND(IFERROR(ROUND(IF(OR(ISNUMBER(SEARCH("week",C128)),ISNUMBER(SEARCH("minggu",C128))),IFERROR(_xlfn.NUMBERVALUE(SUBSTITUTE(LEFT(TRIM(C128),FIND(" ",TRIM(C128)&amp;" ")-1),",","."),"."),LEFT(SUBSTITUTE(LEFT(TRIM(C128),FIND(" ",TRIM(C128)&amp;" ")-1),",","."),FIND("/",SUBSTITUTE(LEFT(TRIM(C128),FIND(" ",TRIM(C128)&amp;" ")-1),",","."))-1)/MID(SUBSTITUTE(LEFT(TRIM(C128),FIND(" ",TRIM(C128)&amp;" ")-1),",","."),FIND("/",SUBSTITUTE(LEFT(TRIM(C128),FIND(" ",TRIM(C128)&amp;" ")-1),",","."))+1,9))*12/52,IF(ISNUMBER(SEARCH("month",C128)),IFERROR(_xlfn.NUMBERVALUE(SUBSTITUTE(LEFT(TRIM(C128),FIND(" ",TRIM(C128)&amp;" ")-1),",","."),"."),LEFT(SUBSTITUTE(LEFT(TRIM(C128),FIND(" ",TRIM(C128)&amp;" ")-1),",","."),FIND("/",SUBSTITUTE(LEFT(TRIM(C128),FIND(" ",TRIM(C128)&amp;" ")-1),",","."))-1)/MID(SUBSTITUTE(LEFT(TRIM(C128),FIND(" ",TRIM(C128)&amp;" ")-1),",","."),FIND("/",SUBSTITUTE(LEFT(TRIM(C128),FIND(" ",TRIM(C128)&amp;" ")-1),",","."))+1,9)),IF(ISNUMBER(SEARCH("yea",C128)),IFERROR(_xlfn.NUMBERVALUE(SUBSTITUTE(LEFT(TRIM(C128),FIND(" ",TRIM(C128)&amp;" ")-1),",","."),"."),LEFT(SUBSTITUTE(LEFT(TRIM(C128),FIND(" ",TRIM(C128)&amp;" ")-1),",","."),FIND("/",SUBSTITUTE(LEFT(TRIM(C128),FIND(" ",TRIM(C128)&amp;" ")-1),",","."))-1)/MID(SUBSTITUTE(LEFT(TRIM(C128),FIND(" ",TRIM(C128)&amp;" ")-1),",","."),FIND("/",SUBSTITUTE(LEFT(TRIM(C128),FIND(" ",TRIM(C128)&amp;" ")-1),",","."))+1,9))*12,NA()))),0),48)*'Aturan &amp; Tarif'!$B$4,2)</f>
        <v>2725.44</v>
      </c>
      <c r="K128" s="32" t="n">
        <f aca="false">'Aturan &amp; Tarif'!$B$5</f>
        <v>2050</v>
      </c>
      <c r="L128" s="35" t="n">
        <f aca="false">I128+J128+K128</f>
        <v>24187.44</v>
      </c>
      <c r="M128" s="37" t="s">
        <v>318</v>
      </c>
    </row>
    <row r="129" customFormat="false" ht="25.5" hidden="false" customHeight="true" outlineLevel="0" collapsed="false">
      <c r="A129" s="29"/>
      <c r="B129" s="30" t="s">
        <v>355</v>
      </c>
      <c r="C129" s="31" t="s">
        <v>127</v>
      </c>
      <c r="D129" s="31" t="s">
        <v>108</v>
      </c>
      <c r="E129" s="32" t="n">
        <v>8906</v>
      </c>
      <c r="F129" s="32"/>
      <c r="G129" s="32"/>
      <c r="H129" s="33" t="n">
        <v>2</v>
      </c>
      <c r="I129" s="34" t="n">
        <f aca="false">E129*H129+N(F129)+N(G129)</f>
        <v>17812</v>
      </c>
      <c r="J129" s="32" t="n">
        <f aca="false">ROUND(IFERROR(ROUND(IF(OR(ISNUMBER(SEARCH("week",C129)),ISNUMBER(SEARCH("minggu",C129))),IFERROR(_xlfn.NUMBERVALUE(SUBSTITUTE(LEFT(TRIM(C129),FIND(" ",TRIM(C129)&amp;" ")-1),",","."),"."),LEFT(SUBSTITUTE(LEFT(TRIM(C129),FIND(" ",TRIM(C129)&amp;" ")-1),",","."),FIND("/",SUBSTITUTE(LEFT(TRIM(C129),FIND(" ",TRIM(C129)&amp;" ")-1),",","."))-1)/MID(SUBSTITUTE(LEFT(TRIM(C129),FIND(" ",TRIM(C129)&amp;" ")-1),",","."),FIND("/",SUBSTITUTE(LEFT(TRIM(C129),FIND(" ",TRIM(C129)&amp;" ")-1),",","."))+1,9))*12/52,IF(ISNUMBER(SEARCH("month",C129)),IFERROR(_xlfn.NUMBERVALUE(SUBSTITUTE(LEFT(TRIM(C129),FIND(" ",TRIM(C129)&amp;" ")-1),",","."),"."),LEFT(SUBSTITUTE(LEFT(TRIM(C129),FIND(" ",TRIM(C129)&amp;" ")-1),",","."),FIND("/",SUBSTITUTE(LEFT(TRIM(C129),FIND(" ",TRIM(C129)&amp;" ")-1),",","."))-1)/MID(SUBSTITUTE(LEFT(TRIM(C129),FIND(" ",TRIM(C129)&amp;" ")-1),",","."),FIND("/",SUBSTITUTE(LEFT(TRIM(C129),FIND(" ",TRIM(C129)&amp;" ")-1),",","."))+1,9)),IF(ISNUMBER(SEARCH("yea",C129)),IFERROR(_xlfn.NUMBERVALUE(SUBSTITUTE(LEFT(TRIM(C129),FIND(" ",TRIM(C129)&amp;" ")-1),",","."),"."),LEFT(SUBSTITUTE(LEFT(TRIM(C129),FIND(" ",TRIM(C129)&amp;" ")-1),",","."),FIND("/",SUBSTITUTE(LEFT(TRIM(C129),FIND(" ",TRIM(C129)&amp;" ")-1),",","."))-1)/MID(SUBSTITUTE(LEFT(TRIM(C129),FIND(" ",TRIM(C129)&amp;" ")-1),",","."),FIND("/",SUBSTITUTE(LEFT(TRIM(C129),FIND(" ",TRIM(C129)&amp;" ")-1),",","."))+1,9))*12,NA()))),0),36)*'Aturan &amp; Tarif'!$B$4,2)</f>
        <v>2044.08</v>
      </c>
      <c r="K129" s="32" t="n">
        <f aca="false">'Aturan &amp; Tarif'!$B$5</f>
        <v>2050</v>
      </c>
      <c r="L129" s="35" t="n">
        <f aca="false">I129+J129+K129</f>
        <v>21906.08</v>
      </c>
      <c r="M129" s="37" t="s">
        <v>318</v>
      </c>
    </row>
    <row r="130" customFormat="false" ht="14.25" hidden="false" customHeight="true" outlineLevel="0" collapsed="false">
      <c r="A130" s="29"/>
      <c r="B130" s="30" t="s">
        <v>356</v>
      </c>
      <c r="C130" s="31" t="s">
        <v>191</v>
      </c>
      <c r="D130" s="31" t="s">
        <v>108</v>
      </c>
      <c r="E130" s="32" t="n">
        <v>8906</v>
      </c>
      <c r="F130" s="32"/>
      <c r="G130" s="32"/>
      <c r="H130" s="33" t="n">
        <v>2</v>
      </c>
      <c r="I130" s="34" t="n">
        <f aca="false">E130*H130+N(F130)+N(G130)</f>
        <v>17812</v>
      </c>
      <c r="J130" s="32" t="n">
        <f aca="false">ROUND(IFERROR(ROUND(IF(OR(ISNUMBER(SEARCH("week",C130)),ISNUMBER(SEARCH("minggu",C130))),IFERROR(_xlfn.NUMBERVALUE(SUBSTITUTE(LEFT(TRIM(C130),FIND(" ",TRIM(C130)&amp;" ")-1),",","."),"."),LEFT(SUBSTITUTE(LEFT(TRIM(C130),FIND(" ",TRIM(C130)&amp;" ")-1),",","."),FIND("/",SUBSTITUTE(LEFT(TRIM(C130),FIND(" ",TRIM(C130)&amp;" ")-1),",","."))-1)/MID(SUBSTITUTE(LEFT(TRIM(C130),FIND(" ",TRIM(C130)&amp;" ")-1),",","."),FIND("/",SUBSTITUTE(LEFT(TRIM(C130),FIND(" ",TRIM(C130)&amp;" ")-1),",","."))+1,9))*12/52,IF(ISNUMBER(SEARCH("month",C130)),IFERROR(_xlfn.NUMBERVALUE(SUBSTITUTE(LEFT(TRIM(C130),FIND(" ",TRIM(C130)&amp;" ")-1),",","."),"."),LEFT(SUBSTITUTE(LEFT(TRIM(C130),FIND(" ",TRIM(C130)&amp;" ")-1),",","."),FIND("/",SUBSTITUTE(LEFT(TRIM(C130),FIND(" ",TRIM(C130)&amp;" ")-1),",","."))-1)/MID(SUBSTITUTE(LEFT(TRIM(C130),FIND(" ",TRIM(C130)&amp;" ")-1),",","."),FIND("/",SUBSTITUTE(LEFT(TRIM(C130),FIND(" ",TRIM(C130)&amp;" ")-1),",","."))+1,9)),IF(ISNUMBER(SEARCH("yea",C130)),IFERROR(_xlfn.NUMBERVALUE(SUBSTITUTE(LEFT(TRIM(C130),FIND(" ",TRIM(C130)&amp;" ")-1),",","."),"."),LEFT(SUBSTITUTE(LEFT(TRIM(C130),FIND(" ",TRIM(C130)&amp;" ")-1),",","."),FIND("/",SUBSTITUTE(LEFT(TRIM(C130),FIND(" ",TRIM(C130)&amp;" ")-1),",","."))-1)/MID(SUBSTITUTE(LEFT(TRIM(C130),FIND(" ",TRIM(C130)&amp;" ")-1),",","."),FIND("/",SUBSTITUTE(LEFT(TRIM(C130),FIND(" ",TRIM(C130)&amp;" ")-1),",","."))+1,9))*12,NA()))),0),48)*'Aturan &amp; Tarif'!$B$4,2)</f>
        <v>2725.44</v>
      </c>
      <c r="K130" s="32" t="n">
        <f aca="false">'Aturan &amp; Tarif'!$B$5</f>
        <v>2050</v>
      </c>
      <c r="L130" s="35" t="n">
        <f aca="false">I130+J130+K130</f>
        <v>22587.44</v>
      </c>
      <c r="M130" s="37" t="s">
        <v>318</v>
      </c>
    </row>
    <row r="131" customFormat="false" ht="25.5" hidden="false" customHeight="true" outlineLevel="0" collapsed="false">
      <c r="A131" s="29"/>
      <c r="B131" s="30" t="s">
        <v>357</v>
      </c>
      <c r="C131" s="31" t="s">
        <v>191</v>
      </c>
      <c r="D131" s="31" t="s">
        <v>108</v>
      </c>
      <c r="E131" s="32" t="n">
        <v>8906</v>
      </c>
      <c r="F131" s="32"/>
      <c r="G131" s="32"/>
      <c r="H131" s="33" t="n">
        <v>2</v>
      </c>
      <c r="I131" s="34" t="n">
        <f aca="false">E131*H131+N(F131)+N(G131)</f>
        <v>17812</v>
      </c>
      <c r="J131" s="32" t="n">
        <f aca="false">ROUND(IFERROR(ROUND(IF(OR(ISNUMBER(SEARCH("week",C131)),ISNUMBER(SEARCH("minggu",C131))),IFERROR(_xlfn.NUMBERVALUE(SUBSTITUTE(LEFT(TRIM(C131),FIND(" ",TRIM(C131)&amp;" ")-1),",","."),"."),LEFT(SUBSTITUTE(LEFT(TRIM(C131),FIND(" ",TRIM(C131)&amp;" ")-1),",","."),FIND("/",SUBSTITUTE(LEFT(TRIM(C131),FIND(" ",TRIM(C131)&amp;" ")-1),",","."))-1)/MID(SUBSTITUTE(LEFT(TRIM(C131),FIND(" ",TRIM(C131)&amp;" ")-1),",","."),FIND("/",SUBSTITUTE(LEFT(TRIM(C131),FIND(" ",TRIM(C131)&amp;" ")-1),",","."))+1,9))*12/52,IF(ISNUMBER(SEARCH("month",C131)),IFERROR(_xlfn.NUMBERVALUE(SUBSTITUTE(LEFT(TRIM(C131),FIND(" ",TRIM(C131)&amp;" ")-1),",","."),"."),LEFT(SUBSTITUTE(LEFT(TRIM(C131),FIND(" ",TRIM(C131)&amp;" ")-1),",","."),FIND("/",SUBSTITUTE(LEFT(TRIM(C131),FIND(" ",TRIM(C131)&amp;" ")-1),",","."))-1)/MID(SUBSTITUTE(LEFT(TRIM(C131),FIND(" ",TRIM(C131)&amp;" ")-1),",","."),FIND("/",SUBSTITUTE(LEFT(TRIM(C131),FIND(" ",TRIM(C131)&amp;" ")-1),",","."))+1,9)),IF(ISNUMBER(SEARCH("yea",C131)),IFERROR(_xlfn.NUMBERVALUE(SUBSTITUTE(LEFT(TRIM(C131),FIND(" ",TRIM(C131)&amp;" ")-1),",","."),"."),LEFT(SUBSTITUTE(LEFT(TRIM(C131),FIND(" ",TRIM(C131)&amp;" ")-1),",","."),FIND("/",SUBSTITUTE(LEFT(TRIM(C131),FIND(" ",TRIM(C131)&amp;" ")-1),",","."))-1)/MID(SUBSTITUTE(LEFT(TRIM(C131),FIND(" ",TRIM(C131)&amp;" ")-1),",","."),FIND("/",SUBSTITUTE(LEFT(TRIM(C131),FIND(" ",TRIM(C131)&amp;" ")-1),",","."))+1,9))*12,NA()))),0),48)*'Aturan &amp; Tarif'!$B$4,2)</f>
        <v>2725.44</v>
      </c>
      <c r="K131" s="32" t="n">
        <f aca="false">'Aturan &amp; Tarif'!$B$5</f>
        <v>2050</v>
      </c>
      <c r="L131" s="35" t="n">
        <f aca="false">I131+J131+K131</f>
        <v>22587.44</v>
      </c>
      <c r="M131" s="37" t="s">
        <v>318</v>
      </c>
    </row>
    <row r="132" customFormat="false" ht="14.25" hidden="false" customHeight="true" outlineLevel="0" collapsed="false">
      <c r="A132" s="29"/>
      <c r="B132" s="30" t="s">
        <v>358</v>
      </c>
      <c r="C132" s="31" t="s">
        <v>191</v>
      </c>
      <c r="D132" s="31" t="s">
        <v>108</v>
      </c>
      <c r="E132" s="32" t="n">
        <v>8906</v>
      </c>
      <c r="F132" s="32"/>
      <c r="G132" s="32"/>
      <c r="H132" s="33" t="n">
        <v>2</v>
      </c>
      <c r="I132" s="34" t="n">
        <f aca="false">E132*H132+N(F132)+N(G132)</f>
        <v>17812</v>
      </c>
      <c r="J132" s="32" t="n">
        <f aca="false">ROUND(IFERROR(ROUND(IF(OR(ISNUMBER(SEARCH("week",C132)),ISNUMBER(SEARCH("minggu",C132))),IFERROR(_xlfn.NUMBERVALUE(SUBSTITUTE(LEFT(TRIM(C132),FIND(" ",TRIM(C132)&amp;" ")-1),",","."),"."),LEFT(SUBSTITUTE(LEFT(TRIM(C132),FIND(" ",TRIM(C132)&amp;" ")-1),",","."),FIND("/",SUBSTITUTE(LEFT(TRIM(C132),FIND(" ",TRIM(C132)&amp;" ")-1),",","."))-1)/MID(SUBSTITUTE(LEFT(TRIM(C132),FIND(" ",TRIM(C132)&amp;" ")-1),",","."),FIND("/",SUBSTITUTE(LEFT(TRIM(C132),FIND(" ",TRIM(C132)&amp;" ")-1),",","."))+1,9))*12/52,IF(ISNUMBER(SEARCH("month",C132)),IFERROR(_xlfn.NUMBERVALUE(SUBSTITUTE(LEFT(TRIM(C132),FIND(" ",TRIM(C132)&amp;" ")-1),",","."),"."),LEFT(SUBSTITUTE(LEFT(TRIM(C132),FIND(" ",TRIM(C132)&amp;" ")-1),",","."),FIND("/",SUBSTITUTE(LEFT(TRIM(C132),FIND(" ",TRIM(C132)&amp;" ")-1),",","."))-1)/MID(SUBSTITUTE(LEFT(TRIM(C132),FIND(" ",TRIM(C132)&amp;" ")-1),",","."),FIND("/",SUBSTITUTE(LEFT(TRIM(C132),FIND(" ",TRIM(C132)&amp;" ")-1),",","."))+1,9)),IF(ISNUMBER(SEARCH("yea",C132)),IFERROR(_xlfn.NUMBERVALUE(SUBSTITUTE(LEFT(TRIM(C132),FIND(" ",TRIM(C132)&amp;" ")-1),",","."),"."),LEFT(SUBSTITUTE(LEFT(TRIM(C132),FIND(" ",TRIM(C132)&amp;" ")-1),",","."),FIND("/",SUBSTITUTE(LEFT(TRIM(C132),FIND(" ",TRIM(C132)&amp;" ")-1),",","."))-1)/MID(SUBSTITUTE(LEFT(TRIM(C132),FIND(" ",TRIM(C132)&amp;" ")-1),",","."),FIND("/",SUBSTITUTE(LEFT(TRIM(C132),FIND(" ",TRIM(C132)&amp;" ")-1),",","."))+1,9))*12,NA()))),0),48)*'Aturan &amp; Tarif'!$B$4,2)</f>
        <v>2725.44</v>
      </c>
      <c r="K132" s="32" t="n">
        <f aca="false">'Aturan &amp; Tarif'!$B$5</f>
        <v>2050</v>
      </c>
      <c r="L132" s="35" t="n">
        <f aca="false">I132+J132+K132</f>
        <v>22587.44</v>
      </c>
      <c r="M132" s="37" t="s">
        <v>318</v>
      </c>
    </row>
    <row r="133" customFormat="false" ht="25.5" hidden="false" customHeight="true" outlineLevel="0" collapsed="false">
      <c r="A133" s="29"/>
      <c r="B133" s="30" t="s">
        <v>237</v>
      </c>
      <c r="C133" s="31" t="s">
        <v>191</v>
      </c>
      <c r="D133" s="31" t="s">
        <v>108</v>
      </c>
      <c r="E133" s="32" t="n">
        <v>8906</v>
      </c>
      <c r="F133" s="32"/>
      <c r="G133" s="32"/>
      <c r="H133" s="33" t="n">
        <v>2</v>
      </c>
      <c r="I133" s="34" t="n">
        <f aca="false">E133*H133+N(F133)+N(G133)</f>
        <v>17812</v>
      </c>
      <c r="J133" s="32" t="n">
        <f aca="false">ROUND(IFERROR(ROUND(IF(OR(ISNUMBER(SEARCH("week",C133)),ISNUMBER(SEARCH("minggu",C133))),IFERROR(_xlfn.NUMBERVALUE(SUBSTITUTE(LEFT(TRIM(C133),FIND(" ",TRIM(C133)&amp;" ")-1),",","."),"."),LEFT(SUBSTITUTE(LEFT(TRIM(C133),FIND(" ",TRIM(C133)&amp;" ")-1),",","."),FIND("/",SUBSTITUTE(LEFT(TRIM(C133),FIND(" ",TRIM(C133)&amp;" ")-1),",","."))-1)/MID(SUBSTITUTE(LEFT(TRIM(C133),FIND(" ",TRIM(C133)&amp;" ")-1),",","."),FIND("/",SUBSTITUTE(LEFT(TRIM(C133),FIND(" ",TRIM(C133)&amp;" ")-1),",","."))+1,9))*12/52,IF(ISNUMBER(SEARCH("month",C133)),IFERROR(_xlfn.NUMBERVALUE(SUBSTITUTE(LEFT(TRIM(C133),FIND(" ",TRIM(C133)&amp;" ")-1),",","."),"."),LEFT(SUBSTITUTE(LEFT(TRIM(C133),FIND(" ",TRIM(C133)&amp;" ")-1),",","."),FIND("/",SUBSTITUTE(LEFT(TRIM(C133),FIND(" ",TRIM(C133)&amp;" ")-1),",","."))-1)/MID(SUBSTITUTE(LEFT(TRIM(C133),FIND(" ",TRIM(C133)&amp;" ")-1),",","."),FIND("/",SUBSTITUTE(LEFT(TRIM(C133),FIND(" ",TRIM(C133)&amp;" ")-1),",","."))+1,9)),IF(ISNUMBER(SEARCH("yea",C133)),IFERROR(_xlfn.NUMBERVALUE(SUBSTITUTE(LEFT(TRIM(C133),FIND(" ",TRIM(C133)&amp;" ")-1),",","."),"."),LEFT(SUBSTITUTE(LEFT(TRIM(C133),FIND(" ",TRIM(C133)&amp;" ")-1),",","."),FIND("/",SUBSTITUTE(LEFT(TRIM(C133),FIND(" ",TRIM(C133)&amp;" ")-1),",","."))-1)/MID(SUBSTITUTE(LEFT(TRIM(C133),FIND(" ",TRIM(C133)&amp;" ")-1),",","."),FIND("/",SUBSTITUTE(LEFT(TRIM(C133),FIND(" ",TRIM(C133)&amp;" ")-1),",","."))+1,9))*12,NA()))),0),48)*'Aturan &amp; Tarif'!$B$4,2)</f>
        <v>2725.44</v>
      </c>
      <c r="K133" s="32" t="n">
        <f aca="false">'Aturan &amp; Tarif'!$B$5</f>
        <v>2050</v>
      </c>
      <c r="L133" s="35" t="n">
        <f aca="false">I133+J133+K133</f>
        <v>22587.44</v>
      </c>
      <c r="M133" s="37" t="s">
        <v>318</v>
      </c>
    </row>
    <row r="134" customFormat="false" ht="14.25" hidden="false" customHeight="true" outlineLevel="0" collapsed="false">
      <c r="A134" s="29"/>
      <c r="B134" s="30" t="s">
        <v>359</v>
      </c>
      <c r="C134" s="31" t="s">
        <v>191</v>
      </c>
      <c r="D134" s="31" t="s">
        <v>108</v>
      </c>
      <c r="E134" s="32" t="n">
        <v>8906</v>
      </c>
      <c r="F134" s="32"/>
      <c r="G134" s="32"/>
      <c r="H134" s="33" t="n">
        <v>2</v>
      </c>
      <c r="I134" s="34" t="n">
        <f aca="false">E134*H134+N(F134)+N(G134)</f>
        <v>17812</v>
      </c>
      <c r="J134" s="32" t="n">
        <f aca="false">ROUND(IFERROR(ROUND(IF(OR(ISNUMBER(SEARCH("week",C134)),ISNUMBER(SEARCH("minggu",C134))),IFERROR(_xlfn.NUMBERVALUE(SUBSTITUTE(LEFT(TRIM(C134),FIND(" ",TRIM(C134)&amp;" ")-1),",","."),"."),LEFT(SUBSTITUTE(LEFT(TRIM(C134),FIND(" ",TRIM(C134)&amp;" ")-1),",","."),FIND("/",SUBSTITUTE(LEFT(TRIM(C134),FIND(" ",TRIM(C134)&amp;" ")-1),",","."))-1)/MID(SUBSTITUTE(LEFT(TRIM(C134),FIND(" ",TRIM(C134)&amp;" ")-1),",","."),FIND("/",SUBSTITUTE(LEFT(TRIM(C134),FIND(" ",TRIM(C134)&amp;" ")-1),",","."))+1,9))*12/52,IF(ISNUMBER(SEARCH("month",C134)),IFERROR(_xlfn.NUMBERVALUE(SUBSTITUTE(LEFT(TRIM(C134),FIND(" ",TRIM(C134)&amp;" ")-1),",","."),"."),LEFT(SUBSTITUTE(LEFT(TRIM(C134),FIND(" ",TRIM(C134)&amp;" ")-1),",","."),FIND("/",SUBSTITUTE(LEFT(TRIM(C134),FIND(" ",TRIM(C134)&amp;" ")-1),",","."))-1)/MID(SUBSTITUTE(LEFT(TRIM(C134),FIND(" ",TRIM(C134)&amp;" ")-1),",","."),FIND("/",SUBSTITUTE(LEFT(TRIM(C134),FIND(" ",TRIM(C134)&amp;" ")-1),",","."))+1,9)),IF(ISNUMBER(SEARCH("yea",C134)),IFERROR(_xlfn.NUMBERVALUE(SUBSTITUTE(LEFT(TRIM(C134),FIND(" ",TRIM(C134)&amp;" ")-1),",","."),"."),LEFT(SUBSTITUTE(LEFT(TRIM(C134),FIND(" ",TRIM(C134)&amp;" ")-1),",","."),FIND("/",SUBSTITUTE(LEFT(TRIM(C134),FIND(" ",TRIM(C134)&amp;" ")-1),",","."))-1)/MID(SUBSTITUTE(LEFT(TRIM(C134),FIND(" ",TRIM(C134)&amp;" ")-1),",","."),FIND("/",SUBSTITUTE(LEFT(TRIM(C134),FIND(" ",TRIM(C134)&amp;" ")-1),",","."))+1,9))*12,NA()))),0),48)*'Aturan &amp; Tarif'!$B$4,2)</f>
        <v>2725.44</v>
      </c>
      <c r="K134" s="32" t="n">
        <f aca="false">'Aturan &amp; Tarif'!$B$5</f>
        <v>2050</v>
      </c>
      <c r="L134" s="35" t="n">
        <f aca="false">I134+J134+K134</f>
        <v>22587.44</v>
      </c>
      <c r="M134" s="37" t="s">
        <v>318</v>
      </c>
    </row>
    <row r="135" customFormat="false" ht="25.5" hidden="false" customHeight="true" outlineLevel="0" collapsed="false">
      <c r="A135" s="29"/>
      <c r="B135" s="30" t="s">
        <v>360</v>
      </c>
      <c r="C135" s="31" t="s">
        <v>191</v>
      </c>
      <c r="D135" s="31" t="s">
        <v>108</v>
      </c>
      <c r="E135" s="32" t="n">
        <v>8906</v>
      </c>
      <c r="F135" s="32"/>
      <c r="G135" s="32"/>
      <c r="H135" s="33" t="n">
        <v>2</v>
      </c>
      <c r="I135" s="34" t="n">
        <f aca="false">E135*H135+N(F135)+N(G135)</f>
        <v>17812</v>
      </c>
      <c r="J135" s="32" t="n">
        <f aca="false">ROUND(IFERROR(ROUND(IF(OR(ISNUMBER(SEARCH("week",C135)),ISNUMBER(SEARCH("minggu",C135))),IFERROR(_xlfn.NUMBERVALUE(SUBSTITUTE(LEFT(TRIM(C135),FIND(" ",TRIM(C135)&amp;" ")-1),",","."),"."),LEFT(SUBSTITUTE(LEFT(TRIM(C135),FIND(" ",TRIM(C135)&amp;" ")-1),",","."),FIND("/",SUBSTITUTE(LEFT(TRIM(C135),FIND(" ",TRIM(C135)&amp;" ")-1),",","."))-1)/MID(SUBSTITUTE(LEFT(TRIM(C135),FIND(" ",TRIM(C135)&amp;" ")-1),",","."),FIND("/",SUBSTITUTE(LEFT(TRIM(C135),FIND(" ",TRIM(C135)&amp;" ")-1),",","."))+1,9))*12/52,IF(ISNUMBER(SEARCH("month",C135)),IFERROR(_xlfn.NUMBERVALUE(SUBSTITUTE(LEFT(TRIM(C135),FIND(" ",TRIM(C135)&amp;" ")-1),",","."),"."),LEFT(SUBSTITUTE(LEFT(TRIM(C135),FIND(" ",TRIM(C135)&amp;" ")-1),",","."),FIND("/",SUBSTITUTE(LEFT(TRIM(C135),FIND(" ",TRIM(C135)&amp;" ")-1),",","."))-1)/MID(SUBSTITUTE(LEFT(TRIM(C135),FIND(" ",TRIM(C135)&amp;" ")-1),",","."),FIND("/",SUBSTITUTE(LEFT(TRIM(C135),FIND(" ",TRIM(C135)&amp;" ")-1),",","."))+1,9)),IF(ISNUMBER(SEARCH("yea",C135)),IFERROR(_xlfn.NUMBERVALUE(SUBSTITUTE(LEFT(TRIM(C135),FIND(" ",TRIM(C135)&amp;" ")-1),",","."),"."),LEFT(SUBSTITUTE(LEFT(TRIM(C135),FIND(" ",TRIM(C135)&amp;" ")-1),",","."),FIND("/",SUBSTITUTE(LEFT(TRIM(C135),FIND(" ",TRIM(C135)&amp;" ")-1),",","."))-1)/MID(SUBSTITUTE(LEFT(TRIM(C135),FIND(" ",TRIM(C135)&amp;" ")-1),",","."),FIND("/",SUBSTITUTE(LEFT(TRIM(C135),FIND(" ",TRIM(C135)&amp;" ")-1),",","."))+1,9))*12,NA()))),0),48)*'Aturan &amp; Tarif'!$B$4,2)</f>
        <v>2725.44</v>
      </c>
      <c r="K135" s="32" t="n">
        <f aca="false">'Aturan &amp; Tarif'!$B$5</f>
        <v>2050</v>
      </c>
      <c r="L135" s="35" t="n">
        <f aca="false">I135+J135+K135</f>
        <v>22587.44</v>
      </c>
      <c r="M135" s="37" t="s">
        <v>318</v>
      </c>
    </row>
    <row r="136" customFormat="false" ht="37.5" hidden="false" customHeight="true" outlineLevel="0" collapsed="false">
      <c r="A136" s="29"/>
      <c r="B136" s="30" t="s">
        <v>361</v>
      </c>
      <c r="C136" s="31" t="s">
        <v>191</v>
      </c>
      <c r="D136" s="31" t="s">
        <v>108</v>
      </c>
      <c r="E136" s="32" t="n">
        <v>8906</v>
      </c>
      <c r="F136" s="32"/>
      <c r="G136" s="32"/>
      <c r="H136" s="33" t="n">
        <v>2</v>
      </c>
      <c r="I136" s="34" t="n">
        <f aca="false">E136*H136+N(F136)+N(G136)</f>
        <v>17812</v>
      </c>
      <c r="J136" s="32" t="n">
        <f aca="false">ROUND(IFERROR(ROUND(IF(OR(ISNUMBER(SEARCH("week",C136)),ISNUMBER(SEARCH("minggu",C136))),IFERROR(_xlfn.NUMBERVALUE(SUBSTITUTE(LEFT(TRIM(C136),FIND(" ",TRIM(C136)&amp;" ")-1),",","."),"."),LEFT(SUBSTITUTE(LEFT(TRIM(C136),FIND(" ",TRIM(C136)&amp;" ")-1),",","."),FIND("/",SUBSTITUTE(LEFT(TRIM(C136),FIND(" ",TRIM(C136)&amp;" ")-1),",","."))-1)/MID(SUBSTITUTE(LEFT(TRIM(C136),FIND(" ",TRIM(C136)&amp;" ")-1),",","."),FIND("/",SUBSTITUTE(LEFT(TRIM(C136),FIND(" ",TRIM(C136)&amp;" ")-1),",","."))+1,9))*12/52,IF(ISNUMBER(SEARCH("month",C136)),IFERROR(_xlfn.NUMBERVALUE(SUBSTITUTE(LEFT(TRIM(C136),FIND(" ",TRIM(C136)&amp;" ")-1),",","."),"."),LEFT(SUBSTITUTE(LEFT(TRIM(C136),FIND(" ",TRIM(C136)&amp;" ")-1),",","."),FIND("/",SUBSTITUTE(LEFT(TRIM(C136),FIND(" ",TRIM(C136)&amp;" ")-1),",","."))-1)/MID(SUBSTITUTE(LEFT(TRIM(C136),FIND(" ",TRIM(C136)&amp;" ")-1),",","."),FIND("/",SUBSTITUTE(LEFT(TRIM(C136),FIND(" ",TRIM(C136)&amp;" ")-1),",","."))+1,9)),IF(ISNUMBER(SEARCH("yea",C136)),IFERROR(_xlfn.NUMBERVALUE(SUBSTITUTE(LEFT(TRIM(C136),FIND(" ",TRIM(C136)&amp;" ")-1),",","."),"."),LEFT(SUBSTITUTE(LEFT(TRIM(C136),FIND(" ",TRIM(C136)&amp;" ")-1),",","."),FIND("/",SUBSTITUTE(LEFT(TRIM(C136),FIND(" ",TRIM(C136)&amp;" ")-1),",","."))-1)/MID(SUBSTITUTE(LEFT(TRIM(C136),FIND(" ",TRIM(C136)&amp;" ")-1),",","."),FIND("/",SUBSTITUTE(LEFT(TRIM(C136),FIND(" ",TRIM(C136)&amp;" ")-1),",","."))+1,9))*12,NA()))),0),48)*'Aturan &amp; Tarif'!$B$4,2)</f>
        <v>2725.44</v>
      </c>
      <c r="K136" s="32" t="n">
        <f aca="false">'Aturan &amp; Tarif'!$B$5</f>
        <v>2050</v>
      </c>
      <c r="L136" s="35" t="n">
        <f aca="false">I136+J136+K136</f>
        <v>22587.44</v>
      </c>
      <c r="M136" s="37" t="s">
        <v>318</v>
      </c>
    </row>
    <row r="137" customFormat="false" ht="25.5" hidden="false" customHeight="true" outlineLevel="0" collapsed="false">
      <c r="A137" s="29"/>
      <c r="B137" s="30" t="s">
        <v>362</v>
      </c>
      <c r="C137" s="31" t="s">
        <v>191</v>
      </c>
      <c r="D137" s="31" t="s">
        <v>108</v>
      </c>
      <c r="E137" s="32" t="n">
        <v>8906</v>
      </c>
      <c r="F137" s="32"/>
      <c r="G137" s="32"/>
      <c r="H137" s="33" t="n">
        <v>2</v>
      </c>
      <c r="I137" s="34" t="n">
        <f aca="false">E137*H137+N(F137)+N(G137)</f>
        <v>17812</v>
      </c>
      <c r="J137" s="32" t="n">
        <f aca="false">ROUND(IFERROR(ROUND(IF(OR(ISNUMBER(SEARCH("week",C137)),ISNUMBER(SEARCH("minggu",C137))),IFERROR(_xlfn.NUMBERVALUE(SUBSTITUTE(LEFT(TRIM(C137),FIND(" ",TRIM(C137)&amp;" ")-1),",","."),"."),LEFT(SUBSTITUTE(LEFT(TRIM(C137),FIND(" ",TRIM(C137)&amp;" ")-1),",","."),FIND("/",SUBSTITUTE(LEFT(TRIM(C137),FIND(" ",TRIM(C137)&amp;" ")-1),",","."))-1)/MID(SUBSTITUTE(LEFT(TRIM(C137),FIND(" ",TRIM(C137)&amp;" ")-1),",","."),FIND("/",SUBSTITUTE(LEFT(TRIM(C137),FIND(" ",TRIM(C137)&amp;" ")-1),",","."))+1,9))*12/52,IF(ISNUMBER(SEARCH("month",C137)),IFERROR(_xlfn.NUMBERVALUE(SUBSTITUTE(LEFT(TRIM(C137),FIND(" ",TRIM(C137)&amp;" ")-1),",","."),"."),LEFT(SUBSTITUTE(LEFT(TRIM(C137),FIND(" ",TRIM(C137)&amp;" ")-1),",","."),FIND("/",SUBSTITUTE(LEFT(TRIM(C137),FIND(" ",TRIM(C137)&amp;" ")-1),",","."))-1)/MID(SUBSTITUTE(LEFT(TRIM(C137),FIND(" ",TRIM(C137)&amp;" ")-1),",","."),FIND("/",SUBSTITUTE(LEFT(TRIM(C137),FIND(" ",TRIM(C137)&amp;" ")-1),",","."))+1,9)),IF(ISNUMBER(SEARCH("yea",C137)),IFERROR(_xlfn.NUMBERVALUE(SUBSTITUTE(LEFT(TRIM(C137),FIND(" ",TRIM(C137)&amp;" ")-1),",","."),"."),LEFT(SUBSTITUTE(LEFT(TRIM(C137),FIND(" ",TRIM(C137)&amp;" ")-1),",","."),FIND("/",SUBSTITUTE(LEFT(TRIM(C137),FIND(" ",TRIM(C137)&amp;" ")-1),",","."))-1)/MID(SUBSTITUTE(LEFT(TRIM(C137),FIND(" ",TRIM(C137)&amp;" ")-1),",","."),FIND("/",SUBSTITUTE(LEFT(TRIM(C137),FIND(" ",TRIM(C137)&amp;" ")-1),",","."))+1,9))*12,NA()))),0),48)*'Aturan &amp; Tarif'!$B$4,2)</f>
        <v>2725.44</v>
      </c>
      <c r="K137" s="32" t="n">
        <f aca="false">'Aturan &amp; Tarif'!$B$5</f>
        <v>2050</v>
      </c>
      <c r="L137" s="35" t="n">
        <f aca="false">I137+J137+K137</f>
        <v>22587.44</v>
      </c>
      <c r="M137" s="37" t="s">
        <v>318</v>
      </c>
    </row>
    <row r="138" customFormat="false" ht="25.5" hidden="false" customHeight="true" outlineLevel="0" collapsed="false">
      <c r="A138" s="29"/>
      <c r="B138" s="30" t="s">
        <v>363</v>
      </c>
      <c r="C138" s="31" t="s">
        <v>191</v>
      </c>
      <c r="D138" s="31" t="s">
        <v>108</v>
      </c>
      <c r="E138" s="32" t="n">
        <v>8906</v>
      </c>
      <c r="F138" s="32"/>
      <c r="G138" s="32"/>
      <c r="H138" s="33" t="n">
        <v>2</v>
      </c>
      <c r="I138" s="34" t="n">
        <f aca="false">E138*H138+N(F138)+N(G138)</f>
        <v>17812</v>
      </c>
      <c r="J138" s="32" t="n">
        <f aca="false">ROUND(IFERROR(ROUND(IF(OR(ISNUMBER(SEARCH("week",C138)),ISNUMBER(SEARCH("minggu",C138))),IFERROR(_xlfn.NUMBERVALUE(SUBSTITUTE(LEFT(TRIM(C138),FIND(" ",TRIM(C138)&amp;" ")-1),",","."),"."),LEFT(SUBSTITUTE(LEFT(TRIM(C138),FIND(" ",TRIM(C138)&amp;" ")-1),",","."),FIND("/",SUBSTITUTE(LEFT(TRIM(C138),FIND(" ",TRIM(C138)&amp;" ")-1),",","."))-1)/MID(SUBSTITUTE(LEFT(TRIM(C138),FIND(" ",TRIM(C138)&amp;" ")-1),",","."),FIND("/",SUBSTITUTE(LEFT(TRIM(C138),FIND(" ",TRIM(C138)&amp;" ")-1),",","."))+1,9))*12/52,IF(ISNUMBER(SEARCH("month",C138)),IFERROR(_xlfn.NUMBERVALUE(SUBSTITUTE(LEFT(TRIM(C138),FIND(" ",TRIM(C138)&amp;" ")-1),",","."),"."),LEFT(SUBSTITUTE(LEFT(TRIM(C138),FIND(" ",TRIM(C138)&amp;" ")-1),",","."),FIND("/",SUBSTITUTE(LEFT(TRIM(C138),FIND(" ",TRIM(C138)&amp;" ")-1),",","."))-1)/MID(SUBSTITUTE(LEFT(TRIM(C138),FIND(" ",TRIM(C138)&amp;" ")-1),",","."),FIND("/",SUBSTITUTE(LEFT(TRIM(C138),FIND(" ",TRIM(C138)&amp;" ")-1),",","."))+1,9)),IF(ISNUMBER(SEARCH("yea",C138)),IFERROR(_xlfn.NUMBERVALUE(SUBSTITUTE(LEFT(TRIM(C138),FIND(" ",TRIM(C138)&amp;" ")-1),",","."),"."),LEFT(SUBSTITUTE(LEFT(TRIM(C138),FIND(" ",TRIM(C138)&amp;" ")-1),",","."),FIND("/",SUBSTITUTE(LEFT(TRIM(C138),FIND(" ",TRIM(C138)&amp;" ")-1),",","."))-1)/MID(SUBSTITUTE(LEFT(TRIM(C138),FIND(" ",TRIM(C138)&amp;" ")-1),",","."),FIND("/",SUBSTITUTE(LEFT(TRIM(C138),FIND(" ",TRIM(C138)&amp;" ")-1),",","."))+1,9))*12,NA()))),0),48)*'Aturan &amp; Tarif'!$B$4,2)</f>
        <v>2725.44</v>
      </c>
      <c r="K138" s="32" t="n">
        <f aca="false">'Aturan &amp; Tarif'!$B$5</f>
        <v>2050</v>
      </c>
      <c r="L138" s="35" t="n">
        <f aca="false">I138+J138+K138</f>
        <v>22587.44</v>
      </c>
      <c r="M138" s="37" t="s">
        <v>318</v>
      </c>
    </row>
    <row r="139" customFormat="false" ht="25.5" hidden="false" customHeight="true" outlineLevel="0" collapsed="false">
      <c r="A139" s="29"/>
      <c r="B139" s="30" t="s">
        <v>364</v>
      </c>
      <c r="C139" s="31" t="s">
        <v>191</v>
      </c>
      <c r="D139" s="31" t="s">
        <v>108</v>
      </c>
      <c r="E139" s="32" t="n">
        <v>8906</v>
      </c>
      <c r="F139" s="32"/>
      <c r="G139" s="32"/>
      <c r="H139" s="33" t="n">
        <v>2</v>
      </c>
      <c r="I139" s="34" t="n">
        <f aca="false">E139*H139+N(F139)+N(G139)</f>
        <v>17812</v>
      </c>
      <c r="J139" s="32" t="n">
        <f aca="false">ROUND(IFERROR(ROUND(IF(OR(ISNUMBER(SEARCH("week",C139)),ISNUMBER(SEARCH("minggu",C139))),IFERROR(_xlfn.NUMBERVALUE(SUBSTITUTE(LEFT(TRIM(C139),FIND(" ",TRIM(C139)&amp;" ")-1),",","."),"."),LEFT(SUBSTITUTE(LEFT(TRIM(C139),FIND(" ",TRIM(C139)&amp;" ")-1),",","."),FIND("/",SUBSTITUTE(LEFT(TRIM(C139),FIND(" ",TRIM(C139)&amp;" ")-1),",","."))-1)/MID(SUBSTITUTE(LEFT(TRIM(C139),FIND(" ",TRIM(C139)&amp;" ")-1),",","."),FIND("/",SUBSTITUTE(LEFT(TRIM(C139),FIND(" ",TRIM(C139)&amp;" ")-1),",","."))+1,9))*12/52,IF(ISNUMBER(SEARCH("month",C139)),IFERROR(_xlfn.NUMBERVALUE(SUBSTITUTE(LEFT(TRIM(C139),FIND(" ",TRIM(C139)&amp;" ")-1),",","."),"."),LEFT(SUBSTITUTE(LEFT(TRIM(C139),FIND(" ",TRIM(C139)&amp;" ")-1),",","."),FIND("/",SUBSTITUTE(LEFT(TRIM(C139),FIND(" ",TRIM(C139)&amp;" ")-1),",","."))-1)/MID(SUBSTITUTE(LEFT(TRIM(C139),FIND(" ",TRIM(C139)&amp;" ")-1),",","."),FIND("/",SUBSTITUTE(LEFT(TRIM(C139),FIND(" ",TRIM(C139)&amp;" ")-1),",","."))+1,9)),IF(ISNUMBER(SEARCH("yea",C139)),IFERROR(_xlfn.NUMBERVALUE(SUBSTITUTE(LEFT(TRIM(C139),FIND(" ",TRIM(C139)&amp;" ")-1),",","."),"."),LEFT(SUBSTITUTE(LEFT(TRIM(C139),FIND(" ",TRIM(C139)&amp;" ")-1),",","."),FIND("/",SUBSTITUTE(LEFT(TRIM(C139),FIND(" ",TRIM(C139)&amp;" ")-1),",","."))-1)/MID(SUBSTITUTE(LEFT(TRIM(C139),FIND(" ",TRIM(C139)&amp;" ")-1),",","."),FIND("/",SUBSTITUTE(LEFT(TRIM(C139),FIND(" ",TRIM(C139)&amp;" ")-1),",","."))+1,9))*12,NA()))),0),48)*'Aturan &amp; Tarif'!$B$4,2)</f>
        <v>2725.44</v>
      </c>
      <c r="K139" s="32" t="n">
        <f aca="false">'Aturan &amp; Tarif'!$B$5</f>
        <v>2050</v>
      </c>
      <c r="L139" s="35" t="n">
        <f aca="false">I139+J139+K139</f>
        <v>22587.44</v>
      </c>
      <c r="M139" s="37" t="s">
        <v>318</v>
      </c>
    </row>
    <row r="140" customFormat="false" ht="25.5" hidden="false" customHeight="true" outlineLevel="0" collapsed="false">
      <c r="A140" s="29"/>
      <c r="B140" s="30" t="s">
        <v>365</v>
      </c>
      <c r="C140" s="31" t="s">
        <v>191</v>
      </c>
      <c r="D140" s="31" t="s">
        <v>108</v>
      </c>
      <c r="E140" s="32" t="n">
        <v>8906</v>
      </c>
      <c r="F140" s="32"/>
      <c r="G140" s="32"/>
      <c r="H140" s="33" t="n">
        <v>2</v>
      </c>
      <c r="I140" s="34" t="n">
        <f aca="false">E140*H140+N(F140)+N(G140)</f>
        <v>17812</v>
      </c>
      <c r="J140" s="32" t="n">
        <f aca="false">ROUND(IFERROR(ROUND(IF(OR(ISNUMBER(SEARCH("week",C140)),ISNUMBER(SEARCH("minggu",C140))),IFERROR(_xlfn.NUMBERVALUE(SUBSTITUTE(LEFT(TRIM(C140),FIND(" ",TRIM(C140)&amp;" ")-1),",","."),"."),LEFT(SUBSTITUTE(LEFT(TRIM(C140),FIND(" ",TRIM(C140)&amp;" ")-1),",","."),FIND("/",SUBSTITUTE(LEFT(TRIM(C140),FIND(" ",TRIM(C140)&amp;" ")-1),",","."))-1)/MID(SUBSTITUTE(LEFT(TRIM(C140),FIND(" ",TRIM(C140)&amp;" ")-1),",","."),FIND("/",SUBSTITUTE(LEFT(TRIM(C140),FIND(" ",TRIM(C140)&amp;" ")-1),",","."))+1,9))*12/52,IF(ISNUMBER(SEARCH("month",C140)),IFERROR(_xlfn.NUMBERVALUE(SUBSTITUTE(LEFT(TRIM(C140),FIND(" ",TRIM(C140)&amp;" ")-1),",","."),"."),LEFT(SUBSTITUTE(LEFT(TRIM(C140),FIND(" ",TRIM(C140)&amp;" ")-1),",","."),FIND("/",SUBSTITUTE(LEFT(TRIM(C140),FIND(" ",TRIM(C140)&amp;" ")-1),",","."))-1)/MID(SUBSTITUTE(LEFT(TRIM(C140),FIND(" ",TRIM(C140)&amp;" ")-1),",","."),FIND("/",SUBSTITUTE(LEFT(TRIM(C140),FIND(" ",TRIM(C140)&amp;" ")-1),",","."))+1,9)),IF(ISNUMBER(SEARCH("yea",C140)),IFERROR(_xlfn.NUMBERVALUE(SUBSTITUTE(LEFT(TRIM(C140),FIND(" ",TRIM(C140)&amp;" ")-1),",","."),"."),LEFT(SUBSTITUTE(LEFT(TRIM(C140),FIND(" ",TRIM(C140)&amp;" ")-1),",","."),FIND("/",SUBSTITUTE(LEFT(TRIM(C140),FIND(" ",TRIM(C140)&amp;" ")-1),",","."))-1)/MID(SUBSTITUTE(LEFT(TRIM(C140),FIND(" ",TRIM(C140)&amp;" ")-1),",","."),FIND("/",SUBSTITUTE(LEFT(TRIM(C140),FIND(" ",TRIM(C140)&amp;" ")-1),",","."))+1,9))*12,NA()))),0),48)*'Aturan &amp; Tarif'!$B$4,2)</f>
        <v>2725.44</v>
      </c>
      <c r="K140" s="32" t="n">
        <f aca="false">'Aturan &amp; Tarif'!$B$5</f>
        <v>2050</v>
      </c>
      <c r="L140" s="35" t="n">
        <f aca="false">I140+J140+K140</f>
        <v>22587.44</v>
      </c>
      <c r="M140" s="37" t="s">
        <v>318</v>
      </c>
    </row>
    <row r="141" customFormat="false" ht="14.25" hidden="false" customHeight="true" outlineLevel="0" collapsed="false">
      <c r="A141" s="29"/>
      <c r="B141" s="30" t="s">
        <v>366</v>
      </c>
      <c r="C141" s="31" t="s">
        <v>191</v>
      </c>
      <c r="D141" s="31" t="s">
        <v>108</v>
      </c>
      <c r="E141" s="32" t="n">
        <v>8906</v>
      </c>
      <c r="F141" s="32"/>
      <c r="G141" s="32"/>
      <c r="H141" s="33" t="n">
        <v>2</v>
      </c>
      <c r="I141" s="34" t="n">
        <f aca="false">E141*H141+N(F141)+N(G141)</f>
        <v>17812</v>
      </c>
      <c r="J141" s="32" t="n">
        <f aca="false">ROUND(IFERROR(ROUND(IF(OR(ISNUMBER(SEARCH("week",C141)),ISNUMBER(SEARCH("minggu",C141))),IFERROR(_xlfn.NUMBERVALUE(SUBSTITUTE(LEFT(TRIM(C141),FIND(" ",TRIM(C141)&amp;" ")-1),",","."),"."),LEFT(SUBSTITUTE(LEFT(TRIM(C141),FIND(" ",TRIM(C141)&amp;" ")-1),",","."),FIND("/",SUBSTITUTE(LEFT(TRIM(C141),FIND(" ",TRIM(C141)&amp;" ")-1),",","."))-1)/MID(SUBSTITUTE(LEFT(TRIM(C141),FIND(" ",TRIM(C141)&amp;" ")-1),",","."),FIND("/",SUBSTITUTE(LEFT(TRIM(C141),FIND(" ",TRIM(C141)&amp;" ")-1),",","."))+1,9))*12/52,IF(ISNUMBER(SEARCH("month",C141)),IFERROR(_xlfn.NUMBERVALUE(SUBSTITUTE(LEFT(TRIM(C141),FIND(" ",TRIM(C141)&amp;" ")-1),",","."),"."),LEFT(SUBSTITUTE(LEFT(TRIM(C141),FIND(" ",TRIM(C141)&amp;" ")-1),",","."),FIND("/",SUBSTITUTE(LEFT(TRIM(C141),FIND(" ",TRIM(C141)&amp;" ")-1),",","."))-1)/MID(SUBSTITUTE(LEFT(TRIM(C141),FIND(" ",TRIM(C141)&amp;" ")-1),",","."),FIND("/",SUBSTITUTE(LEFT(TRIM(C141),FIND(" ",TRIM(C141)&amp;" ")-1),",","."))+1,9)),IF(ISNUMBER(SEARCH("yea",C141)),IFERROR(_xlfn.NUMBERVALUE(SUBSTITUTE(LEFT(TRIM(C141),FIND(" ",TRIM(C141)&amp;" ")-1),",","."),"."),LEFT(SUBSTITUTE(LEFT(TRIM(C141),FIND(" ",TRIM(C141)&amp;" ")-1),",","."),FIND("/",SUBSTITUTE(LEFT(TRIM(C141),FIND(" ",TRIM(C141)&amp;" ")-1),",","."))-1)/MID(SUBSTITUTE(LEFT(TRIM(C141),FIND(" ",TRIM(C141)&amp;" ")-1),",","."),FIND("/",SUBSTITUTE(LEFT(TRIM(C141),FIND(" ",TRIM(C141)&amp;" ")-1),",","."))+1,9))*12,NA()))),0),48)*'Aturan &amp; Tarif'!$B$4,2)</f>
        <v>2725.44</v>
      </c>
      <c r="K141" s="32" t="n">
        <f aca="false">'Aturan &amp; Tarif'!$B$5</f>
        <v>2050</v>
      </c>
      <c r="L141" s="35" t="n">
        <f aca="false">I141+J141+K141</f>
        <v>22587.44</v>
      </c>
      <c r="M141" s="37" t="s">
        <v>318</v>
      </c>
    </row>
    <row r="142" customFormat="false" ht="25.5" hidden="false" customHeight="true" outlineLevel="0" collapsed="false">
      <c r="A142" s="29"/>
      <c r="B142" s="30" t="s">
        <v>367</v>
      </c>
      <c r="C142" s="31" t="s">
        <v>127</v>
      </c>
      <c r="D142" s="31" t="s">
        <v>108</v>
      </c>
      <c r="E142" s="32" t="n">
        <v>8906</v>
      </c>
      <c r="F142" s="32"/>
      <c r="G142" s="32"/>
      <c r="H142" s="33" t="n">
        <v>2</v>
      </c>
      <c r="I142" s="34" t="n">
        <f aca="false">E142*H142+N(F142)+N(G142)</f>
        <v>17812</v>
      </c>
      <c r="J142" s="32" t="n">
        <f aca="false">ROUND(IFERROR(ROUND(IF(OR(ISNUMBER(SEARCH("week",C142)),ISNUMBER(SEARCH("minggu",C142))),IFERROR(_xlfn.NUMBERVALUE(SUBSTITUTE(LEFT(TRIM(C142),FIND(" ",TRIM(C142)&amp;" ")-1),",","."),"."),LEFT(SUBSTITUTE(LEFT(TRIM(C142),FIND(" ",TRIM(C142)&amp;" ")-1),",","."),FIND("/",SUBSTITUTE(LEFT(TRIM(C142),FIND(" ",TRIM(C142)&amp;" ")-1),",","."))-1)/MID(SUBSTITUTE(LEFT(TRIM(C142),FIND(" ",TRIM(C142)&amp;" ")-1),",","."),FIND("/",SUBSTITUTE(LEFT(TRIM(C142),FIND(" ",TRIM(C142)&amp;" ")-1),",","."))+1,9))*12/52,IF(ISNUMBER(SEARCH("month",C142)),IFERROR(_xlfn.NUMBERVALUE(SUBSTITUTE(LEFT(TRIM(C142),FIND(" ",TRIM(C142)&amp;" ")-1),",","."),"."),LEFT(SUBSTITUTE(LEFT(TRIM(C142),FIND(" ",TRIM(C142)&amp;" ")-1),",","."),FIND("/",SUBSTITUTE(LEFT(TRIM(C142),FIND(" ",TRIM(C142)&amp;" ")-1),",","."))-1)/MID(SUBSTITUTE(LEFT(TRIM(C142),FIND(" ",TRIM(C142)&amp;" ")-1),",","."),FIND("/",SUBSTITUTE(LEFT(TRIM(C142),FIND(" ",TRIM(C142)&amp;" ")-1),",","."))+1,9)),IF(ISNUMBER(SEARCH("yea",C142)),IFERROR(_xlfn.NUMBERVALUE(SUBSTITUTE(LEFT(TRIM(C142),FIND(" ",TRIM(C142)&amp;" ")-1),",","."),"."),LEFT(SUBSTITUTE(LEFT(TRIM(C142),FIND(" ",TRIM(C142)&amp;" ")-1),",","."),FIND("/",SUBSTITUTE(LEFT(TRIM(C142),FIND(" ",TRIM(C142)&amp;" ")-1),",","."))-1)/MID(SUBSTITUTE(LEFT(TRIM(C142),FIND(" ",TRIM(C142)&amp;" ")-1),",","."),FIND("/",SUBSTITUTE(LEFT(TRIM(C142),FIND(" ",TRIM(C142)&amp;" ")-1),",","."))+1,9))*12,NA()))),0),36)*'Aturan &amp; Tarif'!$B$4,2)</f>
        <v>2044.08</v>
      </c>
      <c r="K142" s="32" t="n">
        <f aca="false">'Aturan &amp; Tarif'!$B$5</f>
        <v>2050</v>
      </c>
      <c r="L142" s="35" t="n">
        <f aca="false">I142+J142+K142</f>
        <v>21906.08</v>
      </c>
      <c r="M142" s="37" t="s">
        <v>318</v>
      </c>
    </row>
    <row r="143" customFormat="false" ht="25.5" hidden="false" customHeight="true" outlineLevel="0" collapsed="false">
      <c r="A143" s="29"/>
      <c r="B143" s="30" t="s">
        <v>368</v>
      </c>
      <c r="C143" s="31" t="s">
        <v>191</v>
      </c>
      <c r="D143" s="31" t="s">
        <v>108</v>
      </c>
      <c r="E143" s="32" t="n">
        <v>8906</v>
      </c>
      <c r="F143" s="32"/>
      <c r="G143" s="32"/>
      <c r="H143" s="33" t="n">
        <v>2</v>
      </c>
      <c r="I143" s="34" t="n">
        <f aca="false">E143*H143+N(F143)+N(G143)</f>
        <v>17812</v>
      </c>
      <c r="J143" s="32" t="n">
        <f aca="false">ROUND(IFERROR(ROUND(IF(OR(ISNUMBER(SEARCH("week",C143)),ISNUMBER(SEARCH("minggu",C143))),IFERROR(_xlfn.NUMBERVALUE(SUBSTITUTE(LEFT(TRIM(C143),FIND(" ",TRIM(C143)&amp;" ")-1),",","."),"."),LEFT(SUBSTITUTE(LEFT(TRIM(C143),FIND(" ",TRIM(C143)&amp;" ")-1),",","."),FIND("/",SUBSTITUTE(LEFT(TRIM(C143),FIND(" ",TRIM(C143)&amp;" ")-1),",","."))-1)/MID(SUBSTITUTE(LEFT(TRIM(C143),FIND(" ",TRIM(C143)&amp;" ")-1),",","."),FIND("/",SUBSTITUTE(LEFT(TRIM(C143),FIND(" ",TRIM(C143)&amp;" ")-1),",","."))+1,9))*12/52,IF(ISNUMBER(SEARCH("month",C143)),IFERROR(_xlfn.NUMBERVALUE(SUBSTITUTE(LEFT(TRIM(C143),FIND(" ",TRIM(C143)&amp;" ")-1),",","."),"."),LEFT(SUBSTITUTE(LEFT(TRIM(C143),FIND(" ",TRIM(C143)&amp;" ")-1),",","."),FIND("/",SUBSTITUTE(LEFT(TRIM(C143),FIND(" ",TRIM(C143)&amp;" ")-1),",","."))-1)/MID(SUBSTITUTE(LEFT(TRIM(C143),FIND(" ",TRIM(C143)&amp;" ")-1),",","."),FIND("/",SUBSTITUTE(LEFT(TRIM(C143),FIND(" ",TRIM(C143)&amp;" ")-1),",","."))+1,9)),IF(ISNUMBER(SEARCH("yea",C143)),IFERROR(_xlfn.NUMBERVALUE(SUBSTITUTE(LEFT(TRIM(C143),FIND(" ",TRIM(C143)&amp;" ")-1),",","."),"."),LEFT(SUBSTITUTE(LEFT(TRIM(C143),FIND(" ",TRIM(C143)&amp;" ")-1),",","."),FIND("/",SUBSTITUTE(LEFT(TRIM(C143),FIND(" ",TRIM(C143)&amp;" ")-1),",","."))-1)/MID(SUBSTITUTE(LEFT(TRIM(C143),FIND(" ",TRIM(C143)&amp;" ")-1),",","."),FIND("/",SUBSTITUTE(LEFT(TRIM(C143),FIND(" ",TRIM(C143)&amp;" ")-1),",","."))+1,9))*12,NA()))),0),48)*'Aturan &amp; Tarif'!$B$4,2)</f>
        <v>2725.44</v>
      </c>
      <c r="K143" s="32" t="n">
        <f aca="false">'Aturan &amp; Tarif'!$B$5</f>
        <v>2050</v>
      </c>
      <c r="L143" s="35" t="n">
        <f aca="false">I143+J143+K143</f>
        <v>22587.44</v>
      </c>
      <c r="M143" s="37" t="s">
        <v>318</v>
      </c>
    </row>
    <row r="144" customFormat="false" ht="25.5" hidden="false" customHeight="true" outlineLevel="0" collapsed="false">
      <c r="A144" s="29"/>
      <c r="B144" s="30" t="s">
        <v>369</v>
      </c>
      <c r="C144" s="31" t="s">
        <v>191</v>
      </c>
      <c r="D144" s="31" t="s">
        <v>108</v>
      </c>
      <c r="E144" s="32" t="n">
        <v>8906</v>
      </c>
      <c r="F144" s="32"/>
      <c r="G144" s="32"/>
      <c r="H144" s="33" t="n">
        <v>2</v>
      </c>
      <c r="I144" s="34" t="n">
        <f aca="false">E144*H144+N(F144)+N(G144)</f>
        <v>17812</v>
      </c>
      <c r="J144" s="32" t="n">
        <f aca="false">ROUND(IFERROR(ROUND(IF(OR(ISNUMBER(SEARCH("week",C144)),ISNUMBER(SEARCH("minggu",C144))),IFERROR(_xlfn.NUMBERVALUE(SUBSTITUTE(LEFT(TRIM(C144),FIND(" ",TRIM(C144)&amp;" ")-1),",","."),"."),LEFT(SUBSTITUTE(LEFT(TRIM(C144),FIND(" ",TRIM(C144)&amp;" ")-1),",","."),FIND("/",SUBSTITUTE(LEFT(TRIM(C144),FIND(" ",TRIM(C144)&amp;" ")-1),",","."))-1)/MID(SUBSTITUTE(LEFT(TRIM(C144),FIND(" ",TRIM(C144)&amp;" ")-1),",","."),FIND("/",SUBSTITUTE(LEFT(TRIM(C144),FIND(" ",TRIM(C144)&amp;" ")-1),",","."))+1,9))*12/52,IF(ISNUMBER(SEARCH("month",C144)),IFERROR(_xlfn.NUMBERVALUE(SUBSTITUTE(LEFT(TRIM(C144),FIND(" ",TRIM(C144)&amp;" ")-1),",","."),"."),LEFT(SUBSTITUTE(LEFT(TRIM(C144),FIND(" ",TRIM(C144)&amp;" ")-1),",","."),FIND("/",SUBSTITUTE(LEFT(TRIM(C144),FIND(" ",TRIM(C144)&amp;" ")-1),",","."))-1)/MID(SUBSTITUTE(LEFT(TRIM(C144),FIND(" ",TRIM(C144)&amp;" ")-1),",","."),FIND("/",SUBSTITUTE(LEFT(TRIM(C144),FIND(" ",TRIM(C144)&amp;" ")-1),",","."))+1,9)),IF(ISNUMBER(SEARCH("yea",C144)),IFERROR(_xlfn.NUMBERVALUE(SUBSTITUTE(LEFT(TRIM(C144),FIND(" ",TRIM(C144)&amp;" ")-1),",","."),"."),LEFT(SUBSTITUTE(LEFT(TRIM(C144),FIND(" ",TRIM(C144)&amp;" ")-1),",","."),FIND("/",SUBSTITUTE(LEFT(TRIM(C144),FIND(" ",TRIM(C144)&amp;" ")-1),",","."))-1)/MID(SUBSTITUTE(LEFT(TRIM(C144),FIND(" ",TRIM(C144)&amp;" ")-1),",","."),FIND("/",SUBSTITUTE(LEFT(TRIM(C144),FIND(" ",TRIM(C144)&amp;" ")-1),",","."))+1,9))*12,NA()))),0),48)*'Aturan &amp; Tarif'!$B$4,2)</f>
        <v>2725.44</v>
      </c>
      <c r="K144" s="32" t="n">
        <f aca="false">'Aturan &amp; Tarif'!$B$5</f>
        <v>2050</v>
      </c>
      <c r="L144" s="35" t="n">
        <f aca="false">I144+J144+K144</f>
        <v>22587.44</v>
      </c>
      <c r="M144" s="37" t="s">
        <v>318</v>
      </c>
    </row>
    <row r="145" customFormat="false" ht="14.25" hidden="false" customHeight="true" outlineLevel="0" collapsed="false">
      <c r="A145" s="29"/>
      <c r="B145" s="30" t="s">
        <v>370</v>
      </c>
      <c r="C145" s="31" t="s">
        <v>191</v>
      </c>
      <c r="D145" s="31" t="s">
        <v>108</v>
      </c>
      <c r="E145" s="32" t="n">
        <v>8906</v>
      </c>
      <c r="F145" s="32"/>
      <c r="G145" s="32"/>
      <c r="H145" s="33" t="n">
        <v>2</v>
      </c>
      <c r="I145" s="34" t="n">
        <f aca="false">E145*H145+N(F145)+N(G145)</f>
        <v>17812</v>
      </c>
      <c r="J145" s="32" t="n">
        <f aca="false">ROUND(IFERROR(ROUND(IF(OR(ISNUMBER(SEARCH("week",C145)),ISNUMBER(SEARCH("minggu",C145))),IFERROR(_xlfn.NUMBERVALUE(SUBSTITUTE(LEFT(TRIM(C145),FIND(" ",TRIM(C145)&amp;" ")-1),",","."),"."),LEFT(SUBSTITUTE(LEFT(TRIM(C145),FIND(" ",TRIM(C145)&amp;" ")-1),",","."),FIND("/",SUBSTITUTE(LEFT(TRIM(C145),FIND(" ",TRIM(C145)&amp;" ")-1),",","."))-1)/MID(SUBSTITUTE(LEFT(TRIM(C145),FIND(" ",TRIM(C145)&amp;" ")-1),",","."),FIND("/",SUBSTITUTE(LEFT(TRIM(C145),FIND(" ",TRIM(C145)&amp;" ")-1),",","."))+1,9))*12/52,IF(ISNUMBER(SEARCH("month",C145)),IFERROR(_xlfn.NUMBERVALUE(SUBSTITUTE(LEFT(TRIM(C145),FIND(" ",TRIM(C145)&amp;" ")-1),",","."),"."),LEFT(SUBSTITUTE(LEFT(TRIM(C145),FIND(" ",TRIM(C145)&amp;" ")-1),",","."),FIND("/",SUBSTITUTE(LEFT(TRIM(C145),FIND(" ",TRIM(C145)&amp;" ")-1),",","."))-1)/MID(SUBSTITUTE(LEFT(TRIM(C145),FIND(" ",TRIM(C145)&amp;" ")-1),",","."),FIND("/",SUBSTITUTE(LEFT(TRIM(C145),FIND(" ",TRIM(C145)&amp;" ")-1),",","."))+1,9)),IF(ISNUMBER(SEARCH("yea",C145)),IFERROR(_xlfn.NUMBERVALUE(SUBSTITUTE(LEFT(TRIM(C145),FIND(" ",TRIM(C145)&amp;" ")-1),",","."),"."),LEFT(SUBSTITUTE(LEFT(TRIM(C145),FIND(" ",TRIM(C145)&amp;" ")-1),",","."),FIND("/",SUBSTITUTE(LEFT(TRIM(C145),FIND(" ",TRIM(C145)&amp;" ")-1),",","."))-1)/MID(SUBSTITUTE(LEFT(TRIM(C145),FIND(" ",TRIM(C145)&amp;" ")-1),",","."),FIND("/",SUBSTITUTE(LEFT(TRIM(C145),FIND(" ",TRIM(C145)&amp;" ")-1),",","."))+1,9))*12,NA()))),0),48)*'Aturan &amp; Tarif'!$B$4,2)</f>
        <v>2725.44</v>
      </c>
      <c r="K145" s="32" t="n">
        <f aca="false">'Aturan &amp; Tarif'!$B$5</f>
        <v>2050</v>
      </c>
      <c r="L145" s="35" t="n">
        <f aca="false">I145+J145+K145</f>
        <v>22587.44</v>
      </c>
      <c r="M145" s="37" t="s">
        <v>318</v>
      </c>
    </row>
    <row r="146" customFormat="false" ht="14.25" hidden="false" customHeight="true" outlineLevel="0" collapsed="false">
      <c r="A146" s="29"/>
      <c r="B146" s="30" t="s">
        <v>371</v>
      </c>
      <c r="C146" s="31" t="s">
        <v>127</v>
      </c>
      <c r="D146" s="31" t="s">
        <v>108</v>
      </c>
      <c r="E146" s="32" t="n">
        <v>8906</v>
      </c>
      <c r="F146" s="32"/>
      <c r="G146" s="32"/>
      <c r="H146" s="33" t="n">
        <v>2</v>
      </c>
      <c r="I146" s="34" t="n">
        <f aca="false">E146*H146+N(F146)+N(G146)</f>
        <v>17812</v>
      </c>
      <c r="J146" s="32" t="n">
        <f aca="false">ROUND(IFERROR(ROUND(IF(OR(ISNUMBER(SEARCH("week",C146)),ISNUMBER(SEARCH("minggu",C146))),IFERROR(_xlfn.NUMBERVALUE(SUBSTITUTE(LEFT(TRIM(C146),FIND(" ",TRIM(C146)&amp;" ")-1),",","."),"."),LEFT(SUBSTITUTE(LEFT(TRIM(C146),FIND(" ",TRIM(C146)&amp;" ")-1),",","."),FIND("/",SUBSTITUTE(LEFT(TRIM(C146),FIND(" ",TRIM(C146)&amp;" ")-1),",","."))-1)/MID(SUBSTITUTE(LEFT(TRIM(C146),FIND(" ",TRIM(C146)&amp;" ")-1),",","."),FIND("/",SUBSTITUTE(LEFT(TRIM(C146),FIND(" ",TRIM(C146)&amp;" ")-1),",","."))+1,9))*12/52,IF(ISNUMBER(SEARCH("month",C146)),IFERROR(_xlfn.NUMBERVALUE(SUBSTITUTE(LEFT(TRIM(C146),FIND(" ",TRIM(C146)&amp;" ")-1),",","."),"."),LEFT(SUBSTITUTE(LEFT(TRIM(C146),FIND(" ",TRIM(C146)&amp;" ")-1),",","."),FIND("/",SUBSTITUTE(LEFT(TRIM(C146),FIND(" ",TRIM(C146)&amp;" ")-1),",","."))-1)/MID(SUBSTITUTE(LEFT(TRIM(C146),FIND(" ",TRIM(C146)&amp;" ")-1),",","."),FIND("/",SUBSTITUTE(LEFT(TRIM(C146),FIND(" ",TRIM(C146)&amp;" ")-1),",","."))+1,9)),IF(ISNUMBER(SEARCH("yea",C146)),IFERROR(_xlfn.NUMBERVALUE(SUBSTITUTE(LEFT(TRIM(C146),FIND(" ",TRIM(C146)&amp;" ")-1),",","."),"."),LEFT(SUBSTITUTE(LEFT(TRIM(C146),FIND(" ",TRIM(C146)&amp;" ")-1),",","."),FIND("/",SUBSTITUTE(LEFT(TRIM(C146),FIND(" ",TRIM(C146)&amp;" ")-1),",","."))-1)/MID(SUBSTITUTE(LEFT(TRIM(C146),FIND(" ",TRIM(C146)&amp;" ")-1),",","."),FIND("/",SUBSTITUTE(LEFT(TRIM(C146),FIND(" ",TRIM(C146)&amp;" ")-1),",","."))+1,9))*12,NA()))),0),36)*'Aturan &amp; Tarif'!$B$4,2)</f>
        <v>2044.08</v>
      </c>
      <c r="K146" s="32" t="n">
        <f aca="false">'Aturan &amp; Tarif'!$B$5</f>
        <v>2050</v>
      </c>
      <c r="L146" s="35" t="n">
        <f aca="false">I146+J146+K146</f>
        <v>21906.08</v>
      </c>
      <c r="M146" s="37" t="s">
        <v>318</v>
      </c>
    </row>
    <row r="147" customFormat="false" ht="14.25" hidden="false" customHeight="true" outlineLevel="0" collapsed="false">
      <c r="A147" s="29"/>
      <c r="B147" s="30" t="s">
        <v>372</v>
      </c>
      <c r="C147" s="31" t="s">
        <v>127</v>
      </c>
      <c r="D147" s="31" t="s">
        <v>108</v>
      </c>
      <c r="E147" s="32" t="n">
        <v>8906</v>
      </c>
      <c r="F147" s="32"/>
      <c r="G147" s="32"/>
      <c r="H147" s="33" t="n">
        <v>2</v>
      </c>
      <c r="I147" s="34" t="n">
        <f aca="false">E147*H147+N(F147)+N(G147)</f>
        <v>17812</v>
      </c>
      <c r="J147" s="32" t="n">
        <f aca="false">ROUND(IFERROR(ROUND(IF(OR(ISNUMBER(SEARCH("week",C147)),ISNUMBER(SEARCH("minggu",C147))),IFERROR(_xlfn.NUMBERVALUE(SUBSTITUTE(LEFT(TRIM(C147),FIND(" ",TRIM(C147)&amp;" ")-1),",","."),"."),LEFT(SUBSTITUTE(LEFT(TRIM(C147),FIND(" ",TRIM(C147)&amp;" ")-1),",","."),FIND("/",SUBSTITUTE(LEFT(TRIM(C147),FIND(" ",TRIM(C147)&amp;" ")-1),",","."))-1)/MID(SUBSTITUTE(LEFT(TRIM(C147),FIND(" ",TRIM(C147)&amp;" ")-1),",","."),FIND("/",SUBSTITUTE(LEFT(TRIM(C147),FIND(" ",TRIM(C147)&amp;" ")-1),",","."))+1,9))*12/52,IF(ISNUMBER(SEARCH("month",C147)),IFERROR(_xlfn.NUMBERVALUE(SUBSTITUTE(LEFT(TRIM(C147),FIND(" ",TRIM(C147)&amp;" ")-1),",","."),"."),LEFT(SUBSTITUTE(LEFT(TRIM(C147),FIND(" ",TRIM(C147)&amp;" ")-1),",","."),FIND("/",SUBSTITUTE(LEFT(TRIM(C147),FIND(" ",TRIM(C147)&amp;" ")-1),",","."))-1)/MID(SUBSTITUTE(LEFT(TRIM(C147),FIND(" ",TRIM(C147)&amp;" ")-1),",","."),FIND("/",SUBSTITUTE(LEFT(TRIM(C147),FIND(" ",TRIM(C147)&amp;" ")-1),",","."))+1,9)),IF(ISNUMBER(SEARCH("yea",C147)),IFERROR(_xlfn.NUMBERVALUE(SUBSTITUTE(LEFT(TRIM(C147),FIND(" ",TRIM(C147)&amp;" ")-1),",","."),"."),LEFT(SUBSTITUTE(LEFT(TRIM(C147),FIND(" ",TRIM(C147)&amp;" ")-1),",","."),FIND("/",SUBSTITUTE(LEFT(TRIM(C147),FIND(" ",TRIM(C147)&amp;" ")-1),",","."))-1)/MID(SUBSTITUTE(LEFT(TRIM(C147),FIND(" ",TRIM(C147)&amp;" ")-1),",","."),FIND("/",SUBSTITUTE(LEFT(TRIM(C147),FIND(" ",TRIM(C147)&amp;" ")-1),",","."))+1,9))*12,NA()))),0),36)*'Aturan &amp; Tarif'!$B$4,2)</f>
        <v>2044.08</v>
      </c>
      <c r="K147" s="32" t="n">
        <f aca="false">'Aturan &amp; Tarif'!$B$5</f>
        <v>2050</v>
      </c>
      <c r="L147" s="35" t="n">
        <f aca="false">I147+J147+K147</f>
        <v>21906.08</v>
      </c>
      <c r="M147" s="37" t="s">
        <v>318</v>
      </c>
    </row>
    <row r="148" customFormat="false" ht="25.5" hidden="false" customHeight="true" outlineLevel="0" collapsed="false">
      <c r="A148" s="29"/>
      <c r="B148" s="30" t="s">
        <v>373</v>
      </c>
      <c r="C148" s="31" t="s">
        <v>107</v>
      </c>
      <c r="D148" s="31" t="s">
        <v>108</v>
      </c>
      <c r="E148" s="32" t="n">
        <v>8906</v>
      </c>
      <c r="F148" s="32"/>
      <c r="G148" s="32"/>
      <c r="H148" s="33" t="n">
        <v>2</v>
      </c>
      <c r="I148" s="34" t="n">
        <f aca="false">E148*H148+N(F148)+N(G148)</f>
        <v>17812</v>
      </c>
      <c r="J148" s="32" t="n">
        <f aca="false">ROUND(IFERROR(ROUND(IF(OR(ISNUMBER(SEARCH("week",C148)),ISNUMBER(SEARCH("minggu",C148))),IFERROR(_xlfn.NUMBERVALUE(SUBSTITUTE(LEFT(TRIM(C148),FIND(" ",TRIM(C148)&amp;" ")-1),",","."),"."),LEFT(SUBSTITUTE(LEFT(TRIM(C148),FIND(" ",TRIM(C148)&amp;" ")-1),",","."),FIND("/",SUBSTITUTE(LEFT(TRIM(C148),FIND(" ",TRIM(C148)&amp;" ")-1),",","."))-1)/MID(SUBSTITUTE(LEFT(TRIM(C148),FIND(" ",TRIM(C148)&amp;" ")-1),",","."),FIND("/",SUBSTITUTE(LEFT(TRIM(C148),FIND(" ",TRIM(C148)&amp;" ")-1),",","."))+1,9))*12/52,IF(ISNUMBER(SEARCH("month",C148)),IFERROR(_xlfn.NUMBERVALUE(SUBSTITUTE(LEFT(TRIM(C148),FIND(" ",TRIM(C148)&amp;" ")-1),",","."),"."),LEFT(SUBSTITUTE(LEFT(TRIM(C148),FIND(" ",TRIM(C148)&amp;" ")-1),",","."),FIND("/",SUBSTITUTE(LEFT(TRIM(C148),FIND(" ",TRIM(C148)&amp;" ")-1),",","."))-1)/MID(SUBSTITUTE(LEFT(TRIM(C148),FIND(" ",TRIM(C148)&amp;" ")-1),",","."),FIND("/",SUBSTITUTE(LEFT(TRIM(C148),FIND(" ",TRIM(C148)&amp;" ")-1),",","."))+1,9)),IF(ISNUMBER(SEARCH("yea",C148)),IFERROR(_xlfn.NUMBERVALUE(SUBSTITUTE(LEFT(TRIM(C148),FIND(" ",TRIM(C148)&amp;" ")-1),",","."),"."),LEFT(SUBSTITUTE(LEFT(TRIM(C148),FIND(" ",TRIM(C148)&amp;" ")-1),",","."),FIND("/",SUBSTITUTE(LEFT(TRIM(C148),FIND(" ",TRIM(C148)&amp;" ")-1),",","."))-1)/MID(SUBSTITUTE(LEFT(TRIM(C148),FIND(" ",TRIM(C148)&amp;" ")-1),",","."),FIND("/",SUBSTITUTE(LEFT(TRIM(C148),FIND(" ",TRIM(C148)&amp;" ")-1),",","."))+1,9))*12,NA()))),0),24)*'Aturan &amp; Tarif'!$B$4,2)</f>
        <v>1362.72</v>
      </c>
      <c r="K148" s="32" t="n">
        <f aca="false">'Aturan &amp; Tarif'!$B$5</f>
        <v>2050</v>
      </c>
      <c r="L148" s="35" t="n">
        <f aca="false">I148+J148+K148</f>
        <v>21224.72</v>
      </c>
      <c r="M148" s="37" t="s">
        <v>318</v>
      </c>
    </row>
    <row r="149" customFormat="false" ht="25.5" hidden="false" customHeight="true" outlineLevel="0" collapsed="false">
      <c r="A149" s="29"/>
      <c r="B149" s="30" t="s">
        <v>374</v>
      </c>
      <c r="C149" s="31" t="s">
        <v>107</v>
      </c>
      <c r="D149" s="31" t="s">
        <v>108</v>
      </c>
      <c r="E149" s="32" t="n">
        <v>8906</v>
      </c>
      <c r="F149" s="32"/>
      <c r="G149" s="32"/>
      <c r="H149" s="33" t="n">
        <v>2</v>
      </c>
      <c r="I149" s="34" t="n">
        <f aca="false">E149*H149+N(F149)+N(G149)</f>
        <v>17812</v>
      </c>
      <c r="J149" s="32" t="n">
        <f aca="false">ROUND(IFERROR(ROUND(IF(OR(ISNUMBER(SEARCH("week",C149)),ISNUMBER(SEARCH("minggu",C149))),IFERROR(_xlfn.NUMBERVALUE(SUBSTITUTE(LEFT(TRIM(C149),FIND(" ",TRIM(C149)&amp;" ")-1),",","."),"."),LEFT(SUBSTITUTE(LEFT(TRIM(C149),FIND(" ",TRIM(C149)&amp;" ")-1),",","."),FIND("/",SUBSTITUTE(LEFT(TRIM(C149),FIND(" ",TRIM(C149)&amp;" ")-1),",","."))-1)/MID(SUBSTITUTE(LEFT(TRIM(C149),FIND(" ",TRIM(C149)&amp;" ")-1),",","."),FIND("/",SUBSTITUTE(LEFT(TRIM(C149),FIND(" ",TRIM(C149)&amp;" ")-1),",","."))+1,9))*12/52,IF(ISNUMBER(SEARCH("month",C149)),IFERROR(_xlfn.NUMBERVALUE(SUBSTITUTE(LEFT(TRIM(C149),FIND(" ",TRIM(C149)&amp;" ")-1),",","."),"."),LEFT(SUBSTITUTE(LEFT(TRIM(C149),FIND(" ",TRIM(C149)&amp;" ")-1),",","."),FIND("/",SUBSTITUTE(LEFT(TRIM(C149),FIND(" ",TRIM(C149)&amp;" ")-1),",","."))-1)/MID(SUBSTITUTE(LEFT(TRIM(C149),FIND(" ",TRIM(C149)&amp;" ")-1),",","."),FIND("/",SUBSTITUTE(LEFT(TRIM(C149),FIND(" ",TRIM(C149)&amp;" ")-1),",","."))+1,9)),IF(ISNUMBER(SEARCH("yea",C149)),IFERROR(_xlfn.NUMBERVALUE(SUBSTITUTE(LEFT(TRIM(C149),FIND(" ",TRIM(C149)&amp;" ")-1),",","."),"."),LEFT(SUBSTITUTE(LEFT(TRIM(C149),FIND(" ",TRIM(C149)&amp;" ")-1),",","."),FIND("/",SUBSTITUTE(LEFT(TRIM(C149),FIND(" ",TRIM(C149)&amp;" ")-1),",","."))-1)/MID(SUBSTITUTE(LEFT(TRIM(C149),FIND(" ",TRIM(C149)&amp;" ")-1),",","."),FIND("/",SUBSTITUTE(LEFT(TRIM(C149),FIND(" ",TRIM(C149)&amp;" ")-1),",","."))+1,9))*12,NA()))),0),24)*'Aturan &amp; Tarif'!$B$4,2)</f>
        <v>1362.72</v>
      </c>
      <c r="K149" s="32" t="n">
        <f aca="false">'Aturan &amp; Tarif'!$B$5</f>
        <v>2050</v>
      </c>
      <c r="L149" s="35" t="n">
        <f aca="false">I149+J149+K149</f>
        <v>21224.72</v>
      </c>
      <c r="M149" s="37" t="s">
        <v>318</v>
      </c>
    </row>
    <row r="150" customFormat="false" ht="14.25" hidden="false" customHeight="true" outlineLevel="0" collapsed="false">
      <c r="A150" s="29"/>
      <c r="B150" s="30" t="s">
        <v>375</v>
      </c>
      <c r="C150" s="31" t="s">
        <v>107</v>
      </c>
      <c r="D150" s="31" t="s">
        <v>108</v>
      </c>
      <c r="E150" s="32" t="n">
        <v>8906</v>
      </c>
      <c r="F150" s="32"/>
      <c r="G150" s="32"/>
      <c r="H150" s="33" t="n">
        <v>2</v>
      </c>
      <c r="I150" s="34" t="n">
        <f aca="false">E150*H150+N(F150)+N(G150)</f>
        <v>17812</v>
      </c>
      <c r="J150" s="32" t="n">
        <f aca="false">ROUND(IFERROR(ROUND(IF(OR(ISNUMBER(SEARCH("week",C150)),ISNUMBER(SEARCH("minggu",C150))),IFERROR(_xlfn.NUMBERVALUE(SUBSTITUTE(LEFT(TRIM(C150),FIND(" ",TRIM(C150)&amp;" ")-1),",","."),"."),LEFT(SUBSTITUTE(LEFT(TRIM(C150),FIND(" ",TRIM(C150)&amp;" ")-1),",","."),FIND("/",SUBSTITUTE(LEFT(TRIM(C150),FIND(" ",TRIM(C150)&amp;" ")-1),",","."))-1)/MID(SUBSTITUTE(LEFT(TRIM(C150),FIND(" ",TRIM(C150)&amp;" ")-1),",","."),FIND("/",SUBSTITUTE(LEFT(TRIM(C150),FIND(" ",TRIM(C150)&amp;" ")-1),",","."))+1,9))*12/52,IF(ISNUMBER(SEARCH("month",C150)),IFERROR(_xlfn.NUMBERVALUE(SUBSTITUTE(LEFT(TRIM(C150),FIND(" ",TRIM(C150)&amp;" ")-1),",","."),"."),LEFT(SUBSTITUTE(LEFT(TRIM(C150),FIND(" ",TRIM(C150)&amp;" ")-1),",","."),FIND("/",SUBSTITUTE(LEFT(TRIM(C150),FIND(" ",TRIM(C150)&amp;" ")-1),",","."))-1)/MID(SUBSTITUTE(LEFT(TRIM(C150),FIND(" ",TRIM(C150)&amp;" ")-1),",","."),FIND("/",SUBSTITUTE(LEFT(TRIM(C150),FIND(" ",TRIM(C150)&amp;" ")-1),",","."))+1,9)),IF(ISNUMBER(SEARCH("yea",C150)),IFERROR(_xlfn.NUMBERVALUE(SUBSTITUTE(LEFT(TRIM(C150),FIND(" ",TRIM(C150)&amp;" ")-1),",","."),"."),LEFT(SUBSTITUTE(LEFT(TRIM(C150),FIND(" ",TRIM(C150)&amp;" ")-1),",","."),FIND("/",SUBSTITUTE(LEFT(TRIM(C150),FIND(" ",TRIM(C150)&amp;" ")-1),",","."))-1)/MID(SUBSTITUTE(LEFT(TRIM(C150),FIND(" ",TRIM(C150)&amp;" ")-1),",","."),FIND("/",SUBSTITUTE(LEFT(TRIM(C150),FIND(" ",TRIM(C150)&amp;" ")-1),",","."))+1,9))*12,NA()))),0),24)*'Aturan &amp; Tarif'!$B$4,2)</f>
        <v>1362.72</v>
      </c>
      <c r="K150" s="32" t="n">
        <f aca="false">'Aturan &amp; Tarif'!$B$5</f>
        <v>2050</v>
      </c>
      <c r="L150" s="35" t="n">
        <f aca="false">I150+J150+K150</f>
        <v>21224.72</v>
      </c>
      <c r="M150" s="37" t="s">
        <v>318</v>
      </c>
    </row>
    <row r="151" customFormat="false" ht="14.25" hidden="false" customHeight="true" outlineLevel="0" collapsed="false">
      <c r="A151" s="29"/>
      <c r="B151" s="30" t="s">
        <v>376</v>
      </c>
      <c r="C151" s="31" t="s">
        <v>107</v>
      </c>
      <c r="D151" s="31" t="s">
        <v>108</v>
      </c>
      <c r="E151" s="32" t="n">
        <v>8906</v>
      </c>
      <c r="F151" s="32"/>
      <c r="G151" s="32"/>
      <c r="H151" s="33" t="n">
        <v>2</v>
      </c>
      <c r="I151" s="34" t="n">
        <f aca="false">E151*H151+N(F151)+N(G151)</f>
        <v>17812</v>
      </c>
      <c r="J151" s="32" t="n">
        <f aca="false">ROUND(IFERROR(ROUND(IF(OR(ISNUMBER(SEARCH("week",C151)),ISNUMBER(SEARCH("minggu",C151))),IFERROR(_xlfn.NUMBERVALUE(SUBSTITUTE(LEFT(TRIM(C151),FIND(" ",TRIM(C151)&amp;" ")-1),",","."),"."),LEFT(SUBSTITUTE(LEFT(TRIM(C151),FIND(" ",TRIM(C151)&amp;" ")-1),",","."),FIND("/",SUBSTITUTE(LEFT(TRIM(C151),FIND(" ",TRIM(C151)&amp;" ")-1),",","."))-1)/MID(SUBSTITUTE(LEFT(TRIM(C151),FIND(" ",TRIM(C151)&amp;" ")-1),",","."),FIND("/",SUBSTITUTE(LEFT(TRIM(C151),FIND(" ",TRIM(C151)&amp;" ")-1),",","."))+1,9))*12/52,IF(ISNUMBER(SEARCH("month",C151)),IFERROR(_xlfn.NUMBERVALUE(SUBSTITUTE(LEFT(TRIM(C151),FIND(" ",TRIM(C151)&amp;" ")-1),",","."),"."),LEFT(SUBSTITUTE(LEFT(TRIM(C151),FIND(" ",TRIM(C151)&amp;" ")-1),",","."),FIND("/",SUBSTITUTE(LEFT(TRIM(C151),FIND(" ",TRIM(C151)&amp;" ")-1),",","."))-1)/MID(SUBSTITUTE(LEFT(TRIM(C151),FIND(" ",TRIM(C151)&amp;" ")-1),",","."),FIND("/",SUBSTITUTE(LEFT(TRIM(C151),FIND(" ",TRIM(C151)&amp;" ")-1),",","."))+1,9)),IF(ISNUMBER(SEARCH("yea",C151)),IFERROR(_xlfn.NUMBERVALUE(SUBSTITUTE(LEFT(TRIM(C151),FIND(" ",TRIM(C151)&amp;" ")-1),",","."),"."),LEFT(SUBSTITUTE(LEFT(TRIM(C151),FIND(" ",TRIM(C151)&amp;" ")-1),",","."),FIND("/",SUBSTITUTE(LEFT(TRIM(C151),FIND(" ",TRIM(C151)&amp;" ")-1),",","."))-1)/MID(SUBSTITUTE(LEFT(TRIM(C151),FIND(" ",TRIM(C151)&amp;" ")-1),",","."),FIND("/",SUBSTITUTE(LEFT(TRIM(C151),FIND(" ",TRIM(C151)&amp;" ")-1),",","."))+1,9))*12,NA()))),0),24)*'Aturan &amp; Tarif'!$B$4,2)</f>
        <v>1362.72</v>
      </c>
      <c r="K151" s="32" t="n">
        <f aca="false">'Aturan &amp; Tarif'!$B$5</f>
        <v>2050</v>
      </c>
      <c r="L151" s="35" t="n">
        <f aca="false">I151+J151+K151</f>
        <v>21224.72</v>
      </c>
      <c r="M151" s="37" t="s">
        <v>318</v>
      </c>
    </row>
    <row r="152" customFormat="false" ht="25.5" hidden="false" customHeight="true" outlineLevel="0" collapsed="false">
      <c r="A152" s="29"/>
      <c r="B152" s="30" t="s">
        <v>377</v>
      </c>
      <c r="C152" s="31" t="s">
        <v>107</v>
      </c>
      <c r="D152" s="31" t="s">
        <v>108</v>
      </c>
      <c r="E152" s="32" t="n">
        <v>8906</v>
      </c>
      <c r="F152" s="32"/>
      <c r="G152" s="32"/>
      <c r="H152" s="33" t="n">
        <v>2</v>
      </c>
      <c r="I152" s="34" t="n">
        <f aca="false">E152*H152+N(F152)+N(G152)</f>
        <v>17812</v>
      </c>
      <c r="J152" s="32" t="n">
        <f aca="false">ROUND(IFERROR(ROUND(IF(OR(ISNUMBER(SEARCH("week",C152)),ISNUMBER(SEARCH("minggu",C152))),IFERROR(_xlfn.NUMBERVALUE(SUBSTITUTE(LEFT(TRIM(C152),FIND(" ",TRIM(C152)&amp;" ")-1),",","."),"."),LEFT(SUBSTITUTE(LEFT(TRIM(C152),FIND(" ",TRIM(C152)&amp;" ")-1),",","."),FIND("/",SUBSTITUTE(LEFT(TRIM(C152),FIND(" ",TRIM(C152)&amp;" ")-1),",","."))-1)/MID(SUBSTITUTE(LEFT(TRIM(C152),FIND(" ",TRIM(C152)&amp;" ")-1),",","."),FIND("/",SUBSTITUTE(LEFT(TRIM(C152),FIND(" ",TRIM(C152)&amp;" ")-1),",","."))+1,9))*12/52,IF(ISNUMBER(SEARCH("month",C152)),IFERROR(_xlfn.NUMBERVALUE(SUBSTITUTE(LEFT(TRIM(C152),FIND(" ",TRIM(C152)&amp;" ")-1),",","."),"."),LEFT(SUBSTITUTE(LEFT(TRIM(C152),FIND(" ",TRIM(C152)&amp;" ")-1),",","."),FIND("/",SUBSTITUTE(LEFT(TRIM(C152),FIND(" ",TRIM(C152)&amp;" ")-1),",","."))-1)/MID(SUBSTITUTE(LEFT(TRIM(C152),FIND(" ",TRIM(C152)&amp;" ")-1),",","."),FIND("/",SUBSTITUTE(LEFT(TRIM(C152),FIND(" ",TRIM(C152)&amp;" ")-1),",","."))+1,9)),IF(ISNUMBER(SEARCH("yea",C152)),IFERROR(_xlfn.NUMBERVALUE(SUBSTITUTE(LEFT(TRIM(C152),FIND(" ",TRIM(C152)&amp;" ")-1),",","."),"."),LEFT(SUBSTITUTE(LEFT(TRIM(C152),FIND(" ",TRIM(C152)&amp;" ")-1),",","."),FIND("/",SUBSTITUTE(LEFT(TRIM(C152),FIND(" ",TRIM(C152)&amp;" ")-1),",","."))-1)/MID(SUBSTITUTE(LEFT(TRIM(C152),FIND(" ",TRIM(C152)&amp;" ")-1),",","."),FIND("/",SUBSTITUTE(LEFT(TRIM(C152),FIND(" ",TRIM(C152)&amp;" ")-1),",","."))+1,9))*12,NA()))),0),24)*'Aturan &amp; Tarif'!$B$4,2)</f>
        <v>1362.72</v>
      </c>
      <c r="K152" s="32" t="n">
        <f aca="false">'Aturan &amp; Tarif'!$B$5</f>
        <v>2050</v>
      </c>
      <c r="L152" s="35" t="n">
        <f aca="false">I152+J152+K152</f>
        <v>21224.72</v>
      </c>
      <c r="M152" s="37" t="s">
        <v>318</v>
      </c>
    </row>
    <row r="153" customFormat="false" ht="14.25" hidden="false" customHeight="true" outlineLevel="0" collapsed="false">
      <c r="A153" s="29"/>
      <c r="B153" s="30" t="s">
        <v>378</v>
      </c>
      <c r="C153" s="31" t="s">
        <v>107</v>
      </c>
      <c r="D153" s="31" t="s">
        <v>108</v>
      </c>
      <c r="E153" s="32" t="n">
        <v>8906</v>
      </c>
      <c r="F153" s="32"/>
      <c r="G153" s="32"/>
      <c r="H153" s="33" t="n">
        <v>2</v>
      </c>
      <c r="I153" s="34" t="n">
        <f aca="false">E153*H153+N(F153)+N(G153)</f>
        <v>17812</v>
      </c>
      <c r="J153" s="32" t="n">
        <f aca="false">ROUND(IFERROR(ROUND(IF(OR(ISNUMBER(SEARCH("week",C153)),ISNUMBER(SEARCH("minggu",C153))),IFERROR(_xlfn.NUMBERVALUE(SUBSTITUTE(LEFT(TRIM(C153),FIND(" ",TRIM(C153)&amp;" ")-1),",","."),"."),LEFT(SUBSTITUTE(LEFT(TRIM(C153),FIND(" ",TRIM(C153)&amp;" ")-1),",","."),FIND("/",SUBSTITUTE(LEFT(TRIM(C153),FIND(" ",TRIM(C153)&amp;" ")-1),",","."))-1)/MID(SUBSTITUTE(LEFT(TRIM(C153),FIND(" ",TRIM(C153)&amp;" ")-1),",","."),FIND("/",SUBSTITUTE(LEFT(TRIM(C153),FIND(" ",TRIM(C153)&amp;" ")-1),",","."))+1,9))*12/52,IF(ISNUMBER(SEARCH("month",C153)),IFERROR(_xlfn.NUMBERVALUE(SUBSTITUTE(LEFT(TRIM(C153),FIND(" ",TRIM(C153)&amp;" ")-1),",","."),"."),LEFT(SUBSTITUTE(LEFT(TRIM(C153),FIND(" ",TRIM(C153)&amp;" ")-1),",","."),FIND("/",SUBSTITUTE(LEFT(TRIM(C153),FIND(" ",TRIM(C153)&amp;" ")-1),",","."))-1)/MID(SUBSTITUTE(LEFT(TRIM(C153),FIND(" ",TRIM(C153)&amp;" ")-1),",","."),FIND("/",SUBSTITUTE(LEFT(TRIM(C153),FIND(" ",TRIM(C153)&amp;" ")-1),",","."))+1,9)),IF(ISNUMBER(SEARCH("yea",C153)),IFERROR(_xlfn.NUMBERVALUE(SUBSTITUTE(LEFT(TRIM(C153),FIND(" ",TRIM(C153)&amp;" ")-1),",","."),"."),LEFT(SUBSTITUTE(LEFT(TRIM(C153),FIND(" ",TRIM(C153)&amp;" ")-1),",","."),FIND("/",SUBSTITUTE(LEFT(TRIM(C153),FIND(" ",TRIM(C153)&amp;" ")-1),",","."))-1)/MID(SUBSTITUTE(LEFT(TRIM(C153),FIND(" ",TRIM(C153)&amp;" ")-1),",","."),FIND("/",SUBSTITUTE(LEFT(TRIM(C153),FIND(" ",TRIM(C153)&amp;" ")-1),",","."))+1,9))*12,NA()))),0),24)*'Aturan &amp; Tarif'!$B$4,2)</f>
        <v>1362.72</v>
      </c>
      <c r="K153" s="32" t="n">
        <f aca="false">'Aturan &amp; Tarif'!$B$5</f>
        <v>2050</v>
      </c>
      <c r="L153" s="35" t="n">
        <f aca="false">I153+J153+K153</f>
        <v>21224.72</v>
      </c>
      <c r="M153" s="37" t="s">
        <v>318</v>
      </c>
    </row>
    <row r="154" customFormat="false" ht="25.5" hidden="false" customHeight="true" outlineLevel="0" collapsed="false">
      <c r="A154" s="29"/>
      <c r="B154" s="30" t="s">
        <v>379</v>
      </c>
      <c r="C154" s="31" t="s">
        <v>127</v>
      </c>
      <c r="D154" s="31" t="s">
        <v>108</v>
      </c>
      <c r="E154" s="32" t="n">
        <v>8098</v>
      </c>
      <c r="F154" s="32"/>
      <c r="G154" s="32"/>
      <c r="H154" s="33" t="n">
        <v>2</v>
      </c>
      <c r="I154" s="34" t="n">
        <f aca="false">E154*H154+N(F154)+N(G154)</f>
        <v>16196</v>
      </c>
      <c r="J154" s="32" t="n">
        <f aca="false">ROUND(IFERROR(ROUND(IF(OR(ISNUMBER(SEARCH("week",C154)),ISNUMBER(SEARCH("minggu",C154))),IFERROR(_xlfn.NUMBERVALUE(SUBSTITUTE(LEFT(TRIM(C154),FIND(" ",TRIM(C154)&amp;" ")-1),",","."),"."),LEFT(SUBSTITUTE(LEFT(TRIM(C154),FIND(" ",TRIM(C154)&amp;" ")-1),",","."),FIND("/",SUBSTITUTE(LEFT(TRIM(C154),FIND(" ",TRIM(C154)&amp;" ")-1),",","."))-1)/MID(SUBSTITUTE(LEFT(TRIM(C154),FIND(" ",TRIM(C154)&amp;" ")-1),",","."),FIND("/",SUBSTITUTE(LEFT(TRIM(C154),FIND(" ",TRIM(C154)&amp;" ")-1),",","."))+1,9))*12/52,IF(ISNUMBER(SEARCH("month",C154)),IFERROR(_xlfn.NUMBERVALUE(SUBSTITUTE(LEFT(TRIM(C154),FIND(" ",TRIM(C154)&amp;" ")-1),",","."),"."),LEFT(SUBSTITUTE(LEFT(TRIM(C154),FIND(" ",TRIM(C154)&amp;" ")-1),",","."),FIND("/",SUBSTITUTE(LEFT(TRIM(C154),FIND(" ",TRIM(C154)&amp;" ")-1),",","."))-1)/MID(SUBSTITUTE(LEFT(TRIM(C154),FIND(" ",TRIM(C154)&amp;" ")-1),",","."),FIND("/",SUBSTITUTE(LEFT(TRIM(C154),FIND(" ",TRIM(C154)&amp;" ")-1),",","."))+1,9)),IF(ISNUMBER(SEARCH("yea",C154)),IFERROR(_xlfn.NUMBERVALUE(SUBSTITUTE(LEFT(TRIM(C154),FIND(" ",TRIM(C154)&amp;" ")-1),",","."),"."),LEFT(SUBSTITUTE(LEFT(TRIM(C154),FIND(" ",TRIM(C154)&amp;" ")-1),",","."),FIND("/",SUBSTITUTE(LEFT(TRIM(C154),FIND(" ",TRIM(C154)&amp;" ")-1),",","."))-1)/MID(SUBSTITUTE(LEFT(TRIM(C154),FIND(" ",TRIM(C154)&amp;" ")-1),",","."),FIND("/",SUBSTITUTE(LEFT(TRIM(C154),FIND(" ",TRIM(C154)&amp;" ")-1),",","."))+1,9))*12,NA()))),0),36)*'Aturan &amp; Tarif'!$B$4,2)</f>
        <v>2044.08</v>
      </c>
      <c r="K154" s="32" t="n">
        <f aca="false">'Aturan &amp; Tarif'!$B$5</f>
        <v>2050</v>
      </c>
      <c r="L154" s="35" t="n">
        <f aca="false">I154+J154+K154</f>
        <v>20290.08</v>
      </c>
      <c r="M154" s="37" t="s">
        <v>318</v>
      </c>
    </row>
    <row r="155" customFormat="false" ht="14.25" hidden="false" customHeight="true" outlineLevel="0" collapsed="false">
      <c r="A155" s="29"/>
      <c r="B155" s="30" t="s">
        <v>380</v>
      </c>
      <c r="C155" s="31" t="s">
        <v>191</v>
      </c>
      <c r="D155" s="31" t="s">
        <v>108</v>
      </c>
      <c r="E155" s="32" t="n">
        <v>8906</v>
      </c>
      <c r="F155" s="32"/>
      <c r="G155" s="32"/>
      <c r="H155" s="33" t="n">
        <v>2</v>
      </c>
      <c r="I155" s="34" t="n">
        <f aca="false">E155*H155+N(F155)+N(G155)</f>
        <v>17812</v>
      </c>
      <c r="J155" s="32" t="n">
        <f aca="false">ROUND(IFERROR(ROUND(IF(OR(ISNUMBER(SEARCH("week",C155)),ISNUMBER(SEARCH("minggu",C155))),IFERROR(_xlfn.NUMBERVALUE(SUBSTITUTE(LEFT(TRIM(C155),FIND(" ",TRIM(C155)&amp;" ")-1),",","."),"."),LEFT(SUBSTITUTE(LEFT(TRIM(C155),FIND(" ",TRIM(C155)&amp;" ")-1),",","."),FIND("/",SUBSTITUTE(LEFT(TRIM(C155),FIND(" ",TRIM(C155)&amp;" ")-1),",","."))-1)/MID(SUBSTITUTE(LEFT(TRIM(C155),FIND(" ",TRIM(C155)&amp;" ")-1),",","."),FIND("/",SUBSTITUTE(LEFT(TRIM(C155),FIND(" ",TRIM(C155)&amp;" ")-1),",","."))+1,9))*12/52,IF(ISNUMBER(SEARCH("month",C155)),IFERROR(_xlfn.NUMBERVALUE(SUBSTITUTE(LEFT(TRIM(C155),FIND(" ",TRIM(C155)&amp;" ")-1),",","."),"."),LEFT(SUBSTITUTE(LEFT(TRIM(C155),FIND(" ",TRIM(C155)&amp;" ")-1),",","."),FIND("/",SUBSTITUTE(LEFT(TRIM(C155),FIND(" ",TRIM(C155)&amp;" ")-1),",","."))-1)/MID(SUBSTITUTE(LEFT(TRIM(C155),FIND(" ",TRIM(C155)&amp;" ")-1),",","."),FIND("/",SUBSTITUTE(LEFT(TRIM(C155),FIND(" ",TRIM(C155)&amp;" ")-1),",","."))+1,9)),IF(ISNUMBER(SEARCH("yea",C155)),IFERROR(_xlfn.NUMBERVALUE(SUBSTITUTE(LEFT(TRIM(C155),FIND(" ",TRIM(C155)&amp;" ")-1),",","."),"."),LEFT(SUBSTITUTE(LEFT(TRIM(C155),FIND(" ",TRIM(C155)&amp;" ")-1),",","."),FIND("/",SUBSTITUTE(LEFT(TRIM(C155),FIND(" ",TRIM(C155)&amp;" ")-1),",","."))-1)/MID(SUBSTITUTE(LEFT(TRIM(C155),FIND(" ",TRIM(C155)&amp;" ")-1),",","."),FIND("/",SUBSTITUTE(LEFT(TRIM(C155),FIND(" ",TRIM(C155)&amp;" ")-1),",","."))+1,9))*12,NA()))),0),48)*'Aturan &amp; Tarif'!$B$4,2)</f>
        <v>2725.44</v>
      </c>
      <c r="K155" s="32" t="n">
        <f aca="false">'Aturan &amp; Tarif'!$B$5</f>
        <v>2050</v>
      </c>
      <c r="L155" s="35" t="n">
        <f aca="false">I155+J155+K155</f>
        <v>22587.44</v>
      </c>
      <c r="M155" s="37" t="s">
        <v>318</v>
      </c>
    </row>
    <row r="156" customFormat="false" ht="25.5" hidden="false" customHeight="true" outlineLevel="0" collapsed="false">
      <c r="A156" s="29"/>
      <c r="B156" s="30" t="s">
        <v>381</v>
      </c>
      <c r="C156" s="31" t="s">
        <v>127</v>
      </c>
      <c r="D156" s="31" t="s">
        <v>108</v>
      </c>
      <c r="E156" s="32" t="n">
        <v>8098</v>
      </c>
      <c r="F156" s="32"/>
      <c r="G156" s="32"/>
      <c r="H156" s="33" t="n">
        <v>2</v>
      </c>
      <c r="I156" s="34" t="n">
        <f aca="false">E156*H156+N(F156)+N(G156)</f>
        <v>16196</v>
      </c>
      <c r="J156" s="32" t="n">
        <f aca="false">ROUND(IFERROR(ROUND(IF(OR(ISNUMBER(SEARCH("week",C156)),ISNUMBER(SEARCH("minggu",C156))),IFERROR(_xlfn.NUMBERVALUE(SUBSTITUTE(LEFT(TRIM(C156),FIND(" ",TRIM(C156)&amp;" ")-1),",","."),"."),LEFT(SUBSTITUTE(LEFT(TRIM(C156),FIND(" ",TRIM(C156)&amp;" ")-1),",","."),FIND("/",SUBSTITUTE(LEFT(TRIM(C156),FIND(" ",TRIM(C156)&amp;" ")-1),",","."))-1)/MID(SUBSTITUTE(LEFT(TRIM(C156),FIND(" ",TRIM(C156)&amp;" ")-1),",","."),FIND("/",SUBSTITUTE(LEFT(TRIM(C156),FIND(" ",TRIM(C156)&amp;" ")-1),",","."))+1,9))*12/52,IF(ISNUMBER(SEARCH("month",C156)),IFERROR(_xlfn.NUMBERVALUE(SUBSTITUTE(LEFT(TRIM(C156),FIND(" ",TRIM(C156)&amp;" ")-1),",","."),"."),LEFT(SUBSTITUTE(LEFT(TRIM(C156),FIND(" ",TRIM(C156)&amp;" ")-1),",","."),FIND("/",SUBSTITUTE(LEFT(TRIM(C156),FIND(" ",TRIM(C156)&amp;" ")-1),",","."))-1)/MID(SUBSTITUTE(LEFT(TRIM(C156),FIND(" ",TRIM(C156)&amp;" ")-1),",","."),FIND("/",SUBSTITUTE(LEFT(TRIM(C156),FIND(" ",TRIM(C156)&amp;" ")-1),",","."))+1,9)),IF(ISNUMBER(SEARCH("yea",C156)),IFERROR(_xlfn.NUMBERVALUE(SUBSTITUTE(LEFT(TRIM(C156),FIND(" ",TRIM(C156)&amp;" ")-1),",","."),"."),LEFT(SUBSTITUTE(LEFT(TRIM(C156),FIND(" ",TRIM(C156)&amp;" ")-1),",","."),FIND("/",SUBSTITUTE(LEFT(TRIM(C156),FIND(" ",TRIM(C156)&amp;" ")-1),",","."))-1)/MID(SUBSTITUTE(LEFT(TRIM(C156),FIND(" ",TRIM(C156)&amp;" ")-1),",","."),FIND("/",SUBSTITUTE(LEFT(TRIM(C156),FIND(" ",TRIM(C156)&amp;" ")-1),",","."))+1,9))*12,NA()))),0),36)*'Aturan &amp; Tarif'!$B$4,2)</f>
        <v>2044.08</v>
      </c>
      <c r="K156" s="32" t="n">
        <f aca="false">'Aturan &amp; Tarif'!$B$5</f>
        <v>2050</v>
      </c>
      <c r="L156" s="35" t="n">
        <f aca="false">I156+J156+K156</f>
        <v>20290.08</v>
      </c>
      <c r="M156" s="37" t="s">
        <v>318</v>
      </c>
    </row>
    <row r="157" customFormat="false" ht="25.5" hidden="false" customHeight="true" outlineLevel="0" collapsed="false">
      <c r="A157" s="29"/>
      <c r="B157" s="30" t="s">
        <v>382</v>
      </c>
      <c r="C157" s="31" t="s">
        <v>191</v>
      </c>
      <c r="D157" s="31" t="s">
        <v>108</v>
      </c>
      <c r="E157" s="32" t="n">
        <v>8098</v>
      </c>
      <c r="F157" s="32"/>
      <c r="G157" s="32"/>
      <c r="H157" s="33" t="n">
        <v>2</v>
      </c>
      <c r="I157" s="34" t="n">
        <f aca="false">E157*H157+N(F157)+N(G157)</f>
        <v>16196</v>
      </c>
      <c r="J157" s="32" t="n">
        <f aca="false">ROUND(IFERROR(ROUND(IF(OR(ISNUMBER(SEARCH("week",C157)),ISNUMBER(SEARCH("minggu",C157))),IFERROR(_xlfn.NUMBERVALUE(SUBSTITUTE(LEFT(TRIM(C157),FIND(" ",TRIM(C157)&amp;" ")-1),",","."),"."),LEFT(SUBSTITUTE(LEFT(TRIM(C157),FIND(" ",TRIM(C157)&amp;" ")-1),",","."),FIND("/",SUBSTITUTE(LEFT(TRIM(C157),FIND(" ",TRIM(C157)&amp;" ")-1),",","."))-1)/MID(SUBSTITUTE(LEFT(TRIM(C157),FIND(" ",TRIM(C157)&amp;" ")-1),",","."),FIND("/",SUBSTITUTE(LEFT(TRIM(C157),FIND(" ",TRIM(C157)&amp;" ")-1),",","."))+1,9))*12/52,IF(ISNUMBER(SEARCH("month",C157)),IFERROR(_xlfn.NUMBERVALUE(SUBSTITUTE(LEFT(TRIM(C157),FIND(" ",TRIM(C157)&amp;" ")-1),",","."),"."),LEFT(SUBSTITUTE(LEFT(TRIM(C157),FIND(" ",TRIM(C157)&amp;" ")-1),",","."),FIND("/",SUBSTITUTE(LEFT(TRIM(C157),FIND(" ",TRIM(C157)&amp;" ")-1),",","."))-1)/MID(SUBSTITUTE(LEFT(TRIM(C157),FIND(" ",TRIM(C157)&amp;" ")-1),",","."),FIND("/",SUBSTITUTE(LEFT(TRIM(C157),FIND(" ",TRIM(C157)&amp;" ")-1),",","."))+1,9)),IF(ISNUMBER(SEARCH("yea",C157)),IFERROR(_xlfn.NUMBERVALUE(SUBSTITUTE(LEFT(TRIM(C157),FIND(" ",TRIM(C157)&amp;" ")-1),",","."),"."),LEFT(SUBSTITUTE(LEFT(TRIM(C157),FIND(" ",TRIM(C157)&amp;" ")-1),",","."),FIND("/",SUBSTITUTE(LEFT(TRIM(C157),FIND(" ",TRIM(C157)&amp;" ")-1),",","."))-1)/MID(SUBSTITUTE(LEFT(TRIM(C157),FIND(" ",TRIM(C157)&amp;" ")-1),",","."),FIND("/",SUBSTITUTE(LEFT(TRIM(C157),FIND(" ",TRIM(C157)&amp;" ")-1),",","."))+1,9))*12,NA()))),0),48)*'Aturan &amp; Tarif'!$B$4,2)</f>
        <v>2725.44</v>
      </c>
      <c r="K157" s="32" t="n">
        <f aca="false">'Aturan &amp; Tarif'!$B$5</f>
        <v>2050</v>
      </c>
      <c r="L157" s="35" t="n">
        <f aca="false">I157+J157+K157</f>
        <v>20971.44</v>
      </c>
      <c r="M157" s="37" t="s">
        <v>318</v>
      </c>
    </row>
    <row r="158" customFormat="false" ht="14.25" hidden="false" customHeight="true" outlineLevel="0" collapsed="false">
      <c r="A158" s="29"/>
      <c r="B158" s="30" t="s">
        <v>383</v>
      </c>
      <c r="C158" s="31" t="s">
        <v>191</v>
      </c>
      <c r="D158" s="31" t="s">
        <v>108</v>
      </c>
      <c r="E158" s="32" t="n">
        <v>8906</v>
      </c>
      <c r="F158" s="32"/>
      <c r="G158" s="32"/>
      <c r="H158" s="33" t="n">
        <v>2</v>
      </c>
      <c r="I158" s="34" t="n">
        <f aca="false">E158*H158+N(F158)+N(G158)</f>
        <v>17812</v>
      </c>
      <c r="J158" s="32" t="n">
        <f aca="false">ROUND(IFERROR(ROUND(IF(OR(ISNUMBER(SEARCH("week",C158)),ISNUMBER(SEARCH("minggu",C158))),IFERROR(_xlfn.NUMBERVALUE(SUBSTITUTE(LEFT(TRIM(C158),FIND(" ",TRIM(C158)&amp;" ")-1),",","."),"."),LEFT(SUBSTITUTE(LEFT(TRIM(C158),FIND(" ",TRIM(C158)&amp;" ")-1),",","."),FIND("/",SUBSTITUTE(LEFT(TRIM(C158),FIND(" ",TRIM(C158)&amp;" ")-1),",","."))-1)/MID(SUBSTITUTE(LEFT(TRIM(C158),FIND(" ",TRIM(C158)&amp;" ")-1),",","."),FIND("/",SUBSTITUTE(LEFT(TRIM(C158),FIND(" ",TRIM(C158)&amp;" ")-1),",","."))+1,9))*12/52,IF(ISNUMBER(SEARCH("month",C158)),IFERROR(_xlfn.NUMBERVALUE(SUBSTITUTE(LEFT(TRIM(C158),FIND(" ",TRIM(C158)&amp;" ")-1),",","."),"."),LEFT(SUBSTITUTE(LEFT(TRIM(C158),FIND(" ",TRIM(C158)&amp;" ")-1),",","."),FIND("/",SUBSTITUTE(LEFT(TRIM(C158),FIND(" ",TRIM(C158)&amp;" ")-1),",","."))-1)/MID(SUBSTITUTE(LEFT(TRIM(C158),FIND(" ",TRIM(C158)&amp;" ")-1),",","."),FIND("/",SUBSTITUTE(LEFT(TRIM(C158),FIND(" ",TRIM(C158)&amp;" ")-1),",","."))+1,9)),IF(ISNUMBER(SEARCH("yea",C158)),IFERROR(_xlfn.NUMBERVALUE(SUBSTITUTE(LEFT(TRIM(C158),FIND(" ",TRIM(C158)&amp;" ")-1),",","."),"."),LEFT(SUBSTITUTE(LEFT(TRIM(C158),FIND(" ",TRIM(C158)&amp;" ")-1),",","."),FIND("/",SUBSTITUTE(LEFT(TRIM(C158),FIND(" ",TRIM(C158)&amp;" ")-1),",","."))-1)/MID(SUBSTITUTE(LEFT(TRIM(C158),FIND(" ",TRIM(C158)&amp;" ")-1),",","."),FIND("/",SUBSTITUTE(LEFT(TRIM(C158),FIND(" ",TRIM(C158)&amp;" ")-1),",","."))+1,9))*12,NA()))),0),48)*'Aturan &amp; Tarif'!$B$4,2)</f>
        <v>2725.44</v>
      </c>
      <c r="K158" s="32" t="n">
        <f aca="false">'Aturan &amp; Tarif'!$B$5</f>
        <v>2050</v>
      </c>
      <c r="L158" s="35" t="n">
        <f aca="false">I158+J158+K158</f>
        <v>22587.44</v>
      </c>
      <c r="M158" s="37" t="s">
        <v>318</v>
      </c>
    </row>
    <row r="159" customFormat="false" ht="14.25" hidden="false" customHeight="true" outlineLevel="0" collapsed="false">
      <c r="A159" s="29"/>
      <c r="B159" s="30" t="s">
        <v>265</v>
      </c>
      <c r="C159" s="31" t="s">
        <v>127</v>
      </c>
      <c r="D159" s="31" t="s">
        <v>108</v>
      </c>
      <c r="E159" s="32" t="n">
        <v>9820</v>
      </c>
      <c r="F159" s="32"/>
      <c r="G159" s="32"/>
      <c r="H159" s="33" t="n">
        <v>2</v>
      </c>
      <c r="I159" s="34" t="n">
        <f aca="false">E159*H159+N(F159)+N(G159)</f>
        <v>19640</v>
      </c>
      <c r="J159" s="32" t="n">
        <f aca="false">ROUND(IFERROR(ROUND(IF(OR(ISNUMBER(SEARCH("week",C159)),ISNUMBER(SEARCH("minggu",C159))),IFERROR(_xlfn.NUMBERVALUE(SUBSTITUTE(LEFT(TRIM(C159),FIND(" ",TRIM(C159)&amp;" ")-1),",","."),"."),LEFT(SUBSTITUTE(LEFT(TRIM(C159),FIND(" ",TRIM(C159)&amp;" ")-1),",","."),FIND("/",SUBSTITUTE(LEFT(TRIM(C159),FIND(" ",TRIM(C159)&amp;" ")-1),",","."))-1)/MID(SUBSTITUTE(LEFT(TRIM(C159),FIND(" ",TRIM(C159)&amp;" ")-1),",","."),FIND("/",SUBSTITUTE(LEFT(TRIM(C159),FIND(" ",TRIM(C159)&amp;" ")-1),",","."))+1,9))*12/52,IF(ISNUMBER(SEARCH("month",C159)),IFERROR(_xlfn.NUMBERVALUE(SUBSTITUTE(LEFT(TRIM(C159),FIND(" ",TRIM(C159)&amp;" ")-1),",","."),"."),LEFT(SUBSTITUTE(LEFT(TRIM(C159),FIND(" ",TRIM(C159)&amp;" ")-1),",","."),FIND("/",SUBSTITUTE(LEFT(TRIM(C159),FIND(" ",TRIM(C159)&amp;" ")-1),",","."))-1)/MID(SUBSTITUTE(LEFT(TRIM(C159),FIND(" ",TRIM(C159)&amp;" ")-1),",","."),FIND("/",SUBSTITUTE(LEFT(TRIM(C159),FIND(" ",TRIM(C159)&amp;" ")-1),",","."))+1,9)),IF(ISNUMBER(SEARCH("yea",C159)),IFERROR(_xlfn.NUMBERVALUE(SUBSTITUTE(LEFT(TRIM(C159),FIND(" ",TRIM(C159)&amp;" ")-1),",","."),"."),LEFT(SUBSTITUTE(LEFT(TRIM(C159),FIND(" ",TRIM(C159)&amp;" ")-1),",","."),FIND("/",SUBSTITUTE(LEFT(TRIM(C159),FIND(" ",TRIM(C159)&amp;" ")-1),",","."))-1)/MID(SUBSTITUTE(LEFT(TRIM(C159),FIND(" ",TRIM(C159)&amp;" ")-1),",","."),FIND("/",SUBSTITUTE(LEFT(TRIM(C159),FIND(" ",TRIM(C159)&amp;" ")-1),",","."))+1,9))*12,NA()))),0),36)*'Aturan &amp; Tarif'!$B$4,2)</f>
        <v>2044.08</v>
      </c>
      <c r="K159" s="32" t="n">
        <f aca="false">'Aturan &amp; Tarif'!$B$5</f>
        <v>2050</v>
      </c>
      <c r="L159" s="35" t="n">
        <f aca="false">I159+J159+K159</f>
        <v>23734.08</v>
      </c>
      <c r="M159" s="37" t="s">
        <v>318</v>
      </c>
    </row>
    <row r="160" customFormat="false" ht="14.25" hidden="false" customHeight="true" outlineLevel="0" collapsed="false">
      <c r="A160" s="29"/>
      <c r="B160" s="30" t="s">
        <v>384</v>
      </c>
      <c r="C160" s="31" t="s">
        <v>127</v>
      </c>
      <c r="D160" s="31" t="s">
        <v>108</v>
      </c>
      <c r="E160" s="32" t="n">
        <v>9820</v>
      </c>
      <c r="F160" s="32"/>
      <c r="G160" s="32"/>
      <c r="H160" s="33" t="n">
        <v>2</v>
      </c>
      <c r="I160" s="34" t="n">
        <f aca="false">E160*H160+N(F160)+N(G160)</f>
        <v>19640</v>
      </c>
      <c r="J160" s="32" t="n">
        <f aca="false">ROUND(IFERROR(ROUND(IF(OR(ISNUMBER(SEARCH("week",C160)),ISNUMBER(SEARCH("minggu",C160))),IFERROR(_xlfn.NUMBERVALUE(SUBSTITUTE(LEFT(TRIM(C160),FIND(" ",TRIM(C160)&amp;" ")-1),",","."),"."),LEFT(SUBSTITUTE(LEFT(TRIM(C160),FIND(" ",TRIM(C160)&amp;" ")-1),",","."),FIND("/",SUBSTITUTE(LEFT(TRIM(C160),FIND(" ",TRIM(C160)&amp;" ")-1),",","."))-1)/MID(SUBSTITUTE(LEFT(TRIM(C160),FIND(" ",TRIM(C160)&amp;" ")-1),",","."),FIND("/",SUBSTITUTE(LEFT(TRIM(C160),FIND(" ",TRIM(C160)&amp;" ")-1),",","."))+1,9))*12/52,IF(ISNUMBER(SEARCH("month",C160)),IFERROR(_xlfn.NUMBERVALUE(SUBSTITUTE(LEFT(TRIM(C160),FIND(" ",TRIM(C160)&amp;" ")-1),",","."),"."),LEFT(SUBSTITUTE(LEFT(TRIM(C160),FIND(" ",TRIM(C160)&amp;" ")-1),",","."),FIND("/",SUBSTITUTE(LEFT(TRIM(C160),FIND(" ",TRIM(C160)&amp;" ")-1),",","."))-1)/MID(SUBSTITUTE(LEFT(TRIM(C160),FIND(" ",TRIM(C160)&amp;" ")-1),",","."),FIND("/",SUBSTITUTE(LEFT(TRIM(C160),FIND(" ",TRIM(C160)&amp;" ")-1),",","."))+1,9)),IF(ISNUMBER(SEARCH("yea",C160)),IFERROR(_xlfn.NUMBERVALUE(SUBSTITUTE(LEFT(TRIM(C160),FIND(" ",TRIM(C160)&amp;" ")-1),",","."),"."),LEFT(SUBSTITUTE(LEFT(TRIM(C160),FIND(" ",TRIM(C160)&amp;" ")-1),",","."),FIND("/",SUBSTITUTE(LEFT(TRIM(C160),FIND(" ",TRIM(C160)&amp;" ")-1),",","."))-1)/MID(SUBSTITUTE(LEFT(TRIM(C160),FIND(" ",TRIM(C160)&amp;" ")-1),",","."),FIND("/",SUBSTITUTE(LEFT(TRIM(C160),FIND(" ",TRIM(C160)&amp;" ")-1),",","."))+1,9))*12,NA()))),0),36)*'Aturan &amp; Tarif'!$B$4,2)</f>
        <v>2044.08</v>
      </c>
      <c r="K160" s="32" t="n">
        <f aca="false">'Aturan &amp; Tarif'!$B$5</f>
        <v>2050</v>
      </c>
      <c r="L160" s="35" t="n">
        <f aca="false">I160+J160+K160</f>
        <v>23734.08</v>
      </c>
      <c r="M160" s="37" t="s">
        <v>318</v>
      </c>
    </row>
    <row r="161" customFormat="false" ht="14.25" hidden="false" customHeight="true" outlineLevel="0" collapsed="false">
      <c r="A161" s="29"/>
      <c r="B161" s="30" t="s">
        <v>385</v>
      </c>
      <c r="C161" s="31" t="s">
        <v>127</v>
      </c>
      <c r="D161" s="31" t="s">
        <v>108</v>
      </c>
      <c r="E161" s="32" t="n">
        <v>8098</v>
      </c>
      <c r="F161" s="32"/>
      <c r="G161" s="32"/>
      <c r="H161" s="33" t="n">
        <v>2</v>
      </c>
      <c r="I161" s="34" t="n">
        <f aca="false">E161*H161+N(F161)+N(G161)</f>
        <v>16196</v>
      </c>
      <c r="J161" s="32" t="n">
        <f aca="false">ROUND(IFERROR(ROUND(IF(OR(ISNUMBER(SEARCH("week",C161)),ISNUMBER(SEARCH("minggu",C161))),IFERROR(_xlfn.NUMBERVALUE(SUBSTITUTE(LEFT(TRIM(C161),FIND(" ",TRIM(C161)&amp;" ")-1),",","."),"."),LEFT(SUBSTITUTE(LEFT(TRIM(C161),FIND(" ",TRIM(C161)&amp;" ")-1),",","."),FIND("/",SUBSTITUTE(LEFT(TRIM(C161),FIND(" ",TRIM(C161)&amp;" ")-1),",","."))-1)/MID(SUBSTITUTE(LEFT(TRIM(C161),FIND(" ",TRIM(C161)&amp;" ")-1),",","."),FIND("/",SUBSTITUTE(LEFT(TRIM(C161),FIND(" ",TRIM(C161)&amp;" ")-1),",","."))+1,9))*12/52,IF(ISNUMBER(SEARCH("month",C161)),IFERROR(_xlfn.NUMBERVALUE(SUBSTITUTE(LEFT(TRIM(C161),FIND(" ",TRIM(C161)&amp;" ")-1),",","."),"."),LEFT(SUBSTITUTE(LEFT(TRIM(C161),FIND(" ",TRIM(C161)&amp;" ")-1),",","."),FIND("/",SUBSTITUTE(LEFT(TRIM(C161),FIND(" ",TRIM(C161)&amp;" ")-1),",","."))-1)/MID(SUBSTITUTE(LEFT(TRIM(C161),FIND(" ",TRIM(C161)&amp;" ")-1),",","."),FIND("/",SUBSTITUTE(LEFT(TRIM(C161),FIND(" ",TRIM(C161)&amp;" ")-1),",","."))+1,9)),IF(ISNUMBER(SEARCH("yea",C161)),IFERROR(_xlfn.NUMBERVALUE(SUBSTITUTE(LEFT(TRIM(C161),FIND(" ",TRIM(C161)&amp;" ")-1),",","."),"."),LEFT(SUBSTITUTE(LEFT(TRIM(C161),FIND(" ",TRIM(C161)&amp;" ")-1),",","."),FIND("/",SUBSTITUTE(LEFT(TRIM(C161),FIND(" ",TRIM(C161)&amp;" ")-1),",","."))-1)/MID(SUBSTITUTE(LEFT(TRIM(C161),FIND(" ",TRIM(C161)&amp;" ")-1),",","."),FIND("/",SUBSTITUTE(LEFT(TRIM(C161),FIND(" ",TRIM(C161)&amp;" ")-1),",","."))+1,9))*12,NA()))),0),36)*'Aturan &amp; Tarif'!$B$4,2)</f>
        <v>2044.08</v>
      </c>
      <c r="K161" s="32" t="n">
        <f aca="false">'Aturan &amp; Tarif'!$B$5</f>
        <v>2050</v>
      </c>
      <c r="L161" s="35" t="n">
        <f aca="false">I161+J161+K161</f>
        <v>20290.08</v>
      </c>
      <c r="M161" s="37" t="s">
        <v>318</v>
      </c>
    </row>
    <row r="162" customFormat="false" ht="72" hidden="false" customHeight="true" outlineLevel="0" collapsed="false">
      <c r="A162" s="29"/>
      <c r="B162" s="30" t="s">
        <v>386</v>
      </c>
      <c r="C162" s="31" t="s">
        <v>191</v>
      </c>
      <c r="D162" s="31" t="s">
        <v>108</v>
      </c>
      <c r="E162" s="32" t="n">
        <v>13136</v>
      </c>
      <c r="F162" s="32"/>
      <c r="G162" s="32"/>
      <c r="H162" s="33" t="n">
        <v>2</v>
      </c>
      <c r="I162" s="34" t="n">
        <f aca="false">E162*H162+N(F162)+N(G162)</f>
        <v>26272</v>
      </c>
      <c r="J162" s="32" t="n">
        <f aca="false">ROUND(IFERROR(ROUND(IF(OR(ISNUMBER(SEARCH("week",C162)),ISNUMBER(SEARCH("minggu",C162))),IFERROR(_xlfn.NUMBERVALUE(SUBSTITUTE(LEFT(TRIM(C162),FIND(" ",TRIM(C162)&amp;" ")-1),",","."),"."),LEFT(SUBSTITUTE(LEFT(TRIM(C162),FIND(" ",TRIM(C162)&amp;" ")-1),",","."),FIND("/",SUBSTITUTE(LEFT(TRIM(C162),FIND(" ",TRIM(C162)&amp;" ")-1),",","."))-1)/MID(SUBSTITUTE(LEFT(TRIM(C162),FIND(" ",TRIM(C162)&amp;" ")-1),",","."),FIND("/",SUBSTITUTE(LEFT(TRIM(C162),FIND(" ",TRIM(C162)&amp;" ")-1),",","."))+1,9))*12/52,IF(ISNUMBER(SEARCH("month",C162)),IFERROR(_xlfn.NUMBERVALUE(SUBSTITUTE(LEFT(TRIM(C162),FIND(" ",TRIM(C162)&amp;" ")-1),",","."),"."),LEFT(SUBSTITUTE(LEFT(TRIM(C162),FIND(" ",TRIM(C162)&amp;" ")-1),",","."),FIND("/",SUBSTITUTE(LEFT(TRIM(C162),FIND(" ",TRIM(C162)&amp;" ")-1),",","."))-1)/MID(SUBSTITUTE(LEFT(TRIM(C162),FIND(" ",TRIM(C162)&amp;" ")-1),",","."),FIND("/",SUBSTITUTE(LEFT(TRIM(C162),FIND(" ",TRIM(C162)&amp;" ")-1),",","."))+1,9)),IF(ISNUMBER(SEARCH("yea",C162)),IFERROR(_xlfn.NUMBERVALUE(SUBSTITUTE(LEFT(TRIM(C162),FIND(" ",TRIM(C162)&amp;" ")-1),",","."),"."),LEFT(SUBSTITUTE(LEFT(TRIM(C162),FIND(" ",TRIM(C162)&amp;" ")-1),",","."),FIND("/",SUBSTITUTE(LEFT(TRIM(C162),FIND(" ",TRIM(C162)&amp;" ")-1),",","."))-1)/MID(SUBSTITUTE(LEFT(TRIM(C162),FIND(" ",TRIM(C162)&amp;" ")-1),",","."),FIND("/",SUBSTITUTE(LEFT(TRIM(C162),FIND(" ",TRIM(C162)&amp;" ")-1),",","."))+1,9))*12,NA()))),0),48)*'Aturan &amp; Tarif'!$B$4,2)</f>
        <v>2725.44</v>
      </c>
      <c r="K162" s="32" t="n">
        <f aca="false">'Aturan &amp; Tarif'!$B$5</f>
        <v>2050</v>
      </c>
      <c r="L162" s="35" t="n">
        <f aca="false">I162+J162+K162</f>
        <v>31047.44</v>
      </c>
      <c r="M162" s="37" t="s">
        <v>318</v>
      </c>
    </row>
    <row r="163" customFormat="false" ht="25.5" hidden="false" customHeight="true" outlineLevel="0" collapsed="false">
      <c r="A163" s="29"/>
      <c r="B163" s="30" t="s">
        <v>387</v>
      </c>
      <c r="C163" s="31" t="s">
        <v>191</v>
      </c>
      <c r="D163" s="31" t="s">
        <v>108</v>
      </c>
      <c r="E163" s="32" t="n">
        <v>13136</v>
      </c>
      <c r="F163" s="32"/>
      <c r="G163" s="32"/>
      <c r="H163" s="33" t="n">
        <v>2</v>
      </c>
      <c r="I163" s="34" t="n">
        <f aca="false">E163*H163+N(F163)+N(G163)</f>
        <v>26272</v>
      </c>
      <c r="J163" s="32" t="n">
        <f aca="false">ROUND(IFERROR(ROUND(IF(OR(ISNUMBER(SEARCH("week",C163)),ISNUMBER(SEARCH("minggu",C163))),IFERROR(_xlfn.NUMBERVALUE(SUBSTITUTE(LEFT(TRIM(C163),FIND(" ",TRIM(C163)&amp;" ")-1),",","."),"."),LEFT(SUBSTITUTE(LEFT(TRIM(C163),FIND(" ",TRIM(C163)&amp;" ")-1),",","."),FIND("/",SUBSTITUTE(LEFT(TRIM(C163),FIND(" ",TRIM(C163)&amp;" ")-1),",","."))-1)/MID(SUBSTITUTE(LEFT(TRIM(C163),FIND(" ",TRIM(C163)&amp;" ")-1),",","."),FIND("/",SUBSTITUTE(LEFT(TRIM(C163),FIND(" ",TRIM(C163)&amp;" ")-1),",","."))+1,9))*12/52,IF(ISNUMBER(SEARCH("month",C163)),IFERROR(_xlfn.NUMBERVALUE(SUBSTITUTE(LEFT(TRIM(C163),FIND(" ",TRIM(C163)&amp;" ")-1),",","."),"."),LEFT(SUBSTITUTE(LEFT(TRIM(C163),FIND(" ",TRIM(C163)&amp;" ")-1),",","."),FIND("/",SUBSTITUTE(LEFT(TRIM(C163),FIND(" ",TRIM(C163)&amp;" ")-1),",","."))-1)/MID(SUBSTITUTE(LEFT(TRIM(C163),FIND(" ",TRIM(C163)&amp;" ")-1),",","."),FIND("/",SUBSTITUTE(LEFT(TRIM(C163),FIND(" ",TRIM(C163)&amp;" ")-1),",","."))+1,9)),IF(ISNUMBER(SEARCH("yea",C163)),IFERROR(_xlfn.NUMBERVALUE(SUBSTITUTE(LEFT(TRIM(C163),FIND(" ",TRIM(C163)&amp;" ")-1),",","."),"."),LEFT(SUBSTITUTE(LEFT(TRIM(C163),FIND(" ",TRIM(C163)&amp;" ")-1),",","."),FIND("/",SUBSTITUTE(LEFT(TRIM(C163),FIND(" ",TRIM(C163)&amp;" ")-1),",","."))-1)/MID(SUBSTITUTE(LEFT(TRIM(C163),FIND(" ",TRIM(C163)&amp;" ")-1),",","."),FIND("/",SUBSTITUTE(LEFT(TRIM(C163),FIND(" ",TRIM(C163)&amp;" ")-1),",","."))+1,9))*12,NA()))),0),48)*'Aturan &amp; Tarif'!$B$4,2)</f>
        <v>2725.44</v>
      </c>
      <c r="K163" s="32" t="n">
        <f aca="false">'Aturan &amp; Tarif'!$B$5</f>
        <v>2050</v>
      </c>
      <c r="L163" s="35" t="n">
        <f aca="false">I163+J163+K163</f>
        <v>31047.44</v>
      </c>
      <c r="M163" s="36" t="s">
        <v>388</v>
      </c>
    </row>
    <row r="164" customFormat="false" ht="37.5" hidden="false" customHeight="true" outlineLevel="0" collapsed="false">
      <c r="A164" s="29"/>
      <c r="B164" s="30" t="s">
        <v>389</v>
      </c>
      <c r="C164" s="31" t="s">
        <v>191</v>
      </c>
      <c r="D164" s="31" t="s">
        <v>108</v>
      </c>
      <c r="E164" s="32" t="n">
        <v>8098</v>
      </c>
      <c r="F164" s="32"/>
      <c r="G164" s="32"/>
      <c r="H164" s="33" t="n">
        <v>2</v>
      </c>
      <c r="I164" s="34" t="n">
        <f aca="false">E164*H164+N(F164)+N(G164)</f>
        <v>16196</v>
      </c>
      <c r="J164" s="32" t="n">
        <f aca="false">ROUND(IFERROR(ROUND(IF(OR(ISNUMBER(SEARCH("week",C164)),ISNUMBER(SEARCH("minggu",C164))),IFERROR(_xlfn.NUMBERVALUE(SUBSTITUTE(LEFT(TRIM(C164),FIND(" ",TRIM(C164)&amp;" ")-1),",","."),"."),LEFT(SUBSTITUTE(LEFT(TRIM(C164),FIND(" ",TRIM(C164)&amp;" ")-1),",","."),FIND("/",SUBSTITUTE(LEFT(TRIM(C164),FIND(" ",TRIM(C164)&amp;" ")-1),",","."))-1)/MID(SUBSTITUTE(LEFT(TRIM(C164),FIND(" ",TRIM(C164)&amp;" ")-1),",","."),FIND("/",SUBSTITUTE(LEFT(TRIM(C164),FIND(" ",TRIM(C164)&amp;" ")-1),",","."))+1,9))*12/52,IF(ISNUMBER(SEARCH("month",C164)),IFERROR(_xlfn.NUMBERVALUE(SUBSTITUTE(LEFT(TRIM(C164),FIND(" ",TRIM(C164)&amp;" ")-1),",","."),"."),LEFT(SUBSTITUTE(LEFT(TRIM(C164),FIND(" ",TRIM(C164)&amp;" ")-1),",","."),FIND("/",SUBSTITUTE(LEFT(TRIM(C164),FIND(" ",TRIM(C164)&amp;" ")-1),",","."))-1)/MID(SUBSTITUTE(LEFT(TRIM(C164),FIND(" ",TRIM(C164)&amp;" ")-1),",","."),FIND("/",SUBSTITUTE(LEFT(TRIM(C164),FIND(" ",TRIM(C164)&amp;" ")-1),",","."))+1,9)),IF(ISNUMBER(SEARCH("yea",C164)),IFERROR(_xlfn.NUMBERVALUE(SUBSTITUTE(LEFT(TRIM(C164),FIND(" ",TRIM(C164)&amp;" ")-1),",","."),"."),LEFT(SUBSTITUTE(LEFT(TRIM(C164),FIND(" ",TRIM(C164)&amp;" ")-1),",","."),FIND("/",SUBSTITUTE(LEFT(TRIM(C164),FIND(" ",TRIM(C164)&amp;" ")-1),",","."))-1)/MID(SUBSTITUTE(LEFT(TRIM(C164),FIND(" ",TRIM(C164)&amp;" ")-1),",","."),FIND("/",SUBSTITUTE(LEFT(TRIM(C164),FIND(" ",TRIM(C164)&amp;" ")-1),",","."))+1,9))*12,NA()))),0),48)*'Aturan &amp; Tarif'!$B$4,2)</f>
        <v>2725.44</v>
      </c>
      <c r="K164" s="32" t="n">
        <f aca="false">'Aturan &amp; Tarif'!$B$5</f>
        <v>2050</v>
      </c>
      <c r="L164" s="35" t="n">
        <f aca="false">I164+J164+K164</f>
        <v>20971.44</v>
      </c>
      <c r="M164" s="37" t="s">
        <v>318</v>
      </c>
    </row>
    <row r="165" customFormat="false" ht="37.5" hidden="false" customHeight="true" outlineLevel="0" collapsed="false">
      <c r="A165" s="29"/>
      <c r="B165" s="30" t="s">
        <v>390</v>
      </c>
      <c r="C165" s="31" t="s">
        <v>191</v>
      </c>
      <c r="D165" s="31" t="s">
        <v>108</v>
      </c>
      <c r="E165" s="32" t="n">
        <v>8098</v>
      </c>
      <c r="F165" s="32"/>
      <c r="G165" s="32"/>
      <c r="H165" s="33" t="n">
        <v>2</v>
      </c>
      <c r="I165" s="34" t="n">
        <f aca="false">E165*H165+N(F165)+N(G165)</f>
        <v>16196</v>
      </c>
      <c r="J165" s="32" t="n">
        <f aca="false">ROUND(IFERROR(ROUND(IF(OR(ISNUMBER(SEARCH("week",C165)),ISNUMBER(SEARCH("minggu",C165))),IFERROR(_xlfn.NUMBERVALUE(SUBSTITUTE(LEFT(TRIM(C165),FIND(" ",TRIM(C165)&amp;" ")-1),",","."),"."),LEFT(SUBSTITUTE(LEFT(TRIM(C165),FIND(" ",TRIM(C165)&amp;" ")-1),",","."),FIND("/",SUBSTITUTE(LEFT(TRIM(C165),FIND(" ",TRIM(C165)&amp;" ")-1),",","."))-1)/MID(SUBSTITUTE(LEFT(TRIM(C165),FIND(" ",TRIM(C165)&amp;" ")-1),",","."),FIND("/",SUBSTITUTE(LEFT(TRIM(C165),FIND(" ",TRIM(C165)&amp;" ")-1),",","."))+1,9))*12/52,IF(ISNUMBER(SEARCH("month",C165)),IFERROR(_xlfn.NUMBERVALUE(SUBSTITUTE(LEFT(TRIM(C165),FIND(" ",TRIM(C165)&amp;" ")-1),",","."),"."),LEFT(SUBSTITUTE(LEFT(TRIM(C165),FIND(" ",TRIM(C165)&amp;" ")-1),",","."),FIND("/",SUBSTITUTE(LEFT(TRIM(C165),FIND(" ",TRIM(C165)&amp;" ")-1),",","."))-1)/MID(SUBSTITUTE(LEFT(TRIM(C165),FIND(" ",TRIM(C165)&amp;" ")-1),",","."),FIND("/",SUBSTITUTE(LEFT(TRIM(C165),FIND(" ",TRIM(C165)&amp;" ")-1),",","."))+1,9)),IF(ISNUMBER(SEARCH("yea",C165)),IFERROR(_xlfn.NUMBERVALUE(SUBSTITUTE(LEFT(TRIM(C165),FIND(" ",TRIM(C165)&amp;" ")-1),",","."),"."),LEFT(SUBSTITUTE(LEFT(TRIM(C165),FIND(" ",TRIM(C165)&amp;" ")-1),",","."),FIND("/",SUBSTITUTE(LEFT(TRIM(C165),FIND(" ",TRIM(C165)&amp;" ")-1),",","."))-1)/MID(SUBSTITUTE(LEFT(TRIM(C165),FIND(" ",TRIM(C165)&amp;" ")-1),",","."),FIND("/",SUBSTITUTE(LEFT(TRIM(C165),FIND(" ",TRIM(C165)&amp;" ")-1),",","."))+1,9))*12,NA()))),0),48)*'Aturan &amp; Tarif'!$B$4,2)</f>
        <v>2725.44</v>
      </c>
      <c r="K165" s="32" t="n">
        <f aca="false">'Aturan &amp; Tarif'!$B$5</f>
        <v>2050</v>
      </c>
      <c r="L165" s="35" t="n">
        <f aca="false">I165+J165+K165</f>
        <v>20971.44</v>
      </c>
      <c r="M165" s="36" t="s">
        <v>391</v>
      </c>
    </row>
    <row r="166" customFormat="false" ht="25.5" hidden="false" customHeight="true" outlineLevel="0" collapsed="false">
      <c r="A166" s="29"/>
      <c r="B166" s="30" t="s">
        <v>392</v>
      </c>
      <c r="C166" s="31" t="s">
        <v>191</v>
      </c>
      <c r="D166" s="31" t="s">
        <v>108</v>
      </c>
      <c r="E166" s="32" t="n">
        <v>8098</v>
      </c>
      <c r="F166" s="32"/>
      <c r="G166" s="32"/>
      <c r="H166" s="33" t="n">
        <v>2</v>
      </c>
      <c r="I166" s="34" t="n">
        <f aca="false">E166*H166+N(F166)+N(G166)</f>
        <v>16196</v>
      </c>
      <c r="J166" s="32" t="n">
        <f aca="false">ROUND(IFERROR(ROUND(IF(OR(ISNUMBER(SEARCH("week",C166)),ISNUMBER(SEARCH("minggu",C166))),IFERROR(_xlfn.NUMBERVALUE(SUBSTITUTE(LEFT(TRIM(C166),FIND(" ",TRIM(C166)&amp;" ")-1),",","."),"."),LEFT(SUBSTITUTE(LEFT(TRIM(C166),FIND(" ",TRIM(C166)&amp;" ")-1),",","."),FIND("/",SUBSTITUTE(LEFT(TRIM(C166),FIND(" ",TRIM(C166)&amp;" ")-1),",","."))-1)/MID(SUBSTITUTE(LEFT(TRIM(C166),FIND(" ",TRIM(C166)&amp;" ")-1),",","."),FIND("/",SUBSTITUTE(LEFT(TRIM(C166),FIND(" ",TRIM(C166)&amp;" ")-1),",","."))+1,9))*12/52,IF(ISNUMBER(SEARCH("month",C166)),IFERROR(_xlfn.NUMBERVALUE(SUBSTITUTE(LEFT(TRIM(C166),FIND(" ",TRIM(C166)&amp;" ")-1),",","."),"."),LEFT(SUBSTITUTE(LEFT(TRIM(C166),FIND(" ",TRIM(C166)&amp;" ")-1),",","."),FIND("/",SUBSTITUTE(LEFT(TRIM(C166),FIND(" ",TRIM(C166)&amp;" ")-1),",","."))-1)/MID(SUBSTITUTE(LEFT(TRIM(C166),FIND(" ",TRIM(C166)&amp;" ")-1),",","."),FIND("/",SUBSTITUTE(LEFT(TRIM(C166),FIND(" ",TRIM(C166)&amp;" ")-1),",","."))+1,9)),IF(ISNUMBER(SEARCH("yea",C166)),IFERROR(_xlfn.NUMBERVALUE(SUBSTITUTE(LEFT(TRIM(C166),FIND(" ",TRIM(C166)&amp;" ")-1),",","."),"."),LEFT(SUBSTITUTE(LEFT(TRIM(C166),FIND(" ",TRIM(C166)&amp;" ")-1),",","."),FIND("/",SUBSTITUTE(LEFT(TRIM(C166),FIND(" ",TRIM(C166)&amp;" ")-1),",","."))-1)/MID(SUBSTITUTE(LEFT(TRIM(C166),FIND(" ",TRIM(C166)&amp;" ")-1),",","."),FIND("/",SUBSTITUTE(LEFT(TRIM(C166),FIND(" ",TRIM(C166)&amp;" ")-1),",","."))+1,9))*12,NA()))),0),48)*'Aturan &amp; Tarif'!$B$4,2)</f>
        <v>2725.44</v>
      </c>
      <c r="K166" s="32" t="n">
        <f aca="false">'Aturan &amp; Tarif'!$B$5</f>
        <v>2050</v>
      </c>
      <c r="L166" s="35" t="n">
        <f aca="false">I166+J166+K166</f>
        <v>20971.44</v>
      </c>
      <c r="M166" s="36" t="s">
        <v>391</v>
      </c>
    </row>
    <row r="167" customFormat="false" ht="25.5" hidden="false" customHeight="true" outlineLevel="0" collapsed="false">
      <c r="A167" s="29"/>
      <c r="B167" s="30" t="s">
        <v>393</v>
      </c>
      <c r="C167" s="31" t="s">
        <v>191</v>
      </c>
      <c r="D167" s="31" t="s">
        <v>108</v>
      </c>
      <c r="E167" s="32" t="n">
        <v>8098</v>
      </c>
      <c r="F167" s="32"/>
      <c r="G167" s="32"/>
      <c r="H167" s="33" t="n">
        <v>2</v>
      </c>
      <c r="I167" s="34" t="n">
        <f aca="false">E167*H167+N(F167)+N(G167)</f>
        <v>16196</v>
      </c>
      <c r="J167" s="32" t="n">
        <f aca="false">ROUND(IFERROR(ROUND(IF(OR(ISNUMBER(SEARCH("week",C167)),ISNUMBER(SEARCH("minggu",C167))),IFERROR(_xlfn.NUMBERVALUE(SUBSTITUTE(LEFT(TRIM(C167),FIND(" ",TRIM(C167)&amp;" ")-1),",","."),"."),LEFT(SUBSTITUTE(LEFT(TRIM(C167),FIND(" ",TRIM(C167)&amp;" ")-1),",","."),FIND("/",SUBSTITUTE(LEFT(TRIM(C167),FIND(" ",TRIM(C167)&amp;" ")-1),",","."))-1)/MID(SUBSTITUTE(LEFT(TRIM(C167),FIND(" ",TRIM(C167)&amp;" ")-1),",","."),FIND("/",SUBSTITUTE(LEFT(TRIM(C167),FIND(" ",TRIM(C167)&amp;" ")-1),",","."))+1,9))*12/52,IF(ISNUMBER(SEARCH("month",C167)),IFERROR(_xlfn.NUMBERVALUE(SUBSTITUTE(LEFT(TRIM(C167),FIND(" ",TRIM(C167)&amp;" ")-1),",","."),"."),LEFT(SUBSTITUTE(LEFT(TRIM(C167),FIND(" ",TRIM(C167)&amp;" ")-1),",","."),FIND("/",SUBSTITUTE(LEFT(TRIM(C167),FIND(" ",TRIM(C167)&amp;" ")-1),",","."))-1)/MID(SUBSTITUTE(LEFT(TRIM(C167),FIND(" ",TRIM(C167)&amp;" ")-1),",","."),FIND("/",SUBSTITUTE(LEFT(TRIM(C167),FIND(" ",TRIM(C167)&amp;" ")-1),",","."))+1,9)),IF(ISNUMBER(SEARCH("yea",C167)),IFERROR(_xlfn.NUMBERVALUE(SUBSTITUTE(LEFT(TRIM(C167),FIND(" ",TRIM(C167)&amp;" ")-1),",","."),"."),LEFT(SUBSTITUTE(LEFT(TRIM(C167),FIND(" ",TRIM(C167)&amp;" ")-1),",","."),FIND("/",SUBSTITUTE(LEFT(TRIM(C167),FIND(" ",TRIM(C167)&amp;" ")-1),",","."))-1)/MID(SUBSTITUTE(LEFT(TRIM(C167),FIND(" ",TRIM(C167)&amp;" ")-1),",","."),FIND("/",SUBSTITUTE(LEFT(TRIM(C167),FIND(" ",TRIM(C167)&amp;" ")-1),",","."))+1,9))*12,NA()))),0),48)*'Aturan &amp; Tarif'!$B$4,2)</f>
        <v>2725.44</v>
      </c>
      <c r="K167" s="32" t="n">
        <f aca="false">'Aturan &amp; Tarif'!$B$5</f>
        <v>2050</v>
      </c>
      <c r="L167" s="35" t="n">
        <f aca="false">I167+J167+K167</f>
        <v>20971.44</v>
      </c>
      <c r="M167" s="37" t="s">
        <v>322</v>
      </c>
    </row>
    <row r="168" customFormat="false" ht="25.5" hidden="false" customHeight="true" outlineLevel="0" collapsed="false">
      <c r="A168" s="29"/>
      <c r="B168" s="30" t="s">
        <v>394</v>
      </c>
      <c r="C168" s="31" t="s">
        <v>191</v>
      </c>
      <c r="D168" s="31" t="s">
        <v>108</v>
      </c>
      <c r="E168" s="32" t="n">
        <v>8098</v>
      </c>
      <c r="F168" s="32"/>
      <c r="G168" s="32"/>
      <c r="H168" s="33" t="n">
        <v>2</v>
      </c>
      <c r="I168" s="34" t="n">
        <f aca="false">E168*H168+N(F168)+N(G168)</f>
        <v>16196</v>
      </c>
      <c r="J168" s="32" t="n">
        <f aca="false">ROUND(IFERROR(ROUND(IF(OR(ISNUMBER(SEARCH("week",C168)),ISNUMBER(SEARCH("minggu",C168))),IFERROR(_xlfn.NUMBERVALUE(SUBSTITUTE(LEFT(TRIM(C168),FIND(" ",TRIM(C168)&amp;" ")-1),",","."),"."),LEFT(SUBSTITUTE(LEFT(TRIM(C168),FIND(" ",TRIM(C168)&amp;" ")-1),",","."),FIND("/",SUBSTITUTE(LEFT(TRIM(C168),FIND(" ",TRIM(C168)&amp;" ")-1),",","."))-1)/MID(SUBSTITUTE(LEFT(TRIM(C168),FIND(" ",TRIM(C168)&amp;" ")-1),",","."),FIND("/",SUBSTITUTE(LEFT(TRIM(C168),FIND(" ",TRIM(C168)&amp;" ")-1),",","."))+1,9))*12/52,IF(ISNUMBER(SEARCH("month",C168)),IFERROR(_xlfn.NUMBERVALUE(SUBSTITUTE(LEFT(TRIM(C168),FIND(" ",TRIM(C168)&amp;" ")-1),",","."),"."),LEFT(SUBSTITUTE(LEFT(TRIM(C168),FIND(" ",TRIM(C168)&amp;" ")-1),",","."),FIND("/",SUBSTITUTE(LEFT(TRIM(C168),FIND(" ",TRIM(C168)&amp;" ")-1),",","."))-1)/MID(SUBSTITUTE(LEFT(TRIM(C168),FIND(" ",TRIM(C168)&amp;" ")-1),",","."),FIND("/",SUBSTITUTE(LEFT(TRIM(C168),FIND(" ",TRIM(C168)&amp;" ")-1),",","."))+1,9)),IF(ISNUMBER(SEARCH("yea",C168)),IFERROR(_xlfn.NUMBERVALUE(SUBSTITUTE(LEFT(TRIM(C168),FIND(" ",TRIM(C168)&amp;" ")-1),",","."),"."),LEFT(SUBSTITUTE(LEFT(TRIM(C168),FIND(" ",TRIM(C168)&amp;" ")-1),",","."),FIND("/",SUBSTITUTE(LEFT(TRIM(C168),FIND(" ",TRIM(C168)&amp;" ")-1),",","."))-1)/MID(SUBSTITUTE(LEFT(TRIM(C168),FIND(" ",TRIM(C168)&amp;" ")-1),",","."),FIND("/",SUBSTITUTE(LEFT(TRIM(C168),FIND(" ",TRIM(C168)&amp;" ")-1),",","."))+1,9))*12,NA()))),0),48)*'Aturan &amp; Tarif'!$B$4,2)</f>
        <v>2725.44</v>
      </c>
      <c r="K168" s="32" t="n">
        <f aca="false">'Aturan &amp; Tarif'!$B$5</f>
        <v>2050</v>
      </c>
      <c r="L168" s="35" t="n">
        <f aca="false">I168+J168+K168</f>
        <v>20971.44</v>
      </c>
      <c r="M168" s="37" t="s">
        <v>322</v>
      </c>
    </row>
    <row r="169" customFormat="false" ht="14.25" hidden="false" customHeight="true" outlineLevel="0" collapsed="false">
      <c r="A169" s="29"/>
      <c r="B169" s="30" t="s">
        <v>387</v>
      </c>
      <c r="C169" s="31" t="s">
        <v>191</v>
      </c>
      <c r="D169" s="31" t="s">
        <v>108</v>
      </c>
      <c r="E169" s="32" t="n">
        <v>8098</v>
      </c>
      <c r="F169" s="32"/>
      <c r="G169" s="32"/>
      <c r="H169" s="33" t="n">
        <v>2</v>
      </c>
      <c r="I169" s="34" t="n">
        <f aca="false">E169*H169+N(F169)+N(G169)</f>
        <v>16196</v>
      </c>
      <c r="J169" s="32" t="n">
        <f aca="false">ROUND(IFERROR(ROUND(IF(OR(ISNUMBER(SEARCH("week",C169)),ISNUMBER(SEARCH("minggu",C169))),IFERROR(_xlfn.NUMBERVALUE(SUBSTITUTE(LEFT(TRIM(C169),FIND(" ",TRIM(C169)&amp;" ")-1),",","."),"."),LEFT(SUBSTITUTE(LEFT(TRIM(C169),FIND(" ",TRIM(C169)&amp;" ")-1),",","."),FIND("/",SUBSTITUTE(LEFT(TRIM(C169),FIND(" ",TRIM(C169)&amp;" ")-1),",","."))-1)/MID(SUBSTITUTE(LEFT(TRIM(C169),FIND(" ",TRIM(C169)&amp;" ")-1),",","."),FIND("/",SUBSTITUTE(LEFT(TRIM(C169),FIND(" ",TRIM(C169)&amp;" ")-1),",","."))+1,9))*12/52,IF(ISNUMBER(SEARCH("month",C169)),IFERROR(_xlfn.NUMBERVALUE(SUBSTITUTE(LEFT(TRIM(C169),FIND(" ",TRIM(C169)&amp;" ")-1),",","."),"."),LEFT(SUBSTITUTE(LEFT(TRIM(C169),FIND(" ",TRIM(C169)&amp;" ")-1),",","."),FIND("/",SUBSTITUTE(LEFT(TRIM(C169),FIND(" ",TRIM(C169)&amp;" ")-1),",","."))-1)/MID(SUBSTITUTE(LEFT(TRIM(C169),FIND(" ",TRIM(C169)&amp;" ")-1),",","."),FIND("/",SUBSTITUTE(LEFT(TRIM(C169),FIND(" ",TRIM(C169)&amp;" ")-1),",","."))+1,9)),IF(ISNUMBER(SEARCH("yea",C169)),IFERROR(_xlfn.NUMBERVALUE(SUBSTITUTE(LEFT(TRIM(C169),FIND(" ",TRIM(C169)&amp;" ")-1),",","."),"."),LEFT(SUBSTITUTE(LEFT(TRIM(C169),FIND(" ",TRIM(C169)&amp;" ")-1),",","."),FIND("/",SUBSTITUTE(LEFT(TRIM(C169),FIND(" ",TRIM(C169)&amp;" ")-1),",","."))-1)/MID(SUBSTITUTE(LEFT(TRIM(C169),FIND(" ",TRIM(C169)&amp;" ")-1),",","."),FIND("/",SUBSTITUTE(LEFT(TRIM(C169),FIND(" ",TRIM(C169)&amp;" ")-1),",","."))+1,9))*12,NA()))),0),48)*'Aturan &amp; Tarif'!$B$4,2)</f>
        <v>2725.44</v>
      </c>
      <c r="K169" s="32" t="n">
        <f aca="false">'Aturan &amp; Tarif'!$B$5</f>
        <v>2050</v>
      </c>
      <c r="L169" s="35" t="n">
        <f aca="false">I169+J169+K169</f>
        <v>20971.44</v>
      </c>
      <c r="M169" s="37" t="s">
        <v>322</v>
      </c>
    </row>
    <row r="170" customFormat="false" ht="14.25" hidden="false" customHeight="true" outlineLevel="0" collapsed="false">
      <c r="A170" s="29"/>
      <c r="B170" s="30" t="s">
        <v>395</v>
      </c>
      <c r="C170" s="31" t="s">
        <v>191</v>
      </c>
      <c r="D170" s="31" t="s">
        <v>108</v>
      </c>
      <c r="E170" s="32" t="n">
        <v>8098</v>
      </c>
      <c r="F170" s="32"/>
      <c r="G170" s="32"/>
      <c r="H170" s="33" t="n">
        <v>2</v>
      </c>
      <c r="I170" s="34" t="n">
        <f aca="false">E170*H170+N(F170)+N(G170)</f>
        <v>16196</v>
      </c>
      <c r="J170" s="32" t="n">
        <f aca="false">ROUND(IFERROR(ROUND(IF(OR(ISNUMBER(SEARCH("week",C170)),ISNUMBER(SEARCH("minggu",C170))),IFERROR(_xlfn.NUMBERVALUE(SUBSTITUTE(LEFT(TRIM(C170),FIND(" ",TRIM(C170)&amp;" ")-1),",","."),"."),LEFT(SUBSTITUTE(LEFT(TRIM(C170),FIND(" ",TRIM(C170)&amp;" ")-1),",","."),FIND("/",SUBSTITUTE(LEFT(TRIM(C170),FIND(" ",TRIM(C170)&amp;" ")-1),",","."))-1)/MID(SUBSTITUTE(LEFT(TRIM(C170),FIND(" ",TRIM(C170)&amp;" ")-1),",","."),FIND("/",SUBSTITUTE(LEFT(TRIM(C170),FIND(" ",TRIM(C170)&amp;" ")-1),",","."))+1,9))*12/52,IF(ISNUMBER(SEARCH("month",C170)),IFERROR(_xlfn.NUMBERVALUE(SUBSTITUTE(LEFT(TRIM(C170),FIND(" ",TRIM(C170)&amp;" ")-1),",","."),"."),LEFT(SUBSTITUTE(LEFT(TRIM(C170),FIND(" ",TRIM(C170)&amp;" ")-1),",","."),FIND("/",SUBSTITUTE(LEFT(TRIM(C170),FIND(" ",TRIM(C170)&amp;" ")-1),",","."))-1)/MID(SUBSTITUTE(LEFT(TRIM(C170),FIND(" ",TRIM(C170)&amp;" ")-1),",","."),FIND("/",SUBSTITUTE(LEFT(TRIM(C170),FIND(" ",TRIM(C170)&amp;" ")-1),",","."))+1,9)),IF(ISNUMBER(SEARCH("yea",C170)),IFERROR(_xlfn.NUMBERVALUE(SUBSTITUTE(LEFT(TRIM(C170),FIND(" ",TRIM(C170)&amp;" ")-1),",","."),"."),LEFT(SUBSTITUTE(LEFT(TRIM(C170),FIND(" ",TRIM(C170)&amp;" ")-1),",","."),FIND("/",SUBSTITUTE(LEFT(TRIM(C170),FIND(" ",TRIM(C170)&amp;" ")-1),",","."))-1)/MID(SUBSTITUTE(LEFT(TRIM(C170),FIND(" ",TRIM(C170)&amp;" ")-1),",","."),FIND("/",SUBSTITUTE(LEFT(TRIM(C170),FIND(" ",TRIM(C170)&amp;" ")-1),",","."))+1,9))*12,NA()))),0),48)*'Aturan &amp; Tarif'!$B$4,2)</f>
        <v>2725.44</v>
      </c>
      <c r="K170" s="32" t="n">
        <f aca="false">'Aturan &amp; Tarif'!$B$5</f>
        <v>2050</v>
      </c>
      <c r="L170" s="35" t="n">
        <f aca="false">I170+J170+K170</f>
        <v>20971.44</v>
      </c>
      <c r="M170" s="37" t="s">
        <v>322</v>
      </c>
    </row>
    <row r="171" customFormat="false" ht="14.25" hidden="false" customHeight="true" outlineLevel="0" collapsed="false">
      <c r="A171" s="29"/>
      <c r="B171" s="30" t="s">
        <v>396</v>
      </c>
      <c r="C171" s="31" t="s">
        <v>191</v>
      </c>
      <c r="D171" s="31" t="s">
        <v>108</v>
      </c>
      <c r="E171" s="32" t="n">
        <v>13136</v>
      </c>
      <c r="F171" s="32"/>
      <c r="G171" s="32"/>
      <c r="H171" s="33" t="n">
        <v>2</v>
      </c>
      <c r="I171" s="34" t="n">
        <f aca="false">E171*H171+N(F171)+N(G171)</f>
        <v>26272</v>
      </c>
      <c r="J171" s="32" t="n">
        <f aca="false">ROUND(IFERROR(ROUND(IF(OR(ISNUMBER(SEARCH("week",C171)),ISNUMBER(SEARCH("minggu",C171))),IFERROR(_xlfn.NUMBERVALUE(SUBSTITUTE(LEFT(TRIM(C171),FIND(" ",TRIM(C171)&amp;" ")-1),",","."),"."),LEFT(SUBSTITUTE(LEFT(TRIM(C171),FIND(" ",TRIM(C171)&amp;" ")-1),",","."),FIND("/",SUBSTITUTE(LEFT(TRIM(C171),FIND(" ",TRIM(C171)&amp;" ")-1),",","."))-1)/MID(SUBSTITUTE(LEFT(TRIM(C171),FIND(" ",TRIM(C171)&amp;" ")-1),",","."),FIND("/",SUBSTITUTE(LEFT(TRIM(C171),FIND(" ",TRIM(C171)&amp;" ")-1),",","."))+1,9))*12/52,IF(ISNUMBER(SEARCH("month",C171)),IFERROR(_xlfn.NUMBERVALUE(SUBSTITUTE(LEFT(TRIM(C171),FIND(" ",TRIM(C171)&amp;" ")-1),",","."),"."),LEFT(SUBSTITUTE(LEFT(TRIM(C171),FIND(" ",TRIM(C171)&amp;" ")-1),",","."),FIND("/",SUBSTITUTE(LEFT(TRIM(C171),FIND(" ",TRIM(C171)&amp;" ")-1),",","."))-1)/MID(SUBSTITUTE(LEFT(TRIM(C171),FIND(" ",TRIM(C171)&amp;" ")-1),",","."),FIND("/",SUBSTITUTE(LEFT(TRIM(C171),FIND(" ",TRIM(C171)&amp;" ")-1),",","."))+1,9)),IF(ISNUMBER(SEARCH("yea",C171)),IFERROR(_xlfn.NUMBERVALUE(SUBSTITUTE(LEFT(TRIM(C171),FIND(" ",TRIM(C171)&amp;" ")-1),",","."),"."),LEFT(SUBSTITUTE(LEFT(TRIM(C171),FIND(" ",TRIM(C171)&amp;" ")-1),",","."),FIND("/",SUBSTITUTE(LEFT(TRIM(C171),FIND(" ",TRIM(C171)&amp;" ")-1),",","."))-1)/MID(SUBSTITUTE(LEFT(TRIM(C171),FIND(" ",TRIM(C171)&amp;" ")-1),",","."),FIND("/",SUBSTITUTE(LEFT(TRIM(C171),FIND(" ",TRIM(C171)&amp;" ")-1),",","."))+1,9))*12,NA()))),0),48)*'Aturan &amp; Tarif'!$B$4,2)</f>
        <v>2725.44</v>
      </c>
      <c r="K171" s="32" t="n">
        <f aca="false">'Aturan &amp; Tarif'!$B$5</f>
        <v>2050</v>
      </c>
      <c r="L171" s="35" t="n">
        <f aca="false">I171+J171+K171</f>
        <v>31047.44</v>
      </c>
      <c r="M171" s="37" t="s">
        <v>318</v>
      </c>
    </row>
    <row r="172" customFormat="false" ht="14.25" hidden="false" customHeight="true" outlineLevel="0" collapsed="false">
      <c r="A172" s="29"/>
      <c r="B172" s="30" t="s">
        <v>397</v>
      </c>
      <c r="C172" s="31" t="s">
        <v>130</v>
      </c>
      <c r="D172" s="31" t="s">
        <v>108</v>
      </c>
      <c r="E172" s="32" t="n">
        <v>8018</v>
      </c>
      <c r="F172" s="32"/>
      <c r="G172" s="32"/>
      <c r="H172" s="33" t="n">
        <v>2</v>
      </c>
      <c r="I172" s="34" t="n">
        <f aca="false">E172*H172+N(F172)+N(G172)</f>
        <v>16036</v>
      </c>
      <c r="J172" s="32" t="n">
        <f aca="false">ROUND(IFERROR(ROUND(IF(OR(ISNUMBER(SEARCH("week",C172)),ISNUMBER(SEARCH("minggu",C172))),IFERROR(_xlfn.NUMBERVALUE(SUBSTITUTE(LEFT(TRIM(C172),FIND(" ",TRIM(C172)&amp;" ")-1),",","."),"."),LEFT(SUBSTITUTE(LEFT(TRIM(C172),FIND(" ",TRIM(C172)&amp;" ")-1),",","."),FIND("/",SUBSTITUTE(LEFT(TRIM(C172),FIND(" ",TRIM(C172)&amp;" ")-1),",","."))-1)/MID(SUBSTITUTE(LEFT(TRIM(C172),FIND(" ",TRIM(C172)&amp;" ")-1),",","."),FIND("/",SUBSTITUTE(LEFT(TRIM(C172),FIND(" ",TRIM(C172)&amp;" ")-1),",","."))+1,9))*12/52,IF(ISNUMBER(SEARCH("month",C172)),IFERROR(_xlfn.NUMBERVALUE(SUBSTITUTE(LEFT(TRIM(C172),FIND(" ",TRIM(C172)&amp;" ")-1),",","."),"."),LEFT(SUBSTITUTE(LEFT(TRIM(C172),FIND(" ",TRIM(C172)&amp;" ")-1),",","."),FIND("/",SUBSTITUTE(LEFT(TRIM(C172),FIND(" ",TRIM(C172)&amp;" ")-1),",","."))-1)/MID(SUBSTITUTE(LEFT(TRIM(C172),FIND(" ",TRIM(C172)&amp;" ")-1),",","."),FIND("/",SUBSTITUTE(LEFT(TRIM(C172),FIND(" ",TRIM(C172)&amp;" ")-1),",","."))+1,9)),IF(ISNUMBER(SEARCH("yea",C172)),IFERROR(_xlfn.NUMBERVALUE(SUBSTITUTE(LEFT(TRIM(C172),FIND(" ",TRIM(C172)&amp;" ")-1),",","."),"."),LEFT(SUBSTITUTE(LEFT(TRIM(C172),FIND(" ",TRIM(C172)&amp;" ")-1),",","."),FIND("/",SUBSTITUTE(LEFT(TRIM(C172),FIND(" ",TRIM(C172)&amp;" ")-1),",","."))-1)/MID(SUBSTITUTE(LEFT(TRIM(C172),FIND(" ",TRIM(C172)&amp;" ")-1),",","."),FIND("/",SUBSTITUTE(LEFT(TRIM(C172),FIND(" ",TRIM(C172)&amp;" ")-1),",","."))+1,9))*12,NA()))),0),12)*'Aturan &amp; Tarif'!$B$4,2)</f>
        <v>681.36</v>
      </c>
      <c r="K172" s="32" t="n">
        <f aca="false">'Aturan &amp; Tarif'!$B$5</f>
        <v>2050</v>
      </c>
      <c r="L172" s="35" t="n">
        <f aca="false">I172+J172+K172</f>
        <v>18767.36</v>
      </c>
      <c r="M172" s="37" t="s">
        <v>318</v>
      </c>
    </row>
    <row r="173" customFormat="false" ht="14.25" hidden="false" customHeight="true" outlineLevel="0" collapsed="false">
      <c r="A173" s="29"/>
      <c r="B173" s="30" t="s">
        <v>398</v>
      </c>
      <c r="C173" s="31" t="s">
        <v>107</v>
      </c>
      <c r="D173" s="31" t="s">
        <v>108</v>
      </c>
      <c r="E173" s="32" t="n">
        <v>8018</v>
      </c>
      <c r="F173" s="32"/>
      <c r="G173" s="32"/>
      <c r="H173" s="33" t="n">
        <v>2</v>
      </c>
      <c r="I173" s="34" t="n">
        <f aca="false">E173*H173+N(F173)+N(G173)</f>
        <v>16036</v>
      </c>
      <c r="J173" s="32" t="n">
        <f aca="false">ROUND(IFERROR(ROUND(IF(OR(ISNUMBER(SEARCH("week",C173)),ISNUMBER(SEARCH("minggu",C173))),IFERROR(_xlfn.NUMBERVALUE(SUBSTITUTE(LEFT(TRIM(C173),FIND(" ",TRIM(C173)&amp;" ")-1),",","."),"."),LEFT(SUBSTITUTE(LEFT(TRIM(C173),FIND(" ",TRIM(C173)&amp;" ")-1),",","."),FIND("/",SUBSTITUTE(LEFT(TRIM(C173),FIND(" ",TRIM(C173)&amp;" ")-1),",","."))-1)/MID(SUBSTITUTE(LEFT(TRIM(C173),FIND(" ",TRIM(C173)&amp;" ")-1),",","."),FIND("/",SUBSTITUTE(LEFT(TRIM(C173),FIND(" ",TRIM(C173)&amp;" ")-1),",","."))+1,9))*12/52,IF(ISNUMBER(SEARCH("month",C173)),IFERROR(_xlfn.NUMBERVALUE(SUBSTITUTE(LEFT(TRIM(C173),FIND(" ",TRIM(C173)&amp;" ")-1),",","."),"."),LEFT(SUBSTITUTE(LEFT(TRIM(C173),FIND(" ",TRIM(C173)&amp;" ")-1),",","."),FIND("/",SUBSTITUTE(LEFT(TRIM(C173),FIND(" ",TRIM(C173)&amp;" ")-1),",","."))-1)/MID(SUBSTITUTE(LEFT(TRIM(C173),FIND(" ",TRIM(C173)&amp;" ")-1),",","."),FIND("/",SUBSTITUTE(LEFT(TRIM(C173),FIND(" ",TRIM(C173)&amp;" ")-1),",","."))+1,9)),IF(ISNUMBER(SEARCH("yea",C173)),IFERROR(_xlfn.NUMBERVALUE(SUBSTITUTE(LEFT(TRIM(C173),FIND(" ",TRIM(C173)&amp;" ")-1),",","."),"."),LEFT(SUBSTITUTE(LEFT(TRIM(C173),FIND(" ",TRIM(C173)&amp;" ")-1),",","."),FIND("/",SUBSTITUTE(LEFT(TRIM(C173),FIND(" ",TRIM(C173)&amp;" ")-1),",","."))-1)/MID(SUBSTITUTE(LEFT(TRIM(C173),FIND(" ",TRIM(C173)&amp;" ")-1),",","."),FIND("/",SUBSTITUTE(LEFT(TRIM(C173),FIND(" ",TRIM(C173)&amp;" ")-1),",","."))+1,9))*12,NA()))),0),24)*'Aturan &amp; Tarif'!$B$4,2)</f>
        <v>1362.72</v>
      </c>
      <c r="K173" s="32" t="n">
        <f aca="false">'Aturan &amp; Tarif'!$B$5</f>
        <v>2050</v>
      </c>
      <c r="L173" s="35" t="n">
        <f aca="false">I173+J173+K173</f>
        <v>19448.72</v>
      </c>
      <c r="M173" s="37" t="s">
        <v>318</v>
      </c>
    </row>
    <row r="174" customFormat="false" ht="25.5" hidden="false" customHeight="true" outlineLevel="0" collapsed="false">
      <c r="A174" s="29"/>
      <c r="B174" s="30" t="s">
        <v>399</v>
      </c>
      <c r="C174" s="31" t="s">
        <v>107</v>
      </c>
      <c r="D174" s="31" t="s">
        <v>108</v>
      </c>
      <c r="E174" s="32" t="n">
        <v>11410</v>
      </c>
      <c r="F174" s="32"/>
      <c r="G174" s="32"/>
      <c r="H174" s="33" t="n">
        <v>2</v>
      </c>
      <c r="I174" s="34" t="n">
        <f aca="false">E174*H174+N(F174)+N(G174)</f>
        <v>22820</v>
      </c>
      <c r="J174" s="32" t="n">
        <f aca="false">ROUND(IFERROR(ROUND(IF(OR(ISNUMBER(SEARCH("week",C174)),ISNUMBER(SEARCH("minggu",C174))),IFERROR(_xlfn.NUMBERVALUE(SUBSTITUTE(LEFT(TRIM(C174),FIND(" ",TRIM(C174)&amp;" ")-1),",","."),"."),LEFT(SUBSTITUTE(LEFT(TRIM(C174),FIND(" ",TRIM(C174)&amp;" ")-1),",","."),FIND("/",SUBSTITUTE(LEFT(TRIM(C174),FIND(" ",TRIM(C174)&amp;" ")-1),",","."))-1)/MID(SUBSTITUTE(LEFT(TRIM(C174),FIND(" ",TRIM(C174)&amp;" ")-1),",","."),FIND("/",SUBSTITUTE(LEFT(TRIM(C174),FIND(" ",TRIM(C174)&amp;" ")-1),",","."))+1,9))*12/52,IF(ISNUMBER(SEARCH("month",C174)),IFERROR(_xlfn.NUMBERVALUE(SUBSTITUTE(LEFT(TRIM(C174),FIND(" ",TRIM(C174)&amp;" ")-1),",","."),"."),LEFT(SUBSTITUTE(LEFT(TRIM(C174),FIND(" ",TRIM(C174)&amp;" ")-1),",","."),FIND("/",SUBSTITUTE(LEFT(TRIM(C174),FIND(" ",TRIM(C174)&amp;" ")-1),",","."))-1)/MID(SUBSTITUTE(LEFT(TRIM(C174),FIND(" ",TRIM(C174)&amp;" ")-1),",","."),FIND("/",SUBSTITUTE(LEFT(TRIM(C174),FIND(" ",TRIM(C174)&amp;" ")-1),",","."))+1,9)),IF(ISNUMBER(SEARCH("yea",C174)),IFERROR(_xlfn.NUMBERVALUE(SUBSTITUTE(LEFT(TRIM(C174),FIND(" ",TRIM(C174)&amp;" ")-1),",","."),"."),LEFT(SUBSTITUTE(LEFT(TRIM(C174),FIND(" ",TRIM(C174)&amp;" ")-1),",","."),FIND("/",SUBSTITUTE(LEFT(TRIM(C174),FIND(" ",TRIM(C174)&amp;" ")-1),",","."))-1)/MID(SUBSTITUTE(LEFT(TRIM(C174),FIND(" ",TRIM(C174)&amp;" ")-1),",","."),FIND("/",SUBSTITUTE(LEFT(TRIM(C174),FIND(" ",TRIM(C174)&amp;" ")-1),",","."))+1,9))*12,NA()))),0),24)*'Aturan &amp; Tarif'!$B$4,2)</f>
        <v>1362.72</v>
      </c>
      <c r="K174" s="32" t="n">
        <f aca="false">'Aturan &amp; Tarif'!$B$5</f>
        <v>2050</v>
      </c>
      <c r="L174" s="35" t="n">
        <f aca="false">I174+J174+K174</f>
        <v>26232.72</v>
      </c>
      <c r="M174" s="37" t="s">
        <v>318</v>
      </c>
    </row>
    <row r="175" customFormat="false" ht="14.25" hidden="false" customHeight="true" outlineLevel="0" collapsed="false">
      <c r="A175" s="29"/>
      <c r="B175" s="30" t="s">
        <v>400</v>
      </c>
      <c r="C175" s="31" t="s">
        <v>107</v>
      </c>
      <c r="D175" s="31" t="s">
        <v>108</v>
      </c>
      <c r="E175" s="32" t="n">
        <v>8172</v>
      </c>
      <c r="F175" s="32"/>
      <c r="G175" s="32"/>
      <c r="H175" s="33" t="n">
        <v>2</v>
      </c>
      <c r="I175" s="34" t="n">
        <f aca="false">E175*H175+N(F175)+N(G175)</f>
        <v>16344</v>
      </c>
      <c r="J175" s="32" t="n">
        <f aca="false">ROUND(IFERROR(ROUND(IF(OR(ISNUMBER(SEARCH("week",C175)),ISNUMBER(SEARCH("minggu",C175))),IFERROR(_xlfn.NUMBERVALUE(SUBSTITUTE(LEFT(TRIM(C175),FIND(" ",TRIM(C175)&amp;" ")-1),",","."),"."),LEFT(SUBSTITUTE(LEFT(TRIM(C175),FIND(" ",TRIM(C175)&amp;" ")-1),",","."),FIND("/",SUBSTITUTE(LEFT(TRIM(C175),FIND(" ",TRIM(C175)&amp;" ")-1),",","."))-1)/MID(SUBSTITUTE(LEFT(TRIM(C175),FIND(" ",TRIM(C175)&amp;" ")-1),",","."),FIND("/",SUBSTITUTE(LEFT(TRIM(C175),FIND(" ",TRIM(C175)&amp;" ")-1),",","."))+1,9))*12/52,IF(ISNUMBER(SEARCH("month",C175)),IFERROR(_xlfn.NUMBERVALUE(SUBSTITUTE(LEFT(TRIM(C175),FIND(" ",TRIM(C175)&amp;" ")-1),",","."),"."),LEFT(SUBSTITUTE(LEFT(TRIM(C175),FIND(" ",TRIM(C175)&amp;" ")-1),",","."),FIND("/",SUBSTITUTE(LEFT(TRIM(C175),FIND(" ",TRIM(C175)&amp;" ")-1),",","."))-1)/MID(SUBSTITUTE(LEFT(TRIM(C175),FIND(" ",TRIM(C175)&amp;" ")-1),",","."),FIND("/",SUBSTITUTE(LEFT(TRIM(C175),FIND(" ",TRIM(C175)&amp;" ")-1),",","."))+1,9)),IF(ISNUMBER(SEARCH("yea",C175)),IFERROR(_xlfn.NUMBERVALUE(SUBSTITUTE(LEFT(TRIM(C175),FIND(" ",TRIM(C175)&amp;" ")-1),",","."),"."),LEFT(SUBSTITUTE(LEFT(TRIM(C175),FIND(" ",TRIM(C175)&amp;" ")-1),",","."),FIND("/",SUBSTITUTE(LEFT(TRIM(C175),FIND(" ",TRIM(C175)&amp;" ")-1),",","."))-1)/MID(SUBSTITUTE(LEFT(TRIM(C175),FIND(" ",TRIM(C175)&amp;" ")-1),",","."),FIND("/",SUBSTITUTE(LEFT(TRIM(C175),FIND(" ",TRIM(C175)&amp;" ")-1),",","."))+1,9))*12,NA()))),0),24)*'Aturan &amp; Tarif'!$B$4,2)</f>
        <v>1362.72</v>
      </c>
      <c r="K175" s="32" t="n">
        <f aca="false">'Aturan &amp; Tarif'!$B$5</f>
        <v>2050</v>
      </c>
      <c r="L175" s="35" t="n">
        <f aca="false">I175+J175+K175</f>
        <v>19756.72</v>
      </c>
      <c r="M175" s="37" t="s">
        <v>318</v>
      </c>
    </row>
    <row r="176" customFormat="false" ht="14.25" hidden="false" customHeight="true" outlineLevel="0" collapsed="false">
      <c r="A176" s="29"/>
      <c r="B176" s="30" t="s">
        <v>285</v>
      </c>
      <c r="C176" s="31" t="s">
        <v>107</v>
      </c>
      <c r="D176" s="31" t="s">
        <v>108</v>
      </c>
      <c r="E176" s="32" t="n">
        <v>9288</v>
      </c>
      <c r="F176" s="32"/>
      <c r="G176" s="32"/>
      <c r="H176" s="33" t="n">
        <v>2</v>
      </c>
      <c r="I176" s="34" t="n">
        <f aca="false">E176*H176+N(F176)+N(G176)</f>
        <v>18576</v>
      </c>
      <c r="J176" s="32" t="n">
        <f aca="false">ROUND(IFERROR(ROUND(IF(OR(ISNUMBER(SEARCH("week",C176)),ISNUMBER(SEARCH("minggu",C176))),IFERROR(_xlfn.NUMBERVALUE(SUBSTITUTE(LEFT(TRIM(C176),FIND(" ",TRIM(C176)&amp;" ")-1),",","."),"."),LEFT(SUBSTITUTE(LEFT(TRIM(C176),FIND(" ",TRIM(C176)&amp;" ")-1),",","."),FIND("/",SUBSTITUTE(LEFT(TRIM(C176),FIND(" ",TRIM(C176)&amp;" ")-1),",","."))-1)/MID(SUBSTITUTE(LEFT(TRIM(C176),FIND(" ",TRIM(C176)&amp;" ")-1),",","."),FIND("/",SUBSTITUTE(LEFT(TRIM(C176),FIND(" ",TRIM(C176)&amp;" ")-1),",","."))+1,9))*12/52,IF(ISNUMBER(SEARCH("month",C176)),IFERROR(_xlfn.NUMBERVALUE(SUBSTITUTE(LEFT(TRIM(C176),FIND(" ",TRIM(C176)&amp;" ")-1),",","."),"."),LEFT(SUBSTITUTE(LEFT(TRIM(C176),FIND(" ",TRIM(C176)&amp;" ")-1),",","."),FIND("/",SUBSTITUTE(LEFT(TRIM(C176),FIND(" ",TRIM(C176)&amp;" ")-1),",","."))-1)/MID(SUBSTITUTE(LEFT(TRIM(C176),FIND(" ",TRIM(C176)&amp;" ")-1),",","."),FIND("/",SUBSTITUTE(LEFT(TRIM(C176),FIND(" ",TRIM(C176)&amp;" ")-1),",","."))+1,9)),IF(ISNUMBER(SEARCH("yea",C176)),IFERROR(_xlfn.NUMBERVALUE(SUBSTITUTE(LEFT(TRIM(C176),FIND(" ",TRIM(C176)&amp;" ")-1),",","."),"."),LEFT(SUBSTITUTE(LEFT(TRIM(C176),FIND(" ",TRIM(C176)&amp;" ")-1),",","."),FIND("/",SUBSTITUTE(LEFT(TRIM(C176),FIND(" ",TRIM(C176)&amp;" ")-1),",","."))-1)/MID(SUBSTITUTE(LEFT(TRIM(C176),FIND(" ",TRIM(C176)&amp;" ")-1),",","."),FIND("/",SUBSTITUTE(LEFT(TRIM(C176),FIND(" ",TRIM(C176)&amp;" ")-1),",","."))+1,9))*12,NA()))),0),24)*'Aturan &amp; Tarif'!$B$4,2)</f>
        <v>1362.72</v>
      </c>
      <c r="K176" s="32" t="n">
        <f aca="false">'Aturan &amp; Tarif'!$B$5</f>
        <v>2050</v>
      </c>
      <c r="L176" s="35" t="n">
        <f aca="false">I176+J176+K176</f>
        <v>21988.72</v>
      </c>
      <c r="M176" s="37" t="s">
        <v>318</v>
      </c>
    </row>
    <row r="177" customFormat="false" ht="25.5" hidden="false" customHeight="true" outlineLevel="0" collapsed="false">
      <c r="A177" s="29"/>
      <c r="B177" s="30" t="s">
        <v>287</v>
      </c>
      <c r="C177" s="31" t="s">
        <v>107</v>
      </c>
      <c r="D177" s="31" t="s">
        <v>108</v>
      </c>
      <c r="E177" s="32" t="n">
        <v>9288</v>
      </c>
      <c r="F177" s="32"/>
      <c r="G177" s="32"/>
      <c r="H177" s="33" t="n">
        <v>2</v>
      </c>
      <c r="I177" s="34" t="n">
        <f aca="false">E177*H177+N(F177)+N(G177)</f>
        <v>18576</v>
      </c>
      <c r="J177" s="32" t="n">
        <f aca="false">ROUND(IFERROR(ROUND(IF(OR(ISNUMBER(SEARCH("week",C177)),ISNUMBER(SEARCH("minggu",C177))),IFERROR(_xlfn.NUMBERVALUE(SUBSTITUTE(LEFT(TRIM(C177),FIND(" ",TRIM(C177)&amp;" ")-1),",","."),"."),LEFT(SUBSTITUTE(LEFT(TRIM(C177),FIND(" ",TRIM(C177)&amp;" ")-1),",","."),FIND("/",SUBSTITUTE(LEFT(TRIM(C177),FIND(" ",TRIM(C177)&amp;" ")-1),",","."))-1)/MID(SUBSTITUTE(LEFT(TRIM(C177),FIND(" ",TRIM(C177)&amp;" ")-1),",","."),FIND("/",SUBSTITUTE(LEFT(TRIM(C177),FIND(" ",TRIM(C177)&amp;" ")-1),",","."))+1,9))*12/52,IF(ISNUMBER(SEARCH("month",C177)),IFERROR(_xlfn.NUMBERVALUE(SUBSTITUTE(LEFT(TRIM(C177),FIND(" ",TRIM(C177)&amp;" ")-1),",","."),"."),LEFT(SUBSTITUTE(LEFT(TRIM(C177),FIND(" ",TRIM(C177)&amp;" ")-1),",","."),FIND("/",SUBSTITUTE(LEFT(TRIM(C177),FIND(" ",TRIM(C177)&amp;" ")-1),",","."))-1)/MID(SUBSTITUTE(LEFT(TRIM(C177),FIND(" ",TRIM(C177)&amp;" ")-1),",","."),FIND("/",SUBSTITUTE(LEFT(TRIM(C177),FIND(" ",TRIM(C177)&amp;" ")-1),",","."))+1,9)),IF(ISNUMBER(SEARCH("yea",C177)),IFERROR(_xlfn.NUMBERVALUE(SUBSTITUTE(LEFT(TRIM(C177),FIND(" ",TRIM(C177)&amp;" ")-1),",","."),"."),LEFT(SUBSTITUTE(LEFT(TRIM(C177),FIND(" ",TRIM(C177)&amp;" ")-1),",","."),FIND("/",SUBSTITUTE(LEFT(TRIM(C177),FIND(" ",TRIM(C177)&amp;" ")-1),",","."))-1)/MID(SUBSTITUTE(LEFT(TRIM(C177),FIND(" ",TRIM(C177)&amp;" ")-1),",","."),FIND("/",SUBSTITUTE(LEFT(TRIM(C177),FIND(" ",TRIM(C177)&amp;" ")-1),",","."))+1,9))*12,NA()))),0),24)*'Aturan &amp; Tarif'!$B$4,2)</f>
        <v>1362.72</v>
      </c>
      <c r="K177" s="32" t="n">
        <f aca="false">'Aturan &amp; Tarif'!$B$5</f>
        <v>2050</v>
      </c>
      <c r="L177" s="35" t="n">
        <f aca="false">I177+J177+K177</f>
        <v>21988.72</v>
      </c>
      <c r="M177" s="37" t="s">
        <v>318</v>
      </c>
    </row>
    <row r="178" customFormat="false" ht="14.25" hidden="false" customHeight="true" outlineLevel="0" collapsed="false">
      <c r="A178" s="29"/>
      <c r="B178" s="30" t="s">
        <v>401</v>
      </c>
      <c r="C178" s="31" t="s">
        <v>107</v>
      </c>
      <c r="D178" s="31" t="s">
        <v>108</v>
      </c>
      <c r="E178" s="32" t="n">
        <v>9288</v>
      </c>
      <c r="F178" s="32"/>
      <c r="G178" s="32"/>
      <c r="H178" s="33" t="n">
        <v>2</v>
      </c>
      <c r="I178" s="34" t="n">
        <f aca="false">E178*H178+N(F178)+N(G178)</f>
        <v>18576</v>
      </c>
      <c r="J178" s="32" t="n">
        <f aca="false">ROUND(IFERROR(ROUND(IF(OR(ISNUMBER(SEARCH("week",C178)),ISNUMBER(SEARCH("minggu",C178))),IFERROR(_xlfn.NUMBERVALUE(SUBSTITUTE(LEFT(TRIM(C178),FIND(" ",TRIM(C178)&amp;" ")-1),",","."),"."),LEFT(SUBSTITUTE(LEFT(TRIM(C178),FIND(" ",TRIM(C178)&amp;" ")-1),",","."),FIND("/",SUBSTITUTE(LEFT(TRIM(C178),FIND(" ",TRIM(C178)&amp;" ")-1),",","."))-1)/MID(SUBSTITUTE(LEFT(TRIM(C178),FIND(" ",TRIM(C178)&amp;" ")-1),",","."),FIND("/",SUBSTITUTE(LEFT(TRIM(C178),FIND(" ",TRIM(C178)&amp;" ")-1),",","."))+1,9))*12/52,IF(ISNUMBER(SEARCH("month",C178)),IFERROR(_xlfn.NUMBERVALUE(SUBSTITUTE(LEFT(TRIM(C178),FIND(" ",TRIM(C178)&amp;" ")-1),",","."),"."),LEFT(SUBSTITUTE(LEFT(TRIM(C178),FIND(" ",TRIM(C178)&amp;" ")-1),",","."),FIND("/",SUBSTITUTE(LEFT(TRIM(C178),FIND(" ",TRIM(C178)&amp;" ")-1),",","."))-1)/MID(SUBSTITUTE(LEFT(TRIM(C178),FIND(" ",TRIM(C178)&amp;" ")-1),",","."),FIND("/",SUBSTITUTE(LEFT(TRIM(C178),FIND(" ",TRIM(C178)&amp;" ")-1),",","."))+1,9)),IF(ISNUMBER(SEARCH("yea",C178)),IFERROR(_xlfn.NUMBERVALUE(SUBSTITUTE(LEFT(TRIM(C178),FIND(" ",TRIM(C178)&amp;" ")-1),",","."),"."),LEFT(SUBSTITUTE(LEFT(TRIM(C178),FIND(" ",TRIM(C178)&amp;" ")-1),",","."),FIND("/",SUBSTITUTE(LEFT(TRIM(C178),FIND(" ",TRIM(C178)&amp;" ")-1),",","."))-1)/MID(SUBSTITUTE(LEFT(TRIM(C178),FIND(" ",TRIM(C178)&amp;" ")-1),",","."),FIND("/",SUBSTITUTE(LEFT(TRIM(C178),FIND(" ",TRIM(C178)&amp;" ")-1),",","."))+1,9))*12,NA()))),0),24)*'Aturan &amp; Tarif'!$B$4,2)</f>
        <v>1362.72</v>
      </c>
      <c r="K178" s="32" t="n">
        <f aca="false">'Aturan &amp; Tarif'!$B$5</f>
        <v>2050</v>
      </c>
      <c r="L178" s="35" t="n">
        <f aca="false">I178+J178+K178</f>
        <v>21988.72</v>
      </c>
      <c r="M178" s="37" t="s">
        <v>318</v>
      </c>
    </row>
    <row r="179" customFormat="false" ht="25.5" hidden="false" customHeight="true" outlineLevel="0" collapsed="false">
      <c r="A179" s="29"/>
      <c r="B179" s="30" t="s">
        <v>283</v>
      </c>
      <c r="C179" s="31" t="s">
        <v>107</v>
      </c>
      <c r="D179" s="31" t="s">
        <v>108</v>
      </c>
      <c r="E179" s="32" t="n">
        <v>8018</v>
      </c>
      <c r="F179" s="32"/>
      <c r="G179" s="32"/>
      <c r="H179" s="33" t="n">
        <v>2</v>
      </c>
      <c r="I179" s="34" t="n">
        <f aca="false">E179*H179+N(F179)+N(G179)</f>
        <v>16036</v>
      </c>
      <c r="J179" s="32" t="n">
        <f aca="false">ROUND(IFERROR(ROUND(IF(OR(ISNUMBER(SEARCH("week",C179)),ISNUMBER(SEARCH("minggu",C179))),IFERROR(_xlfn.NUMBERVALUE(SUBSTITUTE(LEFT(TRIM(C179),FIND(" ",TRIM(C179)&amp;" ")-1),",","."),"."),LEFT(SUBSTITUTE(LEFT(TRIM(C179),FIND(" ",TRIM(C179)&amp;" ")-1),",","."),FIND("/",SUBSTITUTE(LEFT(TRIM(C179),FIND(" ",TRIM(C179)&amp;" ")-1),",","."))-1)/MID(SUBSTITUTE(LEFT(TRIM(C179),FIND(" ",TRIM(C179)&amp;" ")-1),",","."),FIND("/",SUBSTITUTE(LEFT(TRIM(C179),FIND(" ",TRIM(C179)&amp;" ")-1),",","."))+1,9))*12/52,IF(ISNUMBER(SEARCH("month",C179)),IFERROR(_xlfn.NUMBERVALUE(SUBSTITUTE(LEFT(TRIM(C179),FIND(" ",TRIM(C179)&amp;" ")-1),",","."),"."),LEFT(SUBSTITUTE(LEFT(TRIM(C179),FIND(" ",TRIM(C179)&amp;" ")-1),",","."),FIND("/",SUBSTITUTE(LEFT(TRIM(C179),FIND(" ",TRIM(C179)&amp;" ")-1),",","."))-1)/MID(SUBSTITUTE(LEFT(TRIM(C179),FIND(" ",TRIM(C179)&amp;" ")-1),",","."),FIND("/",SUBSTITUTE(LEFT(TRIM(C179),FIND(" ",TRIM(C179)&amp;" ")-1),",","."))+1,9)),IF(ISNUMBER(SEARCH("yea",C179)),IFERROR(_xlfn.NUMBERVALUE(SUBSTITUTE(LEFT(TRIM(C179),FIND(" ",TRIM(C179)&amp;" ")-1),",","."),"."),LEFT(SUBSTITUTE(LEFT(TRIM(C179),FIND(" ",TRIM(C179)&amp;" ")-1),",","."),FIND("/",SUBSTITUTE(LEFT(TRIM(C179),FIND(" ",TRIM(C179)&amp;" ")-1),",","."))-1)/MID(SUBSTITUTE(LEFT(TRIM(C179),FIND(" ",TRIM(C179)&amp;" ")-1),",","."),FIND("/",SUBSTITUTE(LEFT(TRIM(C179),FIND(" ",TRIM(C179)&amp;" ")-1),",","."))+1,9))*12,NA()))),0),24)*'Aturan &amp; Tarif'!$B$4,2)</f>
        <v>1362.72</v>
      </c>
      <c r="K179" s="32" t="n">
        <f aca="false">'Aturan &amp; Tarif'!$B$5</f>
        <v>2050</v>
      </c>
      <c r="L179" s="35" t="n">
        <f aca="false">I179+J179+K179</f>
        <v>19448.72</v>
      </c>
      <c r="M179" s="37" t="s">
        <v>318</v>
      </c>
    </row>
    <row r="180" customFormat="false" ht="14.25" hidden="false" customHeight="true" outlineLevel="0" collapsed="false">
      <c r="A180" s="29"/>
      <c r="B180" s="30" t="s">
        <v>402</v>
      </c>
      <c r="C180" s="31" t="s">
        <v>107</v>
      </c>
      <c r="D180" s="31" t="s">
        <v>108</v>
      </c>
      <c r="E180" s="32" t="n">
        <v>8018</v>
      </c>
      <c r="F180" s="32"/>
      <c r="G180" s="32"/>
      <c r="H180" s="33" t="n">
        <v>2</v>
      </c>
      <c r="I180" s="34" t="n">
        <f aca="false">E180*H180+N(F180)+N(G180)</f>
        <v>16036</v>
      </c>
      <c r="J180" s="32" t="n">
        <f aca="false">ROUND(IFERROR(ROUND(IF(OR(ISNUMBER(SEARCH("week",C180)),ISNUMBER(SEARCH("minggu",C180))),IFERROR(_xlfn.NUMBERVALUE(SUBSTITUTE(LEFT(TRIM(C180),FIND(" ",TRIM(C180)&amp;" ")-1),",","."),"."),LEFT(SUBSTITUTE(LEFT(TRIM(C180),FIND(" ",TRIM(C180)&amp;" ")-1),",","."),FIND("/",SUBSTITUTE(LEFT(TRIM(C180),FIND(" ",TRIM(C180)&amp;" ")-1),",","."))-1)/MID(SUBSTITUTE(LEFT(TRIM(C180),FIND(" ",TRIM(C180)&amp;" ")-1),",","."),FIND("/",SUBSTITUTE(LEFT(TRIM(C180),FIND(" ",TRIM(C180)&amp;" ")-1),",","."))+1,9))*12/52,IF(ISNUMBER(SEARCH("month",C180)),IFERROR(_xlfn.NUMBERVALUE(SUBSTITUTE(LEFT(TRIM(C180),FIND(" ",TRIM(C180)&amp;" ")-1),",","."),"."),LEFT(SUBSTITUTE(LEFT(TRIM(C180),FIND(" ",TRIM(C180)&amp;" ")-1),",","."),FIND("/",SUBSTITUTE(LEFT(TRIM(C180),FIND(" ",TRIM(C180)&amp;" ")-1),",","."))-1)/MID(SUBSTITUTE(LEFT(TRIM(C180),FIND(" ",TRIM(C180)&amp;" ")-1),",","."),FIND("/",SUBSTITUTE(LEFT(TRIM(C180),FIND(" ",TRIM(C180)&amp;" ")-1),",","."))+1,9)),IF(ISNUMBER(SEARCH("yea",C180)),IFERROR(_xlfn.NUMBERVALUE(SUBSTITUTE(LEFT(TRIM(C180),FIND(" ",TRIM(C180)&amp;" ")-1),",","."),"."),LEFT(SUBSTITUTE(LEFT(TRIM(C180),FIND(" ",TRIM(C180)&amp;" ")-1),",","."),FIND("/",SUBSTITUTE(LEFT(TRIM(C180),FIND(" ",TRIM(C180)&amp;" ")-1),",","."))-1)/MID(SUBSTITUTE(LEFT(TRIM(C180),FIND(" ",TRIM(C180)&amp;" ")-1),",","."),FIND("/",SUBSTITUTE(LEFT(TRIM(C180),FIND(" ",TRIM(C180)&amp;" ")-1),",","."))+1,9))*12,NA()))),0),24)*'Aturan &amp; Tarif'!$B$4,2)</f>
        <v>1362.72</v>
      </c>
      <c r="K180" s="32" t="n">
        <f aca="false">'Aturan &amp; Tarif'!$B$5</f>
        <v>2050</v>
      </c>
      <c r="L180" s="35" t="n">
        <f aca="false">I180+J180+K180</f>
        <v>19448.72</v>
      </c>
      <c r="M180" s="37" t="s">
        <v>318</v>
      </c>
    </row>
    <row r="181" customFormat="false" ht="14.25" hidden="false" customHeight="true" outlineLevel="0" collapsed="false">
      <c r="A181" s="29"/>
      <c r="B181" s="30" t="s">
        <v>289</v>
      </c>
      <c r="C181" s="31" t="s">
        <v>107</v>
      </c>
      <c r="D181" s="31" t="s">
        <v>108</v>
      </c>
      <c r="E181" s="32" t="n">
        <v>8018</v>
      </c>
      <c r="F181" s="32"/>
      <c r="G181" s="32"/>
      <c r="H181" s="33" t="n">
        <v>2</v>
      </c>
      <c r="I181" s="34" t="n">
        <f aca="false">E181*H181+N(F181)+N(G181)</f>
        <v>16036</v>
      </c>
      <c r="J181" s="32" t="n">
        <f aca="false">ROUND(IFERROR(ROUND(IF(OR(ISNUMBER(SEARCH("week",C181)),ISNUMBER(SEARCH("minggu",C181))),IFERROR(_xlfn.NUMBERVALUE(SUBSTITUTE(LEFT(TRIM(C181),FIND(" ",TRIM(C181)&amp;" ")-1),",","."),"."),LEFT(SUBSTITUTE(LEFT(TRIM(C181),FIND(" ",TRIM(C181)&amp;" ")-1),",","."),FIND("/",SUBSTITUTE(LEFT(TRIM(C181),FIND(" ",TRIM(C181)&amp;" ")-1),",","."))-1)/MID(SUBSTITUTE(LEFT(TRIM(C181),FIND(" ",TRIM(C181)&amp;" ")-1),",","."),FIND("/",SUBSTITUTE(LEFT(TRIM(C181),FIND(" ",TRIM(C181)&amp;" ")-1),",","."))+1,9))*12/52,IF(ISNUMBER(SEARCH("month",C181)),IFERROR(_xlfn.NUMBERVALUE(SUBSTITUTE(LEFT(TRIM(C181),FIND(" ",TRIM(C181)&amp;" ")-1),",","."),"."),LEFT(SUBSTITUTE(LEFT(TRIM(C181),FIND(" ",TRIM(C181)&amp;" ")-1),",","."),FIND("/",SUBSTITUTE(LEFT(TRIM(C181),FIND(" ",TRIM(C181)&amp;" ")-1),",","."))-1)/MID(SUBSTITUTE(LEFT(TRIM(C181),FIND(" ",TRIM(C181)&amp;" ")-1),",","."),FIND("/",SUBSTITUTE(LEFT(TRIM(C181),FIND(" ",TRIM(C181)&amp;" ")-1),",","."))+1,9)),IF(ISNUMBER(SEARCH("yea",C181)),IFERROR(_xlfn.NUMBERVALUE(SUBSTITUTE(LEFT(TRIM(C181),FIND(" ",TRIM(C181)&amp;" ")-1),",","."),"."),LEFT(SUBSTITUTE(LEFT(TRIM(C181),FIND(" ",TRIM(C181)&amp;" ")-1),",","."),FIND("/",SUBSTITUTE(LEFT(TRIM(C181),FIND(" ",TRIM(C181)&amp;" ")-1),",","."))-1)/MID(SUBSTITUTE(LEFT(TRIM(C181),FIND(" ",TRIM(C181)&amp;" ")-1),",","."),FIND("/",SUBSTITUTE(LEFT(TRIM(C181),FIND(" ",TRIM(C181)&amp;" ")-1),",","."))+1,9))*12,NA()))),0),24)*'Aturan &amp; Tarif'!$B$4,2)</f>
        <v>1362.72</v>
      </c>
      <c r="K181" s="32" t="n">
        <f aca="false">'Aturan &amp; Tarif'!$B$5</f>
        <v>2050</v>
      </c>
      <c r="L181" s="35" t="n">
        <f aca="false">I181+J181+K181</f>
        <v>19448.72</v>
      </c>
      <c r="M181" s="37" t="s">
        <v>318</v>
      </c>
    </row>
    <row r="182" customFormat="false" ht="25.5" hidden="false" customHeight="true" outlineLevel="0" collapsed="false">
      <c r="A182" s="29"/>
      <c r="B182" s="30" t="s">
        <v>403</v>
      </c>
      <c r="C182" s="31" t="s">
        <v>127</v>
      </c>
      <c r="D182" s="31" t="s">
        <v>108</v>
      </c>
      <c r="E182" s="32" t="n">
        <v>7162</v>
      </c>
      <c r="F182" s="32"/>
      <c r="G182" s="32"/>
      <c r="H182" s="33" t="n">
        <v>2</v>
      </c>
      <c r="I182" s="34" t="n">
        <f aca="false">E182*H182+N(F182)+N(G182)</f>
        <v>14324</v>
      </c>
      <c r="J182" s="32" t="n">
        <f aca="false">ROUND(IFERROR(ROUND(IF(OR(ISNUMBER(SEARCH("week",C182)),ISNUMBER(SEARCH("minggu",C182))),IFERROR(_xlfn.NUMBERVALUE(SUBSTITUTE(LEFT(TRIM(C182),FIND(" ",TRIM(C182)&amp;" ")-1),",","."),"."),LEFT(SUBSTITUTE(LEFT(TRIM(C182),FIND(" ",TRIM(C182)&amp;" ")-1),",","."),FIND("/",SUBSTITUTE(LEFT(TRIM(C182),FIND(" ",TRIM(C182)&amp;" ")-1),",","."))-1)/MID(SUBSTITUTE(LEFT(TRIM(C182),FIND(" ",TRIM(C182)&amp;" ")-1),",","."),FIND("/",SUBSTITUTE(LEFT(TRIM(C182),FIND(" ",TRIM(C182)&amp;" ")-1),",","."))+1,9))*12/52,IF(ISNUMBER(SEARCH("month",C182)),IFERROR(_xlfn.NUMBERVALUE(SUBSTITUTE(LEFT(TRIM(C182),FIND(" ",TRIM(C182)&amp;" ")-1),",","."),"."),LEFT(SUBSTITUTE(LEFT(TRIM(C182),FIND(" ",TRIM(C182)&amp;" ")-1),",","."),FIND("/",SUBSTITUTE(LEFT(TRIM(C182),FIND(" ",TRIM(C182)&amp;" ")-1),",","."))-1)/MID(SUBSTITUTE(LEFT(TRIM(C182),FIND(" ",TRIM(C182)&amp;" ")-1),",","."),FIND("/",SUBSTITUTE(LEFT(TRIM(C182),FIND(" ",TRIM(C182)&amp;" ")-1),",","."))+1,9)),IF(ISNUMBER(SEARCH("yea",C182)),IFERROR(_xlfn.NUMBERVALUE(SUBSTITUTE(LEFT(TRIM(C182),FIND(" ",TRIM(C182)&amp;" ")-1),",","."),"."),LEFT(SUBSTITUTE(LEFT(TRIM(C182),FIND(" ",TRIM(C182)&amp;" ")-1),",","."),FIND("/",SUBSTITUTE(LEFT(TRIM(C182),FIND(" ",TRIM(C182)&amp;" ")-1),",","."))-1)/MID(SUBSTITUTE(LEFT(TRIM(C182),FIND(" ",TRIM(C182)&amp;" ")-1),",","."),FIND("/",SUBSTITUTE(LEFT(TRIM(C182),FIND(" ",TRIM(C182)&amp;" ")-1),",","."))+1,9))*12,NA()))),0),36)*'Aturan &amp; Tarif'!$B$4,2)</f>
        <v>2044.08</v>
      </c>
      <c r="K182" s="32" t="n">
        <f aca="false">'Aturan &amp; Tarif'!$B$5</f>
        <v>2050</v>
      </c>
      <c r="L182" s="35" t="n">
        <f aca="false">I182+J182+K182</f>
        <v>18418.08</v>
      </c>
      <c r="M182" s="37" t="s">
        <v>318</v>
      </c>
    </row>
    <row r="183" customFormat="false" ht="14.25" hidden="false" customHeight="true" outlineLevel="0" collapsed="false">
      <c r="A183" s="29"/>
      <c r="B183" s="30" t="s">
        <v>404</v>
      </c>
      <c r="C183" s="31" t="s">
        <v>191</v>
      </c>
      <c r="D183" s="31" t="s">
        <v>108</v>
      </c>
      <c r="E183" s="32" t="n">
        <v>7162</v>
      </c>
      <c r="F183" s="32"/>
      <c r="G183" s="32"/>
      <c r="H183" s="33" t="n">
        <v>2</v>
      </c>
      <c r="I183" s="34" t="n">
        <f aca="false">E183*H183+N(F183)+N(G183)</f>
        <v>14324</v>
      </c>
      <c r="J183" s="32" t="n">
        <f aca="false">ROUND(IFERROR(ROUND(IF(OR(ISNUMBER(SEARCH("week",C183)),ISNUMBER(SEARCH("minggu",C183))),IFERROR(_xlfn.NUMBERVALUE(SUBSTITUTE(LEFT(TRIM(C183),FIND(" ",TRIM(C183)&amp;" ")-1),",","."),"."),LEFT(SUBSTITUTE(LEFT(TRIM(C183),FIND(" ",TRIM(C183)&amp;" ")-1),",","."),FIND("/",SUBSTITUTE(LEFT(TRIM(C183),FIND(" ",TRIM(C183)&amp;" ")-1),",","."))-1)/MID(SUBSTITUTE(LEFT(TRIM(C183),FIND(" ",TRIM(C183)&amp;" ")-1),",","."),FIND("/",SUBSTITUTE(LEFT(TRIM(C183),FIND(" ",TRIM(C183)&amp;" ")-1),",","."))+1,9))*12/52,IF(ISNUMBER(SEARCH("month",C183)),IFERROR(_xlfn.NUMBERVALUE(SUBSTITUTE(LEFT(TRIM(C183),FIND(" ",TRIM(C183)&amp;" ")-1),",","."),"."),LEFT(SUBSTITUTE(LEFT(TRIM(C183),FIND(" ",TRIM(C183)&amp;" ")-1),",","."),FIND("/",SUBSTITUTE(LEFT(TRIM(C183),FIND(" ",TRIM(C183)&amp;" ")-1),",","."))-1)/MID(SUBSTITUTE(LEFT(TRIM(C183),FIND(" ",TRIM(C183)&amp;" ")-1),",","."),FIND("/",SUBSTITUTE(LEFT(TRIM(C183),FIND(" ",TRIM(C183)&amp;" ")-1),",","."))+1,9)),IF(ISNUMBER(SEARCH("yea",C183)),IFERROR(_xlfn.NUMBERVALUE(SUBSTITUTE(LEFT(TRIM(C183),FIND(" ",TRIM(C183)&amp;" ")-1),",","."),"."),LEFT(SUBSTITUTE(LEFT(TRIM(C183),FIND(" ",TRIM(C183)&amp;" ")-1),",","."),FIND("/",SUBSTITUTE(LEFT(TRIM(C183),FIND(" ",TRIM(C183)&amp;" ")-1),",","."))-1)/MID(SUBSTITUTE(LEFT(TRIM(C183),FIND(" ",TRIM(C183)&amp;" ")-1),",","."),FIND("/",SUBSTITUTE(LEFT(TRIM(C183),FIND(" ",TRIM(C183)&amp;" ")-1),",","."))+1,9))*12,NA()))),0),48)*'Aturan &amp; Tarif'!$B$4,2)</f>
        <v>2725.44</v>
      </c>
      <c r="K183" s="32" t="n">
        <f aca="false">'Aturan &amp; Tarif'!$B$5</f>
        <v>2050</v>
      </c>
      <c r="L183" s="35" t="n">
        <f aca="false">I183+J183+K183</f>
        <v>19099.44</v>
      </c>
      <c r="M183" s="37" t="s">
        <v>318</v>
      </c>
    </row>
    <row r="184" customFormat="false" ht="14.25" hidden="false" customHeight="true" outlineLevel="0" collapsed="false">
      <c r="A184" s="29"/>
      <c r="B184" s="30" t="s">
        <v>405</v>
      </c>
      <c r="C184" s="31" t="s">
        <v>127</v>
      </c>
      <c r="D184" s="31" t="s">
        <v>108</v>
      </c>
      <c r="E184" s="32" t="n">
        <v>8682</v>
      </c>
      <c r="F184" s="32"/>
      <c r="G184" s="32"/>
      <c r="H184" s="33" t="n">
        <v>2</v>
      </c>
      <c r="I184" s="34" t="n">
        <f aca="false">E184*H184+N(F184)+N(G184)</f>
        <v>17364</v>
      </c>
      <c r="J184" s="32" t="n">
        <f aca="false">ROUND(IFERROR(ROUND(IF(OR(ISNUMBER(SEARCH("week",C184)),ISNUMBER(SEARCH("minggu",C184))),IFERROR(_xlfn.NUMBERVALUE(SUBSTITUTE(LEFT(TRIM(C184),FIND(" ",TRIM(C184)&amp;" ")-1),",","."),"."),LEFT(SUBSTITUTE(LEFT(TRIM(C184),FIND(" ",TRIM(C184)&amp;" ")-1),",","."),FIND("/",SUBSTITUTE(LEFT(TRIM(C184),FIND(" ",TRIM(C184)&amp;" ")-1),",","."))-1)/MID(SUBSTITUTE(LEFT(TRIM(C184),FIND(" ",TRIM(C184)&amp;" ")-1),",","."),FIND("/",SUBSTITUTE(LEFT(TRIM(C184),FIND(" ",TRIM(C184)&amp;" ")-1),",","."))+1,9))*12/52,IF(ISNUMBER(SEARCH("month",C184)),IFERROR(_xlfn.NUMBERVALUE(SUBSTITUTE(LEFT(TRIM(C184),FIND(" ",TRIM(C184)&amp;" ")-1),",","."),"."),LEFT(SUBSTITUTE(LEFT(TRIM(C184),FIND(" ",TRIM(C184)&amp;" ")-1),",","."),FIND("/",SUBSTITUTE(LEFT(TRIM(C184),FIND(" ",TRIM(C184)&amp;" ")-1),",","."))-1)/MID(SUBSTITUTE(LEFT(TRIM(C184),FIND(" ",TRIM(C184)&amp;" ")-1),",","."),FIND("/",SUBSTITUTE(LEFT(TRIM(C184),FIND(" ",TRIM(C184)&amp;" ")-1),",","."))+1,9)),IF(ISNUMBER(SEARCH("yea",C184)),IFERROR(_xlfn.NUMBERVALUE(SUBSTITUTE(LEFT(TRIM(C184),FIND(" ",TRIM(C184)&amp;" ")-1),",","."),"."),LEFT(SUBSTITUTE(LEFT(TRIM(C184),FIND(" ",TRIM(C184)&amp;" ")-1),",","."),FIND("/",SUBSTITUTE(LEFT(TRIM(C184),FIND(" ",TRIM(C184)&amp;" ")-1),",","."))-1)/MID(SUBSTITUTE(LEFT(TRIM(C184),FIND(" ",TRIM(C184)&amp;" ")-1),",","."),FIND("/",SUBSTITUTE(LEFT(TRIM(C184),FIND(" ",TRIM(C184)&amp;" ")-1),",","."))+1,9))*12,NA()))),0),36)*'Aturan &amp; Tarif'!$B$4,2)</f>
        <v>2044.08</v>
      </c>
      <c r="K184" s="32" t="n">
        <f aca="false">'Aturan &amp; Tarif'!$B$5</f>
        <v>2050</v>
      </c>
      <c r="L184" s="35" t="n">
        <f aca="false">I184+J184+K184</f>
        <v>21458.08</v>
      </c>
      <c r="M184" s="37" t="s">
        <v>318</v>
      </c>
    </row>
    <row r="185" customFormat="false" ht="14.25" hidden="false" customHeight="true" outlineLevel="0" collapsed="false">
      <c r="A185" s="29"/>
      <c r="B185" s="30" t="s">
        <v>406</v>
      </c>
      <c r="C185" s="31" t="s">
        <v>191</v>
      </c>
      <c r="D185" s="31" t="s">
        <v>108</v>
      </c>
      <c r="E185" s="32" t="n">
        <v>8682</v>
      </c>
      <c r="F185" s="32"/>
      <c r="G185" s="32"/>
      <c r="H185" s="33" t="n">
        <v>2</v>
      </c>
      <c r="I185" s="34" t="n">
        <f aca="false">E185*H185+N(F185)+N(G185)</f>
        <v>17364</v>
      </c>
      <c r="J185" s="32" t="n">
        <f aca="false">ROUND(IFERROR(ROUND(IF(OR(ISNUMBER(SEARCH("week",C185)),ISNUMBER(SEARCH("minggu",C185))),IFERROR(_xlfn.NUMBERVALUE(SUBSTITUTE(LEFT(TRIM(C185),FIND(" ",TRIM(C185)&amp;" ")-1),",","."),"."),LEFT(SUBSTITUTE(LEFT(TRIM(C185),FIND(" ",TRIM(C185)&amp;" ")-1),",","."),FIND("/",SUBSTITUTE(LEFT(TRIM(C185),FIND(" ",TRIM(C185)&amp;" ")-1),",","."))-1)/MID(SUBSTITUTE(LEFT(TRIM(C185),FIND(" ",TRIM(C185)&amp;" ")-1),",","."),FIND("/",SUBSTITUTE(LEFT(TRIM(C185),FIND(" ",TRIM(C185)&amp;" ")-1),",","."))+1,9))*12/52,IF(ISNUMBER(SEARCH("month",C185)),IFERROR(_xlfn.NUMBERVALUE(SUBSTITUTE(LEFT(TRIM(C185),FIND(" ",TRIM(C185)&amp;" ")-1),",","."),"."),LEFT(SUBSTITUTE(LEFT(TRIM(C185),FIND(" ",TRIM(C185)&amp;" ")-1),",","."),FIND("/",SUBSTITUTE(LEFT(TRIM(C185),FIND(" ",TRIM(C185)&amp;" ")-1),",","."))-1)/MID(SUBSTITUTE(LEFT(TRIM(C185),FIND(" ",TRIM(C185)&amp;" ")-1),",","."),FIND("/",SUBSTITUTE(LEFT(TRIM(C185),FIND(" ",TRIM(C185)&amp;" ")-1),",","."))+1,9)),IF(ISNUMBER(SEARCH("yea",C185)),IFERROR(_xlfn.NUMBERVALUE(SUBSTITUTE(LEFT(TRIM(C185),FIND(" ",TRIM(C185)&amp;" ")-1),",","."),"."),LEFT(SUBSTITUTE(LEFT(TRIM(C185),FIND(" ",TRIM(C185)&amp;" ")-1),",","."),FIND("/",SUBSTITUTE(LEFT(TRIM(C185),FIND(" ",TRIM(C185)&amp;" ")-1),",","."))-1)/MID(SUBSTITUTE(LEFT(TRIM(C185),FIND(" ",TRIM(C185)&amp;" ")-1),",","."),FIND("/",SUBSTITUTE(LEFT(TRIM(C185),FIND(" ",TRIM(C185)&amp;" ")-1),",","."))+1,9))*12,NA()))),0),48)*'Aturan &amp; Tarif'!$B$4,2)</f>
        <v>2725.44</v>
      </c>
      <c r="K185" s="32" t="n">
        <f aca="false">'Aturan &amp; Tarif'!$B$5</f>
        <v>2050</v>
      </c>
      <c r="L185" s="35" t="n">
        <f aca="false">I185+J185+K185</f>
        <v>22139.44</v>
      </c>
      <c r="M185" s="37" t="s">
        <v>318</v>
      </c>
    </row>
    <row r="186" customFormat="false" ht="14.25" hidden="false" customHeight="true" outlineLevel="0" collapsed="false">
      <c r="A186" s="29"/>
      <c r="B186" s="30" t="s">
        <v>407</v>
      </c>
      <c r="C186" s="31" t="s">
        <v>107</v>
      </c>
      <c r="D186" s="31" t="s">
        <v>108</v>
      </c>
      <c r="E186" s="32" t="n">
        <v>8682</v>
      </c>
      <c r="F186" s="32"/>
      <c r="G186" s="32"/>
      <c r="H186" s="33" t="n">
        <v>2</v>
      </c>
      <c r="I186" s="34" t="n">
        <f aca="false">E186*H186+N(F186)+N(G186)</f>
        <v>17364</v>
      </c>
      <c r="J186" s="32" t="n">
        <f aca="false">ROUND(IFERROR(ROUND(IF(OR(ISNUMBER(SEARCH("week",C186)),ISNUMBER(SEARCH("minggu",C186))),IFERROR(_xlfn.NUMBERVALUE(SUBSTITUTE(LEFT(TRIM(C186),FIND(" ",TRIM(C186)&amp;" ")-1),",","."),"."),LEFT(SUBSTITUTE(LEFT(TRIM(C186),FIND(" ",TRIM(C186)&amp;" ")-1),",","."),FIND("/",SUBSTITUTE(LEFT(TRIM(C186),FIND(" ",TRIM(C186)&amp;" ")-1),",","."))-1)/MID(SUBSTITUTE(LEFT(TRIM(C186),FIND(" ",TRIM(C186)&amp;" ")-1),",","."),FIND("/",SUBSTITUTE(LEFT(TRIM(C186),FIND(" ",TRIM(C186)&amp;" ")-1),",","."))+1,9))*12/52,IF(ISNUMBER(SEARCH("month",C186)),IFERROR(_xlfn.NUMBERVALUE(SUBSTITUTE(LEFT(TRIM(C186),FIND(" ",TRIM(C186)&amp;" ")-1),",","."),"."),LEFT(SUBSTITUTE(LEFT(TRIM(C186),FIND(" ",TRIM(C186)&amp;" ")-1),",","."),FIND("/",SUBSTITUTE(LEFT(TRIM(C186),FIND(" ",TRIM(C186)&amp;" ")-1),",","."))-1)/MID(SUBSTITUTE(LEFT(TRIM(C186),FIND(" ",TRIM(C186)&amp;" ")-1),",","."),FIND("/",SUBSTITUTE(LEFT(TRIM(C186),FIND(" ",TRIM(C186)&amp;" ")-1),",","."))+1,9)),IF(ISNUMBER(SEARCH("yea",C186)),IFERROR(_xlfn.NUMBERVALUE(SUBSTITUTE(LEFT(TRIM(C186),FIND(" ",TRIM(C186)&amp;" ")-1),",","."),"."),LEFT(SUBSTITUTE(LEFT(TRIM(C186),FIND(" ",TRIM(C186)&amp;" ")-1),",","."),FIND("/",SUBSTITUTE(LEFT(TRIM(C186),FIND(" ",TRIM(C186)&amp;" ")-1),",","."))-1)/MID(SUBSTITUTE(LEFT(TRIM(C186),FIND(" ",TRIM(C186)&amp;" ")-1),",","."),FIND("/",SUBSTITUTE(LEFT(TRIM(C186),FIND(" ",TRIM(C186)&amp;" ")-1),",","."))+1,9))*12,NA()))),0),24)*'Aturan &amp; Tarif'!$B$4,2)</f>
        <v>1362.72</v>
      </c>
      <c r="K186" s="32" t="n">
        <f aca="false">'Aturan &amp; Tarif'!$B$5</f>
        <v>2050</v>
      </c>
      <c r="L186" s="35" t="n">
        <f aca="false">I186+J186+K186</f>
        <v>20776.72</v>
      </c>
      <c r="M186" s="37" t="s">
        <v>318</v>
      </c>
    </row>
    <row r="187" customFormat="false" ht="14.25" hidden="false" customHeight="true" outlineLevel="0" collapsed="false">
      <c r="A187" s="29"/>
      <c r="B187" s="30" t="s">
        <v>408</v>
      </c>
      <c r="C187" s="31" t="s">
        <v>130</v>
      </c>
      <c r="D187" s="31" t="s">
        <v>108</v>
      </c>
      <c r="E187" s="32" t="n">
        <v>7086</v>
      </c>
      <c r="F187" s="32"/>
      <c r="G187" s="32"/>
      <c r="H187" s="33" t="n">
        <v>2</v>
      </c>
      <c r="I187" s="34" t="n">
        <f aca="false">E187*H187+N(F187)+N(G187)</f>
        <v>14172</v>
      </c>
      <c r="J187" s="32" t="n">
        <f aca="false">ROUND(IFERROR(ROUND(IF(OR(ISNUMBER(SEARCH("week",C187)),ISNUMBER(SEARCH("minggu",C187))),IFERROR(_xlfn.NUMBERVALUE(SUBSTITUTE(LEFT(TRIM(C187),FIND(" ",TRIM(C187)&amp;" ")-1),",","."),"."),LEFT(SUBSTITUTE(LEFT(TRIM(C187),FIND(" ",TRIM(C187)&amp;" ")-1),",","."),FIND("/",SUBSTITUTE(LEFT(TRIM(C187),FIND(" ",TRIM(C187)&amp;" ")-1),",","."))-1)/MID(SUBSTITUTE(LEFT(TRIM(C187),FIND(" ",TRIM(C187)&amp;" ")-1),",","."),FIND("/",SUBSTITUTE(LEFT(TRIM(C187),FIND(" ",TRIM(C187)&amp;" ")-1),",","."))+1,9))*12/52,IF(ISNUMBER(SEARCH("month",C187)),IFERROR(_xlfn.NUMBERVALUE(SUBSTITUTE(LEFT(TRIM(C187),FIND(" ",TRIM(C187)&amp;" ")-1),",","."),"."),LEFT(SUBSTITUTE(LEFT(TRIM(C187),FIND(" ",TRIM(C187)&amp;" ")-1),",","."),FIND("/",SUBSTITUTE(LEFT(TRIM(C187),FIND(" ",TRIM(C187)&amp;" ")-1),",","."))-1)/MID(SUBSTITUTE(LEFT(TRIM(C187),FIND(" ",TRIM(C187)&amp;" ")-1),",","."),FIND("/",SUBSTITUTE(LEFT(TRIM(C187),FIND(" ",TRIM(C187)&amp;" ")-1),",","."))+1,9)),IF(ISNUMBER(SEARCH("yea",C187)),IFERROR(_xlfn.NUMBERVALUE(SUBSTITUTE(LEFT(TRIM(C187),FIND(" ",TRIM(C187)&amp;" ")-1),",","."),"."),LEFT(SUBSTITUTE(LEFT(TRIM(C187),FIND(" ",TRIM(C187)&amp;" ")-1),",","."),FIND("/",SUBSTITUTE(LEFT(TRIM(C187),FIND(" ",TRIM(C187)&amp;" ")-1),",","."))-1)/MID(SUBSTITUTE(LEFT(TRIM(C187),FIND(" ",TRIM(C187)&amp;" ")-1),",","."),FIND("/",SUBSTITUTE(LEFT(TRIM(C187),FIND(" ",TRIM(C187)&amp;" ")-1),",","."))+1,9))*12,NA()))),0),12)*'Aturan &amp; Tarif'!$B$4,2)</f>
        <v>681.36</v>
      </c>
      <c r="K187" s="32" t="n">
        <f aca="false">'Aturan &amp; Tarif'!$B$5</f>
        <v>2050</v>
      </c>
      <c r="L187" s="35" t="n">
        <f aca="false">I187+J187+K187</f>
        <v>16903.36</v>
      </c>
      <c r="M187" s="37" t="s">
        <v>318</v>
      </c>
    </row>
    <row r="188" customFormat="false" ht="14.25" hidden="false" customHeight="true" outlineLevel="0" collapsed="false">
      <c r="A188" s="29"/>
      <c r="B188" s="30" t="s">
        <v>409</v>
      </c>
      <c r="C188" s="31" t="s">
        <v>130</v>
      </c>
      <c r="D188" s="31" t="s">
        <v>108</v>
      </c>
      <c r="E188" s="32" t="n">
        <v>8058</v>
      </c>
      <c r="F188" s="32"/>
      <c r="G188" s="32"/>
      <c r="H188" s="33" t="n">
        <v>2</v>
      </c>
      <c r="I188" s="34" t="n">
        <f aca="false">E188*H188+N(F188)+N(G188)</f>
        <v>16116</v>
      </c>
      <c r="J188" s="32" t="n">
        <f aca="false">ROUND(IFERROR(ROUND(IF(OR(ISNUMBER(SEARCH("week",C188)),ISNUMBER(SEARCH("minggu",C188))),IFERROR(_xlfn.NUMBERVALUE(SUBSTITUTE(LEFT(TRIM(C188),FIND(" ",TRIM(C188)&amp;" ")-1),",","."),"."),LEFT(SUBSTITUTE(LEFT(TRIM(C188),FIND(" ",TRIM(C188)&amp;" ")-1),",","."),FIND("/",SUBSTITUTE(LEFT(TRIM(C188),FIND(" ",TRIM(C188)&amp;" ")-1),",","."))-1)/MID(SUBSTITUTE(LEFT(TRIM(C188),FIND(" ",TRIM(C188)&amp;" ")-1),",","."),FIND("/",SUBSTITUTE(LEFT(TRIM(C188),FIND(" ",TRIM(C188)&amp;" ")-1),",","."))+1,9))*12/52,IF(ISNUMBER(SEARCH("month",C188)),IFERROR(_xlfn.NUMBERVALUE(SUBSTITUTE(LEFT(TRIM(C188),FIND(" ",TRIM(C188)&amp;" ")-1),",","."),"."),LEFT(SUBSTITUTE(LEFT(TRIM(C188),FIND(" ",TRIM(C188)&amp;" ")-1),",","."),FIND("/",SUBSTITUTE(LEFT(TRIM(C188),FIND(" ",TRIM(C188)&amp;" ")-1),",","."))-1)/MID(SUBSTITUTE(LEFT(TRIM(C188),FIND(" ",TRIM(C188)&amp;" ")-1),",","."),FIND("/",SUBSTITUTE(LEFT(TRIM(C188),FIND(" ",TRIM(C188)&amp;" ")-1),",","."))+1,9)),IF(ISNUMBER(SEARCH("yea",C188)),IFERROR(_xlfn.NUMBERVALUE(SUBSTITUTE(LEFT(TRIM(C188),FIND(" ",TRIM(C188)&amp;" ")-1),",","."),"."),LEFT(SUBSTITUTE(LEFT(TRIM(C188),FIND(" ",TRIM(C188)&amp;" ")-1),",","."),FIND("/",SUBSTITUTE(LEFT(TRIM(C188),FIND(" ",TRIM(C188)&amp;" ")-1),",","."))-1)/MID(SUBSTITUTE(LEFT(TRIM(C188),FIND(" ",TRIM(C188)&amp;" ")-1),",","."),FIND("/",SUBSTITUTE(LEFT(TRIM(C188),FIND(" ",TRIM(C188)&amp;" ")-1),",","."))+1,9))*12,NA()))),0),12)*'Aturan &amp; Tarif'!$B$4,2)</f>
        <v>681.36</v>
      </c>
      <c r="K188" s="32" t="n">
        <f aca="false">'Aturan &amp; Tarif'!$B$5</f>
        <v>2050</v>
      </c>
      <c r="L188" s="35" t="n">
        <f aca="false">I188+J188+K188</f>
        <v>18847.36</v>
      </c>
      <c r="M188" s="37" t="s">
        <v>318</v>
      </c>
    </row>
    <row r="189" customFormat="false" ht="25.5" hidden="false" customHeight="true" outlineLevel="0" collapsed="false">
      <c r="A189" s="29"/>
      <c r="B189" s="30" t="s">
        <v>410</v>
      </c>
      <c r="C189" s="31" t="s">
        <v>130</v>
      </c>
      <c r="D189" s="31" t="s">
        <v>108</v>
      </c>
      <c r="E189" s="32" t="n">
        <v>8480</v>
      </c>
      <c r="F189" s="32"/>
      <c r="G189" s="32"/>
      <c r="H189" s="33" t="n">
        <v>2</v>
      </c>
      <c r="I189" s="34" t="n">
        <f aca="false">E189*H189+N(F189)+N(G189)</f>
        <v>16960</v>
      </c>
      <c r="J189" s="32" t="n">
        <f aca="false">ROUND(IFERROR(ROUND(IF(OR(ISNUMBER(SEARCH("week",C189)),ISNUMBER(SEARCH("minggu",C189))),IFERROR(_xlfn.NUMBERVALUE(SUBSTITUTE(LEFT(TRIM(C189),FIND(" ",TRIM(C189)&amp;" ")-1),",","."),"."),LEFT(SUBSTITUTE(LEFT(TRIM(C189),FIND(" ",TRIM(C189)&amp;" ")-1),",","."),FIND("/",SUBSTITUTE(LEFT(TRIM(C189),FIND(" ",TRIM(C189)&amp;" ")-1),",","."))-1)/MID(SUBSTITUTE(LEFT(TRIM(C189),FIND(" ",TRIM(C189)&amp;" ")-1),",","."),FIND("/",SUBSTITUTE(LEFT(TRIM(C189),FIND(" ",TRIM(C189)&amp;" ")-1),",","."))+1,9))*12/52,IF(ISNUMBER(SEARCH("month",C189)),IFERROR(_xlfn.NUMBERVALUE(SUBSTITUTE(LEFT(TRIM(C189),FIND(" ",TRIM(C189)&amp;" ")-1),",","."),"."),LEFT(SUBSTITUTE(LEFT(TRIM(C189),FIND(" ",TRIM(C189)&amp;" ")-1),",","."),FIND("/",SUBSTITUTE(LEFT(TRIM(C189),FIND(" ",TRIM(C189)&amp;" ")-1),",","."))-1)/MID(SUBSTITUTE(LEFT(TRIM(C189),FIND(" ",TRIM(C189)&amp;" ")-1),",","."),FIND("/",SUBSTITUTE(LEFT(TRIM(C189),FIND(" ",TRIM(C189)&amp;" ")-1),",","."))+1,9)),IF(ISNUMBER(SEARCH("yea",C189)),IFERROR(_xlfn.NUMBERVALUE(SUBSTITUTE(LEFT(TRIM(C189),FIND(" ",TRIM(C189)&amp;" ")-1),",","."),"."),LEFT(SUBSTITUTE(LEFT(TRIM(C189),FIND(" ",TRIM(C189)&amp;" ")-1),",","."),FIND("/",SUBSTITUTE(LEFT(TRIM(C189),FIND(" ",TRIM(C189)&amp;" ")-1),",","."))-1)/MID(SUBSTITUTE(LEFT(TRIM(C189),FIND(" ",TRIM(C189)&amp;" ")-1),",","."),FIND("/",SUBSTITUTE(LEFT(TRIM(C189),FIND(" ",TRIM(C189)&amp;" ")-1),",","."))+1,9))*12,NA()))),0),12)*'Aturan &amp; Tarif'!$B$4,2)</f>
        <v>681.36</v>
      </c>
      <c r="K189" s="32" t="n">
        <f aca="false">'Aturan &amp; Tarif'!$B$5</f>
        <v>2050</v>
      </c>
      <c r="L189" s="35" t="n">
        <f aca="false">I189+J189+K189</f>
        <v>19691.36</v>
      </c>
      <c r="M189" s="37" t="s">
        <v>318</v>
      </c>
    </row>
    <row r="190" customFormat="false" ht="14.25" hidden="false" customHeight="true" outlineLevel="0" collapsed="false">
      <c r="A190" s="29"/>
      <c r="B190" s="30" t="s">
        <v>411</v>
      </c>
      <c r="C190" s="31" t="s">
        <v>130</v>
      </c>
      <c r="D190" s="31" t="s">
        <v>108</v>
      </c>
      <c r="E190" s="32" t="n">
        <v>8906</v>
      </c>
      <c r="F190" s="32"/>
      <c r="G190" s="32"/>
      <c r="H190" s="33" t="n">
        <v>2</v>
      </c>
      <c r="I190" s="34" t="n">
        <f aca="false">E190*H190+N(F190)+N(G190)</f>
        <v>17812</v>
      </c>
      <c r="J190" s="32" t="n">
        <f aca="false">ROUND(IFERROR(ROUND(IF(OR(ISNUMBER(SEARCH("week",C190)),ISNUMBER(SEARCH("minggu",C190))),IFERROR(_xlfn.NUMBERVALUE(SUBSTITUTE(LEFT(TRIM(C190),FIND(" ",TRIM(C190)&amp;" ")-1),",","."),"."),LEFT(SUBSTITUTE(LEFT(TRIM(C190),FIND(" ",TRIM(C190)&amp;" ")-1),",","."),FIND("/",SUBSTITUTE(LEFT(TRIM(C190),FIND(" ",TRIM(C190)&amp;" ")-1),",","."))-1)/MID(SUBSTITUTE(LEFT(TRIM(C190),FIND(" ",TRIM(C190)&amp;" ")-1),",","."),FIND("/",SUBSTITUTE(LEFT(TRIM(C190),FIND(" ",TRIM(C190)&amp;" ")-1),",","."))+1,9))*12/52,IF(ISNUMBER(SEARCH("month",C190)),IFERROR(_xlfn.NUMBERVALUE(SUBSTITUTE(LEFT(TRIM(C190),FIND(" ",TRIM(C190)&amp;" ")-1),",","."),"."),LEFT(SUBSTITUTE(LEFT(TRIM(C190),FIND(" ",TRIM(C190)&amp;" ")-1),",","."),FIND("/",SUBSTITUTE(LEFT(TRIM(C190),FIND(" ",TRIM(C190)&amp;" ")-1),",","."))-1)/MID(SUBSTITUTE(LEFT(TRIM(C190),FIND(" ",TRIM(C190)&amp;" ")-1),",","."),FIND("/",SUBSTITUTE(LEFT(TRIM(C190),FIND(" ",TRIM(C190)&amp;" ")-1),",","."))+1,9)),IF(ISNUMBER(SEARCH("yea",C190)),IFERROR(_xlfn.NUMBERVALUE(SUBSTITUTE(LEFT(TRIM(C190),FIND(" ",TRIM(C190)&amp;" ")-1),",","."),"."),LEFT(SUBSTITUTE(LEFT(TRIM(C190),FIND(" ",TRIM(C190)&amp;" ")-1),",","."),FIND("/",SUBSTITUTE(LEFT(TRIM(C190),FIND(" ",TRIM(C190)&amp;" ")-1),",","."))-1)/MID(SUBSTITUTE(LEFT(TRIM(C190),FIND(" ",TRIM(C190)&amp;" ")-1),",","."),FIND("/",SUBSTITUTE(LEFT(TRIM(C190),FIND(" ",TRIM(C190)&amp;" ")-1),",","."))+1,9))*12,NA()))),0),12)*'Aturan &amp; Tarif'!$B$4,2)</f>
        <v>681.36</v>
      </c>
      <c r="K190" s="32" t="n">
        <f aca="false">'Aturan &amp; Tarif'!$B$5</f>
        <v>2050</v>
      </c>
      <c r="L190" s="35" t="n">
        <f aca="false">I190+J190+K190</f>
        <v>20543.36</v>
      </c>
      <c r="M190" s="37" t="s">
        <v>318</v>
      </c>
    </row>
    <row r="191" customFormat="false" ht="14.25" hidden="false" customHeight="true" outlineLevel="0" collapsed="false">
      <c r="A191" s="29"/>
      <c r="B191" s="30" t="s">
        <v>412</v>
      </c>
      <c r="C191" s="31" t="s">
        <v>130</v>
      </c>
      <c r="D191" s="31" t="s">
        <v>108</v>
      </c>
      <c r="E191" s="32" t="n">
        <v>7086</v>
      </c>
      <c r="F191" s="32"/>
      <c r="G191" s="32"/>
      <c r="H191" s="33" t="n">
        <v>2</v>
      </c>
      <c r="I191" s="34" t="n">
        <f aca="false">E191*H191+N(F191)+N(G191)</f>
        <v>14172</v>
      </c>
      <c r="J191" s="32" t="n">
        <f aca="false">ROUND(IFERROR(ROUND(IF(OR(ISNUMBER(SEARCH("week",C191)),ISNUMBER(SEARCH("minggu",C191))),IFERROR(_xlfn.NUMBERVALUE(SUBSTITUTE(LEFT(TRIM(C191),FIND(" ",TRIM(C191)&amp;" ")-1),",","."),"."),LEFT(SUBSTITUTE(LEFT(TRIM(C191),FIND(" ",TRIM(C191)&amp;" ")-1),",","."),FIND("/",SUBSTITUTE(LEFT(TRIM(C191),FIND(" ",TRIM(C191)&amp;" ")-1),",","."))-1)/MID(SUBSTITUTE(LEFT(TRIM(C191),FIND(" ",TRIM(C191)&amp;" ")-1),",","."),FIND("/",SUBSTITUTE(LEFT(TRIM(C191),FIND(" ",TRIM(C191)&amp;" ")-1),",","."))+1,9))*12/52,IF(ISNUMBER(SEARCH("month",C191)),IFERROR(_xlfn.NUMBERVALUE(SUBSTITUTE(LEFT(TRIM(C191),FIND(" ",TRIM(C191)&amp;" ")-1),",","."),"."),LEFT(SUBSTITUTE(LEFT(TRIM(C191),FIND(" ",TRIM(C191)&amp;" ")-1),",","."),FIND("/",SUBSTITUTE(LEFT(TRIM(C191),FIND(" ",TRIM(C191)&amp;" ")-1),",","."))-1)/MID(SUBSTITUTE(LEFT(TRIM(C191),FIND(" ",TRIM(C191)&amp;" ")-1),",","."),FIND("/",SUBSTITUTE(LEFT(TRIM(C191),FIND(" ",TRIM(C191)&amp;" ")-1),",","."))+1,9)),IF(ISNUMBER(SEARCH("yea",C191)),IFERROR(_xlfn.NUMBERVALUE(SUBSTITUTE(LEFT(TRIM(C191),FIND(" ",TRIM(C191)&amp;" ")-1),",","."),"."),LEFT(SUBSTITUTE(LEFT(TRIM(C191),FIND(" ",TRIM(C191)&amp;" ")-1),",","."),FIND("/",SUBSTITUTE(LEFT(TRIM(C191),FIND(" ",TRIM(C191)&amp;" ")-1),",","."))-1)/MID(SUBSTITUTE(LEFT(TRIM(C191),FIND(" ",TRIM(C191)&amp;" ")-1),",","."),FIND("/",SUBSTITUTE(LEFT(TRIM(C191),FIND(" ",TRIM(C191)&amp;" ")-1),",","."))+1,9))*12,NA()))),0),12)*'Aturan &amp; Tarif'!$B$4,2)</f>
        <v>681.36</v>
      </c>
      <c r="K191" s="32" t="n">
        <f aca="false">'Aturan &amp; Tarif'!$B$5</f>
        <v>2050</v>
      </c>
      <c r="L191" s="35" t="n">
        <f aca="false">I191+J191+K191</f>
        <v>16903.36</v>
      </c>
      <c r="M191" s="37" t="s">
        <v>318</v>
      </c>
    </row>
    <row r="192" customFormat="false" ht="14.25" hidden="false" customHeight="true" outlineLevel="0" collapsed="false">
      <c r="A192" s="29"/>
      <c r="B192" s="30" t="s">
        <v>872</v>
      </c>
      <c r="C192" s="31" t="s">
        <v>130</v>
      </c>
      <c r="D192" s="31" t="s">
        <v>108</v>
      </c>
      <c r="E192" s="32" t="n">
        <v>8058</v>
      </c>
      <c r="F192" s="32"/>
      <c r="G192" s="32"/>
      <c r="H192" s="33" t="n">
        <v>2</v>
      </c>
      <c r="I192" s="34" t="n">
        <f aca="false">E192*H192+N(F192)+N(G192)</f>
        <v>16116</v>
      </c>
      <c r="J192" s="32" t="n">
        <f aca="false">ROUND(IFERROR(ROUND(IF(OR(ISNUMBER(SEARCH("week",C192)),ISNUMBER(SEARCH("minggu",C192))),IFERROR(_xlfn.NUMBERVALUE(SUBSTITUTE(LEFT(TRIM(C192),FIND(" ",TRIM(C192)&amp;" ")-1),",","."),"."),LEFT(SUBSTITUTE(LEFT(TRIM(C192),FIND(" ",TRIM(C192)&amp;" ")-1),",","."),FIND("/",SUBSTITUTE(LEFT(TRIM(C192),FIND(" ",TRIM(C192)&amp;" ")-1),",","."))-1)/MID(SUBSTITUTE(LEFT(TRIM(C192),FIND(" ",TRIM(C192)&amp;" ")-1),",","."),FIND("/",SUBSTITUTE(LEFT(TRIM(C192),FIND(" ",TRIM(C192)&amp;" ")-1),",","."))+1,9))*12/52,IF(ISNUMBER(SEARCH("month",C192)),IFERROR(_xlfn.NUMBERVALUE(SUBSTITUTE(LEFT(TRIM(C192),FIND(" ",TRIM(C192)&amp;" ")-1),",","."),"."),LEFT(SUBSTITUTE(LEFT(TRIM(C192),FIND(" ",TRIM(C192)&amp;" ")-1),",","."),FIND("/",SUBSTITUTE(LEFT(TRIM(C192),FIND(" ",TRIM(C192)&amp;" ")-1),",","."))-1)/MID(SUBSTITUTE(LEFT(TRIM(C192),FIND(" ",TRIM(C192)&amp;" ")-1),",","."),FIND("/",SUBSTITUTE(LEFT(TRIM(C192),FIND(" ",TRIM(C192)&amp;" ")-1),",","."))+1,9)),IF(ISNUMBER(SEARCH("yea",C192)),IFERROR(_xlfn.NUMBERVALUE(SUBSTITUTE(LEFT(TRIM(C192),FIND(" ",TRIM(C192)&amp;" ")-1),",","."),"."),LEFT(SUBSTITUTE(LEFT(TRIM(C192),FIND(" ",TRIM(C192)&amp;" ")-1),",","."),FIND("/",SUBSTITUTE(LEFT(TRIM(C192),FIND(" ",TRIM(C192)&amp;" ")-1),",","."))-1)/MID(SUBSTITUTE(LEFT(TRIM(C192),FIND(" ",TRIM(C192)&amp;" ")-1),",","."),FIND("/",SUBSTITUTE(LEFT(TRIM(C192),FIND(" ",TRIM(C192)&amp;" ")-1),",","."))+1,9))*12,NA()))),0),12)*'Aturan &amp; Tarif'!$B$4,2)</f>
        <v>681.36</v>
      </c>
      <c r="K192" s="32" t="n">
        <f aca="false">'Aturan &amp; Tarif'!$B$5</f>
        <v>2050</v>
      </c>
      <c r="L192" s="35" t="n">
        <f aca="false">I192+J192+K192</f>
        <v>18847.36</v>
      </c>
      <c r="M192" s="37" t="s">
        <v>318</v>
      </c>
    </row>
    <row r="193" customFormat="false" ht="14.25" hidden="false" customHeight="true" outlineLevel="0" collapsed="false">
      <c r="A193" s="29"/>
      <c r="B193" s="30" t="s">
        <v>414</v>
      </c>
      <c r="C193" s="31" t="s">
        <v>130</v>
      </c>
      <c r="D193" s="31" t="s">
        <v>108</v>
      </c>
      <c r="E193" s="32" t="n">
        <v>8906</v>
      </c>
      <c r="F193" s="32"/>
      <c r="G193" s="32"/>
      <c r="H193" s="33" t="n">
        <v>2</v>
      </c>
      <c r="I193" s="34" t="n">
        <f aca="false">E193*H193+N(F193)+N(G193)</f>
        <v>17812</v>
      </c>
      <c r="J193" s="32" t="n">
        <f aca="false">ROUND(IFERROR(ROUND(IF(OR(ISNUMBER(SEARCH("week",C193)),ISNUMBER(SEARCH("minggu",C193))),IFERROR(_xlfn.NUMBERVALUE(SUBSTITUTE(LEFT(TRIM(C193),FIND(" ",TRIM(C193)&amp;" ")-1),",","."),"."),LEFT(SUBSTITUTE(LEFT(TRIM(C193),FIND(" ",TRIM(C193)&amp;" ")-1),",","."),FIND("/",SUBSTITUTE(LEFT(TRIM(C193),FIND(" ",TRIM(C193)&amp;" ")-1),",","."))-1)/MID(SUBSTITUTE(LEFT(TRIM(C193),FIND(" ",TRIM(C193)&amp;" ")-1),",","."),FIND("/",SUBSTITUTE(LEFT(TRIM(C193),FIND(" ",TRIM(C193)&amp;" ")-1),",","."))+1,9))*12/52,IF(ISNUMBER(SEARCH("month",C193)),IFERROR(_xlfn.NUMBERVALUE(SUBSTITUTE(LEFT(TRIM(C193),FIND(" ",TRIM(C193)&amp;" ")-1),",","."),"."),LEFT(SUBSTITUTE(LEFT(TRIM(C193),FIND(" ",TRIM(C193)&amp;" ")-1),",","."),FIND("/",SUBSTITUTE(LEFT(TRIM(C193),FIND(" ",TRIM(C193)&amp;" ")-1),",","."))-1)/MID(SUBSTITUTE(LEFT(TRIM(C193),FIND(" ",TRIM(C193)&amp;" ")-1),",","."),FIND("/",SUBSTITUTE(LEFT(TRIM(C193),FIND(" ",TRIM(C193)&amp;" ")-1),",","."))+1,9)),IF(ISNUMBER(SEARCH("yea",C193)),IFERROR(_xlfn.NUMBERVALUE(SUBSTITUTE(LEFT(TRIM(C193),FIND(" ",TRIM(C193)&amp;" ")-1),",","."),"."),LEFT(SUBSTITUTE(LEFT(TRIM(C193),FIND(" ",TRIM(C193)&amp;" ")-1),",","."),FIND("/",SUBSTITUTE(LEFT(TRIM(C193),FIND(" ",TRIM(C193)&amp;" ")-1),",","."))-1)/MID(SUBSTITUTE(LEFT(TRIM(C193),FIND(" ",TRIM(C193)&amp;" ")-1),",","."),FIND("/",SUBSTITUTE(LEFT(TRIM(C193),FIND(" ",TRIM(C193)&amp;" ")-1),",","."))+1,9))*12,NA()))),0),12)*'Aturan &amp; Tarif'!$B$4,2)</f>
        <v>681.36</v>
      </c>
      <c r="K193" s="32" t="n">
        <f aca="false">'Aturan &amp; Tarif'!$B$5</f>
        <v>2050</v>
      </c>
      <c r="L193" s="35" t="n">
        <f aca="false">I193+J193+K193</f>
        <v>20543.36</v>
      </c>
      <c r="M193" s="37" t="s">
        <v>318</v>
      </c>
    </row>
    <row r="194" customFormat="false" ht="14.25" hidden="false" customHeight="true" outlineLevel="0" collapsed="false">
      <c r="A194" s="29"/>
      <c r="B194" s="30" t="s">
        <v>415</v>
      </c>
      <c r="C194" s="31" t="s">
        <v>130</v>
      </c>
      <c r="D194" s="31" t="s">
        <v>108</v>
      </c>
      <c r="E194" s="32" t="n">
        <v>7086</v>
      </c>
      <c r="F194" s="32"/>
      <c r="G194" s="32"/>
      <c r="H194" s="33" t="n">
        <v>2</v>
      </c>
      <c r="I194" s="34" t="n">
        <f aca="false">E194*H194+N(F194)+N(G194)</f>
        <v>14172</v>
      </c>
      <c r="J194" s="32" t="n">
        <f aca="false">ROUND(IFERROR(ROUND(IF(OR(ISNUMBER(SEARCH("week",C194)),ISNUMBER(SEARCH("minggu",C194))),IFERROR(_xlfn.NUMBERVALUE(SUBSTITUTE(LEFT(TRIM(C194),FIND(" ",TRIM(C194)&amp;" ")-1),",","."),"."),LEFT(SUBSTITUTE(LEFT(TRIM(C194),FIND(" ",TRIM(C194)&amp;" ")-1),",","."),FIND("/",SUBSTITUTE(LEFT(TRIM(C194),FIND(" ",TRIM(C194)&amp;" ")-1),",","."))-1)/MID(SUBSTITUTE(LEFT(TRIM(C194),FIND(" ",TRIM(C194)&amp;" ")-1),",","."),FIND("/",SUBSTITUTE(LEFT(TRIM(C194),FIND(" ",TRIM(C194)&amp;" ")-1),",","."))+1,9))*12/52,IF(ISNUMBER(SEARCH("month",C194)),IFERROR(_xlfn.NUMBERVALUE(SUBSTITUTE(LEFT(TRIM(C194),FIND(" ",TRIM(C194)&amp;" ")-1),",","."),"."),LEFT(SUBSTITUTE(LEFT(TRIM(C194),FIND(" ",TRIM(C194)&amp;" ")-1),",","."),FIND("/",SUBSTITUTE(LEFT(TRIM(C194),FIND(" ",TRIM(C194)&amp;" ")-1),",","."))-1)/MID(SUBSTITUTE(LEFT(TRIM(C194),FIND(" ",TRIM(C194)&amp;" ")-1),",","."),FIND("/",SUBSTITUTE(LEFT(TRIM(C194),FIND(" ",TRIM(C194)&amp;" ")-1),",","."))+1,9)),IF(ISNUMBER(SEARCH("yea",C194)),IFERROR(_xlfn.NUMBERVALUE(SUBSTITUTE(LEFT(TRIM(C194),FIND(" ",TRIM(C194)&amp;" ")-1),",","."),"."),LEFT(SUBSTITUTE(LEFT(TRIM(C194),FIND(" ",TRIM(C194)&amp;" ")-1),",","."),FIND("/",SUBSTITUTE(LEFT(TRIM(C194),FIND(" ",TRIM(C194)&amp;" ")-1),",","."))-1)/MID(SUBSTITUTE(LEFT(TRIM(C194),FIND(" ",TRIM(C194)&amp;" ")-1),",","."),FIND("/",SUBSTITUTE(LEFT(TRIM(C194),FIND(" ",TRIM(C194)&amp;" ")-1),",","."))+1,9))*12,NA()))),0),12)*'Aturan &amp; Tarif'!$B$4,2)</f>
        <v>681.36</v>
      </c>
      <c r="K194" s="32" t="n">
        <f aca="false">'Aturan &amp; Tarif'!$B$5</f>
        <v>2050</v>
      </c>
      <c r="L194" s="35" t="n">
        <f aca="false">I194+J194+K194</f>
        <v>16903.36</v>
      </c>
      <c r="M194" s="37" t="s">
        <v>318</v>
      </c>
    </row>
    <row r="195" customFormat="false" ht="14.25" hidden="false" customHeight="true" outlineLevel="0" collapsed="false">
      <c r="A195" s="29"/>
      <c r="B195" s="30" t="s">
        <v>416</v>
      </c>
      <c r="C195" s="31" t="s">
        <v>130</v>
      </c>
      <c r="D195" s="31" t="s">
        <v>108</v>
      </c>
      <c r="E195" s="32" t="n">
        <v>8906</v>
      </c>
      <c r="F195" s="32"/>
      <c r="G195" s="32"/>
      <c r="H195" s="33" t="n">
        <v>2</v>
      </c>
      <c r="I195" s="34" t="n">
        <f aca="false">E195*H195+N(F195)+N(G195)</f>
        <v>17812</v>
      </c>
      <c r="J195" s="32" t="n">
        <f aca="false">ROUND(IFERROR(ROUND(IF(OR(ISNUMBER(SEARCH("week",C195)),ISNUMBER(SEARCH("minggu",C195))),IFERROR(_xlfn.NUMBERVALUE(SUBSTITUTE(LEFT(TRIM(C195),FIND(" ",TRIM(C195)&amp;" ")-1),",","."),"."),LEFT(SUBSTITUTE(LEFT(TRIM(C195),FIND(" ",TRIM(C195)&amp;" ")-1),",","."),FIND("/",SUBSTITUTE(LEFT(TRIM(C195),FIND(" ",TRIM(C195)&amp;" ")-1),",","."))-1)/MID(SUBSTITUTE(LEFT(TRIM(C195),FIND(" ",TRIM(C195)&amp;" ")-1),",","."),FIND("/",SUBSTITUTE(LEFT(TRIM(C195),FIND(" ",TRIM(C195)&amp;" ")-1),",","."))+1,9))*12/52,IF(ISNUMBER(SEARCH("month",C195)),IFERROR(_xlfn.NUMBERVALUE(SUBSTITUTE(LEFT(TRIM(C195),FIND(" ",TRIM(C195)&amp;" ")-1),",","."),"."),LEFT(SUBSTITUTE(LEFT(TRIM(C195),FIND(" ",TRIM(C195)&amp;" ")-1),",","."),FIND("/",SUBSTITUTE(LEFT(TRIM(C195),FIND(" ",TRIM(C195)&amp;" ")-1),",","."))-1)/MID(SUBSTITUTE(LEFT(TRIM(C195),FIND(" ",TRIM(C195)&amp;" ")-1),",","."),FIND("/",SUBSTITUTE(LEFT(TRIM(C195),FIND(" ",TRIM(C195)&amp;" ")-1),",","."))+1,9)),IF(ISNUMBER(SEARCH("yea",C195)),IFERROR(_xlfn.NUMBERVALUE(SUBSTITUTE(LEFT(TRIM(C195),FIND(" ",TRIM(C195)&amp;" ")-1),",","."),"."),LEFT(SUBSTITUTE(LEFT(TRIM(C195),FIND(" ",TRIM(C195)&amp;" ")-1),",","."),FIND("/",SUBSTITUTE(LEFT(TRIM(C195),FIND(" ",TRIM(C195)&amp;" ")-1),",","."))-1)/MID(SUBSTITUTE(LEFT(TRIM(C195),FIND(" ",TRIM(C195)&amp;" ")-1),",","."),FIND("/",SUBSTITUTE(LEFT(TRIM(C195),FIND(" ",TRIM(C195)&amp;" ")-1),",","."))+1,9))*12,NA()))),0),12)*'Aturan &amp; Tarif'!$B$4,2)</f>
        <v>681.36</v>
      </c>
      <c r="K195" s="32" t="n">
        <f aca="false">'Aturan &amp; Tarif'!$B$5</f>
        <v>2050</v>
      </c>
      <c r="L195" s="35" t="n">
        <f aca="false">I195+J195+K195</f>
        <v>20543.36</v>
      </c>
      <c r="M195" s="37" t="s">
        <v>318</v>
      </c>
    </row>
    <row r="196" customFormat="false" ht="14.25" hidden="false" customHeight="true" outlineLevel="0" collapsed="false">
      <c r="A196" s="29"/>
      <c r="B196" s="30" t="s">
        <v>417</v>
      </c>
      <c r="C196" s="31" t="s">
        <v>130</v>
      </c>
      <c r="D196" s="31" t="s">
        <v>108</v>
      </c>
      <c r="E196" s="32" t="n">
        <v>8906</v>
      </c>
      <c r="F196" s="32"/>
      <c r="G196" s="32"/>
      <c r="H196" s="33" t="n">
        <v>2</v>
      </c>
      <c r="I196" s="34" t="n">
        <f aca="false">E196*H196+N(F196)+N(G196)</f>
        <v>17812</v>
      </c>
      <c r="J196" s="32" t="n">
        <f aca="false">ROUND(IFERROR(ROUND(IF(OR(ISNUMBER(SEARCH("week",C196)),ISNUMBER(SEARCH("minggu",C196))),IFERROR(_xlfn.NUMBERVALUE(SUBSTITUTE(LEFT(TRIM(C196),FIND(" ",TRIM(C196)&amp;" ")-1),",","."),"."),LEFT(SUBSTITUTE(LEFT(TRIM(C196),FIND(" ",TRIM(C196)&amp;" ")-1),",","."),FIND("/",SUBSTITUTE(LEFT(TRIM(C196),FIND(" ",TRIM(C196)&amp;" ")-1),",","."))-1)/MID(SUBSTITUTE(LEFT(TRIM(C196),FIND(" ",TRIM(C196)&amp;" ")-1),",","."),FIND("/",SUBSTITUTE(LEFT(TRIM(C196),FIND(" ",TRIM(C196)&amp;" ")-1),",","."))+1,9))*12/52,IF(ISNUMBER(SEARCH("month",C196)),IFERROR(_xlfn.NUMBERVALUE(SUBSTITUTE(LEFT(TRIM(C196),FIND(" ",TRIM(C196)&amp;" ")-1),",","."),"."),LEFT(SUBSTITUTE(LEFT(TRIM(C196),FIND(" ",TRIM(C196)&amp;" ")-1),",","."),FIND("/",SUBSTITUTE(LEFT(TRIM(C196),FIND(" ",TRIM(C196)&amp;" ")-1),",","."))-1)/MID(SUBSTITUTE(LEFT(TRIM(C196),FIND(" ",TRIM(C196)&amp;" ")-1),",","."),FIND("/",SUBSTITUTE(LEFT(TRIM(C196),FIND(" ",TRIM(C196)&amp;" ")-1),",","."))+1,9)),IF(ISNUMBER(SEARCH("yea",C196)),IFERROR(_xlfn.NUMBERVALUE(SUBSTITUTE(LEFT(TRIM(C196),FIND(" ",TRIM(C196)&amp;" ")-1),",","."),"."),LEFT(SUBSTITUTE(LEFT(TRIM(C196),FIND(" ",TRIM(C196)&amp;" ")-1),",","."),FIND("/",SUBSTITUTE(LEFT(TRIM(C196),FIND(" ",TRIM(C196)&amp;" ")-1),",","."))-1)/MID(SUBSTITUTE(LEFT(TRIM(C196),FIND(" ",TRIM(C196)&amp;" ")-1),",","."),FIND("/",SUBSTITUTE(LEFT(TRIM(C196),FIND(" ",TRIM(C196)&amp;" ")-1),",","."))+1,9))*12,NA()))),0),12)*'Aturan &amp; Tarif'!$B$4,2)</f>
        <v>681.36</v>
      </c>
      <c r="K196" s="32" t="n">
        <f aca="false">'Aturan &amp; Tarif'!$B$5</f>
        <v>2050</v>
      </c>
      <c r="L196" s="35" t="n">
        <f aca="false">I196+J196+K196</f>
        <v>20543.36</v>
      </c>
      <c r="M196" s="37" t="s">
        <v>318</v>
      </c>
    </row>
    <row r="197" customFormat="false" ht="25.5" hidden="false" customHeight="true" outlineLevel="0" collapsed="false">
      <c r="A197" s="29"/>
      <c r="B197" s="30" t="s">
        <v>418</v>
      </c>
      <c r="C197" s="31" t="s">
        <v>130</v>
      </c>
      <c r="D197" s="31" t="s">
        <v>108</v>
      </c>
      <c r="E197" s="32" t="n">
        <v>5780</v>
      </c>
      <c r="F197" s="32"/>
      <c r="G197" s="32"/>
      <c r="H197" s="33" t="n">
        <v>2</v>
      </c>
      <c r="I197" s="34" t="n">
        <f aca="false">E197*H197+N(F197)+N(G197)</f>
        <v>11560</v>
      </c>
      <c r="J197" s="32" t="n">
        <f aca="false">ROUND(IFERROR(ROUND(IF(OR(ISNUMBER(SEARCH("week",C197)),ISNUMBER(SEARCH("minggu",C197))),IFERROR(_xlfn.NUMBERVALUE(SUBSTITUTE(LEFT(TRIM(C197),FIND(" ",TRIM(C197)&amp;" ")-1),",","."),"."),LEFT(SUBSTITUTE(LEFT(TRIM(C197),FIND(" ",TRIM(C197)&amp;" ")-1),",","."),FIND("/",SUBSTITUTE(LEFT(TRIM(C197),FIND(" ",TRIM(C197)&amp;" ")-1),",","."))-1)/MID(SUBSTITUTE(LEFT(TRIM(C197),FIND(" ",TRIM(C197)&amp;" ")-1),",","."),FIND("/",SUBSTITUTE(LEFT(TRIM(C197),FIND(" ",TRIM(C197)&amp;" ")-1),",","."))+1,9))*12/52,IF(ISNUMBER(SEARCH("month",C197)),IFERROR(_xlfn.NUMBERVALUE(SUBSTITUTE(LEFT(TRIM(C197),FIND(" ",TRIM(C197)&amp;" ")-1),",","."),"."),LEFT(SUBSTITUTE(LEFT(TRIM(C197),FIND(" ",TRIM(C197)&amp;" ")-1),",","."),FIND("/",SUBSTITUTE(LEFT(TRIM(C197),FIND(" ",TRIM(C197)&amp;" ")-1),",","."))-1)/MID(SUBSTITUTE(LEFT(TRIM(C197),FIND(" ",TRIM(C197)&amp;" ")-1),",","."),FIND("/",SUBSTITUTE(LEFT(TRIM(C197),FIND(" ",TRIM(C197)&amp;" ")-1),",","."))+1,9)),IF(ISNUMBER(SEARCH("yea",C197)),IFERROR(_xlfn.NUMBERVALUE(SUBSTITUTE(LEFT(TRIM(C197),FIND(" ",TRIM(C197)&amp;" ")-1),",","."),"."),LEFT(SUBSTITUTE(LEFT(TRIM(C197),FIND(" ",TRIM(C197)&amp;" ")-1),",","."),FIND("/",SUBSTITUTE(LEFT(TRIM(C197),FIND(" ",TRIM(C197)&amp;" ")-1),",","."))-1)/MID(SUBSTITUTE(LEFT(TRIM(C197),FIND(" ",TRIM(C197)&amp;" ")-1),",","."),FIND("/",SUBSTITUTE(LEFT(TRIM(C197),FIND(" ",TRIM(C197)&amp;" ")-1),",","."))+1,9))*12,NA()))),0),12)*'Aturan &amp; Tarif'!$B$4,2)</f>
        <v>681.36</v>
      </c>
      <c r="K197" s="32" t="n">
        <f aca="false">'Aturan &amp; Tarif'!$B$5</f>
        <v>2050</v>
      </c>
      <c r="L197" s="35" t="n">
        <f aca="false">I197+J197+K197</f>
        <v>14291.36</v>
      </c>
      <c r="M197" s="37" t="s">
        <v>318</v>
      </c>
    </row>
    <row r="198" customFormat="false" ht="37.5" hidden="false" customHeight="true" outlineLevel="0" collapsed="false">
      <c r="A198" s="29"/>
      <c r="B198" s="30" t="s">
        <v>419</v>
      </c>
      <c r="C198" s="31" t="s">
        <v>130</v>
      </c>
      <c r="D198" s="31" t="s">
        <v>108</v>
      </c>
      <c r="E198" s="32" t="n">
        <v>5000</v>
      </c>
      <c r="F198" s="32"/>
      <c r="G198" s="32"/>
      <c r="H198" s="33" t="n">
        <v>2</v>
      </c>
      <c r="I198" s="34" t="n">
        <f aca="false">E198*H198+N(F198)+N(G198)</f>
        <v>10000</v>
      </c>
      <c r="J198" s="32" t="n">
        <f aca="false">ROUND(IFERROR(ROUND(IF(OR(ISNUMBER(SEARCH("week",C198)),ISNUMBER(SEARCH("minggu",C198))),IFERROR(_xlfn.NUMBERVALUE(SUBSTITUTE(LEFT(TRIM(C198),FIND(" ",TRIM(C198)&amp;" ")-1),",","."),"."),LEFT(SUBSTITUTE(LEFT(TRIM(C198),FIND(" ",TRIM(C198)&amp;" ")-1),",","."),FIND("/",SUBSTITUTE(LEFT(TRIM(C198),FIND(" ",TRIM(C198)&amp;" ")-1),",","."))-1)/MID(SUBSTITUTE(LEFT(TRIM(C198),FIND(" ",TRIM(C198)&amp;" ")-1),",","."),FIND("/",SUBSTITUTE(LEFT(TRIM(C198),FIND(" ",TRIM(C198)&amp;" ")-1),",","."))+1,9))*12/52,IF(ISNUMBER(SEARCH("month",C198)),IFERROR(_xlfn.NUMBERVALUE(SUBSTITUTE(LEFT(TRIM(C198),FIND(" ",TRIM(C198)&amp;" ")-1),",","."),"."),LEFT(SUBSTITUTE(LEFT(TRIM(C198),FIND(" ",TRIM(C198)&amp;" ")-1),",","."),FIND("/",SUBSTITUTE(LEFT(TRIM(C198),FIND(" ",TRIM(C198)&amp;" ")-1),",","."))-1)/MID(SUBSTITUTE(LEFT(TRIM(C198),FIND(" ",TRIM(C198)&amp;" ")-1),",","."),FIND("/",SUBSTITUTE(LEFT(TRIM(C198),FIND(" ",TRIM(C198)&amp;" ")-1),",","."))+1,9)),IF(ISNUMBER(SEARCH("yea",C198)),IFERROR(_xlfn.NUMBERVALUE(SUBSTITUTE(LEFT(TRIM(C198),FIND(" ",TRIM(C198)&amp;" ")-1),",","."),"."),LEFT(SUBSTITUTE(LEFT(TRIM(C198),FIND(" ",TRIM(C198)&amp;" ")-1),",","."),FIND("/",SUBSTITUTE(LEFT(TRIM(C198),FIND(" ",TRIM(C198)&amp;" ")-1),",","."))-1)/MID(SUBSTITUTE(LEFT(TRIM(C198),FIND(" ",TRIM(C198)&amp;" ")-1),",","."),FIND("/",SUBSTITUTE(LEFT(TRIM(C198),FIND(" ",TRIM(C198)&amp;" ")-1),",","."))+1,9))*12,NA()))),0),12)*'Aturan &amp; Tarif'!$B$4,2)</f>
        <v>681.36</v>
      </c>
      <c r="K198" s="32" t="n">
        <f aca="false">'Aturan &amp; Tarif'!$B$5</f>
        <v>2050</v>
      </c>
      <c r="L198" s="35" t="n">
        <f aca="false">I198+J198+K198</f>
        <v>12731.36</v>
      </c>
      <c r="M198" s="37" t="s">
        <v>318</v>
      </c>
    </row>
    <row r="199" customFormat="false" ht="48.75" hidden="false" customHeight="true" outlineLevel="0" collapsed="false">
      <c r="A199" s="39" t="s">
        <v>2809</v>
      </c>
      <c r="B199" s="40" t="s">
        <v>1606</v>
      </c>
      <c r="C199" s="41" t="s">
        <v>107</v>
      </c>
      <c r="D199" s="41" t="s">
        <v>108</v>
      </c>
      <c r="E199" s="42" t="n">
        <v>3500</v>
      </c>
      <c r="F199" s="42"/>
      <c r="G199" s="42" t="n">
        <v>250</v>
      </c>
      <c r="H199" s="43" t="n">
        <v>2</v>
      </c>
      <c r="I199" s="34" t="n">
        <f aca="false">E199*H199+N(F199)+N(G199)</f>
        <v>7250</v>
      </c>
      <c r="J199" s="42" t="n">
        <f aca="false">ROUND(IFERROR(ROUND(IF(OR(ISNUMBER(SEARCH("week",C199)),ISNUMBER(SEARCH("minggu",C199))),IFERROR(_xlfn.NUMBERVALUE(SUBSTITUTE(LEFT(TRIM(C199),FIND(" ",TRIM(C199)&amp;" ")-1),",","."),"."),LEFT(SUBSTITUTE(LEFT(TRIM(C199),FIND(" ",TRIM(C199)&amp;" ")-1),",","."),FIND("/",SUBSTITUTE(LEFT(TRIM(C199),FIND(" ",TRIM(C199)&amp;" ")-1),",","."))-1)/MID(SUBSTITUTE(LEFT(TRIM(C199),FIND(" ",TRIM(C199)&amp;" ")-1),",","."),FIND("/",SUBSTITUTE(LEFT(TRIM(C199),FIND(" ",TRIM(C199)&amp;" ")-1),",","."))+1,9))*12/52,IF(ISNUMBER(SEARCH("month",C199)),IFERROR(_xlfn.NUMBERVALUE(SUBSTITUTE(LEFT(TRIM(C199),FIND(" ",TRIM(C199)&amp;" ")-1),",","."),"."),LEFT(SUBSTITUTE(LEFT(TRIM(C199),FIND(" ",TRIM(C199)&amp;" ")-1),",","."),FIND("/",SUBSTITUTE(LEFT(TRIM(C199),FIND(" ",TRIM(C199)&amp;" ")-1),",","."))-1)/MID(SUBSTITUTE(LEFT(TRIM(C199),FIND(" ",TRIM(C199)&amp;" ")-1),",","."),FIND("/",SUBSTITUTE(LEFT(TRIM(C199),FIND(" ",TRIM(C199)&amp;" ")-1),",","."))+1,9)),IF(ISNUMBER(SEARCH("yea",C199)),IFERROR(_xlfn.NUMBERVALUE(SUBSTITUTE(LEFT(TRIM(C199),FIND(" ",TRIM(C199)&amp;" ")-1),",","."),"."),LEFT(SUBSTITUTE(LEFT(TRIM(C199),FIND(" ",TRIM(C199)&amp;" ")-1),",","."),FIND("/",SUBSTITUTE(LEFT(TRIM(C199),FIND(" ",TRIM(C199)&amp;" ")-1),",","."))-1)/MID(SUBSTITUTE(LEFT(TRIM(C199),FIND(" ",TRIM(C199)&amp;" ")-1),",","."),FIND("/",SUBSTITUTE(LEFT(TRIM(C199),FIND(" ",TRIM(C199)&amp;" ")-1),",","."))+1,9))*12,NA()))),0),24)*'Aturan &amp; Tarif'!$B$4,2)</f>
        <v>1362.72</v>
      </c>
      <c r="K199" s="42" t="n">
        <f aca="false">'Aturan &amp; Tarif'!$B$5</f>
        <v>2050</v>
      </c>
      <c r="L199" s="35" t="n">
        <f aca="false">I199+J199+K199</f>
        <v>10662.72</v>
      </c>
      <c r="M199" s="45" t="s">
        <v>3325</v>
      </c>
    </row>
    <row r="200" customFormat="false" ht="25.5" hidden="false" customHeight="true" outlineLevel="0" collapsed="false">
      <c r="A200" s="39"/>
      <c r="B200" s="40" t="s">
        <v>1608</v>
      </c>
      <c r="C200" s="41" t="s">
        <v>107</v>
      </c>
      <c r="D200" s="41" t="s">
        <v>108</v>
      </c>
      <c r="E200" s="42" t="n">
        <v>3750</v>
      </c>
      <c r="F200" s="42"/>
      <c r="G200" s="42" t="n">
        <v>250</v>
      </c>
      <c r="H200" s="43" t="n">
        <v>2</v>
      </c>
      <c r="I200" s="34" t="n">
        <f aca="false">E200*H200+N(F200)+N(G200)</f>
        <v>7750</v>
      </c>
      <c r="J200" s="42" t="n">
        <f aca="false">ROUND(IFERROR(ROUND(IF(OR(ISNUMBER(SEARCH("week",C200)),ISNUMBER(SEARCH("minggu",C200))),IFERROR(_xlfn.NUMBERVALUE(SUBSTITUTE(LEFT(TRIM(C200),FIND(" ",TRIM(C200)&amp;" ")-1),",","."),"."),LEFT(SUBSTITUTE(LEFT(TRIM(C200),FIND(" ",TRIM(C200)&amp;" ")-1),",","."),FIND("/",SUBSTITUTE(LEFT(TRIM(C200),FIND(" ",TRIM(C200)&amp;" ")-1),",","."))-1)/MID(SUBSTITUTE(LEFT(TRIM(C200),FIND(" ",TRIM(C200)&amp;" ")-1),",","."),FIND("/",SUBSTITUTE(LEFT(TRIM(C200),FIND(" ",TRIM(C200)&amp;" ")-1),",","."))+1,9))*12/52,IF(ISNUMBER(SEARCH("month",C200)),IFERROR(_xlfn.NUMBERVALUE(SUBSTITUTE(LEFT(TRIM(C200),FIND(" ",TRIM(C200)&amp;" ")-1),",","."),"."),LEFT(SUBSTITUTE(LEFT(TRIM(C200),FIND(" ",TRIM(C200)&amp;" ")-1),",","."),FIND("/",SUBSTITUTE(LEFT(TRIM(C200),FIND(" ",TRIM(C200)&amp;" ")-1),",","."))-1)/MID(SUBSTITUTE(LEFT(TRIM(C200),FIND(" ",TRIM(C200)&amp;" ")-1),",","."),FIND("/",SUBSTITUTE(LEFT(TRIM(C200),FIND(" ",TRIM(C200)&amp;" ")-1),",","."))+1,9)),IF(ISNUMBER(SEARCH("yea",C200)),IFERROR(_xlfn.NUMBERVALUE(SUBSTITUTE(LEFT(TRIM(C200),FIND(" ",TRIM(C200)&amp;" ")-1),",","."),"."),LEFT(SUBSTITUTE(LEFT(TRIM(C200),FIND(" ",TRIM(C200)&amp;" ")-1),",","."),FIND("/",SUBSTITUTE(LEFT(TRIM(C200),FIND(" ",TRIM(C200)&amp;" ")-1),",","."))-1)/MID(SUBSTITUTE(LEFT(TRIM(C200),FIND(" ",TRIM(C200)&amp;" ")-1),",","."),FIND("/",SUBSTITUTE(LEFT(TRIM(C200),FIND(" ",TRIM(C200)&amp;" ")-1),",","."))+1,9))*12,NA()))),0),24)*'Aturan &amp; Tarif'!$B$4,2)</f>
        <v>1362.72</v>
      </c>
      <c r="K200" s="42" t="n">
        <f aca="false">'Aturan &amp; Tarif'!$B$5</f>
        <v>2050</v>
      </c>
      <c r="L200" s="35" t="n">
        <f aca="false">I200+J200+K200</f>
        <v>11162.72</v>
      </c>
      <c r="M200" s="45" t="s">
        <v>3326</v>
      </c>
    </row>
    <row r="201" customFormat="false" ht="25.5" hidden="false" customHeight="true" outlineLevel="0" collapsed="false">
      <c r="A201" s="39"/>
      <c r="B201" s="40" t="s">
        <v>1610</v>
      </c>
      <c r="C201" s="41" t="s">
        <v>107</v>
      </c>
      <c r="D201" s="41" t="s">
        <v>108</v>
      </c>
      <c r="E201" s="42" t="n">
        <v>3750</v>
      </c>
      <c r="F201" s="42"/>
      <c r="G201" s="42" t="n">
        <v>250</v>
      </c>
      <c r="H201" s="43" t="n">
        <v>2</v>
      </c>
      <c r="I201" s="34" t="n">
        <f aca="false">E201*H201+N(F201)+N(G201)</f>
        <v>7750</v>
      </c>
      <c r="J201" s="42" t="n">
        <f aca="false">ROUND(IFERROR(ROUND(IF(OR(ISNUMBER(SEARCH("week",C201)),ISNUMBER(SEARCH("minggu",C201))),IFERROR(_xlfn.NUMBERVALUE(SUBSTITUTE(LEFT(TRIM(C201),FIND(" ",TRIM(C201)&amp;" ")-1),",","."),"."),LEFT(SUBSTITUTE(LEFT(TRIM(C201),FIND(" ",TRIM(C201)&amp;" ")-1),",","."),FIND("/",SUBSTITUTE(LEFT(TRIM(C201),FIND(" ",TRIM(C201)&amp;" ")-1),",","."))-1)/MID(SUBSTITUTE(LEFT(TRIM(C201),FIND(" ",TRIM(C201)&amp;" ")-1),",","."),FIND("/",SUBSTITUTE(LEFT(TRIM(C201),FIND(" ",TRIM(C201)&amp;" ")-1),",","."))+1,9))*12/52,IF(ISNUMBER(SEARCH("month",C201)),IFERROR(_xlfn.NUMBERVALUE(SUBSTITUTE(LEFT(TRIM(C201),FIND(" ",TRIM(C201)&amp;" ")-1),",","."),"."),LEFT(SUBSTITUTE(LEFT(TRIM(C201),FIND(" ",TRIM(C201)&amp;" ")-1),",","."),FIND("/",SUBSTITUTE(LEFT(TRIM(C201),FIND(" ",TRIM(C201)&amp;" ")-1),",","."))-1)/MID(SUBSTITUTE(LEFT(TRIM(C201),FIND(" ",TRIM(C201)&amp;" ")-1),",","."),FIND("/",SUBSTITUTE(LEFT(TRIM(C201),FIND(" ",TRIM(C201)&amp;" ")-1),",","."))+1,9)),IF(ISNUMBER(SEARCH("yea",C201)),IFERROR(_xlfn.NUMBERVALUE(SUBSTITUTE(LEFT(TRIM(C201),FIND(" ",TRIM(C201)&amp;" ")-1),",","."),"."),LEFT(SUBSTITUTE(LEFT(TRIM(C201),FIND(" ",TRIM(C201)&amp;" ")-1),",","."),FIND("/",SUBSTITUTE(LEFT(TRIM(C201),FIND(" ",TRIM(C201)&amp;" ")-1),",","."))-1)/MID(SUBSTITUTE(LEFT(TRIM(C201),FIND(" ",TRIM(C201)&amp;" ")-1),",","."),FIND("/",SUBSTITUTE(LEFT(TRIM(C201),FIND(" ",TRIM(C201)&amp;" ")-1),",","."))+1,9))*12,NA()))),0),24)*'Aturan &amp; Tarif'!$B$4,2)</f>
        <v>1362.72</v>
      </c>
      <c r="K201" s="42" t="n">
        <f aca="false">'Aturan &amp; Tarif'!$B$5</f>
        <v>2050</v>
      </c>
      <c r="L201" s="35" t="n">
        <f aca="false">I201+J201+K201</f>
        <v>11162.72</v>
      </c>
      <c r="M201" s="45" t="s">
        <v>3326</v>
      </c>
    </row>
    <row r="202" customFormat="false" ht="37.5" hidden="false" customHeight="true" outlineLevel="0" collapsed="false">
      <c r="A202" s="39"/>
      <c r="B202" s="40" t="s">
        <v>1611</v>
      </c>
      <c r="C202" s="41" t="s">
        <v>107</v>
      </c>
      <c r="D202" s="41" t="s">
        <v>108</v>
      </c>
      <c r="E202" s="42" t="n">
        <v>3750</v>
      </c>
      <c r="F202" s="42"/>
      <c r="G202" s="42" t="n">
        <v>250</v>
      </c>
      <c r="H202" s="43" t="n">
        <v>2</v>
      </c>
      <c r="I202" s="34" t="n">
        <f aca="false">E202*H202+N(F202)+N(G202)</f>
        <v>7750</v>
      </c>
      <c r="J202" s="42" t="n">
        <f aca="false">ROUND(IFERROR(ROUND(IF(OR(ISNUMBER(SEARCH("week",C202)),ISNUMBER(SEARCH("minggu",C202))),IFERROR(_xlfn.NUMBERVALUE(SUBSTITUTE(LEFT(TRIM(C202),FIND(" ",TRIM(C202)&amp;" ")-1),",","."),"."),LEFT(SUBSTITUTE(LEFT(TRIM(C202),FIND(" ",TRIM(C202)&amp;" ")-1),",","."),FIND("/",SUBSTITUTE(LEFT(TRIM(C202),FIND(" ",TRIM(C202)&amp;" ")-1),",","."))-1)/MID(SUBSTITUTE(LEFT(TRIM(C202),FIND(" ",TRIM(C202)&amp;" ")-1),",","."),FIND("/",SUBSTITUTE(LEFT(TRIM(C202),FIND(" ",TRIM(C202)&amp;" ")-1),",","."))+1,9))*12/52,IF(ISNUMBER(SEARCH("month",C202)),IFERROR(_xlfn.NUMBERVALUE(SUBSTITUTE(LEFT(TRIM(C202),FIND(" ",TRIM(C202)&amp;" ")-1),",","."),"."),LEFT(SUBSTITUTE(LEFT(TRIM(C202),FIND(" ",TRIM(C202)&amp;" ")-1),",","."),FIND("/",SUBSTITUTE(LEFT(TRIM(C202),FIND(" ",TRIM(C202)&amp;" ")-1),",","."))-1)/MID(SUBSTITUTE(LEFT(TRIM(C202),FIND(" ",TRIM(C202)&amp;" ")-1),",","."),FIND("/",SUBSTITUTE(LEFT(TRIM(C202),FIND(" ",TRIM(C202)&amp;" ")-1),",","."))+1,9)),IF(ISNUMBER(SEARCH("yea",C202)),IFERROR(_xlfn.NUMBERVALUE(SUBSTITUTE(LEFT(TRIM(C202),FIND(" ",TRIM(C202)&amp;" ")-1),",","."),"."),LEFT(SUBSTITUTE(LEFT(TRIM(C202),FIND(" ",TRIM(C202)&amp;" ")-1),",","."),FIND("/",SUBSTITUTE(LEFT(TRIM(C202),FIND(" ",TRIM(C202)&amp;" ")-1),",","."))-1)/MID(SUBSTITUTE(LEFT(TRIM(C202),FIND(" ",TRIM(C202)&amp;" ")-1),",","."),FIND("/",SUBSTITUTE(LEFT(TRIM(C202),FIND(" ",TRIM(C202)&amp;" ")-1),",","."))+1,9))*12,NA()))),0),24)*'Aturan &amp; Tarif'!$B$4,2)</f>
        <v>1362.72</v>
      </c>
      <c r="K202" s="42" t="n">
        <f aca="false">'Aturan &amp; Tarif'!$B$5</f>
        <v>2050</v>
      </c>
      <c r="L202" s="35" t="n">
        <f aca="false">I202+J202+K202</f>
        <v>11162.72</v>
      </c>
      <c r="M202" s="45" t="s">
        <v>3326</v>
      </c>
    </row>
    <row r="203" customFormat="false" ht="14.25" hidden="false" customHeight="true" outlineLevel="0" collapsed="false">
      <c r="A203" s="39"/>
      <c r="B203" s="40" t="s">
        <v>335</v>
      </c>
      <c r="C203" s="41" t="s">
        <v>127</v>
      </c>
      <c r="D203" s="41" t="s">
        <v>108</v>
      </c>
      <c r="E203" s="42" t="n">
        <v>3000</v>
      </c>
      <c r="F203" s="42"/>
      <c r="G203" s="42" t="n">
        <v>250</v>
      </c>
      <c r="H203" s="43" t="n">
        <v>2</v>
      </c>
      <c r="I203" s="34" t="n">
        <f aca="false">E203*H203+N(F203)+N(G203)</f>
        <v>6250</v>
      </c>
      <c r="J203" s="42" t="n">
        <f aca="false">ROUND(IFERROR(ROUND(IF(OR(ISNUMBER(SEARCH("week",C203)),ISNUMBER(SEARCH("minggu",C203))),IFERROR(_xlfn.NUMBERVALUE(SUBSTITUTE(LEFT(TRIM(C203),FIND(" ",TRIM(C203)&amp;" ")-1),",","."),"."),LEFT(SUBSTITUTE(LEFT(TRIM(C203),FIND(" ",TRIM(C203)&amp;" ")-1),",","."),FIND("/",SUBSTITUTE(LEFT(TRIM(C203),FIND(" ",TRIM(C203)&amp;" ")-1),",","."))-1)/MID(SUBSTITUTE(LEFT(TRIM(C203),FIND(" ",TRIM(C203)&amp;" ")-1),",","."),FIND("/",SUBSTITUTE(LEFT(TRIM(C203),FIND(" ",TRIM(C203)&amp;" ")-1),",","."))+1,9))*12/52,IF(ISNUMBER(SEARCH("month",C203)),IFERROR(_xlfn.NUMBERVALUE(SUBSTITUTE(LEFT(TRIM(C203),FIND(" ",TRIM(C203)&amp;" ")-1),",","."),"."),LEFT(SUBSTITUTE(LEFT(TRIM(C203),FIND(" ",TRIM(C203)&amp;" ")-1),",","."),FIND("/",SUBSTITUTE(LEFT(TRIM(C203),FIND(" ",TRIM(C203)&amp;" ")-1),",","."))-1)/MID(SUBSTITUTE(LEFT(TRIM(C203),FIND(" ",TRIM(C203)&amp;" ")-1),",","."),FIND("/",SUBSTITUTE(LEFT(TRIM(C203),FIND(" ",TRIM(C203)&amp;" ")-1),",","."))+1,9)),IF(ISNUMBER(SEARCH("yea",C203)),IFERROR(_xlfn.NUMBERVALUE(SUBSTITUTE(LEFT(TRIM(C203),FIND(" ",TRIM(C203)&amp;" ")-1),",","."),"."),LEFT(SUBSTITUTE(LEFT(TRIM(C203),FIND(" ",TRIM(C203)&amp;" ")-1),",","."),FIND("/",SUBSTITUTE(LEFT(TRIM(C203),FIND(" ",TRIM(C203)&amp;" ")-1),",","."))-1)/MID(SUBSTITUTE(LEFT(TRIM(C203),FIND(" ",TRIM(C203)&amp;" ")-1),",","."),FIND("/",SUBSTITUTE(LEFT(TRIM(C203),FIND(" ",TRIM(C203)&amp;" ")-1),",","."))+1,9))*12,NA()))),0),36)*'Aturan &amp; Tarif'!$B$4,2)</f>
        <v>2044.08</v>
      </c>
      <c r="K203" s="42" t="n">
        <f aca="false">'Aturan &amp; Tarif'!$B$5</f>
        <v>2050</v>
      </c>
      <c r="L203" s="35" t="n">
        <f aca="false">I203+J203+K203</f>
        <v>10344.08</v>
      </c>
      <c r="M203" s="45" t="s">
        <v>3327</v>
      </c>
    </row>
    <row r="204" customFormat="false" ht="25.5" hidden="false" customHeight="true" outlineLevel="0" collapsed="false">
      <c r="A204" s="39" t="s">
        <v>3328</v>
      </c>
      <c r="B204" s="40" t="s">
        <v>1606</v>
      </c>
      <c r="C204" s="41" t="s">
        <v>107</v>
      </c>
      <c r="D204" s="41" t="s">
        <v>108</v>
      </c>
      <c r="E204" s="42" t="n">
        <v>3500</v>
      </c>
      <c r="F204" s="42"/>
      <c r="G204" s="42" t="n">
        <v>250</v>
      </c>
      <c r="H204" s="43" t="n">
        <v>2</v>
      </c>
      <c r="I204" s="34" t="n">
        <f aca="false">E204*H204+N(F204)+N(G204)</f>
        <v>7250</v>
      </c>
      <c r="J204" s="42" t="n">
        <f aca="false">ROUND(IFERROR(ROUND(IF(OR(ISNUMBER(SEARCH("week",C204)),ISNUMBER(SEARCH("minggu",C204))),IFERROR(_xlfn.NUMBERVALUE(SUBSTITUTE(LEFT(TRIM(C204),FIND(" ",TRIM(C204)&amp;" ")-1),",","."),"."),LEFT(SUBSTITUTE(LEFT(TRIM(C204),FIND(" ",TRIM(C204)&amp;" ")-1),",","."),FIND("/",SUBSTITUTE(LEFT(TRIM(C204),FIND(" ",TRIM(C204)&amp;" ")-1),",","."))-1)/MID(SUBSTITUTE(LEFT(TRIM(C204),FIND(" ",TRIM(C204)&amp;" ")-1),",","."),FIND("/",SUBSTITUTE(LEFT(TRIM(C204),FIND(" ",TRIM(C204)&amp;" ")-1),",","."))+1,9))*12/52,IF(ISNUMBER(SEARCH("month",C204)),IFERROR(_xlfn.NUMBERVALUE(SUBSTITUTE(LEFT(TRIM(C204),FIND(" ",TRIM(C204)&amp;" ")-1),",","."),"."),LEFT(SUBSTITUTE(LEFT(TRIM(C204),FIND(" ",TRIM(C204)&amp;" ")-1),",","."),FIND("/",SUBSTITUTE(LEFT(TRIM(C204),FIND(" ",TRIM(C204)&amp;" ")-1),",","."))-1)/MID(SUBSTITUTE(LEFT(TRIM(C204),FIND(" ",TRIM(C204)&amp;" ")-1),",","."),FIND("/",SUBSTITUTE(LEFT(TRIM(C204),FIND(" ",TRIM(C204)&amp;" ")-1),",","."))+1,9)),IF(ISNUMBER(SEARCH("yea",C204)),IFERROR(_xlfn.NUMBERVALUE(SUBSTITUTE(LEFT(TRIM(C204),FIND(" ",TRIM(C204)&amp;" ")-1),",","."),"."),LEFT(SUBSTITUTE(LEFT(TRIM(C204),FIND(" ",TRIM(C204)&amp;" ")-1),",","."),FIND("/",SUBSTITUTE(LEFT(TRIM(C204),FIND(" ",TRIM(C204)&amp;" ")-1),",","."))-1)/MID(SUBSTITUTE(LEFT(TRIM(C204),FIND(" ",TRIM(C204)&amp;" ")-1),",","."),FIND("/",SUBSTITUTE(LEFT(TRIM(C204),FIND(" ",TRIM(C204)&amp;" ")-1),",","."))+1,9))*12,NA()))),0),24)*'Aturan &amp; Tarif'!$B$4,2)</f>
        <v>1362.72</v>
      </c>
      <c r="K204" s="42" t="n">
        <f aca="false">'Aturan &amp; Tarif'!$B$5</f>
        <v>2050</v>
      </c>
      <c r="L204" s="35" t="n">
        <f aca="false">I204+J204+K204</f>
        <v>10662.72</v>
      </c>
      <c r="M204" s="45" t="s">
        <v>3329</v>
      </c>
    </row>
    <row r="205" customFormat="false" ht="14.25" hidden="false" customHeight="true" outlineLevel="0" collapsed="false">
      <c r="A205" s="39"/>
      <c r="B205" s="40" t="s">
        <v>343</v>
      </c>
      <c r="C205" s="41" t="s">
        <v>344</v>
      </c>
      <c r="D205" s="41" t="s">
        <v>108</v>
      </c>
      <c r="E205" s="42" t="n">
        <v>5000</v>
      </c>
      <c r="F205" s="42"/>
      <c r="G205" s="42" t="n">
        <v>250</v>
      </c>
      <c r="H205" s="43" t="n">
        <v>2</v>
      </c>
      <c r="I205" s="34" t="n">
        <f aca="false">E205*H205+N(F205)+N(G205)</f>
        <v>10250</v>
      </c>
      <c r="J205" s="42" t="n">
        <f aca="false">ROUND(IFERROR(ROUND(IF(OR(ISNUMBER(SEARCH("week",C205)),ISNUMBER(SEARCH("minggu",C205))),IFERROR(_xlfn.NUMBERVALUE(SUBSTITUTE(LEFT(TRIM(C205),FIND(" ",TRIM(C205)&amp;" ")-1),",","."),"."),LEFT(SUBSTITUTE(LEFT(TRIM(C205),FIND(" ",TRIM(C205)&amp;" ")-1),",","."),FIND("/",SUBSTITUTE(LEFT(TRIM(C205),FIND(" ",TRIM(C205)&amp;" ")-1),",","."))-1)/MID(SUBSTITUTE(LEFT(TRIM(C205),FIND(" ",TRIM(C205)&amp;" ")-1),",","."),FIND("/",SUBSTITUTE(LEFT(TRIM(C205),FIND(" ",TRIM(C205)&amp;" ")-1),",","."))+1,9))*12/52,IF(ISNUMBER(SEARCH("month",C205)),IFERROR(_xlfn.NUMBERVALUE(SUBSTITUTE(LEFT(TRIM(C205),FIND(" ",TRIM(C205)&amp;" ")-1),",","."),"."),LEFT(SUBSTITUTE(LEFT(TRIM(C205),FIND(" ",TRIM(C205)&amp;" ")-1),",","."),FIND("/",SUBSTITUTE(LEFT(TRIM(C205),FIND(" ",TRIM(C205)&amp;" ")-1),",","."))-1)/MID(SUBSTITUTE(LEFT(TRIM(C205),FIND(" ",TRIM(C205)&amp;" ")-1),",","."),FIND("/",SUBSTITUTE(LEFT(TRIM(C205),FIND(" ",TRIM(C205)&amp;" ")-1),",","."))+1,9)),IF(ISNUMBER(SEARCH("yea",C205)),IFERROR(_xlfn.NUMBERVALUE(SUBSTITUTE(LEFT(TRIM(C205),FIND(" ",TRIM(C205)&amp;" ")-1),",","."),"."),LEFT(SUBSTITUTE(LEFT(TRIM(C205),FIND(" ",TRIM(C205)&amp;" ")-1),",","."),FIND("/",SUBSTITUTE(LEFT(TRIM(C205),FIND(" ",TRIM(C205)&amp;" ")-1),",","."))-1)/MID(SUBSTITUTE(LEFT(TRIM(C205),FIND(" ",TRIM(C205)&amp;" ")-1),",","."),FIND("/",SUBSTITUTE(LEFT(TRIM(C205),FIND(" ",TRIM(C205)&amp;" ")-1),",","."))+1,9))*12,NA()))),0),6)*'Aturan &amp; Tarif'!$B$4,2)</f>
        <v>340.68</v>
      </c>
      <c r="K205" s="42" t="n">
        <f aca="false">'Aturan &amp; Tarif'!$B$5</f>
        <v>2050</v>
      </c>
      <c r="L205" s="35" t="n">
        <f aca="false">I205+J205+K205</f>
        <v>12640.68</v>
      </c>
      <c r="M205" s="45" t="s">
        <v>3330</v>
      </c>
    </row>
    <row r="206" customFormat="false" ht="14.25" hidden="false" customHeight="true" outlineLevel="0" collapsed="false">
      <c r="A206" s="39"/>
      <c r="B206" s="40" t="s">
        <v>349</v>
      </c>
      <c r="C206" s="41" t="s">
        <v>107</v>
      </c>
      <c r="D206" s="41" t="s">
        <v>108</v>
      </c>
      <c r="E206" s="42" t="n">
        <v>3750</v>
      </c>
      <c r="F206" s="42"/>
      <c r="G206" s="42" t="n">
        <v>250</v>
      </c>
      <c r="H206" s="43" t="n">
        <v>2</v>
      </c>
      <c r="I206" s="34" t="n">
        <f aca="false">E206*H206+N(F206)+N(G206)</f>
        <v>7750</v>
      </c>
      <c r="J206" s="42" t="n">
        <f aca="false">ROUND(IFERROR(ROUND(IF(OR(ISNUMBER(SEARCH("week",C206)),ISNUMBER(SEARCH("minggu",C206))),IFERROR(_xlfn.NUMBERVALUE(SUBSTITUTE(LEFT(TRIM(C206),FIND(" ",TRIM(C206)&amp;" ")-1),",","."),"."),LEFT(SUBSTITUTE(LEFT(TRIM(C206),FIND(" ",TRIM(C206)&amp;" ")-1),",","."),FIND("/",SUBSTITUTE(LEFT(TRIM(C206),FIND(" ",TRIM(C206)&amp;" ")-1),",","."))-1)/MID(SUBSTITUTE(LEFT(TRIM(C206),FIND(" ",TRIM(C206)&amp;" ")-1),",","."),FIND("/",SUBSTITUTE(LEFT(TRIM(C206),FIND(" ",TRIM(C206)&amp;" ")-1),",","."))+1,9))*12/52,IF(ISNUMBER(SEARCH("month",C206)),IFERROR(_xlfn.NUMBERVALUE(SUBSTITUTE(LEFT(TRIM(C206),FIND(" ",TRIM(C206)&amp;" ")-1),",","."),"."),LEFT(SUBSTITUTE(LEFT(TRIM(C206),FIND(" ",TRIM(C206)&amp;" ")-1),",","."),FIND("/",SUBSTITUTE(LEFT(TRIM(C206),FIND(" ",TRIM(C206)&amp;" ")-1),",","."))-1)/MID(SUBSTITUTE(LEFT(TRIM(C206),FIND(" ",TRIM(C206)&amp;" ")-1),",","."),FIND("/",SUBSTITUTE(LEFT(TRIM(C206),FIND(" ",TRIM(C206)&amp;" ")-1),",","."))+1,9)),IF(ISNUMBER(SEARCH("yea",C206)),IFERROR(_xlfn.NUMBERVALUE(SUBSTITUTE(LEFT(TRIM(C206),FIND(" ",TRIM(C206)&amp;" ")-1),",","."),"."),LEFT(SUBSTITUTE(LEFT(TRIM(C206),FIND(" ",TRIM(C206)&amp;" ")-1),",","."),FIND("/",SUBSTITUTE(LEFT(TRIM(C206),FIND(" ",TRIM(C206)&amp;" ")-1),",","."))-1)/MID(SUBSTITUTE(LEFT(TRIM(C206),FIND(" ",TRIM(C206)&amp;" ")-1),",","."),FIND("/",SUBSTITUTE(LEFT(TRIM(C206),FIND(" ",TRIM(C206)&amp;" ")-1),",","."))+1,9))*12,NA()))),0),24)*'Aturan &amp; Tarif'!$B$4,2)</f>
        <v>1362.72</v>
      </c>
      <c r="K206" s="42" t="n">
        <f aca="false">'Aturan &amp; Tarif'!$B$5</f>
        <v>2050</v>
      </c>
      <c r="L206" s="35" t="n">
        <f aca="false">I206+J206+K206</f>
        <v>11162.72</v>
      </c>
      <c r="M206" s="45" t="s">
        <v>3331</v>
      </c>
    </row>
    <row r="207" customFormat="false" ht="48.75" hidden="false" customHeight="true" outlineLevel="0" collapsed="false">
      <c r="A207" s="39"/>
      <c r="B207" s="40" t="s">
        <v>335</v>
      </c>
      <c r="C207" s="41" t="s">
        <v>127</v>
      </c>
      <c r="D207" s="41" t="s">
        <v>108</v>
      </c>
      <c r="E207" s="42" t="n">
        <v>3000</v>
      </c>
      <c r="F207" s="42"/>
      <c r="G207" s="42" t="n">
        <v>250</v>
      </c>
      <c r="H207" s="43" t="n">
        <v>2</v>
      </c>
      <c r="I207" s="34" t="n">
        <f aca="false">E207*H207+N(F207)+N(G207)</f>
        <v>6250</v>
      </c>
      <c r="J207" s="42" t="n">
        <f aca="false">ROUND(IFERROR(ROUND(IF(OR(ISNUMBER(SEARCH("week",C207)),ISNUMBER(SEARCH("minggu",C207))),IFERROR(_xlfn.NUMBERVALUE(SUBSTITUTE(LEFT(TRIM(C207),FIND(" ",TRIM(C207)&amp;" ")-1),",","."),"."),LEFT(SUBSTITUTE(LEFT(TRIM(C207),FIND(" ",TRIM(C207)&amp;" ")-1),",","."),FIND("/",SUBSTITUTE(LEFT(TRIM(C207),FIND(" ",TRIM(C207)&amp;" ")-1),",","."))-1)/MID(SUBSTITUTE(LEFT(TRIM(C207),FIND(" ",TRIM(C207)&amp;" ")-1),",","."),FIND("/",SUBSTITUTE(LEFT(TRIM(C207),FIND(" ",TRIM(C207)&amp;" ")-1),",","."))+1,9))*12/52,IF(ISNUMBER(SEARCH("month",C207)),IFERROR(_xlfn.NUMBERVALUE(SUBSTITUTE(LEFT(TRIM(C207),FIND(" ",TRIM(C207)&amp;" ")-1),",","."),"."),LEFT(SUBSTITUTE(LEFT(TRIM(C207),FIND(" ",TRIM(C207)&amp;" ")-1),",","."),FIND("/",SUBSTITUTE(LEFT(TRIM(C207),FIND(" ",TRIM(C207)&amp;" ")-1),",","."))-1)/MID(SUBSTITUTE(LEFT(TRIM(C207),FIND(" ",TRIM(C207)&amp;" ")-1),",","."),FIND("/",SUBSTITUTE(LEFT(TRIM(C207),FIND(" ",TRIM(C207)&amp;" ")-1),",","."))+1,9)),IF(ISNUMBER(SEARCH("yea",C207)),IFERROR(_xlfn.NUMBERVALUE(SUBSTITUTE(LEFT(TRIM(C207),FIND(" ",TRIM(C207)&amp;" ")-1),",","."),"."),LEFT(SUBSTITUTE(LEFT(TRIM(C207),FIND(" ",TRIM(C207)&amp;" ")-1),",","."),FIND("/",SUBSTITUTE(LEFT(TRIM(C207),FIND(" ",TRIM(C207)&amp;" ")-1),",","."))-1)/MID(SUBSTITUTE(LEFT(TRIM(C207),FIND(" ",TRIM(C207)&amp;" ")-1),",","."),FIND("/",SUBSTITUTE(LEFT(TRIM(C207),FIND(" ",TRIM(C207)&amp;" ")-1),",","."))+1,9))*12,NA()))),0),36)*'Aturan &amp; Tarif'!$B$4,2)</f>
        <v>2044.08</v>
      </c>
      <c r="K207" s="42" t="n">
        <f aca="false">'Aturan &amp; Tarif'!$B$5</f>
        <v>2050</v>
      </c>
      <c r="L207" s="35" t="n">
        <f aca="false">I207+J207+K207</f>
        <v>10344.08</v>
      </c>
      <c r="M207" s="45" t="s">
        <v>3332</v>
      </c>
    </row>
    <row r="208" customFormat="false" ht="14.25" hidden="false" customHeight="true" outlineLevel="0" collapsed="false">
      <c r="A208" s="39" t="s">
        <v>3333</v>
      </c>
      <c r="B208" s="40" t="s">
        <v>3101</v>
      </c>
      <c r="C208" s="41" t="s">
        <v>113</v>
      </c>
      <c r="D208" s="41" t="s">
        <v>108</v>
      </c>
      <c r="E208" s="42" t="n">
        <v>2200</v>
      </c>
      <c r="F208" s="42" t="n">
        <v>100</v>
      </c>
      <c r="G208" s="42" t="n">
        <v>200</v>
      </c>
      <c r="H208" s="43" t="n">
        <v>1</v>
      </c>
      <c r="I208" s="34" t="n">
        <f aca="false">E208*H208+N(F208)+N(G208)</f>
        <v>2500</v>
      </c>
      <c r="J208" s="42" t="n">
        <f aca="false">ROUND(IFERROR(ROUND(IF(OR(ISNUMBER(SEARCH("week",C208)),ISNUMBER(SEARCH("minggu",C208))),IFERROR(_xlfn.NUMBERVALUE(SUBSTITUTE(LEFT(TRIM(C208),FIND(" ",TRIM(C208)&amp;" ")-1),",","."),"."),LEFT(SUBSTITUTE(LEFT(TRIM(C208),FIND(" ",TRIM(C208)&amp;" ")-1),",","."),FIND("/",SUBSTITUTE(LEFT(TRIM(C208),FIND(" ",TRIM(C208)&amp;" ")-1),",","."))-1)/MID(SUBSTITUTE(LEFT(TRIM(C208),FIND(" ",TRIM(C208)&amp;" ")-1),",","."),FIND("/",SUBSTITUTE(LEFT(TRIM(C208),FIND(" ",TRIM(C208)&amp;" ")-1),",","."))+1,9))*12/52,IF(ISNUMBER(SEARCH("month",C208)),IFERROR(_xlfn.NUMBERVALUE(SUBSTITUTE(LEFT(TRIM(C208),FIND(" ",TRIM(C208)&amp;" ")-1),",","."),"."),LEFT(SUBSTITUTE(LEFT(TRIM(C208),FIND(" ",TRIM(C208)&amp;" ")-1),",","."),FIND("/",SUBSTITUTE(LEFT(TRIM(C208),FIND(" ",TRIM(C208)&amp;" ")-1),",","."))-1)/MID(SUBSTITUTE(LEFT(TRIM(C208),FIND(" ",TRIM(C208)&amp;" ")-1),",","."),FIND("/",SUBSTITUTE(LEFT(TRIM(C208),FIND(" ",TRIM(C208)&amp;" ")-1),",","."))+1,9)),IF(ISNUMBER(SEARCH("yea",C208)),IFERROR(_xlfn.NUMBERVALUE(SUBSTITUTE(LEFT(TRIM(C208),FIND(" ",TRIM(C208)&amp;" ")-1),",","."),"."),LEFT(SUBSTITUTE(LEFT(TRIM(C208),FIND(" ",TRIM(C208)&amp;" ")-1),",","."),FIND("/",SUBSTITUTE(LEFT(TRIM(C208),FIND(" ",TRIM(C208)&amp;" ")-1),",","."))-1)/MID(SUBSTITUTE(LEFT(TRIM(C208),FIND(" ",TRIM(C208)&amp;" ")-1),",","."),FIND("/",SUBSTITUTE(LEFT(TRIM(C208),FIND(" ",TRIM(C208)&amp;" ")-1),",","."))+1,9))*12,NA()))),0),18)*'Aturan &amp; Tarif'!$B$4,2)</f>
        <v>1022.04</v>
      </c>
      <c r="K208" s="42" t="n">
        <f aca="false">'Aturan &amp; Tarif'!$B$5</f>
        <v>2050</v>
      </c>
      <c r="L208" s="35" t="n">
        <f aca="false">I208+J208+K208</f>
        <v>5572.04</v>
      </c>
      <c r="M208" s="45" t="s">
        <v>134</v>
      </c>
    </row>
    <row r="209" customFormat="false" ht="14.25" hidden="false" customHeight="true" outlineLevel="0" collapsed="false">
      <c r="A209" s="39"/>
      <c r="B209" s="40" t="s">
        <v>3334</v>
      </c>
      <c r="C209" s="41" t="s">
        <v>107</v>
      </c>
      <c r="D209" s="41" t="s">
        <v>108</v>
      </c>
      <c r="E209" s="42" t="n">
        <v>2000</v>
      </c>
      <c r="F209" s="42" t="n">
        <v>100</v>
      </c>
      <c r="G209" s="42" t="n">
        <v>200</v>
      </c>
      <c r="H209" s="43" t="n">
        <v>1</v>
      </c>
      <c r="I209" s="34" t="n">
        <f aca="false">E209*H209+N(F209)+N(G209)</f>
        <v>2300</v>
      </c>
      <c r="J209" s="42" t="n">
        <f aca="false">ROUND(IFERROR(ROUND(IF(OR(ISNUMBER(SEARCH("week",C209)),ISNUMBER(SEARCH("minggu",C209))),IFERROR(_xlfn.NUMBERVALUE(SUBSTITUTE(LEFT(TRIM(C209),FIND(" ",TRIM(C209)&amp;" ")-1),",","."),"."),LEFT(SUBSTITUTE(LEFT(TRIM(C209),FIND(" ",TRIM(C209)&amp;" ")-1),",","."),FIND("/",SUBSTITUTE(LEFT(TRIM(C209),FIND(" ",TRIM(C209)&amp;" ")-1),",","."))-1)/MID(SUBSTITUTE(LEFT(TRIM(C209),FIND(" ",TRIM(C209)&amp;" ")-1),",","."),FIND("/",SUBSTITUTE(LEFT(TRIM(C209),FIND(" ",TRIM(C209)&amp;" ")-1),",","."))+1,9))*12/52,IF(ISNUMBER(SEARCH("month",C209)),IFERROR(_xlfn.NUMBERVALUE(SUBSTITUTE(LEFT(TRIM(C209),FIND(" ",TRIM(C209)&amp;" ")-1),",","."),"."),LEFT(SUBSTITUTE(LEFT(TRIM(C209),FIND(" ",TRIM(C209)&amp;" ")-1),",","."),FIND("/",SUBSTITUTE(LEFT(TRIM(C209),FIND(" ",TRIM(C209)&amp;" ")-1),",","."))-1)/MID(SUBSTITUTE(LEFT(TRIM(C209),FIND(" ",TRIM(C209)&amp;" ")-1),",","."),FIND("/",SUBSTITUTE(LEFT(TRIM(C209),FIND(" ",TRIM(C209)&amp;" ")-1),",","."))+1,9)),IF(ISNUMBER(SEARCH("yea",C209)),IFERROR(_xlfn.NUMBERVALUE(SUBSTITUTE(LEFT(TRIM(C209),FIND(" ",TRIM(C209)&amp;" ")-1),",","."),"."),LEFT(SUBSTITUTE(LEFT(TRIM(C209),FIND(" ",TRIM(C209)&amp;" ")-1),",","."),FIND("/",SUBSTITUTE(LEFT(TRIM(C209),FIND(" ",TRIM(C209)&amp;" ")-1),",","."))-1)/MID(SUBSTITUTE(LEFT(TRIM(C209),FIND(" ",TRIM(C209)&amp;" ")-1),",","."),FIND("/",SUBSTITUTE(LEFT(TRIM(C209),FIND(" ",TRIM(C209)&amp;" ")-1),",","."))+1,9))*12,NA()))),0),24)*'Aturan &amp; Tarif'!$B$4,2)</f>
        <v>1362.72</v>
      </c>
      <c r="K209" s="42" t="n">
        <f aca="false">'Aturan &amp; Tarif'!$B$5</f>
        <v>2050</v>
      </c>
      <c r="L209" s="35" t="n">
        <f aca="false">I209+J209+K209</f>
        <v>5712.72</v>
      </c>
      <c r="M209" s="45" t="s">
        <v>134</v>
      </c>
    </row>
    <row r="210" customFormat="false" ht="14.25" hidden="false" customHeight="true" outlineLevel="0" collapsed="false">
      <c r="A210" s="39"/>
      <c r="B210" s="40" t="s">
        <v>3335</v>
      </c>
      <c r="C210" s="41" t="s">
        <v>191</v>
      </c>
      <c r="D210" s="41" t="s">
        <v>108</v>
      </c>
      <c r="E210" s="42" t="n">
        <v>2200</v>
      </c>
      <c r="F210" s="42" t="n">
        <v>100</v>
      </c>
      <c r="G210" s="42" t="n">
        <v>200</v>
      </c>
      <c r="H210" s="43" t="n">
        <v>1</v>
      </c>
      <c r="I210" s="34" t="n">
        <f aca="false">E210*H210+N(F210)+N(G210)</f>
        <v>2500</v>
      </c>
      <c r="J210" s="42" t="n">
        <f aca="false">ROUND(IFERROR(ROUND(IF(OR(ISNUMBER(SEARCH("week",C210)),ISNUMBER(SEARCH("minggu",C210))),IFERROR(_xlfn.NUMBERVALUE(SUBSTITUTE(LEFT(TRIM(C210),FIND(" ",TRIM(C210)&amp;" ")-1),",","."),"."),LEFT(SUBSTITUTE(LEFT(TRIM(C210),FIND(" ",TRIM(C210)&amp;" ")-1),",","."),FIND("/",SUBSTITUTE(LEFT(TRIM(C210),FIND(" ",TRIM(C210)&amp;" ")-1),",","."))-1)/MID(SUBSTITUTE(LEFT(TRIM(C210),FIND(" ",TRIM(C210)&amp;" ")-1),",","."),FIND("/",SUBSTITUTE(LEFT(TRIM(C210),FIND(" ",TRIM(C210)&amp;" ")-1),",","."))+1,9))*12/52,IF(ISNUMBER(SEARCH("month",C210)),IFERROR(_xlfn.NUMBERVALUE(SUBSTITUTE(LEFT(TRIM(C210),FIND(" ",TRIM(C210)&amp;" ")-1),",","."),"."),LEFT(SUBSTITUTE(LEFT(TRIM(C210),FIND(" ",TRIM(C210)&amp;" ")-1),",","."),FIND("/",SUBSTITUTE(LEFT(TRIM(C210),FIND(" ",TRIM(C210)&amp;" ")-1),",","."))-1)/MID(SUBSTITUTE(LEFT(TRIM(C210),FIND(" ",TRIM(C210)&amp;" ")-1),",","."),FIND("/",SUBSTITUTE(LEFT(TRIM(C210),FIND(" ",TRIM(C210)&amp;" ")-1),",","."))+1,9)),IF(ISNUMBER(SEARCH("yea",C210)),IFERROR(_xlfn.NUMBERVALUE(SUBSTITUTE(LEFT(TRIM(C210),FIND(" ",TRIM(C210)&amp;" ")-1),",","."),"."),LEFT(SUBSTITUTE(LEFT(TRIM(C210),FIND(" ",TRIM(C210)&amp;" ")-1),",","."),FIND("/",SUBSTITUTE(LEFT(TRIM(C210),FIND(" ",TRIM(C210)&amp;" ")-1),",","."))-1)/MID(SUBSTITUTE(LEFT(TRIM(C210),FIND(" ",TRIM(C210)&amp;" ")-1),",","."),FIND("/",SUBSTITUTE(LEFT(TRIM(C210),FIND(" ",TRIM(C210)&amp;" ")-1),",","."))+1,9))*12,NA()))),0),48)*'Aturan &amp; Tarif'!$B$4,2)</f>
        <v>2725.44</v>
      </c>
      <c r="K210" s="42" t="n">
        <f aca="false">'Aturan &amp; Tarif'!$B$5</f>
        <v>2050</v>
      </c>
      <c r="L210" s="35" t="n">
        <f aca="false">I210+J210+K210</f>
        <v>7275.44</v>
      </c>
      <c r="M210" s="45" t="s">
        <v>134</v>
      </c>
    </row>
    <row r="211" customFormat="false" ht="14.25" hidden="false" customHeight="true" outlineLevel="0" collapsed="false">
      <c r="A211" s="39"/>
      <c r="B211" s="40" t="s">
        <v>888</v>
      </c>
      <c r="C211" s="41" t="s">
        <v>107</v>
      </c>
      <c r="D211" s="41" t="s">
        <v>108</v>
      </c>
      <c r="E211" s="42" t="n">
        <v>1500</v>
      </c>
      <c r="F211" s="42" t="n">
        <v>100</v>
      </c>
      <c r="G211" s="42" t="n">
        <v>200</v>
      </c>
      <c r="H211" s="43" t="n">
        <v>1</v>
      </c>
      <c r="I211" s="34" t="n">
        <f aca="false">E211*H211+N(F211)+N(G211)</f>
        <v>1800</v>
      </c>
      <c r="J211" s="42" t="n">
        <f aca="false">ROUND(IFERROR(ROUND(IF(OR(ISNUMBER(SEARCH("week",C211)),ISNUMBER(SEARCH("minggu",C211))),IFERROR(_xlfn.NUMBERVALUE(SUBSTITUTE(LEFT(TRIM(C211),FIND(" ",TRIM(C211)&amp;" ")-1),",","."),"."),LEFT(SUBSTITUTE(LEFT(TRIM(C211),FIND(" ",TRIM(C211)&amp;" ")-1),",","."),FIND("/",SUBSTITUTE(LEFT(TRIM(C211),FIND(" ",TRIM(C211)&amp;" ")-1),",","."))-1)/MID(SUBSTITUTE(LEFT(TRIM(C211),FIND(" ",TRIM(C211)&amp;" ")-1),",","."),FIND("/",SUBSTITUTE(LEFT(TRIM(C211),FIND(" ",TRIM(C211)&amp;" ")-1),",","."))+1,9))*12/52,IF(ISNUMBER(SEARCH("month",C211)),IFERROR(_xlfn.NUMBERVALUE(SUBSTITUTE(LEFT(TRIM(C211),FIND(" ",TRIM(C211)&amp;" ")-1),",","."),"."),LEFT(SUBSTITUTE(LEFT(TRIM(C211),FIND(" ",TRIM(C211)&amp;" ")-1),",","."),FIND("/",SUBSTITUTE(LEFT(TRIM(C211),FIND(" ",TRIM(C211)&amp;" ")-1),",","."))-1)/MID(SUBSTITUTE(LEFT(TRIM(C211),FIND(" ",TRIM(C211)&amp;" ")-1),",","."),FIND("/",SUBSTITUTE(LEFT(TRIM(C211),FIND(" ",TRIM(C211)&amp;" ")-1),",","."))+1,9)),IF(ISNUMBER(SEARCH("yea",C211)),IFERROR(_xlfn.NUMBERVALUE(SUBSTITUTE(LEFT(TRIM(C211),FIND(" ",TRIM(C211)&amp;" ")-1),",","."),"."),LEFT(SUBSTITUTE(LEFT(TRIM(C211),FIND(" ",TRIM(C211)&amp;" ")-1),",","."),FIND("/",SUBSTITUTE(LEFT(TRIM(C211),FIND(" ",TRIM(C211)&amp;" ")-1),",","."))-1)/MID(SUBSTITUTE(LEFT(TRIM(C211),FIND(" ",TRIM(C211)&amp;" ")-1),",","."),FIND("/",SUBSTITUTE(LEFT(TRIM(C211),FIND(" ",TRIM(C211)&amp;" ")-1),",","."))+1,9))*12,NA()))),0),24)*'Aturan &amp; Tarif'!$B$4,2)</f>
        <v>1362.72</v>
      </c>
      <c r="K211" s="42" t="n">
        <f aca="false">'Aturan &amp; Tarif'!$B$5</f>
        <v>2050</v>
      </c>
      <c r="L211" s="35" t="n">
        <f aca="false">I211+J211+K211</f>
        <v>5212.72</v>
      </c>
      <c r="M211" s="45" t="s">
        <v>134</v>
      </c>
    </row>
    <row r="212" customFormat="false" ht="14.25" hidden="false" customHeight="true" outlineLevel="0" collapsed="false">
      <c r="A212" s="39"/>
      <c r="B212" s="40" t="s">
        <v>471</v>
      </c>
      <c r="C212" s="41" t="s">
        <v>113</v>
      </c>
      <c r="D212" s="41" t="s">
        <v>108</v>
      </c>
      <c r="E212" s="42" t="n">
        <v>2200</v>
      </c>
      <c r="F212" s="42" t="n">
        <v>1800</v>
      </c>
      <c r="G212" s="42" t="n">
        <v>200</v>
      </c>
      <c r="H212" s="43" t="n">
        <v>1</v>
      </c>
      <c r="I212" s="34" t="n">
        <f aca="false">E212*H212+N(F212)+N(G212)</f>
        <v>4200</v>
      </c>
      <c r="J212" s="42" t="n">
        <f aca="false">ROUND(IFERROR(ROUND(IF(OR(ISNUMBER(SEARCH("week",C212)),ISNUMBER(SEARCH("minggu",C212))),IFERROR(_xlfn.NUMBERVALUE(SUBSTITUTE(LEFT(TRIM(C212),FIND(" ",TRIM(C212)&amp;" ")-1),",","."),"."),LEFT(SUBSTITUTE(LEFT(TRIM(C212),FIND(" ",TRIM(C212)&amp;" ")-1),",","."),FIND("/",SUBSTITUTE(LEFT(TRIM(C212),FIND(" ",TRIM(C212)&amp;" ")-1),",","."))-1)/MID(SUBSTITUTE(LEFT(TRIM(C212),FIND(" ",TRIM(C212)&amp;" ")-1),",","."),FIND("/",SUBSTITUTE(LEFT(TRIM(C212),FIND(" ",TRIM(C212)&amp;" ")-1),",","."))+1,9))*12/52,IF(ISNUMBER(SEARCH("month",C212)),IFERROR(_xlfn.NUMBERVALUE(SUBSTITUTE(LEFT(TRIM(C212),FIND(" ",TRIM(C212)&amp;" ")-1),",","."),"."),LEFT(SUBSTITUTE(LEFT(TRIM(C212),FIND(" ",TRIM(C212)&amp;" ")-1),",","."),FIND("/",SUBSTITUTE(LEFT(TRIM(C212),FIND(" ",TRIM(C212)&amp;" ")-1),",","."))-1)/MID(SUBSTITUTE(LEFT(TRIM(C212),FIND(" ",TRIM(C212)&amp;" ")-1),",","."),FIND("/",SUBSTITUTE(LEFT(TRIM(C212),FIND(" ",TRIM(C212)&amp;" ")-1),",","."))+1,9)),IF(ISNUMBER(SEARCH("yea",C212)),IFERROR(_xlfn.NUMBERVALUE(SUBSTITUTE(LEFT(TRIM(C212),FIND(" ",TRIM(C212)&amp;" ")-1),",","."),"."),LEFT(SUBSTITUTE(LEFT(TRIM(C212),FIND(" ",TRIM(C212)&amp;" ")-1),",","."),FIND("/",SUBSTITUTE(LEFT(TRIM(C212),FIND(" ",TRIM(C212)&amp;" ")-1),",","."))-1)/MID(SUBSTITUTE(LEFT(TRIM(C212),FIND(" ",TRIM(C212)&amp;" ")-1),",","."),FIND("/",SUBSTITUTE(LEFT(TRIM(C212),FIND(" ",TRIM(C212)&amp;" ")-1),",","."))+1,9))*12,NA()))),0),18)*'Aturan &amp; Tarif'!$B$4,2)</f>
        <v>1022.04</v>
      </c>
      <c r="K212" s="42" t="n">
        <f aca="false">'Aturan &amp; Tarif'!$B$5</f>
        <v>2050</v>
      </c>
      <c r="L212" s="35" t="n">
        <f aca="false">I212+J212+K212</f>
        <v>7272.04</v>
      </c>
      <c r="M212" s="45" t="s">
        <v>134</v>
      </c>
    </row>
    <row r="213" customFormat="false" ht="25.5" hidden="false" customHeight="true" outlineLevel="0" collapsed="false">
      <c r="A213" s="39"/>
      <c r="B213" s="40" t="s">
        <v>907</v>
      </c>
      <c r="C213" s="41" t="s">
        <v>113</v>
      </c>
      <c r="D213" s="41" t="s">
        <v>108</v>
      </c>
      <c r="E213" s="42" t="n">
        <v>2200</v>
      </c>
      <c r="F213" s="42" t="n">
        <v>1800</v>
      </c>
      <c r="G213" s="42" t="n">
        <v>200</v>
      </c>
      <c r="H213" s="43" t="n">
        <v>1</v>
      </c>
      <c r="I213" s="34" t="n">
        <f aca="false">E213*H213+N(F213)+N(G213)</f>
        <v>4200</v>
      </c>
      <c r="J213" s="42" t="n">
        <f aca="false">ROUND(IFERROR(ROUND(IF(OR(ISNUMBER(SEARCH("week",C213)),ISNUMBER(SEARCH("minggu",C213))),IFERROR(_xlfn.NUMBERVALUE(SUBSTITUTE(LEFT(TRIM(C213),FIND(" ",TRIM(C213)&amp;" ")-1),",","."),"."),LEFT(SUBSTITUTE(LEFT(TRIM(C213),FIND(" ",TRIM(C213)&amp;" ")-1),",","."),FIND("/",SUBSTITUTE(LEFT(TRIM(C213),FIND(" ",TRIM(C213)&amp;" ")-1),",","."))-1)/MID(SUBSTITUTE(LEFT(TRIM(C213),FIND(" ",TRIM(C213)&amp;" ")-1),",","."),FIND("/",SUBSTITUTE(LEFT(TRIM(C213),FIND(" ",TRIM(C213)&amp;" ")-1),",","."))+1,9))*12/52,IF(ISNUMBER(SEARCH("month",C213)),IFERROR(_xlfn.NUMBERVALUE(SUBSTITUTE(LEFT(TRIM(C213),FIND(" ",TRIM(C213)&amp;" ")-1),",","."),"."),LEFT(SUBSTITUTE(LEFT(TRIM(C213),FIND(" ",TRIM(C213)&amp;" ")-1),",","."),FIND("/",SUBSTITUTE(LEFT(TRIM(C213),FIND(" ",TRIM(C213)&amp;" ")-1),",","."))-1)/MID(SUBSTITUTE(LEFT(TRIM(C213),FIND(" ",TRIM(C213)&amp;" ")-1),",","."),FIND("/",SUBSTITUTE(LEFT(TRIM(C213),FIND(" ",TRIM(C213)&amp;" ")-1),",","."))+1,9)),IF(ISNUMBER(SEARCH("yea",C213)),IFERROR(_xlfn.NUMBERVALUE(SUBSTITUTE(LEFT(TRIM(C213),FIND(" ",TRIM(C213)&amp;" ")-1),",","."),"."),LEFT(SUBSTITUTE(LEFT(TRIM(C213),FIND(" ",TRIM(C213)&amp;" ")-1),",","."),FIND("/",SUBSTITUTE(LEFT(TRIM(C213),FIND(" ",TRIM(C213)&amp;" ")-1),",","."))-1)/MID(SUBSTITUTE(LEFT(TRIM(C213),FIND(" ",TRIM(C213)&amp;" ")-1),",","."),FIND("/",SUBSTITUTE(LEFT(TRIM(C213),FIND(" ",TRIM(C213)&amp;" ")-1),",","."))+1,9))*12,NA()))),0),18)*'Aturan &amp; Tarif'!$B$4,2)</f>
        <v>1022.04</v>
      </c>
      <c r="K213" s="42" t="n">
        <f aca="false">'Aturan &amp; Tarif'!$B$5</f>
        <v>2050</v>
      </c>
      <c r="L213" s="35" t="n">
        <f aca="false">I213+J213+K213</f>
        <v>7272.04</v>
      </c>
      <c r="M213" s="45" t="s">
        <v>134</v>
      </c>
    </row>
    <row r="214" customFormat="false" ht="25.5" hidden="false" customHeight="true" outlineLevel="0" collapsed="false">
      <c r="A214" s="39"/>
      <c r="B214" s="40" t="s">
        <v>3336</v>
      </c>
      <c r="C214" s="41" t="s">
        <v>113</v>
      </c>
      <c r="D214" s="41" t="s">
        <v>108</v>
      </c>
      <c r="E214" s="42" t="n">
        <v>2200</v>
      </c>
      <c r="F214" s="42" t="n">
        <v>1800</v>
      </c>
      <c r="G214" s="42" t="n">
        <v>200</v>
      </c>
      <c r="H214" s="43" t="n">
        <v>1</v>
      </c>
      <c r="I214" s="34" t="n">
        <f aca="false">E214*H214+N(F214)+N(G214)</f>
        <v>4200</v>
      </c>
      <c r="J214" s="42" t="n">
        <f aca="false">ROUND(IFERROR(ROUND(IF(OR(ISNUMBER(SEARCH("week",C214)),ISNUMBER(SEARCH("minggu",C214))),IFERROR(_xlfn.NUMBERVALUE(SUBSTITUTE(LEFT(TRIM(C214),FIND(" ",TRIM(C214)&amp;" ")-1),",","."),"."),LEFT(SUBSTITUTE(LEFT(TRIM(C214),FIND(" ",TRIM(C214)&amp;" ")-1),",","."),FIND("/",SUBSTITUTE(LEFT(TRIM(C214),FIND(" ",TRIM(C214)&amp;" ")-1),",","."))-1)/MID(SUBSTITUTE(LEFT(TRIM(C214),FIND(" ",TRIM(C214)&amp;" ")-1),",","."),FIND("/",SUBSTITUTE(LEFT(TRIM(C214),FIND(" ",TRIM(C214)&amp;" ")-1),",","."))+1,9))*12/52,IF(ISNUMBER(SEARCH("month",C214)),IFERROR(_xlfn.NUMBERVALUE(SUBSTITUTE(LEFT(TRIM(C214),FIND(" ",TRIM(C214)&amp;" ")-1),",","."),"."),LEFT(SUBSTITUTE(LEFT(TRIM(C214),FIND(" ",TRIM(C214)&amp;" ")-1),",","."),FIND("/",SUBSTITUTE(LEFT(TRIM(C214),FIND(" ",TRIM(C214)&amp;" ")-1),",","."))-1)/MID(SUBSTITUTE(LEFT(TRIM(C214),FIND(" ",TRIM(C214)&amp;" ")-1),",","."),FIND("/",SUBSTITUTE(LEFT(TRIM(C214),FIND(" ",TRIM(C214)&amp;" ")-1),",","."))+1,9)),IF(ISNUMBER(SEARCH("yea",C214)),IFERROR(_xlfn.NUMBERVALUE(SUBSTITUTE(LEFT(TRIM(C214),FIND(" ",TRIM(C214)&amp;" ")-1),",","."),"."),LEFT(SUBSTITUTE(LEFT(TRIM(C214),FIND(" ",TRIM(C214)&amp;" ")-1),",","."),FIND("/",SUBSTITUTE(LEFT(TRIM(C214),FIND(" ",TRIM(C214)&amp;" ")-1),",","."))-1)/MID(SUBSTITUTE(LEFT(TRIM(C214),FIND(" ",TRIM(C214)&amp;" ")-1),",","."),FIND("/",SUBSTITUTE(LEFT(TRIM(C214),FIND(" ",TRIM(C214)&amp;" ")-1),",","."))+1,9))*12,NA()))),0),18)*'Aturan &amp; Tarif'!$B$4,2)</f>
        <v>1022.04</v>
      </c>
      <c r="K214" s="42" t="n">
        <f aca="false">'Aturan &amp; Tarif'!$B$5</f>
        <v>2050</v>
      </c>
      <c r="L214" s="35" t="n">
        <f aca="false">I214+J214+K214</f>
        <v>7272.04</v>
      </c>
      <c r="M214" s="45" t="s">
        <v>134</v>
      </c>
    </row>
    <row r="215" customFormat="false" ht="25.5" hidden="false" customHeight="true" outlineLevel="0" collapsed="false">
      <c r="A215" s="39"/>
      <c r="B215" s="40" t="s">
        <v>1979</v>
      </c>
      <c r="C215" s="41" t="s">
        <v>107</v>
      </c>
      <c r="D215" s="41" t="s">
        <v>108</v>
      </c>
      <c r="E215" s="42" t="n">
        <v>2500</v>
      </c>
      <c r="F215" s="42" t="n">
        <v>1000</v>
      </c>
      <c r="G215" s="42" t="n">
        <v>200</v>
      </c>
      <c r="H215" s="43" t="n">
        <v>1</v>
      </c>
      <c r="I215" s="34" t="n">
        <f aca="false">E215*H215+N(F215)+N(G215)</f>
        <v>3700</v>
      </c>
      <c r="J215" s="42" t="n">
        <f aca="false">ROUND(IFERROR(ROUND(IF(OR(ISNUMBER(SEARCH("week",C215)),ISNUMBER(SEARCH("minggu",C215))),IFERROR(_xlfn.NUMBERVALUE(SUBSTITUTE(LEFT(TRIM(C215),FIND(" ",TRIM(C215)&amp;" ")-1),",","."),"."),LEFT(SUBSTITUTE(LEFT(TRIM(C215),FIND(" ",TRIM(C215)&amp;" ")-1),",","."),FIND("/",SUBSTITUTE(LEFT(TRIM(C215),FIND(" ",TRIM(C215)&amp;" ")-1),",","."))-1)/MID(SUBSTITUTE(LEFT(TRIM(C215),FIND(" ",TRIM(C215)&amp;" ")-1),",","."),FIND("/",SUBSTITUTE(LEFT(TRIM(C215),FIND(" ",TRIM(C215)&amp;" ")-1),",","."))+1,9))*12/52,IF(ISNUMBER(SEARCH("month",C215)),IFERROR(_xlfn.NUMBERVALUE(SUBSTITUTE(LEFT(TRIM(C215),FIND(" ",TRIM(C215)&amp;" ")-1),",","."),"."),LEFT(SUBSTITUTE(LEFT(TRIM(C215),FIND(" ",TRIM(C215)&amp;" ")-1),",","."),FIND("/",SUBSTITUTE(LEFT(TRIM(C215),FIND(" ",TRIM(C215)&amp;" ")-1),",","."))-1)/MID(SUBSTITUTE(LEFT(TRIM(C215),FIND(" ",TRIM(C215)&amp;" ")-1),",","."),FIND("/",SUBSTITUTE(LEFT(TRIM(C215),FIND(" ",TRIM(C215)&amp;" ")-1),",","."))+1,9)),IF(ISNUMBER(SEARCH("yea",C215)),IFERROR(_xlfn.NUMBERVALUE(SUBSTITUTE(LEFT(TRIM(C215),FIND(" ",TRIM(C215)&amp;" ")-1),",","."),"."),LEFT(SUBSTITUTE(LEFT(TRIM(C215),FIND(" ",TRIM(C215)&amp;" ")-1),",","."),FIND("/",SUBSTITUTE(LEFT(TRIM(C215),FIND(" ",TRIM(C215)&amp;" ")-1),",","."))-1)/MID(SUBSTITUTE(LEFT(TRIM(C215),FIND(" ",TRIM(C215)&amp;" ")-1),",","."),FIND("/",SUBSTITUTE(LEFT(TRIM(C215),FIND(" ",TRIM(C215)&amp;" ")-1),",","."))+1,9))*12,NA()))),0),24)*'Aturan &amp; Tarif'!$B$4,2)</f>
        <v>1362.72</v>
      </c>
      <c r="K215" s="42" t="n">
        <f aca="false">'Aturan &amp; Tarif'!$B$5</f>
        <v>2050</v>
      </c>
      <c r="L215" s="35" t="n">
        <f aca="false">I215+J215+K215</f>
        <v>7112.72</v>
      </c>
      <c r="M215" s="45" t="s">
        <v>134</v>
      </c>
    </row>
    <row r="216" customFormat="false" ht="37.5" hidden="false" customHeight="true" outlineLevel="0" collapsed="false">
      <c r="A216" s="39"/>
      <c r="B216" s="40" t="s">
        <v>3337</v>
      </c>
      <c r="C216" s="41" t="s">
        <v>107</v>
      </c>
      <c r="D216" s="41" t="s">
        <v>108</v>
      </c>
      <c r="E216" s="42" t="n">
        <v>2125</v>
      </c>
      <c r="F216" s="42" t="n">
        <v>1000</v>
      </c>
      <c r="G216" s="42" t="n">
        <v>200</v>
      </c>
      <c r="H216" s="43" t="n">
        <v>1</v>
      </c>
      <c r="I216" s="34" t="n">
        <f aca="false">E216*H216+N(F216)+N(G216)</f>
        <v>3325</v>
      </c>
      <c r="J216" s="42" t="n">
        <f aca="false">ROUND(IFERROR(ROUND(IF(OR(ISNUMBER(SEARCH("week",C216)),ISNUMBER(SEARCH("minggu",C216))),IFERROR(_xlfn.NUMBERVALUE(SUBSTITUTE(LEFT(TRIM(C216),FIND(" ",TRIM(C216)&amp;" ")-1),",","."),"."),LEFT(SUBSTITUTE(LEFT(TRIM(C216),FIND(" ",TRIM(C216)&amp;" ")-1),",","."),FIND("/",SUBSTITUTE(LEFT(TRIM(C216),FIND(" ",TRIM(C216)&amp;" ")-1),",","."))-1)/MID(SUBSTITUTE(LEFT(TRIM(C216),FIND(" ",TRIM(C216)&amp;" ")-1),",","."),FIND("/",SUBSTITUTE(LEFT(TRIM(C216),FIND(" ",TRIM(C216)&amp;" ")-1),",","."))+1,9))*12/52,IF(ISNUMBER(SEARCH("month",C216)),IFERROR(_xlfn.NUMBERVALUE(SUBSTITUTE(LEFT(TRIM(C216),FIND(" ",TRIM(C216)&amp;" ")-1),",","."),"."),LEFT(SUBSTITUTE(LEFT(TRIM(C216),FIND(" ",TRIM(C216)&amp;" ")-1),",","."),FIND("/",SUBSTITUTE(LEFT(TRIM(C216),FIND(" ",TRIM(C216)&amp;" ")-1),",","."))-1)/MID(SUBSTITUTE(LEFT(TRIM(C216),FIND(" ",TRIM(C216)&amp;" ")-1),",","."),FIND("/",SUBSTITUTE(LEFT(TRIM(C216),FIND(" ",TRIM(C216)&amp;" ")-1),",","."))+1,9)),IF(ISNUMBER(SEARCH("yea",C216)),IFERROR(_xlfn.NUMBERVALUE(SUBSTITUTE(LEFT(TRIM(C216),FIND(" ",TRIM(C216)&amp;" ")-1),",","."),"."),LEFT(SUBSTITUTE(LEFT(TRIM(C216),FIND(" ",TRIM(C216)&amp;" ")-1),",","."),FIND("/",SUBSTITUTE(LEFT(TRIM(C216),FIND(" ",TRIM(C216)&amp;" ")-1),",","."))-1)/MID(SUBSTITUTE(LEFT(TRIM(C216),FIND(" ",TRIM(C216)&amp;" ")-1),",","."),FIND("/",SUBSTITUTE(LEFT(TRIM(C216),FIND(" ",TRIM(C216)&amp;" ")-1),",","."))+1,9))*12,NA()))),0),24)*'Aturan &amp; Tarif'!$B$4,2)</f>
        <v>1362.72</v>
      </c>
      <c r="K216" s="42" t="n">
        <f aca="false">'Aturan &amp; Tarif'!$B$5</f>
        <v>2050</v>
      </c>
      <c r="L216" s="35" t="n">
        <f aca="false">I216+J216+K216</f>
        <v>6737.72</v>
      </c>
      <c r="M216" s="44" t="s">
        <v>131</v>
      </c>
    </row>
    <row r="217" customFormat="false" ht="60" hidden="false" customHeight="true" outlineLevel="0" collapsed="false">
      <c r="A217" s="39"/>
      <c r="B217" s="40" t="s">
        <v>3338</v>
      </c>
      <c r="C217" s="41" t="s">
        <v>107</v>
      </c>
      <c r="D217" s="41" t="s">
        <v>108</v>
      </c>
      <c r="E217" s="42" t="n">
        <v>2150</v>
      </c>
      <c r="F217" s="42" t="n">
        <v>950</v>
      </c>
      <c r="G217" s="42" t="n">
        <v>200</v>
      </c>
      <c r="H217" s="43" t="n">
        <v>1</v>
      </c>
      <c r="I217" s="34" t="n">
        <f aca="false">E217*H217+N(F217)+N(G217)</f>
        <v>3300</v>
      </c>
      <c r="J217" s="42" t="n">
        <f aca="false">ROUND(IFERROR(ROUND(IF(OR(ISNUMBER(SEARCH("week",C217)),ISNUMBER(SEARCH("minggu",C217))),IFERROR(_xlfn.NUMBERVALUE(SUBSTITUTE(LEFT(TRIM(C217),FIND(" ",TRIM(C217)&amp;" ")-1),",","."),"."),LEFT(SUBSTITUTE(LEFT(TRIM(C217),FIND(" ",TRIM(C217)&amp;" ")-1),",","."),FIND("/",SUBSTITUTE(LEFT(TRIM(C217),FIND(" ",TRIM(C217)&amp;" ")-1),",","."))-1)/MID(SUBSTITUTE(LEFT(TRIM(C217),FIND(" ",TRIM(C217)&amp;" ")-1),",","."),FIND("/",SUBSTITUTE(LEFT(TRIM(C217),FIND(" ",TRIM(C217)&amp;" ")-1),",","."))+1,9))*12/52,IF(ISNUMBER(SEARCH("month",C217)),IFERROR(_xlfn.NUMBERVALUE(SUBSTITUTE(LEFT(TRIM(C217),FIND(" ",TRIM(C217)&amp;" ")-1),",","."),"."),LEFT(SUBSTITUTE(LEFT(TRIM(C217),FIND(" ",TRIM(C217)&amp;" ")-1),",","."),FIND("/",SUBSTITUTE(LEFT(TRIM(C217),FIND(" ",TRIM(C217)&amp;" ")-1),",","."))-1)/MID(SUBSTITUTE(LEFT(TRIM(C217),FIND(" ",TRIM(C217)&amp;" ")-1),",","."),FIND("/",SUBSTITUTE(LEFT(TRIM(C217),FIND(" ",TRIM(C217)&amp;" ")-1),",","."))+1,9)),IF(ISNUMBER(SEARCH("yea",C217)),IFERROR(_xlfn.NUMBERVALUE(SUBSTITUTE(LEFT(TRIM(C217),FIND(" ",TRIM(C217)&amp;" ")-1),",","."),"."),LEFT(SUBSTITUTE(LEFT(TRIM(C217),FIND(" ",TRIM(C217)&amp;" ")-1),",","."),FIND("/",SUBSTITUTE(LEFT(TRIM(C217),FIND(" ",TRIM(C217)&amp;" ")-1),",","."))-1)/MID(SUBSTITUTE(LEFT(TRIM(C217),FIND(" ",TRIM(C217)&amp;" ")-1),",","."),FIND("/",SUBSTITUTE(LEFT(TRIM(C217),FIND(" ",TRIM(C217)&amp;" ")-1),",","."))+1,9))*12,NA()))),0),24)*'Aturan &amp; Tarif'!$B$4,2)</f>
        <v>1362.72</v>
      </c>
      <c r="K217" s="42" t="n">
        <f aca="false">'Aturan &amp; Tarif'!$B$5</f>
        <v>2050</v>
      </c>
      <c r="L217" s="35" t="n">
        <f aca="false">I217+J217+K217</f>
        <v>6712.72</v>
      </c>
      <c r="M217" s="44" t="s">
        <v>131</v>
      </c>
    </row>
    <row r="218" customFormat="false" ht="37.5" hidden="false" customHeight="true" outlineLevel="0" collapsed="false">
      <c r="A218" s="29" t="s">
        <v>2810</v>
      </c>
      <c r="B218" s="30" t="s">
        <v>133</v>
      </c>
      <c r="C218" s="31" t="s">
        <v>107</v>
      </c>
      <c r="D218" s="31" t="s">
        <v>108</v>
      </c>
      <c r="E218" s="32" t="n">
        <v>2950</v>
      </c>
      <c r="F218" s="32" t="n">
        <v>800</v>
      </c>
      <c r="G218" s="32" t="n">
        <v>250</v>
      </c>
      <c r="H218" s="33" t="n">
        <v>1</v>
      </c>
      <c r="I218" s="34" t="n">
        <f aca="false">E218*H218+N(F218)+N(G218)</f>
        <v>4000</v>
      </c>
      <c r="J218" s="32" t="n">
        <f aca="false">ROUND(IFERROR(ROUND(IF(OR(ISNUMBER(SEARCH("week",C218)),ISNUMBER(SEARCH("minggu",C218))),IFERROR(_xlfn.NUMBERVALUE(SUBSTITUTE(LEFT(TRIM(C218),FIND(" ",TRIM(C218)&amp;" ")-1),",","."),"."),LEFT(SUBSTITUTE(LEFT(TRIM(C218),FIND(" ",TRIM(C218)&amp;" ")-1),",","."),FIND("/",SUBSTITUTE(LEFT(TRIM(C218),FIND(" ",TRIM(C218)&amp;" ")-1),",","."))-1)/MID(SUBSTITUTE(LEFT(TRIM(C218),FIND(" ",TRIM(C218)&amp;" ")-1),",","."),FIND("/",SUBSTITUTE(LEFT(TRIM(C218),FIND(" ",TRIM(C218)&amp;" ")-1),",","."))+1,9))*12/52,IF(ISNUMBER(SEARCH("month",C218)),IFERROR(_xlfn.NUMBERVALUE(SUBSTITUTE(LEFT(TRIM(C218),FIND(" ",TRIM(C218)&amp;" ")-1),",","."),"."),LEFT(SUBSTITUTE(LEFT(TRIM(C218),FIND(" ",TRIM(C218)&amp;" ")-1),",","."),FIND("/",SUBSTITUTE(LEFT(TRIM(C218),FIND(" ",TRIM(C218)&amp;" ")-1),",","."))-1)/MID(SUBSTITUTE(LEFT(TRIM(C218),FIND(" ",TRIM(C218)&amp;" ")-1),",","."),FIND("/",SUBSTITUTE(LEFT(TRIM(C218),FIND(" ",TRIM(C218)&amp;" ")-1),",","."))+1,9)),IF(ISNUMBER(SEARCH("yea",C218)),IFERROR(_xlfn.NUMBERVALUE(SUBSTITUTE(LEFT(TRIM(C218),FIND(" ",TRIM(C218)&amp;" ")-1),",","."),"."),LEFT(SUBSTITUTE(LEFT(TRIM(C218),FIND(" ",TRIM(C218)&amp;" ")-1),",","."),FIND("/",SUBSTITUTE(LEFT(TRIM(C218),FIND(" ",TRIM(C218)&amp;" ")-1),",","."))-1)/MID(SUBSTITUTE(LEFT(TRIM(C218),FIND(" ",TRIM(C218)&amp;" ")-1),",","."),FIND("/",SUBSTITUTE(LEFT(TRIM(C218),FIND(" ",TRIM(C218)&amp;" ")-1),",","."))+1,9))*12,NA()))),0),24)*'Aturan &amp; Tarif'!$B$4,2)</f>
        <v>1362.72</v>
      </c>
      <c r="K218" s="32" t="n">
        <f aca="false">'Aturan &amp; Tarif'!$B$5</f>
        <v>2050</v>
      </c>
      <c r="L218" s="35" t="n">
        <f aca="false">I218+J218+K218</f>
        <v>7412.72</v>
      </c>
      <c r="M218" s="37" t="s">
        <v>134</v>
      </c>
    </row>
    <row r="219" customFormat="false" ht="37.5" hidden="false" customHeight="true" outlineLevel="0" collapsed="false">
      <c r="A219" s="29"/>
      <c r="B219" s="30" t="s">
        <v>135</v>
      </c>
      <c r="C219" s="31" t="s">
        <v>136</v>
      </c>
      <c r="D219" s="31" t="s">
        <v>108</v>
      </c>
      <c r="E219" s="32" t="n">
        <v>2700</v>
      </c>
      <c r="F219" s="32" t="n">
        <v>2000</v>
      </c>
      <c r="G219" s="32" t="n">
        <v>250</v>
      </c>
      <c r="H219" s="33" t="n">
        <v>1</v>
      </c>
      <c r="I219" s="34" t="n">
        <f aca="false">E219*H219+N(F219)+N(G219)</f>
        <v>4950</v>
      </c>
      <c r="J219" s="32" t="n">
        <f aca="false">ROUND(IFERROR(ROUND(IF(OR(ISNUMBER(SEARCH("week",C219)),ISNUMBER(SEARCH("minggu",C219))),IFERROR(_xlfn.NUMBERVALUE(SUBSTITUTE(LEFT(TRIM(C219),FIND(" ",TRIM(C219)&amp;" ")-1),",","."),"."),LEFT(SUBSTITUTE(LEFT(TRIM(C219),FIND(" ",TRIM(C219)&amp;" ")-1),",","."),FIND("/",SUBSTITUTE(LEFT(TRIM(C219),FIND(" ",TRIM(C219)&amp;" ")-1),",","."))-1)/MID(SUBSTITUTE(LEFT(TRIM(C219),FIND(" ",TRIM(C219)&amp;" ")-1),",","."),FIND("/",SUBSTITUTE(LEFT(TRIM(C219),FIND(" ",TRIM(C219)&amp;" ")-1),",","."))+1,9))*12/52,IF(ISNUMBER(SEARCH("month",C219)),IFERROR(_xlfn.NUMBERVALUE(SUBSTITUTE(LEFT(TRIM(C219),FIND(" ",TRIM(C219)&amp;" ")-1),",","."),"."),LEFT(SUBSTITUTE(LEFT(TRIM(C219),FIND(" ",TRIM(C219)&amp;" ")-1),",","."),FIND("/",SUBSTITUTE(LEFT(TRIM(C219),FIND(" ",TRIM(C219)&amp;" ")-1),",","."))-1)/MID(SUBSTITUTE(LEFT(TRIM(C219),FIND(" ",TRIM(C219)&amp;" ")-1),",","."),FIND("/",SUBSTITUTE(LEFT(TRIM(C219),FIND(" ",TRIM(C219)&amp;" ")-1),",","."))+1,9)),IF(ISNUMBER(SEARCH("yea",C219)),IFERROR(_xlfn.NUMBERVALUE(SUBSTITUTE(LEFT(TRIM(C219),FIND(" ",TRIM(C219)&amp;" ")-1),",","."),"."),LEFT(SUBSTITUTE(LEFT(TRIM(C219),FIND(" ",TRIM(C219)&amp;" ")-1),",","."),FIND("/",SUBSTITUTE(LEFT(TRIM(C219),FIND(" ",TRIM(C219)&amp;" ")-1),",","."))-1)/MID(SUBSTITUTE(LEFT(TRIM(C219),FIND(" ",TRIM(C219)&amp;" ")-1),",","."),FIND("/",SUBSTITUTE(LEFT(TRIM(C219),FIND(" ",TRIM(C219)&amp;" ")-1),",","."))+1,9))*12,NA()))),0),42)*'Aturan &amp; Tarif'!$B$4,2)</f>
        <v>2384.76</v>
      </c>
      <c r="K219" s="32" t="n">
        <f aca="false">'Aturan &amp; Tarif'!$B$5</f>
        <v>2050</v>
      </c>
      <c r="L219" s="35" t="n">
        <f aca="false">I219+J219+K219</f>
        <v>9384.76</v>
      </c>
      <c r="M219" s="37" t="s">
        <v>134</v>
      </c>
    </row>
    <row r="220" customFormat="false" ht="25.5" hidden="false" customHeight="true" outlineLevel="0" collapsed="false">
      <c r="A220" s="29"/>
      <c r="B220" s="30" t="s">
        <v>137</v>
      </c>
      <c r="C220" s="31" t="s">
        <v>138</v>
      </c>
      <c r="D220" s="31" t="s">
        <v>108</v>
      </c>
      <c r="E220" s="32" t="n">
        <v>2850</v>
      </c>
      <c r="F220" s="32" t="n">
        <v>2000</v>
      </c>
      <c r="G220" s="32" t="n">
        <v>250</v>
      </c>
      <c r="H220" s="33" t="n">
        <v>1</v>
      </c>
      <c r="I220" s="34" t="n">
        <f aca="false">E220*H220+N(F220)+N(G220)</f>
        <v>5100</v>
      </c>
      <c r="J220" s="32" t="n">
        <f aca="false">ROUND(IFERROR(ROUND(IF(OR(ISNUMBER(SEARCH("week",C220)),ISNUMBER(SEARCH("minggu",C220))),IFERROR(_xlfn.NUMBERVALUE(SUBSTITUTE(LEFT(TRIM(C220),FIND(" ",TRIM(C220)&amp;" ")-1),",","."),"."),LEFT(SUBSTITUTE(LEFT(TRIM(C220),FIND(" ",TRIM(C220)&amp;" ")-1),",","."),FIND("/",SUBSTITUTE(LEFT(TRIM(C220),FIND(" ",TRIM(C220)&amp;" ")-1),",","."))-1)/MID(SUBSTITUTE(LEFT(TRIM(C220),FIND(" ",TRIM(C220)&amp;" ")-1),",","."),FIND("/",SUBSTITUTE(LEFT(TRIM(C220),FIND(" ",TRIM(C220)&amp;" ")-1),",","."))+1,9))*12/52,IF(ISNUMBER(SEARCH("month",C220)),IFERROR(_xlfn.NUMBERVALUE(SUBSTITUTE(LEFT(TRIM(C220),FIND(" ",TRIM(C220)&amp;" ")-1),",","."),"."),LEFT(SUBSTITUTE(LEFT(TRIM(C220),FIND(" ",TRIM(C220)&amp;" ")-1),",","."),FIND("/",SUBSTITUTE(LEFT(TRIM(C220),FIND(" ",TRIM(C220)&amp;" ")-1),",","."))-1)/MID(SUBSTITUTE(LEFT(TRIM(C220),FIND(" ",TRIM(C220)&amp;" ")-1),",","."),FIND("/",SUBSTITUTE(LEFT(TRIM(C220),FIND(" ",TRIM(C220)&amp;" ")-1),",","."))+1,9)),IF(ISNUMBER(SEARCH("yea",C220)),IFERROR(_xlfn.NUMBERVALUE(SUBSTITUTE(LEFT(TRIM(C220),FIND(" ",TRIM(C220)&amp;" ")-1),",","."),"."),LEFT(SUBSTITUTE(LEFT(TRIM(C220),FIND(" ",TRIM(C220)&amp;" ")-1),",","."),FIND("/",SUBSTITUTE(LEFT(TRIM(C220),FIND(" ",TRIM(C220)&amp;" ")-1),",","."))-1)/MID(SUBSTITUTE(LEFT(TRIM(C220),FIND(" ",TRIM(C220)&amp;" ")-1),",","."),FIND("/",SUBSTITUTE(LEFT(TRIM(C220),FIND(" ",TRIM(C220)&amp;" ")-1),",","."))+1,9))*12,NA()))),0),30)*'Aturan &amp; Tarif'!$B$4,2)</f>
        <v>1703.4</v>
      </c>
      <c r="K220" s="32" t="n">
        <f aca="false">'Aturan &amp; Tarif'!$B$5</f>
        <v>2050</v>
      </c>
      <c r="L220" s="35" t="n">
        <f aca="false">I220+J220+K220</f>
        <v>8853.4</v>
      </c>
      <c r="M220" s="37" t="s">
        <v>134</v>
      </c>
    </row>
    <row r="221" customFormat="false" ht="25.5" hidden="false" customHeight="true" outlineLevel="0" collapsed="false">
      <c r="A221" s="29"/>
      <c r="B221" s="30" t="s">
        <v>139</v>
      </c>
      <c r="C221" s="31" t="s">
        <v>127</v>
      </c>
      <c r="D221" s="31" t="s">
        <v>108</v>
      </c>
      <c r="E221" s="32" t="n">
        <v>2600</v>
      </c>
      <c r="F221" s="32" t="n">
        <v>1600</v>
      </c>
      <c r="G221" s="32" t="n">
        <v>250</v>
      </c>
      <c r="H221" s="33" t="n">
        <v>1</v>
      </c>
      <c r="I221" s="34" t="n">
        <f aca="false">E221*H221+N(F221)+N(G221)</f>
        <v>4450</v>
      </c>
      <c r="J221" s="32" t="n">
        <f aca="false">ROUND(IFERROR(ROUND(IF(OR(ISNUMBER(SEARCH("week",C221)),ISNUMBER(SEARCH("minggu",C221))),IFERROR(_xlfn.NUMBERVALUE(SUBSTITUTE(LEFT(TRIM(C221),FIND(" ",TRIM(C221)&amp;" ")-1),",","."),"."),LEFT(SUBSTITUTE(LEFT(TRIM(C221),FIND(" ",TRIM(C221)&amp;" ")-1),",","."),FIND("/",SUBSTITUTE(LEFT(TRIM(C221),FIND(" ",TRIM(C221)&amp;" ")-1),",","."))-1)/MID(SUBSTITUTE(LEFT(TRIM(C221),FIND(" ",TRIM(C221)&amp;" ")-1),",","."),FIND("/",SUBSTITUTE(LEFT(TRIM(C221),FIND(" ",TRIM(C221)&amp;" ")-1),",","."))+1,9))*12/52,IF(ISNUMBER(SEARCH("month",C221)),IFERROR(_xlfn.NUMBERVALUE(SUBSTITUTE(LEFT(TRIM(C221),FIND(" ",TRIM(C221)&amp;" ")-1),",","."),"."),LEFT(SUBSTITUTE(LEFT(TRIM(C221),FIND(" ",TRIM(C221)&amp;" ")-1),",","."),FIND("/",SUBSTITUTE(LEFT(TRIM(C221),FIND(" ",TRIM(C221)&amp;" ")-1),",","."))-1)/MID(SUBSTITUTE(LEFT(TRIM(C221),FIND(" ",TRIM(C221)&amp;" ")-1),",","."),FIND("/",SUBSTITUTE(LEFT(TRIM(C221),FIND(" ",TRIM(C221)&amp;" ")-1),",","."))+1,9)),IF(ISNUMBER(SEARCH("yea",C221)),IFERROR(_xlfn.NUMBERVALUE(SUBSTITUTE(LEFT(TRIM(C221),FIND(" ",TRIM(C221)&amp;" ")-1),",","."),"."),LEFT(SUBSTITUTE(LEFT(TRIM(C221),FIND(" ",TRIM(C221)&amp;" ")-1),",","."),FIND("/",SUBSTITUTE(LEFT(TRIM(C221),FIND(" ",TRIM(C221)&amp;" ")-1),",","."))-1)/MID(SUBSTITUTE(LEFT(TRIM(C221),FIND(" ",TRIM(C221)&amp;" ")-1),",","."),FIND("/",SUBSTITUTE(LEFT(TRIM(C221),FIND(" ",TRIM(C221)&amp;" ")-1),",","."))+1,9))*12,NA()))),0),36)*'Aturan &amp; Tarif'!$B$4,2)</f>
        <v>2044.08</v>
      </c>
      <c r="K221" s="32" t="n">
        <f aca="false">'Aturan &amp; Tarif'!$B$5</f>
        <v>2050</v>
      </c>
      <c r="L221" s="35" t="n">
        <f aca="false">I221+J221+K221</f>
        <v>8544.08</v>
      </c>
      <c r="M221" s="37" t="s">
        <v>134</v>
      </c>
    </row>
    <row r="222" customFormat="false" ht="25.5" hidden="false" customHeight="true" outlineLevel="0" collapsed="false">
      <c r="A222" s="29"/>
      <c r="B222" s="30" t="s">
        <v>140</v>
      </c>
      <c r="C222" s="31" t="s">
        <v>107</v>
      </c>
      <c r="D222" s="31" t="s">
        <v>108</v>
      </c>
      <c r="E222" s="32" t="n">
        <v>2750</v>
      </c>
      <c r="F222" s="32" t="n">
        <v>1600</v>
      </c>
      <c r="G222" s="32" t="n">
        <v>250</v>
      </c>
      <c r="H222" s="33" t="n">
        <v>1</v>
      </c>
      <c r="I222" s="34" t="n">
        <f aca="false">E222*H222+N(F222)+N(G222)</f>
        <v>4600</v>
      </c>
      <c r="J222" s="32" t="n">
        <f aca="false">ROUND(IFERROR(ROUND(IF(OR(ISNUMBER(SEARCH("week",C222)),ISNUMBER(SEARCH("minggu",C222))),IFERROR(_xlfn.NUMBERVALUE(SUBSTITUTE(LEFT(TRIM(C222),FIND(" ",TRIM(C222)&amp;" ")-1),",","."),"."),LEFT(SUBSTITUTE(LEFT(TRIM(C222),FIND(" ",TRIM(C222)&amp;" ")-1),",","."),FIND("/",SUBSTITUTE(LEFT(TRIM(C222),FIND(" ",TRIM(C222)&amp;" ")-1),",","."))-1)/MID(SUBSTITUTE(LEFT(TRIM(C222),FIND(" ",TRIM(C222)&amp;" ")-1),",","."),FIND("/",SUBSTITUTE(LEFT(TRIM(C222),FIND(" ",TRIM(C222)&amp;" ")-1),",","."))+1,9))*12/52,IF(ISNUMBER(SEARCH("month",C222)),IFERROR(_xlfn.NUMBERVALUE(SUBSTITUTE(LEFT(TRIM(C222),FIND(" ",TRIM(C222)&amp;" ")-1),",","."),"."),LEFT(SUBSTITUTE(LEFT(TRIM(C222),FIND(" ",TRIM(C222)&amp;" ")-1),",","."),FIND("/",SUBSTITUTE(LEFT(TRIM(C222),FIND(" ",TRIM(C222)&amp;" ")-1),",","."))-1)/MID(SUBSTITUTE(LEFT(TRIM(C222),FIND(" ",TRIM(C222)&amp;" ")-1),",","."),FIND("/",SUBSTITUTE(LEFT(TRIM(C222),FIND(" ",TRIM(C222)&amp;" ")-1),",","."))+1,9)),IF(ISNUMBER(SEARCH("yea",C222)),IFERROR(_xlfn.NUMBERVALUE(SUBSTITUTE(LEFT(TRIM(C222),FIND(" ",TRIM(C222)&amp;" ")-1),",","."),"."),LEFT(SUBSTITUTE(LEFT(TRIM(C222),FIND(" ",TRIM(C222)&amp;" ")-1),",","."),FIND("/",SUBSTITUTE(LEFT(TRIM(C222),FIND(" ",TRIM(C222)&amp;" ")-1),",","."))-1)/MID(SUBSTITUTE(LEFT(TRIM(C222),FIND(" ",TRIM(C222)&amp;" ")-1),",","."),FIND("/",SUBSTITUTE(LEFT(TRIM(C222),FIND(" ",TRIM(C222)&amp;" ")-1),",","."))+1,9))*12,NA()))),0),24)*'Aturan &amp; Tarif'!$B$4,2)</f>
        <v>1362.72</v>
      </c>
      <c r="K222" s="32" t="n">
        <f aca="false">'Aturan &amp; Tarif'!$B$5</f>
        <v>2050</v>
      </c>
      <c r="L222" s="35" t="n">
        <f aca="false">I222+J222+K222</f>
        <v>8012.72</v>
      </c>
      <c r="M222" s="37" t="s">
        <v>134</v>
      </c>
    </row>
    <row r="223" customFormat="false" ht="25.5" hidden="false" customHeight="true" outlineLevel="0" collapsed="false">
      <c r="A223" s="29"/>
      <c r="B223" s="30" t="s">
        <v>141</v>
      </c>
      <c r="C223" s="31" t="s">
        <v>127</v>
      </c>
      <c r="D223" s="31" t="s">
        <v>108</v>
      </c>
      <c r="E223" s="32" t="n">
        <v>2500</v>
      </c>
      <c r="F223" s="32" t="n">
        <v>1700</v>
      </c>
      <c r="G223" s="32" t="n">
        <v>250</v>
      </c>
      <c r="H223" s="33" t="n">
        <v>1</v>
      </c>
      <c r="I223" s="34" t="n">
        <f aca="false">E223*H223+N(F223)+N(G223)</f>
        <v>4450</v>
      </c>
      <c r="J223" s="32" t="n">
        <f aca="false">ROUND(IFERROR(ROUND(IF(OR(ISNUMBER(SEARCH("week",C223)),ISNUMBER(SEARCH("minggu",C223))),IFERROR(_xlfn.NUMBERVALUE(SUBSTITUTE(LEFT(TRIM(C223),FIND(" ",TRIM(C223)&amp;" ")-1),",","."),"."),LEFT(SUBSTITUTE(LEFT(TRIM(C223),FIND(" ",TRIM(C223)&amp;" ")-1),",","."),FIND("/",SUBSTITUTE(LEFT(TRIM(C223),FIND(" ",TRIM(C223)&amp;" ")-1),",","."))-1)/MID(SUBSTITUTE(LEFT(TRIM(C223),FIND(" ",TRIM(C223)&amp;" ")-1),",","."),FIND("/",SUBSTITUTE(LEFT(TRIM(C223),FIND(" ",TRIM(C223)&amp;" ")-1),",","."))+1,9))*12/52,IF(ISNUMBER(SEARCH("month",C223)),IFERROR(_xlfn.NUMBERVALUE(SUBSTITUTE(LEFT(TRIM(C223),FIND(" ",TRIM(C223)&amp;" ")-1),",","."),"."),LEFT(SUBSTITUTE(LEFT(TRIM(C223),FIND(" ",TRIM(C223)&amp;" ")-1),",","."),FIND("/",SUBSTITUTE(LEFT(TRIM(C223),FIND(" ",TRIM(C223)&amp;" ")-1),",","."))-1)/MID(SUBSTITUTE(LEFT(TRIM(C223),FIND(" ",TRIM(C223)&amp;" ")-1),",","."),FIND("/",SUBSTITUTE(LEFT(TRIM(C223),FIND(" ",TRIM(C223)&amp;" ")-1),",","."))+1,9)),IF(ISNUMBER(SEARCH("yea",C223)),IFERROR(_xlfn.NUMBERVALUE(SUBSTITUTE(LEFT(TRIM(C223),FIND(" ",TRIM(C223)&amp;" ")-1),",","."),"."),LEFT(SUBSTITUTE(LEFT(TRIM(C223),FIND(" ",TRIM(C223)&amp;" ")-1),",","."),FIND("/",SUBSTITUTE(LEFT(TRIM(C223),FIND(" ",TRIM(C223)&amp;" ")-1),",","."))-1)/MID(SUBSTITUTE(LEFT(TRIM(C223),FIND(" ",TRIM(C223)&amp;" ")-1),",","."),FIND("/",SUBSTITUTE(LEFT(TRIM(C223),FIND(" ",TRIM(C223)&amp;" ")-1),",","."))+1,9))*12,NA()))),0),36)*'Aturan &amp; Tarif'!$B$4,2)</f>
        <v>2044.08</v>
      </c>
      <c r="K223" s="32" t="n">
        <f aca="false">'Aturan &amp; Tarif'!$B$5</f>
        <v>2050</v>
      </c>
      <c r="L223" s="35" t="n">
        <f aca="false">I223+J223+K223</f>
        <v>8544.08</v>
      </c>
      <c r="M223" s="37" t="s">
        <v>134</v>
      </c>
    </row>
    <row r="224" customFormat="false" ht="25.5" hidden="false" customHeight="true" outlineLevel="0" collapsed="false">
      <c r="A224" s="29"/>
      <c r="B224" s="30" t="s">
        <v>142</v>
      </c>
      <c r="C224" s="31" t="s">
        <v>107</v>
      </c>
      <c r="D224" s="31" t="s">
        <v>108</v>
      </c>
      <c r="E224" s="32" t="n">
        <v>2625</v>
      </c>
      <c r="F224" s="32" t="n">
        <v>1700</v>
      </c>
      <c r="G224" s="32" t="n">
        <v>250</v>
      </c>
      <c r="H224" s="33" t="n">
        <v>1</v>
      </c>
      <c r="I224" s="34" t="n">
        <f aca="false">E224*H224+N(F224)+N(G224)</f>
        <v>4575</v>
      </c>
      <c r="J224" s="32" t="n">
        <f aca="false">ROUND(IFERROR(ROUND(IF(OR(ISNUMBER(SEARCH("week",C224)),ISNUMBER(SEARCH("minggu",C224))),IFERROR(_xlfn.NUMBERVALUE(SUBSTITUTE(LEFT(TRIM(C224),FIND(" ",TRIM(C224)&amp;" ")-1),",","."),"."),LEFT(SUBSTITUTE(LEFT(TRIM(C224),FIND(" ",TRIM(C224)&amp;" ")-1),",","."),FIND("/",SUBSTITUTE(LEFT(TRIM(C224),FIND(" ",TRIM(C224)&amp;" ")-1),",","."))-1)/MID(SUBSTITUTE(LEFT(TRIM(C224),FIND(" ",TRIM(C224)&amp;" ")-1),",","."),FIND("/",SUBSTITUTE(LEFT(TRIM(C224),FIND(" ",TRIM(C224)&amp;" ")-1),",","."))+1,9))*12/52,IF(ISNUMBER(SEARCH("month",C224)),IFERROR(_xlfn.NUMBERVALUE(SUBSTITUTE(LEFT(TRIM(C224),FIND(" ",TRIM(C224)&amp;" ")-1),",","."),"."),LEFT(SUBSTITUTE(LEFT(TRIM(C224),FIND(" ",TRIM(C224)&amp;" ")-1),",","."),FIND("/",SUBSTITUTE(LEFT(TRIM(C224),FIND(" ",TRIM(C224)&amp;" ")-1),",","."))-1)/MID(SUBSTITUTE(LEFT(TRIM(C224),FIND(" ",TRIM(C224)&amp;" ")-1),",","."),FIND("/",SUBSTITUTE(LEFT(TRIM(C224),FIND(" ",TRIM(C224)&amp;" ")-1),",","."))+1,9)),IF(ISNUMBER(SEARCH("yea",C224)),IFERROR(_xlfn.NUMBERVALUE(SUBSTITUTE(LEFT(TRIM(C224),FIND(" ",TRIM(C224)&amp;" ")-1),",","."),"."),LEFT(SUBSTITUTE(LEFT(TRIM(C224),FIND(" ",TRIM(C224)&amp;" ")-1),",","."),FIND("/",SUBSTITUTE(LEFT(TRIM(C224),FIND(" ",TRIM(C224)&amp;" ")-1),",","."))-1)/MID(SUBSTITUTE(LEFT(TRIM(C224),FIND(" ",TRIM(C224)&amp;" ")-1),",","."),FIND("/",SUBSTITUTE(LEFT(TRIM(C224),FIND(" ",TRIM(C224)&amp;" ")-1),",","."))+1,9))*12,NA()))),0),24)*'Aturan &amp; Tarif'!$B$4,2)</f>
        <v>1362.72</v>
      </c>
      <c r="K224" s="32" t="n">
        <f aca="false">'Aturan &amp; Tarif'!$B$5</f>
        <v>2050</v>
      </c>
      <c r="L224" s="35" t="n">
        <f aca="false">I224+J224+K224</f>
        <v>7987.72</v>
      </c>
      <c r="M224" s="37" t="s">
        <v>134</v>
      </c>
    </row>
    <row r="225" customFormat="false" ht="25.5" hidden="false" customHeight="true" outlineLevel="0" collapsed="false">
      <c r="A225" s="29"/>
      <c r="B225" s="30" t="s">
        <v>143</v>
      </c>
      <c r="C225" s="31" t="s">
        <v>107</v>
      </c>
      <c r="D225" s="31" t="s">
        <v>108</v>
      </c>
      <c r="E225" s="32" t="n">
        <v>2625</v>
      </c>
      <c r="F225" s="32" t="n">
        <v>3000</v>
      </c>
      <c r="G225" s="32" t="n">
        <v>250</v>
      </c>
      <c r="H225" s="33" t="n">
        <v>1</v>
      </c>
      <c r="I225" s="34" t="n">
        <f aca="false">E225*H225+N(F225)+N(G225)</f>
        <v>5875</v>
      </c>
      <c r="J225" s="32" t="n">
        <f aca="false">ROUND(IFERROR(ROUND(IF(OR(ISNUMBER(SEARCH("week",C225)),ISNUMBER(SEARCH("minggu",C225))),IFERROR(_xlfn.NUMBERVALUE(SUBSTITUTE(LEFT(TRIM(C225),FIND(" ",TRIM(C225)&amp;" ")-1),",","."),"."),LEFT(SUBSTITUTE(LEFT(TRIM(C225),FIND(" ",TRIM(C225)&amp;" ")-1),",","."),FIND("/",SUBSTITUTE(LEFT(TRIM(C225),FIND(" ",TRIM(C225)&amp;" ")-1),",","."))-1)/MID(SUBSTITUTE(LEFT(TRIM(C225),FIND(" ",TRIM(C225)&amp;" ")-1),",","."),FIND("/",SUBSTITUTE(LEFT(TRIM(C225),FIND(" ",TRIM(C225)&amp;" ")-1),",","."))+1,9))*12/52,IF(ISNUMBER(SEARCH("month",C225)),IFERROR(_xlfn.NUMBERVALUE(SUBSTITUTE(LEFT(TRIM(C225),FIND(" ",TRIM(C225)&amp;" ")-1),",","."),"."),LEFT(SUBSTITUTE(LEFT(TRIM(C225),FIND(" ",TRIM(C225)&amp;" ")-1),",","."),FIND("/",SUBSTITUTE(LEFT(TRIM(C225),FIND(" ",TRIM(C225)&amp;" ")-1),",","."))-1)/MID(SUBSTITUTE(LEFT(TRIM(C225),FIND(" ",TRIM(C225)&amp;" ")-1),",","."),FIND("/",SUBSTITUTE(LEFT(TRIM(C225),FIND(" ",TRIM(C225)&amp;" ")-1),",","."))+1,9)),IF(ISNUMBER(SEARCH("yea",C225)),IFERROR(_xlfn.NUMBERVALUE(SUBSTITUTE(LEFT(TRIM(C225),FIND(" ",TRIM(C225)&amp;" ")-1),",","."),"."),LEFT(SUBSTITUTE(LEFT(TRIM(C225),FIND(" ",TRIM(C225)&amp;" ")-1),",","."),FIND("/",SUBSTITUTE(LEFT(TRIM(C225),FIND(" ",TRIM(C225)&amp;" ")-1),",","."))-1)/MID(SUBSTITUTE(LEFT(TRIM(C225),FIND(" ",TRIM(C225)&amp;" ")-1),",","."),FIND("/",SUBSTITUTE(LEFT(TRIM(C225),FIND(" ",TRIM(C225)&amp;" ")-1),",","."))+1,9))*12,NA()))),0),24)*'Aturan &amp; Tarif'!$B$4,2)</f>
        <v>1362.72</v>
      </c>
      <c r="K225" s="32" t="n">
        <f aca="false">'Aturan &amp; Tarif'!$B$5</f>
        <v>2050</v>
      </c>
      <c r="L225" s="35" t="n">
        <f aca="false">I225+J225+K225</f>
        <v>9287.72</v>
      </c>
      <c r="M225" s="37" t="s">
        <v>134</v>
      </c>
    </row>
    <row r="226" customFormat="false" ht="25.5" hidden="false" customHeight="true" outlineLevel="0" collapsed="false">
      <c r="A226" s="29"/>
      <c r="B226" s="30" t="s">
        <v>144</v>
      </c>
      <c r="C226" s="31" t="s">
        <v>107</v>
      </c>
      <c r="D226" s="31" t="s">
        <v>108</v>
      </c>
      <c r="E226" s="32" t="n">
        <v>2625</v>
      </c>
      <c r="F226" s="32" t="n">
        <v>3000</v>
      </c>
      <c r="G226" s="32" t="n">
        <v>250</v>
      </c>
      <c r="H226" s="33" t="n">
        <v>1</v>
      </c>
      <c r="I226" s="34" t="n">
        <f aca="false">E226*H226+N(F226)+N(G226)</f>
        <v>5875</v>
      </c>
      <c r="J226" s="32" t="n">
        <f aca="false">ROUND(IFERROR(ROUND(IF(OR(ISNUMBER(SEARCH("week",C226)),ISNUMBER(SEARCH("minggu",C226))),IFERROR(_xlfn.NUMBERVALUE(SUBSTITUTE(LEFT(TRIM(C226),FIND(" ",TRIM(C226)&amp;" ")-1),",","."),"."),LEFT(SUBSTITUTE(LEFT(TRIM(C226),FIND(" ",TRIM(C226)&amp;" ")-1),",","."),FIND("/",SUBSTITUTE(LEFT(TRIM(C226),FIND(" ",TRIM(C226)&amp;" ")-1),",","."))-1)/MID(SUBSTITUTE(LEFT(TRIM(C226),FIND(" ",TRIM(C226)&amp;" ")-1),",","."),FIND("/",SUBSTITUTE(LEFT(TRIM(C226),FIND(" ",TRIM(C226)&amp;" ")-1),",","."))+1,9))*12/52,IF(ISNUMBER(SEARCH("month",C226)),IFERROR(_xlfn.NUMBERVALUE(SUBSTITUTE(LEFT(TRIM(C226),FIND(" ",TRIM(C226)&amp;" ")-1),",","."),"."),LEFT(SUBSTITUTE(LEFT(TRIM(C226),FIND(" ",TRIM(C226)&amp;" ")-1),",","."),FIND("/",SUBSTITUTE(LEFT(TRIM(C226),FIND(" ",TRIM(C226)&amp;" ")-1),",","."))-1)/MID(SUBSTITUTE(LEFT(TRIM(C226),FIND(" ",TRIM(C226)&amp;" ")-1),",","."),FIND("/",SUBSTITUTE(LEFT(TRIM(C226),FIND(" ",TRIM(C226)&amp;" ")-1),",","."))+1,9)),IF(ISNUMBER(SEARCH("yea",C226)),IFERROR(_xlfn.NUMBERVALUE(SUBSTITUTE(LEFT(TRIM(C226),FIND(" ",TRIM(C226)&amp;" ")-1),",","."),"."),LEFT(SUBSTITUTE(LEFT(TRIM(C226),FIND(" ",TRIM(C226)&amp;" ")-1),",","."),FIND("/",SUBSTITUTE(LEFT(TRIM(C226),FIND(" ",TRIM(C226)&amp;" ")-1),",","."))-1)/MID(SUBSTITUTE(LEFT(TRIM(C226),FIND(" ",TRIM(C226)&amp;" ")-1),",","."),FIND("/",SUBSTITUTE(LEFT(TRIM(C226),FIND(" ",TRIM(C226)&amp;" ")-1),",","."))+1,9))*12,NA()))),0),24)*'Aturan &amp; Tarif'!$B$4,2)</f>
        <v>1362.72</v>
      </c>
      <c r="K226" s="32" t="n">
        <f aca="false">'Aturan &amp; Tarif'!$B$5</f>
        <v>2050</v>
      </c>
      <c r="L226" s="35" t="n">
        <f aca="false">I226+J226+K226</f>
        <v>9287.72</v>
      </c>
      <c r="M226" s="37" t="s">
        <v>134</v>
      </c>
    </row>
    <row r="227" customFormat="false" ht="25.5" hidden="false" customHeight="true" outlineLevel="0" collapsed="false">
      <c r="A227" s="29"/>
      <c r="B227" s="30" t="s">
        <v>810</v>
      </c>
      <c r="C227" s="31" t="s">
        <v>107</v>
      </c>
      <c r="D227" s="31" t="s">
        <v>108</v>
      </c>
      <c r="E227" s="32" t="n">
        <v>2625</v>
      </c>
      <c r="F227" s="32" t="n">
        <v>3000</v>
      </c>
      <c r="G227" s="32" t="n">
        <v>250</v>
      </c>
      <c r="H227" s="33" t="n">
        <v>1</v>
      </c>
      <c r="I227" s="34" t="n">
        <f aca="false">E227*H227+N(F227)+N(G227)</f>
        <v>5875</v>
      </c>
      <c r="J227" s="32" t="n">
        <f aca="false">ROUND(IFERROR(ROUND(IF(OR(ISNUMBER(SEARCH("week",C227)),ISNUMBER(SEARCH("minggu",C227))),IFERROR(_xlfn.NUMBERVALUE(SUBSTITUTE(LEFT(TRIM(C227),FIND(" ",TRIM(C227)&amp;" ")-1),",","."),"."),LEFT(SUBSTITUTE(LEFT(TRIM(C227),FIND(" ",TRIM(C227)&amp;" ")-1),",","."),FIND("/",SUBSTITUTE(LEFT(TRIM(C227),FIND(" ",TRIM(C227)&amp;" ")-1),",","."))-1)/MID(SUBSTITUTE(LEFT(TRIM(C227),FIND(" ",TRIM(C227)&amp;" ")-1),",","."),FIND("/",SUBSTITUTE(LEFT(TRIM(C227),FIND(" ",TRIM(C227)&amp;" ")-1),",","."))+1,9))*12/52,IF(ISNUMBER(SEARCH("month",C227)),IFERROR(_xlfn.NUMBERVALUE(SUBSTITUTE(LEFT(TRIM(C227),FIND(" ",TRIM(C227)&amp;" ")-1),",","."),"."),LEFT(SUBSTITUTE(LEFT(TRIM(C227),FIND(" ",TRIM(C227)&amp;" ")-1),",","."),FIND("/",SUBSTITUTE(LEFT(TRIM(C227),FIND(" ",TRIM(C227)&amp;" ")-1),",","."))-1)/MID(SUBSTITUTE(LEFT(TRIM(C227),FIND(" ",TRIM(C227)&amp;" ")-1),",","."),FIND("/",SUBSTITUTE(LEFT(TRIM(C227),FIND(" ",TRIM(C227)&amp;" ")-1),",","."))+1,9)),IF(ISNUMBER(SEARCH("yea",C227)),IFERROR(_xlfn.NUMBERVALUE(SUBSTITUTE(LEFT(TRIM(C227),FIND(" ",TRIM(C227)&amp;" ")-1),",","."),"."),LEFT(SUBSTITUTE(LEFT(TRIM(C227),FIND(" ",TRIM(C227)&amp;" ")-1),",","."),FIND("/",SUBSTITUTE(LEFT(TRIM(C227),FIND(" ",TRIM(C227)&amp;" ")-1),",","."))-1)/MID(SUBSTITUTE(LEFT(TRIM(C227),FIND(" ",TRIM(C227)&amp;" ")-1),",","."),FIND("/",SUBSTITUTE(LEFT(TRIM(C227),FIND(" ",TRIM(C227)&amp;" ")-1),",","."))+1,9))*12,NA()))),0),24)*'Aturan &amp; Tarif'!$B$4,2)</f>
        <v>1362.72</v>
      </c>
      <c r="K227" s="32" t="n">
        <f aca="false">'Aturan &amp; Tarif'!$B$5</f>
        <v>2050</v>
      </c>
      <c r="L227" s="35" t="n">
        <f aca="false">I227+J227+K227</f>
        <v>9287.72</v>
      </c>
      <c r="M227" s="37" t="s">
        <v>134</v>
      </c>
    </row>
    <row r="228" customFormat="false" ht="37.5" hidden="false" customHeight="true" outlineLevel="0" collapsed="false">
      <c r="A228" s="29"/>
      <c r="B228" s="30" t="s">
        <v>809</v>
      </c>
      <c r="C228" s="31" t="s">
        <v>107</v>
      </c>
      <c r="D228" s="31" t="s">
        <v>108</v>
      </c>
      <c r="E228" s="32" t="n">
        <v>2625</v>
      </c>
      <c r="F228" s="32" t="n">
        <v>3000</v>
      </c>
      <c r="G228" s="32" t="n">
        <v>250</v>
      </c>
      <c r="H228" s="33" t="n">
        <v>1</v>
      </c>
      <c r="I228" s="34" t="n">
        <f aca="false">E228*H228+N(F228)+N(G228)</f>
        <v>5875</v>
      </c>
      <c r="J228" s="32" t="n">
        <f aca="false">ROUND(IFERROR(ROUND(IF(OR(ISNUMBER(SEARCH("week",C228)),ISNUMBER(SEARCH("minggu",C228))),IFERROR(_xlfn.NUMBERVALUE(SUBSTITUTE(LEFT(TRIM(C228),FIND(" ",TRIM(C228)&amp;" ")-1),",","."),"."),LEFT(SUBSTITUTE(LEFT(TRIM(C228),FIND(" ",TRIM(C228)&amp;" ")-1),",","."),FIND("/",SUBSTITUTE(LEFT(TRIM(C228),FIND(" ",TRIM(C228)&amp;" ")-1),",","."))-1)/MID(SUBSTITUTE(LEFT(TRIM(C228),FIND(" ",TRIM(C228)&amp;" ")-1),",","."),FIND("/",SUBSTITUTE(LEFT(TRIM(C228),FIND(" ",TRIM(C228)&amp;" ")-1),",","."))+1,9))*12/52,IF(ISNUMBER(SEARCH("month",C228)),IFERROR(_xlfn.NUMBERVALUE(SUBSTITUTE(LEFT(TRIM(C228),FIND(" ",TRIM(C228)&amp;" ")-1),",","."),"."),LEFT(SUBSTITUTE(LEFT(TRIM(C228),FIND(" ",TRIM(C228)&amp;" ")-1),",","."),FIND("/",SUBSTITUTE(LEFT(TRIM(C228),FIND(" ",TRIM(C228)&amp;" ")-1),",","."))-1)/MID(SUBSTITUTE(LEFT(TRIM(C228),FIND(" ",TRIM(C228)&amp;" ")-1),",","."),FIND("/",SUBSTITUTE(LEFT(TRIM(C228),FIND(" ",TRIM(C228)&amp;" ")-1),",","."))+1,9)),IF(ISNUMBER(SEARCH("yea",C228)),IFERROR(_xlfn.NUMBERVALUE(SUBSTITUTE(LEFT(TRIM(C228),FIND(" ",TRIM(C228)&amp;" ")-1),",","."),"."),LEFT(SUBSTITUTE(LEFT(TRIM(C228),FIND(" ",TRIM(C228)&amp;" ")-1),",","."),FIND("/",SUBSTITUTE(LEFT(TRIM(C228),FIND(" ",TRIM(C228)&amp;" ")-1),",","."))-1)/MID(SUBSTITUTE(LEFT(TRIM(C228),FIND(" ",TRIM(C228)&amp;" ")-1),",","."),FIND("/",SUBSTITUTE(LEFT(TRIM(C228),FIND(" ",TRIM(C228)&amp;" ")-1),",","."))+1,9))*12,NA()))),0),24)*'Aturan &amp; Tarif'!$B$4,2)</f>
        <v>1362.72</v>
      </c>
      <c r="K228" s="32" t="n">
        <f aca="false">'Aturan &amp; Tarif'!$B$5</f>
        <v>2050</v>
      </c>
      <c r="L228" s="35" t="n">
        <f aca="false">I228+J228+K228</f>
        <v>9287.72</v>
      </c>
      <c r="M228" s="37" t="s">
        <v>134</v>
      </c>
    </row>
    <row r="229" customFormat="false" ht="37.5" hidden="false" customHeight="true" outlineLevel="0" collapsed="false">
      <c r="A229" s="29"/>
      <c r="B229" s="30" t="s">
        <v>2811</v>
      </c>
      <c r="C229" s="31" t="s">
        <v>107</v>
      </c>
      <c r="D229" s="31" t="s">
        <v>108</v>
      </c>
      <c r="E229" s="32" t="n">
        <v>2625</v>
      </c>
      <c r="F229" s="32" t="n">
        <v>3000</v>
      </c>
      <c r="G229" s="32" t="n">
        <v>250</v>
      </c>
      <c r="H229" s="33" t="n">
        <v>1</v>
      </c>
      <c r="I229" s="34" t="n">
        <f aca="false">E229*H229+N(F229)+N(G229)</f>
        <v>5875</v>
      </c>
      <c r="J229" s="32" t="n">
        <f aca="false">ROUND(IFERROR(ROUND(IF(OR(ISNUMBER(SEARCH("week",C229)),ISNUMBER(SEARCH("minggu",C229))),IFERROR(_xlfn.NUMBERVALUE(SUBSTITUTE(LEFT(TRIM(C229),FIND(" ",TRIM(C229)&amp;" ")-1),",","."),"."),LEFT(SUBSTITUTE(LEFT(TRIM(C229),FIND(" ",TRIM(C229)&amp;" ")-1),",","."),FIND("/",SUBSTITUTE(LEFT(TRIM(C229),FIND(" ",TRIM(C229)&amp;" ")-1),",","."))-1)/MID(SUBSTITUTE(LEFT(TRIM(C229),FIND(" ",TRIM(C229)&amp;" ")-1),",","."),FIND("/",SUBSTITUTE(LEFT(TRIM(C229),FIND(" ",TRIM(C229)&amp;" ")-1),",","."))+1,9))*12/52,IF(ISNUMBER(SEARCH("month",C229)),IFERROR(_xlfn.NUMBERVALUE(SUBSTITUTE(LEFT(TRIM(C229),FIND(" ",TRIM(C229)&amp;" ")-1),",","."),"."),LEFT(SUBSTITUTE(LEFT(TRIM(C229),FIND(" ",TRIM(C229)&amp;" ")-1),",","."),FIND("/",SUBSTITUTE(LEFT(TRIM(C229),FIND(" ",TRIM(C229)&amp;" ")-1),",","."))-1)/MID(SUBSTITUTE(LEFT(TRIM(C229),FIND(" ",TRIM(C229)&amp;" ")-1),",","."),FIND("/",SUBSTITUTE(LEFT(TRIM(C229),FIND(" ",TRIM(C229)&amp;" ")-1),",","."))+1,9)),IF(ISNUMBER(SEARCH("yea",C229)),IFERROR(_xlfn.NUMBERVALUE(SUBSTITUTE(LEFT(TRIM(C229),FIND(" ",TRIM(C229)&amp;" ")-1),",","."),"."),LEFT(SUBSTITUTE(LEFT(TRIM(C229),FIND(" ",TRIM(C229)&amp;" ")-1),",","."),FIND("/",SUBSTITUTE(LEFT(TRIM(C229),FIND(" ",TRIM(C229)&amp;" ")-1),",","."))-1)/MID(SUBSTITUTE(LEFT(TRIM(C229),FIND(" ",TRIM(C229)&amp;" ")-1),",","."),FIND("/",SUBSTITUTE(LEFT(TRIM(C229),FIND(" ",TRIM(C229)&amp;" ")-1),",","."))+1,9))*12,NA()))),0),24)*'Aturan &amp; Tarif'!$B$4,2)</f>
        <v>1362.72</v>
      </c>
      <c r="K229" s="32" t="n">
        <f aca="false">'Aturan &amp; Tarif'!$B$5</f>
        <v>2050</v>
      </c>
      <c r="L229" s="35" t="n">
        <f aca="false">I229+J229+K229</f>
        <v>9287.72</v>
      </c>
      <c r="M229" s="37" t="s">
        <v>134</v>
      </c>
    </row>
    <row r="230" customFormat="false" ht="37.5" hidden="false" customHeight="true" outlineLevel="0" collapsed="false">
      <c r="A230" s="29"/>
      <c r="B230" s="30" t="s">
        <v>2812</v>
      </c>
      <c r="C230" s="31" t="s">
        <v>107</v>
      </c>
      <c r="D230" s="31" t="s">
        <v>108</v>
      </c>
      <c r="E230" s="32" t="n">
        <v>2625</v>
      </c>
      <c r="F230" s="32" t="n">
        <v>3000</v>
      </c>
      <c r="G230" s="32" t="n">
        <v>250</v>
      </c>
      <c r="H230" s="33" t="n">
        <v>1</v>
      </c>
      <c r="I230" s="34" t="n">
        <f aca="false">E230*H230+N(F230)+N(G230)</f>
        <v>5875</v>
      </c>
      <c r="J230" s="32" t="n">
        <f aca="false">ROUND(IFERROR(ROUND(IF(OR(ISNUMBER(SEARCH("week",C230)),ISNUMBER(SEARCH("minggu",C230))),IFERROR(_xlfn.NUMBERVALUE(SUBSTITUTE(LEFT(TRIM(C230),FIND(" ",TRIM(C230)&amp;" ")-1),",","."),"."),LEFT(SUBSTITUTE(LEFT(TRIM(C230),FIND(" ",TRIM(C230)&amp;" ")-1),",","."),FIND("/",SUBSTITUTE(LEFT(TRIM(C230),FIND(" ",TRIM(C230)&amp;" ")-1),",","."))-1)/MID(SUBSTITUTE(LEFT(TRIM(C230),FIND(" ",TRIM(C230)&amp;" ")-1),",","."),FIND("/",SUBSTITUTE(LEFT(TRIM(C230),FIND(" ",TRIM(C230)&amp;" ")-1),",","."))+1,9))*12/52,IF(ISNUMBER(SEARCH("month",C230)),IFERROR(_xlfn.NUMBERVALUE(SUBSTITUTE(LEFT(TRIM(C230),FIND(" ",TRIM(C230)&amp;" ")-1),",","."),"."),LEFT(SUBSTITUTE(LEFT(TRIM(C230),FIND(" ",TRIM(C230)&amp;" ")-1),",","."),FIND("/",SUBSTITUTE(LEFT(TRIM(C230),FIND(" ",TRIM(C230)&amp;" ")-1),",","."))-1)/MID(SUBSTITUTE(LEFT(TRIM(C230),FIND(" ",TRIM(C230)&amp;" ")-1),",","."),FIND("/",SUBSTITUTE(LEFT(TRIM(C230),FIND(" ",TRIM(C230)&amp;" ")-1),",","."))+1,9)),IF(ISNUMBER(SEARCH("yea",C230)),IFERROR(_xlfn.NUMBERVALUE(SUBSTITUTE(LEFT(TRIM(C230),FIND(" ",TRIM(C230)&amp;" ")-1),",","."),"."),LEFT(SUBSTITUTE(LEFT(TRIM(C230),FIND(" ",TRIM(C230)&amp;" ")-1),",","."),FIND("/",SUBSTITUTE(LEFT(TRIM(C230),FIND(" ",TRIM(C230)&amp;" ")-1),",","."))-1)/MID(SUBSTITUTE(LEFT(TRIM(C230),FIND(" ",TRIM(C230)&amp;" ")-1),",","."),FIND("/",SUBSTITUTE(LEFT(TRIM(C230),FIND(" ",TRIM(C230)&amp;" ")-1),",","."))+1,9))*12,NA()))),0),24)*'Aturan &amp; Tarif'!$B$4,2)</f>
        <v>1362.72</v>
      </c>
      <c r="K230" s="32" t="n">
        <f aca="false">'Aturan &amp; Tarif'!$B$5</f>
        <v>2050</v>
      </c>
      <c r="L230" s="35" t="n">
        <f aca="false">I230+J230+K230</f>
        <v>9287.72</v>
      </c>
      <c r="M230" s="37" t="s">
        <v>134</v>
      </c>
    </row>
    <row r="231" customFormat="false" ht="37.5" hidden="false" customHeight="true" outlineLevel="0" collapsed="false">
      <c r="A231" s="29"/>
      <c r="B231" s="30" t="s">
        <v>807</v>
      </c>
      <c r="C231" s="31" t="s">
        <v>107</v>
      </c>
      <c r="D231" s="31" t="s">
        <v>108</v>
      </c>
      <c r="E231" s="32" t="n">
        <v>2500</v>
      </c>
      <c r="F231" s="32" t="n">
        <v>1800</v>
      </c>
      <c r="G231" s="32" t="n">
        <v>250</v>
      </c>
      <c r="H231" s="33" t="n">
        <v>1</v>
      </c>
      <c r="I231" s="34" t="n">
        <f aca="false">E231*H231+N(F231)+N(G231)</f>
        <v>4550</v>
      </c>
      <c r="J231" s="32" t="n">
        <f aca="false">ROUND(IFERROR(ROUND(IF(OR(ISNUMBER(SEARCH("week",C231)),ISNUMBER(SEARCH("minggu",C231))),IFERROR(_xlfn.NUMBERVALUE(SUBSTITUTE(LEFT(TRIM(C231),FIND(" ",TRIM(C231)&amp;" ")-1),",","."),"."),LEFT(SUBSTITUTE(LEFT(TRIM(C231),FIND(" ",TRIM(C231)&amp;" ")-1),",","."),FIND("/",SUBSTITUTE(LEFT(TRIM(C231),FIND(" ",TRIM(C231)&amp;" ")-1),",","."))-1)/MID(SUBSTITUTE(LEFT(TRIM(C231),FIND(" ",TRIM(C231)&amp;" ")-1),",","."),FIND("/",SUBSTITUTE(LEFT(TRIM(C231),FIND(" ",TRIM(C231)&amp;" ")-1),",","."))+1,9))*12/52,IF(ISNUMBER(SEARCH("month",C231)),IFERROR(_xlfn.NUMBERVALUE(SUBSTITUTE(LEFT(TRIM(C231),FIND(" ",TRIM(C231)&amp;" ")-1),",","."),"."),LEFT(SUBSTITUTE(LEFT(TRIM(C231),FIND(" ",TRIM(C231)&amp;" ")-1),",","."),FIND("/",SUBSTITUTE(LEFT(TRIM(C231),FIND(" ",TRIM(C231)&amp;" ")-1),",","."))-1)/MID(SUBSTITUTE(LEFT(TRIM(C231),FIND(" ",TRIM(C231)&amp;" ")-1),",","."),FIND("/",SUBSTITUTE(LEFT(TRIM(C231),FIND(" ",TRIM(C231)&amp;" ")-1),",","."))+1,9)),IF(ISNUMBER(SEARCH("yea",C231)),IFERROR(_xlfn.NUMBERVALUE(SUBSTITUTE(LEFT(TRIM(C231),FIND(" ",TRIM(C231)&amp;" ")-1),",","."),"."),LEFT(SUBSTITUTE(LEFT(TRIM(C231),FIND(" ",TRIM(C231)&amp;" ")-1),",","."),FIND("/",SUBSTITUTE(LEFT(TRIM(C231),FIND(" ",TRIM(C231)&amp;" ")-1),",","."))-1)/MID(SUBSTITUTE(LEFT(TRIM(C231),FIND(" ",TRIM(C231)&amp;" ")-1),",","."),FIND("/",SUBSTITUTE(LEFT(TRIM(C231),FIND(" ",TRIM(C231)&amp;" ")-1),",","."))+1,9))*12,NA()))),0),24)*'Aturan &amp; Tarif'!$B$4,2)</f>
        <v>1362.72</v>
      </c>
      <c r="K231" s="32" t="n">
        <f aca="false">'Aturan &amp; Tarif'!$B$5</f>
        <v>2050</v>
      </c>
      <c r="L231" s="35" t="n">
        <f aca="false">I231+J231+K231</f>
        <v>7962.72</v>
      </c>
      <c r="M231" s="37" t="s">
        <v>134</v>
      </c>
    </row>
    <row r="232" customFormat="false" ht="14.25" hidden="false" customHeight="true" outlineLevel="0" collapsed="false">
      <c r="A232" s="29"/>
      <c r="B232" s="30" t="s">
        <v>2813</v>
      </c>
      <c r="C232" s="31" t="s">
        <v>107</v>
      </c>
      <c r="D232" s="31" t="s">
        <v>108</v>
      </c>
      <c r="E232" s="32" t="n">
        <v>2500</v>
      </c>
      <c r="F232" s="32" t="n">
        <v>1800</v>
      </c>
      <c r="G232" s="32" t="n">
        <v>250</v>
      </c>
      <c r="H232" s="33" t="n">
        <v>1</v>
      </c>
      <c r="I232" s="34" t="n">
        <f aca="false">E232*H232+N(F232)+N(G232)</f>
        <v>4550</v>
      </c>
      <c r="J232" s="32" t="n">
        <f aca="false">ROUND(IFERROR(ROUND(IF(OR(ISNUMBER(SEARCH("week",C232)),ISNUMBER(SEARCH("minggu",C232))),IFERROR(_xlfn.NUMBERVALUE(SUBSTITUTE(LEFT(TRIM(C232),FIND(" ",TRIM(C232)&amp;" ")-1),",","."),"."),LEFT(SUBSTITUTE(LEFT(TRIM(C232),FIND(" ",TRIM(C232)&amp;" ")-1),",","."),FIND("/",SUBSTITUTE(LEFT(TRIM(C232),FIND(" ",TRIM(C232)&amp;" ")-1),",","."))-1)/MID(SUBSTITUTE(LEFT(TRIM(C232),FIND(" ",TRIM(C232)&amp;" ")-1),",","."),FIND("/",SUBSTITUTE(LEFT(TRIM(C232),FIND(" ",TRIM(C232)&amp;" ")-1),",","."))+1,9))*12/52,IF(ISNUMBER(SEARCH("month",C232)),IFERROR(_xlfn.NUMBERVALUE(SUBSTITUTE(LEFT(TRIM(C232),FIND(" ",TRIM(C232)&amp;" ")-1),",","."),"."),LEFT(SUBSTITUTE(LEFT(TRIM(C232),FIND(" ",TRIM(C232)&amp;" ")-1),",","."),FIND("/",SUBSTITUTE(LEFT(TRIM(C232),FIND(" ",TRIM(C232)&amp;" ")-1),",","."))-1)/MID(SUBSTITUTE(LEFT(TRIM(C232),FIND(" ",TRIM(C232)&amp;" ")-1),",","."),FIND("/",SUBSTITUTE(LEFT(TRIM(C232),FIND(" ",TRIM(C232)&amp;" ")-1),",","."))+1,9)),IF(ISNUMBER(SEARCH("yea",C232)),IFERROR(_xlfn.NUMBERVALUE(SUBSTITUTE(LEFT(TRIM(C232),FIND(" ",TRIM(C232)&amp;" ")-1),",","."),"."),LEFT(SUBSTITUTE(LEFT(TRIM(C232),FIND(" ",TRIM(C232)&amp;" ")-1),",","."),FIND("/",SUBSTITUTE(LEFT(TRIM(C232),FIND(" ",TRIM(C232)&amp;" ")-1),",","."))-1)/MID(SUBSTITUTE(LEFT(TRIM(C232),FIND(" ",TRIM(C232)&amp;" ")-1),",","."),FIND("/",SUBSTITUTE(LEFT(TRIM(C232),FIND(" ",TRIM(C232)&amp;" ")-1),",","."))+1,9))*12,NA()))),0),24)*'Aturan &amp; Tarif'!$B$4,2)</f>
        <v>1362.72</v>
      </c>
      <c r="K232" s="32" t="n">
        <f aca="false">'Aturan &amp; Tarif'!$B$5</f>
        <v>2050</v>
      </c>
      <c r="L232" s="35" t="n">
        <f aca="false">I232+J232+K232</f>
        <v>7962.72</v>
      </c>
      <c r="M232" s="37" t="s">
        <v>134</v>
      </c>
    </row>
    <row r="233" customFormat="false" ht="14.25" hidden="false" customHeight="true" outlineLevel="0" collapsed="false">
      <c r="A233" s="29"/>
      <c r="B233" s="30" t="s">
        <v>2814</v>
      </c>
      <c r="C233" s="31" t="s">
        <v>107</v>
      </c>
      <c r="D233" s="31" t="s">
        <v>108</v>
      </c>
      <c r="E233" s="32" t="n">
        <v>2200</v>
      </c>
      <c r="F233" s="32" t="n">
        <v>500</v>
      </c>
      <c r="G233" s="32" t="n">
        <v>250</v>
      </c>
      <c r="H233" s="33" t="n">
        <v>1</v>
      </c>
      <c r="I233" s="34" t="n">
        <f aca="false">E233*H233+N(F233)+N(G233)</f>
        <v>2950</v>
      </c>
      <c r="J233" s="32" t="n">
        <f aca="false">ROUND(IFERROR(ROUND(IF(OR(ISNUMBER(SEARCH("week",C233)),ISNUMBER(SEARCH("minggu",C233))),IFERROR(_xlfn.NUMBERVALUE(SUBSTITUTE(LEFT(TRIM(C233),FIND(" ",TRIM(C233)&amp;" ")-1),",","."),"."),LEFT(SUBSTITUTE(LEFT(TRIM(C233),FIND(" ",TRIM(C233)&amp;" ")-1),",","."),FIND("/",SUBSTITUTE(LEFT(TRIM(C233),FIND(" ",TRIM(C233)&amp;" ")-1),",","."))-1)/MID(SUBSTITUTE(LEFT(TRIM(C233),FIND(" ",TRIM(C233)&amp;" ")-1),",","."),FIND("/",SUBSTITUTE(LEFT(TRIM(C233),FIND(" ",TRIM(C233)&amp;" ")-1),",","."))+1,9))*12/52,IF(ISNUMBER(SEARCH("month",C233)),IFERROR(_xlfn.NUMBERVALUE(SUBSTITUTE(LEFT(TRIM(C233),FIND(" ",TRIM(C233)&amp;" ")-1),",","."),"."),LEFT(SUBSTITUTE(LEFT(TRIM(C233),FIND(" ",TRIM(C233)&amp;" ")-1),",","."),FIND("/",SUBSTITUTE(LEFT(TRIM(C233),FIND(" ",TRIM(C233)&amp;" ")-1),",","."))-1)/MID(SUBSTITUTE(LEFT(TRIM(C233),FIND(" ",TRIM(C233)&amp;" ")-1),",","."),FIND("/",SUBSTITUTE(LEFT(TRIM(C233),FIND(" ",TRIM(C233)&amp;" ")-1),",","."))+1,9)),IF(ISNUMBER(SEARCH("yea",C233)),IFERROR(_xlfn.NUMBERVALUE(SUBSTITUTE(LEFT(TRIM(C233),FIND(" ",TRIM(C233)&amp;" ")-1),",","."),"."),LEFT(SUBSTITUTE(LEFT(TRIM(C233),FIND(" ",TRIM(C233)&amp;" ")-1),",","."),FIND("/",SUBSTITUTE(LEFT(TRIM(C233),FIND(" ",TRIM(C233)&amp;" ")-1),",","."))-1)/MID(SUBSTITUTE(LEFT(TRIM(C233),FIND(" ",TRIM(C233)&amp;" ")-1),",","."),FIND("/",SUBSTITUTE(LEFT(TRIM(C233),FIND(" ",TRIM(C233)&amp;" ")-1),",","."))+1,9))*12,NA()))),0),24)*'Aturan &amp; Tarif'!$B$4,2)</f>
        <v>1362.72</v>
      </c>
      <c r="K233" s="32" t="n">
        <f aca="false">'Aturan &amp; Tarif'!$B$5</f>
        <v>2050</v>
      </c>
      <c r="L233" s="35" t="n">
        <f aca="false">I233+J233+K233</f>
        <v>6362.72</v>
      </c>
      <c r="M233" s="37" t="s">
        <v>134</v>
      </c>
    </row>
    <row r="234" customFormat="false" ht="25.5" hidden="false" customHeight="true" outlineLevel="0" collapsed="false">
      <c r="A234" s="29"/>
      <c r="B234" s="30" t="s">
        <v>115</v>
      </c>
      <c r="C234" s="31" t="s">
        <v>107</v>
      </c>
      <c r="D234" s="31" t="s">
        <v>108</v>
      </c>
      <c r="E234" s="32" t="n">
        <v>2625</v>
      </c>
      <c r="F234" s="32" t="n">
        <v>700</v>
      </c>
      <c r="G234" s="32" t="n">
        <v>250</v>
      </c>
      <c r="H234" s="33" t="n">
        <v>1</v>
      </c>
      <c r="I234" s="34" t="n">
        <f aca="false">E234*H234+N(F234)+N(G234)</f>
        <v>3575</v>
      </c>
      <c r="J234" s="32" t="n">
        <f aca="false">ROUND(IFERROR(ROUND(IF(OR(ISNUMBER(SEARCH("week",C234)),ISNUMBER(SEARCH("minggu",C234))),IFERROR(_xlfn.NUMBERVALUE(SUBSTITUTE(LEFT(TRIM(C234),FIND(" ",TRIM(C234)&amp;" ")-1),",","."),"."),LEFT(SUBSTITUTE(LEFT(TRIM(C234),FIND(" ",TRIM(C234)&amp;" ")-1),",","."),FIND("/",SUBSTITUTE(LEFT(TRIM(C234),FIND(" ",TRIM(C234)&amp;" ")-1),",","."))-1)/MID(SUBSTITUTE(LEFT(TRIM(C234),FIND(" ",TRIM(C234)&amp;" ")-1),",","."),FIND("/",SUBSTITUTE(LEFT(TRIM(C234),FIND(" ",TRIM(C234)&amp;" ")-1),",","."))+1,9))*12/52,IF(ISNUMBER(SEARCH("month",C234)),IFERROR(_xlfn.NUMBERVALUE(SUBSTITUTE(LEFT(TRIM(C234),FIND(" ",TRIM(C234)&amp;" ")-1),",","."),"."),LEFT(SUBSTITUTE(LEFT(TRIM(C234),FIND(" ",TRIM(C234)&amp;" ")-1),",","."),FIND("/",SUBSTITUTE(LEFT(TRIM(C234),FIND(" ",TRIM(C234)&amp;" ")-1),",","."))-1)/MID(SUBSTITUTE(LEFT(TRIM(C234),FIND(" ",TRIM(C234)&amp;" ")-1),",","."),FIND("/",SUBSTITUTE(LEFT(TRIM(C234),FIND(" ",TRIM(C234)&amp;" ")-1),",","."))+1,9)),IF(ISNUMBER(SEARCH("yea",C234)),IFERROR(_xlfn.NUMBERVALUE(SUBSTITUTE(LEFT(TRIM(C234),FIND(" ",TRIM(C234)&amp;" ")-1),",","."),"."),LEFT(SUBSTITUTE(LEFT(TRIM(C234),FIND(" ",TRIM(C234)&amp;" ")-1),",","."),FIND("/",SUBSTITUTE(LEFT(TRIM(C234),FIND(" ",TRIM(C234)&amp;" ")-1),",","."))-1)/MID(SUBSTITUTE(LEFT(TRIM(C234),FIND(" ",TRIM(C234)&amp;" ")-1),",","."),FIND("/",SUBSTITUTE(LEFT(TRIM(C234),FIND(" ",TRIM(C234)&amp;" ")-1),",","."))+1,9))*12,NA()))),0),24)*'Aturan &amp; Tarif'!$B$4,2)</f>
        <v>1362.72</v>
      </c>
      <c r="K234" s="32" t="n">
        <f aca="false">'Aturan &amp; Tarif'!$B$5</f>
        <v>2050</v>
      </c>
      <c r="L234" s="35" t="n">
        <f aca="false">I234+J234+K234</f>
        <v>6987.72</v>
      </c>
      <c r="M234" s="37" t="s">
        <v>134</v>
      </c>
    </row>
    <row r="235" customFormat="false" ht="48.75" hidden="false" customHeight="true" outlineLevel="0" collapsed="false">
      <c r="A235" s="29"/>
      <c r="B235" s="30" t="s">
        <v>145</v>
      </c>
      <c r="C235" s="31" t="s">
        <v>107</v>
      </c>
      <c r="D235" s="31" t="s">
        <v>108</v>
      </c>
      <c r="E235" s="32" t="n">
        <v>1820</v>
      </c>
      <c r="F235" s="32" t="n">
        <v>800</v>
      </c>
      <c r="G235" s="32" t="n">
        <v>250</v>
      </c>
      <c r="H235" s="33" t="n">
        <v>1</v>
      </c>
      <c r="I235" s="34" t="n">
        <f aca="false">E235*H235+N(F235)+N(G235)</f>
        <v>2870</v>
      </c>
      <c r="J235" s="32" t="n">
        <f aca="false">ROUND(IFERROR(ROUND(IF(OR(ISNUMBER(SEARCH("week",C235)),ISNUMBER(SEARCH("minggu",C235))),IFERROR(_xlfn.NUMBERVALUE(SUBSTITUTE(LEFT(TRIM(C235),FIND(" ",TRIM(C235)&amp;" ")-1),",","."),"."),LEFT(SUBSTITUTE(LEFT(TRIM(C235),FIND(" ",TRIM(C235)&amp;" ")-1),",","."),FIND("/",SUBSTITUTE(LEFT(TRIM(C235),FIND(" ",TRIM(C235)&amp;" ")-1),",","."))-1)/MID(SUBSTITUTE(LEFT(TRIM(C235),FIND(" ",TRIM(C235)&amp;" ")-1),",","."),FIND("/",SUBSTITUTE(LEFT(TRIM(C235),FIND(" ",TRIM(C235)&amp;" ")-1),",","."))+1,9))*12/52,IF(ISNUMBER(SEARCH("month",C235)),IFERROR(_xlfn.NUMBERVALUE(SUBSTITUTE(LEFT(TRIM(C235),FIND(" ",TRIM(C235)&amp;" ")-1),",","."),"."),LEFT(SUBSTITUTE(LEFT(TRIM(C235),FIND(" ",TRIM(C235)&amp;" ")-1),",","."),FIND("/",SUBSTITUTE(LEFT(TRIM(C235),FIND(" ",TRIM(C235)&amp;" ")-1),",","."))-1)/MID(SUBSTITUTE(LEFT(TRIM(C235),FIND(" ",TRIM(C235)&amp;" ")-1),",","."),FIND("/",SUBSTITUTE(LEFT(TRIM(C235),FIND(" ",TRIM(C235)&amp;" ")-1),",","."))+1,9)),IF(ISNUMBER(SEARCH("yea",C235)),IFERROR(_xlfn.NUMBERVALUE(SUBSTITUTE(LEFT(TRIM(C235),FIND(" ",TRIM(C235)&amp;" ")-1),",","."),"."),LEFT(SUBSTITUTE(LEFT(TRIM(C235),FIND(" ",TRIM(C235)&amp;" ")-1),",","."),FIND("/",SUBSTITUTE(LEFT(TRIM(C235),FIND(" ",TRIM(C235)&amp;" ")-1),",","."))-1)/MID(SUBSTITUTE(LEFT(TRIM(C235),FIND(" ",TRIM(C235)&amp;" ")-1),",","."),FIND("/",SUBSTITUTE(LEFT(TRIM(C235),FIND(" ",TRIM(C235)&amp;" ")-1),",","."))+1,9))*12,NA()))),0),24)*'Aturan &amp; Tarif'!$B$4,2)</f>
        <v>1362.72</v>
      </c>
      <c r="K235" s="32" t="n">
        <f aca="false">'Aturan &amp; Tarif'!$B$5</f>
        <v>2050</v>
      </c>
      <c r="L235" s="35" t="n">
        <f aca="false">I235+J235+K235</f>
        <v>6282.72</v>
      </c>
      <c r="M235" s="37" t="s">
        <v>134</v>
      </c>
    </row>
    <row r="236" customFormat="false" ht="25.5" hidden="false" customHeight="true" outlineLevel="0" collapsed="false">
      <c r="A236" s="29"/>
      <c r="B236" s="30" t="s">
        <v>2815</v>
      </c>
      <c r="C236" s="31" t="s">
        <v>127</v>
      </c>
      <c r="D236" s="31" t="s">
        <v>108</v>
      </c>
      <c r="E236" s="32" t="n">
        <v>2050</v>
      </c>
      <c r="F236" s="32" t="n">
        <v>1300</v>
      </c>
      <c r="G236" s="32" t="n">
        <v>250</v>
      </c>
      <c r="H236" s="33" t="n">
        <v>1</v>
      </c>
      <c r="I236" s="34" t="n">
        <f aca="false">E236*H236+N(F236)+N(G236)</f>
        <v>3600</v>
      </c>
      <c r="J236" s="32" t="n">
        <f aca="false">ROUND(IFERROR(ROUND(IF(OR(ISNUMBER(SEARCH("week",C236)),ISNUMBER(SEARCH("minggu",C236))),IFERROR(_xlfn.NUMBERVALUE(SUBSTITUTE(LEFT(TRIM(C236),FIND(" ",TRIM(C236)&amp;" ")-1),",","."),"."),LEFT(SUBSTITUTE(LEFT(TRIM(C236),FIND(" ",TRIM(C236)&amp;" ")-1),",","."),FIND("/",SUBSTITUTE(LEFT(TRIM(C236),FIND(" ",TRIM(C236)&amp;" ")-1),",","."))-1)/MID(SUBSTITUTE(LEFT(TRIM(C236),FIND(" ",TRIM(C236)&amp;" ")-1),",","."),FIND("/",SUBSTITUTE(LEFT(TRIM(C236),FIND(" ",TRIM(C236)&amp;" ")-1),",","."))+1,9))*12/52,IF(ISNUMBER(SEARCH("month",C236)),IFERROR(_xlfn.NUMBERVALUE(SUBSTITUTE(LEFT(TRIM(C236),FIND(" ",TRIM(C236)&amp;" ")-1),",","."),"."),LEFT(SUBSTITUTE(LEFT(TRIM(C236),FIND(" ",TRIM(C236)&amp;" ")-1),",","."),FIND("/",SUBSTITUTE(LEFT(TRIM(C236),FIND(" ",TRIM(C236)&amp;" ")-1),",","."))-1)/MID(SUBSTITUTE(LEFT(TRIM(C236),FIND(" ",TRIM(C236)&amp;" ")-1),",","."),FIND("/",SUBSTITUTE(LEFT(TRIM(C236),FIND(" ",TRIM(C236)&amp;" ")-1),",","."))+1,9)),IF(ISNUMBER(SEARCH("yea",C236)),IFERROR(_xlfn.NUMBERVALUE(SUBSTITUTE(LEFT(TRIM(C236),FIND(" ",TRIM(C236)&amp;" ")-1),",","."),"."),LEFT(SUBSTITUTE(LEFT(TRIM(C236),FIND(" ",TRIM(C236)&amp;" ")-1),",","."),FIND("/",SUBSTITUTE(LEFT(TRIM(C236),FIND(" ",TRIM(C236)&amp;" ")-1),",","."))-1)/MID(SUBSTITUTE(LEFT(TRIM(C236),FIND(" ",TRIM(C236)&amp;" ")-1),",","."),FIND("/",SUBSTITUTE(LEFT(TRIM(C236),FIND(" ",TRIM(C236)&amp;" ")-1),",","."))+1,9))*12,NA()))),0),36)*'Aturan &amp; Tarif'!$B$4,2)</f>
        <v>2044.08</v>
      </c>
      <c r="K236" s="32" t="n">
        <f aca="false">'Aturan &amp; Tarif'!$B$5</f>
        <v>2050</v>
      </c>
      <c r="L236" s="35" t="n">
        <f aca="false">I236+J236+K236</f>
        <v>7694.08</v>
      </c>
      <c r="M236" s="36" t="s">
        <v>1905</v>
      </c>
    </row>
    <row r="237" customFormat="false" ht="37.5" hidden="false" customHeight="true" outlineLevel="0" collapsed="false">
      <c r="A237" s="29"/>
      <c r="B237" s="30" t="s">
        <v>146</v>
      </c>
      <c r="C237" s="31" t="s">
        <v>113</v>
      </c>
      <c r="D237" s="31" t="s">
        <v>108</v>
      </c>
      <c r="E237" s="32" t="n">
        <v>2700</v>
      </c>
      <c r="F237" s="32" t="n">
        <v>1500</v>
      </c>
      <c r="G237" s="32" t="n">
        <v>250</v>
      </c>
      <c r="H237" s="33" t="n">
        <v>1</v>
      </c>
      <c r="I237" s="34" t="n">
        <f aca="false">E237*H237+N(F237)+N(G237)</f>
        <v>4450</v>
      </c>
      <c r="J237" s="32" t="n">
        <f aca="false">ROUND(IFERROR(ROUND(IF(OR(ISNUMBER(SEARCH("week",C237)),ISNUMBER(SEARCH("minggu",C237))),IFERROR(_xlfn.NUMBERVALUE(SUBSTITUTE(LEFT(TRIM(C237),FIND(" ",TRIM(C237)&amp;" ")-1),",","."),"."),LEFT(SUBSTITUTE(LEFT(TRIM(C237),FIND(" ",TRIM(C237)&amp;" ")-1),",","."),FIND("/",SUBSTITUTE(LEFT(TRIM(C237),FIND(" ",TRIM(C237)&amp;" ")-1),",","."))-1)/MID(SUBSTITUTE(LEFT(TRIM(C237),FIND(" ",TRIM(C237)&amp;" ")-1),",","."),FIND("/",SUBSTITUTE(LEFT(TRIM(C237),FIND(" ",TRIM(C237)&amp;" ")-1),",","."))+1,9))*12/52,IF(ISNUMBER(SEARCH("month",C237)),IFERROR(_xlfn.NUMBERVALUE(SUBSTITUTE(LEFT(TRIM(C237),FIND(" ",TRIM(C237)&amp;" ")-1),",","."),"."),LEFT(SUBSTITUTE(LEFT(TRIM(C237),FIND(" ",TRIM(C237)&amp;" ")-1),",","."),FIND("/",SUBSTITUTE(LEFT(TRIM(C237),FIND(" ",TRIM(C237)&amp;" ")-1),",","."))-1)/MID(SUBSTITUTE(LEFT(TRIM(C237),FIND(" ",TRIM(C237)&amp;" ")-1),",","."),FIND("/",SUBSTITUTE(LEFT(TRIM(C237),FIND(" ",TRIM(C237)&amp;" ")-1),",","."))+1,9)),IF(ISNUMBER(SEARCH("yea",C237)),IFERROR(_xlfn.NUMBERVALUE(SUBSTITUTE(LEFT(TRIM(C237),FIND(" ",TRIM(C237)&amp;" ")-1),",","."),"."),LEFT(SUBSTITUTE(LEFT(TRIM(C237),FIND(" ",TRIM(C237)&amp;" ")-1),",","."),FIND("/",SUBSTITUTE(LEFT(TRIM(C237),FIND(" ",TRIM(C237)&amp;" ")-1),",","."))-1)/MID(SUBSTITUTE(LEFT(TRIM(C237),FIND(" ",TRIM(C237)&amp;" ")-1),",","."),FIND("/",SUBSTITUTE(LEFT(TRIM(C237),FIND(" ",TRIM(C237)&amp;" ")-1),",","."))+1,9))*12,NA()))),0),18)*'Aturan &amp; Tarif'!$B$4,2)</f>
        <v>1022.04</v>
      </c>
      <c r="K237" s="32" t="n">
        <f aca="false">'Aturan &amp; Tarif'!$B$5</f>
        <v>2050</v>
      </c>
      <c r="L237" s="35" t="n">
        <f aca="false">I237+J237+K237</f>
        <v>7522.04</v>
      </c>
      <c r="M237" s="37" t="s">
        <v>134</v>
      </c>
    </row>
    <row r="238" customFormat="false" ht="25.5" hidden="false" customHeight="true" outlineLevel="0" collapsed="false">
      <c r="A238" s="29"/>
      <c r="B238" s="30" t="s">
        <v>147</v>
      </c>
      <c r="C238" s="31" t="s">
        <v>107</v>
      </c>
      <c r="D238" s="31" t="s">
        <v>108</v>
      </c>
      <c r="E238" s="32" t="n">
        <v>2375</v>
      </c>
      <c r="F238" s="32" t="n">
        <v>1500</v>
      </c>
      <c r="G238" s="32" t="n">
        <v>250</v>
      </c>
      <c r="H238" s="33" t="n">
        <v>1</v>
      </c>
      <c r="I238" s="34" t="n">
        <f aca="false">E238*H238+N(F238)+N(G238)</f>
        <v>4125</v>
      </c>
      <c r="J238" s="32" t="n">
        <f aca="false">ROUND(IFERROR(ROUND(IF(OR(ISNUMBER(SEARCH("week",C238)),ISNUMBER(SEARCH("minggu",C238))),IFERROR(_xlfn.NUMBERVALUE(SUBSTITUTE(LEFT(TRIM(C238),FIND(" ",TRIM(C238)&amp;" ")-1),",","."),"."),LEFT(SUBSTITUTE(LEFT(TRIM(C238),FIND(" ",TRIM(C238)&amp;" ")-1),",","."),FIND("/",SUBSTITUTE(LEFT(TRIM(C238),FIND(" ",TRIM(C238)&amp;" ")-1),",","."))-1)/MID(SUBSTITUTE(LEFT(TRIM(C238),FIND(" ",TRIM(C238)&amp;" ")-1),",","."),FIND("/",SUBSTITUTE(LEFT(TRIM(C238),FIND(" ",TRIM(C238)&amp;" ")-1),",","."))+1,9))*12/52,IF(ISNUMBER(SEARCH("month",C238)),IFERROR(_xlfn.NUMBERVALUE(SUBSTITUTE(LEFT(TRIM(C238),FIND(" ",TRIM(C238)&amp;" ")-1),",","."),"."),LEFT(SUBSTITUTE(LEFT(TRIM(C238),FIND(" ",TRIM(C238)&amp;" ")-1),",","."),FIND("/",SUBSTITUTE(LEFT(TRIM(C238),FIND(" ",TRIM(C238)&amp;" ")-1),",","."))-1)/MID(SUBSTITUTE(LEFT(TRIM(C238),FIND(" ",TRIM(C238)&amp;" ")-1),",","."),FIND("/",SUBSTITUTE(LEFT(TRIM(C238),FIND(" ",TRIM(C238)&amp;" ")-1),",","."))+1,9)),IF(ISNUMBER(SEARCH("yea",C238)),IFERROR(_xlfn.NUMBERVALUE(SUBSTITUTE(LEFT(TRIM(C238),FIND(" ",TRIM(C238)&amp;" ")-1),",","."),"."),LEFT(SUBSTITUTE(LEFT(TRIM(C238),FIND(" ",TRIM(C238)&amp;" ")-1),",","."),FIND("/",SUBSTITUTE(LEFT(TRIM(C238),FIND(" ",TRIM(C238)&amp;" ")-1),",","."))-1)/MID(SUBSTITUTE(LEFT(TRIM(C238),FIND(" ",TRIM(C238)&amp;" ")-1),",","."),FIND("/",SUBSTITUTE(LEFT(TRIM(C238),FIND(" ",TRIM(C238)&amp;" ")-1),",","."))+1,9))*12,NA()))),0),24)*'Aturan &amp; Tarif'!$B$4,2)</f>
        <v>1362.72</v>
      </c>
      <c r="K238" s="32" t="n">
        <f aca="false">'Aturan &amp; Tarif'!$B$5</f>
        <v>2050</v>
      </c>
      <c r="L238" s="35" t="n">
        <f aca="false">I238+J238+K238</f>
        <v>7537.72</v>
      </c>
      <c r="M238" s="37" t="s">
        <v>134</v>
      </c>
    </row>
    <row r="239" customFormat="false" ht="48.75" hidden="false" customHeight="true" outlineLevel="0" collapsed="false">
      <c r="A239" s="29"/>
      <c r="B239" s="30" t="s">
        <v>148</v>
      </c>
      <c r="C239" s="31" t="s">
        <v>113</v>
      </c>
      <c r="D239" s="31" t="s">
        <v>108</v>
      </c>
      <c r="E239" s="32" t="n">
        <v>2850</v>
      </c>
      <c r="F239" s="32" t="n">
        <v>1500</v>
      </c>
      <c r="G239" s="32" t="n">
        <v>250</v>
      </c>
      <c r="H239" s="33" t="n">
        <v>1</v>
      </c>
      <c r="I239" s="34" t="n">
        <f aca="false">E239*H239+N(F239)+N(G239)</f>
        <v>4600</v>
      </c>
      <c r="J239" s="32" t="n">
        <f aca="false">ROUND(IFERROR(ROUND(IF(OR(ISNUMBER(SEARCH("week",C239)),ISNUMBER(SEARCH("minggu",C239))),IFERROR(_xlfn.NUMBERVALUE(SUBSTITUTE(LEFT(TRIM(C239),FIND(" ",TRIM(C239)&amp;" ")-1),",","."),"."),LEFT(SUBSTITUTE(LEFT(TRIM(C239),FIND(" ",TRIM(C239)&amp;" ")-1),",","."),FIND("/",SUBSTITUTE(LEFT(TRIM(C239),FIND(" ",TRIM(C239)&amp;" ")-1),",","."))-1)/MID(SUBSTITUTE(LEFT(TRIM(C239),FIND(" ",TRIM(C239)&amp;" ")-1),",","."),FIND("/",SUBSTITUTE(LEFT(TRIM(C239),FIND(" ",TRIM(C239)&amp;" ")-1),",","."))+1,9))*12/52,IF(ISNUMBER(SEARCH("month",C239)),IFERROR(_xlfn.NUMBERVALUE(SUBSTITUTE(LEFT(TRIM(C239),FIND(" ",TRIM(C239)&amp;" ")-1),",","."),"."),LEFT(SUBSTITUTE(LEFT(TRIM(C239),FIND(" ",TRIM(C239)&amp;" ")-1),",","."),FIND("/",SUBSTITUTE(LEFT(TRIM(C239),FIND(" ",TRIM(C239)&amp;" ")-1),",","."))-1)/MID(SUBSTITUTE(LEFT(TRIM(C239),FIND(" ",TRIM(C239)&amp;" ")-1),",","."),FIND("/",SUBSTITUTE(LEFT(TRIM(C239),FIND(" ",TRIM(C239)&amp;" ")-1),",","."))+1,9)),IF(ISNUMBER(SEARCH("yea",C239)),IFERROR(_xlfn.NUMBERVALUE(SUBSTITUTE(LEFT(TRIM(C239),FIND(" ",TRIM(C239)&amp;" ")-1),",","."),"."),LEFT(SUBSTITUTE(LEFT(TRIM(C239),FIND(" ",TRIM(C239)&amp;" ")-1),",","."),FIND("/",SUBSTITUTE(LEFT(TRIM(C239),FIND(" ",TRIM(C239)&amp;" ")-1),",","."))-1)/MID(SUBSTITUTE(LEFT(TRIM(C239),FIND(" ",TRIM(C239)&amp;" ")-1),",","."),FIND("/",SUBSTITUTE(LEFT(TRIM(C239),FIND(" ",TRIM(C239)&amp;" ")-1),",","."))+1,9))*12,NA()))),0),18)*'Aturan &amp; Tarif'!$B$4,2)</f>
        <v>1022.04</v>
      </c>
      <c r="K239" s="32" t="n">
        <f aca="false">'Aturan &amp; Tarif'!$B$5</f>
        <v>2050</v>
      </c>
      <c r="L239" s="35" t="n">
        <f aca="false">I239+J239+K239</f>
        <v>7672.04</v>
      </c>
      <c r="M239" s="37" t="s">
        <v>134</v>
      </c>
    </row>
    <row r="240" customFormat="false" ht="48.75" hidden="false" customHeight="true" outlineLevel="0" collapsed="false">
      <c r="A240" s="39" t="s">
        <v>2816</v>
      </c>
      <c r="B240" s="40" t="s">
        <v>470</v>
      </c>
      <c r="C240" s="41" t="s">
        <v>107</v>
      </c>
      <c r="D240" s="41" t="s">
        <v>108</v>
      </c>
      <c r="E240" s="42" t="n">
        <v>2350</v>
      </c>
      <c r="F240" s="42" t="n">
        <v>1000</v>
      </c>
      <c r="G240" s="42" t="n">
        <v>250</v>
      </c>
      <c r="H240" s="43" t="n">
        <v>1</v>
      </c>
      <c r="I240" s="34" t="n">
        <f aca="false">E240*H240+N(F240)+N(G240)</f>
        <v>3600</v>
      </c>
      <c r="J240" s="42" t="n">
        <f aca="false">ROUND(IFERROR(ROUND(IF(OR(ISNUMBER(SEARCH("week",C240)),ISNUMBER(SEARCH("minggu",C240))),IFERROR(_xlfn.NUMBERVALUE(SUBSTITUTE(LEFT(TRIM(C240),FIND(" ",TRIM(C240)&amp;" ")-1),",","."),"."),LEFT(SUBSTITUTE(LEFT(TRIM(C240),FIND(" ",TRIM(C240)&amp;" ")-1),",","."),FIND("/",SUBSTITUTE(LEFT(TRIM(C240),FIND(" ",TRIM(C240)&amp;" ")-1),",","."))-1)/MID(SUBSTITUTE(LEFT(TRIM(C240),FIND(" ",TRIM(C240)&amp;" ")-1),",","."),FIND("/",SUBSTITUTE(LEFT(TRIM(C240),FIND(" ",TRIM(C240)&amp;" ")-1),",","."))+1,9))*12/52,IF(ISNUMBER(SEARCH("month",C240)),IFERROR(_xlfn.NUMBERVALUE(SUBSTITUTE(LEFT(TRIM(C240),FIND(" ",TRIM(C240)&amp;" ")-1),",","."),"."),LEFT(SUBSTITUTE(LEFT(TRIM(C240),FIND(" ",TRIM(C240)&amp;" ")-1),",","."),FIND("/",SUBSTITUTE(LEFT(TRIM(C240),FIND(" ",TRIM(C240)&amp;" ")-1),",","."))-1)/MID(SUBSTITUTE(LEFT(TRIM(C240),FIND(" ",TRIM(C240)&amp;" ")-1),",","."),FIND("/",SUBSTITUTE(LEFT(TRIM(C240),FIND(" ",TRIM(C240)&amp;" ")-1),",","."))+1,9)),IF(ISNUMBER(SEARCH("yea",C240)),IFERROR(_xlfn.NUMBERVALUE(SUBSTITUTE(LEFT(TRIM(C240),FIND(" ",TRIM(C240)&amp;" ")-1),",","."),"."),LEFT(SUBSTITUTE(LEFT(TRIM(C240),FIND(" ",TRIM(C240)&amp;" ")-1),",","."),FIND("/",SUBSTITUTE(LEFT(TRIM(C240),FIND(" ",TRIM(C240)&amp;" ")-1),",","."))-1)/MID(SUBSTITUTE(LEFT(TRIM(C240),FIND(" ",TRIM(C240)&amp;" ")-1),",","."),FIND("/",SUBSTITUTE(LEFT(TRIM(C240),FIND(" ",TRIM(C240)&amp;" ")-1),",","."))+1,9))*12,NA()))),0),24)*'Aturan &amp; Tarif'!$B$4,2)</f>
        <v>1362.72</v>
      </c>
      <c r="K240" s="42" t="n">
        <f aca="false">'Aturan &amp; Tarif'!$B$5</f>
        <v>2050</v>
      </c>
      <c r="L240" s="35" t="n">
        <f aca="false">I240+J240+K240</f>
        <v>7012.72</v>
      </c>
      <c r="M240" s="45" t="s">
        <v>134</v>
      </c>
    </row>
    <row r="241" customFormat="false" ht="14.25" hidden="false" customHeight="true" outlineLevel="0" collapsed="false">
      <c r="A241" s="39"/>
      <c r="B241" s="40" t="s">
        <v>2817</v>
      </c>
      <c r="C241" s="41" t="s">
        <v>138</v>
      </c>
      <c r="D241" s="41" t="s">
        <v>108</v>
      </c>
      <c r="E241" s="42" t="n">
        <v>2350</v>
      </c>
      <c r="F241" s="42" t="n">
        <v>1000</v>
      </c>
      <c r="G241" s="42" t="n">
        <v>250</v>
      </c>
      <c r="H241" s="43" t="n">
        <v>1</v>
      </c>
      <c r="I241" s="34" t="n">
        <f aca="false">E241*H241+N(F241)+N(G241)</f>
        <v>3600</v>
      </c>
      <c r="J241" s="42" t="n">
        <f aca="false">ROUND(IFERROR(ROUND(IF(OR(ISNUMBER(SEARCH("week",C241)),ISNUMBER(SEARCH("minggu",C241))),IFERROR(_xlfn.NUMBERVALUE(SUBSTITUTE(LEFT(TRIM(C241),FIND(" ",TRIM(C241)&amp;" ")-1),",","."),"."),LEFT(SUBSTITUTE(LEFT(TRIM(C241),FIND(" ",TRIM(C241)&amp;" ")-1),",","."),FIND("/",SUBSTITUTE(LEFT(TRIM(C241),FIND(" ",TRIM(C241)&amp;" ")-1),",","."))-1)/MID(SUBSTITUTE(LEFT(TRIM(C241),FIND(" ",TRIM(C241)&amp;" ")-1),",","."),FIND("/",SUBSTITUTE(LEFT(TRIM(C241),FIND(" ",TRIM(C241)&amp;" ")-1),",","."))+1,9))*12/52,IF(ISNUMBER(SEARCH("month",C241)),IFERROR(_xlfn.NUMBERVALUE(SUBSTITUTE(LEFT(TRIM(C241),FIND(" ",TRIM(C241)&amp;" ")-1),",","."),"."),LEFT(SUBSTITUTE(LEFT(TRIM(C241),FIND(" ",TRIM(C241)&amp;" ")-1),",","."),FIND("/",SUBSTITUTE(LEFT(TRIM(C241),FIND(" ",TRIM(C241)&amp;" ")-1),",","."))-1)/MID(SUBSTITUTE(LEFT(TRIM(C241),FIND(" ",TRIM(C241)&amp;" ")-1),",","."),FIND("/",SUBSTITUTE(LEFT(TRIM(C241),FIND(" ",TRIM(C241)&amp;" ")-1),",","."))+1,9)),IF(ISNUMBER(SEARCH("yea",C241)),IFERROR(_xlfn.NUMBERVALUE(SUBSTITUTE(LEFT(TRIM(C241),FIND(" ",TRIM(C241)&amp;" ")-1),",","."),"."),LEFT(SUBSTITUTE(LEFT(TRIM(C241),FIND(" ",TRIM(C241)&amp;" ")-1),",","."),FIND("/",SUBSTITUTE(LEFT(TRIM(C241),FIND(" ",TRIM(C241)&amp;" ")-1),",","."))-1)/MID(SUBSTITUTE(LEFT(TRIM(C241),FIND(" ",TRIM(C241)&amp;" ")-1),",","."),FIND("/",SUBSTITUTE(LEFT(TRIM(C241),FIND(" ",TRIM(C241)&amp;" ")-1),",","."))+1,9))*12,NA()))),0),30)*'Aturan &amp; Tarif'!$B$4,2)</f>
        <v>1703.4</v>
      </c>
      <c r="K241" s="42" t="n">
        <f aca="false">'Aturan &amp; Tarif'!$B$5</f>
        <v>2050</v>
      </c>
      <c r="L241" s="35" t="n">
        <f aca="false">I241+J241+K241</f>
        <v>7353.4</v>
      </c>
      <c r="M241" s="45" t="s">
        <v>134</v>
      </c>
    </row>
    <row r="242" customFormat="false" ht="14.25" hidden="false" customHeight="true" outlineLevel="0" collapsed="false">
      <c r="A242" s="39"/>
      <c r="B242" s="40" t="s">
        <v>2818</v>
      </c>
      <c r="C242" s="41" t="s">
        <v>127</v>
      </c>
      <c r="D242" s="41" t="s">
        <v>108</v>
      </c>
      <c r="E242" s="42" t="n">
        <v>3000</v>
      </c>
      <c r="F242" s="42" t="n">
        <v>2750</v>
      </c>
      <c r="G242" s="42" t="n">
        <v>250</v>
      </c>
      <c r="H242" s="43" t="n">
        <v>1</v>
      </c>
      <c r="I242" s="34" t="n">
        <f aca="false">E242*H242+N(F242)+N(G242)</f>
        <v>6000</v>
      </c>
      <c r="J242" s="42" t="n">
        <f aca="false">ROUND(IFERROR(ROUND(IF(OR(ISNUMBER(SEARCH("week",C242)),ISNUMBER(SEARCH("minggu",C242))),IFERROR(_xlfn.NUMBERVALUE(SUBSTITUTE(LEFT(TRIM(C242),FIND(" ",TRIM(C242)&amp;" ")-1),",","."),"."),LEFT(SUBSTITUTE(LEFT(TRIM(C242),FIND(" ",TRIM(C242)&amp;" ")-1),",","."),FIND("/",SUBSTITUTE(LEFT(TRIM(C242),FIND(" ",TRIM(C242)&amp;" ")-1),",","."))-1)/MID(SUBSTITUTE(LEFT(TRIM(C242),FIND(" ",TRIM(C242)&amp;" ")-1),",","."),FIND("/",SUBSTITUTE(LEFT(TRIM(C242),FIND(" ",TRIM(C242)&amp;" ")-1),",","."))+1,9))*12/52,IF(ISNUMBER(SEARCH("month",C242)),IFERROR(_xlfn.NUMBERVALUE(SUBSTITUTE(LEFT(TRIM(C242),FIND(" ",TRIM(C242)&amp;" ")-1),",","."),"."),LEFT(SUBSTITUTE(LEFT(TRIM(C242),FIND(" ",TRIM(C242)&amp;" ")-1),",","."),FIND("/",SUBSTITUTE(LEFT(TRIM(C242),FIND(" ",TRIM(C242)&amp;" ")-1),",","."))-1)/MID(SUBSTITUTE(LEFT(TRIM(C242),FIND(" ",TRIM(C242)&amp;" ")-1),",","."),FIND("/",SUBSTITUTE(LEFT(TRIM(C242),FIND(" ",TRIM(C242)&amp;" ")-1),",","."))+1,9)),IF(ISNUMBER(SEARCH("yea",C242)),IFERROR(_xlfn.NUMBERVALUE(SUBSTITUTE(LEFT(TRIM(C242),FIND(" ",TRIM(C242)&amp;" ")-1),",","."),"."),LEFT(SUBSTITUTE(LEFT(TRIM(C242),FIND(" ",TRIM(C242)&amp;" ")-1),",","."),FIND("/",SUBSTITUTE(LEFT(TRIM(C242),FIND(" ",TRIM(C242)&amp;" ")-1),",","."))-1)/MID(SUBSTITUTE(LEFT(TRIM(C242),FIND(" ",TRIM(C242)&amp;" ")-1),",","."),FIND("/",SUBSTITUTE(LEFT(TRIM(C242),FIND(" ",TRIM(C242)&amp;" ")-1),",","."))+1,9))*12,NA()))),0),36)*'Aturan &amp; Tarif'!$B$4,2)</f>
        <v>2044.08</v>
      </c>
      <c r="K242" s="42" t="n">
        <f aca="false">'Aturan &amp; Tarif'!$B$5</f>
        <v>2050</v>
      </c>
      <c r="L242" s="35" t="n">
        <f aca="false">I242+J242+K242</f>
        <v>10094.08</v>
      </c>
      <c r="M242" s="45" t="s">
        <v>134</v>
      </c>
    </row>
    <row r="243" customFormat="false" ht="14.25" hidden="false" customHeight="true" outlineLevel="0" collapsed="false">
      <c r="A243" s="39"/>
      <c r="B243" s="40" t="s">
        <v>2819</v>
      </c>
      <c r="C243" s="41" t="s">
        <v>107</v>
      </c>
      <c r="D243" s="41" t="s">
        <v>108</v>
      </c>
      <c r="E243" s="42" t="n">
        <v>3250</v>
      </c>
      <c r="F243" s="42" t="n">
        <v>1750</v>
      </c>
      <c r="G243" s="42" t="n">
        <v>250</v>
      </c>
      <c r="H243" s="43" t="n">
        <v>1</v>
      </c>
      <c r="I243" s="34" t="n">
        <f aca="false">E243*H243+N(F243)+N(G243)</f>
        <v>5250</v>
      </c>
      <c r="J243" s="42" t="n">
        <f aca="false">ROUND(IFERROR(ROUND(IF(OR(ISNUMBER(SEARCH("week",C243)),ISNUMBER(SEARCH("minggu",C243))),IFERROR(_xlfn.NUMBERVALUE(SUBSTITUTE(LEFT(TRIM(C243),FIND(" ",TRIM(C243)&amp;" ")-1),",","."),"."),LEFT(SUBSTITUTE(LEFT(TRIM(C243),FIND(" ",TRIM(C243)&amp;" ")-1),",","."),FIND("/",SUBSTITUTE(LEFT(TRIM(C243),FIND(" ",TRIM(C243)&amp;" ")-1),",","."))-1)/MID(SUBSTITUTE(LEFT(TRIM(C243),FIND(" ",TRIM(C243)&amp;" ")-1),",","."),FIND("/",SUBSTITUTE(LEFT(TRIM(C243),FIND(" ",TRIM(C243)&amp;" ")-1),",","."))+1,9))*12/52,IF(ISNUMBER(SEARCH("month",C243)),IFERROR(_xlfn.NUMBERVALUE(SUBSTITUTE(LEFT(TRIM(C243),FIND(" ",TRIM(C243)&amp;" ")-1),",","."),"."),LEFT(SUBSTITUTE(LEFT(TRIM(C243),FIND(" ",TRIM(C243)&amp;" ")-1),",","."),FIND("/",SUBSTITUTE(LEFT(TRIM(C243),FIND(" ",TRIM(C243)&amp;" ")-1),",","."))-1)/MID(SUBSTITUTE(LEFT(TRIM(C243),FIND(" ",TRIM(C243)&amp;" ")-1),",","."),FIND("/",SUBSTITUTE(LEFT(TRIM(C243),FIND(" ",TRIM(C243)&amp;" ")-1),",","."))+1,9)),IF(ISNUMBER(SEARCH("yea",C243)),IFERROR(_xlfn.NUMBERVALUE(SUBSTITUTE(LEFT(TRIM(C243),FIND(" ",TRIM(C243)&amp;" ")-1),",","."),"."),LEFT(SUBSTITUTE(LEFT(TRIM(C243),FIND(" ",TRIM(C243)&amp;" ")-1),",","."),FIND("/",SUBSTITUTE(LEFT(TRIM(C243),FIND(" ",TRIM(C243)&amp;" ")-1),",","."))-1)/MID(SUBSTITUTE(LEFT(TRIM(C243),FIND(" ",TRIM(C243)&amp;" ")-1),",","."),FIND("/",SUBSTITUTE(LEFT(TRIM(C243),FIND(" ",TRIM(C243)&amp;" ")-1),",","."))+1,9))*12,NA()))),0),24)*'Aturan &amp; Tarif'!$B$4,2)</f>
        <v>1362.72</v>
      </c>
      <c r="K243" s="42" t="n">
        <f aca="false">'Aturan &amp; Tarif'!$B$5</f>
        <v>2050</v>
      </c>
      <c r="L243" s="35" t="n">
        <f aca="false">I243+J243+K243</f>
        <v>8662.72</v>
      </c>
      <c r="M243" s="45" t="s">
        <v>134</v>
      </c>
    </row>
    <row r="244" customFormat="false" ht="14.25" hidden="false" customHeight="true" outlineLevel="0" collapsed="false">
      <c r="A244" s="39"/>
      <c r="B244" s="40" t="s">
        <v>2216</v>
      </c>
      <c r="C244" s="41" t="s">
        <v>107</v>
      </c>
      <c r="D244" s="41" t="s">
        <v>108</v>
      </c>
      <c r="E244" s="42" t="n">
        <v>2000</v>
      </c>
      <c r="F244" s="42" t="n">
        <v>1750</v>
      </c>
      <c r="G244" s="42" t="n">
        <v>250</v>
      </c>
      <c r="H244" s="43" t="n">
        <v>1</v>
      </c>
      <c r="I244" s="34" t="n">
        <f aca="false">E244*H244+N(F244)+N(G244)</f>
        <v>4000</v>
      </c>
      <c r="J244" s="42" t="n">
        <f aca="false">ROUND(IFERROR(ROUND(IF(OR(ISNUMBER(SEARCH("week",C244)),ISNUMBER(SEARCH("minggu",C244))),IFERROR(_xlfn.NUMBERVALUE(SUBSTITUTE(LEFT(TRIM(C244),FIND(" ",TRIM(C244)&amp;" ")-1),",","."),"."),LEFT(SUBSTITUTE(LEFT(TRIM(C244),FIND(" ",TRIM(C244)&amp;" ")-1),",","."),FIND("/",SUBSTITUTE(LEFT(TRIM(C244),FIND(" ",TRIM(C244)&amp;" ")-1),",","."))-1)/MID(SUBSTITUTE(LEFT(TRIM(C244),FIND(" ",TRIM(C244)&amp;" ")-1),",","."),FIND("/",SUBSTITUTE(LEFT(TRIM(C244),FIND(" ",TRIM(C244)&amp;" ")-1),",","."))+1,9))*12/52,IF(ISNUMBER(SEARCH("month",C244)),IFERROR(_xlfn.NUMBERVALUE(SUBSTITUTE(LEFT(TRIM(C244),FIND(" ",TRIM(C244)&amp;" ")-1),",","."),"."),LEFT(SUBSTITUTE(LEFT(TRIM(C244),FIND(" ",TRIM(C244)&amp;" ")-1),",","."),FIND("/",SUBSTITUTE(LEFT(TRIM(C244),FIND(" ",TRIM(C244)&amp;" ")-1),",","."))-1)/MID(SUBSTITUTE(LEFT(TRIM(C244),FIND(" ",TRIM(C244)&amp;" ")-1),",","."),FIND("/",SUBSTITUTE(LEFT(TRIM(C244),FIND(" ",TRIM(C244)&amp;" ")-1),",","."))+1,9)),IF(ISNUMBER(SEARCH("yea",C244)),IFERROR(_xlfn.NUMBERVALUE(SUBSTITUTE(LEFT(TRIM(C244),FIND(" ",TRIM(C244)&amp;" ")-1),",","."),"."),LEFT(SUBSTITUTE(LEFT(TRIM(C244),FIND(" ",TRIM(C244)&amp;" ")-1),",","."),FIND("/",SUBSTITUTE(LEFT(TRIM(C244),FIND(" ",TRIM(C244)&amp;" ")-1),",","."))-1)/MID(SUBSTITUTE(LEFT(TRIM(C244),FIND(" ",TRIM(C244)&amp;" ")-1),",","."),FIND("/",SUBSTITUTE(LEFT(TRIM(C244),FIND(" ",TRIM(C244)&amp;" ")-1),",","."))+1,9))*12,NA()))),0),24)*'Aturan &amp; Tarif'!$B$4,2)</f>
        <v>1362.72</v>
      </c>
      <c r="K244" s="42" t="n">
        <f aca="false">'Aturan &amp; Tarif'!$B$5</f>
        <v>2050</v>
      </c>
      <c r="L244" s="35" t="n">
        <f aca="false">I244+J244+K244</f>
        <v>7412.72</v>
      </c>
      <c r="M244" s="45" t="s">
        <v>134</v>
      </c>
    </row>
    <row r="245" customFormat="false" ht="14.25" hidden="false" customHeight="true" outlineLevel="0" collapsed="false">
      <c r="A245" s="39"/>
      <c r="B245" s="40" t="s">
        <v>665</v>
      </c>
      <c r="C245" s="41" t="s">
        <v>107</v>
      </c>
      <c r="D245" s="41" t="s">
        <v>108</v>
      </c>
      <c r="E245" s="42" t="n">
        <v>2000</v>
      </c>
      <c r="F245" s="42" t="n">
        <v>1750</v>
      </c>
      <c r="G245" s="42" t="n">
        <v>250</v>
      </c>
      <c r="H245" s="43" t="n">
        <v>1</v>
      </c>
      <c r="I245" s="34" t="n">
        <f aca="false">E245*H245+N(F245)+N(G245)</f>
        <v>4000</v>
      </c>
      <c r="J245" s="42" t="n">
        <f aca="false">ROUND(IFERROR(ROUND(IF(OR(ISNUMBER(SEARCH("week",C245)),ISNUMBER(SEARCH("minggu",C245))),IFERROR(_xlfn.NUMBERVALUE(SUBSTITUTE(LEFT(TRIM(C245),FIND(" ",TRIM(C245)&amp;" ")-1),",","."),"."),LEFT(SUBSTITUTE(LEFT(TRIM(C245),FIND(" ",TRIM(C245)&amp;" ")-1),",","."),FIND("/",SUBSTITUTE(LEFT(TRIM(C245),FIND(" ",TRIM(C245)&amp;" ")-1),",","."))-1)/MID(SUBSTITUTE(LEFT(TRIM(C245),FIND(" ",TRIM(C245)&amp;" ")-1),",","."),FIND("/",SUBSTITUTE(LEFT(TRIM(C245),FIND(" ",TRIM(C245)&amp;" ")-1),",","."))+1,9))*12/52,IF(ISNUMBER(SEARCH("month",C245)),IFERROR(_xlfn.NUMBERVALUE(SUBSTITUTE(LEFT(TRIM(C245),FIND(" ",TRIM(C245)&amp;" ")-1),",","."),"."),LEFT(SUBSTITUTE(LEFT(TRIM(C245),FIND(" ",TRIM(C245)&amp;" ")-1),",","."),FIND("/",SUBSTITUTE(LEFT(TRIM(C245),FIND(" ",TRIM(C245)&amp;" ")-1),",","."))-1)/MID(SUBSTITUTE(LEFT(TRIM(C245),FIND(" ",TRIM(C245)&amp;" ")-1),",","."),FIND("/",SUBSTITUTE(LEFT(TRIM(C245),FIND(" ",TRIM(C245)&amp;" ")-1),",","."))+1,9)),IF(ISNUMBER(SEARCH("yea",C245)),IFERROR(_xlfn.NUMBERVALUE(SUBSTITUTE(LEFT(TRIM(C245),FIND(" ",TRIM(C245)&amp;" ")-1),",","."),"."),LEFT(SUBSTITUTE(LEFT(TRIM(C245),FIND(" ",TRIM(C245)&amp;" ")-1),",","."),FIND("/",SUBSTITUTE(LEFT(TRIM(C245),FIND(" ",TRIM(C245)&amp;" ")-1),",","."))-1)/MID(SUBSTITUTE(LEFT(TRIM(C245),FIND(" ",TRIM(C245)&amp;" ")-1),",","."),FIND("/",SUBSTITUTE(LEFT(TRIM(C245),FIND(" ",TRIM(C245)&amp;" ")-1),",","."))+1,9))*12,NA()))),0),24)*'Aturan &amp; Tarif'!$B$4,2)</f>
        <v>1362.72</v>
      </c>
      <c r="K245" s="42" t="n">
        <f aca="false">'Aturan &amp; Tarif'!$B$5</f>
        <v>2050</v>
      </c>
      <c r="L245" s="35" t="n">
        <f aca="false">I245+J245+K245</f>
        <v>7412.72</v>
      </c>
      <c r="M245" s="45" t="s">
        <v>134</v>
      </c>
    </row>
    <row r="246" customFormat="false" ht="48.75" hidden="false" customHeight="true" outlineLevel="0" collapsed="false">
      <c r="A246" s="39"/>
      <c r="B246" s="40" t="s">
        <v>666</v>
      </c>
      <c r="C246" s="41" t="s">
        <v>107</v>
      </c>
      <c r="D246" s="41" t="s">
        <v>108</v>
      </c>
      <c r="E246" s="42" t="n">
        <v>2000</v>
      </c>
      <c r="F246" s="42" t="n">
        <v>1750</v>
      </c>
      <c r="G246" s="42" t="n">
        <v>250</v>
      </c>
      <c r="H246" s="43" t="n">
        <v>1</v>
      </c>
      <c r="I246" s="34" t="n">
        <f aca="false">E246*H246+N(F246)+N(G246)</f>
        <v>4000</v>
      </c>
      <c r="J246" s="42" t="n">
        <f aca="false">ROUND(IFERROR(ROUND(IF(OR(ISNUMBER(SEARCH("week",C246)),ISNUMBER(SEARCH("minggu",C246))),IFERROR(_xlfn.NUMBERVALUE(SUBSTITUTE(LEFT(TRIM(C246),FIND(" ",TRIM(C246)&amp;" ")-1),",","."),"."),LEFT(SUBSTITUTE(LEFT(TRIM(C246),FIND(" ",TRIM(C246)&amp;" ")-1),",","."),FIND("/",SUBSTITUTE(LEFT(TRIM(C246),FIND(" ",TRIM(C246)&amp;" ")-1),",","."))-1)/MID(SUBSTITUTE(LEFT(TRIM(C246),FIND(" ",TRIM(C246)&amp;" ")-1),",","."),FIND("/",SUBSTITUTE(LEFT(TRIM(C246),FIND(" ",TRIM(C246)&amp;" ")-1),",","."))+1,9))*12/52,IF(ISNUMBER(SEARCH("month",C246)),IFERROR(_xlfn.NUMBERVALUE(SUBSTITUTE(LEFT(TRIM(C246),FIND(" ",TRIM(C246)&amp;" ")-1),",","."),"."),LEFT(SUBSTITUTE(LEFT(TRIM(C246),FIND(" ",TRIM(C246)&amp;" ")-1),",","."),FIND("/",SUBSTITUTE(LEFT(TRIM(C246),FIND(" ",TRIM(C246)&amp;" ")-1),",","."))-1)/MID(SUBSTITUTE(LEFT(TRIM(C246),FIND(" ",TRIM(C246)&amp;" ")-1),",","."),FIND("/",SUBSTITUTE(LEFT(TRIM(C246),FIND(" ",TRIM(C246)&amp;" ")-1),",","."))+1,9)),IF(ISNUMBER(SEARCH("yea",C246)),IFERROR(_xlfn.NUMBERVALUE(SUBSTITUTE(LEFT(TRIM(C246),FIND(" ",TRIM(C246)&amp;" ")-1),",","."),"."),LEFT(SUBSTITUTE(LEFT(TRIM(C246),FIND(" ",TRIM(C246)&amp;" ")-1),",","."),FIND("/",SUBSTITUTE(LEFT(TRIM(C246),FIND(" ",TRIM(C246)&amp;" ")-1),",","."))-1)/MID(SUBSTITUTE(LEFT(TRIM(C246),FIND(" ",TRIM(C246)&amp;" ")-1),",","."),FIND("/",SUBSTITUTE(LEFT(TRIM(C246),FIND(" ",TRIM(C246)&amp;" ")-1),",","."))+1,9))*12,NA()))),0),24)*'Aturan &amp; Tarif'!$B$4,2)</f>
        <v>1362.72</v>
      </c>
      <c r="K246" s="42" t="n">
        <f aca="false">'Aturan &amp; Tarif'!$B$5</f>
        <v>2050</v>
      </c>
      <c r="L246" s="35" t="n">
        <f aca="false">I246+J246+K246</f>
        <v>7412.72</v>
      </c>
      <c r="M246" s="45" t="s">
        <v>134</v>
      </c>
    </row>
    <row r="247" customFormat="false" ht="25.5" hidden="false" customHeight="true" outlineLevel="0" collapsed="false">
      <c r="A247" s="39" t="s">
        <v>2820</v>
      </c>
      <c r="B247" s="40" t="s">
        <v>504</v>
      </c>
      <c r="C247" s="41" t="s">
        <v>127</v>
      </c>
      <c r="D247" s="41" t="s">
        <v>439</v>
      </c>
      <c r="E247" s="42" t="n">
        <v>8000</v>
      </c>
      <c r="F247" s="42"/>
      <c r="G247" s="42" t="n">
        <f aca="false">250+250</f>
        <v>500</v>
      </c>
      <c r="H247" s="43" t="n">
        <v>1</v>
      </c>
      <c r="I247" s="34" t="n">
        <f aca="false">E247*H247+N(F247)+N(G247)</f>
        <v>8500</v>
      </c>
      <c r="J247" s="42" t="n">
        <f aca="false">ROUND(IFERROR(ROUND(IF(OR(ISNUMBER(SEARCH("week",C247)),ISNUMBER(SEARCH("minggu",C247))),IFERROR(_xlfn.NUMBERVALUE(SUBSTITUTE(LEFT(TRIM(C247),FIND(" ",TRIM(C247)&amp;" ")-1),",","."),"."),LEFT(SUBSTITUTE(LEFT(TRIM(C247),FIND(" ",TRIM(C247)&amp;" ")-1),",","."),FIND("/",SUBSTITUTE(LEFT(TRIM(C247),FIND(" ",TRIM(C247)&amp;" ")-1),",","."))-1)/MID(SUBSTITUTE(LEFT(TRIM(C247),FIND(" ",TRIM(C247)&amp;" ")-1),",","."),FIND("/",SUBSTITUTE(LEFT(TRIM(C247),FIND(" ",TRIM(C247)&amp;" ")-1),",","."))+1,9))*12/52,IF(ISNUMBER(SEARCH("month",C247)),IFERROR(_xlfn.NUMBERVALUE(SUBSTITUTE(LEFT(TRIM(C247),FIND(" ",TRIM(C247)&amp;" ")-1),",","."),"."),LEFT(SUBSTITUTE(LEFT(TRIM(C247),FIND(" ",TRIM(C247)&amp;" ")-1),",","."),FIND("/",SUBSTITUTE(LEFT(TRIM(C247),FIND(" ",TRIM(C247)&amp;" ")-1),",","."))-1)/MID(SUBSTITUTE(LEFT(TRIM(C247),FIND(" ",TRIM(C247)&amp;" ")-1),",","."),FIND("/",SUBSTITUTE(LEFT(TRIM(C247),FIND(" ",TRIM(C247)&amp;" ")-1),",","."))+1,9)),IF(ISNUMBER(SEARCH("yea",C247)),IFERROR(_xlfn.NUMBERVALUE(SUBSTITUTE(LEFT(TRIM(C247),FIND(" ",TRIM(C247)&amp;" ")-1),",","."),"."),LEFT(SUBSTITUTE(LEFT(TRIM(C247),FIND(" ",TRIM(C247)&amp;" ")-1),",","."),FIND("/",SUBSTITUTE(LEFT(TRIM(C247),FIND(" ",TRIM(C247)&amp;" ")-1),",","."))-1)/MID(SUBSTITUTE(LEFT(TRIM(C247),FIND(" ",TRIM(C247)&amp;" ")-1),",","."),FIND("/",SUBSTITUTE(LEFT(TRIM(C247),FIND(" ",TRIM(C247)&amp;" ")-1),",","."))+1,9))*12,NA()))),0),36)*'Aturan &amp; Tarif'!$B$4,2)</f>
        <v>2044.08</v>
      </c>
      <c r="K247" s="42" t="n">
        <f aca="false">'Aturan &amp; Tarif'!$B$5</f>
        <v>2050</v>
      </c>
      <c r="L247" s="35" t="n">
        <f aca="false">I247+J247+K247</f>
        <v>12594.08</v>
      </c>
      <c r="M247" s="44" t="s">
        <v>505</v>
      </c>
    </row>
    <row r="248" customFormat="false" ht="14.25" hidden="false" customHeight="true" outlineLevel="0" collapsed="false">
      <c r="A248" s="39"/>
      <c r="B248" s="40" t="s">
        <v>506</v>
      </c>
      <c r="C248" s="41" t="s">
        <v>127</v>
      </c>
      <c r="D248" s="41" t="s">
        <v>439</v>
      </c>
      <c r="E248" s="42" t="n">
        <v>8000</v>
      </c>
      <c r="F248" s="42"/>
      <c r="G248" s="42" t="n">
        <f aca="false">250+250</f>
        <v>500</v>
      </c>
      <c r="H248" s="43" t="n">
        <v>1</v>
      </c>
      <c r="I248" s="34" t="n">
        <f aca="false">E248*H248+N(F248)+N(G248)</f>
        <v>8500</v>
      </c>
      <c r="J248" s="42" t="n">
        <f aca="false">ROUND(IFERROR(ROUND(IF(OR(ISNUMBER(SEARCH("week",C248)),ISNUMBER(SEARCH("minggu",C248))),IFERROR(_xlfn.NUMBERVALUE(SUBSTITUTE(LEFT(TRIM(C248),FIND(" ",TRIM(C248)&amp;" ")-1),",","."),"."),LEFT(SUBSTITUTE(LEFT(TRIM(C248),FIND(" ",TRIM(C248)&amp;" ")-1),",","."),FIND("/",SUBSTITUTE(LEFT(TRIM(C248),FIND(" ",TRIM(C248)&amp;" ")-1),",","."))-1)/MID(SUBSTITUTE(LEFT(TRIM(C248),FIND(" ",TRIM(C248)&amp;" ")-1),",","."),FIND("/",SUBSTITUTE(LEFT(TRIM(C248),FIND(" ",TRIM(C248)&amp;" ")-1),",","."))+1,9))*12/52,IF(ISNUMBER(SEARCH("month",C248)),IFERROR(_xlfn.NUMBERVALUE(SUBSTITUTE(LEFT(TRIM(C248),FIND(" ",TRIM(C248)&amp;" ")-1),",","."),"."),LEFT(SUBSTITUTE(LEFT(TRIM(C248),FIND(" ",TRIM(C248)&amp;" ")-1),",","."),FIND("/",SUBSTITUTE(LEFT(TRIM(C248),FIND(" ",TRIM(C248)&amp;" ")-1),",","."))-1)/MID(SUBSTITUTE(LEFT(TRIM(C248),FIND(" ",TRIM(C248)&amp;" ")-1),",","."),FIND("/",SUBSTITUTE(LEFT(TRIM(C248),FIND(" ",TRIM(C248)&amp;" ")-1),",","."))+1,9)),IF(ISNUMBER(SEARCH("yea",C248)),IFERROR(_xlfn.NUMBERVALUE(SUBSTITUTE(LEFT(TRIM(C248),FIND(" ",TRIM(C248)&amp;" ")-1),",","."),"."),LEFT(SUBSTITUTE(LEFT(TRIM(C248),FIND(" ",TRIM(C248)&amp;" ")-1),",","."),FIND("/",SUBSTITUTE(LEFT(TRIM(C248),FIND(" ",TRIM(C248)&amp;" ")-1),",","."))-1)/MID(SUBSTITUTE(LEFT(TRIM(C248),FIND(" ",TRIM(C248)&amp;" ")-1),",","."),FIND("/",SUBSTITUTE(LEFT(TRIM(C248),FIND(" ",TRIM(C248)&amp;" ")-1),",","."))+1,9))*12,NA()))),0),36)*'Aturan &amp; Tarif'!$B$4,2)</f>
        <v>2044.08</v>
      </c>
      <c r="K248" s="42" t="n">
        <f aca="false">'Aturan &amp; Tarif'!$B$5</f>
        <v>2050</v>
      </c>
      <c r="L248" s="35" t="n">
        <f aca="false">I248+J248+K248</f>
        <v>12594.08</v>
      </c>
      <c r="M248" s="45" t="s">
        <v>507</v>
      </c>
    </row>
    <row r="249" customFormat="false" ht="14.25" hidden="false" customHeight="true" outlineLevel="0" collapsed="false">
      <c r="A249" s="39"/>
      <c r="B249" s="40" t="s">
        <v>508</v>
      </c>
      <c r="C249" s="41" t="s">
        <v>127</v>
      </c>
      <c r="D249" s="41" t="s">
        <v>439</v>
      </c>
      <c r="E249" s="42" t="n">
        <v>8000</v>
      </c>
      <c r="F249" s="42"/>
      <c r="G249" s="42" t="n">
        <f aca="false">250+250</f>
        <v>500</v>
      </c>
      <c r="H249" s="43" t="n">
        <v>1</v>
      </c>
      <c r="I249" s="34" t="n">
        <f aca="false">E249*H249+N(F249)+N(G249)</f>
        <v>8500</v>
      </c>
      <c r="J249" s="42" t="n">
        <f aca="false">ROUND(IFERROR(ROUND(IF(OR(ISNUMBER(SEARCH("week",C249)),ISNUMBER(SEARCH("minggu",C249))),IFERROR(_xlfn.NUMBERVALUE(SUBSTITUTE(LEFT(TRIM(C249),FIND(" ",TRIM(C249)&amp;" ")-1),",","."),"."),LEFT(SUBSTITUTE(LEFT(TRIM(C249),FIND(" ",TRIM(C249)&amp;" ")-1),",","."),FIND("/",SUBSTITUTE(LEFT(TRIM(C249),FIND(" ",TRIM(C249)&amp;" ")-1),",","."))-1)/MID(SUBSTITUTE(LEFT(TRIM(C249),FIND(" ",TRIM(C249)&amp;" ")-1),",","."),FIND("/",SUBSTITUTE(LEFT(TRIM(C249),FIND(" ",TRIM(C249)&amp;" ")-1),",","."))+1,9))*12/52,IF(ISNUMBER(SEARCH("month",C249)),IFERROR(_xlfn.NUMBERVALUE(SUBSTITUTE(LEFT(TRIM(C249),FIND(" ",TRIM(C249)&amp;" ")-1),",","."),"."),LEFT(SUBSTITUTE(LEFT(TRIM(C249),FIND(" ",TRIM(C249)&amp;" ")-1),",","."),FIND("/",SUBSTITUTE(LEFT(TRIM(C249),FIND(" ",TRIM(C249)&amp;" ")-1),",","."))-1)/MID(SUBSTITUTE(LEFT(TRIM(C249),FIND(" ",TRIM(C249)&amp;" ")-1),",","."),FIND("/",SUBSTITUTE(LEFT(TRIM(C249),FIND(" ",TRIM(C249)&amp;" ")-1),",","."))+1,9)),IF(ISNUMBER(SEARCH("yea",C249)),IFERROR(_xlfn.NUMBERVALUE(SUBSTITUTE(LEFT(TRIM(C249),FIND(" ",TRIM(C249)&amp;" ")-1),",","."),"."),LEFT(SUBSTITUTE(LEFT(TRIM(C249),FIND(" ",TRIM(C249)&amp;" ")-1),",","."),FIND("/",SUBSTITUTE(LEFT(TRIM(C249),FIND(" ",TRIM(C249)&amp;" ")-1),",","."))-1)/MID(SUBSTITUTE(LEFT(TRIM(C249),FIND(" ",TRIM(C249)&amp;" ")-1),",","."),FIND("/",SUBSTITUTE(LEFT(TRIM(C249),FIND(" ",TRIM(C249)&amp;" ")-1),",","."))+1,9))*12,NA()))),0),36)*'Aturan &amp; Tarif'!$B$4,2)</f>
        <v>2044.08</v>
      </c>
      <c r="K249" s="42" t="n">
        <f aca="false">'Aturan &amp; Tarif'!$B$5</f>
        <v>2050</v>
      </c>
      <c r="L249" s="35" t="n">
        <f aca="false">I249+J249+K249</f>
        <v>12594.08</v>
      </c>
      <c r="M249" s="45" t="s">
        <v>507</v>
      </c>
    </row>
    <row r="250" customFormat="false" ht="14.25" hidden="false" customHeight="true" outlineLevel="0" collapsed="false">
      <c r="A250" s="39"/>
      <c r="B250" s="40" t="s">
        <v>509</v>
      </c>
      <c r="C250" s="41" t="s">
        <v>127</v>
      </c>
      <c r="D250" s="41" t="s">
        <v>439</v>
      </c>
      <c r="E250" s="42" t="n">
        <v>8000</v>
      </c>
      <c r="F250" s="42"/>
      <c r="G250" s="42" t="n">
        <f aca="false">250+250</f>
        <v>500</v>
      </c>
      <c r="H250" s="43" t="n">
        <v>1</v>
      </c>
      <c r="I250" s="34" t="n">
        <f aca="false">E250*H250+N(F250)+N(G250)</f>
        <v>8500</v>
      </c>
      <c r="J250" s="42" t="n">
        <f aca="false">ROUND(IFERROR(ROUND(IF(OR(ISNUMBER(SEARCH("week",C250)),ISNUMBER(SEARCH("minggu",C250))),IFERROR(_xlfn.NUMBERVALUE(SUBSTITUTE(LEFT(TRIM(C250),FIND(" ",TRIM(C250)&amp;" ")-1),",","."),"."),LEFT(SUBSTITUTE(LEFT(TRIM(C250),FIND(" ",TRIM(C250)&amp;" ")-1),",","."),FIND("/",SUBSTITUTE(LEFT(TRIM(C250),FIND(" ",TRIM(C250)&amp;" ")-1),",","."))-1)/MID(SUBSTITUTE(LEFT(TRIM(C250),FIND(" ",TRIM(C250)&amp;" ")-1),",","."),FIND("/",SUBSTITUTE(LEFT(TRIM(C250),FIND(" ",TRIM(C250)&amp;" ")-1),",","."))+1,9))*12/52,IF(ISNUMBER(SEARCH("month",C250)),IFERROR(_xlfn.NUMBERVALUE(SUBSTITUTE(LEFT(TRIM(C250),FIND(" ",TRIM(C250)&amp;" ")-1),",","."),"."),LEFT(SUBSTITUTE(LEFT(TRIM(C250),FIND(" ",TRIM(C250)&amp;" ")-1),",","."),FIND("/",SUBSTITUTE(LEFT(TRIM(C250),FIND(" ",TRIM(C250)&amp;" ")-1),",","."))-1)/MID(SUBSTITUTE(LEFT(TRIM(C250),FIND(" ",TRIM(C250)&amp;" ")-1),",","."),FIND("/",SUBSTITUTE(LEFT(TRIM(C250),FIND(" ",TRIM(C250)&amp;" ")-1),",","."))+1,9)),IF(ISNUMBER(SEARCH("yea",C250)),IFERROR(_xlfn.NUMBERVALUE(SUBSTITUTE(LEFT(TRIM(C250),FIND(" ",TRIM(C250)&amp;" ")-1),",","."),"."),LEFT(SUBSTITUTE(LEFT(TRIM(C250),FIND(" ",TRIM(C250)&amp;" ")-1),",","."),FIND("/",SUBSTITUTE(LEFT(TRIM(C250),FIND(" ",TRIM(C250)&amp;" ")-1),",","."))-1)/MID(SUBSTITUTE(LEFT(TRIM(C250),FIND(" ",TRIM(C250)&amp;" ")-1),",","."),FIND("/",SUBSTITUTE(LEFT(TRIM(C250),FIND(" ",TRIM(C250)&amp;" ")-1),",","."))+1,9))*12,NA()))),0),36)*'Aturan &amp; Tarif'!$B$4,2)</f>
        <v>2044.08</v>
      </c>
      <c r="K250" s="42" t="n">
        <f aca="false">'Aturan &amp; Tarif'!$B$5</f>
        <v>2050</v>
      </c>
      <c r="L250" s="35" t="n">
        <f aca="false">I250+J250+K250</f>
        <v>12594.08</v>
      </c>
      <c r="M250" s="45" t="s">
        <v>507</v>
      </c>
    </row>
    <row r="251" customFormat="false" ht="60" hidden="false" customHeight="true" outlineLevel="0" collapsed="false">
      <c r="A251" s="39"/>
      <c r="B251" s="40" t="s">
        <v>510</v>
      </c>
      <c r="C251" s="41" t="s">
        <v>127</v>
      </c>
      <c r="D251" s="41" t="s">
        <v>439</v>
      </c>
      <c r="E251" s="42" t="n">
        <v>8000</v>
      </c>
      <c r="F251" s="42"/>
      <c r="G251" s="42" t="n">
        <f aca="false">250+250</f>
        <v>500</v>
      </c>
      <c r="H251" s="43" t="n">
        <v>1</v>
      </c>
      <c r="I251" s="34" t="n">
        <f aca="false">E251*H251+N(F251)+N(G251)</f>
        <v>8500</v>
      </c>
      <c r="J251" s="42" t="n">
        <f aca="false">ROUND(IFERROR(ROUND(IF(OR(ISNUMBER(SEARCH("week",C251)),ISNUMBER(SEARCH("minggu",C251))),IFERROR(_xlfn.NUMBERVALUE(SUBSTITUTE(LEFT(TRIM(C251),FIND(" ",TRIM(C251)&amp;" ")-1),",","."),"."),LEFT(SUBSTITUTE(LEFT(TRIM(C251),FIND(" ",TRIM(C251)&amp;" ")-1),",","."),FIND("/",SUBSTITUTE(LEFT(TRIM(C251),FIND(" ",TRIM(C251)&amp;" ")-1),",","."))-1)/MID(SUBSTITUTE(LEFT(TRIM(C251),FIND(" ",TRIM(C251)&amp;" ")-1),",","."),FIND("/",SUBSTITUTE(LEFT(TRIM(C251),FIND(" ",TRIM(C251)&amp;" ")-1),",","."))+1,9))*12/52,IF(ISNUMBER(SEARCH("month",C251)),IFERROR(_xlfn.NUMBERVALUE(SUBSTITUTE(LEFT(TRIM(C251),FIND(" ",TRIM(C251)&amp;" ")-1),",","."),"."),LEFT(SUBSTITUTE(LEFT(TRIM(C251),FIND(" ",TRIM(C251)&amp;" ")-1),",","."),FIND("/",SUBSTITUTE(LEFT(TRIM(C251),FIND(" ",TRIM(C251)&amp;" ")-1),",","."))-1)/MID(SUBSTITUTE(LEFT(TRIM(C251),FIND(" ",TRIM(C251)&amp;" ")-1),",","."),FIND("/",SUBSTITUTE(LEFT(TRIM(C251),FIND(" ",TRIM(C251)&amp;" ")-1),",","."))+1,9)),IF(ISNUMBER(SEARCH("yea",C251)),IFERROR(_xlfn.NUMBERVALUE(SUBSTITUTE(LEFT(TRIM(C251),FIND(" ",TRIM(C251)&amp;" ")-1),",","."),"."),LEFT(SUBSTITUTE(LEFT(TRIM(C251),FIND(" ",TRIM(C251)&amp;" ")-1),",","."),FIND("/",SUBSTITUTE(LEFT(TRIM(C251),FIND(" ",TRIM(C251)&amp;" ")-1),",","."))-1)/MID(SUBSTITUTE(LEFT(TRIM(C251),FIND(" ",TRIM(C251)&amp;" ")-1),",","."),FIND("/",SUBSTITUTE(LEFT(TRIM(C251),FIND(" ",TRIM(C251)&amp;" ")-1),",","."))+1,9))*12,NA()))),0),36)*'Aturan &amp; Tarif'!$B$4,2)</f>
        <v>2044.08</v>
      </c>
      <c r="K251" s="42" t="n">
        <f aca="false">'Aturan &amp; Tarif'!$B$5</f>
        <v>2050</v>
      </c>
      <c r="L251" s="35" t="n">
        <f aca="false">I251+J251+K251</f>
        <v>12594.08</v>
      </c>
      <c r="M251" s="45" t="s">
        <v>507</v>
      </c>
    </row>
    <row r="252" customFormat="false" ht="48.75" hidden="false" customHeight="true" outlineLevel="0" collapsed="false">
      <c r="A252" s="39" t="s">
        <v>2821</v>
      </c>
      <c r="B252" s="40" t="s">
        <v>1596</v>
      </c>
      <c r="C252" s="41" t="s">
        <v>107</v>
      </c>
      <c r="D252" s="41" t="s">
        <v>108</v>
      </c>
      <c r="E252" s="42" t="n">
        <v>1375</v>
      </c>
      <c r="F252" s="42" t="n">
        <v>350</v>
      </c>
      <c r="G252" s="42" t="n">
        <v>250</v>
      </c>
      <c r="H252" s="43" t="n">
        <v>1</v>
      </c>
      <c r="I252" s="34" t="n">
        <f aca="false">E252*H252+N(F252)+N(G252)</f>
        <v>1975</v>
      </c>
      <c r="J252" s="42" t="n">
        <f aca="false">ROUND(IFERROR(ROUND(IF(OR(ISNUMBER(SEARCH("week",C252)),ISNUMBER(SEARCH("minggu",C252))),IFERROR(_xlfn.NUMBERVALUE(SUBSTITUTE(LEFT(TRIM(C252),FIND(" ",TRIM(C252)&amp;" ")-1),",","."),"."),LEFT(SUBSTITUTE(LEFT(TRIM(C252),FIND(" ",TRIM(C252)&amp;" ")-1),",","."),FIND("/",SUBSTITUTE(LEFT(TRIM(C252),FIND(" ",TRIM(C252)&amp;" ")-1),",","."))-1)/MID(SUBSTITUTE(LEFT(TRIM(C252),FIND(" ",TRIM(C252)&amp;" ")-1),",","."),FIND("/",SUBSTITUTE(LEFT(TRIM(C252),FIND(" ",TRIM(C252)&amp;" ")-1),",","."))+1,9))*12/52,IF(ISNUMBER(SEARCH("month",C252)),IFERROR(_xlfn.NUMBERVALUE(SUBSTITUTE(LEFT(TRIM(C252),FIND(" ",TRIM(C252)&amp;" ")-1),",","."),"."),LEFT(SUBSTITUTE(LEFT(TRIM(C252),FIND(" ",TRIM(C252)&amp;" ")-1),",","."),FIND("/",SUBSTITUTE(LEFT(TRIM(C252),FIND(" ",TRIM(C252)&amp;" ")-1),",","."))-1)/MID(SUBSTITUTE(LEFT(TRIM(C252),FIND(" ",TRIM(C252)&amp;" ")-1),",","."),FIND("/",SUBSTITUTE(LEFT(TRIM(C252),FIND(" ",TRIM(C252)&amp;" ")-1),",","."))+1,9)),IF(ISNUMBER(SEARCH("yea",C252)),IFERROR(_xlfn.NUMBERVALUE(SUBSTITUTE(LEFT(TRIM(C252),FIND(" ",TRIM(C252)&amp;" ")-1),",","."),"."),LEFT(SUBSTITUTE(LEFT(TRIM(C252),FIND(" ",TRIM(C252)&amp;" ")-1),",","."),FIND("/",SUBSTITUTE(LEFT(TRIM(C252),FIND(" ",TRIM(C252)&amp;" ")-1),",","."))-1)/MID(SUBSTITUTE(LEFT(TRIM(C252),FIND(" ",TRIM(C252)&amp;" ")-1),",","."),FIND("/",SUBSTITUTE(LEFT(TRIM(C252),FIND(" ",TRIM(C252)&amp;" ")-1),",","."))+1,9))*12,NA()))),0),24)*'Aturan &amp; Tarif'!$B$4,2)</f>
        <v>1362.72</v>
      </c>
      <c r="K252" s="42" t="n">
        <f aca="false">'Aturan &amp; Tarif'!$B$5</f>
        <v>2050</v>
      </c>
      <c r="L252" s="35" t="n">
        <f aca="false">I252+J252+K252</f>
        <v>5387.72</v>
      </c>
      <c r="M252" s="45" t="s">
        <v>134</v>
      </c>
    </row>
    <row r="253" customFormat="false" ht="48.75" hidden="false" customHeight="true" outlineLevel="0" collapsed="false">
      <c r="A253" s="39"/>
      <c r="B253" s="40" t="s">
        <v>3339</v>
      </c>
      <c r="C253" s="41" t="s">
        <v>113</v>
      </c>
      <c r="D253" s="41" t="s">
        <v>108</v>
      </c>
      <c r="E253" s="42" t="n">
        <v>1700</v>
      </c>
      <c r="F253" s="42" t="n">
        <v>150</v>
      </c>
      <c r="G253" s="42" t="n">
        <v>250</v>
      </c>
      <c r="H253" s="43" t="n">
        <v>1</v>
      </c>
      <c r="I253" s="34" t="n">
        <f aca="false">E253*H253+N(F253)+N(G253)</f>
        <v>2100</v>
      </c>
      <c r="J253" s="42" t="n">
        <f aca="false">ROUND(IFERROR(ROUND(IF(OR(ISNUMBER(SEARCH("week",C253)),ISNUMBER(SEARCH("minggu",C253))),IFERROR(_xlfn.NUMBERVALUE(SUBSTITUTE(LEFT(TRIM(C253),FIND(" ",TRIM(C253)&amp;" ")-1),",","."),"."),LEFT(SUBSTITUTE(LEFT(TRIM(C253),FIND(" ",TRIM(C253)&amp;" ")-1),",","."),FIND("/",SUBSTITUTE(LEFT(TRIM(C253),FIND(" ",TRIM(C253)&amp;" ")-1),",","."))-1)/MID(SUBSTITUTE(LEFT(TRIM(C253),FIND(" ",TRIM(C253)&amp;" ")-1),",","."),FIND("/",SUBSTITUTE(LEFT(TRIM(C253),FIND(" ",TRIM(C253)&amp;" ")-1),",","."))+1,9))*12/52,IF(ISNUMBER(SEARCH("month",C253)),IFERROR(_xlfn.NUMBERVALUE(SUBSTITUTE(LEFT(TRIM(C253),FIND(" ",TRIM(C253)&amp;" ")-1),",","."),"."),LEFT(SUBSTITUTE(LEFT(TRIM(C253),FIND(" ",TRIM(C253)&amp;" ")-1),",","."),FIND("/",SUBSTITUTE(LEFT(TRIM(C253),FIND(" ",TRIM(C253)&amp;" ")-1),",","."))-1)/MID(SUBSTITUTE(LEFT(TRIM(C253),FIND(" ",TRIM(C253)&amp;" ")-1),",","."),FIND("/",SUBSTITUTE(LEFT(TRIM(C253),FIND(" ",TRIM(C253)&amp;" ")-1),",","."))+1,9)),IF(ISNUMBER(SEARCH("yea",C253)),IFERROR(_xlfn.NUMBERVALUE(SUBSTITUTE(LEFT(TRIM(C253),FIND(" ",TRIM(C253)&amp;" ")-1),",","."),"."),LEFT(SUBSTITUTE(LEFT(TRIM(C253),FIND(" ",TRIM(C253)&amp;" ")-1),",","."),FIND("/",SUBSTITUTE(LEFT(TRIM(C253),FIND(" ",TRIM(C253)&amp;" ")-1),",","."))-1)/MID(SUBSTITUTE(LEFT(TRIM(C253),FIND(" ",TRIM(C253)&amp;" ")-1),",","."),FIND("/",SUBSTITUTE(LEFT(TRIM(C253),FIND(" ",TRIM(C253)&amp;" ")-1),",","."))+1,9))*12,NA()))),0),18)*'Aturan &amp; Tarif'!$B$4,2)</f>
        <v>1022.04</v>
      </c>
      <c r="K253" s="42" t="n">
        <f aca="false">'Aturan &amp; Tarif'!$B$5</f>
        <v>2050</v>
      </c>
      <c r="L253" s="35" t="n">
        <f aca="false">I253+J253+K253</f>
        <v>5172.04</v>
      </c>
      <c r="M253" s="44" t="s">
        <v>3340</v>
      </c>
    </row>
    <row r="254" customFormat="false" ht="14.25" hidden="false" customHeight="true" outlineLevel="0" collapsed="false">
      <c r="A254" s="39"/>
      <c r="B254" s="40" t="s">
        <v>3341</v>
      </c>
      <c r="C254" s="41" t="s">
        <v>113</v>
      </c>
      <c r="D254" s="41" t="s">
        <v>108</v>
      </c>
      <c r="E254" s="42" t="n">
        <v>1700</v>
      </c>
      <c r="F254" s="42" t="n">
        <v>150</v>
      </c>
      <c r="G254" s="42" t="n">
        <v>250</v>
      </c>
      <c r="H254" s="43" t="n">
        <v>1</v>
      </c>
      <c r="I254" s="34" t="n">
        <f aca="false">E254*H254+N(F254)+N(G254)</f>
        <v>2100</v>
      </c>
      <c r="J254" s="42" t="n">
        <f aca="false">ROUND(IFERROR(ROUND(IF(OR(ISNUMBER(SEARCH("week",C254)),ISNUMBER(SEARCH("minggu",C254))),IFERROR(_xlfn.NUMBERVALUE(SUBSTITUTE(LEFT(TRIM(C254),FIND(" ",TRIM(C254)&amp;" ")-1),",","."),"."),LEFT(SUBSTITUTE(LEFT(TRIM(C254),FIND(" ",TRIM(C254)&amp;" ")-1),",","."),FIND("/",SUBSTITUTE(LEFT(TRIM(C254),FIND(" ",TRIM(C254)&amp;" ")-1),",","."))-1)/MID(SUBSTITUTE(LEFT(TRIM(C254),FIND(" ",TRIM(C254)&amp;" ")-1),",","."),FIND("/",SUBSTITUTE(LEFT(TRIM(C254),FIND(" ",TRIM(C254)&amp;" ")-1),",","."))+1,9))*12/52,IF(ISNUMBER(SEARCH("month",C254)),IFERROR(_xlfn.NUMBERVALUE(SUBSTITUTE(LEFT(TRIM(C254),FIND(" ",TRIM(C254)&amp;" ")-1),",","."),"."),LEFT(SUBSTITUTE(LEFT(TRIM(C254),FIND(" ",TRIM(C254)&amp;" ")-1),",","."),FIND("/",SUBSTITUTE(LEFT(TRIM(C254),FIND(" ",TRIM(C254)&amp;" ")-1),",","."))-1)/MID(SUBSTITUTE(LEFT(TRIM(C254),FIND(" ",TRIM(C254)&amp;" ")-1),",","."),FIND("/",SUBSTITUTE(LEFT(TRIM(C254),FIND(" ",TRIM(C254)&amp;" ")-1),",","."))+1,9)),IF(ISNUMBER(SEARCH("yea",C254)),IFERROR(_xlfn.NUMBERVALUE(SUBSTITUTE(LEFT(TRIM(C254),FIND(" ",TRIM(C254)&amp;" ")-1),",","."),"."),LEFT(SUBSTITUTE(LEFT(TRIM(C254),FIND(" ",TRIM(C254)&amp;" ")-1),",","."),FIND("/",SUBSTITUTE(LEFT(TRIM(C254),FIND(" ",TRIM(C254)&amp;" ")-1),",","."))-1)/MID(SUBSTITUTE(LEFT(TRIM(C254),FIND(" ",TRIM(C254)&amp;" ")-1),",","."),FIND("/",SUBSTITUTE(LEFT(TRIM(C254),FIND(" ",TRIM(C254)&amp;" ")-1),",","."))+1,9))*12,NA()))),0),18)*'Aturan &amp; Tarif'!$B$4,2)</f>
        <v>1022.04</v>
      </c>
      <c r="K254" s="42" t="n">
        <f aca="false">'Aturan &amp; Tarif'!$B$5</f>
        <v>2050</v>
      </c>
      <c r="L254" s="35" t="n">
        <f aca="false">I254+J254+K254</f>
        <v>5172.04</v>
      </c>
      <c r="M254" s="44" t="s">
        <v>3340</v>
      </c>
    </row>
    <row r="255" customFormat="false" ht="83.25" hidden="false" customHeight="true" outlineLevel="0" collapsed="false">
      <c r="A255" s="39"/>
      <c r="B255" s="40" t="s">
        <v>880</v>
      </c>
      <c r="C255" s="41" t="s">
        <v>107</v>
      </c>
      <c r="D255" s="41" t="s">
        <v>108</v>
      </c>
      <c r="E255" s="42" t="n">
        <v>1438</v>
      </c>
      <c r="F255" s="42" t="n">
        <v>350</v>
      </c>
      <c r="G255" s="42" t="n">
        <v>250</v>
      </c>
      <c r="H255" s="43" t="n">
        <v>1</v>
      </c>
      <c r="I255" s="34" t="n">
        <f aca="false">E255*H255+N(F255)+N(G255)</f>
        <v>2038</v>
      </c>
      <c r="J255" s="42" t="n">
        <f aca="false">ROUND(IFERROR(ROUND(IF(OR(ISNUMBER(SEARCH("week",C255)),ISNUMBER(SEARCH("minggu",C255))),IFERROR(_xlfn.NUMBERVALUE(SUBSTITUTE(LEFT(TRIM(C255),FIND(" ",TRIM(C255)&amp;" ")-1),",","."),"."),LEFT(SUBSTITUTE(LEFT(TRIM(C255),FIND(" ",TRIM(C255)&amp;" ")-1),",","."),FIND("/",SUBSTITUTE(LEFT(TRIM(C255),FIND(" ",TRIM(C255)&amp;" ")-1),",","."))-1)/MID(SUBSTITUTE(LEFT(TRIM(C255),FIND(" ",TRIM(C255)&amp;" ")-1),",","."),FIND("/",SUBSTITUTE(LEFT(TRIM(C255),FIND(" ",TRIM(C255)&amp;" ")-1),",","."))+1,9))*12/52,IF(ISNUMBER(SEARCH("month",C255)),IFERROR(_xlfn.NUMBERVALUE(SUBSTITUTE(LEFT(TRIM(C255),FIND(" ",TRIM(C255)&amp;" ")-1),",","."),"."),LEFT(SUBSTITUTE(LEFT(TRIM(C255),FIND(" ",TRIM(C255)&amp;" ")-1),",","."),FIND("/",SUBSTITUTE(LEFT(TRIM(C255),FIND(" ",TRIM(C255)&amp;" ")-1),",","."))-1)/MID(SUBSTITUTE(LEFT(TRIM(C255),FIND(" ",TRIM(C255)&amp;" ")-1),",","."),FIND("/",SUBSTITUTE(LEFT(TRIM(C255),FIND(" ",TRIM(C255)&amp;" ")-1),",","."))+1,9)),IF(ISNUMBER(SEARCH("yea",C255)),IFERROR(_xlfn.NUMBERVALUE(SUBSTITUTE(LEFT(TRIM(C255),FIND(" ",TRIM(C255)&amp;" ")-1),",","."),"."),LEFT(SUBSTITUTE(LEFT(TRIM(C255),FIND(" ",TRIM(C255)&amp;" ")-1),",","."),FIND("/",SUBSTITUTE(LEFT(TRIM(C255),FIND(" ",TRIM(C255)&amp;" ")-1),",","."))-1)/MID(SUBSTITUTE(LEFT(TRIM(C255),FIND(" ",TRIM(C255)&amp;" ")-1),",","."),FIND("/",SUBSTITUTE(LEFT(TRIM(C255),FIND(" ",TRIM(C255)&amp;" ")-1),",","."))+1,9))*12,NA()))),0),24)*'Aturan &amp; Tarif'!$B$4,2)</f>
        <v>1362.72</v>
      </c>
      <c r="K255" s="42" t="n">
        <f aca="false">'Aturan &amp; Tarif'!$B$5</f>
        <v>2050</v>
      </c>
      <c r="L255" s="35" t="n">
        <f aca="false">I255+J255+K255</f>
        <v>5450.72</v>
      </c>
      <c r="M255" s="45" t="s">
        <v>134</v>
      </c>
    </row>
    <row r="256" customFormat="false" ht="37.5" hidden="false" customHeight="true" outlineLevel="0" collapsed="false">
      <c r="A256" s="39" t="s">
        <v>2825</v>
      </c>
      <c r="B256" s="40" t="s">
        <v>148</v>
      </c>
      <c r="C256" s="41" t="s">
        <v>107</v>
      </c>
      <c r="D256" s="41" t="s">
        <v>108</v>
      </c>
      <c r="E256" s="42" t="n">
        <v>2000</v>
      </c>
      <c r="F256" s="42" t="n">
        <v>1250</v>
      </c>
      <c r="G256" s="42" t="n">
        <v>250</v>
      </c>
      <c r="H256" s="43" t="n">
        <v>2</v>
      </c>
      <c r="I256" s="34" t="n">
        <f aca="false">E256*H256+N(F256)+N(G256)</f>
        <v>5500</v>
      </c>
      <c r="J256" s="42" t="n">
        <f aca="false">ROUND(IFERROR(ROUND(IF(OR(ISNUMBER(SEARCH("week",C256)),ISNUMBER(SEARCH("minggu",C256))),IFERROR(_xlfn.NUMBERVALUE(SUBSTITUTE(LEFT(TRIM(C256),FIND(" ",TRIM(C256)&amp;" ")-1),",","."),"."),LEFT(SUBSTITUTE(LEFT(TRIM(C256),FIND(" ",TRIM(C256)&amp;" ")-1),",","."),FIND("/",SUBSTITUTE(LEFT(TRIM(C256),FIND(" ",TRIM(C256)&amp;" ")-1),",","."))-1)/MID(SUBSTITUTE(LEFT(TRIM(C256),FIND(" ",TRIM(C256)&amp;" ")-1),",","."),FIND("/",SUBSTITUTE(LEFT(TRIM(C256),FIND(" ",TRIM(C256)&amp;" ")-1),",","."))+1,9))*12/52,IF(ISNUMBER(SEARCH("month",C256)),IFERROR(_xlfn.NUMBERVALUE(SUBSTITUTE(LEFT(TRIM(C256),FIND(" ",TRIM(C256)&amp;" ")-1),",","."),"."),LEFT(SUBSTITUTE(LEFT(TRIM(C256),FIND(" ",TRIM(C256)&amp;" ")-1),",","."),FIND("/",SUBSTITUTE(LEFT(TRIM(C256),FIND(" ",TRIM(C256)&amp;" ")-1),",","."))-1)/MID(SUBSTITUTE(LEFT(TRIM(C256),FIND(" ",TRIM(C256)&amp;" ")-1),",","."),FIND("/",SUBSTITUTE(LEFT(TRIM(C256),FIND(" ",TRIM(C256)&amp;" ")-1),",","."))+1,9)),IF(ISNUMBER(SEARCH("yea",C256)),IFERROR(_xlfn.NUMBERVALUE(SUBSTITUTE(LEFT(TRIM(C256),FIND(" ",TRIM(C256)&amp;" ")-1),",","."),"."),LEFT(SUBSTITUTE(LEFT(TRIM(C256),FIND(" ",TRIM(C256)&amp;" ")-1),",","."),FIND("/",SUBSTITUTE(LEFT(TRIM(C256),FIND(" ",TRIM(C256)&amp;" ")-1),",","."))-1)/MID(SUBSTITUTE(LEFT(TRIM(C256),FIND(" ",TRIM(C256)&amp;" ")-1),",","."),FIND("/",SUBSTITUTE(LEFT(TRIM(C256),FIND(" ",TRIM(C256)&amp;" ")-1),",","."))+1,9))*12,NA()))),0),24)*'Aturan &amp; Tarif'!$B$4,2)</f>
        <v>1362.72</v>
      </c>
      <c r="K256" s="42" t="n">
        <f aca="false">'Aturan &amp; Tarif'!$B$5</f>
        <v>2050</v>
      </c>
      <c r="L256" s="35" t="n">
        <f aca="false">I256+J256+K256</f>
        <v>8912.72</v>
      </c>
      <c r="M256" s="45" t="s">
        <v>2826</v>
      </c>
    </row>
    <row r="257" customFormat="false" ht="37.5" hidden="false" customHeight="true" outlineLevel="0" collapsed="false">
      <c r="A257" s="39"/>
      <c r="B257" s="40" t="s">
        <v>3342</v>
      </c>
      <c r="C257" s="41" t="s">
        <v>107</v>
      </c>
      <c r="D257" s="41" t="s">
        <v>108</v>
      </c>
      <c r="E257" s="42" t="n">
        <v>2125</v>
      </c>
      <c r="F257" s="42" t="n">
        <v>1250</v>
      </c>
      <c r="G257" s="42" t="n">
        <v>250</v>
      </c>
      <c r="H257" s="43" t="n">
        <v>2</v>
      </c>
      <c r="I257" s="34" t="n">
        <f aca="false">E257*H257+N(F257)+N(G257)</f>
        <v>5750</v>
      </c>
      <c r="J257" s="42" t="n">
        <f aca="false">ROUND(IFERROR(ROUND(IF(OR(ISNUMBER(SEARCH("week",C257)),ISNUMBER(SEARCH("minggu",C257))),IFERROR(_xlfn.NUMBERVALUE(SUBSTITUTE(LEFT(TRIM(C257),FIND(" ",TRIM(C257)&amp;" ")-1),",","."),"."),LEFT(SUBSTITUTE(LEFT(TRIM(C257),FIND(" ",TRIM(C257)&amp;" ")-1),",","."),FIND("/",SUBSTITUTE(LEFT(TRIM(C257),FIND(" ",TRIM(C257)&amp;" ")-1),",","."))-1)/MID(SUBSTITUTE(LEFT(TRIM(C257),FIND(" ",TRIM(C257)&amp;" ")-1),",","."),FIND("/",SUBSTITUTE(LEFT(TRIM(C257),FIND(" ",TRIM(C257)&amp;" ")-1),",","."))+1,9))*12/52,IF(ISNUMBER(SEARCH("month",C257)),IFERROR(_xlfn.NUMBERVALUE(SUBSTITUTE(LEFT(TRIM(C257),FIND(" ",TRIM(C257)&amp;" ")-1),",","."),"."),LEFT(SUBSTITUTE(LEFT(TRIM(C257),FIND(" ",TRIM(C257)&amp;" ")-1),",","."),FIND("/",SUBSTITUTE(LEFT(TRIM(C257),FIND(" ",TRIM(C257)&amp;" ")-1),",","."))-1)/MID(SUBSTITUTE(LEFT(TRIM(C257),FIND(" ",TRIM(C257)&amp;" ")-1),",","."),FIND("/",SUBSTITUTE(LEFT(TRIM(C257),FIND(" ",TRIM(C257)&amp;" ")-1),",","."))+1,9)),IF(ISNUMBER(SEARCH("yea",C257)),IFERROR(_xlfn.NUMBERVALUE(SUBSTITUTE(LEFT(TRIM(C257),FIND(" ",TRIM(C257)&amp;" ")-1),",","."),"."),LEFT(SUBSTITUTE(LEFT(TRIM(C257),FIND(" ",TRIM(C257)&amp;" ")-1),",","."),FIND("/",SUBSTITUTE(LEFT(TRIM(C257),FIND(" ",TRIM(C257)&amp;" ")-1),",","."))-1)/MID(SUBSTITUTE(LEFT(TRIM(C257),FIND(" ",TRIM(C257)&amp;" ")-1),",","."),FIND("/",SUBSTITUTE(LEFT(TRIM(C257),FIND(" ",TRIM(C257)&amp;" ")-1),",","."))+1,9))*12,NA()))),0),24)*'Aturan &amp; Tarif'!$B$4,2)</f>
        <v>1362.72</v>
      </c>
      <c r="K257" s="42" t="n">
        <f aca="false">'Aturan &amp; Tarif'!$B$5</f>
        <v>2050</v>
      </c>
      <c r="L257" s="35" t="n">
        <f aca="false">I257+J257+K257</f>
        <v>9162.72</v>
      </c>
      <c r="M257" s="44" t="s">
        <v>3343</v>
      </c>
    </row>
    <row r="258" customFormat="false" ht="25.5" hidden="false" customHeight="true" outlineLevel="0" collapsed="false">
      <c r="A258" s="39"/>
      <c r="B258" s="40" t="s">
        <v>3260</v>
      </c>
      <c r="C258" s="41" t="s">
        <v>127</v>
      </c>
      <c r="D258" s="41" t="s">
        <v>108</v>
      </c>
      <c r="E258" s="42" t="n">
        <v>2000</v>
      </c>
      <c r="F258" s="42" t="n">
        <v>1000</v>
      </c>
      <c r="G258" s="42" t="n">
        <v>250</v>
      </c>
      <c r="H258" s="43" t="n">
        <v>2</v>
      </c>
      <c r="I258" s="34" t="n">
        <f aca="false">E258*H258+N(F258)+N(G258)</f>
        <v>5250</v>
      </c>
      <c r="J258" s="42" t="n">
        <f aca="false">ROUND(IFERROR(ROUND(IF(OR(ISNUMBER(SEARCH("week",C258)),ISNUMBER(SEARCH("minggu",C258))),IFERROR(_xlfn.NUMBERVALUE(SUBSTITUTE(LEFT(TRIM(C258),FIND(" ",TRIM(C258)&amp;" ")-1),",","."),"."),LEFT(SUBSTITUTE(LEFT(TRIM(C258),FIND(" ",TRIM(C258)&amp;" ")-1),",","."),FIND("/",SUBSTITUTE(LEFT(TRIM(C258),FIND(" ",TRIM(C258)&amp;" ")-1),",","."))-1)/MID(SUBSTITUTE(LEFT(TRIM(C258),FIND(" ",TRIM(C258)&amp;" ")-1),",","."),FIND("/",SUBSTITUTE(LEFT(TRIM(C258),FIND(" ",TRIM(C258)&amp;" ")-1),",","."))+1,9))*12/52,IF(ISNUMBER(SEARCH("month",C258)),IFERROR(_xlfn.NUMBERVALUE(SUBSTITUTE(LEFT(TRIM(C258),FIND(" ",TRIM(C258)&amp;" ")-1),",","."),"."),LEFT(SUBSTITUTE(LEFT(TRIM(C258),FIND(" ",TRIM(C258)&amp;" ")-1),",","."),FIND("/",SUBSTITUTE(LEFT(TRIM(C258),FIND(" ",TRIM(C258)&amp;" ")-1),",","."))-1)/MID(SUBSTITUTE(LEFT(TRIM(C258),FIND(" ",TRIM(C258)&amp;" ")-1),",","."),FIND("/",SUBSTITUTE(LEFT(TRIM(C258),FIND(" ",TRIM(C258)&amp;" ")-1),",","."))+1,9)),IF(ISNUMBER(SEARCH("yea",C258)),IFERROR(_xlfn.NUMBERVALUE(SUBSTITUTE(LEFT(TRIM(C258),FIND(" ",TRIM(C258)&amp;" ")-1),",","."),"."),LEFT(SUBSTITUTE(LEFT(TRIM(C258),FIND(" ",TRIM(C258)&amp;" ")-1),",","."),FIND("/",SUBSTITUTE(LEFT(TRIM(C258),FIND(" ",TRIM(C258)&amp;" ")-1),",","."))-1)/MID(SUBSTITUTE(LEFT(TRIM(C258),FIND(" ",TRIM(C258)&amp;" ")-1),",","."),FIND("/",SUBSTITUTE(LEFT(TRIM(C258),FIND(" ",TRIM(C258)&amp;" ")-1),",","."))+1,9))*12,NA()))),0),36)*'Aturan &amp; Tarif'!$B$4,2)</f>
        <v>2044.08</v>
      </c>
      <c r="K258" s="42" t="n">
        <f aca="false">'Aturan &amp; Tarif'!$B$5</f>
        <v>2050</v>
      </c>
      <c r="L258" s="35" t="n">
        <f aca="false">I258+J258+K258</f>
        <v>9344.08</v>
      </c>
      <c r="M258" s="45" t="s">
        <v>3344</v>
      </c>
    </row>
    <row r="259" customFormat="false" ht="37.5" hidden="false" customHeight="true" outlineLevel="0" collapsed="false">
      <c r="A259" s="29" t="s">
        <v>2827</v>
      </c>
      <c r="B259" s="30" t="s">
        <v>3345</v>
      </c>
      <c r="C259" s="31" t="s">
        <v>107</v>
      </c>
      <c r="D259" s="31" t="s">
        <v>108</v>
      </c>
      <c r="E259" s="32" t="n">
        <v>1500</v>
      </c>
      <c r="F259" s="32" t="n">
        <v>500</v>
      </c>
      <c r="G259" s="32" t="n">
        <v>200</v>
      </c>
      <c r="H259" s="33" t="n">
        <v>1</v>
      </c>
      <c r="I259" s="34" t="n">
        <f aca="false">E259*H259+N(F259)+N(G259)</f>
        <v>2200</v>
      </c>
      <c r="J259" s="32" t="n">
        <f aca="false">ROUND(IFERROR(ROUND(IF(OR(ISNUMBER(SEARCH("week",C259)),ISNUMBER(SEARCH("minggu",C259))),IFERROR(_xlfn.NUMBERVALUE(SUBSTITUTE(LEFT(TRIM(C259),FIND(" ",TRIM(C259)&amp;" ")-1),",","."),"."),LEFT(SUBSTITUTE(LEFT(TRIM(C259),FIND(" ",TRIM(C259)&amp;" ")-1),",","."),FIND("/",SUBSTITUTE(LEFT(TRIM(C259),FIND(" ",TRIM(C259)&amp;" ")-1),",","."))-1)/MID(SUBSTITUTE(LEFT(TRIM(C259),FIND(" ",TRIM(C259)&amp;" ")-1),",","."),FIND("/",SUBSTITUTE(LEFT(TRIM(C259),FIND(" ",TRIM(C259)&amp;" ")-1),",","."))+1,9))*12/52,IF(ISNUMBER(SEARCH("month",C259)),IFERROR(_xlfn.NUMBERVALUE(SUBSTITUTE(LEFT(TRIM(C259),FIND(" ",TRIM(C259)&amp;" ")-1),",","."),"."),LEFT(SUBSTITUTE(LEFT(TRIM(C259),FIND(" ",TRIM(C259)&amp;" ")-1),",","."),FIND("/",SUBSTITUTE(LEFT(TRIM(C259),FIND(" ",TRIM(C259)&amp;" ")-1),",","."))-1)/MID(SUBSTITUTE(LEFT(TRIM(C259),FIND(" ",TRIM(C259)&amp;" ")-1),",","."),FIND("/",SUBSTITUTE(LEFT(TRIM(C259),FIND(" ",TRIM(C259)&amp;" ")-1),",","."))+1,9)),IF(ISNUMBER(SEARCH("yea",C259)),IFERROR(_xlfn.NUMBERVALUE(SUBSTITUTE(LEFT(TRIM(C259),FIND(" ",TRIM(C259)&amp;" ")-1),",","."),"."),LEFT(SUBSTITUTE(LEFT(TRIM(C259),FIND(" ",TRIM(C259)&amp;" ")-1),",","."),FIND("/",SUBSTITUTE(LEFT(TRIM(C259),FIND(" ",TRIM(C259)&amp;" ")-1),",","."))-1)/MID(SUBSTITUTE(LEFT(TRIM(C259),FIND(" ",TRIM(C259)&amp;" ")-1),",","."),FIND("/",SUBSTITUTE(LEFT(TRIM(C259),FIND(" ",TRIM(C259)&amp;" ")-1),",","."))+1,9))*12,NA()))),0),24)*'Aturan &amp; Tarif'!$B$4,2)</f>
        <v>1362.72</v>
      </c>
      <c r="K259" s="32" t="n">
        <f aca="false">'Aturan &amp; Tarif'!$B$5</f>
        <v>2050</v>
      </c>
      <c r="L259" s="35" t="n">
        <f aca="false">I259+J259+K259</f>
        <v>5612.72</v>
      </c>
      <c r="M259" s="36" t="s">
        <v>131</v>
      </c>
    </row>
    <row r="260" customFormat="false" ht="14.25" hidden="false" customHeight="true" outlineLevel="0" collapsed="false">
      <c r="A260" s="29"/>
      <c r="B260" s="30" t="s">
        <v>3346</v>
      </c>
      <c r="C260" s="31" t="s">
        <v>136</v>
      </c>
      <c r="D260" s="31" t="s">
        <v>108</v>
      </c>
      <c r="E260" s="32" t="n">
        <v>1450</v>
      </c>
      <c r="F260" s="32" t="n">
        <v>500</v>
      </c>
      <c r="G260" s="32" t="n">
        <v>200</v>
      </c>
      <c r="H260" s="33" t="n">
        <v>1</v>
      </c>
      <c r="I260" s="34" t="n">
        <f aca="false">E260*H260+N(F260)+N(G260)</f>
        <v>2150</v>
      </c>
      <c r="J260" s="32" t="n">
        <f aca="false">ROUND(IFERROR(ROUND(IF(OR(ISNUMBER(SEARCH("week",C260)),ISNUMBER(SEARCH("minggu",C260))),IFERROR(_xlfn.NUMBERVALUE(SUBSTITUTE(LEFT(TRIM(C260),FIND(" ",TRIM(C260)&amp;" ")-1),",","."),"."),LEFT(SUBSTITUTE(LEFT(TRIM(C260),FIND(" ",TRIM(C260)&amp;" ")-1),",","."),FIND("/",SUBSTITUTE(LEFT(TRIM(C260),FIND(" ",TRIM(C260)&amp;" ")-1),",","."))-1)/MID(SUBSTITUTE(LEFT(TRIM(C260),FIND(" ",TRIM(C260)&amp;" ")-1),",","."),FIND("/",SUBSTITUTE(LEFT(TRIM(C260),FIND(" ",TRIM(C260)&amp;" ")-1),",","."))+1,9))*12/52,IF(ISNUMBER(SEARCH("month",C260)),IFERROR(_xlfn.NUMBERVALUE(SUBSTITUTE(LEFT(TRIM(C260),FIND(" ",TRIM(C260)&amp;" ")-1),",","."),"."),LEFT(SUBSTITUTE(LEFT(TRIM(C260),FIND(" ",TRIM(C260)&amp;" ")-1),",","."),FIND("/",SUBSTITUTE(LEFT(TRIM(C260),FIND(" ",TRIM(C260)&amp;" ")-1),",","."))-1)/MID(SUBSTITUTE(LEFT(TRIM(C260),FIND(" ",TRIM(C260)&amp;" ")-1),",","."),FIND("/",SUBSTITUTE(LEFT(TRIM(C260),FIND(" ",TRIM(C260)&amp;" ")-1),",","."))+1,9)),IF(ISNUMBER(SEARCH("yea",C260)),IFERROR(_xlfn.NUMBERVALUE(SUBSTITUTE(LEFT(TRIM(C260),FIND(" ",TRIM(C260)&amp;" ")-1),",","."),"."),LEFT(SUBSTITUTE(LEFT(TRIM(C260),FIND(" ",TRIM(C260)&amp;" ")-1),",","."),FIND("/",SUBSTITUTE(LEFT(TRIM(C260),FIND(" ",TRIM(C260)&amp;" ")-1),",","."))-1)/MID(SUBSTITUTE(LEFT(TRIM(C260),FIND(" ",TRIM(C260)&amp;" ")-1),",","."),FIND("/",SUBSTITUTE(LEFT(TRIM(C260),FIND(" ",TRIM(C260)&amp;" ")-1),",","."))+1,9))*12,NA()))),0),42)*'Aturan &amp; Tarif'!$B$4,2)</f>
        <v>2384.76</v>
      </c>
      <c r="K260" s="32" t="n">
        <f aca="false">'Aturan &amp; Tarif'!$B$5</f>
        <v>2050</v>
      </c>
      <c r="L260" s="35" t="n">
        <f aca="false">I260+J260+K260</f>
        <v>6584.76</v>
      </c>
      <c r="M260" s="36" t="s">
        <v>131</v>
      </c>
    </row>
    <row r="261" customFormat="false" ht="14.25" hidden="false" customHeight="true" outlineLevel="0" collapsed="false">
      <c r="A261" s="29"/>
      <c r="B261" s="30" t="s">
        <v>621</v>
      </c>
      <c r="C261" s="31" t="s">
        <v>113</v>
      </c>
      <c r="D261" s="31" t="s">
        <v>108</v>
      </c>
      <c r="E261" s="32" t="n">
        <v>1466.6</v>
      </c>
      <c r="F261" s="32" t="n">
        <v>500</v>
      </c>
      <c r="G261" s="32" t="n">
        <v>200</v>
      </c>
      <c r="H261" s="33" t="n">
        <v>1</v>
      </c>
      <c r="I261" s="34" t="n">
        <f aca="false">E261*H261+N(F261)+N(G261)</f>
        <v>2166.6</v>
      </c>
      <c r="J261" s="32" t="n">
        <f aca="false">ROUND(IFERROR(ROUND(IF(OR(ISNUMBER(SEARCH("week",C261)),ISNUMBER(SEARCH("minggu",C261))),IFERROR(_xlfn.NUMBERVALUE(SUBSTITUTE(LEFT(TRIM(C261),FIND(" ",TRIM(C261)&amp;" ")-1),",","."),"."),LEFT(SUBSTITUTE(LEFT(TRIM(C261),FIND(" ",TRIM(C261)&amp;" ")-1),",","."),FIND("/",SUBSTITUTE(LEFT(TRIM(C261),FIND(" ",TRIM(C261)&amp;" ")-1),",","."))-1)/MID(SUBSTITUTE(LEFT(TRIM(C261),FIND(" ",TRIM(C261)&amp;" ")-1),",","."),FIND("/",SUBSTITUTE(LEFT(TRIM(C261),FIND(" ",TRIM(C261)&amp;" ")-1),",","."))+1,9))*12/52,IF(ISNUMBER(SEARCH("month",C261)),IFERROR(_xlfn.NUMBERVALUE(SUBSTITUTE(LEFT(TRIM(C261),FIND(" ",TRIM(C261)&amp;" ")-1),",","."),"."),LEFT(SUBSTITUTE(LEFT(TRIM(C261),FIND(" ",TRIM(C261)&amp;" ")-1),",","."),FIND("/",SUBSTITUTE(LEFT(TRIM(C261),FIND(" ",TRIM(C261)&amp;" ")-1),",","."))-1)/MID(SUBSTITUTE(LEFT(TRIM(C261),FIND(" ",TRIM(C261)&amp;" ")-1),",","."),FIND("/",SUBSTITUTE(LEFT(TRIM(C261),FIND(" ",TRIM(C261)&amp;" ")-1),",","."))+1,9)),IF(ISNUMBER(SEARCH("yea",C261)),IFERROR(_xlfn.NUMBERVALUE(SUBSTITUTE(LEFT(TRIM(C261),FIND(" ",TRIM(C261)&amp;" ")-1),",","."),"."),LEFT(SUBSTITUTE(LEFT(TRIM(C261),FIND(" ",TRIM(C261)&amp;" ")-1),",","."),FIND("/",SUBSTITUTE(LEFT(TRIM(C261),FIND(" ",TRIM(C261)&amp;" ")-1),",","."))-1)/MID(SUBSTITUTE(LEFT(TRIM(C261),FIND(" ",TRIM(C261)&amp;" ")-1),",","."),FIND("/",SUBSTITUTE(LEFT(TRIM(C261),FIND(" ",TRIM(C261)&amp;" ")-1),",","."))+1,9))*12,NA()))),0),18)*'Aturan &amp; Tarif'!$B$4,2)</f>
        <v>1022.04</v>
      </c>
      <c r="K261" s="32" t="n">
        <f aca="false">'Aturan &amp; Tarif'!$B$5</f>
        <v>2050</v>
      </c>
      <c r="L261" s="35" t="n">
        <f aca="false">I261+J261+K261</f>
        <v>5238.64</v>
      </c>
      <c r="M261" s="37" t="s">
        <v>134</v>
      </c>
    </row>
    <row r="262" customFormat="false" ht="14.25" hidden="false" customHeight="true" outlineLevel="0" collapsed="false">
      <c r="A262" s="29"/>
      <c r="B262" s="30" t="s">
        <v>848</v>
      </c>
      <c r="C262" s="31" t="s">
        <v>130</v>
      </c>
      <c r="D262" s="31" t="s">
        <v>108</v>
      </c>
      <c r="E262" s="32" t="n">
        <v>1450</v>
      </c>
      <c r="F262" s="32" t="n">
        <v>500</v>
      </c>
      <c r="G262" s="32" t="n">
        <v>200</v>
      </c>
      <c r="H262" s="33" t="n">
        <v>1</v>
      </c>
      <c r="I262" s="34" t="n">
        <f aca="false">E262*H262+N(F262)+N(G262)</f>
        <v>2150</v>
      </c>
      <c r="J262" s="32" t="n">
        <f aca="false">ROUND(IFERROR(ROUND(IF(OR(ISNUMBER(SEARCH("week",C262)),ISNUMBER(SEARCH("minggu",C262))),IFERROR(_xlfn.NUMBERVALUE(SUBSTITUTE(LEFT(TRIM(C262),FIND(" ",TRIM(C262)&amp;" ")-1),",","."),"."),LEFT(SUBSTITUTE(LEFT(TRIM(C262),FIND(" ",TRIM(C262)&amp;" ")-1),",","."),FIND("/",SUBSTITUTE(LEFT(TRIM(C262),FIND(" ",TRIM(C262)&amp;" ")-1),",","."))-1)/MID(SUBSTITUTE(LEFT(TRIM(C262),FIND(" ",TRIM(C262)&amp;" ")-1),",","."),FIND("/",SUBSTITUTE(LEFT(TRIM(C262),FIND(" ",TRIM(C262)&amp;" ")-1),",","."))+1,9))*12/52,IF(ISNUMBER(SEARCH("month",C262)),IFERROR(_xlfn.NUMBERVALUE(SUBSTITUTE(LEFT(TRIM(C262),FIND(" ",TRIM(C262)&amp;" ")-1),",","."),"."),LEFT(SUBSTITUTE(LEFT(TRIM(C262),FIND(" ",TRIM(C262)&amp;" ")-1),",","."),FIND("/",SUBSTITUTE(LEFT(TRIM(C262),FIND(" ",TRIM(C262)&amp;" ")-1),",","."))-1)/MID(SUBSTITUTE(LEFT(TRIM(C262),FIND(" ",TRIM(C262)&amp;" ")-1),",","."),FIND("/",SUBSTITUTE(LEFT(TRIM(C262),FIND(" ",TRIM(C262)&amp;" ")-1),",","."))+1,9)),IF(ISNUMBER(SEARCH("yea",C262)),IFERROR(_xlfn.NUMBERVALUE(SUBSTITUTE(LEFT(TRIM(C262),FIND(" ",TRIM(C262)&amp;" ")-1),",","."),"."),LEFT(SUBSTITUTE(LEFT(TRIM(C262),FIND(" ",TRIM(C262)&amp;" ")-1),",","."),FIND("/",SUBSTITUTE(LEFT(TRIM(C262),FIND(" ",TRIM(C262)&amp;" ")-1),",","."))-1)/MID(SUBSTITUTE(LEFT(TRIM(C262),FIND(" ",TRIM(C262)&amp;" ")-1),",","."),FIND("/",SUBSTITUTE(LEFT(TRIM(C262),FIND(" ",TRIM(C262)&amp;" ")-1),",","."))+1,9))*12,NA()))),0),12)*'Aturan &amp; Tarif'!$B$4,2)</f>
        <v>681.36</v>
      </c>
      <c r="K262" s="32" t="n">
        <f aca="false">'Aturan &amp; Tarif'!$B$5</f>
        <v>2050</v>
      </c>
      <c r="L262" s="35" t="n">
        <f aca="false">I262+J262+K262</f>
        <v>4881.36</v>
      </c>
      <c r="M262" s="37" t="s">
        <v>134</v>
      </c>
    </row>
    <row r="263" customFormat="false" ht="25.5" hidden="false" customHeight="true" outlineLevel="0" collapsed="false">
      <c r="A263" s="29"/>
      <c r="B263" s="30" t="s">
        <v>2830</v>
      </c>
      <c r="C263" s="31" t="s">
        <v>113</v>
      </c>
      <c r="D263" s="31" t="s">
        <v>108</v>
      </c>
      <c r="E263" s="32" t="n">
        <v>1466.6</v>
      </c>
      <c r="F263" s="32" t="n">
        <v>500</v>
      </c>
      <c r="G263" s="32" t="n">
        <v>200</v>
      </c>
      <c r="H263" s="33" t="n">
        <v>1</v>
      </c>
      <c r="I263" s="34" t="n">
        <f aca="false">E263*H263+N(F263)+N(G263)</f>
        <v>2166.6</v>
      </c>
      <c r="J263" s="32" t="n">
        <f aca="false">ROUND(IFERROR(ROUND(IF(OR(ISNUMBER(SEARCH("week",C263)),ISNUMBER(SEARCH("minggu",C263))),IFERROR(_xlfn.NUMBERVALUE(SUBSTITUTE(LEFT(TRIM(C263),FIND(" ",TRIM(C263)&amp;" ")-1),",","."),"."),LEFT(SUBSTITUTE(LEFT(TRIM(C263),FIND(" ",TRIM(C263)&amp;" ")-1),",","."),FIND("/",SUBSTITUTE(LEFT(TRIM(C263),FIND(" ",TRIM(C263)&amp;" ")-1),",","."))-1)/MID(SUBSTITUTE(LEFT(TRIM(C263),FIND(" ",TRIM(C263)&amp;" ")-1),",","."),FIND("/",SUBSTITUTE(LEFT(TRIM(C263),FIND(" ",TRIM(C263)&amp;" ")-1),",","."))+1,9))*12/52,IF(ISNUMBER(SEARCH("month",C263)),IFERROR(_xlfn.NUMBERVALUE(SUBSTITUTE(LEFT(TRIM(C263),FIND(" ",TRIM(C263)&amp;" ")-1),",","."),"."),LEFT(SUBSTITUTE(LEFT(TRIM(C263),FIND(" ",TRIM(C263)&amp;" ")-1),",","."),FIND("/",SUBSTITUTE(LEFT(TRIM(C263),FIND(" ",TRIM(C263)&amp;" ")-1),",","."))-1)/MID(SUBSTITUTE(LEFT(TRIM(C263),FIND(" ",TRIM(C263)&amp;" ")-1),",","."),FIND("/",SUBSTITUTE(LEFT(TRIM(C263),FIND(" ",TRIM(C263)&amp;" ")-1),",","."))+1,9)),IF(ISNUMBER(SEARCH("yea",C263)),IFERROR(_xlfn.NUMBERVALUE(SUBSTITUTE(LEFT(TRIM(C263),FIND(" ",TRIM(C263)&amp;" ")-1),",","."),"."),LEFT(SUBSTITUTE(LEFT(TRIM(C263),FIND(" ",TRIM(C263)&amp;" ")-1),",","."),FIND("/",SUBSTITUTE(LEFT(TRIM(C263),FIND(" ",TRIM(C263)&amp;" ")-1),",","."))-1)/MID(SUBSTITUTE(LEFT(TRIM(C263),FIND(" ",TRIM(C263)&amp;" ")-1),",","."),FIND("/",SUBSTITUTE(LEFT(TRIM(C263),FIND(" ",TRIM(C263)&amp;" ")-1),",","."))+1,9))*12,NA()))),0),18)*'Aturan &amp; Tarif'!$B$4,2)</f>
        <v>1022.04</v>
      </c>
      <c r="K263" s="32" t="n">
        <f aca="false">'Aturan &amp; Tarif'!$B$5</f>
        <v>2050</v>
      </c>
      <c r="L263" s="35" t="n">
        <f aca="false">I263+J263+K263</f>
        <v>5238.64</v>
      </c>
      <c r="M263" s="37" t="s">
        <v>134</v>
      </c>
    </row>
    <row r="264" customFormat="false" ht="25.5" hidden="false" customHeight="true" outlineLevel="0" collapsed="false">
      <c r="A264" s="29"/>
      <c r="B264" s="30" t="s">
        <v>3347</v>
      </c>
      <c r="C264" s="31" t="s">
        <v>138</v>
      </c>
      <c r="D264" s="31" t="s">
        <v>108</v>
      </c>
      <c r="E264" s="32" t="n">
        <v>1450</v>
      </c>
      <c r="F264" s="32" t="n">
        <v>500</v>
      </c>
      <c r="G264" s="32" t="n">
        <v>200</v>
      </c>
      <c r="H264" s="33" t="n">
        <v>1</v>
      </c>
      <c r="I264" s="34" t="n">
        <f aca="false">E264*H264+N(F264)+N(G264)</f>
        <v>2150</v>
      </c>
      <c r="J264" s="32" t="n">
        <f aca="false">ROUND(IFERROR(ROUND(IF(OR(ISNUMBER(SEARCH("week",C264)),ISNUMBER(SEARCH("minggu",C264))),IFERROR(_xlfn.NUMBERVALUE(SUBSTITUTE(LEFT(TRIM(C264),FIND(" ",TRIM(C264)&amp;" ")-1),",","."),"."),LEFT(SUBSTITUTE(LEFT(TRIM(C264),FIND(" ",TRIM(C264)&amp;" ")-1),",","."),FIND("/",SUBSTITUTE(LEFT(TRIM(C264),FIND(" ",TRIM(C264)&amp;" ")-1),",","."))-1)/MID(SUBSTITUTE(LEFT(TRIM(C264),FIND(" ",TRIM(C264)&amp;" ")-1),",","."),FIND("/",SUBSTITUTE(LEFT(TRIM(C264),FIND(" ",TRIM(C264)&amp;" ")-1),",","."))+1,9))*12/52,IF(ISNUMBER(SEARCH("month",C264)),IFERROR(_xlfn.NUMBERVALUE(SUBSTITUTE(LEFT(TRIM(C264),FIND(" ",TRIM(C264)&amp;" ")-1),",","."),"."),LEFT(SUBSTITUTE(LEFT(TRIM(C264),FIND(" ",TRIM(C264)&amp;" ")-1),",","."),FIND("/",SUBSTITUTE(LEFT(TRIM(C264),FIND(" ",TRIM(C264)&amp;" ")-1),",","."))-1)/MID(SUBSTITUTE(LEFT(TRIM(C264),FIND(" ",TRIM(C264)&amp;" ")-1),",","."),FIND("/",SUBSTITUTE(LEFT(TRIM(C264),FIND(" ",TRIM(C264)&amp;" ")-1),",","."))+1,9)),IF(ISNUMBER(SEARCH("yea",C264)),IFERROR(_xlfn.NUMBERVALUE(SUBSTITUTE(LEFT(TRIM(C264),FIND(" ",TRIM(C264)&amp;" ")-1),",","."),"."),LEFT(SUBSTITUTE(LEFT(TRIM(C264),FIND(" ",TRIM(C264)&amp;" ")-1),",","."),FIND("/",SUBSTITUTE(LEFT(TRIM(C264),FIND(" ",TRIM(C264)&amp;" ")-1),",","."))-1)/MID(SUBSTITUTE(LEFT(TRIM(C264),FIND(" ",TRIM(C264)&amp;" ")-1),",","."),FIND("/",SUBSTITUTE(LEFT(TRIM(C264),FIND(" ",TRIM(C264)&amp;" ")-1),",","."))+1,9))*12,NA()))),0),30)*'Aturan &amp; Tarif'!$B$4,2)</f>
        <v>1703.4</v>
      </c>
      <c r="K264" s="32" t="n">
        <f aca="false">'Aturan &amp; Tarif'!$B$5</f>
        <v>2050</v>
      </c>
      <c r="L264" s="35" t="n">
        <f aca="false">I264+J264+K264</f>
        <v>5903.4</v>
      </c>
      <c r="M264" s="36" t="s">
        <v>131</v>
      </c>
    </row>
    <row r="265" customFormat="false" ht="37.5" hidden="false" customHeight="true" outlineLevel="0" collapsed="false">
      <c r="A265" s="29"/>
      <c r="B265" s="30" t="s">
        <v>2832</v>
      </c>
      <c r="C265" s="31" t="s">
        <v>107</v>
      </c>
      <c r="D265" s="31" t="s">
        <v>108</v>
      </c>
      <c r="E265" s="32" t="n">
        <v>1950</v>
      </c>
      <c r="F265" s="32" t="n">
        <v>200</v>
      </c>
      <c r="G265" s="32" t="n">
        <v>800</v>
      </c>
      <c r="H265" s="33" t="n">
        <v>1</v>
      </c>
      <c r="I265" s="34" t="n">
        <f aca="false">E265*H265+N(F265)+N(G265)</f>
        <v>2950</v>
      </c>
      <c r="J265" s="32" t="n">
        <f aca="false">ROUND(IFERROR(ROUND(IF(OR(ISNUMBER(SEARCH("week",C265)),ISNUMBER(SEARCH("minggu",C265))),IFERROR(_xlfn.NUMBERVALUE(SUBSTITUTE(LEFT(TRIM(C265),FIND(" ",TRIM(C265)&amp;" ")-1),",","."),"."),LEFT(SUBSTITUTE(LEFT(TRIM(C265),FIND(" ",TRIM(C265)&amp;" ")-1),",","."),FIND("/",SUBSTITUTE(LEFT(TRIM(C265),FIND(" ",TRIM(C265)&amp;" ")-1),",","."))-1)/MID(SUBSTITUTE(LEFT(TRIM(C265),FIND(" ",TRIM(C265)&amp;" ")-1),",","."),FIND("/",SUBSTITUTE(LEFT(TRIM(C265),FIND(" ",TRIM(C265)&amp;" ")-1),",","."))+1,9))*12/52,IF(ISNUMBER(SEARCH("month",C265)),IFERROR(_xlfn.NUMBERVALUE(SUBSTITUTE(LEFT(TRIM(C265),FIND(" ",TRIM(C265)&amp;" ")-1),",","."),"."),LEFT(SUBSTITUTE(LEFT(TRIM(C265),FIND(" ",TRIM(C265)&amp;" ")-1),",","."),FIND("/",SUBSTITUTE(LEFT(TRIM(C265),FIND(" ",TRIM(C265)&amp;" ")-1),",","."))-1)/MID(SUBSTITUTE(LEFT(TRIM(C265),FIND(" ",TRIM(C265)&amp;" ")-1),",","."),FIND("/",SUBSTITUTE(LEFT(TRIM(C265),FIND(" ",TRIM(C265)&amp;" ")-1),",","."))+1,9)),IF(ISNUMBER(SEARCH("yea",C265)),IFERROR(_xlfn.NUMBERVALUE(SUBSTITUTE(LEFT(TRIM(C265),FIND(" ",TRIM(C265)&amp;" ")-1),",","."),"."),LEFT(SUBSTITUTE(LEFT(TRIM(C265),FIND(" ",TRIM(C265)&amp;" ")-1),",","."),FIND("/",SUBSTITUTE(LEFT(TRIM(C265),FIND(" ",TRIM(C265)&amp;" ")-1),",","."))-1)/MID(SUBSTITUTE(LEFT(TRIM(C265),FIND(" ",TRIM(C265)&amp;" ")-1),",","."),FIND("/",SUBSTITUTE(LEFT(TRIM(C265),FIND(" ",TRIM(C265)&amp;" ")-1),",","."))+1,9))*12,NA()))),0),24)*'Aturan &amp; Tarif'!$B$4,2)</f>
        <v>1362.72</v>
      </c>
      <c r="K265" s="32" t="n">
        <f aca="false">'Aturan &amp; Tarif'!$B$5</f>
        <v>2050</v>
      </c>
      <c r="L265" s="35" t="n">
        <f aca="false">I265+J265+K265</f>
        <v>6362.72</v>
      </c>
      <c r="M265" s="37" t="s">
        <v>134</v>
      </c>
    </row>
    <row r="266" customFormat="false" ht="25.5" hidden="false" customHeight="true" outlineLevel="0" collapsed="false">
      <c r="A266" s="39" t="s">
        <v>3348</v>
      </c>
      <c r="B266" s="40" t="s">
        <v>896</v>
      </c>
      <c r="C266" s="41" t="s">
        <v>130</v>
      </c>
      <c r="D266" s="41" t="s">
        <v>108</v>
      </c>
      <c r="E266" s="42" t="n">
        <v>3000</v>
      </c>
      <c r="F266" s="42" t="n">
        <v>0</v>
      </c>
      <c r="G266" s="42" t="n">
        <v>250</v>
      </c>
      <c r="H266" s="43" t="n">
        <v>1</v>
      </c>
      <c r="I266" s="34" t="n">
        <f aca="false">E266*H266+N(F266)+N(G266)</f>
        <v>3250</v>
      </c>
      <c r="J266" s="42" t="n">
        <f aca="false">ROUND(IFERROR(ROUND(IF(OR(ISNUMBER(SEARCH("week",C266)),ISNUMBER(SEARCH("minggu",C266))),IFERROR(_xlfn.NUMBERVALUE(SUBSTITUTE(LEFT(TRIM(C266),FIND(" ",TRIM(C266)&amp;" ")-1),",","."),"."),LEFT(SUBSTITUTE(LEFT(TRIM(C266),FIND(" ",TRIM(C266)&amp;" ")-1),",","."),FIND("/",SUBSTITUTE(LEFT(TRIM(C266),FIND(" ",TRIM(C266)&amp;" ")-1),",","."))-1)/MID(SUBSTITUTE(LEFT(TRIM(C266),FIND(" ",TRIM(C266)&amp;" ")-1),",","."),FIND("/",SUBSTITUTE(LEFT(TRIM(C266),FIND(" ",TRIM(C266)&amp;" ")-1),",","."))+1,9))*12/52,IF(ISNUMBER(SEARCH("month",C266)),IFERROR(_xlfn.NUMBERVALUE(SUBSTITUTE(LEFT(TRIM(C266),FIND(" ",TRIM(C266)&amp;" ")-1),",","."),"."),LEFT(SUBSTITUTE(LEFT(TRIM(C266),FIND(" ",TRIM(C266)&amp;" ")-1),",","."),FIND("/",SUBSTITUTE(LEFT(TRIM(C266),FIND(" ",TRIM(C266)&amp;" ")-1),",","."))-1)/MID(SUBSTITUTE(LEFT(TRIM(C266),FIND(" ",TRIM(C266)&amp;" ")-1),",","."),FIND("/",SUBSTITUTE(LEFT(TRIM(C266),FIND(" ",TRIM(C266)&amp;" ")-1),",","."))+1,9)),IF(ISNUMBER(SEARCH("yea",C266)),IFERROR(_xlfn.NUMBERVALUE(SUBSTITUTE(LEFT(TRIM(C266),FIND(" ",TRIM(C266)&amp;" ")-1),",","."),"."),LEFT(SUBSTITUTE(LEFT(TRIM(C266),FIND(" ",TRIM(C266)&amp;" ")-1),",","."),FIND("/",SUBSTITUTE(LEFT(TRIM(C266),FIND(" ",TRIM(C266)&amp;" ")-1),",","."))-1)/MID(SUBSTITUTE(LEFT(TRIM(C266),FIND(" ",TRIM(C266)&amp;" ")-1),",","."),FIND("/",SUBSTITUTE(LEFT(TRIM(C266),FIND(" ",TRIM(C266)&amp;" ")-1),",","."))+1,9))*12,NA()))),0),12)*'Aturan &amp; Tarif'!$B$4,2)</f>
        <v>681.36</v>
      </c>
      <c r="K266" s="42" t="n">
        <f aca="false">'Aturan &amp; Tarif'!$B$5</f>
        <v>2050</v>
      </c>
      <c r="L266" s="35" t="n">
        <f aca="false">I266+J266+K266</f>
        <v>5981.36</v>
      </c>
      <c r="M266" s="45" t="s">
        <v>3349</v>
      </c>
    </row>
    <row r="267" customFormat="false" ht="25.5" hidden="false" customHeight="true" outlineLevel="0" collapsed="false">
      <c r="A267" s="39"/>
      <c r="B267" s="40" t="s">
        <v>898</v>
      </c>
      <c r="C267" s="41" t="s">
        <v>107</v>
      </c>
      <c r="D267" s="41" t="s">
        <v>108</v>
      </c>
      <c r="E267" s="42" t="n">
        <v>1500</v>
      </c>
      <c r="F267" s="42" t="n">
        <v>0</v>
      </c>
      <c r="G267" s="42" t="n">
        <v>250</v>
      </c>
      <c r="H267" s="43" t="n">
        <v>1</v>
      </c>
      <c r="I267" s="34" t="n">
        <f aca="false">E267*H267+N(F267)+N(G267)</f>
        <v>1750</v>
      </c>
      <c r="J267" s="42" t="n">
        <f aca="false">ROUND(IFERROR(ROUND(IF(OR(ISNUMBER(SEARCH("week",C267)),ISNUMBER(SEARCH("minggu",C267))),IFERROR(_xlfn.NUMBERVALUE(SUBSTITUTE(LEFT(TRIM(C267),FIND(" ",TRIM(C267)&amp;" ")-1),",","."),"."),LEFT(SUBSTITUTE(LEFT(TRIM(C267),FIND(" ",TRIM(C267)&amp;" ")-1),",","."),FIND("/",SUBSTITUTE(LEFT(TRIM(C267),FIND(" ",TRIM(C267)&amp;" ")-1),",","."))-1)/MID(SUBSTITUTE(LEFT(TRIM(C267),FIND(" ",TRIM(C267)&amp;" ")-1),",","."),FIND("/",SUBSTITUTE(LEFT(TRIM(C267),FIND(" ",TRIM(C267)&amp;" ")-1),",","."))+1,9))*12/52,IF(ISNUMBER(SEARCH("month",C267)),IFERROR(_xlfn.NUMBERVALUE(SUBSTITUTE(LEFT(TRIM(C267),FIND(" ",TRIM(C267)&amp;" ")-1),",","."),"."),LEFT(SUBSTITUTE(LEFT(TRIM(C267),FIND(" ",TRIM(C267)&amp;" ")-1),",","."),FIND("/",SUBSTITUTE(LEFT(TRIM(C267),FIND(" ",TRIM(C267)&amp;" ")-1),",","."))-1)/MID(SUBSTITUTE(LEFT(TRIM(C267),FIND(" ",TRIM(C267)&amp;" ")-1),",","."),FIND("/",SUBSTITUTE(LEFT(TRIM(C267),FIND(" ",TRIM(C267)&amp;" ")-1),",","."))+1,9)),IF(ISNUMBER(SEARCH("yea",C267)),IFERROR(_xlfn.NUMBERVALUE(SUBSTITUTE(LEFT(TRIM(C267),FIND(" ",TRIM(C267)&amp;" ")-1),",","."),"."),LEFT(SUBSTITUTE(LEFT(TRIM(C267),FIND(" ",TRIM(C267)&amp;" ")-1),",","."),FIND("/",SUBSTITUTE(LEFT(TRIM(C267),FIND(" ",TRIM(C267)&amp;" ")-1),",","."))-1)/MID(SUBSTITUTE(LEFT(TRIM(C267),FIND(" ",TRIM(C267)&amp;" ")-1),",","."),FIND("/",SUBSTITUTE(LEFT(TRIM(C267),FIND(" ",TRIM(C267)&amp;" ")-1),",","."))+1,9))*12,NA()))),0),24)*'Aturan &amp; Tarif'!$B$4,2)</f>
        <v>1362.72</v>
      </c>
      <c r="K267" s="42" t="n">
        <f aca="false">'Aturan &amp; Tarif'!$B$5</f>
        <v>2050</v>
      </c>
      <c r="L267" s="35" t="n">
        <f aca="false">I267+J267+K267</f>
        <v>5162.72</v>
      </c>
      <c r="M267" s="45" t="s">
        <v>899</v>
      </c>
    </row>
    <row r="268" customFormat="false" ht="25.5" hidden="false" customHeight="true" outlineLevel="0" collapsed="false">
      <c r="A268" s="39"/>
      <c r="B268" s="40" t="s">
        <v>900</v>
      </c>
      <c r="C268" s="41" t="s">
        <v>127</v>
      </c>
      <c r="D268" s="41" t="s">
        <v>108</v>
      </c>
      <c r="E268" s="42" t="n">
        <v>1500</v>
      </c>
      <c r="F268" s="42" t="n">
        <v>0</v>
      </c>
      <c r="G268" s="42" t="n">
        <v>250</v>
      </c>
      <c r="H268" s="43" t="n">
        <v>1</v>
      </c>
      <c r="I268" s="34" t="n">
        <f aca="false">E268*H268+N(F268)+N(G268)</f>
        <v>1750</v>
      </c>
      <c r="J268" s="42" t="n">
        <f aca="false">ROUND(IFERROR(ROUND(IF(OR(ISNUMBER(SEARCH("week",C268)),ISNUMBER(SEARCH("minggu",C268))),IFERROR(_xlfn.NUMBERVALUE(SUBSTITUTE(LEFT(TRIM(C268),FIND(" ",TRIM(C268)&amp;" ")-1),",","."),"."),LEFT(SUBSTITUTE(LEFT(TRIM(C268),FIND(" ",TRIM(C268)&amp;" ")-1),",","."),FIND("/",SUBSTITUTE(LEFT(TRIM(C268),FIND(" ",TRIM(C268)&amp;" ")-1),",","."))-1)/MID(SUBSTITUTE(LEFT(TRIM(C268),FIND(" ",TRIM(C268)&amp;" ")-1),",","."),FIND("/",SUBSTITUTE(LEFT(TRIM(C268),FIND(" ",TRIM(C268)&amp;" ")-1),",","."))+1,9))*12/52,IF(ISNUMBER(SEARCH("month",C268)),IFERROR(_xlfn.NUMBERVALUE(SUBSTITUTE(LEFT(TRIM(C268),FIND(" ",TRIM(C268)&amp;" ")-1),",","."),"."),LEFT(SUBSTITUTE(LEFT(TRIM(C268),FIND(" ",TRIM(C268)&amp;" ")-1),",","."),FIND("/",SUBSTITUTE(LEFT(TRIM(C268),FIND(" ",TRIM(C268)&amp;" ")-1),",","."))-1)/MID(SUBSTITUTE(LEFT(TRIM(C268),FIND(" ",TRIM(C268)&amp;" ")-1),",","."),FIND("/",SUBSTITUTE(LEFT(TRIM(C268),FIND(" ",TRIM(C268)&amp;" ")-1),",","."))+1,9)),IF(ISNUMBER(SEARCH("yea",C268)),IFERROR(_xlfn.NUMBERVALUE(SUBSTITUTE(LEFT(TRIM(C268),FIND(" ",TRIM(C268)&amp;" ")-1),",","."),"."),LEFT(SUBSTITUTE(LEFT(TRIM(C268),FIND(" ",TRIM(C268)&amp;" ")-1),",","."),FIND("/",SUBSTITUTE(LEFT(TRIM(C268),FIND(" ",TRIM(C268)&amp;" ")-1),",","."))-1)/MID(SUBSTITUTE(LEFT(TRIM(C268),FIND(" ",TRIM(C268)&amp;" ")-1),",","."),FIND("/",SUBSTITUTE(LEFT(TRIM(C268),FIND(" ",TRIM(C268)&amp;" ")-1),",","."))+1,9))*12,NA()))),0),36)*'Aturan &amp; Tarif'!$B$4,2)</f>
        <v>2044.08</v>
      </c>
      <c r="K268" s="42" t="n">
        <f aca="false">'Aturan &amp; Tarif'!$B$5</f>
        <v>2050</v>
      </c>
      <c r="L268" s="35" t="n">
        <f aca="false">I268+J268+K268</f>
        <v>5844.08</v>
      </c>
      <c r="M268" s="45" t="s">
        <v>899</v>
      </c>
    </row>
    <row r="269" customFormat="false" ht="25.5" hidden="false" customHeight="true" outlineLevel="0" collapsed="false">
      <c r="A269" s="39"/>
      <c r="B269" s="40" t="s">
        <v>430</v>
      </c>
      <c r="C269" s="41" t="s">
        <v>127</v>
      </c>
      <c r="D269" s="41" t="s">
        <v>108</v>
      </c>
      <c r="E269" s="42" t="n">
        <v>1700</v>
      </c>
      <c r="F269" s="42" t="n">
        <v>0</v>
      </c>
      <c r="G269" s="42" t="n">
        <v>250</v>
      </c>
      <c r="H269" s="43" t="n">
        <v>1</v>
      </c>
      <c r="I269" s="34" t="n">
        <f aca="false">E269*H269+N(F269)+N(G269)</f>
        <v>1950</v>
      </c>
      <c r="J269" s="42" t="n">
        <f aca="false">ROUND(IFERROR(ROUND(IF(OR(ISNUMBER(SEARCH("week",C269)),ISNUMBER(SEARCH("minggu",C269))),IFERROR(_xlfn.NUMBERVALUE(SUBSTITUTE(LEFT(TRIM(C269),FIND(" ",TRIM(C269)&amp;" ")-1),",","."),"."),LEFT(SUBSTITUTE(LEFT(TRIM(C269),FIND(" ",TRIM(C269)&amp;" ")-1),",","."),FIND("/",SUBSTITUTE(LEFT(TRIM(C269),FIND(" ",TRIM(C269)&amp;" ")-1),",","."))-1)/MID(SUBSTITUTE(LEFT(TRIM(C269),FIND(" ",TRIM(C269)&amp;" ")-1),",","."),FIND("/",SUBSTITUTE(LEFT(TRIM(C269),FIND(" ",TRIM(C269)&amp;" ")-1),",","."))+1,9))*12/52,IF(ISNUMBER(SEARCH("month",C269)),IFERROR(_xlfn.NUMBERVALUE(SUBSTITUTE(LEFT(TRIM(C269),FIND(" ",TRIM(C269)&amp;" ")-1),",","."),"."),LEFT(SUBSTITUTE(LEFT(TRIM(C269),FIND(" ",TRIM(C269)&amp;" ")-1),",","."),FIND("/",SUBSTITUTE(LEFT(TRIM(C269),FIND(" ",TRIM(C269)&amp;" ")-1),",","."))-1)/MID(SUBSTITUTE(LEFT(TRIM(C269),FIND(" ",TRIM(C269)&amp;" ")-1),",","."),FIND("/",SUBSTITUTE(LEFT(TRIM(C269),FIND(" ",TRIM(C269)&amp;" ")-1),",","."))+1,9)),IF(ISNUMBER(SEARCH("yea",C269)),IFERROR(_xlfn.NUMBERVALUE(SUBSTITUTE(LEFT(TRIM(C269),FIND(" ",TRIM(C269)&amp;" ")-1),",","."),"."),LEFT(SUBSTITUTE(LEFT(TRIM(C269),FIND(" ",TRIM(C269)&amp;" ")-1),",","."),FIND("/",SUBSTITUTE(LEFT(TRIM(C269),FIND(" ",TRIM(C269)&amp;" ")-1),",","."))-1)/MID(SUBSTITUTE(LEFT(TRIM(C269),FIND(" ",TRIM(C269)&amp;" ")-1),",","."),FIND("/",SUBSTITUTE(LEFT(TRIM(C269),FIND(" ",TRIM(C269)&amp;" ")-1),",","."))+1,9))*12,NA()))),0),36)*'Aturan &amp; Tarif'!$B$4,2)</f>
        <v>2044.08</v>
      </c>
      <c r="K269" s="42" t="n">
        <f aca="false">'Aturan &amp; Tarif'!$B$5</f>
        <v>2050</v>
      </c>
      <c r="L269" s="35" t="n">
        <f aca="false">I269+J269+K269</f>
        <v>6044.08</v>
      </c>
      <c r="M269" s="45" t="s">
        <v>899</v>
      </c>
    </row>
    <row r="270" customFormat="false" ht="60" hidden="false" customHeight="true" outlineLevel="0" collapsed="false">
      <c r="A270" s="39"/>
      <c r="B270" s="40" t="s">
        <v>465</v>
      </c>
      <c r="C270" s="41" t="s">
        <v>107</v>
      </c>
      <c r="D270" s="41" t="s">
        <v>108</v>
      </c>
      <c r="E270" s="42" t="n">
        <v>1500</v>
      </c>
      <c r="F270" s="42" t="n">
        <v>0</v>
      </c>
      <c r="G270" s="42" t="n">
        <v>250</v>
      </c>
      <c r="H270" s="43" t="n">
        <v>1</v>
      </c>
      <c r="I270" s="34" t="n">
        <f aca="false">E270*H270+N(F270)+N(G270)</f>
        <v>1750</v>
      </c>
      <c r="J270" s="42" t="n">
        <f aca="false">ROUND(IFERROR(ROUND(IF(OR(ISNUMBER(SEARCH("week",C270)),ISNUMBER(SEARCH("minggu",C270))),IFERROR(_xlfn.NUMBERVALUE(SUBSTITUTE(LEFT(TRIM(C270),FIND(" ",TRIM(C270)&amp;" ")-1),",","."),"."),LEFT(SUBSTITUTE(LEFT(TRIM(C270),FIND(" ",TRIM(C270)&amp;" ")-1),",","."),FIND("/",SUBSTITUTE(LEFT(TRIM(C270),FIND(" ",TRIM(C270)&amp;" ")-1),",","."))-1)/MID(SUBSTITUTE(LEFT(TRIM(C270),FIND(" ",TRIM(C270)&amp;" ")-1),",","."),FIND("/",SUBSTITUTE(LEFT(TRIM(C270),FIND(" ",TRIM(C270)&amp;" ")-1),",","."))+1,9))*12/52,IF(ISNUMBER(SEARCH("month",C270)),IFERROR(_xlfn.NUMBERVALUE(SUBSTITUTE(LEFT(TRIM(C270),FIND(" ",TRIM(C270)&amp;" ")-1),",","."),"."),LEFT(SUBSTITUTE(LEFT(TRIM(C270),FIND(" ",TRIM(C270)&amp;" ")-1),",","."),FIND("/",SUBSTITUTE(LEFT(TRIM(C270),FIND(" ",TRIM(C270)&amp;" ")-1),",","."))-1)/MID(SUBSTITUTE(LEFT(TRIM(C270),FIND(" ",TRIM(C270)&amp;" ")-1),",","."),FIND("/",SUBSTITUTE(LEFT(TRIM(C270),FIND(" ",TRIM(C270)&amp;" ")-1),",","."))+1,9)),IF(ISNUMBER(SEARCH("yea",C270)),IFERROR(_xlfn.NUMBERVALUE(SUBSTITUTE(LEFT(TRIM(C270),FIND(" ",TRIM(C270)&amp;" ")-1),",","."),"."),LEFT(SUBSTITUTE(LEFT(TRIM(C270),FIND(" ",TRIM(C270)&amp;" ")-1),",","."),FIND("/",SUBSTITUTE(LEFT(TRIM(C270),FIND(" ",TRIM(C270)&amp;" ")-1),",","."))-1)/MID(SUBSTITUTE(LEFT(TRIM(C270),FIND(" ",TRIM(C270)&amp;" ")-1),",","."),FIND("/",SUBSTITUTE(LEFT(TRIM(C270),FIND(" ",TRIM(C270)&amp;" ")-1),",","."))+1,9))*12,NA()))),0),24)*'Aturan &amp; Tarif'!$B$4,2)</f>
        <v>1362.72</v>
      </c>
      <c r="K270" s="42" t="n">
        <f aca="false">'Aturan &amp; Tarif'!$B$5</f>
        <v>2050</v>
      </c>
      <c r="L270" s="35" t="n">
        <f aca="false">I270+J270+K270</f>
        <v>5162.72</v>
      </c>
      <c r="M270" s="45" t="s">
        <v>899</v>
      </c>
    </row>
    <row r="271" customFormat="false" ht="14.25" hidden="false" customHeight="true" outlineLevel="0" collapsed="false">
      <c r="A271" s="39" t="s">
        <v>2835</v>
      </c>
      <c r="B271" s="40" t="s">
        <v>471</v>
      </c>
      <c r="C271" s="41" t="s">
        <v>113</v>
      </c>
      <c r="D271" s="41" t="s">
        <v>108</v>
      </c>
      <c r="E271" s="42" t="n">
        <v>2167</v>
      </c>
      <c r="F271" s="42" t="n">
        <v>2000</v>
      </c>
      <c r="G271" s="42" t="n">
        <v>250</v>
      </c>
      <c r="H271" s="43" t="n">
        <v>1</v>
      </c>
      <c r="I271" s="34" t="n">
        <f aca="false">E271*H271+N(F271)+N(G271)</f>
        <v>4417</v>
      </c>
      <c r="J271" s="42" t="n">
        <f aca="false">ROUND(IFERROR(ROUND(IF(OR(ISNUMBER(SEARCH("week",C271)),ISNUMBER(SEARCH("minggu",C271))),IFERROR(_xlfn.NUMBERVALUE(SUBSTITUTE(LEFT(TRIM(C271),FIND(" ",TRIM(C271)&amp;" ")-1),",","."),"."),LEFT(SUBSTITUTE(LEFT(TRIM(C271),FIND(" ",TRIM(C271)&amp;" ")-1),",","."),FIND("/",SUBSTITUTE(LEFT(TRIM(C271),FIND(" ",TRIM(C271)&amp;" ")-1),",","."))-1)/MID(SUBSTITUTE(LEFT(TRIM(C271),FIND(" ",TRIM(C271)&amp;" ")-1),",","."),FIND("/",SUBSTITUTE(LEFT(TRIM(C271),FIND(" ",TRIM(C271)&amp;" ")-1),",","."))+1,9))*12/52,IF(ISNUMBER(SEARCH("month",C271)),IFERROR(_xlfn.NUMBERVALUE(SUBSTITUTE(LEFT(TRIM(C271),FIND(" ",TRIM(C271)&amp;" ")-1),",","."),"."),LEFT(SUBSTITUTE(LEFT(TRIM(C271),FIND(" ",TRIM(C271)&amp;" ")-1),",","."),FIND("/",SUBSTITUTE(LEFT(TRIM(C271),FIND(" ",TRIM(C271)&amp;" ")-1),",","."))-1)/MID(SUBSTITUTE(LEFT(TRIM(C271),FIND(" ",TRIM(C271)&amp;" ")-1),",","."),FIND("/",SUBSTITUTE(LEFT(TRIM(C271),FIND(" ",TRIM(C271)&amp;" ")-1),",","."))+1,9)),IF(ISNUMBER(SEARCH("yea",C271)),IFERROR(_xlfn.NUMBERVALUE(SUBSTITUTE(LEFT(TRIM(C271),FIND(" ",TRIM(C271)&amp;" ")-1),",","."),"."),LEFT(SUBSTITUTE(LEFT(TRIM(C271),FIND(" ",TRIM(C271)&amp;" ")-1),",","."),FIND("/",SUBSTITUTE(LEFT(TRIM(C271),FIND(" ",TRIM(C271)&amp;" ")-1),",","."))-1)/MID(SUBSTITUTE(LEFT(TRIM(C271),FIND(" ",TRIM(C271)&amp;" ")-1),",","."),FIND("/",SUBSTITUTE(LEFT(TRIM(C271),FIND(" ",TRIM(C271)&amp;" ")-1),",","."))+1,9))*12,NA()))),0),18)*'Aturan &amp; Tarif'!$B$4,2)</f>
        <v>1022.04</v>
      </c>
      <c r="K271" s="42" t="n">
        <f aca="false">'Aturan &amp; Tarif'!$B$5</f>
        <v>2050</v>
      </c>
      <c r="L271" s="35" t="n">
        <f aca="false">I271+J271+K271</f>
        <v>7489.04</v>
      </c>
      <c r="M271" s="45" t="s">
        <v>134</v>
      </c>
    </row>
    <row r="272" customFormat="false" ht="25.5" hidden="false" customHeight="true" outlineLevel="0" collapsed="false">
      <c r="A272" s="39"/>
      <c r="B272" s="40" t="s">
        <v>673</v>
      </c>
      <c r="C272" s="41" t="s">
        <v>113</v>
      </c>
      <c r="D272" s="41" t="s">
        <v>108</v>
      </c>
      <c r="E272" s="42" t="n">
        <v>2083</v>
      </c>
      <c r="F272" s="42" t="n">
        <v>2000</v>
      </c>
      <c r="G272" s="42" t="n">
        <v>250</v>
      </c>
      <c r="H272" s="43" t="n">
        <v>1</v>
      </c>
      <c r="I272" s="34" t="n">
        <f aca="false">E272*H272+N(F272)+N(G272)</f>
        <v>4333</v>
      </c>
      <c r="J272" s="42" t="n">
        <f aca="false">ROUND(IFERROR(ROUND(IF(OR(ISNUMBER(SEARCH("week",C272)),ISNUMBER(SEARCH("minggu",C272))),IFERROR(_xlfn.NUMBERVALUE(SUBSTITUTE(LEFT(TRIM(C272),FIND(" ",TRIM(C272)&amp;" ")-1),",","."),"."),LEFT(SUBSTITUTE(LEFT(TRIM(C272),FIND(" ",TRIM(C272)&amp;" ")-1),",","."),FIND("/",SUBSTITUTE(LEFT(TRIM(C272),FIND(" ",TRIM(C272)&amp;" ")-1),",","."))-1)/MID(SUBSTITUTE(LEFT(TRIM(C272),FIND(" ",TRIM(C272)&amp;" ")-1),",","."),FIND("/",SUBSTITUTE(LEFT(TRIM(C272),FIND(" ",TRIM(C272)&amp;" ")-1),",","."))+1,9))*12/52,IF(ISNUMBER(SEARCH("month",C272)),IFERROR(_xlfn.NUMBERVALUE(SUBSTITUTE(LEFT(TRIM(C272),FIND(" ",TRIM(C272)&amp;" ")-1),",","."),"."),LEFT(SUBSTITUTE(LEFT(TRIM(C272),FIND(" ",TRIM(C272)&amp;" ")-1),",","."),FIND("/",SUBSTITUTE(LEFT(TRIM(C272),FIND(" ",TRIM(C272)&amp;" ")-1),",","."))-1)/MID(SUBSTITUTE(LEFT(TRIM(C272),FIND(" ",TRIM(C272)&amp;" ")-1),",","."),FIND("/",SUBSTITUTE(LEFT(TRIM(C272),FIND(" ",TRIM(C272)&amp;" ")-1),",","."))+1,9)),IF(ISNUMBER(SEARCH("yea",C272)),IFERROR(_xlfn.NUMBERVALUE(SUBSTITUTE(LEFT(TRIM(C272),FIND(" ",TRIM(C272)&amp;" ")-1),",","."),"."),LEFT(SUBSTITUTE(LEFT(TRIM(C272),FIND(" ",TRIM(C272)&amp;" ")-1),",","."),FIND("/",SUBSTITUTE(LEFT(TRIM(C272),FIND(" ",TRIM(C272)&amp;" ")-1),",","."))-1)/MID(SUBSTITUTE(LEFT(TRIM(C272),FIND(" ",TRIM(C272)&amp;" ")-1),",","."),FIND("/",SUBSTITUTE(LEFT(TRIM(C272),FIND(" ",TRIM(C272)&amp;" ")-1),",","."))+1,9))*12,NA()))),0),18)*'Aturan &amp; Tarif'!$B$4,2)</f>
        <v>1022.04</v>
      </c>
      <c r="K272" s="42" t="n">
        <f aca="false">'Aturan &amp; Tarif'!$B$5</f>
        <v>2050</v>
      </c>
      <c r="L272" s="35" t="n">
        <f aca="false">I272+J272+K272</f>
        <v>7405.04</v>
      </c>
      <c r="M272" s="45" t="s">
        <v>134</v>
      </c>
    </row>
    <row r="273" customFormat="false" ht="37.5" hidden="false" customHeight="true" outlineLevel="0" collapsed="false">
      <c r="A273" s="39"/>
      <c r="B273" s="40" t="s">
        <v>677</v>
      </c>
      <c r="C273" s="41" t="s">
        <v>138</v>
      </c>
      <c r="D273" s="41" t="s">
        <v>108</v>
      </c>
      <c r="E273" s="42" t="n">
        <v>2167</v>
      </c>
      <c r="F273" s="42" t="n">
        <v>2000</v>
      </c>
      <c r="G273" s="42" t="n">
        <v>250</v>
      </c>
      <c r="H273" s="43" t="n">
        <v>1</v>
      </c>
      <c r="I273" s="34" t="n">
        <f aca="false">E273*H273+N(F273)+N(G273)</f>
        <v>4417</v>
      </c>
      <c r="J273" s="42" t="n">
        <f aca="false">ROUND(IFERROR(ROUND(IF(OR(ISNUMBER(SEARCH("week",C273)),ISNUMBER(SEARCH("minggu",C273))),IFERROR(_xlfn.NUMBERVALUE(SUBSTITUTE(LEFT(TRIM(C273),FIND(" ",TRIM(C273)&amp;" ")-1),",","."),"."),LEFT(SUBSTITUTE(LEFT(TRIM(C273),FIND(" ",TRIM(C273)&amp;" ")-1),",","."),FIND("/",SUBSTITUTE(LEFT(TRIM(C273),FIND(" ",TRIM(C273)&amp;" ")-1),",","."))-1)/MID(SUBSTITUTE(LEFT(TRIM(C273),FIND(" ",TRIM(C273)&amp;" ")-1),",","."),FIND("/",SUBSTITUTE(LEFT(TRIM(C273),FIND(" ",TRIM(C273)&amp;" ")-1),",","."))+1,9))*12/52,IF(ISNUMBER(SEARCH("month",C273)),IFERROR(_xlfn.NUMBERVALUE(SUBSTITUTE(LEFT(TRIM(C273),FIND(" ",TRIM(C273)&amp;" ")-1),",","."),"."),LEFT(SUBSTITUTE(LEFT(TRIM(C273),FIND(" ",TRIM(C273)&amp;" ")-1),",","."),FIND("/",SUBSTITUTE(LEFT(TRIM(C273),FIND(" ",TRIM(C273)&amp;" ")-1),",","."))-1)/MID(SUBSTITUTE(LEFT(TRIM(C273),FIND(" ",TRIM(C273)&amp;" ")-1),",","."),FIND("/",SUBSTITUTE(LEFT(TRIM(C273),FIND(" ",TRIM(C273)&amp;" ")-1),",","."))+1,9)),IF(ISNUMBER(SEARCH("yea",C273)),IFERROR(_xlfn.NUMBERVALUE(SUBSTITUTE(LEFT(TRIM(C273),FIND(" ",TRIM(C273)&amp;" ")-1),",","."),"."),LEFT(SUBSTITUTE(LEFT(TRIM(C273),FIND(" ",TRIM(C273)&amp;" ")-1),",","."),FIND("/",SUBSTITUTE(LEFT(TRIM(C273),FIND(" ",TRIM(C273)&amp;" ")-1),",","."))-1)/MID(SUBSTITUTE(LEFT(TRIM(C273),FIND(" ",TRIM(C273)&amp;" ")-1),",","."),FIND("/",SUBSTITUTE(LEFT(TRIM(C273),FIND(" ",TRIM(C273)&amp;" ")-1),",","."))+1,9))*12,NA()))),0),30)*'Aturan &amp; Tarif'!$B$4,2)</f>
        <v>1703.4</v>
      </c>
      <c r="K273" s="42" t="n">
        <f aca="false">'Aturan &amp; Tarif'!$B$5</f>
        <v>2050</v>
      </c>
      <c r="L273" s="35" t="n">
        <f aca="false">I273+J273+K273</f>
        <v>8170.4</v>
      </c>
      <c r="M273" s="44" t="s">
        <v>131</v>
      </c>
    </row>
    <row r="274" customFormat="false" ht="37.5" hidden="false" customHeight="true" outlineLevel="0" collapsed="false">
      <c r="A274" s="39"/>
      <c r="B274" s="40" t="s">
        <v>678</v>
      </c>
      <c r="C274" s="41" t="s">
        <v>138</v>
      </c>
      <c r="D274" s="41" t="s">
        <v>108</v>
      </c>
      <c r="E274" s="42" t="n">
        <v>2083</v>
      </c>
      <c r="F274" s="42" t="n">
        <v>2000</v>
      </c>
      <c r="G274" s="42" t="n">
        <v>250</v>
      </c>
      <c r="H274" s="43" t="n">
        <v>1</v>
      </c>
      <c r="I274" s="34" t="n">
        <f aca="false">E274*H274+N(F274)+N(G274)</f>
        <v>4333</v>
      </c>
      <c r="J274" s="42" t="n">
        <f aca="false">ROUND(IFERROR(ROUND(IF(OR(ISNUMBER(SEARCH("week",C274)),ISNUMBER(SEARCH("minggu",C274))),IFERROR(_xlfn.NUMBERVALUE(SUBSTITUTE(LEFT(TRIM(C274),FIND(" ",TRIM(C274)&amp;" ")-1),",","."),"."),LEFT(SUBSTITUTE(LEFT(TRIM(C274),FIND(" ",TRIM(C274)&amp;" ")-1),",","."),FIND("/",SUBSTITUTE(LEFT(TRIM(C274),FIND(" ",TRIM(C274)&amp;" ")-1),",","."))-1)/MID(SUBSTITUTE(LEFT(TRIM(C274),FIND(" ",TRIM(C274)&amp;" ")-1),",","."),FIND("/",SUBSTITUTE(LEFT(TRIM(C274),FIND(" ",TRIM(C274)&amp;" ")-1),",","."))+1,9))*12/52,IF(ISNUMBER(SEARCH("month",C274)),IFERROR(_xlfn.NUMBERVALUE(SUBSTITUTE(LEFT(TRIM(C274),FIND(" ",TRIM(C274)&amp;" ")-1),",","."),"."),LEFT(SUBSTITUTE(LEFT(TRIM(C274),FIND(" ",TRIM(C274)&amp;" ")-1),",","."),FIND("/",SUBSTITUTE(LEFT(TRIM(C274),FIND(" ",TRIM(C274)&amp;" ")-1),",","."))-1)/MID(SUBSTITUTE(LEFT(TRIM(C274),FIND(" ",TRIM(C274)&amp;" ")-1),",","."),FIND("/",SUBSTITUTE(LEFT(TRIM(C274),FIND(" ",TRIM(C274)&amp;" ")-1),",","."))+1,9)),IF(ISNUMBER(SEARCH("yea",C274)),IFERROR(_xlfn.NUMBERVALUE(SUBSTITUTE(LEFT(TRIM(C274),FIND(" ",TRIM(C274)&amp;" ")-1),",","."),"."),LEFT(SUBSTITUTE(LEFT(TRIM(C274),FIND(" ",TRIM(C274)&amp;" ")-1),",","."),FIND("/",SUBSTITUTE(LEFT(TRIM(C274),FIND(" ",TRIM(C274)&amp;" ")-1),",","."))-1)/MID(SUBSTITUTE(LEFT(TRIM(C274),FIND(" ",TRIM(C274)&amp;" ")-1),",","."),FIND("/",SUBSTITUTE(LEFT(TRIM(C274),FIND(" ",TRIM(C274)&amp;" ")-1),",","."))+1,9))*12,NA()))),0),30)*'Aturan &amp; Tarif'!$B$4,2)</f>
        <v>1703.4</v>
      </c>
      <c r="K274" s="42" t="n">
        <f aca="false">'Aturan &amp; Tarif'!$B$5</f>
        <v>2050</v>
      </c>
      <c r="L274" s="35" t="n">
        <f aca="false">I274+J274+K274</f>
        <v>8086.4</v>
      </c>
      <c r="M274" s="44" t="s">
        <v>131</v>
      </c>
    </row>
    <row r="275" customFormat="false" ht="37.5" hidden="false" customHeight="true" outlineLevel="0" collapsed="false">
      <c r="A275" s="39"/>
      <c r="B275" s="40" t="s">
        <v>679</v>
      </c>
      <c r="C275" s="41" t="s">
        <v>138</v>
      </c>
      <c r="D275" s="41" t="s">
        <v>108</v>
      </c>
      <c r="E275" s="42" t="n">
        <v>2167</v>
      </c>
      <c r="F275" s="42" t="n">
        <v>2000</v>
      </c>
      <c r="G275" s="42" t="n">
        <v>250</v>
      </c>
      <c r="H275" s="43" t="n">
        <v>1</v>
      </c>
      <c r="I275" s="34" t="n">
        <f aca="false">E275*H275+N(F275)+N(G275)</f>
        <v>4417</v>
      </c>
      <c r="J275" s="42" t="n">
        <f aca="false">ROUND(IFERROR(ROUND(IF(OR(ISNUMBER(SEARCH("week",C275)),ISNUMBER(SEARCH("minggu",C275))),IFERROR(_xlfn.NUMBERVALUE(SUBSTITUTE(LEFT(TRIM(C275),FIND(" ",TRIM(C275)&amp;" ")-1),",","."),"."),LEFT(SUBSTITUTE(LEFT(TRIM(C275),FIND(" ",TRIM(C275)&amp;" ")-1),",","."),FIND("/",SUBSTITUTE(LEFT(TRIM(C275),FIND(" ",TRIM(C275)&amp;" ")-1),",","."))-1)/MID(SUBSTITUTE(LEFT(TRIM(C275),FIND(" ",TRIM(C275)&amp;" ")-1),",","."),FIND("/",SUBSTITUTE(LEFT(TRIM(C275),FIND(" ",TRIM(C275)&amp;" ")-1),",","."))+1,9))*12/52,IF(ISNUMBER(SEARCH("month",C275)),IFERROR(_xlfn.NUMBERVALUE(SUBSTITUTE(LEFT(TRIM(C275),FIND(" ",TRIM(C275)&amp;" ")-1),",","."),"."),LEFT(SUBSTITUTE(LEFT(TRIM(C275),FIND(" ",TRIM(C275)&amp;" ")-1),",","."),FIND("/",SUBSTITUTE(LEFT(TRIM(C275),FIND(" ",TRIM(C275)&amp;" ")-1),",","."))-1)/MID(SUBSTITUTE(LEFT(TRIM(C275),FIND(" ",TRIM(C275)&amp;" ")-1),",","."),FIND("/",SUBSTITUTE(LEFT(TRIM(C275),FIND(" ",TRIM(C275)&amp;" ")-1),",","."))+1,9)),IF(ISNUMBER(SEARCH("yea",C275)),IFERROR(_xlfn.NUMBERVALUE(SUBSTITUTE(LEFT(TRIM(C275),FIND(" ",TRIM(C275)&amp;" ")-1),",","."),"."),LEFT(SUBSTITUTE(LEFT(TRIM(C275),FIND(" ",TRIM(C275)&amp;" ")-1),",","."),FIND("/",SUBSTITUTE(LEFT(TRIM(C275),FIND(" ",TRIM(C275)&amp;" ")-1),",","."))-1)/MID(SUBSTITUTE(LEFT(TRIM(C275),FIND(" ",TRIM(C275)&amp;" ")-1),",","."),FIND("/",SUBSTITUTE(LEFT(TRIM(C275),FIND(" ",TRIM(C275)&amp;" ")-1),",","."))+1,9))*12,NA()))),0),30)*'Aturan &amp; Tarif'!$B$4,2)</f>
        <v>1703.4</v>
      </c>
      <c r="K275" s="42" t="n">
        <f aca="false">'Aturan &amp; Tarif'!$B$5</f>
        <v>2050</v>
      </c>
      <c r="L275" s="35" t="n">
        <f aca="false">I275+J275+K275</f>
        <v>8170.4</v>
      </c>
      <c r="M275" s="44" t="s">
        <v>131</v>
      </c>
    </row>
    <row r="276" customFormat="false" ht="48.75" hidden="false" customHeight="true" outlineLevel="0" collapsed="false">
      <c r="A276" s="39"/>
      <c r="B276" s="40" t="s">
        <v>680</v>
      </c>
      <c r="C276" s="41" t="s">
        <v>138</v>
      </c>
      <c r="D276" s="41" t="s">
        <v>108</v>
      </c>
      <c r="E276" s="42" t="n">
        <v>2083</v>
      </c>
      <c r="F276" s="42" t="n">
        <v>2000</v>
      </c>
      <c r="G276" s="42" t="n">
        <v>250</v>
      </c>
      <c r="H276" s="43" t="n">
        <v>1</v>
      </c>
      <c r="I276" s="34" t="n">
        <f aca="false">E276*H276+N(F276)+N(G276)</f>
        <v>4333</v>
      </c>
      <c r="J276" s="42" t="n">
        <f aca="false">ROUND(IFERROR(ROUND(IF(OR(ISNUMBER(SEARCH("week",C276)),ISNUMBER(SEARCH("minggu",C276))),IFERROR(_xlfn.NUMBERVALUE(SUBSTITUTE(LEFT(TRIM(C276),FIND(" ",TRIM(C276)&amp;" ")-1),",","."),"."),LEFT(SUBSTITUTE(LEFT(TRIM(C276),FIND(" ",TRIM(C276)&amp;" ")-1),",","."),FIND("/",SUBSTITUTE(LEFT(TRIM(C276),FIND(" ",TRIM(C276)&amp;" ")-1),",","."))-1)/MID(SUBSTITUTE(LEFT(TRIM(C276),FIND(" ",TRIM(C276)&amp;" ")-1),",","."),FIND("/",SUBSTITUTE(LEFT(TRIM(C276),FIND(" ",TRIM(C276)&amp;" ")-1),",","."))+1,9))*12/52,IF(ISNUMBER(SEARCH("month",C276)),IFERROR(_xlfn.NUMBERVALUE(SUBSTITUTE(LEFT(TRIM(C276),FIND(" ",TRIM(C276)&amp;" ")-1),",","."),"."),LEFT(SUBSTITUTE(LEFT(TRIM(C276),FIND(" ",TRIM(C276)&amp;" ")-1),",","."),FIND("/",SUBSTITUTE(LEFT(TRIM(C276),FIND(" ",TRIM(C276)&amp;" ")-1),",","."))-1)/MID(SUBSTITUTE(LEFT(TRIM(C276),FIND(" ",TRIM(C276)&amp;" ")-1),",","."),FIND("/",SUBSTITUTE(LEFT(TRIM(C276),FIND(" ",TRIM(C276)&amp;" ")-1),",","."))+1,9)),IF(ISNUMBER(SEARCH("yea",C276)),IFERROR(_xlfn.NUMBERVALUE(SUBSTITUTE(LEFT(TRIM(C276),FIND(" ",TRIM(C276)&amp;" ")-1),",","."),"."),LEFT(SUBSTITUTE(LEFT(TRIM(C276),FIND(" ",TRIM(C276)&amp;" ")-1),",","."),FIND("/",SUBSTITUTE(LEFT(TRIM(C276),FIND(" ",TRIM(C276)&amp;" ")-1),",","."))-1)/MID(SUBSTITUTE(LEFT(TRIM(C276),FIND(" ",TRIM(C276)&amp;" ")-1),",","."),FIND("/",SUBSTITUTE(LEFT(TRIM(C276),FIND(" ",TRIM(C276)&amp;" ")-1),",","."))+1,9))*12,NA()))),0),30)*'Aturan &amp; Tarif'!$B$4,2)</f>
        <v>1703.4</v>
      </c>
      <c r="K276" s="42" t="n">
        <f aca="false">'Aturan &amp; Tarif'!$B$5</f>
        <v>2050</v>
      </c>
      <c r="L276" s="35" t="n">
        <f aca="false">I276+J276+K276</f>
        <v>8086.4</v>
      </c>
      <c r="M276" s="44" t="s">
        <v>131</v>
      </c>
    </row>
    <row r="277" customFormat="false" ht="37.5" hidden="false" customHeight="true" outlineLevel="0" collapsed="false">
      <c r="A277" s="29" t="s">
        <v>2836</v>
      </c>
      <c r="B277" s="30" t="s">
        <v>697</v>
      </c>
      <c r="C277" s="31" t="s">
        <v>107</v>
      </c>
      <c r="D277" s="31" t="s">
        <v>108</v>
      </c>
      <c r="E277" s="32" t="n">
        <v>1250</v>
      </c>
      <c r="F277" s="32" t="n">
        <v>120</v>
      </c>
      <c r="G277" s="32" t="n">
        <v>250</v>
      </c>
      <c r="H277" s="33" t="n">
        <v>1</v>
      </c>
      <c r="I277" s="34" t="n">
        <f aca="false">E277*H277+N(F277)+N(G277)</f>
        <v>1620</v>
      </c>
      <c r="J277" s="32" t="n">
        <f aca="false">ROUND(IFERROR(ROUND(IF(OR(ISNUMBER(SEARCH("week",C277)),ISNUMBER(SEARCH("minggu",C277))),IFERROR(_xlfn.NUMBERVALUE(SUBSTITUTE(LEFT(TRIM(C277),FIND(" ",TRIM(C277)&amp;" ")-1),",","."),"."),LEFT(SUBSTITUTE(LEFT(TRIM(C277),FIND(" ",TRIM(C277)&amp;" ")-1),",","."),FIND("/",SUBSTITUTE(LEFT(TRIM(C277),FIND(" ",TRIM(C277)&amp;" ")-1),",","."))-1)/MID(SUBSTITUTE(LEFT(TRIM(C277),FIND(" ",TRIM(C277)&amp;" ")-1),",","."),FIND("/",SUBSTITUTE(LEFT(TRIM(C277),FIND(" ",TRIM(C277)&amp;" ")-1),",","."))+1,9))*12/52,IF(ISNUMBER(SEARCH("month",C277)),IFERROR(_xlfn.NUMBERVALUE(SUBSTITUTE(LEFT(TRIM(C277),FIND(" ",TRIM(C277)&amp;" ")-1),",","."),"."),LEFT(SUBSTITUTE(LEFT(TRIM(C277),FIND(" ",TRIM(C277)&amp;" ")-1),",","."),FIND("/",SUBSTITUTE(LEFT(TRIM(C277),FIND(" ",TRIM(C277)&amp;" ")-1),",","."))-1)/MID(SUBSTITUTE(LEFT(TRIM(C277),FIND(" ",TRIM(C277)&amp;" ")-1),",","."),FIND("/",SUBSTITUTE(LEFT(TRIM(C277),FIND(" ",TRIM(C277)&amp;" ")-1),",","."))+1,9)),IF(ISNUMBER(SEARCH("yea",C277)),IFERROR(_xlfn.NUMBERVALUE(SUBSTITUTE(LEFT(TRIM(C277),FIND(" ",TRIM(C277)&amp;" ")-1),",","."),"."),LEFT(SUBSTITUTE(LEFT(TRIM(C277),FIND(" ",TRIM(C277)&amp;" ")-1),",","."),FIND("/",SUBSTITUTE(LEFT(TRIM(C277),FIND(" ",TRIM(C277)&amp;" ")-1),",","."))-1)/MID(SUBSTITUTE(LEFT(TRIM(C277),FIND(" ",TRIM(C277)&amp;" ")-1),",","."),FIND("/",SUBSTITUTE(LEFT(TRIM(C277),FIND(" ",TRIM(C277)&amp;" ")-1),",","."))+1,9))*12,NA()))),0),24)*'Aturan &amp; Tarif'!$B$4,2)</f>
        <v>1362.72</v>
      </c>
      <c r="K277" s="32" t="n">
        <f aca="false">'Aturan &amp; Tarif'!$B$5</f>
        <v>2050</v>
      </c>
      <c r="L277" s="35" t="n">
        <f aca="false">I277+J277+K277</f>
        <v>5032.72</v>
      </c>
      <c r="M277" s="37" t="s">
        <v>698</v>
      </c>
    </row>
    <row r="278" customFormat="false" ht="48.75" hidden="false" customHeight="true" outlineLevel="0" collapsed="false">
      <c r="A278" s="29"/>
      <c r="B278" s="30" t="s">
        <v>699</v>
      </c>
      <c r="C278" s="31" t="s">
        <v>136</v>
      </c>
      <c r="D278" s="31" t="s">
        <v>108</v>
      </c>
      <c r="E278" s="32" t="n">
        <v>1250</v>
      </c>
      <c r="F278" s="32" t="n">
        <v>120</v>
      </c>
      <c r="G278" s="32" t="n">
        <v>250</v>
      </c>
      <c r="H278" s="33" t="n">
        <v>1</v>
      </c>
      <c r="I278" s="34" t="n">
        <f aca="false">E278*H278+N(F278)+N(G278)</f>
        <v>1620</v>
      </c>
      <c r="J278" s="32" t="n">
        <f aca="false">ROUND(IFERROR(ROUND(IF(OR(ISNUMBER(SEARCH("week",C278)),ISNUMBER(SEARCH("minggu",C278))),IFERROR(_xlfn.NUMBERVALUE(SUBSTITUTE(LEFT(TRIM(C278),FIND(" ",TRIM(C278)&amp;" ")-1),",","."),"."),LEFT(SUBSTITUTE(LEFT(TRIM(C278),FIND(" ",TRIM(C278)&amp;" ")-1),",","."),FIND("/",SUBSTITUTE(LEFT(TRIM(C278),FIND(" ",TRIM(C278)&amp;" ")-1),",","."))-1)/MID(SUBSTITUTE(LEFT(TRIM(C278),FIND(" ",TRIM(C278)&amp;" ")-1),",","."),FIND("/",SUBSTITUTE(LEFT(TRIM(C278),FIND(" ",TRIM(C278)&amp;" ")-1),",","."))+1,9))*12/52,IF(ISNUMBER(SEARCH("month",C278)),IFERROR(_xlfn.NUMBERVALUE(SUBSTITUTE(LEFT(TRIM(C278),FIND(" ",TRIM(C278)&amp;" ")-1),",","."),"."),LEFT(SUBSTITUTE(LEFT(TRIM(C278),FIND(" ",TRIM(C278)&amp;" ")-1),",","."),FIND("/",SUBSTITUTE(LEFT(TRIM(C278),FIND(" ",TRIM(C278)&amp;" ")-1),",","."))-1)/MID(SUBSTITUTE(LEFT(TRIM(C278),FIND(" ",TRIM(C278)&amp;" ")-1),",","."),FIND("/",SUBSTITUTE(LEFT(TRIM(C278),FIND(" ",TRIM(C278)&amp;" ")-1),",","."))+1,9)),IF(ISNUMBER(SEARCH("yea",C278)),IFERROR(_xlfn.NUMBERVALUE(SUBSTITUTE(LEFT(TRIM(C278),FIND(" ",TRIM(C278)&amp;" ")-1),",","."),"."),LEFT(SUBSTITUTE(LEFT(TRIM(C278),FIND(" ",TRIM(C278)&amp;" ")-1),",","."),FIND("/",SUBSTITUTE(LEFT(TRIM(C278),FIND(" ",TRIM(C278)&amp;" ")-1),",","."))-1)/MID(SUBSTITUTE(LEFT(TRIM(C278),FIND(" ",TRIM(C278)&amp;" ")-1),",","."),FIND("/",SUBSTITUTE(LEFT(TRIM(C278),FIND(" ",TRIM(C278)&amp;" ")-1),",","."))+1,9))*12,NA()))),0),42)*'Aturan &amp; Tarif'!$B$4,2)</f>
        <v>2384.76</v>
      </c>
      <c r="K278" s="32" t="n">
        <f aca="false">'Aturan &amp; Tarif'!$B$5</f>
        <v>2050</v>
      </c>
      <c r="L278" s="35" t="n">
        <f aca="false">I278+J278+K278</f>
        <v>6054.76</v>
      </c>
      <c r="M278" s="36" t="s">
        <v>700</v>
      </c>
    </row>
    <row r="279" customFormat="false" ht="14.25" hidden="false" customHeight="true" outlineLevel="0" collapsed="false">
      <c r="A279" s="29"/>
      <c r="B279" s="30" t="s">
        <v>701</v>
      </c>
      <c r="C279" s="31" t="s">
        <v>107</v>
      </c>
      <c r="D279" s="31" t="s">
        <v>108</v>
      </c>
      <c r="E279" s="32" t="n">
        <v>1250</v>
      </c>
      <c r="F279" s="32" t="n">
        <v>120</v>
      </c>
      <c r="G279" s="32" t="n">
        <v>250</v>
      </c>
      <c r="H279" s="33" t="n">
        <v>1</v>
      </c>
      <c r="I279" s="34" t="n">
        <f aca="false">E279*H279+N(F279)+N(G279)</f>
        <v>1620</v>
      </c>
      <c r="J279" s="32" t="n">
        <f aca="false">ROUND(IFERROR(ROUND(IF(OR(ISNUMBER(SEARCH("week",C279)),ISNUMBER(SEARCH("minggu",C279))),IFERROR(_xlfn.NUMBERVALUE(SUBSTITUTE(LEFT(TRIM(C279),FIND(" ",TRIM(C279)&amp;" ")-1),",","."),"."),LEFT(SUBSTITUTE(LEFT(TRIM(C279),FIND(" ",TRIM(C279)&amp;" ")-1),",","."),FIND("/",SUBSTITUTE(LEFT(TRIM(C279),FIND(" ",TRIM(C279)&amp;" ")-1),",","."))-1)/MID(SUBSTITUTE(LEFT(TRIM(C279),FIND(" ",TRIM(C279)&amp;" ")-1),",","."),FIND("/",SUBSTITUTE(LEFT(TRIM(C279),FIND(" ",TRIM(C279)&amp;" ")-1),",","."))+1,9))*12/52,IF(ISNUMBER(SEARCH("month",C279)),IFERROR(_xlfn.NUMBERVALUE(SUBSTITUTE(LEFT(TRIM(C279),FIND(" ",TRIM(C279)&amp;" ")-1),",","."),"."),LEFT(SUBSTITUTE(LEFT(TRIM(C279),FIND(" ",TRIM(C279)&amp;" ")-1),",","."),FIND("/",SUBSTITUTE(LEFT(TRIM(C279),FIND(" ",TRIM(C279)&amp;" ")-1),",","."))-1)/MID(SUBSTITUTE(LEFT(TRIM(C279),FIND(" ",TRIM(C279)&amp;" ")-1),",","."),FIND("/",SUBSTITUTE(LEFT(TRIM(C279),FIND(" ",TRIM(C279)&amp;" ")-1),",","."))+1,9)),IF(ISNUMBER(SEARCH("yea",C279)),IFERROR(_xlfn.NUMBERVALUE(SUBSTITUTE(LEFT(TRIM(C279),FIND(" ",TRIM(C279)&amp;" ")-1),",","."),"."),LEFT(SUBSTITUTE(LEFT(TRIM(C279),FIND(" ",TRIM(C279)&amp;" ")-1),",","."),FIND("/",SUBSTITUTE(LEFT(TRIM(C279),FIND(" ",TRIM(C279)&amp;" ")-1),",","."))-1)/MID(SUBSTITUTE(LEFT(TRIM(C279),FIND(" ",TRIM(C279)&amp;" ")-1),",","."),FIND("/",SUBSTITUTE(LEFT(TRIM(C279),FIND(" ",TRIM(C279)&amp;" ")-1),",","."))+1,9))*12,NA()))),0),24)*'Aturan &amp; Tarif'!$B$4,2)</f>
        <v>1362.72</v>
      </c>
      <c r="K279" s="32" t="n">
        <f aca="false">'Aturan &amp; Tarif'!$B$5</f>
        <v>2050</v>
      </c>
      <c r="L279" s="35" t="n">
        <f aca="false">I279+J279+K279</f>
        <v>5032.72</v>
      </c>
      <c r="M279" s="37" t="s">
        <v>702</v>
      </c>
    </row>
    <row r="280" customFormat="false" ht="37.5" hidden="false" customHeight="true" outlineLevel="0" collapsed="false">
      <c r="A280" s="29"/>
      <c r="B280" s="30" t="s">
        <v>703</v>
      </c>
      <c r="C280" s="31" t="s">
        <v>136</v>
      </c>
      <c r="D280" s="31" t="s">
        <v>108</v>
      </c>
      <c r="E280" s="32" t="n">
        <v>1250</v>
      </c>
      <c r="F280" s="32" t="n">
        <v>120</v>
      </c>
      <c r="G280" s="32" t="n">
        <v>250</v>
      </c>
      <c r="H280" s="33" t="n">
        <v>1</v>
      </c>
      <c r="I280" s="34" t="n">
        <f aca="false">E280*H280+N(F280)+N(G280)</f>
        <v>1620</v>
      </c>
      <c r="J280" s="32" t="n">
        <f aca="false">ROUND(IFERROR(ROUND(IF(OR(ISNUMBER(SEARCH("week",C280)),ISNUMBER(SEARCH("minggu",C280))),IFERROR(_xlfn.NUMBERVALUE(SUBSTITUTE(LEFT(TRIM(C280),FIND(" ",TRIM(C280)&amp;" ")-1),",","."),"."),LEFT(SUBSTITUTE(LEFT(TRIM(C280),FIND(" ",TRIM(C280)&amp;" ")-1),",","."),FIND("/",SUBSTITUTE(LEFT(TRIM(C280),FIND(" ",TRIM(C280)&amp;" ")-1),",","."))-1)/MID(SUBSTITUTE(LEFT(TRIM(C280),FIND(" ",TRIM(C280)&amp;" ")-1),",","."),FIND("/",SUBSTITUTE(LEFT(TRIM(C280),FIND(" ",TRIM(C280)&amp;" ")-1),",","."))+1,9))*12/52,IF(ISNUMBER(SEARCH("month",C280)),IFERROR(_xlfn.NUMBERVALUE(SUBSTITUTE(LEFT(TRIM(C280),FIND(" ",TRIM(C280)&amp;" ")-1),",","."),"."),LEFT(SUBSTITUTE(LEFT(TRIM(C280),FIND(" ",TRIM(C280)&amp;" ")-1),",","."),FIND("/",SUBSTITUTE(LEFT(TRIM(C280),FIND(" ",TRIM(C280)&amp;" ")-1),",","."))-1)/MID(SUBSTITUTE(LEFT(TRIM(C280),FIND(" ",TRIM(C280)&amp;" ")-1),",","."),FIND("/",SUBSTITUTE(LEFT(TRIM(C280),FIND(" ",TRIM(C280)&amp;" ")-1),",","."))+1,9)),IF(ISNUMBER(SEARCH("yea",C280)),IFERROR(_xlfn.NUMBERVALUE(SUBSTITUTE(LEFT(TRIM(C280),FIND(" ",TRIM(C280)&amp;" ")-1),",","."),"."),LEFT(SUBSTITUTE(LEFT(TRIM(C280),FIND(" ",TRIM(C280)&amp;" ")-1),",","."),FIND("/",SUBSTITUTE(LEFT(TRIM(C280),FIND(" ",TRIM(C280)&amp;" ")-1),",","."))-1)/MID(SUBSTITUTE(LEFT(TRIM(C280),FIND(" ",TRIM(C280)&amp;" ")-1),",","."),FIND("/",SUBSTITUTE(LEFT(TRIM(C280),FIND(" ",TRIM(C280)&amp;" ")-1),",","."))+1,9))*12,NA()))),0),42)*'Aturan &amp; Tarif'!$B$4,2)</f>
        <v>2384.76</v>
      </c>
      <c r="K280" s="32" t="n">
        <f aca="false">'Aturan &amp; Tarif'!$B$5</f>
        <v>2050</v>
      </c>
      <c r="L280" s="35" t="n">
        <f aca="false">I280+J280+K280</f>
        <v>6054.76</v>
      </c>
      <c r="M280" s="36" t="s">
        <v>704</v>
      </c>
    </row>
    <row r="281" customFormat="false" ht="14.25" hidden="false" customHeight="true" outlineLevel="0" collapsed="false">
      <c r="A281" s="29"/>
      <c r="B281" s="30" t="s">
        <v>705</v>
      </c>
      <c r="C281" s="31" t="s">
        <v>706</v>
      </c>
      <c r="D281" s="31" t="s">
        <v>108</v>
      </c>
      <c r="E281" s="32" t="n">
        <v>1250</v>
      </c>
      <c r="F281" s="32" t="n">
        <v>120</v>
      </c>
      <c r="G281" s="32" t="n">
        <v>260</v>
      </c>
      <c r="H281" s="33" t="n">
        <v>1</v>
      </c>
      <c r="I281" s="34" t="n">
        <f aca="false">E281*H281+N(F281)+N(G281)</f>
        <v>1630</v>
      </c>
      <c r="J281" s="32" t="n">
        <f aca="false">ROUND(IFERROR(ROUND(IF(OR(ISNUMBER(SEARCH("week",C281)),ISNUMBER(SEARCH("minggu",C281))),IFERROR(_xlfn.NUMBERVALUE(SUBSTITUTE(LEFT(TRIM(C281),FIND(" ",TRIM(C281)&amp;" ")-1),",","."),"."),LEFT(SUBSTITUTE(LEFT(TRIM(C281),FIND(" ",TRIM(C281)&amp;" ")-1),",","."),FIND("/",SUBSTITUTE(LEFT(TRIM(C281),FIND(" ",TRIM(C281)&amp;" ")-1),",","."))-1)/MID(SUBSTITUTE(LEFT(TRIM(C281),FIND(" ",TRIM(C281)&amp;" ")-1),",","."),FIND("/",SUBSTITUTE(LEFT(TRIM(C281),FIND(" ",TRIM(C281)&amp;" ")-1),",","."))+1,9))*12/52,IF(ISNUMBER(SEARCH("month",C281)),IFERROR(_xlfn.NUMBERVALUE(SUBSTITUTE(LEFT(TRIM(C281),FIND(" ",TRIM(C281)&amp;" ")-1),",","."),"."),LEFT(SUBSTITUTE(LEFT(TRIM(C281),FIND(" ",TRIM(C281)&amp;" ")-1),",","."),FIND("/",SUBSTITUTE(LEFT(TRIM(C281),FIND(" ",TRIM(C281)&amp;" ")-1),",","."))-1)/MID(SUBSTITUTE(LEFT(TRIM(C281),FIND(" ",TRIM(C281)&amp;" ")-1),",","."),FIND("/",SUBSTITUTE(LEFT(TRIM(C281),FIND(" ",TRIM(C281)&amp;" ")-1),",","."))+1,9)),IF(ISNUMBER(SEARCH("yea",C281)),IFERROR(_xlfn.NUMBERVALUE(SUBSTITUTE(LEFT(TRIM(C281),FIND(" ",TRIM(C281)&amp;" ")-1),",","."),"."),LEFT(SUBSTITUTE(LEFT(TRIM(C281),FIND(" ",TRIM(C281)&amp;" ")-1),",","."),FIND("/",SUBSTITUTE(LEFT(TRIM(C281),FIND(" ",TRIM(C281)&amp;" ")-1),",","."))-1)/MID(SUBSTITUTE(LEFT(TRIM(C281),FIND(" ",TRIM(C281)&amp;" ")-1),",","."),FIND("/",SUBSTITUTE(LEFT(TRIM(C281),FIND(" ",TRIM(C281)&amp;" ")-1),",","."))+1,9))*12,NA()))),0),22)*'Aturan &amp; Tarif'!$B$4,2)</f>
        <v>1249.16</v>
      </c>
      <c r="K281" s="32" t="n">
        <f aca="false">'Aturan &amp; Tarif'!$B$5</f>
        <v>2050</v>
      </c>
      <c r="L281" s="35" t="n">
        <f aca="false">I281+J281+K281</f>
        <v>4929.16</v>
      </c>
      <c r="M281" s="37" t="s">
        <v>707</v>
      </c>
    </row>
    <row r="282" customFormat="false" ht="37.5" hidden="false" customHeight="true" outlineLevel="0" collapsed="false">
      <c r="A282" s="29"/>
      <c r="B282" s="30" t="s">
        <v>708</v>
      </c>
      <c r="C282" s="31" t="s">
        <v>709</v>
      </c>
      <c r="D282" s="31" t="s">
        <v>108</v>
      </c>
      <c r="E282" s="32" t="n">
        <v>1250</v>
      </c>
      <c r="F282" s="32" t="n">
        <v>120</v>
      </c>
      <c r="G282" s="32" t="n">
        <v>260</v>
      </c>
      <c r="H282" s="33" t="n">
        <v>1</v>
      </c>
      <c r="I282" s="34" t="n">
        <f aca="false">E282*H282+N(F282)+N(G282)</f>
        <v>1630</v>
      </c>
      <c r="J282" s="32" t="n">
        <f aca="false">ROUND(IFERROR(ROUND(IF(OR(ISNUMBER(SEARCH("week",C282)),ISNUMBER(SEARCH("minggu",C282))),IFERROR(_xlfn.NUMBERVALUE(SUBSTITUTE(LEFT(TRIM(C282),FIND(" ",TRIM(C282)&amp;" ")-1),",","."),"."),LEFT(SUBSTITUTE(LEFT(TRIM(C282),FIND(" ",TRIM(C282)&amp;" ")-1),",","."),FIND("/",SUBSTITUTE(LEFT(TRIM(C282),FIND(" ",TRIM(C282)&amp;" ")-1),",","."))-1)/MID(SUBSTITUTE(LEFT(TRIM(C282),FIND(" ",TRIM(C282)&amp;" ")-1),",","."),FIND("/",SUBSTITUTE(LEFT(TRIM(C282),FIND(" ",TRIM(C282)&amp;" ")-1),",","."))+1,9))*12/52,IF(ISNUMBER(SEARCH("month",C282)),IFERROR(_xlfn.NUMBERVALUE(SUBSTITUTE(LEFT(TRIM(C282),FIND(" ",TRIM(C282)&amp;" ")-1),",","."),"."),LEFT(SUBSTITUTE(LEFT(TRIM(C282),FIND(" ",TRIM(C282)&amp;" ")-1),",","."),FIND("/",SUBSTITUTE(LEFT(TRIM(C282),FIND(" ",TRIM(C282)&amp;" ")-1),",","."))-1)/MID(SUBSTITUTE(LEFT(TRIM(C282),FIND(" ",TRIM(C282)&amp;" ")-1),",","."),FIND("/",SUBSTITUTE(LEFT(TRIM(C282),FIND(" ",TRIM(C282)&amp;" ")-1),",","."))+1,9)),IF(ISNUMBER(SEARCH("yea",C282)),IFERROR(_xlfn.NUMBERVALUE(SUBSTITUTE(LEFT(TRIM(C282),FIND(" ",TRIM(C282)&amp;" ")-1),",","."),"."),LEFT(SUBSTITUTE(LEFT(TRIM(C282),FIND(" ",TRIM(C282)&amp;" ")-1),",","."),FIND("/",SUBSTITUTE(LEFT(TRIM(C282),FIND(" ",TRIM(C282)&amp;" ")-1),",","."))-1)/MID(SUBSTITUTE(LEFT(TRIM(C282),FIND(" ",TRIM(C282)&amp;" ")-1),",","."),FIND("/",SUBSTITUTE(LEFT(TRIM(C282),FIND(" ",TRIM(C282)&amp;" ")-1),",","."))+1,9))*12,NA()))),0),40)*'Aturan &amp; Tarif'!$B$4,2)</f>
        <v>2271.2</v>
      </c>
      <c r="K282" s="32" t="n">
        <f aca="false">'Aturan &amp; Tarif'!$B$5</f>
        <v>2050</v>
      </c>
      <c r="L282" s="35" t="n">
        <f aca="false">I282+J282+K282</f>
        <v>5951.2</v>
      </c>
      <c r="M282" s="36" t="s">
        <v>710</v>
      </c>
    </row>
    <row r="283" customFormat="false" ht="25.5" hidden="false" customHeight="true" outlineLevel="0" collapsed="false">
      <c r="A283" s="29"/>
      <c r="B283" s="30" t="s">
        <v>496</v>
      </c>
      <c r="C283" s="31" t="s">
        <v>706</v>
      </c>
      <c r="D283" s="31" t="s">
        <v>108</v>
      </c>
      <c r="E283" s="32" t="n">
        <v>1250</v>
      </c>
      <c r="F283" s="32" t="n">
        <v>120</v>
      </c>
      <c r="G283" s="32" t="n">
        <v>260</v>
      </c>
      <c r="H283" s="33" t="n">
        <v>1</v>
      </c>
      <c r="I283" s="34" t="n">
        <f aca="false">E283*H283+N(F283)+N(G283)</f>
        <v>1630</v>
      </c>
      <c r="J283" s="32" t="n">
        <f aca="false">ROUND(IFERROR(ROUND(IF(OR(ISNUMBER(SEARCH("week",C283)),ISNUMBER(SEARCH("minggu",C283))),IFERROR(_xlfn.NUMBERVALUE(SUBSTITUTE(LEFT(TRIM(C283),FIND(" ",TRIM(C283)&amp;" ")-1),",","."),"."),LEFT(SUBSTITUTE(LEFT(TRIM(C283),FIND(" ",TRIM(C283)&amp;" ")-1),",","."),FIND("/",SUBSTITUTE(LEFT(TRIM(C283),FIND(" ",TRIM(C283)&amp;" ")-1),",","."))-1)/MID(SUBSTITUTE(LEFT(TRIM(C283),FIND(" ",TRIM(C283)&amp;" ")-1),",","."),FIND("/",SUBSTITUTE(LEFT(TRIM(C283),FIND(" ",TRIM(C283)&amp;" ")-1),",","."))+1,9))*12/52,IF(ISNUMBER(SEARCH("month",C283)),IFERROR(_xlfn.NUMBERVALUE(SUBSTITUTE(LEFT(TRIM(C283),FIND(" ",TRIM(C283)&amp;" ")-1),",","."),"."),LEFT(SUBSTITUTE(LEFT(TRIM(C283),FIND(" ",TRIM(C283)&amp;" ")-1),",","."),FIND("/",SUBSTITUTE(LEFT(TRIM(C283),FIND(" ",TRIM(C283)&amp;" ")-1),",","."))-1)/MID(SUBSTITUTE(LEFT(TRIM(C283),FIND(" ",TRIM(C283)&amp;" ")-1),",","."),FIND("/",SUBSTITUTE(LEFT(TRIM(C283),FIND(" ",TRIM(C283)&amp;" ")-1),",","."))+1,9)),IF(ISNUMBER(SEARCH("yea",C283)),IFERROR(_xlfn.NUMBERVALUE(SUBSTITUTE(LEFT(TRIM(C283),FIND(" ",TRIM(C283)&amp;" ")-1),",","."),"."),LEFT(SUBSTITUTE(LEFT(TRIM(C283),FIND(" ",TRIM(C283)&amp;" ")-1),",","."),FIND("/",SUBSTITUTE(LEFT(TRIM(C283),FIND(" ",TRIM(C283)&amp;" ")-1),",","."))-1)/MID(SUBSTITUTE(LEFT(TRIM(C283),FIND(" ",TRIM(C283)&amp;" ")-1),",","."),FIND("/",SUBSTITUTE(LEFT(TRIM(C283),FIND(" ",TRIM(C283)&amp;" ")-1),",","."))+1,9))*12,NA()))),0),22)*'Aturan &amp; Tarif'!$B$4,2)</f>
        <v>1249.16</v>
      </c>
      <c r="K283" s="32" t="n">
        <f aca="false">'Aturan &amp; Tarif'!$B$5</f>
        <v>2050</v>
      </c>
      <c r="L283" s="35" t="n">
        <f aca="false">I283+J283+K283</f>
        <v>4929.16</v>
      </c>
      <c r="M283" s="37" t="s">
        <v>707</v>
      </c>
    </row>
    <row r="284" customFormat="false" ht="37.5" hidden="false" customHeight="true" outlineLevel="0" collapsed="false">
      <c r="A284" s="29"/>
      <c r="B284" s="30" t="s">
        <v>2837</v>
      </c>
      <c r="C284" s="31" t="s">
        <v>709</v>
      </c>
      <c r="D284" s="31" t="s">
        <v>108</v>
      </c>
      <c r="E284" s="32" t="n">
        <v>1250</v>
      </c>
      <c r="F284" s="32" t="n">
        <v>120</v>
      </c>
      <c r="G284" s="32" t="n">
        <v>260</v>
      </c>
      <c r="H284" s="33" t="n">
        <v>1</v>
      </c>
      <c r="I284" s="34" t="n">
        <f aca="false">E284*H284+N(F284)+N(G284)</f>
        <v>1630</v>
      </c>
      <c r="J284" s="32" t="n">
        <f aca="false">ROUND(IFERROR(ROUND(IF(OR(ISNUMBER(SEARCH("week",C284)),ISNUMBER(SEARCH("minggu",C284))),IFERROR(_xlfn.NUMBERVALUE(SUBSTITUTE(LEFT(TRIM(C284),FIND(" ",TRIM(C284)&amp;" ")-1),",","."),"."),LEFT(SUBSTITUTE(LEFT(TRIM(C284),FIND(" ",TRIM(C284)&amp;" ")-1),",","."),FIND("/",SUBSTITUTE(LEFT(TRIM(C284),FIND(" ",TRIM(C284)&amp;" ")-1),",","."))-1)/MID(SUBSTITUTE(LEFT(TRIM(C284),FIND(" ",TRIM(C284)&amp;" ")-1),",","."),FIND("/",SUBSTITUTE(LEFT(TRIM(C284),FIND(" ",TRIM(C284)&amp;" ")-1),",","."))+1,9))*12/52,IF(ISNUMBER(SEARCH("month",C284)),IFERROR(_xlfn.NUMBERVALUE(SUBSTITUTE(LEFT(TRIM(C284),FIND(" ",TRIM(C284)&amp;" ")-1),",","."),"."),LEFT(SUBSTITUTE(LEFT(TRIM(C284),FIND(" ",TRIM(C284)&amp;" ")-1),",","."),FIND("/",SUBSTITUTE(LEFT(TRIM(C284),FIND(" ",TRIM(C284)&amp;" ")-1),",","."))-1)/MID(SUBSTITUTE(LEFT(TRIM(C284),FIND(" ",TRIM(C284)&amp;" ")-1),",","."),FIND("/",SUBSTITUTE(LEFT(TRIM(C284),FIND(" ",TRIM(C284)&amp;" ")-1),",","."))+1,9)),IF(ISNUMBER(SEARCH("yea",C284)),IFERROR(_xlfn.NUMBERVALUE(SUBSTITUTE(LEFT(TRIM(C284),FIND(" ",TRIM(C284)&amp;" ")-1),",","."),"."),LEFT(SUBSTITUTE(LEFT(TRIM(C284),FIND(" ",TRIM(C284)&amp;" ")-1),",","."),FIND("/",SUBSTITUTE(LEFT(TRIM(C284),FIND(" ",TRIM(C284)&amp;" ")-1),",","."))-1)/MID(SUBSTITUTE(LEFT(TRIM(C284),FIND(" ",TRIM(C284)&amp;" ")-1),",","."),FIND("/",SUBSTITUTE(LEFT(TRIM(C284),FIND(" ",TRIM(C284)&amp;" ")-1),",","."))+1,9))*12,NA()))),0),40)*'Aturan &amp; Tarif'!$B$4,2)</f>
        <v>2271.2</v>
      </c>
      <c r="K284" s="32" t="n">
        <f aca="false">'Aturan &amp; Tarif'!$B$5</f>
        <v>2050</v>
      </c>
      <c r="L284" s="35" t="n">
        <f aca="false">I284+J284+K284</f>
        <v>5951.2</v>
      </c>
      <c r="M284" s="36" t="s">
        <v>1629</v>
      </c>
    </row>
    <row r="285" customFormat="false" ht="37.5" hidden="false" customHeight="true" outlineLevel="0" collapsed="false">
      <c r="A285" s="29"/>
      <c r="B285" s="30" t="s">
        <v>3350</v>
      </c>
      <c r="C285" s="31" t="s">
        <v>127</v>
      </c>
      <c r="D285" s="31" t="s">
        <v>108</v>
      </c>
      <c r="E285" s="32" t="n">
        <v>1250</v>
      </c>
      <c r="F285" s="32" t="n">
        <v>200</v>
      </c>
      <c r="G285" s="32" t="n">
        <v>260</v>
      </c>
      <c r="H285" s="33" t="n">
        <v>1</v>
      </c>
      <c r="I285" s="34" t="n">
        <f aca="false">E285*H285+N(F285)+N(G285)</f>
        <v>1710</v>
      </c>
      <c r="J285" s="32" t="n">
        <f aca="false">ROUND(IFERROR(ROUND(IF(OR(ISNUMBER(SEARCH("week",C285)),ISNUMBER(SEARCH("minggu",C285))),IFERROR(_xlfn.NUMBERVALUE(SUBSTITUTE(LEFT(TRIM(C285),FIND(" ",TRIM(C285)&amp;" ")-1),",","."),"."),LEFT(SUBSTITUTE(LEFT(TRIM(C285),FIND(" ",TRIM(C285)&amp;" ")-1),",","."),FIND("/",SUBSTITUTE(LEFT(TRIM(C285),FIND(" ",TRIM(C285)&amp;" ")-1),",","."))-1)/MID(SUBSTITUTE(LEFT(TRIM(C285),FIND(" ",TRIM(C285)&amp;" ")-1),",","."),FIND("/",SUBSTITUTE(LEFT(TRIM(C285),FIND(" ",TRIM(C285)&amp;" ")-1),",","."))+1,9))*12/52,IF(ISNUMBER(SEARCH("month",C285)),IFERROR(_xlfn.NUMBERVALUE(SUBSTITUTE(LEFT(TRIM(C285),FIND(" ",TRIM(C285)&amp;" ")-1),",","."),"."),LEFT(SUBSTITUTE(LEFT(TRIM(C285),FIND(" ",TRIM(C285)&amp;" ")-1),",","."),FIND("/",SUBSTITUTE(LEFT(TRIM(C285),FIND(" ",TRIM(C285)&amp;" ")-1),",","."))-1)/MID(SUBSTITUTE(LEFT(TRIM(C285),FIND(" ",TRIM(C285)&amp;" ")-1),",","."),FIND("/",SUBSTITUTE(LEFT(TRIM(C285),FIND(" ",TRIM(C285)&amp;" ")-1),",","."))+1,9)),IF(ISNUMBER(SEARCH("yea",C285)),IFERROR(_xlfn.NUMBERVALUE(SUBSTITUTE(LEFT(TRIM(C285),FIND(" ",TRIM(C285)&amp;" ")-1),",","."),"."),LEFT(SUBSTITUTE(LEFT(TRIM(C285),FIND(" ",TRIM(C285)&amp;" ")-1),",","."),FIND("/",SUBSTITUTE(LEFT(TRIM(C285),FIND(" ",TRIM(C285)&amp;" ")-1),",","."))-1)/MID(SUBSTITUTE(LEFT(TRIM(C285),FIND(" ",TRIM(C285)&amp;" ")-1),",","."),FIND("/",SUBSTITUTE(LEFT(TRIM(C285),FIND(" ",TRIM(C285)&amp;" ")-1),",","."))+1,9))*12,NA()))),0),36)*'Aturan &amp; Tarif'!$B$4,2)</f>
        <v>2044.08</v>
      </c>
      <c r="K285" s="32" t="n">
        <f aca="false">'Aturan &amp; Tarif'!$B$5</f>
        <v>2050</v>
      </c>
      <c r="L285" s="35" t="n">
        <f aca="false">I285+J285+K285</f>
        <v>5804.08</v>
      </c>
      <c r="M285" s="36" t="s">
        <v>2079</v>
      </c>
    </row>
    <row r="286" customFormat="false" ht="25.5" hidden="false" customHeight="true" outlineLevel="0" collapsed="false">
      <c r="A286" s="29"/>
      <c r="B286" s="30" t="s">
        <v>2839</v>
      </c>
      <c r="C286" s="31" t="s">
        <v>107</v>
      </c>
      <c r="D286" s="31" t="s">
        <v>108</v>
      </c>
      <c r="E286" s="32" t="n">
        <v>1250</v>
      </c>
      <c r="F286" s="32" t="n">
        <v>240</v>
      </c>
      <c r="G286" s="32" t="n">
        <v>260</v>
      </c>
      <c r="H286" s="33" t="n">
        <v>1</v>
      </c>
      <c r="I286" s="34" t="n">
        <f aca="false">E286*H286+N(F286)+N(G286)</f>
        <v>1750</v>
      </c>
      <c r="J286" s="32" t="n">
        <f aca="false">ROUND(IFERROR(ROUND(IF(OR(ISNUMBER(SEARCH("week",C286)),ISNUMBER(SEARCH("minggu",C286))),IFERROR(_xlfn.NUMBERVALUE(SUBSTITUTE(LEFT(TRIM(C286),FIND(" ",TRIM(C286)&amp;" ")-1),",","."),"."),LEFT(SUBSTITUTE(LEFT(TRIM(C286),FIND(" ",TRIM(C286)&amp;" ")-1),",","."),FIND("/",SUBSTITUTE(LEFT(TRIM(C286),FIND(" ",TRIM(C286)&amp;" ")-1),",","."))-1)/MID(SUBSTITUTE(LEFT(TRIM(C286),FIND(" ",TRIM(C286)&amp;" ")-1),",","."),FIND("/",SUBSTITUTE(LEFT(TRIM(C286),FIND(" ",TRIM(C286)&amp;" ")-1),",","."))+1,9))*12/52,IF(ISNUMBER(SEARCH("month",C286)),IFERROR(_xlfn.NUMBERVALUE(SUBSTITUTE(LEFT(TRIM(C286),FIND(" ",TRIM(C286)&amp;" ")-1),",","."),"."),LEFT(SUBSTITUTE(LEFT(TRIM(C286),FIND(" ",TRIM(C286)&amp;" ")-1),",","."),FIND("/",SUBSTITUTE(LEFT(TRIM(C286),FIND(" ",TRIM(C286)&amp;" ")-1),",","."))-1)/MID(SUBSTITUTE(LEFT(TRIM(C286),FIND(" ",TRIM(C286)&amp;" ")-1),",","."),FIND("/",SUBSTITUTE(LEFT(TRIM(C286),FIND(" ",TRIM(C286)&amp;" ")-1),",","."))+1,9)),IF(ISNUMBER(SEARCH("yea",C286)),IFERROR(_xlfn.NUMBERVALUE(SUBSTITUTE(LEFT(TRIM(C286),FIND(" ",TRIM(C286)&amp;" ")-1),",","."),"."),LEFT(SUBSTITUTE(LEFT(TRIM(C286),FIND(" ",TRIM(C286)&amp;" ")-1),",","."),FIND("/",SUBSTITUTE(LEFT(TRIM(C286),FIND(" ",TRIM(C286)&amp;" ")-1),",","."))-1)/MID(SUBSTITUTE(LEFT(TRIM(C286),FIND(" ",TRIM(C286)&amp;" ")-1),",","."),FIND("/",SUBSTITUTE(LEFT(TRIM(C286),FIND(" ",TRIM(C286)&amp;" ")-1),",","."))+1,9))*12,NA()))),0),24)*'Aturan &amp; Tarif'!$B$4,2)</f>
        <v>1362.72</v>
      </c>
      <c r="K286" s="32" t="n">
        <f aca="false">'Aturan &amp; Tarif'!$B$5</f>
        <v>2050</v>
      </c>
      <c r="L286" s="35" t="n">
        <f aca="false">I286+J286+K286</f>
        <v>5162.72</v>
      </c>
      <c r="M286" s="36" t="s">
        <v>1634</v>
      </c>
    </row>
    <row r="287" customFormat="false" ht="25.5" hidden="false" customHeight="true" outlineLevel="0" collapsed="false">
      <c r="A287" s="29"/>
      <c r="B287" s="30" t="s">
        <v>711</v>
      </c>
      <c r="C287" s="31" t="s">
        <v>712</v>
      </c>
      <c r="D287" s="31" t="s">
        <v>108</v>
      </c>
      <c r="E287" s="32" t="n">
        <v>1600</v>
      </c>
      <c r="F287" s="32" t="n">
        <v>500</v>
      </c>
      <c r="G287" s="32" t="n">
        <v>260</v>
      </c>
      <c r="H287" s="33" t="n">
        <v>1</v>
      </c>
      <c r="I287" s="34" t="n">
        <f aca="false">E287*H287+N(F287)+N(G287)</f>
        <v>2360</v>
      </c>
      <c r="J287" s="32" t="n">
        <f aca="false">ROUND(IFERROR(ROUND(IF(OR(ISNUMBER(SEARCH("week",C287)),ISNUMBER(SEARCH("minggu",C287))),IFERROR(_xlfn.NUMBERVALUE(SUBSTITUTE(LEFT(TRIM(C287),FIND(" ",TRIM(C287)&amp;" ")-1),",","."),"."),LEFT(SUBSTITUTE(LEFT(TRIM(C287),FIND(" ",TRIM(C287)&amp;" ")-1),",","."),FIND("/",SUBSTITUTE(LEFT(TRIM(C287),FIND(" ",TRIM(C287)&amp;" ")-1),",","."))-1)/MID(SUBSTITUTE(LEFT(TRIM(C287),FIND(" ",TRIM(C287)&amp;" ")-1),",","."),FIND("/",SUBSTITUTE(LEFT(TRIM(C287),FIND(" ",TRIM(C287)&amp;" ")-1),",","."))+1,9))*12/52,IF(ISNUMBER(SEARCH("month",C287)),IFERROR(_xlfn.NUMBERVALUE(SUBSTITUTE(LEFT(TRIM(C287),FIND(" ",TRIM(C287)&amp;" ")-1),",","."),"."),LEFT(SUBSTITUTE(LEFT(TRIM(C287),FIND(" ",TRIM(C287)&amp;" ")-1),",","."),FIND("/",SUBSTITUTE(LEFT(TRIM(C287),FIND(" ",TRIM(C287)&amp;" ")-1),",","."))-1)/MID(SUBSTITUTE(LEFT(TRIM(C287),FIND(" ",TRIM(C287)&amp;" ")-1),",","."),FIND("/",SUBSTITUTE(LEFT(TRIM(C287),FIND(" ",TRIM(C287)&amp;" ")-1),",","."))+1,9)),IF(ISNUMBER(SEARCH("yea",C287)),IFERROR(_xlfn.NUMBERVALUE(SUBSTITUTE(LEFT(TRIM(C287),FIND(" ",TRIM(C287)&amp;" ")-1),",","."),"."),LEFT(SUBSTITUTE(LEFT(TRIM(C287),FIND(" ",TRIM(C287)&amp;" ")-1),",","."),FIND("/",SUBSTITUTE(LEFT(TRIM(C287),FIND(" ",TRIM(C287)&amp;" ")-1),",","."))-1)/MID(SUBSTITUTE(LEFT(TRIM(C287),FIND(" ",TRIM(C287)&amp;" ")-1),",","."),FIND("/",SUBSTITUTE(LEFT(TRIM(C287),FIND(" ",TRIM(C287)&amp;" ")-1),",","."))+1,9))*12,NA()))),0),30)*'Aturan &amp; Tarif'!$B$4,2)</f>
        <v>1703.4</v>
      </c>
      <c r="K287" s="32" t="n">
        <f aca="false">'Aturan &amp; Tarif'!$B$5</f>
        <v>2050</v>
      </c>
      <c r="L287" s="35" t="n">
        <f aca="false">I287+J287+K287</f>
        <v>6113.4</v>
      </c>
      <c r="M287" s="37" t="s">
        <v>713</v>
      </c>
    </row>
    <row r="288" customFormat="false" ht="37.5" hidden="false" customHeight="true" outlineLevel="0" collapsed="false">
      <c r="A288" s="29"/>
      <c r="B288" s="30" t="s">
        <v>714</v>
      </c>
      <c r="C288" s="31" t="s">
        <v>715</v>
      </c>
      <c r="D288" s="31" t="s">
        <v>108</v>
      </c>
      <c r="E288" s="32" t="n">
        <v>1950</v>
      </c>
      <c r="F288" s="32" t="n">
        <v>1700</v>
      </c>
      <c r="G288" s="32" t="n">
        <v>260</v>
      </c>
      <c r="H288" s="33" t="n">
        <v>1</v>
      </c>
      <c r="I288" s="34" t="n">
        <f aca="false">E288*H288+N(F288)+N(G288)</f>
        <v>3910</v>
      </c>
      <c r="J288" s="32" t="n">
        <f aca="false">ROUND(IFERROR(ROUND(IF(OR(ISNUMBER(SEARCH("week",C288)),ISNUMBER(SEARCH("minggu",C288))),IFERROR(_xlfn.NUMBERVALUE(SUBSTITUTE(LEFT(TRIM(C288),FIND(" ",TRIM(C288)&amp;" ")-1),",","."),"."),LEFT(SUBSTITUTE(LEFT(TRIM(C288),FIND(" ",TRIM(C288)&amp;" ")-1),",","."),FIND("/",SUBSTITUTE(LEFT(TRIM(C288),FIND(" ",TRIM(C288)&amp;" ")-1),",","."))-1)/MID(SUBSTITUTE(LEFT(TRIM(C288),FIND(" ",TRIM(C288)&amp;" ")-1),",","."),FIND("/",SUBSTITUTE(LEFT(TRIM(C288),FIND(" ",TRIM(C288)&amp;" ")-1),",","."))+1,9))*12/52,IF(ISNUMBER(SEARCH("month",C288)),IFERROR(_xlfn.NUMBERVALUE(SUBSTITUTE(LEFT(TRIM(C288),FIND(" ",TRIM(C288)&amp;" ")-1),",","."),"."),LEFT(SUBSTITUTE(LEFT(TRIM(C288),FIND(" ",TRIM(C288)&amp;" ")-1),",","."),FIND("/",SUBSTITUTE(LEFT(TRIM(C288),FIND(" ",TRIM(C288)&amp;" ")-1),",","."))-1)/MID(SUBSTITUTE(LEFT(TRIM(C288),FIND(" ",TRIM(C288)&amp;" ")-1),",","."),FIND("/",SUBSTITUTE(LEFT(TRIM(C288),FIND(" ",TRIM(C288)&amp;" ")-1),",","."))+1,9)),IF(ISNUMBER(SEARCH("yea",C288)),IFERROR(_xlfn.NUMBERVALUE(SUBSTITUTE(LEFT(TRIM(C288),FIND(" ",TRIM(C288)&amp;" ")-1),",","."),"."),LEFT(SUBSTITUTE(LEFT(TRIM(C288),FIND(" ",TRIM(C288)&amp;" ")-1),",","."),FIND("/",SUBSTITUTE(LEFT(TRIM(C288),FIND(" ",TRIM(C288)&amp;" ")-1),",","."))-1)/MID(SUBSTITUTE(LEFT(TRIM(C288),FIND(" ",TRIM(C288)&amp;" ")-1),",","."),FIND("/",SUBSTITUTE(LEFT(TRIM(C288),FIND(" ",TRIM(C288)&amp;" ")-1),",","."))+1,9))*12,NA()))),0),25)*'Aturan &amp; Tarif'!$B$4,2)</f>
        <v>1419.5</v>
      </c>
      <c r="K288" s="32" t="n">
        <f aca="false">'Aturan &amp; Tarif'!$B$5</f>
        <v>2050</v>
      </c>
      <c r="L288" s="35" t="n">
        <f aca="false">I288+J288+K288</f>
        <v>7379.5</v>
      </c>
      <c r="M288" s="37" t="s">
        <v>716</v>
      </c>
    </row>
    <row r="289" customFormat="false" ht="37.5" hidden="false" customHeight="true" outlineLevel="0" collapsed="false">
      <c r="A289" s="29"/>
      <c r="B289" s="30" t="s">
        <v>717</v>
      </c>
      <c r="C289" s="31" t="s">
        <v>718</v>
      </c>
      <c r="D289" s="31" t="s">
        <v>108</v>
      </c>
      <c r="E289" s="32" t="n">
        <v>1950</v>
      </c>
      <c r="F289" s="32" t="n">
        <v>1700</v>
      </c>
      <c r="G289" s="32" t="n">
        <v>260</v>
      </c>
      <c r="H289" s="33" t="n">
        <v>1</v>
      </c>
      <c r="I289" s="34" t="n">
        <f aca="false">E289*H289+N(F289)+N(G289)</f>
        <v>3910</v>
      </c>
      <c r="J289" s="32" t="n">
        <f aca="false">ROUND(IFERROR(ROUND(IF(OR(ISNUMBER(SEARCH("week",C289)),ISNUMBER(SEARCH("minggu",C289))),IFERROR(_xlfn.NUMBERVALUE(SUBSTITUTE(LEFT(TRIM(C289),FIND(" ",TRIM(C289)&amp;" ")-1),",","."),"."),LEFT(SUBSTITUTE(LEFT(TRIM(C289),FIND(" ",TRIM(C289)&amp;" ")-1),",","."),FIND("/",SUBSTITUTE(LEFT(TRIM(C289),FIND(" ",TRIM(C289)&amp;" ")-1),",","."))-1)/MID(SUBSTITUTE(LEFT(TRIM(C289),FIND(" ",TRIM(C289)&amp;" ")-1),",","."),FIND("/",SUBSTITUTE(LEFT(TRIM(C289),FIND(" ",TRIM(C289)&amp;" ")-1),",","."))+1,9))*12/52,IF(ISNUMBER(SEARCH("month",C289)),IFERROR(_xlfn.NUMBERVALUE(SUBSTITUTE(LEFT(TRIM(C289),FIND(" ",TRIM(C289)&amp;" ")-1),",","."),"."),LEFT(SUBSTITUTE(LEFT(TRIM(C289),FIND(" ",TRIM(C289)&amp;" ")-1),",","."),FIND("/",SUBSTITUTE(LEFT(TRIM(C289),FIND(" ",TRIM(C289)&amp;" ")-1),",","."))-1)/MID(SUBSTITUTE(LEFT(TRIM(C289),FIND(" ",TRIM(C289)&amp;" ")-1),",","."),FIND("/",SUBSTITUTE(LEFT(TRIM(C289),FIND(" ",TRIM(C289)&amp;" ")-1),",","."))+1,9)),IF(ISNUMBER(SEARCH("yea",C289)),IFERROR(_xlfn.NUMBERVALUE(SUBSTITUTE(LEFT(TRIM(C289),FIND(" ",TRIM(C289)&amp;" ")-1),",","."),"."),LEFT(SUBSTITUTE(LEFT(TRIM(C289),FIND(" ",TRIM(C289)&amp;" ")-1),",","."),FIND("/",SUBSTITUTE(LEFT(TRIM(C289),FIND(" ",TRIM(C289)&amp;" ")-1),",","."))-1)/MID(SUBSTITUTE(LEFT(TRIM(C289),FIND(" ",TRIM(C289)&amp;" ")-1),",","."),FIND("/",SUBSTITUTE(LEFT(TRIM(C289),FIND(" ",TRIM(C289)&amp;" ")-1),",","."))+1,9))*12,NA()))),0),33)*'Aturan &amp; Tarif'!$B$4,2)</f>
        <v>1873.74</v>
      </c>
      <c r="K289" s="32" t="n">
        <f aca="false">'Aturan &amp; Tarif'!$B$5</f>
        <v>2050</v>
      </c>
      <c r="L289" s="35" t="n">
        <f aca="false">I289+J289+K289</f>
        <v>7833.74</v>
      </c>
      <c r="M289" s="37" t="s">
        <v>719</v>
      </c>
    </row>
    <row r="290" customFormat="false" ht="25.5" hidden="false" customHeight="true" outlineLevel="0" collapsed="false">
      <c r="A290" s="29"/>
      <c r="B290" s="30" t="s">
        <v>720</v>
      </c>
      <c r="C290" s="31" t="s">
        <v>721</v>
      </c>
      <c r="D290" s="31" t="s">
        <v>108</v>
      </c>
      <c r="E290" s="32" t="n">
        <v>1600</v>
      </c>
      <c r="F290" s="32" t="n">
        <v>500</v>
      </c>
      <c r="G290" s="32" t="n">
        <v>260</v>
      </c>
      <c r="H290" s="33" t="n">
        <v>1</v>
      </c>
      <c r="I290" s="34" t="n">
        <f aca="false">E290*H290+N(F290)+N(G290)</f>
        <v>2360</v>
      </c>
      <c r="J290" s="32" t="n">
        <f aca="false">ROUND(IFERROR(ROUND(IF(OR(ISNUMBER(SEARCH("week",C290)),ISNUMBER(SEARCH("minggu",C290))),IFERROR(_xlfn.NUMBERVALUE(SUBSTITUTE(LEFT(TRIM(C290),FIND(" ",TRIM(C290)&amp;" ")-1),",","."),"."),LEFT(SUBSTITUTE(LEFT(TRIM(C290),FIND(" ",TRIM(C290)&amp;" ")-1),",","."),FIND("/",SUBSTITUTE(LEFT(TRIM(C290),FIND(" ",TRIM(C290)&amp;" ")-1),",","."))-1)/MID(SUBSTITUTE(LEFT(TRIM(C290),FIND(" ",TRIM(C290)&amp;" ")-1),",","."),FIND("/",SUBSTITUTE(LEFT(TRIM(C290),FIND(" ",TRIM(C290)&amp;" ")-1),",","."))+1,9))*12/52,IF(ISNUMBER(SEARCH("month",C290)),IFERROR(_xlfn.NUMBERVALUE(SUBSTITUTE(LEFT(TRIM(C290),FIND(" ",TRIM(C290)&amp;" ")-1),",","."),"."),LEFT(SUBSTITUTE(LEFT(TRIM(C290),FIND(" ",TRIM(C290)&amp;" ")-1),",","."),FIND("/",SUBSTITUTE(LEFT(TRIM(C290),FIND(" ",TRIM(C290)&amp;" ")-1),",","."))-1)/MID(SUBSTITUTE(LEFT(TRIM(C290),FIND(" ",TRIM(C290)&amp;" ")-1),",","."),FIND("/",SUBSTITUTE(LEFT(TRIM(C290),FIND(" ",TRIM(C290)&amp;" ")-1),",","."))+1,9)),IF(ISNUMBER(SEARCH("yea",C290)),IFERROR(_xlfn.NUMBERVALUE(SUBSTITUTE(LEFT(TRIM(C290),FIND(" ",TRIM(C290)&amp;" ")-1),",","."),"."),LEFT(SUBSTITUTE(LEFT(TRIM(C290),FIND(" ",TRIM(C290)&amp;" ")-1),",","."),FIND("/",SUBSTITUTE(LEFT(TRIM(C290),FIND(" ",TRIM(C290)&amp;" ")-1),",","."))-1)/MID(SUBSTITUTE(LEFT(TRIM(C290),FIND(" ",TRIM(C290)&amp;" ")-1),",","."),FIND("/",SUBSTITUTE(LEFT(TRIM(C290),FIND(" ",TRIM(C290)&amp;" ")-1),",","."))+1,9))*12,NA()))),0),19)*'Aturan &amp; Tarif'!$B$4,2)</f>
        <v>1078.82</v>
      </c>
      <c r="K290" s="32" t="n">
        <f aca="false">'Aturan &amp; Tarif'!$B$5</f>
        <v>2050</v>
      </c>
      <c r="L290" s="35" t="n">
        <f aca="false">I290+J290+K290</f>
        <v>5488.82</v>
      </c>
      <c r="M290" s="37" t="s">
        <v>722</v>
      </c>
    </row>
    <row r="291" customFormat="false" ht="48.75" hidden="false" customHeight="true" outlineLevel="0" collapsed="false">
      <c r="A291" s="29"/>
      <c r="B291" s="30" t="s">
        <v>723</v>
      </c>
      <c r="C291" s="31" t="s">
        <v>724</v>
      </c>
      <c r="D291" s="31" t="s">
        <v>108</v>
      </c>
      <c r="E291" s="32" t="n">
        <v>1600</v>
      </c>
      <c r="F291" s="32" t="n">
        <v>500</v>
      </c>
      <c r="G291" s="32" t="n">
        <v>260</v>
      </c>
      <c r="H291" s="33" t="n">
        <v>1</v>
      </c>
      <c r="I291" s="34" t="n">
        <f aca="false">E291*H291+N(F291)+N(G291)</f>
        <v>2360</v>
      </c>
      <c r="J291" s="32" t="n">
        <f aca="false">ROUND(IFERROR(ROUND(IF(OR(ISNUMBER(SEARCH("week",C291)),ISNUMBER(SEARCH("minggu",C291))),IFERROR(_xlfn.NUMBERVALUE(SUBSTITUTE(LEFT(TRIM(C291),FIND(" ",TRIM(C291)&amp;" ")-1),",","."),"."),LEFT(SUBSTITUTE(LEFT(TRIM(C291),FIND(" ",TRIM(C291)&amp;" ")-1),",","."),FIND("/",SUBSTITUTE(LEFT(TRIM(C291),FIND(" ",TRIM(C291)&amp;" ")-1),",","."))-1)/MID(SUBSTITUTE(LEFT(TRIM(C291),FIND(" ",TRIM(C291)&amp;" ")-1),",","."),FIND("/",SUBSTITUTE(LEFT(TRIM(C291),FIND(" ",TRIM(C291)&amp;" ")-1),",","."))+1,9))*12/52,IF(ISNUMBER(SEARCH("month",C291)),IFERROR(_xlfn.NUMBERVALUE(SUBSTITUTE(LEFT(TRIM(C291),FIND(" ",TRIM(C291)&amp;" ")-1),",","."),"."),LEFT(SUBSTITUTE(LEFT(TRIM(C291),FIND(" ",TRIM(C291)&amp;" ")-1),",","."),FIND("/",SUBSTITUTE(LEFT(TRIM(C291),FIND(" ",TRIM(C291)&amp;" ")-1),",","."))-1)/MID(SUBSTITUTE(LEFT(TRIM(C291),FIND(" ",TRIM(C291)&amp;" ")-1),",","."),FIND("/",SUBSTITUTE(LEFT(TRIM(C291),FIND(" ",TRIM(C291)&amp;" ")-1),",","."))+1,9)),IF(ISNUMBER(SEARCH("yea",C291)),IFERROR(_xlfn.NUMBERVALUE(SUBSTITUTE(LEFT(TRIM(C291),FIND(" ",TRIM(C291)&amp;" ")-1),",","."),"."),LEFT(SUBSTITUTE(LEFT(TRIM(C291),FIND(" ",TRIM(C291)&amp;" ")-1),",","."),FIND("/",SUBSTITUTE(LEFT(TRIM(C291),FIND(" ",TRIM(C291)&amp;" ")-1),",","."))-1)/MID(SUBSTITUTE(LEFT(TRIM(C291),FIND(" ",TRIM(C291)&amp;" ")-1),",","."),FIND("/",SUBSTITUTE(LEFT(TRIM(C291),FIND(" ",TRIM(C291)&amp;" ")-1),",","."))+1,9))*12,NA()))),0),37)*'Aturan &amp; Tarif'!$B$4,2)</f>
        <v>2100.86</v>
      </c>
      <c r="K291" s="32" t="n">
        <f aca="false">'Aturan &amp; Tarif'!$B$5</f>
        <v>2050</v>
      </c>
      <c r="L291" s="35" t="n">
        <f aca="false">I291+J291+K291</f>
        <v>6510.86</v>
      </c>
      <c r="M291" s="36" t="s">
        <v>725</v>
      </c>
    </row>
    <row r="292" customFormat="false" ht="25.5" hidden="false" customHeight="true" outlineLevel="0" collapsed="false">
      <c r="A292" s="29"/>
      <c r="B292" s="30" t="s">
        <v>2840</v>
      </c>
      <c r="C292" s="31" t="s">
        <v>107</v>
      </c>
      <c r="D292" s="31" t="s">
        <v>108</v>
      </c>
      <c r="E292" s="32" t="n">
        <v>1250</v>
      </c>
      <c r="F292" s="32" t="n">
        <v>240</v>
      </c>
      <c r="G292" s="32" t="n">
        <v>260</v>
      </c>
      <c r="H292" s="33" t="n">
        <v>1</v>
      </c>
      <c r="I292" s="34" t="n">
        <f aca="false">E292*H292+N(F292)+N(G292)</f>
        <v>1750</v>
      </c>
      <c r="J292" s="32" t="n">
        <f aca="false">ROUND(IFERROR(ROUND(IF(OR(ISNUMBER(SEARCH("week",C292)),ISNUMBER(SEARCH("minggu",C292))),IFERROR(_xlfn.NUMBERVALUE(SUBSTITUTE(LEFT(TRIM(C292),FIND(" ",TRIM(C292)&amp;" ")-1),",","."),"."),LEFT(SUBSTITUTE(LEFT(TRIM(C292),FIND(" ",TRIM(C292)&amp;" ")-1),",","."),FIND("/",SUBSTITUTE(LEFT(TRIM(C292),FIND(" ",TRIM(C292)&amp;" ")-1),",","."))-1)/MID(SUBSTITUTE(LEFT(TRIM(C292),FIND(" ",TRIM(C292)&amp;" ")-1),",","."),FIND("/",SUBSTITUTE(LEFT(TRIM(C292),FIND(" ",TRIM(C292)&amp;" ")-1),",","."))+1,9))*12/52,IF(ISNUMBER(SEARCH("month",C292)),IFERROR(_xlfn.NUMBERVALUE(SUBSTITUTE(LEFT(TRIM(C292),FIND(" ",TRIM(C292)&amp;" ")-1),",","."),"."),LEFT(SUBSTITUTE(LEFT(TRIM(C292),FIND(" ",TRIM(C292)&amp;" ")-1),",","."),FIND("/",SUBSTITUTE(LEFT(TRIM(C292),FIND(" ",TRIM(C292)&amp;" ")-1),",","."))-1)/MID(SUBSTITUTE(LEFT(TRIM(C292),FIND(" ",TRIM(C292)&amp;" ")-1),",","."),FIND("/",SUBSTITUTE(LEFT(TRIM(C292),FIND(" ",TRIM(C292)&amp;" ")-1),",","."))+1,9)),IF(ISNUMBER(SEARCH("yea",C292)),IFERROR(_xlfn.NUMBERVALUE(SUBSTITUTE(LEFT(TRIM(C292),FIND(" ",TRIM(C292)&amp;" ")-1),",","."),"."),LEFT(SUBSTITUTE(LEFT(TRIM(C292),FIND(" ",TRIM(C292)&amp;" ")-1),",","."),FIND("/",SUBSTITUTE(LEFT(TRIM(C292),FIND(" ",TRIM(C292)&amp;" ")-1),",","."))-1)/MID(SUBSTITUTE(LEFT(TRIM(C292),FIND(" ",TRIM(C292)&amp;" ")-1),",","."),FIND("/",SUBSTITUTE(LEFT(TRIM(C292),FIND(" ",TRIM(C292)&amp;" ")-1),",","."))+1,9))*12,NA()))),0),24)*'Aturan &amp; Tarif'!$B$4,2)</f>
        <v>1362.72</v>
      </c>
      <c r="K292" s="32" t="n">
        <f aca="false">'Aturan &amp; Tarif'!$B$5</f>
        <v>2050</v>
      </c>
      <c r="L292" s="35" t="n">
        <f aca="false">I292+J292+K292</f>
        <v>5162.72</v>
      </c>
      <c r="M292" s="36" t="s">
        <v>1634</v>
      </c>
    </row>
    <row r="293" customFormat="false" ht="25.5" hidden="false" customHeight="true" outlineLevel="0" collapsed="false">
      <c r="A293" s="29"/>
      <c r="B293" s="30" t="s">
        <v>932</v>
      </c>
      <c r="C293" s="31" t="s">
        <v>107</v>
      </c>
      <c r="D293" s="31" t="s">
        <v>108</v>
      </c>
      <c r="E293" s="32" t="n">
        <v>1600</v>
      </c>
      <c r="F293" s="32" t="n">
        <v>500</v>
      </c>
      <c r="G293" s="32" t="n">
        <v>260</v>
      </c>
      <c r="H293" s="33" t="n">
        <v>1</v>
      </c>
      <c r="I293" s="34" t="n">
        <f aca="false">E293*H293+N(F293)+N(G293)</f>
        <v>2360</v>
      </c>
      <c r="J293" s="32" t="n">
        <f aca="false">ROUND(IFERROR(ROUND(IF(OR(ISNUMBER(SEARCH("week",C293)),ISNUMBER(SEARCH("minggu",C293))),IFERROR(_xlfn.NUMBERVALUE(SUBSTITUTE(LEFT(TRIM(C293),FIND(" ",TRIM(C293)&amp;" ")-1),",","."),"."),LEFT(SUBSTITUTE(LEFT(TRIM(C293),FIND(" ",TRIM(C293)&amp;" ")-1),",","."),FIND("/",SUBSTITUTE(LEFT(TRIM(C293),FIND(" ",TRIM(C293)&amp;" ")-1),",","."))-1)/MID(SUBSTITUTE(LEFT(TRIM(C293),FIND(" ",TRIM(C293)&amp;" ")-1),",","."),FIND("/",SUBSTITUTE(LEFT(TRIM(C293),FIND(" ",TRIM(C293)&amp;" ")-1),",","."))+1,9))*12/52,IF(ISNUMBER(SEARCH("month",C293)),IFERROR(_xlfn.NUMBERVALUE(SUBSTITUTE(LEFT(TRIM(C293),FIND(" ",TRIM(C293)&amp;" ")-1),",","."),"."),LEFT(SUBSTITUTE(LEFT(TRIM(C293),FIND(" ",TRIM(C293)&amp;" ")-1),",","."),FIND("/",SUBSTITUTE(LEFT(TRIM(C293),FIND(" ",TRIM(C293)&amp;" ")-1),",","."))-1)/MID(SUBSTITUTE(LEFT(TRIM(C293),FIND(" ",TRIM(C293)&amp;" ")-1),",","."),FIND("/",SUBSTITUTE(LEFT(TRIM(C293),FIND(" ",TRIM(C293)&amp;" ")-1),",","."))+1,9)),IF(ISNUMBER(SEARCH("yea",C293)),IFERROR(_xlfn.NUMBERVALUE(SUBSTITUTE(LEFT(TRIM(C293),FIND(" ",TRIM(C293)&amp;" ")-1),",","."),"."),LEFT(SUBSTITUTE(LEFT(TRIM(C293),FIND(" ",TRIM(C293)&amp;" ")-1),",","."),FIND("/",SUBSTITUTE(LEFT(TRIM(C293),FIND(" ",TRIM(C293)&amp;" ")-1),",","."))-1)/MID(SUBSTITUTE(LEFT(TRIM(C293),FIND(" ",TRIM(C293)&amp;" ")-1),",","."),FIND("/",SUBSTITUTE(LEFT(TRIM(C293),FIND(" ",TRIM(C293)&amp;" ")-1),",","."))+1,9))*12,NA()))),0),24)*'Aturan &amp; Tarif'!$B$4,2)</f>
        <v>1362.72</v>
      </c>
      <c r="K293" s="32" t="n">
        <f aca="false">'Aturan &amp; Tarif'!$B$5</f>
        <v>2050</v>
      </c>
      <c r="L293" s="35" t="n">
        <f aca="false">I293+J293+K293</f>
        <v>5772.72</v>
      </c>
      <c r="M293" s="37" t="s">
        <v>2084</v>
      </c>
    </row>
    <row r="294" customFormat="false" ht="60" hidden="false" customHeight="true" outlineLevel="0" collapsed="false">
      <c r="A294" s="46" t="s">
        <v>2841</v>
      </c>
      <c r="B294" s="30" t="s">
        <v>2087</v>
      </c>
      <c r="C294" s="31" t="s">
        <v>127</v>
      </c>
      <c r="D294" s="31" t="s">
        <v>1863</v>
      </c>
      <c r="E294" s="32" t="n">
        <v>2012.5</v>
      </c>
      <c r="F294" s="32" t="n">
        <v>200</v>
      </c>
      <c r="G294" s="32" t="n">
        <v>260</v>
      </c>
      <c r="H294" s="33" t="n">
        <f aca="false">1000/E294</f>
        <v>0.496894409937888</v>
      </c>
      <c r="I294" s="34" t="n">
        <f aca="false">E294*H294+N(F294)+N(G294)</f>
        <v>1460</v>
      </c>
      <c r="J294" s="32" t="n">
        <f aca="false">ROUND(IFERROR(ROUND(IF(OR(ISNUMBER(SEARCH("week",C294)),ISNUMBER(SEARCH("minggu",C294))),IFERROR(_xlfn.NUMBERVALUE(SUBSTITUTE(LEFT(TRIM(C294),FIND(" ",TRIM(C294)&amp;" ")-1),",","."),"."),LEFT(SUBSTITUTE(LEFT(TRIM(C294),FIND(" ",TRIM(C294)&amp;" ")-1),",","."),FIND("/",SUBSTITUTE(LEFT(TRIM(C294),FIND(" ",TRIM(C294)&amp;" ")-1),",","."))-1)/MID(SUBSTITUTE(LEFT(TRIM(C294),FIND(" ",TRIM(C294)&amp;" ")-1),",","."),FIND("/",SUBSTITUTE(LEFT(TRIM(C294),FIND(" ",TRIM(C294)&amp;" ")-1),",","."))+1,9))*12/52,IF(ISNUMBER(SEARCH("month",C294)),IFERROR(_xlfn.NUMBERVALUE(SUBSTITUTE(LEFT(TRIM(C294),FIND(" ",TRIM(C294)&amp;" ")-1),",","."),"."),LEFT(SUBSTITUTE(LEFT(TRIM(C294),FIND(" ",TRIM(C294)&amp;" ")-1),",","."),FIND("/",SUBSTITUTE(LEFT(TRIM(C294),FIND(" ",TRIM(C294)&amp;" ")-1),",","."))-1)/MID(SUBSTITUTE(LEFT(TRIM(C294),FIND(" ",TRIM(C294)&amp;" ")-1),",","."),FIND("/",SUBSTITUTE(LEFT(TRIM(C294),FIND(" ",TRIM(C294)&amp;" ")-1),",","."))+1,9)),IF(ISNUMBER(SEARCH("yea",C294)),IFERROR(_xlfn.NUMBERVALUE(SUBSTITUTE(LEFT(TRIM(C294),FIND(" ",TRIM(C294)&amp;" ")-1),",","."),"."),LEFT(SUBSTITUTE(LEFT(TRIM(C294),FIND(" ",TRIM(C294)&amp;" ")-1),",","."),FIND("/",SUBSTITUTE(LEFT(TRIM(C294),FIND(" ",TRIM(C294)&amp;" ")-1),",","."))-1)/MID(SUBSTITUTE(LEFT(TRIM(C294),FIND(" ",TRIM(C294)&amp;" ")-1),",","."),FIND("/",SUBSTITUTE(LEFT(TRIM(C294),FIND(" ",TRIM(C294)&amp;" ")-1),",","."))+1,9))*12,NA()))),0),36)*'Aturan &amp; Tarif'!$B$4,2)</f>
        <v>2044.08</v>
      </c>
      <c r="K294" s="32" t="n">
        <f aca="false">'Aturan &amp; Tarif'!$B$5</f>
        <v>2050</v>
      </c>
      <c r="L294" s="35" t="n">
        <f aca="false">I294+J294+K294</f>
        <v>5554.08</v>
      </c>
      <c r="M294" s="36" t="s">
        <v>3141</v>
      </c>
    </row>
    <row r="295" customFormat="false" ht="60" hidden="false" customHeight="true" outlineLevel="0" collapsed="false">
      <c r="A295" s="29"/>
      <c r="B295" s="30" t="s">
        <v>2089</v>
      </c>
      <c r="C295" s="31" t="s">
        <v>127</v>
      </c>
      <c r="D295" s="31" t="s">
        <v>1863</v>
      </c>
      <c r="E295" s="32" t="n">
        <v>2012.5</v>
      </c>
      <c r="F295" s="32" t="n">
        <v>200</v>
      </c>
      <c r="G295" s="32" t="n">
        <v>260</v>
      </c>
      <c r="H295" s="33" t="n">
        <f aca="false">1000/E295</f>
        <v>0.496894409937888</v>
      </c>
      <c r="I295" s="34" t="n">
        <f aca="false">E295*H295+N(F295)+N(G295)</f>
        <v>1460</v>
      </c>
      <c r="J295" s="32" t="n">
        <f aca="false">ROUND(IFERROR(ROUND(IF(OR(ISNUMBER(SEARCH("week",C295)),ISNUMBER(SEARCH("minggu",C295))),IFERROR(_xlfn.NUMBERVALUE(SUBSTITUTE(LEFT(TRIM(C295),FIND(" ",TRIM(C295)&amp;" ")-1),",","."),"."),LEFT(SUBSTITUTE(LEFT(TRIM(C295),FIND(" ",TRIM(C295)&amp;" ")-1),",","."),FIND("/",SUBSTITUTE(LEFT(TRIM(C295),FIND(" ",TRIM(C295)&amp;" ")-1),",","."))-1)/MID(SUBSTITUTE(LEFT(TRIM(C295),FIND(" ",TRIM(C295)&amp;" ")-1),",","."),FIND("/",SUBSTITUTE(LEFT(TRIM(C295),FIND(" ",TRIM(C295)&amp;" ")-1),",","."))+1,9))*12/52,IF(ISNUMBER(SEARCH("month",C295)),IFERROR(_xlfn.NUMBERVALUE(SUBSTITUTE(LEFT(TRIM(C295),FIND(" ",TRIM(C295)&amp;" ")-1),",","."),"."),LEFT(SUBSTITUTE(LEFT(TRIM(C295),FIND(" ",TRIM(C295)&amp;" ")-1),",","."),FIND("/",SUBSTITUTE(LEFT(TRIM(C295),FIND(" ",TRIM(C295)&amp;" ")-1),",","."))-1)/MID(SUBSTITUTE(LEFT(TRIM(C295),FIND(" ",TRIM(C295)&amp;" ")-1),",","."),FIND("/",SUBSTITUTE(LEFT(TRIM(C295),FIND(" ",TRIM(C295)&amp;" ")-1),",","."))+1,9)),IF(ISNUMBER(SEARCH("yea",C295)),IFERROR(_xlfn.NUMBERVALUE(SUBSTITUTE(LEFT(TRIM(C295),FIND(" ",TRIM(C295)&amp;" ")-1),",","."),"."),LEFT(SUBSTITUTE(LEFT(TRIM(C295),FIND(" ",TRIM(C295)&amp;" ")-1),",","."),FIND("/",SUBSTITUTE(LEFT(TRIM(C295),FIND(" ",TRIM(C295)&amp;" ")-1),",","."))-1)/MID(SUBSTITUTE(LEFT(TRIM(C295),FIND(" ",TRIM(C295)&amp;" ")-1),",","."),FIND("/",SUBSTITUTE(LEFT(TRIM(C295),FIND(" ",TRIM(C295)&amp;" ")-1),",","."))+1,9))*12,NA()))),0),36)*'Aturan &amp; Tarif'!$B$4,2)</f>
        <v>2044.08</v>
      </c>
      <c r="K295" s="32" t="n">
        <f aca="false">'Aturan &amp; Tarif'!$B$5</f>
        <v>2050</v>
      </c>
      <c r="L295" s="35" t="n">
        <f aca="false">I295+J295+K295</f>
        <v>5554.08</v>
      </c>
      <c r="M295" s="36" t="s">
        <v>3141</v>
      </c>
    </row>
    <row r="296" customFormat="false" ht="60" hidden="false" customHeight="true" outlineLevel="0" collapsed="false">
      <c r="A296" s="29"/>
      <c r="B296" s="30" t="s">
        <v>2090</v>
      </c>
      <c r="C296" s="31" t="s">
        <v>127</v>
      </c>
      <c r="D296" s="31" t="s">
        <v>1863</v>
      </c>
      <c r="E296" s="32" t="n">
        <v>2012.5</v>
      </c>
      <c r="F296" s="32" t="n">
        <v>200</v>
      </c>
      <c r="G296" s="32" t="n">
        <v>260</v>
      </c>
      <c r="H296" s="33" t="n">
        <f aca="false">1000/E296</f>
        <v>0.496894409937888</v>
      </c>
      <c r="I296" s="34" t="n">
        <f aca="false">E296*H296+N(F296)+N(G296)</f>
        <v>1460</v>
      </c>
      <c r="J296" s="32" t="n">
        <f aca="false">ROUND(IFERROR(ROUND(IF(OR(ISNUMBER(SEARCH("week",C296)),ISNUMBER(SEARCH("minggu",C296))),IFERROR(_xlfn.NUMBERVALUE(SUBSTITUTE(LEFT(TRIM(C296),FIND(" ",TRIM(C296)&amp;" ")-1),",","."),"."),LEFT(SUBSTITUTE(LEFT(TRIM(C296),FIND(" ",TRIM(C296)&amp;" ")-1),",","."),FIND("/",SUBSTITUTE(LEFT(TRIM(C296),FIND(" ",TRIM(C296)&amp;" ")-1),",","."))-1)/MID(SUBSTITUTE(LEFT(TRIM(C296),FIND(" ",TRIM(C296)&amp;" ")-1),",","."),FIND("/",SUBSTITUTE(LEFT(TRIM(C296),FIND(" ",TRIM(C296)&amp;" ")-1),",","."))+1,9))*12/52,IF(ISNUMBER(SEARCH("month",C296)),IFERROR(_xlfn.NUMBERVALUE(SUBSTITUTE(LEFT(TRIM(C296),FIND(" ",TRIM(C296)&amp;" ")-1),",","."),"."),LEFT(SUBSTITUTE(LEFT(TRIM(C296),FIND(" ",TRIM(C296)&amp;" ")-1),",","."),FIND("/",SUBSTITUTE(LEFT(TRIM(C296),FIND(" ",TRIM(C296)&amp;" ")-1),",","."))-1)/MID(SUBSTITUTE(LEFT(TRIM(C296),FIND(" ",TRIM(C296)&amp;" ")-1),",","."),FIND("/",SUBSTITUTE(LEFT(TRIM(C296),FIND(" ",TRIM(C296)&amp;" ")-1),",","."))+1,9)),IF(ISNUMBER(SEARCH("yea",C296)),IFERROR(_xlfn.NUMBERVALUE(SUBSTITUTE(LEFT(TRIM(C296),FIND(" ",TRIM(C296)&amp;" ")-1),",","."),"."),LEFT(SUBSTITUTE(LEFT(TRIM(C296),FIND(" ",TRIM(C296)&amp;" ")-1),",","."),FIND("/",SUBSTITUTE(LEFT(TRIM(C296),FIND(" ",TRIM(C296)&amp;" ")-1),",","."))-1)/MID(SUBSTITUTE(LEFT(TRIM(C296),FIND(" ",TRIM(C296)&amp;" ")-1),",","."),FIND("/",SUBSTITUTE(LEFT(TRIM(C296),FIND(" ",TRIM(C296)&amp;" ")-1),",","."))+1,9))*12,NA()))),0),36)*'Aturan &amp; Tarif'!$B$4,2)</f>
        <v>2044.08</v>
      </c>
      <c r="K296" s="32" t="n">
        <f aca="false">'Aturan &amp; Tarif'!$B$5</f>
        <v>2050</v>
      </c>
      <c r="L296" s="35" t="n">
        <f aca="false">I296+J296+K296</f>
        <v>5554.08</v>
      </c>
      <c r="M296" s="36" t="s">
        <v>3141</v>
      </c>
    </row>
    <row r="297" customFormat="false" ht="37.5" hidden="false" customHeight="true" outlineLevel="0" collapsed="false">
      <c r="A297" s="29"/>
      <c r="B297" s="30" t="s">
        <v>2091</v>
      </c>
      <c r="C297" s="31" t="s">
        <v>127</v>
      </c>
      <c r="D297" s="31" t="s">
        <v>1863</v>
      </c>
      <c r="E297" s="32" t="n">
        <v>2012.5</v>
      </c>
      <c r="F297" s="32" t="n">
        <v>200</v>
      </c>
      <c r="G297" s="32" t="n">
        <v>260</v>
      </c>
      <c r="H297" s="33" t="n">
        <f aca="false">1000/E297</f>
        <v>0.496894409937888</v>
      </c>
      <c r="I297" s="34" t="n">
        <f aca="false">E297*H297+N(F297)+N(G297)</f>
        <v>1460</v>
      </c>
      <c r="J297" s="32" t="n">
        <f aca="false">ROUND(IFERROR(ROUND(IF(OR(ISNUMBER(SEARCH("week",C297)),ISNUMBER(SEARCH("minggu",C297))),IFERROR(_xlfn.NUMBERVALUE(SUBSTITUTE(LEFT(TRIM(C297),FIND(" ",TRIM(C297)&amp;" ")-1),",","."),"."),LEFT(SUBSTITUTE(LEFT(TRIM(C297),FIND(" ",TRIM(C297)&amp;" ")-1),",","."),FIND("/",SUBSTITUTE(LEFT(TRIM(C297),FIND(" ",TRIM(C297)&amp;" ")-1),",","."))-1)/MID(SUBSTITUTE(LEFT(TRIM(C297),FIND(" ",TRIM(C297)&amp;" ")-1),",","."),FIND("/",SUBSTITUTE(LEFT(TRIM(C297),FIND(" ",TRIM(C297)&amp;" ")-1),",","."))+1,9))*12/52,IF(ISNUMBER(SEARCH("month",C297)),IFERROR(_xlfn.NUMBERVALUE(SUBSTITUTE(LEFT(TRIM(C297),FIND(" ",TRIM(C297)&amp;" ")-1),",","."),"."),LEFT(SUBSTITUTE(LEFT(TRIM(C297),FIND(" ",TRIM(C297)&amp;" ")-1),",","."),FIND("/",SUBSTITUTE(LEFT(TRIM(C297),FIND(" ",TRIM(C297)&amp;" ")-1),",","."))-1)/MID(SUBSTITUTE(LEFT(TRIM(C297),FIND(" ",TRIM(C297)&amp;" ")-1),",","."),FIND("/",SUBSTITUTE(LEFT(TRIM(C297),FIND(" ",TRIM(C297)&amp;" ")-1),",","."))+1,9)),IF(ISNUMBER(SEARCH("yea",C297)),IFERROR(_xlfn.NUMBERVALUE(SUBSTITUTE(LEFT(TRIM(C297),FIND(" ",TRIM(C297)&amp;" ")-1),",","."),"."),LEFT(SUBSTITUTE(LEFT(TRIM(C297),FIND(" ",TRIM(C297)&amp;" ")-1),",","."),FIND("/",SUBSTITUTE(LEFT(TRIM(C297),FIND(" ",TRIM(C297)&amp;" ")-1),",","."))-1)/MID(SUBSTITUTE(LEFT(TRIM(C297),FIND(" ",TRIM(C297)&amp;" ")-1),",","."),FIND("/",SUBSTITUTE(LEFT(TRIM(C297),FIND(" ",TRIM(C297)&amp;" ")-1),",","."))+1,9))*12,NA()))),0),36)*'Aturan &amp; Tarif'!$B$4,2)</f>
        <v>2044.08</v>
      </c>
      <c r="K297" s="32" t="n">
        <f aca="false">'Aturan &amp; Tarif'!$B$5</f>
        <v>2050</v>
      </c>
      <c r="L297" s="35" t="n">
        <f aca="false">I297+J297+K297</f>
        <v>5554.08</v>
      </c>
      <c r="M297" s="52" t="s">
        <v>3141</v>
      </c>
    </row>
    <row r="298" customFormat="false" ht="72" hidden="false" customHeight="true" outlineLevel="0" collapsed="false">
      <c r="A298" s="39" t="s">
        <v>2842</v>
      </c>
      <c r="B298" s="40" t="s">
        <v>3351</v>
      </c>
      <c r="C298" s="41" t="s">
        <v>344</v>
      </c>
      <c r="D298" s="41" t="s">
        <v>737</v>
      </c>
      <c r="E298" s="42" t="n">
        <v>14700</v>
      </c>
      <c r="F298" s="42"/>
      <c r="G298" s="42" t="n">
        <v>200</v>
      </c>
      <c r="H298" s="43" t="n">
        <v>1</v>
      </c>
      <c r="I298" s="34" t="n">
        <f aca="false">E298*H298+N(F298)+N(G298)</f>
        <v>14900</v>
      </c>
      <c r="J298" s="42" t="n">
        <f aca="false">ROUND(IFERROR(ROUND(IF(OR(ISNUMBER(SEARCH("week",C298)),ISNUMBER(SEARCH("minggu",C298))),IFERROR(_xlfn.NUMBERVALUE(SUBSTITUTE(LEFT(TRIM(C298),FIND(" ",TRIM(C298)&amp;" ")-1),",","."),"."),LEFT(SUBSTITUTE(LEFT(TRIM(C298),FIND(" ",TRIM(C298)&amp;" ")-1),",","."),FIND("/",SUBSTITUTE(LEFT(TRIM(C298),FIND(" ",TRIM(C298)&amp;" ")-1),",","."))-1)/MID(SUBSTITUTE(LEFT(TRIM(C298),FIND(" ",TRIM(C298)&amp;" ")-1),",","."),FIND("/",SUBSTITUTE(LEFT(TRIM(C298),FIND(" ",TRIM(C298)&amp;" ")-1),",","."))+1,9))*12/52,IF(ISNUMBER(SEARCH("month",C298)),IFERROR(_xlfn.NUMBERVALUE(SUBSTITUTE(LEFT(TRIM(C298),FIND(" ",TRIM(C298)&amp;" ")-1),",","."),"."),LEFT(SUBSTITUTE(LEFT(TRIM(C298),FIND(" ",TRIM(C298)&amp;" ")-1),",","."),FIND("/",SUBSTITUTE(LEFT(TRIM(C298),FIND(" ",TRIM(C298)&amp;" ")-1),",","."))-1)/MID(SUBSTITUTE(LEFT(TRIM(C298),FIND(" ",TRIM(C298)&amp;" ")-1),",","."),FIND("/",SUBSTITUTE(LEFT(TRIM(C298),FIND(" ",TRIM(C298)&amp;" ")-1),",","."))+1,9)),IF(ISNUMBER(SEARCH("yea",C298)),IFERROR(_xlfn.NUMBERVALUE(SUBSTITUTE(LEFT(TRIM(C298),FIND(" ",TRIM(C298)&amp;" ")-1),",","."),"."),LEFT(SUBSTITUTE(LEFT(TRIM(C298),FIND(" ",TRIM(C298)&amp;" ")-1),",","."),FIND("/",SUBSTITUTE(LEFT(TRIM(C298),FIND(" ",TRIM(C298)&amp;" ")-1),",","."))-1)/MID(SUBSTITUTE(LEFT(TRIM(C298),FIND(" ",TRIM(C298)&amp;" ")-1),",","."),FIND("/",SUBSTITUTE(LEFT(TRIM(C298),FIND(" ",TRIM(C298)&amp;" ")-1),",","."))+1,9))*12,NA()))),0),6)*'Aturan &amp; Tarif'!$B$4,2)</f>
        <v>340.68</v>
      </c>
      <c r="K298" s="42" t="n">
        <f aca="false">'Aturan &amp; Tarif'!$B$5</f>
        <v>2050</v>
      </c>
      <c r="L298" s="35" t="n">
        <f aca="false">I298+J298+K298</f>
        <v>17290.68</v>
      </c>
      <c r="M298" s="44" t="s">
        <v>2844</v>
      </c>
    </row>
    <row r="299" customFormat="false" ht="25.5" hidden="false" customHeight="true" outlineLevel="0" collapsed="false">
      <c r="A299" s="39"/>
      <c r="B299" s="40" t="s">
        <v>3352</v>
      </c>
      <c r="C299" s="41" t="s">
        <v>107</v>
      </c>
      <c r="D299" s="41" t="s">
        <v>737</v>
      </c>
      <c r="E299" s="42" t="n">
        <v>14700</v>
      </c>
      <c r="F299" s="42"/>
      <c r="G299" s="42" t="n">
        <v>200</v>
      </c>
      <c r="H299" s="43" t="n">
        <v>1</v>
      </c>
      <c r="I299" s="34" t="n">
        <f aca="false">E299*H299+N(F299)+N(G299)</f>
        <v>14900</v>
      </c>
      <c r="J299" s="42" t="n">
        <f aca="false">ROUND(IFERROR(ROUND(IF(OR(ISNUMBER(SEARCH("week",C299)),ISNUMBER(SEARCH("minggu",C299))),IFERROR(_xlfn.NUMBERVALUE(SUBSTITUTE(LEFT(TRIM(C299),FIND(" ",TRIM(C299)&amp;" ")-1),",","."),"."),LEFT(SUBSTITUTE(LEFT(TRIM(C299),FIND(" ",TRIM(C299)&amp;" ")-1),",","."),FIND("/",SUBSTITUTE(LEFT(TRIM(C299),FIND(" ",TRIM(C299)&amp;" ")-1),",","."))-1)/MID(SUBSTITUTE(LEFT(TRIM(C299),FIND(" ",TRIM(C299)&amp;" ")-1),",","."),FIND("/",SUBSTITUTE(LEFT(TRIM(C299),FIND(" ",TRIM(C299)&amp;" ")-1),",","."))+1,9))*12/52,IF(ISNUMBER(SEARCH("month",C299)),IFERROR(_xlfn.NUMBERVALUE(SUBSTITUTE(LEFT(TRIM(C299),FIND(" ",TRIM(C299)&amp;" ")-1),",","."),"."),LEFT(SUBSTITUTE(LEFT(TRIM(C299),FIND(" ",TRIM(C299)&amp;" ")-1),",","."),FIND("/",SUBSTITUTE(LEFT(TRIM(C299),FIND(" ",TRIM(C299)&amp;" ")-1),",","."))-1)/MID(SUBSTITUTE(LEFT(TRIM(C299),FIND(" ",TRIM(C299)&amp;" ")-1),",","."),FIND("/",SUBSTITUTE(LEFT(TRIM(C299),FIND(" ",TRIM(C299)&amp;" ")-1),",","."))+1,9)),IF(ISNUMBER(SEARCH("yea",C299)),IFERROR(_xlfn.NUMBERVALUE(SUBSTITUTE(LEFT(TRIM(C299),FIND(" ",TRIM(C299)&amp;" ")-1),",","."),"."),LEFT(SUBSTITUTE(LEFT(TRIM(C299),FIND(" ",TRIM(C299)&amp;" ")-1),",","."),FIND("/",SUBSTITUTE(LEFT(TRIM(C299),FIND(" ",TRIM(C299)&amp;" ")-1),",","."))-1)/MID(SUBSTITUTE(LEFT(TRIM(C299),FIND(" ",TRIM(C299)&amp;" ")-1),",","."),FIND("/",SUBSTITUTE(LEFT(TRIM(C299),FIND(" ",TRIM(C299)&amp;" ")-1),",","."))+1,9))*12,NA()))),0),24)*'Aturan &amp; Tarif'!$B$4,2)</f>
        <v>1362.72</v>
      </c>
      <c r="K299" s="42" t="n">
        <f aca="false">'Aturan &amp; Tarif'!$B$5</f>
        <v>2050</v>
      </c>
      <c r="L299" s="35" t="n">
        <f aca="false">I299+J299+K299</f>
        <v>18312.72</v>
      </c>
      <c r="M299" s="44" t="s">
        <v>2846</v>
      </c>
    </row>
    <row r="300" customFormat="false" ht="94.5" hidden="false" customHeight="true" outlineLevel="0" collapsed="false">
      <c r="A300" s="39"/>
      <c r="B300" s="40" t="s">
        <v>3353</v>
      </c>
      <c r="C300" s="41" t="s">
        <v>107</v>
      </c>
      <c r="D300" s="41" t="s">
        <v>737</v>
      </c>
      <c r="E300" s="42" t="n">
        <v>8100</v>
      </c>
      <c r="F300" s="42"/>
      <c r="G300" s="42" t="n">
        <v>200</v>
      </c>
      <c r="H300" s="43" t="n">
        <v>1</v>
      </c>
      <c r="I300" s="34" t="n">
        <f aca="false">E300*H300+N(F300)+N(G300)</f>
        <v>8300</v>
      </c>
      <c r="J300" s="42" t="n">
        <f aca="false">ROUND(IFERROR(ROUND(IF(OR(ISNUMBER(SEARCH("week",C300)),ISNUMBER(SEARCH("minggu",C300))),IFERROR(_xlfn.NUMBERVALUE(SUBSTITUTE(LEFT(TRIM(C300),FIND(" ",TRIM(C300)&amp;" ")-1),",","."),"."),LEFT(SUBSTITUTE(LEFT(TRIM(C300),FIND(" ",TRIM(C300)&amp;" ")-1),",","."),FIND("/",SUBSTITUTE(LEFT(TRIM(C300),FIND(" ",TRIM(C300)&amp;" ")-1),",","."))-1)/MID(SUBSTITUTE(LEFT(TRIM(C300),FIND(" ",TRIM(C300)&amp;" ")-1),",","."),FIND("/",SUBSTITUTE(LEFT(TRIM(C300),FIND(" ",TRIM(C300)&amp;" ")-1),",","."))+1,9))*12/52,IF(ISNUMBER(SEARCH("month",C300)),IFERROR(_xlfn.NUMBERVALUE(SUBSTITUTE(LEFT(TRIM(C300),FIND(" ",TRIM(C300)&amp;" ")-1),",","."),"."),LEFT(SUBSTITUTE(LEFT(TRIM(C300),FIND(" ",TRIM(C300)&amp;" ")-1),",","."),FIND("/",SUBSTITUTE(LEFT(TRIM(C300),FIND(" ",TRIM(C300)&amp;" ")-1),",","."))-1)/MID(SUBSTITUTE(LEFT(TRIM(C300),FIND(" ",TRIM(C300)&amp;" ")-1),",","."),FIND("/",SUBSTITUTE(LEFT(TRIM(C300),FIND(" ",TRIM(C300)&amp;" ")-1),",","."))+1,9)),IF(ISNUMBER(SEARCH("yea",C300)),IFERROR(_xlfn.NUMBERVALUE(SUBSTITUTE(LEFT(TRIM(C300),FIND(" ",TRIM(C300)&amp;" ")-1),",","."),"."),LEFT(SUBSTITUTE(LEFT(TRIM(C300),FIND(" ",TRIM(C300)&amp;" ")-1),",","."),FIND("/",SUBSTITUTE(LEFT(TRIM(C300),FIND(" ",TRIM(C300)&amp;" ")-1),",","."))-1)/MID(SUBSTITUTE(LEFT(TRIM(C300),FIND(" ",TRIM(C300)&amp;" ")-1),",","."),FIND("/",SUBSTITUTE(LEFT(TRIM(C300),FIND(" ",TRIM(C300)&amp;" ")-1),",","."))+1,9))*12,NA()))),0),24)*'Aturan &amp; Tarif'!$B$4,2)</f>
        <v>1362.72</v>
      </c>
      <c r="K300" s="42" t="n">
        <f aca="false">'Aturan &amp; Tarif'!$B$5</f>
        <v>2050</v>
      </c>
      <c r="L300" s="35" t="n">
        <f aca="false">I300+J300+K300</f>
        <v>11712.72</v>
      </c>
      <c r="M300" s="45" t="s">
        <v>2848</v>
      </c>
    </row>
    <row r="301" customFormat="false" ht="60" hidden="false" customHeight="true" outlineLevel="0" collapsed="false">
      <c r="A301" s="29" t="s">
        <v>2118</v>
      </c>
      <c r="B301" s="30" t="s">
        <v>2119</v>
      </c>
      <c r="C301" s="31" t="s">
        <v>107</v>
      </c>
      <c r="D301" s="31" t="s">
        <v>108</v>
      </c>
      <c r="E301" s="32" t="n">
        <v>2250</v>
      </c>
      <c r="F301" s="32" t="n">
        <v>1000</v>
      </c>
      <c r="G301" s="32" t="n">
        <v>300</v>
      </c>
      <c r="H301" s="33" t="n">
        <v>1</v>
      </c>
      <c r="I301" s="34" t="n">
        <f aca="false">E301*H301+N(F301)+N(G301)</f>
        <v>3550</v>
      </c>
      <c r="J301" s="32" t="n">
        <f aca="false">ROUND(IFERROR(ROUND(IF(OR(ISNUMBER(SEARCH("week",C301)),ISNUMBER(SEARCH("minggu",C301))),IFERROR(_xlfn.NUMBERVALUE(SUBSTITUTE(LEFT(TRIM(C301),FIND(" ",TRIM(C301)&amp;" ")-1),",","."),"."),LEFT(SUBSTITUTE(LEFT(TRIM(C301),FIND(" ",TRIM(C301)&amp;" ")-1),",","."),FIND("/",SUBSTITUTE(LEFT(TRIM(C301),FIND(" ",TRIM(C301)&amp;" ")-1),",","."))-1)/MID(SUBSTITUTE(LEFT(TRIM(C301),FIND(" ",TRIM(C301)&amp;" ")-1),",","."),FIND("/",SUBSTITUTE(LEFT(TRIM(C301),FIND(" ",TRIM(C301)&amp;" ")-1),",","."))+1,9))*12/52,IF(ISNUMBER(SEARCH("month",C301)),IFERROR(_xlfn.NUMBERVALUE(SUBSTITUTE(LEFT(TRIM(C301),FIND(" ",TRIM(C301)&amp;" ")-1),",","."),"."),LEFT(SUBSTITUTE(LEFT(TRIM(C301),FIND(" ",TRIM(C301)&amp;" ")-1),",","."),FIND("/",SUBSTITUTE(LEFT(TRIM(C301),FIND(" ",TRIM(C301)&amp;" ")-1),",","."))-1)/MID(SUBSTITUTE(LEFT(TRIM(C301),FIND(" ",TRIM(C301)&amp;" ")-1),",","."),FIND("/",SUBSTITUTE(LEFT(TRIM(C301),FIND(" ",TRIM(C301)&amp;" ")-1),",","."))+1,9)),IF(ISNUMBER(SEARCH("yea",C301)),IFERROR(_xlfn.NUMBERVALUE(SUBSTITUTE(LEFT(TRIM(C301),FIND(" ",TRIM(C301)&amp;" ")-1),",","."),"."),LEFT(SUBSTITUTE(LEFT(TRIM(C301),FIND(" ",TRIM(C301)&amp;" ")-1),",","."),FIND("/",SUBSTITUTE(LEFT(TRIM(C301),FIND(" ",TRIM(C301)&amp;" ")-1),",","."))-1)/MID(SUBSTITUTE(LEFT(TRIM(C301),FIND(" ",TRIM(C301)&amp;" ")-1),",","."),FIND("/",SUBSTITUTE(LEFT(TRIM(C301),FIND(" ",TRIM(C301)&amp;" ")-1),",","."))+1,9))*12,NA()))),0),24)*'Aturan &amp; Tarif'!$B$4,2)</f>
        <v>1362.72</v>
      </c>
      <c r="K301" s="32" t="n">
        <f aca="false">'Aturan &amp; Tarif'!$B$5</f>
        <v>2050</v>
      </c>
      <c r="L301" s="35" t="n">
        <f aca="false">I301+J301+K301</f>
        <v>6962.72</v>
      </c>
      <c r="M301" s="36" t="s">
        <v>2120</v>
      </c>
    </row>
    <row r="302" customFormat="false" ht="25.5" hidden="false" customHeight="true" outlineLevel="0" collapsed="false">
      <c r="A302" s="29"/>
      <c r="B302" s="30" t="s">
        <v>3153</v>
      </c>
      <c r="C302" s="31" t="s">
        <v>107</v>
      </c>
      <c r="D302" s="31" t="s">
        <v>108</v>
      </c>
      <c r="E302" s="32" t="n">
        <v>2250</v>
      </c>
      <c r="F302" s="32" t="n">
        <v>500</v>
      </c>
      <c r="G302" s="32" t="n">
        <v>300</v>
      </c>
      <c r="H302" s="33" t="n">
        <v>1</v>
      </c>
      <c r="I302" s="34" t="n">
        <f aca="false">E302*H302+N(F302)+N(G302)</f>
        <v>3050</v>
      </c>
      <c r="J302" s="32" t="n">
        <f aca="false">ROUND(IFERROR(ROUND(IF(OR(ISNUMBER(SEARCH("week",C302)),ISNUMBER(SEARCH("minggu",C302))),IFERROR(_xlfn.NUMBERVALUE(SUBSTITUTE(LEFT(TRIM(C302),FIND(" ",TRIM(C302)&amp;" ")-1),",","."),"."),LEFT(SUBSTITUTE(LEFT(TRIM(C302),FIND(" ",TRIM(C302)&amp;" ")-1),",","."),FIND("/",SUBSTITUTE(LEFT(TRIM(C302),FIND(" ",TRIM(C302)&amp;" ")-1),",","."))-1)/MID(SUBSTITUTE(LEFT(TRIM(C302),FIND(" ",TRIM(C302)&amp;" ")-1),",","."),FIND("/",SUBSTITUTE(LEFT(TRIM(C302),FIND(" ",TRIM(C302)&amp;" ")-1),",","."))+1,9))*12/52,IF(ISNUMBER(SEARCH("month",C302)),IFERROR(_xlfn.NUMBERVALUE(SUBSTITUTE(LEFT(TRIM(C302),FIND(" ",TRIM(C302)&amp;" ")-1),",","."),"."),LEFT(SUBSTITUTE(LEFT(TRIM(C302),FIND(" ",TRIM(C302)&amp;" ")-1),",","."),FIND("/",SUBSTITUTE(LEFT(TRIM(C302),FIND(" ",TRIM(C302)&amp;" ")-1),",","."))-1)/MID(SUBSTITUTE(LEFT(TRIM(C302),FIND(" ",TRIM(C302)&amp;" ")-1),",","."),FIND("/",SUBSTITUTE(LEFT(TRIM(C302),FIND(" ",TRIM(C302)&amp;" ")-1),",","."))+1,9)),IF(ISNUMBER(SEARCH("yea",C302)),IFERROR(_xlfn.NUMBERVALUE(SUBSTITUTE(LEFT(TRIM(C302),FIND(" ",TRIM(C302)&amp;" ")-1),",","."),"."),LEFT(SUBSTITUTE(LEFT(TRIM(C302),FIND(" ",TRIM(C302)&amp;" ")-1),",","."),FIND("/",SUBSTITUTE(LEFT(TRIM(C302),FIND(" ",TRIM(C302)&amp;" ")-1),",","."))-1)/MID(SUBSTITUTE(LEFT(TRIM(C302),FIND(" ",TRIM(C302)&amp;" ")-1),",","."),FIND("/",SUBSTITUTE(LEFT(TRIM(C302),FIND(" ",TRIM(C302)&amp;" ")-1),",","."))+1,9))*12,NA()))),0),24)*'Aturan &amp; Tarif'!$B$4,2)</f>
        <v>1362.72</v>
      </c>
      <c r="K302" s="32" t="n">
        <f aca="false">'Aturan &amp; Tarif'!$B$5</f>
        <v>2050</v>
      </c>
      <c r="L302" s="35" t="n">
        <f aca="false">I302+J302+K302</f>
        <v>6462.72</v>
      </c>
      <c r="M302" s="37" t="s">
        <v>3354</v>
      </c>
    </row>
    <row r="303" customFormat="false" ht="14.25" hidden="false" customHeight="true" outlineLevel="0" collapsed="false">
      <c r="A303" s="29"/>
      <c r="B303" s="30" t="s">
        <v>2123</v>
      </c>
      <c r="C303" s="31" t="s">
        <v>107</v>
      </c>
      <c r="D303" s="31" t="s">
        <v>108</v>
      </c>
      <c r="E303" s="32" t="n">
        <v>1500</v>
      </c>
      <c r="F303" s="32" t="n">
        <v>350</v>
      </c>
      <c r="G303" s="32" t="n">
        <v>300</v>
      </c>
      <c r="H303" s="33" t="n">
        <v>1</v>
      </c>
      <c r="I303" s="34" t="n">
        <f aca="false">E303*H303+N(F303)+N(G303)</f>
        <v>2150</v>
      </c>
      <c r="J303" s="32" t="n">
        <f aca="false">ROUND(IFERROR(ROUND(IF(OR(ISNUMBER(SEARCH("week",C303)),ISNUMBER(SEARCH("minggu",C303))),IFERROR(_xlfn.NUMBERVALUE(SUBSTITUTE(LEFT(TRIM(C303),FIND(" ",TRIM(C303)&amp;" ")-1),",","."),"."),LEFT(SUBSTITUTE(LEFT(TRIM(C303),FIND(" ",TRIM(C303)&amp;" ")-1),",","."),FIND("/",SUBSTITUTE(LEFT(TRIM(C303),FIND(" ",TRIM(C303)&amp;" ")-1),",","."))-1)/MID(SUBSTITUTE(LEFT(TRIM(C303),FIND(" ",TRIM(C303)&amp;" ")-1),",","."),FIND("/",SUBSTITUTE(LEFT(TRIM(C303),FIND(" ",TRIM(C303)&amp;" ")-1),",","."))+1,9))*12/52,IF(ISNUMBER(SEARCH("month",C303)),IFERROR(_xlfn.NUMBERVALUE(SUBSTITUTE(LEFT(TRIM(C303),FIND(" ",TRIM(C303)&amp;" ")-1),",","."),"."),LEFT(SUBSTITUTE(LEFT(TRIM(C303),FIND(" ",TRIM(C303)&amp;" ")-1),",","."),FIND("/",SUBSTITUTE(LEFT(TRIM(C303),FIND(" ",TRIM(C303)&amp;" ")-1),",","."))-1)/MID(SUBSTITUTE(LEFT(TRIM(C303),FIND(" ",TRIM(C303)&amp;" ")-1),",","."),FIND("/",SUBSTITUTE(LEFT(TRIM(C303),FIND(" ",TRIM(C303)&amp;" ")-1),",","."))+1,9)),IF(ISNUMBER(SEARCH("yea",C303)),IFERROR(_xlfn.NUMBERVALUE(SUBSTITUTE(LEFT(TRIM(C303),FIND(" ",TRIM(C303)&amp;" ")-1),",","."),"."),LEFT(SUBSTITUTE(LEFT(TRIM(C303),FIND(" ",TRIM(C303)&amp;" ")-1),",","."),FIND("/",SUBSTITUTE(LEFT(TRIM(C303),FIND(" ",TRIM(C303)&amp;" ")-1),",","."))-1)/MID(SUBSTITUTE(LEFT(TRIM(C303),FIND(" ",TRIM(C303)&amp;" ")-1),",","."),FIND("/",SUBSTITUTE(LEFT(TRIM(C303),FIND(" ",TRIM(C303)&amp;" ")-1),",","."))+1,9))*12,NA()))),0),24)*'Aturan &amp; Tarif'!$B$4,2)</f>
        <v>1362.72</v>
      </c>
      <c r="K303" s="32" t="n">
        <f aca="false">'Aturan &amp; Tarif'!$B$5</f>
        <v>2050</v>
      </c>
      <c r="L303" s="35" t="n">
        <f aca="false">I303+J303+K303</f>
        <v>5562.72</v>
      </c>
      <c r="M303" s="37" t="s">
        <v>3354</v>
      </c>
    </row>
    <row r="304" customFormat="false" ht="25.5" hidden="false" customHeight="true" outlineLevel="0" collapsed="false">
      <c r="A304" s="29" t="s">
        <v>3355</v>
      </c>
      <c r="B304" s="30" t="s">
        <v>967</v>
      </c>
      <c r="C304" s="31" t="s">
        <v>130</v>
      </c>
      <c r="D304" s="31" t="s">
        <v>737</v>
      </c>
      <c r="E304" s="32" t="n">
        <v>11520</v>
      </c>
      <c r="F304" s="32" t="n">
        <v>0</v>
      </c>
      <c r="G304" s="32" t="n">
        <v>300</v>
      </c>
      <c r="H304" s="33" t="n">
        <v>1</v>
      </c>
      <c r="I304" s="34" t="n">
        <f aca="false">E304*H304+N(F304)+N(G304)</f>
        <v>11820</v>
      </c>
      <c r="J304" s="32" t="n">
        <f aca="false">ROUND(IFERROR(ROUND(IF(OR(ISNUMBER(SEARCH("week",C304)),ISNUMBER(SEARCH("minggu",C304))),IFERROR(_xlfn.NUMBERVALUE(SUBSTITUTE(LEFT(TRIM(C304),FIND(" ",TRIM(C304)&amp;" ")-1),",","."),"."),LEFT(SUBSTITUTE(LEFT(TRIM(C304),FIND(" ",TRIM(C304)&amp;" ")-1),",","."),FIND("/",SUBSTITUTE(LEFT(TRIM(C304),FIND(" ",TRIM(C304)&amp;" ")-1),",","."))-1)/MID(SUBSTITUTE(LEFT(TRIM(C304),FIND(" ",TRIM(C304)&amp;" ")-1),",","."),FIND("/",SUBSTITUTE(LEFT(TRIM(C304),FIND(" ",TRIM(C304)&amp;" ")-1),",","."))+1,9))*12/52,IF(ISNUMBER(SEARCH("month",C304)),IFERROR(_xlfn.NUMBERVALUE(SUBSTITUTE(LEFT(TRIM(C304),FIND(" ",TRIM(C304)&amp;" ")-1),",","."),"."),LEFT(SUBSTITUTE(LEFT(TRIM(C304),FIND(" ",TRIM(C304)&amp;" ")-1),",","."),FIND("/",SUBSTITUTE(LEFT(TRIM(C304),FIND(" ",TRIM(C304)&amp;" ")-1),",","."))-1)/MID(SUBSTITUTE(LEFT(TRIM(C304),FIND(" ",TRIM(C304)&amp;" ")-1),",","."),FIND("/",SUBSTITUTE(LEFT(TRIM(C304),FIND(" ",TRIM(C304)&amp;" ")-1),",","."))+1,9)),IF(ISNUMBER(SEARCH("yea",C304)),IFERROR(_xlfn.NUMBERVALUE(SUBSTITUTE(LEFT(TRIM(C304),FIND(" ",TRIM(C304)&amp;" ")-1),",","."),"."),LEFT(SUBSTITUTE(LEFT(TRIM(C304),FIND(" ",TRIM(C304)&amp;" ")-1),",","."),FIND("/",SUBSTITUTE(LEFT(TRIM(C304),FIND(" ",TRIM(C304)&amp;" ")-1),",","."))-1)/MID(SUBSTITUTE(LEFT(TRIM(C304),FIND(" ",TRIM(C304)&amp;" ")-1),",","."),FIND("/",SUBSTITUTE(LEFT(TRIM(C304),FIND(" ",TRIM(C304)&amp;" ")-1),",","."))+1,9))*12,NA()))),0),12)*'Aturan &amp; Tarif'!$B$4,2)</f>
        <v>681.36</v>
      </c>
      <c r="K304" s="32" t="n">
        <f aca="false">'Aturan &amp; Tarif'!$B$5</f>
        <v>2050</v>
      </c>
      <c r="L304" s="35" t="n">
        <f aca="false">I304+J304+K304</f>
        <v>14551.36</v>
      </c>
      <c r="M304" s="37" t="s">
        <v>738</v>
      </c>
    </row>
    <row r="305" customFormat="false" ht="25.5" hidden="false" customHeight="true" outlineLevel="0" collapsed="false">
      <c r="A305" s="29"/>
      <c r="B305" s="30" t="s">
        <v>968</v>
      </c>
      <c r="C305" s="31" t="s">
        <v>127</v>
      </c>
      <c r="D305" s="31" t="s">
        <v>737</v>
      </c>
      <c r="E305" s="32" t="n">
        <v>11520</v>
      </c>
      <c r="F305" s="32" t="n">
        <v>0</v>
      </c>
      <c r="G305" s="32" t="n">
        <v>300</v>
      </c>
      <c r="H305" s="33" t="n">
        <v>1</v>
      </c>
      <c r="I305" s="34" t="n">
        <f aca="false">E305*H305+N(F305)+N(G305)</f>
        <v>11820</v>
      </c>
      <c r="J305" s="32" t="n">
        <f aca="false">ROUND(IFERROR(ROUND(IF(OR(ISNUMBER(SEARCH("week",C305)),ISNUMBER(SEARCH("minggu",C305))),IFERROR(_xlfn.NUMBERVALUE(SUBSTITUTE(LEFT(TRIM(C305),FIND(" ",TRIM(C305)&amp;" ")-1),",","."),"."),LEFT(SUBSTITUTE(LEFT(TRIM(C305),FIND(" ",TRIM(C305)&amp;" ")-1),",","."),FIND("/",SUBSTITUTE(LEFT(TRIM(C305),FIND(" ",TRIM(C305)&amp;" ")-1),",","."))-1)/MID(SUBSTITUTE(LEFT(TRIM(C305),FIND(" ",TRIM(C305)&amp;" ")-1),",","."),FIND("/",SUBSTITUTE(LEFT(TRIM(C305),FIND(" ",TRIM(C305)&amp;" ")-1),",","."))+1,9))*12/52,IF(ISNUMBER(SEARCH("month",C305)),IFERROR(_xlfn.NUMBERVALUE(SUBSTITUTE(LEFT(TRIM(C305),FIND(" ",TRIM(C305)&amp;" ")-1),",","."),"."),LEFT(SUBSTITUTE(LEFT(TRIM(C305),FIND(" ",TRIM(C305)&amp;" ")-1),",","."),FIND("/",SUBSTITUTE(LEFT(TRIM(C305),FIND(" ",TRIM(C305)&amp;" ")-1),",","."))-1)/MID(SUBSTITUTE(LEFT(TRIM(C305),FIND(" ",TRIM(C305)&amp;" ")-1),",","."),FIND("/",SUBSTITUTE(LEFT(TRIM(C305),FIND(" ",TRIM(C305)&amp;" ")-1),",","."))+1,9)),IF(ISNUMBER(SEARCH("yea",C305)),IFERROR(_xlfn.NUMBERVALUE(SUBSTITUTE(LEFT(TRIM(C305),FIND(" ",TRIM(C305)&amp;" ")-1),",","."),"."),LEFT(SUBSTITUTE(LEFT(TRIM(C305),FIND(" ",TRIM(C305)&amp;" ")-1),",","."),FIND("/",SUBSTITUTE(LEFT(TRIM(C305),FIND(" ",TRIM(C305)&amp;" ")-1),",","."))-1)/MID(SUBSTITUTE(LEFT(TRIM(C305),FIND(" ",TRIM(C305)&amp;" ")-1),",","."),FIND("/",SUBSTITUTE(LEFT(TRIM(C305),FIND(" ",TRIM(C305)&amp;" ")-1),",","."))+1,9))*12,NA()))),0),36)*'Aturan &amp; Tarif'!$B$4,2)</f>
        <v>2044.08</v>
      </c>
      <c r="K305" s="32" t="n">
        <f aca="false">'Aturan &amp; Tarif'!$B$5</f>
        <v>2050</v>
      </c>
      <c r="L305" s="35" t="n">
        <f aca="false">I305+J305+K305</f>
        <v>15914.08</v>
      </c>
      <c r="M305" s="37" t="s">
        <v>738</v>
      </c>
    </row>
    <row r="306" customFormat="false" ht="25.5" hidden="false" customHeight="true" outlineLevel="0" collapsed="false">
      <c r="A306" s="29"/>
      <c r="B306" s="30" t="s">
        <v>969</v>
      </c>
      <c r="C306" s="31" t="s">
        <v>344</v>
      </c>
      <c r="D306" s="31" t="s">
        <v>737</v>
      </c>
      <c r="E306" s="32" t="n">
        <v>19640</v>
      </c>
      <c r="F306" s="32" t="n">
        <v>0</v>
      </c>
      <c r="G306" s="32" t="n">
        <v>300</v>
      </c>
      <c r="H306" s="33" t="n">
        <v>1</v>
      </c>
      <c r="I306" s="34" t="n">
        <f aca="false">E306*H306+N(F306)+N(G306)</f>
        <v>19940</v>
      </c>
      <c r="J306" s="32" t="n">
        <f aca="false">ROUND(IFERROR(ROUND(IF(OR(ISNUMBER(SEARCH("week",C306)),ISNUMBER(SEARCH("minggu",C306))),IFERROR(_xlfn.NUMBERVALUE(SUBSTITUTE(LEFT(TRIM(C306),FIND(" ",TRIM(C306)&amp;" ")-1),",","."),"."),LEFT(SUBSTITUTE(LEFT(TRIM(C306),FIND(" ",TRIM(C306)&amp;" ")-1),",","."),FIND("/",SUBSTITUTE(LEFT(TRIM(C306),FIND(" ",TRIM(C306)&amp;" ")-1),",","."))-1)/MID(SUBSTITUTE(LEFT(TRIM(C306),FIND(" ",TRIM(C306)&amp;" ")-1),",","."),FIND("/",SUBSTITUTE(LEFT(TRIM(C306),FIND(" ",TRIM(C306)&amp;" ")-1),",","."))+1,9))*12/52,IF(ISNUMBER(SEARCH("month",C306)),IFERROR(_xlfn.NUMBERVALUE(SUBSTITUTE(LEFT(TRIM(C306),FIND(" ",TRIM(C306)&amp;" ")-1),",","."),"."),LEFT(SUBSTITUTE(LEFT(TRIM(C306),FIND(" ",TRIM(C306)&amp;" ")-1),",","."),FIND("/",SUBSTITUTE(LEFT(TRIM(C306),FIND(" ",TRIM(C306)&amp;" ")-1),",","."))-1)/MID(SUBSTITUTE(LEFT(TRIM(C306),FIND(" ",TRIM(C306)&amp;" ")-1),",","."),FIND("/",SUBSTITUTE(LEFT(TRIM(C306),FIND(" ",TRIM(C306)&amp;" ")-1),",","."))+1,9)),IF(ISNUMBER(SEARCH("yea",C306)),IFERROR(_xlfn.NUMBERVALUE(SUBSTITUTE(LEFT(TRIM(C306),FIND(" ",TRIM(C306)&amp;" ")-1),",","."),"."),LEFT(SUBSTITUTE(LEFT(TRIM(C306),FIND(" ",TRIM(C306)&amp;" ")-1),",","."),FIND("/",SUBSTITUTE(LEFT(TRIM(C306),FIND(" ",TRIM(C306)&amp;" ")-1),",","."))-1)/MID(SUBSTITUTE(LEFT(TRIM(C306),FIND(" ",TRIM(C306)&amp;" ")-1),",","."),FIND("/",SUBSTITUTE(LEFT(TRIM(C306),FIND(" ",TRIM(C306)&amp;" ")-1),",","."))+1,9))*12,NA()))),0),6)*'Aturan &amp; Tarif'!$B$4,2)</f>
        <v>340.68</v>
      </c>
      <c r="K306" s="32" t="n">
        <f aca="false">'Aturan &amp; Tarif'!$B$5</f>
        <v>2050</v>
      </c>
      <c r="L306" s="35" t="n">
        <f aca="false">I306+J306+K306</f>
        <v>22330.68</v>
      </c>
      <c r="M306" s="37" t="s">
        <v>738</v>
      </c>
    </row>
    <row r="307" customFormat="false" ht="25.5" hidden="false" customHeight="true" outlineLevel="0" collapsed="false">
      <c r="A307" s="29"/>
      <c r="B307" s="30" t="s">
        <v>970</v>
      </c>
      <c r="C307" s="31" t="s">
        <v>130</v>
      </c>
      <c r="D307" s="31" t="s">
        <v>737</v>
      </c>
      <c r="E307" s="32" t="n">
        <v>19640</v>
      </c>
      <c r="F307" s="32" t="n">
        <v>0</v>
      </c>
      <c r="G307" s="32" t="n">
        <v>300</v>
      </c>
      <c r="H307" s="33" t="n">
        <v>1</v>
      </c>
      <c r="I307" s="34" t="n">
        <f aca="false">E307*H307+N(F307)+N(G307)</f>
        <v>19940</v>
      </c>
      <c r="J307" s="32" t="n">
        <f aca="false">ROUND(IFERROR(ROUND(IF(OR(ISNUMBER(SEARCH("week",C307)),ISNUMBER(SEARCH("minggu",C307))),IFERROR(_xlfn.NUMBERVALUE(SUBSTITUTE(LEFT(TRIM(C307),FIND(" ",TRIM(C307)&amp;" ")-1),",","."),"."),LEFT(SUBSTITUTE(LEFT(TRIM(C307),FIND(" ",TRIM(C307)&amp;" ")-1),",","."),FIND("/",SUBSTITUTE(LEFT(TRIM(C307),FIND(" ",TRIM(C307)&amp;" ")-1),",","."))-1)/MID(SUBSTITUTE(LEFT(TRIM(C307),FIND(" ",TRIM(C307)&amp;" ")-1),",","."),FIND("/",SUBSTITUTE(LEFT(TRIM(C307),FIND(" ",TRIM(C307)&amp;" ")-1),",","."))+1,9))*12/52,IF(ISNUMBER(SEARCH("month",C307)),IFERROR(_xlfn.NUMBERVALUE(SUBSTITUTE(LEFT(TRIM(C307),FIND(" ",TRIM(C307)&amp;" ")-1),",","."),"."),LEFT(SUBSTITUTE(LEFT(TRIM(C307),FIND(" ",TRIM(C307)&amp;" ")-1),",","."),FIND("/",SUBSTITUTE(LEFT(TRIM(C307),FIND(" ",TRIM(C307)&amp;" ")-1),",","."))-1)/MID(SUBSTITUTE(LEFT(TRIM(C307),FIND(" ",TRIM(C307)&amp;" ")-1),",","."),FIND("/",SUBSTITUTE(LEFT(TRIM(C307),FIND(" ",TRIM(C307)&amp;" ")-1),",","."))+1,9)),IF(ISNUMBER(SEARCH("yea",C307)),IFERROR(_xlfn.NUMBERVALUE(SUBSTITUTE(LEFT(TRIM(C307),FIND(" ",TRIM(C307)&amp;" ")-1),",","."),"."),LEFT(SUBSTITUTE(LEFT(TRIM(C307),FIND(" ",TRIM(C307)&amp;" ")-1),",","."),FIND("/",SUBSTITUTE(LEFT(TRIM(C307),FIND(" ",TRIM(C307)&amp;" ")-1),",","."))-1)/MID(SUBSTITUTE(LEFT(TRIM(C307),FIND(" ",TRIM(C307)&amp;" ")-1),",","."),FIND("/",SUBSTITUTE(LEFT(TRIM(C307),FIND(" ",TRIM(C307)&amp;" ")-1),",","."))+1,9))*12,NA()))),0),12)*'Aturan &amp; Tarif'!$B$4,2)</f>
        <v>681.36</v>
      </c>
      <c r="K307" s="32" t="n">
        <f aca="false">'Aturan &amp; Tarif'!$B$5</f>
        <v>2050</v>
      </c>
      <c r="L307" s="35" t="n">
        <f aca="false">I307+J307+K307</f>
        <v>22671.36</v>
      </c>
      <c r="M307" s="37" t="s">
        <v>742</v>
      </c>
    </row>
    <row r="308" customFormat="false" ht="25.5" hidden="false" customHeight="true" outlineLevel="0" collapsed="false">
      <c r="A308" s="29"/>
      <c r="B308" s="30" t="s">
        <v>971</v>
      </c>
      <c r="C308" s="31" t="s">
        <v>113</v>
      </c>
      <c r="D308" s="31" t="s">
        <v>737</v>
      </c>
      <c r="E308" s="32" t="n">
        <v>19640</v>
      </c>
      <c r="F308" s="32" t="n">
        <v>0</v>
      </c>
      <c r="G308" s="32" t="n">
        <v>300</v>
      </c>
      <c r="H308" s="33" t="n">
        <v>1</v>
      </c>
      <c r="I308" s="34" t="n">
        <f aca="false">E308*H308+N(F308)+N(G308)</f>
        <v>19940</v>
      </c>
      <c r="J308" s="32" t="n">
        <f aca="false">ROUND(IFERROR(ROUND(IF(OR(ISNUMBER(SEARCH("week",C308)),ISNUMBER(SEARCH("minggu",C308))),IFERROR(_xlfn.NUMBERVALUE(SUBSTITUTE(LEFT(TRIM(C308),FIND(" ",TRIM(C308)&amp;" ")-1),",","."),"."),LEFT(SUBSTITUTE(LEFT(TRIM(C308),FIND(" ",TRIM(C308)&amp;" ")-1),",","."),FIND("/",SUBSTITUTE(LEFT(TRIM(C308),FIND(" ",TRIM(C308)&amp;" ")-1),",","."))-1)/MID(SUBSTITUTE(LEFT(TRIM(C308),FIND(" ",TRIM(C308)&amp;" ")-1),",","."),FIND("/",SUBSTITUTE(LEFT(TRIM(C308),FIND(" ",TRIM(C308)&amp;" ")-1),",","."))+1,9))*12/52,IF(ISNUMBER(SEARCH("month",C308)),IFERROR(_xlfn.NUMBERVALUE(SUBSTITUTE(LEFT(TRIM(C308),FIND(" ",TRIM(C308)&amp;" ")-1),",","."),"."),LEFT(SUBSTITUTE(LEFT(TRIM(C308),FIND(" ",TRIM(C308)&amp;" ")-1),",","."),FIND("/",SUBSTITUTE(LEFT(TRIM(C308),FIND(" ",TRIM(C308)&amp;" ")-1),",","."))-1)/MID(SUBSTITUTE(LEFT(TRIM(C308),FIND(" ",TRIM(C308)&amp;" ")-1),",","."),FIND("/",SUBSTITUTE(LEFT(TRIM(C308),FIND(" ",TRIM(C308)&amp;" ")-1),",","."))+1,9)),IF(ISNUMBER(SEARCH("yea",C308)),IFERROR(_xlfn.NUMBERVALUE(SUBSTITUTE(LEFT(TRIM(C308),FIND(" ",TRIM(C308)&amp;" ")-1),",","."),"."),LEFT(SUBSTITUTE(LEFT(TRIM(C308),FIND(" ",TRIM(C308)&amp;" ")-1),",","."),FIND("/",SUBSTITUTE(LEFT(TRIM(C308),FIND(" ",TRIM(C308)&amp;" ")-1),",","."))-1)/MID(SUBSTITUTE(LEFT(TRIM(C308),FIND(" ",TRIM(C308)&amp;" ")-1),",","."),FIND("/",SUBSTITUTE(LEFT(TRIM(C308),FIND(" ",TRIM(C308)&amp;" ")-1),",","."))+1,9))*12,NA()))),0),18)*'Aturan &amp; Tarif'!$B$4,2)</f>
        <v>1022.04</v>
      </c>
      <c r="K308" s="32" t="n">
        <f aca="false">'Aturan &amp; Tarif'!$B$5</f>
        <v>2050</v>
      </c>
      <c r="L308" s="35" t="n">
        <f aca="false">I308+J308+K308</f>
        <v>23012.04</v>
      </c>
      <c r="M308" s="37" t="s">
        <v>744</v>
      </c>
    </row>
    <row r="309" customFormat="false" ht="25.5" hidden="false" customHeight="true" outlineLevel="0" collapsed="false">
      <c r="A309" s="29"/>
      <c r="B309" s="30" t="s">
        <v>972</v>
      </c>
      <c r="C309" s="31" t="s">
        <v>344</v>
      </c>
      <c r="D309" s="31" t="s">
        <v>737</v>
      </c>
      <c r="E309" s="32" t="n">
        <v>13600</v>
      </c>
      <c r="F309" s="32" t="n">
        <v>0</v>
      </c>
      <c r="G309" s="32" t="n">
        <v>300</v>
      </c>
      <c r="H309" s="33" t="n">
        <v>1</v>
      </c>
      <c r="I309" s="34" t="n">
        <f aca="false">E309*H309+N(F309)+N(G309)</f>
        <v>13900</v>
      </c>
      <c r="J309" s="32" t="n">
        <f aca="false">ROUND(IFERROR(ROUND(IF(OR(ISNUMBER(SEARCH("week",C309)),ISNUMBER(SEARCH("minggu",C309))),IFERROR(_xlfn.NUMBERVALUE(SUBSTITUTE(LEFT(TRIM(C309),FIND(" ",TRIM(C309)&amp;" ")-1),",","."),"."),LEFT(SUBSTITUTE(LEFT(TRIM(C309),FIND(" ",TRIM(C309)&amp;" ")-1),",","."),FIND("/",SUBSTITUTE(LEFT(TRIM(C309),FIND(" ",TRIM(C309)&amp;" ")-1),",","."))-1)/MID(SUBSTITUTE(LEFT(TRIM(C309),FIND(" ",TRIM(C309)&amp;" ")-1),",","."),FIND("/",SUBSTITUTE(LEFT(TRIM(C309),FIND(" ",TRIM(C309)&amp;" ")-1),",","."))+1,9))*12/52,IF(ISNUMBER(SEARCH("month",C309)),IFERROR(_xlfn.NUMBERVALUE(SUBSTITUTE(LEFT(TRIM(C309),FIND(" ",TRIM(C309)&amp;" ")-1),",","."),"."),LEFT(SUBSTITUTE(LEFT(TRIM(C309),FIND(" ",TRIM(C309)&amp;" ")-1),",","."),FIND("/",SUBSTITUTE(LEFT(TRIM(C309),FIND(" ",TRIM(C309)&amp;" ")-1),",","."))-1)/MID(SUBSTITUTE(LEFT(TRIM(C309),FIND(" ",TRIM(C309)&amp;" ")-1),",","."),FIND("/",SUBSTITUTE(LEFT(TRIM(C309),FIND(" ",TRIM(C309)&amp;" ")-1),",","."))+1,9)),IF(ISNUMBER(SEARCH("yea",C309)),IFERROR(_xlfn.NUMBERVALUE(SUBSTITUTE(LEFT(TRIM(C309),FIND(" ",TRIM(C309)&amp;" ")-1),",","."),"."),LEFT(SUBSTITUTE(LEFT(TRIM(C309),FIND(" ",TRIM(C309)&amp;" ")-1),",","."),FIND("/",SUBSTITUTE(LEFT(TRIM(C309),FIND(" ",TRIM(C309)&amp;" ")-1),",","."))-1)/MID(SUBSTITUTE(LEFT(TRIM(C309),FIND(" ",TRIM(C309)&amp;" ")-1),",","."),FIND("/",SUBSTITUTE(LEFT(TRIM(C309),FIND(" ",TRIM(C309)&amp;" ")-1),",","."))+1,9))*12,NA()))),0),6)*'Aturan &amp; Tarif'!$B$4,2)</f>
        <v>340.68</v>
      </c>
      <c r="K309" s="32" t="n">
        <f aca="false">'Aturan &amp; Tarif'!$B$5</f>
        <v>2050</v>
      </c>
      <c r="L309" s="35" t="n">
        <f aca="false">I309+J309+K309</f>
        <v>16290.68</v>
      </c>
      <c r="M309" s="37" t="s">
        <v>738</v>
      </c>
    </row>
    <row r="310" customFormat="false" ht="25.5" hidden="false" customHeight="true" outlineLevel="0" collapsed="false">
      <c r="A310" s="29"/>
      <c r="B310" s="30" t="s">
        <v>973</v>
      </c>
      <c r="C310" s="31" t="s">
        <v>107</v>
      </c>
      <c r="D310" s="31" t="s">
        <v>737</v>
      </c>
      <c r="E310" s="32" t="n">
        <v>13600</v>
      </c>
      <c r="F310" s="32" t="n">
        <v>0</v>
      </c>
      <c r="G310" s="32" t="n">
        <v>300</v>
      </c>
      <c r="H310" s="33" t="n">
        <v>1</v>
      </c>
      <c r="I310" s="34" t="n">
        <f aca="false">E310*H310+N(F310)+N(G310)</f>
        <v>13900</v>
      </c>
      <c r="J310" s="32" t="n">
        <f aca="false">ROUND(IFERROR(ROUND(IF(OR(ISNUMBER(SEARCH("week",C310)),ISNUMBER(SEARCH("minggu",C310))),IFERROR(_xlfn.NUMBERVALUE(SUBSTITUTE(LEFT(TRIM(C310),FIND(" ",TRIM(C310)&amp;" ")-1),",","."),"."),LEFT(SUBSTITUTE(LEFT(TRIM(C310),FIND(" ",TRIM(C310)&amp;" ")-1),",","."),FIND("/",SUBSTITUTE(LEFT(TRIM(C310),FIND(" ",TRIM(C310)&amp;" ")-1),",","."))-1)/MID(SUBSTITUTE(LEFT(TRIM(C310),FIND(" ",TRIM(C310)&amp;" ")-1),",","."),FIND("/",SUBSTITUTE(LEFT(TRIM(C310),FIND(" ",TRIM(C310)&amp;" ")-1),",","."))+1,9))*12/52,IF(ISNUMBER(SEARCH("month",C310)),IFERROR(_xlfn.NUMBERVALUE(SUBSTITUTE(LEFT(TRIM(C310),FIND(" ",TRIM(C310)&amp;" ")-1),",","."),"."),LEFT(SUBSTITUTE(LEFT(TRIM(C310),FIND(" ",TRIM(C310)&amp;" ")-1),",","."),FIND("/",SUBSTITUTE(LEFT(TRIM(C310),FIND(" ",TRIM(C310)&amp;" ")-1),",","."))-1)/MID(SUBSTITUTE(LEFT(TRIM(C310),FIND(" ",TRIM(C310)&amp;" ")-1),",","."),FIND("/",SUBSTITUTE(LEFT(TRIM(C310),FIND(" ",TRIM(C310)&amp;" ")-1),",","."))+1,9)),IF(ISNUMBER(SEARCH("yea",C310)),IFERROR(_xlfn.NUMBERVALUE(SUBSTITUTE(LEFT(TRIM(C310),FIND(" ",TRIM(C310)&amp;" ")-1),",","."),"."),LEFT(SUBSTITUTE(LEFT(TRIM(C310),FIND(" ",TRIM(C310)&amp;" ")-1),",","."),FIND("/",SUBSTITUTE(LEFT(TRIM(C310),FIND(" ",TRIM(C310)&amp;" ")-1),",","."))-1)/MID(SUBSTITUTE(LEFT(TRIM(C310),FIND(" ",TRIM(C310)&amp;" ")-1),",","."),FIND("/",SUBSTITUTE(LEFT(TRIM(C310),FIND(" ",TRIM(C310)&amp;" ")-1),",","."))+1,9))*12,NA()))),0),24)*'Aturan &amp; Tarif'!$B$4,2)</f>
        <v>1362.72</v>
      </c>
      <c r="K310" s="32" t="n">
        <f aca="false">'Aturan &amp; Tarif'!$B$5</f>
        <v>2050</v>
      </c>
      <c r="L310" s="35" t="n">
        <f aca="false">I310+J310+K310</f>
        <v>17312.72</v>
      </c>
      <c r="M310" s="37" t="s">
        <v>738</v>
      </c>
    </row>
    <row r="311" customFormat="false" ht="25.5" hidden="false" customHeight="true" outlineLevel="0" collapsed="false">
      <c r="A311" s="29"/>
      <c r="B311" s="30" t="s">
        <v>974</v>
      </c>
      <c r="C311" s="31" t="s">
        <v>113</v>
      </c>
      <c r="D311" s="31" t="s">
        <v>737</v>
      </c>
      <c r="E311" s="32" t="n">
        <v>13600</v>
      </c>
      <c r="F311" s="32" t="n">
        <v>0</v>
      </c>
      <c r="G311" s="32" t="n">
        <v>300</v>
      </c>
      <c r="H311" s="33" t="n">
        <v>1</v>
      </c>
      <c r="I311" s="34" t="n">
        <f aca="false">E311*H311+N(F311)+N(G311)</f>
        <v>13900</v>
      </c>
      <c r="J311" s="32" t="n">
        <f aca="false">ROUND(IFERROR(ROUND(IF(OR(ISNUMBER(SEARCH("week",C311)),ISNUMBER(SEARCH("minggu",C311))),IFERROR(_xlfn.NUMBERVALUE(SUBSTITUTE(LEFT(TRIM(C311),FIND(" ",TRIM(C311)&amp;" ")-1),",","."),"."),LEFT(SUBSTITUTE(LEFT(TRIM(C311),FIND(" ",TRIM(C311)&amp;" ")-1),",","."),FIND("/",SUBSTITUTE(LEFT(TRIM(C311),FIND(" ",TRIM(C311)&amp;" ")-1),",","."))-1)/MID(SUBSTITUTE(LEFT(TRIM(C311),FIND(" ",TRIM(C311)&amp;" ")-1),",","."),FIND("/",SUBSTITUTE(LEFT(TRIM(C311),FIND(" ",TRIM(C311)&amp;" ")-1),",","."))+1,9))*12/52,IF(ISNUMBER(SEARCH("month",C311)),IFERROR(_xlfn.NUMBERVALUE(SUBSTITUTE(LEFT(TRIM(C311),FIND(" ",TRIM(C311)&amp;" ")-1),",","."),"."),LEFT(SUBSTITUTE(LEFT(TRIM(C311),FIND(" ",TRIM(C311)&amp;" ")-1),",","."),FIND("/",SUBSTITUTE(LEFT(TRIM(C311),FIND(" ",TRIM(C311)&amp;" ")-1),",","."))-1)/MID(SUBSTITUTE(LEFT(TRIM(C311),FIND(" ",TRIM(C311)&amp;" ")-1),",","."),FIND("/",SUBSTITUTE(LEFT(TRIM(C311),FIND(" ",TRIM(C311)&amp;" ")-1),",","."))+1,9)),IF(ISNUMBER(SEARCH("yea",C311)),IFERROR(_xlfn.NUMBERVALUE(SUBSTITUTE(LEFT(TRIM(C311),FIND(" ",TRIM(C311)&amp;" ")-1),",","."),"."),LEFT(SUBSTITUTE(LEFT(TRIM(C311),FIND(" ",TRIM(C311)&amp;" ")-1),",","."),FIND("/",SUBSTITUTE(LEFT(TRIM(C311),FIND(" ",TRIM(C311)&amp;" ")-1),",","."))-1)/MID(SUBSTITUTE(LEFT(TRIM(C311),FIND(" ",TRIM(C311)&amp;" ")-1),",","."),FIND("/",SUBSTITUTE(LEFT(TRIM(C311),FIND(" ",TRIM(C311)&amp;" ")-1),",","."))+1,9))*12,NA()))),0),18)*'Aturan &amp; Tarif'!$B$4,2)</f>
        <v>1022.04</v>
      </c>
      <c r="K311" s="32" t="n">
        <f aca="false">'Aturan &amp; Tarif'!$B$5</f>
        <v>2050</v>
      </c>
      <c r="L311" s="35" t="n">
        <f aca="false">I311+J311+K311</f>
        <v>16972.04</v>
      </c>
      <c r="M311" s="37" t="s">
        <v>738</v>
      </c>
    </row>
    <row r="312" customFormat="false" ht="25.5" hidden="false" customHeight="true" outlineLevel="0" collapsed="false">
      <c r="A312" s="29"/>
      <c r="B312" s="30" t="s">
        <v>975</v>
      </c>
      <c r="C312" s="31" t="s">
        <v>113</v>
      </c>
      <c r="D312" s="31" t="s">
        <v>737</v>
      </c>
      <c r="E312" s="32" t="n">
        <v>13600</v>
      </c>
      <c r="F312" s="32" t="n">
        <v>0</v>
      </c>
      <c r="G312" s="32" t="n">
        <v>300</v>
      </c>
      <c r="H312" s="33" t="n">
        <v>1</v>
      </c>
      <c r="I312" s="34" t="n">
        <f aca="false">E312*H312+N(F312)+N(G312)</f>
        <v>13900</v>
      </c>
      <c r="J312" s="32" t="n">
        <f aca="false">ROUND(IFERROR(ROUND(IF(OR(ISNUMBER(SEARCH("week",C312)),ISNUMBER(SEARCH("minggu",C312))),IFERROR(_xlfn.NUMBERVALUE(SUBSTITUTE(LEFT(TRIM(C312),FIND(" ",TRIM(C312)&amp;" ")-1),",","."),"."),LEFT(SUBSTITUTE(LEFT(TRIM(C312),FIND(" ",TRIM(C312)&amp;" ")-1),",","."),FIND("/",SUBSTITUTE(LEFT(TRIM(C312),FIND(" ",TRIM(C312)&amp;" ")-1),",","."))-1)/MID(SUBSTITUTE(LEFT(TRIM(C312),FIND(" ",TRIM(C312)&amp;" ")-1),",","."),FIND("/",SUBSTITUTE(LEFT(TRIM(C312),FIND(" ",TRIM(C312)&amp;" ")-1),",","."))+1,9))*12/52,IF(ISNUMBER(SEARCH("month",C312)),IFERROR(_xlfn.NUMBERVALUE(SUBSTITUTE(LEFT(TRIM(C312),FIND(" ",TRIM(C312)&amp;" ")-1),",","."),"."),LEFT(SUBSTITUTE(LEFT(TRIM(C312),FIND(" ",TRIM(C312)&amp;" ")-1),",","."),FIND("/",SUBSTITUTE(LEFT(TRIM(C312),FIND(" ",TRIM(C312)&amp;" ")-1),",","."))-1)/MID(SUBSTITUTE(LEFT(TRIM(C312),FIND(" ",TRIM(C312)&amp;" ")-1),",","."),FIND("/",SUBSTITUTE(LEFT(TRIM(C312),FIND(" ",TRIM(C312)&amp;" ")-1),",","."))+1,9)),IF(ISNUMBER(SEARCH("yea",C312)),IFERROR(_xlfn.NUMBERVALUE(SUBSTITUTE(LEFT(TRIM(C312),FIND(" ",TRIM(C312)&amp;" ")-1),",","."),"."),LEFT(SUBSTITUTE(LEFT(TRIM(C312),FIND(" ",TRIM(C312)&amp;" ")-1),",","."),FIND("/",SUBSTITUTE(LEFT(TRIM(C312),FIND(" ",TRIM(C312)&amp;" ")-1),",","."))-1)/MID(SUBSTITUTE(LEFT(TRIM(C312),FIND(" ",TRIM(C312)&amp;" ")-1),",","."),FIND("/",SUBSTITUTE(LEFT(TRIM(C312),FIND(" ",TRIM(C312)&amp;" ")-1),",","."))+1,9))*12,NA()))),0),18)*'Aturan &amp; Tarif'!$B$4,2)</f>
        <v>1022.04</v>
      </c>
      <c r="K312" s="32" t="n">
        <f aca="false">'Aturan &amp; Tarif'!$B$5</f>
        <v>2050</v>
      </c>
      <c r="L312" s="35" t="n">
        <f aca="false">I312+J312+K312</f>
        <v>16972.04</v>
      </c>
      <c r="M312" s="37" t="s">
        <v>738</v>
      </c>
    </row>
    <row r="313" customFormat="false" ht="25.5" hidden="false" customHeight="true" outlineLevel="0" collapsed="false">
      <c r="A313" s="29"/>
      <c r="B313" s="30" t="s">
        <v>976</v>
      </c>
      <c r="C313" s="31" t="s">
        <v>107</v>
      </c>
      <c r="D313" s="31" t="s">
        <v>737</v>
      </c>
      <c r="E313" s="32" t="n">
        <v>13600</v>
      </c>
      <c r="F313" s="32" t="n">
        <v>0</v>
      </c>
      <c r="G313" s="32" t="n">
        <v>300</v>
      </c>
      <c r="H313" s="33" t="n">
        <v>1</v>
      </c>
      <c r="I313" s="34" t="n">
        <f aca="false">E313*H313+N(F313)+N(G313)</f>
        <v>13900</v>
      </c>
      <c r="J313" s="32" t="n">
        <f aca="false">ROUND(IFERROR(ROUND(IF(OR(ISNUMBER(SEARCH("week",C313)),ISNUMBER(SEARCH("minggu",C313))),IFERROR(_xlfn.NUMBERVALUE(SUBSTITUTE(LEFT(TRIM(C313),FIND(" ",TRIM(C313)&amp;" ")-1),",","."),"."),LEFT(SUBSTITUTE(LEFT(TRIM(C313),FIND(" ",TRIM(C313)&amp;" ")-1),",","."),FIND("/",SUBSTITUTE(LEFT(TRIM(C313),FIND(" ",TRIM(C313)&amp;" ")-1),",","."))-1)/MID(SUBSTITUTE(LEFT(TRIM(C313),FIND(" ",TRIM(C313)&amp;" ")-1),",","."),FIND("/",SUBSTITUTE(LEFT(TRIM(C313),FIND(" ",TRIM(C313)&amp;" ")-1),",","."))+1,9))*12/52,IF(ISNUMBER(SEARCH("month",C313)),IFERROR(_xlfn.NUMBERVALUE(SUBSTITUTE(LEFT(TRIM(C313),FIND(" ",TRIM(C313)&amp;" ")-1),",","."),"."),LEFT(SUBSTITUTE(LEFT(TRIM(C313),FIND(" ",TRIM(C313)&amp;" ")-1),",","."),FIND("/",SUBSTITUTE(LEFT(TRIM(C313),FIND(" ",TRIM(C313)&amp;" ")-1),",","."))-1)/MID(SUBSTITUTE(LEFT(TRIM(C313),FIND(" ",TRIM(C313)&amp;" ")-1),",","."),FIND("/",SUBSTITUTE(LEFT(TRIM(C313),FIND(" ",TRIM(C313)&amp;" ")-1),",","."))+1,9)),IF(ISNUMBER(SEARCH("yea",C313)),IFERROR(_xlfn.NUMBERVALUE(SUBSTITUTE(LEFT(TRIM(C313),FIND(" ",TRIM(C313)&amp;" ")-1),",","."),"."),LEFT(SUBSTITUTE(LEFT(TRIM(C313),FIND(" ",TRIM(C313)&amp;" ")-1),",","."),FIND("/",SUBSTITUTE(LEFT(TRIM(C313),FIND(" ",TRIM(C313)&amp;" ")-1),",","."))-1)/MID(SUBSTITUTE(LEFT(TRIM(C313),FIND(" ",TRIM(C313)&amp;" ")-1),",","."),FIND("/",SUBSTITUTE(LEFT(TRIM(C313),FIND(" ",TRIM(C313)&amp;" ")-1),",","."))+1,9))*12,NA()))),0),24)*'Aturan &amp; Tarif'!$B$4,2)</f>
        <v>1362.72</v>
      </c>
      <c r="K313" s="32" t="n">
        <f aca="false">'Aturan &amp; Tarif'!$B$5</f>
        <v>2050</v>
      </c>
      <c r="L313" s="35" t="n">
        <f aca="false">I313+J313+K313</f>
        <v>17312.72</v>
      </c>
      <c r="M313" s="37" t="s">
        <v>738</v>
      </c>
    </row>
    <row r="314" customFormat="false" ht="25.5" hidden="false" customHeight="true" outlineLevel="0" collapsed="false">
      <c r="A314" s="29"/>
      <c r="B314" s="30" t="s">
        <v>2852</v>
      </c>
      <c r="C314" s="31" t="s">
        <v>138</v>
      </c>
      <c r="D314" s="31" t="s">
        <v>737</v>
      </c>
      <c r="E314" s="32" t="n">
        <v>13600</v>
      </c>
      <c r="F314" s="32" t="n">
        <v>0</v>
      </c>
      <c r="G314" s="32" t="n">
        <v>300</v>
      </c>
      <c r="H314" s="33" t="n">
        <v>1</v>
      </c>
      <c r="I314" s="34" t="n">
        <f aca="false">E314*H314+N(F314)+N(G314)</f>
        <v>13900</v>
      </c>
      <c r="J314" s="32" t="n">
        <f aca="false">ROUND(IFERROR(ROUND(IF(OR(ISNUMBER(SEARCH("week",C314)),ISNUMBER(SEARCH("minggu",C314))),IFERROR(_xlfn.NUMBERVALUE(SUBSTITUTE(LEFT(TRIM(C314),FIND(" ",TRIM(C314)&amp;" ")-1),",","."),"."),LEFT(SUBSTITUTE(LEFT(TRIM(C314),FIND(" ",TRIM(C314)&amp;" ")-1),",","."),FIND("/",SUBSTITUTE(LEFT(TRIM(C314),FIND(" ",TRIM(C314)&amp;" ")-1),",","."))-1)/MID(SUBSTITUTE(LEFT(TRIM(C314),FIND(" ",TRIM(C314)&amp;" ")-1),",","."),FIND("/",SUBSTITUTE(LEFT(TRIM(C314),FIND(" ",TRIM(C314)&amp;" ")-1),",","."))+1,9))*12/52,IF(ISNUMBER(SEARCH("month",C314)),IFERROR(_xlfn.NUMBERVALUE(SUBSTITUTE(LEFT(TRIM(C314),FIND(" ",TRIM(C314)&amp;" ")-1),",","."),"."),LEFT(SUBSTITUTE(LEFT(TRIM(C314),FIND(" ",TRIM(C314)&amp;" ")-1),",","."),FIND("/",SUBSTITUTE(LEFT(TRIM(C314),FIND(" ",TRIM(C314)&amp;" ")-1),",","."))-1)/MID(SUBSTITUTE(LEFT(TRIM(C314),FIND(" ",TRIM(C314)&amp;" ")-1),",","."),FIND("/",SUBSTITUTE(LEFT(TRIM(C314),FIND(" ",TRIM(C314)&amp;" ")-1),",","."))+1,9)),IF(ISNUMBER(SEARCH("yea",C314)),IFERROR(_xlfn.NUMBERVALUE(SUBSTITUTE(LEFT(TRIM(C314),FIND(" ",TRIM(C314)&amp;" ")-1),",","."),"."),LEFT(SUBSTITUTE(LEFT(TRIM(C314),FIND(" ",TRIM(C314)&amp;" ")-1),",","."),FIND("/",SUBSTITUTE(LEFT(TRIM(C314),FIND(" ",TRIM(C314)&amp;" ")-1),",","."))-1)/MID(SUBSTITUTE(LEFT(TRIM(C314),FIND(" ",TRIM(C314)&amp;" ")-1),",","."),FIND("/",SUBSTITUTE(LEFT(TRIM(C314),FIND(" ",TRIM(C314)&amp;" ")-1),",","."))+1,9))*12,NA()))),0),30)*'Aturan &amp; Tarif'!$B$4,2)</f>
        <v>1703.4</v>
      </c>
      <c r="K314" s="32" t="n">
        <f aca="false">'Aturan &amp; Tarif'!$B$5</f>
        <v>2050</v>
      </c>
      <c r="L314" s="35" t="n">
        <f aca="false">I314+J314+K314</f>
        <v>17653.4</v>
      </c>
      <c r="M314" s="37" t="s">
        <v>738</v>
      </c>
    </row>
    <row r="315" customFormat="false" ht="25.5" hidden="false" customHeight="true" outlineLevel="0" collapsed="false">
      <c r="A315" s="29"/>
      <c r="B315" s="30" t="s">
        <v>2126</v>
      </c>
      <c r="C315" s="31" t="s">
        <v>344</v>
      </c>
      <c r="D315" s="31" t="s">
        <v>737</v>
      </c>
      <c r="E315" s="32" t="n">
        <v>14560</v>
      </c>
      <c r="F315" s="32" t="n">
        <v>0</v>
      </c>
      <c r="G315" s="32" t="n">
        <v>300</v>
      </c>
      <c r="H315" s="33" t="n">
        <v>1</v>
      </c>
      <c r="I315" s="34" t="n">
        <f aca="false">E315*H315+N(F315)+N(G315)</f>
        <v>14860</v>
      </c>
      <c r="J315" s="32" t="n">
        <f aca="false">ROUND(IFERROR(ROUND(IF(OR(ISNUMBER(SEARCH("week",C315)),ISNUMBER(SEARCH("minggu",C315))),IFERROR(_xlfn.NUMBERVALUE(SUBSTITUTE(LEFT(TRIM(C315),FIND(" ",TRIM(C315)&amp;" ")-1),",","."),"."),LEFT(SUBSTITUTE(LEFT(TRIM(C315),FIND(" ",TRIM(C315)&amp;" ")-1),",","."),FIND("/",SUBSTITUTE(LEFT(TRIM(C315),FIND(" ",TRIM(C315)&amp;" ")-1),",","."))-1)/MID(SUBSTITUTE(LEFT(TRIM(C315),FIND(" ",TRIM(C315)&amp;" ")-1),",","."),FIND("/",SUBSTITUTE(LEFT(TRIM(C315),FIND(" ",TRIM(C315)&amp;" ")-1),",","."))+1,9))*12/52,IF(ISNUMBER(SEARCH("month",C315)),IFERROR(_xlfn.NUMBERVALUE(SUBSTITUTE(LEFT(TRIM(C315),FIND(" ",TRIM(C315)&amp;" ")-1),",","."),"."),LEFT(SUBSTITUTE(LEFT(TRIM(C315),FIND(" ",TRIM(C315)&amp;" ")-1),",","."),FIND("/",SUBSTITUTE(LEFT(TRIM(C315),FIND(" ",TRIM(C315)&amp;" ")-1),",","."))-1)/MID(SUBSTITUTE(LEFT(TRIM(C315),FIND(" ",TRIM(C315)&amp;" ")-1),",","."),FIND("/",SUBSTITUTE(LEFT(TRIM(C315),FIND(" ",TRIM(C315)&amp;" ")-1),",","."))+1,9)),IF(ISNUMBER(SEARCH("yea",C315)),IFERROR(_xlfn.NUMBERVALUE(SUBSTITUTE(LEFT(TRIM(C315),FIND(" ",TRIM(C315)&amp;" ")-1),",","."),"."),LEFT(SUBSTITUTE(LEFT(TRIM(C315),FIND(" ",TRIM(C315)&amp;" ")-1),",","."),FIND("/",SUBSTITUTE(LEFT(TRIM(C315),FIND(" ",TRIM(C315)&amp;" ")-1),",","."))-1)/MID(SUBSTITUTE(LEFT(TRIM(C315),FIND(" ",TRIM(C315)&amp;" ")-1),",","."),FIND("/",SUBSTITUTE(LEFT(TRIM(C315),FIND(" ",TRIM(C315)&amp;" ")-1),",","."))+1,9))*12,NA()))),0),6)*'Aturan &amp; Tarif'!$B$4,2)</f>
        <v>340.68</v>
      </c>
      <c r="K315" s="32" t="n">
        <f aca="false">'Aturan &amp; Tarif'!$B$5</f>
        <v>2050</v>
      </c>
      <c r="L315" s="35" t="n">
        <f aca="false">I315+J315+K315</f>
        <v>17250.68</v>
      </c>
      <c r="M315" s="37" t="s">
        <v>738</v>
      </c>
    </row>
    <row r="316" customFormat="false" ht="25.5" hidden="false" customHeight="true" outlineLevel="0" collapsed="false">
      <c r="A316" s="29"/>
      <c r="B316" s="30" t="s">
        <v>2127</v>
      </c>
      <c r="C316" s="31" t="s">
        <v>130</v>
      </c>
      <c r="D316" s="31" t="s">
        <v>737</v>
      </c>
      <c r="E316" s="32" t="n">
        <v>14560</v>
      </c>
      <c r="F316" s="32" t="n">
        <v>0</v>
      </c>
      <c r="G316" s="32" t="n">
        <v>300</v>
      </c>
      <c r="H316" s="33" t="n">
        <v>1</v>
      </c>
      <c r="I316" s="34" t="n">
        <f aca="false">E316*H316+N(F316)+N(G316)</f>
        <v>14860</v>
      </c>
      <c r="J316" s="32" t="n">
        <f aca="false">ROUND(IFERROR(ROUND(IF(OR(ISNUMBER(SEARCH("week",C316)),ISNUMBER(SEARCH("minggu",C316))),IFERROR(_xlfn.NUMBERVALUE(SUBSTITUTE(LEFT(TRIM(C316),FIND(" ",TRIM(C316)&amp;" ")-1),",","."),"."),LEFT(SUBSTITUTE(LEFT(TRIM(C316),FIND(" ",TRIM(C316)&amp;" ")-1),",","."),FIND("/",SUBSTITUTE(LEFT(TRIM(C316),FIND(" ",TRIM(C316)&amp;" ")-1),",","."))-1)/MID(SUBSTITUTE(LEFT(TRIM(C316),FIND(" ",TRIM(C316)&amp;" ")-1),",","."),FIND("/",SUBSTITUTE(LEFT(TRIM(C316),FIND(" ",TRIM(C316)&amp;" ")-1),",","."))+1,9))*12/52,IF(ISNUMBER(SEARCH("month",C316)),IFERROR(_xlfn.NUMBERVALUE(SUBSTITUTE(LEFT(TRIM(C316),FIND(" ",TRIM(C316)&amp;" ")-1),",","."),"."),LEFT(SUBSTITUTE(LEFT(TRIM(C316),FIND(" ",TRIM(C316)&amp;" ")-1),",","."),FIND("/",SUBSTITUTE(LEFT(TRIM(C316),FIND(" ",TRIM(C316)&amp;" ")-1),",","."))-1)/MID(SUBSTITUTE(LEFT(TRIM(C316),FIND(" ",TRIM(C316)&amp;" ")-1),",","."),FIND("/",SUBSTITUTE(LEFT(TRIM(C316),FIND(" ",TRIM(C316)&amp;" ")-1),",","."))+1,9)),IF(ISNUMBER(SEARCH("yea",C316)),IFERROR(_xlfn.NUMBERVALUE(SUBSTITUTE(LEFT(TRIM(C316),FIND(" ",TRIM(C316)&amp;" ")-1),",","."),"."),LEFT(SUBSTITUTE(LEFT(TRIM(C316),FIND(" ",TRIM(C316)&amp;" ")-1),",","."),FIND("/",SUBSTITUTE(LEFT(TRIM(C316),FIND(" ",TRIM(C316)&amp;" ")-1),",","."))-1)/MID(SUBSTITUTE(LEFT(TRIM(C316),FIND(" ",TRIM(C316)&amp;" ")-1),",","."),FIND("/",SUBSTITUTE(LEFT(TRIM(C316),FIND(" ",TRIM(C316)&amp;" ")-1),",","."))+1,9))*12,NA()))),0),12)*'Aturan &amp; Tarif'!$B$4,2)</f>
        <v>681.36</v>
      </c>
      <c r="K316" s="32" t="n">
        <f aca="false">'Aturan &amp; Tarif'!$B$5</f>
        <v>2050</v>
      </c>
      <c r="L316" s="35" t="n">
        <f aca="false">I316+J316+K316</f>
        <v>17591.36</v>
      </c>
      <c r="M316" s="37" t="s">
        <v>738</v>
      </c>
    </row>
    <row r="317" customFormat="false" ht="25.5" hidden="false" customHeight="true" outlineLevel="0" collapsed="false">
      <c r="A317" s="29"/>
      <c r="B317" s="30" t="s">
        <v>1915</v>
      </c>
      <c r="C317" s="31" t="s">
        <v>113</v>
      </c>
      <c r="D317" s="31" t="s">
        <v>737</v>
      </c>
      <c r="E317" s="32" t="n">
        <v>14560</v>
      </c>
      <c r="F317" s="32" t="n">
        <v>0</v>
      </c>
      <c r="G317" s="32" t="n">
        <v>300</v>
      </c>
      <c r="H317" s="33" t="n">
        <v>1</v>
      </c>
      <c r="I317" s="34" t="n">
        <f aca="false">E317*H317+N(F317)+N(G317)</f>
        <v>14860</v>
      </c>
      <c r="J317" s="32" t="n">
        <f aca="false">ROUND(IFERROR(ROUND(IF(OR(ISNUMBER(SEARCH("week",C317)),ISNUMBER(SEARCH("minggu",C317))),IFERROR(_xlfn.NUMBERVALUE(SUBSTITUTE(LEFT(TRIM(C317),FIND(" ",TRIM(C317)&amp;" ")-1),",","."),"."),LEFT(SUBSTITUTE(LEFT(TRIM(C317),FIND(" ",TRIM(C317)&amp;" ")-1),",","."),FIND("/",SUBSTITUTE(LEFT(TRIM(C317),FIND(" ",TRIM(C317)&amp;" ")-1),",","."))-1)/MID(SUBSTITUTE(LEFT(TRIM(C317),FIND(" ",TRIM(C317)&amp;" ")-1),",","."),FIND("/",SUBSTITUTE(LEFT(TRIM(C317),FIND(" ",TRIM(C317)&amp;" ")-1),",","."))+1,9))*12/52,IF(ISNUMBER(SEARCH("month",C317)),IFERROR(_xlfn.NUMBERVALUE(SUBSTITUTE(LEFT(TRIM(C317),FIND(" ",TRIM(C317)&amp;" ")-1),",","."),"."),LEFT(SUBSTITUTE(LEFT(TRIM(C317),FIND(" ",TRIM(C317)&amp;" ")-1),",","."),FIND("/",SUBSTITUTE(LEFT(TRIM(C317),FIND(" ",TRIM(C317)&amp;" ")-1),",","."))-1)/MID(SUBSTITUTE(LEFT(TRIM(C317),FIND(" ",TRIM(C317)&amp;" ")-1),",","."),FIND("/",SUBSTITUTE(LEFT(TRIM(C317),FIND(" ",TRIM(C317)&amp;" ")-1),",","."))+1,9)),IF(ISNUMBER(SEARCH("yea",C317)),IFERROR(_xlfn.NUMBERVALUE(SUBSTITUTE(LEFT(TRIM(C317),FIND(" ",TRIM(C317)&amp;" ")-1),",","."),"."),LEFT(SUBSTITUTE(LEFT(TRIM(C317),FIND(" ",TRIM(C317)&amp;" ")-1),",","."),FIND("/",SUBSTITUTE(LEFT(TRIM(C317),FIND(" ",TRIM(C317)&amp;" ")-1),",","."))-1)/MID(SUBSTITUTE(LEFT(TRIM(C317),FIND(" ",TRIM(C317)&amp;" ")-1),",","."),FIND("/",SUBSTITUTE(LEFT(TRIM(C317),FIND(" ",TRIM(C317)&amp;" ")-1),",","."))+1,9))*12,NA()))),0),18)*'Aturan &amp; Tarif'!$B$4,2)</f>
        <v>1022.04</v>
      </c>
      <c r="K317" s="32" t="n">
        <f aca="false">'Aturan &amp; Tarif'!$B$5</f>
        <v>2050</v>
      </c>
      <c r="L317" s="35" t="n">
        <f aca="false">I317+J317+K317</f>
        <v>17932.04</v>
      </c>
      <c r="M317" s="37" t="s">
        <v>738</v>
      </c>
    </row>
    <row r="318" customFormat="false" ht="48.75" hidden="false" customHeight="true" outlineLevel="0" collapsed="false">
      <c r="A318" s="29"/>
      <c r="B318" s="30" t="s">
        <v>2128</v>
      </c>
      <c r="C318" s="31" t="s">
        <v>107</v>
      </c>
      <c r="D318" s="31" t="s">
        <v>737</v>
      </c>
      <c r="E318" s="32" t="n">
        <v>14560</v>
      </c>
      <c r="F318" s="32" t="n">
        <v>0</v>
      </c>
      <c r="G318" s="32" t="n">
        <v>300</v>
      </c>
      <c r="H318" s="33" t="n">
        <v>1</v>
      </c>
      <c r="I318" s="34" t="n">
        <f aca="false">E318*H318+N(F318)+N(G318)</f>
        <v>14860</v>
      </c>
      <c r="J318" s="32" t="n">
        <f aca="false">ROUND(IFERROR(ROUND(IF(OR(ISNUMBER(SEARCH("week",C318)),ISNUMBER(SEARCH("minggu",C318))),IFERROR(_xlfn.NUMBERVALUE(SUBSTITUTE(LEFT(TRIM(C318),FIND(" ",TRIM(C318)&amp;" ")-1),",","."),"."),LEFT(SUBSTITUTE(LEFT(TRIM(C318),FIND(" ",TRIM(C318)&amp;" ")-1),",","."),FIND("/",SUBSTITUTE(LEFT(TRIM(C318),FIND(" ",TRIM(C318)&amp;" ")-1),",","."))-1)/MID(SUBSTITUTE(LEFT(TRIM(C318),FIND(" ",TRIM(C318)&amp;" ")-1),",","."),FIND("/",SUBSTITUTE(LEFT(TRIM(C318),FIND(" ",TRIM(C318)&amp;" ")-1),",","."))+1,9))*12/52,IF(ISNUMBER(SEARCH("month",C318)),IFERROR(_xlfn.NUMBERVALUE(SUBSTITUTE(LEFT(TRIM(C318),FIND(" ",TRIM(C318)&amp;" ")-1),",","."),"."),LEFT(SUBSTITUTE(LEFT(TRIM(C318),FIND(" ",TRIM(C318)&amp;" ")-1),",","."),FIND("/",SUBSTITUTE(LEFT(TRIM(C318),FIND(" ",TRIM(C318)&amp;" ")-1),",","."))-1)/MID(SUBSTITUTE(LEFT(TRIM(C318),FIND(" ",TRIM(C318)&amp;" ")-1),",","."),FIND("/",SUBSTITUTE(LEFT(TRIM(C318),FIND(" ",TRIM(C318)&amp;" ")-1),",","."))+1,9)),IF(ISNUMBER(SEARCH("yea",C318)),IFERROR(_xlfn.NUMBERVALUE(SUBSTITUTE(LEFT(TRIM(C318),FIND(" ",TRIM(C318)&amp;" ")-1),",","."),"."),LEFT(SUBSTITUTE(LEFT(TRIM(C318),FIND(" ",TRIM(C318)&amp;" ")-1),",","."),FIND("/",SUBSTITUTE(LEFT(TRIM(C318),FIND(" ",TRIM(C318)&amp;" ")-1),",","."))-1)/MID(SUBSTITUTE(LEFT(TRIM(C318),FIND(" ",TRIM(C318)&amp;" ")-1),",","."),FIND("/",SUBSTITUTE(LEFT(TRIM(C318),FIND(" ",TRIM(C318)&amp;" ")-1),",","."))+1,9))*12,NA()))),0),24)*'Aturan &amp; Tarif'!$B$4,2)</f>
        <v>1362.72</v>
      </c>
      <c r="K318" s="32" t="n">
        <f aca="false">'Aturan &amp; Tarif'!$B$5</f>
        <v>2050</v>
      </c>
      <c r="L318" s="35" t="n">
        <f aca="false">I318+J318+K318</f>
        <v>18272.72</v>
      </c>
      <c r="M318" s="37" t="s">
        <v>738</v>
      </c>
    </row>
    <row r="319" customFormat="false" ht="37.5" hidden="false" customHeight="true" outlineLevel="0" collapsed="false">
      <c r="A319" s="39" t="s">
        <v>2853</v>
      </c>
      <c r="B319" s="40" t="s">
        <v>3156</v>
      </c>
      <c r="C319" s="41" t="s">
        <v>127</v>
      </c>
      <c r="D319" s="41" t="s">
        <v>737</v>
      </c>
      <c r="E319" s="42" t="n">
        <v>5800</v>
      </c>
      <c r="F319" s="42"/>
      <c r="G319" s="42" t="n">
        <v>250</v>
      </c>
      <c r="H319" s="43" t="n">
        <v>1</v>
      </c>
      <c r="I319" s="34" t="n">
        <f aca="false">E319*H319+N(F319)+N(G319)</f>
        <v>6050</v>
      </c>
      <c r="J319" s="42" t="n">
        <f aca="false">ROUND(IFERROR(ROUND(IF(OR(ISNUMBER(SEARCH("week",C319)),ISNUMBER(SEARCH("minggu",C319))),IFERROR(_xlfn.NUMBERVALUE(SUBSTITUTE(LEFT(TRIM(C319),FIND(" ",TRIM(C319)&amp;" ")-1),",","."),"."),LEFT(SUBSTITUTE(LEFT(TRIM(C319),FIND(" ",TRIM(C319)&amp;" ")-1),",","."),FIND("/",SUBSTITUTE(LEFT(TRIM(C319),FIND(" ",TRIM(C319)&amp;" ")-1),",","."))-1)/MID(SUBSTITUTE(LEFT(TRIM(C319),FIND(" ",TRIM(C319)&amp;" ")-1),",","."),FIND("/",SUBSTITUTE(LEFT(TRIM(C319),FIND(" ",TRIM(C319)&amp;" ")-1),",","."))+1,9))*12/52,IF(ISNUMBER(SEARCH("month",C319)),IFERROR(_xlfn.NUMBERVALUE(SUBSTITUTE(LEFT(TRIM(C319),FIND(" ",TRIM(C319)&amp;" ")-1),",","."),"."),LEFT(SUBSTITUTE(LEFT(TRIM(C319),FIND(" ",TRIM(C319)&amp;" ")-1),",","."),FIND("/",SUBSTITUTE(LEFT(TRIM(C319),FIND(" ",TRIM(C319)&amp;" ")-1),",","."))-1)/MID(SUBSTITUTE(LEFT(TRIM(C319),FIND(" ",TRIM(C319)&amp;" ")-1),",","."),FIND("/",SUBSTITUTE(LEFT(TRIM(C319),FIND(" ",TRIM(C319)&amp;" ")-1),",","."))+1,9)),IF(ISNUMBER(SEARCH("yea",C319)),IFERROR(_xlfn.NUMBERVALUE(SUBSTITUTE(LEFT(TRIM(C319),FIND(" ",TRIM(C319)&amp;" ")-1),",","."),"."),LEFT(SUBSTITUTE(LEFT(TRIM(C319),FIND(" ",TRIM(C319)&amp;" ")-1),",","."),FIND("/",SUBSTITUTE(LEFT(TRIM(C319),FIND(" ",TRIM(C319)&amp;" ")-1),",","."))-1)/MID(SUBSTITUTE(LEFT(TRIM(C319),FIND(" ",TRIM(C319)&amp;" ")-1),",","."),FIND("/",SUBSTITUTE(LEFT(TRIM(C319),FIND(" ",TRIM(C319)&amp;" ")-1),",","."))+1,9))*12,NA()))),0),36)*'Aturan &amp; Tarif'!$B$4,2)</f>
        <v>2044.08</v>
      </c>
      <c r="K319" s="42" t="n">
        <f aca="false">'Aturan &amp; Tarif'!$B$5</f>
        <v>2050</v>
      </c>
      <c r="L319" s="35" t="n">
        <f aca="false">I319+J319+K319</f>
        <v>10144.08</v>
      </c>
      <c r="M319" s="44" t="s">
        <v>3157</v>
      </c>
    </row>
    <row r="320" customFormat="false" ht="37.5" hidden="false" customHeight="true" outlineLevel="0" collapsed="false">
      <c r="A320" s="39"/>
      <c r="B320" s="40" t="s">
        <v>3158</v>
      </c>
      <c r="C320" s="41" t="s">
        <v>127</v>
      </c>
      <c r="D320" s="41" t="s">
        <v>737</v>
      </c>
      <c r="E320" s="42" t="n">
        <v>5800</v>
      </c>
      <c r="F320" s="42"/>
      <c r="G320" s="42" t="n">
        <v>250</v>
      </c>
      <c r="H320" s="43" t="n">
        <v>1</v>
      </c>
      <c r="I320" s="34" t="n">
        <f aca="false">E320*H320+N(F320)+N(G320)</f>
        <v>6050</v>
      </c>
      <c r="J320" s="42" t="n">
        <f aca="false">ROUND(IFERROR(ROUND(IF(OR(ISNUMBER(SEARCH("week",C320)),ISNUMBER(SEARCH("minggu",C320))),IFERROR(_xlfn.NUMBERVALUE(SUBSTITUTE(LEFT(TRIM(C320),FIND(" ",TRIM(C320)&amp;" ")-1),",","."),"."),LEFT(SUBSTITUTE(LEFT(TRIM(C320),FIND(" ",TRIM(C320)&amp;" ")-1),",","."),FIND("/",SUBSTITUTE(LEFT(TRIM(C320),FIND(" ",TRIM(C320)&amp;" ")-1),",","."))-1)/MID(SUBSTITUTE(LEFT(TRIM(C320),FIND(" ",TRIM(C320)&amp;" ")-1),",","."),FIND("/",SUBSTITUTE(LEFT(TRIM(C320),FIND(" ",TRIM(C320)&amp;" ")-1),",","."))+1,9))*12/52,IF(ISNUMBER(SEARCH("month",C320)),IFERROR(_xlfn.NUMBERVALUE(SUBSTITUTE(LEFT(TRIM(C320),FIND(" ",TRIM(C320)&amp;" ")-1),",","."),"."),LEFT(SUBSTITUTE(LEFT(TRIM(C320),FIND(" ",TRIM(C320)&amp;" ")-1),",","."),FIND("/",SUBSTITUTE(LEFT(TRIM(C320),FIND(" ",TRIM(C320)&amp;" ")-1),",","."))-1)/MID(SUBSTITUTE(LEFT(TRIM(C320),FIND(" ",TRIM(C320)&amp;" ")-1),",","."),FIND("/",SUBSTITUTE(LEFT(TRIM(C320),FIND(" ",TRIM(C320)&amp;" ")-1),",","."))+1,9)),IF(ISNUMBER(SEARCH("yea",C320)),IFERROR(_xlfn.NUMBERVALUE(SUBSTITUTE(LEFT(TRIM(C320),FIND(" ",TRIM(C320)&amp;" ")-1),",","."),"."),LEFT(SUBSTITUTE(LEFT(TRIM(C320),FIND(" ",TRIM(C320)&amp;" ")-1),",","."),FIND("/",SUBSTITUTE(LEFT(TRIM(C320),FIND(" ",TRIM(C320)&amp;" ")-1),",","."))-1)/MID(SUBSTITUTE(LEFT(TRIM(C320),FIND(" ",TRIM(C320)&amp;" ")-1),",","."),FIND("/",SUBSTITUTE(LEFT(TRIM(C320),FIND(" ",TRIM(C320)&amp;" ")-1),",","."))+1,9))*12,NA()))),0),36)*'Aturan &amp; Tarif'!$B$4,2)</f>
        <v>2044.08</v>
      </c>
      <c r="K320" s="42" t="n">
        <f aca="false">'Aturan &amp; Tarif'!$B$5</f>
        <v>2050</v>
      </c>
      <c r="L320" s="35" t="n">
        <f aca="false">I320+J320+K320</f>
        <v>10144.08</v>
      </c>
      <c r="M320" s="44" t="s">
        <v>3157</v>
      </c>
    </row>
    <row r="321" customFormat="false" ht="37.5" hidden="false" customHeight="true" outlineLevel="0" collapsed="false">
      <c r="A321" s="39"/>
      <c r="B321" s="40" t="s">
        <v>3159</v>
      </c>
      <c r="C321" s="41" t="s">
        <v>127</v>
      </c>
      <c r="D321" s="41" t="s">
        <v>737</v>
      </c>
      <c r="E321" s="42" t="n">
        <v>5800</v>
      </c>
      <c r="F321" s="42"/>
      <c r="G321" s="42" t="n">
        <v>250</v>
      </c>
      <c r="H321" s="43" t="n">
        <v>1</v>
      </c>
      <c r="I321" s="34" t="n">
        <f aca="false">E321*H321+N(F321)+N(G321)</f>
        <v>6050</v>
      </c>
      <c r="J321" s="42" t="n">
        <f aca="false">ROUND(IFERROR(ROUND(IF(OR(ISNUMBER(SEARCH("week",C321)),ISNUMBER(SEARCH("minggu",C321))),IFERROR(_xlfn.NUMBERVALUE(SUBSTITUTE(LEFT(TRIM(C321),FIND(" ",TRIM(C321)&amp;" ")-1),",","."),"."),LEFT(SUBSTITUTE(LEFT(TRIM(C321),FIND(" ",TRIM(C321)&amp;" ")-1),",","."),FIND("/",SUBSTITUTE(LEFT(TRIM(C321),FIND(" ",TRIM(C321)&amp;" ")-1),",","."))-1)/MID(SUBSTITUTE(LEFT(TRIM(C321),FIND(" ",TRIM(C321)&amp;" ")-1),",","."),FIND("/",SUBSTITUTE(LEFT(TRIM(C321),FIND(" ",TRIM(C321)&amp;" ")-1),",","."))+1,9))*12/52,IF(ISNUMBER(SEARCH("month",C321)),IFERROR(_xlfn.NUMBERVALUE(SUBSTITUTE(LEFT(TRIM(C321),FIND(" ",TRIM(C321)&amp;" ")-1),",","."),"."),LEFT(SUBSTITUTE(LEFT(TRIM(C321),FIND(" ",TRIM(C321)&amp;" ")-1),",","."),FIND("/",SUBSTITUTE(LEFT(TRIM(C321),FIND(" ",TRIM(C321)&amp;" ")-1),",","."))-1)/MID(SUBSTITUTE(LEFT(TRIM(C321),FIND(" ",TRIM(C321)&amp;" ")-1),",","."),FIND("/",SUBSTITUTE(LEFT(TRIM(C321),FIND(" ",TRIM(C321)&amp;" ")-1),",","."))+1,9)),IF(ISNUMBER(SEARCH("yea",C321)),IFERROR(_xlfn.NUMBERVALUE(SUBSTITUTE(LEFT(TRIM(C321),FIND(" ",TRIM(C321)&amp;" ")-1),",","."),"."),LEFT(SUBSTITUTE(LEFT(TRIM(C321),FIND(" ",TRIM(C321)&amp;" ")-1),",","."),FIND("/",SUBSTITUTE(LEFT(TRIM(C321),FIND(" ",TRIM(C321)&amp;" ")-1),",","."))-1)/MID(SUBSTITUTE(LEFT(TRIM(C321),FIND(" ",TRIM(C321)&amp;" ")-1),",","."),FIND("/",SUBSTITUTE(LEFT(TRIM(C321),FIND(" ",TRIM(C321)&amp;" ")-1),",","."))+1,9))*12,NA()))),0),36)*'Aturan &amp; Tarif'!$B$4,2)</f>
        <v>2044.08</v>
      </c>
      <c r="K321" s="42" t="n">
        <f aca="false">'Aturan &amp; Tarif'!$B$5</f>
        <v>2050</v>
      </c>
      <c r="L321" s="35" t="n">
        <f aca="false">I321+J321+K321</f>
        <v>10144.08</v>
      </c>
      <c r="M321" s="44" t="s">
        <v>3157</v>
      </c>
    </row>
    <row r="322" customFormat="false" ht="37.5" hidden="false" customHeight="true" outlineLevel="0" collapsed="false">
      <c r="A322" s="39"/>
      <c r="B322" s="40" t="s">
        <v>3160</v>
      </c>
      <c r="C322" s="41" t="s">
        <v>127</v>
      </c>
      <c r="D322" s="41" t="s">
        <v>737</v>
      </c>
      <c r="E322" s="42" t="n">
        <v>5800</v>
      </c>
      <c r="F322" s="42"/>
      <c r="G322" s="42" t="n">
        <v>250</v>
      </c>
      <c r="H322" s="43" t="n">
        <v>1</v>
      </c>
      <c r="I322" s="34" t="n">
        <f aca="false">E322*H322+N(F322)+N(G322)</f>
        <v>6050</v>
      </c>
      <c r="J322" s="42" t="n">
        <f aca="false">ROUND(IFERROR(ROUND(IF(OR(ISNUMBER(SEARCH("week",C322)),ISNUMBER(SEARCH("minggu",C322))),IFERROR(_xlfn.NUMBERVALUE(SUBSTITUTE(LEFT(TRIM(C322),FIND(" ",TRIM(C322)&amp;" ")-1),",","."),"."),LEFT(SUBSTITUTE(LEFT(TRIM(C322),FIND(" ",TRIM(C322)&amp;" ")-1),",","."),FIND("/",SUBSTITUTE(LEFT(TRIM(C322),FIND(" ",TRIM(C322)&amp;" ")-1),",","."))-1)/MID(SUBSTITUTE(LEFT(TRIM(C322),FIND(" ",TRIM(C322)&amp;" ")-1),",","."),FIND("/",SUBSTITUTE(LEFT(TRIM(C322),FIND(" ",TRIM(C322)&amp;" ")-1),",","."))+1,9))*12/52,IF(ISNUMBER(SEARCH("month",C322)),IFERROR(_xlfn.NUMBERVALUE(SUBSTITUTE(LEFT(TRIM(C322),FIND(" ",TRIM(C322)&amp;" ")-1),",","."),"."),LEFT(SUBSTITUTE(LEFT(TRIM(C322),FIND(" ",TRIM(C322)&amp;" ")-1),",","."),FIND("/",SUBSTITUTE(LEFT(TRIM(C322),FIND(" ",TRIM(C322)&amp;" ")-1),",","."))-1)/MID(SUBSTITUTE(LEFT(TRIM(C322),FIND(" ",TRIM(C322)&amp;" ")-1),",","."),FIND("/",SUBSTITUTE(LEFT(TRIM(C322),FIND(" ",TRIM(C322)&amp;" ")-1),",","."))+1,9)),IF(ISNUMBER(SEARCH("yea",C322)),IFERROR(_xlfn.NUMBERVALUE(SUBSTITUTE(LEFT(TRIM(C322),FIND(" ",TRIM(C322)&amp;" ")-1),",","."),"."),LEFT(SUBSTITUTE(LEFT(TRIM(C322),FIND(" ",TRIM(C322)&amp;" ")-1),",","."),FIND("/",SUBSTITUTE(LEFT(TRIM(C322),FIND(" ",TRIM(C322)&amp;" ")-1),",","."))-1)/MID(SUBSTITUTE(LEFT(TRIM(C322),FIND(" ",TRIM(C322)&amp;" ")-1),",","."),FIND("/",SUBSTITUTE(LEFT(TRIM(C322),FIND(" ",TRIM(C322)&amp;" ")-1),",","."))+1,9))*12,NA()))),0),36)*'Aturan &amp; Tarif'!$B$4,2)</f>
        <v>2044.08</v>
      </c>
      <c r="K322" s="42" t="n">
        <f aca="false">'Aturan &amp; Tarif'!$B$5</f>
        <v>2050</v>
      </c>
      <c r="L322" s="35" t="n">
        <f aca="false">I322+J322+K322</f>
        <v>10144.08</v>
      </c>
      <c r="M322" s="44" t="s">
        <v>3157</v>
      </c>
    </row>
    <row r="323" customFormat="false" ht="37.5" hidden="false" customHeight="true" outlineLevel="0" collapsed="false">
      <c r="A323" s="39"/>
      <c r="B323" s="40" t="s">
        <v>3161</v>
      </c>
      <c r="C323" s="41" t="s">
        <v>127</v>
      </c>
      <c r="D323" s="41" t="s">
        <v>737</v>
      </c>
      <c r="E323" s="42" t="n">
        <v>5800</v>
      </c>
      <c r="F323" s="42"/>
      <c r="G323" s="42" t="n">
        <v>250</v>
      </c>
      <c r="H323" s="43" t="n">
        <v>1</v>
      </c>
      <c r="I323" s="34" t="n">
        <f aca="false">E323*H323+N(F323)+N(G323)</f>
        <v>6050</v>
      </c>
      <c r="J323" s="42" t="n">
        <f aca="false">ROUND(IFERROR(ROUND(IF(OR(ISNUMBER(SEARCH("week",C323)),ISNUMBER(SEARCH("minggu",C323))),IFERROR(_xlfn.NUMBERVALUE(SUBSTITUTE(LEFT(TRIM(C323),FIND(" ",TRIM(C323)&amp;" ")-1),",","."),"."),LEFT(SUBSTITUTE(LEFT(TRIM(C323),FIND(" ",TRIM(C323)&amp;" ")-1),",","."),FIND("/",SUBSTITUTE(LEFT(TRIM(C323),FIND(" ",TRIM(C323)&amp;" ")-1),",","."))-1)/MID(SUBSTITUTE(LEFT(TRIM(C323),FIND(" ",TRIM(C323)&amp;" ")-1),",","."),FIND("/",SUBSTITUTE(LEFT(TRIM(C323),FIND(" ",TRIM(C323)&amp;" ")-1),",","."))+1,9))*12/52,IF(ISNUMBER(SEARCH("month",C323)),IFERROR(_xlfn.NUMBERVALUE(SUBSTITUTE(LEFT(TRIM(C323),FIND(" ",TRIM(C323)&amp;" ")-1),",","."),"."),LEFT(SUBSTITUTE(LEFT(TRIM(C323),FIND(" ",TRIM(C323)&amp;" ")-1),",","."),FIND("/",SUBSTITUTE(LEFT(TRIM(C323),FIND(" ",TRIM(C323)&amp;" ")-1),",","."))-1)/MID(SUBSTITUTE(LEFT(TRIM(C323),FIND(" ",TRIM(C323)&amp;" ")-1),",","."),FIND("/",SUBSTITUTE(LEFT(TRIM(C323),FIND(" ",TRIM(C323)&amp;" ")-1),",","."))+1,9)),IF(ISNUMBER(SEARCH("yea",C323)),IFERROR(_xlfn.NUMBERVALUE(SUBSTITUTE(LEFT(TRIM(C323),FIND(" ",TRIM(C323)&amp;" ")-1),",","."),"."),LEFT(SUBSTITUTE(LEFT(TRIM(C323),FIND(" ",TRIM(C323)&amp;" ")-1),",","."),FIND("/",SUBSTITUTE(LEFT(TRIM(C323),FIND(" ",TRIM(C323)&amp;" ")-1),",","."))-1)/MID(SUBSTITUTE(LEFT(TRIM(C323),FIND(" ",TRIM(C323)&amp;" ")-1),",","."),FIND("/",SUBSTITUTE(LEFT(TRIM(C323),FIND(" ",TRIM(C323)&amp;" ")-1),",","."))+1,9))*12,NA()))),0),36)*'Aturan &amp; Tarif'!$B$4,2)</f>
        <v>2044.08</v>
      </c>
      <c r="K323" s="42" t="n">
        <f aca="false">'Aturan &amp; Tarif'!$B$5</f>
        <v>2050</v>
      </c>
      <c r="L323" s="35" t="n">
        <f aca="false">I323+J323+K323</f>
        <v>10144.08</v>
      </c>
      <c r="M323" s="44" t="s">
        <v>3157</v>
      </c>
    </row>
    <row r="324" customFormat="false" ht="37.5" hidden="false" customHeight="true" outlineLevel="0" collapsed="false">
      <c r="A324" s="39"/>
      <c r="B324" s="40" t="s">
        <v>3162</v>
      </c>
      <c r="C324" s="41" t="s">
        <v>127</v>
      </c>
      <c r="D324" s="41" t="s">
        <v>737</v>
      </c>
      <c r="E324" s="42" t="n">
        <v>5800</v>
      </c>
      <c r="F324" s="42"/>
      <c r="G324" s="42" t="n">
        <v>250</v>
      </c>
      <c r="H324" s="43" t="n">
        <v>1</v>
      </c>
      <c r="I324" s="34" t="n">
        <f aca="false">E324*H324+N(F324)+N(G324)</f>
        <v>6050</v>
      </c>
      <c r="J324" s="42" t="n">
        <f aca="false">ROUND(IFERROR(ROUND(IF(OR(ISNUMBER(SEARCH("week",C324)),ISNUMBER(SEARCH("minggu",C324))),IFERROR(_xlfn.NUMBERVALUE(SUBSTITUTE(LEFT(TRIM(C324),FIND(" ",TRIM(C324)&amp;" ")-1),",","."),"."),LEFT(SUBSTITUTE(LEFT(TRIM(C324),FIND(" ",TRIM(C324)&amp;" ")-1),",","."),FIND("/",SUBSTITUTE(LEFT(TRIM(C324),FIND(" ",TRIM(C324)&amp;" ")-1),",","."))-1)/MID(SUBSTITUTE(LEFT(TRIM(C324),FIND(" ",TRIM(C324)&amp;" ")-1),",","."),FIND("/",SUBSTITUTE(LEFT(TRIM(C324),FIND(" ",TRIM(C324)&amp;" ")-1),",","."))+1,9))*12/52,IF(ISNUMBER(SEARCH("month",C324)),IFERROR(_xlfn.NUMBERVALUE(SUBSTITUTE(LEFT(TRIM(C324),FIND(" ",TRIM(C324)&amp;" ")-1),",","."),"."),LEFT(SUBSTITUTE(LEFT(TRIM(C324),FIND(" ",TRIM(C324)&amp;" ")-1),",","."),FIND("/",SUBSTITUTE(LEFT(TRIM(C324),FIND(" ",TRIM(C324)&amp;" ")-1),",","."))-1)/MID(SUBSTITUTE(LEFT(TRIM(C324),FIND(" ",TRIM(C324)&amp;" ")-1),",","."),FIND("/",SUBSTITUTE(LEFT(TRIM(C324),FIND(" ",TRIM(C324)&amp;" ")-1),",","."))+1,9)),IF(ISNUMBER(SEARCH("yea",C324)),IFERROR(_xlfn.NUMBERVALUE(SUBSTITUTE(LEFT(TRIM(C324),FIND(" ",TRIM(C324)&amp;" ")-1),",","."),"."),LEFT(SUBSTITUTE(LEFT(TRIM(C324),FIND(" ",TRIM(C324)&amp;" ")-1),",","."),FIND("/",SUBSTITUTE(LEFT(TRIM(C324),FIND(" ",TRIM(C324)&amp;" ")-1),",","."))-1)/MID(SUBSTITUTE(LEFT(TRIM(C324),FIND(" ",TRIM(C324)&amp;" ")-1),",","."),FIND("/",SUBSTITUTE(LEFT(TRIM(C324),FIND(" ",TRIM(C324)&amp;" ")-1),",","."))+1,9))*12,NA()))),0),36)*'Aturan &amp; Tarif'!$B$4,2)</f>
        <v>2044.08</v>
      </c>
      <c r="K324" s="42" t="n">
        <f aca="false">'Aturan &amp; Tarif'!$B$5</f>
        <v>2050</v>
      </c>
      <c r="L324" s="35" t="n">
        <f aca="false">I324+J324+K324</f>
        <v>10144.08</v>
      </c>
      <c r="M324" s="44" t="s">
        <v>3157</v>
      </c>
    </row>
    <row r="325" customFormat="false" ht="37.5" hidden="false" customHeight="true" outlineLevel="0" collapsed="false">
      <c r="A325" s="39"/>
      <c r="B325" s="40" t="s">
        <v>3163</v>
      </c>
      <c r="C325" s="41" t="s">
        <v>127</v>
      </c>
      <c r="D325" s="41" t="s">
        <v>737</v>
      </c>
      <c r="E325" s="42" t="n">
        <v>5800</v>
      </c>
      <c r="F325" s="42"/>
      <c r="G325" s="42" t="n">
        <v>250</v>
      </c>
      <c r="H325" s="43" t="n">
        <v>1</v>
      </c>
      <c r="I325" s="34" t="n">
        <f aca="false">E325*H325+N(F325)+N(G325)</f>
        <v>6050</v>
      </c>
      <c r="J325" s="42" t="n">
        <f aca="false">ROUND(IFERROR(ROUND(IF(OR(ISNUMBER(SEARCH("week",C325)),ISNUMBER(SEARCH("minggu",C325))),IFERROR(_xlfn.NUMBERVALUE(SUBSTITUTE(LEFT(TRIM(C325),FIND(" ",TRIM(C325)&amp;" ")-1),",","."),"."),LEFT(SUBSTITUTE(LEFT(TRIM(C325),FIND(" ",TRIM(C325)&amp;" ")-1),",","."),FIND("/",SUBSTITUTE(LEFT(TRIM(C325),FIND(" ",TRIM(C325)&amp;" ")-1),",","."))-1)/MID(SUBSTITUTE(LEFT(TRIM(C325),FIND(" ",TRIM(C325)&amp;" ")-1),",","."),FIND("/",SUBSTITUTE(LEFT(TRIM(C325),FIND(" ",TRIM(C325)&amp;" ")-1),",","."))+1,9))*12/52,IF(ISNUMBER(SEARCH("month",C325)),IFERROR(_xlfn.NUMBERVALUE(SUBSTITUTE(LEFT(TRIM(C325),FIND(" ",TRIM(C325)&amp;" ")-1),",","."),"."),LEFT(SUBSTITUTE(LEFT(TRIM(C325),FIND(" ",TRIM(C325)&amp;" ")-1),",","."),FIND("/",SUBSTITUTE(LEFT(TRIM(C325),FIND(" ",TRIM(C325)&amp;" ")-1),",","."))-1)/MID(SUBSTITUTE(LEFT(TRIM(C325),FIND(" ",TRIM(C325)&amp;" ")-1),",","."),FIND("/",SUBSTITUTE(LEFT(TRIM(C325),FIND(" ",TRIM(C325)&amp;" ")-1),",","."))+1,9)),IF(ISNUMBER(SEARCH("yea",C325)),IFERROR(_xlfn.NUMBERVALUE(SUBSTITUTE(LEFT(TRIM(C325),FIND(" ",TRIM(C325)&amp;" ")-1),",","."),"."),LEFT(SUBSTITUTE(LEFT(TRIM(C325),FIND(" ",TRIM(C325)&amp;" ")-1),",","."),FIND("/",SUBSTITUTE(LEFT(TRIM(C325),FIND(" ",TRIM(C325)&amp;" ")-1),",","."))-1)/MID(SUBSTITUTE(LEFT(TRIM(C325),FIND(" ",TRIM(C325)&amp;" ")-1),",","."),FIND("/",SUBSTITUTE(LEFT(TRIM(C325),FIND(" ",TRIM(C325)&amp;" ")-1),",","."))+1,9))*12,NA()))),0),36)*'Aturan &amp; Tarif'!$B$4,2)</f>
        <v>2044.08</v>
      </c>
      <c r="K325" s="42" t="n">
        <f aca="false">'Aturan &amp; Tarif'!$B$5</f>
        <v>2050</v>
      </c>
      <c r="L325" s="35" t="n">
        <f aca="false">I325+J325+K325</f>
        <v>10144.08</v>
      </c>
      <c r="M325" s="44" t="s">
        <v>3157</v>
      </c>
    </row>
    <row r="326" customFormat="false" ht="37.5" hidden="false" customHeight="true" outlineLevel="0" collapsed="false">
      <c r="A326" s="39"/>
      <c r="B326" s="40" t="s">
        <v>3164</v>
      </c>
      <c r="C326" s="41" t="s">
        <v>127</v>
      </c>
      <c r="D326" s="41" t="s">
        <v>737</v>
      </c>
      <c r="E326" s="42" t="n">
        <v>5800</v>
      </c>
      <c r="F326" s="42"/>
      <c r="G326" s="42" t="n">
        <v>250</v>
      </c>
      <c r="H326" s="43" t="n">
        <v>1</v>
      </c>
      <c r="I326" s="34" t="n">
        <f aca="false">E326*H326+N(F326)+N(G326)</f>
        <v>6050</v>
      </c>
      <c r="J326" s="42" t="n">
        <f aca="false">ROUND(IFERROR(ROUND(IF(OR(ISNUMBER(SEARCH("week",C326)),ISNUMBER(SEARCH("minggu",C326))),IFERROR(_xlfn.NUMBERVALUE(SUBSTITUTE(LEFT(TRIM(C326),FIND(" ",TRIM(C326)&amp;" ")-1),",","."),"."),LEFT(SUBSTITUTE(LEFT(TRIM(C326),FIND(" ",TRIM(C326)&amp;" ")-1),",","."),FIND("/",SUBSTITUTE(LEFT(TRIM(C326),FIND(" ",TRIM(C326)&amp;" ")-1),",","."))-1)/MID(SUBSTITUTE(LEFT(TRIM(C326),FIND(" ",TRIM(C326)&amp;" ")-1),",","."),FIND("/",SUBSTITUTE(LEFT(TRIM(C326),FIND(" ",TRIM(C326)&amp;" ")-1),",","."))+1,9))*12/52,IF(ISNUMBER(SEARCH("month",C326)),IFERROR(_xlfn.NUMBERVALUE(SUBSTITUTE(LEFT(TRIM(C326),FIND(" ",TRIM(C326)&amp;" ")-1),",","."),"."),LEFT(SUBSTITUTE(LEFT(TRIM(C326),FIND(" ",TRIM(C326)&amp;" ")-1),",","."),FIND("/",SUBSTITUTE(LEFT(TRIM(C326),FIND(" ",TRIM(C326)&amp;" ")-1),",","."))-1)/MID(SUBSTITUTE(LEFT(TRIM(C326),FIND(" ",TRIM(C326)&amp;" ")-1),",","."),FIND("/",SUBSTITUTE(LEFT(TRIM(C326),FIND(" ",TRIM(C326)&amp;" ")-1),",","."))+1,9)),IF(ISNUMBER(SEARCH("yea",C326)),IFERROR(_xlfn.NUMBERVALUE(SUBSTITUTE(LEFT(TRIM(C326),FIND(" ",TRIM(C326)&amp;" ")-1),",","."),"."),LEFT(SUBSTITUTE(LEFT(TRIM(C326),FIND(" ",TRIM(C326)&amp;" ")-1),",","."),FIND("/",SUBSTITUTE(LEFT(TRIM(C326),FIND(" ",TRIM(C326)&amp;" ")-1),",","."))-1)/MID(SUBSTITUTE(LEFT(TRIM(C326),FIND(" ",TRIM(C326)&amp;" ")-1),",","."),FIND("/",SUBSTITUTE(LEFT(TRIM(C326),FIND(" ",TRIM(C326)&amp;" ")-1),",","."))+1,9))*12,NA()))),0),36)*'Aturan &amp; Tarif'!$B$4,2)</f>
        <v>2044.08</v>
      </c>
      <c r="K326" s="42" t="n">
        <f aca="false">'Aturan &amp; Tarif'!$B$5</f>
        <v>2050</v>
      </c>
      <c r="L326" s="35" t="n">
        <f aca="false">I326+J326+K326</f>
        <v>10144.08</v>
      </c>
      <c r="M326" s="44" t="s">
        <v>3157</v>
      </c>
    </row>
    <row r="327" customFormat="false" ht="37.5" hidden="false" customHeight="true" outlineLevel="0" collapsed="false">
      <c r="A327" s="39"/>
      <c r="B327" s="40" t="s">
        <v>3165</v>
      </c>
      <c r="C327" s="41" t="s">
        <v>127</v>
      </c>
      <c r="D327" s="41" t="s">
        <v>737</v>
      </c>
      <c r="E327" s="42" t="n">
        <v>5800</v>
      </c>
      <c r="F327" s="42"/>
      <c r="G327" s="42" t="n">
        <v>250</v>
      </c>
      <c r="H327" s="43" t="n">
        <v>1</v>
      </c>
      <c r="I327" s="34" t="n">
        <f aca="false">E327*H327+N(F327)+N(G327)</f>
        <v>6050</v>
      </c>
      <c r="J327" s="42" t="n">
        <f aca="false">ROUND(IFERROR(ROUND(IF(OR(ISNUMBER(SEARCH("week",C327)),ISNUMBER(SEARCH("minggu",C327))),IFERROR(_xlfn.NUMBERVALUE(SUBSTITUTE(LEFT(TRIM(C327),FIND(" ",TRIM(C327)&amp;" ")-1),",","."),"."),LEFT(SUBSTITUTE(LEFT(TRIM(C327),FIND(" ",TRIM(C327)&amp;" ")-1),",","."),FIND("/",SUBSTITUTE(LEFT(TRIM(C327),FIND(" ",TRIM(C327)&amp;" ")-1),",","."))-1)/MID(SUBSTITUTE(LEFT(TRIM(C327),FIND(" ",TRIM(C327)&amp;" ")-1),",","."),FIND("/",SUBSTITUTE(LEFT(TRIM(C327),FIND(" ",TRIM(C327)&amp;" ")-1),",","."))+1,9))*12/52,IF(ISNUMBER(SEARCH("month",C327)),IFERROR(_xlfn.NUMBERVALUE(SUBSTITUTE(LEFT(TRIM(C327),FIND(" ",TRIM(C327)&amp;" ")-1),",","."),"."),LEFT(SUBSTITUTE(LEFT(TRIM(C327),FIND(" ",TRIM(C327)&amp;" ")-1),",","."),FIND("/",SUBSTITUTE(LEFT(TRIM(C327),FIND(" ",TRIM(C327)&amp;" ")-1),",","."))-1)/MID(SUBSTITUTE(LEFT(TRIM(C327),FIND(" ",TRIM(C327)&amp;" ")-1),",","."),FIND("/",SUBSTITUTE(LEFT(TRIM(C327),FIND(" ",TRIM(C327)&amp;" ")-1),",","."))+1,9)),IF(ISNUMBER(SEARCH("yea",C327)),IFERROR(_xlfn.NUMBERVALUE(SUBSTITUTE(LEFT(TRIM(C327),FIND(" ",TRIM(C327)&amp;" ")-1),",","."),"."),LEFT(SUBSTITUTE(LEFT(TRIM(C327),FIND(" ",TRIM(C327)&amp;" ")-1),",","."),FIND("/",SUBSTITUTE(LEFT(TRIM(C327),FIND(" ",TRIM(C327)&amp;" ")-1),",","."))-1)/MID(SUBSTITUTE(LEFT(TRIM(C327),FIND(" ",TRIM(C327)&amp;" ")-1),",","."),FIND("/",SUBSTITUTE(LEFT(TRIM(C327),FIND(" ",TRIM(C327)&amp;" ")-1),",","."))+1,9))*12,NA()))),0),36)*'Aturan &amp; Tarif'!$B$4,2)</f>
        <v>2044.08</v>
      </c>
      <c r="K327" s="42" t="n">
        <f aca="false">'Aturan &amp; Tarif'!$B$5</f>
        <v>2050</v>
      </c>
      <c r="L327" s="35" t="n">
        <f aca="false">I327+J327+K327</f>
        <v>10144.08</v>
      </c>
      <c r="M327" s="44" t="s">
        <v>3157</v>
      </c>
    </row>
    <row r="328" customFormat="false" ht="37.5" hidden="false" customHeight="true" outlineLevel="0" collapsed="false">
      <c r="A328" s="39"/>
      <c r="B328" s="40" t="s">
        <v>3166</v>
      </c>
      <c r="C328" s="41" t="s">
        <v>127</v>
      </c>
      <c r="D328" s="41" t="s">
        <v>737</v>
      </c>
      <c r="E328" s="42" t="n">
        <v>5800</v>
      </c>
      <c r="F328" s="42"/>
      <c r="G328" s="42" t="n">
        <v>250</v>
      </c>
      <c r="H328" s="43" t="n">
        <v>1</v>
      </c>
      <c r="I328" s="34" t="n">
        <f aca="false">E328*H328+N(F328)+N(G328)</f>
        <v>6050</v>
      </c>
      <c r="J328" s="42" t="n">
        <f aca="false">ROUND(IFERROR(ROUND(IF(OR(ISNUMBER(SEARCH("week",C328)),ISNUMBER(SEARCH("minggu",C328))),IFERROR(_xlfn.NUMBERVALUE(SUBSTITUTE(LEFT(TRIM(C328),FIND(" ",TRIM(C328)&amp;" ")-1),",","."),"."),LEFT(SUBSTITUTE(LEFT(TRIM(C328),FIND(" ",TRIM(C328)&amp;" ")-1),",","."),FIND("/",SUBSTITUTE(LEFT(TRIM(C328),FIND(" ",TRIM(C328)&amp;" ")-1),",","."))-1)/MID(SUBSTITUTE(LEFT(TRIM(C328),FIND(" ",TRIM(C328)&amp;" ")-1),",","."),FIND("/",SUBSTITUTE(LEFT(TRIM(C328),FIND(" ",TRIM(C328)&amp;" ")-1),",","."))+1,9))*12/52,IF(ISNUMBER(SEARCH("month",C328)),IFERROR(_xlfn.NUMBERVALUE(SUBSTITUTE(LEFT(TRIM(C328),FIND(" ",TRIM(C328)&amp;" ")-1),",","."),"."),LEFT(SUBSTITUTE(LEFT(TRIM(C328),FIND(" ",TRIM(C328)&amp;" ")-1),",","."),FIND("/",SUBSTITUTE(LEFT(TRIM(C328),FIND(" ",TRIM(C328)&amp;" ")-1),",","."))-1)/MID(SUBSTITUTE(LEFT(TRIM(C328),FIND(" ",TRIM(C328)&amp;" ")-1),",","."),FIND("/",SUBSTITUTE(LEFT(TRIM(C328),FIND(" ",TRIM(C328)&amp;" ")-1),",","."))+1,9)),IF(ISNUMBER(SEARCH("yea",C328)),IFERROR(_xlfn.NUMBERVALUE(SUBSTITUTE(LEFT(TRIM(C328),FIND(" ",TRIM(C328)&amp;" ")-1),",","."),"."),LEFT(SUBSTITUTE(LEFT(TRIM(C328),FIND(" ",TRIM(C328)&amp;" ")-1),",","."),FIND("/",SUBSTITUTE(LEFT(TRIM(C328),FIND(" ",TRIM(C328)&amp;" ")-1),",","."))-1)/MID(SUBSTITUTE(LEFT(TRIM(C328),FIND(" ",TRIM(C328)&amp;" ")-1),",","."),FIND("/",SUBSTITUTE(LEFT(TRIM(C328),FIND(" ",TRIM(C328)&amp;" ")-1),",","."))+1,9))*12,NA()))),0),36)*'Aturan &amp; Tarif'!$B$4,2)</f>
        <v>2044.08</v>
      </c>
      <c r="K328" s="42" t="n">
        <f aca="false">'Aturan &amp; Tarif'!$B$5</f>
        <v>2050</v>
      </c>
      <c r="L328" s="35" t="n">
        <f aca="false">I328+J328+K328</f>
        <v>10144.08</v>
      </c>
      <c r="M328" s="44" t="s">
        <v>3157</v>
      </c>
    </row>
    <row r="329" customFormat="false" ht="37.5" hidden="false" customHeight="true" outlineLevel="0" collapsed="false">
      <c r="A329" s="39"/>
      <c r="B329" s="40" t="s">
        <v>3167</v>
      </c>
      <c r="C329" s="41" t="s">
        <v>127</v>
      </c>
      <c r="D329" s="41" t="s">
        <v>737</v>
      </c>
      <c r="E329" s="42" t="n">
        <v>6400</v>
      </c>
      <c r="F329" s="42"/>
      <c r="G329" s="42" t="n">
        <v>250</v>
      </c>
      <c r="H329" s="43" t="n">
        <v>1</v>
      </c>
      <c r="I329" s="34" t="n">
        <f aca="false">E329*H329+N(F329)+N(G329)</f>
        <v>6650</v>
      </c>
      <c r="J329" s="42" t="n">
        <f aca="false">ROUND(IFERROR(ROUND(IF(OR(ISNUMBER(SEARCH("week",C329)),ISNUMBER(SEARCH("minggu",C329))),IFERROR(_xlfn.NUMBERVALUE(SUBSTITUTE(LEFT(TRIM(C329),FIND(" ",TRIM(C329)&amp;" ")-1),",","."),"."),LEFT(SUBSTITUTE(LEFT(TRIM(C329),FIND(" ",TRIM(C329)&amp;" ")-1),",","."),FIND("/",SUBSTITUTE(LEFT(TRIM(C329),FIND(" ",TRIM(C329)&amp;" ")-1),",","."))-1)/MID(SUBSTITUTE(LEFT(TRIM(C329),FIND(" ",TRIM(C329)&amp;" ")-1),",","."),FIND("/",SUBSTITUTE(LEFT(TRIM(C329),FIND(" ",TRIM(C329)&amp;" ")-1),",","."))+1,9))*12/52,IF(ISNUMBER(SEARCH("month",C329)),IFERROR(_xlfn.NUMBERVALUE(SUBSTITUTE(LEFT(TRIM(C329),FIND(" ",TRIM(C329)&amp;" ")-1),",","."),"."),LEFT(SUBSTITUTE(LEFT(TRIM(C329),FIND(" ",TRIM(C329)&amp;" ")-1),",","."),FIND("/",SUBSTITUTE(LEFT(TRIM(C329),FIND(" ",TRIM(C329)&amp;" ")-1),",","."))-1)/MID(SUBSTITUTE(LEFT(TRIM(C329),FIND(" ",TRIM(C329)&amp;" ")-1),",","."),FIND("/",SUBSTITUTE(LEFT(TRIM(C329),FIND(" ",TRIM(C329)&amp;" ")-1),",","."))+1,9)),IF(ISNUMBER(SEARCH("yea",C329)),IFERROR(_xlfn.NUMBERVALUE(SUBSTITUTE(LEFT(TRIM(C329),FIND(" ",TRIM(C329)&amp;" ")-1),",","."),"."),LEFT(SUBSTITUTE(LEFT(TRIM(C329),FIND(" ",TRIM(C329)&amp;" ")-1),",","."),FIND("/",SUBSTITUTE(LEFT(TRIM(C329),FIND(" ",TRIM(C329)&amp;" ")-1),",","."))-1)/MID(SUBSTITUTE(LEFT(TRIM(C329),FIND(" ",TRIM(C329)&amp;" ")-1),",","."),FIND("/",SUBSTITUTE(LEFT(TRIM(C329),FIND(" ",TRIM(C329)&amp;" ")-1),",","."))+1,9))*12,NA()))),0),36)*'Aturan &amp; Tarif'!$B$4,2)</f>
        <v>2044.08</v>
      </c>
      <c r="K329" s="42" t="n">
        <f aca="false">'Aturan &amp; Tarif'!$B$5</f>
        <v>2050</v>
      </c>
      <c r="L329" s="35" t="n">
        <f aca="false">I329+J329+K329</f>
        <v>10744.08</v>
      </c>
      <c r="M329" s="44" t="s">
        <v>3168</v>
      </c>
    </row>
    <row r="330" customFormat="false" ht="37.5" hidden="false" customHeight="true" outlineLevel="0" collapsed="false">
      <c r="A330" s="39"/>
      <c r="B330" s="40" t="s">
        <v>3169</v>
      </c>
      <c r="C330" s="41" t="s">
        <v>127</v>
      </c>
      <c r="D330" s="41" t="s">
        <v>737</v>
      </c>
      <c r="E330" s="42" t="n">
        <v>6400</v>
      </c>
      <c r="F330" s="42"/>
      <c r="G330" s="42" t="n">
        <v>250</v>
      </c>
      <c r="H330" s="43" t="n">
        <v>1</v>
      </c>
      <c r="I330" s="34" t="n">
        <f aca="false">E330*H330+N(F330)+N(G330)</f>
        <v>6650</v>
      </c>
      <c r="J330" s="42" t="n">
        <f aca="false">ROUND(IFERROR(ROUND(IF(OR(ISNUMBER(SEARCH("week",C330)),ISNUMBER(SEARCH("minggu",C330))),IFERROR(_xlfn.NUMBERVALUE(SUBSTITUTE(LEFT(TRIM(C330),FIND(" ",TRIM(C330)&amp;" ")-1),",","."),"."),LEFT(SUBSTITUTE(LEFT(TRIM(C330),FIND(" ",TRIM(C330)&amp;" ")-1),",","."),FIND("/",SUBSTITUTE(LEFT(TRIM(C330),FIND(" ",TRIM(C330)&amp;" ")-1),",","."))-1)/MID(SUBSTITUTE(LEFT(TRIM(C330),FIND(" ",TRIM(C330)&amp;" ")-1),",","."),FIND("/",SUBSTITUTE(LEFT(TRIM(C330),FIND(" ",TRIM(C330)&amp;" ")-1),",","."))+1,9))*12/52,IF(ISNUMBER(SEARCH("month",C330)),IFERROR(_xlfn.NUMBERVALUE(SUBSTITUTE(LEFT(TRIM(C330),FIND(" ",TRIM(C330)&amp;" ")-1),",","."),"."),LEFT(SUBSTITUTE(LEFT(TRIM(C330),FIND(" ",TRIM(C330)&amp;" ")-1),",","."),FIND("/",SUBSTITUTE(LEFT(TRIM(C330),FIND(" ",TRIM(C330)&amp;" ")-1),",","."))-1)/MID(SUBSTITUTE(LEFT(TRIM(C330),FIND(" ",TRIM(C330)&amp;" ")-1),",","."),FIND("/",SUBSTITUTE(LEFT(TRIM(C330),FIND(" ",TRIM(C330)&amp;" ")-1),",","."))+1,9)),IF(ISNUMBER(SEARCH("yea",C330)),IFERROR(_xlfn.NUMBERVALUE(SUBSTITUTE(LEFT(TRIM(C330),FIND(" ",TRIM(C330)&amp;" ")-1),",","."),"."),LEFT(SUBSTITUTE(LEFT(TRIM(C330),FIND(" ",TRIM(C330)&amp;" ")-1),",","."),FIND("/",SUBSTITUTE(LEFT(TRIM(C330),FIND(" ",TRIM(C330)&amp;" ")-1),",","."))-1)/MID(SUBSTITUTE(LEFT(TRIM(C330),FIND(" ",TRIM(C330)&amp;" ")-1),",","."),FIND("/",SUBSTITUTE(LEFT(TRIM(C330),FIND(" ",TRIM(C330)&amp;" ")-1),",","."))+1,9))*12,NA()))),0),36)*'Aturan &amp; Tarif'!$B$4,2)</f>
        <v>2044.08</v>
      </c>
      <c r="K330" s="42" t="n">
        <f aca="false">'Aturan &amp; Tarif'!$B$5</f>
        <v>2050</v>
      </c>
      <c r="L330" s="35" t="n">
        <f aca="false">I330+J330+K330</f>
        <v>10744.08</v>
      </c>
      <c r="M330" s="44" t="s">
        <v>3168</v>
      </c>
    </row>
    <row r="331" customFormat="false" ht="37.5" hidden="false" customHeight="true" outlineLevel="0" collapsed="false">
      <c r="A331" s="39"/>
      <c r="B331" s="40" t="s">
        <v>3170</v>
      </c>
      <c r="C331" s="41" t="s">
        <v>127</v>
      </c>
      <c r="D331" s="41" t="s">
        <v>737</v>
      </c>
      <c r="E331" s="42" t="n">
        <v>6400</v>
      </c>
      <c r="F331" s="42"/>
      <c r="G331" s="42" t="n">
        <v>250</v>
      </c>
      <c r="H331" s="43" t="n">
        <v>1</v>
      </c>
      <c r="I331" s="34" t="n">
        <f aca="false">E331*H331+N(F331)+N(G331)</f>
        <v>6650</v>
      </c>
      <c r="J331" s="42" t="n">
        <f aca="false">ROUND(IFERROR(ROUND(IF(OR(ISNUMBER(SEARCH("week",C331)),ISNUMBER(SEARCH("minggu",C331))),IFERROR(_xlfn.NUMBERVALUE(SUBSTITUTE(LEFT(TRIM(C331),FIND(" ",TRIM(C331)&amp;" ")-1),",","."),"."),LEFT(SUBSTITUTE(LEFT(TRIM(C331),FIND(" ",TRIM(C331)&amp;" ")-1),",","."),FIND("/",SUBSTITUTE(LEFT(TRIM(C331),FIND(" ",TRIM(C331)&amp;" ")-1),",","."))-1)/MID(SUBSTITUTE(LEFT(TRIM(C331),FIND(" ",TRIM(C331)&amp;" ")-1),",","."),FIND("/",SUBSTITUTE(LEFT(TRIM(C331),FIND(" ",TRIM(C331)&amp;" ")-1),",","."))+1,9))*12/52,IF(ISNUMBER(SEARCH("month",C331)),IFERROR(_xlfn.NUMBERVALUE(SUBSTITUTE(LEFT(TRIM(C331),FIND(" ",TRIM(C331)&amp;" ")-1),",","."),"."),LEFT(SUBSTITUTE(LEFT(TRIM(C331),FIND(" ",TRIM(C331)&amp;" ")-1),",","."),FIND("/",SUBSTITUTE(LEFT(TRIM(C331),FIND(" ",TRIM(C331)&amp;" ")-1),",","."))-1)/MID(SUBSTITUTE(LEFT(TRIM(C331),FIND(" ",TRIM(C331)&amp;" ")-1),",","."),FIND("/",SUBSTITUTE(LEFT(TRIM(C331),FIND(" ",TRIM(C331)&amp;" ")-1),",","."))+1,9)),IF(ISNUMBER(SEARCH("yea",C331)),IFERROR(_xlfn.NUMBERVALUE(SUBSTITUTE(LEFT(TRIM(C331),FIND(" ",TRIM(C331)&amp;" ")-1),",","."),"."),LEFT(SUBSTITUTE(LEFT(TRIM(C331),FIND(" ",TRIM(C331)&amp;" ")-1),",","."),FIND("/",SUBSTITUTE(LEFT(TRIM(C331),FIND(" ",TRIM(C331)&amp;" ")-1),",","."))-1)/MID(SUBSTITUTE(LEFT(TRIM(C331),FIND(" ",TRIM(C331)&amp;" ")-1),",","."),FIND("/",SUBSTITUTE(LEFT(TRIM(C331),FIND(" ",TRIM(C331)&amp;" ")-1),",","."))+1,9))*12,NA()))),0),36)*'Aturan &amp; Tarif'!$B$4,2)</f>
        <v>2044.08</v>
      </c>
      <c r="K331" s="42" t="n">
        <f aca="false">'Aturan &amp; Tarif'!$B$5</f>
        <v>2050</v>
      </c>
      <c r="L331" s="35" t="n">
        <f aca="false">I331+J331+K331</f>
        <v>10744.08</v>
      </c>
      <c r="M331" s="44" t="s">
        <v>3168</v>
      </c>
    </row>
    <row r="332" customFormat="false" ht="37.5" hidden="false" customHeight="true" outlineLevel="0" collapsed="false">
      <c r="A332" s="39"/>
      <c r="B332" s="40" t="s">
        <v>3171</v>
      </c>
      <c r="C332" s="41" t="s">
        <v>127</v>
      </c>
      <c r="D332" s="41" t="s">
        <v>737</v>
      </c>
      <c r="E332" s="42" t="n">
        <v>6400</v>
      </c>
      <c r="F332" s="42"/>
      <c r="G332" s="42" t="n">
        <v>250</v>
      </c>
      <c r="H332" s="43" t="n">
        <v>1</v>
      </c>
      <c r="I332" s="34" t="n">
        <f aca="false">E332*H332+N(F332)+N(G332)</f>
        <v>6650</v>
      </c>
      <c r="J332" s="42" t="n">
        <f aca="false">ROUND(IFERROR(ROUND(IF(OR(ISNUMBER(SEARCH("week",C332)),ISNUMBER(SEARCH("minggu",C332))),IFERROR(_xlfn.NUMBERVALUE(SUBSTITUTE(LEFT(TRIM(C332),FIND(" ",TRIM(C332)&amp;" ")-1),",","."),"."),LEFT(SUBSTITUTE(LEFT(TRIM(C332),FIND(" ",TRIM(C332)&amp;" ")-1),",","."),FIND("/",SUBSTITUTE(LEFT(TRIM(C332),FIND(" ",TRIM(C332)&amp;" ")-1),",","."))-1)/MID(SUBSTITUTE(LEFT(TRIM(C332),FIND(" ",TRIM(C332)&amp;" ")-1),",","."),FIND("/",SUBSTITUTE(LEFT(TRIM(C332),FIND(" ",TRIM(C332)&amp;" ")-1),",","."))+1,9))*12/52,IF(ISNUMBER(SEARCH("month",C332)),IFERROR(_xlfn.NUMBERVALUE(SUBSTITUTE(LEFT(TRIM(C332),FIND(" ",TRIM(C332)&amp;" ")-1),",","."),"."),LEFT(SUBSTITUTE(LEFT(TRIM(C332),FIND(" ",TRIM(C332)&amp;" ")-1),",","."),FIND("/",SUBSTITUTE(LEFT(TRIM(C332),FIND(" ",TRIM(C332)&amp;" ")-1),",","."))-1)/MID(SUBSTITUTE(LEFT(TRIM(C332),FIND(" ",TRIM(C332)&amp;" ")-1),",","."),FIND("/",SUBSTITUTE(LEFT(TRIM(C332),FIND(" ",TRIM(C332)&amp;" ")-1),",","."))+1,9)),IF(ISNUMBER(SEARCH("yea",C332)),IFERROR(_xlfn.NUMBERVALUE(SUBSTITUTE(LEFT(TRIM(C332),FIND(" ",TRIM(C332)&amp;" ")-1),",","."),"."),LEFT(SUBSTITUTE(LEFT(TRIM(C332),FIND(" ",TRIM(C332)&amp;" ")-1),",","."),FIND("/",SUBSTITUTE(LEFT(TRIM(C332),FIND(" ",TRIM(C332)&amp;" ")-1),",","."))-1)/MID(SUBSTITUTE(LEFT(TRIM(C332),FIND(" ",TRIM(C332)&amp;" ")-1),",","."),FIND("/",SUBSTITUTE(LEFT(TRIM(C332),FIND(" ",TRIM(C332)&amp;" ")-1),",","."))+1,9))*12,NA()))),0),36)*'Aturan &amp; Tarif'!$B$4,2)</f>
        <v>2044.08</v>
      </c>
      <c r="K332" s="42" t="n">
        <f aca="false">'Aturan &amp; Tarif'!$B$5</f>
        <v>2050</v>
      </c>
      <c r="L332" s="35" t="n">
        <f aca="false">I332+J332+K332</f>
        <v>10744.08</v>
      </c>
      <c r="M332" s="44" t="s">
        <v>3168</v>
      </c>
    </row>
    <row r="333" customFormat="false" ht="25.5" hidden="false" customHeight="true" outlineLevel="0" collapsed="false">
      <c r="A333" s="39"/>
      <c r="B333" s="40" t="s">
        <v>3172</v>
      </c>
      <c r="C333" s="41" t="s">
        <v>127</v>
      </c>
      <c r="D333" s="41" t="s">
        <v>737</v>
      </c>
      <c r="E333" s="42" t="n">
        <v>6400</v>
      </c>
      <c r="F333" s="42"/>
      <c r="G333" s="42" t="n">
        <v>250</v>
      </c>
      <c r="H333" s="43" t="n">
        <v>1</v>
      </c>
      <c r="I333" s="34" t="n">
        <f aca="false">E333*H333+N(F333)+N(G333)</f>
        <v>6650</v>
      </c>
      <c r="J333" s="42" t="n">
        <f aca="false">ROUND(IFERROR(ROUND(IF(OR(ISNUMBER(SEARCH("week",C333)),ISNUMBER(SEARCH("minggu",C333))),IFERROR(_xlfn.NUMBERVALUE(SUBSTITUTE(LEFT(TRIM(C333),FIND(" ",TRIM(C333)&amp;" ")-1),",","."),"."),LEFT(SUBSTITUTE(LEFT(TRIM(C333),FIND(" ",TRIM(C333)&amp;" ")-1),",","."),FIND("/",SUBSTITUTE(LEFT(TRIM(C333),FIND(" ",TRIM(C333)&amp;" ")-1),",","."))-1)/MID(SUBSTITUTE(LEFT(TRIM(C333),FIND(" ",TRIM(C333)&amp;" ")-1),",","."),FIND("/",SUBSTITUTE(LEFT(TRIM(C333),FIND(" ",TRIM(C333)&amp;" ")-1),",","."))+1,9))*12/52,IF(ISNUMBER(SEARCH("month",C333)),IFERROR(_xlfn.NUMBERVALUE(SUBSTITUTE(LEFT(TRIM(C333),FIND(" ",TRIM(C333)&amp;" ")-1),",","."),"."),LEFT(SUBSTITUTE(LEFT(TRIM(C333),FIND(" ",TRIM(C333)&amp;" ")-1),",","."),FIND("/",SUBSTITUTE(LEFT(TRIM(C333),FIND(" ",TRIM(C333)&amp;" ")-1),",","."))-1)/MID(SUBSTITUTE(LEFT(TRIM(C333),FIND(" ",TRIM(C333)&amp;" ")-1),",","."),FIND("/",SUBSTITUTE(LEFT(TRIM(C333),FIND(" ",TRIM(C333)&amp;" ")-1),",","."))+1,9)),IF(ISNUMBER(SEARCH("yea",C333)),IFERROR(_xlfn.NUMBERVALUE(SUBSTITUTE(LEFT(TRIM(C333),FIND(" ",TRIM(C333)&amp;" ")-1),",","."),"."),LEFT(SUBSTITUTE(LEFT(TRIM(C333),FIND(" ",TRIM(C333)&amp;" ")-1),",","."),FIND("/",SUBSTITUTE(LEFT(TRIM(C333),FIND(" ",TRIM(C333)&amp;" ")-1),",","."))-1)/MID(SUBSTITUTE(LEFT(TRIM(C333),FIND(" ",TRIM(C333)&amp;" ")-1),",","."),FIND("/",SUBSTITUTE(LEFT(TRIM(C333),FIND(" ",TRIM(C333)&amp;" ")-1),",","."))+1,9))*12,NA()))),0),36)*'Aturan &amp; Tarif'!$B$4,2)</f>
        <v>2044.08</v>
      </c>
      <c r="K333" s="42" t="n">
        <f aca="false">'Aturan &amp; Tarif'!$B$5</f>
        <v>2050</v>
      </c>
      <c r="L333" s="35" t="n">
        <f aca="false">I333+J333+K333</f>
        <v>10744.08</v>
      </c>
      <c r="M333" s="44" t="s">
        <v>3168</v>
      </c>
    </row>
    <row r="334" customFormat="false" ht="25.5" hidden="false" customHeight="true" outlineLevel="0" collapsed="false">
      <c r="A334" s="39"/>
      <c r="B334" s="40" t="s">
        <v>3173</v>
      </c>
      <c r="C334" s="41" t="s">
        <v>107</v>
      </c>
      <c r="D334" s="41" t="s">
        <v>737</v>
      </c>
      <c r="E334" s="42" t="n">
        <v>7000</v>
      </c>
      <c r="F334" s="42"/>
      <c r="G334" s="42" t="n">
        <v>250</v>
      </c>
      <c r="H334" s="43" t="n">
        <v>1</v>
      </c>
      <c r="I334" s="34" t="n">
        <f aca="false">E334*H334+N(F334)+N(G334)</f>
        <v>7250</v>
      </c>
      <c r="J334" s="42" t="n">
        <f aca="false">ROUND(IFERROR(ROUND(IF(OR(ISNUMBER(SEARCH("week",C334)),ISNUMBER(SEARCH("minggu",C334))),IFERROR(_xlfn.NUMBERVALUE(SUBSTITUTE(LEFT(TRIM(C334),FIND(" ",TRIM(C334)&amp;" ")-1),",","."),"."),LEFT(SUBSTITUTE(LEFT(TRIM(C334),FIND(" ",TRIM(C334)&amp;" ")-1),",","."),FIND("/",SUBSTITUTE(LEFT(TRIM(C334),FIND(" ",TRIM(C334)&amp;" ")-1),",","."))-1)/MID(SUBSTITUTE(LEFT(TRIM(C334),FIND(" ",TRIM(C334)&amp;" ")-1),",","."),FIND("/",SUBSTITUTE(LEFT(TRIM(C334),FIND(" ",TRIM(C334)&amp;" ")-1),",","."))+1,9))*12/52,IF(ISNUMBER(SEARCH("month",C334)),IFERROR(_xlfn.NUMBERVALUE(SUBSTITUTE(LEFT(TRIM(C334),FIND(" ",TRIM(C334)&amp;" ")-1),",","."),"."),LEFT(SUBSTITUTE(LEFT(TRIM(C334),FIND(" ",TRIM(C334)&amp;" ")-1),",","."),FIND("/",SUBSTITUTE(LEFT(TRIM(C334),FIND(" ",TRIM(C334)&amp;" ")-1),",","."))-1)/MID(SUBSTITUTE(LEFT(TRIM(C334),FIND(" ",TRIM(C334)&amp;" ")-1),",","."),FIND("/",SUBSTITUTE(LEFT(TRIM(C334),FIND(" ",TRIM(C334)&amp;" ")-1),",","."))+1,9)),IF(ISNUMBER(SEARCH("yea",C334)),IFERROR(_xlfn.NUMBERVALUE(SUBSTITUTE(LEFT(TRIM(C334),FIND(" ",TRIM(C334)&amp;" ")-1),",","."),"."),LEFT(SUBSTITUTE(LEFT(TRIM(C334),FIND(" ",TRIM(C334)&amp;" ")-1),",","."),FIND("/",SUBSTITUTE(LEFT(TRIM(C334),FIND(" ",TRIM(C334)&amp;" ")-1),",","."))-1)/MID(SUBSTITUTE(LEFT(TRIM(C334),FIND(" ",TRIM(C334)&amp;" ")-1),",","."),FIND("/",SUBSTITUTE(LEFT(TRIM(C334),FIND(" ",TRIM(C334)&amp;" ")-1),",","."))+1,9))*12,NA()))),0),24)*'Aturan &amp; Tarif'!$B$4,2)</f>
        <v>1362.72</v>
      </c>
      <c r="K334" s="42" t="n">
        <f aca="false">'Aturan &amp; Tarif'!$B$5</f>
        <v>2050</v>
      </c>
      <c r="L334" s="35" t="n">
        <f aca="false">I334+J334+K334</f>
        <v>10662.72</v>
      </c>
      <c r="M334" s="44" t="s">
        <v>3174</v>
      </c>
    </row>
    <row r="335" customFormat="false" ht="21.75" hidden="false" customHeight="true" outlineLevel="0" collapsed="false">
      <c r="A335" s="39"/>
      <c r="B335" s="40" t="s">
        <v>3175</v>
      </c>
      <c r="C335" s="41" t="s">
        <v>107</v>
      </c>
      <c r="D335" s="41" t="s">
        <v>737</v>
      </c>
      <c r="E335" s="42" t="n">
        <v>7000</v>
      </c>
      <c r="F335" s="42"/>
      <c r="G335" s="42" t="n">
        <v>250</v>
      </c>
      <c r="H335" s="43" t="n">
        <v>1</v>
      </c>
      <c r="I335" s="34" t="n">
        <f aca="false">E335*H335+N(F335)+N(G335)</f>
        <v>7250</v>
      </c>
      <c r="J335" s="42" t="n">
        <f aca="false">ROUND(IFERROR(ROUND(IF(OR(ISNUMBER(SEARCH("week",C335)),ISNUMBER(SEARCH("minggu",C335))),IFERROR(_xlfn.NUMBERVALUE(SUBSTITUTE(LEFT(TRIM(C335),FIND(" ",TRIM(C335)&amp;" ")-1),",","."),"."),LEFT(SUBSTITUTE(LEFT(TRIM(C335),FIND(" ",TRIM(C335)&amp;" ")-1),",","."),FIND("/",SUBSTITUTE(LEFT(TRIM(C335),FIND(" ",TRIM(C335)&amp;" ")-1),",","."))-1)/MID(SUBSTITUTE(LEFT(TRIM(C335),FIND(" ",TRIM(C335)&amp;" ")-1),",","."),FIND("/",SUBSTITUTE(LEFT(TRIM(C335),FIND(" ",TRIM(C335)&amp;" ")-1),",","."))+1,9))*12/52,IF(ISNUMBER(SEARCH("month",C335)),IFERROR(_xlfn.NUMBERVALUE(SUBSTITUTE(LEFT(TRIM(C335),FIND(" ",TRIM(C335)&amp;" ")-1),",","."),"."),LEFT(SUBSTITUTE(LEFT(TRIM(C335),FIND(" ",TRIM(C335)&amp;" ")-1),",","."),FIND("/",SUBSTITUTE(LEFT(TRIM(C335),FIND(" ",TRIM(C335)&amp;" ")-1),",","."))-1)/MID(SUBSTITUTE(LEFT(TRIM(C335),FIND(" ",TRIM(C335)&amp;" ")-1),",","."),FIND("/",SUBSTITUTE(LEFT(TRIM(C335),FIND(" ",TRIM(C335)&amp;" ")-1),",","."))+1,9)),IF(ISNUMBER(SEARCH("yea",C335)),IFERROR(_xlfn.NUMBERVALUE(SUBSTITUTE(LEFT(TRIM(C335),FIND(" ",TRIM(C335)&amp;" ")-1),",","."),"."),LEFT(SUBSTITUTE(LEFT(TRIM(C335),FIND(" ",TRIM(C335)&amp;" ")-1),",","."),FIND("/",SUBSTITUTE(LEFT(TRIM(C335),FIND(" ",TRIM(C335)&amp;" ")-1),",","."))-1)/MID(SUBSTITUTE(LEFT(TRIM(C335),FIND(" ",TRIM(C335)&amp;" ")-1),",","."),FIND("/",SUBSTITUTE(LEFT(TRIM(C335),FIND(" ",TRIM(C335)&amp;" ")-1),",","."))+1,9))*12,NA()))),0),24)*'Aturan &amp; Tarif'!$B$4,2)</f>
        <v>1362.72</v>
      </c>
      <c r="K335" s="42" t="n">
        <f aca="false">'Aturan &amp; Tarif'!$B$5</f>
        <v>2050</v>
      </c>
      <c r="L335" s="35" t="n">
        <f aca="false">I335+J335+K335</f>
        <v>10662.72</v>
      </c>
      <c r="M335" s="44" t="s">
        <v>3174</v>
      </c>
    </row>
    <row r="336" customFormat="false" ht="25.5" hidden="false" customHeight="true" outlineLevel="0" collapsed="false">
      <c r="A336" s="29" t="s">
        <v>2854</v>
      </c>
      <c r="B336" s="30" t="s">
        <v>2855</v>
      </c>
      <c r="C336" s="31" t="s">
        <v>127</v>
      </c>
      <c r="D336" s="31" t="s">
        <v>108</v>
      </c>
      <c r="E336" s="32" t="n">
        <v>4000</v>
      </c>
      <c r="F336" s="32" t="n">
        <v>500</v>
      </c>
      <c r="G336" s="32" t="n">
        <v>250</v>
      </c>
      <c r="H336" s="33" t="n">
        <v>2</v>
      </c>
      <c r="I336" s="34" t="n">
        <f aca="false">E336*H336+N(F336)+N(G336)</f>
        <v>8750</v>
      </c>
      <c r="J336" s="32" t="n">
        <f aca="false">ROUND(IFERROR(ROUND(IF(OR(ISNUMBER(SEARCH("week",C336)),ISNUMBER(SEARCH("minggu",C336))),IFERROR(_xlfn.NUMBERVALUE(SUBSTITUTE(LEFT(TRIM(C336),FIND(" ",TRIM(C336)&amp;" ")-1),",","."),"."),LEFT(SUBSTITUTE(LEFT(TRIM(C336),FIND(" ",TRIM(C336)&amp;" ")-1),",","."),FIND("/",SUBSTITUTE(LEFT(TRIM(C336),FIND(" ",TRIM(C336)&amp;" ")-1),",","."))-1)/MID(SUBSTITUTE(LEFT(TRIM(C336),FIND(" ",TRIM(C336)&amp;" ")-1),",","."),FIND("/",SUBSTITUTE(LEFT(TRIM(C336),FIND(" ",TRIM(C336)&amp;" ")-1),",","."))+1,9))*12/52,IF(ISNUMBER(SEARCH("month",C336)),IFERROR(_xlfn.NUMBERVALUE(SUBSTITUTE(LEFT(TRIM(C336),FIND(" ",TRIM(C336)&amp;" ")-1),",","."),"."),LEFT(SUBSTITUTE(LEFT(TRIM(C336),FIND(" ",TRIM(C336)&amp;" ")-1),",","."),FIND("/",SUBSTITUTE(LEFT(TRIM(C336),FIND(" ",TRIM(C336)&amp;" ")-1),",","."))-1)/MID(SUBSTITUTE(LEFT(TRIM(C336),FIND(" ",TRIM(C336)&amp;" ")-1),",","."),FIND("/",SUBSTITUTE(LEFT(TRIM(C336),FIND(" ",TRIM(C336)&amp;" ")-1),",","."))+1,9)),IF(ISNUMBER(SEARCH("yea",C336)),IFERROR(_xlfn.NUMBERVALUE(SUBSTITUTE(LEFT(TRIM(C336),FIND(" ",TRIM(C336)&amp;" ")-1),",","."),"."),LEFT(SUBSTITUTE(LEFT(TRIM(C336),FIND(" ",TRIM(C336)&amp;" ")-1),",","."),FIND("/",SUBSTITUTE(LEFT(TRIM(C336),FIND(" ",TRIM(C336)&amp;" ")-1),",","."))-1)/MID(SUBSTITUTE(LEFT(TRIM(C336),FIND(" ",TRIM(C336)&amp;" ")-1),",","."),FIND("/",SUBSTITUTE(LEFT(TRIM(C336),FIND(" ",TRIM(C336)&amp;" ")-1),",","."))+1,9))*12,NA()))),0),36)*'Aturan &amp; Tarif'!$B$4,2)</f>
        <v>2044.08</v>
      </c>
      <c r="K336" s="32" t="n">
        <f aca="false">'Aturan &amp; Tarif'!$B$5</f>
        <v>2050</v>
      </c>
      <c r="L336" s="35" t="n">
        <f aca="false">I336+J336+K336</f>
        <v>12844.08</v>
      </c>
      <c r="M336" s="37" t="s">
        <v>134</v>
      </c>
    </row>
    <row r="337" customFormat="false" ht="37.5" hidden="false" customHeight="true" outlineLevel="0" collapsed="false">
      <c r="A337" s="29"/>
      <c r="B337" s="30" t="s">
        <v>2856</v>
      </c>
      <c r="C337" s="31" t="s">
        <v>130</v>
      </c>
      <c r="D337" s="31" t="s">
        <v>108</v>
      </c>
      <c r="E337" s="32" t="n">
        <v>4875</v>
      </c>
      <c r="F337" s="32" t="n">
        <v>500</v>
      </c>
      <c r="G337" s="32" t="n">
        <v>250</v>
      </c>
      <c r="H337" s="33" t="n">
        <v>2</v>
      </c>
      <c r="I337" s="34" t="n">
        <f aca="false">E337*H337+N(F337)+N(G337)</f>
        <v>10500</v>
      </c>
      <c r="J337" s="32" t="n">
        <f aca="false">ROUND(IFERROR(ROUND(IF(OR(ISNUMBER(SEARCH("week",C337)),ISNUMBER(SEARCH("minggu",C337))),IFERROR(_xlfn.NUMBERVALUE(SUBSTITUTE(LEFT(TRIM(C337),FIND(" ",TRIM(C337)&amp;" ")-1),",","."),"."),LEFT(SUBSTITUTE(LEFT(TRIM(C337),FIND(" ",TRIM(C337)&amp;" ")-1),",","."),FIND("/",SUBSTITUTE(LEFT(TRIM(C337),FIND(" ",TRIM(C337)&amp;" ")-1),",","."))-1)/MID(SUBSTITUTE(LEFT(TRIM(C337),FIND(" ",TRIM(C337)&amp;" ")-1),",","."),FIND("/",SUBSTITUTE(LEFT(TRIM(C337),FIND(" ",TRIM(C337)&amp;" ")-1),",","."))+1,9))*12/52,IF(ISNUMBER(SEARCH("month",C337)),IFERROR(_xlfn.NUMBERVALUE(SUBSTITUTE(LEFT(TRIM(C337),FIND(" ",TRIM(C337)&amp;" ")-1),",","."),"."),LEFT(SUBSTITUTE(LEFT(TRIM(C337),FIND(" ",TRIM(C337)&amp;" ")-1),",","."),FIND("/",SUBSTITUTE(LEFT(TRIM(C337),FIND(" ",TRIM(C337)&amp;" ")-1),",","."))-1)/MID(SUBSTITUTE(LEFT(TRIM(C337),FIND(" ",TRIM(C337)&amp;" ")-1),",","."),FIND("/",SUBSTITUTE(LEFT(TRIM(C337),FIND(" ",TRIM(C337)&amp;" ")-1),",","."))+1,9)),IF(ISNUMBER(SEARCH("yea",C337)),IFERROR(_xlfn.NUMBERVALUE(SUBSTITUTE(LEFT(TRIM(C337),FIND(" ",TRIM(C337)&amp;" ")-1),",","."),"."),LEFT(SUBSTITUTE(LEFT(TRIM(C337),FIND(" ",TRIM(C337)&amp;" ")-1),",","."),FIND("/",SUBSTITUTE(LEFT(TRIM(C337),FIND(" ",TRIM(C337)&amp;" ")-1),",","."))-1)/MID(SUBSTITUTE(LEFT(TRIM(C337),FIND(" ",TRIM(C337)&amp;" ")-1),",","."),FIND("/",SUBSTITUTE(LEFT(TRIM(C337),FIND(" ",TRIM(C337)&amp;" ")-1),",","."))+1,9))*12,NA()))),0),12)*'Aturan &amp; Tarif'!$B$4,2)</f>
        <v>681.36</v>
      </c>
      <c r="K337" s="32" t="n">
        <f aca="false">'Aturan &amp; Tarif'!$B$5</f>
        <v>2050</v>
      </c>
      <c r="L337" s="35" t="n">
        <f aca="false">I337+J337+K337</f>
        <v>13231.36</v>
      </c>
      <c r="M337" s="37" t="s">
        <v>134</v>
      </c>
    </row>
    <row r="338" customFormat="false" ht="14.25" hidden="false" customHeight="true" outlineLevel="0" collapsed="false">
      <c r="A338" s="39" t="s">
        <v>3356</v>
      </c>
      <c r="B338" s="40" t="s">
        <v>983</v>
      </c>
      <c r="C338" s="41" t="s">
        <v>113</v>
      </c>
      <c r="D338" s="41" t="s">
        <v>108</v>
      </c>
      <c r="E338" s="42" t="n">
        <v>6997.5</v>
      </c>
      <c r="F338" s="42"/>
      <c r="G338" s="42" t="n">
        <v>250</v>
      </c>
      <c r="H338" s="43" t="n">
        <v>2</v>
      </c>
      <c r="I338" s="34" t="n">
        <f aca="false">E338*H338+N(F338)+N(G338)</f>
        <v>14245</v>
      </c>
      <c r="J338" s="42" t="n">
        <f aca="false">ROUND(IFERROR(ROUND(IF(OR(ISNUMBER(SEARCH("week",C338)),ISNUMBER(SEARCH("minggu",C338))),IFERROR(_xlfn.NUMBERVALUE(SUBSTITUTE(LEFT(TRIM(C338),FIND(" ",TRIM(C338)&amp;" ")-1),",","."),"."),LEFT(SUBSTITUTE(LEFT(TRIM(C338),FIND(" ",TRIM(C338)&amp;" ")-1),",","."),FIND("/",SUBSTITUTE(LEFT(TRIM(C338),FIND(" ",TRIM(C338)&amp;" ")-1),",","."))-1)/MID(SUBSTITUTE(LEFT(TRIM(C338),FIND(" ",TRIM(C338)&amp;" ")-1),",","."),FIND("/",SUBSTITUTE(LEFT(TRIM(C338),FIND(" ",TRIM(C338)&amp;" ")-1),",","."))+1,9))*12/52,IF(ISNUMBER(SEARCH("month",C338)),IFERROR(_xlfn.NUMBERVALUE(SUBSTITUTE(LEFT(TRIM(C338),FIND(" ",TRIM(C338)&amp;" ")-1),",","."),"."),LEFT(SUBSTITUTE(LEFT(TRIM(C338),FIND(" ",TRIM(C338)&amp;" ")-1),",","."),FIND("/",SUBSTITUTE(LEFT(TRIM(C338),FIND(" ",TRIM(C338)&amp;" ")-1),",","."))-1)/MID(SUBSTITUTE(LEFT(TRIM(C338),FIND(" ",TRIM(C338)&amp;" ")-1),",","."),FIND("/",SUBSTITUTE(LEFT(TRIM(C338),FIND(" ",TRIM(C338)&amp;" ")-1),",","."))+1,9)),IF(ISNUMBER(SEARCH("yea",C338)),IFERROR(_xlfn.NUMBERVALUE(SUBSTITUTE(LEFT(TRIM(C338),FIND(" ",TRIM(C338)&amp;" ")-1),",","."),"."),LEFT(SUBSTITUTE(LEFT(TRIM(C338),FIND(" ",TRIM(C338)&amp;" ")-1),",","."),FIND("/",SUBSTITUTE(LEFT(TRIM(C338),FIND(" ",TRIM(C338)&amp;" ")-1),",","."))-1)/MID(SUBSTITUTE(LEFT(TRIM(C338),FIND(" ",TRIM(C338)&amp;" ")-1),",","."),FIND("/",SUBSTITUTE(LEFT(TRIM(C338),FIND(" ",TRIM(C338)&amp;" ")-1),",","."))+1,9))*12,NA()))),0),18)*'Aturan &amp; Tarif'!$B$4,2)</f>
        <v>1022.04</v>
      </c>
      <c r="K338" s="42" t="n">
        <f aca="false">'Aturan &amp; Tarif'!$B$5</f>
        <v>2050</v>
      </c>
      <c r="L338" s="35" t="n">
        <f aca="false">I338+J338+K338</f>
        <v>17317.04</v>
      </c>
      <c r="M338" s="45" t="s">
        <v>1643</v>
      </c>
    </row>
    <row r="339" customFormat="false" ht="25.5" hidden="false" customHeight="true" outlineLevel="0" collapsed="false">
      <c r="A339" s="39"/>
      <c r="B339" s="40" t="s">
        <v>985</v>
      </c>
      <c r="C339" s="41" t="s">
        <v>344</v>
      </c>
      <c r="D339" s="41" t="s">
        <v>108</v>
      </c>
      <c r="E339" s="42" t="n">
        <v>6737</v>
      </c>
      <c r="F339" s="42"/>
      <c r="G339" s="42" t="n">
        <v>250</v>
      </c>
      <c r="H339" s="43" t="n">
        <v>2</v>
      </c>
      <c r="I339" s="34" t="n">
        <f aca="false">E339*H339+N(F339)+N(G339)</f>
        <v>13724</v>
      </c>
      <c r="J339" s="42" t="n">
        <f aca="false">ROUND(IFERROR(ROUND(IF(OR(ISNUMBER(SEARCH("week",C339)),ISNUMBER(SEARCH("minggu",C339))),IFERROR(_xlfn.NUMBERVALUE(SUBSTITUTE(LEFT(TRIM(C339),FIND(" ",TRIM(C339)&amp;" ")-1),",","."),"."),LEFT(SUBSTITUTE(LEFT(TRIM(C339),FIND(" ",TRIM(C339)&amp;" ")-1),",","."),FIND("/",SUBSTITUTE(LEFT(TRIM(C339),FIND(" ",TRIM(C339)&amp;" ")-1),",","."))-1)/MID(SUBSTITUTE(LEFT(TRIM(C339),FIND(" ",TRIM(C339)&amp;" ")-1),",","."),FIND("/",SUBSTITUTE(LEFT(TRIM(C339),FIND(" ",TRIM(C339)&amp;" ")-1),",","."))+1,9))*12/52,IF(ISNUMBER(SEARCH("month",C339)),IFERROR(_xlfn.NUMBERVALUE(SUBSTITUTE(LEFT(TRIM(C339),FIND(" ",TRIM(C339)&amp;" ")-1),",","."),"."),LEFT(SUBSTITUTE(LEFT(TRIM(C339),FIND(" ",TRIM(C339)&amp;" ")-1),",","."),FIND("/",SUBSTITUTE(LEFT(TRIM(C339),FIND(" ",TRIM(C339)&amp;" ")-1),",","."))-1)/MID(SUBSTITUTE(LEFT(TRIM(C339),FIND(" ",TRIM(C339)&amp;" ")-1),",","."),FIND("/",SUBSTITUTE(LEFT(TRIM(C339),FIND(" ",TRIM(C339)&amp;" ")-1),",","."))+1,9)),IF(ISNUMBER(SEARCH("yea",C339)),IFERROR(_xlfn.NUMBERVALUE(SUBSTITUTE(LEFT(TRIM(C339),FIND(" ",TRIM(C339)&amp;" ")-1),",","."),"."),LEFT(SUBSTITUTE(LEFT(TRIM(C339),FIND(" ",TRIM(C339)&amp;" ")-1),",","."),FIND("/",SUBSTITUTE(LEFT(TRIM(C339),FIND(" ",TRIM(C339)&amp;" ")-1),",","."))-1)/MID(SUBSTITUTE(LEFT(TRIM(C339),FIND(" ",TRIM(C339)&amp;" ")-1),",","."),FIND("/",SUBSTITUTE(LEFT(TRIM(C339),FIND(" ",TRIM(C339)&amp;" ")-1),",","."))+1,9))*12,NA()))),0),6)*'Aturan &amp; Tarif'!$B$4,2)</f>
        <v>340.68</v>
      </c>
      <c r="K339" s="42" t="n">
        <f aca="false">'Aturan &amp; Tarif'!$B$5</f>
        <v>2050</v>
      </c>
      <c r="L339" s="35" t="n">
        <f aca="false">I339+J339+K339</f>
        <v>16114.68</v>
      </c>
      <c r="M339" s="45" t="s">
        <v>1644</v>
      </c>
    </row>
    <row r="340" customFormat="false" ht="60" hidden="false" customHeight="true" outlineLevel="0" collapsed="false">
      <c r="A340" s="39"/>
      <c r="B340" s="40" t="s">
        <v>987</v>
      </c>
      <c r="C340" s="41" t="s">
        <v>344</v>
      </c>
      <c r="D340" s="41" t="s">
        <v>108</v>
      </c>
      <c r="E340" s="42" t="n">
        <v>7298.5</v>
      </c>
      <c r="F340" s="42"/>
      <c r="G340" s="42" t="n">
        <v>250</v>
      </c>
      <c r="H340" s="43" t="n">
        <v>2</v>
      </c>
      <c r="I340" s="34" t="n">
        <f aca="false">E340*H340+N(F340)+N(G340)</f>
        <v>14847</v>
      </c>
      <c r="J340" s="42" t="n">
        <f aca="false">ROUND(IFERROR(ROUND(IF(OR(ISNUMBER(SEARCH("week",C340)),ISNUMBER(SEARCH("minggu",C340))),IFERROR(_xlfn.NUMBERVALUE(SUBSTITUTE(LEFT(TRIM(C340),FIND(" ",TRIM(C340)&amp;" ")-1),",","."),"."),LEFT(SUBSTITUTE(LEFT(TRIM(C340),FIND(" ",TRIM(C340)&amp;" ")-1),",","."),FIND("/",SUBSTITUTE(LEFT(TRIM(C340),FIND(" ",TRIM(C340)&amp;" ")-1),",","."))-1)/MID(SUBSTITUTE(LEFT(TRIM(C340),FIND(" ",TRIM(C340)&amp;" ")-1),",","."),FIND("/",SUBSTITUTE(LEFT(TRIM(C340),FIND(" ",TRIM(C340)&amp;" ")-1),",","."))+1,9))*12/52,IF(ISNUMBER(SEARCH("month",C340)),IFERROR(_xlfn.NUMBERVALUE(SUBSTITUTE(LEFT(TRIM(C340),FIND(" ",TRIM(C340)&amp;" ")-1),",","."),"."),LEFT(SUBSTITUTE(LEFT(TRIM(C340),FIND(" ",TRIM(C340)&amp;" ")-1),",","."),FIND("/",SUBSTITUTE(LEFT(TRIM(C340),FIND(" ",TRIM(C340)&amp;" ")-1),",","."))-1)/MID(SUBSTITUTE(LEFT(TRIM(C340),FIND(" ",TRIM(C340)&amp;" ")-1),",","."),FIND("/",SUBSTITUTE(LEFT(TRIM(C340),FIND(" ",TRIM(C340)&amp;" ")-1),",","."))+1,9)),IF(ISNUMBER(SEARCH("yea",C340)),IFERROR(_xlfn.NUMBERVALUE(SUBSTITUTE(LEFT(TRIM(C340),FIND(" ",TRIM(C340)&amp;" ")-1),",","."),"."),LEFT(SUBSTITUTE(LEFT(TRIM(C340),FIND(" ",TRIM(C340)&amp;" ")-1),",","."),FIND("/",SUBSTITUTE(LEFT(TRIM(C340),FIND(" ",TRIM(C340)&amp;" ")-1),",","."))-1)/MID(SUBSTITUTE(LEFT(TRIM(C340),FIND(" ",TRIM(C340)&amp;" ")-1),",","."),FIND("/",SUBSTITUTE(LEFT(TRIM(C340),FIND(" ",TRIM(C340)&amp;" ")-1),",","."))+1,9))*12,NA()))),0),6)*'Aturan &amp; Tarif'!$B$4,2)</f>
        <v>340.68</v>
      </c>
      <c r="K340" s="42" t="n">
        <f aca="false">'Aturan &amp; Tarif'!$B$5</f>
        <v>2050</v>
      </c>
      <c r="L340" s="35" t="n">
        <f aca="false">I340+J340+K340</f>
        <v>17237.68</v>
      </c>
      <c r="M340" s="45" t="s">
        <v>1644</v>
      </c>
    </row>
    <row r="341" customFormat="false" ht="14.25" hidden="false" customHeight="true" outlineLevel="0" collapsed="false">
      <c r="A341" s="39"/>
      <c r="B341" s="40" t="s">
        <v>988</v>
      </c>
      <c r="C341" s="41" t="s">
        <v>138</v>
      </c>
      <c r="D341" s="41" t="s">
        <v>108</v>
      </c>
      <c r="E341" s="42" t="n">
        <v>7005.6</v>
      </c>
      <c r="F341" s="42"/>
      <c r="G341" s="42" t="n">
        <v>250</v>
      </c>
      <c r="H341" s="43" t="n">
        <v>2</v>
      </c>
      <c r="I341" s="34" t="n">
        <f aca="false">E341*H341+N(F341)+N(G341)</f>
        <v>14261.2</v>
      </c>
      <c r="J341" s="42" t="n">
        <f aca="false">ROUND(IFERROR(ROUND(IF(OR(ISNUMBER(SEARCH("week",C341)),ISNUMBER(SEARCH("minggu",C341))),IFERROR(_xlfn.NUMBERVALUE(SUBSTITUTE(LEFT(TRIM(C341),FIND(" ",TRIM(C341)&amp;" ")-1),",","."),"."),LEFT(SUBSTITUTE(LEFT(TRIM(C341),FIND(" ",TRIM(C341)&amp;" ")-1),",","."),FIND("/",SUBSTITUTE(LEFT(TRIM(C341),FIND(" ",TRIM(C341)&amp;" ")-1),",","."))-1)/MID(SUBSTITUTE(LEFT(TRIM(C341),FIND(" ",TRIM(C341)&amp;" ")-1),",","."),FIND("/",SUBSTITUTE(LEFT(TRIM(C341),FIND(" ",TRIM(C341)&amp;" ")-1),",","."))+1,9))*12/52,IF(ISNUMBER(SEARCH("month",C341)),IFERROR(_xlfn.NUMBERVALUE(SUBSTITUTE(LEFT(TRIM(C341),FIND(" ",TRIM(C341)&amp;" ")-1),",","."),"."),LEFT(SUBSTITUTE(LEFT(TRIM(C341),FIND(" ",TRIM(C341)&amp;" ")-1),",","."),FIND("/",SUBSTITUTE(LEFT(TRIM(C341),FIND(" ",TRIM(C341)&amp;" ")-1),",","."))-1)/MID(SUBSTITUTE(LEFT(TRIM(C341),FIND(" ",TRIM(C341)&amp;" ")-1),",","."),FIND("/",SUBSTITUTE(LEFT(TRIM(C341),FIND(" ",TRIM(C341)&amp;" ")-1),",","."))+1,9)),IF(ISNUMBER(SEARCH("yea",C341)),IFERROR(_xlfn.NUMBERVALUE(SUBSTITUTE(LEFT(TRIM(C341),FIND(" ",TRIM(C341)&amp;" ")-1),",","."),"."),LEFT(SUBSTITUTE(LEFT(TRIM(C341),FIND(" ",TRIM(C341)&amp;" ")-1),",","."),FIND("/",SUBSTITUTE(LEFT(TRIM(C341),FIND(" ",TRIM(C341)&amp;" ")-1),",","."))-1)/MID(SUBSTITUTE(LEFT(TRIM(C341),FIND(" ",TRIM(C341)&amp;" ")-1),",","."),FIND("/",SUBSTITUTE(LEFT(TRIM(C341),FIND(" ",TRIM(C341)&amp;" ")-1),",","."))+1,9))*12,NA()))),0),30)*'Aturan &amp; Tarif'!$B$4,2)</f>
        <v>1703.4</v>
      </c>
      <c r="K341" s="42" t="n">
        <f aca="false">'Aturan &amp; Tarif'!$B$5</f>
        <v>2050</v>
      </c>
      <c r="L341" s="35" t="n">
        <f aca="false">I341+J341+K341</f>
        <v>18014.6</v>
      </c>
      <c r="M341" s="44" t="s">
        <v>1645</v>
      </c>
    </row>
    <row r="342" customFormat="false" ht="14.25" hidden="false" customHeight="true" outlineLevel="0" collapsed="false">
      <c r="A342" s="39"/>
      <c r="B342" s="40" t="s">
        <v>990</v>
      </c>
      <c r="C342" s="41" t="s">
        <v>113</v>
      </c>
      <c r="D342" s="41" t="s">
        <v>108</v>
      </c>
      <c r="E342" s="42" t="n">
        <v>6997.5</v>
      </c>
      <c r="F342" s="42"/>
      <c r="G342" s="42" t="n">
        <v>250</v>
      </c>
      <c r="H342" s="43" t="n">
        <v>2</v>
      </c>
      <c r="I342" s="34" t="n">
        <f aca="false">E342*H342+N(F342)+N(G342)</f>
        <v>14245</v>
      </c>
      <c r="J342" s="42" t="n">
        <f aca="false">ROUND(IFERROR(ROUND(IF(OR(ISNUMBER(SEARCH("week",C342)),ISNUMBER(SEARCH("minggu",C342))),IFERROR(_xlfn.NUMBERVALUE(SUBSTITUTE(LEFT(TRIM(C342),FIND(" ",TRIM(C342)&amp;" ")-1),",","."),"."),LEFT(SUBSTITUTE(LEFT(TRIM(C342),FIND(" ",TRIM(C342)&amp;" ")-1),",","."),FIND("/",SUBSTITUTE(LEFT(TRIM(C342),FIND(" ",TRIM(C342)&amp;" ")-1),",","."))-1)/MID(SUBSTITUTE(LEFT(TRIM(C342),FIND(" ",TRIM(C342)&amp;" ")-1),",","."),FIND("/",SUBSTITUTE(LEFT(TRIM(C342),FIND(" ",TRIM(C342)&amp;" ")-1),",","."))+1,9))*12/52,IF(ISNUMBER(SEARCH("month",C342)),IFERROR(_xlfn.NUMBERVALUE(SUBSTITUTE(LEFT(TRIM(C342),FIND(" ",TRIM(C342)&amp;" ")-1),",","."),"."),LEFT(SUBSTITUTE(LEFT(TRIM(C342),FIND(" ",TRIM(C342)&amp;" ")-1),",","."),FIND("/",SUBSTITUTE(LEFT(TRIM(C342),FIND(" ",TRIM(C342)&amp;" ")-1),",","."))-1)/MID(SUBSTITUTE(LEFT(TRIM(C342),FIND(" ",TRIM(C342)&amp;" ")-1),",","."),FIND("/",SUBSTITUTE(LEFT(TRIM(C342),FIND(" ",TRIM(C342)&amp;" ")-1),",","."))+1,9)),IF(ISNUMBER(SEARCH("yea",C342)),IFERROR(_xlfn.NUMBERVALUE(SUBSTITUTE(LEFT(TRIM(C342),FIND(" ",TRIM(C342)&amp;" ")-1),",","."),"."),LEFT(SUBSTITUTE(LEFT(TRIM(C342),FIND(" ",TRIM(C342)&amp;" ")-1),",","."),FIND("/",SUBSTITUTE(LEFT(TRIM(C342),FIND(" ",TRIM(C342)&amp;" ")-1),",","."))-1)/MID(SUBSTITUTE(LEFT(TRIM(C342),FIND(" ",TRIM(C342)&amp;" ")-1),",","."),FIND("/",SUBSTITUTE(LEFT(TRIM(C342),FIND(" ",TRIM(C342)&amp;" ")-1),",","."))+1,9))*12,NA()))),0),18)*'Aturan &amp; Tarif'!$B$4,2)</f>
        <v>1022.04</v>
      </c>
      <c r="K342" s="42" t="n">
        <f aca="false">'Aturan &amp; Tarif'!$B$5</f>
        <v>2050</v>
      </c>
      <c r="L342" s="35" t="n">
        <f aca="false">I342+J342+K342</f>
        <v>17317.04</v>
      </c>
      <c r="M342" s="45" t="s">
        <v>1646</v>
      </c>
    </row>
    <row r="343" customFormat="false" ht="25.5" hidden="false" customHeight="true" outlineLevel="0" collapsed="false">
      <c r="A343" s="39"/>
      <c r="B343" s="40" t="s">
        <v>992</v>
      </c>
      <c r="C343" s="41" t="s">
        <v>344</v>
      </c>
      <c r="D343" s="41" t="s">
        <v>108</v>
      </c>
      <c r="E343" s="42" t="n">
        <v>6737</v>
      </c>
      <c r="F343" s="42"/>
      <c r="G343" s="42" t="n">
        <v>250</v>
      </c>
      <c r="H343" s="43" t="n">
        <v>2</v>
      </c>
      <c r="I343" s="34" t="n">
        <f aca="false">E343*H343+N(F343)+N(G343)</f>
        <v>13724</v>
      </c>
      <c r="J343" s="42" t="n">
        <f aca="false">ROUND(IFERROR(ROUND(IF(OR(ISNUMBER(SEARCH("week",C343)),ISNUMBER(SEARCH("minggu",C343))),IFERROR(_xlfn.NUMBERVALUE(SUBSTITUTE(LEFT(TRIM(C343),FIND(" ",TRIM(C343)&amp;" ")-1),",","."),"."),LEFT(SUBSTITUTE(LEFT(TRIM(C343),FIND(" ",TRIM(C343)&amp;" ")-1),",","."),FIND("/",SUBSTITUTE(LEFT(TRIM(C343),FIND(" ",TRIM(C343)&amp;" ")-1),",","."))-1)/MID(SUBSTITUTE(LEFT(TRIM(C343),FIND(" ",TRIM(C343)&amp;" ")-1),",","."),FIND("/",SUBSTITUTE(LEFT(TRIM(C343),FIND(" ",TRIM(C343)&amp;" ")-1),",","."))+1,9))*12/52,IF(ISNUMBER(SEARCH("month",C343)),IFERROR(_xlfn.NUMBERVALUE(SUBSTITUTE(LEFT(TRIM(C343),FIND(" ",TRIM(C343)&amp;" ")-1),",","."),"."),LEFT(SUBSTITUTE(LEFT(TRIM(C343),FIND(" ",TRIM(C343)&amp;" ")-1),",","."),FIND("/",SUBSTITUTE(LEFT(TRIM(C343),FIND(" ",TRIM(C343)&amp;" ")-1),",","."))-1)/MID(SUBSTITUTE(LEFT(TRIM(C343),FIND(" ",TRIM(C343)&amp;" ")-1),",","."),FIND("/",SUBSTITUTE(LEFT(TRIM(C343),FIND(" ",TRIM(C343)&amp;" ")-1),",","."))+1,9)),IF(ISNUMBER(SEARCH("yea",C343)),IFERROR(_xlfn.NUMBERVALUE(SUBSTITUTE(LEFT(TRIM(C343),FIND(" ",TRIM(C343)&amp;" ")-1),",","."),"."),LEFT(SUBSTITUTE(LEFT(TRIM(C343),FIND(" ",TRIM(C343)&amp;" ")-1),",","."),FIND("/",SUBSTITUTE(LEFT(TRIM(C343),FIND(" ",TRIM(C343)&amp;" ")-1),",","."))-1)/MID(SUBSTITUTE(LEFT(TRIM(C343),FIND(" ",TRIM(C343)&amp;" ")-1),",","."),FIND("/",SUBSTITUTE(LEFT(TRIM(C343),FIND(" ",TRIM(C343)&amp;" ")-1),",","."))+1,9))*12,NA()))),0),6)*'Aturan &amp; Tarif'!$B$4,2)</f>
        <v>340.68</v>
      </c>
      <c r="K343" s="42" t="n">
        <f aca="false">'Aturan &amp; Tarif'!$B$5</f>
        <v>2050</v>
      </c>
      <c r="L343" s="35" t="n">
        <f aca="false">I343+J343+K343</f>
        <v>16114.68</v>
      </c>
      <c r="M343" s="45" t="s">
        <v>1644</v>
      </c>
    </row>
    <row r="344" customFormat="false" ht="60" hidden="false" customHeight="true" outlineLevel="0" collapsed="false">
      <c r="A344" s="39"/>
      <c r="B344" s="40" t="s">
        <v>987</v>
      </c>
      <c r="C344" s="41" t="s">
        <v>344</v>
      </c>
      <c r="D344" s="41" t="s">
        <v>108</v>
      </c>
      <c r="E344" s="42" t="n">
        <v>7298.5</v>
      </c>
      <c r="F344" s="42"/>
      <c r="G344" s="42" t="n">
        <v>250</v>
      </c>
      <c r="H344" s="43" t="n">
        <v>2</v>
      </c>
      <c r="I344" s="34" t="n">
        <f aca="false">E344*H344+N(F344)+N(G344)</f>
        <v>14847</v>
      </c>
      <c r="J344" s="42" t="n">
        <f aca="false">ROUND(IFERROR(ROUND(IF(OR(ISNUMBER(SEARCH("week",C344)),ISNUMBER(SEARCH("minggu",C344))),IFERROR(_xlfn.NUMBERVALUE(SUBSTITUTE(LEFT(TRIM(C344),FIND(" ",TRIM(C344)&amp;" ")-1),",","."),"."),LEFT(SUBSTITUTE(LEFT(TRIM(C344),FIND(" ",TRIM(C344)&amp;" ")-1),",","."),FIND("/",SUBSTITUTE(LEFT(TRIM(C344),FIND(" ",TRIM(C344)&amp;" ")-1),",","."))-1)/MID(SUBSTITUTE(LEFT(TRIM(C344),FIND(" ",TRIM(C344)&amp;" ")-1),",","."),FIND("/",SUBSTITUTE(LEFT(TRIM(C344),FIND(" ",TRIM(C344)&amp;" ")-1),",","."))+1,9))*12/52,IF(ISNUMBER(SEARCH("month",C344)),IFERROR(_xlfn.NUMBERVALUE(SUBSTITUTE(LEFT(TRIM(C344),FIND(" ",TRIM(C344)&amp;" ")-1),",","."),"."),LEFT(SUBSTITUTE(LEFT(TRIM(C344),FIND(" ",TRIM(C344)&amp;" ")-1),",","."),FIND("/",SUBSTITUTE(LEFT(TRIM(C344),FIND(" ",TRIM(C344)&amp;" ")-1),",","."))-1)/MID(SUBSTITUTE(LEFT(TRIM(C344),FIND(" ",TRIM(C344)&amp;" ")-1),",","."),FIND("/",SUBSTITUTE(LEFT(TRIM(C344),FIND(" ",TRIM(C344)&amp;" ")-1),",","."))+1,9)),IF(ISNUMBER(SEARCH("yea",C344)),IFERROR(_xlfn.NUMBERVALUE(SUBSTITUTE(LEFT(TRIM(C344),FIND(" ",TRIM(C344)&amp;" ")-1),",","."),"."),LEFT(SUBSTITUTE(LEFT(TRIM(C344),FIND(" ",TRIM(C344)&amp;" ")-1),",","."),FIND("/",SUBSTITUTE(LEFT(TRIM(C344),FIND(" ",TRIM(C344)&amp;" ")-1),",","."))-1)/MID(SUBSTITUTE(LEFT(TRIM(C344),FIND(" ",TRIM(C344)&amp;" ")-1),",","."),FIND("/",SUBSTITUTE(LEFT(TRIM(C344),FIND(" ",TRIM(C344)&amp;" ")-1),",","."))+1,9))*12,NA()))),0),6)*'Aturan &amp; Tarif'!$B$4,2)</f>
        <v>340.68</v>
      </c>
      <c r="K344" s="42" t="n">
        <f aca="false">'Aturan &amp; Tarif'!$B$5</f>
        <v>2050</v>
      </c>
      <c r="L344" s="35" t="n">
        <f aca="false">I344+J344+K344</f>
        <v>17237.68</v>
      </c>
      <c r="M344" s="45" t="s">
        <v>1644</v>
      </c>
    </row>
    <row r="345" customFormat="false" ht="25.5" hidden="false" customHeight="true" outlineLevel="0" collapsed="false">
      <c r="A345" s="39"/>
      <c r="B345" s="40" t="s">
        <v>993</v>
      </c>
      <c r="C345" s="41" t="s">
        <v>138</v>
      </c>
      <c r="D345" s="41" t="s">
        <v>108</v>
      </c>
      <c r="E345" s="42" t="n">
        <v>7005.6</v>
      </c>
      <c r="F345" s="42"/>
      <c r="G345" s="42" t="n">
        <v>250</v>
      </c>
      <c r="H345" s="43" t="n">
        <v>2</v>
      </c>
      <c r="I345" s="34" t="n">
        <f aca="false">E345*H345+N(F345)+N(G345)</f>
        <v>14261.2</v>
      </c>
      <c r="J345" s="42" t="n">
        <f aca="false">ROUND(IFERROR(ROUND(IF(OR(ISNUMBER(SEARCH("week",C345)),ISNUMBER(SEARCH("minggu",C345))),IFERROR(_xlfn.NUMBERVALUE(SUBSTITUTE(LEFT(TRIM(C345),FIND(" ",TRIM(C345)&amp;" ")-1),",","."),"."),LEFT(SUBSTITUTE(LEFT(TRIM(C345),FIND(" ",TRIM(C345)&amp;" ")-1),",","."),FIND("/",SUBSTITUTE(LEFT(TRIM(C345),FIND(" ",TRIM(C345)&amp;" ")-1),",","."))-1)/MID(SUBSTITUTE(LEFT(TRIM(C345),FIND(" ",TRIM(C345)&amp;" ")-1),",","."),FIND("/",SUBSTITUTE(LEFT(TRIM(C345),FIND(" ",TRIM(C345)&amp;" ")-1),",","."))+1,9))*12/52,IF(ISNUMBER(SEARCH("month",C345)),IFERROR(_xlfn.NUMBERVALUE(SUBSTITUTE(LEFT(TRIM(C345),FIND(" ",TRIM(C345)&amp;" ")-1),",","."),"."),LEFT(SUBSTITUTE(LEFT(TRIM(C345),FIND(" ",TRIM(C345)&amp;" ")-1),",","."),FIND("/",SUBSTITUTE(LEFT(TRIM(C345),FIND(" ",TRIM(C345)&amp;" ")-1),",","."))-1)/MID(SUBSTITUTE(LEFT(TRIM(C345),FIND(" ",TRIM(C345)&amp;" ")-1),",","."),FIND("/",SUBSTITUTE(LEFT(TRIM(C345),FIND(" ",TRIM(C345)&amp;" ")-1),",","."))+1,9)),IF(ISNUMBER(SEARCH("yea",C345)),IFERROR(_xlfn.NUMBERVALUE(SUBSTITUTE(LEFT(TRIM(C345),FIND(" ",TRIM(C345)&amp;" ")-1),",","."),"."),LEFT(SUBSTITUTE(LEFT(TRIM(C345),FIND(" ",TRIM(C345)&amp;" ")-1),",","."),FIND("/",SUBSTITUTE(LEFT(TRIM(C345),FIND(" ",TRIM(C345)&amp;" ")-1),",","."))-1)/MID(SUBSTITUTE(LEFT(TRIM(C345),FIND(" ",TRIM(C345)&amp;" ")-1),",","."),FIND("/",SUBSTITUTE(LEFT(TRIM(C345),FIND(" ",TRIM(C345)&amp;" ")-1),",","."))+1,9))*12,NA()))),0),30)*'Aturan &amp; Tarif'!$B$4,2)</f>
        <v>1703.4</v>
      </c>
      <c r="K345" s="42" t="n">
        <f aca="false">'Aturan &amp; Tarif'!$B$5</f>
        <v>2050</v>
      </c>
      <c r="L345" s="35" t="n">
        <f aca="false">I345+J345+K345</f>
        <v>18014.6</v>
      </c>
      <c r="M345" s="44" t="s">
        <v>1645</v>
      </c>
    </row>
    <row r="346" customFormat="false" ht="25.5" hidden="false" customHeight="true" outlineLevel="0" collapsed="false">
      <c r="A346" s="39"/>
      <c r="B346" s="40" t="s">
        <v>994</v>
      </c>
      <c r="C346" s="41" t="s">
        <v>127</v>
      </c>
      <c r="D346" s="41" t="s">
        <v>108</v>
      </c>
      <c r="E346" s="42" t="n">
        <v>5688.58</v>
      </c>
      <c r="F346" s="42"/>
      <c r="G346" s="42" t="n">
        <v>250</v>
      </c>
      <c r="H346" s="43" t="n">
        <v>2</v>
      </c>
      <c r="I346" s="34" t="n">
        <f aca="false">E346*H346+N(F346)+N(G346)</f>
        <v>11627.16</v>
      </c>
      <c r="J346" s="42" t="n">
        <f aca="false">ROUND(IFERROR(ROUND(IF(OR(ISNUMBER(SEARCH("week",C346)),ISNUMBER(SEARCH("minggu",C346))),IFERROR(_xlfn.NUMBERVALUE(SUBSTITUTE(LEFT(TRIM(C346),FIND(" ",TRIM(C346)&amp;" ")-1),",","."),"."),LEFT(SUBSTITUTE(LEFT(TRIM(C346),FIND(" ",TRIM(C346)&amp;" ")-1),",","."),FIND("/",SUBSTITUTE(LEFT(TRIM(C346),FIND(" ",TRIM(C346)&amp;" ")-1),",","."))-1)/MID(SUBSTITUTE(LEFT(TRIM(C346),FIND(" ",TRIM(C346)&amp;" ")-1),",","."),FIND("/",SUBSTITUTE(LEFT(TRIM(C346),FIND(" ",TRIM(C346)&amp;" ")-1),",","."))+1,9))*12/52,IF(ISNUMBER(SEARCH("month",C346)),IFERROR(_xlfn.NUMBERVALUE(SUBSTITUTE(LEFT(TRIM(C346),FIND(" ",TRIM(C346)&amp;" ")-1),",","."),"."),LEFT(SUBSTITUTE(LEFT(TRIM(C346),FIND(" ",TRIM(C346)&amp;" ")-1),",","."),FIND("/",SUBSTITUTE(LEFT(TRIM(C346),FIND(" ",TRIM(C346)&amp;" ")-1),",","."))-1)/MID(SUBSTITUTE(LEFT(TRIM(C346),FIND(" ",TRIM(C346)&amp;" ")-1),",","."),FIND("/",SUBSTITUTE(LEFT(TRIM(C346),FIND(" ",TRIM(C346)&amp;" ")-1),",","."))+1,9)),IF(ISNUMBER(SEARCH("yea",C346)),IFERROR(_xlfn.NUMBERVALUE(SUBSTITUTE(LEFT(TRIM(C346),FIND(" ",TRIM(C346)&amp;" ")-1),",","."),"."),LEFT(SUBSTITUTE(LEFT(TRIM(C346),FIND(" ",TRIM(C346)&amp;" ")-1),",","."),FIND("/",SUBSTITUTE(LEFT(TRIM(C346),FIND(" ",TRIM(C346)&amp;" ")-1),",","."))-1)/MID(SUBSTITUTE(LEFT(TRIM(C346),FIND(" ",TRIM(C346)&amp;" ")-1),",","."),FIND("/",SUBSTITUTE(LEFT(TRIM(C346),FIND(" ",TRIM(C346)&amp;" ")-1),",","."))+1,9))*12,NA()))),0),36)*'Aturan &amp; Tarif'!$B$4,2)</f>
        <v>2044.08</v>
      </c>
      <c r="K346" s="42" t="n">
        <f aca="false">'Aturan &amp; Tarif'!$B$5</f>
        <v>2050</v>
      </c>
      <c r="L346" s="35" t="n">
        <f aca="false">I346+J346+K346</f>
        <v>15721.24</v>
      </c>
      <c r="M346" s="45" t="s">
        <v>1647</v>
      </c>
    </row>
    <row r="347" customFormat="false" ht="14.25" hidden="false" customHeight="true" outlineLevel="0" collapsed="false">
      <c r="A347" s="39"/>
      <c r="B347" s="40" t="s">
        <v>996</v>
      </c>
      <c r="C347" s="41" t="s">
        <v>127</v>
      </c>
      <c r="D347" s="41" t="s">
        <v>108</v>
      </c>
      <c r="E347" s="42" t="n">
        <v>5821.66</v>
      </c>
      <c r="F347" s="42"/>
      <c r="G347" s="42" t="n">
        <v>250</v>
      </c>
      <c r="H347" s="43" t="n">
        <v>2</v>
      </c>
      <c r="I347" s="34" t="n">
        <f aca="false">E347*H347+N(F347)+N(G347)</f>
        <v>11893.32</v>
      </c>
      <c r="J347" s="42" t="n">
        <f aca="false">ROUND(IFERROR(ROUND(IF(OR(ISNUMBER(SEARCH("week",C347)),ISNUMBER(SEARCH("minggu",C347))),IFERROR(_xlfn.NUMBERVALUE(SUBSTITUTE(LEFT(TRIM(C347),FIND(" ",TRIM(C347)&amp;" ")-1),",","."),"."),LEFT(SUBSTITUTE(LEFT(TRIM(C347),FIND(" ",TRIM(C347)&amp;" ")-1),",","."),FIND("/",SUBSTITUTE(LEFT(TRIM(C347),FIND(" ",TRIM(C347)&amp;" ")-1),",","."))-1)/MID(SUBSTITUTE(LEFT(TRIM(C347),FIND(" ",TRIM(C347)&amp;" ")-1),",","."),FIND("/",SUBSTITUTE(LEFT(TRIM(C347),FIND(" ",TRIM(C347)&amp;" ")-1),",","."))+1,9))*12/52,IF(ISNUMBER(SEARCH("month",C347)),IFERROR(_xlfn.NUMBERVALUE(SUBSTITUTE(LEFT(TRIM(C347),FIND(" ",TRIM(C347)&amp;" ")-1),",","."),"."),LEFT(SUBSTITUTE(LEFT(TRIM(C347),FIND(" ",TRIM(C347)&amp;" ")-1),",","."),FIND("/",SUBSTITUTE(LEFT(TRIM(C347),FIND(" ",TRIM(C347)&amp;" ")-1),",","."))-1)/MID(SUBSTITUTE(LEFT(TRIM(C347),FIND(" ",TRIM(C347)&amp;" ")-1),",","."),FIND("/",SUBSTITUTE(LEFT(TRIM(C347),FIND(" ",TRIM(C347)&amp;" ")-1),",","."))+1,9)),IF(ISNUMBER(SEARCH("yea",C347)),IFERROR(_xlfn.NUMBERVALUE(SUBSTITUTE(LEFT(TRIM(C347),FIND(" ",TRIM(C347)&amp;" ")-1),",","."),"."),LEFT(SUBSTITUTE(LEFT(TRIM(C347),FIND(" ",TRIM(C347)&amp;" ")-1),",","."),FIND("/",SUBSTITUTE(LEFT(TRIM(C347),FIND(" ",TRIM(C347)&amp;" ")-1),",","."))-1)/MID(SUBSTITUTE(LEFT(TRIM(C347),FIND(" ",TRIM(C347)&amp;" ")-1),",","."),FIND("/",SUBSTITUTE(LEFT(TRIM(C347),FIND(" ",TRIM(C347)&amp;" ")-1),",","."))+1,9))*12,NA()))),0),36)*'Aturan &amp; Tarif'!$B$4,2)</f>
        <v>2044.08</v>
      </c>
      <c r="K347" s="42" t="n">
        <f aca="false">'Aturan &amp; Tarif'!$B$5</f>
        <v>2050</v>
      </c>
      <c r="L347" s="35" t="n">
        <f aca="false">I347+J347+K347</f>
        <v>15987.4</v>
      </c>
      <c r="M347" s="45" t="s">
        <v>1644</v>
      </c>
    </row>
    <row r="348" customFormat="false" ht="14.25" hidden="false" customHeight="true" outlineLevel="0" collapsed="false">
      <c r="A348" s="39"/>
      <c r="B348" s="40" t="s">
        <v>997</v>
      </c>
      <c r="C348" s="41" t="s">
        <v>107</v>
      </c>
      <c r="D348" s="41" t="s">
        <v>108</v>
      </c>
      <c r="E348" s="42" t="n">
        <v>6818.75</v>
      </c>
      <c r="F348" s="42"/>
      <c r="G348" s="42" t="n">
        <v>250</v>
      </c>
      <c r="H348" s="43" t="n">
        <v>2</v>
      </c>
      <c r="I348" s="34" t="n">
        <f aca="false">E348*H348+N(F348)+N(G348)</f>
        <v>13887.5</v>
      </c>
      <c r="J348" s="42" t="n">
        <f aca="false">ROUND(IFERROR(ROUND(IF(OR(ISNUMBER(SEARCH("week",C348)),ISNUMBER(SEARCH("minggu",C348))),IFERROR(_xlfn.NUMBERVALUE(SUBSTITUTE(LEFT(TRIM(C348),FIND(" ",TRIM(C348)&amp;" ")-1),",","."),"."),LEFT(SUBSTITUTE(LEFT(TRIM(C348),FIND(" ",TRIM(C348)&amp;" ")-1),",","."),FIND("/",SUBSTITUTE(LEFT(TRIM(C348),FIND(" ",TRIM(C348)&amp;" ")-1),",","."))-1)/MID(SUBSTITUTE(LEFT(TRIM(C348),FIND(" ",TRIM(C348)&amp;" ")-1),",","."),FIND("/",SUBSTITUTE(LEFT(TRIM(C348),FIND(" ",TRIM(C348)&amp;" ")-1),",","."))+1,9))*12/52,IF(ISNUMBER(SEARCH("month",C348)),IFERROR(_xlfn.NUMBERVALUE(SUBSTITUTE(LEFT(TRIM(C348),FIND(" ",TRIM(C348)&amp;" ")-1),",","."),"."),LEFT(SUBSTITUTE(LEFT(TRIM(C348),FIND(" ",TRIM(C348)&amp;" ")-1),",","."),FIND("/",SUBSTITUTE(LEFT(TRIM(C348),FIND(" ",TRIM(C348)&amp;" ")-1),",","."))-1)/MID(SUBSTITUTE(LEFT(TRIM(C348),FIND(" ",TRIM(C348)&amp;" ")-1),",","."),FIND("/",SUBSTITUTE(LEFT(TRIM(C348),FIND(" ",TRIM(C348)&amp;" ")-1),",","."))+1,9)),IF(ISNUMBER(SEARCH("yea",C348)),IFERROR(_xlfn.NUMBERVALUE(SUBSTITUTE(LEFT(TRIM(C348),FIND(" ",TRIM(C348)&amp;" ")-1),",","."),"."),LEFT(SUBSTITUTE(LEFT(TRIM(C348),FIND(" ",TRIM(C348)&amp;" ")-1),",","."),FIND("/",SUBSTITUTE(LEFT(TRIM(C348),FIND(" ",TRIM(C348)&amp;" ")-1),",","."))-1)/MID(SUBSTITUTE(LEFT(TRIM(C348),FIND(" ",TRIM(C348)&amp;" ")-1),",","."),FIND("/",SUBSTITUTE(LEFT(TRIM(C348),FIND(" ",TRIM(C348)&amp;" ")-1),",","."))+1,9))*12,NA()))),0),24)*'Aturan &amp; Tarif'!$B$4,2)</f>
        <v>1362.72</v>
      </c>
      <c r="K348" s="42" t="n">
        <f aca="false">'Aturan &amp; Tarif'!$B$5</f>
        <v>2050</v>
      </c>
      <c r="L348" s="35" t="n">
        <f aca="false">I348+J348+K348</f>
        <v>17300.22</v>
      </c>
      <c r="M348" s="45" t="s">
        <v>1648</v>
      </c>
    </row>
    <row r="349" customFormat="false" ht="48.75" hidden="false" customHeight="true" outlineLevel="0" collapsed="false">
      <c r="A349" s="39"/>
      <c r="B349" s="40" t="s">
        <v>999</v>
      </c>
      <c r="C349" s="41" t="s">
        <v>107</v>
      </c>
      <c r="D349" s="41" t="s">
        <v>108</v>
      </c>
      <c r="E349" s="42" t="n">
        <v>6760</v>
      </c>
      <c r="F349" s="42"/>
      <c r="G349" s="42" t="n">
        <v>250</v>
      </c>
      <c r="H349" s="43" t="n">
        <v>2</v>
      </c>
      <c r="I349" s="34" t="n">
        <f aca="false">E349*H349+N(F349)+N(G349)</f>
        <v>13770</v>
      </c>
      <c r="J349" s="42" t="n">
        <f aca="false">ROUND(IFERROR(ROUND(IF(OR(ISNUMBER(SEARCH("week",C349)),ISNUMBER(SEARCH("minggu",C349))),IFERROR(_xlfn.NUMBERVALUE(SUBSTITUTE(LEFT(TRIM(C349),FIND(" ",TRIM(C349)&amp;" ")-1),",","."),"."),LEFT(SUBSTITUTE(LEFT(TRIM(C349),FIND(" ",TRIM(C349)&amp;" ")-1),",","."),FIND("/",SUBSTITUTE(LEFT(TRIM(C349),FIND(" ",TRIM(C349)&amp;" ")-1),",","."))-1)/MID(SUBSTITUTE(LEFT(TRIM(C349),FIND(" ",TRIM(C349)&amp;" ")-1),",","."),FIND("/",SUBSTITUTE(LEFT(TRIM(C349),FIND(" ",TRIM(C349)&amp;" ")-1),",","."))+1,9))*12/52,IF(ISNUMBER(SEARCH("month",C349)),IFERROR(_xlfn.NUMBERVALUE(SUBSTITUTE(LEFT(TRIM(C349),FIND(" ",TRIM(C349)&amp;" ")-1),",","."),"."),LEFT(SUBSTITUTE(LEFT(TRIM(C349),FIND(" ",TRIM(C349)&amp;" ")-1),",","."),FIND("/",SUBSTITUTE(LEFT(TRIM(C349),FIND(" ",TRIM(C349)&amp;" ")-1),",","."))-1)/MID(SUBSTITUTE(LEFT(TRIM(C349),FIND(" ",TRIM(C349)&amp;" ")-1),",","."),FIND("/",SUBSTITUTE(LEFT(TRIM(C349),FIND(" ",TRIM(C349)&amp;" ")-1),",","."))+1,9)),IF(ISNUMBER(SEARCH("yea",C349)),IFERROR(_xlfn.NUMBERVALUE(SUBSTITUTE(LEFT(TRIM(C349),FIND(" ",TRIM(C349)&amp;" ")-1),",","."),"."),LEFT(SUBSTITUTE(LEFT(TRIM(C349),FIND(" ",TRIM(C349)&amp;" ")-1),",","."),FIND("/",SUBSTITUTE(LEFT(TRIM(C349),FIND(" ",TRIM(C349)&amp;" ")-1),",","."))-1)/MID(SUBSTITUTE(LEFT(TRIM(C349),FIND(" ",TRIM(C349)&amp;" ")-1),",","."),FIND("/",SUBSTITUTE(LEFT(TRIM(C349),FIND(" ",TRIM(C349)&amp;" ")-1),",","."))+1,9))*12,NA()))),0),24)*'Aturan &amp; Tarif'!$B$4,2)</f>
        <v>1362.72</v>
      </c>
      <c r="K349" s="42" t="n">
        <f aca="false">'Aturan &amp; Tarif'!$B$5</f>
        <v>2050</v>
      </c>
      <c r="L349" s="35" t="n">
        <f aca="false">I349+J349+K349</f>
        <v>17182.72</v>
      </c>
      <c r="M349" s="45" t="s">
        <v>1649</v>
      </c>
    </row>
    <row r="350" customFormat="false" ht="48.75" hidden="false" customHeight="true" outlineLevel="0" collapsed="false">
      <c r="A350" s="39" t="s">
        <v>2858</v>
      </c>
      <c r="B350" s="40" t="s">
        <v>3357</v>
      </c>
      <c r="C350" s="41" t="s">
        <v>113</v>
      </c>
      <c r="D350" s="41" t="s">
        <v>108</v>
      </c>
      <c r="E350" s="42" t="n">
        <v>1587.5</v>
      </c>
      <c r="F350" s="42" t="n">
        <v>1900</v>
      </c>
      <c r="G350" s="42" t="n">
        <v>250</v>
      </c>
      <c r="H350" s="43" t="n">
        <v>1</v>
      </c>
      <c r="I350" s="34" t="n">
        <f aca="false">E350*H350+N(F350)+N(G350)</f>
        <v>3737.5</v>
      </c>
      <c r="J350" s="42" t="n">
        <f aca="false">ROUND(IFERROR(ROUND(IF(OR(ISNUMBER(SEARCH("week",C350)),ISNUMBER(SEARCH("minggu",C350))),IFERROR(_xlfn.NUMBERVALUE(SUBSTITUTE(LEFT(TRIM(C350),FIND(" ",TRIM(C350)&amp;" ")-1),",","."),"."),LEFT(SUBSTITUTE(LEFT(TRIM(C350),FIND(" ",TRIM(C350)&amp;" ")-1),",","."),FIND("/",SUBSTITUTE(LEFT(TRIM(C350),FIND(" ",TRIM(C350)&amp;" ")-1),",","."))-1)/MID(SUBSTITUTE(LEFT(TRIM(C350),FIND(" ",TRIM(C350)&amp;" ")-1),",","."),FIND("/",SUBSTITUTE(LEFT(TRIM(C350),FIND(" ",TRIM(C350)&amp;" ")-1),",","."))+1,9))*12/52,IF(ISNUMBER(SEARCH("month",C350)),IFERROR(_xlfn.NUMBERVALUE(SUBSTITUTE(LEFT(TRIM(C350),FIND(" ",TRIM(C350)&amp;" ")-1),",","."),"."),LEFT(SUBSTITUTE(LEFT(TRIM(C350),FIND(" ",TRIM(C350)&amp;" ")-1),",","."),FIND("/",SUBSTITUTE(LEFT(TRIM(C350),FIND(" ",TRIM(C350)&amp;" ")-1),",","."))-1)/MID(SUBSTITUTE(LEFT(TRIM(C350),FIND(" ",TRIM(C350)&amp;" ")-1),",","."),FIND("/",SUBSTITUTE(LEFT(TRIM(C350),FIND(" ",TRIM(C350)&amp;" ")-1),",","."))+1,9)),IF(ISNUMBER(SEARCH("yea",C350)),IFERROR(_xlfn.NUMBERVALUE(SUBSTITUTE(LEFT(TRIM(C350),FIND(" ",TRIM(C350)&amp;" ")-1),",","."),"."),LEFT(SUBSTITUTE(LEFT(TRIM(C350),FIND(" ",TRIM(C350)&amp;" ")-1),",","."),FIND("/",SUBSTITUTE(LEFT(TRIM(C350),FIND(" ",TRIM(C350)&amp;" ")-1),",","."))-1)/MID(SUBSTITUTE(LEFT(TRIM(C350),FIND(" ",TRIM(C350)&amp;" ")-1),",","."),FIND("/",SUBSTITUTE(LEFT(TRIM(C350),FIND(" ",TRIM(C350)&amp;" ")-1),",","."))+1,9))*12,NA()))),0),18)*'Aturan &amp; Tarif'!$B$4,2)</f>
        <v>1022.04</v>
      </c>
      <c r="K350" s="42" t="n">
        <f aca="false">'Aturan &amp; Tarif'!$B$5</f>
        <v>2050</v>
      </c>
      <c r="L350" s="35" t="n">
        <f aca="false">I350+J350+K350</f>
        <v>6809.54</v>
      </c>
      <c r="M350" s="44" t="s">
        <v>131</v>
      </c>
    </row>
    <row r="351" customFormat="false" ht="48.75" hidden="false" customHeight="true" outlineLevel="0" collapsed="false">
      <c r="A351" s="39"/>
      <c r="B351" s="40" t="s">
        <v>3358</v>
      </c>
      <c r="C351" s="41" t="s">
        <v>107</v>
      </c>
      <c r="D351" s="41" t="s">
        <v>108</v>
      </c>
      <c r="E351" s="42" t="n">
        <v>1587.5</v>
      </c>
      <c r="F351" s="42" t="n">
        <v>1900</v>
      </c>
      <c r="G351" s="42" t="n">
        <v>250</v>
      </c>
      <c r="H351" s="43" t="n">
        <v>1</v>
      </c>
      <c r="I351" s="34" t="n">
        <f aca="false">E351*H351+N(F351)+N(G351)</f>
        <v>3737.5</v>
      </c>
      <c r="J351" s="42" t="n">
        <f aca="false">ROUND(IFERROR(ROUND(IF(OR(ISNUMBER(SEARCH("week",C351)),ISNUMBER(SEARCH("minggu",C351))),IFERROR(_xlfn.NUMBERVALUE(SUBSTITUTE(LEFT(TRIM(C351),FIND(" ",TRIM(C351)&amp;" ")-1),",","."),"."),LEFT(SUBSTITUTE(LEFT(TRIM(C351),FIND(" ",TRIM(C351)&amp;" ")-1),",","."),FIND("/",SUBSTITUTE(LEFT(TRIM(C351),FIND(" ",TRIM(C351)&amp;" ")-1),",","."))-1)/MID(SUBSTITUTE(LEFT(TRIM(C351),FIND(" ",TRIM(C351)&amp;" ")-1),",","."),FIND("/",SUBSTITUTE(LEFT(TRIM(C351),FIND(" ",TRIM(C351)&amp;" ")-1),",","."))+1,9))*12/52,IF(ISNUMBER(SEARCH("month",C351)),IFERROR(_xlfn.NUMBERVALUE(SUBSTITUTE(LEFT(TRIM(C351),FIND(" ",TRIM(C351)&amp;" ")-1),",","."),"."),LEFT(SUBSTITUTE(LEFT(TRIM(C351),FIND(" ",TRIM(C351)&amp;" ")-1),",","."),FIND("/",SUBSTITUTE(LEFT(TRIM(C351),FIND(" ",TRIM(C351)&amp;" ")-1),",","."))-1)/MID(SUBSTITUTE(LEFT(TRIM(C351),FIND(" ",TRIM(C351)&amp;" ")-1),",","."),FIND("/",SUBSTITUTE(LEFT(TRIM(C351),FIND(" ",TRIM(C351)&amp;" ")-1),",","."))+1,9)),IF(ISNUMBER(SEARCH("yea",C351)),IFERROR(_xlfn.NUMBERVALUE(SUBSTITUTE(LEFT(TRIM(C351),FIND(" ",TRIM(C351)&amp;" ")-1),",","."),"."),LEFT(SUBSTITUTE(LEFT(TRIM(C351),FIND(" ",TRIM(C351)&amp;" ")-1),",","."),FIND("/",SUBSTITUTE(LEFT(TRIM(C351),FIND(" ",TRIM(C351)&amp;" ")-1),",","."))-1)/MID(SUBSTITUTE(LEFT(TRIM(C351),FIND(" ",TRIM(C351)&amp;" ")-1),",","."),FIND("/",SUBSTITUTE(LEFT(TRIM(C351),FIND(" ",TRIM(C351)&amp;" ")-1),",","."))+1,9))*12,NA()))),0),24)*'Aturan &amp; Tarif'!$B$4,2)</f>
        <v>1362.72</v>
      </c>
      <c r="K351" s="42" t="n">
        <f aca="false">'Aturan &amp; Tarif'!$B$5</f>
        <v>2050</v>
      </c>
      <c r="L351" s="35" t="n">
        <f aca="false">I351+J351+K351</f>
        <v>7150.22</v>
      </c>
      <c r="M351" s="44" t="s">
        <v>131</v>
      </c>
    </row>
    <row r="352" customFormat="false" ht="37.5" hidden="false" customHeight="true" outlineLevel="0" collapsed="false">
      <c r="A352" s="39"/>
      <c r="B352" s="40" t="s">
        <v>3359</v>
      </c>
      <c r="C352" s="41" t="s">
        <v>138</v>
      </c>
      <c r="D352" s="41" t="s">
        <v>108</v>
      </c>
      <c r="E352" s="42" t="n">
        <v>1587.5</v>
      </c>
      <c r="F352" s="42" t="n">
        <v>1900</v>
      </c>
      <c r="G352" s="42" t="n">
        <v>250</v>
      </c>
      <c r="H352" s="43" t="n">
        <v>1</v>
      </c>
      <c r="I352" s="34" t="n">
        <f aca="false">E352*H352+N(F352)+N(G352)</f>
        <v>3737.5</v>
      </c>
      <c r="J352" s="42" t="n">
        <f aca="false">ROUND(IFERROR(ROUND(IF(OR(ISNUMBER(SEARCH("week",C352)),ISNUMBER(SEARCH("minggu",C352))),IFERROR(_xlfn.NUMBERVALUE(SUBSTITUTE(LEFT(TRIM(C352),FIND(" ",TRIM(C352)&amp;" ")-1),",","."),"."),LEFT(SUBSTITUTE(LEFT(TRIM(C352),FIND(" ",TRIM(C352)&amp;" ")-1),",","."),FIND("/",SUBSTITUTE(LEFT(TRIM(C352),FIND(" ",TRIM(C352)&amp;" ")-1),",","."))-1)/MID(SUBSTITUTE(LEFT(TRIM(C352),FIND(" ",TRIM(C352)&amp;" ")-1),",","."),FIND("/",SUBSTITUTE(LEFT(TRIM(C352),FIND(" ",TRIM(C352)&amp;" ")-1),",","."))+1,9))*12/52,IF(ISNUMBER(SEARCH("month",C352)),IFERROR(_xlfn.NUMBERVALUE(SUBSTITUTE(LEFT(TRIM(C352),FIND(" ",TRIM(C352)&amp;" ")-1),",","."),"."),LEFT(SUBSTITUTE(LEFT(TRIM(C352),FIND(" ",TRIM(C352)&amp;" ")-1),",","."),FIND("/",SUBSTITUTE(LEFT(TRIM(C352),FIND(" ",TRIM(C352)&amp;" ")-1),",","."))-1)/MID(SUBSTITUTE(LEFT(TRIM(C352),FIND(" ",TRIM(C352)&amp;" ")-1),",","."),FIND("/",SUBSTITUTE(LEFT(TRIM(C352),FIND(" ",TRIM(C352)&amp;" ")-1),",","."))+1,9)),IF(ISNUMBER(SEARCH("yea",C352)),IFERROR(_xlfn.NUMBERVALUE(SUBSTITUTE(LEFT(TRIM(C352),FIND(" ",TRIM(C352)&amp;" ")-1),",","."),"."),LEFT(SUBSTITUTE(LEFT(TRIM(C352),FIND(" ",TRIM(C352)&amp;" ")-1),",","."),FIND("/",SUBSTITUTE(LEFT(TRIM(C352),FIND(" ",TRIM(C352)&amp;" ")-1),",","."))-1)/MID(SUBSTITUTE(LEFT(TRIM(C352),FIND(" ",TRIM(C352)&amp;" ")-1),",","."),FIND("/",SUBSTITUTE(LEFT(TRIM(C352),FIND(" ",TRIM(C352)&amp;" ")-1),",","."))+1,9))*12,NA()))),0),30)*'Aturan &amp; Tarif'!$B$4,2)</f>
        <v>1703.4</v>
      </c>
      <c r="K352" s="42" t="n">
        <f aca="false">'Aturan &amp; Tarif'!$B$5</f>
        <v>2050</v>
      </c>
      <c r="L352" s="35" t="n">
        <f aca="false">I352+J352+K352</f>
        <v>7490.9</v>
      </c>
      <c r="M352" s="44" t="s">
        <v>131</v>
      </c>
    </row>
    <row r="353" customFormat="false" ht="48.75" hidden="false" customHeight="true" outlineLevel="0" collapsed="false">
      <c r="A353" s="29" t="s">
        <v>3360</v>
      </c>
      <c r="B353" s="30" t="s">
        <v>3361</v>
      </c>
      <c r="C353" s="31" t="s">
        <v>130</v>
      </c>
      <c r="D353" s="31" t="s">
        <v>108</v>
      </c>
      <c r="E353" s="32" t="n">
        <v>3250</v>
      </c>
      <c r="F353" s="32" t="n">
        <v>1500</v>
      </c>
      <c r="G353" s="32" t="n">
        <v>250</v>
      </c>
      <c r="H353" s="33" t="n">
        <v>1</v>
      </c>
      <c r="I353" s="34" t="n">
        <f aca="false">E353*H353+N(F353)+N(G353)</f>
        <v>5000</v>
      </c>
      <c r="J353" s="32" t="n">
        <f aca="false">ROUND(IFERROR(ROUND(IF(OR(ISNUMBER(SEARCH("week",C353)),ISNUMBER(SEARCH("minggu",C353))),IFERROR(_xlfn.NUMBERVALUE(SUBSTITUTE(LEFT(TRIM(C353),FIND(" ",TRIM(C353)&amp;" ")-1),",","."),"."),LEFT(SUBSTITUTE(LEFT(TRIM(C353),FIND(" ",TRIM(C353)&amp;" ")-1),",","."),FIND("/",SUBSTITUTE(LEFT(TRIM(C353),FIND(" ",TRIM(C353)&amp;" ")-1),",","."))-1)/MID(SUBSTITUTE(LEFT(TRIM(C353),FIND(" ",TRIM(C353)&amp;" ")-1),",","."),FIND("/",SUBSTITUTE(LEFT(TRIM(C353),FIND(" ",TRIM(C353)&amp;" ")-1),",","."))+1,9))*12/52,IF(ISNUMBER(SEARCH("month",C353)),IFERROR(_xlfn.NUMBERVALUE(SUBSTITUTE(LEFT(TRIM(C353),FIND(" ",TRIM(C353)&amp;" ")-1),",","."),"."),LEFT(SUBSTITUTE(LEFT(TRIM(C353),FIND(" ",TRIM(C353)&amp;" ")-1),",","."),FIND("/",SUBSTITUTE(LEFT(TRIM(C353),FIND(" ",TRIM(C353)&amp;" ")-1),",","."))-1)/MID(SUBSTITUTE(LEFT(TRIM(C353),FIND(" ",TRIM(C353)&amp;" ")-1),",","."),FIND("/",SUBSTITUTE(LEFT(TRIM(C353),FIND(" ",TRIM(C353)&amp;" ")-1),",","."))+1,9)),IF(ISNUMBER(SEARCH("yea",C353)),IFERROR(_xlfn.NUMBERVALUE(SUBSTITUTE(LEFT(TRIM(C353),FIND(" ",TRIM(C353)&amp;" ")-1),",","."),"."),LEFT(SUBSTITUTE(LEFT(TRIM(C353),FIND(" ",TRIM(C353)&amp;" ")-1),",","."),FIND("/",SUBSTITUTE(LEFT(TRIM(C353),FIND(" ",TRIM(C353)&amp;" ")-1),",","."))-1)/MID(SUBSTITUTE(LEFT(TRIM(C353),FIND(" ",TRIM(C353)&amp;" ")-1),",","."),FIND("/",SUBSTITUTE(LEFT(TRIM(C353),FIND(" ",TRIM(C353)&amp;" ")-1),",","."))+1,9))*12,NA()))),0),12)*'Aturan &amp; Tarif'!$B$4,2)</f>
        <v>681.36</v>
      </c>
      <c r="K353" s="32" t="n">
        <f aca="false">'Aturan &amp; Tarif'!$B$5</f>
        <v>2050</v>
      </c>
      <c r="L353" s="35" t="n">
        <f aca="false">I353+J353+K353</f>
        <v>7731.36</v>
      </c>
      <c r="M353" s="37" t="s">
        <v>134</v>
      </c>
    </row>
    <row r="354" customFormat="false" ht="25.5" hidden="false" customHeight="true" outlineLevel="0" collapsed="false">
      <c r="A354" s="39" t="s">
        <v>2862</v>
      </c>
      <c r="B354" s="40" t="s">
        <v>1021</v>
      </c>
      <c r="C354" s="41" t="s">
        <v>107</v>
      </c>
      <c r="D354" s="41" t="s">
        <v>108</v>
      </c>
      <c r="E354" s="42" t="n">
        <v>2875</v>
      </c>
      <c r="F354" s="42" t="n">
        <v>1750</v>
      </c>
      <c r="G354" s="42" t="n">
        <v>250</v>
      </c>
      <c r="H354" s="43" t="n">
        <v>1</v>
      </c>
      <c r="I354" s="34" t="n">
        <f aca="false">E354*H354+N(F354)+N(G354)</f>
        <v>4875</v>
      </c>
      <c r="J354" s="42" t="n">
        <f aca="false">ROUND(IFERROR(ROUND(IF(OR(ISNUMBER(SEARCH("week",C354)),ISNUMBER(SEARCH("minggu",C354))),IFERROR(_xlfn.NUMBERVALUE(SUBSTITUTE(LEFT(TRIM(C354),FIND(" ",TRIM(C354)&amp;" ")-1),",","."),"."),LEFT(SUBSTITUTE(LEFT(TRIM(C354),FIND(" ",TRIM(C354)&amp;" ")-1),",","."),FIND("/",SUBSTITUTE(LEFT(TRIM(C354),FIND(" ",TRIM(C354)&amp;" ")-1),",","."))-1)/MID(SUBSTITUTE(LEFT(TRIM(C354),FIND(" ",TRIM(C354)&amp;" ")-1),",","."),FIND("/",SUBSTITUTE(LEFT(TRIM(C354),FIND(" ",TRIM(C354)&amp;" ")-1),",","."))+1,9))*12/52,IF(ISNUMBER(SEARCH("month",C354)),IFERROR(_xlfn.NUMBERVALUE(SUBSTITUTE(LEFT(TRIM(C354),FIND(" ",TRIM(C354)&amp;" ")-1),",","."),"."),LEFT(SUBSTITUTE(LEFT(TRIM(C354),FIND(" ",TRIM(C354)&amp;" ")-1),",","."),FIND("/",SUBSTITUTE(LEFT(TRIM(C354),FIND(" ",TRIM(C354)&amp;" ")-1),",","."))-1)/MID(SUBSTITUTE(LEFT(TRIM(C354),FIND(" ",TRIM(C354)&amp;" ")-1),",","."),FIND("/",SUBSTITUTE(LEFT(TRIM(C354),FIND(" ",TRIM(C354)&amp;" ")-1),",","."))+1,9)),IF(ISNUMBER(SEARCH("yea",C354)),IFERROR(_xlfn.NUMBERVALUE(SUBSTITUTE(LEFT(TRIM(C354),FIND(" ",TRIM(C354)&amp;" ")-1),",","."),"."),LEFT(SUBSTITUTE(LEFT(TRIM(C354),FIND(" ",TRIM(C354)&amp;" ")-1),",","."),FIND("/",SUBSTITUTE(LEFT(TRIM(C354),FIND(" ",TRIM(C354)&amp;" ")-1),",","."))-1)/MID(SUBSTITUTE(LEFT(TRIM(C354),FIND(" ",TRIM(C354)&amp;" ")-1),",","."),FIND("/",SUBSTITUTE(LEFT(TRIM(C354),FIND(" ",TRIM(C354)&amp;" ")-1),",","."))+1,9))*12,NA()))),0),24)*'Aturan &amp; Tarif'!$B$4,2)</f>
        <v>1362.72</v>
      </c>
      <c r="K354" s="42" t="n">
        <f aca="false">'Aturan &amp; Tarif'!$B$5</f>
        <v>2050</v>
      </c>
      <c r="L354" s="35" t="n">
        <f aca="false">I354+J354+K354</f>
        <v>8287.72</v>
      </c>
      <c r="M354" s="45" t="s">
        <v>134</v>
      </c>
    </row>
    <row r="355" customFormat="false" ht="14.25" hidden="false" customHeight="true" outlineLevel="0" collapsed="false">
      <c r="A355" s="39"/>
      <c r="B355" s="40" t="s">
        <v>618</v>
      </c>
      <c r="C355" s="41" t="s">
        <v>138</v>
      </c>
      <c r="D355" s="41" t="s">
        <v>108</v>
      </c>
      <c r="E355" s="42" t="n">
        <v>3200</v>
      </c>
      <c r="F355" s="42" t="n">
        <v>1750</v>
      </c>
      <c r="G355" s="42" t="n">
        <v>250</v>
      </c>
      <c r="H355" s="43" t="n">
        <v>1</v>
      </c>
      <c r="I355" s="34" t="n">
        <f aca="false">E355*H355+N(F355)+N(G355)</f>
        <v>5200</v>
      </c>
      <c r="J355" s="42" t="n">
        <f aca="false">ROUND(IFERROR(ROUND(IF(OR(ISNUMBER(SEARCH("week",C355)),ISNUMBER(SEARCH("minggu",C355))),IFERROR(_xlfn.NUMBERVALUE(SUBSTITUTE(LEFT(TRIM(C355),FIND(" ",TRIM(C355)&amp;" ")-1),",","."),"."),LEFT(SUBSTITUTE(LEFT(TRIM(C355),FIND(" ",TRIM(C355)&amp;" ")-1),",","."),FIND("/",SUBSTITUTE(LEFT(TRIM(C355),FIND(" ",TRIM(C355)&amp;" ")-1),",","."))-1)/MID(SUBSTITUTE(LEFT(TRIM(C355),FIND(" ",TRIM(C355)&amp;" ")-1),",","."),FIND("/",SUBSTITUTE(LEFT(TRIM(C355),FIND(" ",TRIM(C355)&amp;" ")-1),",","."))+1,9))*12/52,IF(ISNUMBER(SEARCH("month",C355)),IFERROR(_xlfn.NUMBERVALUE(SUBSTITUTE(LEFT(TRIM(C355),FIND(" ",TRIM(C355)&amp;" ")-1),",","."),"."),LEFT(SUBSTITUTE(LEFT(TRIM(C355),FIND(" ",TRIM(C355)&amp;" ")-1),",","."),FIND("/",SUBSTITUTE(LEFT(TRIM(C355),FIND(" ",TRIM(C355)&amp;" ")-1),",","."))-1)/MID(SUBSTITUTE(LEFT(TRIM(C355),FIND(" ",TRIM(C355)&amp;" ")-1),",","."),FIND("/",SUBSTITUTE(LEFT(TRIM(C355),FIND(" ",TRIM(C355)&amp;" ")-1),",","."))+1,9)),IF(ISNUMBER(SEARCH("yea",C355)),IFERROR(_xlfn.NUMBERVALUE(SUBSTITUTE(LEFT(TRIM(C355),FIND(" ",TRIM(C355)&amp;" ")-1),",","."),"."),LEFT(SUBSTITUTE(LEFT(TRIM(C355),FIND(" ",TRIM(C355)&amp;" ")-1),",","."),FIND("/",SUBSTITUTE(LEFT(TRIM(C355),FIND(" ",TRIM(C355)&amp;" ")-1),",","."))-1)/MID(SUBSTITUTE(LEFT(TRIM(C355),FIND(" ",TRIM(C355)&amp;" ")-1),",","."),FIND("/",SUBSTITUTE(LEFT(TRIM(C355),FIND(" ",TRIM(C355)&amp;" ")-1),",","."))+1,9))*12,NA()))),0),30)*'Aturan &amp; Tarif'!$B$4,2)</f>
        <v>1703.4</v>
      </c>
      <c r="K355" s="42" t="n">
        <f aca="false">'Aturan &amp; Tarif'!$B$5</f>
        <v>2050</v>
      </c>
      <c r="L355" s="35" t="n">
        <f aca="false">I355+J355+K355</f>
        <v>8953.4</v>
      </c>
      <c r="M355" s="45" t="s">
        <v>134</v>
      </c>
    </row>
    <row r="356" customFormat="false" ht="25.5" hidden="false" customHeight="true" outlineLevel="0" collapsed="false">
      <c r="A356" s="39"/>
      <c r="B356" s="40" t="s">
        <v>2863</v>
      </c>
      <c r="C356" s="41" t="s">
        <v>107</v>
      </c>
      <c r="D356" s="41" t="s">
        <v>108</v>
      </c>
      <c r="E356" s="42" t="n">
        <v>2875</v>
      </c>
      <c r="F356" s="42" t="n">
        <v>1000</v>
      </c>
      <c r="G356" s="42" t="n">
        <v>250</v>
      </c>
      <c r="H356" s="43" t="n">
        <v>1</v>
      </c>
      <c r="I356" s="34" t="n">
        <f aca="false">E356*H356+N(F356)+N(G356)</f>
        <v>4125</v>
      </c>
      <c r="J356" s="42" t="n">
        <f aca="false">ROUND(IFERROR(ROUND(IF(OR(ISNUMBER(SEARCH("week",C356)),ISNUMBER(SEARCH("minggu",C356))),IFERROR(_xlfn.NUMBERVALUE(SUBSTITUTE(LEFT(TRIM(C356),FIND(" ",TRIM(C356)&amp;" ")-1),",","."),"."),LEFT(SUBSTITUTE(LEFT(TRIM(C356),FIND(" ",TRIM(C356)&amp;" ")-1),",","."),FIND("/",SUBSTITUTE(LEFT(TRIM(C356),FIND(" ",TRIM(C356)&amp;" ")-1),",","."))-1)/MID(SUBSTITUTE(LEFT(TRIM(C356),FIND(" ",TRIM(C356)&amp;" ")-1),",","."),FIND("/",SUBSTITUTE(LEFT(TRIM(C356),FIND(" ",TRIM(C356)&amp;" ")-1),",","."))+1,9))*12/52,IF(ISNUMBER(SEARCH("month",C356)),IFERROR(_xlfn.NUMBERVALUE(SUBSTITUTE(LEFT(TRIM(C356),FIND(" ",TRIM(C356)&amp;" ")-1),",","."),"."),LEFT(SUBSTITUTE(LEFT(TRIM(C356),FIND(" ",TRIM(C356)&amp;" ")-1),",","."),FIND("/",SUBSTITUTE(LEFT(TRIM(C356),FIND(" ",TRIM(C356)&amp;" ")-1),",","."))-1)/MID(SUBSTITUTE(LEFT(TRIM(C356),FIND(" ",TRIM(C356)&amp;" ")-1),",","."),FIND("/",SUBSTITUTE(LEFT(TRIM(C356),FIND(" ",TRIM(C356)&amp;" ")-1),",","."))+1,9)),IF(ISNUMBER(SEARCH("yea",C356)),IFERROR(_xlfn.NUMBERVALUE(SUBSTITUTE(LEFT(TRIM(C356),FIND(" ",TRIM(C356)&amp;" ")-1),",","."),"."),LEFT(SUBSTITUTE(LEFT(TRIM(C356),FIND(" ",TRIM(C356)&amp;" ")-1),",","."),FIND("/",SUBSTITUTE(LEFT(TRIM(C356),FIND(" ",TRIM(C356)&amp;" ")-1),",","."))-1)/MID(SUBSTITUTE(LEFT(TRIM(C356),FIND(" ",TRIM(C356)&amp;" ")-1),",","."),FIND("/",SUBSTITUTE(LEFT(TRIM(C356),FIND(" ",TRIM(C356)&amp;" ")-1),",","."))+1,9))*12,NA()))),0),24)*'Aturan &amp; Tarif'!$B$4,2)</f>
        <v>1362.72</v>
      </c>
      <c r="K356" s="42" t="n">
        <f aca="false">'Aturan &amp; Tarif'!$B$5</f>
        <v>2050</v>
      </c>
      <c r="L356" s="35" t="n">
        <f aca="false">I356+J356+K356</f>
        <v>7537.72</v>
      </c>
      <c r="M356" s="45" t="s">
        <v>134</v>
      </c>
    </row>
    <row r="357" customFormat="false" ht="14.25" hidden="false" customHeight="true" outlineLevel="0" collapsed="false">
      <c r="A357" s="39"/>
      <c r="B357" s="40" t="s">
        <v>2864</v>
      </c>
      <c r="C357" s="41" t="s">
        <v>127</v>
      </c>
      <c r="D357" s="41" t="s">
        <v>108</v>
      </c>
      <c r="E357" s="42" t="n">
        <v>2875</v>
      </c>
      <c r="F357" s="42" t="n">
        <v>1500</v>
      </c>
      <c r="G357" s="42" t="n">
        <v>250</v>
      </c>
      <c r="H357" s="43" t="n">
        <v>1</v>
      </c>
      <c r="I357" s="34" t="n">
        <f aca="false">E357*H357+N(F357)+N(G357)</f>
        <v>4625</v>
      </c>
      <c r="J357" s="42" t="n">
        <f aca="false">ROUND(IFERROR(ROUND(IF(OR(ISNUMBER(SEARCH("week",C357)),ISNUMBER(SEARCH("minggu",C357))),IFERROR(_xlfn.NUMBERVALUE(SUBSTITUTE(LEFT(TRIM(C357),FIND(" ",TRIM(C357)&amp;" ")-1),",","."),"."),LEFT(SUBSTITUTE(LEFT(TRIM(C357),FIND(" ",TRIM(C357)&amp;" ")-1),",","."),FIND("/",SUBSTITUTE(LEFT(TRIM(C357),FIND(" ",TRIM(C357)&amp;" ")-1),",","."))-1)/MID(SUBSTITUTE(LEFT(TRIM(C357),FIND(" ",TRIM(C357)&amp;" ")-1),",","."),FIND("/",SUBSTITUTE(LEFT(TRIM(C357),FIND(" ",TRIM(C357)&amp;" ")-1),",","."))+1,9))*12/52,IF(ISNUMBER(SEARCH("month",C357)),IFERROR(_xlfn.NUMBERVALUE(SUBSTITUTE(LEFT(TRIM(C357),FIND(" ",TRIM(C357)&amp;" ")-1),",","."),"."),LEFT(SUBSTITUTE(LEFT(TRIM(C357),FIND(" ",TRIM(C357)&amp;" ")-1),",","."),FIND("/",SUBSTITUTE(LEFT(TRIM(C357),FIND(" ",TRIM(C357)&amp;" ")-1),",","."))-1)/MID(SUBSTITUTE(LEFT(TRIM(C357),FIND(" ",TRIM(C357)&amp;" ")-1),",","."),FIND("/",SUBSTITUTE(LEFT(TRIM(C357),FIND(" ",TRIM(C357)&amp;" ")-1),",","."))+1,9)),IF(ISNUMBER(SEARCH("yea",C357)),IFERROR(_xlfn.NUMBERVALUE(SUBSTITUTE(LEFT(TRIM(C357),FIND(" ",TRIM(C357)&amp;" ")-1),",","."),"."),LEFT(SUBSTITUTE(LEFT(TRIM(C357),FIND(" ",TRIM(C357)&amp;" ")-1),",","."),FIND("/",SUBSTITUTE(LEFT(TRIM(C357),FIND(" ",TRIM(C357)&amp;" ")-1),",","."))-1)/MID(SUBSTITUTE(LEFT(TRIM(C357),FIND(" ",TRIM(C357)&amp;" ")-1),",","."),FIND("/",SUBSTITUTE(LEFT(TRIM(C357),FIND(" ",TRIM(C357)&amp;" ")-1),",","."))+1,9))*12,NA()))),0),36)*'Aturan &amp; Tarif'!$B$4,2)</f>
        <v>2044.08</v>
      </c>
      <c r="K357" s="42" t="n">
        <f aca="false">'Aturan &amp; Tarif'!$B$5</f>
        <v>2050</v>
      </c>
      <c r="L357" s="35" t="n">
        <f aca="false">I357+J357+K357</f>
        <v>8719.08</v>
      </c>
      <c r="M357" s="45" t="s">
        <v>134</v>
      </c>
    </row>
    <row r="358" customFormat="false" ht="14.25" hidden="false" customHeight="true" outlineLevel="0" collapsed="false">
      <c r="A358" s="39"/>
      <c r="B358" s="40" t="s">
        <v>2865</v>
      </c>
      <c r="C358" s="41" t="s">
        <v>107</v>
      </c>
      <c r="D358" s="41" t="s">
        <v>108</v>
      </c>
      <c r="E358" s="42" t="n">
        <v>2875</v>
      </c>
      <c r="F358" s="42" t="n">
        <v>1000</v>
      </c>
      <c r="G358" s="42" t="n">
        <v>250</v>
      </c>
      <c r="H358" s="43" t="n">
        <v>1</v>
      </c>
      <c r="I358" s="34" t="n">
        <f aca="false">E358*H358+N(F358)+N(G358)</f>
        <v>4125</v>
      </c>
      <c r="J358" s="42" t="n">
        <f aca="false">ROUND(IFERROR(ROUND(IF(OR(ISNUMBER(SEARCH("week",C358)),ISNUMBER(SEARCH("minggu",C358))),IFERROR(_xlfn.NUMBERVALUE(SUBSTITUTE(LEFT(TRIM(C358),FIND(" ",TRIM(C358)&amp;" ")-1),",","."),"."),LEFT(SUBSTITUTE(LEFT(TRIM(C358),FIND(" ",TRIM(C358)&amp;" ")-1),",","."),FIND("/",SUBSTITUTE(LEFT(TRIM(C358),FIND(" ",TRIM(C358)&amp;" ")-1),",","."))-1)/MID(SUBSTITUTE(LEFT(TRIM(C358),FIND(" ",TRIM(C358)&amp;" ")-1),",","."),FIND("/",SUBSTITUTE(LEFT(TRIM(C358),FIND(" ",TRIM(C358)&amp;" ")-1),",","."))+1,9))*12/52,IF(ISNUMBER(SEARCH("month",C358)),IFERROR(_xlfn.NUMBERVALUE(SUBSTITUTE(LEFT(TRIM(C358),FIND(" ",TRIM(C358)&amp;" ")-1),",","."),"."),LEFT(SUBSTITUTE(LEFT(TRIM(C358),FIND(" ",TRIM(C358)&amp;" ")-1),",","."),FIND("/",SUBSTITUTE(LEFT(TRIM(C358),FIND(" ",TRIM(C358)&amp;" ")-1),",","."))-1)/MID(SUBSTITUTE(LEFT(TRIM(C358),FIND(" ",TRIM(C358)&amp;" ")-1),",","."),FIND("/",SUBSTITUTE(LEFT(TRIM(C358),FIND(" ",TRIM(C358)&amp;" ")-1),",","."))+1,9)),IF(ISNUMBER(SEARCH("yea",C358)),IFERROR(_xlfn.NUMBERVALUE(SUBSTITUTE(LEFT(TRIM(C358),FIND(" ",TRIM(C358)&amp;" ")-1),",","."),"."),LEFT(SUBSTITUTE(LEFT(TRIM(C358),FIND(" ",TRIM(C358)&amp;" ")-1),",","."),FIND("/",SUBSTITUTE(LEFT(TRIM(C358),FIND(" ",TRIM(C358)&amp;" ")-1),",","."))-1)/MID(SUBSTITUTE(LEFT(TRIM(C358),FIND(" ",TRIM(C358)&amp;" ")-1),",","."),FIND("/",SUBSTITUTE(LEFT(TRIM(C358),FIND(" ",TRIM(C358)&amp;" ")-1),",","."))+1,9))*12,NA()))),0),24)*'Aturan &amp; Tarif'!$B$4,2)</f>
        <v>1362.72</v>
      </c>
      <c r="K358" s="42" t="n">
        <f aca="false">'Aturan &amp; Tarif'!$B$5</f>
        <v>2050</v>
      </c>
      <c r="L358" s="35" t="n">
        <f aca="false">I358+J358+K358</f>
        <v>7537.72</v>
      </c>
      <c r="M358" s="45" t="s">
        <v>134</v>
      </c>
    </row>
    <row r="359" customFormat="false" ht="48.75" hidden="false" customHeight="true" outlineLevel="0" collapsed="false">
      <c r="A359" s="39"/>
      <c r="B359" s="40" t="s">
        <v>840</v>
      </c>
      <c r="C359" s="41" t="s">
        <v>107</v>
      </c>
      <c r="D359" s="41" t="s">
        <v>108</v>
      </c>
      <c r="E359" s="42" t="n">
        <v>2625</v>
      </c>
      <c r="F359" s="42" t="n">
        <v>400</v>
      </c>
      <c r="G359" s="42" t="n">
        <v>250</v>
      </c>
      <c r="H359" s="43" t="n">
        <v>1</v>
      </c>
      <c r="I359" s="34" t="n">
        <f aca="false">E359*H359+N(F359)+N(G359)</f>
        <v>3275</v>
      </c>
      <c r="J359" s="42" t="n">
        <f aca="false">ROUND(IFERROR(ROUND(IF(OR(ISNUMBER(SEARCH("week",C359)),ISNUMBER(SEARCH("minggu",C359))),IFERROR(_xlfn.NUMBERVALUE(SUBSTITUTE(LEFT(TRIM(C359),FIND(" ",TRIM(C359)&amp;" ")-1),",","."),"."),LEFT(SUBSTITUTE(LEFT(TRIM(C359),FIND(" ",TRIM(C359)&amp;" ")-1),",","."),FIND("/",SUBSTITUTE(LEFT(TRIM(C359),FIND(" ",TRIM(C359)&amp;" ")-1),",","."))-1)/MID(SUBSTITUTE(LEFT(TRIM(C359),FIND(" ",TRIM(C359)&amp;" ")-1),",","."),FIND("/",SUBSTITUTE(LEFT(TRIM(C359),FIND(" ",TRIM(C359)&amp;" ")-1),",","."))+1,9))*12/52,IF(ISNUMBER(SEARCH("month",C359)),IFERROR(_xlfn.NUMBERVALUE(SUBSTITUTE(LEFT(TRIM(C359),FIND(" ",TRIM(C359)&amp;" ")-1),",","."),"."),LEFT(SUBSTITUTE(LEFT(TRIM(C359),FIND(" ",TRIM(C359)&amp;" ")-1),",","."),FIND("/",SUBSTITUTE(LEFT(TRIM(C359),FIND(" ",TRIM(C359)&amp;" ")-1),",","."))-1)/MID(SUBSTITUTE(LEFT(TRIM(C359),FIND(" ",TRIM(C359)&amp;" ")-1),",","."),FIND("/",SUBSTITUTE(LEFT(TRIM(C359),FIND(" ",TRIM(C359)&amp;" ")-1),",","."))+1,9)),IF(ISNUMBER(SEARCH("yea",C359)),IFERROR(_xlfn.NUMBERVALUE(SUBSTITUTE(LEFT(TRIM(C359),FIND(" ",TRIM(C359)&amp;" ")-1),",","."),"."),LEFT(SUBSTITUTE(LEFT(TRIM(C359),FIND(" ",TRIM(C359)&amp;" ")-1),",","."),FIND("/",SUBSTITUTE(LEFT(TRIM(C359),FIND(" ",TRIM(C359)&amp;" ")-1),",","."))-1)/MID(SUBSTITUTE(LEFT(TRIM(C359),FIND(" ",TRIM(C359)&amp;" ")-1),",","."),FIND("/",SUBSTITUTE(LEFT(TRIM(C359),FIND(" ",TRIM(C359)&amp;" ")-1),",","."))+1,9))*12,NA()))),0),24)*'Aturan &amp; Tarif'!$B$4,2)</f>
        <v>1362.72</v>
      </c>
      <c r="K359" s="42" t="n">
        <f aca="false">'Aturan &amp; Tarif'!$B$5</f>
        <v>2050</v>
      </c>
      <c r="L359" s="35" t="n">
        <f aca="false">I359+J359+K359</f>
        <v>6687.72</v>
      </c>
      <c r="M359" s="45" t="s">
        <v>134</v>
      </c>
    </row>
    <row r="360" customFormat="false" ht="37.5" hidden="false" customHeight="true" outlineLevel="0" collapsed="false">
      <c r="A360" s="39"/>
      <c r="B360" s="40" t="s">
        <v>3362</v>
      </c>
      <c r="C360" s="41" t="s">
        <v>107</v>
      </c>
      <c r="D360" s="41" t="s">
        <v>108</v>
      </c>
      <c r="E360" s="42" t="n">
        <v>2625</v>
      </c>
      <c r="F360" s="42" t="n">
        <v>400</v>
      </c>
      <c r="G360" s="42" t="n">
        <v>250</v>
      </c>
      <c r="H360" s="43" t="n">
        <v>1</v>
      </c>
      <c r="I360" s="34" t="n">
        <f aca="false">E360*H360+N(F360)+N(G360)</f>
        <v>3275</v>
      </c>
      <c r="J360" s="42" t="n">
        <f aca="false">ROUND(IFERROR(ROUND(IF(OR(ISNUMBER(SEARCH("week",C360)),ISNUMBER(SEARCH("minggu",C360))),IFERROR(_xlfn.NUMBERVALUE(SUBSTITUTE(LEFT(TRIM(C360),FIND(" ",TRIM(C360)&amp;" ")-1),",","."),"."),LEFT(SUBSTITUTE(LEFT(TRIM(C360),FIND(" ",TRIM(C360)&amp;" ")-1),",","."),FIND("/",SUBSTITUTE(LEFT(TRIM(C360),FIND(" ",TRIM(C360)&amp;" ")-1),",","."))-1)/MID(SUBSTITUTE(LEFT(TRIM(C360),FIND(" ",TRIM(C360)&amp;" ")-1),",","."),FIND("/",SUBSTITUTE(LEFT(TRIM(C360),FIND(" ",TRIM(C360)&amp;" ")-1),",","."))+1,9))*12/52,IF(ISNUMBER(SEARCH("month",C360)),IFERROR(_xlfn.NUMBERVALUE(SUBSTITUTE(LEFT(TRIM(C360),FIND(" ",TRIM(C360)&amp;" ")-1),",","."),"."),LEFT(SUBSTITUTE(LEFT(TRIM(C360),FIND(" ",TRIM(C360)&amp;" ")-1),",","."),FIND("/",SUBSTITUTE(LEFT(TRIM(C360),FIND(" ",TRIM(C360)&amp;" ")-1),",","."))-1)/MID(SUBSTITUTE(LEFT(TRIM(C360),FIND(" ",TRIM(C360)&amp;" ")-1),",","."),FIND("/",SUBSTITUTE(LEFT(TRIM(C360),FIND(" ",TRIM(C360)&amp;" ")-1),",","."))+1,9)),IF(ISNUMBER(SEARCH("yea",C360)),IFERROR(_xlfn.NUMBERVALUE(SUBSTITUTE(LEFT(TRIM(C360),FIND(" ",TRIM(C360)&amp;" ")-1),",","."),"."),LEFT(SUBSTITUTE(LEFT(TRIM(C360),FIND(" ",TRIM(C360)&amp;" ")-1),",","."),FIND("/",SUBSTITUTE(LEFT(TRIM(C360),FIND(" ",TRIM(C360)&amp;" ")-1),",","."))-1)/MID(SUBSTITUTE(LEFT(TRIM(C360),FIND(" ",TRIM(C360)&amp;" ")-1),",","."),FIND("/",SUBSTITUTE(LEFT(TRIM(C360),FIND(" ",TRIM(C360)&amp;" ")-1),",","."))+1,9))*12,NA()))),0),24)*'Aturan &amp; Tarif'!$B$4,2)</f>
        <v>1362.72</v>
      </c>
      <c r="K360" s="42" t="n">
        <f aca="false">'Aturan &amp; Tarif'!$B$5</f>
        <v>2050</v>
      </c>
      <c r="L360" s="35" t="n">
        <f aca="false">I360+J360+K360</f>
        <v>6687.72</v>
      </c>
      <c r="M360" s="44" t="s">
        <v>1905</v>
      </c>
    </row>
    <row r="361" customFormat="false" ht="37.5" hidden="false" customHeight="true" outlineLevel="0" collapsed="false">
      <c r="A361" s="29" t="s">
        <v>2866</v>
      </c>
      <c r="B361" s="30" t="s">
        <v>1145</v>
      </c>
      <c r="C361" s="31" t="s">
        <v>2164</v>
      </c>
      <c r="D361" s="31" t="s">
        <v>108</v>
      </c>
      <c r="E361" s="32" t="n">
        <v>4750</v>
      </c>
      <c r="F361" s="32" t="n">
        <v>8250</v>
      </c>
      <c r="G361" s="32" t="n">
        <v>250</v>
      </c>
      <c r="H361" s="33" t="n">
        <v>1</v>
      </c>
      <c r="I361" s="34" t="n">
        <f aca="false">E361*H361+N(F361)+N(G361)</f>
        <v>13250</v>
      </c>
      <c r="J361" s="32" t="n">
        <f aca="false">ROUND(IFERROR(ROUND(IF(OR(ISNUMBER(SEARCH("week",C361)),ISNUMBER(SEARCH("minggu",C361))),IFERROR(_xlfn.NUMBERVALUE(SUBSTITUTE(LEFT(TRIM(C361),FIND(" ",TRIM(C361)&amp;" ")-1),",","."),"."),LEFT(SUBSTITUTE(LEFT(TRIM(C361),FIND(" ",TRIM(C361)&amp;" ")-1),",","."),FIND("/",SUBSTITUTE(LEFT(TRIM(C361),FIND(" ",TRIM(C361)&amp;" ")-1),",","."))-1)/MID(SUBSTITUTE(LEFT(TRIM(C361),FIND(" ",TRIM(C361)&amp;" ")-1),",","."),FIND("/",SUBSTITUTE(LEFT(TRIM(C361),FIND(" ",TRIM(C361)&amp;" ")-1),",","."))+1,9))*12/52,IF(ISNUMBER(SEARCH("month",C361)),IFERROR(_xlfn.NUMBERVALUE(SUBSTITUTE(LEFT(TRIM(C361),FIND(" ",TRIM(C361)&amp;" ")-1),",","."),"."),LEFT(SUBSTITUTE(LEFT(TRIM(C361),FIND(" ",TRIM(C361)&amp;" ")-1),",","."),FIND("/",SUBSTITUTE(LEFT(TRIM(C361),FIND(" ",TRIM(C361)&amp;" ")-1),",","."))-1)/MID(SUBSTITUTE(LEFT(TRIM(C361),FIND(" ",TRIM(C361)&amp;" ")-1),",","."),FIND("/",SUBSTITUTE(LEFT(TRIM(C361),FIND(" ",TRIM(C361)&amp;" ")-1),",","."))+1,9)),IF(ISNUMBER(SEARCH("yea",C361)),IFERROR(_xlfn.NUMBERVALUE(SUBSTITUTE(LEFT(TRIM(C361),FIND(" ",TRIM(C361)&amp;" ")-1),",","."),"."),LEFT(SUBSTITUTE(LEFT(TRIM(C361),FIND(" ",TRIM(C361)&amp;" ")-1),",","."),FIND("/",SUBSTITUTE(LEFT(TRIM(C361),FIND(" ",TRIM(C361)&amp;" ")-1),",","."))-1)/MID(SUBSTITUTE(LEFT(TRIM(C361),FIND(" ",TRIM(C361)&amp;" ")-1),",","."),FIND("/",SUBSTITUTE(LEFT(TRIM(C361),FIND(" ",TRIM(C361)&amp;" ")-1),",","."))+1,9))*12,NA()))),0),18)*'Aturan &amp; Tarif'!$B$4,2)</f>
        <v>1022.04</v>
      </c>
      <c r="K361" s="32" t="n">
        <f aca="false">'Aturan &amp; Tarif'!$B$5</f>
        <v>2050</v>
      </c>
      <c r="L361" s="35" t="n">
        <f aca="false">I361+J361+K361</f>
        <v>16322.04</v>
      </c>
      <c r="M361" s="37" t="s">
        <v>3363</v>
      </c>
    </row>
    <row r="362" customFormat="false" ht="48.75" hidden="false" customHeight="true" outlineLevel="0" collapsed="false">
      <c r="A362" s="29"/>
      <c r="B362" s="30" t="s">
        <v>3364</v>
      </c>
      <c r="C362" s="31" t="s">
        <v>138</v>
      </c>
      <c r="D362" s="31" t="s">
        <v>108</v>
      </c>
      <c r="E362" s="32" t="n">
        <v>3150</v>
      </c>
      <c r="F362" s="32" t="n">
        <v>1000</v>
      </c>
      <c r="G362" s="32" t="n">
        <v>250</v>
      </c>
      <c r="H362" s="33" t="n">
        <v>1</v>
      </c>
      <c r="I362" s="34" t="n">
        <f aca="false">E362*H362+N(F362)+N(G362)</f>
        <v>4400</v>
      </c>
      <c r="J362" s="32" t="n">
        <f aca="false">ROUND(IFERROR(ROUND(IF(OR(ISNUMBER(SEARCH("week",C362)),ISNUMBER(SEARCH("minggu",C362))),IFERROR(_xlfn.NUMBERVALUE(SUBSTITUTE(LEFT(TRIM(C362),FIND(" ",TRIM(C362)&amp;" ")-1),",","."),"."),LEFT(SUBSTITUTE(LEFT(TRIM(C362),FIND(" ",TRIM(C362)&amp;" ")-1),",","."),FIND("/",SUBSTITUTE(LEFT(TRIM(C362),FIND(" ",TRIM(C362)&amp;" ")-1),",","."))-1)/MID(SUBSTITUTE(LEFT(TRIM(C362),FIND(" ",TRIM(C362)&amp;" ")-1),",","."),FIND("/",SUBSTITUTE(LEFT(TRIM(C362),FIND(" ",TRIM(C362)&amp;" ")-1),",","."))+1,9))*12/52,IF(ISNUMBER(SEARCH("month",C362)),IFERROR(_xlfn.NUMBERVALUE(SUBSTITUTE(LEFT(TRIM(C362),FIND(" ",TRIM(C362)&amp;" ")-1),",","."),"."),LEFT(SUBSTITUTE(LEFT(TRIM(C362),FIND(" ",TRIM(C362)&amp;" ")-1),",","."),FIND("/",SUBSTITUTE(LEFT(TRIM(C362),FIND(" ",TRIM(C362)&amp;" ")-1),",","."))-1)/MID(SUBSTITUTE(LEFT(TRIM(C362),FIND(" ",TRIM(C362)&amp;" ")-1),",","."),FIND("/",SUBSTITUTE(LEFT(TRIM(C362),FIND(" ",TRIM(C362)&amp;" ")-1),",","."))+1,9)),IF(ISNUMBER(SEARCH("yea",C362)),IFERROR(_xlfn.NUMBERVALUE(SUBSTITUTE(LEFT(TRIM(C362),FIND(" ",TRIM(C362)&amp;" ")-1),",","."),"."),LEFT(SUBSTITUTE(LEFT(TRIM(C362),FIND(" ",TRIM(C362)&amp;" ")-1),",","."),FIND("/",SUBSTITUTE(LEFT(TRIM(C362),FIND(" ",TRIM(C362)&amp;" ")-1),",","."))-1)/MID(SUBSTITUTE(LEFT(TRIM(C362),FIND(" ",TRIM(C362)&amp;" ")-1),",","."),FIND("/",SUBSTITUTE(LEFT(TRIM(C362),FIND(" ",TRIM(C362)&amp;" ")-1),",","."))+1,9))*12,NA()))),0),30)*'Aturan &amp; Tarif'!$B$4,2)</f>
        <v>1703.4</v>
      </c>
      <c r="K362" s="32" t="n">
        <f aca="false">'Aturan &amp; Tarif'!$B$5</f>
        <v>2050</v>
      </c>
      <c r="L362" s="35" t="n">
        <f aca="false">I362+J362+K362</f>
        <v>8153.4</v>
      </c>
      <c r="M362" s="36" t="s">
        <v>3365</v>
      </c>
    </row>
    <row r="363" customFormat="false" ht="14.25" hidden="false" customHeight="true" outlineLevel="0" collapsed="false">
      <c r="A363" s="29"/>
      <c r="B363" s="30" t="s">
        <v>3366</v>
      </c>
      <c r="C363" s="31" t="s">
        <v>138</v>
      </c>
      <c r="D363" s="31" t="s">
        <v>108</v>
      </c>
      <c r="E363" s="32" t="n">
        <v>48000</v>
      </c>
      <c r="F363" s="32" t="n">
        <v>2750</v>
      </c>
      <c r="G363" s="32" t="n">
        <v>250</v>
      </c>
      <c r="H363" s="33" t="n">
        <v>1</v>
      </c>
      <c r="I363" s="34" t="n">
        <f aca="false">E363*H363+N(F363)+N(G363)</f>
        <v>51000</v>
      </c>
      <c r="J363" s="32" t="n">
        <f aca="false">ROUND(IFERROR(ROUND(IF(OR(ISNUMBER(SEARCH("week",C363)),ISNUMBER(SEARCH("minggu",C363))),IFERROR(_xlfn.NUMBERVALUE(SUBSTITUTE(LEFT(TRIM(C363),FIND(" ",TRIM(C363)&amp;" ")-1),",","."),"."),LEFT(SUBSTITUTE(LEFT(TRIM(C363),FIND(" ",TRIM(C363)&amp;" ")-1),",","."),FIND("/",SUBSTITUTE(LEFT(TRIM(C363),FIND(" ",TRIM(C363)&amp;" ")-1),",","."))-1)/MID(SUBSTITUTE(LEFT(TRIM(C363),FIND(" ",TRIM(C363)&amp;" ")-1),",","."),FIND("/",SUBSTITUTE(LEFT(TRIM(C363),FIND(" ",TRIM(C363)&amp;" ")-1),",","."))+1,9))*12/52,IF(ISNUMBER(SEARCH("month",C363)),IFERROR(_xlfn.NUMBERVALUE(SUBSTITUTE(LEFT(TRIM(C363),FIND(" ",TRIM(C363)&amp;" ")-1),",","."),"."),LEFT(SUBSTITUTE(LEFT(TRIM(C363),FIND(" ",TRIM(C363)&amp;" ")-1),",","."),FIND("/",SUBSTITUTE(LEFT(TRIM(C363),FIND(" ",TRIM(C363)&amp;" ")-1),",","."))-1)/MID(SUBSTITUTE(LEFT(TRIM(C363),FIND(" ",TRIM(C363)&amp;" ")-1),",","."),FIND("/",SUBSTITUTE(LEFT(TRIM(C363),FIND(" ",TRIM(C363)&amp;" ")-1),",","."))+1,9)),IF(ISNUMBER(SEARCH("yea",C363)),IFERROR(_xlfn.NUMBERVALUE(SUBSTITUTE(LEFT(TRIM(C363),FIND(" ",TRIM(C363)&amp;" ")-1),",","."),"."),LEFT(SUBSTITUTE(LEFT(TRIM(C363),FIND(" ",TRIM(C363)&amp;" ")-1),",","."),FIND("/",SUBSTITUTE(LEFT(TRIM(C363),FIND(" ",TRIM(C363)&amp;" ")-1),",","."))-1)/MID(SUBSTITUTE(LEFT(TRIM(C363),FIND(" ",TRIM(C363)&amp;" ")-1),",","."),FIND("/",SUBSTITUTE(LEFT(TRIM(C363),FIND(" ",TRIM(C363)&amp;" ")-1),",","."))+1,9))*12,NA()))),0),30)*'Aturan &amp; Tarif'!$B$4,2)</f>
        <v>1703.4</v>
      </c>
      <c r="K363" s="32" t="n">
        <f aca="false">'Aturan &amp; Tarif'!$B$5</f>
        <v>2050</v>
      </c>
      <c r="L363" s="35" t="n">
        <f aca="false">I363+J363+K363</f>
        <v>54753.4</v>
      </c>
      <c r="M363" s="36" t="s">
        <v>3367</v>
      </c>
    </row>
    <row r="364" customFormat="false" ht="25.5" hidden="false" customHeight="true" outlineLevel="0" collapsed="false">
      <c r="A364" s="29"/>
      <c r="B364" s="30" t="s">
        <v>2871</v>
      </c>
      <c r="C364" s="31" t="s">
        <v>3368</v>
      </c>
      <c r="D364" s="31" t="s">
        <v>108</v>
      </c>
      <c r="E364" s="32" t="n">
        <v>2750</v>
      </c>
      <c r="F364" s="32" t="n">
        <v>2750</v>
      </c>
      <c r="G364" s="32" t="n">
        <v>250</v>
      </c>
      <c r="H364" s="33" t="n">
        <v>1</v>
      </c>
      <c r="I364" s="34" t="n">
        <f aca="false">E364*H364+N(F364)+N(G364)</f>
        <v>5750</v>
      </c>
      <c r="J364" s="32" t="n">
        <f aca="false">ROUND(IFERROR(ROUND(IF(OR(ISNUMBER(SEARCH("week",C364)),ISNUMBER(SEARCH("minggu",C364))),IFERROR(_xlfn.NUMBERVALUE(SUBSTITUTE(LEFT(TRIM(C364),FIND(" ",TRIM(C364)&amp;" ")-1),",","."),"."),LEFT(SUBSTITUTE(LEFT(TRIM(C364),FIND(" ",TRIM(C364)&amp;" ")-1),",","."),FIND("/",SUBSTITUTE(LEFT(TRIM(C364),FIND(" ",TRIM(C364)&amp;" ")-1),",","."))-1)/MID(SUBSTITUTE(LEFT(TRIM(C364),FIND(" ",TRIM(C364)&amp;" ")-1),",","."),FIND("/",SUBSTITUTE(LEFT(TRIM(C364),FIND(" ",TRIM(C364)&amp;" ")-1),",","."))+1,9))*12/52,IF(ISNUMBER(SEARCH("month",C364)),IFERROR(_xlfn.NUMBERVALUE(SUBSTITUTE(LEFT(TRIM(C364),FIND(" ",TRIM(C364)&amp;" ")-1),",","."),"."),LEFT(SUBSTITUTE(LEFT(TRIM(C364),FIND(" ",TRIM(C364)&amp;" ")-1),",","."),FIND("/",SUBSTITUTE(LEFT(TRIM(C364),FIND(" ",TRIM(C364)&amp;" ")-1),",","."))-1)/MID(SUBSTITUTE(LEFT(TRIM(C364),FIND(" ",TRIM(C364)&amp;" ")-1),",","."),FIND("/",SUBSTITUTE(LEFT(TRIM(C364),FIND(" ",TRIM(C364)&amp;" ")-1),",","."))+1,9)),IF(ISNUMBER(SEARCH("yea",C364)),IFERROR(_xlfn.NUMBERVALUE(SUBSTITUTE(LEFT(TRIM(C364),FIND(" ",TRIM(C364)&amp;" ")-1),",","."),"."),LEFT(SUBSTITUTE(LEFT(TRIM(C364),FIND(" ",TRIM(C364)&amp;" ")-1),",","."),FIND("/",SUBSTITUTE(LEFT(TRIM(C364),FIND(" ",TRIM(C364)&amp;" ")-1),",","."))-1)/MID(SUBSTITUTE(LEFT(TRIM(C364),FIND(" ",TRIM(C364)&amp;" ")-1),",","."),FIND("/",SUBSTITUTE(LEFT(TRIM(C364),FIND(" ",TRIM(C364)&amp;" ")-1),",","."))+1,9))*12,NA()))),0),22)*'Aturan &amp; Tarif'!$B$4,2)</f>
        <v>1249.16</v>
      </c>
      <c r="K364" s="32" t="n">
        <f aca="false">'Aturan &amp; Tarif'!$B$5</f>
        <v>2050</v>
      </c>
      <c r="L364" s="35" t="n">
        <f aca="false">I364+J364+K364</f>
        <v>9049.16</v>
      </c>
      <c r="M364" s="37" t="s">
        <v>3369</v>
      </c>
    </row>
    <row r="365" customFormat="false" ht="37.5" hidden="false" customHeight="true" outlineLevel="0" collapsed="false">
      <c r="A365" s="29"/>
      <c r="B365" s="30" t="s">
        <v>2874</v>
      </c>
      <c r="C365" s="31" t="s">
        <v>3370</v>
      </c>
      <c r="D365" s="31" t="s">
        <v>108</v>
      </c>
      <c r="E365" s="32" t="n">
        <v>3000</v>
      </c>
      <c r="F365" s="32" t="n">
        <v>1000</v>
      </c>
      <c r="G365" s="32" t="n">
        <v>250</v>
      </c>
      <c r="H365" s="33" t="n">
        <v>1</v>
      </c>
      <c r="I365" s="34" t="n">
        <f aca="false">E365*H365+N(F365)+N(G365)</f>
        <v>4250</v>
      </c>
      <c r="J365" s="32" t="n">
        <f aca="false">ROUND(IFERROR(ROUND(IF(OR(ISNUMBER(SEARCH("week",C365)),ISNUMBER(SEARCH("minggu",C365))),IFERROR(_xlfn.NUMBERVALUE(SUBSTITUTE(LEFT(TRIM(C365),FIND(" ",TRIM(C365)&amp;" ")-1),",","."),"."),LEFT(SUBSTITUTE(LEFT(TRIM(C365),FIND(" ",TRIM(C365)&amp;" ")-1),",","."),FIND("/",SUBSTITUTE(LEFT(TRIM(C365),FIND(" ",TRIM(C365)&amp;" ")-1),",","."))-1)/MID(SUBSTITUTE(LEFT(TRIM(C365),FIND(" ",TRIM(C365)&amp;" ")-1),",","."),FIND("/",SUBSTITUTE(LEFT(TRIM(C365),FIND(" ",TRIM(C365)&amp;" ")-1),",","."))+1,9))*12/52,IF(ISNUMBER(SEARCH("month",C365)),IFERROR(_xlfn.NUMBERVALUE(SUBSTITUTE(LEFT(TRIM(C365),FIND(" ",TRIM(C365)&amp;" ")-1),",","."),"."),LEFT(SUBSTITUTE(LEFT(TRIM(C365),FIND(" ",TRIM(C365)&amp;" ")-1),",","."),FIND("/",SUBSTITUTE(LEFT(TRIM(C365),FIND(" ",TRIM(C365)&amp;" ")-1),",","."))-1)/MID(SUBSTITUTE(LEFT(TRIM(C365),FIND(" ",TRIM(C365)&amp;" ")-1),",","."),FIND("/",SUBSTITUTE(LEFT(TRIM(C365),FIND(" ",TRIM(C365)&amp;" ")-1),",","."))+1,9)),IF(ISNUMBER(SEARCH("yea",C365)),IFERROR(_xlfn.NUMBERVALUE(SUBSTITUTE(LEFT(TRIM(C365),FIND(" ",TRIM(C365)&amp;" ")-1),",","."),"."),LEFT(SUBSTITUTE(LEFT(TRIM(C365),FIND(" ",TRIM(C365)&amp;" ")-1),",","."),FIND("/",SUBSTITUTE(LEFT(TRIM(C365),FIND(" ",TRIM(C365)&amp;" ")-1),",","."))-1)/MID(SUBSTITUTE(LEFT(TRIM(C365),FIND(" ",TRIM(C365)&amp;" ")-1),",","."),FIND("/",SUBSTITUTE(LEFT(TRIM(C365),FIND(" ",TRIM(C365)&amp;" ")-1),",","."))+1,9))*12,NA()))),0),13)*'Aturan &amp; Tarif'!$B$4,2)</f>
        <v>738.14</v>
      </c>
      <c r="K365" s="32" t="n">
        <f aca="false">'Aturan &amp; Tarif'!$B$5</f>
        <v>2050</v>
      </c>
      <c r="L365" s="35" t="n">
        <f aca="false">I365+J365+K365</f>
        <v>7038.14</v>
      </c>
      <c r="M365" s="37" t="s">
        <v>3371</v>
      </c>
    </row>
    <row r="366" customFormat="false" ht="48.75" hidden="false" customHeight="true" outlineLevel="0" collapsed="false">
      <c r="A366" s="29"/>
      <c r="B366" s="30" t="s">
        <v>470</v>
      </c>
      <c r="C366" s="31" t="s">
        <v>113</v>
      </c>
      <c r="D366" s="31" t="s">
        <v>108</v>
      </c>
      <c r="E366" s="32" t="n">
        <v>3000</v>
      </c>
      <c r="F366" s="32" t="n">
        <v>1000</v>
      </c>
      <c r="G366" s="32" t="n">
        <v>250</v>
      </c>
      <c r="H366" s="33" t="n">
        <v>1</v>
      </c>
      <c r="I366" s="34" t="n">
        <f aca="false">E366*H366+N(F366)+N(G366)</f>
        <v>4250</v>
      </c>
      <c r="J366" s="32" t="n">
        <f aca="false">ROUND(IFERROR(ROUND(IF(OR(ISNUMBER(SEARCH("week",C366)),ISNUMBER(SEARCH("minggu",C366))),IFERROR(_xlfn.NUMBERVALUE(SUBSTITUTE(LEFT(TRIM(C366),FIND(" ",TRIM(C366)&amp;" ")-1),",","."),"."),LEFT(SUBSTITUTE(LEFT(TRIM(C366),FIND(" ",TRIM(C366)&amp;" ")-1),",","."),FIND("/",SUBSTITUTE(LEFT(TRIM(C366),FIND(" ",TRIM(C366)&amp;" ")-1),",","."))-1)/MID(SUBSTITUTE(LEFT(TRIM(C366),FIND(" ",TRIM(C366)&amp;" ")-1),",","."),FIND("/",SUBSTITUTE(LEFT(TRIM(C366),FIND(" ",TRIM(C366)&amp;" ")-1),",","."))+1,9))*12/52,IF(ISNUMBER(SEARCH("month",C366)),IFERROR(_xlfn.NUMBERVALUE(SUBSTITUTE(LEFT(TRIM(C366),FIND(" ",TRIM(C366)&amp;" ")-1),",","."),"."),LEFT(SUBSTITUTE(LEFT(TRIM(C366),FIND(" ",TRIM(C366)&amp;" ")-1),",","."),FIND("/",SUBSTITUTE(LEFT(TRIM(C366),FIND(" ",TRIM(C366)&amp;" ")-1),",","."))-1)/MID(SUBSTITUTE(LEFT(TRIM(C366),FIND(" ",TRIM(C366)&amp;" ")-1),",","."),FIND("/",SUBSTITUTE(LEFT(TRIM(C366),FIND(" ",TRIM(C366)&amp;" ")-1),",","."))+1,9)),IF(ISNUMBER(SEARCH("yea",C366)),IFERROR(_xlfn.NUMBERVALUE(SUBSTITUTE(LEFT(TRIM(C366),FIND(" ",TRIM(C366)&amp;" ")-1),",","."),"."),LEFT(SUBSTITUTE(LEFT(TRIM(C366),FIND(" ",TRIM(C366)&amp;" ")-1),",","."),FIND("/",SUBSTITUTE(LEFT(TRIM(C366),FIND(" ",TRIM(C366)&amp;" ")-1),",","."))-1)/MID(SUBSTITUTE(LEFT(TRIM(C366),FIND(" ",TRIM(C366)&amp;" ")-1),",","."),FIND("/",SUBSTITUTE(LEFT(TRIM(C366),FIND(" ",TRIM(C366)&amp;" ")-1),",","."))+1,9))*12,NA()))),0),18)*'Aturan &amp; Tarif'!$B$4,2)</f>
        <v>1022.04</v>
      </c>
      <c r="K366" s="32" t="n">
        <f aca="false">'Aturan &amp; Tarif'!$B$5</f>
        <v>2050</v>
      </c>
      <c r="L366" s="35" t="n">
        <f aca="false">I366+J366+K366</f>
        <v>7322.04</v>
      </c>
      <c r="M366" s="37" t="s">
        <v>3372</v>
      </c>
    </row>
    <row r="367" customFormat="false" ht="48.75" hidden="false" customHeight="true" outlineLevel="0" collapsed="false">
      <c r="A367" s="29"/>
      <c r="B367" s="30" t="s">
        <v>2879</v>
      </c>
      <c r="C367" s="31" t="s">
        <v>107</v>
      </c>
      <c r="D367" s="31" t="s">
        <v>108</v>
      </c>
      <c r="E367" s="32" t="n">
        <v>3000</v>
      </c>
      <c r="F367" s="32" t="n">
        <v>1000</v>
      </c>
      <c r="G367" s="32" t="n">
        <v>250</v>
      </c>
      <c r="H367" s="33" t="n">
        <v>1</v>
      </c>
      <c r="I367" s="34" t="n">
        <f aca="false">E367*H367+N(F367)+N(G367)</f>
        <v>4250</v>
      </c>
      <c r="J367" s="32" t="n">
        <f aca="false">ROUND(IFERROR(ROUND(IF(OR(ISNUMBER(SEARCH("week",C367)),ISNUMBER(SEARCH("minggu",C367))),IFERROR(_xlfn.NUMBERVALUE(SUBSTITUTE(LEFT(TRIM(C367),FIND(" ",TRIM(C367)&amp;" ")-1),",","."),"."),LEFT(SUBSTITUTE(LEFT(TRIM(C367),FIND(" ",TRIM(C367)&amp;" ")-1),",","."),FIND("/",SUBSTITUTE(LEFT(TRIM(C367),FIND(" ",TRIM(C367)&amp;" ")-1),",","."))-1)/MID(SUBSTITUTE(LEFT(TRIM(C367),FIND(" ",TRIM(C367)&amp;" ")-1),",","."),FIND("/",SUBSTITUTE(LEFT(TRIM(C367),FIND(" ",TRIM(C367)&amp;" ")-1),",","."))+1,9))*12/52,IF(ISNUMBER(SEARCH("month",C367)),IFERROR(_xlfn.NUMBERVALUE(SUBSTITUTE(LEFT(TRIM(C367),FIND(" ",TRIM(C367)&amp;" ")-1),",","."),"."),LEFT(SUBSTITUTE(LEFT(TRIM(C367),FIND(" ",TRIM(C367)&amp;" ")-1),",","."),FIND("/",SUBSTITUTE(LEFT(TRIM(C367),FIND(" ",TRIM(C367)&amp;" ")-1),",","."))-1)/MID(SUBSTITUTE(LEFT(TRIM(C367),FIND(" ",TRIM(C367)&amp;" ")-1),",","."),FIND("/",SUBSTITUTE(LEFT(TRIM(C367),FIND(" ",TRIM(C367)&amp;" ")-1),",","."))+1,9)),IF(ISNUMBER(SEARCH("yea",C367)),IFERROR(_xlfn.NUMBERVALUE(SUBSTITUTE(LEFT(TRIM(C367),FIND(" ",TRIM(C367)&amp;" ")-1),",","."),"."),LEFT(SUBSTITUTE(LEFT(TRIM(C367),FIND(" ",TRIM(C367)&amp;" ")-1),",","."),FIND("/",SUBSTITUTE(LEFT(TRIM(C367),FIND(" ",TRIM(C367)&amp;" ")-1),",","."))-1)/MID(SUBSTITUTE(LEFT(TRIM(C367),FIND(" ",TRIM(C367)&amp;" ")-1),",","."),FIND("/",SUBSTITUTE(LEFT(TRIM(C367),FIND(" ",TRIM(C367)&amp;" ")-1),",","."))+1,9))*12,NA()))),0),24)*'Aturan &amp; Tarif'!$B$4,2)</f>
        <v>1362.72</v>
      </c>
      <c r="K367" s="32" t="n">
        <f aca="false">'Aturan &amp; Tarif'!$B$5</f>
        <v>2050</v>
      </c>
      <c r="L367" s="35" t="n">
        <f aca="false">I367+J367+K367</f>
        <v>7662.72</v>
      </c>
      <c r="M367" s="36" t="s">
        <v>3373</v>
      </c>
    </row>
    <row r="368" customFormat="false" ht="25.5" hidden="false" customHeight="true" outlineLevel="0" collapsed="false">
      <c r="A368" s="39" t="s">
        <v>2881</v>
      </c>
      <c r="B368" s="40" t="s">
        <v>2234</v>
      </c>
      <c r="C368" s="41" t="s">
        <v>127</v>
      </c>
      <c r="D368" s="41" t="s">
        <v>108</v>
      </c>
      <c r="E368" s="42" t="n">
        <v>4500</v>
      </c>
      <c r="F368" s="42" t="n">
        <v>1500</v>
      </c>
      <c r="G368" s="42" t="n">
        <v>250</v>
      </c>
      <c r="H368" s="43" t="n">
        <v>2</v>
      </c>
      <c r="I368" s="34" t="n">
        <f aca="false">E368*H368+N(F368)+N(G368)</f>
        <v>10750</v>
      </c>
      <c r="J368" s="42" t="n">
        <f aca="false">ROUND(IFERROR(ROUND(IF(OR(ISNUMBER(SEARCH("week",C368)),ISNUMBER(SEARCH("minggu",C368))),IFERROR(_xlfn.NUMBERVALUE(SUBSTITUTE(LEFT(TRIM(C368),FIND(" ",TRIM(C368)&amp;" ")-1),",","."),"."),LEFT(SUBSTITUTE(LEFT(TRIM(C368),FIND(" ",TRIM(C368)&amp;" ")-1),",","."),FIND("/",SUBSTITUTE(LEFT(TRIM(C368),FIND(" ",TRIM(C368)&amp;" ")-1),",","."))-1)/MID(SUBSTITUTE(LEFT(TRIM(C368),FIND(" ",TRIM(C368)&amp;" ")-1),",","."),FIND("/",SUBSTITUTE(LEFT(TRIM(C368),FIND(" ",TRIM(C368)&amp;" ")-1),",","."))+1,9))*12/52,IF(ISNUMBER(SEARCH("month",C368)),IFERROR(_xlfn.NUMBERVALUE(SUBSTITUTE(LEFT(TRIM(C368),FIND(" ",TRIM(C368)&amp;" ")-1),",","."),"."),LEFT(SUBSTITUTE(LEFT(TRIM(C368),FIND(" ",TRIM(C368)&amp;" ")-1),",","."),FIND("/",SUBSTITUTE(LEFT(TRIM(C368),FIND(" ",TRIM(C368)&amp;" ")-1),",","."))-1)/MID(SUBSTITUTE(LEFT(TRIM(C368),FIND(" ",TRIM(C368)&amp;" ")-1),",","."),FIND("/",SUBSTITUTE(LEFT(TRIM(C368),FIND(" ",TRIM(C368)&amp;" ")-1),",","."))+1,9)),IF(ISNUMBER(SEARCH("yea",C368)),IFERROR(_xlfn.NUMBERVALUE(SUBSTITUTE(LEFT(TRIM(C368),FIND(" ",TRIM(C368)&amp;" ")-1),",","."),"."),LEFT(SUBSTITUTE(LEFT(TRIM(C368),FIND(" ",TRIM(C368)&amp;" ")-1),",","."),FIND("/",SUBSTITUTE(LEFT(TRIM(C368),FIND(" ",TRIM(C368)&amp;" ")-1),",","."))-1)/MID(SUBSTITUTE(LEFT(TRIM(C368),FIND(" ",TRIM(C368)&amp;" ")-1),",","."),FIND("/",SUBSTITUTE(LEFT(TRIM(C368),FIND(" ",TRIM(C368)&amp;" ")-1),",","."))+1,9))*12,NA()))),0),36)*'Aturan &amp; Tarif'!$B$4,2)</f>
        <v>2044.08</v>
      </c>
      <c r="K368" s="42" t="n">
        <f aca="false">'Aturan &amp; Tarif'!$B$5</f>
        <v>2050</v>
      </c>
      <c r="L368" s="35" t="n">
        <f aca="false">I368+J368+K368</f>
        <v>14844.08</v>
      </c>
      <c r="M368" s="45" t="s">
        <v>2882</v>
      </c>
    </row>
    <row r="369" customFormat="false" ht="14.25" hidden="false" customHeight="true" outlineLevel="0" collapsed="false">
      <c r="A369" s="39"/>
      <c r="B369" s="40" t="s">
        <v>3374</v>
      </c>
      <c r="C369" s="41" t="s">
        <v>107</v>
      </c>
      <c r="D369" s="41" t="s">
        <v>108</v>
      </c>
      <c r="E369" s="42" t="n">
        <v>5500</v>
      </c>
      <c r="F369" s="42" t="n">
        <v>960</v>
      </c>
      <c r="G369" s="42" t="n">
        <v>250</v>
      </c>
      <c r="H369" s="43" t="n">
        <v>2</v>
      </c>
      <c r="I369" s="34" t="n">
        <f aca="false">E369*H369+N(F369)+N(G369)</f>
        <v>12210</v>
      </c>
      <c r="J369" s="42" t="n">
        <f aca="false">ROUND(IFERROR(ROUND(IF(OR(ISNUMBER(SEARCH("week",C369)),ISNUMBER(SEARCH("minggu",C369))),IFERROR(_xlfn.NUMBERVALUE(SUBSTITUTE(LEFT(TRIM(C369),FIND(" ",TRIM(C369)&amp;" ")-1),",","."),"."),LEFT(SUBSTITUTE(LEFT(TRIM(C369),FIND(" ",TRIM(C369)&amp;" ")-1),",","."),FIND("/",SUBSTITUTE(LEFT(TRIM(C369),FIND(" ",TRIM(C369)&amp;" ")-1),",","."))-1)/MID(SUBSTITUTE(LEFT(TRIM(C369),FIND(" ",TRIM(C369)&amp;" ")-1),",","."),FIND("/",SUBSTITUTE(LEFT(TRIM(C369),FIND(" ",TRIM(C369)&amp;" ")-1),",","."))+1,9))*12/52,IF(ISNUMBER(SEARCH("month",C369)),IFERROR(_xlfn.NUMBERVALUE(SUBSTITUTE(LEFT(TRIM(C369),FIND(" ",TRIM(C369)&amp;" ")-1),",","."),"."),LEFT(SUBSTITUTE(LEFT(TRIM(C369),FIND(" ",TRIM(C369)&amp;" ")-1),",","."),FIND("/",SUBSTITUTE(LEFT(TRIM(C369),FIND(" ",TRIM(C369)&amp;" ")-1),",","."))-1)/MID(SUBSTITUTE(LEFT(TRIM(C369),FIND(" ",TRIM(C369)&amp;" ")-1),",","."),FIND("/",SUBSTITUTE(LEFT(TRIM(C369),FIND(" ",TRIM(C369)&amp;" ")-1),",","."))+1,9)),IF(ISNUMBER(SEARCH("yea",C369)),IFERROR(_xlfn.NUMBERVALUE(SUBSTITUTE(LEFT(TRIM(C369),FIND(" ",TRIM(C369)&amp;" ")-1),",","."),"."),LEFT(SUBSTITUTE(LEFT(TRIM(C369),FIND(" ",TRIM(C369)&amp;" ")-1),",","."),FIND("/",SUBSTITUTE(LEFT(TRIM(C369),FIND(" ",TRIM(C369)&amp;" ")-1),",","."))-1)/MID(SUBSTITUTE(LEFT(TRIM(C369),FIND(" ",TRIM(C369)&amp;" ")-1),",","."),FIND("/",SUBSTITUTE(LEFT(TRIM(C369),FIND(" ",TRIM(C369)&amp;" ")-1),",","."))+1,9))*12,NA()))),0),24)*'Aturan &amp; Tarif'!$B$4,2)</f>
        <v>1362.72</v>
      </c>
      <c r="K369" s="42" t="n">
        <f aca="false">'Aturan &amp; Tarif'!$B$5</f>
        <v>2050</v>
      </c>
      <c r="L369" s="35" t="n">
        <f aca="false">I369+J369+K369</f>
        <v>15622.72</v>
      </c>
      <c r="M369" s="45" t="s">
        <v>2883</v>
      </c>
    </row>
    <row r="370" customFormat="false" ht="25.5" hidden="false" customHeight="true" outlineLevel="0" collapsed="false">
      <c r="A370" s="39"/>
      <c r="B370" s="40" t="s">
        <v>2238</v>
      </c>
      <c r="C370" s="41" t="s">
        <v>127</v>
      </c>
      <c r="D370" s="41" t="s">
        <v>108</v>
      </c>
      <c r="E370" s="42" t="n">
        <v>4000</v>
      </c>
      <c r="F370" s="42" t="n">
        <v>750</v>
      </c>
      <c r="G370" s="42" t="n">
        <v>250</v>
      </c>
      <c r="H370" s="43" t="n">
        <v>2</v>
      </c>
      <c r="I370" s="34" t="n">
        <f aca="false">E370*H370+N(F370)+N(G370)</f>
        <v>9000</v>
      </c>
      <c r="J370" s="42" t="n">
        <f aca="false">ROUND(IFERROR(ROUND(IF(OR(ISNUMBER(SEARCH("week",C370)),ISNUMBER(SEARCH("minggu",C370))),IFERROR(_xlfn.NUMBERVALUE(SUBSTITUTE(LEFT(TRIM(C370),FIND(" ",TRIM(C370)&amp;" ")-1),",","."),"."),LEFT(SUBSTITUTE(LEFT(TRIM(C370),FIND(" ",TRIM(C370)&amp;" ")-1),",","."),FIND("/",SUBSTITUTE(LEFT(TRIM(C370),FIND(" ",TRIM(C370)&amp;" ")-1),",","."))-1)/MID(SUBSTITUTE(LEFT(TRIM(C370),FIND(" ",TRIM(C370)&amp;" ")-1),",","."),FIND("/",SUBSTITUTE(LEFT(TRIM(C370),FIND(" ",TRIM(C370)&amp;" ")-1),",","."))+1,9))*12/52,IF(ISNUMBER(SEARCH("month",C370)),IFERROR(_xlfn.NUMBERVALUE(SUBSTITUTE(LEFT(TRIM(C370),FIND(" ",TRIM(C370)&amp;" ")-1),",","."),"."),LEFT(SUBSTITUTE(LEFT(TRIM(C370),FIND(" ",TRIM(C370)&amp;" ")-1),",","."),FIND("/",SUBSTITUTE(LEFT(TRIM(C370),FIND(" ",TRIM(C370)&amp;" ")-1),",","."))-1)/MID(SUBSTITUTE(LEFT(TRIM(C370),FIND(" ",TRIM(C370)&amp;" ")-1),",","."),FIND("/",SUBSTITUTE(LEFT(TRIM(C370),FIND(" ",TRIM(C370)&amp;" ")-1),",","."))+1,9)),IF(ISNUMBER(SEARCH("yea",C370)),IFERROR(_xlfn.NUMBERVALUE(SUBSTITUTE(LEFT(TRIM(C370),FIND(" ",TRIM(C370)&amp;" ")-1),",","."),"."),LEFT(SUBSTITUTE(LEFT(TRIM(C370),FIND(" ",TRIM(C370)&amp;" ")-1),",","."),FIND("/",SUBSTITUTE(LEFT(TRIM(C370),FIND(" ",TRIM(C370)&amp;" ")-1),",","."))-1)/MID(SUBSTITUTE(LEFT(TRIM(C370),FIND(" ",TRIM(C370)&amp;" ")-1),",","."),FIND("/",SUBSTITUTE(LEFT(TRIM(C370),FIND(" ",TRIM(C370)&amp;" ")-1),",","."))+1,9))*12,NA()))),0),36)*'Aturan &amp; Tarif'!$B$4,2)</f>
        <v>2044.08</v>
      </c>
      <c r="K370" s="42" t="n">
        <f aca="false">'Aturan &amp; Tarif'!$B$5</f>
        <v>2050</v>
      </c>
      <c r="L370" s="35" t="n">
        <f aca="false">I370+J370+K370</f>
        <v>13094.08</v>
      </c>
      <c r="M370" s="45" t="s">
        <v>2884</v>
      </c>
    </row>
    <row r="371" customFormat="false" ht="14.25" hidden="false" customHeight="true" outlineLevel="0" collapsed="false">
      <c r="A371" s="39"/>
      <c r="B371" s="40" t="s">
        <v>2240</v>
      </c>
      <c r="C371" s="41" t="s">
        <v>107</v>
      </c>
      <c r="D371" s="41" t="s">
        <v>108</v>
      </c>
      <c r="E371" s="42" t="n">
        <v>4250</v>
      </c>
      <c r="F371" s="42" t="n">
        <v>1000</v>
      </c>
      <c r="G371" s="42" t="n">
        <v>250</v>
      </c>
      <c r="H371" s="43" t="n">
        <v>2</v>
      </c>
      <c r="I371" s="34" t="n">
        <f aca="false">E371*H371+N(F371)+N(G371)</f>
        <v>9750</v>
      </c>
      <c r="J371" s="42" t="n">
        <f aca="false">ROUND(IFERROR(ROUND(IF(OR(ISNUMBER(SEARCH("week",C371)),ISNUMBER(SEARCH("minggu",C371))),IFERROR(_xlfn.NUMBERVALUE(SUBSTITUTE(LEFT(TRIM(C371),FIND(" ",TRIM(C371)&amp;" ")-1),",","."),"."),LEFT(SUBSTITUTE(LEFT(TRIM(C371),FIND(" ",TRIM(C371)&amp;" ")-1),",","."),FIND("/",SUBSTITUTE(LEFT(TRIM(C371),FIND(" ",TRIM(C371)&amp;" ")-1),",","."))-1)/MID(SUBSTITUTE(LEFT(TRIM(C371),FIND(" ",TRIM(C371)&amp;" ")-1),",","."),FIND("/",SUBSTITUTE(LEFT(TRIM(C371),FIND(" ",TRIM(C371)&amp;" ")-1),",","."))+1,9))*12/52,IF(ISNUMBER(SEARCH("month",C371)),IFERROR(_xlfn.NUMBERVALUE(SUBSTITUTE(LEFT(TRIM(C371),FIND(" ",TRIM(C371)&amp;" ")-1),",","."),"."),LEFT(SUBSTITUTE(LEFT(TRIM(C371),FIND(" ",TRIM(C371)&amp;" ")-1),",","."),FIND("/",SUBSTITUTE(LEFT(TRIM(C371),FIND(" ",TRIM(C371)&amp;" ")-1),",","."))-1)/MID(SUBSTITUTE(LEFT(TRIM(C371),FIND(" ",TRIM(C371)&amp;" ")-1),",","."),FIND("/",SUBSTITUTE(LEFT(TRIM(C371),FIND(" ",TRIM(C371)&amp;" ")-1),",","."))+1,9)),IF(ISNUMBER(SEARCH("yea",C371)),IFERROR(_xlfn.NUMBERVALUE(SUBSTITUTE(LEFT(TRIM(C371),FIND(" ",TRIM(C371)&amp;" ")-1),",","."),"."),LEFT(SUBSTITUTE(LEFT(TRIM(C371),FIND(" ",TRIM(C371)&amp;" ")-1),",","."),FIND("/",SUBSTITUTE(LEFT(TRIM(C371),FIND(" ",TRIM(C371)&amp;" ")-1),",","."))-1)/MID(SUBSTITUTE(LEFT(TRIM(C371),FIND(" ",TRIM(C371)&amp;" ")-1),",","."),FIND("/",SUBSTITUTE(LEFT(TRIM(C371),FIND(" ",TRIM(C371)&amp;" ")-1),",","."))+1,9))*12,NA()))),0),24)*'Aturan &amp; Tarif'!$B$4,2)</f>
        <v>1362.72</v>
      </c>
      <c r="K371" s="42" t="n">
        <f aca="false">'Aturan &amp; Tarif'!$B$5</f>
        <v>2050</v>
      </c>
      <c r="L371" s="35" t="n">
        <f aca="false">I371+J371+K371</f>
        <v>13162.72</v>
      </c>
      <c r="M371" s="45" t="s">
        <v>2885</v>
      </c>
    </row>
    <row r="372" customFormat="false" ht="37.5" hidden="false" customHeight="true" outlineLevel="0" collapsed="false">
      <c r="A372" s="39"/>
      <c r="B372" s="40" t="s">
        <v>2242</v>
      </c>
      <c r="C372" s="41" t="s">
        <v>191</v>
      </c>
      <c r="D372" s="41" t="s">
        <v>108</v>
      </c>
      <c r="E372" s="42" t="n">
        <v>5500</v>
      </c>
      <c r="F372" s="42" t="n">
        <v>2000</v>
      </c>
      <c r="G372" s="42" t="n">
        <v>250</v>
      </c>
      <c r="H372" s="43" t="n">
        <v>2</v>
      </c>
      <c r="I372" s="34" t="n">
        <f aca="false">E372*H372+N(F372)+N(G372)</f>
        <v>13250</v>
      </c>
      <c r="J372" s="42" t="n">
        <f aca="false">ROUND(IFERROR(ROUND(IF(OR(ISNUMBER(SEARCH("week",C372)),ISNUMBER(SEARCH("minggu",C372))),IFERROR(_xlfn.NUMBERVALUE(SUBSTITUTE(LEFT(TRIM(C372),FIND(" ",TRIM(C372)&amp;" ")-1),",","."),"."),LEFT(SUBSTITUTE(LEFT(TRIM(C372),FIND(" ",TRIM(C372)&amp;" ")-1),",","."),FIND("/",SUBSTITUTE(LEFT(TRIM(C372),FIND(" ",TRIM(C372)&amp;" ")-1),",","."))-1)/MID(SUBSTITUTE(LEFT(TRIM(C372),FIND(" ",TRIM(C372)&amp;" ")-1),",","."),FIND("/",SUBSTITUTE(LEFT(TRIM(C372),FIND(" ",TRIM(C372)&amp;" ")-1),",","."))+1,9))*12/52,IF(ISNUMBER(SEARCH("month",C372)),IFERROR(_xlfn.NUMBERVALUE(SUBSTITUTE(LEFT(TRIM(C372),FIND(" ",TRIM(C372)&amp;" ")-1),",","."),"."),LEFT(SUBSTITUTE(LEFT(TRIM(C372),FIND(" ",TRIM(C372)&amp;" ")-1),",","."),FIND("/",SUBSTITUTE(LEFT(TRIM(C372),FIND(" ",TRIM(C372)&amp;" ")-1),",","."))-1)/MID(SUBSTITUTE(LEFT(TRIM(C372),FIND(" ",TRIM(C372)&amp;" ")-1),",","."),FIND("/",SUBSTITUTE(LEFT(TRIM(C372),FIND(" ",TRIM(C372)&amp;" ")-1),",","."))+1,9)),IF(ISNUMBER(SEARCH("yea",C372)),IFERROR(_xlfn.NUMBERVALUE(SUBSTITUTE(LEFT(TRIM(C372),FIND(" ",TRIM(C372)&amp;" ")-1),",","."),"."),LEFT(SUBSTITUTE(LEFT(TRIM(C372),FIND(" ",TRIM(C372)&amp;" ")-1),",","."),FIND("/",SUBSTITUTE(LEFT(TRIM(C372),FIND(" ",TRIM(C372)&amp;" ")-1),",","."))-1)/MID(SUBSTITUTE(LEFT(TRIM(C372),FIND(" ",TRIM(C372)&amp;" ")-1),",","."),FIND("/",SUBSTITUTE(LEFT(TRIM(C372),FIND(" ",TRIM(C372)&amp;" ")-1),",","."))+1,9))*12,NA()))),0),48)*'Aturan &amp; Tarif'!$B$4,2)</f>
        <v>2725.44</v>
      </c>
      <c r="K372" s="42" t="n">
        <f aca="false">'Aturan &amp; Tarif'!$B$5</f>
        <v>2050</v>
      </c>
      <c r="L372" s="35" t="n">
        <f aca="false">I372+J372+K372</f>
        <v>18025.44</v>
      </c>
      <c r="M372" s="45" t="s">
        <v>2886</v>
      </c>
    </row>
    <row r="373" customFormat="false" ht="25.5" hidden="false" customHeight="true" outlineLevel="0" collapsed="false">
      <c r="A373" s="39"/>
      <c r="B373" s="40" t="s">
        <v>2244</v>
      </c>
      <c r="C373" s="41" t="s">
        <v>107</v>
      </c>
      <c r="D373" s="41" t="s">
        <v>108</v>
      </c>
      <c r="E373" s="42" t="n">
        <v>4250</v>
      </c>
      <c r="F373" s="42" t="n">
        <v>1000</v>
      </c>
      <c r="G373" s="42" t="n">
        <v>250</v>
      </c>
      <c r="H373" s="43" t="n">
        <v>2</v>
      </c>
      <c r="I373" s="34" t="n">
        <f aca="false">E373*H373+N(F373)+N(G373)</f>
        <v>9750</v>
      </c>
      <c r="J373" s="42" t="n">
        <f aca="false">ROUND(IFERROR(ROUND(IF(OR(ISNUMBER(SEARCH("week",C373)),ISNUMBER(SEARCH("minggu",C373))),IFERROR(_xlfn.NUMBERVALUE(SUBSTITUTE(LEFT(TRIM(C373),FIND(" ",TRIM(C373)&amp;" ")-1),",","."),"."),LEFT(SUBSTITUTE(LEFT(TRIM(C373),FIND(" ",TRIM(C373)&amp;" ")-1),",","."),FIND("/",SUBSTITUTE(LEFT(TRIM(C373),FIND(" ",TRIM(C373)&amp;" ")-1),",","."))-1)/MID(SUBSTITUTE(LEFT(TRIM(C373),FIND(" ",TRIM(C373)&amp;" ")-1),",","."),FIND("/",SUBSTITUTE(LEFT(TRIM(C373),FIND(" ",TRIM(C373)&amp;" ")-1),",","."))+1,9))*12/52,IF(ISNUMBER(SEARCH("month",C373)),IFERROR(_xlfn.NUMBERVALUE(SUBSTITUTE(LEFT(TRIM(C373),FIND(" ",TRIM(C373)&amp;" ")-1),",","."),"."),LEFT(SUBSTITUTE(LEFT(TRIM(C373),FIND(" ",TRIM(C373)&amp;" ")-1),",","."),FIND("/",SUBSTITUTE(LEFT(TRIM(C373),FIND(" ",TRIM(C373)&amp;" ")-1),",","."))-1)/MID(SUBSTITUTE(LEFT(TRIM(C373),FIND(" ",TRIM(C373)&amp;" ")-1),",","."),FIND("/",SUBSTITUTE(LEFT(TRIM(C373),FIND(" ",TRIM(C373)&amp;" ")-1),",","."))+1,9)),IF(ISNUMBER(SEARCH("yea",C373)),IFERROR(_xlfn.NUMBERVALUE(SUBSTITUTE(LEFT(TRIM(C373),FIND(" ",TRIM(C373)&amp;" ")-1),",","."),"."),LEFT(SUBSTITUTE(LEFT(TRIM(C373),FIND(" ",TRIM(C373)&amp;" ")-1),",","."),FIND("/",SUBSTITUTE(LEFT(TRIM(C373),FIND(" ",TRIM(C373)&amp;" ")-1),",","."))-1)/MID(SUBSTITUTE(LEFT(TRIM(C373),FIND(" ",TRIM(C373)&amp;" ")-1),",","."),FIND("/",SUBSTITUTE(LEFT(TRIM(C373),FIND(" ",TRIM(C373)&amp;" ")-1),",","."))+1,9))*12,NA()))),0),24)*'Aturan &amp; Tarif'!$B$4,2)</f>
        <v>1362.72</v>
      </c>
      <c r="K373" s="42" t="n">
        <f aca="false">'Aturan &amp; Tarif'!$B$5</f>
        <v>2050</v>
      </c>
      <c r="L373" s="35" t="n">
        <f aca="false">I373+J373+K373</f>
        <v>13162.72</v>
      </c>
      <c r="M373" s="45" t="s">
        <v>2885</v>
      </c>
    </row>
    <row r="374" customFormat="false" ht="14.25" hidden="false" customHeight="true" outlineLevel="0" collapsed="false">
      <c r="A374" s="39"/>
      <c r="B374" s="40" t="s">
        <v>2245</v>
      </c>
      <c r="C374" s="41" t="s">
        <v>127</v>
      </c>
      <c r="D374" s="41" t="s">
        <v>108</v>
      </c>
      <c r="E374" s="42" t="n">
        <v>4500</v>
      </c>
      <c r="F374" s="42" t="n">
        <v>750</v>
      </c>
      <c r="G374" s="42" t="n">
        <v>250</v>
      </c>
      <c r="H374" s="43" t="n">
        <v>2</v>
      </c>
      <c r="I374" s="34" t="n">
        <f aca="false">E374*H374+N(F374)+N(G374)</f>
        <v>10000</v>
      </c>
      <c r="J374" s="42" t="n">
        <f aca="false">ROUND(IFERROR(ROUND(IF(OR(ISNUMBER(SEARCH("week",C374)),ISNUMBER(SEARCH("minggu",C374))),IFERROR(_xlfn.NUMBERVALUE(SUBSTITUTE(LEFT(TRIM(C374),FIND(" ",TRIM(C374)&amp;" ")-1),",","."),"."),LEFT(SUBSTITUTE(LEFT(TRIM(C374),FIND(" ",TRIM(C374)&amp;" ")-1),",","."),FIND("/",SUBSTITUTE(LEFT(TRIM(C374),FIND(" ",TRIM(C374)&amp;" ")-1),",","."))-1)/MID(SUBSTITUTE(LEFT(TRIM(C374),FIND(" ",TRIM(C374)&amp;" ")-1),",","."),FIND("/",SUBSTITUTE(LEFT(TRIM(C374),FIND(" ",TRIM(C374)&amp;" ")-1),",","."))+1,9))*12/52,IF(ISNUMBER(SEARCH("month",C374)),IFERROR(_xlfn.NUMBERVALUE(SUBSTITUTE(LEFT(TRIM(C374),FIND(" ",TRIM(C374)&amp;" ")-1),",","."),"."),LEFT(SUBSTITUTE(LEFT(TRIM(C374),FIND(" ",TRIM(C374)&amp;" ")-1),",","."),FIND("/",SUBSTITUTE(LEFT(TRIM(C374),FIND(" ",TRIM(C374)&amp;" ")-1),",","."))-1)/MID(SUBSTITUTE(LEFT(TRIM(C374),FIND(" ",TRIM(C374)&amp;" ")-1),",","."),FIND("/",SUBSTITUTE(LEFT(TRIM(C374),FIND(" ",TRIM(C374)&amp;" ")-1),",","."))+1,9)),IF(ISNUMBER(SEARCH("yea",C374)),IFERROR(_xlfn.NUMBERVALUE(SUBSTITUTE(LEFT(TRIM(C374),FIND(" ",TRIM(C374)&amp;" ")-1),",","."),"."),LEFT(SUBSTITUTE(LEFT(TRIM(C374),FIND(" ",TRIM(C374)&amp;" ")-1),",","."),FIND("/",SUBSTITUTE(LEFT(TRIM(C374),FIND(" ",TRIM(C374)&amp;" ")-1),",","."))-1)/MID(SUBSTITUTE(LEFT(TRIM(C374),FIND(" ",TRIM(C374)&amp;" ")-1),",","."),FIND("/",SUBSTITUTE(LEFT(TRIM(C374),FIND(" ",TRIM(C374)&amp;" ")-1),",","."))+1,9))*12,NA()))),0),36)*'Aturan &amp; Tarif'!$B$4,2)</f>
        <v>2044.08</v>
      </c>
      <c r="K374" s="42" t="n">
        <f aca="false">'Aturan &amp; Tarif'!$B$5</f>
        <v>2050</v>
      </c>
      <c r="L374" s="35" t="n">
        <f aca="false">I374+J374+K374</f>
        <v>14094.08</v>
      </c>
      <c r="M374" s="45" t="s">
        <v>2887</v>
      </c>
    </row>
    <row r="375" customFormat="false" ht="14.25" hidden="false" customHeight="true" outlineLevel="0" collapsed="false">
      <c r="A375" s="39"/>
      <c r="B375" s="40" t="s">
        <v>2247</v>
      </c>
      <c r="C375" s="41" t="s">
        <v>191</v>
      </c>
      <c r="D375" s="41" t="s">
        <v>108</v>
      </c>
      <c r="E375" s="42" t="n">
        <v>4500</v>
      </c>
      <c r="F375" s="42" t="n">
        <v>2000</v>
      </c>
      <c r="G375" s="42" t="n">
        <v>250</v>
      </c>
      <c r="H375" s="43" t="n">
        <v>2</v>
      </c>
      <c r="I375" s="34" t="n">
        <f aca="false">E375*H375+N(F375)+N(G375)</f>
        <v>11250</v>
      </c>
      <c r="J375" s="42" t="n">
        <f aca="false">ROUND(IFERROR(ROUND(IF(OR(ISNUMBER(SEARCH("week",C375)),ISNUMBER(SEARCH("minggu",C375))),IFERROR(_xlfn.NUMBERVALUE(SUBSTITUTE(LEFT(TRIM(C375),FIND(" ",TRIM(C375)&amp;" ")-1),",","."),"."),LEFT(SUBSTITUTE(LEFT(TRIM(C375),FIND(" ",TRIM(C375)&amp;" ")-1),",","."),FIND("/",SUBSTITUTE(LEFT(TRIM(C375),FIND(" ",TRIM(C375)&amp;" ")-1),",","."))-1)/MID(SUBSTITUTE(LEFT(TRIM(C375),FIND(" ",TRIM(C375)&amp;" ")-1),",","."),FIND("/",SUBSTITUTE(LEFT(TRIM(C375),FIND(" ",TRIM(C375)&amp;" ")-1),",","."))+1,9))*12/52,IF(ISNUMBER(SEARCH("month",C375)),IFERROR(_xlfn.NUMBERVALUE(SUBSTITUTE(LEFT(TRIM(C375),FIND(" ",TRIM(C375)&amp;" ")-1),",","."),"."),LEFT(SUBSTITUTE(LEFT(TRIM(C375),FIND(" ",TRIM(C375)&amp;" ")-1),",","."),FIND("/",SUBSTITUTE(LEFT(TRIM(C375),FIND(" ",TRIM(C375)&amp;" ")-1),",","."))-1)/MID(SUBSTITUTE(LEFT(TRIM(C375),FIND(" ",TRIM(C375)&amp;" ")-1),",","."),FIND("/",SUBSTITUTE(LEFT(TRIM(C375),FIND(" ",TRIM(C375)&amp;" ")-1),",","."))+1,9)),IF(ISNUMBER(SEARCH("yea",C375)),IFERROR(_xlfn.NUMBERVALUE(SUBSTITUTE(LEFT(TRIM(C375),FIND(" ",TRIM(C375)&amp;" ")-1),",","."),"."),LEFT(SUBSTITUTE(LEFT(TRIM(C375),FIND(" ",TRIM(C375)&amp;" ")-1),",","."),FIND("/",SUBSTITUTE(LEFT(TRIM(C375),FIND(" ",TRIM(C375)&amp;" ")-1),",","."))-1)/MID(SUBSTITUTE(LEFT(TRIM(C375),FIND(" ",TRIM(C375)&amp;" ")-1),",","."),FIND("/",SUBSTITUTE(LEFT(TRIM(C375),FIND(" ",TRIM(C375)&amp;" ")-1),",","."))+1,9))*12,NA()))),0),48)*'Aturan &amp; Tarif'!$B$4,2)</f>
        <v>2725.44</v>
      </c>
      <c r="K375" s="42" t="n">
        <f aca="false">'Aturan &amp; Tarif'!$B$5</f>
        <v>2050</v>
      </c>
      <c r="L375" s="35" t="n">
        <f aca="false">I375+J375+K375</f>
        <v>16025.44</v>
      </c>
      <c r="M375" s="45" t="s">
        <v>2888</v>
      </c>
    </row>
    <row r="376" customFormat="false" ht="48.75" hidden="false" customHeight="true" outlineLevel="0" collapsed="false">
      <c r="A376" s="39"/>
      <c r="B376" s="40" t="s">
        <v>2249</v>
      </c>
      <c r="C376" s="41" t="s">
        <v>107</v>
      </c>
      <c r="D376" s="41" t="s">
        <v>108</v>
      </c>
      <c r="E376" s="42" t="n">
        <v>4500</v>
      </c>
      <c r="F376" s="42" t="n">
        <v>1000</v>
      </c>
      <c r="G376" s="42" t="n">
        <v>250</v>
      </c>
      <c r="H376" s="43" t="n">
        <v>2</v>
      </c>
      <c r="I376" s="34" t="n">
        <f aca="false">E376*H376+N(F376)+N(G376)</f>
        <v>10250</v>
      </c>
      <c r="J376" s="42" t="n">
        <f aca="false">ROUND(IFERROR(ROUND(IF(OR(ISNUMBER(SEARCH("week",C376)),ISNUMBER(SEARCH("minggu",C376))),IFERROR(_xlfn.NUMBERVALUE(SUBSTITUTE(LEFT(TRIM(C376),FIND(" ",TRIM(C376)&amp;" ")-1),",","."),"."),LEFT(SUBSTITUTE(LEFT(TRIM(C376),FIND(" ",TRIM(C376)&amp;" ")-1),",","."),FIND("/",SUBSTITUTE(LEFT(TRIM(C376),FIND(" ",TRIM(C376)&amp;" ")-1),",","."))-1)/MID(SUBSTITUTE(LEFT(TRIM(C376),FIND(" ",TRIM(C376)&amp;" ")-1),",","."),FIND("/",SUBSTITUTE(LEFT(TRIM(C376),FIND(" ",TRIM(C376)&amp;" ")-1),",","."))+1,9))*12/52,IF(ISNUMBER(SEARCH("month",C376)),IFERROR(_xlfn.NUMBERVALUE(SUBSTITUTE(LEFT(TRIM(C376),FIND(" ",TRIM(C376)&amp;" ")-1),",","."),"."),LEFT(SUBSTITUTE(LEFT(TRIM(C376),FIND(" ",TRIM(C376)&amp;" ")-1),",","."),FIND("/",SUBSTITUTE(LEFT(TRIM(C376),FIND(" ",TRIM(C376)&amp;" ")-1),",","."))-1)/MID(SUBSTITUTE(LEFT(TRIM(C376),FIND(" ",TRIM(C376)&amp;" ")-1),",","."),FIND("/",SUBSTITUTE(LEFT(TRIM(C376),FIND(" ",TRIM(C376)&amp;" ")-1),",","."))+1,9)),IF(ISNUMBER(SEARCH("yea",C376)),IFERROR(_xlfn.NUMBERVALUE(SUBSTITUTE(LEFT(TRIM(C376),FIND(" ",TRIM(C376)&amp;" ")-1),",","."),"."),LEFT(SUBSTITUTE(LEFT(TRIM(C376),FIND(" ",TRIM(C376)&amp;" ")-1),",","."),FIND("/",SUBSTITUTE(LEFT(TRIM(C376),FIND(" ",TRIM(C376)&amp;" ")-1),",","."))-1)/MID(SUBSTITUTE(LEFT(TRIM(C376),FIND(" ",TRIM(C376)&amp;" ")-1),",","."),FIND("/",SUBSTITUTE(LEFT(TRIM(C376),FIND(" ",TRIM(C376)&amp;" ")-1),",","."))+1,9))*12,NA()))),0),24)*'Aturan &amp; Tarif'!$B$4,2)</f>
        <v>1362.72</v>
      </c>
      <c r="K376" s="42" t="n">
        <f aca="false">'Aturan &amp; Tarif'!$B$5</f>
        <v>2050</v>
      </c>
      <c r="L376" s="35" t="n">
        <f aca="false">I376+J376+K376</f>
        <v>13662.72</v>
      </c>
      <c r="M376" s="45" t="s">
        <v>2889</v>
      </c>
    </row>
    <row r="377" customFormat="false" ht="48.75" hidden="false" customHeight="true" outlineLevel="0" collapsed="false">
      <c r="A377" s="29" t="s">
        <v>2890</v>
      </c>
      <c r="B377" s="30" t="s">
        <v>3375</v>
      </c>
      <c r="C377" s="31" t="s">
        <v>107</v>
      </c>
      <c r="D377" s="31" t="s">
        <v>108</v>
      </c>
      <c r="E377" s="32" t="n">
        <v>2000</v>
      </c>
      <c r="F377" s="32" t="n">
        <v>2250</v>
      </c>
      <c r="G377" s="32" t="n">
        <v>300</v>
      </c>
      <c r="H377" s="33" t="n">
        <v>1</v>
      </c>
      <c r="I377" s="34" t="n">
        <f aca="false">E377*H377+N(F377)+N(G377)</f>
        <v>4550</v>
      </c>
      <c r="J377" s="32" t="n">
        <f aca="false">ROUND(IFERROR(ROUND(IF(OR(ISNUMBER(SEARCH("week",C377)),ISNUMBER(SEARCH("minggu",C377))),IFERROR(_xlfn.NUMBERVALUE(SUBSTITUTE(LEFT(TRIM(C377),FIND(" ",TRIM(C377)&amp;" ")-1),",","."),"."),LEFT(SUBSTITUTE(LEFT(TRIM(C377),FIND(" ",TRIM(C377)&amp;" ")-1),",","."),FIND("/",SUBSTITUTE(LEFT(TRIM(C377),FIND(" ",TRIM(C377)&amp;" ")-1),",","."))-1)/MID(SUBSTITUTE(LEFT(TRIM(C377),FIND(" ",TRIM(C377)&amp;" ")-1),",","."),FIND("/",SUBSTITUTE(LEFT(TRIM(C377),FIND(" ",TRIM(C377)&amp;" ")-1),",","."))+1,9))*12/52,IF(ISNUMBER(SEARCH("month",C377)),IFERROR(_xlfn.NUMBERVALUE(SUBSTITUTE(LEFT(TRIM(C377),FIND(" ",TRIM(C377)&amp;" ")-1),",","."),"."),LEFT(SUBSTITUTE(LEFT(TRIM(C377),FIND(" ",TRIM(C377)&amp;" ")-1),",","."),FIND("/",SUBSTITUTE(LEFT(TRIM(C377),FIND(" ",TRIM(C377)&amp;" ")-1),",","."))-1)/MID(SUBSTITUTE(LEFT(TRIM(C377),FIND(" ",TRIM(C377)&amp;" ")-1),",","."),FIND("/",SUBSTITUTE(LEFT(TRIM(C377),FIND(" ",TRIM(C377)&amp;" ")-1),",","."))+1,9)),IF(ISNUMBER(SEARCH("yea",C377)),IFERROR(_xlfn.NUMBERVALUE(SUBSTITUTE(LEFT(TRIM(C377),FIND(" ",TRIM(C377)&amp;" ")-1),",","."),"."),LEFT(SUBSTITUTE(LEFT(TRIM(C377),FIND(" ",TRIM(C377)&amp;" ")-1),",","."),FIND("/",SUBSTITUTE(LEFT(TRIM(C377),FIND(" ",TRIM(C377)&amp;" ")-1),",","."))-1)/MID(SUBSTITUTE(LEFT(TRIM(C377),FIND(" ",TRIM(C377)&amp;" ")-1),",","."),FIND("/",SUBSTITUTE(LEFT(TRIM(C377),FIND(" ",TRIM(C377)&amp;" ")-1),",","."))+1,9))*12,NA()))),0),24)*'Aturan &amp; Tarif'!$B$4,2)</f>
        <v>1362.72</v>
      </c>
      <c r="K377" s="32" t="n">
        <f aca="false">'Aturan &amp; Tarif'!$B$5</f>
        <v>2050</v>
      </c>
      <c r="L377" s="35" t="n">
        <f aca="false">I377+J377+K377</f>
        <v>7962.72</v>
      </c>
      <c r="M377" s="36" t="s">
        <v>131</v>
      </c>
    </row>
    <row r="378" customFormat="false" ht="37.5" hidden="false" customHeight="true" outlineLevel="0" collapsed="false">
      <c r="A378" s="29"/>
      <c r="B378" s="30" t="s">
        <v>3376</v>
      </c>
      <c r="C378" s="31" t="s">
        <v>107</v>
      </c>
      <c r="D378" s="31" t="s">
        <v>108</v>
      </c>
      <c r="E378" s="32" t="n">
        <v>2500</v>
      </c>
      <c r="F378" s="32" t="n">
        <v>2250</v>
      </c>
      <c r="G378" s="32" t="n">
        <v>300</v>
      </c>
      <c r="H378" s="33" t="n">
        <v>1</v>
      </c>
      <c r="I378" s="34" t="n">
        <f aca="false">E378*H378+N(F378)+N(G378)</f>
        <v>5050</v>
      </c>
      <c r="J378" s="32" t="n">
        <f aca="false">ROUND(IFERROR(ROUND(IF(OR(ISNUMBER(SEARCH("week",C378)),ISNUMBER(SEARCH("minggu",C378))),IFERROR(_xlfn.NUMBERVALUE(SUBSTITUTE(LEFT(TRIM(C378),FIND(" ",TRIM(C378)&amp;" ")-1),",","."),"."),LEFT(SUBSTITUTE(LEFT(TRIM(C378),FIND(" ",TRIM(C378)&amp;" ")-1),",","."),FIND("/",SUBSTITUTE(LEFT(TRIM(C378),FIND(" ",TRIM(C378)&amp;" ")-1),",","."))-1)/MID(SUBSTITUTE(LEFT(TRIM(C378),FIND(" ",TRIM(C378)&amp;" ")-1),",","."),FIND("/",SUBSTITUTE(LEFT(TRIM(C378),FIND(" ",TRIM(C378)&amp;" ")-1),",","."))+1,9))*12/52,IF(ISNUMBER(SEARCH("month",C378)),IFERROR(_xlfn.NUMBERVALUE(SUBSTITUTE(LEFT(TRIM(C378),FIND(" ",TRIM(C378)&amp;" ")-1),",","."),"."),LEFT(SUBSTITUTE(LEFT(TRIM(C378),FIND(" ",TRIM(C378)&amp;" ")-1),",","."),FIND("/",SUBSTITUTE(LEFT(TRIM(C378),FIND(" ",TRIM(C378)&amp;" ")-1),",","."))-1)/MID(SUBSTITUTE(LEFT(TRIM(C378),FIND(" ",TRIM(C378)&amp;" ")-1),",","."),FIND("/",SUBSTITUTE(LEFT(TRIM(C378),FIND(" ",TRIM(C378)&amp;" ")-1),",","."))+1,9)),IF(ISNUMBER(SEARCH("yea",C378)),IFERROR(_xlfn.NUMBERVALUE(SUBSTITUTE(LEFT(TRIM(C378),FIND(" ",TRIM(C378)&amp;" ")-1),",","."),"."),LEFT(SUBSTITUTE(LEFT(TRIM(C378),FIND(" ",TRIM(C378)&amp;" ")-1),",","."),FIND("/",SUBSTITUTE(LEFT(TRIM(C378),FIND(" ",TRIM(C378)&amp;" ")-1),",","."))-1)/MID(SUBSTITUTE(LEFT(TRIM(C378),FIND(" ",TRIM(C378)&amp;" ")-1),",","."),FIND("/",SUBSTITUTE(LEFT(TRIM(C378),FIND(" ",TRIM(C378)&amp;" ")-1),",","."))+1,9))*12,NA()))),0),24)*'Aturan &amp; Tarif'!$B$4,2)</f>
        <v>1362.72</v>
      </c>
      <c r="K378" s="32" t="n">
        <f aca="false">'Aturan &amp; Tarif'!$B$5</f>
        <v>2050</v>
      </c>
      <c r="L378" s="35" t="n">
        <f aca="false">I378+J378+K378</f>
        <v>8462.72</v>
      </c>
      <c r="M378" s="36" t="s">
        <v>131</v>
      </c>
    </row>
    <row r="379" customFormat="false" ht="37.5" hidden="false" customHeight="true" outlineLevel="0" collapsed="false">
      <c r="A379" s="29"/>
      <c r="B379" s="30" t="s">
        <v>3377</v>
      </c>
      <c r="C379" s="31" t="s">
        <v>107</v>
      </c>
      <c r="D379" s="31" t="s">
        <v>108</v>
      </c>
      <c r="E379" s="32" t="n">
        <v>2500</v>
      </c>
      <c r="F379" s="32" t="n">
        <v>2250</v>
      </c>
      <c r="G379" s="32" t="n">
        <v>300</v>
      </c>
      <c r="H379" s="33" t="n">
        <v>1</v>
      </c>
      <c r="I379" s="34" t="n">
        <f aca="false">E379*H379+N(F379)+N(G379)</f>
        <v>5050</v>
      </c>
      <c r="J379" s="32" t="n">
        <f aca="false">ROUND(IFERROR(ROUND(IF(OR(ISNUMBER(SEARCH("week",C379)),ISNUMBER(SEARCH("minggu",C379))),IFERROR(_xlfn.NUMBERVALUE(SUBSTITUTE(LEFT(TRIM(C379),FIND(" ",TRIM(C379)&amp;" ")-1),",","."),"."),LEFT(SUBSTITUTE(LEFT(TRIM(C379),FIND(" ",TRIM(C379)&amp;" ")-1),",","."),FIND("/",SUBSTITUTE(LEFT(TRIM(C379),FIND(" ",TRIM(C379)&amp;" ")-1),",","."))-1)/MID(SUBSTITUTE(LEFT(TRIM(C379),FIND(" ",TRIM(C379)&amp;" ")-1),",","."),FIND("/",SUBSTITUTE(LEFT(TRIM(C379),FIND(" ",TRIM(C379)&amp;" ")-1),",","."))+1,9))*12/52,IF(ISNUMBER(SEARCH("month",C379)),IFERROR(_xlfn.NUMBERVALUE(SUBSTITUTE(LEFT(TRIM(C379),FIND(" ",TRIM(C379)&amp;" ")-1),",","."),"."),LEFT(SUBSTITUTE(LEFT(TRIM(C379),FIND(" ",TRIM(C379)&amp;" ")-1),",","."),FIND("/",SUBSTITUTE(LEFT(TRIM(C379),FIND(" ",TRIM(C379)&amp;" ")-1),",","."))-1)/MID(SUBSTITUTE(LEFT(TRIM(C379),FIND(" ",TRIM(C379)&amp;" ")-1),",","."),FIND("/",SUBSTITUTE(LEFT(TRIM(C379),FIND(" ",TRIM(C379)&amp;" ")-1),",","."))+1,9)),IF(ISNUMBER(SEARCH("yea",C379)),IFERROR(_xlfn.NUMBERVALUE(SUBSTITUTE(LEFT(TRIM(C379),FIND(" ",TRIM(C379)&amp;" ")-1),",","."),"."),LEFT(SUBSTITUTE(LEFT(TRIM(C379),FIND(" ",TRIM(C379)&amp;" ")-1),",","."),FIND("/",SUBSTITUTE(LEFT(TRIM(C379),FIND(" ",TRIM(C379)&amp;" ")-1),",","."))-1)/MID(SUBSTITUTE(LEFT(TRIM(C379),FIND(" ",TRIM(C379)&amp;" ")-1),",","."),FIND("/",SUBSTITUTE(LEFT(TRIM(C379),FIND(" ",TRIM(C379)&amp;" ")-1),",","."))+1,9))*12,NA()))),0),24)*'Aturan &amp; Tarif'!$B$4,2)</f>
        <v>1362.72</v>
      </c>
      <c r="K379" s="32" t="n">
        <f aca="false">'Aturan &amp; Tarif'!$B$5</f>
        <v>2050</v>
      </c>
      <c r="L379" s="35" t="n">
        <f aca="false">I379+J379+K379</f>
        <v>8462.72</v>
      </c>
      <c r="M379" s="36" t="s">
        <v>131</v>
      </c>
    </row>
    <row r="380" customFormat="false" ht="25.5" hidden="false" customHeight="true" outlineLevel="0" collapsed="false">
      <c r="A380" s="29"/>
      <c r="B380" s="30" t="s">
        <v>3378</v>
      </c>
      <c r="C380" s="31" t="s">
        <v>107</v>
      </c>
      <c r="D380" s="31" t="s">
        <v>108</v>
      </c>
      <c r="E380" s="32" t="n">
        <v>2000</v>
      </c>
      <c r="F380" s="32" t="n">
        <v>750</v>
      </c>
      <c r="G380" s="32" t="n">
        <v>300</v>
      </c>
      <c r="H380" s="33" t="n">
        <v>1</v>
      </c>
      <c r="I380" s="34" t="n">
        <f aca="false">E380*H380+N(F380)+N(G380)</f>
        <v>3050</v>
      </c>
      <c r="J380" s="32" t="n">
        <f aca="false">ROUND(IFERROR(ROUND(IF(OR(ISNUMBER(SEARCH("week",C380)),ISNUMBER(SEARCH("minggu",C380))),IFERROR(_xlfn.NUMBERVALUE(SUBSTITUTE(LEFT(TRIM(C380),FIND(" ",TRIM(C380)&amp;" ")-1),",","."),"."),LEFT(SUBSTITUTE(LEFT(TRIM(C380),FIND(" ",TRIM(C380)&amp;" ")-1),",","."),FIND("/",SUBSTITUTE(LEFT(TRIM(C380),FIND(" ",TRIM(C380)&amp;" ")-1),",","."))-1)/MID(SUBSTITUTE(LEFT(TRIM(C380),FIND(" ",TRIM(C380)&amp;" ")-1),",","."),FIND("/",SUBSTITUTE(LEFT(TRIM(C380),FIND(" ",TRIM(C380)&amp;" ")-1),",","."))+1,9))*12/52,IF(ISNUMBER(SEARCH("month",C380)),IFERROR(_xlfn.NUMBERVALUE(SUBSTITUTE(LEFT(TRIM(C380),FIND(" ",TRIM(C380)&amp;" ")-1),",","."),"."),LEFT(SUBSTITUTE(LEFT(TRIM(C380),FIND(" ",TRIM(C380)&amp;" ")-1),",","."),FIND("/",SUBSTITUTE(LEFT(TRIM(C380),FIND(" ",TRIM(C380)&amp;" ")-1),",","."))-1)/MID(SUBSTITUTE(LEFT(TRIM(C380),FIND(" ",TRIM(C380)&amp;" ")-1),",","."),FIND("/",SUBSTITUTE(LEFT(TRIM(C380),FIND(" ",TRIM(C380)&amp;" ")-1),",","."))+1,9)),IF(ISNUMBER(SEARCH("yea",C380)),IFERROR(_xlfn.NUMBERVALUE(SUBSTITUTE(LEFT(TRIM(C380),FIND(" ",TRIM(C380)&amp;" ")-1),",","."),"."),LEFT(SUBSTITUTE(LEFT(TRIM(C380),FIND(" ",TRIM(C380)&amp;" ")-1),",","."),FIND("/",SUBSTITUTE(LEFT(TRIM(C380),FIND(" ",TRIM(C380)&amp;" ")-1),",","."))-1)/MID(SUBSTITUTE(LEFT(TRIM(C380),FIND(" ",TRIM(C380)&amp;" ")-1),",","."),FIND("/",SUBSTITUTE(LEFT(TRIM(C380),FIND(" ",TRIM(C380)&amp;" ")-1),",","."))+1,9))*12,NA()))),0),24)*'Aturan &amp; Tarif'!$B$4,2)</f>
        <v>1362.72</v>
      </c>
      <c r="K380" s="32" t="n">
        <f aca="false">'Aturan &amp; Tarif'!$B$5</f>
        <v>2050</v>
      </c>
      <c r="L380" s="35" t="n">
        <f aca="false">I380+J380+K380</f>
        <v>6462.72</v>
      </c>
      <c r="M380" s="36" t="s">
        <v>131</v>
      </c>
    </row>
    <row r="381" customFormat="false" ht="25.5" hidden="false" customHeight="true" outlineLevel="0" collapsed="false">
      <c r="A381" s="29"/>
      <c r="B381" s="30" t="s">
        <v>3379</v>
      </c>
      <c r="C381" s="31" t="s">
        <v>127</v>
      </c>
      <c r="D381" s="31" t="s">
        <v>108</v>
      </c>
      <c r="E381" s="32" t="n">
        <v>2300</v>
      </c>
      <c r="F381" s="32" t="n">
        <v>1750</v>
      </c>
      <c r="G381" s="32" t="n">
        <v>300</v>
      </c>
      <c r="H381" s="33" t="n">
        <v>1</v>
      </c>
      <c r="I381" s="34" t="n">
        <f aca="false">E381*H381+N(F381)+N(G381)</f>
        <v>4350</v>
      </c>
      <c r="J381" s="32" t="n">
        <f aca="false">ROUND(IFERROR(ROUND(IF(OR(ISNUMBER(SEARCH("week",C381)),ISNUMBER(SEARCH("minggu",C381))),IFERROR(_xlfn.NUMBERVALUE(SUBSTITUTE(LEFT(TRIM(C381),FIND(" ",TRIM(C381)&amp;" ")-1),",","."),"."),LEFT(SUBSTITUTE(LEFT(TRIM(C381),FIND(" ",TRIM(C381)&amp;" ")-1),",","."),FIND("/",SUBSTITUTE(LEFT(TRIM(C381),FIND(" ",TRIM(C381)&amp;" ")-1),",","."))-1)/MID(SUBSTITUTE(LEFT(TRIM(C381),FIND(" ",TRIM(C381)&amp;" ")-1),",","."),FIND("/",SUBSTITUTE(LEFT(TRIM(C381),FIND(" ",TRIM(C381)&amp;" ")-1),",","."))+1,9))*12/52,IF(ISNUMBER(SEARCH("month",C381)),IFERROR(_xlfn.NUMBERVALUE(SUBSTITUTE(LEFT(TRIM(C381),FIND(" ",TRIM(C381)&amp;" ")-1),",","."),"."),LEFT(SUBSTITUTE(LEFT(TRIM(C381),FIND(" ",TRIM(C381)&amp;" ")-1),",","."),FIND("/",SUBSTITUTE(LEFT(TRIM(C381),FIND(" ",TRIM(C381)&amp;" ")-1),",","."))-1)/MID(SUBSTITUTE(LEFT(TRIM(C381),FIND(" ",TRIM(C381)&amp;" ")-1),",","."),FIND("/",SUBSTITUTE(LEFT(TRIM(C381),FIND(" ",TRIM(C381)&amp;" ")-1),",","."))+1,9)),IF(ISNUMBER(SEARCH("yea",C381)),IFERROR(_xlfn.NUMBERVALUE(SUBSTITUTE(LEFT(TRIM(C381),FIND(" ",TRIM(C381)&amp;" ")-1),",","."),"."),LEFT(SUBSTITUTE(LEFT(TRIM(C381),FIND(" ",TRIM(C381)&amp;" ")-1),",","."),FIND("/",SUBSTITUTE(LEFT(TRIM(C381),FIND(" ",TRIM(C381)&amp;" ")-1),",","."))-1)/MID(SUBSTITUTE(LEFT(TRIM(C381),FIND(" ",TRIM(C381)&amp;" ")-1),",","."),FIND("/",SUBSTITUTE(LEFT(TRIM(C381),FIND(" ",TRIM(C381)&amp;" ")-1),",","."))+1,9))*12,NA()))),0),36)*'Aturan &amp; Tarif'!$B$4,2)</f>
        <v>2044.08</v>
      </c>
      <c r="K381" s="32" t="n">
        <f aca="false">'Aturan &amp; Tarif'!$B$5</f>
        <v>2050</v>
      </c>
      <c r="L381" s="35" t="n">
        <f aca="false">I381+J381+K381</f>
        <v>8444.08</v>
      </c>
      <c r="M381" s="36" t="s">
        <v>131</v>
      </c>
    </row>
    <row r="382" customFormat="false" ht="37.5" hidden="false" customHeight="true" outlineLevel="0" collapsed="false">
      <c r="A382" s="29"/>
      <c r="B382" s="30" t="s">
        <v>3380</v>
      </c>
      <c r="C382" s="31" t="s">
        <v>107</v>
      </c>
      <c r="D382" s="31" t="s">
        <v>108</v>
      </c>
      <c r="E382" s="32" t="n">
        <v>2150</v>
      </c>
      <c r="F382" s="32" t="n">
        <v>1150</v>
      </c>
      <c r="G382" s="32" t="n">
        <v>300</v>
      </c>
      <c r="H382" s="33" t="n">
        <v>1</v>
      </c>
      <c r="I382" s="34" t="n">
        <f aca="false">E382*H382+N(F382)+N(G382)</f>
        <v>3600</v>
      </c>
      <c r="J382" s="32" t="n">
        <f aca="false">ROUND(IFERROR(ROUND(IF(OR(ISNUMBER(SEARCH("week",C382)),ISNUMBER(SEARCH("minggu",C382))),IFERROR(_xlfn.NUMBERVALUE(SUBSTITUTE(LEFT(TRIM(C382),FIND(" ",TRIM(C382)&amp;" ")-1),",","."),"."),LEFT(SUBSTITUTE(LEFT(TRIM(C382),FIND(" ",TRIM(C382)&amp;" ")-1),",","."),FIND("/",SUBSTITUTE(LEFT(TRIM(C382),FIND(" ",TRIM(C382)&amp;" ")-1),",","."))-1)/MID(SUBSTITUTE(LEFT(TRIM(C382),FIND(" ",TRIM(C382)&amp;" ")-1),",","."),FIND("/",SUBSTITUTE(LEFT(TRIM(C382),FIND(" ",TRIM(C382)&amp;" ")-1),",","."))+1,9))*12/52,IF(ISNUMBER(SEARCH("month",C382)),IFERROR(_xlfn.NUMBERVALUE(SUBSTITUTE(LEFT(TRIM(C382),FIND(" ",TRIM(C382)&amp;" ")-1),",","."),"."),LEFT(SUBSTITUTE(LEFT(TRIM(C382),FIND(" ",TRIM(C382)&amp;" ")-1),",","."),FIND("/",SUBSTITUTE(LEFT(TRIM(C382),FIND(" ",TRIM(C382)&amp;" ")-1),",","."))-1)/MID(SUBSTITUTE(LEFT(TRIM(C382),FIND(" ",TRIM(C382)&amp;" ")-1),",","."),FIND("/",SUBSTITUTE(LEFT(TRIM(C382),FIND(" ",TRIM(C382)&amp;" ")-1),",","."))+1,9)),IF(ISNUMBER(SEARCH("yea",C382)),IFERROR(_xlfn.NUMBERVALUE(SUBSTITUTE(LEFT(TRIM(C382),FIND(" ",TRIM(C382)&amp;" ")-1),",","."),"."),LEFT(SUBSTITUTE(LEFT(TRIM(C382),FIND(" ",TRIM(C382)&amp;" ")-1),",","."),FIND("/",SUBSTITUTE(LEFT(TRIM(C382),FIND(" ",TRIM(C382)&amp;" ")-1),",","."))-1)/MID(SUBSTITUTE(LEFT(TRIM(C382),FIND(" ",TRIM(C382)&amp;" ")-1),",","."),FIND("/",SUBSTITUTE(LEFT(TRIM(C382),FIND(" ",TRIM(C382)&amp;" ")-1),",","."))+1,9))*12,NA()))),0),24)*'Aturan &amp; Tarif'!$B$4,2)</f>
        <v>1362.72</v>
      </c>
      <c r="K382" s="32" t="n">
        <f aca="false">'Aturan &amp; Tarif'!$B$5</f>
        <v>2050</v>
      </c>
      <c r="L382" s="35" t="n">
        <f aca="false">I382+J382+K382</f>
        <v>7012.72</v>
      </c>
      <c r="M382" s="36" t="s">
        <v>131</v>
      </c>
    </row>
    <row r="383" customFormat="false" ht="25.5" hidden="false" customHeight="true" outlineLevel="0" collapsed="false">
      <c r="A383" s="29"/>
      <c r="B383" s="30" t="s">
        <v>3381</v>
      </c>
      <c r="C383" s="31" t="s">
        <v>107</v>
      </c>
      <c r="D383" s="31" t="s">
        <v>108</v>
      </c>
      <c r="E383" s="32" t="n">
        <v>2625</v>
      </c>
      <c r="F383" s="32" t="n">
        <v>1150</v>
      </c>
      <c r="G383" s="32" t="n">
        <v>300</v>
      </c>
      <c r="H383" s="33" t="n">
        <v>1</v>
      </c>
      <c r="I383" s="34" t="n">
        <f aca="false">E383*H383+N(F383)+N(G383)</f>
        <v>4075</v>
      </c>
      <c r="J383" s="32" t="n">
        <f aca="false">ROUND(IFERROR(ROUND(IF(OR(ISNUMBER(SEARCH("week",C383)),ISNUMBER(SEARCH("minggu",C383))),IFERROR(_xlfn.NUMBERVALUE(SUBSTITUTE(LEFT(TRIM(C383),FIND(" ",TRIM(C383)&amp;" ")-1),",","."),"."),LEFT(SUBSTITUTE(LEFT(TRIM(C383),FIND(" ",TRIM(C383)&amp;" ")-1),",","."),FIND("/",SUBSTITUTE(LEFT(TRIM(C383),FIND(" ",TRIM(C383)&amp;" ")-1),",","."))-1)/MID(SUBSTITUTE(LEFT(TRIM(C383),FIND(" ",TRIM(C383)&amp;" ")-1),",","."),FIND("/",SUBSTITUTE(LEFT(TRIM(C383),FIND(" ",TRIM(C383)&amp;" ")-1),",","."))+1,9))*12/52,IF(ISNUMBER(SEARCH("month",C383)),IFERROR(_xlfn.NUMBERVALUE(SUBSTITUTE(LEFT(TRIM(C383),FIND(" ",TRIM(C383)&amp;" ")-1),",","."),"."),LEFT(SUBSTITUTE(LEFT(TRIM(C383),FIND(" ",TRIM(C383)&amp;" ")-1),",","."),FIND("/",SUBSTITUTE(LEFT(TRIM(C383),FIND(" ",TRIM(C383)&amp;" ")-1),",","."))-1)/MID(SUBSTITUTE(LEFT(TRIM(C383),FIND(" ",TRIM(C383)&amp;" ")-1),",","."),FIND("/",SUBSTITUTE(LEFT(TRIM(C383),FIND(" ",TRIM(C383)&amp;" ")-1),",","."))+1,9)),IF(ISNUMBER(SEARCH("yea",C383)),IFERROR(_xlfn.NUMBERVALUE(SUBSTITUTE(LEFT(TRIM(C383),FIND(" ",TRIM(C383)&amp;" ")-1),",","."),"."),LEFT(SUBSTITUTE(LEFT(TRIM(C383),FIND(" ",TRIM(C383)&amp;" ")-1),",","."),FIND("/",SUBSTITUTE(LEFT(TRIM(C383),FIND(" ",TRIM(C383)&amp;" ")-1),",","."))-1)/MID(SUBSTITUTE(LEFT(TRIM(C383),FIND(" ",TRIM(C383)&amp;" ")-1),",","."),FIND("/",SUBSTITUTE(LEFT(TRIM(C383),FIND(" ",TRIM(C383)&amp;" ")-1),",","."))+1,9))*12,NA()))),0),24)*'Aturan &amp; Tarif'!$B$4,2)</f>
        <v>1362.72</v>
      </c>
      <c r="K383" s="32" t="n">
        <f aca="false">'Aturan &amp; Tarif'!$B$5</f>
        <v>2050</v>
      </c>
      <c r="L383" s="35" t="n">
        <f aca="false">I383+J383+K383</f>
        <v>7487.72</v>
      </c>
      <c r="M383" s="36" t="s">
        <v>131</v>
      </c>
    </row>
    <row r="384" customFormat="false" ht="60" hidden="false" customHeight="true" outlineLevel="0" collapsed="false">
      <c r="A384" s="29"/>
      <c r="B384" s="30" t="s">
        <v>3382</v>
      </c>
      <c r="C384" s="31" t="s">
        <v>127</v>
      </c>
      <c r="D384" s="31" t="s">
        <v>108</v>
      </c>
      <c r="E384" s="32" t="n">
        <v>2150</v>
      </c>
      <c r="F384" s="32" t="n">
        <v>1150</v>
      </c>
      <c r="G384" s="32" t="n">
        <v>300</v>
      </c>
      <c r="H384" s="33" t="n">
        <v>1</v>
      </c>
      <c r="I384" s="34" t="n">
        <f aca="false">E384*H384+N(F384)+N(G384)</f>
        <v>3600</v>
      </c>
      <c r="J384" s="32" t="n">
        <f aca="false">ROUND(IFERROR(ROUND(IF(OR(ISNUMBER(SEARCH("week",C384)),ISNUMBER(SEARCH("minggu",C384))),IFERROR(_xlfn.NUMBERVALUE(SUBSTITUTE(LEFT(TRIM(C384),FIND(" ",TRIM(C384)&amp;" ")-1),",","."),"."),LEFT(SUBSTITUTE(LEFT(TRIM(C384),FIND(" ",TRIM(C384)&amp;" ")-1),",","."),FIND("/",SUBSTITUTE(LEFT(TRIM(C384),FIND(" ",TRIM(C384)&amp;" ")-1),",","."))-1)/MID(SUBSTITUTE(LEFT(TRIM(C384),FIND(" ",TRIM(C384)&amp;" ")-1),",","."),FIND("/",SUBSTITUTE(LEFT(TRIM(C384),FIND(" ",TRIM(C384)&amp;" ")-1),",","."))+1,9))*12/52,IF(ISNUMBER(SEARCH("month",C384)),IFERROR(_xlfn.NUMBERVALUE(SUBSTITUTE(LEFT(TRIM(C384),FIND(" ",TRIM(C384)&amp;" ")-1),",","."),"."),LEFT(SUBSTITUTE(LEFT(TRIM(C384),FIND(" ",TRIM(C384)&amp;" ")-1),",","."),FIND("/",SUBSTITUTE(LEFT(TRIM(C384),FIND(" ",TRIM(C384)&amp;" ")-1),",","."))-1)/MID(SUBSTITUTE(LEFT(TRIM(C384),FIND(" ",TRIM(C384)&amp;" ")-1),",","."),FIND("/",SUBSTITUTE(LEFT(TRIM(C384),FIND(" ",TRIM(C384)&amp;" ")-1),",","."))+1,9)),IF(ISNUMBER(SEARCH("yea",C384)),IFERROR(_xlfn.NUMBERVALUE(SUBSTITUTE(LEFT(TRIM(C384),FIND(" ",TRIM(C384)&amp;" ")-1),",","."),"."),LEFT(SUBSTITUTE(LEFT(TRIM(C384),FIND(" ",TRIM(C384)&amp;" ")-1),",","."),FIND("/",SUBSTITUTE(LEFT(TRIM(C384),FIND(" ",TRIM(C384)&amp;" ")-1),",","."))-1)/MID(SUBSTITUTE(LEFT(TRIM(C384),FIND(" ",TRIM(C384)&amp;" ")-1),",","."),FIND("/",SUBSTITUTE(LEFT(TRIM(C384),FIND(" ",TRIM(C384)&amp;" ")-1),",","."))+1,9))*12,NA()))),0),36)*'Aturan &amp; Tarif'!$B$4,2)</f>
        <v>2044.08</v>
      </c>
      <c r="K384" s="32" t="n">
        <f aca="false">'Aturan &amp; Tarif'!$B$5</f>
        <v>2050</v>
      </c>
      <c r="L384" s="35" t="n">
        <f aca="false">I384+J384+K384</f>
        <v>7694.08</v>
      </c>
      <c r="M384" s="36" t="s">
        <v>131</v>
      </c>
    </row>
    <row r="385" customFormat="false" ht="25.5" hidden="false" customHeight="true" outlineLevel="0" collapsed="false">
      <c r="A385" s="29"/>
      <c r="B385" s="30" t="s">
        <v>3383</v>
      </c>
      <c r="C385" s="31" t="s">
        <v>107</v>
      </c>
      <c r="D385" s="31" t="s">
        <v>108</v>
      </c>
      <c r="E385" s="32" t="n">
        <v>1750</v>
      </c>
      <c r="F385" s="32" t="n">
        <v>200</v>
      </c>
      <c r="G385" s="32" t="n">
        <v>300</v>
      </c>
      <c r="H385" s="33" t="n">
        <v>1</v>
      </c>
      <c r="I385" s="34" t="n">
        <f aca="false">E385*H385+N(F385)+N(G385)</f>
        <v>2250</v>
      </c>
      <c r="J385" s="32" t="n">
        <f aca="false">ROUND(IFERROR(ROUND(IF(OR(ISNUMBER(SEARCH("week",C385)),ISNUMBER(SEARCH("minggu",C385))),IFERROR(_xlfn.NUMBERVALUE(SUBSTITUTE(LEFT(TRIM(C385),FIND(" ",TRIM(C385)&amp;" ")-1),",","."),"."),LEFT(SUBSTITUTE(LEFT(TRIM(C385),FIND(" ",TRIM(C385)&amp;" ")-1),",","."),FIND("/",SUBSTITUTE(LEFT(TRIM(C385),FIND(" ",TRIM(C385)&amp;" ")-1),",","."))-1)/MID(SUBSTITUTE(LEFT(TRIM(C385),FIND(" ",TRIM(C385)&amp;" ")-1),",","."),FIND("/",SUBSTITUTE(LEFT(TRIM(C385),FIND(" ",TRIM(C385)&amp;" ")-1),",","."))+1,9))*12/52,IF(ISNUMBER(SEARCH("month",C385)),IFERROR(_xlfn.NUMBERVALUE(SUBSTITUTE(LEFT(TRIM(C385),FIND(" ",TRIM(C385)&amp;" ")-1),",","."),"."),LEFT(SUBSTITUTE(LEFT(TRIM(C385),FIND(" ",TRIM(C385)&amp;" ")-1),",","."),FIND("/",SUBSTITUTE(LEFT(TRIM(C385),FIND(" ",TRIM(C385)&amp;" ")-1),",","."))-1)/MID(SUBSTITUTE(LEFT(TRIM(C385),FIND(" ",TRIM(C385)&amp;" ")-1),",","."),FIND("/",SUBSTITUTE(LEFT(TRIM(C385),FIND(" ",TRIM(C385)&amp;" ")-1),",","."))+1,9)),IF(ISNUMBER(SEARCH("yea",C385)),IFERROR(_xlfn.NUMBERVALUE(SUBSTITUTE(LEFT(TRIM(C385),FIND(" ",TRIM(C385)&amp;" ")-1),",","."),"."),LEFT(SUBSTITUTE(LEFT(TRIM(C385),FIND(" ",TRIM(C385)&amp;" ")-1),",","."),FIND("/",SUBSTITUTE(LEFT(TRIM(C385),FIND(" ",TRIM(C385)&amp;" ")-1),",","."))-1)/MID(SUBSTITUTE(LEFT(TRIM(C385),FIND(" ",TRIM(C385)&amp;" ")-1),",","."),FIND("/",SUBSTITUTE(LEFT(TRIM(C385),FIND(" ",TRIM(C385)&amp;" ")-1),",","."))+1,9))*12,NA()))),0),24)*'Aturan &amp; Tarif'!$B$4,2)</f>
        <v>1362.72</v>
      </c>
      <c r="K385" s="32" t="n">
        <f aca="false">'Aturan &amp; Tarif'!$B$5</f>
        <v>2050</v>
      </c>
      <c r="L385" s="35" t="n">
        <f aca="false">I385+J385+K385</f>
        <v>5662.72</v>
      </c>
      <c r="M385" s="36" t="s">
        <v>131</v>
      </c>
    </row>
    <row r="386" customFormat="false" ht="25.5" hidden="false" customHeight="true" outlineLevel="0" collapsed="false">
      <c r="A386" s="29"/>
      <c r="B386" s="30" t="s">
        <v>2893</v>
      </c>
      <c r="C386" s="31" t="s">
        <v>127</v>
      </c>
      <c r="D386" s="31" t="s">
        <v>108</v>
      </c>
      <c r="E386" s="32" t="n">
        <v>1800</v>
      </c>
      <c r="F386" s="32" t="n">
        <v>500</v>
      </c>
      <c r="G386" s="32" t="n">
        <v>300</v>
      </c>
      <c r="H386" s="33" t="n">
        <v>1</v>
      </c>
      <c r="I386" s="34" t="n">
        <f aca="false">E386*H386+N(F386)+N(G386)</f>
        <v>2600</v>
      </c>
      <c r="J386" s="32" t="n">
        <f aca="false">ROUND(IFERROR(ROUND(IF(OR(ISNUMBER(SEARCH("week",C386)),ISNUMBER(SEARCH("minggu",C386))),IFERROR(_xlfn.NUMBERVALUE(SUBSTITUTE(LEFT(TRIM(C386),FIND(" ",TRIM(C386)&amp;" ")-1),",","."),"."),LEFT(SUBSTITUTE(LEFT(TRIM(C386),FIND(" ",TRIM(C386)&amp;" ")-1),",","."),FIND("/",SUBSTITUTE(LEFT(TRIM(C386),FIND(" ",TRIM(C386)&amp;" ")-1),",","."))-1)/MID(SUBSTITUTE(LEFT(TRIM(C386),FIND(" ",TRIM(C386)&amp;" ")-1),",","."),FIND("/",SUBSTITUTE(LEFT(TRIM(C386),FIND(" ",TRIM(C386)&amp;" ")-1),",","."))+1,9))*12/52,IF(ISNUMBER(SEARCH("month",C386)),IFERROR(_xlfn.NUMBERVALUE(SUBSTITUTE(LEFT(TRIM(C386),FIND(" ",TRIM(C386)&amp;" ")-1),",","."),"."),LEFT(SUBSTITUTE(LEFT(TRIM(C386),FIND(" ",TRIM(C386)&amp;" ")-1),",","."),FIND("/",SUBSTITUTE(LEFT(TRIM(C386),FIND(" ",TRIM(C386)&amp;" ")-1),",","."))-1)/MID(SUBSTITUTE(LEFT(TRIM(C386),FIND(" ",TRIM(C386)&amp;" ")-1),",","."),FIND("/",SUBSTITUTE(LEFT(TRIM(C386),FIND(" ",TRIM(C386)&amp;" ")-1),",","."))+1,9)),IF(ISNUMBER(SEARCH("yea",C386)),IFERROR(_xlfn.NUMBERVALUE(SUBSTITUTE(LEFT(TRIM(C386),FIND(" ",TRIM(C386)&amp;" ")-1),",","."),"."),LEFT(SUBSTITUTE(LEFT(TRIM(C386),FIND(" ",TRIM(C386)&amp;" ")-1),",","."),FIND("/",SUBSTITUTE(LEFT(TRIM(C386),FIND(" ",TRIM(C386)&amp;" ")-1),",","."))-1)/MID(SUBSTITUTE(LEFT(TRIM(C386),FIND(" ",TRIM(C386)&amp;" ")-1),",","."),FIND("/",SUBSTITUTE(LEFT(TRIM(C386),FIND(" ",TRIM(C386)&amp;" ")-1),",","."))+1,9))*12,NA()))),0),36)*'Aturan &amp; Tarif'!$B$4,2)</f>
        <v>2044.08</v>
      </c>
      <c r="K386" s="32" t="n">
        <f aca="false">'Aturan &amp; Tarif'!$B$5</f>
        <v>2050</v>
      </c>
      <c r="L386" s="35" t="n">
        <f aca="false">I386+J386+K386</f>
        <v>6694.08</v>
      </c>
      <c r="M386" s="36" t="s">
        <v>131</v>
      </c>
    </row>
    <row r="387" customFormat="false" ht="14.25" hidden="false" customHeight="true" outlineLevel="0" collapsed="false">
      <c r="A387" s="29"/>
      <c r="B387" s="30" t="s">
        <v>2894</v>
      </c>
      <c r="C387" s="31" t="s">
        <v>107</v>
      </c>
      <c r="D387" s="31" t="s">
        <v>108</v>
      </c>
      <c r="E387" s="32" t="n">
        <v>2250</v>
      </c>
      <c r="F387" s="32" t="n">
        <v>700</v>
      </c>
      <c r="G387" s="32" t="n">
        <v>300</v>
      </c>
      <c r="H387" s="33" t="n">
        <v>1</v>
      </c>
      <c r="I387" s="34" t="n">
        <f aca="false">E387*H387+N(F387)+N(G387)</f>
        <v>3250</v>
      </c>
      <c r="J387" s="32" t="n">
        <f aca="false">ROUND(IFERROR(ROUND(IF(OR(ISNUMBER(SEARCH("week",C387)),ISNUMBER(SEARCH("minggu",C387))),IFERROR(_xlfn.NUMBERVALUE(SUBSTITUTE(LEFT(TRIM(C387),FIND(" ",TRIM(C387)&amp;" ")-1),",","."),"."),LEFT(SUBSTITUTE(LEFT(TRIM(C387),FIND(" ",TRIM(C387)&amp;" ")-1),",","."),FIND("/",SUBSTITUTE(LEFT(TRIM(C387),FIND(" ",TRIM(C387)&amp;" ")-1),",","."))-1)/MID(SUBSTITUTE(LEFT(TRIM(C387),FIND(" ",TRIM(C387)&amp;" ")-1),",","."),FIND("/",SUBSTITUTE(LEFT(TRIM(C387),FIND(" ",TRIM(C387)&amp;" ")-1),",","."))+1,9))*12/52,IF(ISNUMBER(SEARCH("month",C387)),IFERROR(_xlfn.NUMBERVALUE(SUBSTITUTE(LEFT(TRIM(C387),FIND(" ",TRIM(C387)&amp;" ")-1),",","."),"."),LEFT(SUBSTITUTE(LEFT(TRIM(C387),FIND(" ",TRIM(C387)&amp;" ")-1),",","."),FIND("/",SUBSTITUTE(LEFT(TRIM(C387),FIND(" ",TRIM(C387)&amp;" ")-1),",","."))-1)/MID(SUBSTITUTE(LEFT(TRIM(C387),FIND(" ",TRIM(C387)&amp;" ")-1),",","."),FIND("/",SUBSTITUTE(LEFT(TRIM(C387),FIND(" ",TRIM(C387)&amp;" ")-1),",","."))+1,9)),IF(ISNUMBER(SEARCH("yea",C387)),IFERROR(_xlfn.NUMBERVALUE(SUBSTITUTE(LEFT(TRIM(C387),FIND(" ",TRIM(C387)&amp;" ")-1),",","."),"."),LEFT(SUBSTITUTE(LEFT(TRIM(C387),FIND(" ",TRIM(C387)&amp;" ")-1),",","."),FIND("/",SUBSTITUTE(LEFT(TRIM(C387),FIND(" ",TRIM(C387)&amp;" ")-1),",","."))-1)/MID(SUBSTITUTE(LEFT(TRIM(C387),FIND(" ",TRIM(C387)&amp;" ")-1),",","."),FIND("/",SUBSTITUTE(LEFT(TRIM(C387),FIND(" ",TRIM(C387)&amp;" ")-1),",","."))+1,9))*12,NA()))),0),24)*'Aturan &amp; Tarif'!$B$4,2)</f>
        <v>1362.72</v>
      </c>
      <c r="K387" s="32" t="n">
        <f aca="false">'Aturan &amp; Tarif'!$B$5</f>
        <v>2050</v>
      </c>
      <c r="L387" s="35" t="n">
        <f aca="false">I387+J387+K387</f>
        <v>6662.72</v>
      </c>
      <c r="M387" s="37" t="s">
        <v>134</v>
      </c>
    </row>
    <row r="388" customFormat="false" ht="37.5" hidden="false" customHeight="true" outlineLevel="0" collapsed="false">
      <c r="A388" s="39" t="s">
        <v>2901</v>
      </c>
      <c r="B388" s="40" t="s">
        <v>2864</v>
      </c>
      <c r="C388" s="41" t="s">
        <v>138</v>
      </c>
      <c r="D388" s="41" t="s">
        <v>108</v>
      </c>
      <c r="E388" s="42" t="n">
        <v>2300</v>
      </c>
      <c r="F388" s="42" t="n">
        <v>1000</v>
      </c>
      <c r="G388" s="42" t="n">
        <v>250</v>
      </c>
      <c r="H388" s="43" t="n">
        <v>1</v>
      </c>
      <c r="I388" s="34" t="n">
        <f aca="false">E388*H388+N(F388)+N(G388)</f>
        <v>3550</v>
      </c>
      <c r="J388" s="42" t="n">
        <f aca="false">ROUND(IFERROR(ROUND(IF(OR(ISNUMBER(SEARCH("week",C388)),ISNUMBER(SEARCH("minggu",C388))),IFERROR(_xlfn.NUMBERVALUE(SUBSTITUTE(LEFT(TRIM(C388),FIND(" ",TRIM(C388)&amp;" ")-1),",","."),"."),LEFT(SUBSTITUTE(LEFT(TRIM(C388),FIND(" ",TRIM(C388)&amp;" ")-1),",","."),FIND("/",SUBSTITUTE(LEFT(TRIM(C388),FIND(" ",TRIM(C388)&amp;" ")-1),",","."))-1)/MID(SUBSTITUTE(LEFT(TRIM(C388),FIND(" ",TRIM(C388)&amp;" ")-1),",","."),FIND("/",SUBSTITUTE(LEFT(TRIM(C388),FIND(" ",TRIM(C388)&amp;" ")-1),",","."))+1,9))*12/52,IF(ISNUMBER(SEARCH("month",C388)),IFERROR(_xlfn.NUMBERVALUE(SUBSTITUTE(LEFT(TRIM(C388),FIND(" ",TRIM(C388)&amp;" ")-1),",","."),"."),LEFT(SUBSTITUTE(LEFT(TRIM(C388),FIND(" ",TRIM(C388)&amp;" ")-1),",","."),FIND("/",SUBSTITUTE(LEFT(TRIM(C388),FIND(" ",TRIM(C388)&amp;" ")-1),",","."))-1)/MID(SUBSTITUTE(LEFT(TRIM(C388),FIND(" ",TRIM(C388)&amp;" ")-1),",","."),FIND("/",SUBSTITUTE(LEFT(TRIM(C388),FIND(" ",TRIM(C388)&amp;" ")-1),",","."))+1,9)),IF(ISNUMBER(SEARCH("yea",C388)),IFERROR(_xlfn.NUMBERVALUE(SUBSTITUTE(LEFT(TRIM(C388),FIND(" ",TRIM(C388)&amp;" ")-1),",","."),"."),LEFT(SUBSTITUTE(LEFT(TRIM(C388),FIND(" ",TRIM(C388)&amp;" ")-1),",","."),FIND("/",SUBSTITUTE(LEFT(TRIM(C388),FIND(" ",TRIM(C388)&amp;" ")-1),",","."))-1)/MID(SUBSTITUTE(LEFT(TRIM(C388),FIND(" ",TRIM(C388)&amp;" ")-1),",","."),FIND("/",SUBSTITUTE(LEFT(TRIM(C388),FIND(" ",TRIM(C388)&amp;" ")-1),",","."))+1,9))*12,NA()))),0),30)*'Aturan &amp; Tarif'!$B$4,2)</f>
        <v>1703.4</v>
      </c>
      <c r="K388" s="42" t="n">
        <f aca="false">'Aturan &amp; Tarif'!$B$5</f>
        <v>2050</v>
      </c>
      <c r="L388" s="35" t="n">
        <f aca="false">I388+J388+K388</f>
        <v>7303.4</v>
      </c>
      <c r="M388" s="45" t="s">
        <v>134</v>
      </c>
    </row>
    <row r="389" customFormat="false" ht="25.5" hidden="false" customHeight="true" outlineLevel="0" collapsed="false">
      <c r="A389" s="39"/>
      <c r="B389" s="40" t="s">
        <v>474</v>
      </c>
      <c r="C389" s="41" t="s">
        <v>107</v>
      </c>
      <c r="D389" s="41" t="s">
        <v>108</v>
      </c>
      <c r="E389" s="42" t="n">
        <v>2315</v>
      </c>
      <c r="F389" s="42" t="n">
        <v>1200</v>
      </c>
      <c r="G389" s="42" t="n">
        <v>500</v>
      </c>
      <c r="H389" s="43" t="n">
        <v>1</v>
      </c>
      <c r="I389" s="34" t="n">
        <f aca="false">E389*H389+N(F389)+N(G389)</f>
        <v>4015</v>
      </c>
      <c r="J389" s="42" t="n">
        <f aca="false">ROUND(IFERROR(ROUND(IF(OR(ISNUMBER(SEARCH("week",C389)),ISNUMBER(SEARCH("minggu",C389))),IFERROR(_xlfn.NUMBERVALUE(SUBSTITUTE(LEFT(TRIM(C389),FIND(" ",TRIM(C389)&amp;" ")-1),",","."),"."),LEFT(SUBSTITUTE(LEFT(TRIM(C389),FIND(" ",TRIM(C389)&amp;" ")-1),",","."),FIND("/",SUBSTITUTE(LEFT(TRIM(C389),FIND(" ",TRIM(C389)&amp;" ")-1),",","."))-1)/MID(SUBSTITUTE(LEFT(TRIM(C389),FIND(" ",TRIM(C389)&amp;" ")-1),",","."),FIND("/",SUBSTITUTE(LEFT(TRIM(C389),FIND(" ",TRIM(C389)&amp;" ")-1),",","."))+1,9))*12/52,IF(ISNUMBER(SEARCH("month",C389)),IFERROR(_xlfn.NUMBERVALUE(SUBSTITUTE(LEFT(TRIM(C389),FIND(" ",TRIM(C389)&amp;" ")-1),",","."),"."),LEFT(SUBSTITUTE(LEFT(TRIM(C389),FIND(" ",TRIM(C389)&amp;" ")-1),",","."),FIND("/",SUBSTITUTE(LEFT(TRIM(C389),FIND(" ",TRIM(C389)&amp;" ")-1),",","."))-1)/MID(SUBSTITUTE(LEFT(TRIM(C389),FIND(" ",TRIM(C389)&amp;" ")-1),",","."),FIND("/",SUBSTITUTE(LEFT(TRIM(C389),FIND(" ",TRIM(C389)&amp;" ")-1),",","."))+1,9)),IF(ISNUMBER(SEARCH("yea",C389)),IFERROR(_xlfn.NUMBERVALUE(SUBSTITUTE(LEFT(TRIM(C389),FIND(" ",TRIM(C389)&amp;" ")-1),",","."),"."),LEFT(SUBSTITUTE(LEFT(TRIM(C389),FIND(" ",TRIM(C389)&amp;" ")-1),",","."),FIND("/",SUBSTITUTE(LEFT(TRIM(C389),FIND(" ",TRIM(C389)&amp;" ")-1),",","."))-1)/MID(SUBSTITUTE(LEFT(TRIM(C389),FIND(" ",TRIM(C389)&amp;" ")-1),",","."),FIND("/",SUBSTITUTE(LEFT(TRIM(C389),FIND(" ",TRIM(C389)&amp;" ")-1),",","."))+1,9))*12,NA()))),0),24)*'Aturan &amp; Tarif'!$B$4,2)</f>
        <v>1362.72</v>
      </c>
      <c r="K389" s="42" t="n">
        <f aca="false">'Aturan &amp; Tarif'!$B$5</f>
        <v>2050</v>
      </c>
      <c r="L389" s="35" t="n">
        <f aca="false">I389+J389+K389</f>
        <v>7427.72</v>
      </c>
      <c r="M389" s="45" t="s">
        <v>134</v>
      </c>
    </row>
    <row r="390" customFormat="false" ht="25.5" hidden="false" customHeight="true" outlineLevel="0" collapsed="false">
      <c r="A390" s="39"/>
      <c r="B390" s="40" t="s">
        <v>475</v>
      </c>
      <c r="C390" s="41" t="s">
        <v>127</v>
      </c>
      <c r="D390" s="41" t="s">
        <v>108</v>
      </c>
      <c r="E390" s="42" t="n">
        <v>2000</v>
      </c>
      <c r="F390" s="42" t="n">
        <v>1100</v>
      </c>
      <c r="G390" s="42" t="n">
        <v>250</v>
      </c>
      <c r="H390" s="43" t="n">
        <v>1</v>
      </c>
      <c r="I390" s="34" t="n">
        <f aca="false">E390*H390+N(F390)+N(G390)</f>
        <v>3350</v>
      </c>
      <c r="J390" s="42" t="n">
        <f aca="false">ROUND(IFERROR(ROUND(IF(OR(ISNUMBER(SEARCH("week",C390)),ISNUMBER(SEARCH("minggu",C390))),IFERROR(_xlfn.NUMBERVALUE(SUBSTITUTE(LEFT(TRIM(C390),FIND(" ",TRIM(C390)&amp;" ")-1),",","."),"."),LEFT(SUBSTITUTE(LEFT(TRIM(C390),FIND(" ",TRIM(C390)&amp;" ")-1),",","."),FIND("/",SUBSTITUTE(LEFT(TRIM(C390),FIND(" ",TRIM(C390)&amp;" ")-1),",","."))-1)/MID(SUBSTITUTE(LEFT(TRIM(C390),FIND(" ",TRIM(C390)&amp;" ")-1),",","."),FIND("/",SUBSTITUTE(LEFT(TRIM(C390),FIND(" ",TRIM(C390)&amp;" ")-1),",","."))+1,9))*12/52,IF(ISNUMBER(SEARCH("month",C390)),IFERROR(_xlfn.NUMBERVALUE(SUBSTITUTE(LEFT(TRIM(C390),FIND(" ",TRIM(C390)&amp;" ")-1),",","."),"."),LEFT(SUBSTITUTE(LEFT(TRIM(C390),FIND(" ",TRIM(C390)&amp;" ")-1),",","."),FIND("/",SUBSTITUTE(LEFT(TRIM(C390),FIND(" ",TRIM(C390)&amp;" ")-1),",","."))-1)/MID(SUBSTITUTE(LEFT(TRIM(C390),FIND(" ",TRIM(C390)&amp;" ")-1),",","."),FIND("/",SUBSTITUTE(LEFT(TRIM(C390),FIND(" ",TRIM(C390)&amp;" ")-1),",","."))+1,9)),IF(ISNUMBER(SEARCH("yea",C390)),IFERROR(_xlfn.NUMBERVALUE(SUBSTITUTE(LEFT(TRIM(C390),FIND(" ",TRIM(C390)&amp;" ")-1),",","."),"."),LEFT(SUBSTITUTE(LEFT(TRIM(C390),FIND(" ",TRIM(C390)&amp;" ")-1),",","."),FIND("/",SUBSTITUTE(LEFT(TRIM(C390),FIND(" ",TRIM(C390)&amp;" ")-1),",","."))-1)/MID(SUBSTITUTE(LEFT(TRIM(C390),FIND(" ",TRIM(C390)&amp;" ")-1),",","."),FIND("/",SUBSTITUTE(LEFT(TRIM(C390),FIND(" ",TRIM(C390)&amp;" ")-1),",","."))+1,9))*12,NA()))),0),36)*'Aturan &amp; Tarif'!$B$4,2)</f>
        <v>2044.08</v>
      </c>
      <c r="K390" s="42" t="n">
        <f aca="false">'Aturan &amp; Tarif'!$B$5</f>
        <v>2050</v>
      </c>
      <c r="L390" s="35" t="n">
        <f aca="false">I390+J390+K390</f>
        <v>7444.08</v>
      </c>
      <c r="M390" s="45" t="s">
        <v>134</v>
      </c>
    </row>
    <row r="391" customFormat="false" ht="48.75" hidden="false" customHeight="true" outlineLevel="0" collapsed="false">
      <c r="A391" s="39"/>
      <c r="B391" s="40" t="s">
        <v>476</v>
      </c>
      <c r="C391" s="41" t="s">
        <v>107</v>
      </c>
      <c r="D391" s="41" t="s">
        <v>108</v>
      </c>
      <c r="E391" s="42" t="n">
        <v>1625</v>
      </c>
      <c r="F391" s="42" t="n">
        <v>200</v>
      </c>
      <c r="G391" s="42" t="n">
        <v>250</v>
      </c>
      <c r="H391" s="43" t="n">
        <v>1</v>
      </c>
      <c r="I391" s="34" t="n">
        <f aca="false">E391*H391+N(F391)+N(G391)</f>
        <v>2075</v>
      </c>
      <c r="J391" s="42" t="n">
        <f aca="false">ROUND(IFERROR(ROUND(IF(OR(ISNUMBER(SEARCH("week",C391)),ISNUMBER(SEARCH("minggu",C391))),IFERROR(_xlfn.NUMBERVALUE(SUBSTITUTE(LEFT(TRIM(C391),FIND(" ",TRIM(C391)&amp;" ")-1),",","."),"."),LEFT(SUBSTITUTE(LEFT(TRIM(C391),FIND(" ",TRIM(C391)&amp;" ")-1),",","."),FIND("/",SUBSTITUTE(LEFT(TRIM(C391),FIND(" ",TRIM(C391)&amp;" ")-1),",","."))-1)/MID(SUBSTITUTE(LEFT(TRIM(C391),FIND(" ",TRIM(C391)&amp;" ")-1),",","."),FIND("/",SUBSTITUTE(LEFT(TRIM(C391),FIND(" ",TRIM(C391)&amp;" ")-1),",","."))+1,9))*12/52,IF(ISNUMBER(SEARCH("month",C391)),IFERROR(_xlfn.NUMBERVALUE(SUBSTITUTE(LEFT(TRIM(C391),FIND(" ",TRIM(C391)&amp;" ")-1),",","."),"."),LEFT(SUBSTITUTE(LEFT(TRIM(C391),FIND(" ",TRIM(C391)&amp;" ")-1),",","."),FIND("/",SUBSTITUTE(LEFT(TRIM(C391),FIND(" ",TRIM(C391)&amp;" ")-1),",","."))-1)/MID(SUBSTITUTE(LEFT(TRIM(C391),FIND(" ",TRIM(C391)&amp;" ")-1),",","."),FIND("/",SUBSTITUTE(LEFT(TRIM(C391),FIND(" ",TRIM(C391)&amp;" ")-1),",","."))+1,9)),IF(ISNUMBER(SEARCH("yea",C391)),IFERROR(_xlfn.NUMBERVALUE(SUBSTITUTE(LEFT(TRIM(C391),FIND(" ",TRIM(C391)&amp;" ")-1),",","."),"."),LEFT(SUBSTITUTE(LEFT(TRIM(C391),FIND(" ",TRIM(C391)&amp;" ")-1),",","."),FIND("/",SUBSTITUTE(LEFT(TRIM(C391),FIND(" ",TRIM(C391)&amp;" ")-1),",","."))-1)/MID(SUBSTITUTE(LEFT(TRIM(C391),FIND(" ",TRIM(C391)&amp;" ")-1),",","."),FIND("/",SUBSTITUTE(LEFT(TRIM(C391),FIND(" ",TRIM(C391)&amp;" ")-1),",","."))+1,9))*12,NA()))),0),24)*'Aturan &amp; Tarif'!$B$4,2)</f>
        <v>1362.72</v>
      </c>
      <c r="K391" s="42" t="n">
        <f aca="false">'Aturan &amp; Tarif'!$B$5</f>
        <v>2050</v>
      </c>
      <c r="L391" s="35" t="n">
        <f aca="false">I391+J391+K391</f>
        <v>5487.72</v>
      </c>
      <c r="M391" s="45" t="s">
        <v>134</v>
      </c>
    </row>
    <row r="392" customFormat="false" ht="60" hidden="false" customHeight="true" outlineLevel="0" collapsed="false">
      <c r="A392" s="29" t="s">
        <v>2902</v>
      </c>
      <c r="B392" s="30" t="s">
        <v>2447</v>
      </c>
      <c r="C392" s="31" t="s">
        <v>127</v>
      </c>
      <c r="D392" s="31" t="s">
        <v>108</v>
      </c>
      <c r="E392" s="32" t="n">
        <v>4650</v>
      </c>
      <c r="F392" s="32" t="n">
        <v>350</v>
      </c>
      <c r="G392" s="32" t="n">
        <v>500</v>
      </c>
      <c r="H392" s="33" t="n">
        <v>2</v>
      </c>
      <c r="I392" s="34" t="n">
        <f aca="false">E392*H392+N(F392)+N(G392)</f>
        <v>10150</v>
      </c>
      <c r="J392" s="32" t="n">
        <f aca="false">ROUND(IFERROR(ROUND(IF(OR(ISNUMBER(SEARCH("week",C392)),ISNUMBER(SEARCH("minggu",C392))),IFERROR(_xlfn.NUMBERVALUE(SUBSTITUTE(LEFT(TRIM(C392),FIND(" ",TRIM(C392)&amp;" ")-1),",","."),"."),LEFT(SUBSTITUTE(LEFT(TRIM(C392),FIND(" ",TRIM(C392)&amp;" ")-1),",","."),FIND("/",SUBSTITUTE(LEFT(TRIM(C392),FIND(" ",TRIM(C392)&amp;" ")-1),",","."))-1)/MID(SUBSTITUTE(LEFT(TRIM(C392),FIND(" ",TRIM(C392)&amp;" ")-1),",","."),FIND("/",SUBSTITUTE(LEFT(TRIM(C392),FIND(" ",TRIM(C392)&amp;" ")-1),",","."))+1,9))*12/52,IF(ISNUMBER(SEARCH("month",C392)),IFERROR(_xlfn.NUMBERVALUE(SUBSTITUTE(LEFT(TRIM(C392),FIND(" ",TRIM(C392)&amp;" ")-1),",","."),"."),LEFT(SUBSTITUTE(LEFT(TRIM(C392),FIND(" ",TRIM(C392)&amp;" ")-1),",","."),FIND("/",SUBSTITUTE(LEFT(TRIM(C392),FIND(" ",TRIM(C392)&amp;" ")-1),",","."))-1)/MID(SUBSTITUTE(LEFT(TRIM(C392),FIND(" ",TRIM(C392)&amp;" ")-1),",","."),FIND("/",SUBSTITUTE(LEFT(TRIM(C392),FIND(" ",TRIM(C392)&amp;" ")-1),",","."))+1,9)),IF(ISNUMBER(SEARCH("yea",C392)),IFERROR(_xlfn.NUMBERVALUE(SUBSTITUTE(LEFT(TRIM(C392),FIND(" ",TRIM(C392)&amp;" ")-1),",","."),"."),LEFT(SUBSTITUTE(LEFT(TRIM(C392),FIND(" ",TRIM(C392)&amp;" ")-1),",","."),FIND("/",SUBSTITUTE(LEFT(TRIM(C392),FIND(" ",TRIM(C392)&amp;" ")-1),",","."))-1)/MID(SUBSTITUTE(LEFT(TRIM(C392),FIND(" ",TRIM(C392)&amp;" ")-1),",","."),FIND("/",SUBSTITUTE(LEFT(TRIM(C392),FIND(" ",TRIM(C392)&amp;" ")-1),",","."))+1,9))*12,NA()))),0),36)*'Aturan &amp; Tarif'!$B$4,2)</f>
        <v>2044.08</v>
      </c>
      <c r="K392" s="32" t="n">
        <f aca="false">'Aturan &amp; Tarif'!$B$5</f>
        <v>2050</v>
      </c>
      <c r="L392" s="35" t="n">
        <f aca="false">I392+J392+K392</f>
        <v>14244.08</v>
      </c>
      <c r="M392" s="36" t="s">
        <v>2903</v>
      </c>
    </row>
    <row r="393" customFormat="false" ht="60" hidden="false" customHeight="true" outlineLevel="0" collapsed="false">
      <c r="A393" s="29"/>
      <c r="B393" s="30" t="s">
        <v>2904</v>
      </c>
      <c r="C393" s="31" t="s">
        <v>127</v>
      </c>
      <c r="D393" s="31" t="s">
        <v>108</v>
      </c>
      <c r="E393" s="32" t="n">
        <v>4650</v>
      </c>
      <c r="F393" s="32" t="n">
        <v>350</v>
      </c>
      <c r="G393" s="32" t="n">
        <v>500</v>
      </c>
      <c r="H393" s="33" t="n">
        <v>2</v>
      </c>
      <c r="I393" s="34" t="n">
        <f aca="false">E393*H393+N(F393)+N(G393)</f>
        <v>10150</v>
      </c>
      <c r="J393" s="32" t="n">
        <f aca="false">ROUND(IFERROR(ROUND(IF(OR(ISNUMBER(SEARCH("week",C393)),ISNUMBER(SEARCH("minggu",C393))),IFERROR(_xlfn.NUMBERVALUE(SUBSTITUTE(LEFT(TRIM(C393),FIND(" ",TRIM(C393)&amp;" ")-1),",","."),"."),LEFT(SUBSTITUTE(LEFT(TRIM(C393),FIND(" ",TRIM(C393)&amp;" ")-1),",","."),FIND("/",SUBSTITUTE(LEFT(TRIM(C393),FIND(" ",TRIM(C393)&amp;" ")-1),",","."))-1)/MID(SUBSTITUTE(LEFT(TRIM(C393),FIND(" ",TRIM(C393)&amp;" ")-1),",","."),FIND("/",SUBSTITUTE(LEFT(TRIM(C393),FIND(" ",TRIM(C393)&amp;" ")-1),",","."))+1,9))*12/52,IF(ISNUMBER(SEARCH("month",C393)),IFERROR(_xlfn.NUMBERVALUE(SUBSTITUTE(LEFT(TRIM(C393),FIND(" ",TRIM(C393)&amp;" ")-1),",","."),"."),LEFT(SUBSTITUTE(LEFT(TRIM(C393),FIND(" ",TRIM(C393)&amp;" ")-1),",","."),FIND("/",SUBSTITUTE(LEFT(TRIM(C393),FIND(" ",TRIM(C393)&amp;" ")-1),",","."))-1)/MID(SUBSTITUTE(LEFT(TRIM(C393),FIND(" ",TRIM(C393)&amp;" ")-1),",","."),FIND("/",SUBSTITUTE(LEFT(TRIM(C393),FIND(" ",TRIM(C393)&amp;" ")-1),",","."))+1,9)),IF(ISNUMBER(SEARCH("yea",C393)),IFERROR(_xlfn.NUMBERVALUE(SUBSTITUTE(LEFT(TRIM(C393),FIND(" ",TRIM(C393)&amp;" ")-1),",","."),"."),LEFT(SUBSTITUTE(LEFT(TRIM(C393),FIND(" ",TRIM(C393)&amp;" ")-1),",","."),FIND("/",SUBSTITUTE(LEFT(TRIM(C393),FIND(" ",TRIM(C393)&amp;" ")-1),",","."))-1)/MID(SUBSTITUTE(LEFT(TRIM(C393),FIND(" ",TRIM(C393)&amp;" ")-1),",","."),FIND("/",SUBSTITUTE(LEFT(TRIM(C393),FIND(" ",TRIM(C393)&amp;" ")-1),",","."))+1,9))*12,NA()))),0),36)*'Aturan &amp; Tarif'!$B$4,2)</f>
        <v>2044.08</v>
      </c>
      <c r="K393" s="32" t="n">
        <f aca="false">'Aturan &amp; Tarif'!$B$5</f>
        <v>2050</v>
      </c>
      <c r="L393" s="35" t="n">
        <f aca="false">I393+J393+K393</f>
        <v>14244.08</v>
      </c>
      <c r="M393" s="36" t="s">
        <v>2903</v>
      </c>
    </row>
    <row r="394" customFormat="false" ht="60" hidden="false" customHeight="true" outlineLevel="0" collapsed="false">
      <c r="A394" s="29"/>
      <c r="B394" s="30" t="s">
        <v>2905</v>
      </c>
      <c r="C394" s="31" t="s">
        <v>107</v>
      </c>
      <c r="D394" s="31" t="s">
        <v>108</v>
      </c>
      <c r="E394" s="32" t="n">
        <v>4650</v>
      </c>
      <c r="F394" s="32" t="n">
        <v>350</v>
      </c>
      <c r="G394" s="32" t="n">
        <v>500</v>
      </c>
      <c r="H394" s="33" t="n">
        <v>2</v>
      </c>
      <c r="I394" s="34" t="n">
        <f aca="false">E394*H394+N(F394)+N(G394)</f>
        <v>10150</v>
      </c>
      <c r="J394" s="32" t="n">
        <f aca="false">ROUND(IFERROR(ROUND(IF(OR(ISNUMBER(SEARCH("week",C394)),ISNUMBER(SEARCH("minggu",C394))),IFERROR(_xlfn.NUMBERVALUE(SUBSTITUTE(LEFT(TRIM(C394),FIND(" ",TRIM(C394)&amp;" ")-1),",","."),"."),LEFT(SUBSTITUTE(LEFT(TRIM(C394),FIND(" ",TRIM(C394)&amp;" ")-1),",","."),FIND("/",SUBSTITUTE(LEFT(TRIM(C394),FIND(" ",TRIM(C394)&amp;" ")-1),",","."))-1)/MID(SUBSTITUTE(LEFT(TRIM(C394),FIND(" ",TRIM(C394)&amp;" ")-1),",","."),FIND("/",SUBSTITUTE(LEFT(TRIM(C394),FIND(" ",TRIM(C394)&amp;" ")-1),",","."))+1,9))*12/52,IF(ISNUMBER(SEARCH("month",C394)),IFERROR(_xlfn.NUMBERVALUE(SUBSTITUTE(LEFT(TRIM(C394),FIND(" ",TRIM(C394)&amp;" ")-1),",","."),"."),LEFT(SUBSTITUTE(LEFT(TRIM(C394),FIND(" ",TRIM(C394)&amp;" ")-1),",","."),FIND("/",SUBSTITUTE(LEFT(TRIM(C394),FIND(" ",TRIM(C394)&amp;" ")-1),",","."))-1)/MID(SUBSTITUTE(LEFT(TRIM(C394),FIND(" ",TRIM(C394)&amp;" ")-1),",","."),FIND("/",SUBSTITUTE(LEFT(TRIM(C394),FIND(" ",TRIM(C394)&amp;" ")-1),",","."))+1,9)),IF(ISNUMBER(SEARCH("yea",C394)),IFERROR(_xlfn.NUMBERVALUE(SUBSTITUTE(LEFT(TRIM(C394),FIND(" ",TRIM(C394)&amp;" ")-1),",","."),"."),LEFT(SUBSTITUTE(LEFT(TRIM(C394),FIND(" ",TRIM(C394)&amp;" ")-1),",","."),FIND("/",SUBSTITUTE(LEFT(TRIM(C394),FIND(" ",TRIM(C394)&amp;" ")-1),",","."))-1)/MID(SUBSTITUTE(LEFT(TRIM(C394),FIND(" ",TRIM(C394)&amp;" ")-1),",","."),FIND("/",SUBSTITUTE(LEFT(TRIM(C394),FIND(" ",TRIM(C394)&amp;" ")-1),",","."))+1,9))*12,NA()))),0),24)*'Aturan &amp; Tarif'!$B$4,2)</f>
        <v>1362.72</v>
      </c>
      <c r="K394" s="32" t="n">
        <f aca="false">'Aturan &amp; Tarif'!$B$5</f>
        <v>2050</v>
      </c>
      <c r="L394" s="35" t="n">
        <f aca="false">I394+J394+K394</f>
        <v>13562.72</v>
      </c>
      <c r="M394" s="36" t="s">
        <v>2903</v>
      </c>
    </row>
    <row r="395" customFormat="false" ht="60" hidden="false" customHeight="true" outlineLevel="0" collapsed="false">
      <c r="A395" s="29"/>
      <c r="B395" s="30" t="s">
        <v>2445</v>
      </c>
      <c r="C395" s="31" t="s">
        <v>107</v>
      </c>
      <c r="D395" s="31" t="s">
        <v>108</v>
      </c>
      <c r="E395" s="32" t="n">
        <v>4650</v>
      </c>
      <c r="F395" s="32" t="n">
        <v>350</v>
      </c>
      <c r="G395" s="32" t="n">
        <v>500</v>
      </c>
      <c r="H395" s="33" t="n">
        <v>2</v>
      </c>
      <c r="I395" s="34" t="n">
        <f aca="false">E395*H395+N(F395)+N(G395)</f>
        <v>10150</v>
      </c>
      <c r="J395" s="32" t="n">
        <f aca="false">ROUND(IFERROR(ROUND(IF(OR(ISNUMBER(SEARCH("week",C395)),ISNUMBER(SEARCH("minggu",C395))),IFERROR(_xlfn.NUMBERVALUE(SUBSTITUTE(LEFT(TRIM(C395),FIND(" ",TRIM(C395)&amp;" ")-1),",","."),"."),LEFT(SUBSTITUTE(LEFT(TRIM(C395),FIND(" ",TRIM(C395)&amp;" ")-1),",","."),FIND("/",SUBSTITUTE(LEFT(TRIM(C395),FIND(" ",TRIM(C395)&amp;" ")-1),",","."))-1)/MID(SUBSTITUTE(LEFT(TRIM(C395),FIND(" ",TRIM(C395)&amp;" ")-1),",","."),FIND("/",SUBSTITUTE(LEFT(TRIM(C395),FIND(" ",TRIM(C395)&amp;" ")-1),",","."))+1,9))*12/52,IF(ISNUMBER(SEARCH("month",C395)),IFERROR(_xlfn.NUMBERVALUE(SUBSTITUTE(LEFT(TRIM(C395),FIND(" ",TRIM(C395)&amp;" ")-1),",","."),"."),LEFT(SUBSTITUTE(LEFT(TRIM(C395),FIND(" ",TRIM(C395)&amp;" ")-1),",","."),FIND("/",SUBSTITUTE(LEFT(TRIM(C395),FIND(" ",TRIM(C395)&amp;" ")-1),",","."))-1)/MID(SUBSTITUTE(LEFT(TRIM(C395),FIND(" ",TRIM(C395)&amp;" ")-1),",","."),FIND("/",SUBSTITUTE(LEFT(TRIM(C395),FIND(" ",TRIM(C395)&amp;" ")-1),",","."))+1,9)),IF(ISNUMBER(SEARCH("yea",C395)),IFERROR(_xlfn.NUMBERVALUE(SUBSTITUTE(LEFT(TRIM(C395),FIND(" ",TRIM(C395)&amp;" ")-1),",","."),"."),LEFT(SUBSTITUTE(LEFT(TRIM(C395),FIND(" ",TRIM(C395)&amp;" ")-1),",","."),FIND("/",SUBSTITUTE(LEFT(TRIM(C395),FIND(" ",TRIM(C395)&amp;" ")-1),",","."))-1)/MID(SUBSTITUTE(LEFT(TRIM(C395),FIND(" ",TRIM(C395)&amp;" ")-1),",","."),FIND("/",SUBSTITUTE(LEFT(TRIM(C395),FIND(" ",TRIM(C395)&amp;" ")-1),",","."))+1,9))*12,NA()))),0),24)*'Aturan &amp; Tarif'!$B$4,2)</f>
        <v>1362.72</v>
      </c>
      <c r="K395" s="32" t="n">
        <f aca="false">'Aturan &amp; Tarif'!$B$5</f>
        <v>2050</v>
      </c>
      <c r="L395" s="35" t="n">
        <f aca="false">I395+J395+K395</f>
        <v>13562.72</v>
      </c>
      <c r="M395" s="36" t="s">
        <v>2903</v>
      </c>
    </row>
    <row r="396" customFormat="false" ht="60" hidden="false" customHeight="true" outlineLevel="0" collapsed="false">
      <c r="A396" s="29"/>
      <c r="B396" s="30" t="s">
        <v>2906</v>
      </c>
      <c r="C396" s="31" t="s">
        <v>127</v>
      </c>
      <c r="D396" s="31" t="s">
        <v>108</v>
      </c>
      <c r="E396" s="32" t="n">
        <v>4950</v>
      </c>
      <c r="F396" s="32" t="n">
        <v>350</v>
      </c>
      <c r="G396" s="32" t="n">
        <v>500</v>
      </c>
      <c r="H396" s="33" t="n">
        <v>2</v>
      </c>
      <c r="I396" s="34" t="n">
        <f aca="false">E396*H396+N(F396)+N(G396)</f>
        <v>10750</v>
      </c>
      <c r="J396" s="32" t="n">
        <f aca="false">ROUND(IFERROR(ROUND(IF(OR(ISNUMBER(SEARCH("week",C396)),ISNUMBER(SEARCH("minggu",C396))),IFERROR(_xlfn.NUMBERVALUE(SUBSTITUTE(LEFT(TRIM(C396),FIND(" ",TRIM(C396)&amp;" ")-1),",","."),"."),LEFT(SUBSTITUTE(LEFT(TRIM(C396),FIND(" ",TRIM(C396)&amp;" ")-1),",","."),FIND("/",SUBSTITUTE(LEFT(TRIM(C396),FIND(" ",TRIM(C396)&amp;" ")-1),",","."))-1)/MID(SUBSTITUTE(LEFT(TRIM(C396),FIND(" ",TRIM(C396)&amp;" ")-1),",","."),FIND("/",SUBSTITUTE(LEFT(TRIM(C396),FIND(" ",TRIM(C396)&amp;" ")-1),",","."))+1,9))*12/52,IF(ISNUMBER(SEARCH("month",C396)),IFERROR(_xlfn.NUMBERVALUE(SUBSTITUTE(LEFT(TRIM(C396),FIND(" ",TRIM(C396)&amp;" ")-1),",","."),"."),LEFT(SUBSTITUTE(LEFT(TRIM(C396),FIND(" ",TRIM(C396)&amp;" ")-1),",","."),FIND("/",SUBSTITUTE(LEFT(TRIM(C396),FIND(" ",TRIM(C396)&amp;" ")-1),",","."))-1)/MID(SUBSTITUTE(LEFT(TRIM(C396),FIND(" ",TRIM(C396)&amp;" ")-1),",","."),FIND("/",SUBSTITUTE(LEFT(TRIM(C396),FIND(" ",TRIM(C396)&amp;" ")-1),",","."))+1,9)),IF(ISNUMBER(SEARCH("yea",C396)),IFERROR(_xlfn.NUMBERVALUE(SUBSTITUTE(LEFT(TRIM(C396),FIND(" ",TRIM(C396)&amp;" ")-1),",","."),"."),LEFT(SUBSTITUTE(LEFT(TRIM(C396),FIND(" ",TRIM(C396)&amp;" ")-1),",","."),FIND("/",SUBSTITUTE(LEFT(TRIM(C396),FIND(" ",TRIM(C396)&amp;" ")-1),",","."))-1)/MID(SUBSTITUTE(LEFT(TRIM(C396),FIND(" ",TRIM(C396)&amp;" ")-1),",","."),FIND("/",SUBSTITUTE(LEFT(TRIM(C396),FIND(" ",TRIM(C396)&amp;" ")-1),",","."))+1,9))*12,NA()))),0),36)*'Aturan &amp; Tarif'!$B$4,2)</f>
        <v>2044.08</v>
      </c>
      <c r="K396" s="32" t="n">
        <f aca="false">'Aturan &amp; Tarif'!$B$5</f>
        <v>2050</v>
      </c>
      <c r="L396" s="35" t="n">
        <f aca="false">I396+J396+K396</f>
        <v>14844.08</v>
      </c>
      <c r="M396" s="36" t="s">
        <v>2907</v>
      </c>
    </row>
    <row r="397" customFormat="false" ht="60" hidden="false" customHeight="true" outlineLevel="0" collapsed="false">
      <c r="A397" s="29"/>
      <c r="B397" s="30" t="s">
        <v>2234</v>
      </c>
      <c r="C397" s="31" t="s">
        <v>127</v>
      </c>
      <c r="D397" s="31" t="s">
        <v>108</v>
      </c>
      <c r="E397" s="32" t="n">
        <v>4950</v>
      </c>
      <c r="F397" s="32" t="n">
        <v>350</v>
      </c>
      <c r="G397" s="32" t="n">
        <v>500</v>
      </c>
      <c r="H397" s="33" t="n">
        <v>2</v>
      </c>
      <c r="I397" s="34" t="n">
        <f aca="false">E397*H397+N(F397)+N(G397)</f>
        <v>10750</v>
      </c>
      <c r="J397" s="32" t="n">
        <f aca="false">ROUND(IFERROR(ROUND(IF(OR(ISNUMBER(SEARCH("week",C397)),ISNUMBER(SEARCH("minggu",C397))),IFERROR(_xlfn.NUMBERVALUE(SUBSTITUTE(LEFT(TRIM(C397),FIND(" ",TRIM(C397)&amp;" ")-1),",","."),"."),LEFT(SUBSTITUTE(LEFT(TRIM(C397),FIND(" ",TRIM(C397)&amp;" ")-1),",","."),FIND("/",SUBSTITUTE(LEFT(TRIM(C397),FIND(" ",TRIM(C397)&amp;" ")-1),",","."))-1)/MID(SUBSTITUTE(LEFT(TRIM(C397),FIND(" ",TRIM(C397)&amp;" ")-1),",","."),FIND("/",SUBSTITUTE(LEFT(TRIM(C397),FIND(" ",TRIM(C397)&amp;" ")-1),",","."))+1,9))*12/52,IF(ISNUMBER(SEARCH("month",C397)),IFERROR(_xlfn.NUMBERVALUE(SUBSTITUTE(LEFT(TRIM(C397),FIND(" ",TRIM(C397)&amp;" ")-1),",","."),"."),LEFT(SUBSTITUTE(LEFT(TRIM(C397),FIND(" ",TRIM(C397)&amp;" ")-1),",","."),FIND("/",SUBSTITUTE(LEFT(TRIM(C397),FIND(" ",TRIM(C397)&amp;" ")-1),",","."))-1)/MID(SUBSTITUTE(LEFT(TRIM(C397),FIND(" ",TRIM(C397)&amp;" ")-1),",","."),FIND("/",SUBSTITUTE(LEFT(TRIM(C397),FIND(" ",TRIM(C397)&amp;" ")-1),",","."))+1,9)),IF(ISNUMBER(SEARCH("yea",C397)),IFERROR(_xlfn.NUMBERVALUE(SUBSTITUTE(LEFT(TRIM(C397),FIND(" ",TRIM(C397)&amp;" ")-1),",","."),"."),LEFT(SUBSTITUTE(LEFT(TRIM(C397),FIND(" ",TRIM(C397)&amp;" ")-1),",","."),FIND("/",SUBSTITUTE(LEFT(TRIM(C397),FIND(" ",TRIM(C397)&amp;" ")-1),",","."))-1)/MID(SUBSTITUTE(LEFT(TRIM(C397),FIND(" ",TRIM(C397)&amp;" ")-1),",","."),FIND("/",SUBSTITUTE(LEFT(TRIM(C397),FIND(" ",TRIM(C397)&amp;" ")-1),",","."))+1,9))*12,NA()))),0),36)*'Aturan &amp; Tarif'!$B$4,2)</f>
        <v>2044.08</v>
      </c>
      <c r="K397" s="32" t="n">
        <f aca="false">'Aturan &amp; Tarif'!$B$5</f>
        <v>2050</v>
      </c>
      <c r="L397" s="35" t="n">
        <f aca="false">I397+J397+K397</f>
        <v>14844.08</v>
      </c>
      <c r="M397" s="36" t="s">
        <v>2908</v>
      </c>
    </row>
    <row r="398" customFormat="false" ht="60" hidden="false" customHeight="true" outlineLevel="0" collapsed="false">
      <c r="A398" s="29"/>
      <c r="B398" s="30" t="s">
        <v>2909</v>
      </c>
      <c r="C398" s="31" t="s">
        <v>130</v>
      </c>
      <c r="D398" s="31" t="s">
        <v>108</v>
      </c>
      <c r="E398" s="32" t="n">
        <v>4740</v>
      </c>
      <c r="F398" s="32" t="n">
        <v>350</v>
      </c>
      <c r="G398" s="32" t="n">
        <v>500</v>
      </c>
      <c r="H398" s="33" t="n">
        <v>2</v>
      </c>
      <c r="I398" s="34" t="n">
        <f aca="false">E398*H398+N(F398)+N(G398)</f>
        <v>10330</v>
      </c>
      <c r="J398" s="32" t="n">
        <f aca="false">ROUND(IFERROR(ROUND(IF(OR(ISNUMBER(SEARCH("week",C398)),ISNUMBER(SEARCH("minggu",C398))),IFERROR(_xlfn.NUMBERVALUE(SUBSTITUTE(LEFT(TRIM(C398),FIND(" ",TRIM(C398)&amp;" ")-1),",","."),"."),LEFT(SUBSTITUTE(LEFT(TRIM(C398),FIND(" ",TRIM(C398)&amp;" ")-1),",","."),FIND("/",SUBSTITUTE(LEFT(TRIM(C398),FIND(" ",TRIM(C398)&amp;" ")-1),",","."))-1)/MID(SUBSTITUTE(LEFT(TRIM(C398),FIND(" ",TRIM(C398)&amp;" ")-1),",","."),FIND("/",SUBSTITUTE(LEFT(TRIM(C398),FIND(" ",TRIM(C398)&amp;" ")-1),",","."))+1,9))*12/52,IF(ISNUMBER(SEARCH("month",C398)),IFERROR(_xlfn.NUMBERVALUE(SUBSTITUTE(LEFT(TRIM(C398),FIND(" ",TRIM(C398)&amp;" ")-1),",","."),"."),LEFT(SUBSTITUTE(LEFT(TRIM(C398),FIND(" ",TRIM(C398)&amp;" ")-1),",","."),FIND("/",SUBSTITUTE(LEFT(TRIM(C398),FIND(" ",TRIM(C398)&amp;" ")-1),",","."))-1)/MID(SUBSTITUTE(LEFT(TRIM(C398),FIND(" ",TRIM(C398)&amp;" ")-1),",","."),FIND("/",SUBSTITUTE(LEFT(TRIM(C398),FIND(" ",TRIM(C398)&amp;" ")-1),",","."))+1,9)),IF(ISNUMBER(SEARCH("yea",C398)),IFERROR(_xlfn.NUMBERVALUE(SUBSTITUTE(LEFT(TRIM(C398),FIND(" ",TRIM(C398)&amp;" ")-1),",","."),"."),LEFT(SUBSTITUTE(LEFT(TRIM(C398),FIND(" ",TRIM(C398)&amp;" ")-1),",","."),FIND("/",SUBSTITUTE(LEFT(TRIM(C398),FIND(" ",TRIM(C398)&amp;" ")-1),",","."))-1)/MID(SUBSTITUTE(LEFT(TRIM(C398),FIND(" ",TRIM(C398)&amp;" ")-1),",","."),FIND("/",SUBSTITUTE(LEFT(TRIM(C398),FIND(" ",TRIM(C398)&amp;" ")-1),",","."))+1,9))*12,NA()))),0),12)*'Aturan &amp; Tarif'!$B$4,2)</f>
        <v>681.36</v>
      </c>
      <c r="K398" s="32" t="n">
        <f aca="false">'Aturan &amp; Tarif'!$B$5</f>
        <v>2050</v>
      </c>
      <c r="L398" s="35" t="n">
        <f aca="false">I398+J398+K398</f>
        <v>13061.36</v>
      </c>
      <c r="M398" s="36" t="s">
        <v>2910</v>
      </c>
    </row>
    <row r="399" customFormat="false" ht="48.75" hidden="false" customHeight="true" outlineLevel="0" collapsed="false">
      <c r="A399" s="29"/>
      <c r="B399" s="30" t="s">
        <v>2911</v>
      </c>
      <c r="C399" s="31" t="s">
        <v>107</v>
      </c>
      <c r="D399" s="31" t="s">
        <v>108</v>
      </c>
      <c r="E399" s="32" t="n">
        <v>4740</v>
      </c>
      <c r="F399" s="32" t="n">
        <v>350</v>
      </c>
      <c r="G399" s="32" t="n">
        <v>500</v>
      </c>
      <c r="H399" s="33" t="n">
        <v>2</v>
      </c>
      <c r="I399" s="34" t="n">
        <f aca="false">E399*H399+N(F399)+N(G399)</f>
        <v>10330</v>
      </c>
      <c r="J399" s="32" t="n">
        <f aca="false">ROUND(IFERROR(ROUND(IF(OR(ISNUMBER(SEARCH("week",C399)),ISNUMBER(SEARCH("minggu",C399))),IFERROR(_xlfn.NUMBERVALUE(SUBSTITUTE(LEFT(TRIM(C399),FIND(" ",TRIM(C399)&amp;" ")-1),",","."),"."),LEFT(SUBSTITUTE(LEFT(TRIM(C399),FIND(" ",TRIM(C399)&amp;" ")-1),",","."),FIND("/",SUBSTITUTE(LEFT(TRIM(C399),FIND(" ",TRIM(C399)&amp;" ")-1),",","."))-1)/MID(SUBSTITUTE(LEFT(TRIM(C399),FIND(" ",TRIM(C399)&amp;" ")-1),",","."),FIND("/",SUBSTITUTE(LEFT(TRIM(C399),FIND(" ",TRIM(C399)&amp;" ")-1),",","."))+1,9))*12/52,IF(ISNUMBER(SEARCH("month",C399)),IFERROR(_xlfn.NUMBERVALUE(SUBSTITUTE(LEFT(TRIM(C399),FIND(" ",TRIM(C399)&amp;" ")-1),",","."),"."),LEFT(SUBSTITUTE(LEFT(TRIM(C399),FIND(" ",TRIM(C399)&amp;" ")-1),",","."),FIND("/",SUBSTITUTE(LEFT(TRIM(C399),FIND(" ",TRIM(C399)&amp;" ")-1),",","."))-1)/MID(SUBSTITUTE(LEFT(TRIM(C399),FIND(" ",TRIM(C399)&amp;" ")-1),",","."),FIND("/",SUBSTITUTE(LEFT(TRIM(C399),FIND(" ",TRIM(C399)&amp;" ")-1),",","."))+1,9)),IF(ISNUMBER(SEARCH("yea",C399)),IFERROR(_xlfn.NUMBERVALUE(SUBSTITUTE(LEFT(TRIM(C399),FIND(" ",TRIM(C399)&amp;" ")-1),",","."),"."),LEFT(SUBSTITUTE(LEFT(TRIM(C399),FIND(" ",TRIM(C399)&amp;" ")-1),",","."),FIND("/",SUBSTITUTE(LEFT(TRIM(C399),FIND(" ",TRIM(C399)&amp;" ")-1),",","."))-1)/MID(SUBSTITUTE(LEFT(TRIM(C399),FIND(" ",TRIM(C399)&amp;" ")-1),",","."),FIND("/",SUBSTITUTE(LEFT(TRIM(C399),FIND(" ",TRIM(C399)&amp;" ")-1),",","."))+1,9))*12,NA()))),0),24)*'Aturan &amp; Tarif'!$B$4,2)</f>
        <v>1362.72</v>
      </c>
      <c r="K399" s="32" t="n">
        <f aca="false">'Aturan &amp; Tarif'!$B$5</f>
        <v>2050</v>
      </c>
      <c r="L399" s="35" t="n">
        <f aca="false">I399+J399+K399</f>
        <v>13742.72</v>
      </c>
      <c r="M399" s="36" t="s">
        <v>2912</v>
      </c>
    </row>
    <row r="400" customFormat="false" ht="60" hidden="false" customHeight="true" outlineLevel="0" collapsed="false">
      <c r="A400" s="29" t="s">
        <v>2913</v>
      </c>
      <c r="B400" s="30" t="s">
        <v>1007</v>
      </c>
      <c r="C400" s="31" t="s">
        <v>107</v>
      </c>
      <c r="D400" s="31" t="s">
        <v>108</v>
      </c>
      <c r="E400" s="32" t="n">
        <v>1667</v>
      </c>
      <c r="F400" s="32" t="n">
        <v>1900</v>
      </c>
      <c r="G400" s="32" t="n">
        <v>250</v>
      </c>
      <c r="H400" s="33" t="n">
        <v>1</v>
      </c>
      <c r="I400" s="34" t="n">
        <f aca="false">E400*H400+N(F400)+N(G400)</f>
        <v>3817</v>
      </c>
      <c r="J400" s="32" t="n">
        <f aca="false">ROUND(IFERROR(ROUND(IF(OR(ISNUMBER(SEARCH("week",C400)),ISNUMBER(SEARCH("minggu",C400))),IFERROR(_xlfn.NUMBERVALUE(SUBSTITUTE(LEFT(TRIM(C400),FIND(" ",TRIM(C400)&amp;" ")-1),",","."),"."),LEFT(SUBSTITUTE(LEFT(TRIM(C400),FIND(" ",TRIM(C400)&amp;" ")-1),",","."),FIND("/",SUBSTITUTE(LEFT(TRIM(C400),FIND(" ",TRIM(C400)&amp;" ")-1),",","."))-1)/MID(SUBSTITUTE(LEFT(TRIM(C400),FIND(" ",TRIM(C400)&amp;" ")-1),",","."),FIND("/",SUBSTITUTE(LEFT(TRIM(C400),FIND(" ",TRIM(C400)&amp;" ")-1),",","."))+1,9))*12/52,IF(ISNUMBER(SEARCH("month",C400)),IFERROR(_xlfn.NUMBERVALUE(SUBSTITUTE(LEFT(TRIM(C400),FIND(" ",TRIM(C400)&amp;" ")-1),",","."),"."),LEFT(SUBSTITUTE(LEFT(TRIM(C400),FIND(" ",TRIM(C400)&amp;" ")-1),",","."),FIND("/",SUBSTITUTE(LEFT(TRIM(C400),FIND(" ",TRIM(C400)&amp;" ")-1),",","."))-1)/MID(SUBSTITUTE(LEFT(TRIM(C400),FIND(" ",TRIM(C400)&amp;" ")-1),",","."),FIND("/",SUBSTITUTE(LEFT(TRIM(C400),FIND(" ",TRIM(C400)&amp;" ")-1),",","."))+1,9)),IF(ISNUMBER(SEARCH("yea",C400)),IFERROR(_xlfn.NUMBERVALUE(SUBSTITUTE(LEFT(TRIM(C400),FIND(" ",TRIM(C400)&amp;" ")-1),",","."),"."),LEFT(SUBSTITUTE(LEFT(TRIM(C400),FIND(" ",TRIM(C400)&amp;" ")-1),",","."),FIND("/",SUBSTITUTE(LEFT(TRIM(C400),FIND(" ",TRIM(C400)&amp;" ")-1),",","."))-1)/MID(SUBSTITUTE(LEFT(TRIM(C400),FIND(" ",TRIM(C400)&amp;" ")-1),",","."),FIND("/",SUBSTITUTE(LEFT(TRIM(C400),FIND(" ",TRIM(C400)&amp;" ")-1),",","."))+1,9))*12,NA()))),0),24)*'Aturan &amp; Tarif'!$B$4,2)</f>
        <v>1362.72</v>
      </c>
      <c r="K400" s="32" t="n">
        <f aca="false">'Aturan &amp; Tarif'!$B$5</f>
        <v>2050</v>
      </c>
      <c r="L400" s="35" t="n">
        <f aca="false">I400+J400+K400</f>
        <v>7229.72</v>
      </c>
      <c r="M400" s="36" t="s">
        <v>3384</v>
      </c>
    </row>
    <row r="401" customFormat="false" ht="48.75" hidden="false" customHeight="true" outlineLevel="0" collapsed="false">
      <c r="A401" s="29"/>
      <c r="B401" s="30" t="s">
        <v>3385</v>
      </c>
      <c r="C401" s="31" t="s">
        <v>127</v>
      </c>
      <c r="D401" s="31" t="s">
        <v>108</v>
      </c>
      <c r="E401" s="32" t="n">
        <v>1667</v>
      </c>
      <c r="F401" s="32" t="n">
        <v>1900</v>
      </c>
      <c r="G401" s="32" t="n">
        <v>250</v>
      </c>
      <c r="H401" s="33" t="n">
        <v>1</v>
      </c>
      <c r="I401" s="34" t="n">
        <f aca="false">E401*H401+N(F401)+N(G401)</f>
        <v>3817</v>
      </c>
      <c r="J401" s="32" t="n">
        <f aca="false">ROUND(IFERROR(ROUND(IF(OR(ISNUMBER(SEARCH("week",C401)),ISNUMBER(SEARCH("minggu",C401))),IFERROR(_xlfn.NUMBERVALUE(SUBSTITUTE(LEFT(TRIM(C401),FIND(" ",TRIM(C401)&amp;" ")-1),",","."),"."),LEFT(SUBSTITUTE(LEFT(TRIM(C401),FIND(" ",TRIM(C401)&amp;" ")-1),",","."),FIND("/",SUBSTITUTE(LEFT(TRIM(C401),FIND(" ",TRIM(C401)&amp;" ")-1),",","."))-1)/MID(SUBSTITUTE(LEFT(TRIM(C401),FIND(" ",TRIM(C401)&amp;" ")-1),",","."),FIND("/",SUBSTITUTE(LEFT(TRIM(C401),FIND(" ",TRIM(C401)&amp;" ")-1),",","."))+1,9))*12/52,IF(ISNUMBER(SEARCH("month",C401)),IFERROR(_xlfn.NUMBERVALUE(SUBSTITUTE(LEFT(TRIM(C401),FIND(" ",TRIM(C401)&amp;" ")-1),",","."),"."),LEFT(SUBSTITUTE(LEFT(TRIM(C401),FIND(" ",TRIM(C401)&amp;" ")-1),",","."),FIND("/",SUBSTITUTE(LEFT(TRIM(C401),FIND(" ",TRIM(C401)&amp;" ")-1),",","."))-1)/MID(SUBSTITUTE(LEFT(TRIM(C401),FIND(" ",TRIM(C401)&amp;" ")-1),",","."),FIND("/",SUBSTITUTE(LEFT(TRIM(C401),FIND(" ",TRIM(C401)&amp;" ")-1),",","."))+1,9)),IF(ISNUMBER(SEARCH("yea",C401)),IFERROR(_xlfn.NUMBERVALUE(SUBSTITUTE(LEFT(TRIM(C401),FIND(" ",TRIM(C401)&amp;" ")-1),",","."),"."),LEFT(SUBSTITUTE(LEFT(TRIM(C401),FIND(" ",TRIM(C401)&amp;" ")-1),",","."),FIND("/",SUBSTITUTE(LEFT(TRIM(C401),FIND(" ",TRIM(C401)&amp;" ")-1),",","."))-1)/MID(SUBSTITUTE(LEFT(TRIM(C401),FIND(" ",TRIM(C401)&amp;" ")-1),",","."),FIND("/",SUBSTITUTE(LEFT(TRIM(C401),FIND(" ",TRIM(C401)&amp;" ")-1),",","."))+1,9))*12,NA()))),0),36)*'Aturan &amp; Tarif'!$B$4,2)</f>
        <v>2044.08</v>
      </c>
      <c r="K401" s="32" t="n">
        <f aca="false">'Aturan &amp; Tarif'!$B$5</f>
        <v>2050</v>
      </c>
      <c r="L401" s="35" t="n">
        <f aca="false">I401+J401+K401</f>
        <v>7911.08</v>
      </c>
      <c r="M401" s="36" t="s">
        <v>3384</v>
      </c>
    </row>
    <row r="402" customFormat="false" ht="25.5" hidden="false" customHeight="true" outlineLevel="0" collapsed="false">
      <c r="A402" s="29"/>
      <c r="B402" s="30" t="s">
        <v>3386</v>
      </c>
      <c r="C402" s="31" t="s">
        <v>113</v>
      </c>
      <c r="D402" s="31" t="s">
        <v>108</v>
      </c>
      <c r="E402" s="32" t="n">
        <v>1667</v>
      </c>
      <c r="F402" s="32" t="n">
        <v>1900</v>
      </c>
      <c r="G402" s="32" t="n">
        <v>250</v>
      </c>
      <c r="H402" s="33" t="n">
        <v>1</v>
      </c>
      <c r="I402" s="34" t="n">
        <f aca="false">E402*H402+N(F402)+N(G402)</f>
        <v>3817</v>
      </c>
      <c r="J402" s="32" t="n">
        <f aca="false">ROUND(IFERROR(ROUND(IF(OR(ISNUMBER(SEARCH("week",C402)),ISNUMBER(SEARCH("minggu",C402))),IFERROR(_xlfn.NUMBERVALUE(SUBSTITUTE(LEFT(TRIM(C402),FIND(" ",TRIM(C402)&amp;" ")-1),",","."),"."),LEFT(SUBSTITUTE(LEFT(TRIM(C402),FIND(" ",TRIM(C402)&amp;" ")-1),",","."),FIND("/",SUBSTITUTE(LEFT(TRIM(C402),FIND(" ",TRIM(C402)&amp;" ")-1),",","."))-1)/MID(SUBSTITUTE(LEFT(TRIM(C402),FIND(" ",TRIM(C402)&amp;" ")-1),",","."),FIND("/",SUBSTITUTE(LEFT(TRIM(C402),FIND(" ",TRIM(C402)&amp;" ")-1),",","."))+1,9))*12/52,IF(ISNUMBER(SEARCH("month",C402)),IFERROR(_xlfn.NUMBERVALUE(SUBSTITUTE(LEFT(TRIM(C402),FIND(" ",TRIM(C402)&amp;" ")-1),",","."),"."),LEFT(SUBSTITUTE(LEFT(TRIM(C402),FIND(" ",TRIM(C402)&amp;" ")-1),",","."),FIND("/",SUBSTITUTE(LEFT(TRIM(C402),FIND(" ",TRIM(C402)&amp;" ")-1),",","."))-1)/MID(SUBSTITUTE(LEFT(TRIM(C402),FIND(" ",TRIM(C402)&amp;" ")-1),",","."),FIND("/",SUBSTITUTE(LEFT(TRIM(C402),FIND(" ",TRIM(C402)&amp;" ")-1),",","."))+1,9)),IF(ISNUMBER(SEARCH("yea",C402)),IFERROR(_xlfn.NUMBERVALUE(SUBSTITUTE(LEFT(TRIM(C402),FIND(" ",TRIM(C402)&amp;" ")-1),",","."),"."),LEFT(SUBSTITUTE(LEFT(TRIM(C402),FIND(" ",TRIM(C402)&amp;" ")-1),",","."),FIND("/",SUBSTITUTE(LEFT(TRIM(C402),FIND(" ",TRIM(C402)&amp;" ")-1),",","."))-1)/MID(SUBSTITUTE(LEFT(TRIM(C402),FIND(" ",TRIM(C402)&amp;" ")-1),",","."),FIND("/",SUBSTITUTE(LEFT(TRIM(C402),FIND(" ",TRIM(C402)&amp;" ")-1),",","."))+1,9))*12,NA()))),0),18)*'Aturan &amp; Tarif'!$B$4,2)</f>
        <v>1022.04</v>
      </c>
      <c r="K402" s="32" t="n">
        <f aca="false">'Aturan &amp; Tarif'!$B$5</f>
        <v>2050</v>
      </c>
      <c r="L402" s="35" t="n">
        <f aca="false">I402+J402+K402</f>
        <v>6889.04</v>
      </c>
      <c r="M402" s="36" t="s">
        <v>3384</v>
      </c>
    </row>
    <row r="403" customFormat="false" ht="48.75" hidden="false" customHeight="true" outlineLevel="0" collapsed="false">
      <c r="A403" s="29"/>
      <c r="B403" s="30" t="s">
        <v>2918</v>
      </c>
      <c r="C403" s="31" t="s">
        <v>107</v>
      </c>
      <c r="D403" s="31" t="s">
        <v>108</v>
      </c>
      <c r="E403" s="32" t="n">
        <v>1667</v>
      </c>
      <c r="F403" s="32" t="n">
        <v>1900</v>
      </c>
      <c r="G403" s="32" t="n">
        <v>250</v>
      </c>
      <c r="H403" s="33" t="n">
        <v>1</v>
      </c>
      <c r="I403" s="34" t="n">
        <f aca="false">E403*H403+N(F403)+N(G403)</f>
        <v>3817</v>
      </c>
      <c r="J403" s="32" t="n">
        <f aca="false">ROUND(IFERROR(ROUND(IF(OR(ISNUMBER(SEARCH("week",C403)),ISNUMBER(SEARCH("minggu",C403))),IFERROR(_xlfn.NUMBERVALUE(SUBSTITUTE(LEFT(TRIM(C403),FIND(" ",TRIM(C403)&amp;" ")-1),",","."),"."),LEFT(SUBSTITUTE(LEFT(TRIM(C403),FIND(" ",TRIM(C403)&amp;" ")-1),",","."),FIND("/",SUBSTITUTE(LEFT(TRIM(C403),FIND(" ",TRIM(C403)&amp;" ")-1),",","."))-1)/MID(SUBSTITUTE(LEFT(TRIM(C403),FIND(" ",TRIM(C403)&amp;" ")-1),",","."),FIND("/",SUBSTITUTE(LEFT(TRIM(C403),FIND(" ",TRIM(C403)&amp;" ")-1),",","."))+1,9))*12/52,IF(ISNUMBER(SEARCH("month",C403)),IFERROR(_xlfn.NUMBERVALUE(SUBSTITUTE(LEFT(TRIM(C403),FIND(" ",TRIM(C403)&amp;" ")-1),",","."),"."),LEFT(SUBSTITUTE(LEFT(TRIM(C403),FIND(" ",TRIM(C403)&amp;" ")-1),",","."),FIND("/",SUBSTITUTE(LEFT(TRIM(C403),FIND(" ",TRIM(C403)&amp;" ")-1),",","."))-1)/MID(SUBSTITUTE(LEFT(TRIM(C403),FIND(" ",TRIM(C403)&amp;" ")-1),",","."),FIND("/",SUBSTITUTE(LEFT(TRIM(C403),FIND(" ",TRIM(C403)&amp;" ")-1),",","."))+1,9)),IF(ISNUMBER(SEARCH("yea",C403)),IFERROR(_xlfn.NUMBERVALUE(SUBSTITUTE(LEFT(TRIM(C403),FIND(" ",TRIM(C403)&amp;" ")-1),",","."),"."),LEFT(SUBSTITUTE(LEFT(TRIM(C403),FIND(" ",TRIM(C403)&amp;" ")-1),",","."),FIND("/",SUBSTITUTE(LEFT(TRIM(C403),FIND(" ",TRIM(C403)&amp;" ")-1),",","."))-1)/MID(SUBSTITUTE(LEFT(TRIM(C403),FIND(" ",TRIM(C403)&amp;" ")-1),",","."),FIND("/",SUBSTITUTE(LEFT(TRIM(C403),FIND(" ",TRIM(C403)&amp;" ")-1),",","."))+1,9))*12,NA()))),0),24)*'Aturan &amp; Tarif'!$B$4,2)</f>
        <v>1362.72</v>
      </c>
      <c r="K403" s="32" t="n">
        <f aca="false">'Aturan &amp; Tarif'!$B$5</f>
        <v>2050</v>
      </c>
      <c r="L403" s="35" t="n">
        <f aca="false">I403+J403+K403</f>
        <v>7229.72</v>
      </c>
      <c r="M403" s="37" t="s">
        <v>134</v>
      </c>
    </row>
    <row r="404" customFormat="false" ht="48.75" hidden="false" customHeight="true" outlineLevel="0" collapsed="false">
      <c r="A404" s="29"/>
      <c r="B404" s="30" t="s">
        <v>3387</v>
      </c>
      <c r="C404" s="31" t="s">
        <v>127</v>
      </c>
      <c r="D404" s="31" t="s">
        <v>108</v>
      </c>
      <c r="E404" s="32" t="n">
        <v>1667</v>
      </c>
      <c r="F404" s="32" t="n">
        <v>1900</v>
      </c>
      <c r="G404" s="32" t="n">
        <v>250</v>
      </c>
      <c r="H404" s="33" t="n">
        <v>1</v>
      </c>
      <c r="I404" s="34" t="n">
        <f aca="false">E404*H404+N(F404)+N(G404)</f>
        <v>3817</v>
      </c>
      <c r="J404" s="32" t="n">
        <f aca="false">ROUND(IFERROR(ROUND(IF(OR(ISNUMBER(SEARCH("week",C404)),ISNUMBER(SEARCH("minggu",C404))),IFERROR(_xlfn.NUMBERVALUE(SUBSTITUTE(LEFT(TRIM(C404),FIND(" ",TRIM(C404)&amp;" ")-1),",","."),"."),LEFT(SUBSTITUTE(LEFT(TRIM(C404),FIND(" ",TRIM(C404)&amp;" ")-1),",","."),FIND("/",SUBSTITUTE(LEFT(TRIM(C404),FIND(" ",TRIM(C404)&amp;" ")-1),",","."))-1)/MID(SUBSTITUTE(LEFT(TRIM(C404),FIND(" ",TRIM(C404)&amp;" ")-1),",","."),FIND("/",SUBSTITUTE(LEFT(TRIM(C404),FIND(" ",TRIM(C404)&amp;" ")-1),",","."))+1,9))*12/52,IF(ISNUMBER(SEARCH("month",C404)),IFERROR(_xlfn.NUMBERVALUE(SUBSTITUTE(LEFT(TRIM(C404),FIND(" ",TRIM(C404)&amp;" ")-1),",","."),"."),LEFT(SUBSTITUTE(LEFT(TRIM(C404),FIND(" ",TRIM(C404)&amp;" ")-1),",","."),FIND("/",SUBSTITUTE(LEFT(TRIM(C404),FIND(" ",TRIM(C404)&amp;" ")-1),",","."))-1)/MID(SUBSTITUTE(LEFT(TRIM(C404),FIND(" ",TRIM(C404)&amp;" ")-1),",","."),FIND("/",SUBSTITUTE(LEFT(TRIM(C404),FIND(" ",TRIM(C404)&amp;" ")-1),",","."))+1,9)),IF(ISNUMBER(SEARCH("yea",C404)),IFERROR(_xlfn.NUMBERVALUE(SUBSTITUTE(LEFT(TRIM(C404),FIND(" ",TRIM(C404)&amp;" ")-1),",","."),"."),LEFT(SUBSTITUTE(LEFT(TRIM(C404),FIND(" ",TRIM(C404)&amp;" ")-1),",","."),FIND("/",SUBSTITUTE(LEFT(TRIM(C404),FIND(" ",TRIM(C404)&amp;" ")-1),",","."))-1)/MID(SUBSTITUTE(LEFT(TRIM(C404),FIND(" ",TRIM(C404)&amp;" ")-1),",","."),FIND("/",SUBSTITUTE(LEFT(TRIM(C404),FIND(" ",TRIM(C404)&amp;" ")-1),",","."))+1,9))*12,NA()))),0),36)*'Aturan &amp; Tarif'!$B$4,2)</f>
        <v>2044.08</v>
      </c>
      <c r="K404" s="32" t="n">
        <f aca="false">'Aturan &amp; Tarif'!$B$5</f>
        <v>2050</v>
      </c>
      <c r="L404" s="35" t="n">
        <f aca="false">I404+J404+K404</f>
        <v>7911.08</v>
      </c>
      <c r="M404" s="36" t="s">
        <v>131</v>
      </c>
    </row>
    <row r="405" customFormat="false" ht="37.5" hidden="false" customHeight="true" outlineLevel="0" collapsed="false">
      <c r="A405" s="39" t="s">
        <v>2920</v>
      </c>
      <c r="B405" s="40" t="s">
        <v>2921</v>
      </c>
      <c r="C405" s="41" t="s">
        <v>107</v>
      </c>
      <c r="D405" s="41" t="s">
        <v>108</v>
      </c>
      <c r="E405" s="42" t="n">
        <v>2250</v>
      </c>
      <c r="F405" s="42" t="n">
        <v>2500</v>
      </c>
      <c r="G405" s="42" t="n">
        <v>300</v>
      </c>
      <c r="H405" s="43" t="n">
        <v>1</v>
      </c>
      <c r="I405" s="34" t="n">
        <f aca="false">E405*H405+N(F405)+N(G405)</f>
        <v>5050</v>
      </c>
      <c r="J405" s="42" t="n">
        <f aca="false">ROUND(IFERROR(ROUND(IF(OR(ISNUMBER(SEARCH("week",C405)),ISNUMBER(SEARCH("minggu",C405))),IFERROR(_xlfn.NUMBERVALUE(SUBSTITUTE(LEFT(TRIM(C405),FIND(" ",TRIM(C405)&amp;" ")-1),",","."),"."),LEFT(SUBSTITUTE(LEFT(TRIM(C405),FIND(" ",TRIM(C405)&amp;" ")-1),",","."),FIND("/",SUBSTITUTE(LEFT(TRIM(C405),FIND(" ",TRIM(C405)&amp;" ")-1),",","."))-1)/MID(SUBSTITUTE(LEFT(TRIM(C405),FIND(" ",TRIM(C405)&amp;" ")-1),",","."),FIND("/",SUBSTITUTE(LEFT(TRIM(C405),FIND(" ",TRIM(C405)&amp;" ")-1),",","."))+1,9))*12/52,IF(ISNUMBER(SEARCH("month",C405)),IFERROR(_xlfn.NUMBERVALUE(SUBSTITUTE(LEFT(TRIM(C405),FIND(" ",TRIM(C405)&amp;" ")-1),",","."),"."),LEFT(SUBSTITUTE(LEFT(TRIM(C405),FIND(" ",TRIM(C405)&amp;" ")-1),",","."),FIND("/",SUBSTITUTE(LEFT(TRIM(C405),FIND(" ",TRIM(C405)&amp;" ")-1),",","."))-1)/MID(SUBSTITUTE(LEFT(TRIM(C405),FIND(" ",TRIM(C405)&amp;" ")-1),",","."),FIND("/",SUBSTITUTE(LEFT(TRIM(C405),FIND(" ",TRIM(C405)&amp;" ")-1),",","."))+1,9)),IF(ISNUMBER(SEARCH("yea",C405)),IFERROR(_xlfn.NUMBERVALUE(SUBSTITUTE(LEFT(TRIM(C405),FIND(" ",TRIM(C405)&amp;" ")-1),",","."),"."),LEFT(SUBSTITUTE(LEFT(TRIM(C405),FIND(" ",TRIM(C405)&amp;" ")-1),",","."),FIND("/",SUBSTITUTE(LEFT(TRIM(C405),FIND(" ",TRIM(C405)&amp;" ")-1),",","."))-1)/MID(SUBSTITUTE(LEFT(TRIM(C405),FIND(" ",TRIM(C405)&amp;" ")-1),",","."),FIND("/",SUBSTITUTE(LEFT(TRIM(C405),FIND(" ",TRIM(C405)&amp;" ")-1),",","."))+1,9))*12,NA()))),0),24)*'Aturan &amp; Tarif'!$B$4,2)</f>
        <v>1362.72</v>
      </c>
      <c r="K405" s="42" t="n">
        <f aca="false">'Aturan &amp; Tarif'!$B$5</f>
        <v>2050</v>
      </c>
      <c r="L405" s="35" t="n">
        <f aca="false">I405+J405+K405</f>
        <v>8462.72</v>
      </c>
      <c r="M405" s="45" t="s">
        <v>2922</v>
      </c>
    </row>
    <row r="406" customFormat="false" ht="37.5" hidden="false" customHeight="true" outlineLevel="0" collapsed="false">
      <c r="A406" s="39"/>
      <c r="B406" s="40" t="s">
        <v>470</v>
      </c>
      <c r="C406" s="41" t="s">
        <v>107</v>
      </c>
      <c r="D406" s="41" t="s">
        <v>108</v>
      </c>
      <c r="E406" s="42" t="n">
        <v>2250</v>
      </c>
      <c r="F406" s="42" t="n">
        <v>3000</v>
      </c>
      <c r="G406" s="42" t="n">
        <v>250</v>
      </c>
      <c r="H406" s="43" t="n">
        <v>1</v>
      </c>
      <c r="I406" s="34" t="n">
        <f aca="false">E406*H406+N(F406)+N(G406)</f>
        <v>5500</v>
      </c>
      <c r="J406" s="42" t="n">
        <f aca="false">ROUND(IFERROR(ROUND(IF(OR(ISNUMBER(SEARCH("week",C406)),ISNUMBER(SEARCH("minggu",C406))),IFERROR(_xlfn.NUMBERVALUE(SUBSTITUTE(LEFT(TRIM(C406),FIND(" ",TRIM(C406)&amp;" ")-1),",","."),"."),LEFT(SUBSTITUTE(LEFT(TRIM(C406),FIND(" ",TRIM(C406)&amp;" ")-1),",","."),FIND("/",SUBSTITUTE(LEFT(TRIM(C406),FIND(" ",TRIM(C406)&amp;" ")-1),",","."))-1)/MID(SUBSTITUTE(LEFT(TRIM(C406),FIND(" ",TRIM(C406)&amp;" ")-1),",","."),FIND("/",SUBSTITUTE(LEFT(TRIM(C406),FIND(" ",TRIM(C406)&amp;" ")-1),",","."))+1,9))*12/52,IF(ISNUMBER(SEARCH("month",C406)),IFERROR(_xlfn.NUMBERVALUE(SUBSTITUTE(LEFT(TRIM(C406),FIND(" ",TRIM(C406)&amp;" ")-1),",","."),"."),LEFT(SUBSTITUTE(LEFT(TRIM(C406),FIND(" ",TRIM(C406)&amp;" ")-1),",","."),FIND("/",SUBSTITUTE(LEFT(TRIM(C406),FIND(" ",TRIM(C406)&amp;" ")-1),",","."))-1)/MID(SUBSTITUTE(LEFT(TRIM(C406),FIND(" ",TRIM(C406)&amp;" ")-1),",","."),FIND("/",SUBSTITUTE(LEFT(TRIM(C406),FIND(" ",TRIM(C406)&amp;" ")-1),",","."))+1,9)),IF(ISNUMBER(SEARCH("yea",C406)),IFERROR(_xlfn.NUMBERVALUE(SUBSTITUTE(LEFT(TRIM(C406),FIND(" ",TRIM(C406)&amp;" ")-1),",","."),"."),LEFT(SUBSTITUTE(LEFT(TRIM(C406),FIND(" ",TRIM(C406)&amp;" ")-1),",","."),FIND("/",SUBSTITUTE(LEFT(TRIM(C406),FIND(" ",TRIM(C406)&amp;" ")-1),",","."))-1)/MID(SUBSTITUTE(LEFT(TRIM(C406),FIND(" ",TRIM(C406)&amp;" ")-1),",","."),FIND("/",SUBSTITUTE(LEFT(TRIM(C406),FIND(" ",TRIM(C406)&amp;" ")-1),",","."))+1,9))*12,NA()))),0),24)*'Aturan &amp; Tarif'!$B$4,2)</f>
        <v>1362.72</v>
      </c>
      <c r="K406" s="42" t="n">
        <f aca="false">'Aturan &amp; Tarif'!$B$5</f>
        <v>2050</v>
      </c>
      <c r="L406" s="35" t="n">
        <f aca="false">I406+J406+K406</f>
        <v>8912.72</v>
      </c>
      <c r="M406" s="45" t="s">
        <v>2922</v>
      </c>
    </row>
    <row r="407" customFormat="false" ht="48.75" hidden="false" customHeight="true" outlineLevel="0" collapsed="false">
      <c r="A407" s="39" t="s">
        <v>2923</v>
      </c>
      <c r="B407" s="40" t="s">
        <v>3388</v>
      </c>
      <c r="C407" s="41" t="s">
        <v>138</v>
      </c>
      <c r="D407" s="41" t="s">
        <v>108</v>
      </c>
      <c r="E407" s="42" t="n">
        <v>1625</v>
      </c>
      <c r="F407" s="42"/>
      <c r="G407" s="42" t="n">
        <v>500</v>
      </c>
      <c r="H407" s="43" t="n">
        <v>1</v>
      </c>
      <c r="I407" s="34" t="n">
        <f aca="false">E407*H407+N(F407)+N(G407)</f>
        <v>2125</v>
      </c>
      <c r="J407" s="42" t="n">
        <f aca="false">ROUND(IFERROR(ROUND(IF(OR(ISNUMBER(SEARCH("week",C407)),ISNUMBER(SEARCH("minggu",C407))),IFERROR(_xlfn.NUMBERVALUE(SUBSTITUTE(LEFT(TRIM(C407),FIND(" ",TRIM(C407)&amp;" ")-1),",","."),"."),LEFT(SUBSTITUTE(LEFT(TRIM(C407),FIND(" ",TRIM(C407)&amp;" ")-1),",","."),FIND("/",SUBSTITUTE(LEFT(TRIM(C407),FIND(" ",TRIM(C407)&amp;" ")-1),",","."))-1)/MID(SUBSTITUTE(LEFT(TRIM(C407),FIND(" ",TRIM(C407)&amp;" ")-1),",","."),FIND("/",SUBSTITUTE(LEFT(TRIM(C407),FIND(" ",TRIM(C407)&amp;" ")-1),",","."))+1,9))*12/52,IF(ISNUMBER(SEARCH("month",C407)),IFERROR(_xlfn.NUMBERVALUE(SUBSTITUTE(LEFT(TRIM(C407),FIND(" ",TRIM(C407)&amp;" ")-1),",","."),"."),LEFT(SUBSTITUTE(LEFT(TRIM(C407),FIND(" ",TRIM(C407)&amp;" ")-1),",","."),FIND("/",SUBSTITUTE(LEFT(TRIM(C407),FIND(" ",TRIM(C407)&amp;" ")-1),",","."))-1)/MID(SUBSTITUTE(LEFT(TRIM(C407),FIND(" ",TRIM(C407)&amp;" ")-1),",","."),FIND("/",SUBSTITUTE(LEFT(TRIM(C407),FIND(" ",TRIM(C407)&amp;" ")-1),",","."))+1,9)),IF(ISNUMBER(SEARCH("yea",C407)),IFERROR(_xlfn.NUMBERVALUE(SUBSTITUTE(LEFT(TRIM(C407),FIND(" ",TRIM(C407)&amp;" ")-1),",","."),"."),LEFT(SUBSTITUTE(LEFT(TRIM(C407),FIND(" ",TRIM(C407)&amp;" ")-1),",","."),FIND("/",SUBSTITUTE(LEFT(TRIM(C407),FIND(" ",TRIM(C407)&amp;" ")-1),",","."))-1)/MID(SUBSTITUTE(LEFT(TRIM(C407),FIND(" ",TRIM(C407)&amp;" ")-1),",","."),FIND("/",SUBSTITUTE(LEFT(TRIM(C407),FIND(" ",TRIM(C407)&amp;" ")-1),",","."))+1,9))*12,NA()))),0),30)*'Aturan &amp; Tarif'!$B$4,2)</f>
        <v>1703.4</v>
      </c>
      <c r="K407" s="42" t="n">
        <f aca="false">'Aturan &amp; Tarif'!$B$5</f>
        <v>2050</v>
      </c>
      <c r="L407" s="35" t="n">
        <f aca="false">I407+J407+K407</f>
        <v>5878.4</v>
      </c>
      <c r="M407" s="44" t="s">
        <v>3389</v>
      </c>
    </row>
    <row r="408" customFormat="false" ht="25.5" hidden="false" customHeight="true" outlineLevel="0" collapsed="false">
      <c r="A408" s="39"/>
      <c r="B408" s="40" t="s">
        <v>3390</v>
      </c>
      <c r="C408" s="41" t="s">
        <v>127</v>
      </c>
      <c r="D408" s="41" t="s">
        <v>108</v>
      </c>
      <c r="E408" s="42" t="n">
        <v>2000</v>
      </c>
      <c r="F408" s="42"/>
      <c r="G408" s="42" t="n">
        <v>500</v>
      </c>
      <c r="H408" s="43" t="n">
        <v>1</v>
      </c>
      <c r="I408" s="34" t="n">
        <f aca="false">E408*H408+N(F408)+N(G408)</f>
        <v>2500</v>
      </c>
      <c r="J408" s="42" t="n">
        <f aca="false">ROUND(IFERROR(ROUND(IF(OR(ISNUMBER(SEARCH("week",C408)),ISNUMBER(SEARCH("minggu",C408))),IFERROR(_xlfn.NUMBERVALUE(SUBSTITUTE(LEFT(TRIM(C408),FIND(" ",TRIM(C408)&amp;" ")-1),",","."),"."),LEFT(SUBSTITUTE(LEFT(TRIM(C408),FIND(" ",TRIM(C408)&amp;" ")-1),",","."),FIND("/",SUBSTITUTE(LEFT(TRIM(C408),FIND(" ",TRIM(C408)&amp;" ")-1),",","."))-1)/MID(SUBSTITUTE(LEFT(TRIM(C408),FIND(" ",TRIM(C408)&amp;" ")-1),",","."),FIND("/",SUBSTITUTE(LEFT(TRIM(C408),FIND(" ",TRIM(C408)&amp;" ")-1),",","."))+1,9))*12/52,IF(ISNUMBER(SEARCH("month",C408)),IFERROR(_xlfn.NUMBERVALUE(SUBSTITUTE(LEFT(TRIM(C408),FIND(" ",TRIM(C408)&amp;" ")-1),",","."),"."),LEFT(SUBSTITUTE(LEFT(TRIM(C408),FIND(" ",TRIM(C408)&amp;" ")-1),",","."),FIND("/",SUBSTITUTE(LEFT(TRIM(C408),FIND(" ",TRIM(C408)&amp;" ")-1),",","."))-1)/MID(SUBSTITUTE(LEFT(TRIM(C408),FIND(" ",TRIM(C408)&amp;" ")-1),",","."),FIND("/",SUBSTITUTE(LEFT(TRIM(C408),FIND(" ",TRIM(C408)&amp;" ")-1),",","."))+1,9)),IF(ISNUMBER(SEARCH("yea",C408)),IFERROR(_xlfn.NUMBERVALUE(SUBSTITUTE(LEFT(TRIM(C408),FIND(" ",TRIM(C408)&amp;" ")-1),",","."),"."),LEFT(SUBSTITUTE(LEFT(TRIM(C408),FIND(" ",TRIM(C408)&amp;" ")-1),",","."),FIND("/",SUBSTITUTE(LEFT(TRIM(C408),FIND(" ",TRIM(C408)&amp;" ")-1),",","."))-1)/MID(SUBSTITUTE(LEFT(TRIM(C408),FIND(" ",TRIM(C408)&amp;" ")-1),",","."),FIND("/",SUBSTITUTE(LEFT(TRIM(C408),FIND(" ",TRIM(C408)&amp;" ")-1),",","."))+1,9))*12,NA()))),0),36)*'Aturan &amp; Tarif'!$B$4,2)</f>
        <v>2044.08</v>
      </c>
      <c r="K408" s="42" t="n">
        <f aca="false">'Aturan &amp; Tarif'!$B$5</f>
        <v>2050</v>
      </c>
      <c r="L408" s="35" t="n">
        <f aca="false">I408+J408+K408</f>
        <v>6594.08</v>
      </c>
      <c r="M408" s="44" t="s">
        <v>3391</v>
      </c>
    </row>
    <row r="409" customFormat="false" ht="37.5" hidden="false" customHeight="true" outlineLevel="0" collapsed="false">
      <c r="A409" s="39"/>
      <c r="B409" s="40" t="s">
        <v>2926</v>
      </c>
      <c r="C409" s="41" t="s">
        <v>107</v>
      </c>
      <c r="D409" s="41" t="s">
        <v>108</v>
      </c>
      <c r="E409" s="42" t="n">
        <v>1625</v>
      </c>
      <c r="F409" s="42"/>
      <c r="G409" s="42" t="n">
        <v>500</v>
      </c>
      <c r="H409" s="43" t="n">
        <v>1</v>
      </c>
      <c r="I409" s="34" t="n">
        <f aca="false">E409*H409+N(F409)+N(G409)</f>
        <v>2125</v>
      </c>
      <c r="J409" s="42" t="n">
        <f aca="false">ROUND(IFERROR(ROUND(IF(OR(ISNUMBER(SEARCH("week",C409)),ISNUMBER(SEARCH("minggu",C409))),IFERROR(_xlfn.NUMBERVALUE(SUBSTITUTE(LEFT(TRIM(C409),FIND(" ",TRIM(C409)&amp;" ")-1),",","."),"."),LEFT(SUBSTITUTE(LEFT(TRIM(C409),FIND(" ",TRIM(C409)&amp;" ")-1),",","."),FIND("/",SUBSTITUTE(LEFT(TRIM(C409),FIND(" ",TRIM(C409)&amp;" ")-1),",","."))-1)/MID(SUBSTITUTE(LEFT(TRIM(C409),FIND(" ",TRIM(C409)&amp;" ")-1),",","."),FIND("/",SUBSTITUTE(LEFT(TRIM(C409),FIND(" ",TRIM(C409)&amp;" ")-1),",","."))+1,9))*12/52,IF(ISNUMBER(SEARCH("month",C409)),IFERROR(_xlfn.NUMBERVALUE(SUBSTITUTE(LEFT(TRIM(C409),FIND(" ",TRIM(C409)&amp;" ")-1),",","."),"."),LEFT(SUBSTITUTE(LEFT(TRIM(C409),FIND(" ",TRIM(C409)&amp;" ")-1),",","."),FIND("/",SUBSTITUTE(LEFT(TRIM(C409),FIND(" ",TRIM(C409)&amp;" ")-1),",","."))-1)/MID(SUBSTITUTE(LEFT(TRIM(C409),FIND(" ",TRIM(C409)&amp;" ")-1),",","."),FIND("/",SUBSTITUTE(LEFT(TRIM(C409),FIND(" ",TRIM(C409)&amp;" ")-1),",","."))+1,9)),IF(ISNUMBER(SEARCH("yea",C409)),IFERROR(_xlfn.NUMBERVALUE(SUBSTITUTE(LEFT(TRIM(C409),FIND(" ",TRIM(C409)&amp;" ")-1),",","."),"."),LEFT(SUBSTITUTE(LEFT(TRIM(C409),FIND(" ",TRIM(C409)&amp;" ")-1),",","."),FIND("/",SUBSTITUTE(LEFT(TRIM(C409),FIND(" ",TRIM(C409)&amp;" ")-1),",","."))-1)/MID(SUBSTITUTE(LEFT(TRIM(C409),FIND(" ",TRIM(C409)&amp;" ")-1),",","."),FIND("/",SUBSTITUTE(LEFT(TRIM(C409),FIND(" ",TRIM(C409)&amp;" ")-1),",","."))+1,9))*12,NA()))),0),24)*'Aturan &amp; Tarif'!$B$4,2)</f>
        <v>1362.72</v>
      </c>
      <c r="K409" s="42" t="n">
        <f aca="false">'Aturan &amp; Tarif'!$B$5</f>
        <v>2050</v>
      </c>
      <c r="L409" s="35" t="n">
        <f aca="false">I409+J409+K409</f>
        <v>5537.72</v>
      </c>
      <c r="M409" s="45" t="s">
        <v>2927</v>
      </c>
    </row>
    <row r="410" customFormat="false" ht="25.5" hidden="false" customHeight="true" outlineLevel="0" collapsed="false">
      <c r="A410" s="39"/>
      <c r="B410" s="40" t="s">
        <v>2928</v>
      </c>
      <c r="C410" s="41" t="s">
        <v>107</v>
      </c>
      <c r="D410" s="41" t="s">
        <v>108</v>
      </c>
      <c r="E410" s="42" t="n">
        <v>2062</v>
      </c>
      <c r="F410" s="42"/>
      <c r="G410" s="42" t="n">
        <v>500</v>
      </c>
      <c r="H410" s="43" t="n">
        <v>1</v>
      </c>
      <c r="I410" s="34" t="n">
        <f aca="false">E410*H410+N(F410)+N(G410)</f>
        <v>2562</v>
      </c>
      <c r="J410" s="42" t="n">
        <f aca="false">ROUND(IFERROR(ROUND(IF(OR(ISNUMBER(SEARCH("week",C410)),ISNUMBER(SEARCH("minggu",C410))),IFERROR(_xlfn.NUMBERVALUE(SUBSTITUTE(LEFT(TRIM(C410),FIND(" ",TRIM(C410)&amp;" ")-1),",","."),"."),LEFT(SUBSTITUTE(LEFT(TRIM(C410),FIND(" ",TRIM(C410)&amp;" ")-1),",","."),FIND("/",SUBSTITUTE(LEFT(TRIM(C410),FIND(" ",TRIM(C410)&amp;" ")-1),",","."))-1)/MID(SUBSTITUTE(LEFT(TRIM(C410),FIND(" ",TRIM(C410)&amp;" ")-1),",","."),FIND("/",SUBSTITUTE(LEFT(TRIM(C410),FIND(" ",TRIM(C410)&amp;" ")-1),",","."))+1,9))*12/52,IF(ISNUMBER(SEARCH("month",C410)),IFERROR(_xlfn.NUMBERVALUE(SUBSTITUTE(LEFT(TRIM(C410),FIND(" ",TRIM(C410)&amp;" ")-1),",","."),"."),LEFT(SUBSTITUTE(LEFT(TRIM(C410),FIND(" ",TRIM(C410)&amp;" ")-1),",","."),FIND("/",SUBSTITUTE(LEFT(TRIM(C410),FIND(" ",TRIM(C410)&amp;" ")-1),",","."))-1)/MID(SUBSTITUTE(LEFT(TRIM(C410),FIND(" ",TRIM(C410)&amp;" ")-1),",","."),FIND("/",SUBSTITUTE(LEFT(TRIM(C410),FIND(" ",TRIM(C410)&amp;" ")-1),",","."))+1,9)),IF(ISNUMBER(SEARCH("yea",C410)),IFERROR(_xlfn.NUMBERVALUE(SUBSTITUTE(LEFT(TRIM(C410),FIND(" ",TRIM(C410)&amp;" ")-1),",","."),"."),LEFT(SUBSTITUTE(LEFT(TRIM(C410),FIND(" ",TRIM(C410)&amp;" ")-1),",","."),FIND("/",SUBSTITUTE(LEFT(TRIM(C410),FIND(" ",TRIM(C410)&amp;" ")-1),",","."))-1)/MID(SUBSTITUTE(LEFT(TRIM(C410),FIND(" ",TRIM(C410)&amp;" ")-1),",","."),FIND("/",SUBSTITUTE(LEFT(TRIM(C410),FIND(" ",TRIM(C410)&amp;" ")-1),",","."))+1,9))*12,NA()))),0),24)*'Aturan &amp; Tarif'!$B$4,2)</f>
        <v>1362.72</v>
      </c>
      <c r="K410" s="42" t="n">
        <f aca="false">'Aturan &amp; Tarif'!$B$5</f>
        <v>2050</v>
      </c>
      <c r="L410" s="35" t="n">
        <f aca="false">I410+J410+K410</f>
        <v>5974.72</v>
      </c>
      <c r="M410" s="45" t="s">
        <v>2929</v>
      </c>
    </row>
    <row r="411" customFormat="false" ht="37.5" hidden="false" customHeight="true" outlineLevel="0" collapsed="false">
      <c r="A411" s="39"/>
      <c r="B411" s="40" t="s">
        <v>2930</v>
      </c>
      <c r="C411" s="41" t="s">
        <v>113</v>
      </c>
      <c r="D411" s="41" t="s">
        <v>108</v>
      </c>
      <c r="E411" s="42" t="n">
        <v>2300</v>
      </c>
      <c r="F411" s="42" t="n">
        <v>1500</v>
      </c>
      <c r="G411" s="42" t="n">
        <v>300</v>
      </c>
      <c r="H411" s="43" t="n">
        <v>1</v>
      </c>
      <c r="I411" s="34" t="n">
        <f aca="false">E411*H411+N(F411)+N(G411)</f>
        <v>4100</v>
      </c>
      <c r="J411" s="42" t="n">
        <f aca="false">ROUND(IFERROR(ROUND(IF(OR(ISNUMBER(SEARCH("week",C411)),ISNUMBER(SEARCH("minggu",C411))),IFERROR(_xlfn.NUMBERVALUE(SUBSTITUTE(LEFT(TRIM(C411),FIND(" ",TRIM(C411)&amp;" ")-1),",","."),"."),LEFT(SUBSTITUTE(LEFT(TRIM(C411),FIND(" ",TRIM(C411)&amp;" ")-1),",","."),FIND("/",SUBSTITUTE(LEFT(TRIM(C411),FIND(" ",TRIM(C411)&amp;" ")-1),",","."))-1)/MID(SUBSTITUTE(LEFT(TRIM(C411),FIND(" ",TRIM(C411)&amp;" ")-1),",","."),FIND("/",SUBSTITUTE(LEFT(TRIM(C411),FIND(" ",TRIM(C411)&amp;" ")-1),",","."))+1,9))*12/52,IF(ISNUMBER(SEARCH("month",C411)),IFERROR(_xlfn.NUMBERVALUE(SUBSTITUTE(LEFT(TRIM(C411),FIND(" ",TRIM(C411)&amp;" ")-1),",","."),"."),LEFT(SUBSTITUTE(LEFT(TRIM(C411),FIND(" ",TRIM(C411)&amp;" ")-1),",","."),FIND("/",SUBSTITUTE(LEFT(TRIM(C411),FIND(" ",TRIM(C411)&amp;" ")-1),",","."))-1)/MID(SUBSTITUTE(LEFT(TRIM(C411),FIND(" ",TRIM(C411)&amp;" ")-1),",","."),FIND("/",SUBSTITUTE(LEFT(TRIM(C411),FIND(" ",TRIM(C411)&amp;" ")-1),",","."))+1,9)),IF(ISNUMBER(SEARCH("yea",C411)),IFERROR(_xlfn.NUMBERVALUE(SUBSTITUTE(LEFT(TRIM(C411),FIND(" ",TRIM(C411)&amp;" ")-1),",","."),"."),LEFT(SUBSTITUTE(LEFT(TRIM(C411),FIND(" ",TRIM(C411)&amp;" ")-1),",","."),FIND("/",SUBSTITUTE(LEFT(TRIM(C411),FIND(" ",TRIM(C411)&amp;" ")-1),",","."))-1)/MID(SUBSTITUTE(LEFT(TRIM(C411),FIND(" ",TRIM(C411)&amp;" ")-1),",","."),FIND("/",SUBSTITUTE(LEFT(TRIM(C411),FIND(" ",TRIM(C411)&amp;" ")-1),",","."))+1,9))*12,NA()))),0),18)*'Aturan &amp; Tarif'!$B$4,2)</f>
        <v>1022.04</v>
      </c>
      <c r="K411" s="42" t="n">
        <f aca="false">'Aturan &amp; Tarif'!$B$5</f>
        <v>2050</v>
      </c>
      <c r="L411" s="35" t="n">
        <f aca="false">I411+J411+K411</f>
        <v>7172.04</v>
      </c>
      <c r="M411" s="45" t="s">
        <v>2931</v>
      </c>
    </row>
    <row r="412" customFormat="false" ht="25.5" hidden="false" customHeight="true" outlineLevel="0" collapsed="false">
      <c r="A412" s="39"/>
      <c r="B412" s="40" t="s">
        <v>2932</v>
      </c>
      <c r="C412" s="41" t="s">
        <v>138</v>
      </c>
      <c r="D412" s="41" t="s">
        <v>108</v>
      </c>
      <c r="E412" s="42" t="n">
        <v>2300</v>
      </c>
      <c r="F412" s="42" t="n">
        <v>1500</v>
      </c>
      <c r="G412" s="42" t="n">
        <v>300</v>
      </c>
      <c r="H412" s="43" t="n">
        <v>1</v>
      </c>
      <c r="I412" s="34" t="n">
        <f aca="false">E412*H412+N(F412)+N(G412)</f>
        <v>4100</v>
      </c>
      <c r="J412" s="42" t="n">
        <f aca="false">ROUND(IFERROR(ROUND(IF(OR(ISNUMBER(SEARCH("week",C412)),ISNUMBER(SEARCH("minggu",C412))),IFERROR(_xlfn.NUMBERVALUE(SUBSTITUTE(LEFT(TRIM(C412),FIND(" ",TRIM(C412)&amp;" ")-1),",","."),"."),LEFT(SUBSTITUTE(LEFT(TRIM(C412),FIND(" ",TRIM(C412)&amp;" ")-1),",","."),FIND("/",SUBSTITUTE(LEFT(TRIM(C412),FIND(" ",TRIM(C412)&amp;" ")-1),",","."))-1)/MID(SUBSTITUTE(LEFT(TRIM(C412),FIND(" ",TRIM(C412)&amp;" ")-1),",","."),FIND("/",SUBSTITUTE(LEFT(TRIM(C412),FIND(" ",TRIM(C412)&amp;" ")-1),",","."))+1,9))*12/52,IF(ISNUMBER(SEARCH("month",C412)),IFERROR(_xlfn.NUMBERVALUE(SUBSTITUTE(LEFT(TRIM(C412),FIND(" ",TRIM(C412)&amp;" ")-1),",","."),"."),LEFT(SUBSTITUTE(LEFT(TRIM(C412),FIND(" ",TRIM(C412)&amp;" ")-1),",","."),FIND("/",SUBSTITUTE(LEFT(TRIM(C412),FIND(" ",TRIM(C412)&amp;" ")-1),",","."))-1)/MID(SUBSTITUTE(LEFT(TRIM(C412),FIND(" ",TRIM(C412)&amp;" ")-1),",","."),FIND("/",SUBSTITUTE(LEFT(TRIM(C412),FIND(" ",TRIM(C412)&amp;" ")-1),",","."))+1,9)),IF(ISNUMBER(SEARCH("yea",C412)),IFERROR(_xlfn.NUMBERVALUE(SUBSTITUTE(LEFT(TRIM(C412),FIND(" ",TRIM(C412)&amp;" ")-1),",","."),"."),LEFT(SUBSTITUTE(LEFT(TRIM(C412),FIND(" ",TRIM(C412)&amp;" ")-1),",","."),FIND("/",SUBSTITUTE(LEFT(TRIM(C412),FIND(" ",TRIM(C412)&amp;" ")-1),",","."))-1)/MID(SUBSTITUTE(LEFT(TRIM(C412),FIND(" ",TRIM(C412)&amp;" ")-1),",","."),FIND("/",SUBSTITUTE(LEFT(TRIM(C412),FIND(" ",TRIM(C412)&amp;" ")-1),",","."))+1,9))*12,NA()))),0),30)*'Aturan &amp; Tarif'!$B$4,2)</f>
        <v>1703.4</v>
      </c>
      <c r="K412" s="42" t="n">
        <f aca="false">'Aturan &amp; Tarif'!$B$5</f>
        <v>2050</v>
      </c>
      <c r="L412" s="35" t="n">
        <f aca="false">I412+J412+K412</f>
        <v>7853.4</v>
      </c>
      <c r="M412" s="45" t="s">
        <v>2933</v>
      </c>
    </row>
    <row r="413" customFormat="false" ht="37.5" hidden="false" customHeight="true" outlineLevel="0" collapsed="false">
      <c r="A413" s="39"/>
      <c r="B413" s="40" t="s">
        <v>2934</v>
      </c>
      <c r="C413" s="41" t="s">
        <v>113</v>
      </c>
      <c r="D413" s="41" t="s">
        <v>108</v>
      </c>
      <c r="E413" s="42" t="n">
        <v>2300</v>
      </c>
      <c r="F413" s="42" t="n">
        <v>1500</v>
      </c>
      <c r="G413" s="42" t="n">
        <v>300</v>
      </c>
      <c r="H413" s="43" t="n">
        <v>1</v>
      </c>
      <c r="I413" s="34" t="n">
        <f aca="false">E413*H413+N(F413)+N(G413)</f>
        <v>4100</v>
      </c>
      <c r="J413" s="42" t="n">
        <f aca="false">ROUND(IFERROR(ROUND(IF(OR(ISNUMBER(SEARCH("week",C413)),ISNUMBER(SEARCH("minggu",C413))),IFERROR(_xlfn.NUMBERVALUE(SUBSTITUTE(LEFT(TRIM(C413),FIND(" ",TRIM(C413)&amp;" ")-1),",","."),"."),LEFT(SUBSTITUTE(LEFT(TRIM(C413),FIND(" ",TRIM(C413)&amp;" ")-1),",","."),FIND("/",SUBSTITUTE(LEFT(TRIM(C413),FIND(" ",TRIM(C413)&amp;" ")-1),",","."))-1)/MID(SUBSTITUTE(LEFT(TRIM(C413),FIND(" ",TRIM(C413)&amp;" ")-1),",","."),FIND("/",SUBSTITUTE(LEFT(TRIM(C413),FIND(" ",TRIM(C413)&amp;" ")-1),",","."))+1,9))*12/52,IF(ISNUMBER(SEARCH("month",C413)),IFERROR(_xlfn.NUMBERVALUE(SUBSTITUTE(LEFT(TRIM(C413),FIND(" ",TRIM(C413)&amp;" ")-1),",","."),"."),LEFT(SUBSTITUTE(LEFT(TRIM(C413),FIND(" ",TRIM(C413)&amp;" ")-1),",","."),FIND("/",SUBSTITUTE(LEFT(TRIM(C413),FIND(" ",TRIM(C413)&amp;" ")-1),",","."))-1)/MID(SUBSTITUTE(LEFT(TRIM(C413),FIND(" ",TRIM(C413)&amp;" ")-1),",","."),FIND("/",SUBSTITUTE(LEFT(TRIM(C413),FIND(" ",TRIM(C413)&amp;" ")-1),",","."))+1,9)),IF(ISNUMBER(SEARCH("yea",C413)),IFERROR(_xlfn.NUMBERVALUE(SUBSTITUTE(LEFT(TRIM(C413),FIND(" ",TRIM(C413)&amp;" ")-1),",","."),"."),LEFT(SUBSTITUTE(LEFT(TRIM(C413),FIND(" ",TRIM(C413)&amp;" ")-1),",","."),FIND("/",SUBSTITUTE(LEFT(TRIM(C413),FIND(" ",TRIM(C413)&amp;" ")-1),",","."))-1)/MID(SUBSTITUTE(LEFT(TRIM(C413),FIND(" ",TRIM(C413)&amp;" ")-1),",","."),FIND("/",SUBSTITUTE(LEFT(TRIM(C413),FIND(" ",TRIM(C413)&amp;" ")-1),",","."))+1,9))*12,NA()))),0),18)*'Aturan &amp; Tarif'!$B$4,2)</f>
        <v>1022.04</v>
      </c>
      <c r="K413" s="42" t="n">
        <f aca="false">'Aturan &amp; Tarif'!$B$5</f>
        <v>2050</v>
      </c>
      <c r="L413" s="35" t="n">
        <f aca="false">I413+J413+K413</f>
        <v>7172.04</v>
      </c>
      <c r="M413" s="45" t="s">
        <v>2935</v>
      </c>
    </row>
    <row r="414" customFormat="false" ht="25.5" hidden="false" customHeight="true" outlineLevel="0" collapsed="false">
      <c r="A414" s="39"/>
      <c r="B414" s="40" t="s">
        <v>2936</v>
      </c>
      <c r="C414" s="41" t="s">
        <v>138</v>
      </c>
      <c r="D414" s="41" t="s">
        <v>108</v>
      </c>
      <c r="E414" s="42" t="n">
        <v>2300</v>
      </c>
      <c r="F414" s="42" t="n">
        <v>1500</v>
      </c>
      <c r="G414" s="42" t="n">
        <v>300</v>
      </c>
      <c r="H414" s="43" t="n">
        <v>1</v>
      </c>
      <c r="I414" s="34" t="n">
        <f aca="false">E414*H414+N(F414)+N(G414)</f>
        <v>4100</v>
      </c>
      <c r="J414" s="42" t="n">
        <f aca="false">ROUND(IFERROR(ROUND(IF(OR(ISNUMBER(SEARCH("week",C414)),ISNUMBER(SEARCH("minggu",C414))),IFERROR(_xlfn.NUMBERVALUE(SUBSTITUTE(LEFT(TRIM(C414),FIND(" ",TRIM(C414)&amp;" ")-1),",","."),"."),LEFT(SUBSTITUTE(LEFT(TRIM(C414),FIND(" ",TRIM(C414)&amp;" ")-1),",","."),FIND("/",SUBSTITUTE(LEFT(TRIM(C414),FIND(" ",TRIM(C414)&amp;" ")-1),",","."))-1)/MID(SUBSTITUTE(LEFT(TRIM(C414),FIND(" ",TRIM(C414)&amp;" ")-1),",","."),FIND("/",SUBSTITUTE(LEFT(TRIM(C414),FIND(" ",TRIM(C414)&amp;" ")-1),",","."))+1,9))*12/52,IF(ISNUMBER(SEARCH("month",C414)),IFERROR(_xlfn.NUMBERVALUE(SUBSTITUTE(LEFT(TRIM(C414),FIND(" ",TRIM(C414)&amp;" ")-1),",","."),"."),LEFT(SUBSTITUTE(LEFT(TRIM(C414),FIND(" ",TRIM(C414)&amp;" ")-1),",","."),FIND("/",SUBSTITUTE(LEFT(TRIM(C414),FIND(" ",TRIM(C414)&amp;" ")-1),",","."))-1)/MID(SUBSTITUTE(LEFT(TRIM(C414),FIND(" ",TRIM(C414)&amp;" ")-1),",","."),FIND("/",SUBSTITUTE(LEFT(TRIM(C414),FIND(" ",TRIM(C414)&amp;" ")-1),",","."))+1,9)),IF(ISNUMBER(SEARCH("yea",C414)),IFERROR(_xlfn.NUMBERVALUE(SUBSTITUTE(LEFT(TRIM(C414),FIND(" ",TRIM(C414)&amp;" ")-1),",","."),"."),LEFT(SUBSTITUTE(LEFT(TRIM(C414),FIND(" ",TRIM(C414)&amp;" ")-1),",","."),FIND("/",SUBSTITUTE(LEFT(TRIM(C414),FIND(" ",TRIM(C414)&amp;" ")-1),",","."))-1)/MID(SUBSTITUTE(LEFT(TRIM(C414),FIND(" ",TRIM(C414)&amp;" ")-1),",","."),FIND("/",SUBSTITUTE(LEFT(TRIM(C414),FIND(" ",TRIM(C414)&amp;" ")-1),",","."))+1,9))*12,NA()))),0),30)*'Aturan &amp; Tarif'!$B$4,2)</f>
        <v>1703.4</v>
      </c>
      <c r="K414" s="42" t="n">
        <f aca="false">'Aturan &amp; Tarif'!$B$5</f>
        <v>2050</v>
      </c>
      <c r="L414" s="35" t="n">
        <f aca="false">I414+J414+K414</f>
        <v>7853.4</v>
      </c>
      <c r="M414" s="45" t="s">
        <v>2937</v>
      </c>
    </row>
    <row r="415" customFormat="false" ht="37.5" hidden="false" customHeight="true" outlineLevel="0" collapsed="false">
      <c r="A415" s="39"/>
      <c r="B415" s="40" t="s">
        <v>2938</v>
      </c>
      <c r="C415" s="41" t="s">
        <v>113</v>
      </c>
      <c r="D415" s="41" t="s">
        <v>108</v>
      </c>
      <c r="E415" s="42" t="n">
        <v>2300</v>
      </c>
      <c r="F415" s="42" t="n">
        <v>1500</v>
      </c>
      <c r="G415" s="42" t="n">
        <v>300</v>
      </c>
      <c r="H415" s="43" t="n">
        <v>1</v>
      </c>
      <c r="I415" s="34" t="n">
        <f aca="false">E415*H415+N(F415)+N(G415)</f>
        <v>4100</v>
      </c>
      <c r="J415" s="42" t="n">
        <f aca="false">ROUND(IFERROR(ROUND(IF(OR(ISNUMBER(SEARCH("week",C415)),ISNUMBER(SEARCH("minggu",C415))),IFERROR(_xlfn.NUMBERVALUE(SUBSTITUTE(LEFT(TRIM(C415),FIND(" ",TRIM(C415)&amp;" ")-1),",","."),"."),LEFT(SUBSTITUTE(LEFT(TRIM(C415),FIND(" ",TRIM(C415)&amp;" ")-1),",","."),FIND("/",SUBSTITUTE(LEFT(TRIM(C415),FIND(" ",TRIM(C415)&amp;" ")-1),",","."))-1)/MID(SUBSTITUTE(LEFT(TRIM(C415),FIND(" ",TRIM(C415)&amp;" ")-1),",","."),FIND("/",SUBSTITUTE(LEFT(TRIM(C415),FIND(" ",TRIM(C415)&amp;" ")-1),",","."))+1,9))*12/52,IF(ISNUMBER(SEARCH("month",C415)),IFERROR(_xlfn.NUMBERVALUE(SUBSTITUTE(LEFT(TRIM(C415),FIND(" ",TRIM(C415)&amp;" ")-1),",","."),"."),LEFT(SUBSTITUTE(LEFT(TRIM(C415),FIND(" ",TRIM(C415)&amp;" ")-1),",","."),FIND("/",SUBSTITUTE(LEFT(TRIM(C415),FIND(" ",TRIM(C415)&amp;" ")-1),",","."))-1)/MID(SUBSTITUTE(LEFT(TRIM(C415),FIND(" ",TRIM(C415)&amp;" ")-1),",","."),FIND("/",SUBSTITUTE(LEFT(TRIM(C415),FIND(" ",TRIM(C415)&amp;" ")-1),",","."))+1,9)),IF(ISNUMBER(SEARCH("yea",C415)),IFERROR(_xlfn.NUMBERVALUE(SUBSTITUTE(LEFT(TRIM(C415),FIND(" ",TRIM(C415)&amp;" ")-1),",","."),"."),LEFT(SUBSTITUTE(LEFT(TRIM(C415),FIND(" ",TRIM(C415)&amp;" ")-1),",","."),FIND("/",SUBSTITUTE(LEFT(TRIM(C415),FIND(" ",TRIM(C415)&amp;" ")-1),",","."))-1)/MID(SUBSTITUTE(LEFT(TRIM(C415),FIND(" ",TRIM(C415)&amp;" ")-1),",","."),FIND("/",SUBSTITUTE(LEFT(TRIM(C415),FIND(" ",TRIM(C415)&amp;" ")-1),",","."))+1,9))*12,NA()))),0),18)*'Aturan &amp; Tarif'!$B$4,2)</f>
        <v>1022.04</v>
      </c>
      <c r="K415" s="42" t="n">
        <f aca="false">'Aturan &amp; Tarif'!$B$5</f>
        <v>2050</v>
      </c>
      <c r="L415" s="35" t="n">
        <f aca="false">I415+J415+K415</f>
        <v>7172.04</v>
      </c>
      <c r="M415" s="45" t="s">
        <v>2939</v>
      </c>
    </row>
    <row r="416" customFormat="false" ht="37.5" hidden="false" customHeight="true" outlineLevel="0" collapsed="false">
      <c r="A416" s="39"/>
      <c r="B416" s="40" t="s">
        <v>2940</v>
      </c>
      <c r="C416" s="41" t="s">
        <v>138</v>
      </c>
      <c r="D416" s="41" t="s">
        <v>108</v>
      </c>
      <c r="E416" s="42" t="n">
        <v>2300</v>
      </c>
      <c r="F416" s="42" t="n">
        <v>1500</v>
      </c>
      <c r="G416" s="42" t="n">
        <v>300</v>
      </c>
      <c r="H416" s="43" t="n">
        <v>1</v>
      </c>
      <c r="I416" s="34" t="n">
        <f aca="false">E416*H416+N(F416)+N(G416)</f>
        <v>4100</v>
      </c>
      <c r="J416" s="42" t="n">
        <f aca="false">ROUND(IFERROR(ROUND(IF(OR(ISNUMBER(SEARCH("week",C416)),ISNUMBER(SEARCH("minggu",C416))),IFERROR(_xlfn.NUMBERVALUE(SUBSTITUTE(LEFT(TRIM(C416),FIND(" ",TRIM(C416)&amp;" ")-1),",","."),"."),LEFT(SUBSTITUTE(LEFT(TRIM(C416),FIND(" ",TRIM(C416)&amp;" ")-1),",","."),FIND("/",SUBSTITUTE(LEFT(TRIM(C416),FIND(" ",TRIM(C416)&amp;" ")-1),",","."))-1)/MID(SUBSTITUTE(LEFT(TRIM(C416),FIND(" ",TRIM(C416)&amp;" ")-1),",","."),FIND("/",SUBSTITUTE(LEFT(TRIM(C416),FIND(" ",TRIM(C416)&amp;" ")-1),",","."))+1,9))*12/52,IF(ISNUMBER(SEARCH("month",C416)),IFERROR(_xlfn.NUMBERVALUE(SUBSTITUTE(LEFT(TRIM(C416),FIND(" ",TRIM(C416)&amp;" ")-1),",","."),"."),LEFT(SUBSTITUTE(LEFT(TRIM(C416),FIND(" ",TRIM(C416)&amp;" ")-1),",","."),FIND("/",SUBSTITUTE(LEFT(TRIM(C416),FIND(" ",TRIM(C416)&amp;" ")-1),",","."))-1)/MID(SUBSTITUTE(LEFT(TRIM(C416),FIND(" ",TRIM(C416)&amp;" ")-1),",","."),FIND("/",SUBSTITUTE(LEFT(TRIM(C416),FIND(" ",TRIM(C416)&amp;" ")-1),",","."))+1,9)),IF(ISNUMBER(SEARCH("yea",C416)),IFERROR(_xlfn.NUMBERVALUE(SUBSTITUTE(LEFT(TRIM(C416),FIND(" ",TRIM(C416)&amp;" ")-1),",","."),"."),LEFT(SUBSTITUTE(LEFT(TRIM(C416),FIND(" ",TRIM(C416)&amp;" ")-1),",","."),FIND("/",SUBSTITUTE(LEFT(TRIM(C416),FIND(" ",TRIM(C416)&amp;" ")-1),",","."))-1)/MID(SUBSTITUTE(LEFT(TRIM(C416),FIND(" ",TRIM(C416)&amp;" ")-1),",","."),FIND("/",SUBSTITUTE(LEFT(TRIM(C416),FIND(" ",TRIM(C416)&amp;" ")-1),",","."))+1,9))*12,NA()))),0),30)*'Aturan &amp; Tarif'!$B$4,2)</f>
        <v>1703.4</v>
      </c>
      <c r="K416" s="42" t="n">
        <f aca="false">'Aturan &amp; Tarif'!$B$5</f>
        <v>2050</v>
      </c>
      <c r="L416" s="35" t="n">
        <f aca="false">I416+J416+K416</f>
        <v>7853.4</v>
      </c>
      <c r="M416" s="45" t="s">
        <v>2941</v>
      </c>
    </row>
    <row r="417" customFormat="false" ht="60" hidden="false" customHeight="true" outlineLevel="0" collapsed="false">
      <c r="A417" s="29" t="s">
        <v>2942</v>
      </c>
      <c r="B417" s="30" t="s">
        <v>3252</v>
      </c>
      <c r="C417" s="31" t="s">
        <v>107</v>
      </c>
      <c r="D417" s="31" t="s">
        <v>108</v>
      </c>
      <c r="E417" s="32" t="n">
        <v>3650</v>
      </c>
      <c r="F417" s="32" t="n">
        <v>2500</v>
      </c>
      <c r="G417" s="32" t="n">
        <v>300</v>
      </c>
      <c r="H417" s="33" t="n">
        <v>1</v>
      </c>
      <c r="I417" s="34" t="n">
        <f aca="false">E417*H417+N(F417)+N(G417)</f>
        <v>6450</v>
      </c>
      <c r="J417" s="32" t="n">
        <f aca="false">ROUND(IFERROR(ROUND(IF(OR(ISNUMBER(SEARCH("week",C417)),ISNUMBER(SEARCH("minggu",C417))),IFERROR(_xlfn.NUMBERVALUE(SUBSTITUTE(LEFT(TRIM(C417),FIND(" ",TRIM(C417)&amp;" ")-1),",","."),"."),LEFT(SUBSTITUTE(LEFT(TRIM(C417),FIND(" ",TRIM(C417)&amp;" ")-1),",","."),FIND("/",SUBSTITUTE(LEFT(TRIM(C417),FIND(" ",TRIM(C417)&amp;" ")-1),",","."))-1)/MID(SUBSTITUTE(LEFT(TRIM(C417),FIND(" ",TRIM(C417)&amp;" ")-1),",","."),FIND("/",SUBSTITUTE(LEFT(TRIM(C417),FIND(" ",TRIM(C417)&amp;" ")-1),",","."))+1,9))*12/52,IF(ISNUMBER(SEARCH("month",C417)),IFERROR(_xlfn.NUMBERVALUE(SUBSTITUTE(LEFT(TRIM(C417),FIND(" ",TRIM(C417)&amp;" ")-1),",","."),"."),LEFT(SUBSTITUTE(LEFT(TRIM(C417),FIND(" ",TRIM(C417)&amp;" ")-1),",","."),FIND("/",SUBSTITUTE(LEFT(TRIM(C417),FIND(" ",TRIM(C417)&amp;" ")-1),",","."))-1)/MID(SUBSTITUTE(LEFT(TRIM(C417),FIND(" ",TRIM(C417)&amp;" ")-1),",","."),FIND("/",SUBSTITUTE(LEFT(TRIM(C417),FIND(" ",TRIM(C417)&amp;" ")-1),",","."))+1,9)),IF(ISNUMBER(SEARCH("yea",C417)),IFERROR(_xlfn.NUMBERVALUE(SUBSTITUTE(LEFT(TRIM(C417),FIND(" ",TRIM(C417)&amp;" ")-1),",","."),"."),LEFT(SUBSTITUTE(LEFT(TRIM(C417),FIND(" ",TRIM(C417)&amp;" ")-1),",","."),FIND("/",SUBSTITUTE(LEFT(TRIM(C417),FIND(" ",TRIM(C417)&amp;" ")-1),",","."))-1)/MID(SUBSTITUTE(LEFT(TRIM(C417),FIND(" ",TRIM(C417)&amp;" ")-1),",","."),FIND("/",SUBSTITUTE(LEFT(TRIM(C417),FIND(" ",TRIM(C417)&amp;" ")-1),",","."))+1,9))*12,NA()))),0),24)*'Aturan &amp; Tarif'!$B$4,2)</f>
        <v>1362.72</v>
      </c>
      <c r="K417" s="32" t="n">
        <f aca="false">'Aturan &amp; Tarif'!$B$5</f>
        <v>2050</v>
      </c>
      <c r="L417" s="35" t="n">
        <f aca="false">I417+J417+K417</f>
        <v>9862.72</v>
      </c>
      <c r="M417" s="37" t="s">
        <v>134</v>
      </c>
    </row>
    <row r="418" customFormat="false" ht="37.5" hidden="false" customHeight="true" outlineLevel="0" collapsed="false">
      <c r="A418" s="29"/>
      <c r="B418" s="30" t="s">
        <v>465</v>
      </c>
      <c r="C418" s="31" t="s">
        <v>107</v>
      </c>
      <c r="D418" s="31" t="s">
        <v>108</v>
      </c>
      <c r="E418" s="32" t="n">
        <v>1875</v>
      </c>
      <c r="F418" s="32" t="n">
        <v>500</v>
      </c>
      <c r="G418" s="32" t="n">
        <v>300</v>
      </c>
      <c r="H418" s="33" t="n">
        <v>1</v>
      </c>
      <c r="I418" s="34" t="n">
        <f aca="false">E418*H418+N(F418)+N(G418)</f>
        <v>2675</v>
      </c>
      <c r="J418" s="32" t="n">
        <f aca="false">ROUND(IFERROR(ROUND(IF(OR(ISNUMBER(SEARCH("week",C418)),ISNUMBER(SEARCH("minggu",C418))),IFERROR(_xlfn.NUMBERVALUE(SUBSTITUTE(LEFT(TRIM(C418),FIND(" ",TRIM(C418)&amp;" ")-1),",","."),"."),LEFT(SUBSTITUTE(LEFT(TRIM(C418),FIND(" ",TRIM(C418)&amp;" ")-1),",","."),FIND("/",SUBSTITUTE(LEFT(TRIM(C418),FIND(" ",TRIM(C418)&amp;" ")-1),",","."))-1)/MID(SUBSTITUTE(LEFT(TRIM(C418),FIND(" ",TRIM(C418)&amp;" ")-1),",","."),FIND("/",SUBSTITUTE(LEFT(TRIM(C418),FIND(" ",TRIM(C418)&amp;" ")-1),",","."))+1,9))*12/52,IF(ISNUMBER(SEARCH("month",C418)),IFERROR(_xlfn.NUMBERVALUE(SUBSTITUTE(LEFT(TRIM(C418),FIND(" ",TRIM(C418)&amp;" ")-1),",","."),"."),LEFT(SUBSTITUTE(LEFT(TRIM(C418),FIND(" ",TRIM(C418)&amp;" ")-1),",","."),FIND("/",SUBSTITUTE(LEFT(TRIM(C418),FIND(" ",TRIM(C418)&amp;" ")-1),",","."))-1)/MID(SUBSTITUTE(LEFT(TRIM(C418),FIND(" ",TRIM(C418)&amp;" ")-1),",","."),FIND("/",SUBSTITUTE(LEFT(TRIM(C418),FIND(" ",TRIM(C418)&amp;" ")-1),",","."))+1,9)),IF(ISNUMBER(SEARCH("yea",C418)),IFERROR(_xlfn.NUMBERVALUE(SUBSTITUTE(LEFT(TRIM(C418),FIND(" ",TRIM(C418)&amp;" ")-1),",","."),"."),LEFT(SUBSTITUTE(LEFT(TRIM(C418),FIND(" ",TRIM(C418)&amp;" ")-1),",","."),FIND("/",SUBSTITUTE(LEFT(TRIM(C418),FIND(" ",TRIM(C418)&amp;" ")-1),",","."))-1)/MID(SUBSTITUTE(LEFT(TRIM(C418),FIND(" ",TRIM(C418)&amp;" ")-1),",","."),FIND("/",SUBSTITUTE(LEFT(TRIM(C418),FIND(" ",TRIM(C418)&amp;" ")-1),",","."))+1,9))*12,NA()))),0),24)*'Aturan &amp; Tarif'!$B$4,2)</f>
        <v>1362.72</v>
      </c>
      <c r="K418" s="32" t="n">
        <f aca="false">'Aturan &amp; Tarif'!$B$5</f>
        <v>2050</v>
      </c>
      <c r="L418" s="35" t="n">
        <f aca="false">I418+J418+K418</f>
        <v>6087.72</v>
      </c>
      <c r="M418" s="36" t="s">
        <v>1652</v>
      </c>
    </row>
    <row r="419" customFormat="false" ht="72" hidden="false" customHeight="true" outlineLevel="0" collapsed="false">
      <c r="A419" s="29"/>
      <c r="B419" s="30" t="s">
        <v>470</v>
      </c>
      <c r="C419" s="31" t="s">
        <v>107</v>
      </c>
      <c r="D419" s="31" t="s">
        <v>108</v>
      </c>
      <c r="E419" s="32" t="n">
        <v>2750</v>
      </c>
      <c r="F419" s="32"/>
      <c r="G419" s="32" t="n">
        <v>300</v>
      </c>
      <c r="H419" s="33" t="n">
        <v>1</v>
      </c>
      <c r="I419" s="34" t="n">
        <f aca="false">E419*H419+N(F419)+N(G419)</f>
        <v>3050</v>
      </c>
      <c r="J419" s="32" t="n">
        <f aca="false">ROUND(IFERROR(ROUND(IF(OR(ISNUMBER(SEARCH("week",C419)),ISNUMBER(SEARCH("minggu",C419))),IFERROR(_xlfn.NUMBERVALUE(SUBSTITUTE(LEFT(TRIM(C419),FIND(" ",TRIM(C419)&amp;" ")-1),",","."),"."),LEFT(SUBSTITUTE(LEFT(TRIM(C419),FIND(" ",TRIM(C419)&amp;" ")-1),",","."),FIND("/",SUBSTITUTE(LEFT(TRIM(C419),FIND(" ",TRIM(C419)&amp;" ")-1),",","."))-1)/MID(SUBSTITUTE(LEFT(TRIM(C419),FIND(" ",TRIM(C419)&amp;" ")-1),",","."),FIND("/",SUBSTITUTE(LEFT(TRIM(C419),FIND(" ",TRIM(C419)&amp;" ")-1),",","."))+1,9))*12/52,IF(ISNUMBER(SEARCH("month",C419)),IFERROR(_xlfn.NUMBERVALUE(SUBSTITUTE(LEFT(TRIM(C419),FIND(" ",TRIM(C419)&amp;" ")-1),",","."),"."),LEFT(SUBSTITUTE(LEFT(TRIM(C419),FIND(" ",TRIM(C419)&amp;" ")-1),",","."),FIND("/",SUBSTITUTE(LEFT(TRIM(C419),FIND(" ",TRIM(C419)&amp;" ")-1),",","."))-1)/MID(SUBSTITUTE(LEFT(TRIM(C419),FIND(" ",TRIM(C419)&amp;" ")-1),",","."),FIND("/",SUBSTITUTE(LEFT(TRIM(C419),FIND(" ",TRIM(C419)&amp;" ")-1),",","."))+1,9)),IF(ISNUMBER(SEARCH("yea",C419)),IFERROR(_xlfn.NUMBERVALUE(SUBSTITUTE(LEFT(TRIM(C419),FIND(" ",TRIM(C419)&amp;" ")-1),",","."),"."),LEFT(SUBSTITUTE(LEFT(TRIM(C419),FIND(" ",TRIM(C419)&amp;" ")-1),",","."),FIND("/",SUBSTITUTE(LEFT(TRIM(C419),FIND(" ",TRIM(C419)&amp;" ")-1),",","."))-1)/MID(SUBSTITUTE(LEFT(TRIM(C419),FIND(" ",TRIM(C419)&amp;" ")-1),",","."),FIND("/",SUBSTITUTE(LEFT(TRIM(C419),FIND(" ",TRIM(C419)&amp;" ")-1),",","."))+1,9))*12,NA()))),0),24)*'Aturan &amp; Tarif'!$B$4,2)</f>
        <v>1362.72</v>
      </c>
      <c r="K419" s="32" t="n">
        <f aca="false">'Aturan &amp; Tarif'!$B$5</f>
        <v>2050</v>
      </c>
      <c r="L419" s="35" t="n">
        <f aca="false">I419+J419+K419</f>
        <v>6462.72</v>
      </c>
      <c r="M419" s="37" t="s">
        <v>1653</v>
      </c>
    </row>
    <row r="420" customFormat="false" ht="25.5" hidden="false" customHeight="true" outlineLevel="0" collapsed="false">
      <c r="A420" s="29"/>
      <c r="B420" s="30" t="s">
        <v>1654</v>
      </c>
      <c r="C420" s="31" t="s">
        <v>138</v>
      </c>
      <c r="D420" s="31" t="s">
        <v>108</v>
      </c>
      <c r="E420" s="32" t="n">
        <v>2300</v>
      </c>
      <c r="F420" s="32" t="n">
        <v>2250</v>
      </c>
      <c r="G420" s="32" t="n">
        <v>300</v>
      </c>
      <c r="H420" s="33" t="n">
        <v>1</v>
      </c>
      <c r="I420" s="34" t="n">
        <f aca="false">E420*H420+N(F420)+N(G420)</f>
        <v>4850</v>
      </c>
      <c r="J420" s="32" t="n">
        <f aca="false">ROUND(IFERROR(ROUND(IF(OR(ISNUMBER(SEARCH("week",C420)),ISNUMBER(SEARCH("minggu",C420))),IFERROR(_xlfn.NUMBERVALUE(SUBSTITUTE(LEFT(TRIM(C420),FIND(" ",TRIM(C420)&amp;" ")-1),",","."),"."),LEFT(SUBSTITUTE(LEFT(TRIM(C420),FIND(" ",TRIM(C420)&amp;" ")-1),",","."),FIND("/",SUBSTITUTE(LEFT(TRIM(C420),FIND(" ",TRIM(C420)&amp;" ")-1),",","."))-1)/MID(SUBSTITUTE(LEFT(TRIM(C420),FIND(" ",TRIM(C420)&amp;" ")-1),",","."),FIND("/",SUBSTITUTE(LEFT(TRIM(C420),FIND(" ",TRIM(C420)&amp;" ")-1),",","."))+1,9))*12/52,IF(ISNUMBER(SEARCH("month",C420)),IFERROR(_xlfn.NUMBERVALUE(SUBSTITUTE(LEFT(TRIM(C420),FIND(" ",TRIM(C420)&amp;" ")-1),",","."),"."),LEFT(SUBSTITUTE(LEFT(TRIM(C420),FIND(" ",TRIM(C420)&amp;" ")-1),",","."),FIND("/",SUBSTITUTE(LEFT(TRIM(C420),FIND(" ",TRIM(C420)&amp;" ")-1),",","."))-1)/MID(SUBSTITUTE(LEFT(TRIM(C420),FIND(" ",TRIM(C420)&amp;" ")-1),",","."),FIND("/",SUBSTITUTE(LEFT(TRIM(C420),FIND(" ",TRIM(C420)&amp;" ")-1),",","."))+1,9)),IF(ISNUMBER(SEARCH("yea",C420)),IFERROR(_xlfn.NUMBERVALUE(SUBSTITUTE(LEFT(TRIM(C420),FIND(" ",TRIM(C420)&amp;" ")-1),",","."),"."),LEFT(SUBSTITUTE(LEFT(TRIM(C420),FIND(" ",TRIM(C420)&amp;" ")-1),",","."),FIND("/",SUBSTITUTE(LEFT(TRIM(C420),FIND(" ",TRIM(C420)&amp;" ")-1),",","."))-1)/MID(SUBSTITUTE(LEFT(TRIM(C420),FIND(" ",TRIM(C420)&amp;" ")-1),",","."),FIND("/",SUBSTITUTE(LEFT(TRIM(C420),FIND(" ",TRIM(C420)&amp;" ")-1),",","."))+1,9))*12,NA()))),0),30)*'Aturan &amp; Tarif'!$B$4,2)</f>
        <v>1703.4</v>
      </c>
      <c r="K420" s="32" t="n">
        <f aca="false">'Aturan &amp; Tarif'!$B$5</f>
        <v>2050</v>
      </c>
      <c r="L420" s="35" t="n">
        <f aca="false">I420+J420+K420</f>
        <v>8603.4</v>
      </c>
      <c r="M420" s="36" t="s">
        <v>1655</v>
      </c>
    </row>
    <row r="421" customFormat="false" ht="37.5" hidden="false" customHeight="true" outlineLevel="0" collapsed="false">
      <c r="A421" s="29"/>
      <c r="B421" s="30" t="s">
        <v>1656</v>
      </c>
      <c r="C421" s="31" t="s">
        <v>191</v>
      </c>
      <c r="D421" s="31" t="s">
        <v>108</v>
      </c>
      <c r="E421" s="32" t="n">
        <v>3800</v>
      </c>
      <c r="F421" s="32"/>
      <c r="G421" s="32" t="n">
        <v>300</v>
      </c>
      <c r="H421" s="33" t="n">
        <v>1</v>
      </c>
      <c r="I421" s="34" t="n">
        <f aca="false">E421*H421+N(F421)+N(G421)</f>
        <v>4100</v>
      </c>
      <c r="J421" s="32" t="n">
        <f aca="false">ROUND(IFERROR(ROUND(IF(OR(ISNUMBER(SEARCH("week",C421)),ISNUMBER(SEARCH("minggu",C421))),IFERROR(_xlfn.NUMBERVALUE(SUBSTITUTE(LEFT(TRIM(C421),FIND(" ",TRIM(C421)&amp;" ")-1),",","."),"."),LEFT(SUBSTITUTE(LEFT(TRIM(C421),FIND(" ",TRIM(C421)&amp;" ")-1),",","."),FIND("/",SUBSTITUTE(LEFT(TRIM(C421),FIND(" ",TRIM(C421)&amp;" ")-1),",","."))-1)/MID(SUBSTITUTE(LEFT(TRIM(C421),FIND(" ",TRIM(C421)&amp;" ")-1),",","."),FIND("/",SUBSTITUTE(LEFT(TRIM(C421),FIND(" ",TRIM(C421)&amp;" ")-1),",","."))+1,9))*12/52,IF(ISNUMBER(SEARCH("month",C421)),IFERROR(_xlfn.NUMBERVALUE(SUBSTITUTE(LEFT(TRIM(C421),FIND(" ",TRIM(C421)&amp;" ")-1),",","."),"."),LEFT(SUBSTITUTE(LEFT(TRIM(C421),FIND(" ",TRIM(C421)&amp;" ")-1),",","."),FIND("/",SUBSTITUTE(LEFT(TRIM(C421),FIND(" ",TRIM(C421)&amp;" ")-1),",","."))-1)/MID(SUBSTITUTE(LEFT(TRIM(C421),FIND(" ",TRIM(C421)&amp;" ")-1),",","."),FIND("/",SUBSTITUTE(LEFT(TRIM(C421),FIND(" ",TRIM(C421)&amp;" ")-1),",","."))+1,9)),IF(ISNUMBER(SEARCH("yea",C421)),IFERROR(_xlfn.NUMBERVALUE(SUBSTITUTE(LEFT(TRIM(C421),FIND(" ",TRIM(C421)&amp;" ")-1),",","."),"."),LEFT(SUBSTITUTE(LEFT(TRIM(C421),FIND(" ",TRIM(C421)&amp;" ")-1),",","."),FIND("/",SUBSTITUTE(LEFT(TRIM(C421),FIND(" ",TRIM(C421)&amp;" ")-1),",","."))-1)/MID(SUBSTITUTE(LEFT(TRIM(C421),FIND(" ",TRIM(C421)&amp;" ")-1),",","."),FIND("/",SUBSTITUTE(LEFT(TRIM(C421),FIND(" ",TRIM(C421)&amp;" ")-1),",","."))+1,9))*12,NA()))),0),48)*'Aturan &amp; Tarif'!$B$4,2)</f>
        <v>2725.44</v>
      </c>
      <c r="K421" s="32" t="n">
        <f aca="false">'Aturan &amp; Tarif'!$B$5</f>
        <v>2050</v>
      </c>
      <c r="L421" s="35" t="n">
        <f aca="false">I421+J421+K421</f>
        <v>8875.44</v>
      </c>
      <c r="M421" s="37" t="s">
        <v>1653</v>
      </c>
    </row>
    <row r="422" customFormat="false" ht="25.5" hidden="false" customHeight="true" outlineLevel="0" collapsed="false">
      <c r="A422" s="29"/>
      <c r="B422" s="30" t="s">
        <v>1657</v>
      </c>
      <c r="C422" s="31" t="s">
        <v>245</v>
      </c>
      <c r="D422" s="31" t="s">
        <v>108</v>
      </c>
      <c r="E422" s="32" t="n">
        <v>3800</v>
      </c>
      <c r="F422" s="32"/>
      <c r="G422" s="32" t="n">
        <v>300</v>
      </c>
      <c r="H422" s="33" t="n">
        <v>1</v>
      </c>
      <c r="I422" s="34" t="n">
        <f aca="false">E422*H422+N(F422)+N(G422)</f>
        <v>4100</v>
      </c>
      <c r="J422" s="32" t="n">
        <f aca="false">ROUND(IFERROR(ROUND(IF(OR(ISNUMBER(SEARCH("week",C422)),ISNUMBER(SEARCH("minggu",C422))),IFERROR(_xlfn.NUMBERVALUE(SUBSTITUTE(LEFT(TRIM(C422),FIND(" ",TRIM(C422)&amp;" ")-1),",","."),"."),LEFT(SUBSTITUTE(LEFT(TRIM(C422),FIND(" ",TRIM(C422)&amp;" ")-1),",","."),FIND("/",SUBSTITUTE(LEFT(TRIM(C422),FIND(" ",TRIM(C422)&amp;" ")-1),",","."))-1)/MID(SUBSTITUTE(LEFT(TRIM(C422),FIND(" ",TRIM(C422)&amp;" ")-1),",","."),FIND("/",SUBSTITUTE(LEFT(TRIM(C422),FIND(" ",TRIM(C422)&amp;" ")-1),",","."))+1,9))*12/52,IF(ISNUMBER(SEARCH("month",C422)),IFERROR(_xlfn.NUMBERVALUE(SUBSTITUTE(LEFT(TRIM(C422),FIND(" ",TRIM(C422)&amp;" ")-1),",","."),"."),LEFT(SUBSTITUTE(LEFT(TRIM(C422),FIND(" ",TRIM(C422)&amp;" ")-1),",","."),FIND("/",SUBSTITUTE(LEFT(TRIM(C422),FIND(" ",TRIM(C422)&amp;" ")-1),",","."))-1)/MID(SUBSTITUTE(LEFT(TRIM(C422),FIND(" ",TRIM(C422)&amp;" ")-1),",","."),FIND("/",SUBSTITUTE(LEFT(TRIM(C422),FIND(" ",TRIM(C422)&amp;" ")-1),",","."))+1,9)),IF(ISNUMBER(SEARCH("yea",C422)),IFERROR(_xlfn.NUMBERVALUE(SUBSTITUTE(LEFT(TRIM(C422),FIND(" ",TRIM(C422)&amp;" ")-1),",","."),"."),LEFT(SUBSTITUTE(LEFT(TRIM(C422),FIND(" ",TRIM(C422)&amp;" ")-1),",","."),FIND("/",SUBSTITUTE(LEFT(TRIM(C422),FIND(" ",TRIM(C422)&amp;" ")-1),",","."))-1)/MID(SUBSTITUTE(LEFT(TRIM(C422),FIND(" ",TRIM(C422)&amp;" ")-1),",","."),FIND("/",SUBSTITUTE(LEFT(TRIM(C422),FIND(" ",TRIM(C422)&amp;" ")-1),",","."))+1,9))*12,NA()))),0),60)*'Aturan &amp; Tarif'!$B$4,2)</f>
        <v>3406.8</v>
      </c>
      <c r="K422" s="32" t="n">
        <f aca="false">'Aturan &amp; Tarif'!$B$5</f>
        <v>2050</v>
      </c>
      <c r="L422" s="35" t="n">
        <f aca="false">I422+J422+K422</f>
        <v>9556.8</v>
      </c>
      <c r="M422" s="37" t="s">
        <v>1658</v>
      </c>
    </row>
    <row r="423" customFormat="false" ht="37.5" hidden="false" customHeight="true" outlineLevel="0" collapsed="false">
      <c r="A423" s="29"/>
      <c r="B423" s="30" t="s">
        <v>1656</v>
      </c>
      <c r="C423" s="31" t="s">
        <v>191</v>
      </c>
      <c r="D423" s="31" t="s">
        <v>108</v>
      </c>
      <c r="E423" s="32" t="n">
        <v>3800</v>
      </c>
      <c r="F423" s="32"/>
      <c r="G423" s="32" t="n">
        <v>300</v>
      </c>
      <c r="H423" s="33" t="n">
        <v>1</v>
      </c>
      <c r="I423" s="34" t="n">
        <f aca="false">E423*H423+N(F423)+N(G423)</f>
        <v>4100</v>
      </c>
      <c r="J423" s="32" t="n">
        <f aca="false">ROUND(IFERROR(ROUND(IF(OR(ISNUMBER(SEARCH("week",C423)),ISNUMBER(SEARCH("minggu",C423))),IFERROR(_xlfn.NUMBERVALUE(SUBSTITUTE(LEFT(TRIM(C423),FIND(" ",TRIM(C423)&amp;" ")-1),",","."),"."),LEFT(SUBSTITUTE(LEFT(TRIM(C423),FIND(" ",TRIM(C423)&amp;" ")-1),",","."),FIND("/",SUBSTITUTE(LEFT(TRIM(C423),FIND(" ",TRIM(C423)&amp;" ")-1),",","."))-1)/MID(SUBSTITUTE(LEFT(TRIM(C423),FIND(" ",TRIM(C423)&amp;" ")-1),",","."),FIND("/",SUBSTITUTE(LEFT(TRIM(C423),FIND(" ",TRIM(C423)&amp;" ")-1),",","."))+1,9))*12/52,IF(ISNUMBER(SEARCH("month",C423)),IFERROR(_xlfn.NUMBERVALUE(SUBSTITUTE(LEFT(TRIM(C423),FIND(" ",TRIM(C423)&amp;" ")-1),",","."),"."),LEFT(SUBSTITUTE(LEFT(TRIM(C423),FIND(" ",TRIM(C423)&amp;" ")-1),",","."),FIND("/",SUBSTITUTE(LEFT(TRIM(C423),FIND(" ",TRIM(C423)&amp;" ")-1),",","."))-1)/MID(SUBSTITUTE(LEFT(TRIM(C423),FIND(" ",TRIM(C423)&amp;" ")-1),",","."),FIND("/",SUBSTITUTE(LEFT(TRIM(C423),FIND(" ",TRIM(C423)&amp;" ")-1),",","."))+1,9)),IF(ISNUMBER(SEARCH("yea",C423)),IFERROR(_xlfn.NUMBERVALUE(SUBSTITUTE(LEFT(TRIM(C423),FIND(" ",TRIM(C423)&amp;" ")-1),",","."),"."),LEFT(SUBSTITUTE(LEFT(TRIM(C423),FIND(" ",TRIM(C423)&amp;" ")-1),",","."),FIND("/",SUBSTITUTE(LEFT(TRIM(C423),FIND(" ",TRIM(C423)&amp;" ")-1),",","."))-1)/MID(SUBSTITUTE(LEFT(TRIM(C423),FIND(" ",TRIM(C423)&amp;" ")-1),",","."),FIND("/",SUBSTITUTE(LEFT(TRIM(C423),FIND(" ",TRIM(C423)&amp;" ")-1),",","."))+1,9))*12,NA()))),0),48)*'Aturan &amp; Tarif'!$B$4,2)</f>
        <v>2725.44</v>
      </c>
      <c r="K423" s="32" t="n">
        <f aca="false">'Aturan &amp; Tarif'!$B$5</f>
        <v>2050</v>
      </c>
      <c r="L423" s="35" t="n">
        <f aca="false">I423+J423+K423</f>
        <v>8875.44</v>
      </c>
      <c r="M423" s="37" t="s">
        <v>1653</v>
      </c>
    </row>
    <row r="424" customFormat="false" ht="25.5" hidden="false" customHeight="true" outlineLevel="0" collapsed="false">
      <c r="A424" s="29"/>
      <c r="B424" s="30" t="s">
        <v>1659</v>
      </c>
      <c r="C424" s="31" t="s">
        <v>245</v>
      </c>
      <c r="D424" s="31" t="s">
        <v>108</v>
      </c>
      <c r="E424" s="32" t="n">
        <v>3800</v>
      </c>
      <c r="F424" s="32"/>
      <c r="G424" s="32" t="n">
        <v>300</v>
      </c>
      <c r="H424" s="33" t="n">
        <v>1</v>
      </c>
      <c r="I424" s="34" t="n">
        <f aca="false">E424*H424+N(F424)+N(G424)</f>
        <v>4100</v>
      </c>
      <c r="J424" s="32" t="n">
        <f aca="false">ROUND(IFERROR(ROUND(IF(OR(ISNUMBER(SEARCH("week",C424)),ISNUMBER(SEARCH("minggu",C424))),IFERROR(_xlfn.NUMBERVALUE(SUBSTITUTE(LEFT(TRIM(C424),FIND(" ",TRIM(C424)&amp;" ")-1),",","."),"."),LEFT(SUBSTITUTE(LEFT(TRIM(C424),FIND(" ",TRIM(C424)&amp;" ")-1),",","."),FIND("/",SUBSTITUTE(LEFT(TRIM(C424),FIND(" ",TRIM(C424)&amp;" ")-1),",","."))-1)/MID(SUBSTITUTE(LEFT(TRIM(C424),FIND(" ",TRIM(C424)&amp;" ")-1),",","."),FIND("/",SUBSTITUTE(LEFT(TRIM(C424),FIND(" ",TRIM(C424)&amp;" ")-1),",","."))+1,9))*12/52,IF(ISNUMBER(SEARCH("month",C424)),IFERROR(_xlfn.NUMBERVALUE(SUBSTITUTE(LEFT(TRIM(C424),FIND(" ",TRIM(C424)&amp;" ")-1),",","."),"."),LEFT(SUBSTITUTE(LEFT(TRIM(C424),FIND(" ",TRIM(C424)&amp;" ")-1),",","."),FIND("/",SUBSTITUTE(LEFT(TRIM(C424),FIND(" ",TRIM(C424)&amp;" ")-1),",","."))-1)/MID(SUBSTITUTE(LEFT(TRIM(C424),FIND(" ",TRIM(C424)&amp;" ")-1),",","."),FIND("/",SUBSTITUTE(LEFT(TRIM(C424),FIND(" ",TRIM(C424)&amp;" ")-1),",","."))+1,9)),IF(ISNUMBER(SEARCH("yea",C424)),IFERROR(_xlfn.NUMBERVALUE(SUBSTITUTE(LEFT(TRIM(C424),FIND(" ",TRIM(C424)&amp;" ")-1),",","."),"."),LEFT(SUBSTITUTE(LEFT(TRIM(C424),FIND(" ",TRIM(C424)&amp;" ")-1),",","."),FIND("/",SUBSTITUTE(LEFT(TRIM(C424),FIND(" ",TRIM(C424)&amp;" ")-1),",","."))-1)/MID(SUBSTITUTE(LEFT(TRIM(C424),FIND(" ",TRIM(C424)&amp;" ")-1),",","."),FIND("/",SUBSTITUTE(LEFT(TRIM(C424),FIND(" ",TRIM(C424)&amp;" ")-1),",","."))+1,9))*12,NA()))),0),60)*'Aturan &amp; Tarif'!$B$4,2)</f>
        <v>3406.8</v>
      </c>
      <c r="K424" s="32" t="n">
        <f aca="false">'Aturan &amp; Tarif'!$B$5</f>
        <v>2050</v>
      </c>
      <c r="L424" s="35" t="n">
        <f aca="false">I424+J424+K424</f>
        <v>9556.8</v>
      </c>
      <c r="M424" s="37" t="s">
        <v>1658</v>
      </c>
    </row>
    <row r="425" customFormat="false" ht="25.5" hidden="false" customHeight="true" outlineLevel="0" collapsed="false">
      <c r="A425" s="29"/>
      <c r="B425" s="30" t="s">
        <v>2330</v>
      </c>
      <c r="C425" s="31" t="s">
        <v>191</v>
      </c>
      <c r="D425" s="31" t="s">
        <v>108</v>
      </c>
      <c r="E425" s="32" t="n">
        <v>1800</v>
      </c>
      <c r="F425" s="32" t="n">
        <v>250</v>
      </c>
      <c r="G425" s="32" t="n">
        <v>300</v>
      </c>
      <c r="H425" s="33" t="n">
        <v>1</v>
      </c>
      <c r="I425" s="34" t="n">
        <f aca="false">E425*H425+N(F425)+N(G425)</f>
        <v>2350</v>
      </c>
      <c r="J425" s="32" t="n">
        <f aca="false">ROUND(IFERROR(ROUND(IF(OR(ISNUMBER(SEARCH("week",C425)),ISNUMBER(SEARCH("minggu",C425))),IFERROR(_xlfn.NUMBERVALUE(SUBSTITUTE(LEFT(TRIM(C425),FIND(" ",TRIM(C425)&amp;" ")-1),",","."),"."),LEFT(SUBSTITUTE(LEFT(TRIM(C425),FIND(" ",TRIM(C425)&amp;" ")-1),",","."),FIND("/",SUBSTITUTE(LEFT(TRIM(C425),FIND(" ",TRIM(C425)&amp;" ")-1),",","."))-1)/MID(SUBSTITUTE(LEFT(TRIM(C425),FIND(" ",TRIM(C425)&amp;" ")-1),",","."),FIND("/",SUBSTITUTE(LEFT(TRIM(C425),FIND(" ",TRIM(C425)&amp;" ")-1),",","."))+1,9))*12/52,IF(ISNUMBER(SEARCH("month",C425)),IFERROR(_xlfn.NUMBERVALUE(SUBSTITUTE(LEFT(TRIM(C425),FIND(" ",TRIM(C425)&amp;" ")-1),",","."),"."),LEFT(SUBSTITUTE(LEFT(TRIM(C425),FIND(" ",TRIM(C425)&amp;" ")-1),",","."),FIND("/",SUBSTITUTE(LEFT(TRIM(C425),FIND(" ",TRIM(C425)&amp;" ")-1),",","."))-1)/MID(SUBSTITUTE(LEFT(TRIM(C425),FIND(" ",TRIM(C425)&amp;" ")-1),",","."),FIND("/",SUBSTITUTE(LEFT(TRIM(C425),FIND(" ",TRIM(C425)&amp;" ")-1),",","."))+1,9)),IF(ISNUMBER(SEARCH("yea",C425)),IFERROR(_xlfn.NUMBERVALUE(SUBSTITUTE(LEFT(TRIM(C425),FIND(" ",TRIM(C425)&amp;" ")-1),",","."),"."),LEFT(SUBSTITUTE(LEFT(TRIM(C425),FIND(" ",TRIM(C425)&amp;" ")-1),",","."),FIND("/",SUBSTITUTE(LEFT(TRIM(C425),FIND(" ",TRIM(C425)&amp;" ")-1),",","."))-1)/MID(SUBSTITUTE(LEFT(TRIM(C425),FIND(" ",TRIM(C425)&amp;" ")-1),",","."),FIND("/",SUBSTITUTE(LEFT(TRIM(C425),FIND(" ",TRIM(C425)&amp;" ")-1),",","."))+1,9))*12,NA()))),0),48)*'Aturan &amp; Tarif'!$B$4,2)</f>
        <v>2725.44</v>
      </c>
      <c r="K425" s="32" t="n">
        <f aca="false">'Aturan &amp; Tarif'!$B$5</f>
        <v>2050</v>
      </c>
      <c r="L425" s="35" t="n">
        <f aca="false">I425+J425+K425</f>
        <v>7125.44</v>
      </c>
      <c r="M425" s="37" t="s">
        <v>134</v>
      </c>
    </row>
    <row r="426" customFormat="false" ht="14.25" hidden="false" customHeight="true" outlineLevel="0" collapsed="false">
      <c r="A426" s="29"/>
      <c r="B426" s="30" t="s">
        <v>2331</v>
      </c>
      <c r="C426" s="31" t="s">
        <v>191</v>
      </c>
      <c r="D426" s="31" t="s">
        <v>108</v>
      </c>
      <c r="E426" s="32" t="n">
        <v>1800</v>
      </c>
      <c r="F426" s="32" t="n">
        <v>250</v>
      </c>
      <c r="G426" s="32" t="n">
        <v>300</v>
      </c>
      <c r="H426" s="33" t="n">
        <v>1</v>
      </c>
      <c r="I426" s="34" t="n">
        <f aca="false">E426*H426+N(F426)+N(G426)</f>
        <v>2350</v>
      </c>
      <c r="J426" s="32" t="n">
        <f aca="false">ROUND(IFERROR(ROUND(IF(OR(ISNUMBER(SEARCH("week",C426)),ISNUMBER(SEARCH("minggu",C426))),IFERROR(_xlfn.NUMBERVALUE(SUBSTITUTE(LEFT(TRIM(C426),FIND(" ",TRIM(C426)&amp;" ")-1),",","."),"."),LEFT(SUBSTITUTE(LEFT(TRIM(C426),FIND(" ",TRIM(C426)&amp;" ")-1),",","."),FIND("/",SUBSTITUTE(LEFT(TRIM(C426),FIND(" ",TRIM(C426)&amp;" ")-1),",","."))-1)/MID(SUBSTITUTE(LEFT(TRIM(C426),FIND(" ",TRIM(C426)&amp;" ")-1),",","."),FIND("/",SUBSTITUTE(LEFT(TRIM(C426),FIND(" ",TRIM(C426)&amp;" ")-1),",","."))+1,9))*12/52,IF(ISNUMBER(SEARCH("month",C426)),IFERROR(_xlfn.NUMBERVALUE(SUBSTITUTE(LEFT(TRIM(C426),FIND(" ",TRIM(C426)&amp;" ")-1),",","."),"."),LEFT(SUBSTITUTE(LEFT(TRIM(C426),FIND(" ",TRIM(C426)&amp;" ")-1),",","."),FIND("/",SUBSTITUTE(LEFT(TRIM(C426),FIND(" ",TRIM(C426)&amp;" ")-1),",","."))-1)/MID(SUBSTITUTE(LEFT(TRIM(C426),FIND(" ",TRIM(C426)&amp;" ")-1),",","."),FIND("/",SUBSTITUTE(LEFT(TRIM(C426),FIND(" ",TRIM(C426)&amp;" ")-1),",","."))+1,9)),IF(ISNUMBER(SEARCH("yea",C426)),IFERROR(_xlfn.NUMBERVALUE(SUBSTITUTE(LEFT(TRIM(C426),FIND(" ",TRIM(C426)&amp;" ")-1),",","."),"."),LEFT(SUBSTITUTE(LEFT(TRIM(C426),FIND(" ",TRIM(C426)&amp;" ")-1),",","."),FIND("/",SUBSTITUTE(LEFT(TRIM(C426),FIND(" ",TRIM(C426)&amp;" ")-1),",","."))-1)/MID(SUBSTITUTE(LEFT(TRIM(C426),FIND(" ",TRIM(C426)&amp;" ")-1),",","."),FIND("/",SUBSTITUTE(LEFT(TRIM(C426),FIND(" ",TRIM(C426)&amp;" ")-1),",","."))+1,9))*12,NA()))),0),48)*'Aturan &amp; Tarif'!$B$4,2)</f>
        <v>2725.44</v>
      </c>
      <c r="K426" s="32" t="n">
        <f aca="false">'Aturan &amp; Tarif'!$B$5</f>
        <v>2050</v>
      </c>
      <c r="L426" s="35" t="n">
        <f aca="false">I426+J426+K426</f>
        <v>7125.44</v>
      </c>
      <c r="M426" s="37" t="s">
        <v>134</v>
      </c>
    </row>
    <row r="427" customFormat="false" ht="25.5" hidden="false" customHeight="true" outlineLevel="0" collapsed="false">
      <c r="A427" s="29"/>
      <c r="B427" s="30" t="s">
        <v>2943</v>
      </c>
      <c r="C427" s="31" t="s">
        <v>344</v>
      </c>
      <c r="D427" s="31" t="s">
        <v>108</v>
      </c>
      <c r="E427" s="32" t="n">
        <v>3500</v>
      </c>
      <c r="F427" s="32"/>
      <c r="G427" s="32" t="n">
        <v>300</v>
      </c>
      <c r="H427" s="33" t="n">
        <v>1</v>
      </c>
      <c r="I427" s="34" t="n">
        <f aca="false">E427*H427+N(F427)+N(G427)</f>
        <v>3800</v>
      </c>
      <c r="J427" s="32" t="n">
        <f aca="false">ROUND(IFERROR(ROUND(IF(OR(ISNUMBER(SEARCH("week",C427)),ISNUMBER(SEARCH("minggu",C427))),IFERROR(_xlfn.NUMBERVALUE(SUBSTITUTE(LEFT(TRIM(C427),FIND(" ",TRIM(C427)&amp;" ")-1),",","."),"."),LEFT(SUBSTITUTE(LEFT(TRIM(C427),FIND(" ",TRIM(C427)&amp;" ")-1),",","."),FIND("/",SUBSTITUTE(LEFT(TRIM(C427),FIND(" ",TRIM(C427)&amp;" ")-1),",","."))-1)/MID(SUBSTITUTE(LEFT(TRIM(C427),FIND(" ",TRIM(C427)&amp;" ")-1),",","."),FIND("/",SUBSTITUTE(LEFT(TRIM(C427),FIND(" ",TRIM(C427)&amp;" ")-1),",","."))+1,9))*12/52,IF(ISNUMBER(SEARCH("month",C427)),IFERROR(_xlfn.NUMBERVALUE(SUBSTITUTE(LEFT(TRIM(C427),FIND(" ",TRIM(C427)&amp;" ")-1),",","."),"."),LEFT(SUBSTITUTE(LEFT(TRIM(C427),FIND(" ",TRIM(C427)&amp;" ")-1),",","."),FIND("/",SUBSTITUTE(LEFT(TRIM(C427),FIND(" ",TRIM(C427)&amp;" ")-1),",","."))-1)/MID(SUBSTITUTE(LEFT(TRIM(C427),FIND(" ",TRIM(C427)&amp;" ")-1),",","."),FIND("/",SUBSTITUTE(LEFT(TRIM(C427),FIND(" ",TRIM(C427)&amp;" ")-1),",","."))+1,9)),IF(ISNUMBER(SEARCH("yea",C427)),IFERROR(_xlfn.NUMBERVALUE(SUBSTITUTE(LEFT(TRIM(C427),FIND(" ",TRIM(C427)&amp;" ")-1),",","."),"."),LEFT(SUBSTITUTE(LEFT(TRIM(C427),FIND(" ",TRIM(C427)&amp;" ")-1),",","."),FIND("/",SUBSTITUTE(LEFT(TRIM(C427),FIND(" ",TRIM(C427)&amp;" ")-1),",","."))-1)/MID(SUBSTITUTE(LEFT(TRIM(C427),FIND(" ",TRIM(C427)&amp;" ")-1),",","."),FIND("/",SUBSTITUTE(LEFT(TRIM(C427),FIND(" ",TRIM(C427)&amp;" ")-1),",","."))+1,9))*12,NA()))),0),6)*'Aturan &amp; Tarif'!$B$4,2)</f>
        <v>340.68</v>
      </c>
      <c r="K427" s="32" t="n">
        <f aca="false">'Aturan &amp; Tarif'!$B$5</f>
        <v>2050</v>
      </c>
      <c r="L427" s="35" t="n">
        <f aca="false">I427+J427+K427</f>
        <v>6190.68</v>
      </c>
      <c r="M427" s="37" t="s">
        <v>1653</v>
      </c>
    </row>
    <row r="428" customFormat="false" ht="37.5" hidden="false" customHeight="true" outlineLevel="0" collapsed="false">
      <c r="A428" s="29"/>
      <c r="B428" s="30" t="s">
        <v>2332</v>
      </c>
      <c r="C428" s="31" t="s">
        <v>107</v>
      </c>
      <c r="D428" s="31" t="s">
        <v>108</v>
      </c>
      <c r="E428" s="32" t="n">
        <v>2800</v>
      </c>
      <c r="F428" s="32" t="n">
        <v>1000</v>
      </c>
      <c r="G428" s="32" t="n">
        <v>300</v>
      </c>
      <c r="H428" s="33" t="n">
        <v>1</v>
      </c>
      <c r="I428" s="34" t="n">
        <f aca="false">E428*H428+N(F428)+N(G428)</f>
        <v>4100</v>
      </c>
      <c r="J428" s="32" t="n">
        <f aca="false">ROUND(IFERROR(ROUND(IF(OR(ISNUMBER(SEARCH("week",C428)),ISNUMBER(SEARCH("minggu",C428))),IFERROR(_xlfn.NUMBERVALUE(SUBSTITUTE(LEFT(TRIM(C428),FIND(" ",TRIM(C428)&amp;" ")-1),",","."),"."),LEFT(SUBSTITUTE(LEFT(TRIM(C428),FIND(" ",TRIM(C428)&amp;" ")-1),",","."),FIND("/",SUBSTITUTE(LEFT(TRIM(C428),FIND(" ",TRIM(C428)&amp;" ")-1),",","."))-1)/MID(SUBSTITUTE(LEFT(TRIM(C428),FIND(" ",TRIM(C428)&amp;" ")-1),",","."),FIND("/",SUBSTITUTE(LEFT(TRIM(C428),FIND(" ",TRIM(C428)&amp;" ")-1),",","."))+1,9))*12/52,IF(ISNUMBER(SEARCH("month",C428)),IFERROR(_xlfn.NUMBERVALUE(SUBSTITUTE(LEFT(TRIM(C428),FIND(" ",TRIM(C428)&amp;" ")-1),",","."),"."),LEFT(SUBSTITUTE(LEFT(TRIM(C428),FIND(" ",TRIM(C428)&amp;" ")-1),",","."),FIND("/",SUBSTITUTE(LEFT(TRIM(C428),FIND(" ",TRIM(C428)&amp;" ")-1),",","."))-1)/MID(SUBSTITUTE(LEFT(TRIM(C428),FIND(" ",TRIM(C428)&amp;" ")-1),",","."),FIND("/",SUBSTITUTE(LEFT(TRIM(C428),FIND(" ",TRIM(C428)&amp;" ")-1),",","."))+1,9)),IF(ISNUMBER(SEARCH("yea",C428)),IFERROR(_xlfn.NUMBERVALUE(SUBSTITUTE(LEFT(TRIM(C428),FIND(" ",TRIM(C428)&amp;" ")-1),",","."),"."),LEFT(SUBSTITUTE(LEFT(TRIM(C428),FIND(" ",TRIM(C428)&amp;" ")-1),",","."),FIND("/",SUBSTITUTE(LEFT(TRIM(C428),FIND(" ",TRIM(C428)&amp;" ")-1),",","."))-1)/MID(SUBSTITUTE(LEFT(TRIM(C428),FIND(" ",TRIM(C428)&amp;" ")-1),",","."),FIND("/",SUBSTITUTE(LEFT(TRIM(C428),FIND(" ",TRIM(C428)&amp;" ")-1),",","."))+1,9))*12,NA()))),0),24)*'Aturan &amp; Tarif'!$B$4,2)</f>
        <v>1362.72</v>
      </c>
      <c r="K428" s="32" t="n">
        <f aca="false">'Aturan &amp; Tarif'!$B$5</f>
        <v>2050</v>
      </c>
      <c r="L428" s="35" t="n">
        <f aca="false">I428+J428+K428</f>
        <v>7512.72</v>
      </c>
      <c r="M428" s="36" t="s">
        <v>131</v>
      </c>
    </row>
    <row r="429" customFormat="false" ht="37.5" hidden="false" customHeight="true" outlineLevel="0" collapsed="false">
      <c r="A429" s="39" t="s">
        <v>2944</v>
      </c>
      <c r="B429" s="40" t="s">
        <v>2798</v>
      </c>
      <c r="C429" s="41" t="s">
        <v>138</v>
      </c>
      <c r="D429" s="41" t="s">
        <v>108</v>
      </c>
      <c r="E429" s="42" t="n">
        <v>2400</v>
      </c>
      <c r="F429" s="42" t="n">
        <v>1350</v>
      </c>
      <c r="G429" s="42" t="n">
        <v>250</v>
      </c>
      <c r="H429" s="43" t="n">
        <v>1</v>
      </c>
      <c r="I429" s="34" t="n">
        <f aca="false">E429*H429+N(F429)+N(G429)</f>
        <v>4000</v>
      </c>
      <c r="J429" s="42" t="n">
        <f aca="false">ROUND(IFERROR(ROUND(IF(OR(ISNUMBER(SEARCH("week",C429)),ISNUMBER(SEARCH("minggu",C429))),IFERROR(_xlfn.NUMBERVALUE(SUBSTITUTE(LEFT(TRIM(C429),FIND(" ",TRIM(C429)&amp;" ")-1),",","."),"."),LEFT(SUBSTITUTE(LEFT(TRIM(C429),FIND(" ",TRIM(C429)&amp;" ")-1),",","."),FIND("/",SUBSTITUTE(LEFT(TRIM(C429),FIND(" ",TRIM(C429)&amp;" ")-1),",","."))-1)/MID(SUBSTITUTE(LEFT(TRIM(C429),FIND(" ",TRIM(C429)&amp;" ")-1),",","."),FIND("/",SUBSTITUTE(LEFT(TRIM(C429),FIND(" ",TRIM(C429)&amp;" ")-1),",","."))+1,9))*12/52,IF(ISNUMBER(SEARCH("month",C429)),IFERROR(_xlfn.NUMBERVALUE(SUBSTITUTE(LEFT(TRIM(C429),FIND(" ",TRIM(C429)&amp;" ")-1),",","."),"."),LEFT(SUBSTITUTE(LEFT(TRIM(C429),FIND(" ",TRIM(C429)&amp;" ")-1),",","."),FIND("/",SUBSTITUTE(LEFT(TRIM(C429),FIND(" ",TRIM(C429)&amp;" ")-1),",","."))-1)/MID(SUBSTITUTE(LEFT(TRIM(C429),FIND(" ",TRIM(C429)&amp;" ")-1),",","."),FIND("/",SUBSTITUTE(LEFT(TRIM(C429),FIND(" ",TRIM(C429)&amp;" ")-1),",","."))+1,9)),IF(ISNUMBER(SEARCH("yea",C429)),IFERROR(_xlfn.NUMBERVALUE(SUBSTITUTE(LEFT(TRIM(C429),FIND(" ",TRIM(C429)&amp;" ")-1),",","."),"."),LEFT(SUBSTITUTE(LEFT(TRIM(C429),FIND(" ",TRIM(C429)&amp;" ")-1),",","."),FIND("/",SUBSTITUTE(LEFT(TRIM(C429),FIND(" ",TRIM(C429)&amp;" ")-1),",","."))-1)/MID(SUBSTITUTE(LEFT(TRIM(C429),FIND(" ",TRIM(C429)&amp;" ")-1),",","."),FIND("/",SUBSTITUTE(LEFT(TRIM(C429),FIND(" ",TRIM(C429)&amp;" ")-1),",","."))+1,9))*12,NA()))),0),30)*'Aturan &amp; Tarif'!$B$4,2)</f>
        <v>1703.4</v>
      </c>
      <c r="K429" s="42" t="n">
        <f aca="false">'Aturan &amp; Tarif'!$B$5</f>
        <v>2050</v>
      </c>
      <c r="L429" s="35" t="n">
        <f aca="false">I429+J429+K429</f>
        <v>7753.4</v>
      </c>
      <c r="M429" s="45" t="s">
        <v>134</v>
      </c>
    </row>
    <row r="430" customFormat="false" ht="25.5" hidden="false" customHeight="true" outlineLevel="0" collapsed="false">
      <c r="A430" s="39"/>
      <c r="B430" s="40" t="s">
        <v>2945</v>
      </c>
      <c r="C430" s="41" t="s">
        <v>113</v>
      </c>
      <c r="D430" s="41" t="s">
        <v>108</v>
      </c>
      <c r="E430" s="42" t="n">
        <v>2375</v>
      </c>
      <c r="F430" s="42" t="n">
        <v>1250</v>
      </c>
      <c r="G430" s="42" t="n">
        <v>250</v>
      </c>
      <c r="H430" s="43" t="n">
        <v>1</v>
      </c>
      <c r="I430" s="34" t="n">
        <f aca="false">E430*H430+N(F430)+N(G430)</f>
        <v>3875</v>
      </c>
      <c r="J430" s="42" t="n">
        <f aca="false">ROUND(IFERROR(ROUND(IF(OR(ISNUMBER(SEARCH("week",C430)),ISNUMBER(SEARCH("minggu",C430))),IFERROR(_xlfn.NUMBERVALUE(SUBSTITUTE(LEFT(TRIM(C430),FIND(" ",TRIM(C430)&amp;" ")-1),",","."),"."),LEFT(SUBSTITUTE(LEFT(TRIM(C430),FIND(" ",TRIM(C430)&amp;" ")-1),",","."),FIND("/",SUBSTITUTE(LEFT(TRIM(C430),FIND(" ",TRIM(C430)&amp;" ")-1),",","."))-1)/MID(SUBSTITUTE(LEFT(TRIM(C430),FIND(" ",TRIM(C430)&amp;" ")-1),",","."),FIND("/",SUBSTITUTE(LEFT(TRIM(C430),FIND(" ",TRIM(C430)&amp;" ")-1),",","."))+1,9))*12/52,IF(ISNUMBER(SEARCH("month",C430)),IFERROR(_xlfn.NUMBERVALUE(SUBSTITUTE(LEFT(TRIM(C430),FIND(" ",TRIM(C430)&amp;" ")-1),",","."),"."),LEFT(SUBSTITUTE(LEFT(TRIM(C430),FIND(" ",TRIM(C430)&amp;" ")-1),",","."),FIND("/",SUBSTITUTE(LEFT(TRIM(C430),FIND(" ",TRIM(C430)&amp;" ")-1),",","."))-1)/MID(SUBSTITUTE(LEFT(TRIM(C430),FIND(" ",TRIM(C430)&amp;" ")-1),",","."),FIND("/",SUBSTITUTE(LEFT(TRIM(C430),FIND(" ",TRIM(C430)&amp;" ")-1),",","."))+1,9)),IF(ISNUMBER(SEARCH("yea",C430)),IFERROR(_xlfn.NUMBERVALUE(SUBSTITUTE(LEFT(TRIM(C430),FIND(" ",TRIM(C430)&amp;" ")-1),",","."),"."),LEFT(SUBSTITUTE(LEFT(TRIM(C430),FIND(" ",TRIM(C430)&amp;" ")-1),",","."),FIND("/",SUBSTITUTE(LEFT(TRIM(C430),FIND(" ",TRIM(C430)&amp;" ")-1),",","."))-1)/MID(SUBSTITUTE(LEFT(TRIM(C430),FIND(" ",TRIM(C430)&amp;" ")-1),",","."),FIND("/",SUBSTITUTE(LEFT(TRIM(C430),FIND(" ",TRIM(C430)&amp;" ")-1),",","."))+1,9))*12,NA()))),0),18)*'Aturan &amp; Tarif'!$B$4,2)</f>
        <v>1022.04</v>
      </c>
      <c r="K430" s="42" t="n">
        <f aca="false">'Aturan &amp; Tarif'!$B$5</f>
        <v>2050</v>
      </c>
      <c r="L430" s="35" t="n">
        <f aca="false">I430+J430+K430</f>
        <v>6947.04</v>
      </c>
      <c r="M430" s="45" t="s">
        <v>134</v>
      </c>
    </row>
    <row r="431" customFormat="false" ht="25.5" hidden="false" customHeight="true" outlineLevel="0" collapsed="false">
      <c r="A431" s="39"/>
      <c r="B431" s="40" t="s">
        <v>2359</v>
      </c>
      <c r="C431" s="41" t="s">
        <v>107</v>
      </c>
      <c r="D431" s="41" t="s">
        <v>108</v>
      </c>
      <c r="E431" s="42" t="n">
        <v>2000</v>
      </c>
      <c r="F431" s="42" t="n">
        <v>500</v>
      </c>
      <c r="G431" s="42" t="n">
        <v>250</v>
      </c>
      <c r="H431" s="43" t="n">
        <v>1</v>
      </c>
      <c r="I431" s="34" t="n">
        <f aca="false">E431*H431+N(F431)+N(G431)</f>
        <v>2750</v>
      </c>
      <c r="J431" s="42" t="n">
        <f aca="false">ROUND(IFERROR(ROUND(IF(OR(ISNUMBER(SEARCH("week",C431)),ISNUMBER(SEARCH("minggu",C431))),IFERROR(_xlfn.NUMBERVALUE(SUBSTITUTE(LEFT(TRIM(C431),FIND(" ",TRIM(C431)&amp;" ")-1),",","."),"."),LEFT(SUBSTITUTE(LEFT(TRIM(C431),FIND(" ",TRIM(C431)&amp;" ")-1),",","."),FIND("/",SUBSTITUTE(LEFT(TRIM(C431),FIND(" ",TRIM(C431)&amp;" ")-1),",","."))-1)/MID(SUBSTITUTE(LEFT(TRIM(C431),FIND(" ",TRIM(C431)&amp;" ")-1),",","."),FIND("/",SUBSTITUTE(LEFT(TRIM(C431),FIND(" ",TRIM(C431)&amp;" ")-1),",","."))+1,9))*12/52,IF(ISNUMBER(SEARCH("month",C431)),IFERROR(_xlfn.NUMBERVALUE(SUBSTITUTE(LEFT(TRIM(C431),FIND(" ",TRIM(C431)&amp;" ")-1),",","."),"."),LEFT(SUBSTITUTE(LEFT(TRIM(C431),FIND(" ",TRIM(C431)&amp;" ")-1),",","."),FIND("/",SUBSTITUTE(LEFT(TRIM(C431),FIND(" ",TRIM(C431)&amp;" ")-1),",","."))-1)/MID(SUBSTITUTE(LEFT(TRIM(C431),FIND(" ",TRIM(C431)&amp;" ")-1),",","."),FIND("/",SUBSTITUTE(LEFT(TRIM(C431),FIND(" ",TRIM(C431)&amp;" ")-1),",","."))+1,9)),IF(ISNUMBER(SEARCH("yea",C431)),IFERROR(_xlfn.NUMBERVALUE(SUBSTITUTE(LEFT(TRIM(C431),FIND(" ",TRIM(C431)&amp;" ")-1),",","."),"."),LEFT(SUBSTITUTE(LEFT(TRIM(C431),FIND(" ",TRIM(C431)&amp;" ")-1),",","."),FIND("/",SUBSTITUTE(LEFT(TRIM(C431),FIND(" ",TRIM(C431)&amp;" ")-1),",","."))-1)/MID(SUBSTITUTE(LEFT(TRIM(C431),FIND(" ",TRIM(C431)&amp;" ")-1),",","."),FIND("/",SUBSTITUTE(LEFT(TRIM(C431),FIND(" ",TRIM(C431)&amp;" ")-1),",","."))+1,9))*12,NA()))),0),24)*'Aturan &amp; Tarif'!$B$4,2)</f>
        <v>1362.72</v>
      </c>
      <c r="K431" s="42" t="n">
        <f aca="false">'Aturan &amp; Tarif'!$B$5</f>
        <v>2050</v>
      </c>
      <c r="L431" s="35" t="n">
        <f aca="false">I431+J431+K431</f>
        <v>6162.72</v>
      </c>
      <c r="M431" s="45" t="s">
        <v>134</v>
      </c>
    </row>
    <row r="432" customFormat="false" ht="14.25" hidden="false" customHeight="true" outlineLevel="0" collapsed="false">
      <c r="A432" s="39"/>
      <c r="B432" s="40" t="s">
        <v>2947</v>
      </c>
      <c r="C432" s="41" t="s">
        <v>127</v>
      </c>
      <c r="D432" s="41" t="s">
        <v>108</v>
      </c>
      <c r="E432" s="42" t="n">
        <v>1300</v>
      </c>
      <c r="F432" s="42" t="n">
        <v>250</v>
      </c>
      <c r="G432" s="42" t="n">
        <v>250</v>
      </c>
      <c r="H432" s="43" t="n">
        <v>1</v>
      </c>
      <c r="I432" s="34" t="n">
        <f aca="false">E432*H432+N(F432)+N(G432)</f>
        <v>1800</v>
      </c>
      <c r="J432" s="42" t="n">
        <f aca="false">ROUND(IFERROR(ROUND(IF(OR(ISNUMBER(SEARCH("week",C432)),ISNUMBER(SEARCH("minggu",C432))),IFERROR(_xlfn.NUMBERVALUE(SUBSTITUTE(LEFT(TRIM(C432),FIND(" ",TRIM(C432)&amp;" ")-1),",","."),"."),LEFT(SUBSTITUTE(LEFT(TRIM(C432),FIND(" ",TRIM(C432)&amp;" ")-1),",","."),FIND("/",SUBSTITUTE(LEFT(TRIM(C432),FIND(" ",TRIM(C432)&amp;" ")-1),",","."))-1)/MID(SUBSTITUTE(LEFT(TRIM(C432),FIND(" ",TRIM(C432)&amp;" ")-1),",","."),FIND("/",SUBSTITUTE(LEFT(TRIM(C432),FIND(" ",TRIM(C432)&amp;" ")-1),",","."))+1,9))*12/52,IF(ISNUMBER(SEARCH("month",C432)),IFERROR(_xlfn.NUMBERVALUE(SUBSTITUTE(LEFT(TRIM(C432),FIND(" ",TRIM(C432)&amp;" ")-1),",","."),"."),LEFT(SUBSTITUTE(LEFT(TRIM(C432),FIND(" ",TRIM(C432)&amp;" ")-1),",","."),FIND("/",SUBSTITUTE(LEFT(TRIM(C432),FIND(" ",TRIM(C432)&amp;" ")-1),",","."))-1)/MID(SUBSTITUTE(LEFT(TRIM(C432),FIND(" ",TRIM(C432)&amp;" ")-1),",","."),FIND("/",SUBSTITUTE(LEFT(TRIM(C432),FIND(" ",TRIM(C432)&amp;" ")-1),",","."))+1,9)),IF(ISNUMBER(SEARCH("yea",C432)),IFERROR(_xlfn.NUMBERVALUE(SUBSTITUTE(LEFT(TRIM(C432),FIND(" ",TRIM(C432)&amp;" ")-1),",","."),"."),LEFT(SUBSTITUTE(LEFT(TRIM(C432),FIND(" ",TRIM(C432)&amp;" ")-1),",","."),FIND("/",SUBSTITUTE(LEFT(TRIM(C432),FIND(" ",TRIM(C432)&amp;" ")-1),",","."))-1)/MID(SUBSTITUTE(LEFT(TRIM(C432),FIND(" ",TRIM(C432)&amp;" ")-1),",","."),FIND("/",SUBSTITUTE(LEFT(TRIM(C432),FIND(" ",TRIM(C432)&amp;" ")-1),",","."))+1,9))*12,NA()))),0),36)*'Aturan &amp; Tarif'!$B$4,2)</f>
        <v>2044.08</v>
      </c>
      <c r="K432" s="42" t="n">
        <f aca="false">'Aturan &amp; Tarif'!$B$5</f>
        <v>2050</v>
      </c>
      <c r="L432" s="35" t="n">
        <f aca="false">I432+J432+K432</f>
        <v>5894.08</v>
      </c>
      <c r="M432" s="45" t="s">
        <v>134</v>
      </c>
    </row>
    <row r="433" customFormat="false" ht="14.25" hidden="false" customHeight="true" outlineLevel="0" collapsed="false">
      <c r="A433" s="39"/>
      <c r="B433" s="40" t="s">
        <v>471</v>
      </c>
      <c r="C433" s="41" t="s">
        <v>130</v>
      </c>
      <c r="D433" s="41" t="s">
        <v>108</v>
      </c>
      <c r="E433" s="42" t="n">
        <v>2500</v>
      </c>
      <c r="F433" s="42" t="n">
        <v>1250</v>
      </c>
      <c r="G433" s="42" t="n">
        <v>250</v>
      </c>
      <c r="H433" s="43" t="n">
        <v>1</v>
      </c>
      <c r="I433" s="34" t="n">
        <f aca="false">E433*H433+N(F433)+N(G433)</f>
        <v>4000</v>
      </c>
      <c r="J433" s="42" t="n">
        <f aca="false">ROUND(IFERROR(ROUND(IF(OR(ISNUMBER(SEARCH("week",C433)),ISNUMBER(SEARCH("minggu",C433))),IFERROR(_xlfn.NUMBERVALUE(SUBSTITUTE(LEFT(TRIM(C433),FIND(" ",TRIM(C433)&amp;" ")-1),",","."),"."),LEFT(SUBSTITUTE(LEFT(TRIM(C433),FIND(" ",TRIM(C433)&amp;" ")-1),",","."),FIND("/",SUBSTITUTE(LEFT(TRIM(C433),FIND(" ",TRIM(C433)&amp;" ")-1),",","."))-1)/MID(SUBSTITUTE(LEFT(TRIM(C433),FIND(" ",TRIM(C433)&amp;" ")-1),",","."),FIND("/",SUBSTITUTE(LEFT(TRIM(C433),FIND(" ",TRIM(C433)&amp;" ")-1),",","."))+1,9))*12/52,IF(ISNUMBER(SEARCH("month",C433)),IFERROR(_xlfn.NUMBERVALUE(SUBSTITUTE(LEFT(TRIM(C433),FIND(" ",TRIM(C433)&amp;" ")-1),",","."),"."),LEFT(SUBSTITUTE(LEFT(TRIM(C433),FIND(" ",TRIM(C433)&amp;" ")-1),",","."),FIND("/",SUBSTITUTE(LEFT(TRIM(C433),FIND(" ",TRIM(C433)&amp;" ")-1),",","."))-1)/MID(SUBSTITUTE(LEFT(TRIM(C433),FIND(" ",TRIM(C433)&amp;" ")-1),",","."),FIND("/",SUBSTITUTE(LEFT(TRIM(C433),FIND(" ",TRIM(C433)&amp;" ")-1),",","."))+1,9)),IF(ISNUMBER(SEARCH("yea",C433)),IFERROR(_xlfn.NUMBERVALUE(SUBSTITUTE(LEFT(TRIM(C433),FIND(" ",TRIM(C433)&amp;" ")-1),",","."),"."),LEFT(SUBSTITUTE(LEFT(TRIM(C433),FIND(" ",TRIM(C433)&amp;" ")-1),",","."),FIND("/",SUBSTITUTE(LEFT(TRIM(C433),FIND(" ",TRIM(C433)&amp;" ")-1),",","."))-1)/MID(SUBSTITUTE(LEFT(TRIM(C433),FIND(" ",TRIM(C433)&amp;" ")-1),",","."),FIND("/",SUBSTITUTE(LEFT(TRIM(C433),FIND(" ",TRIM(C433)&amp;" ")-1),",","."))+1,9))*12,NA()))),0),12)*'Aturan &amp; Tarif'!$B$4,2)</f>
        <v>681.36</v>
      </c>
      <c r="K433" s="42" t="n">
        <f aca="false">'Aturan &amp; Tarif'!$B$5</f>
        <v>2050</v>
      </c>
      <c r="L433" s="35" t="n">
        <f aca="false">I433+J433+K433</f>
        <v>6731.36</v>
      </c>
      <c r="M433" s="45" t="s">
        <v>134</v>
      </c>
    </row>
    <row r="434" customFormat="false" ht="14.25" hidden="false" customHeight="true" outlineLevel="0" collapsed="false">
      <c r="A434" s="39"/>
      <c r="B434" s="40" t="s">
        <v>907</v>
      </c>
      <c r="C434" s="41" t="s">
        <v>130</v>
      </c>
      <c r="D434" s="41" t="s">
        <v>108</v>
      </c>
      <c r="E434" s="42" t="n">
        <v>2500</v>
      </c>
      <c r="F434" s="42" t="n">
        <v>1250</v>
      </c>
      <c r="G434" s="42" t="n">
        <v>250</v>
      </c>
      <c r="H434" s="43" t="n">
        <v>1</v>
      </c>
      <c r="I434" s="34" t="n">
        <f aca="false">E434*H434+N(F434)+N(G434)</f>
        <v>4000</v>
      </c>
      <c r="J434" s="42" t="n">
        <f aca="false">ROUND(IFERROR(ROUND(IF(OR(ISNUMBER(SEARCH("week",C434)),ISNUMBER(SEARCH("minggu",C434))),IFERROR(_xlfn.NUMBERVALUE(SUBSTITUTE(LEFT(TRIM(C434),FIND(" ",TRIM(C434)&amp;" ")-1),",","."),"."),LEFT(SUBSTITUTE(LEFT(TRIM(C434),FIND(" ",TRIM(C434)&amp;" ")-1),",","."),FIND("/",SUBSTITUTE(LEFT(TRIM(C434),FIND(" ",TRIM(C434)&amp;" ")-1),",","."))-1)/MID(SUBSTITUTE(LEFT(TRIM(C434),FIND(" ",TRIM(C434)&amp;" ")-1),",","."),FIND("/",SUBSTITUTE(LEFT(TRIM(C434),FIND(" ",TRIM(C434)&amp;" ")-1),",","."))+1,9))*12/52,IF(ISNUMBER(SEARCH("month",C434)),IFERROR(_xlfn.NUMBERVALUE(SUBSTITUTE(LEFT(TRIM(C434),FIND(" ",TRIM(C434)&amp;" ")-1),",","."),"."),LEFT(SUBSTITUTE(LEFT(TRIM(C434),FIND(" ",TRIM(C434)&amp;" ")-1),",","."),FIND("/",SUBSTITUTE(LEFT(TRIM(C434),FIND(" ",TRIM(C434)&amp;" ")-1),",","."))-1)/MID(SUBSTITUTE(LEFT(TRIM(C434),FIND(" ",TRIM(C434)&amp;" ")-1),",","."),FIND("/",SUBSTITUTE(LEFT(TRIM(C434),FIND(" ",TRIM(C434)&amp;" ")-1),",","."))+1,9)),IF(ISNUMBER(SEARCH("yea",C434)),IFERROR(_xlfn.NUMBERVALUE(SUBSTITUTE(LEFT(TRIM(C434),FIND(" ",TRIM(C434)&amp;" ")-1),",","."),"."),LEFT(SUBSTITUTE(LEFT(TRIM(C434),FIND(" ",TRIM(C434)&amp;" ")-1),",","."),FIND("/",SUBSTITUTE(LEFT(TRIM(C434),FIND(" ",TRIM(C434)&amp;" ")-1),",","."))-1)/MID(SUBSTITUTE(LEFT(TRIM(C434),FIND(" ",TRIM(C434)&amp;" ")-1),",","."),FIND("/",SUBSTITUTE(LEFT(TRIM(C434),FIND(" ",TRIM(C434)&amp;" ")-1),",","."))+1,9))*12,NA()))),0),12)*'Aturan &amp; Tarif'!$B$4,2)</f>
        <v>681.36</v>
      </c>
      <c r="K434" s="42" t="n">
        <f aca="false">'Aturan &amp; Tarif'!$B$5</f>
        <v>2050</v>
      </c>
      <c r="L434" s="35" t="n">
        <f aca="false">I434+J434+K434</f>
        <v>6731.36</v>
      </c>
      <c r="M434" s="45" t="s">
        <v>134</v>
      </c>
    </row>
    <row r="435" customFormat="false" ht="14.25" hidden="false" customHeight="true" outlineLevel="0" collapsed="false">
      <c r="A435" s="39"/>
      <c r="B435" s="40" t="s">
        <v>2948</v>
      </c>
      <c r="C435" s="41" t="s">
        <v>130</v>
      </c>
      <c r="D435" s="41" t="s">
        <v>108</v>
      </c>
      <c r="E435" s="42" t="n">
        <v>2500</v>
      </c>
      <c r="F435" s="42" t="n">
        <v>1250</v>
      </c>
      <c r="G435" s="42" t="n">
        <v>250</v>
      </c>
      <c r="H435" s="43" t="n">
        <v>1</v>
      </c>
      <c r="I435" s="34" t="n">
        <f aca="false">E435*H435+N(F435)+N(G435)</f>
        <v>4000</v>
      </c>
      <c r="J435" s="42" t="n">
        <f aca="false">ROUND(IFERROR(ROUND(IF(OR(ISNUMBER(SEARCH("week",C435)),ISNUMBER(SEARCH("minggu",C435))),IFERROR(_xlfn.NUMBERVALUE(SUBSTITUTE(LEFT(TRIM(C435),FIND(" ",TRIM(C435)&amp;" ")-1),",","."),"."),LEFT(SUBSTITUTE(LEFT(TRIM(C435),FIND(" ",TRIM(C435)&amp;" ")-1),",","."),FIND("/",SUBSTITUTE(LEFT(TRIM(C435),FIND(" ",TRIM(C435)&amp;" ")-1),",","."))-1)/MID(SUBSTITUTE(LEFT(TRIM(C435),FIND(" ",TRIM(C435)&amp;" ")-1),",","."),FIND("/",SUBSTITUTE(LEFT(TRIM(C435),FIND(" ",TRIM(C435)&amp;" ")-1),",","."))+1,9))*12/52,IF(ISNUMBER(SEARCH("month",C435)),IFERROR(_xlfn.NUMBERVALUE(SUBSTITUTE(LEFT(TRIM(C435),FIND(" ",TRIM(C435)&amp;" ")-1),",","."),"."),LEFT(SUBSTITUTE(LEFT(TRIM(C435),FIND(" ",TRIM(C435)&amp;" ")-1),",","."),FIND("/",SUBSTITUTE(LEFT(TRIM(C435),FIND(" ",TRIM(C435)&amp;" ")-1),",","."))-1)/MID(SUBSTITUTE(LEFT(TRIM(C435),FIND(" ",TRIM(C435)&amp;" ")-1),",","."),FIND("/",SUBSTITUTE(LEFT(TRIM(C435),FIND(" ",TRIM(C435)&amp;" ")-1),",","."))+1,9)),IF(ISNUMBER(SEARCH("yea",C435)),IFERROR(_xlfn.NUMBERVALUE(SUBSTITUTE(LEFT(TRIM(C435),FIND(" ",TRIM(C435)&amp;" ")-1),",","."),"."),LEFT(SUBSTITUTE(LEFT(TRIM(C435),FIND(" ",TRIM(C435)&amp;" ")-1),",","."),FIND("/",SUBSTITUTE(LEFT(TRIM(C435),FIND(" ",TRIM(C435)&amp;" ")-1),",","."))-1)/MID(SUBSTITUTE(LEFT(TRIM(C435),FIND(" ",TRIM(C435)&amp;" ")-1),",","."),FIND("/",SUBSTITUTE(LEFT(TRIM(C435),FIND(" ",TRIM(C435)&amp;" ")-1),",","."))+1,9))*12,NA()))),0),12)*'Aturan &amp; Tarif'!$B$4,2)</f>
        <v>681.36</v>
      </c>
      <c r="K435" s="42" t="n">
        <f aca="false">'Aturan &amp; Tarif'!$B$5</f>
        <v>2050</v>
      </c>
      <c r="L435" s="35" t="n">
        <f aca="false">I435+J435+K435</f>
        <v>6731.36</v>
      </c>
      <c r="M435" s="45" t="s">
        <v>134</v>
      </c>
    </row>
    <row r="436" customFormat="false" ht="37.5" hidden="false" customHeight="true" outlineLevel="0" collapsed="false">
      <c r="A436" s="39" t="s">
        <v>2949</v>
      </c>
      <c r="B436" s="40" t="s">
        <v>2950</v>
      </c>
      <c r="C436" s="41" t="s">
        <v>130</v>
      </c>
      <c r="D436" s="41" t="s">
        <v>108</v>
      </c>
      <c r="E436" s="42" t="n">
        <v>2400</v>
      </c>
      <c r="F436" s="42" t="n">
        <v>500</v>
      </c>
      <c r="G436" s="42" t="n">
        <v>250</v>
      </c>
      <c r="H436" s="43" t="n">
        <v>1</v>
      </c>
      <c r="I436" s="34" t="n">
        <f aca="false">E436*H436+N(F436)+N(G436)</f>
        <v>3150</v>
      </c>
      <c r="J436" s="42" t="n">
        <f aca="false">ROUND(IFERROR(ROUND(IF(OR(ISNUMBER(SEARCH("week",C436)),ISNUMBER(SEARCH("minggu",C436))),IFERROR(_xlfn.NUMBERVALUE(SUBSTITUTE(LEFT(TRIM(C436),FIND(" ",TRIM(C436)&amp;" ")-1),",","."),"."),LEFT(SUBSTITUTE(LEFT(TRIM(C436),FIND(" ",TRIM(C436)&amp;" ")-1),",","."),FIND("/",SUBSTITUTE(LEFT(TRIM(C436),FIND(" ",TRIM(C436)&amp;" ")-1),",","."))-1)/MID(SUBSTITUTE(LEFT(TRIM(C436),FIND(" ",TRIM(C436)&amp;" ")-1),",","."),FIND("/",SUBSTITUTE(LEFT(TRIM(C436),FIND(" ",TRIM(C436)&amp;" ")-1),",","."))+1,9))*12/52,IF(ISNUMBER(SEARCH("month",C436)),IFERROR(_xlfn.NUMBERVALUE(SUBSTITUTE(LEFT(TRIM(C436),FIND(" ",TRIM(C436)&amp;" ")-1),",","."),"."),LEFT(SUBSTITUTE(LEFT(TRIM(C436),FIND(" ",TRIM(C436)&amp;" ")-1),",","."),FIND("/",SUBSTITUTE(LEFT(TRIM(C436),FIND(" ",TRIM(C436)&amp;" ")-1),",","."))-1)/MID(SUBSTITUTE(LEFT(TRIM(C436),FIND(" ",TRIM(C436)&amp;" ")-1),",","."),FIND("/",SUBSTITUTE(LEFT(TRIM(C436),FIND(" ",TRIM(C436)&amp;" ")-1),",","."))+1,9)),IF(ISNUMBER(SEARCH("yea",C436)),IFERROR(_xlfn.NUMBERVALUE(SUBSTITUTE(LEFT(TRIM(C436),FIND(" ",TRIM(C436)&amp;" ")-1),",","."),"."),LEFT(SUBSTITUTE(LEFT(TRIM(C436),FIND(" ",TRIM(C436)&amp;" ")-1),",","."),FIND("/",SUBSTITUTE(LEFT(TRIM(C436),FIND(" ",TRIM(C436)&amp;" ")-1),",","."))-1)/MID(SUBSTITUTE(LEFT(TRIM(C436),FIND(" ",TRIM(C436)&amp;" ")-1),",","."),FIND("/",SUBSTITUTE(LEFT(TRIM(C436),FIND(" ",TRIM(C436)&amp;" ")-1),",","."))+1,9))*12,NA()))),0),12)*'Aturan &amp; Tarif'!$B$4,2)</f>
        <v>681.36</v>
      </c>
      <c r="K436" s="42" t="n">
        <f aca="false">'Aturan &amp; Tarif'!$B$5</f>
        <v>2050</v>
      </c>
      <c r="L436" s="35" t="n">
        <f aca="false">I436+J436+K436</f>
        <v>5881.36</v>
      </c>
      <c r="M436" s="45" t="s">
        <v>134</v>
      </c>
    </row>
    <row r="437" customFormat="false" ht="37.5" hidden="false" customHeight="true" outlineLevel="0" collapsed="false">
      <c r="A437" s="39"/>
      <c r="B437" s="40" t="s">
        <v>1561</v>
      </c>
      <c r="C437" s="41" t="s">
        <v>107</v>
      </c>
      <c r="D437" s="41" t="s">
        <v>108</v>
      </c>
      <c r="E437" s="42" t="n">
        <v>2100</v>
      </c>
      <c r="F437" s="42" t="n">
        <v>1800</v>
      </c>
      <c r="G437" s="42" t="n">
        <v>250</v>
      </c>
      <c r="H437" s="43" t="n">
        <v>1</v>
      </c>
      <c r="I437" s="34" t="n">
        <f aca="false">E437*H437+N(F437)+N(G437)</f>
        <v>4150</v>
      </c>
      <c r="J437" s="42" t="n">
        <f aca="false">ROUND(IFERROR(ROUND(IF(OR(ISNUMBER(SEARCH("week",C437)),ISNUMBER(SEARCH("minggu",C437))),IFERROR(_xlfn.NUMBERVALUE(SUBSTITUTE(LEFT(TRIM(C437),FIND(" ",TRIM(C437)&amp;" ")-1),",","."),"."),LEFT(SUBSTITUTE(LEFT(TRIM(C437),FIND(" ",TRIM(C437)&amp;" ")-1),",","."),FIND("/",SUBSTITUTE(LEFT(TRIM(C437),FIND(" ",TRIM(C437)&amp;" ")-1),",","."))-1)/MID(SUBSTITUTE(LEFT(TRIM(C437),FIND(" ",TRIM(C437)&amp;" ")-1),",","."),FIND("/",SUBSTITUTE(LEFT(TRIM(C437),FIND(" ",TRIM(C437)&amp;" ")-1),",","."))+1,9))*12/52,IF(ISNUMBER(SEARCH("month",C437)),IFERROR(_xlfn.NUMBERVALUE(SUBSTITUTE(LEFT(TRIM(C437),FIND(" ",TRIM(C437)&amp;" ")-1),",","."),"."),LEFT(SUBSTITUTE(LEFT(TRIM(C437),FIND(" ",TRIM(C437)&amp;" ")-1),",","."),FIND("/",SUBSTITUTE(LEFT(TRIM(C437),FIND(" ",TRIM(C437)&amp;" ")-1),",","."))-1)/MID(SUBSTITUTE(LEFT(TRIM(C437),FIND(" ",TRIM(C437)&amp;" ")-1),",","."),FIND("/",SUBSTITUTE(LEFT(TRIM(C437),FIND(" ",TRIM(C437)&amp;" ")-1),",","."))+1,9)),IF(ISNUMBER(SEARCH("yea",C437)),IFERROR(_xlfn.NUMBERVALUE(SUBSTITUTE(LEFT(TRIM(C437),FIND(" ",TRIM(C437)&amp;" ")-1),",","."),"."),LEFT(SUBSTITUTE(LEFT(TRIM(C437),FIND(" ",TRIM(C437)&amp;" ")-1),",","."),FIND("/",SUBSTITUTE(LEFT(TRIM(C437),FIND(" ",TRIM(C437)&amp;" ")-1),",","."))-1)/MID(SUBSTITUTE(LEFT(TRIM(C437),FIND(" ",TRIM(C437)&amp;" ")-1),",","."),FIND("/",SUBSTITUTE(LEFT(TRIM(C437),FIND(" ",TRIM(C437)&amp;" ")-1),",","."))+1,9))*12,NA()))),0),24)*'Aturan &amp; Tarif'!$B$4,2)</f>
        <v>1362.72</v>
      </c>
      <c r="K437" s="42" t="n">
        <f aca="false">'Aturan &amp; Tarif'!$B$5</f>
        <v>2050</v>
      </c>
      <c r="L437" s="35" t="n">
        <f aca="false">I437+J437+K437</f>
        <v>7562.72</v>
      </c>
      <c r="M437" s="45" t="s">
        <v>134</v>
      </c>
    </row>
    <row r="438" customFormat="false" ht="25.5" hidden="false" customHeight="true" outlineLevel="0" collapsed="false">
      <c r="A438" s="39"/>
      <c r="B438" s="40" t="s">
        <v>837</v>
      </c>
      <c r="C438" s="41" t="s">
        <v>107</v>
      </c>
      <c r="D438" s="41" t="s">
        <v>108</v>
      </c>
      <c r="E438" s="42" t="n">
        <v>2700</v>
      </c>
      <c r="F438" s="42" t="n">
        <v>1250</v>
      </c>
      <c r="G438" s="42" t="n">
        <v>250</v>
      </c>
      <c r="H438" s="43" t="n">
        <v>1</v>
      </c>
      <c r="I438" s="34" t="n">
        <f aca="false">E438*H438+N(F438)+N(G438)</f>
        <v>4200</v>
      </c>
      <c r="J438" s="42" t="n">
        <f aca="false">ROUND(IFERROR(ROUND(IF(OR(ISNUMBER(SEARCH("week",C438)),ISNUMBER(SEARCH("minggu",C438))),IFERROR(_xlfn.NUMBERVALUE(SUBSTITUTE(LEFT(TRIM(C438),FIND(" ",TRIM(C438)&amp;" ")-1),",","."),"."),LEFT(SUBSTITUTE(LEFT(TRIM(C438),FIND(" ",TRIM(C438)&amp;" ")-1),",","."),FIND("/",SUBSTITUTE(LEFT(TRIM(C438),FIND(" ",TRIM(C438)&amp;" ")-1),",","."))-1)/MID(SUBSTITUTE(LEFT(TRIM(C438),FIND(" ",TRIM(C438)&amp;" ")-1),",","."),FIND("/",SUBSTITUTE(LEFT(TRIM(C438),FIND(" ",TRIM(C438)&amp;" ")-1),",","."))+1,9))*12/52,IF(ISNUMBER(SEARCH("month",C438)),IFERROR(_xlfn.NUMBERVALUE(SUBSTITUTE(LEFT(TRIM(C438),FIND(" ",TRIM(C438)&amp;" ")-1),",","."),"."),LEFT(SUBSTITUTE(LEFT(TRIM(C438),FIND(" ",TRIM(C438)&amp;" ")-1),",","."),FIND("/",SUBSTITUTE(LEFT(TRIM(C438),FIND(" ",TRIM(C438)&amp;" ")-1),",","."))-1)/MID(SUBSTITUTE(LEFT(TRIM(C438),FIND(" ",TRIM(C438)&amp;" ")-1),",","."),FIND("/",SUBSTITUTE(LEFT(TRIM(C438),FIND(" ",TRIM(C438)&amp;" ")-1),",","."))+1,9)),IF(ISNUMBER(SEARCH("yea",C438)),IFERROR(_xlfn.NUMBERVALUE(SUBSTITUTE(LEFT(TRIM(C438),FIND(" ",TRIM(C438)&amp;" ")-1),",","."),"."),LEFT(SUBSTITUTE(LEFT(TRIM(C438),FIND(" ",TRIM(C438)&amp;" ")-1),",","."),FIND("/",SUBSTITUTE(LEFT(TRIM(C438),FIND(" ",TRIM(C438)&amp;" ")-1),",","."))-1)/MID(SUBSTITUTE(LEFT(TRIM(C438),FIND(" ",TRIM(C438)&amp;" ")-1),",","."),FIND("/",SUBSTITUTE(LEFT(TRIM(C438),FIND(" ",TRIM(C438)&amp;" ")-1),",","."))+1,9))*12,NA()))),0),24)*'Aturan &amp; Tarif'!$B$4,2)</f>
        <v>1362.72</v>
      </c>
      <c r="K438" s="42" t="n">
        <f aca="false">'Aturan &amp; Tarif'!$B$5</f>
        <v>2050</v>
      </c>
      <c r="L438" s="35" t="n">
        <f aca="false">I438+J438+K438</f>
        <v>7612.72</v>
      </c>
      <c r="M438" s="45" t="s">
        <v>134</v>
      </c>
    </row>
    <row r="439" customFormat="false" ht="14.25" hidden="false" customHeight="true" outlineLevel="0" collapsed="false">
      <c r="A439" s="39"/>
      <c r="B439" s="40" t="s">
        <v>1170</v>
      </c>
      <c r="C439" s="41" t="s">
        <v>107</v>
      </c>
      <c r="D439" s="41" t="s">
        <v>108</v>
      </c>
      <c r="E439" s="42" t="n">
        <v>1500</v>
      </c>
      <c r="F439" s="42" t="n">
        <v>800</v>
      </c>
      <c r="G439" s="42" t="n">
        <v>250</v>
      </c>
      <c r="H439" s="43" t="n">
        <v>1</v>
      </c>
      <c r="I439" s="34" t="n">
        <f aca="false">E439*H439+N(F439)+N(G439)</f>
        <v>2550</v>
      </c>
      <c r="J439" s="42" t="n">
        <f aca="false">ROUND(IFERROR(ROUND(IF(OR(ISNUMBER(SEARCH("week",C439)),ISNUMBER(SEARCH("minggu",C439))),IFERROR(_xlfn.NUMBERVALUE(SUBSTITUTE(LEFT(TRIM(C439),FIND(" ",TRIM(C439)&amp;" ")-1),",","."),"."),LEFT(SUBSTITUTE(LEFT(TRIM(C439),FIND(" ",TRIM(C439)&amp;" ")-1),",","."),FIND("/",SUBSTITUTE(LEFT(TRIM(C439),FIND(" ",TRIM(C439)&amp;" ")-1),",","."))-1)/MID(SUBSTITUTE(LEFT(TRIM(C439),FIND(" ",TRIM(C439)&amp;" ")-1),",","."),FIND("/",SUBSTITUTE(LEFT(TRIM(C439),FIND(" ",TRIM(C439)&amp;" ")-1),",","."))+1,9))*12/52,IF(ISNUMBER(SEARCH("month",C439)),IFERROR(_xlfn.NUMBERVALUE(SUBSTITUTE(LEFT(TRIM(C439),FIND(" ",TRIM(C439)&amp;" ")-1),",","."),"."),LEFT(SUBSTITUTE(LEFT(TRIM(C439),FIND(" ",TRIM(C439)&amp;" ")-1),",","."),FIND("/",SUBSTITUTE(LEFT(TRIM(C439),FIND(" ",TRIM(C439)&amp;" ")-1),",","."))-1)/MID(SUBSTITUTE(LEFT(TRIM(C439),FIND(" ",TRIM(C439)&amp;" ")-1),",","."),FIND("/",SUBSTITUTE(LEFT(TRIM(C439),FIND(" ",TRIM(C439)&amp;" ")-1),",","."))+1,9)),IF(ISNUMBER(SEARCH("yea",C439)),IFERROR(_xlfn.NUMBERVALUE(SUBSTITUTE(LEFT(TRIM(C439),FIND(" ",TRIM(C439)&amp;" ")-1),",","."),"."),LEFT(SUBSTITUTE(LEFT(TRIM(C439),FIND(" ",TRIM(C439)&amp;" ")-1),",","."),FIND("/",SUBSTITUTE(LEFT(TRIM(C439),FIND(" ",TRIM(C439)&amp;" ")-1),",","."))-1)/MID(SUBSTITUTE(LEFT(TRIM(C439),FIND(" ",TRIM(C439)&amp;" ")-1),",","."),FIND("/",SUBSTITUTE(LEFT(TRIM(C439),FIND(" ",TRIM(C439)&amp;" ")-1),",","."))+1,9))*12,NA()))),0),24)*'Aturan &amp; Tarif'!$B$4,2)</f>
        <v>1362.72</v>
      </c>
      <c r="K439" s="42" t="n">
        <f aca="false">'Aturan &amp; Tarif'!$B$5</f>
        <v>2050</v>
      </c>
      <c r="L439" s="35" t="n">
        <f aca="false">I439+J439+K439</f>
        <v>5962.72</v>
      </c>
      <c r="M439" s="45" t="s">
        <v>134</v>
      </c>
    </row>
    <row r="440" customFormat="false" ht="25.5" hidden="false" customHeight="true" outlineLevel="0" collapsed="false">
      <c r="A440" s="39"/>
      <c r="B440" s="40" t="s">
        <v>2951</v>
      </c>
      <c r="C440" s="41" t="s">
        <v>107</v>
      </c>
      <c r="D440" s="41" t="s">
        <v>108</v>
      </c>
      <c r="E440" s="42" t="n">
        <v>2250</v>
      </c>
      <c r="F440" s="42" t="n">
        <v>1500</v>
      </c>
      <c r="G440" s="42" t="n">
        <v>250</v>
      </c>
      <c r="H440" s="43" t="n">
        <v>1</v>
      </c>
      <c r="I440" s="34" t="n">
        <f aca="false">E440*H440+N(F440)+N(G440)</f>
        <v>4000</v>
      </c>
      <c r="J440" s="42" t="n">
        <f aca="false">ROUND(IFERROR(ROUND(IF(OR(ISNUMBER(SEARCH("week",C440)),ISNUMBER(SEARCH("minggu",C440))),IFERROR(_xlfn.NUMBERVALUE(SUBSTITUTE(LEFT(TRIM(C440),FIND(" ",TRIM(C440)&amp;" ")-1),",","."),"."),LEFT(SUBSTITUTE(LEFT(TRIM(C440),FIND(" ",TRIM(C440)&amp;" ")-1),",","."),FIND("/",SUBSTITUTE(LEFT(TRIM(C440),FIND(" ",TRIM(C440)&amp;" ")-1),",","."))-1)/MID(SUBSTITUTE(LEFT(TRIM(C440),FIND(" ",TRIM(C440)&amp;" ")-1),",","."),FIND("/",SUBSTITUTE(LEFT(TRIM(C440),FIND(" ",TRIM(C440)&amp;" ")-1),",","."))+1,9))*12/52,IF(ISNUMBER(SEARCH("month",C440)),IFERROR(_xlfn.NUMBERVALUE(SUBSTITUTE(LEFT(TRIM(C440),FIND(" ",TRIM(C440)&amp;" ")-1),",","."),"."),LEFT(SUBSTITUTE(LEFT(TRIM(C440),FIND(" ",TRIM(C440)&amp;" ")-1),",","."),FIND("/",SUBSTITUTE(LEFT(TRIM(C440),FIND(" ",TRIM(C440)&amp;" ")-1),",","."))-1)/MID(SUBSTITUTE(LEFT(TRIM(C440),FIND(" ",TRIM(C440)&amp;" ")-1),",","."),FIND("/",SUBSTITUTE(LEFT(TRIM(C440),FIND(" ",TRIM(C440)&amp;" ")-1),",","."))+1,9)),IF(ISNUMBER(SEARCH("yea",C440)),IFERROR(_xlfn.NUMBERVALUE(SUBSTITUTE(LEFT(TRIM(C440),FIND(" ",TRIM(C440)&amp;" ")-1),",","."),"."),LEFT(SUBSTITUTE(LEFT(TRIM(C440),FIND(" ",TRIM(C440)&amp;" ")-1),",","."),FIND("/",SUBSTITUTE(LEFT(TRIM(C440),FIND(" ",TRIM(C440)&amp;" ")-1),",","."))-1)/MID(SUBSTITUTE(LEFT(TRIM(C440),FIND(" ",TRIM(C440)&amp;" ")-1),",","."),FIND("/",SUBSTITUTE(LEFT(TRIM(C440),FIND(" ",TRIM(C440)&amp;" ")-1),",","."))+1,9))*12,NA()))),0),24)*'Aturan &amp; Tarif'!$B$4,2)</f>
        <v>1362.72</v>
      </c>
      <c r="K440" s="42" t="n">
        <f aca="false">'Aturan &amp; Tarif'!$B$5</f>
        <v>2050</v>
      </c>
      <c r="L440" s="35" t="n">
        <f aca="false">I440+J440+K440</f>
        <v>7412.72</v>
      </c>
      <c r="M440" s="45" t="s">
        <v>134</v>
      </c>
    </row>
    <row r="441" customFormat="false" ht="25.5" hidden="false" customHeight="true" outlineLevel="0" collapsed="false">
      <c r="A441" s="39"/>
      <c r="B441" s="40" t="s">
        <v>2952</v>
      </c>
      <c r="C441" s="41" t="s">
        <v>107</v>
      </c>
      <c r="D441" s="41" t="s">
        <v>108</v>
      </c>
      <c r="E441" s="42" t="n">
        <v>2350</v>
      </c>
      <c r="F441" s="42" t="n">
        <v>1500</v>
      </c>
      <c r="G441" s="42" t="n">
        <v>250</v>
      </c>
      <c r="H441" s="43" t="n">
        <v>1</v>
      </c>
      <c r="I441" s="34" t="n">
        <f aca="false">E441*H441+N(F441)+N(G441)</f>
        <v>4100</v>
      </c>
      <c r="J441" s="42" t="n">
        <f aca="false">ROUND(IFERROR(ROUND(IF(OR(ISNUMBER(SEARCH("week",C441)),ISNUMBER(SEARCH("minggu",C441))),IFERROR(_xlfn.NUMBERVALUE(SUBSTITUTE(LEFT(TRIM(C441),FIND(" ",TRIM(C441)&amp;" ")-1),",","."),"."),LEFT(SUBSTITUTE(LEFT(TRIM(C441),FIND(" ",TRIM(C441)&amp;" ")-1),",","."),FIND("/",SUBSTITUTE(LEFT(TRIM(C441),FIND(" ",TRIM(C441)&amp;" ")-1),",","."))-1)/MID(SUBSTITUTE(LEFT(TRIM(C441),FIND(" ",TRIM(C441)&amp;" ")-1),",","."),FIND("/",SUBSTITUTE(LEFT(TRIM(C441),FIND(" ",TRIM(C441)&amp;" ")-1),",","."))+1,9))*12/52,IF(ISNUMBER(SEARCH("month",C441)),IFERROR(_xlfn.NUMBERVALUE(SUBSTITUTE(LEFT(TRIM(C441),FIND(" ",TRIM(C441)&amp;" ")-1),",","."),"."),LEFT(SUBSTITUTE(LEFT(TRIM(C441),FIND(" ",TRIM(C441)&amp;" ")-1),",","."),FIND("/",SUBSTITUTE(LEFT(TRIM(C441),FIND(" ",TRIM(C441)&amp;" ")-1),",","."))-1)/MID(SUBSTITUTE(LEFT(TRIM(C441),FIND(" ",TRIM(C441)&amp;" ")-1),",","."),FIND("/",SUBSTITUTE(LEFT(TRIM(C441),FIND(" ",TRIM(C441)&amp;" ")-1),",","."))+1,9)),IF(ISNUMBER(SEARCH("yea",C441)),IFERROR(_xlfn.NUMBERVALUE(SUBSTITUTE(LEFT(TRIM(C441),FIND(" ",TRIM(C441)&amp;" ")-1),",","."),"."),LEFT(SUBSTITUTE(LEFT(TRIM(C441),FIND(" ",TRIM(C441)&amp;" ")-1),",","."),FIND("/",SUBSTITUTE(LEFT(TRIM(C441),FIND(" ",TRIM(C441)&amp;" ")-1),",","."))-1)/MID(SUBSTITUTE(LEFT(TRIM(C441),FIND(" ",TRIM(C441)&amp;" ")-1),",","."),FIND("/",SUBSTITUTE(LEFT(TRIM(C441),FIND(" ",TRIM(C441)&amp;" ")-1),",","."))+1,9))*12,NA()))),0),24)*'Aturan &amp; Tarif'!$B$4,2)</f>
        <v>1362.72</v>
      </c>
      <c r="K441" s="42" t="n">
        <f aca="false">'Aturan &amp; Tarif'!$B$5</f>
        <v>2050</v>
      </c>
      <c r="L441" s="35" t="n">
        <f aca="false">I441+J441+K441</f>
        <v>7512.72</v>
      </c>
      <c r="M441" s="45" t="s">
        <v>134</v>
      </c>
    </row>
    <row r="442" customFormat="false" ht="25.5" hidden="false" customHeight="true" outlineLevel="0" collapsed="false">
      <c r="A442" s="39"/>
      <c r="B442" s="40" t="s">
        <v>1777</v>
      </c>
      <c r="C442" s="41" t="s">
        <v>127</v>
      </c>
      <c r="D442" s="41" t="s">
        <v>108</v>
      </c>
      <c r="E442" s="42" t="n">
        <v>2700</v>
      </c>
      <c r="F442" s="42" t="n">
        <v>2700</v>
      </c>
      <c r="G442" s="42" t="n">
        <v>250</v>
      </c>
      <c r="H442" s="43" t="n">
        <v>1</v>
      </c>
      <c r="I442" s="34" t="n">
        <f aca="false">E442*H442+N(F442)+N(G442)</f>
        <v>5650</v>
      </c>
      <c r="J442" s="42" t="n">
        <f aca="false">ROUND(IFERROR(ROUND(IF(OR(ISNUMBER(SEARCH("week",C442)),ISNUMBER(SEARCH("minggu",C442))),IFERROR(_xlfn.NUMBERVALUE(SUBSTITUTE(LEFT(TRIM(C442),FIND(" ",TRIM(C442)&amp;" ")-1),",","."),"."),LEFT(SUBSTITUTE(LEFT(TRIM(C442),FIND(" ",TRIM(C442)&amp;" ")-1),",","."),FIND("/",SUBSTITUTE(LEFT(TRIM(C442),FIND(" ",TRIM(C442)&amp;" ")-1),",","."))-1)/MID(SUBSTITUTE(LEFT(TRIM(C442),FIND(" ",TRIM(C442)&amp;" ")-1),",","."),FIND("/",SUBSTITUTE(LEFT(TRIM(C442),FIND(" ",TRIM(C442)&amp;" ")-1),",","."))+1,9))*12/52,IF(ISNUMBER(SEARCH("month",C442)),IFERROR(_xlfn.NUMBERVALUE(SUBSTITUTE(LEFT(TRIM(C442),FIND(" ",TRIM(C442)&amp;" ")-1),",","."),"."),LEFT(SUBSTITUTE(LEFT(TRIM(C442),FIND(" ",TRIM(C442)&amp;" ")-1),",","."),FIND("/",SUBSTITUTE(LEFT(TRIM(C442),FIND(" ",TRIM(C442)&amp;" ")-1),",","."))-1)/MID(SUBSTITUTE(LEFT(TRIM(C442),FIND(" ",TRIM(C442)&amp;" ")-1),",","."),FIND("/",SUBSTITUTE(LEFT(TRIM(C442),FIND(" ",TRIM(C442)&amp;" ")-1),",","."))+1,9)),IF(ISNUMBER(SEARCH("yea",C442)),IFERROR(_xlfn.NUMBERVALUE(SUBSTITUTE(LEFT(TRIM(C442),FIND(" ",TRIM(C442)&amp;" ")-1),",","."),"."),LEFT(SUBSTITUTE(LEFT(TRIM(C442),FIND(" ",TRIM(C442)&amp;" ")-1),",","."),FIND("/",SUBSTITUTE(LEFT(TRIM(C442),FIND(" ",TRIM(C442)&amp;" ")-1),",","."))-1)/MID(SUBSTITUTE(LEFT(TRIM(C442),FIND(" ",TRIM(C442)&amp;" ")-1),",","."),FIND("/",SUBSTITUTE(LEFT(TRIM(C442),FIND(" ",TRIM(C442)&amp;" ")-1),",","."))+1,9))*12,NA()))),0),36)*'Aturan &amp; Tarif'!$B$4,2)</f>
        <v>2044.08</v>
      </c>
      <c r="K442" s="42" t="n">
        <f aca="false">'Aturan &amp; Tarif'!$B$5</f>
        <v>2050</v>
      </c>
      <c r="L442" s="35" t="n">
        <f aca="false">I442+J442+K442</f>
        <v>9744.08</v>
      </c>
      <c r="M442" s="45" t="s">
        <v>134</v>
      </c>
    </row>
    <row r="443" customFormat="false" ht="25.5" hidden="false" customHeight="true" outlineLevel="0" collapsed="false">
      <c r="A443" s="39"/>
      <c r="B443" s="40" t="s">
        <v>422</v>
      </c>
      <c r="C443" s="41" t="s">
        <v>107</v>
      </c>
      <c r="D443" s="41" t="s">
        <v>108</v>
      </c>
      <c r="E443" s="42" t="n">
        <v>2100</v>
      </c>
      <c r="F443" s="42" t="n">
        <v>1800</v>
      </c>
      <c r="G443" s="42" t="n">
        <v>250</v>
      </c>
      <c r="H443" s="43" t="n">
        <v>1</v>
      </c>
      <c r="I443" s="34" t="n">
        <f aca="false">E443*H443+N(F443)+N(G443)</f>
        <v>4150</v>
      </c>
      <c r="J443" s="42" t="n">
        <f aca="false">ROUND(IFERROR(ROUND(IF(OR(ISNUMBER(SEARCH("week",C443)),ISNUMBER(SEARCH("minggu",C443))),IFERROR(_xlfn.NUMBERVALUE(SUBSTITUTE(LEFT(TRIM(C443),FIND(" ",TRIM(C443)&amp;" ")-1),",","."),"."),LEFT(SUBSTITUTE(LEFT(TRIM(C443),FIND(" ",TRIM(C443)&amp;" ")-1),",","."),FIND("/",SUBSTITUTE(LEFT(TRIM(C443),FIND(" ",TRIM(C443)&amp;" ")-1),",","."))-1)/MID(SUBSTITUTE(LEFT(TRIM(C443),FIND(" ",TRIM(C443)&amp;" ")-1),",","."),FIND("/",SUBSTITUTE(LEFT(TRIM(C443),FIND(" ",TRIM(C443)&amp;" ")-1),",","."))+1,9))*12/52,IF(ISNUMBER(SEARCH("month",C443)),IFERROR(_xlfn.NUMBERVALUE(SUBSTITUTE(LEFT(TRIM(C443),FIND(" ",TRIM(C443)&amp;" ")-1),",","."),"."),LEFT(SUBSTITUTE(LEFT(TRIM(C443),FIND(" ",TRIM(C443)&amp;" ")-1),",","."),FIND("/",SUBSTITUTE(LEFT(TRIM(C443),FIND(" ",TRIM(C443)&amp;" ")-1),",","."))-1)/MID(SUBSTITUTE(LEFT(TRIM(C443),FIND(" ",TRIM(C443)&amp;" ")-1),",","."),FIND("/",SUBSTITUTE(LEFT(TRIM(C443),FIND(" ",TRIM(C443)&amp;" ")-1),",","."))+1,9)),IF(ISNUMBER(SEARCH("yea",C443)),IFERROR(_xlfn.NUMBERVALUE(SUBSTITUTE(LEFT(TRIM(C443),FIND(" ",TRIM(C443)&amp;" ")-1),",","."),"."),LEFT(SUBSTITUTE(LEFT(TRIM(C443),FIND(" ",TRIM(C443)&amp;" ")-1),",","."),FIND("/",SUBSTITUTE(LEFT(TRIM(C443),FIND(" ",TRIM(C443)&amp;" ")-1),",","."))-1)/MID(SUBSTITUTE(LEFT(TRIM(C443),FIND(" ",TRIM(C443)&amp;" ")-1),",","."),FIND("/",SUBSTITUTE(LEFT(TRIM(C443),FIND(" ",TRIM(C443)&amp;" ")-1),",","."))+1,9))*12,NA()))),0),24)*'Aturan &amp; Tarif'!$B$4,2)</f>
        <v>1362.72</v>
      </c>
      <c r="K443" s="42" t="n">
        <f aca="false">'Aturan &amp; Tarif'!$B$5</f>
        <v>2050</v>
      </c>
      <c r="L443" s="35" t="n">
        <f aca="false">I443+J443+K443</f>
        <v>7562.72</v>
      </c>
      <c r="M443" s="45" t="s">
        <v>134</v>
      </c>
    </row>
    <row r="444" customFormat="false" ht="25.5" hidden="false" customHeight="true" outlineLevel="0" collapsed="false">
      <c r="A444" s="39"/>
      <c r="B444" s="40" t="s">
        <v>837</v>
      </c>
      <c r="C444" s="41" t="s">
        <v>107</v>
      </c>
      <c r="D444" s="41" t="s">
        <v>108</v>
      </c>
      <c r="E444" s="42" t="n">
        <v>2700</v>
      </c>
      <c r="F444" s="42" t="n">
        <v>1250</v>
      </c>
      <c r="G444" s="42" t="n">
        <v>250</v>
      </c>
      <c r="H444" s="43" t="n">
        <v>1</v>
      </c>
      <c r="I444" s="34" t="n">
        <f aca="false">E444*H444+N(F444)+N(G444)</f>
        <v>4200</v>
      </c>
      <c r="J444" s="42" t="n">
        <f aca="false">ROUND(IFERROR(ROUND(IF(OR(ISNUMBER(SEARCH("week",C444)),ISNUMBER(SEARCH("minggu",C444))),IFERROR(_xlfn.NUMBERVALUE(SUBSTITUTE(LEFT(TRIM(C444),FIND(" ",TRIM(C444)&amp;" ")-1),",","."),"."),LEFT(SUBSTITUTE(LEFT(TRIM(C444),FIND(" ",TRIM(C444)&amp;" ")-1),",","."),FIND("/",SUBSTITUTE(LEFT(TRIM(C444),FIND(" ",TRIM(C444)&amp;" ")-1),",","."))-1)/MID(SUBSTITUTE(LEFT(TRIM(C444),FIND(" ",TRIM(C444)&amp;" ")-1),",","."),FIND("/",SUBSTITUTE(LEFT(TRIM(C444),FIND(" ",TRIM(C444)&amp;" ")-1),",","."))+1,9))*12/52,IF(ISNUMBER(SEARCH("month",C444)),IFERROR(_xlfn.NUMBERVALUE(SUBSTITUTE(LEFT(TRIM(C444),FIND(" ",TRIM(C444)&amp;" ")-1),",","."),"."),LEFT(SUBSTITUTE(LEFT(TRIM(C444),FIND(" ",TRIM(C444)&amp;" ")-1),",","."),FIND("/",SUBSTITUTE(LEFT(TRIM(C444),FIND(" ",TRIM(C444)&amp;" ")-1),",","."))-1)/MID(SUBSTITUTE(LEFT(TRIM(C444),FIND(" ",TRIM(C444)&amp;" ")-1),",","."),FIND("/",SUBSTITUTE(LEFT(TRIM(C444),FIND(" ",TRIM(C444)&amp;" ")-1),",","."))+1,9)),IF(ISNUMBER(SEARCH("yea",C444)),IFERROR(_xlfn.NUMBERVALUE(SUBSTITUTE(LEFT(TRIM(C444),FIND(" ",TRIM(C444)&amp;" ")-1),",","."),"."),LEFT(SUBSTITUTE(LEFT(TRIM(C444),FIND(" ",TRIM(C444)&amp;" ")-1),",","."),FIND("/",SUBSTITUTE(LEFT(TRIM(C444),FIND(" ",TRIM(C444)&amp;" ")-1),",","."))-1)/MID(SUBSTITUTE(LEFT(TRIM(C444),FIND(" ",TRIM(C444)&amp;" ")-1),",","."),FIND("/",SUBSTITUTE(LEFT(TRIM(C444),FIND(" ",TRIM(C444)&amp;" ")-1),",","."))+1,9))*12,NA()))),0),24)*'Aturan &amp; Tarif'!$B$4,2)</f>
        <v>1362.72</v>
      </c>
      <c r="K444" s="42" t="n">
        <f aca="false">'Aturan &amp; Tarif'!$B$5</f>
        <v>2050</v>
      </c>
      <c r="L444" s="35" t="n">
        <f aca="false">I444+J444+K444</f>
        <v>7612.72</v>
      </c>
      <c r="M444" s="45" t="s">
        <v>134</v>
      </c>
    </row>
    <row r="445" customFormat="false" ht="25.5" hidden="false" customHeight="true" outlineLevel="0" collapsed="false">
      <c r="A445" s="39" t="s">
        <v>2953</v>
      </c>
      <c r="B445" s="40" t="s">
        <v>346</v>
      </c>
      <c r="C445" s="41" t="s">
        <v>159</v>
      </c>
      <c r="D445" s="41" t="s">
        <v>108</v>
      </c>
      <c r="E445" s="42" t="n">
        <v>4500</v>
      </c>
      <c r="F445" s="42"/>
      <c r="G445" s="42" t="n">
        <v>300</v>
      </c>
      <c r="H445" s="43" t="n">
        <v>2</v>
      </c>
      <c r="I445" s="34" t="n">
        <f aca="false">E445*H445+N(F445)+N(G445)</f>
        <v>9300</v>
      </c>
      <c r="J445" s="42" t="n">
        <f aca="false">ROUND(IFERROR(ROUND(IF(OR(ISNUMBER(SEARCH("week",C445)),ISNUMBER(SEARCH("minggu",C445))),IFERROR(_xlfn.NUMBERVALUE(SUBSTITUTE(LEFT(TRIM(C445),FIND(" ",TRIM(C445)&amp;" ")-1),",","."),"."),LEFT(SUBSTITUTE(LEFT(TRIM(C445),FIND(" ",TRIM(C445)&amp;" ")-1),",","."),FIND("/",SUBSTITUTE(LEFT(TRIM(C445),FIND(" ",TRIM(C445)&amp;" ")-1),",","."))-1)/MID(SUBSTITUTE(LEFT(TRIM(C445),FIND(" ",TRIM(C445)&amp;" ")-1),",","."),FIND("/",SUBSTITUTE(LEFT(TRIM(C445),FIND(" ",TRIM(C445)&amp;" ")-1),",","."))+1,9))*12/52,IF(ISNUMBER(SEARCH("month",C445)),IFERROR(_xlfn.NUMBERVALUE(SUBSTITUTE(LEFT(TRIM(C445),FIND(" ",TRIM(C445)&amp;" ")-1),",","."),"."),LEFT(SUBSTITUTE(LEFT(TRIM(C445),FIND(" ",TRIM(C445)&amp;" ")-1),",","."),FIND("/",SUBSTITUTE(LEFT(TRIM(C445),FIND(" ",TRIM(C445)&amp;" ")-1),",","."))-1)/MID(SUBSTITUTE(LEFT(TRIM(C445),FIND(" ",TRIM(C445)&amp;" ")-1),",","."),FIND("/",SUBSTITUTE(LEFT(TRIM(C445),FIND(" ",TRIM(C445)&amp;" ")-1),",","."))+1,9)),IF(ISNUMBER(SEARCH("yea",C445)),IFERROR(_xlfn.NUMBERVALUE(SUBSTITUTE(LEFT(TRIM(C445),FIND(" ",TRIM(C445)&amp;" ")-1),",","."),"."),LEFT(SUBSTITUTE(LEFT(TRIM(C445),FIND(" ",TRIM(C445)&amp;" ")-1),",","."),FIND("/",SUBSTITUTE(LEFT(TRIM(C445),FIND(" ",TRIM(C445)&amp;" ")-1),",","."))-1)/MID(SUBSTITUTE(LEFT(TRIM(C445),FIND(" ",TRIM(C445)&amp;" ")-1),",","."),FIND("/",SUBSTITUTE(LEFT(TRIM(C445),FIND(" ",TRIM(C445)&amp;" ")-1),",","."))+1,9))*12,NA()))),0),6)*'Aturan &amp; Tarif'!$B$4,2)</f>
        <v>340.68</v>
      </c>
      <c r="K445" s="42" t="n">
        <f aca="false">'Aturan &amp; Tarif'!$B$5</f>
        <v>2050</v>
      </c>
      <c r="L445" s="35" t="n">
        <f aca="false">I445+J445+K445</f>
        <v>11690.68</v>
      </c>
      <c r="M445" s="45" t="s">
        <v>2442</v>
      </c>
    </row>
    <row r="446" customFormat="false" ht="25.5" hidden="false" customHeight="true" outlineLevel="0" collapsed="false">
      <c r="A446" s="39"/>
      <c r="B446" s="40" t="s">
        <v>343</v>
      </c>
      <c r="C446" s="41" t="s">
        <v>159</v>
      </c>
      <c r="D446" s="41" t="s">
        <v>108</v>
      </c>
      <c r="E446" s="42" t="n">
        <v>4100</v>
      </c>
      <c r="F446" s="42"/>
      <c r="G446" s="42" t="n">
        <v>300</v>
      </c>
      <c r="H446" s="43" t="n">
        <v>2</v>
      </c>
      <c r="I446" s="34" t="n">
        <f aca="false">E446*H446+N(F446)+N(G446)</f>
        <v>8500</v>
      </c>
      <c r="J446" s="42" t="n">
        <f aca="false">ROUND(IFERROR(ROUND(IF(OR(ISNUMBER(SEARCH("week",C446)),ISNUMBER(SEARCH("minggu",C446))),IFERROR(_xlfn.NUMBERVALUE(SUBSTITUTE(LEFT(TRIM(C446),FIND(" ",TRIM(C446)&amp;" ")-1),",","."),"."),LEFT(SUBSTITUTE(LEFT(TRIM(C446),FIND(" ",TRIM(C446)&amp;" ")-1),",","."),FIND("/",SUBSTITUTE(LEFT(TRIM(C446),FIND(" ",TRIM(C446)&amp;" ")-1),",","."))-1)/MID(SUBSTITUTE(LEFT(TRIM(C446),FIND(" ",TRIM(C446)&amp;" ")-1),",","."),FIND("/",SUBSTITUTE(LEFT(TRIM(C446),FIND(" ",TRIM(C446)&amp;" ")-1),",","."))+1,9))*12/52,IF(ISNUMBER(SEARCH("month",C446)),IFERROR(_xlfn.NUMBERVALUE(SUBSTITUTE(LEFT(TRIM(C446),FIND(" ",TRIM(C446)&amp;" ")-1),",","."),"."),LEFT(SUBSTITUTE(LEFT(TRIM(C446),FIND(" ",TRIM(C446)&amp;" ")-1),",","."),FIND("/",SUBSTITUTE(LEFT(TRIM(C446),FIND(" ",TRIM(C446)&amp;" ")-1),",","."))-1)/MID(SUBSTITUTE(LEFT(TRIM(C446),FIND(" ",TRIM(C446)&amp;" ")-1),",","."),FIND("/",SUBSTITUTE(LEFT(TRIM(C446),FIND(" ",TRIM(C446)&amp;" ")-1),",","."))+1,9)),IF(ISNUMBER(SEARCH("yea",C446)),IFERROR(_xlfn.NUMBERVALUE(SUBSTITUTE(LEFT(TRIM(C446),FIND(" ",TRIM(C446)&amp;" ")-1),",","."),"."),LEFT(SUBSTITUTE(LEFT(TRIM(C446),FIND(" ",TRIM(C446)&amp;" ")-1),",","."),FIND("/",SUBSTITUTE(LEFT(TRIM(C446),FIND(" ",TRIM(C446)&amp;" ")-1),",","."))-1)/MID(SUBSTITUTE(LEFT(TRIM(C446),FIND(" ",TRIM(C446)&amp;" ")-1),",","."),FIND("/",SUBSTITUTE(LEFT(TRIM(C446),FIND(" ",TRIM(C446)&amp;" ")-1),",","."))+1,9))*12,NA()))),0),6)*'Aturan &amp; Tarif'!$B$4,2)</f>
        <v>340.68</v>
      </c>
      <c r="K446" s="42" t="n">
        <f aca="false">'Aturan &amp; Tarif'!$B$5</f>
        <v>2050</v>
      </c>
      <c r="L446" s="35" t="n">
        <f aca="false">I446+J446+K446</f>
        <v>10890.68</v>
      </c>
      <c r="M446" s="45" t="s">
        <v>2442</v>
      </c>
    </row>
    <row r="447" customFormat="false" ht="14.25" hidden="false" customHeight="true" outlineLevel="0" collapsed="false">
      <c r="A447" s="39"/>
      <c r="B447" s="40" t="s">
        <v>3392</v>
      </c>
      <c r="C447" s="41" t="s">
        <v>159</v>
      </c>
      <c r="D447" s="41" t="s">
        <v>108</v>
      </c>
      <c r="E447" s="42" t="n">
        <v>4100</v>
      </c>
      <c r="F447" s="42"/>
      <c r="G447" s="42" t="n">
        <v>300</v>
      </c>
      <c r="H447" s="43" t="n">
        <v>2</v>
      </c>
      <c r="I447" s="34" t="n">
        <f aca="false">E447*H447+N(F447)+N(G447)</f>
        <v>8500</v>
      </c>
      <c r="J447" s="42" t="n">
        <f aca="false">ROUND(IFERROR(ROUND(IF(OR(ISNUMBER(SEARCH("week",C447)),ISNUMBER(SEARCH("minggu",C447))),IFERROR(_xlfn.NUMBERVALUE(SUBSTITUTE(LEFT(TRIM(C447),FIND(" ",TRIM(C447)&amp;" ")-1),",","."),"."),LEFT(SUBSTITUTE(LEFT(TRIM(C447),FIND(" ",TRIM(C447)&amp;" ")-1),",","."),FIND("/",SUBSTITUTE(LEFT(TRIM(C447),FIND(" ",TRIM(C447)&amp;" ")-1),",","."))-1)/MID(SUBSTITUTE(LEFT(TRIM(C447),FIND(" ",TRIM(C447)&amp;" ")-1),",","."),FIND("/",SUBSTITUTE(LEFT(TRIM(C447),FIND(" ",TRIM(C447)&amp;" ")-1),",","."))+1,9))*12/52,IF(ISNUMBER(SEARCH("month",C447)),IFERROR(_xlfn.NUMBERVALUE(SUBSTITUTE(LEFT(TRIM(C447),FIND(" ",TRIM(C447)&amp;" ")-1),",","."),"."),LEFT(SUBSTITUTE(LEFT(TRIM(C447),FIND(" ",TRIM(C447)&amp;" ")-1),",","."),FIND("/",SUBSTITUTE(LEFT(TRIM(C447),FIND(" ",TRIM(C447)&amp;" ")-1),",","."))-1)/MID(SUBSTITUTE(LEFT(TRIM(C447),FIND(" ",TRIM(C447)&amp;" ")-1),",","."),FIND("/",SUBSTITUTE(LEFT(TRIM(C447),FIND(" ",TRIM(C447)&amp;" ")-1),",","."))+1,9)),IF(ISNUMBER(SEARCH("yea",C447)),IFERROR(_xlfn.NUMBERVALUE(SUBSTITUTE(LEFT(TRIM(C447),FIND(" ",TRIM(C447)&amp;" ")-1),",","."),"."),LEFT(SUBSTITUTE(LEFT(TRIM(C447),FIND(" ",TRIM(C447)&amp;" ")-1),",","."),FIND("/",SUBSTITUTE(LEFT(TRIM(C447),FIND(" ",TRIM(C447)&amp;" ")-1),",","."))-1)/MID(SUBSTITUTE(LEFT(TRIM(C447),FIND(" ",TRIM(C447)&amp;" ")-1),",","."),FIND("/",SUBSTITUTE(LEFT(TRIM(C447),FIND(" ",TRIM(C447)&amp;" ")-1),",","."))+1,9))*12,NA()))),0),6)*'Aturan &amp; Tarif'!$B$4,2)</f>
        <v>340.68</v>
      </c>
      <c r="K447" s="42" t="n">
        <f aca="false">'Aturan &amp; Tarif'!$B$5</f>
        <v>2050</v>
      </c>
      <c r="L447" s="35" t="n">
        <f aca="false">I447+J447+K447</f>
        <v>10890.68</v>
      </c>
      <c r="M447" s="45" t="s">
        <v>2442</v>
      </c>
    </row>
    <row r="448" customFormat="false" ht="14.25" hidden="false" customHeight="true" outlineLevel="0" collapsed="false">
      <c r="A448" s="39"/>
      <c r="B448" s="40" t="s">
        <v>2444</v>
      </c>
      <c r="C448" s="41" t="s">
        <v>107</v>
      </c>
      <c r="D448" s="41" t="s">
        <v>108</v>
      </c>
      <c r="E448" s="42" t="n">
        <v>4500</v>
      </c>
      <c r="F448" s="42"/>
      <c r="G448" s="42" t="n">
        <v>300</v>
      </c>
      <c r="H448" s="43" t="n">
        <v>2</v>
      </c>
      <c r="I448" s="34" t="n">
        <f aca="false">E448*H448+N(F448)+N(G448)</f>
        <v>9300</v>
      </c>
      <c r="J448" s="42" t="n">
        <f aca="false">ROUND(IFERROR(ROUND(IF(OR(ISNUMBER(SEARCH("week",C448)),ISNUMBER(SEARCH("minggu",C448))),IFERROR(_xlfn.NUMBERVALUE(SUBSTITUTE(LEFT(TRIM(C448),FIND(" ",TRIM(C448)&amp;" ")-1),",","."),"."),LEFT(SUBSTITUTE(LEFT(TRIM(C448),FIND(" ",TRIM(C448)&amp;" ")-1),",","."),FIND("/",SUBSTITUTE(LEFT(TRIM(C448),FIND(" ",TRIM(C448)&amp;" ")-1),",","."))-1)/MID(SUBSTITUTE(LEFT(TRIM(C448),FIND(" ",TRIM(C448)&amp;" ")-1),",","."),FIND("/",SUBSTITUTE(LEFT(TRIM(C448),FIND(" ",TRIM(C448)&amp;" ")-1),",","."))+1,9))*12/52,IF(ISNUMBER(SEARCH("month",C448)),IFERROR(_xlfn.NUMBERVALUE(SUBSTITUTE(LEFT(TRIM(C448),FIND(" ",TRIM(C448)&amp;" ")-1),",","."),"."),LEFT(SUBSTITUTE(LEFT(TRIM(C448),FIND(" ",TRIM(C448)&amp;" ")-1),",","."),FIND("/",SUBSTITUTE(LEFT(TRIM(C448),FIND(" ",TRIM(C448)&amp;" ")-1),",","."))-1)/MID(SUBSTITUTE(LEFT(TRIM(C448),FIND(" ",TRIM(C448)&amp;" ")-1),",","."),FIND("/",SUBSTITUTE(LEFT(TRIM(C448),FIND(" ",TRIM(C448)&amp;" ")-1),",","."))+1,9)),IF(ISNUMBER(SEARCH("yea",C448)),IFERROR(_xlfn.NUMBERVALUE(SUBSTITUTE(LEFT(TRIM(C448),FIND(" ",TRIM(C448)&amp;" ")-1),",","."),"."),LEFT(SUBSTITUTE(LEFT(TRIM(C448),FIND(" ",TRIM(C448)&amp;" ")-1),",","."),FIND("/",SUBSTITUTE(LEFT(TRIM(C448),FIND(" ",TRIM(C448)&amp;" ")-1),",","."))-1)/MID(SUBSTITUTE(LEFT(TRIM(C448),FIND(" ",TRIM(C448)&amp;" ")-1),",","."),FIND("/",SUBSTITUTE(LEFT(TRIM(C448),FIND(" ",TRIM(C448)&amp;" ")-1),",","."))+1,9))*12,NA()))),0),24)*'Aturan &amp; Tarif'!$B$4,2)</f>
        <v>1362.72</v>
      </c>
      <c r="K448" s="42" t="n">
        <f aca="false">'Aturan &amp; Tarif'!$B$5</f>
        <v>2050</v>
      </c>
      <c r="L448" s="35" t="n">
        <f aca="false">I448+J448+K448</f>
        <v>12712.72</v>
      </c>
      <c r="M448" s="45" t="s">
        <v>2442</v>
      </c>
    </row>
    <row r="449" customFormat="false" ht="14.25" hidden="false" customHeight="true" outlineLevel="0" collapsed="false">
      <c r="A449" s="39"/>
      <c r="B449" s="40" t="s">
        <v>870</v>
      </c>
      <c r="C449" s="41" t="s">
        <v>107</v>
      </c>
      <c r="D449" s="41" t="s">
        <v>108</v>
      </c>
      <c r="E449" s="42" t="n">
        <v>4100</v>
      </c>
      <c r="F449" s="42"/>
      <c r="G449" s="42" t="n">
        <v>300</v>
      </c>
      <c r="H449" s="43" t="n">
        <v>2</v>
      </c>
      <c r="I449" s="34" t="n">
        <f aca="false">E449*H449+N(F449)+N(G449)</f>
        <v>8500</v>
      </c>
      <c r="J449" s="42" t="n">
        <f aca="false">ROUND(IFERROR(ROUND(IF(OR(ISNUMBER(SEARCH("week",C449)),ISNUMBER(SEARCH("minggu",C449))),IFERROR(_xlfn.NUMBERVALUE(SUBSTITUTE(LEFT(TRIM(C449),FIND(" ",TRIM(C449)&amp;" ")-1),",","."),"."),LEFT(SUBSTITUTE(LEFT(TRIM(C449),FIND(" ",TRIM(C449)&amp;" ")-1),",","."),FIND("/",SUBSTITUTE(LEFT(TRIM(C449),FIND(" ",TRIM(C449)&amp;" ")-1),",","."))-1)/MID(SUBSTITUTE(LEFT(TRIM(C449),FIND(" ",TRIM(C449)&amp;" ")-1),",","."),FIND("/",SUBSTITUTE(LEFT(TRIM(C449),FIND(" ",TRIM(C449)&amp;" ")-1),",","."))+1,9))*12/52,IF(ISNUMBER(SEARCH("month",C449)),IFERROR(_xlfn.NUMBERVALUE(SUBSTITUTE(LEFT(TRIM(C449),FIND(" ",TRIM(C449)&amp;" ")-1),",","."),"."),LEFT(SUBSTITUTE(LEFT(TRIM(C449),FIND(" ",TRIM(C449)&amp;" ")-1),",","."),FIND("/",SUBSTITUTE(LEFT(TRIM(C449),FIND(" ",TRIM(C449)&amp;" ")-1),",","."))-1)/MID(SUBSTITUTE(LEFT(TRIM(C449),FIND(" ",TRIM(C449)&amp;" ")-1),",","."),FIND("/",SUBSTITUTE(LEFT(TRIM(C449),FIND(" ",TRIM(C449)&amp;" ")-1),",","."))+1,9)),IF(ISNUMBER(SEARCH("yea",C449)),IFERROR(_xlfn.NUMBERVALUE(SUBSTITUTE(LEFT(TRIM(C449),FIND(" ",TRIM(C449)&amp;" ")-1),",","."),"."),LEFT(SUBSTITUTE(LEFT(TRIM(C449),FIND(" ",TRIM(C449)&amp;" ")-1),",","."),FIND("/",SUBSTITUTE(LEFT(TRIM(C449),FIND(" ",TRIM(C449)&amp;" ")-1),",","."))-1)/MID(SUBSTITUTE(LEFT(TRIM(C449),FIND(" ",TRIM(C449)&amp;" ")-1),",","."),FIND("/",SUBSTITUTE(LEFT(TRIM(C449),FIND(" ",TRIM(C449)&amp;" ")-1),",","."))+1,9))*12,NA()))),0),24)*'Aturan &amp; Tarif'!$B$4,2)</f>
        <v>1362.72</v>
      </c>
      <c r="K449" s="42" t="n">
        <f aca="false">'Aturan &amp; Tarif'!$B$5</f>
        <v>2050</v>
      </c>
      <c r="L449" s="35" t="n">
        <f aca="false">I449+J449+K449</f>
        <v>11912.72</v>
      </c>
      <c r="M449" s="45" t="s">
        <v>2442</v>
      </c>
    </row>
    <row r="450" customFormat="false" ht="25.5" hidden="false" customHeight="true" outlineLevel="0" collapsed="false">
      <c r="A450" s="39"/>
      <c r="B450" s="40" t="s">
        <v>2445</v>
      </c>
      <c r="C450" s="41" t="s">
        <v>113</v>
      </c>
      <c r="D450" s="41" t="s">
        <v>108</v>
      </c>
      <c r="E450" s="42" t="n">
        <v>4100</v>
      </c>
      <c r="F450" s="42"/>
      <c r="G450" s="42" t="n">
        <v>300</v>
      </c>
      <c r="H450" s="43" t="n">
        <v>2</v>
      </c>
      <c r="I450" s="34" t="n">
        <f aca="false">E450*H450+N(F450)+N(G450)</f>
        <v>8500</v>
      </c>
      <c r="J450" s="42" t="n">
        <f aca="false">ROUND(IFERROR(ROUND(IF(OR(ISNUMBER(SEARCH("week",C450)),ISNUMBER(SEARCH("minggu",C450))),IFERROR(_xlfn.NUMBERVALUE(SUBSTITUTE(LEFT(TRIM(C450),FIND(" ",TRIM(C450)&amp;" ")-1),",","."),"."),LEFT(SUBSTITUTE(LEFT(TRIM(C450),FIND(" ",TRIM(C450)&amp;" ")-1),",","."),FIND("/",SUBSTITUTE(LEFT(TRIM(C450),FIND(" ",TRIM(C450)&amp;" ")-1),",","."))-1)/MID(SUBSTITUTE(LEFT(TRIM(C450),FIND(" ",TRIM(C450)&amp;" ")-1),",","."),FIND("/",SUBSTITUTE(LEFT(TRIM(C450),FIND(" ",TRIM(C450)&amp;" ")-1),",","."))+1,9))*12/52,IF(ISNUMBER(SEARCH("month",C450)),IFERROR(_xlfn.NUMBERVALUE(SUBSTITUTE(LEFT(TRIM(C450),FIND(" ",TRIM(C450)&amp;" ")-1),",","."),"."),LEFT(SUBSTITUTE(LEFT(TRIM(C450),FIND(" ",TRIM(C450)&amp;" ")-1),",","."),FIND("/",SUBSTITUTE(LEFT(TRIM(C450),FIND(" ",TRIM(C450)&amp;" ")-1),",","."))-1)/MID(SUBSTITUTE(LEFT(TRIM(C450),FIND(" ",TRIM(C450)&amp;" ")-1),",","."),FIND("/",SUBSTITUTE(LEFT(TRIM(C450),FIND(" ",TRIM(C450)&amp;" ")-1),",","."))+1,9)),IF(ISNUMBER(SEARCH("yea",C450)),IFERROR(_xlfn.NUMBERVALUE(SUBSTITUTE(LEFT(TRIM(C450),FIND(" ",TRIM(C450)&amp;" ")-1),",","."),"."),LEFT(SUBSTITUTE(LEFT(TRIM(C450),FIND(" ",TRIM(C450)&amp;" ")-1),",","."),FIND("/",SUBSTITUTE(LEFT(TRIM(C450),FIND(" ",TRIM(C450)&amp;" ")-1),",","."))-1)/MID(SUBSTITUTE(LEFT(TRIM(C450),FIND(" ",TRIM(C450)&amp;" ")-1),",","."),FIND("/",SUBSTITUTE(LEFT(TRIM(C450),FIND(" ",TRIM(C450)&amp;" ")-1),",","."))+1,9))*12,NA()))),0),18)*'Aturan &amp; Tarif'!$B$4,2)</f>
        <v>1022.04</v>
      </c>
      <c r="K450" s="42" t="n">
        <f aca="false">'Aturan &amp; Tarif'!$B$5</f>
        <v>2050</v>
      </c>
      <c r="L450" s="35" t="n">
        <f aca="false">I450+J450+K450</f>
        <v>11572.04</v>
      </c>
      <c r="M450" s="45" t="s">
        <v>2442</v>
      </c>
    </row>
    <row r="451" customFormat="false" ht="14.25" hidden="false" customHeight="true" outlineLevel="0" collapsed="false">
      <c r="A451" s="39"/>
      <c r="B451" s="40" t="s">
        <v>2446</v>
      </c>
      <c r="C451" s="41" t="s">
        <v>107</v>
      </c>
      <c r="D451" s="41" t="s">
        <v>108</v>
      </c>
      <c r="E451" s="42" t="n">
        <v>4100</v>
      </c>
      <c r="F451" s="42"/>
      <c r="G451" s="42" t="n">
        <v>300</v>
      </c>
      <c r="H451" s="43" t="n">
        <v>2</v>
      </c>
      <c r="I451" s="34" t="n">
        <f aca="false">E451*H451+N(F451)+N(G451)</f>
        <v>8500</v>
      </c>
      <c r="J451" s="42" t="n">
        <f aca="false">ROUND(IFERROR(ROUND(IF(OR(ISNUMBER(SEARCH("week",C451)),ISNUMBER(SEARCH("minggu",C451))),IFERROR(_xlfn.NUMBERVALUE(SUBSTITUTE(LEFT(TRIM(C451),FIND(" ",TRIM(C451)&amp;" ")-1),",","."),"."),LEFT(SUBSTITUTE(LEFT(TRIM(C451),FIND(" ",TRIM(C451)&amp;" ")-1),",","."),FIND("/",SUBSTITUTE(LEFT(TRIM(C451),FIND(" ",TRIM(C451)&amp;" ")-1),",","."))-1)/MID(SUBSTITUTE(LEFT(TRIM(C451),FIND(" ",TRIM(C451)&amp;" ")-1),",","."),FIND("/",SUBSTITUTE(LEFT(TRIM(C451),FIND(" ",TRIM(C451)&amp;" ")-1),",","."))+1,9))*12/52,IF(ISNUMBER(SEARCH("month",C451)),IFERROR(_xlfn.NUMBERVALUE(SUBSTITUTE(LEFT(TRIM(C451),FIND(" ",TRIM(C451)&amp;" ")-1),",","."),"."),LEFT(SUBSTITUTE(LEFT(TRIM(C451),FIND(" ",TRIM(C451)&amp;" ")-1),",","."),FIND("/",SUBSTITUTE(LEFT(TRIM(C451),FIND(" ",TRIM(C451)&amp;" ")-1),",","."))-1)/MID(SUBSTITUTE(LEFT(TRIM(C451),FIND(" ",TRIM(C451)&amp;" ")-1),",","."),FIND("/",SUBSTITUTE(LEFT(TRIM(C451),FIND(" ",TRIM(C451)&amp;" ")-1),",","."))+1,9)),IF(ISNUMBER(SEARCH("yea",C451)),IFERROR(_xlfn.NUMBERVALUE(SUBSTITUTE(LEFT(TRIM(C451),FIND(" ",TRIM(C451)&amp;" ")-1),",","."),"."),LEFT(SUBSTITUTE(LEFT(TRIM(C451),FIND(" ",TRIM(C451)&amp;" ")-1),",","."),FIND("/",SUBSTITUTE(LEFT(TRIM(C451),FIND(" ",TRIM(C451)&amp;" ")-1),",","."))-1)/MID(SUBSTITUTE(LEFT(TRIM(C451),FIND(" ",TRIM(C451)&amp;" ")-1),",","."),FIND("/",SUBSTITUTE(LEFT(TRIM(C451),FIND(" ",TRIM(C451)&amp;" ")-1),",","."))+1,9))*12,NA()))),0),24)*'Aturan &amp; Tarif'!$B$4,2)</f>
        <v>1362.72</v>
      </c>
      <c r="K451" s="42" t="n">
        <f aca="false">'Aturan &amp; Tarif'!$B$5</f>
        <v>2050</v>
      </c>
      <c r="L451" s="35" t="n">
        <f aca="false">I451+J451+K451</f>
        <v>11912.72</v>
      </c>
      <c r="M451" s="45" t="s">
        <v>2442</v>
      </c>
    </row>
    <row r="452" customFormat="false" ht="14.25" hidden="false" customHeight="true" outlineLevel="0" collapsed="false">
      <c r="A452" s="39"/>
      <c r="B452" s="40" t="s">
        <v>2234</v>
      </c>
      <c r="C452" s="41" t="s">
        <v>127</v>
      </c>
      <c r="D452" s="41" t="s">
        <v>108</v>
      </c>
      <c r="E452" s="42" t="n">
        <v>3700</v>
      </c>
      <c r="F452" s="42"/>
      <c r="G452" s="42" t="n">
        <v>300</v>
      </c>
      <c r="H452" s="43" t="n">
        <v>2</v>
      </c>
      <c r="I452" s="34" t="n">
        <f aca="false">E452*H452+N(F452)+N(G452)</f>
        <v>7700</v>
      </c>
      <c r="J452" s="42" t="n">
        <f aca="false">ROUND(IFERROR(ROUND(IF(OR(ISNUMBER(SEARCH("week",C452)),ISNUMBER(SEARCH("minggu",C452))),IFERROR(_xlfn.NUMBERVALUE(SUBSTITUTE(LEFT(TRIM(C452),FIND(" ",TRIM(C452)&amp;" ")-1),",","."),"."),LEFT(SUBSTITUTE(LEFT(TRIM(C452),FIND(" ",TRIM(C452)&amp;" ")-1),",","."),FIND("/",SUBSTITUTE(LEFT(TRIM(C452),FIND(" ",TRIM(C452)&amp;" ")-1),",","."))-1)/MID(SUBSTITUTE(LEFT(TRIM(C452),FIND(" ",TRIM(C452)&amp;" ")-1),",","."),FIND("/",SUBSTITUTE(LEFT(TRIM(C452),FIND(" ",TRIM(C452)&amp;" ")-1),",","."))+1,9))*12/52,IF(ISNUMBER(SEARCH("month",C452)),IFERROR(_xlfn.NUMBERVALUE(SUBSTITUTE(LEFT(TRIM(C452),FIND(" ",TRIM(C452)&amp;" ")-1),",","."),"."),LEFT(SUBSTITUTE(LEFT(TRIM(C452),FIND(" ",TRIM(C452)&amp;" ")-1),",","."),FIND("/",SUBSTITUTE(LEFT(TRIM(C452),FIND(" ",TRIM(C452)&amp;" ")-1),",","."))-1)/MID(SUBSTITUTE(LEFT(TRIM(C452),FIND(" ",TRIM(C452)&amp;" ")-1),",","."),FIND("/",SUBSTITUTE(LEFT(TRIM(C452),FIND(" ",TRIM(C452)&amp;" ")-1),",","."))+1,9)),IF(ISNUMBER(SEARCH("yea",C452)),IFERROR(_xlfn.NUMBERVALUE(SUBSTITUTE(LEFT(TRIM(C452),FIND(" ",TRIM(C452)&amp;" ")-1),",","."),"."),LEFT(SUBSTITUTE(LEFT(TRIM(C452),FIND(" ",TRIM(C452)&amp;" ")-1),",","."),FIND("/",SUBSTITUTE(LEFT(TRIM(C452),FIND(" ",TRIM(C452)&amp;" ")-1),",","."))-1)/MID(SUBSTITUTE(LEFT(TRIM(C452),FIND(" ",TRIM(C452)&amp;" ")-1),",","."),FIND("/",SUBSTITUTE(LEFT(TRIM(C452),FIND(" ",TRIM(C452)&amp;" ")-1),",","."))+1,9))*12,NA()))),0),36)*'Aturan &amp; Tarif'!$B$4,2)</f>
        <v>2044.08</v>
      </c>
      <c r="K452" s="42" t="n">
        <f aca="false">'Aturan &amp; Tarif'!$B$5</f>
        <v>2050</v>
      </c>
      <c r="L452" s="35" t="n">
        <f aca="false">I452+J452+K452</f>
        <v>11794.08</v>
      </c>
      <c r="M452" s="45" t="s">
        <v>2442</v>
      </c>
    </row>
    <row r="453" customFormat="false" ht="37.5" hidden="false" customHeight="true" outlineLevel="0" collapsed="false">
      <c r="A453" s="39"/>
      <c r="B453" s="40" t="s">
        <v>2447</v>
      </c>
      <c r="C453" s="41" t="s">
        <v>127</v>
      </c>
      <c r="D453" s="41" t="s">
        <v>108</v>
      </c>
      <c r="E453" s="42" t="n">
        <v>3700</v>
      </c>
      <c r="F453" s="42"/>
      <c r="G453" s="42" t="n">
        <v>300</v>
      </c>
      <c r="H453" s="43" t="n">
        <v>2</v>
      </c>
      <c r="I453" s="34" t="n">
        <f aca="false">E453*H453+N(F453)+N(G453)</f>
        <v>7700</v>
      </c>
      <c r="J453" s="42" t="n">
        <f aca="false">ROUND(IFERROR(ROUND(IF(OR(ISNUMBER(SEARCH("week",C453)),ISNUMBER(SEARCH("minggu",C453))),IFERROR(_xlfn.NUMBERVALUE(SUBSTITUTE(LEFT(TRIM(C453),FIND(" ",TRIM(C453)&amp;" ")-1),",","."),"."),LEFT(SUBSTITUTE(LEFT(TRIM(C453),FIND(" ",TRIM(C453)&amp;" ")-1),",","."),FIND("/",SUBSTITUTE(LEFT(TRIM(C453),FIND(" ",TRIM(C453)&amp;" ")-1),",","."))-1)/MID(SUBSTITUTE(LEFT(TRIM(C453),FIND(" ",TRIM(C453)&amp;" ")-1),",","."),FIND("/",SUBSTITUTE(LEFT(TRIM(C453),FIND(" ",TRIM(C453)&amp;" ")-1),",","."))+1,9))*12/52,IF(ISNUMBER(SEARCH("month",C453)),IFERROR(_xlfn.NUMBERVALUE(SUBSTITUTE(LEFT(TRIM(C453),FIND(" ",TRIM(C453)&amp;" ")-1),",","."),"."),LEFT(SUBSTITUTE(LEFT(TRIM(C453),FIND(" ",TRIM(C453)&amp;" ")-1),",","."),FIND("/",SUBSTITUTE(LEFT(TRIM(C453),FIND(" ",TRIM(C453)&amp;" ")-1),",","."))-1)/MID(SUBSTITUTE(LEFT(TRIM(C453),FIND(" ",TRIM(C453)&amp;" ")-1),",","."),FIND("/",SUBSTITUTE(LEFT(TRIM(C453),FIND(" ",TRIM(C453)&amp;" ")-1),",","."))+1,9)),IF(ISNUMBER(SEARCH("yea",C453)),IFERROR(_xlfn.NUMBERVALUE(SUBSTITUTE(LEFT(TRIM(C453),FIND(" ",TRIM(C453)&amp;" ")-1),",","."),"."),LEFT(SUBSTITUTE(LEFT(TRIM(C453),FIND(" ",TRIM(C453)&amp;" ")-1),",","."),FIND("/",SUBSTITUTE(LEFT(TRIM(C453),FIND(" ",TRIM(C453)&amp;" ")-1),",","."))-1)/MID(SUBSTITUTE(LEFT(TRIM(C453),FIND(" ",TRIM(C453)&amp;" ")-1),",","."),FIND("/",SUBSTITUTE(LEFT(TRIM(C453),FIND(" ",TRIM(C453)&amp;" ")-1),",","."))+1,9))*12,NA()))),0),36)*'Aturan &amp; Tarif'!$B$4,2)</f>
        <v>2044.08</v>
      </c>
      <c r="K453" s="42" t="n">
        <f aca="false">'Aturan &amp; Tarif'!$B$5</f>
        <v>2050</v>
      </c>
      <c r="L453" s="35" t="n">
        <f aca="false">I453+J453+K453</f>
        <v>11794.08</v>
      </c>
      <c r="M453" s="45" t="s">
        <v>2442</v>
      </c>
    </row>
    <row r="454" customFormat="false" ht="14.25" hidden="false" customHeight="true" outlineLevel="0" collapsed="false">
      <c r="A454" s="29" t="s">
        <v>2954</v>
      </c>
      <c r="B454" s="30" t="s">
        <v>2454</v>
      </c>
      <c r="C454" s="31" t="s">
        <v>138</v>
      </c>
      <c r="D454" s="31" t="s">
        <v>108</v>
      </c>
      <c r="E454" s="32" t="n">
        <v>1500</v>
      </c>
      <c r="F454" s="32" t="n">
        <v>50</v>
      </c>
      <c r="G454" s="32" t="n">
        <v>250</v>
      </c>
      <c r="H454" s="33" t="n">
        <v>1</v>
      </c>
      <c r="I454" s="34" t="n">
        <f aca="false">E454*H454+N(F454)+N(G454)</f>
        <v>1800</v>
      </c>
      <c r="J454" s="32" t="n">
        <f aca="false">ROUND(IFERROR(ROUND(IF(OR(ISNUMBER(SEARCH("week",C454)),ISNUMBER(SEARCH("minggu",C454))),IFERROR(_xlfn.NUMBERVALUE(SUBSTITUTE(LEFT(TRIM(C454),FIND(" ",TRIM(C454)&amp;" ")-1),",","."),"."),LEFT(SUBSTITUTE(LEFT(TRIM(C454),FIND(" ",TRIM(C454)&amp;" ")-1),",","."),FIND("/",SUBSTITUTE(LEFT(TRIM(C454),FIND(" ",TRIM(C454)&amp;" ")-1),",","."))-1)/MID(SUBSTITUTE(LEFT(TRIM(C454),FIND(" ",TRIM(C454)&amp;" ")-1),",","."),FIND("/",SUBSTITUTE(LEFT(TRIM(C454),FIND(" ",TRIM(C454)&amp;" ")-1),",","."))+1,9))*12/52,IF(ISNUMBER(SEARCH("month",C454)),IFERROR(_xlfn.NUMBERVALUE(SUBSTITUTE(LEFT(TRIM(C454),FIND(" ",TRIM(C454)&amp;" ")-1),",","."),"."),LEFT(SUBSTITUTE(LEFT(TRIM(C454),FIND(" ",TRIM(C454)&amp;" ")-1),",","."),FIND("/",SUBSTITUTE(LEFT(TRIM(C454),FIND(" ",TRIM(C454)&amp;" ")-1),",","."))-1)/MID(SUBSTITUTE(LEFT(TRIM(C454),FIND(" ",TRIM(C454)&amp;" ")-1),",","."),FIND("/",SUBSTITUTE(LEFT(TRIM(C454),FIND(" ",TRIM(C454)&amp;" ")-1),",","."))+1,9)),IF(ISNUMBER(SEARCH("yea",C454)),IFERROR(_xlfn.NUMBERVALUE(SUBSTITUTE(LEFT(TRIM(C454),FIND(" ",TRIM(C454)&amp;" ")-1),",","."),"."),LEFT(SUBSTITUTE(LEFT(TRIM(C454),FIND(" ",TRIM(C454)&amp;" ")-1),",","."),FIND("/",SUBSTITUTE(LEFT(TRIM(C454),FIND(" ",TRIM(C454)&amp;" ")-1),",","."))-1)/MID(SUBSTITUTE(LEFT(TRIM(C454),FIND(" ",TRIM(C454)&amp;" ")-1),",","."),FIND("/",SUBSTITUTE(LEFT(TRIM(C454),FIND(" ",TRIM(C454)&amp;" ")-1),",","."))+1,9))*12,NA()))),0),30)*'Aturan &amp; Tarif'!$B$4,2)</f>
        <v>1703.4</v>
      </c>
      <c r="K454" s="32" t="n">
        <f aca="false">'Aturan &amp; Tarif'!$B$5</f>
        <v>2050</v>
      </c>
      <c r="L454" s="35" t="n">
        <f aca="false">I454+J454+K454</f>
        <v>5553.4</v>
      </c>
      <c r="M454" s="37" t="s">
        <v>2955</v>
      </c>
    </row>
    <row r="455" customFormat="false" ht="25.5" hidden="false" customHeight="true" outlineLevel="0" collapsed="false">
      <c r="A455" s="29"/>
      <c r="B455" s="30" t="s">
        <v>2059</v>
      </c>
      <c r="C455" s="31" t="s">
        <v>107</v>
      </c>
      <c r="D455" s="31" t="s">
        <v>108</v>
      </c>
      <c r="E455" s="32" t="n">
        <v>1500</v>
      </c>
      <c r="F455" s="32" t="n">
        <v>50</v>
      </c>
      <c r="G455" s="32" t="n">
        <v>250</v>
      </c>
      <c r="H455" s="33" t="n">
        <v>1</v>
      </c>
      <c r="I455" s="34" t="n">
        <f aca="false">E455*H455+N(F455)+N(G455)</f>
        <v>1800</v>
      </c>
      <c r="J455" s="32" t="n">
        <f aca="false">ROUND(IFERROR(ROUND(IF(OR(ISNUMBER(SEARCH("week",C455)),ISNUMBER(SEARCH("minggu",C455))),IFERROR(_xlfn.NUMBERVALUE(SUBSTITUTE(LEFT(TRIM(C455),FIND(" ",TRIM(C455)&amp;" ")-1),",","."),"."),LEFT(SUBSTITUTE(LEFT(TRIM(C455),FIND(" ",TRIM(C455)&amp;" ")-1),",","."),FIND("/",SUBSTITUTE(LEFT(TRIM(C455),FIND(" ",TRIM(C455)&amp;" ")-1),",","."))-1)/MID(SUBSTITUTE(LEFT(TRIM(C455),FIND(" ",TRIM(C455)&amp;" ")-1),",","."),FIND("/",SUBSTITUTE(LEFT(TRIM(C455),FIND(" ",TRIM(C455)&amp;" ")-1),",","."))+1,9))*12/52,IF(ISNUMBER(SEARCH("month",C455)),IFERROR(_xlfn.NUMBERVALUE(SUBSTITUTE(LEFT(TRIM(C455),FIND(" ",TRIM(C455)&amp;" ")-1),",","."),"."),LEFT(SUBSTITUTE(LEFT(TRIM(C455),FIND(" ",TRIM(C455)&amp;" ")-1),",","."),FIND("/",SUBSTITUTE(LEFT(TRIM(C455),FIND(" ",TRIM(C455)&amp;" ")-1),",","."))-1)/MID(SUBSTITUTE(LEFT(TRIM(C455),FIND(" ",TRIM(C455)&amp;" ")-1),",","."),FIND("/",SUBSTITUTE(LEFT(TRIM(C455),FIND(" ",TRIM(C455)&amp;" ")-1),",","."))+1,9)),IF(ISNUMBER(SEARCH("yea",C455)),IFERROR(_xlfn.NUMBERVALUE(SUBSTITUTE(LEFT(TRIM(C455),FIND(" ",TRIM(C455)&amp;" ")-1),",","."),"."),LEFT(SUBSTITUTE(LEFT(TRIM(C455),FIND(" ",TRIM(C455)&amp;" ")-1),",","."),FIND("/",SUBSTITUTE(LEFT(TRIM(C455),FIND(" ",TRIM(C455)&amp;" ")-1),",","."))-1)/MID(SUBSTITUTE(LEFT(TRIM(C455),FIND(" ",TRIM(C455)&amp;" ")-1),",","."),FIND("/",SUBSTITUTE(LEFT(TRIM(C455),FIND(" ",TRIM(C455)&amp;" ")-1),",","."))+1,9))*12,NA()))),0),24)*'Aturan &amp; Tarif'!$B$4,2)</f>
        <v>1362.72</v>
      </c>
      <c r="K455" s="32" t="n">
        <f aca="false">'Aturan &amp; Tarif'!$B$5</f>
        <v>2050</v>
      </c>
      <c r="L455" s="35" t="n">
        <f aca="false">I455+J455+K455</f>
        <v>5212.72</v>
      </c>
      <c r="M455" s="37" t="s">
        <v>2955</v>
      </c>
    </row>
    <row r="456" customFormat="false" ht="25.5" hidden="false" customHeight="true" outlineLevel="0" collapsed="false">
      <c r="A456" s="29"/>
      <c r="B456" s="30" t="s">
        <v>2455</v>
      </c>
      <c r="C456" s="31" t="s">
        <v>136</v>
      </c>
      <c r="D456" s="31" t="s">
        <v>108</v>
      </c>
      <c r="E456" s="32" t="n">
        <v>1500</v>
      </c>
      <c r="F456" s="32" t="n">
        <v>50</v>
      </c>
      <c r="G456" s="32" t="n">
        <v>250</v>
      </c>
      <c r="H456" s="33" t="n">
        <v>1</v>
      </c>
      <c r="I456" s="34" t="n">
        <f aca="false">E456*H456+N(F456)+N(G456)</f>
        <v>1800</v>
      </c>
      <c r="J456" s="32" t="n">
        <f aca="false">ROUND(IFERROR(ROUND(IF(OR(ISNUMBER(SEARCH("week",C456)),ISNUMBER(SEARCH("minggu",C456))),IFERROR(_xlfn.NUMBERVALUE(SUBSTITUTE(LEFT(TRIM(C456),FIND(" ",TRIM(C456)&amp;" ")-1),",","."),"."),LEFT(SUBSTITUTE(LEFT(TRIM(C456),FIND(" ",TRIM(C456)&amp;" ")-1),",","."),FIND("/",SUBSTITUTE(LEFT(TRIM(C456),FIND(" ",TRIM(C456)&amp;" ")-1),",","."))-1)/MID(SUBSTITUTE(LEFT(TRIM(C456),FIND(" ",TRIM(C456)&amp;" ")-1),",","."),FIND("/",SUBSTITUTE(LEFT(TRIM(C456),FIND(" ",TRIM(C456)&amp;" ")-1),",","."))+1,9))*12/52,IF(ISNUMBER(SEARCH("month",C456)),IFERROR(_xlfn.NUMBERVALUE(SUBSTITUTE(LEFT(TRIM(C456),FIND(" ",TRIM(C456)&amp;" ")-1),",","."),"."),LEFT(SUBSTITUTE(LEFT(TRIM(C456),FIND(" ",TRIM(C456)&amp;" ")-1),",","."),FIND("/",SUBSTITUTE(LEFT(TRIM(C456),FIND(" ",TRIM(C456)&amp;" ")-1),",","."))-1)/MID(SUBSTITUTE(LEFT(TRIM(C456),FIND(" ",TRIM(C456)&amp;" ")-1),",","."),FIND("/",SUBSTITUTE(LEFT(TRIM(C456),FIND(" ",TRIM(C456)&amp;" ")-1),",","."))+1,9)),IF(ISNUMBER(SEARCH("yea",C456)),IFERROR(_xlfn.NUMBERVALUE(SUBSTITUTE(LEFT(TRIM(C456),FIND(" ",TRIM(C456)&amp;" ")-1),",","."),"."),LEFT(SUBSTITUTE(LEFT(TRIM(C456),FIND(" ",TRIM(C456)&amp;" ")-1),",","."),FIND("/",SUBSTITUTE(LEFT(TRIM(C456),FIND(" ",TRIM(C456)&amp;" ")-1),",","."))-1)/MID(SUBSTITUTE(LEFT(TRIM(C456),FIND(" ",TRIM(C456)&amp;" ")-1),",","."),FIND("/",SUBSTITUTE(LEFT(TRIM(C456),FIND(" ",TRIM(C456)&amp;" ")-1),",","."))+1,9))*12,NA()))),0),42)*'Aturan &amp; Tarif'!$B$4,2)</f>
        <v>2384.76</v>
      </c>
      <c r="K456" s="32" t="n">
        <f aca="false">'Aturan &amp; Tarif'!$B$5</f>
        <v>2050</v>
      </c>
      <c r="L456" s="35" t="n">
        <f aca="false">I456+J456+K456</f>
        <v>6234.76</v>
      </c>
      <c r="M456" s="37" t="s">
        <v>2955</v>
      </c>
    </row>
    <row r="457" customFormat="false" ht="25.5" hidden="false" customHeight="true" outlineLevel="0" collapsed="false">
      <c r="A457" s="29"/>
      <c r="B457" s="30" t="s">
        <v>430</v>
      </c>
      <c r="C457" s="31" t="s">
        <v>127</v>
      </c>
      <c r="D457" s="31" t="s">
        <v>108</v>
      </c>
      <c r="E457" s="32" t="n">
        <v>1500</v>
      </c>
      <c r="F457" s="32" t="n">
        <v>50</v>
      </c>
      <c r="G457" s="32" t="n">
        <v>250</v>
      </c>
      <c r="H457" s="33" t="n">
        <v>1</v>
      </c>
      <c r="I457" s="34" t="n">
        <f aca="false">E457*H457+N(F457)+N(G457)</f>
        <v>1800</v>
      </c>
      <c r="J457" s="32" t="n">
        <f aca="false">ROUND(IFERROR(ROUND(IF(OR(ISNUMBER(SEARCH("week",C457)),ISNUMBER(SEARCH("minggu",C457))),IFERROR(_xlfn.NUMBERVALUE(SUBSTITUTE(LEFT(TRIM(C457),FIND(" ",TRIM(C457)&amp;" ")-1),",","."),"."),LEFT(SUBSTITUTE(LEFT(TRIM(C457),FIND(" ",TRIM(C457)&amp;" ")-1),",","."),FIND("/",SUBSTITUTE(LEFT(TRIM(C457),FIND(" ",TRIM(C457)&amp;" ")-1),",","."))-1)/MID(SUBSTITUTE(LEFT(TRIM(C457),FIND(" ",TRIM(C457)&amp;" ")-1),",","."),FIND("/",SUBSTITUTE(LEFT(TRIM(C457),FIND(" ",TRIM(C457)&amp;" ")-1),",","."))+1,9))*12/52,IF(ISNUMBER(SEARCH("month",C457)),IFERROR(_xlfn.NUMBERVALUE(SUBSTITUTE(LEFT(TRIM(C457),FIND(" ",TRIM(C457)&amp;" ")-1),",","."),"."),LEFT(SUBSTITUTE(LEFT(TRIM(C457),FIND(" ",TRIM(C457)&amp;" ")-1),",","."),FIND("/",SUBSTITUTE(LEFT(TRIM(C457),FIND(" ",TRIM(C457)&amp;" ")-1),",","."))-1)/MID(SUBSTITUTE(LEFT(TRIM(C457),FIND(" ",TRIM(C457)&amp;" ")-1),",","."),FIND("/",SUBSTITUTE(LEFT(TRIM(C457),FIND(" ",TRIM(C457)&amp;" ")-1),",","."))+1,9)),IF(ISNUMBER(SEARCH("yea",C457)),IFERROR(_xlfn.NUMBERVALUE(SUBSTITUTE(LEFT(TRIM(C457),FIND(" ",TRIM(C457)&amp;" ")-1),",","."),"."),LEFT(SUBSTITUTE(LEFT(TRIM(C457),FIND(" ",TRIM(C457)&amp;" ")-1),",","."),FIND("/",SUBSTITUTE(LEFT(TRIM(C457),FIND(" ",TRIM(C457)&amp;" ")-1),",","."))-1)/MID(SUBSTITUTE(LEFT(TRIM(C457),FIND(" ",TRIM(C457)&amp;" ")-1),",","."),FIND("/",SUBSTITUTE(LEFT(TRIM(C457),FIND(" ",TRIM(C457)&amp;" ")-1),",","."))+1,9))*12,NA()))),0),36)*'Aturan &amp; Tarif'!$B$4,2)</f>
        <v>2044.08</v>
      </c>
      <c r="K457" s="32" t="n">
        <f aca="false">'Aturan &amp; Tarif'!$B$5</f>
        <v>2050</v>
      </c>
      <c r="L457" s="35" t="n">
        <f aca="false">I457+J457+K457</f>
        <v>5894.08</v>
      </c>
      <c r="M457" s="37" t="s">
        <v>2955</v>
      </c>
    </row>
    <row r="458" customFormat="false" ht="25.5" hidden="false" customHeight="true" outlineLevel="0" collapsed="false">
      <c r="A458" s="29"/>
      <c r="B458" s="30" t="s">
        <v>148</v>
      </c>
      <c r="C458" s="31" t="s">
        <v>127</v>
      </c>
      <c r="D458" s="31" t="s">
        <v>108</v>
      </c>
      <c r="E458" s="32" t="n">
        <v>2250</v>
      </c>
      <c r="F458" s="32" t="n">
        <v>1500</v>
      </c>
      <c r="G458" s="32" t="n">
        <v>250</v>
      </c>
      <c r="H458" s="33" t="n">
        <v>1</v>
      </c>
      <c r="I458" s="34" t="n">
        <f aca="false">E458*H458+N(F458)+N(G458)</f>
        <v>4000</v>
      </c>
      <c r="J458" s="32" t="n">
        <f aca="false">ROUND(IFERROR(ROUND(IF(OR(ISNUMBER(SEARCH("week",C458)),ISNUMBER(SEARCH("minggu",C458))),IFERROR(_xlfn.NUMBERVALUE(SUBSTITUTE(LEFT(TRIM(C458),FIND(" ",TRIM(C458)&amp;" ")-1),",","."),"."),LEFT(SUBSTITUTE(LEFT(TRIM(C458),FIND(" ",TRIM(C458)&amp;" ")-1),",","."),FIND("/",SUBSTITUTE(LEFT(TRIM(C458),FIND(" ",TRIM(C458)&amp;" ")-1),",","."))-1)/MID(SUBSTITUTE(LEFT(TRIM(C458),FIND(" ",TRIM(C458)&amp;" ")-1),",","."),FIND("/",SUBSTITUTE(LEFT(TRIM(C458),FIND(" ",TRIM(C458)&amp;" ")-1),",","."))+1,9))*12/52,IF(ISNUMBER(SEARCH("month",C458)),IFERROR(_xlfn.NUMBERVALUE(SUBSTITUTE(LEFT(TRIM(C458),FIND(" ",TRIM(C458)&amp;" ")-1),",","."),"."),LEFT(SUBSTITUTE(LEFT(TRIM(C458),FIND(" ",TRIM(C458)&amp;" ")-1),",","."),FIND("/",SUBSTITUTE(LEFT(TRIM(C458),FIND(" ",TRIM(C458)&amp;" ")-1),",","."))-1)/MID(SUBSTITUTE(LEFT(TRIM(C458),FIND(" ",TRIM(C458)&amp;" ")-1),",","."),FIND("/",SUBSTITUTE(LEFT(TRIM(C458),FIND(" ",TRIM(C458)&amp;" ")-1),",","."))+1,9)),IF(ISNUMBER(SEARCH("yea",C458)),IFERROR(_xlfn.NUMBERVALUE(SUBSTITUTE(LEFT(TRIM(C458),FIND(" ",TRIM(C458)&amp;" ")-1),",","."),"."),LEFT(SUBSTITUTE(LEFT(TRIM(C458),FIND(" ",TRIM(C458)&amp;" ")-1),",","."),FIND("/",SUBSTITUTE(LEFT(TRIM(C458),FIND(" ",TRIM(C458)&amp;" ")-1),",","."))-1)/MID(SUBSTITUTE(LEFT(TRIM(C458),FIND(" ",TRIM(C458)&amp;" ")-1),",","."),FIND("/",SUBSTITUTE(LEFT(TRIM(C458),FIND(" ",TRIM(C458)&amp;" ")-1),",","."))+1,9))*12,NA()))),0),36)*'Aturan &amp; Tarif'!$B$4,2)</f>
        <v>2044.08</v>
      </c>
      <c r="K458" s="32" t="n">
        <f aca="false">'Aturan &amp; Tarif'!$B$5</f>
        <v>2050</v>
      </c>
      <c r="L458" s="35" t="n">
        <f aca="false">I458+J458+K458</f>
        <v>8094.08</v>
      </c>
      <c r="M458" s="37" t="s">
        <v>2955</v>
      </c>
    </row>
    <row r="459" customFormat="false" ht="25.5" hidden="false" customHeight="true" outlineLevel="0" collapsed="false">
      <c r="A459" s="29"/>
      <c r="B459" s="30" t="s">
        <v>806</v>
      </c>
      <c r="C459" s="31" t="s">
        <v>245</v>
      </c>
      <c r="D459" s="31" t="s">
        <v>108</v>
      </c>
      <c r="E459" s="32" t="n">
        <v>2250</v>
      </c>
      <c r="F459" s="32" t="n">
        <v>1500</v>
      </c>
      <c r="G459" s="32" t="n">
        <v>250</v>
      </c>
      <c r="H459" s="33" t="n">
        <v>1</v>
      </c>
      <c r="I459" s="34" t="n">
        <f aca="false">E459*H459+N(F459)+N(G459)</f>
        <v>4000</v>
      </c>
      <c r="J459" s="32" t="n">
        <f aca="false">ROUND(IFERROR(ROUND(IF(OR(ISNUMBER(SEARCH("week",C459)),ISNUMBER(SEARCH("minggu",C459))),IFERROR(_xlfn.NUMBERVALUE(SUBSTITUTE(LEFT(TRIM(C459),FIND(" ",TRIM(C459)&amp;" ")-1),",","."),"."),LEFT(SUBSTITUTE(LEFT(TRIM(C459),FIND(" ",TRIM(C459)&amp;" ")-1),",","."),FIND("/",SUBSTITUTE(LEFT(TRIM(C459),FIND(" ",TRIM(C459)&amp;" ")-1),",","."))-1)/MID(SUBSTITUTE(LEFT(TRIM(C459),FIND(" ",TRIM(C459)&amp;" ")-1),",","."),FIND("/",SUBSTITUTE(LEFT(TRIM(C459),FIND(" ",TRIM(C459)&amp;" ")-1),",","."))+1,9))*12/52,IF(ISNUMBER(SEARCH("month",C459)),IFERROR(_xlfn.NUMBERVALUE(SUBSTITUTE(LEFT(TRIM(C459),FIND(" ",TRIM(C459)&amp;" ")-1),",","."),"."),LEFT(SUBSTITUTE(LEFT(TRIM(C459),FIND(" ",TRIM(C459)&amp;" ")-1),",","."),FIND("/",SUBSTITUTE(LEFT(TRIM(C459),FIND(" ",TRIM(C459)&amp;" ")-1),",","."))-1)/MID(SUBSTITUTE(LEFT(TRIM(C459),FIND(" ",TRIM(C459)&amp;" ")-1),",","."),FIND("/",SUBSTITUTE(LEFT(TRIM(C459),FIND(" ",TRIM(C459)&amp;" ")-1),",","."))+1,9)),IF(ISNUMBER(SEARCH("yea",C459)),IFERROR(_xlfn.NUMBERVALUE(SUBSTITUTE(LEFT(TRIM(C459),FIND(" ",TRIM(C459)&amp;" ")-1),",","."),"."),LEFT(SUBSTITUTE(LEFT(TRIM(C459),FIND(" ",TRIM(C459)&amp;" ")-1),",","."),FIND("/",SUBSTITUTE(LEFT(TRIM(C459),FIND(" ",TRIM(C459)&amp;" ")-1),",","."))-1)/MID(SUBSTITUTE(LEFT(TRIM(C459),FIND(" ",TRIM(C459)&amp;" ")-1),",","."),FIND("/",SUBSTITUTE(LEFT(TRIM(C459),FIND(" ",TRIM(C459)&amp;" ")-1),",","."))+1,9))*12,NA()))),0),60)*'Aturan &amp; Tarif'!$B$4,2)</f>
        <v>3406.8</v>
      </c>
      <c r="K459" s="32" t="n">
        <f aca="false">'Aturan &amp; Tarif'!$B$5</f>
        <v>2050</v>
      </c>
      <c r="L459" s="35" t="n">
        <f aca="false">I459+J459+K459</f>
        <v>9456.8</v>
      </c>
      <c r="M459" s="37" t="s">
        <v>2955</v>
      </c>
    </row>
    <row r="460" customFormat="false" ht="37.5" hidden="false" customHeight="true" outlineLevel="0" collapsed="false">
      <c r="A460" s="29"/>
      <c r="B460" s="30" t="s">
        <v>2456</v>
      </c>
      <c r="C460" s="31" t="s">
        <v>107</v>
      </c>
      <c r="D460" s="31" t="s">
        <v>108</v>
      </c>
      <c r="E460" s="32" t="n">
        <v>2200</v>
      </c>
      <c r="F460" s="32" t="n">
        <v>500</v>
      </c>
      <c r="G460" s="32" t="n">
        <v>250</v>
      </c>
      <c r="H460" s="33" t="n">
        <v>1</v>
      </c>
      <c r="I460" s="34" t="n">
        <f aca="false">E460*H460+N(F460)+N(G460)</f>
        <v>2950</v>
      </c>
      <c r="J460" s="32" t="n">
        <f aca="false">ROUND(IFERROR(ROUND(IF(OR(ISNUMBER(SEARCH("week",C460)),ISNUMBER(SEARCH("minggu",C460))),IFERROR(_xlfn.NUMBERVALUE(SUBSTITUTE(LEFT(TRIM(C460),FIND(" ",TRIM(C460)&amp;" ")-1),",","."),"."),LEFT(SUBSTITUTE(LEFT(TRIM(C460),FIND(" ",TRIM(C460)&amp;" ")-1),",","."),FIND("/",SUBSTITUTE(LEFT(TRIM(C460),FIND(" ",TRIM(C460)&amp;" ")-1),",","."))-1)/MID(SUBSTITUTE(LEFT(TRIM(C460),FIND(" ",TRIM(C460)&amp;" ")-1),",","."),FIND("/",SUBSTITUTE(LEFT(TRIM(C460),FIND(" ",TRIM(C460)&amp;" ")-1),",","."))+1,9))*12/52,IF(ISNUMBER(SEARCH("month",C460)),IFERROR(_xlfn.NUMBERVALUE(SUBSTITUTE(LEFT(TRIM(C460),FIND(" ",TRIM(C460)&amp;" ")-1),",","."),"."),LEFT(SUBSTITUTE(LEFT(TRIM(C460),FIND(" ",TRIM(C460)&amp;" ")-1),",","."),FIND("/",SUBSTITUTE(LEFT(TRIM(C460),FIND(" ",TRIM(C460)&amp;" ")-1),",","."))-1)/MID(SUBSTITUTE(LEFT(TRIM(C460),FIND(" ",TRIM(C460)&amp;" ")-1),",","."),FIND("/",SUBSTITUTE(LEFT(TRIM(C460),FIND(" ",TRIM(C460)&amp;" ")-1),",","."))+1,9)),IF(ISNUMBER(SEARCH("yea",C460)),IFERROR(_xlfn.NUMBERVALUE(SUBSTITUTE(LEFT(TRIM(C460),FIND(" ",TRIM(C460)&amp;" ")-1),",","."),"."),LEFT(SUBSTITUTE(LEFT(TRIM(C460),FIND(" ",TRIM(C460)&amp;" ")-1),",","."),FIND("/",SUBSTITUTE(LEFT(TRIM(C460),FIND(" ",TRIM(C460)&amp;" ")-1),",","."))-1)/MID(SUBSTITUTE(LEFT(TRIM(C460),FIND(" ",TRIM(C460)&amp;" ")-1),",","."),FIND("/",SUBSTITUTE(LEFT(TRIM(C460),FIND(" ",TRIM(C460)&amp;" ")-1),",","."))+1,9))*12,NA()))),0),24)*'Aturan &amp; Tarif'!$B$4,2)</f>
        <v>1362.72</v>
      </c>
      <c r="K460" s="32" t="n">
        <f aca="false">'Aturan &amp; Tarif'!$B$5</f>
        <v>2050</v>
      </c>
      <c r="L460" s="35" t="n">
        <f aca="false">I460+J460+K460</f>
        <v>6362.72</v>
      </c>
      <c r="M460" s="37" t="s">
        <v>2955</v>
      </c>
    </row>
    <row r="461" customFormat="false" ht="14.25" hidden="false" customHeight="true" outlineLevel="0" collapsed="false">
      <c r="A461" s="39" t="s">
        <v>2958</v>
      </c>
      <c r="B461" s="40" t="s">
        <v>2458</v>
      </c>
      <c r="C461" s="41" t="s">
        <v>130</v>
      </c>
      <c r="D461" s="41" t="s">
        <v>108</v>
      </c>
      <c r="E461" s="42" t="n">
        <v>7900</v>
      </c>
      <c r="F461" s="42"/>
      <c r="G461" s="42"/>
      <c r="H461" s="43" t="n">
        <v>2</v>
      </c>
      <c r="I461" s="34" t="n">
        <f aca="false">E461*H461+N(F461)+N(G461)</f>
        <v>15800</v>
      </c>
      <c r="J461" s="42" t="n">
        <f aca="false">ROUND(IFERROR(ROUND(IF(OR(ISNUMBER(SEARCH("week",C461)),ISNUMBER(SEARCH("minggu",C461))),IFERROR(_xlfn.NUMBERVALUE(SUBSTITUTE(LEFT(TRIM(C461),FIND(" ",TRIM(C461)&amp;" ")-1),",","."),"."),LEFT(SUBSTITUTE(LEFT(TRIM(C461),FIND(" ",TRIM(C461)&amp;" ")-1),",","."),FIND("/",SUBSTITUTE(LEFT(TRIM(C461),FIND(" ",TRIM(C461)&amp;" ")-1),",","."))-1)/MID(SUBSTITUTE(LEFT(TRIM(C461),FIND(" ",TRIM(C461)&amp;" ")-1),",","."),FIND("/",SUBSTITUTE(LEFT(TRIM(C461),FIND(" ",TRIM(C461)&amp;" ")-1),",","."))+1,9))*12/52,IF(ISNUMBER(SEARCH("month",C461)),IFERROR(_xlfn.NUMBERVALUE(SUBSTITUTE(LEFT(TRIM(C461),FIND(" ",TRIM(C461)&amp;" ")-1),",","."),"."),LEFT(SUBSTITUTE(LEFT(TRIM(C461),FIND(" ",TRIM(C461)&amp;" ")-1),",","."),FIND("/",SUBSTITUTE(LEFT(TRIM(C461),FIND(" ",TRIM(C461)&amp;" ")-1),",","."))-1)/MID(SUBSTITUTE(LEFT(TRIM(C461),FIND(" ",TRIM(C461)&amp;" ")-1),",","."),FIND("/",SUBSTITUTE(LEFT(TRIM(C461),FIND(" ",TRIM(C461)&amp;" ")-1),",","."))+1,9)),IF(ISNUMBER(SEARCH("yea",C461)),IFERROR(_xlfn.NUMBERVALUE(SUBSTITUTE(LEFT(TRIM(C461),FIND(" ",TRIM(C461)&amp;" ")-1),",","."),"."),LEFT(SUBSTITUTE(LEFT(TRIM(C461),FIND(" ",TRIM(C461)&amp;" ")-1),",","."),FIND("/",SUBSTITUTE(LEFT(TRIM(C461),FIND(" ",TRIM(C461)&amp;" ")-1),",","."))-1)/MID(SUBSTITUTE(LEFT(TRIM(C461),FIND(" ",TRIM(C461)&amp;" ")-1),",","."),FIND("/",SUBSTITUTE(LEFT(TRIM(C461),FIND(" ",TRIM(C461)&amp;" ")-1),",","."))+1,9))*12,NA()))),0),12)*'Aturan &amp; Tarif'!$B$4,2)</f>
        <v>681.36</v>
      </c>
      <c r="K461" s="42" t="n">
        <f aca="false">'Aturan &amp; Tarif'!$B$5</f>
        <v>2050</v>
      </c>
      <c r="L461" s="35" t="n">
        <f aca="false">I461+J461+K461</f>
        <v>18531.36</v>
      </c>
      <c r="M461" s="45" t="s">
        <v>2459</v>
      </c>
    </row>
    <row r="462" customFormat="false" ht="60" hidden="false" customHeight="true" outlineLevel="0" collapsed="false">
      <c r="A462" s="39"/>
      <c r="B462" s="40" t="s">
        <v>2460</v>
      </c>
      <c r="C462" s="41" t="s">
        <v>127</v>
      </c>
      <c r="D462" s="41" t="s">
        <v>108</v>
      </c>
      <c r="E462" s="42" t="n">
        <v>7900</v>
      </c>
      <c r="F462" s="42"/>
      <c r="G462" s="42"/>
      <c r="H462" s="43" t="n">
        <v>2</v>
      </c>
      <c r="I462" s="34" t="n">
        <f aca="false">E462*H462+N(F462)+N(G462)</f>
        <v>15800</v>
      </c>
      <c r="J462" s="42" t="n">
        <f aca="false">ROUND(IFERROR(ROUND(IF(OR(ISNUMBER(SEARCH("week",C462)),ISNUMBER(SEARCH("minggu",C462))),IFERROR(_xlfn.NUMBERVALUE(SUBSTITUTE(LEFT(TRIM(C462),FIND(" ",TRIM(C462)&amp;" ")-1),",","."),"."),LEFT(SUBSTITUTE(LEFT(TRIM(C462),FIND(" ",TRIM(C462)&amp;" ")-1),",","."),FIND("/",SUBSTITUTE(LEFT(TRIM(C462),FIND(" ",TRIM(C462)&amp;" ")-1),",","."))-1)/MID(SUBSTITUTE(LEFT(TRIM(C462),FIND(" ",TRIM(C462)&amp;" ")-1),",","."),FIND("/",SUBSTITUTE(LEFT(TRIM(C462),FIND(" ",TRIM(C462)&amp;" ")-1),",","."))+1,9))*12/52,IF(ISNUMBER(SEARCH("month",C462)),IFERROR(_xlfn.NUMBERVALUE(SUBSTITUTE(LEFT(TRIM(C462),FIND(" ",TRIM(C462)&amp;" ")-1),",","."),"."),LEFT(SUBSTITUTE(LEFT(TRIM(C462),FIND(" ",TRIM(C462)&amp;" ")-1),",","."),FIND("/",SUBSTITUTE(LEFT(TRIM(C462),FIND(" ",TRIM(C462)&amp;" ")-1),",","."))-1)/MID(SUBSTITUTE(LEFT(TRIM(C462),FIND(" ",TRIM(C462)&amp;" ")-1),",","."),FIND("/",SUBSTITUTE(LEFT(TRIM(C462),FIND(" ",TRIM(C462)&amp;" ")-1),",","."))+1,9)),IF(ISNUMBER(SEARCH("yea",C462)),IFERROR(_xlfn.NUMBERVALUE(SUBSTITUTE(LEFT(TRIM(C462),FIND(" ",TRIM(C462)&amp;" ")-1),",","."),"."),LEFT(SUBSTITUTE(LEFT(TRIM(C462),FIND(" ",TRIM(C462)&amp;" ")-1),",","."),FIND("/",SUBSTITUTE(LEFT(TRIM(C462),FIND(" ",TRIM(C462)&amp;" ")-1),",","."))-1)/MID(SUBSTITUTE(LEFT(TRIM(C462),FIND(" ",TRIM(C462)&amp;" ")-1),",","."),FIND("/",SUBSTITUTE(LEFT(TRIM(C462),FIND(" ",TRIM(C462)&amp;" ")-1),",","."))+1,9))*12,NA()))),0),36)*'Aturan &amp; Tarif'!$B$4,2)</f>
        <v>2044.08</v>
      </c>
      <c r="K462" s="42" t="n">
        <f aca="false">'Aturan &amp; Tarif'!$B$5</f>
        <v>2050</v>
      </c>
      <c r="L462" s="35" t="n">
        <f aca="false">I462+J462+K462</f>
        <v>19894.08</v>
      </c>
      <c r="M462" s="45" t="s">
        <v>2461</v>
      </c>
    </row>
    <row r="463" customFormat="false" ht="60" hidden="false" customHeight="true" outlineLevel="0" collapsed="false">
      <c r="A463" s="39"/>
      <c r="B463" s="40" t="s">
        <v>1032</v>
      </c>
      <c r="C463" s="41" t="s">
        <v>130</v>
      </c>
      <c r="D463" s="41" t="s">
        <v>108</v>
      </c>
      <c r="E463" s="42" t="n">
        <v>7900</v>
      </c>
      <c r="F463" s="42"/>
      <c r="G463" s="42"/>
      <c r="H463" s="43" t="n">
        <v>2</v>
      </c>
      <c r="I463" s="34" t="n">
        <f aca="false">E463*H463+N(F463)+N(G463)</f>
        <v>15800</v>
      </c>
      <c r="J463" s="42" t="n">
        <f aca="false">ROUND(IFERROR(ROUND(IF(OR(ISNUMBER(SEARCH("week",C463)),ISNUMBER(SEARCH("minggu",C463))),IFERROR(_xlfn.NUMBERVALUE(SUBSTITUTE(LEFT(TRIM(C463),FIND(" ",TRIM(C463)&amp;" ")-1),",","."),"."),LEFT(SUBSTITUTE(LEFT(TRIM(C463),FIND(" ",TRIM(C463)&amp;" ")-1),",","."),FIND("/",SUBSTITUTE(LEFT(TRIM(C463),FIND(" ",TRIM(C463)&amp;" ")-1),",","."))-1)/MID(SUBSTITUTE(LEFT(TRIM(C463),FIND(" ",TRIM(C463)&amp;" ")-1),",","."),FIND("/",SUBSTITUTE(LEFT(TRIM(C463),FIND(" ",TRIM(C463)&amp;" ")-1),",","."))+1,9))*12/52,IF(ISNUMBER(SEARCH("month",C463)),IFERROR(_xlfn.NUMBERVALUE(SUBSTITUTE(LEFT(TRIM(C463),FIND(" ",TRIM(C463)&amp;" ")-1),",","."),"."),LEFT(SUBSTITUTE(LEFT(TRIM(C463),FIND(" ",TRIM(C463)&amp;" ")-1),",","."),FIND("/",SUBSTITUTE(LEFT(TRIM(C463),FIND(" ",TRIM(C463)&amp;" ")-1),",","."))-1)/MID(SUBSTITUTE(LEFT(TRIM(C463),FIND(" ",TRIM(C463)&amp;" ")-1),",","."),FIND("/",SUBSTITUTE(LEFT(TRIM(C463),FIND(" ",TRIM(C463)&amp;" ")-1),",","."))+1,9)),IF(ISNUMBER(SEARCH("yea",C463)),IFERROR(_xlfn.NUMBERVALUE(SUBSTITUTE(LEFT(TRIM(C463),FIND(" ",TRIM(C463)&amp;" ")-1),",","."),"."),LEFT(SUBSTITUTE(LEFT(TRIM(C463),FIND(" ",TRIM(C463)&amp;" ")-1),",","."),FIND("/",SUBSTITUTE(LEFT(TRIM(C463),FIND(" ",TRIM(C463)&amp;" ")-1),",","."))-1)/MID(SUBSTITUTE(LEFT(TRIM(C463),FIND(" ",TRIM(C463)&amp;" ")-1),",","."),FIND("/",SUBSTITUTE(LEFT(TRIM(C463),FIND(" ",TRIM(C463)&amp;" ")-1),",","."))+1,9))*12,NA()))),0),12)*'Aturan &amp; Tarif'!$B$4,2)</f>
        <v>681.36</v>
      </c>
      <c r="K463" s="42" t="n">
        <f aca="false">'Aturan &amp; Tarif'!$B$5</f>
        <v>2050</v>
      </c>
      <c r="L463" s="35" t="n">
        <f aca="false">I463+J463+K463</f>
        <v>18531.36</v>
      </c>
      <c r="M463" s="44" t="s">
        <v>1033</v>
      </c>
    </row>
    <row r="464" customFormat="false" ht="60" hidden="false" customHeight="true" outlineLevel="0" collapsed="false">
      <c r="A464" s="39"/>
      <c r="B464" s="40" t="s">
        <v>321</v>
      </c>
      <c r="C464" s="41" t="s">
        <v>127</v>
      </c>
      <c r="D464" s="41" t="s">
        <v>108</v>
      </c>
      <c r="E464" s="42" t="n">
        <v>7900</v>
      </c>
      <c r="F464" s="42"/>
      <c r="G464" s="42"/>
      <c r="H464" s="43" t="n">
        <v>2</v>
      </c>
      <c r="I464" s="34" t="n">
        <f aca="false">E464*H464+N(F464)+N(G464)</f>
        <v>15800</v>
      </c>
      <c r="J464" s="42" t="n">
        <f aca="false">ROUND(IFERROR(ROUND(IF(OR(ISNUMBER(SEARCH("week",C464)),ISNUMBER(SEARCH("minggu",C464))),IFERROR(_xlfn.NUMBERVALUE(SUBSTITUTE(LEFT(TRIM(C464),FIND(" ",TRIM(C464)&amp;" ")-1),",","."),"."),LEFT(SUBSTITUTE(LEFT(TRIM(C464),FIND(" ",TRIM(C464)&amp;" ")-1),",","."),FIND("/",SUBSTITUTE(LEFT(TRIM(C464),FIND(" ",TRIM(C464)&amp;" ")-1),",","."))-1)/MID(SUBSTITUTE(LEFT(TRIM(C464),FIND(" ",TRIM(C464)&amp;" ")-1),",","."),FIND("/",SUBSTITUTE(LEFT(TRIM(C464),FIND(" ",TRIM(C464)&amp;" ")-1),",","."))+1,9))*12/52,IF(ISNUMBER(SEARCH("month",C464)),IFERROR(_xlfn.NUMBERVALUE(SUBSTITUTE(LEFT(TRIM(C464),FIND(" ",TRIM(C464)&amp;" ")-1),",","."),"."),LEFT(SUBSTITUTE(LEFT(TRIM(C464),FIND(" ",TRIM(C464)&amp;" ")-1),",","."),FIND("/",SUBSTITUTE(LEFT(TRIM(C464),FIND(" ",TRIM(C464)&amp;" ")-1),",","."))-1)/MID(SUBSTITUTE(LEFT(TRIM(C464),FIND(" ",TRIM(C464)&amp;" ")-1),",","."),FIND("/",SUBSTITUTE(LEFT(TRIM(C464),FIND(" ",TRIM(C464)&amp;" ")-1),",","."))+1,9)),IF(ISNUMBER(SEARCH("yea",C464)),IFERROR(_xlfn.NUMBERVALUE(SUBSTITUTE(LEFT(TRIM(C464),FIND(" ",TRIM(C464)&amp;" ")-1),",","."),"."),LEFT(SUBSTITUTE(LEFT(TRIM(C464),FIND(" ",TRIM(C464)&amp;" ")-1),",","."),FIND("/",SUBSTITUTE(LEFT(TRIM(C464),FIND(" ",TRIM(C464)&amp;" ")-1),",","."))-1)/MID(SUBSTITUTE(LEFT(TRIM(C464),FIND(" ",TRIM(C464)&amp;" ")-1),",","."),FIND("/",SUBSTITUTE(LEFT(TRIM(C464),FIND(" ",TRIM(C464)&amp;" ")-1),",","."))+1,9))*12,NA()))),0),36)*'Aturan &amp; Tarif'!$B$4,2)</f>
        <v>2044.08</v>
      </c>
      <c r="K464" s="42" t="n">
        <f aca="false">'Aturan &amp; Tarif'!$B$5</f>
        <v>2050</v>
      </c>
      <c r="L464" s="35" t="n">
        <f aca="false">I464+J464+K464</f>
        <v>19894.08</v>
      </c>
      <c r="M464" s="44" t="s">
        <v>1034</v>
      </c>
    </row>
    <row r="465" customFormat="false" ht="60" hidden="false" customHeight="true" outlineLevel="0" collapsed="false">
      <c r="A465" s="39"/>
      <c r="B465" s="40" t="s">
        <v>1035</v>
      </c>
      <c r="C465" s="41" t="s">
        <v>130</v>
      </c>
      <c r="D465" s="41" t="s">
        <v>108</v>
      </c>
      <c r="E465" s="42" t="n">
        <v>7900</v>
      </c>
      <c r="F465" s="42"/>
      <c r="G465" s="42"/>
      <c r="H465" s="43" t="n">
        <v>2</v>
      </c>
      <c r="I465" s="34" t="n">
        <f aca="false">E465*H465+N(F465)+N(G465)</f>
        <v>15800</v>
      </c>
      <c r="J465" s="42" t="n">
        <f aca="false">ROUND(IFERROR(ROUND(IF(OR(ISNUMBER(SEARCH("week",C465)),ISNUMBER(SEARCH("minggu",C465))),IFERROR(_xlfn.NUMBERVALUE(SUBSTITUTE(LEFT(TRIM(C465),FIND(" ",TRIM(C465)&amp;" ")-1),",","."),"."),LEFT(SUBSTITUTE(LEFT(TRIM(C465),FIND(" ",TRIM(C465)&amp;" ")-1),",","."),FIND("/",SUBSTITUTE(LEFT(TRIM(C465),FIND(" ",TRIM(C465)&amp;" ")-1),",","."))-1)/MID(SUBSTITUTE(LEFT(TRIM(C465),FIND(" ",TRIM(C465)&amp;" ")-1),",","."),FIND("/",SUBSTITUTE(LEFT(TRIM(C465),FIND(" ",TRIM(C465)&amp;" ")-1),",","."))+1,9))*12/52,IF(ISNUMBER(SEARCH("month",C465)),IFERROR(_xlfn.NUMBERVALUE(SUBSTITUTE(LEFT(TRIM(C465),FIND(" ",TRIM(C465)&amp;" ")-1),",","."),"."),LEFT(SUBSTITUTE(LEFT(TRIM(C465),FIND(" ",TRIM(C465)&amp;" ")-1),",","."),FIND("/",SUBSTITUTE(LEFT(TRIM(C465),FIND(" ",TRIM(C465)&amp;" ")-1),",","."))-1)/MID(SUBSTITUTE(LEFT(TRIM(C465),FIND(" ",TRIM(C465)&amp;" ")-1),",","."),FIND("/",SUBSTITUTE(LEFT(TRIM(C465),FIND(" ",TRIM(C465)&amp;" ")-1),",","."))+1,9)),IF(ISNUMBER(SEARCH("yea",C465)),IFERROR(_xlfn.NUMBERVALUE(SUBSTITUTE(LEFT(TRIM(C465),FIND(" ",TRIM(C465)&amp;" ")-1),",","."),"."),LEFT(SUBSTITUTE(LEFT(TRIM(C465),FIND(" ",TRIM(C465)&amp;" ")-1),",","."),FIND("/",SUBSTITUTE(LEFT(TRIM(C465),FIND(" ",TRIM(C465)&amp;" ")-1),",","."))-1)/MID(SUBSTITUTE(LEFT(TRIM(C465),FIND(" ",TRIM(C465)&amp;" ")-1),",","."),FIND("/",SUBSTITUTE(LEFT(TRIM(C465),FIND(" ",TRIM(C465)&amp;" ")-1),",","."))+1,9))*12,NA()))),0),12)*'Aturan &amp; Tarif'!$B$4,2)</f>
        <v>681.36</v>
      </c>
      <c r="K465" s="42" t="n">
        <f aca="false">'Aturan &amp; Tarif'!$B$5</f>
        <v>2050</v>
      </c>
      <c r="L465" s="35" t="n">
        <f aca="false">I465+J465+K465</f>
        <v>18531.36</v>
      </c>
      <c r="M465" s="44" t="s">
        <v>1036</v>
      </c>
    </row>
    <row r="466" customFormat="false" ht="60" hidden="false" customHeight="true" outlineLevel="0" collapsed="false">
      <c r="A466" s="39"/>
      <c r="B466" s="40" t="s">
        <v>1037</v>
      </c>
      <c r="C466" s="41" t="s">
        <v>127</v>
      </c>
      <c r="D466" s="41" t="s">
        <v>108</v>
      </c>
      <c r="E466" s="42" t="n">
        <v>7900</v>
      </c>
      <c r="F466" s="42"/>
      <c r="G466" s="42"/>
      <c r="H466" s="43" t="n">
        <v>2</v>
      </c>
      <c r="I466" s="34" t="n">
        <f aca="false">E466*H466+N(F466)+N(G466)</f>
        <v>15800</v>
      </c>
      <c r="J466" s="42" t="n">
        <f aca="false">ROUND(IFERROR(ROUND(IF(OR(ISNUMBER(SEARCH("week",C466)),ISNUMBER(SEARCH("minggu",C466))),IFERROR(_xlfn.NUMBERVALUE(SUBSTITUTE(LEFT(TRIM(C466),FIND(" ",TRIM(C466)&amp;" ")-1),",","."),"."),LEFT(SUBSTITUTE(LEFT(TRIM(C466),FIND(" ",TRIM(C466)&amp;" ")-1),",","."),FIND("/",SUBSTITUTE(LEFT(TRIM(C466),FIND(" ",TRIM(C466)&amp;" ")-1),",","."))-1)/MID(SUBSTITUTE(LEFT(TRIM(C466),FIND(" ",TRIM(C466)&amp;" ")-1),",","."),FIND("/",SUBSTITUTE(LEFT(TRIM(C466),FIND(" ",TRIM(C466)&amp;" ")-1),",","."))+1,9))*12/52,IF(ISNUMBER(SEARCH("month",C466)),IFERROR(_xlfn.NUMBERVALUE(SUBSTITUTE(LEFT(TRIM(C466),FIND(" ",TRIM(C466)&amp;" ")-1),",","."),"."),LEFT(SUBSTITUTE(LEFT(TRIM(C466),FIND(" ",TRIM(C466)&amp;" ")-1),",","."),FIND("/",SUBSTITUTE(LEFT(TRIM(C466),FIND(" ",TRIM(C466)&amp;" ")-1),",","."))-1)/MID(SUBSTITUTE(LEFT(TRIM(C466),FIND(" ",TRIM(C466)&amp;" ")-1),",","."),FIND("/",SUBSTITUTE(LEFT(TRIM(C466),FIND(" ",TRIM(C466)&amp;" ")-1),",","."))+1,9)),IF(ISNUMBER(SEARCH("yea",C466)),IFERROR(_xlfn.NUMBERVALUE(SUBSTITUTE(LEFT(TRIM(C466),FIND(" ",TRIM(C466)&amp;" ")-1),",","."),"."),LEFT(SUBSTITUTE(LEFT(TRIM(C466),FIND(" ",TRIM(C466)&amp;" ")-1),",","."),FIND("/",SUBSTITUTE(LEFT(TRIM(C466),FIND(" ",TRIM(C466)&amp;" ")-1),",","."))-1)/MID(SUBSTITUTE(LEFT(TRIM(C466),FIND(" ",TRIM(C466)&amp;" ")-1),",","."),FIND("/",SUBSTITUTE(LEFT(TRIM(C466),FIND(" ",TRIM(C466)&amp;" ")-1),",","."))+1,9))*12,NA()))),0),36)*'Aturan &amp; Tarif'!$B$4,2)</f>
        <v>2044.08</v>
      </c>
      <c r="K466" s="42" t="n">
        <f aca="false">'Aturan &amp; Tarif'!$B$5</f>
        <v>2050</v>
      </c>
      <c r="L466" s="35" t="n">
        <f aca="false">I466+J466+K466</f>
        <v>19894.08</v>
      </c>
      <c r="M466" s="44" t="s">
        <v>1036</v>
      </c>
    </row>
    <row r="467" customFormat="false" ht="60" hidden="false" customHeight="true" outlineLevel="0" collapsed="false">
      <c r="A467" s="39"/>
      <c r="B467" s="40" t="s">
        <v>1038</v>
      </c>
      <c r="C467" s="41" t="s">
        <v>127</v>
      </c>
      <c r="D467" s="41" t="s">
        <v>108</v>
      </c>
      <c r="E467" s="42" t="n">
        <v>7900</v>
      </c>
      <c r="F467" s="42"/>
      <c r="G467" s="42"/>
      <c r="H467" s="43" t="n">
        <v>2</v>
      </c>
      <c r="I467" s="34" t="n">
        <f aca="false">E467*H467+N(F467)+N(G467)</f>
        <v>15800</v>
      </c>
      <c r="J467" s="42" t="n">
        <f aca="false">ROUND(IFERROR(ROUND(IF(OR(ISNUMBER(SEARCH("week",C467)),ISNUMBER(SEARCH("minggu",C467))),IFERROR(_xlfn.NUMBERVALUE(SUBSTITUTE(LEFT(TRIM(C467),FIND(" ",TRIM(C467)&amp;" ")-1),",","."),"."),LEFT(SUBSTITUTE(LEFT(TRIM(C467),FIND(" ",TRIM(C467)&amp;" ")-1),",","."),FIND("/",SUBSTITUTE(LEFT(TRIM(C467),FIND(" ",TRIM(C467)&amp;" ")-1),",","."))-1)/MID(SUBSTITUTE(LEFT(TRIM(C467),FIND(" ",TRIM(C467)&amp;" ")-1),",","."),FIND("/",SUBSTITUTE(LEFT(TRIM(C467),FIND(" ",TRIM(C467)&amp;" ")-1),",","."))+1,9))*12/52,IF(ISNUMBER(SEARCH("month",C467)),IFERROR(_xlfn.NUMBERVALUE(SUBSTITUTE(LEFT(TRIM(C467),FIND(" ",TRIM(C467)&amp;" ")-1),",","."),"."),LEFT(SUBSTITUTE(LEFT(TRIM(C467),FIND(" ",TRIM(C467)&amp;" ")-1),",","."),FIND("/",SUBSTITUTE(LEFT(TRIM(C467),FIND(" ",TRIM(C467)&amp;" ")-1),",","."))-1)/MID(SUBSTITUTE(LEFT(TRIM(C467),FIND(" ",TRIM(C467)&amp;" ")-1),",","."),FIND("/",SUBSTITUTE(LEFT(TRIM(C467),FIND(" ",TRIM(C467)&amp;" ")-1),",","."))+1,9)),IF(ISNUMBER(SEARCH("yea",C467)),IFERROR(_xlfn.NUMBERVALUE(SUBSTITUTE(LEFT(TRIM(C467),FIND(" ",TRIM(C467)&amp;" ")-1),",","."),"."),LEFT(SUBSTITUTE(LEFT(TRIM(C467),FIND(" ",TRIM(C467)&amp;" ")-1),",","."),FIND("/",SUBSTITUTE(LEFT(TRIM(C467),FIND(" ",TRIM(C467)&amp;" ")-1),",","."))-1)/MID(SUBSTITUTE(LEFT(TRIM(C467),FIND(" ",TRIM(C467)&amp;" ")-1),",","."),FIND("/",SUBSTITUTE(LEFT(TRIM(C467),FIND(" ",TRIM(C467)&amp;" ")-1),",","."))+1,9))*12,NA()))),0),36)*'Aturan &amp; Tarif'!$B$4,2)</f>
        <v>2044.08</v>
      </c>
      <c r="K467" s="42" t="n">
        <f aca="false">'Aturan &amp; Tarif'!$B$5</f>
        <v>2050</v>
      </c>
      <c r="L467" s="35" t="n">
        <f aca="false">I467+J467+K467</f>
        <v>19894.08</v>
      </c>
      <c r="M467" s="44" t="s">
        <v>1039</v>
      </c>
    </row>
    <row r="468" customFormat="false" ht="60" hidden="false" customHeight="true" outlineLevel="0" collapsed="false">
      <c r="A468" s="39"/>
      <c r="B468" s="40" t="s">
        <v>1040</v>
      </c>
      <c r="C468" s="41" t="s">
        <v>127</v>
      </c>
      <c r="D468" s="41" t="s">
        <v>108</v>
      </c>
      <c r="E468" s="42" t="n">
        <v>7900</v>
      </c>
      <c r="F468" s="42"/>
      <c r="G468" s="42"/>
      <c r="H468" s="43" t="n">
        <v>2</v>
      </c>
      <c r="I468" s="34" t="n">
        <f aca="false">E468*H468+N(F468)+N(G468)</f>
        <v>15800</v>
      </c>
      <c r="J468" s="42" t="n">
        <f aca="false">ROUND(IFERROR(ROUND(IF(OR(ISNUMBER(SEARCH("week",C468)),ISNUMBER(SEARCH("minggu",C468))),IFERROR(_xlfn.NUMBERVALUE(SUBSTITUTE(LEFT(TRIM(C468),FIND(" ",TRIM(C468)&amp;" ")-1),",","."),"."),LEFT(SUBSTITUTE(LEFT(TRIM(C468),FIND(" ",TRIM(C468)&amp;" ")-1),",","."),FIND("/",SUBSTITUTE(LEFT(TRIM(C468),FIND(" ",TRIM(C468)&amp;" ")-1),",","."))-1)/MID(SUBSTITUTE(LEFT(TRIM(C468),FIND(" ",TRIM(C468)&amp;" ")-1),",","."),FIND("/",SUBSTITUTE(LEFT(TRIM(C468),FIND(" ",TRIM(C468)&amp;" ")-1),",","."))+1,9))*12/52,IF(ISNUMBER(SEARCH("month",C468)),IFERROR(_xlfn.NUMBERVALUE(SUBSTITUTE(LEFT(TRIM(C468),FIND(" ",TRIM(C468)&amp;" ")-1),",","."),"."),LEFT(SUBSTITUTE(LEFT(TRIM(C468),FIND(" ",TRIM(C468)&amp;" ")-1),",","."),FIND("/",SUBSTITUTE(LEFT(TRIM(C468),FIND(" ",TRIM(C468)&amp;" ")-1),",","."))-1)/MID(SUBSTITUTE(LEFT(TRIM(C468),FIND(" ",TRIM(C468)&amp;" ")-1),",","."),FIND("/",SUBSTITUTE(LEFT(TRIM(C468),FIND(" ",TRIM(C468)&amp;" ")-1),",","."))+1,9)),IF(ISNUMBER(SEARCH("yea",C468)),IFERROR(_xlfn.NUMBERVALUE(SUBSTITUTE(LEFT(TRIM(C468),FIND(" ",TRIM(C468)&amp;" ")-1),",","."),"."),LEFT(SUBSTITUTE(LEFT(TRIM(C468),FIND(" ",TRIM(C468)&amp;" ")-1),",","."),FIND("/",SUBSTITUTE(LEFT(TRIM(C468),FIND(" ",TRIM(C468)&amp;" ")-1),",","."))-1)/MID(SUBSTITUTE(LEFT(TRIM(C468),FIND(" ",TRIM(C468)&amp;" ")-1),",","."),FIND("/",SUBSTITUTE(LEFT(TRIM(C468),FIND(" ",TRIM(C468)&amp;" ")-1),",","."))+1,9))*12,NA()))),0),36)*'Aturan &amp; Tarif'!$B$4,2)</f>
        <v>2044.08</v>
      </c>
      <c r="K468" s="42" t="n">
        <f aca="false">'Aturan &amp; Tarif'!$B$5</f>
        <v>2050</v>
      </c>
      <c r="L468" s="35" t="n">
        <f aca="false">I468+J468+K468</f>
        <v>19894.08</v>
      </c>
      <c r="M468" s="44" t="s">
        <v>1041</v>
      </c>
    </row>
    <row r="469" customFormat="false" ht="60" hidden="false" customHeight="true" outlineLevel="0" collapsed="false">
      <c r="A469" s="39"/>
      <c r="B469" s="40" t="s">
        <v>1042</v>
      </c>
      <c r="C469" s="41" t="s">
        <v>130</v>
      </c>
      <c r="D469" s="41" t="s">
        <v>108</v>
      </c>
      <c r="E469" s="42" t="n">
        <v>7900</v>
      </c>
      <c r="F469" s="42"/>
      <c r="G469" s="42"/>
      <c r="H469" s="43" t="n">
        <v>2</v>
      </c>
      <c r="I469" s="34" t="n">
        <f aca="false">E469*H469+N(F469)+N(G469)</f>
        <v>15800</v>
      </c>
      <c r="J469" s="42" t="n">
        <f aca="false">ROUND(IFERROR(ROUND(IF(OR(ISNUMBER(SEARCH("week",C469)),ISNUMBER(SEARCH("minggu",C469))),IFERROR(_xlfn.NUMBERVALUE(SUBSTITUTE(LEFT(TRIM(C469),FIND(" ",TRIM(C469)&amp;" ")-1),",","."),"."),LEFT(SUBSTITUTE(LEFT(TRIM(C469),FIND(" ",TRIM(C469)&amp;" ")-1),",","."),FIND("/",SUBSTITUTE(LEFT(TRIM(C469),FIND(" ",TRIM(C469)&amp;" ")-1),",","."))-1)/MID(SUBSTITUTE(LEFT(TRIM(C469),FIND(" ",TRIM(C469)&amp;" ")-1),",","."),FIND("/",SUBSTITUTE(LEFT(TRIM(C469),FIND(" ",TRIM(C469)&amp;" ")-1),",","."))+1,9))*12/52,IF(ISNUMBER(SEARCH("month",C469)),IFERROR(_xlfn.NUMBERVALUE(SUBSTITUTE(LEFT(TRIM(C469),FIND(" ",TRIM(C469)&amp;" ")-1),",","."),"."),LEFT(SUBSTITUTE(LEFT(TRIM(C469),FIND(" ",TRIM(C469)&amp;" ")-1),",","."),FIND("/",SUBSTITUTE(LEFT(TRIM(C469),FIND(" ",TRIM(C469)&amp;" ")-1),",","."))-1)/MID(SUBSTITUTE(LEFT(TRIM(C469),FIND(" ",TRIM(C469)&amp;" ")-1),",","."),FIND("/",SUBSTITUTE(LEFT(TRIM(C469),FIND(" ",TRIM(C469)&amp;" ")-1),",","."))+1,9)),IF(ISNUMBER(SEARCH("yea",C469)),IFERROR(_xlfn.NUMBERVALUE(SUBSTITUTE(LEFT(TRIM(C469),FIND(" ",TRIM(C469)&amp;" ")-1),",","."),"."),LEFT(SUBSTITUTE(LEFT(TRIM(C469),FIND(" ",TRIM(C469)&amp;" ")-1),",","."),FIND("/",SUBSTITUTE(LEFT(TRIM(C469),FIND(" ",TRIM(C469)&amp;" ")-1),",","."))-1)/MID(SUBSTITUTE(LEFT(TRIM(C469),FIND(" ",TRIM(C469)&amp;" ")-1),",","."),FIND("/",SUBSTITUTE(LEFT(TRIM(C469),FIND(" ",TRIM(C469)&amp;" ")-1),",","."))+1,9))*12,NA()))),0),12)*'Aturan &amp; Tarif'!$B$4,2)</f>
        <v>681.36</v>
      </c>
      <c r="K469" s="42" t="n">
        <f aca="false">'Aturan &amp; Tarif'!$B$5</f>
        <v>2050</v>
      </c>
      <c r="L469" s="35" t="n">
        <f aca="false">I469+J469+K469</f>
        <v>18531.36</v>
      </c>
      <c r="M469" s="44" t="s">
        <v>1043</v>
      </c>
    </row>
    <row r="470" customFormat="false" ht="60" hidden="false" customHeight="true" outlineLevel="0" collapsed="false">
      <c r="A470" s="39"/>
      <c r="B470" s="40" t="s">
        <v>1044</v>
      </c>
      <c r="C470" s="41" t="s">
        <v>127</v>
      </c>
      <c r="D470" s="41" t="s">
        <v>108</v>
      </c>
      <c r="E470" s="42" t="n">
        <v>7900</v>
      </c>
      <c r="F470" s="42"/>
      <c r="G470" s="42"/>
      <c r="H470" s="43" t="n">
        <v>2</v>
      </c>
      <c r="I470" s="34" t="n">
        <f aca="false">E470*H470+N(F470)+N(G470)</f>
        <v>15800</v>
      </c>
      <c r="J470" s="42" t="n">
        <f aca="false">ROUND(IFERROR(ROUND(IF(OR(ISNUMBER(SEARCH("week",C470)),ISNUMBER(SEARCH("minggu",C470))),IFERROR(_xlfn.NUMBERVALUE(SUBSTITUTE(LEFT(TRIM(C470),FIND(" ",TRIM(C470)&amp;" ")-1),",","."),"."),LEFT(SUBSTITUTE(LEFT(TRIM(C470),FIND(" ",TRIM(C470)&amp;" ")-1),",","."),FIND("/",SUBSTITUTE(LEFT(TRIM(C470),FIND(" ",TRIM(C470)&amp;" ")-1),",","."))-1)/MID(SUBSTITUTE(LEFT(TRIM(C470),FIND(" ",TRIM(C470)&amp;" ")-1),",","."),FIND("/",SUBSTITUTE(LEFT(TRIM(C470),FIND(" ",TRIM(C470)&amp;" ")-1),",","."))+1,9))*12/52,IF(ISNUMBER(SEARCH("month",C470)),IFERROR(_xlfn.NUMBERVALUE(SUBSTITUTE(LEFT(TRIM(C470),FIND(" ",TRIM(C470)&amp;" ")-1),",","."),"."),LEFT(SUBSTITUTE(LEFT(TRIM(C470),FIND(" ",TRIM(C470)&amp;" ")-1),",","."),FIND("/",SUBSTITUTE(LEFT(TRIM(C470),FIND(" ",TRIM(C470)&amp;" ")-1),",","."))-1)/MID(SUBSTITUTE(LEFT(TRIM(C470),FIND(" ",TRIM(C470)&amp;" ")-1),",","."),FIND("/",SUBSTITUTE(LEFT(TRIM(C470),FIND(" ",TRIM(C470)&amp;" ")-1),",","."))+1,9)),IF(ISNUMBER(SEARCH("yea",C470)),IFERROR(_xlfn.NUMBERVALUE(SUBSTITUTE(LEFT(TRIM(C470),FIND(" ",TRIM(C470)&amp;" ")-1),",","."),"."),LEFT(SUBSTITUTE(LEFT(TRIM(C470),FIND(" ",TRIM(C470)&amp;" ")-1),",","."),FIND("/",SUBSTITUTE(LEFT(TRIM(C470),FIND(" ",TRIM(C470)&amp;" ")-1),",","."))-1)/MID(SUBSTITUTE(LEFT(TRIM(C470),FIND(" ",TRIM(C470)&amp;" ")-1),",","."),FIND("/",SUBSTITUTE(LEFT(TRIM(C470),FIND(" ",TRIM(C470)&amp;" ")-1),",","."))+1,9))*12,NA()))),0),36)*'Aturan &amp; Tarif'!$B$4,2)</f>
        <v>2044.08</v>
      </c>
      <c r="K470" s="42" t="n">
        <f aca="false">'Aturan &amp; Tarif'!$B$5</f>
        <v>2050</v>
      </c>
      <c r="L470" s="35" t="n">
        <f aca="false">I470+J470+K470</f>
        <v>19894.08</v>
      </c>
      <c r="M470" s="44" t="s">
        <v>1045</v>
      </c>
    </row>
    <row r="471" customFormat="false" ht="60" hidden="false" customHeight="true" outlineLevel="0" collapsed="false">
      <c r="A471" s="39"/>
      <c r="B471" s="40" t="s">
        <v>1046</v>
      </c>
      <c r="C471" s="41" t="s">
        <v>127</v>
      </c>
      <c r="D471" s="41" t="s">
        <v>108</v>
      </c>
      <c r="E471" s="42" t="n">
        <v>7900</v>
      </c>
      <c r="F471" s="42"/>
      <c r="G471" s="42"/>
      <c r="H471" s="43" t="n">
        <v>2</v>
      </c>
      <c r="I471" s="34" t="n">
        <f aca="false">E471*H471+N(F471)+N(G471)</f>
        <v>15800</v>
      </c>
      <c r="J471" s="42" t="n">
        <f aca="false">ROUND(IFERROR(ROUND(IF(OR(ISNUMBER(SEARCH("week",C471)),ISNUMBER(SEARCH("minggu",C471))),IFERROR(_xlfn.NUMBERVALUE(SUBSTITUTE(LEFT(TRIM(C471),FIND(" ",TRIM(C471)&amp;" ")-1),",","."),"."),LEFT(SUBSTITUTE(LEFT(TRIM(C471),FIND(" ",TRIM(C471)&amp;" ")-1),",","."),FIND("/",SUBSTITUTE(LEFT(TRIM(C471),FIND(" ",TRIM(C471)&amp;" ")-1),",","."))-1)/MID(SUBSTITUTE(LEFT(TRIM(C471),FIND(" ",TRIM(C471)&amp;" ")-1),",","."),FIND("/",SUBSTITUTE(LEFT(TRIM(C471),FIND(" ",TRIM(C471)&amp;" ")-1),",","."))+1,9))*12/52,IF(ISNUMBER(SEARCH("month",C471)),IFERROR(_xlfn.NUMBERVALUE(SUBSTITUTE(LEFT(TRIM(C471),FIND(" ",TRIM(C471)&amp;" ")-1),",","."),"."),LEFT(SUBSTITUTE(LEFT(TRIM(C471),FIND(" ",TRIM(C471)&amp;" ")-1),",","."),FIND("/",SUBSTITUTE(LEFT(TRIM(C471),FIND(" ",TRIM(C471)&amp;" ")-1),",","."))-1)/MID(SUBSTITUTE(LEFT(TRIM(C471),FIND(" ",TRIM(C471)&amp;" ")-1),",","."),FIND("/",SUBSTITUTE(LEFT(TRIM(C471),FIND(" ",TRIM(C471)&amp;" ")-1),",","."))+1,9)),IF(ISNUMBER(SEARCH("yea",C471)),IFERROR(_xlfn.NUMBERVALUE(SUBSTITUTE(LEFT(TRIM(C471),FIND(" ",TRIM(C471)&amp;" ")-1),",","."),"."),LEFT(SUBSTITUTE(LEFT(TRIM(C471),FIND(" ",TRIM(C471)&amp;" ")-1),",","."),FIND("/",SUBSTITUTE(LEFT(TRIM(C471),FIND(" ",TRIM(C471)&amp;" ")-1),",","."))-1)/MID(SUBSTITUTE(LEFT(TRIM(C471),FIND(" ",TRIM(C471)&amp;" ")-1),",","."),FIND("/",SUBSTITUTE(LEFT(TRIM(C471),FIND(" ",TRIM(C471)&amp;" ")-1),",","."))+1,9))*12,NA()))),0),36)*'Aturan &amp; Tarif'!$B$4,2)</f>
        <v>2044.08</v>
      </c>
      <c r="K471" s="42" t="n">
        <f aca="false">'Aturan &amp; Tarif'!$B$5</f>
        <v>2050</v>
      </c>
      <c r="L471" s="35" t="n">
        <f aca="false">I471+J471+K471</f>
        <v>19894.08</v>
      </c>
      <c r="M471" s="44" t="s">
        <v>1047</v>
      </c>
    </row>
    <row r="472" customFormat="false" ht="60" hidden="false" customHeight="true" outlineLevel="0" collapsed="false">
      <c r="A472" s="39"/>
      <c r="B472" s="40" t="s">
        <v>167</v>
      </c>
      <c r="C472" s="41" t="s">
        <v>113</v>
      </c>
      <c r="D472" s="41" t="s">
        <v>108</v>
      </c>
      <c r="E472" s="42" t="n">
        <v>9000</v>
      </c>
      <c r="F472" s="42"/>
      <c r="G472" s="42"/>
      <c r="H472" s="43" t="n">
        <v>2</v>
      </c>
      <c r="I472" s="34" t="n">
        <f aca="false">E472*H472+N(F472)+N(G472)</f>
        <v>18000</v>
      </c>
      <c r="J472" s="42" t="n">
        <f aca="false">ROUND(IFERROR(ROUND(IF(OR(ISNUMBER(SEARCH("week",C472)),ISNUMBER(SEARCH("minggu",C472))),IFERROR(_xlfn.NUMBERVALUE(SUBSTITUTE(LEFT(TRIM(C472),FIND(" ",TRIM(C472)&amp;" ")-1),",","."),"."),LEFT(SUBSTITUTE(LEFT(TRIM(C472),FIND(" ",TRIM(C472)&amp;" ")-1),",","."),FIND("/",SUBSTITUTE(LEFT(TRIM(C472),FIND(" ",TRIM(C472)&amp;" ")-1),",","."))-1)/MID(SUBSTITUTE(LEFT(TRIM(C472),FIND(" ",TRIM(C472)&amp;" ")-1),",","."),FIND("/",SUBSTITUTE(LEFT(TRIM(C472),FIND(" ",TRIM(C472)&amp;" ")-1),",","."))+1,9))*12/52,IF(ISNUMBER(SEARCH("month",C472)),IFERROR(_xlfn.NUMBERVALUE(SUBSTITUTE(LEFT(TRIM(C472),FIND(" ",TRIM(C472)&amp;" ")-1),",","."),"."),LEFT(SUBSTITUTE(LEFT(TRIM(C472),FIND(" ",TRIM(C472)&amp;" ")-1),",","."),FIND("/",SUBSTITUTE(LEFT(TRIM(C472),FIND(" ",TRIM(C472)&amp;" ")-1),",","."))-1)/MID(SUBSTITUTE(LEFT(TRIM(C472),FIND(" ",TRIM(C472)&amp;" ")-1),",","."),FIND("/",SUBSTITUTE(LEFT(TRIM(C472),FIND(" ",TRIM(C472)&amp;" ")-1),",","."))+1,9)),IF(ISNUMBER(SEARCH("yea",C472)),IFERROR(_xlfn.NUMBERVALUE(SUBSTITUTE(LEFT(TRIM(C472),FIND(" ",TRIM(C472)&amp;" ")-1),",","."),"."),LEFT(SUBSTITUTE(LEFT(TRIM(C472),FIND(" ",TRIM(C472)&amp;" ")-1),",","."),FIND("/",SUBSTITUTE(LEFT(TRIM(C472),FIND(" ",TRIM(C472)&amp;" ")-1),",","."))-1)/MID(SUBSTITUTE(LEFT(TRIM(C472),FIND(" ",TRIM(C472)&amp;" ")-1),",","."),FIND("/",SUBSTITUTE(LEFT(TRIM(C472),FIND(" ",TRIM(C472)&amp;" ")-1),",","."))+1,9))*12,NA()))),0),18)*'Aturan &amp; Tarif'!$B$4,2)</f>
        <v>1022.04</v>
      </c>
      <c r="K472" s="42" t="n">
        <f aca="false">'Aturan &amp; Tarif'!$B$5</f>
        <v>2050</v>
      </c>
      <c r="L472" s="35" t="n">
        <f aca="false">I472+J472+K472</f>
        <v>21072.04</v>
      </c>
      <c r="M472" s="44" t="s">
        <v>2462</v>
      </c>
    </row>
    <row r="473" customFormat="false" ht="60" hidden="false" customHeight="true" outlineLevel="0" collapsed="false">
      <c r="A473" s="39"/>
      <c r="B473" s="40" t="s">
        <v>2463</v>
      </c>
      <c r="C473" s="41" t="s">
        <v>107</v>
      </c>
      <c r="D473" s="41" t="s">
        <v>108</v>
      </c>
      <c r="E473" s="42" t="n">
        <v>9000</v>
      </c>
      <c r="F473" s="42"/>
      <c r="G473" s="42"/>
      <c r="H473" s="43" t="n">
        <v>2</v>
      </c>
      <c r="I473" s="34" t="n">
        <f aca="false">E473*H473+N(F473)+N(G473)</f>
        <v>18000</v>
      </c>
      <c r="J473" s="42" t="n">
        <f aca="false">ROUND(IFERROR(ROUND(IF(OR(ISNUMBER(SEARCH("week",C473)),ISNUMBER(SEARCH("minggu",C473))),IFERROR(_xlfn.NUMBERVALUE(SUBSTITUTE(LEFT(TRIM(C473),FIND(" ",TRIM(C473)&amp;" ")-1),",","."),"."),LEFT(SUBSTITUTE(LEFT(TRIM(C473),FIND(" ",TRIM(C473)&amp;" ")-1),",","."),FIND("/",SUBSTITUTE(LEFT(TRIM(C473),FIND(" ",TRIM(C473)&amp;" ")-1),",","."))-1)/MID(SUBSTITUTE(LEFT(TRIM(C473),FIND(" ",TRIM(C473)&amp;" ")-1),",","."),FIND("/",SUBSTITUTE(LEFT(TRIM(C473),FIND(" ",TRIM(C473)&amp;" ")-1),",","."))+1,9))*12/52,IF(ISNUMBER(SEARCH("month",C473)),IFERROR(_xlfn.NUMBERVALUE(SUBSTITUTE(LEFT(TRIM(C473),FIND(" ",TRIM(C473)&amp;" ")-1),",","."),"."),LEFT(SUBSTITUTE(LEFT(TRIM(C473),FIND(" ",TRIM(C473)&amp;" ")-1),",","."),FIND("/",SUBSTITUTE(LEFT(TRIM(C473),FIND(" ",TRIM(C473)&amp;" ")-1),",","."))-1)/MID(SUBSTITUTE(LEFT(TRIM(C473),FIND(" ",TRIM(C473)&amp;" ")-1),",","."),FIND("/",SUBSTITUTE(LEFT(TRIM(C473),FIND(" ",TRIM(C473)&amp;" ")-1),",","."))+1,9)),IF(ISNUMBER(SEARCH("yea",C473)),IFERROR(_xlfn.NUMBERVALUE(SUBSTITUTE(LEFT(TRIM(C473),FIND(" ",TRIM(C473)&amp;" ")-1),",","."),"."),LEFT(SUBSTITUTE(LEFT(TRIM(C473),FIND(" ",TRIM(C473)&amp;" ")-1),",","."),FIND("/",SUBSTITUTE(LEFT(TRIM(C473),FIND(" ",TRIM(C473)&amp;" ")-1),",","."))-1)/MID(SUBSTITUTE(LEFT(TRIM(C473),FIND(" ",TRIM(C473)&amp;" ")-1),",","."),FIND("/",SUBSTITUTE(LEFT(TRIM(C473),FIND(" ",TRIM(C473)&amp;" ")-1),",","."))+1,9))*12,NA()))),0),24)*'Aturan &amp; Tarif'!$B$4,2)</f>
        <v>1362.72</v>
      </c>
      <c r="K473" s="42" t="n">
        <f aca="false">'Aturan &amp; Tarif'!$B$5</f>
        <v>2050</v>
      </c>
      <c r="L473" s="35" t="n">
        <f aca="false">I473+J473+K473</f>
        <v>21412.72</v>
      </c>
      <c r="M473" s="44" t="s">
        <v>2464</v>
      </c>
    </row>
    <row r="474" customFormat="false" ht="60" hidden="false" customHeight="true" outlineLevel="0" collapsed="false">
      <c r="A474" s="39"/>
      <c r="B474" s="40" t="s">
        <v>1048</v>
      </c>
      <c r="C474" s="41" t="s">
        <v>344</v>
      </c>
      <c r="D474" s="41" t="s">
        <v>108</v>
      </c>
      <c r="E474" s="42" t="n">
        <v>4500</v>
      </c>
      <c r="F474" s="42"/>
      <c r="G474" s="42"/>
      <c r="H474" s="43" t="n">
        <v>2</v>
      </c>
      <c r="I474" s="34" t="n">
        <f aca="false">E474*H474+N(F474)+N(G474)</f>
        <v>9000</v>
      </c>
      <c r="J474" s="42" t="n">
        <f aca="false">ROUND(IFERROR(ROUND(IF(OR(ISNUMBER(SEARCH("week",C474)),ISNUMBER(SEARCH("minggu",C474))),IFERROR(_xlfn.NUMBERVALUE(SUBSTITUTE(LEFT(TRIM(C474),FIND(" ",TRIM(C474)&amp;" ")-1),",","."),"."),LEFT(SUBSTITUTE(LEFT(TRIM(C474),FIND(" ",TRIM(C474)&amp;" ")-1),",","."),FIND("/",SUBSTITUTE(LEFT(TRIM(C474),FIND(" ",TRIM(C474)&amp;" ")-1),",","."))-1)/MID(SUBSTITUTE(LEFT(TRIM(C474),FIND(" ",TRIM(C474)&amp;" ")-1),",","."),FIND("/",SUBSTITUTE(LEFT(TRIM(C474),FIND(" ",TRIM(C474)&amp;" ")-1),",","."))+1,9))*12/52,IF(ISNUMBER(SEARCH("month",C474)),IFERROR(_xlfn.NUMBERVALUE(SUBSTITUTE(LEFT(TRIM(C474),FIND(" ",TRIM(C474)&amp;" ")-1),",","."),"."),LEFT(SUBSTITUTE(LEFT(TRIM(C474),FIND(" ",TRIM(C474)&amp;" ")-1),",","."),FIND("/",SUBSTITUTE(LEFT(TRIM(C474),FIND(" ",TRIM(C474)&amp;" ")-1),",","."))-1)/MID(SUBSTITUTE(LEFT(TRIM(C474),FIND(" ",TRIM(C474)&amp;" ")-1),",","."),FIND("/",SUBSTITUTE(LEFT(TRIM(C474),FIND(" ",TRIM(C474)&amp;" ")-1),",","."))+1,9)),IF(ISNUMBER(SEARCH("yea",C474)),IFERROR(_xlfn.NUMBERVALUE(SUBSTITUTE(LEFT(TRIM(C474),FIND(" ",TRIM(C474)&amp;" ")-1),",","."),"."),LEFT(SUBSTITUTE(LEFT(TRIM(C474),FIND(" ",TRIM(C474)&amp;" ")-1),",","."),FIND("/",SUBSTITUTE(LEFT(TRIM(C474),FIND(" ",TRIM(C474)&amp;" ")-1),",","."))-1)/MID(SUBSTITUTE(LEFT(TRIM(C474),FIND(" ",TRIM(C474)&amp;" ")-1),",","."),FIND("/",SUBSTITUTE(LEFT(TRIM(C474),FIND(" ",TRIM(C474)&amp;" ")-1),",","."))+1,9))*12,NA()))),0),6)*'Aturan &amp; Tarif'!$B$4,2)</f>
        <v>340.68</v>
      </c>
      <c r="K474" s="42" t="n">
        <f aca="false">'Aturan &amp; Tarif'!$B$5</f>
        <v>2050</v>
      </c>
      <c r="L474" s="35" t="n">
        <f aca="false">I474+J474+K474</f>
        <v>11390.68</v>
      </c>
      <c r="M474" s="44" t="s">
        <v>1049</v>
      </c>
    </row>
    <row r="475" customFormat="false" ht="60" hidden="false" customHeight="true" outlineLevel="0" collapsed="false">
      <c r="A475" s="39"/>
      <c r="B475" s="40" t="s">
        <v>1050</v>
      </c>
      <c r="C475" s="41" t="s">
        <v>130</v>
      </c>
      <c r="D475" s="41" t="s">
        <v>108</v>
      </c>
      <c r="E475" s="42" t="n">
        <v>9000</v>
      </c>
      <c r="F475" s="42"/>
      <c r="G475" s="42"/>
      <c r="H475" s="43" t="n">
        <v>2</v>
      </c>
      <c r="I475" s="34" t="n">
        <f aca="false">E475*H475+N(F475)+N(G475)</f>
        <v>18000</v>
      </c>
      <c r="J475" s="42" t="n">
        <f aca="false">ROUND(IFERROR(ROUND(IF(OR(ISNUMBER(SEARCH("week",C475)),ISNUMBER(SEARCH("minggu",C475))),IFERROR(_xlfn.NUMBERVALUE(SUBSTITUTE(LEFT(TRIM(C475),FIND(" ",TRIM(C475)&amp;" ")-1),",","."),"."),LEFT(SUBSTITUTE(LEFT(TRIM(C475),FIND(" ",TRIM(C475)&amp;" ")-1),",","."),FIND("/",SUBSTITUTE(LEFT(TRIM(C475),FIND(" ",TRIM(C475)&amp;" ")-1),",","."))-1)/MID(SUBSTITUTE(LEFT(TRIM(C475),FIND(" ",TRIM(C475)&amp;" ")-1),",","."),FIND("/",SUBSTITUTE(LEFT(TRIM(C475),FIND(" ",TRIM(C475)&amp;" ")-1),",","."))+1,9))*12/52,IF(ISNUMBER(SEARCH("month",C475)),IFERROR(_xlfn.NUMBERVALUE(SUBSTITUTE(LEFT(TRIM(C475),FIND(" ",TRIM(C475)&amp;" ")-1),",","."),"."),LEFT(SUBSTITUTE(LEFT(TRIM(C475),FIND(" ",TRIM(C475)&amp;" ")-1),",","."),FIND("/",SUBSTITUTE(LEFT(TRIM(C475),FIND(" ",TRIM(C475)&amp;" ")-1),",","."))-1)/MID(SUBSTITUTE(LEFT(TRIM(C475),FIND(" ",TRIM(C475)&amp;" ")-1),",","."),FIND("/",SUBSTITUTE(LEFT(TRIM(C475),FIND(" ",TRIM(C475)&amp;" ")-1),",","."))+1,9)),IF(ISNUMBER(SEARCH("yea",C475)),IFERROR(_xlfn.NUMBERVALUE(SUBSTITUTE(LEFT(TRIM(C475),FIND(" ",TRIM(C475)&amp;" ")-1),",","."),"."),LEFT(SUBSTITUTE(LEFT(TRIM(C475),FIND(" ",TRIM(C475)&amp;" ")-1),",","."),FIND("/",SUBSTITUTE(LEFT(TRIM(C475),FIND(" ",TRIM(C475)&amp;" ")-1),",","."))-1)/MID(SUBSTITUTE(LEFT(TRIM(C475),FIND(" ",TRIM(C475)&amp;" ")-1),",","."),FIND("/",SUBSTITUTE(LEFT(TRIM(C475),FIND(" ",TRIM(C475)&amp;" ")-1),",","."))+1,9))*12,NA()))),0),12)*'Aturan &amp; Tarif'!$B$4,2)</f>
        <v>681.36</v>
      </c>
      <c r="K475" s="42" t="n">
        <f aca="false">'Aturan &amp; Tarif'!$B$5</f>
        <v>2050</v>
      </c>
      <c r="L475" s="35" t="n">
        <f aca="false">I475+J475+K475</f>
        <v>20731.36</v>
      </c>
      <c r="M475" s="44" t="s">
        <v>1051</v>
      </c>
    </row>
    <row r="476" customFormat="false" ht="60" hidden="false" customHeight="true" outlineLevel="0" collapsed="false">
      <c r="A476" s="39"/>
      <c r="B476" s="40" t="s">
        <v>348</v>
      </c>
      <c r="C476" s="41" t="s">
        <v>113</v>
      </c>
      <c r="D476" s="41" t="s">
        <v>108</v>
      </c>
      <c r="E476" s="42" t="n">
        <v>9000</v>
      </c>
      <c r="F476" s="42"/>
      <c r="G476" s="42"/>
      <c r="H476" s="43" t="n">
        <v>2</v>
      </c>
      <c r="I476" s="34" t="n">
        <f aca="false">E476*H476+N(F476)+N(G476)</f>
        <v>18000</v>
      </c>
      <c r="J476" s="42" t="n">
        <f aca="false">ROUND(IFERROR(ROUND(IF(OR(ISNUMBER(SEARCH("week",C476)),ISNUMBER(SEARCH("minggu",C476))),IFERROR(_xlfn.NUMBERVALUE(SUBSTITUTE(LEFT(TRIM(C476),FIND(" ",TRIM(C476)&amp;" ")-1),",","."),"."),LEFT(SUBSTITUTE(LEFT(TRIM(C476),FIND(" ",TRIM(C476)&amp;" ")-1),",","."),FIND("/",SUBSTITUTE(LEFT(TRIM(C476),FIND(" ",TRIM(C476)&amp;" ")-1),",","."))-1)/MID(SUBSTITUTE(LEFT(TRIM(C476),FIND(" ",TRIM(C476)&amp;" ")-1),",","."),FIND("/",SUBSTITUTE(LEFT(TRIM(C476),FIND(" ",TRIM(C476)&amp;" ")-1),",","."))+1,9))*12/52,IF(ISNUMBER(SEARCH("month",C476)),IFERROR(_xlfn.NUMBERVALUE(SUBSTITUTE(LEFT(TRIM(C476),FIND(" ",TRIM(C476)&amp;" ")-1),",","."),"."),LEFT(SUBSTITUTE(LEFT(TRIM(C476),FIND(" ",TRIM(C476)&amp;" ")-1),",","."),FIND("/",SUBSTITUTE(LEFT(TRIM(C476),FIND(" ",TRIM(C476)&amp;" ")-1),",","."))-1)/MID(SUBSTITUTE(LEFT(TRIM(C476),FIND(" ",TRIM(C476)&amp;" ")-1),",","."),FIND("/",SUBSTITUTE(LEFT(TRIM(C476),FIND(" ",TRIM(C476)&amp;" ")-1),",","."))+1,9)),IF(ISNUMBER(SEARCH("yea",C476)),IFERROR(_xlfn.NUMBERVALUE(SUBSTITUTE(LEFT(TRIM(C476),FIND(" ",TRIM(C476)&amp;" ")-1),",","."),"."),LEFT(SUBSTITUTE(LEFT(TRIM(C476),FIND(" ",TRIM(C476)&amp;" ")-1),",","."),FIND("/",SUBSTITUTE(LEFT(TRIM(C476),FIND(" ",TRIM(C476)&amp;" ")-1),",","."))-1)/MID(SUBSTITUTE(LEFT(TRIM(C476),FIND(" ",TRIM(C476)&amp;" ")-1),",","."),FIND("/",SUBSTITUTE(LEFT(TRIM(C476),FIND(" ",TRIM(C476)&amp;" ")-1),",","."))+1,9))*12,NA()))),0),18)*'Aturan &amp; Tarif'!$B$4,2)</f>
        <v>1022.04</v>
      </c>
      <c r="K476" s="42" t="n">
        <f aca="false">'Aturan &amp; Tarif'!$B$5</f>
        <v>2050</v>
      </c>
      <c r="L476" s="35" t="n">
        <f aca="false">I476+J476+K476</f>
        <v>21072.04</v>
      </c>
      <c r="M476" s="44" t="s">
        <v>1052</v>
      </c>
    </row>
    <row r="477" customFormat="false" ht="60" hidden="false" customHeight="true" outlineLevel="0" collapsed="false">
      <c r="A477" s="39"/>
      <c r="B477" s="40" t="s">
        <v>1053</v>
      </c>
      <c r="C477" s="41" t="s">
        <v>107</v>
      </c>
      <c r="D477" s="41" t="s">
        <v>108</v>
      </c>
      <c r="E477" s="42" t="n">
        <v>9000</v>
      </c>
      <c r="F477" s="42"/>
      <c r="G477" s="42"/>
      <c r="H477" s="43" t="n">
        <v>2</v>
      </c>
      <c r="I477" s="34" t="n">
        <f aca="false">E477*H477+N(F477)+N(G477)</f>
        <v>18000</v>
      </c>
      <c r="J477" s="42" t="n">
        <f aca="false">ROUND(IFERROR(ROUND(IF(OR(ISNUMBER(SEARCH("week",C477)),ISNUMBER(SEARCH("minggu",C477))),IFERROR(_xlfn.NUMBERVALUE(SUBSTITUTE(LEFT(TRIM(C477),FIND(" ",TRIM(C477)&amp;" ")-1),",","."),"."),LEFT(SUBSTITUTE(LEFT(TRIM(C477),FIND(" ",TRIM(C477)&amp;" ")-1),",","."),FIND("/",SUBSTITUTE(LEFT(TRIM(C477),FIND(" ",TRIM(C477)&amp;" ")-1),",","."))-1)/MID(SUBSTITUTE(LEFT(TRIM(C477),FIND(" ",TRIM(C477)&amp;" ")-1),",","."),FIND("/",SUBSTITUTE(LEFT(TRIM(C477),FIND(" ",TRIM(C477)&amp;" ")-1),",","."))+1,9))*12/52,IF(ISNUMBER(SEARCH("month",C477)),IFERROR(_xlfn.NUMBERVALUE(SUBSTITUTE(LEFT(TRIM(C477),FIND(" ",TRIM(C477)&amp;" ")-1),",","."),"."),LEFT(SUBSTITUTE(LEFT(TRIM(C477),FIND(" ",TRIM(C477)&amp;" ")-1),",","."),FIND("/",SUBSTITUTE(LEFT(TRIM(C477),FIND(" ",TRIM(C477)&amp;" ")-1),",","."))-1)/MID(SUBSTITUTE(LEFT(TRIM(C477),FIND(" ",TRIM(C477)&amp;" ")-1),",","."),FIND("/",SUBSTITUTE(LEFT(TRIM(C477),FIND(" ",TRIM(C477)&amp;" ")-1),",","."))+1,9)),IF(ISNUMBER(SEARCH("yea",C477)),IFERROR(_xlfn.NUMBERVALUE(SUBSTITUTE(LEFT(TRIM(C477),FIND(" ",TRIM(C477)&amp;" ")-1),",","."),"."),LEFT(SUBSTITUTE(LEFT(TRIM(C477),FIND(" ",TRIM(C477)&amp;" ")-1),",","."),FIND("/",SUBSTITUTE(LEFT(TRIM(C477),FIND(" ",TRIM(C477)&amp;" ")-1),",","."))-1)/MID(SUBSTITUTE(LEFT(TRIM(C477),FIND(" ",TRIM(C477)&amp;" ")-1),",","."),FIND("/",SUBSTITUTE(LEFT(TRIM(C477),FIND(" ",TRIM(C477)&amp;" ")-1),",","."))+1,9))*12,NA()))),0),24)*'Aturan &amp; Tarif'!$B$4,2)</f>
        <v>1362.72</v>
      </c>
      <c r="K477" s="42" t="n">
        <f aca="false">'Aturan &amp; Tarif'!$B$5</f>
        <v>2050</v>
      </c>
      <c r="L477" s="35" t="n">
        <f aca="false">I477+J477+K477</f>
        <v>21412.72</v>
      </c>
      <c r="M477" s="44" t="s">
        <v>1054</v>
      </c>
    </row>
    <row r="478" customFormat="false" ht="60" hidden="false" customHeight="true" outlineLevel="0" collapsed="false">
      <c r="A478" s="39"/>
      <c r="B478" s="40" t="s">
        <v>1055</v>
      </c>
      <c r="C478" s="41" t="s">
        <v>107</v>
      </c>
      <c r="D478" s="41" t="s">
        <v>108</v>
      </c>
      <c r="E478" s="42" t="n">
        <v>9000</v>
      </c>
      <c r="F478" s="42"/>
      <c r="G478" s="42"/>
      <c r="H478" s="43" t="n">
        <v>2</v>
      </c>
      <c r="I478" s="34" t="n">
        <f aca="false">E478*H478+N(F478)+N(G478)</f>
        <v>18000</v>
      </c>
      <c r="J478" s="42" t="n">
        <f aca="false">ROUND(IFERROR(ROUND(IF(OR(ISNUMBER(SEARCH("week",C478)),ISNUMBER(SEARCH("minggu",C478))),IFERROR(_xlfn.NUMBERVALUE(SUBSTITUTE(LEFT(TRIM(C478),FIND(" ",TRIM(C478)&amp;" ")-1),",","."),"."),LEFT(SUBSTITUTE(LEFT(TRIM(C478),FIND(" ",TRIM(C478)&amp;" ")-1),",","."),FIND("/",SUBSTITUTE(LEFT(TRIM(C478),FIND(" ",TRIM(C478)&amp;" ")-1),",","."))-1)/MID(SUBSTITUTE(LEFT(TRIM(C478),FIND(" ",TRIM(C478)&amp;" ")-1),",","."),FIND("/",SUBSTITUTE(LEFT(TRIM(C478),FIND(" ",TRIM(C478)&amp;" ")-1),",","."))+1,9))*12/52,IF(ISNUMBER(SEARCH("month",C478)),IFERROR(_xlfn.NUMBERVALUE(SUBSTITUTE(LEFT(TRIM(C478),FIND(" ",TRIM(C478)&amp;" ")-1),",","."),"."),LEFT(SUBSTITUTE(LEFT(TRIM(C478),FIND(" ",TRIM(C478)&amp;" ")-1),",","."),FIND("/",SUBSTITUTE(LEFT(TRIM(C478),FIND(" ",TRIM(C478)&amp;" ")-1),",","."))-1)/MID(SUBSTITUTE(LEFT(TRIM(C478),FIND(" ",TRIM(C478)&amp;" ")-1),",","."),FIND("/",SUBSTITUTE(LEFT(TRIM(C478),FIND(" ",TRIM(C478)&amp;" ")-1),",","."))+1,9)),IF(ISNUMBER(SEARCH("yea",C478)),IFERROR(_xlfn.NUMBERVALUE(SUBSTITUTE(LEFT(TRIM(C478),FIND(" ",TRIM(C478)&amp;" ")-1),",","."),"."),LEFT(SUBSTITUTE(LEFT(TRIM(C478),FIND(" ",TRIM(C478)&amp;" ")-1),",","."),FIND("/",SUBSTITUTE(LEFT(TRIM(C478),FIND(" ",TRIM(C478)&amp;" ")-1),",","."))-1)/MID(SUBSTITUTE(LEFT(TRIM(C478),FIND(" ",TRIM(C478)&amp;" ")-1),",","."),FIND("/",SUBSTITUTE(LEFT(TRIM(C478),FIND(" ",TRIM(C478)&amp;" ")-1),",","."))+1,9))*12,NA()))),0),24)*'Aturan &amp; Tarif'!$B$4,2)</f>
        <v>1362.72</v>
      </c>
      <c r="K478" s="42" t="n">
        <f aca="false">'Aturan &amp; Tarif'!$B$5</f>
        <v>2050</v>
      </c>
      <c r="L478" s="35" t="n">
        <f aca="false">I478+J478+K478</f>
        <v>21412.72</v>
      </c>
      <c r="M478" s="44" t="s">
        <v>1056</v>
      </c>
    </row>
    <row r="479" customFormat="false" ht="60" hidden="false" customHeight="true" outlineLevel="0" collapsed="false">
      <c r="A479" s="39"/>
      <c r="B479" s="40" t="s">
        <v>1057</v>
      </c>
      <c r="C479" s="41" t="s">
        <v>107</v>
      </c>
      <c r="D479" s="41" t="s">
        <v>108</v>
      </c>
      <c r="E479" s="42" t="n">
        <v>7950</v>
      </c>
      <c r="F479" s="42"/>
      <c r="G479" s="42"/>
      <c r="H479" s="43" t="n">
        <v>2</v>
      </c>
      <c r="I479" s="34" t="n">
        <f aca="false">E479*H479+N(F479)+N(G479)</f>
        <v>15900</v>
      </c>
      <c r="J479" s="42" t="n">
        <f aca="false">ROUND(IFERROR(ROUND(IF(OR(ISNUMBER(SEARCH("week",C479)),ISNUMBER(SEARCH("minggu",C479))),IFERROR(_xlfn.NUMBERVALUE(SUBSTITUTE(LEFT(TRIM(C479),FIND(" ",TRIM(C479)&amp;" ")-1),",","."),"."),LEFT(SUBSTITUTE(LEFT(TRIM(C479),FIND(" ",TRIM(C479)&amp;" ")-1),",","."),FIND("/",SUBSTITUTE(LEFT(TRIM(C479),FIND(" ",TRIM(C479)&amp;" ")-1),",","."))-1)/MID(SUBSTITUTE(LEFT(TRIM(C479),FIND(" ",TRIM(C479)&amp;" ")-1),",","."),FIND("/",SUBSTITUTE(LEFT(TRIM(C479),FIND(" ",TRIM(C479)&amp;" ")-1),",","."))+1,9))*12/52,IF(ISNUMBER(SEARCH("month",C479)),IFERROR(_xlfn.NUMBERVALUE(SUBSTITUTE(LEFT(TRIM(C479),FIND(" ",TRIM(C479)&amp;" ")-1),",","."),"."),LEFT(SUBSTITUTE(LEFT(TRIM(C479),FIND(" ",TRIM(C479)&amp;" ")-1),",","."),FIND("/",SUBSTITUTE(LEFT(TRIM(C479),FIND(" ",TRIM(C479)&amp;" ")-1),",","."))-1)/MID(SUBSTITUTE(LEFT(TRIM(C479),FIND(" ",TRIM(C479)&amp;" ")-1),",","."),FIND("/",SUBSTITUTE(LEFT(TRIM(C479),FIND(" ",TRIM(C479)&amp;" ")-1),",","."))+1,9)),IF(ISNUMBER(SEARCH("yea",C479)),IFERROR(_xlfn.NUMBERVALUE(SUBSTITUTE(LEFT(TRIM(C479),FIND(" ",TRIM(C479)&amp;" ")-1),",","."),"."),LEFT(SUBSTITUTE(LEFT(TRIM(C479),FIND(" ",TRIM(C479)&amp;" ")-1),",","."),FIND("/",SUBSTITUTE(LEFT(TRIM(C479),FIND(" ",TRIM(C479)&amp;" ")-1),",","."))-1)/MID(SUBSTITUTE(LEFT(TRIM(C479),FIND(" ",TRIM(C479)&amp;" ")-1),",","."),FIND("/",SUBSTITUTE(LEFT(TRIM(C479),FIND(" ",TRIM(C479)&amp;" ")-1),",","."))+1,9))*12,NA()))),0),24)*'Aturan &amp; Tarif'!$B$4,2)</f>
        <v>1362.72</v>
      </c>
      <c r="K479" s="42" t="n">
        <f aca="false">'Aturan &amp; Tarif'!$B$5</f>
        <v>2050</v>
      </c>
      <c r="L479" s="35" t="n">
        <f aca="false">I479+J479+K479</f>
        <v>19312.72</v>
      </c>
      <c r="M479" s="44" t="s">
        <v>1058</v>
      </c>
    </row>
    <row r="480" customFormat="false" ht="60" hidden="false" customHeight="true" outlineLevel="0" collapsed="false">
      <c r="A480" s="39"/>
      <c r="B480" s="40" t="s">
        <v>1059</v>
      </c>
      <c r="C480" s="41" t="s">
        <v>113</v>
      </c>
      <c r="D480" s="41" t="s">
        <v>108</v>
      </c>
      <c r="E480" s="42" t="n">
        <v>9000</v>
      </c>
      <c r="F480" s="42"/>
      <c r="G480" s="42"/>
      <c r="H480" s="43" t="n">
        <v>2</v>
      </c>
      <c r="I480" s="34" t="n">
        <f aca="false">E480*H480+N(F480)+N(G480)</f>
        <v>18000</v>
      </c>
      <c r="J480" s="42" t="n">
        <f aca="false">ROUND(IFERROR(ROUND(IF(OR(ISNUMBER(SEARCH("week",C480)),ISNUMBER(SEARCH("minggu",C480))),IFERROR(_xlfn.NUMBERVALUE(SUBSTITUTE(LEFT(TRIM(C480),FIND(" ",TRIM(C480)&amp;" ")-1),",","."),"."),LEFT(SUBSTITUTE(LEFT(TRIM(C480),FIND(" ",TRIM(C480)&amp;" ")-1),",","."),FIND("/",SUBSTITUTE(LEFT(TRIM(C480),FIND(" ",TRIM(C480)&amp;" ")-1),",","."))-1)/MID(SUBSTITUTE(LEFT(TRIM(C480),FIND(" ",TRIM(C480)&amp;" ")-1),",","."),FIND("/",SUBSTITUTE(LEFT(TRIM(C480),FIND(" ",TRIM(C480)&amp;" ")-1),",","."))+1,9))*12/52,IF(ISNUMBER(SEARCH("month",C480)),IFERROR(_xlfn.NUMBERVALUE(SUBSTITUTE(LEFT(TRIM(C480),FIND(" ",TRIM(C480)&amp;" ")-1),",","."),"."),LEFT(SUBSTITUTE(LEFT(TRIM(C480),FIND(" ",TRIM(C480)&amp;" ")-1),",","."),FIND("/",SUBSTITUTE(LEFT(TRIM(C480),FIND(" ",TRIM(C480)&amp;" ")-1),",","."))-1)/MID(SUBSTITUTE(LEFT(TRIM(C480),FIND(" ",TRIM(C480)&amp;" ")-1),",","."),FIND("/",SUBSTITUTE(LEFT(TRIM(C480),FIND(" ",TRIM(C480)&amp;" ")-1),",","."))+1,9)),IF(ISNUMBER(SEARCH("yea",C480)),IFERROR(_xlfn.NUMBERVALUE(SUBSTITUTE(LEFT(TRIM(C480),FIND(" ",TRIM(C480)&amp;" ")-1),",","."),"."),LEFT(SUBSTITUTE(LEFT(TRIM(C480),FIND(" ",TRIM(C480)&amp;" ")-1),",","."),FIND("/",SUBSTITUTE(LEFT(TRIM(C480),FIND(" ",TRIM(C480)&amp;" ")-1),",","."))-1)/MID(SUBSTITUTE(LEFT(TRIM(C480),FIND(" ",TRIM(C480)&amp;" ")-1),",","."),FIND("/",SUBSTITUTE(LEFT(TRIM(C480),FIND(" ",TRIM(C480)&amp;" ")-1),",","."))+1,9))*12,NA()))),0),18)*'Aturan &amp; Tarif'!$B$4,2)</f>
        <v>1022.04</v>
      </c>
      <c r="K480" s="42" t="n">
        <f aca="false">'Aturan &amp; Tarif'!$B$5</f>
        <v>2050</v>
      </c>
      <c r="L480" s="35" t="n">
        <f aca="false">I480+J480+K480</f>
        <v>21072.04</v>
      </c>
      <c r="M480" s="44" t="s">
        <v>1060</v>
      </c>
    </row>
    <row r="481" customFormat="false" ht="14.25" hidden="false" customHeight="true" outlineLevel="0" collapsed="false">
      <c r="A481" s="39"/>
      <c r="B481" s="40" t="s">
        <v>1061</v>
      </c>
      <c r="C481" s="41" t="s">
        <v>107</v>
      </c>
      <c r="D481" s="41" t="s">
        <v>108</v>
      </c>
      <c r="E481" s="42" t="n">
        <v>9000</v>
      </c>
      <c r="F481" s="42"/>
      <c r="G481" s="42"/>
      <c r="H481" s="43" t="n">
        <v>2</v>
      </c>
      <c r="I481" s="34" t="n">
        <f aca="false">E481*H481+N(F481)+N(G481)</f>
        <v>18000</v>
      </c>
      <c r="J481" s="42" t="n">
        <f aca="false">ROUND(IFERROR(ROUND(IF(OR(ISNUMBER(SEARCH("week",C481)),ISNUMBER(SEARCH("minggu",C481))),IFERROR(_xlfn.NUMBERVALUE(SUBSTITUTE(LEFT(TRIM(C481),FIND(" ",TRIM(C481)&amp;" ")-1),",","."),"."),LEFT(SUBSTITUTE(LEFT(TRIM(C481),FIND(" ",TRIM(C481)&amp;" ")-1),",","."),FIND("/",SUBSTITUTE(LEFT(TRIM(C481),FIND(" ",TRIM(C481)&amp;" ")-1),",","."))-1)/MID(SUBSTITUTE(LEFT(TRIM(C481),FIND(" ",TRIM(C481)&amp;" ")-1),",","."),FIND("/",SUBSTITUTE(LEFT(TRIM(C481),FIND(" ",TRIM(C481)&amp;" ")-1),",","."))+1,9))*12/52,IF(ISNUMBER(SEARCH("month",C481)),IFERROR(_xlfn.NUMBERVALUE(SUBSTITUTE(LEFT(TRIM(C481),FIND(" ",TRIM(C481)&amp;" ")-1),",","."),"."),LEFT(SUBSTITUTE(LEFT(TRIM(C481),FIND(" ",TRIM(C481)&amp;" ")-1),",","."),FIND("/",SUBSTITUTE(LEFT(TRIM(C481),FIND(" ",TRIM(C481)&amp;" ")-1),",","."))-1)/MID(SUBSTITUTE(LEFT(TRIM(C481),FIND(" ",TRIM(C481)&amp;" ")-1),",","."),FIND("/",SUBSTITUTE(LEFT(TRIM(C481),FIND(" ",TRIM(C481)&amp;" ")-1),",","."))+1,9)),IF(ISNUMBER(SEARCH("yea",C481)),IFERROR(_xlfn.NUMBERVALUE(SUBSTITUTE(LEFT(TRIM(C481),FIND(" ",TRIM(C481)&amp;" ")-1),",","."),"."),LEFT(SUBSTITUTE(LEFT(TRIM(C481),FIND(" ",TRIM(C481)&amp;" ")-1),",","."),FIND("/",SUBSTITUTE(LEFT(TRIM(C481),FIND(" ",TRIM(C481)&amp;" ")-1),",","."))-1)/MID(SUBSTITUTE(LEFT(TRIM(C481),FIND(" ",TRIM(C481)&amp;" ")-1),",","."),FIND("/",SUBSTITUTE(LEFT(TRIM(C481),FIND(" ",TRIM(C481)&amp;" ")-1),",","."))+1,9))*12,NA()))),0),24)*'Aturan &amp; Tarif'!$B$4,2)</f>
        <v>1362.72</v>
      </c>
      <c r="K481" s="42" t="n">
        <f aca="false">'Aturan &amp; Tarif'!$B$5</f>
        <v>2050</v>
      </c>
      <c r="L481" s="35" t="n">
        <f aca="false">I481+J481+K481</f>
        <v>21412.72</v>
      </c>
      <c r="M481" s="44" t="s">
        <v>1062</v>
      </c>
    </row>
    <row r="482" customFormat="false" ht="25.5" hidden="false" customHeight="true" outlineLevel="0" collapsed="false">
      <c r="A482" s="39"/>
      <c r="B482" s="40" t="s">
        <v>1063</v>
      </c>
      <c r="C482" s="41" t="s">
        <v>130</v>
      </c>
      <c r="D482" s="41" t="s">
        <v>108</v>
      </c>
      <c r="E482" s="42" t="n">
        <v>4500</v>
      </c>
      <c r="F482" s="42"/>
      <c r="G482" s="42"/>
      <c r="H482" s="43" t="n">
        <v>2</v>
      </c>
      <c r="I482" s="34" t="n">
        <f aca="false">E482*H482+N(F482)+N(G482)</f>
        <v>9000</v>
      </c>
      <c r="J482" s="42" t="n">
        <f aca="false">ROUND(IFERROR(ROUND(IF(OR(ISNUMBER(SEARCH("week",C482)),ISNUMBER(SEARCH("minggu",C482))),IFERROR(_xlfn.NUMBERVALUE(SUBSTITUTE(LEFT(TRIM(C482),FIND(" ",TRIM(C482)&amp;" ")-1),",","."),"."),LEFT(SUBSTITUTE(LEFT(TRIM(C482),FIND(" ",TRIM(C482)&amp;" ")-1),",","."),FIND("/",SUBSTITUTE(LEFT(TRIM(C482),FIND(" ",TRIM(C482)&amp;" ")-1),",","."))-1)/MID(SUBSTITUTE(LEFT(TRIM(C482),FIND(" ",TRIM(C482)&amp;" ")-1),",","."),FIND("/",SUBSTITUTE(LEFT(TRIM(C482),FIND(" ",TRIM(C482)&amp;" ")-1),",","."))+1,9))*12/52,IF(ISNUMBER(SEARCH("month",C482)),IFERROR(_xlfn.NUMBERVALUE(SUBSTITUTE(LEFT(TRIM(C482),FIND(" ",TRIM(C482)&amp;" ")-1),",","."),"."),LEFT(SUBSTITUTE(LEFT(TRIM(C482),FIND(" ",TRIM(C482)&amp;" ")-1),",","."),FIND("/",SUBSTITUTE(LEFT(TRIM(C482),FIND(" ",TRIM(C482)&amp;" ")-1),",","."))-1)/MID(SUBSTITUTE(LEFT(TRIM(C482),FIND(" ",TRIM(C482)&amp;" ")-1),",","."),FIND("/",SUBSTITUTE(LEFT(TRIM(C482),FIND(" ",TRIM(C482)&amp;" ")-1),",","."))+1,9)),IF(ISNUMBER(SEARCH("yea",C482)),IFERROR(_xlfn.NUMBERVALUE(SUBSTITUTE(LEFT(TRIM(C482),FIND(" ",TRIM(C482)&amp;" ")-1),",","."),"."),LEFT(SUBSTITUTE(LEFT(TRIM(C482),FIND(" ",TRIM(C482)&amp;" ")-1),",","."),FIND("/",SUBSTITUTE(LEFT(TRIM(C482),FIND(" ",TRIM(C482)&amp;" ")-1),",","."))-1)/MID(SUBSTITUTE(LEFT(TRIM(C482),FIND(" ",TRIM(C482)&amp;" ")-1),",","."),FIND("/",SUBSTITUTE(LEFT(TRIM(C482),FIND(" ",TRIM(C482)&amp;" ")-1),",","."))+1,9))*12,NA()))),0),12)*'Aturan &amp; Tarif'!$B$4,2)</f>
        <v>681.36</v>
      </c>
      <c r="K482" s="42" t="n">
        <f aca="false">'Aturan &amp; Tarif'!$B$5</f>
        <v>2050</v>
      </c>
      <c r="L482" s="35" t="n">
        <f aca="false">I482+J482+K482</f>
        <v>11731.36</v>
      </c>
      <c r="M482" s="45" t="s">
        <v>1064</v>
      </c>
    </row>
    <row r="483" customFormat="false" ht="14.25" hidden="false" customHeight="true" outlineLevel="0" collapsed="false">
      <c r="A483" s="39"/>
      <c r="B483" s="40" t="s">
        <v>1065</v>
      </c>
      <c r="C483" s="41" t="s">
        <v>130</v>
      </c>
      <c r="D483" s="41" t="s">
        <v>108</v>
      </c>
      <c r="E483" s="42" t="n">
        <v>4500</v>
      </c>
      <c r="F483" s="42"/>
      <c r="G483" s="42"/>
      <c r="H483" s="43" t="n">
        <v>2</v>
      </c>
      <c r="I483" s="34" t="n">
        <f aca="false">E483*H483+N(F483)+N(G483)</f>
        <v>9000</v>
      </c>
      <c r="J483" s="42" t="n">
        <f aca="false">ROUND(IFERROR(ROUND(IF(OR(ISNUMBER(SEARCH("week",C483)),ISNUMBER(SEARCH("minggu",C483))),IFERROR(_xlfn.NUMBERVALUE(SUBSTITUTE(LEFT(TRIM(C483),FIND(" ",TRIM(C483)&amp;" ")-1),",","."),"."),LEFT(SUBSTITUTE(LEFT(TRIM(C483),FIND(" ",TRIM(C483)&amp;" ")-1),",","."),FIND("/",SUBSTITUTE(LEFT(TRIM(C483),FIND(" ",TRIM(C483)&amp;" ")-1),",","."))-1)/MID(SUBSTITUTE(LEFT(TRIM(C483),FIND(" ",TRIM(C483)&amp;" ")-1),",","."),FIND("/",SUBSTITUTE(LEFT(TRIM(C483),FIND(" ",TRIM(C483)&amp;" ")-1),",","."))+1,9))*12/52,IF(ISNUMBER(SEARCH("month",C483)),IFERROR(_xlfn.NUMBERVALUE(SUBSTITUTE(LEFT(TRIM(C483),FIND(" ",TRIM(C483)&amp;" ")-1),",","."),"."),LEFT(SUBSTITUTE(LEFT(TRIM(C483),FIND(" ",TRIM(C483)&amp;" ")-1),",","."),FIND("/",SUBSTITUTE(LEFT(TRIM(C483),FIND(" ",TRIM(C483)&amp;" ")-1),",","."))-1)/MID(SUBSTITUTE(LEFT(TRIM(C483),FIND(" ",TRIM(C483)&amp;" ")-1),",","."),FIND("/",SUBSTITUTE(LEFT(TRIM(C483),FIND(" ",TRIM(C483)&amp;" ")-1),",","."))+1,9)),IF(ISNUMBER(SEARCH("yea",C483)),IFERROR(_xlfn.NUMBERVALUE(SUBSTITUTE(LEFT(TRIM(C483),FIND(" ",TRIM(C483)&amp;" ")-1),",","."),"."),LEFT(SUBSTITUTE(LEFT(TRIM(C483),FIND(" ",TRIM(C483)&amp;" ")-1),",","."),FIND("/",SUBSTITUTE(LEFT(TRIM(C483),FIND(" ",TRIM(C483)&amp;" ")-1),",","."))-1)/MID(SUBSTITUTE(LEFT(TRIM(C483),FIND(" ",TRIM(C483)&amp;" ")-1),",","."),FIND("/",SUBSTITUTE(LEFT(TRIM(C483),FIND(" ",TRIM(C483)&amp;" ")-1),",","."))+1,9))*12,NA()))),0),12)*'Aturan &amp; Tarif'!$B$4,2)</f>
        <v>681.36</v>
      </c>
      <c r="K483" s="42" t="n">
        <f aca="false">'Aturan &amp; Tarif'!$B$5</f>
        <v>2050</v>
      </c>
      <c r="L483" s="35" t="n">
        <f aca="false">I483+J483+K483</f>
        <v>11731.36</v>
      </c>
      <c r="M483" s="45" t="s">
        <v>1066</v>
      </c>
    </row>
    <row r="484" customFormat="false" ht="60" hidden="false" customHeight="true" outlineLevel="0" collapsed="false">
      <c r="A484" s="39"/>
      <c r="B484" s="40" t="s">
        <v>1067</v>
      </c>
      <c r="C484" s="41" t="s">
        <v>130</v>
      </c>
      <c r="D484" s="41" t="s">
        <v>108</v>
      </c>
      <c r="E484" s="42" t="n">
        <v>9000</v>
      </c>
      <c r="F484" s="42"/>
      <c r="G484" s="42"/>
      <c r="H484" s="43" t="n">
        <v>2</v>
      </c>
      <c r="I484" s="34" t="n">
        <f aca="false">E484*H484+N(F484)+N(G484)</f>
        <v>18000</v>
      </c>
      <c r="J484" s="42" t="n">
        <f aca="false">ROUND(IFERROR(ROUND(IF(OR(ISNUMBER(SEARCH("week",C484)),ISNUMBER(SEARCH("minggu",C484))),IFERROR(_xlfn.NUMBERVALUE(SUBSTITUTE(LEFT(TRIM(C484),FIND(" ",TRIM(C484)&amp;" ")-1),",","."),"."),LEFT(SUBSTITUTE(LEFT(TRIM(C484),FIND(" ",TRIM(C484)&amp;" ")-1),",","."),FIND("/",SUBSTITUTE(LEFT(TRIM(C484),FIND(" ",TRIM(C484)&amp;" ")-1),",","."))-1)/MID(SUBSTITUTE(LEFT(TRIM(C484),FIND(" ",TRIM(C484)&amp;" ")-1),",","."),FIND("/",SUBSTITUTE(LEFT(TRIM(C484),FIND(" ",TRIM(C484)&amp;" ")-1),",","."))+1,9))*12/52,IF(ISNUMBER(SEARCH("month",C484)),IFERROR(_xlfn.NUMBERVALUE(SUBSTITUTE(LEFT(TRIM(C484),FIND(" ",TRIM(C484)&amp;" ")-1),",","."),"."),LEFT(SUBSTITUTE(LEFT(TRIM(C484),FIND(" ",TRIM(C484)&amp;" ")-1),",","."),FIND("/",SUBSTITUTE(LEFT(TRIM(C484),FIND(" ",TRIM(C484)&amp;" ")-1),",","."))-1)/MID(SUBSTITUTE(LEFT(TRIM(C484),FIND(" ",TRIM(C484)&amp;" ")-1),",","."),FIND("/",SUBSTITUTE(LEFT(TRIM(C484),FIND(" ",TRIM(C484)&amp;" ")-1),",","."))+1,9)),IF(ISNUMBER(SEARCH("yea",C484)),IFERROR(_xlfn.NUMBERVALUE(SUBSTITUTE(LEFT(TRIM(C484),FIND(" ",TRIM(C484)&amp;" ")-1),",","."),"."),LEFT(SUBSTITUTE(LEFT(TRIM(C484),FIND(" ",TRIM(C484)&amp;" ")-1),",","."),FIND("/",SUBSTITUTE(LEFT(TRIM(C484),FIND(" ",TRIM(C484)&amp;" ")-1),",","."))-1)/MID(SUBSTITUTE(LEFT(TRIM(C484),FIND(" ",TRIM(C484)&amp;" ")-1),",","."),FIND("/",SUBSTITUTE(LEFT(TRIM(C484),FIND(" ",TRIM(C484)&amp;" ")-1),",","."))+1,9))*12,NA()))),0),12)*'Aturan &amp; Tarif'!$B$4,2)</f>
        <v>681.36</v>
      </c>
      <c r="K484" s="42" t="n">
        <f aca="false">'Aturan &amp; Tarif'!$B$5</f>
        <v>2050</v>
      </c>
      <c r="L484" s="35" t="n">
        <f aca="false">I484+J484+K484</f>
        <v>20731.36</v>
      </c>
      <c r="M484" s="45" t="s">
        <v>1068</v>
      </c>
    </row>
    <row r="485" customFormat="false" ht="60" hidden="false" customHeight="true" outlineLevel="0" collapsed="false">
      <c r="A485" s="39"/>
      <c r="B485" s="40" t="s">
        <v>1069</v>
      </c>
      <c r="C485" s="41" t="s">
        <v>130</v>
      </c>
      <c r="D485" s="41" t="s">
        <v>108</v>
      </c>
      <c r="E485" s="42" t="n">
        <v>9000</v>
      </c>
      <c r="F485" s="42"/>
      <c r="G485" s="42"/>
      <c r="H485" s="43" t="n">
        <v>2</v>
      </c>
      <c r="I485" s="34" t="n">
        <f aca="false">E485*H485+N(F485)+N(G485)</f>
        <v>18000</v>
      </c>
      <c r="J485" s="42" t="n">
        <f aca="false">ROUND(IFERROR(ROUND(IF(OR(ISNUMBER(SEARCH("week",C485)),ISNUMBER(SEARCH("minggu",C485))),IFERROR(_xlfn.NUMBERVALUE(SUBSTITUTE(LEFT(TRIM(C485),FIND(" ",TRIM(C485)&amp;" ")-1),",","."),"."),LEFT(SUBSTITUTE(LEFT(TRIM(C485),FIND(" ",TRIM(C485)&amp;" ")-1),",","."),FIND("/",SUBSTITUTE(LEFT(TRIM(C485),FIND(" ",TRIM(C485)&amp;" ")-1),",","."))-1)/MID(SUBSTITUTE(LEFT(TRIM(C485),FIND(" ",TRIM(C485)&amp;" ")-1),",","."),FIND("/",SUBSTITUTE(LEFT(TRIM(C485),FIND(" ",TRIM(C485)&amp;" ")-1),",","."))+1,9))*12/52,IF(ISNUMBER(SEARCH("month",C485)),IFERROR(_xlfn.NUMBERVALUE(SUBSTITUTE(LEFT(TRIM(C485),FIND(" ",TRIM(C485)&amp;" ")-1),",","."),"."),LEFT(SUBSTITUTE(LEFT(TRIM(C485),FIND(" ",TRIM(C485)&amp;" ")-1),",","."),FIND("/",SUBSTITUTE(LEFT(TRIM(C485),FIND(" ",TRIM(C485)&amp;" ")-1),",","."))-1)/MID(SUBSTITUTE(LEFT(TRIM(C485),FIND(" ",TRIM(C485)&amp;" ")-1),",","."),FIND("/",SUBSTITUTE(LEFT(TRIM(C485),FIND(" ",TRIM(C485)&amp;" ")-1),",","."))+1,9)),IF(ISNUMBER(SEARCH("yea",C485)),IFERROR(_xlfn.NUMBERVALUE(SUBSTITUTE(LEFT(TRIM(C485),FIND(" ",TRIM(C485)&amp;" ")-1),",","."),"."),LEFT(SUBSTITUTE(LEFT(TRIM(C485),FIND(" ",TRIM(C485)&amp;" ")-1),",","."),FIND("/",SUBSTITUTE(LEFT(TRIM(C485),FIND(" ",TRIM(C485)&amp;" ")-1),",","."))-1)/MID(SUBSTITUTE(LEFT(TRIM(C485),FIND(" ",TRIM(C485)&amp;" ")-1),",","."),FIND("/",SUBSTITUTE(LEFT(TRIM(C485),FIND(" ",TRIM(C485)&amp;" ")-1),",","."))+1,9))*12,NA()))),0),12)*'Aturan &amp; Tarif'!$B$4,2)</f>
        <v>681.36</v>
      </c>
      <c r="K485" s="42" t="n">
        <f aca="false">'Aturan &amp; Tarif'!$B$5</f>
        <v>2050</v>
      </c>
      <c r="L485" s="35" t="n">
        <f aca="false">I485+J485+K485</f>
        <v>20731.36</v>
      </c>
      <c r="M485" s="44" t="s">
        <v>1036</v>
      </c>
    </row>
    <row r="486" customFormat="false" ht="60" hidden="false" customHeight="true" outlineLevel="0" collapsed="false">
      <c r="A486" s="39"/>
      <c r="B486" s="40" t="s">
        <v>1070</v>
      </c>
      <c r="C486" s="41" t="s">
        <v>107</v>
      </c>
      <c r="D486" s="41" t="s">
        <v>108</v>
      </c>
      <c r="E486" s="42" t="n">
        <v>9000</v>
      </c>
      <c r="F486" s="42"/>
      <c r="G486" s="42"/>
      <c r="H486" s="43" t="n">
        <v>2</v>
      </c>
      <c r="I486" s="34" t="n">
        <f aca="false">E486*H486+N(F486)+N(G486)</f>
        <v>18000</v>
      </c>
      <c r="J486" s="42" t="n">
        <f aca="false">ROUND(IFERROR(ROUND(IF(OR(ISNUMBER(SEARCH("week",C486)),ISNUMBER(SEARCH("minggu",C486))),IFERROR(_xlfn.NUMBERVALUE(SUBSTITUTE(LEFT(TRIM(C486),FIND(" ",TRIM(C486)&amp;" ")-1),",","."),"."),LEFT(SUBSTITUTE(LEFT(TRIM(C486),FIND(" ",TRIM(C486)&amp;" ")-1),",","."),FIND("/",SUBSTITUTE(LEFT(TRIM(C486),FIND(" ",TRIM(C486)&amp;" ")-1),",","."))-1)/MID(SUBSTITUTE(LEFT(TRIM(C486),FIND(" ",TRIM(C486)&amp;" ")-1),",","."),FIND("/",SUBSTITUTE(LEFT(TRIM(C486),FIND(" ",TRIM(C486)&amp;" ")-1),",","."))+1,9))*12/52,IF(ISNUMBER(SEARCH("month",C486)),IFERROR(_xlfn.NUMBERVALUE(SUBSTITUTE(LEFT(TRIM(C486),FIND(" ",TRIM(C486)&amp;" ")-1),",","."),"."),LEFT(SUBSTITUTE(LEFT(TRIM(C486),FIND(" ",TRIM(C486)&amp;" ")-1),",","."),FIND("/",SUBSTITUTE(LEFT(TRIM(C486),FIND(" ",TRIM(C486)&amp;" ")-1),",","."))-1)/MID(SUBSTITUTE(LEFT(TRIM(C486),FIND(" ",TRIM(C486)&amp;" ")-1),",","."),FIND("/",SUBSTITUTE(LEFT(TRIM(C486),FIND(" ",TRIM(C486)&amp;" ")-1),",","."))+1,9)),IF(ISNUMBER(SEARCH("yea",C486)),IFERROR(_xlfn.NUMBERVALUE(SUBSTITUTE(LEFT(TRIM(C486),FIND(" ",TRIM(C486)&amp;" ")-1),",","."),"."),LEFT(SUBSTITUTE(LEFT(TRIM(C486),FIND(" ",TRIM(C486)&amp;" ")-1),",","."),FIND("/",SUBSTITUTE(LEFT(TRIM(C486),FIND(" ",TRIM(C486)&amp;" ")-1),",","."))-1)/MID(SUBSTITUTE(LEFT(TRIM(C486),FIND(" ",TRIM(C486)&amp;" ")-1),",","."),FIND("/",SUBSTITUTE(LEFT(TRIM(C486),FIND(" ",TRIM(C486)&amp;" ")-1),",","."))+1,9))*12,NA()))),0),24)*'Aturan &amp; Tarif'!$B$4,2)</f>
        <v>1362.72</v>
      </c>
      <c r="K486" s="42" t="n">
        <f aca="false">'Aturan &amp; Tarif'!$B$5</f>
        <v>2050</v>
      </c>
      <c r="L486" s="35" t="n">
        <f aca="false">I486+J486+K486</f>
        <v>21412.72</v>
      </c>
      <c r="M486" s="44" t="s">
        <v>1036</v>
      </c>
    </row>
    <row r="487" customFormat="false" ht="60" hidden="false" customHeight="true" outlineLevel="0" collapsed="false">
      <c r="A487" s="39"/>
      <c r="B487" s="40" t="s">
        <v>1071</v>
      </c>
      <c r="C487" s="41" t="s">
        <v>107</v>
      </c>
      <c r="D487" s="41" t="s">
        <v>108</v>
      </c>
      <c r="E487" s="42" t="n">
        <v>9000</v>
      </c>
      <c r="F487" s="42"/>
      <c r="G487" s="42"/>
      <c r="H487" s="43" t="n">
        <v>2</v>
      </c>
      <c r="I487" s="34" t="n">
        <f aca="false">E487*H487+N(F487)+N(G487)</f>
        <v>18000</v>
      </c>
      <c r="J487" s="42" t="n">
        <f aca="false">ROUND(IFERROR(ROUND(IF(OR(ISNUMBER(SEARCH("week",C487)),ISNUMBER(SEARCH("minggu",C487))),IFERROR(_xlfn.NUMBERVALUE(SUBSTITUTE(LEFT(TRIM(C487),FIND(" ",TRIM(C487)&amp;" ")-1),",","."),"."),LEFT(SUBSTITUTE(LEFT(TRIM(C487),FIND(" ",TRIM(C487)&amp;" ")-1),",","."),FIND("/",SUBSTITUTE(LEFT(TRIM(C487),FIND(" ",TRIM(C487)&amp;" ")-1),",","."))-1)/MID(SUBSTITUTE(LEFT(TRIM(C487),FIND(" ",TRIM(C487)&amp;" ")-1),",","."),FIND("/",SUBSTITUTE(LEFT(TRIM(C487),FIND(" ",TRIM(C487)&amp;" ")-1),",","."))+1,9))*12/52,IF(ISNUMBER(SEARCH("month",C487)),IFERROR(_xlfn.NUMBERVALUE(SUBSTITUTE(LEFT(TRIM(C487),FIND(" ",TRIM(C487)&amp;" ")-1),",","."),"."),LEFT(SUBSTITUTE(LEFT(TRIM(C487),FIND(" ",TRIM(C487)&amp;" ")-1),",","."),FIND("/",SUBSTITUTE(LEFT(TRIM(C487),FIND(" ",TRIM(C487)&amp;" ")-1),",","."))-1)/MID(SUBSTITUTE(LEFT(TRIM(C487),FIND(" ",TRIM(C487)&amp;" ")-1),",","."),FIND("/",SUBSTITUTE(LEFT(TRIM(C487),FIND(" ",TRIM(C487)&amp;" ")-1),",","."))+1,9)),IF(ISNUMBER(SEARCH("yea",C487)),IFERROR(_xlfn.NUMBERVALUE(SUBSTITUTE(LEFT(TRIM(C487),FIND(" ",TRIM(C487)&amp;" ")-1),",","."),"."),LEFT(SUBSTITUTE(LEFT(TRIM(C487),FIND(" ",TRIM(C487)&amp;" ")-1),",","."),FIND("/",SUBSTITUTE(LEFT(TRIM(C487),FIND(" ",TRIM(C487)&amp;" ")-1),",","."))-1)/MID(SUBSTITUTE(LEFT(TRIM(C487),FIND(" ",TRIM(C487)&amp;" ")-1),",","."),FIND("/",SUBSTITUTE(LEFT(TRIM(C487),FIND(" ",TRIM(C487)&amp;" ")-1),",","."))+1,9))*12,NA()))),0),24)*'Aturan &amp; Tarif'!$B$4,2)</f>
        <v>1362.72</v>
      </c>
      <c r="K487" s="42" t="n">
        <f aca="false">'Aturan &amp; Tarif'!$B$5</f>
        <v>2050</v>
      </c>
      <c r="L487" s="35" t="n">
        <f aca="false">I487+J487+K487</f>
        <v>21412.72</v>
      </c>
      <c r="M487" s="44" t="s">
        <v>1072</v>
      </c>
    </row>
    <row r="488" customFormat="false" ht="60" hidden="false" customHeight="true" outlineLevel="0" collapsed="false">
      <c r="A488" s="39"/>
      <c r="B488" s="40" t="s">
        <v>1073</v>
      </c>
      <c r="C488" s="41" t="s">
        <v>344</v>
      </c>
      <c r="D488" s="41" t="s">
        <v>108</v>
      </c>
      <c r="E488" s="42" t="n">
        <v>4500</v>
      </c>
      <c r="F488" s="42"/>
      <c r="G488" s="42"/>
      <c r="H488" s="43" t="n">
        <v>2</v>
      </c>
      <c r="I488" s="34" t="n">
        <f aca="false">E488*H488+N(F488)+N(G488)</f>
        <v>9000</v>
      </c>
      <c r="J488" s="42" t="n">
        <f aca="false">ROUND(IFERROR(ROUND(IF(OR(ISNUMBER(SEARCH("week",C488)),ISNUMBER(SEARCH("minggu",C488))),IFERROR(_xlfn.NUMBERVALUE(SUBSTITUTE(LEFT(TRIM(C488),FIND(" ",TRIM(C488)&amp;" ")-1),",","."),"."),LEFT(SUBSTITUTE(LEFT(TRIM(C488),FIND(" ",TRIM(C488)&amp;" ")-1),",","."),FIND("/",SUBSTITUTE(LEFT(TRIM(C488),FIND(" ",TRIM(C488)&amp;" ")-1),",","."))-1)/MID(SUBSTITUTE(LEFT(TRIM(C488),FIND(" ",TRIM(C488)&amp;" ")-1),",","."),FIND("/",SUBSTITUTE(LEFT(TRIM(C488),FIND(" ",TRIM(C488)&amp;" ")-1),",","."))+1,9))*12/52,IF(ISNUMBER(SEARCH("month",C488)),IFERROR(_xlfn.NUMBERVALUE(SUBSTITUTE(LEFT(TRIM(C488),FIND(" ",TRIM(C488)&amp;" ")-1),",","."),"."),LEFT(SUBSTITUTE(LEFT(TRIM(C488),FIND(" ",TRIM(C488)&amp;" ")-1),",","."),FIND("/",SUBSTITUTE(LEFT(TRIM(C488),FIND(" ",TRIM(C488)&amp;" ")-1),",","."))-1)/MID(SUBSTITUTE(LEFT(TRIM(C488),FIND(" ",TRIM(C488)&amp;" ")-1),",","."),FIND("/",SUBSTITUTE(LEFT(TRIM(C488),FIND(" ",TRIM(C488)&amp;" ")-1),",","."))+1,9)),IF(ISNUMBER(SEARCH("yea",C488)),IFERROR(_xlfn.NUMBERVALUE(SUBSTITUTE(LEFT(TRIM(C488),FIND(" ",TRIM(C488)&amp;" ")-1),",","."),"."),LEFT(SUBSTITUTE(LEFT(TRIM(C488),FIND(" ",TRIM(C488)&amp;" ")-1),",","."),FIND("/",SUBSTITUTE(LEFT(TRIM(C488),FIND(" ",TRIM(C488)&amp;" ")-1),",","."))-1)/MID(SUBSTITUTE(LEFT(TRIM(C488),FIND(" ",TRIM(C488)&amp;" ")-1),",","."),FIND("/",SUBSTITUTE(LEFT(TRIM(C488),FIND(" ",TRIM(C488)&amp;" ")-1),",","."))+1,9))*12,NA()))),0),6)*'Aturan &amp; Tarif'!$B$4,2)</f>
        <v>340.68</v>
      </c>
      <c r="K488" s="42" t="n">
        <f aca="false">'Aturan &amp; Tarif'!$B$5</f>
        <v>2050</v>
      </c>
      <c r="L488" s="35" t="n">
        <f aca="false">I488+J488+K488</f>
        <v>11390.68</v>
      </c>
      <c r="M488" s="44" t="s">
        <v>1036</v>
      </c>
    </row>
    <row r="489" customFormat="false" ht="60" hidden="false" customHeight="true" outlineLevel="0" collapsed="false">
      <c r="A489" s="39"/>
      <c r="B489" s="40" t="s">
        <v>1074</v>
      </c>
      <c r="C489" s="41" t="s">
        <v>130</v>
      </c>
      <c r="D489" s="41" t="s">
        <v>108</v>
      </c>
      <c r="E489" s="42" t="n">
        <v>9000</v>
      </c>
      <c r="F489" s="42"/>
      <c r="G489" s="42"/>
      <c r="H489" s="43" t="n">
        <v>2</v>
      </c>
      <c r="I489" s="34" t="n">
        <f aca="false">E489*H489+N(F489)+N(G489)</f>
        <v>18000</v>
      </c>
      <c r="J489" s="42" t="n">
        <f aca="false">ROUND(IFERROR(ROUND(IF(OR(ISNUMBER(SEARCH("week",C489)),ISNUMBER(SEARCH("minggu",C489))),IFERROR(_xlfn.NUMBERVALUE(SUBSTITUTE(LEFT(TRIM(C489),FIND(" ",TRIM(C489)&amp;" ")-1),",","."),"."),LEFT(SUBSTITUTE(LEFT(TRIM(C489),FIND(" ",TRIM(C489)&amp;" ")-1),",","."),FIND("/",SUBSTITUTE(LEFT(TRIM(C489),FIND(" ",TRIM(C489)&amp;" ")-1),",","."))-1)/MID(SUBSTITUTE(LEFT(TRIM(C489),FIND(" ",TRIM(C489)&amp;" ")-1),",","."),FIND("/",SUBSTITUTE(LEFT(TRIM(C489),FIND(" ",TRIM(C489)&amp;" ")-1),",","."))+1,9))*12/52,IF(ISNUMBER(SEARCH("month",C489)),IFERROR(_xlfn.NUMBERVALUE(SUBSTITUTE(LEFT(TRIM(C489),FIND(" ",TRIM(C489)&amp;" ")-1),",","."),"."),LEFT(SUBSTITUTE(LEFT(TRIM(C489),FIND(" ",TRIM(C489)&amp;" ")-1),",","."),FIND("/",SUBSTITUTE(LEFT(TRIM(C489),FIND(" ",TRIM(C489)&amp;" ")-1),",","."))-1)/MID(SUBSTITUTE(LEFT(TRIM(C489),FIND(" ",TRIM(C489)&amp;" ")-1),",","."),FIND("/",SUBSTITUTE(LEFT(TRIM(C489),FIND(" ",TRIM(C489)&amp;" ")-1),",","."))+1,9)),IF(ISNUMBER(SEARCH("yea",C489)),IFERROR(_xlfn.NUMBERVALUE(SUBSTITUTE(LEFT(TRIM(C489),FIND(" ",TRIM(C489)&amp;" ")-1),",","."),"."),LEFT(SUBSTITUTE(LEFT(TRIM(C489),FIND(" ",TRIM(C489)&amp;" ")-1),",","."),FIND("/",SUBSTITUTE(LEFT(TRIM(C489),FIND(" ",TRIM(C489)&amp;" ")-1),",","."))-1)/MID(SUBSTITUTE(LEFT(TRIM(C489),FIND(" ",TRIM(C489)&amp;" ")-1),",","."),FIND("/",SUBSTITUTE(LEFT(TRIM(C489),FIND(" ",TRIM(C489)&amp;" ")-1),",","."))+1,9))*12,NA()))),0),12)*'Aturan &amp; Tarif'!$B$4,2)</f>
        <v>681.36</v>
      </c>
      <c r="K489" s="42" t="n">
        <f aca="false">'Aturan &amp; Tarif'!$B$5</f>
        <v>2050</v>
      </c>
      <c r="L489" s="35" t="n">
        <f aca="false">I489+J489+K489</f>
        <v>20731.36</v>
      </c>
      <c r="M489" s="44" t="s">
        <v>1036</v>
      </c>
    </row>
    <row r="490" customFormat="false" ht="60" hidden="false" customHeight="true" outlineLevel="0" collapsed="false">
      <c r="A490" s="39"/>
      <c r="B490" s="40" t="s">
        <v>1075</v>
      </c>
      <c r="C490" s="41" t="s">
        <v>113</v>
      </c>
      <c r="D490" s="41" t="s">
        <v>108</v>
      </c>
      <c r="E490" s="42" t="n">
        <v>9000</v>
      </c>
      <c r="F490" s="42"/>
      <c r="G490" s="42"/>
      <c r="H490" s="43" t="n">
        <v>2</v>
      </c>
      <c r="I490" s="34" t="n">
        <f aca="false">E490*H490+N(F490)+N(G490)</f>
        <v>18000</v>
      </c>
      <c r="J490" s="42" t="n">
        <f aca="false">ROUND(IFERROR(ROUND(IF(OR(ISNUMBER(SEARCH("week",C490)),ISNUMBER(SEARCH("minggu",C490))),IFERROR(_xlfn.NUMBERVALUE(SUBSTITUTE(LEFT(TRIM(C490),FIND(" ",TRIM(C490)&amp;" ")-1),",","."),"."),LEFT(SUBSTITUTE(LEFT(TRIM(C490),FIND(" ",TRIM(C490)&amp;" ")-1),",","."),FIND("/",SUBSTITUTE(LEFT(TRIM(C490),FIND(" ",TRIM(C490)&amp;" ")-1),",","."))-1)/MID(SUBSTITUTE(LEFT(TRIM(C490),FIND(" ",TRIM(C490)&amp;" ")-1),",","."),FIND("/",SUBSTITUTE(LEFT(TRIM(C490),FIND(" ",TRIM(C490)&amp;" ")-1),",","."))+1,9))*12/52,IF(ISNUMBER(SEARCH("month",C490)),IFERROR(_xlfn.NUMBERVALUE(SUBSTITUTE(LEFT(TRIM(C490),FIND(" ",TRIM(C490)&amp;" ")-1),",","."),"."),LEFT(SUBSTITUTE(LEFT(TRIM(C490),FIND(" ",TRIM(C490)&amp;" ")-1),",","."),FIND("/",SUBSTITUTE(LEFT(TRIM(C490),FIND(" ",TRIM(C490)&amp;" ")-1),",","."))-1)/MID(SUBSTITUTE(LEFT(TRIM(C490),FIND(" ",TRIM(C490)&amp;" ")-1),",","."),FIND("/",SUBSTITUTE(LEFT(TRIM(C490),FIND(" ",TRIM(C490)&amp;" ")-1),",","."))+1,9)),IF(ISNUMBER(SEARCH("yea",C490)),IFERROR(_xlfn.NUMBERVALUE(SUBSTITUTE(LEFT(TRIM(C490),FIND(" ",TRIM(C490)&amp;" ")-1),",","."),"."),LEFT(SUBSTITUTE(LEFT(TRIM(C490),FIND(" ",TRIM(C490)&amp;" ")-1),",","."),FIND("/",SUBSTITUTE(LEFT(TRIM(C490),FIND(" ",TRIM(C490)&amp;" ")-1),",","."))-1)/MID(SUBSTITUTE(LEFT(TRIM(C490),FIND(" ",TRIM(C490)&amp;" ")-1),",","."),FIND("/",SUBSTITUTE(LEFT(TRIM(C490),FIND(" ",TRIM(C490)&amp;" ")-1),",","."))+1,9))*12,NA()))),0),18)*'Aturan &amp; Tarif'!$B$4,2)</f>
        <v>1022.04</v>
      </c>
      <c r="K490" s="42" t="n">
        <f aca="false">'Aturan &amp; Tarif'!$B$5</f>
        <v>2050</v>
      </c>
      <c r="L490" s="35" t="n">
        <f aca="false">I490+J490+K490</f>
        <v>21072.04</v>
      </c>
      <c r="M490" s="44" t="s">
        <v>1036</v>
      </c>
    </row>
    <row r="491" customFormat="false" ht="60" hidden="false" customHeight="true" outlineLevel="0" collapsed="false">
      <c r="A491" s="39"/>
      <c r="B491" s="40" t="s">
        <v>1076</v>
      </c>
      <c r="C491" s="41" t="s">
        <v>107</v>
      </c>
      <c r="D491" s="41" t="s">
        <v>108</v>
      </c>
      <c r="E491" s="42" t="n">
        <v>9000</v>
      </c>
      <c r="F491" s="42"/>
      <c r="G491" s="42"/>
      <c r="H491" s="43" t="n">
        <v>2</v>
      </c>
      <c r="I491" s="34" t="n">
        <f aca="false">E491*H491+N(F491)+N(G491)</f>
        <v>18000</v>
      </c>
      <c r="J491" s="42" t="n">
        <f aca="false">ROUND(IFERROR(ROUND(IF(OR(ISNUMBER(SEARCH("week",C491)),ISNUMBER(SEARCH("minggu",C491))),IFERROR(_xlfn.NUMBERVALUE(SUBSTITUTE(LEFT(TRIM(C491),FIND(" ",TRIM(C491)&amp;" ")-1),",","."),"."),LEFT(SUBSTITUTE(LEFT(TRIM(C491),FIND(" ",TRIM(C491)&amp;" ")-1),",","."),FIND("/",SUBSTITUTE(LEFT(TRIM(C491),FIND(" ",TRIM(C491)&amp;" ")-1),",","."))-1)/MID(SUBSTITUTE(LEFT(TRIM(C491),FIND(" ",TRIM(C491)&amp;" ")-1),",","."),FIND("/",SUBSTITUTE(LEFT(TRIM(C491),FIND(" ",TRIM(C491)&amp;" ")-1),",","."))+1,9))*12/52,IF(ISNUMBER(SEARCH("month",C491)),IFERROR(_xlfn.NUMBERVALUE(SUBSTITUTE(LEFT(TRIM(C491),FIND(" ",TRIM(C491)&amp;" ")-1),",","."),"."),LEFT(SUBSTITUTE(LEFT(TRIM(C491),FIND(" ",TRIM(C491)&amp;" ")-1),",","."),FIND("/",SUBSTITUTE(LEFT(TRIM(C491),FIND(" ",TRIM(C491)&amp;" ")-1),",","."))-1)/MID(SUBSTITUTE(LEFT(TRIM(C491),FIND(" ",TRIM(C491)&amp;" ")-1),",","."),FIND("/",SUBSTITUTE(LEFT(TRIM(C491),FIND(" ",TRIM(C491)&amp;" ")-1),",","."))+1,9)),IF(ISNUMBER(SEARCH("yea",C491)),IFERROR(_xlfn.NUMBERVALUE(SUBSTITUTE(LEFT(TRIM(C491),FIND(" ",TRIM(C491)&amp;" ")-1),",","."),"."),LEFT(SUBSTITUTE(LEFT(TRIM(C491),FIND(" ",TRIM(C491)&amp;" ")-1),",","."),FIND("/",SUBSTITUTE(LEFT(TRIM(C491),FIND(" ",TRIM(C491)&amp;" ")-1),",","."))-1)/MID(SUBSTITUTE(LEFT(TRIM(C491),FIND(" ",TRIM(C491)&amp;" ")-1),",","."),FIND("/",SUBSTITUTE(LEFT(TRIM(C491),FIND(" ",TRIM(C491)&amp;" ")-1),",","."))+1,9))*12,NA()))),0),24)*'Aturan &amp; Tarif'!$B$4,2)</f>
        <v>1362.72</v>
      </c>
      <c r="K491" s="42" t="n">
        <f aca="false">'Aturan &amp; Tarif'!$B$5</f>
        <v>2050</v>
      </c>
      <c r="L491" s="35" t="n">
        <f aca="false">I491+J491+K491</f>
        <v>21412.72</v>
      </c>
      <c r="M491" s="44" t="s">
        <v>1036</v>
      </c>
    </row>
    <row r="492" customFormat="false" ht="60" hidden="false" customHeight="true" outlineLevel="0" collapsed="false">
      <c r="A492" s="39"/>
      <c r="B492" s="40" t="s">
        <v>1055</v>
      </c>
      <c r="C492" s="41" t="s">
        <v>107</v>
      </c>
      <c r="D492" s="41" t="s">
        <v>108</v>
      </c>
      <c r="E492" s="42" t="n">
        <v>9000</v>
      </c>
      <c r="F492" s="42"/>
      <c r="G492" s="42"/>
      <c r="H492" s="43" t="n">
        <v>2</v>
      </c>
      <c r="I492" s="34" t="n">
        <f aca="false">E492*H492+N(F492)+N(G492)</f>
        <v>18000</v>
      </c>
      <c r="J492" s="42" t="n">
        <f aca="false">ROUND(IFERROR(ROUND(IF(OR(ISNUMBER(SEARCH("week",C492)),ISNUMBER(SEARCH("minggu",C492))),IFERROR(_xlfn.NUMBERVALUE(SUBSTITUTE(LEFT(TRIM(C492),FIND(" ",TRIM(C492)&amp;" ")-1),",","."),"."),LEFT(SUBSTITUTE(LEFT(TRIM(C492),FIND(" ",TRIM(C492)&amp;" ")-1),",","."),FIND("/",SUBSTITUTE(LEFT(TRIM(C492),FIND(" ",TRIM(C492)&amp;" ")-1),",","."))-1)/MID(SUBSTITUTE(LEFT(TRIM(C492),FIND(" ",TRIM(C492)&amp;" ")-1),",","."),FIND("/",SUBSTITUTE(LEFT(TRIM(C492),FIND(" ",TRIM(C492)&amp;" ")-1),",","."))+1,9))*12/52,IF(ISNUMBER(SEARCH("month",C492)),IFERROR(_xlfn.NUMBERVALUE(SUBSTITUTE(LEFT(TRIM(C492),FIND(" ",TRIM(C492)&amp;" ")-1),",","."),"."),LEFT(SUBSTITUTE(LEFT(TRIM(C492),FIND(" ",TRIM(C492)&amp;" ")-1),",","."),FIND("/",SUBSTITUTE(LEFT(TRIM(C492),FIND(" ",TRIM(C492)&amp;" ")-1),",","."))-1)/MID(SUBSTITUTE(LEFT(TRIM(C492),FIND(" ",TRIM(C492)&amp;" ")-1),",","."),FIND("/",SUBSTITUTE(LEFT(TRIM(C492),FIND(" ",TRIM(C492)&amp;" ")-1),",","."))+1,9)),IF(ISNUMBER(SEARCH("yea",C492)),IFERROR(_xlfn.NUMBERVALUE(SUBSTITUTE(LEFT(TRIM(C492),FIND(" ",TRIM(C492)&amp;" ")-1),",","."),"."),LEFT(SUBSTITUTE(LEFT(TRIM(C492),FIND(" ",TRIM(C492)&amp;" ")-1),",","."),FIND("/",SUBSTITUTE(LEFT(TRIM(C492),FIND(" ",TRIM(C492)&amp;" ")-1),",","."))-1)/MID(SUBSTITUTE(LEFT(TRIM(C492),FIND(" ",TRIM(C492)&amp;" ")-1),",","."),FIND("/",SUBSTITUTE(LEFT(TRIM(C492),FIND(" ",TRIM(C492)&amp;" ")-1),",","."))+1,9))*12,NA()))),0),24)*'Aturan &amp; Tarif'!$B$4,2)</f>
        <v>1362.72</v>
      </c>
      <c r="K492" s="42" t="n">
        <f aca="false">'Aturan &amp; Tarif'!$B$5</f>
        <v>2050</v>
      </c>
      <c r="L492" s="35" t="n">
        <f aca="false">I492+J492+K492</f>
        <v>21412.72</v>
      </c>
      <c r="M492" s="44" t="s">
        <v>1056</v>
      </c>
    </row>
    <row r="493" customFormat="false" ht="25.5" hidden="false" customHeight="true" outlineLevel="0" collapsed="false">
      <c r="A493" s="39"/>
      <c r="B493" s="40" t="s">
        <v>1077</v>
      </c>
      <c r="C493" s="41" t="s">
        <v>107</v>
      </c>
      <c r="D493" s="41" t="s">
        <v>108</v>
      </c>
      <c r="E493" s="42" t="n">
        <v>7950</v>
      </c>
      <c r="F493" s="42"/>
      <c r="G493" s="42"/>
      <c r="H493" s="43" t="n">
        <v>2</v>
      </c>
      <c r="I493" s="34" t="n">
        <f aca="false">E493*H493+N(F493)+N(G493)</f>
        <v>15900</v>
      </c>
      <c r="J493" s="42" t="n">
        <f aca="false">ROUND(IFERROR(ROUND(IF(OR(ISNUMBER(SEARCH("week",C493)),ISNUMBER(SEARCH("minggu",C493))),IFERROR(_xlfn.NUMBERVALUE(SUBSTITUTE(LEFT(TRIM(C493),FIND(" ",TRIM(C493)&amp;" ")-1),",","."),"."),LEFT(SUBSTITUTE(LEFT(TRIM(C493),FIND(" ",TRIM(C493)&amp;" ")-1),",","."),FIND("/",SUBSTITUTE(LEFT(TRIM(C493),FIND(" ",TRIM(C493)&amp;" ")-1),",","."))-1)/MID(SUBSTITUTE(LEFT(TRIM(C493),FIND(" ",TRIM(C493)&amp;" ")-1),",","."),FIND("/",SUBSTITUTE(LEFT(TRIM(C493),FIND(" ",TRIM(C493)&amp;" ")-1),",","."))+1,9))*12/52,IF(ISNUMBER(SEARCH("month",C493)),IFERROR(_xlfn.NUMBERVALUE(SUBSTITUTE(LEFT(TRIM(C493),FIND(" ",TRIM(C493)&amp;" ")-1),",","."),"."),LEFT(SUBSTITUTE(LEFT(TRIM(C493),FIND(" ",TRIM(C493)&amp;" ")-1),",","."),FIND("/",SUBSTITUTE(LEFT(TRIM(C493),FIND(" ",TRIM(C493)&amp;" ")-1),",","."))-1)/MID(SUBSTITUTE(LEFT(TRIM(C493),FIND(" ",TRIM(C493)&amp;" ")-1),",","."),FIND("/",SUBSTITUTE(LEFT(TRIM(C493),FIND(" ",TRIM(C493)&amp;" ")-1),",","."))+1,9)),IF(ISNUMBER(SEARCH("yea",C493)),IFERROR(_xlfn.NUMBERVALUE(SUBSTITUTE(LEFT(TRIM(C493),FIND(" ",TRIM(C493)&amp;" ")-1),",","."),"."),LEFT(SUBSTITUTE(LEFT(TRIM(C493),FIND(" ",TRIM(C493)&amp;" ")-1),",","."),FIND("/",SUBSTITUTE(LEFT(TRIM(C493),FIND(" ",TRIM(C493)&amp;" ")-1),",","."))-1)/MID(SUBSTITUTE(LEFT(TRIM(C493),FIND(" ",TRIM(C493)&amp;" ")-1),",","."),FIND("/",SUBSTITUTE(LEFT(TRIM(C493),FIND(" ",TRIM(C493)&amp;" ")-1),",","."))+1,9))*12,NA()))),0),24)*'Aturan &amp; Tarif'!$B$4,2)</f>
        <v>1362.72</v>
      </c>
      <c r="K493" s="42" t="n">
        <f aca="false">'Aturan &amp; Tarif'!$B$5</f>
        <v>2050</v>
      </c>
      <c r="L493" s="35" t="n">
        <f aca="false">I493+J493+K493</f>
        <v>19312.72</v>
      </c>
      <c r="M493" s="44" t="s">
        <v>1036</v>
      </c>
    </row>
    <row r="494" customFormat="false" ht="60" hidden="false" customHeight="true" outlineLevel="0" collapsed="false">
      <c r="A494" s="39"/>
      <c r="B494" s="40" t="s">
        <v>1078</v>
      </c>
      <c r="C494" s="41" t="s">
        <v>107</v>
      </c>
      <c r="D494" s="41" t="s">
        <v>108</v>
      </c>
      <c r="E494" s="42" t="n">
        <v>20635</v>
      </c>
      <c r="F494" s="42"/>
      <c r="G494" s="42"/>
      <c r="H494" s="43" t="n">
        <v>2</v>
      </c>
      <c r="I494" s="34" t="n">
        <f aca="false">E494*H494+N(F494)+N(G494)</f>
        <v>41270</v>
      </c>
      <c r="J494" s="42" t="n">
        <f aca="false">ROUND(IFERROR(ROUND(IF(OR(ISNUMBER(SEARCH("week",C494)),ISNUMBER(SEARCH("minggu",C494))),IFERROR(_xlfn.NUMBERVALUE(SUBSTITUTE(LEFT(TRIM(C494),FIND(" ",TRIM(C494)&amp;" ")-1),",","."),"."),LEFT(SUBSTITUTE(LEFT(TRIM(C494),FIND(" ",TRIM(C494)&amp;" ")-1),",","."),FIND("/",SUBSTITUTE(LEFT(TRIM(C494),FIND(" ",TRIM(C494)&amp;" ")-1),",","."))-1)/MID(SUBSTITUTE(LEFT(TRIM(C494),FIND(" ",TRIM(C494)&amp;" ")-1),",","."),FIND("/",SUBSTITUTE(LEFT(TRIM(C494),FIND(" ",TRIM(C494)&amp;" ")-1),",","."))+1,9))*12/52,IF(ISNUMBER(SEARCH("month",C494)),IFERROR(_xlfn.NUMBERVALUE(SUBSTITUTE(LEFT(TRIM(C494),FIND(" ",TRIM(C494)&amp;" ")-1),",","."),"."),LEFT(SUBSTITUTE(LEFT(TRIM(C494),FIND(" ",TRIM(C494)&amp;" ")-1),",","."),FIND("/",SUBSTITUTE(LEFT(TRIM(C494),FIND(" ",TRIM(C494)&amp;" ")-1),",","."))-1)/MID(SUBSTITUTE(LEFT(TRIM(C494),FIND(" ",TRIM(C494)&amp;" ")-1),",","."),FIND("/",SUBSTITUTE(LEFT(TRIM(C494),FIND(" ",TRIM(C494)&amp;" ")-1),",","."))+1,9)),IF(ISNUMBER(SEARCH("yea",C494)),IFERROR(_xlfn.NUMBERVALUE(SUBSTITUTE(LEFT(TRIM(C494),FIND(" ",TRIM(C494)&amp;" ")-1),",","."),"."),LEFT(SUBSTITUTE(LEFT(TRIM(C494),FIND(" ",TRIM(C494)&amp;" ")-1),",","."),FIND("/",SUBSTITUTE(LEFT(TRIM(C494),FIND(" ",TRIM(C494)&amp;" ")-1),",","."))-1)/MID(SUBSTITUTE(LEFT(TRIM(C494),FIND(" ",TRIM(C494)&amp;" ")-1),",","."),FIND("/",SUBSTITUTE(LEFT(TRIM(C494),FIND(" ",TRIM(C494)&amp;" ")-1),",","."))+1,9))*12,NA()))),0),24)*'Aturan &amp; Tarif'!$B$4,2)</f>
        <v>1362.72</v>
      </c>
      <c r="K494" s="42" t="n">
        <f aca="false">'Aturan &amp; Tarif'!$B$5</f>
        <v>2050</v>
      </c>
      <c r="L494" s="35" t="n">
        <f aca="false">I494+J494+K494</f>
        <v>44682.72</v>
      </c>
      <c r="M494" s="45" t="s">
        <v>1079</v>
      </c>
    </row>
    <row r="495" customFormat="false" ht="60" hidden="false" customHeight="true" outlineLevel="0" collapsed="false">
      <c r="A495" s="39"/>
      <c r="B495" s="40" t="s">
        <v>2465</v>
      </c>
      <c r="C495" s="41" t="s">
        <v>130</v>
      </c>
      <c r="D495" s="41" t="s">
        <v>108</v>
      </c>
      <c r="E495" s="42" t="n">
        <v>9375</v>
      </c>
      <c r="F495" s="42"/>
      <c r="G495" s="42"/>
      <c r="H495" s="43" t="n">
        <v>2</v>
      </c>
      <c r="I495" s="34" t="n">
        <f aca="false">E495*H495+N(F495)+N(G495)</f>
        <v>18750</v>
      </c>
      <c r="J495" s="42" t="n">
        <f aca="false">ROUND(IFERROR(ROUND(IF(OR(ISNUMBER(SEARCH("week",C495)),ISNUMBER(SEARCH("minggu",C495))),IFERROR(_xlfn.NUMBERVALUE(SUBSTITUTE(LEFT(TRIM(C495),FIND(" ",TRIM(C495)&amp;" ")-1),",","."),"."),LEFT(SUBSTITUTE(LEFT(TRIM(C495),FIND(" ",TRIM(C495)&amp;" ")-1),",","."),FIND("/",SUBSTITUTE(LEFT(TRIM(C495),FIND(" ",TRIM(C495)&amp;" ")-1),",","."))-1)/MID(SUBSTITUTE(LEFT(TRIM(C495),FIND(" ",TRIM(C495)&amp;" ")-1),",","."),FIND("/",SUBSTITUTE(LEFT(TRIM(C495),FIND(" ",TRIM(C495)&amp;" ")-1),",","."))+1,9))*12/52,IF(ISNUMBER(SEARCH("month",C495)),IFERROR(_xlfn.NUMBERVALUE(SUBSTITUTE(LEFT(TRIM(C495),FIND(" ",TRIM(C495)&amp;" ")-1),",","."),"."),LEFT(SUBSTITUTE(LEFT(TRIM(C495),FIND(" ",TRIM(C495)&amp;" ")-1),",","."),FIND("/",SUBSTITUTE(LEFT(TRIM(C495),FIND(" ",TRIM(C495)&amp;" ")-1),",","."))-1)/MID(SUBSTITUTE(LEFT(TRIM(C495),FIND(" ",TRIM(C495)&amp;" ")-1),",","."),FIND("/",SUBSTITUTE(LEFT(TRIM(C495),FIND(" ",TRIM(C495)&amp;" ")-1),",","."))+1,9)),IF(ISNUMBER(SEARCH("yea",C495)),IFERROR(_xlfn.NUMBERVALUE(SUBSTITUTE(LEFT(TRIM(C495),FIND(" ",TRIM(C495)&amp;" ")-1),",","."),"."),LEFT(SUBSTITUTE(LEFT(TRIM(C495),FIND(" ",TRIM(C495)&amp;" ")-1),",","."),FIND("/",SUBSTITUTE(LEFT(TRIM(C495),FIND(" ",TRIM(C495)&amp;" ")-1),",","."))-1)/MID(SUBSTITUTE(LEFT(TRIM(C495),FIND(" ",TRIM(C495)&amp;" ")-1),",","."),FIND("/",SUBSTITUTE(LEFT(TRIM(C495),FIND(" ",TRIM(C495)&amp;" ")-1),",","."))+1,9))*12,NA()))),0),12)*'Aturan &amp; Tarif'!$B$4,2)</f>
        <v>681.36</v>
      </c>
      <c r="K495" s="42" t="n">
        <f aca="false">'Aturan &amp; Tarif'!$B$5</f>
        <v>2050</v>
      </c>
      <c r="L495" s="35" t="n">
        <f aca="false">I495+J495+K495</f>
        <v>21481.36</v>
      </c>
      <c r="M495" s="44" t="s">
        <v>2466</v>
      </c>
    </row>
    <row r="496" customFormat="false" ht="60" hidden="false" customHeight="true" outlineLevel="0" collapsed="false">
      <c r="A496" s="39"/>
      <c r="B496" s="40" t="s">
        <v>1080</v>
      </c>
      <c r="C496" s="41" t="s">
        <v>113</v>
      </c>
      <c r="D496" s="41" t="s">
        <v>108</v>
      </c>
      <c r="E496" s="42" t="n">
        <v>6250</v>
      </c>
      <c r="F496" s="42"/>
      <c r="G496" s="42"/>
      <c r="H496" s="43" t="n">
        <v>2</v>
      </c>
      <c r="I496" s="34" t="n">
        <f aca="false">E496*H496+N(F496)+N(G496)</f>
        <v>12500</v>
      </c>
      <c r="J496" s="42" t="n">
        <f aca="false">ROUND(IFERROR(ROUND(IF(OR(ISNUMBER(SEARCH("week",C496)),ISNUMBER(SEARCH("minggu",C496))),IFERROR(_xlfn.NUMBERVALUE(SUBSTITUTE(LEFT(TRIM(C496),FIND(" ",TRIM(C496)&amp;" ")-1),",","."),"."),LEFT(SUBSTITUTE(LEFT(TRIM(C496),FIND(" ",TRIM(C496)&amp;" ")-1),",","."),FIND("/",SUBSTITUTE(LEFT(TRIM(C496),FIND(" ",TRIM(C496)&amp;" ")-1),",","."))-1)/MID(SUBSTITUTE(LEFT(TRIM(C496),FIND(" ",TRIM(C496)&amp;" ")-1),",","."),FIND("/",SUBSTITUTE(LEFT(TRIM(C496),FIND(" ",TRIM(C496)&amp;" ")-1),",","."))+1,9))*12/52,IF(ISNUMBER(SEARCH("month",C496)),IFERROR(_xlfn.NUMBERVALUE(SUBSTITUTE(LEFT(TRIM(C496),FIND(" ",TRIM(C496)&amp;" ")-1),",","."),"."),LEFT(SUBSTITUTE(LEFT(TRIM(C496),FIND(" ",TRIM(C496)&amp;" ")-1),",","."),FIND("/",SUBSTITUTE(LEFT(TRIM(C496),FIND(" ",TRIM(C496)&amp;" ")-1),",","."))-1)/MID(SUBSTITUTE(LEFT(TRIM(C496),FIND(" ",TRIM(C496)&amp;" ")-1),",","."),FIND("/",SUBSTITUTE(LEFT(TRIM(C496),FIND(" ",TRIM(C496)&amp;" ")-1),",","."))+1,9)),IF(ISNUMBER(SEARCH("yea",C496)),IFERROR(_xlfn.NUMBERVALUE(SUBSTITUTE(LEFT(TRIM(C496),FIND(" ",TRIM(C496)&amp;" ")-1),",","."),"."),LEFT(SUBSTITUTE(LEFT(TRIM(C496),FIND(" ",TRIM(C496)&amp;" ")-1),",","."),FIND("/",SUBSTITUTE(LEFT(TRIM(C496),FIND(" ",TRIM(C496)&amp;" ")-1),",","."))-1)/MID(SUBSTITUTE(LEFT(TRIM(C496),FIND(" ",TRIM(C496)&amp;" ")-1),",","."),FIND("/",SUBSTITUTE(LEFT(TRIM(C496),FIND(" ",TRIM(C496)&amp;" ")-1),",","."))+1,9))*12,NA()))),0),18)*'Aturan &amp; Tarif'!$B$4,2)</f>
        <v>1022.04</v>
      </c>
      <c r="K496" s="42" t="n">
        <f aca="false">'Aturan &amp; Tarif'!$B$5</f>
        <v>2050</v>
      </c>
      <c r="L496" s="35" t="n">
        <f aca="false">I496+J496+K496</f>
        <v>15572.04</v>
      </c>
      <c r="M496" s="44" t="s">
        <v>2959</v>
      </c>
    </row>
    <row r="497" customFormat="false" ht="72" hidden="false" customHeight="true" outlineLevel="0" collapsed="false">
      <c r="A497" s="39"/>
      <c r="B497" s="40" t="s">
        <v>1082</v>
      </c>
      <c r="C497" s="41" t="s">
        <v>127</v>
      </c>
      <c r="D497" s="41" t="s">
        <v>108</v>
      </c>
      <c r="E497" s="42" t="n">
        <v>9375</v>
      </c>
      <c r="F497" s="42"/>
      <c r="G497" s="42"/>
      <c r="H497" s="43" t="n">
        <v>2</v>
      </c>
      <c r="I497" s="34" t="n">
        <f aca="false">E497*H497+N(F497)+N(G497)</f>
        <v>18750</v>
      </c>
      <c r="J497" s="42" t="n">
        <f aca="false">ROUND(IFERROR(ROUND(IF(OR(ISNUMBER(SEARCH("week",C497)),ISNUMBER(SEARCH("minggu",C497))),IFERROR(_xlfn.NUMBERVALUE(SUBSTITUTE(LEFT(TRIM(C497),FIND(" ",TRIM(C497)&amp;" ")-1),",","."),"."),LEFT(SUBSTITUTE(LEFT(TRIM(C497),FIND(" ",TRIM(C497)&amp;" ")-1),",","."),FIND("/",SUBSTITUTE(LEFT(TRIM(C497),FIND(" ",TRIM(C497)&amp;" ")-1),",","."))-1)/MID(SUBSTITUTE(LEFT(TRIM(C497),FIND(" ",TRIM(C497)&amp;" ")-1),",","."),FIND("/",SUBSTITUTE(LEFT(TRIM(C497),FIND(" ",TRIM(C497)&amp;" ")-1),",","."))+1,9))*12/52,IF(ISNUMBER(SEARCH("month",C497)),IFERROR(_xlfn.NUMBERVALUE(SUBSTITUTE(LEFT(TRIM(C497),FIND(" ",TRIM(C497)&amp;" ")-1),",","."),"."),LEFT(SUBSTITUTE(LEFT(TRIM(C497),FIND(" ",TRIM(C497)&amp;" ")-1),",","."),FIND("/",SUBSTITUTE(LEFT(TRIM(C497),FIND(" ",TRIM(C497)&amp;" ")-1),",","."))-1)/MID(SUBSTITUTE(LEFT(TRIM(C497),FIND(" ",TRIM(C497)&amp;" ")-1),",","."),FIND("/",SUBSTITUTE(LEFT(TRIM(C497),FIND(" ",TRIM(C497)&amp;" ")-1),",","."))+1,9)),IF(ISNUMBER(SEARCH("yea",C497)),IFERROR(_xlfn.NUMBERVALUE(SUBSTITUTE(LEFT(TRIM(C497),FIND(" ",TRIM(C497)&amp;" ")-1),",","."),"."),LEFT(SUBSTITUTE(LEFT(TRIM(C497),FIND(" ",TRIM(C497)&amp;" ")-1),",","."),FIND("/",SUBSTITUTE(LEFT(TRIM(C497),FIND(" ",TRIM(C497)&amp;" ")-1),",","."))-1)/MID(SUBSTITUTE(LEFT(TRIM(C497),FIND(" ",TRIM(C497)&amp;" ")-1),",","."),FIND("/",SUBSTITUTE(LEFT(TRIM(C497),FIND(" ",TRIM(C497)&amp;" ")-1),",","."))+1,9))*12,NA()))),0),36)*'Aturan &amp; Tarif'!$B$4,2)</f>
        <v>2044.08</v>
      </c>
      <c r="K497" s="42" t="n">
        <f aca="false">'Aturan &amp; Tarif'!$B$5</f>
        <v>2050</v>
      </c>
      <c r="L497" s="35" t="n">
        <f aca="false">I497+J497+K497</f>
        <v>22844.08</v>
      </c>
      <c r="M497" s="44" t="s">
        <v>2960</v>
      </c>
    </row>
    <row r="498" customFormat="false" ht="60" hidden="false" customHeight="true" outlineLevel="0" collapsed="false">
      <c r="A498" s="39"/>
      <c r="B498" s="40" t="s">
        <v>1084</v>
      </c>
      <c r="C498" s="41" t="s">
        <v>130</v>
      </c>
      <c r="D498" s="48" t="s">
        <v>108</v>
      </c>
      <c r="E498" s="42" t="n">
        <v>9375</v>
      </c>
      <c r="F498" s="42"/>
      <c r="G498" s="42"/>
      <c r="H498" s="50" t="n">
        <v>1</v>
      </c>
      <c r="I498" s="34" t="n">
        <f aca="false">E498*H498+N(F498)+N(G498)</f>
        <v>9375</v>
      </c>
      <c r="J498" s="42" t="n">
        <f aca="false">ROUND(IFERROR(ROUND(IF(OR(ISNUMBER(SEARCH("week",C498)),ISNUMBER(SEARCH("minggu",C498))),IFERROR(_xlfn.NUMBERVALUE(SUBSTITUTE(LEFT(TRIM(C498),FIND(" ",TRIM(C498)&amp;" ")-1),",","."),"."),LEFT(SUBSTITUTE(LEFT(TRIM(C498),FIND(" ",TRIM(C498)&amp;" ")-1),",","."),FIND("/",SUBSTITUTE(LEFT(TRIM(C498),FIND(" ",TRIM(C498)&amp;" ")-1),",","."))-1)/MID(SUBSTITUTE(LEFT(TRIM(C498),FIND(" ",TRIM(C498)&amp;" ")-1),",","."),FIND("/",SUBSTITUTE(LEFT(TRIM(C498),FIND(" ",TRIM(C498)&amp;" ")-1),",","."))+1,9))*12/52,IF(ISNUMBER(SEARCH("month",C498)),IFERROR(_xlfn.NUMBERVALUE(SUBSTITUTE(LEFT(TRIM(C498),FIND(" ",TRIM(C498)&amp;" ")-1),",","."),"."),LEFT(SUBSTITUTE(LEFT(TRIM(C498),FIND(" ",TRIM(C498)&amp;" ")-1),",","."),FIND("/",SUBSTITUTE(LEFT(TRIM(C498),FIND(" ",TRIM(C498)&amp;" ")-1),",","."))-1)/MID(SUBSTITUTE(LEFT(TRIM(C498),FIND(" ",TRIM(C498)&amp;" ")-1),",","."),FIND("/",SUBSTITUTE(LEFT(TRIM(C498),FIND(" ",TRIM(C498)&amp;" ")-1),",","."))+1,9)),IF(ISNUMBER(SEARCH("yea",C498)),IFERROR(_xlfn.NUMBERVALUE(SUBSTITUTE(LEFT(TRIM(C498),FIND(" ",TRIM(C498)&amp;" ")-1),",","."),"."),LEFT(SUBSTITUTE(LEFT(TRIM(C498),FIND(" ",TRIM(C498)&amp;" ")-1),",","."),FIND("/",SUBSTITUTE(LEFT(TRIM(C498),FIND(" ",TRIM(C498)&amp;" ")-1),",","."))-1)/MID(SUBSTITUTE(LEFT(TRIM(C498),FIND(" ",TRIM(C498)&amp;" ")-1),",","."),FIND("/",SUBSTITUTE(LEFT(TRIM(C498),FIND(" ",TRIM(C498)&amp;" ")-1),",","."))+1,9))*12,NA()))),0),12)*'Aturan &amp; Tarif'!$B$4,2)</f>
        <v>681.36</v>
      </c>
      <c r="K498" s="42" t="n">
        <f aca="false">'Aturan &amp; Tarif'!$B$5</f>
        <v>2050</v>
      </c>
      <c r="L498" s="35" t="n">
        <f aca="false">I498+J498+K498</f>
        <v>12106.36</v>
      </c>
      <c r="M498" s="44" t="s">
        <v>3393</v>
      </c>
    </row>
    <row r="499" customFormat="false" ht="60" hidden="false" customHeight="true" outlineLevel="0" collapsed="false">
      <c r="A499" s="39"/>
      <c r="B499" s="40" t="s">
        <v>1086</v>
      </c>
      <c r="C499" s="41" t="s">
        <v>130</v>
      </c>
      <c r="D499" s="41" t="s">
        <v>108</v>
      </c>
      <c r="E499" s="42" t="n">
        <v>9375</v>
      </c>
      <c r="F499" s="42"/>
      <c r="G499" s="42"/>
      <c r="H499" s="43" t="n">
        <v>2</v>
      </c>
      <c r="I499" s="34" t="n">
        <f aca="false">E499*H499+N(F499)+N(G499)</f>
        <v>18750</v>
      </c>
      <c r="J499" s="42" t="n">
        <f aca="false">ROUND(IFERROR(ROUND(IF(OR(ISNUMBER(SEARCH("week",C499)),ISNUMBER(SEARCH("minggu",C499))),IFERROR(_xlfn.NUMBERVALUE(SUBSTITUTE(LEFT(TRIM(C499),FIND(" ",TRIM(C499)&amp;" ")-1),",","."),"."),LEFT(SUBSTITUTE(LEFT(TRIM(C499),FIND(" ",TRIM(C499)&amp;" ")-1),",","."),FIND("/",SUBSTITUTE(LEFT(TRIM(C499),FIND(" ",TRIM(C499)&amp;" ")-1),",","."))-1)/MID(SUBSTITUTE(LEFT(TRIM(C499),FIND(" ",TRIM(C499)&amp;" ")-1),",","."),FIND("/",SUBSTITUTE(LEFT(TRIM(C499),FIND(" ",TRIM(C499)&amp;" ")-1),",","."))+1,9))*12/52,IF(ISNUMBER(SEARCH("month",C499)),IFERROR(_xlfn.NUMBERVALUE(SUBSTITUTE(LEFT(TRIM(C499),FIND(" ",TRIM(C499)&amp;" ")-1),",","."),"."),LEFT(SUBSTITUTE(LEFT(TRIM(C499),FIND(" ",TRIM(C499)&amp;" ")-1),",","."),FIND("/",SUBSTITUTE(LEFT(TRIM(C499),FIND(" ",TRIM(C499)&amp;" ")-1),",","."))-1)/MID(SUBSTITUTE(LEFT(TRIM(C499),FIND(" ",TRIM(C499)&amp;" ")-1),",","."),FIND("/",SUBSTITUTE(LEFT(TRIM(C499),FIND(" ",TRIM(C499)&amp;" ")-1),",","."))+1,9)),IF(ISNUMBER(SEARCH("yea",C499)),IFERROR(_xlfn.NUMBERVALUE(SUBSTITUTE(LEFT(TRIM(C499),FIND(" ",TRIM(C499)&amp;" ")-1),",","."),"."),LEFT(SUBSTITUTE(LEFT(TRIM(C499),FIND(" ",TRIM(C499)&amp;" ")-1),",","."),FIND("/",SUBSTITUTE(LEFT(TRIM(C499),FIND(" ",TRIM(C499)&amp;" ")-1),",","."))-1)/MID(SUBSTITUTE(LEFT(TRIM(C499),FIND(" ",TRIM(C499)&amp;" ")-1),",","."),FIND("/",SUBSTITUTE(LEFT(TRIM(C499),FIND(" ",TRIM(C499)&amp;" ")-1),",","."))+1,9))*12,NA()))),0),12)*'Aturan &amp; Tarif'!$B$4,2)</f>
        <v>681.36</v>
      </c>
      <c r="K499" s="42" t="n">
        <f aca="false">'Aturan &amp; Tarif'!$B$5</f>
        <v>2050</v>
      </c>
      <c r="L499" s="35" t="n">
        <f aca="false">I499+J499+K499</f>
        <v>21481.36</v>
      </c>
      <c r="M499" s="44" t="s">
        <v>1087</v>
      </c>
    </row>
    <row r="500" customFormat="false" ht="60" hidden="false" customHeight="true" outlineLevel="0" collapsed="false">
      <c r="A500" s="39"/>
      <c r="B500" s="40" t="s">
        <v>1088</v>
      </c>
      <c r="C500" s="41" t="s">
        <v>127</v>
      </c>
      <c r="D500" s="41" t="s">
        <v>108</v>
      </c>
      <c r="E500" s="42" t="n">
        <v>9375</v>
      </c>
      <c r="F500" s="42"/>
      <c r="G500" s="42"/>
      <c r="H500" s="43" t="n">
        <v>2</v>
      </c>
      <c r="I500" s="34" t="n">
        <f aca="false">E500*H500+N(F500)+N(G500)</f>
        <v>18750</v>
      </c>
      <c r="J500" s="42" t="n">
        <f aca="false">ROUND(IFERROR(ROUND(IF(OR(ISNUMBER(SEARCH("week",C500)),ISNUMBER(SEARCH("minggu",C500))),IFERROR(_xlfn.NUMBERVALUE(SUBSTITUTE(LEFT(TRIM(C500),FIND(" ",TRIM(C500)&amp;" ")-1),",","."),"."),LEFT(SUBSTITUTE(LEFT(TRIM(C500),FIND(" ",TRIM(C500)&amp;" ")-1),",","."),FIND("/",SUBSTITUTE(LEFT(TRIM(C500),FIND(" ",TRIM(C500)&amp;" ")-1),",","."))-1)/MID(SUBSTITUTE(LEFT(TRIM(C500),FIND(" ",TRIM(C500)&amp;" ")-1),",","."),FIND("/",SUBSTITUTE(LEFT(TRIM(C500),FIND(" ",TRIM(C500)&amp;" ")-1),",","."))+1,9))*12/52,IF(ISNUMBER(SEARCH("month",C500)),IFERROR(_xlfn.NUMBERVALUE(SUBSTITUTE(LEFT(TRIM(C500),FIND(" ",TRIM(C500)&amp;" ")-1),",","."),"."),LEFT(SUBSTITUTE(LEFT(TRIM(C500),FIND(" ",TRIM(C500)&amp;" ")-1),",","."),FIND("/",SUBSTITUTE(LEFT(TRIM(C500),FIND(" ",TRIM(C500)&amp;" ")-1),",","."))-1)/MID(SUBSTITUTE(LEFT(TRIM(C500),FIND(" ",TRIM(C500)&amp;" ")-1),",","."),FIND("/",SUBSTITUTE(LEFT(TRIM(C500),FIND(" ",TRIM(C500)&amp;" ")-1),",","."))+1,9)),IF(ISNUMBER(SEARCH("yea",C500)),IFERROR(_xlfn.NUMBERVALUE(SUBSTITUTE(LEFT(TRIM(C500),FIND(" ",TRIM(C500)&amp;" ")-1),",","."),"."),LEFT(SUBSTITUTE(LEFT(TRIM(C500),FIND(" ",TRIM(C500)&amp;" ")-1),",","."),FIND("/",SUBSTITUTE(LEFT(TRIM(C500),FIND(" ",TRIM(C500)&amp;" ")-1),",","."))-1)/MID(SUBSTITUTE(LEFT(TRIM(C500),FIND(" ",TRIM(C500)&amp;" ")-1),",","."),FIND("/",SUBSTITUTE(LEFT(TRIM(C500),FIND(" ",TRIM(C500)&amp;" ")-1),",","."))+1,9))*12,NA()))),0),36)*'Aturan &amp; Tarif'!$B$4,2)</f>
        <v>2044.08</v>
      </c>
      <c r="K500" s="42" t="n">
        <f aca="false">'Aturan &amp; Tarif'!$B$5</f>
        <v>2050</v>
      </c>
      <c r="L500" s="35" t="n">
        <f aca="false">I500+J500+K500</f>
        <v>22844.08</v>
      </c>
      <c r="M500" s="44" t="s">
        <v>1089</v>
      </c>
    </row>
    <row r="501" customFormat="false" ht="60" hidden="false" customHeight="true" outlineLevel="0" collapsed="false">
      <c r="A501" s="39"/>
      <c r="B501" s="40" t="s">
        <v>1090</v>
      </c>
      <c r="C501" s="41" t="s">
        <v>127</v>
      </c>
      <c r="D501" s="41" t="s">
        <v>108</v>
      </c>
      <c r="E501" s="42" t="n">
        <v>9375</v>
      </c>
      <c r="F501" s="42"/>
      <c r="G501" s="42"/>
      <c r="H501" s="43" t="n">
        <v>2</v>
      </c>
      <c r="I501" s="34" t="n">
        <f aca="false">E501*H501+N(F501)+N(G501)</f>
        <v>18750</v>
      </c>
      <c r="J501" s="42" t="n">
        <f aca="false">ROUND(IFERROR(ROUND(IF(OR(ISNUMBER(SEARCH("week",C501)),ISNUMBER(SEARCH("minggu",C501))),IFERROR(_xlfn.NUMBERVALUE(SUBSTITUTE(LEFT(TRIM(C501),FIND(" ",TRIM(C501)&amp;" ")-1),",","."),"."),LEFT(SUBSTITUTE(LEFT(TRIM(C501),FIND(" ",TRIM(C501)&amp;" ")-1),",","."),FIND("/",SUBSTITUTE(LEFT(TRIM(C501),FIND(" ",TRIM(C501)&amp;" ")-1),",","."))-1)/MID(SUBSTITUTE(LEFT(TRIM(C501),FIND(" ",TRIM(C501)&amp;" ")-1),",","."),FIND("/",SUBSTITUTE(LEFT(TRIM(C501),FIND(" ",TRIM(C501)&amp;" ")-1),",","."))+1,9))*12/52,IF(ISNUMBER(SEARCH("month",C501)),IFERROR(_xlfn.NUMBERVALUE(SUBSTITUTE(LEFT(TRIM(C501),FIND(" ",TRIM(C501)&amp;" ")-1),",","."),"."),LEFT(SUBSTITUTE(LEFT(TRIM(C501),FIND(" ",TRIM(C501)&amp;" ")-1),",","."),FIND("/",SUBSTITUTE(LEFT(TRIM(C501),FIND(" ",TRIM(C501)&amp;" ")-1),",","."))-1)/MID(SUBSTITUTE(LEFT(TRIM(C501),FIND(" ",TRIM(C501)&amp;" ")-1),",","."),FIND("/",SUBSTITUTE(LEFT(TRIM(C501),FIND(" ",TRIM(C501)&amp;" ")-1),",","."))+1,9)),IF(ISNUMBER(SEARCH("yea",C501)),IFERROR(_xlfn.NUMBERVALUE(SUBSTITUTE(LEFT(TRIM(C501),FIND(" ",TRIM(C501)&amp;" ")-1),",","."),"."),LEFT(SUBSTITUTE(LEFT(TRIM(C501),FIND(" ",TRIM(C501)&amp;" ")-1),",","."),FIND("/",SUBSTITUTE(LEFT(TRIM(C501),FIND(" ",TRIM(C501)&amp;" ")-1),",","."))-1)/MID(SUBSTITUTE(LEFT(TRIM(C501),FIND(" ",TRIM(C501)&amp;" ")-1),",","."),FIND("/",SUBSTITUTE(LEFT(TRIM(C501),FIND(" ",TRIM(C501)&amp;" ")-1),",","."))+1,9))*12,NA()))),0),36)*'Aturan &amp; Tarif'!$B$4,2)</f>
        <v>2044.08</v>
      </c>
      <c r="K501" s="42" t="n">
        <f aca="false">'Aturan &amp; Tarif'!$B$5</f>
        <v>2050</v>
      </c>
      <c r="L501" s="35" t="n">
        <f aca="false">I501+J501+K501</f>
        <v>22844.08</v>
      </c>
      <c r="M501" s="44" t="s">
        <v>1091</v>
      </c>
    </row>
    <row r="502" customFormat="false" ht="60" hidden="false" customHeight="true" outlineLevel="0" collapsed="false">
      <c r="A502" s="39"/>
      <c r="B502" s="40" t="s">
        <v>1092</v>
      </c>
      <c r="C502" s="41" t="s">
        <v>107</v>
      </c>
      <c r="D502" s="41" t="s">
        <v>108</v>
      </c>
      <c r="E502" s="42" t="n">
        <v>6250</v>
      </c>
      <c r="F502" s="42"/>
      <c r="G502" s="42"/>
      <c r="H502" s="43" t="n">
        <v>2</v>
      </c>
      <c r="I502" s="34" t="n">
        <f aca="false">E502*H502+N(F502)+N(G502)</f>
        <v>12500</v>
      </c>
      <c r="J502" s="42" t="n">
        <f aca="false">ROUND(IFERROR(ROUND(IF(OR(ISNUMBER(SEARCH("week",C502)),ISNUMBER(SEARCH("minggu",C502))),IFERROR(_xlfn.NUMBERVALUE(SUBSTITUTE(LEFT(TRIM(C502),FIND(" ",TRIM(C502)&amp;" ")-1),",","."),"."),LEFT(SUBSTITUTE(LEFT(TRIM(C502),FIND(" ",TRIM(C502)&amp;" ")-1),",","."),FIND("/",SUBSTITUTE(LEFT(TRIM(C502),FIND(" ",TRIM(C502)&amp;" ")-1),",","."))-1)/MID(SUBSTITUTE(LEFT(TRIM(C502),FIND(" ",TRIM(C502)&amp;" ")-1),",","."),FIND("/",SUBSTITUTE(LEFT(TRIM(C502),FIND(" ",TRIM(C502)&amp;" ")-1),",","."))+1,9))*12/52,IF(ISNUMBER(SEARCH("month",C502)),IFERROR(_xlfn.NUMBERVALUE(SUBSTITUTE(LEFT(TRIM(C502),FIND(" ",TRIM(C502)&amp;" ")-1),",","."),"."),LEFT(SUBSTITUTE(LEFT(TRIM(C502),FIND(" ",TRIM(C502)&amp;" ")-1),",","."),FIND("/",SUBSTITUTE(LEFT(TRIM(C502),FIND(" ",TRIM(C502)&amp;" ")-1),",","."))-1)/MID(SUBSTITUTE(LEFT(TRIM(C502),FIND(" ",TRIM(C502)&amp;" ")-1),",","."),FIND("/",SUBSTITUTE(LEFT(TRIM(C502),FIND(" ",TRIM(C502)&amp;" ")-1),",","."))+1,9)),IF(ISNUMBER(SEARCH("yea",C502)),IFERROR(_xlfn.NUMBERVALUE(SUBSTITUTE(LEFT(TRIM(C502),FIND(" ",TRIM(C502)&amp;" ")-1),",","."),"."),LEFT(SUBSTITUTE(LEFT(TRIM(C502),FIND(" ",TRIM(C502)&amp;" ")-1),",","."),FIND("/",SUBSTITUTE(LEFT(TRIM(C502),FIND(" ",TRIM(C502)&amp;" ")-1),",","."))-1)/MID(SUBSTITUTE(LEFT(TRIM(C502),FIND(" ",TRIM(C502)&amp;" ")-1),",","."),FIND("/",SUBSTITUTE(LEFT(TRIM(C502),FIND(" ",TRIM(C502)&amp;" ")-1),",","."))+1,9))*12,NA()))),0),24)*'Aturan &amp; Tarif'!$B$4,2)</f>
        <v>1362.72</v>
      </c>
      <c r="K502" s="42" t="n">
        <f aca="false">'Aturan &amp; Tarif'!$B$5</f>
        <v>2050</v>
      </c>
      <c r="L502" s="35" t="n">
        <f aca="false">I502+J502+K502</f>
        <v>15912.72</v>
      </c>
      <c r="M502" s="44" t="s">
        <v>1093</v>
      </c>
    </row>
    <row r="503" customFormat="false" ht="60" hidden="false" customHeight="true" outlineLevel="0" collapsed="false">
      <c r="A503" s="39"/>
      <c r="B503" s="40" t="s">
        <v>1094</v>
      </c>
      <c r="C503" s="41" t="s">
        <v>130</v>
      </c>
      <c r="D503" s="41" t="s">
        <v>108</v>
      </c>
      <c r="E503" s="42" t="n">
        <v>6250</v>
      </c>
      <c r="F503" s="42"/>
      <c r="G503" s="42"/>
      <c r="H503" s="43" t="n">
        <v>2</v>
      </c>
      <c r="I503" s="34" t="n">
        <f aca="false">E503*H503+N(F503)+N(G503)</f>
        <v>12500</v>
      </c>
      <c r="J503" s="42" t="n">
        <f aca="false">ROUND(IFERROR(ROUND(IF(OR(ISNUMBER(SEARCH("week",C503)),ISNUMBER(SEARCH("minggu",C503))),IFERROR(_xlfn.NUMBERVALUE(SUBSTITUTE(LEFT(TRIM(C503),FIND(" ",TRIM(C503)&amp;" ")-1),",","."),"."),LEFT(SUBSTITUTE(LEFT(TRIM(C503),FIND(" ",TRIM(C503)&amp;" ")-1),",","."),FIND("/",SUBSTITUTE(LEFT(TRIM(C503),FIND(" ",TRIM(C503)&amp;" ")-1),",","."))-1)/MID(SUBSTITUTE(LEFT(TRIM(C503),FIND(" ",TRIM(C503)&amp;" ")-1),",","."),FIND("/",SUBSTITUTE(LEFT(TRIM(C503),FIND(" ",TRIM(C503)&amp;" ")-1),",","."))+1,9))*12/52,IF(ISNUMBER(SEARCH("month",C503)),IFERROR(_xlfn.NUMBERVALUE(SUBSTITUTE(LEFT(TRIM(C503),FIND(" ",TRIM(C503)&amp;" ")-1),",","."),"."),LEFT(SUBSTITUTE(LEFT(TRIM(C503),FIND(" ",TRIM(C503)&amp;" ")-1),",","."),FIND("/",SUBSTITUTE(LEFT(TRIM(C503),FIND(" ",TRIM(C503)&amp;" ")-1),",","."))-1)/MID(SUBSTITUTE(LEFT(TRIM(C503),FIND(" ",TRIM(C503)&amp;" ")-1),",","."),FIND("/",SUBSTITUTE(LEFT(TRIM(C503),FIND(" ",TRIM(C503)&amp;" ")-1),",","."))+1,9)),IF(ISNUMBER(SEARCH("yea",C503)),IFERROR(_xlfn.NUMBERVALUE(SUBSTITUTE(LEFT(TRIM(C503),FIND(" ",TRIM(C503)&amp;" ")-1),",","."),"."),LEFT(SUBSTITUTE(LEFT(TRIM(C503),FIND(" ",TRIM(C503)&amp;" ")-1),",","."),FIND("/",SUBSTITUTE(LEFT(TRIM(C503),FIND(" ",TRIM(C503)&amp;" ")-1),",","."))-1)/MID(SUBSTITUTE(LEFT(TRIM(C503),FIND(" ",TRIM(C503)&amp;" ")-1),",","."),FIND("/",SUBSTITUTE(LEFT(TRIM(C503),FIND(" ",TRIM(C503)&amp;" ")-1),",","."))+1,9))*12,NA()))),0),12)*'Aturan &amp; Tarif'!$B$4,2)</f>
        <v>681.36</v>
      </c>
      <c r="K503" s="42" t="n">
        <f aca="false">'Aturan &amp; Tarif'!$B$5</f>
        <v>2050</v>
      </c>
      <c r="L503" s="35" t="n">
        <f aca="false">I503+J503+K503</f>
        <v>15231.36</v>
      </c>
      <c r="M503" s="44" t="s">
        <v>1095</v>
      </c>
    </row>
    <row r="504" customFormat="false" ht="60" hidden="false" customHeight="true" outlineLevel="0" collapsed="false">
      <c r="A504" s="39"/>
      <c r="B504" s="40" t="s">
        <v>1096</v>
      </c>
      <c r="C504" s="41" t="s">
        <v>130</v>
      </c>
      <c r="D504" s="41" t="s">
        <v>108</v>
      </c>
      <c r="E504" s="42" t="n">
        <v>9375</v>
      </c>
      <c r="F504" s="42"/>
      <c r="G504" s="42"/>
      <c r="H504" s="43" t="n">
        <v>2</v>
      </c>
      <c r="I504" s="34" t="n">
        <f aca="false">E504*H504+N(F504)+N(G504)</f>
        <v>18750</v>
      </c>
      <c r="J504" s="42" t="n">
        <f aca="false">ROUND(IFERROR(ROUND(IF(OR(ISNUMBER(SEARCH("week",C504)),ISNUMBER(SEARCH("minggu",C504))),IFERROR(_xlfn.NUMBERVALUE(SUBSTITUTE(LEFT(TRIM(C504),FIND(" ",TRIM(C504)&amp;" ")-1),",","."),"."),LEFT(SUBSTITUTE(LEFT(TRIM(C504),FIND(" ",TRIM(C504)&amp;" ")-1),",","."),FIND("/",SUBSTITUTE(LEFT(TRIM(C504),FIND(" ",TRIM(C504)&amp;" ")-1),",","."))-1)/MID(SUBSTITUTE(LEFT(TRIM(C504),FIND(" ",TRIM(C504)&amp;" ")-1),",","."),FIND("/",SUBSTITUTE(LEFT(TRIM(C504),FIND(" ",TRIM(C504)&amp;" ")-1),",","."))+1,9))*12/52,IF(ISNUMBER(SEARCH("month",C504)),IFERROR(_xlfn.NUMBERVALUE(SUBSTITUTE(LEFT(TRIM(C504),FIND(" ",TRIM(C504)&amp;" ")-1),",","."),"."),LEFT(SUBSTITUTE(LEFT(TRIM(C504),FIND(" ",TRIM(C504)&amp;" ")-1),",","."),FIND("/",SUBSTITUTE(LEFT(TRIM(C504),FIND(" ",TRIM(C504)&amp;" ")-1),",","."))-1)/MID(SUBSTITUTE(LEFT(TRIM(C504),FIND(" ",TRIM(C504)&amp;" ")-1),",","."),FIND("/",SUBSTITUTE(LEFT(TRIM(C504),FIND(" ",TRIM(C504)&amp;" ")-1),",","."))+1,9)),IF(ISNUMBER(SEARCH("yea",C504)),IFERROR(_xlfn.NUMBERVALUE(SUBSTITUTE(LEFT(TRIM(C504),FIND(" ",TRIM(C504)&amp;" ")-1),",","."),"."),LEFT(SUBSTITUTE(LEFT(TRIM(C504),FIND(" ",TRIM(C504)&amp;" ")-1),",","."),FIND("/",SUBSTITUTE(LEFT(TRIM(C504),FIND(" ",TRIM(C504)&amp;" ")-1),",","."))-1)/MID(SUBSTITUTE(LEFT(TRIM(C504),FIND(" ",TRIM(C504)&amp;" ")-1),",","."),FIND("/",SUBSTITUTE(LEFT(TRIM(C504),FIND(" ",TRIM(C504)&amp;" ")-1),",","."))+1,9))*12,NA()))),0),12)*'Aturan &amp; Tarif'!$B$4,2)</f>
        <v>681.36</v>
      </c>
      <c r="K504" s="42" t="n">
        <f aca="false">'Aturan &amp; Tarif'!$B$5</f>
        <v>2050</v>
      </c>
      <c r="L504" s="35" t="n">
        <f aca="false">I504+J504+K504</f>
        <v>21481.36</v>
      </c>
      <c r="M504" s="44" t="s">
        <v>2961</v>
      </c>
    </row>
    <row r="505" customFormat="false" ht="60" hidden="false" customHeight="true" outlineLevel="0" collapsed="false">
      <c r="A505" s="39"/>
      <c r="B505" s="40" t="s">
        <v>1098</v>
      </c>
      <c r="C505" s="41" t="s">
        <v>127</v>
      </c>
      <c r="D505" s="41" t="s">
        <v>108</v>
      </c>
      <c r="E505" s="42" t="n">
        <v>9375</v>
      </c>
      <c r="F505" s="42"/>
      <c r="G505" s="42"/>
      <c r="H505" s="43" t="n">
        <v>2</v>
      </c>
      <c r="I505" s="34" t="n">
        <f aca="false">E505*H505+N(F505)+N(G505)</f>
        <v>18750</v>
      </c>
      <c r="J505" s="42" t="n">
        <f aca="false">ROUND(IFERROR(ROUND(IF(OR(ISNUMBER(SEARCH("week",C505)),ISNUMBER(SEARCH("minggu",C505))),IFERROR(_xlfn.NUMBERVALUE(SUBSTITUTE(LEFT(TRIM(C505),FIND(" ",TRIM(C505)&amp;" ")-1),",","."),"."),LEFT(SUBSTITUTE(LEFT(TRIM(C505),FIND(" ",TRIM(C505)&amp;" ")-1),",","."),FIND("/",SUBSTITUTE(LEFT(TRIM(C505),FIND(" ",TRIM(C505)&amp;" ")-1),",","."))-1)/MID(SUBSTITUTE(LEFT(TRIM(C505),FIND(" ",TRIM(C505)&amp;" ")-1),",","."),FIND("/",SUBSTITUTE(LEFT(TRIM(C505),FIND(" ",TRIM(C505)&amp;" ")-1),",","."))+1,9))*12/52,IF(ISNUMBER(SEARCH("month",C505)),IFERROR(_xlfn.NUMBERVALUE(SUBSTITUTE(LEFT(TRIM(C505),FIND(" ",TRIM(C505)&amp;" ")-1),",","."),"."),LEFT(SUBSTITUTE(LEFT(TRIM(C505),FIND(" ",TRIM(C505)&amp;" ")-1),",","."),FIND("/",SUBSTITUTE(LEFT(TRIM(C505),FIND(" ",TRIM(C505)&amp;" ")-1),",","."))-1)/MID(SUBSTITUTE(LEFT(TRIM(C505),FIND(" ",TRIM(C505)&amp;" ")-1),",","."),FIND("/",SUBSTITUTE(LEFT(TRIM(C505),FIND(" ",TRIM(C505)&amp;" ")-1),",","."))+1,9)),IF(ISNUMBER(SEARCH("yea",C505)),IFERROR(_xlfn.NUMBERVALUE(SUBSTITUTE(LEFT(TRIM(C505),FIND(" ",TRIM(C505)&amp;" ")-1),",","."),"."),LEFT(SUBSTITUTE(LEFT(TRIM(C505),FIND(" ",TRIM(C505)&amp;" ")-1),",","."),FIND("/",SUBSTITUTE(LEFT(TRIM(C505),FIND(" ",TRIM(C505)&amp;" ")-1),",","."))-1)/MID(SUBSTITUTE(LEFT(TRIM(C505),FIND(" ",TRIM(C505)&amp;" ")-1),",","."),FIND("/",SUBSTITUTE(LEFT(TRIM(C505),FIND(" ",TRIM(C505)&amp;" ")-1),",","."))+1,9))*12,NA()))),0),36)*'Aturan &amp; Tarif'!$B$4,2)</f>
        <v>2044.08</v>
      </c>
      <c r="K505" s="42" t="n">
        <f aca="false">'Aturan &amp; Tarif'!$B$5</f>
        <v>2050</v>
      </c>
      <c r="L505" s="35" t="n">
        <f aca="false">I505+J505+K505</f>
        <v>22844.08</v>
      </c>
      <c r="M505" s="44" t="s">
        <v>1099</v>
      </c>
    </row>
    <row r="506" customFormat="false" ht="60" hidden="false" customHeight="true" outlineLevel="0" collapsed="false">
      <c r="A506" s="39"/>
      <c r="B506" s="40" t="s">
        <v>1035</v>
      </c>
      <c r="C506" s="41" t="s">
        <v>130</v>
      </c>
      <c r="D506" s="41" t="s">
        <v>108</v>
      </c>
      <c r="E506" s="42" t="n">
        <v>7900</v>
      </c>
      <c r="F506" s="42"/>
      <c r="G506" s="42"/>
      <c r="H506" s="43" t="n">
        <v>2</v>
      </c>
      <c r="I506" s="34" t="n">
        <f aca="false">E506*H506+N(F506)+N(G506)</f>
        <v>15800</v>
      </c>
      <c r="J506" s="42" t="n">
        <f aca="false">ROUND(IFERROR(ROUND(IF(OR(ISNUMBER(SEARCH("week",C506)),ISNUMBER(SEARCH("minggu",C506))),IFERROR(_xlfn.NUMBERVALUE(SUBSTITUTE(LEFT(TRIM(C506),FIND(" ",TRIM(C506)&amp;" ")-1),",","."),"."),LEFT(SUBSTITUTE(LEFT(TRIM(C506),FIND(" ",TRIM(C506)&amp;" ")-1),",","."),FIND("/",SUBSTITUTE(LEFT(TRIM(C506),FIND(" ",TRIM(C506)&amp;" ")-1),",","."))-1)/MID(SUBSTITUTE(LEFT(TRIM(C506),FIND(" ",TRIM(C506)&amp;" ")-1),",","."),FIND("/",SUBSTITUTE(LEFT(TRIM(C506),FIND(" ",TRIM(C506)&amp;" ")-1),",","."))+1,9))*12/52,IF(ISNUMBER(SEARCH("month",C506)),IFERROR(_xlfn.NUMBERVALUE(SUBSTITUTE(LEFT(TRIM(C506),FIND(" ",TRIM(C506)&amp;" ")-1),",","."),"."),LEFT(SUBSTITUTE(LEFT(TRIM(C506),FIND(" ",TRIM(C506)&amp;" ")-1),",","."),FIND("/",SUBSTITUTE(LEFT(TRIM(C506),FIND(" ",TRIM(C506)&amp;" ")-1),",","."))-1)/MID(SUBSTITUTE(LEFT(TRIM(C506),FIND(" ",TRIM(C506)&amp;" ")-1),",","."),FIND("/",SUBSTITUTE(LEFT(TRIM(C506),FIND(" ",TRIM(C506)&amp;" ")-1),",","."))+1,9)),IF(ISNUMBER(SEARCH("yea",C506)),IFERROR(_xlfn.NUMBERVALUE(SUBSTITUTE(LEFT(TRIM(C506),FIND(" ",TRIM(C506)&amp;" ")-1),",","."),"."),LEFT(SUBSTITUTE(LEFT(TRIM(C506),FIND(" ",TRIM(C506)&amp;" ")-1),",","."),FIND("/",SUBSTITUTE(LEFT(TRIM(C506),FIND(" ",TRIM(C506)&amp;" ")-1),",","."))-1)/MID(SUBSTITUTE(LEFT(TRIM(C506),FIND(" ",TRIM(C506)&amp;" ")-1),",","."),FIND("/",SUBSTITUTE(LEFT(TRIM(C506),FIND(" ",TRIM(C506)&amp;" ")-1),",","."))+1,9))*12,NA()))),0),12)*'Aturan &amp; Tarif'!$B$4,2)</f>
        <v>681.36</v>
      </c>
      <c r="K506" s="42" t="n">
        <f aca="false">'Aturan &amp; Tarif'!$B$5</f>
        <v>2050</v>
      </c>
      <c r="L506" s="35" t="n">
        <f aca="false">I506+J506+K506</f>
        <v>18531.36</v>
      </c>
      <c r="M506" s="44" t="s">
        <v>1036</v>
      </c>
    </row>
    <row r="507" customFormat="false" ht="60" hidden="false" customHeight="true" outlineLevel="0" collapsed="false">
      <c r="A507" s="39"/>
      <c r="B507" s="40" t="s">
        <v>1037</v>
      </c>
      <c r="C507" s="41" t="s">
        <v>127</v>
      </c>
      <c r="D507" s="41" t="s">
        <v>108</v>
      </c>
      <c r="E507" s="42" t="n">
        <v>7900</v>
      </c>
      <c r="F507" s="42"/>
      <c r="G507" s="42"/>
      <c r="H507" s="43" t="n">
        <v>2</v>
      </c>
      <c r="I507" s="34" t="n">
        <f aca="false">E507*H507+N(F507)+N(G507)</f>
        <v>15800</v>
      </c>
      <c r="J507" s="42" t="n">
        <f aca="false">ROUND(IFERROR(ROUND(IF(OR(ISNUMBER(SEARCH("week",C507)),ISNUMBER(SEARCH("minggu",C507))),IFERROR(_xlfn.NUMBERVALUE(SUBSTITUTE(LEFT(TRIM(C507),FIND(" ",TRIM(C507)&amp;" ")-1),",","."),"."),LEFT(SUBSTITUTE(LEFT(TRIM(C507),FIND(" ",TRIM(C507)&amp;" ")-1),",","."),FIND("/",SUBSTITUTE(LEFT(TRIM(C507),FIND(" ",TRIM(C507)&amp;" ")-1),",","."))-1)/MID(SUBSTITUTE(LEFT(TRIM(C507),FIND(" ",TRIM(C507)&amp;" ")-1),",","."),FIND("/",SUBSTITUTE(LEFT(TRIM(C507),FIND(" ",TRIM(C507)&amp;" ")-1),",","."))+1,9))*12/52,IF(ISNUMBER(SEARCH("month",C507)),IFERROR(_xlfn.NUMBERVALUE(SUBSTITUTE(LEFT(TRIM(C507),FIND(" ",TRIM(C507)&amp;" ")-1),",","."),"."),LEFT(SUBSTITUTE(LEFT(TRIM(C507),FIND(" ",TRIM(C507)&amp;" ")-1),",","."),FIND("/",SUBSTITUTE(LEFT(TRIM(C507),FIND(" ",TRIM(C507)&amp;" ")-1),",","."))-1)/MID(SUBSTITUTE(LEFT(TRIM(C507),FIND(" ",TRIM(C507)&amp;" ")-1),",","."),FIND("/",SUBSTITUTE(LEFT(TRIM(C507),FIND(" ",TRIM(C507)&amp;" ")-1),",","."))+1,9)),IF(ISNUMBER(SEARCH("yea",C507)),IFERROR(_xlfn.NUMBERVALUE(SUBSTITUTE(LEFT(TRIM(C507),FIND(" ",TRIM(C507)&amp;" ")-1),",","."),"."),LEFT(SUBSTITUTE(LEFT(TRIM(C507),FIND(" ",TRIM(C507)&amp;" ")-1),",","."),FIND("/",SUBSTITUTE(LEFT(TRIM(C507),FIND(" ",TRIM(C507)&amp;" ")-1),",","."))-1)/MID(SUBSTITUTE(LEFT(TRIM(C507),FIND(" ",TRIM(C507)&amp;" ")-1),",","."),FIND("/",SUBSTITUTE(LEFT(TRIM(C507),FIND(" ",TRIM(C507)&amp;" ")-1),",","."))+1,9))*12,NA()))),0),36)*'Aturan &amp; Tarif'!$B$4,2)</f>
        <v>2044.08</v>
      </c>
      <c r="K507" s="42" t="n">
        <f aca="false">'Aturan &amp; Tarif'!$B$5</f>
        <v>2050</v>
      </c>
      <c r="L507" s="35" t="n">
        <f aca="false">I507+J507+K507</f>
        <v>19894.08</v>
      </c>
      <c r="M507" s="44" t="s">
        <v>1036</v>
      </c>
    </row>
    <row r="508" customFormat="false" ht="60" hidden="false" customHeight="true" outlineLevel="0" collapsed="false">
      <c r="A508" s="39"/>
      <c r="B508" s="40" t="s">
        <v>1779</v>
      </c>
      <c r="C508" s="41" t="s">
        <v>130</v>
      </c>
      <c r="D508" s="41" t="s">
        <v>108</v>
      </c>
      <c r="E508" s="42" t="n">
        <v>9375</v>
      </c>
      <c r="F508" s="42"/>
      <c r="G508" s="42"/>
      <c r="H508" s="43" t="n">
        <v>2</v>
      </c>
      <c r="I508" s="34" t="n">
        <f aca="false">E508*H508+N(F508)+N(G508)</f>
        <v>18750</v>
      </c>
      <c r="J508" s="42" t="n">
        <f aca="false">ROUND(IFERROR(ROUND(IF(OR(ISNUMBER(SEARCH("week",C508)),ISNUMBER(SEARCH("minggu",C508))),IFERROR(_xlfn.NUMBERVALUE(SUBSTITUTE(LEFT(TRIM(C508),FIND(" ",TRIM(C508)&amp;" ")-1),",","."),"."),LEFT(SUBSTITUTE(LEFT(TRIM(C508),FIND(" ",TRIM(C508)&amp;" ")-1),",","."),FIND("/",SUBSTITUTE(LEFT(TRIM(C508),FIND(" ",TRIM(C508)&amp;" ")-1),",","."))-1)/MID(SUBSTITUTE(LEFT(TRIM(C508),FIND(" ",TRIM(C508)&amp;" ")-1),",","."),FIND("/",SUBSTITUTE(LEFT(TRIM(C508),FIND(" ",TRIM(C508)&amp;" ")-1),",","."))+1,9))*12/52,IF(ISNUMBER(SEARCH("month",C508)),IFERROR(_xlfn.NUMBERVALUE(SUBSTITUTE(LEFT(TRIM(C508),FIND(" ",TRIM(C508)&amp;" ")-1),",","."),"."),LEFT(SUBSTITUTE(LEFT(TRIM(C508),FIND(" ",TRIM(C508)&amp;" ")-1),",","."),FIND("/",SUBSTITUTE(LEFT(TRIM(C508),FIND(" ",TRIM(C508)&amp;" ")-1),",","."))-1)/MID(SUBSTITUTE(LEFT(TRIM(C508),FIND(" ",TRIM(C508)&amp;" ")-1),",","."),FIND("/",SUBSTITUTE(LEFT(TRIM(C508),FIND(" ",TRIM(C508)&amp;" ")-1),",","."))+1,9)),IF(ISNUMBER(SEARCH("yea",C508)),IFERROR(_xlfn.NUMBERVALUE(SUBSTITUTE(LEFT(TRIM(C508),FIND(" ",TRIM(C508)&amp;" ")-1),",","."),"."),LEFT(SUBSTITUTE(LEFT(TRIM(C508),FIND(" ",TRIM(C508)&amp;" ")-1),",","."),FIND("/",SUBSTITUTE(LEFT(TRIM(C508),FIND(" ",TRIM(C508)&amp;" ")-1),",","."))-1)/MID(SUBSTITUTE(LEFT(TRIM(C508),FIND(" ",TRIM(C508)&amp;" ")-1),",","."),FIND("/",SUBSTITUTE(LEFT(TRIM(C508),FIND(" ",TRIM(C508)&amp;" ")-1),",","."))+1,9))*12,NA()))),0),12)*'Aturan &amp; Tarif'!$B$4,2)</f>
        <v>681.36</v>
      </c>
      <c r="K508" s="42" t="n">
        <f aca="false">'Aturan &amp; Tarif'!$B$5</f>
        <v>2050</v>
      </c>
      <c r="L508" s="35" t="n">
        <f aca="false">I508+J508+K508</f>
        <v>21481.36</v>
      </c>
      <c r="M508" s="44" t="s">
        <v>1103</v>
      </c>
    </row>
    <row r="509" customFormat="false" ht="60" hidden="false" customHeight="true" outlineLevel="0" collapsed="false">
      <c r="A509" s="39"/>
      <c r="B509" s="40" t="s">
        <v>1276</v>
      </c>
      <c r="C509" s="41" t="s">
        <v>127</v>
      </c>
      <c r="D509" s="41" t="s">
        <v>108</v>
      </c>
      <c r="E509" s="42" t="n">
        <v>9375</v>
      </c>
      <c r="F509" s="42"/>
      <c r="G509" s="42"/>
      <c r="H509" s="43" t="n">
        <v>2</v>
      </c>
      <c r="I509" s="34" t="n">
        <f aca="false">E509*H509+N(F509)+N(G509)</f>
        <v>18750</v>
      </c>
      <c r="J509" s="42" t="n">
        <f aca="false">ROUND(IFERROR(ROUND(IF(OR(ISNUMBER(SEARCH("week",C509)),ISNUMBER(SEARCH("minggu",C509))),IFERROR(_xlfn.NUMBERVALUE(SUBSTITUTE(LEFT(TRIM(C509),FIND(" ",TRIM(C509)&amp;" ")-1),",","."),"."),LEFT(SUBSTITUTE(LEFT(TRIM(C509),FIND(" ",TRIM(C509)&amp;" ")-1),",","."),FIND("/",SUBSTITUTE(LEFT(TRIM(C509),FIND(" ",TRIM(C509)&amp;" ")-1),",","."))-1)/MID(SUBSTITUTE(LEFT(TRIM(C509),FIND(" ",TRIM(C509)&amp;" ")-1),",","."),FIND("/",SUBSTITUTE(LEFT(TRIM(C509),FIND(" ",TRIM(C509)&amp;" ")-1),",","."))+1,9))*12/52,IF(ISNUMBER(SEARCH("month",C509)),IFERROR(_xlfn.NUMBERVALUE(SUBSTITUTE(LEFT(TRIM(C509),FIND(" ",TRIM(C509)&amp;" ")-1),",","."),"."),LEFT(SUBSTITUTE(LEFT(TRIM(C509),FIND(" ",TRIM(C509)&amp;" ")-1),",","."),FIND("/",SUBSTITUTE(LEFT(TRIM(C509),FIND(" ",TRIM(C509)&amp;" ")-1),",","."))-1)/MID(SUBSTITUTE(LEFT(TRIM(C509),FIND(" ",TRIM(C509)&amp;" ")-1),",","."),FIND("/",SUBSTITUTE(LEFT(TRIM(C509),FIND(" ",TRIM(C509)&amp;" ")-1),",","."))+1,9)),IF(ISNUMBER(SEARCH("yea",C509)),IFERROR(_xlfn.NUMBERVALUE(SUBSTITUTE(LEFT(TRIM(C509),FIND(" ",TRIM(C509)&amp;" ")-1),",","."),"."),LEFT(SUBSTITUTE(LEFT(TRIM(C509),FIND(" ",TRIM(C509)&amp;" ")-1),",","."),FIND("/",SUBSTITUTE(LEFT(TRIM(C509),FIND(" ",TRIM(C509)&amp;" ")-1),",","."))-1)/MID(SUBSTITUTE(LEFT(TRIM(C509),FIND(" ",TRIM(C509)&amp;" ")-1),",","."),FIND("/",SUBSTITUTE(LEFT(TRIM(C509),FIND(" ",TRIM(C509)&amp;" ")-1),",","."))+1,9))*12,NA()))),0),36)*'Aturan &amp; Tarif'!$B$4,2)</f>
        <v>2044.08</v>
      </c>
      <c r="K509" s="42" t="n">
        <f aca="false">'Aturan &amp; Tarif'!$B$5</f>
        <v>2050</v>
      </c>
      <c r="L509" s="35" t="n">
        <f aca="false">I509+J509+K509</f>
        <v>22844.08</v>
      </c>
      <c r="M509" s="44" t="s">
        <v>2483</v>
      </c>
    </row>
    <row r="510" customFormat="false" ht="60" hidden="false" customHeight="true" outlineLevel="0" collapsed="false">
      <c r="A510" s="39"/>
      <c r="B510" s="40" t="s">
        <v>1104</v>
      </c>
      <c r="C510" s="41" t="s">
        <v>130</v>
      </c>
      <c r="D510" s="41" t="s">
        <v>108</v>
      </c>
      <c r="E510" s="42" t="n">
        <v>7900</v>
      </c>
      <c r="F510" s="42"/>
      <c r="G510" s="42"/>
      <c r="H510" s="43" t="n">
        <v>2</v>
      </c>
      <c r="I510" s="34" t="n">
        <f aca="false">E510*H510+N(F510)+N(G510)</f>
        <v>15800</v>
      </c>
      <c r="J510" s="42" t="n">
        <f aca="false">ROUND(IFERROR(ROUND(IF(OR(ISNUMBER(SEARCH("week",C510)),ISNUMBER(SEARCH("minggu",C510))),IFERROR(_xlfn.NUMBERVALUE(SUBSTITUTE(LEFT(TRIM(C510),FIND(" ",TRIM(C510)&amp;" ")-1),",","."),"."),LEFT(SUBSTITUTE(LEFT(TRIM(C510),FIND(" ",TRIM(C510)&amp;" ")-1),",","."),FIND("/",SUBSTITUTE(LEFT(TRIM(C510),FIND(" ",TRIM(C510)&amp;" ")-1),",","."))-1)/MID(SUBSTITUTE(LEFT(TRIM(C510),FIND(" ",TRIM(C510)&amp;" ")-1),",","."),FIND("/",SUBSTITUTE(LEFT(TRIM(C510),FIND(" ",TRIM(C510)&amp;" ")-1),",","."))+1,9))*12/52,IF(ISNUMBER(SEARCH("month",C510)),IFERROR(_xlfn.NUMBERVALUE(SUBSTITUTE(LEFT(TRIM(C510),FIND(" ",TRIM(C510)&amp;" ")-1),",","."),"."),LEFT(SUBSTITUTE(LEFT(TRIM(C510),FIND(" ",TRIM(C510)&amp;" ")-1),",","."),FIND("/",SUBSTITUTE(LEFT(TRIM(C510),FIND(" ",TRIM(C510)&amp;" ")-1),",","."))-1)/MID(SUBSTITUTE(LEFT(TRIM(C510),FIND(" ",TRIM(C510)&amp;" ")-1),",","."),FIND("/",SUBSTITUTE(LEFT(TRIM(C510),FIND(" ",TRIM(C510)&amp;" ")-1),",","."))+1,9)),IF(ISNUMBER(SEARCH("yea",C510)),IFERROR(_xlfn.NUMBERVALUE(SUBSTITUTE(LEFT(TRIM(C510),FIND(" ",TRIM(C510)&amp;" ")-1),",","."),"."),LEFT(SUBSTITUTE(LEFT(TRIM(C510),FIND(" ",TRIM(C510)&amp;" ")-1),",","."),FIND("/",SUBSTITUTE(LEFT(TRIM(C510),FIND(" ",TRIM(C510)&amp;" ")-1),",","."))-1)/MID(SUBSTITUTE(LEFT(TRIM(C510),FIND(" ",TRIM(C510)&amp;" ")-1),",","."),FIND("/",SUBSTITUTE(LEFT(TRIM(C510),FIND(" ",TRIM(C510)&amp;" ")-1),",","."))+1,9))*12,NA()))),0),12)*'Aturan &amp; Tarif'!$B$4,2)</f>
        <v>681.36</v>
      </c>
      <c r="K510" s="42" t="n">
        <f aca="false">'Aturan &amp; Tarif'!$B$5</f>
        <v>2050</v>
      </c>
      <c r="L510" s="35" t="n">
        <f aca="false">I510+J510+K510</f>
        <v>18531.36</v>
      </c>
      <c r="M510" s="44" t="s">
        <v>1105</v>
      </c>
    </row>
    <row r="511" customFormat="false" ht="60" hidden="false" customHeight="true" outlineLevel="0" collapsed="false">
      <c r="A511" s="39"/>
      <c r="B511" s="40" t="s">
        <v>335</v>
      </c>
      <c r="C511" s="41" t="s">
        <v>127</v>
      </c>
      <c r="D511" s="41" t="s">
        <v>108</v>
      </c>
      <c r="E511" s="42" t="n">
        <v>7900</v>
      </c>
      <c r="F511" s="42"/>
      <c r="G511" s="42"/>
      <c r="H511" s="43" t="n">
        <v>2</v>
      </c>
      <c r="I511" s="34" t="n">
        <f aca="false">E511*H511+N(F511)+N(G511)</f>
        <v>15800</v>
      </c>
      <c r="J511" s="42" t="n">
        <f aca="false">ROUND(IFERROR(ROUND(IF(OR(ISNUMBER(SEARCH("week",C511)),ISNUMBER(SEARCH("minggu",C511))),IFERROR(_xlfn.NUMBERVALUE(SUBSTITUTE(LEFT(TRIM(C511),FIND(" ",TRIM(C511)&amp;" ")-1),",","."),"."),LEFT(SUBSTITUTE(LEFT(TRIM(C511),FIND(" ",TRIM(C511)&amp;" ")-1),",","."),FIND("/",SUBSTITUTE(LEFT(TRIM(C511),FIND(" ",TRIM(C511)&amp;" ")-1),",","."))-1)/MID(SUBSTITUTE(LEFT(TRIM(C511),FIND(" ",TRIM(C511)&amp;" ")-1),",","."),FIND("/",SUBSTITUTE(LEFT(TRIM(C511),FIND(" ",TRIM(C511)&amp;" ")-1),",","."))+1,9))*12/52,IF(ISNUMBER(SEARCH("month",C511)),IFERROR(_xlfn.NUMBERVALUE(SUBSTITUTE(LEFT(TRIM(C511),FIND(" ",TRIM(C511)&amp;" ")-1),",","."),"."),LEFT(SUBSTITUTE(LEFT(TRIM(C511),FIND(" ",TRIM(C511)&amp;" ")-1),",","."),FIND("/",SUBSTITUTE(LEFT(TRIM(C511),FIND(" ",TRIM(C511)&amp;" ")-1),",","."))-1)/MID(SUBSTITUTE(LEFT(TRIM(C511),FIND(" ",TRIM(C511)&amp;" ")-1),",","."),FIND("/",SUBSTITUTE(LEFT(TRIM(C511),FIND(" ",TRIM(C511)&amp;" ")-1),",","."))+1,9)),IF(ISNUMBER(SEARCH("yea",C511)),IFERROR(_xlfn.NUMBERVALUE(SUBSTITUTE(LEFT(TRIM(C511),FIND(" ",TRIM(C511)&amp;" ")-1),",","."),"."),LEFT(SUBSTITUTE(LEFT(TRIM(C511),FIND(" ",TRIM(C511)&amp;" ")-1),",","."),FIND("/",SUBSTITUTE(LEFT(TRIM(C511),FIND(" ",TRIM(C511)&amp;" ")-1),",","."))-1)/MID(SUBSTITUTE(LEFT(TRIM(C511),FIND(" ",TRIM(C511)&amp;" ")-1),",","."),FIND("/",SUBSTITUTE(LEFT(TRIM(C511),FIND(" ",TRIM(C511)&amp;" ")-1),",","."))+1,9))*12,NA()))),0),36)*'Aturan &amp; Tarif'!$B$4,2)</f>
        <v>2044.08</v>
      </c>
      <c r="K511" s="42" t="n">
        <f aca="false">'Aturan &amp; Tarif'!$B$5</f>
        <v>2050</v>
      </c>
      <c r="L511" s="35" t="n">
        <f aca="false">I511+J511+K511</f>
        <v>19894.08</v>
      </c>
      <c r="M511" s="44" t="s">
        <v>1106</v>
      </c>
    </row>
    <row r="512" customFormat="false" ht="60" hidden="false" customHeight="true" outlineLevel="0" collapsed="false">
      <c r="A512" s="39"/>
      <c r="B512" s="40" t="s">
        <v>2487</v>
      </c>
      <c r="C512" s="41" t="s">
        <v>127</v>
      </c>
      <c r="D512" s="41" t="s">
        <v>108</v>
      </c>
      <c r="E512" s="42" t="n">
        <v>9375</v>
      </c>
      <c r="F512" s="42"/>
      <c r="G512" s="42"/>
      <c r="H512" s="43" t="n">
        <v>2</v>
      </c>
      <c r="I512" s="34" t="n">
        <f aca="false">E512*H512+N(F512)+N(G512)</f>
        <v>18750</v>
      </c>
      <c r="J512" s="42" t="n">
        <f aca="false">ROUND(IFERROR(ROUND(IF(OR(ISNUMBER(SEARCH("week",C512)),ISNUMBER(SEARCH("minggu",C512))),IFERROR(_xlfn.NUMBERVALUE(SUBSTITUTE(LEFT(TRIM(C512),FIND(" ",TRIM(C512)&amp;" ")-1),",","."),"."),LEFT(SUBSTITUTE(LEFT(TRIM(C512),FIND(" ",TRIM(C512)&amp;" ")-1),",","."),FIND("/",SUBSTITUTE(LEFT(TRIM(C512),FIND(" ",TRIM(C512)&amp;" ")-1),",","."))-1)/MID(SUBSTITUTE(LEFT(TRIM(C512),FIND(" ",TRIM(C512)&amp;" ")-1),",","."),FIND("/",SUBSTITUTE(LEFT(TRIM(C512),FIND(" ",TRIM(C512)&amp;" ")-1),",","."))+1,9))*12/52,IF(ISNUMBER(SEARCH("month",C512)),IFERROR(_xlfn.NUMBERVALUE(SUBSTITUTE(LEFT(TRIM(C512),FIND(" ",TRIM(C512)&amp;" ")-1),",","."),"."),LEFT(SUBSTITUTE(LEFT(TRIM(C512),FIND(" ",TRIM(C512)&amp;" ")-1),",","."),FIND("/",SUBSTITUTE(LEFT(TRIM(C512),FIND(" ",TRIM(C512)&amp;" ")-1),",","."))-1)/MID(SUBSTITUTE(LEFT(TRIM(C512),FIND(" ",TRIM(C512)&amp;" ")-1),",","."),FIND("/",SUBSTITUTE(LEFT(TRIM(C512),FIND(" ",TRIM(C512)&amp;" ")-1),",","."))+1,9)),IF(ISNUMBER(SEARCH("yea",C512)),IFERROR(_xlfn.NUMBERVALUE(SUBSTITUTE(LEFT(TRIM(C512),FIND(" ",TRIM(C512)&amp;" ")-1),",","."),"."),LEFT(SUBSTITUTE(LEFT(TRIM(C512),FIND(" ",TRIM(C512)&amp;" ")-1),",","."),FIND("/",SUBSTITUTE(LEFT(TRIM(C512),FIND(" ",TRIM(C512)&amp;" ")-1),",","."))-1)/MID(SUBSTITUTE(LEFT(TRIM(C512),FIND(" ",TRIM(C512)&amp;" ")-1),",","."),FIND("/",SUBSTITUTE(LEFT(TRIM(C512),FIND(" ",TRIM(C512)&amp;" ")-1),",","."))+1,9))*12,NA()))),0),36)*'Aturan &amp; Tarif'!$B$4,2)</f>
        <v>2044.08</v>
      </c>
      <c r="K512" s="42" t="n">
        <f aca="false">'Aturan &amp; Tarif'!$B$5</f>
        <v>2050</v>
      </c>
      <c r="L512" s="35" t="n">
        <f aca="false">I512+J512+K512</f>
        <v>22844.08</v>
      </c>
      <c r="M512" s="44" t="s">
        <v>1036</v>
      </c>
    </row>
    <row r="513" customFormat="false" ht="60" hidden="false" customHeight="true" outlineLevel="0" collapsed="false">
      <c r="A513" s="39"/>
      <c r="B513" s="40" t="s">
        <v>1069</v>
      </c>
      <c r="C513" s="41" t="s">
        <v>130</v>
      </c>
      <c r="D513" s="41" t="s">
        <v>108</v>
      </c>
      <c r="E513" s="42" t="n">
        <v>9000</v>
      </c>
      <c r="F513" s="42"/>
      <c r="G513" s="42"/>
      <c r="H513" s="43" t="n">
        <v>2</v>
      </c>
      <c r="I513" s="34" t="n">
        <f aca="false">E513*H513+N(F513)+N(G513)</f>
        <v>18000</v>
      </c>
      <c r="J513" s="42" t="n">
        <f aca="false">ROUND(IFERROR(ROUND(IF(OR(ISNUMBER(SEARCH("week",C513)),ISNUMBER(SEARCH("minggu",C513))),IFERROR(_xlfn.NUMBERVALUE(SUBSTITUTE(LEFT(TRIM(C513),FIND(" ",TRIM(C513)&amp;" ")-1),",","."),"."),LEFT(SUBSTITUTE(LEFT(TRIM(C513),FIND(" ",TRIM(C513)&amp;" ")-1),",","."),FIND("/",SUBSTITUTE(LEFT(TRIM(C513),FIND(" ",TRIM(C513)&amp;" ")-1),",","."))-1)/MID(SUBSTITUTE(LEFT(TRIM(C513),FIND(" ",TRIM(C513)&amp;" ")-1),",","."),FIND("/",SUBSTITUTE(LEFT(TRIM(C513),FIND(" ",TRIM(C513)&amp;" ")-1),",","."))+1,9))*12/52,IF(ISNUMBER(SEARCH("month",C513)),IFERROR(_xlfn.NUMBERVALUE(SUBSTITUTE(LEFT(TRIM(C513),FIND(" ",TRIM(C513)&amp;" ")-1),",","."),"."),LEFT(SUBSTITUTE(LEFT(TRIM(C513),FIND(" ",TRIM(C513)&amp;" ")-1),",","."),FIND("/",SUBSTITUTE(LEFT(TRIM(C513),FIND(" ",TRIM(C513)&amp;" ")-1),",","."))-1)/MID(SUBSTITUTE(LEFT(TRIM(C513),FIND(" ",TRIM(C513)&amp;" ")-1),",","."),FIND("/",SUBSTITUTE(LEFT(TRIM(C513),FIND(" ",TRIM(C513)&amp;" ")-1),",","."))+1,9)),IF(ISNUMBER(SEARCH("yea",C513)),IFERROR(_xlfn.NUMBERVALUE(SUBSTITUTE(LEFT(TRIM(C513),FIND(" ",TRIM(C513)&amp;" ")-1),",","."),"."),LEFT(SUBSTITUTE(LEFT(TRIM(C513),FIND(" ",TRIM(C513)&amp;" ")-1),",","."),FIND("/",SUBSTITUTE(LEFT(TRIM(C513),FIND(" ",TRIM(C513)&amp;" ")-1),",","."))-1)/MID(SUBSTITUTE(LEFT(TRIM(C513),FIND(" ",TRIM(C513)&amp;" ")-1),",","."),FIND("/",SUBSTITUTE(LEFT(TRIM(C513),FIND(" ",TRIM(C513)&amp;" ")-1),",","."))+1,9))*12,NA()))),0),12)*'Aturan &amp; Tarif'!$B$4,2)</f>
        <v>681.36</v>
      </c>
      <c r="K513" s="42" t="n">
        <f aca="false">'Aturan &amp; Tarif'!$B$5</f>
        <v>2050</v>
      </c>
      <c r="L513" s="35" t="n">
        <f aca="false">I513+J513+K513</f>
        <v>20731.36</v>
      </c>
      <c r="M513" s="44" t="s">
        <v>1036</v>
      </c>
    </row>
    <row r="514" customFormat="false" ht="60" hidden="false" customHeight="true" outlineLevel="0" collapsed="false">
      <c r="A514" s="39"/>
      <c r="B514" s="40" t="s">
        <v>1070</v>
      </c>
      <c r="C514" s="41" t="s">
        <v>107</v>
      </c>
      <c r="D514" s="41" t="s">
        <v>108</v>
      </c>
      <c r="E514" s="42" t="n">
        <v>9000</v>
      </c>
      <c r="F514" s="42"/>
      <c r="G514" s="42"/>
      <c r="H514" s="43" t="n">
        <v>2</v>
      </c>
      <c r="I514" s="34" t="n">
        <f aca="false">E514*H514+N(F514)+N(G514)</f>
        <v>18000</v>
      </c>
      <c r="J514" s="42" t="n">
        <f aca="false">ROUND(IFERROR(ROUND(IF(OR(ISNUMBER(SEARCH("week",C514)),ISNUMBER(SEARCH("minggu",C514))),IFERROR(_xlfn.NUMBERVALUE(SUBSTITUTE(LEFT(TRIM(C514),FIND(" ",TRIM(C514)&amp;" ")-1),",","."),"."),LEFT(SUBSTITUTE(LEFT(TRIM(C514),FIND(" ",TRIM(C514)&amp;" ")-1),",","."),FIND("/",SUBSTITUTE(LEFT(TRIM(C514),FIND(" ",TRIM(C514)&amp;" ")-1),",","."))-1)/MID(SUBSTITUTE(LEFT(TRIM(C514),FIND(" ",TRIM(C514)&amp;" ")-1),",","."),FIND("/",SUBSTITUTE(LEFT(TRIM(C514),FIND(" ",TRIM(C514)&amp;" ")-1),",","."))+1,9))*12/52,IF(ISNUMBER(SEARCH("month",C514)),IFERROR(_xlfn.NUMBERVALUE(SUBSTITUTE(LEFT(TRIM(C514),FIND(" ",TRIM(C514)&amp;" ")-1),",","."),"."),LEFT(SUBSTITUTE(LEFT(TRIM(C514),FIND(" ",TRIM(C514)&amp;" ")-1),",","."),FIND("/",SUBSTITUTE(LEFT(TRIM(C514),FIND(" ",TRIM(C514)&amp;" ")-1),",","."))-1)/MID(SUBSTITUTE(LEFT(TRIM(C514),FIND(" ",TRIM(C514)&amp;" ")-1),",","."),FIND("/",SUBSTITUTE(LEFT(TRIM(C514),FIND(" ",TRIM(C514)&amp;" ")-1),",","."))+1,9)),IF(ISNUMBER(SEARCH("yea",C514)),IFERROR(_xlfn.NUMBERVALUE(SUBSTITUTE(LEFT(TRIM(C514),FIND(" ",TRIM(C514)&amp;" ")-1),",","."),"."),LEFT(SUBSTITUTE(LEFT(TRIM(C514),FIND(" ",TRIM(C514)&amp;" ")-1),",","."),FIND("/",SUBSTITUTE(LEFT(TRIM(C514),FIND(" ",TRIM(C514)&amp;" ")-1),",","."))-1)/MID(SUBSTITUTE(LEFT(TRIM(C514),FIND(" ",TRIM(C514)&amp;" ")-1),",","."),FIND("/",SUBSTITUTE(LEFT(TRIM(C514),FIND(" ",TRIM(C514)&amp;" ")-1),",","."))+1,9))*12,NA()))),0),24)*'Aturan &amp; Tarif'!$B$4,2)</f>
        <v>1362.72</v>
      </c>
      <c r="K514" s="42" t="n">
        <f aca="false">'Aturan &amp; Tarif'!$B$5</f>
        <v>2050</v>
      </c>
      <c r="L514" s="35" t="n">
        <f aca="false">I514+J514+K514</f>
        <v>21412.72</v>
      </c>
      <c r="M514" s="44" t="s">
        <v>1036</v>
      </c>
    </row>
    <row r="515" customFormat="false" ht="60" hidden="false" customHeight="true" outlineLevel="0" collapsed="false">
      <c r="A515" s="39"/>
      <c r="B515" s="40" t="s">
        <v>1107</v>
      </c>
      <c r="C515" s="41" t="s">
        <v>130</v>
      </c>
      <c r="D515" s="41" t="s">
        <v>108</v>
      </c>
      <c r="E515" s="42" t="n">
        <v>4975</v>
      </c>
      <c r="F515" s="42"/>
      <c r="G515" s="42"/>
      <c r="H515" s="43" t="n">
        <v>2</v>
      </c>
      <c r="I515" s="34" t="n">
        <f aca="false">E515*H515+N(F515)+N(G515)</f>
        <v>9950</v>
      </c>
      <c r="J515" s="42" t="n">
        <f aca="false">ROUND(IFERROR(ROUND(IF(OR(ISNUMBER(SEARCH("week",C515)),ISNUMBER(SEARCH("minggu",C515))),IFERROR(_xlfn.NUMBERVALUE(SUBSTITUTE(LEFT(TRIM(C515),FIND(" ",TRIM(C515)&amp;" ")-1),",","."),"."),LEFT(SUBSTITUTE(LEFT(TRIM(C515),FIND(" ",TRIM(C515)&amp;" ")-1),",","."),FIND("/",SUBSTITUTE(LEFT(TRIM(C515),FIND(" ",TRIM(C515)&amp;" ")-1),",","."))-1)/MID(SUBSTITUTE(LEFT(TRIM(C515),FIND(" ",TRIM(C515)&amp;" ")-1),",","."),FIND("/",SUBSTITUTE(LEFT(TRIM(C515),FIND(" ",TRIM(C515)&amp;" ")-1),",","."))+1,9))*12/52,IF(ISNUMBER(SEARCH("month",C515)),IFERROR(_xlfn.NUMBERVALUE(SUBSTITUTE(LEFT(TRIM(C515),FIND(" ",TRIM(C515)&amp;" ")-1),",","."),"."),LEFT(SUBSTITUTE(LEFT(TRIM(C515),FIND(" ",TRIM(C515)&amp;" ")-1),",","."),FIND("/",SUBSTITUTE(LEFT(TRIM(C515),FIND(" ",TRIM(C515)&amp;" ")-1),",","."))-1)/MID(SUBSTITUTE(LEFT(TRIM(C515),FIND(" ",TRIM(C515)&amp;" ")-1),",","."),FIND("/",SUBSTITUTE(LEFT(TRIM(C515),FIND(" ",TRIM(C515)&amp;" ")-1),",","."))+1,9)),IF(ISNUMBER(SEARCH("yea",C515)),IFERROR(_xlfn.NUMBERVALUE(SUBSTITUTE(LEFT(TRIM(C515),FIND(" ",TRIM(C515)&amp;" ")-1),",","."),"."),LEFT(SUBSTITUTE(LEFT(TRIM(C515),FIND(" ",TRIM(C515)&amp;" ")-1),",","."),FIND("/",SUBSTITUTE(LEFT(TRIM(C515),FIND(" ",TRIM(C515)&amp;" ")-1),",","."))-1)/MID(SUBSTITUTE(LEFT(TRIM(C515),FIND(" ",TRIM(C515)&amp;" ")-1),",","."),FIND("/",SUBSTITUTE(LEFT(TRIM(C515),FIND(" ",TRIM(C515)&amp;" ")-1),",","."))+1,9))*12,NA()))),0),12)*'Aturan &amp; Tarif'!$B$4,2)</f>
        <v>681.36</v>
      </c>
      <c r="K515" s="42" t="n">
        <f aca="false">'Aturan &amp; Tarif'!$B$5</f>
        <v>2050</v>
      </c>
      <c r="L515" s="35" t="n">
        <f aca="false">I515+J515+K515</f>
        <v>12681.36</v>
      </c>
      <c r="M515" s="44" t="s">
        <v>1108</v>
      </c>
    </row>
    <row r="516" customFormat="false" ht="60" hidden="false" customHeight="true" outlineLevel="0" collapsed="false">
      <c r="A516" s="39"/>
      <c r="B516" s="40" t="s">
        <v>3394</v>
      </c>
      <c r="C516" s="41" t="s">
        <v>130</v>
      </c>
      <c r="D516" s="41" t="s">
        <v>108</v>
      </c>
      <c r="E516" s="42" t="n">
        <v>9950</v>
      </c>
      <c r="F516" s="42"/>
      <c r="G516" s="42"/>
      <c r="H516" s="43" t="n">
        <v>2</v>
      </c>
      <c r="I516" s="34" t="n">
        <f aca="false">E516*H516+N(F516)+N(G516)</f>
        <v>19900</v>
      </c>
      <c r="J516" s="42" t="n">
        <f aca="false">ROUND(IFERROR(ROUND(IF(OR(ISNUMBER(SEARCH("week",C516)),ISNUMBER(SEARCH("minggu",C516))),IFERROR(_xlfn.NUMBERVALUE(SUBSTITUTE(LEFT(TRIM(C516),FIND(" ",TRIM(C516)&amp;" ")-1),",","."),"."),LEFT(SUBSTITUTE(LEFT(TRIM(C516),FIND(" ",TRIM(C516)&amp;" ")-1),",","."),FIND("/",SUBSTITUTE(LEFT(TRIM(C516),FIND(" ",TRIM(C516)&amp;" ")-1),",","."))-1)/MID(SUBSTITUTE(LEFT(TRIM(C516),FIND(" ",TRIM(C516)&amp;" ")-1),",","."),FIND("/",SUBSTITUTE(LEFT(TRIM(C516),FIND(" ",TRIM(C516)&amp;" ")-1),",","."))+1,9))*12/52,IF(ISNUMBER(SEARCH("month",C516)),IFERROR(_xlfn.NUMBERVALUE(SUBSTITUTE(LEFT(TRIM(C516),FIND(" ",TRIM(C516)&amp;" ")-1),",","."),"."),LEFT(SUBSTITUTE(LEFT(TRIM(C516),FIND(" ",TRIM(C516)&amp;" ")-1),",","."),FIND("/",SUBSTITUTE(LEFT(TRIM(C516),FIND(" ",TRIM(C516)&amp;" ")-1),",","."))-1)/MID(SUBSTITUTE(LEFT(TRIM(C516),FIND(" ",TRIM(C516)&amp;" ")-1),",","."),FIND("/",SUBSTITUTE(LEFT(TRIM(C516),FIND(" ",TRIM(C516)&amp;" ")-1),",","."))+1,9)),IF(ISNUMBER(SEARCH("yea",C516)),IFERROR(_xlfn.NUMBERVALUE(SUBSTITUTE(LEFT(TRIM(C516),FIND(" ",TRIM(C516)&amp;" ")-1),",","."),"."),LEFT(SUBSTITUTE(LEFT(TRIM(C516),FIND(" ",TRIM(C516)&amp;" ")-1),",","."),FIND("/",SUBSTITUTE(LEFT(TRIM(C516),FIND(" ",TRIM(C516)&amp;" ")-1),",","."))-1)/MID(SUBSTITUTE(LEFT(TRIM(C516),FIND(" ",TRIM(C516)&amp;" ")-1),",","."),FIND("/",SUBSTITUTE(LEFT(TRIM(C516),FIND(" ",TRIM(C516)&amp;" ")-1),",","."))+1,9))*12,NA()))),0),12)*'Aturan &amp; Tarif'!$B$4,2)</f>
        <v>681.36</v>
      </c>
      <c r="K516" s="42" t="n">
        <f aca="false">'Aturan &amp; Tarif'!$B$5</f>
        <v>2050</v>
      </c>
      <c r="L516" s="35" t="n">
        <f aca="false">I516+J516+K516</f>
        <v>22631.36</v>
      </c>
      <c r="M516" s="44" t="s">
        <v>1110</v>
      </c>
    </row>
    <row r="517" customFormat="false" ht="60" hidden="false" customHeight="true" outlineLevel="0" collapsed="false">
      <c r="A517" s="39"/>
      <c r="B517" s="40" t="s">
        <v>1111</v>
      </c>
      <c r="C517" s="41" t="s">
        <v>107</v>
      </c>
      <c r="D517" s="41" t="s">
        <v>108</v>
      </c>
      <c r="E517" s="42" t="n">
        <v>9950</v>
      </c>
      <c r="F517" s="42"/>
      <c r="G517" s="42"/>
      <c r="H517" s="43" t="n">
        <v>2</v>
      </c>
      <c r="I517" s="34" t="n">
        <f aca="false">E517*H517+N(F517)+N(G517)</f>
        <v>19900</v>
      </c>
      <c r="J517" s="42" t="n">
        <f aca="false">ROUND(IFERROR(ROUND(IF(OR(ISNUMBER(SEARCH("week",C517)),ISNUMBER(SEARCH("minggu",C517))),IFERROR(_xlfn.NUMBERVALUE(SUBSTITUTE(LEFT(TRIM(C517),FIND(" ",TRIM(C517)&amp;" ")-1),",","."),"."),LEFT(SUBSTITUTE(LEFT(TRIM(C517),FIND(" ",TRIM(C517)&amp;" ")-1),",","."),FIND("/",SUBSTITUTE(LEFT(TRIM(C517),FIND(" ",TRIM(C517)&amp;" ")-1),",","."))-1)/MID(SUBSTITUTE(LEFT(TRIM(C517),FIND(" ",TRIM(C517)&amp;" ")-1),",","."),FIND("/",SUBSTITUTE(LEFT(TRIM(C517),FIND(" ",TRIM(C517)&amp;" ")-1),",","."))+1,9))*12/52,IF(ISNUMBER(SEARCH("month",C517)),IFERROR(_xlfn.NUMBERVALUE(SUBSTITUTE(LEFT(TRIM(C517),FIND(" ",TRIM(C517)&amp;" ")-1),",","."),"."),LEFT(SUBSTITUTE(LEFT(TRIM(C517),FIND(" ",TRIM(C517)&amp;" ")-1),",","."),FIND("/",SUBSTITUTE(LEFT(TRIM(C517),FIND(" ",TRIM(C517)&amp;" ")-1),",","."))-1)/MID(SUBSTITUTE(LEFT(TRIM(C517),FIND(" ",TRIM(C517)&amp;" ")-1),",","."),FIND("/",SUBSTITUTE(LEFT(TRIM(C517),FIND(" ",TRIM(C517)&amp;" ")-1),",","."))+1,9)),IF(ISNUMBER(SEARCH("yea",C517)),IFERROR(_xlfn.NUMBERVALUE(SUBSTITUTE(LEFT(TRIM(C517),FIND(" ",TRIM(C517)&amp;" ")-1),",","."),"."),LEFT(SUBSTITUTE(LEFT(TRIM(C517),FIND(" ",TRIM(C517)&amp;" ")-1),",","."),FIND("/",SUBSTITUTE(LEFT(TRIM(C517),FIND(" ",TRIM(C517)&amp;" ")-1),",","."))-1)/MID(SUBSTITUTE(LEFT(TRIM(C517),FIND(" ",TRIM(C517)&amp;" ")-1),",","."),FIND("/",SUBSTITUTE(LEFT(TRIM(C517),FIND(" ",TRIM(C517)&amp;" ")-1),",","."))+1,9))*12,NA()))),0),24)*'Aturan &amp; Tarif'!$B$4,2)</f>
        <v>1362.72</v>
      </c>
      <c r="K517" s="42" t="n">
        <f aca="false">'Aturan &amp; Tarif'!$B$5</f>
        <v>2050</v>
      </c>
      <c r="L517" s="35" t="n">
        <f aca="false">I517+J517+K517</f>
        <v>23312.72</v>
      </c>
      <c r="M517" s="44" t="s">
        <v>1112</v>
      </c>
    </row>
    <row r="518" customFormat="false" ht="60" hidden="false" customHeight="true" outlineLevel="0" collapsed="false">
      <c r="A518" s="39"/>
      <c r="B518" s="40" t="s">
        <v>1113</v>
      </c>
      <c r="C518" s="41" t="s">
        <v>107</v>
      </c>
      <c r="D518" s="41" t="s">
        <v>108</v>
      </c>
      <c r="E518" s="42" t="n">
        <v>9950</v>
      </c>
      <c r="F518" s="42"/>
      <c r="G518" s="42"/>
      <c r="H518" s="43" t="n">
        <v>2</v>
      </c>
      <c r="I518" s="34" t="n">
        <f aca="false">E518*H518+N(F518)+N(G518)</f>
        <v>19900</v>
      </c>
      <c r="J518" s="42" t="n">
        <f aca="false">ROUND(IFERROR(ROUND(IF(OR(ISNUMBER(SEARCH("week",C518)),ISNUMBER(SEARCH("minggu",C518))),IFERROR(_xlfn.NUMBERVALUE(SUBSTITUTE(LEFT(TRIM(C518),FIND(" ",TRIM(C518)&amp;" ")-1),",","."),"."),LEFT(SUBSTITUTE(LEFT(TRIM(C518),FIND(" ",TRIM(C518)&amp;" ")-1),",","."),FIND("/",SUBSTITUTE(LEFT(TRIM(C518),FIND(" ",TRIM(C518)&amp;" ")-1),",","."))-1)/MID(SUBSTITUTE(LEFT(TRIM(C518),FIND(" ",TRIM(C518)&amp;" ")-1),",","."),FIND("/",SUBSTITUTE(LEFT(TRIM(C518),FIND(" ",TRIM(C518)&amp;" ")-1),",","."))+1,9))*12/52,IF(ISNUMBER(SEARCH("month",C518)),IFERROR(_xlfn.NUMBERVALUE(SUBSTITUTE(LEFT(TRIM(C518),FIND(" ",TRIM(C518)&amp;" ")-1),",","."),"."),LEFT(SUBSTITUTE(LEFT(TRIM(C518),FIND(" ",TRIM(C518)&amp;" ")-1),",","."),FIND("/",SUBSTITUTE(LEFT(TRIM(C518),FIND(" ",TRIM(C518)&amp;" ")-1),",","."))-1)/MID(SUBSTITUTE(LEFT(TRIM(C518),FIND(" ",TRIM(C518)&amp;" ")-1),",","."),FIND("/",SUBSTITUTE(LEFT(TRIM(C518),FIND(" ",TRIM(C518)&amp;" ")-1),",","."))+1,9)),IF(ISNUMBER(SEARCH("yea",C518)),IFERROR(_xlfn.NUMBERVALUE(SUBSTITUTE(LEFT(TRIM(C518),FIND(" ",TRIM(C518)&amp;" ")-1),",","."),"."),LEFT(SUBSTITUTE(LEFT(TRIM(C518),FIND(" ",TRIM(C518)&amp;" ")-1),",","."),FIND("/",SUBSTITUTE(LEFT(TRIM(C518),FIND(" ",TRIM(C518)&amp;" ")-1),",","."))-1)/MID(SUBSTITUTE(LEFT(TRIM(C518),FIND(" ",TRIM(C518)&amp;" ")-1),",","."),FIND("/",SUBSTITUTE(LEFT(TRIM(C518),FIND(" ",TRIM(C518)&amp;" ")-1),",","."))+1,9))*12,NA()))),0),24)*'Aturan &amp; Tarif'!$B$4,2)</f>
        <v>1362.72</v>
      </c>
      <c r="K518" s="42" t="n">
        <f aca="false">'Aturan &amp; Tarif'!$B$5</f>
        <v>2050</v>
      </c>
      <c r="L518" s="35" t="n">
        <f aca="false">I518+J518+K518</f>
        <v>23312.72</v>
      </c>
      <c r="M518" s="44" t="s">
        <v>1114</v>
      </c>
    </row>
    <row r="519" customFormat="false" ht="60" hidden="false" customHeight="true" outlineLevel="0" collapsed="false">
      <c r="A519" s="39"/>
      <c r="B519" s="40" t="s">
        <v>1115</v>
      </c>
      <c r="C519" s="41" t="s">
        <v>130</v>
      </c>
      <c r="D519" s="41" t="s">
        <v>108</v>
      </c>
      <c r="E519" s="42" t="n">
        <v>4500</v>
      </c>
      <c r="F519" s="42"/>
      <c r="G519" s="42"/>
      <c r="H519" s="43" t="n">
        <v>2</v>
      </c>
      <c r="I519" s="34" t="n">
        <f aca="false">E519*H519+N(F519)+N(G519)</f>
        <v>9000</v>
      </c>
      <c r="J519" s="42" t="n">
        <f aca="false">ROUND(IFERROR(ROUND(IF(OR(ISNUMBER(SEARCH("week",C519)),ISNUMBER(SEARCH("minggu",C519))),IFERROR(_xlfn.NUMBERVALUE(SUBSTITUTE(LEFT(TRIM(C519),FIND(" ",TRIM(C519)&amp;" ")-1),",","."),"."),LEFT(SUBSTITUTE(LEFT(TRIM(C519),FIND(" ",TRIM(C519)&amp;" ")-1),",","."),FIND("/",SUBSTITUTE(LEFT(TRIM(C519),FIND(" ",TRIM(C519)&amp;" ")-1),",","."))-1)/MID(SUBSTITUTE(LEFT(TRIM(C519),FIND(" ",TRIM(C519)&amp;" ")-1),",","."),FIND("/",SUBSTITUTE(LEFT(TRIM(C519),FIND(" ",TRIM(C519)&amp;" ")-1),",","."))+1,9))*12/52,IF(ISNUMBER(SEARCH("month",C519)),IFERROR(_xlfn.NUMBERVALUE(SUBSTITUTE(LEFT(TRIM(C519),FIND(" ",TRIM(C519)&amp;" ")-1),",","."),"."),LEFT(SUBSTITUTE(LEFT(TRIM(C519),FIND(" ",TRIM(C519)&amp;" ")-1),",","."),FIND("/",SUBSTITUTE(LEFT(TRIM(C519),FIND(" ",TRIM(C519)&amp;" ")-1),",","."))-1)/MID(SUBSTITUTE(LEFT(TRIM(C519),FIND(" ",TRIM(C519)&amp;" ")-1),",","."),FIND("/",SUBSTITUTE(LEFT(TRIM(C519),FIND(" ",TRIM(C519)&amp;" ")-1),",","."))+1,9)),IF(ISNUMBER(SEARCH("yea",C519)),IFERROR(_xlfn.NUMBERVALUE(SUBSTITUTE(LEFT(TRIM(C519),FIND(" ",TRIM(C519)&amp;" ")-1),",","."),"."),LEFT(SUBSTITUTE(LEFT(TRIM(C519),FIND(" ",TRIM(C519)&amp;" ")-1),",","."),FIND("/",SUBSTITUTE(LEFT(TRIM(C519),FIND(" ",TRIM(C519)&amp;" ")-1),",","."))-1)/MID(SUBSTITUTE(LEFT(TRIM(C519),FIND(" ",TRIM(C519)&amp;" ")-1),",","."),FIND("/",SUBSTITUTE(LEFT(TRIM(C519),FIND(" ",TRIM(C519)&amp;" ")-1),",","."))+1,9))*12,NA()))),0),12)*'Aturan &amp; Tarif'!$B$4,2)</f>
        <v>681.36</v>
      </c>
      <c r="K519" s="42" t="n">
        <f aca="false">'Aturan &amp; Tarif'!$B$5</f>
        <v>2050</v>
      </c>
      <c r="L519" s="35" t="n">
        <f aca="false">I519+J519+K519</f>
        <v>11731.36</v>
      </c>
      <c r="M519" s="44" t="s">
        <v>1116</v>
      </c>
    </row>
    <row r="520" customFormat="false" ht="60" hidden="false" customHeight="true" outlineLevel="0" collapsed="false">
      <c r="A520" s="39"/>
      <c r="B520" s="40" t="s">
        <v>1117</v>
      </c>
      <c r="C520" s="41" t="s">
        <v>130</v>
      </c>
      <c r="D520" s="41" t="s">
        <v>108</v>
      </c>
      <c r="E520" s="42" t="n">
        <v>9000</v>
      </c>
      <c r="F520" s="42"/>
      <c r="G520" s="42"/>
      <c r="H520" s="43" t="n">
        <v>2</v>
      </c>
      <c r="I520" s="34" t="n">
        <f aca="false">E520*H520+N(F520)+N(G520)</f>
        <v>18000</v>
      </c>
      <c r="J520" s="42" t="n">
        <f aca="false">ROUND(IFERROR(ROUND(IF(OR(ISNUMBER(SEARCH("week",C520)),ISNUMBER(SEARCH("minggu",C520))),IFERROR(_xlfn.NUMBERVALUE(SUBSTITUTE(LEFT(TRIM(C520),FIND(" ",TRIM(C520)&amp;" ")-1),",","."),"."),LEFT(SUBSTITUTE(LEFT(TRIM(C520),FIND(" ",TRIM(C520)&amp;" ")-1),",","."),FIND("/",SUBSTITUTE(LEFT(TRIM(C520),FIND(" ",TRIM(C520)&amp;" ")-1),",","."))-1)/MID(SUBSTITUTE(LEFT(TRIM(C520),FIND(" ",TRIM(C520)&amp;" ")-1),",","."),FIND("/",SUBSTITUTE(LEFT(TRIM(C520),FIND(" ",TRIM(C520)&amp;" ")-1),",","."))+1,9))*12/52,IF(ISNUMBER(SEARCH("month",C520)),IFERROR(_xlfn.NUMBERVALUE(SUBSTITUTE(LEFT(TRIM(C520),FIND(" ",TRIM(C520)&amp;" ")-1),",","."),"."),LEFT(SUBSTITUTE(LEFT(TRIM(C520),FIND(" ",TRIM(C520)&amp;" ")-1),",","."),FIND("/",SUBSTITUTE(LEFT(TRIM(C520),FIND(" ",TRIM(C520)&amp;" ")-1),",","."))-1)/MID(SUBSTITUTE(LEFT(TRIM(C520),FIND(" ",TRIM(C520)&amp;" ")-1),",","."),FIND("/",SUBSTITUTE(LEFT(TRIM(C520),FIND(" ",TRIM(C520)&amp;" ")-1),",","."))+1,9)),IF(ISNUMBER(SEARCH("yea",C520)),IFERROR(_xlfn.NUMBERVALUE(SUBSTITUTE(LEFT(TRIM(C520),FIND(" ",TRIM(C520)&amp;" ")-1),",","."),"."),LEFT(SUBSTITUTE(LEFT(TRIM(C520),FIND(" ",TRIM(C520)&amp;" ")-1),",","."),FIND("/",SUBSTITUTE(LEFT(TRIM(C520),FIND(" ",TRIM(C520)&amp;" ")-1),",","."))-1)/MID(SUBSTITUTE(LEFT(TRIM(C520),FIND(" ",TRIM(C520)&amp;" ")-1),",","."),FIND("/",SUBSTITUTE(LEFT(TRIM(C520),FIND(" ",TRIM(C520)&amp;" ")-1),",","."))+1,9))*12,NA()))),0),12)*'Aturan &amp; Tarif'!$B$4,2)</f>
        <v>681.36</v>
      </c>
      <c r="K520" s="42" t="n">
        <f aca="false">'Aturan &amp; Tarif'!$B$5</f>
        <v>2050</v>
      </c>
      <c r="L520" s="35" t="n">
        <f aca="false">I520+J520+K520</f>
        <v>20731.36</v>
      </c>
      <c r="M520" s="44" t="s">
        <v>1118</v>
      </c>
    </row>
    <row r="521" customFormat="false" ht="60" hidden="false" customHeight="true" outlineLevel="0" collapsed="false">
      <c r="A521" s="39"/>
      <c r="B521" s="40" t="s">
        <v>349</v>
      </c>
      <c r="C521" s="41" t="s">
        <v>107</v>
      </c>
      <c r="D521" s="41" t="s">
        <v>108</v>
      </c>
      <c r="E521" s="42" t="n">
        <v>9000</v>
      </c>
      <c r="F521" s="42"/>
      <c r="G521" s="42"/>
      <c r="H521" s="43" t="n">
        <v>2</v>
      </c>
      <c r="I521" s="34" t="n">
        <f aca="false">E521*H521+N(F521)+N(G521)</f>
        <v>18000</v>
      </c>
      <c r="J521" s="42" t="n">
        <f aca="false">ROUND(IFERROR(ROUND(IF(OR(ISNUMBER(SEARCH("week",C521)),ISNUMBER(SEARCH("minggu",C521))),IFERROR(_xlfn.NUMBERVALUE(SUBSTITUTE(LEFT(TRIM(C521),FIND(" ",TRIM(C521)&amp;" ")-1),",","."),"."),LEFT(SUBSTITUTE(LEFT(TRIM(C521),FIND(" ",TRIM(C521)&amp;" ")-1),",","."),FIND("/",SUBSTITUTE(LEFT(TRIM(C521),FIND(" ",TRIM(C521)&amp;" ")-1),",","."))-1)/MID(SUBSTITUTE(LEFT(TRIM(C521),FIND(" ",TRIM(C521)&amp;" ")-1),",","."),FIND("/",SUBSTITUTE(LEFT(TRIM(C521),FIND(" ",TRIM(C521)&amp;" ")-1),",","."))+1,9))*12/52,IF(ISNUMBER(SEARCH("month",C521)),IFERROR(_xlfn.NUMBERVALUE(SUBSTITUTE(LEFT(TRIM(C521),FIND(" ",TRIM(C521)&amp;" ")-1),",","."),"."),LEFT(SUBSTITUTE(LEFT(TRIM(C521),FIND(" ",TRIM(C521)&amp;" ")-1),",","."),FIND("/",SUBSTITUTE(LEFT(TRIM(C521),FIND(" ",TRIM(C521)&amp;" ")-1),",","."))-1)/MID(SUBSTITUTE(LEFT(TRIM(C521),FIND(" ",TRIM(C521)&amp;" ")-1),",","."),FIND("/",SUBSTITUTE(LEFT(TRIM(C521),FIND(" ",TRIM(C521)&amp;" ")-1),",","."))+1,9)),IF(ISNUMBER(SEARCH("yea",C521)),IFERROR(_xlfn.NUMBERVALUE(SUBSTITUTE(LEFT(TRIM(C521),FIND(" ",TRIM(C521)&amp;" ")-1),",","."),"."),LEFT(SUBSTITUTE(LEFT(TRIM(C521),FIND(" ",TRIM(C521)&amp;" ")-1),",","."),FIND("/",SUBSTITUTE(LEFT(TRIM(C521),FIND(" ",TRIM(C521)&amp;" ")-1),",","."))-1)/MID(SUBSTITUTE(LEFT(TRIM(C521),FIND(" ",TRIM(C521)&amp;" ")-1),",","."),FIND("/",SUBSTITUTE(LEFT(TRIM(C521),FIND(" ",TRIM(C521)&amp;" ")-1),",","."))+1,9))*12,NA()))),0),24)*'Aturan &amp; Tarif'!$B$4,2)</f>
        <v>1362.72</v>
      </c>
      <c r="K521" s="42" t="n">
        <f aca="false">'Aturan &amp; Tarif'!$B$5</f>
        <v>2050</v>
      </c>
      <c r="L521" s="35" t="n">
        <f aca="false">I521+J521+K521</f>
        <v>21412.72</v>
      </c>
      <c r="M521" s="44" t="s">
        <v>1119</v>
      </c>
    </row>
    <row r="522" customFormat="false" ht="60" hidden="false" customHeight="true" outlineLevel="0" collapsed="false">
      <c r="A522" s="39"/>
      <c r="B522" s="40" t="s">
        <v>1120</v>
      </c>
      <c r="C522" s="41" t="s">
        <v>107</v>
      </c>
      <c r="D522" s="41" t="s">
        <v>108</v>
      </c>
      <c r="E522" s="42" t="n">
        <v>9000</v>
      </c>
      <c r="F522" s="42"/>
      <c r="G522" s="42"/>
      <c r="H522" s="43" t="n">
        <v>2</v>
      </c>
      <c r="I522" s="34" t="n">
        <f aca="false">E522*H522+N(F522)+N(G522)</f>
        <v>18000</v>
      </c>
      <c r="J522" s="42" t="n">
        <f aca="false">ROUND(IFERROR(ROUND(IF(OR(ISNUMBER(SEARCH("week",C522)),ISNUMBER(SEARCH("minggu",C522))),IFERROR(_xlfn.NUMBERVALUE(SUBSTITUTE(LEFT(TRIM(C522),FIND(" ",TRIM(C522)&amp;" ")-1),",","."),"."),LEFT(SUBSTITUTE(LEFT(TRIM(C522),FIND(" ",TRIM(C522)&amp;" ")-1),",","."),FIND("/",SUBSTITUTE(LEFT(TRIM(C522),FIND(" ",TRIM(C522)&amp;" ")-1),",","."))-1)/MID(SUBSTITUTE(LEFT(TRIM(C522),FIND(" ",TRIM(C522)&amp;" ")-1),",","."),FIND("/",SUBSTITUTE(LEFT(TRIM(C522),FIND(" ",TRIM(C522)&amp;" ")-1),",","."))+1,9))*12/52,IF(ISNUMBER(SEARCH("month",C522)),IFERROR(_xlfn.NUMBERVALUE(SUBSTITUTE(LEFT(TRIM(C522),FIND(" ",TRIM(C522)&amp;" ")-1),",","."),"."),LEFT(SUBSTITUTE(LEFT(TRIM(C522),FIND(" ",TRIM(C522)&amp;" ")-1),",","."),FIND("/",SUBSTITUTE(LEFT(TRIM(C522),FIND(" ",TRIM(C522)&amp;" ")-1),",","."))-1)/MID(SUBSTITUTE(LEFT(TRIM(C522),FIND(" ",TRIM(C522)&amp;" ")-1),",","."),FIND("/",SUBSTITUTE(LEFT(TRIM(C522),FIND(" ",TRIM(C522)&amp;" ")-1),",","."))+1,9)),IF(ISNUMBER(SEARCH("yea",C522)),IFERROR(_xlfn.NUMBERVALUE(SUBSTITUTE(LEFT(TRIM(C522),FIND(" ",TRIM(C522)&amp;" ")-1),",","."),"."),LEFT(SUBSTITUTE(LEFT(TRIM(C522),FIND(" ",TRIM(C522)&amp;" ")-1),",","."),FIND("/",SUBSTITUTE(LEFT(TRIM(C522),FIND(" ",TRIM(C522)&amp;" ")-1),",","."))-1)/MID(SUBSTITUTE(LEFT(TRIM(C522),FIND(" ",TRIM(C522)&amp;" ")-1),",","."),FIND("/",SUBSTITUTE(LEFT(TRIM(C522),FIND(" ",TRIM(C522)&amp;" ")-1),",","."))+1,9))*12,NA()))),0),24)*'Aturan &amp; Tarif'!$B$4,2)</f>
        <v>1362.72</v>
      </c>
      <c r="K522" s="42" t="n">
        <f aca="false">'Aturan &amp; Tarif'!$B$5</f>
        <v>2050</v>
      </c>
      <c r="L522" s="35" t="n">
        <f aca="false">I522+J522+K522</f>
        <v>21412.72</v>
      </c>
      <c r="M522" s="44" t="s">
        <v>1121</v>
      </c>
    </row>
    <row r="523" customFormat="false" ht="60" hidden="false" customHeight="true" outlineLevel="0" collapsed="false">
      <c r="A523" s="39"/>
      <c r="B523" s="40" t="s">
        <v>2488</v>
      </c>
      <c r="C523" s="41" t="s">
        <v>107</v>
      </c>
      <c r="D523" s="41" t="s">
        <v>108</v>
      </c>
      <c r="E523" s="42" t="n">
        <v>9950</v>
      </c>
      <c r="F523" s="42"/>
      <c r="G523" s="42"/>
      <c r="H523" s="43" t="n">
        <v>2</v>
      </c>
      <c r="I523" s="34" t="n">
        <f aca="false">E523*H523+N(F523)+N(G523)</f>
        <v>19900</v>
      </c>
      <c r="J523" s="42" t="n">
        <f aca="false">ROUND(IFERROR(ROUND(IF(OR(ISNUMBER(SEARCH("week",C523)),ISNUMBER(SEARCH("minggu",C523))),IFERROR(_xlfn.NUMBERVALUE(SUBSTITUTE(LEFT(TRIM(C523),FIND(" ",TRIM(C523)&amp;" ")-1),",","."),"."),LEFT(SUBSTITUTE(LEFT(TRIM(C523),FIND(" ",TRIM(C523)&amp;" ")-1),",","."),FIND("/",SUBSTITUTE(LEFT(TRIM(C523),FIND(" ",TRIM(C523)&amp;" ")-1),",","."))-1)/MID(SUBSTITUTE(LEFT(TRIM(C523),FIND(" ",TRIM(C523)&amp;" ")-1),",","."),FIND("/",SUBSTITUTE(LEFT(TRIM(C523),FIND(" ",TRIM(C523)&amp;" ")-1),",","."))+1,9))*12/52,IF(ISNUMBER(SEARCH("month",C523)),IFERROR(_xlfn.NUMBERVALUE(SUBSTITUTE(LEFT(TRIM(C523),FIND(" ",TRIM(C523)&amp;" ")-1),",","."),"."),LEFT(SUBSTITUTE(LEFT(TRIM(C523),FIND(" ",TRIM(C523)&amp;" ")-1),",","."),FIND("/",SUBSTITUTE(LEFT(TRIM(C523),FIND(" ",TRIM(C523)&amp;" ")-1),",","."))-1)/MID(SUBSTITUTE(LEFT(TRIM(C523),FIND(" ",TRIM(C523)&amp;" ")-1),",","."),FIND("/",SUBSTITUTE(LEFT(TRIM(C523),FIND(" ",TRIM(C523)&amp;" ")-1),",","."))+1,9)),IF(ISNUMBER(SEARCH("yea",C523)),IFERROR(_xlfn.NUMBERVALUE(SUBSTITUTE(LEFT(TRIM(C523),FIND(" ",TRIM(C523)&amp;" ")-1),",","."),"."),LEFT(SUBSTITUTE(LEFT(TRIM(C523),FIND(" ",TRIM(C523)&amp;" ")-1),",","."),FIND("/",SUBSTITUTE(LEFT(TRIM(C523),FIND(" ",TRIM(C523)&amp;" ")-1),",","."))-1)/MID(SUBSTITUTE(LEFT(TRIM(C523),FIND(" ",TRIM(C523)&amp;" ")-1),",","."),FIND("/",SUBSTITUTE(LEFT(TRIM(C523),FIND(" ",TRIM(C523)&amp;" ")-1),",","."))+1,9))*12,NA()))),0),24)*'Aturan &amp; Tarif'!$B$4,2)</f>
        <v>1362.72</v>
      </c>
      <c r="K523" s="42" t="n">
        <f aca="false">'Aturan &amp; Tarif'!$B$5</f>
        <v>2050</v>
      </c>
      <c r="L523" s="35" t="n">
        <f aca="false">I523+J523+K523</f>
        <v>23312.72</v>
      </c>
      <c r="M523" s="44" t="s">
        <v>1036</v>
      </c>
    </row>
    <row r="524" customFormat="false" ht="60" hidden="false" customHeight="true" outlineLevel="0" collapsed="false">
      <c r="A524" s="39"/>
      <c r="B524" s="40" t="s">
        <v>2489</v>
      </c>
      <c r="C524" s="41" t="s">
        <v>344</v>
      </c>
      <c r="D524" s="41" t="s">
        <v>108</v>
      </c>
      <c r="E524" s="42" t="n">
        <v>3513</v>
      </c>
      <c r="F524" s="42"/>
      <c r="G524" s="42"/>
      <c r="H524" s="43" t="n">
        <v>2</v>
      </c>
      <c r="I524" s="34" t="n">
        <f aca="false">E524*H524+N(F524)+N(G524)</f>
        <v>7026</v>
      </c>
      <c r="J524" s="42" t="n">
        <f aca="false">ROUND(IFERROR(ROUND(IF(OR(ISNUMBER(SEARCH("week",C524)),ISNUMBER(SEARCH("minggu",C524))),IFERROR(_xlfn.NUMBERVALUE(SUBSTITUTE(LEFT(TRIM(C524),FIND(" ",TRIM(C524)&amp;" ")-1),",","."),"."),LEFT(SUBSTITUTE(LEFT(TRIM(C524),FIND(" ",TRIM(C524)&amp;" ")-1),",","."),FIND("/",SUBSTITUTE(LEFT(TRIM(C524),FIND(" ",TRIM(C524)&amp;" ")-1),",","."))-1)/MID(SUBSTITUTE(LEFT(TRIM(C524),FIND(" ",TRIM(C524)&amp;" ")-1),",","."),FIND("/",SUBSTITUTE(LEFT(TRIM(C524),FIND(" ",TRIM(C524)&amp;" ")-1),",","."))+1,9))*12/52,IF(ISNUMBER(SEARCH("month",C524)),IFERROR(_xlfn.NUMBERVALUE(SUBSTITUTE(LEFT(TRIM(C524),FIND(" ",TRIM(C524)&amp;" ")-1),",","."),"."),LEFT(SUBSTITUTE(LEFT(TRIM(C524),FIND(" ",TRIM(C524)&amp;" ")-1),",","."),FIND("/",SUBSTITUTE(LEFT(TRIM(C524),FIND(" ",TRIM(C524)&amp;" ")-1),",","."))-1)/MID(SUBSTITUTE(LEFT(TRIM(C524),FIND(" ",TRIM(C524)&amp;" ")-1),",","."),FIND("/",SUBSTITUTE(LEFT(TRIM(C524),FIND(" ",TRIM(C524)&amp;" ")-1),",","."))+1,9)),IF(ISNUMBER(SEARCH("yea",C524)),IFERROR(_xlfn.NUMBERVALUE(SUBSTITUTE(LEFT(TRIM(C524),FIND(" ",TRIM(C524)&amp;" ")-1),",","."),"."),LEFT(SUBSTITUTE(LEFT(TRIM(C524),FIND(" ",TRIM(C524)&amp;" ")-1),",","."),FIND("/",SUBSTITUTE(LEFT(TRIM(C524),FIND(" ",TRIM(C524)&amp;" ")-1),",","."))-1)/MID(SUBSTITUTE(LEFT(TRIM(C524),FIND(" ",TRIM(C524)&amp;" ")-1),",","."),FIND("/",SUBSTITUTE(LEFT(TRIM(C524),FIND(" ",TRIM(C524)&amp;" ")-1),",","."))+1,9))*12,NA()))),0),6)*'Aturan &amp; Tarif'!$B$4,2)</f>
        <v>340.68</v>
      </c>
      <c r="K524" s="42" t="n">
        <f aca="false">'Aturan &amp; Tarif'!$B$5</f>
        <v>2050</v>
      </c>
      <c r="L524" s="35" t="n">
        <f aca="false">I524+J524+K524</f>
        <v>9416.68</v>
      </c>
      <c r="M524" s="44" t="s">
        <v>2490</v>
      </c>
    </row>
    <row r="525" customFormat="false" ht="60" hidden="false" customHeight="true" outlineLevel="0" collapsed="false">
      <c r="A525" s="39"/>
      <c r="B525" s="40" t="s">
        <v>2491</v>
      </c>
      <c r="C525" s="41" t="s">
        <v>130</v>
      </c>
      <c r="D525" s="41" t="s">
        <v>108</v>
      </c>
      <c r="E525" s="42" t="n">
        <v>7025</v>
      </c>
      <c r="F525" s="42"/>
      <c r="G525" s="42"/>
      <c r="H525" s="43" t="n">
        <v>2</v>
      </c>
      <c r="I525" s="34" t="n">
        <f aca="false">E525*H525+N(F525)+N(G525)</f>
        <v>14050</v>
      </c>
      <c r="J525" s="42" t="n">
        <f aca="false">ROUND(IFERROR(ROUND(IF(OR(ISNUMBER(SEARCH("week",C525)),ISNUMBER(SEARCH("minggu",C525))),IFERROR(_xlfn.NUMBERVALUE(SUBSTITUTE(LEFT(TRIM(C525),FIND(" ",TRIM(C525)&amp;" ")-1),",","."),"."),LEFT(SUBSTITUTE(LEFT(TRIM(C525),FIND(" ",TRIM(C525)&amp;" ")-1),",","."),FIND("/",SUBSTITUTE(LEFT(TRIM(C525),FIND(" ",TRIM(C525)&amp;" ")-1),",","."))-1)/MID(SUBSTITUTE(LEFT(TRIM(C525),FIND(" ",TRIM(C525)&amp;" ")-1),",","."),FIND("/",SUBSTITUTE(LEFT(TRIM(C525),FIND(" ",TRIM(C525)&amp;" ")-1),",","."))+1,9))*12/52,IF(ISNUMBER(SEARCH("month",C525)),IFERROR(_xlfn.NUMBERVALUE(SUBSTITUTE(LEFT(TRIM(C525),FIND(" ",TRIM(C525)&amp;" ")-1),",","."),"."),LEFT(SUBSTITUTE(LEFT(TRIM(C525),FIND(" ",TRIM(C525)&amp;" ")-1),",","."),FIND("/",SUBSTITUTE(LEFT(TRIM(C525),FIND(" ",TRIM(C525)&amp;" ")-1),",","."))-1)/MID(SUBSTITUTE(LEFT(TRIM(C525),FIND(" ",TRIM(C525)&amp;" ")-1),",","."),FIND("/",SUBSTITUTE(LEFT(TRIM(C525),FIND(" ",TRIM(C525)&amp;" ")-1),",","."))+1,9)),IF(ISNUMBER(SEARCH("yea",C525)),IFERROR(_xlfn.NUMBERVALUE(SUBSTITUTE(LEFT(TRIM(C525),FIND(" ",TRIM(C525)&amp;" ")-1),",","."),"."),LEFT(SUBSTITUTE(LEFT(TRIM(C525),FIND(" ",TRIM(C525)&amp;" ")-1),",","."),FIND("/",SUBSTITUTE(LEFT(TRIM(C525),FIND(" ",TRIM(C525)&amp;" ")-1),",","."))-1)/MID(SUBSTITUTE(LEFT(TRIM(C525),FIND(" ",TRIM(C525)&amp;" ")-1),",","."),FIND("/",SUBSTITUTE(LEFT(TRIM(C525),FIND(" ",TRIM(C525)&amp;" ")-1),",","."))+1,9))*12,NA()))),0),12)*'Aturan &amp; Tarif'!$B$4,2)</f>
        <v>681.36</v>
      </c>
      <c r="K525" s="42" t="n">
        <f aca="false">'Aturan &amp; Tarif'!$B$5</f>
        <v>2050</v>
      </c>
      <c r="L525" s="35" t="n">
        <f aca="false">I525+J525+K525</f>
        <v>16781.36</v>
      </c>
      <c r="M525" s="44" t="s">
        <v>2492</v>
      </c>
    </row>
    <row r="526" customFormat="false" ht="60" hidden="false" customHeight="true" outlineLevel="0" collapsed="false">
      <c r="A526" s="39"/>
      <c r="B526" s="40" t="s">
        <v>2493</v>
      </c>
      <c r="C526" s="41" t="s">
        <v>113</v>
      </c>
      <c r="D526" s="41" t="s">
        <v>108</v>
      </c>
      <c r="E526" s="42" t="n">
        <v>7025</v>
      </c>
      <c r="F526" s="42"/>
      <c r="G526" s="42"/>
      <c r="H526" s="43" t="n">
        <v>2</v>
      </c>
      <c r="I526" s="34" t="n">
        <f aca="false">E526*H526+N(F526)+N(G526)</f>
        <v>14050</v>
      </c>
      <c r="J526" s="42" t="n">
        <f aca="false">ROUND(IFERROR(ROUND(IF(OR(ISNUMBER(SEARCH("week",C526)),ISNUMBER(SEARCH("minggu",C526))),IFERROR(_xlfn.NUMBERVALUE(SUBSTITUTE(LEFT(TRIM(C526),FIND(" ",TRIM(C526)&amp;" ")-1),",","."),"."),LEFT(SUBSTITUTE(LEFT(TRIM(C526),FIND(" ",TRIM(C526)&amp;" ")-1),",","."),FIND("/",SUBSTITUTE(LEFT(TRIM(C526),FIND(" ",TRIM(C526)&amp;" ")-1),",","."))-1)/MID(SUBSTITUTE(LEFT(TRIM(C526),FIND(" ",TRIM(C526)&amp;" ")-1),",","."),FIND("/",SUBSTITUTE(LEFT(TRIM(C526),FIND(" ",TRIM(C526)&amp;" ")-1),",","."))+1,9))*12/52,IF(ISNUMBER(SEARCH("month",C526)),IFERROR(_xlfn.NUMBERVALUE(SUBSTITUTE(LEFT(TRIM(C526),FIND(" ",TRIM(C526)&amp;" ")-1),",","."),"."),LEFT(SUBSTITUTE(LEFT(TRIM(C526),FIND(" ",TRIM(C526)&amp;" ")-1),",","."),FIND("/",SUBSTITUTE(LEFT(TRIM(C526),FIND(" ",TRIM(C526)&amp;" ")-1),",","."))-1)/MID(SUBSTITUTE(LEFT(TRIM(C526),FIND(" ",TRIM(C526)&amp;" ")-1),",","."),FIND("/",SUBSTITUTE(LEFT(TRIM(C526),FIND(" ",TRIM(C526)&amp;" ")-1),",","."))+1,9)),IF(ISNUMBER(SEARCH("yea",C526)),IFERROR(_xlfn.NUMBERVALUE(SUBSTITUTE(LEFT(TRIM(C526),FIND(" ",TRIM(C526)&amp;" ")-1),",","."),"."),LEFT(SUBSTITUTE(LEFT(TRIM(C526),FIND(" ",TRIM(C526)&amp;" ")-1),",","."),FIND("/",SUBSTITUTE(LEFT(TRIM(C526),FIND(" ",TRIM(C526)&amp;" ")-1),",","."))-1)/MID(SUBSTITUTE(LEFT(TRIM(C526),FIND(" ",TRIM(C526)&amp;" ")-1),",","."),FIND("/",SUBSTITUTE(LEFT(TRIM(C526),FIND(" ",TRIM(C526)&amp;" ")-1),",","."))+1,9))*12,NA()))),0),18)*'Aturan &amp; Tarif'!$B$4,2)</f>
        <v>1022.04</v>
      </c>
      <c r="K526" s="42" t="n">
        <f aca="false">'Aturan &amp; Tarif'!$B$5</f>
        <v>2050</v>
      </c>
      <c r="L526" s="35" t="n">
        <f aca="false">I526+J526+K526</f>
        <v>17122.04</v>
      </c>
      <c r="M526" s="44" t="s">
        <v>2494</v>
      </c>
    </row>
    <row r="527" customFormat="false" ht="60" hidden="false" customHeight="true" outlineLevel="0" collapsed="false">
      <c r="A527" s="39"/>
      <c r="B527" s="40" t="s">
        <v>2495</v>
      </c>
      <c r="C527" s="41" t="s">
        <v>107</v>
      </c>
      <c r="D527" s="41" t="s">
        <v>108</v>
      </c>
      <c r="E527" s="42" t="n">
        <v>7025</v>
      </c>
      <c r="F527" s="42"/>
      <c r="G527" s="42"/>
      <c r="H527" s="43" t="n">
        <v>2</v>
      </c>
      <c r="I527" s="34" t="n">
        <f aca="false">E527*H527+N(F527)+N(G527)</f>
        <v>14050</v>
      </c>
      <c r="J527" s="42" t="n">
        <f aca="false">ROUND(IFERROR(ROUND(IF(OR(ISNUMBER(SEARCH("week",C527)),ISNUMBER(SEARCH("minggu",C527))),IFERROR(_xlfn.NUMBERVALUE(SUBSTITUTE(LEFT(TRIM(C527),FIND(" ",TRIM(C527)&amp;" ")-1),",","."),"."),LEFT(SUBSTITUTE(LEFT(TRIM(C527),FIND(" ",TRIM(C527)&amp;" ")-1),",","."),FIND("/",SUBSTITUTE(LEFT(TRIM(C527),FIND(" ",TRIM(C527)&amp;" ")-1),",","."))-1)/MID(SUBSTITUTE(LEFT(TRIM(C527),FIND(" ",TRIM(C527)&amp;" ")-1),",","."),FIND("/",SUBSTITUTE(LEFT(TRIM(C527),FIND(" ",TRIM(C527)&amp;" ")-1),",","."))+1,9))*12/52,IF(ISNUMBER(SEARCH("month",C527)),IFERROR(_xlfn.NUMBERVALUE(SUBSTITUTE(LEFT(TRIM(C527),FIND(" ",TRIM(C527)&amp;" ")-1),",","."),"."),LEFT(SUBSTITUTE(LEFT(TRIM(C527),FIND(" ",TRIM(C527)&amp;" ")-1),",","."),FIND("/",SUBSTITUTE(LEFT(TRIM(C527),FIND(" ",TRIM(C527)&amp;" ")-1),",","."))-1)/MID(SUBSTITUTE(LEFT(TRIM(C527),FIND(" ",TRIM(C527)&amp;" ")-1),",","."),FIND("/",SUBSTITUTE(LEFT(TRIM(C527),FIND(" ",TRIM(C527)&amp;" ")-1),",","."))+1,9)),IF(ISNUMBER(SEARCH("yea",C527)),IFERROR(_xlfn.NUMBERVALUE(SUBSTITUTE(LEFT(TRIM(C527),FIND(" ",TRIM(C527)&amp;" ")-1),",","."),"."),LEFT(SUBSTITUTE(LEFT(TRIM(C527),FIND(" ",TRIM(C527)&amp;" ")-1),",","."),FIND("/",SUBSTITUTE(LEFT(TRIM(C527),FIND(" ",TRIM(C527)&amp;" ")-1),",","."))-1)/MID(SUBSTITUTE(LEFT(TRIM(C527),FIND(" ",TRIM(C527)&amp;" ")-1),",","."),FIND("/",SUBSTITUTE(LEFT(TRIM(C527),FIND(" ",TRIM(C527)&amp;" ")-1),",","."))+1,9))*12,NA()))),0),24)*'Aturan &amp; Tarif'!$B$4,2)</f>
        <v>1362.72</v>
      </c>
      <c r="K527" s="42" t="n">
        <f aca="false">'Aturan &amp; Tarif'!$B$5</f>
        <v>2050</v>
      </c>
      <c r="L527" s="35" t="n">
        <f aca="false">I527+J527+K527</f>
        <v>17462.72</v>
      </c>
      <c r="M527" s="44" t="s">
        <v>2496</v>
      </c>
    </row>
    <row r="528" customFormat="false" ht="60" hidden="false" customHeight="true" outlineLevel="0" collapsed="false">
      <c r="A528" s="39"/>
      <c r="B528" s="40" t="s">
        <v>2497</v>
      </c>
      <c r="C528" s="41" t="s">
        <v>130</v>
      </c>
      <c r="D528" s="41" t="s">
        <v>108</v>
      </c>
      <c r="E528" s="42" t="n">
        <v>7025</v>
      </c>
      <c r="F528" s="42"/>
      <c r="G528" s="42"/>
      <c r="H528" s="43" t="n">
        <v>2</v>
      </c>
      <c r="I528" s="34" t="n">
        <f aca="false">E528*H528+N(F528)+N(G528)</f>
        <v>14050</v>
      </c>
      <c r="J528" s="42" t="n">
        <f aca="false">ROUND(IFERROR(ROUND(IF(OR(ISNUMBER(SEARCH("week",C528)),ISNUMBER(SEARCH("minggu",C528))),IFERROR(_xlfn.NUMBERVALUE(SUBSTITUTE(LEFT(TRIM(C528),FIND(" ",TRIM(C528)&amp;" ")-1),",","."),"."),LEFT(SUBSTITUTE(LEFT(TRIM(C528),FIND(" ",TRIM(C528)&amp;" ")-1),",","."),FIND("/",SUBSTITUTE(LEFT(TRIM(C528),FIND(" ",TRIM(C528)&amp;" ")-1),",","."))-1)/MID(SUBSTITUTE(LEFT(TRIM(C528),FIND(" ",TRIM(C528)&amp;" ")-1),",","."),FIND("/",SUBSTITUTE(LEFT(TRIM(C528),FIND(" ",TRIM(C528)&amp;" ")-1),",","."))+1,9))*12/52,IF(ISNUMBER(SEARCH("month",C528)),IFERROR(_xlfn.NUMBERVALUE(SUBSTITUTE(LEFT(TRIM(C528),FIND(" ",TRIM(C528)&amp;" ")-1),",","."),"."),LEFT(SUBSTITUTE(LEFT(TRIM(C528),FIND(" ",TRIM(C528)&amp;" ")-1),",","."),FIND("/",SUBSTITUTE(LEFT(TRIM(C528),FIND(" ",TRIM(C528)&amp;" ")-1),",","."))-1)/MID(SUBSTITUTE(LEFT(TRIM(C528),FIND(" ",TRIM(C528)&amp;" ")-1),",","."),FIND("/",SUBSTITUTE(LEFT(TRIM(C528),FIND(" ",TRIM(C528)&amp;" ")-1),",","."))+1,9)),IF(ISNUMBER(SEARCH("yea",C528)),IFERROR(_xlfn.NUMBERVALUE(SUBSTITUTE(LEFT(TRIM(C528),FIND(" ",TRIM(C528)&amp;" ")-1),",","."),"."),LEFT(SUBSTITUTE(LEFT(TRIM(C528),FIND(" ",TRIM(C528)&amp;" ")-1),",","."),FIND("/",SUBSTITUTE(LEFT(TRIM(C528),FIND(" ",TRIM(C528)&amp;" ")-1),",","."))-1)/MID(SUBSTITUTE(LEFT(TRIM(C528),FIND(" ",TRIM(C528)&amp;" ")-1),",","."),FIND("/",SUBSTITUTE(LEFT(TRIM(C528),FIND(" ",TRIM(C528)&amp;" ")-1),",","."))+1,9))*12,NA()))),0),12)*'Aturan &amp; Tarif'!$B$4,2)</f>
        <v>681.36</v>
      </c>
      <c r="K528" s="42" t="n">
        <f aca="false">'Aturan &amp; Tarif'!$B$5</f>
        <v>2050</v>
      </c>
      <c r="L528" s="35" t="n">
        <f aca="false">I528+J528+K528</f>
        <v>16781.36</v>
      </c>
      <c r="M528" s="44" t="s">
        <v>2498</v>
      </c>
    </row>
    <row r="529" customFormat="false" ht="60" hidden="false" customHeight="true" outlineLevel="0" collapsed="false">
      <c r="A529" s="39"/>
      <c r="B529" s="40" t="s">
        <v>2499</v>
      </c>
      <c r="C529" s="41" t="s">
        <v>113</v>
      </c>
      <c r="D529" s="41" t="s">
        <v>108</v>
      </c>
      <c r="E529" s="42" t="n">
        <v>7025</v>
      </c>
      <c r="F529" s="42"/>
      <c r="G529" s="42"/>
      <c r="H529" s="43" t="n">
        <v>2</v>
      </c>
      <c r="I529" s="34" t="n">
        <f aca="false">E529*H529+N(F529)+N(G529)</f>
        <v>14050</v>
      </c>
      <c r="J529" s="42" t="n">
        <f aca="false">ROUND(IFERROR(ROUND(IF(OR(ISNUMBER(SEARCH("week",C529)),ISNUMBER(SEARCH("minggu",C529))),IFERROR(_xlfn.NUMBERVALUE(SUBSTITUTE(LEFT(TRIM(C529),FIND(" ",TRIM(C529)&amp;" ")-1),",","."),"."),LEFT(SUBSTITUTE(LEFT(TRIM(C529),FIND(" ",TRIM(C529)&amp;" ")-1),",","."),FIND("/",SUBSTITUTE(LEFT(TRIM(C529),FIND(" ",TRIM(C529)&amp;" ")-1),",","."))-1)/MID(SUBSTITUTE(LEFT(TRIM(C529),FIND(" ",TRIM(C529)&amp;" ")-1),",","."),FIND("/",SUBSTITUTE(LEFT(TRIM(C529),FIND(" ",TRIM(C529)&amp;" ")-1),",","."))+1,9))*12/52,IF(ISNUMBER(SEARCH("month",C529)),IFERROR(_xlfn.NUMBERVALUE(SUBSTITUTE(LEFT(TRIM(C529),FIND(" ",TRIM(C529)&amp;" ")-1),",","."),"."),LEFT(SUBSTITUTE(LEFT(TRIM(C529),FIND(" ",TRIM(C529)&amp;" ")-1),",","."),FIND("/",SUBSTITUTE(LEFT(TRIM(C529),FIND(" ",TRIM(C529)&amp;" ")-1),",","."))-1)/MID(SUBSTITUTE(LEFT(TRIM(C529),FIND(" ",TRIM(C529)&amp;" ")-1),",","."),FIND("/",SUBSTITUTE(LEFT(TRIM(C529),FIND(" ",TRIM(C529)&amp;" ")-1),",","."))+1,9)),IF(ISNUMBER(SEARCH("yea",C529)),IFERROR(_xlfn.NUMBERVALUE(SUBSTITUTE(LEFT(TRIM(C529),FIND(" ",TRIM(C529)&amp;" ")-1),",","."),"."),LEFT(SUBSTITUTE(LEFT(TRIM(C529),FIND(" ",TRIM(C529)&amp;" ")-1),",","."),FIND("/",SUBSTITUTE(LEFT(TRIM(C529),FIND(" ",TRIM(C529)&amp;" ")-1),",","."))-1)/MID(SUBSTITUTE(LEFT(TRIM(C529),FIND(" ",TRIM(C529)&amp;" ")-1),",","."),FIND("/",SUBSTITUTE(LEFT(TRIM(C529),FIND(" ",TRIM(C529)&amp;" ")-1),",","."))+1,9))*12,NA()))),0),18)*'Aturan &amp; Tarif'!$B$4,2)</f>
        <v>1022.04</v>
      </c>
      <c r="K529" s="42" t="n">
        <f aca="false">'Aturan &amp; Tarif'!$B$5</f>
        <v>2050</v>
      </c>
      <c r="L529" s="35" t="n">
        <f aca="false">I529+J529+K529</f>
        <v>17122.04</v>
      </c>
      <c r="M529" s="44" t="s">
        <v>2500</v>
      </c>
    </row>
    <row r="530" customFormat="false" ht="60" hidden="false" customHeight="true" outlineLevel="0" collapsed="false">
      <c r="A530" s="39"/>
      <c r="B530" s="40" t="s">
        <v>2501</v>
      </c>
      <c r="C530" s="41" t="s">
        <v>107</v>
      </c>
      <c r="D530" s="41" t="s">
        <v>108</v>
      </c>
      <c r="E530" s="42" t="n">
        <v>7025</v>
      </c>
      <c r="F530" s="42"/>
      <c r="G530" s="42"/>
      <c r="H530" s="43" t="n">
        <v>2</v>
      </c>
      <c r="I530" s="34" t="n">
        <f aca="false">E530*H530+N(F530)+N(G530)</f>
        <v>14050</v>
      </c>
      <c r="J530" s="42" t="n">
        <f aca="false">ROUND(IFERROR(ROUND(IF(OR(ISNUMBER(SEARCH("week",C530)),ISNUMBER(SEARCH("minggu",C530))),IFERROR(_xlfn.NUMBERVALUE(SUBSTITUTE(LEFT(TRIM(C530),FIND(" ",TRIM(C530)&amp;" ")-1),",","."),"."),LEFT(SUBSTITUTE(LEFT(TRIM(C530),FIND(" ",TRIM(C530)&amp;" ")-1),",","."),FIND("/",SUBSTITUTE(LEFT(TRIM(C530),FIND(" ",TRIM(C530)&amp;" ")-1),",","."))-1)/MID(SUBSTITUTE(LEFT(TRIM(C530),FIND(" ",TRIM(C530)&amp;" ")-1),",","."),FIND("/",SUBSTITUTE(LEFT(TRIM(C530),FIND(" ",TRIM(C530)&amp;" ")-1),",","."))+1,9))*12/52,IF(ISNUMBER(SEARCH("month",C530)),IFERROR(_xlfn.NUMBERVALUE(SUBSTITUTE(LEFT(TRIM(C530),FIND(" ",TRIM(C530)&amp;" ")-1),",","."),"."),LEFT(SUBSTITUTE(LEFT(TRIM(C530),FIND(" ",TRIM(C530)&amp;" ")-1),",","."),FIND("/",SUBSTITUTE(LEFT(TRIM(C530),FIND(" ",TRIM(C530)&amp;" ")-1),",","."))-1)/MID(SUBSTITUTE(LEFT(TRIM(C530),FIND(" ",TRIM(C530)&amp;" ")-1),",","."),FIND("/",SUBSTITUTE(LEFT(TRIM(C530),FIND(" ",TRIM(C530)&amp;" ")-1),",","."))+1,9)),IF(ISNUMBER(SEARCH("yea",C530)),IFERROR(_xlfn.NUMBERVALUE(SUBSTITUTE(LEFT(TRIM(C530),FIND(" ",TRIM(C530)&amp;" ")-1),",","."),"."),LEFT(SUBSTITUTE(LEFT(TRIM(C530),FIND(" ",TRIM(C530)&amp;" ")-1),",","."),FIND("/",SUBSTITUTE(LEFT(TRIM(C530),FIND(" ",TRIM(C530)&amp;" ")-1),",","."))-1)/MID(SUBSTITUTE(LEFT(TRIM(C530),FIND(" ",TRIM(C530)&amp;" ")-1),",","."),FIND("/",SUBSTITUTE(LEFT(TRIM(C530),FIND(" ",TRIM(C530)&amp;" ")-1),",","."))+1,9))*12,NA()))),0),24)*'Aturan &amp; Tarif'!$B$4,2)</f>
        <v>1362.72</v>
      </c>
      <c r="K530" s="42" t="n">
        <f aca="false">'Aturan &amp; Tarif'!$B$5</f>
        <v>2050</v>
      </c>
      <c r="L530" s="35" t="n">
        <f aca="false">I530+J530+K530</f>
        <v>17462.72</v>
      </c>
      <c r="M530" s="44" t="s">
        <v>2502</v>
      </c>
    </row>
    <row r="531" customFormat="false" ht="60" hidden="false" customHeight="true" outlineLevel="0" collapsed="false">
      <c r="A531" s="39"/>
      <c r="B531" s="40" t="s">
        <v>2503</v>
      </c>
      <c r="C531" s="41" t="s">
        <v>130</v>
      </c>
      <c r="D531" s="41" t="s">
        <v>108</v>
      </c>
      <c r="E531" s="42" t="n">
        <v>7025</v>
      </c>
      <c r="F531" s="42"/>
      <c r="G531" s="42"/>
      <c r="H531" s="43" t="n">
        <v>2</v>
      </c>
      <c r="I531" s="34" t="n">
        <f aca="false">E531*H531+N(F531)+N(G531)</f>
        <v>14050</v>
      </c>
      <c r="J531" s="42" t="n">
        <f aca="false">ROUND(IFERROR(ROUND(IF(OR(ISNUMBER(SEARCH("week",C531)),ISNUMBER(SEARCH("minggu",C531))),IFERROR(_xlfn.NUMBERVALUE(SUBSTITUTE(LEFT(TRIM(C531),FIND(" ",TRIM(C531)&amp;" ")-1),",","."),"."),LEFT(SUBSTITUTE(LEFT(TRIM(C531),FIND(" ",TRIM(C531)&amp;" ")-1),",","."),FIND("/",SUBSTITUTE(LEFT(TRIM(C531),FIND(" ",TRIM(C531)&amp;" ")-1),",","."))-1)/MID(SUBSTITUTE(LEFT(TRIM(C531),FIND(" ",TRIM(C531)&amp;" ")-1),",","."),FIND("/",SUBSTITUTE(LEFT(TRIM(C531),FIND(" ",TRIM(C531)&amp;" ")-1),",","."))+1,9))*12/52,IF(ISNUMBER(SEARCH("month",C531)),IFERROR(_xlfn.NUMBERVALUE(SUBSTITUTE(LEFT(TRIM(C531),FIND(" ",TRIM(C531)&amp;" ")-1),",","."),"."),LEFT(SUBSTITUTE(LEFT(TRIM(C531),FIND(" ",TRIM(C531)&amp;" ")-1),",","."),FIND("/",SUBSTITUTE(LEFT(TRIM(C531),FIND(" ",TRIM(C531)&amp;" ")-1),",","."))-1)/MID(SUBSTITUTE(LEFT(TRIM(C531),FIND(" ",TRIM(C531)&amp;" ")-1),",","."),FIND("/",SUBSTITUTE(LEFT(TRIM(C531),FIND(" ",TRIM(C531)&amp;" ")-1),",","."))+1,9)),IF(ISNUMBER(SEARCH("yea",C531)),IFERROR(_xlfn.NUMBERVALUE(SUBSTITUTE(LEFT(TRIM(C531),FIND(" ",TRIM(C531)&amp;" ")-1),",","."),"."),LEFT(SUBSTITUTE(LEFT(TRIM(C531),FIND(" ",TRIM(C531)&amp;" ")-1),",","."),FIND("/",SUBSTITUTE(LEFT(TRIM(C531),FIND(" ",TRIM(C531)&amp;" ")-1),",","."))-1)/MID(SUBSTITUTE(LEFT(TRIM(C531),FIND(" ",TRIM(C531)&amp;" ")-1),",","."),FIND("/",SUBSTITUTE(LEFT(TRIM(C531),FIND(" ",TRIM(C531)&amp;" ")-1),",","."))+1,9))*12,NA()))),0),12)*'Aturan &amp; Tarif'!$B$4,2)</f>
        <v>681.36</v>
      </c>
      <c r="K531" s="42" t="n">
        <f aca="false">'Aturan &amp; Tarif'!$B$5</f>
        <v>2050</v>
      </c>
      <c r="L531" s="35" t="n">
        <f aca="false">I531+J531+K531</f>
        <v>16781.36</v>
      </c>
      <c r="M531" s="44" t="s">
        <v>2504</v>
      </c>
    </row>
    <row r="532" customFormat="false" ht="60" hidden="false" customHeight="true" outlineLevel="0" collapsed="false">
      <c r="A532" s="39"/>
      <c r="B532" s="40" t="s">
        <v>2505</v>
      </c>
      <c r="C532" s="41" t="s">
        <v>113</v>
      </c>
      <c r="D532" s="41" t="s">
        <v>108</v>
      </c>
      <c r="E532" s="42" t="n">
        <v>7025</v>
      </c>
      <c r="F532" s="42"/>
      <c r="G532" s="42"/>
      <c r="H532" s="43" t="n">
        <v>2</v>
      </c>
      <c r="I532" s="34" t="n">
        <f aca="false">E532*H532+N(F532)+N(G532)</f>
        <v>14050</v>
      </c>
      <c r="J532" s="42" t="n">
        <f aca="false">ROUND(IFERROR(ROUND(IF(OR(ISNUMBER(SEARCH("week",C532)),ISNUMBER(SEARCH("minggu",C532))),IFERROR(_xlfn.NUMBERVALUE(SUBSTITUTE(LEFT(TRIM(C532),FIND(" ",TRIM(C532)&amp;" ")-1),",","."),"."),LEFT(SUBSTITUTE(LEFT(TRIM(C532),FIND(" ",TRIM(C532)&amp;" ")-1),",","."),FIND("/",SUBSTITUTE(LEFT(TRIM(C532),FIND(" ",TRIM(C532)&amp;" ")-1),",","."))-1)/MID(SUBSTITUTE(LEFT(TRIM(C532),FIND(" ",TRIM(C532)&amp;" ")-1),",","."),FIND("/",SUBSTITUTE(LEFT(TRIM(C532),FIND(" ",TRIM(C532)&amp;" ")-1),",","."))+1,9))*12/52,IF(ISNUMBER(SEARCH("month",C532)),IFERROR(_xlfn.NUMBERVALUE(SUBSTITUTE(LEFT(TRIM(C532),FIND(" ",TRIM(C532)&amp;" ")-1),",","."),"."),LEFT(SUBSTITUTE(LEFT(TRIM(C532),FIND(" ",TRIM(C532)&amp;" ")-1),",","."),FIND("/",SUBSTITUTE(LEFT(TRIM(C532),FIND(" ",TRIM(C532)&amp;" ")-1),",","."))-1)/MID(SUBSTITUTE(LEFT(TRIM(C532),FIND(" ",TRIM(C532)&amp;" ")-1),",","."),FIND("/",SUBSTITUTE(LEFT(TRIM(C532),FIND(" ",TRIM(C532)&amp;" ")-1),",","."))+1,9)),IF(ISNUMBER(SEARCH("yea",C532)),IFERROR(_xlfn.NUMBERVALUE(SUBSTITUTE(LEFT(TRIM(C532),FIND(" ",TRIM(C532)&amp;" ")-1),",","."),"."),LEFT(SUBSTITUTE(LEFT(TRIM(C532),FIND(" ",TRIM(C532)&amp;" ")-1),",","."),FIND("/",SUBSTITUTE(LEFT(TRIM(C532),FIND(" ",TRIM(C532)&amp;" ")-1),",","."))-1)/MID(SUBSTITUTE(LEFT(TRIM(C532),FIND(" ",TRIM(C532)&amp;" ")-1),",","."),FIND("/",SUBSTITUTE(LEFT(TRIM(C532),FIND(" ",TRIM(C532)&amp;" ")-1),",","."))+1,9))*12,NA()))),0),18)*'Aturan &amp; Tarif'!$B$4,2)</f>
        <v>1022.04</v>
      </c>
      <c r="K532" s="42" t="n">
        <f aca="false">'Aturan &amp; Tarif'!$B$5</f>
        <v>2050</v>
      </c>
      <c r="L532" s="35" t="n">
        <f aca="false">I532+J532+K532</f>
        <v>17122.04</v>
      </c>
      <c r="M532" s="44" t="s">
        <v>2506</v>
      </c>
    </row>
    <row r="533" customFormat="false" ht="60" hidden="false" customHeight="true" outlineLevel="0" collapsed="false">
      <c r="A533" s="39"/>
      <c r="B533" s="40" t="s">
        <v>2507</v>
      </c>
      <c r="C533" s="41" t="s">
        <v>107</v>
      </c>
      <c r="D533" s="41" t="s">
        <v>108</v>
      </c>
      <c r="E533" s="42" t="n">
        <v>7025</v>
      </c>
      <c r="F533" s="42"/>
      <c r="G533" s="42"/>
      <c r="H533" s="43" t="n">
        <v>2</v>
      </c>
      <c r="I533" s="34" t="n">
        <f aca="false">E533*H533+N(F533)+N(G533)</f>
        <v>14050</v>
      </c>
      <c r="J533" s="42" t="n">
        <f aca="false">ROUND(IFERROR(ROUND(IF(OR(ISNUMBER(SEARCH("week",C533)),ISNUMBER(SEARCH("minggu",C533))),IFERROR(_xlfn.NUMBERVALUE(SUBSTITUTE(LEFT(TRIM(C533),FIND(" ",TRIM(C533)&amp;" ")-1),",","."),"."),LEFT(SUBSTITUTE(LEFT(TRIM(C533),FIND(" ",TRIM(C533)&amp;" ")-1),",","."),FIND("/",SUBSTITUTE(LEFT(TRIM(C533),FIND(" ",TRIM(C533)&amp;" ")-1),",","."))-1)/MID(SUBSTITUTE(LEFT(TRIM(C533),FIND(" ",TRIM(C533)&amp;" ")-1),",","."),FIND("/",SUBSTITUTE(LEFT(TRIM(C533),FIND(" ",TRIM(C533)&amp;" ")-1),",","."))+1,9))*12/52,IF(ISNUMBER(SEARCH("month",C533)),IFERROR(_xlfn.NUMBERVALUE(SUBSTITUTE(LEFT(TRIM(C533),FIND(" ",TRIM(C533)&amp;" ")-1),",","."),"."),LEFT(SUBSTITUTE(LEFT(TRIM(C533),FIND(" ",TRIM(C533)&amp;" ")-1),",","."),FIND("/",SUBSTITUTE(LEFT(TRIM(C533),FIND(" ",TRIM(C533)&amp;" ")-1),",","."))-1)/MID(SUBSTITUTE(LEFT(TRIM(C533),FIND(" ",TRIM(C533)&amp;" ")-1),",","."),FIND("/",SUBSTITUTE(LEFT(TRIM(C533),FIND(" ",TRIM(C533)&amp;" ")-1),",","."))+1,9)),IF(ISNUMBER(SEARCH("yea",C533)),IFERROR(_xlfn.NUMBERVALUE(SUBSTITUTE(LEFT(TRIM(C533),FIND(" ",TRIM(C533)&amp;" ")-1),",","."),"."),LEFT(SUBSTITUTE(LEFT(TRIM(C533),FIND(" ",TRIM(C533)&amp;" ")-1),",","."),FIND("/",SUBSTITUTE(LEFT(TRIM(C533),FIND(" ",TRIM(C533)&amp;" ")-1),",","."))-1)/MID(SUBSTITUTE(LEFT(TRIM(C533),FIND(" ",TRIM(C533)&amp;" ")-1),",","."),FIND("/",SUBSTITUTE(LEFT(TRIM(C533),FIND(" ",TRIM(C533)&amp;" ")-1),",","."))+1,9))*12,NA()))),0),24)*'Aturan &amp; Tarif'!$B$4,2)</f>
        <v>1362.72</v>
      </c>
      <c r="K533" s="42" t="n">
        <f aca="false">'Aturan &amp; Tarif'!$B$5</f>
        <v>2050</v>
      </c>
      <c r="L533" s="35" t="n">
        <f aca="false">I533+J533+K533</f>
        <v>17462.72</v>
      </c>
      <c r="M533" s="44" t="s">
        <v>2508</v>
      </c>
    </row>
    <row r="534" customFormat="false" ht="60" hidden="false" customHeight="true" outlineLevel="0" collapsed="false">
      <c r="A534" s="39"/>
      <c r="B534" s="40" t="s">
        <v>1128</v>
      </c>
      <c r="C534" s="41" t="s">
        <v>191</v>
      </c>
      <c r="D534" s="41" t="s">
        <v>108</v>
      </c>
      <c r="E534" s="42" t="n">
        <v>7333</v>
      </c>
      <c r="F534" s="42"/>
      <c r="G534" s="42"/>
      <c r="H534" s="43" t="n">
        <v>2</v>
      </c>
      <c r="I534" s="34" t="n">
        <f aca="false">E534*H534+N(F534)+N(G534)</f>
        <v>14666</v>
      </c>
      <c r="J534" s="42" t="n">
        <f aca="false">ROUND(IFERROR(ROUND(IF(OR(ISNUMBER(SEARCH("week",C534)),ISNUMBER(SEARCH("minggu",C534))),IFERROR(_xlfn.NUMBERVALUE(SUBSTITUTE(LEFT(TRIM(C534),FIND(" ",TRIM(C534)&amp;" ")-1),",","."),"."),LEFT(SUBSTITUTE(LEFT(TRIM(C534),FIND(" ",TRIM(C534)&amp;" ")-1),",","."),FIND("/",SUBSTITUTE(LEFT(TRIM(C534),FIND(" ",TRIM(C534)&amp;" ")-1),",","."))-1)/MID(SUBSTITUTE(LEFT(TRIM(C534),FIND(" ",TRIM(C534)&amp;" ")-1),",","."),FIND("/",SUBSTITUTE(LEFT(TRIM(C534),FIND(" ",TRIM(C534)&amp;" ")-1),",","."))+1,9))*12/52,IF(ISNUMBER(SEARCH("month",C534)),IFERROR(_xlfn.NUMBERVALUE(SUBSTITUTE(LEFT(TRIM(C534),FIND(" ",TRIM(C534)&amp;" ")-1),",","."),"."),LEFT(SUBSTITUTE(LEFT(TRIM(C534),FIND(" ",TRIM(C534)&amp;" ")-1),",","."),FIND("/",SUBSTITUTE(LEFT(TRIM(C534),FIND(" ",TRIM(C534)&amp;" ")-1),",","."))-1)/MID(SUBSTITUTE(LEFT(TRIM(C534),FIND(" ",TRIM(C534)&amp;" ")-1),",","."),FIND("/",SUBSTITUTE(LEFT(TRIM(C534),FIND(" ",TRIM(C534)&amp;" ")-1),",","."))+1,9)),IF(ISNUMBER(SEARCH("yea",C534)),IFERROR(_xlfn.NUMBERVALUE(SUBSTITUTE(LEFT(TRIM(C534),FIND(" ",TRIM(C534)&amp;" ")-1),",","."),"."),LEFT(SUBSTITUTE(LEFT(TRIM(C534),FIND(" ",TRIM(C534)&amp;" ")-1),",","."),FIND("/",SUBSTITUTE(LEFT(TRIM(C534),FIND(" ",TRIM(C534)&amp;" ")-1),",","."))-1)/MID(SUBSTITUTE(LEFT(TRIM(C534),FIND(" ",TRIM(C534)&amp;" ")-1),",","."),FIND("/",SUBSTITUTE(LEFT(TRIM(C534),FIND(" ",TRIM(C534)&amp;" ")-1),",","."))+1,9))*12,NA()))),0),48)*'Aturan &amp; Tarif'!$B$4,2)</f>
        <v>2725.44</v>
      </c>
      <c r="K534" s="42" t="n">
        <f aca="false">'Aturan &amp; Tarif'!$B$5</f>
        <v>2050</v>
      </c>
      <c r="L534" s="35" t="n">
        <f aca="false">I534+J534+K534</f>
        <v>19441.44</v>
      </c>
      <c r="M534" s="44" t="s">
        <v>2962</v>
      </c>
    </row>
    <row r="535" customFormat="false" ht="60" hidden="false" customHeight="true" outlineLevel="0" collapsed="false">
      <c r="A535" s="39"/>
      <c r="B535" s="40" t="s">
        <v>1130</v>
      </c>
      <c r="C535" s="41" t="s">
        <v>191</v>
      </c>
      <c r="D535" s="41" t="s">
        <v>108</v>
      </c>
      <c r="E535" s="42" t="n">
        <v>7333</v>
      </c>
      <c r="F535" s="42"/>
      <c r="G535" s="42"/>
      <c r="H535" s="43" t="n">
        <v>2</v>
      </c>
      <c r="I535" s="34" t="n">
        <f aca="false">E535*H535+N(F535)+N(G535)</f>
        <v>14666</v>
      </c>
      <c r="J535" s="42" t="n">
        <f aca="false">ROUND(IFERROR(ROUND(IF(OR(ISNUMBER(SEARCH("week",C535)),ISNUMBER(SEARCH("minggu",C535))),IFERROR(_xlfn.NUMBERVALUE(SUBSTITUTE(LEFT(TRIM(C535),FIND(" ",TRIM(C535)&amp;" ")-1),",","."),"."),LEFT(SUBSTITUTE(LEFT(TRIM(C535),FIND(" ",TRIM(C535)&amp;" ")-1),",","."),FIND("/",SUBSTITUTE(LEFT(TRIM(C535),FIND(" ",TRIM(C535)&amp;" ")-1),",","."))-1)/MID(SUBSTITUTE(LEFT(TRIM(C535),FIND(" ",TRIM(C535)&amp;" ")-1),",","."),FIND("/",SUBSTITUTE(LEFT(TRIM(C535),FIND(" ",TRIM(C535)&amp;" ")-1),",","."))+1,9))*12/52,IF(ISNUMBER(SEARCH("month",C535)),IFERROR(_xlfn.NUMBERVALUE(SUBSTITUTE(LEFT(TRIM(C535),FIND(" ",TRIM(C535)&amp;" ")-1),",","."),"."),LEFT(SUBSTITUTE(LEFT(TRIM(C535),FIND(" ",TRIM(C535)&amp;" ")-1),",","."),FIND("/",SUBSTITUTE(LEFT(TRIM(C535),FIND(" ",TRIM(C535)&amp;" ")-1),",","."))-1)/MID(SUBSTITUTE(LEFT(TRIM(C535),FIND(" ",TRIM(C535)&amp;" ")-1),",","."),FIND("/",SUBSTITUTE(LEFT(TRIM(C535),FIND(" ",TRIM(C535)&amp;" ")-1),",","."))+1,9)),IF(ISNUMBER(SEARCH("yea",C535)),IFERROR(_xlfn.NUMBERVALUE(SUBSTITUTE(LEFT(TRIM(C535),FIND(" ",TRIM(C535)&amp;" ")-1),",","."),"."),LEFT(SUBSTITUTE(LEFT(TRIM(C535),FIND(" ",TRIM(C535)&amp;" ")-1),",","."),FIND("/",SUBSTITUTE(LEFT(TRIM(C535),FIND(" ",TRIM(C535)&amp;" ")-1),",","."))-1)/MID(SUBSTITUTE(LEFT(TRIM(C535),FIND(" ",TRIM(C535)&amp;" ")-1),",","."),FIND("/",SUBSTITUTE(LEFT(TRIM(C535),FIND(" ",TRIM(C535)&amp;" ")-1),",","."))+1,9))*12,NA()))),0),48)*'Aturan &amp; Tarif'!$B$4,2)</f>
        <v>2725.44</v>
      </c>
      <c r="K535" s="42" t="n">
        <f aca="false">'Aturan &amp; Tarif'!$B$5</f>
        <v>2050</v>
      </c>
      <c r="L535" s="35" t="n">
        <f aca="false">I535+J535+K535</f>
        <v>19441.44</v>
      </c>
      <c r="M535" s="44" t="s">
        <v>1131</v>
      </c>
    </row>
    <row r="536" customFormat="false" ht="60" hidden="false" customHeight="true" outlineLevel="0" collapsed="false">
      <c r="A536" s="39"/>
      <c r="B536" s="40" t="s">
        <v>1132</v>
      </c>
      <c r="C536" s="41" t="s">
        <v>127</v>
      </c>
      <c r="D536" s="41" t="s">
        <v>108</v>
      </c>
      <c r="E536" s="42" t="n">
        <v>7333</v>
      </c>
      <c r="F536" s="42"/>
      <c r="G536" s="42"/>
      <c r="H536" s="43" t="n">
        <v>2</v>
      </c>
      <c r="I536" s="34" t="n">
        <f aca="false">E536*H536+N(F536)+N(G536)</f>
        <v>14666</v>
      </c>
      <c r="J536" s="42" t="n">
        <f aca="false">ROUND(IFERROR(ROUND(IF(OR(ISNUMBER(SEARCH("week",C536)),ISNUMBER(SEARCH("minggu",C536))),IFERROR(_xlfn.NUMBERVALUE(SUBSTITUTE(LEFT(TRIM(C536),FIND(" ",TRIM(C536)&amp;" ")-1),",","."),"."),LEFT(SUBSTITUTE(LEFT(TRIM(C536),FIND(" ",TRIM(C536)&amp;" ")-1),",","."),FIND("/",SUBSTITUTE(LEFT(TRIM(C536),FIND(" ",TRIM(C536)&amp;" ")-1),",","."))-1)/MID(SUBSTITUTE(LEFT(TRIM(C536),FIND(" ",TRIM(C536)&amp;" ")-1),",","."),FIND("/",SUBSTITUTE(LEFT(TRIM(C536),FIND(" ",TRIM(C536)&amp;" ")-1),",","."))+1,9))*12/52,IF(ISNUMBER(SEARCH("month",C536)),IFERROR(_xlfn.NUMBERVALUE(SUBSTITUTE(LEFT(TRIM(C536),FIND(" ",TRIM(C536)&amp;" ")-1),",","."),"."),LEFT(SUBSTITUTE(LEFT(TRIM(C536),FIND(" ",TRIM(C536)&amp;" ")-1),",","."),FIND("/",SUBSTITUTE(LEFT(TRIM(C536),FIND(" ",TRIM(C536)&amp;" ")-1),",","."))-1)/MID(SUBSTITUTE(LEFT(TRIM(C536),FIND(" ",TRIM(C536)&amp;" ")-1),",","."),FIND("/",SUBSTITUTE(LEFT(TRIM(C536),FIND(" ",TRIM(C536)&amp;" ")-1),",","."))+1,9)),IF(ISNUMBER(SEARCH("yea",C536)),IFERROR(_xlfn.NUMBERVALUE(SUBSTITUTE(LEFT(TRIM(C536),FIND(" ",TRIM(C536)&amp;" ")-1),",","."),"."),LEFT(SUBSTITUTE(LEFT(TRIM(C536),FIND(" ",TRIM(C536)&amp;" ")-1),",","."),FIND("/",SUBSTITUTE(LEFT(TRIM(C536),FIND(" ",TRIM(C536)&amp;" ")-1),",","."))-1)/MID(SUBSTITUTE(LEFT(TRIM(C536),FIND(" ",TRIM(C536)&amp;" ")-1),",","."),FIND("/",SUBSTITUTE(LEFT(TRIM(C536),FIND(" ",TRIM(C536)&amp;" ")-1),",","."))+1,9))*12,NA()))),0),36)*'Aturan &amp; Tarif'!$B$4,2)</f>
        <v>2044.08</v>
      </c>
      <c r="K536" s="42" t="n">
        <f aca="false">'Aturan &amp; Tarif'!$B$5</f>
        <v>2050</v>
      </c>
      <c r="L536" s="35" t="n">
        <f aca="false">I536+J536+K536</f>
        <v>18760.08</v>
      </c>
      <c r="M536" s="44" t="s">
        <v>1133</v>
      </c>
    </row>
    <row r="537" customFormat="false" ht="60" hidden="false" customHeight="true" outlineLevel="0" collapsed="false">
      <c r="A537" s="39"/>
      <c r="B537" s="40" t="s">
        <v>1134</v>
      </c>
      <c r="C537" s="41" t="s">
        <v>127</v>
      </c>
      <c r="D537" s="41" t="s">
        <v>108</v>
      </c>
      <c r="E537" s="42" t="n">
        <v>7333</v>
      </c>
      <c r="F537" s="42"/>
      <c r="G537" s="42"/>
      <c r="H537" s="43" t="n">
        <v>2</v>
      </c>
      <c r="I537" s="34" t="n">
        <f aca="false">E537*H537+N(F537)+N(G537)</f>
        <v>14666</v>
      </c>
      <c r="J537" s="42" t="n">
        <f aca="false">ROUND(IFERROR(ROUND(IF(OR(ISNUMBER(SEARCH("week",C537)),ISNUMBER(SEARCH("minggu",C537))),IFERROR(_xlfn.NUMBERVALUE(SUBSTITUTE(LEFT(TRIM(C537),FIND(" ",TRIM(C537)&amp;" ")-1),",","."),"."),LEFT(SUBSTITUTE(LEFT(TRIM(C537),FIND(" ",TRIM(C537)&amp;" ")-1),",","."),FIND("/",SUBSTITUTE(LEFT(TRIM(C537),FIND(" ",TRIM(C537)&amp;" ")-1),",","."))-1)/MID(SUBSTITUTE(LEFT(TRIM(C537),FIND(" ",TRIM(C537)&amp;" ")-1),",","."),FIND("/",SUBSTITUTE(LEFT(TRIM(C537),FIND(" ",TRIM(C537)&amp;" ")-1),",","."))+1,9))*12/52,IF(ISNUMBER(SEARCH("month",C537)),IFERROR(_xlfn.NUMBERVALUE(SUBSTITUTE(LEFT(TRIM(C537),FIND(" ",TRIM(C537)&amp;" ")-1),",","."),"."),LEFT(SUBSTITUTE(LEFT(TRIM(C537),FIND(" ",TRIM(C537)&amp;" ")-1),",","."),FIND("/",SUBSTITUTE(LEFT(TRIM(C537),FIND(" ",TRIM(C537)&amp;" ")-1),",","."))-1)/MID(SUBSTITUTE(LEFT(TRIM(C537),FIND(" ",TRIM(C537)&amp;" ")-1),",","."),FIND("/",SUBSTITUTE(LEFT(TRIM(C537),FIND(" ",TRIM(C537)&amp;" ")-1),",","."))+1,9)),IF(ISNUMBER(SEARCH("yea",C537)),IFERROR(_xlfn.NUMBERVALUE(SUBSTITUTE(LEFT(TRIM(C537),FIND(" ",TRIM(C537)&amp;" ")-1),",","."),"."),LEFT(SUBSTITUTE(LEFT(TRIM(C537),FIND(" ",TRIM(C537)&amp;" ")-1),",","."),FIND("/",SUBSTITUTE(LEFT(TRIM(C537),FIND(" ",TRIM(C537)&amp;" ")-1),",","."))-1)/MID(SUBSTITUTE(LEFT(TRIM(C537),FIND(" ",TRIM(C537)&amp;" ")-1),",","."),FIND("/",SUBSTITUTE(LEFT(TRIM(C537),FIND(" ",TRIM(C537)&amp;" ")-1),",","."))+1,9))*12,NA()))),0),36)*'Aturan &amp; Tarif'!$B$4,2)</f>
        <v>2044.08</v>
      </c>
      <c r="K537" s="42" t="n">
        <f aca="false">'Aturan &amp; Tarif'!$B$5</f>
        <v>2050</v>
      </c>
      <c r="L537" s="35" t="n">
        <f aca="false">I537+J537+K537</f>
        <v>18760.08</v>
      </c>
      <c r="M537" s="44" t="s">
        <v>1781</v>
      </c>
    </row>
    <row r="538" customFormat="false" ht="60" hidden="false" customHeight="true" outlineLevel="0" collapsed="false">
      <c r="A538" s="39"/>
      <c r="B538" s="40" t="s">
        <v>265</v>
      </c>
      <c r="C538" s="41" t="s">
        <v>127</v>
      </c>
      <c r="D538" s="41" t="s">
        <v>108</v>
      </c>
      <c r="E538" s="42" t="n">
        <v>8750</v>
      </c>
      <c r="F538" s="42"/>
      <c r="G538" s="42"/>
      <c r="H538" s="43" t="n">
        <v>2</v>
      </c>
      <c r="I538" s="34" t="n">
        <f aca="false">E538*H538+N(F538)+N(G538)</f>
        <v>17500</v>
      </c>
      <c r="J538" s="42" t="n">
        <f aca="false">ROUND(IFERROR(ROUND(IF(OR(ISNUMBER(SEARCH("week",C538)),ISNUMBER(SEARCH("minggu",C538))),IFERROR(_xlfn.NUMBERVALUE(SUBSTITUTE(LEFT(TRIM(C538),FIND(" ",TRIM(C538)&amp;" ")-1),",","."),"."),LEFT(SUBSTITUTE(LEFT(TRIM(C538),FIND(" ",TRIM(C538)&amp;" ")-1),",","."),FIND("/",SUBSTITUTE(LEFT(TRIM(C538),FIND(" ",TRIM(C538)&amp;" ")-1),",","."))-1)/MID(SUBSTITUTE(LEFT(TRIM(C538),FIND(" ",TRIM(C538)&amp;" ")-1),",","."),FIND("/",SUBSTITUTE(LEFT(TRIM(C538),FIND(" ",TRIM(C538)&amp;" ")-1),",","."))+1,9))*12/52,IF(ISNUMBER(SEARCH("month",C538)),IFERROR(_xlfn.NUMBERVALUE(SUBSTITUTE(LEFT(TRIM(C538),FIND(" ",TRIM(C538)&amp;" ")-1),",","."),"."),LEFT(SUBSTITUTE(LEFT(TRIM(C538),FIND(" ",TRIM(C538)&amp;" ")-1),",","."),FIND("/",SUBSTITUTE(LEFT(TRIM(C538),FIND(" ",TRIM(C538)&amp;" ")-1),",","."))-1)/MID(SUBSTITUTE(LEFT(TRIM(C538),FIND(" ",TRIM(C538)&amp;" ")-1),",","."),FIND("/",SUBSTITUTE(LEFT(TRIM(C538),FIND(" ",TRIM(C538)&amp;" ")-1),",","."))+1,9)),IF(ISNUMBER(SEARCH("yea",C538)),IFERROR(_xlfn.NUMBERVALUE(SUBSTITUTE(LEFT(TRIM(C538),FIND(" ",TRIM(C538)&amp;" ")-1),",","."),"."),LEFT(SUBSTITUTE(LEFT(TRIM(C538),FIND(" ",TRIM(C538)&amp;" ")-1),",","."),FIND("/",SUBSTITUTE(LEFT(TRIM(C538),FIND(" ",TRIM(C538)&amp;" ")-1),",","."))-1)/MID(SUBSTITUTE(LEFT(TRIM(C538),FIND(" ",TRIM(C538)&amp;" ")-1),",","."),FIND("/",SUBSTITUTE(LEFT(TRIM(C538),FIND(" ",TRIM(C538)&amp;" ")-1),",","."))+1,9))*12,NA()))),0),36)*'Aturan &amp; Tarif'!$B$4,2)</f>
        <v>2044.08</v>
      </c>
      <c r="K538" s="42" t="n">
        <f aca="false">'Aturan &amp; Tarif'!$B$5</f>
        <v>2050</v>
      </c>
      <c r="L538" s="35" t="n">
        <f aca="false">I538+J538+K538</f>
        <v>21594.08</v>
      </c>
      <c r="M538" s="44" t="s">
        <v>1136</v>
      </c>
    </row>
    <row r="539" customFormat="false" ht="14.25" hidden="false" customHeight="true" outlineLevel="0" collapsed="false">
      <c r="A539" s="39"/>
      <c r="B539" s="40" t="s">
        <v>1137</v>
      </c>
      <c r="C539" s="41" t="s">
        <v>127</v>
      </c>
      <c r="D539" s="41" t="s">
        <v>108</v>
      </c>
      <c r="E539" s="42" t="n">
        <v>7333</v>
      </c>
      <c r="F539" s="42"/>
      <c r="G539" s="42"/>
      <c r="H539" s="43" t="n">
        <v>2</v>
      </c>
      <c r="I539" s="34" t="n">
        <f aca="false">E539*H539+N(F539)+N(G539)</f>
        <v>14666</v>
      </c>
      <c r="J539" s="42" t="n">
        <f aca="false">ROUND(IFERROR(ROUND(IF(OR(ISNUMBER(SEARCH("week",C539)),ISNUMBER(SEARCH("minggu",C539))),IFERROR(_xlfn.NUMBERVALUE(SUBSTITUTE(LEFT(TRIM(C539),FIND(" ",TRIM(C539)&amp;" ")-1),",","."),"."),LEFT(SUBSTITUTE(LEFT(TRIM(C539),FIND(" ",TRIM(C539)&amp;" ")-1),",","."),FIND("/",SUBSTITUTE(LEFT(TRIM(C539),FIND(" ",TRIM(C539)&amp;" ")-1),",","."))-1)/MID(SUBSTITUTE(LEFT(TRIM(C539),FIND(" ",TRIM(C539)&amp;" ")-1),",","."),FIND("/",SUBSTITUTE(LEFT(TRIM(C539),FIND(" ",TRIM(C539)&amp;" ")-1),",","."))+1,9))*12/52,IF(ISNUMBER(SEARCH("month",C539)),IFERROR(_xlfn.NUMBERVALUE(SUBSTITUTE(LEFT(TRIM(C539),FIND(" ",TRIM(C539)&amp;" ")-1),",","."),"."),LEFT(SUBSTITUTE(LEFT(TRIM(C539),FIND(" ",TRIM(C539)&amp;" ")-1),",","."),FIND("/",SUBSTITUTE(LEFT(TRIM(C539),FIND(" ",TRIM(C539)&amp;" ")-1),",","."))-1)/MID(SUBSTITUTE(LEFT(TRIM(C539),FIND(" ",TRIM(C539)&amp;" ")-1),",","."),FIND("/",SUBSTITUTE(LEFT(TRIM(C539),FIND(" ",TRIM(C539)&amp;" ")-1),",","."))+1,9)),IF(ISNUMBER(SEARCH("yea",C539)),IFERROR(_xlfn.NUMBERVALUE(SUBSTITUTE(LEFT(TRIM(C539),FIND(" ",TRIM(C539)&amp;" ")-1),",","."),"."),LEFT(SUBSTITUTE(LEFT(TRIM(C539),FIND(" ",TRIM(C539)&amp;" ")-1),",","."),FIND("/",SUBSTITUTE(LEFT(TRIM(C539),FIND(" ",TRIM(C539)&amp;" ")-1),",","."))-1)/MID(SUBSTITUTE(LEFT(TRIM(C539),FIND(" ",TRIM(C539)&amp;" ")-1),",","."),FIND("/",SUBSTITUTE(LEFT(TRIM(C539),FIND(" ",TRIM(C539)&amp;" ")-1),",","."))+1,9))*12,NA()))),0),36)*'Aturan &amp; Tarif'!$B$4,2)</f>
        <v>2044.08</v>
      </c>
      <c r="K539" s="42" t="n">
        <f aca="false">'Aturan &amp; Tarif'!$B$5</f>
        <v>2050</v>
      </c>
      <c r="L539" s="35" t="n">
        <f aca="false">I539+J539+K539</f>
        <v>18760.08</v>
      </c>
      <c r="M539" s="44" t="s">
        <v>1138</v>
      </c>
    </row>
    <row r="540" customFormat="false" ht="60" hidden="false" customHeight="true" outlineLevel="0" collapsed="false">
      <c r="A540" s="39"/>
      <c r="B540" s="40" t="s">
        <v>575</v>
      </c>
      <c r="C540" s="41" t="s">
        <v>127</v>
      </c>
      <c r="D540" s="41" t="s">
        <v>108</v>
      </c>
      <c r="E540" s="42" t="n">
        <v>8637</v>
      </c>
      <c r="F540" s="42"/>
      <c r="G540" s="42"/>
      <c r="H540" s="43" t="n">
        <v>2</v>
      </c>
      <c r="I540" s="34" t="n">
        <f aca="false">E540*H540+N(F540)+N(G540)</f>
        <v>17274</v>
      </c>
      <c r="J540" s="42" t="n">
        <f aca="false">ROUND(IFERROR(ROUND(IF(OR(ISNUMBER(SEARCH("week",C540)),ISNUMBER(SEARCH("minggu",C540))),IFERROR(_xlfn.NUMBERVALUE(SUBSTITUTE(LEFT(TRIM(C540),FIND(" ",TRIM(C540)&amp;" ")-1),",","."),"."),LEFT(SUBSTITUTE(LEFT(TRIM(C540),FIND(" ",TRIM(C540)&amp;" ")-1),",","."),FIND("/",SUBSTITUTE(LEFT(TRIM(C540),FIND(" ",TRIM(C540)&amp;" ")-1),",","."))-1)/MID(SUBSTITUTE(LEFT(TRIM(C540),FIND(" ",TRIM(C540)&amp;" ")-1),",","."),FIND("/",SUBSTITUTE(LEFT(TRIM(C540),FIND(" ",TRIM(C540)&amp;" ")-1),",","."))+1,9))*12/52,IF(ISNUMBER(SEARCH("month",C540)),IFERROR(_xlfn.NUMBERVALUE(SUBSTITUTE(LEFT(TRIM(C540),FIND(" ",TRIM(C540)&amp;" ")-1),",","."),"."),LEFT(SUBSTITUTE(LEFT(TRIM(C540),FIND(" ",TRIM(C540)&amp;" ")-1),",","."),FIND("/",SUBSTITUTE(LEFT(TRIM(C540),FIND(" ",TRIM(C540)&amp;" ")-1),",","."))-1)/MID(SUBSTITUTE(LEFT(TRIM(C540),FIND(" ",TRIM(C540)&amp;" ")-1),",","."),FIND("/",SUBSTITUTE(LEFT(TRIM(C540),FIND(" ",TRIM(C540)&amp;" ")-1),",","."))+1,9)),IF(ISNUMBER(SEARCH("yea",C540)),IFERROR(_xlfn.NUMBERVALUE(SUBSTITUTE(LEFT(TRIM(C540),FIND(" ",TRIM(C540)&amp;" ")-1),",","."),"."),LEFT(SUBSTITUTE(LEFT(TRIM(C540),FIND(" ",TRIM(C540)&amp;" ")-1),",","."),FIND("/",SUBSTITUTE(LEFT(TRIM(C540),FIND(" ",TRIM(C540)&amp;" ")-1),",","."))-1)/MID(SUBSTITUTE(LEFT(TRIM(C540),FIND(" ",TRIM(C540)&amp;" ")-1),",","."),FIND("/",SUBSTITUTE(LEFT(TRIM(C540),FIND(" ",TRIM(C540)&amp;" ")-1),",","."))+1,9))*12,NA()))),0),36)*'Aturan &amp; Tarif'!$B$4,2)</f>
        <v>2044.08</v>
      </c>
      <c r="K540" s="42" t="n">
        <f aca="false">'Aturan &amp; Tarif'!$B$5</f>
        <v>2050</v>
      </c>
      <c r="L540" s="35" t="n">
        <f aca="false">I540+J540+K540</f>
        <v>21368.08</v>
      </c>
      <c r="M540" s="45" t="s">
        <v>1139</v>
      </c>
    </row>
    <row r="541" customFormat="false" ht="60" hidden="false" customHeight="true" outlineLevel="0" collapsed="false">
      <c r="A541" s="39"/>
      <c r="B541" s="40" t="s">
        <v>560</v>
      </c>
      <c r="C541" s="41" t="s">
        <v>344</v>
      </c>
      <c r="D541" s="41" t="s">
        <v>108</v>
      </c>
      <c r="E541" s="42" t="n">
        <v>3975</v>
      </c>
      <c r="F541" s="42"/>
      <c r="G541" s="42"/>
      <c r="H541" s="43" t="n">
        <v>2</v>
      </c>
      <c r="I541" s="34" t="n">
        <f aca="false">E541*H541+N(F541)+N(G541)</f>
        <v>7950</v>
      </c>
      <c r="J541" s="42" t="n">
        <f aca="false">ROUND(IFERROR(ROUND(IF(OR(ISNUMBER(SEARCH("week",C541)),ISNUMBER(SEARCH("minggu",C541))),IFERROR(_xlfn.NUMBERVALUE(SUBSTITUTE(LEFT(TRIM(C541),FIND(" ",TRIM(C541)&amp;" ")-1),",","."),"."),LEFT(SUBSTITUTE(LEFT(TRIM(C541),FIND(" ",TRIM(C541)&amp;" ")-1),",","."),FIND("/",SUBSTITUTE(LEFT(TRIM(C541),FIND(" ",TRIM(C541)&amp;" ")-1),",","."))-1)/MID(SUBSTITUTE(LEFT(TRIM(C541),FIND(" ",TRIM(C541)&amp;" ")-1),",","."),FIND("/",SUBSTITUTE(LEFT(TRIM(C541),FIND(" ",TRIM(C541)&amp;" ")-1),",","."))+1,9))*12/52,IF(ISNUMBER(SEARCH("month",C541)),IFERROR(_xlfn.NUMBERVALUE(SUBSTITUTE(LEFT(TRIM(C541),FIND(" ",TRIM(C541)&amp;" ")-1),",","."),"."),LEFT(SUBSTITUTE(LEFT(TRIM(C541),FIND(" ",TRIM(C541)&amp;" ")-1),",","."),FIND("/",SUBSTITUTE(LEFT(TRIM(C541),FIND(" ",TRIM(C541)&amp;" ")-1),",","."))-1)/MID(SUBSTITUTE(LEFT(TRIM(C541),FIND(" ",TRIM(C541)&amp;" ")-1),",","."),FIND("/",SUBSTITUTE(LEFT(TRIM(C541),FIND(" ",TRIM(C541)&amp;" ")-1),",","."))+1,9)),IF(ISNUMBER(SEARCH("yea",C541)),IFERROR(_xlfn.NUMBERVALUE(SUBSTITUTE(LEFT(TRIM(C541),FIND(" ",TRIM(C541)&amp;" ")-1),",","."),"."),LEFT(SUBSTITUTE(LEFT(TRIM(C541),FIND(" ",TRIM(C541)&amp;" ")-1),",","."),FIND("/",SUBSTITUTE(LEFT(TRIM(C541),FIND(" ",TRIM(C541)&amp;" ")-1),",","."))-1)/MID(SUBSTITUTE(LEFT(TRIM(C541),FIND(" ",TRIM(C541)&amp;" ")-1),",","."),FIND("/",SUBSTITUTE(LEFT(TRIM(C541),FIND(" ",TRIM(C541)&amp;" ")-1),",","."))+1,9))*12,NA()))),0),6)*'Aturan &amp; Tarif'!$B$4,2)</f>
        <v>340.68</v>
      </c>
      <c r="K541" s="42" t="n">
        <f aca="false">'Aturan &amp; Tarif'!$B$5</f>
        <v>2050</v>
      </c>
      <c r="L541" s="35" t="n">
        <f aca="false">I541+J541+K541</f>
        <v>10340.68</v>
      </c>
      <c r="M541" s="44" t="s">
        <v>1140</v>
      </c>
    </row>
    <row r="542" customFormat="false" ht="60" hidden="false" customHeight="true" outlineLevel="0" collapsed="false">
      <c r="A542" s="39"/>
      <c r="B542" s="40" t="s">
        <v>559</v>
      </c>
      <c r="C542" s="41" t="s">
        <v>130</v>
      </c>
      <c r="D542" s="41" t="s">
        <v>108</v>
      </c>
      <c r="E542" s="42" t="n">
        <v>7950</v>
      </c>
      <c r="F542" s="42"/>
      <c r="G542" s="42"/>
      <c r="H542" s="43" t="n">
        <v>2</v>
      </c>
      <c r="I542" s="34" t="n">
        <f aca="false">E542*H542+N(F542)+N(G542)</f>
        <v>15900</v>
      </c>
      <c r="J542" s="42" t="n">
        <f aca="false">ROUND(IFERROR(ROUND(IF(OR(ISNUMBER(SEARCH("week",C542)),ISNUMBER(SEARCH("minggu",C542))),IFERROR(_xlfn.NUMBERVALUE(SUBSTITUTE(LEFT(TRIM(C542),FIND(" ",TRIM(C542)&amp;" ")-1),",","."),"."),LEFT(SUBSTITUTE(LEFT(TRIM(C542),FIND(" ",TRIM(C542)&amp;" ")-1),",","."),FIND("/",SUBSTITUTE(LEFT(TRIM(C542),FIND(" ",TRIM(C542)&amp;" ")-1),",","."))-1)/MID(SUBSTITUTE(LEFT(TRIM(C542),FIND(" ",TRIM(C542)&amp;" ")-1),",","."),FIND("/",SUBSTITUTE(LEFT(TRIM(C542),FIND(" ",TRIM(C542)&amp;" ")-1),",","."))+1,9))*12/52,IF(ISNUMBER(SEARCH("month",C542)),IFERROR(_xlfn.NUMBERVALUE(SUBSTITUTE(LEFT(TRIM(C542),FIND(" ",TRIM(C542)&amp;" ")-1),",","."),"."),LEFT(SUBSTITUTE(LEFT(TRIM(C542),FIND(" ",TRIM(C542)&amp;" ")-1),",","."),FIND("/",SUBSTITUTE(LEFT(TRIM(C542),FIND(" ",TRIM(C542)&amp;" ")-1),",","."))-1)/MID(SUBSTITUTE(LEFT(TRIM(C542),FIND(" ",TRIM(C542)&amp;" ")-1),",","."),FIND("/",SUBSTITUTE(LEFT(TRIM(C542),FIND(" ",TRIM(C542)&amp;" ")-1),",","."))+1,9)),IF(ISNUMBER(SEARCH("yea",C542)),IFERROR(_xlfn.NUMBERVALUE(SUBSTITUTE(LEFT(TRIM(C542),FIND(" ",TRIM(C542)&amp;" ")-1),",","."),"."),LEFT(SUBSTITUTE(LEFT(TRIM(C542),FIND(" ",TRIM(C542)&amp;" ")-1),",","."),FIND("/",SUBSTITUTE(LEFT(TRIM(C542),FIND(" ",TRIM(C542)&amp;" ")-1),",","."))-1)/MID(SUBSTITUTE(LEFT(TRIM(C542),FIND(" ",TRIM(C542)&amp;" ")-1),",","."),FIND("/",SUBSTITUTE(LEFT(TRIM(C542),FIND(" ",TRIM(C542)&amp;" ")-1),",","."))+1,9))*12,NA()))),0),12)*'Aturan &amp; Tarif'!$B$4,2)</f>
        <v>681.36</v>
      </c>
      <c r="K542" s="42" t="n">
        <f aca="false">'Aturan &amp; Tarif'!$B$5</f>
        <v>2050</v>
      </c>
      <c r="L542" s="35" t="n">
        <f aca="false">I542+J542+K542</f>
        <v>18631.36</v>
      </c>
      <c r="M542" s="44" t="s">
        <v>1141</v>
      </c>
    </row>
    <row r="543" customFormat="false" ht="60" hidden="false" customHeight="true" outlineLevel="0" collapsed="false">
      <c r="A543" s="39"/>
      <c r="B543" s="40" t="s">
        <v>283</v>
      </c>
      <c r="C543" s="41" t="s">
        <v>113</v>
      </c>
      <c r="D543" s="41" t="s">
        <v>108</v>
      </c>
      <c r="E543" s="42" t="n">
        <v>7950</v>
      </c>
      <c r="F543" s="42"/>
      <c r="G543" s="42"/>
      <c r="H543" s="43" t="n">
        <v>2</v>
      </c>
      <c r="I543" s="34" t="n">
        <f aca="false">E543*H543+N(F543)+N(G543)</f>
        <v>15900</v>
      </c>
      <c r="J543" s="42" t="n">
        <f aca="false">ROUND(IFERROR(ROUND(IF(OR(ISNUMBER(SEARCH("week",C543)),ISNUMBER(SEARCH("minggu",C543))),IFERROR(_xlfn.NUMBERVALUE(SUBSTITUTE(LEFT(TRIM(C543),FIND(" ",TRIM(C543)&amp;" ")-1),",","."),"."),LEFT(SUBSTITUTE(LEFT(TRIM(C543),FIND(" ",TRIM(C543)&amp;" ")-1),",","."),FIND("/",SUBSTITUTE(LEFT(TRIM(C543),FIND(" ",TRIM(C543)&amp;" ")-1),",","."))-1)/MID(SUBSTITUTE(LEFT(TRIM(C543),FIND(" ",TRIM(C543)&amp;" ")-1),",","."),FIND("/",SUBSTITUTE(LEFT(TRIM(C543),FIND(" ",TRIM(C543)&amp;" ")-1),",","."))+1,9))*12/52,IF(ISNUMBER(SEARCH("month",C543)),IFERROR(_xlfn.NUMBERVALUE(SUBSTITUTE(LEFT(TRIM(C543),FIND(" ",TRIM(C543)&amp;" ")-1),",","."),"."),LEFT(SUBSTITUTE(LEFT(TRIM(C543),FIND(" ",TRIM(C543)&amp;" ")-1),",","."),FIND("/",SUBSTITUTE(LEFT(TRIM(C543),FIND(" ",TRIM(C543)&amp;" ")-1),",","."))-1)/MID(SUBSTITUTE(LEFT(TRIM(C543),FIND(" ",TRIM(C543)&amp;" ")-1),",","."),FIND("/",SUBSTITUTE(LEFT(TRIM(C543),FIND(" ",TRIM(C543)&amp;" ")-1),",","."))+1,9)),IF(ISNUMBER(SEARCH("yea",C543)),IFERROR(_xlfn.NUMBERVALUE(SUBSTITUTE(LEFT(TRIM(C543),FIND(" ",TRIM(C543)&amp;" ")-1),",","."),"."),LEFT(SUBSTITUTE(LEFT(TRIM(C543),FIND(" ",TRIM(C543)&amp;" ")-1),",","."),FIND("/",SUBSTITUTE(LEFT(TRIM(C543),FIND(" ",TRIM(C543)&amp;" ")-1),",","."))-1)/MID(SUBSTITUTE(LEFT(TRIM(C543),FIND(" ",TRIM(C543)&amp;" ")-1),",","."),FIND("/",SUBSTITUTE(LEFT(TRIM(C543),FIND(" ",TRIM(C543)&amp;" ")-1),",","."))+1,9))*12,NA()))),0),18)*'Aturan &amp; Tarif'!$B$4,2)</f>
        <v>1022.04</v>
      </c>
      <c r="K543" s="42" t="n">
        <f aca="false">'Aturan &amp; Tarif'!$B$5</f>
        <v>2050</v>
      </c>
      <c r="L543" s="35" t="n">
        <f aca="false">I543+J543+K543</f>
        <v>18972.04</v>
      </c>
      <c r="M543" s="44" t="s">
        <v>1142</v>
      </c>
    </row>
    <row r="544" customFormat="false" ht="60" hidden="false" customHeight="true" outlineLevel="0" collapsed="false">
      <c r="A544" s="39"/>
      <c r="B544" s="40" t="s">
        <v>1143</v>
      </c>
      <c r="C544" s="41" t="s">
        <v>107</v>
      </c>
      <c r="D544" s="41" t="s">
        <v>108</v>
      </c>
      <c r="E544" s="42" t="n">
        <v>7950</v>
      </c>
      <c r="F544" s="42"/>
      <c r="G544" s="42"/>
      <c r="H544" s="43" t="n">
        <v>2</v>
      </c>
      <c r="I544" s="34" t="n">
        <f aca="false">E544*H544+N(F544)+N(G544)</f>
        <v>15900</v>
      </c>
      <c r="J544" s="42" t="n">
        <f aca="false">ROUND(IFERROR(ROUND(IF(OR(ISNUMBER(SEARCH("week",C544)),ISNUMBER(SEARCH("minggu",C544))),IFERROR(_xlfn.NUMBERVALUE(SUBSTITUTE(LEFT(TRIM(C544),FIND(" ",TRIM(C544)&amp;" ")-1),",","."),"."),LEFT(SUBSTITUTE(LEFT(TRIM(C544),FIND(" ",TRIM(C544)&amp;" ")-1),",","."),FIND("/",SUBSTITUTE(LEFT(TRIM(C544),FIND(" ",TRIM(C544)&amp;" ")-1),",","."))-1)/MID(SUBSTITUTE(LEFT(TRIM(C544),FIND(" ",TRIM(C544)&amp;" ")-1),",","."),FIND("/",SUBSTITUTE(LEFT(TRIM(C544),FIND(" ",TRIM(C544)&amp;" ")-1),",","."))+1,9))*12/52,IF(ISNUMBER(SEARCH("month",C544)),IFERROR(_xlfn.NUMBERVALUE(SUBSTITUTE(LEFT(TRIM(C544),FIND(" ",TRIM(C544)&amp;" ")-1),",","."),"."),LEFT(SUBSTITUTE(LEFT(TRIM(C544),FIND(" ",TRIM(C544)&amp;" ")-1),",","."),FIND("/",SUBSTITUTE(LEFT(TRIM(C544),FIND(" ",TRIM(C544)&amp;" ")-1),",","."))-1)/MID(SUBSTITUTE(LEFT(TRIM(C544),FIND(" ",TRIM(C544)&amp;" ")-1),",","."),FIND("/",SUBSTITUTE(LEFT(TRIM(C544),FIND(" ",TRIM(C544)&amp;" ")-1),",","."))+1,9)),IF(ISNUMBER(SEARCH("yea",C544)),IFERROR(_xlfn.NUMBERVALUE(SUBSTITUTE(LEFT(TRIM(C544),FIND(" ",TRIM(C544)&amp;" ")-1),",","."),"."),LEFT(SUBSTITUTE(LEFT(TRIM(C544),FIND(" ",TRIM(C544)&amp;" ")-1),",","."),FIND("/",SUBSTITUTE(LEFT(TRIM(C544),FIND(" ",TRIM(C544)&amp;" ")-1),",","."))-1)/MID(SUBSTITUTE(LEFT(TRIM(C544),FIND(" ",TRIM(C544)&amp;" ")-1),",","."),FIND("/",SUBSTITUTE(LEFT(TRIM(C544),FIND(" ",TRIM(C544)&amp;" ")-1),",","."))+1,9))*12,NA()))),0),24)*'Aturan &amp; Tarif'!$B$4,2)</f>
        <v>1362.72</v>
      </c>
      <c r="K544" s="42" t="n">
        <f aca="false">'Aturan &amp; Tarif'!$B$5</f>
        <v>2050</v>
      </c>
      <c r="L544" s="35" t="n">
        <f aca="false">I544+J544+K544</f>
        <v>19312.72</v>
      </c>
      <c r="M544" s="44" t="s">
        <v>1144</v>
      </c>
    </row>
    <row r="545" customFormat="false" ht="60" hidden="false" customHeight="true" outlineLevel="0" collapsed="false">
      <c r="A545" s="39"/>
      <c r="B545" s="40" t="s">
        <v>1057</v>
      </c>
      <c r="C545" s="41" t="s">
        <v>107</v>
      </c>
      <c r="D545" s="41" t="s">
        <v>108</v>
      </c>
      <c r="E545" s="42" t="n">
        <v>7950</v>
      </c>
      <c r="F545" s="42"/>
      <c r="G545" s="42"/>
      <c r="H545" s="43" t="n">
        <v>2</v>
      </c>
      <c r="I545" s="34" t="n">
        <f aca="false">E545*H545+N(F545)+N(G545)</f>
        <v>15900</v>
      </c>
      <c r="J545" s="42" t="n">
        <f aca="false">ROUND(IFERROR(ROUND(IF(OR(ISNUMBER(SEARCH("week",C545)),ISNUMBER(SEARCH("minggu",C545))),IFERROR(_xlfn.NUMBERVALUE(SUBSTITUTE(LEFT(TRIM(C545),FIND(" ",TRIM(C545)&amp;" ")-1),",","."),"."),LEFT(SUBSTITUTE(LEFT(TRIM(C545),FIND(" ",TRIM(C545)&amp;" ")-1),",","."),FIND("/",SUBSTITUTE(LEFT(TRIM(C545),FIND(" ",TRIM(C545)&amp;" ")-1),",","."))-1)/MID(SUBSTITUTE(LEFT(TRIM(C545),FIND(" ",TRIM(C545)&amp;" ")-1),",","."),FIND("/",SUBSTITUTE(LEFT(TRIM(C545),FIND(" ",TRIM(C545)&amp;" ")-1),",","."))+1,9))*12/52,IF(ISNUMBER(SEARCH("month",C545)),IFERROR(_xlfn.NUMBERVALUE(SUBSTITUTE(LEFT(TRIM(C545),FIND(" ",TRIM(C545)&amp;" ")-1),",","."),"."),LEFT(SUBSTITUTE(LEFT(TRIM(C545),FIND(" ",TRIM(C545)&amp;" ")-1),",","."),FIND("/",SUBSTITUTE(LEFT(TRIM(C545),FIND(" ",TRIM(C545)&amp;" ")-1),",","."))-1)/MID(SUBSTITUTE(LEFT(TRIM(C545),FIND(" ",TRIM(C545)&amp;" ")-1),",","."),FIND("/",SUBSTITUTE(LEFT(TRIM(C545),FIND(" ",TRIM(C545)&amp;" ")-1),",","."))+1,9)),IF(ISNUMBER(SEARCH("yea",C545)),IFERROR(_xlfn.NUMBERVALUE(SUBSTITUTE(LEFT(TRIM(C545),FIND(" ",TRIM(C545)&amp;" ")-1),",","."),"."),LEFT(SUBSTITUTE(LEFT(TRIM(C545),FIND(" ",TRIM(C545)&amp;" ")-1),",","."),FIND("/",SUBSTITUTE(LEFT(TRIM(C545),FIND(" ",TRIM(C545)&amp;" ")-1),",","."))-1)/MID(SUBSTITUTE(LEFT(TRIM(C545),FIND(" ",TRIM(C545)&amp;" ")-1),",","."),FIND("/",SUBSTITUTE(LEFT(TRIM(C545),FIND(" ",TRIM(C545)&amp;" ")-1),",","."))+1,9))*12,NA()))),0),24)*'Aturan &amp; Tarif'!$B$4,2)</f>
        <v>1362.72</v>
      </c>
      <c r="K545" s="42" t="n">
        <f aca="false">'Aturan &amp; Tarif'!$B$5</f>
        <v>2050</v>
      </c>
      <c r="L545" s="35" t="n">
        <f aca="false">I545+J545+K545</f>
        <v>19312.72</v>
      </c>
      <c r="M545" s="44" t="s">
        <v>1058</v>
      </c>
    </row>
    <row r="546" customFormat="false" ht="60" hidden="false" customHeight="true" outlineLevel="0" collapsed="false">
      <c r="A546" s="39"/>
      <c r="B546" s="40" t="s">
        <v>1077</v>
      </c>
      <c r="C546" s="41" t="s">
        <v>107</v>
      </c>
      <c r="D546" s="41" t="s">
        <v>108</v>
      </c>
      <c r="E546" s="42" t="n">
        <v>7950</v>
      </c>
      <c r="F546" s="42"/>
      <c r="G546" s="42"/>
      <c r="H546" s="43" t="n">
        <v>2</v>
      </c>
      <c r="I546" s="34" t="n">
        <f aca="false">E546*H546+N(F546)+N(G546)</f>
        <v>15900</v>
      </c>
      <c r="J546" s="42" t="n">
        <f aca="false">ROUND(IFERROR(ROUND(IF(OR(ISNUMBER(SEARCH("week",C546)),ISNUMBER(SEARCH("minggu",C546))),IFERROR(_xlfn.NUMBERVALUE(SUBSTITUTE(LEFT(TRIM(C546),FIND(" ",TRIM(C546)&amp;" ")-1),",","."),"."),LEFT(SUBSTITUTE(LEFT(TRIM(C546),FIND(" ",TRIM(C546)&amp;" ")-1),",","."),FIND("/",SUBSTITUTE(LEFT(TRIM(C546),FIND(" ",TRIM(C546)&amp;" ")-1),",","."))-1)/MID(SUBSTITUTE(LEFT(TRIM(C546),FIND(" ",TRIM(C546)&amp;" ")-1),",","."),FIND("/",SUBSTITUTE(LEFT(TRIM(C546),FIND(" ",TRIM(C546)&amp;" ")-1),",","."))+1,9))*12/52,IF(ISNUMBER(SEARCH("month",C546)),IFERROR(_xlfn.NUMBERVALUE(SUBSTITUTE(LEFT(TRIM(C546),FIND(" ",TRIM(C546)&amp;" ")-1),",","."),"."),LEFT(SUBSTITUTE(LEFT(TRIM(C546),FIND(" ",TRIM(C546)&amp;" ")-1),",","."),FIND("/",SUBSTITUTE(LEFT(TRIM(C546),FIND(" ",TRIM(C546)&amp;" ")-1),",","."))-1)/MID(SUBSTITUTE(LEFT(TRIM(C546),FIND(" ",TRIM(C546)&amp;" ")-1),",","."),FIND("/",SUBSTITUTE(LEFT(TRIM(C546),FIND(" ",TRIM(C546)&amp;" ")-1),",","."))+1,9)),IF(ISNUMBER(SEARCH("yea",C546)),IFERROR(_xlfn.NUMBERVALUE(SUBSTITUTE(LEFT(TRIM(C546),FIND(" ",TRIM(C546)&amp;" ")-1),",","."),"."),LEFT(SUBSTITUTE(LEFT(TRIM(C546),FIND(" ",TRIM(C546)&amp;" ")-1),",","."),FIND("/",SUBSTITUTE(LEFT(TRIM(C546),FIND(" ",TRIM(C546)&amp;" ")-1),",","."))-1)/MID(SUBSTITUTE(LEFT(TRIM(C546),FIND(" ",TRIM(C546)&amp;" ")-1),",","."),FIND("/",SUBSTITUTE(LEFT(TRIM(C546),FIND(" ",TRIM(C546)&amp;" ")-1),",","."))+1,9))*12,NA()))),0),24)*'Aturan &amp; Tarif'!$B$4,2)</f>
        <v>1362.72</v>
      </c>
      <c r="K546" s="42" t="n">
        <f aca="false">'Aturan &amp; Tarif'!$B$5</f>
        <v>2050</v>
      </c>
      <c r="L546" s="35" t="n">
        <f aca="false">I546+J546+K546</f>
        <v>19312.72</v>
      </c>
      <c r="M546" s="44" t="s">
        <v>1036</v>
      </c>
    </row>
    <row r="547" customFormat="false" ht="60" hidden="false" customHeight="true" outlineLevel="0" collapsed="false">
      <c r="A547" s="39"/>
      <c r="B547" s="40" t="s">
        <v>2963</v>
      </c>
      <c r="C547" s="41" t="s">
        <v>127</v>
      </c>
      <c r="D547" s="41" t="s">
        <v>108</v>
      </c>
      <c r="E547" s="42" t="n">
        <v>7333</v>
      </c>
      <c r="F547" s="42"/>
      <c r="G547" s="42"/>
      <c r="H547" s="43" t="n">
        <v>2</v>
      </c>
      <c r="I547" s="34" t="n">
        <f aca="false">E547*H547+N(F547)+N(G547)</f>
        <v>14666</v>
      </c>
      <c r="J547" s="42" t="n">
        <f aca="false">ROUND(IFERROR(ROUND(IF(OR(ISNUMBER(SEARCH("week",C547)),ISNUMBER(SEARCH("minggu",C547))),IFERROR(_xlfn.NUMBERVALUE(SUBSTITUTE(LEFT(TRIM(C547),FIND(" ",TRIM(C547)&amp;" ")-1),",","."),"."),LEFT(SUBSTITUTE(LEFT(TRIM(C547),FIND(" ",TRIM(C547)&amp;" ")-1),",","."),FIND("/",SUBSTITUTE(LEFT(TRIM(C547),FIND(" ",TRIM(C547)&amp;" ")-1),",","."))-1)/MID(SUBSTITUTE(LEFT(TRIM(C547),FIND(" ",TRIM(C547)&amp;" ")-1),",","."),FIND("/",SUBSTITUTE(LEFT(TRIM(C547),FIND(" ",TRIM(C547)&amp;" ")-1),",","."))+1,9))*12/52,IF(ISNUMBER(SEARCH("month",C547)),IFERROR(_xlfn.NUMBERVALUE(SUBSTITUTE(LEFT(TRIM(C547),FIND(" ",TRIM(C547)&amp;" ")-1),",","."),"."),LEFT(SUBSTITUTE(LEFT(TRIM(C547),FIND(" ",TRIM(C547)&amp;" ")-1),",","."),FIND("/",SUBSTITUTE(LEFT(TRIM(C547),FIND(" ",TRIM(C547)&amp;" ")-1),",","."))-1)/MID(SUBSTITUTE(LEFT(TRIM(C547),FIND(" ",TRIM(C547)&amp;" ")-1),",","."),FIND("/",SUBSTITUTE(LEFT(TRIM(C547),FIND(" ",TRIM(C547)&amp;" ")-1),",","."))+1,9)),IF(ISNUMBER(SEARCH("yea",C547)),IFERROR(_xlfn.NUMBERVALUE(SUBSTITUTE(LEFT(TRIM(C547),FIND(" ",TRIM(C547)&amp;" ")-1),",","."),"."),LEFT(SUBSTITUTE(LEFT(TRIM(C547),FIND(" ",TRIM(C547)&amp;" ")-1),",","."),FIND("/",SUBSTITUTE(LEFT(TRIM(C547),FIND(" ",TRIM(C547)&amp;" ")-1),",","."))-1)/MID(SUBSTITUTE(LEFT(TRIM(C547),FIND(" ",TRIM(C547)&amp;" ")-1),",","."),FIND("/",SUBSTITUTE(LEFT(TRIM(C547),FIND(" ",TRIM(C547)&amp;" ")-1),",","."))+1,9))*12,NA()))),0),36)*'Aturan &amp; Tarif'!$B$4,2)</f>
        <v>2044.08</v>
      </c>
      <c r="K547" s="42" t="n">
        <f aca="false">'Aturan &amp; Tarif'!$B$5</f>
        <v>2050</v>
      </c>
      <c r="L547" s="35" t="n">
        <f aca="false">I547+J547+K547</f>
        <v>18760.08</v>
      </c>
      <c r="M547" s="44" t="s">
        <v>3395</v>
      </c>
    </row>
    <row r="548" customFormat="false" ht="60" hidden="false" customHeight="true" outlineLevel="0" collapsed="false">
      <c r="A548" s="39"/>
      <c r="B548" s="40" t="s">
        <v>1145</v>
      </c>
      <c r="C548" s="41" t="s">
        <v>113</v>
      </c>
      <c r="D548" s="41" t="s">
        <v>108</v>
      </c>
      <c r="E548" s="42" t="n">
        <v>6563</v>
      </c>
      <c r="F548" s="42"/>
      <c r="G548" s="42"/>
      <c r="H548" s="43" t="n">
        <v>2</v>
      </c>
      <c r="I548" s="34" t="n">
        <f aca="false">E548*H548+N(F548)+N(G548)</f>
        <v>13126</v>
      </c>
      <c r="J548" s="42" t="n">
        <f aca="false">ROUND(IFERROR(ROUND(IF(OR(ISNUMBER(SEARCH("week",C548)),ISNUMBER(SEARCH("minggu",C548))),IFERROR(_xlfn.NUMBERVALUE(SUBSTITUTE(LEFT(TRIM(C548),FIND(" ",TRIM(C548)&amp;" ")-1),",","."),"."),LEFT(SUBSTITUTE(LEFT(TRIM(C548),FIND(" ",TRIM(C548)&amp;" ")-1),",","."),FIND("/",SUBSTITUTE(LEFT(TRIM(C548),FIND(" ",TRIM(C548)&amp;" ")-1),",","."))-1)/MID(SUBSTITUTE(LEFT(TRIM(C548),FIND(" ",TRIM(C548)&amp;" ")-1),",","."),FIND("/",SUBSTITUTE(LEFT(TRIM(C548),FIND(" ",TRIM(C548)&amp;" ")-1),",","."))+1,9))*12/52,IF(ISNUMBER(SEARCH("month",C548)),IFERROR(_xlfn.NUMBERVALUE(SUBSTITUTE(LEFT(TRIM(C548),FIND(" ",TRIM(C548)&amp;" ")-1),",","."),"."),LEFT(SUBSTITUTE(LEFT(TRIM(C548),FIND(" ",TRIM(C548)&amp;" ")-1),",","."),FIND("/",SUBSTITUTE(LEFT(TRIM(C548),FIND(" ",TRIM(C548)&amp;" ")-1),",","."))-1)/MID(SUBSTITUTE(LEFT(TRIM(C548),FIND(" ",TRIM(C548)&amp;" ")-1),",","."),FIND("/",SUBSTITUTE(LEFT(TRIM(C548),FIND(" ",TRIM(C548)&amp;" ")-1),",","."))+1,9)),IF(ISNUMBER(SEARCH("yea",C548)),IFERROR(_xlfn.NUMBERVALUE(SUBSTITUTE(LEFT(TRIM(C548),FIND(" ",TRIM(C548)&amp;" ")-1),",","."),"."),LEFT(SUBSTITUTE(LEFT(TRIM(C548),FIND(" ",TRIM(C548)&amp;" ")-1),",","."),FIND("/",SUBSTITUTE(LEFT(TRIM(C548),FIND(" ",TRIM(C548)&amp;" ")-1),",","."))-1)/MID(SUBSTITUTE(LEFT(TRIM(C548),FIND(" ",TRIM(C548)&amp;" ")-1),",","."),FIND("/",SUBSTITUTE(LEFT(TRIM(C548),FIND(" ",TRIM(C548)&amp;" ")-1),",","."))+1,9))*12,NA()))),0),18)*'Aturan &amp; Tarif'!$B$4,2)</f>
        <v>1022.04</v>
      </c>
      <c r="K548" s="42" t="n">
        <f aca="false">'Aturan &amp; Tarif'!$B$5</f>
        <v>2050</v>
      </c>
      <c r="L548" s="35" t="n">
        <f aca="false">I548+J548+K548</f>
        <v>16198.04</v>
      </c>
      <c r="M548" s="44" t="s">
        <v>1146</v>
      </c>
    </row>
    <row r="549" customFormat="false" ht="60" hidden="false" customHeight="true" outlineLevel="0" collapsed="false">
      <c r="A549" s="39"/>
      <c r="B549" s="40" t="s">
        <v>1040</v>
      </c>
      <c r="C549" s="41" t="s">
        <v>127</v>
      </c>
      <c r="D549" s="41" t="s">
        <v>108</v>
      </c>
      <c r="E549" s="42" t="n">
        <v>7900</v>
      </c>
      <c r="F549" s="42"/>
      <c r="G549" s="42"/>
      <c r="H549" s="43" t="n">
        <v>2</v>
      </c>
      <c r="I549" s="34" t="n">
        <f aca="false">E549*H549+N(F549)+N(G549)</f>
        <v>15800</v>
      </c>
      <c r="J549" s="42" t="n">
        <f aca="false">ROUND(IFERROR(ROUND(IF(OR(ISNUMBER(SEARCH("week",C549)),ISNUMBER(SEARCH("minggu",C549))),IFERROR(_xlfn.NUMBERVALUE(SUBSTITUTE(LEFT(TRIM(C549),FIND(" ",TRIM(C549)&amp;" ")-1),",","."),"."),LEFT(SUBSTITUTE(LEFT(TRIM(C549),FIND(" ",TRIM(C549)&amp;" ")-1),",","."),FIND("/",SUBSTITUTE(LEFT(TRIM(C549),FIND(" ",TRIM(C549)&amp;" ")-1),",","."))-1)/MID(SUBSTITUTE(LEFT(TRIM(C549),FIND(" ",TRIM(C549)&amp;" ")-1),",","."),FIND("/",SUBSTITUTE(LEFT(TRIM(C549),FIND(" ",TRIM(C549)&amp;" ")-1),",","."))+1,9))*12/52,IF(ISNUMBER(SEARCH("month",C549)),IFERROR(_xlfn.NUMBERVALUE(SUBSTITUTE(LEFT(TRIM(C549),FIND(" ",TRIM(C549)&amp;" ")-1),",","."),"."),LEFT(SUBSTITUTE(LEFT(TRIM(C549),FIND(" ",TRIM(C549)&amp;" ")-1),",","."),FIND("/",SUBSTITUTE(LEFT(TRIM(C549),FIND(" ",TRIM(C549)&amp;" ")-1),",","."))-1)/MID(SUBSTITUTE(LEFT(TRIM(C549),FIND(" ",TRIM(C549)&amp;" ")-1),",","."),FIND("/",SUBSTITUTE(LEFT(TRIM(C549),FIND(" ",TRIM(C549)&amp;" ")-1),",","."))+1,9)),IF(ISNUMBER(SEARCH("yea",C549)),IFERROR(_xlfn.NUMBERVALUE(SUBSTITUTE(LEFT(TRIM(C549),FIND(" ",TRIM(C549)&amp;" ")-1),",","."),"."),LEFT(SUBSTITUTE(LEFT(TRIM(C549),FIND(" ",TRIM(C549)&amp;" ")-1),",","."),FIND("/",SUBSTITUTE(LEFT(TRIM(C549),FIND(" ",TRIM(C549)&amp;" ")-1),",","."))-1)/MID(SUBSTITUTE(LEFT(TRIM(C549),FIND(" ",TRIM(C549)&amp;" ")-1),",","."),FIND("/",SUBSTITUTE(LEFT(TRIM(C549),FIND(" ",TRIM(C549)&amp;" ")-1),",","."))+1,9))*12,NA()))),0),36)*'Aturan &amp; Tarif'!$B$4,2)</f>
        <v>2044.08</v>
      </c>
      <c r="K549" s="42" t="n">
        <f aca="false">'Aturan &amp; Tarif'!$B$5</f>
        <v>2050</v>
      </c>
      <c r="L549" s="35" t="n">
        <f aca="false">I549+J549+K549</f>
        <v>19894.08</v>
      </c>
      <c r="M549" s="44" t="s">
        <v>1041</v>
      </c>
    </row>
    <row r="550" customFormat="false" ht="60" hidden="false" customHeight="true" outlineLevel="0" collapsed="false">
      <c r="A550" s="39"/>
      <c r="B550" s="40" t="s">
        <v>1783</v>
      </c>
      <c r="C550" s="41" t="s">
        <v>344</v>
      </c>
      <c r="D550" s="41" t="s">
        <v>108</v>
      </c>
      <c r="E550" s="42" t="n">
        <v>5248</v>
      </c>
      <c r="F550" s="42"/>
      <c r="G550" s="42"/>
      <c r="H550" s="43" t="n">
        <v>2</v>
      </c>
      <c r="I550" s="34" t="n">
        <f aca="false">E550*H550+N(F550)+N(G550)</f>
        <v>10496</v>
      </c>
      <c r="J550" s="42" t="n">
        <f aca="false">ROUND(IFERROR(ROUND(IF(OR(ISNUMBER(SEARCH("week",C550)),ISNUMBER(SEARCH("minggu",C550))),IFERROR(_xlfn.NUMBERVALUE(SUBSTITUTE(LEFT(TRIM(C550),FIND(" ",TRIM(C550)&amp;" ")-1),",","."),"."),LEFT(SUBSTITUTE(LEFT(TRIM(C550),FIND(" ",TRIM(C550)&amp;" ")-1),",","."),FIND("/",SUBSTITUTE(LEFT(TRIM(C550),FIND(" ",TRIM(C550)&amp;" ")-1),",","."))-1)/MID(SUBSTITUTE(LEFT(TRIM(C550),FIND(" ",TRIM(C550)&amp;" ")-1),",","."),FIND("/",SUBSTITUTE(LEFT(TRIM(C550),FIND(" ",TRIM(C550)&amp;" ")-1),",","."))+1,9))*12/52,IF(ISNUMBER(SEARCH("month",C550)),IFERROR(_xlfn.NUMBERVALUE(SUBSTITUTE(LEFT(TRIM(C550),FIND(" ",TRIM(C550)&amp;" ")-1),",","."),"."),LEFT(SUBSTITUTE(LEFT(TRIM(C550),FIND(" ",TRIM(C550)&amp;" ")-1),",","."),FIND("/",SUBSTITUTE(LEFT(TRIM(C550),FIND(" ",TRIM(C550)&amp;" ")-1),",","."))-1)/MID(SUBSTITUTE(LEFT(TRIM(C550),FIND(" ",TRIM(C550)&amp;" ")-1),",","."),FIND("/",SUBSTITUTE(LEFT(TRIM(C550),FIND(" ",TRIM(C550)&amp;" ")-1),",","."))+1,9)),IF(ISNUMBER(SEARCH("yea",C550)),IFERROR(_xlfn.NUMBERVALUE(SUBSTITUTE(LEFT(TRIM(C550),FIND(" ",TRIM(C550)&amp;" ")-1),",","."),"."),LEFT(SUBSTITUTE(LEFT(TRIM(C550),FIND(" ",TRIM(C550)&amp;" ")-1),",","."),FIND("/",SUBSTITUTE(LEFT(TRIM(C550),FIND(" ",TRIM(C550)&amp;" ")-1),",","."))-1)/MID(SUBSTITUTE(LEFT(TRIM(C550),FIND(" ",TRIM(C550)&amp;" ")-1),",","."),FIND("/",SUBSTITUTE(LEFT(TRIM(C550),FIND(" ",TRIM(C550)&amp;" ")-1),",","."))+1,9))*12,NA()))),0),6)*'Aturan &amp; Tarif'!$B$4,2)</f>
        <v>340.68</v>
      </c>
      <c r="K550" s="42" t="n">
        <f aca="false">'Aturan &amp; Tarif'!$B$5</f>
        <v>2050</v>
      </c>
      <c r="L550" s="35" t="n">
        <f aca="false">I550+J550+K550</f>
        <v>12886.68</v>
      </c>
      <c r="M550" s="44" t="s">
        <v>1784</v>
      </c>
    </row>
    <row r="551" customFormat="false" ht="25.5" hidden="false" customHeight="true" outlineLevel="0" collapsed="false">
      <c r="A551" s="39"/>
      <c r="B551" s="40" t="s">
        <v>2517</v>
      </c>
      <c r="C551" s="41" t="s">
        <v>344</v>
      </c>
      <c r="D551" s="41" t="s">
        <v>108</v>
      </c>
      <c r="E551" s="42" t="n">
        <v>5700</v>
      </c>
      <c r="F551" s="42"/>
      <c r="G551" s="42"/>
      <c r="H551" s="43" t="n">
        <v>2</v>
      </c>
      <c r="I551" s="34" t="n">
        <f aca="false">E551*H551+N(F551)+N(G551)</f>
        <v>11400</v>
      </c>
      <c r="J551" s="42" t="n">
        <f aca="false">ROUND(IFERROR(ROUND(IF(OR(ISNUMBER(SEARCH("week",C551)),ISNUMBER(SEARCH("minggu",C551))),IFERROR(_xlfn.NUMBERVALUE(SUBSTITUTE(LEFT(TRIM(C551),FIND(" ",TRIM(C551)&amp;" ")-1),",","."),"."),LEFT(SUBSTITUTE(LEFT(TRIM(C551),FIND(" ",TRIM(C551)&amp;" ")-1),",","."),FIND("/",SUBSTITUTE(LEFT(TRIM(C551),FIND(" ",TRIM(C551)&amp;" ")-1),",","."))-1)/MID(SUBSTITUTE(LEFT(TRIM(C551),FIND(" ",TRIM(C551)&amp;" ")-1),",","."),FIND("/",SUBSTITUTE(LEFT(TRIM(C551),FIND(" ",TRIM(C551)&amp;" ")-1),",","."))+1,9))*12/52,IF(ISNUMBER(SEARCH("month",C551)),IFERROR(_xlfn.NUMBERVALUE(SUBSTITUTE(LEFT(TRIM(C551),FIND(" ",TRIM(C551)&amp;" ")-1),",","."),"."),LEFT(SUBSTITUTE(LEFT(TRIM(C551),FIND(" ",TRIM(C551)&amp;" ")-1),",","."),FIND("/",SUBSTITUTE(LEFT(TRIM(C551),FIND(" ",TRIM(C551)&amp;" ")-1),",","."))-1)/MID(SUBSTITUTE(LEFT(TRIM(C551),FIND(" ",TRIM(C551)&amp;" ")-1),",","."),FIND("/",SUBSTITUTE(LEFT(TRIM(C551),FIND(" ",TRIM(C551)&amp;" ")-1),",","."))+1,9)),IF(ISNUMBER(SEARCH("yea",C551)),IFERROR(_xlfn.NUMBERVALUE(SUBSTITUTE(LEFT(TRIM(C551),FIND(" ",TRIM(C551)&amp;" ")-1),",","."),"."),LEFT(SUBSTITUTE(LEFT(TRIM(C551),FIND(" ",TRIM(C551)&amp;" ")-1),",","."),FIND("/",SUBSTITUTE(LEFT(TRIM(C551),FIND(" ",TRIM(C551)&amp;" ")-1),",","."))-1)/MID(SUBSTITUTE(LEFT(TRIM(C551),FIND(" ",TRIM(C551)&amp;" ")-1),",","."),FIND("/",SUBSTITUTE(LEFT(TRIM(C551),FIND(" ",TRIM(C551)&amp;" ")-1),",","."))+1,9))*12,NA()))),0),6)*'Aturan &amp; Tarif'!$B$4,2)</f>
        <v>340.68</v>
      </c>
      <c r="K551" s="42" t="n">
        <f aca="false">'Aturan &amp; Tarif'!$B$5</f>
        <v>2050</v>
      </c>
      <c r="L551" s="35" t="n">
        <f aca="false">I551+J551+K551</f>
        <v>13790.68</v>
      </c>
      <c r="M551" s="44" t="s">
        <v>2518</v>
      </c>
    </row>
    <row r="552" customFormat="false" ht="25.5" hidden="false" customHeight="true" outlineLevel="0" collapsed="false">
      <c r="A552" s="39"/>
      <c r="B552" s="40" t="s">
        <v>1785</v>
      </c>
      <c r="C552" s="41" t="s">
        <v>107</v>
      </c>
      <c r="D552" s="41" t="s">
        <v>108</v>
      </c>
      <c r="E552" s="42" t="n">
        <v>10495</v>
      </c>
      <c r="F552" s="42"/>
      <c r="G552" s="42"/>
      <c r="H552" s="43" t="n">
        <v>2</v>
      </c>
      <c r="I552" s="34" t="n">
        <f aca="false">E552*H552+N(F552)+N(G552)</f>
        <v>20990</v>
      </c>
      <c r="J552" s="42" t="n">
        <f aca="false">ROUND(IFERROR(ROUND(IF(OR(ISNUMBER(SEARCH("week",C552)),ISNUMBER(SEARCH("minggu",C552))),IFERROR(_xlfn.NUMBERVALUE(SUBSTITUTE(LEFT(TRIM(C552),FIND(" ",TRIM(C552)&amp;" ")-1),",","."),"."),LEFT(SUBSTITUTE(LEFT(TRIM(C552),FIND(" ",TRIM(C552)&amp;" ")-1),",","."),FIND("/",SUBSTITUTE(LEFT(TRIM(C552),FIND(" ",TRIM(C552)&amp;" ")-1),",","."))-1)/MID(SUBSTITUTE(LEFT(TRIM(C552),FIND(" ",TRIM(C552)&amp;" ")-1),",","."),FIND("/",SUBSTITUTE(LEFT(TRIM(C552),FIND(" ",TRIM(C552)&amp;" ")-1),",","."))+1,9))*12/52,IF(ISNUMBER(SEARCH("month",C552)),IFERROR(_xlfn.NUMBERVALUE(SUBSTITUTE(LEFT(TRIM(C552),FIND(" ",TRIM(C552)&amp;" ")-1),",","."),"."),LEFT(SUBSTITUTE(LEFT(TRIM(C552),FIND(" ",TRIM(C552)&amp;" ")-1),",","."),FIND("/",SUBSTITUTE(LEFT(TRIM(C552),FIND(" ",TRIM(C552)&amp;" ")-1),",","."))-1)/MID(SUBSTITUTE(LEFT(TRIM(C552),FIND(" ",TRIM(C552)&amp;" ")-1),",","."),FIND("/",SUBSTITUTE(LEFT(TRIM(C552),FIND(" ",TRIM(C552)&amp;" ")-1),",","."))+1,9)),IF(ISNUMBER(SEARCH("yea",C552)),IFERROR(_xlfn.NUMBERVALUE(SUBSTITUTE(LEFT(TRIM(C552),FIND(" ",TRIM(C552)&amp;" ")-1),",","."),"."),LEFT(SUBSTITUTE(LEFT(TRIM(C552),FIND(" ",TRIM(C552)&amp;" ")-1),",","."),FIND("/",SUBSTITUTE(LEFT(TRIM(C552),FIND(" ",TRIM(C552)&amp;" ")-1),",","."))-1)/MID(SUBSTITUTE(LEFT(TRIM(C552),FIND(" ",TRIM(C552)&amp;" ")-1),",","."),FIND("/",SUBSTITUTE(LEFT(TRIM(C552),FIND(" ",TRIM(C552)&amp;" ")-1),",","."))+1,9))*12,NA()))),0),24)*'Aturan &amp; Tarif'!$B$4,2)</f>
        <v>1362.72</v>
      </c>
      <c r="K552" s="42" t="n">
        <f aca="false">'Aturan &amp; Tarif'!$B$5</f>
        <v>2050</v>
      </c>
      <c r="L552" s="35" t="n">
        <f aca="false">I552+J552+K552</f>
        <v>24402.72</v>
      </c>
      <c r="M552" s="45" t="s">
        <v>1786</v>
      </c>
    </row>
    <row r="553" customFormat="false" ht="60" hidden="false" customHeight="true" outlineLevel="0" collapsed="false">
      <c r="A553" s="39"/>
      <c r="B553" s="40" t="s">
        <v>2519</v>
      </c>
      <c r="C553" s="41" t="s">
        <v>107</v>
      </c>
      <c r="D553" s="41" t="s">
        <v>108</v>
      </c>
      <c r="E553" s="42" t="n">
        <v>11400</v>
      </c>
      <c r="F553" s="42"/>
      <c r="G553" s="42"/>
      <c r="H553" s="43" t="n">
        <v>2</v>
      </c>
      <c r="I553" s="34" t="n">
        <f aca="false">E553*H553+N(F553)+N(G553)</f>
        <v>22800</v>
      </c>
      <c r="J553" s="42" t="n">
        <f aca="false">ROUND(IFERROR(ROUND(IF(OR(ISNUMBER(SEARCH("week",C553)),ISNUMBER(SEARCH("minggu",C553))),IFERROR(_xlfn.NUMBERVALUE(SUBSTITUTE(LEFT(TRIM(C553),FIND(" ",TRIM(C553)&amp;" ")-1),",","."),"."),LEFT(SUBSTITUTE(LEFT(TRIM(C553),FIND(" ",TRIM(C553)&amp;" ")-1),",","."),FIND("/",SUBSTITUTE(LEFT(TRIM(C553),FIND(" ",TRIM(C553)&amp;" ")-1),",","."))-1)/MID(SUBSTITUTE(LEFT(TRIM(C553),FIND(" ",TRIM(C553)&amp;" ")-1),",","."),FIND("/",SUBSTITUTE(LEFT(TRIM(C553),FIND(" ",TRIM(C553)&amp;" ")-1),",","."))+1,9))*12/52,IF(ISNUMBER(SEARCH("month",C553)),IFERROR(_xlfn.NUMBERVALUE(SUBSTITUTE(LEFT(TRIM(C553),FIND(" ",TRIM(C553)&amp;" ")-1),",","."),"."),LEFT(SUBSTITUTE(LEFT(TRIM(C553),FIND(" ",TRIM(C553)&amp;" ")-1),",","."),FIND("/",SUBSTITUTE(LEFT(TRIM(C553),FIND(" ",TRIM(C553)&amp;" ")-1),",","."))-1)/MID(SUBSTITUTE(LEFT(TRIM(C553),FIND(" ",TRIM(C553)&amp;" ")-1),",","."),FIND("/",SUBSTITUTE(LEFT(TRIM(C553),FIND(" ",TRIM(C553)&amp;" ")-1),",","."))+1,9)),IF(ISNUMBER(SEARCH("yea",C553)),IFERROR(_xlfn.NUMBERVALUE(SUBSTITUTE(LEFT(TRIM(C553),FIND(" ",TRIM(C553)&amp;" ")-1),",","."),"."),LEFT(SUBSTITUTE(LEFT(TRIM(C553),FIND(" ",TRIM(C553)&amp;" ")-1),",","."),FIND("/",SUBSTITUTE(LEFT(TRIM(C553),FIND(" ",TRIM(C553)&amp;" ")-1),",","."))-1)/MID(SUBSTITUTE(LEFT(TRIM(C553),FIND(" ",TRIM(C553)&amp;" ")-1),",","."),FIND("/",SUBSTITUTE(LEFT(TRIM(C553),FIND(" ",TRIM(C553)&amp;" ")-1),",","."))+1,9))*12,NA()))),0),24)*'Aturan &amp; Tarif'!$B$4,2)</f>
        <v>1362.72</v>
      </c>
      <c r="K553" s="42" t="n">
        <f aca="false">'Aturan &amp; Tarif'!$B$5</f>
        <v>2050</v>
      </c>
      <c r="L553" s="35" t="n">
        <f aca="false">I553+J553+K553</f>
        <v>26212.72</v>
      </c>
      <c r="M553" s="45" t="s">
        <v>2520</v>
      </c>
    </row>
    <row r="554" customFormat="false" ht="60" hidden="false" customHeight="true" outlineLevel="0" collapsed="false">
      <c r="A554" s="39"/>
      <c r="B554" s="40" t="s">
        <v>1151</v>
      </c>
      <c r="C554" s="41" t="s">
        <v>344</v>
      </c>
      <c r="D554" s="41" t="s">
        <v>108</v>
      </c>
      <c r="E554" s="42" t="n">
        <v>3688</v>
      </c>
      <c r="F554" s="42"/>
      <c r="G554" s="42"/>
      <c r="H554" s="43" t="n">
        <v>2</v>
      </c>
      <c r="I554" s="34" t="n">
        <f aca="false">E554*H554+N(F554)+N(G554)</f>
        <v>7376</v>
      </c>
      <c r="J554" s="42" t="n">
        <f aca="false">ROUND(IFERROR(ROUND(IF(OR(ISNUMBER(SEARCH("week",C554)),ISNUMBER(SEARCH("minggu",C554))),IFERROR(_xlfn.NUMBERVALUE(SUBSTITUTE(LEFT(TRIM(C554),FIND(" ",TRIM(C554)&amp;" ")-1),",","."),"."),LEFT(SUBSTITUTE(LEFT(TRIM(C554),FIND(" ",TRIM(C554)&amp;" ")-1),",","."),FIND("/",SUBSTITUTE(LEFT(TRIM(C554),FIND(" ",TRIM(C554)&amp;" ")-1),",","."))-1)/MID(SUBSTITUTE(LEFT(TRIM(C554),FIND(" ",TRIM(C554)&amp;" ")-1),",","."),FIND("/",SUBSTITUTE(LEFT(TRIM(C554),FIND(" ",TRIM(C554)&amp;" ")-1),",","."))+1,9))*12/52,IF(ISNUMBER(SEARCH("month",C554)),IFERROR(_xlfn.NUMBERVALUE(SUBSTITUTE(LEFT(TRIM(C554),FIND(" ",TRIM(C554)&amp;" ")-1),",","."),"."),LEFT(SUBSTITUTE(LEFT(TRIM(C554),FIND(" ",TRIM(C554)&amp;" ")-1),",","."),FIND("/",SUBSTITUTE(LEFT(TRIM(C554),FIND(" ",TRIM(C554)&amp;" ")-1),",","."))-1)/MID(SUBSTITUTE(LEFT(TRIM(C554),FIND(" ",TRIM(C554)&amp;" ")-1),",","."),FIND("/",SUBSTITUTE(LEFT(TRIM(C554),FIND(" ",TRIM(C554)&amp;" ")-1),",","."))+1,9)),IF(ISNUMBER(SEARCH("yea",C554)),IFERROR(_xlfn.NUMBERVALUE(SUBSTITUTE(LEFT(TRIM(C554),FIND(" ",TRIM(C554)&amp;" ")-1),",","."),"."),LEFT(SUBSTITUTE(LEFT(TRIM(C554),FIND(" ",TRIM(C554)&amp;" ")-1),",","."),FIND("/",SUBSTITUTE(LEFT(TRIM(C554),FIND(" ",TRIM(C554)&amp;" ")-1),",","."))-1)/MID(SUBSTITUTE(LEFT(TRIM(C554),FIND(" ",TRIM(C554)&amp;" ")-1),",","."),FIND("/",SUBSTITUTE(LEFT(TRIM(C554),FIND(" ",TRIM(C554)&amp;" ")-1),",","."))+1,9))*12,NA()))),0),6)*'Aturan &amp; Tarif'!$B$4,2)</f>
        <v>340.68</v>
      </c>
      <c r="K554" s="42" t="n">
        <f aca="false">'Aturan &amp; Tarif'!$B$5</f>
        <v>2050</v>
      </c>
      <c r="L554" s="35" t="n">
        <f aca="false">I554+J554+K554</f>
        <v>9766.68</v>
      </c>
      <c r="M554" s="44" t="s">
        <v>1152</v>
      </c>
    </row>
    <row r="555" customFormat="false" ht="60" hidden="false" customHeight="true" outlineLevel="0" collapsed="false">
      <c r="A555" s="39"/>
      <c r="B555" s="40" t="s">
        <v>1153</v>
      </c>
      <c r="C555" s="41" t="s">
        <v>130</v>
      </c>
      <c r="D555" s="41" t="s">
        <v>108</v>
      </c>
      <c r="E555" s="42" t="n">
        <v>7375</v>
      </c>
      <c r="F555" s="42"/>
      <c r="G555" s="42"/>
      <c r="H555" s="43" t="n">
        <v>2</v>
      </c>
      <c r="I555" s="34" t="n">
        <f aca="false">E555*H555+N(F555)+N(G555)</f>
        <v>14750</v>
      </c>
      <c r="J555" s="42" t="n">
        <f aca="false">ROUND(IFERROR(ROUND(IF(OR(ISNUMBER(SEARCH("week",C555)),ISNUMBER(SEARCH("minggu",C555))),IFERROR(_xlfn.NUMBERVALUE(SUBSTITUTE(LEFT(TRIM(C555),FIND(" ",TRIM(C555)&amp;" ")-1),",","."),"."),LEFT(SUBSTITUTE(LEFT(TRIM(C555),FIND(" ",TRIM(C555)&amp;" ")-1),",","."),FIND("/",SUBSTITUTE(LEFT(TRIM(C555),FIND(" ",TRIM(C555)&amp;" ")-1),",","."))-1)/MID(SUBSTITUTE(LEFT(TRIM(C555),FIND(" ",TRIM(C555)&amp;" ")-1),",","."),FIND("/",SUBSTITUTE(LEFT(TRIM(C555),FIND(" ",TRIM(C555)&amp;" ")-1),",","."))+1,9))*12/52,IF(ISNUMBER(SEARCH("month",C555)),IFERROR(_xlfn.NUMBERVALUE(SUBSTITUTE(LEFT(TRIM(C555),FIND(" ",TRIM(C555)&amp;" ")-1),",","."),"."),LEFT(SUBSTITUTE(LEFT(TRIM(C555),FIND(" ",TRIM(C555)&amp;" ")-1),",","."),FIND("/",SUBSTITUTE(LEFT(TRIM(C555),FIND(" ",TRIM(C555)&amp;" ")-1),",","."))-1)/MID(SUBSTITUTE(LEFT(TRIM(C555),FIND(" ",TRIM(C555)&amp;" ")-1),",","."),FIND("/",SUBSTITUTE(LEFT(TRIM(C555),FIND(" ",TRIM(C555)&amp;" ")-1),",","."))+1,9)),IF(ISNUMBER(SEARCH("yea",C555)),IFERROR(_xlfn.NUMBERVALUE(SUBSTITUTE(LEFT(TRIM(C555),FIND(" ",TRIM(C555)&amp;" ")-1),",","."),"."),LEFT(SUBSTITUTE(LEFT(TRIM(C555),FIND(" ",TRIM(C555)&amp;" ")-1),",","."),FIND("/",SUBSTITUTE(LEFT(TRIM(C555),FIND(" ",TRIM(C555)&amp;" ")-1),",","."))-1)/MID(SUBSTITUTE(LEFT(TRIM(C555),FIND(" ",TRIM(C555)&amp;" ")-1),",","."),FIND("/",SUBSTITUTE(LEFT(TRIM(C555),FIND(" ",TRIM(C555)&amp;" ")-1),",","."))+1,9))*12,NA()))),0),12)*'Aturan &amp; Tarif'!$B$4,2)</f>
        <v>681.36</v>
      </c>
      <c r="K555" s="42" t="n">
        <f aca="false">'Aturan &amp; Tarif'!$B$5</f>
        <v>2050</v>
      </c>
      <c r="L555" s="35" t="n">
        <f aca="false">I555+J555+K555</f>
        <v>17481.36</v>
      </c>
      <c r="M555" s="44" t="s">
        <v>1154</v>
      </c>
    </row>
    <row r="556" customFormat="false" ht="60" hidden="false" customHeight="true" outlineLevel="0" collapsed="false">
      <c r="A556" s="39"/>
      <c r="B556" s="40" t="s">
        <v>1155</v>
      </c>
      <c r="C556" s="41" t="s">
        <v>107</v>
      </c>
      <c r="D556" s="41" t="s">
        <v>108</v>
      </c>
      <c r="E556" s="42" t="n">
        <v>7375</v>
      </c>
      <c r="F556" s="42"/>
      <c r="G556" s="42"/>
      <c r="H556" s="43" t="n">
        <v>2</v>
      </c>
      <c r="I556" s="34" t="n">
        <f aca="false">E556*H556+N(F556)+N(G556)</f>
        <v>14750</v>
      </c>
      <c r="J556" s="42" t="n">
        <f aca="false">ROUND(IFERROR(ROUND(IF(OR(ISNUMBER(SEARCH("week",C556)),ISNUMBER(SEARCH("minggu",C556))),IFERROR(_xlfn.NUMBERVALUE(SUBSTITUTE(LEFT(TRIM(C556),FIND(" ",TRIM(C556)&amp;" ")-1),",","."),"."),LEFT(SUBSTITUTE(LEFT(TRIM(C556),FIND(" ",TRIM(C556)&amp;" ")-1),",","."),FIND("/",SUBSTITUTE(LEFT(TRIM(C556),FIND(" ",TRIM(C556)&amp;" ")-1),",","."))-1)/MID(SUBSTITUTE(LEFT(TRIM(C556),FIND(" ",TRIM(C556)&amp;" ")-1),",","."),FIND("/",SUBSTITUTE(LEFT(TRIM(C556),FIND(" ",TRIM(C556)&amp;" ")-1),",","."))+1,9))*12/52,IF(ISNUMBER(SEARCH("month",C556)),IFERROR(_xlfn.NUMBERVALUE(SUBSTITUTE(LEFT(TRIM(C556),FIND(" ",TRIM(C556)&amp;" ")-1),",","."),"."),LEFT(SUBSTITUTE(LEFT(TRIM(C556),FIND(" ",TRIM(C556)&amp;" ")-1),",","."),FIND("/",SUBSTITUTE(LEFT(TRIM(C556),FIND(" ",TRIM(C556)&amp;" ")-1),",","."))-1)/MID(SUBSTITUTE(LEFT(TRIM(C556),FIND(" ",TRIM(C556)&amp;" ")-1),",","."),FIND("/",SUBSTITUTE(LEFT(TRIM(C556),FIND(" ",TRIM(C556)&amp;" ")-1),",","."))+1,9)),IF(ISNUMBER(SEARCH("yea",C556)),IFERROR(_xlfn.NUMBERVALUE(SUBSTITUTE(LEFT(TRIM(C556),FIND(" ",TRIM(C556)&amp;" ")-1),",","."),"."),LEFT(SUBSTITUTE(LEFT(TRIM(C556),FIND(" ",TRIM(C556)&amp;" ")-1),",","."),FIND("/",SUBSTITUTE(LEFT(TRIM(C556),FIND(" ",TRIM(C556)&amp;" ")-1),",","."))-1)/MID(SUBSTITUTE(LEFT(TRIM(C556),FIND(" ",TRIM(C556)&amp;" ")-1),",","."),FIND("/",SUBSTITUTE(LEFT(TRIM(C556),FIND(" ",TRIM(C556)&amp;" ")-1),",","."))+1,9))*12,NA()))),0),24)*'Aturan &amp; Tarif'!$B$4,2)</f>
        <v>1362.72</v>
      </c>
      <c r="K556" s="42" t="n">
        <f aca="false">'Aturan &amp; Tarif'!$B$5</f>
        <v>2050</v>
      </c>
      <c r="L556" s="35" t="n">
        <f aca="false">I556+J556+K556</f>
        <v>18162.72</v>
      </c>
      <c r="M556" s="44" t="s">
        <v>1156</v>
      </c>
    </row>
    <row r="557" customFormat="false" ht="60" hidden="false" customHeight="true" outlineLevel="0" collapsed="false">
      <c r="A557" s="39"/>
      <c r="B557" s="40" t="s">
        <v>407</v>
      </c>
      <c r="C557" s="41" t="s">
        <v>107</v>
      </c>
      <c r="D557" s="41" t="s">
        <v>108</v>
      </c>
      <c r="E557" s="42" t="n">
        <v>7375</v>
      </c>
      <c r="F557" s="42"/>
      <c r="G557" s="42"/>
      <c r="H557" s="43" t="n">
        <v>2</v>
      </c>
      <c r="I557" s="34" t="n">
        <f aca="false">E557*H557+N(F557)+N(G557)</f>
        <v>14750</v>
      </c>
      <c r="J557" s="42" t="n">
        <f aca="false">ROUND(IFERROR(ROUND(IF(OR(ISNUMBER(SEARCH("week",C557)),ISNUMBER(SEARCH("minggu",C557))),IFERROR(_xlfn.NUMBERVALUE(SUBSTITUTE(LEFT(TRIM(C557),FIND(" ",TRIM(C557)&amp;" ")-1),",","."),"."),LEFT(SUBSTITUTE(LEFT(TRIM(C557),FIND(" ",TRIM(C557)&amp;" ")-1),",","."),FIND("/",SUBSTITUTE(LEFT(TRIM(C557),FIND(" ",TRIM(C557)&amp;" ")-1),",","."))-1)/MID(SUBSTITUTE(LEFT(TRIM(C557),FIND(" ",TRIM(C557)&amp;" ")-1),",","."),FIND("/",SUBSTITUTE(LEFT(TRIM(C557),FIND(" ",TRIM(C557)&amp;" ")-1),",","."))+1,9))*12/52,IF(ISNUMBER(SEARCH("month",C557)),IFERROR(_xlfn.NUMBERVALUE(SUBSTITUTE(LEFT(TRIM(C557),FIND(" ",TRIM(C557)&amp;" ")-1),",","."),"."),LEFT(SUBSTITUTE(LEFT(TRIM(C557),FIND(" ",TRIM(C557)&amp;" ")-1),",","."),FIND("/",SUBSTITUTE(LEFT(TRIM(C557),FIND(" ",TRIM(C557)&amp;" ")-1),",","."))-1)/MID(SUBSTITUTE(LEFT(TRIM(C557),FIND(" ",TRIM(C557)&amp;" ")-1),",","."),FIND("/",SUBSTITUTE(LEFT(TRIM(C557),FIND(" ",TRIM(C557)&amp;" ")-1),",","."))+1,9)),IF(ISNUMBER(SEARCH("yea",C557)),IFERROR(_xlfn.NUMBERVALUE(SUBSTITUTE(LEFT(TRIM(C557),FIND(" ",TRIM(C557)&amp;" ")-1),",","."),"."),LEFT(SUBSTITUTE(LEFT(TRIM(C557),FIND(" ",TRIM(C557)&amp;" ")-1),",","."),FIND("/",SUBSTITUTE(LEFT(TRIM(C557),FIND(" ",TRIM(C557)&amp;" ")-1),",","."))-1)/MID(SUBSTITUTE(LEFT(TRIM(C557),FIND(" ",TRIM(C557)&amp;" ")-1),",","."),FIND("/",SUBSTITUTE(LEFT(TRIM(C557),FIND(" ",TRIM(C557)&amp;" ")-1),",","."))+1,9))*12,NA()))),0),24)*'Aturan &amp; Tarif'!$B$4,2)</f>
        <v>1362.72</v>
      </c>
      <c r="K557" s="42" t="n">
        <f aca="false">'Aturan &amp; Tarif'!$B$5</f>
        <v>2050</v>
      </c>
      <c r="L557" s="35" t="n">
        <f aca="false">I557+J557+K557</f>
        <v>18162.72</v>
      </c>
      <c r="M557" s="44" t="s">
        <v>1157</v>
      </c>
    </row>
    <row r="558" customFormat="false" ht="60" hidden="false" customHeight="true" outlineLevel="0" collapsed="false">
      <c r="A558" s="39"/>
      <c r="B558" s="40" t="s">
        <v>406</v>
      </c>
      <c r="C558" s="41" t="s">
        <v>127</v>
      </c>
      <c r="D558" s="41" t="s">
        <v>108</v>
      </c>
      <c r="E558" s="42" t="n">
        <v>7375</v>
      </c>
      <c r="F558" s="42"/>
      <c r="G558" s="42"/>
      <c r="H558" s="43" t="n">
        <v>2</v>
      </c>
      <c r="I558" s="34" t="n">
        <f aca="false">E558*H558+N(F558)+N(G558)</f>
        <v>14750</v>
      </c>
      <c r="J558" s="42" t="n">
        <f aca="false">ROUND(IFERROR(ROUND(IF(OR(ISNUMBER(SEARCH("week",C558)),ISNUMBER(SEARCH("minggu",C558))),IFERROR(_xlfn.NUMBERVALUE(SUBSTITUTE(LEFT(TRIM(C558),FIND(" ",TRIM(C558)&amp;" ")-1),",","."),"."),LEFT(SUBSTITUTE(LEFT(TRIM(C558),FIND(" ",TRIM(C558)&amp;" ")-1),",","."),FIND("/",SUBSTITUTE(LEFT(TRIM(C558),FIND(" ",TRIM(C558)&amp;" ")-1),",","."))-1)/MID(SUBSTITUTE(LEFT(TRIM(C558),FIND(" ",TRIM(C558)&amp;" ")-1),",","."),FIND("/",SUBSTITUTE(LEFT(TRIM(C558),FIND(" ",TRIM(C558)&amp;" ")-1),",","."))+1,9))*12/52,IF(ISNUMBER(SEARCH("month",C558)),IFERROR(_xlfn.NUMBERVALUE(SUBSTITUTE(LEFT(TRIM(C558),FIND(" ",TRIM(C558)&amp;" ")-1),",","."),"."),LEFT(SUBSTITUTE(LEFT(TRIM(C558),FIND(" ",TRIM(C558)&amp;" ")-1),",","."),FIND("/",SUBSTITUTE(LEFT(TRIM(C558),FIND(" ",TRIM(C558)&amp;" ")-1),",","."))-1)/MID(SUBSTITUTE(LEFT(TRIM(C558),FIND(" ",TRIM(C558)&amp;" ")-1),",","."),FIND("/",SUBSTITUTE(LEFT(TRIM(C558),FIND(" ",TRIM(C558)&amp;" ")-1),",","."))+1,9)),IF(ISNUMBER(SEARCH("yea",C558)),IFERROR(_xlfn.NUMBERVALUE(SUBSTITUTE(LEFT(TRIM(C558),FIND(" ",TRIM(C558)&amp;" ")-1),",","."),"."),LEFT(SUBSTITUTE(LEFT(TRIM(C558),FIND(" ",TRIM(C558)&amp;" ")-1),",","."),FIND("/",SUBSTITUTE(LEFT(TRIM(C558),FIND(" ",TRIM(C558)&amp;" ")-1),",","."))-1)/MID(SUBSTITUTE(LEFT(TRIM(C558),FIND(" ",TRIM(C558)&amp;" ")-1),",","."),FIND("/",SUBSTITUTE(LEFT(TRIM(C558),FIND(" ",TRIM(C558)&amp;" ")-1),",","."))+1,9))*12,NA()))),0),36)*'Aturan &amp; Tarif'!$B$4,2)</f>
        <v>2044.08</v>
      </c>
      <c r="K558" s="42" t="n">
        <f aca="false">'Aturan &amp; Tarif'!$B$5</f>
        <v>2050</v>
      </c>
      <c r="L558" s="35" t="n">
        <f aca="false">I558+J558+K558</f>
        <v>18844.08</v>
      </c>
      <c r="M558" s="44" t="s">
        <v>1158</v>
      </c>
    </row>
    <row r="559" customFormat="false" ht="14.25" hidden="false" customHeight="true" outlineLevel="0" collapsed="false">
      <c r="A559" s="39"/>
      <c r="B559" s="40" t="s">
        <v>1159</v>
      </c>
      <c r="C559" s="41" t="s">
        <v>127</v>
      </c>
      <c r="D559" s="41" t="s">
        <v>108</v>
      </c>
      <c r="E559" s="42" t="n">
        <v>7375</v>
      </c>
      <c r="F559" s="42"/>
      <c r="G559" s="42"/>
      <c r="H559" s="43" t="n">
        <v>2</v>
      </c>
      <c r="I559" s="34" t="n">
        <f aca="false">E559*H559+N(F559)+N(G559)</f>
        <v>14750</v>
      </c>
      <c r="J559" s="42" t="n">
        <f aca="false">ROUND(IFERROR(ROUND(IF(OR(ISNUMBER(SEARCH("week",C559)),ISNUMBER(SEARCH("minggu",C559))),IFERROR(_xlfn.NUMBERVALUE(SUBSTITUTE(LEFT(TRIM(C559),FIND(" ",TRIM(C559)&amp;" ")-1),",","."),"."),LEFT(SUBSTITUTE(LEFT(TRIM(C559),FIND(" ",TRIM(C559)&amp;" ")-1),",","."),FIND("/",SUBSTITUTE(LEFT(TRIM(C559),FIND(" ",TRIM(C559)&amp;" ")-1),",","."))-1)/MID(SUBSTITUTE(LEFT(TRIM(C559),FIND(" ",TRIM(C559)&amp;" ")-1),",","."),FIND("/",SUBSTITUTE(LEFT(TRIM(C559),FIND(" ",TRIM(C559)&amp;" ")-1),",","."))+1,9))*12/52,IF(ISNUMBER(SEARCH("month",C559)),IFERROR(_xlfn.NUMBERVALUE(SUBSTITUTE(LEFT(TRIM(C559),FIND(" ",TRIM(C559)&amp;" ")-1),",","."),"."),LEFT(SUBSTITUTE(LEFT(TRIM(C559),FIND(" ",TRIM(C559)&amp;" ")-1),",","."),FIND("/",SUBSTITUTE(LEFT(TRIM(C559),FIND(" ",TRIM(C559)&amp;" ")-1),",","."))-1)/MID(SUBSTITUTE(LEFT(TRIM(C559),FIND(" ",TRIM(C559)&amp;" ")-1),",","."),FIND("/",SUBSTITUTE(LEFT(TRIM(C559),FIND(" ",TRIM(C559)&amp;" ")-1),",","."))+1,9)),IF(ISNUMBER(SEARCH("yea",C559)),IFERROR(_xlfn.NUMBERVALUE(SUBSTITUTE(LEFT(TRIM(C559),FIND(" ",TRIM(C559)&amp;" ")-1),",","."),"."),LEFT(SUBSTITUTE(LEFT(TRIM(C559),FIND(" ",TRIM(C559)&amp;" ")-1),",","."),FIND("/",SUBSTITUTE(LEFT(TRIM(C559),FIND(" ",TRIM(C559)&amp;" ")-1),",","."))-1)/MID(SUBSTITUTE(LEFT(TRIM(C559),FIND(" ",TRIM(C559)&amp;" ")-1),",","."),FIND("/",SUBSTITUTE(LEFT(TRIM(C559),FIND(" ",TRIM(C559)&amp;" ")-1),",","."))+1,9))*12,NA()))),0),36)*'Aturan &amp; Tarif'!$B$4,2)</f>
        <v>2044.08</v>
      </c>
      <c r="K559" s="42" t="n">
        <f aca="false">'Aturan &amp; Tarif'!$B$5</f>
        <v>2050</v>
      </c>
      <c r="L559" s="35" t="n">
        <f aca="false">I559+J559+K559</f>
        <v>18844.08</v>
      </c>
      <c r="M559" s="44" t="s">
        <v>1160</v>
      </c>
    </row>
    <row r="560" customFormat="false" ht="37.5" hidden="false" customHeight="true" outlineLevel="0" collapsed="false">
      <c r="A560" s="39"/>
      <c r="B560" s="40" t="s">
        <v>1161</v>
      </c>
      <c r="C560" s="41" t="s">
        <v>127</v>
      </c>
      <c r="D560" s="41" t="s">
        <v>108</v>
      </c>
      <c r="E560" s="42" t="n">
        <v>7375</v>
      </c>
      <c r="F560" s="42"/>
      <c r="G560" s="42"/>
      <c r="H560" s="43" t="n">
        <v>2</v>
      </c>
      <c r="I560" s="34" t="n">
        <f aca="false">E560*H560+N(F560)+N(G560)</f>
        <v>14750</v>
      </c>
      <c r="J560" s="42" t="n">
        <f aca="false">ROUND(IFERROR(ROUND(IF(OR(ISNUMBER(SEARCH("week",C560)),ISNUMBER(SEARCH("minggu",C560))),IFERROR(_xlfn.NUMBERVALUE(SUBSTITUTE(LEFT(TRIM(C560),FIND(" ",TRIM(C560)&amp;" ")-1),",","."),"."),LEFT(SUBSTITUTE(LEFT(TRIM(C560),FIND(" ",TRIM(C560)&amp;" ")-1),",","."),FIND("/",SUBSTITUTE(LEFT(TRIM(C560),FIND(" ",TRIM(C560)&amp;" ")-1),",","."))-1)/MID(SUBSTITUTE(LEFT(TRIM(C560),FIND(" ",TRIM(C560)&amp;" ")-1),",","."),FIND("/",SUBSTITUTE(LEFT(TRIM(C560),FIND(" ",TRIM(C560)&amp;" ")-1),",","."))+1,9))*12/52,IF(ISNUMBER(SEARCH("month",C560)),IFERROR(_xlfn.NUMBERVALUE(SUBSTITUTE(LEFT(TRIM(C560),FIND(" ",TRIM(C560)&amp;" ")-1),",","."),"."),LEFT(SUBSTITUTE(LEFT(TRIM(C560),FIND(" ",TRIM(C560)&amp;" ")-1),",","."),FIND("/",SUBSTITUTE(LEFT(TRIM(C560),FIND(" ",TRIM(C560)&amp;" ")-1),",","."))-1)/MID(SUBSTITUTE(LEFT(TRIM(C560),FIND(" ",TRIM(C560)&amp;" ")-1),",","."),FIND("/",SUBSTITUTE(LEFT(TRIM(C560),FIND(" ",TRIM(C560)&amp;" ")-1),",","."))+1,9)),IF(ISNUMBER(SEARCH("yea",C560)),IFERROR(_xlfn.NUMBERVALUE(SUBSTITUTE(LEFT(TRIM(C560),FIND(" ",TRIM(C560)&amp;" ")-1),",","."),"."),LEFT(SUBSTITUTE(LEFT(TRIM(C560),FIND(" ",TRIM(C560)&amp;" ")-1),",","."),FIND("/",SUBSTITUTE(LEFT(TRIM(C560),FIND(" ",TRIM(C560)&amp;" ")-1),",","."))-1)/MID(SUBSTITUTE(LEFT(TRIM(C560),FIND(" ",TRIM(C560)&amp;" ")-1),",","."),FIND("/",SUBSTITUTE(LEFT(TRIM(C560),FIND(" ",TRIM(C560)&amp;" ")-1),",","."))+1,9))*12,NA()))),0),36)*'Aturan &amp; Tarif'!$B$4,2)</f>
        <v>2044.08</v>
      </c>
      <c r="K560" s="42" t="n">
        <f aca="false">'Aturan &amp; Tarif'!$B$5</f>
        <v>2050</v>
      </c>
      <c r="L560" s="35" t="n">
        <f aca="false">I560+J560+K560</f>
        <v>18844.08</v>
      </c>
      <c r="M560" s="45" t="s">
        <v>1162</v>
      </c>
    </row>
    <row r="561" customFormat="false" ht="25.5" hidden="false" customHeight="true" outlineLevel="0" collapsed="false">
      <c r="A561" s="29" t="s">
        <v>2965</v>
      </c>
      <c r="B561" s="30" t="s">
        <v>1902</v>
      </c>
      <c r="C561" s="31" t="s">
        <v>107</v>
      </c>
      <c r="D561" s="31" t="s">
        <v>108</v>
      </c>
      <c r="E561" s="32" t="n">
        <v>1500</v>
      </c>
      <c r="F561" s="32" t="n">
        <v>2000</v>
      </c>
      <c r="G561" s="32" t="n">
        <v>250</v>
      </c>
      <c r="H561" s="33" t="n">
        <v>1</v>
      </c>
      <c r="I561" s="34" t="n">
        <f aca="false">E561*H561+N(F561)+N(G561)</f>
        <v>3750</v>
      </c>
      <c r="J561" s="32" t="n">
        <f aca="false">ROUND(IFERROR(ROUND(IF(OR(ISNUMBER(SEARCH("week",C561)),ISNUMBER(SEARCH("minggu",C561))),IFERROR(_xlfn.NUMBERVALUE(SUBSTITUTE(LEFT(TRIM(C561),FIND(" ",TRIM(C561)&amp;" ")-1),",","."),"."),LEFT(SUBSTITUTE(LEFT(TRIM(C561),FIND(" ",TRIM(C561)&amp;" ")-1),",","."),FIND("/",SUBSTITUTE(LEFT(TRIM(C561),FIND(" ",TRIM(C561)&amp;" ")-1),",","."))-1)/MID(SUBSTITUTE(LEFT(TRIM(C561),FIND(" ",TRIM(C561)&amp;" ")-1),",","."),FIND("/",SUBSTITUTE(LEFT(TRIM(C561),FIND(" ",TRIM(C561)&amp;" ")-1),",","."))+1,9))*12/52,IF(ISNUMBER(SEARCH("month",C561)),IFERROR(_xlfn.NUMBERVALUE(SUBSTITUTE(LEFT(TRIM(C561),FIND(" ",TRIM(C561)&amp;" ")-1),",","."),"."),LEFT(SUBSTITUTE(LEFT(TRIM(C561),FIND(" ",TRIM(C561)&amp;" ")-1),",","."),FIND("/",SUBSTITUTE(LEFT(TRIM(C561),FIND(" ",TRIM(C561)&amp;" ")-1),",","."))-1)/MID(SUBSTITUTE(LEFT(TRIM(C561),FIND(" ",TRIM(C561)&amp;" ")-1),",","."),FIND("/",SUBSTITUTE(LEFT(TRIM(C561),FIND(" ",TRIM(C561)&amp;" ")-1),",","."))+1,9)),IF(ISNUMBER(SEARCH("yea",C561)),IFERROR(_xlfn.NUMBERVALUE(SUBSTITUTE(LEFT(TRIM(C561),FIND(" ",TRIM(C561)&amp;" ")-1),",","."),"."),LEFT(SUBSTITUTE(LEFT(TRIM(C561),FIND(" ",TRIM(C561)&amp;" ")-1),",","."),FIND("/",SUBSTITUTE(LEFT(TRIM(C561),FIND(" ",TRIM(C561)&amp;" ")-1),",","."))-1)/MID(SUBSTITUTE(LEFT(TRIM(C561),FIND(" ",TRIM(C561)&amp;" ")-1),",","."),FIND("/",SUBSTITUTE(LEFT(TRIM(C561),FIND(" ",TRIM(C561)&amp;" ")-1),",","."))+1,9))*12,NA()))),0),24)*'Aturan &amp; Tarif'!$B$4,2)</f>
        <v>1362.72</v>
      </c>
      <c r="K561" s="32" t="n">
        <f aca="false">'Aturan &amp; Tarif'!$B$5</f>
        <v>2050</v>
      </c>
      <c r="L561" s="35" t="n">
        <f aca="false">I561+J561+K561</f>
        <v>7162.72</v>
      </c>
      <c r="M561" s="37" t="s">
        <v>134</v>
      </c>
    </row>
    <row r="562" customFormat="false" ht="14.25" hidden="false" customHeight="true" outlineLevel="0" collapsed="false">
      <c r="A562" s="29"/>
      <c r="B562" s="30" t="s">
        <v>2070</v>
      </c>
      <c r="C562" s="31" t="s">
        <v>138</v>
      </c>
      <c r="D562" s="31" t="s">
        <v>108</v>
      </c>
      <c r="E562" s="32" t="n">
        <v>1700</v>
      </c>
      <c r="F562" s="32" t="n">
        <v>2000</v>
      </c>
      <c r="G562" s="32" t="n">
        <v>250</v>
      </c>
      <c r="H562" s="33" t="n">
        <v>1</v>
      </c>
      <c r="I562" s="34" t="n">
        <f aca="false">E562*H562+N(F562)+N(G562)</f>
        <v>3950</v>
      </c>
      <c r="J562" s="32" t="n">
        <f aca="false">ROUND(IFERROR(ROUND(IF(OR(ISNUMBER(SEARCH("week",C562)),ISNUMBER(SEARCH("minggu",C562))),IFERROR(_xlfn.NUMBERVALUE(SUBSTITUTE(LEFT(TRIM(C562),FIND(" ",TRIM(C562)&amp;" ")-1),",","."),"."),LEFT(SUBSTITUTE(LEFT(TRIM(C562),FIND(" ",TRIM(C562)&amp;" ")-1),",","."),FIND("/",SUBSTITUTE(LEFT(TRIM(C562),FIND(" ",TRIM(C562)&amp;" ")-1),",","."))-1)/MID(SUBSTITUTE(LEFT(TRIM(C562),FIND(" ",TRIM(C562)&amp;" ")-1),",","."),FIND("/",SUBSTITUTE(LEFT(TRIM(C562),FIND(" ",TRIM(C562)&amp;" ")-1),",","."))+1,9))*12/52,IF(ISNUMBER(SEARCH("month",C562)),IFERROR(_xlfn.NUMBERVALUE(SUBSTITUTE(LEFT(TRIM(C562),FIND(" ",TRIM(C562)&amp;" ")-1),",","."),"."),LEFT(SUBSTITUTE(LEFT(TRIM(C562),FIND(" ",TRIM(C562)&amp;" ")-1),",","."),FIND("/",SUBSTITUTE(LEFT(TRIM(C562),FIND(" ",TRIM(C562)&amp;" ")-1),",","."))-1)/MID(SUBSTITUTE(LEFT(TRIM(C562),FIND(" ",TRIM(C562)&amp;" ")-1),",","."),FIND("/",SUBSTITUTE(LEFT(TRIM(C562),FIND(" ",TRIM(C562)&amp;" ")-1),",","."))+1,9)),IF(ISNUMBER(SEARCH("yea",C562)),IFERROR(_xlfn.NUMBERVALUE(SUBSTITUTE(LEFT(TRIM(C562),FIND(" ",TRIM(C562)&amp;" ")-1),",","."),"."),LEFT(SUBSTITUTE(LEFT(TRIM(C562),FIND(" ",TRIM(C562)&amp;" ")-1),",","."),FIND("/",SUBSTITUTE(LEFT(TRIM(C562),FIND(" ",TRIM(C562)&amp;" ")-1),",","."))-1)/MID(SUBSTITUTE(LEFT(TRIM(C562),FIND(" ",TRIM(C562)&amp;" ")-1),",","."),FIND("/",SUBSTITUTE(LEFT(TRIM(C562),FIND(" ",TRIM(C562)&amp;" ")-1),",","."))+1,9))*12,NA()))),0),30)*'Aturan &amp; Tarif'!$B$4,2)</f>
        <v>1703.4</v>
      </c>
      <c r="K562" s="32" t="n">
        <f aca="false">'Aturan &amp; Tarif'!$B$5</f>
        <v>2050</v>
      </c>
      <c r="L562" s="35" t="n">
        <f aca="false">I562+J562+K562</f>
        <v>7703.4</v>
      </c>
      <c r="M562" s="37" t="s">
        <v>134</v>
      </c>
    </row>
    <row r="563" customFormat="false" ht="14.25" hidden="false" customHeight="true" outlineLevel="0" collapsed="false">
      <c r="A563" s="29"/>
      <c r="B563" s="30" t="s">
        <v>115</v>
      </c>
      <c r="C563" s="31" t="s">
        <v>107</v>
      </c>
      <c r="D563" s="31" t="s">
        <v>108</v>
      </c>
      <c r="E563" s="32" t="n">
        <v>1860</v>
      </c>
      <c r="F563" s="32" t="n">
        <v>1000</v>
      </c>
      <c r="G563" s="32" t="n">
        <v>250</v>
      </c>
      <c r="H563" s="33" t="n">
        <v>1</v>
      </c>
      <c r="I563" s="34" t="n">
        <f aca="false">E563*H563+N(F563)+N(G563)</f>
        <v>3110</v>
      </c>
      <c r="J563" s="32" t="n">
        <f aca="false">ROUND(IFERROR(ROUND(IF(OR(ISNUMBER(SEARCH("week",C563)),ISNUMBER(SEARCH("minggu",C563))),IFERROR(_xlfn.NUMBERVALUE(SUBSTITUTE(LEFT(TRIM(C563),FIND(" ",TRIM(C563)&amp;" ")-1),",","."),"."),LEFT(SUBSTITUTE(LEFT(TRIM(C563),FIND(" ",TRIM(C563)&amp;" ")-1),",","."),FIND("/",SUBSTITUTE(LEFT(TRIM(C563),FIND(" ",TRIM(C563)&amp;" ")-1),",","."))-1)/MID(SUBSTITUTE(LEFT(TRIM(C563),FIND(" ",TRIM(C563)&amp;" ")-1),",","."),FIND("/",SUBSTITUTE(LEFT(TRIM(C563),FIND(" ",TRIM(C563)&amp;" ")-1),",","."))+1,9))*12/52,IF(ISNUMBER(SEARCH("month",C563)),IFERROR(_xlfn.NUMBERVALUE(SUBSTITUTE(LEFT(TRIM(C563),FIND(" ",TRIM(C563)&amp;" ")-1),",","."),"."),LEFT(SUBSTITUTE(LEFT(TRIM(C563),FIND(" ",TRIM(C563)&amp;" ")-1),",","."),FIND("/",SUBSTITUTE(LEFT(TRIM(C563),FIND(" ",TRIM(C563)&amp;" ")-1),",","."))-1)/MID(SUBSTITUTE(LEFT(TRIM(C563),FIND(" ",TRIM(C563)&amp;" ")-1),",","."),FIND("/",SUBSTITUTE(LEFT(TRIM(C563),FIND(" ",TRIM(C563)&amp;" ")-1),",","."))+1,9)),IF(ISNUMBER(SEARCH("yea",C563)),IFERROR(_xlfn.NUMBERVALUE(SUBSTITUTE(LEFT(TRIM(C563),FIND(" ",TRIM(C563)&amp;" ")-1),",","."),"."),LEFT(SUBSTITUTE(LEFT(TRIM(C563),FIND(" ",TRIM(C563)&amp;" ")-1),",","."),FIND("/",SUBSTITUTE(LEFT(TRIM(C563),FIND(" ",TRIM(C563)&amp;" ")-1),",","."))-1)/MID(SUBSTITUTE(LEFT(TRIM(C563),FIND(" ",TRIM(C563)&amp;" ")-1),",","."),FIND("/",SUBSTITUTE(LEFT(TRIM(C563),FIND(" ",TRIM(C563)&amp;" ")-1),",","."))+1,9))*12,NA()))),0),24)*'Aturan &amp; Tarif'!$B$4,2)</f>
        <v>1362.72</v>
      </c>
      <c r="K563" s="32" t="n">
        <f aca="false">'Aturan &amp; Tarif'!$B$5</f>
        <v>2050</v>
      </c>
      <c r="L563" s="35" t="n">
        <f aca="false">I563+J563+K563</f>
        <v>6522.72</v>
      </c>
      <c r="M563" s="37" t="s">
        <v>653</v>
      </c>
    </row>
    <row r="564" customFormat="false" ht="25.5" hidden="false" customHeight="true" outlineLevel="0" collapsed="false">
      <c r="A564" s="29"/>
      <c r="B564" s="30" t="s">
        <v>888</v>
      </c>
      <c r="C564" s="31" t="s">
        <v>107</v>
      </c>
      <c r="D564" s="31" t="s">
        <v>108</v>
      </c>
      <c r="E564" s="32" t="n">
        <v>1565</v>
      </c>
      <c r="F564" s="32" t="n">
        <v>300</v>
      </c>
      <c r="G564" s="32" t="n">
        <v>250</v>
      </c>
      <c r="H564" s="33" t="n">
        <v>1</v>
      </c>
      <c r="I564" s="34" t="n">
        <f aca="false">E564*H564+N(F564)+N(G564)</f>
        <v>2115</v>
      </c>
      <c r="J564" s="32" t="n">
        <f aca="false">ROUND(IFERROR(ROUND(IF(OR(ISNUMBER(SEARCH("week",C564)),ISNUMBER(SEARCH("minggu",C564))),IFERROR(_xlfn.NUMBERVALUE(SUBSTITUTE(LEFT(TRIM(C564),FIND(" ",TRIM(C564)&amp;" ")-1),",","."),"."),LEFT(SUBSTITUTE(LEFT(TRIM(C564),FIND(" ",TRIM(C564)&amp;" ")-1),",","."),FIND("/",SUBSTITUTE(LEFT(TRIM(C564),FIND(" ",TRIM(C564)&amp;" ")-1),",","."))-1)/MID(SUBSTITUTE(LEFT(TRIM(C564),FIND(" ",TRIM(C564)&amp;" ")-1),",","."),FIND("/",SUBSTITUTE(LEFT(TRIM(C564),FIND(" ",TRIM(C564)&amp;" ")-1),",","."))+1,9))*12/52,IF(ISNUMBER(SEARCH("month",C564)),IFERROR(_xlfn.NUMBERVALUE(SUBSTITUTE(LEFT(TRIM(C564),FIND(" ",TRIM(C564)&amp;" ")-1),",","."),"."),LEFT(SUBSTITUTE(LEFT(TRIM(C564),FIND(" ",TRIM(C564)&amp;" ")-1),",","."),FIND("/",SUBSTITUTE(LEFT(TRIM(C564),FIND(" ",TRIM(C564)&amp;" ")-1),",","."))-1)/MID(SUBSTITUTE(LEFT(TRIM(C564),FIND(" ",TRIM(C564)&amp;" ")-1),",","."),FIND("/",SUBSTITUTE(LEFT(TRIM(C564),FIND(" ",TRIM(C564)&amp;" ")-1),",","."))+1,9)),IF(ISNUMBER(SEARCH("yea",C564)),IFERROR(_xlfn.NUMBERVALUE(SUBSTITUTE(LEFT(TRIM(C564),FIND(" ",TRIM(C564)&amp;" ")-1),",","."),"."),LEFT(SUBSTITUTE(LEFT(TRIM(C564),FIND(" ",TRIM(C564)&amp;" ")-1),",","."),FIND("/",SUBSTITUTE(LEFT(TRIM(C564),FIND(" ",TRIM(C564)&amp;" ")-1),",","."))-1)/MID(SUBSTITUTE(LEFT(TRIM(C564),FIND(" ",TRIM(C564)&amp;" ")-1),",","."),FIND("/",SUBSTITUTE(LEFT(TRIM(C564),FIND(" ",TRIM(C564)&amp;" ")-1),",","."))+1,9))*12,NA()))),0),24)*'Aturan &amp; Tarif'!$B$4,2)</f>
        <v>1362.72</v>
      </c>
      <c r="K564" s="32" t="n">
        <f aca="false">'Aturan &amp; Tarif'!$B$5</f>
        <v>2050</v>
      </c>
      <c r="L564" s="35" t="n">
        <f aca="false">I564+J564+K564</f>
        <v>5527.72</v>
      </c>
      <c r="M564" s="37" t="s">
        <v>3396</v>
      </c>
    </row>
    <row r="565" customFormat="false" ht="60" hidden="false" customHeight="true" outlineLevel="0" collapsed="false">
      <c r="A565" s="29"/>
      <c r="B565" s="30" t="s">
        <v>3397</v>
      </c>
      <c r="C565" s="31" t="s">
        <v>107</v>
      </c>
      <c r="D565" s="31" t="s">
        <v>108</v>
      </c>
      <c r="E565" s="32" t="n">
        <v>1565</v>
      </c>
      <c r="F565" s="32" t="n">
        <v>300</v>
      </c>
      <c r="G565" s="32" t="n">
        <v>250</v>
      </c>
      <c r="H565" s="33" t="n">
        <v>1</v>
      </c>
      <c r="I565" s="34" t="n">
        <f aca="false">E565*H565+N(F565)+N(G565)</f>
        <v>2115</v>
      </c>
      <c r="J565" s="32" t="n">
        <f aca="false">ROUND(IFERROR(ROUND(IF(OR(ISNUMBER(SEARCH("week",C565)),ISNUMBER(SEARCH("minggu",C565))),IFERROR(_xlfn.NUMBERVALUE(SUBSTITUTE(LEFT(TRIM(C565),FIND(" ",TRIM(C565)&amp;" ")-1),",","."),"."),LEFT(SUBSTITUTE(LEFT(TRIM(C565),FIND(" ",TRIM(C565)&amp;" ")-1),",","."),FIND("/",SUBSTITUTE(LEFT(TRIM(C565),FIND(" ",TRIM(C565)&amp;" ")-1),",","."))-1)/MID(SUBSTITUTE(LEFT(TRIM(C565),FIND(" ",TRIM(C565)&amp;" ")-1),",","."),FIND("/",SUBSTITUTE(LEFT(TRIM(C565),FIND(" ",TRIM(C565)&amp;" ")-1),",","."))+1,9))*12/52,IF(ISNUMBER(SEARCH("month",C565)),IFERROR(_xlfn.NUMBERVALUE(SUBSTITUTE(LEFT(TRIM(C565),FIND(" ",TRIM(C565)&amp;" ")-1),",","."),"."),LEFT(SUBSTITUTE(LEFT(TRIM(C565),FIND(" ",TRIM(C565)&amp;" ")-1),",","."),FIND("/",SUBSTITUTE(LEFT(TRIM(C565),FIND(" ",TRIM(C565)&amp;" ")-1),",","."))-1)/MID(SUBSTITUTE(LEFT(TRIM(C565),FIND(" ",TRIM(C565)&amp;" ")-1),",","."),FIND("/",SUBSTITUTE(LEFT(TRIM(C565),FIND(" ",TRIM(C565)&amp;" ")-1),",","."))+1,9)),IF(ISNUMBER(SEARCH("yea",C565)),IFERROR(_xlfn.NUMBERVALUE(SUBSTITUTE(LEFT(TRIM(C565),FIND(" ",TRIM(C565)&amp;" ")-1),",","."),"."),LEFT(SUBSTITUTE(LEFT(TRIM(C565),FIND(" ",TRIM(C565)&amp;" ")-1),",","."),FIND("/",SUBSTITUTE(LEFT(TRIM(C565),FIND(" ",TRIM(C565)&amp;" ")-1),",","."))-1)/MID(SUBSTITUTE(LEFT(TRIM(C565),FIND(" ",TRIM(C565)&amp;" ")-1),",","."),FIND("/",SUBSTITUTE(LEFT(TRIM(C565),FIND(" ",TRIM(C565)&amp;" ")-1),",","."))+1,9))*12,NA()))),0),24)*'Aturan &amp; Tarif'!$B$4,2)</f>
        <v>1362.72</v>
      </c>
      <c r="K565" s="32" t="n">
        <f aca="false">'Aturan &amp; Tarif'!$B$5</f>
        <v>2050</v>
      </c>
      <c r="L565" s="35" t="n">
        <f aca="false">I565+J565+K565</f>
        <v>5527.72</v>
      </c>
      <c r="M565" s="37" t="s">
        <v>3396</v>
      </c>
    </row>
    <row r="566" customFormat="false" ht="25.5" hidden="false" customHeight="true" outlineLevel="0" collapsed="false">
      <c r="A566" s="29" t="s">
        <v>2966</v>
      </c>
      <c r="B566" s="30" t="s">
        <v>265</v>
      </c>
      <c r="C566" s="31" t="s">
        <v>127</v>
      </c>
      <c r="D566" s="31" t="s">
        <v>108</v>
      </c>
      <c r="E566" s="32" t="n">
        <v>10737.5</v>
      </c>
      <c r="F566" s="32"/>
      <c r="G566" s="32"/>
      <c r="H566" s="33" t="n">
        <v>2</v>
      </c>
      <c r="I566" s="34" t="n">
        <f aca="false">E566*H566+N(F566)+N(G566)</f>
        <v>21475</v>
      </c>
      <c r="J566" s="32" t="n">
        <f aca="false">ROUND(IFERROR(ROUND(IF(OR(ISNUMBER(SEARCH("week",C566)),ISNUMBER(SEARCH("minggu",C566))),IFERROR(_xlfn.NUMBERVALUE(SUBSTITUTE(LEFT(TRIM(C566),FIND(" ",TRIM(C566)&amp;" ")-1),",","."),"."),LEFT(SUBSTITUTE(LEFT(TRIM(C566),FIND(" ",TRIM(C566)&amp;" ")-1),",","."),FIND("/",SUBSTITUTE(LEFT(TRIM(C566),FIND(" ",TRIM(C566)&amp;" ")-1),",","."))-1)/MID(SUBSTITUTE(LEFT(TRIM(C566),FIND(" ",TRIM(C566)&amp;" ")-1),",","."),FIND("/",SUBSTITUTE(LEFT(TRIM(C566),FIND(" ",TRIM(C566)&amp;" ")-1),",","."))+1,9))*12/52,IF(ISNUMBER(SEARCH("month",C566)),IFERROR(_xlfn.NUMBERVALUE(SUBSTITUTE(LEFT(TRIM(C566),FIND(" ",TRIM(C566)&amp;" ")-1),",","."),"."),LEFT(SUBSTITUTE(LEFT(TRIM(C566),FIND(" ",TRIM(C566)&amp;" ")-1),",","."),FIND("/",SUBSTITUTE(LEFT(TRIM(C566),FIND(" ",TRIM(C566)&amp;" ")-1),",","."))-1)/MID(SUBSTITUTE(LEFT(TRIM(C566),FIND(" ",TRIM(C566)&amp;" ")-1),",","."),FIND("/",SUBSTITUTE(LEFT(TRIM(C566),FIND(" ",TRIM(C566)&amp;" ")-1),",","."))+1,9)),IF(ISNUMBER(SEARCH("yea",C566)),IFERROR(_xlfn.NUMBERVALUE(SUBSTITUTE(LEFT(TRIM(C566),FIND(" ",TRIM(C566)&amp;" ")-1),",","."),"."),LEFT(SUBSTITUTE(LEFT(TRIM(C566),FIND(" ",TRIM(C566)&amp;" ")-1),",","."),FIND("/",SUBSTITUTE(LEFT(TRIM(C566),FIND(" ",TRIM(C566)&amp;" ")-1),",","."))-1)/MID(SUBSTITUTE(LEFT(TRIM(C566),FIND(" ",TRIM(C566)&amp;" ")-1),",","."),FIND("/",SUBSTITUTE(LEFT(TRIM(C566),FIND(" ",TRIM(C566)&amp;" ")-1),",","."))+1,9))*12,NA()))),0),36)*'Aturan &amp; Tarif'!$B$4,2)</f>
        <v>2044.08</v>
      </c>
      <c r="K566" s="32" t="n">
        <f aca="false">'Aturan &amp; Tarif'!$B$5</f>
        <v>2050</v>
      </c>
      <c r="L566" s="35" t="n">
        <f aca="false">I566+J566+K566</f>
        <v>25569.08</v>
      </c>
      <c r="M566" s="36" t="s">
        <v>3398</v>
      </c>
    </row>
    <row r="567" customFormat="false" ht="94.5" hidden="false" customHeight="true" outlineLevel="0" collapsed="false">
      <c r="A567" s="29"/>
      <c r="B567" s="30" t="s">
        <v>321</v>
      </c>
      <c r="C567" s="31" t="s">
        <v>127</v>
      </c>
      <c r="D567" s="31" t="s">
        <v>108</v>
      </c>
      <c r="E567" s="32" t="n">
        <v>9487.5</v>
      </c>
      <c r="F567" s="32"/>
      <c r="G567" s="32"/>
      <c r="H567" s="33" t="n">
        <v>2</v>
      </c>
      <c r="I567" s="34" t="n">
        <f aca="false">E567*H567+N(F567)+N(G567)</f>
        <v>18975</v>
      </c>
      <c r="J567" s="32" t="n">
        <f aca="false">ROUND(IFERROR(ROUND(IF(OR(ISNUMBER(SEARCH("week",C567)),ISNUMBER(SEARCH("minggu",C567))),IFERROR(_xlfn.NUMBERVALUE(SUBSTITUTE(LEFT(TRIM(C567),FIND(" ",TRIM(C567)&amp;" ")-1),",","."),"."),LEFT(SUBSTITUTE(LEFT(TRIM(C567),FIND(" ",TRIM(C567)&amp;" ")-1),",","."),FIND("/",SUBSTITUTE(LEFT(TRIM(C567),FIND(" ",TRIM(C567)&amp;" ")-1),",","."))-1)/MID(SUBSTITUTE(LEFT(TRIM(C567),FIND(" ",TRIM(C567)&amp;" ")-1),",","."),FIND("/",SUBSTITUTE(LEFT(TRIM(C567),FIND(" ",TRIM(C567)&amp;" ")-1),",","."))+1,9))*12/52,IF(ISNUMBER(SEARCH("month",C567)),IFERROR(_xlfn.NUMBERVALUE(SUBSTITUTE(LEFT(TRIM(C567),FIND(" ",TRIM(C567)&amp;" ")-1),",","."),"."),LEFT(SUBSTITUTE(LEFT(TRIM(C567),FIND(" ",TRIM(C567)&amp;" ")-1),",","."),FIND("/",SUBSTITUTE(LEFT(TRIM(C567),FIND(" ",TRIM(C567)&amp;" ")-1),",","."))-1)/MID(SUBSTITUTE(LEFT(TRIM(C567),FIND(" ",TRIM(C567)&amp;" ")-1),",","."),FIND("/",SUBSTITUTE(LEFT(TRIM(C567),FIND(" ",TRIM(C567)&amp;" ")-1),",","."))+1,9)),IF(ISNUMBER(SEARCH("yea",C567)),IFERROR(_xlfn.NUMBERVALUE(SUBSTITUTE(LEFT(TRIM(C567),FIND(" ",TRIM(C567)&amp;" ")-1),",","."),"."),LEFT(SUBSTITUTE(LEFT(TRIM(C567),FIND(" ",TRIM(C567)&amp;" ")-1),",","."),FIND("/",SUBSTITUTE(LEFT(TRIM(C567),FIND(" ",TRIM(C567)&amp;" ")-1),",","."))-1)/MID(SUBSTITUTE(LEFT(TRIM(C567),FIND(" ",TRIM(C567)&amp;" ")-1),",","."),FIND("/",SUBSTITUTE(LEFT(TRIM(C567),FIND(" ",TRIM(C567)&amp;" ")-1),",","."))+1,9))*12,NA()))),0),36)*'Aturan &amp; Tarif'!$B$4,2)</f>
        <v>2044.08</v>
      </c>
      <c r="K567" s="32" t="n">
        <f aca="false">'Aturan &amp; Tarif'!$B$5</f>
        <v>2050</v>
      </c>
      <c r="L567" s="35" t="n">
        <f aca="false">I567+J567+K567</f>
        <v>23069.08</v>
      </c>
      <c r="M567" s="36" t="s">
        <v>2523</v>
      </c>
    </row>
    <row r="568" customFormat="false" ht="94.5" hidden="false" customHeight="true" outlineLevel="0" collapsed="false">
      <c r="A568" s="29"/>
      <c r="B568" s="30" t="s">
        <v>247</v>
      </c>
      <c r="C568" s="31" t="s">
        <v>127</v>
      </c>
      <c r="D568" s="31" t="s">
        <v>108</v>
      </c>
      <c r="E568" s="32" t="n">
        <v>9987.5</v>
      </c>
      <c r="F568" s="32"/>
      <c r="G568" s="32"/>
      <c r="H568" s="33" t="n">
        <v>2</v>
      </c>
      <c r="I568" s="34" t="n">
        <f aca="false">E568*H568+N(F568)+N(G568)</f>
        <v>19975</v>
      </c>
      <c r="J568" s="32" t="n">
        <f aca="false">ROUND(IFERROR(ROUND(IF(OR(ISNUMBER(SEARCH("week",C568)),ISNUMBER(SEARCH("minggu",C568))),IFERROR(_xlfn.NUMBERVALUE(SUBSTITUTE(LEFT(TRIM(C568),FIND(" ",TRIM(C568)&amp;" ")-1),",","."),"."),LEFT(SUBSTITUTE(LEFT(TRIM(C568),FIND(" ",TRIM(C568)&amp;" ")-1),",","."),FIND("/",SUBSTITUTE(LEFT(TRIM(C568),FIND(" ",TRIM(C568)&amp;" ")-1),",","."))-1)/MID(SUBSTITUTE(LEFT(TRIM(C568),FIND(" ",TRIM(C568)&amp;" ")-1),",","."),FIND("/",SUBSTITUTE(LEFT(TRIM(C568),FIND(" ",TRIM(C568)&amp;" ")-1),",","."))+1,9))*12/52,IF(ISNUMBER(SEARCH("month",C568)),IFERROR(_xlfn.NUMBERVALUE(SUBSTITUTE(LEFT(TRIM(C568),FIND(" ",TRIM(C568)&amp;" ")-1),",","."),"."),LEFT(SUBSTITUTE(LEFT(TRIM(C568),FIND(" ",TRIM(C568)&amp;" ")-1),",","."),FIND("/",SUBSTITUTE(LEFT(TRIM(C568),FIND(" ",TRIM(C568)&amp;" ")-1),",","."))-1)/MID(SUBSTITUTE(LEFT(TRIM(C568),FIND(" ",TRIM(C568)&amp;" ")-1),",","."),FIND("/",SUBSTITUTE(LEFT(TRIM(C568),FIND(" ",TRIM(C568)&amp;" ")-1),",","."))+1,9)),IF(ISNUMBER(SEARCH("yea",C568)),IFERROR(_xlfn.NUMBERVALUE(SUBSTITUTE(LEFT(TRIM(C568),FIND(" ",TRIM(C568)&amp;" ")-1),",","."),"."),LEFT(SUBSTITUTE(LEFT(TRIM(C568),FIND(" ",TRIM(C568)&amp;" ")-1),",","."),FIND("/",SUBSTITUTE(LEFT(TRIM(C568),FIND(" ",TRIM(C568)&amp;" ")-1),",","."))-1)/MID(SUBSTITUTE(LEFT(TRIM(C568),FIND(" ",TRIM(C568)&amp;" ")-1),",","."),FIND("/",SUBSTITUTE(LEFT(TRIM(C568),FIND(" ",TRIM(C568)&amp;" ")-1),",","."))+1,9))*12,NA()))),0),36)*'Aturan &amp; Tarif'!$B$4,2)</f>
        <v>2044.08</v>
      </c>
      <c r="K568" s="32" t="n">
        <f aca="false">'Aturan &amp; Tarif'!$B$5</f>
        <v>2050</v>
      </c>
      <c r="L568" s="35" t="n">
        <f aca="false">I568+J568+K568</f>
        <v>24069.08</v>
      </c>
      <c r="M568" s="36" t="s">
        <v>2524</v>
      </c>
    </row>
    <row r="569" customFormat="false" ht="25.5" hidden="false" customHeight="true" outlineLevel="0" collapsed="false">
      <c r="A569" s="29"/>
      <c r="B569" s="30" t="s">
        <v>165</v>
      </c>
      <c r="C569" s="31" t="s">
        <v>107</v>
      </c>
      <c r="D569" s="31" t="s">
        <v>108</v>
      </c>
      <c r="E569" s="32" t="n">
        <v>8522</v>
      </c>
      <c r="F569" s="32"/>
      <c r="G569" s="32"/>
      <c r="H569" s="33" t="n">
        <v>2</v>
      </c>
      <c r="I569" s="34" t="n">
        <f aca="false">E569*H569+N(F569)+N(G569)</f>
        <v>17044</v>
      </c>
      <c r="J569" s="32" t="n">
        <f aca="false">ROUND(IFERROR(ROUND(IF(OR(ISNUMBER(SEARCH("week",C569)),ISNUMBER(SEARCH("minggu",C569))),IFERROR(_xlfn.NUMBERVALUE(SUBSTITUTE(LEFT(TRIM(C569),FIND(" ",TRIM(C569)&amp;" ")-1),",","."),"."),LEFT(SUBSTITUTE(LEFT(TRIM(C569),FIND(" ",TRIM(C569)&amp;" ")-1),",","."),FIND("/",SUBSTITUTE(LEFT(TRIM(C569),FIND(" ",TRIM(C569)&amp;" ")-1),",","."))-1)/MID(SUBSTITUTE(LEFT(TRIM(C569),FIND(" ",TRIM(C569)&amp;" ")-1),",","."),FIND("/",SUBSTITUTE(LEFT(TRIM(C569),FIND(" ",TRIM(C569)&amp;" ")-1),",","."))+1,9))*12/52,IF(ISNUMBER(SEARCH("month",C569)),IFERROR(_xlfn.NUMBERVALUE(SUBSTITUTE(LEFT(TRIM(C569),FIND(" ",TRIM(C569)&amp;" ")-1),",","."),"."),LEFT(SUBSTITUTE(LEFT(TRIM(C569),FIND(" ",TRIM(C569)&amp;" ")-1),",","."),FIND("/",SUBSTITUTE(LEFT(TRIM(C569),FIND(" ",TRIM(C569)&amp;" ")-1),",","."))-1)/MID(SUBSTITUTE(LEFT(TRIM(C569),FIND(" ",TRIM(C569)&amp;" ")-1),",","."),FIND("/",SUBSTITUTE(LEFT(TRIM(C569),FIND(" ",TRIM(C569)&amp;" ")-1),",","."))+1,9)),IF(ISNUMBER(SEARCH("yea",C569)),IFERROR(_xlfn.NUMBERVALUE(SUBSTITUTE(LEFT(TRIM(C569),FIND(" ",TRIM(C569)&amp;" ")-1),",","."),"."),LEFT(SUBSTITUTE(LEFT(TRIM(C569),FIND(" ",TRIM(C569)&amp;" ")-1),",","."),FIND("/",SUBSTITUTE(LEFT(TRIM(C569),FIND(" ",TRIM(C569)&amp;" ")-1),",","."))-1)/MID(SUBSTITUTE(LEFT(TRIM(C569),FIND(" ",TRIM(C569)&amp;" ")-1),",","."),FIND("/",SUBSTITUTE(LEFT(TRIM(C569),FIND(" ",TRIM(C569)&amp;" ")-1),",","."))+1,9))*12,NA()))),0),24)*'Aturan &amp; Tarif'!$B$4,2)</f>
        <v>1362.72</v>
      </c>
      <c r="K569" s="32" t="n">
        <f aca="false">'Aturan &amp; Tarif'!$B$5</f>
        <v>2050</v>
      </c>
      <c r="L569" s="35" t="n">
        <f aca="false">I569+J569+K569</f>
        <v>20456.72</v>
      </c>
      <c r="M569" s="36" t="s">
        <v>2525</v>
      </c>
    </row>
    <row r="570" customFormat="false" ht="25.5" hidden="false" customHeight="true" outlineLevel="0" collapsed="false">
      <c r="A570" s="29"/>
      <c r="B570" s="30" t="s">
        <v>257</v>
      </c>
      <c r="C570" s="31" t="s">
        <v>107</v>
      </c>
      <c r="D570" s="31" t="s">
        <v>108</v>
      </c>
      <c r="E570" s="32" t="n">
        <v>9987.5</v>
      </c>
      <c r="F570" s="32"/>
      <c r="G570" s="32"/>
      <c r="H570" s="33" t="n">
        <v>2</v>
      </c>
      <c r="I570" s="34" t="n">
        <f aca="false">E570*H570+N(F570)+N(G570)</f>
        <v>19975</v>
      </c>
      <c r="J570" s="32" t="n">
        <f aca="false">ROUND(IFERROR(ROUND(IF(OR(ISNUMBER(SEARCH("week",C570)),ISNUMBER(SEARCH("minggu",C570))),IFERROR(_xlfn.NUMBERVALUE(SUBSTITUTE(LEFT(TRIM(C570),FIND(" ",TRIM(C570)&amp;" ")-1),",","."),"."),LEFT(SUBSTITUTE(LEFT(TRIM(C570),FIND(" ",TRIM(C570)&amp;" ")-1),",","."),FIND("/",SUBSTITUTE(LEFT(TRIM(C570),FIND(" ",TRIM(C570)&amp;" ")-1),",","."))-1)/MID(SUBSTITUTE(LEFT(TRIM(C570),FIND(" ",TRIM(C570)&amp;" ")-1),",","."),FIND("/",SUBSTITUTE(LEFT(TRIM(C570),FIND(" ",TRIM(C570)&amp;" ")-1),",","."))+1,9))*12/52,IF(ISNUMBER(SEARCH("month",C570)),IFERROR(_xlfn.NUMBERVALUE(SUBSTITUTE(LEFT(TRIM(C570),FIND(" ",TRIM(C570)&amp;" ")-1),",","."),"."),LEFT(SUBSTITUTE(LEFT(TRIM(C570),FIND(" ",TRIM(C570)&amp;" ")-1),",","."),FIND("/",SUBSTITUTE(LEFT(TRIM(C570),FIND(" ",TRIM(C570)&amp;" ")-1),",","."))-1)/MID(SUBSTITUTE(LEFT(TRIM(C570),FIND(" ",TRIM(C570)&amp;" ")-1),",","."),FIND("/",SUBSTITUTE(LEFT(TRIM(C570),FIND(" ",TRIM(C570)&amp;" ")-1),",","."))+1,9)),IF(ISNUMBER(SEARCH("yea",C570)),IFERROR(_xlfn.NUMBERVALUE(SUBSTITUTE(LEFT(TRIM(C570),FIND(" ",TRIM(C570)&amp;" ")-1),",","."),"."),LEFT(SUBSTITUTE(LEFT(TRIM(C570),FIND(" ",TRIM(C570)&amp;" ")-1),",","."),FIND("/",SUBSTITUTE(LEFT(TRIM(C570),FIND(" ",TRIM(C570)&amp;" ")-1),",","."))-1)/MID(SUBSTITUTE(LEFT(TRIM(C570),FIND(" ",TRIM(C570)&amp;" ")-1),",","."),FIND("/",SUBSTITUTE(LEFT(TRIM(C570),FIND(" ",TRIM(C570)&amp;" ")-1),",","."))+1,9))*12,NA()))),0),24)*'Aturan &amp; Tarif'!$B$4,2)</f>
        <v>1362.72</v>
      </c>
      <c r="K570" s="32" t="n">
        <f aca="false">'Aturan &amp; Tarif'!$B$5</f>
        <v>2050</v>
      </c>
      <c r="L570" s="35" t="n">
        <f aca="false">I570+J570+K570</f>
        <v>23387.72</v>
      </c>
      <c r="M570" s="36" t="s">
        <v>2523</v>
      </c>
    </row>
    <row r="571" customFormat="false" ht="60" hidden="false" customHeight="true" outlineLevel="0" collapsed="false">
      <c r="A571" s="29"/>
      <c r="B571" s="30" t="s">
        <v>2526</v>
      </c>
      <c r="C571" s="31" t="s">
        <v>107</v>
      </c>
      <c r="D571" s="31" t="s">
        <v>108</v>
      </c>
      <c r="E571" s="32" t="n">
        <v>6647</v>
      </c>
      <c r="F571" s="32"/>
      <c r="G571" s="32"/>
      <c r="H571" s="33" t="n">
        <v>2</v>
      </c>
      <c r="I571" s="34" t="n">
        <f aca="false">E571*H571+N(F571)+N(G571)</f>
        <v>13294</v>
      </c>
      <c r="J571" s="32" t="n">
        <f aca="false">ROUND(IFERROR(ROUND(IF(OR(ISNUMBER(SEARCH("week",C571)),ISNUMBER(SEARCH("minggu",C571))),IFERROR(_xlfn.NUMBERVALUE(SUBSTITUTE(LEFT(TRIM(C571),FIND(" ",TRIM(C571)&amp;" ")-1),",","."),"."),LEFT(SUBSTITUTE(LEFT(TRIM(C571),FIND(" ",TRIM(C571)&amp;" ")-1),",","."),FIND("/",SUBSTITUTE(LEFT(TRIM(C571),FIND(" ",TRIM(C571)&amp;" ")-1),",","."))-1)/MID(SUBSTITUTE(LEFT(TRIM(C571),FIND(" ",TRIM(C571)&amp;" ")-1),",","."),FIND("/",SUBSTITUTE(LEFT(TRIM(C571),FIND(" ",TRIM(C571)&amp;" ")-1),",","."))+1,9))*12/52,IF(ISNUMBER(SEARCH("month",C571)),IFERROR(_xlfn.NUMBERVALUE(SUBSTITUTE(LEFT(TRIM(C571),FIND(" ",TRIM(C571)&amp;" ")-1),",","."),"."),LEFT(SUBSTITUTE(LEFT(TRIM(C571),FIND(" ",TRIM(C571)&amp;" ")-1),",","."),FIND("/",SUBSTITUTE(LEFT(TRIM(C571),FIND(" ",TRIM(C571)&amp;" ")-1),",","."))-1)/MID(SUBSTITUTE(LEFT(TRIM(C571),FIND(" ",TRIM(C571)&amp;" ")-1),",","."),FIND("/",SUBSTITUTE(LEFT(TRIM(C571),FIND(" ",TRIM(C571)&amp;" ")-1),",","."))+1,9)),IF(ISNUMBER(SEARCH("yea",C571)),IFERROR(_xlfn.NUMBERVALUE(SUBSTITUTE(LEFT(TRIM(C571),FIND(" ",TRIM(C571)&amp;" ")-1),",","."),"."),LEFT(SUBSTITUTE(LEFT(TRIM(C571),FIND(" ",TRIM(C571)&amp;" ")-1),",","."),FIND("/",SUBSTITUTE(LEFT(TRIM(C571),FIND(" ",TRIM(C571)&amp;" ")-1),",","."))-1)/MID(SUBSTITUTE(LEFT(TRIM(C571),FIND(" ",TRIM(C571)&amp;" ")-1),",","."),FIND("/",SUBSTITUTE(LEFT(TRIM(C571),FIND(" ",TRIM(C571)&amp;" ")-1),",","."))+1,9))*12,NA()))),0),24)*'Aturan &amp; Tarif'!$B$4,2)</f>
        <v>1362.72</v>
      </c>
      <c r="K571" s="32" t="n">
        <f aca="false">'Aturan &amp; Tarif'!$B$5</f>
        <v>2050</v>
      </c>
      <c r="L571" s="35" t="n">
        <f aca="false">I571+J571+K571</f>
        <v>16706.72</v>
      </c>
      <c r="M571" s="36" t="s">
        <v>2523</v>
      </c>
    </row>
    <row r="572" customFormat="false" ht="37.5" hidden="false" customHeight="true" outlineLevel="0" collapsed="false">
      <c r="A572" s="29" t="s">
        <v>2967</v>
      </c>
      <c r="B572" s="30" t="s">
        <v>3399</v>
      </c>
      <c r="C572" s="31" t="s">
        <v>138</v>
      </c>
      <c r="D572" s="31" t="s">
        <v>108</v>
      </c>
      <c r="E572" s="32" t="n">
        <v>1690</v>
      </c>
      <c r="F572" s="32" t="n">
        <v>250</v>
      </c>
      <c r="G572" s="32" t="n">
        <v>250</v>
      </c>
      <c r="H572" s="33" t="n">
        <v>1</v>
      </c>
      <c r="I572" s="34" t="n">
        <f aca="false">E572*H572+N(F572)+N(G572)</f>
        <v>2190</v>
      </c>
      <c r="J572" s="32" t="n">
        <f aca="false">ROUND(IFERROR(ROUND(IF(OR(ISNUMBER(SEARCH("week",C572)),ISNUMBER(SEARCH("minggu",C572))),IFERROR(_xlfn.NUMBERVALUE(SUBSTITUTE(LEFT(TRIM(C572),FIND(" ",TRIM(C572)&amp;" ")-1),",","."),"."),LEFT(SUBSTITUTE(LEFT(TRIM(C572),FIND(" ",TRIM(C572)&amp;" ")-1),",","."),FIND("/",SUBSTITUTE(LEFT(TRIM(C572),FIND(" ",TRIM(C572)&amp;" ")-1),",","."))-1)/MID(SUBSTITUTE(LEFT(TRIM(C572),FIND(" ",TRIM(C572)&amp;" ")-1),",","."),FIND("/",SUBSTITUTE(LEFT(TRIM(C572),FIND(" ",TRIM(C572)&amp;" ")-1),",","."))+1,9))*12/52,IF(ISNUMBER(SEARCH("month",C572)),IFERROR(_xlfn.NUMBERVALUE(SUBSTITUTE(LEFT(TRIM(C572),FIND(" ",TRIM(C572)&amp;" ")-1),",","."),"."),LEFT(SUBSTITUTE(LEFT(TRIM(C572),FIND(" ",TRIM(C572)&amp;" ")-1),",","."),FIND("/",SUBSTITUTE(LEFT(TRIM(C572),FIND(" ",TRIM(C572)&amp;" ")-1),",","."))-1)/MID(SUBSTITUTE(LEFT(TRIM(C572),FIND(" ",TRIM(C572)&amp;" ")-1),",","."),FIND("/",SUBSTITUTE(LEFT(TRIM(C572),FIND(" ",TRIM(C572)&amp;" ")-1),",","."))+1,9)),IF(ISNUMBER(SEARCH("yea",C572)),IFERROR(_xlfn.NUMBERVALUE(SUBSTITUTE(LEFT(TRIM(C572),FIND(" ",TRIM(C572)&amp;" ")-1),",","."),"."),LEFT(SUBSTITUTE(LEFT(TRIM(C572),FIND(" ",TRIM(C572)&amp;" ")-1),",","."),FIND("/",SUBSTITUTE(LEFT(TRIM(C572),FIND(" ",TRIM(C572)&amp;" ")-1),",","."))-1)/MID(SUBSTITUTE(LEFT(TRIM(C572),FIND(" ",TRIM(C572)&amp;" ")-1),",","."),FIND("/",SUBSTITUTE(LEFT(TRIM(C572),FIND(" ",TRIM(C572)&amp;" ")-1),",","."))+1,9))*12,NA()))),0),30)*'Aturan &amp; Tarif'!$B$4,2)</f>
        <v>1703.4</v>
      </c>
      <c r="K572" s="32" t="n">
        <f aca="false">'Aturan &amp; Tarif'!$B$5</f>
        <v>2050</v>
      </c>
      <c r="L572" s="35" t="n">
        <f aca="false">I572+J572+K572</f>
        <v>5943.4</v>
      </c>
      <c r="M572" s="37" t="s">
        <v>134</v>
      </c>
    </row>
    <row r="573" customFormat="false" ht="37.5" hidden="false" customHeight="true" outlineLevel="0" collapsed="false">
      <c r="A573" s="29"/>
      <c r="B573" s="30" t="s">
        <v>2921</v>
      </c>
      <c r="C573" s="31" t="s">
        <v>107</v>
      </c>
      <c r="D573" s="31" t="s">
        <v>108</v>
      </c>
      <c r="E573" s="32" t="n">
        <v>2365</v>
      </c>
      <c r="F573" s="32" t="n">
        <v>1500</v>
      </c>
      <c r="G573" s="32" t="n">
        <v>250</v>
      </c>
      <c r="H573" s="33" t="n">
        <v>1</v>
      </c>
      <c r="I573" s="34" t="n">
        <f aca="false">E573*H573+N(F573)+N(G573)</f>
        <v>4115</v>
      </c>
      <c r="J573" s="32" t="n">
        <f aca="false">ROUND(IFERROR(ROUND(IF(OR(ISNUMBER(SEARCH("week",C573)),ISNUMBER(SEARCH("minggu",C573))),IFERROR(_xlfn.NUMBERVALUE(SUBSTITUTE(LEFT(TRIM(C573),FIND(" ",TRIM(C573)&amp;" ")-1),",","."),"."),LEFT(SUBSTITUTE(LEFT(TRIM(C573),FIND(" ",TRIM(C573)&amp;" ")-1),",","."),FIND("/",SUBSTITUTE(LEFT(TRIM(C573),FIND(" ",TRIM(C573)&amp;" ")-1),",","."))-1)/MID(SUBSTITUTE(LEFT(TRIM(C573),FIND(" ",TRIM(C573)&amp;" ")-1),",","."),FIND("/",SUBSTITUTE(LEFT(TRIM(C573),FIND(" ",TRIM(C573)&amp;" ")-1),",","."))+1,9))*12/52,IF(ISNUMBER(SEARCH("month",C573)),IFERROR(_xlfn.NUMBERVALUE(SUBSTITUTE(LEFT(TRIM(C573),FIND(" ",TRIM(C573)&amp;" ")-1),",","."),"."),LEFT(SUBSTITUTE(LEFT(TRIM(C573),FIND(" ",TRIM(C573)&amp;" ")-1),",","."),FIND("/",SUBSTITUTE(LEFT(TRIM(C573),FIND(" ",TRIM(C573)&amp;" ")-1),",","."))-1)/MID(SUBSTITUTE(LEFT(TRIM(C573),FIND(" ",TRIM(C573)&amp;" ")-1),",","."),FIND("/",SUBSTITUTE(LEFT(TRIM(C573),FIND(" ",TRIM(C573)&amp;" ")-1),",","."))+1,9)),IF(ISNUMBER(SEARCH("yea",C573)),IFERROR(_xlfn.NUMBERVALUE(SUBSTITUTE(LEFT(TRIM(C573),FIND(" ",TRIM(C573)&amp;" ")-1),",","."),"."),LEFT(SUBSTITUTE(LEFT(TRIM(C573),FIND(" ",TRIM(C573)&amp;" ")-1),",","."),FIND("/",SUBSTITUTE(LEFT(TRIM(C573),FIND(" ",TRIM(C573)&amp;" ")-1),",","."))-1)/MID(SUBSTITUTE(LEFT(TRIM(C573),FIND(" ",TRIM(C573)&amp;" ")-1),",","."),FIND("/",SUBSTITUTE(LEFT(TRIM(C573),FIND(" ",TRIM(C573)&amp;" ")-1),",","."))+1,9))*12,NA()))),0),24)*'Aturan &amp; Tarif'!$B$4,2)</f>
        <v>1362.72</v>
      </c>
      <c r="K573" s="32" t="n">
        <f aca="false">'Aturan &amp; Tarif'!$B$5</f>
        <v>2050</v>
      </c>
      <c r="L573" s="35" t="n">
        <f aca="false">I573+J573+K573</f>
        <v>7527.72</v>
      </c>
      <c r="M573" s="37" t="s">
        <v>134</v>
      </c>
    </row>
    <row r="574" customFormat="false" ht="14.25" hidden="false" customHeight="true" outlineLevel="0" collapsed="false">
      <c r="A574" s="29"/>
      <c r="B574" s="30" t="s">
        <v>471</v>
      </c>
      <c r="C574" s="31" t="s">
        <v>113</v>
      </c>
      <c r="D574" s="31" t="s">
        <v>108</v>
      </c>
      <c r="E574" s="32" t="n">
        <v>2000</v>
      </c>
      <c r="F574" s="32" t="n">
        <v>1500</v>
      </c>
      <c r="G574" s="32" t="n">
        <v>250</v>
      </c>
      <c r="H574" s="33" t="n">
        <v>1</v>
      </c>
      <c r="I574" s="34" t="n">
        <f aca="false">E574*H574+N(F574)+N(G574)</f>
        <v>3750</v>
      </c>
      <c r="J574" s="32" t="n">
        <f aca="false">ROUND(IFERROR(ROUND(IF(OR(ISNUMBER(SEARCH("week",C574)),ISNUMBER(SEARCH("minggu",C574))),IFERROR(_xlfn.NUMBERVALUE(SUBSTITUTE(LEFT(TRIM(C574),FIND(" ",TRIM(C574)&amp;" ")-1),",","."),"."),LEFT(SUBSTITUTE(LEFT(TRIM(C574),FIND(" ",TRIM(C574)&amp;" ")-1),",","."),FIND("/",SUBSTITUTE(LEFT(TRIM(C574),FIND(" ",TRIM(C574)&amp;" ")-1),",","."))-1)/MID(SUBSTITUTE(LEFT(TRIM(C574),FIND(" ",TRIM(C574)&amp;" ")-1),",","."),FIND("/",SUBSTITUTE(LEFT(TRIM(C574),FIND(" ",TRIM(C574)&amp;" ")-1),",","."))+1,9))*12/52,IF(ISNUMBER(SEARCH("month",C574)),IFERROR(_xlfn.NUMBERVALUE(SUBSTITUTE(LEFT(TRIM(C574),FIND(" ",TRIM(C574)&amp;" ")-1),",","."),"."),LEFT(SUBSTITUTE(LEFT(TRIM(C574),FIND(" ",TRIM(C574)&amp;" ")-1),",","."),FIND("/",SUBSTITUTE(LEFT(TRIM(C574),FIND(" ",TRIM(C574)&amp;" ")-1),",","."))-1)/MID(SUBSTITUTE(LEFT(TRIM(C574),FIND(" ",TRIM(C574)&amp;" ")-1),",","."),FIND("/",SUBSTITUTE(LEFT(TRIM(C574),FIND(" ",TRIM(C574)&amp;" ")-1),",","."))+1,9)),IF(ISNUMBER(SEARCH("yea",C574)),IFERROR(_xlfn.NUMBERVALUE(SUBSTITUTE(LEFT(TRIM(C574),FIND(" ",TRIM(C574)&amp;" ")-1),",","."),"."),LEFT(SUBSTITUTE(LEFT(TRIM(C574),FIND(" ",TRIM(C574)&amp;" ")-1),",","."),FIND("/",SUBSTITUTE(LEFT(TRIM(C574),FIND(" ",TRIM(C574)&amp;" ")-1),",","."))-1)/MID(SUBSTITUTE(LEFT(TRIM(C574),FIND(" ",TRIM(C574)&amp;" ")-1),",","."),FIND("/",SUBSTITUTE(LEFT(TRIM(C574),FIND(" ",TRIM(C574)&amp;" ")-1),",","."))+1,9))*12,NA()))),0),18)*'Aturan &amp; Tarif'!$B$4,2)</f>
        <v>1022.04</v>
      </c>
      <c r="K574" s="32" t="n">
        <f aca="false">'Aturan &amp; Tarif'!$B$5</f>
        <v>2050</v>
      </c>
      <c r="L574" s="35" t="n">
        <f aca="false">I574+J574+K574</f>
        <v>6822.04</v>
      </c>
      <c r="M574" s="37" t="s">
        <v>134</v>
      </c>
    </row>
    <row r="575" customFormat="false" ht="25.5" hidden="false" customHeight="true" outlineLevel="0" collapsed="false">
      <c r="A575" s="29"/>
      <c r="B575" s="30" t="s">
        <v>2968</v>
      </c>
      <c r="C575" s="31" t="s">
        <v>138</v>
      </c>
      <c r="D575" s="31" t="s">
        <v>108</v>
      </c>
      <c r="E575" s="32" t="n">
        <v>2200</v>
      </c>
      <c r="F575" s="32" t="n">
        <v>1500</v>
      </c>
      <c r="G575" s="32" t="n">
        <v>250</v>
      </c>
      <c r="H575" s="33" t="n">
        <v>1</v>
      </c>
      <c r="I575" s="34" t="n">
        <f aca="false">E575*H575+N(F575)+N(G575)</f>
        <v>3950</v>
      </c>
      <c r="J575" s="32" t="n">
        <f aca="false">ROUND(IFERROR(ROUND(IF(OR(ISNUMBER(SEARCH("week",C575)),ISNUMBER(SEARCH("minggu",C575))),IFERROR(_xlfn.NUMBERVALUE(SUBSTITUTE(LEFT(TRIM(C575),FIND(" ",TRIM(C575)&amp;" ")-1),",","."),"."),LEFT(SUBSTITUTE(LEFT(TRIM(C575),FIND(" ",TRIM(C575)&amp;" ")-1),",","."),FIND("/",SUBSTITUTE(LEFT(TRIM(C575),FIND(" ",TRIM(C575)&amp;" ")-1),",","."))-1)/MID(SUBSTITUTE(LEFT(TRIM(C575),FIND(" ",TRIM(C575)&amp;" ")-1),",","."),FIND("/",SUBSTITUTE(LEFT(TRIM(C575),FIND(" ",TRIM(C575)&amp;" ")-1),",","."))+1,9))*12/52,IF(ISNUMBER(SEARCH("month",C575)),IFERROR(_xlfn.NUMBERVALUE(SUBSTITUTE(LEFT(TRIM(C575),FIND(" ",TRIM(C575)&amp;" ")-1),",","."),"."),LEFT(SUBSTITUTE(LEFT(TRIM(C575),FIND(" ",TRIM(C575)&amp;" ")-1),",","."),FIND("/",SUBSTITUTE(LEFT(TRIM(C575),FIND(" ",TRIM(C575)&amp;" ")-1),",","."))-1)/MID(SUBSTITUTE(LEFT(TRIM(C575),FIND(" ",TRIM(C575)&amp;" ")-1),",","."),FIND("/",SUBSTITUTE(LEFT(TRIM(C575),FIND(" ",TRIM(C575)&amp;" ")-1),",","."))+1,9)),IF(ISNUMBER(SEARCH("yea",C575)),IFERROR(_xlfn.NUMBERVALUE(SUBSTITUTE(LEFT(TRIM(C575),FIND(" ",TRIM(C575)&amp;" ")-1),",","."),"."),LEFT(SUBSTITUTE(LEFT(TRIM(C575),FIND(" ",TRIM(C575)&amp;" ")-1),",","."),FIND("/",SUBSTITUTE(LEFT(TRIM(C575),FIND(" ",TRIM(C575)&amp;" ")-1),",","."))-1)/MID(SUBSTITUTE(LEFT(TRIM(C575),FIND(" ",TRIM(C575)&amp;" ")-1),",","."),FIND("/",SUBSTITUTE(LEFT(TRIM(C575),FIND(" ",TRIM(C575)&amp;" ")-1),",","."))+1,9))*12,NA()))),0),30)*'Aturan &amp; Tarif'!$B$4,2)</f>
        <v>1703.4</v>
      </c>
      <c r="K575" s="32" t="n">
        <f aca="false">'Aturan &amp; Tarif'!$B$5</f>
        <v>2050</v>
      </c>
      <c r="L575" s="35" t="n">
        <f aca="false">I575+J575+K575</f>
        <v>7703.4</v>
      </c>
      <c r="M575" s="37" t="s">
        <v>134</v>
      </c>
    </row>
    <row r="576" customFormat="false" ht="14.25" hidden="false" customHeight="true" outlineLevel="0" collapsed="false">
      <c r="A576" s="29" t="s">
        <v>2969</v>
      </c>
      <c r="B576" s="30" t="s">
        <v>2970</v>
      </c>
      <c r="C576" s="31" t="s">
        <v>107</v>
      </c>
      <c r="D576" s="31" t="s">
        <v>108</v>
      </c>
      <c r="E576" s="32" t="n">
        <v>7490</v>
      </c>
      <c r="F576" s="32" t="n">
        <v>750</v>
      </c>
      <c r="G576" s="32" t="n">
        <v>100</v>
      </c>
      <c r="H576" s="33" t="n">
        <v>2</v>
      </c>
      <c r="I576" s="34" t="n">
        <f aca="false">E576*H576+N(F576)+N(G576)</f>
        <v>15830</v>
      </c>
      <c r="J576" s="32" t="n">
        <f aca="false">ROUND(IFERROR(ROUND(IF(OR(ISNUMBER(SEARCH("week",C576)),ISNUMBER(SEARCH("minggu",C576))),IFERROR(_xlfn.NUMBERVALUE(SUBSTITUTE(LEFT(TRIM(C576),FIND(" ",TRIM(C576)&amp;" ")-1),",","."),"."),LEFT(SUBSTITUTE(LEFT(TRIM(C576),FIND(" ",TRIM(C576)&amp;" ")-1),",","."),FIND("/",SUBSTITUTE(LEFT(TRIM(C576),FIND(" ",TRIM(C576)&amp;" ")-1),",","."))-1)/MID(SUBSTITUTE(LEFT(TRIM(C576),FIND(" ",TRIM(C576)&amp;" ")-1),",","."),FIND("/",SUBSTITUTE(LEFT(TRIM(C576),FIND(" ",TRIM(C576)&amp;" ")-1),",","."))+1,9))*12/52,IF(ISNUMBER(SEARCH("month",C576)),IFERROR(_xlfn.NUMBERVALUE(SUBSTITUTE(LEFT(TRIM(C576),FIND(" ",TRIM(C576)&amp;" ")-1),",","."),"."),LEFT(SUBSTITUTE(LEFT(TRIM(C576),FIND(" ",TRIM(C576)&amp;" ")-1),",","."),FIND("/",SUBSTITUTE(LEFT(TRIM(C576),FIND(" ",TRIM(C576)&amp;" ")-1),",","."))-1)/MID(SUBSTITUTE(LEFT(TRIM(C576),FIND(" ",TRIM(C576)&amp;" ")-1),",","."),FIND("/",SUBSTITUTE(LEFT(TRIM(C576),FIND(" ",TRIM(C576)&amp;" ")-1),",","."))+1,9)),IF(ISNUMBER(SEARCH("yea",C576)),IFERROR(_xlfn.NUMBERVALUE(SUBSTITUTE(LEFT(TRIM(C576),FIND(" ",TRIM(C576)&amp;" ")-1),",","."),"."),LEFT(SUBSTITUTE(LEFT(TRIM(C576),FIND(" ",TRIM(C576)&amp;" ")-1),",","."),FIND("/",SUBSTITUTE(LEFT(TRIM(C576),FIND(" ",TRIM(C576)&amp;" ")-1),",","."))-1)/MID(SUBSTITUTE(LEFT(TRIM(C576),FIND(" ",TRIM(C576)&amp;" ")-1),",","."),FIND("/",SUBSTITUTE(LEFT(TRIM(C576),FIND(" ",TRIM(C576)&amp;" ")-1),",","."))+1,9))*12,NA()))),0),24)*'Aturan &amp; Tarif'!$B$4,2)</f>
        <v>1362.72</v>
      </c>
      <c r="K576" s="32" t="n">
        <f aca="false">'Aturan &amp; Tarif'!$B$5</f>
        <v>2050</v>
      </c>
      <c r="L576" s="35" t="n">
        <f aca="false">I576+J576+K576</f>
        <v>19242.72</v>
      </c>
      <c r="M576" s="37" t="s">
        <v>2971</v>
      </c>
    </row>
    <row r="577" customFormat="false" ht="14.25" hidden="false" customHeight="true" outlineLevel="0" collapsed="false">
      <c r="A577" s="29"/>
      <c r="B577" s="30" t="s">
        <v>2972</v>
      </c>
      <c r="C577" s="31" t="s">
        <v>107</v>
      </c>
      <c r="D577" s="31" t="s">
        <v>108</v>
      </c>
      <c r="E577" s="32" t="n">
        <v>7490</v>
      </c>
      <c r="F577" s="32" t="n">
        <v>750</v>
      </c>
      <c r="G577" s="32" t="n">
        <v>100</v>
      </c>
      <c r="H577" s="33" t="n">
        <v>2</v>
      </c>
      <c r="I577" s="34" t="n">
        <f aca="false">E577*H577+N(F577)+N(G577)</f>
        <v>15830</v>
      </c>
      <c r="J577" s="32" t="n">
        <f aca="false">ROUND(IFERROR(ROUND(IF(OR(ISNUMBER(SEARCH("week",C577)),ISNUMBER(SEARCH("minggu",C577))),IFERROR(_xlfn.NUMBERVALUE(SUBSTITUTE(LEFT(TRIM(C577),FIND(" ",TRIM(C577)&amp;" ")-1),",","."),"."),LEFT(SUBSTITUTE(LEFT(TRIM(C577),FIND(" ",TRIM(C577)&amp;" ")-1),",","."),FIND("/",SUBSTITUTE(LEFT(TRIM(C577),FIND(" ",TRIM(C577)&amp;" ")-1),",","."))-1)/MID(SUBSTITUTE(LEFT(TRIM(C577),FIND(" ",TRIM(C577)&amp;" ")-1),",","."),FIND("/",SUBSTITUTE(LEFT(TRIM(C577),FIND(" ",TRIM(C577)&amp;" ")-1),",","."))+1,9))*12/52,IF(ISNUMBER(SEARCH("month",C577)),IFERROR(_xlfn.NUMBERVALUE(SUBSTITUTE(LEFT(TRIM(C577),FIND(" ",TRIM(C577)&amp;" ")-1),",","."),"."),LEFT(SUBSTITUTE(LEFT(TRIM(C577),FIND(" ",TRIM(C577)&amp;" ")-1),",","."),FIND("/",SUBSTITUTE(LEFT(TRIM(C577),FIND(" ",TRIM(C577)&amp;" ")-1),",","."))-1)/MID(SUBSTITUTE(LEFT(TRIM(C577),FIND(" ",TRIM(C577)&amp;" ")-1),",","."),FIND("/",SUBSTITUTE(LEFT(TRIM(C577),FIND(" ",TRIM(C577)&amp;" ")-1),",","."))+1,9)),IF(ISNUMBER(SEARCH("yea",C577)),IFERROR(_xlfn.NUMBERVALUE(SUBSTITUTE(LEFT(TRIM(C577),FIND(" ",TRIM(C577)&amp;" ")-1),",","."),"."),LEFT(SUBSTITUTE(LEFT(TRIM(C577),FIND(" ",TRIM(C577)&amp;" ")-1),",","."),FIND("/",SUBSTITUTE(LEFT(TRIM(C577),FIND(" ",TRIM(C577)&amp;" ")-1),",","."))-1)/MID(SUBSTITUTE(LEFT(TRIM(C577),FIND(" ",TRIM(C577)&amp;" ")-1),",","."),FIND("/",SUBSTITUTE(LEFT(TRIM(C577),FIND(" ",TRIM(C577)&amp;" ")-1),",","."))+1,9))*12,NA()))),0),24)*'Aturan &amp; Tarif'!$B$4,2)</f>
        <v>1362.72</v>
      </c>
      <c r="K577" s="32" t="n">
        <f aca="false">'Aturan &amp; Tarif'!$B$5</f>
        <v>2050</v>
      </c>
      <c r="L577" s="35" t="n">
        <f aca="false">I577+J577+K577</f>
        <v>19242.72</v>
      </c>
      <c r="M577" s="37" t="s">
        <v>2971</v>
      </c>
    </row>
    <row r="578" customFormat="false" ht="25.5" hidden="false" customHeight="true" outlineLevel="0" collapsed="false">
      <c r="A578" s="29"/>
      <c r="B578" s="30" t="s">
        <v>2973</v>
      </c>
      <c r="C578" s="31" t="s">
        <v>127</v>
      </c>
      <c r="D578" s="31" t="s">
        <v>108</v>
      </c>
      <c r="E578" s="32" t="n">
        <v>5720</v>
      </c>
      <c r="F578" s="32" t="n">
        <v>750</v>
      </c>
      <c r="G578" s="32" t="n">
        <v>100</v>
      </c>
      <c r="H578" s="33" t="n">
        <v>2</v>
      </c>
      <c r="I578" s="34" t="n">
        <f aca="false">E578*H578+N(F578)+N(G578)</f>
        <v>12290</v>
      </c>
      <c r="J578" s="32" t="n">
        <f aca="false">ROUND(IFERROR(ROUND(IF(OR(ISNUMBER(SEARCH("week",C578)),ISNUMBER(SEARCH("minggu",C578))),IFERROR(_xlfn.NUMBERVALUE(SUBSTITUTE(LEFT(TRIM(C578),FIND(" ",TRIM(C578)&amp;" ")-1),",","."),"."),LEFT(SUBSTITUTE(LEFT(TRIM(C578),FIND(" ",TRIM(C578)&amp;" ")-1),",","."),FIND("/",SUBSTITUTE(LEFT(TRIM(C578),FIND(" ",TRIM(C578)&amp;" ")-1),",","."))-1)/MID(SUBSTITUTE(LEFT(TRIM(C578),FIND(" ",TRIM(C578)&amp;" ")-1),",","."),FIND("/",SUBSTITUTE(LEFT(TRIM(C578),FIND(" ",TRIM(C578)&amp;" ")-1),",","."))+1,9))*12/52,IF(ISNUMBER(SEARCH("month",C578)),IFERROR(_xlfn.NUMBERVALUE(SUBSTITUTE(LEFT(TRIM(C578),FIND(" ",TRIM(C578)&amp;" ")-1),",","."),"."),LEFT(SUBSTITUTE(LEFT(TRIM(C578),FIND(" ",TRIM(C578)&amp;" ")-1),",","."),FIND("/",SUBSTITUTE(LEFT(TRIM(C578),FIND(" ",TRIM(C578)&amp;" ")-1),",","."))-1)/MID(SUBSTITUTE(LEFT(TRIM(C578),FIND(" ",TRIM(C578)&amp;" ")-1),",","."),FIND("/",SUBSTITUTE(LEFT(TRIM(C578),FIND(" ",TRIM(C578)&amp;" ")-1),",","."))+1,9)),IF(ISNUMBER(SEARCH("yea",C578)),IFERROR(_xlfn.NUMBERVALUE(SUBSTITUTE(LEFT(TRIM(C578),FIND(" ",TRIM(C578)&amp;" ")-1),",","."),"."),LEFT(SUBSTITUTE(LEFT(TRIM(C578),FIND(" ",TRIM(C578)&amp;" ")-1),",","."),FIND("/",SUBSTITUTE(LEFT(TRIM(C578),FIND(" ",TRIM(C578)&amp;" ")-1),",","."))-1)/MID(SUBSTITUTE(LEFT(TRIM(C578),FIND(" ",TRIM(C578)&amp;" ")-1),",","."),FIND("/",SUBSTITUTE(LEFT(TRIM(C578),FIND(" ",TRIM(C578)&amp;" ")-1),",","."))+1,9))*12,NA()))),0),36)*'Aturan &amp; Tarif'!$B$4,2)</f>
        <v>2044.08</v>
      </c>
      <c r="K578" s="32" t="n">
        <f aca="false">'Aturan &amp; Tarif'!$B$5</f>
        <v>2050</v>
      </c>
      <c r="L578" s="35" t="n">
        <f aca="false">I578+J578+K578</f>
        <v>16384.08</v>
      </c>
      <c r="M578" s="37" t="s">
        <v>2971</v>
      </c>
    </row>
    <row r="579" customFormat="false" ht="25.5" hidden="false" customHeight="true" outlineLevel="0" collapsed="false">
      <c r="A579" s="29"/>
      <c r="B579" s="30" t="s">
        <v>2974</v>
      </c>
      <c r="C579" s="31" t="s">
        <v>191</v>
      </c>
      <c r="D579" s="31" t="s">
        <v>108</v>
      </c>
      <c r="E579" s="32" t="n">
        <v>5720</v>
      </c>
      <c r="F579" s="32" t="n">
        <v>750</v>
      </c>
      <c r="G579" s="32" t="n">
        <v>100</v>
      </c>
      <c r="H579" s="33" t="n">
        <v>2</v>
      </c>
      <c r="I579" s="34" t="n">
        <f aca="false">E579*H579+N(F579)+N(G579)</f>
        <v>12290</v>
      </c>
      <c r="J579" s="32" t="n">
        <f aca="false">ROUND(IFERROR(ROUND(IF(OR(ISNUMBER(SEARCH("week",C579)),ISNUMBER(SEARCH("minggu",C579))),IFERROR(_xlfn.NUMBERVALUE(SUBSTITUTE(LEFT(TRIM(C579),FIND(" ",TRIM(C579)&amp;" ")-1),",","."),"."),LEFT(SUBSTITUTE(LEFT(TRIM(C579),FIND(" ",TRIM(C579)&amp;" ")-1),",","."),FIND("/",SUBSTITUTE(LEFT(TRIM(C579),FIND(" ",TRIM(C579)&amp;" ")-1),",","."))-1)/MID(SUBSTITUTE(LEFT(TRIM(C579),FIND(" ",TRIM(C579)&amp;" ")-1),",","."),FIND("/",SUBSTITUTE(LEFT(TRIM(C579),FIND(" ",TRIM(C579)&amp;" ")-1),",","."))+1,9))*12/52,IF(ISNUMBER(SEARCH("month",C579)),IFERROR(_xlfn.NUMBERVALUE(SUBSTITUTE(LEFT(TRIM(C579),FIND(" ",TRIM(C579)&amp;" ")-1),",","."),"."),LEFT(SUBSTITUTE(LEFT(TRIM(C579),FIND(" ",TRIM(C579)&amp;" ")-1),",","."),FIND("/",SUBSTITUTE(LEFT(TRIM(C579),FIND(" ",TRIM(C579)&amp;" ")-1),",","."))-1)/MID(SUBSTITUTE(LEFT(TRIM(C579),FIND(" ",TRIM(C579)&amp;" ")-1),",","."),FIND("/",SUBSTITUTE(LEFT(TRIM(C579),FIND(" ",TRIM(C579)&amp;" ")-1),",","."))+1,9)),IF(ISNUMBER(SEARCH("yea",C579)),IFERROR(_xlfn.NUMBERVALUE(SUBSTITUTE(LEFT(TRIM(C579),FIND(" ",TRIM(C579)&amp;" ")-1),",","."),"."),LEFT(SUBSTITUTE(LEFT(TRIM(C579),FIND(" ",TRIM(C579)&amp;" ")-1),",","."),FIND("/",SUBSTITUTE(LEFT(TRIM(C579),FIND(" ",TRIM(C579)&amp;" ")-1),",","."))-1)/MID(SUBSTITUTE(LEFT(TRIM(C579),FIND(" ",TRIM(C579)&amp;" ")-1),",","."),FIND("/",SUBSTITUTE(LEFT(TRIM(C579),FIND(" ",TRIM(C579)&amp;" ")-1),",","."))+1,9))*12,NA()))),0),48)*'Aturan &amp; Tarif'!$B$4,2)</f>
        <v>2725.44</v>
      </c>
      <c r="K579" s="32" t="n">
        <f aca="false">'Aturan &amp; Tarif'!$B$5</f>
        <v>2050</v>
      </c>
      <c r="L579" s="35" t="n">
        <f aca="false">I579+J579+K579</f>
        <v>17065.44</v>
      </c>
      <c r="M579" s="37" t="s">
        <v>2971</v>
      </c>
    </row>
    <row r="580" customFormat="false" ht="14.25" hidden="false" customHeight="true" outlineLevel="0" collapsed="false">
      <c r="A580" s="29"/>
      <c r="B580" s="30" t="s">
        <v>2975</v>
      </c>
      <c r="C580" s="31" t="s">
        <v>191</v>
      </c>
      <c r="D580" s="31" t="s">
        <v>108</v>
      </c>
      <c r="E580" s="32" t="n">
        <v>5720</v>
      </c>
      <c r="F580" s="32" t="n">
        <v>750</v>
      </c>
      <c r="G580" s="32" t="n">
        <v>100</v>
      </c>
      <c r="H580" s="33" t="n">
        <v>2</v>
      </c>
      <c r="I580" s="34" t="n">
        <f aca="false">E580*H580+N(F580)+N(G580)</f>
        <v>12290</v>
      </c>
      <c r="J580" s="32" t="n">
        <f aca="false">ROUND(IFERROR(ROUND(IF(OR(ISNUMBER(SEARCH("week",C580)),ISNUMBER(SEARCH("minggu",C580))),IFERROR(_xlfn.NUMBERVALUE(SUBSTITUTE(LEFT(TRIM(C580),FIND(" ",TRIM(C580)&amp;" ")-1),",","."),"."),LEFT(SUBSTITUTE(LEFT(TRIM(C580),FIND(" ",TRIM(C580)&amp;" ")-1),",","."),FIND("/",SUBSTITUTE(LEFT(TRIM(C580),FIND(" ",TRIM(C580)&amp;" ")-1),",","."))-1)/MID(SUBSTITUTE(LEFT(TRIM(C580),FIND(" ",TRIM(C580)&amp;" ")-1),",","."),FIND("/",SUBSTITUTE(LEFT(TRIM(C580),FIND(" ",TRIM(C580)&amp;" ")-1),",","."))+1,9))*12/52,IF(ISNUMBER(SEARCH("month",C580)),IFERROR(_xlfn.NUMBERVALUE(SUBSTITUTE(LEFT(TRIM(C580),FIND(" ",TRIM(C580)&amp;" ")-1),",","."),"."),LEFT(SUBSTITUTE(LEFT(TRIM(C580),FIND(" ",TRIM(C580)&amp;" ")-1),",","."),FIND("/",SUBSTITUTE(LEFT(TRIM(C580),FIND(" ",TRIM(C580)&amp;" ")-1),",","."))-1)/MID(SUBSTITUTE(LEFT(TRIM(C580),FIND(" ",TRIM(C580)&amp;" ")-1),",","."),FIND("/",SUBSTITUTE(LEFT(TRIM(C580),FIND(" ",TRIM(C580)&amp;" ")-1),",","."))+1,9)),IF(ISNUMBER(SEARCH("yea",C580)),IFERROR(_xlfn.NUMBERVALUE(SUBSTITUTE(LEFT(TRIM(C580),FIND(" ",TRIM(C580)&amp;" ")-1),",","."),"."),LEFT(SUBSTITUTE(LEFT(TRIM(C580),FIND(" ",TRIM(C580)&amp;" ")-1),",","."),FIND("/",SUBSTITUTE(LEFT(TRIM(C580),FIND(" ",TRIM(C580)&amp;" ")-1),",","."))-1)/MID(SUBSTITUTE(LEFT(TRIM(C580),FIND(" ",TRIM(C580)&amp;" ")-1),",","."),FIND("/",SUBSTITUTE(LEFT(TRIM(C580),FIND(" ",TRIM(C580)&amp;" ")-1),",","."))+1,9))*12,NA()))),0),48)*'Aturan &amp; Tarif'!$B$4,2)</f>
        <v>2725.44</v>
      </c>
      <c r="K580" s="32" t="n">
        <f aca="false">'Aturan &amp; Tarif'!$B$5</f>
        <v>2050</v>
      </c>
      <c r="L580" s="35" t="n">
        <f aca="false">I580+J580+K580</f>
        <v>17065.44</v>
      </c>
      <c r="M580" s="37" t="s">
        <v>2971</v>
      </c>
    </row>
    <row r="581" customFormat="false" ht="14.25" hidden="false" customHeight="true" outlineLevel="0" collapsed="false">
      <c r="A581" s="29"/>
      <c r="B581" s="30" t="s">
        <v>2976</v>
      </c>
      <c r="C581" s="31" t="s">
        <v>127</v>
      </c>
      <c r="D581" s="31" t="s">
        <v>108</v>
      </c>
      <c r="E581" s="32" t="n">
        <v>5720</v>
      </c>
      <c r="F581" s="32" t="n">
        <v>750</v>
      </c>
      <c r="G581" s="32" t="n">
        <v>100</v>
      </c>
      <c r="H581" s="33" t="n">
        <v>2</v>
      </c>
      <c r="I581" s="34" t="n">
        <f aca="false">E581*H581+N(F581)+N(G581)</f>
        <v>12290</v>
      </c>
      <c r="J581" s="32" t="n">
        <f aca="false">ROUND(IFERROR(ROUND(IF(OR(ISNUMBER(SEARCH("week",C581)),ISNUMBER(SEARCH("minggu",C581))),IFERROR(_xlfn.NUMBERVALUE(SUBSTITUTE(LEFT(TRIM(C581),FIND(" ",TRIM(C581)&amp;" ")-1),",","."),"."),LEFT(SUBSTITUTE(LEFT(TRIM(C581),FIND(" ",TRIM(C581)&amp;" ")-1),",","."),FIND("/",SUBSTITUTE(LEFT(TRIM(C581),FIND(" ",TRIM(C581)&amp;" ")-1),",","."))-1)/MID(SUBSTITUTE(LEFT(TRIM(C581),FIND(" ",TRIM(C581)&amp;" ")-1),",","."),FIND("/",SUBSTITUTE(LEFT(TRIM(C581),FIND(" ",TRIM(C581)&amp;" ")-1),",","."))+1,9))*12/52,IF(ISNUMBER(SEARCH("month",C581)),IFERROR(_xlfn.NUMBERVALUE(SUBSTITUTE(LEFT(TRIM(C581),FIND(" ",TRIM(C581)&amp;" ")-1),",","."),"."),LEFT(SUBSTITUTE(LEFT(TRIM(C581),FIND(" ",TRIM(C581)&amp;" ")-1),",","."),FIND("/",SUBSTITUTE(LEFT(TRIM(C581),FIND(" ",TRIM(C581)&amp;" ")-1),",","."))-1)/MID(SUBSTITUTE(LEFT(TRIM(C581),FIND(" ",TRIM(C581)&amp;" ")-1),",","."),FIND("/",SUBSTITUTE(LEFT(TRIM(C581),FIND(" ",TRIM(C581)&amp;" ")-1),",","."))+1,9)),IF(ISNUMBER(SEARCH("yea",C581)),IFERROR(_xlfn.NUMBERVALUE(SUBSTITUTE(LEFT(TRIM(C581),FIND(" ",TRIM(C581)&amp;" ")-1),",","."),"."),LEFT(SUBSTITUTE(LEFT(TRIM(C581),FIND(" ",TRIM(C581)&amp;" ")-1),",","."),FIND("/",SUBSTITUTE(LEFT(TRIM(C581),FIND(" ",TRIM(C581)&amp;" ")-1),",","."))-1)/MID(SUBSTITUTE(LEFT(TRIM(C581),FIND(" ",TRIM(C581)&amp;" ")-1),",","."),FIND("/",SUBSTITUTE(LEFT(TRIM(C581),FIND(" ",TRIM(C581)&amp;" ")-1),",","."))+1,9))*12,NA()))),0),36)*'Aturan &amp; Tarif'!$B$4,2)</f>
        <v>2044.08</v>
      </c>
      <c r="K581" s="32" t="n">
        <f aca="false">'Aturan &amp; Tarif'!$B$5</f>
        <v>2050</v>
      </c>
      <c r="L581" s="35" t="n">
        <f aca="false">I581+J581+K581</f>
        <v>16384.08</v>
      </c>
      <c r="M581" s="37" t="s">
        <v>2977</v>
      </c>
    </row>
    <row r="582" customFormat="false" ht="14.25" hidden="false" customHeight="true" outlineLevel="0" collapsed="false">
      <c r="A582" s="29"/>
      <c r="B582" s="30" t="s">
        <v>2978</v>
      </c>
      <c r="C582" s="31" t="s">
        <v>127</v>
      </c>
      <c r="D582" s="31" t="s">
        <v>108</v>
      </c>
      <c r="E582" s="32" t="n">
        <v>5720</v>
      </c>
      <c r="F582" s="32" t="n">
        <v>805</v>
      </c>
      <c r="G582" s="32" t="n">
        <v>100</v>
      </c>
      <c r="H582" s="33" t="n">
        <v>2</v>
      </c>
      <c r="I582" s="34" t="n">
        <f aca="false">E582*H582+N(F582)+N(G582)</f>
        <v>12345</v>
      </c>
      <c r="J582" s="32" t="n">
        <f aca="false">ROUND(IFERROR(ROUND(IF(OR(ISNUMBER(SEARCH("week",C582)),ISNUMBER(SEARCH("minggu",C582))),IFERROR(_xlfn.NUMBERVALUE(SUBSTITUTE(LEFT(TRIM(C582),FIND(" ",TRIM(C582)&amp;" ")-1),",","."),"."),LEFT(SUBSTITUTE(LEFT(TRIM(C582),FIND(" ",TRIM(C582)&amp;" ")-1),",","."),FIND("/",SUBSTITUTE(LEFT(TRIM(C582),FIND(" ",TRIM(C582)&amp;" ")-1),",","."))-1)/MID(SUBSTITUTE(LEFT(TRIM(C582),FIND(" ",TRIM(C582)&amp;" ")-1),",","."),FIND("/",SUBSTITUTE(LEFT(TRIM(C582),FIND(" ",TRIM(C582)&amp;" ")-1),",","."))+1,9))*12/52,IF(ISNUMBER(SEARCH("month",C582)),IFERROR(_xlfn.NUMBERVALUE(SUBSTITUTE(LEFT(TRIM(C582),FIND(" ",TRIM(C582)&amp;" ")-1),",","."),"."),LEFT(SUBSTITUTE(LEFT(TRIM(C582),FIND(" ",TRIM(C582)&amp;" ")-1),",","."),FIND("/",SUBSTITUTE(LEFT(TRIM(C582),FIND(" ",TRIM(C582)&amp;" ")-1),",","."))-1)/MID(SUBSTITUTE(LEFT(TRIM(C582),FIND(" ",TRIM(C582)&amp;" ")-1),",","."),FIND("/",SUBSTITUTE(LEFT(TRIM(C582),FIND(" ",TRIM(C582)&amp;" ")-1),",","."))+1,9)),IF(ISNUMBER(SEARCH("yea",C582)),IFERROR(_xlfn.NUMBERVALUE(SUBSTITUTE(LEFT(TRIM(C582),FIND(" ",TRIM(C582)&amp;" ")-1),",","."),"."),LEFT(SUBSTITUTE(LEFT(TRIM(C582),FIND(" ",TRIM(C582)&amp;" ")-1),",","."),FIND("/",SUBSTITUTE(LEFT(TRIM(C582),FIND(" ",TRIM(C582)&amp;" ")-1),",","."))-1)/MID(SUBSTITUTE(LEFT(TRIM(C582),FIND(" ",TRIM(C582)&amp;" ")-1),",","."),FIND("/",SUBSTITUTE(LEFT(TRIM(C582),FIND(" ",TRIM(C582)&amp;" ")-1),",","."))+1,9))*12,NA()))),0),36)*'Aturan &amp; Tarif'!$B$4,2)</f>
        <v>2044.08</v>
      </c>
      <c r="K582" s="32" t="n">
        <f aca="false">'Aturan &amp; Tarif'!$B$5</f>
        <v>2050</v>
      </c>
      <c r="L582" s="35" t="n">
        <f aca="false">I582+J582+K582</f>
        <v>16439.08</v>
      </c>
      <c r="M582" s="37" t="s">
        <v>2971</v>
      </c>
    </row>
    <row r="583" customFormat="false" ht="14.25" hidden="false" customHeight="true" outlineLevel="0" collapsed="false">
      <c r="A583" s="29"/>
      <c r="B583" s="30" t="s">
        <v>2979</v>
      </c>
      <c r="C583" s="31" t="s">
        <v>191</v>
      </c>
      <c r="D583" s="31" t="s">
        <v>108</v>
      </c>
      <c r="E583" s="32" t="n">
        <v>5720</v>
      </c>
      <c r="F583" s="32" t="n">
        <v>1070</v>
      </c>
      <c r="G583" s="32" t="n">
        <v>100</v>
      </c>
      <c r="H583" s="33" t="n">
        <v>2</v>
      </c>
      <c r="I583" s="34" t="n">
        <f aca="false">E583*H583+N(F583)+N(G583)</f>
        <v>12610</v>
      </c>
      <c r="J583" s="32" t="n">
        <f aca="false">ROUND(IFERROR(ROUND(IF(OR(ISNUMBER(SEARCH("week",C583)),ISNUMBER(SEARCH("minggu",C583))),IFERROR(_xlfn.NUMBERVALUE(SUBSTITUTE(LEFT(TRIM(C583),FIND(" ",TRIM(C583)&amp;" ")-1),",","."),"."),LEFT(SUBSTITUTE(LEFT(TRIM(C583),FIND(" ",TRIM(C583)&amp;" ")-1),",","."),FIND("/",SUBSTITUTE(LEFT(TRIM(C583),FIND(" ",TRIM(C583)&amp;" ")-1),",","."))-1)/MID(SUBSTITUTE(LEFT(TRIM(C583),FIND(" ",TRIM(C583)&amp;" ")-1),",","."),FIND("/",SUBSTITUTE(LEFT(TRIM(C583),FIND(" ",TRIM(C583)&amp;" ")-1),",","."))+1,9))*12/52,IF(ISNUMBER(SEARCH("month",C583)),IFERROR(_xlfn.NUMBERVALUE(SUBSTITUTE(LEFT(TRIM(C583),FIND(" ",TRIM(C583)&amp;" ")-1),",","."),"."),LEFT(SUBSTITUTE(LEFT(TRIM(C583),FIND(" ",TRIM(C583)&amp;" ")-1),",","."),FIND("/",SUBSTITUTE(LEFT(TRIM(C583),FIND(" ",TRIM(C583)&amp;" ")-1),",","."))-1)/MID(SUBSTITUTE(LEFT(TRIM(C583),FIND(" ",TRIM(C583)&amp;" ")-1),",","."),FIND("/",SUBSTITUTE(LEFT(TRIM(C583),FIND(" ",TRIM(C583)&amp;" ")-1),",","."))+1,9)),IF(ISNUMBER(SEARCH("yea",C583)),IFERROR(_xlfn.NUMBERVALUE(SUBSTITUTE(LEFT(TRIM(C583),FIND(" ",TRIM(C583)&amp;" ")-1),",","."),"."),LEFT(SUBSTITUTE(LEFT(TRIM(C583),FIND(" ",TRIM(C583)&amp;" ")-1),",","."),FIND("/",SUBSTITUTE(LEFT(TRIM(C583),FIND(" ",TRIM(C583)&amp;" ")-1),",","."))-1)/MID(SUBSTITUTE(LEFT(TRIM(C583),FIND(" ",TRIM(C583)&amp;" ")-1),",","."),FIND("/",SUBSTITUTE(LEFT(TRIM(C583),FIND(" ",TRIM(C583)&amp;" ")-1),",","."))+1,9))*12,NA()))),0),48)*'Aturan &amp; Tarif'!$B$4,2)</f>
        <v>2725.44</v>
      </c>
      <c r="K583" s="32" t="n">
        <f aca="false">'Aturan &amp; Tarif'!$B$5</f>
        <v>2050</v>
      </c>
      <c r="L583" s="35" t="n">
        <f aca="false">I583+J583+K583</f>
        <v>17385.44</v>
      </c>
      <c r="M583" s="37" t="s">
        <v>2971</v>
      </c>
    </row>
    <row r="584" customFormat="false" ht="25.5" hidden="false" customHeight="true" outlineLevel="0" collapsed="false">
      <c r="A584" s="29"/>
      <c r="B584" s="30" t="s">
        <v>2980</v>
      </c>
      <c r="C584" s="31" t="s">
        <v>127</v>
      </c>
      <c r="D584" s="31" t="s">
        <v>108</v>
      </c>
      <c r="E584" s="32" t="n">
        <v>5550</v>
      </c>
      <c r="F584" s="32" t="n">
        <v>950</v>
      </c>
      <c r="G584" s="32" t="n">
        <v>100</v>
      </c>
      <c r="H584" s="33" t="n">
        <v>2</v>
      </c>
      <c r="I584" s="34" t="n">
        <f aca="false">E584*H584+N(F584)+N(G584)</f>
        <v>12150</v>
      </c>
      <c r="J584" s="32" t="n">
        <f aca="false">ROUND(IFERROR(ROUND(IF(OR(ISNUMBER(SEARCH("week",C584)),ISNUMBER(SEARCH("minggu",C584))),IFERROR(_xlfn.NUMBERVALUE(SUBSTITUTE(LEFT(TRIM(C584),FIND(" ",TRIM(C584)&amp;" ")-1),",","."),"."),LEFT(SUBSTITUTE(LEFT(TRIM(C584),FIND(" ",TRIM(C584)&amp;" ")-1),",","."),FIND("/",SUBSTITUTE(LEFT(TRIM(C584),FIND(" ",TRIM(C584)&amp;" ")-1),",","."))-1)/MID(SUBSTITUTE(LEFT(TRIM(C584),FIND(" ",TRIM(C584)&amp;" ")-1),",","."),FIND("/",SUBSTITUTE(LEFT(TRIM(C584),FIND(" ",TRIM(C584)&amp;" ")-1),",","."))+1,9))*12/52,IF(ISNUMBER(SEARCH("month",C584)),IFERROR(_xlfn.NUMBERVALUE(SUBSTITUTE(LEFT(TRIM(C584),FIND(" ",TRIM(C584)&amp;" ")-1),",","."),"."),LEFT(SUBSTITUTE(LEFT(TRIM(C584),FIND(" ",TRIM(C584)&amp;" ")-1),",","."),FIND("/",SUBSTITUTE(LEFT(TRIM(C584),FIND(" ",TRIM(C584)&amp;" ")-1),",","."))-1)/MID(SUBSTITUTE(LEFT(TRIM(C584),FIND(" ",TRIM(C584)&amp;" ")-1),",","."),FIND("/",SUBSTITUTE(LEFT(TRIM(C584),FIND(" ",TRIM(C584)&amp;" ")-1),",","."))+1,9)),IF(ISNUMBER(SEARCH("yea",C584)),IFERROR(_xlfn.NUMBERVALUE(SUBSTITUTE(LEFT(TRIM(C584),FIND(" ",TRIM(C584)&amp;" ")-1),",","."),"."),LEFT(SUBSTITUTE(LEFT(TRIM(C584),FIND(" ",TRIM(C584)&amp;" ")-1),",","."),FIND("/",SUBSTITUTE(LEFT(TRIM(C584),FIND(" ",TRIM(C584)&amp;" ")-1),",","."))-1)/MID(SUBSTITUTE(LEFT(TRIM(C584),FIND(" ",TRIM(C584)&amp;" ")-1),",","."),FIND("/",SUBSTITUTE(LEFT(TRIM(C584),FIND(" ",TRIM(C584)&amp;" ")-1),",","."))+1,9))*12,NA()))),0),36)*'Aturan &amp; Tarif'!$B$4,2)</f>
        <v>2044.08</v>
      </c>
      <c r="K584" s="32" t="n">
        <f aca="false">'Aturan &amp; Tarif'!$B$5</f>
        <v>2050</v>
      </c>
      <c r="L584" s="35" t="n">
        <f aca="false">I584+J584+K584</f>
        <v>16244.08</v>
      </c>
      <c r="M584" s="37" t="s">
        <v>2977</v>
      </c>
    </row>
    <row r="585" customFormat="false" ht="60" hidden="false" customHeight="true" outlineLevel="0" collapsed="false">
      <c r="A585" s="29"/>
      <c r="B585" s="30" t="s">
        <v>422</v>
      </c>
      <c r="C585" s="31" t="s">
        <v>113</v>
      </c>
      <c r="D585" s="31" t="s">
        <v>108</v>
      </c>
      <c r="E585" s="32" t="n">
        <v>5460</v>
      </c>
      <c r="F585" s="32" t="n">
        <v>1385</v>
      </c>
      <c r="G585" s="32" t="n">
        <v>100</v>
      </c>
      <c r="H585" s="33" t="n">
        <v>2</v>
      </c>
      <c r="I585" s="34" t="n">
        <f aca="false">E585*H585+N(F585)+N(G585)</f>
        <v>12405</v>
      </c>
      <c r="J585" s="32" t="n">
        <f aca="false">ROUND(IFERROR(ROUND(IF(OR(ISNUMBER(SEARCH("week",C585)),ISNUMBER(SEARCH("minggu",C585))),IFERROR(_xlfn.NUMBERVALUE(SUBSTITUTE(LEFT(TRIM(C585),FIND(" ",TRIM(C585)&amp;" ")-1),",","."),"."),LEFT(SUBSTITUTE(LEFT(TRIM(C585),FIND(" ",TRIM(C585)&amp;" ")-1),",","."),FIND("/",SUBSTITUTE(LEFT(TRIM(C585),FIND(" ",TRIM(C585)&amp;" ")-1),",","."))-1)/MID(SUBSTITUTE(LEFT(TRIM(C585),FIND(" ",TRIM(C585)&amp;" ")-1),",","."),FIND("/",SUBSTITUTE(LEFT(TRIM(C585),FIND(" ",TRIM(C585)&amp;" ")-1),",","."))+1,9))*12/52,IF(ISNUMBER(SEARCH("month",C585)),IFERROR(_xlfn.NUMBERVALUE(SUBSTITUTE(LEFT(TRIM(C585),FIND(" ",TRIM(C585)&amp;" ")-1),",","."),"."),LEFT(SUBSTITUTE(LEFT(TRIM(C585),FIND(" ",TRIM(C585)&amp;" ")-1),",","."),FIND("/",SUBSTITUTE(LEFT(TRIM(C585),FIND(" ",TRIM(C585)&amp;" ")-1),",","."))-1)/MID(SUBSTITUTE(LEFT(TRIM(C585),FIND(" ",TRIM(C585)&amp;" ")-1),",","."),FIND("/",SUBSTITUTE(LEFT(TRIM(C585),FIND(" ",TRIM(C585)&amp;" ")-1),",","."))+1,9)),IF(ISNUMBER(SEARCH("yea",C585)),IFERROR(_xlfn.NUMBERVALUE(SUBSTITUTE(LEFT(TRIM(C585),FIND(" ",TRIM(C585)&amp;" ")-1),",","."),"."),LEFT(SUBSTITUTE(LEFT(TRIM(C585),FIND(" ",TRIM(C585)&amp;" ")-1),",","."),FIND("/",SUBSTITUTE(LEFT(TRIM(C585),FIND(" ",TRIM(C585)&amp;" ")-1),",","."))-1)/MID(SUBSTITUTE(LEFT(TRIM(C585),FIND(" ",TRIM(C585)&amp;" ")-1),",","."),FIND("/",SUBSTITUTE(LEFT(TRIM(C585),FIND(" ",TRIM(C585)&amp;" ")-1),",","."))+1,9))*12,NA()))),0),18)*'Aturan &amp; Tarif'!$B$4,2)</f>
        <v>1022.04</v>
      </c>
      <c r="K585" s="32" t="n">
        <f aca="false">'Aturan &amp; Tarif'!$B$5</f>
        <v>2050</v>
      </c>
      <c r="L585" s="35" t="n">
        <f aca="false">I585+J585+K585</f>
        <v>15477.04</v>
      </c>
      <c r="M585" s="37" t="s">
        <v>2971</v>
      </c>
    </row>
    <row r="586" customFormat="false" ht="60" hidden="false" customHeight="true" outlineLevel="0" collapsed="false">
      <c r="A586" s="29"/>
      <c r="B586" s="30" t="s">
        <v>1561</v>
      </c>
      <c r="C586" s="31" t="s">
        <v>107</v>
      </c>
      <c r="D586" s="31" t="s">
        <v>108</v>
      </c>
      <c r="E586" s="32" t="n">
        <v>4610</v>
      </c>
      <c r="F586" s="32" t="n">
        <v>1385</v>
      </c>
      <c r="G586" s="32" t="n">
        <v>600</v>
      </c>
      <c r="H586" s="33" t="n">
        <v>2</v>
      </c>
      <c r="I586" s="34" t="n">
        <f aca="false">E586*H586+N(F586)+N(G586)</f>
        <v>11205</v>
      </c>
      <c r="J586" s="32" t="n">
        <f aca="false">ROUND(IFERROR(ROUND(IF(OR(ISNUMBER(SEARCH("week",C586)),ISNUMBER(SEARCH("minggu",C586))),IFERROR(_xlfn.NUMBERVALUE(SUBSTITUTE(LEFT(TRIM(C586),FIND(" ",TRIM(C586)&amp;" ")-1),",","."),"."),LEFT(SUBSTITUTE(LEFT(TRIM(C586),FIND(" ",TRIM(C586)&amp;" ")-1),",","."),FIND("/",SUBSTITUTE(LEFT(TRIM(C586),FIND(" ",TRIM(C586)&amp;" ")-1),",","."))-1)/MID(SUBSTITUTE(LEFT(TRIM(C586),FIND(" ",TRIM(C586)&amp;" ")-1),",","."),FIND("/",SUBSTITUTE(LEFT(TRIM(C586),FIND(" ",TRIM(C586)&amp;" ")-1),",","."))+1,9))*12/52,IF(ISNUMBER(SEARCH("month",C586)),IFERROR(_xlfn.NUMBERVALUE(SUBSTITUTE(LEFT(TRIM(C586),FIND(" ",TRIM(C586)&amp;" ")-1),",","."),"."),LEFT(SUBSTITUTE(LEFT(TRIM(C586),FIND(" ",TRIM(C586)&amp;" ")-1),",","."),FIND("/",SUBSTITUTE(LEFT(TRIM(C586),FIND(" ",TRIM(C586)&amp;" ")-1),",","."))-1)/MID(SUBSTITUTE(LEFT(TRIM(C586),FIND(" ",TRIM(C586)&amp;" ")-1),",","."),FIND("/",SUBSTITUTE(LEFT(TRIM(C586),FIND(" ",TRIM(C586)&amp;" ")-1),",","."))+1,9)),IF(ISNUMBER(SEARCH("yea",C586)),IFERROR(_xlfn.NUMBERVALUE(SUBSTITUTE(LEFT(TRIM(C586),FIND(" ",TRIM(C586)&amp;" ")-1),",","."),"."),LEFT(SUBSTITUTE(LEFT(TRIM(C586),FIND(" ",TRIM(C586)&amp;" ")-1),",","."),FIND("/",SUBSTITUTE(LEFT(TRIM(C586),FIND(" ",TRIM(C586)&amp;" ")-1),",","."))-1)/MID(SUBSTITUTE(LEFT(TRIM(C586),FIND(" ",TRIM(C586)&amp;" ")-1),",","."),FIND("/",SUBSTITUTE(LEFT(TRIM(C586),FIND(" ",TRIM(C586)&amp;" ")-1),",","."))+1,9))*12,NA()))),0),24)*'Aturan &amp; Tarif'!$B$4,2)</f>
        <v>1362.72</v>
      </c>
      <c r="K586" s="32" t="n">
        <f aca="false">'Aturan &amp; Tarif'!$B$5</f>
        <v>2050</v>
      </c>
      <c r="L586" s="35" t="n">
        <f aca="false">I586+J586+K586</f>
        <v>14617.72</v>
      </c>
      <c r="M586" s="36" t="s">
        <v>2981</v>
      </c>
    </row>
    <row r="587" customFormat="false" ht="60" hidden="false" customHeight="true" outlineLevel="0" collapsed="false">
      <c r="A587" s="29"/>
      <c r="B587" s="30" t="s">
        <v>2982</v>
      </c>
      <c r="C587" s="31" t="s">
        <v>138</v>
      </c>
      <c r="D587" s="31" t="s">
        <v>108</v>
      </c>
      <c r="E587" s="32" t="n">
        <v>4610</v>
      </c>
      <c r="F587" s="32" t="n">
        <v>1385</v>
      </c>
      <c r="G587" s="32" t="n">
        <v>600</v>
      </c>
      <c r="H587" s="33" t="n">
        <v>2</v>
      </c>
      <c r="I587" s="34" t="n">
        <f aca="false">E587*H587+N(F587)+N(G587)</f>
        <v>11205</v>
      </c>
      <c r="J587" s="32" t="n">
        <f aca="false">ROUND(IFERROR(ROUND(IF(OR(ISNUMBER(SEARCH("week",C587)),ISNUMBER(SEARCH("minggu",C587))),IFERROR(_xlfn.NUMBERVALUE(SUBSTITUTE(LEFT(TRIM(C587),FIND(" ",TRIM(C587)&amp;" ")-1),",","."),"."),LEFT(SUBSTITUTE(LEFT(TRIM(C587),FIND(" ",TRIM(C587)&amp;" ")-1),",","."),FIND("/",SUBSTITUTE(LEFT(TRIM(C587),FIND(" ",TRIM(C587)&amp;" ")-1),",","."))-1)/MID(SUBSTITUTE(LEFT(TRIM(C587),FIND(" ",TRIM(C587)&amp;" ")-1),",","."),FIND("/",SUBSTITUTE(LEFT(TRIM(C587),FIND(" ",TRIM(C587)&amp;" ")-1),",","."))+1,9))*12/52,IF(ISNUMBER(SEARCH("month",C587)),IFERROR(_xlfn.NUMBERVALUE(SUBSTITUTE(LEFT(TRIM(C587),FIND(" ",TRIM(C587)&amp;" ")-1),",","."),"."),LEFT(SUBSTITUTE(LEFT(TRIM(C587),FIND(" ",TRIM(C587)&amp;" ")-1),",","."),FIND("/",SUBSTITUTE(LEFT(TRIM(C587),FIND(" ",TRIM(C587)&amp;" ")-1),",","."))-1)/MID(SUBSTITUTE(LEFT(TRIM(C587),FIND(" ",TRIM(C587)&amp;" ")-1),",","."),FIND("/",SUBSTITUTE(LEFT(TRIM(C587),FIND(" ",TRIM(C587)&amp;" ")-1),",","."))+1,9)),IF(ISNUMBER(SEARCH("yea",C587)),IFERROR(_xlfn.NUMBERVALUE(SUBSTITUTE(LEFT(TRIM(C587),FIND(" ",TRIM(C587)&amp;" ")-1),",","."),"."),LEFT(SUBSTITUTE(LEFT(TRIM(C587),FIND(" ",TRIM(C587)&amp;" ")-1),",","."),FIND("/",SUBSTITUTE(LEFT(TRIM(C587),FIND(" ",TRIM(C587)&amp;" ")-1),",","."))-1)/MID(SUBSTITUTE(LEFT(TRIM(C587),FIND(" ",TRIM(C587)&amp;" ")-1),",","."),FIND("/",SUBSTITUTE(LEFT(TRIM(C587),FIND(" ",TRIM(C587)&amp;" ")-1),",","."))+1,9))*12,NA()))),0),30)*'Aturan &amp; Tarif'!$B$4,2)</f>
        <v>1703.4</v>
      </c>
      <c r="K587" s="32" t="n">
        <f aca="false">'Aturan &amp; Tarif'!$B$5</f>
        <v>2050</v>
      </c>
      <c r="L587" s="35" t="n">
        <f aca="false">I587+J587+K587</f>
        <v>14958.4</v>
      </c>
      <c r="M587" s="36" t="s">
        <v>2983</v>
      </c>
    </row>
    <row r="588" customFormat="false" ht="60" hidden="false" customHeight="true" outlineLevel="0" collapsed="false">
      <c r="A588" s="29"/>
      <c r="B588" s="30" t="s">
        <v>2984</v>
      </c>
      <c r="C588" s="31" t="s">
        <v>245</v>
      </c>
      <c r="D588" s="31" t="s">
        <v>108</v>
      </c>
      <c r="E588" s="32" t="n">
        <v>5720</v>
      </c>
      <c r="F588" s="32" t="n">
        <v>1385</v>
      </c>
      <c r="G588" s="32" t="n">
        <v>1100</v>
      </c>
      <c r="H588" s="33" t="n">
        <v>2</v>
      </c>
      <c r="I588" s="34" t="n">
        <f aca="false">E588*H588+N(F588)+N(G588)</f>
        <v>13925</v>
      </c>
      <c r="J588" s="32" t="n">
        <f aca="false">ROUND(IFERROR(ROUND(IF(OR(ISNUMBER(SEARCH("week",C588)),ISNUMBER(SEARCH("minggu",C588))),IFERROR(_xlfn.NUMBERVALUE(SUBSTITUTE(LEFT(TRIM(C588),FIND(" ",TRIM(C588)&amp;" ")-1),",","."),"."),LEFT(SUBSTITUTE(LEFT(TRIM(C588),FIND(" ",TRIM(C588)&amp;" ")-1),",","."),FIND("/",SUBSTITUTE(LEFT(TRIM(C588),FIND(" ",TRIM(C588)&amp;" ")-1),",","."))-1)/MID(SUBSTITUTE(LEFT(TRIM(C588),FIND(" ",TRIM(C588)&amp;" ")-1),",","."),FIND("/",SUBSTITUTE(LEFT(TRIM(C588),FIND(" ",TRIM(C588)&amp;" ")-1),",","."))+1,9))*12/52,IF(ISNUMBER(SEARCH("month",C588)),IFERROR(_xlfn.NUMBERVALUE(SUBSTITUTE(LEFT(TRIM(C588),FIND(" ",TRIM(C588)&amp;" ")-1),",","."),"."),LEFT(SUBSTITUTE(LEFT(TRIM(C588),FIND(" ",TRIM(C588)&amp;" ")-1),",","."),FIND("/",SUBSTITUTE(LEFT(TRIM(C588),FIND(" ",TRIM(C588)&amp;" ")-1),",","."))-1)/MID(SUBSTITUTE(LEFT(TRIM(C588),FIND(" ",TRIM(C588)&amp;" ")-1),",","."),FIND("/",SUBSTITUTE(LEFT(TRIM(C588),FIND(" ",TRIM(C588)&amp;" ")-1),",","."))+1,9)),IF(ISNUMBER(SEARCH("yea",C588)),IFERROR(_xlfn.NUMBERVALUE(SUBSTITUTE(LEFT(TRIM(C588),FIND(" ",TRIM(C588)&amp;" ")-1),",","."),"."),LEFT(SUBSTITUTE(LEFT(TRIM(C588),FIND(" ",TRIM(C588)&amp;" ")-1),",","."),FIND("/",SUBSTITUTE(LEFT(TRIM(C588),FIND(" ",TRIM(C588)&amp;" ")-1),",","."))-1)/MID(SUBSTITUTE(LEFT(TRIM(C588),FIND(" ",TRIM(C588)&amp;" ")-1),",","."),FIND("/",SUBSTITUTE(LEFT(TRIM(C588),FIND(" ",TRIM(C588)&amp;" ")-1),",","."))+1,9))*12,NA()))),0),60)*'Aturan &amp; Tarif'!$B$4,2)</f>
        <v>3406.8</v>
      </c>
      <c r="K588" s="32" t="n">
        <f aca="false">'Aturan &amp; Tarif'!$B$5</f>
        <v>2050</v>
      </c>
      <c r="L588" s="35" t="n">
        <f aca="false">I588+J588+K588</f>
        <v>19381.8</v>
      </c>
      <c r="M588" s="36" t="s">
        <v>2985</v>
      </c>
    </row>
    <row r="589" customFormat="false" ht="60" hidden="false" customHeight="true" outlineLevel="0" collapsed="false">
      <c r="A589" s="29"/>
      <c r="B589" s="30" t="s">
        <v>2986</v>
      </c>
      <c r="C589" s="31" t="s">
        <v>107</v>
      </c>
      <c r="D589" s="31" t="s">
        <v>108</v>
      </c>
      <c r="E589" s="32" t="n">
        <v>5460</v>
      </c>
      <c r="F589" s="32" t="n">
        <v>1315</v>
      </c>
      <c r="G589" s="32" t="n">
        <v>600</v>
      </c>
      <c r="H589" s="33" t="n">
        <v>2</v>
      </c>
      <c r="I589" s="34" t="n">
        <f aca="false">E589*H589+N(F589)+N(G589)</f>
        <v>12835</v>
      </c>
      <c r="J589" s="32" t="n">
        <f aca="false">ROUND(IFERROR(ROUND(IF(OR(ISNUMBER(SEARCH("week",C589)),ISNUMBER(SEARCH("minggu",C589))),IFERROR(_xlfn.NUMBERVALUE(SUBSTITUTE(LEFT(TRIM(C589),FIND(" ",TRIM(C589)&amp;" ")-1),",","."),"."),LEFT(SUBSTITUTE(LEFT(TRIM(C589),FIND(" ",TRIM(C589)&amp;" ")-1),",","."),FIND("/",SUBSTITUTE(LEFT(TRIM(C589),FIND(" ",TRIM(C589)&amp;" ")-1),",","."))-1)/MID(SUBSTITUTE(LEFT(TRIM(C589),FIND(" ",TRIM(C589)&amp;" ")-1),",","."),FIND("/",SUBSTITUTE(LEFT(TRIM(C589),FIND(" ",TRIM(C589)&amp;" ")-1),",","."))+1,9))*12/52,IF(ISNUMBER(SEARCH("month",C589)),IFERROR(_xlfn.NUMBERVALUE(SUBSTITUTE(LEFT(TRIM(C589),FIND(" ",TRIM(C589)&amp;" ")-1),",","."),"."),LEFT(SUBSTITUTE(LEFT(TRIM(C589),FIND(" ",TRIM(C589)&amp;" ")-1),",","."),FIND("/",SUBSTITUTE(LEFT(TRIM(C589),FIND(" ",TRIM(C589)&amp;" ")-1),",","."))-1)/MID(SUBSTITUTE(LEFT(TRIM(C589),FIND(" ",TRIM(C589)&amp;" ")-1),",","."),FIND("/",SUBSTITUTE(LEFT(TRIM(C589),FIND(" ",TRIM(C589)&amp;" ")-1),",","."))+1,9)),IF(ISNUMBER(SEARCH("yea",C589)),IFERROR(_xlfn.NUMBERVALUE(SUBSTITUTE(LEFT(TRIM(C589),FIND(" ",TRIM(C589)&amp;" ")-1),",","."),"."),LEFT(SUBSTITUTE(LEFT(TRIM(C589),FIND(" ",TRIM(C589)&amp;" ")-1),",","."),FIND("/",SUBSTITUTE(LEFT(TRIM(C589),FIND(" ",TRIM(C589)&amp;" ")-1),",","."))-1)/MID(SUBSTITUTE(LEFT(TRIM(C589),FIND(" ",TRIM(C589)&amp;" ")-1),",","."),FIND("/",SUBSTITUTE(LEFT(TRIM(C589),FIND(" ",TRIM(C589)&amp;" ")-1),",","."))+1,9))*12,NA()))),0),24)*'Aturan &amp; Tarif'!$B$4,2)</f>
        <v>1362.72</v>
      </c>
      <c r="K589" s="32" t="n">
        <f aca="false">'Aturan &amp; Tarif'!$B$5</f>
        <v>2050</v>
      </c>
      <c r="L589" s="35" t="n">
        <f aca="false">I589+J589+K589</f>
        <v>16247.72</v>
      </c>
      <c r="M589" s="36" t="s">
        <v>2987</v>
      </c>
    </row>
    <row r="590" customFormat="false" ht="60" hidden="false" customHeight="true" outlineLevel="0" collapsed="false">
      <c r="A590" s="29"/>
      <c r="B590" s="30" t="s">
        <v>2988</v>
      </c>
      <c r="C590" s="31" t="s">
        <v>138</v>
      </c>
      <c r="D590" s="31" t="s">
        <v>108</v>
      </c>
      <c r="E590" s="32" t="n">
        <v>4610</v>
      </c>
      <c r="F590" s="32" t="n">
        <v>1315</v>
      </c>
      <c r="G590" s="32" t="n">
        <v>600</v>
      </c>
      <c r="H590" s="33" t="n">
        <v>2</v>
      </c>
      <c r="I590" s="34" t="n">
        <f aca="false">E590*H590+N(F590)+N(G590)</f>
        <v>11135</v>
      </c>
      <c r="J590" s="32" t="n">
        <f aca="false">ROUND(IFERROR(ROUND(IF(OR(ISNUMBER(SEARCH("week",C590)),ISNUMBER(SEARCH("minggu",C590))),IFERROR(_xlfn.NUMBERVALUE(SUBSTITUTE(LEFT(TRIM(C590),FIND(" ",TRIM(C590)&amp;" ")-1),",","."),"."),LEFT(SUBSTITUTE(LEFT(TRIM(C590),FIND(" ",TRIM(C590)&amp;" ")-1),",","."),FIND("/",SUBSTITUTE(LEFT(TRIM(C590),FIND(" ",TRIM(C590)&amp;" ")-1),",","."))-1)/MID(SUBSTITUTE(LEFT(TRIM(C590),FIND(" ",TRIM(C590)&amp;" ")-1),",","."),FIND("/",SUBSTITUTE(LEFT(TRIM(C590),FIND(" ",TRIM(C590)&amp;" ")-1),",","."))+1,9))*12/52,IF(ISNUMBER(SEARCH("month",C590)),IFERROR(_xlfn.NUMBERVALUE(SUBSTITUTE(LEFT(TRIM(C590),FIND(" ",TRIM(C590)&amp;" ")-1),",","."),"."),LEFT(SUBSTITUTE(LEFT(TRIM(C590),FIND(" ",TRIM(C590)&amp;" ")-1),",","."),FIND("/",SUBSTITUTE(LEFT(TRIM(C590),FIND(" ",TRIM(C590)&amp;" ")-1),",","."))-1)/MID(SUBSTITUTE(LEFT(TRIM(C590),FIND(" ",TRIM(C590)&amp;" ")-1),",","."),FIND("/",SUBSTITUTE(LEFT(TRIM(C590),FIND(" ",TRIM(C590)&amp;" ")-1),",","."))+1,9)),IF(ISNUMBER(SEARCH("yea",C590)),IFERROR(_xlfn.NUMBERVALUE(SUBSTITUTE(LEFT(TRIM(C590),FIND(" ",TRIM(C590)&amp;" ")-1),",","."),"."),LEFT(SUBSTITUTE(LEFT(TRIM(C590),FIND(" ",TRIM(C590)&amp;" ")-1),",","."),FIND("/",SUBSTITUTE(LEFT(TRIM(C590),FIND(" ",TRIM(C590)&amp;" ")-1),",","."))-1)/MID(SUBSTITUTE(LEFT(TRIM(C590),FIND(" ",TRIM(C590)&amp;" ")-1),",","."),FIND("/",SUBSTITUTE(LEFT(TRIM(C590),FIND(" ",TRIM(C590)&amp;" ")-1),",","."))+1,9))*12,NA()))),0),30)*'Aturan &amp; Tarif'!$B$4,2)</f>
        <v>1703.4</v>
      </c>
      <c r="K590" s="32" t="n">
        <f aca="false">'Aturan &amp; Tarif'!$B$5</f>
        <v>2050</v>
      </c>
      <c r="L590" s="35" t="n">
        <f aca="false">I590+J590+K590</f>
        <v>14888.4</v>
      </c>
      <c r="M590" s="36" t="s">
        <v>2989</v>
      </c>
    </row>
    <row r="591" customFormat="false" ht="37.5" hidden="false" customHeight="true" outlineLevel="0" collapsed="false">
      <c r="A591" s="29"/>
      <c r="B591" s="30" t="s">
        <v>2990</v>
      </c>
      <c r="C591" s="31" t="s">
        <v>245</v>
      </c>
      <c r="D591" s="31" t="s">
        <v>108</v>
      </c>
      <c r="E591" s="32" t="n">
        <v>5720</v>
      </c>
      <c r="F591" s="32" t="n">
        <v>1315</v>
      </c>
      <c r="G591" s="32" t="n">
        <v>1100</v>
      </c>
      <c r="H591" s="33" t="n">
        <v>2</v>
      </c>
      <c r="I591" s="34" t="n">
        <f aca="false">E591*H591+N(F591)+N(G591)</f>
        <v>13855</v>
      </c>
      <c r="J591" s="32" t="n">
        <f aca="false">ROUND(IFERROR(ROUND(IF(OR(ISNUMBER(SEARCH("week",C591)),ISNUMBER(SEARCH("minggu",C591))),IFERROR(_xlfn.NUMBERVALUE(SUBSTITUTE(LEFT(TRIM(C591),FIND(" ",TRIM(C591)&amp;" ")-1),",","."),"."),LEFT(SUBSTITUTE(LEFT(TRIM(C591),FIND(" ",TRIM(C591)&amp;" ")-1),",","."),FIND("/",SUBSTITUTE(LEFT(TRIM(C591),FIND(" ",TRIM(C591)&amp;" ")-1),",","."))-1)/MID(SUBSTITUTE(LEFT(TRIM(C591),FIND(" ",TRIM(C591)&amp;" ")-1),",","."),FIND("/",SUBSTITUTE(LEFT(TRIM(C591),FIND(" ",TRIM(C591)&amp;" ")-1),",","."))+1,9))*12/52,IF(ISNUMBER(SEARCH("month",C591)),IFERROR(_xlfn.NUMBERVALUE(SUBSTITUTE(LEFT(TRIM(C591),FIND(" ",TRIM(C591)&amp;" ")-1),",","."),"."),LEFT(SUBSTITUTE(LEFT(TRIM(C591),FIND(" ",TRIM(C591)&amp;" ")-1),",","."),FIND("/",SUBSTITUTE(LEFT(TRIM(C591),FIND(" ",TRIM(C591)&amp;" ")-1),",","."))-1)/MID(SUBSTITUTE(LEFT(TRIM(C591),FIND(" ",TRIM(C591)&amp;" ")-1),",","."),FIND("/",SUBSTITUTE(LEFT(TRIM(C591),FIND(" ",TRIM(C591)&amp;" ")-1),",","."))+1,9)),IF(ISNUMBER(SEARCH("yea",C591)),IFERROR(_xlfn.NUMBERVALUE(SUBSTITUTE(LEFT(TRIM(C591),FIND(" ",TRIM(C591)&amp;" ")-1),",","."),"."),LEFT(SUBSTITUTE(LEFT(TRIM(C591),FIND(" ",TRIM(C591)&amp;" ")-1),",","."),FIND("/",SUBSTITUTE(LEFT(TRIM(C591),FIND(" ",TRIM(C591)&amp;" ")-1),",","."))-1)/MID(SUBSTITUTE(LEFT(TRIM(C591),FIND(" ",TRIM(C591)&amp;" ")-1),",","."),FIND("/",SUBSTITUTE(LEFT(TRIM(C591),FIND(" ",TRIM(C591)&amp;" ")-1),",","."))+1,9))*12,NA()))),0),60)*'Aturan &amp; Tarif'!$B$4,2)</f>
        <v>3406.8</v>
      </c>
      <c r="K591" s="32" t="n">
        <f aca="false">'Aturan &amp; Tarif'!$B$5</f>
        <v>2050</v>
      </c>
      <c r="L591" s="35" t="n">
        <f aca="false">I591+J591+K591</f>
        <v>19311.8</v>
      </c>
      <c r="M591" s="36" t="s">
        <v>2989</v>
      </c>
    </row>
    <row r="592" customFormat="false" ht="60" hidden="false" customHeight="true" outlineLevel="0" collapsed="false">
      <c r="A592" s="29"/>
      <c r="B592" s="30" t="s">
        <v>2991</v>
      </c>
      <c r="C592" s="31" t="s">
        <v>107</v>
      </c>
      <c r="D592" s="31" t="s">
        <v>108</v>
      </c>
      <c r="E592" s="32" t="n">
        <v>5460</v>
      </c>
      <c r="F592" s="32" t="n">
        <v>1385</v>
      </c>
      <c r="G592" s="32" t="n">
        <v>100</v>
      </c>
      <c r="H592" s="33" t="n">
        <v>2</v>
      </c>
      <c r="I592" s="34" t="n">
        <f aca="false">E592*H592+N(F592)+N(G592)</f>
        <v>12405</v>
      </c>
      <c r="J592" s="32" t="n">
        <f aca="false">ROUND(IFERROR(ROUND(IF(OR(ISNUMBER(SEARCH("week",C592)),ISNUMBER(SEARCH("minggu",C592))),IFERROR(_xlfn.NUMBERVALUE(SUBSTITUTE(LEFT(TRIM(C592),FIND(" ",TRIM(C592)&amp;" ")-1),",","."),"."),LEFT(SUBSTITUTE(LEFT(TRIM(C592),FIND(" ",TRIM(C592)&amp;" ")-1),",","."),FIND("/",SUBSTITUTE(LEFT(TRIM(C592),FIND(" ",TRIM(C592)&amp;" ")-1),",","."))-1)/MID(SUBSTITUTE(LEFT(TRIM(C592),FIND(" ",TRIM(C592)&amp;" ")-1),",","."),FIND("/",SUBSTITUTE(LEFT(TRIM(C592),FIND(" ",TRIM(C592)&amp;" ")-1),",","."))+1,9))*12/52,IF(ISNUMBER(SEARCH("month",C592)),IFERROR(_xlfn.NUMBERVALUE(SUBSTITUTE(LEFT(TRIM(C592),FIND(" ",TRIM(C592)&amp;" ")-1),",","."),"."),LEFT(SUBSTITUTE(LEFT(TRIM(C592),FIND(" ",TRIM(C592)&amp;" ")-1),",","."),FIND("/",SUBSTITUTE(LEFT(TRIM(C592),FIND(" ",TRIM(C592)&amp;" ")-1),",","."))-1)/MID(SUBSTITUTE(LEFT(TRIM(C592),FIND(" ",TRIM(C592)&amp;" ")-1),",","."),FIND("/",SUBSTITUTE(LEFT(TRIM(C592),FIND(" ",TRIM(C592)&amp;" ")-1),",","."))+1,9)),IF(ISNUMBER(SEARCH("yea",C592)),IFERROR(_xlfn.NUMBERVALUE(SUBSTITUTE(LEFT(TRIM(C592),FIND(" ",TRIM(C592)&amp;" ")-1),",","."),"."),LEFT(SUBSTITUTE(LEFT(TRIM(C592),FIND(" ",TRIM(C592)&amp;" ")-1),",","."),FIND("/",SUBSTITUTE(LEFT(TRIM(C592),FIND(" ",TRIM(C592)&amp;" ")-1),",","."))-1)/MID(SUBSTITUTE(LEFT(TRIM(C592),FIND(" ",TRIM(C592)&amp;" ")-1),",","."),FIND("/",SUBSTITUTE(LEFT(TRIM(C592),FIND(" ",TRIM(C592)&amp;" ")-1),",","."))+1,9))*12,NA()))),0),24)*'Aturan &amp; Tarif'!$B$4,2)</f>
        <v>1362.72</v>
      </c>
      <c r="K592" s="32" t="n">
        <f aca="false">'Aturan &amp; Tarif'!$B$5</f>
        <v>2050</v>
      </c>
      <c r="L592" s="35" t="n">
        <f aca="false">I592+J592+K592</f>
        <v>15817.72</v>
      </c>
      <c r="M592" s="37" t="s">
        <v>2971</v>
      </c>
    </row>
    <row r="593" customFormat="false" ht="14.25" hidden="false" customHeight="true" outlineLevel="0" collapsed="false">
      <c r="A593" s="29"/>
      <c r="B593" s="30" t="s">
        <v>2992</v>
      </c>
      <c r="C593" s="31" t="s">
        <v>107</v>
      </c>
      <c r="D593" s="31" t="s">
        <v>108</v>
      </c>
      <c r="E593" s="32" t="n">
        <v>4610</v>
      </c>
      <c r="F593" s="32" t="n">
        <v>1385</v>
      </c>
      <c r="G593" s="32" t="n">
        <v>600</v>
      </c>
      <c r="H593" s="33" t="n">
        <v>2</v>
      </c>
      <c r="I593" s="34" t="n">
        <f aca="false">E593*H593+N(F593)+N(G593)</f>
        <v>11205</v>
      </c>
      <c r="J593" s="32" t="n">
        <f aca="false">ROUND(IFERROR(ROUND(IF(OR(ISNUMBER(SEARCH("week",C593)),ISNUMBER(SEARCH("minggu",C593))),IFERROR(_xlfn.NUMBERVALUE(SUBSTITUTE(LEFT(TRIM(C593),FIND(" ",TRIM(C593)&amp;" ")-1),",","."),"."),LEFT(SUBSTITUTE(LEFT(TRIM(C593),FIND(" ",TRIM(C593)&amp;" ")-1),",","."),FIND("/",SUBSTITUTE(LEFT(TRIM(C593),FIND(" ",TRIM(C593)&amp;" ")-1),",","."))-1)/MID(SUBSTITUTE(LEFT(TRIM(C593),FIND(" ",TRIM(C593)&amp;" ")-1),",","."),FIND("/",SUBSTITUTE(LEFT(TRIM(C593),FIND(" ",TRIM(C593)&amp;" ")-1),",","."))+1,9))*12/52,IF(ISNUMBER(SEARCH("month",C593)),IFERROR(_xlfn.NUMBERVALUE(SUBSTITUTE(LEFT(TRIM(C593),FIND(" ",TRIM(C593)&amp;" ")-1),",","."),"."),LEFT(SUBSTITUTE(LEFT(TRIM(C593),FIND(" ",TRIM(C593)&amp;" ")-1),",","."),FIND("/",SUBSTITUTE(LEFT(TRIM(C593),FIND(" ",TRIM(C593)&amp;" ")-1),",","."))-1)/MID(SUBSTITUTE(LEFT(TRIM(C593),FIND(" ",TRIM(C593)&amp;" ")-1),",","."),FIND("/",SUBSTITUTE(LEFT(TRIM(C593),FIND(" ",TRIM(C593)&amp;" ")-1),",","."))+1,9)),IF(ISNUMBER(SEARCH("yea",C593)),IFERROR(_xlfn.NUMBERVALUE(SUBSTITUTE(LEFT(TRIM(C593),FIND(" ",TRIM(C593)&amp;" ")-1),",","."),"."),LEFT(SUBSTITUTE(LEFT(TRIM(C593),FIND(" ",TRIM(C593)&amp;" ")-1),",","."),FIND("/",SUBSTITUTE(LEFT(TRIM(C593),FIND(" ",TRIM(C593)&amp;" ")-1),",","."))-1)/MID(SUBSTITUTE(LEFT(TRIM(C593),FIND(" ",TRIM(C593)&amp;" ")-1),",","."),FIND("/",SUBSTITUTE(LEFT(TRIM(C593),FIND(" ",TRIM(C593)&amp;" ")-1),",","."))+1,9))*12,NA()))),0),24)*'Aturan &amp; Tarif'!$B$4,2)</f>
        <v>1362.72</v>
      </c>
      <c r="K593" s="32" t="n">
        <f aca="false">'Aturan &amp; Tarif'!$B$5</f>
        <v>2050</v>
      </c>
      <c r="L593" s="35" t="n">
        <f aca="false">I593+J593+K593</f>
        <v>14617.72</v>
      </c>
      <c r="M593" s="36" t="s">
        <v>2993</v>
      </c>
    </row>
    <row r="594" customFormat="false" ht="14.25" hidden="false" customHeight="true" outlineLevel="0" collapsed="false">
      <c r="A594" s="29"/>
      <c r="B594" s="30" t="s">
        <v>2994</v>
      </c>
      <c r="C594" s="31" t="s">
        <v>130</v>
      </c>
      <c r="D594" s="31" t="s">
        <v>108</v>
      </c>
      <c r="E594" s="32" t="n">
        <v>5460</v>
      </c>
      <c r="F594" s="32" t="n">
        <v>1295</v>
      </c>
      <c r="G594" s="32" t="n">
        <v>100</v>
      </c>
      <c r="H594" s="33" t="n">
        <v>2</v>
      </c>
      <c r="I594" s="34" t="n">
        <f aca="false">E594*H594+N(F594)+N(G594)</f>
        <v>12315</v>
      </c>
      <c r="J594" s="32" t="n">
        <f aca="false">ROUND(IFERROR(ROUND(IF(OR(ISNUMBER(SEARCH("week",C594)),ISNUMBER(SEARCH("minggu",C594))),IFERROR(_xlfn.NUMBERVALUE(SUBSTITUTE(LEFT(TRIM(C594),FIND(" ",TRIM(C594)&amp;" ")-1),",","."),"."),LEFT(SUBSTITUTE(LEFT(TRIM(C594),FIND(" ",TRIM(C594)&amp;" ")-1),",","."),FIND("/",SUBSTITUTE(LEFT(TRIM(C594),FIND(" ",TRIM(C594)&amp;" ")-1),",","."))-1)/MID(SUBSTITUTE(LEFT(TRIM(C594),FIND(" ",TRIM(C594)&amp;" ")-1),",","."),FIND("/",SUBSTITUTE(LEFT(TRIM(C594),FIND(" ",TRIM(C594)&amp;" ")-1),",","."))+1,9))*12/52,IF(ISNUMBER(SEARCH("month",C594)),IFERROR(_xlfn.NUMBERVALUE(SUBSTITUTE(LEFT(TRIM(C594),FIND(" ",TRIM(C594)&amp;" ")-1),",","."),"."),LEFT(SUBSTITUTE(LEFT(TRIM(C594),FIND(" ",TRIM(C594)&amp;" ")-1),",","."),FIND("/",SUBSTITUTE(LEFT(TRIM(C594),FIND(" ",TRIM(C594)&amp;" ")-1),",","."))-1)/MID(SUBSTITUTE(LEFT(TRIM(C594),FIND(" ",TRIM(C594)&amp;" ")-1),",","."),FIND("/",SUBSTITUTE(LEFT(TRIM(C594),FIND(" ",TRIM(C594)&amp;" ")-1),",","."))+1,9)),IF(ISNUMBER(SEARCH("yea",C594)),IFERROR(_xlfn.NUMBERVALUE(SUBSTITUTE(LEFT(TRIM(C594),FIND(" ",TRIM(C594)&amp;" ")-1),",","."),"."),LEFT(SUBSTITUTE(LEFT(TRIM(C594),FIND(" ",TRIM(C594)&amp;" ")-1),",","."),FIND("/",SUBSTITUTE(LEFT(TRIM(C594),FIND(" ",TRIM(C594)&amp;" ")-1),",","."))-1)/MID(SUBSTITUTE(LEFT(TRIM(C594),FIND(" ",TRIM(C594)&amp;" ")-1),",","."),FIND("/",SUBSTITUTE(LEFT(TRIM(C594),FIND(" ",TRIM(C594)&amp;" ")-1),",","."))+1,9))*12,NA()))),0),12)*'Aturan &amp; Tarif'!$B$4,2)</f>
        <v>681.36</v>
      </c>
      <c r="K594" s="32" t="n">
        <f aca="false">'Aturan &amp; Tarif'!$B$5</f>
        <v>2050</v>
      </c>
      <c r="L594" s="35" t="n">
        <f aca="false">I594+J594+K594</f>
        <v>15046.36</v>
      </c>
      <c r="M594" s="37" t="s">
        <v>2971</v>
      </c>
    </row>
    <row r="595" customFormat="false" ht="25.5" hidden="false" customHeight="true" outlineLevel="0" collapsed="false">
      <c r="A595" s="29"/>
      <c r="B595" s="30" t="s">
        <v>2995</v>
      </c>
      <c r="C595" s="31" t="s">
        <v>130</v>
      </c>
      <c r="D595" s="31" t="s">
        <v>108</v>
      </c>
      <c r="E595" s="32" t="n">
        <v>4610</v>
      </c>
      <c r="F595" s="32" t="n">
        <v>950</v>
      </c>
      <c r="G595" s="32" t="n">
        <v>100</v>
      </c>
      <c r="H595" s="33" t="n">
        <v>2</v>
      </c>
      <c r="I595" s="34" t="n">
        <f aca="false">E595*H595+N(F595)+N(G595)</f>
        <v>10270</v>
      </c>
      <c r="J595" s="32" t="n">
        <f aca="false">ROUND(IFERROR(ROUND(IF(OR(ISNUMBER(SEARCH("week",C595)),ISNUMBER(SEARCH("minggu",C595))),IFERROR(_xlfn.NUMBERVALUE(SUBSTITUTE(LEFT(TRIM(C595),FIND(" ",TRIM(C595)&amp;" ")-1),",","."),"."),LEFT(SUBSTITUTE(LEFT(TRIM(C595),FIND(" ",TRIM(C595)&amp;" ")-1),",","."),FIND("/",SUBSTITUTE(LEFT(TRIM(C595),FIND(" ",TRIM(C595)&amp;" ")-1),",","."))-1)/MID(SUBSTITUTE(LEFT(TRIM(C595),FIND(" ",TRIM(C595)&amp;" ")-1),",","."),FIND("/",SUBSTITUTE(LEFT(TRIM(C595),FIND(" ",TRIM(C595)&amp;" ")-1),",","."))+1,9))*12/52,IF(ISNUMBER(SEARCH("month",C595)),IFERROR(_xlfn.NUMBERVALUE(SUBSTITUTE(LEFT(TRIM(C595),FIND(" ",TRIM(C595)&amp;" ")-1),",","."),"."),LEFT(SUBSTITUTE(LEFT(TRIM(C595),FIND(" ",TRIM(C595)&amp;" ")-1),",","."),FIND("/",SUBSTITUTE(LEFT(TRIM(C595),FIND(" ",TRIM(C595)&amp;" ")-1),",","."))-1)/MID(SUBSTITUTE(LEFT(TRIM(C595),FIND(" ",TRIM(C595)&amp;" ")-1),",","."),FIND("/",SUBSTITUTE(LEFT(TRIM(C595),FIND(" ",TRIM(C595)&amp;" ")-1),",","."))+1,9)),IF(ISNUMBER(SEARCH("yea",C595)),IFERROR(_xlfn.NUMBERVALUE(SUBSTITUTE(LEFT(TRIM(C595),FIND(" ",TRIM(C595)&amp;" ")-1),",","."),"."),LEFT(SUBSTITUTE(LEFT(TRIM(C595),FIND(" ",TRIM(C595)&amp;" ")-1),",","."),FIND("/",SUBSTITUTE(LEFT(TRIM(C595),FIND(" ",TRIM(C595)&amp;" ")-1),",","."))-1)/MID(SUBSTITUTE(LEFT(TRIM(C595),FIND(" ",TRIM(C595)&amp;" ")-1),",","."),FIND("/",SUBSTITUTE(LEFT(TRIM(C595),FIND(" ",TRIM(C595)&amp;" ")-1),",","."))+1,9))*12,NA()))),0),12)*'Aturan &amp; Tarif'!$B$4,2)</f>
        <v>681.36</v>
      </c>
      <c r="K595" s="32" t="n">
        <f aca="false">'Aturan &amp; Tarif'!$B$5</f>
        <v>2050</v>
      </c>
      <c r="L595" s="35" t="n">
        <f aca="false">I595+J595+K595</f>
        <v>13001.36</v>
      </c>
      <c r="M595" s="37" t="s">
        <v>2971</v>
      </c>
    </row>
    <row r="596" customFormat="false" ht="14.25" hidden="false" customHeight="true" outlineLevel="0" collapsed="false">
      <c r="A596" s="29"/>
      <c r="B596" s="30" t="s">
        <v>2996</v>
      </c>
      <c r="C596" s="31" t="s">
        <v>130</v>
      </c>
      <c r="D596" s="31" t="s">
        <v>108</v>
      </c>
      <c r="E596" s="32" t="n">
        <v>4475</v>
      </c>
      <c r="F596" s="32" t="n">
        <v>750</v>
      </c>
      <c r="G596" s="32" t="n">
        <v>600</v>
      </c>
      <c r="H596" s="33" t="n">
        <v>2</v>
      </c>
      <c r="I596" s="34" t="n">
        <f aca="false">E596*H596+N(F596)+N(G596)</f>
        <v>10300</v>
      </c>
      <c r="J596" s="32" t="n">
        <f aca="false">ROUND(IFERROR(ROUND(IF(OR(ISNUMBER(SEARCH("week",C596)),ISNUMBER(SEARCH("minggu",C596))),IFERROR(_xlfn.NUMBERVALUE(SUBSTITUTE(LEFT(TRIM(C596),FIND(" ",TRIM(C596)&amp;" ")-1),",","."),"."),LEFT(SUBSTITUTE(LEFT(TRIM(C596),FIND(" ",TRIM(C596)&amp;" ")-1),",","."),FIND("/",SUBSTITUTE(LEFT(TRIM(C596),FIND(" ",TRIM(C596)&amp;" ")-1),",","."))-1)/MID(SUBSTITUTE(LEFT(TRIM(C596),FIND(" ",TRIM(C596)&amp;" ")-1),",","."),FIND("/",SUBSTITUTE(LEFT(TRIM(C596),FIND(" ",TRIM(C596)&amp;" ")-1),",","."))+1,9))*12/52,IF(ISNUMBER(SEARCH("month",C596)),IFERROR(_xlfn.NUMBERVALUE(SUBSTITUTE(LEFT(TRIM(C596),FIND(" ",TRIM(C596)&amp;" ")-1),",","."),"."),LEFT(SUBSTITUTE(LEFT(TRIM(C596),FIND(" ",TRIM(C596)&amp;" ")-1),",","."),FIND("/",SUBSTITUTE(LEFT(TRIM(C596),FIND(" ",TRIM(C596)&amp;" ")-1),",","."))-1)/MID(SUBSTITUTE(LEFT(TRIM(C596),FIND(" ",TRIM(C596)&amp;" ")-1),",","."),FIND("/",SUBSTITUTE(LEFT(TRIM(C596),FIND(" ",TRIM(C596)&amp;" ")-1),",","."))+1,9)),IF(ISNUMBER(SEARCH("yea",C596)),IFERROR(_xlfn.NUMBERVALUE(SUBSTITUTE(LEFT(TRIM(C596),FIND(" ",TRIM(C596)&amp;" ")-1),",","."),"."),LEFT(SUBSTITUTE(LEFT(TRIM(C596),FIND(" ",TRIM(C596)&amp;" ")-1),",","."),FIND("/",SUBSTITUTE(LEFT(TRIM(C596),FIND(" ",TRIM(C596)&amp;" ")-1),",","."))-1)/MID(SUBSTITUTE(LEFT(TRIM(C596),FIND(" ",TRIM(C596)&amp;" ")-1),",","."),FIND("/",SUBSTITUTE(LEFT(TRIM(C596),FIND(" ",TRIM(C596)&amp;" ")-1),",","."))+1,9))*12,NA()))),0),12)*'Aturan &amp; Tarif'!$B$4,2)</f>
        <v>681.36</v>
      </c>
      <c r="K596" s="32" t="n">
        <f aca="false">'Aturan &amp; Tarif'!$B$5</f>
        <v>2050</v>
      </c>
      <c r="L596" s="35" t="n">
        <f aca="false">I596+J596+K596</f>
        <v>13031.36</v>
      </c>
      <c r="M596" s="37" t="s">
        <v>2971</v>
      </c>
    </row>
    <row r="597" customFormat="false" ht="60" hidden="false" customHeight="true" outlineLevel="0" collapsed="false">
      <c r="A597" s="29"/>
      <c r="B597" s="30" t="s">
        <v>2997</v>
      </c>
      <c r="C597" s="31" t="s">
        <v>130</v>
      </c>
      <c r="D597" s="31" t="s">
        <v>108</v>
      </c>
      <c r="E597" s="32" t="n">
        <v>4475</v>
      </c>
      <c r="F597" s="32" t="n">
        <v>750</v>
      </c>
      <c r="G597" s="32" t="n">
        <v>100</v>
      </c>
      <c r="H597" s="33" t="n">
        <v>2</v>
      </c>
      <c r="I597" s="34" t="n">
        <f aca="false">E597*H597+N(F597)+N(G597)</f>
        <v>9800</v>
      </c>
      <c r="J597" s="32" t="n">
        <f aca="false">ROUND(IFERROR(ROUND(IF(OR(ISNUMBER(SEARCH("week",C597)),ISNUMBER(SEARCH("minggu",C597))),IFERROR(_xlfn.NUMBERVALUE(SUBSTITUTE(LEFT(TRIM(C597),FIND(" ",TRIM(C597)&amp;" ")-1),",","."),"."),LEFT(SUBSTITUTE(LEFT(TRIM(C597),FIND(" ",TRIM(C597)&amp;" ")-1),",","."),FIND("/",SUBSTITUTE(LEFT(TRIM(C597),FIND(" ",TRIM(C597)&amp;" ")-1),",","."))-1)/MID(SUBSTITUTE(LEFT(TRIM(C597),FIND(" ",TRIM(C597)&amp;" ")-1),",","."),FIND("/",SUBSTITUTE(LEFT(TRIM(C597),FIND(" ",TRIM(C597)&amp;" ")-1),",","."))+1,9))*12/52,IF(ISNUMBER(SEARCH("month",C597)),IFERROR(_xlfn.NUMBERVALUE(SUBSTITUTE(LEFT(TRIM(C597),FIND(" ",TRIM(C597)&amp;" ")-1),",","."),"."),LEFT(SUBSTITUTE(LEFT(TRIM(C597),FIND(" ",TRIM(C597)&amp;" ")-1),",","."),FIND("/",SUBSTITUTE(LEFT(TRIM(C597),FIND(" ",TRIM(C597)&amp;" ")-1),",","."))-1)/MID(SUBSTITUTE(LEFT(TRIM(C597),FIND(" ",TRIM(C597)&amp;" ")-1),",","."),FIND("/",SUBSTITUTE(LEFT(TRIM(C597),FIND(" ",TRIM(C597)&amp;" ")-1),",","."))+1,9)),IF(ISNUMBER(SEARCH("yea",C597)),IFERROR(_xlfn.NUMBERVALUE(SUBSTITUTE(LEFT(TRIM(C597),FIND(" ",TRIM(C597)&amp;" ")-1),",","."),"."),LEFT(SUBSTITUTE(LEFT(TRIM(C597),FIND(" ",TRIM(C597)&amp;" ")-1),",","."),FIND("/",SUBSTITUTE(LEFT(TRIM(C597),FIND(" ",TRIM(C597)&amp;" ")-1),",","."))-1)/MID(SUBSTITUTE(LEFT(TRIM(C597),FIND(" ",TRIM(C597)&amp;" ")-1),",","."),FIND("/",SUBSTITUTE(LEFT(TRIM(C597),FIND(" ",TRIM(C597)&amp;" ")-1),",","."))+1,9))*12,NA()))),0),12)*'Aturan &amp; Tarif'!$B$4,2)</f>
        <v>681.36</v>
      </c>
      <c r="K597" s="32" t="n">
        <f aca="false">'Aturan &amp; Tarif'!$B$5</f>
        <v>2050</v>
      </c>
      <c r="L597" s="35" t="n">
        <f aca="false">I597+J597+K597</f>
        <v>12531.36</v>
      </c>
      <c r="M597" s="37" t="s">
        <v>2971</v>
      </c>
    </row>
    <row r="598" customFormat="false" ht="60" hidden="false" customHeight="true" outlineLevel="0" collapsed="false">
      <c r="A598" s="29"/>
      <c r="B598" s="30" t="s">
        <v>2998</v>
      </c>
      <c r="C598" s="31" t="s">
        <v>127</v>
      </c>
      <c r="D598" s="31" t="s">
        <v>108</v>
      </c>
      <c r="E598" s="32" t="n">
        <v>5720</v>
      </c>
      <c r="F598" s="32" t="n">
        <v>750</v>
      </c>
      <c r="G598" s="32" t="n">
        <v>1100</v>
      </c>
      <c r="H598" s="33" t="n">
        <v>2</v>
      </c>
      <c r="I598" s="34" t="n">
        <f aca="false">E598*H598+N(F598)+N(G598)</f>
        <v>13290</v>
      </c>
      <c r="J598" s="32" t="n">
        <f aca="false">ROUND(IFERROR(ROUND(IF(OR(ISNUMBER(SEARCH("week",C598)),ISNUMBER(SEARCH("minggu",C598))),IFERROR(_xlfn.NUMBERVALUE(SUBSTITUTE(LEFT(TRIM(C598),FIND(" ",TRIM(C598)&amp;" ")-1),",","."),"."),LEFT(SUBSTITUTE(LEFT(TRIM(C598),FIND(" ",TRIM(C598)&amp;" ")-1),",","."),FIND("/",SUBSTITUTE(LEFT(TRIM(C598),FIND(" ",TRIM(C598)&amp;" ")-1),",","."))-1)/MID(SUBSTITUTE(LEFT(TRIM(C598),FIND(" ",TRIM(C598)&amp;" ")-1),",","."),FIND("/",SUBSTITUTE(LEFT(TRIM(C598),FIND(" ",TRIM(C598)&amp;" ")-1),",","."))+1,9))*12/52,IF(ISNUMBER(SEARCH("month",C598)),IFERROR(_xlfn.NUMBERVALUE(SUBSTITUTE(LEFT(TRIM(C598),FIND(" ",TRIM(C598)&amp;" ")-1),",","."),"."),LEFT(SUBSTITUTE(LEFT(TRIM(C598),FIND(" ",TRIM(C598)&amp;" ")-1),",","."),FIND("/",SUBSTITUTE(LEFT(TRIM(C598),FIND(" ",TRIM(C598)&amp;" ")-1),",","."))-1)/MID(SUBSTITUTE(LEFT(TRIM(C598),FIND(" ",TRIM(C598)&amp;" ")-1),",","."),FIND("/",SUBSTITUTE(LEFT(TRIM(C598),FIND(" ",TRIM(C598)&amp;" ")-1),",","."))+1,9)),IF(ISNUMBER(SEARCH("yea",C598)),IFERROR(_xlfn.NUMBERVALUE(SUBSTITUTE(LEFT(TRIM(C598),FIND(" ",TRIM(C598)&amp;" ")-1),",","."),"."),LEFT(SUBSTITUTE(LEFT(TRIM(C598),FIND(" ",TRIM(C598)&amp;" ")-1),",","."),FIND("/",SUBSTITUTE(LEFT(TRIM(C598),FIND(" ",TRIM(C598)&amp;" ")-1),",","."))-1)/MID(SUBSTITUTE(LEFT(TRIM(C598),FIND(" ",TRIM(C598)&amp;" ")-1),",","."),FIND("/",SUBSTITUTE(LEFT(TRIM(C598),FIND(" ",TRIM(C598)&amp;" ")-1),",","."))+1,9))*12,NA()))),0),36)*'Aturan &amp; Tarif'!$B$4,2)</f>
        <v>2044.08</v>
      </c>
      <c r="K598" s="32" t="n">
        <f aca="false">'Aturan &amp; Tarif'!$B$5</f>
        <v>2050</v>
      </c>
      <c r="L598" s="35" t="n">
        <f aca="false">I598+J598+K598</f>
        <v>17384.08</v>
      </c>
      <c r="M598" s="36" t="s">
        <v>2999</v>
      </c>
    </row>
    <row r="599" customFormat="false" ht="60" hidden="false" customHeight="true" outlineLevel="0" collapsed="false">
      <c r="A599" s="29"/>
      <c r="B599" s="30" t="s">
        <v>3000</v>
      </c>
      <c r="C599" s="31" t="s">
        <v>191</v>
      </c>
      <c r="D599" s="31" t="s">
        <v>108</v>
      </c>
      <c r="E599" s="32" t="n">
        <v>5720</v>
      </c>
      <c r="F599" s="32" t="n">
        <v>750</v>
      </c>
      <c r="G599" s="32" t="n">
        <v>1100</v>
      </c>
      <c r="H599" s="33" t="n">
        <v>2</v>
      </c>
      <c r="I599" s="34" t="n">
        <f aca="false">E599*H599+N(F599)+N(G599)</f>
        <v>13290</v>
      </c>
      <c r="J599" s="32" t="n">
        <f aca="false">ROUND(IFERROR(ROUND(IF(OR(ISNUMBER(SEARCH("week",C599)),ISNUMBER(SEARCH("minggu",C599))),IFERROR(_xlfn.NUMBERVALUE(SUBSTITUTE(LEFT(TRIM(C599),FIND(" ",TRIM(C599)&amp;" ")-1),",","."),"."),LEFT(SUBSTITUTE(LEFT(TRIM(C599),FIND(" ",TRIM(C599)&amp;" ")-1),",","."),FIND("/",SUBSTITUTE(LEFT(TRIM(C599),FIND(" ",TRIM(C599)&amp;" ")-1),",","."))-1)/MID(SUBSTITUTE(LEFT(TRIM(C599),FIND(" ",TRIM(C599)&amp;" ")-1),",","."),FIND("/",SUBSTITUTE(LEFT(TRIM(C599),FIND(" ",TRIM(C599)&amp;" ")-1),",","."))+1,9))*12/52,IF(ISNUMBER(SEARCH("month",C599)),IFERROR(_xlfn.NUMBERVALUE(SUBSTITUTE(LEFT(TRIM(C599),FIND(" ",TRIM(C599)&amp;" ")-1),",","."),"."),LEFT(SUBSTITUTE(LEFT(TRIM(C599),FIND(" ",TRIM(C599)&amp;" ")-1),",","."),FIND("/",SUBSTITUTE(LEFT(TRIM(C599),FIND(" ",TRIM(C599)&amp;" ")-1),",","."))-1)/MID(SUBSTITUTE(LEFT(TRIM(C599),FIND(" ",TRIM(C599)&amp;" ")-1),",","."),FIND("/",SUBSTITUTE(LEFT(TRIM(C599),FIND(" ",TRIM(C599)&amp;" ")-1),",","."))+1,9)),IF(ISNUMBER(SEARCH("yea",C599)),IFERROR(_xlfn.NUMBERVALUE(SUBSTITUTE(LEFT(TRIM(C599),FIND(" ",TRIM(C599)&amp;" ")-1),",","."),"."),LEFT(SUBSTITUTE(LEFT(TRIM(C599),FIND(" ",TRIM(C599)&amp;" ")-1),",","."),FIND("/",SUBSTITUTE(LEFT(TRIM(C599),FIND(" ",TRIM(C599)&amp;" ")-1),",","."))-1)/MID(SUBSTITUTE(LEFT(TRIM(C599),FIND(" ",TRIM(C599)&amp;" ")-1),",","."),FIND("/",SUBSTITUTE(LEFT(TRIM(C599),FIND(" ",TRIM(C599)&amp;" ")-1),",","."))+1,9))*12,NA()))),0),48)*'Aturan &amp; Tarif'!$B$4,2)</f>
        <v>2725.44</v>
      </c>
      <c r="K599" s="32" t="n">
        <f aca="false">'Aturan &amp; Tarif'!$B$5</f>
        <v>2050</v>
      </c>
      <c r="L599" s="35" t="n">
        <f aca="false">I599+J599+K599</f>
        <v>18065.44</v>
      </c>
      <c r="M599" s="36" t="s">
        <v>3001</v>
      </c>
    </row>
    <row r="600" customFormat="false" ht="60" hidden="false" customHeight="true" outlineLevel="0" collapsed="false">
      <c r="A600" s="29"/>
      <c r="B600" s="30" t="s">
        <v>3002</v>
      </c>
      <c r="C600" s="31" t="s">
        <v>113</v>
      </c>
      <c r="D600" s="31" t="s">
        <v>108</v>
      </c>
      <c r="E600" s="32" t="n">
        <v>4475</v>
      </c>
      <c r="F600" s="32" t="n">
        <v>750</v>
      </c>
      <c r="G600" s="32" t="n">
        <v>600</v>
      </c>
      <c r="H600" s="33" t="n">
        <v>2</v>
      </c>
      <c r="I600" s="34" t="n">
        <f aca="false">E600*H600+N(F600)+N(G600)</f>
        <v>10300</v>
      </c>
      <c r="J600" s="32" t="n">
        <f aca="false">ROUND(IFERROR(ROUND(IF(OR(ISNUMBER(SEARCH("week",C600)),ISNUMBER(SEARCH("minggu",C600))),IFERROR(_xlfn.NUMBERVALUE(SUBSTITUTE(LEFT(TRIM(C600),FIND(" ",TRIM(C600)&amp;" ")-1),",","."),"."),LEFT(SUBSTITUTE(LEFT(TRIM(C600),FIND(" ",TRIM(C600)&amp;" ")-1),",","."),FIND("/",SUBSTITUTE(LEFT(TRIM(C600),FIND(" ",TRIM(C600)&amp;" ")-1),",","."))-1)/MID(SUBSTITUTE(LEFT(TRIM(C600),FIND(" ",TRIM(C600)&amp;" ")-1),",","."),FIND("/",SUBSTITUTE(LEFT(TRIM(C600),FIND(" ",TRIM(C600)&amp;" ")-1),",","."))+1,9))*12/52,IF(ISNUMBER(SEARCH("month",C600)),IFERROR(_xlfn.NUMBERVALUE(SUBSTITUTE(LEFT(TRIM(C600),FIND(" ",TRIM(C600)&amp;" ")-1),",","."),"."),LEFT(SUBSTITUTE(LEFT(TRIM(C600),FIND(" ",TRIM(C600)&amp;" ")-1),",","."),FIND("/",SUBSTITUTE(LEFT(TRIM(C600),FIND(" ",TRIM(C600)&amp;" ")-1),",","."))-1)/MID(SUBSTITUTE(LEFT(TRIM(C600),FIND(" ",TRIM(C600)&amp;" ")-1),",","."),FIND("/",SUBSTITUTE(LEFT(TRIM(C600),FIND(" ",TRIM(C600)&amp;" ")-1),",","."))+1,9)),IF(ISNUMBER(SEARCH("yea",C600)),IFERROR(_xlfn.NUMBERVALUE(SUBSTITUTE(LEFT(TRIM(C600),FIND(" ",TRIM(C600)&amp;" ")-1),",","."),"."),LEFT(SUBSTITUTE(LEFT(TRIM(C600),FIND(" ",TRIM(C600)&amp;" ")-1),",","."),FIND("/",SUBSTITUTE(LEFT(TRIM(C600),FIND(" ",TRIM(C600)&amp;" ")-1),",","."))-1)/MID(SUBSTITUTE(LEFT(TRIM(C600),FIND(" ",TRIM(C600)&amp;" ")-1),",","."),FIND("/",SUBSTITUTE(LEFT(TRIM(C600),FIND(" ",TRIM(C600)&amp;" ")-1),",","."))+1,9))*12,NA()))),0),18)*'Aturan &amp; Tarif'!$B$4,2)</f>
        <v>1022.04</v>
      </c>
      <c r="K600" s="32" t="n">
        <f aca="false">'Aturan &amp; Tarif'!$B$5</f>
        <v>2050</v>
      </c>
      <c r="L600" s="35" t="n">
        <f aca="false">I600+J600+K600</f>
        <v>13372.04</v>
      </c>
      <c r="M600" s="36" t="s">
        <v>3003</v>
      </c>
    </row>
    <row r="601" customFormat="false" ht="14.25" hidden="false" customHeight="true" outlineLevel="0" collapsed="false">
      <c r="A601" s="29"/>
      <c r="B601" s="30" t="s">
        <v>3004</v>
      </c>
      <c r="C601" s="31" t="s">
        <v>113</v>
      </c>
      <c r="D601" s="31" t="s">
        <v>108</v>
      </c>
      <c r="E601" s="32" t="n">
        <v>4610</v>
      </c>
      <c r="F601" s="32" t="n">
        <v>750</v>
      </c>
      <c r="G601" s="32" t="n">
        <v>600</v>
      </c>
      <c r="H601" s="33" t="n">
        <v>2</v>
      </c>
      <c r="I601" s="34" t="n">
        <f aca="false">E601*H601+N(F601)+N(G601)</f>
        <v>10570</v>
      </c>
      <c r="J601" s="32" t="n">
        <f aca="false">ROUND(IFERROR(ROUND(IF(OR(ISNUMBER(SEARCH("week",C601)),ISNUMBER(SEARCH("minggu",C601))),IFERROR(_xlfn.NUMBERVALUE(SUBSTITUTE(LEFT(TRIM(C601),FIND(" ",TRIM(C601)&amp;" ")-1),",","."),"."),LEFT(SUBSTITUTE(LEFT(TRIM(C601),FIND(" ",TRIM(C601)&amp;" ")-1),",","."),FIND("/",SUBSTITUTE(LEFT(TRIM(C601),FIND(" ",TRIM(C601)&amp;" ")-1),",","."))-1)/MID(SUBSTITUTE(LEFT(TRIM(C601),FIND(" ",TRIM(C601)&amp;" ")-1),",","."),FIND("/",SUBSTITUTE(LEFT(TRIM(C601),FIND(" ",TRIM(C601)&amp;" ")-1),",","."))+1,9))*12/52,IF(ISNUMBER(SEARCH("month",C601)),IFERROR(_xlfn.NUMBERVALUE(SUBSTITUTE(LEFT(TRIM(C601),FIND(" ",TRIM(C601)&amp;" ")-1),",","."),"."),LEFT(SUBSTITUTE(LEFT(TRIM(C601),FIND(" ",TRIM(C601)&amp;" ")-1),",","."),FIND("/",SUBSTITUTE(LEFT(TRIM(C601),FIND(" ",TRIM(C601)&amp;" ")-1),",","."))-1)/MID(SUBSTITUTE(LEFT(TRIM(C601),FIND(" ",TRIM(C601)&amp;" ")-1),",","."),FIND("/",SUBSTITUTE(LEFT(TRIM(C601),FIND(" ",TRIM(C601)&amp;" ")-1),",","."))+1,9)),IF(ISNUMBER(SEARCH("yea",C601)),IFERROR(_xlfn.NUMBERVALUE(SUBSTITUTE(LEFT(TRIM(C601),FIND(" ",TRIM(C601)&amp;" ")-1),",","."),"."),LEFT(SUBSTITUTE(LEFT(TRIM(C601),FIND(" ",TRIM(C601)&amp;" ")-1),",","."),FIND("/",SUBSTITUTE(LEFT(TRIM(C601),FIND(" ",TRIM(C601)&amp;" ")-1),",","."))-1)/MID(SUBSTITUTE(LEFT(TRIM(C601),FIND(" ",TRIM(C601)&amp;" ")-1),",","."),FIND("/",SUBSTITUTE(LEFT(TRIM(C601),FIND(" ",TRIM(C601)&amp;" ")-1),",","."))+1,9))*12,NA()))),0),18)*'Aturan &amp; Tarif'!$B$4,2)</f>
        <v>1022.04</v>
      </c>
      <c r="K601" s="32" t="n">
        <f aca="false">'Aturan &amp; Tarif'!$B$5</f>
        <v>2050</v>
      </c>
      <c r="L601" s="35" t="n">
        <f aca="false">I601+J601+K601</f>
        <v>13642.04</v>
      </c>
      <c r="M601" s="36" t="s">
        <v>3005</v>
      </c>
    </row>
    <row r="602" customFormat="false" ht="25.5" hidden="false" customHeight="true" outlineLevel="0" collapsed="false">
      <c r="A602" s="29"/>
      <c r="B602" s="30" t="s">
        <v>3006</v>
      </c>
      <c r="C602" s="31" t="s">
        <v>113</v>
      </c>
      <c r="D602" s="31" t="s">
        <v>108</v>
      </c>
      <c r="E602" s="32" t="n">
        <v>4610</v>
      </c>
      <c r="F602" s="32" t="n">
        <v>876</v>
      </c>
      <c r="G602" s="32" t="n">
        <v>500</v>
      </c>
      <c r="H602" s="33" t="n">
        <v>2</v>
      </c>
      <c r="I602" s="34" t="n">
        <f aca="false">E602*H602+N(F602)+N(G602)</f>
        <v>10596</v>
      </c>
      <c r="J602" s="32" t="n">
        <f aca="false">ROUND(IFERROR(ROUND(IF(OR(ISNUMBER(SEARCH("week",C602)),ISNUMBER(SEARCH("minggu",C602))),IFERROR(_xlfn.NUMBERVALUE(SUBSTITUTE(LEFT(TRIM(C602),FIND(" ",TRIM(C602)&amp;" ")-1),",","."),"."),LEFT(SUBSTITUTE(LEFT(TRIM(C602),FIND(" ",TRIM(C602)&amp;" ")-1),",","."),FIND("/",SUBSTITUTE(LEFT(TRIM(C602),FIND(" ",TRIM(C602)&amp;" ")-1),",","."))-1)/MID(SUBSTITUTE(LEFT(TRIM(C602),FIND(" ",TRIM(C602)&amp;" ")-1),",","."),FIND("/",SUBSTITUTE(LEFT(TRIM(C602),FIND(" ",TRIM(C602)&amp;" ")-1),",","."))+1,9))*12/52,IF(ISNUMBER(SEARCH("month",C602)),IFERROR(_xlfn.NUMBERVALUE(SUBSTITUTE(LEFT(TRIM(C602),FIND(" ",TRIM(C602)&amp;" ")-1),",","."),"."),LEFT(SUBSTITUTE(LEFT(TRIM(C602),FIND(" ",TRIM(C602)&amp;" ")-1),",","."),FIND("/",SUBSTITUTE(LEFT(TRIM(C602),FIND(" ",TRIM(C602)&amp;" ")-1),",","."))-1)/MID(SUBSTITUTE(LEFT(TRIM(C602),FIND(" ",TRIM(C602)&amp;" ")-1),",","."),FIND("/",SUBSTITUTE(LEFT(TRIM(C602),FIND(" ",TRIM(C602)&amp;" ")-1),",","."))+1,9)),IF(ISNUMBER(SEARCH("yea",C602)),IFERROR(_xlfn.NUMBERVALUE(SUBSTITUTE(LEFT(TRIM(C602),FIND(" ",TRIM(C602)&amp;" ")-1),",","."),"."),LEFT(SUBSTITUTE(LEFT(TRIM(C602),FIND(" ",TRIM(C602)&amp;" ")-1),",","."),FIND("/",SUBSTITUTE(LEFT(TRIM(C602),FIND(" ",TRIM(C602)&amp;" ")-1),",","."))-1)/MID(SUBSTITUTE(LEFT(TRIM(C602),FIND(" ",TRIM(C602)&amp;" ")-1),",","."),FIND("/",SUBSTITUTE(LEFT(TRIM(C602),FIND(" ",TRIM(C602)&amp;" ")-1),",","."))+1,9))*12,NA()))),0),18)*'Aturan &amp; Tarif'!$B$4,2)</f>
        <v>1022.04</v>
      </c>
      <c r="K602" s="32" t="n">
        <f aca="false">'Aturan &amp; Tarif'!$B$5</f>
        <v>2050</v>
      </c>
      <c r="L602" s="35" t="n">
        <f aca="false">I602+J602+K602</f>
        <v>13668.04</v>
      </c>
      <c r="M602" s="37" t="s">
        <v>2971</v>
      </c>
    </row>
    <row r="603" customFormat="false" ht="60" hidden="false" customHeight="true" outlineLevel="0" collapsed="false">
      <c r="A603" s="29"/>
      <c r="B603" s="30" t="s">
        <v>3007</v>
      </c>
      <c r="C603" s="31" t="s">
        <v>127</v>
      </c>
      <c r="D603" s="31" t="s">
        <v>108</v>
      </c>
      <c r="E603" s="32" t="n">
        <v>4610</v>
      </c>
      <c r="F603" s="32" t="n">
        <v>876</v>
      </c>
      <c r="G603" s="32" t="n">
        <v>500</v>
      </c>
      <c r="H603" s="33" t="n">
        <v>2</v>
      </c>
      <c r="I603" s="34" t="n">
        <f aca="false">E603*H603+N(F603)+N(G603)</f>
        <v>10596</v>
      </c>
      <c r="J603" s="32" t="n">
        <f aca="false">ROUND(IFERROR(ROUND(IF(OR(ISNUMBER(SEARCH("week",C603)),ISNUMBER(SEARCH("minggu",C603))),IFERROR(_xlfn.NUMBERVALUE(SUBSTITUTE(LEFT(TRIM(C603),FIND(" ",TRIM(C603)&amp;" ")-1),",","."),"."),LEFT(SUBSTITUTE(LEFT(TRIM(C603),FIND(" ",TRIM(C603)&amp;" ")-1),",","."),FIND("/",SUBSTITUTE(LEFT(TRIM(C603),FIND(" ",TRIM(C603)&amp;" ")-1),",","."))-1)/MID(SUBSTITUTE(LEFT(TRIM(C603),FIND(" ",TRIM(C603)&amp;" ")-1),",","."),FIND("/",SUBSTITUTE(LEFT(TRIM(C603),FIND(" ",TRIM(C603)&amp;" ")-1),",","."))+1,9))*12/52,IF(ISNUMBER(SEARCH("month",C603)),IFERROR(_xlfn.NUMBERVALUE(SUBSTITUTE(LEFT(TRIM(C603),FIND(" ",TRIM(C603)&amp;" ")-1),",","."),"."),LEFT(SUBSTITUTE(LEFT(TRIM(C603),FIND(" ",TRIM(C603)&amp;" ")-1),",","."),FIND("/",SUBSTITUTE(LEFT(TRIM(C603),FIND(" ",TRIM(C603)&amp;" ")-1),",","."))-1)/MID(SUBSTITUTE(LEFT(TRIM(C603),FIND(" ",TRIM(C603)&amp;" ")-1),",","."),FIND("/",SUBSTITUTE(LEFT(TRIM(C603),FIND(" ",TRIM(C603)&amp;" ")-1),",","."))+1,9)),IF(ISNUMBER(SEARCH("yea",C603)),IFERROR(_xlfn.NUMBERVALUE(SUBSTITUTE(LEFT(TRIM(C603),FIND(" ",TRIM(C603)&amp;" ")-1),",","."),"."),LEFT(SUBSTITUTE(LEFT(TRIM(C603),FIND(" ",TRIM(C603)&amp;" ")-1),",","."),FIND("/",SUBSTITUTE(LEFT(TRIM(C603),FIND(" ",TRIM(C603)&amp;" ")-1),",","."))-1)/MID(SUBSTITUTE(LEFT(TRIM(C603),FIND(" ",TRIM(C603)&amp;" ")-1),",","."),FIND("/",SUBSTITUTE(LEFT(TRIM(C603),FIND(" ",TRIM(C603)&amp;" ")-1),",","."))+1,9))*12,NA()))),0),36)*'Aturan &amp; Tarif'!$B$4,2)</f>
        <v>2044.08</v>
      </c>
      <c r="K603" s="32" t="n">
        <f aca="false">'Aturan &amp; Tarif'!$B$5</f>
        <v>2050</v>
      </c>
      <c r="L603" s="35" t="n">
        <f aca="false">I603+J603+K603</f>
        <v>14690.08</v>
      </c>
      <c r="M603" s="37" t="s">
        <v>2971</v>
      </c>
    </row>
    <row r="604" customFormat="false" ht="14.25" hidden="false" customHeight="true" outlineLevel="0" collapsed="false">
      <c r="A604" s="29"/>
      <c r="B604" s="30" t="s">
        <v>3008</v>
      </c>
      <c r="C604" s="31" t="s">
        <v>495</v>
      </c>
      <c r="D604" s="31" t="s">
        <v>108</v>
      </c>
      <c r="E604" s="32" t="n">
        <v>5720</v>
      </c>
      <c r="F604" s="32" t="n">
        <v>876</v>
      </c>
      <c r="G604" s="32" t="n">
        <v>1000</v>
      </c>
      <c r="H604" s="33" t="n">
        <v>2</v>
      </c>
      <c r="I604" s="34" t="n">
        <f aca="false">E604*H604+N(F604)+N(G604)</f>
        <v>13316</v>
      </c>
      <c r="J604" s="32" t="n">
        <f aca="false">ROUND(IFERROR(ROUND(IF(OR(ISNUMBER(SEARCH("week",C604)),ISNUMBER(SEARCH("minggu",C604))),IFERROR(_xlfn.NUMBERVALUE(SUBSTITUTE(LEFT(TRIM(C604),FIND(" ",TRIM(C604)&amp;" ")-1),",","."),"."),LEFT(SUBSTITUTE(LEFT(TRIM(C604),FIND(" ",TRIM(C604)&amp;" ")-1),",","."),FIND("/",SUBSTITUTE(LEFT(TRIM(C604),FIND(" ",TRIM(C604)&amp;" ")-1),",","."))-1)/MID(SUBSTITUTE(LEFT(TRIM(C604),FIND(" ",TRIM(C604)&amp;" ")-1),",","."),FIND("/",SUBSTITUTE(LEFT(TRIM(C604),FIND(" ",TRIM(C604)&amp;" ")-1),",","."))+1,9))*12/52,IF(ISNUMBER(SEARCH("month",C604)),IFERROR(_xlfn.NUMBERVALUE(SUBSTITUTE(LEFT(TRIM(C604),FIND(" ",TRIM(C604)&amp;" ")-1),",","."),"."),LEFT(SUBSTITUTE(LEFT(TRIM(C604),FIND(" ",TRIM(C604)&amp;" ")-1),",","."),FIND("/",SUBSTITUTE(LEFT(TRIM(C604),FIND(" ",TRIM(C604)&amp;" ")-1),",","."))-1)/MID(SUBSTITUTE(LEFT(TRIM(C604),FIND(" ",TRIM(C604)&amp;" ")-1),",","."),FIND("/",SUBSTITUTE(LEFT(TRIM(C604),FIND(" ",TRIM(C604)&amp;" ")-1),",","."))+1,9)),IF(ISNUMBER(SEARCH("yea",C604)),IFERROR(_xlfn.NUMBERVALUE(SUBSTITUTE(LEFT(TRIM(C604),FIND(" ",TRIM(C604)&amp;" ")-1),",","."),"."),LEFT(SUBSTITUTE(LEFT(TRIM(C604),FIND(" ",TRIM(C604)&amp;" ")-1),",","."),FIND("/",SUBSTITUTE(LEFT(TRIM(C604),FIND(" ",TRIM(C604)&amp;" ")-1),",","."))-1)/MID(SUBSTITUTE(LEFT(TRIM(C604),FIND(" ",TRIM(C604)&amp;" ")-1),",","."),FIND("/",SUBSTITUTE(LEFT(TRIM(C604),FIND(" ",TRIM(C604)&amp;" ")-1),",","."))+1,9))*12,NA()))),0),54)*'Aturan &amp; Tarif'!$B$4,2)</f>
        <v>3066.12</v>
      </c>
      <c r="K604" s="32" t="n">
        <f aca="false">'Aturan &amp; Tarif'!$B$5</f>
        <v>2050</v>
      </c>
      <c r="L604" s="35" t="n">
        <f aca="false">I604+J604+K604</f>
        <v>18432.12</v>
      </c>
      <c r="M604" s="36" t="s">
        <v>3009</v>
      </c>
    </row>
    <row r="605" customFormat="false" ht="60" hidden="false" customHeight="true" outlineLevel="0" collapsed="false">
      <c r="A605" s="29"/>
      <c r="B605" s="30" t="s">
        <v>3010</v>
      </c>
      <c r="C605" s="31" t="s">
        <v>130</v>
      </c>
      <c r="D605" s="31" t="s">
        <v>108</v>
      </c>
      <c r="E605" s="32" t="n">
        <v>4475</v>
      </c>
      <c r="F605" s="32" t="n">
        <v>805</v>
      </c>
      <c r="G605" s="32" t="n">
        <v>100</v>
      </c>
      <c r="H605" s="33" t="n">
        <v>2</v>
      </c>
      <c r="I605" s="34" t="n">
        <f aca="false">E605*H605+N(F605)+N(G605)</f>
        <v>9855</v>
      </c>
      <c r="J605" s="32" t="n">
        <f aca="false">ROUND(IFERROR(ROUND(IF(OR(ISNUMBER(SEARCH("week",C605)),ISNUMBER(SEARCH("minggu",C605))),IFERROR(_xlfn.NUMBERVALUE(SUBSTITUTE(LEFT(TRIM(C605),FIND(" ",TRIM(C605)&amp;" ")-1),",","."),"."),LEFT(SUBSTITUTE(LEFT(TRIM(C605),FIND(" ",TRIM(C605)&amp;" ")-1),",","."),FIND("/",SUBSTITUTE(LEFT(TRIM(C605),FIND(" ",TRIM(C605)&amp;" ")-1),",","."))-1)/MID(SUBSTITUTE(LEFT(TRIM(C605),FIND(" ",TRIM(C605)&amp;" ")-1),",","."),FIND("/",SUBSTITUTE(LEFT(TRIM(C605),FIND(" ",TRIM(C605)&amp;" ")-1),",","."))+1,9))*12/52,IF(ISNUMBER(SEARCH("month",C605)),IFERROR(_xlfn.NUMBERVALUE(SUBSTITUTE(LEFT(TRIM(C605),FIND(" ",TRIM(C605)&amp;" ")-1),",","."),"."),LEFT(SUBSTITUTE(LEFT(TRIM(C605),FIND(" ",TRIM(C605)&amp;" ")-1),",","."),FIND("/",SUBSTITUTE(LEFT(TRIM(C605),FIND(" ",TRIM(C605)&amp;" ")-1),",","."))-1)/MID(SUBSTITUTE(LEFT(TRIM(C605),FIND(" ",TRIM(C605)&amp;" ")-1),",","."),FIND("/",SUBSTITUTE(LEFT(TRIM(C605),FIND(" ",TRIM(C605)&amp;" ")-1),",","."))+1,9)),IF(ISNUMBER(SEARCH("yea",C605)),IFERROR(_xlfn.NUMBERVALUE(SUBSTITUTE(LEFT(TRIM(C605),FIND(" ",TRIM(C605)&amp;" ")-1),",","."),"."),LEFT(SUBSTITUTE(LEFT(TRIM(C605),FIND(" ",TRIM(C605)&amp;" ")-1),",","."),FIND("/",SUBSTITUTE(LEFT(TRIM(C605),FIND(" ",TRIM(C605)&amp;" ")-1),",","."))-1)/MID(SUBSTITUTE(LEFT(TRIM(C605),FIND(" ",TRIM(C605)&amp;" ")-1),",","."),FIND("/",SUBSTITUTE(LEFT(TRIM(C605),FIND(" ",TRIM(C605)&amp;" ")-1),",","."))+1,9))*12,NA()))),0),12)*'Aturan &amp; Tarif'!$B$4,2)</f>
        <v>681.36</v>
      </c>
      <c r="K605" s="32" t="n">
        <f aca="false">'Aturan &amp; Tarif'!$B$5</f>
        <v>2050</v>
      </c>
      <c r="L605" s="35" t="n">
        <f aca="false">I605+J605+K605</f>
        <v>12586.36</v>
      </c>
      <c r="M605" s="37" t="s">
        <v>2971</v>
      </c>
    </row>
    <row r="606" customFormat="false" ht="48.75" hidden="false" customHeight="true" outlineLevel="0" collapsed="false">
      <c r="A606" s="29"/>
      <c r="B606" s="30" t="s">
        <v>3011</v>
      </c>
      <c r="C606" s="31" t="s">
        <v>127</v>
      </c>
      <c r="D606" s="31" t="s">
        <v>108</v>
      </c>
      <c r="E606" s="32" t="n">
        <v>5720</v>
      </c>
      <c r="F606" s="32" t="n">
        <v>805</v>
      </c>
      <c r="G606" s="32" t="n">
        <v>1100</v>
      </c>
      <c r="H606" s="33" t="n">
        <v>2</v>
      </c>
      <c r="I606" s="34" t="n">
        <f aca="false">E606*H606+N(F606)+N(G606)</f>
        <v>13345</v>
      </c>
      <c r="J606" s="32" t="n">
        <f aca="false">ROUND(IFERROR(ROUND(IF(OR(ISNUMBER(SEARCH("week",C606)),ISNUMBER(SEARCH("minggu",C606))),IFERROR(_xlfn.NUMBERVALUE(SUBSTITUTE(LEFT(TRIM(C606),FIND(" ",TRIM(C606)&amp;" ")-1),",","."),"."),LEFT(SUBSTITUTE(LEFT(TRIM(C606),FIND(" ",TRIM(C606)&amp;" ")-1),",","."),FIND("/",SUBSTITUTE(LEFT(TRIM(C606),FIND(" ",TRIM(C606)&amp;" ")-1),",","."))-1)/MID(SUBSTITUTE(LEFT(TRIM(C606),FIND(" ",TRIM(C606)&amp;" ")-1),",","."),FIND("/",SUBSTITUTE(LEFT(TRIM(C606),FIND(" ",TRIM(C606)&amp;" ")-1),",","."))+1,9))*12/52,IF(ISNUMBER(SEARCH("month",C606)),IFERROR(_xlfn.NUMBERVALUE(SUBSTITUTE(LEFT(TRIM(C606),FIND(" ",TRIM(C606)&amp;" ")-1),",","."),"."),LEFT(SUBSTITUTE(LEFT(TRIM(C606),FIND(" ",TRIM(C606)&amp;" ")-1),",","."),FIND("/",SUBSTITUTE(LEFT(TRIM(C606),FIND(" ",TRIM(C606)&amp;" ")-1),",","."))-1)/MID(SUBSTITUTE(LEFT(TRIM(C606),FIND(" ",TRIM(C606)&amp;" ")-1),",","."),FIND("/",SUBSTITUTE(LEFT(TRIM(C606),FIND(" ",TRIM(C606)&amp;" ")-1),",","."))+1,9)),IF(ISNUMBER(SEARCH("yea",C606)),IFERROR(_xlfn.NUMBERVALUE(SUBSTITUTE(LEFT(TRIM(C606),FIND(" ",TRIM(C606)&amp;" ")-1),",","."),"."),LEFT(SUBSTITUTE(LEFT(TRIM(C606),FIND(" ",TRIM(C606)&amp;" ")-1),",","."),FIND("/",SUBSTITUTE(LEFT(TRIM(C606),FIND(" ",TRIM(C606)&amp;" ")-1),",","."))-1)/MID(SUBSTITUTE(LEFT(TRIM(C606),FIND(" ",TRIM(C606)&amp;" ")-1),",","."),FIND("/",SUBSTITUTE(LEFT(TRIM(C606),FIND(" ",TRIM(C606)&amp;" ")-1),",","."))+1,9))*12,NA()))),0),36)*'Aturan &amp; Tarif'!$B$4,2)</f>
        <v>2044.08</v>
      </c>
      <c r="K606" s="32" t="n">
        <f aca="false">'Aturan &amp; Tarif'!$B$5</f>
        <v>2050</v>
      </c>
      <c r="L606" s="35" t="n">
        <f aca="false">I606+J606+K606</f>
        <v>17439.08</v>
      </c>
      <c r="M606" s="36" t="s">
        <v>3012</v>
      </c>
    </row>
    <row r="607" customFormat="false" ht="12.75" hidden="false" customHeight="true" outlineLevel="0" collapsed="false"/>
    <row r="608" customFormat="false" ht="12.75" hidden="false" customHeight="true" outlineLevel="0" collapsed="false">
      <c r="A608" s="38" t="s">
        <v>117</v>
      </c>
    </row>
    <row r="609" customFormat="false" ht="12.75" hidden="false" customHeight="true" outlineLevel="0" collapsed="false">
      <c r="A609" s="38" t="s">
        <v>118</v>
      </c>
    </row>
    <row r="610" customFormat="false" ht="12.75" hidden="false" customHeight="true" outlineLevel="0" collapsed="false">
      <c r="A610" s="38" t="s">
        <v>119</v>
      </c>
    </row>
    <row r="611" customFormat="false" ht="12.75" hidden="false" customHeight="true" outlineLevel="0" collapsed="false">
      <c r="A611" s="38" t="s">
        <v>120</v>
      </c>
    </row>
    <row r="612" customFormat="false" ht="12.75" hidden="false" customHeight="true" outlineLevel="0" collapsed="false">
      <c r="A612" s="38" t="s">
        <v>121</v>
      </c>
    </row>
    <row r="613" customFormat="false" ht="81.75" hidden="false" customHeight="true" outlineLevel="0" collapsed="false">
      <c r="A613" s="38" t="s">
        <v>3294</v>
      </c>
    </row>
    <row r="614" customFormat="false" ht="63.75" hidden="false" customHeight="true" outlineLevel="0" collapsed="false">
      <c r="A614" s="38" t="s">
        <v>3302</v>
      </c>
    </row>
  </sheetData>
  <autoFilter ref="A5:M606"/>
  <conditionalFormatting sqref="J6:J606">
    <cfRule type="expression" priority="2" aboveAverage="0" equalAverage="0" bottom="0" percent="0" rank="0" text="" dxfId="6">
      <formula>AND($E6&lt;&gt;"",OR(ISERROR(ROUND(IF(OR(ISNUMBER(SEARCH("week",C6)),ISNUMBER(SEARCH("minggu",C6))),IFERROR(_xlfn.NUMBERVALUE(SUBSTITUTE(LEFT(TRIM(C6),FIND("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")-1),",","."))+1,9))*12,NA()))),0)&lt;1,1),IFERROR(ROUND(IF(OR(ISNUMBER(SEARCH("week",C6)),ISNUMBER(SEARCH("minggu",C6))),IFERROR(_xlfn.NUMBERVALUE(SUBSTITUTE(LEFT(TRIM(C6),FIND("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")-1),",","."))+1,9))*12,NA()))),0)&gt;96,1)))</formula>
    </cfRule>
  </conditionalFormatting>
  <printOptions headings="false" gridLines="false" gridLinesSet="true" horizontalCentered="true" verticalCentered="false"/>
  <pageMargins left="0.3" right="0.3" top="0.5" bottom="0.5" header="0.2" footer="0.2"/>
  <pageSetup paperSize="9" scale="100" fitToWidth="1" fitToHeight="0" pageOrder="downThenOver" orientation="landscape" blackAndWhite="false" draft="false" cellComments="none" horizontalDpi="300" verticalDpi="300" copies="1"/>
  <headerFooter differentFirst="false" differentOddEven="false">
    <oddHeader>&amp;R&amp;8 ONSHORE -  MELBOURNE</oddHeader>
    <oddFooter>&amp;L&amp;8 TEG Pricelist - harga bisa berubah sewaktu-waktu&amp;R&amp;8 Halaman &amp;P dari &amp;N</oddFooter>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626"/>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2" min="2" style="1" width="55"/>
    <col collapsed="false" customWidth="true" hidden="false" outlineLevel="0" max="3" min="3" style="1" width="14"/>
    <col collapsed="false" customWidth="true" hidden="false" outlineLevel="0" max="4" min="4" style="1" width="11"/>
    <col collapsed="false" customWidth="true" hidden="false" outlineLevel="0" max="5" min="5" style="1" width="12"/>
    <col collapsed="false" customWidth="true" hidden="false" outlineLevel="0" max="8" min="6" style="1" width="11"/>
    <col collapsed="false" customWidth="true" hidden="false" outlineLevel="0" max="9" min="9" style="1" width="15"/>
    <col collapsed="false" customWidth="true" hidden="false" outlineLevel="0" max="10" min="10" style="1" width="12"/>
    <col collapsed="false" customWidth="true" hidden="false" outlineLevel="0" max="11" min="11" style="1" width="10"/>
    <col collapsed="false" customWidth="true" hidden="false" outlineLevel="0" max="12" min="12" style="1" width="15"/>
    <col collapsed="false" customWidth="true" hidden="false" outlineLevel="0" max="13" min="13" style="1" width="110"/>
    <col collapsed="false" customWidth="true" hidden="false" outlineLevel="0" max="44" min="14" style="1" width="9"/>
  </cols>
  <sheetData>
    <row r="1" customFormat="false" ht="17.25" hidden="false" customHeight="true" outlineLevel="0" collapsed="false">
      <c r="A1" s="14" t="s">
        <v>3400</v>
      </c>
    </row>
    <row r="2" customFormat="false" ht="15" hidden="false" customHeight="true" outlineLevel="0" collapsed="false">
      <c r="A2" s="25" t="s">
        <v>91</v>
      </c>
    </row>
    <row r="3" customFormat="false" ht="15" hidden="false" customHeight="true" outlineLevel="0" collapsed="false">
      <c r="A3" s="26" t="s">
        <v>3014</v>
      </c>
    </row>
    <row r="5" customFormat="false" ht="36" hidden="false" customHeight="true" outlineLevel="0" collapsed="false">
      <c r="A5" s="27" t="s">
        <v>93</v>
      </c>
      <c r="B5" s="27" t="s">
        <v>94</v>
      </c>
      <c r="C5" s="27" t="s">
        <v>95</v>
      </c>
      <c r="D5" s="27" t="s">
        <v>96</v>
      </c>
      <c r="E5" s="27" t="s">
        <v>97</v>
      </c>
      <c r="F5" s="27" t="s">
        <v>98</v>
      </c>
      <c r="G5" s="27" t="s">
        <v>99</v>
      </c>
      <c r="H5" s="27" t="s">
        <v>100</v>
      </c>
      <c r="I5" s="27" t="s">
        <v>101</v>
      </c>
      <c r="J5" s="27" t="s">
        <v>10</v>
      </c>
      <c r="K5" s="27" t="s">
        <v>102</v>
      </c>
      <c r="L5" s="27" t="s">
        <v>104</v>
      </c>
      <c r="M5" s="28" t="s">
        <v>14</v>
      </c>
    </row>
    <row r="6" customFormat="false" ht="37.5" hidden="false" customHeight="true" outlineLevel="0" collapsed="false">
      <c r="A6" s="29" t="s">
        <v>1166</v>
      </c>
      <c r="B6" s="30" t="s">
        <v>3015</v>
      </c>
      <c r="C6" s="31" t="s">
        <v>191</v>
      </c>
      <c r="D6" s="31" t="s">
        <v>108</v>
      </c>
      <c r="E6" s="32" t="n">
        <v>1500</v>
      </c>
      <c r="F6" s="32" t="n">
        <v>50</v>
      </c>
      <c r="G6" s="32" t="n">
        <v>250</v>
      </c>
      <c r="H6" s="33" t="n">
        <v>1</v>
      </c>
      <c r="I6" s="34" t="n">
        <f aca="false">E6*H6+N(F6)+N(G6)</f>
        <v>1800</v>
      </c>
      <c r="J6" s="32" t="n">
        <f aca="false">ROUND(IFERROR(ROUND(IF(OR(ISNUMBER(SEARCH("week",C6)),ISNUMBER(SEARCH("minggu",C6))),IFERROR(_xlfn.NUMBERVALUE(SUBSTITUTE(LEFT(TRIM(C6),FIND("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")-1),",","."))+1,9))*12,NA()))),0),48)*'Aturan &amp; Tarif'!$B$4,2)</f>
        <v>2725.44</v>
      </c>
      <c r="K6" s="32" t="n">
        <f aca="false">'Aturan &amp; Tarif'!$B$5</f>
        <v>2050</v>
      </c>
      <c r="L6" s="35" t="n">
        <f aca="false">I6+J6+K6</f>
        <v>6575.44</v>
      </c>
      <c r="M6" s="36" t="s">
        <v>131</v>
      </c>
    </row>
    <row r="7" customFormat="false" ht="25.5" hidden="false" customHeight="true" outlineLevel="0" collapsed="false">
      <c r="A7" s="29"/>
      <c r="B7" s="30" t="s">
        <v>1168</v>
      </c>
      <c r="C7" s="31" t="s">
        <v>136</v>
      </c>
      <c r="D7" s="31" t="s">
        <v>108</v>
      </c>
      <c r="E7" s="32" t="n">
        <v>2000</v>
      </c>
      <c r="F7" s="32" t="n">
        <v>50</v>
      </c>
      <c r="G7" s="32" t="n">
        <v>250</v>
      </c>
      <c r="H7" s="33" t="n">
        <v>1</v>
      </c>
      <c r="I7" s="34" t="n">
        <f aca="false">E7*H7+N(F7)+N(G7)</f>
        <v>2300</v>
      </c>
      <c r="J7" s="32" t="n">
        <f aca="false">ROUND(IFERROR(ROUND(IF(OR(ISNUMBER(SEARCH("week",C7)),ISNUMBER(SEARCH("minggu",C7))),IFERROR(_xlfn.NUMBERVALUE(SUBSTITUTE(LEFT(TRIM(C7),FIND(" ",TRIM(C7)&amp;" ")-1),",","."),"."),LEFT(SUBSTITUTE(LEFT(TRIM(C7),FIND(" ",TRIM(C7)&amp;" ")-1),",","."),FIND("/",SUBSTITUTE(LEFT(TRIM(C7),FIND(" ",TRIM(C7)&amp;" ")-1),",","."))-1)/MID(SUBSTITUTE(LEFT(TRIM(C7),FIND(" ",TRIM(C7)&amp;" ")-1),",","."),FIND("/",SUBSTITUTE(LEFT(TRIM(C7),FIND(" ",TRIM(C7)&amp;" ")-1),",","."))+1,9))*12/52,IF(ISNUMBER(SEARCH("month",C7)),IFERROR(_xlfn.NUMBERVALUE(SUBSTITUTE(LEFT(TRIM(C7),FIND(" ",TRIM(C7)&amp;" ")-1),",","."),"."),LEFT(SUBSTITUTE(LEFT(TRIM(C7),FIND(" ",TRIM(C7)&amp;" ")-1),",","."),FIND("/",SUBSTITUTE(LEFT(TRIM(C7),FIND(" ",TRIM(C7)&amp;" ")-1),",","."))-1)/MID(SUBSTITUTE(LEFT(TRIM(C7),FIND(" ",TRIM(C7)&amp;" ")-1),",","."),FIND("/",SUBSTITUTE(LEFT(TRIM(C7),FIND(" ",TRIM(C7)&amp;" ")-1),",","."))+1,9)),IF(ISNUMBER(SEARCH("yea",C7)),IFERROR(_xlfn.NUMBERVALUE(SUBSTITUTE(LEFT(TRIM(C7),FIND(" ",TRIM(C7)&amp;" ")-1),",","."),"."),LEFT(SUBSTITUTE(LEFT(TRIM(C7),FIND(" ",TRIM(C7)&amp;" ")-1),",","."),FIND("/",SUBSTITUTE(LEFT(TRIM(C7),FIND(" ",TRIM(C7)&amp;" ")-1),",","."))-1)/MID(SUBSTITUTE(LEFT(TRIM(C7),FIND(" ",TRIM(C7)&amp;" ")-1),",","."),FIND("/",SUBSTITUTE(LEFT(TRIM(C7),FIND(" ",TRIM(C7)&amp;" ")-1),",","."))+1,9))*12,NA()))),0),42)*'Aturan &amp; Tarif'!$B$4,2)</f>
        <v>2384.76</v>
      </c>
      <c r="K7" s="32" t="n">
        <f aca="false">'Aturan &amp; Tarif'!$B$5</f>
        <v>2050</v>
      </c>
      <c r="L7" s="35" t="n">
        <f aca="false">I7+J7+K7</f>
        <v>6734.76</v>
      </c>
      <c r="M7" s="37" t="s">
        <v>134</v>
      </c>
    </row>
    <row r="8" customFormat="false" ht="25.5" hidden="false" customHeight="true" outlineLevel="0" collapsed="false">
      <c r="A8" s="29"/>
      <c r="B8" s="30" t="s">
        <v>1169</v>
      </c>
      <c r="C8" s="31" t="s">
        <v>138</v>
      </c>
      <c r="D8" s="31" t="s">
        <v>108</v>
      </c>
      <c r="E8" s="32" t="n">
        <v>1350</v>
      </c>
      <c r="F8" s="32" t="n">
        <v>50</v>
      </c>
      <c r="G8" s="32" t="n">
        <v>250</v>
      </c>
      <c r="H8" s="33" t="n">
        <v>1</v>
      </c>
      <c r="I8" s="34" t="n">
        <f aca="false">E8*H8+N(F8)+N(G8)</f>
        <v>1650</v>
      </c>
      <c r="J8" s="32" t="n">
        <f aca="false">ROUND(IFERROR(ROUND(IF(OR(ISNUMBER(SEARCH("week",C8)),ISNUMBER(SEARCH("minggu",C8))),IFERROR(_xlfn.NUMBERVALUE(SUBSTITUTE(LEFT(TRIM(C8),FIND(" ",TRIM(C8)&amp;" ")-1),",","."),"."),LEFT(SUBSTITUTE(LEFT(TRIM(C8),FIND(" ",TRIM(C8)&amp;" ")-1),",","."),FIND("/",SUBSTITUTE(LEFT(TRIM(C8),FIND(" ",TRIM(C8)&amp;" ")-1),",","."))-1)/MID(SUBSTITUTE(LEFT(TRIM(C8),FIND(" ",TRIM(C8)&amp;" ")-1),",","."),FIND("/",SUBSTITUTE(LEFT(TRIM(C8),FIND(" ",TRIM(C8)&amp;" ")-1),",","."))+1,9))*12/52,IF(ISNUMBER(SEARCH("month",C8)),IFERROR(_xlfn.NUMBERVALUE(SUBSTITUTE(LEFT(TRIM(C8),FIND(" ",TRIM(C8)&amp;" ")-1),",","."),"."),LEFT(SUBSTITUTE(LEFT(TRIM(C8),FIND(" ",TRIM(C8)&amp;" ")-1),",","."),FIND("/",SUBSTITUTE(LEFT(TRIM(C8),FIND(" ",TRIM(C8)&amp;" ")-1),",","."))-1)/MID(SUBSTITUTE(LEFT(TRIM(C8),FIND(" ",TRIM(C8)&amp;" ")-1),",","."),FIND("/",SUBSTITUTE(LEFT(TRIM(C8),FIND(" ",TRIM(C8)&amp;" ")-1),",","."))+1,9)),IF(ISNUMBER(SEARCH("yea",C8)),IFERROR(_xlfn.NUMBERVALUE(SUBSTITUTE(LEFT(TRIM(C8),FIND(" ",TRIM(C8)&amp;" ")-1),",","."),"."),LEFT(SUBSTITUTE(LEFT(TRIM(C8),FIND(" ",TRIM(C8)&amp;" ")-1),",","."),FIND("/",SUBSTITUTE(LEFT(TRIM(C8),FIND(" ",TRIM(C8)&amp;" ")-1),",","."))-1)/MID(SUBSTITUTE(LEFT(TRIM(C8),FIND(" ",TRIM(C8)&amp;" ")-1),",","."),FIND("/",SUBSTITUTE(LEFT(TRIM(C8),FIND(" ",TRIM(C8)&amp;" ")-1),",","."))+1,9))*12,NA()))),0),30)*'Aturan &amp; Tarif'!$B$4,2)</f>
        <v>1703.4</v>
      </c>
      <c r="K8" s="32" t="n">
        <f aca="false">'Aturan &amp; Tarif'!$B$5</f>
        <v>2050</v>
      </c>
      <c r="L8" s="35" t="n">
        <f aca="false">I8+J8+K8</f>
        <v>5403.4</v>
      </c>
      <c r="M8" s="37" t="s">
        <v>134</v>
      </c>
    </row>
    <row r="9" customFormat="false" ht="14.25" hidden="false" customHeight="true" outlineLevel="0" collapsed="false">
      <c r="A9" s="29"/>
      <c r="B9" s="30" t="s">
        <v>1170</v>
      </c>
      <c r="C9" s="31" t="s">
        <v>138</v>
      </c>
      <c r="D9" s="31" t="s">
        <v>108</v>
      </c>
      <c r="E9" s="32" t="n">
        <v>1350</v>
      </c>
      <c r="F9" s="32" t="n">
        <v>50</v>
      </c>
      <c r="G9" s="32" t="n">
        <v>250</v>
      </c>
      <c r="H9" s="33" t="n">
        <v>1</v>
      </c>
      <c r="I9" s="34" t="n">
        <f aca="false">E9*H9+N(F9)+N(G9)</f>
        <v>1650</v>
      </c>
      <c r="J9" s="32" t="n">
        <f aca="false">ROUND(IFERROR(ROUND(IF(OR(ISNUMBER(SEARCH("week",C9)),ISNUMBER(SEARCH("minggu",C9))),IFERROR(_xlfn.NUMBERVALUE(SUBSTITUTE(LEFT(TRIM(C9),FIND(" ",TRIM(C9)&amp;" ")-1),",","."),"."),LEFT(SUBSTITUTE(LEFT(TRIM(C9),FIND(" ",TRIM(C9)&amp;" ")-1),",","."),FIND("/",SUBSTITUTE(LEFT(TRIM(C9),FIND(" ",TRIM(C9)&amp;" ")-1),",","."))-1)/MID(SUBSTITUTE(LEFT(TRIM(C9),FIND(" ",TRIM(C9)&amp;" ")-1),",","."),FIND("/",SUBSTITUTE(LEFT(TRIM(C9),FIND(" ",TRIM(C9)&amp;" ")-1),",","."))+1,9))*12/52,IF(ISNUMBER(SEARCH("month",C9)),IFERROR(_xlfn.NUMBERVALUE(SUBSTITUTE(LEFT(TRIM(C9),FIND(" ",TRIM(C9)&amp;" ")-1),",","."),"."),LEFT(SUBSTITUTE(LEFT(TRIM(C9),FIND(" ",TRIM(C9)&amp;" ")-1),",","."),FIND("/",SUBSTITUTE(LEFT(TRIM(C9),FIND(" ",TRIM(C9)&amp;" ")-1),",","."))-1)/MID(SUBSTITUTE(LEFT(TRIM(C9),FIND(" ",TRIM(C9)&amp;" ")-1),",","."),FIND("/",SUBSTITUTE(LEFT(TRIM(C9),FIND(" ",TRIM(C9)&amp;" ")-1),",","."))+1,9)),IF(ISNUMBER(SEARCH("yea",C9)),IFERROR(_xlfn.NUMBERVALUE(SUBSTITUTE(LEFT(TRIM(C9),FIND(" ",TRIM(C9)&amp;" ")-1),",","."),"."),LEFT(SUBSTITUTE(LEFT(TRIM(C9),FIND(" ",TRIM(C9)&amp;" ")-1),",","."),FIND("/",SUBSTITUTE(LEFT(TRIM(C9),FIND(" ",TRIM(C9)&amp;" ")-1),",","."))-1)/MID(SUBSTITUTE(LEFT(TRIM(C9),FIND(" ",TRIM(C9)&amp;" ")-1),",","."),FIND("/",SUBSTITUTE(LEFT(TRIM(C9),FIND(" ",TRIM(C9)&amp;" ")-1),",","."))+1,9))*12,NA()))),0),30)*'Aturan &amp; Tarif'!$B$4,2)</f>
        <v>1703.4</v>
      </c>
      <c r="K9" s="32" t="n">
        <f aca="false">'Aturan &amp; Tarif'!$B$5</f>
        <v>2050</v>
      </c>
      <c r="L9" s="35" t="n">
        <f aca="false">I9+J9+K9</f>
        <v>5403.4</v>
      </c>
      <c r="M9" s="37" t="s">
        <v>134</v>
      </c>
    </row>
    <row r="10" customFormat="false" ht="25.5" hidden="false" customHeight="true" outlineLevel="0" collapsed="false">
      <c r="A10" s="29"/>
      <c r="B10" s="30" t="s">
        <v>1171</v>
      </c>
      <c r="C10" s="31" t="s">
        <v>191</v>
      </c>
      <c r="D10" s="31" t="s">
        <v>108</v>
      </c>
      <c r="E10" s="32" t="n">
        <v>1350</v>
      </c>
      <c r="F10" s="32" t="n">
        <v>50</v>
      </c>
      <c r="G10" s="32" t="n">
        <v>250</v>
      </c>
      <c r="H10" s="33" t="n">
        <v>1</v>
      </c>
      <c r="I10" s="34" t="n">
        <f aca="false">E10*H10+N(F10)+N(G10)</f>
        <v>1650</v>
      </c>
      <c r="J10" s="32" t="n">
        <f aca="false">ROUND(IFERROR(ROUND(IF(OR(ISNUMBER(SEARCH("week",C10)),ISNUMBER(SEARCH("minggu",C10))),IFERROR(_xlfn.NUMBERVALUE(SUBSTITUTE(LEFT(TRIM(C10),FIND(" ",TRIM(C10)&amp;" ")-1),",","."),"."),LEFT(SUBSTITUTE(LEFT(TRIM(C10),FIND(" ",TRIM(C10)&amp;" ")-1),",","."),FIND("/",SUBSTITUTE(LEFT(TRIM(C10),FIND(" ",TRIM(C10)&amp;" ")-1),",","."))-1)/MID(SUBSTITUTE(LEFT(TRIM(C10),FIND(" ",TRIM(C10)&amp;" ")-1),",","."),FIND("/",SUBSTITUTE(LEFT(TRIM(C10),FIND(" ",TRIM(C10)&amp;" ")-1),",","."))+1,9))*12/52,IF(ISNUMBER(SEARCH("month",C10)),IFERROR(_xlfn.NUMBERVALUE(SUBSTITUTE(LEFT(TRIM(C10),FIND(" ",TRIM(C10)&amp;" ")-1),",","."),"."),LEFT(SUBSTITUTE(LEFT(TRIM(C10),FIND(" ",TRIM(C10)&amp;" ")-1),",","."),FIND("/",SUBSTITUTE(LEFT(TRIM(C10),FIND(" ",TRIM(C10)&amp;" ")-1),",","."))-1)/MID(SUBSTITUTE(LEFT(TRIM(C10),FIND(" ",TRIM(C10)&amp;" ")-1),",","."),FIND("/",SUBSTITUTE(LEFT(TRIM(C10),FIND(" ",TRIM(C10)&amp;" ")-1),",","."))+1,9)),IF(ISNUMBER(SEARCH("yea",C10)),IFERROR(_xlfn.NUMBERVALUE(SUBSTITUTE(LEFT(TRIM(C10),FIND(" ",TRIM(C10)&amp;" ")-1),",","."),"."),LEFT(SUBSTITUTE(LEFT(TRIM(C10),FIND(" ",TRIM(C10)&amp;" ")-1),",","."),FIND("/",SUBSTITUTE(LEFT(TRIM(C10),FIND(" ",TRIM(C10)&amp;" ")-1),",","."))-1)/MID(SUBSTITUTE(LEFT(TRIM(C10),FIND(" ",TRIM(C10)&amp;" ")-1),",","."),FIND("/",SUBSTITUTE(LEFT(TRIM(C10),FIND(" ",TRIM(C10)&amp;" ")-1),",","."))+1,9))*12,NA()))),0),48)*'Aturan &amp; Tarif'!$B$4,2)</f>
        <v>2725.44</v>
      </c>
      <c r="K10" s="32" t="n">
        <f aca="false">'Aturan &amp; Tarif'!$B$5</f>
        <v>2050</v>
      </c>
      <c r="L10" s="35" t="n">
        <f aca="false">I10+J10+K10</f>
        <v>6425.44</v>
      </c>
      <c r="M10" s="37" t="s">
        <v>134</v>
      </c>
    </row>
    <row r="11" customFormat="false" ht="14.25" hidden="false" customHeight="true" outlineLevel="0" collapsed="false">
      <c r="A11" s="29"/>
      <c r="B11" s="30" t="s">
        <v>1973</v>
      </c>
      <c r="C11" s="31" t="s">
        <v>130</v>
      </c>
      <c r="D11" s="31" t="s">
        <v>108</v>
      </c>
      <c r="E11" s="32" t="n">
        <v>2250</v>
      </c>
      <c r="F11" s="32" t="n">
        <v>1000</v>
      </c>
      <c r="G11" s="32" t="n">
        <v>250</v>
      </c>
      <c r="H11" s="33" t="n">
        <v>1</v>
      </c>
      <c r="I11" s="34" t="n">
        <f aca="false">E11*H11+N(F11)+N(G11)</f>
        <v>3500</v>
      </c>
      <c r="J11" s="32" t="n">
        <f aca="false">ROUND(IFERROR(ROUND(IF(OR(ISNUMBER(SEARCH("week",C11)),ISNUMBER(SEARCH("minggu",C11))),IFERROR(_xlfn.NUMBERVALUE(SUBSTITUTE(LEFT(TRIM(C11),FIND(" ",TRIM(C11)&amp;" ")-1),",","."),"."),LEFT(SUBSTITUTE(LEFT(TRIM(C11),FIND(" ",TRIM(C11)&amp;" ")-1),",","."),FIND("/",SUBSTITUTE(LEFT(TRIM(C11),FIND(" ",TRIM(C11)&amp;" ")-1),",","."))-1)/MID(SUBSTITUTE(LEFT(TRIM(C11),FIND(" ",TRIM(C11)&amp;" ")-1),",","."),FIND("/",SUBSTITUTE(LEFT(TRIM(C11),FIND(" ",TRIM(C11)&amp;" ")-1),",","."))+1,9))*12/52,IF(ISNUMBER(SEARCH("month",C11)),IFERROR(_xlfn.NUMBERVALUE(SUBSTITUTE(LEFT(TRIM(C11),FIND(" ",TRIM(C11)&amp;" ")-1),",","."),"."),LEFT(SUBSTITUTE(LEFT(TRIM(C11),FIND(" ",TRIM(C11)&amp;" ")-1),",","."),FIND("/",SUBSTITUTE(LEFT(TRIM(C11),FIND(" ",TRIM(C11)&amp;" ")-1),",","."))-1)/MID(SUBSTITUTE(LEFT(TRIM(C11),FIND(" ",TRIM(C11)&amp;" ")-1),",","."),FIND("/",SUBSTITUTE(LEFT(TRIM(C11),FIND(" ",TRIM(C11)&amp;" ")-1),",","."))+1,9)),IF(ISNUMBER(SEARCH("yea",C11)),IFERROR(_xlfn.NUMBERVALUE(SUBSTITUTE(LEFT(TRIM(C11),FIND(" ",TRIM(C11)&amp;" ")-1),",","."),"."),LEFT(SUBSTITUTE(LEFT(TRIM(C11),FIND(" ",TRIM(C11)&amp;" ")-1),",","."),FIND("/",SUBSTITUTE(LEFT(TRIM(C11),FIND(" ",TRIM(C11)&amp;" ")-1),",","."))-1)/MID(SUBSTITUTE(LEFT(TRIM(C11),FIND(" ",TRIM(C11)&amp;" ")-1),",","."),FIND("/",SUBSTITUTE(LEFT(TRIM(C11),FIND(" ",TRIM(C11)&amp;" ")-1),",","."))+1,9))*12,NA()))),0),12)*'Aturan &amp; Tarif'!$B$4,2)</f>
        <v>681.36</v>
      </c>
      <c r="K11" s="32" t="n">
        <f aca="false">'Aturan &amp; Tarif'!$B$5</f>
        <v>2050</v>
      </c>
      <c r="L11" s="35" t="n">
        <f aca="false">I11+J11+K11</f>
        <v>6231.36</v>
      </c>
      <c r="M11" s="37" t="s">
        <v>134</v>
      </c>
    </row>
    <row r="12" customFormat="false" ht="14.25" hidden="false" customHeight="true" outlineLevel="0" collapsed="false">
      <c r="A12" s="29"/>
      <c r="B12" s="30" t="s">
        <v>2216</v>
      </c>
      <c r="C12" s="31" t="s">
        <v>130</v>
      </c>
      <c r="D12" s="31" t="s">
        <v>108</v>
      </c>
      <c r="E12" s="32" t="n">
        <v>2250</v>
      </c>
      <c r="F12" s="32" t="n">
        <v>1000</v>
      </c>
      <c r="G12" s="32" t="n">
        <v>250</v>
      </c>
      <c r="H12" s="33" t="n">
        <v>1</v>
      </c>
      <c r="I12" s="34" t="n">
        <f aca="false">E12*H12+N(F12)+N(G12)</f>
        <v>3500</v>
      </c>
      <c r="J12" s="32" t="n">
        <f aca="false">ROUND(IFERROR(ROUND(IF(OR(ISNUMBER(SEARCH("week",C12)),ISNUMBER(SEARCH("minggu",C12))),IFERROR(_xlfn.NUMBERVALUE(SUBSTITUTE(LEFT(TRIM(C12),FIND(" ",TRIM(C12)&amp;" ")-1),",","."),"."),LEFT(SUBSTITUTE(LEFT(TRIM(C12),FIND(" ",TRIM(C12)&amp;" ")-1),",","."),FIND("/",SUBSTITUTE(LEFT(TRIM(C12),FIND(" ",TRIM(C12)&amp;" ")-1),",","."))-1)/MID(SUBSTITUTE(LEFT(TRIM(C12),FIND(" ",TRIM(C12)&amp;" ")-1),",","."),FIND("/",SUBSTITUTE(LEFT(TRIM(C12),FIND(" ",TRIM(C12)&amp;" ")-1),",","."))+1,9))*12/52,IF(ISNUMBER(SEARCH("month",C12)),IFERROR(_xlfn.NUMBERVALUE(SUBSTITUTE(LEFT(TRIM(C12),FIND(" ",TRIM(C12)&amp;" ")-1),",","."),"."),LEFT(SUBSTITUTE(LEFT(TRIM(C12),FIND(" ",TRIM(C12)&amp;" ")-1),",","."),FIND("/",SUBSTITUTE(LEFT(TRIM(C12),FIND(" ",TRIM(C12)&amp;" ")-1),",","."))-1)/MID(SUBSTITUTE(LEFT(TRIM(C12),FIND(" ",TRIM(C12)&amp;" ")-1),",","."),FIND("/",SUBSTITUTE(LEFT(TRIM(C12),FIND(" ",TRIM(C12)&amp;" ")-1),",","."))+1,9)),IF(ISNUMBER(SEARCH("yea",C12)),IFERROR(_xlfn.NUMBERVALUE(SUBSTITUTE(LEFT(TRIM(C12),FIND(" ",TRIM(C12)&amp;" ")-1),",","."),"."),LEFT(SUBSTITUTE(LEFT(TRIM(C12),FIND(" ",TRIM(C12)&amp;" ")-1),",","."),FIND("/",SUBSTITUTE(LEFT(TRIM(C12),FIND(" ",TRIM(C12)&amp;" ")-1),",","."))-1)/MID(SUBSTITUTE(LEFT(TRIM(C12),FIND(" ",TRIM(C12)&amp;" ")-1),",","."),FIND("/",SUBSTITUTE(LEFT(TRIM(C12),FIND(" ",TRIM(C12)&amp;" ")-1),",","."))+1,9))*12,NA()))),0),12)*'Aturan &amp; Tarif'!$B$4,2)</f>
        <v>681.36</v>
      </c>
      <c r="K12" s="32" t="n">
        <f aca="false">'Aturan &amp; Tarif'!$B$5</f>
        <v>2050</v>
      </c>
      <c r="L12" s="35" t="n">
        <f aca="false">I12+J12+K12</f>
        <v>6231.36</v>
      </c>
      <c r="M12" s="37" t="s">
        <v>134</v>
      </c>
    </row>
    <row r="13" customFormat="false" ht="14.25" hidden="false" customHeight="true" outlineLevel="0" collapsed="false">
      <c r="A13" s="29"/>
      <c r="B13" s="30" t="s">
        <v>616</v>
      </c>
      <c r="C13" s="31" t="s">
        <v>107</v>
      </c>
      <c r="D13" s="31" t="s">
        <v>108</v>
      </c>
      <c r="E13" s="32" t="n">
        <v>2575</v>
      </c>
      <c r="F13" s="32" t="n">
        <v>50</v>
      </c>
      <c r="G13" s="32" t="n">
        <v>250</v>
      </c>
      <c r="H13" s="33" t="n">
        <v>1</v>
      </c>
      <c r="I13" s="34" t="n">
        <f aca="false">E13*H13+N(F13)+N(G13)</f>
        <v>2875</v>
      </c>
      <c r="J13" s="32" t="n">
        <f aca="false">ROUND(IFERROR(ROUND(IF(OR(ISNUMBER(SEARCH("week",C13)),ISNUMBER(SEARCH("minggu",C13))),IFERROR(_xlfn.NUMBERVALUE(SUBSTITUTE(LEFT(TRIM(C13),FIND(" ",TRIM(C13)&amp;" ")-1),",","."),"."),LEFT(SUBSTITUTE(LEFT(TRIM(C13),FIND(" ",TRIM(C13)&amp;" ")-1),",","."),FIND("/",SUBSTITUTE(LEFT(TRIM(C13),FIND(" ",TRIM(C13)&amp;" ")-1),",","."))-1)/MID(SUBSTITUTE(LEFT(TRIM(C13),FIND(" ",TRIM(C13)&amp;" ")-1),",","."),FIND("/",SUBSTITUTE(LEFT(TRIM(C13),FIND(" ",TRIM(C13)&amp;" ")-1),",","."))+1,9))*12/52,IF(ISNUMBER(SEARCH("month",C13)),IFERROR(_xlfn.NUMBERVALUE(SUBSTITUTE(LEFT(TRIM(C13),FIND(" ",TRIM(C13)&amp;" ")-1),",","."),"."),LEFT(SUBSTITUTE(LEFT(TRIM(C13),FIND(" ",TRIM(C13)&amp;" ")-1),",","."),FIND("/",SUBSTITUTE(LEFT(TRIM(C13),FIND(" ",TRIM(C13)&amp;" ")-1),",","."))-1)/MID(SUBSTITUTE(LEFT(TRIM(C13),FIND(" ",TRIM(C13)&amp;" ")-1),",","."),FIND("/",SUBSTITUTE(LEFT(TRIM(C13),FIND(" ",TRIM(C13)&amp;" ")-1),",","."))+1,9)),IF(ISNUMBER(SEARCH("yea",C13)),IFERROR(_xlfn.NUMBERVALUE(SUBSTITUTE(LEFT(TRIM(C13),FIND(" ",TRIM(C13)&amp;" ")-1),",","."),"."),LEFT(SUBSTITUTE(LEFT(TRIM(C13),FIND(" ",TRIM(C13)&amp;" ")-1),",","."),FIND("/",SUBSTITUTE(LEFT(TRIM(C13),FIND(" ",TRIM(C13)&amp;" ")-1),",","."))-1)/MID(SUBSTITUTE(LEFT(TRIM(C13),FIND(" ",TRIM(C13)&amp;" ")-1),",","."),FIND("/",SUBSTITUTE(LEFT(TRIM(C13),FIND(" ",TRIM(C13)&amp;" ")-1),",","."))+1,9))*12,NA()))),0),24)*'Aturan &amp; Tarif'!$B$4,2)</f>
        <v>1362.72</v>
      </c>
      <c r="K13" s="32" t="n">
        <f aca="false">'Aturan &amp; Tarif'!$B$5</f>
        <v>2050</v>
      </c>
      <c r="L13" s="35" t="n">
        <f aca="false">I13+J13+K13</f>
        <v>6287.72</v>
      </c>
      <c r="M13" s="37" t="s">
        <v>134</v>
      </c>
    </row>
    <row r="14" customFormat="false" ht="14.25" hidden="false" customHeight="true" outlineLevel="0" collapsed="false">
      <c r="A14" s="29"/>
      <c r="B14" s="30" t="s">
        <v>1172</v>
      </c>
      <c r="C14" s="31" t="s">
        <v>107</v>
      </c>
      <c r="D14" s="31" t="s">
        <v>108</v>
      </c>
      <c r="E14" s="32" t="n">
        <v>2500</v>
      </c>
      <c r="F14" s="32" t="n">
        <v>50</v>
      </c>
      <c r="G14" s="32" t="n">
        <v>250</v>
      </c>
      <c r="H14" s="33" t="n">
        <v>1</v>
      </c>
      <c r="I14" s="34" t="n">
        <f aca="false">E14*H14+N(F14)+N(G14)</f>
        <v>2800</v>
      </c>
      <c r="J14" s="32" t="n">
        <f aca="false">ROUND(IFERROR(ROUND(IF(OR(ISNUMBER(SEARCH("week",C14)),ISNUMBER(SEARCH("minggu",C14))),IFERROR(_xlfn.NUMBERVALUE(SUBSTITUTE(LEFT(TRIM(C14),FIND(" ",TRIM(C14)&amp;" ")-1),",","."),"."),LEFT(SUBSTITUTE(LEFT(TRIM(C14),FIND(" ",TRIM(C14)&amp;" ")-1),",","."),FIND("/",SUBSTITUTE(LEFT(TRIM(C14),FIND(" ",TRIM(C14)&amp;" ")-1),",","."))-1)/MID(SUBSTITUTE(LEFT(TRIM(C14),FIND(" ",TRIM(C14)&amp;" ")-1),",","."),FIND("/",SUBSTITUTE(LEFT(TRIM(C14),FIND(" ",TRIM(C14)&amp;" ")-1),",","."))+1,9))*12/52,IF(ISNUMBER(SEARCH("month",C14)),IFERROR(_xlfn.NUMBERVALUE(SUBSTITUTE(LEFT(TRIM(C14),FIND(" ",TRIM(C14)&amp;" ")-1),",","."),"."),LEFT(SUBSTITUTE(LEFT(TRIM(C14),FIND(" ",TRIM(C14)&amp;" ")-1),",","."),FIND("/",SUBSTITUTE(LEFT(TRIM(C14),FIND(" ",TRIM(C14)&amp;" ")-1),",","."))-1)/MID(SUBSTITUTE(LEFT(TRIM(C14),FIND(" ",TRIM(C14)&amp;" ")-1),",","."),FIND("/",SUBSTITUTE(LEFT(TRIM(C14),FIND(" ",TRIM(C14)&amp;" ")-1),",","."))+1,9)),IF(ISNUMBER(SEARCH("yea",C14)),IFERROR(_xlfn.NUMBERVALUE(SUBSTITUTE(LEFT(TRIM(C14),FIND(" ",TRIM(C14)&amp;" ")-1),",","."),"."),LEFT(SUBSTITUTE(LEFT(TRIM(C14),FIND(" ",TRIM(C14)&amp;" ")-1),",","."),FIND("/",SUBSTITUTE(LEFT(TRIM(C14),FIND(" ",TRIM(C14)&amp;" ")-1),",","."))-1)/MID(SUBSTITUTE(LEFT(TRIM(C14),FIND(" ",TRIM(C14)&amp;" ")-1),",","."),FIND("/",SUBSTITUTE(LEFT(TRIM(C14),FIND(" ",TRIM(C14)&amp;" ")-1),",","."))+1,9))*12,NA()))),0),24)*'Aturan &amp; Tarif'!$B$4,2)</f>
        <v>1362.72</v>
      </c>
      <c r="K14" s="32" t="n">
        <f aca="false">'Aturan &amp; Tarif'!$B$5</f>
        <v>2050</v>
      </c>
      <c r="L14" s="35" t="n">
        <f aca="false">I14+J14+K14</f>
        <v>6212.72</v>
      </c>
      <c r="M14" s="37" t="s">
        <v>134</v>
      </c>
    </row>
    <row r="15" customFormat="false" ht="370.5" hidden="false" customHeight="true" outlineLevel="0" collapsed="false">
      <c r="A15" s="29" t="s">
        <v>1173</v>
      </c>
      <c r="B15" s="30" t="s">
        <v>1174</v>
      </c>
      <c r="C15" s="31" t="s">
        <v>127</v>
      </c>
      <c r="D15" s="31" t="s">
        <v>108</v>
      </c>
      <c r="E15" s="32" t="n">
        <v>13050</v>
      </c>
      <c r="F15" s="32"/>
      <c r="G15" s="32" t="n">
        <v>150</v>
      </c>
      <c r="H15" s="33" t="n">
        <v>2</v>
      </c>
      <c r="I15" s="34" t="n">
        <f aca="false">E15*H15+N(F15)+N(G15)</f>
        <v>26250</v>
      </c>
      <c r="J15" s="32" t="n">
        <f aca="false">ROUND(IFERROR(ROUND(IF(OR(ISNUMBER(SEARCH("week",C15)),ISNUMBER(SEARCH("minggu",C15))),IFERROR(_xlfn.NUMBERVALUE(SUBSTITUTE(LEFT(TRIM(C15),FIND(" ",TRIM(C15)&amp;" ")-1),",","."),"."),LEFT(SUBSTITUTE(LEFT(TRIM(C15),FIND(" ",TRIM(C15)&amp;" ")-1),",","."),FIND("/",SUBSTITUTE(LEFT(TRIM(C15),FIND(" ",TRIM(C15)&amp;" ")-1),",","."))-1)/MID(SUBSTITUTE(LEFT(TRIM(C15),FIND(" ",TRIM(C15)&amp;" ")-1),",","."),FIND("/",SUBSTITUTE(LEFT(TRIM(C15),FIND(" ",TRIM(C15)&amp;" ")-1),",","."))+1,9))*12/52,IF(ISNUMBER(SEARCH("month",C15)),IFERROR(_xlfn.NUMBERVALUE(SUBSTITUTE(LEFT(TRIM(C15),FIND(" ",TRIM(C15)&amp;" ")-1),",","."),"."),LEFT(SUBSTITUTE(LEFT(TRIM(C15),FIND(" ",TRIM(C15)&amp;" ")-1),",","."),FIND("/",SUBSTITUTE(LEFT(TRIM(C15),FIND(" ",TRIM(C15)&amp;" ")-1),",","."))-1)/MID(SUBSTITUTE(LEFT(TRIM(C15),FIND(" ",TRIM(C15)&amp;" ")-1),",","."),FIND("/",SUBSTITUTE(LEFT(TRIM(C15),FIND(" ",TRIM(C15)&amp;" ")-1),",","."))+1,9)),IF(ISNUMBER(SEARCH("yea",C15)),IFERROR(_xlfn.NUMBERVALUE(SUBSTITUTE(LEFT(TRIM(C15),FIND(" ",TRIM(C15)&amp;" ")-1),",","."),"."),LEFT(SUBSTITUTE(LEFT(TRIM(C15),FIND(" ",TRIM(C15)&amp;" ")-1),",","."),FIND("/",SUBSTITUTE(LEFT(TRIM(C15),FIND(" ",TRIM(C15)&amp;" ")-1),",","."))-1)/MID(SUBSTITUTE(LEFT(TRIM(C15),FIND(" ",TRIM(C15)&amp;" ")-1),",","."),FIND("/",SUBSTITUTE(LEFT(TRIM(C15),FIND(" ",TRIM(C15)&amp;" ")-1),",","."))+1,9))*12,NA()))),0),36)*'Aturan &amp; Tarif'!$B$4,2)</f>
        <v>2044.08</v>
      </c>
      <c r="K15" s="32" t="n">
        <f aca="false">'Aturan &amp; Tarif'!$B$5</f>
        <v>2050</v>
      </c>
      <c r="L15" s="35" t="n">
        <f aca="false">I15+J15+K15</f>
        <v>30344.08</v>
      </c>
      <c r="M15" s="37" t="s">
        <v>1175</v>
      </c>
    </row>
    <row r="16" customFormat="false" ht="25.5" hidden="false" customHeight="true" outlineLevel="0" collapsed="false">
      <c r="A16" s="29"/>
      <c r="B16" s="30" t="s">
        <v>1176</v>
      </c>
      <c r="C16" s="31" t="s">
        <v>127</v>
      </c>
      <c r="D16" s="31" t="s">
        <v>108</v>
      </c>
      <c r="E16" s="32" t="n">
        <v>13050</v>
      </c>
      <c r="F16" s="32"/>
      <c r="G16" s="32" t="n">
        <v>150</v>
      </c>
      <c r="H16" s="33" t="n">
        <v>2</v>
      </c>
      <c r="I16" s="34" t="n">
        <f aca="false">E16*H16+N(F16)+N(G16)</f>
        <v>26250</v>
      </c>
      <c r="J16" s="32" t="n">
        <f aca="false">ROUND(IFERROR(ROUND(IF(OR(ISNUMBER(SEARCH("week",C16)),ISNUMBER(SEARCH("minggu",C16))),IFERROR(_xlfn.NUMBERVALUE(SUBSTITUTE(LEFT(TRIM(C16),FIND(" ",TRIM(C16)&amp;" ")-1),",","."),"."),LEFT(SUBSTITUTE(LEFT(TRIM(C16),FIND(" ",TRIM(C16)&amp;" ")-1),",","."),FIND("/",SUBSTITUTE(LEFT(TRIM(C16),FIND(" ",TRIM(C16)&amp;" ")-1),",","."))-1)/MID(SUBSTITUTE(LEFT(TRIM(C16),FIND(" ",TRIM(C16)&amp;" ")-1),",","."),FIND("/",SUBSTITUTE(LEFT(TRIM(C16),FIND(" ",TRIM(C16)&amp;" ")-1),",","."))+1,9))*12/52,IF(ISNUMBER(SEARCH("month",C16)),IFERROR(_xlfn.NUMBERVALUE(SUBSTITUTE(LEFT(TRIM(C16),FIND(" ",TRIM(C16)&amp;" ")-1),",","."),"."),LEFT(SUBSTITUTE(LEFT(TRIM(C16),FIND(" ",TRIM(C16)&amp;" ")-1),",","."),FIND("/",SUBSTITUTE(LEFT(TRIM(C16),FIND(" ",TRIM(C16)&amp;" ")-1),",","."))-1)/MID(SUBSTITUTE(LEFT(TRIM(C16),FIND(" ",TRIM(C16)&amp;" ")-1),",","."),FIND("/",SUBSTITUTE(LEFT(TRIM(C16),FIND(" ",TRIM(C16)&amp;" ")-1),",","."))+1,9)),IF(ISNUMBER(SEARCH("yea",C16)),IFERROR(_xlfn.NUMBERVALUE(SUBSTITUTE(LEFT(TRIM(C16),FIND(" ",TRIM(C16)&amp;" ")-1),",","."),"."),LEFT(SUBSTITUTE(LEFT(TRIM(C16),FIND(" ",TRIM(C16)&amp;" ")-1),",","."),FIND("/",SUBSTITUTE(LEFT(TRIM(C16),FIND(" ",TRIM(C16)&amp;" ")-1),",","."))-1)/MID(SUBSTITUTE(LEFT(TRIM(C16),FIND(" ",TRIM(C16)&amp;" ")-1),",","."),FIND("/",SUBSTITUTE(LEFT(TRIM(C16),FIND(" ",TRIM(C16)&amp;" ")-1),",","."))+1,9))*12,NA()))),0),36)*'Aturan &amp; Tarif'!$B$4,2)</f>
        <v>2044.08</v>
      </c>
      <c r="K16" s="32" t="n">
        <f aca="false">'Aturan &amp; Tarif'!$B$5</f>
        <v>2050</v>
      </c>
      <c r="L16" s="35" t="n">
        <f aca="false">I16+J16+K16</f>
        <v>30344.08</v>
      </c>
      <c r="M16" s="37" t="s">
        <v>1175</v>
      </c>
    </row>
    <row r="17" customFormat="false" ht="25.5" hidden="false" customHeight="true" outlineLevel="0" collapsed="false">
      <c r="A17" s="29"/>
      <c r="B17" s="30" t="s">
        <v>1177</v>
      </c>
      <c r="C17" s="31" t="s">
        <v>127</v>
      </c>
      <c r="D17" s="31" t="s">
        <v>108</v>
      </c>
      <c r="E17" s="32" t="n">
        <v>13050</v>
      </c>
      <c r="F17" s="32"/>
      <c r="G17" s="32" t="n">
        <v>150</v>
      </c>
      <c r="H17" s="33" t="n">
        <v>2</v>
      </c>
      <c r="I17" s="34" t="n">
        <f aca="false">E17*H17+N(F17)+N(G17)</f>
        <v>26250</v>
      </c>
      <c r="J17" s="32" t="n">
        <f aca="false">ROUND(IFERROR(ROUND(IF(OR(ISNUMBER(SEARCH("week",C17)),ISNUMBER(SEARCH("minggu",C17))),IFERROR(_xlfn.NUMBERVALUE(SUBSTITUTE(LEFT(TRIM(C17),FIND(" ",TRIM(C17)&amp;" ")-1),",","."),"."),LEFT(SUBSTITUTE(LEFT(TRIM(C17),FIND(" ",TRIM(C17)&amp;" ")-1),",","."),FIND("/",SUBSTITUTE(LEFT(TRIM(C17),FIND(" ",TRIM(C17)&amp;" ")-1),",","."))-1)/MID(SUBSTITUTE(LEFT(TRIM(C17),FIND(" ",TRIM(C17)&amp;" ")-1),",","."),FIND("/",SUBSTITUTE(LEFT(TRIM(C17),FIND(" ",TRIM(C17)&amp;" ")-1),",","."))+1,9))*12/52,IF(ISNUMBER(SEARCH("month",C17)),IFERROR(_xlfn.NUMBERVALUE(SUBSTITUTE(LEFT(TRIM(C17),FIND(" ",TRIM(C17)&amp;" ")-1),",","."),"."),LEFT(SUBSTITUTE(LEFT(TRIM(C17),FIND(" ",TRIM(C17)&amp;" ")-1),",","."),FIND("/",SUBSTITUTE(LEFT(TRIM(C17),FIND(" ",TRIM(C17)&amp;" ")-1),",","."))-1)/MID(SUBSTITUTE(LEFT(TRIM(C17),FIND(" ",TRIM(C17)&amp;" ")-1),",","."),FIND("/",SUBSTITUTE(LEFT(TRIM(C17),FIND(" ",TRIM(C17)&amp;" ")-1),",","."))+1,9)),IF(ISNUMBER(SEARCH("yea",C17)),IFERROR(_xlfn.NUMBERVALUE(SUBSTITUTE(LEFT(TRIM(C17),FIND(" ",TRIM(C17)&amp;" ")-1),",","."),"."),LEFT(SUBSTITUTE(LEFT(TRIM(C17),FIND(" ",TRIM(C17)&amp;" ")-1),",","."),FIND("/",SUBSTITUTE(LEFT(TRIM(C17),FIND(" ",TRIM(C17)&amp;" ")-1),",","."))-1)/MID(SUBSTITUTE(LEFT(TRIM(C17),FIND(" ",TRIM(C17)&amp;" ")-1),",","."),FIND("/",SUBSTITUTE(LEFT(TRIM(C17),FIND(" ",TRIM(C17)&amp;" ")-1),",","."))+1,9))*12,NA()))),0),36)*'Aturan &amp; Tarif'!$B$4,2)</f>
        <v>2044.08</v>
      </c>
      <c r="K17" s="32" t="n">
        <f aca="false">'Aturan &amp; Tarif'!$B$5</f>
        <v>2050</v>
      </c>
      <c r="L17" s="35" t="n">
        <f aca="false">I17+J17+K17</f>
        <v>30344.08</v>
      </c>
      <c r="M17" s="37" t="s">
        <v>1175</v>
      </c>
    </row>
    <row r="18" customFormat="false" ht="25.5" hidden="false" customHeight="true" outlineLevel="0" collapsed="false">
      <c r="A18" s="29"/>
      <c r="B18" s="30" t="s">
        <v>1178</v>
      </c>
      <c r="C18" s="31" t="s">
        <v>127</v>
      </c>
      <c r="D18" s="31" t="s">
        <v>108</v>
      </c>
      <c r="E18" s="32" t="n">
        <v>13050</v>
      </c>
      <c r="F18" s="32"/>
      <c r="G18" s="32" t="n">
        <v>150</v>
      </c>
      <c r="H18" s="33" t="n">
        <v>2</v>
      </c>
      <c r="I18" s="34" t="n">
        <f aca="false">E18*H18+N(F18)+N(G18)</f>
        <v>26250</v>
      </c>
      <c r="J18" s="32" t="n">
        <f aca="false">ROUND(IFERROR(ROUND(IF(OR(ISNUMBER(SEARCH("week",C18)),ISNUMBER(SEARCH("minggu",C18))),IFERROR(_xlfn.NUMBERVALUE(SUBSTITUTE(LEFT(TRIM(C18),FIND(" ",TRIM(C18)&amp;" ")-1),",","."),"."),LEFT(SUBSTITUTE(LEFT(TRIM(C18),FIND(" ",TRIM(C18)&amp;" ")-1),",","."),FIND("/",SUBSTITUTE(LEFT(TRIM(C18),FIND(" ",TRIM(C18)&amp;" ")-1),",","."))-1)/MID(SUBSTITUTE(LEFT(TRIM(C18),FIND(" ",TRIM(C18)&amp;" ")-1),",","."),FIND("/",SUBSTITUTE(LEFT(TRIM(C18),FIND(" ",TRIM(C18)&amp;" ")-1),",","."))+1,9))*12/52,IF(ISNUMBER(SEARCH("month",C18)),IFERROR(_xlfn.NUMBERVALUE(SUBSTITUTE(LEFT(TRIM(C18),FIND(" ",TRIM(C18)&amp;" ")-1),",","."),"."),LEFT(SUBSTITUTE(LEFT(TRIM(C18),FIND(" ",TRIM(C18)&amp;" ")-1),",","."),FIND("/",SUBSTITUTE(LEFT(TRIM(C18),FIND(" ",TRIM(C18)&amp;" ")-1),",","."))-1)/MID(SUBSTITUTE(LEFT(TRIM(C18),FIND(" ",TRIM(C18)&amp;" ")-1),",","."),FIND("/",SUBSTITUTE(LEFT(TRIM(C18),FIND(" ",TRIM(C18)&amp;" ")-1),",","."))+1,9)),IF(ISNUMBER(SEARCH("yea",C18)),IFERROR(_xlfn.NUMBERVALUE(SUBSTITUTE(LEFT(TRIM(C18),FIND(" ",TRIM(C18)&amp;" ")-1),",","."),"."),LEFT(SUBSTITUTE(LEFT(TRIM(C18),FIND(" ",TRIM(C18)&amp;" ")-1),",","."),FIND("/",SUBSTITUTE(LEFT(TRIM(C18),FIND(" ",TRIM(C18)&amp;" ")-1),",","."))-1)/MID(SUBSTITUTE(LEFT(TRIM(C18),FIND(" ",TRIM(C18)&amp;" ")-1),",","."),FIND("/",SUBSTITUTE(LEFT(TRIM(C18),FIND(" ",TRIM(C18)&amp;" ")-1),",","."))+1,9))*12,NA()))),0),36)*'Aturan &amp; Tarif'!$B$4,2)</f>
        <v>2044.08</v>
      </c>
      <c r="K18" s="32" t="n">
        <f aca="false">'Aturan &amp; Tarif'!$B$5</f>
        <v>2050</v>
      </c>
      <c r="L18" s="35" t="n">
        <f aca="false">I18+J18+K18</f>
        <v>30344.08</v>
      </c>
      <c r="M18" s="37" t="s">
        <v>1175</v>
      </c>
    </row>
    <row r="19" customFormat="false" ht="14.25" hidden="false" customHeight="true" outlineLevel="0" collapsed="false">
      <c r="A19" s="29"/>
      <c r="B19" s="30" t="s">
        <v>1179</v>
      </c>
      <c r="C19" s="31" t="s">
        <v>127</v>
      </c>
      <c r="D19" s="31" t="s">
        <v>108</v>
      </c>
      <c r="E19" s="32" t="n">
        <v>13575</v>
      </c>
      <c r="F19" s="32"/>
      <c r="G19" s="32" t="n">
        <v>150</v>
      </c>
      <c r="H19" s="33" t="n">
        <v>2</v>
      </c>
      <c r="I19" s="34" t="n">
        <f aca="false">E19*H19+N(F19)+N(G19)</f>
        <v>27300</v>
      </c>
      <c r="J19" s="32" t="n">
        <f aca="false">ROUND(IFERROR(ROUND(IF(OR(ISNUMBER(SEARCH("week",C19)),ISNUMBER(SEARCH("minggu",C19))),IFERROR(_xlfn.NUMBERVALUE(SUBSTITUTE(LEFT(TRIM(C19),FIND(" ",TRIM(C19)&amp;" ")-1),",","."),"."),LEFT(SUBSTITUTE(LEFT(TRIM(C19),FIND(" ",TRIM(C19)&amp;" ")-1),",","."),FIND("/",SUBSTITUTE(LEFT(TRIM(C19),FIND(" ",TRIM(C19)&amp;" ")-1),",","."))-1)/MID(SUBSTITUTE(LEFT(TRIM(C19),FIND(" ",TRIM(C19)&amp;" ")-1),",","."),FIND("/",SUBSTITUTE(LEFT(TRIM(C19),FIND(" ",TRIM(C19)&amp;" ")-1),",","."))+1,9))*12/52,IF(ISNUMBER(SEARCH("month",C19)),IFERROR(_xlfn.NUMBERVALUE(SUBSTITUTE(LEFT(TRIM(C19),FIND(" ",TRIM(C19)&amp;" ")-1),",","."),"."),LEFT(SUBSTITUTE(LEFT(TRIM(C19),FIND(" ",TRIM(C19)&amp;" ")-1),",","."),FIND("/",SUBSTITUTE(LEFT(TRIM(C19),FIND(" ",TRIM(C19)&amp;" ")-1),",","."))-1)/MID(SUBSTITUTE(LEFT(TRIM(C19),FIND(" ",TRIM(C19)&amp;" ")-1),",","."),FIND("/",SUBSTITUTE(LEFT(TRIM(C19),FIND(" ",TRIM(C19)&amp;" ")-1),",","."))+1,9)),IF(ISNUMBER(SEARCH("yea",C19)),IFERROR(_xlfn.NUMBERVALUE(SUBSTITUTE(LEFT(TRIM(C19),FIND(" ",TRIM(C19)&amp;" ")-1),",","."),"."),LEFT(SUBSTITUTE(LEFT(TRIM(C19),FIND(" ",TRIM(C19)&amp;" ")-1),",","."),FIND("/",SUBSTITUTE(LEFT(TRIM(C19),FIND(" ",TRIM(C19)&amp;" ")-1),",","."))-1)/MID(SUBSTITUTE(LEFT(TRIM(C19),FIND(" ",TRIM(C19)&amp;" ")-1),",","."),FIND("/",SUBSTITUTE(LEFT(TRIM(C19),FIND(" ",TRIM(C19)&amp;" ")-1),",","."))+1,9))*12,NA()))),0),36)*'Aturan &amp; Tarif'!$B$4,2)</f>
        <v>2044.08</v>
      </c>
      <c r="K19" s="32" t="n">
        <f aca="false">'Aturan &amp; Tarif'!$B$5</f>
        <v>2050</v>
      </c>
      <c r="L19" s="35" t="n">
        <f aca="false">I19+J19+K19</f>
        <v>31394.08</v>
      </c>
      <c r="M19" s="37" t="s">
        <v>1180</v>
      </c>
    </row>
    <row r="20" customFormat="false" ht="25.5" hidden="false" customHeight="true" outlineLevel="0" collapsed="false">
      <c r="A20" s="29"/>
      <c r="B20" s="30" t="s">
        <v>1181</v>
      </c>
      <c r="C20" s="31" t="s">
        <v>127</v>
      </c>
      <c r="D20" s="31" t="s">
        <v>108</v>
      </c>
      <c r="E20" s="32" t="n">
        <v>13575</v>
      </c>
      <c r="F20" s="32"/>
      <c r="G20" s="32" t="n">
        <v>150</v>
      </c>
      <c r="H20" s="33" t="n">
        <v>2</v>
      </c>
      <c r="I20" s="34" t="n">
        <f aca="false">E20*H20+N(F20)+N(G20)</f>
        <v>27300</v>
      </c>
      <c r="J20" s="32" t="n">
        <f aca="false">ROUND(IFERROR(ROUND(IF(OR(ISNUMBER(SEARCH("week",C20)),ISNUMBER(SEARCH("minggu",C20))),IFERROR(_xlfn.NUMBERVALUE(SUBSTITUTE(LEFT(TRIM(C20),FIND(" ",TRIM(C20)&amp;" ")-1),",","."),"."),LEFT(SUBSTITUTE(LEFT(TRIM(C20),FIND(" ",TRIM(C20)&amp;" ")-1),",","."),FIND("/",SUBSTITUTE(LEFT(TRIM(C20),FIND(" ",TRIM(C20)&amp;" ")-1),",","."))-1)/MID(SUBSTITUTE(LEFT(TRIM(C20),FIND(" ",TRIM(C20)&amp;" ")-1),",","."),FIND("/",SUBSTITUTE(LEFT(TRIM(C20),FIND(" ",TRIM(C20)&amp;" ")-1),",","."))+1,9))*12/52,IF(ISNUMBER(SEARCH("month",C20)),IFERROR(_xlfn.NUMBERVALUE(SUBSTITUTE(LEFT(TRIM(C20),FIND(" ",TRIM(C20)&amp;" ")-1),",","."),"."),LEFT(SUBSTITUTE(LEFT(TRIM(C20),FIND(" ",TRIM(C20)&amp;" ")-1),",","."),FIND("/",SUBSTITUTE(LEFT(TRIM(C20),FIND(" ",TRIM(C20)&amp;" ")-1),",","."))-1)/MID(SUBSTITUTE(LEFT(TRIM(C20),FIND(" ",TRIM(C20)&amp;" ")-1),",","."),FIND("/",SUBSTITUTE(LEFT(TRIM(C20),FIND(" ",TRIM(C20)&amp;" ")-1),",","."))+1,9)),IF(ISNUMBER(SEARCH("yea",C20)),IFERROR(_xlfn.NUMBERVALUE(SUBSTITUTE(LEFT(TRIM(C20),FIND(" ",TRIM(C20)&amp;" ")-1),",","."),"."),LEFT(SUBSTITUTE(LEFT(TRIM(C20),FIND(" ",TRIM(C20)&amp;" ")-1),",","."),FIND("/",SUBSTITUTE(LEFT(TRIM(C20),FIND(" ",TRIM(C20)&amp;" ")-1),",","."))-1)/MID(SUBSTITUTE(LEFT(TRIM(C20),FIND(" ",TRIM(C20)&amp;" ")-1),",","."),FIND("/",SUBSTITUTE(LEFT(TRIM(C20),FIND(" ",TRIM(C20)&amp;" ")-1),",","."))+1,9))*12,NA()))),0),36)*'Aturan &amp; Tarif'!$B$4,2)</f>
        <v>2044.08</v>
      </c>
      <c r="K20" s="32" t="n">
        <f aca="false">'Aturan &amp; Tarif'!$B$5</f>
        <v>2050</v>
      </c>
      <c r="L20" s="35" t="n">
        <f aca="false">I20+J20+K20</f>
        <v>31394.08</v>
      </c>
      <c r="M20" s="37" t="s">
        <v>1180</v>
      </c>
    </row>
    <row r="21" customFormat="false" ht="14.25" hidden="false" customHeight="true" outlineLevel="0" collapsed="false">
      <c r="A21" s="29"/>
      <c r="B21" s="30" t="s">
        <v>1182</v>
      </c>
      <c r="C21" s="31" t="s">
        <v>191</v>
      </c>
      <c r="D21" s="31" t="s">
        <v>108</v>
      </c>
      <c r="E21" s="32" t="n">
        <v>13575</v>
      </c>
      <c r="F21" s="32"/>
      <c r="G21" s="32" t="n">
        <v>150</v>
      </c>
      <c r="H21" s="33" t="n">
        <v>2</v>
      </c>
      <c r="I21" s="34" t="n">
        <f aca="false">E21*H21+N(F21)+N(G21)</f>
        <v>27300</v>
      </c>
      <c r="J21" s="32" t="n">
        <f aca="false">ROUND(IFERROR(ROUND(IF(OR(ISNUMBER(SEARCH("week",C21)),ISNUMBER(SEARCH("minggu",C21))),IFERROR(_xlfn.NUMBERVALUE(SUBSTITUTE(LEFT(TRIM(C21),FIND(" ",TRIM(C21)&amp;" ")-1),",","."),"."),LEFT(SUBSTITUTE(LEFT(TRIM(C21),FIND(" ",TRIM(C21)&amp;" ")-1),",","."),FIND("/",SUBSTITUTE(LEFT(TRIM(C21),FIND(" ",TRIM(C21)&amp;" ")-1),",","."))-1)/MID(SUBSTITUTE(LEFT(TRIM(C21),FIND(" ",TRIM(C21)&amp;" ")-1),",","."),FIND("/",SUBSTITUTE(LEFT(TRIM(C21),FIND(" ",TRIM(C21)&amp;" ")-1),",","."))+1,9))*12/52,IF(ISNUMBER(SEARCH("month",C21)),IFERROR(_xlfn.NUMBERVALUE(SUBSTITUTE(LEFT(TRIM(C21),FIND(" ",TRIM(C21)&amp;" ")-1),",","."),"."),LEFT(SUBSTITUTE(LEFT(TRIM(C21),FIND(" ",TRIM(C21)&amp;" ")-1),",","."),FIND("/",SUBSTITUTE(LEFT(TRIM(C21),FIND(" ",TRIM(C21)&amp;" ")-1),",","."))-1)/MID(SUBSTITUTE(LEFT(TRIM(C21),FIND(" ",TRIM(C21)&amp;" ")-1),",","."),FIND("/",SUBSTITUTE(LEFT(TRIM(C21),FIND(" ",TRIM(C21)&amp;" ")-1),",","."))+1,9)),IF(ISNUMBER(SEARCH("yea",C21)),IFERROR(_xlfn.NUMBERVALUE(SUBSTITUTE(LEFT(TRIM(C21),FIND(" ",TRIM(C21)&amp;" ")-1),",","."),"."),LEFT(SUBSTITUTE(LEFT(TRIM(C21),FIND(" ",TRIM(C21)&amp;" ")-1),",","."),FIND("/",SUBSTITUTE(LEFT(TRIM(C21),FIND(" ",TRIM(C21)&amp;" ")-1),",","."))-1)/MID(SUBSTITUTE(LEFT(TRIM(C21),FIND(" ",TRIM(C21)&amp;" ")-1),",","."),FIND("/",SUBSTITUTE(LEFT(TRIM(C21),FIND(" ",TRIM(C21)&amp;" ")-1),",","."))+1,9))*12,NA()))),0),48)*'Aturan &amp; Tarif'!$B$4,2)</f>
        <v>2725.44</v>
      </c>
      <c r="K21" s="32" t="n">
        <f aca="false">'Aturan &amp; Tarif'!$B$5</f>
        <v>2050</v>
      </c>
      <c r="L21" s="35" t="n">
        <f aca="false">I21+J21+K21</f>
        <v>32075.44</v>
      </c>
      <c r="M21" s="37" t="s">
        <v>846</v>
      </c>
    </row>
    <row r="22" customFormat="false" ht="25.5" hidden="false" customHeight="true" outlineLevel="0" collapsed="false">
      <c r="A22" s="29"/>
      <c r="B22" s="30" t="s">
        <v>1183</v>
      </c>
      <c r="C22" s="31" t="s">
        <v>127</v>
      </c>
      <c r="D22" s="31" t="s">
        <v>108</v>
      </c>
      <c r="E22" s="32" t="n">
        <v>11275</v>
      </c>
      <c r="F22" s="32"/>
      <c r="G22" s="32" t="n">
        <v>150</v>
      </c>
      <c r="H22" s="33" t="n">
        <v>2</v>
      </c>
      <c r="I22" s="34" t="n">
        <f aca="false">E22*H22+N(F22)+N(G22)</f>
        <v>22700</v>
      </c>
      <c r="J22" s="32" t="n">
        <f aca="false">ROUND(IFERROR(ROUND(IF(OR(ISNUMBER(SEARCH("week",C22)),ISNUMBER(SEARCH("minggu",C22))),IFERROR(_xlfn.NUMBERVALUE(SUBSTITUTE(LEFT(TRIM(C22),FIND(" ",TRIM(C22)&amp;" ")-1),",","."),"."),LEFT(SUBSTITUTE(LEFT(TRIM(C22),FIND(" ",TRIM(C22)&amp;" ")-1),",","."),FIND("/",SUBSTITUTE(LEFT(TRIM(C22),FIND(" ",TRIM(C22)&amp;" ")-1),",","."))-1)/MID(SUBSTITUTE(LEFT(TRIM(C22),FIND(" ",TRIM(C22)&amp;" ")-1),",","."),FIND("/",SUBSTITUTE(LEFT(TRIM(C22),FIND(" ",TRIM(C22)&amp;" ")-1),",","."))+1,9))*12/52,IF(ISNUMBER(SEARCH("month",C22)),IFERROR(_xlfn.NUMBERVALUE(SUBSTITUTE(LEFT(TRIM(C22),FIND(" ",TRIM(C22)&amp;" ")-1),",","."),"."),LEFT(SUBSTITUTE(LEFT(TRIM(C22),FIND(" ",TRIM(C22)&amp;" ")-1),",","."),FIND("/",SUBSTITUTE(LEFT(TRIM(C22),FIND(" ",TRIM(C22)&amp;" ")-1),",","."))-1)/MID(SUBSTITUTE(LEFT(TRIM(C22),FIND(" ",TRIM(C22)&amp;" ")-1),",","."),FIND("/",SUBSTITUTE(LEFT(TRIM(C22),FIND(" ",TRIM(C22)&amp;" ")-1),",","."))+1,9)),IF(ISNUMBER(SEARCH("yea",C22)),IFERROR(_xlfn.NUMBERVALUE(SUBSTITUTE(LEFT(TRIM(C22),FIND(" ",TRIM(C22)&amp;" ")-1),",","."),"."),LEFT(SUBSTITUTE(LEFT(TRIM(C22),FIND(" ",TRIM(C22)&amp;" ")-1),",","."),FIND("/",SUBSTITUTE(LEFT(TRIM(C22),FIND(" ",TRIM(C22)&amp;" ")-1),",","."))-1)/MID(SUBSTITUTE(LEFT(TRIM(C22),FIND(" ",TRIM(C22)&amp;" ")-1),",","."),FIND("/",SUBSTITUTE(LEFT(TRIM(C22),FIND(" ",TRIM(C22)&amp;" ")-1),",","."))+1,9))*12,NA()))),0),36)*'Aturan &amp; Tarif'!$B$4,2)</f>
        <v>2044.08</v>
      </c>
      <c r="K22" s="32" t="n">
        <f aca="false">'Aturan &amp; Tarif'!$B$5</f>
        <v>2050</v>
      </c>
      <c r="L22" s="35" t="n">
        <f aca="false">I22+J22+K22</f>
        <v>26794.08</v>
      </c>
      <c r="M22" s="37" t="s">
        <v>846</v>
      </c>
    </row>
    <row r="23" customFormat="false" ht="14.25" hidden="false" customHeight="true" outlineLevel="0" collapsed="false">
      <c r="A23" s="29"/>
      <c r="B23" s="30" t="s">
        <v>1184</v>
      </c>
      <c r="C23" s="31" t="s">
        <v>127</v>
      </c>
      <c r="D23" s="31" t="s">
        <v>108</v>
      </c>
      <c r="E23" s="32" t="n">
        <v>14275</v>
      </c>
      <c r="F23" s="32"/>
      <c r="G23" s="32" t="n">
        <v>150</v>
      </c>
      <c r="H23" s="33" t="n">
        <v>2</v>
      </c>
      <c r="I23" s="34" t="n">
        <f aca="false">E23*H23+N(F23)+N(G23)</f>
        <v>28700</v>
      </c>
      <c r="J23" s="32" t="n">
        <f aca="false">ROUND(IFERROR(ROUND(IF(OR(ISNUMBER(SEARCH("week",C23)),ISNUMBER(SEARCH("minggu",C23))),IFERROR(_xlfn.NUMBERVALUE(SUBSTITUTE(LEFT(TRIM(C23),FIND(" ",TRIM(C23)&amp;" ")-1),",","."),"."),LEFT(SUBSTITUTE(LEFT(TRIM(C23),FIND(" ",TRIM(C23)&amp;" ")-1),",","."),FIND("/",SUBSTITUTE(LEFT(TRIM(C23),FIND(" ",TRIM(C23)&amp;" ")-1),",","."))-1)/MID(SUBSTITUTE(LEFT(TRIM(C23),FIND(" ",TRIM(C23)&amp;" ")-1),",","."),FIND("/",SUBSTITUTE(LEFT(TRIM(C23),FIND(" ",TRIM(C23)&amp;" ")-1),",","."))+1,9))*12/52,IF(ISNUMBER(SEARCH("month",C23)),IFERROR(_xlfn.NUMBERVALUE(SUBSTITUTE(LEFT(TRIM(C23),FIND(" ",TRIM(C23)&amp;" ")-1),",","."),"."),LEFT(SUBSTITUTE(LEFT(TRIM(C23),FIND(" ",TRIM(C23)&amp;" ")-1),",","."),FIND("/",SUBSTITUTE(LEFT(TRIM(C23),FIND(" ",TRIM(C23)&amp;" ")-1),",","."))-1)/MID(SUBSTITUTE(LEFT(TRIM(C23),FIND(" ",TRIM(C23)&amp;" ")-1),",","."),FIND("/",SUBSTITUTE(LEFT(TRIM(C23),FIND(" ",TRIM(C23)&amp;" ")-1),",","."))+1,9)),IF(ISNUMBER(SEARCH("yea",C23)),IFERROR(_xlfn.NUMBERVALUE(SUBSTITUTE(LEFT(TRIM(C23),FIND(" ",TRIM(C23)&amp;" ")-1),",","."),"."),LEFT(SUBSTITUTE(LEFT(TRIM(C23),FIND(" ",TRIM(C23)&amp;" ")-1),",","."),FIND("/",SUBSTITUTE(LEFT(TRIM(C23),FIND(" ",TRIM(C23)&amp;" ")-1),",","."))-1)/MID(SUBSTITUTE(LEFT(TRIM(C23),FIND(" ",TRIM(C23)&amp;" ")-1),",","."),FIND("/",SUBSTITUTE(LEFT(TRIM(C23),FIND(" ",TRIM(C23)&amp;" ")-1),",","."))+1,9))*12,NA()))),0),36)*'Aturan &amp; Tarif'!$B$4,2)</f>
        <v>2044.08</v>
      </c>
      <c r="K23" s="32" t="n">
        <f aca="false">'Aturan &amp; Tarif'!$B$5</f>
        <v>2050</v>
      </c>
      <c r="L23" s="35" t="n">
        <f aca="false">I23+J23+K23</f>
        <v>32794.08</v>
      </c>
      <c r="M23" s="37" t="s">
        <v>1185</v>
      </c>
    </row>
    <row r="24" customFormat="false" ht="25.5" hidden="false" customHeight="true" outlineLevel="0" collapsed="false">
      <c r="A24" s="29"/>
      <c r="B24" s="30" t="s">
        <v>1186</v>
      </c>
      <c r="C24" s="31" t="s">
        <v>127</v>
      </c>
      <c r="D24" s="31" t="s">
        <v>108</v>
      </c>
      <c r="E24" s="32" t="n">
        <v>13850</v>
      </c>
      <c r="F24" s="32"/>
      <c r="G24" s="32" t="n">
        <v>150</v>
      </c>
      <c r="H24" s="33" t="n">
        <v>2</v>
      </c>
      <c r="I24" s="34" t="n">
        <f aca="false">E24*H24+N(F24)+N(G24)</f>
        <v>27850</v>
      </c>
      <c r="J24" s="32" t="n">
        <f aca="false">ROUND(IFERROR(ROUND(IF(OR(ISNUMBER(SEARCH("week",C24)),ISNUMBER(SEARCH("minggu",C24))),IFERROR(_xlfn.NUMBERVALUE(SUBSTITUTE(LEFT(TRIM(C24),FIND(" ",TRIM(C24)&amp;" ")-1),",","."),"."),LEFT(SUBSTITUTE(LEFT(TRIM(C24),FIND(" ",TRIM(C24)&amp;" ")-1),",","."),FIND("/",SUBSTITUTE(LEFT(TRIM(C24),FIND(" ",TRIM(C24)&amp;" ")-1),",","."))-1)/MID(SUBSTITUTE(LEFT(TRIM(C24),FIND(" ",TRIM(C24)&amp;" ")-1),",","."),FIND("/",SUBSTITUTE(LEFT(TRIM(C24),FIND(" ",TRIM(C24)&amp;" ")-1),",","."))+1,9))*12/52,IF(ISNUMBER(SEARCH("month",C24)),IFERROR(_xlfn.NUMBERVALUE(SUBSTITUTE(LEFT(TRIM(C24),FIND(" ",TRIM(C24)&amp;" ")-1),",","."),"."),LEFT(SUBSTITUTE(LEFT(TRIM(C24),FIND(" ",TRIM(C24)&amp;" ")-1),",","."),FIND("/",SUBSTITUTE(LEFT(TRIM(C24),FIND(" ",TRIM(C24)&amp;" ")-1),",","."))-1)/MID(SUBSTITUTE(LEFT(TRIM(C24),FIND(" ",TRIM(C24)&amp;" ")-1),",","."),FIND("/",SUBSTITUTE(LEFT(TRIM(C24),FIND(" ",TRIM(C24)&amp;" ")-1),",","."))+1,9)),IF(ISNUMBER(SEARCH("yea",C24)),IFERROR(_xlfn.NUMBERVALUE(SUBSTITUTE(LEFT(TRIM(C24),FIND(" ",TRIM(C24)&amp;" ")-1),",","."),"."),LEFT(SUBSTITUTE(LEFT(TRIM(C24),FIND(" ",TRIM(C24)&amp;" ")-1),",","."),FIND("/",SUBSTITUTE(LEFT(TRIM(C24),FIND(" ",TRIM(C24)&amp;" ")-1),",","."))-1)/MID(SUBSTITUTE(LEFT(TRIM(C24),FIND(" ",TRIM(C24)&amp;" ")-1),",","."),FIND("/",SUBSTITUTE(LEFT(TRIM(C24),FIND(" ",TRIM(C24)&amp;" ")-1),",","."))+1,9))*12,NA()))),0),36)*'Aturan &amp; Tarif'!$B$4,2)</f>
        <v>2044.08</v>
      </c>
      <c r="K24" s="32" t="n">
        <f aca="false">'Aturan &amp; Tarif'!$B$5</f>
        <v>2050</v>
      </c>
      <c r="L24" s="35" t="n">
        <f aca="false">I24+J24+K24</f>
        <v>31944.08</v>
      </c>
      <c r="M24" s="37" t="s">
        <v>1187</v>
      </c>
    </row>
    <row r="25" customFormat="false" ht="25.5" hidden="false" customHeight="true" outlineLevel="0" collapsed="false">
      <c r="A25" s="29"/>
      <c r="B25" s="30" t="s">
        <v>1188</v>
      </c>
      <c r="C25" s="31" t="s">
        <v>127</v>
      </c>
      <c r="D25" s="31" t="s">
        <v>108</v>
      </c>
      <c r="E25" s="32" t="n">
        <v>13850</v>
      </c>
      <c r="F25" s="32"/>
      <c r="G25" s="32" t="n">
        <v>150</v>
      </c>
      <c r="H25" s="33" t="n">
        <v>2</v>
      </c>
      <c r="I25" s="34" t="n">
        <f aca="false">E25*H25+N(F25)+N(G25)</f>
        <v>27850</v>
      </c>
      <c r="J25" s="32" t="n">
        <f aca="false">ROUND(IFERROR(ROUND(IF(OR(ISNUMBER(SEARCH("week",C25)),ISNUMBER(SEARCH("minggu",C25))),IFERROR(_xlfn.NUMBERVALUE(SUBSTITUTE(LEFT(TRIM(C25),FIND(" ",TRIM(C25)&amp;" ")-1),",","."),"."),LEFT(SUBSTITUTE(LEFT(TRIM(C25),FIND(" ",TRIM(C25)&amp;" ")-1),",","."),FIND("/",SUBSTITUTE(LEFT(TRIM(C25),FIND(" ",TRIM(C25)&amp;" ")-1),",","."))-1)/MID(SUBSTITUTE(LEFT(TRIM(C25),FIND(" ",TRIM(C25)&amp;" ")-1),",","."),FIND("/",SUBSTITUTE(LEFT(TRIM(C25),FIND(" ",TRIM(C25)&amp;" ")-1),",","."))+1,9))*12/52,IF(ISNUMBER(SEARCH("month",C25)),IFERROR(_xlfn.NUMBERVALUE(SUBSTITUTE(LEFT(TRIM(C25),FIND(" ",TRIM(C25)&amp;" ")-1),",","."),"."),LEFT(SUBSTITUTE(LEFT(TRIM(C25),FIND(" ",TRIM(C25)&amp;" ")-1),",","."),FIND("/",SUBSTITUTE(LEFT(TRIM(C25),FIND(" ",TRIM(C25)&amp;" ")-1),",","."))-1)/MID(SUBSTITUTE(LEFT(TRIM(C25),FIND(" ",TRIM(C25)&amp;" ")-1),",","."),FIND("/",SUBSTITUTE(LEFT(TRIM(C25),FIND(" ",TRIM(C25)&amp;" ")-1),",","."))+1,9)),IF(ISNUMBER(SEARCH("yea",C25)),IFERROR(_xlfn.NUMBERVALUE(SUBSTITUTE(LEFT(TRIM(C25),FIND(" ",TRIM(C25)&amp;" ")-1),",","."),"."),LEFT(SUBSTITUTE(LEFT(TRIM(C25),FIND(" ",TRIM(C25)&amp;" ")-1),",","."),FIND("/",SUBSTITUTE(LEFT(TRIM(C25),FIND(" ",TRIM(C25)&amp;" ")-1),",","."))-1)/MID(SUBSTITUTE(LEFT(TRIM(C25),FIND(" ",TRIM(C25)&amp;" ")-1),",","."),FIND("/",SUBSTITUTE(LEFT(TRIM(C25),FIND(" ",TRIM(C25)&amp;" ")-1),",","."))+1,9))*12,NA()))),0),36)*'Aturan &amp; Tarif'!$B$4,2)</f>
        <v>2044.08</v>
      </c>
      <c r="K25" s="32" t="n">
        <f aca="false">'Aturan &amp; Tarif'!$B$5</f>
        <v>2050</v>
      </c>
      <c r="L25" s="35" t="n">
        <f aca="false">I25+J25+K25</f>
        <v>31944.08</v>
      </c>
      <c r="M25" s="37" t="s">
        <v>1187</v>
      </c>
    </row>
    <row r="26" customFormat="false" ht="25.5" hidden="false" customHeight="true" outlineLevel="0" collapsed="false">
      <c r="A26" s="29"/>
      <c r="B26" s="30" t="s">
        <v>1189</v>
      </c>
      <c r="C26" s="31" t="s">
        <v>127</v>
      </c>
      <c r="D26" s="31" t="s">
        <v>108</v>
      </c>
      <c r="E26" s="32" t="n">
        <v>15425</v>
      </c>
      <c r="F26" s="32"/>
      <c r="G26" s="32" t="n">
        <v>150</v>
      </c>
      <c r="H26" s="33" t="n">
        <v>2</v>
      </c>
      <c r="I26" s="34" t="n">
        <f aca="false">E26*H26+N(F26)+N(G26)</f>
        <v>31000</v>
      </c>
      <c r="J26" s="32" t="n">
        <f aca="false">ROUND(IFERROR(ROUND(IF(OR(ISNUMBER(SEARCH("week",C26)),ISNUMBER(SEARCH("minggu",C26))),IFERROR(_xlfn.NUMBERVALUE(SUBSTITUTE(LEFT(TRIM(C26),FIND(" ",TRIM(C26)&amp;" ")-1),",","."),"."),LEFT(SUBSTITUTE(LEFT(TRIM(C26),FIND(" ",TRIM(C26)&amp;" ")-1),",","."),FIND("/",SUBSTITUTE(LEFT(TRIM(C26),FIND(" ",TRIM(C26)&amp;" ")-1),",","."))-1)/MID(SUBSTITUTE(LEFT(TRIM(C26),FIND(" ",TRIM(C26)&amp;" ")-1),",","."),FIND("/",SUBSTITUTE(LEFT(TRIM(C26),FIND(" ",TRIM(C26)&amp;" ")-1),",","."))+1,9))*12/52,IF(ISNUMBER(SEARCH("month",C26)),IFERROR(_xlfn.NUMBERVALUE(SUBSTITUTE(LEFT(TRIM(C26),FIND(" ",TRIM(C26)&amp;" ")-1),",","."),"."),LEFT(SUBSTITUTE(LEFT(TRIM(C26),FIND(" ",TRIM(C26)&amp;" ")-1),",","."),FIND("/",SUBSTITUTE(LEFT(TRIM(C26),FIND(" ",TRIM(C26)&amp;" ")-1),",","."))-1)/MID(SUBSTITUTE(LEFT(TRIM(C26),FIND(" ",TRIM(C26)&amp;" ")-1),",","."),FIND("/",SUBSTITUTE(LEFT(TRIM(C26),FIND(" ",TRIM(C26)&amp;" ")-1),",","."))+1,9)),IF(ISNUMBER(SEARCH("yea",C26)),IFERROR(_xlfn.NUMBERVALUE(SUBSTITUTE(LEFT(TRIM(C26),FIND(" ",TRIM(C26)&amp;" ")-1),",","."),"."),LEFT(SUBSTITUTE(LEFT(TRIM(C26),FIND(" ",TRIM(C26)&amp;" ")-1),",","."),FIND("/",SUBSTITUTE(LEFT(TRIM(C26),FIND(" ",TRIM(C26)&amp;" ")-1),",","."))-1)/MID(SUBSTITUTE(LEFT(TRIM(C26),FIND(" ",TRIM(C26)&amp;" ")-1),",","."),FIND("/",SUBSTITUTE(LEFT(TRIM(C26),FIND(" ",TRIM(C26)&amp;" ")-1),",","."))+1,9))*12,NA()))),0),36)*'Aturan &amp; Tarif'!$B$4,2)</f>
        <v>2044.08</v>
      </c>
      <c r="K26" s="32" t="n">
        <f aca="false">'Aturan &amp; Tarif'!$B$5</f>
        <v>2050</v>
      </c>
      <c r="L26" s="35" t="n">
        <f aca="false">I26+J26+K26</f>
        <v>35094.08</v>
      </c>
      <c r="M26" s="37" t="s">
        <v>846</v>
      </c>
    </row>
    <row r="27" customFormat="false" ht="14.25" hidden="false" customHeight="true" outlineLevel="0" collapsed="false">
      <c r="A27" s="29"/>
      <c r="B27" s="30" t="s">
        <v>1190</v>
      </c>
      <c r="C27" s="31" t="s">
        <v>127</v>
      </c>
      <c r="D27" s="31" t="s">
        <v>108</v>
      </c>
      <c r="E27" s="32" t="n">
        <v>14725</v>
      </c>
      <c r="F27" s="32"/>
      <c r="G27" s="32" t="n">
        <v>150</v>
      </c>
      <c r="H27" s="33" t="n">
        <v>2</v>
      </c>
      <c r="I27" s="34" t="n">
        <f aca="false">E27*H27+N(F27)+N(G27)</f>
        <v>29600</v>
      </c>
      <c r="J27" s="32" t="n">
        <f aca="false">ROUND(IFERROR(ROUND(IF(OR(ISNUMBER(SEARCH("week",C27)),ISNUMBER(SEARCH("minggu",C27))),IFERROR(_xlfn.NUMBERVALUE(SUBSTITUTE(LEFT(TRIM(C27),FIND(" ",TRIM(C27)&amp;" ")-1),",","."),"."),LEFT(SUBSTITUTE(LEFT(TRIM(C27),FIND(" ",TRIM(C27)&amp;" ")-1),",","."),FIND("/",SUBSTITUTE(LEFT(TRIM(C27),FIND(" ",TRIM(C27)&amp;" ")-1),",","."))-1)/MID(SUBSTITUTE(LEFT(TRIM(C27),FIND(" ",TRIM(C27)&amp;" ")-1),",","."),FIND("/",SUBSTITUTE(LEFT(TRIM(C27),FIND(" ",TRIM(C27)&amp;" ")-1),",","."))+1,9))*12/52,IF(ISNUMBER(SEARCH("month",C27)),IFERROR(_xlfn.NUMBERVALUE(SUBSTITUTE(LEFT(TRIM(C27),FIND(" ",TRIM(C27)&amp;" ")-1),",","."),"."),LEFT(SUBSTITUTE(LEFT(TRIM(C27),FIND(" ",TRIM(C27)&amp;" ")-1),",","."),FIND("/",SUBSTITUTE(LEFT(TRIM(C27),FIND(" ",TRIM(C27)&amp;" ")-1),",","."))-1)/MID(SUBSTITUTE(LEFT(TRIM(C27),FIND(" ",TRIM(C27)&amp;" ")-1),",","."),FIND("/",SUBSTITUTE(LEFT(TRIM(C27),FIND(" ",TRIM(C27)&amp;" ")-1),",","."))+1,9)),IF(ISNUMBER(SEARCH("yea",C27)),IFERROR(_xlfn.NUMBERVALUE(SUBSTITUTE(LEFT(TRIM(C27),FIND(" ",TRIM(C27)&amp;" ")-1),",","."),"."),LEFT(SUBSTITUTE(LEFT(TRIM(C27),FIND(" ",TRIM(C27)&amp;" ")-1),",","."),FIND("/",SUBSTITUTE(LEFT(TRIM(C27),FIND(" ",TRIM(C27)&amp;" ")-1),",","."))-1)/MID(SUBSTITUTE(LEFT(TRIM(C27),FIND(" ",TRIM(C27)&amp;" ")-1),",","."),FIND("/",SUBSTITUTE(LEFT(TRIM(C27),FIND(" ",TRIM(C27)&amp;" ")-1),",","."))+1,9))*12,NA()))),0),36)*'Aturan &amp; Tarif'!$B$4,2)</f>
        <v>2044.08</v>
      </c>
      <c r="K27" s="32" t="n">
        <f aca="false">'Aturan &amp; Tarif'!$B$5</f>
        <v>2050</v>
      </c>
      <c r="L27" s="35" t="n">
        <f aca="false">I27+J27+K27</f>
        <v>33694.08</v>
      </c>
      <c r="M27" s="37" t="s">
        <v>846</v>
      </c>
    </row>
    <row r="28" customFormat="false" ht="14.25" hidden="false" customHeight="true" outlineLevel="0" collapsed="false">
      <c r="A28" s="29"/>
      <c r="B28" s="30" t="s">
        <v>1191</v>
      </c>
      <c r="C28" s="31" t="s">
        <v>191</v>
      </c>
      <c r="D28" s="31" t="s">
        <v>108</v>
      </c>
      <c r="E28" s="32" t="n">
        <v>14275</v>
      </c>
      <c r="F28" s="32"/>
      <c r="G28" s="32" t="n">
        <v>150</v>
      </c>
      <c r="H28" s="33" t="n">
        <v>2</v>
      </c>
      <c r="I28" s="34" t="n">
        <f aca="false">E28*H28+N(F28)+N(G28)</f>
        <v>28700</v>
      </c>
      <c r="J28" s="32" t="n">
        <f aca="false">ROUND(IFERROR(ROUND(IF(OR(ISNUMBER(SEARCH("week",C28)),ISNUMBER(SEARCH("minggu",C28))),IFERROR(_xlfn.NUMBERVALUE(SUBSTITUTE(LEFT(TRIM(C28),FIND(" ",TRIM(C28)&amp;" ")-1),",","."),"."),LEFT(SUBSTITUTE(LEFT(TRIM(C28),FIND(" ",TRIM(C28)&amp;" ")-1),",","."),FIND("/",SUBSTITUTE(LEFT(TRIM(C28),FIND(" ",TRIM(C28)&amp;" ")-1),",","."))-1)/MID(SUBSTITUTE(LEFT(TRIM(C28),FIND(" ",TRIM(C28)&amp;" ")-1),",","."),FIND("/",SUBSTITUTE(LEFT(TRIM(C28),FIND(" ",TRIM(C28)&amp;" ")-1),",","."))+1,9))*12/52,IF(ISNUMBER(SEARCH("month",C28)),IFERROR(_xlfn.NUMBERVALUE(SUBSTITUTE(LEFT(TRIM(C28),FIND(" ",TRIM(C28)&amp;" ")-1),",","."),"."),LEFT(SUBSTITUTE(LEFT(TRIM(C28),FIND(" ",TRIM(C28)&amp;" ")-1),",","."),FIND("/",SUBSTITUTE(LEFT(TRIM(C28),FIND(" ",TRIM(C28)&amp;" ")-1),",","."))-1)/MID(SUBSTITUTE(LEFT(TRIM(C28),FIND(" ",TRIM(C28)&amp;" ")-1),",","."),FIND("/",SUBSTITUTE(LEFT(TRIM(C28),FIND(" ",TRIM(C28)&amp;" ")-1),",","."))+1,9)),IF(ISNUMBER(SEARCH("yea",C28)),IFERROR(_xlfn.NUMBERVALUE(SUBSTITUTE(LEFT(TRIM(C28),FIND(" ",TRIM(C28)&amp;" ")-1),",","."),"."),LEFT(SUBSTITUTE(LEFT(TRIM(C28),FIND(" ",TRIM(C28)&amp;" ")-1),",","."),FIND("/",SUBSTITUTE(LEFT(TRIM(C28),FIND(" ",TRIM(C28)&amp;" ")-1),",","."))-1)/MID(SUBSTITUTE(LEFT(TRIM(C28),FIND(" ",TRIM(C28)&amp;" ")-1),",","."),FIND("/",SUBSTITUTE(LEFT(TRIM(C28),FIND(" ",TRIM(C28)&amp;" ")-1),",","."))+1,9))*12,NA()))),0),48)*'Aturan &amp; Tarif'!$B$4,2)</f>
        <v>2725.44</v>
      </c>
      <c r="K28" s="32" t="n">
        <f aca="false">'Aturan &amp; Tarif'!$B$5</f>
        <v>2050</v>
      </c>
      <c r="L28" s="35" t="n">
        <f aca="false">I28+J28+K28</f>
        <v>33475.44</v>
      </c>
      <c r="M28" s="37" t="s">
        <v>846</v>
      </c>
    </row>
    <row r="29" customFormat="false" ht="25.5" hidden="false" customHeight="true" outlineLevel="0" collapsed="false">
      <c r="A29" s="29"/>
      <c r="B29" s="30" t="s">
        <v>1192</v>
      </c>
      <c r="C29" s="31" t="s">
        <v>191</v>
      </c>
      <c r="D29" s="31" t="s">
        <v>108</v>
      </c>
      <c r="E29" s="32" t="n">
        <v>14275</v>
      </c>
      <c r="F29" s="32"/>
      <c r="G29" s="32" t="n">
        <v>150</v>
      </c>
      <c r="H29" s="33" t="n">
        <v>2</v>
      </c>
      <c r="I29" s="34" t="n">
        <f aca="false">E29*H29+N(F29)+N(G29)</f>
        <v>28700</v>
      </c>
      <c r="J29" s="32" t="n">
        <f aca="false">ROUND(IFERROR(ROUND(IF(OR(ISNUMBER(SEARCH("week",C29)),ISNUMBER(SEARCH("minggu",C29))),IFERROR(_xlfn.NUMBERVALUE(SUBSTITUTE(LEFT(TRIM(C29),FIND(" ",TRIM(C29)&amp;" ")-1),",","."),"."),LEFT(SUBSTITUTE(LEFT(TRIM(C29),FIND(" ",TRIM(C29)&amp;" ")-1),",","."),FIND("/",SUBSTITUTE(LEFT(TRIM(C29),FIND(" ",TRIM(C29)&amp;" ")-1),",","."))-1)/MID(SUBSTITUTE(LEFT(TRIM(C29),FIND(" ",TRIM(C29)&amp;" ")-1),",","."),FIND("/",SUBSTITUTE(LEFT(TRIM(C29),FIND(" ",TRIM(C29)&amp;" ")-1),",","."))+1,9))*12/52,IF(ISNUMBER(SEARCH("month",C29)),IFERROR(_xlfn.NUMBERVALUE(SUBSTITUTE(LEFT(TRIM(C29),FIND(" ",TRIM(C29)&amp;" ")-1),",","."),"."),LEFT(SUBSTITUTE(LEFT(TRIM(C29),FIND(" ",TRIM(C29)&amp;" ")-1),",","."),FIND("/",SUBSTITUTE(LEFT(TRIM(C29),FIND(" ",TRIM(C29)&amp;" ")-1),",","."))-1)/MID(SUBSTITUTE(LEFT(TRIM(C29),FIND(" ",TRIM(C29)&amp;" ")-1),",","."),FIND("/",SUBSTITUTE(LEFT(TRIM(C29),FIND(" ",TRIM(C29)&amp;" ")-1),",","."))+1,9)),IF(ISNUMBER(SEARCH("yea",C29)),IFERROR(_xlfn.NUMBERVALUE(SUBSTITUTE(LEFT(TRIM(C29),FIND(" ",TRIM(C29)&amp;" ")-1),",","."),"."),LEFT(SUBSTITUTE(LEFT(TRIM(C29),FIND(" ",TRIM(C29)&amp;" ")-1),",","."),FIND("/",SUBSTITUTE(LEFT(TRIM(C29),FIND(" ",TRIM(C29)&amp;" ")-1),",","."))-1)/MID(SUBSTITUTE(LEFT(TRIM(C29),FIND(" ",TRIM(C29)&amp;" ")-1),",","."),FIND("/",SUBSTITUTE(LEFT(TRIM(C29),FIND(" ",TRIM(C29)&amp;" ")-1),",","."))+1,9))*12,NA()))),0),48)*'Aturan &amp; Tarif'!$B$4,2)</f>
        <v>2725.44</v>
      </c>
      <c r="K29" s="32" t="n">
        <f aca="false">'Aturan &amp; Tarif'!$B$5</f>
        <v>2050</v>
      </c>
      <c r="L29" s="35" t="n">
        <f aca="false">I29+J29+K29</f>
        <v>33475.44</v>
      </c>
      <c r="M29" s="37" t="s">
        <v>846</v>
      </c>
    </row>
    <row r="30" customFormat="false" ht="14.25" hidden="false" customHeight="true" outlineLevel="0" collapsed="false">
      <c r="A30" s="29"/>
      <c r="B30" s="30" t="s">
        <v>261</v>
      </c>
      <c r="C30" s="31" t="s">
        <v>127</v>
      </c>
      <c r="D30" s="31" t="s">
        <v>108</v>
      </c>
      <c r="E30" s="32" t="n">
        <v>13125</v>
      </c>
      <c r="F30" s="32"/>
      <c r="G30" s="32" t="n">
        <v>150</v>
      </c>
      <c r="H30" s="33" t="n">
        <v>2</v>
      </c>
      <c r="I30" s="34" t="n">
        <f aca="false">E30*H30+N(F30)+N(G30)</f>
        <v>26400</v>
      </c>
      <c r="J30" s="32" t="n">
        <f aca="false">ROUND(IFERROR(ROUND(IF(OR(ISNUMBER(SEARCH("week",C30)),ISNUMBER(SEARCH("minggu",C30))),IFERROR(_xlfn.NUMBERVALUE(SUBSTITUTE(LEFT(TRIM(C30),FIND(" ",TRIM(C30)&amp;" ")-1),",","."),"."),LEFT(SUBSTITUTE(LEFT(TRIM(C30),FIND(" ",TRIM(C30)&amp;" ")-1),",","."),FIND("/",SUBSTITUTE(LEFT(TRIM(C30),FIND(" ",TRIM(C30)&amp;" ")-1),",","."))-1)/MID(SUBSTITUTE(LEFT(TRIM(C30),FIND(" ",TRIM(C30)&amp;" ")-1),",","."),FIND("/",SUBSTITUTE(LEFT(TRIM(C30),FIND(" ",TRIM(C30)&amp;" ")-1),",","."))+1,9))*12/52,IF(ISNUMBER(SEARCH("month",C30)),IFERROR(_xlfn.NUMBERVALUE(SUBSTITUTE(LEFT(TRIM(C30),FIND(" ",TRIM(C30)&amp;" ")-1),",","."),"."),LEFT(SUBSTITUTE(LEFT(TRIM(C30),FIND(" ",TRIM(C30)&amp;" ")-1),",","."),FIND("/",SUBSTITUTE(LEFT(TRIM(C30),FIND(" ",TRIM(C30)&amp;" ")-1),",","."))-1)/MID(SUBSTITUTE(LEFT(TRIM(C30),FIND(" ",TRIM(C30)&amp;" ")-1),",","."),FIND("/",SUBSTITUTE(LEFT(TRIM(C30),FIND(" ",TRIM(C30)&amp;" ")-1),",","."))+1,9)),IF(ISNUMBER(SEARCH("yea",C30)),IFERROR(_xlfn.NUMBERVALUE(SUBSTITUTE(LEFT(TRIM(C30),FIND(" ",TRIM(C30)&amp;" ")-1),",","."),"."),LEFT(SUBSTITUTE(LEFT(TRIM(C30),FIND(" ",TRIM(C30)&amp;" ")-1),",","."),FIND("/",SUBSTITUTE(LEFT(TRIM(C30),FIND(" ",TRIM(C30)&amp;" ")-1),",","."))-1)/MID(SUBSTITUTE(LEFT(TRIM(C30),FIND(" ",TRIM(C30)&amp;" ")-1),",","."),FIND("/",SUBSTITUTE(LEFT(TRIM(C30),FIND(" ",TRIM(C30)&amp;" ")-1),",","."))+1,9))*12,NA()))),0),36)*'Aturan &amp; Tarif'!$B$4,2)</f>
        <v>2044.08</v>
      </c>
      <c r="K30" s="32" t="n">
        <f aca="false">'Aturan &amp; Tarif'!$B$5</f>
        <v>2050</v>
      </c>
      <c r="L30" s="35" t="n">
        <f aca="false">I30+J30+K30</f>
        <v>30494.08</v>
      </c>
      <c r="M30" s="37" t="s">
        <v>846</v>
      </c>
    </row>
    <row r="31" customFormat="false" ht="25.5" hidden="false" customHeight="true" outlineLevel="0" collapsed="false">
      <c r="A31" s="29"/>
      <c r="B31" s="30" t="s">
        <v>1193</v>
      </c>
      <c r="C31" s="31" t="s">
        <v>127</v>
      </c>
      <c r="D31" s="31" t="s">
        <v>108</v>
      </c>
      <c r="E31" s="32" t="n">
        <v>13125</v>
      </c>
      <c r="F31" s="32"/>
      <c r="G31" s="32" t="n">
        <v>150</v>
      </c>
      <c r="H31" s="33" t="n">
        <v>2</v>
      </c>
      <c r="I31" s="34" t="n">
        <f aca="false">E31*H31+N(F31)+N(G31)</f>
        <v>26400</v>
      </c>
      <c r="J31" s="32" t="n">
        <f aca="false">ROUND(IFERROR(ROUND(IF(OR(ISNUMBER(SEARCH("week",C31)),ISNUMBER(SEARCH("minggu",C31))),IFERROR(_xlfn.NUMBERVALUE(SUBSTITUTE(LEFT(TRIM(C31),FIND(" ",TRIM(C31)&amp;" ")-1),",","."),"."),LEFT(SUBSTITUTE(LEFT(TRIM(C31),FIND(" ",TRIM(C31)&amp;" ")-1),",","."),FIND("/",SUBSTITUTE(LEFT(TRIM(C31),FIND(" ",TRIM(C31)&amp;" ")-1),",","."))-1)/MID(SUBSTITUTE(LEFT(TRIM(C31),FIND(" ",TRIM(C31)&amp;" ")-1),",","."),FIND("/",SUBSTITUTE(LEFT(TRIM(C31),FIND(" ",TRIM(C31)&amp;" ")-1),",","."))+1,9))*12/52,IF(ISNUMBER(SEARCH("month",C31)),IFERROR(_xlfn.NUMBERVALUE(SUBSTITUTE(LEFT(TRIM(C31),FIND(" ",TRIM(C31)&amp;" ")-1),",","."),"."),LEFT(SUBSTITUTE(LEFT(TRIM(C31),FIND(" ",TRIM(C31)&amp;" ")-1),",","."),FIND("/",SUBSTITUTE(LEFT(TRIM(C31),FIND(" ",TRIM(C31)&amp;" ")-1),",","."))-1)/MID(SUBSTITUTE(LEFT(TRIM(C31),FIND(" ",TRIM(C31)&amp;" ")-1),",","."),FIND("/",SUBSTITUTE(LEFT(TRIM(C31),FIND(" ",TRIM(C31)&amp;" ")-1),",","."))+1,9)),IF(ISNUMBER(SEARCH("yea",C31)),IFERROR(_xlfn.NUMBERVALUE(SUBSTITUTE(LEFT(TRIM(C31),FIND(" ",TRIM(C31)&amp;" ")-1),",","."),"."),LEFT(SUBSTITUTE(LEFT(TRIM(C31),FIND(" ",TRIM(C31)&amp;" ")-1),",","."),FIND("/",SUBSTITUTE(LEFT(TRIM(C31),FIND(" ",TRIM(C31)&amp;" ")-1),",","."))-1)/MID(SUBSTITUTE(LEFT(TRIM(C31),FIND(" ",TRIM(C31)&amp;" ")-1),",","."),FIND("/",SUBSTITUTE(LEFT(TRIM(C31),FIND(" ",TRIM(C31)&amp;" ")-1),",","."))+1,9))*12,NA()))),0),36)*'Aturan &amp; Tarif'!$B$4,2)</f>
        <v>2044.08</v>
      </c>
      <c r="K31" s="32" t="n">
        <f aca="false">'Aturan &amp; Tarif'!$B$5</f>
        <v>2050</v>
      </c>
      <c r="L31" s="35" t="n">
        <f aca="false">I31+J31+K31</f>
        <v>30494.08</v>
      </c>
      <c r="M31" s="37" t="s">
        <v>846</v>
      </c>
    </row>
    <row r="32" customFormat="false" ht="25.5" hidden="false" customHeight="true" outlineLevel="0" collapsed="false">
      <c r="A32" s="29"/>
      <c r="B32" s="30" t="s">
        <v>1194</v>
      </c>
      <c r="C32" s="31" t="s">
        <v>127</v>
      </c>
      <c r="D32" s="31" t="s">
        <v>108</v>
      </c>
      <c r="E32" s="32" t="n">
        <v>13125</v>
      </c>
      <c r="F32" s="32"/>
      <c r="G32" s="32" t="n">
        <v>150</v>
      </c>
      <c r="H32" s="33" t="n">
        <v>2</v>
      </c>
      <c r="I32" s="34" t="n">
        <f aca="false">E32*H32+N(F32)+N(G32)</f>
        <v>26400</v>
      </c>
      <c r="J32" s="32" t="n">
        <f aca="false">ROUND(IFERROR(ROUND(IF(OR(ISNUMBER(SEARCH("week",C32)),ISNUMBER(SEARCH("minggu",C32))),IFERROR(_xlfn.NUMBERVALUE(SUBSTITUTE(LEFT(TRIM(C32),FIND(" ",TRIM(C32)&amp;" ")-1),",","."),"."),LEFT(SUBSTITUTE(LEFT(TRIM(C32),FIND(" ",TRIM(C32)&amp;" ")-1),",","."),FIND("/",SUBSTITUTE(LEFT(TRIM(C32),FIND(" ",TRIM(C32)&amp;" ")-1),",","."))-1)/MID(SUBSTITUTE(LEFT(TRIM(C32),FIND(" ",TRIM(C32)&amp;" ")-1),",","."),FIND("/",SUBSTITUTE(LEFT(TRIM(C32),FIND(" ",TRIM(C32)&amp;" ")-1),",","."))+1,9))*12/52,IF(ISNUMBER(SEARCH("month",C32)),IFERROR(_xlfn.NUMBERVALUE(SUBSTITUTE(LEFT(TRIM(C32),FIND(" ",TRIM(C32)&amp;" ")-1),",","."),"."),LEFT(SUBSTITUTE(LEFT(TRIM(C32),FIND(" ",TRIM(C32)&amp;" ")-1),",","."),FIND("/",SUBSTITUTE(LEFT(TRIM(C32),FIND(" ",TRIM(C32)&amp;" ")-1),",","."))-1)/MID(SUBSTITUTE(LEFT(TRIM(C32),FIND(" ",TRIM(C32)&amp;" ")-1),",","."),FIND("/",SUBSTITUTE(LEFT(TRIM(C32),FIND(" ",TRIM(C32)&amp;" ")-1),",","."))+1,9)),IF(ISNUMBER(SEARCH("yea",C32)),IFERROR(_xlfn.NUMBERVALUE(SUBSTITUTE(LEFT(TRIM(C32),FIND(" ",TRIM(C32)&amp;" ")-1),",","."),"."),LEFT(SUBSTITUTE(LEFT(TRIM(C32),FIND(" ",TRIM(C32)&amp;" ")-1),",","."),FIND("/",SUBSTITUTE(LEFT(TRIM(C32),FIND(" ",TRIM(C32)&amp;" ")-1),",","."))-1)/MID(SUBSTITUTE(LEFT(TRIM(C32),FIND(" ",TRIM(C32)&amp;" ")-1),",","."),FIND("/",SUBSTITUTE(LEFT(TRIM(C32),FIND(" ",TRIM(C32)&amp;" ")-1),",","."))+1,9))*12,NA()))),0),36)*'Aturan &amp; Tarif'!$B$4,2)</f>
        <v>2044.08</v>
      </c>
      <c r="K32" s="32" t="n">
        <f aca="false">'Aturan &amp; Tarif'!$B$5</f>
        <v>2050</v>
      </c>
      <c r="L32" s="35" t="n">
        <f aca="false">I32+J32+K32</f>
        <v>30494.08</v>
      </c>
      <c r="M32" s="37" t="s">
        <v>846</v>
      </c>
    </row>
    <row r="33" customFormat="false" ht="25.5" hidden="false" customHeight="true" outlineLevel="0" collapsed="false">
      <c r="A33" s="29"/>
      <c r="B33" s="30" t="s">
        <v>1195</v>
      </c>
      <c r="C33" s="31" t="s">
        <v>127</v>
      </c>
      <c r="D33" s="31" t="s">
        <v>108</v>
      </c>
      <c r="E33" s="32" t="n">
        <v>13125</v>
      </c>
      <c r="F33" s="32"/>
      <c r="G33" s="32" t="n">
        <v>150</v>
      </c>
      <c r="H33" s="33" t="n">
        <v>2</v>
      </c>
      <c r="I33" s="34" t="n">
        <f aca="false">E33*H33+N(F33)+N(G33)</f>
        <v>26400</v>
      </c>
      <c r="J33" s="32" t="n">
        <f aca="false">ROUND(IFERROR(ROUND(IF(OR(ISNUMBER(SEARCH("week",C33)),ISNUMBER(SEARCH("minggu",C33))),IFERROR(_xlfn.NUMBERVALUE(SUBSTITUTE(LEFT(TRIM(C33),FIND(" ",TRIM(C33)&amp;" ")-1),",","."),"."),LEFT(SUBSTITUTE(LEFT(TRIM(C33),FIND(" ",TRIM(C33)&amp;" ")-1),",","."),FIND("/",SUBSTITUTE(LEFT(TRIM(C33),FIND(" ",TRIM(C33)&amp;" ")-1),",","."))-1)/MID(SUBSTITUTE(LEFT(TRIM(C33),FIND(" ",TRIM(C33)&amp;" ")-1),",","."),FIND("/",SUBSTITUTE(LEFT(TRIM(C33),FIND(" ",TRIM(C33)&amp;" ")-1),",","."))+1,9))*12/52,IF(ISNUMBER(SEARCH("month",C33)),IFERROR(_xlfn.NUMBERVALUE(SUBSTITUTE(LEFT(TRIM(C33),FIND(" ",TRIM(C33)&amp;" ")-1),",","."),"."),LEFT(SUBSTITUTE(LEFT(TRIM(C33),FIND(" ",TRIM(C33)&amp;" ")-1),",","."),FIND("/",SUBSTITUTE(LEFT(TRIM(C33),FIND(" ",TRIM(C33)&amp;" ")-1),",","."))-1)/MID(SUBSTITUTE(LEFT(TRIM(C33),FIND(" ",TRIM(C33)&amp;" ")-1),",","."),FIND("/",SUBSTITUTE(LEFT(TRIM(C33),FIND(" ",TRIM(C33)&amp;" ")-1),",","."))+1,9)),IF(ISNUMBER(SEARCH("yea",C33)),IFERROR(_xlfn.NUMBERVALUE(SUBSTITUTE(LEFT(TRIM(C33),FIND(" ",TRIM(C33)&amp;" ")-1),",","."),"."),LEFT(SUBSTITUTE(LEFT(TRIM(C33),FIND(" ",TRIM(C33)&amp;" ")-1),",","."),FIND("/",SUBSTITUTE(LEFT(TRIM(C33),FIND(" ",TRIM(C33)&amp;" ")-1),",","."))-1)/MID(SUBSTITUTE(LEFT(TRIM(C33),FIND(" ",TRIM(C33)&amp;" ")-1),",","."),FIND("/",SUBSTITUTE(LEFT(TRIM(C33),FIND(" ",TRIM(C33)&amp;" ")-1),",","."))+1,9))*12,NA()))),0),36)*'Aturan &amp; Tarif'!$B$4,2)</f>
        <v>2044.08</v>
      </c>
      <c r="K33" s="32" t="n">
        <f aca="false">'Aturan &amp; Tarif'!$B$5</f>
        <v>2050</v>
      </c>
      <c r="L33" s="35" t="n">
        <f aca="false">I33+J33+K33</f>
        <v>30494.08</v>
      </c>
      <c r="M33" s="37" t="s">
        <v>846</v>
      </c>
    </row>
    <row r="34" customFormat="false" ht="25.5" hidden="false" customHeight="true" outlineLevel="0" collapsed="false">
      <c r="A34" s="29"/>
      <c r="B34" s="30" t="s">
        <v>1196</v>
      </c>
      <c r="C34" s="31" t="s">
        <v>191</v>
      </c>
      <c r="D34" s="31" t="s">
        <v>108</v>
      </c>
      <c r="E34" s="32" t="n">
        <v>14275</v>
      </c>
      <c r="F34" s="32"/>
      <c r="G34" s="32" t="n">
        <v>150</v>
      </c>
      <c r="H34" s="33" t="n">
        <v>2</v>
      </c>
      <c r="I34" s="34" t="n">
        <f aca="false">E34*H34+N(F34)+N(G34)</f>
        <v>28700</v>
      </c>
      <c r="J34" s="32" t="n">
        <f aca="false">ROUND(IFERROR(ROUND(IF(OR(ISNUMBER(SEARCH("week",C34)),ISNUMBER(SEARCH("minggu",C34))),IFERROR(_xlfn.NUMBERVALUE(SUBSTITUTE(LEFT(TRIM(C34),FIND(" ",TRIM(C34)&amp;" ")-1),",","."),"."),LEFT(SUBSTITUTE(LEFT(TRIM(C34),FIND(" ",TRIM(C34)&amp;" ")-1),",","."),FIND("/",SUBSTITUTE(LEFT(TRIM(C34),FIND(" ",TRIM(C34)&amp;" ")-1),",","."))-1)/MID(SUBSTITUTE(LEFT(TRIM(C34),FIND(" ",TRIM(C34)&amp;" ")-1),",","."),FIND("/",SUBSTITUTE(LEFT(TRIM(C34),FIND(" ",TRIM(C34)&amp;" ")-1),",","."))+1,9))*12/52,IF(ISNUMBER(SEARCH("month",C34)),IFERROR(_xlfn.NUMBERVALUE(SUBSTITUTE(LEFT(TRIM(C34),FIND(" ",TRIM(C34)&amp;" ")-1),",","."),"."),LEFT(SUBSTITUTE(LEFT(TRIM(C34),FIND(" ",TRIM(C34)&amp;" ")-1),",","."),FIND("/",SUBSTITUTE(LEFT(TRIM(C34),FIND(" ",TRIM(C34)&amp;" ")-1),",","."))-1)/MID(SUBSTITUTE(LEFT(TRIM(C34),FIND(" ",TRIM(C34)&amp;" ")-1),",","."),FIND("/",SUBSTITUTE(LEFT(TRIM(C34),FIND(" ",TRIM(C34)&amp;" ")-1),",","."))+1,9)),IF(ISNUMBER(SEARCH("yea",C34)),IFERROR(_xlfn.NUMBERVALUE(SUBSTITUTE(LEFT(TRIM(C34),FIND(" ",TRIM(C34)&amp;" ")-1),",","."),"."),LEFT(SUBSTITUTE(LEFT(TRIM(C34),FIND(" ",TRIM(C34)&amp;" ")-1),",","."),FIND("/",SUBSTITUTE(LEFT(TRIM(C34),FIND(" ",TRIM(C34)&amp;" ")-1),",","."))-1)/MID(SUBSTITUTE(LEFT(TRIM(C34),FIND(" ",TRIM(C34)&amp;" ")-1),",","."),FIND("/",SUBSTITUTE(LEFT(TRIM(C34),FIND(" ",TRIM(C34)&amp;" ")-1),",","."))+1,9))*12,NA()))),0),48)*'Aturan &amp; Tarif'!$B$4,2)</f>
        <v>2725.44</v>
      </c>
      <c r="K34" s="32" t="n">
        <f aca="false">'Aturan &amp; Tarif'!$B$5</f>
        <v>2050</v>
      </c>
      <c r="L34" s="35" t="n">
        <f aca="false">I34+J34+K34</f>
        <v>33475.44</v>
      </c>
      <c r="M34" s="37" t="s">
        <v>846</v>
      </c>
    </row>
    <row r="35" customFormat="false" ht="25.5" hidden="false" customHeight="true" outlineLevel="0" collapsed="false">
      <c r="A35" s="29"/>
      <c r="B35" s="30" t="s">
        <v>1197</v>
      </c>
      <c r="C35" s="31" t="s">
        <v>191</v>
      </c>
      <c r="D35" s="31" t="s">
        <v>108</v>
      </c>
      <c r="E35" s="32" t="n">
        <v>14275</v>
      </c>
      <c r="F35" s="32"/>
      <c r="G35" s="32" t="n">
        <v>150</v>
      </c>
      <c r="H35" s="33" t="n">
        <v>2</v>
      </c>
      <c r="I35" s="34" t="n">
        <f aca="false">E35*H35+N(F35)+N(G35)</f>
        <v>28700</v>
      </c>
      <c r="J35" s="32" t="n">
        <f aca="false">ROUND(IFERROR(ROUND(IF(OR(ISNUMBER(SEARCH("week",C35)),ISNUMBER(SEARCH("minggu",C35))),IFERROR(_xlfn.NUMBERVALUE(SUBSTITUTE(LEFT(TRIM(C35),FIND(" ",TRIM(C35)&amp;" ")-1),",","."),"."),LEFT(SUBSTITUTE(LEFT(TRIM(C35),FIND(" ",TRIM(C35)&amp;" ")-1),",","."),FIND("/",SUBSTITUTE(LEFT(TRIM(C35),FIND(" ",TRIM(C35)&amp;" ")-1),",","."))-1)/MID(SUBSTITUTE(LEFT(TRIM(C35),FIND(" ",TRIM(C35)&amp;" ")-1),",","."),FIND("/",SUBSTITUTE(LEFT(TRIM(C35),FIND(" ",TRIM(C35)&amp;" ")-1),",","."))+1,9))*12/52,IF(ISNUMBER(SEARCH("month",C35)),IFERROR(_xlfn.NUMBERVALUE(SUBSTITUTE(LEFT(TRIM(C35),FIND(" ",TRIM(C35)&amp;" ")-1),",","."),"."),LEFT(SUBSTITUTE(LEFT(TRIM(C35),FIND(" ",TRIM(C35)&amp;" ")-1),",","."),FIND("/",SUBSTITUTE(LEFT(TRIM(C35),FIND(" ",TRIM(C35)&amp;" ")-1),",","."))-1)/MID(SUBSTITUTE(LEFT(TRIM(C35),FIND(" ",TRIM(C35)&amp;" ")-1),",","."),FIND("/",SUBSTITUTE(LEFT(TRIM(C35),FIND(" ",TRIM(C35)&amp;" ")-1),",","."))+1,9)),IF(ISNUMBER(SEARCH("yea",C35)),IFERROR(_xlfn.NUMBERVALUE(SUBSTITUTE(LEFT(TRIM(C35),FIND(" ",TRIM(C35)&amp;" ")-1),",","."),"."),LEFT(SUBSTITUTE(LEFT(TRIM(C35),FIND(" ",TRIM(C35)&amp;" ")-1),",","."),FIND("/",SUBSTITUTE(LEFT(TRIM(C35),FIND(" ",TRIM(C35)&amp;" ")-1),",","."))-1)/MID(SUBSTITUTE(LEFT(TRIM(C35),FIND(" ",TRIM(C35)&amp;" ")-1),",","."),FIND("/",SUBSTITUTE(LEFT(TRIM(C35),FIND(" ",TRIM(C35)&amp;" ")-1),",","."))+1,9))*12,NA()))),0),48)*'Aturan &amp; Tarif'!$B$4,2)</f>
        <v>2725.44</v>
      </c>
      <c r="K35" s="32" t="n">
        <f aca="false">'Aturan &amp; Tarif'!$B$5</f>
        <v>2050</v>
      </c>
      <c r="L35" s="35" t="n">
        <f aca="false">I35+J35+K35</f>
        <v>33475.44</v>
      </c>
      <c r="M35" s="37" t="s">
        <v>846</v>
      </c>
    </row>
    <row r="36" customFormat="false" ht="25.5" hidden="false" customHeight="true" outlineLevel="0" collapsed="false">
      <c r="A36" s="29"/>
      <c r="B36" s="30" t="s">
        <v>1198</v>
      </c>
      <c r="C36" s="31" t="s">
        <v>191</v>
      </c>
      <c r="D36" s="31" t="s">
        <v>108</v>
      </c>
      <c r="E36" s="32" t="n">
        <v>14275</v>
      </c>
      <c r="F36" s="32"/>
      <c r="G36" s="32" t="n">
        <v>150</v>
      </c>
      <c r="H36" s="33" t="n">
        <v>2</v>
      </c>
      <c r="I36" s="34" t="n">
        <f aca="false">E36*H36+N(F36)+N(G36)</f>
        <v>28700</v>
      </c>
      <c r="J36" s="32" t="n">
        <f aca="false">ROUND(IFERROR(ROUND(IF(OR(ISNUMBER(SEARCH("week",C36)),ISNUMBER(SEARCH("minggu",C36))),IFERROR(_xlfn.NUMBERVALUE(SUBSTITUTE(LEFT(TRIM(C36),FIND(" ",TRIM(C36)&amp;" ")-1),",","."),"."),LEFT(SUBSTITUTE(LEFT(TRIM(C36),FIND(" ",TRIM(C36)&amp;" ")-1),",","."),FIND("/",SUBSTITUTE(LEFT(TRIM(C36),FIND(" ",TRIM(C36)&amp;" ")-1),",","."))-1)/MID(SUBSTITUTE(LEFT(TRIM(C36),FIND(" ",TRIM(C36)&amp;" ")-1),",","."),FIND("/",SUBSTITUTE(LEFT(TRIM(C36),FIND(" ",TRIM(C36)&amp;" ")-1),",","."))+1,9))*12/52,IF(ISNUMBER(SEARCH("month",C36)),IFERROR(_xlfn.NUMBERVALUE(SUBSTITUTE(LEFT(TRIM(C36),FIND(" ",TRIM(C36)&amp;" ")-1),",","."),"."),LEFT(SUBSTITUTE(LEFT(TRIM(C36),FIND(" ",TRIM(C36)&amp;" ")-1),",","."),FIND("/",SUBSTITUTE(LEFT(TRIM(C36),FIND(" ",TRIM(C36)&amp;" ")-1),",","."))-1)/MID(SUBSTITUTE(LEFT(TRIM(C36),FIND(" ",TRIM(C36)&amp;" ")-1),",","."),FIND("/",SUBSTITUTE(LEFT(TRIM(C36),FIND(" ",TRIM(C36)&amp;" ")-1),",","."))+1,9)),IF(ISNUMBER(SEARCH("yea",C36)),IFERROR(_xlfn.NUMBERVALUE(SUBSTITUTE(LEFT(TRIM(C36),FIND(" ",TRIM(C36)&amp;" ")-1),",","."),"."),LEFT(SUBSTITUTE(LEFT(TRIM(C36),FIND(" ",TRIM(C36)&amp;" ")-1),",","."),FIND("/",SUBSTITUTE(LEFT(TRIM(C36),FIND(" ",TRIM(C36)&amp;" ")-1),",","."))-1)/MID(SUBSTITUTE(LEFT(TRIM(C36),FIND(" ",TRIM(C36)&amp;" ")-1),",","."),FIND("/",SUBSTITUTE(LEFT(TRIM(C36),FIND(" ",TRIM(C36)&amp;" ")-1),",","."))+1,9))*12,NA()))),0),48)*'Aturan &amp; Tarif'!$B$4,2)</f>
        <v>2725.44</v>
      </c>
      <c r="K36" s="32" t="n">
        <f aca="false">'Aturan &amp; Tarif'!$B$5</f>
        <v>2050</v>
      </c>
      <c r="L36" s="35" t="n">
        <f aca="false">I36+J36+K36</f>
        <v>33475.44</v>
      </c>
      <c r="M36" s="37" t="s">
        <v>846</v>
      </c>
    </row>
    <row r="37" customFormat="false" ht="25.5" hidden="false" customHeight="true" outlineLevel="0" collapsed="false">
      <c r="A37" s="29"/>
      <c r="B37" s="30" t="s">
        <v>1199</v>
      </c>
      <c r="C37" s="31" t="s">
        <v>191</v>
      </c>
      <c r="D37" s="31" t="s">
        <v>108</v>
      </c>
      <c r="E37" s="32" t="n">
        <v>14275</v>
      </c>
      <c r="F37" s="32"/>
      <c r="G37" s="32" t="n">
        <v>150</v>
      </c>
      <c r="H37" s="33" t="n">
        <v>2</v>
      </c>
      <c r="I37" s="34" t="n">
        <f aca="false">E37*H37+N(F37)+N(G37)</f>
        <v>28700</v>
      </c>
      <c r="J37" s="32" t="n">
        <f aca="false">ROUND(IFERROR(ROUND(IF(OR(ISNUMBER(SEARCH("week",C37)),ISNUMBER(SEARCH("minggu",C37))),IFERROR(_xlfn.NUMBERVALUE(SUBSTITUTE(LEFT(TRIM(C37),FIND(" ",TRIM(C37)&amp;" ")-1),",","."),"."),LEFT(SUBSTITUTE(LEFT(TRIM(C37),FIND(" ",TRIM(C37)&amp;" ")-1),",","."),FIND("/",SUBSTITUTE(LEFT(TRIM(C37),FIND(" ",TRIM(C37)&amp;" ")-1),",","."))-1)/MID(SUBSTITUTE(LEFT(TRIM(C37),FIND(" ",TRIM(C37)&amp;" ")-1),",","."),FIND("/",SUBSTITUTE(LEFT(TRIM(C37),FIND(" ",TRIM(C37)&amp;" ")-1),",","."))+1,9))*12/52,IF(ISNUMBER(SEARCH("month",C37)),IFERROR(_xlfn.NUMBERVALUE(SUBSTITUTE(LEFT(TRIM(C37),FIND(" ",TRIM(C37)&amp;" ")-1),",","."),"."),LEFT(SUBSTITUTE(LEFT(TRIM(C37),FIND(" ",TRIM(C37)&amp;" ")-1),",","."),FIND("/",SUBSTITUTE(LEFT(TRIM(C37),FIND(" ",TRIM(C37)&amp;" ")-1),",","."))-1)/MID(SUBSTITUTE(LEFT(TRIM(C37),FIND(" ",TRIM(C37)&amp;" ")-1),",","."),FIND("/",SUBSTITUTE(LEFT(TRIM(C37),FIND(" ",TRIM(C37)&amp;" ")-1),",","."))+1,9)),IF(ISNUMBER(SEARCH("yea",C37)),IFERROR(_xlfn.NUMBERVALUE(SUBSTITUTE(LEFT(TRIM(C37),FIND(" ",TRIM(C37)&amp;" ")-1),",","."),"."),LEFT(SUBSTITUTE(LEFT(TRIM(C37),FIND(" ",TRIM(C37)&amp;" ")-1),",","."),FIND("/",SUBSTITUTE(LEFT(TRIM(C37),FIND(" ",TRIM(C37)&amp;" ")-1),",","."))-1)/MID(SUBSTITUTE(LEFT(TRIM(C37),FIND(" ",TRIM(C37)&amp;" ")-1),",","."),FIND("/",SUBSTITUTE(LEFT(TRIM(C37),FIND(" ",TRIM(C37)&amp;" ")-1),",","."))+1,9))*12,NA()))),0),48)*'Aturan &amp; Tarif'!$B$4,2)</f>
        <v>2725.44</v>
      </c>
      <c r="K37" s="32" t="n">
        <f aca="false">'Aturan &amp; Tarif'!$B$5</f>
        <v>2050</v>
      </c>
      <c r="L37" s="35" t="n">
        <f aca="false">I37+J37+K37</f>
        <v>33475.44</v>
      </c>
      <c r="M37" s="37" t="s">
        <v>846</v>
      </c>
    </row>
    <row r="38" customFormat="false" ht="25.5" hidden="false" customHeight="true" outlineLevel="0" collapsed="false">
      <c r="A38" s="29"/>
      <c r="B38" s="30" t="s">
        <v>1200</v>
      </c>
      <c r="C38" s="31" t="s">
        <v>127</v>
      </c>
      <c r="D38" s="31" t="s">
        <v>108</v>
      </c>
      <c r="E38" s="32" t="n">
        <v>13125</v>
      </c>
      <c r="F38" s="32"/>
      <c r="G38" s="32" t="n">
        <v>150</v>
      </c>
      <c r="H38" s="33" t="n">
        <v>2</v>
      </c>
      <c r="I38" s="34" t="n">
        <f aca="false">E38*H38+N(F38)+N(G38)</f>
        <v>26400</v>
      </c>
      <c r="J38" s="32" t="n">
        <f aca="false">ROUND(IFERROR(ROUND(IF(OR(ISNUMBER(SEARCH("week",C38)),ISNUMBER(SEARCH("minggu",C38))),IFERROR(_xlfn.NUMBERVALUE(SUBSTITUTE(LEFT(TRIM(C38),FIND(" ",TRIM(C38)&amp;" ")-1),",","."),"."),LEFT(SUBSTITUTE(LEFT(TRIM(C38),FIND(" ",TRIM(C38)&amp;" ")-1),",","."),FIND("/",SUBSTITUTE(LEFT(TRIM(C38),FIND(" ",TRIM(C38)&amp;" ")-1),",","."))-1)/MID(SUBSTITUTE(LEFT(TRIM(C38),FIND(" ",TRIM(C38)&amp;" ")-1),",","."),FIND("/",SUBSTITUTE(LEFT(TRIM(C38),FIND(" ",TRIM(C38)&amp;" ")-1),",","."))+1,9))*12/52,IF(ISNUMBER(SEARCH("month",C38)),IFERROR(_xlfn.NUMBERVALUE(SUBSTITUTE(LEFT(TRIM(C38),FIND(" ",TRIM(C38)&amp;" ")-1),",","."),"."),LEFT(SUBSTITUTE(LEFT(TRIM(C38),FIND(" ",TRIM(C38)&amp;" ")-1),",","."),FIND("/",SUBSTITUTE(LEFT(TRIM(C38),FIND(" ",TRIM(C38)&amp;" ")-1),",","."))-1)/MID(SUBSTITUTE(LEFT(TRIM(C38),FIND(" ",TRIM(C38)&amp;" ")-1),",","."),FIND("/",SUBSTITUTE(LEFT(TRIM(C38),FIND(" ",TRIM(C38)&amp;" ")-1),",","."))+1,9)),IF(ISNUMBER(SEARCH("yea",C38)),IFERROR(_xlfn.NUMBERVALUE(SUBSTITUTE(LEFT(TRIM(C38),FIND(" ",TRIM(C38)&amp;" ")-1),",","."),"."),LEFT(SUBSTITUTE(LEFT(TRIM(C38),FIND(" ",TRIM(C38)&amp;" ")-1),",","."),FIND("/",SUBSTITUTE(LEFT(TRIM(C38),FIND(" ",TRIM(C38)&amp;" ")-1),",","."))-1)/MID(SUBSTITUTE(LEFT(TRIM(C38),FIND(" ",TRIM(C38)&amp;" ")-1),",","."),FIND("/",SUBSTITUTE(LEFT(TRIM(C38),FIND(" ",TRIM(C38)&amp;" ")-1),",","."))+1,9))*12,NA()))),0),36)*'Aturan &amp; Tarif'!$B$4,2)</f>
        <v>2044.08</v>
      </c>
      <c r="K38" s="32" t="n">
        <f aca="false">'Aturan &amp; Tarif'!$B$5</f>
        <v>2050</v>
      </c>
      <c r="L38" s="35" t="n">
        <f aca="false">I38+J38+K38</f>
        <v>30494.08</v>
      </c>
      <c r="M38" s="37" t="s">
        <v>846</v>
      </c>
    </row>
    <row r="39" customFormat="false" ht="14.25" hidden="false" customHeight="true" outlineLevel="0" collapsed="false">
      <c r="A39" s="29"/>
      <c r="B39" s="30" t="s">
        <v>1201</v>
      </c>
      <c r="C39" s="31" t="s">
        <v>127</v>
      </c>
      <c r="D39" s="31" t="s">
        <v>108</v>
      </c>
      <c r="E39" s="32" t="n">
        <v>13125</v>
      </c>
      <c r="F39" s="32"/>
      <c r="G39" s="32" t="n">
        <v>150</v>
      </c>
      <c r="H39" s="33" t="n">
        <v>2</v>
      </c>
      <c r="I39" s="34" t="n">
        <f aca="false">E39*H39+N(F39)+N(G39)</f>
        <v>26400</v>
      </c>
      <c r="J39" s="32" t="n">
        <f aca="false">ROUND(IFERROR(ROUND(IF(OR(ISNUMBER(SEARCH("week",C39)),ISNUMBER(SEARCH("minggu",C39))),IFERROR(_xlfn.NUMBERVALUE(SUBSTITUTE(LEFT(TRIM(C39),FIND(" ",TRIM(C39)&amp;" ")-1),",","."),"."),LEFT(SUBSTITUTE(LEFT(TRIM(C39),FIND(" ",TRIM(C39)&amp;" ")-1),",","."),FIND("/",SUBSTITUTE(LEFT(TRIM(C39),FIND(" ",TRIM(C39)&amp;" ")-1),",","."))-1)/MID(SUBSTITUTE(LEFT(TRIM(C39),FIND(" ",TRIM(C39)&amp;" ")-1),",","."),FIND("/",SUBSTITUTE(LEFT(TRIM(C39),FIND(" ",TRIM(C39)&amp;" ")-1),",","."))+1,9))*12/52,IF(ISNUMBER(SEARCH("month",C39)),IFERROR(_xlfn.NUMBERVALUE(SUBSTITUTE(LEFT(TRIM(C39),FIND(" ",TRIM(C39)&amp;" ")-1),",","."),"."),LEFT(SUBSTITUTE(LEFT(TRIM(C39),FIND(" ",TRIM(C39)&amp;" ")-1),",","."),FIND("/",SUBSTITUTE(LEFT(TRIM(C39),FIND(" ",TRIM(C39)&amp;" ")-1),",","."))-1)/MID(SUBSTITUTE(LEFT(TRIM(C39),FIND(" ",TRIM(C39)&amp;" ")-1),",","."),FIND("/",SUBSTITUTE(LEFT(TRIM(C39),FIND(" ",TRIM(C39)&amp;" ")-1),",","."))+1,9)),IF(ISNUMBER(SEARCH("yea",C39)),IFERROR(_xlfn.NUMBERVALUE(SUBSTITUTE(LEFT(TRIM(C39),FIND(" ",TRIM(C39)&amp;" ")-1),",","."),"."),LEFT(SUBSTITUTE(LEFT(TRIM(C39),FIND(" ",TRIM(C39)&amp;" ")-1),",","."),FIND("/",SUBSTITUTE(LEFT(TRIM(C39),FIND(" ",TRIM(C39)&amp;" ")-1),",","."))-1)/MID(SUBSTITUTE(LEFT(TRIM(C39),FIND(" ",TRIM(C39)&amp;" ")-1),",","."),FIND("/",SUBSTITUTE(LEFT(TRIM(C39),FIND(" ",TRIM(C39)&amp;" ")-1),",","."))+1,9))*12,NA()))),0),36)*'Aturan &amp; Tarif'!$B$4,2)</f>
        <v>2044.08</v>
      </c>
      <c r="K39" s="32" t="n">
        <f aca="false">'Aturan &amp; Tarif'!$B$5</f>
        <v>2050</v>
      </c>
      <c r="L39" s="35" t="n">
        <f aca="false">I39+J39+K39</f>
        <v>30494.08</v>
      </c>
      <c r="M39" s="37" t="s">
        <v>846</v>
      </c>
    </row>
    <row r="40" customFormat="false" ht="14.25" hidden="false" customHeight="true" outlineLevel="0" collapsed="false">
      <c r="A40" s="29"/>
      <c r="B40" s="30" t="s">
        <v>1202</v>
      </c>
      <c r="C40" s="31" t="s">
        <v>191</v>
      </c>
      <c r="D40" s="31" t="s">
        <v>108</v>
      </c>
      <c r="E40" s="32" t="n">
        <v>13575</v>
      </c>
      <c r="F40" s="32"/>
      <c r="G40" s="32" t="n">
        <v>150</v>
      </c>
      <c r="H40" s="33" t="n">
        <v>2</v>
      </c>
      <c r="I40" s="34" t="n">
        <f aca="false">E40*H40+N(F40)+N(G40)</f>
        <v>27300</v>
      </c>
      <c r="J40" s="32" t="n">
        <f aca="false">ROUND(IFERROR(ROUND(IF(OR(ISNUMBER(SEARCH("week",C40)),ISNUMBER(SEARCH("minggu",C40))),IFERROR(_xlfn.NUMBERVALUE(SUBSTITUTE(LEFT(TRIM(C40),FIND(" ",TRIM(C40)&amp;" ")-1),",","."),"."),LEFT(SUBSTITUTE(LEFT(TRIM(C40),FIND(" ",TRIM(C40)&amp;" ")-1),",","."),FIND("/",SUBSTITUTE(LEFT(TRIM(C40),FIND(" ",TRIM(C40)&amp;" ")-1),",","."))-1)/MID(SUBSTITUTE(LEFT(TRIM(C40),FIND(" ",TRIM(C40)&amp;" ")-1),",","."),FIND("/",SUBSTITUTE(LEFT(TRIM(C40),FIND(" ",TRIM(C40)&amp;" ")-1),",","."))+1,9))*12/52,IF(ISNUMBER(SEARCH("month",C40)),IFERROR(_xlfn.NUMBERVALUE(SUBSTITUTE(LEFT(TRIM(C40),FIND(" ",TRIM(C40)&amp;" ")-1),",","."),"."),LEFT(SUBSTITUTE(LEFT(TRIM(C40),FIND(" ",TRIM(C40)&amp;" ")-1),",","."),FIND("/",SUBSTITUTE(LEFT(TRIM(C40),FIND(" ",TRIM(C40)&amp;" ")-1),",","."))-1)/MID(SUBSTITUTE(LEFT(TRIM(C40),FIND(" ",TRIM(C40)&amp;" ")-1),",","."),FIND("/",SUBSTITUTE(LEFT(TRIM(C40),FIND(" ",TRIM(C40)&amp;" ")-1),",","."))+1,9)),IF(ISNUMBER(SEARCH("yea",C40)),IFERROR(_xlfn.NUMBERVALUE(SUBSTITUTE(LEFT(TRIM(C40),FIND(" ",TRIM(C40)&amp;" ")-1),",","."),"."),LEFT(SUBSTITUTE(LEFT(TRIM(C40),FIND(" ",TRIM(C40)&amp;" ")-1),",","."),FIND("/",SUBSTITUTE(LEFT(TRIM(C40),FIND(" ",TRIM(C40)&amp;" ")-1),",","."))-1)/MID(SUBSTITUTE(LEFT(TRIM(C40),FIND(" ",TRIM(C40)&amp;" ")-1),",","."),FIND("/",SUBSTITUTE(LEFT(TRIM(C40),FIND(" ",TRIM(C40)&amp;" ")-1),",","."))+1,9))*12,NA()))),0),48)*'Aturan &amp; Tarif'!$B$4,2)</f>
        <v>2725.44</v>
      </c>
      <c r="K40" s="32" t="n">
        <f aca="false">'Aturan &amp; Tarif'!$B$5</f>
        <v>2050</v>
      </c>
      <c r="L40" s="35" t="n">
        <f aca="false">I40+J40+K40</f>
        <v>32075.44</v>
      </c>
      <c r="M40" s="37" t="s">
        <v>1203</v>
      </c>
    </row>
    <row r="41" customFormat="false" ht="14.25" hidden="false" customHeight="true" outlineLevel="0" collapsed="false">
      <c r="A41" s="29"/>
      <c r="B41" s="30" t="s">
        <v>1204</v>
      </c>
      <c r="C41" s="31" t="s">
        <v>191</v>
      </c>
      <c r="D41" s="31" t="s">
        <v>108</v>
      </c>
      <c r="E41" s="32" t="n">
        <v>13575</v>
      </c>
      <c r="F41" s="32"/>
      <c r="G41" s="32" t="n">
        <v>150</v>
      </c>
      <c r="H41" s="33" t="n">
        <v>2</v>
      </c>
      <c r="I41" s="34" t="n">
        <f aca="false">E41*H41+N(F41)+N(G41)</f>
        <v>27300</v>
      </c>
      <c r="J41" s="32" t="n">
        <f aca="false">ROUND(IFERROR(ROUND(IF(OR(ISNUMBER(SEARCH("week",C41)),ISNUMBER(SEARCH("minggu",C41))),IFERROR(_xlfn.NUMBERVALUE(SUBSTITUTE(LEFT(TRIM(C41),FIND(" ",TRIM(C41)&amp;" ")-1),",","."),"."),LEFT(SUBSTITUTE(LEFT(TRIM(C41),FIND(" ",TRIM(C41)&amp;" ")-1),",","."),FIND("/",SUBSTITUTE(LEFT(TRIM(C41),FIND(" ",TRIM(C41)&amp;" ")-1),",","."))-1)/MID(SUBSTITUTE(LEFT(TRIM(C41),FIND(" ",TRIM(C41)&amp;" ")-1),",","."),FIND("/",SUBSTITUTE(LEFT(TRIM(C41),FIND(" ",TRIM(C41)&amp;" ")-1),",","."))+1,9))*12/52,IF(ISNUMBER(SEARCH("month",C41)),IFERROR(_xlfn.NUMBERVALUE(SUBSTITUTE(LEFT(TRIM(C41),FIND(" ",TRIM(C41)&amp;" ")-1),",","."),"."),LEFT(SUBSTITUTE(LEFT(TRIM(C41),FIND(" ",TRIM(C41)&amp;" ")-1),",","."),FIND("/",SUBSTITUTE(LEFT(TRIM(C41),FIND(" ",TRIM(C41)&amp;" ")-1),",","."))-1)/MID(SUBSTITUTE(LEFT(TRIM(C41),FIND(" ",TRIM(C41)&amp;" ")-1),",","."),FIND("/",SUBSTITUTE(LEFT(TRIM(C41),FIND(" ",TRIM(C41)&amp;" ")-1),",","."))+1,9)),IF(ISNUMBER(SEARCH("yea",C41)),IFERROR(_xlfn.NUMBERVALUE(SUBSTITUTE(LEFT(TRIM(C41),FIND(" ",TRIM(C41)&amp;" ")-1),",","."),"."),LEFT(SUBSTITUTE(LEFT(TRIM(C41),FIND(" ",TRIM(C41)&amp;" ")-1),",","."),FIND("/",SUBSTITUTE(LEFT(TRIM(C41),FIND(" ",TRIM(C41)&amp;" ")-1),",","."))-1)/MID(SUBSTITUTE(LEFT(TRIM(C41),FIND(" ",TRIM(C41)&amp;" ")-1),",","."),FIND("/",SUBSTITUTE(LEFT(TRIM(C41),FIND(" ",TRIM(C41)&amp;" ")-1),",","."))+1,9))*12,NA()))),0),48)*'Aturan &amp; Tarif'!$B$4,2)</f>
        <v>2725.44</v>
      </c>
      <c r="K41" s="32" t="n">
        <f aca="false">'Aturan &amp; Tarif'!$B$5</f>
        <v>2050</v>
      </c>
      <c r="L41" s="35" t="n">
        <f aca="false">I41+J41+K41</f>
        <v>32075.44</v>
      </c>
      <c r="M41" s="37" t="s">
        <v>1205</v>
      </c>
    </row>
    <row r="42" customFormat="false" ht="14.25" hidden="false" customHeight="true" outlineLevel="0" collapsed="false">
      <c r="A42" s="29"/>
      <c r="B42" s="30" t="s">
        <v>1206</v>
      </c>
      <c r="C42" s="31" t="s">
        <v>191</v>
      </c>
      <c r="D42" s="31" t="s">
        <v>108</v>
      </c>
      <c r="E42" s="32" t="n">
        <v>14275</v>
      </c>
      <c r="F42" s="32"/>
      <c r="G42" s="32" t="n">
        <v>150</v>
      </c>
      <c r="H42" s="33" t="n">
        <v>2</v>
      </c>
      <c r="I42" s="34" t="n">
        <f aca="false">E42*H42+N(F42)+N(G42)</f>
        <v>28700</v>
      </c>
      <c r="J42" s="32" t="n">
        <f aca="false">ROUND(IFERROR(ROUND(IF(OR(ISNUMBER(SEARCH("week",C42)),ISNUMBER(SEARCH("minggu",C42))),IFERROR(_xlfn.NUMBERVALUE(SUBSTITUTE(LEFT(TRIM(C42),FIND(" ",TRIM(C42)&amp;" ")-1),",","."),"."),LEFT(SUBSTITUTE(LEFT(TRIM(C42),FIND(" ",TRIM(C42)&amp;" ")-1),",","."),FIND("/",SUBSTITUTE(LEFT(TRIM(C42),FIND(" ",TRIM(C42)&amp;" ")-1),",","."))-1)/MID(SUBSTITUTE(LEFT(TRIM(C42),FIND(" ",TRIM(C42)&amp;" ")-1),",","."),FIND("/",SUBSTITUTE(LEFT(TRIM(C42),FIND(" ",TRIM(C42)&amp;" ")-1),",","."))+1,9))*12/52,IF(ISNUMBER(SEARCH("month",C42)),IFERROR(_xlfn.NUMBERVALUE(SUBSTITUTE(LEFT(TRIM(C42),FIND(" ",TRIM(C42)&amp;" ")-1),",","."),"."),LEFT(SUBSTITUTE(LEFT(TRIM(C42),FIND(" ",TRIM(C42)&amp;" ")-1),",","."),FIND("/",SUBSTITUTE(LEFT(TRIM(C42),FIND(" ",TRIM(C42)&amp;" ")-1),",","."))-1)/MID(SUBSTITUTE(LEFT(TRIM(C42),FIND(" ",TRIM(C42)&amp;" ")-1),",","."),FIND("/",SUBSTITUTE(LEFT(TRIM(C42),FIND(" ",TRIM(C42)&amp;" ")-1),",","."))+1,9)),IF(ISNUMBER(SEARCH("yea",C42)),IFERROR(_xlfn.NUMBERVALUE(SUBSTITUTE(LEFT(TRIM(C42),FIND(" ",TRIM(C42)&amp;" ")-1),",","."),"."),LEFT(SUBSTITUTE(LEFT(TRIM(C42),FIND(" ",TRIM(C42)&amp;" ")-1),",","."),FIND("/",SUBSTITUTE(LEFT(TRIM(C42),FIND(" ",TRIM(C42)&amp;" ")-1),",","."))-1)/MID(SUBSTITUTE(LEFT(TRIM(C42),FIND(" ",TRIM(C42)&amp;" ")-1),",","."),FIND("/",SUBSTITUTE(LEFT(TRIM(C42),FIND(" ",TRIM(C42)&amp;" ")-1),",","."))+1,9))*12,NA()))),0),48)*'Aturan &amp; Tarif'!$B$4,2)</f>
        <v>2725.44</v>
      </c>
      <c r="K42" s="32" t="n">
        <f aca="false">'Aturan &amp; Tarif'!$B$5</f>
        <v>2050</v>
      </c>
      <c r="L42" s="35" t="n">
        <f aca="false">I42+J42+K42</f>
        <v>33475.44</v>
      </c>
      <c r="M42" s="37" t="s">
        <v>846</v>
      </c>
    </row>
    <row r="43" customFormat="false" ht="14.25" hidden="false" customHeight="true" outlineLevel="0" collapsed="false">
      <c r="A43" s="29"/>
      <c r="B43" s="30" t="s">
        <v>578</v>
      </c>
      <c r="C43" s="31" t="s">
        <v>127</v>
      </c>
      <c r="D43" s="31" t="s">
        <v>108</v>
      </c>
      <c r="E43" s="32" t="n">
        <v>12625</v>
      </c>
      <c r="F43" s="32"/>
      <c r="G43" s="32" t="n">
        <v>150</v>
      </c>
      <c r="H43" s="33" t="n">
        <v>2</v>
      </c>
      <c r="I43" s="34" t="n">
        <f aca="false">E43*H43+N(F43)+N(G43)</f>
        <v>25400</v>
      </c>
      <c r="J43" s="32" t="n">
        <f aca="false">ROUND(IFERROR(ROUND(IF(OR(ISNUMBER(SEARCH("week",C43)),ISNUMBER(SEARCH("minggu",C43))),IFERROR(_xlfn.NUMBERVALUE(SUBSTITUTE(LEFT(TRIM(C43),FIND(" ",TRIM(C43)&amp;" ")-1),",","."),"."),LEFT(SUBSTITUTE(LEFT(TRIM(C43),FIND(" ",TRIM(C43)&amp;" ")-1),",","."),FIND("/",SUBSTITUTE(LEFT(TRIM(C43),FIND(" ",TRIM(C43)&amp;" ")-1),",","."))-1)/MID(SUBSTITUTE(LEFT(TRIM(C43),FIND(" ",TRIM(C43)&amp;" ")-1),",","."),FIND("/",SUBSTITUTE(LEFT(TRIM(C43),FIND(" ",TRIM(C43)&amp;" ")-1),",","."))+1,9))*12/52,IF(ISNUMBER(SEARCH("month",C43)),IFERROR(_xlfn.NUMBERVALUE(SUBSTITUTE(LEFT(TRIM(C43),FIND(" ",TRIM(C43)&amp;" ")-1),",","."),"."),LEFT(SUBSTITUTE(LEFT(TRIM(C43),FIND(" ",TRIM(C43)&amp;" ")-1),",","."),FIND("/",SUBSTITUTE(LEFT(TRIM(C43),FIND(" ",TRIM(C43)&amp;" ")-1),",","."))-1)/MID(SUBSTITUTE(LEFT(TRIM(C43),FIND(" ",TRIM(C43)&amp;" ")-1),",","."),FIND("/",SUBSTITUTE(LEFT(TRIM(C43),FIND(" ",TRIM(C43)&amp;" ")-1),",","."))+1,9)),IF(ISNUMBER(SEARCH("yea",C43)),IFERROR(_xlfn.NUMBERVALUE(SUBSTITUTE(LEFT(TRIM(C43),FIND(" ",TRIM(C43)&amp;" ")-1),",","."),"."),LEFT(SUBSTITUTE(LEFT(TRIM(C43),FIND(" ",TRIM(C43)&amp;" ")-1),",","."),FIND("/",SUBSTITUTE(LEFT(TRIM(C43),FIND(" ",TRIM(C43)&amp;" ")-1),",","."))-1)/MID(SUBSTITUTE(LEFT(TRIM(C43),FIND(" ",TRIM(C43)&amp;" ")-1),",","."),FIND("/",SUBSTITUTE(LEFT(TRIM(C43),FIND(" ",TRIM(C43)&amp;" ")-1),",","."))+1,9))*12,NA()))),0),36)*'Aturan &amp; Tarif'!$B$4,2)</f>
        <v>2044.08</v>
      </c>
      <c r="K43" s="32" t="n">
        <f aca="false">'Aturan &amp; Tarif'!$B$5</f>
        <v>2050</v>
      </c>
      <c r="L43" s="35" t="n">
        <f aca="false">I43+J43+K43</f>
        <v>29494.08</v>
      </c>
      <c r="M43" s="37" t="s">
        <v>846</v>
      </c>
    </row>
    <row r="44" customFormat="false" ht="14.25" hidden="false" customHeight="true" outlineLevel="0" collapsed="false">
      <c r="A44" s="29"/>
      <c r="B44" s="30" t="s">
        <v>1207</v>
      </c>
      <c r="C44" s="31" t="s">
        <v>191</v>
      </c>
      <c r="D44" s="31" t="s">
        <v>108</v>
      </c>
      <c r="E44" s="32" t="n">
        <v>13575</v>
      </c>
      <c r="F44" s="32"/>
      <c r="G44" s="32" t="n">
        <v>150</v>
      </c>
      <c r="H44" s="33" t="n">
        <v>2</v>
      </c>
      <c r="I44" s="34" t="n">
        <f aca="false">E44*H44+N(F44)+N(G44)</f>
        <v>27300</v>
      </c>
      <c r="J44" s="32" t="n">
        <f aca="false">ROUND(IFERROR(ROUND(IF(OR(ISNUMBER(SEARCH("week",C44)),ISNUMBER(SEARCH("minggu",C44))),IFERROR(_xlfn.NUMBERVALUE(SUBSTITUTE(LEFT(TRIM(C44),FIND(" ",TRIM(C44)&amp;" ")-1),",","."),"."),LEFT(SUBSTITUTE(LEFT(TRIM(C44),FIND(" ",TRIM(C44)&amp;" ")-1),",","."),FIND("/",SUBSTITUTE(LEFT(TRIM(C44),FIND(" ",TRIM(C44)&amp;" ")-1),",","."))-1)/MID(SUBSTITUTE(LEFT(TRIM(C44),FIND(" ",TRIM(C44)&amp;" ")-1),",","."),FIND("/",SUBSTITUTE(LEFT(TRIM(C44),FIND(" ",TRIM(C44)&amp;" ")-1),",","."))+1,9))*12/52,IF(ISNUMBER(SEARCH("month",C44)),IFERROR(_xlfn.NUMBERVALUE(SUBSTITUTE(LEFT(TRIM(C44),FIND(" ",TRIM(C44)&amp;" ")-1),",","."),"."),LEFT(SUBSTITUTE(LEFT(TRIM(C44),FIND(" ",TRIM(C44)&amp;" ")-1),",","."),FIND("/",SUBSTITUTE(LEFT(TRIM(C44),FIND(" ",TRIM(C44)&amp;" ")-1),",","."))-1)/MID(SUBSTITUTE(LEFT(TRIM(C44),FIND(" ",TRIM(C44)&amp;" ")-1),",","."),FIND("/",SUBSTITUTE(LEFT(TRIM(C44),FIND(" ",TRIM(C44)&amp;" ")-1),",","."))+1,9)),IF(ISNUMBER(SEARCH("yea",C44)),IFERROR(_xlfn.NUMBERVALUE(SUBSTITUTE(LEFT(TRIM(C44),FIND(" ",TRIM(C44)&amp;" ")-1),",","."),"."),LEFT(SUBSTITUTE(LEFT(TRIM(C44),FIND(" ",TRIM(C44)&amp;" ")-1),",","."),FIND("/",SUBSTITUTE(LEFT(TRIM(C44),FIND(" ",TRIM(C44)&amp;" ")-1),",","."))-1)/MID(SUBSTITUTE(LEFT(TRIM(C44),FIND(" ",TRIM(C44)&amp;" ")-1),",","."),FIND("/",SUBSTITUTE(LEFT(TRIM(C44),FIND(" ",TRIM(C44)&amp;" ")-1),",","."))+1,9))*12,NA()))),0),48)*'Aturan &amp; Tarif'!$B$4,2)</f>
        <v>2725.44</v>
      </c>
      <c r="K44" s="32" t="n">
        <f aca="false">'Aturan &amp; Tarif'!$B$5</f>
        <v>2050</v>
      </c>
      <c r="L44" s="35" t="n">
        <f aca="false">I44+J44+K44</f>
        <v>32075.44</v>
      </c>
      <c r="M44" s="37" t="s">
        <v>846</v>
      </c>
    </row>
    <row r="45" customFormat="false" ht="14.25" hidden="false" customHeight="true" outlineLevel="0" collapsed="false">
      <c r="A45" s="29"/>
      <c r="B45" s="30" t="s">
        <v>514</v>
      </c>
      <c r="C45" s="31" t="s">
        <v>127</v>
      </c>
      <c r="D45" s="31" t="s">
        <v>108</v>
      </c>
      <c r="E45" s="32" t="n">
        <v>12625</v>
      </c>
      <c r="F45" s="32"/>
      <c r="G45" s="32" t="n">
        <v>150</v>
      </c>
      <c r="H45" s="33" t="n">
        <v>2</v>
      </c>
      <c r="I45" s="34" t="n">
        <f aca="false">E45*H45+N(F45)+N(G45)</f>
        <v>25400</v>
      </c>
      <c r="J45" s="32" t="n">
        <f aca="false">ROUND(IFERROR(ROUND(IF(OR(ISNUMBER(SEARCH("week",C45)),ISNUMBER(SEARCH("minggu",C45))),IFERROR(_xlfn.NUMBERVALUE(SUBSTITUTE(LEFT(TRIM(C45),FIND(" ",TRIM(C45)&amp;" ")-1),",","."),"."),LEFT(SUBSTITUTE(LEFT(TRIM(C45),FIND(" ",TRIM(C45)&amp;" ")-1),",","."),FIND("/",SUBSTITUTE(LEFT(TRIM(C45),FIND(" ",TRIM(C45)&amp;" ")-1),",","."))-1)/MID(SUBSTITUTE(LEFT(TRIM(C45),FIND(" ",TRIM(C45)&amp;" ")-1),",","."),FIND("/",SUBSTITUTE(LEFT(TRIM(C45),FIND(" ",TRIM(C45)&amp;" ")-1),",","."))+1,9))*12/52,IF(ISNUMBER(SEARCH("month",C45)),IFERROR(_xlfn.NUMBERVALUE(SUBSTITUTE(LEFT(TRIM(C45),FIND(" ",TRIM(C45)&amp;" ")-1),",","."),"."),LEFT(SUBSTITUTE(LEFT(TRIM(C45),FIND(" ",TRIM(C45)&amp;" ")-1),",","."),FIND("/",SUBSTITUTE(LEFT(TRIM(C45),FIND(" ",TRIM(C45)&amp;" ")-1),",","."))-1)/MID(SUBSTITUTE(LEFT(TRIM(C45),FIND(" ",TRIM(C45)&amp;" ")-1),",","."),FIND("/",SUBSTITUTE(LEFT(TRIM(C45),FIND(" ",TRIM(C45)&amp;" ")-1),",","."))+1,9)),IF(ISNUMBER(SEARCH("yea",C45)),IFERROR(_xlfn.NUMBERVALUE(SUBSTITUTE(LEFT(TRIM(C45),FIND(" ",TRIM(C45)&amp;" ")-1),",","."),"."),LEFT(SUBSTITUTE(LEFT(TRIM(C45),FIND(" ",TRIM(C45)&amp;" ")-1),",","."),FIND("/",SUBSTITUTE(LEFT(TRIM(C45),FIND(" ",TRIM(C45)&amp;" ")-1),",","."))-1)/MID(SUBSTITUTE(LEFT(TRIM(C45),FIND(" ",TRIM(C45)&amp;" ")-1),",","."),FIND("/",SUBSTITUTE(LEFT(TRIM(C45),FIND(" ",TRIM(C45)&amp;" ")-1),",","."))+1,9))*12,NA()))),0),36)*'Aturan &amp; Tarif'!$B$4,2)</f>
        <v>2044.08</v>
      </c>
      <c r="K45" s="32" t="n">
        <f aca="false">'Aturan &amp; Tarif'!$B$5</f>
        <v>2050</v>
      </c>
      <c r="L45" s="35" t="n">
        <f aca="false">I45+J45+K45</f>
        <v>29494.08</v>
      </c>
      <c r="M45" s="37" t="s">
        <v>846</v>
      </c>
    </row>
    <row r="46" customFormat="false" ht="25.5" hidden="false" customHeight="true" outlineLevel="0" collapsed="false">
      <c r="A46" s="29"/>
      <c r="B46" s="30" t="s">
        <v>1208</v>
      </c>
      <c r="C46" s="31" t="s">
        <v>127</v>
      </c>
      <c r="D46" s="31" t="s">
        <v>108</v>
      </c>
      <c r="E46" s="32" t="n">
        <v>12625</v>
      </c>
      <c r="F46" s="32"/>
      <c r="G46" s="32" t="n">
        <v>150</v>
      </c>
      <c r="H46" s="33" t="n">
        <v>2</v>
      </c>
      <c r="I46" s="34" t="n">
        <f aca="false">E46*H46+N(F46)+N(G46)</f>
        <v>25400</v>
      </c>
      <c r="J46" s="32" t="n">
        <f aca="false">ROUND(IFERROR(ROUND(IF(OR(ISNUMBER(SEARCH("week",C46)),ISNUMBER(SEARCH("minggu",C46))),IFERROR(_xlfn.NUMBERVALUE(SUBSTITUTE(LEFT(TRIM(C46),FIND(" ",TRIM(C46)&amp;" ")-1),",","."),"."),LEFT(SUBSTITUTE(LEFT(TRIM(C46),FIND(" ",TRIM(C46)&amp;" ")-1),",","."),FIND("/",SUBSTITUTE(LEFT(TRIM(C46),FIND(" ",TRIM(C46)&amp;" ")-1),",","."))-1)/MID(SUBSTITUTE(LEFT(TRIM(C46),FIND(" ",TRIM(C46)&amp;" ")-1),",","."),FIND("/",SUBSTITUTE(LEFT(TRIM(C46),FIND(" ",TRIM(C46)&amp;" ")-1),",","."))+1,9))*12/52,IF(ISNUMBER(SEARCH("month",C46)),IFERROR(_xlfn.NUMBERVALUE(SUBSTITUTE(LEFT(TRIM(C46),FIND(" ",TRIM(C46)&amp;" ")-1),",","."),"."),LEFT(SUBSTITUTE(LEFT(TRIM(C46),FIND(" ",TRIM(C46)&amp;" ")-1),",","."),FIND("/",SUBSTITUTE(LEFT(TRIM(C46),FIND(" ",TRIM(C46)&amp;" ")-1),",","."))-1)/MID(SUBSTITUTE(LEFT(TRIM(C46),FIND(" ",TRIM(C46)&amp;" ")-1),",","."),FIND("/",SUBSTITUTE(LEFT(TRIM(C46),FIND(" ",TRIM(C46)&amp;" ")-1),",","."))+1,9)),IF(ISNUMBER(SEARCH("yea",C46)),IFERROR(_xlfn.NUMBERVALUE(SUBSTITUTE(LEFT(TRIM(C46),FIND(" ",TRIM(C46)&amp;" ")-1),",","."),"."),LEFT(SUBSTITUTE(LEFT(TRIM(C46),FIND(" ",TRIM(C46)&amp;" ")-1),",","."),FIND("/",SUBSTITUTE(LEFT(TRIM(C46),FIND(" ",TRIM(C46)&amp;" ")-1),",","."))-1)/MID(SUBSTITUTE(LEFT(TRIM(C46),FIND(" ",TRIM(C46)&amp;" ")-1),",","."),FIND("/",SUBSTITUTE(LEFT(TRIM(C46),FIND(" ",TRIM(C46)&amp;" ")-1),",","."))+1,9))*12,NA()))),0),36)*'Aturan &amp; Tarif'!$B$4,2)</f>
        <v>2044.08</v>
      </c>
      <c r="K46" s="32" t="n">
        <f aca="false">'Aturan &amp; Tarif'!$B$5</f>
        <v>2050</v>
      </c>
      <c r="L46" s="35" t="n">
        <f aca="false">I46+J46+K46</f>
        <v>29494.08</v>
      </c>
      <c r="M46" s="37" t="s">
        <v>846</v>
      </c>
    </row>
    <row r="47" customFormat="false" ht="14.25" hidden="false" customHeight="true" outlineLevel="0" collapsed="false">
      <c r="A47" s="29"/>
      <c r="B47" s="30" t="s">
        <v>1209</v>
      </c>
      <c r="C47" s="31" t="s">
        <v>127</v>
      </c>
      <c r="D47" s="31" t="s">
        <v>108</v>
      </c>
      <c r="E47" s="32" t="n">
        <v>11275</v>
      </c>
      <c r="F47" s="32"/>
      <c r="G47" s="32" t="n">
        <v>150</v>
      </c>
      <c r="H47" s="33" t="n">
        <v>2</v>
      </c>
      <c r="I47" s="34" t="n">
        <f aca="false">E47*H47+N(F47)+N(G47)</f>
        <v>22700</v>
      </c>
      <c r="J47" s="32" t="n">
        <f aca="false">ROUND(IFERROR(ROUND(IF(OR(ISNUMBER(SEARCH("week",C47)),ISNUMBER(SEARCH("minggu",C47))),IFERROR(_xlfn.NUMBERVALUE(SUBSTITUTE(LEFT(TRIM(C47),FIND(" ",TRIM(C47)&amp;" ")-1),",","."),"."),LEFT(SUBSTITUTE(LEFT(TRIM(C47),FIND(" ",TRIM(C47)&amp;" ")-1),",","."),FIND("/",SUBSTITUTE(LEFT(TRIM(C47),FIND(" ",TRIM(C47)&amp;" ")-1),",","."))-1)/MID(SUBSTITUTE(LEFT(TRIM(C47),FIND(" ",TRIM(C47)&amp;" ")-1),",","."),FIND("/",SUBSTITUTE(LEFT(TRIM(C47),FIND(" ",TRIM(C47)&amp;" ")-1),",","."))+1,9))*12/52,IF(ISNUMBER(SEARCH("month",C47)),IFERROR(_xlfn.NUMBERVALUE(SUBSTITUTE(LEFT(TRIM(C47),FIND(" ",TRIM(C47)&amp;" ")-1),",","."),"."),LEFT(SUBSTITUTE(LEFT(TRIM(C47),FIND(" ",TRIM(C47)&amp;" ")-1),",","."),FIND("/",SUBSTITUTE(LEFT(TRIM(C47),FIND(" ",TRIM(C47)&amp;" ")-1),",","."))-1)/MID(SUBSTITUTE(LEFT(TRIM(C47),FIND(" ",TRIM(C47)&amp;" ")-1),",","."),FIND("/",SUBSTITUTE(LEFT(TRIM(C47),FIND(" ",TRIM(C47)&amp;" ")-1),",","."))+1,9)),IF(ISNUMBER(SEARCH("yea",C47)),IFERROR(_xlfn.NUMBERVALUE(SUBSTITUTE(LEFT(TRIM(C47),FIND(" ",TRIM(C47)&amp;" ")-1),",","."),"."),LEFT(SUBSTITUTE(LEFT(TRIM(C47),FIND(" ",TRIM(C47)&amp;" ")-1),",","."),FIND("/",SUBSTITUTE(LEFT(TRIM(C47),FIND(" ",TRIM(C47)&amp;" ")-1),",","."))-1)/MID(SUBSTITUTE(LEFT(TRIM(C47),FIND(" ",TRIM(C47)&amp;" ")-1),",","."),FIND("/",SUBSTITUTE(LEFT(TRIM(C47),FIND(" ",TRIM(C47)&amp;" ")-1),",","."))+1,9))*12,NA()))),0),36)*'Aturan &amp; Tarif'!$B$4,2)</f>
        <v>2044.08</v>
      </c>
      <c r="K47" s="32" t="n">
        <f aca="false">'Aturan &amp; Tarif'!$B$5</f>
        <v>2050</v>
      </c>
      <c r="L47" s="35" t="n">
        <f aca="false">I47+J47+K47</f>
        <v>26794.08</v>
      </c>
      <c r="M47" s="37" t="s">
        <v>846</v>
      </c>
    </row>
    <row r="48" customFormat="false" ht="25.5" hidden="false" customHeight="true" outlineLevel="0" collapsed="false">
      <c r="A48" s="29"/>
      <c r="B48" s="30" t="s">
        <v>1210</v>
      </c>
      <c r="C48" s="31" t="s">
        <v>191</v>
      </c>
      <c r="D48" s="31" t="s">
        <v>108</v>
      </c>
      <c r="E48" s="32" t="n">
        <v>12150</v>
      </c>
      <c r="F48" s="32"/>
      <c r="G48" s="32" t="n">
        <v>150</v>
      </c>
      <c r="H48" s="33" t="n">
        <v>2</v>
      </c>
      <c r="I48" s="34" t="n">
        <f aca="false">E48*H48+N(F48)+N(G48)</f>
        <v>24450</v>
      </c>
      <c r="J48" s="32" t="n">
        <f aca="false">ROUND(IFERROR(ROUND(IF(OR(ISNUMBER(SEARCH("week",C48)),ISNUMBER(SEARCH("minggu",C48))),IFERROR(_xlfn.NUMBERVALUE(SUBSTITUTE(LEFT(TRIM(C48),FIND(" ",TRIM(C48)&amp;" ")-1),",","."),"."),LEFT(SUBSTITUTE(LEFT(TRIM(C48),FIND(" ",TRIM(C48)&amp;" ")-1),",","."),FIND("/",SUBSTITUTE(LEFT(TRIM(C48),FIND(" ",TRIM(C48)&amp;" ")-1),",","."))-1)/MID(SUBSTITUTE(LEFT(TRIM(C48),FIND(" ",TRIM(C48)&amp;" ")-1),",","."),FIND("/",SUBSTITUTE(LEFT(TRIM(C48),FIND(" ",TRIM(C48)&amp;" ")-1),",","."))+1,9))*12/52,IF(ISNUMBER(SEARCH("month",C48)),IFERROR(_xlfn.NUMBERVALUE(SUBSTITUTE(LEFT(TRIM(C48),FIND(" ",TRIM(C48)&amp;" ")-1),",","."),"."),LEFT(SUBSTITUTE(LEFT(TRIM(C48),FIND(" ",TRIM(C48)&amp;" ")-1),",","."),FIND("/",SUBSTITUTE(LEFT(TRIM(C48),FIND(" ",TRIM(C48)&amp;" ")-1),",","."))-1)/MID(SUBSTITUTE(LEFT(TRIM(C48),FIND(" ",TRIM(C48)&amp;" ")-1),",","."),FIND("/",SUBSTITUTE(LEFT(TRIM(C48),FIND(" ",TRIM(C48)&amp;" ")-1),",","."))+1,9)),IF(ISNUMBER(SEARCH("yea",C48)),IFERROR(_xlfn.NUMBERVALUE(SUBSTITUTE(LEFT(TRIM(C48),FIND(" ",TRIM(C48)&amp;" ")-1),",","."),"."),LEFT(SUBSTITUTE(LEFT(TRIM(C48),FIND(" ",TRIM(C48)&amp;" ")-1),",","."),FIND("/",SUBSTITUTE(LEFT(TRIM(C48),FIND(" ",TRIM(C48)&amp;" ")-1),",","."))-1)/MID(SUBSTITUTE(LEFT(TRIM(C48),FIND(" ",TRIM(C48)&amp;" ")-1),",","."),FIND("/",SUBSTITUTE(LEFT(TRIM(C48),FIND(" ",TRIM(C48)&amp;" ")-1),",","."))+1,9))*12,NA()))),0),48)*'Aturan &amp; Tarif'!$B$4,2)</f>
        <v>2725.44</v>
      </c>
      <c r="K48" s="32" t="n">
        <f aca="false">'Aturan &amp; Tarif'!$B$5</f>
        <v>2050</v>
      </c>
      <c r="L48" s="35" t="n">
        <f aca="false">I48+J48+K48</f>
        <v>29225.44</v>
      </c>
      <c r="M48" s="37" t="s">
        <v>846</v>
      </c>
    </row>
    <row r="49" customFormat="false" ht="14.25" hidden="false" customHeight="true" outlineLevel="0" collapsed="false">
      <c r="A49" s="29"/>
      <c r="B49" s="30" t="s">
        <v>236</v>
      </c>
      <c r="C49" s="31" t="s">
        <v>127</v>
      </c>
      <c r="D49" s="31" t="s">
        <v>108</v>
      </c>
      <c r="E49" s="32" t="n">
        <v>11275</v>
      </c>
      <c r="F49" s="32"/>
      <c r="G49" s="32" t="n">
        <v>150</v>
      </c>
      <c r="H49" s="33" t="n">
        <v>2</v>
      </c>
      <c r="I49" s="34" t="n">
        <f aca="false">E49*H49+N(F49)+N(G49)</f>
        <v>22700</v>
      </c>
      <c r="J49" s="32" t="n">
        <f aca="false">ROUND(IFERROR(ROUND(IF(OR(ISNUMBER(SEARCH("week",C49)),ISNUMBER(SEARCH("minggu",C49))),IFERROR(_xlfn.NUMBERVALUE(SUBSTITUTE(LEFT(TRIM(C49),FIND(" ",TRIM(C49)&amp;" ")-1),",","."),"."),LEFT(SUBSTITUTE(LEFT(TRIM(C49),FIND(" ",TRIM(C49)&amp;" ")-1),",","."),FIND("/",SUBSTITUTE(LEFT(TRIM(C49),FIND(" ",TRIM(C49)&amp;" ")-1),",","."))-1)/MID(SUBSTITUTE(LEFT(TRIM(C49),FIND(" ",TRIM(C49)&amp;" ")-1),",","."),FIND("/",SUBSTITUTE(LEFT(TRIM(C49),FIND(" ",TRIM(C49)&amp;" ")-1),",","."))+1,9))*12/52,IF(ISNUMBER(SEARCH("month",C49)),IFERROR(_xlfn.NUMBERVALUE(SUBSTITUTE(LEFT(TRIM(C49),FIND(" ",TRIM(C49)&amp;" ")-1),",","."),"."),LEFT(SUBSTITUTE(LEFT(TRIM(C49),FIND(" ",TRIM(C49)&amp;" ")-1),",","."),FIND("/",SUBSTITUTE(LEFT(TRIM(C49),FIND(" ",TRIM(C49)&amp;" ")-1),",","."))-1)/MID(SUBSTITUTE(LEFT(TRIM(C49),FIND(" ",TRIM(C49)&amp;" ")-1),",","."),FIND("/",SUBSTITUTE(LEFT(TRIM(C49),FIND(" ",TRIM(C49)&amp;" ")-1),",","."))+1,9)),IF(ISNUMBER(SEARCH("yea",C49)),IFERROR(_xlfn.NUMBERVALUE(SUBSTITUTE(LEFT(TRIM(C49),FIND(" ",TRIM(C49)&amp;" ")-1),",","."),"."),LEFT(SUBSTITUTE(LEFT(TRIM(C49),FIND(" ",TRIM(C49)&amp;" ")-1),",","."),FIND("/",SUBSTITUTE(LEFT(TRIM(C49),FIND(" ",TRIM(C49)&amp;" ")-1),",","."))-1)/MID(SUBSTITUTE(LEFT(TRIM(C49),FIND(" ",TRIM(C49)&amp;" ")-1),",","."),FIND("/",SUBSTITUTE(LEFT(TRIM(C49),FIND(" ",TRIM(C49)&amp;" ")-1),",","."))+1,9))*12,NA()))),0),36)*'Aturan &amp; Tarif'!$B$4,2)</f>
        <v>2044.08</v>
      </c>
      <c r="K49" s="32" t="n">
        <f aca="false">'Aturan &amp; Tarif'!$B$5</f>
        <v>2050</v>
      </c>
      <c r="L49" s="35" t="n">
        <f aca="false">I49+J49+K49</f>
        <v>26794.08</v>
      </c>
      <c r="M49" s="37" t="s">
        <v>1211</v>
      </c>
    </row>
    <row r="50" customFormat="false" ht="25.5" hidden="false" customHeight="true" outlineLevel="0" collapsed="false">
      <c r="A50" s="29"/>
      <c r="B50" s="30" t="s">
        <v>1212</v>
      </c>
      <c r="C50" s="31" t="s">
        <v>127</v>
      </c>
      <c r="D50" s="31" t="s">
        <v>108</v>
      </c>
      <c r="E50" s="32" t="n">
        <v>11275</v>
      </c>
      <c r="F50" s="32"/>
      <c r="G50" s="32" t="n">
        <v>150</v>
      </c>
      <c r="H50" s="33" t="n">
        <v>2</v>
      </c>
      <c r="I50" s="34" t="n">
        <f aca="false">E50*H50+N(F50)+N(G50)</f>
        <v>22700</v>
      </c>
      <c r="J50" s="32" t="n">
        <f aca="false">ROUND(IFERROR(ROUND(IF(OR(ISNUMBER(SEARCH("week",C50)),ISNUMBER(SEARCH("minggu",C50))),IFERROR(_xlfn.NUMBERVALUE(SUBSTITUTE(LEFT(TRIM(C50),FIND(" ",TRIM(C50)&amp;" ")-1),",","."),"."),LEFT(SUBSTITUTE(LEFT(TRIM(C50),FIND(" ",TRIM(C50)&amp;" ")-1),",","."),FIND("/",SUBSTITUTE(LEFT(TRIM(C50),FIND(" ",TRIM(C50)&amp;" ")-1),",","."))-1)/MID(SUBSTITUTE(LEFT(TRIM(C50),FIND(" ",TRIM(C50)&amp;" ")-1),",","."),FIND("/",SUBSTITUTE(LEFT(TRIM(C50),FIND(" ",TRIM(C50)&amp;" ")-1),",","."))+1,9))*12/52,IF(ISNUMBER(SEARCH("month",C50)),IFERROR(_xlfn.NUMBERVALUE(SUBSTITUTE(LEFT(TRIM(C50),FIND(" ",TRIM(C50)&amp;" ")-1),",","."),"."),LEFT(SUBSTITUTE(LEFT(TRIM(C50),FIND(" ",TRIM(C50)&amp;" ")-1),",","."),FIND("/",SUBSTITUTE(LEFT(TRIM(C50),FIND(" ",TRIM(C50)&amp;" ")-1),",","."))-1)/MID(SUBSTITUTE(LEFT(TRIM(C50),FIND(" ",TRIM(C50)&amp;" ")-1),",","."),FIND("/",SUBSTITUTE(LEFT(TRIM(C50),FIND(" ",TRIM(C50)&amp;" ")-1),",","."))+1,9)),IF(ISNUMBER(SEARCH("yea",C50)),IFERROR(_xlfn.NUMBERVALUE(SUBSTITUTE(LEFT(TRIM(C50),FIND(" ",TRIM(C50)&amp;" ")-1),",","."),"."),LEFT(SUBSTITUTE(LEFT(TRIM(C50),FIND(" ",TRIM(C50)&amp;" ")-1),",","."),FIND("/",SUBSTITUTE(LEFT(TRIM(C50),FIND(" ",TRIM(C50)&amp;" ")-1),",","."))-1)/MID(SUBSTITUTE(LEFT(TRIM(C50),FIND(" ",TRIM(C50)&amp;" ")-1),",","."),FIND("/",SUBSTITUTE(LEFT(TRIM(C50),FIND(" ",TRIM(C50)&amp;" ")-1),",","."))+1,9))*12,NA()))),0),36)*'Aturan &amp; Tarif'!$B$4,2)</f>
        <v>2044.08</v>
      </c>
      <c r="K50" s="32" t="n">
        <f aca="false">'Aturan &amp; Tarif'!$B$5</f>
        <v>2050</v>
      </c>
      <c r="L50" s="35" t="n">
        <f aca="false">I50+J50+K50</f>
        <v>26794.08</v>
      </c>
      <c r="M50" s="37" t="s">
        <v>1211</v>
      </c>
    </row>
    <row r="51" customFormat="false" ht="14.25" hidden="false" customHeight="true" outlineLevel="0" collapsed="false">
      <c r="A51" s="29"/>
      <c r="B51" s="30" t="s">
        <v>1213</v>
      </c>
      <c r="C51" s="31" t="s">
        <v>127</v>
      </c>
      <c r="D51" s="31" t="s">
        <v>108</v>
      </c>
      <c r="E51" s="32" t="n">
        <v>11275</v>
      </c>
      <c r="F51" s="32"/>
      <c r="G51" s="32" t="n">
        <v>150</v>
      </c>
      <c r="H51" s="33" t="n">
        <v>2</v>
      </c>
      <c r="I51" s="34" t="n">
        <f aca="false">E51*H51+N(F51)+N(G51)</f>
        <v>22700</v>
      </c>
      <c r="J51" s="32" t="n">
        <f aca="false">ROUND(IFERROR(ROUND(IF(OR(ISNUMBER(SEARCH("week",C51)),ISNUMBER(SEARCH("minggu",C51))),IFERROR(_xlfn.NUMBERVALUE(SUBSTITUTE(LEFT(TRIM(C51),FIND(" ",TRIM(C51)&amp;" ")-1),",","."),"."),LEFT(SUBSTITUTE(LEFT(TRIM(C51),FIND(" ",TRIM(C51)&amp;" ")-1),",","."),FIND("/",SUBSTITUTE(LEFT(TRIM(C51),FIND(" ",TRIM(C51)&amp;" ")-1),",","."))-1)/MID(SUBSTITUTE(LEFT(TRIM(C51),FIND(" ",TRIM(C51)&amp;" ")-1),",","."),FIND("/",SUBSTITUTE(LEFT(TRIM(C51),FIND(" ",TRIM(C51)&amp;" ")-1),",","."))+1,9))*12/52,IF(ISNUMBER(SEARCH("month",C51)),IFERROR(_xlfn.NUMBERVALUE(SUBSTITUTE(LEFT(TRIM(C51),FIND(" ",TRIM(C51)&amp;" ")-1),",","."),"."),LEFT(SUBSTITUTE(LEFT(TRIM(C51),FIND(" ",TRIM(C51)&amp;" ")-1),",","."),FIND("/",SUBSTITUTE(LEFT(TRIM(C51),FIND(" ",TRIM(C51)&amp;" ")-1),",","."))-1)/MID(SUBSTITUTE(LEFT(TRIM(C51),FIND(" ",TRIM(C51)&amp;" ")-1),",","."),FIND("/",SUBSTITUTE(LEFT(TRIM(C51),FIND(" ",TRIM(C51)&amp;" ")-1),",","."))+1,9)),IF(ISNUMBER(SEARCH("yea",C51)),IFERROR(_xlfn.NUMBERVALUE(SUBSTITUTE(LEFT(TRIM(C51),FIND(" ",TRIM(C51)&amp;" ")-1),",","."),"."),LEFT(SUBSTITUTE(LEFT(TRIM(C51),FIND(" ",TRIM(C51)&amp;" ")-1),",","."),FIND("/",SUBSTITUTE(LEFT(TRIM(C51),FIND(" ",TRIM(C51)&amp;" ")-1),",","."))-1)/MID(SUBSTITUTE(LEFT(TRIM(C51),FIND(" ",TRIM(C51)&amp;" ")-1),",","."),FIND("/",SUBSTITUTE(LEFT(TRIM(C51),FIND(" ",TRIM(C51)&amp;" ")-1),",","."))+1,9))*12,NA()))),0),36)*'Aturan &amp; Tarif'!$B$4,2)</f>
        <v>2044.08</v>
      </c>
      <c r="K51" s="32" t="n">
        <f aca="false">'Aturan &amp; Tarif'!$B$5</f>
        <v>2050</v>
      </c>
      <c r="L51" s="35" t="n">
        <f aca="false">I51+J51+K51</f>
        <v>26794.08</v>
      </c>
      <c r="M51" s="37" t="s">
        <v>1211</v>
      </c>
    </row>
    <row r="52" customFormat="false" ht="25.5" hidden="false" customHeight="true" outlineLevel="0" collapsed="false">
      <c r="A52" s="29"/>
      <c r="B52" s="30" t="s">
        <v>1214</v>
      </c>
      <c r="C52" s="31" t="s">
        <v>127</v>
      </c>
      <c r="D52" s="31" t="s">
        <v>108</v>
      </c>
      <c r="E52" s="32" t="n">
        <v>11275</v>
      </c>
      <c r="F52" s="32"/>
      <c r="G52" s="32" t="n">
        <v>150</v>
      </c>
      <c r="H52" s="33" t="n">
        <v>2</v>
      </c>
      <c r="I52" s="34" t="n">
        <f aca="false">E52*H52+N(F52)+N(G52)</f>
        <v>22700</v>
      </c>
      <c r="J52" s="32" t="n">
        <f aca="false">ROUND(IFERROR(ROUND(IF(OR(ISNUMBER(SEARCH("week",C52)),ISNUMBER(SEARCH("minggu",C52))),IFERROR(_xlfn.NUMBERVALUE(SUBSTITUTE(LEFT(TRIM(C52),FIND(" ",TRIM(C52)&amp;" ")-1),",","."),"."),LEFT(SUBSTITUTE(LEFT(TRIM(C52),FIND(" ",TRIM(C52)&amp;" ")-1),",","."),FIND("/",SUBSTITUTE(LEFT(TRIM(C52),FIND(" ",TRIM(C52)&amp;" ")-1),",","."))-1)/MID(SUBSTITUTE(LEFT(TRIM(C52),FIND(" ",TRIM(C52)&amp;" ")-1),",","."),FIND("/",SUBSTITUTE(LEFT(TRIM(C52),FIND(" ",TRIM(C52)&amp;" ")-1),",","."))+1,9))*12/52,IF(ISNUMBER(SEARCH("month",C52)),IFERROR(_xlfn.NUMBERVALUE(SUBSTITUTE(LEFT(TRIM(C52),FIND(" ",TRIM(C52)&amp;" ")-1),",","."),"."),LEFT(SUBSTITUTE(LEFT(TRIM(C52),FIND(" ",TRIM(C52)&amp;" ")-1),",","."),FIND("/",SUBSTITUTE(LEFT(TRIM(C52),FIND(" ",TRIM(C52)&amp;" ")-1),",","."))-1)/MID(SUBSTITUTE(LEFT(TRIM(C52),FIND(" ",TRIM(C52)&amp;" ")-1),",","."),FIND("/",SUBSTITUTE(LEFT(TRIM(C52),FIND(" ",TRIM(C52)&amp;" ")-1),",","."))+1,9)),IF(ISNUMBER(SEARCH("yea",C52)),IFERROR(_xlfn.NUMBERVALUE(SUBSTITUTE(LEFT(TRIM(C52),FIND(" ",TRIM(C52)&amp;" ")-1),",","."),"."),LEFT(SUBSTITUTE(LEFT(TRIM(C52),FIND(" ",TRIM(C52)&amp;" ")-1),",","."),FIND("/",SUBSTITUTE(LEFT(TRIM(C52),FIND(" ",TRIM(C52)&amp;" ")-1),",","."))-1)/MID(SUBSTITUTE(LEFT(TRIM(C52),FIND(" ",TRIM(C52)&amp;" ")-1),",","."),FIND("/",SUBSTITUTE(LEFT(TRIM(C52),FIND(" ",TRIM(C52)&amp;" ")-1),",","."))+1,9))*12,NA()))),0),36)*'Aturan &amp; Tarif'!$B$4,2)</f>
        <v>2044.08</v>
      </c>
      <c r="K52" s="32" t="n">
        <f aca="false">'Aturan &amp; Tarif'!$B$5</f>
        <v>2050</v>
      </c>
      <c r="L52" s="35" t="n">
        <f aca="false">I52+J52+K52</f>
        <v>26794.08</v>
      </c>
      <c r="M52" s="37" t="s">
        <v>1211</v>
      </c>
    </row>
    <row r="53" customFormat="false" ht="25.5" hidden="false" customHeight="true" outlineLevel="0" collapsed="false">
      <c r="A53" s="29"/>
      <c r="B53" s="30" t="s">
        <v>1215</v>
      </c>
      <c r="C53" s="31" t="s">
        <v>127</v>
      </c>
      <c r="D53" s="31" t="s">
        <v>108</v>
      </c>
      <c r="E53" s="32" t="n">
        <v>11275</v>
      </c>
      <c r="F53" s="32"/>
      <c r="G53" s="32" t="n">
        <v>150</v>
      </c>
      <c r="H53" s="33" t="n">
        <v>2</v>
      </c>
      <c r="I53" s="34" t="n">
        <f aca="false">E53*H53+N(F53)+N(G53)</f>
        <v>22700</v>
      </c>
      <c r="J53" s="32" t="n">
        <f aca="false">ROUND(IFERROR(ROUND(IF(OR(ISNUMBER(SEARCH("week",C53)),ISNUMBER(SEARCH("minggu",C53))),IFERROR(_xlfn.NUMBERVALUE(SUBSTITUTE(LEFT(TRIM(C53),FIND(" ",TRIM(C53)&amp;" ")-1),",","."),"."),LEFT(SUBSTITUTE(LEFT(TRIM(C53),FIND(" ",TRIM(C53)&amp;" ")-1),",","."),FIND("/",SUBSTITUTE(LEFT(TRIM(C53),FIND(" ",TRIM(C53)&amp;" ")-1),",","."))-1)/MID(SUBSTITUTE(LEFT(TRIM(C53),FIND(" ",TRIM(C53)&amp;" ")-1),",","."),FIND("/",SUBSTITUTE(LEFT(TRIM(C53),FIND(" ",TRIM(C53)&amp;" ")-1),",","."))+1,9))*12/52,IF(ISNUMBER(SEARCH("month",C53)),IFERROR(_xlfn.NUMBERVALUE(SUBSTITUTE(LEFT(TRIM(C53),FIND(" ",TRIM(C53)&amp;" ")-1),",","."),"."),LEFT(SUBSTITUTE(LEFT(TRIM(C53),FIND(" ",TRIM(C53)&amp;" ")-1),",","."),FIND("/",SUBSTITUTE(LEFT(TRIM(C53),FIND(" ",TRIM(C53)&amp;" ")-1),",","."))-1)/MID(SUBSTITUTE(LEFT(TRIM(C53),FIND(" ",TRIM(C53)&amp;" ")-1),",","."),FIND("/",SUBSTITUTE(LEFT(TRIM(C53),FIND(" ",TRIM(C53)&amp;" ")-1),",","."))+1,9)),IF(ISNUMBER(SEARCH("yea",C53)),IFERROR(_xlfn.NUMBERVALUE(SUBSTITUTE(LEFT(TRIM(C53),FIND(" ",TRIM(C53)&amp;" ")-1),",","."),"."),LEFT(SUBSTITUTE(LEFT(TRIM(C53),FIND(" ",TRIM(C53)&amp;" ")-1),",","."),FIND("/",SUBSTITUTE(LEFT(TRIM(C53),FIND(" ",TRIM(C53)&amp;" ")-1),",","."))-1)/MID(SUBSTITUTE(LEFT(TRIM(C53),FIND(" ",TRIM(C53)&amp;" ")-1),",","."),FIND("/",SUBSTITUTE(LEFT(TRIM(C53),FIND(" ",TRIM(C53)&amp;" ")-1),",","."))+1,9))*12,NA()))),0),36)*'Aturan &amp; Tarif'!$B$4,2)</f>
        <v>2044.08</v>
      </c>
      <c r="K53" s="32" t="n">
        <f aca="false">'Aturan &amp; Tarif'!$B$5</f>
        <v>2050</v>
      </c>
      <c r="L53" s="35" t="n">
        <f aca="false">I53+J53+K53</f>
        <v>26794.08</v>
      </c>
      <c r="M53" s="37" t="s">
        <v>1211</v>
      </c>
    </row>
    <row r="54" customFormat="false" ht="25.5" hidden="false" customHeight="true" outlineLevel="0" collapsed="false">
      <c r="A54" s="29"/>
      <c r="B54" s="30" t="s">
        <v>1216</v>
      </c>
      <c r="C54" s="31" t="s">
        <v>127</v>
      </c>
      <c r="D54" s="31" t="s">
        <v>108</v>
      </c>
      <c r="E54" s="32" t="n">
        <v>11275</v>
      </c>
      <c r="F54" s="32"/>
      <c r="G54" s="32" t="n">
        <v>150</v>
      </c>
      <c r="H54" s="33" t="n">
        <v>2</v>
      </c>
      <c r="I54" s="34" t="n">
        <f aca="false">E54*H54+N(F54)+N(G54)</f>
        <v>22700</v>
      </c>
      <c r="J54" s="32" t="n">
        <f aca="false">ROUND(IFERROR(ROUND(IF(OR(ISNUMBER(SEARCH("week",C54)),ISNUMBER(SEARCH("minggu",C54))),IFERROR(_xlfn.NUMBERVALUE(SUBSTITUTE(LEFT(TRIM(C54),FIND(" ",TRIM(C54)&amp;" ")-1),",","."),"."),LEFT(SUBSTITUTE(LEFT(TRIM(C54),FIND(" ",TRIM(C54)&amp;" ")-1),",","."),FIND("/",SUBSTITUTE(LEFT(TRIM(C54),FIND(" ",TRIM(C54)&amp;" ")-1),",","."))-1)/MID(SUBSTITUTE(LEFT(TRIM(C54),FIND(" ",TRIM(C54)&amp;" ")-1),",","."),FIND("/",SUBSTITUTE(LEFT(TRIM(C54),FIND(" ",TRIM(C54)&amp;" ")-1),",","."))+1,9))*12/52,IF(ISNUMBER(SEARCH("month",C54)),IFERROR(_xlfn.NUMBERVALUE(SUBSTITUTE(LEFT(TRIM(C54),FIND(" ",TRIM(C54)&amp;" ")-1),",","."),"."),LEFT(SUBSTITUTE(LEFT(TRIM(C54),FIND(" ",TRIM(C54)&amp;" ")-1),",","."),FIND("/",SUBSTITUTE(LEFT(TRIM(C54),FIND(" ",TRIM(C54)&amp;" ")-1),",","."))-1)/MID(SUBSTITUTE(LEFT(TRIM(C54),FIND(" ",TRIM(C54)&amp;" ")-1),",","."),FIND("/",SUBSTITUTE(LEFT(TRIM(C54),FIND(" ",TRIM(C54)&amp;" ")-1),",","."))+1,9)),IF(ISNUMBER(SEARCH("yea",C54)),IFERROR(_xlfn.NUMBERVALUE(SUBSTITUTE(LEFT(TRIM(C54),FIND(" ",TRIM(C54)&amp;" ")-1),",","."),"."),LEFT(SUBSTITUTE(LEFT(TRIM(C54),FIND(" ",TRIM(C54)&amp;" ")-1),",","."),FIND("/",SUBSTITUTE(LEFT(TRIM(C54),FIND(" ",TRIM(C54)&amp;" ")-1),",","."))-1)/MID(SUBSTITUTE(LEFT(TRIM(C54),FIND(" ",TRIM(C54)&amp;" ")-1),",","."),FIND("/",SUBSTITUTE(LEFT(TRIM(C54),FIND(" ",TRIM(C54)&amp;" ")-1),",","."))+1,9))*12,NA()))),0),36)*'Aturan &amp; Tarif'!$B$4,2)</f>
        <v>2044.08</v>
      </c>
      <c r="K54" s="32" t="n">
        <f aca="false">'Aturan &amp; Tarif'!$B$5</f>
        <v>2050</v>
      </c>
      <c r="L54" s="35" t="n">
        <f aca="false">I54+J54+K54</f>
        <v>26794.08</v>
      </c>
      <c r="M54" s="37" t="s">
        <v>1211</v>
      </c>
    </row>
    <row r="55" customFormat="false" ht="25.5" hidden="false" customHeight="true" outlineLevel="0" collapsed="false">
      <c r="A55" s="29"/>
      <c r="B55" s="30" t="s">
        <v>1217</v>
      </c>
      <c r="C55" s="31" t="s">
        <v>127</v>
      </c>
      <c r="D55" s="31" t="s">
        <v>108</v>
      </c>
      <c r="E55" s="32" t="n">
        <v>11275</v>
      </c>
      <c r="F55" s="32"/>
      <c r="G55" s="32" t="n">
        <v>150</v>
      </c>
      <c r="H55" s="33" t="n">
        <v>2</v>
      </c>
      <c r="I55" s="34" t="n">
        <f aca="false">E55*H55+N(F55)+N(G55)</f>
        <v>22700</v>
      </c>
      <c r="J55" s="32" t="n">
        <f aca="false">ROUND(IFERROR(ROUND(IF(OR(ISNUMBER(SEARCH("week",C55)),ISNUMBER(SEARCH("minggu",C55))),IFERROR(_xlfn.NUMBERVALUE(SUBSTITUTE(LEFT(TRIM(C55),FIND(" ",TRIM(C55)&amp;" ")-1),",","."),"."),LEFT(SUBSTITUTE(LEFT(TRIM(C55),FIND(" ",TRIM(C55)&amp;" ")-1),",","."),FIND("/",SUBSTITUTE(LEFT(TRIM(C55),FIND(" ",TRIM(C55)&amp;" ")-1),",","."))-1)/MID(SUBSTITUTE(LEFT(TRIM(C55),FIND(" ",TRIM(C55)&amp;" ")-1),",","."),FIND("/",SUBSTITUTE(LEFT(TRIM(C55),FIND(" ",TRIM(C55)&amp;" ")-1),",","."))+1,9))*12/52,IF(ISNUMBER(SEARCH("month",C55)),IFERROR(_xlfn.NUMBERVALUE(SUBSTITUTE(LEFT(TRIM(C55),FIND(" ",TRIM(C55)&amp;" ")-1),",","."),"."),LEFT(SUBSTITUTE(LEFT(TRIM(C55),FIND(" ",TRIM(C55)&amp;" ")-1),",","."),FIND("/",SUBSTITUTE(LEFT(TRIM(C55),FIND(" ",TRIM(C55)&amp;" ")-1),",","."))-1)/MID(SUBSTITUTE(LEFT(TRIM(C55),FIND(" ",TRIM(C55)&amp;" ")-1),",","."),FIND("/",SUBSTITUTE(LEFT(TRIM(C55),FIND(" ",TRIM(C55)&amp;" ")-1),",","."))+1,9)),IF(ISNUMBER(SEARCH("yea",C55)),IFERROR(_xlfn.NUMBERVALUE(SUBSTITUTE(LEFT(TRIM(C55),FIND(" ",TRIM(C55)&amp;" ")-1),",","."),"."),LEFT(SUBSTITUTE(LEFT(TRIM(C55),FIND(" ",TRIM(C55)&amp;" ")-1),",","."),FIND("/",SUBSTITUTE(LEFT(TRIM(C55),FIND(" ",TRIM(C55)&amp;" ")-1),",","."))-1)/MID(SUBSTITUTE(LEFT(TRIM(C55),FIND(" ",TRIM(C55)&amp;" ")-1),",","."),FIND("/",SUBSTITUTE(LEFT(TRIM(C55),FIND(" ",TRIM(C55)&amp;" ")-1),",","."))+1,9))*12,NA()))),0),36)*'Aturan &amp; Tarif'!$B$4,2)</f>
        <v>2044.08</v>
      </c>
      <c r="K55" s="32" t="n">
        <f aca="false">'Aturan &amp; Tarif'!$B$5</f>
        <v>2050</v>
      </c>
      <c r="L55" s="35" t="n">
        <f aca="false">I55+J55+K55</f>
        <v>26794.08</v>
      </c>
      <c r="M55" s="37" t="s">
        <v>1211</v>
      </c>
    </row>
    <row r="56" customFormat="false" ht="25.5" hidden="false" customHeight="true" outlineLevel="0" collapsed="false">
      <c r="A56" s="29"/>
      <c r="B56" s="30" t="s">
        <v>1218</v>
      </c>
      <c r="C56" s="31" t="s">
        <v>127</v>
      </c>
      <c r="D56" s="31" t="s">
        <v>108</v>
      </c>
      <c r="E56" s="32" t="n">
        <v>11275</v>
      </c>
      <c r="F56" s="32"/>
      <c r="G56" s="32" t="n">
        <v>150</v>
      </c>
      <c r="H56" s="33" t="n">
        <v>2</v>
      </c>
      <c r="I56" s="34" t="n">
        <f aca="false">E56*H56+N(F56)+N(G56)</f>
        <v>22700</v>
      </c>
      <c r="J56" s="32" t="n">
        <f aca="false">ROUND(IFERROR(ROUND(IF(OR(ISNUMBER(SEARCH("week",C56)),ISNUMBER(SEARCH("minggu",C56))),IFERROR(_xlfn.NUMBERVALUE(SUBSTITUTE(LEFT(TRIM(C56),FIND(" ",TRIM(C56)&amp;" ")-1),",","."),"."),LEFT(SUBSTITUTE(LEFT(TRIM(C56),FIND(" ",TRIM(C56)&amp;" ")-1),",","."),FIND("/",SUBSTITUTE(LEFT(TRIM(C56),FIND(" ",TRIM(C56)&amp;" ")-1),",","."))-1)/MID(SUBSTITUTE(LEFT(TRIM(C56),FIND(" ",TRIM(C56)&amp;" ")-1),",","."),FIND("/",SUBSTITUTE(LEFT(TRIM(C56),FIND(" ",TRIM(C56)&amp;" ")-1),",","."))+1,9))*12/52,IF(ISNUMBER(SEARCH("month",C56)),IFERROR(_xlfn.NUMBERVALUE(SUBSTITUTE(LEFT(TRIM(C56),FIND(" ",TRIM(C56)&amp;" ")-1),",","."),"."),LEFT(SUBSTITUTE(LEFT(TRIM(C56),FIND(" ",TRIM(C56)&amp;" ")-1),",","."),FIND("/",SUBSTITUTE(LEFT(TRIM(C56),FIND(" ",TRIM(C56)&amp;" ")-1),",","."))-1)/MID(SUBSTITUTE(LEFT(TRIM(C56),FIND(" ",TRIM(C56)&amp;" ")-1),",","."),FIND("/",SUBSTITUTE(LEFT(TRIM(C56),FIND(" ",TRIM(C56)&amp;" ")-1),",","."))+1,9)),IF(ISNUMBER(SEARCH("yea",C56)),IFERROR(_xlfn.NUMBERVALUE(SUBSTITUTE(LEFT(TRIM(C56),FIND(" ",TRIM(C56)&amp;" ")-1),",","."),"."),LEFT(SUBSTITUTE(LEFT(TRIM(C56),FIND(" ",TRIM(C56)&amp;" ")-1),",","."),FIND("/",SUBSTITUTE(LEFT(TRIM(C56),FIND(" ",TRIM(C56)&amp;" ")-1),",","."))-1)/MID(SUBSTITUTE(LEFT(TRIM(C56),FIND(" ",TRIM(C56)&amp;" ")-1),",","."),FIND("/",SUBSTITUTE(LEFT(TRIM(C56),FIND(" ",TRIM(C56)&amp;" ")-1),",","."))+1,9))*12,NA()))),0),36)*'Aturan &amp; Tarif'!$B$4,2)</f>
        <v>2044.08</v>
      </c>
      <c r="K56" s="32" t="n">
        <f aca="false">'Aturan &amp; Tarif'!$B$5</f>
        <v>2050</v>
      </c>
      <c r="L56" s="35" t="n">
        <f aca="false">I56+J56+K56</f>
        <v>26794.08</v>
      </c>
      <c r="M56" s="37" t="s">
        <v>1211</v>
      </c>
    </row>
    <row r="57" customFormat="false" ht="25.5" hidden="false" customHeight="true" outlineLevel="0" collapsed="false">
      <c r="A57" s="29"/>
      <c r="B57" s="30" t="s">
        <v>1219</v>
      </c>
      <c r="C57" s="31" t="s">
        <v>127</v>
      </c>
      <c r="D57" s="31" t="s">
        <v>108</v>
      </c>
      <c r="E57" s="32" t="n">
        <v>11275</v>
      </c>
      <c r="F57" s="32"/>
      <c r="G57" s="32" t="n">
        <v>150</v>
      </c>
      <c r="H57" s="33" t="n">
        <v>2</v>
      </c>
      <c r="I57" s="34" t="n">
        <f aca="false">E57*H57+N(F57)+N(G57)</f>
        <v>22700</v>
      </c>
      <c r="J57" s="32" t="n">
        <f aca="false">ROUND(IFERROR(ROUND(IF(OR(ISNUMBER(SEARCH("week",C57)),ISNUMBER(SEARCH("minggu",C57))),IFERROR(_xlfn.NUMBERVALUE(SUBSTITUTE(LEFT(TRIM(C57),FIND(" ",TRIM(C57)&amp;" ")-1),",","."),"."),LEFT(SUBSTITUTE(LEFT(TRIM(C57),FIND(" ",TRIM(C57)&amp;" ")-1),",","."),FIND("/",SUBSTITUTE(LEFT(TRIM(C57),FIND(" ",TRIM(C57)&amp;" ")-1),",","."))-1)/MID(SUBSTITUTE(LEFT(TRIM(C57),FIND(" ",TRIM(C57)&amp;" ")-1),",","."),FIND("/",SUBSTITUTE(LEFT(TRIM(C57),FIND(" ",TRIM(C57)&amp;" ")-1),",","."))+1,9))*12/52,IF(ISNUMBER(SEARCH("month",C57)),IFERROR(_xlfn.NUMBERVALUE(SUBSTITUTE(LEFT(TRIM(C57),FIND(" ",TRIM(C57)&amp;" ")-1),",","."),"."),LEFT(SUBSTITUTE(LEFT(TRIM(C57),FIND(" ",TRIM(C57)&amp;" ")-1),",","."),FIND("/",SUBSTITUTE(LEFT(TRIM(C57),FIND(" ",TRIM(C57)&amp;" ")-1),",","."))-1)/MID(SUBSTITUTE(LEFT(TRIM(C57),FIND(" ",TRIM(C57)&amp;" ")-1),",","."),FIND("/",SUBSTITUTE(LEFT(TRIM(C57),FIND(" ",TRIM(C57)&amp;" ")-1),",","."))+1,9)),IF(ISNUMBER(SEARCH("yea",C57)),IFERROR(_xlfn.NUMBERVALUE(SUBSTITUTE(LEFT(TRIM(C57),FIND(" ",TRIM(C57)&amp;" ")-1),",","."),"."),LEFT(SUBSTITUTE(LEFT(TRIM(C57),FIND(" ",TRIM(C57)&amp;" ")-1),",","."),FIND("/",SUBSTITUTE(LEFT(TRIM(C57),FIND(" ",TRIM(C57)&amp;" ")-1),",","."))-1)/MID(SUBSTITUTE(LEFT(TRIM(C57),FIND(" ",TRIM(C57)&amp;" ")-1),",","."),FIND("/",SUBSTITUTE(LEFT(TRIM(C57),FIND(" ",TRIM(C57)&amp;" ")-1),",","."))+1,9))*12,NA()))),0),36)*'Aturan &amp; Tarif'!$B$4,2)</f>
        <v>2044.08</v>
      </c>
      <c r="K57" s="32" t="n">
        <f aca="false">'Aturan &amp; Tarif'!$B$5</f>
        <v>2050</v>
      </c>
      <c r="L57" s="35" t="n">
        <f aca="false">I57+J57+K57</f>
        <v>26794.08</v>
      </c>
      <c r="M57" s="37" t="s">
        <v>1211</v>
      </c>
    </row>
    <row r="58" customFormat="false" ht="25.5" hidden="false" customHeight="true" outlineLevel="0" collapsed="false">
      <c r="A58" s="29"/>
      <c r="B58" s="30" t="s">
        <v>1220</v>
      </c>
      <c r="C58" s="31" t="s">
        <v>127</v>
      </c>
      <c r="D58" s="31" t="s">
        <v>108</v>
      </c>
      <c r="E58" s="32" t="n">
        <v>11275</v>
      </c>
      <c r="F58" s="32"/>
      <c r="G58" s="32" t="n">
        <v>150</v>
      </c>
      <c r="H58" s="33" t="n">
        <v>2</v>
      </c>
      <c r="I58" s="34" t="n">
        <f aca="false">E58*H58+N(F58)+N(G58)</f>
        <v>22700</v>
      </c>
      <c r="J58" s="32" t="n">
        <f aca="false">ROUND(IFERROR(ROUND(IF(OR(ISNUMBER(SEARCH("week",C58)),ISNUMBER(SEARCH("minggu",C58))),IFERROR(_xlfn.NUMBERVALUE(SUBSTITUTE(LEFT(TRIM(C58),FIND(" ",TRIM(C58)&amp;" ")-1),",","."),"."),LEFT(SUBSTITUTE(LEFT(TRIM(C58),FIND(" ",TRIM(C58)&amp;" ")-1),",","."),FIND("/",SUBSTITUTE(LEFT(TRIM(C58),FIND(" ",TRIM(C58)&amp;" ")-1),",","."))-1)/MID(SUBSTITUTE(LEFT(TRIM(C58),FIND(" ",TRIM(C58)&amp;" ")-1),",","."),FIND("/",SUBSTITUTE(LEFT(TRIM(C58),FIND(" ",TRIM(C58)&amp;" ")-1),",","."))+1,9))*12/52,IF(ISNUMBER(SEARCH("month",C58)),IFERROR(_xlfn.NUMBERVALUE(SUBSTITUTE(LEFT(TRIM(C58),FIND(" ",TRIM(C58)&amp;" ")-1),",","."),"."),LEFT(SUBSTITUTE(LEFT(TRIM(C58),FIND(" ",TRIM(C58)&amp;" ")-1),",","."),FIND("/",SUBSTITUTE(LEFT(TRIM(C58),FIND(" ",TRIM(C58)&amp;" ")-1),",","."))-1)/MID(SUBSTITUTE(LEFT(TRIM(C58),FIND(" ",TRIM(C58)&amp;" ")-1),",","."),FIND("/",SUBSTITUTE(LEFT(TRIM(C58),FIND(" ",TRIM(C58)&amp;" ")-1),",","."))+1,9)),IF(ISNUMBER(SEARCH("yea",C58)),IFERROR(_xlfn.NUMBERVALUE(SUBSTITUTE(LEFT(TRIM(C58),FIND(" ",TRIM(C58)&amp;" ")-1),",","."),"."),LEFT(SUBSTITUTE(LEFT(TRIM(C58),FIND(" ",TRIM(C58)&amp;" ")-1),",","."),FIND("/",SUBSTITUTE(LEFT(TRIM(C58),FIND(" ",TRIM(C58)&amp;" ")-1),",","."))-1)/MID(SUBSTITUTE(LEFT(TRIM(C58),FIND(" ",TRIM(C58)&amp;" ")-1),",","."),FIND("/",SUBSTITUTE(LEFT(TRIM(C58),FIND(" ",TRIM(C58)&amp;" ")-1),",","."))+1,9))*12,NA()))),0),36)*'Aturan &amp; Tarif'!$B$4,2)</f>
        <v>2044.08</v>
      </c>
      <c r="K58" s="32" t="n">
        <f aca="false">'Aturan &amp; Tarif'!$B$5</f>
        <v>2050</v>
      </c>
      <c r="L58" s="35" t="n">
        <f aca="false">I58+J58+K58</f>
        <v>26794.08</v>
      </c>
      <c r="M58" s="37" t="s">
        <v>1211</v>
      </c>
    </row>
    <row r="59" customFormat="false" ht="25.5" hidden="false" customHeight="true" outlineLevel="0" collapsed="false">
      <c r="A59" s="29"/>
      <c r="B59" s="30" t="s">
        <v>1221</v>
      </c>
      <c r="C59" s="31" t="s">
        <v>127</v>
      </c>
      <c r="D59" s="31" t="s">
        <v>108</v>
      </c>
      <c r="E59" s="32" t="n">
        <v>11275</v>
      </c>
      <c r="F59" s="32"/>
      <c r="G59" s="32" t="n">
        <v>150</v>
      </c>
      <c r="H59" s="33" t="n">
        <v>2</v>
      </c>
      <c r="I59" s="34" t="n">
        <f aca="false">E59*H59+N(F59)+N(G59)</f>
        <v>22700</v>
      </c>
      <c r="J59" s="32" t="n">
        <f aca="false">ROUND(IFERROR(ROUND(IF(OR(ISNUMBER(SEARCH("week",C59)),ISNUMBER(SEARCH("minggu",C59))),IFERROR(_xlfn.NUMBERVALUE(SUBSTITUTE(LEFT(TRIM(C59),FIND(" ",TRIM(C59)&amp;" ")-1),",","."),"."),LEFT(SUBSTITUTE(LEFT(TRIM(C59),FIND(" ",TRIM(C59)&amp;" ")-1),",","."),FIND("/",SUBSTITUTE(LEFT(TRIM(C59),FIND(" ",TRIM(C59)&amp;" ")-1),",","."))-1)/MID(SUBSTITUTE(LEFT(TRIM(C59),FIND(" ",TRIM(C59)&amp;" ")-1),",","."),FIND("/",SUBSTITUTE(LEFT(TRIM(C59),FIND(" ",TRIM(C59)&amp;" ")-1),",","."))+1,9))*12/52,IF(ISNUMBER(SEARCH("month",C59)),IFERROR(_xlfn.NUMBERVALUE(SUBSTITUTE(LEFT(TRIM(C59),FIND(" ",TRIM(C59)&amp;" ")-1),",","."),"."),LEFT(SUBSTITUTE(LEFT(TRIM(C59),FIND(" ",TRIM(C59)&amp;" ")-1),",","."),FIND("/",SUBSTITUTE(LEFT(TRIM(C59),FIND(" ",TRIM(C59)&amp;" ")-1),",","."))-1)/MID(SUBSTITUTE(LEFT(TRIM(C59),FIND(" ",TRIM(C59)&amp;" ")-1),",","."),FIND("/",SUBSTITUTE(LEFT(TRIM(C59),FIND(" ",TRIM(C59)&amp;" ")-1),",","."))+1,9)),IF(ISNUMBER(SEARCH("yea",C59)),IFERROR(_xlfn.NUMBERVALUE(SUBSTITUTE(LEFT(TRIM(C59),FIND(" ",TRIM(C59)&amp;" ")-1),",","."),"."),LEFT(SUBSTITUTE(LEFT(TRIM(C59),FIND(" ",TRIM(C59)&amp;" ")-1),",","."),FIND("/",SUBSTITUTE(LEFT(TRIM(C59),FIND(" ",TRIM(C59)&amp;" ")-1),",","."))-1)/MID(SUBSTITUTE(LEFT(TRIM(C59),FIND(" ",TRIM(C59)&amp;" ")-1),",","."),FIND("/",SUBSTITUTE(LEFT(TRIM(C59),FIND(" ",TRIM(C59)&amp;" ")-1),",","."))+1,9))*12,NA()))),0),36)*'Aturan &amp; Tarif'!$B$4,2)</f>
        <v>2044.08</v>
      </c>
      <c r="K59" s="32" t="n">
        <f aca="false">'Aturan &amp; Tarif'!$B$5</f>
        <v>2050</v>
      </c>
      <c r="L59" s="35" t="n">
        <f aca="false">I59+J59+K59</f>
        <v>26794.08</v>
      </c>
      <c r="M59" s="37" t="s">
        <v>1211</v>
      </c>
    </row>
    <row r="60" customFormat="false" ht="25.5" hidden="false" customHeight="true" outlineLevel="0" collapsed="false">
      <c r="A60" s="29"/>
      <c r="B60" s="30" t="s">
        <v>1222</v>
      </c>
      <c r="C60" s="31" t="s">
        <v>127</v>
      </c>
      <c r="D60" s="31" t="s">
        <v>108</v>
      </c>
      <c r="E60" s="32" t="n">
        <v>11275</v>
      </c>
      <c r="F60" s="32"/>
      <c r="G60" s="32" t="n">
        <v>150</v>
      </c>
      <c r="H60" s="33" t="n">
        <v>2</v>
      </c>
      <c r="I60" s="34" t="n">
        <f aca="false">E60*H60+N(F60)+N(G60)</f>
        <v>22700</v>
      </c>
      <c r="J60" s="32" t="n">
        <f aca="false">ROUND(IFERROR(ROUND(IF(OR(ISNUMBER(SEARCH("week",C60)),ISNUMBER(SEARCH("minggu",C60))),IFERROR(_xlfn.NUMBERVALUE(SUBSTITUTE(LEFT(TRIM(C60),FIND(" ",TRIM(C60)&amp;" ")-1),",","."),"."),LEFT(SUBSTITUTE(LEFT(TRIM(C60),FIND(" ",TRIM(C60)&amp;" ")-1),",","."),FIND("/",SUBSTITUTE(LEFT(TRIM(C60),FIND(" ",TRIM(C60)&amp;" ")-1),",","."))-1)/MID(SUBSTITUTE(LEFT(TRIM(C60),FIND(" ",TRIM(C60)&amp;" ")-1),",","."),FIND("/",SUBSTITUTE(LEFT(TRIM(C60),FIND(" ",TRIM(C60)&amp;" ")-1),",","."))+1,9))*12/52,IF(ISNUMBER(SEARCH("month",C60)),IFERROR(_xlfn.NUMBERVALUE(SUBSTITUTE(LEFT(TRIM(C60),FIND(" ",TRIM(C60)&amp;" ")-1),",","."),"."),LEFT(SUBSTITUTE(LEFT(TRIM(C60),FIND(" ",TRIM(C60)&amp;" ")-1),",","."),FIND("/",SUBSTITUTE(LEFT(TRIM(C60),FIND(" ",TRIM(C60)&amp;" ")-1),",","."))-1)/MID(SUBSTITUTE(LEFT(TRIM(C60),FIND(" ",TRIM(C60)&amp;" ")-1),",","."),FIND("/",SUBSTITUTE(LEFT(TRIM(C60),FIND(" ",TRIM(C60)&amp;" ")-1),",","."))+1,9)),IF(ISNUMBER(SEARCH("yea",C60)),IFERROR(_xlfn.NUMBERVALUE(SUBSTITUTE(LEFT(TRIM(C60),FIND(" ",TRIM(C60)&amp;" ")-1),",","."),"."),LEFT(SUBSTITUTE(LEFT(TRIM(C60),FIND(" ",TRIM(C60)&amp;" ")-1),",","."),FIND("/",SUBSTITUTE(LEFT(TRIM(C60),FIND(" ",TRIM(C60)&amp;" ")-1),",","."))-1)/MID(SUBSTITUTE(LEFT(TRIM(C60),FIND(" ",TRIM(C60)&amp;" ")-1),",","."),FIND("/",SUBSTITUTE(LEFT(TRIM(C60),FIND(" ",TRIM(C60)&amp;" ")-1),",","."))+1,9))*12,NA()))),0),36)*'Aturan &amp; Tarif'!$B$4,2)</f>
        <v>2044.08</v>
      </c>
      <c r="K60" s="32" t="n">
        <f aca="false">'Aturan &amp; Tarif'!$B$5</f>
        <v>2050</v>
      </c>
      <c r="L60" s="35" t="n">
        <f aca="false">I60+J60+K60</f>
        <v>26794.08</v>
      </c>
      <c r="M60" s="37" t="s">
        <v>1211</v>
      </c>
    </row>
    <row r="61" customFormat="false" ht="14.25" hidden="false" customHeight="true" outlineLevel="0" collapsed="false">
      <c r="A61" s="29"/>
      <c r="B61" s="30" t="s">
        <v>1223</v>
      </c>
      <c r="C61" s="31" t="s">
        <v>127</v>
      </c>
      <c r="D61" s="31" t="s">
        <v>108</v>
      </c>
      <c r="E61" s="32" t="n">
        <v>11275</v>
      </c>
      <c r="F61" s="32"/>
      <c r="G61" s="32" t="n">
        <v>150</v>
      </c>
      <c r="H61" s="33" t="n">
        <v>2</v>
      </c>
      <c r="I61" s="34" t="n">
        <f aca="false">E61*H61+N(F61)+N(G61)</f>
        <v>22700</v>
      </c>
      <c r="J61" s="32" t="n">
        <f aca="false">ROUND(IFERROR(ROUND(IF(OR(ISNUMBER(SEARCH("week",C61)),ISNUMBER(SEARCH("minggu",C61))),IFERROR(_xlfn.NUMBERVALUE(SUBSTITUTE(LEFT(TRIM(C61),FIND(" ",TRIM(C61)&amp;" ")-1),",","."),"."),LEFT(SUBSTITUTE(LEFT(TRIM(C61),FIND(" ",TRIM(C61)&amp;" ")-1),",","."),FIND("/",SUBSTITUTE(LEFT(TRIM(C61),FIND(" ",TRIM(C61)&amp;" ")-1),",","."))-1)/MID(SUBSTITUTE(LEFT(TRIM(C61),FIND(" ",TRIM(C61)&amp;" ")-1),",","."),FIND("/",SUBSTITUTE(LEFT(TRIM(C61),FIND(" ",TRIM(C61)&amp;" ")-1),",","."))+1,9))*12/52,IF(ISNUMBER(SEARCH("month",C61)),IFERROR(_xlfn.NUMBERVALUE(SUBSTITUTE(LEFT(TRIM(C61),FIND(" ",TRIM(C61)&amp;" ")-1),",","."),"."),LEFT(SUBSTITUTE(LEFT(TRIM(C61),FIND(" ",TRIM(C61)&amp;" ")-1),",","."),FIND("/",SUBSTITUTE(LEFT(TRIM(C61),FIND(" ",TRIM(C61)&amp;" ")-1),",","."))-1)/MID(SUBSTITUTE(LEFT(TRIM(C61),FIND(" ",TRIM(C61)&amp;" ")-1),",","."),FIND("/",SUBSTITUTE(LEFT(TRIM(C61),FIND(" ",TRIM(C61)&amp;" ")-1),",","."))+1,9)),IF(ISNUMBER(SEARCH("yea",C61)),IFERROR(_xlfn.NUMBERVALUE(SUBSTITUTE(LEFT(TRIM(C61),FIND(" ",TRIM(C61)&amp;" ")-1),",","."),"."),LEFT(SUBSTITUTE(LEFT(TRIM(C61),FIND(" ",TRIM(C61)&amp;" ")-1),",","."),FIND("/",SUBSTITUTE(LEFT(TRIM(C61),FIND(" ",TRIM(C61)&amp;" ")-1),",","."))-1)/MID(SUBSTITUTE(LEFT(TRIM(C61),FIND(" ",TRIM(C61)&amp;" ")-1),",","."),FIND("/",SUBSTITUTE(LEFT(TRIM(C61),FIND(" ",TRIM(C61)&amp;" ")-1),",","."))+1,9))*12,NA()))),0),36)*'Aturan &amp; Tarif'!$B$4,2)</f>
        <v>2044.08</v>
      </c>
      <c r="K61" s="32" t="n">
        <f aca="false">'Aturan &amp; Tarif'!$B$5</f>
        <v>2050</v>
      </c>
      <c r="L61" s="35" t="n">
        <f aca="false">I61+J61+K61</f>
        <v>26794.08</v>
      </c>
      <c r="M61" s="37" t="s">
        <v>1211</v>
      </c>
    </row>
    <row r="62" customFormat="false" ht="25.5" hidden="false" customHeight="true" outlineLevel="0" collapsed="false">
      <c r="A62" s="29"/>
      <c r="B62" s="30" t="s">
        <v>1224</v>
      </c>
      <c r="C62" s="31" t="s">
        <v>127</v>
      </c>
      <c r="D62" s="31" t="s">
        <v>108</v>
      </c>
      <c r="E62" s="32" t="n">
        <v>11275</v>
      </c>
      <c r="F62" s="32"/>
      <c r="G62" s="32" t="n">
        <v>150</v>
      </c>
      <c r="H62" s="33" t="n">
        <v>2</v>
      </c>
      <c r="I62" s="34" t="n">
        <f aca="false">E62*H62+N(F62)+N(G62)</f>
        <v>22700</v>
      </c>
      <c r="J62" s="32" t="n">
        <f aca="false">ROUND(IFERROR(ROUND(IF(OR(ISNUMBER(SEARCH("week",C62)),ISNUMBER(SEARCH("minggu",C62))),IFERROR(_xlfn.NUMBERVALUE(SUBSTITUTE(LEFT(TRIM(C62),FIND(" ",TRIM(C62)&amp;" ")-1),",","."),"."),LEFT(SUBSTITUTE(LEFT(TRIM(C62),FIND(" ",TRIM(C62)&amp;" ")-1),",","."),FIND("/",SUBSTITUTE(LEFT(TRIM(C62),FIND(" ",TRIM(C62)&amp;" ")-1),",","."))-1)/MID(SUBSTITUTE(LEFT(TRIM(C62),FIND(" ",TRIM(C62)&amp;" ")-1),",","."),FIND("/",SUBSTITUTE(LEFT(TRIM(C62),FIND(" ",TRIM(C62)&amp;" ")-1),",","."))+1,9))*12/52,IF(ISNUMBER(SEARCH("month",C62)),IFERROR(_xlfn.NUMBERVALUE(SUBSTITUTE(LEFT(TRIM(C62),FIND(" ",TRIM(C62)&amp;" ")-1),",","."),"."),LEFT(SUBSTITUTE(LEFT(TRIM(C62),FIND(" ",TRIM(C62)&amp;" ")-1),",","."),FIND("/",SUBSTITUTE(LEFT(TRIM(C62),FIND(" ",TRIM(C62)&amp;" ")-1),",","."))-1)/MID(SUBSTITUTE(LEFT(TRIM(C62),FIND(" ",TRIM(C62)&amp;" ")-1),",","."),FIND("/",SUBSTITUTE(LEFT(TRIM(C62),FIND(" ",TRIM(C62)&amp;" ")-1),",","."))+1,9)),IF(ISNUMBER(SEARCH("yea",C62)),IFERROR(_xlfn.NUMBERVALUE(SUBSTITUTE(LEFT(TRIM(C62),FIND(" ",TRIM(C62)&amp;" ")-1),",","."),"."),LEFT(SUBSTITUTE(LEFT(TRIM(C62),FIND(" ",TRIM(C62)&amp;" ")-1),",","."),FIND("/",SUBSTITUTE(LEFT(TRIM(C62),FIND(" ",TRIM(C62)&amp;" ")-1),",","."))-1)/MID(SUBSTITUTE(LEFT(TRIM(C62),FIND(" ",TRIM(C62)&amp;" ")-1),",","."),FIND("/",SUBSTITUTE(LEFT(TRIM(C62),FIND(" ",TRIM(C62)&amp;" ")-1),",","."))+1,9))*12,NA()))),0),36)*'Aturan &amp; Tarif'!$B$4,2)</f>
        <v>2044.08</v>
      </c>
      <c r="K62" s="32" t="n">
        <f aca="false">'Aturan &amp; Tarif'!$B$5</f>
        <v>2050</v>
      </c>
      <c r="L62" s="35" t="n">
        <f aca="false">I62+J62+K62</f>
        <v>26794.08</v>
      </c>
      <c r="M62" s="37" t="s">
        <v>1211</v>
      </c>
    </row>
    <row r="63" customFormat="false" ht="14.25" hidden="false" customHeight="true" outlineLevel="0" collapsed="false">
      <c r="A63" s="29"/>
      <c r="B63" s="30" t="s">
        <v>1225</v>
      </c>
      <c r="C63" s="31" t="s">
        <v>127</v>
      </c>
      <c r="D63" s="31" t="s">
        <v>108</v>
      </c>
      <c r="E63" s="32" t="n">
        <v>11275</v>
      </c>
      <c r="F63" s="32"/>
      <c r="G63" s="32" t="n">
        <v>150</v>
      </c>
      <c r="H63" s="33" t="n">
        <v>2</v>
      </c>
      <c r="I63" s="34" t="n">
        <f aca="false">E63*H63+N(F63)+N(G63)</f>
        <v>22700</v>
      </c>
      <c r="J63" s="32" t="n">
        <f aca="false">ROUND(IFERROR(ROUND(IF(OR(ISNUMBER(SEARCH("week",C63)),ISNUMBER(SEARCH("minggu",C63))),IFERROR(_xlfn.NUMBERVALUE(SUBSTITUTE(LEFT(TRIM(C63),FIND(" ",TRIM(C63)&amp;" ")-1),",","."),"."),LEFT(SUBSTITUTE(LEFT(TRIM(C63),FIND(" ",TRIM(C63)&amp;" ")-1),",","."),FIND("/",SUBSTITUTE(LEFT(TRIM(C63),FIND(" ",TRIM(C63)&amp;" ")-1),",","."))-1)/MID(SUBSTITUTE(LEFT(TRIM(C63),FIND(" ",TRIM(C63)&amp;" ")-1),",","."),FIND("/",SUBSTITUTE(LEFT(TRIM(C63),FIND(" ",TRIM(C63)&amp;" ")-1),",","."))+1,9))*12/52,IF(ISNUMBER(SEARCH("month",C63)),IFERROR(_xlfn.NUMBERVALUE(SUBSTITUTE(LEFT(TRIM(C63),FIND(" ",TRIM(C63)&amp;" ")-1),",","."),"."),LEFT(SUBSTITUTE(LEFT(TRIM(C63),FIND(" ",TRIM(C63)&amp;" ")-1),",","."),FIND("/",SUBSTITUTE(LEFT(TRIM(C63),FIND(" ",TRIM(C63)&amp;" ")-1),",","."))-1)/MID(SUBSTITUTE(LEFT(TRIM(C63),FIND(" ",TRIM(C63)&amp;" ")-1),",","."),FIND("/",SUBSTITUTE(LEFT(TRIM(C63),FIND(" ",TRIM(C63)&amp;" ")-1),",","."))+1,9)),IF(ISNUMBER(SEARCH("yea",C63)),IFERROR(_xlfn.NUMBERVALUE(SUBSTITUTE(LEFT(TRIM(C63),FIND(" ",TRIM(C63)&amp;" ")-1),",","."),"."),LEFT(SUBSTITUTE(LEFT(TRIM(C63),FIND(" ",TRIM(C63)&amp;" ")-1),",","."),FIND("/",SUBSTITUTE(LEFT(TRIM(C63),FIND(" ",TRIM(C63)&amp;" ")-1),",","."))-1)/MID(SUBSTITUTE(LEFT(TRIM(C63),FIND(" ",TRIM(C63)&amp;" ")-1),",","."),FIND("/",SUBSTITUTE(LEFT(TRIM(C63),FIND(" ",TRIM(C63)&amp;" ")-1),",","."))+1,9))*12,NA()))),0),36)*'Aturan &amp; Tarif'!$B$4,2)</f>
        <v>2044.08</v>
      </c>
      <c r="K63" s="32" t="n">
        <f aca="false">'Aturan &amp; Tarif'!$B$5</f>
        <v>2050</v>
      </c>
      <c r="L63" s="35" t="n">
        <f aca="false">I63+J63+K63</f>
        <v>26794.08</v>
      </c>
      <c r="M63" s="37" t="s">
        <v>1211</v>
      </c>
    </row>
    <row r="64" customFormat="false" ht="25.5" hidden="false" customHeight="true" outlineLevel="0" collapsed="false">
      <c r="A64" s="29"/>
      <c r="B64" s="30" t="s">
        <v>1226</v>
      </c>
      <c r="C64" s="31" t="s">
        <v>127</v>
      </c>
      <c r="D64" s="31" t="s">
        <v>108</v>
      </c>
      <c r="E64" s="32" t="n">
        <v>11275</v>
      </c>
      <c r="F64" s="32"/>
      <c r="G64" s="32" t="n">
        <v>150</v>
      </c>
      <c r="H64" s="33" t="n">
        <v>2</v>
      </c>
      <c r="I64" s="34" t="n">
        <f aca="false">E64*H64+N(F64)+N(G64)</f>
        <v>22700</v>
      </c>
      <c r="J64" s="32" t="n">
        <f aca="false">ROUND(IFERROR(ROUND(IF(OR(ISNUMBER(SEARCH("week",C64)),ISNUMBER(SEARCH("minggu",C64))),IFERROR(_xlfn.NUMBERVALUE(SUBSTITUTE(LEFT(TRIM(C64),FIND(" ",TRIM(C64)&amp;" ")-1),",","."),"."),LEFT(SUBSTITUTE(LEFT(TRIM(C64),FIND(" ",TRIM(C64)&amp;" ")-1),",","."),FIND("/",SUBSTITUTE(LEFT(TRIM(C64),FIND(" ",TRIM(C64)&amp;" ")-1),",","."))-1)/MID(SUBSTITUTE(LEFT(TRIM(C64),FIND(" ",TRIM(C64)&amp;" ")-1),",","."),FIND("/",SUBSTITUTE(LEFT(TRIM(C64),FIND(" ",TRIM(C64)&amp;" ")-1),",","."))+1,9))*12/52,IF(ISNUMBER(SEARCH("month",C64)),IFERROR(_xlfn.NUMBERVALUE(SUBSTITUTE(LEFT(TRIM(C64),FIND(" ",TRIM(C64)&amp;" ")-1),",","."),"."),LEFT(SUBSTITUTE(LEFT(TRIM(C64),FIND(" ",TRIM(C64)&amp;" ")-1),",","."),FIND("/",SUBSTITUTE(LEFT(TRIM(C64),FIND(" ",TRIM(C64)&amp;" ")-1),",","."))-1)/MID(SUBSTITUTE(LEFT(TRIM(C64),FIND(" ",TRIM(C64)&amp;" ")-1),",","."),FIND("/",SUBSTITUTE(LEFT(TRIM(C64),FIND(" ",TRIM(C64)&amp;" ")-1),",","."))+1,9)),IF(ISNUMBER(SEARCH("yea",C64)),IFERROR(_xlfn.NUMBERVALUE(SUBSTITUTE(LEFT(TRIM(C64),FIND(" ",TRIM(C64)&amp;" ")-1),",","."),"."),LEFT(SUBSTITUTE(LEFT(TRIM(C64),FIND(" ",TRIM(C64)&amp;" ")-1),",","."),FIND("/",SUBSTITUTE(LEFT(TRIM(C64),FIND(" ",TRIM(C64)&amp;" ")-1),",","."))-1)/MID(SUBSTITUTE(LEFT(TRIM(C64),FIND(" ",TRIM(C64)&amp;" ")-1),",","."),FIND("/",SUBSTITUTE(LEFT(TRIM(C64),FIND(" ",TRIM(C64)&amp;" ")-1),",","."))+1,9))*12,NA()))),0),36)*'Aturan &amp; Tarif'!$B$4,2)</f>
        <v>2044.08</v>
      </c>
      <c r="K64" s="32" t="n">
        <f aca="false">'Aturan &amp; Tarif'!$B$5</f>
        <v>2050</v>
      </c>
      <c r="L64" s="35" t="n">
        <f aca="false">I64+J64+K64</f>
        <v>26794.08</v>
      </c>
      <c r="M64" s="37" t="s">
        <v>1211</v>
      </c>
    </row>
    <row r="65" customFormat="false" ht="25.5" hidden="false" customHeight="true" outlineLevel="0" collapsed="false">
      <c r="A65" s="29"/>
      <c r="B65" s="30" t="s">
        <v>1227</v>
      </c>
      <c r="C65" s="31" t="s">
        <v>127</v>
      </c>
      <c r="D65" s="31" t="s">
        <v>108</v>
      </c>
      <c r="E65" s="32" t="n">
        <v>11275</v>
      </c>
      <c r="F65" s="32"/>
      <c r="G65" s="32" t="n">
        <v>150</v>
      </c>
      <c r="H65" s="33" t="n">
        <v>2</v>
      </c>
      <c r="I65" s="34" t="n">
        <f aca="false">E65*H65+N(F65)+N(G65)</f>
        <v>22700</v>
      </c>
      <c r="J65" s="32" t="n">
        <f aca="false">ROUND(IFERROR(ROUND(IF(OR(ISNUMBER(SEARCH("week",C65)),ISNUMBER(SEARCH("minggu",C65))),IFERROR(_xlfn.NUMBERVALUE(SUBSTITUTE(LEFT(TRIM(C65),FIND(" ",TRIM(C65)&amp;" ")-1),",","."),"."),LEFT(SUBSTITUTE(LEFT(TRIM(C65),FIND(" ",TRIM(C65)&amp;" ")-1),",","."),FIND("/",SUBSTITUTE(LEFT(TRIM(C65),FIND(" ",TRIM(C65)&amp;" ")-1),",","."))-1)/MID(SUBSTITUTE(LEFT(TRIM(C65),FIND(" ",TRIM(C65)&amp;" ")-1),",","."),FIND("/",SUBSTITUTE(LEFT(TRIM(C65),FIND(" ",TRIM(C65)&amp;" ")-1),",","."))+1,9))*12/52,IF(ISNUMBER(SEARCH("month",C65)),IFERROR(_xlfn.NUMBERVALUE(SUBSTITUTE(LEFT(TRIM(C65),FIND(" ",TRIM(C65)&amp;" ")-1),",","."),"."),LEFT(SUBSTITUTE(LEFT(TRIM(C65),FIND(" ",TRIM(C65)&amp;" ")-1),",","."),FIND("/",SUBSTITUTE(LEFT(TRIM(C65),FIND(" ",TRIM(C65)&amp;" ")-1),",","."))-1)/MID(SUBSTITUTE(LEFT(TRIM(C65),FIND(" ",TRIM(C65)&amp;" ")-1),",","."),FIND("/",SUBSTITUTE(LEFT(TRIM(C65),FIND(" ",TRIM(C65)&amp;" ")-1),",","."))+1,9)),IF(ISNUMBER(SEARCH("yea",C65)),IFERROR(_xlfn.NUMBERVALUE(SUBSTITUTE(LEFT(TRIM(C65),FIND(" ",TRIM(C65)&amp;" ")-1),",","."),"."),LEFT(SUBSTITUTE(LEFT(TRIM(C65),FIND(" ",TRIM(C65)&amp;" ")-1),",","."),FIND("/",SUBSTITUTE(LEFT(TRIM(C65),FIND(" ",TRIM(C65)&amp;" ")-1),",","."))-1)/MID(SUBSTITUTE(LEFT(TRIM(C65),FIND(" ",TRIM(C65)&amp;" ")-1),",","."),FIND("/",SUBSTITUTE(LEFT(TRIM(C65),FIND(" ",TRIM(C65)&amp;" ")-1),",","."))+1,9))*12,NA()))),0),36)*'Aturan &amp; Tarif'!$B$4,2)</f>
        <v>2044.08</v>
      </c>
      <c r="K65" s="32" t="n">
        <f aca="false">'Aturan &amp; Tarif'!$B$5</f>
        <v>2050</v>
      </c>
      <c r="L65" s="35" t="n">
        <f aca="false">I65+J65+K65</f>
        <v>26794.08</v>
      </c>
      <c r="M65" s="37" t="s">
        <v>1211</v>
      </c>
    </row>
    <row r="66" customFormat="false" ht="25.5" hidden="false" customHeight="true" outlineLevel="0" collapsed="false">
      <c r="A66" s="29"/>
      <c r="B66" s="30" t="s">
        <v>1228</v>
      </c>
      <c r="C66" s="31" t="s">
        <v>127</v>
      </c>
      <c r="D66" s="31" t="s">
        <v>108</v>
      </c>
      <c r="E66" s="32" t="n">
        <v>11275</v>
      </c>
      <c r="F66" s="32"/>
      <c r="G66" s="32" t="n">
        <v>150</v>
      </c>
      <c r="H66" s="33" t="n">
        <v>2</v>
      </c>
      <c r="I66" s="34" t="n">
        <f aca="false">E66*H66+N(F66)+N(G66)</f>
        <v>22700</v>
      </c>
      <c r="J66" s="32" t="n">
        <f aca="false">ROUND(IFERROR(ROUND(IF(OR(ISNUMBER(SEARCH("week",C66)),ISNUMBER(SEARCH("minggu",C66))),IFERROR(_xlfn.NUMBERVALUE(SUBSTITUTE(LEFT(TRIM(C66),FIND(" ",TRIM(C66)&amp;" ")-1),",","."),"."),LEFT(SUBSTITUTE(LEFT(TRIM(C66),FIND(" ",TRIM(C66)&amp;" ")-1),",","."),FIND("/",SUBSTITUTE(LEFT(TRIM(C66),FIND(" ",TRIM(C66)&amp;" ")-1),",","."))-1)/MID(SUBSTITUTE(LEFT(TRIM(C66),FIND(" ",TRIM(C66)&amp;" ")-1),",","."),FIND("/",SUBSTITUTE(LEFT(TRIM(C66),FIND(" ",TRIM(C66)&amp;" ")-1),",","."))+1,9))*12/52,IF(ISNUMBER(SEARCH("month",C66)),IFERROR(_xlfn.NUMBERVALUE(SUBSTITUTE(LEFT(TRIM(C66),FIND(" ",TRIM(C66)&amp;" ")-1),",","."),"."),LEFT(SUBSTITUTE(LEFT(TRIM(C66),FIND(" ",TRIM(C66)&amp;" ")-1),",","."),FIND("/",SUBSTITUTE(LEFT(TRIM(C66),FIND(" ",TRIM(C66)&amp;" ")-1),",","."))-1)/MID(SUBSTITUTE(LEFT(TRIM(C66),FIND(" ",TRIM(C66)&amp;" ")-1),",","."),FIND("/",SUBSTITUTE(LEFT(TRIM(C66),FIND(" ",TRIM(C66)&amp;" ")-1),",","."))+1,9)),IF(ISNUMBER(SEARCH("yea",C66)),IFERROR(_xlfn.NUMBERVALUE(SUBSTITUTE(LEFT(TRIM(C66),FIND(" ",TRIM(C66)&amp;" ")-1),",","."),"."),LEFT(SUBSTITUTE(LEFT(TRIM(C66),FIND(" ",TRIM(C66)&amp;" ")-1),",","."),FIND("/",SUBSTITUTE(LEFT(TRIM(C66),FIND(" ",TRIM(C66)&amp;" ")-1),",","."))-1)/MID(SUBSTITUTE(LEFT(TRIM(C66),FIND(" ",TRIM(C66)&amp;" ")-1),",","."),FIND("/",SUBSTITUTE(LEFT(TRIM(C66),FIND(" ",TRIM(C66)&amp;" ")-1),",","."))+1,9))*12,NA()))),0),36)*'Aturan &amp; Tarif'!$B$4,2)</f>
        <v>2044.08</v>
      </c>
      <c r="K66" s="32" t="n">
        <f aca="false">'Aturan &amp; Tarif'!$B$5</f>
        <v>2050</v>
      </c>
      <c r="L66" s="35" t="n">
        <f aca="false">I66+J66+K66</f>
        <v>26794.08</v>
      </c>
      <c r="M66" s="37" t="s">
        <v>1211</v>
      </c>
    </row>
    <row r="67" customFormat="false" ht="25.5" hidden="false" customHeight="true" outlineLevel="0" collapsed="false">
      <c r="A67" s="29"/>
      <c r="B67" s="30" t="s">
        <v>1229</v>
      </c>
      <c r="C67" s="31" t="s">
        <v>127</v>
      </c>
      <c r="D67" s="31" t="s">
        <v>108</v>
      </c>
      <c r="E67" s="32" t="n">
        <v>11275</v>
      </c>
      <c r="F67" s="32"/>
      <c r="G67" s="32" t="n">
        <v>150</v>
      </c>
      <c r="H67" s="33" t="n">
        <v>2</v>
      </c>
      <c r="I67" s="34" t="n">
        <f aca="false">E67*H67+N(F67)+N(G67)</f>
        <v>22700</v>
      </c>
      <c r="J67" s="32" t="n">
        <f aca="false">ROUND(IFERROR(ROUND(IF(OR(ISNUMBER(SEARCH("week",C67)),ISNUMBER(SEARCH("minggu",C67))),IFERROR(_xlfn.NUMBERVALUE(SUBSTITUTE(LEFT(TRIM(C67),FIND(" ",TRIM(C67)&amp;" ")-1),",","."),"."),LEFT(SUBSTITUTE(LEFT(TRIM(C67),FIND(" ",TRIM(C67)&amp;" ")-1),",","."),FIND("/",SUBSTITUTE(LEFT(TRIM(C67),FIND(" ",TRIM(C67)&amp;" ")-1),",","."))-1)/MID(SUBSTITUTE(LEFT(TRIM(C67),FIND(" ",TRIM(C67)&amp;" ")-1),",","."),FIND("/",SUBSTITUTE(LEFT(TRIM(C67),FIND(" ",TRIM(C67)&amp;" ")-1),",","."))+1,9))*12/52,IF(ISNUMBER(SEARCH("month",C67)),IFERROR(_xlfn.NUMBERVALUE(SUBSTITUTE(LEFT(TRIM(C67),FIND(" ",TRIM(C67)&amp;" ")-1),",","."),"."),LEFT(SUBSTITUTE(LEFT(TRIM(C67),FIND(" ",TRIM(C67)&amp;" ")-1),",","."),FIND("/",SUBSTITUTE(LEFT(TRIM(C67),FIND(" ",TRIM(C67)&amp;" ")-1),",","."))-1)/MID(SUBSTITUTE(LEFT(TRIM(C67),FIND(" ",TRIM(C67)&amp;" ")-1),",","."),FIND("/",SUBSTITUTE(LEFT(TRIM(C67),FIND(" ",TRIM(C67)&amp;" ")-1),",","."))+1,9)),IF(ISNUMBER(SEARCH("yea",C67)),IFERROR(_xlfn.NUMBERVALUE(SUBSTITUTE(LEFT(TRIM(C67),FIND(" ",TRIM(C67)&amp;" ")-1),",","."),"."),LEFT(SUBSTITUTE(LEFT(TRIM(C67),FIND(" ",TRIM(C67)&amp;" ")-1),",","."),FIND("/",SUBSTITUTE(LEFT(TRIM(C67),FIND(" ",TRIM(C67)&amp;" ")-1),",","."))-1)/MID(SUBSTITUTE(LEFT(TRIM(C67),FIND(" ",TRIM(C67)&amp;" ")-1),",","."),FIND("/",SUBSTITUTE(LEFT(TRIM(C67),FIND(" ",TRIM(C67)&amp;" ")-1),",","."))+1,9))*12,NA()))),0),36)*'Aturan &amp; Tarif'!$B$4,2)</f>
        <v>2044.08</v>
      </c>
      <c r="K67" s="32" t="n">
        <f aca="false">'Aturan &amp; Tarif'!$B$5</f>
        <v>2050</v>
      </c>
      <c r="L67" s="35" t="n">
        <f aca="false">I67+J67+K67</f>
        <v>26794.08</v>
      </c>
      <c r="M67" s="37" t="s">
        <v>1211</v>
      </c>
    </row>
    <row r="68" customFormat="false" ht="25.5" hidden="false" customHeight="true" outlineLevel="0" collapsed="false">
      <c r="A68" s="29"/>
      <c r="B68" s="30" t="s">
        <v>1230</v>
      </c>
      <c r="C68" s="31" t="s">
        <v>127</v>
      </c>
      <c r="D68" s="31" t="s">
        <v>108</v>
      </c>
      <c r="E68" s="32" t="n">
        <v>11275</v>
      </c>
      <c r="F68" s="32"/>
      <c r="G68" s="32" t="n">
        <v>150</v>
      </c>
      <c r="H68" s="33" t="n">
        <v>2</v>
      </c>
      <c r="I68" s="34" t="n">
        <f aca="false">E68*H68+N(F68)+N(G68)</f>
        <v>22700</v>
      </c>
      <c r="J68" s="32" t="n">
        <f aca="false">ROUND(IFERROR(ROUND(IF(OR(ISNUMBER(SEARCH("week",C68)),ISNUMBER(SEARCH("minggu",C68))),IFERROR(_xlfn.NUMBERVALUE(SUBSTITUTE(LEFT(TRIM(C68),FIND(" ",TRIM(C68)&amp;" ")-1),",","."),"."),LEFT(SUBSTITUTE(LEFT(TRIM(C68),FIND(" ",TRIM(C68)&amp;" ")-1),",","."),FIND("/",SUBSTITUTE(LEFT(TRIM(C68),FIND(" ",TRIM(C68)&amp;" ")-1),",","."))-1)/MID(SUBSTITUTE(LEFT(TRIM(C68),FIND(" ",TRIM(C68)&amp;" ")-1),",","."),FIND("/",SUBSTITUTE(LEFT(TRIM(C68),FIND(" ",TRIM(C68)&amp;" ")-1),",","."))+1,9))*12/52,IF(ISNUMBER(SEARCH("month",C68)),IFERROR(_xlfn.NUMBERVALUE(SUBSTITUTE(LEFT(TRIM(C68),FIND(" ",TRIM(C68)&amp;" ")-1),",","."),"."),LEFT(SUBSTITUTE(LEFT(TRIM(C68),FIND(" ",TRIM(C68)&amp;" ")-1),",","."),FIND("/",SUBSTITUTE(LEFT(TRIM(C68),FIND(" ",TRIM(C68)&amp;" ")-1),",","."))-1)/MID(SUBSTITUTE(LEFT(TRIM(C68),FIND(" ",TRIM(C68)&amp;" ")-1),",","."),FIND("/",SUBSTITUTE(LEFT(TRIM(C68),FIND(" ",TRIM(C68)&amp;" ")-1),",","."))+1,9)),IF(ISNUMBER(SEARCH("yea",C68)),IFERROR(_xlfn.NUMBERVALUE(SUBSTITUTE(LEFT(TRIM(C68),FIND(" ",TRIM(C68)&amp;" ")-1),",","."),"."),LEFT(SUBSTITUTE(LEFT(TRIM(C68),FIND(" ",TRIM(C68)&amp;" ")-1),",","."),FIND("/",SUBSTITUTE(LEFT(TRIM(C68),FIND(" ",TRIM(C68)&amp;" ")-1),",","."))-1)/MID(SUBSTITUTE(LEFT(TRIM(C68),FIND(" ",TRIM(C68)&amp;" ")-1),",","."),FIND("/",SUBSTITUTE(LEFT(TRIM(C68),FIND(" ",TRIM(C68)&amp;" ")-1),",","."))+1,9))*12,NA()))),0),36)*'Aturan &amp; Tarif'!$B$4,2)</f>
        <v>2044.08</v>
      </c>
      <c r="K68" s="32" t="n">
        <f aca="false">'Aturan &amp; Tarif'!$B$5</f>
        <v>2050</v>
      </c>
      <c r="L68" s="35" t="n">
        <f aca="false">I68+J68+K68</f>
        <v>26794.08</v>
      </c>
      <c r="M68" s="37" t="s">
        <v>1211</v>
      </c>
    </row>
    <row r="69" customFormat="false" ht="14.25" hidden="false" customHeight="true" outlineLevel="0" collapsed="false">
      <c r="A69" s="29"/>
      <c r="B69" s="30" t="s">
        <v>1231</v>
      </c>
      <c r="C69" s="31" t="s">
        <v>127</v>
      </c>
      <c r="D69" s="31" t="s">
        <v>108</v>
      </c>
      <c r="E69" s="32" t="n">
        <v>11275</v>
      </c>
      <c r="F69" s="32"/>
      <c r="G69" s="32" t="n">
        <v>150</v>
      </c>
      <c r="H69" s="33" t="n">
        <v>2</v>
      </c>
      <c r="I69" s="34" t="n">
        <f aca="false">E69*H69+N(F69)+N(G69)</f>
        <v>22700</v>
      </c>
      <c r="J69" s="32" t="n">
        <f aca="false">ROUND(IFERROR(ROUND(IF(OR(ISNUMBER(SEARCH("week",C69)),ISNUMBER(SEARCH("minggu",C69))),IFERROR(_xlfn.NUMBERVALUE(SUBSTITUTE(LEFT(TRIM(C69),FIND(" ",TRIM(C69)&amp;" ")-1),",","."),"."),LEFT(SUBSTITUTE(LEFT(TRIM(C69),FIND(" ",TRIM(C69)&amp;" ")-1),",","."),FIND("/",SUBSTITUTE(LEFT(TRIM(C69),FIND(" ",TRIM(C69)&amp;" ")-1),",","."))-1)/MID(SUBSTITUTE(LEFT(TRIM(C69),FIND(" ",TRIM(C69)&amp;" ")-1),",","."),FIND("/",SUBSTITUTE(LEFT(TRIM(C69),FIND(" ",TRIM(C69)&amp;" ")-1),",","."))+1,9))*12/52,IF(ISNUMBER(SEARCH("month",C69)),IFERROR(_xlfn.NUMBERVALUE(SUBSTITUTE(LEFT(TRIM(C69),FIND(" ",TRIM(C69)&amp;" ")-1),",","."),"."),LEFT(SUBSTITUTE(LEFT(TRIM(C69),FIND(" ",TRIM(C69)&amp;" ")-1),",","."),FIND("/",SUBSTITUTE(LEFT(TRIM(C69),FIND(" ",TRIM(C69)&amp;" ")-1),",","."))-1)/MID(SUBSTITUTE(LEFT(TRIM(C69),FIND(" ",TRIM(C69)&amp;" ")-1),",","."),FIND("/",SUBSTITUTE(LEFT(TRIM(C69),FIND(" ",TRIM(C69)&amp;" ")-1),",","."))+1,9)),IF(ISNUMBER(SEARCH("yea",C69)),IFERROR(_xlfn.NUMBERVALUE(SUBSTITUTE(LEFT(TRIM(C69),FIND(" ",TRIM(C69)&amp;" ")-1),",","."),"."),LEFT(SUBSTITUTE(LEFT(TRIM(C69),FIND(" ",TRIM(C69)&amp;" ")-1),",","."),FIND("/",SUBSTITUTE(LEFT(TRIM(C69),FIND(" ",TRIM(C69)&amp;" ")-1),",","."))-1)/MID(SUBSTITUTE(LEFT(TRIM(C69),FIND(" ",TRIM(C69)&amp;" ")-1),",","."),FIND("/",SUBSTITUTE(LEFT(TRIM(C69),FIND(" ",TRIM(C69)&amp;" ")-1),",","."))+1,9))*12,NA()))),0),36)*'Aturan &amp; Tarif'!$B$4,2)</f>
        <v>2044.08</v>
      </c>
      <c r="K69" s="32" t="n">
        <f aca="false">'Aturan &amp; Tarif'!$B$5</f>
        <v>2050</v>
      </c>
      <c r="L69" s="35" t="n">
        <f aca="false">I69+J69+K69</f>
        <v>26794.08</v>
      </c>
      <c r="M69" s="37" t="s">
        <v>1211</v>
      </c>
    </row>
    <row r="70" customFormat="false" ht="14.25" hidden="false" customHeight="true" outlineLevel="0" collapsed="false">
      <c r="A70" s="29"/>
      <c r="B70" s="30" t="s">
        <v>1232</v>
      </c>
      <c r="C70" s="31" t="s">
        <v>127</v>
      </c>
      <c r="D70" s="31" t="s">
        <v>108</v>
      </c>
      <c r="E70" s="32" t="n">
        <v>11275</v>
      </c>
      <c r="F70" s="32"/>
      <c r="G70" s="32" t="n">
        <v>150</v>
      </c>
      <c r="H70" s="33" t="n">
        <v>2</v>
      </c>
      <c r="I70" s="34" t="n">
        <f aca="false">E70*H70+N(F70)+N(G70)</f>
        <v>22700</v>
      </c>
      <c r="J70" s="32" t="n">
        <f aca="false">ROUND(IFERROR(ROUND(IF(OR(ISNUMBER(SEARCH("week",C70)),ISNUMBER(SEARCH("minggu",C70))),IFERROR(_xlfn.NUMBERVALUE(SUBSTITUTE(LEFT(TRIM(C70),FIND(" ",TRIM(C70)&amp;" ")-1),",","."),"."),LEFT(SUBSTITUTE(LEFT(TRIM(C70),FIND(" ",TRIM(C70)&amp;" ")-1),",","."),FIND("/",SUBSTITUTE(LEFT(TRIM(C70),FIND(" ",TRIM(C70)&amp;" ")-1),",","."))-1)/MID(SUBSTITUTE(LEFT(TRIM(C70),FIND(" ",TRIM(C70)&amp;" ")-1),",","."),FIND("/",SUBSTITUTE(LEFT(TRIM(C70),FIND(" ",TRIM(C70)&amp;" ")-1),",","."))+1,9))*12/52,IF(ISNUMBER(SEARCH("month",C70)),IFERROR(_xlfn.NUMBERVALUE(SUBSTITUTE(LEFT(TRIM(C70),FIND(" ",TRIM(C70)&amp;" ")-1),",","."),"."),LEFT(SUBSTITUTE(LEFT(TRIM(C70),FIND(" ",TRIM(C70)&amp;" ")-1),",","."),FIND("/",SUBSTITUTE(LEFT(TRIM(C70),FIND(" ",TRIM(C70)&amp;" ")-1),",","."))-1)/MID(SUBSTITUTE(LEFT(TRIM(C70),FIND(" ",TRIM(C70)&amp;" ")-1),",","."),FIND("/",SUBSTITUTE(LEFT(TRIM(C70),FIND(" ",TRIM(C70)&amp;" ")-1),",","."))+1,9)),IF(ISNUMBER(SEARCH("yea",C70)),IFERROR(_xlfn.NUMBERVALUE(SUBSTITUTE(LEFT(TRIM(C70),FIND(" ",TRIM(C70)&amp;" ")-1),",","."),"."),LEFT(SUBSTITUTE(LEFT(TRIM(C70),FIND(" ",TRIM(C70)&amp;" ")-1),",","."),FIND("/",SUBSTITUTE(LEFT(TRIM(C70),FIND(" ",TRIM(C70)&amp;" ")-1),",","."))-1)/MID(SUBSTITUTE(LEFT(TRIM(C70),FIND(" ",TRIM(C70)&amp;" ")-1),",","."),FIND("/",SUBSTITUTE(LEFT(TRIM(C70),FIND(" ",TRIM(C70)&amp;" ")-1),",","."))+1,9))*12,NA()))),0),36)*'Aturan &amp; Tarif'!$B$4,2)</f>
        <v>2044.08</v>
      </c>
      <c r="K70" s="32" t="n">
        <f aca="false">'Aturan &amp; Tarif'!$B$5</f>
        <v>2050</v>
      </c>
      <c r="L70" s="35" t="n">
        <f aca="false">I70+J70+K70</f>
        <v>26794.08</v>
      </c>
      <c r="M70" s="37" t="s">
        <v>1211</v>
      </c>
    </row>
    <row r="71" customFormat="false" ht="25.5" hidden="false" customHeight="true" outlineLevel="0" collapsed="false">
      <c r="A71" s="29"/>
      <c r="B71" s="30" t="s">
        <v>1233</v>
      </c>
      <c r="C71" s="31" t="s">
        <v>127</v>
      </c>
      <c r="D71" s="31" t="s">
        <v>108</v>
      </c>
      <c r="E71" s="32" t="n">
        <v>11275</v>
      </c>
      <c r="F71" s="32"/>
      <c r="G71" s="32" t="n">
        <v>150</v>
      </c>
      <c r="H71" s="33" t="n">
        <v>2</v>
      </c>
      <c r="I71" s="34" t="n">
        <f aca="false">E71*H71+N(F71)+N(G71)</f>
        <v>22700</v>
      </c>
      <c r="J71" s="32" t="n">
        <f aca="false">ROUND(IFERROR(ROUND(IF(OR(ISNUMBER(SEARCH("week",C71)),ISNUMBER(SEARCH("minggu",C71))),IFERROR(_xlfn.NUMBERVALUE(SUBSTITUTE(LEFT(TRIM(C71),FIND(" ",TRIM(C71)&amp;" ")-1),",","."),"."),LEFT(SUBSTITUTE(LEFT(TRIM(C71),FIND(" ",TRIM(C71)&amp;" ")-1),",","."),FIND("/",SUBSTITUTE(LEFT(TRIM(C71),FIND(" ",TRIM(C71)&amp;" ")-1),",","."))-1)/MID(SUBSTITUTE(LEFT(TRIM(C71),FIND(" ",TRIM(C71)&amp;" ")-1),",","."),FIND("/",SUBSTITUTE(LEFT(TRIM(C71),FIND(" ",TRIM(C71)&amp;" ")-1),",","."))+1,9))*12/52,IF(ISNUMBER(SEARCH("month",C71)),IFERROR(_xlfn.NUMBERVALUE(SUBSTITUTE(LEFT(TRIM(C71),FIND(" ",TRIM(C71)&amp;" ")-1),",","."),"."),LEFT(SUBSTITUTE(LEFT(TRIM(C71),FIND(" ",TRIM(C71)&amp;" ")-1),",","."),FIND("/",SUBSTITUTE(LEFT(TRIM(C71),FIND(" ",TRIM(C71)&amp;" ")-1),",","."))-1)/MID(SUBSTITUTE(LEFT(TRIM(C71),FIND(" ",TRIM(C71)&amp;" ")-1),",","."),FIND("/",SUBSTITUTE(LEFT(TRIM(C71),FIND(" ",TRIM(C71)&amp;" ")-1),",","."))+1,9)),IF(ISNUMBER(SEARCH("yea",C71)),IFERROR(_xlfn.NUMBERVALUE(SUBSTITUTE(LEFT(TRIM(C71),FIND(" ",TRIM(C71)&amp;" ")-1),",","."),"."),LEFT(SUBSTITUTE(LEFT(TRIM(C71),FIND(" ",TRIM(C71)&amp;" ")-1),",","."),FIND("/",SUBSTITUTE(LEFT(TRIM(C71),FIND(" ",TRIM(C71)&amp;" ")-1),",","."))-1)/MID(SUBSTITUTE(LEFT(TRIM(C71),FIND(" ",TRIM(C71)&amp;" ")-1),",","."),FIND("/",SUBSTITUTE(LEFT(TRIM(C71),FIND(" ",TRIM(C71)&amp;" ")-1),",","."))+1,9))*12,NA()))),0),36)*'Aturan &amp; Tarif'!$B$4,2)</f>
        <v>2044.08</v>
      </c>
      <c r="K71" s="32" t="n">
        <f aca="false">'Aturan &amp; Tarif'!$B$5</f>
        <v>2050</v>
      </c>
      <c r="L71" s="35" t="n">
        <f aca="false">I71+J71+K71</f>
        <v>26794.08</v>
      </c>
      <c r="M71" s="37" t="s">
        <v>1211</v>
      </c>
    </row>
    <row r="72" customFormat="false" ht="25.5" hidden="false" customHeight="true" outlineLevel="0" collapsed="false">
      <c r="A72" s="29"/>
      <c r="B72" s="30" t="s">
        <v>1234</v>
      </c>
      <c r="C72" s="31" t="s">
        <v>127</v>
      </c>
      <c r="D72" s="31" t="s">
        <v>108</v>
      </c>
      <c r="E72" s="32" t="n">
        <v>11275</v>
      </c>
      <c r="F72" s="32"/>
      <c r="G72" s="32" t="n">
        <v>150</v>
      </c>
      <c r="H72" s="33" t="n">
        <v>2</v>
      </c>
      <c r="I72" s="34" t="n">
        <f aca="false">E72*H72+N(F72)+N(G72)</f>
        <v>22700</v>
      </c>
      <c r="J72" s="32" t="n">
        <f aca="false">ROUND(IFERROR(ROUND(IF(OR(ISNUMBER(SEARCH("week",C72)),ISNUMBER(SEARCH("minggu",C72))),IFERROR(_xlfn.NUMBERVALUE(SUBSTITUTE(LEFT(TRIM(C72),FIND(" ",TRIM(C72)&amp;" ")-1),",","."),"."),LEFT(SUBSTITUTE(LEFT(TRIM(C72),FIND(" ",TRIM(C72)&amp;" ")-1),",","."),FIND("/",SUBSTITUTE(LEFT(TRIM(C72),FIND(" ",TRIM(C72)&amp;" ")-1),",","."))-1)/MID(SUBSTITUTE(LEFT(TRIM(C72),FIND(" ",TRIM(C72)&amp;" ")-1),",","."),FIND("/",SUBSTITUTE(LEFT(TRIM(C72),FIND(" ",TRIM(C72)&amp;" ")-1),",","."))+1,9))*12/52,IF(ISNUMBER(SEARCH("month",C72)),IFERROR(_xlfn.NUMBERVALUE(SUBSTITUTE(LEFT(TRIM(C72),FIND(" ",TRIM(C72)&amp;" ")-1),",","."),"."),LEFT(SUBSTITUTE(LEFT(TRIM(C72),FIND(" ",TRIM(C72)&amp;" ")-1),",","."),FIND("/",SUBSTITUTE(LEFT(TRIM(C72),FIND(" ",TRIM(C72)&amp;" ")-1),",","."))-1)/MID(SUBSTITUTE(LEFT(TRIM(C72),FIND(" ",TRIM(C72)&amp;" ")-1),",","."),FIND("/",SUBSTITUTE(LEFT(TRIM(C72),FIND(" ",TRIM(C72)&amp;" ")-1),",","."))+1,9)),IF(ISNUMBER(SEARCH("yea",C72)),IFERROR(_xlfn.NUMBERVALUE(SUBSTITUTE(LEFT(TRIM(C72),FIND(" ",TRIM(C72)&amp;" ")-1),",","."),"."),LEFT(SUBSTITUTE(LEFT(TRIM(C72),FIND(" ",TRIM(C72)&amp;" ")-1),",","."),FIND("/",SUBSTITUTE(LEFT(TRIM(C72),FIND(" ",TRIM(C72)&amp;" ")-1),",","."))-1)/MID(SUBSTITUTE(LEFT(TRIM(C72),FIND(" ",TRIM(C72)&amp;" ")-1),",","."),FIND("/",SUBSTITUTE(LEFT(TRIM(C72),FIND(" ",TRIM(C72)&amp;" ")-1),",","."))+1,9))*12,NA()))),0),36)*'Aturan &amp; Tarif'!$B$4,2)</f>
        <v>2044.08</v>
      </c>
      <c r="K72" s="32" t="n">
        <f aca="false">'Aturan &amp; Tarif'!$B$5</f>
        <v>2050</v>
      </c>
      <c r="L72" s="35" t="n">
        <f aca="false">I72+J72+K72</f>
        <v>26794.08</v>
      </c>
      <c r="M72" s="37" t="s">
        <v>1211</v>
      </c>
    </row>
    <row r="73" customFormat="false" ht="25.5" hidden="false" customHeight="true" outlineLevel="0" collapsed="false">
      <c r="A73" s="29"/>
      <c r="B73" s="30" t="s">
        <v>1235</v>
      </c>
      <c r="C73" s="31" t="s">
        <v>127</v>
      </c>
      <c r="D73" s="31" t="s">
        <v>108</v>
      </c>
      <c r="E73" s="32" t="n">
        <v>11275</v>
      </c>
      <c r="F73" s="32"/>
      <c r="G73" s="32" t="n">
        <v>150</v>
      </c>
      <c r="H73" s="33" t="n">
        <v>2</v>
      </c>
      <c r="I73" s="34" t="n">
        <f aca="false">E73*H73+N(F73)+N(G73)</f>
        <v>22700</v>
      </c>
      <c r="J73" s="32" t="n">
        <f aca="false">ROUND(IFERROR(ROUND(IF(OR(ISNUMBER(SEARCH("week",C73)),ISNUMBER(SEARCH("minggu",C73))),IFERROR(_xlfn.NUMBERVALUE(SUBSTITUTE(LEFT(TRIM(C73),FIND(" ",TRIM(C73)&amp;" ")-1),",","."),"."),LEFT(SUBSTITUTE(LEFT(TRIM(C73),FIND(" ",TRIM(C73)&amp;" ")-1),",","."),FIND("/",SUBSTITUTE(LEFT(TRIM(C73),FIND(" ",TRIM(C73)&amp;" ")-1),",","."))-1)/MID(SUBSTITUTE(LEFT(TRIM(C73),FIND(" ",TRIM(C73)&amp;" ")-1),",","."),FIND("/",SUBSTITUTE(LEFT(TRIM(C73),FIND(" ",TRIM(C73)&amp;" ")-1),",","."))+1,9))*12/52,IF(ISNUMBER(SEARCH("month",C73)),IFERROR(_xlfn.NUMBERVALUE(SUBSTITUTE(LEFT(TRIM(C73),FIND(" ",TRIM(C73)&amp;" ")-1),",","."),"."),LEFT(SUBSTITUTE(LEFT(TRIM(C73),FIND(" ",TRIM(C73)&amp;" ")-1),",","."),FIND("/",SUBSTITUTE(LEFT(TRIM(C73),FIND(" ",TRIM(C73)&amp;" ")-1),",","."))-1)/MID(SUBSTITUTE(LEFT(TRIM(C73),FIND(" ",TRIM(C73)&amp;" ")-1),",","."),FIND("/",SUBSTITUTE(LEFT(TRIM(C73),FIND(" ",TRIM(C73)&amp;" ")-1),",","."))+1,9)),IF(ISNUMBER(SEARCH("yea",C73)),IFERROR(_xlfn.NUMBERVALUE(SUBSTITUTE(LEFT(TRIM(C73),FIND(" ",TRIM(C73)&amp;" ")-1),",","."),"."),LEFT(SUBSTITUTE(LEFT(TRIM(C73),FIND(" ",TRIM(C73)&amp;" ")-1),",","."),FIND("/",SUBSTITUTE(LEFT(TRIM(C73),FIND(" ",TRIM(C73)&amp;" ")-1),",","."))-1)/MID(SUBSTITUTE(LEFT(TRIM(C73),FIND(" ",TRIM(C73)&amp;" ")-1),",","."),FIND("/",SUBSTITUTE(LEFT(TRIM(C73),FIND(" ",TRIM(C73)&amp;" ")-1),",","."))+1,9))*12,NA()))),0),36)*'Aturan &amp; Tarif'!$B$4,2)</f>
        <v>2044.08</v>
      </c>
      <c r="K73" s="32" t="n">
        <f aca="false">'Aturan &amp; Tarif'!$B$5</f>
        <v>2050</v>
      </c>
      <c r="L73" s="35" t="n">
        <f aca="false">I73+J73+K73</f>
        <v>26794.08</v>
      </c>
      <c r="M73" s="37" t="s">
        <v>1211</v>
      </c>
    </row>
    <row r="74" customFormat="false" ht="14.25" hidden="false" customHeight="true" outlineLevel="0" collapsed="false">
      <c r="A74" s="29"/>
      <c r="B74" s="30" t="s">
        <v>1236</v>
      </c>
      <c r="C74" s="31" t="s">
        <v>127</v>
      </c>
      <c r="D74" s="31" t="s">
        <v>108</v>
      </c>
      <c r="E74" s="32" t="n">
        <v>11275</v>
      </c>
      <c r="F74" s="32"/>
      <c r="G74" s="32" t="n">
        <v>150</v>
      </c>
      <c r="H74" s="33" t="n">
        <v>2</v>
      </c>
      <c r="I74" s="34" t="n">
        <f aca="false">E74*H74+N(F74)+N(G74)</f>
        <v>22700</v>
      </c>
      <c r="J74" s="32" t="n">
        <f aca="false">ROUND(IFERROR(ROUND(IF(OR(ISNUMBER(SEARCH("week",C74)),ISNUMBER(SEARCH("minggu",C74))),IFERROR(_xlfn.NUMBERVALUE(SUBSTITUTE(LEFT(TRIM(C74),FIND(" ",TRIM(C74)&amp;" ")-1),",","."),"."),LEFT(SUBSTITUTE(LEFT(TRIM(C74),FIND(" ",TRIM(C74)&amp;" ")-1),",","."),FIND("/",SUBSTITUTE(LEFT(TRIM(C74),FIND(" ",TRIM(C74)&amp;" ")-1),",","."))-1)/MID(SUBSTITUTE(LEFT(TRIM(C74),FIND(" ",TRIM(C74)&amp;" ")-1),",","."),FIND("/",SUBSTITUTE(LEFT(TRIM(C74),FIND(" ",TRIM(C74)&amp;" ")-1),",","."))+1,9))*12/52,IF(ISNUMBER(SEARCH("month",C74)),IFERROR(_xlfn.NUMBERVALUE(SUBSTITUTE(LEFT(TRIM(C74),FIND(" ",TRIM(C74)&amp;" ")-1),",","."),"."),LEFT(SUBSTITUTE(LEFT(TRIM(C74),FIND(" ",TRIM(C74)&amp;" ")-1),",","."),FIND("/",SUBSTITUTE(LEFT(TRIM(C74),FIND(" ",TRIM(C74)&amp;" ")-1),",","."))-1)/MID(SUBSTITUTE(LEFT(TRIM(C74),FIND(" ",TRIM(C74)&amp;" ")-1),",","."),FIND("/",SUBSTITUTE(LEFT(TRIM(C74),FIND(" ",TRIM(C74)&amp;" ")-1),",","."))+1,9)),IF(ISNUMBER(SEARCH("yea",C74)),IFERROR(_xlfn.NUMBERVALUE(SUBSTITUTE(LEFT(TRIM(C74),FIND(" ",TRIM(C74)&amp;" ")-1),",","."),"."),LEFT(SUBSTITUTE(LEFT(TRIM(C74),FIND(" ",TRIM(C74)&amp;" ")-1),",","."),FIND("/",SUBSTITUTE(LEFT(TRIM(C74),FIND(" ",TRIM(C74)&amp;" ")-1),",","."))-1)/MID(SUBSTITUTE(LEFT(TRIM(C74),FIND(" ",TRIM(C74)&amp;" ")-1),",","."),FIND("/",SUBSTITUTE(LEFT(TRIM(C74),FIND(" ",TRIM(C74)&amp;" ")-1),",","."))+1,9))*12,NA()))),0),36)*'Aturan &amp; Tarif'!$B$4,2)</f>
        <v>2044.08</v>
      </c>
      <c r="K74" s="32" t="n">
        <f aca="false">'Aturan &amp; Tarif'!$B$5</f>
        <v>2050</v>
      </c>
      <c r="L74" s="35" t="n">
        <f aca="false">I74+J74+K74</f>
        <v>26794.08</v>
      </c>
      <c r="M74" s="37" t="s">
        <v>1211</v>
      </c>
    </row>
    <row r="75" customFormat="false" ht="25.5" hidden="false" customHeight="true" outlineLevel="0" collapsed="false">
      <c r="A75" s="29"/>
      <c r="B75" s="30" t="s">
        <v>1237</v>
      </c>
      <c r="C75" s="31" t="s">
        <v>127</v>
      </c>
      <c r="D75" s="31" t="s">
        <v>108</v>
      </c>
      <c r="E75" s="32" t="n">
        <v>11275</v>
      </c>
      <c r="F75" s="32"/>
      <c r="G75" s="32" t="n">
        <v>150</v>
      </c>
      <c r="H75" s="33" t="n">
        <v>2</v>
      </c>
      <c r="I75" s="34" t="n">
        <f aca="false">E75*H75+N(F75)+N(G75)</f>
        <v>22700</v>
      </c>
      <c r="J75" s="32" t="n">
        <f aca="false">ROUND(IFERROR(ROUND(IF(OR(ISNUMBER(SEARCH("week",C75)),ISNUMBER(SEARCH("minggu",C75))),IFERROR(_xlfn.NUMBERVALUE(SUBSTITUTE(LEFT(TRIM(C75),FIND(" ",TRIM(C75)&amp;" ")-1),",","."),"."),LEFT(SUBSTITUTE(LEFT(TRIM(C75),FIND(" ",TRIM(C75)&amp;" ")-1),",","."),FIND("/",SUBSTITUTE(LEFT(TRIM(C75),FIND(" ",TRIM(C75)&amp;" ")-1),",","."))-1)/MID(SUBSTITUTE(LEFT(TRIM(C75),FIND(" ",TRIM(C75)&amp;" ")-1),",","."),FIND("/",SUBSTITUTE(LEFT(TRIM(C75),FIND(" ",TRIM(C75)&amp;" ")-1),",","."))+1,9))*12/52,IF(ISNUMBER(SEARCH("month",C75)),IFERROR(_xlfn.NUMBERVALUE(SUBSTITUTE(LEFT(TRIM(C75),FIND(" ",TRIM(C75)&amp;" ")-1),",","."),"."),LEFT(SUBSTITUTE(LEFT(TRIM(C75),FIND(" ",TRIM(C75)&amp;" ")-1),",","."),FIND("/",SUBSTITUTE(LEFT(TRIM(C75),FIND(" ",TRIM(C75)&amp;" ")-1),",","."))-1)/MID(SUBSTITUTE(LEFT(TRIM(C75),FIND(" ",TRIM(C75)&amp;" ")-1),",","."),FIND("/",SUBSTITUTE(LEFT(TRIM(C75),FIND(" ",TRIM(C75)&amp;" ")-1),",","."))+1,9)),IF(ISNUMBER(SEARCH("yea",C75)),IFERROR(_xlfn.NUMBERVALUE(SUBSTITUTE(LEFT(TRIM(C75),FIND(" ",TRIM(C75)&amp;" ")-1),",","."),"."),LEFT(SUBSTITUTE(LEFT(TRIM(C75),FIND(" ",TRIM(C75)&amp;" ")-1),",","."),FIND("/",SUBSTITUTE(LEFT(TRIM(C75),FIND(" ",TRIM(C75)&amp;" ")-1),",","."))-1)/MID(SUBSTITUTE(LEFT(TRIM(C75),FIND(" ",TRIM(C75)&amp;" ")-1),",","."),FIND("/",SUBSTITUTE(LEFT(TRIM(C75),FIND(" ",TRIM(C75)&amp;" ")-1),",","."))+1,9))*12,NA()))),0),36)*'Aturan &amp; Tarif'!$B$4,2)</f>
        <v>2044.08</v>
      </c>
      <c r="K75" s="32" t="n">
        <f aca="false">'Aturan &amp; Tarif'!$B$5</f>
        <v>2050</v>
      </c>
      <c r="L75" s="35" t="n">
        <f aca="false">I75+J75+K75</f>
        <v>26794.08</v>
      </c>
      <c r="M75" s="37" t="s">
        <v>1211</v>
      </c>
    </row>
    <row r="76" customFormat="false" ht="14.25" hidden="false" customHeight="true" outlineLevel="0" collapsed="false">
      <c r="A76" s="29"/>
      <c r="B76" s="30" t="s">
        <v>1238</v>
      </c>
      <c r="C76" s="31" t="s">
        <v>127</v>
      </c>
      <c r="D76" s="31" t="s">
        <v>108</v>
      </c>
      <c r="E76" s="32" t="n">
        <v>11275</v>
      </c>
      <c r="F76" s="32"/>
      <c r="G76" s="32" t="n">
        <v>150</v>
      </c>
      <c r="H76" s="33" t="n">
        <v>2</v>
      </c>
      <c r="I76" s="34" t="n">
        <f aca="false">E76*H76+N(F76)+N(G76)</f>
        <v>22700</v>
      </c>
      <c r="J76" s="32" t="n">
        <f aca="false">ROUND(IFERROR(ROUND(IF(OR(ISNUMBER(SEARCH("week",C76)),ISNUMBER(SEARCH("minggu",C76))),IFERROR(_xlfn.NUMBERVALUE(SUBSTITUTE(LEFT(TRIM(C76),FIND(" ",TRIM(C76)&amp;" ")-1),",","."),"."),LEFT(SUBSTITUTE(LEFT(TRIM(C76),FIND(" ",TRIM(C76)&amp;" ")-1),",","."),FIND("/",SUBSTITUTE(LEFT(TRIM(C76),FIND(" ",TRIM(C76)&amp;" ")-1),",","."))-1)/MID(SUBSTITUTE(LEFT(TRIM(C76),FIND(" ",TRIM(C76)&amp;" ")-1),",","."),FIND("/",SUBSTITUTE(LEFT(TRIM(C76),FIND(" ",TRIM(C76)&amp;" ")-1),",","."))+1,9))*12/52,IF(ISNUMBER(SEARCH("month",C76)),IFERROR(_xlfn.NUMBERVALUE(SUBSTITUTE(LEFT(TRIM(C76),FIND(" ",TRIM(C76)&amp;" ")-1),",","."),"."),LEFT(SUBSTITUTE(LEFT(TRIM(C76),FIND(" ",TRIM(C76)&amp;" ")-1),",","."),FIND("/",SUBSTITUTE(LEFT(TRIM(C76),FIND(" ",TRIM(C76)&amp;" ")-1),",","."))-1)/MID(SUBSTITUTE(LEFT(TRIM(C76),FIND(" ",TRIM(C76)&amp;" ")-1),",","."),FIND("/",SUBSTITUTE(LEFT(TRIM(C76),FIND(" ",TRIM(C76)&amp;" ")-1),",","."))+1,9)),IF(ISNUMBER(SEARCH("yea",C76)),IFERROR(_xlfn.NUMBERVALUE(SUBSTITUTE(LEFT(TRIM(C76),FIND(" ",TRIM(C76)&amp;" ")-1),",","."),"."),LEFT(SUBSTITUTE(LEFT(TRIM(C76),FIND(" ",TRIM(C76)&amp;" ")-1),",","."),FIND("/",SUBSTITUTE(LEFT(TRIM(C76),FIND(" ",TRIM(C76)&amp;" ")-1),",","."))-1)/MID(SUBSTITUTE(LEFT(TRIM(C76),FIND(" ",TRIM(C76)&amp;" ")-1),",","."),FIND("/",SUBSTITUTE(LEFT(TRIM(C76),FIND(" ",TRIM(C76)&amp;" ")-1),",","."))+1,9))*12,NA()))),0),36)*'Aturan &amp; Tarif'!$B$4,2)</f>
        <v>2044.08</v>
      </c>
      <c r="K76" s="32" t="n">
        <f aca="false">'Aturan &amp; Tarif'!$B$5</f>
        <v>2050</v>
      </c>
      <c r="L76" s="35" t="n">
        <f aca="false">I76+J76+K76</f>
        <v>26794.08</v>
      </c>
      <c r="M76" s="37" t="s">
        <v>1239</v>
      </c>
    </row>
    <row r="77" customFormat="false" ht="25.5" hidden="false" customHeight="true" outlineLevel="0" collapsed="false">
      <c r="A77" s="29"/>
      <c r="B77" s="30" t="s">
        <v>1240</v>
      </c>
      <c r="C77" s="31" t="s">
        <v>127</v>
      </c>
      <c r="D77" s="31" t="s">
        <v>108</v>
      </c>
      <c r="E77" s="32" t="n">
        <v>11275</v>
      </c>
      <c r="F77" s="32"/>
      <c r="G77" s="32" t="n">
        <v>150</v>
      </c>
      <c r="H77" s="33" t="n">
        <v>2</v>
      </c>
      <c r="I77" s="34" t="n">
        <f aca="false">E77*H77+N(F77)+N(G77)</f>
        <v>22700</v>
      </c>
      <c r="J77" s="32" t="n">
        <f aca="false">ROUND(IFERROR(ROUND(IF(OR(ISNUMBER(SEARCH("week",C77)),ISNUMBER(SEARCH("minggu",C77))),IFERROR(_xlfn.NUMBERVALUE(SUBSTITUTE(LEFT(TRIM(C77),FIND(" ",TRIM(C77)&amp;" ")-1),",","."),"."),LEFT(SUBSTITUTE(LEFT(TRIM(C77),FIND(" ",TRIM(C77)&amp;" ")-1),",","."),FIND("/",SUBSTITUTE(LEFT(TRIM(C77),FIND(" ",TRIM(C77)&amp;" ")-1),",","."))-1)/MID(SUBSTITUTE(LEFT(TRIM(C77),FIND(" ",TRIM(C77)&amp;" ")-1),",","."),FIND("/",SUBSTITUTE(LEFT(TRIM(C77),FIND(" ",TRIM(C77)&amp;" ")-1),",","."))+1,9))*12/52,IF(ISNUMBER(SEARCH("month",C77)),IFERROR(_xlfn.NUMBERVALUE(SUBSTITUTE(LEFT(TRIM(C77),FIND(" ",TRIM(C77)&amp;" ")-1),",","."),"."),LEFT(SUBSTITUTE(LEFT(TRIM(C77),FIND(" ",TRIM(C77)&amp;" ")-1),",","."),FIND("/",SUBSTITUTE(LEFT(TRIM(C77),FIND(" ",TRIM(C77)&amp;" ")-1),",","."))-1)/MID(SUBSTITUTE(LEFT(TRIM(C77),FIND(" ",TRIM(C77)&amp;" ")-1),",","."),FIND("/",SUBSTITUTE(LEFT(TRIM(C77),FIND(" ",TRIM(C77)&amp;" ")-1),",","."))+1,9)),IF(ISNUMBER(SEARCH("yea",C77)),IFERROR(_xlfn.NUMBERVALUE(SUBSTITUTE(LEFT(TRIM(C77),FIND(" ",TRIM(C77)&amp;" ")-1),",","."),"."),LEFT(SUBSTITUTE(LEFT(TRIM(C77),FIND(" ",TRIM(C77)&amp;" ")-1),",","."),FIND("/",SUBSTITUTE(LEFT(TRIM(C77),FIND(" ",TRIM(C77)&amp;" ")-1),",","."))-1)/MID(SUBSTITUTE(LEFT(TRIM(C77),FIND(" ",TRIM(C77)&amp;" ")-1),",","."),FIND("/",SUBSTITUTE(LEFT(TRIM(C77),FIND(" ",TRIM(C77)&amp;" ")-1),",","."))+1,9))*12,NA()))),0),36)*'Aturan &amp; Tarif'!$B$4,2)</f>
        <v>2044.08</v>
      </c>
      <c r="K77" s="32" t="n">
        <f aca="false">'Aturan &amp; Tarif'!$B$5</f>
        <v>2050</v>
      </c>
      <c r="L77" s="35" t="n">
        <f aca="false">I77+J77+K77</f>
        <v>26794.08</v>
      </c>
      <c r="M77" s="37" t="s">
        <v>1239</v>
      </c>
    </row>
    <row r="78" customFormat="false" ht="25.5" hidden="false" customHeight="true" outlineLevel="0" collapsed="false">
      <c r="A78" s="29"/>
      <c r="B78" s="30" t="s">
        <v>1241</v>
      </c>
      <c r="C78" s="31" t="s">
        <v>127</v>
      </c>
      <c r="D78" s="31" t="s">
        <v>108</v>
      </c>
      <c r="E78" s="32" t="n">
        <v>11275</v>
      </c>
      <c r="F78" s="32"/>
      <c r="G78" s="32" t="n">
        <v>150</v>
      </c>
      <c r="H78" s="33" t="n">
        <v>2</v>
      </c>
      <c r="I78" s="34" t="n">
        <f aca="false">E78*H78+N(F78)+N(G78)</f>
        <v>22700</v>
      </c>
      <c r="J78" s="32" t="n">
        <f aca="false">ROUND(IFERROR(ROUND(IF(OR(ISNUMBER(SEARCH("week",C78)),ISNUMBER(SEARCH("minggu",C78))),IFERROR(_xlfn.NUMBERVALUE(SUBSTITUTE(LEFT(TRIM(C78),FIND(" ",TRIM(C78)&amp;" ")-1),",","."),"."),LEFT(SUBSTITUTE(LEFT(TRIM(C78),FIND(" ",TRIM(C78)&amp;" ")-1),",","."),FIND("/",SUBSTITUTE(LEFT(TRIM(C78),FIND(" ",TRIM(C78)&amp;" ")-1),",","."))-1)/MID(SUBSTITUTE(LEFT(TRIM(C78),FIND(" ",TRIM(C78)&amp;" ")-1),",","."),FIND("/",SUBSTITUTE(LEFT(TRIM(C78),FIND(" ",TRIM(C78)&amp;" ")-1),",","."))+1,9))*12/52,IF(ISNUMBER(SEARCH("month",C78)),IFERROR(_xlfn.NUMBERVALUE(SUBSTITUTE(LEFT(TRIM(C78),FIND(" ",TRIM(C78)&amp;" ")-1),",","."),"."),LEFT(SUBSTITUTE(LEFT(TRIM(C78),FIND(" ",TRIM(C78)&amp;" ")-1),",","."),FIND("/",SUBSTITUTE(LEFT(TRIM(C78),FIND(" ",TRIM(C78)&amp;" ")-1),",","."))-1)/MID(SUBSTITUTE(LEFT(TRIM(C78),FIND(" ",TRIM(C78)&amp;" ")-1),",","."),FIND("/",SUBSTITUTE(LEFT(TRIM(C78),FIND(" ",TRIM(C78)&amp;" ")-1),",","."))+1,9)),IF(ISNUMBER(SEARCH("yea",C78)),IFERROR(_xlfn.NUMBERVALUE(SUBSTITUTE(LEFT(TRIM(C78),FIND(" ",TRIM(C78)&amp;" ")-1),",","."),"."),LEFT(SUBSTITUTE(LEFT(TRIM(C78),FIND(" ",TRIM(C78)&amp;" ")-1),",","."),FIND("/",SUBSTITUTE(LEFT(TRIM(C78),FIND(" ",TRIM(C78)&amp;" ")-1),",","."))-1)/MID(SUBSTITUTE(LEFT(TRIM(C78),FIND(" ",TRIM(C78)&amp;" ")-1),",","."),FIND("/",SUBSTITUTE(LEFT(TRIM(C78),FIND(" ",TRIM(C78)&amp;" ")-1),",","."))+1,9))*12,NA()))),0),36)*'Aturan &amp; Tarif'!$B$4,2)</f>
        <v>2044.08</v>
      </c>
      <c r="K78" s="32" t="n">
        <f aca="false">'Aturan &amp; Tarif'!$B$5</f>
        <v>2050</v>
      </c>
      <c r="L78" s="35" t="n">
        <f aca="false">I78+J78+K78</f>
        <v>26794.08</v>
      </c>
      <c r="M78" s="37" t="s">
        <v>1239</v>
      </c>
    </row>
    <row r="79" customFormat="false" ht="25.5" hidden="false" customHeight="true" outlineLevel="0" collapsed="false">
      <c r="A79" s="29"/>
      <c r="B79" s="30" t="s">
        <v>1242</v>
      </c>
      <c r="C79" s="31" t="s">
        <v>127</v>
      </c>
      <c r="D79" s="31" t="s">
        <v>108</v>
      </c>
      <c r="E79" s="32" t="n">
        <v>11275</v>
      </c>
      <c r="F79" s="32"/>
      <c r="G79" s="32" t="n">
        <v>150</v>
      </c>
      <c r="H79" s="33" t="n">
        <v>2</v>
      </c>
      <c r="I79" s="34" t="n">
        <f aca="false">E79*H79+N(F79)+N(G79)</f>
        <v>22700</v>
      </c>
      <c r="J79" s="32" t="n">
        <f aca="false">ROUND(IFERROR(ROUND(IF(OR(ISNUMBER(SEARCH("week",C79)),ISNUMBER(SEARCH("minggu",C79))),IFERROR(_xlfn.NUMBERVALUE(SUBSTITUTE(LEFT(TRIM(C79),FIND(" ",TRIM(C79)&amp;" ")-1),",","."),"."),LEFT(SUBSTITUTE(LEFT(TRIM(C79),FIND(" ",TRIM(C79)&amp;" ")-1),",","."),FIND("/",SUBSTITUTE(LEFT(TRIM(C79),FIND(" ",TRIM(C79)&amp;" ")-1),",","."))-1)/MID(SUBSTITUTE(LEFT(TRIM(C79),FIND(" ",TRIM(C79)&amp;" ")-1),",","."),FIND("/",SUBSTITUTE(LEFT(TRIM(C79),FIND(" ",TRIM(C79)&amp;" ")-1),",","."))+1,9))*12/52,IF(ISNUMBER(SEARCH("month",C79)),IFERROR(_xlfn.NUMBERVALUE(SUBSTITUTE(LEFT(TRIM(C79),FIND(" ",TRIM(C79)&amp;" ")-1),",","."),"."),LEFT(SUBSTITUTE(LEFT(TRIM(C79),FIND(" ",TRIM(C79)&amp;" ")-1),",","."),FIND("/",SUBSTITUTE(LEFT(TRIM(C79),FIND(" ",TRIM(C79)&amp;" ")-1),",","."))-1)/MID(SUBSTITUTE(LEFT(TRIM(C79),FIND(" ",TRIM(C79)&amp;" ")-1),",","."),FIND("/",SUBSTITUTE(LEFT(TRIM(C79),FIND(" ",TRIM(C79)&amp;" ")-1),",","."))+1,9)),IF(ISNUMBER(SEARCH("yea",C79)),IFERROR(_xlfn.NUMBERVALUE(SUBSTITUTE(LEFT(TRIM(C79),FIND(" ",TRIM(C79)&amp;" ")-1),",","."),"."),LEFT(SUBSTITUTE(LEFT(TRIM(C79),FIND(" ",TRIM(C79)&amp;" ")-1),",","."),FIND("/",SUBSTITUTE(LEFT(TRIM(C79),FIND(" ",TRIM(C79)&amp;" ")-1),",","."))-1)/MID(SUBSTITUTE(LEFT(TRIM(C79),FIND(" ",TRIM(C79)&amp;" ")-1),",","."),FIND("/",SUBSTITUTE(LEFT(TRIM(C79),FIND(" ",TRIM(C79)&amp;" ")-1),",","."))+1,9))*12,NA()))),0),36)*'Aturan &amp; Tarif'!$B$4,2)</f>
        <v>2044.08</v>
      </c>
      <c r="K79" s="32" t="n">
        <f aca="false">'Aturan &amp; Tarif'!$B$5</f>
        <v>2050</v>
      </c>
      <c r="L79" s="35" t="n">
        <f aca="false">I79+J79+K79</f>
        <v>26794.08</v>
      </c>
      <c r="M79" s="37" t="s">
        <v>1239</v>
      </c>
    </row>
    <row r="80" customFormat="false" ht="25.5" hidden="false" customHeight="true" outlineLevel="0" collapsed="false">
      <c r="A80" s="29"/>
      <c r="B80" s="30" t="s">
        <v>1243</v>
      </c>
      <c r="C80" s="31" t="s">
        <v>127</v>
      </c>
      <c r="D80" s="31" t="s">
        <v>108</v>
      </c>
      <c r="E80" s="32" t="n">
        <v>11275</v>
      </c>
      <c r="F80" s="32"/>
      <c r="G80" s="32" t="n">
        <v>150</v>
      </c>
      <c r="H80" s="33" t="n">
        <v>2</v>
      </c>
      <c r="I80" s="34" t="n">
        <f aca="false">E80*H80+N(F80)+N(G80)</f>
        <v>22700</v>
      </c>
      <c r="J80" s="32" t="n">
        <f aca="false">ROUND(IFERROR(ROUND(IF(OR(ISNUMBER(SEARCH("week",C80)),ISNUMBER(SEARCH("minggu",C80))),IFERROR(_xlfn.NUMBERVALUE(SUBSTITUTE(LEFT(TRIM(C80),FIND(" ",TRIM(C80)&amp;" ")-1),",","."),"."),LEFT(SUBSTITUTE(LEFT(TRIM(C80),FIND(" ",TRIM(C80)&amp;" ")-1),",","."),FIND("/",SUBSTITUTE(LEFT(TRIM(C80),FIND(" ",TRIM(C80)&amp;" ")-1),",","."))-1)/MID(SUBSTITUTE(LEFT(TRIM(C80),FIND(" ",TRIM(C80)&amp;" ")-1),",","."),FIND("/",SUBSTITUTE(LEFT(TRIM(C80),FIND(" ",TRIM(C80)&amp;" ")-1),",","."))+1,9))*12/52,IF(ISNUMBER(SEARCH("month",C80)),IFERROR(_xlfn.NUMBERVALUE(SUBSTITUTE(LEFT(TRIM(C80),FIND(" ",TRIM(C80)&amp;" ")-1),",","."),"."),LEFT(SUBSTITUTE(LEFT(TRIM(C80),FIND(" ",TRIM(C80)&amp;" ")-1),",","."),FIND("/",SUBSTITUTE(LEFT(TRIM(C80),FIND(" ",TRIM(C80)&amp;" ")-1),",","."))-1)/MID(SUBSTITUTE(LEFT(TRIM(C80),FIND(" ",TRIM(C80)&amp;" ")-1),",","."),FIND("/",SUBSTITUTE(LEFT(TRIM(C80),FIND(" ",TRIM(C80)&amp;" ")-1),",","."))+1,9)),IF(ISNUMBER(SEARCH("yea",C80)),IFERROR(_xlfn.NUMBERVALUE(SUBSTITUTE(LEFT(TRIM(C80),FIND(" ",TRIM(C80)&amp;" ")-1),",","."),"."),LEFT(SUBSTITUTE(LEFT(TRIM(C80),FIND(" ",TRIM(C80)&amp;" ")-1),",","."),FIND("/",SUBSTITUTE(LEFT(TRIM(C80),FIND(" ",TRIM(C80)&amp;" ")-1),",","."))-1)/MID(SUBSTITUTE(LEFT(TRIM(C80),FIND(" ",TRIM(C80)&amp;" ")-1),",","."),FIND("/",SUBSTITUTE(LEFT(TRIM(C80),FIND(" ",TRIM(C80)&amp;" ")-1),",","."))+1,9))*12,NA()))),0),36)*'Aturan &amp; Tarif'!$B$4,2)</f>
        <v>2044.08</v>
      </c>
      <c r="K80" s="32" t="n">
        <f aca="false">'Aturan &amp; Tarif'!$B$5</f>
        <v>2050</v>
      </c>
      <c r="L80" s="35" t="n">
        <f aca="false">I80+J80+K80</f>
        <v>26794.08</v>
      </c>
      <c r="M80" s="37" t="s">
        <v>1239</v>
      </c>
    </row>
    <row r="81" customFormat="false" ht="25.5" hidden="false" customHeight="true" outlineLevel="0" collapsed="false">
      <c r="A81" s="29"/>
      <c r="B81" s="30" t="s">
        <v>1244</v>
      </c>
      <c r="C81" s="31" t="s">
        <v>127</v>
      </c>
      <c r="D81" s="31" t="s">
        <v>108</v>
      </c>
      <c r="E81" s="32" t="n">
        <v>11275</v>
      </c>
      <c r="F81" s="32"/>
      <c r="G81" s="32" t="n">
        <v>150</v>
      </c>
      <c r="H81" s="33" t="n">
        <v>2</v>
      </c>
      <c r="I81" s="34" t="n">
        <f aca="false">E81*H81+N(F81)+N(G81)</f>
        <v>22700</v>
      </c>
      <c r="J81" s="32" t="n">
        <f aca="false">ROUND(IFERROR(ROUND(IF(OR(ISNUMBER(SEARCH("week",C81)),ISNUMBER(SEARCH("minggu",C81))),IFERROR(_xlfn.NUMBERVALUE(SUBSTITUTE(LEFT(TRIM(C81),FIND(" ",TRIM(C81)&amp;" ")-1),",","."),"."),LEFT(SUBSTITUTE(LEFT(TRIM(C81),FIND(" ",TRIM(C81)&amp;" ")-1),",","."),FIND("/",SUBSTITUTE(LEFT(TRIM(C81),FIND(" ",TRIM(C81)&amp;" ")-1),",","."))-1)/MID(SUBSTITUTE(LEFT(TRIM(C81),FIND(" ",TRIM(C81)&amp;" ")-1),",","."),FIND("/",SUBSTITUTE(LEFT(TRIM(C81),FIND(" ",TRIM(C81)&amp;" ")-1),",","."))+1,9))*12/52,IF(ISNUMBER(SEARCH("month",C81)),IFERROR(_xlfn.NUMBERVALUE(SUBSTITUTE(LEFT(TRIM(C81),FIND(" ",TRIM(C81)&amp;" ")-1),",","."),"."),LEFT(SUBSTITUTE(LEFT(TRIM(C81),FIND(" ",TRIM(C81)&amp;" ")-1),",","."),FIND("/",SUBSTITUTE(LEFT(TRIM(C81),FIND(" ",TRIM(C81)&amp;" ")-1),",","."))-1)/MID(SUBSTITUTE(LEFT(TRIM(C81),FIND(" ",TRIM(C81)&amp;" ")-1),",","."),FIND("/",SUBSTITUTE(LEFT(TRIM(C81),FIND(" ",TRIM(C81)&amp;" ")-1),",","."))+1,9)),IF(ISNUMBER(SEARCH("yea",C81)),IFERROR(_xlfn.NUMBERVALUE(SUBSTITUTE(LEFT(TRIM(C81),FIND(" ",TRIM(C81)&amp;" ")-1),",","."),"."),LEFT(SUBSTITUTE(LEFT(TRIM(C81),FIND(" ",TRIM(C81)&amp;" ")-1),",","."),FIND("/",SUBSTITUTE(LEFT(TRIM(C81),FIND(" ",TRIM(C81)&amp;" ")-1),",","."))-1)/MID(SUBSTITUTE(LEFT(TRIM(C81),FIND(" ",TRIM(C81)&amp;" ")-1),",","."),FIND("/",SUBSTITUTE(LEFT(TRIM(C81),FIND(" ",TRIM(C81)&amp;" ")-1),",","."))+1,9))*12,NA()))),0),36)*'Aturan &amp; Tarif'!$B$4,2)</f>
        <v>2044.08</v>
      </c>
      <c r="K81" s="32" t="n">
        <f aca="false">'Aturan &amp; Tarif'!$B$5</f>
        <v>2050</v>
      </c>
      <c r="L81" s="35" t="n">
        <f aca="false">I81+J81+K81</f>
        <v>26794.08</v>
      </c>
      <c r="M81" s="37" t="s">
        <v>1239</v>
      </c>
    </row>
    <row r="82" customFormat="false" ht="25.5" hidden="false" customHeight="true" outlineLevel="0" collapsed="false">
      <c r="A82" s="29"/>
      <c r="B82" s="30" t="s">
        <v>1245</v>
      </c>
      <c r="C82" s="31" t="s">
        <v>127</v>
      </c>
      <c r="D82" s="31" t="s">
        <v>108</v>
      </c>
      <c r="E82" s="32" t="n">
        <v>11275</v>
      </c>
      <c r="F82" s="32"/>
      <c r="G82" s="32" t="n">
        <v>150</v>
      </c>
      <c r="H82" s="33" t="n">
        <v>2</v>
      </c>
      <c r="I82" s="34" t="n">
        <f aca="false">E82*H82+N(F82)+N(G82)</f>
        <v>22700</v>
      </c>
      <c r="J82" s="32" t="n">
        <f aca="false">ROUND(IFERROR(ROUND(IF(OR(ISNUMBER(SEARCH("week",C82)),ISNUMBER(SEARCH("minggu",C82))),IFERROR(_xlfn.NUMBERVALUE(SUBSTITUTE(LEFT(TRIM(C82),FIND(" ",TRIM(C82)&amp;" ")-1),",","."),"."),LEFT(SUBSTITUTE(LEFT(TRIM(C82),FIND(" ",TRIM(C82)&amp;" ")-1),",","."),FIND("/",SUBSTITUTE(LEFT(TRIM(C82),FIND(" ",TRIM(C82)&amp;" ")-1),",","."))-1)/MID(SUBSTITUTE(LEFT(TRIM(C82),FIND(" ",TRIM(C82)&amp;" ")-1),",","."),FIND("/",SUBSTITUTE(LEFT(TRIM(C82),FIND(" ",TRIM(C82)&amp;" ")-1),",","."))+1,9))*12/52,IF(ISNUMBER(SEARCH("month",C82)),IFERROR(_xlfn.NUMBERVALUE(SUBSTITUTE(LEFT(TRIM(C82),FIND(" ",TRIM(C82)&amp;" ")-1),",","."),"."),LEFT(SUBSTITUTE(LEFT(TRIM(C82),FIND(" ",TRIM(C82)&amp;" ")-1),",","."),FIND("/",SUBSTITUTE(LEFT(TRIM(C82),FIND(" ",TRIM(C82)&amp;" ")-1),",","."))-1)/MID(SUBSTITUTE(LEFT(TRIM(C82),FIND(" ",TRIM(C82)&amp;" ")-1),",","."),FIND("/",SUBSTITUTE(LEFT(TRIM(C82),FIND(" ",TRIM(C82)&amp;" ")-1),",","."))+1,9)),IF(ISNUMBER(SEARCH("yea",C82)),IFERROR(_xlfn.NUMBERVALUE(SUBSTITUTE(LEFT(TRIM(C82),FIND(" ",TRIM(C82)&amp;" ")-1),",","."),"."),LEFT(SUBSTITUTE(LEFT(TRIM(C82),FIND(" ",TRIM(C82)&amp;" ")-1),",","."),FIND("/",SUBSTITUTE(LEFT(TRIM(C82),FIND(" ",TRIM(C82)&amp;" ")-1),",","."))-1)/MID(SUBSTITUTE(LEFT(TRIM(C82),FIND(" ",TRIM(C82)&amp;" ")-1),",","."),FIND("/",SUBSTITUTE(LEFT(TRIM(C82),FIND(" ",TRIM(C82)&amp;" ")-1),",","."))+1,9))*12,NA()))),0),36)*'Aturan &amp; Tarif'!$B$4,2)</f>
        <v>2044.08</v>
      </c>
      <c r="K82" s="32" t="n">
        <f aca="false">'Aturan &amp; Tarif'!$B$5</f>
        <v>2050</v>
      </c>
      <c r="L82" s="35" t="n">
        <f aca="false">I82+J82+K82</f>
        <v>26794.08</v>
      </c>
      <c r="M82" s="37" t="s">
        <v>1239</v>
      </c>
    </row>
    <row r="83" customFormat="false" ht="25.5" hidden="false" customHeight="true" outlineLevel="0" collapsed="false">
      <c r="A83" s="29"/>
      <c r="B83" s="30" t="s">
        <v>1246</v>
      </c>
      <c r="C83" s="31" t="s">
        <v>127</v>
      </c>
      <c r="D83" s="31" t="s">
        <v>108</v>
      </c>
      <c r="E83" s="32" t="n">
        <v>11275</v>
      </c>
      <c r="F83" s="32"/>
      <c r="G83" s="32" t="n">
        <v>150</v>
      </c>
      <c r="H83" s="33" t="n">
        <v>2</v>
      </c>
      <c r="I83" s="34" t="n">
        <f aca="false">E83*H83+N(F83)+N(G83)</f>
        <v>22700</v>
      </c>
      <c r="J83" s="32" t="n">
        <f aca="false">ROUND(IFERROR(ROUND(IF(OR(ISNUMBER(SEARCH("week",C83)),ISNUMBER(SEARCH("minggu",C83))),IFERROR(_xlfn.NUMBERVALUE(SUBSTITUTE(LEFT(TRIM(C83),FIND(" ",TRIM(C83)&amp;" ")-1),",","."),"."),LEFT(SUBSTITUTE(LEFT(TRIM(C83),FIND(" ",TRIM(C83)&amp;" ")-1),",","."),FIND("/",SUBSTITUTE(LEFT(TRIM(C83),FIND(" ",TRIM(C83)&amp;" ")-1),",","."))-1)/MID(SUBSTITUTE(LEFT(TRIM(C83),FIND(" ",TRIM(C83)&amp;" ")-1),",","."),FIND("/",SUBSTITUTE(LEFT(TRIM(C83),FIND(" ",TRIM(C83)&amp;" ")-1),",","."))+1,9))*12/52,IF(ISNUMBER(SEARCH("month",C83)),IFERROR(_xlfn.NUMBERVALUE(SUBSTITUTE(LEFT(TRIM(C83),FIND(" ",TRIM(C83)&amp;" ")-1),",","."),"."),LEFT(SUBSTITUTE(LEFT(TRIM(C83),FIND(" ",TRIM(C83)&amp;" ")-1),",","."),FIND("/",SUBSTITUTE(LEFT(TRIM(C83),FIND(" ",TRIM(C83)&amp;" ")-1),",","."))-1)/MID(SUBSTITUTE(LEFT(TRIM(C83),FIND(" ",TRIM(C83)&amp;" ")-1),",","."),FIND("/",SUBSTITUTE(LEFT(TRIM(C83),FIND(" ",TRIM(C83)&amp;" ")-1),",","."))+1,9)),IF(ISNUMBER(SEARCH("yea",C83)),IFERROR(_xlfn.NUMBERVALUE(SUBSTITUTE(LEFT(TRIM(C83),FIND(" ",TRIM(C83)&amp;" ")-1),",","."),"."),LEFT(SUBSTITUTE(LEFT(TRIM(C83),FIND(" ",TRIM(C83)&amp;" ")-1),",","."),FIND("/",SUBSTITUTE(LEFT(TRIM(C83),FIND(" ",TRIM(C83)&amp;" ")-1),",","."))-1)/MID(SUBSTITUTE(LEFT(TRIM(C83),FIND(" ",TRIM(C83)&amp;" ")-1),",","."),FIND("/",SUBSTITUTE(LEFT(TRIM(C83),FIND(" ",TRIM(C83)&amp;" ")-1),",","."))+1,9))*12,NA()))),0),36)*'Aturan &amp; Tarif'!$B$4,2)</f>
        <v>2044.08</v>
      </c>
      <c r="K83" s="32" t="n">
        <f aca="false">'Aturan &amp; Tarif'!$B$5</f>
        <v>2050</v>
      </c>
      <c r="L83" s="35" t="n">
        <f aca="false">I83+J83+K83</f>
        <v>26794.08</v>
      </c>
      <c r="M83" s="37" t="s">
        <v>1239</v>
      </c>
    </row>
    <row r="84" customFormat="false" ht="25.5" hidden="false" customHeight="true" outlineLevel="0" collapsed="false">
      <c r="A84" s="29"/>
      <c r="B84" s="30" t="s">
        <v>1247</v>
      </c>
      <c r="C84" s="31" t="s">
        <v>127</v>
      </c>
      <c r="D84" s="31" t="s">
        <v>108</v>
      </c>
      <c r="E84" s="32" t="n">
        <v>11275</v>
      </c>
      <c r="F84" s="32"/>
      <c r="G84" s="32" t="n">
        <v>150</v>
      </c>
      <c r="H84" s="33" t="n">
        <v>2</v>
      </c>
      <c r="I84" s="34" t="n">
        <f aca="false">E84*H84+N(F84)+N(G84)</f>
        <v>22700</v>
      </c>
      <c r="J84" s="32" t="n">
        <f aca="false">ROUND(IFERROR(ROUND(IF(OR(ISNUMBER(SEARCH("week",C84)),ISNUMBER(SEARCH("minggu",C84))),IFERROR(_xlfn.NUMBERVALUE(SUBSTITUTE(LEFT(TRIM(C84),FIND(" ",TRIM(C84)&amp;" ")-1),",","."),"."),LEFT(SUBSTITUTE(LEFT(TRIM(C84),FIND(" ",TRIM(C84)&amp;" ")-1),",","."),FIND("/",SUBSTITUTE(LEFT(TRIM(C84),FIND(" ",TRIM(C84)&amp;" ")-1),",","."))-1)/MID(SUBSTITUTE(LEFT(TRIM(C84),FIND(" ",TRIM(C84)&amp;" ")-1),",","."),FIND("/",SUBSTITUTE(LEFT(TRIM(C84),FIND(" ",TRIM(C84)&amp;" ")-1),",","."))+1,9))*12/52,IF(ISNUMBER(SEARCH("month",C84)),IFERROR(_xlfn.NUMBERVALUE(SUBSTITUTE(LEFT(TRIM(C84),FIND(" ",TRIM(C84)&amp;" ")-1),",","."),"."),LEFT(SUBSTITUTE(LEFT(TRIM(C84),FIND(" ",TRIM(C84)&amp;" ")-1),",","."),FIND("/",SUBSTITUTE(LEFT(TRIM(C84),FIND(" ",TRIM(C84)&amp;" ")-1),",","."))-1)/MID(SUBSTITUTE(LEFT(TRIM(C84),FIND(" ",TRIM(C84)&amp;" ")-1),",","."),FIND("/",SUBSTITUTE(LEFT(TRIM(C84),FIND(" ",TRIM(C84)&amp;" ")-1),",","."))+1,9)),IF(ISNUMBER(SEARCH("yea",C84)),IFERROR(_xlfn.NUMBERVALUE(SUBSTITUTE(LEFT(TRIM(C84),FIND(" ",TRIM(C84)&amp;" ")-1),",","."),"."),LEFT(SUBSTITUTE(LEFT(TRIM(C84),FIND(" ",TRIM(C84)&amp;" ")-1),",","."),FIND("/",SUBSTITUTE(LEFT(TRIM(C84),FIND(" ",TRIM(C84)&amp;" ")-1),",","."))-1)/MID(SUBSTITUTE(LEFT(TRIM(C84),FIND(" ",TRIM(C84)&amp;" ")-1),",","."),FIND("/",SUBSTITUTE(LEFT(TRIM(C84),FIND(" ",TRIM(C84)&amp;" ")-1),",","."))+1,9))*12,NA()))),0),36)*'Aturan &amp; Tarif'!$B$4,2)</f>
        <v>2044.08</v>
      </c>
      <c r="K84" s="32" t="n">
        <f aca="false">'Aturan &amp; Tarif'!$B$5</f>
        <v>2050</v>
      </c>
      <c r="L84" s="35" t="n">
        <f aca="false">I84+J84+K84</f>
        <v>26794.08</v>
      </c>
      <c r="M84" s="37" t="s">
        <v>1239</v>
      </c>
    </row>
    <row r="85" customFormat="false" ht="25.5" hidden="false" customHeight="true" outlineLevel="0" collapsed="false">
      <c r="A85" s="29"/>
      <c r="B85" s="30" t="s">
        <v>1248</v>
      </c>
      <c r="C85" s="31" t="s">
        <v>127</v>
      </c>
      <c r="D85" s="31" t="s">
        <v>108</v>
      </c>
      <c r="E85" s="32" t="n">
        <v>11275</v>
      </c>
      <c r="F85" s="32"/>
      <c r="G85" s="32" t="n">
        <v>150</v>
      </c>
      <c r="H85" s="33" t="n">
        <v>2</v>
      </c>
      <c r="I85" s="34" t="n">
        <f aca="false">E85*H85+N(F85)+N(G85)</f>
        <v>22700</v>
      </c>
      <c r="J85" s="32" t="n">
        <f aca="false">ROUND(IFERROR(ROUND(IF(OR(ISNUMBER(SEARCH("week",C85)),ISNUMBER(SEARCH("minggu",C85))),IFERROR(_xlfn.NUMBERVALUE(SUBSTITUTE(LEFT(TRIM(C85),FIND(" ",TRIM(C85)&amp;" ")-1),",","."),"."),LEFT(SUBSTITUTE(LEFT(TRIM(C85),FIND(" ",TRIM(C85)&amp;" ")-1),",","."),FIND("/",SUBSTITUTE(LEFT(TRIM(C85),FIND(" ",TRIM(C85)&amp;" ")-1),",","."))-1)/MID(SUBSTITUTE(LEFT(TRIM(C85),FIND(" ",TRIM(C85)&amp;" ")-1),",","."),FIND("/",SUBSTITUTE(LEFT(TRIM(C85),FIND(" ",TRIM(C85)&amp;" ")-1),",","."))+1,9))*12/52,IF(ISNUMBER(SEARCH("month",C85)),IFERROR(_xlfn.NUMBERVALUE(SUBSTITUTE(LEFT(TRIM(C85),FIND(" ",TRIM(C85)&amp;" ")-1),",","."),"."),LEFT(SUBSTITUTE(LEFT(TRIM(C85),FIND(" ",TRIM(C85)&amp;" ")-1),",","."),FIND("/",SUBSTITUTE(LEFT(TRIM(C85),FIND(" ",TRIM(C85)&amp;" ")-1),",","."))-1)/MID(SUBSTITUTE(LEFT(TRIM(C85),FIND(" ",TRIM(C85)&amp;" ")-1),",","."),FIND("/",SUBSTITUTE(LEFT(TRIM(C85),FIND(" ",TRIM(C85)&amp;" ")-1),",","."))+1,9)),IF(ISNUMBER(SEARCH("yea",C85)),IFERROR(_xlfn.NUMBERVALUE(SUBSTITUTE(LEFT(TRIM(C85),FIND(" ",TRIM(C85)&amp;" ")-1),",","."),"."),LEFT(SUBSTITUTE(LEFT(TRIM(C85),FIND(" ",TRIM(C85)&amp;" ")-1),",","."),FIND("/",SUBSTITUTE(LEFT(TRIM(C85),FIND(" ",TRIM(C85)&amp;" ")-1),",","."))-1)/MID(SUBSTITUTE(LEFT(TRIM(C85),FIND(" ",TRIM(C85)&amp;" ")-1),",","."),FIND("/",SUBSTITUTE(LEFT(TRIM(C85),FIND(" ",TRIM(C85)&amp;" ")-1),",","."))+1,9))*12,NA()))),0),36)*'Aturan &amp; Tarif'!$B$4,2)</f>
        <v>2044.08</v>
      </c>
      <c r="K85" s="32" t="n">
        <f aca="false">'Aturan &amp; Tarif'!$B$5</f>
        <v>2050</v>
      </c>
      <c r="L85" s="35" t="n">
        <f aca="false">I85+J85+K85</f>
        <v>26794.08</v>
      </c>
      <c r="M85" s="37" t="s">
        <v>1239</v>
      </c>
    </row>
    <row r="86" customFormat="false" ht="25.5" hidden="false" customHeight="true" outlineLevel="0" collapsed="false">
      <c r="A86" s="29"/>
      <c r="B86" s="30" t="s">
        <v>1249</v>
      </c>
      <c r="C86" s="31" t="s">
        <v>127</v>
      </c>
      <c r="D86" s="31" t="s">
        <v>108</v>
      </c>
      <c r="E86" s="32" t="n">
        <v>11275</v>
      </c>
      <c r="F86" s="32"/>
      <c r="G86" s="32" t="n">
        <v>150</v>
      </c>
      <c r="H86" s="33" t="n">
        <v>2</v>
      </c>
      <c r="I86" s="34" t="n">
        <f aca="false">E86*H86+N(F86)+N(G86)</f>
        <v>22700</v>
      </c>
      <c r="J86" s="32" t="n">
        <f aca="false">ROUND(IFERROR(ROUND(IF(OR(ISNUMBER(SEARCH("week",C86)),ISNUMBER(SEARCH("minggu",C86))),IFERROR(_xlfn.NUMBERVALUE(SUBSTITUTE(LEFT(TRIM(C86),FIND(" ",TRIM(C86)&amp;" ")-1),",","."),"."),LEFT(SUBSTITUTE(LEFT(TRIM(C86),FIND(" ",TRIM(C86)&amp;" ")-1),",","."),FIND("/",SUBSTITUTE(LEFT(TRIM(C86),FIND(" ",TRIM(C86)&amp;" ")-1),",","."))-1)/MID(SUBSTITUTE(LEFT(TRIM(C86),FIND(" ",TRIM(C86)&amp;" ")-1),",","."),FIND("/",SUBSTITUTE(LEFT(TRIM(C86),FIND(" ",TRIM(C86)&amp;" ")-1),",","."))+1,9))*12/52,IF(ISNUMBER(SEARCH("month",C86)),IFERROR(_xlfn.NUMBERVALUE(SUBSTITUTE(LEFT(TRIM(C86),FIND(" ",TRIM(C86)&amp;" ")-1),",","."),"."),LEFT(SUBSTITUTE(LEFT(TRIM(C86),FIND(" ",TRIM(C86)&amp;" ")-1),",","."),FIND("/",SUBSTITUTE(LEFT(TRIM(C86),FIND(" ",TRIM(C86)&amp;" ")-1),",","."))-1)/MID(SUBSTITUTE(LEFT(TRIM(C86),FIND(" ",TRIM(C86)&amp;" ")-1),",","."),FIND("/",SUBSTITUTE(LEFT(TRIM(C86),FIND(" ",TRIM(C86)&amp;" ")-1),",","."))+1,9)),IF(ISNUMBER(SEARCH("yea",C86)),IFERROR(_xlfn.NUMBERVALUE(SUBSTITUTE(LEFT(TRIM(C86),FIND(" ",TRIM(C86)&amp;" ")-1),",","."),"."),LEFT(SUBSTITUTE(LEFT(TRIM(C86),FIND(" ",TRIM(C86)&amp;" ")-1),",","."),FIND("/",SUBSTITUTE(LEFT(TRIM(C86),FIND(" ",TRIM(C86)&amp;" ")-1),",","."))-1)/MID(SUBSTITUTE(LEFT(TRIM(C86),FIND(" ",TRIM(C86)&amp;" ")-1),",","."),FIND("/",SUBSTITUTE(LEFT(TRIM(C86),FIND(" ",TRIM(C86)&amp;" ")-1),",","."))+1,9))*12,NA()))),0),36)*'Aturan &amp; Tarif'!$B$4,2)</f>
        <v>2044.08</v>
      </c>
      <c r="K86" s="32" t="n">
        <f aca="false">'Aturan &amp; Tarif'!$B$5</f>
        <v>2050</v>
      </c>
      <c r="L86" s="35" t="n">
        <f aca="false">I86+J86+K86</f>
        <v>26794.08</v>
      </c>
      <c r="M86" s="37" t="s">
        <v>1239</v>
      </c>
    </row>
    <row r="87" customFormat="false" ht="25.5" hidden="false" customHeight="true" outlineLevel="0" collapsed="false">
      <c r="A87" s="29"/>
      <c r="B87" s="30" t="s">
        <v>1250</v>
      </c>
      <c r="C87" s="31" t="s">
        <v>127</v>
      </c>
      <c r="D87" s="31" t="s">
        <v>108</v>
      </c>
      <c r="E87" s="32" t="n">
        <v>11275</v>
      </c>
      <c r="F87" s="32"/>
      <c r="G87" s="32" t="n">
        <v>150</v>
      </c>
      <c r="H87" s="33" t="n">
        <v>2</v>
      </c>
      <c r="I87" s="34" t="n">
        <f aca="false">E87*H87+N(F87)+N(G87)</f>
        <v>22700</v>
      </c>
      <c r="J87" s="32" t="n">
        <f aca="false">ROUND(IFERROR(ROUND(IF(OR(ISNUMBER(SEARCH("week",C87)),ISNUMBER(SEARCH("minggu",C87))),IFERROR(_xlfn.NUMBERVALUE(SUBSTITUTE(LEFT(TRIM(C87),FIND(" ",TRIM(C87)&amp;" ")-1),",","."),"."),LEFT(SUBSTITUTE(LEFT(TRIM(C87),FIND(" ",TRIM(C87)&amp;" ")-1),",","."),FIND("/",SUBSTITUTE(LEFT(TRIM(C87),FIND(" ",TRIM(C87)&amp;" ")-1),",","."))-1)/MID(SUBSTITUTE(LEFT(TRIM(C87),FIND(" ",TRIM(C87)&amp;" ")-1),",","."),FIND("/",SUBSTITUTE(LEFT(TRIM(C87),FIND(" ",TRIM(C87)&amp;" ")-1),",","."))+1,9))*12/52,IF(ISNUMBER(SEARCH("month",C87)),IFERROR(_xlfn.NUMBERVALUE(SUBSTITUTE(LEFT(TRIM(C87),FIND(" ",TRIM(C87)&amp;" ")-1),",","."),"."),LEFT(SUBSTITUTE(LEFT(TRIM(C87),FIND(" ",TRIM(C87)&amp;" ")-1),",","."),FIND("/",SUBSTITUTE(LEFT(TRIM(C87),FIND(" ",TRIM(C87)&amp;" ")-1),",","."))-1)/MID(SUBSTITUTE(LEFT(TRIM(C87),FIND(" ",TRIM(C87)&amp;" ")-1),",","."),FIND("/",SUBSTITUTE(LEFT(TRIM(C87),FIND(" ",TRIM(C87)&amp;" ")-1),",","."))+1,9)),IF(ISNUMBER(SEARCH("yea",C87)),IFERROR(_xlfn.NUMBERVALUE(SUBSTITUTE(LEFT(TRIM(C87),FIND(" ",TRIM(C87)&amp;" ")-1),",","."),"."),LEFT(SUBSTITUTE(LEFT(TRIM(C87),FIND(" ",TRIM(C87)&amp;" ")-1),",","."),FIND("/",SUBSTITUTE(LEFT(TRIM(C87),FIND(" ",TRIM(C87)&amp;" ")-1),",","."))-1)/MID(SUBSTITUTE(LEFT(TRIM(C87),FIND(" ",TRIM(C87)&amp;" ")-1),",","."),FIND("/",SUBSTITUTE(LEFT(TRIM(C87),FIND(" ",TRIM(C87)&amp;" ")-1),",","."))+1,9))*12,NA()))),0),36)*'Aturan &amp; Tarif'!$B$4,2)</f>
        <v>2044.08</v>
      </c>
      <c r="K87" s="32" t="n">
        <f aca="false">'Aturan &amp; Tarif'!$B$5</f>
        <v>2050</v>
      </c>
      <c r="L87" s="35" t="n">
        <f aca="false">I87+J87+K87</f>
        <v>26794.08</v>
      </c>
      <c r="M87" s="37" t="s">
        <v>1239</v>
      </c>
    </row>
    <row r="88" customFormat="false" ht="25.5" hidden="false" customHeight="true" outlineLevel="0" collapsed="false">
      <c r="A88" s="29"/>
      <c r="B88" s="30" t="s">
        <v>1251</v>
      </c>
      <c r="C88" s="31" t="s">
        <v>127</v>
      </c>
      <c r="D88" s="31" t="s">
        <v>108</v>
      </c>
      <c r="E88" s="32" t="n">
        <v>11275</v>
      </c>
      <c r="F88" s="32"/>
      <c r="G88" s="32" t="n">
        <v>150</v>
      </c>
      <c r="H88" s="33" t="n">
        <v>2</v>
      </c>
      <c r="I88" s="34" t="n">
        <f aca="false">E88*H88+N(F88)+N(G88)</f>
        <v>22700</v>
      </c>
      <c r="J88" s="32" t="n">
        <f aca="false">ROUND(IFERROR(ROUND(IF(OR(ISNUMBER(SEARCH("week",C88)),ISNUMBER(SEARCH("minggu",C88))),IFERROR(_xlfn.NUMBERVALUE(SUBSTITUTE(LEFT(TRIM(C88),FIND(" ",TRIM(C88)&amp;" ")-1),",","."),"."),LEFT(SUBSTITUTE(LEFT(TRIM(C88),FIND(" ",TRIM(C88)&amp;" ")-1),",","."),FIND("/",SUBSTITUTE(LEFT(TRIM(C88),FIND(" ",TRIM(C88)&amp;" ")-1),",","."))-1)/MID(SUBSTITUTE(LEFT(TRIM(C88),FIND(" ",TRIM(C88)&amp;" ")-1),",","."),FIND("/",SUBSTITUTE(LEFT(TRIM(C88),FIND(" ",TRIM(C88)&amp;" ")-1),",","."))+1,9))*12/52,IF(ISNUMBER(SEARCH("month",C88)),IFERROR(_xlfn.NUMBERVALUE(SUBSTITUTE(LEFT(TRIM(C88),FIND(" ",TRIM(C88)&amp;" ")-1),",","."),"."),LEFT(SUBSTITUTE(LEFT(TRIM(C88),FIND(" ",TRIM(C88)&amp;" ")-1),",","."),FIND("/",SUBSTITUTE(LEFT(TRIM(C88),FIND(" ",TRIM(C88)&amp;" ")-1),",","."))-1)/MID(SUBSTITUTE(LEFT(TRIM(C88),FIND(" ",TRIM(C88)&amp;" ")-1),",","."),FIND("/",SUBSTITUTE(LEFT(TRIM(C88),FIND(" ",TRIM(C88)&amp;" ")-1),",","."))+1,9)),IF(ISNUMBER(SEARCH("yea",C88)),IFERROR(_xlfn.NUMBERVALUE(SUBSTITUTE(LEFT(TRIM(C88),FIND(" ",TRIM(C88)&amp;" ")-1),",","."),"."),LEFT(SUBSTITUTE(LEFT(TRIM(C88),FIND(" ",TRIM(C88)&amp;" ")-1),",","."),FIND("/",SUBSTITUTE(LEFT(TRIM(C88),FIND(" ",TRIM(C88)&amp;" ")-1),",","."))-1)/MID(SUBSTITUTE(LEFT(TRIM(C88),FIND(" ",TRIM(C88)&amp;" ")-1),",","."),FIND("/",SUBSTITUTE(LEFT(TRIM(C88),FIND(" ",TRIM(C88)&amp;" ")-1),",","."))+1,9))*12,NA()))),0),36)*'Aturan &amp; Tarif'!$B$4,2)</f>
        <v>2044.08</v>
      </c>
      <c r="K88" s="32" t="n">
        <f aca="false">'Aturan &amp; Tarif'!$B$5</f>
        <v>2050</v>
      </c>
      <c r="L88" s="35" t="n">
        <f aca="false">I88+J88+K88</f>
        <v>26794.08</v>
      </c>
      <c r="M88" s="37" t="s">
        <v>1239</v>
      </c>
    </row>
    <row r="89" customFormat="false" ht="25.5" hidden="false" customHeight="true" outlineLevel="0" collapsed="false">
      <c r="A89" s="29"/>
      <c r="B89" s="30" t="s">
        <v>1252</v>
      </c>
      <c r="C89" s="31" t="s">
        <v>127</v>
      </c>
      <c r="D89" s="31" t="s">
        <v>108</v>
      </c>
      <c r="E89" s="32" t="n">
        <v>10850</v>
      </c>
      <c r="F89" s="32"/>
      <c r="G89" s="32" t="n">
        <v>150</v>
      </c>
      <c r="H89" s="33" t="n">
        <v>2</v>
      </c>
      <c r="I89" s="34" t="n">
        <f aca="false">E89*H89+N(F89)+N(G89)</f>
        <v>21850</v>
      </c>
      <c r="J89" s="32" t="n">
        <f aca="false">ROUND(IFERROR(ROUND(IF(OR(ISNUMBER(SEARCH("week",C89)),ISNUMBER(SEARCH("minggu",C89))),IFERROR(_xlfn.NUMBERVALUE(SUBSTITUTE(LEFT(TRIM(C89),FIND(" ",TRIM(C89)&amp;" ")-1),",","."),"."),LEFT(SUBSTITUTE(LEFT(TRIM(C89),FIND(" ",TRIM(C89)&amp;" ")-1),",","."),FIND("/",SUBSTITUTE(LEFT(TRIM(C89),FIND(" ",TRIM(C89)&amp;" ")-1),",","."))-1)/MID(SUBSTITUTE(LEFT(TRIM(C89),FIND(" ",TRIM(C89)&amp;" ")-1),",","."),FIND("/",SUBSTITUTE(LEFT(TRIM(C89),FIND(" ",TRIM(C89)&amp;" ")-1),",","."))+1,9))*12/52,IF(ISNUMBER(SEARCH("month",C89)),IFERROR(_xlfn.NUMBERVALUE(SUBSTITUTE(LEFT(TRIM(C89),FIND(" ",TRIM(C89)&amp;" ")-1),",","."),"."),LEFT(SUBSTITUTE(LEFT(TRIM(C89),FIND(" ",TRIM(C89)&amp;" ")-1),",","."),FIND("/",SUBSTITUTE(LEFT(TRIM(C89),FIND(" ",TRIM(C89)&amp;" ")-1),",","."))-1)/MID(SUBSTITUTE(LEFT(TRIM(C89),FIND(" ",TRIM(C89)&amp;" ")-1),",","."),FIND("/",SUBSTITUTE(LEFT(TRIM(C89),FIND(" ",TRIM(C89)&amp;" ")-1),",","."))+1,9)),IF(ISNUMBER(SEARCH("yea",C89)),IFERROR(_xlfn.NUMBERVALUE(SUBSTITUTE(LEFT(TRIM(C89),FIND(" ",TRIM(C89)&amp;" ")-1),",","."),"."),LEFT(SUBSTITUTE(LEFT(TRIM(C89),FIND(" ",TRIM(C89)&amp;" ")-1),",","."),FIND("/",SUBSTITUTE(LEFT(TRIM(C89),FIND(" ",TRIM(C89)&amp;" ")-1),",","."))-1)/MID(SUBSTITUTE(LEFT(TRIM(C89),FIND(" ",TRIM(C89)&amp;" ")-1),",","."),FIND("/",SUBSTITUTE(LEFT(TRIM(C89),FIND(" ",TRIM(C89)&amp;" ")-1),",","."))+1,9))*12,NA()))),0),36)*'Aturan &amp; Tarif'!$B$4,2)</f>
        <v>2044.08</v>
      </c>
      <c r="K89" s="32" t="n">
        <f aca="false">'Aturan &amp; Tarif'!$B$5</f>
        <v>2050</v>
      </c>
      <c r="L89" s="35" t="n">
        <f aca="false">I89+J89+K89</f>
        <v>25944.08</v>
      </c>
      <c r="M89" s="37" t="s">
        <v>846</v>
      </c>
    </row>
    <row r="90" customFormat="false" ht="25.5" hidden="false" customHeight="true" outlineLevel="0" collapsed="false">
      <c r="A90" s="29"/>
      <c r="B90" s="30" t="s">
        <v>1253</v>
      </c>
      <c r="C90" s="31" t="s">
        <v>127</v>
      </c>
      <c r="D90" s="31" t="s">
        <v>108</v>
      </c>
      <c r="E90" s="32" t="n">
        <v>10850</v>
      </c>
      <c r="F90" s="32"/>
      <c r="G90" s="32" t="n">
        <v>150</v>
      </c>
      <c r="H90" s="33" t="n">
        <v>2</v>
      </c>
      <c r="I90" s="34" t="n">
        <f aca="false">E90*H90+N(F90)+N(G90)</f>
        <v>21850</v>
      </c>
      <c r="J90" s="32" t="n">
        <f aca="false">ROUND(IFERROR(ROUND(IF(OR(ISNUMBER(SEARCH("week",C90)),ISNUMBER(SEARCH("minggu",C90))),IFERROR(_xlfn.NUMBERVALUE(SUBSTITUTE(LEFT(TRIM(C90),FIND(" ",TRIM(C90)&amp;" ")-1),",","."),"."),LEFT(SUBSTITUTE(LEFT(TRIM(C90),FIND(" ",TRIM(C90)&amp;" ")-1),",","."),FIND("/",SUBSTITUTE(LEFT(TRIM(C90),FIND(" ",TRIM(C90)&amp;" ")-1),",","."))-1)/MID(SUBSTITUTE(LEFT(TRIM(C90),FIND(" ",TRIM(C90)&amp;" ")-1),",","."),FIND("/",SUBSTITUTE(LEFT(TRIM(C90),FIND(" ",TRIM(C90)&amp;" ")-1),",","."))+1,9))*12/52,IF(ISNUMBER(SEARCH("month",C90)),IFERROR(_xlfn.NUMBERVALUE(SUBSTITUTE(LEFT(TRIM(C90),FIND(" ",TRIM(C90)&amp;" ")-1),",","."),"."),LEFT(SUBSTITUTE(LEFT(TRIM(C90),FIND(" ",TRIM(C90)&amp;" ")-1),",","."),FIND("/",SUBSTITUTE(LEFT(TRIM(C90),FIND(" ",TRIM(C90)&amp;" ")-1),",","."))-1)/MID(SUBSTITUTE(LEFT(TRIM(C90),FIND(" ",TRIM(C90)&amp;" ")-1),",","."),FIND("/",SUBSTITUTE(LEFT(TRIM(C90),FIND(" ",TRIM(C90)&amp;" ")-1),",","."))+1,9)),IF(ISNUMBER(SEARCH("yea",C90)),IFERROR(_xlfn.NUMBERVALUE(SUBSTITUTE(LEFT(TRIM(C90),FIND(" ",TRIM(C90)&amp;" ")-1),",","."),"."),LEFT(SUBSTITUTE(LEFT(TRIM(C90),FIND(" ",TRIM(C90)&amp;" ")-1),",","."),FIND("/",SUBSTITUTE(LEFT(TRIM(C90),FIND(" ",TRIM(C90)&amp;" ")-1),",","."))-1)/MID(SUBSTITUTE(LEFT(TRIM(C90),FIND(" ",TRIM(C90)&amp;" ")-1),",","."),FIND("/",SUBSTITUTE(LEFT(TRIM(C90),FIND(" ",TRIM(C90)&amp;" ")-1),",","."))+1,9))*12,NA()))),0),36)*'Aturan &amp; Tarif'!$B$4,2)</f>
        <v>2044.08</v>
      </c>
      <c r="K90" s="32" t="n">
        <f aca="false">'Aturan &amp; Tarif'!$B$5</f>
        <v>2050</v>
      </c>
      <c r="L90" s="35" t="n">
        <f aca="false">I90+J90+K90</f>
        <v>25944.08</v>
      </c>
      <c r="M90" s="37" t="s">
        <v>846</v>
      </c>
    </row>
    <row r="91" customFormat="false" ht="25.5" hidden="false" customHeight="true" outlineLevel="0" collapsed="false">
      <c r="A91" s="29"/>
      <c r="B91" s="30" t="s">
        <v>1254</v>
      </c>
      <c r="C91" s="31" t="s">
        <v>127</v>
      </c>
      <c r="D91" s="31" t="s">
        <v>108</v>
      </c>
      <c r="E91" s="32" t="n">
        <v>12150</v>
      </c>
      <c r="F91" s="32"/>
      <c r="G91" s="32" t="n">
        <v>150</v>
      </c>
      <c r="H91" s="33" t="n">
        <v>2</v>
      </c>
      <c r="I91" s="34" t="n">
        <f aca="false">E91*H91+N(F91)+N(G91)</f>
        <v>24450</v>
      </c>
      <c r="J91" s="32" t="n">
        <f aca="false">ROUND(IFERROR(ROUND(IF(OR(ISNUMBER(SEARCH("week",C91)),ISNUMBER(SEARCH("minggu",C91))),IFERROR(_xlfn.NUMBERVALUE(SUBSTITUTE(LEFT(TRIM(C91),FIND(" ",TRIM(C91)&amp;" ")-1),",","."),"."),LEFT(SUBSTITUTE(LEFT(TRIM(C91),FIND(" ",TRIM(C91)&amp;" ")-1),",","."),FIND("/",SUBSTITUTE(LEFT(TRIM(C91),FIND(" ",TRIM(C91)&amp;" ")-1),",","."))-1)/MID(SUBSTITUTE(LEFT(TRIM(C91),FIND(" ",TRIM(C91)&amp;" ")-1),",","."),FIND("/",SUBSTITUTE(LEFT(TRIM(C91),FIND(" ",TRIM(C91)&amp;" ")-1),",","."))+1,9))*12/52,IF(ISNUMBER(SEARCH("month",C91)),IFERROR(_xlfn.NUMBERVALUE(SUBSTITUTE(LEFT(TRIM(C91),FIND(" ",TRIM(C91)&amp;" ")-1),",","."),"."),LEFT(SUBSTITUTE(LEFT(TRIM(C91),FIND(" ",TRIM(C91)&amp;" ")-1),",","."),FIND("/",SUBSTITUTE(LEFT(TRIM(C91),FIND(" ",TRIM(C91)&amp;" ")-1),",","."))-1)/MID(SUBSTITUTE(LEFT(TRIM(C91),FIND(" ",TRIM(C91)&amp;" ")-1),",","."),FIND("/",SUBSTITUTE(LEFT(TRIM(C91),FIND(" ",TRIM(C91)&amp;" ")-1),",","."))+1,9)),IF(ISNUMBER(SEARCH("yea",C91)),IFERROR(_xlfn.NUMBERVALUE(SUBSTITUTE(LEFT(TRIM(C91),FIND(" ",TRIM(C91)&amp;" ")-1),",","."),"."),LEFT(SUBSTITUTE(LEFT(TRIM(C91),FIND(" ",TRIM(C91)&amp;" ")-1),",","."),FIND("/",SUBSTITUTE(LEFT(TRIM(C91),FIND(" ",TRIM(C91)&amp;" ")-1),",","."))-1)/MID(SUBSTITUTE(LEFT(TRIM(C91),FIND(" ",TRIM(C91)&amp;" ")-1),",","."),FIND("/",SUBSTITUTE(LEFT(TRIM(C91),FIND(" ",TRIM(C91)&amp;" ")-1),",","."))+1,9))*12,NA()))),0),36)*'Aturan &amp; Tarif'!$B$4,2)</f>
        <v>2044.08</v>
      </c>
      <c r="K91" s="32" t="n">
        <f aca="false">'Aturan &amp; Tarif'!$B$5</f>
        <v>2050</v>
      </c>
      <c r="L91" s="35" t="n">
        <f aca="false">I91+J91+K91</f>
        <v>28544.08</v>
      </c>
      <c r="M91" s="37" t="s">
        <v>846</v>
      </c>
    </row>
    <row r="92" customFormat="false" ht="14.25" hidden="false" customHeight="true" outlineLevel="0" collapsed="false">
      <c r="A92" s="29"/>
      <c r="B92" s="30" t="s">
        <v>1255</v>
      </c>
      <c r="C92" s="31" t="s">
        <v>127</v>
      </c>
      <c r="D92" s="31" t="s">
        <v>108</v>
      </c>
      <c r="E92" s="32" t="n">
        <v>12150</v>
      </c>
      <c r="F92" s="32"/>
      <c r="G92" s="32" t="n">
        <v>150</v>
      </c>
      <c r="H92" s="33" t="n">
        <v>2</v>
      </c>
      <c r="I92" s="34" t="n">
        <f aca="false">E92*H92+N(F92)+N(G92)</f>
        <v>24450</v>
      </c>
      <c r="J92" s="32" t="n">
        <f aca="false">ROUND(IFERROR(ROUND(IF(OR(ISNUMBER(SEARCH("week",C92)),ISNUMBER(SEARCH("minggu",C92))),IFERROR(_xlfn.NUMBERVALUE(SUBSTITUTE(LEFT(TRIM(C92),FIND(" ",TRIM(C92)&amp;" ")-1),",","."),"."),LEFT(SUBSTITUTE(LEFT(TRIM(C92),FIND(" ",TRIM(C92)&amp;" ")-1),",","."),FIND("/",SUBSTITUTE(LEFT(TRIM(C92),FIND(" ",TRIM(C92)&amp;" ")-1),",","."))-1)/MID(SUBSTITUTE(LEFT(TRIM(C92),FIND(" ",TRIM(C92)&amp;" ")-1),",","."),FIND("/",SUBSTITUTE(LEFT(TRIM(C92),FIND(" ",TRIM(C92)&amp;" ")-1),",","."))+1,9))*12/52,IF(ISNUMBER(SEARCH("month",C92)),IFERROR(_xlfn.NUMBERVALUE(SUBSTITUTE(LEFT(TRIM(C92),FIND(" ",TRIM(C92)&amp;" ")-1),",","."),"."),LEFT(SUBSTITUTE(LEFT(TRIM(C92),FIND(" ",TRIM(C92)&amp;" ")-1),",","."),FIND("/",SUBSTITUTE(LEFT(TRIM(C92),FIND(" ",TRIM(C92)&amp;" ")-1),",","."))-1)/MID(SUBSTITUTE(LEFT(TRIM(C92),FIND(" ",TRIM(C92)&amp;" ")-1),",","."),FIND("/",SUBSTITUTE(LEFT(TRIM(C92),FIND(" ",TRIM(C92)&amp;" ")-1),",","."))+1,9)),IF(ISNUMBER(SEARCH("yea",C92)),IFERROR(_xlfn.NUMBERVALUE(SUBSTITUTE(LEFT(TRIM(C92),FIND(" ",TRIM(C92)&amp;" ")-1),",","."),"."),LEFT(SUBSTITUTE(LEFT(TRIM(C92),FIND(" ",TRIM(C92)&amp;" ")-1),",","."),FIND("/",SUBSTITUTE(LEFT(TRIM(C92),FIND(" ",TRIM(C92)&amp;" ")-1),",","."))-1)/MID(SUBSTITUTE(LEFT(TRIM(C92),FIND(" ",TRIM(C92)&amp;" ")-1),",","."),FIND("/",SUBSTITUTE(LEFT(TRIM(C92),FIND(" ",TRIM(C92)&amp;" ")-1),",","."))+1,9))*12,NA()))),0),36)*'Aturan &amp; Tarif'!$B$4,2)</f>
        <v>2044.08</v>
      </c>
      <c r="K92" s="32" t="n">
        <f aca="false">'Aturan &amp; Tarif'!$B$5</f>
        <v>2050</v>
      </c>
      <c r="L92" s="35" t="n">
        <f aca="false">I92+J92+K92</f>
        <v>28544.08</v>
      </c>
      <c r="M92" s="37" t="s">
        <v>846</v>
      </c>
    </row>
    <row r="93" customFormat="false" ht="14.25" hidden="false" customHeight="true" outlineLevel="0" collapsed="false">
      <c r="A93" s="29"/>
      <c r="B93" s="30" t="s">
        <v>321</v>
      </c>
      <c r="C93" s="31" t="s">
        <v>127</v>
      </c>
      <c r="D93" s="31" t="s">
        <v>108</v>
      </c>
      <c r="E93" s="32" t="n">
        <v>12625</v>
      </c>
      <c r="F93" s="32"/>
      <c r="G93" s="32" t="n">
        <v>150</v>
      </c>
      <c r="H93" s="33" t="n">
        <v>2</v>
      </c>
      <c r="I93" s="34" t="n">
        <f aca="false">E93*H93+N(F93)+N(G93)</f>
        <v>25400</v>
      </c>
      <c r="J93" s="32" t="n">
        <f aca="false">ROUND(IFERROR(ROUND(IF(OR(ISNUMBER(SEARCH("week",C93)),ISNUMBER(SEARCH("minggu",C93))),IFERROR(_xlfn.NUMBERVALUE(SUBSTITUTE(LEFT(TRIM(C93),FIND(" ",TRIM(C93)&amp;" ")-1),",","."),"."),LEFT(SUBSTITUTE(LEFT(TRIM(C93),FIND(" ",TRIM(C93)&amp;" ")-1),",","."),FIND("/",SUBSTITUTE(LEFT(TRIM(C93),FIND(" ",TRIM(C93)&amp;" ")-1),",","."))-1)/MID(SUBSTITUTE(LEFT(TRIM(C93),FIND(" ",TRIM(C93)&amp;" ")-1),",","."),FIND("/",SUBSTITUTE(LEFT(TRIM(C93),FIND(" ",TRIM(C93)&amp;" ")-1),",","."))+1,9))*12/52,IF(ISNUMBER(SEARCH("month",C93)),IFERROR(_xlfn.NUMBERVALUE(SUBSTITUTE(LEFT(TRIM(C93),FIND(" ",TRIM(C93)&amp;" ")-1),",","."),"."),LEFT(SUBSTITUTE(LEFT(TRIM(C93),FIND(" ",TRIM(C93)&amp;" ")-1),",","."),FIND("/",SUBSTITUTE(LEFT(TRIM(C93),FIND(" ",TRIM(C93)&amp;" ")-1),",","."))-1)/MID(SUBSTITUTE(LEFT(TRIM(C93),FIND(" ",TRIM(C93)&amp;" ")-1),",","."),FIND("/",SUBSTITUTE(LEFT(TRIM(C93),FIND(" ",TRIM(C93)&amp;" ")-1),",","."))+1,9)),IF(ISNUMBER(SEARCH("yea",C93)),IFERROR(_xlfn.NUMBERVALUE(SUBSTITUTE(LEFT(TRIM(C93),FIND(" ",TRIM(C93)&amp;" ")-1),",","."),"."),LEFT(SUBSTITUTE(LEFT(TRIM(C93),FIND(" ",TRIM(C93)&amp;" ")-1),",","."),FIND("/",SUBSTITUTE(LEFT(TRIM(C93),FIND(" ",TRIM(C93)&amp;" ")-1),",","."))-1)/MID(SUBSTITUTE(LEFT(TRIM(C93),FIND(" ",TRIM(C93)&amp;" ")-1),",","."),FIND("/",SUBSTITUTE(LEFT(TRIM(C93),FIND(" ",TRIM(C93)&amp;" ")-1),",","."))+1,9))*12,NA()))),0),36)*'Aturan &amp; Tarif'!$B$4,2)</f>
        <v>2044.08</v>
      </c>
      <c r="K93" s="32" t="n">
        <f aca="false">'Aturan &amp; Tarif'!$B$5</f>
        <v>2050</v>
      </c>
      <c r="L93" s="35" t="n">
        <f aca="false">I93+J93+K93</f>
        <v>29494.08</v>
      </c>
      <c r="M93" s="37" t="s">
        <v>1256</v>
      </c>
    </row>
    <row r="94" customFormat="false" ht="25.5" hidden="false" customHeight="true" outlineLevel="0" collapsed="false">
      <c r="A94" s="29"/>
      <c r="B94" s="30" t="s">
        <v>1257</v>
      </c>
      <c r="C94" s="31" t="s">
        <v>127</v>
      </c>
      <c r="D94" s="31" t="s">
        <v>108</v>
      </c>
      <c r="E94" s="32" t="n">
        <v>12625</v>
      </c>
      <c r="F94" s="32"/>
      <c r="G94" s="32" t="n">
        <v>150</v>
      </c>
      <c r="H94" s="33" t="n">
        <v>2</v>
      </c>
      <c r="I94" s="34" t="n">
        <f aca="false">E94*H94+N(F94)+N(G94)</f>
        <v>25400</v>
      </c>
      <c r="J94" s="32" t="n">
        <f aca="false">ROUND(IFERROR(ROUND(IF(OR(ISNUMBER(SEARCH("week",C94)),ISNUMBER(SEARCH("minggu",C94))),IFERROR(_xlfn.NUMBERVALUE(SUBSTITUTE(LEFT(TRIM(C94),FIND(" ",TRIM(C94)&amp;" ")-1),",","."),"."),LEFT(SUBSTITUTE(LEFT(TRIM(C94),FIND(" ",TRIM(C94)&amp;" ")-1),",","."),FIND("/",SUBSTITUTE(LEFT(TRIM(C94),FIND(" ",TRIM(C94)&amp;" ")-1),",","."))-1)/MID(SUBSTITUTE(LEFT(TRIM(C94),FIND(" ",TRIM(C94)&amp;" ")-1),",","."),FIND("/",SUBSTITUTE(LEFT(TRIM(C94),FIND(" ",TRIM(C94)&amp;" ")-1),",","."))+1,9))*12/52,IF(ISNUMBER(SEARCH("month",C94)),IFERROR(_xlfn.NUMBERVALUE(SUBSTITUTE(LEFT(TRIM(C94),FIND(" ",TRIM(C94)&amp;" ")-1),",","."),"."),LEFT(SUBSTITUTE(LEFT(TRIM(C94),FIND(" ",TRIM(C94)&amp;" ")-1),",","."),FIND("/",SUBSTITUTE(LEFT(TRIM(C94),FIND(" ",TRIM(C94)&amp;" ")-1),",","."))-1)/MID(SUBSTITUTE(LEFT(TRIM(C94),FIND(" ",TRIM(C94)&amp;" ")-1),",","."),FIND("/",SUBSTITUTE(LEFT(TRIM(C94),FIND(" ",TRIM(C94)&amp;" ")-1),",","."))+1,9)),IF(ISNUMBER(SEARCH("yea",C94)),IFERROR(_xlfn.NUMBERVALUE(SUBSTITUTE(LEFT(TRIM(C94),FIND(" ",TRIM(C94)&amp;" ")-1),",","."),"."),LEFT(SUBSTITUTE(LEFT(TRIM(C94),FIND(" ",TRIM(C94)&amp;" ")-1),",","."),FIND("/",SUBSTITUTE(LEFT(TRIM(C94),FIND(" ",TRIM(C94)&amp;" ")-1),",","."))-1)/MID(SUBSTITUTE(LEFT(TRIM(C94),FIND(" ",TRIM(C94)&amp;" ")-1),",","."),FIND("/",SUBSTITUTE(LEFT(TRIM(C94),FIND(" ",TRIM(C94)&amp;" ")-1),",","."))+1,9))*12,NA()))),0),36)*'Aturan &amp; Tarif'!$B$4,2)</f>
        <v>2044.08</v>
      </c>
      <c r="K94" s="32" t="n">
        <f aca="false">'Aturan &amp; Tarif'!$B$5</f>
        <v>2050</v>
      </c>
      <c r="L94" s="35" t="n">
        <f aca="false">I94+J94+K94</f>
        <v>29494.08</v>
      </c>
      <c r="M94" s="37" t="s">
        <v>1256</v>
      </c>
    </row>
    <row r="95" customFormat="false" ht="25.5" hidden="false" customHeight="true" outlineLevel="0" collapsed="false">
      <c r="A95" s="29"/>
      <c r="B95" s="30" t="s">
        <v>1258</v>
      </c>
      <c r="C95" s="31" t="s">
        <v>127</v>
      </c>
      <c r="D95" s="31" t="s">
        <v>108</v>
      </c>
      <c r="E95" s="32" t="n">
        <v>12625</v>
      </c>
      <c r="F95" s="32"/>
      <c r="G95" s="32" t="n">
        <v>150</v>
      </c>
      <c r="H95" s="33" t="n">
        <v>2</v>
      </c>
      <c r="I95" s="34" t="n">
        <f aca="false">E95*H95+N(F95)+N(G95)</f>
        <v>25400</v>
      </c>
      <c r="J95" s="32" t="n">
        <f aca="false">ROUND(IFERROR(ROUND(IF(OR(ISNUMBER(SEARCH("week",C95)),ISNUMBER(SEARCH("minggu",C95))),IFERROR(_xlfn.NUMBERVALUE(SUBSTITUTE(LEFT(TRIM(C95),FIND(" ",TRIM(C95)&amp;" ")-1),",","."),"."),LEFT(SUBSTITUTE(LEFT(TRIM(C95),FIND(" ",TRIM(C95)&amp;" ")-1),",","."),FIND("/",SUBSTITUTE(LEFT(TRIM(C95),FIND(" ",TRIM(C95)&amp;" ")-1),",","."))-1)/MID(SUBSTITUTE(LEFT(TRIM(C95),FIND(" ",TRIM(C95)&amp;" ")-1),",","."),FIND("/",SUBSTITUTE(LEFT(TRIM(C95),FIND(" ",TRIM(C95)&amp;" ")-1),",","."))+1,9))*12/52,IF(ISNUMBER(SEARCH("month",C95)),IFERROR(_xlfn.NUMBERVALUE(SUBSTITUTE(LEFT(TRIM(C95),FIND(" ",TRIM(C95)&amp;" ")-1),",","."),"."),LEFT(SUBSTITUTE(LEFT(TRIM(C95),FIND(" ",TRIM(C95)&amp;" ")-1),",","."),FIND("/",SUBSTITUTE(LEFT(TRIM(C95),FIND(" ",TRIM(C95)&amp;" ")-1),",","."))-1)/MID(SUBSTITUTE(LEFT(TRIM(C95),FIND(" ",TRIM(C95)&amp;" ")-1),",","."),FIND("/",SUBSTITUTE(LEFT(TRIM(C95),FIND(" ",TRIM(C95)&amp;" ")-1),",","."))+1,9)),IF(ISNUMBER(SEARCH("yea",C95)),IFERROR(_xlfn.NUMBERVALUE(SUBSTITUTE(LEFT(TRIM(C95),FIND(" ",TRIM(C95)&amp;" ")-1),",","."),"."),LEFT(SUBSTITUTE(LEFT(TRIM(C95),FIND(" ",TRIM(C95)&amp;" ")-1),",","."),FIND("/",SUBSTITUTE(LEFT(TRIM(C95),FIND(" ",TRIM(C95)&amp;" ")-1),",","."))-1)/MID(SUBSTITUTE(LEFT(TRIM(C95),FIND(" ",TRIM(C95)&amp;" ")-1),",","."),FIND("/",SUBSTITUTE(LEFT(TRIM(C95),FIND(" ",TRIM(C95)&amp;" ")-1),",","."))+1,9))*12,NA()))),0),36)*'Aturan &amp; Tarif'!$B$4,2)</f>
        <v>2044.08</v>
      </c>
      <c r="K95" s="32" t="n">
        <f aca="false">'Aturan &amp; Tarif'!$B$5</f>
        <v>2050</v>
      </c>
      <c r="L95" s="35" t="n">
        <f aca="false">I95+J95+K95</f>
        <v>29494.08</v>
      </c>
      <c r="M95" s="37" t="s">
        <v>1256</v>
      </c>
    </row>
    <row r="96" customFormat="false" ht="25.5" hidden="false" customHeight="true" outlineLevel="0" collapsed="false">
      <c r="A96" s="29"/>
      <c r="B96" s="30" t="s">
        <v>1259</v>
      </c>
      <c r="C96" s="31" t="s">
        <v>127</v>
      </c>
      <c r="D96" s="31" t="s">
        <v>108</v>
      </c>
      <c r="E96" s="32" t="n">
        <v>12625</v>
      </c>
      <c r="F96" s="32"/>
      <c r="G96" s="32" t="n">
        <v>150</v>
      </c>
      <c r="H96" s="33" t="n">
        <v>2</v>
      </c>
      <c r="I96" s="34" t="n">
        <f aca="false">E96*H96+N(F96)+N(G96)</f>
        <v>25400</v>
      </c>
      <c r="J96" s="32" t="n">
        <f aca="false">ROUND(IFERROR(ROUND(IF(OR(ISNUMBER(SEARCH("week",C96)),ISNUMBER(SEARCH("minggu",C96))),IFERROR(_xlfn.NUMBERVALUE(SUBSTITUTE(LEFT(TRIM(C96),FIND(" ",TRIM(C96)&amp;" ")-1),",","."),"."),LEFT(SUBSTITUTE(LEFT(TRIM(C96),FIND(" ",TRIM(C96)&amp;" ")-1),",","."),FIND("/",SUBSTITUTE(LEFT(TRIM(C96),FIND(" ",TRIM(C96)&amp;" ")-1),",","."))-1)/MID(SUBSTITUTE(LEFT(TRIM(C96),FIND(" ",TRIM(C96)&amp;" ")-1),",","."),FIND("/",SUBSTITUTE(LEFT(TRIM(C96),FIND(" ",TRIM(C96)&amp;" ")-1),",","."))+1,9))*12/52,IF(ISNUMBER(SEARCH("month",C96)),IFERROR(_xlfn.NUMBERVALUE(SUBSTITUTE(LEFT(TRIM(C96),FIND(" ",TRIM(C96)&amp;" ")-1),",","."),"."),LEFT(SUBSTITUTE(LEFT(TRIM(C96),FIND(" ",TRIM(C96)&amp;" ")-1),",","."),FIND("/",SUBSTITUTE(LEFT(TRIM(C96),FIND(" ",TRIM(C96)&amp;" ")-1),",","."))-1)/MID(SUBSTITUTE(LEFT(TRIM(C96),FIND(" ",TRIM(C96)&amp;" ")-1),",","."),FIND("/",SUBSTITUTE(LEFT(TRIM(C96),FIND(" ",TRIM(C96)&amp;" ")-1),",","."))+1,9)),IF(ISNUMBER(SEARCH("yea",C96)),IFERROR(_xlfn.NUMBERVALUE(SUBSTITUTE(LEFT(TRIM(C96),FIND(" ",TRIM(C96)&amp;" ")-1),",","."),"."),LEFT(SUBSTITUTE(LEFT(TRIM(C96),FIND(" ",TRIM(C96)&amp;" ")-1),",","."),FIND("/",SUBSTITUTE(LEFT(TRIM(C96),FIND(" ",TRIM(C96)&amp;" ")-1),",","."))-1)/MID(SUBSTITUTE(LEFT(TRIM(C96),FIND(" ",TRIM(C96)&amp;" ")-1),",","."),FIND("/",SUBSTITUTE(LEFT(TRIM(C96),FIND(" ",TRIM(C96)&amp;" ")-1),",","."))+1,9))*12,NA()))),0),36)*'Aturan &amp; Tarif'!$B$4,2)</f>
        <v>2044.08</v>
      </c>
      <c r="K96" s="32" t="n">
        <f aca="false">'Aturan &amp; Tarif'!$B$5</f>
        <v>2050</v>
      </c>
      <c r="L96" s="35" t="n">
        <f aca="false">I96+J96+K96</f>
        <v>29494.08</v>
      </c>
      <c r="M96" s="37" t="s">
        <v>1256</v>
      </c>
    </row>
    <row r="97" customFormat="false" ht="25.5" hidden="false" customHeight="true" outlineLevel="0" collapsed="false">
      <c r="A97" s="29"/>
      <c r="B97" s="30" t="s">
        <v>1260</v>
      </c>
      <c r="C97" s="31" t="s">
        <v>127</v>
      </c>
      <c r="D97" s="31" t="s">
        <v>108</v>
      </c>
      <c r="E97" s="32" t="n">
        <v>12625</v>
      </c>
      <c r="F97" s="32"/>
      <c r="G97" s="32" t="n">
        <v>150</v>
      </c>
      <c r="H97" s="33" t="n">
        <v>2</v>
      </c>
      <c r="I97" s="34" t="n">
        <f aca="false">E97*H97+N(F97)+N(G97)</f>
        <v>25400</v>
      </c>
      <c r="J97" s="32" t="n">
        <f aca="false">ROUND(IFERROR(ROUND(IF(OR(ISNUMBER(SEARCH("week",C97)),ISNUMBER(SEARCH("minggu",C97))),IFERROR(_xlfn.NUMBERVALUE(SUBSTITUTE(LEFT(TRIM(C97),FIND(" ",TRIM(C97)&amp;" ")-1),",","."),"."),LEFT(SUBSTITUTE(LEFT(TRIM(C97),FIND(" ",TRIM(C97)&amp;" ")-1),",","."),FIND("/",SUBSTITUTE(LEFT(TRIM(C97),FIND(" ",TRIM(C97)&amp;" ")-1),",","."))-1)/MID(SUBSTITUTE(LEFT(TRIM(C97),FIND(" ",TRIM(C97)&amp;" ")-1),",","."),FIND("/",SUBSTITUTE(LEFT(TRIM(C97),FIND(" ",TRIM(C97)&amp;" ")-1),",","."))+1,9))*12/52,IF(ISNUMBER(SEARCH("month",C97)),IFERROR(_xlfn.NUMBERVALUE(SUBSTITUTE(LEFT(TRIM(C97),FIND(" ",TRIM(C97)&amp;" ")-1),",","."),"."),LEFT(SUBSTITUTE(LEFT(TRIM(C97),FIND(" ",TRIM(C97)&amp;" ")-1),",","."),FIND("/",SUBSTITUTE(LEFT(TRIM(C97),FIND(" ",TRIM(C97)&amp;" ")-1),",","."))-1)/MID(SUBSTITUTE(LEFT(TRIM(C97),FIND(" ",TRIM(C97)&amp;" ")-1),",","."),FIND("/",SUBSTITUTE(LEFT(TRIM(C97),FIND(" ",TRIM(C97)&amp;" ")-1),",","."))+1,9)),IF(ISNUMBER(SEARCH("yea",C97)),IFERROR(_xlfn.NUMBERVALUE(SUBSTITUTE(LEFT(TRIM(C97),FIND(" ",TRIM(C97)&amp;" ")-1),",","."),"."),LEFT(SUBSTITUTE(LEFT(TRIM(C97),FIND(" ",TRIM(C97)&amp;" ")-1),",","."),FIND("/",SUBSTITUTE(LEFT(TRIM(C97),FIND(" ",TRIM(C97)&amp;" ")-1),",","."))-1)/MID(SUBSTITUTE(LEFT(TRIM(C97),FIND(" ",TRIM(C97)&amp;" ")-1),",","."),FIND("/",SUBSTITUTE(LEFT(TRIM(C97),FIND(" ",TRIM(C97)&amp;" ")-1),",","."))+1,9))*12,NA()))),0),36)*'Aturan &amp; Tarif'!$B$4,2)</f>
        <v>2044.08</v>
      </c>
      <c r="K97" s="32" t="n">
        <f aca="false">'Aturan &amp; Tarif'!$B$5</f>
        <v>2050</v>
      </c>
      <c r="L97" s="35" t="n">
        <f aca="false">I97+J97+K97</f>
        <v>29494.08</v>
      </c>
      <c r="M97" s="37" t="s">
        <v>1256</v>
      </c>
    </row>
    <row r="98" customFormat="false" ht="25.5" hidden="false" customHeight="true" outlineLevel="0" collapsed="false">
      <c r="A98" s="29"/>
      <c r="B98" s="30" t="s">
        <v>1261</v>
      </c>
      <c r="C98" s="31" t="s">
        <v>127</v>
      </c>
      <c r="D98" s="31" t="s">
        <v>108</v>
      </c>
      <c r="E98" s="32" t="n">
        <v>12625</v>
      </c>
      <c r="F98" s="32"/>
      <c r="G98" s="32" t="n">
        <v>150</v>
      </c>
      <c r="H98" s="33" t="n">
        <v>2</v>
      </c>
      <c r="I98" s="34" t="n">
        <f aca="false">E98*H98+N(F98)+N(G98)</f>
        <v>25400</v>
      </c>
      <c r="J98" s="32" t="n">
        <f aca="false">ROUND(IFERROR(ROUND(IF(OR(ISNUMBER(SEARCH("week",C98)),ISNUMBER(SEARCH("minggu",C98))),IFERROR(_xlfn.NUMBERVALUE(SUBSTITUTE(LEFT(TRIM(C98),FIND(" ",TRIM(C98)&amp;" ")-1),",","."),"."),LEFT(SUBSTITUTE(LEFT(TRIM(C98),FIND(" ",TRIM(C98)&amp;" ")-1),",","."),FIND("/",SUBSTITUTE(LEFT(TRIM(C98),FIND(" ",TRIM(C98)&amp;" ")-1),",","."))-1)/MID(SUBSTITUTE(LEFT(TRIM(C98),FIND(" ",TRIM(C98)&amp;" ")-1),",","."),FIND("/",SUBSTITUTE(LEFT(TRIM(C98),FIND(" ",TRIM(C98)&amp;" ")-1),",","."))+1,9))*12/52,IF(ISNUMBER(SEARCH("month",C98)),IFERROR(_xlfn.NUMBERVALUE(SUBSTITUTE(LEFT(TRIM(C98),FIND(" ",TRIM(C98)&amp;" ")-1),",","."),"."),LEFT(SUBSTITUTE(LEFT(TRIM(C98),FIND(" ",TRIM(C98)&amp;" ")-1),",","."),FIND("/",SUBSTITUTE(LEFT(TRIM(C98),FIND(" ",TRIM(C98)&amp;" ")-1),",","."))-1)/MID(SUBSTITUTE(LEFT(TRIM(C98),FIND(" ",TRIM(C98)&amp;" ")-1),",","."),FIND("/",SUBSTITUTE(LEFT(TRIM(C98),FIND(" ",TRIM(C98)&amp;" ")-1),",","."))+1,9)),IF(ISNUMBER(SEARCH("yea",C98)),IFERROR(_xlfn.NUMBERVALUE(SUBSTITUTE(LEFT(TRIM(C98),FIND(" ",TRIM(C98)&amp;" ")-1),",","."),"."),LEFT(SUBSTITUTE(LEFT(TRIM(C98),FIND(" ",TRIM(C98)&amp;" ")-1),",","."),FIND("/",SUBSTITUTE(LEFT(TRIM(C98),FIND(" ",TRIM(C98)&amp;" ")-1),",","."))-1)/MID(SUBSTITUTE(LEFT(TRIM(C98),FIND(" ",TRIM(C98)&amp;" ")-1),",","."),FIND("/",SUBSTITUTE(LEFT(TRIM(C98),FIND(" ",TRIM(C98)&amp;" ")-1),",","."))+1,9))*12,NA()))),0),36)*'Aturan &amp; Tarif'!$B$4,2)</f>
        <v>2044.08</v>
      </c>
      <c r="K98" s="32" t="n">
        <f aca="false">'Aturan &amp; Tarif'!$B$5</f>
        <v>2050</v>
      </c>
      <c r="L98" s="35" t="n">
        <f aca="false">I98+J98+K98</f>
        <v>29494.08</v>
      </c>
      <c r="M98" s="37" t="s">
        <v>1256</v>
      </c>
    </row>
    <row r="99" customFormat="false" ht="25.5" hidden="false" customHeight="true" outlineLevel="0" collapsed="false">
      <c r="A99" s="29"/>
      <c r="B99" s="30" t="s">
        <v>1262</v>
      </c>
      <c r="C99" s="31" t="s">
        <v>127</v>
      </c>
      <c r="D99" s="31" t="s">
        <v>108</v>
      </c>
      <c r="E99" s="32" t="n">
        <v>12625</v>
      </c>
      <c r="F99" s="32"/>
      <c r="G99" s="32" t="n">
        <v>150</v>
      </c>
      <c r="H99" s="33" t="n">
        <v>2</v>
      </c>
      <c r="I99" s="34" t="n">
        <f aca="false">E99*H99+N(F99)+N(G99)</f>
        <v>25400</v>
      </c>
      <c r="J99" s="32" t="n">
        <f aca="false">ROUND(IFERROR(ROUND(IF(OR(ISNUMBER(SEARCH("week",C99)),ISNUMBER(SEARCH("minggu",C99))),IFERROR(_xlfn.NUMBERVALUE(SUBSTITUTE(LEFT(TRIM(C99),FIND(" ",TRIM(C99)&amp;" ")-1),",","."),"."),LEFT(SUBSTITUTE(LEFT(TRIM(C99),FIND(" ",TRIM(C99)&amp;" ")-1),",","."),FIND("/",SUBSTITUTE(LEFT(TRIM(C99),FIND(" ",TRIM(C99)&amp;" ")-1),",","."))-1)/MID(SUBSTITUTE(LEFT(TRIM(C99),FIND(" ",TRIM(C99)&amp;" ")-1),",","."),FIND("/",SUBSTITUTE(LEFT(TRIM(C99),FIND(" ",TRIM(C99)&amp;" ")-1),",","."))+1,9))*12/52,IF(ISNUMBER(SEARCH("month",C99)),IFERROR(_xlfn.NUMBERVALUE(SUBSTITUTE(LEFT(TRIM(C99),FIND(" ",TRIM(C99)&amp;" ")-1),",","."),"."),LEFT(SUBSTITUTE(LEFT(TRIM(C99),FIND(" ",TRIM(C99)&amp;" ")-1),",","."),FIND("/",SUBSTITUTE(LEFT(TRIM(C99),FIND(" ",TRIM(C99)&amp;" ")-1),",","."))-1)/MID(SUBSTITUTE(LEFT(TRIM(C99),FIND(" ",TRIM(C99)&amp;" ")-1),",","."),FIND("/",SUBSTITUTE(LEFT(TRIM(C99),FIND(" ",TRIM(C99)&amp;" ")-1),",","."))+1,9)),IF(ISNUMBER(SEARCH("yea",C99)),IFERROR(_xlfn.NUMBERVALUE(SUBSTITUTE(LEFT(TRIM(C99),FIND(" ",TRIM(C99)&amp;" ")-1),",","."),"."),LEFT(SUBSTITUTE(LEFT(TRIM(C99),FIND(" ",TRIM(C99)&amp;" ")-1),",","."),FIND("/",SUBSTITUTE(LEFT(TRIM(C99),FIND(" ",TRIM(C99)&amp;" ")-1),",","."))-1)/MID(SUBSTITUTE(LEFT(TRIM(C99),FIND(" ",TRIM(C99)&amp;" ")-1),",","."),FIND("/",SUBSTITUTE(LEFT(TRIM(C99),FIND(" ",TRIM(C99)&amp;" ")-1),",","."))+1,9))*12,NA()))),0),36)*'Aturan &amp; Tarif'!$B$4,2)</f>
        <v>2044.08</v>
      </c>
      <c r="K99" s="32" t="n">
        <f aca="false">'Aturan &amp; Tarif'!$B$5</f>
        <v>2050</v>
      </c>
      <c r="L99" s="35" t="n">
        <f aca="false">I99+J99+K99</f>
        <v>29494.08</v>
      </c>
      <c r="M99" s="37" t="s">
        <v>1256</v>
      </c>
    </row>
    <row r="100" customFormat="false" ht="25.5" hidden="false" customHeight="true" outlineLevel="0" collapsed="false">
      <c r="A100" s="29"/>
      <c r="B100" s="30" t="s">
        <v>1263</v>
      </c>
      <c r="C100" s="31" t="s">
        <v>127</v>
      </c>
      <c r="D100" s="31" t="s">
        <v>108</v>
      </c>
      <c r="E100" s="32" t="n">
        <v>12625</v>
      </c>
      <c r="F100" s="32"/>
      <c r="G100" s="32" t="n">
        <v>150</v>
      </c>
      <c r="H100" s="33" t="n">
        <v>2</v>
      </c>
      <c r="I100" s="34" t="n">
        <f aca="false">E100*H100+N(F100)+N(G100)</f>
        <v>25400</v>
      </c>
      <c r="J100" s="32" t="n">
        <f aca="false">ROUND(IFERROR(ROUND(IF(OR(ISNUMBER(SEARCH("week",C100)),ISNUMBER(SEARCH("minggu",C100))),IFERROR(_xlfn.NUMBERVALUE(SUBSTITUTE(LEFT(TRIM(C100),FIND(" ",TRIM(C100)&amp;" ")-1),",","."),"."),LEFT(SUBSTITUTE(LEFT(TRIM(C100),FIND(" ",TRIM(C100)&amp;" ")-1),",","."),FIND("/",SUBSTITUTE(LEFT(TRIM(C100),FIND(" ",TRIM(C100)&amp;" ")-1),",","."))-1)/MID(SUBSTITUTE(LEFT(TRIM(C100),FIND(" ",TRIM(C100)&amp;" ")-1),",","."),FIND("/",SUBSTITUTE(LEFT(TRIM(C100),FIND(" ",TRIM(C100)&amp;" ")-1),",","."))+1,9))*12/52,IF(ISNUMBER(SEARCH("month",C100)),IFERROR(_xlfn.NUMBERVALUE(SUBSTITUTE(LEFT(TRIM(C100),FIND(" ",TRIM(C100)&amp;" ")-1),",","."),"."),LEFT(SUBSTITUTE(LEFT(TRIM(C100),FIND(" ",TRIM(C100)&amp;" ")-1),",","."),FIND("/",SUBSTITUTE(LEFT(TRIM(C100),FIND(" ",TRIM(C100)&amp;" ")-1),",","."))-1)/MID(SUBSTITUTE(LEFT(TRIM(C100),FIND(" ",TRIM(C100)&amp;" ")-1),",","."),FIND("/",SUBSTITUTE(LEFT(TRIM(C100),FIND(" ",TRIM(C100)&amp;" ")-1),",","."))+1,9)),IF(ISNUMBER(SEARCH("yea",C100)),IFERROR(_xlfn.NUMBERVALUE(SUBSTITUTE(LEFT(TRIM(C100),FIND(" ",TRIM(C100)&amp;" ")-1),",","."),"."),LEFT(SUBSTITUTE(LEFT(TRIM(C100),FIND(" ",TRIM(C100)&amp;" ")-1),",","."),FIND("/",SUBSTITUTE(LEFT(TRIM(C100),FIND(" ",TRIM(C100)&amp;" ")-1),",","."))-1)/MID(SUBSTITUTE(LEFT(TRIM(C100),FIND(" ",TRIM(C100)&amp;" ")-1),",","."),FIND("/",SUBSTITUTE(LEFT(TRIM(C100),FIND(" ",TRIM(C100)&amp;" ")-1),",","."))+1,9))*12,NA()))),0),36)*'Aturan &amp; Tarif'!$B$4,2)</f>
        <v>2044.08</v>
      </c>
      <c r="K100" s="32" t="n">
        <f aca="false">'Aturan &amp; Tarif'!$B$5</f>
        <v>2050</v>
      </c>
      <c r="L100" s="35" t="n">
        <f aca="false">I100+J100+K100</f>
        <v>29494.08</v>
      </c>
      <c r="M100" s="37" t="s">
        <v>1256</v>
      </c>
    </row>
    <row r="101" customFormat="false" ht="25.5" hidden="false" customHeight="true" outlineLevel="0" collapsed="false">
      <c r="A101" s="29"/>
      <c r="B101" s="30" t="s">
        <v>1264</v>
      </c>
      <c r="C101" s="31" t="s">
        <v>127</v>
      </c>
      <c r="D101" s="31" t="s">
        <v>108</v>
      </c>
      <c r="E101" s="32" t="n">
        <v>12625</v>
      </c>
      <c r="F101" s="32"/>
      <c r="G101" s="32" t="n">
        <v>150</v>
      </c>
      <c r="H101" s="33" t="n">
        <v>2</v>
      </c>
      <c r="I101" s="34" t="n">
        <f aca="false">E101*H101+N(F101)+N(G101)</f>
        <v>25400</v>
      </c>
      <c r="J101" s="32" t="n">
        <f aca="false">ROUND(IFERROR(ROUND(IF(OR(ISNUMBER(SEARCH("week",C101)),ISNUMBER(SEARCH("minggu",C101))),IFERROR(_xlfn.NUMBERVALUE(SUBSTITUTE(LEFT(TRIM(C101),FIND(" ",TRIM(C101)&amp;" ")-1),",","."),"."),LEFT(SUBSTITUTE(LEFT(TRIM(C101),FIND(" ",TRIM(C101)&amp;" ")-1),",","."),FIND("/",SUBSTITUTE(LEFT(TRIM(C101),FIND(" ",TRIM(C101)&amp;" ")-1),",","."))-1)/MID(SUBSTITUTE(LEFT(TRIM(C101),FIND(" ",TRIM(C101)&amp;" ")-1),",","."),FIND("/",SUBSTITUTE(LEFT(TRIM(C101),FIND(" ",TRIM(C101)&amp;" ")-1),",","."))+1,9))*12/52,IF(ISNUMBER(SEARCH("month",C101)),IFERROR(_xlfn.NUMBERVALUE(SUBSTITUTE(LEFT(TRIM(C101),FIND(" ",TRIM(C101)&amp;" ")-1),",","."),"."),LEFT(SUBSTITUTE(LEFT(TRIM(C101),FIND(" ",TRIM(C101)&amp;" ")-1),",","."),FIND("/",SUBSTITUTE(LEFT(TRIM(C101),FIND(" ",TRIM(C101)&amp;" ")-1),",","."))-1)/MID(SUBSTITUTE(LEFT(TRIM(C101),FIND(" ",TRIM(C101)&amp;" ")-1),",","."),FIND("/",SUBSTITUTE(LEFT(TRIM(C101),FIND(" ",TRIM(C101)&amp;" ")-1),",","."))+1,9)),IF(ISNUMBER(SEARCH("yea",C101)),IFERROR(_xlfn.NUMBERVALUE(SUBSTITUTE(LEFT(TRIM(C101),FIND(" ",TRIM(C101)&amp;" ")-1),",","."),"."),LEFT(SUBSTITUTE(LEFT(TRIM(C101),FIND(" ",TRIM(C101)&amp;" ")-1),",","."),FIND("/",SUBSTITUTE(LEFT(TRIM(C101),FIND(" ",TRIM(C101)&amp;" ")-1),",","."))-1)/MID(SUBSTITUTE(LEFT(TRIM(C101),FIND(" ",TRIM(C101)&amp;" ")-1),",","."),FIND("/",SUBSTITUTE(LEFT(TRIM(C101),FIND(" ",TRIM(C101)&amp;" ")-1),",","."))+1,9))*12,NA()))),0),36)*'Aturan &amp; Tarif'!$B$4,2)</f>
        <v>2044.08</v>
      </c>
      <c r="K101" s="32" t="n">
        <f aca="false">'Aturan &amp; Tarif'!$B$5</f>
        <v>2050</v>
      </c>
      <c r="L101" s="35" t="n">
        <f aca="false">I101+J101+K101</f>
        <v>29494.08</v>
      </c>
      <c r="M101" s="37" t="s">
        <v>1256</v>
      </c>
    </row>
    <row r="102" customFormat="false" ht="25.5" hidden="false" customHeight="true" outlineLevel="0" collapsed="false">
      <c r="A102" s="29"/>
      <c r="B102" s="30" t="s">
        <v>1265</v>
      </c>
      <c r="C102" s="31" t="s">
        <v>127</v>
      </c>
      <c r="D102" s="31" t="s">
        <v>108</v>
      </c>
      <c r="E102" s="32" t="n">
        <v>12625</v>
      </c>
      <c r="F102" s="32"/>
      <c r="G102" s="32" t="n">
        <v>150</v>
      </c>
      <c r="H102" s="33" t="n">
        <v>2</v>
      </c>
      <c r="I102" s="34" t="n">
        <f aca="false">E102*H102+N(F102)+N(G102)</f>
        <v>25400</v>
      </c>
      <c r="J102" s="32" t="n">
        <f aca="false">ROUND(IFERROR(ROUND(IF(OR(ISNUMBER(SEARCH("week",C102)),ISNUMBER(SEARCH("minggu",C102))),IFERROR(_xlfn.NUMBERVALUE(SUBSTITUTE(LEFT(TRIM(C102),FIND(" ",TRIM(C102)&amp;" ")-1),",","."),"."),LEFT(SUBSTITUTE(LEFT(TRIM(C102),FIND(" ",TRIM(C102)&amp;" ")-1),",","."),FIND("/",SUBSTITUTE(LEFT(TRIM(C102),FIND(" ",TRIM(C102)&amp;" ")-1),",","."))-1)/MID(SUBSTITUTE(LEFT(TRIM(C102),FIND(" ",TRIM(C102)&amp;" ")-1),",","."),FIND("/",SUBSTITUTE(LEFT(TRIM(C102),FIND(" ",TRIM(C102)&amp;" ")-1),",","."))+1,9))*12/52,IF(ISNUMBER(SEARCH("month",C102)),IFERROR(_xlfn.NUMBERVALUE(SUBSTITUTE(LEFT(TRIM(C102),FIND(" ",TRIM(C102)&amp;" ")-1),",","."),"."),LEFT(SUBSTITUTE(LEFT(TRIM(C102),FIND(" ",TRIM(C102)&amp;" ")-1),",","."),FIND("/",SUBSTITUTE(LEFT(TRIM(C102),FIND(" ",TRIM(C102)&amp;" ")-1),",","."))-1)/MID(SUBSTITUTE(LEFT(TRIM(C102),FIND(" ",TRIM(C102)&amp;" ")-1),",","."),FIND("/",SUBSTITUTE(LEFT(TRIM(C102),FIND(" ",TRIM(C102)&amp;" ")-1),",","."))+1,9)),IF(ISNUMBER(SEARCH("yea",C102)),IFERROR(_xlfn.NUMBERVALUE(SUBSTITUTE(LEFT(TRIM(C102),FIND(" ",TRIM(C102)&amp;" ")-1),",","."),"."),LEFT(SUBSTITUTE(LEFT(TRIM(C102),FIND(" ",TRIM(C102)&amp;" ")-1),",","."),FIND("/",SUBSTITUTE(LEFT(TRIM(C102),FIND(" ",TRIM(C102)&amp;" ")-1),",","."))-1)/MID(SUBSTITUTE(LEFT(TRIM(C102),FIND(" ",TRIM(C102)&amp;" ")-1),",","."),FIND("/",SUBSTITUTE(LEFT(TRIM(C102),FIND(" ",TRIM(C102)&amp;" ")-1),",","."))+1,9))*12,NA()))),0),36)*'Aturan &amp; Tarif'!$B$4,2)</f>
        <v>2044.08</v>
      </c>
      <c r="K102" s="32" t="n">
        <f aca="false">'Aturan &amp; Tarif'!$B$5</f>
        <v>2050</v>
      </c>
      <c r="L102" s="35" t="n">
        <f aca="false">I102+J102+K102</f>
        <v>29494.08</v>
      </c>
      <c r="M102" s="37" t="s">
        <v>1256</v>
      </c>
    </row>
    <row r="103" customFormat="false" ht="25.5" hidden="false" customHeight="true" outlineLevel="0" collapsed="false">
      <c r="A103" s="29"/>
      <c r="B103" s="30" t="s">
        <v>1266</v>
      </c>
      <c r="C103" s="31" t="s">
        <v>127</v>
      </c>
      <c r="D103" s="31" t="s">
        <v>108</v>
      </c>
      <c r="E103" s="32" t="n">
        <v>12625</v>
      </c>
      <c r="F103" s="32"/>
      <c r="G103" s="32" t="n">
        <v>150</v>
      </c>
      <c r="H103" s="33" t="n">
        <v>2</v>
      </c>
      <c r="I103" s="34" t="n">
        <f aca="false">E103*H103+N(F103)+N(G103)</f>
        <v>25400</v>
      </c>
      <c r="J103" s="32" t="n">
        <f aca="false">ROUND(IFERROR(ROUND(IF(OR(ISNUMBER(SEARCH("week",C103)),ISNUMBER(SEARCH("minggu",C103))),IFERROR(_xlfn.NUMBERVALUE(SUBSTITUTE(LEFT(TRIM(C103),FIND(" ",TRIM(C103)&amp;" ")-1),",","."),"."),LEFT(SUBSTITUTE(LEFT(TRIM(C103),FIND(" ",TRIM(C103)&amp;" ")-1),",","."),FIND("/",SUBSTITUTE(LEFT(TRIM(C103),FIND(" ",TRIM(C103)&amp;" ")-1),",","."))-1)/MID(SUBSTITUTE(LEFT(TRIM(C103),FIND(" ",TRIM(C103)&amp;" ")-1),",","."),FIND("/",SUBSTITUTE(LEFT(TRIM(C103),FIND(" ",TRIM(C103)&amp;" ")-1),",","."))+1,9))*12/52,IF(ISNUMBER(SEARCH("month",C103)),IFERROR(_xlfn.NUMBERVALUE(SUBSTITUTE(LEFT(TRIM(C103),FIND(" ",TRIM(C103)&amp;" ")-1),",","."),"."),LEFT(SUBSTITUTE(LEFT(TRIM(C103),FIND(" ",TRIM(C103)&amp;" ")-1),",","."),FIND("/",SUBSTITUTE(LEFT(TRIM(C103),FIND(" ",TRIM(C103)&amp;" ")-1),",","."))-1)/MID(SUBSTITUTE(LEFT(TRIM(C103),FIND(" ",TRIM(C103)&amp;" ")-1),",","."),FIND("/",SUBSTITUTE(LEFT(TRIM(C103),FIND(" ",TRIM(C103)&amp;" ")-1),",","."))+1,9)),IF(ISNUMBER(SEARCH("yea",C103)),IFERROR(_xlfn.NUMBERVALUE(SUBSTITUTE(LEFT(TRIM(C103),FIND(" ",TRIM(C103)&amp;" ")-1),",","."),"."),LEFT(SUBSTITUTE(LEFT(TRIM(C103),FIND(" ",TRIM(C103)&amp;" ")-1),",","."),FIND("/",SUBSTITUTE(LEFT(TRIM(C103),FIND(" ",TRIM(C103)&amp;" ")-1),",","."))-1)/MID(SUBSTITUTE(LEFT(TRIM(C103),FIND(" ",TRIM(C103)&amp;" ")-1),",","."),FIND("/",SUBSTITUTE(LEFT(TRIM(C103),FIND(" ",TRIM(C103)&amp;" ")-1),",","."))+1,9))*12,NA()))),0),36)*'Aturan &amp; Tarif'!$B$4,2)</f>
        <v>2044.08</v>
      </c>
      <c r="K103" s="32" t="n">
        <f aca="false">'Aturan &amp; Tarif'!$B$5</f>
        <v>2050</v>
      </c>
      <c r="L103" s="35" t="n">
        <f aca="false">I103+J103+K103</f>
        <v>29494.08</v>
      </c>
      <c r="M103" s="37" t="s">
        <v>1256</v>
      </c>
    </row>
    <row r="104" customFormat="false" ht="14.25" hidden="false" customHeight="true" outlineLevel="0" collapsed="false">
      <c r="A104" s="29"/>
      <c r="B104" s="30" t="s">
        <v>327</v>
      </c>
      <c r="C104" s="31" t="s">
        <v>127</v>
      </c>
      <c r="D104" s="31" t="s">
        <v>108</v>
      </c>
      <c r="E104" s="32" t="n">
        <v>13850</v>
      </c>
      <c r="F104" s="32"/>
      <c r="G104" s="32" t="n">
        <v>150</v>
      </c>
      <c r="H104" s="33" t="n">
        <v>2</v>
      </c>
      <c r="I104" s="34" t="n">
        <f aca="false">E104*H104+N(F104)+N(G104)</f>
        <v>27850</v>
      </c>
      <c r="J104" s="32" t="n">
        <f aca="false">ROUND(IFERROR(ROUND(IF(OR(ISNUMBER(SEARCH("week",C104)),ISNUMBER(SEARCH("minggu",C104))),IFERROR(_xlfn.NUMBERVALUE(SUBSTITUTE(LEFT(TRIM(C104),FIND(" ",TRIM(C104)&amp;" ")-1),",","."),"."),LEFT(SUBSTITUTE(LEFT(TRIM(C104),FIND(" ",TRIM(C104)&amp;" ")-1),",","."),FIND("/",SUBSTITUTE(LEFT(TRIM(C104),FIND(" ",TRIM(C104)&amp;" ")-1),",","."))-1)/MID(SUBSTITUTE(LEFT(TRIM(C104),FIND(" ",TRIM(C104)&amp;" ")-1),",","."),FIND("/",SUBSTITUTE(LEFT(TRIM(C104),FIND(" ",TRIM(C104)&amp;" ")-1),",","."))+1,9))*12/52,IF(ISNUMBER(SEARCH("month",C104)),IFERROR(_xlfn.NUMBERVALUE(SUBSTITUTE(LEFT(TRIM(C104),FIND(" ",TRIM(C104)&amp;" ")-1),",","."),"."),LEFT(SUBSTITUTE(LEFT(TRIM(C104),FIND(" ",TRIM(C104)&amp;" ")-1),",","."),FIND("/",SUBSTITUTE(LEFT(TRIM(C104),FIND(" ",TRIM(C104)&amp;" ")-1),",","."))-1)/MID(SUBSTITUTE(LEFT(TRIM(C104),FIND(" ",TRIM(C104)&amp;" ")-1),",","."),FIND("/",SUBSTITUTE(LEFT(TRIM(C104),FIND(" ",TRIM(C104)&amp;" ")-1),",","."))+1,9)),IF(ISNUMBER(SEARCH("yea",C104)),IFERROR(_xlfn.NUMBERVALUE(SUBSTITUTE(LEFT(TRIM(C104),FIND(" ",TRIM(C104)&amp;" ")-1),",","."),"."),LEFT(SUBSTITUTE(LEFT(TRIM(C104),FIND(" ",TRIM(C104)&amp;" ")-1),",","."),FIND("/",SUBSTITUTE(LEFT(TRIM(C104),FIND(" ",TRIM(C104)&amp;" ")-1),",","."))-1)/MID(SUBSTITUTE(LEFT(TRIM(C104),FIND(" ",TRIM(C104)&amp;" ")-1),",","."),FIND("/",SUBSTITUTE(LEFT(TRIM(C104),FIND(" ",TRIM(C104)&amp;" ")-1),",","."))+1,9))*12,NA()))),0),36)*'Aturan &amp; Tarif'!$B$4,2)</f>
        <v>2044.08</v>
      </c>
      <c r="K104" s="32" t="n">
        <f aca="false">'Aturan &amp; Tarif'!$B$5</f>
        <v>2050</v>
      </c>
      <c r="L104" s="35" t="n">
        <f aca="false">I104+J104+K104</f>
        <v>31944.08</v>
      </c>
      <c r="M104" s="37" t="s">
        <v>1267</v>
      </c>
    </row>
    <row r="105" customFormat="false" ht="37.5" hidden="false" customHeight="true" outlineLevel="0" collapsed="false">
      <c r="A105" s="29"/>
      <c r="B105" s="30" t="s">
        <v>1268</v>
      </c>
      <c r="C105" s="31" t="s">
        <v>127</v>
      </c>
      <c r="D105" s="31" t="s">
        <v>108</v>
      </c>
      <c r="E105" s="32" t="n">
        <v>13850</v>
      </c>
      <c r="F105" s="32"/>
      <c r="G105" s="32" t="n">
        <v>150</v>
      </c>
      <c r="H105" s="33" t="n">
        <v>2</v>
      </c>
      <c r="I105" s="34" t="n">
        <f aca="false">E105*H105+N(F105)+N(G105)</f>
        <v>27850</v>
      </c>
      <c r="J105" s="32" t="n">
        <f aca="false">ROUND(IFERROR(ROUND(IF(OR(ISNUMBER(SEARCH("week",C105)),ISNUMBER(SEARCH("minggu",C105))),IFERROR(_xlfn.NUMBERVALUE(SUBSTITUTE(LEFT(TRIM(C105),FIND(" ",TRIM(C105)&amp;" ")-1),",","."),"."),LEFT(SUBSTITUTE(LEFT(TRIM(C105),FIND(" ",TRIM(C105)&amp;" ")-1),",","."),FIND("/",SUBSTITUTE(LEFT(TRIM(C105),FIND(" ",TRIM(C105)&amp;" ")-1),",","."))-1)/MID(SUBSTITUTE(LEFT(TRIM(C105),FIND(" ",TRIM(C105)&amp;" ")-1),",","."),FIND("/",SUBSTITUTE(LEFT(TRIM(C105),FIND(" ",TRIM(C105)&amp;" ")-1),",","."))+1,9))*12/52,IF(ISNUMBER(SEARCH("month",C105)),IFERROR(_xlfn.NUMBERVALUE(SUBSTITUTE(LEFT(TRIM(C105),FIND(" ",TRIM(C105)&amp;" ")-1),",","."),"."),LEFT(SUBSTITUTE(LEFT(TRIM(C105),FIND(" ",TRIM(C105)&amp;" ")-1),",","."),FIND("/",SUBSTITUTE(LEFT(TRIM(C105),FIND(" ",TRIM(C105)&amp;" ")-1),",","."))-1)/MID(SUBSTITUTE(LEFT(TRIM(C105),FIND(" ",TRIM(C105)&amp;" ")-1),",","."),FIND("/",SUBSTITUTE(LEFT(TRIM(C105),FIND(" ",TRIM(C105)&amp;" ")-1),",","."))+1,9)),IF(ISNUMBER(SEARCH("yea",C105)),IFERROR(_xlfn.NUMBERVALUE(SUBSTITUTE(LEFT(TRIM(C105),FIND(" ",TRIM(C105)&amp;" ")-1),",","."),"."),LEFT(SUBSTITUTE(LEFT(TRIM(C105),FIND(" ",TRIM(C105)&amp;" ")-1),",","."),FIND("/",SUBSTITUTE(LEFT(TRIM(C105),FIND(" ",TRIM(C105)&amp;" ")-1),",","."))-1)/MID(SUBSTITUTE(LEFT(TRIM(C105),FIND(" ",TRIM(C105)&amp;" ")-1),",","."),FIND("/",SUBSTITUTE(LEFT(TRIM(C105),FIND(" ",TRIM(C105)&amp;" ")-1),",","."))+1,9))*12,NA()))),0),36)*'Aturan &amp; Tarif'!$B$4,2)</f>
        <v>2044.08</v>
      </c>
      <c r="K105" s="32" t="n">
        <f aca="false">'Aturan &amp; Tarif'!$B$5</f>
        <v>2050</v>
      </c>
      <c r="L105" s="35" t="n">
        <f aca="false">I105+J105+K105</f>
        <v>31944.08</v>
      </c>
      <c r="M105" s="37" t="s">
        <v>1267</v>
      </c>
    </row>
    <row r="106" customFormat="false" ht="25.5" hidden="false" customHeight="true" outlineLevel="0" collapsed="false">
      <c r="A106" s="29"/>
      <c r="B106" s="30" t="s">
        <v>1269</v>
      </c>
      <c r="C106" s="31" t="s">
        <v>127</v>
      </c>
      <c r="D106" s="31" t="s">
        <v>108</v>
      </c>
      <c r="E106" s="32" t="n">
        <v>13850</v>
      </c>
      <c r="F106" s="32"/>
      <c r="G106" s="32" t="n">
        <v>150</v>
      </c>
      <c r="H106" s="33" t="n">
        <v>2</v>
      </c>
      <c r="I106" s="34" t="n">
        <f aca="false">E106*H106+N(F106)+N(G106)</f>
        <v>27850</v>
      </c>
      <c r="J106" s="32" t="n">
        <f aca="false">ROUND(IFERROR(ROUND(IF(OR(ISNUMBER(SEARCH("week",C106)),ISNUMBER(SEARCH("minggu",C106))),IFERROR(_xlfn.NUMBERVALUE(SUBSTITUTE(LEFT(TRIM(C106),FIND(" ",TRIM(C106)&amp;" ")-1),",","."),"."),LEFT(SUBSTITUTE(LEFT(TRIM(C106),FIND(" ",TRIM(C106)&amp;" ")-1),",","."),FIND("/",SUBSTITUTE(LEFT(TRIM(C106),FIND(" ",TRIM(C106)&amp;" ")-1),",","."))-1)/MID(SUBSTITUTE(LEFT(TRIM(C106),FIND(" ",TRIM(C106)&amp;" ")-1),",","."),FIND("/",SUBSTITUTE(LEFT(TRIM(C106),FIND(" ",TRIM(C106)&amp;" ")-1),",","."))+1,9))*12/52,IF(ISNUMBER(SEARCH("month",C106)),IFERROR(_xlfn.NUMBERVALUE(SUBSTITUTE(LEFT(TRIM(C106),FIND(" ",TRIM(C106)&amp;" ")-1),",","."),"."),LEFT(SUBSTITUTE(LEFT(TRIM(C106),FIND(" ",TRIM(C106)&amp;" ")-1),",","."),FIND("/",SUBSTITUTE(LEFT(TRIM(C106),FIND(" ",TRIM(C106)&amp;" ")-1),",","."))-1)/MID(SUBSTITUTE(LEFT(TRIM(C106),FIND(" ",TRIM(C106)&amp;" ")-1),",","."),FIND("/",SUBSTITUTE(LEFT(TRIM(C106),FIND(" ",TRIM(C106)&amp;" ")-1),",","."))+1,9)),IF(ISNUMBER(SEARCH("yea",C106)),IFERROR(_xlfn.NUMBERVALUE(SUBSTITUTE(LEFT(TRIM(C106),FIND(" ",TRIM(C106)&amp;" ")-1),",","."),"."),LEFT(SUBSTITUTE(LEFT(TRIM(C106),FIND(" ",TRIM(C106)&amp;" ")-1),",","."),FIND("/",SUBSTITUTE(LEFT(TRIM(C106),FIND(" ",TRIM(C106)&amp;" ")-1),",","."))-1)/MID(SUBSTITUTE(LEFT(TRIM(C106),FIND(" ",TRIM(C106)&amp;" ")-1),",","."),FIND("/",SUBSTITUTE(LEFT(TRIM(C106),FIND(" ",TRIM(C106)&amp;" ")-1),",","."))+1,9))*12,NA()))),0),36)*'Aturan &amp; Tarif'!$B$4,2)</f>
        <v>2044.08</v>
      </c>
      <c r="K106" s="32" t="n">
        <f aca="false">'Aturan &amp; Tarif'!$B$5</f>
        <v>2050</v>
      </c>
      <c r="L106" s="35" t="n">
        <f aca="false">I106+J106+K106</f>
        <v>31944.08</v>
      </c>
      <c r="M106" s="37" t="s">
        <v>1267</v>
      </c>
    </row>
    <row r="107" customFormat="false" ht="25.5" hidden="false" customHeight="true" outlineLevel="0" collapsed="false">
      <c r="A107" s="29"/>
      <c r="B107" s="30" t="s">
        <v>1270</v>
      </c>
      <c r="C107" s="31" t="s">
        <v>127</v>
      </c>
      <c r="D107" s="31" t="s">
        <v>108</v>
      </c>
      <c r="E107" s="32" t="n">
        <v>13850</v>
      </c>
      <c r="F107" s="32"/>
      <c r="G107" s="32" t="n">
        <v>150</v>
      </c>
      <c r="H107" s="33" t="n">
        <v>2</v>
      </c>
      <c r="I107" s="34" t="n">
        <f aca="false">E107*H107+N(F107)+N(G107)</f>
        <v>27850</v>
      </c>
      <c r="J107" s="32" t="n">
        <f aca="false">ROUND(IFERROR(ROUND(IF(OR(ISNUMBER(SEARCH("week",C107)),ISNUMBER(SEARCH("minggu",C107))),IFERROR(_xlfn.NUMBERVALUE(SUBSTITUTE(LEFT(TRIM(C107),FIND(" ",TRIM(C107)&amp;" ")-1),",","."),"."),LEFT(SUBSTITUTE(LEFT(TRIM(C107),FIND(" ",TRIM(C107)&amp;" ")-1),",","."),FIND("/",SUBSTITUTE(LEFT(TRIM(C107),FIND(" ",TRIM(C107)&amp;" ")-1),",","."))-1)/MID(SUBSTITUTE(LEFT(TRIM(C107),FIND(" ",TRIM(C107)&amp;" ")-1),",","."),FIND("/",SUBSTITUTE(LEFT(TRIM(C107),FIND(" ",TRIM(C107)&amp;" ")-1),",","."))+1,9))*12/52,IF(ISNUMBER(SEARCH("month",C107)),IFERROR(_xlfn.NUMBERVALUE(SUBSTITUTE(LEFT(TRIM(C107),FIND(" ",TRIM(C107)&amp;" ")-1),",","."),"."),LEFT(SUBSTITUTE(LEFT(TRIM(C107),FIND(" ",TRIM(C107)&amp;" ")-1),",","."),FIND("/",SUBSTITUTE(LEFT(TRIM(C107),FIND(" ",TRIM(C107)&amp;" ")-1),",","."))-1)/MID(SUBSTITUTE(LEFT(TRIM(C107),FIND(" ",TRIM(C107)&amp;" ")-1),",","."),FIND("/",SUBSTITUTE(LEFT(TRIM(C107),FIND(" ",TRIM(C107)&amp;" ")-1),",","."))+1,9)),IF(ISNUMBER(SEARCH("yea",C107)),IFERROR(_xlfn.NUMBERVALUE(SUBSTITUTE(LEFT(TRIM(C107),FIND(" ",TRIM(C107)&amp;" ")-1),",","."),"."),LEFT(SUBSTITUTE(LEFT(TRIM(C107),FIND(" ",TRIM(C107)&amp;" ")-1),",","."),FIND("/",SUBSTITUTE(LEFT(TRIM(C107),FIND(" ",TRIM(C107)&amp;" ")-1),",","."))-1)/MID(SUBSTITUTE(LEFT(TRIM(C107),FIND(" ",TRIM(C107)&amp;" ")-1),",","."),FIND("/",SUBSTITUTE(LEFT(TRIM(C107),FIND(" ",TRIM(C107)&amp;" ")-1),",","."))+1,9))*12,NA()))),0),36)*'Aturan &amp; Tarif'!$B$4,2)</f>
        <v>2044.08</v>
      </c>
      <c r="K107" s="32" t="n">
        <f aca="false">'Aturan &amp; Tarif'!$B$5</f>
        <v>2050</v>
      </c>
      <c r="L107" s="35" t="n">
        <f aca="false">I107+J107+K107</f>
        <v>31944.08</v>
      </c>
      <c r="M107" s="37" t="s">
        <v>1267</v>
      </c>
    </row>
    <row r="108" customFormat="false" ht="14.25" hidden="false" customHeight="true" outlineLevel="0" collapsed="false">
      <c r="A108" s="29"/>
      <c r="B108" s="30" t="s">
        <v>1271</v>
      </c>
      <c r="C108" s="31" t="s">
        <v>191</v>
      </c>
      <c r="D108" s="31" t="s">
        <v>108</v>
      </c>
      <c r="E108" s="32" t="n">
        <v>13850</v>
      </c>
      <c r="F108" s="32"/>
      <c r="G108" s="32" t="n">
        <v>150</v>
      </c>
      <c r="H108" s="33" t="n">
        <v>2</v>
      </c>
      <c r="I108" s="34" t="n">
        <f aca="false">E108*H108+N(F108)+N(G108)</f>
        <v>27850</v>
      </c>
      <c r="J108" s="32" t="n">
        <f aca="false">ROUND(IFERROR(ROUND(IF(OR(ISNUMBER(SEARCH("week",C108)),ISNUMBER(SEARCH("minggu",C108))),IFERROR(_xlfn.NUMBERVALUE(SUBSTITUTE(LEFT(TRIM(C108),FIND(" ",TRIM(C108)&amp;" ")-1),",","."),"."),LEFT(SUBSTITUTE(LEFT(TRIM(C108),FIND(" ",TRIM(C108)&amp;" ")-1),",","."),FIND("/",SUBSTITUTE(LEFT(TRIM(C108),FIND(" ",TRIM(C108)&amp;" ")-1),",","."))-1)/MID(SUBSTITUTE(LEFT(TRIM(C108),FIND(" ",TRIM(C108)&amp;" ")-1),",","."),FIND("/",SUBSTITUTE(LEFT(TRIM(C108),FIND(" ",TRIM(C108)&amp;" ")-1),",","."))+1,9))*12/52,IF(ISNUMBER(SEARCH("month",C108)),IFERROR(_xlfn.NUMBERVALUE(SUBSTITUTE(LEFT(TRIM(C108),FIND(" ",TRIM(C108)&amp;" ")-1),",","."),"."),LEFT(SUBSTITUTE(LEFT(TRIM(C108),FIND(" ",TRIM(C108)&amp;" ")-1),",","."),FIND("/",SUBSTITUTE(LEFT(TRIM(C108),FIND(" ",TRIM(C108)&amp;" ")-1),",","."))-1)/MID(SUBSTITUTE(LEFT(TRIM(C108),FIND(" ",TRIM(C108)&amp;" ")-1),",","."),FIND("/",SUBSTITUTE(LEFT(TRIM(C108),FIND(" ",TRIM(C108)&amp;" ")-1),",","."))+1,9)),IF(ISNUMBER(SEARCH("yea",C108)),IFERROR(_xlfn.NUMBERVALUE(SUBSTITUTE(LEFT(TRIM(C108),FIND(" ",TRIM(C108)&amp;" ")-1),",","."),"."),LEFT(SUBSTITUTE(LEFT(TRIM(C108),FIND(" ",TRIM(C108)&amp;" ")-1),",","."),FIND("/",SUBSTITUTE(LEFT(TRIM(C108),FIND(" ",TRIM(C108)&amp;" ")-1),",","."))-1)/MID(SUBSTITUTE(LEFT(TRIM(C108),FIND(" ",TRIM(C108)&amp;" ")-1),",","."),FIND("/",SUBSTITUTE(LEFT(TRIM(C108),FIND(" ",TRIM(C108)&amp;" ")-1),",","."))+1,9))*12,NA()))),0),48)*'Aturan &amp; Tarif'!$B$4,2)</f>
        <v>2725.44</v>
      </c>
      <c r="K108" s="32" t="n">
        <f aca="false">'Aturan &amp; Tarif'!$B$5</f>
        <v>2050</v>
      </c>
      <c r="L108" s="35" t="n">
        <f aca="false">I108+J108+K108</f>
        <v>32625.44</v>
      </c>
      <c r="M108" s="37" t="s">
        <v>1272</v>
      </c>
    </row>
    <row r="109" customFormat="false" ht="37.5" hidden="false" customHeight="true" outlineLevel="0" collapsed="false">
      <c r="A109" s="29"/>
      <c r="B109" s="30" t="s">
        <v>1273</v>
      </c>
      <c r="C109" s="31" t="s">
        <v>191</v>
      </c>
      <c r="D109" s="31" t="s">
        <v>108</v>
      </c>
      <c r="E109" s="32" t="n">
        <v>13850</v>
      </c>
      <c r="F109" s="32"/>
      <c r="G109" s="32" t="n">
        <v>150</v>
      </c>
      <c r="H109" s="33" t="n">
        <v>2</v>
      </c>
      <c r="I109" s="34" t="n">
        <f aca="false">E109*H109+N(F109)+N(G109)</f>
        <v>27850</v>
      </c>
      <c r="J109" s="32" t="n">
        <f aca="false">ROUND(IFERROR(ROUND(IF(OR(ISNUMBER(SEARCH("week",C109)),ISNUMBER(SEARCH("minggu",C109))),IFERROR(_xlfn.NUMBERVALUE(SUBSTITUTE(LEFT(TRIM(C109),FIND(" ",TRIM(C109)&amp;" ")-1),",","."),"."),LEFT(SUBSTITUTE(LEFT(TRIM(C109),FIND(" ",TRIM(C109)&amp;" ")-1),",","."),FIND("/",SUBSTITUTE(LEFT(TRIM(C109),FIND(" ",TRIM(C109)&amp;" ")-1),",","."))-1)/MID(SUBSTITUTE(LEFT(TRIM(C109),FIND(" ",TRIM(C109)&amp;" ")-1),",","."),FIND("/",SUBSTITUTE(LEFT(TRIM(C109),FIND(" ",TRIM(C109)&amp;" ")-1),",","."))+1,9))*12/52,IF(ISNUMBER(SEARCH("month",C109)),IFERROR(_xlfn.NUMBERVALUE(SUBSTITUTE(LEFT(TRIM(C109),FIND(" ",TRIM(C109)&amp;" ")-1),",","."),"."),LEFT(SUBSTITUTE(LEFT(TRIM(C109),FIND(" ",TRIM(C109)&amp;" ")-1),",","."),FIND("/",SUBSTITUTE(LEFT(TRIM(C109),FIND(" ",TRIM(C109)&amp;" ")-1),",","."))-1)/MID(SUBSTITUTE(LEFT(TRIM(C109),FIND(" ",TRIM(C109)&amp;" ")-1),",","."),FIND("/",SUBSTITUTE(LEFT(TRIM(C109),FIND(" ",TRIM(C109)&amp;" ")-1),",","."))+1,9)),IF(ISNUMBER(SEARCH("yea",C109)),IFERROR(_xlfn.NUMBERVALUE(SUBSTITUTE(LEFT(TRIM(C109),FIND(" ",TRIM(C109)&amp;" ")-1),",","."),"."),LEFT(SUBSTITUTE(LEFT(TRIM(C109),FIND(" ",TRIM(C109)&amp;" ")-1),",","."),FIND("/",SUBSTITUTE(LEFT(TRIM(C109),FIND(" ",TRIM(C109)&amp;" ")-1),",","."))-1)/MID(SUBSTITUTE(LEFT(TRIM(C109),FIND(" ",TRIM(C109)&amp;" ")-1),",","."),FIND("/",SUBSTITUTE(LEFT(TRIM(C109),FIND(" ",TRIM(C109)&amp;" ")-1),",","."))+1,9))*12,NA()))),0),48)*'Aturan &amp; Tarif'!$B$4,2)</f>
        <v>2725.44</v>
      </c>
      <c r="K109" s="32" t="n">
        <f aca="false">'Aturan &amp; Tarif'!$B$5</f>
        <v>2050</v>
      </c>
      <c r="L109" s="35" t="n">
        <f aca="false">I109+J109+K109</f>
        <v>32625.44</v>
      </c>
      <c r="M109" s="37" t="s">
        <v>1272</v>
      </c>
    </row>
    <row r="110" customFormat="false" ht="25.5" hidden="false" customHeight="true" outlineLevel="0" collapsed="false">
      <c r="A110" s="29"/>
      <c r="B110" s="30" t="s">
        <v>1274</v>
      </c>
      <c r="C110" s="31" t="s">
        <v>191</v>
      </c>
      <c r="D110" s="31" t="s">
        <v>108</v>
      </c>
      <c r="E110" s="32" t="n">
        <v>13850</v>
      </c>
      <c r="F110" s="32"/>
      <c r="G110" s="32" t="n">
        <v>150</v>
      </c>
      <c r="H110" s="33" t="n">
        <v>2</v>
      </c>
      <c r="I110" s="34" t="n">
        <f aca="false">E110*H110+N(F110)+N(G110)</f>
        <v>27850</v>
      </c>
      <c r="J110" s="32" t="n">
        <f aca="false">ROUND(IFERROR(ROUND(IF(OR(ISNUMBER(SEARCH("week",C110)),ISNUMBER(SEARCH("minggu",C110))),IFERROR(_xlfn.NUMBERVALUE(SUBSTITUTE(LEFT(TRIM(C110),FIND(" ",TRIM(C110)&amp;" ")-1),",","."),"."),LEFT(SUBSTITUTE(LEFT(TRIM(C110),FIND(" ",TRIM(C110)&amp;" ")-1),",","."),FIND("/",SUBSTITUTE(LEFT(TRIM(C110),FIND(" ",TRIM(C110)&amp;" ")-1),",","."))-1)/MID(SUBSTITUTE(LEFT(TRIM(C110),FIND(" ",TRIM(C110)&amp;" ")-1),",","."),FIND("/",SUBSTITUTE(LEFT(TRIM(C110),FIND(" ",TRIM(C110)&amp;" ")-1),",","."))+1,9))*12/52,IF(ISNUMBER(SEARCH("month",C110)),IFERROR(_xlfn.NUMBERVALUE(SUBSTITUTE(LEFT(TRIM(C110),FIND(" ",TRIM(C110)&amp;" ")-1),",","."),"."),LEFT(SUBSTITUTE(LEFT(TRIM(C110),FIND(" ",TRIM(C110)&amp;" ")-1),",","."),FIND("/",SUBSTITUTE(LEFT(TRIM(C110),FIND(" ",TRIM(C110)&amp;" ")-1),",","."))-1)/MID(SUBSTITUTE(LEFT(TRIM(C110),FIND(" ",TRIM(C110)&amp;" ")-1),",","."),FIND("/",SUBSTITUTE(LEFT(TRIM(C110),FIND(" ",TRIM(C110)&amp;" ")-1),",","."))+1,9)),IF(ISNUMBER(SEARCH("yea",C110)),IFERROR(_xlfn.NUMBERVALUE(SUBSTITUTE(LEFT(TRIM(C110),FIND(" ",TRIM(C110)&amp;" ")-1),",","."),"."),LEFT(SUBSTITUTE(LEFT(TRIM(C110),FIND(" ",TRIM(C110)&amp;" ")-1),",","."),FIND("/",SUBSTITUTE(LEFT(TRIM(C110),FIND(" ",TRIM(C110)&amp;" ")-1),",","."))-1)/MID(SUBSTITUTE(LEFT(TRIM(C110),FIND(" ",TRIM(C110)&amp;" ")-1),",","."),FIND("/",SUBSTITUTE(LEFT(TRIM(C110),FIND(" ",TRIM(C110)&amp;" ")-1),",","."))+1,9))*12,NA()))),0),48)*'Aturan &amp; Tarif'!$B$4,2)</f>
        <v>2725.44</v>
      </c>
      <c r="K110" s="32" t="n">
        <f aca="false">'Aturan &amp; Tarif'!$B$5</f>
        <v>2050</v>
      </c>
      <c r="L110" s="35" t="n">
        <f aca="false">I110+J110+K110</f>
        <v>32625.44</v>
      </c>
      <c r="M110" s="37" t="s">
        <v>1272</v>
      </c>
    </row>
    <row r="111" customFormat="false" ht="25.5" hidden="false" customHeight="true" outlineLevel="0" collapsed="false">
      <c r="A111" s="29"/>
      <c r="B111" s="30" t="s">
        <v>1275</v>
      </c>
      <c r="C111" s="31" t="s">
        <v>191</v>
      </c>
      <c r="D111" s="31" t="s">
        <v>108</v>
      </c>
      <c r="E111" s="32" t="n">
        <v>13850</v>
      </c>
      <c r="F111" s="32"/>
      <c r="G111" s="32" t="n">
        <v>150</v>
      </c>
      <c r="H111" s="33" t="n">
        <v>2</v>
      </c>
      <c r="I111" s="34" t="n">
        <f aca="false">E111*H111+N(F111)+N(G111)</f>
        <v>27850</v>
      </c>
      <c r="J111" s="32" t="n">
        <f aca="false">ROUND(IFERROR(ROUND(IF(OR(ISNUMBER(SEARCH("week",C111)),ISNUMBER(SEARCH("minggu",C111))),IFERROR(_xlfn.NUMBERVALUE(SUBSTITUTE(LEFT(TRIM(C111),FIND(" ",TRIM(C111)&amp;" ")-1),",","."),"."),LEFT(SUBSTITUTE(LEFT(TRIM(C111),FIND(" ",TRIM(C111)&amp;" ")-1),",","."),FIND("/",SUBSTITUTE(LEFT(TRIM(C111),FIND(" ",TRIM(C111)&amp;" ")-1),",","."))-1)/MID(SUBSTITUTE(LEFT(TRIM(C111),FIND(" ",TRIM(C111)&amp;" ")-1),",","."),FIND("/",SUBSTITUTE(LEFT(TRIM(C111),FIND(" ",TRIM(C111)&amp;" ")-1),",","."))+1,9))*12/52,IF(ISNUMBER(SEARCH("month",C111)),IFERROR(_xlfn.NUMBERVALUE(SUBSTITUTE(LEFT(TRIM(C111),FIND(" ",TRIM(C111)&amp;" ")-1),",","."),"."),LEFT(SUBSTITUTE(LEFT(TRIM(C111),FIND(" ",TRIM(C111)&amp;" ")-1),",","."),FIND("/",SUBSTITUTE(LEFT(TRIM(C111),FIND(" ",TRIM(C111)&amp;" ")-1),",","."))-1)/MID(SUBSTITUTE(LEFT(TRIM(C111),FIND(" ",TRIM(C111)&amp;" ")-1),",","."),FIND("/",SUBSTITUTE(LEFT(TRIM(C111),FIND(" ",TRIM(C111)&amp;" ")-1),",","."))+1,9)),IF(ISNUMBER(SEARCH("yea",C111)),IFERROR(_xlfn.NUMBERVALUE(SUBSTITUTE(LEFT(TRIM(C111),FIND(" ",TRIM(C111)&amp;" ")-1),",","."),"."),LEFT(SUBSTITUTE(LEFT(TRIM(C111),FIND(" ",TRIM(C111)&amp;" ")-1),",","."),FIND("/",SUBSTITUTE(LEFT(TRIM(C111),FIND(" ",TRIM(C111)&amp;" ")-1),",","."))-1)/MID(SUBSTITUTE(LEFT(TRIM(C111),FIND(" ",TRIM(C111)&amp;" ")-1),",","."),FIND("/",SUBSTITUTE(LEFT(TRIM(C111),FIND(" ",TRIM(C111)&amp;" ")-1),",","."))+1,9))*12,NA()))),0),48)*'Aturan &amp; Tarif'!$B$4,2)</f>
        <v>2725.44</v>
      </c>
      <c r="K111" s="32" t="n">
        <f aca="false">'Aturan &amp; Tarif'!$B$5</f>
        <v>2050</v>
      </c>
      <c r="L111" s="35" t="n">
        <f aca="false">I111+J111+K111</f>
        <v>32625.44</v>
      </c>
      <c r="M111" s="37" t="s">
        <v>1272</v>
      </c>
    </row>
    <row r="112" customFormat="false" ht="14.25" hidden="false" customHeight="true" outlineLevel="0" collapsed="false">
      <c r="A112" s="29"/>
      <c r="B112" s="30" t="s">
        <v>1276</v>
      </c>
      <c r="C112" s="31" t="s">
        <v>127</v>
      </c>
      <c r="D112" s="31" t="s">
        <v>108</v>
      </c>
      <c r="E112" s="32" t="n">
        <v>13850</v>
      </c>
      <c r="F112" s="32"/>
      <c r="G112" s="32" t="n">
        <v>150</v>
      </c>
      <c r="H112" s="33" t="n">
        <v>2</v>
      </c>
      <c r="I112" s="34" t="n">
        <f aca="false">E112*H112+N(F112)+N(G112)</f>
        <v>27850</v>
      </c>
      <c r="J112" s="32" t="n">
        <f aca="false">ROUND(IFERROR(ROUND(IF(OR(ISNUMBER(SEARCH("week",C112)),ISNUMBER(SEARCH("minggu",C112))),IFERROR(_xlfn.NUMBERVALUE(SUBSTITUTE(LEFT(TRIM(C112),FIND(" ",TRIM(C112)&amp;" ")-1),",","."),"."),LEFT(SUBSTITUTE(LEFT(TRIM(C112),FIND(" ",TRIM(C112)&amp;" ")-1),",","."),FIND("/",SUBSTITUTE(LEFT(TRIM(C112),FIND(" ",TRIM(C112)&amp;" ")-1),",","."))-1)/MID(SUBSTITUTE(LEFT(TRIM(C112),FIND(" ",TRIM(C112)&amp;" ")-1),",","."),FIND("/",SUBSTITUTE(LEFT(TRIM(C112),FIND(" ",TRIM(C112)&amp;" ")-1),",","."))+1,9))*12/52,IF(ISNUMBER(SEARCH("month",C112)),IFERROR(_xlfn.NUMBERVALUE(SUBSTITUTE(LEFT(TRIM(C112),FIND(" ",TRIM(C112)&amp;" ")-1),",","."),"."),LEFT(SUBSTITUTE(LEFT(TRIM(C112),FIND(" ",TRIM(C112)&amp;" ")-1),",","."),FIND("/",SUBSTITUTE(LEFT(TRIM(C112),FIND(" ",TRIM(C112)&amp;" ")-1),",","."))-1)/MID(SUBSTITUTE(LEFT(TRIM(C112),FIND(" ",TRIM(C112)&amp;" ")-1),",","."),FIND("/",SUBSTITUTE(LEFT(TRIM(C112),FIND(" ",TRIM(C112)&amp;" ")-1),",","."))+1,9)),IF(ISNUMBER(SEARCH("yea",C112)),IFERROR(_xlfn.NUMBERVALUE(SUBSTITUTE(LEFT(TRIM(C112),FIND(" ",TRIM(C112)&amp;" ")-1),",","."),"."),LEFT(SUBSTITUTE(LEFT(TRIM(C112),FIND(" ",TRIM(C112)&amp;" ")-1),",","."),FIND("/",SUBSTITUTE(LEFT(TRIM(C112),FIND(" ",TRIM(C112)&amp;" ")-1),",","."))-1)/MID(SUBSTITUTE(LEFT(TRIM(C112),FIND(" ",TRIM(C112)&amp;" ")-1),",","."),FIND("/",SUBSTITUTE(LEFT(TRIM(C112),FIND(" ",TRIM(C112)&amp;" ")-1),",","."))+1,9))*12,NA()))),0),36)*'Aturan &amp; Tarif'!$B$4,2)</f>
        <v>2044.08</v>
      </c>
      <c r="K112" s="32" t="n">
        <f aca="false">'Aturan &amp; Tarif'!$B$5</f>
        <v>2050</v>
      </c>
      <c r="L112" s="35" t="n">
        <f aca="false">I112+J112+K112</f>
        <v>31944.08</v>
      </c>
      <c r="M112" s="37" t="s">
        <v>1277</v>
      </c>
    </row>
    <row r="113" customFormat="false" ht="25.5" hidden="false" customHeight="true" outlineLevel="0" collapsed="false">
      <c r="A113" s="29"/>
      <c r="B113" s="30" t="s">
        <v>1278</v>
      </c>
      <c r="C113" s="31" t="s">
        <v>127</v>
      </c>
      <c r="D113" s="31" t="s">
        <v>108</v>
      </c>
      <c r="E113" s="32" t="n">
        <v>13850</v>
      </c>
      <c r="F113" s="32"/>
      <c r="G113" s="32" t="n">
        <v>150</v>
      </c>
      <c r="H113" s="33" t="n">
        <v>2</v>
      </c>
      <c r="I113" s="34" t="n">
        <f aca="false">E113*H113+N(F113)+N(G113)</f>
        <v>27850</v>
      </c>
      <c r="J113" s="32" t="n">
        <f aca="false">ROUND(IFERROR(ROUND(IF(OR(ISNUMBER(SEARCH("week",C113)),ISNUMBER(SEARCH("minggu",C113))),IFERROR(_xlfn.NUMBERVALUE(SUBSTITUTE(LEFT(TRIM(C113),FIND(" ",TRIM(C113)&amp;" ")-1),",","."),"."),LEFT(SUBSTITUTE(LEFT(TRIM(C113),FIND(" ",TRIM(C113)&amp;" ")-1),",","."),FIND("/",SUBSTITUTE(LEFT(TRIM(C113),FIND(" ",TRIM(C113)&amp;" ")-1),",","."))-1)/MID(SUBSTITUTE(LEFT(TRIM(C113),FIND(" ",TRIM(C113)&amp;" ")-1),",","."),FIND("/",SUBSTITUTE(LEFT(TRIM(C113),FIND(" ",TRIM(C113)&amp;" ")-1),",","."))+1,9))*12/52,IF(ISNUMBER(SEARCH("month",C113)),IFERROR(_xlfn.NUMBERVALUE(SUBSTITUTE(LEFT(TRIM(C113),FIND(" ",TRIM(C113)&amp;" ")-1),",","."),"."),LEFT(SUBSTITUTE(LEFT(TRIM(C113),FIND(" ",TRIM(C113)&amp;" ")-1),",","."),FIND("/",SUBSTITUTE(LEFT(TRIM(C113),FIND(" ",TRIM(C113)&amp;" ")-1),",","."))-1)/MID(SUBSTITUTE(LEFT(TRIM(C113),FIND(" ",TRIM(C113)&amp;" ")-1),",","."),FIND("/",SUBSTITUTE(LEFT(TRIM(C113),FIND(" ",TRIM(C113)&amp;" ")-1),",","."))+1,9)),IF(ISNUMBER(SEARCH("yea",C113)),IFERROR(_xlfn.NUMBERVALUE(SUBSTITUTE(LEFT(TRIM(C113),FIND(" ",TRIM(C113)&amp;" ")-1),",","."),"."),LEFT(SUBSTITUTE(LEFT(TRIM(C113),FIND(" ",TRIM(C113)&amp;" ")-1),",","."),FIND("/",SUBSTITUTE(LEFT(TRIM(C113),FIND(" ",TRIM(C113)&amp;" ")-1),",","."))-1)/MID(SUBSTITUTE(LEFT(TRIM(C113),FIND(" ",TRIM(C113)&amp;" ")-1),",","."),FIND("/",SUBSTITUTE(LEFT(TRIM(C113),FIND(" ",TRIM(C113)&amp;" ")-1),",","."))+1,9))*12,NA()))),0),36)*'Aturan &amp; Tarif'!$B$4,2)</f>
        <v>2044.08</v>
      </c>
      <c r="K113" s="32" t="n">
        <f aca="false">'Aturan &amp; Tarif'!$B$5</f>
        <v>2050</v>
      </c>
      <c r="L113" s="35" t="n">
        <f aca="false">I113+J113+K113</f>
        <v>31944.08</v>
      </c>
      <c r="M113" s="37" t="s">
        <v>1277</v>
      </c>
    </row>
    <row r="114" customFormat="false" ht="25.5" hidden="false" customHeight="true" outlineLevel="0" collapsed="false">
      <c r="A114" s="29"/>
      <c r="B114" s="30" t="s">
        <v>1279</v>
      </c>
      <c r="C114" s="31" t="s">
        <v>127</v>
      </c>
      <c r="D114" s="31" t="s">
        <v>108</v>
      </c>
      <c r="E114" s="32" t="n">
        <v>13850</v>
      </c>
      <c r="F114" s="32"/>
      <c r="G114" s="32" t="n">
        <v>150</v>
      </c>
      <c r="H114" s="33" t="n">
        <v>2</v>
      </c>
      <c r="I114" s="34" t="n">
        <f aca="false">E114*H114+N(F114)+N(G114)</f>
        <v>27850</v>
      </c>
      <c r="J114" s="32" t="n">
        <f aca="false">ROUND(IFERROR(ROUND(IF(OR(ISNUMBER(SEARCH("week",C114)),ISNUMBER(SEARCH("minggu",C114))),IFERROR(_xlfn.NUMBERVALUE(SUBSTITUTE(LEFT(TRIM(C114),FIND(" ",TRIM(C114)&amp;" ")-1),",","."),"."),LEFT(SUBSTITUTE(LEFT(TRIM(C114),FIND(" ",TRIM(C114)&amp;" ")-1),",","."),FIND("/",SUBSTITUTE(LEFT(TRIM(C114),FIND(" ",TRIM(C114)&amp;" ")-1),",","."))-1)/MID(SUBSTITUTE(LEFT(TRIM(C114),FIND(" ",TRIM(C114)&amp;" ")-1),",","."),FIND("/",SUBSTITUTE(LEFT(TRIM(C114),FIND(" ",TRIM(C114)&amp;" ")-1),",","."))+1,9))*12/52,IF(ISNUMBER(SEARCH("month",C114)),IFERROR(_xlfn.NUMBERVALUE(SUBSTITUTE(LEFT(TRIM(C114),FIND(" ",TRIM(C114)&amp;" ")-1),",","."),"."),LEFT(SUBSTITUTE(LEFT(TRIM(C114),FIND(" ",TRIM(C114)&amp;" ")-1),",","."),FIND("/",SUBSTITUTE(LEFT(TRIM(C114),FIND(" ",TRIM(C114)&amp;" ")-1),",","."))-1)/MID(SUBSTITUTE(LEFT(TRIM(C114),FIND(" ",TRIM(C114)&amp;" ")-1),",","."),FIND("/",SUBSTITUTE(LEFT(TRIM(C114),FIND(" ",TRIM(C114)&amp;" ")-1),",","."))+1,9)),IF(ISNUMBER(SEARCH("yea",C114)),IFERROR(_xlfn.NUMBERVALUE(SUBSTITUTE(LEFT(TRIM(C114),FIND(" ",TRIM(C114)&amp;" ")-1),",","."),"."),LEFT(SUBSTITUTE(LEFT(TRIM(C114),FIND(" ",TRIM(C114)&amp;" ")-1),",","."),FIND("/",SUBSTITUTE(LEFT(TRIM(C114),FIND(" ",TRIM(C114)&amp;" ")-1),",","."))-1)/MID(SUBSTITUTE(LEFT(TRIM(C114),FIND(" ",TRIM(C114)&amp;" ")-1),",","."),FIND("/",SUBSTITUTE(LEFT(TRIM(C114),FIND(" ",TRIM(C114)&amp;" ")-1),",","."))+1,9))*12,NA()))),0),36)*'Aturan &amp; Tarif'!$B$4,2)</f>
        <v>2044.08</v>
      </c>
      <c r="K114" s="32" t="n">
        <f aca="false">'Aturan &amp; Tarif'!$B$5</f>
        <v>2050</v>
      </c>
      <c r="L114" s="35" t="n">
        <f aca="false">I114+J114+K114</f>
        <v>31944.08</v>
      </c>
      <c r="M114" s="37" t="s">
        <v>1277</v>
      </c>
    </row>
    <row r="115" customFormat="false" ht="14.25" hidden="false" customHeight="true" outlineLevel="0" collapsed="false">
      <c r="A115" s="29"/>
      <c r="B115" s="30" t="s">
        <v>335</v>
      </c>
      <c r="C115" s="31" t="s">
        <v>127</v>
      </c>
      <c r="D115" s="31" t="s">
        <v>108</v>
      </c>
      <c r="E115" s="32" t="n">
        <v>13125</v>
      </c>
      <c r="F115" s="32"/>
      <c r="G115" s="32" t="n">
        <v>150</v>
      </c>
      <c r="H115" s="33" t="n">
        <v>2</v>
      </c>
      <c r="I115" s="34" t="n">
        <f aca="false">E115*H115+N(F115)+N(G115)</f>
        <v>26400</v>
      </c>
      <c r="J115" s="32" t="n">
        <f aca="false">ROUND(IFERROR(ROUND(IF(OR(ISNUMBER(SEARCH("week",C115)),ISNUMBER(SEARCH("minggu",C115))),IFERROR(_xlfn.NUMBERVALUE(SUBSTITUTE(LEFT(TRIM(C115),FIND(" ",TRIM(C115)&amp;" ")-1),",","."),"."),LEFT(SUBSTITUTE(LEFT(TRIM(C115),FIND(" ",TRIM(C115)&amp;" ")-1),",","."),FIND("/",SUBSTITUTE(LEFT(TRIM(C115),FIND(" ",TRIM(C115)&amp;" ")-1),",","."))-1)/MID(SUBSTITUTE(LEFT(TRIM(C115),FIND(" ",TRIM(C115)&amp;" ")-1),",","."),FIND("/",SUBSTITUTE(LEFT(TRIM(C115),FIND(" ",TRIM(C115)&amp;" ")-1),",","."))+1,9))*12/52,IF(ISNUMBER(SEARCH("month",C115)),IFERROR(_xlfn.NUMBERVALUE(SUBSTITUTE(LEFT(TRIM(C115),FIND(" ",TRIM(C115)&amp;" ")-1),",","."),"."),LEFT(SUBSTITUTE(LEFT(TRIM(C115),FIND(" ",TRIM(C115)&amp;" ")-1),",","."),FIND("/",SUBSTITUTE(LEFT(TRIM(C115),FIND(" ",TRIM(C115)&amp;" ")-1),",","."))-1)/MID(SUBSTITUTE(LEFT(TRIM(C115),FIND(" ",TRIM(C115)&amp;" ")-1),",","."),FIND("/",SUBSTITUTE(LEFT(TRIM(C115),FIND(" ",TRIM(C115)&amp;" ")-1),",","."))+1,9)),IF(ISNUMBER(SEARCH("yea",C115)),IFERROR(_xlfn.NUMBERVALUE(SUBSTITUTE(LEFT(TRIM(C115),FIND(" ",TRIM(C115)&amp;" ")-1),",","."),"."),LEFT(SUBSTITUTE(LEFT(TRIM(C115),FIND(" ",TRIM(C115)&amp;" ")-1),",","."),FIND("/",SUBSTITUTE(LEFT(TRIM(C115),FIND(" ",TRIM(C115)&amp;" ")-1),",","."))-1)/MID(SUBSTITUTE(LEFT(TRIM(C115),FIND(" ",TRIM(C115)&amp;" ")-1),",","."),FIND("/",SUBSTITUTE(LEFT(TRIM(C115),FIND(" ",TRIM(C115)&amp;" ")-1),",","."))+1,9))*12,NA()))),0),36)*'Aturan &amp; Tarif'!$B$4,2)</f>
        <v>2044.08</v>
      </c>
      <c r="K115" s="32" t="n">
        <f aca="false">'Aturan &amp; Tarif'!$B$5</f>
        <v>2050</v>
      </c>
      <c r="L115" s="35" t="n">
        <f aca="false">I115+J115+K115</f>
        <v>30494.08</v>
      </c>
      <c r="M115" s="37" t="s">
        <v>1280</v>
      </c>
    </row>
    <row r="116" customFormat="false" ht="25.5" hidden="false" customHeight="true" outlineLevel="0" collapsed="false">
      <c r="A116" s="29"/>
      <c r="B116" s="30" t="s">
        <v>1281</v>
      </c>
      <c r="C116" s="31" t="s">
        <v>127</v>
      </c>
      <c r="D116" s="31" t="s">
        <v>108</v>
      </c>
      <c r="E116" s="32" t="n">
        <v>13125</v>
      </c>
      <c r="F116" s="32"/>
      <c r="G116" s="32" t="n">
        <v>150</v>
      </c>
      <c r="H116" s="33" t="n">
        <v>2</v>
      </c>
      <c r="I116" s="34" t="n">
        <f aca="false">E116*H116+N(F116)+N(G116)</f>
        <v>26400</v>
      </c>
      <c r="J116" s="32" t="n">
        <f aca="false">ROUND(IFERROR(ROUND(IF(OR(ISNUMBER(SEARCH("week",C116)),ISNUMBER(SEARCH("minggu",C116))),IFERROR(_xlfn.NUMBERVALUE(SUBSTITUTE(LEFT(TRIM(C116),FIND(" ",TRIM(C116)&amp;" ")-1),",","."),"."),LEFT(SUBSTITUTE(LEFT(TRIM(C116),FIND(" ",TRIM(C116)&amp;" ")-1),",","."),FIND("/",SUBSTITUTE(LEFT(TRIM(C116),FIND(" ",TRIM(C116)&amp;" ")-1),",","."))-1)/MID(SUBSTITUTE(LEFT(TRIM(C116),FIND(" ",TRIM(C116)&amp;" ")-1),",","."),FIND("/",SUBSTITUTE(LEFT(TRIM(C116),FIND(" ",TRIM(C116)&amp;" ")-1),",","."))+1,9))*12/52,IF(ISNUMBER(SEARCH("month",C116)),IFERROR(_xlfn.NUMBERVALUE(SUBSTITUTE(LEFT(TRIM(C116),FIND(" ",TRIM(C116)&amp;" ")-1),",","."),"."),LEFT(SUBSTITUTE(LEFT(TRIM(C116),FIND(" ",TRIM(C116)&amp;" ")-1),",","."),FIND("/",SUBSTITUTE(LEFT(TRIM(C116),FIND(" ",TRIM(C116)&amp;" ")-1),",","."))-1)/MID(SUBSTITUTE(LEFT(TRIM(C116),FIND(" ",TRIM(C116)&amp;" ")-1),",","."),FIND("/",SUBSTITUTE(LEFT(TRIM(C116),FIND(" ",TRIM(C116)&amp;" ")-1),",","."))+1,9)),IF(ISNUMBER(SEARCH("yea",C116)),IFERROR(_xlfn.NUMBERVALUE(SUBSTITUTE(LEFT(TRIM(C116),FIND(" ",TRIM(C116)&amp;" ")-1),",","."),"."),LEFT(SUBSTITUTE(LEFT(TRIM(C116),FIND(" ",TRIM(C116)&amp;" ")-1),",","."),FIND("/",SUBSTITUTE(LEFT(TRIM(C116),FIND(" ",TRIM(C116)&amp;" ")-1),",","."))-1)/MID(SUBSTITUTE(LEFT(TRIM(C116),FIND(" ",TRIM(C116)&amp;" ")-1),",","."),FIND("/",SUBSTITUTE(LEFT(TRIM(C116),FIND(" ",TRIM(C116)&amp;" ")-1),",","."))+1,9))*12,NA()))),0),36)*'Aturan &amp; Tarif'!$B$4,2)</f>
        <v>2044.08</v>
      </c>
      <c r="K116" s="32" t="n">
        <f aca="false">'Aturan &amp; Tarif'!$B$5</f>
        <v>2050</v>
      </c>
      <c r="L116" s="35" t="n">
        <f aca="false">I116+J116+K116</f>
        <v>30494.08</v>
      </c>
      <c r="M116" s="37" t="s">
        <v>1280</v>
      </c>
    </row>
    <row r="117" customFormat="false" ht="25.5" hidden="false" customHeight="true" outlineLevel="0" collapsed="false">
      <c r="A117" s="29"/>
      <c r="B117" s="30" t="s">
        <v>1282</v>
      </c>
      <c r="C117" s="31" t="s">
        <v>127</v>
      </c>
      <c r="D117" s="31" t="s">
        <v>108</v>
      </c>
      <c r="E117" s="32" t="n">
        <v>13125</v>
      </c>
      <c r="F117" s="32"/>
      <c r="G117" s="32" t="n">
        <v>150</v>
      </c>
      <c r="H117" s="33" t="n">
        <v>2</v>
      </c>
      <c r="I117" s="34" t="n">
        <f aca="false">E117*H117+N(F117)+N(G117)</f>
        <v>26400</v>
      </c>
      <c r="J117" s="32" t="n">
        <f aca="false">ROUND(IFERROR(ROUND(IF(OR(ISNUMBER(SEARCH("week",C117)),ISNUMBER(SEARCH("minggu",C117))),IFERROR(_xlfn.NUMBERVALUE(SUBSTITUTE(LEFT(TRIM(C117),FIND(" ",TRIM(C117)&amp;" ")-1),",","."),"."),LEFT(SUBSTITUTE(LEFT(TRIM(C117),FIND(" ",TRIM(C117)&amp;" ")-1),",","."),FIND("/",SUBSTITUTE(LEFT(TRIM(C117),FIND(" ",TRIM(C117)&amp;" ")-1),",","."))-1)/MID(SUBSTITUTE(LEFT(TRIM(C117),FIND(" ",TRIM(C117)&amp;" ")-1),",","."),FIND("/",SUBSTITUTE(LEFT(TRIM(C117),FIND(" ",TRIM(C117)&amp;" ")-1),",","."))+1,9))*12/52,IF(ISNUMBER(SEARCH("month",C117)),IFERROR(_xlfn.NUMBERVALUE(SUBSTITUTE(LEFT(TRIM(C117),FIND(" ",TRIM(C117)&amp;" ")-1),",","."),"."),LEFT(SUBSTITUTE(LEFT(TRIM(C117),FIND(" ",TRIM(C117)&amp;" ")-1),",","."),FIND("/",SUBSTITUTE(LEFT(TRIM(C117),FIND(" ",TRIM(C117)&amp;" ")-1),",","."))-1)/MID(SUBSTITUTE(LEFT(TRIM(C117),FIND(" ",TRIM(C117)&amp;" ")-1),",","."),FIND("/",SUBSTITUTE(LEFT(TRIM(C117),FIND(" ",TRIM(C117)&amp;" ")-1),",","."))+1,9)),IF(ISNUMBER(SEARCH("yea",C117)),IFERROR(_xlfn.NUMBERVALUE(SUBSTITUTE(LEFT(TRIM(C117),FIND(" ",TRIM(C117)&amp;" ")-1),",","."),"."),LEFT(SUBSTITUTE(LEFT(TRIM(C117),FIND(" ",TRIM(C117)&amp;" ")-1),",","."),FIND("/",SUBSTITUTE(LEFT(TRIM(C117),FIND(" ",TRIM(C117)&amp;" ")-1),",","."))-1)/MID(SUBSTITUTE(LEFT(TRIM(C117),FIND(" ",TRIM(C117)&amp;" ")-1),",","."),FIND("/",SUBSTITUTE(LEFT(TRIM(C117),FIND(" ",TRIM(C117)&amp;" ")-1),",","."))+1,9))*12,NA()))),0),36)*'Aturan &amp; Tarif'!$B$4,2)</f>
        <v>2044.08</v>
      </c>
      <c r="K117" s="32" t="n">
        <f aca="false">'Aturan &amp; Tarif'!$B$5</f>
        <v>2050</v>
      </c>
      <c r="L117" s="35" t="n">
        <f aca="false">I117+J117+K117</f>
        <v>30494.08</v>
      </c>
      <c r="M117" s="37" t="s">
        <v>1280</v>
      </c>
    </row>
    <row r="118" customFormat="false" ht="25.5" hidden="false" customHeight="true" outlineLevel="0" collapsed="false">
      <c r="A118" s="29"/>
      <c r="B118" s="30" t="s">
        <v>1283</v>
      </c>
      <c r="C118" s="31" t="s">
        <v>127</v>
      </c>
      <c r="D118" s="31" t="s">
        <v>108</v>
      </c>
      <c r="E118" s="32" t="n">
        <v>13125</v>
      </c>
      <c r="F118" s="32"/>
      <c r="G118" s="32" t="n">
        <v>150</v>
      </c>
      <c r="H118" s="33" t="n">
        <v>2</v>
      </c>
      <c r="I118" s="34" t="n">
        <f aca="false">E118*H118+N(F118)+N(G118)</f>
        <v>26400</v>
      </c>
      <c r="J118" s="32" t="n">
        <f aca="false">ROUND(IFERROR(ROUND(IF(OR(ISNUMBER(SEARCH("week",C118)),ISNUMBER(SEARCH("minggu",C118))),IFERROR(_xlfn.NUMBERVALUE(SUBSTITUTE(LEFT(TRIM(C118),FIND(" ",TRIM(C118)&amp;" ")-1),",","."),"."),LEFT(SUBSTITUTE(LEFT(TRIM(C118),FIND(" ",TRIM(C118)&amp;" ")-1),",","."),FIND("/",SUBSTITUTE(LEFT(TRIM(C118),FIND(" ",TRIM(C118)&amp;" ")-1),",","."))-1)/MID(SUBSTITUTE(LEFT(TRIM(C118),FIND(" ",TRIM(C118)&amp;" ")-1),",","."),FIND("/",SUBSTITUTE(LEFT(TRIM(C118),FIND(" ",TRIM(C118)&amp;" ")-1),",","."))+1,9))*12/52,IF(ISNUMBER(SEARCH("month",C118)),IFERROR(_xlfn.NUMBERVALUE(SUBSTITUTE(LEFT(TRIM(C118),FIND(" ",TRIM(C118)&amp;" ")-1),",","."),"."),LEFT(SUBSTITUTE(LEFT(TRIM(C118),FIND(" ",TRIM(C118)&amp;" ")-1),",","."),FIND("/",SUBSTITUTE(LEFT(TRIM(C118),FIND(" ",TRIM(C118)&amp;" ")-1),",","."))-1)/MID(SUBSTITUTE(LEFT(TRIM(C118),FIND(" ",TRIM(C118)&amp;" ")-1),",","."),FIND("/",SUBSTITUTE(LEFT(TRIM(C118),FIND(" ",TRIM(C118)&amp;" ")-1),",","."))+1,9)),IF(ISNUMBER(SEARCH("yea",C118)),IFERROR(_xlfn.NUMBERVALUE(SUBSTITUTE(LEFT(TRIM(C118),FIND(" ",TRIM(C118)&amp;" ")-1),",","."),"."),LEFT(SUBSTITUTE(LEFT(TRIM(C118),FIND(" ",TRIM(C118)&amp;" ")-1),",","."),FIND("/",SUBSTITUTE(LEFT(TRIM(C118),FIND(" ",TRIM(C118)&amp;" ")-1),",","."))-1)/MID(SUBSTITUTE(LEFT(TRIM(C118),FIND(" ",TRIM(C118)&amp;" ")-1),",","."),FIND("/",SUBSTITUTE(LEFT(TRIM(C118),FIND(" ",TRIM(C118)&amp;" ")-1),",","."))+1,9))*12,NA()))),0),36)*'Aturan &amp; Tarif'!$B$4,2)</f>
        <v>2044.08</v>
      </c>
      <c r="K118" s="32" t="n">
        <f aca="false">'Aturan &amp; Tarif'!$B$5</f>
        <v>2050</v>
      </c>
      <c r="L118" s="35" t="n">
        <f aca="false">I118+J118+K118</f>
        <v>30494.08</v>
      </c>
      <c r="M118" s="37" t="s">
        <v>1280</v>
      </c>
    </row>
    <row r="119" customFormat="false" ht="25.5" hidden="false" customHeight="true" outlineLevel="0" collapsed="false">
      <c r="A119" s="29"/>
      <c r="B119" s="30" t="s">
        <v>1284</v>
      </c>
      <c r="C119" s="31" t="s">
        <v>127</v>
      </c>
      <c r="D119" s="31" t="s">
        <v>108</v>
      </c>
      <c r="E119" s="32" t="n">
        <v>13125</v>
      </c>
      <c r="F119" s="32"/>
      <c r="G119" s="32" t="n">
        <v>150</v>
      </c>
      <c r="H119" s="33" t="n">
        <v>2</v>
      </c>
      <c r="I119" s="34" t="n">
        <f aca="false">E119*H119+N(F119)+N(G119)</f>
        <v>26400</v>
      </c>
      <c r="J119" s="32" t="n">
        <f aca="false">ROUND(IFERROR(ROUND(IF(OR(ISNUMBER(SEARCH("week",C119)),ISNUMBER(SEARCH("minggu",C119))),IFERROR(_xlfn.NUMBERVALUE(SUBSTITUTE(LEFT(TRIM(C119),FIND(" ",TRIM(C119)&amp;" ")-1),",","."),"."),LEFT(SUBSTITUTE(LEFT(TRIM(C119),FIND(" ",TRIM(C119)&amp;" ")-1),",","."),FIND("/",SUBSTITUTE(LEFT(TRIM(C119),FIND(" ",TRIM(C119)&amp;" ")-1),",","."))-1)/MID(SUBSTITUTE(LEFT(TRIM(C119),FIND(" ",TRIM(C119)&amp;" ")-1),",","."),FIND("/",SUBSTITUTE(LEFT(TRIM(C119),FIND(" ",TRIM(C119)&amp;" ")-1),",","."))+1,9))*12/52,IF(ISNUMBER(SEARCH("month",C119)),IFERROR(_xlfn.NUMBERVALUE(SUBSTITUTE(LEFT(TRIM(C119),FIND(" ",TRIM(C119)&amp;" ")-1),",","."),"."),LEFT(SUBSTITUTE(LEFT(TRIM(C119),FIND(" ",TRIM(C119)&amp;" ")-1),",","."),FIND("/",SUBSTITUTE(LEFT(TRIM(C119),FIND(" ",TRIM(C119)&amp;" ")-1),",","."))-1)/MID(SUBSTITUTE(LEFT(TRIM(C119),FIND(" ",TRIM(C119)&amp;" ")-1),",","."),FIND("/",SUBSTITUTE(LEFT(TRIM(C119),FIND(" ",TRIM(C119)&amp;" ")-1),",","."))+1,9)),IF(ISNUMBER(SEARCH("yea",C119)),IFERROR(_xlfn.NUMBERVALUE(SUBSTITUTE(LEFT(TRIM(C119),FIND(" ",TRIM(C119)&amp;" ")-1),",","."),"."),LEFT(SUBSTITUTE(LEFT(TRIM(C119),FIND(" ",TRIM(C119)&amp;" ")-1),",","."),FIND("/",SUBSTITUTE(LEFT(TRIM(C119),FIND(" ",TRIM(C119)&amp;" ")-1),",","."))-1)/MID(SUBSTITUTE(LEFT(TRIM(C119),FIND(" ",TRIM(C119)&amp;" ")-1),",","."),FIND("/",SUBSTITUTE(LEFT(TRIM(C119),FIND(" ",TRIM(C119)&amp;" ")-1),",","."))+1,9))*12,NA()))),0),36)*'Aturan &amp; Tarif'!$B$4,2)</f>
        <v>2044.08</v>
      </c>
      <c r="K119" s="32" t="n">
        <f aca="false">'Aturan &amp; Tarif'!$B$5</f>
        <v>2050</v>
      </c>
      <c r="L119" s="35" t="n">
        <f aca="false">I119+J119+K119</f>
        <v>30494.08</v>
      </c>
      <c r="M119" s="37" t="s">
        <v>1280</v>
      </c>
    </row>
    <row r="120" customFormat="false" ht="25.5" hidden="false" customHeight="true" outlineLevel="0" collapsed="false">
      <c r="A120" s="29"/>
      <c r="B120" s="30" t="s">
        <v>1285</v>
      </c>
      <c r="C120" s="31" t="s">
        <v>191</v>
      </c>
      <c r="D120" s="31" t="s">
        <v>108</v>
      </c>
      <c r="E120" s="32" t="n">
        <v>14275</v>
      </c>
      <c r="F120" s="32"/>
      <c r="G120" s="32" t="n">
        <v>150</v>
      </c>
      <c r="H120" s="33" t="n">
        <v>2</v>
      </c>
      <c r="I120" s="34" t="n">
        <f aca="false">E120*H120+N(F120)+N(G120)</f>
        <v>28700</v>
      </c>
      <c r="J120" s="32" t="n">
        <f aca="false">ROUND(IFERROR(ROUND(IF(OR(ISNUMBER(SEARCH("week",C120)),ISNUMBER(SEARCH("minggu",C120))),IFERROR(_xlfn.NUMBERVALUE(SUBSTITUTE(LEFT(TRIM(C120),FIND(" ",TRIM(C120)&amp;" ")-1),",","."),"."),LEFT(SUBSTITUTE(LEFT(TRIM(C120),FIND(" ",TRIM(C120)&amp;" ")-1),",","."),FIND("/",SUBSTITUTE(LEFT(TRIM(C120),FIND(" ",TRIM(C120)&amp;" ")-1),",","."))-1)/MID(SUBSTITUTE(LEFT(TRIM(C120),FIND(" ",TRIM(C120)&amp;" ")-1),",","."),FIND("/",SUBSTITUTE(LEFT(TRIM(C120),FIND(" ",TRIM(C120)&amp;" ")-1),",","."))+1,9))*12/52,IF(ISNUMBER(SEARCH("month",C120)),IFERROR(_xlfn.NUMBERVALUE(SUBSTITUTE(LEFT(TRIM(C120),FIND(" ",TRIM(C120)&amp;" ")-1),",","."),"."),LEFT(SUBSTITUTE(LEFT(TRIM(C120),FIND(" ",TRIM(C120)&amp;" ")-1),",","."),FIND("/",SUBSTITUTE(LEFT(TRIM(C120),FIND(" ",TRIM(C120)&amp;" ")-1),",","."))-1)/MID(SUBSTITUTE(LEFT(TRIM(C120),FIND(" ",TRIM(C120)&amp;" ")-1),",","."),FIND("/",SUBSTITUTE(LEFT(TRIM(C120),FIND(" ",TRIM(C120)&amp;" ")-1),",","."))+1,9)),IF(ISNUMBER(SEARCH("yea",C120)),IFERROR(_xlfn.NUMBERVALUE(SUBSTITUTE(LEFT(TRIM(C120),FIND(" ",TRIM(C120)&amp;" ")-1),",","."),"."),LEFT(SUBSTITUTE(LEFT(TRIM(C120),FIND(" ",TRIM(C120)&amp;" ")-1),",","."),FIND("/",SUBSTITUTE(LEFT(TRIM(C120),FIND(" ",TRIM(C120)&amp;" ")-1),",","."))-1)/MID(SUBSTITUTE(LEFT(TRIM(C120),FIND(" ",TRIM(C120)&amp;" ")-1),",","."),FIND("/",SUBSTITUTE(LEFT(TRIM(C120),FIND(" ",TRIM(C120)&amp;" ")-1),",","."))+1,9))*12,NA()))),0),48)*'Aturan &amp; Tarif'!$B$4,2)</f>
        <v>2725.44</v>
      </c>
      <c r="K120" s="32" t="n">
        <f aca="false">'Aturan &amp; Tarif'!$B$5</f>
        <v>2050</v>
      </c>
      <c r="L120" s="35" t="n">
        <f aca="false">I120+J120+K120</f>
        <v>33475.44</v>
      </c>
      <c r="M120" s="37" t="s">
        <v>846</v>
      </c>
    </row>
    <row r="121" customFormat="false" ht="14.25" hidden="false" customHeight="true" outlineLevel="0" collapsed="false">
      <c r="A121" s="29"/>
      <c r="B121" s="30" t="s">
        <v>355</v>
      </c>
      <c r="C121" s="31" t="s">
        <v>127</v>
      </c>
      <c r="D121" s="31" t="s">
        <v>108</v>
      </c>
      <c r="E121" s="32" t="n">
        <v>10850</v>
      </c>
      <c r="F121" s="32"/>
      <c r="G121" s="32" t="n">
        <v>150</v>
      </c>
      <c r="H121" s="33" t="n">
        <v>2</v>
      </c>
      <c r="I121" s="34" t="n">
        <f aca="false">E121*H121+N(F121)+N(G121)</f>
        <v>21850</v>
      </c>
      <c r="J121" s="32" t="n">
        <f aca="false">ROUND(IFERROR(ROUND(IF(OR(ISNUMBER(SEARCH("week",C121)),ISNUMBER(SEARCH("minggu",C121))),IFERROR(_xlfn.NUMBERVALUE(SUBSTITUTE(LEFT(TRIM(C121),FIND(" ",TRIM(C121)&amp;" ")-1),",","."),"."),LEFT(SUBSTITUTE(LEFT(TRIM(C121),FIND(" ",TRIM(C121)&amp;" ")-1),",","."),FIND("/",SUBSTITUTE(LEFT(TRIM(C121),FIND(" ",TRIM(C121)&amp;" ")-1),",","."))-1)/MID(SUBSTITUTE(LEFT(TRIM(C121),FIND(" ",TRIM(C121)&amp;" ")-1),",","."),FIND("/",SUBSTITUTE(LEFT(TRIM(C121),FIND(" ",TRIM(C121)&amp;" ")-1),",","."))+1,9))*12/52,IF(ISNUMBER(SEARCH("month",C121)),IFERROR(_xlfn.NUMBERVALUE(SUBSTITUTE(LEFT(TRIM(C121),FIND(" ",TRIM(C121)&amp;" ")-1),",","."),"."),LEFT(SUBSTITUTE(LEFT(TRIM(C121),FIND(" ",TRIM(C121)&amp;" ")-1),",","."),FIND("/",SUBSTITUTE(LEFT(TRIM(C121),FIND(" ",TRIM(C121)&amp;" ")-1),",","."))-1)/MID(SUBSTITUTE(LEFT(TRIM(C121),FIND(" ",TRIM(C121)&amp;" ")-1),",","."),FIND("/",SUBSTITUTE(LEFT(TRIM(C121),FIND(" ",TRIM(C121)&amp;" ")-1),",","."))+1,9)),IF(ISNUMBER(SEARCH("yea",C121)),IFERROR(_xlfn.NUMBERVALUE(SUBSTITUTE(LEFT(TRIM(C121),FIND(" ",TRIM(C121)&amp;" ")-1),",","."),"."),LEFT(SUBSTITUTE(LEFT(TRIM(C121),FIND(" ",TRIM(C121)&amp;" ")-1),",","."),FIND("/",SUBSTITUTE(LEFT(TRIM(C121),FIND(" ",TRIM(C121)&amp;" ")-1),",","."))-1)/MID(SUBSTITUTE(LEFT(TRIM(C121),FIND(" ",TRIM(C121)&amp;" ")-1),",","."),FIND("/",SUBSTITUTE(LEFT(TRIM(C121),FIND(" ",TRIM(C121)&amp;" ")-1),",","."))+1,9))*12,NA()))),0),36)*'Aturan &amp; Tarif'!$B$4,2)</f>
        <v>2044.08</v>
      </c>
      <c r="K121" s="32" t="n">
        <f aca="false">'Aturan &amp; Tarif'!$B$5</f>
        <v>2050</v>
      </c>
      <c r="L121" s="35" t="n">
        <f aca="false">I121+J121+K121</f>
        <v>25944.08</v>
      </c>
      <c r="M121" s="37" t="s">
        <v>1286</v>
      </c>
    </row>
    <row r="122" customFormat="false" ht="25.5" hidden="false" customHeight="true" outlineLevel="0" collapsed="false">
      <c r="A122" s="29"/>
      <c r="B122" s="30" t="s">
        <v>1287</v>
      </c>
      <c r="C122" s="31" t="s">
        <v>127</v>
      </c>
      <c r="D122" s="31" t="s">
        <v>108</v>
      </c>
      <c r="E122" s="32" t="n">
        <v>10850</v>
      </c>
      <c r="F122" s="32"/>
      <c r="G122" s="32" t="n">
        <v>150</v>
      </c>
      <c r="H122" s="33" t="n">
        <v>2</v>
      </c>
      <c r="I122" s="34" t="n">
        <f aca="false">E122*H122+N(F122)+N(G122)</f>
        <v>21850</v>
      </c>
      <c r="J122" s="32" t="n">
        <f aca="false">ROUND(IFERROR(ROUND(IF(OR(ISNUMBER(SEARCH("week",C122)),ISNUMBER(SEARCH("minggu",C122))),IFERROR(_xlfn.NUMBERVALUE(SUBSTITUTE(LEFT(TRIM(C122),FIND(" ",TRIM(C122)&amp;" ")-1),",","."),"."),LEFT(SUBSTITUTE(LEFT(TRIM(C122),FIND(" ",TRIM(C122)&amp;" ")-1),",","."),FIND("/",SUBSTITUTE(LEFT(TRIM(C122),FIND(" ",TRIM(C122)&amp;" ")-1),",","."))-1)/MID(SUBSTITUTE(LEFT(TRIM(C122),FIND(" ",TRIM(C122)&amp;" ")-1),",","."),FIND("/",SUBSTITUTE(LEFT(TRIM(C122),FIND(" ",TRIM(C122)&amp;" ")-1),",","."))+1,9))*12/52,IF(ISNUMBER(SEARCH("month",C122)),IFERROR(_xlfn.NUMBERVALUE(SUBSTITUTE(LEFT(TRIM(C122),FIND(" ",TRIM(C122)&amp;" ")-1),",","."),"."),LEFT(SUBSTITUTE(LEFT(TRIM(C122),FIND(" ",TRIM(C122)&amp;" ")-1),",","."),FIND("/",SUBSTITUTE(LEFT(TRIM(C122),FIND(" ",TRIM(C122)&amp;" ")-1),",","."))-1)/MID(SUBSTITUTE(LEFT(TRIM(C122),FIND(" ",TRIM(C122)&amp;" ")-1),",","."),FIND("/",SUBSTITUTE(LEFT(TRIM(C122),FIND(" ",TRIM(C122)&amp;" ")-1),",","."))+1,9)),IF(ISNUMBER(SEARCH("yea",C122)),IFERROR(_xlfn.NUMBERVALUE(SUBSTITUTE(LEFT(TRIM(C122),FIND(" ",TRIM(C122)&amp;" ")-1),",","."),"."),LEFT(SUBSTITUTE(LEFT(TRIM(C122),FIND(" ",TRIM(C122)&amp;" ")-1),",","."),FIND("/",SUBSTITUTE(LEFT(TRIM(C122),FIND(" ",TRIM(C122)&amp;" ")-1),",","."))-1)/MID(SUBSTITUTE(LEFT(TRIM(C122),FIND(" ",TRIM(C122)&amp;" ")-1),",","."),FIND("/",SUBSTITUTE(LEFT(TRIM(C122),FIND(" ",TRIM(C122)&amp;" ")-1),",","."))+1,9))*12,NA()))),0),36)*'Aturan &amp; Tarif'!$B$4,2)</f>
        <v>2044.08</v>
      </c>
      <c r="K122" s="32" t="n">
        <f aca="false">'Aturan &amp; Tarif'!$B$5</f>
        <v>2050</v>
      </c>
      <c r="L122" s="35" t="n">
        <f aca="false">I122+J122+K122</f>
        <v>25944.08</v>
      </c>
      <c r="M122" s="37" t="s">
        <v>1286</v>
      </c>
    </row>
    <row r="123" customFormat="false" ht="25.5" hidden="false" customHeight="true" outlineLevel="0" collapsed="false">
      <c r="A123" s="29"/>
      <c r="B123" s="30" t="s">
        <v>1288</v>
      </c>
      <c r="C123" s="31" t="s">
        <v>127</v>
      </c>
      <c r="D123" s="31" t="s">
        <v>108</v>
      </c>
      <c r="E123" s="32" t="n">
        <v>10850</v>
      </c>
      <c r="F123" s="32"/>
      <c r="G123" s="32" t="n">
        <v>150</v>
      </c>
      <c r="H123" s="33" t="n">
        <v>2</v>
      </c>
      <c r="I123" s="34" t="n">
        <f aca="false">E123*H123+N(F123)+N(G123)</f>
        <v>21850</v>
      </c>
      <c r="J123" s="32" t="n">
        <f aca="false">ROUND(IFERROR(ROUND(IF(OR(ISNUMBER(SEARCH("week",C123)),ISNUMBER(SEARCH("minggu",C123))),IFERROR(_xlfn.NUMBERVALUE(SUBSTITUTE(LEFT(TRIM(C123),FIND(" ",TRIM(C123)&amp;" ")-1),",","."),"."),LEFT(SUBSTITUTE(LEFT(TRIM(C123),FIND(" ",TRIM(C123)&amp;" ")-1),",","."),FIND("/",SUBSTITUTE(LEFT(TRIM(C123),FIND(" ",TRIM(C123)&amp;" ")-1),",","."))-1)/MID(SUBSTITUTE(LEFT(TRIM(C123),FIND(" ",TRIM(C123)&amp;" ")-1),",","."),FIND("/",SUBSTITUTE(LEFT(TRIM(C123),FIND(" ",TRIM(C123)&amp;" ")-1),",","."))+1,9))*12/52,IF(ISNUMBER(SEARCH("month",C123)),IFERROR(_xlfn.NUMBERVALUE(SUBSTITUTE(LEFT(TRIM(C123),FIND(" ",TRIM(C123)&amp;" ")-1),",","."),"."),LEFT(SUBSTITUTE(LEFT(TRIM(C123),FIND(" ",TRIM(C123)&amp;" ")-1),",","."),FIND("/",SUBSTITUTE(LEFT(TRIM(C123),FIND(" ",TRIM(C123)&amp;" ")-1),",","."))-1)/MID(SUBSTITUTE(LEFT(TRIM(C123),FIND(" ",TRIM(C123)&amp;" ")-1),",","."),FIND("/",SUBSTITUTE(LEFT(TRIM(C123),FIND(" ",TRIM(C123)&amp;" ")-1),",","."))+1,9)),IF(ISNUMBER(SEARCH("yea",C123)),IFERROR(_xlfn.NUMBERVALUE(SUBSTITUTE(LEFT(TRIM(C123),FIND(" ",TRIM(C123)&amp;" ")-1),",","."),"."),LEFT(SUBSTITUTE(LEFT(TRIM(C123),FIND(" ",TRIM(C123)&amp;" ")-1),",","."),FIND("/",SUBSTITUTE(LEFT(TRIM(C123),FIND(" ",TRIM(C123)&amp;" ")-1),",","."))-1)/MID(SUBSTITUTE(LEFT(TRIM(C123),FIND(" ",TRIM(C123)&amp;" ")-1),",","."),FIND("/",SUBSTITUTE(LEFT(TRIM(C123),FIND(" ",TRIM(C123)&amp;" ")-1),",","."))+1,9))*12,NA()))),0),36)*'Aturan &amp; Tarif'!$B$4,2)</f>
        <v>2044.08</v>
      </c>
      <c r="K123" s="32" t="n">
        <f aca="false">'Aturan &amp; Tarif'!$B$5</f>
        <v>2050</v>
      </c>
      <c r="L123" s="35" t="n">
        <f aca="false">I123+J123+K123</f>
        <v>25944.08</v>
      </c>
      <c r="M123" s="37" t="s">
        <v>1286</v>
      </c>
    </row>
    <row r="124" customFormat="false" ht="25.5" hidden="false" customHeight="true" outlineLevel="0" collapsed="false">
      <c r="A124" s="29"/>
      <c r="B124" s="30" t="s">
        <v>1289</v>
      </c>
      <c r="C124" s="31" t="s">
        <v>127</v>
      </c>
      <c r="D124" s="31" t="s">
        <v>108</v>
      </c>
      <c r="E124" s="32" t="n">
        <v>10850</v>
      </c>
      <c r="F124" s="32"/>
      <c r="G124" s="32" t="n">
        <v>150</v>
      </c>
      <c r="H124" s="33" t="n">
        <v>2</v>
      </c>
      <c r="I124" s="34" t="n">
        <f aca="false">E124*H124+N(F124)+N(G124)</f>
        <v>21850</v>
      </c>
      <c r="J124" s="32" t="n">
        <f aca="false">ROUND(IFERROR(ROUND(IF(OR(ISNUMBER(SEARCH("week",C124)),ISNUMBER(SEARCH("minggu",C124))),IFERROR(_xlfn.NUMBERVALUE(SUBSTITUTE(LEFT(TRIM(C124),FIND(" ",TRIM(C124)&amp;" ")-1),",","."),"."),LEFT(SUBSTITUTE(LEFT(TRIM(C124),FIND(" ",TRIM(C124)&amp;" ")-1),",","."),FIND("/",SUBSTITUTE(LEFT(TRIM(C124),FIND(" ",TRIM(C124)&amp;" ")-1),",","."))-1)/MID(SUBSTITUTE(LEFT(TRIM(C124),FIND(" ",TRIM(C124)&amp;" ")-1),",","."),FIND("/",SUBSTITUTE(LEFT(TRIM(C124),FIND(" ",TRIM(C124)&amp;" ")-1),",","."))+1,9))*12/52,IF(ISNUMBER(SEARCH("month",C124)),IFERROR(_xlfn.NUMBERVALUE(SUBSTITUTE(LEFT(TRIM(C124),FIND(" ",TRIM(C124)&amp;" ")-1),",","."),"."),LEFT(SUBSTITUTE(LEFT(TRIM(C124),FIND(" ",TRIM(C124)&amp;" ")-1),",","."),FIND("/",SUBSTITUTE(LEFT(TRIM(C124),FIND(" ",TRIM(C124)&amp;" ")-1),",","."))-1)/MID(SUBSTITUTE(LEFT(TRIM(C124),FIND(" ",TRIM(C124)&amp;" ")-1),",","."),FIND("/",SUBSTITUTE(LEFT(TRIM(C124),FIND(" ",TRIM(C124)&amp;" ")-1),",","."))+1,9)),IF(ISNUMBER(SEARCH("yea",C124)),IFERROR(_xlfn.NUMBERVALUE(SUBSTITUTE(LEFT(TRIM(C124),FIND(" ",TRIM(C124)&amp;" ")-1),",","."),"."),LEFT(SUBSTITUTE(LEFT(TRIM(C124),FIND(" ",TRIM(C124)&amp;" ")-1),",","."),FIND("/",SUBSTITUTE(LEFT(TRIM(C124),FIND(" ",TRIM(C124)&amp;" ")-1),",","."))-1)/MID(SUBSTITUTE(LEFT(TRIM(C124),FIND(" ",TRIM(C124)&amp;" ")-1),",","."),FIND("/",SUBSTITUTE(LEFT(TRIM(C124),FIND(" ",TRIM(C124)&amp;" ")-1),",","."))+1,9))*12,NA()))),0),36)*'Aturan &amp; Tarif'!$B$4,2)</f>
        <v>2044.08</v>
      </c>
      <c r="K124" s="32" t="n">
        <f aca="false">'Aturan &amp; Tarif'!$B$5</f>
        <v>2050</v>
      </c>
      <c r="L124" s="35" t="n">
        <f aca="false">I124+J124+K124</f>
        <v>25944.08</v>
      </c>
      <c r="M124" s="37" t="s">
        <v>1286</v>
      </c>
    </row>
    <row r="125" customFormat="false" ht="25.5" hidden="false" customHeight="true" outlineLevel="0" collapsed="false">
      <c r="A125" s="29"/>
      <c r="B125" s="30" t="s">
        <v>1290</v>
      </c>
      <c r="C125" s="31" t="s">
        <v>127</v>
      </c>
      <c r="D125" s="31" t="s">
        <v>108</v>
      </c>
      <c r="E125" s="32" t="n">
        <v>10850</v>
      </c>
      <c r="F125" s="32"/>
      <c r="G125" s="32" t="n">
        <v>150</v>
      </c>
      <c r="H125" s="33" t="n">
        <v>2</v>
      </c>
      <c r="I125" s="34" t="n">
        <f aca="false">E125*H125+N(F125)+N(G125)</f>
        <v>21850</v>
      </c>
      <c r="J125" s="32" t="n">
        <f aca="false">ROUND(IFERROR(ROUND(IF(OR(ISNUMBER(SEARCH("week",C125)),ISNUMBER(SEARCH("minggu",C125))),IFERROR(_xlfn.NUMBERVALUE(SUBSTITUTE(LEFT(TRIM(C125),FIND(" ",TRIM(C125)&amp;" ")-1),",","."),"."),LEFT(SUBSTITUTE(LEFT(TRIM(C125),FIND(" ",TRIM(C125)&amp;" ")-1),",","."),FIND("/",SUBSTITUTE(LEFT(TRIM(C125),FIND(" ",TRIM(C125)&amp;" ")-1),",","."))-1)/MID(SUBSTITUTE(LEFT(TRIM(C125),FIND(" ",TRIM(C125)&amp;" ")-1),",","."),FIND("/",SUBSTITUTE(LEFT(TRIM(C125),FIND(" ",TRIM(C125)&amp;" ")-1),",","."))+1,9))*12/52,IF(ISNUMBER(SEARCH("month",C125)),IFERROR(_xlfn.NUMBERVALUE(SUBSTITUTE(LEFT(TRIM(C125),FIND(" ",TRIM(C125)&amp;" ")-1),",","."),"."),LEFT(SUBSTITUTE(LEFT(TRIM(C125),FIND(" ",TRIM(C125)&amp;" ")-1),",","."),FIND("/",SUBSTITUTE(LEFT(TRIM(C125),FIND(" ",TRIM(C125)&amp;" ")-1),",","."))-1)/MID(SUBSTITUTE(LEFT(TRIM(C125),FIND(" ",TRIM(C125)&amp;" ")-1),",","."),FIND("/",SUBSTITUTE(LEFT(TRIM(C125),FIND(" ",TRIM(C125)&amp;" ")-1),",","."))+1,9)),IF(ISNUMBER(SEARCH("yea",C125)),IFERROR(_xlfn.NUMBERVALUE(SUBSTITUTE(LEFT(TRIM(C125),FIND(" ",TRIM(C125)&amp;" ")-1),",","."),"."),LEFT(SUBSTITUTE(LEFT(TRIM(C125),FIND(" ",TRIM(C125)&amp;" ")-1),",","."),FIND("/",SUBSTITUTE(LEFT(TRIM(C125),FIND(" ",TRIM(C125)&amp;" ")-1),",","."))-1)/MID(SUBSTITUTE(LEFT(TRIM(C125),FIND(" ",TRIM(C125)&amp;" ")-1),",","."),FIND("/",SUBSTITUTE(LEFT(TRIM(C125),FIND(" ",TRIM(C125)&amp;" ")-1),",","."))+1,9))*12,NA()))),0),36)*'Aturan &amp; Tarif'!$B$4,2)</f>
        <v>2044.08</v>
      </c>
      <c r="K125" s="32" t="n">
        <f aca="false">'Aturan &amp; Tarif'!$B$5</f>
        <v>2050</v>
      </c>
      <c r="L125" s="35" t="n">
        <f aca="false">I125+J125+K125</f>
        <v>25944.08</v>
      </c>
      <c r="M125" s="37" t="s">
        <v>1286</v>
      </c>
    </row>
    <row r="126" customFormat="false" ht="25.5" hidden="false" customHeight="true" outlineLevel="0" collapsed="false">
      <c r="A126" s="29"/>
      <c r="B126" s="30" t="s">
        <v>1291</v>
      </c>
      <c r="C126" s="31" t="s">
        <v>127</v>
      </c>
      <c r="D126" s="31" t="s">
        <v>108</v>
      </c>
      <c r="E126" s="32" t="n">
        <v>10850</v>
      </c>
      <c r="F126" s="32"/>
      <c r="G126" s="32" t="n">
        <v>150</v>
      </c>
      <c r="H126" s="33" t="n">
        <v>2</v>
      </c>
      <c r="I126" s="34" t="n">
        <f aca="false">E126*H126+N(F126)+N(G126)</f>
        <v>21850</v>
      </c>
      <c r="J126" s="32" t="n">
        <f aca="false">ROUND(IFERROR(ROUND(IF(OR(ISNUMBER(SEARCH("week",C126)),ISNUMBER(SEARCH("minggu",C126))),IFERROR(_xlfn.NUMBERVALUE(SUBSTITUTE(LEFT(TRIM(C126),FIND(" ",TRIM(C126)&amp;" ")-1),",","."),"."),LEFT(SUBSTITUTE(LEFT(TRIM(C126),FIND(" ",TRIM(C126)&amp;" ")-1),",","."),FIND("/",SUBSTITUTE(LEFT(TRIM(C126),FIND(" ",TRIM(C126)&amp;" ")-1),",","."))-1)/MID(SUBSTITUTE(LEFT(TRIM(C126),FIND(" ",TRIM(C126)&amp;" ")-1),",","."),FIND("/",SUBSTITUTE(LEFT(TRIM(C126),FIND(" ",TRIM(C126)&amp;" ")-1),",","."))+1,9))*12/52,IF(ISNUMBER(SEARCH("month",C126)),IFERROR(_xlfn.NUMBERVALUE(SUBSTITUTE(LEFT(TRIM(C126),FIND(" ",TRIM(C126)&amp;" ")-1),",","."),"."),LEFT(SUBSTITUTE(LEFT(TRIM(C126),FIND(" ",TRIM(C126)&amp;" ")-1),",","."),FIND("/",SUBSTITUTE(LEFT(TRIM(C126),FIND(" ",TRIM(C126)&amp;" ")-1),",","."))-1)/MID(SUBSTITUTE(LEFT(TRIM(C126),FIND(" ",TRIM(C126)&amp;" ")-1),",","."),FIND("/",SUBSTITUTE(LEFT(TRIM(C126),FIND(" ",TRIM(C126)&amp;" ")-1),",","."))+1,9)),IF(ISNUMBER(SEARCH("yea",C126)),IFERROR(_xlfn.NUMBERVALUE(SUBSTITUTE(LEFT(TRIM(C126),FIND(" ",TRIM(C126)&amp;" ")-1),",","."),"."),LEFT(SUBSTITUTE(LEFT(TRIM(C126),FIND(" ",TRIM(C126)&amp;" ")-1),",","."),FIND("/",SUBSTITUTE(LEFT(TRIM(C126),FIND(" ",TRIM(C126)&amp;" ")-1),",","."))-1)/MID(SUBSTITUTE(LEFT(TRIM(C126),FIND(" ",TRIM(C126)&amp;" ")-1),",","."),FIND("/",SUBSTITUTE(LEFT(TRIM(C126),FIND(" ",TRIM(C126)&amp;" ")-1),",","."))+1,9))*12,NA()))),0),36)*'Aturan &amp; Tarif'!$B$4,2)</f>
        <v>2044.08</v>
      </c>
      <c r="K126" s="32" t="n">
        <f aca="false">'Aturan &amp; Tarif'!$B$5</f>
        <v>2050</v>
      </c>
      <c r="L126" s="35" t="n">
        <f aca="false">I126+J126+K126</f>
        <v>25944.08</v>
      </c>
      <c r="M126" s="37" t="s">
        <v>1286</v>
      </c>
    </row>
    <row r="127" customFormat="false" ht="25.5" hidden="false" customHeight="true" outlineLevel="0" collapsed="false">
      <c r="A127" s="29"/>
      <c r="B127" s="30" t="s">
        <v>1292</v>
      </c>
      <c r="C127" s="31" t="s">
        <v>127</v>
      </c>
      <c r="D127" s="31" t="s">
        <v>108</v>
      </c>
      <c r="E127" s="32" t="n">
        <v>10850</v>
      </c>
      <c r="F127" s="32"/>
      <c r="G127" s="32" t="n">
        <v>150</v>
      </c>
      <c r="H127" s="33" t="n">
        <v>2</v>
      </c>
      <c r="I127" s="34" t="n">
        <f aca="false">E127*H127+N(F127)+N(G127)</f>
        <v>21850</v>
      </c>
      <c r="J127" s="32" t="n">
        <f aca="false">ROUND(IFERROR(ROUND(IF(OR(ISNUMBER(SEARCH("week",C127)),ISNUMBER(SEARCH("minggu",C127))),IFERROR(_xlfn.NUMBERVALUE(SUBSTITUTE(LEFT(TRIM(C127),FIND(" ",TRIM(C127)&amp;" ")-1),",","."),"."),LEFT(SUBSTITUTE(LEFT(TRIM(C127),FIND(" ",TRIM(C127)&amp;" ")-1),",","."),FIND("/",SUBSTITUTE(LEFT(TRIM(C127),FIND(" ",TRIM(C127)&amp;" ")-1),",","."))-1)/MID(SUBSTITUTE(LEFT(TRIM(C127),FIND(" ",TRIM(C127)&amp;" ")-1),",","."),FIND("/",SUBSTITUTE(LEFT(TRIM(C127),FIND(" ",TRIM(C127)&amp;" ")-1),",","."))+1,9))*12/52,IF(ISNUMBER(SEARCH("month",C127)),IFERROR(_xlfn.NUMBERVALUE(SUBSTITUTE(LEFT(TRIM(C127),FIND(" ",TRIM(C127)&amp;" ")-1),",","."),"."),LEFT(SUBSTITUTE(LEFT(TRIM(C127),FIND(" ",TRIM(C127)&amp;" ")-1),",","."),FIND("/",SUBSTITUTE(LEFT(TRIM(C127),FIND(" ",TRIM(C127)&amp;" ")-1),",","."))-1)/MID(SUBSTITUTE(LEFT(TRIM(C127),FIND(" ",TRIM(C127)&amp;" ")-1),",","."),FIND("/",SUBSTITUTE(LEFT(TRIM(C127),FIND(" ",TRIM(C127)&amp;" ")-1),",","."))+1,9)),IF(ISNUMBER(SEARCH("yea",C127)),IFERROR(_xlfn.NUMBERVALUE(SUBSTITUTE(LEFT(TRIM(C127),FIND(" ",TRIM(C127)&amp;" ")-1),",","."),"."),LEFT(SUBSTITUTE(LEFT(TRIM(C127),FIND(" ",TRIM(C127)&amp;" ")-1),",","."),FIND("/",SUBSTITUTE(LEFT(TRIM(C127),FIND(" ",TRIM(C127)&amp;" ")-1),",","."))-1)/MID(SUBSTITUTE(LEFT(TRIM(C127),FIND(" ",TRIM(C127)&amp;" ")-1),",","."),FIND("/",SUBSTITUTE(LEFT(TRIM(C127),FIND(" ",TRIM(C127)&amp;" ")-1),",","."))+1,9))*12,NA()))),0),36)*'Aturan &amp; Tarif'!$B$4,2)</f>
        <v>2044.08</v>
      </c>
      <c r="K127" s="32" t="n">
        <f aca="false">'Aturan &amp; Tarif'!$B$5</f>
        <v>2050</v>
      </c>
      <c r="L127" s="35" t="n">
        <f aca="false">I127+J127+K127</f>
        <v>25944.08</v>
      </c>
      <c r="M127" s="37" t="s">
        <v>1286</v>
      </c>
    </row>
    <row r="128" customFormat="false" ht="25.5" hidden="false" customHeight="true" outlineLevel="0" collapsed="false">
      <c r="A128" s="29"/>
      <c r="B128" s="30" t="s">
        <v>1293</v>
      </c>
      <c r="C128" s="31" t="s">
        <v>127</v>
      </c>
      <c r="D128" s="31" t="s">
        <v>108</v>
      </c>
      <c r="E128" s="32" t="n">
        <v>10850</v>
      </c>
      <c r="F128" s="32"/>
      <c r="G128" s="32" t="n">
        <v>150</v>
      </c>
      <c r="H128" s="33" t="n">
        <v>2</v>
      </c>
      <c r="I128" s="34" t="n">
        <f aca="false">E128*H128+N(F128)+N(G128)</f>
        <v>21850</v>
      </c>
      <c r="J128" s="32" t="n">
        <f aca="false">ROUND(IFERROR(ROUND(IF(OR(ISNUMBER(SEARCH("week",C128)),ISNUMBER(SEARCH("minggu",C128))),IFERROR(_xlfn.NUMBERVALUE(SUBSTITUTE(LEFT(TRIM(C128),FIND(" ",TRIM(C128)&amp;" ")-1),",","."),"."),LEFT(SUBSTITUTE(LEFT(TRIM(C128),FIND(" ",TRIM(C128)&amp;" ")-1),",","."),FIND("/",SUBSTITUTE(LEFT(TRIM(C128),FIND(" ",TRIM(C128)&amp;" ")-1),",","."))-1)/MID(SUBSTITUTE(LEFT(TRIM(C128),FIND(" ",TRIM(C128)&amp;" ")-1),",","."),FIND("/",SUBSTITUTE(LEFT(TRIM(C128),FIND(" ",TRIM(C128)&amp;" ")-1),",","."))+1,9))*12/52,IF(ISNUMBER(SEARCH("month",C128)),IFERROR(_xlfn.NUMBERVALUE(SUBSTITUTE(LEFT(TRIM(C128),FIND(" ",TRIM(C128)&amp;" ")-1),",","."),"."),LEFT(SUBSTITUTE(LEFT(TRIM(C128),FIND(" ",TRIM(C128)&amp;" ")-1),",","."),FIND("/",SUBSTITUTE(LEFT(TRIM(C128),FIND(" ",TRIM(C128)&amp;" ")-1),",","."))-1)/MID(SUBSTITUTE(LEFT(TRIM(C128),FIND(" ",TRIM(C128)&amp;" ")-1),",","."),FIND("/",SUBSTITUTE(LEFT(TRIM(C128),FIND(" ",TRIM(C128)&amp;" ")-1),",","."))+1,9)),IF(ISNUMBER(SEARCH("yea",C128)),IFERROR(_xlfn.NUMBERVALUE(SUBSTITUTE(LEFT(TRIM(C128),FIND(" ",TRIM(C128)&amp;" ")-1),",","."),"."),LEFT(SUBSTITUTE(LEFT(TRIM(C128),FIND(" ",TRIM(C128)&amp;" ")-1),",","."),FIND("/",SUBSTITUTE(LEFT(TRIM(C128),FIND(" ",TRIM(C128)&amp;" ")-1),",","."))-1)/MID(SUBSTITUTE(LEFT(TRIM(C128),FIND(" ",TRIM(C128)&amp;" ")-1),",","."),FIND("/",SUBSTITUTE(LEFT(TRIM(C128),FIND(" ",TRIM(C128)&amp;" ")-1),",","."))+1,9))*12,NA()))),0),36)*'Aturan &amp; Tarif'!$B$4,2)</f>
        <v>2044.08</v>
      </c>
      <c r="K128" s="32" t="n">
        <f aca="false">'Aturan &amp; Tarif'!$B$5</f>
        <v>2050</v>
      </c>
      <c r="L128" s="35" t="n">
        <f aca="false">I128+J128+K128</f>
        <v>25944.08</v>
      </c>
      <c r="M128" s="37" t="s">
        <v>1286</v>
      </c>
    </row>
    <row r="129" customFormat="false" ht="25.5" hidden="false" customHeight="true" outlineLevel="0" collapsed="false">
      <c r="A129" s="29"/>
      <c r="B129" s="30" t="s">
        <v>1294</v>
      </c>
      <c r="C129" s="31" t="s">
        <v>127</v>
      </c>
      <c r="D129" s="31" t="s">
        <v>108</v>
      </c>
      <c r="E129" s="32" t="n">
        <v>10850</v>
      </c>
      <c r="F129" s="32"/>
      <c r="G129" s="32" t="n">
        <v>150</v>
      </c>
      <c r="H129" s="33" t="n">
        <v>2</v>
      </c>
      <c r="I129" s="34" t="n">
        <f aca="false">E129*H129+N(F129)+N(G129)</f>
        <v>21850</v>
      </c>
      <c r="J129" s="32" t="n">
        <f aca="false">ROUND(IFERROR(ROUND(IF(OR(ISNUMBER(SEARCH("week",C129)),ISNUMBER(SEARCH("minggu",C129))),IFERROR(_xlfn.NUMBERVALUE(SUBSTITUTE(LEFT(TRIM(C129),FIND(" ",TRIM(C129)&amp;" ")-1),",","."),"."),LEFT(SUBSTITUTE(LEFT(TRIM(C129),FIND(" ",TRIM(C129)&amp;" ")-1),",","."),FIND("/",SUBSTITUTE(LEFT(TRIM(C129),FIND(" ",TRIM(C129)&amp;" ")-1),",","."))-1)/MID(SUBSTITUTE(LEFT(TRIM(C129),FIND(" ",TRIM(C129)&amp;" ")-1),",","."),FIND("/",SUBSTITUTE(LEFT(TRIM(C129),FIND(" ",TRIM(C129)&amp;" ")-1),",","."))+1,9))*12/52,IF(ISNUMBER(SEARCH("month",C129)),IFERROR(_xlfn.NUMBERVALUE(SUBSTITUTE(LEFT(TRIM(C129),FIND(" ",TRIM(C129)&amp;" ")-1),",","."),"."),LEFT(SUBSTITUTE(LEFT(TRIM(C129),FIND(" ",TRIM(C129)&amp;" ")-1),",","."),FIND("/",SUBSTITUTE(LEFT(TRIM(C129),FIND(" ",TRIM(C129)&amp;" ")-1),",","."))-1)/MID(SUBSTITUTE(LEFT(TRIM(C129),FIND(" ",TRIM(C129)&amp;" ")-1),",","."),FIND("/",SUBSTITUTE(LEFT(TRIM(C129),FIND(" ",TRIM(C129)&amp;" ")-1),",","."))+1,9)),IF(ISNUMBER(SEARCH("yea",C129)),IFERROR(_xlfn.NUMBERVALUE(SUBSTITUTE(LEFT(TRIM(C129),FIND(" ",TRIM(C129)&amp;" ")-1),",","."),"."),LEFT(SUBSTITUTE(LEFT(TRIM(C129),FIND(" ",TRIM(C129)&amp;" ")-1),",","."),FIND("/",SUBSTITUTE(LEFT(TRIM(C129),FIND(" ",TRIM(C129)&amp;" ")-1),",","."))-1)/MID(SUBSTITUTE(LEFT(TRIM(C129),FIND(" ",TRIM(C129)&amp;" ")-1),",","."),FIND("/",SUBSTITUTE(LEFT(TRIM(C129),FIND(" ",TRIM(C129)&amp;" ")-1),",","."))+1,9))*12,NA()))),0),36)*'Aturan &amp; Tarif'!$B$4,2)</f>
        <v>2044.08</v>
      </c>
      <c r="K129" s="32" t="n">
        <f aca="false">'Aturan &amp; Tarif'!$B$5</f>
        <v>2050</v>
      </c>
      <c r="L129" s="35" t="n">
        <f aca="false">I129+J129+K129</f>
        <v>25944.08</v>
      </c>
      <c r="M129" s="37" t="s">
        <v>1286</v>
      </c>
    </row>
    <row r="130" customFormat="false" ht="25.5" hidden="false" customHeight="true" outlineLevel="0" collapsed="false">
      <c r="A130" s="29"/>
      <c r="B130" s="30" t="s">
        <v>1295</v>
      </c>
      <c r="C130" s="31" t="s">
        <v>127</v>
      </c>
      <c r="D130" s="31" t="s">
        <v>108</v>
      </c>
      <c r="E130" s="32" t="n">
        <v>10850</v>
      </c>
      <c r="F130" s="32"/>
      <c r="G130" s="32" t="n">
        <v>150</v>
      </c>
      <c r="H130" s="33" t="n">
        <v>2</v>
      </c>
      <c r="I130" s="34" t="n">
        <f aca="false">E130*H130+N(F130)+N(G130)</f>
        <v>21850</v>
      </c>
      <c r="J130" s="32" t="n">
        <f aca="false">ROUND(IFERROR(ROUND(IF(OR(ISNUMBER(SEARCH("week",C130)),ISNUMBER(SEARCH("minggu",C130))),IFERROR(_xlfn.NUMBERVALUE(SUBSTITUTE(LEFT(TRIM(C130),FIND(" ",TRIM(C130)&amp;" ")-1),",","."),"."),LEFT(SUBSTITUTE(LEFT(TRIM(C130),FIND(" ",TRIM(C130)&amp;" ")-1),",","."),FIND("/",SUBSTITUTE(LEFT(TRIM(C130),FIND(" ",TRIM(C130)&amp;" ")-1),",","."))-1)/MID(SUBSTITUTE(LEFT(TRIM(C130),FIND(" ",TRIM(C130)&amp;" ")-1),",","."),FIND("/",SUBSTITUTE(LEFT(TRIM(C130),FIND(" ",TRIM(C130)&amp;" ")-1),",","."))+1,9))*12/52,IF(ISNUMBER(SEARCH("month",C130)),IFERROR(_xlfn.NUMBERVALUE(SUBSTITUTE(LEFT(TRIM(C130),FIND(" ",TRIM(C130)&amp;" ")-1),",","."),"."),LEFT(SUBSTITUTE(LEFT(TRIM(C130),FIND(" ",TRIM(C130)&amp;" ")-1),",","."),FIND("/",SUBSTITUTE(LEFT(TRIM(C130),FIND(" ",TRIM(C130)&amp;" ")-1),",","."))-1)/MID(SUBSTITUTE(LEFT(TRIM(C130),FIND(" ",TRIM(C130)&amp;" ")-1),",","."),FIND("/",SUBSTITUTE(LEFT(TRIM(C130),FIND(" ",TRIM(C130)&amp;" ")-1),",","."))+1,9)),IF(ISNUMBER(SEARCH("yea",C130)),IFERROR(_xlfn.NUMBERVALUE(SUBSTITUTE(LEFT(TRIM(C130),FIND(" ",TRIM(C130)&amp;" ")-1),",","."),"."),LEFT(SUBSTITUTE(LEFT(TRIM(C130),FIND(" ",TRIM(C130)&amp;" ")-1),",","."),FIND("/",SUBSTITUTE(LEFT(TRIM(C130),FIND(" ",TRIM(C130)&amp;" ")-1),",","."))-1)/MID(SUBSTITUTE(LEFT(TRIM(C130),FIND(" ",TRIM(C130)&amp;" ")-1),",","."),FIND("/",SUBSTITUTE(LEFT(TRIM(C130),FIND(" ",TRIM(C130)&amp;" ")-1),",","."))+1,9))*12,NA()))),0),36)*'Aturan &amp; Tarif'!$B$4,2)</f>
        <v>2044.08</v>
      </c>
      <c r="K130" s="32" t="n">
        <f aca="false">'Aturan &amp; Tarif'!$B$5</f>
        <v>2050</v>
      </c>
      <c r="L130" s="35" t="n">
        <f aca="false">I130+J130+K130</f>
        <v>25944.08</v>
      </c>
      <c r="M130" s="37" t="s">
        <v>1286</v>
      </c>
    </row>
    <row r="131" customFormat="false" ht="14.25" hidden="false" customHeight="true" outlineLevel="0" collapsed="false">
      <c r="A131" s="29"/>
      <c r="B131" s="30" t="s">
        <v>1296</v>
      </c>
      <c r="C131" s="31" t="s">
        <v>127</v>
      </c>
      <c r="D131" s="31" t="s">
        <v>108</v>
      </c>
      <c r="E131" s="32" t="n">
        <v>11850</v>
      </c>
      <c r="F131" s="32"/>
      <c r="G131" s="32" t="n">
        <v>150</v>
      </c>
      <c r="H131" s="33" t="n">
        <v>2</v>
      </c>
      <c r="I131" s="34" t="n">
        <f aca="false">E131*H131+N(F131)+N(G131)</f>
        <v>23850</v>
      </c>
      <c r="J131" s="32" t="n">
        <f aca="false">ROUND(IFERROR(ROUND(IF(OR(ISNUMBER(SEARCH("week",C131)),ISNUMBER(SEARCH("minggu",C131))),IFERROR(_xlfn.NUMBERVALUE(SUBSTITUTE(LEFT(TRIM(C131),FIND(" ",TRIM(C131)&amp;" ")-1),",","."),"."),LEFT(SUBSTITUTE(LEFT(TRIM(C131),FIND(" ",TRIM(C131)&amp;" ")-1),",","."),FIND("/",SUBSTITUTE(LEFT(TRIM(C131),FIND(" ",TRIM(C131)&amp;" ")-1),",","."))-1)/MID(SUBSTITUTE(LEFT(TRIM(C131),FIND(" ",TRIM(C131)&amp;" ")-1),",","."),FIND("/",SUBSTITUTE(LEFT(TRIM(C131),FIND(" ",TRIM(C131)&amp;" ")-1),",","."))+1,9))*12/52,IF(ISNUMBER(SEARCH("month",C131)),IFERROR(_xlfn.NUMBERVALUE(SUBSTITUTE(LEFT(TRIM(C131),FIND(" ",TRIM(C131)&amp;" ")-1),",","."),"."),LEFT(SUBSTITUTE(LEFT(TRIM(C131),FIND(" ",TRIM(C131)&amp;" ")-1),",","."),FIND("/",SUBSTITUTE(LEFT(TRIM(C131),FIND(" ",TRIM(C131)&amp;" ")-1),",","."))-1)/MID(SUBSTITUTE(LEFT(TRIM(C131),FIND(" ",TRIM(C131)&amp;" ")-1),",","."),FIND("/",SUBSTITUTE(LEFT(TRIM(C131),FIND(" ",TRIM(C131)&amp;" ")-1),",","."))+1,9)),IF(ISNUMBER(SEARCH("yea",C131)),IFERROR(_xlfn.NUMBERVALUE(SUBSTITUTE(LEFT(TRIM(C131),FIND(" ",TRIM(C131)&amp;" ")-1),",","."),"."),LEFT(SUBSTITUTE(LEFT(TRIM(C131),FIND(" ",TRIM(C131)&amp;" ")-1),",","."),FIND("/",SUBSTITUTE(LEFT(TRIM(C131),FIND(" ",TRIM(C131)&amp;" ")-1),",","."))-1)/MID(SUBSTITUTE(LEFT(TRIM(C131),FIND(" ",TRIM(C131)&amp;" ")-1),",","."),FIND("/",SUBSTITUTE(LEFT(TRIM(C131),FIND(" ",TRIM(C131)&amp;" ")-1),",","."))+1,9))*12,NA()))),0),36)*'Aturan &amp; Tarif'!$B$4,2)</f>
        <v>2044.08</v>
      </c>
      <c r="K131" s="32" t="n">
        <f aca="false">'Aturan &amp; Tarif'!$B$5</f>
        <v>2050</v>
      </c>
      <c r="L131" s="35" t="n">
        <f aca="false">I131+J131+K131</f>
        <v>27944.08</v>
      </c>
      <c r="M131" s="37" t="s">
        <v>1297</v>
      </c>
    </row>
    <row r="132" customFormat="false" ht="14.25" hidden="false" customHeight="true" outlineLevel="0" collapsed="false">
      <c r="A132" s="29"/>
      <c r="B132" s="30" t="s">
        <v>177</v>
      </c>
      <c r="C132" s="31" t="s">
        <v>127</v>
      </c>
      <c r="D132" s="31" t="s">
        <v>108</v>
      </c>
      <c r="E132" s="32" t="n">
        <v>11275</v>
      </c>
      <c r="F132" s="32"/>
      <c r="G132" s="32" t="n">
        <v>150</v>
      </c>
      <c r="H132" s="33" t="n">
        <v>2</v>
      </c>
      <c r="I132" s="34" t="n">
        <f aca="false">E132*H132+N(F132)+N(G132)</f>
        <v>22700</v>
      </c>
      <c r="J132" s="32" t="n">
        <f aca="false">ROUND(IFERROR(ROUND(IF(OR(ISNUMBER(SEARCH("week",C132)),ISNUMBER(SEARCH("minggu",C132))),IFERROR(_xlfn.NUMBERVALUE(SUBSTITUTE(LEFT(TRIM(C132),FIND(" ",TRIM(C132)&amp;" ")-1),",","."),"."),LEFT(SUBSTITUTE(LEFT(TRIM(C132),FIND(" ",TRIM(C132)&amp;" ")-1),",","."),FIND("/",SUBSTITUTE(LEFT(TRIM(C132),FIND(" ",TRIM(C132)&amp;" ")-1),",","."))-1)/MID(SUBSTITUTE(LEFT(TRIM(C132),FIND(" ",TRIM(C132)&amp;" ")-1),",","."),FIND("/",SUBSTITUTE(LEFT(TRIM(C132),FIND(" ",TRIM(C132)&amp;" ")-1),",","."))+1,9))*12/52,IF(ISNUMBER(SEARCH("month",C132)),IFERROR(_xlfn.NUMBERVALUE(SUBSTITUTE(LEFT(TRIM(C132),FIND(" ",TRIM(C132)&amp;" ")-1),",","."),"."),LEFT(SUBSTITUTE(LEFT(TRIM(C132),FIND(" ",TRIM(C132)&amp;" ")-1),",","."),FIND("/",SUBSTITUTE(LEFT(TRIM(C132),FIND(" ",TRIM(C132)&amp;" ")-1),",","."))-1)/MID(SUBSTITUTE(LEFT(TRIM(C132),FIND(" ",TRIM(C132)&amp;" ")-1),",","."),FIND("/",SUBSTITUTE(LEFT(TRIM(C132),FIND(" ",TRIM(C132)&amp;" ")-1),",","."))+1,9)),IF(ISNUMBER(SEARCH("yea",C132)),IFERROR(_xlfn.NUMBERVALUE(SUBSTITUTE(LEFT(TRIM(C132),FIND(" ",TRIM(C132)&amp;" ")-1),",","."),"."),LEFT(SUBSTITUTE(LEFT(TRIM(C132),FIND(" ",TRIM(C132)&amp;" ")-1),",","."),FIND("/",SUBSTITUTE(LEFT(TRIM(C132),FIND(" ",TRIM(C132)&amp;" ")-1),",","."))-1)/MID(SUBSTITUTE(LEFT(TRIM(C132),FIND(" ",TRIM(C132)&amp;" ")-1),",","."),FIND("/",SUBSTITUTE(LEFT(TRIM(C132),FIND(" ",TRIM(C132)&amp;" ")-1),",","."))+1,9))*12,NA()))),0),36)*'Aturan &amp; Tarif'!$B$4,2)</f>
        <v>2044.08</v>
      </c>
      <c r="K132" s="32" t="n">
        <f aca="false">'Aturan &amp; Tarif'!$B$5</f>
        <v>2050</v>
      </c>
      <c r="L132" s="35" t="n">
        <f aca="false">I132+J132+K132</f>
        <v>26794.08</v>
      </c>
      <c r="M132" s="37" t="s">
        <v>846</v>
      </c>
    </row>
    <row r="133" customFormat="false" ht="14.25" hidden="false" customHeight="true" outlineLevel="0" collapsed="false">
      <c r="A133" s="29"/>
      <c r="B133" s="30" t="s">
        <v>1298</v>
      </c>
      <c r="C133" s="31" t="s">
        <v>127</v>
      </c>
      <c r="D133" s="31" t="s">
        <v>108</v>
      </c>
      <c r="E133" s="32" t="n">
        <v>11275</v>
      </c>
      <c r="F133" s="32"/>
      <c r="G133" s="32" t="n">
        <v>150</v>
      </c>
      <c r="H133" s="33" t="n">
        <v>2</v>
      </c>
      <c r="I133" s="34" t="n">
        <f aca="false">E133*H133+N(F133)+N(G133)</f>
        <v>22700</v>
      </c>
      <c r="J133" s="32" t="n">
        <f aca="false">ROUND(IFERROR(ROUND(IF(OR(ISNUMBER(SEARCH("week",C133)),ISNUMBER(SEARCH("minggu",C133))),IFERROR(_xlfn.NUMBERVALUE(SUBSTITUTE(LEFT(TRIM(C133),FIND(" ",TRIM(C133)&amp;" ")-1),",","."),"."),LEFT(SUBSTITUTE(LEFT(TRIM(C133),FIND(" ",TRIM(C133)&amp;" ")-1),",","."),FIND("/",SUBSTITUTE(LEFT(TRIM(C133),FIND(" ",TRIM(C133)&amp;" ")-1),",","."))-1)/MID(SUBSTITUTE(LEFT(TRIM(C133),FIND(" ",TRIM(C133)&amp;" ")-1),",","."),FIND("/",SUBSTITUTE(LEFT(TRIM(C133),FIND(" ",TRIM(C133)&amp;" ")-1),",","."))+1,9))*12/52,IF(ISNUMBER(SEARCH("month",C133)),IFERROR(_xlfn.NUMBERVALUE(SUBSTITUTE(LEFT(TRIM(C133),FIND(" ",TRIM(C133)&amp;" ")-1),",","."),"."),LEFT(SUBSTITUTE(LEFT(TRIM(C133),FIND(" ",TRIM(C133)&amp;" ")-1),",","."),FIND("/",SUBSTITUTE(LEFT(TRIM(C133),FIND(" ",TRIM(C133)&amp;" ")-1),",","."))-1)/MID(SUBSTITUTE(LEFT(TRIM(C133),FIND(" ",TRIM(C133)&amp;" ")-1),",","."),FIND("/",SUBSTITUTE(LEFT(TRIM(C133),FIND(" ",TRIM(C133)&amp;" ")-1),",","."))+1,9)),IF(ISNUMBER(SEARCH("yea",C133)),IFERROR(_xlfn.NUMBERVALUE(SUBSTITUTE(LEFT(TRIM(C133),FIND(" ",TRIM(C133)&amp;" ")-1),",","."),"."),LEFT(SUBSTITUTE(LEFT(TRIM(C133),FIND(" ",TRIM(C133)&amp;" ")-1),",","."),FIND("/",SUBSTITUTE(LEFT(TRIM(C133),FIND(" ",TRIM(C133)&amp;" ")-1),",","."))-1)/MID(SUBSTITUTE(LEFT(TRIM(C133),FIND(" ",TRIM(C133)&amp;" ")-1),",","."),FIND("/",SUBSTITUTE(LEFT(TRIM(C133),FIND(" ",TRIM(C133)&amp;" ")-1),",","."))+1,9))*12,NA()))),0),36)*'Aturan &amp; Tarif'!$B$4,2)</f>
        <v>2044.08</v>
      </c>
      <c r="K133" s="32" t="n">
        <f aca="false">'Aturan &amp; Tarif'!$B$5</f>
        <v>2050</v>
      </c>
      <c r="L133" s="35" t="n">
        <f aca="false">I133+J133+K133</f>
        <v>26794.08</v>
      </c>
      <c r="M133" s="37" t="s">
        <v>846</v>
      </c>
    </row>
    <row r="134" customFormat="false" ht="14.25" hidden="false" customHeight="true" outlineLevel="0" collapsed="false">
      <c r="A134" s="29"/>
      <c r="B134" s="30" t="s">
        <v>1299</v>
      </c>
      <c r="C134" s="31" t="s">
        <v>127</v>
      </c>
      <c r="D134" s="31" t="s">
        <v>108</v>
      </c>
      <c r="E134" s="32" t="n">
        <v>11850</v>
      </c>
      <c r="F134" s="32"/>
      <c r="G134" s="32" t="n">
        <v>150</v>
      </c>
      <c r="H134" s="33" t="n">
        <v>2</v>
      </c>
      <c r="I134" s="34" t="n">
        <f aca="false">E134*H134+N(F134)+N(G134)</f>
        <v>23850</v>
      </c>
      <c r="J134" s="32" t="n">
        <f aca="false">ROUND(IFERROR(ROUND(IF(OR(ISNUMBER(SEARCH("week",C134)),ISNUMBER(SEARCH("minggu",C134))),IFERROR(_xlfn.NUMBERVALUE(SUBSTITUTE(LEFT(TRIM(C134),FIND(" ",TRIM(C134)&amp;" ")-1),",","."),"."),LEFT(SUBSTITUTE(LEFT(TRIM(C134),FIND(" ",TRIM(C134)&amp;" ")-1),",","."),FIND("/",SUBSTITUTE(LEFT(TRIM(C134),FIND(" ",TRIM(C134)&amp;" ")-1),",","."))-1)/MID(SUBSTITUTE(LEFT(TRIM(C134),FIND(" ",TRIM(C134)&amp;" ")-1),",","."),FIND("/",SUBSTITUTE(LEFT(TRIM(C134),FIND(" ",TRIM(C134)&amp;" ")-1),",","."))+1,9))*12/52,IF(ISNUMBER(SEARCH("month",C134)),IFERROR(_xlfn.NUMBERVALUE(SUBSTITUTE(LEFT(TRIM(C134),FIND(" ",TRIM(C134)&amp;" ")-1),",","."),"."),LEFT(SUBSTITUTE(LEFT(TRIM(C134),FIND(" ",TRIM(C134)&amp;" ")-1),",","."),FIND("/",SUBSTITUTE(LEFT(TRIM(C134),FIND(" ",TRIM(C134)&amp;" ")-1),",","."))-1)/MID(SUBSTITUTE(LEFT(TRIM(C134),FIND(" ",TRIM(C134)&amp;" ")-1),",","."),FIND("/",SUBSTITUTE(LEFT(TRIM(C134),FIND(" ",TRIM(C134)&amp;" ")-1),",","."))+1,9)),IF(ISNUMBER(SEARCH("yea",C134)),IFERROR(_xlfn.NUMBERVALUE(SUBSTITUTE(LEFT(TRIM(C134),FIND(" ",TRIM(C134)&amp;" ")-1),",","."),"."),LEFT(SUBSTITUTE(LEFT(TRIM(C134),FIND(" ",TRIM(C134)&amp;" ")-1),",","."),FIND("/",SUBSTITUTE(LEFT(TRIM(C134),FIND(" ",TRIM(C134)&amp;" ")-1),",","."))-1)/MID(SUBSTITUTE(LEFT(TRIM(C134),FIND(" ",TRIM(C134)&amp;" ")-1),",","."),FIND("/",SUBSTITUTE(LEFT(TRIM(C134),FIND(" ",TRIM(C134)&amp;" ")-1),",","."))+1,9))*12,NA()))),0),36)*'Aturan &amp; Tarif'!$B$4,2)</f>
        <v>2044.08</v>
      </c>
      <c r="K134" s="32" t="n">
        <f aca="false">'Aturan &amp; Tarif'!$B$5</f>
        <v>2050</v>
      </c>
      <c r="L134" s="35" t="n">
        <f aca="false">I134+J134+K134</f>
        <v>27944.08</v>
      </c>
      <c r="M134" s="37" t="s">
        <v>846</v>
      </c>
    </row>
    <row r="135" customFormat="false" ht="14.25" hidden="false" customHeight="true" outlineLevel="0" collapsed="false">
      <c r="A135" s="29"/>
      <c r="B135" s="30" t="s">
        <v>1300</v>
      </c>
      <c r="C135" s="31" t="s">
        <v>127</v>
      </c>
      <c r="D135" s="31" t="s">
        <v>108</v>
      </c>
      <c r="E135" s="32" t="n">
        <v>11275</v>
      </c>
      <c r="F135" s="32"/>
      <c r="G135" s="32" t="n">
        <v>150</v>
      </c>
      <c r="H135" s="33" t="n">
        <v>2</v>
      </c>
      <c r="I135" s="34" t="n">
        <f aca="false">E135*H135+N(F135)+N(G135)</f>
        <v>22700</v>
      </c>
      <c r="J135" s="32" t="n">
        <f aca="false">ROUND(IFERROR(ROUND(IF(OR(ISNUMBER(SEARCH("week",C135)),ISNUMBER(SEARCH("minggu",C135))),IFERROR(_xlfn.NUMBERVALUE(SUBSTITUTE(LEFT(TRIM(C135),FIND(" ",TRIM(C135)&amp;" ")-1),",","."),"."),LEFT(SUBSTITUTE(LEFT(TRIM(C135),FIND(" ",TRIM(C135)&amp;" ")-1),",","."),FIND("/",SUBSTITUTE(LEFT(TRIM(C135),FIND(" ",TRIM(C135)&amp;" ")-1),",","."))-1)/MID(SUBSTITUTE(LEFT(TRIM(C135),FIND(" ",TRIM(C135)&amp;" ")-1),",","."),FIND("/",SUBSTITUTE(LEFT(TRIM(C135),FIND(" ",TRIM(C135)&amp;" ")-1),",","."))+1,9))*12/52,IF(ISNUMBER(SEARCH("month",C135)),IFERROR(_xlfn.NUMBERVALUE(SUBSTITUTE(LEFT(TRIM(C135),FIND(" ",TRIM(C135)&amp;" ")-1),",","."),"."),LEFT(SUBSTITUTE(LEFT(TRIM(C135),FIND(" ",TRIM(C135)&amp;" ")-1),",","."),FIND("/",SUBSTITUTE(LEFT(TRIM(C135),FIND(" ",TRIM(C135)&amp;" ")-1),",","."))-1)/MID(SUBSTITUTE(LEFT(TRIM(C135),FIND(" ",TRIM(C135)&amp;" ")-1),",","."),FIND("/",SUBSTITUTE(LEFT(TRIM(C135),FIND(" ",TRIM(C135)&amp;" ")-1),",","."))+1,9)),IF(ISNUMBER(SEARCH("yea",C135)),IFERROR(_xlfn.NUMBERVALUE(SUBSTITUTE(LEFT(TRIM(C135),FIND(" ",TRIM(C135)&amp;" ")-1),",","."),"."),LEFT(SUBSTITUTE(LEFT(TRIM(C135),FIND(" ",TRIM(C135)&amp;" ")-1),",","."),FIND("/",SUBSTITUTE(LEFT(TRIM(C135),FIND(" ",TRIM(C135)&amp;" ")-1),",","."))-1)/MID(SUBSTITUTE(LEFT(TRIM(C135),FIND(" ",TRIM(C135)&amp;" ")-1),",","."),FIND("/",SUBSTITUTE(LEFT(TRIM(C135),FIND(" ",TRIM(C135)&amp;" ")-1),",","."))+1,9))*12,NA()))),0),36)*'Aturan &amp; Tarif'!$B$4,2)</f>
        <v>2044.08</v>
      </c>
      <c r="K135" s="32" t="n">
        <f aca="false">'Aturan &amp; Tarif'!$B$5</f>
        <v>2050</v>
      </c>
      <c r="L135" s="35" t="n">
        <f aca="false">I135+J135+K135</f>
        <v>26794.08</v>
      </c>
      <c r="M135" s="37" t="s">
        <v>1301</v>
      </c>
    </row>
    <row r="136" customFormat="false" ht="25.5" hidden="false" customHeight="true" outlineLevel="0" collapsed="false">
      <c r="A136" s="29"/>
      <c r="B136" s="30" t="s">
        <v>1302</v>
      </c>
      <c r="C136" s="31" t="s">
        <v>127</v>
      </c>
      <c r="D136" s="31" t="s">
        <v>108</v>
      </c>
      <c r="E136" s="32" t="n">
        <v>11275</v>
      </c>
      <c r="F136" s="32"/>
      <c r="G136" s="32" t="n">
        <v>150</v>
      </c>
      <c r="H136" s="33" t="n">
        <v>2</v>
      </c>
      <c r="I136" s="34" t="n">
        <f aca="false">E136*H136+N(F136)+N(G136)</f>
        <v>22700</v>
      </c>
      <c r="J136" s="32" t="n">
        <f aca="false">ROUND(IFERROR(ROUND(IF(OR(ISNUMBER(SEARCH("week",C136)),ISNUMBER(SEARCH("minggu",C136))),IFERROR(_xlfn.NUMBERVALUE(SUBSTITUTE(LEFT(TRIM(C136),FIND(" ",TRIM(C136)&amp;" ")-1),",","."),"."),LEFT(SUBSTITUTE(LEFT(TRIM(C136),FIND(" ",TRIM(C136)&amp;" ")-1),",","."),FIND("/",SUBSTITUTE(LEFT(TRIM(C136),FIND(" ",TRIM(C136)&amp;" ")-1),",","."))-1)/MID(SUBSTITUTE(LEFT(TRIM(C136),FIND(" ",TRIM(C136)&amp;" ")-1),",","."),FIND("/",SUBSTITUTE(LEFT(TRIM(C136),FIND(" ",TRIM(C136)&amp;" ")-1),",","."))+1,9))*12/52,IF(ISNUMBER(SEARCH("month",C136)),IFERROR(_xlfn.NUMBERVALUE(SUBSTITUTE(LEFT(TRIM(C136),FIND(" ",TRIM(C136)&amp;" ")-1),",","."),"."),LEFT(SUBSTITUTE(LEFT(TRIM(C136),FIND(" ",TRIM(C136)&amp;" ")-1),",","."),FIND("/",SUBSTITUTE(LEFT(TRIM(C136),FIND(" ",TRIM(C136)&amp;" ")-1),",","."))-1)/MID(SUBSTITUTE(LEFT(TRIM(C136),FIND(" ",TRIM(C136)&amp;" ")-1),",","."),FIND("/",SUBSTITUTE(LEFT(TRIM(C136),FIND(" ",TRIM(C136)&amp;" ")-1),",","."))+1,9)),IF(ISNUMBER(SEARCH("yea",C136)),IFERROR(_xlfn.NUMBERVALUE(SUBSTITUTE(LEFT(TRIM(C136),FIND(" ",TRIM(C136)&amp;" ")-1),",","."),"."),LEFT(SUBSTITUTE(LEFT(TRIM(C136),FIND(" ",TRIM(C136)&amp;" ")-1),",","."),FIND("/",SUBSTITUTE(LEFT(TRIM(C136),FIND(" ",TRIM(C136)&amp;" ")-1),",","."))-1)/MID(SUBSTITUTE(LEFT(TRIM(C136),FIND(" ",TRIM(C136)&amp;" ")-1),",","."),FIND("/",SUBSTITUTE(LEFT(TRIM(C136),FIND(" ",TRIM(C136)&amp;" ")-1),",","."))+1,9))*12,NA()))),0),36)*'Aturan &amp; Tarif'!$B$4,2)</f>
        <v>2044.08</v>
      </c>
      <c r="K136" s="32" t="n">
        <f aca="false">'Aturan &amp; Tarif'!$B$5</f>
        <v>2050</v>
      </c>
      <c r="L136" s="35" t="n">
        <f aca="false">I136+J136+K136</f>
        <v>26794.08</v>
      </c>
      <c r="M136" s="37" t="s">
        <v>1301</v>
      </c>
    </row>
    <row r="137" customFormat="false" ht="25.5" hidden="false" customHeight="true" outlineLevel="0" collapsed="false">
      <c r="A137" s="29"/>
      <c r="B137" s="30" t="s">
        <v>1303</v>
      </c>
      <c r="C137" s="31" t="s">
        <v>127</v>
      </c>
      <c r="D137" s="31" t="s">
        <v>108</v>
      </c>
      <c r="E137" s="32" t="n">
        <v>11275</v>
      </c>
      <c r="F137" s="32"/>
      <c r="G137" s="32" t="n">
        <v>150</v>
      </c>
      <c r="H137" s="33" t="n">
        <v>2</v>
      </c>
      <c r="I137" s="34" t="n">
        <f aca="false">E137*H137+N(F137)+N(G137)</f>
        <v>22700</v>
      </c>
      <c r="J137" s="32" t="n">
        <f aca="false">ROUND(IFERROR(ROUND(IF(OR(ISNUMBER(SEARCH("week",C137)),ISNUMBER(SEARCH("minggu",C137))),IFERROR(_xlfn.NUMBERVALUE(SUBSTITUTE(LEFT(TRIM(C137),FIND(" ",TRIM(C137)&amp;" ")-1),",","."),"."),LEFT(SUBSTITUTE(LEFT(TRIM(C137),FIND(" ",TRIM(C137)&amp;" ")-1),",","."),FIND("/",SUBSTITUTE(LEFT(TRIM(C137),FIND(" ",TRIM(C137)&amp;" ")-1),",","."))-1)/MID(SUBSTITUTE(LEFT(TRIM(C137),FIND(" ",TRIM(C137)&amp;" ")-1),",","."),FIND("/",SUBSTITUTE(LEFT(TRIM(C137),FIND(" ",TRIM(C137)&amp;" ")-1),",","."))+1,9))*12/52,IF(ISNUMBER(SEARCH("month",C137)),IFERROR(_xlfn.NUMBERVALUE(SUBSTITUTE(LEFT(TRIM(C137),FIND(" ",TRIM(C137)&amp;" ")-1),",","."),"."),LEFT(SUBSTITUTE(LEFT(TRIM(C137),FIND(" ",TRIM(C137)&amp;" ")-1),",","."),FIND("/",SUBSTITUTE(LEFT(TRIM(C137),FIND(" ",TRIM(C137)&amp;" ")-1),",","."))-1)/MID(SUBSTITUTE(LEFT(TRIM(C137),FIND(" ",TRIM(C137)&amp;" ")-1),",","."),FIND("/",SUBSTITUTE(LEFT(TRIM(C137),FIND(" ",TRIM(C137)&amp;" ")-1),",","."))+1,9)),IF(ISNUMBER(SEARCH("yea",C137)),IFERROR(_xlfn.NUMBERVALUE(SUBSTITUTE(LEFT(TRIM(C137),FIND(" ",TRIM(C137)&amp;" ")-1),",","."),"."),LEFT(SUBSTITUTE(LEFT(TRIM(C137),FIND(" ",TRIM(C137)&amp;" ")-1),",","."),FIND("/",SUBSTITUTE(LEFT(TRIM(C137),FIND(" ",TRIM(C137)&amp;" ")-1),",","."))-1)/MID(SUBSTITUTE(LEFT(TRIM(C137),FIND(" ",TRIM(C137)&amp;" ")-1),",","."),FIND("/",SUBSTITUTE(LEFT(TRIM(C137),FIND(" ",TRIM(C137)&amp;" ")-1),",","."))+1,9))*12,NA()))),0),36)*'Aturan &amp; Tarif'!$B$4,2)</f>
        <v>2044.08</v>
      </c>
      <c r="K137" s="32" t="n">
        <f aca="false">'Aturan &amp; Tarif'!$B$5</f>
        <v>2050</v>
      </c>
      <c r="L137" s="35" t="n">
        <f aca="false">I137+J137+K137</f>
        <v>26794.08</v>
      </c>
      <c r="M137" s="37" t="s">
        <v>1301</v>
      </c>
    </row>
    <row r="138" customFormat="false" ht="25.5" hidden="false" customHeight="true" outlineLevel="0" collapsed="false">
      <c r="A138" s="29"/>
      <c r="B138" s="30" t="s">
        <v>1304</v>
      </c>
      <c r="C138" s="31" t="s">
        <v>127</v>
      </c>
      <c r="D138" s="31" t="s">
        <v>108</v>
      </c>
      <c r="E138" s="32" t="n">
        <v>11275</v>
      </c>
      <c r="F138" s="32"/>
      <c r="G138" s="32" t="n">
        <v>150</v>
      </c>
      <c r="H138" s="33" t="n">
        <v>2</v>
      </c>
      <c r="I138" s="34" t="n">
        <f aca="false">E138*H138+N(F138)+N(G138)</f>
        <v>22700</v>
      </c>
      <c r="J138" s="32" t="n">
        <f aca="false">ROUND(IFERROR(ROUND(IF(OR(ISNUMBER(SEARCH("week",C138)),ISNUMBER(SEARCH("minggu",C138))),IFERROR(_xlfn.NUMBERVALUE(SUBSTITUTE(LEFT(TRIM(C138),FIND(" ",TRIM(C138)&amp;" ")-1),",","."),"."),LEFT(SUBSTITUTE(LEFT(TRIM(C138),FIND(" ",TRIM(C138)&amp;" ")-1),",","."),FIND("/",SUBSTITUTE(LEFT(TRIM(C138),FIND(" ",TRIM(C138)&amp;" ")-1),",","."))-1)/MID(SUBSTITUTE(LEFT(TRIM(C138),FIND(" ",TRIM(C138)&amp;" ")-1),",","."),FIND("/",SUBSTITUTE(LEFT(TRIM(C138),FIND(" ",TRIM(C138)&amp;" ")-1),",","."))+1,9))*12/52,IF(ISNUMBER(SEARCH("month",C138)),IFERROR(_xlfn.NUMBERVALUE(SUBSTITUTE(LEFT(TRIM(C138),FIND(" ",TRIM(C138)&amp;" ")-1),",","."),"."),LEFT(SUBSTITUTE(LEFT(TRIM(C138),FIND(" ",TRIM(C138)&amp;" ")-1),",","."),FIND("/",SUBSTITUTE(LEFT(TRIM(C138),FIND(" ",TRIM(C138)&amp;" ")-1),",","."))-1)/MID(SUBSTITUTE(LEFT(TRIM(C138),FIND(" ",TRIM(C138)&amp;" ")-1),",","."),FIND("/",SUBSTITUTE(LEFT(TRIM(C138),FIND(" ",TRIM(C138)&amp;" ")-1),",","."))+1,9)),IF(ISNUMBER(SEARCH("yea",C138)),IFERROR(_xlfn.NUMBERVALUE(SUBSTITUTE(LEFT(TRIM(C138),FIND(" ",TRIM(C138)&amp;" ")-1),",","."),"."),LEFT(SUBSTITUTE(LEFT(TRIM(C138),FIND(" ",TRIM(C138)&amp;" ")-1),",","."),FIND("/",SUBSTITUTE(LEFT(TRIM(C138),FIND(" ",TRIM(C138)&amp;" ")-1),",","."))-1)/MID(SUBSTITUTE(LEFT(TRIM(C138),FIND(" ",TRIM(C138)&amp;" ")-1),",","."),FIND("/",SUBSTITUTE(LEFT(TRIM(C138),FIND(" ",TRIM(C138)&amp;" ")-1),",","."))+1,9))*12,NA()))),0),36)*'Aturan &amp; Tarif'!$B$4,2)</f>
        <v>2044.08</v>
      </c>
      <c r="K138" s="32" t="n">
        <f aca="false">'Aturan &amp; Tarif'!$B$5</f>
        <v>2050</v>
      </c>
      <c r="L138" s="35" t="n">
        <f aca="false">I138+J138+K138</f>
        <v>26794.08</v>
      </c>
      <c r="M138" s="37" t="s">
        <v>1301</v>
      </c>
    </row>
    <row r="139" customFormat="false" ht="25.5" hidden="false" customHeight="true" outlineLevel="0" collapsed="false">
      <c r="A139" s="29"/>
      <c r="B139" s="30" t="s">
        <v>1305</v>
      </c>
      <c r="C139" s="31" t="s">
        <v>127</v>
      </c>
      <c r="D139" s="31" t="s">
        <v>108</v>
      </c>
      <c r="E139" s="32" t="n">
        <v>11275</v>
      </c>
      <c r="F139" s="32"/>
      <c r="G139" s="32" t="n">
        <v>150</v>
      </c>
      <c r="H139" s="33" t="n">
        <v>2</v>
      </c>
      <c r="I139" s="34" t="n">
        <f aca="false">E139*H139+N(F139)+N(G139)</f>
        <v>22700</v>
      </c>
      <c r="J139" s="32" t="n">
        <f aca="false">ROUND(IFERROR(ROUND(IF(OR(ISNUMBER(SEARCH("week",C139)),ISNUMBER(SEARCH("minggu",C139))),IFERROR(_xlfn.NUMBERVALUE(SUBSTITUTE(LEFT(TRIM(C139),FIND(" ",TRIM(C139)&amp;" ")-1),",","."),"."),LEFT(SUBSTITUTE(LEFT(TRIM(C139),FIND(" ",TRIM(C139)&amp;" ")-1),",","."),FIND("/",SUBSTITUTE(LEFT(TRIM(C139),FIND(" ",TRIM(C139)&amp;" ")-1),",","."))-1)/MID(SUBSTITUTE(LEFT(TRIM(C139),FIND(" ",TRIM(C139)&amp;" ")-1),",","."),FIND("/",SUBSTITUTE(LEFT(TRIM(C139),FIND(" ",TRIM(C139)&amp;" ")-1),",","."))+1,9))*12/52,IF(ISNUMBER(SEARCH("month",C139)),IFERROR(_xlfn.NUMBERVALUE(SUBSTITUTE(LEFT(TRIM(C139),FIND(" ",TRIM(C139)&amp;" ")-1),",","."),"."),LEFT(SUBSTITUTE(LEFT(TRIM(C139),FIND(" ",TRIM(C139)&amp;" ")-1),",","."),FIND("/",SUBSTITUTE(LEFT(TRIM(C139),FIND(" ",TRIM(C139)&amp;" ")-1),",","."))-1)/MID(SUBSTITUTE(LEFT(TRIM(C139),FIND(" ",TRIM(C139)&amp;" ")-1),",","."),FIND("/",SUBSTITUTE(LEFT(TRIM(C139),FIND(" ",TRIM(C139)&amp;" ")-1),",","."))+1,9)),IF(ISNUMBER(SEARCH("yea",C139)),IFERROR(_xlfn.NUMBERVALUE(SUBSTITUTE(LEFT(TRIM(C139),FIND(" ",TRIM(C139)&amp;" ")-1),",","."),"."),LEFT(SUBSTITUTE(LEFT(TRIM(C139),FIND(" ",TRIM(C139)&amp;" ")-1),",","."),FIND("/",SUBSTITUTE(LEFT(TRIM(C139),FIND(" ",TRIM(C139)&amp;" ")-1),",","."))-1)/MID(SUBSTITUTE(LEFT(TRIM(C139),FIND(" ",TRIM(C139)&amp;" ")-1),",","."),FIND("/",SUBSTITUTE(LEFT(TRIM(C139),FIND(" ",TRIM(C139)&amp;" ")-1),",","."))+1,9))*12,NA()))),0),36)*'Aturan &amp; Tarif'!$B$4,2)</f>
        <v>2044.08</v>
      </c>
      <c r="K139" s="32" t="n">
        <f aca="false">'Aturan &amp; Tarif'!$B$5</f>
        <v>2050</v>
      </c>
      <c r="L139" s="35" t="n">
        <f aca="false">I139+J139+K139</f>
        <v>26794.08</v>
      </c>
      <c r="M139" s="37" t="s">
        <v>1301</v>
      </c>
    </row>
    <row r="140" customFormat="false" ht="25.5" hidden="false" customHeight="true" outlineLevel="0" collapsed="false">
      <c r="A140" s="29"/>
      <c r="B140" s="30" t="s">
        <v>1306</v>
      </c>
      <c r="C140" s="31" t="s">
        <v>127</v>
      </c>
      <c r="D140" s="31" t="s">
        <v>108</v>
      </c>
      <c r="E140" s="32" t="n">
        <v>11275</v>
      </c>
      <c r="F140" s="32"/>
      <c r="G140" s="32" t="n">
        <v>150</v>
      </c>
      <c r="H140" s="33" t="n">
        <v>2</v>
      </c>
      <c r="I140" s="34" t="n">
        <f aca="false">E140*H140+N(F140)+N(G140)</f>
        <v>22700</v>
      </c>
      <c r="J140" s="32" t="n">
        <f aca="false">ROUND(IFERROR(ROUND(IF(OR(ISNUMBER(SEARCH("week",C140)),ISNUMBER(SEARCH("minggu",C140))),IFERROR(_xlfn.NUMBERVALUE(SUBSTITUTE(LEFT(TRIM(C140),FIND(" ",TRIM(C140)&amp;" ")-1),",","."),"."),LEFT(SUBSTITUTE(LEFT(TRIM(C140),FIND(" ",TRIM(C140)&amp;" ")-1),",","."),FIND("/",SUBSTITUTE(LEFT(TRIM(C140),FIND(" ",TRIM(C140)&amp;" ")-1),",","."))-1)/MID(SUBSTITUTE(LEFT(TRIM(C140),FIND(" ",TRIM(C140)&amp;" ")-1),",","."),FIND("/",SUBSTITUTE(LEFT(TRIM(C140),FIND(" ",TRIM(C140)&amp;" ")-1),",","."))+1,9))*12/52,IF(ISNUMBER(SEARCH("month",C140)),IFERROR(_xlfn.NUMBERVALUE(SUBSTITUTE(LEFT(TRIM(C140),FIND(" ",TRIM(C140)&amp;" ")-1),",","."),"."),LEFT(SUBSTITUTE(LEFT(TRIM(C140),FIND(" ",TRIM(C140)&amp;" ")-1),",","."),FIND("/",SUBSTITUTE(LEFT(TRIM(C140),FIND(" ",TRIM(C140)&amp;" ")-1),",","."))-1)/MID(SUBSTITUTE(LEFT(TRIM(C140),FIND(" ",TRIM(C140)&amp;" ")-1),",","."),FIND("/",SUBSTITUTE(LEFT(TRIM(C140),FIND(" ",TRIM(C140)&amp;" ")-1),",","."))+1,9)),IF(ISNUMBER(SEARCH("yea",C140)),IFERROR(_xlfn.NUMBERVALUE(SUBSTITUTE(LEFT(TRIM(C140),FIND(" ",TRIM(C140)&amp;" ")-1),",","."),"."),LEFT(SUBSTITUTE(LEFT(TRIM(C140),FIND(" ",TRIM(C140)&amp;" ")-1),",","."),FIND("/",SUBSTITUTE(LEFT(TRIM(C140),FIND(" ",TRIM(C140)&amp;" ")-1),",","."))-1)/MID(SUBSTITUTE(LEFT(TRIM(C140),FIND(" ",TRIM(C140)&amp;" ")-1),",","."),FIND("/",SUBSTITUTE(LEFT(TRIM(C140),FIND(" ",TRIM(C140)&amp;" ")-1),",","."))+1,9))*12,NA()))),0),36)*'Aturan &amp; Tarif'!$B$4,2)</f>
        <v>2044.08</v>
      </c>
      <c r="K140" s="32" t="n">
        <f aca="false">'Aturan &amp; Tarif'!$B$5</f>
        <v>2050</v>
      </c>
      <c r="L140" s="35" t="n">
        <f aca="false">I140+J140+K140</f>
        <v>26794.08</v>
      </c>
      <c r="M140" s="37" t="s">
        <v>1301</v>
      </c>
    </row>
    <row r="141" customFormat="false" ht="14.25" hidden="false" customHeight="true" outlineLevel="0" collapsed="false">
      <c r="A141" s="29"/>
      <c r="B141" s="30" t="s">
        <v>173</v>
      </c>
      <c r="C141" s="31" t="s">
        <v>127</v>
      </c>
      <c r="D141" s="31" t="s">
        <v>108</v>
      </c>
      <c r="E141" s="32" t="n">
        <v>10850</v>
      </c>
      <c r="F141" s="32"/>
      <c r="G141" s="32" t="n">
        <v>150</v>
      </c>
      <c r="H141" s="33" t="n">
        <v>2</v>
      </c>
      <c r="I141" s="34" t="n">
        <f aca="false">E141*H141+N(F141)+N(G141)</f>
        <v>21850</v>
      </c>
      <c r="J141" s="32" t="n">
        <f aca="false">ROUND(IFERROR(ROUND(IF(OR(ISNUMBER(SEARCH("week",C141)),ISNUMBER(SEARCH("minggu",C141))),IFERROR(_xlfn.NUMBERVALUE(SUBSTITUTE(LEFT(TRIM(C141),FIND(" ",TRIM(C141)&amp;" ")-1),",","."),"."),LEFT(SUBSTITUTE(LEFT(TRIM(C141),FIND(" ",TRIM(C141)&amp;" ")-1),",","."),FIND("/",SUBSTITUTE(LEFT(TRIM(C141),FIND(" ",TRIM(C141)&amp;" ")-1),",","."))-1)/MID(SUBSTITUTE(LEFT(TRIM(C141),FIND(" ",TRIM(C141)&amp;" ")-1),",","."),FIND("/",SUBSTITUTE(LEFT(TRIM(C141),FIND(" ",TRIM(C141)&amp;" ")-1),",","."))+1,9))*12/52,IF(ISNUMBER(SEARCH("month",C141)),IFERROR(_xlfn.NUMBERVALUE(SUBSTITUTE(LEFT(TRIM(C141),FIND(" ",TRIM(C141)&amp;" ")-1),",","."),"."),LEFT(SUBSTITUTE(LEFT(TRIM(C141),FIND(" ",TRIM(C141)&amp;" ")-1),",","."),FIND("/",SUBSTITUTE(LEFT(TRIM(C141),FIND(" ",TRIM(C141)&amp;" ")-1),",","."))-1)/MID(SUBSTITUTE(LEFT(TRIM(C141),FIND(" ",TRIM(C141)&amp;" ")-1),",","."),FIND("/",SUBSTITUTE(LEFT(TRIM(C141),FIND(" ",TRIM(C141)&amp;" ")-1),",","."))+1,9)),IF(ISNUMBER(SEARCH("yea",C141)),IFERROR(_xlfn.NUMBERVALUE(SUBSTITUTE(LEFT(TRIM(C141),FIND(" ",TRIM(C141)&amp;" ")-1),",","."),"."),LEFT(SUBSTITUTE(LEFT(TRIM(C141),FIND(" ",TRIM(C141)&amp;" ")-1),",","."),FIND("/",SUBSTITUTE(LEFT(TRIM(C141),FIND(" ",TRIM(C141)&amp;" ")-1),",","."))-1)/MID(SUBSTITUTE(LEFT(TRIM(C141),FIND(" ",TRIM(C141)&amp;" ")-1),",","."),FIND("/",SUBSTITUTE(LEFT(TRIM(C141),FIND(" ",TRIM(C141)&amp;" ")-1),",","."))+1,9))*12,NA()))),0),36)*'Aturan &amp; Tarif'!$B$4,2)</f>
        <v>2044.08</v>
      </c>
      <c r="K141" s="32" t="n">
        <f aca="false">'Aturan &amp; Tarif'!$B$5</f>
        <v>2050</v>
      </c>
      <c r="L141" s="35" t="n">
        <f aca="false">I141+J141+K141</f>
        <v>25944.08</v>
      </c>
      <c r="M141" s="37" t="s">
        <v>1307</v>
      </c>
    </row>
    <row r="142" customFormat="false" ht="37.5" hidden="false" customHeight="true" outlineLevel="0" collapsed="false">
      <c r="A142" s="29"/>
      <c r="B142" s="30" t="s">
        <v>1308</v>
      </c>
      <c r="C142" s="31" t="s">
        <v>127</v>
      </c>
      <c r="D142" s="31" t="s">
        <v>108</v>
      </c>
      <c r="E142" s="32" t="n">
        <v>10850</v>
      </c>
      <c r="F142" s="32"/>
      <c r="G142" s="32" t="n">
        <v>150</v>
      </c>
      <c r="H142" s="33" t="n">
        <v>2</v>
      </c>
      <c r="I142" s="34" t="n">
        <f aca="false">E142*H142+N(F142)+N(G142)</f>
        <v>21850</v>
      </c>
      <c r="J142" s="32" t="n">
        <f aca="false">ROUND(IFERROR(ROUND(IF(OR(ISNUMBER(SEARCH("week",C142)),ISNUMBER(SEARCH("minggu",C142))),IFERROR(_xlfn.NUMBERVALUE(SUBSTITUTE(LEFT(TRIM(C142),FIND(" ",TRIM(C142)&amp;" ")-1),",","."),"."),LEFT(SUBSTITUTE(LEFT(TRIM(C142),FIND(" ",TRIM(C142)&amp;" ")-1),",","."),FIND("/",SUBSTITUTE(LEFT(TRIM(C142),FIND(" ",TRIM(C142)&amp;" ")-1),",","."))-1)/MID(SUBSTITUTE(LEFT(TRIM(C142),FIND(" ",TRIM(C142)&amp;" ")-1),",","."),FIND("/",SUBSTITUTE(LEFT(TRIM(C142),FIND(" ",TRIM(C142)&amp;" ")-1),",","."))+1,9))*12/52,IF(ISNUMBER(SEARCH("month",C142)),IFERROR(_xlfn.NUMBERVALUE(SUBSTITUTE(LEFT(TRIM(C142),FIND(" ",TRIM(C142)&amp;" ")-1),",","."),"."),LEFT(SUBSTITUTE(LEFT(TRIM(C142),FIND(" ",TRIM(C142)&amp;" ")-1),",","."),FIND("/",SUBSTITUTE(LEFT(TRIM(C142),FIND(" ",TRIM(C142)&amp;" ")-1),",","."))-1)/MID(SUBSTITUTE(LEFT(TRIM(C142),FIND(" ",TRIM(C142)&amp;" ")-1),",","."),FIND("/",SUBSTITUTE(LEFT(TRIM(C142),FIND(" ",TRIM(C142)&amp;" ")-1),",","."))+1,9)),IF(ISNUMBER(SEARCH("yea",C142)),IFERROR(_xlfn.NUMBERVALUE(SUBSTITUTE(LEFT(TRIM(C142),FIND(" ",TRIM(C142)&amp;" ")-1),",","."),"."),LEFT(SUBSTITUTE(LEFT(TRIM(C142),FIND(" ",TRIM(C142)&amp;" ")-1),",","."),FIND("/",SUBSTITUTE(LEFT(TRIM(C142),FIND(" ",TRIM(C142)&amp;" ")-1),",","."))-1)/MID(SUBSTITUTE(LEFT(TRIM(C142),FIND(" ",TRIM(C142)&amp;" ")-1),",","."),FIND("/",SUBSTITUTE(LEFT(TRIM(C142),FIND(" ",TRIM(C142)&amp;" ")-1),",","."))+1,9))*12,NA()))),0),36)*'Aturan &amp; Tarif'!$B$4,2)</f>
        <v>2044.08</v>
      </c>
      <c r="K142" s="32" t="n">
        <f aca="false">'Aturan &amp; Tarif'!$B$5</f>
        <v>2050</v>
      </c>
      <c r="L142" s="35" t="n">
        <f aca="false">I142+J142+K142</f>
        <v>25944.08</v>
      </c>
      <c r="M142" s="37" t="s">
        <v>1307</v>
      </c>
    </row>
    <row r="143" customFormat="false" ht="25.5" hidden="false" customHeight="true" outlineLevel="0" collapsed="false">
      <c r="A143" s="29"/>
      <c r="B143" s="30" t="s">
        <v>1309</v>
      </c>
      <c r="C143" s="31" t="s">
        <v>127</v>
      </c>
      <c r="D143" s="31" t="s">
        <v>108</v>
      </c>
      <c r="E143" s="32" t="n">
        <v>10850</v>
      </c>
      <c r="F143" s="32"/>
      <c r="G143" s="32" t="n">
        <v>150</v>
      </c>
      <c r="H143" s="33" t="n">
        <v>2</v>
      </c>
      <c r="I143" s="34" t="n">
        <f aca="false">E143*H143+N(F143)+N(G143)</f>
        <v>21850</v>
      </c>
      <c r="J143" s="32" t="n">
        <f aca="false">ROUND(IFERROR(ROUND(IF(OR(ISNUMBER(SEARCH("week",C143)),ISNUMBER(SEARCH("minggu",C143))),IFERROR(_xlfn.NUMBERVALUE(SUBSTITUTE(LEFT(TRIM(C143),FIND(" ",TRIM(C143)&amp;" ")-1),",","."),"."),LEFT(SUBSTITUTE(LEFT(TRIM(C143),FIND(" ",TRIM(C143)&amp;" ")-1),",","."),FIND("/",SUBSTITUTE(LEFT(TRIM(C143),FIND(" ",TRIM(C143)&amp;" ")-1),",","."))-1)/MID(SUBSTITUTE(LEFT(TRIM(C143),FIND(" ",TRIM(C143)&amp;" ")-1),",","."),FIND("/",SUBSTITUTE(LEFT(TRIM(C143),FIND(" ",TRIM(C143)&amp;" ")-1),",","."))+1,9))*12/52,IF(ISNUMBER(SEARCH("month",C143)),IFERROR(_xlfn.NUMBERVALUE(SUBSTITUTE(LEFT(TRIM(C143),FIND(" ",TRIM(C143)&amp;" ")-1),",","."),"."),LEFT(SUBSTITUTE(LEFT(TRIM(C143),FIND(" ",TRIM(C143)&amp;" ")-1),",","."),FIND("/",SUBSTITUTE(LEFT(TRIM(C143),FIND(" ",TRIM(C143)&amp;" ")-1),",","."))-1)/MID(SUBSTITUTE(LEFT(TRIM(C143),FIND(" ",TRIM(C143)&amp;" ")-1),",","."),FIND("/",SUBSTITUTE(LEFT(TRIM(C143),FIND(" ",TRIM(C143)&amp;" ")-1),",","."))+1,9)),IF(ISNUMBER(SEARCH("yea",C143)),IFERROR(_xlfn.NUMBERVALUE(SUBSTITUTE(LEFT(TRIM(C143),FIND(" ",TRIM(C143)&amp;" ")-1),",","."),"."),LEFT(SUBSTITUTE(LEFT(TRIM(C143),FIND(" ",TRIM(C143)&amp;" ")-1),",","."),FIND("/",SUBSTITUTE(LEFT(TRIM(C143),FIND(" ",TRIM(C143)&amp;" ")-1),",","."))-1)/MID(SUBSTITUTE(LEFT(TRIM(C143),FIND(" ",TRIM(C143)&amp;" ")-1),",","."),FIND("/",SUBSTITUTE(LEFT(TRIM(C143),FIND(" ",TRIM(C143)&amp;" ")-1),",","."))+1,9))*12,NA()))),0),36)*'Aturan &amp; Tarif'!$B$4,2)</f>
        <v>2044.08</v>
      </c>
      <c r="K143" s="32" t="n">
        <f aca="false">'Aturan &amp; Tarif'!$B$5</f>
        <v>2050</v>
      </c>
      <c r="L143" s="35" t="n">
        <f aca="false">I143+J143+K143</f>
        <v>25944.08</v>
      </c>
      <c r="M143" s="37" t="s">
        <v>1307</v>
      </c>
    </row>
    <row r="144" customFormat="false" ht="25.5" hidden="false" customHeight="true" outlineLevel="0" collapsed="false">
      <c r="A144" s="29"/>
      <c r="B144" s="30" t="s">
        <v>1310</v>
      </c>
      <c r="C144" s="31" t="s">
        <v>127</v>
      </c>
      <c r="D144" s="31" t="s">
        <v>108</v>
      </c>
      <c r="E144" s="32" t="n">
        <v>10850</v>
      </c>
      <c r="F144" s="32"/>
      <c r="G144" s="32" t="n">
        <v>150</v>
      </c>
      <c r="H144" s="33" t="n">
        <v>2</v>
      </c>
      <c r="I144" s="34" t="n">
        <f aca="false">E144*H144+N(F144)+N(G144)</f>
        <v>21850</v>
      </c>
      <c r="J144" s="32" t="n">
        <f aca="false">ROUND(IFERROR(ROUND(IF(OR(ISNUMBER(SEARCH("week",C144)),ISNUMBER(SEARCH("minggu",C144))),IFERROR(_xlfn.NUMBERVALUE(SUBSTITUTE(LEFT(TRIM(C144),FIND(" ",TRIM(C144)&amp;" ")-1),",","."),"."),LEFT(SUBSTITUTE(LEFT(TRIM(C144),FIND(" ",TRIM(C144)&amp;" ")-1),",","."),FIND("/",SUBSTITUTE(LEFT(TRIM(C144),FIND(" ",TRIM(C144)&amp;" ")-1),",","."))-1)/MID(SUBSTITUTE(LEFT(TRIM(C144),FIND(" ",TRIM(C144)&amp;" ")-1),",","."),FIND("/",SUBSTITUTE(LEFT(TRIM(C144),FIND(" ",TRIM(C144)&amp;" ")-1),",","."))+1,9))*12/52,IF(ISNUMBER(SEARCH("month",C144)),IFERROR(_xlfn.NUMBERVALUE(SUBSTITUTE(LEFT(TRIM(C144),FIND(" ",TRIM(C144)&amp;" ")-1),",","."),"."),LEFT(SUBSTITUTE(LEFT(TRIM(C144),FIND(" ",TRIM(C144)&amp;" ")-1),",","."),FIND("/",SUBSTITUTE(LEFT(TRIM(C144),FIND(" ",TRIM(C144)&amp;" ")-1),",","."))-1)/MID(SUBSTITUTE(LEFT(TRIM(C144),FIND(" ",TRIM(C144)&amp;" ")-1),",","."),FIND("/",SUBSTITUTE(LEFT(TRIM(C144),FIND(" ",TRIM(C144)&amp;" ")-1),",","."))+1,9)),IF(ISNUMBER(SEARCH("yea",C144)),IFERROR(_xlfn.NUMBERVALUE(SUBSTITUTE(LEFT(TRIM(C144),FIND(" ",TRIM(C144)&amp;" ")-1),",","."),"."),LEFT(SUBSTITUTE(LEFT(TRIM(C144),FIND(" ",TRIM(C144)&amp;" ")-1),",","."),FIND("/",SUBSTITUTE(LEFT(TRIM(C144),FIND(" ",TRIM(C144)&amp;" ")-1),",","."))-1)/MID(SUBSTITUTE(LEFT(TRIM(C144),FIND(" ",TRIM(C144)&amp;" ")-1),",","."),FIND("/",SUBSTITUTE(LEFT(TRIM(C144),FIND(" ",TRIM(C144)&amp;" ")-1),",","."))+1,9))*12,NA()))),0),36)*'Aturan &amp; Tarif'!$B$4,2)</f>
        <v>2044.08</v>
      </c>
      <c r="K144" s="32" t="n">
        <f aca="false">'Aturan &amp; Tarif'!$B$5</f>
        <v>2050</v>
      </c>
      <c r="L144" s="35" t="n">
        <f aca="false">I144+J144+K144</f>
        <v>25944.08</v>
      </c>
      <c r="M144" s="37" t="s">
        <v>1307</v>
      </c>
    </row>
    <row r="145" customFormat="false" ht="25.5" hidden="false" customHeight="true" outlineLevel="0" collapsed="false">
      <c r="A145" s="29"/>
      <c r="B145" s="30" t="s">
        <v>1311</v>
      </c>
      <c r="C145" s="31" t="s">
        <v>127</v>
      </c>
      <c r="D145" s="31" t="s">
        <v>108</v>
      </c>
      <c r="E145" s="32" t="n">
        <v>10850</v>
      </c>
      <c r="F145" s="32"/>
      <c r="G145" s="32" t="n">
        <v>150</v>
      </c>
      <c r="H145" s="33" t="n">
        <v>2</v>
      </c>
      <c r="I145" s="34" t="n">
        <f aca="false">E145*H145+N(F145)+N(G145)</f>
        <v>21850</v>
      </c>
      <c r="J145" s="32" t="n">
        <f aca="false">ROUND(IFERROR(ROUND(IF(OR(ISNUMBER(SEARCH("week",C145)),ISNUMBER(SEARCH("minggu",C145))),IFERROR(_xlfn.NUMBERVALUE(SUBSTITUTE(LEFT(TRIM(C145),FIND(" ",TRIM(C145)&amp;" ")-1),",","."),"."),LEFT(SUBSTITUTE(LEFT(TRIM(C145),FIND(" ",TRIM(C145)&amp;" ")-1),",","."),FIND("/",SUBSTITUTE(LEFT(TRIM(C145),FIND(" ",TRIM(C145)&amp;" ")-1),",","."))-1)/MID(SUBSTITUTE(LEFT(TRIM(C145),FIND(" ",TRIM(C145)&amp;" ")-1),",","."),FIND("/",SUBSTITUTE(LEFT(TRIM(C145),FIND(" ",TRIM(C145)&amp;" ")-1),",","."))+1,9))*12/52,IF(ISNUMBER(SEARCH("month",C145)),IFERROR(_xlfn.NUMBERVALUE(SUBSTITUTE(LEFT(TRIM(C145),FIND(" ",TRIM(C145)&amp;" ")-1),",","."),"."),LEFT(SUBSTITUTE(LEFT(TRIM(C145),FIND(" ",TRIM(C145)&amp;" ")-1),",","."),FIND("/",SUBSTITUTE(LEFT(TRIM(C145),FIND(" ",TRIM(C145)&amp;" ")-1),",","."))-1)/MID(SUBSTITUTE(LEFT(TRIM(C145),FIND(" ",TRIM(C145)&amp;" ")-1),",","."),FIND("/",SUBSTITUTE(LEFT(TRIM(C145),FIND(" ",TRIM(C145)&amp;" ")-1),",","."))+1,9)),IF(ISNUMBER(SEARCH("yea",C145)),IFERROR(_xlfn.NUMBERVALUE(SUBSTITUTE(LEFT(TRIM(C145),FIND(" ",TRIM(C145)&amp;" ")-1),",","."),"."),LEFT(SUBSTITUTE(LEFT(TRIM(C145),FIND(" ",TRIM(C145)&amp;" ")-1),",","."),FIND("/",SUBSTITUTE(LEFT(TRIM(C145),FIND(" ",TRIM(C145)&amp;" ")-1),",","."))-1)/MID(SUBSTITUTE(LEFT(TRIM(C145),FIND(" ",TRIM(C145)&amp;" ")-1),",","."),FIND("/",SUBSTITUTE(LEFT(TRIM(C145),FIND(" ",TRIM(C145)&amp;" ")-1),",","."))+1,9))*12,NA()))),0),36)*'Aturan &amp; Tarif'!$B$4,2)</f>
        <v>2044.08</v>
      </c>
      <c r="K145" s="32" t="n">
        <f aca="false">'Aturan &amp; Tarif'!$B$5</f>
        <v>2050</v>
      </c>
      <c r="L145" s="35" t="n">
        <f aca="false">I145+J145+K145</f>
        <v>25944.08</v>
      </c>
      <c r="M145" s="37" t="s">
        <v>1307</v>
      </c>
    </row>
    <row r="146" customFormat="false" ht="25.5" hidden="false" customHeight="true" outlineLevel="0" collapsed="false">
      <c r="A146" s="29"/>
      <c r="B146" s="30" t="s">
        <v>1312</v>
      </c>
      <c r="C146" s="31" t="s">
        <v>127</v>
      </c>
      <c r="D146" s="31" t="s">
        <v>108</v>
      </c>
      <c r="E146" s="32" t="n">
        <v>10850</v>
      </c>
      <c r="F146" s="32"/>
      <c r="G146" s="32" t="n">
        <v>150</v>
      </c>
      <c r="H146" s="33" t="n">
        <v>2</v>
      </c>
      <c r="I146" s="34" t="n">
        <f aca="false">E146*H146+N(F146)+N(G146)</f>
        <v>21850</v>
      </c>
      <c r="J146" s="32" t="n">
        <f aca="false">ROUND(IFERROR(ROUND(IF(OR(ISNUMBER(SEARCH("week",C146)),ISNUMBER(SEARCH("minggu",C146))),IFERROR(_xlfn.NUMBERVALUE(SUBSTITUTE(LEFT(TRIM(C146),FIND(" ",TRIM(C146)&amp;" ")-1),",","."),"."),LEFT(SUBSTITUTE(LEFT(TRIM(C146),FIND(" ",TRIM(C146)&amp;" ")-1),",","."),FIND("/",SUBSTITUTE(LEFT(TRIM(C146),FIND(" ",TRIM(C146)&amp;" ")-1),",","."))-1)/MID(SUBSTITUTE(LEFT(TRIM(C146),FIND(" ",TRIM(C146)&amp;" ")-1),",","."),FIND("/",SUBSTITUTE(LEFT(TRIM(C146),FIND(" ",TRIM(C146)&amp;" ")-1),",","."))+1,9))*12/52,IF(ISNUMBER(SEARCH("month",C146)),IFERROR(_xlfn.NUMBERVALUE(SUBSTITUTE(LEFT(TRIM(C146),FIND(" ",TRIM(C146)&amp;" ")-1),",","."),"."),LEFT(SUBSTITUTE(LEFT(TRIM(C146),FIND(" ",TRIM(C146)&amp;" ")-1),",","."),FIND("/",SUBSTITUTE(LEFT(TRIM(C146),FIND(" ",TRIM(C146)&amp;" ")-1),",","."))-1)/MID(SUBSTITUTE(LEFT(TRIM(C146),FIND(" ",TRIM(C146)&amp;" ")-1),",","."),FIND("/",SUBSTITUTE(LEFT(TRIM(C146),FIND(" ",TRIM(C146)&amp;" ")-1),",","."))+1,9)),IF(ISNUMBER(SEARCH("yea",C146)),IFERROR(_xlfn.NUMBERVALUE(SUBSTITUTE(LEFT(TRIM(C146),FIND(" ",TRIM(C146)&amp;" ")-1),",","."),"."),LEFT(SUBSTITUTE(LEFT(TRIM(C146),FIND(" ",TRIM(C146)&amp;" ")-1),",","."),FIND("/",SUBSTITUTE(LEFT(TRIM(C146),FIND(" ",TRIM(C146)&amp;" ")-1),",","."))-1)/MID(SUBSTITUTE(LEFT(TRIM(C146),FIND(" ",TRIM(C146)&amp;" ")-1),",","."),FIND("/",SUBSTITUTE(LEFT(TRIM(C146),FIND(" ",TRIM(C146)&amp;" ")-1),",","."))+1,9))*12,NA()))),0),36)*'Aturan &amp; Tarif'!$B$4,2)</f>
        <v>2044.08</v>
      </c>
      <c r="K146" s="32" t="n">
        <f aca="false">'Aturan &amp; Tarif'!$B$5</f>
        <v>2050</v>
      </c>
      <c r="L146" s="35" t="n">
        <f aca="false">I146+J146+K146</f>
        <v>25944.08</v>
      </c>
      <c r="M146" s="37" t="s">
        <v>1307</v>
      </c>
    </row>
    <row r="147" customFormat="false" ht="25.5" hidden="false" customHeight="true" outlineLevel="0" collapsed="false">
      <c r="A147" s="29"/>
      <c r="B147" s="30" t="s">
        <v>1313</v>
      </c>
      <c r="C147" s="31" t="s">
        <v>127</v>
      </c>
      <c r="D147" s="31" t="s">
        <v>108</v>
      </c>
      <c r="E147" s="32" t="n">
        <v>10850</v>
      </c>
      <c r="F147" s="32"/>
      <c r="G147" s="32" t="n">
        <v>150</v>
      </c>
      <c r="H147" s="33" t="n">
        <v>2</v>
      </c>
      <c r="I147" s="34" t="n">
        <f aca="false">E147*H147+N(F147)+N(G147)</f>
        <v>21850</v>
      </c>
      <c r="J147" s="32" t="n">
        <f aca="false">ROUND(IFERROR(ROUND(IF(OR(ISNUMBER(SEARCH("week",C147)),ISNUMBER(SEARCH("minggu",C147))),IFERROR(_xlfn.NUMBERVALUE(SUBSTITUTE(LEFT(TRIM(C147),FIND(" ",TRIM(C147)&amp;" ")-1),",","."),"."),LEFT(SUBSTITUTE(LEFT(TRIM(C147),FIND(" ",TRIM(C147)&amp;" ")-1),",","."),FIND("/",SUBSTITUTE(LEFT(TRIM(C147),FIND(" ",TRIM(C147)&amp;" ")-1),",","."))-1)/MID(SUBSTITUTE(LEFT(TRIM(C147),FIND(" ",TRIM(C147)&amp;" ")-1),",","."),FIND("/",SUBSTITUTE(LEFT(TRIM(C147),FIND(" ",TRIM(C147)&amp;" ")-1),",","."))+1,9))*12/52,IF(ISNUMBER(SEARCH("month",C147)),IFERROR(_xlfn.NUMBERVALUE(SUBSTITUTE(LEFT(TRIM(C147),FIND(" ",TRIM(C147)&amp;" ")-1),",","."),"."),LEFT(SUBSTITUTE(LEFT(TRIM(C147),FIND(" ",TRIM(C147)&amp;" ")-1),",","."),FIND("/",SUBSTITUTE(LEFT(TRIM(C147),FIND(" ",TRIM(C147)&amp;" ")-1),",","."))-1)/MID(SUBSTITUTE(LEFT(TRIM(C147),FIND(" ",TRIM(C147)&amp;" ")-1),",","."),FIND("/",SUBSTITUTE(LEFT(TRIM(C147),FIND(" ",TRIM(C147)&amp;" ")-1),",","."))+1,9)),IF(ISNUMBER(SEARCH("yea",C147)),IFERROR(_xlfn.NUMBERVALUE(SUBSTITUTE(LEFT(TRIM(C147),FIND(" ",TRIM(C147)&amp;" ")-1),",","."),"."),LEFT(SUBSTITUTE(LEFT(TRIM(C147),FIND(" ",TRIM(C147)&amp;" ")-1),",","."),FIND("/",SUBSTITUTE(LEFT(TRIM(C147),FIND(" ",TRIM(C147)&amp;" ")-1),",","."))-1)/MID(SUBSTITUTE(LEFT(TRIM(C147),FIND(" ",TRIM(C147)&amp;" ")-1),",","."),FIND("/",SUBSTITUTE(LEFT(TRIM(C147),FIND(" ",TRIM(C147)&amp;" ")-1),",","."))+1,9))*12,NA()))),0),36)*'Aturan &amp; Tarif'!$B$4,2)</f>
        <v>2044.08</v>
      </c>
      <c r="K147" s="32" t="n">
        <f aca="false">'Aturan &amp; Tarif'!$B$5</f>
        <v>2050</v>
      </c>
      <c r="L147" s="35" t="n">
        <f aca="false">I147+J147+K147</f>
        <v>25944.08</v>
      </c>
      <c r="M147" s="37" t="s">
        <v>1307</v>
      </c>
    </row>
    <row r="148" customFormat="false" ht="25.5" hidden="false" customHeight="true" outlineLevel="0" collapsed="false">
      <c r="A148" s="29"/>
      <c r="B148" s="30" t="s">
        <v>1314</v>
      </c>
      <c r="C148" s="31" t="s">
        <v>127</v>
      </c>
      <c r="D148" s="31" t="s">
        <v>108</v>
      </c>
      <c r="E148" s="32" t="n">
        <v>10850</v>
      </c>
      <c r="F148" s="32"/>
      <c r="G148" s="32" t="n">
        <v>150</v>
      </c>
      <c r="H148" s="33" t="n">
        <v>2</v>
      </c>
      <c r="I148" s="34" t="n">
        <f aca="false">E148*H148+N(F148)+N(G148)</f>
        <v>21850</v>
      </c>
      <c r="J148" s="32" t="n">
        <f aca="false">ROUND(IFERROR(ROUND(IF(OR(ISNUMBER(SEARCH("week",C148)),ISNUMBER(SEARCH("minggu",C148))),IFERROR(_xlfn.NUMBERVALUE(SUBSTITUTE(LEFT(TRIM(C148),FIND(" ",TRIM(C148)&amp;" ")-1),",","."),"."),LEFT(SUBSTITUTE(LEFT(TRIM(C148),FIND(" ",TRIM(C148)&amp;" ")-1),",","."),FIND("/",SUBSTITUTE(LEFT(TRIM(C148),FIND(" ",TRIM(C148)&amp;" ")-1),",","."))-1)/MID(SUBSTITUTE(LEFT(TRIM(C148),FIND(" ",TRIM(C148)&amp;" ")-1),",","."),FIND("/",SUBSTITUTE(LEFT(TRIM(C148),FIND(" ",TRIM(C148)&amp;" ")-1),",","."))+1,9))*12/52,IF(ISNUMBER(SEARCH("month",C148)),IFERROR(_xlfn.NUMBERVALUE(SUBSTITUTE(LEFT(TRIM(C148),FIND(" ",TRIM(C148)&amp;" ")-1),",","."),"."),LEFT(SUBSTITUTE(LEFT(TRIM(C148),FIND(" ",TRIM(C148)&amp;" ")-1),",","."),FIND("/",SUBSTITUTE(LEFT(TRIM(C148),FIND(" ",TRIM(C148)&amp;" ")-1),",","."))-1)/MID(SUBSTITUTE(LEFT(TRIM(C148),FIND(" ",TRIM(C148)&amp;" ")-1),",","."),FIND("/",SUBSTITUTE(LEFT(TRIM(C148),FIND(" ",TRIM(C148)&amp;" ")-1),",","."))+1,9)),IF(ISNUMBER(SEARCH("yea",C148)),IFERROR(_xlfn.NUMBERVALUE(SUBSTITUTE(LEFT(TRIM(C148),FIND(" ",TRIM(C148)&amp;" ")-1),",","."),"."),LEFT(SUBSTITUTE(LEFT(TRIM(C148),FIND(" ",TRIM(C148)&amp;" ")-1),",","."),FIND("/",SUBSTITUTE(LEFT(TRIM(C148),FIND(" ",TRIM(C148)&amp;" ")-1),",","."))-1)/MID(SUBSTITUTE(LEFT(TRIM(C148),FIND(" ",TRIM(C148)&amp;" ")-1),",","."),FIND("/",SUBSTITUTE(LEFT(TRIM(C148),FIND(" ",TRIM(C148)&amp;" ")-1),",","."))+1,9))*12,NA()))),0),36)*'Aturan &amp; Tarif'!$B$4,2)</f>
        <v>2044.08</v>
      </c>
      <c r="K148" s="32" t="n">
        <f aca="false">'Aturan &amp; Tarif'!$B$5</f>
        <v>2050</v>
      </c>
      <c r="L148" s="35" t="n">
        <f aca="false">I148+J148+K148</f>
        <v>25944.08</v>
      </c>
      <c r="M148" s="37" t="s">
        <v>1307</v>
      </c>
    </row>
    <row r="149" customFormat="false" ht="25.5" hidden="false" customHeight="true" outlineLevel="0" collapsed="false">
      <c r="A149" s="29"/>
      <c r="B149" s="30" t="s">
        <v>1315</v>
      </c>
      <c r="C149" s="31" t="s">
        <v>127</v>
      </c>
      <c r="D149" s="31" t="s">
        <v>108</v>
      </c>
      <c r="E149" s="32" t="n">
        <v>10850</v>
      </c>
      <c r="F149" s="32"/>
      <c r="G149" s="32" t="n">
        <v>150</v>
      </c>
      <c r="H149" s="33" t="n">
        <v>2</v>
      </c>
      <c r="I149" s="34" t="n">
        <f aca="false">E149*H149+N(F149)+N(G149)</f>
        <v>21850</v>
      </c>
      <c r="J149" s="32" t="n">
        <f aca="false">ROUND(IFERROR(ROUND(IF(OR(ISNUMBER(SEARCH("week",C149)),ISNUMBER(SEARCH("minggu",C149))),IFERROR(_xlfn.NUMBERVALUE(SUBSTITUTE(LEFT(TRIM(C149),FIND(" ",TRIM(C149)&amp;" ")-1),",","."),"."),LEFT(SUBSTITUTE(LEFT(TRIM(C149),FIND(" ",TRIM(C149)&amp;" ")-1),",","."),FIND("/",SUBSTITUTE(LEFT(TRIM(C149),FIND(" ",TRIM(C149)&amp;" ")-1),",","."))-1)/MID(SUBSTITUTE(LEFT(TRIM(C149),FIND(" ",TRIM(C149)&amp;" ")-1),",","."),FIND("/",SUBSTITUTE(LEFT(TRIM(C149),FIND(" ",TRIM(C149)&amp;" ")-1),",","."))+1,9))*12/52,IF(ISNUMBER(SEARCH("month",C149)),IFERROR(_xlfn.NUMBERVALUE(SUBSTITUTE(LEFT(TRIM(C149),FIND(" ",TRIM(C149)&amp;" ")-1),",","."),"."),LEFT(SUBSTITUTE(LEFT(TRIM(C149),FIND(" ",TRIM(C149)&amp;" ")-1),",","."),FIND("/",SUBSTITUTE(LEFT(TRIM(C149),FIND(" ",TRIM(C149)&amp;" ")-1),",","."))-1)/MID(SUBSTITUTE(LEFT(TRIM(C149),FIND(" ",TRIM(C149)&amp;" ")-1),",","."),FIND("/",SUBSTITUTE(LEFT(TRIM(C149),FIND(" ",TRIM(C149)&amp;" ")-1),",","."))+1,9)),IF(ISNUMBER(SEARCH("yea",C149)),IFERROR(_xlfn.NUMBERVALUE(SUBSTITUTE(LEFT(TRIM(C149),FIND(" ",TRIM(C149)&amp;" ")-1),",","."),"."),LEFT(SUBSTITUTE(LEFT(TRIM(C149),FIND(" ",TRIM(C149)&amp;" ")-1),",","."),FIND("/",SUBSTITUTE(LEFT(TRIM(C149),FIND(" ",TRIM(C149)&amp;" ")-1),",","."))-1)/MID(SUBSTITUTE(LEFT(TRIM(C149),FIND(" ",TRIM(C149)&amp;" ")-1),",","."),FIND("/",SUBSTITUTE(LEFT(TRIM(C149),FIND(" ",TRIM(C149)&amp;" ")-1),",","."))+1,9))*12,NA()))),0),36)*'Aturan &amp; Tarif'!$B$4,2)</f>
        <v>2044.08</v>
      </c>
      <c r="K149" s="32" t="n">
        <f aca="false">'Aturan &amp; Tarif'!$B$5</f>
        <v>2050</v>
      </c>
      <c r="L149" s="35" t="n">
        <f aca="false">I149+J149+K149</f>
        <v>25944.08</v>
      </c>
      <c r="M149" s="37" t="s">
        <v>1307</v>
      </c>
    </row>
    <row r="150" customFormat="false" ht="14.25" hidden="false" customHeight="true" outlineLevel="0" collapsed="false">
      <c r="A150" s="29"/>
      <c r="B150" s="30" t="s">
        <v>1316</v>
      </c>
      <c r="C150" s="31" t="s">
        <v>127</v>
      </c>
      <c r="D150" s="31" t="s">
        <v>108</v>
      </c>
      <c r="E150" s="32" t="n">
        <v>11850</v>
      </c>
      <c r="F150" s="32"/>
      <c r="G150" s="32" t="n">
        <v>150</v>
      </c>
      <c r="H150" s="33" t="n">
        <v>2</v>
      </c>
      <c r="I150" s="34" t="n">
        <f aca="false">E150*H150+N(F150)+N(G150)</f>
        <v>23850</v>
      </c>
      <c r="J150" s="32" t="n">
        <f aca="false">ROUND(IFERROR(ROUND(IF(OR(ISNUMBER(SEARCH("week",C150)),ISNUMBER(SEARCH("minggu",C150))),IFERROR(_xlfn.NUMBERVALUE(SUBSTITUTE(LEFT(TRIM(C150),FIND(" ",TRIM(C150)&amp;" ")-1),",","."),"."),LEFT(SUBSTITUTE(LEFT(TRIM(C150),FIND(" ",TRIM(C150)&amp;" ")-1),",","."),FIND("/",SUBSTITUTE(LEFT(TRIM(C150),FIND(" ",TRIM(C150)&amp;" ")-1),",","."))-1)/MID(SUBSTITUTE(LEFT(TRIM(C150),FIND(" ",TRIM(C150)&amp;" ")-1),",","."),FIND("/",SUBSTITUTE(LEFT(TRIM(C150),FIND(" ",TRIM(C150)&amp;" ")-1),",","."))+1,9))*12/52,IF(ISNUMBER(SEARCH("month",C150)),IFERROR(_xlfn.NUMBERVALUE(SUBSTITUTE(LEFT(TRIM(C150),FIND(" ",TRIM(C150)&amp;" ")-1),",","."),"."),LEFT(SUBSTITUTE(LEFT(TRIM(C150),FIND(" ",TRIM(C150)&amp;" ")-1),",","."),FIND("/",SUBSTITUTE(LEFT(TRIM(C150),FIND(" ",TRIM(C150)&amp;" ")-1),",","."))-1)/MID(SUBSTITUTE(LEFT(TRIM(C150),FIND(" ",TRIM(C150)&amp;" ")-1),",","."),FIND("/",SUBSTITUTE(LEFT(TRIM(C150),FIND(" ",TRIM(C150)&amp;" ")-1),",","."))+1,9)),IF(ISNUMBER(SEARCH("yea",C150)),IFERROR(_xlfn.NUMBERVALUE(SUBSTITUTE(LEFT(TRIM(C150),FIND(" ",TRIM(C150)&amp;" ")-1),",","."),"."),LEFT(SUBSTITUTE(LEFT(TRIM(C150),FIND(" ",TRIM(C150)&amp;" ")-1),",","."),FIND("/",SUBSTITUTE(LEFT(TRIM(C150),FIND(" ",TRIM(C150)&amp;" ")-1),",","."))-1)/MID(SUBSTITUTE(LEFT(TRIM(C150),FIND(" ",TRIM(C150)&amp;" ")-1),",","."),FIND("/",SUBSTITUTE(LEFT(TRIM(C150),FIND(" ",TRIM(C150)&amp;" ")-1),",","."))+1,9))*12,NA()))),0),36)*'Aturan &amp; Tarif'!$B$4,2)</f>
        <v>2044.08</v>
      </c>
      <c r="K150" s="32" t="n">
        <f aca="false">'Aturan &amp; Tarif'!$B$5</f>
        <v>2050</v>
      </c>
      <c r="L150" s="35" t="n">
        <f aca="false">I150+J150+K150</f>
        <v>27944.08</v>
      </c>
      <c r="M150" s="37" t="s">
        <v>846</v>
      </c>
    </row>
    <row r="151" customFormat="false" ht="25.5" hidden="false" customHeight="true" outlineLevel="0" collapsed="false">
      <c r="A151" s="29"/>
      <c r="B151" s="30" t="s">
        <v>1317</v>
      </c>
      <c r="C151" s="31" t="s">
        <v>191</v>
      </c>
      <c r="D151" s="31" t="s">
        <v>108</v>
      </c>
      <c r="E151" s="32" t="n">
        <v>14275</v>
      </c>
      <c r="F151" s="32"/>
      <c r="G151" s="32" t="n">
        <v>150</v>
      </c>
      <c r="H151" s="33" t="n">
        <v>2</v>
      </c>
      <c r="I151" s="34" t="n">
        <f aca="false">E151*H151+N(F151)+N(G151)</f>
        <v>28700</v>
      </c>
      <c r="J151" s="32" t="n">
        <f aca="false">ROUND(IFERROR(ROUND(IF(OR(ISNUMBER(SEARCH("week",C151)),ISNUMBER(SEARCH("minggu",C151))),IFERROR(_xlfn.NUMBERVALUE(SUBSTITUTE(LEFT(TRIM(C151),FIND(" ",TRIM(C151)&amp;" ")-1),",","."),"."),LEFT(SUBSTITUTE(LEFT(TRIM(C151),FIND(" ",TRIM(C151)&amp;" ")-1),",","."),FIND("/",SUBSTITUTE(LEFT(TRIM(C151),FIND(" ",TRIM(C151)&amp;" ")-1),",","."))-1)/MID(SUBSTITUTE(LEFT(TRIM(C151),FIND(" ",TRIM(C151)&amp;" ")-1),",","."),FIND("/",SUBSTITUTE(LEFT(TRIM(C151),FIND(" ",TRIM(C151)&amp;" ")-1),",","."))+1,9))*12/52,IF(ISNUMBER(SEARCH("month",C151)),IFERROR(_xlfn.NUMBERVALUE(SUBSTITUTE(LEFT(TRIM(C151),FIND(" ",TRIM(C151)&amp;" ")-1),",","."),"."),LEFT(SUBSTITUTE(LEFT(TRIM(C151),FIND(" ",TRIM(C151)&amp;" ")-1),",","."),FIND("/",SUBSTITUTE(LEFT(TRIM(C151),FIND(" ",TRIM(C151)&amp;" ")-1),",","."))-1)/MID(SUBSTITUTE(LEFT(TRIM(C151),FIND(" ",TRIM(C151)&amp;" ")-1),",","."),FIND("/",SUBSTITUTE(LEFT(TRIM(C151),FIND(" ",TRIM(C151)&amp;" ")-1),",","."))+1,9)),IF(ISNUMBER(SEARCH("yea",C151)),IFERROR(_xlfn.NUMBERVALUE(SUBSTITUTE(LEFT(TRIM(C151),FIND(" ",TRIM(C151)&amp;" ")-1),",","."),"."),LEFT(SUBSTITUTE(LEFT(TRIM(C151),FIND(" ",TRIM(C151)&amp;" ")-1),",","."),FIND("/",SUBSTITUTE(LEFT(TRIM(C151),FIND(" ",TRIM(C151)&amp;" ")-1),",","."))-1)/MID(SUBSTITUTE(LEFT(TRIM(C151),FIND(" ",TRIM(C151)&amp;" ")-1),",","."),FIND("/",SUBSTITUTE(LEFT(TRIM(C151),FIND(" ",TRIM(C151)&amp;" ")-1),",","."))+1,9))*12,NA()))),0),48)*'Aturan &amp; Tarif'!$B$4,2)</f>
        <v>2725.44</v>
      </c>
      <c r="K151" s="32" t="n">
        <f aca="false">'Aturan &amp; Tarif'!$B$5</f>
        <v>2050</v>
      </c>
      <c r="L151" s="35" t="n">
        <f aca="false">I151+J151+K151</f>
        <v>33475.44</v>
      </c>
      <c r="M151" s="37" t="s">
        <v>846</v>
      </c>
    </row>
    <row r="152" customFormat="false" ht="14.25" hidden="false" customHeight="true" outlineLevel="0" collapsed="false">
      <c r="A152" s="29"/>
      <c r="B152" s="30" t="s">
        <v>1318</v>
      </c>
      <c r="C152" s="31" t="s">
        <v>191</v>
      </c>
      <c r="D152" s="31" t="s">
        <v>108</v>
      </c>
      <c r="E152" s="32" t="n">
        <v>14275</v>
      </c>
      <c r="F152" s="32"/>
      <c r="G152" s="32" t="n">
        <v>150</v>
      </c>
      <c r="H152" s="33" t="n">
        <v>2</v>
      </c>
      <c r="I152" s="34" t="n">
        <f aca="false">E152*H152+N(F152)+N(G152)</f>
        <v>28700</v>
      </c>
      <c r="J152" s="32" t="n">
        <f aca="false">ROUND(IFERROR(ROUND(IF(OR(ISNUMBER(SEARCH("week",C152)),ISNUMBER(SEARCH("minggu",C152))),IFERROR(_xlfn.NUMBERVALUE(SUBSTITUTE(LEFT(TRIM(C152),FIND(" ",TRIM(C152)&amp;" ")-1),",","."),"."),LEFT(SUBSTITUTE(LEFT(TRIM(C152),FIND(" ",TRIM(C152)&amp;" ")-1),",","."),FIND("/",SUBSTITUTE(LEFT(TRIM(C152),FIND(" ",TRIM(C152)&amp;" ")-1),",","."))-1)/MID(SUBSTITUTE(LEFT(TRIM(C152),FIND(" ",TRIM(C152)&amp;" ")-1),",","."),FIND("/",SUBSTITUTE(LEFT(TRIM(C152),FIND(" ",TRIM(C152)&amp;" ")-1),",","."))+1,9))*12/52,IF(ISNUMBER(SEARCH("month",C152)),IFERROR(_xlfn.NUMBERVALUE(SUBSTITUTE(LEFT(TRIM(C152),FIND(" ",TRIM(C152)&amp;" ")-1),",","."),"."),LEFT(SUBSTITUTE(LEFT(TRIM(C152),FIND(" ",TRIM(C152)&amp;" ")-1),",","."),FIND("/",SUBSTITUTE(LEFT(TRIM(C152),FIND(" ",TRIM(C152)&amp;" ")-1),",","."))-1)/MID(SUBSTITUTE(LEFT(TRIM(C152),FIND(" ",TRIM(C152)&amp;" ")-1),",","."),FIND("/",SUBSTITUTE(LEFT(TRIM(C152),FIND(" ",TRIM(C152)&amp;" ")-1),",","."))+1,9)),IF(ISNUMBER(SEARCH("yea",C152)),IFERROR(_xlfn.NUMBERVALUE(SUBSTITUTE(LEFT(TRIM(C152),FIND(" ",TRIM(C152)&amp;" ")-1),",","."),"."),LEFT(SUBSTITUTE(LEFT(TRIM(C152),FIND(" ",TRIM(C152)&amp;" ")-1),",","."),FIND("/",SUBSTITUTE(LEFT(TRIM(C152),FIND(" ",TRIM(C152)&amp;" ")-1),",","."))-1)/MID(SUBSTITUTE(LEFT(TRIM(C152),FIND(" ",TRIM(C152)&amp;" ")-1),",","."),FIND("/",SUBSTITUTE(LEFT(TRIM(C152),FIND(" ",TRIM(C152)&amp;" ")-1),",","."))+1,9))*12,NA()))),0),48)*'Aturan &amp; Tarif'!$B$4,2)</f>
        <v>2725.44</v>
      </c>
      <c r="K152" s="32" t="n">
        <f aca="false">'Aturan &amp; Tarif'!$B$5</f>
        <v>2050</v>
      </c>
      <c r="L152" s="35" t="n">
        <f aca="false">I152+J152+K152</f>
        <v>33475.44</v>
      </c>
      <c r="M152" s="37" t="s">
        <v>1319</v>
      </c>
    </row>
    <row r="153" customFormat="false" ht="25.5" hidden="false" customHeight="true" outlineLevel="0" collapsed="false">
      <c r="A153" s="29"/>
      <c r="B153" s="30" t="s">
        <v>1320</v>
      </c>
      <c r="C153" s="31" t="s">
        <v>191</v>
      </c>
      <c r="D153" s="31" t="s">
        <v>108</v>
      </c>
      <c r="E153" s="32" t="n">
        <v>14275</v>
      </c>
      <c r="F153" s="32"/>
      <c r="G153" s="32" t="n">
        <v>150</v>
      </c>
      <c r="H153" s="33" t="n">
        <v>2</v>
      </c>
      <c r="I153" s="34" t="n">
        <f aca="false">E153*H153+N(F153)+N(G153)</f>
        <v>28700</v>
      </c>
      <c r="J153" s="32" t="n">
        <f aca="false">ROUND(IFERROR(ROUND(IF(OR(ISNUMBER(SEARCH("week",C153)),ISNUMBER(SEARCH("minggu",C153))),IFERROR(_xlfn.NUMBERVALUE(SUBSTITUTE(LEFT(TRIM(C153),FIND(" ",TRIM(C153)&amp;" ")-1),",","."),"."),LEFT(SUBSTITUTE(LEFT(TRIM(C153),FIND(" ",TRIM(C153)&amp;" ")-1),",","."),FIND("/",SUBSTITUTE(LEFT(TRIM(C153),FIND(" ",TRIM(C153)&amp;" ")-1),",","."))-1)/MID(SUBSTITUTE(LEFT(TRIM(C153),FIND(" ",TRIM(C153)&amp;" ")-1),",","."),FIND("/",SUBSTITUTE(LEFT(TRIM(C153),FIND(" ",TRIM(C153)&amp;" ")-1),",","."))+1,9))*12/52,IF(ISNUMBER(SEARCH("month",C153)),IFERROR(_xlfn.NUMBERVALUE(SUBSTITUTE(LEFT(TRIM(C153),FIND(" ",TRIM(C153)&amp;" ")-1),",","."),"."),LEFT(SUBSTITUTE(LEFT(TRIM(C153),FIND(" ",TRIM(C153)&amp;" ")-1),",","."),FIND("/",SUBSTITUTE(LEFT(TRIM(C153),FIND(" ",TRIM(C153)&amp;" ")-1),",","."))-1)/MID(SUBSTITUTE(LEFT(TRIM(C153),FIND(" ",TRIM(C153)&amp;" ")-1),",","."),FIND("/",SUBSTITUTE(LEFT(TRIM(C153),FIND(" ",TRIM(C153)&amp;" ")-1),",","."))+1,9)),IF(ISNUMBER(SEARCH("yea",C153)),IFERROR(_xlfn.NUMBERVALUE(SUBSTITUTE(LEFT(TRIM(C153),FIND(" ",TRIM(C153)&amp;" ")-1),",","."),"."),LEFT(SUBSTITUTE(LEFT(TRIM(C153),FIND(" ",TRIM(C153)&amp;" ")-1),",","."),FIND("/",SUBSTITUTE(LEFT(TRIM(C153),FIND(" ",TRIM(C153)&amp;" ")-1),",","."))-1)/MID(SUBSTITUTE(LEFT(TRIM(C153),FIND(" ",TRIM(C153)&amp;" ")-1),",","."),FIND("/",SUBSTITUTE(LEFT(TRIM(C153),FIND(" ",TRIM(C153)&amp;" ")-1),",","."))+1,9))*12,NA()))),0),48)*'Aturan &amp; Tarif'!$B$4,2)</f>
        <v>2725.44</v>
      </c>
      <c r="K153" s="32" t="n">
        <f aca="false">'Aturan &amp; Tarif'!$B$5</f>
        <v>2050</v>
      </c>
      <c r="L153" s="35" t="n">
        <f aca="false">I153+J153+K153</f>
        <v>33475.44</v>
      </c>
      <c r="M153" s="37" t="s">
        <v>846</v>
      </c>
    </row>
    <row r="154" customFormat="false" ht="25.5" hidden="false" customHeight="true" outlineLevel="0" collapsed="false">
      <c r="A154" s="29"/>
      <c r="B154" s="30" t="s">
        <v>1321</v>
      </c>
      <c r="C154" s="31" t="s">
        <v>191</v>
      </c>
      <c r="D154" s="31" t="s">
        <v>108</v>
      </c>
      <c r="E154" s="32" t="n">
        <v>14275</v>
      </c>
      <c r="F154" s="32"/>
      <c r="G154" s="32" t="n">
        <v>150</v>
      </c>
      <c r="H154" s="33" t="n">
        <v>2</v>
      </c>
      <c r="I154" s="34" t="n">
        <f aca="false">E154*H154+N(F154)+N(G154)</f>
        <v>28700</v>
      </c>
      <c r="J154" s="32" t="n">
        <f aca="false">ROUND(IFERROR(ROUND(IF(OR(ISNUMBER(SEARCH("week",C154)),ISNUMBER(SEARCH("minggu",C154))),IFERROR(_xlfn.NUMBERVALUE(SUBSTITUTE(LEFT(TRIM(C154),FIND(" ",TRIM(C154)&amp;" ")-1),",","."),"."),LEFT(SUBSTITUTE(LEFT(TRIM(C154),FIND(" ",TRIM(C154)&amp;" ")-1),",","."),FIND("/",SUBSTITUTE(LEFT(TRIM(C154),FIND(" ",TRIM(C154)&amp;" ")-1),",","."))-1)/MID(SUBSTITUTE(LEFT(TRIM(C154),FIND(" ",TRIM(C154)&amp;" ")-1),",","."),FIND("/",SUBSTITUTE(LEFT(TRIM(C154),FIND(" ",TRIM(C154)&amp;" ")-1),",","."))+1,9))*12/52,IF(ISNUMBER(SEARCH("month",C154)),IFERROR(_xlfn.NUMBERVALUE(SUBSTITUTE(LEFT(TRIM(C154),FIND(" ",TRIM(C154)&amp;" ")-1),",","."),"."),LEFT(SUBSTITUTE(LEFT(TRIM(C154),FIND(" ",TRIM(C154)&amp;" ")-1),",","."),FIND("/",SUBSTITUTE(LEFT(TRIM(C154),FIND(" ",TRIM(C154)&amp;" ")-1),",","."))-1)/MID(SUBSTITUTE(LEFT(TRIM(C154),FIND(" ",TRIM(C154)&amp;" ")-1),",","."),FIND("/",SUBSTITUTE(LEFT(TRIM(C154),FIND(" ",TRIM(C154)&amp;" ")-1),",","."))+1,9)),IF(ISNUMBER(SEARCH("yea",C154)),IFERROR(_xlfn.NUMBERVALUE(SUBSTITUTE(LEFT(TRIM(C154),FIND(" ",TRIM(C154)&amp;" ")-1),",","."),"."),LEFT(SUBSTITUTE(LEFT(TRIM(C154),FIND(" ",TRIM(C154)&amp;" ")-1),",","."),FIND("/",SUBSTITUTE(LEFT(TRIM(C154),FIND(" ",TRIM(C154)&amp;" ")-1),",","."))-1)/MID(SUBSTITUTE(LEFT(TRIM(C154),FIND(" ",TRIM(C154)&amp;" ")-1),",","."),FIND("/",SUBSTITUTE(LEFT(TRIM(C154),FIND(" ",TRIM(C154)&amp;" ")-1),",","."))+1,9))*12,NA()))),0),48)*'Aturan &amp; Tarif'!$B$4,2)</f>
        <v>2725.44</v>
      </c>
      <c r="K154" s="32" t="n">
        <f aca="false">'Aturan &amp; Tarif'!$B$5</f>
        <v>2050</v>
      </c>
      <c r="L154" s="35" t="n">
        <f aca="false">I154+J154+K154</f>
        <v>33475.44</v>
      </c>
      <c r="M154" s="37" t="s">
        <v>846</v>
      </c>
    </row>
    <row r="155" customFormat="false" ht="25.5" hidden="false" customHeight="true" outlineLevel="0" collapsed="false">
      <c r="A155" s="29"/>
      <c r="B155" s="30" t="s">
        <v>1322</v>
      </c>
      <c r="C155" s="31" t="s">
        <v>191</v>
      </c>
      <c r="D155" s="31" t="s">
        <v>108</v>
      </c>
      <c r="E155" s="32" t="n">
        <v>14275</v>
      </c>
      <c r="F155" s="32"/>
      <c r="G155" s="32" t="n">
        <v>150</v>
      </c>
      <c r="H155" s="33" t="n">
        <v>2</v>
      </c>
      <c r="I155" s="34" t="n">
        <f aca="false">E155*H155+N(F155)+N(G155)</f>
        <v>28700</v>
      </c>
      <c r="J155" s="32" t="n">
        <f aca="false">ROUND(IFERROR(ROUND(IF(OR(ISNUMBER(SEARCH("week",C155)),ISNUMBER(SEARCH("minggu",C155))),IFERROR(_xlfn.NUMBERVALUE(SUBSTITUTE(LEFT(TRIM(C155),FIND(" ",TRIM(C155)&amp;" ")-1),",","."),"."),LEFT(SUBSTITUTE(LEFT(TRIM(C155),FIND(" ",TRIM(C155)&amp;" ")-1),",","."),FIND("/",SUBSTITUTE(LEFT(TRIM(C155),FIND(" ",TRIM(C155)&amp;" ")-1),",","."))-1)/MID(SUBSTITUTE(LEFT(TRIM(C155),FIND(" ",TRIM(C155)&amp;" ")-1),",","."),FIND("/",SUBSTITUTE(LEFT(TRIM(C155),FIND(" ",TRIM(C155)&amp;" ")-1),",","."))+1,9))*12/52,IF(ISNUMBER(SEARCH("month",C155)),IFERROR(_xlfn.NUMBERVALUE(SUBSTITUTE(LEFT(TRIM(C155),FIND(" ",TRIM(C155)&amp;" ")-1),",","."),"."),LEFT(SUBSTITUTE(LEFT(TRIM(C155),FIND(" ",TRIM(C155)&amp;" ")-1),",","."),FIND("/",SUBSTITUTE(LEFT(TRIM(C155),FIND(" ",TRIM(C155)&amp;" ")-1),",","."))-1)/MID(SUBSTITUTE(LEFT(TRIM(C155),FIND(" ",TRIM(C155)&amp;" ")-1),",","."),FIND("/",SUBSTITUTE(LEFT(TRIM(C155),FIND(" ",TRIM(C155)&amp;" ")-1),",","."))+1,9)),IF(ISNUMBER(SEARCH("yea",C155)),IFERROR(_xlfn.NUMBERVALUE(SUBSTITUTE(LEFT(TRIM(C155),FIND(" ",TRIM(C155)&amp;" ")-1),",","."),"."),LEFT(SUBSTITUTE(LEFT(TRIM(C155),FIND(" ",TRIM(C155)&amp;" ")-1),",","."),FIND("/",SUBSTITUTE(LEFT(TRIM(C155),FIND(" ",TRIM(C155)&amp;" ")-1),",","."))-1)/MID(SUBSTITUTE(LEFT(TRIM(C155),FIND(" ",TRIM(C155)&amp;" ")-1),",","."),FIND("/",SUBSTITUTE(LEFT(TRIM(C155),FIND(" ",TRIM(C155)&amp;" ")-1),",","."))+1,9))*12,NA()))),0),48)*'Aturan &amp; Tarif'!$B$4,2)</f>
        <v>2725.44</v>
      </c>
      <c r="K155" s="32" t="n">
        <f aca="false">'Aturan &amp; Tarif'!$B$5</f>
        <v>2050</v>
      </c>
      <c r="L155" s="35" t="n">
        <f aca="false">I155+J155+K155</f>
        <v>33475.44</v>
      </c>
      <c r="M155" s="37" t="s">
        <v>846</v>
      </c>
    </row>
    <row r="156" customFormat="false" ht="25.5" hidden="false" customHeight="true" outlineLevel="0" collapsed="false">
      <c r="A156" s="29"/>
      <c r="B156" s="30" t="s">
        <v>1323</v>
      </c>
      <c r="C156" s="31" t="s">
        <v>127</v>
      </c>
      <c r="D156" s="31" t="s">
        <v>108</v>
      </c>
      <c r="E156" s="32" t="n">
        <v>12625</v>
      </c>
      <c r="F156" s="32"/>
      <c r="G156" s="32" t="n">
        <v>150</v>
      </c>
      <c r="H156" s="33" t="n">
        <v>2</v>
      </c>
      <c r="I156" s="34" t="n">
        <f aca="false">E156*H156+N(F156)+N(G156)</f>
        <v>25400</v>
      </c>
      <c r="J156" s="32" t="n">
        <f aca="false">ROUND(IFERROR(ROUND(IF(OR(ISNUMBER(SEARCH("week",C156)),ISNUMBER(SEARCH("minggu",C156))),IFERROR(_xlfn.NUMBERVALUE(SUBSTITUTE(LEFT(TRIM(C156),FIND(" ",TRIM(C156)&amp;" ")-1),",","."),"."),LEFT(SUBSTITUTE(LEFT(TRIM(C156),FIND(" ",TRIM(C156)&amp;" ")-1),",","."),FIND("/",SUBSTITUTE(LEFT(TRIM(C156),FIND(" ",TRIM(C156)&amp;" ")-1),",","."))-1)/MID(SUBSTITUTE(LEFT(TRIM(C156),FIND(" ",TRIM(C156)&amp;" ")-1),",","."),FIND("/",SUBSTITUTE(LEFT(TRIM(C156),FIND(" ",TRIM(C156)&amp;" ")-1),",","."))+1,9))*12/52,IF(ISNUMBER(SEARCH("month",C156)),IFERROR(_xlfn.NUMBERVALUE(SUBSTITUTE(LEFT(TRIM(C156),FIND(" ",TRIM(C156)&amp;" ")-1),",","."),"."),LEFT(SUBSTITUTE(LEFT(TRIM(C156),FIND(" ",TRIM(C156)&amp;" ")-1),",","."),FIND("/",SUBSTITUTE(LEFT(TRIM(C156),FIND(" ",TRIM(C156)&amp;" ")-1),",","."))-1)/MID(SUBSTITUTE(LEFT(TRIM(C156),FIND(" ",TRIM(C156)&amp;" ")-1),",","."),FIND("/",SUBSTITUTE(LEFT(TRIM(C156),FIND(" ",TRIM(C156)&amp;" ")-1),",","."))+1,9)),IF(ISNUMBER(SEARCH("yea",C156)),IFERROR(_xlfn.NUMBERVALUE(SUBSTITUTE(LEFT(TRIM(C156),FIND(" ",TRIM(C156)&amp;" ")-1),",","."),"."),LEFT(SUBSTITUTE(LEFT(TRIM(C156),FIND(" ",TRIM(C156)&amp;" ")-1),",","."),FIND("/",SUBSTITUTE(LEFT(TRIM(C156),FIND(" ",TRIM(C156)&amp;" ")-1),",","."))-1)/MID(SUBSTITUTE(LEFT(TRIM(C156),FIND(" ",TRIM(C156)&amp;" ")-1),",","."),FIND("/",SUBSTITUTE(LEFT(TRIM(C156),FIND(" ",TRIM(C156)&amp;" ")-1),",","."))+1,9))*12,NA()))),0),36)*'Aturan &amp; Tarif'!$B$4,2)</f>
        <v>2044.08</v>
      </c>
      <c r="K156" s="32" t="n">
        <f aca="false">'Aturan &amp; Tarif'!$B$5</f>
        <v>2050</v>
      </c>
      <c r="L156" s="35" t="n">
        <f aca="false">I156+J156+K156</f>
        <v>29494.08</v>
      </c>
      <c r="M156" s="37" t="s">
        <v>1324</v>
      </c>
    </row>
    <row r="157" customFormat="false" ht="25.5" hidden="false" customHeight="true" outlineLevel="0" collapsed="false">
      <c r="A157" s="29"/>
      <c r="B157" s="30" t="s">
        <v>1325</v>
      </c>
      <c r="C157" s="31" t="s">
        <v>127</v>
      </c>
      <c r="D157" s="31" t="s">
        <v>108</v>
      </c>
      <c r="E157" s="32" t="n">
        <v>12625</v>
      </c>
      <c r="F157" s="32"/>
      <c r="G157" s="32" t="n">
        <v>150</v>
      </c>
      <c r="H157" s="33" t="n">
        <v>2</v>
      </c>
      <c r="I157" s="34" t="n">
        <f aca="false">E157*H157+N(F157)+N(G157)</f>
        <v>25400</v>
      </c>
      <c r="J157" s="32" t="n">
        <f aca="false">ROUND(IFERROR(ROUND(IF(OR(ISNUMBER(SEARCH("week",C157)),ISNUMBER(SEARCH("minggu",C157))),IFERROR(_xlfn.NUMBERVALUE(SUBSTITUTE(LEFT(TRIM(C157),FIND(" ",TRIM(C157)&amp;" ")-1),",","."),"."),LEFT(SUBSTITUTE(LEFT(TRIM(C157),FIND(" ",TRIM(C157)&amp;" ")-1),",","."),FIND("/",SUBSTITUTE(LEFT(TRIM(C157),FIND(" ",TRIM(C157)&amp;" ")-1),",","."))-1)/MID(SUBSTITUTE(LEFT(TRIM(C157),FIND(" ",TRIM(C157)&amp;" ")-1),",","."),FIND("/",SUBSTITUTE(LEFT(TRIM(C157),FIND(" ",TRIM(C157)&amp;" ")-1),",","."))+1,9))*12/52,IF(ISNUMBER(SEARCH("month",C157)),IFERROR(_xlfn.NUMBERVALUE(SUBSTITUTE(LEFT(TRIM(C157),FIND(" ",TRIM(C157)&amp;" ")-1),",","."),"."),LEFT(SUBSTITUTE(LEFT(TRIM(C157),FIND(" ",TRIM(C157)&amp;" ")-1),",","."),FIND("/",SUBSTITUTE(LEFT(TRIM(C157),FIND(" ",TRIM(C157)&amp;" ")-1),",","."))-1)/MID(SUBSTITUTE(LEFT(TRIM(C157),FIND(" ",TRIM(C157)&amp;" ")-1),",","."),FIND("/",SUBSTITUTE(LEFT(TRIM(C157),FIND(" ",TRIM(C157)&amp;" ")-1),",","."))+1,9)),IF(ISNUMBER(SEARCH("yea",C157)),IFERROR(_xlfn.NUMBERVALUE(SUBSTITUTE(LEFT(TRIM(C157),FIND(" ",TRIM(C157)&amp;" ")-1),",","."),"."),LEFT(SUBSTITUTE(LEFT(TRIM(C157),FIND(" ",TRIM(C157)&amp;" ")-1),",","."),FIND("/",SUBSTITUTE(LEFT(TRIM(C157),FIND(" ",TRIM(C157)&amp;" ")-1),",","."))-1)/MID(SUBSTITUTE(LEFT(TRIM(C157),FIND(" ",TRIM(C157)&amp;" ")-1),",","."),FIND("/",SUBSTITUTE(LEFT(TRIM(C157),FIND(" ",TRIM(C157)&amp;" ")-1),",","."))+1,9))*12,NA()))),0),36)*'Aturan &amp; Tarif'!$B$4,2)</f>
        <v>2044.08</v>
      </c>
      <c r="K157" s="32" t="n">
        <f aca="false">'Aturan &amp; Tarif'!$B$5</f>
        <v>2050</v>
      </c>
      <c r="L157" s="35" t="n">
        <f aca="false">I157+J157+K157</f>
        <v>29494.08</v>
      </c>
      <c r="M157" s="37" t="s">
        <v>1324</v>
      </c>
    </row>
    <row r="158" customFormat="false" ht="25.5" hidden="false" customHeight="true" outlineLevel="0" collapsed="false">
      <c r="A158" s="29"/>
      <c r="B158" s="30" t="s">
        <v>1326</v>
      </c>
      <c r="C158" s="31" t="s">
        <v>127</v>
      </c>
      <c r="D158" s="31" t="s">
        <v>108</v>
      </c>
      <c r="E158" s="32" t="n">
        <v>12625</v>
      </c>
      <c r="F158" s="32"/>
      <c r="G158" s="32" t="n">
        <v>150</v>
      </c>
      <c r="H158" s="33" t="n">
        <v>2</v>
      </c>
      <c r="I158" s="34" t="n">
        <f aca="false">E158*H158+N(F158)+N(G158)</f>
        <v>25400</v>
      </c>
      <c r="J158" s="32" t="n">
        <f aca="false">ROUND(IFERROR(ROUND(IF(OR(ISNUMBER(SEARCH("week",C158)),ISNUMBER(SEARCH("minggu",C158))),IFERROR(_xlfn.NUMBERVALUE(SUBSTITUTE(LEFT(TRIM(C158),FIND(" ",TRIM(C158)&amp;" ")-1),",","."),"."),LEFT(SUBSTITUTE(LEFT(TRIM(C158),FIND(" ",TRIM(C158)&amp;" ")-1),",","."),FIND("/",SUBSTITUTE(LEFT(TRIM(C158),FIND(" ",TRIM(C158)&amp;" ")-1),",","."))-1)/MID(SUBSTITUTE(LEFT(TRIM(C158),FIND(" ",TRIM(C158)&amp;" ")-1),",","."),FIND("/",SUBSTITUTE(LEFT(TRIM(C158),FIND(" ",TRIM(C158)&amp;" ")-1),",","."))+1,9))*12/52,IF(ISNUMBER(SEARCH("month",C158)),IFERROR(_xlfn.NUMBERVALUE(SUBSTITUTE(LEFT(TRIM(C158),FIND(" ",TRIM(C158)&amp;" ")-1),",","."),"."),LEFT(SUBSTITUTE(LEFT(TRIM(C158),FIND(" ",TRIM(C158)&amp;" ")-1),",","."),FIND("/",SUBSTITUTE(LEFT(TRIM(C158),FIND(" ",TRIM(C158)&amp;" ")-1),",","."))-1)/MID(SUBSTITUTE(LEFT(TRIM(C158),FIND(" ",TRIM(C158)&amp;" ")-1),",","."),FIND("/",SUBSTITUTE(LEFT(TRIM(C158),FIND(" ",TRIM(C158)&amp;" ")-1),",","."))+1,9)),IF(ISNUMBER(SEARCH("yea",C158)),IFERROR(_xlfn.NUMBERVALUE(SUBSTITUTE(LEFT(TRIM(C158),FIND(" ",TRIM(C158)&amp;" ")-1),",","."),"."),LEFT(SUBSTITUTE(LEFT(TRIM(C158),FIND(" ",TRIM(C158)&amp;" ")-1),",","."),FIND("/",SUBSTITUTE(LEFT(TRIM(C158),FIND(" ",TRIM(C158)&amp;" ")-1),",","."))-1)/MID(SUBSTITUTE(LEFT(TRIM(C158),FIND(" ",TRIM(C158)&amp;" ")-1),",","."),FIND("/",SUBSTITUTE(LEFT(TRIM(C158),FIND(" ",TRIM(C158)&amp;" ")-1),",","."))+1,9))*12,NA()))),0),36)*'Aturan &amp; Tarif'!$B$4,2)</f>
        <v>2044.08</v>
      </c>
      <c r="K158" s="32" t="n">
        <f aca="false">'Aturan &amp; Tarif'!$B$5</f>
        <v>2050</v>
      </c>
      <c r="L158" s="35" t="n">
        <f aca="false">I158+J158+K158</f>
        <v>29494.08</v>
      </c>
      <c r="M158" s="37" t="s">
        <v>1324</v>
      </c>
    </row>
    <row r="159" customFormat="false" ht="25.5" hidden="false" customHeight="true" outlineLevel="0" collapsed="false">
      <c r="A159" s="29"/>
      <c r="B159" s="30" t="s">
        <v>1327</v>
      </c>
      <c r="C159" s="31" t="s">
        <v>127</v>
      </c>
      <c r="D159" s="31" t="s">
        <v>108</v>
      </c>
      <c r="E159" s="32" t="n">
        <v>12625</v>
      </c>
      <c r="F159" s="32"/>
      <c r="G159" s="32" t="n">
        <v>150</v>
      </c>
      <c r="H159" s="33" t="n">
        <v>2</v>
      </c>
      <c r="I159" s="34" t="n">
        <f aca="false">E159*H159+N(F159)+N(G159)</f>
        <v>25400</v>
      </c>
      <c r="J159" s="32" t="n">
        <f aca="false">ROUND(IFERROR(ROUND(IF(OR(ISNUMBER(SEARCH("week",C159)),ISNUMBER(SEARCH("minggu",C159))),IFERROR(_xlfn.NUMBERVALUE(SUBSTITUTE(LEFT(TRIM(C159),FIND(" ",TRIM(C159)&amp;" ")-1),",","."),"."),LEFT(SUBSTITUTE(LEFT(TRIM(C159),FIND(" ",TRIM(C159)&amp;" ")-1),",","."),FIND("/",SUBSTITUTE(LEFT(TRIM(C159),FIND(" ",TRIM(C159)&amp;" ")-1),",","."))-1)/MID(SUBSTITUTE(LEFT(TRIM(C159),FIND(" ",TRIM(C159)&amp;" ")-1),",","."),FIND("/",SUBSTITUTE(LEFT(TRIM(C159),FIND(" ",TRIM(C159)&amp;" ")-1),",","."))+1,9))*12/52,IF(ISNUMBER(SEARCH("month",C159)),IFERROR(_xlfn.NUMBERVALUE(SUBSTITUTE(LEFT(TRIM(C159),FIND(" ",TRIM(C159)&amp;" ")-1),",","."),"."),LEFT(SUBSTITUTE(LEFT(TRIM(C159),FIND(" ",TRIM(C159)&amp;" ")-1),",","."),FIND("/",SUBSTITUTE(LEFT(TRIM(C159),FIND(" ",TRIM(C159)&amp;" ")-1),",","."))-1)/MID(SUBSTITUTE(LEFT(TRIM(C159),FIND(" ",TRIM(C159)&amp;" ")-1),",","."),FIND("/",SUBSTITUTE(LEFT(TRIM(C159),FIND(" ",TRIM(C159)&amp;" ")-1),",","."))+1,9)),IF(ISNUMBER(SEARCH("yea",C159)),IFERROR(_xlfn.NUMBERVALUE(SUBSTITUTE(LEFT(TRIM(C159),FIND(" ",TRIM(C159)&amp;" ")-1),",","."),"."),LEFT(SUBSTITUTE(LEFT(TRIM(C159),FIND(" ",TRIM(C159)&amp;" ")-1),",","."),FIND("/",SUBSTITUTE(LEFT(TRIM(C159),FIND(" ",TRIM(C159)&amp;" ")-1),",","."))-1)/MID(SUBSTITUTE(LEFT(TRIM(C159),FIND(" ",TRIM(C159)&amp;" ")-1),",","."),FIND("/",SUBSTITUTE(LEFT(TRIM(C159),FIND(" ",TRIM(C159)&amp;" ")-1),",","."))+1,9))*12,NA()))),0),36)*'Aturan &amp; Tarif'!$B$4,2)</f>
        <v>2044.08</v>
      </c>
      <c r="K159" s="32" t="n">
        <f aca="false">'Aturan &amp; Tarif'!$B$5</f>
        <v>2050</v>
      </c>
      <c r="L159" s="35" t="n">
        <f aca="false">I159+J159+K159</f>
        <v>29494.08</v>
      </c>
      <c r="M159" s="37" t="s">
        <v>1324</v>
      </c>
    </row>
    <row r="160" customFormat="false" ht="25.5" hidden="false" customHeight="true" outlineLevel="0" collapsed="false">
      <c r="A160" s="29"/>
      <c r="B160" s="30" t="s">
        <v>1328</v>
      </c>
      <c r="C160" s="31" t="s">
        <v>127</v>
      </c>
      <c r="D160" s="31" t="s">
        <v>108</v>
      </c>
      <c r="E160" s="32" t="n">
        <v>12625</v>
      </c>
      <c r="F160" s="32"/>
      <c r="G160" s="32" t="n">
        <v>150</v>
      </c>
      <c r="H160" s="33" t="n">
        <v>2</v>
      </c>
      <c r="I160" s="34" t="n">
        <f aca="false">E160*H160+N(F160)+N(G160)</f>
        <v>25400</v>
      </c>
      <c r="J160" s="32" t="n">
        <f aca="false">ROUND(IFERROR(ROUND(IF(OR(ISNUMBER(SEARCH("week",C160)),ISNUMBER(SEARCH("minggu",C160))),IFERROR(_xlfn.NUMBERVALUE(SUBSTITUTE(LEFT(TRIM(C160),FIND(" ",TRIM(C160)&amp;" ")-1),",","."),"."),LEFT(SUBSTITUTE(LEFT(TRIM(C160),FIND(" ",TRIM(C160)&amp;" ")-1),",","."),FIND("/",SUBSTITUTE(LEFT(TRIM(C160),FIND(" ",TRIM(C160)&amp;" ")-1),",","."))-1)/MID(SUBSTITUTE(LEFT(TRIM(C160),FIND(" ",TRIM(C160)&amp;" ")-1),",","."),FIND("/",SUBSTITUTE(LEFT(TRIM(C160),FIND(" ",TRIM(C160)&amp;" ")-1),",","."))+1,9))*12/52,IF(ISNUMBER(SEARCH("month",C160)),IFERROR(_xlfn.NUMBERVALUE(SUBSTITUTE(LEFT(TRIM(C160),FIND(" ",TRIM(C160)&amp;" ")-1),",","."),"."),LEFT(SUBSTITUTE(LEFT(TRIM(C160),FIND(" ",TRIM(C160)&amp;" ")-1),",","."),FIND("/",SUBSTITUTE(LEFT(TRIM(C160),FIND(" ",TRIM(C160)&amp;" ")-1),",","."))-1)/MID(SUBSTITUTE(LEFT(TRIM(C160),FIND(" ",TRIM(C160)&amp;" ")-1),",","."),FIND("/",SUBSTITUTE(LEFT(TRIM(C160),FIND(" ",TRIM(C160)&amp;" ")-1),",","."))+1,9)),IF(ISNUMBER(SEARCH("yea",C160)),IFERROR(_xlfn.NUMBERVALUE(SUBSTITUTE(LEFT(TRIM(C160),FIND(" ",TRIM(C160)&amp;" ")-1),",","."),"."),LEFT(SUBSTITUTE(LEFT(TRIM(C160),FIND(" ",TRIM(C160)&amp;" ")-1),",","."),FIND("/",SUBSTITUTE(LEFT(TRIM(C160),FIND(" ",TRIM(C160)&amp;" ")-1),",","."))-1)/MID(SUBSTITUTE(LEFT(TRIM(C160),FIND(" ",TRIM(C160)&amp;" ")-1),",","."),FIND("/",SUBSTITUTE(LEFT(TRIM(C160),FIND(" ",TRIM(C160)&amp;" ")-1),",","."))+1,9))*12,NA()))),0),36)*'Aturan &amp; Tarif'!$B$4,2)</f>
        <v>2044.08</v>
      </c>
      <c r="K160" s="32" t="n">
        <f aca="false">'Aturan &amp; Tarif'!$B$5</f>
        <v>2050</v>
      </c>
      <c r="L160" s="35" t="n">
        <f aca="false">I160+J160+K160</f>
        <v>29494.08</v>
      </c>
      <c r="M160" s="37" t="s">
        <v>1324</v>
      </c>
    </row>
    <row r="161" customFormat="false" ht="25.5" hidden="false" customHeight="true" outlineLevel="0" collapsed="false">
      <c r="A161" s="29"/>
      <c r="B161" s="30" t="s">
        <v>1329</v>
      </c>
      <c r="C161" s="31" t="s">
        <v>127</v>
      </c>
      <c r="D161" s="31" t="s">
        <v>108</v>
      </c>
      <c r="E161" s="32" t="n">
        <v>12625</v>
      </c>
      <c r="F161" s="32"/>
      <c r="G161" s="32" t="n">
        <v>150</v>
      </c>
      <c r="H161" s="33" t="n">
        <v>2</v>
      </c>
      <c r="I161" s="34" t="n">
        <f aca="false">E161*H161+N(F161)+N(G161)</f>
        <v>25400</v>
      </c>
      <c r="J161" s="32" t="n">
        <f aca="false">ROUND(IFERROR(ROUND(IF(OR(ISNUMBER(SEARCH("week",C161)),ISNUMBER(SEARCH("minggu",C161))),IFERROR(_xlfn.NUMBERVALUE(SUBSTITUTE(LEFT(TRIM(C161),FIND(" ",TRIM(C161)&amp;" ")-1),",","."),"."),LEFT(SUBSTITUTE(LEFT(TRIM(C161),FIND(" ",TRIM(C161)&amp;" ")-1),",","."),FIND("/",SUBSTITUTE(LEFT(TRIM(C161),FIND(" ",TRIM(C161)&amp;" ")-1),",","."))-1)/MID(SUBSTITUTE(LEFT(TRIM(C161),FIND(" ",TRIM(C161)&amp;" ")-1),",","."),FIND("/",SUBSTITUTE(LEFT(TRIM(C161),FIND(" ",TRIM(C161)&amp;" ")-1),",","."))+1,9))*12/52,IF(ISNUMBER(SEARCH("month",C161)),IFERROR(_xlfn.NUMBERVALUE(SUBSTITUTE(LEFT(TRIM(C161),FIND(" ",TRIM(C161)&amp;" ")-1),",","."),"."),LEFT(SUBSTITUTE(LEFT(TRIM(C161),FIND(" ",TRIM(C161)&amp;" ")-1),",","."),FIND("/",SUBSTITUTE(LEFT(TRIM(C161),FIND(" ",TRIM(C161)&amp;" ")-1),",","."))-1)/MID(SUBSTITUTE(LEFT(TRIM(C161),FIND(" ",TRIM(C161)&amp;" ")-1),",","."),FIND("/",SUBSTITUTE(LEFT(TRIM(C161),FIND(" ",TRIM(C161)&amp;" ")-1),",","."))+1,9)),IF(ISNUMBER(SEARCH("yea",C161)),IFERROR(_xlfn.NUMBERVALUE(SUBSTITUTE(LEFT(TRIM(C161),FIND(" ",TRIM(C161)&amp;" ")-1),",","."),"."),LEFT(SUBSTITUTE(LEFT(TRIM(C161),FIND(" ",TRIM(C161)&amp;" ")-1),",","."),FIND("/",SUBSTITUTE(LEFT(TRIM(C161),FIND(" ",TRIM(C161)&amp;" ")-1),",","."))-1)/MID(SUBSTITUTE(LEFT(TRIM(C161),FIND(" ",TRIM(C161)&amp;" ")-1),",","."),FIND("/",SUBSTITUTE(LEFT(TRIM(C161),FIND(" ",TRIM(C161)&amp;" ")-1),",","."))+1,9))*12,NA()))),0),36)*'Aturan &amp; Tarif'!$B$4,2)</f>
        <v>2044.08</v>
      </c>
      <c r="K161" s="32" t="n">
        <f aca="false">'Aturan &amp; Tarif'!$B$5</f>
        <v>2050</v>
      </c>
      <c r="L161" s="35" t="n">
        <f aca="false">I161+J161+K161</f>
        <v>29494.08</v>
      </c>
      <c r="M161" s="37" t="s">
        <v>1324</v>
      </c>
    </row>
    <row r="162" customFormat="false" ht="25.5" hidden="false" customHeight="true" outlineLevel="0" collapsed="false">
      <c r="A162" s="29"/>
      <c r="B162" s="30" t="s">
        <v>1330</v>
      </c>
      <c r="C162" s="31" t="s">
        <v>127</v>
      </c>
      <c r="D162" s="31" t="s">
        <v>108</v>
      </c>
      <c r="E162" s="32" t="n">
        <v>12625</v>
      </c>
      <c r="F162" s="32"/>
      <c r="G162" s="32" t="n">
        <v>150</v>
      </c>
      <c r="H162" s="33" t="n">
        <v>2</v>
      </c>
      <c r="I162" s="34" t="n">
        <f aca="false">E162*H162+N(F162)+N(G162)</f>
        <v>25400</v>
      </c>
      <c r="J162" s="32" t="n">
        <f aca="false">ROUND(IFERROR(ROUND(IF(OR(ISNUMBER(SEARCH("week",C162)),ISNUMBER(SEARCH("minggu",C162))),IFERROR(_xlfn.NUMBERVALUE(SUBSTITUTE(LEFT(TRIM(C162),FIND(" ",TRIM(C162)&amp;" ")-1),",","."),"."),LEFT(SUBSTITUTE(LEFT(TRIM(C162),FIND(" ",TRIM(C162)&amp;" ")-1),",","."),FIND("/",SUBSTITUTE(LEFT(TRIM(C162),FIND(" ",TRIM(C162)&amp;" ")-1),",","."))-1)/MID(SUBSTITUTE(LEFT(TRIM(C162),FIND(" ",TRIM(C162)&amp;" ")-1),",","."),FIND("/",SUBSTITUTE(LEFT(TRIM(C162),FIND(" ",TRIM(C162)&amp;" ")-1),",","."))+1,9))*12/52,IF(ISNUMBER(SEARCH("month",C162)),IFERROR(_xlfn.NUMBERVALUE(SUBSTITUTE(LEFT(TRIM(C162),FIND(" ",TRIM(C162)&amp;" ")-1),",","."),"."),LEFT(SUBSTITUTE(LEFT(TRIM(C162),FIND(" ",TRIM(C162)&amp;" ")-1),",","."),FIND("/",SUBSTITUTE(LEFT(TRIM(C162),FIND(" ",TRIM(C162)&amp;" ")-1),",","."))-1)/MID(SUBSTITUTE(LEFT(TRIM(C162),FIND(" ",TRIM(C162)&amp;" ")-1),",","."),FIND("/",SUBSTITUTE(LEFT(TRIM(C162),FIND(" ",TRIM(C162)&amp;" ")-1),",","."))+1,9)),IF(ISNUMBER(SEARCH("yea",C162)),IFERROR(_xlfn.NUMBERVALUE(SUBSTITUTE(LEFT(TRIM(C162),FIND(" ",TRIM(C162)&amp;" ")-1),",","."),"."),LEFT(SUBSTITUTE(LEFT(TRIM(C162),FIND(" ",TRIM(C162)&amp;" ")-1),",","."),FIND("/",SUBSTITUTE(LEFT(TRIM(C162),FIND(" ",TRIM(C162)&amp;" ")-1),",","."))-1)/MID(SUBSTITUTE(LEFT(TRIM(C162),FIND(" ",TRIM(C162)&amp;" ")-1),",","."),FIND("/",SUBSTITUTE(LEFT(TRIM(C162),FIND(" ",TRIM(C162)&amp;" ")-1),",","."))+1,9))*12,NA()))),0),36)*'Aturan &amp; Tarif'!$B$4,2)</f>
        <v>2044.08</v>
      </c>
      <c r="K162" s="32" t="n">
        <f aca="false">'Aturan &amp; Tarif'!$B$5</f>
        <v>2050</v>
      </c>
      <c r="L162" s="35" t="n">
        <f aca="false">I162+J162+K162</f>
        <v>29494.08</v>
      </c>
      <c r="M162" s="37" t="s">
        <v>1324</v>
      </c>
    </row>
    <row r="163" customFormat="false" ht="25.5" hidden="false" customHeight="true" outlineLevel="0" collapsed="false">
      <c r="A163" s="29"/>
      <c r="B163" s="30" t="s">
        <v>1331</v>
      </c>
      <c r="C163" s="31" t="s">
        <v>127</v>
      </c>
      <c r="D163" s="31" t="s">
        <v>108</v>
      </c>
      <c r="E163" s="32" t="n">
        <v>12625</v>
      </c>
      <c r="F163" s="32"/>
      <c r="G163" s="32" t="n">
        <v>150</v>
      </c>
      <c r="H163" s="33" t="n">
        <v>2</v>
      </c>
      <c r="I163" s="34" t="n">
        <f aca="false">E163*H163+N(F163)+N(G163)</f>
        <v>25400</v>
      </c>
      <c r="J163" s="32" t="n">
        <f aca="false">ROUND(IFERROR(ROUND(IF(OR(ISNUMBER(SEARCH("week",C163)),ISNUMBER(SEARCH("minggu",C163))),IFERROR(_xlfn.NUMBERVALUE(SUBSTITUTE(LEFT(TRIM(C163),FIND(" ",TRIM(C163)&amp;" ")-1),",","."),"."),LEFT(SUBSTITUTE(LEFT(TRIM(C163),FIND(" ",TRIM(C163)&amp;" ")-1),",","."),FIND("/",SUBSTITUTE(LEFT(TRIM(C163),FIND(" ",TRIM(C163)&amp;" ")-1),",","."))-1)/MID(SUBSTITUTE(LEFT(TRIM(C163),FIND(" ",TRIM(C163)&amp;" ")-1),",","."),FIND("/",SUBSTITUTE(LEFT(TRIM(C163),FIND(" ",TRIM(C163)&amp;" ")-1),",","."))+1,9))*12/52,IF(ISNUMBER(SEARCH("month",C163)),IFERROR(_xlfn.NUMBERVALUE(SUBSTITUTE(LEFT(TRIM(C163),FIND(" ",TRIM(C163)&amp;" ")-1),",","."),"."),LEFT(SUBSTITUTE(LEFT(TRIM(C163),FIND(" ",TRIM(C163)&amp;" ")-1),",","."),FIND("/",SUBSTITUTE(LEFT(TRIM(C163),FIND(" ",TRIM(C163)&amp;" ")-1),",","."))-1)/MID(SUBSTITUTE(LEFT(TRIM(C163),FIND(" ",TRIM(C163)&amp;" ")-1),",","."),FIND("/",SUBSTITUTE(LEFT(TRIM(C163),FIND(" ",TRIM(C163)&amp;" ")-1),",","."))+1,9)),IF(ISNUMBER(SEARCH("yea",C163)),IFERROR(_xlfn.NUMBERVALUE(SUBSTITUTE(LEFT(TRIM(C163),FIND(" ",TRIM(C163)&amp;" ")-1),",","."),"."),LEFT(SUBSTITUTE(LEFT(TRIM(C163),FIND(" ",TRIM(C163)&amp;" ")-1),",","."),FIND("/",SUBSTITUTE(LEFT(TRIM(C163),FIND(" ",TRIM(C163)&amp;" ")-1),",","."))-1)/MID(SUBSTITUTE(LEFT(TRIM(C163),FIND(" ",TRIM(C163)&amp;" ")-1),",","."),FIND("/",SUBSTITUTE(LEFT(TRIM(C163),FIND(" ",TRIM(C163)&amp;" ")-1),",","."))+1,9))*12,NA()))),0),36)*'Aturan &amp; Tarif'!$B$4,2)</f>
        <v>2044.08</v>
      </c>
      <c r="K163" s="32" t="n">
        <f aca="false">'Aturan &amp; Tarif'!$B$5</f>
        <v>2050</v>
      </c>
      <c r="L163" s="35" t="n">
        <f aca="false">I163+J163+K163</f>
        <v>29494.08</v>
      </c>
      <c r="M163" s="37" t="s">
        <v>1324</v>
      </c>
    </row>
    <row r="164" customFormat="false" ht="37.5" hidden="false" customHeight="true" outlineLevel="0" collapsed="false">
      <c r="A164" s="29"/>
      <c r="B164" s="30" t="s">
        <v>1332</v>
      </c>
      <c r="C164" s="31" t="s">
        <v>127</v>
      </c>
      <c r="D164" s="31" t="s">
        <v>108</v>
      </c>
      <c r="E164" s="32" t="n">
        <v>12625</v>
      </c>
      <c r="F164" s="32"/>
      <c r="G164" s="32" t="n">
        <v>150</v>
      </c>
      <c r="H164" s="33" t="n">
        <v>2</v>
      </c>
      <c r="I164" s="34" t="n">
        <f aca="false">E164*H164+N(F164)+N(G164)</f>
        <v>25400</v>
      </c>
      <c r="J164" s="32" t="n">
        <f aca="false">ROUND(IFERROR(ROUND(IF(OR(ISNUMBER(SEARCH("week",C164)),ISNUMBER(SEARCH("minggu",C164))),IFERROR(_xlfn.NUMBERVALUE(SUBSTITUTE(LEFT(TRIM(C164),FIND(" ",TRIM(C164)&amp;" ")-1),",","."),"."),LEFT(SUBSTITUTE(LEFT(TRIM(C164),FIND(" ",TRIM(C164)&amp;" ")-1),",","."),FIND("/",SUBSTITUTE(LEFT(TRIM(C164),FIND(" ",TRIM(C164)&amp;" ")-1),",","."))-1)/MID(SUBSTITUTE(LEFT(TRIM(C164),FIND(" ",TRIM(C164)&amp;" ")-1),",","."),FIND("/",SUBSTITUTE(LEFT(TRIM(C164),FIND(" ",TRIM(C164)&amp;" ")-1),",","."))+1,9))*12/52,IF(ISNUMBER(SEARCH("month",C164)),IFERROR(_xlfn.NUMBERVALUE(SUBSTITUTE(LEFT(TRIM(C164),FIND(" ",TRIM(C164)&amp;" ")-1),",","."),"."),LEFT(SUBSTITUTE(LEFT(TRIM(C164),FIND(" ",TRIM(C164)&amp;" ")-1),",","."),FIND("/",SUBSTITUTE(LEFT(TRIM(C164),FIND(" ",TRIM(C164)&amp;" ")-1),",","."))-1)/MID(SUBSTITUTE(LEFT(TRIM(C164),FIND(" ",TRIM(C164)&amp;" ")-1),",","."),FIND("/",SUBSTITUTE(LEFT(TRIM(C164),FIND(" ",TRIM(C164)&amp;" ")-1),",","."))+1,9)),IF(ISNUMBER(SEARCH("yea",C164)),IFERROR(_xlfn.NUMBERVALUE(SUBSTITUTE(LEFT(TRIM(C164),FIND(" ",TRIM(C164)&amp;" ")-1),",","."),"."),LEFT(SUBSTITUTE(LEFT(TRIM(C164),FIND(" ",TRIM(C164)&amp;" ")-1),",","."),FIND("/",SUBSTITUTE(LEFT(TRIM(C164),FIND(" ",TRIM(C164)&amp;" ")-1),",","."))-1)/MID(SUBSTITUTE(LEFT(TRIM(C164),FIND(" ",TRIM(C164)&amp;" ")-1),",","."),FIND("/",SUBSTITUTE(LEFT(TRIM(C164),FIND(" ",TRIM(C164)&amp;" ")-1),",","."))+1,9))*12,NA()))),0),36)*'Aturan &amp; Tarif'!$B$4,2)</f>
        <v>2044.08</v>
      </c>
      <c r="K164" s="32" t="n">
        <f aca="false">'Aturan &amp; Tarif'!$B$5</f>
        <v>2050</v>
      </c>
      <c r="L164" s="35" t="n">
        <f aca="false">I164+J164+K164</f>
        <v>29494.08</v>
      </c>
      <c r="M164" s="37" t="s">
        <v>1324</v>
      </c>
    </row>
    <row r="165" customFormat="false" ht="25.5" hidden="false" customHeight="true" outlineLevel="0" collapsed="false">
      <c r="A165" s="29"/>
      <c r="B165" s="30" t="s">
        <v>330</v>
      </c>
      <c r="C165" s="31" t="s">
        <v>127</v>
      </c>
      <c r="D165" s="31" t="s">
        <v>108</v>
      </c>
      <c r="E165" s="32" t="n">
        <v>11275</v>
      </c>
      <c r="F165" s="32"/>
      <c r="G165" s="32" t="n">
        <v>150</v>
      </c>
      <c r="H165" s="33" t="n">
        <v>2</v>
      </c>
      <c r="I165" s="34" t="n">
        <f aca="false">E165*H165+N(F165)+N(G165)</f>
        <v>22700</v>
      </c>
      <c r="J165" s="32" t="n">
        <f aca="false">ROUND(IFERROR(ROUND(IF(OR(ISNUMBER(SEARCH("week",C165)),ISNUMBER(SEARCH("minggu",C165))),IFERROR(_xlfn.NUMBERVALUE(SUBSTITUTE(LEFT(TRIM(C165),FIND(" ",TRIM(C165)&amp;" ")-1),",","."),"."),LEFT(SUBSTITUTE(LEFT(TRIM(C165),FIND(" ",TRIM(C165)&amp;" ")-1),",","."),FIND("/",SUBSTITUTE(LEFT(TRIM(C165),FIND(" ",TRIM(C165)&amp;" ")-1),",","."))-1)/MID(SUBSTITUTE(LEFT(TRIM(C165),FIND(" ",TRIM(C165)&amp;" ")-1),",","."),FIND("/",SUBSTITUTE(LEFT(TRIM(C165),FIND(" ",TRIM(C165)&amp;" ")-1),",","."))+1,9))*12/52,IF(ISNUMBER(SEARCH("month",C165)),IFERROR(_xlfn.NUMBERVALUE(SUBSTITUTE(LEFT(TRIM(C165),FIND(" ",TRIM(C165)&amp;" ")-1),",","."),"."),LEFT(SUBSTITUTE(LEFT(TRIM(C165),FIND(" ",TRIM(C165)&amp;" ")-1),",","."),FIND("/",SUBSTITUTE(LEFT(TRIM(C165),FIND(" ",TRIM(C165)&amp;" ")-1),",","."))-1)/MID(SUBSTITUTE(LEFT(TRIM(C165),FIND(" ",TRIM(C165)&amp;" ")-1),",","."),FIND("/",SUBSTITUTE(LEFT(TRIM(C165),FIND(" ",TRIM(C165)&amp;" ")-1),",","."))+1,9)),IF(ISNUMBER(SEARCH("yea",C165)),IFERROR(_xlfn.NUMBERVALUE(SUBSTITUTE(LEFT(TRIM(C165),FIND(" ",TRIM(C165)&amp;" ")-1),",","."),"."),LEFT(SUBSTITUTE(LEFT(TRIM(C165),FIND(" ",TRIM(C165)&amp;" ")-1),",","."),FIND("/",SUBSTITUTE(LEFT(TRIM(C165),FIND(" ",TRIM(C165)&amp;" ")-1),",","."))-1)/MID(SUBSTITUTE(LEFT(TRIM(C165),FIND(" ",TRIM(C165)&amp;" ")-1),",","."),FIND("/",SUBSTITUTE(LEFT(TRIM(C165),FIND(" ",TRIM(C165)&amp;" ")-1),",","."))+1,9))*12,NA()))),0),36)*'Aturan &amp; Tarif'!$B$4,2)</f>
        <v>2044.08</v>
      </c>
      <c r="K165" s="32" t="n">
        <f aca="false">'Aturan &amp; Tarif'!$B$5</f>
        <v>2050</v>
      </c>
      <c r="L165" s="35" t="n">
        <f aca="false">I165+J165+K165</f>
        <v>26794.08</v>
      </c>
      <c r="M165" s="37" t="s">
        <v>1333</v>
      </c>
    </row>
    <row r="166" customFormat="false" ht="25.5" hidden="false" customHeight="true" outlineLevel="0" collapsed="false">
      <c r="A166" s="29"/>
      <c r="B166" s="30" t="s">
        <v>1334</v>
      </c>
      <c r="C166" s="31" t="s">
        <v>127</v>
      </c>
      <c r="D166" s="31" t="s">
        <v>108</v>
      </c>
      <c r="E166" s="32" t="n">
        <v>11275</v>
      </c>
      <c r="F166" s="32"/>
      <c r="G166" s="32" t="n">
        <v>150</v>
      </c>
      <c r="H166" s="33" t="n">
        <v>2</v>
      </c>
      <c r="I166" s="34" t="n">
        <f aca="false">E166*H166+N(F166)+N(G166)</f>
        <v>22700</v>
      </c>
      <c r="J166" s="32" t="n">
        <f aca="false">ROUND(IFERROR(ROUND(IF(OR(ISNUMBER(SEARCH("week",C166)),ISNUMBER(SEARCH("minggu",C166))),IFERROR(_xlfn.NUMBERVALUE(SUBSTITUTE(LEFT(TRIM(C166),FIND(" ",TRIM(C166)&amp;" ")-1),",","."),"."),LEFT(SUBSTITUTE(LEFT(TRIM(C166),FIND(" ",TRIM(C166)&amp;" ")-1),",","."),FIND("/",SUBSTITUTE(LEFT(TRIM(C166),FIND(" ",TRIM(C166)&amp;" ")-1),",","."))-1)/MID(SUBSTITUTE(LEFT(TRIM(C166),FIND(" ",TRIM(C166)&amp;" ")-1),",","."),FIND("/",SUBSTITUTE(LEFT(TRIM(C166),FIND(" ",TRIM(C166)&amp;" ")-1),",","."))+1,9))*12/52,IF(ISNUMBER(SEARCH("month",C166)),IFERROR(_xlfn.NUMBERVALUE(SUBSTITUTE(LEFT(TRIM(C166),FIND(" ",TRIM(C166)&amp;" ")-1),",","."),"."),LEFT(SUBSTITUTE(LEFT(TRIM(C166),FIND(" ",TRIM(C166)&amp;" ")-1),",","."),FIND("/",SUBSTITUTE(LEFT(TRIM(C166),FIND(" ",TRIM(C166)&amp;" ")-1),",","."))-1)/MID(SUBSTITUTE(LEFT(TRIM(C166),FIND(" ",TRIM(C166)&amp;" ")-1),",","."),FIND("/",SUBSTITUTE(LEFT(TRIM(C166),FIND(" ",TRIM(C166)&amp;" ")-1),",","."))+1,9)),IF(ISNUMBER(SEARCH("yea",C166)),IFERROR(_xlfn.NUMBERVALUE(SUBSTITUTE(LEFT(TRIM(C166),FIND(" ",TRIM(C166)&amp;" ")-1),",","."),"."),LEFT(SUBSTITUTE(LEFT(TRIM(C166),FIND(" ",TRIM(C166)&amp;" ")-1),",","."),FIND("/",SUBSTITUTE(LEFT(TRIM(C166),FIND(" ",TRIM(C166)&amp;" ")-1),",","."))-1)/MID(SUBSTITUTE(LEFT(TRIM(C166),FIND(" ",TRIM(C166)&amp;" ")-1),",","."),FIND("/",SUBSTITUTE(LEFT(TRIM(C166),FIND(" ",TRIM(C166)&amp;" ")-1),",","."))+1,9))*12,NA()))),0),36)*'Aturan &amp; Tarif'!$B$4,2)</f>
        <v>2044.08</v>
      </c>
      <c r="K166" s="32" t="n">
        <f aca="false">'Aturan &amp; Tarif'!$B$5</f>
        <v>2050</v>
      </c>
      <c r="L166" s="35" t="n">
        <f aca="false">I166+J166+K166</f>
        <v>26794.08</v>
      </c>
      <c r="M166" s="37" t="s">
        <v>1333</v>
      </c>
    </row>
    <row r="167" customFormat="false" ht="25.5" hidden="false" customHeight="true" outlineLevel="0" collapsed="false">
      <c r="A167" s="29"/>
      <c r="B167" s="30" t="s">
        <v>1335</v>
      </c>
      <c r="C167" s="31" t="s">
        <v>127</v>
      </c>
      <c r="D167" s="31" t="s">
        <v>108</v>
      </c>
      <c r="E167" s="32" t="n">
        <v>11275</v>
      </c>
      <c r="F167" s="32"/>
      <c r="G167" s="32" t="n">
        <v>150</v>
      </c>
      <c r="H167" s="33" t="n">
        <v>2</v>
      </c>
      <c r="I167" s="34" t="n">
        <f aca="false">E167*H167+N(F167)+N(G167)</f>
        <v>22700</v>
      </c>
      <c r="J167" s="32" t="n">
        <f aca="false">ROUND(IFERROR(ROUND(IF(OR(ISNUMBER(SEARCH("week",C167)),ISNUMBER(SEARCH("minggu",C167))),IFERROR(_xlfn.NUMBERVALUE(SUBSTITUTE(LEFT(TRIM(C167),FIND(" ",TRIM(C167)&amp;" ")-1),",","."),"."),LEFT(SUBSTITUTE(LEFT(TRIM(C167),FIND(" ",TRIM(C167)&amp;" ")-1),",","."),FIND("/",SUBSTITUTE(LEFT(TRIM(C167),FIND(" ",TRIM(C167)&amp;" ")-1),",","."))-1)/MID(SUBSTITUTE(LEFT(TRIM(C167),FIND(" ",TRIM(C167)&amp;" ")-1),",","."),FIND("/",SUBSTITUTE(LEFT(TRIM(C167),FIND(" ",TRIM(C167)&amp;" ")-1),",","."))+1,9))*12/52,IF(ISNUMBER(SEARCH("month",C167)),IFERROR(_xlfn.NUMBERVALUE(SUBSTITUTE(LEFT(TRIM(C167),FIND(" ",TRIM(C167)&amp;" ")-1),",","."),"."),LEFT(SUBSTITUTE(LEFT(TRIM(C167),FIND(" ",TRIM(C167)&amp;" ")-1),",","."),FIND("/",SUBSTITUTE(LEFT(TRIM(C167),FIND(" ",TRIM(C167)&amp;" ")-1),",","."))-1)/MID(SUBSTITUTE(LEFT(TRIM(C167),FIND(" ",TRIM(C167)&amp;" ")-1),",","."),FIND("/",SUBSTITUTE(LEFT(TRIM(C167),FIND(" ",TRIM(C167)&amp;" ")-1),",","."))+1,9)),IF(ISNUMBER(SEARCH("yea",C167)),IFERROR(_xlfn.NUMBERVALUE(SUBSTITUTE(LEFT(TRIM(C167),FIND(" ",TRIM(C167)&amp;" ")-1),",","."),"."),LEFT(SUBSTITUTE(LEFT(TRIM(C167),FIND(" ",TRIM(C167)&amp;" ")-1),",","."),FIND("/",SUBSTITUTE(LEFT(TRIM(C167),FIND(" ",TRIM(C167)&amp;" ")-1),",","."))-1)/MID(SUBSTITUTE(LEFT(TRIM(C167),FIND(" ",TRIM(C167)&amp;" ")-1),",","."),FIND("/",SUBSTITUTE(LEFT(TRIM(C167),FIND(" ",TRIM(C167)&amp;" ")-1),",","."))+1,9))*12,NA()))),0),36)*'Aturan &amp; Tarif'!$B$4,2)</f>
        <v>2044.08</v>
      </c>
      <c r="K167" s="32" t="n">
        <f aca="false">'Aturan &amp; Tarif'!$B$5</f>
        <v>2050</v>
      </c>
      <c r="L167" s="35" t="n">
        <f aca="false">I167+J167+K167</f>
        <v>26794.08</v>
      </c>
      <c r="M167" s="37" t="s">
        <v>1333</v>
      </c>
    </row>
    <row r="168" customFormat="false" ht="37.5" hidden="false" customHeight="true" outlineLevel="0" collapsed="false">
      <c r="A168" s="29"/>
      <c r="B168" s="30" t="s">
        <v>1336</v>
      </c>
      <c r="C168" s="31" t="s">
        <v>127</v>
      </c>
      <c r="D168" s="31" t="s">
        <v>108</v>
      </c>
      <c r="E168" s="32" t="n">
        <v>11275</v>
      </c>
      <c r="F168" s="32"/>
      <c r="G168" s="32" t="n">
        <v>150</v>
      </c>
      <c r="H168" s="33" t="n">
        <v>2</v>
      </c>
      <c r="I168" s="34" t="n">
        <f aca="false">E168*H168+N(F168)+N(G168)</f>
        <v>22700</v>
      </c>
      <c r="J168" s="32" t="n">
        <f aca="false">ROUND(IFERROR(ROUND(IF(OR(ISNUMBER(SEARCH("week",C168)),ISNUMBER(SEARCH("minggu",C168))),IFERROR(_xlfn.NUMBERVALUE(SUBSTITUTE(LEFT(TRIM(C168),FIND(" ",TRIM(C168)&amp;" ")-1),",","."),"."),LEFT(SUBSTITUTE(LEFT(TRIM(C168),FIND(" ",TRIM(C168)&amp;" ")-1),",","."),FIND("/",SUBSTITUTE(LEFT(TRIM(C168),FIND(" ",TRIM(C168)&amp;" ")-1),",","."))-1)/MID(SUBSTITUTE(LEFT(TRIM(C168),FIND(" ",TRIM(C168)&amp;" ")-1),",","."),FIND("/",SUBSTITUTE(LEFT(TRIM(C168),FIND(" ",TRIM(C168)&amp;" ")-1),",","."))+1,9))*12/52,IF(ISNUMBER(SEARCH("month",C168)),IFERROR(_xlfn.NUMBERVALUE(SUBSTITUTE(LEFT(TRIM(C168),FIND(" ",TRIM(C168)&amp;" ")-1),",","."),"."),LEFT(SUBSTITUTE(LEFT(TRIM(C168),FIND(" ",TRIM(C168)&amp;" ")-1),",","."),FIND("/",SUBSTITUTE(LEFT(TRIM(C168),FIND(" ",TRIM(C168)&amp;" ")-1),",","."))-1)/MID(SUBSTITUTE(LEFT(TRIM(C168),FIND(" ",TRIM(C168)&amp;" ")-1),",","."),FIND("/",SUBSTITUTE(LEFT(TRIM(C168),FIND(" ",TRIM(C168)&amp;" ")-1),",","."))+1,9)),IF(ISNUMBER(SEARCH("yea",C168)),IFERROR(_xlfn.NUMBERVALUE(SUBSTITUTE(LEFT(TRIM(C168),FIND(" ",TRIM(C168)&amp;" ")-1),",","."),"."),LEFT(SUBSTITUTE(LEFT(TRIM(C168),FIND(" ",TRIM(C168)&amp;" ")-1),",","."),FIND("/",SUBSTITUTE(LEFT(TRIM(C168),FIND(" ",TRIM(C168)&amp;" ")-1),",","."))-1)/MID(SUBSTITUTE(LEFT(TRIM(C168),FIND(" ",TRIM(C168)&amp;" ")-1),",","."),FIND("/",SUBSTITUTE(LEFT(TRIM(C168),FIND(" ",TRIM(C168)&amp;" ")-1),",","."))+1,9))*12,NA()))),0),36)*'Aturan &amp; Tarif'!$B$4,2)</f>
        <v>2044.08</v>
      </c>
      <c r="K168" s="32" t="n">
        <f aca="false">'Aturan &amp; Tarif'!$B$5</f>
        <v>2050</v>
      </c>
      <c r="L168" s="35" t="n">
        <f aca="false">I168+J168+K168</f>
        <v>26794.08</v>
      </c>
      <c r="M168" s="37" t="s">
        <v>1333</v>
      </c>
    </row>
    <row r="169" customFormat="false" ht="25.5" hidden="false" customHeight="true" outlineLevel="0" collapsed="false">
      <c r="A169" s="29"/>
      <c r="B169" s="30" t="s">
        <v>1337</v>
      </c>
      <c r="C169" s="31" t="s">
        <v>127</v>
      </c>
      <c r="D169" s="31" t="s">
        <v>108</v>
      </c>
      <c r="E169" s="32" t="n">
        <v>11275</v>
      </c>
      <c r="F169" s="32"/>
      <c r="G169" s="32" t="n">
        <v>150</v>
      </c>
      <c r="H169" s="33" t="n">
        <v>2</v>
      </c>
      <c r="I169" s="34" t="n">
        <f aca="false">E169*H169+N(F169)+N(G169)</f>
        <v>22700</v>
      </c>
      <c r="J169" s="32" t="n">
        <f aca="false">ROUND(IFERROR(ROUND(IF(OR(ISNUMBER(SEARCH("week",C169)),ISNUMBER(SEARCH("minggu",C169))),IFERROR(_xlfn.NUMBERVALUE(SUBSTITUTE(LEFT(TRIM(C169),FIND(" ",TRIM(C169)&amp;" ")-1),",","."),"."),LEFT(SUBSTITUTE(LEFT(TRIM(C169),FIND(" ",TRIM(C169)&amp;" ")-1),",","."),FIND("/",SUBSTITUTE(LEFT(TRIM(C169),FIND(" ",TRIM(C169)&amp;" ")-1),",","."))-1)/MID(SUBSTITUTE(LEFT(TRIM(C169),FIND(" ",TRIM(C169)&amp;" ")-1),",","."),FIND("/",SUBSTITUTE(LEFT(TRIM(C169),FIND(" ",TRIM(C169)&amp;" ")-1),",","."))+1,9))*12/52,IF(ISNUMBER(SEARCH("month",C169)),IFERROR(_xlfn.NUMBERVALUE(SUBSTITUTE(LEFT(TRIM(C169),FIND(" ",TRIM(C169)&amp;" ")-1),",","."),"."),LEFT(SUBSTITUTE(LEFT(TRIM(C169),FIND(" ",TRIM(C169)&amp;" ")-1),",","."),FIND("/",SUBSTITUTE(LEFT(TRIM(C169),FIND(" ",TRIM(C169)&amp;" ")-1),",","."))-1)/MID(SUBSTITUTE(LEFT(TRIM(C169),FIND(" ",TRIM(C169)&amp;" ")-1),",","."),FIND("/",SUBSTITUTE(LEFT(TRIM(C169),FIND(" ",TRIM(C169)&amp;" ")-1),",","."))+1,9)),IF(ISNUMBER(SEARCH("yea",C169)),IFERROR(_xlfn.NUMBERVALUE(SUBSTITUTE(LEFT(TRIM(C169),FIND(" ",TRIM(C169)&amp;" ")-1),",","."),"."),LEFT(SUBSTITUTE(LEFT(TRIM(C169),FIND(" ",TRIM(C169)&amp;" ")-1),",","."),FIND("/",SUBSTITUTE(LEFT(TRIM(C169),FIND(" ",TRIM(C169)&amp;" ")-1),",","."))-1)/MID(SUBSTITUTE(LEFT(TRIM(C169),FIND(" ",TRIM(C169)&amp;" ")-1),",","."),FIND("/",SUBSTITUTE(LEFT(TRIM(C169),FIND(" ",TRIM(C169)&amp;" ")-1),",","."))+1,9))*12,NA()))),0),36)*'Aturan &amp; Tarif'!$B$4,2)</f>
        <v>2044.08</v>
      </c>
      <c r="K169" s="32" t="n">
        <f aca="false">'Aturan &amp; Tarif'!$B$5</f>
        <v>2050</v>
      </c>
      <c r="L169" s="35" t="n">
        <f aca="false">I169+J169+K169</f>
        <v>26794.08</v>
      </c>
      <c r="M169" s="37" t="s">
        <v>1333</v>
      </c>
    </row>
    <row r="170" customFormat="false" ht="25.5" hidden="false" customHeight="true" outlineLevel="0" collapsed="false">
      <c r="A170" s="29"/>
      <c r="B170" s="30" t="s">
        <v>1338</v>
      </c>
      <c r="C170" s="31" t="s">
        <v>127</v>
      </c>
      <c r="D170" s="31" t="s">
        <v>108</v>
      </c>
      <c r="E170" s="32" t="n">
        <v>11275</v>
      </c>
      <c r="F170" s="32"/>
      <c r="G170" s="32" t="n">
        <v>150</v>
      </c>
      <c r="H170" s="33" t="n">
        <v>2</v>
      </c>
      <c r="I170" s="34" t="n">
        <f aca="false">E170*H170+N(F170)+N(G170)</f>
        <v>22700</v>
      </c>
      <c r="J170" s="32" t="n">
        <f aca="false">ROUND(IFERROR(ROUND(IF(OR(ISNUMBER(SEARCH("week",C170)),ISNUMBER(SEARCH("minggu",C170))),IFERROR(_xlfn.NUMBERVALUE(SUBSTITUTE(LEFT(TRIM(C170),FIND(" ",TRIM(C170)&amp;" ")-1),",","."),"."),LEFT(SUBSTITUTE(LEFT(TRIM(C170),FIND(" ",TRIM(C170)&amp;" ")-1),",","."),FIND("/",SUBSTITUTE(LEFT(TRIM(C170),FIND(" ",TRIM(C170)&amp;" ")-1),",","."))-1)/MID(SUBSTITUTE(LEFT(TRIM(C170),FIND(" ",TRIM(C170)&amp;" ")-1),",","."),FIND("/",SUBSTITUTE(LEFT(TRIM(C170),FIND(" ",TRIM(C170)&amp;" ")-1),",","."))+1,9))*12/52,IF(ISNUMBER(SEARCH("month",C170)),IFERROR(_xlfn.NUMBERVALUE(SUBSTITUTE(LEFT(TRIM(C170),FIND(" ",TRIM(C170)&amp;" ")-1),",","."),"."),LEFT(SUBSTITUTE(LEFT(TRIM(C170),FIND(" ",TRIM(C170)&amp;" ")-1),",","."),FIND("/",SUBSTITUTE(LEFT(TRIM(C170),FIND(" ",TRIM(C170)&amp;" ")-1),",","."))-1)/MID(SUBSTITUTE(LEFT(TRIM(C170),FIND(" ",TRIM(C170)&amp;" ")-1),",","."),FIND("/",SUBSTITUTE(LEFT(TRIM(C170),FIND(" ",TRIM(C170)&amp;" ")-1),",","."))+1,9)),IF(ISNUMBER(SEARCH("yea",C170)),IFERROR(_xlfn.NUMBERVALUE(SUBSTITUTE(LEFT(TRIM(C170),FIND(" ",TRIM(C170)&amp;" ")-1),",","."),"."),LEFT(SUBSTITUTE(LEFT(TRIM(C170),FIND(" ",TRIM(C170)&amp;" ")-1),",","."),FIND("/",SUBSTITUTE(LEFT(TRIM(C170),FIND(" ",TRIM(C170)&amp;" ")-1),",","."))-1)/MID(SUBSTITUTE(LEFT(TRIM(C170),FIND(" ",TRIM(C170)&amp;" ")-1),",","."),FIND("/",SUBSTITUTE(LEFT(TRIM(C170),FIND(" ",TRIM(C170)&amp;" ")-1),",","."))+1,9))*12,NA()))),0),36)*'Aturan &amp; Tarif'!$B$4,2)</f>
        <v>2044.08</v>
      </c>
      <c r="K170" s="32" t="n">
        <f aca="false">'Aturan &amp; Tarif'!$B$5</f>
        <v>2050</v>
      </c>
      <c r="L170" s="35" t="n">
        <f aca="false">I170+J170+K170</f>
        <v>26794.08</v>
      </c>
      <c r="M170" s="37" t="s">
        <v>1333</v>
      </c>
    </row>
    <row r="171" customFormat="false" ht="25.5" hidden="false" customHeight="true" outlineLevel="0" collapsed="false">
      <c r="A171" s="29"/>
      <c r="B171" s="30" t="s">
        <v>1339</v>
      </c>
      <c r="C171" s="31" t="s">
        <v>127</v>
      </c>
      <c r="D171" s="31" t="s">
        <v>108</v>
      </c>
      <c r="E171" s="32" t="n">
        <v>11275</v>
      </c>
      <c r="F171" s="32"/>
      <c r="G171" s="32" t="n">
        <v>150</v>
      </c>
      <c r="H171" s="33" t="n">
        <v>2</v>
      </c>
      <c r="I171" s="34" t="n">
        <f aca="false">E171*H171+N(F171)+N(G171)</f>
        <v>22700</v>
      </c>
      <c r="J171" s="32" t="n">
        <f aca="false">ROUND(IFERROR(ROUND(IF(OR(ISNUMBER(SEARCH("week",C171)),ISNUMBER(SEARCH("minggu",C171))),IFERROR(_xlfn.NUMBERVALUE(SUBSTITUTE(LEFT(TRIM(C171),FIND(" ",TRIM(C171)&amp;" ")-1),",","."),"."),LEFT(SUBSTITUTE(LEFT(TRIM(C171),FIND(" ",TRIM(C171)&amp;" ")-1),",","."),FIND("/",SUBSTITUTE(LEFT(TRIM(C171),FIND(" ",TRIM(C171)&amp;" ")-1),",","."))-1)/MID(SUBSTITUTE(LEFT(TRIM(C171),FIND(" ",TRIM(C171)&amp;" ")-1),",","."),FIND("/",SUBSTITUTE(LEFT(TRIM(C171),FIND(" ",TRIM(C171)&amp;" ")-1),",","."))+1,9))*12/52,IF(ISNUMBER(SEARCH("month",C171)),IFERROR(_xlfn.NUMBERVALUE(SUBSTITUTE(LEFT(TRIM(C171),FIND(" ",TRIM(C171)&amp;" ")-1),",","."),"."),LEFT(SUBSTITUTE(LEFT(TRIM(C171),FIND(" ",TRIM(C171)&amp;" ")-1),",","."),FIND("/",SUBSTITUTE(LEFT(TRIM(C171),FIND(" ",TRIM(C171)&amp;" ")-1),",","."))-1)/MID(SUBSTITUTE(LEFT(TRIM(C171),FIND(" ",TRIM(C171)&amp;" ")-1),",","."),FIND("/",SUBSTITUTE(LEFT(TRIM(C171),FIND(" ",TRIM(C171)&amp;" ")-1),",","."))+1,9)),IF(ISNUMBER(SEARCH("yea",C171)),IFERROR(_xlfn.NUMBERVALUE(SUBSTITUTE(LEFT(TRIM(C171),FIND(" ",TRIM(C171)&amp;" ")-1),",","."),"."),LEFT(SUBSTITUTE(LEFT(TRIM(C171),FIND(" ",TRIM(C171)&amp;" ")-1),",","."),FIND("/",SUBSTITUTE(LEFT(TRIM(C171),FIND(" ",TRIM(C171)&amp;" ")-1),",","."))-1)/MID(SUBSTITUTE(LEFT(TRIM(C171),FIND(" ",TRIM(C171)&amp;" ")-1),",","."),FIND("/",SUBSTITUTE(LEFT(TRIM(C171),FIND(" ",TRIM(C171)&amp;" ")-1),",","."))+1,9))*12,NA()))),0),36)*'Aturan &amp; Tarif'!$B$4,2)</f>
        <v>2044.08</v>
      </c>
      <c r="K171" s="32" t="n">
        <f aca="false">'Aturan &amp; Tarif'!$B$5</f>
        <v>2050</v>
      </c>
      <c r="L171" s="35" t="n">
        <f aca="false">I171+J171+K171</f>
        <v>26794.08</v>
      </c>
      <c r="M171" s="37" t="s">
        <v>1333</v>
      </c>
    </row>
    <row r="172" customFormat="false" ht="37.5" hidden="false" customHeight="true" outlineLevel="0" collapsed="false">
      <c r="A172" s="29"/>
      <c r="B172" s="30" t="s">
        <v>1340</v>
      </c>
      <c r="C172" s="31" t="s">
        <v>127</v>
      </c>
      <c r="D172" s="31" t="s">
        <v>108</v>
      </c>
      <c r="E172" s="32" t="n">
        <v>11275</v>
      </c>
      <c r="F172" s="32"/>
      <c r="G172" s="32" t="n">
        <v>150</v>
      </c>
      <c r="H172" s="33" t="n">
        <v>2</v>
      </c>
      <c r="I172" s="34" t="n">
        <f aca="false">E172*H172+N(F172)+N(G172)</f>
        <v>22700</v>
      </c>
      <c r="J172" s="32" t="n">
        <f aca="false">ROUND(IFERROR(ROUND(IF(OR(ISNUMBER(SEARCH("week",C172)),ISNUMBER(SEARCH("minggu",C172))),IFERROR(_xlfn.NUMBERVALUE(SUBSTITUTE(LEFT(TRIM(C172),FIND(" ",TRIM(C172)&amp;" ")-1),",","."),"."),LEFT(SUBSTITUTE(LEFT(TRIM(C172),FIND(" ",TRIM(C172)&amp;" ")-1),",","."),FIND("/",SUBSTITUTE(LEFT(TRIM(C172),FIND(" ",TRIM(C172)&amp;" ")-1),",","."))-1)/MID(SUBSTITUTE(LEFT(TRIM(C172),FIND(" ",TRIM(C172)&amp;" ")-1),",","."),FIND("/",SUBSTITUTE(LEFT(TRIM(C172),FIND(" ",TRIM(C172)&amp;" ")-1),",","."))+1,9))*12/52,IF(ISNUMBER(SEARCH("month",C172)),IFERROR(_xlfn.NUMBERVALUE(SUBSTITUTE(LEFT(TRIM(C172),FIND(" ",TRIM(C172)&amp;" ")-1),",","."),"."),LEFT(SUBSTITUTE(LEFT(TRIM(C172),FIND(" ",TRIM(C172)&amp;" ")-1),",","."),FIND("/",SUBSTITUTE(LEFT(TRIM(C172),FIND(" ",TRIM(C172)&amp;" ")-1),",","."))-1)/MID(SUBSTITUTE(LEFT(TRIM(C172),FIND(" ",TRIM(C172)&amp;" ")-1),",","."),FIND("/",SUBSTITUTE(LEFT(TRIM(C172),FIND(" ",TRIM(C172)&amp;" ")-1),",","."))+1,9)),IF(ISNUMBER(SEARCH("yea",C172)),IFERROR(_xlfn.NUMBERVALUE(SUBSTITUTE(LEFT(TRIM(C172),FIND(" ",TRIM(C172)&amp;" ")-1),",","."),"."),LEFT(SUBSTITUTE(LEFT(TRIM(C172),FIND(" ",TRIM(C172)&amp;" ")-1),",","."),FIND("/",SUBSTITUTE(LEFT(TRIM(C172),FIND(" ",TRIM(C172)&amp;" ")-1),",","."))-1)/MID(SUBSTITUTE(LEFT(TRIM(C172),FIND(" ",TRIM(C172)&amp;" ")-1),",","."),FIND("/",SUBSTITUTE(LEFT(TRIM(C172),FIND(" ",TRIM(C172)&amp;" ")-1),",","."))+1,9))*12,NA()))),0),36)*'Aturan &amp; Tarif'!$B$4,2)</f>
        <v>2044.08</v>
      </c>
      <c r="K172" s="32" t="n">
        <f aca="false">'Aturan &amp; Tarif'!$B$5</f>
        <v>2050</v>
      </c>
      <c r="L172" s="35" t="n">
        <f aca="false">I172+J172+K172</f>
        <v>26794.08</v>
      </c>
      <c r="M172" s="37" t="s">
        <v>1333</v>
      </c>
    </row>
    <row r="173" customFormat="false" ht="37.5" hidden="false" customHeight="true" outlineLevel="0" collapsed="false">
      <c r="A173" s="29"/>
      <c r="B173" s="30" t="s">
        <v>1341</v>
      </c>
      <c r="C173" s="31" t="s">
        <v>127</v>
      </c>
      <c r="D173" s="31" t="s">
        <v>108</v>
      </c>
      <c r="E173" s="32" t="n">
        <v>11275</v>
      </c>
      <c r="F173" s="32"/>
      <c r="G173" s="32" t="n">
        <v>150</v>
      </c>
      <c r="H173" s="33" t="n">
        <v>2</v>
      </c>
      <c r="I173" s="34" t="n">
        <f aca="false">E173*H173+N(F173)+N(G173)</f>
        <v>22700</v>
      </c>
      <c r="J173" s="32" t="n">
        <f aca="false">ROUND(IFERROR(ROUND(IF(OR(ISNUMBER(SEARCH("week",C173)),ISNUMBER(SEARCH("minggu",C173))),IFERROR(_xlfn.NUMBERVALUE(SUBSTITUTE(LEFT(TRIM(C173),FIND(" ",TRIM(C173)&amp;" ")-1),",","."),"."),LEFT(SUBSTITUTE(LEFT(TRIM(C173),FIND(" ",TRIM(C173)&amp;" ")-1),",","."),FIND("/",SUBSTITUTE(LEFT(TRIM(C173),FIND(" ",TRIM(C173)&amp;" ")-1),",","."))-1)/MID(SUBSTITUTE(LEFT(TRIM(C173),FIND(" ",TRIM(C173)&amp;" ")-1),",","."),FIND("/",SUBSTITUTE(LEFT(TRIM(C173),FIND(" ",TRIM(C173)&amp;" ")-1),",","."))+1,9))*12/52,IF(ISNUMBER(SEARCH("month",C173)),IFERROR(_xlfn.NUMBERVALUE(SUBSTITUTE(LEFT(TRIM(C173),FIND(" ",TRIM(C173)&amp;" ")-1),",","."),"."),LEFT(SUBSTITUTE(LEFT(TRIM(C173),FIND(" ",TRIM(C173)&amp;" ")-1),",","."),FIND("/",SUBSTITUTE(LEFT(TRIM(C173),FIND(" ",TRIM(C173)&amp;" ")-1),",","."))-1)/MID(SUBSTITUTE(LEFT(TRIM(C173),FIND(" ",TRIM(C173)&amp;" ")-1),",","."),FIND("/",SUBSTITUTE(LEFT(TRIM(C173),FIND(" ",TRIM(C173)&amp;" ")-1),",","."))+1,9)),IF(ISNUMBER(SEARCH("yea",C173)),IFERROR(_xlfn.NUMBERVALUE(SUBSTITUTE(LEFT(TRIM(C173),FIND(" ",TRIM(C173)&amp;" ")-1),",","."),"."),LEFT(SUBSTITUTE(LEFT(TRIM(C173),FIND(" ",TRIM(C173)&amp;" ")-1),",","."),FIND("/",SUBSTITUTE(LEFT(TRIM(C173),FIND(" ",TRIM(C173)&amp;" ")-1),",","."))-1)/MID(SUBSTITUTE(LEFT(TRIM(C173),FIND(" ",TRIM(C173)&amp;" ")-1),",","."),FIND("/",SUBSTITUTE(LEFT(TRIM(C173),FIND(" ",TRIM(C173)&amp;" ")-1),",","."))+1,9))*12,NA()))),0),36)*'Aturan &amp; Tarif'!$B$4,2)</f>
        <v>2044.08</v>
      </c>
      <c r="K173" s="32" t="n">
        <f aca="false">'Aturan &amp; Tarif'!$B$5</f>
        <v>2050</v>
      </c>
      <c r="L173" s="35" t="n">
        <f aca="false">I173+J173+K173</f>
        <v>26794.08</v>
      </c>
      <c r="M173" s="37" t="s">
        <v>1333</v>
      </c>
    </row>
    <row r="174" customFormat="false" ht="25.5" hidden="false" customHeight="true" outlineLevel="0" collapsed="false">
      <c r="A174" s="29"/>
      <c r="B174" s="30" t="s">
        <v>1342</v>
      </c>
      <c r="C174" s="31" t="s">
        <v>127</v>
      </c>
      <c r="D174" s="31" t="s">
        <v>108</v>
      </c>
      <c r="E174" s="32" t="n">
        <v>11275</v>
      </c>
      <c r="F174" s="32"/>
      <c r="G174" s="32" t="n">
        <v>150</v>
      </c>
      <c r="H174" s="33" t="n">
        <v>2</v>
      </c>
      <c r="I174" s="34" t="n">
        <f aca="false">E174*H174+N(F174)+N(G174)</f>
        <v>22700</v>
      </c>
      <c r="J174" s="32" t="n">
        <f aca="false">ROUND(IFERROR(ROUND(IF(OR(ISNUMBER(SEARCH("week",C174)),ISNUMBER(SEARCH("minggu",C174))),IFERROR(_xlfn.NUMBERVALUE(SUBSTITUTE(LEFT(TRIM(C174),FIND(" ",TRIM(C174)&amp;" ")-1),",","."),"."),LEFT(SUBSTITUTE(LEFT(TRIM(C174),FIND(" ",TRIM(C174)&amp;" ")-1),",","."),FIND("/",SUBSTITUTE(LEFT(TRIM(C174),FIND(" ",TRIM(C174)&amp;" ")-1),",","."))-1)/MID(SUBSTITUTE(LEFT(TRIM(C174),FIND(" ",TRIM(C174)&amp;" ")-1),",","."),FIND("/",SUBSTITUTE(LEFT(TRIM(C174),FIND(" ",TRIM(C174)&amp;" ")-1),",","."))+1,9))*12/52,IF(ISNUMBER(SEARCH("month",C174)),IFERROR(_xlfn.NUMBERVALUE(SUBSTITUTE(LEFT(TRIM(C174),FIND(" ",TRIM(C174)&amp;" ")-1),",","."),"."),LEFT(SUBSTITUTE(LEFT(TRIM(C174),FIND(" ",TRIM(C174)&amp;" ")-1),",","."),FIND("/",SUBSTITUTE(LEFT(TRIM(C174),FIND(" ",TRIM(C174)&amp;" ")-1),",","."))-1)/MID(SUBSTITUTE(LEFT(TRIM(C174),FIND(" ",TRIM(C174)&amp;" ")-1),",","."),FIND("/",SUBSTITUTE(LEFT(TRIM(C174),FIND(" ",TRIM(C174)&amp;" ")-1),",","."))+1,9)),IF(ISNUMBER(SEARCH("yea",C174)),IFERROR(_xlfn.NUMBERVALUE(SUBSTITUTE(LEFT(TRIM(C174),FIND(" ",TRIM(C174)&amp;" ")-1),",","."),"."),LEFT(SUBSTITUTE(LEFT(TRIM(C174),FIND(" ",TRIM(C174)&amp;" ")-1),",","."),FIND("/",SUBSTITUTE(LEFT(TRIM(C174),FIND(" ",TRIM(C174)&amp;" ")-1),",","."))-1)/MID(SUBSTITUTE(LEFT(TRIM(C174),FIND(" ",TRIM(C174)&amp;" ")-1),",","."),FIND("/",SUBSTITUTE(LEFT(TRIM(C174),FIND(" ",TRIM(C174)&amp;" ")-1),",","."))+1,9))*12,NA()))),0),36)*'Aturan &amp; Tarif'!$B$4,2)</f>
        <v>2044.08</v>
      </c>
      <c r="K174" s="32" t="n">
        <f aca="false">'Aturan &amp; Tarif'!$B$5</f>
        <v>2050</v>
      </c>
      <c r="L174" s="35" t="n">
        <f aca="false">I174+J174+K174</f>
        <v>26794.08</v>
      </c>
      <c r="M174" s="37" t="s">
        <v>1333</v>
      </c>
    </row>
    <row r="175" customFormat="false" ht="14.25" hidden="false" customHeight="true" outlineLevel="0" collapsed="false">
      <c r="A175" s="29"/>
      <c r="B175" s="30" t="s">
        <v>1343</v>
      </c>
      <c r="C175" s="31" t="s">
        <v>191</v>
      </c>
      <c r="D175" s="31" t="s">
        <v>108</v>
      </c>
      <c r="E175" s="32" t="n">
        <v>13725</v>
      </c>
      <c r="F175" s="32"/>
      <c r="G175" s="32" t="n">
        <v>150</v>
      </c>
      <c r="H175" s="33" t="n">
        <v>2</v>
      </c>
      <c r="I175" s="34" t="n">
        <f aca="false">E175*H175+N(F175)+N(G175)</f>
        <v>27600</v>
      </c>
      <c r="J175" s="32" t="n">
        <f aca="false">ROUND(IFERROR(ROUND(IF(OR(ISNUMBER(SEARCH("week",C175)),ISNUMBER(SEARCH("minggu",C175))),IFERROR(_xlfn.NUMBERVALUE(SUBSTITUTE(LEFT(TRIM(C175),FIND(" ",TRIM(C175)&amp;" ")-1),",","."),"."),LEFT(SUBSTITUTE(LEFT(TRIM(C175),FIND(" ",TRIM(C175)&amp;" ")-1),",","."),FIND("/",SUBSTITUTE(LEFT(TRIM(C175),FIND(" ",TRIM(C175)&amp;" ")-1),",","."))-1)/MID(SUBSTITUTE(LEFT(TRIM(C175),FIND(" ",TRIM(C175)&amp;" ")-1),",","."),FIND("/",SUBSTITUTE(LEFT(TRIM(C175),FIND(" ",TRIM(C175)&amp;" ")-1),",","."))+1,9))*12/52,IF(ISNUMBER(SEARCH("month",C175)),IFERROR(_xlfn.NUMBERVALUE(SUBSTITUTE(LEFT(TRIM(C175),FIND(" ",TRIM(C175)&amp;" ")-1),",","."),"."),LEFT(SUBSTITUTE(LEFT(TRIM(C175),FIND(" ",TRIM(C175)&amp;" ")-1),",","."),FIND("/",SUBSTITUTE(LEFT(TRIM(C175),FIND(" ",TRIM(C175)&amp;" ")-1),",","."))-1)/MID(SUBSTITUTE(LEFT(TRIM(C175),FIND(" ",TRIM(C175)&amp;" ")-1),",","."),FIND("/",SUBSTITUTE(LEFT(TRIM(C175),FIND(" ",TRIM(C175)&amp;" ")-1),",","."))+1,9)),IF(ISNUMBER(SEARCH("yea",C175)),IFERROR(_xlfn.NUMBERVALUE(SUBSTITUTE(LEFT(TRIM(C175),FIND(" ",TRIM(C175)&amp;" ")-1),",","."),"."),LEFT(SUBSTITUTE(LEFT(TRIM(C175),FIND(" ",TRIM(C175)&amp;" ")-1),",","."),FIND("/",SUBSTITUTE(LEFT(TRIM(C175),FIND(" ",TRIM(C175)&amp;" ")-1),",","."))-1)/MID(SUBSTITUTE(LEFT(TRIM(C175),FIND(" ",TRIM(C175)&amp;" ")-1),",","."),FIND("/",SUBSTITUTE(LEFT(TRIM(C175),FIND(" ",TRIM(C175)&amp;" ")-1),",","."))+1,9))*12,NA()))),0),48)*'Aturan &amp; Tarif'!$B$4,2)</f>
        <v>2725.44</v>
      </c>
      <c r="K175" s="32" t="n">
        <f aca="false">'Aturan &amp; Tarif'!$B$5</f>
        <v>2050</v>
      </c>
      <c r="L175" s="35" t="n">
        <f aca="false">I175+J175+K175</f>
        <v>32375.44</v>
      </c>
      <c r="M175" s="37" t="s">
        <v>1344</v>
      </c>
    </row>
    <row r="176" customFormat="false" ht="25.5" hidden="false" customHeight="true" outlineLevel="0" collapsed="false">
      <c r="A176" s="29"/>
      <c r="B176" s="30" t="s">
        <v>1345</v>
      </c>
      <c r="C176" s="31" t="s">
        <v>245</v>
      </c>
      <c r="D176" s="31" t="s">
        <v>108</v>
      </c>
      <c r="E176" s="32" t="n">
        <v>14275</v>
      </c>
      <c r="F176" s="32"/>
      <c r="G176" s="32" t="n">
        <v>150</v>
      </c>
      <c r="H176" s="33" t="n">
        <v>2</v>
      </c>
      <c r="I176" s="34" t="n">
        <f aca="false">E176*H176+N(F176)+N(G176)</f>
        <v>28700</v>
      </c>
      <c r="J176" s="32" t="n">
        <f aca="false">ROUND(IFERROR(ROUND(IF(OR(ISNUMBER(SEARCH("week",C176)),ISNUMBER(SEARCH("minggu",C176))),IFERROR(_xlfn.NUMBERVALUE(SUBSTITUTE(LEFT(TRIM(C176),FIND(" ",TRIM(C176)&amp;" ")-1),",","."),"."),LEFT(SUBSTITUTE(LEFT(TRIM(C176),FIND(" ",TRIM(C176)&amp;" ")-1),",","."),FIND("/",SUBSTITUTE(LEFT(TRIM(C176),FIND(" ",TRIM(C176)&amp;" ")-1),",","."))-1)/MID(SUBSTITUTE(LEFT(TRIM(C176),FIND(" ",TRIM(C176)&amp;" ")-1),",","."),FIND("/",SUBSTITUTE(LEFT(TRIM(C176),FIND(" ",TRIM(C176)&amp;" ")-1),",","."))+1,9))*12/52,IF(ISNUMBER(SEARCH("month",C176)),IFERROR(_xlfn.NUMBERVALUE(SUBSTITUTE(LEFT(TRIM(C176),FIND(" ",TRIM(C176)&amp;" ")-1),",","."),"."),LEFT(SUBSTITUTE(LEFT(TRIM(C176),FIND(" ",TRIM(C176)&amp;" ")-1),",","."),FIND("/",SUBSTITUTE(LEFT(TRIM(C176),FIND(" ",TRIM(C176)&amp;" ")-1),",","."))-1)/MID(SUBSTITUTE(LEFT(TRIM(C176),FIND(" ",TRIM(C176)&amp;" ")-1),",","."),FIND("/",SUBSTITUTE(LEFT(TRIM(C176),FIND(" ",TRIM(C176)&amp;" ")-1),",","."))+1,9)),IF(ISNUMBER(SEARCH("yea",C176)),IFERROR(_xlfn.NUMBERVALUE(SUBSTITUTE(LEFT(TRIM(C176),FIND(" ",TRIM(C176)&amp;" ")-1),",","."),"."),LEFT(SUBSTITUTE(LEFT(TRIM(C176),FIND(" ",TRIM(C176)&amp;" ")-1),",","."),FIND("/",SUBSTITUTE(LEFT(TRIM(C176),FIND(" ",TRIM(C176)&amp;" ")-1),",","."))-1)/MID(SUBSTITUTE(LEFT(TRIM(C176),FIND(" ",TRIM(C176)&amp;" ")-1),",","."),FIND("/",SUBSTITUTE(LEFT(TRIM(C176),FIND(" ",TRIM(C176)&amp;" ")-1),",","."))+1,9))*12,NA()))),0),60)*'Aturan &amp; Tarif'!$B$4,2)</f>
        <v>3406.8</v>
      </c>
      <c r="K176" s="32" t="n">
        <f aca="false">'Aturan &amp; Tarif'!$B$5</f>
        <v>2050</v>
      </c>
      <c r="L176" s="35" t="n">
        <f aca="false">I176+J176+K176</f>
        <v>34156.8</v>
      </c>
      <c r="M176" s="37" t="s">
        <v>846</v>
      </c>
    </row>
    <row r="177" customFormat="false" ht="25.5" hidden="false" customHeight="true" outlineLevel="0" collapsed="false">
      <c r="A177" s="29"/>
      <c r="B177" s="30" t="s">
        <v>1346</v>
      </c>
      <c r="C177" s="31" t="s">
        <v>245</v>
      </c>
      <c r="D177" s="31" t="s">
        <v>108</v>
      </c>
      <c r="E177" s="32" t="n">
        <v>14275</v>
      </c>
      <c r="F177" s="32"/>
      <c r="G177" s="32" t="n">
        <v>150</v>
      </c>
      <c r="H177" s="33" t="n">
        <v>2</v>
      </c>
      <c r="I177" s="34" t="n">
        <f aca="false">E177*H177+N(F177)+N(G177)</f>
        <v>28700</v>
      </c>
      <c r="J177" s="32" t="n">
        <f aca="false">ROUND(IFERROR(ROUND(IF(OR(ISNUMBER(SEARCH("week",C177)),ISNUMBER(SEARCH("minggu",C177))),IFERROR(_xlfn.NUMBERVALUE(SUBSTITUTE(LEFT(TRIM(C177),FIND(" ",TRIM(C177)&amp;" ")-1),",","."),"."),LEFT(SUBSTITUTE(LEFT(TRIM(C177),FIND(" ",TRIM(C177)&amp;" ")-1),",","."),FIND("/",SUBSTITUTE(LEFT(TRIM(C177),FIND(" ",TRIM(C177)&amp;" ")-1),",","."))-1)/MID(SUBSTITUTE(LEFT(TRIM(C177),FIND(" ",TRIM(C177)&amp;" ")-1),",","."),FIND("/",SUBSTITUTE(LEFT(TRIM(C177),FIND(" ",TRIM(C177)&amp;" ")-1),",","."))+1,9))*12/52,IF(ISNUMBER(SEARCH("month",C177)),IFERROR(_xlfn.NUMBERVALUE(SUBSTITUTE(LEFT(TRIM(C177),FIND(" ",TRIM(C177)&amp;" ")-1),",","."),"."),LEFT(SUBSTITUTE(LEFT(TRIM(C177),FIND(" ",TRIM(C177)&amp;" ")-1),",","."),FIND("/",SUBSTITUTE(LEFT(TRIM(C177),FIND(" ",TRIM(C177)&amp;" ")-1),",","."))-1)/MID(SUBSTITUTE(LEFT(TRIM(C177),FIND(" ",TRIM(C177)&amp;" ")-1),",","."),FIND("/",SUBSTITUTE(LEFT(TRIM(C177),FIND(" ",TRIM(C177)&amp;" ")-1),",","."))+1,9)),IF(ISNUMBER(SEARCH("yea",C177)),IFERROR(_xlfn.NUMBERVALUE(SUBSTITUTE(LEFT(TRIM(C177),FIND(" ",TRIM(C177)&amp;" ")-1),",","."),"."),LEFT(SUBSTITUTE(LEFT(TRIM(C177),FIND(" ",TRIM(C177)&amp;" ")-1),",","."),FIND("/",SUBSTITUTE(LEFT(TRIM(C177),FIND(" ",TRIM(C177)&amp;" ")-1),",","."))-1)/MID(SUBSTITUTE(LEFT(TRIM(C177),FIND(" ",TRIM(C177)&amp;" ")-1),",","."),FIND("/",SUBSTITUTE(LEFT(TRIM(C177),FIND(" ",TRIM(C177)&amp;" ")-1),",","."))+1,9))*12,NA()))),0),60)*'Aturan &amp; Tarif'!$B$4,2)</f>
        <v>3406.8</v>
      </c>
      <c r="K177" s="32" t="n">
        <f aca="false">'Aturan &amp; Tarif'!$B$5</f>
        <v>2050</v>
      </c>
      <c r="L177" s="35" t="n">
        <f aca="false">I177+J177+K177</f>
        <v>34156.8</v>
      </c>
      <c r="M177" s="37" t="s">
        <v>846</v>
      </c>
    </row>
    <row r="178" customFormat="false" ht="25.5" hidden="false" customHeight="true" outlineLevel="0" collapsed="false">
      <c r="A178" s="29"/>
      <c r="B178" s="30" t="s">
        <v>1347</v>
      </c>
      <c r="C178" s="31" t="s">
        <v>245</v>
      </c>
      <c r="D178" s="31" t="s">
        <v>108</v>
      </c>
      <c r="E178" s="32" t="n">
        <v>14275</v>
      </c>
      <c r="F178" s="32"/>
      <c r="G178" s="32" t="n">
        <v>150</v>
      </c>
      <c r="H178" s="33" t="n">
        <v>2</v>
      </c>
      <c r="I178" s="34" t="n">
        <f aca="false">E178*H178+N(F178)+N(G178)</f>
        <v>28700</v>
      </c>
      <c r="J178" s="32" t="n">
        <f aca="false">ROUND(IFERROR(ROUND(IF(OR(ISNUMBER(SEARCH("week",C178)),ISNUMBER(SEARCH("minggu",C178))),IFERROR(_xlfn.NUMBERVALUE(SUBSTITUTE(LEFT(TRIM(C178),FIND(" ",TRIM(C178)&amp;" ")-1),",","."),"."),LEFT(SUBSTITUTE(LEFT(TRIM(C178),FIND(" ",TRIM(C178)&amp;" ")-1),",","."),FIND("/",SUBSTITUTE(LEFT(TRIM(C178),FIND(" ",TRIM(C178)&amp;" ")-1),",","."))-1)/MID(SUBSTITUTE(LEFT(TRIM(C178),FIND(" ",TRIM(C178)&amp;" ")-1),",","."),FIND("/",SUBSTITUTE(LEFT(TRIM(C178),FIND(" ",TRIM(C178)&amp;" ")-1),",","."))+1,9))*12/52,IF(ISNUMBER(SEARCH("month",C178)),IFERROR(_xlfn.NUMBERVALUE(SUBSTITUTE(LEFT(TRIM(C178),FIND(" ",TRIM(C178)&amp;" ")-1),",","."),"."),LEFT(SUBSTITUTE(LEFT(TRIM(C178),FIND(" ",TRIM(C178)&amp;" ")-1),",","."),FIND("/",SUBSTITUTE(LEFT(TRIM(C178),FIND(" ",TRIM(C178)&amp;" ")-1),",","."))-1)/MID(SUBSTITUTE(LEFT(TRIM(C178),FIND(" ",TRIM(C178)&amp;" ")-1),",","."),FIND("/",SUBSTITUTE(LEFT(TRIM(C178),FIND(" ",TRIM(C178)&amp;" ")-1),",","."))+1,9)),IF(ISNUMBER(SEARCH("yea",C178)),IFERROR(_xlfn.NUMBERVALUE(SUBSTITUTE(LEFT(TRIM(C178),FIND(" ",TRIM(C178)&amp;" ")-1),",","."),"."),LEFT(SUBSTITUTE(LEFT(TRIM(C178),FIND(" ",TRIM(C178)&amp;" ")-1),",","."),FIND("/",SUBSTITUTE(LEFT(TRIM(C178),FIND(" ",TRIM(C178)&amp;" ")-1),",","."))-1)/MID(SUBSTITUTE(LEFT(TRIM(C178),FIND(" ",TRIM(C178)&amp;" ")-1),",","."),FIND("/",SUBSTITUTE(LEFT(TRIM(C178),FIND(" ",TRIM(C178)&amp;" ")-1),",","."))+1,9))*12,NA()))),0),60)*'Aturan &amp; Tarif'!$B$4,2)</f>
        <v>3406.8</v>
      </c>
      <c r="K178" s="32" t="n">
        <f aca="false">'Aturan &amp; Tarif'!$B$5</f>
        <v>2050</v>
      </c>
      <c r="L178" s="35" t="n">
        <f aca="false">I178+J178+K178</f>
        <v>34156.8</v>
      </c>
      <c r="M178" s="37" t="s">
        <v>846</v>
      </c>
    </row>
    <row r="179" customFormat="false" ht="25.5" hidden="false" customHeight="true" outlineLevel="0" collapsed="false">
      <c r="A179" s="29"/>
      <c r="B179" s="30" t="s">
        <v>1348</v>
      </c>
      <c r="C179" s="31" t="s">
        <v>245</v>
      </c>
      <c r="D179" s="31" t="s">
        <v>108</v>
      </c>
      <c r="E179" s="32" t="n">
        <v>14275</v>
      </c>
      <c r="F179" s="32"/>
      <c r="G179" s="32" t="n">
        <v>150</v>
      </c>
      <c r="H179" s="33" t="n">
        <v>2</v>
      </c>
      <c r="I179" s="34" t="n">
        <f aca="false">E179*H179+N(F179)+N(G179)</f>
        <v>28700</v>
      </c>
      <c r="J179" s="32" t="n">
        <f aca="false">ROUND(IFERROR(ROUND(IF(OR(ISNUMBER(SEARCH("week",C179)),ISNUMBER(SEARCH("minggu",C179))),IFERROR(_xlfn.NUMBERVALUE(SUBSTITUTE(LEFT(TRIM(C179),FIND(" ",TRIM(C179)&amp;" ")-1),",","."),"."),LEFT(SUBSTITUTE(LEFT(TRIM(C179),FIND(" ",TRIM(C179)&amp;" ")-1),",","."),FIND("/",SUBSTITUTE(LEFT(TRIM(C179),FIND(" ",TRIM(C179)&amp;" ")-1),",","."))-1)/MID(SUBSTITUTE(LEFT(TRIM(C179),FIND(" ",TRIM(C179)&amp;" ")-1),",","."),FIND("/",SUBSTITUTE(LEFT(TRIM(C179),FIND(" ",TRIM(C179)&amp;" ")-1),",","."))+1,9))*12/52,IF(ISNUMBER(SEARCH("month",C179)),IFERROR(_xlfn.NUMBERVALUE(SUBSTITUTE(LEFT(TRIM(C179),FIND(" ",TRIM(C179)&amp;" ")-1),",","."),"."),LEFT(SUBSTITUTE(LEFT(TRIM(C179),FIND(" ",TRIM(C179)&amp;" ")-1),",","."),FIND("/",SUBSTITUTE(LEFT(TRIM(C179),FIND(" ",TRIM(C179)&amp;" ")-1),",","."))-1)/MID(SUBSTITUTE(LEFT(TRIM(C179),FIND(" ",TRIM(C179)&amp;" ")-1),",","."),FIND("/",SUBSTITUTE(LEFT(TRIM(C179),FIND(" ",TRIM(C179)&amp;" ")-1),",","."))+1,9)),IF(ISNUMBER(SEARCH("yea",C179)),IFERROR(_xlfn.NUMBERVALUE(SUBSTITUTE(LEFT(TRIM(C179),FIND(" ",TRIM(C179)&amp;" ")-1),",","."),"."),LEFT(SUBSTITUTE(LEFT(TRIM(C179),FIND(" ",TRIM(C179)&amp;" ")-1),",","."),FIND("/",SUBSTITUTE(LEFT(TRIM(C179),FIND(" ",TRIM(C179)&amp;" ")-1),",","."))-1)/MID(SUBSTITUTE(LEFT(TRIM(C179),FIND(" ",TRIM(C179)&amp;" ")-1),",","."),FIND("/",SUBSTITUTE(LEFT(TRIM(C179),FIND(" ",TRIM(C179)&amp;" ")-1),",","."))+1,9))*12,NA()))),0),60)*'Aturan &amp; Tarif'!$B$4,2)</f>
        <v>3406.8</v>
      </c>
      <c r="K179" s="32" t="n">
        <f aca="false">'Aturan &amp; Tarif'!$B$5</f>
        <v>2050</v>
      </c>
      <c r="L179" s="35" t="n">
        <f aca="false">I179+J179+K179</f>
        <v>34156.8</v>
      </c>
      <c r="M179" s="37" t="s">
        <v>846</v>
      </c>
    </row>
    <row r="180" customFormat="false" ht="25.5" hidden="false" customHeight="true" outlineLevel="0" collapsed="false">
      <c r="A180" s="29"/>
      <c r="B180" s="30" t="s">
        <v>1349</v>
      </c>
      <c r="C180" s="31" t="s">
        <v>245</v>
      </c>
      <c r="D180" s="31" t="s">
        <v>108</v>
      </c>
      <c r="E180" s="32" t="n">
        <v>14275</v>
      </c>
      <c r="F180" s="32"/>
      <c r="G180" s="32" t="n">
        <v>150</v>
      </c>
      <c r="H180" s="33" t="n">
        <v>2</v>
      </c>
      <c r="I180" s="34" t="n">
        <f aca="false">E180*H180+N(F180)+N(G180)</f>
        <v>28700</v>
      </c>
      <c r="J180" s="32" t="n">
        <f aca="false">ROUND(IFERROR(ROUND(IF(OR(ISNUMBER(SEARCH("week",C180)),ISNUMBER(SEARCH("minggu",C180))),IFERROR(_xlfn.NUMBERVALUE(SUBSTITUTE(LEFT(TRIM(C180),FIND(" ",TRIM(C180)&amp;" ")-1),",","."),"."),LEFT(SUBSTITUTE(LEFT(TRIM(C180),FIND(" ",TRIM(C180)&amp;" ")-1),",","."),FIND("/",SUBSTITUTE(LEFT(TRIM(C180),FIND(" ",TRIM(C180)&amp;" ")-1),",","."))-1)/MID(SUBSTITUTE(LEFT(TRIM(C180),FIND(" ",TRIM(C180)&amp;" ")-1),",","."),FIND("/",SUBSTITUTE(LEFT(TRIM(C180),FIND(" ",TRIM(C180)&amp;" ")-1),",","."))+1,9))*12/52,IF(ISNUMBER(SEARCH("month",C180)),IFERROR(_xlfn.NUMBERVALUE(SUBSTITUTE(LEFT(TRIM(C180),FIND(" ",TRIM(C180)&amp;" ")-1),",","."),"."),LEFT(SUBSTITUTE(LEFT(TRIM(C180),FIND(" ",TRIM(C180)&amp;" ")-1),",","."),FIND("/",SUBSTITUTE(LEFT(TRIM(C180),FIND(" ",TRIM(C180)&amp;" ")-1),",","."))-1)/MID(SUBSTITUTE(LEFT(TRIM(C180),FIND(" ",TRIM(C180)&amp;" ")-1),",","."),FIND("/",SUBSTITUTE(LEFT(TRIM(C180),FIND(" ",TRIM(C180)&amp;" ")-1),",","."))+1,9)),IF(ISNUMBER(SEARCH("yea",C180)),IFERROR(_xlfn.NUMBERVALUE(SUBSTITUTE(LEFT(TRIM(C180),FIND(" ",TRIM(C180)&amp;" ")-1),",","."),"."),LEFT(SUBSTITUTE(LEFT(TRIM(C180),FIND(" ",TRIM(C180)&amp;" ")-1),",","."),FIND("/",SUBSTITUTE(LEFT(TRIM(C180),FIND(" ",TRIM(C180)&amp;" ")-1),",","."))-1)/MID(SUBSTITUTE(LEFT(TRIM(C180),FIND(" ",TRIM(C180)&amp;" ")-1),",","."),FIND("/",SUBSTITUTE(LEFT(TRIM(C180),FIND(" ",TRIM(C180)&amp;" ")-1),",","."))+1,9))*12,NA()))),0),60)*'Aturan &amp; Tarif'!$B$4,2)</f>
        <v>3406.8</v>
      </c>
      <c r="K180" s="32" t="n">
        <f aca="false">'Aturan &amp; Tarif'!$B$5</f>
        <v>2050</v>
      </c>
      <c r="L180" s="35" t="n">
        <f aca="false">I180+J180+K180</f>
        <v>34156.8</v>
      </c>
      <c r="M180" s="37" t="s">
        <v>846</v>
      </c>
    </row>
    <row r="181" customFormat="false" ht="25.5" hidden="false" customHeight="true" outlineLevel="0" collapsed="false">
      <c r="A181" s="29"/>
      <c r="B181" s="30" t="s">
        <v>1350</v>
      </c>
      <c r="C181" s="31" t="s">
        <v>1351</v>
      </c>
      <c r="D181" s="31" t="s">
        <v>108</v>
      </c>
      <c r="E181" s="32" t="n">
        <v>14275</v>
      </c>
      <c r="F181" s="32"/>
      <c r="G181" s="32" t="n">
        <v>150</v>
      </c>
      <c r="H181" s="33" t="n">
        <v>2</v>
      </c>
      <c r="I181" s="34" t="n">
        <f aca="false">E181*H181+N(F181)+N(G181)</f>
        <v>28700</v>
      </c>
      <c r="J181" s="32" t="n">
        <f aca="false">ROUND(IFERROR(ROUND(IF(OR(ISNUMBER(SEARCH("week",C181)),ISNUMBER(SEARCH("minggu",C181))),IFERROR(_xlfn.NUMBERVALUE(SUBSTITUTE(LEFT(TRIM(C181),FIND(" ",TRIM(C181)&amp;" ")-1),",","."),"."),LEFT(SUBSTITUTE(LEFT(TRIM(C181),FIND(" ",TRIM(C181)&amp;" ")-1),",","."),FIND("/",SUBSTITUTE(LEFT(TRIM(C181),FIND(" ",TRIM(C181)&amp;" ")-1),",","."))-1)/MID(SUBSTITUTE(LEFT(TRIM(C181),FIND(" ",TRIM(C181)&amp;" ")-1),",","."),FIND("/",SUBSTITUTE(LEFT(TRIM(C181),FIND(" ",TRIM(C181)&amp;" ")-1),",","."))+1,9))*12/52,IF(ISNUMBER(SEARCH("month",C181)),IFERROR(_xlfn.NUMBERVALUE(SUBSTITUTE(LEFT(TRIM(C181),FIND(" ",TRIM(C181)&amp;" ")-1),",","."),"."),LEFT(SUBSTITUTE(LEFT(TRIM(C181),FIND(" ",TRIM(C181)&amp;" ")-1),",","."),FIND("/",SUBSTITUTE(LEFT(TRIM(C181),FIND(" ",TRIM(C181)&amp;" ")-1),",","."))-1)/MID(SUBSTITUTE(LEFT(TRIM(C181),FIND(" ",TRIM(C181)&amp;" ")-1),",","."),FIND("/",SUBSTITUTE(LEFT(TRIM(C181),FIND(" ",TRIM(C181)&amp;" ")-1),",","."))+1,9)),IF(ISNUMBER(SEARCH("yea",C181)),IFERROR(_xlfn.NUMBERVALUE(SUBSTITUTE(LEFT(TRIM(C181),FIND(" ",TRIM(C181)&amp;" ")-1),",","."),"."),LEFT(SUBSTITUTE(LEFT(TRIM(C181),FIND(" ",TRIM(C181)&amp;" ")-1),",","."),FIND("/",SUBSTITUTE(LEFT(TRIM(C181),FIND(" ",TRIM(C181)&amp;" ")-1),",","."))-1)/MID(SUBSTITUTE(LEFT(TRIM(C181),FIND(" ",TRIM(C181)&amp;" ")-1),",","."),FIND("/",SUBSTITUTE(LEFT(TRIM(C181),FIND(" ",TRIM(C181)&amp;" ")-1),",","."))+1,9))*12,NA()))),0),72)*'Aturan &amp; Tarif'!$B$4,2)</f>
        <v>4088.16</v>
      </c>
      <c r="K181" s="32" t="n">
        <f aca="false">'Aturan &amp; Tarif'!$B$5</f>
        <v>2050</v>
      </c>
      <c r="L181" s="35" t="n">
        <f aca="false">I181+J181+K181</f>
        <v>34838.16</v>
      </c>
      <c r="M181" s="37" t="s">
        <v>846</v>
      </c>
    </row>
    <row r="182" customFormat="false" ht="25.5" hidden="false" customHeight="true" outlineLevel="0" collapsed="false">
      <c r="A182" s="29"/>
      <c r="B182" s="30" t="s">
        <v>1352</v>
      </c>
      <c r="C182" s="31" t="s">
        <v>245</v>
      </c>
      <c r="D182" s="31" t="s">
        <v>108</v>
      </c>
      <c r="E182" s="32" t="n">
        <v>14275</v>
      </c>
      <c r="F182" s="32"/>
      <c r="G182" s="32" t="n">
        <v>150</v>
      </c>
      <c r="H182" s="33" t="n">
        <v>2</v>
      </c>
      <c r="I182" s="34" t="n">
        <f aca="false">E182*H182+N(F182)+N(G182)</f>
        <v>28700</v>
      </c>
      <c r="J182" s="32" t="n">
        <f aca="false">ROUND(IFERROR(ROUND(IF(OR(ISNUMBER(SEARCH("week",C182)),ISNUMBER(SEARCH("minggu",C182))),IFERROR(_xlfn.NUMBERVALUE(SUBSTITUTE(LEFT(TRIM(C182),FIND(" ",TRIM(C182)&amp;" ")-1),",","."),"."),LEFT(SUBSTITUTE(LEFT(TRIM(C182),FIND(" ",TRIM(C182)&amp;" ")-1),",","."),FIND("/",SUBSTITUTE(LEFT(TRIM(C182),FIND(" ",TRIM(C182)&amp;" ")-1),",","."))-1)/MID(SUBSTITUTE(LEFT(TRIM(C182),FIND(" ",TRIM(C182)&amp;" ")-1),",","."),FIND("/",SUBSTITUTE(LEFT(TRIM(C182),FIND(" ",TRIM(C182)&amp;" ")-1),",","."))+1,9))*12/52,IF(ISNUMBER(SEARCH("month",C182)),IFERROR(_xlfn.NUMBERVALUE(SUBSTITUTE(LEFT(TRIM(C182),FIND(" ",TRIM(C182)&amp;" ")-1),",","."),"."),LEFT(SUBSTITUTE(LEFT(TRIM(C182),FIND(" ",TRIM(C182)&amp;" ")-1),",","."),FIND("/",SUBSTITUTE(LEFT(TRIM(C182),FIND(" ",TRIM(C182)&amp;" ")-1),",","."))-1)/MID(SUBSTITUTE(LEFT(TRIM(C182),FIND(" ",TRIM(C182)&amp;" ")-1),",","."),FIND("/",SUBSTITUTE(LEFT(TRIM(C182),FIND(" ",TRIM(C182)&amp;" ")-1),",","."))+1,9)),IF(ISNUMBER(SEARCH("yea",C182)),IFERROR(_xlfn.NUMBERVALUE(SUBSTITUTE(LEFT(TRIM(C182),FIND(" ",TRIM(C182)&amp;" ")-1),",","."),"."),LEFT(SUBSTITUTE(LEFT(TRIM(C182),FIND(" ",TRIM(C182)&amp;" ")-1),",","."),FIND("/",SUBSTITUTE(LEFT(TRIM(C182),FIND(" ",TRIM(C182)&amp;" ")-1),",","."))-1)/MID(SUBSTITUTE(LEFT(TRIM(C182),FIND(" ",TRIM(C182)&amp;" ")-1),",","."),FIND("/",SUBSTITUTE(LEFT(TRIM(C182),FIND(" ",TRIM(C182)&amp;" ")-1),",","."))+1,9))*12,NA()))),0),60)*'Aturan &amp; Tarif'!$B$4,2)</f>
        <v>3406.8</v>
      </c>
      <c r="K182" s="32" t="n">
        <f aca="false">'Aturan &amp; Tarif'!$B$5</f>
        <v>2050</v>
      </c>
      <c r="L182" s="35" t="n">
        <f aca="false">I182+J182+K182</f>
        <v>34156.8</v>
      </c>
      <c r="M182" s="37" t="s">
        <v>846</v>
      </c>
    </row>
    <row r="183" customFormat="false" ht="25.5" hidden="false" customHeight="true" outlineLevel="0" collapsed="false">
      <c r="A183" s="29"/>
      <c r="B183" s="30" t="s">
        <v>1353</v>
      </c>
      <c r="C183" s="31" t="s">
        <v>245</v>
      </c>
      <c r="D183" s="31" t="s">
        <v>108</v>
      </c>
      <c r="E183" s="32" t="n">
        <v>14275</v>
      </c>
      <c r="F183" s="32"/>
      <c r="G183" s="32" t="n">
        <v>150</v>
      </c>
      <c r="H183" s="33" t="n">
        <v>2</v>
      </c>
      <c r="I183" s="34" t="n">
        <f aca="false">E183*H183+N(F183)+N(G183)</f>
        <v>28700</v>
      </c>
      <c r="J183" s="32" t="n">
        <f aca="false">ROUND(IFERROR(ROUND(IF(OR(ISNUMBER(SEARCH("week",C183)),ISNUMBER(SEARCH("minggu",C183))),IFERROR(_xlfn.NUMBERVALUE(SUBSTITUTE(LEFT(TRIM(C183),FIND(" ",TRIM(C183)&amp;" ")-1),",","."),"."),LEFT(SUBSTITUTE(LEFT(TRIM(C183),FIND(" ",TRIM(C183)&amp;" ")-1),",","."),FIND("/",SUBSTITUTE(LEFT(TRIM(C183),FIND(" ",TRIM(C183)&amp;" ")-1),",","."))-1)/MID(SUBSTITUTE(LEFT(TRIM(C183),FIND(" ",TRIM(C183)&amp;" ")-1),",","."),FIND("/",SUBSTITUTE(LEFT(TRIM(C183),FIND(" ",TRIM(C183)&amp;" ")-1),",","."))+1,9))*12/52,IF(ISNUMBER(SEARCH("month",C183)),IFERROR(_xlfn.NUMBERVALUE(SUBSTITUTE(LEFT(TRIM(C183),FIND(" ",TRIM(C183)&amp;" ")-1),",","."),"."),LEFT(SUBSTITUTE(LEFT(TRIM(C183),FIND(" ",TRIM(C183)&amp;" ")-1),",","."),FIND("/",SUBSTITUTE(LEFT(TRIM(C183),FIND(" ",TRIM(C183)&amp;" ")-1),",","."))-1)/MID(SUBSTITUTE(LEFT(TRIM(C183),FIND(" ",TRIM(C183)&amp;" ")-1),",","."),FIND("/",SUBSTITUTE(LEFT(TRIM(C183),FIND(" ",TRIM(C183)&amp;" ")-1),",","."))+1,9)),IF(ISNUMBER(SEARCH("yea",C183)),IFERROR(_xlfn.NUMBERVALUE(SUBSTITUTE(LEFT(TRIM(C183),FIND(" ",TRIM(C183)&amp;" ")-1),",","."),"."),LEFT(SUBSTITUTE(LEFT(TRIM(C183),FIND(" ",TRIM(C183)&amp;" ")-1),",","."),FIND("/",SUBSTITUTE(LEFT(TRIM(C183),FIND(" ",TRIM(C183)&amp;" ")-1),",","."))-1)/MID(SUBSTITUTE(LEFT(TRIM(C183),FIND(" ",TRIM(C183)&amp;" ")-1),",","."),FIND("/",SUBSTITUTE(LEFT(TRIM(C183),FIND(" ",TRIM(C183)&amp;" ")-1),",","."))+1,9))*12,NA()))),0),60)*'Aturan &amp; Tarif'!$B$4,2)</f>
        <v>3406.8</v>
      </c>
      <c r="K183" s="32" t="n">
        <f aca="false">'Aturan &amp; Tarif'!$B$5</f>
        <v>2050</v>
      </c>
      <c r="L183" s="35" t="n">
        <f aca="false">I183+J183+K183</f>
        <v>34156.8</v>
      </c>
      <c r="M183" s="37" t="s">
        <v>846</v>
      </c>
    </row>
    <row r="184" customFormat="false" ht="25.5" hidden="false" customHeight="true" outlineLevel="0" collapsed="false">
      <c r="A184" s="29"/>
      <c r="B184" s="30" t="s">
        <v>1354</v>
      </c>
      <c r="C184" s="31" t="s">
        <v>245</v>
      </c>
      <c r="D184" s="31" t="s">
        <v>108</v>
      </c>
      <c r="E184" s="32" t="n">
        <v>14275</v>
      </c>
      <c r="F184" s="32"/>
      <c r="G184" s="32" t="n">
        <v>150</v>
      </c>
      <c r="H184" s="33" t="n">
        <v>2</v>
      </c>
      <c r="I184" s="34" t="n">
        <f aca="false">E184*H184+N(F184)+N(G184)</f>
        <v>28700</v>
      </c>
      <c r="J184" s="32" t="n">
        <f aca="false">ROUND(IFERROR(ROUND(IF(OR(ISNUMBER(SEARCH("week",C184)),ISNUMBER(SEARCH("minggu",C184))),IFERROR(_xlfn.NUMBERVALUE(SUBSTITUTE(LEFT(TRIM(C184),FIND(" ",TRIM(C184)&amp;" ")-1),",","."),"."),LEFT(SUBSTITUTE(LEFT(TRIM(C184),FIND(" ",TRIM(C184)&amp;" ")-1),",","."),FIND("/",SUBSTITUTE(LEFT(TRIM(C184),FIND(" ",TRIM(C184)&amp;" ")-1),",","."))-1)/MID(SUBSTITUTE(LEFT(TRIM(C184),FIND(" ",TRIM(C184)&amp;" ")-1),",","."),FIND("/",SUBSTITUTE(LEFT(TRIM(C184),FIND(" ",TRIM(C184)&amp;" ")-1),",","."))+1,9))*12/52,IF(ISNUMBER(SEARCH("month",C184)),IFERROR(_xlfn.NUMBERVALUE(SUBSTITUTE(LEFT(TRIM(C184),FIND(" ",TRIM(C184)&amp;" ")-1),",","."),"."),LEFT(SUBSTITUTE(LEFT(TRIM(C184),FIND(" ",TRIM(C184)&amp;" ")-1),",","."),FIND("/",SUBSTITUTE(LEFT(TRIM(C184),FIND(" ",TRIM(C184)&amp;" ")-1),",","."))-1)/MID(SUBSTITUTE(LEFT(TRIM(C184),FIND(" ",TRIM(C184)&amp;" ")-1),",","."),FIND("/",SUBSTITUTE(LEFT(TRIM(C184),FIND(" ",TRIM(C184)&amp;" ")-1),",","."))+1,9)),IF(ISNUMBER(SEARCH("yea",C184)),IFERROR(_xlfn.NUMBERVALUE(SUBSTITUTE(LEFT(TRIM(C184),FIND(" ",TRIM(C184)&amp;" ")-1),",","."),"."),LEFT(SUBSTITUTE(LEFT(TRIM(C184),FIND(" ",TRIM(C184)&amp;" ")-1),",","."),FIND("/",SUBSTITUTE(LEFT(TRIM(C184),FIND(" ",TRIM(C184)&amp;" ")-1),",","."))-1)/MID(SUBSTITUTE(LEFT(TRIM(C184),FIND(" ",TRIM(C184)&amp;" ")-1),",","."),FIND("/",SUBSTITUTE(LEFT(TRIM(C184),FIND(" ",TRIM(C184)&amp;" ")-1),",","."))+1,9))*12,NA()))),0),60)*'Aturan &amp; Tarif'!$B$4,2)</f>
        <v>3406.8</v>
      </c>
      <c r="K184" s="32" t="n">
        <f aca="false">'Aturan &amp; Tarif'!$B$5</f>
        <v>2050</v>
      </c>
      <c r="L184" s="35" t="n">
        <f aca="false">I184+J184+K184</f>
        <v>34156.8</v>
      </c>
      <c r="M184" s="37" t="s">
        <v>846</v>
      </c>
    </row>
    <row r="185" customFormat="false" ht="25.5" hidden="false" customHeight="true" outlineLevel="0" collapsed="false">
      <c r="A185" s="29"/>
      <c r="B185" s="30" t="s">
        <v>1355</v>
      </c>
      <c r="C185" s="31" t="s">
        <v>245</v>
      </c>
      <c r="D185" s="31" t="s">
        <v>108</v>
      </c>
      <c r="E185" s="32" t="n">
        <v>14275</v>
      </c>
      <c r="F185" s="32"/>
      <c r="G185" s="32" t="n">
        <v>150</v>
      </c>
      <c r="H185" s="33" t="n">
        <v>2</v>
      </c>
      <c r="I185" s="34" t="n">
        <f aca="false">E185*H185+N(F185)+N(G185)</f>
        <v>28700</v>
      </c>
      <c r="J185" s="32" t="n">
        <f aca="false">ROUND(IFERROR(ROUND(IF(OR(ISNUMBER(SEARCH("week",C185)),ISNUMBER(SEARCH("minggu",C185))),IFERROR(_xlfn.NUMBERVALUE(SUBSTITUTE(LEFT(TRIM(C185),FIND(" ",TRIM(C185)&amp;" ")-1),",","."),"."),LEFT(SUBSTITUTE(LEFT(TRIM(C185),FIND(" ",TRIM(C185)&amp;" ")-1),",","."),FIND("/",SUBSTITUTE(LEFT(TRIM(C185),FIND(" ",TRIM(C185)&amp;" ")-1),",","."))-1)/MID(SUBSTITUTE(LEFT(TRIM(C185),FIND(" ",TRIM(C185)&amp;" ")-1),",","."),FIND("/",SUBSTITUTE(LEFT(TRIM(C185),FIND(" ",TRIM(C185)&amp;" ")-1),",","."))+1,9))*12/52,IF(ISNUMBER(SEARCH("month",C185)),IFERROR(_xlfn.NUMBERVALUE(SUBSTITUTE(LEFT(TRIM(C185),FIND(" ",TRIM(C185)&amp;" ")-1),",","."),"."),LEFT(SUBSTITUTE(LEFT(TRIM(C185),FIND(" ",TRIM(C185)&amp;" ")-1),",","."),FIND("/",SUBSTITUTE(LEFT(TRIM(C185),FIND(" ",TRIM(C185)&amp;" ")-1),",","."))-1)/MID(SUBSTITUTE(LEFT(TRIM(C185),FIND(" ",TRIM(C185)&amp;" ")-1),",","."),FIND("/",SUBSTITUTE(LEFT(TRIM(C185),FIND(" ",TRIM(C185)&amp;" ")-1),",","."))+1,9)),IF(ISNUMBER(SEARCH("yea",C185)),IFERROR(_xlfn.NUMBERVALUE(SUBSTITUTE(LEFT(TRIM(C185),FIND(" ",TRIM(C185)&amp;" ")-1),",","."),"."),LEFT(SUBSTITUTE(LEFT(TRIM(C185),FIND(" ",TRIM(C185)&amp;" ")-1),",","."),FIND("/",SUBSTITUTE(LEFT(TRIM(C185),FIND(" ",TRIM(C185)&amp;" ")-1),",","."))-1)/MID(SUBSTITUTE(LEFT(TRIM(C185),FIND(" ",TRIM(C185)&amp;" ")-1),",","."),FIND("/",SUBSTITUTE(LEFT(TRIM(C185),FIND(" ",TRIM(C185)&amp;" ")-1),",","."))+1,9))*12,NA()))),0),60)*'Aturan &amp; Tarif'!$B$4,2)</f>
        <v>3406.8</v>
      </c>
      <c r="K185" s="32" t="n">
        <f aca="false">'Aturan &amp; Tarif'!$B$5</f>
        <v>2050</v>
      </c>
      <c r="L185" s="35" t="n">
        <f aca="false">I185+J185+K185</f>
        <v>34156.8</v>
      </c>
      <c r="M185" s="37" t="s">
        <v>846</v>
      </c>
    </row>
    <row r="186" customFormat="false" ht="14.25" hidden="false" customHeight="true" outlineLevel="0" collapsed="false">
      <c r="A186" s="29"/>
      <c r="B186" s="30" t="s">
        <v>1356</v>
      </c>
      <c r="C186" s="31" t="s">
        <v>127</v>
      </c>
      <c r="D186" s="31" t="s">
        <v>108</v>
      </c>
      <c r="E186" s="32" t="n">
        <v>13725</v>
      </c>
      <c r="F186" s="32"/>
      <c r="G186" s="32" t="n">
        <v>150</v>
      </c>
      <c r="H186" s="33" t="n">
        <v>2</v>
      </c>
      <c r="I186" s="34" t="n">
        <f aca="false">E186*H186+N(F186)+N(G186)</f>
        <v>27600</v>
      </c>
      <c r="J186" s="32" t="n">
        <f aca="false">ROUND(IFERROR(ROUND(IF(OR(ISNUMBER(SEARCH("week",C186)),ISNUMBER(SEARCH("minggu",C186))),IFERROR(_xlfn.NUMBERVALUE(SUBSTITUTE(LEFT(TRIM(C186),FIND(" ",TRIM(C186)&amp;" ")-1),",","."),"."),LEFT(SUBSTITUTE(LEFT(TRIM(C186),FIND(" ",TRIM(C186)&amp;" ")-1),",","."),FIND("/",SUBSTITUTE(LEFT(TRIM(C186),FIND(" ",TRIM(C186)&amp;" ")-1),",","."))-1)/MID(SUBSTITUTE(LEFT(TRIM(C186),FIND(" ",TRIM(C186)&amp;" ")-1),",","."),FIND("/",SUBSTITUTE(LEFT(TRIM(C186),FIND(" ",TRIM(C186)&amp;" ")-1),",","."))+1,9))*12/52,IF(ISNUMBER(SEARCH("month",C186)),IFERROR(_xlfn.NUMBERVALUE(SUBSTITUTE(LEFT(TRIM(C186),FIND(" ",TRIM(C186)&amp;" ")-1),",","."),"."),LEFT(SUBSTITUTE(LEFT(TRIM(C186),FIND(" ",TRIM(C186)&amp;" ")-1),",","."),FIND("/",SUBSTITUTE(LEFT(TRIM(C186),FIND(" ",TRIM(C186)&amp;" ")-1),",","."))-1)/MID(SUBSTITUTE(LEFT(TRIM(C186),FIND(" ",TRIM(C186)&amp;" ")-1),",","."),FIND("/",SUBSTITUTE(LEFT(TRIM(C186),FIND(" ",TRIM(C186)&amp;" ")-1),",","."))+1,9)),IF(ISNUMBER(SEARCH("yea",C186)),IFERROR(_xlfn.NUMBERVALUE(SUBSTITUTE(LEFT(TRIM(C186),FIND(" ",TRIM(C186)&amp;" ")-1),",","."),"."),LEFT(SUBSTITUTE(LEFT(TRIM(C186),FIND(" ",TRIM(C186)&amp;" ")-1),",","."),FIND("/",SUBSTITUTE(LEFT(TRIM(C186),FIND(" ",TRIM(C186)&amp;" ")-1),",","."))-1)/MID(SUBSTITUTE(LEFT(TRIM(C186),FIND(" ",TRIM(C186)&amp;" ")-1),",","."),FIND("/",SUBSTITUTE(LEFT(TRIM(C186),FIND(" ",TRIM(C186)&amp;" ")-1),",","."))+1,9))*12,NA()))),0),36)*'Aturan &amp; Tarif'!$B$4,2)</f>
        <v>2044.08</v>
      </c>
      <c r="K186" s="32" t="n">
        <f aca="false">'Aturan &amp; Tarif'!$B$5</f>
        <v>2050</v>
      </c>
      <c r="L186" s="35" t="n">
        <f aca="false">I186+J186+K186</f>
        <v>31694.08</v>
      </c>
      <c r="M186" s="37" t="s">
        <v>1357</v>
      </c>
    </row>
    <row r="187" customFormat="false" ht="25.5" hidden="false" customHeight="true" outlineLevel="0" collapsed="false">
      <c r="A187" s="29"/>
      <c r="B187" s="30" t="s">
        <v>1358</v>
      </c>
      <c r="C187" s="31" t="s">
        <v>127</v>
      </c>
      <c r="D187" s="31" t="s">
        <v>108</v>
      </c>
      <c r="E187" s="32" t="n">
        <v>13725</v>
      </c>
      <c r="F187" s="32"/>
      <c r="G187" s="32" t="n">
        <v>150</v>
      </c>
      <c r="H187" s="33" t="n">
        <v>2</v>
      </c>
      <c r="I187" s="34" t="n">
        <f aca="false">E187*H187+N(F187)+N(G187)</f>
        <v>27600</v>
      </c>
      <c r="J187" s="32" t="n">
        <f aca="false">ROUND(IFERROR(ROUND(IF(OR(ISNUMBER(SEARCH("week",C187)),ISNUMBER(SEARCH("minggu",C187))),IFERROR(_xlfn.NUMBERVALUE(SUBSTITUTE(LEFT(TRIM(C187),FIND(" ",TRIM(C187)&amp;" ")-1),",","."),"."),LEFT(SUBSTITUTE(LEFT(TRIM(C187),FIND(" ",TRIM(C187)&amp;" ")-1),",","."),FIND("/",SUBSTITUTE(LEFT(TRIM(C187),FIND(" ",TRIM(C187)&amp;" ")-1),",","."))-1)/MID(SUBSTITUTE(LEFT(TRIM(C187),FIND(" ",TRIM(C187)&amp;" ")-1),",","."),FIND("/",SUBSTITUTE(LEFT(TRIM(C187),FIND(" ",TRIM(C187)&amp;" ")-1),",","."))+1,9))*12/52,IF(ISNUMBER(SEARCH("month",C187)),IFERROR(_xlfn.NUMBERVALUE(SUBSTITUTE(LEFT(TRIM(C187),FIND(" ",TRIM(C187)&amp;" ")-1),",","."),"."),LEFT(SUBSTITUTE(LEFT(TRIM(C187),FIND(" ",TRIM(C187)&amp;" ")-1),",","."),FIND("/",SUBSTITUTE(LEFT(TRIM(C187),FIND(" ",TRIM(C187)&amp;" ")-1),",","."))-1)/MID(SUBSTITUTE(LEFT(TRIM(C187),FIND(" ",TRIM(C187)&amp;" ")-1),",","."),FIND("/",SUBSTITUTE(LEFT(TRIM(C187),FIND(" ",TRIM(C187)&amp;" ")-1),",","."))+1,9)),IF(ISNUMBER(SEARCH("yea",C187)),IFERROR(_xlfn.NUMBERVALUE(SUBSTITUTE(LEFT(TRIM(C187),FIND(" ",TRIM(C187)&amp;" ")-1),",","."),"."),LEFT(SUBSTITUTE(LEFT(TRIM(C187),FIND(" ",TRIM(C187)&amp;" ")-1),",","."),FIND("/",SUBSTITUTE(LEFT(TRIM(C187),FIND(" ",TRIM(C187)&amp;" ")-1),",","."))-1)/MID(SUBSTITUTE(LEFT(TRIM(C187),FIND(" ",TRIM(C187)&amp;" ")-1),",","."),FIND("/",SUBSTITUTE(LEFT(TRIM(C187),FIND(" ",TRIM(C187)&amp;" ")-1),",","."))+1,9))*12,NA()))),0),36)*'Aturan &amp; Tarif'!$B$4,2)</f>
        <v>2044.08</v>
      </c>
      <c r="K187" s="32" t="n">
        <f aca="false">'Aturan &amp; Tarif'!$B$5</f>
        <v>2050</v>
      </c>
      <c r="L187" s="35" t="n">
        <f aca="false">I187+J187+K187</f>
        <v>31694.08</v>
      </c>
      <c r="M187" s="37" t="s">
        <v>1357</v>
      </c>
    </row>
    <row r="188" customFormat="false" ht="25.5" hidden="false" customHeight="true" outlineLevel="0" collapsed="false">
      <c r="A188" s="29"/>
      <c r="B188" s="30" t="s">
        <v>1359</v>
      </c>
      <c r="C188" s="31" t="s">
        <v>127</v>
      </c>
      <c r="D188" s="31" t="s">
        <v>108</v>
      </c>
      <c r="E188" s="32" t="n">
        <v>13725</v>
      </c>
      <c r="F188" s="32"/>
      <c r="G188" s="32" t="n">
        <v>150</v>
      </c>
      <c r="H188" s="33" t="n">
        <v>2</v>
      </c>
      <c r="I188" s="34" t="n">
        <f aca="false">E188*H188+N(F188)+N(G188)</f>
        <v>27600</v>
      </c>
      <c r="J188" s="32" t="n">
        <f aca="false">ROUND(IFERROR(ROUND(IF(OR(ISNUMBER(SEARCH("week",C188)),ISNUMBER(SEARCH("minggu",C188))),IFERROR(_xlfn.NUMBERVALUE(SUBSTITUTE(LEFT(TRIM(C188),FIND(" ",TRIM(C188)&amp;" ")-1),",","."),"."),LEFT(SUBSTITUTE(LEFT(TRIM(C188),FIND(" ",TRIM(C188)&amp;" ")-1),",","."),FIND("/",SUBSTITUTE(LEFT(TRIM(C188),FIND(" ",TRIM(C188)&amp;" ")-1),",","."))-1)/MID(SUBSTITUTE(LEFT(TRIM(C188),FIND(" ",TRIM(C188)&amp;" ")-1),",","."),FIND("/",SUBSTITUTE(LEFT(TRIM(C188),FIND(" ",TRIM(C188)&amp;" ")-1),",","."))+1,9))*12/52,IF(ISNUMBER(SEARCH("month",C188)),IFERROR(_xlfn.NUMBERVALUE(SUBSTITUTE(LEFT(TRIM(C188),FIND(" ",TRIM(C188)&amp;" ")-1),",","."),"."),LEFT(SUBSTITUTE(LEFT(TRIM(C188),FIND(" ",TRIM(C188)&amp;" ")-1),",","."),FIND("/",SUBSTITUTE(LEFT(TRIM(C188),FIND(" ",TRIM(C188)&amp;" ")-1),",","."))-1)/MID(SUBSTITUTE(LEFT(TRIM(C188),FIND(" ",TRIM(C188)&amp;" ")-1),",","."),FIND("/",SUBSTITUTE(LEFT(TRIM(C188),FIND(" ",TRIM(C188)&amp;" ")-1),",","."))+1,9)),IF(ISNUMBER(SEARCH("yea",C188)),IFERROR(_xlfn.NUMBERVALUE(SUBSTITUTE(LEFT(TRIM(C188),FIND(" ",TRIM(C188)&amp;" ")-1),",","."),"."),LEFT(SUBSTITUTE(LEFT(TRIM(C188),FIND(" ",TRIM(C188)&amp;" ")-1),",","."),FIND("/",SUBSTITUTE(LEFT(TRIM(C188),FIND(" ",TRIM(C188)&amp;" ")-1),",","."))-1)/MID(SUBSTITUTE(LEFT(TRIM(C188),FIND(" ",TRIM(C188)&amp;" ")-1),",","."),FIND("/",SUBSTITUTE(LEFT(TRIM(C188),FIND(" ",TRIM(C188)&amp;" ")-1),",","."))+1,9))*12,NA()))),0),36)*'Aturan &amp; Tarif'!$B$4,2)</f>
        <v>2044.08</v>
      </c>
      <c r="K188" s="32" t="n">
        <f aca="false">'Aturan &amp; Tarif'!$B$5</f>
        <v>2050</v>
      </c>
      <c r="L188" s="35" t="n">
        <f aca="false">I188+J188+K188</f>
        <v>31694.08</v>
      </c>
      <c r="M188" s="37" t="s">
        <v>1357</v>
      </c>
    </row>
    <row r="189" customFormat="false" ht="25.5" hidden="false" customHeight="true" outlineLevel="0" collapsed="false">
      <c r="A189" s="29"/>
      <c r="B189" s="30" t="s">
        <v>1360</v>
      </c>
      <c r="C189" s="31" t="s">
        <v>127</v>
      </c>
      <c r="D189" s="31" t="s">
        <v>108</v>
      </c>
      <c r="E189" s="32" t="n">
        <v>13725</v>
      </c>
      <c r="F189" s="32"/>
      <c r="G189" s="32" t="n">
        <v>150</v>
      </c>
      <c r="H189" s="33" t="n">
        <v>2</v>
      </c>
      <c r="I189" s="34" t="n">
        <f aca="false">E189*H189+N(F189)+N(G189)</f>
        <v>27600</v>
      </c>
      <c r="J189" s="32" t="n">
        <f aca="false">ROUND(IFERROR(ROUND(IF(OR(ISNUMBER(SEARCH("week",C189)),ISNUMBER(SEARCH("minggu",C189))),IFERROR(_xlfn.NUMBERVALUE(SUBSTITUTE(LEFT(TRIM(C189),FIND(" ",TRIM(C189)&amp;" ")-1),",","."),"."),LEFT(SUBSTITUTE(LEFT(TRIM(C189),FIND(" ",TRIM(C189)&amp;" ")-1),",","."),FIND("/",SUBSTITUTE(LEFT(TRIM(C189),FIND(" ",TRIM(C189)&amp;" ")-1),",","."))-1)/MID(SUBSTITUTE(LEFT(TRIM(C189),FIND(" ",TRIM(C189)&amp;" ")-1),",","."),FIND("/",SUBSTITUTE(LEFT(TRIM(C189),FIND(" ",TRIM(C189)&amp;" ")-1),",","."))+1,9))*12/52,IF(ISNUMBER(SEARCH("month",C189)),IFERROR(_xlfn.NUMBERVALUE(SUBSTITUTE(LEFT(TRIM(C189),FIND(" ",TRIM(C189)&amp;" ")-1),",","."),"."),LEFT(SUBSTITUTE(LEFT(TRIM(C189),FIND(" ",TRIM(C189)&amp;" ")-1),",","."),FIND("/",SUBSTITUTE(LEFT(TRIM(C189),FIND(" ",TRIM(C189)&amp;" ")-1),",","."))-1)/MID(SUBSTITUTE(LEFT(TRIM(C189),FIND(" ",TRIM(C189)&amp;" ")-1),",","."),FIND("/",SUBSTITUTE(LEFT(TRIM(C189),FIND(" ",TRIM(C189)&amp;" ")-1),",","."))+1,9)),IF(ISNUMBER(SEARCH("yea",C189)),IFERROR(_xlfn.NUMBERVALUE(SUBSTITUTE(LEFT(TRIM(C189),FIND(" ",TRIM(C189)&amp;" ")-1),",","."),"."),LEFT(SUBSTITUTE(LEFT(TRIM(C189),FIND(" ",TRIM(C189)&amp;" ")-1),",","."),FIND("/",SUBSTITUTE(LEFT(TRIM(C189),FIND(" ",TRIM(C189)&amp;" ")-1),",","."))-1)/MID(SUBSTITUTE(LEFT(TRIM(C189),FIND(" ",TRIM(C189)&amp;" ")-1),",","."),FIND("/",SUBSTITUTE(LEFT(TRIM(C189),FIND(" ",TRIM(C189)&amp;" ")-1),",","."))+1,9))*12,NA()))),0),36)*'Aturan &amp; Tarif'!$B$4,2)</f>
        <v>2044.08</v>
      </c>
      <c r="K189" s="32" t="n">
        <f aca="false">'Aturan &amp; Tarif'!$B$5</f>
        <v>2050</v>
      </c>
      <c r="L189" s="35" t="n">
        <f aca="false">I189+J189+K189</f>
        <v>31694.08</v>
      </c>
      <c r="M189" s="37" t="s">
        <v>1357</v>
      </c>
    </row>
    <row r="190" customFormat="false" ht="25.5" hidden="false" customHeight="true" outlineLevel="0" collapsed="false">
      <c r="A190" s="29"/>
      <c r="B190" s="30" t="s">
        <v>1361</v>
      </c>
      <c r="C190" s="31" t="s">
        <v>127</v>
      </c>
      <c r="D190" s="31" t="s">
        <v>108</v>
      </c>
      <c r="E190" s="32" t="n">
        <v>13725</v>
      </c>
      <c r="F190" s="32"/>
      <c r="G190" s="32" t="n">
        <v>150</v>
      </c>
      <c r="H190" s="33" t="n">
        <v>2</v>
      </c>
      <c r="I190" s="34" t="n">
        <f aca="false">E190*H190+N(F190)+N(G190)</f>
        <v>27600</v>
      </c>
      <c r="J190" s="32" t="n">
        <f aca="false">ROUND(IFERROR(ROUND(IF(OR(ISNUMBER(SEARCH("week",C190)),ISNUMBER(SEARCH("minggu",C190))),IFERROR(_xlfn.NUMBERVALUE(SUBSTITUTE(LEFT(TRIM(C190),FIND(" ",TRIM(C190)&amp;" ")-1),",","."),"."),LEFT(SUBSTITUTE(LEFT(TRIM(C190),FIND(" ",TRIM(C190)&amp;" ")-1),",","."),FIND("/",SUBSTITUTE(LEFT(TRIM(C190),FIND(" ",TRIM(C190)&amp;" ")-1),",","."))-1)/MID(SUBSTITUTE(LEFT(TRIM(C190),FIND(" ",TRIM(C190)&amp;" ")-1),",","."),FIND("/",SUBSTITUTE(LEFT(TRIM(C190),FIND(" ",TRIM(C190)&amp;" ")-1),",","."))+1,9))*12/52,IF(ISNUMBER(SEARCH("month",C190)),IFERROR(_xlfn.NUMBERVALUE(SUBSTITUTE(LEFT(TRIM(C190),FIND(" ",TRIM(C190)&amp;" ")-1),",","."),"."),LEFT(SUBSTITUTE(LEFT(TRIM(C190),FIND(" ",TRIM(C190)&amp;" ")-1),",","."),FIND("/",SUBSTITUTE(LEFT(TRIM(C190),FIND(" ",TRIM(C190)&amp;" ")-1),",","."))-1)/MID(SUBSTITUTE(LEFT(TRIM(C190),FIND(" ",TRIM(C190)&amp;" ")-1),",","."),FIND("/",SUBSTITUTE(LEFT(TRIM(C190),FIND(" ",TRIM(C190)&amp;" ")-1),",","."))+1,9)),IF(ISNUMBER(SEARCH("yea",C190)),IFERROR(_xlfn.NUMBERVALUE(SUBSTITUTE(LEFT(TRIM(C190),FIND(" ",TRIM(C190)&amp;" ")-1),",","."),"."),LEFT(SUBSTITUTE(LEFT(TRIM(C190),FIND(" ",TRIM(C190)&amp;" ")-1),",","."),FIND("/",SUBSTITUTE(LEFT(TRIM(C190),FIND(" ",TRIM(C190)&amp;" ")-1),",","."))-1)/MID(SUBSTITUTE(LEFT(TRIM(C190),FIND(" ",TRIM(C190)&amp;" ")-1),",","."),FIND("/",SUBSTITUTE(LEFT(TRIM(C190),FIND(" ",TRIM(C190)&amp;" ")-1),",","."))+1,9))*12,NA()))),0),36)*'Aturan &amp; Tarif'!$B$4,2)</f>
        <v>2044.08</v>
      </c>
      <c r="K190" s="32" t="n">
        <f aca="false">'Aturan &amp; Tarif'!$B$5</f>
        <v>2050</v>
      </c>
      <c r="L190" s="35" t="n">
        <f aca="false">I190+J190+K190</f>
        <v>31694.08</v>
      </c>
      <c r="M190" s="37" t="s">
        <v>1357</v>
      </c>
    </row>
    <row r="191" customFormat="false" ht="14.25" hidden="false" customHeight="true" outlineLevel="0" collapsed="false">
      <c r="A191" s="29"/>
      <c r="B191" s="30" t="s">
        <v>1362</v>
      </c>
      <c r="C191" s="31" t="s">
        <v>191</v>
      </c>
      <c r="D191" s="31" t="s">
        <v>108</v>
      </c>
      <c r="E191" s="32" t="n">
        <v>14275</v>
      </c>
      <c r="F191" s="32"/>
      <c r="G191" s="32" t="n">
        <v>150</v>
      </c>
      <c r="H191" s="33" t="n">
        <v>2</v>
      </c>
      <c r="I191" s="34" t="n">
        <f aca="false">E191*H191+N(F191)+N(G191)</f>
        <v>28700</v>
      </c>
      <c r="J191" s="32" t="n">
        <f aca="false">ROUND(IFERROR(ROUND(IF(OR(ISNUMBER(SEARCH("week",C191)),ISNUMBER(SEARCH("minggu",C191))),IFERROR(_xlfn.NUMBERVALUE(SUBSTITUTE(LEFT(TRIM(C191),FIND(" ",TRIM(C191)&amp;" ")-1),",","."),"."),LEFT(SUBSTITUTE(LEFT(TRIM(C191),FIND(" ",TRIM(C191)&amp;" ")-1),",","."),FIND("/",SUBSTITUTE(LEFT(TRIM(C191),FIND(" ",TRIM(C191)&amp;" ")-1),",","."))-1)/MID(SUBSTITUTE(LEFT(TRIM(C191),FIND(" ",TRIM(C191)&amp;" ")-1),",","."),FIND("/",SUBSTITUTE(LEFT(TRIM(C191),FIND(" ",TRIM(C191)&amp;" ")-1),",","."))+1,9))*12/52,IF(ISNUMBER(SEARCH("month",C191)),IFERROR(_xlfn.NUMBERVALUE(SUBSTITUTE(LEFT(TRIM(C191),FIND(" ",TRIM(C191)&amp;" ")-1),",","."),"."),LEFT(SUBSTITUTE(LEFT(TRIM(C191),FIND(" ",TRIM(C191)&amp;" ")-1),",","."),FIND("/",SUBSTITUTE(LEFT(TRIM(C191),FIND(" ",TRIM(C191)&amp;" ")-1),",","."))-1)/MID(SUBSTITUTE(LEFT(TRIM(C191),FIND(" ",TRIM(C191)&amp;" ")-1),",","."),FIND("/",SUBSTITUTE(LEFT(TRIM(C191),FIND(" ",TRIM(C191)&amp;" ")-1),",","."))+1,9)),IF(ISNUMBER(SEARCH("yea",C191)),IFERROR(_xlfn.NUMBERVALUE(SUBSTITUTE(LEFT(TRIM(C191),FIND(" ",TRIM(C191)&amp;" ")-1),",","."),"."),LEFT(SUBSTITUTE(LEFT(TRIM(C191),FIND(" ",TRIM(C191)&amp;" ")-1),",","."),FIND("/",SUBSTITUTE(LEFT(TRIM(C191),FIND(" ",TRIM(C191)&amp;" ")-1),",","."))-1)/MID(SUBSTITUTE(LEFT(TRIM(C191),FIND(" ",TRIM(C191)&amp;" ")-1),",","."),FIND("/",SUBSTITUTE(LEFT(TRIM(C191),FIND(" ",TRIM(C191)&amp;" ")-1),",","."))+1,9))*12,NA()))),0),48)*'Aturan &amp; Tarif'!$B$4,2)</f>
        <v>2725.44</v>
      </c>
      <c r="K191" s="32" t="n">
        <f aca="false">'Aturan &amp; Tarif'!$B$5</f>
        <v>2050</v>
      </c>
      <c r="L191" s="35" t="n">
        <f aca="false">I191+J191+K191</f>
        <v>33475.44</v>
      </c>
      <c r="M191" s="37" t="s">
        <v>1363</v>
      </c>
    </row>
    <row r="192" customFormat="false" ht="25.5" hidden="false" customHeight="true" outlineLevel="0" collapsed="false">
      <c r="A192" s="29"/>
      <c r="B192" s="30" t="s">
        <v>1364</v>
      </c>
      <c r="C192" s="31" t="s">
        <v>191</v>
      </c>
      <c r="D192" s="31" t="s">
        <v>108</v>
      </c>
      <c r="E192" s="32" t="n">
        <v>14275</v>
      </c>
      <c r="F192" s="32"/>
      <c r="G192" s="32" t="n">
        <v>150</v>
      </c>
      <c r="H192" s="33" t="n">
        <v>2</v>
      </c>
      <c r="I192" s="34" t="n">
        <f aca="false">E192*H192+N(F192)+N(G192)</f>
        <v>28700</v>
      </c>
      <c r="J192" s="32" t="n">
        <f aca="false">ROUND(IFERROR(ROUND(IF(OR(ISNUMBER(SEARCH("week",C192)),ISNUMBER(SEARCH("minggu",C192))),IFERROR(_xlfn.NUMBERVALUE(SUBSTITUTE(LEFT(TRIM(C192),FIND(" ",TRIM(C192)&amp;" ")-1),",","."),"."),LEFT(SUBSTITUTE(LEFT(TRIM(C192),FIND(" ",TRIM(C192)&amp;" ")-1),",","."),FIND("/",SUBSTITUTE(LEFT(TRIM(C192),FIND(" ",TRIM(C192)&amp;" ")-1),",","."))-1)/MID(SUBSTITUTE(LEFT(TRIM(C192),FIND(" ",TRIM(C192)&amp;" ")-1),",","."),FIND("/",SUBSTITUTE(LEFT(TRIM(C192),FIND(" ",TRIM(C192)&amp;" ")-1),",","."))+1,9))*12/52,IF(ISNUMBER(SEARCH("month",C192)),IFERROR(_xlfn.NUMBERVALUE(SUBSTITUTE(LEFT(TRIM(C192),FIND(" ",TRIM(C192)&amp;" ")-1),",","."),"."),LEFT(SUBSTITUTE(LEFT(TRIM(C192),FIND(" ",TRIM(C192)&amp;" ")-1),",","."),FIND("/",SUBSTITUTE(LEFT(TRIM(C192),FIND(" ",TRIM(C192)&amp;" ")-1),",","."))-1)/MID(SUBSTITUTE(LEFT(TRIM(C192),FIND(" ",TRIM(C192)&amp;" ")-1),",","."),FIND("/",SUBSTITUTE(LEFT(TRIM(C192),FIND(" ",TRIM(C192)&amp;" ")-1),",","."))+1,9)),IF(ISNUMBER(SEARCH("yea",C192)),IFERROR(_xlfn.NUMBERVALUE(SUBSTITUTE(LEFT(TRIM(C192),FIND(" ",TRIM(C192)&amp;" ")-1),",","."),"."),LEFT(SUBSTITUTE(LEFT(TRIM(C192),FIND(" ",TRIM(C192)&amp;" ")-1),",","."),FIND("/",SUBSTITUTE(LEFT(TRIM(C192),FIND(" ",TRIM(C192)&amp;" ")-1),",","."))-1)/MID(SUBSTITUTE(LEFT(TRIM(C192),FIND(" ",TRIM(C192)&amp;" ")-1),",","."),FIND("/",SUBSTITUTE(LEFT(TRIM(C192),FIND(" ",TRIM(C192)&amp;" ")-1),",","."))+1,9))*12,NA()))),0),48)*'Aturan &amp; Tarif'!$B$4,2)</f>
        <v>2725.44</v>
      </c>
      <c r="K192" s="32" t="n">
        <f aca="false">'Aturan &amp; Tarif'!$B$5</f>
        <v>2050</v>
      </c>
      <c r="L192" s="35" t="n">
        <f aca="false">I192+J192+K192</f>
        <v>33475.44</v>
      </c>
      <c r="M192" s="37" t="s">
        <v>1363</v>
      </c>
    </row>
    <row r="193" customFormat="false" ht="25.5" hidden="false" customHeight="true" outlineLevel="0" collapsed="false">
      <c r="A193" s="29"/>
      <c r="B193" s="30" t="s">
        <v>1365</v>
      </c>
      <c r="C193" s="31" t="s">
        <v>191</v>
      </c>
      <c r="D193" s="31" t="s">
        <v>108</v>
      </c>
      <c r="E193" s="32" t="n">
        <v>14275</v>
      </c>
      <c r="F193" s="32"/>
      <c r="G193" s="32" t="n">
        <v>150</v>
      </c>
      <c r="H193" s="33" t="n">
        <v>2</v>
      </c>
      <c r="I193" s="34" t="n">
        <f aca="false">E193*H193+N(F193)+N(G193)</f>
        <v>28700</v>
      </c>
      <c r="J193" s="32" t="n">
        <f aca="false">ROUND(IFERROR(ROUND(IF(OR(ISNUMBER(SEARCH("week",C193)),ISNUMBER(SEARCH("minggu",C193))),IFERROR(_xlfn.NUMBERVALUE(SUBSTITUTE(LEFT(TRIM(C193),FIND(" ",TRIM(C193)&amp;" ")-1),",","."),"."),LEFT(SUBSTITUTE(LEFT(TRIM(C193),FIND(" ",TRIM(C193)&amp;" ")-1),",","."),FIND("/",SUBSTITUTE(LEFT(TRIM(C193),FIND(" ",TRIM(C193)&amp;" ")-1),",","."))-1)/MID(SUBSTITUTE(LEFT(TRIM(C193),FIND(" ",TRIM(C193)&amp;" ")-1),",","."),FIND("/",SUBSTITUTE(LEFT(TRIM(C193),FIND(" ",TRIM(C193)&amp;" ")-1),",","."))+1,9))*12/52,IF(ISNUMBER(SEARCH("month",C193)),IFERROR(_xlfn.NUMBERVALUE(SUBSTITUTE(LEFT(TRIM(C193),FIND(" ",TRIM(C193)&amp;" ")-1),",","."),"."),LEFT(SUBSTITUTE(LEFT(TRIM(C193),FIND(" ",TRIM(C193)&amp;" ")-1),",","."),FIND("/",SUBSTITUTE(LEFT(TRIM(C193),FIND(" ",TRIM(C193)&amp;" ")-1),",","."))-1)/MID(SUBSTITUTE(LEFT(TRIM(C193),FIND(" ",TRIM(C193)&amp;" ")-1),",","."),FIND("/",SUBSTITUTE(LEFT(TRIM(C193),FIND(" ",TRIM(C193)&amp;" ")-1),",","."))+1,9)),IF(ISNUMBER(SEARCH("yea",C193)),IFERROR(_xlfn.NUMBERVALUE(SUBSTITUTE(LEFT(TRIM(C193),FIND(" ",TRIM(C193)&amp;" ")-1),",","."),"."),LEFT(SUBSTITUTE(LEFT(TRIM(C193),FIND(" ",TRIM(C193)&amp;" ")-1),",","."),FIND("/",SUBSTITUTE(LEFT(TRIM(C193),FIND(" ",TRIM(C193)&amp;" ")-1),",","."))-1)/MID(SUBSTITUTE(LEFT(TRIM(C193),FIND(" ",TRIM(C193)&amp;" ")-1),",","."),FIND("/",SUBSTITUTE(LEFT(TRIM(C193),FIND(" ",TRIM(C193)&amp;" ")-1),",","."))+1,9))*12,NA()))),0),48)*'Aturan &amp; Tarif'!$B$4,2)</f>
        <v>2725.44</v>
      </c>
      <c r="K193" s="32" t="n">
        <f aca="false">'Aturan &amp; Tarif'!$B$5</f>
        <v>2050</v>
      </c>
      <c r="L193" s="35" t="n">
        <f aca="false">I193+J193+K193</f>
        <v>33475.44</v>
      </c>
      <c r="M193" s="37" t="s">
        <v>1363</v>
      </c>
    </row>
    <row r="194" customFormat="false" ht="25.5" hidden="false" customHeight="true" outlineLevel="0" collapsed="false">
      <c r="A194" s="29"/>
      <c r="B194" s="30" t="s">
        <v>1366</v>
      </c>
      <c r="C194" s="31" t="s">
        <v>191</v>
      </c>
      <c r="D194" s="31" t="s">
        <v>108</v>
      </c>
      <c r="E194" s="32" t="n">
        <v>14275</v>
      </c>
      <c r="F194" s="32"/>
      <c r="G194" s="32" t="n">
        <v>150</v>
      </c>
      <c r="H194" s="33" t="n">
        <v>2</v>
      </c>
      <c r="I194" s="34" t="n">
        <f aca="false">E194*H194+N(F194)+N(G194)</f>
        <v>28700</v>
      </c>
      <c r="J194" s="32" t="n">
        <f aca="false">ROUND(IFERROR(ROUND(IF(OR(ISNUMBER(SEARCH("week",C194)),ISNUMBER(SEARCH("minggu",C194))),IFERROR(_xlfn.NUMBERVALUE(SUBSTITUTE(LEFT(TRIM(C194),FIND(" ",TRIM(C194)&amp;" ")-1),",","."),"."),LEFT(SUBSTITUTE(LEFT(TRIM(C194),FIND(" ",TRIM(C194)&amp;" ")-1),",","."),FIND("/",SUBSTITUTE(LEFT(TRIM(C194),FIND(" ",TRIM(C194)&amp;" ")-1),",","."))-1)/MID(SUBSTITUTE(LEFT(TRIM(C194),FIND(" ",TRIM(C194)&amp;" ")-1),",","."),FIND("/",SUBSTITUTE(LEFT(TRIM(C194),FIND(" ",TRIM(C194)&amp;" ")-1),",","."))+1,9))*12/52,IF(ISNUMBER(SEARCH("month",C194)),IFERROR(_xlfn.NUMBERVALUE(SUBSTITUTE(LEFT(TRIM(C194),FIND(" ",TRIM(C194)&amp;" ")-1),",","."),"."),LEFT(SUBSTITUTE(LEFT(TRIM(C194),FIND(" ",TRIM(C194)&amp;" ")-1),",","."),FIND("/",SUBSTITUTE(LEFT(TRIM(C194),FIND(" ",TRIM(C194)&amp;" ")-1),",","."))-1)/MID(SUBSTITUTE(LEFT(TRIM(C194),FIND(" ",TRIM(C194)&amp;" ")-1),",","."),FIND("/",SUBSTITUTE(LEFT(TRIM(C194),FIND(" ",TRIM(C194)&amp;" ")-1),",","."))+1,9)),IF(ISNUMBER(SEARCH("yea",C194)),IFERROR(_xlfn.NUMBERVALUE(SUBSTITUTE(LEFT(TRIM(C194),FIND(" ",TRIM(C194)&amp;" ")-1),",","."),"."),LEFT(SUBSTITUTE(LEFT(TRIM(C194),FIND(" ",TRIM(C194)&amp;" ")-1),",","."),FIND("/",SUBSTITUTE(LEFT(TRIM(C194),FIND(" ",TRIM(C194)&amp;" ")-1),",","."))-1)/MID(SUBSTITUTE(LEFT(TRIM(C194),FIND(" ",TRIM(C194)&amp;" ")-1),",","."),FIND("/",SUBSTITUTE(LEFT(TRIM(C194),FIND(" ",TRIM(C194)&amp;" ")-1),",","."))+1,9))*12,NA()))),0),48)*'Aturan &amp; Tarif'!$B$4,2)</f>
        <v>2725.44</v>
      </c>
      <c r="K194" s="32" t="n">
        <f aca="false">'Aturan &amp; Tarif'!$B$5</f>
        <v>2050</v>
      </c>
      <c r="L194" s="35" t="n">
        <f aca="false">I194+J194+K194</f>
        <v>33475.44</v>
      </c>
      <c r="M194" s="37" t="s">
        <v>1363</v>
      </c>
    </row>
    <row r="195" customFormat="false" ht="25.5" hidden="false" customHeight="true" outlineLevel="0" collapsed="false">
      <c r="A195" s="29"/>
      <c r="B195" s="30" t="s">
        <v>1367</v>
      </c>
      <c r="C195" s="31" t="s">
        <v>191</v>
      </c>
      <c r="D195" s="31" t="s">
        <v>108</v>
      </c>
      <c r="E195" s="32" t="n">
        <v>14275</v>
      </c>
      <c r="F195" s="32"/>
      <c r="G195" s="32" t="n">
        <v>150</v>
      </c>
      <c r="H195" s="33" t="n">
        <v>2</v>
      </c>
      <c r="I195" s="34" t="n">
        <f aca="false">E195*H195+N(F195)+N(G195)</f>
        <v>28700</v>
      </c>
      <c r="J195" s="32" t="n">
        <f aca="false">ROUND(IFERROR(ROUND(IF(OR(ISNUMBER(SEARCH("week",C195)),ISNUMBER(SEARCH("minggu",C195))),IFERROR(_xlfn.NUMBERVALUE(SUBSTITUTE(LEFT(TRIM(C195),FIND(" ",TRIM(C195)&amp;" ")-1),",","."),"."),LEFT(SUBSTITUTE(LEFT(TRIM(C195),FIND(" ",TRIM(C195)&amp;" ")-1),",","."),FIND("/",SUBSTITUTE(LEFT(TRIM(C195),FIND(" ",TRIM(C195)&amp;" ")-1),",","."))-1)/MID(SUBSTITUTE(LEFT(TRIM(C195),FIND(" ",TRIM(C195)&amp;" ")-1),",","."),FIND("/",SUBSTITUTE(LEFT(TRIM(C195),FIND(" ",TRIM(C195)&amp;" ")-1),",","."))+1,9))*12/52,IF(ISNUMBER(SEARCH("month",C195)),IFERROR(_xlfn.NUMBERVALUE(SUBSTITUTE(LEFT(TRIM(C195),FIND(" ",TRIM(C195)&amp;" ")-1),",","."),"."),LEFT(SUBSTITUTE(LEFT(TRIM(C195),FIND(" ",TRIM(C195)&amp;" ")-1),",","."),FIND("/",SUBSTITUTE(LEFT(TRIM(C195),FIND(" ",TRIM(C195)&amp;" ")-1),",","."))-1)/MID(SUBSTITUTE(LEFT(TRIM(C195),FIND(" ",TRIM(C195)&amp;" ")-1),",","."),FIND("/",SUBSTITUTE(LEFT(TRIM(C195),FIND(" ",TRIM(C195)&amp;" ")-1),",","."))+1,9)),IF(ISNUMBER(SEARCH("yea",C195)),IFERROR(_xlfn.NUMBERVALUE(SUBSTITUTE(LEFT(TRIM(C195),FIND(" ",TRIM(C195)&amp;" ")-1),",","."),"."),LEFT(SUBSTITUTE(LEFT(TRIM(C195),FIND(" ",TRIM(C195)&amp;" ")-1),",","."),FIND("/",SUBSTITUTE(LEFT(TRIM(C195),FIND(" ",TRIM(C195)&amp;" ")-1),",","."))-1)/MID(SUBSTITUTE(LEFT(TRIM(C195),FIND(" ",TRIM(C195)&amp;" ")-1),",","."),FIND("/",SUBSTITUTE(LEFT(TRIM(C195),FIND(" ",TRIM(C195)&amp;" ")-1),",","."))+1,9))*12,NA()))),0),48)*'Aturan &amp; Tarif'!$B$4,2)</f>
        <v>2725.44</v>
      </c>
      <c r="K195" s="32" t="n">
        <f aca="false">'Aturan &amp; Tarif'!$B$5</f>
        <v>2050</v>
      </c>
      <c r="L195" s="35" t="n">
        <f aca="false">I195+J195+K195</f>
        <v>33475.44</v>
      </c>
      <c r="M195" s="37" t="s">
        <v>1363</v>
      </c>
    </row>
    <row r="196" customFormat="false" ht="14.25" hidden="false" customHeight="true" outlineLevel="0" collapsed="false">
      <c r="A196" s="29"/>
      <c r="B196" s="30" t="s">
        <v>1368</v>
      </c>
      <c r="C196" s="31" t="s">
        <v>245</v>
      </c>
      <c r="D196" s="31" t="s">
        <v>108</v>
      </c>
      <c r="E196" s="32" t="n">
        <v>27075</v>
      </c>
      <c r="F196" s="32"/>
      <c r="G196" s="32" t="n">
        <v>150</v>
      </c>
      <c r="H196" s="33" t="n">
        <v>2</v>
      </c>
      <c r="I196" s="34" t="n">
        <f aca="false">E196*H196+N(F196)+N(G196)</f>
        <v>54300</v>
      </c>
      <c r="J196" s="32" t="n">
        <f aca="false">ROUND(IFERROR(ROUND(IF(OR(ISNUMBER(SEARCH("week",C196)),ISNUMBER(SEARCH("minggu",C196))),IFERROR(_xlfn.NUMBERVALUE(SUBSTITUTE(LEFT(TRIM(C196),FIND(" ",TRIM(C196)&amp;" ")-1),",","."),"."),LEFT(SUBSTITUTE(LEFT(TRIM(C196),FIND(" ",TRIM(C196)&amp;" ")-1),",","."),FIND("/",SUBSTITUTE(LEFT(TRIM(C196),FIND(" ",TRIM(C196)&amp;" ")-1),",","."))-1)/MID(SUBSTITUTE(LEFT(TRIM(C196),FIND(" ",TRIM(C196)&amp;" ")-1),",","."),FIND("/",SUBSTITUTE(LEFT(TRIM(C196),FIND(" ",TRIM(C196)&amp;" ")-1),",","."))+1,9))*12/52,IF(ISNUMBER(SEARCH("month",C196)),IFERROR(_xlfn.NUMBERVALUE(SUBSTITUTE(LEFT(TRIM(C196),FIND(" ",TRIM(C196)&amp;" ")-1),",","."),"."),LEFT(SUBSTITUTE(LEFT(TRIM(C196),FIND(" ",TRIM(C196)&amp;" ")-1),",","."),FIND("/",SUBSTITUTE(LEFT(TRIM(C196),FIND(" ",TRIM(C196)&amp;" ")-1),",","."))-1)/MID(SUBSTITUTE(LEFT(TRIM(C196),FIND(" ",TRIM(C196)&amp;" ")-1),",","."),FIND("/",SUBSTITUTE(LEFT(TRIM(C196),FIND(" ",TRIM(C196)&amp;" ")-1),",","."))+1,9)),IF(ISNUMBER(SEARCH("yea",C196)),IFERROR(_xlfn.NUMBERVALUE(SUBSTITUTE(LEFT(TRIM(C196),FIND(" ",TRIM(C196)&amp;" ")-1),",","."),"."),LEFT(SUBSTITUTE(LEFT(TRIM(C196),FIND(" ",TRIM(C196)&amp;" ")-1),",","."),FIND("/",SUBSTITUTE(LEFT(TRIM(C196),FIND(" ",TRIM(C196)&amp;" ")-1),",","."))-1)/MID(SUBSTITUTE(LEFT(TRIM(C196),FIND(" ",TRIM(C196)&amp;" ")-1),",","."),FIND("/",SUBSTITUTE(LEFT(TRIM(C196),FIND(" ",TRIM(C196)&amp;" ")-1),",","."))+1,9))*12,NA()))),0),60)*'Aturan &amp; Tarif'!$B$4,2)</f>
        <v>3406.8</v>
      </c>
      <c r="K196" s="32" t="n">
        <f aca="false">'Aturan &amp; Tarif'!$B$5</f>
        <v>2050</v>
      </c>
      <c r="L196" s="35" t="n">
        <f aca="false">I196+J196+K196</f>
        <v>59756.8</v>
      </c>
      <c r="M196" s="37" t="s">
        <v>1369</v>
      </c>
    </row>
    <row r="197" customFormat="false" ht="14.25" hidden="false" customHeight="true" outlineLevel="0" collapsed="false">
      <c r="A197" s="29"/>
      <c r="B197" s="30" t="s">
        <v>1370</v>
      </c>
      <c r="C197" s="31" t="s">
        <v>191</v>
      </c>
      <c r="D197" s="31" t="s">
        <v>108</v>
      </c>
      <c r="E197" s="32" t="n">
        <v>13125</v>
      </c>
      <c r="F197" s="32"/>
      <c r="G197" s="32" t="n">
        <v>150</v>
      </c>
      <c r="H197" s="33" t="n">
        <v>2</v>
      </c>
      <c r="I197" s="34" t="n">
        <f aca="false">E197*H197+N(F197)+N(G197)</f>
        <v>26400</v>
      </c>
      <c r="J197" s="32" t="n">
        <f aca="false">ROUND(IFERROR(ROUND(IF(OR(ISNUMBER(SEARCH("week",C197)),ISNUMBER(SEARCH("minggu",C197))),IFERROR(_xlfn.NUMBERVALUE(SUBSTITUTE(LEFT(TRIM(C197),FIND(" ",TRIM(C197)&amp;" ")-1),",","."),"."),LEFT(SUBSTITUTE(LEFT(TRIM(C197),FIND(" ",TRIM(C197)&amp;" ")-1),",","."),FIND("/",SUBSTITUTE(LEFT(TRIM(C197),FIND(" ",TRIM(C197)&amp;" ")-1),",","."))-1)/MID(SUBSTITUTE(LEFT(TRIM(C197),FIND(" ",TRIM(C197)&amp;" ")-1),",","."),FIND("/",SUBSTITUTE(LEFT(TRIM(C197),FIND(" ",TRIM(C197)&amp;" ")-1),",","."))+1,9))*12/52,IF(ISNUMBER(SEARCH("month",C197)),IFERROR(_xlfn.NUMBERVALUE(SUBSTITUTE(LEFT(TRIM(C197),FIND(" ",TRIM(C197)&amp;" ")-1),",","."),"."),LEFT(SUBSTITUTE(LEFT(TRIM(C197),FIND(" ",TRIM(C197)&amp;" ")-1),",","."),FIND("/",SUBSTITUTE(LEFT(TRIM(C197),FIND(" ",TRIM(C197)&amp;" ")-1),",","."))-1)/MID(SUBSTITUTE(LEFT(TRIM(C197),FIND(" ",TRIM(C197)&amp;" ")-1),",","."),FIND("/",SUBSTITUTE(LEFT(TRIM(C197),FIND(" ",TRIM(C197)&amp;" ")-1),",","."))+1,9)),IF(ISNUMBER(SEARCH("yea",C197)),IFERROR(_xlfn.NUMBERVALUE(SUBSTITUTE(LEFT(TRIM(C197),FIND(" ",TRIM(C197)&amp;" ")-1),",","."),"."),LEFT(SUBSTITUTE(LEFT(TRIM(C197),FIND(" ",TRIM(C197)&amp;" ")-1),",","."),FIND("/",SUBSTITUTE(LEFT(TRIM(C197),FIND(" ",TRIM(C197)&amp;" ")-1),",","."))-1)/MID(SUBSTITUTE(LEFT(TRIM(C197),FIND(" ",TRIM(C197)&amp;" ")-1),",","."),FIND("/",SUBSTITUTE(LEFT(TRIM(C197),FIND(" ",TRIM(C197)&amp;" ")-1),",","."))+1,9))*12,NA()))),0),48)*'Aturan &amp; Tarif'!$B$4,2)</f>
        <v>2725.44</v>
      </c>
      <c r="K197" s="32" t="n">
        <f aca="false">'Aturan &amp; Tarif'!$B$5</f>
        <v>2050</v>
      </c>
      <c r="L197" s="35" t="n">
        <f aca="false">I197+J197+K197</f>
        <v>31175.44</v>
      </c>
      <c r="M197" s="37" t="s">
        <v>846</v>
      </c>
    </row>
    <row r="198" customFormat="false" ht="14.25" hidden="false" customHeight="true" outlineLevel="0" collapsed="false">
      <c r="A198" s="29"/>
      <c r="B198" s="30" t="s">
        <v>1371</v>
      </c>
      <c r="C198" s="31" t="s">
        <v>127</v>
      </c>
      <c r="D198" s="31" t="s">
        <v>108</v>
      </c>
      <c r="E198" s="32" t="n">
        <v>25750</v>
      </c>
      <c r="F198" s="32"/>
      <c r="G198" s="32" t="n">
        <v>150</v>
      </c>
      <c r="H198" s="33" t="n">
        <v>2</v>
      </c>
      <c r="I198" s="34" t="n">
        <f aca="false">E198*H198+N(F198)+N(G198)</f>
        <v>51650</v>
      </c>
      <c r="J198" s="32" t="n">
        <f aca="false">ROUND(IFERROR(ROUND(IF(OR(ISNUMBER(SEARCH("week",C198)),ISNUMBER(SEARCH("minggu",C198))),IFERROR(_xlfn.NUMBERVALUE(SUBSTITUTE(LEFT(TRIM(C198),FIND(" ",TRIM(C198)&amp;" ")-1),",","."),"."),LEFT(SUBSTITUTE(LEFT(TRIM(C198),FIND(" ",TRIM(C198)&amp;" ")-1),",","."),FIND("/",SUBSTITUTE(LEFT(TRIM(C198),FIND(" ",TRIM(C198)&amp;" ")-1),",","."))-1)/MID(SUBSTITUTE(LEFT(TRIM(C198),FIND(" ",TRIM(C198)&amp;" ")-1),",","."),FIND("/",SUBSTITUTE(LEFT(TRIM(C198),FIND(" ",TRIM(C198)&amp;" ")-1),",","."))+1,9))*12/52,IF(ISNUMBER(SEARCH("month",C198)),IFERROR(_xlfn.NUMBERVALUE(SUBSTITUTE(LEFT(TRIM(C198),FIND(" ",TRIM(C198)&amp;" ")-1),",","."),"."),LEFT(SUBSTITUTE(LEFT(TRIM(C198),FIND(" ",TRIM(C198)&amp;" ")-1),",","."),FIND("/",SUBSTITUTE(LEFT(TRIM(C198),FIND(" ",TRIM(C198)&amp;" ")-1),",","."))-1)/MID(SUBSTITUTE(LEFT(TRIM(C198),FIND(" ",TRIM(C198)&amp;" ")-1),",","."),FIND("/",SUBSTITUTE(LEFT(TRIM(C198),FIND(" ",TRIM(C198)&amp;" ")-1),",","."))+1,9)),IF(ISNUMBER(SEARCH("yea",C198)),IFERROR(_xlfn.NUMBERVALUE(SUBSTITUTE(LEFT(TRIM(C198),FIND(" ",TRIM(C198)&amp;" ")-1),",","."),"."),LEFT(SUBSTITUTE(LEFT(TRIM(C198),FIND(" ",TRIM(C198)&amp;" ")-1),",","."),FIND("/",SUBSTITUTE(LEFT(TRIM(C198),FIND(" ",TRIM(C198)&amp;" ")-1),",","."))-1)/MID(SUBSTITUTE(LEFT(TRIM(C198),FIND(" ",TRIM(C198)&amp;" ")-1),",","."),FIND("/",SUBSTITUTE(LEFT(TRIM(C198),FIND(" ",TRIM(C198)&amp;" ")-1),",","."))+1,9))*12,NA()))),0),36)*'Aturan &amp; Tarif'!$B$4,2)</f>
        <v>2044.08</v>
      </c>
      <c r="K198" s="32" t="n">
        <f aca="false">'Aturan &amp; Tarif'!$B$5</f>
        <v>2050</v>
      </c>
      <c r="L198" s="35" t="n">
        <f aca="false">I198+J198+K198</f>
        <v>55744.08</v>
      </c>
      <c r="M198" s="37" t="s">
        <v>1372</v>
      </c>
    </row>
    <row r="199" customFormat="false" ht="14.25" hidden="false" customHeight="true" outlineLevel="0" collapsed="false">
      <c r="A199" s="29"/>
      <c r="B199" s="30" t="s">
        <v>1373</v>
      </c>
      <c r="C199" s="31" t="s">
        <v>127</v>
      </c>
      <c r="D199" s="31" t="s">
        <v>108</v>
      </c>
      <c r="E199" s="32" t="n">
        <v>18150</v>
      </c>
      <c r="F199" s="32"/>
      <c r="G199" s="32" t="n">
        <v>150</v>
      </c>
      <c r="H199" s="33" t="n">
        <v>2</v>
      </c>
      <c r="I199" s="34" t="n">
        <f aca="false">E199*H199+N(F199)+N(G199)</f>
        <v>36450</v>
      </c>
      <c r="J199" s="32" t="n">
        <f aca="false">ROUND(IFERROR(ROUND(IF(OR(ISNUMBER(SEARCH("week",C199)),ISNUMBER(SEARCH("minggu",C199))),IFERROR(_xlfn.NUMBERVALUE(SUBSTITUTE(LEFT(TRIM(C199),FIND(" ",TRIM(C199)&amp;" ")-1),",","."),"."),LEFT(SUBSTITUTE(LEFT(TRIM(C199),FIND(" ",TRIM(C199)&amp;" ")-1),",","."),FIND("/",SUBSTITUTE(LEFT(TRIM(C199),FIND(" ",TRIM(C199)&amp;" ")-1),",","."))-1)/MID(SUBSTITUTE(LEFT(TRIM(C199),FIND(" ",TRIM(C199)&amp;" ")-1),",","."),FIND("/",SUBSTITUTE(LEFT(TRIM(C199),FIND(" ",TRIM(C199)&amp;" ")-1),",","."))+1,9))*12/52,IF(ISNUMBER(SEARCH("month",C199)),IFERROR(_xlfn.NUMBERVALUE(SUBSTITUTE(LEFT(TRIM(C199),FIND(" ",TRIM(C199)&amp;" ")-1),",","."),"."),LEFT(SUBSTITUTE(LEFT(TRIM(C199),FIND(" ",TRIM(C199)&amp;" ")-1),",","."),FIND("/",SUBSTITUTE(LEFT(TRIM(C199),FIND(" ",TRIM(C199)&amp;" ")-1),",","."))-1)/MID(SUBSTITUTE(LEFT(TRIM(C199),FIND(" ",TRIM(C199)&amp;" ")-1),",","."),FIND("/",SUBSTITUTE(LEFT(TRIM(C199),FIND(" ",TRIM(C199)&amp;" ")-1),",","."))+1,9)),IF(ISNUMBER(SEARCH("yea",C199)),IFERROR(_xlfn.NUMBERVALUE(SUBSTITUTE(LEFT(TRIM(C199),FIND(" ",TRIM(C199)&amp;" ")-1),",","."),"."),LEFT(SUBSTITUTE(LEFT(TRIM(C199),FIND(" ",TRIM(C199)&amp;" ")-1),",","."),FIND("/",SUBSTITUTE(LEFT(TRIM(C199),FIND(" ",TRIM(C199)&amp;" ")-1),",","."))-1)/MID(SUBSTITUTE(LEFT(TRIM(C199),FIND(" ",TRIM(C199)&amp;" ")-1),",","."),FIND("/",SUBSTITUTE(LEFT(TRIM(C199),FIND(" ",TRIM(C199)&amp;" ")-1),",","."))+1,9))*12,NA()))),0),36)*'Aturan &amp; Tarif'!$B$4,2)</f>
        <v>2044.08</v>
      </c>
      <c r="K199" s="32" t="n">
        <f aca="false">'Aturan &amp; Tarif'!$B$5</f>
        <v>2050</v>
      </c>
      <c r="L199" s="35" t="n">
        <f aca="false">I199+J199+K199</f>
        <v>40544.08</v>
      </c>
      <c r="M199" s="37" t="s">
        <v>846</v>
      </c>
    </row>
    <row r="200" customFormat="false" ht="25.5" hidden="false" customHeight="true" outlineLevel="0" collapsed="false">
      <c r="A200" s="29"/>
      <c r="B200" s="30" t="s">
        <v>1374</v>
      </c>
      <c r="C200" s="31" t="s">
        <v>127</v>
      </c>
      <c r="D200" s="31" t="s">
        <v>108</v>
      </c>
      <c r="E200" s="32" t="n">
        <v>11850</v>
      </c>
      <c r="F200" s="32"/>
      <c r="G200" s="32" t="n">
        <v>150</v>
      </c>
      <c r="H200" s="33" t="n">
        <v>2</v>
      </c>
      <c r="I200" s="34" t="n">
        <f aca="false">E200*H200+N(F200)+N(G200)</f>
        <v>23850</v>
      </c>
      <c r="J200" s="32" t="n">
        <f aca="false">ROUND(IFERROR(ROUND(IF(OR(ISNUMBER(SEARCH("week",C200)),ISNUMBER(SEARCH("minggu",C200))),IFERROR(_xlfn.NUMBERVALUE(SUBSTITUTE(LEFT(TRIM(C200),FIND(" ",TRIM(C200)&amp;" ")-1),",","."),"."),LEFT(SUBSTITUTE(LEFT(TRIM(C200),FIND(" ",TRIM(C200)&amp;" ")-1),",","."),FIND("/",SUBSTITUTE(LEFT(TRIM(C200),FIND(" ",TRIM(C200)&amp;" ")-1),",","."))-1)/MID(SUBSTITUTE(LEFT(TRIM(C200),FIND(" ",TRIM(C200)&amp;" ")-1),",","."),FIND("/",SUBSTITUTE(LEFT(TRIM(C200),FIND(" ",TRIM(C200)&amp;" ")-1),",","."))+1,9))*12/52,IF(ISNUMBER(SEARCH("month",C200)),IFERROR(_xlfn.NUMBERVALUE(SUBSTITUTE(LEFT(TRIM(C200),FIND(" ",TRIM(C200)&amp;" ")-1),",","."),"."),LEFT(SUBSTITUTE(LEFT(TRIM(C200),FIND(" ",TRIM(C200)&amp;" ")-1),",","."),FIND("/",SUBSTITUTE(LEFT(TRIM(C200),FIND(" ",TRIM(C200)&amp;" ")-1),",","."))-1)/MID(SUBSTITUTE(LEFT(TRIM(C200),FIND(" ",TRIM(C200)&amp;" ")-1),",","."),FIND("/",SUBSTITUTE(LEFT(TRIM(C200),FIND(" ",TRIM(C200)&amp;" ")-1),",","."))+1,9)),IF(ISNUMBER(SEARCH("yea",C200)),IFERROR(_xlfn.NUMBERVALUE(SUBSTITUTE(LEFT(TRIM(C200),FIND(" ",TRIM(C200)&amp;" ")-1),",","."),"."),LEFT(SUBSTITUTE(LEFT(TRIM(C200),FIND(" ",TRIM(C200)&amp;" ")-1),",","."),FIND("/",SUBSTITUTE(LEFT(TRIM(C200),FIND(" ",TRIM(C200)&amp;" ")-1),",","."))-1)/MID(SUBSTITUTE(LEFT(TRIM(C200),FIND(" ",TRIM(C200)&amp;" ")-1),",","."),FIND("/",SUBSTITUTE(LEFT(TRIM(C200),FIND(" ",TRIM(C200)&amp;" ")-1),",","."))+1,9))*12,NA()))),0),36)*'Aturan &amp; Tarif'!$B$4,2)</f>
        <v>2044.08</v>
      </c>
      <c r="K200" s="32" t="n">
        <f aca="false">'Aturan &amp; Tarif'!$B$5</f>
        <v>2050</v>
      </c>
      <c r="L200" s="35" t="n">
        <f aca="false">I200+J200+K200</f>
        <v>27944.08</v>
      </c>
      <c r="M200" s="37" t="s">
        <v>846</v>
      </c>
    </row>
    <row r="201" customFormat="false" ht="25.5" hidden="false" customHeight="true" outlineLevel="0" collapsed="false">
      <c r="A201" s="29"/>
      <c r="B201" s="30" t="s">
        <v>1375</v>
      </c>
      <c r="C201" s="31" t="s">
        <v>127</v>
      </c>
      <c r="D201" s="31" t="s">
        <v>108</v>
      </c>
      <c r="E201" s="32" t="n">
        <v>11850</v>
      </c>
      <c r="F201" s="32"/>
      <c r="G201" s="32" t="n">
        <v>150</v>
      </c>
      <c r="H201" s="33" t="n">
        <v>2</v>
      </c>
      <c r="I201" s="34" t="n">
        <f aca="false">E201*H201+N(F201)+N(G201)</f>
        <v>23850</v>
      </c>
      <c r="J201" s="32" t="n">
        <f aca="false">ROUND(IFERROR(ROUND(IF(OR(ISNUMBER(SEARCH("week",C201)),ISNUMBER(SEARCH("minggu",C201))),IFERROR(_xlfn.NUMBERVALUE(SUBSTITUTE(LEFT(TRIM(C201),FIND(" ",TRIM(C201)&amp;" ")-1),",","."),"."),LEFT(SUBSTITUTE(LEFT(TRIM(C201),FIND(" ",TRIM(C201)&amp;" ")-1),",","."),FIND("/",SUBSTITUTE(LEFT(TRIM(C201),FIND(" ",TRIM(C201)&amp;" ")-1),",","."))-1)/MID(SUBSTITUTE(LEFT(TRIM(C201),FIND(" ",TRIM(C201)&amp;" ")-1),",","."),FIND("/",SUBSTITUTE(LEFT(TRIM(C201),FIND(" ",TRIM(C201)&amp;" ")-1),",","."))+1,9))*12/52,IF(ISNUMBER(SEARCH("month",C201)),IFERROR(_xlfn.NUMBERVALUE(SUBSTITUTE(LEFT(TRIM(C201),FIND(" ",TRIM(C201)&amp;" ")-1),",","."),"."),LEFT(SUBSTITUTE(LEFT(TRIM(C201),FIND(" ",TRIM(C201)&amp;" ")-1),",","."),FIND("/",SUBSTITUTE(LEFT(TRIM(C201),FIND(" ",TRIM(C201)&amp;" ")-1),",","."))-1)/MID(SUBSTITUTE(LEFT(TRIM(C201),FIND(" ",TRIM(C201)&amp;" ")-1),",","."),FIND("/",SUBSTITUTE(LEFT(TRIM(C201),FIND(" ",TRIM(C201)&amp;" ")-1),",","."))+1,9)),IF(ISNUMBER(SEARCH("yea",C201)),IFERROR(_xlfn.NUMBERVALUE(SUBSTITUTE(LEFT(TRIM(C201),FIND(" ",TRIM(C201)&amp;" ")-1),",","."),"."),LEFT(SUBSTITUTE(LEFT(TRIM(C201),FIND(" ",TRIM(C201)&amp;" ")-1),",","."),FIND("/",SUBSTITUTE(LEFT(TRIM(C201),FIND(" ",TRIM(C201)&amp;" ")-1),",","."))-1)/MID(SUBSTITUTE(LEFT(TRIM(C201),FIND(" ",TRIM(C201)&amp;" ")-1),",","."),FIND("/",SUBSTITUTE(LEFT(TRIM(C201),FIND(" ",TRIM(C201)&amp;" ")-1),",","."))+1,9))*12,NA()))),0),36)*'Aturan &amp; Tarif'!$B$4,2)</f>
        <v>2044.08</v>
      </c>
      <c r="K201" s="32" t="n">
        <f aca="false">'Aturan &amp; Tarif'!$B$5</f>
        <v>2050</v>
      </c>
      <c r="L201" s="35" t="n">
        <f aca="false">I201+J201+K201</f>
        <v>27944.08</v>
      </c>
      <c r="M201" s="37" t="s">
        <v>846</v>
      </c>
    </row>
    <row r="202" customFormat="false" ht="25.5" hidden="false" customHeight="true" outlineLevel="0" collapsed="false">
      <c r="A202" s="29"/>
      <c r="B202" s="30" t="s">
        <v>1376</v>
      </c>
      <c r="C202" s="31" t="s">
        <v>127</v>
      </c>
      <c r="D202" s="31" t="s">
        <v>108</v>
      </c>
      <c r="E202" s="32" t="n">
        <v>11850</v>
      </c>
      <c r="F202" s="32"/>
      <c r="G202" s="32" t="n">
        <v>150</v>
      </c>
      <c r="H202" s="33" t="n">
        <v>2</v>
      </c>
      <c r="I202" s="34" t="n">
        <f aca="false">E202*H202+N(F202)+N(G202)</f>
        <v>23850</v>
      </c>
      <c r="J202" s="32" t="n">
        <f aca="false">ROUND(IFERROR(ROUND(IF(OR(ISNUMBER(SEARCH("week",C202)),ISNUMBER(SEARCH("minggu",C202))),IFERROR(_xlfn.NUMBERVALUE(SUBSTITUTE(LEFT(TRIM(C202),FIND(" ",TRIM(C202)&amp;" ")-1),",","."),"."),LEFT(SUBSTITUTE(LEFT(TRIM(C202),FIND(" ",TRIM(C202)&amp;" ")-1),",","."),FIND("/",SUBSTITUTE(LEFT(TRIM(C202),FIND(" ",TRIM(C202)&amp;" ")-1),",","."))-1)/MID(SUBSTITUTE(LEFT(TRIM(C202),FIND(" ",TRIM(C202)&amp;" ")-1),",","."),FIND("/",SUBSTITUTE(LEFT(TRIM(C202),FIND(" ",TRIM(C202)&amp;" ")-1),",","."))+1,9))*12/52,IF(ISNUMBER(SEARCH("month",C202)),IFERROR(_xlfn.NUMBERVALUE(SUBSTITUTE(LEFT(TRIM(C202),FIND(" ",TRIM(C202)&amp;" ")-1),",","."),"."),LEFT(SUBSTITUTE(LEFT(TRIM(C202),FIND(" ",TRIM(C202)&amp;" ")-1),",","."),FIND("/",SUBSTITUTE(LEFT(TRIM(C202),FIND(" ",TRIM(C202)&amp;" ")-1),",","."))-1)/MID(SUBSTITUTE(LEFT(TRIM(C202),FIND(" ",TRIM(C202)&amp;" ")-1),",","."),FIND("/",SUBSTITUTE(LEFT(TRIM(C202),FIND(" ",TRIM(C202)&amp;" ")-1),",","."))+1,9)),IF(ISNUMBER(SEARCH("yea",C202)),IFERROR(_xlfn.NUMBERVALUE(SUBSTITUTE(LEFT(TRIM(C202),FIND(" ",TRIM(C202)&amp;" ")-1),",","."),"."),LEFT(SUBSTITUTE(LEFT(TRIM(C202),FIND(" ",TRIM(C202)&amp;" ")-1),",","."),FIND("/",SUBSTITUTE(LEFT(TRIM(C202),FIND(" ",TRIM(C202)&amp;" ")-1),",","."))-1)/MID(SUBSTITUTE(LEFT(TRIM(C202),FIND(" ",TRIM(C202)&amp;" ")-1),",","."),FIND("/",SUBSTITUTE(LEFT(TRIM(C202),FIND(" ",TRIM(C202)&amp;" ")-1),",","."))+1,9))*12,NA()))),0),36)*'Aturan &amp; Tarif'!$B$4,2)</f>
        <v>2044.08</v>
      </c>
      <c r="K202" s="32" t="n">
        <f aca="false">'Aturan &amp; Tarif'!$B$5</f>
        <v>2050</v>
      </c>
      <c r="L202" s="35" t="n">
        <f aca="false">I202+J202+K202</f>
        <v>27944.08</v>
      </c>
      <c r="M202" s="37" t="s">
        <v>846</v>
      </c>
    </row>
    <row r="203" customFormat="false" ht="25.5" hidden="false" customHeight="true" outlineLevel="0" collapsed="false">
      <c r="A203" s="29"/>
      <c r="B203" s="30" t="s">
        <v>1377</v>
      </c>
      <c r="C203" s="31" t="s">
        <v>127</v>
      </c>
      <c r="D203" s="31" t="s">
        <v>108</v>
      </c>
      <c r="E203" s="32" t="n">
        <v>11850</v>
      </c>
      <c r="F203" s="32"/>
      <c r="G203" s="32" t="n">
        <v>150</v>
      </c>
      <c r="H203" s="33" t="n">
        <v>2</v>
      </c>
      <c r="I203" s="34" t="n">
        <f aca="false">E203*H203+N(F203)+N(G203)</f>
        <v>23850</v>
      </c>
      <c r="J203" s="32" t="n">
        <f aca="false">ROUND(IFERROR(ROUND(IF(OR(ISNUMBER(SEARCH("week",C203)),ISNUMBER(SEARCH("minggu",C203))),IFERROR(_xlfn.NUMBERVALUE(SUBSTITUTE(LEFT(TRIM(C203),FIND(" ",TRIM(C203)&amp;" ")-1),",","."),"."),LEFT(SUBSTITUTE(LEFT(TRIM(C203),FIND(" ",TRIM(C203)&amp;" ")-1),",","."),FIND("/",SUBSTITUTE(LEFT(TRIM(C203),FIND(" ",TRIM(C203)&amp;" ")-1),",","."))-1)/MID(SUBSTITUTE(LEFT(TRIM(C203),FIND(" ",TRIM(C203)&amp;" ")-1),",","."),FIND("/",SUBSTITUTE(LEFT(TRIM(C203),FIND(" ",TRIM(C203)&amp;" ")-1),",","."))+1,9))*12/52,IF(ISNUMBER(SEARCH("month",C203)),IFERROR(_xlfn.NUMBERVALUE(SUBSTITUTE(LEFT(TRIM(C203),FIND(" ",TRIM(C203)&amp;" ")-1),",","."),"."),LEFT(SUBSTITUTE(LEFT(TRIM(C203),FIND(" ",TRIM(C203)&amp;" ")-1),",","."),FIND("/",SUBSTITUTE(LEFT(TRIM(C203),FIND(" ",TRIM(C203)&amp;" ")-1),",","."))-1)/MID(SUBSTITUTE(LEFT(TRIM(C203),FIND(" ",TRIM(C203)&amp;" ")-1),",","."),FIND("/",SUBSTITUTE(LEFT(TRIM(C203),FIND(" ",TRIM(C203)&amp;" ")-1),",","."))+1,9)),IF(ISNUMBER(SEARCH("yea",C203)),IFERROR(_xlfn.NUMBERVALUE(SUBSTITUTE(LEFT(TRIM(C203),FIND(" ",TRIM(C203)&amp;" ")-1),",","."),"."),LEFT(SUBSTITUTE(LEFT(TRIM(C203),FIND(" ",TRIM(C203)&amp;" ")-1),",","."),FIND("/",SUBSTITUTE(LEFT(TRIM(C203),FIND(" ",TRIM(C203)&amp;" ")-1),",","."))-1)/MID(SUBSTITUTE(LEFT(TRIM(C203),FIND(" ",TRIM(C203)&amp;" ")-1),",","."),FIND("/",SUBSTITUTE(LEFT(TRIM(C203),FIND(" ",TRIM(C203)&amp;" ")-1),",","."))+1,9))*12,NA()))),0),36)*'Aturan &amp; Tarif'!$B$4,2)</f>
        <v>2044.08</v>
      </c>
      <c r="K203" s="32" t="n">
        <f aca="false">'Aturan &amp; Tarif'!$B$5</f>
        <v>2050</v>
      </c>
      <c r="L203" s="35" t="n">
        <f aca="false">I203+J203+K203</f>
        <v>27944.08</v>
      </c>
      <c r="M203" s="37" t="s">
        <v>846</v>
      </c>
    </row>
    <row r="204" customFormat="false" ht="25.5" hidden="false" customHeight="true" outlineLevel="0" collapsed="false">
      <c r="A204" s="29"/>
      <c r="B204" s="30" t="s">
        <v>1378</v>
      </c>
      <c r="C204" s="31" t="s">
        <v>191</v>
      </c>
      <c r="D204" s="31" t="s">
        <v>108</v>
      </c>
      <c r="E204" s="32" t="n">
        <v>11850</v>
      </c>
      <c r="F204" s="32"/>
      <c r="G204" s="32" t="n">
        <v>150</v>
      </c>
      <c r="H204" s="33" t="n">
        <v>2</v>
      </c>
      <c r="I204" s="34" t="n">
        <f aca="false">E204*H204+N(F204)+N(G204)</f>
        <v>23850</v>
      </c>
      <c r="J204" s="32" t="n">
        <f aca="false">ROUND(IFERROR(ROUND(IF(OR(ISNUMBER(SEARCH("week",C204)),ISNUMBER(SEARCH("minggu",C204))),IFERROR(_xlfn.NUMBERVALUE(SUBSTITUTE(LEFT(TRIM(C204),FIND(" ",TRIM(C204)&amp;" ")-1),",","."),"."),LEFT(SUBSTITUTE(LEFT(TRIM(C204),FIND(" ",TRIM(C204)&amp;" ")-1),",","."),FIND("/",SUBSTITUTE(LEFT(TRIM(C204),FIND(" ",TRIM(C204)&amp;" ")-1),",","."))-1)/MID(SUBSTITUTE(LEFT(TRIM(C204),FIND(" ",TRIM(C204)&amp;" ")-1),",","."),FIND("/",SUBSTITUTE(LEFT(TRIM(C204),FIND(" ",TRIM(C204)&amp;" ")-1),",","."))+1,9))*12/52,IF(ISNUMBER(SEARCH("month",C204)),IFERROR(_xlfn.NUMBERVALUE(SUBSTITUTE(LEFT(TRIM(C204),FIND(" ",TRIM(C204)&amp;" ")-1),",","."),"."),LEFT(SUBSTITUTE(LEFT(TRIM(C204),FIND(" ",TRIM(C204)&amp;" ")-1),",","."),FIND("/",SUBSTITUTE(LEFT(TRIM(C204),FIND(" ",TRIM(C204)&amp;" ")-1),",","."))-1)/MID(SUBSTITUTE(LEFT(TRIM(C204),FIND(" ",TRIM(C204)&amp;" ")-1),",","."),FIND("/",SUBSTITUTE(LEFT(TRIM(C204),FIND(" ",TRIM(C204)&amp;" ")-1),",","."))+1,9)),IF(ISNUMBER(SEARCH("yea",C204)),IFERROR(_xlfn.NUMBERVALUE(SUBSTITUTE(LEFT(TRIM(C204),FIND(" ",TRIM(C204)&amp;" ")-1),",","."),"."),LEFT(SUBSTITUTE(LEFT(TRIM(C204),FIND(" ",TRIM(C204)&amp;" ")-1),",","."),FIND("/",SUBSTITUTE(LEFT(TRIM(C204),FIND(" ",TRIM(C204)&amp;" ")-1),",","."))-1)/MID(SUBSTITUTE(LEFT(TRIM(C204),FIND(" ",TRIM(C204)&amp;" ")-1),",","."),FIND("/",SUBSTITUTE(LEFT(TRIM(C204),FIND(" ",TRIM(C204)&amp;" ")-1),",","."))+1,9))*12,NA()))),0),48)*'Aturan &amp; Tarif'!$B$4,2)</f>
        <v>2725.44</v>
      </c>
      <c r="K204" s="32" t="n">
        <f aca="false">'Aturan &amp; Tarif'!$B$5</f>
        <v>2050</v>
      </c>
      <c r="L204" s="35" t="n">
        <f aca="false">I204+J204+K204</f>
        <v>28625.44</v>
      </c>
      <c r="M204" s="37" t="s">
        <v>846</v>
      </c>
    </row>
    <row r="205" customFormat="false" ht="25.5" hidden="false" customHeight="true" outlineLevel="0" collapsed="false">
      <c r="A205" s="29"/>
      <c r="B205" s="30" t="s">
        <v>1379</v>
      </c>
      <c r="C205" s="31" t="s">
        <v>191</v>
      </c>
      <c r="D205" s="31" t="s">
        <v>108</v>
      </c>
      <c r="E205" s="32" t="n">
        <v>11850</v>
      </c>
      <c r="F205" s="32"/>
      <c r="G205" s="32" t="n">
        <v>150</v>
      </c>
      <c r="H205" s="33" t="n">
        <v>2</v>
      </c>
      <c r="I205" s="34" t="n">
        <f aca="false">E205*H205+N(F205)+N(G205)</f>
        <v>23850</v>
      </c>
      <c r="J205" s="32" t="n">
        <f aca="false">ROUND(IFERROR(ROUND(IF(OR(ISNUMBER(SEARCH("week",C205)),ISNUMBER(SEARCH("minggu",C205))),IFERROR(_xlfn.NUMBERVALUE(SUBSTITUTE(LEFT(TRIM(C205),FIND(" ",TRIM(C205)&amp;" ")-1),",","."),"."),LEFT(SUBSTITUTE(LEFT(TRIM(C205),FIND(" ",TRIM(C205)&amp;" ")-1),",","."),FIND("/",SUBSTITUTE(LEFT(TRIM(C205),FIND(" ",TRIM(C205)&amp;" ")-1),",","."))-1)/MID(SUBSTITUTE(LEFT(TRIM(C205),FIND(" ",TRIM(C205)&amp;" ")-1),",","."),FIND("/",SUBSTITUTE(LEFT(TRIM(C205),FIND(" ",TRIM(C205)&amp;" ")-1),",","."))+1,9))*12/52,IF(ISNUMBER(SEARCH("month",C205)),IFERROR(_xlfn.NUMBERVALUE(SUBSTITUTE(LEFT(TRIM(C205),FIND(" ",TRIM(C205)&amp;" ")-1),",","."),"."),LEFT(SUBSTITUTE(LEFT(TRIM(C205),FIND(" ",TRIM(C205)&amp;" ")-1),",","."),FIND("/",SUBSTITUTE(LEFT(TRIM(C205),FIND(" ",TRIM(C205)&amp;" ")-1),",","."))-1)/MID(SUBSTITUTE(LEFT(TRIM(C205),FIND(" ",TRIM(C205)&amp;" ")-1),",","."),FIND("/",SUBSTITUTE(LEFT(TRIM(C205),FIND(" ",TRIM(C205)&amp;" ")-1),",","."))+1,9)),IF(ISNUMBER(SEARCH("yea",C205)),IFERROR(_xlfn.NUMBERVALUE(SUBSTITUTE(LEFT(TRIM(C205),FIND(" ",TRIM(C205)&amp;" ")-1),",","."),"."),LEFT(SUBSTITUTE(LEFT(TRIM(C205),FIND(" ",TRIM(C205)&amp;" ")-1),",","."),FIND("/",SUBSTITUTE(LEFT(TRIM(C205),FIND(" ",TRIM(C205)&amp;" ")-1),",","."))-1)/MID(SUBSTITUTE(LEFT(TRIM(C205),FIND(" ",TRIM(C205)&amp;" ")-1),",","."),FIND("/",SUBSTITUTE(LEFT(TRIM(C205),FIND(" ",TRIM(C205)&amp;" ")-1),",","."))+1,9))*12,NA()))),0),48)*'Aturan &amp; Tarif'!$B$4,2)</f>
        <v>2725.44</v>
      </c>
      <c r="K205" s="32" t="n">
        <f aca="false">'Aturan &amp; Tarif'!$B$5</f>
        <v>2050</v>
      </c>
      <c r="L205" s="35" t="n">
        <f aca="false">I205+J205+K205</f>
        <v>28625.44</v>
      </c>
      <c r="M205" s="37" t="s">
        <v>846</v>
      </c>
    </row>
    <row r="206" customFormat="false" ht="25.5" hidden="false" customHeight="true" outlineLevel="0" collapsed="false">
      <c r="A206" s="29"/>
      <c r="B206" s="30" t="s">
        <v>1380</v>
      </c>
      <c r="C206" s="31" t="s">
        <v>191</v>
      </c>
      <c r="D206" s="31" t="s">
        <v>108</v>
      </c>
      <c r="E206" s="32" t="n">
        <v>11850</v>
      </c>
      <c r="F206" s="32"/>
      <c r="G206" s="32" t="n">
        <v>150</v>
      </c>
      <c r="H206" s="33" t="n">
        <v>2</v>
      </c>
      <c r="I206" s="34" t="n">
        <f aca="false">E206*H206+N(F206)+N(G206)</f>
        <v>23850</v>
      </c>
      <c r="J206" s="32" t="n">
        <f aca="false">ROUND(IFERROR(ROUND(IF(OR(ISNUMBER(SEARCH("week",C206)),ISNUMBER(SEARCH("minggu",C206))),IFERROR(_xlfn.NUMBERVALUE(SUBSTITUTE(LEFT(TRIM(C206),FIND(" ",TRIM(C206)&amp;" ")-1),",","."),"."),LEFT(SUBSTITUTE(LEFT(TRIM(C206),FIND(" ",TRIM(C206)&amp;" ")-1),",","."),FIND("/",SUBSTITUTE(LEFT(TRIM(C206),FIND(" ",TRIM(C206)&amp;" ")-1),",","."))-1)/MID(SUBSTITUTE(LEFT(TRIM(C206),FIND(" ",TRIM(C206)&amp;" ")-1),",","."),FIND("/",SUBSTITUTE(LEFT(TRIM(C206),FIND(" ",TRIM(C206)&amp;" ")-1),",","."))+1,9))*12/52,IF(ISNUMBER(SEARCH("month",C206)),IFERROR(_xlfn.NUMBERVALUE(SUBSTITUTE(LEFT(TRIM(C206),FIND(" ",TRIM(C206)&amp;" ")-1),",","."),"."),LEFT(SUBSTITUTE(LEFT(TRIM(C206),FIND(" ",TRIM(C206)&amp;" ")-1),",","."),FIND("/",SUBSTITUTE(LEFT(TRIM(C206),FIND(" ",TRIM(C206)&amp;" ")-1),",","."))-1)/MID(SUBSTITUTE(LEFT(TRIM(C206),FIND(" ",TRIM(C206)&amp;" ")-1),",","."),FIND("/",SUBSTITUTE(LEFT(TRIM(C206),FIND(" ",TRIM(C206)&amp;" ")-1),",","."))+1,9)),IF(ISNUMBER(SEARCH("yea",C206)),IFERROR(_xlfn.NUMBERVALUE(SUBSTITUTE(LEFT(TRIM(C206),FIND(" ",TRIM(C206)&amp;" ")-1),",","."),"."),LEFT(SUBSTITUTE(LEFT(TRIM(C206),FIND(" ",TRIM(C206)&amp;" ")-1),",","."),FIND("/",SUBSTITUTE(LEFT(TRIM(C206),FIND(" ",TRIM(C206)&amp;" ")-1),",","."))-1)/MID(SUBSTITUTE(LEFT(TRIM(C206),FIND(" ",TRIM(C206)&amp;" ")-1),",","."),FIND("/",SUBSTITUTE(LEFT(TRIM(C206),FIND(" ",TRIM(C206)&amp;" ")-1),",","."))+1,9))*12,NA()))),0),48)*'Aturan &amp; Tarif'!$B$4,2)</f>
        <v>2725.44</v>
      </c>
      <c r="K206" s="32" t="n">
        <f aca="false">'Aturan &amp; Tarif'!$B$5</f>
        <v>2050</v>
      </c>
      <c r="L206" s="35" t="n">
        <f aca="false">I206+J206+K206</f>
        <v>28625.44</v>
      </c>
      <c r="M206" s="37" t="s">
        <v>846</v>
      </c>
    </row>
    <row r="207" customFormat="false" ht="25.5" hidden="false" customHeight="true" outlineLevel="0" collapsed="false">
      <c r="A207" s="29"/>
      <c r="B207" s="30" t="s">
        <v>1381</v>
      </c>
      <c r="C207" s="31" t="s">
        <v>191</v>
      </c>
      <c r="D207" s="31" t="s">
        <v>108</v>
      </c>
      <c r="E207" s="32" t="n">
        <v>11850</v>
      </c>
      <c r="F207" s="32"/>
      <c r="G207" s="32" t="n">
        <v>150</v>
      </c>
      <c r="H207" s="33" t="n">
        <v>2</v>
      </c>
      <c r="I207" s="34" t="n">
        <f aca="false">E207*H207+N(F207)+N(G207)</f>
        <v>23850</v>
      </c>
      <c r="J207" s="32" t="n">
        <f aca="false">ROUND(IFERROR(ROUND(IF(OR(ISNUMBER(SEARCH("week",C207)),ISNUMBER(SEARCH("minggu",C207))),IFERROR(_xlfn.NUMBERVALUE(SUBSTITUTE(LEFT(TRIM(C207),FIND(" ",TRIM(C207)&amp;" ")-1),",","."),"."),LEFT(SUBSTITUTE(LEFT(TRIM(C207),FIND(" ",TRIM(C207)&amp;" ")-1),",","."),FIND("/",SUBSTITUTE(LEFT(TRIM(C207),FIND(" ",TRIM(C207)&amp;" ")-1),",","."))-1)/MID(SUBSTITUTE(LEFT(TRIM(C207),FIND(" ",TRIM(C207)&amp;" ")-1),",","."),FIND("/",SUBSTITUTE(LEFT(TRIM(C207),FIND(" ",TRIM(C207)&amp;" ")-1),",","."))+1,9))*12/52,IF(ISNUMBER(SEARCH("month",C207)),IFERROR(_xlfn.NUMBERVALUE(SUBSTITUTE(LEFT(TRIM(C207),FIND(" ",TRIM(C207)&amp;" ")-1),",","."),"."),LEFT(SUBSTITUTE(LEFT(TRIM(C207),FIND(" ",TRIM(C207)&amp;" ")-1),",","."),FIND("/",SUBSTITUTE(LEFT(TRIM(C207),FIND(" ",TRIM(C207)&amp;" ")-1),",","."))-1)/MID(SUBSTITUTE(LEFT(TRIM(C207),FIND(" ",TRIM(C207)&amp;" ")-1),",","."),FIND("/",SUBSTITUTE(LEFT(TRIM(C207),FIND(" ",TRIM(C207)&amp;" ")-1),",","."))+1,9)),IF(ISNUMBER(SEARCH("yea",C207)),IFERROR(_xlfn.NUMBERVALUE(SUBSTITUTE(LEFT(TRIM(C207),FIND(" ",TRIM(C207)&amp;" ")-1),",","."),"."),LEFT(SUBSTITUTE(LEFT(TRIM(C207),FIND(" ",TRIM(C207)&amp;" ")-1),",","."),FIND("/",SUBSTITUTE(LEFT(TRIM(C207),FIND(" ",TRIM(C207)&amp;" ")-1),",","."))-1)/MID(SUBSTITUTE(LEFT(TRIM(C207),FIND(" ",TRIM(C207)&amp;" ")-1),",","."),FIND("/",SUBSTITUTE(LEFT(TRIM(C207),FIND(" ",TRIM(C207)&amp;" ")-1),",","."))+1,9))*12,NA()))),0),48)*'Aturan &amp; Tarif'!$B$4,2)</f>
        <v>2725.44</v>
      </c>
      <c r="K207" s="32" t="n">
        <f aca="false">'Aturan &amp; Tarif'!$B$5</f>
        <v>2050</v>
      </c>
      <c r="L207" s="35" t="n">
        <f aca="false">I207+J207+K207</f>
        <v>28625.44</v>
      </c>
      <c r="M207" s="37" t="s">
        <v>846</v>
      </c>
    </row>
    <row r="208" customFormat="false" ht="14.25" hidden="false" customHeight="true" outlineLevel="0" collapsed="false">
      <c r="A208" s="29"/>
      <c r="B208" s="30" t="s">
        <v>1382</v>
      </c>
      <c r="C208" s="31" t="s">
        <v>127</v>
      </c>
      <c r="D208" s="31" t="s">
        <v>108</v>
      </c>
      <c r="E208" s="32" t="n">
        <v>11400</v>
      </c>
      <c r="F208" s="32"/>
      <c r="G208" s="32" t="n">
        <v>150</v>
      </c>
      <c r="H208" s="33" t="n">
        <v>2</v>
      </c>
      <c r="I208" s="34" t="n">
        <f aca="false">E208*H208+N(F208)+N(G208)</f>
        <v>22950</v>
      </c>
      <c r="J208" s="32" t="n">
        <f aca="false">ROUND(IFERROR(ROUND(IF(OR(ISNUMBER(SEARCH("week",C208)),ISNUMBER(SEARCH("minggu",C208))),IFERROR(_xlfn.NUMBERVALUE(SUBSTITUTE(LEFT(TRIM(C208),FIND(" ",TRIM(C208)&amp;" ")-1),",","."),"."),LEFT(SUBSTITUTE(LEFT(TRIM(C208),FIND(" ",TRIM(C208)&amp;" ")-1),",","."),FIND("/",SUBSTITUTE(LEFT(TRIM(C208),FIND(" ",TRIM(C208)&amp;" ")-1),",","."))-1)/MID(SUBSTITUTE(LEFT(TRIM(C208),FIND(" ",TRIM(C208)&amp;" ")-1),",","."),FIND("/",SUBSTITUTE(LEFT(TRIM(C208),FIND(" ",TRIM(C208)&amp;" ")-1),",","."))+1,9))*12/52,IF(ISNUMBER(SEARCH("month",C208)),IFERROR(_xlfn.NUMBERVALUE(SUBSTITUTE(LEFT(TRIM(C208),FIND(" ",TRIM(C208)&amp;" ")-1),",","."),"."),LEFT(SUBSTITUTE(LEFT(TRIM(C208),FIND(" ",TRIM(C208)&amp;" ")-1),",","."),FIND("/",SUBSTITUTE(LEFT(TRIM(C208),FIND(" ",TRIM(C208)&amp;" ")-1),",","."))-1)/MID(SUBSTITUTE(LEFT(TRIM(C208),FIND(" ",TRIM(C208)&amp;" ")-1),",","."),FIND("/",SUBSTITUTE(LEFT(TRIM(C208),FIND(" ",TRIM(C208)&amp;" ")-1),",","."))+1,9)),IF(ISNUMBER(SEARCH("yea",C208)),IFERROR(_xlfn.NUMBERVALUE(SUBSTITUTE(LEFT(TRIM(C208),FIND(" ",TRIM(C208)&amp;" ")-1),",","."),"."),LEFT(SUBSTITUTE(LEFT(TRIM(C208),FIND(" ",TRIM(C208)&amp;" ")-1),",","."),FIND("/",SUBSTITUTE(LEFT(TRIM(C208),FIND(" ",TRIM(C208)&amp;" ")-1),",","."))-1)/MID(SUBSTITUTE(LEFT(TRIM(C208),FIND(" ",TRIM(C208)&amp;" ")-1),",","."),FIND("/",SUBSTITUTE(LEFT(TRIM(C208),FIND(" ",TRIM(C208)&amp;" ")-1),",","."))+1,9))*12,NA()))),0),36)*'Aturan &amp; Tarif'!$B$4,2)</f>
        <v>2044.08</v>
      </c>
      <c r="K208" s="32" t="n">
        <f aca="false">'Aturan &amp; Tarif'!$B$5</f>
        <v>2050</v>
      </c>
      <c r="L208" s="35" t="n">
        <f aca="false">I208+J208+K208</f>
        <v>27044.08</v>
      </c>
      <c r="M208" s="37" t="s">
        <v>1383</v>
      </c>
    </row>
    <row r="209" customFormat="false" ht="14.25" hidden="false" customHeight="true" outlineLevel="0" collapsed="false">
      <c r="A209" s="29"/>
      <c r="B209" s="30" t="s">
        <v>1384</v>
      </c>
      <c r="C209" s="31" t="s">
        <v>127</v>
      </c>
      <c r="D209" s="31" t="s">
        <v>108</v>
      </c>
      <c r="E209" s="32" t="n">
        <v>12150</v>
      </c>
      <c r="F209" s="32"/>
      <c r="G209" s="32" t="n">
        <v>150</v>
      </c>
      <c r="H209" s="33" t="n">
        <v>2</v>
      </c>
      <c r="I209" s="34" t="n">
        <f aca="false">E209*H209+N(F209)+N(G209)</f>
        <v>24450</v>
      </c>
      <c r="J209" s="32" t="n">
        <f aca="false">ROUND(IFERROR(ROUND(IF(OR(ISNUMBER(SEARCH("week",C209)),ISNUMBER(SEARCH("minggu",C209))),IFERROR(_xlfn.NUMBERVALUE(SUBSTITUTE(LEFT(TRIM(C209),FIND(" ",TRIM(C209)&amp;" ")-1),",","."),"."),LEFT(SUBSTITUTE(LEFT(TRIM(C209),FIND(" ",TRIM(C209)&amp;" ")-1),",","."),FIND("/",SUBSTITUTE(LEFT(TRIM(C209),FIND(" ",TRIM(C209)&amp;" ")-1),",","."))-1)/MID(SUBSTITUTE(LEFT(TRIM(C209),FIND(" ",TRIM(C209)&amp;" ")-1),",","."),FIND("/",SUBSTITUTE(LEFT(TRIM(C209),FIND(" ",TRIM(C209)&amp;" ")-1),",","."))+1,9))*12/52,IF(ISNUMBER(SEARCH("month",C209)),IFERROR(_xlfn.NUMBERVALUE(SUBSTITUTE(LEFT(TRIM(C209),FIND(" ",TRIM(C209)&amp;" ")-1),",","."),"."),LEFT(SUBSTITUTE(LEFT(TRIM(C209),FIND(" ",TRIM(C209)&amp;" ")-1),",","."),FIND("/",SUBSTITUTE(LEFT(TRIM(C209),FIND(" ",TRIM(C209)&amp;" ")-1),",","."))-1)/MID(SUBSTITUTE(LEFT(TRIM(C209),FIND(" ",TRIM(C209)&amp;" ")-1),",","."),FIND("/",SUBSTITUTE(LEFT(TRIM(C209),FIND(" ",TRIM(C209)&amp;" ")-1),",","."))+1,9)),IF(ISNUMBER(SEARCH("yea",C209)),IFERROR(_xlfn.NUMBERVALUE(SUBSTITUTE(LEFT(TRIM(C209),FIND(" ",TRIM(C209)&amp;" ")-1),",","."),"."),LEFT(SUBSTITUTE(LEFT(TRIM(C209),FIND(" ",TRIM(C209)&amp;" ")-1),",","."),FIND("/",SUBSTITUTE(LEFT(TRIM(C209),FIND(" ",TRIM(C209)&amp;" ")-1),",","."))-1)/MID(SUBSTITUTE(LEFT(TRIM(C209),FIND(" ",TRIM(C209)&amp;" ")-1),",","."),FIND("/",SUBSTITUTE(LEFT(TRIM(C209),FIND(" ",TRIM(C209)&amp;" ")-1),",","."))+1,9))*12,NA()))),0),36)*'Aturan &amp; Tarif'!$B$4,2)</f>
        <v>2044.08</v>
      </c>
      <c r="K209" s="32" t="n">
        <f aca="false">'Aturan &amp; Tarif'!$B$5</f>
        <v>2050</v>
      </c>
      <c r="L209" s="35" t="n">
        <f aca="false">I209+J209+K209</f>
        <v>28544.08</v>
      </c>
      <c r="M209" s="37" t="s">
        <v>846</v>
      </c>
    </row>
    <row r="210" customFormat="false" ht="14.25" hidden="false" customHeight="true" outlineLevel="0" collapsed="false">
      <c r="A210" s="29"/>
      <c r="B210" s="30" t="s">
        <v>1385</v>
      </c>
      <c r="C210" s="31" t="s">
        <v>127</v>
      </c>
      <c r="D210" s="31" t="s">
        <v>108</v>
      </c>
      <c r="E210" s="32" t="n">
        <v>12150</v>
      </c>
      <c r="F210" s="32"/>
      <c r="G210" s="32" t="n">
        <v>150</v>
      </c>
      <c r="H210" s="33" t="n">
        <v>2</v>
      </c>
      <c r="I210" s="34" t="n">
        <f aca="false">E210*H210+N(F210)+N(G210)</f>
        <v>24450</v>
      </c>
      <c r="J210" s="32" t="n">
        <f aca="false">ROUND(IFERROR(ROUND(IF(OR(ISNUMBER(SEARCH("week",C210)),ISNUMBER(SEARCH("minggu",C210))),IFERROR(_xlfn.NUMBERVALUE(SUBSTITUTE(LEFT(TRIM(C210),FIND(" ",TRIM(C210)&amp;" ")-1),",","."),"."),LEFT(SUBSTITUTE(LEFT(TRIM(C210),FIND(" ",TRIM(C210)&amp;" ")-1),",","."),FIND("/",SUBSTITUTE(LEFT(TRIM(C210),FIND(" ",TRIM(C210)&amp;" ")-1),",","."))-1)/MID(SUBSTITUTE(LEFT(TRIM(C210),FIND(" ",TRIM(C210)&amp;" ")-1),",","."),FIND("/",SUBSTITUTE(LEFT(TRIM(C210),FIND(" ",TRIM(C210)&amp;" ")-1),",","."))+1,9))*12/52,IF(ISNUMBER(SEARCH("month",C210)),IFERROR(_xlfn.NUMBERVALUE(SUBSTITUTE(LEFT(TRIM(C210),FIND(" ",TRIM(C210)&amp;" ")-1),",","."),"."),LEFT(SUBSTITUTE(LEFT(TRIM(C210),FIND(" ",TRIM(C210)&amp;" ")-1),",","."),FIND("/",SUBSTITUTE(LEFT(TRIM(C210),FIND(" ",TRIM(C210)&amp;" ")-1),",","."))-1)/MID(SUBSTITUTE(LEFT(TRIM(C210),FIND(" ",TRIM(C210)&amp;" ")-1),",","."),FIND("/",SUBSTITUTE(LEFT(TRIM(C210),FIND(" ",TRIM(C210)&amp;" ")-1),",","."))+1,9)),IF(ISNUMBER(SEARCH("yea",C210)),IFERROR(_xlfn.NUMBERVALUE(SUBSTITUTE(LEFT(TRIM(C210),FIND(" ",TRIM(C210)&amp;" ")-1),",","."),"."),LEFT(SUBSTITUTE(LEFT(TRIM(C210),FIND(" ",TRIM(C210)&amp;" ")-1),",","."),FIND("/",SUBSTITUTE(LEFT(TRIM(C210),FIND(" ",TRIM(C210)&amp;" ")-1),",","."))-1)/MID(SUBSTITUTE(LEFT(TRIM(C210),FIND(" ",TRIM(C210)&amp;" ")-1),",","."),FIND("/",SUBSTITUTE(LEFT(TRIM(C210),FIND(" ",TRIM(C210)&amp;" ")-1),",","."))+1,9))*12,NA()))),0),36)*'Aturan &amp; Tarif'!$B$4,2)</f>
        <v>2044.08</v>
      </c>
      <c r="K210" s="32" t="n">
        <f aca="false">'Aturan &amp; Tarif'!$B$5</f>
        <v>2050</v>
      </c>
      <c r="L210" s="35" t="n">
        <f aca="false">I210+J210+K210</f>
        <v>28544.08</v>
      </c>
      <c r="M210" s="37" t="s">
        <v>1386</v>
      </c>
    </row>
    <row r="211" customFormat="false" ht="14.25" hidden="false" customHeight="true" outlineLevel="0" collapsed="false">
      <c r="A211" s="29"/>
      <c r="B211" s="30" t="s">
        <v>1387</v>
      </c>
      <c r="C211" s="31" t="s">
        <v>127</v>
      </c>
      <c r="D211" s="31" t="s">
        <v>108</v>
      </c>
      <c r="E211" s="32" t="n">
        <v>14275</v>
      </c>
      <c r="F211" s="32"/>
      <c r="G211" s="32" t="n">
        <v>150</v>
      </c>
      <c r="H211" s="33" t="n">
        <v>2</v>
      </c>
      <c r="I211" s="34" t="n">
        <f aca="false">E211*H211+N(F211)+N(G211)</f>
        <v>28700</v>
      </c>
      <c r="J211" s="32" t="n">
        <f aca="false">ROUND(IFERROR(ROUND(IF(OR(ISNUMBER(SEARCH("week",C211)),ISNUMBER(SEARCH("minggu",C211))),IFERROR(_xlfn.NUMBERVALUE(SUBSTITUTE(LEFT(TRIM(C211),FIND(" ",TRIM(C211)&amp;" ")-1),",","."),"."),LEFT(SUBSTITUTE(LEFT(TRIM(C211),FIND(" ",TRIM(C211)&amp;" ")-1),",","."),FIND("/",SUBSTITUTE(LEFT(TRIM(C211),FIND(" ",TRIM(C211)&amp;" ")-1),",","."))-1)/MID(SUBSTITUTE(LEFT(TRIM(C211),FIND(" ",TRIM(C211)&amp;" ")-1),",","."),FIND("/",SUBSTITUTE(LEFT(TRIM(C211),FIND(" ",TRIM(C211)&amp;" ")-1),",","."))+1,9))*12/52,IF(ISNUMBER(SEARCH("month",C211)),IFERROR(_xlfn.NUMBERVALUE(SUBSTITUTE(LEFT(TRIM(C211),FIND(" ",TRIM(C211)&amp;" ")-1),",","."),"."),LEFT(SUBSTITUTE(LEFT(TRIM(C211),FIND(" ",TRIM(C211)&amp;" ")-1),",","."),FIND("/",SUBSTITUTE(LEFT(TRIM(C211),FIND(" ",TRIM(C211)&amp;" ")-1),",","."))-1)/MID(SUBSTITUTE(LEFT(TRIM(C211),FIND(" ",TRIM(C211)&amp;" ")-1),",","."),FIND("/",SUBSTITUTE(LEFT(TRIM(C211),FIND(" ",TRIM(C211)&amp;" ")-1),",","."))+1,9)),IF(ISNUMBER(SEARCH("yea",C211)),IFERROR(_xlfn.NUMBERVALUE(SUBSTITUTE(LEFT(TRIM(C211),FIND(" ",TRIM(C211)&amp;" ")-1),",","."),"."),LEFT(SUBSTITUTE(LEFT(TRIM(C211),FIND(" ",TRIM(C211)&amp;" ")-1),",","."),FIND("/",SUBSTITUTE(LEFT(TRIM(C211),FIND(" ",TRIM(C211)&amp;" ")-1),",","."))-1)/MID(SUBSTITUTE(LEFT(TRIM(C211),FIND(" ",TRIM(C211)&amp;" ")-1),",","."),FIND("/",SUBSTITUTE(LEFT(TRIM(C211),FIND(" ",TRIM(C211)&amp;" ")-1),",","."))+1,9))*12,NA()))),0),36)*'Aturan &amp; Tarif'!$B$4,2)</f>
        <v>2044.08</v>
      </c>
      <c r="K211" s="32" t="n">
        <f aca="false">'Aturan &amp; Tarif'!$B$5</f>
        <v>2050</v>
      </c>
      <c r="L211" s="35" t="n">
        <f aca="false">I211+J211+K211</f>
        <v>32794.08</v>
      </c>
      <c r="M211" s="37" t="s">
        <v>846</v>
      </c>
    </row>
    <row r="212" customFormat="false" ht="25.5" hidden="false" customHeight="true" outlineLevel="0" collapsed="false">
      <c r="A212" s="29"/>
      <c r="B212" s="30" t="s">
        <v>1388</v>
      </c>
      <c r="C212" s="31" t="s">
        <v>127</v>
      </c>
      <c r="D212" s="31" t="s">
        <v>108</v>
      </c>
      <c r="E212" s="32" t="n">
        <v>13850</v>
      </c>
      <c r="F212" s="32"/>
      <c r="G212" s="32" t="n">
        <v>150</v>
      </c>
      <c r="H212" s="33" t="n">
        <v>2</v>
      </c>
      <c r="I212" s="34" t="n">
        <f aca="false">E212*H212+N(F212)+N(G212)</f>
        <v>27850</v>
      </c>
      <c r="J212" s="32" t="n">
        <f aca="false">ROUND(IFERROR(ROUND(IF(OR(ISNUMBER(SEARCH("week",C212)),ISNUMBER(SEARCH("minggu",C212))),IFERROR(_xlfn.NUMBERVALUE(SUBSTITUTE(LEFT(TRIM(C212),FIND(" ",TRIM(C212)&amp;" ")-1),",","."),"."),LEFT(SUBSTITUTE(LEFT(TRIM(C212),FIND(" ",TRIM(C212)&amp;" ")-1),",","."),FIND("/",SUBSTITUTE(LEFT(TRIM(C212),FIND(" ",TRIM(C212)&amp;" ")-1),",","."))-1)/MID(SUBSTITUTE(LEFT(TRIM(C212),FIND(" ",TRIM(C212)&amp;" ")-1),",","."),FIND("/",SUBSTITUTE(LEFT(TRIM(C212),FIND(" ",TRIM(C212)&amp;" ")-1),",","."))+1,9))*12/52,IF(ISNUMBER(SEARCH("month",C212)),IFERROR(_xlfn.NUMBERVALUE(SUBSTITUTE(LEFT(TRIM(C212),FIND(" ",TRIM(C212)&amp;" ")-1),",","."),"."),LEFT(SUBSTITUTE(LEFT(TRIM(C212),FIND(" ",TRIM(C212)&amp;" ")-1),",","."),FIND("/",SUBSTITUTE(LEFT(TRIM(C212),FIND(" ",TRIM(C212)&amp;" ")-1),",","."))-1)/MID(SUBSTITUTE(LEFT(TRIM(C212),FIND(" ",TRIM(C212)&amp;" ")-1),",","."),FIND("/",SUBSTITUTE(LEFT(TRIM(C212),FIND(" ",TRIM(C212)&amp;" ")-1),",","."))+1,9)),IF(ISNUMBER(SEARCH("yea",C212)),IFERROR(_xlfn.NUMBERVALUE(SUBSTITUTE(LEFT(TRIM(C212),FIND(" ",TRIM(C212)&amp;" ")-1),",","."),"."),LEFT(SUBSTITUTE(LEFT(TRIM(C212),FIND(" ",TRIM(C212)&amp;" ")-1),",","."),FIND("/",SUBSTITUTE(LEFT(TRIM(C212),FIND(" ",TRIM(C212)&amp;" ")-1),",","."))-1)/MID(SUBSTITUTE(LEFT(TRIM(C212),FIND(" ",TRIM(C212)&amp;" ")-1),",","."),FIND("/",SUBSTITUTE(LEFT(TRIM(C212),FIND(" ",TRIM(C212)&amp;" ")-1),",","."))+1,9))*12,NA()))),0),36)*'Aturan &amp; Tarif'!$B$4,2)</f>
        <v>2044.08</v>
      </c>
      <c r="K212" s="32" t="n">
        <f aca="false">'Aturan &amp; Tarif'!$B$5</f>
        <v>2050</v>
      </c>
      <c r="L212" s="35" t="n">
        <f aca="false">I212+J212+K212</f>
        <v>31944.08</v>
      </c>
      <c r="M212" s="37" t="s">
        <v>1389</v>
      </c>
    </row>
    <row r="213" customFormat="false" ht="25.5" hidden="false" customHeight="true" outlineLevel="0" collapsed="false">
      <c r="A213" s="29"/>
      <c r="B213" s="30" t="s">
        <v>1390</v>
      </c>
      <c r="C213" s="31" t="s">
        <v>127</v>
      </c>
      <c r="D213" s="31" t="s">
        <v>108</v>
      </c>
      <c r="E213" s="32" t="n">
        <v>12625</v>
      </c>
      <c r="F213" s="32"/>
      <c r="G213" s="32" t="n">
        <v>150</v>
      </c>
      <c r="H213" s="33" t="n">
        <v>2</v>
      </c>
      <c r="I213" s="34" t="n">
        <f aca="false">E213*H213+N(F213)+N(G213)</f>
        <v>25400</v>
      </c>
      <c r="J213" s="32" t="n">
        <f aca="false">ROUND(IFERROR(ROUND(IF(OR(ISNUMBER(SEARCH("week",C213)),ISNUMBER(SEARCH("minggu",C213))),IFERROR(_xlfn.NUMBERVALUE(SUBSTITUTE(LEFT(TRIM(C213),FIND(" ",TRIM(C213)&amp;" ")-1),",","."),"."),LEFT(SUBSTITUTE(LEFT(TRIM(C213),FIND(" ",TRIM(C213)&amp;" ")-1),",","."),FIND("/",SUBSTITUTE(LEFT(TRIM(C213),FIND(" ",TRIM(C213)&amp;" ")-1),",","."))-1)/MID(SUBSTITUTE(LEFT(TRIM(C213),FIND(" ",TRIM(C213)&amp;" ")-1),",","."),FIND("/",SUBSTITUTE(LEFT(TRIM(C213),FIND(" ",TRIM(C213)&amp;" ")-1),",","."))+1,9))*12/52,IF(ISNUMBER(SEARCH("month",C213)),IFERROR(_xlfn.NUMBERVALUE(SUBSTITUTE(LEFT(TRIM(C213),FIND(" ",TRIM(C213)&amp;" ")-1),",","."),"."),LEFT(SUBSTITUTE(LEFT(TRIM(C213),FIND(" ",TRIM(C213)&amp;" ")-1),",","."),FIND("/",SUBSTITUTE(LEFT(TRIM(C213),FIND(" ",TRIM(C213)&amp;" ")-1),",","."))-1)/MID(SUBSTITUTE(LEFT(TRIM(C213),FIND(" ",TRIM(C213)&amp;" ")-1),",","."),FIND("/",SUBSTITUTE(LEFT(TRIM(C213),FIND(" ",TRIM(C213)&amp;" ")-1),",","."))+1,9)),IF(ISNUMBER(SEARCH("yea",C213)),IFERROR(_xlfn.NUMBERVALUE(SUBSTITUTE(LEFT(TRIM(C213),FIND(" ",TRIM(C213)&amp;" ")-1),",","."),"."),LEFT(SUBSTITUTE(LEFT(TRIM(C213),FIND(" ",TRIM(C213)&amp;" ")-1),",","."),FIND("/",SUBSTITUTE(LEFT(TRIM(C213),FIND(" ",TRIM(C213)&amp;" ")-1),",","."))-1)/MID(SUBSTITUTE(LEFT(TRIM(C213),FIND(" ",TRIM(C213)&amp;" ")-1),",","."),FIND("/",SUBSTITUTE(LEFT(TRIM(C213),FIND(" ",TRIM(C213)&amp;" ")-1),",","."))+1,9))*12,NA()))),0),36)*'Aturan &amp; Tarif'!$B$4,2)</f>
        <v>2044.08</v>
      </c>
      <c r="K213" s="32" t="n">
        <f aca="false">'Aturan &amp; Tarif'!$B$5</f>
        <v>2050</v>
      </c>
      <c r="L213" s="35" t="n">
        <f aca="false">I213+J213+K213</f>
        <v>29494.08</v>
      </c>
      <c r="M213" s="37" t="s">
        <v>1256</v>
      </c>
    </row>
    <row r="214" customFormat="false" ht="14.25" hidden="false" customHeight="true" outlineLevel="0" collapsed="false">
      <c r="A214" s="29"/>
      <c r="B214" s="30" t="s">
        <v>1391</v>
      </c>
      <c r="C214" s="31" t="s">
        <v>127</v>
      </c>
      <c r="D214" s="31" t="s">
        <v>108</v>
      </c>
      <c r="E214" s="32" t="n">
        <v>13050</v>
      </c>
      <c r="F214" s="32"/>
      <c r="G214" s="32" t="n">
        <v>150</v>
      </c>
      <c r="H214" s="33" t="n">
        <v>2</v>
      </c>
      <c r="I214" s="34" t="n">
        <f aca="false">E214*H214+N(F214)+N(G214)</f>
        <v>26250</v>
      </c>
      <c r="J214" s="32" t="n">
        <f aca="false">ROUND(IFERROR(ROUND(IF(OR(ISNUMBER(SEARCH("week",C214)),ISNUMBER(SEARCH("minggu",C214))),IFERROR(_xlfn.NUMBERVALUE(SUBSTITUTE(LEFT(TRIM(C214),FIND(" ",TRIM(C214)&amp;" ")-1),",","."),"."),LEFT(SUBSTITUTE(LEFT(TRIM(C214),FIND(" ",TRIM(C214)&amp;" ")-1),",","."),FIND("/",SUBSTITUTE(LEFT(TRIM(C214),FIND(" ",TRIM(C214)&amp;" ")-1),",","."))-1)/MID(SUBSTITUTE(LEFT(TRIM(C214),FIND(" ",TRIM(C214)&amp;" ")-1),",","."),FIND("/",SUBSTITUTE(LEFT(TRIM(C214),FIND(" ",TRIM(C214)&amp;" ")-1),",","."))+1,9))*12/52,IF(ISNUMBER(SEARCH("month",C214)),IFERROR(_xlfn.NUMBERVALUE(SUBSTITUTE(LEFT(TRIM(C214),FIND(" ",TRIM(C214)&amp;" ")-1),",","."),"."),LEFT(SUBSTITUTE(LEFT(TRIM(C214),FIND(" ",TRIM(C214)&amp;" ")-1),",","."),FIND("/",SUBSTITUTE(LEFT(TRIM(C214),FIND(" ",TRIM(C214)&amp;" ")-1),",","."))-1)/MID(SUBSTITUTE(LEFT(TRIM(C214),FIND(" ",TRIM(C214)&amp;" ")-1),",","."),FIND("/",SUBSTITUTE(LEFT(TRIM(C214),FIND(" ",TRIM(C214)&amp;" ")-1),",","."))+1,9)),IF(ISNUMBER(SEARCH("yea",C214)),IFERROR(_xlfn.NUMBERVALUE(SUBSTITUTE(LEFT(TRIM(C214),FIND(" ",TRIM(C214)&amp;" ")-1),",","."),"."),LEFT(SUBSTITUTE(LEFT(TRIM(C214),FIND(" ",TRIM(C214)&amp;" ")-1),",","."),FIND("/",SUBSTITUTE(LEFT(TRIM(C214),FIND(" ",TRIM(C214)&amp;" ")-1),",","."))-1)/MID(SUBSTITUTE(LEFT(TRIM(C214),FIND(" ",TRIM(C214)&amp;" ")-1),",","."),FIND("/",SUBSTITUTE(LEFT(TRIM(C214),FIND(" ",TRIM(C214)&amp;" ")-1),",","."))+1,9))*12,NA()))),0),36)*'Aturan &amp; Tarif'!$B$4,2)</f>
        <v>2044.08</v>
      </c>
      <c r="K214" s="32" t="n">
        <f aca="false">'Aturan &amp; Tarif'!$B$5</f>
        <v>2050</v>
      </c>
      <c r="L214" s="35" t="n">
        <f aca="false">I214+J214+K214</f>
        <v>30344.08</v>
      </c>
      <c r="M214" s="37" t="s">
        <v>1175</v>
      </c>
    </row>
    <row r="215" customFormat="false" ht="14.25" hidden="false" customHeight="true" outlineLevel="0" collapsed="false">
      <c r="A215" s="29"/>
      <c r="B215" s="30" t="s">
        <v>1392</v>
      </c>
      <c r="C215" s="31" t="s">
        <v>127</v>
      </c>
      <c r="D215" s="31" t="s">
        <v>108</v>
      </c>
      <c r="E215" s="32" t="n">
        <v>12625</v>
      </c>
      <c r="F215" s="32"/>
      <c r="G215" s="32" t="n">
        <v>150</v>
      </c>
      <c r="H215" s="33" t="n">
        <v>2</v>
      </c>
      <c r="I215" s="34" t="n">
        <f aca="false">E215*H215+N(F215)+N(G215)</f>
        <v>25400</v>
      </c>
      <c r="J215" s="32" t="n">
        <f aca="false">ROUND(IFERROR(ROUND(IF(OR(ISNUMBER(SEARCH("week",C215)),ISNUMBER(SEARCH("minggu",C215))),IFERROR(_xlfn.NUMBERVALUE(SUBSTITUTE(LEFT(TRIM(C215),FIND(" ",TRIM(C215)&amp;" ")-1),",","."),"."),LEFT(SUBSTITUTE(LEFT(TRIM(C215),FIND(" ",TRIM(C215)&amp;" ")-1),",","."),FIND("/",SUBSTITUTE(LEFT(TRIM(C215),FIND(" ",TRIM(C215)&amp;" ")-1),",","."))-1)/MID(SUBSTITUTE(LEFT(TRIM(C215),FIND(" ",TRIM(C215)&amp;" ")-1),",","."),FIND("/",SUBSTITUTE(LEFT(TRIM(C215),FIND(" ",TRIM(C215)&amp;" ")-1),",","."))+1,9))*12/52,IF(ISNUMBER(SEARCH("month",C215)),IFERROR(_xlfn.NUMBERVALUE(SUBSTITUTE(LEFT(TRIM(C215),FIND(" ",TRIM(C215)&amp;" ")-1),",","."),"."),LEFT(SUBSTITUTE(LEFT(TRIM(C215),FIND(" ",TRIM(C215)&amp;" ")-1),",","."),FIND("/",SUBSTITUTE(LEFT(TRIM(C215),FIND(" ",TRIM(C215)&amp;" ")-1),",","."))-1)/MID(SUBSTITUTE(LEFT(TRIM(C215),FIND(" ",TRIM(C215)&amp;" ")-1),",","."),FIND("/",SUBSTITUTE(LEFT(TRIM(C215),FIND(" ",TRIM(C215)&amp;" ")-1),",","."))+1,9)),IF(ISNUMBER(SEARCH("yea",C215)),IFERROR(_xlfn.NUMBERVALUE(SUBSTITUTE(LEFT(TRIM(C215),FIND(" ",TRIM(C215)&amp;" ")-1),",","."),"."),LEFT(SUBSTITUTE(LEFT(TRIM(C215),FIND(" ",TRIM(C215)&amp;" ")-1),",","."),FIND("/",SUBSTITUTE(LEFT(TRIM(C215),FIND(" ",TRIM(C215)&amp;" ")-1),",","."))-1)/MID(SUBSTITUTE(LEFT(TRIM(C215),FIND(" ",TRIM(C215)&amp;" ")-1),",","."),FIND("/",SUBSTITUTE(LEFT(TRIM(C215),FIND(" ",TRIM(C215)&amp;" ")-1),",","."))+1,9))*12,NA()))),0),36)*'Aturan &amp; Tarif'!$B$4,2)</f>
        <v>2044.08</v>
      </c>
      <c r="K215" s="32" t="n">
        <f aca="false">'Aturan &amp; Tarif'!$B$5</f>
        <v>2050</v>
      </c>
      <c r="L215" s="35" t="n">
        <f aca="false">I215+J215+K215</f>
        <v>29494.08</v>
      </c>
      <c r="M215" s="37" t="s">
        <v>846</v>
      </c>
    </row>
    <row r="216" customFormat="false" ht="25.5" hidden="false" customHeight="true" outlineLevel="0" collapsed="false">
      <c r="A216" s="29"/>
      <c r="B216" s="30" t="s">
        <v>1393</v>
      </c>
      <c r="C216" s="31" t="s">
        <v>191</v>
      </c>
      <c r="D216" s="31" t="s">
        <v>108</v>
      </c>
      <c r="E216" s="32" t="n">
        <v>12625</v>
      </c>
      <c r="F216" s="32"/>
      <c r="G216" s="32" t="n">
        <v>150</v>
      </c>
      <c r="H216" s="33" t="n">
        <v>2</v>
      </c>
      <c r="I216" s="34" t="n">
        <f aca="false">E216*H216+N(F216)+N(G216)</f>
        <v>25400</v>
      </c>
      <c r="J216" s="32" t="n">
        <f aca="false">ROUND(IFERROR(ROUND(IF(OR(ISNUMBER(SEARCH("week",C216)),ISNUMBER(SEARCH("minggu",C216))),IFERROR(_xlfn.NUMBERVALUE(SUBSTITUTE(LEFT(TRIM(C216),FIND(" ",TRIM(C216)&amp;" ")-1),",","."),"."),LEFT(SUBSTITUTE(LEFT(TRIM(C216),FIND(" ",TRIM(C216)&amp;" ")-1),",","."),FIND("/",SUBSTITUTE(LEFT(TRIM(C216),FIND(" ",TRIM(C216)&amp;" ")-1),",","."))-1)/MID(SUBSTITUTE(LEFT(TRIM(C216),FIND(" ",TRIM(C216)&amp;" ")-1),",","."),FIND("/",SUBSTITUTE(LEFT(TRIM(C216),FIND(" ",TRIM(C216)&amp;" ")-1),",","."))+1,9))*12/52,IF(ISNUMBER(SEARCH("month",C216)),IFERROR(_xlfn.NUMBERVALUE(SUBSTITUTE(LEFT(TRIM(C216),FIND(" ",TRIM(C216)&amp;" ")-1),",","."),"."),LEFT(SUBSTITUTE(LEFT(TRIM(C216),FIND(" ",TRIM(C216)&amp;" ")-1),",","."),FIND("/",SUBSTITUTE(LEFT(TRIM(C216),FIND(" ",TRIM(C216)&amp;" ")-1),",","."))-1)/MID(SUBSTITUTE(LEFT(TRIM(C216),FIND(" ",TRIM(C216)&amp;" ")-1),",","."),FIND("/",SUBSTITUTE(LEFT(TRIM(C216),FIND(" ",TRIM(C216)&amp;" ")-1),",","."))+1,9)),IF(ISNUMBER(SEARCH("yea",C216)),IFERROR(_xlfn.NUMBERVALUE(SUBSTITUTE(LEFT(TRIM(C216),FIND(" ",TRIM(C216)&amp;" ")-1),",","."),"."),LEFT(SUBSTITUTE(LEFT(TRIM(C216),FIND(" ",TRIM(C216)&amp;" ")-1),",","."),FIND("/",SUBSTITUTE(LEFT(TRIM(C216),FIND(" ",TRIM(C216)&amp;" ")-1),",","."))-1)/MID(SUBSTITUTE(LEFT(TRIM(C216),FIND(" ",TRIM(C216)&amp;" ")-1),",","."),FIND("/",SUBSTITUTE(LEFT(TRIM(C216),FIND(" ",TRIM(C216)&amp;" ")-1),",","."))+1,9))*12,NA()))),0),48)*'Aturan &amp; Tarif'!$B$4,2)</f>
        <v>2725.44</v>
      </c>
      <c r="K216" s="32" t="n">
        <f aca="false">'Aturan &amp; Tarif'!$B$5</f>
        <v>2050</v>
      </c>
      <c r="L216" s="35" t="n">
        <f aca="false">I216+J216+K216</f>
        <v>30175.44</v>
      </c>
      <c r="M216" s="37" t="s">
        <v>846</v>
      </c>
    </row>
    <row r="217" customFormat="false" ht="14.25" hidden="false" customHeight="true" outlineLevel="0" collapsed="false">
      <c r="A217" s="29"/>
      <c r="B217" s="30" t="s">
        <v>1394</v>
      </c>
      <c r="C217" s="31" t="s">
        <v>127</v>
      </c>
      <c r="D217" s="31" t="s">
        <v>108</v>
      </c>
      <c r="E217" s="32" t="n">
        <v>12150</v>
      </c>
      <c r="F217" s="32"/>
      <c r="G217" s="32" t="n">
        <v>150</v>
      </c>
      <c r="H217" s="33" t="n">
        <v>2</v>
      </c>
      <c r="I217" s="34" t="n">
        <f aca="false">E217*H217+N(F217)+N(G217)</f>
        <v>24450</v>
      </c>
      <c r="J217" s="32" t="n">
        <f aca="false">ROUND(IFERROR(ROUND(IF(OR(ISNUMBER(SEARCH("week",C217)),ISNUMBER(SEARCH("minggu",C217))),IFERROR(_xlfn.NUMBERVALUE(SUBSTITUTE(LEFT(TRIM(C217),FIND(" ",TRIM(C217)&amp;" ")-1),",","."),"."),LEFT(SUBSTITUTE(LEFT(TRIM(C217),FIND(" ",TRIM(C217)&amp;" ")-1),",","."),FIND("/",SUBSTITUTE(LEFT(TRIM(C217),FIND(" ",TRIM(C217)&amp;" ")-1),",","."))-1)/MID(SUBSTITUTE(LEFT(TRIM(C217),FIND(" ",TRIM(C217)&amp;" ")-1),",","."),FIND("/",SUBSTITUTE(LEFT(TRIM(C217),FIND(" ",TRIM(C217)&amp;" ")-1),",","."))+1,9))*12/52,IF(ISNUMBER(SEARCH("month",C217)),IFERROR(_xlfn.NUMBERVALUE(SUBSTITUTE(LEFT(TRIM(C217),FIND(" ",TRIM(C217)&amp;" ")-1),",","."),"."),LEFT(SUBSTITUTE(LEFT(TRIM(C217),FIND(" ",TRIM(C217)&amp;" ")-1),",","."),FIND("/",SUBSTITUTE(LEFT(TRIM(C217),FIND(" ",TRIM(C217)&amp;" ")-1),",","."))-1)/MID(SUBSTITUTE(LEFT(TRIM(C217),FIND(" ",TRIM(C217)&amp;" ")-1),",","."),FIND("/",SUBSTITUTE(LEFT(TRIM(C217),FIND(" ",TRIM(C217)&amp;" ")-1),",","."))+1,9)),IF(ISNUMBER(SEARCH("yea",C217)),IFERROR(_xlfn.NUMBERVALUE(SUBSTITUTE(LEFT(TRIM(C217),FIND(" ",TRIM(C217)&amp;" ")-1),",","."),"."),LEFT(SUBSTITUTE(LEFT(TRIM(C217),FIND(" ",TRIM(C217)&amp;" ")-1),",","."),FIND("/",SUBSTITUTE(LEFT(TRIM(C217),FIND(" ",TRIM(C217)&amp;" ")-1),",","."))-1)/MID(SUBSTITUTE(LEFT(TRIM(C217),FIND(" ",TRIM(C217)&amp;" ")-1),",","."),FIND("/",SUBSTITUTE(LEFT(TRIM(C217),FIND(" ",TRIM(C217)&amp;" ")-1),",","."))+1,9))*12,NA()))),0),36)*'Aturan &amp; Tarif'!$B$4,2)</f>
        <v>2044.08</v>
      </c>
      <c r="K217" s="32" t="n">
        <f aca="false">'Aturan &amp; Tarif'!$B$5</f>
        <v>2050</v>
      </c>
      <c r="L217" s="35" t="n">
        <f aca="false">I217+J217+K217</f>
        <v>28544.08</v>
      </c>
      <c r="M217" s="37" t="s">
        <v>1395</v>
      </c>
    </row>
    <row r="218" customFormat="false" ht="25.5" hidden="false" customHeight="true" outlineLevel="0" collapsed="false">
      <c r="A218" s="29"/>
      <c r="B218" s="30" t="s">
        <v>1396</v>
      </c>
      <c r="C218" s="31" t="s">
        <v>127</v>
      </c>
      <c r="D218" s="31" t="s">
        <v>108</v>
      </c>
      <c r="E218" s="32" t="n">
        <v>12150</v>
      </c>
      <c r="F218" s="32"/>
      <c r="G218" s="32" t="n">
        <v>150</v>
      </c>
      <c r="H218" s="33" t="n">
        <v>2</v>
      </c>
      <c r="I218" s="34" t="n">
        <f aca="false">E218*H218+N(F218)+N(G218)</f>
        <v>24450</v>
      </c>
      <c r="J218" s="32" t="n">
        <f aca="false">ROUND(IFERROR(ROUND(IF(OR(ISNUMBER(SEARCH("week",C218)),ISNUMBER(SEARCH("minggu",C218))),IFERROR(_xlfn.NUMBERVALUE(SUBSTITUTE(LEFT(TRIM(C218),FIND(" ",TRIM(C218)&amp;" ")-1),",","."),"."),LEFT(SUBSTITUTE(LEFT(TRIM(C218),FIND(" ",TRIM(C218)&amp;" ")-1),",","."),FIND("/",SUBSTITUTE(LEFT(TRIM(C218),FIND(" ",TRIM(C218)&amp;" ")-1),",","."))-1)/MID(SUBSTITUTE(LEFT(TRIM(C218),FIND(" ",TRIM(C218)&amp;" ")-1),",","."),FIND("/",SUBSTITUTE(LEFT(TRIM(C218),FIND(" ",TRIM(C218)&amp;" ")-1),",","."))+1,9))*12/52,IF(ISNUMBER(SEARCH("month",C218)),IFERROR(_xlfn.NUMBERVALUE(SUBSTITUTE(LEFT(TRIM(C218),FIND(" ",TRIM(C218)&amp;" ")-1),",","."),"."),LEFT(SUBSTITUTE(LEFT(TRIM(C218),FIND(" ",TRIM(C218)&amp;" ")-1),",","."),FIND("/",SUBSTITUTE(LEFT(TRIM(C218),FIND(" ",TRIM(C218)&amp;" ")-1),",","."))-1)/MID(SUBSTITUTE(LEFT(TRIM(C218),FIND(" ",TRIM(C218)&amp;" ")-1),",","."),FIND("/",SUBSTITUTE(LEFT(TRIM(C218),FIND(" ",TRIM(C218)&amp;" ")-1),",","."))+1,9)),IF(ISNUMBER(SEARCH("yea",C218)),IFERROR(_xlfn.NUMBERVALUE(SUBSTITUTE(LEFT(TRIM(C218),FIND(" ",TRIM(C218)&amp;" ")-1),",","."),"."),LEFT(SUBSTITUTE(LEFT(TRIM(C218),FIND(" ",TRIM(C218)&amp;" ")-1),",","."),FIND("/",SUBSTITUTE(LEFT(TRIM(C218),FIND(" ",TRIM(C218)&amp;" ")-1),",","."))-1)/MID(SUBSTITUTE(LEFT(TRIM(C218),FIND(" ",TRIM(C218)&amp;" ")-1),",","."),FIND("/",SUBSTITUTE(LEFT(TRIM(C218),FIND(" ",TRIM(C218)&amp;" ")-1),",","."))+1,9))*12,NA()))),0),36)*'Aturan &amp; Tarif'!$B$4,2)</f>
        <v>2044.08</v>
      </c>
      <c r="K218" s="32" t="n">
        <f aca="false">'Aturan &amp; Tarif'!$B$5</f>
        <v>2050</v>
      </c>
      <c r="L218" s="35" t="n">
        <f aca="false">I218+J218+K218</f>
        <v>28544.08</v>
      </c>
      <c r="M218" s="37" t="s">
        <v>1395</v>
      </c>
    </row>
    <row r="219" customFormat="false" ht="25.5" hidden="false" customHeight="true" outlineLevel="0" collapsed="false">
      <c r="A219" s="29"/>
      <c r="B219" s="30" t="s">
        <v>1397</v>
      </c>
      <c r="C219" s="31" t="s">
        <v>127</v>
      </c>
      <c r="D219" s="31" t="s">
        <v>108</v>
      </c>
      <c r="E219" s="32" t="n">
        <v>12150</v>
      </c>
      <c r="F219" s="32"/>
      <c r="G219" s="32" t="n">
        <v>150</v>
      </c>
      <c r="H219" s="33" t="n">
        <v>2</v>
      </c>
      <c r="I219" s="34" t="n">
        <f aca="false">E219*H219+N(F219)+N(G219)</f>
        <v>24450</v>
      </c>
      <c r="J219" s="32" t="n">
        <f aca="false">ROUND(IFERROR(ROUND(IF(OR(ISNUMBER(SEARCH("week",C219)),ISNUMBER(SEARCH("minggu",C219))),IFERROR(_xlfn.NUMBERVALUE(SUBSTITUTE(LEFT(TRIM(C219),FIND(" ",TRIM(C219)&amp;" ")-1),",","."),"."),LEFT(SUBSTITUTE(LEFT(TRIM(C219),FIND(" ",TRIM(C219)&amp;" ")-1),",","."),FIND("/",SUBSTITUTE(LEFT(TRIM(C219),FIND(" ",TRIM(C219)&amp;" ")-1),",","."))-1)/MID(SUBSTITUTE(LEFT(TRIM(C219),FIND(" ",TRIM(C219)&amp;" ")-1),",","."),FIND("/",SUBSTITUTE(LEFT(TRIM(C219),FIND(" ",TRIM(C219)&amp;" ")-1),",","."))+1,9))*12/52,IF(ISNUMBER(SEARCH("month",C219)),IFERROR(_xlfn.NUMBERVALUE(SUBSTITUTE(LEFT(TRIM(C219),FIND(" ",TRIM(C219)&amp;" ")-1),",","."),"."),LEFT(SUBSTITUTE(LEFT(TRIM(C219),FIND(" ",TRIM(C219)&amp;" ")-1),",","."),FIND("/",SUBSTITUTE(LEFT(TRIM(C219),FIND(" ",TRIM(C219)&amp;" ")-1),",","."))-1)/MID(SUBSTITUTE(LEFT(TRIM(C219),FIND(" ",TRIM(C219)&amp;" ")-1),",","."),FIND("/",SUBSTITUTE(LEFT(TRIM(C219),FIND(" ",TRIM(C219)&amp;" ")-1),",","."))+1,9)),IF(ISNUMBER(SEARCH("yea",C219)),IFERROR(_xlfn.NUMBERVALUE(SUBSTITUTE(LEFT(TRIM(C219),FIND(" ",TRIM(C219)&amp;" ")-1),",","."),"."),LEFT(SUBSTITUTE(LEFT(TRIM(C219),FIND(" ",TRIM(C219)&amp;" ")-1),",","."),FIND("/",SUBSTITUTE(LEFT(TRIM(C219),FIND(" ",TRIM(C219)&amp;" ")-1),",","."))-1)/MID(SUBSTITUTE(LEFT(TRIM(C219),FIND(" ",TRIM(C219)&amp;" ")-1),",","."),FIND("/",SUBSTITUTE(LEFT(TRIM(C219),FIND(" ",TRIM(C219)&amp;" ")-1),",","."))+1,9))*12,NA()))),0),36)*'Aturan &amp; Tarif'!$B$4,2)</f>
        <v>2044.08</v>
      </c>
      <c r="K219" s="32" t="n">
        <f aca="false">'Aturan &amp; Tarif'!$B$5</f>
        <v>2050</v>
      </c>
      <c r="L219" s="35" t="n">
        <f aca="false">I219+J219+K219</f>
        <v>28544.08</v>
      </c>
      <c r="M219" s="37" t="s">
        <v>1395</v>
      </c>
    </row>
    <row r="220" customFormat="false" ht="14.25" hidden="false" customHeight="true" outlineLevel="0" collapsed="false">
      <c r="A220" s="29"/>
      <c r="B220" s="30" t="s">
        <v>1398</v>
      </c>
      <c r="C220" s="31" t="s">
        <v>191</v>
      </c>
      <c r="D220" s="31" t="s">
        <v>108</v>
      </c>
      <c r="E220" s="32" t="n">
        <v>12150</v>
      </c>
      <c r="F220" s="32"/>
      <c r="G220" s="32" t="n">
        <v>150</v>
      </c>
      <c r="H220" s="33" t="n">
        <v>2</v>
      </c>
      <c r="I220" s="34" t="n">
        <f aca="false">E220*H220+N(F220)+N(G220)</f>
        <v>24450</v>
      </c>
      <c r="J220" s="32" t="n">
        <f aca="false">ROUND(IFERROR(ROUND(IF(OR(ISNUMBER(SEARCH("week",C220)),ISNUMBER(SEARCH("minggu",C220))),IFERROR(_xlfn.NUMBERVALUE(SUBSTITUTE(LEFT(TRIM(C220),FIND(" ",TRIM(C220)&amp;" ")-1),",","."),"."),LEFT(SUBSTITUTE(LEFT(TRIM(C220),FIND(" ",TRIM(C220)&amp;" ")-1),",","."),FIND("/",SUBSTITUTE(LEFT(TRIM(C220),FIND(" ",TRIM(C220)&amp;" ")-1),",","."))-1)/MID(SUBSTITUTE(LEFT(TRIM(C220),FIND(" ",TRIM(C220)&amp;" ")-1),",","."),FIND("/",SUBSTITUTE(LEFT(TRIM(C220),FIND(" ",TRIM(C220)&amp;" ")-1),",","."))+1,9))*12/52,IF(ISNUMBER(SEARCH("month",C220)),IFERROR(_xlfn.NUMBERVALUE(SUBSTITUTE(LEFT(TRIM(C220),FIND(" ",TRIM(C220)&amp;" ")-1),",","."),"."),LEFT(SUBSTITUTE(LEFT(TRIM(C220),FIND(" ",TRIM(C220)&amp;" ")-1),",","."),FIND("/",SUBSTITUTE(LEFT(TRIM(C220),FIND(" ",TRIM(C220)&amp;" ")-1),",","."))-1)/MID(SUBSTITUTE(LEFT(TRIM(C220),FIND(" ",TRIM(C220)&amp;" ")-1),",","."),FIND("/",SUBSTITUTE(LEFT(TRIM(C220),FIND(" ",TRIM(C220)&amp;" ")-1),",","."))+1,9)),IF(ISNUMBER(SEARCH("yea",C220)),IFERROR(_xlfn.NUMBERVALUE(SUBSTITUTE(LEFT(TRIM(C220),FIND(" ",TRIM(C220)&amp;" ")-1),",","."),"."),LEFT(SUBSTITUTE(LEFT(TRIM(C220),FIND(" ",TRIM(C220)&amp;" ")-1),",","."),FIND("/",SUBSTITUTE(LEFT(TRIM(C220),FIND(" ",TRIM(C220)&amp;" ")-1),",","."))-1)/MID(SUBSTITUTE(LEFT(TRIM(C220),FIND(" ",TRIM(C220)&amp;" ")-1),",","."),FIND("/",SUBSTITUTE(LEFT(TRIM(C220),FIND(" ",TRIM(C220)&amp;" ")-1),",","."))+1,9))*12,NA()))),0),48)*'Aturan &amp; Tarif'!$B$4,2)</f>
        <v>2725.44</v>
      </c>
      <c r="K220" s="32" t="n">
        <f aca="false">'Aturan &amp; Tarif'!$B$5</f>
        <v>2050</v>
      </c>
      <c r="L220" s="35" t="n">
        <f aca="false">I220+J220+K220</f>
        <v>29225.44</v>
      </c>
      <c r="M220" s="37" t="s">
        <v>846</v>
      </c>
    </row>
    <row r="221" customFormat="false" ht="25.5" hidden="false" customHeight="true" outlineLevel="0" collapsed="false">
      <c r="A221" s="29"/>
      <c r="B221" s="30" t="s">
        <v>1399</v>
      </c>
      <c r="C221" s="31" t="s">
        <v>191</v>
      </c>
      <c r="D221" s="31" t="s">
        <v>108</v>
      </c>
      <c r="E221" s="32" t="n">
        <v>12150</v>
      </c>
      <c r="F221" s="32"/>
      <c r="G221" s="32" t="n">
        <v>150</v>
      </c>
      <c r="H221" s="33" t="n">
        <v>2</v>
      </c>
      <c r="I221" s="34" t="n">
        <f aca="false">E221*H221+N(F221)+N(G221)</f>
        <v>24450</v>
      </c>
      <c r="J221" s="32" t="n">
        <f aca="false">ROUND(IFERROR(ROUND(IF(OR(ISNUMBER(SEARCH("week",C221)),ISNUMBER(SEARCH("minggu",C221))),IFERROR(_xlfn.NUMBERVALUE(SUBSTITUTE(LEFT(TRIM(C221),FIND(" ",TRIM(C221)&amp;" ")-1),",","."),"."),LEFT(SUBSTITUTE(LEFT(TRIM(C221),FIND(" ",TRIM(C221)&amp;" ")-1),",","."),FIND("/",SUBSTITUTE(LEFT(TRIM(C221),FIND(" ",TRIM(C221)&amp;" ")-1),",","."))-1)/MID(SUBSTITUTE(LEFT(TRIM(C221),FIND(" ",TRIM(C221)&amp;" ")-1),",","."),FIND("/",SUBSTITUTE(LEFT(TRIM(C221),FIND(" ",TRIM(C221)&amp;" ")-1),",","."))+1,9))*12/52,IF(ISNUMBER(SEARCH("month",C221)),IFERROR(_xlfn.NUMBERVALUE(SUBSTITUTE(LEFT(TRIM(C221),FIND(" ",TRIM(C221)&amp;" ")-1),",","."),"."),LEFT(SUBSTITUTE(LEFT(TRIM(C221),FIND(" ",TRIM(C221)&amp;" ")-1),",","."),FIND("/",SUBSTITUTE(LEFT(TRIM(C221),FIND(" ",TRIM(C221)&amp;" ")-1),",","."))-1)/MID(SUBSTITUTE(LEFT(TRIM(C221),FIND(" ",TRIM(C221)&amp;" ")-1),",","."),FIND("/",SUBSTITUTE(LEFT(TRIM(C221),FIND(" ",TRIM(C221)&amp;" ")-1),",","."))+1,9)),IF(ISNUMBER(SEARCH("yea",C221)),IFERROR(_xlfn.NUMBERVALUE(SUBSTITUTE(LEFT(TRIM(C221),FIND(" ",TRIM(C221)&amp;" ")-1),",","."),"."),LEFT(SUBSTITUTE(LEFT(TRIM(C221),FIND(" ",TRIM(C221)&amp;" ")-1),",","."),FIND("/",SUBSTITUTE(LEFT(TRIM(C221),FIND(" ",TRIM(C221)&amp;" ")-1),",","."))-1)/MID(SUBSTITUTE(LEFT(TRIM(C221),FIND(" ",TRIM(C221)&amp;" ")-1),",","."),FIND("/",SUBSTITUTE(LEFT(TRIM(C221),FIND(" ",TRIM(C221)&amp;" ")-1),",","."))+1,9))*12,NA()))),0),48)*'Aturan &amp; Tarif'!$B$4,2)</f>
        <v>2725.44</v>
      </c>
      <c r="K221" s="32" t="n">
        <f aca="false">'Aturan &amp; Tarif'!$B$5</f>
        <v>2050</v>
      </c>
      <c r="L221" s="35" t="n">
        <f aca="false">I221+J221+K221</f>
        <v>29225.44</v>
      </c>
      <c r="M221" s="37" t="s">
        <v>846</v>
      </c>
    </row>
    <row r="222" customFormat="false" ht="25.5" hidden="false" customHeight="true" outlineLevel="0" collapsed="false">
      <c r="A222" s="29"/>
      <c r="B222" s="30" t="s">
        <v>1400</v>
      </c>
      <c r="C222" s="31" t="s">
        <v>191</v>
      </c>
      <c r="D222" s="31" t="s">
        <v>108</v>
      </c>
      <c r="E222" s="32" t="n">
        <v>12150</v>
      </c>
      <c r="F222" s="32"/>
      <c r="G222" s="32" t="n">
        <v>150</v>
      </c>
      <c r="H222" s="33" t="n">
        <v>2</v>
      </c>
      <c r="I222" s="34" t="n">
        <f aca="false">E222*H222+N(F222)+N(G222)</f>
        <v>24450</v>
      </c>
      <c r="J222" s="32" t="n">
        <f aca="false">ROUND(IFERROR(ROUND(IF(OR(ISNUMBER(SEARCH("week",C222)),ISNUMBER(SEARCH("minggu",C222))),IFERROR(_xlfn.NUMBERVALUE(SUBSTITUTE(LEFT(TRIM(C222),FIND(" ",TRIM(C222)&amp;" ")-1),",","."),"."),LEFT(SUBSTITUTE(LEFT(TRIM(C222),FIND(" ",TRIM(C222)&amp;" ")-1),",","."),FIND("/",SUBSTITUTE(LEFT(TRIM(C222),FIND(" ",TRIM(C222)&amp;" ")-1),",","."))-1)/MID(SUBSTITUTE(LEFT(TRIM(C222),FIND(" ",TRIM(C222)&amp;" ")-1),",","."),FIND("/",SUBSTITUTE(LEFT(TRIM(C222),FIND(" ",TRIM(C222)&amp;" ")-1),",","."))+1,9))*12/52,IF(ISNUMBER(SEARCH("month",C222)),IFERROR(_xlfn.NUMBERVALUE(SUBSTITUTE(LEFT(TRIM(C222),FIND(" ",TRIM(C222)&amp;" ")-1),",","."),"."),LEFT(SUBSTITUTE(LEFT(TRIM(C222),FIND(" ",TRIM(C222)&amp;" ")-1),",","."),FIND("/",SUBSTITUTE(LEFT(TRIM(C222),FIND(" ",TRIM(C222)&amp;" ")-1),",","."))-1)/MID(SUBSTITUTE(LEFT(TRIM(C222),FIND(" ",TRIM(C222)&amp;" ")-1),",","."),FIND("/",SUBSTITUTE(LEFT(TRIM(C222),FIND(" ",TRIM(C222)&amp;" ")-1),",","."))+1,9)),IF(ISNUMBER(SEARCH("yea",C222)),IFERROR(_xlfn.NUMBERVALUE(SUBSTITUTE(LEFT(TRIM(C222),FIND(" ",TRIM(C222)&amp;" ")-1),",","."),"."),LEFT(SUBSTITUTE(LEFT(TRIM(C222),FIND(" ",TRIM(C222)&amp;" ")-1),",","."),FIND("/",SUBSTITUTE(LEFT(TRIM(C222),FIND(" ",TRIM(C222)&amp;" ")-1),",","."))-1)/MID(SUBSTITUTE(LEFT(TRIM(C222),FIND(" ",TRIM(C222)&amp;" ")-1),",","."),FIND("/",SUBSTITUTE(LEFT(TRIM(C222),FIND(" ",TRIM(C222)&amp;" ")-1),",","."))+1,9))*12,NA()))),0),48)*'Aturan &amp; Tarif'!$B$4,2)</f>
        <v>2725.44</v>
      </c>
      <c r="K222" s="32" t="n">
        <f aca="false">'Aturan &amp; Tarif'!$B$5</f>
        <v>2050</v>
      </c>
      <c r="L222" s="35" t="n">
        <f aca="false">I222+J222+K222</f>
        <v>29225.44</v>
      </c>
      <c r="M222" s="37" t="s">
        <v>846</v>
      </c>
    </row>
    <row r="223" customFormat="false" ht="14.25" hidden="false" customHeight="true" outlineLevel="0" collapsed="false">
      <c r="A223" s="29"/>
      <c r="B223" s="30" t="s">
        <v>1401</v>
      </c>
      <c r="C223" s="31" t="s">
        <v>130</v>
      </c>
      <c r="D223" s="31" t="s">
        <v>108</v>
      </c>
      <c r="E223" s="32" t="n">
        <v>12150</v>
      </c>
      <c r="F223" s="32"/>
      <c r="G223" s="32" t="n">
        <v>150</v>
      </c>
      <c r="H223" s="33" t="n">
        <v>2</v>
      </c>
      <c r="I223" s="34" t="n">
        <f aca="false">E223*H223+N(F223)+N(G223)</f>
        <v>24450</v>
      </c>
      <c r="J223" s="32" t="n">
        <f aca="false">ROUND(IFERROR(ROUND(IF(OR(ISNUMBER(SEARCH("week",C223)),ISNUMBER(SEARCH("minggu",C223))),IFERROR(_xlfn.NUMBERVALUE(SUBSTITUTE(LEFT(TRIM(C223),FIND(" ",TRIM(C223)&amp;" ")-1),",","."),"."),LEFT(SUBSTITUTE(LEFT(TRIM(C223),FIND(" ",TRIM(C223)&amp;" ")-1),",","."),FIND("/",SUBSTITUTE(LEFT(TRIM(C223),FIND(" ",TRIM(C223)&amp;" ")-1),",","."))-1)/MID(SUBSTITUTE(LEFT(TRIM(C223),FIND(" ",TRIM(C223)&amp;" ")-1),",","."),FIND("/",SUBSTITUTE(LEFT(TRIM(C223),FIND(" ",TRIM(C223)&amp;" ")-1),",","."))+1,9))*12/52,IF(ISNUMBER(SEARCH("month",C223)),IFERROR(_xlfn.NUMBERVALUE(SUBSTITUTE(LEFT(TRIM(C223),FIND(" ",TRIM(C223)&amp;" ")-1),",","."),"."),LEFT(SUBSTITUTE(LEFT(TRIM(C223),FIND(" ",TRIM(C223)&amp;" ")-1),",","."),FIND("/",SUBSTITUTE(LEFT(TRIM(C223),FIND(" ",TRIM(C223)&amp;" ")-1),",","."))-1)/MID(SUBSTITUTE(LEFT(TRIM(C223),FIND(" ",TRIM(C223)&amp;" ")-1),",","."),FIND("/",SUBSTITUTE(LEFT(TRIM(C223),FIND(" ",TRIM(C223)&amp;" ")-1),",","."))+1,9)),IF(ISNUMBER(SEARCH("yea",C223)),IFERROR(_xlfn.NUMBERVALUE(SUBSTITUTE(LEFT(TRIM(C223),FIND(" ",TRIM(C223)&amp;" ")-1),",","."),"."),LEFT(SUBSTITUTE(LEFT(TRIM(C223),FIND(" ",TRIM(C223)&amp;" ")-1),",","."),FIND("/",SUBSTITUTE(LEFT(TRIM(C223),FIND(" ",TRIM(C223)&amp;" ")-1),",","."))-1)/MID(SUBSTITUTE(LEFT(TRIM(C223),FIND(" ",TRIM(C223)&amp;" ")-1),",","."),FIND("/",SUBSTITUTE(LEFT(TRIM(C223),FIND(" ",TRIM(C223)&amp;" ")-1),",","."))+1,9))*12,NA()))),0),12)*'Aturan &amp; Tarif'!$B$4,2)</f>
        <v>681.36</v>
      </c>
      <c r="K223" s="32" t="n">
        <f aca="false">'Aturan &amp; Tarif'!$B$5</f>
        <v>2050</v>
      </c>
      <c r="L223" s="35" t="n">
        <f aca="false">I223+J223+K223</f>
        <v>27181.36</v>
      </c>
      <c r="M223" s="37" t="s">
        <v>846</v>
      </c>
    </row>
    <row r="224" customFormat="false" ht="14.25" hidden="false" customHeight="true" outlineLevel="0" collapsed="false">
      <c r="A224" s="29"/>
      <c r="B224" s="30" t="s">
        <v>395</v>
      </c>
      <c r="C224" s="31" t="s">
        <v>191</v>
      </c>
      <c r="D224" s="31" t="s">
        <v>108</v>
      </c>
      <c r="E224" s="32" t="n">
        <v>10850</v>
      </c>
      <c r="F224" s="32"/>
      <c r="G224" s="32" t="n">
        <v>150</v>
      </c>
      <c r="H224" s="33" t="n">
        <v>2</v>
      </c>
      <c r="I224" s="34" t="n">
        <f aca="false">E224*H224+N(F224)+N(G224)</f>
        <v>21850</v>
      </c>
      <c r="J224" s="32" t="n">
        <f aca="false">ROUND(IFERROR(ROUND(IF(OR(ISNUMBER(SEARCH("week",C224)),ISNUMBER(SEARCH("minggu",C224))),IFERROR(_xlfn.NUMBERVALUE(SUBSTITUTE(LEFT(TRIM(C224),FIND(" ",TRIM(C224)&amp;" ")-1),",","."),"."),LEFT(SUBSTITUTE(LEFT(TRIM(C224),FIND(" ",TRIM(C224)&amp;" ")-1),",","."),FIND("/",SUBSTITUTE(LEFT(TRIM(C224),FIND(" ",TRIM(C224)&amp;" ")-1),",","."))-1)/MID(SUBSTITUTE(LEFT(TRIM(C224),FIND(" ",TRIM(C224)&amp;" ")-1),",","."),FIND("/",SUBSTITUTE(LEFT(TRIM(C224),FIND(" ",TRIM(C224)&amp;" ")-1),",","."))+1,9))*12/52,IF(ISNUMBER(SEARCH("month",C224)),IFERROR(_xlfn.NUMBERVALUE(SUBSTITUTE(LEFT(TRIM(C224),FIND(" ",TRIM(C224)&amp;" ")-1),",","."),"."),LEFT(SUBSTITUTE(LEFT(TRIM(C224),FIND(" ",TRIM(C224)&amp;" ")-1),",","."),FIND("/",SUBSTITUTE(LEFT(TRIM(C224),FIND(" ",TRIM(C224)&amp;" ")-1),",","."))-1)/MID(SUBSTITUTE(LEFT(TRIM(C224),FIND(" ",TRIM(C224)&amp;" ")-1),",","."),FIND("/",SUBSTITUTE(LEFT(TRIM(C224),FIND(" ",TRIM(C224)&amp;" ")-1),",","."))+1,9)),IF(ISNUMBER(SEARCH("yea",C224)),IFERROR(_xlfn.NUMBERVALUE(SUBSTITUTE(LEFT(TRIM(C224),FIND(" ",TRIM(C224)&amp;" ")-1),",","."),"."),LEFT(SUBSTITUTE(LEFT(TRIM(C224),FIND(" ",TRIM(C224)&amp;" ")-1),",","."),FIND("/",SUBSTITUTE(LEFT(TRIM(C224),FIND(" ",TRIM(C224)&amp;" ")-1),",","."))-1)/MID(SUBSTITUTE(LEFT(TRIM(C224),FIND(" ",TRIM(C224)&amp;" ")-1),",","."),FIND("/",SUBSTITUTE(LEFT(TRIM(C224),FIND(" ",TRIM(C224)&amp;" ")-1),",","."))+1,9))*12,NA()))),0),48)*'Aturan &amp; Tarif'!$B$4,2)</f>
        <v>2725.44</v>
      </c>
      <c r="K224" s="32" t="n">
        <f aca="false">'Aturan &amp; Tarif'!$B$5</f>
        <v>2050</v>
      </c>
      <c r="L224" s="35" t="n">
        <f aca="false">I224+J224+K224</f>
        <v>26625.44</v>
      </c>
      <c r="M224" s="37" t="s">
        <v>1402</v>
      </c>
    </row>
    <row r="225" customFormat="false" ht="14.25" hidden="false" customHeight="true" outlineLevel="0" collapsed="false">
      <c r="A225" s="29"/>
      <c r="B225" s="30" t="s">
        <v>1403</v>
      </c>
      <c r="C225" s="31" t="s">
        <v>191</v>
      </c>
      <c r="D225" s="31" t="s">
        <v>108</v>
      </c>
      <c r="E225" s="32" t="n">
        <v>10850</v>
      </c>
      <c r="F225" s="32"/>
      <c r="G225" s="32" t="n">
        <v>150</v>
      </c>
      <c r="H225" s="33" t="n">
        <v>2</v>
      </c>
      <c r="I225" s="34" t="n">
        <f aca="false">E225*H225+N(F225)+N(G225)</f>
        <v>21850</v>
      </c>
      <c r="J225" s="32" t="n">
        <f aca="false">ROUND(IFERROR(ROUND(IF(OR(ISNUMBER(SEARCH("week",C225)),ISNUMBER(SEARCH("minggu",C225))),IFERROR(_xlfn.NUMBERVALUE(SUBSTITUTE(LEFT(TRIM(C225),FIND(" ",TRIM(C225)&amp;" ")-1),",","."),"."),LEFT(SUBSTITUTE(LEFT(TRIM(C225),FIND(" ",TRIM(C225)&amp;" ")-1),",","."),FIND("/",SUBSTITUTE(LEFT(TRIM(C225),FIND(" ",TRIM(C225)&amp;" ")-1),",","."))-1)/MID(SUBSTITUTE(LEFT(TRIM(C225),FIND(" ",TRIM(C225)&amp;" ")-1),",","."),FIND("/",SUBSTITUTE(LEFT(TRIM(C225),FIND(" ",TRIM(C225)&amp;" ")-1),",","."))+1,9))*12/52,IF(ISNUMBER(SEARCH("month",C225)),IFERROR(_xlfn.NUMBERVALUE(SUBSTITUTE(LEFT(TRIM(C225),FIND(" ",TRIM(C225)&amp;" ")-1),",","."),"."),LEFT(SUBSTITUTE(LEFT(TRIM(C225),FIND(" ",TRIM(C225)&amp;" ")-1),",","."),FIND("/",SUBSTITUTE(LEFT(TRIM(C225),FIND(" ",TRIM(C225)&amp;" ")-1),",","."))-1)/MID(SUBSTITUTE(LEFT(TRIM(C225),FIND(" ",TRIM(C225)&amp;" ")-1),",","."),FIND("/",SUBSTITUTE(LEFT(TRIM(C225),FIND(" ",TRIM(C225)&amp;" ")-1),",","."))+1,9)),IF(ISNUMBER(SEARCH("yea",C225)),IFERROR(_xlfn.NUMBERVALUE(SUBSTITUTE(LEFT(TRIM(C225),FIND(" ",TRIM(C225)&amp;" ")-1),",","."),"."),LEFT(SUBSTITUTE(LEFT(TRIM(C225),FIND(" ",TRIM(C225)&amp;" ")-1),",","."),FIND("/",SUBSTITUTE(LEFT(TRIM(C225),FIND(" ",TRIM(C225)&amp;" ")-1),",","."))-1)/MID(SUBSTITUTE(LEFT(TRIM(C225),FIND(" ",TRIM(C225)&amp;" ")-1),",","."),FIND("/",SUBSTITUTE(LEFT(TRIM(C225),FIND(" ",TRIM(C225)&amp;" ")-1),",","."))+1,9))*12,NA()))),0),48)*'Aturan &amp; Tarif'!$B$4,2)</f>
        <v>2725.44</v>
      </c>
      <c r="K225" s="32" t="n">
        <f aca="false">'Aturan &amp; Tarif'!$B$5</f>
        <v>2050</v>
      </c>
      <c r="L225" s="35" t="n">
        <f aca="false">I225+J225+K225</f>
        <v>26625.44</v>
      </c>
      <c r="M225" s="37" t="s">
        <v>846</v>
      </c>
    </row>
    <row r="226" customFormat="false" ht="14.25" hidden="false" customHeight="true" outlineLevel="0" collapsed="false">
      <c r="A226" s="29"/>
      <c r="B226" s="30" t="s">
        <v>251</v>
      </c>
      <c r="C226" s="31" t="s">
        <v>127</v>
      </c>
      <c r="D226" s="31" t="s">
        <v>108</v>
      </c>
      <c r="E226" s="32" t="n">
        <v>13850</v>
      </c>
      <c r="F226" s="32"/>
      <c r="G226" s="32" t="n">
        <v>150</v>
      </c>
      <c r="H226" s="33" t="n">
        <v>2</v>
      </c>
      <c r="I226" s="34" t="n">
        <f aca="false">E226*H226+N(F226)+N(G226)</f>
        <v>27850</v>
      </c>
      <c r="J226" s="32" t="n">
        <f aca="false">ROUND(IFERROR(ROUND(IF(OR(ISNUMBER(SEARCH("week",C226)),ISNUMBER(SEARCH("minggu",C226))),IFERROR(_xlfn.NUMBERVALUE(SUBSTITUTE(LEFT(TRIM(C226),FIND(" ",TRIM(C226)&amp;" ")-1),",","."),"."),LEFT(SUBSTITUTE(LEFT(TRIM(C226),FIND(" ",TRIM(C226)&amp;" ")-1),",","."),FIND("/",SUBSTITUTE(LEFT(TRIM(C226),FIND(" ",TRIM(C226)&amp;" ")-1),",","."))-1)/MID(SUBSTITUTE(LEFT(TRIM(C226),FIND(" ",TRIM(C226)&amp;" ")-1),",","."),FIND("/",SUBSTITUTE(LEFT(TRIM(C226),FIND(" ",TRIM(C226)&amp;" ")-1),",","."))+1,9))*12/52,IF(ISNUMBER(SEARCH("month",C226)),IFERROR(_xlfn.NUMBERVALUE(SUBSTITUTE(LEFT(TRIM(C226),FIND(" ",TRIM(C226)&amp;" ")-1),",","."),"."),LEFT(SUBSTITUTE(LEFT(TRIM(C226),FIND(" ",TRIM(C226)&amp;" ")-1),",","."),FIND("/",SUBSTITUTE(LEFT(TRIM(C226),FIND(" ",TRIM(C226)&amp;" ")-1),",","."))-1)/MID(SUBSTITUTE(LEFT(TRIM(C226),FIND(" ",TRIM(C226)&amp;" ")-1),",","."),FIND("/",SUBSTITUTE(LEFT(TRIM(C226),FIND(" ",TRIM(C226)&amp;" ")-1),",","."))+1,9)),IF(ISNUMBER(SEARCH("yea",C226)),IFERROR(_xlfn.NUMBERVALUE(SUBSTITUTE(LEFT(TRIM(C226),FIND(" ",TRIM(C226)&amp;" ")-1),",","."),"."),LEFT(SUBSTITUTE(LEFT(TRIM(C226),FIND(" ",TRIM(C226)&amp;" ")-1),",","."),FIND("/",SUBSTITUTE(LEFT(TRIM(C226),FIND(" ",TRIM(C226)&amp;" ")-1),",","."))-1)/MID(SUBSTITUTE(LEFT(TRIM(C226),FIND(" ",TRIM(C226)&amp;" ")-1),",","."),FIND("/",SUBSTITUTE(LEFT(TRIM(C226),FIND(" ",TRIM(C226)&amp;" ")-1),",","."))+1,9))*12,NA()))),0),36)*'Aturan &amp; Tarif'!$B$4,2)</f>
        <v>2044.08</v>
      </c>
      <c r="K226" s="32" t="n">
        <f aca="false">'Aturan &amp; Tarif'!$B$5</f>
        <v>2050</v>
      </c>
      <c r="L226" s="35" t="n">
        <f aca="false">I226+J226+K226</f>
        <v>31944.08</v>
      </c>
      <c r="M226" s="37" t="s">
        <v>1187</v>
      </c>
    </row>
    <row r="227" customFormat="false" ht="25.5" hidden="false" customHeight="true" outlineLevel="0" collapsed="false">
      <c r="A227" s="29"/>
      <c r="B227" s="30" t="s">
        <v>1404</v>
      </c>
      <c r="C227" s="31" t="s">
        <v>127</v>
      </c>
      <c r="D227" s="31" t="s">
        <v>108</v>
      </c>
      <c r="E227" s="32" t="n">
        <v>13850</v>
      </c>
      <c r="F227" s="32"/>
      <c r="G227" s="32" t="n">
        <v>150</v>
      </c>
      <c r="H227" s="33" t="n">
        <v>2</v>
      </c>
      <c r="I227" s="34" t="n">
        <f aca="false">E227*H227+N(F227)+N(G227)</f>
        <v>27850</v>
      </c>
      <c r="J227" s="32" t="n">
        <f aca="false">ROUND(IFERROR(ROUND(IF(OR(ISNUMBER(SEARCH("week",C227)),ISNUMBER(SEARCH("minggu",C227))),IFERROR(_xlfn.NUMBERVALUE(SUBSTITUTE(LEFT(TRIM(C227),FIND(" ",TRIM(C227)&amp;" ")-1),",","."),"."),LEFT(SUBSTITUTE(LEFT(TRIM(C227),FIND(" ",TRIM(C227)&amp;" ")-1),",","."),FIND("/",SUBSTITUTE(LEFT(TRIM(C227),FIND(" ",TRIM(C227)&amp;" ")-1),",","."))-1)/MID(SUBSTITUTE(LEFT(TRIM(C227),FIND(" ",TRIM(C227)&amp;" ")-1),",","."),FIND("/",SUBSTITUTE(LEFT(TRIM(C227),FIND(" ",TRIM(C227)&amp;" ")-1),",","."))+1,9))*12/52,IF(ISNUMBER(SEARCH("month",C227)),IFERROR(_xlfn.NUMBERVALUE(SUBSTITUTE(LEFT(TRIM(C227),FIND(" ",TRIM(C227)&amp;" ")-1),",","."),"."),LEFT(SUBSTITUTE(LEFT(TRIM(C227),FIND(" ",TRIM(C227)&amp;" ")-1),",","."),FIND("/",SUBSTITUTE(LEFT(TRIM(C227),FIND(" ",TRIM(C227)&amp;" ")-1),",","."))-1)/MID(SUBSTITUTE(LEFT(TRIM(C227),FIND(" ",TRIM(C227)&amp;" ")-1),",","."),FIND("/",SUBSTITUTE(LEFT(TRIM(C227),FIND(" ",TRIM(C227)&amp;" ")-1),",","."))+1,9)),IF(ISNUMBER(SEARCH("yea",C227)),IFERROR(_xlfn.NUMBERVALUE(SUBSTITUTE(LEFT(TRIM(C227),FIND(" ",TRIM(C227)&amp;" ")-1),",","."),"."),LEFT(SUBSTITUTE(LEFT(TRIM(C227),FIND(" ",TRIM(C227)&amp;" ")-1),",","."),FIND("/",SUBSTITUTE(LEFT(TRIM(C227),FIND(" ",TRIM(C227)&amp;" ")-1),",","."))-1)/MID(SUBSTITUTE(LEFT(TRIM(C227),FIND(" ",TRIM(C227)&amp;" ")-1),",","."),FIND("/",SUBSTITUTE(LEFT(TRIM(C227),FIND(" ",TRIM(C227)&amp;" ")-1),",","."))+1,9))*12,NA()))),0),36)*'Aturan &amp; Tarif'!$B$4,2)</f>
        <v>2044.08</v>
      </c>
      <c r="K227" s="32" t="n">
        <f aca="false">'Aturan &amp; Tarif'!$B$5</f>
        <v>2050</v>
      </c>
      <c r="L227" s="35" t="n">
        <f aca="false">I227+J227+K227</f>
        <v>31944.08</v>
      </c>
      <c r="M227" s="37" t="s">
        <v>1187</v>
      </c>
    </row>
    <row r="228" customFormat="false" ht="25.5" hidden="false" customHeight="true" outlineLevel="0" collapsed="false">
      <c r="A228" s="29"/>
      <c r="B228" s="30" t="s">
        <v>1405</v>
      </c>
      <c r="C228" s="31" t="s">
        <v>127</v>
      </c>
      <c r="D228" s="31" t="s">
        <v>108</v>
      </c>
      <c r="E228" s="32" t="n">
        <v>13850</v>
      </c>
      <c r="F228" s="32"/>
      <c r="G228" s="32" t="n">
        <v>150</v>
      </c>
      <c r="H228" s="33" t="n">
        <v>2</v>
      </c>
      <c r="I228" s="34" t="n">
        <f aca="false">E228*H228+N(F228)+N(G228)</f>
        <v>27850</v>
      </c>
      <c r="J228" s="32" t="n">
        <f aca="false">ROUND(IFERROR(ROUND(IF(OR(ISNUMBER(SEARCH("week",C228)),ISNUMBER(SEARCH("minggu",C228))),IFERROR(_xlfn.NUMBERVALUE(SUBSTITUTE(LEFT(TRIM(C228),FIND(" ",TRIM(C228)&amp;" ")-1),",","."),"."),LEFT(SUBSTITUTE(LEFT(TRIM(C228),FIND(" ",TRIM(C228)&amp;" ")-1),",","."),FIND("/",SUBSTITUTE(LEFT(TRIM(C228),FIND(" ",TRIM(C228)&amp;" ")-1),",","."))-1)/MID(SUBSTITUTE(LEFT(TRIM(C228),FIND(" ",TRIM(C228)&amp;" ")-1),",","."),FIND("/",SUBSTITUTE(LEFT(TRIM(C228),FIND(" ",TRIM(C228)&amp;" ")-1),",","."))+1,9))*12/52,IF(ISNUMBER(SEARCH("month",C228)),IFERROR(_xlfn.NUMBERVALUE(SUBSTITUTE(LEFT(TRIM(C228),FIND(" ",TRIM(C228)&amp;" ")-1),",","."),"."),LEFT(SUBSTITUTE(LEFT(TRIM(C228),FIND(" ",TRIM(C228)&amp;" ")-1),",","."),FIND("/",SUBSTITUTE(LEFT(TRIM(C228),FIND(" ",TRIM(C228)&amp;" ")-1),",","."))-1)/MID(SUBSTITUTE(LEFT(TRIM(C228),FIND(" ",TRIM(C228)&amp;" ")-1),",","."),FIND("/",SUBSTITUTE(LEFT(TRIM(C228),FIND(" ",TRIM(C228)&amp;" ")-1),",","."))+1,9)),IF(ISNUMBER(SEARCH("yea",C228)),IFERROR(_xlfn.NUMBERVALUE(SUBSTITUTE(LEFT(TRIM(C228),FIND(" ",TRIM(C228)&amp;" ")-1),",","."),"."),LEFT(SUBSTITUTE(LEFT(TRIM(C228),FIND(" ",TRIM(C228)&amp;" ")-1),",","."),FIND("/",SUBSTITUTE(LEFT(TRIM(C228),FIND(" ",TRIM(C228)&amp;" ")-1),",","."))-1)/MID(SUBSTITUTE(LEFT(TRIM(C228),FIND(" ",TRIM(C228)&amp;" ")-1),",","."),FIND("/",SUBSTITUTE(LEFT(TRIM(C228),FIND(" ",TRIM(C228)&amp;" ")-1),",","."))+1,9))*12,NA()))),0),36)*'Aturan &amp; Tarif'!$B$4,2)</f>
        <v>2044.08</v>
      </c>
      <c r="K228" s="32" t="n">
        <f aca="false">'Aturan &amp; Tarif'!$B$5</f>
        <v>2050</v>
      </c>
      <c r="L228" s="35" t="n">
        <f aca="false">I228+J228+K228</f>
        <v>31944.08</v>
      </c>
      <c r="M228" s="37" t="s">
        <v>1187</v>
      </c>
    </row>
    <row r="229" customFormat="false" ht="25.5" hidden="false" customHeight="true" outlineLevel="0" collapsed="false">
      <c r="A229" s="29"/>
      <c r="B229" s="30" t="s">
        <v>1406</v>
      </c>
      <c r="C229" s="31" t="s">
        <v>127</v>
      </c>
      <c r="D229" s="31" t="s">
        <v>108</v>
      </c>
      <c r="E229" s="32" t="n">
        <v>13850</v>
      </c>
      <c r="F229" s="32"/>
      <c r="G229" s="32" t="n">
        <v>150</v>
      </c>
      <c r="H229" s="33" t="n">
        <v>2</v>
      </c>
      <c r="I229" s="34" t="n">
        <f aca="false">E229*H229+N(F229)+N(G229)</f>
        <v>27850</v>
      </c>
      <c r="J229" s="32" t="n">
        <f aca="false">ROUND(IFERROR(ROUND(IF(OR(ISNUMBER(SEARCH("week",C229)),ISNUMBER(SEARCH("minggu",C229))),IFERROR(_xlfn.NUMBERVALUE(SUBSTITUTE(LEFT(TRIM(C229),FIND(" ",TRIM(C229)&amp;" ")-1),",","."),"."),LEFT(SUBSTITUTE(LEFT(TRIM(C229),FIND(" ",TRIM(C229)&amp;" ")-1),",","."),FIND("/",SUBSTITUTE(LEFT(TRIM(C229),FIND(" ",TRIM(C229)&amp;" ")-1),",","."))-1)/MID(SUBSTITUTE(LEFT(TRIM(C229),FIND(" ",TRIM(C229)&amp;" ")-1),",","."),FIND("/",SUBSTITUTE(LEFT(TRIM(C229),FIND(" ",TRIM(C229)&amp;" ")-1),",","."))+1,9))*12/52,IF(ISNUMBER(SEARCH("month",C229)),IFERROR(_xlfn.NUMBERVALUE(SUBSTITUTE(LEFT(TRIM(C229),FIND(" ",TRIM(C229)&amp;" ")-1),",","."),"."),LEFT(SUBSTITUTE(LEFT(TRIM(C229),FIND(" ",TRIM(C229)&amp;" ")-1),",","."),FIND("/",SUBSTITUTE(LEFT(TRIM(C229),FIND(" ",TRIM(C229)&amp;" ")-1),",","."))-1)/MID(SUBSTITUTE(LEFT(TRIM(C229),FIND(" ",TRIM(C229)&amp;" ")-1),",","."),FIND("/",SUBSTITUTE(LEFT(TRIM(C229),FIND(" ",TRIM(C229)&amp;" ")-1),",","."))+1,9)),IF(ISNUMBER(SEARCH("yea",C229)),IFERROR(_xlfn.NUMBERVALUE(SUBSTITUTE(LEFT(TRIM(C229),FIND(" ",TRIM(C229)&amp;" ")-1),",","."),"."),LEFT(SUBSTITUTE(LEFT(TRIM(C229),FIND(" ",TRIM(C229)&amp;" ")-1),",","."),FIND("/",SUBSTITUTE(LEFT(TRIM(C229),FIND(" ",TRIM(C229)&amp;" ")-1),",","."))-1)/MID(SUBSTITUTE(LEFT(TRIM(C229),FIND(" ",TRIM(C229)&amp;" ")-1),",","."),FIND("/",SUBSTITUTE(LEFT(TRIM(C229),FIND(" ",TRIM(C229)&amp;" ")-1),",","."))+1,9))*12,NA()))),0),36)*'Aturan &amp; Tarif'!$B$4,2)</f>
        <v>2044.08</v>
      </c>
      <c r="K229" s="32" t="n">
        <f aca="false">'Aturan &amp; Tarif'!$B$5</f>
        <v>2050</v>
      </c>
      <c r="L229" s="35" t="n">
        <f aca="false">I229+J229+K229</f>
        <v>31944.08</v>
      </c>
      <c r="M229" s="37" t="s">
        <v>1187</v>
      </c>
    </row>
    <row r="230" customFormat="false" ht="14.25" hidden="false" customHeight="true" outlineLevel="0" collapsed="false">
      <c r="A230" s="29"/>
      <c r="B230" s="30" t="s">
        <v>1407</v>
      </c>
      <c r="C230" s="31" t="s">
        <v>127</v>
      </c>
      <c r="D230" s="31" t="s">
        <v>108</v>
      </c>
      <c r="E230" s="32" t="n">
        <v>13850</v>
      </c>
      <c r="F230" s="32"/>
      <c r="G230" s="32" t="n">
        <v>150</v>
      </c>
      <c r="H230" s="33" t="n">
        <v>2</v>
      </c>
      <c r="I230" s="34" t="n">
        <f aca="false">E230*H230+N(F230)+N(G230)</f>
        <v>27850</v>
      </c>
      <c r="J230" s="32" t="n">
        <f aca="false">ROUND(IFERROR(ROUND(IF(OR(ISNUMBER(SEARCH("week",C230)),ISNUMBER(SEARCH("minggu",C230))),IFERROR(_xlfn.NUMBERVALUE(SUBSTITUTE(LEFT(TRIM(C230),FIND(" ",TRIM(C230)&amp;" ")-1),",","."),"."),LEFT(SUBSTITUTE(LEFT(TRIM(C230),FIND(" ",TRIM(C230)&amp;" ")-1),",","."),FIND("/",SUBSTITUTE(LEFT(TRIM(C230),FIND(" ",TRIM(C230)&amp;" ")-1),",","."))-1)/MID(SUBSTITUTE(LEFT(TRIM(C230),FIND(" ",TRIM(C230)&amp;" ")-1),",","."),FIND("/",SUBSTITUTE(LEFT(TRIM(C230),FIND(" ",TRIM(C230)&amp;" ")-1),",","."))+1,9))*12/52,IF(ISNUMBER(SEARCH("month",C230)),IFERROR(_xlfn.NUMBERVALUE(SUBSTITUTE(LEFT(TRIM(C230),FIND(" ",TRIM(C230)&amp;" ")-1),",","."),"."),LEFT(SUBSTITUTE(LEFT(TRIM(C230),FIND(" ",TRIM(C230)&amp;" ")-1),",","."),FIND("/",SUBSTITUTE(LEFT(TRIM(C230),FIND(" ",TRIM(C230)&amp;" ")-1),",","."))-1)/MID(SUBSTITUTE(LEFT(TRIM(C230),FIND(" ",TRIM(C230)&amp;" ")-1),",","."),FIND("/",SUBSTITUTE(LEFT(TRIM(C230),FIND(" ",TRIM(C230)&amp;" ")-1),",","."))+1,9)),IF(ISNUMBER(SEARCH("yea",C230)),IFERROR(_xlfn.NUMBERVALUE(SUBSTITUTE(LEFT(TRIM(C230),FIND(" ",TRIM(C230)&amp;" ")-1),",","."),"."),LEFT(SUBSTITUTE(LEFT(TRIM(C230),FIND(" ",TRIM(C230)&amp;" ")-1),",","."),FIND("/",SUBSTITUTE(LEFT(TRIM(C230),FIND(" ",TRIM(C230)&amp;" ")-1),",","."))-1)/MID(SUBSTITUTE(LEFT(TRIM(C230),FIND(" ",TRIM(C230)&amp;" ")-1),",","."),FIND("/",SUBSTITUTE(LEFT(TRIM(C230),FIND(" ",TRIM(C230)&amp;" ")-1),",","."))+1,9))*12,NA()))),0),36)*'Aturan &amp; Tarif'!$B$4,2)</f>
        <v>2044.08</v>
      </c>
      <c r="K230" s="32" t="n">
        <f aca="false">'Aturan &amp; Tarif'!$B$5</f>
        <v>2050</v>
      </c>
      <c r="L230" s="35" t="n">
        <f aca="false">I230+J230+K230</f>
        <v>31944.08</v>
      </c>
      <c r="M230" s="37" t="s">
        <v>1187</v>
      </c>
    </row>
    <row r="231" customFormat="false" ht="25.5" hidden="false" customHeight="true" outlineLevel="0" collapsed="false">
      <c r="A231" s="29"/>
      <c r="B231" s="30" t="s">
        <v>1408</v>
      </c>
      <c r="C231" s="31" t="s">
        <v>127</v>
      </c>
      <c r="D231" s="31" t="s">
        <v>108</v>
      </c>
      <c r="E231" s="32" t="n">
        <v>13850</v>
      </c>
      <c r="F231" s="32"/>
      <c r="G231" s="32" t="n">
        <v>150</v>
      </c>
      <c r="H231" s="33" t="n">
        <v>2</v>
      </c>
      <c r="I231" s="34" t="n">
        <f aca="false">E231*H231+N(F231)+N(G231)</f>
        <v>27850</v>
      </c>
      <c r="J231" s="32" t="n">
        <f aca="false">ROUND(IFERROR(ROUND(IF(OR(ISNUMBER(SEARCH("week",C231)),ISNUMBER(SEARCH("minggu",C231))),IFERROR(_xlfn.NUMBERVALUE(SUBSTITUTE(LEFT(TRIM(C231),FIND(" ",TRIM(C231)&amp;" ")-1),",","."),"."),LEFT(SUBSTITUTE(LEFT(TRIM(C231),FIND(" ",TRIM(C231)&amp;" ")-1),",","."),FIND("/",SUBSTITUTE(LEFT(TRIM(C231),FIND(" ",TRIM(C231)&amp;" ")-1),",","."))-1)/MID(SUBSTITUTE(LEFT(TRIM(C231),FIND(" ",TRIM(C231)&amp;" ")-1),",","."),FIND("/",SUBSTITUTE(LEFT(TRIM(C231),FIND(" ",TRIM(C231)&amp;" ")-1),",","."))+1,9))*12/52,IF(ISNUMBER(SEARCH("month",C231)),IFERROR(_xlfn.NUMBERVALUE(SUBSTITUTE(LEFT(TRIM(C231),FIND(" ",TRIM(C231)&amp;" ")-1),",","."),"."),LEFT(SUBSTITUTE(LEFT(TRIM(C231),FIND(" ",TRIM(C231)&amp;" ")-1),",","."),FIND("/",SUBSTITUTE(LEFT(TRIM(C231),FIND(" ",TRIM(C231)&amp;" ")-1),",","."))-1)/MID(SUBSTITUTE(LEFT(TRIM(C231),FIND(" ",TRIM(C231)&amp;" ")-1),",","."),FIND("/",SUBSTITUTE(LEFT(TRIM(C231),FIND(" ",TRIM(C231)&amp;" ")-1),",","."))+1,9)),IF(ISNUMBER(SEARCH("yea",C231)),IFERROR(_xlfn.NUMBERVALUE(SUBSTITUTE(LEFT(TRIM(C231),FIND(" ",TRIM(C231)&amp;" ")-1),",","."),"."),LEFT(SUBSTITUTE(LEFT(TRIM(C231),FIND(" ",TRIM(C231)&amp;" ")-1),",","."),FIND("/",SUBSTITUTE(LEFT(TRIM(C231),FIND(" ",TRIM(C231)&amp;" ")-1),",","."))-1)/MID(SUBSTITUTE(LEFT(TRIM(C231),FIND(" ",TRIM(C231)&amp;" ")-1),",","."),FIND("/",SUBSTITUTE(LEFT(TRIM(C231),FIND(" ",TRIM(C231)&amp;" ")-1),",","."))+1,9))*12,NA()))),0),36)*'Aturan &amp; Tarif'!$B$4,2)</f>
        <v>2044.08</v>
      </c>
      <c r="K231" s="32" t="n">
        <f aca="false">'Aturan &amp; Tarif'!$B$5</f>
        <v>2050</v>
      </c>
      <c r="L231" s="35" t="n">
        <f aca="false">I231+J231+K231</f>
        <v>31944.08</v>
      </c>
      <c r="M231" s="37" t="s">
        <v>1187</v>
      </c>
    </row>
    <row r="232" customFormat="false" ht="14.25" hidden="false" customHeight="true" outlineLevel="0" collapsed="false">
      <c r="A232" s="29"/>
      <c r="B232" s="30" t="s">
        <v>1409</v>
      </c>
      <c r="C232" s="31" t="s">
        <v>127</v>
      </c>
      <c r="D232" s="31" t="s">
        <v>108</v>
      </c>
      <c r="E232" s="32" t="n">
        <v>13850</v>
      </c>
      <c r="F232" s="32"/>
      <c r="G232" s="32" t="n">
        <v>150</v>
      </c>
      <c r="H232" s="33" t="n">
        <v>2</v>
      </c>
      <c r="I232" s="34" t="n">
        <f aca="false">E232*H232+N(F232)+N(G232)</f>
        <v>27850</v>
      </c>
      <c r="J232" s="32" t="n">
        <f aca="false">ROUND(IFERROR(ROUND(IF(OR(ISNUMBER(SEARCH("week",C232)),ISNUMBER(SEARCH("minggu",C232))),IFERROR(_xlfn.NUMBERVALUE(SUBSTITUTE(LEFT(TRIM(C232),FIND(" ",TRIM(C232)&amp;" ")-1),",","."),"."),LEFT(SUBSTITUTE(LEFT(TRIM(C232),FIND(" ",TRIM(C232)&amp;" ")-1),",","."),FIND("/",SUBSTITUTE(LEFT(TRIM(C232),FIND(" ",TRIM(C232)&amp;" ")-1),",","."))-1)/MID(SUBSTITUTE(LEFT(TRIM(C232),FIND(" ",TRIM(C232)&amp;" ")-1),",","."),FIND("/",SUBSTITUTE(LEFT(TRIM(C232),FIND(" ",TRIM(C232)&amp;" ")-1),",","."))+1,9))*12/52,IF(ISNUMBER(SEARCH("month",C232)),IFERROR(_xlfn.NUMBERVALUE(SUBSTITUTE(LEFT(TRIM(C232),FIND(" ",TRIM(C232)&amp;" ")-1),",","."),"."),LEFT(SUBSTITUTE(LEFT(TRIM(C232),FIND(" ",TRIM(C232)&amp;" ")-1),",","."),FIND("/",SUBSTITUTE(LEFT(TRIM(C232),FIND(" ",TRIM(C232)&amp;" ")-1),",","."))-1)/MID(SUBSTITUTE(LEFT(TRIM(C232),FIND(" ",TRIM(C232)&amp;" ")-1),",","."),FIND("/",SUBSTITUTE(LEFT(TRIM(C232),FIND(" ",TRIM(C232)&amp;" ")-1),",","."))+1,9)),IF(ISNUMBER(SEARCH("yea",C232)),IFERROR(_xlfn.NUMBERVALUE(SUBSTITUTE(LEFT(TRIM(C232),FIND(" ",TRIM(C232)&amp;" ")-1),",","."),"."),LEFT(SUBSTITUTE(LEFT(TRIM(C232),FIND(" ",TRIM(C232)&amp;" ")-1),",","."),FIND("/",SUBSTITUTE(LEFT(TRIM(C232),FIND(" ",TRIM(C232)&amp;" ")-1),",","."))-1)/MID(SUBSTITUTE(LEFT(TRIM(C232),FIND(" ",TRIM(C232)&amp;" ")-1),",","."),FIND("/",SUBSTITUTE(LEFT(TRIM(C232),FIND(" ",TRIM(C232)&amp;" ")-1),",","."))+1,9))*12,NA()))),0),36)*'Aturan &amp; Tarif'!$B$4,2)</f>
        <v>2044.08</v>
      </c>
      <c r="K232" s="32" t="n">
        <f aca="false">'Aturan &amp; Tarif'!$B$5</f>
        <v>2050</v>
      </c>
      <c r="L232" s="35" t="n">
        <f aca="false">I232+J232+K232</f>
        <v>31944.08</v>
      </c>
      <c r="M232" s="37" t="s">
        <v>1187</v>
      </c>
    </row>
    <row r="233" customFormat="false" ht="25.5" hidden="false" customHeight="true" outlineLevel="0" collapsed="false">
      <c r="A233" s="29"/>
      <c r="B233" s="30" t="s">
        <v>1410</v>
      </c>
      <c r="C233" s="31" t="s">
        <v>127</v>
      </c>
      <c r="D233" s="31" t="s">
        <v>108</v>
      </c>
      <c r="E233" s="32" t="n">
        <v>13850</v>
      </c>
      <c r="F233" s="32"/>
      <c r="G233" s="32" t="n">
        <v>150</v>
      </c>
      <c r="H233" s="33" t="n">
        <v>2</v>
      </c>
      <c r="I233" s="34" t="n">
        <f aca="false">E233*H233+N(F233)+N(G233)</f>
        <v>27850</v>
      </c>
      <c r="J233" s="32" t="n">
        <f aca="false">ROUND(IFERROR(ROUND(IF(OR(ISNUMBER(SEARCH("week",C233)),ISNUMBER(SEARCH("minggu",C233))),IFERROR(_xlfn.NUMBERVALUE(SUBSTITUTE(LEFT(TRIM(C233),FIND(" ",TRIM(C233)&amp;" ")-1),",","."),"."),LEFT(SUBSTITUTE(LEFT(TRIM(C233),FIND(" ",TRIM(C233)&amp;" ")-1),",","."),FIND("/",SUBSTITUTE(LEFT(TRIM(C233),FIND(" ",TRIM(C233)&amp;" ")-1),",","."))-1)/MID(SUBSTITUTE(LEFT(TRIM(C233),FIND(" ",TRIM(C233)&amp;" ")-1),",","."),FIND("/",SUBSTITUTE(LEFT(TRIM(C233),FIND(" ",TRIM(C233)&amp;" ")-1),",","."))+1,9))*12/52,IF(ISNUMBER(SEARCH("month",C233)),IFERROR(_xlfn.NUMBERVALUE(SUBSTITUTE(LEFT(TRIM(C233),FIND(" ",TRIM(C233)&amp;" ")-1),",","."),"."),LEFT(SUBSTITUTE(LEFT(TRIM(C233),FIND(" ",TRIM(C233)&amp;" ")-1),",","."),FIND("/",SUBSTITUTE(LEFT(TRIM(C233),FIND(" ",TRIM(C233)&amp;" ")-1),",","."))-1)/MID(SUBSTITUTE(LEFT(TRIM(C233),FIND(" ",TRIM(C233)&amp;" ")-1),",","."),FIND("/",SUBSTITUTE(LEFT(TRIM(C233),FIND(" ",TRIM(C233)&amp;" ")-1),",","."))+1,9)),IF(ISNUMBER(SEARCH("yea",C233)),IFERROR(_xlfn.NUMBERVALUE(SUBSTITUTE(LEFT(TRIM(C233),FIND(" ",TRIM(C233)&amp;" ")-1),",","."),"."),LEFT(SUBSTITUTE(LEFT(TRIM(C233),FIND(" ",TRIM(C233)&amp;" ")-1),",","."),FIND("/",SUBSTITUTE(LEFT(TRIM(C233),FIND(" ",TRIM(C233)&amp;" ")-1),",","."))-1)/MID(SUBSTITUTE(LEFT(TRIM(C233),FIND(" ",TRIM(C233)&amp;" ")-1),",","."),FIND("/",SUBSTITUTE(LEFT(TRIM(C233),FIND(" ",TRIM(C233)&amp;" ")-1),",","."))+1,9))*12,NA()))),0),36)*'Aturan &amp; Tarif'!$B$4,2)</f>
        <v>2044.08</v>
      </c>
      <c r="K233" s="32" t="n">
        <f aca="false">'Aturan &amp; Tarif'!$B$5</f>
        <v>2050</v>
      </c>
      <c r="L233" s="35" t="n">
        <f aca="false">I233+J233+K233</f>
        <v>31944.08</v>
      </c>
      <c r="M233" s="37" t="s">
        <v>1187</v>
      </c>
    </row>
    <row r="234" customFormat="false" ht="25.5" hidden="false" customHeight="true" outlineLevel="0" collapsed="false">
      <c r="A234" s="29"/>
      <c r="B234" s="30" t="s">
        <v>1411</v>
      </c>
      <c r="C234" s="31" t="s">
        <v>127</v>
      </c>
      <c r="D234" s="31" t="s">
        <v>108</v>
      </c>
      <c r="E234" s="32" t="n">
        <v>13850</v>
      </c>
      <c r="F234" s="32"/>
      <c r="G234" s="32" t="n">
        <v>150</v>
      </c>
      <c r="H234" s="33" t="n">
        <v>2</v>
      </c>
      <c r="I234" s="34" t="n">
        <f aca="false">E234*H234+N(F234)+N(G234)</f>
        <v>27850</v>
      </c>
      <c r="J234" s="32" t="n">
        <f aca="false">ROUND(IFERROR(ROUND(IF(OR(ISNUMBER(SEARCH("week",C234)),ISNUMBER(SEARCH("minggu",C234))),IFERROR(_xlfn.NUMBERVALUE(SUBSTITUTE(LEFT(TRIM(C234),FIND(" ",TRIM(C234)&amp;" ")-1),",","."),"."),LEFT(SUBSTITUTE(LEFT(TRIM(C234),FIND(" ",TRIM(C234)&amp;" ")-1),",","."),FIND("/",SUBSTITUTE(LEFT(TRIM(C234),FIND(" ",TRIM(C234)&amp;" ")-1),",","."))-1)/MID(SUBSTITUTE(LEFT(TRIM(C234),FIND(" ",TRIM(C234)&amp;" ")-1),",","."),FIND("/",SUBSTITUTE(LEFT(TRIM(C234),FIND(" ",TRIM(C234)&amp;" ")-1),",","."))+1,9))*12/52,IF(ISNUMBER(SEARCH("month",C234)),IFERROR(_xlfn.NUMBERVALUE(SUBSTITUTE(LEFT(TRIM(C234),FIND(" ",TRIM(C234)&amp;" ")-1),",","."),"."),LEFT(SUBSTITUTE(LEFT(TRIM(C234),FIND(" ",TRIM(C234)&amp;" ")-1),",","."),FIND("/",SUBSTITUTE(LEFT(TRIM(C234),FIND(" ",TRIM(C234)&amp;" ")-1),",","."))-1)/MID(SUBSTITUTE(LEFT(TRIM(C234),FIND(" ",TRIM(C234)&amp;" ")-1),",","."),FIND("/",SUBSTITUTE(LEFT(TRIM(C234),FIND(" ",TRIM(C234)&amp;" ")-1),",","."))+1,9)),IF(ISNUMBER(SEARCH("yea",C234)),IFERROR(_xlfn.NUMBERVALUE(SUBSTITUTE(LEFT(TRIM(C234),FIND(" ",TRIM(C234)&amp;" ")-1),",","."),"."),LEFT(SUBSTITUTE(LEFT(TRIM(C234),FIND(" ",TRIM(C234)&amp;" ")-1),",","."),FIND("/",SUBSTITUTE(LEFT(TRIM(C234),FIND(" ",TRIM(C234)&amp;" ")-1),",","."))-1)/MID(SUBSTITUTE(LEFT(TRIM(C234),FIND(" ",TRIM(C234)&amp;" ")-1),",","."),FIND("/",SUBSTITUTE(LEFT(TRIM(C234),FIND(" ",TRIM(C234)&amp;" ")-1),",","."))+1,9))*12,NA()))),0),36)*'Aturan &amp; Tarif'!$B$4,2)</f>
        <v>2044.08</v>
      </c>
      <c r="K234" s="32" t="n">
        <f aca="false">'Aturan &amp; Tarif'!$B$5</f>
        <v>2050</v>
      </c>
      <c r="L234" s="35" t="n">
        <f aca="false">I234+J234+K234</f>
        <v>31944.08</v>
      </c>
      <c r="M234" s="37" t="s">
        <v>1187</v>
      </c>
    </row>
    <row r="235" customFormat="false" ht="25.5" hidden="false" customHeight="true" outlineLevel="0" collapsed="false">
      <c r="A235" s="29"/>
      <c r="B235" s="30" t="s">
        <v>1412</v>
      </c>
      <c r="C235" s="31" t="s">
        <v>127</v>
      </c>
      <c r="D235" s="31" t="s">
        <v>108</v>
      </c>
      <c r="E235" s="32" t="n">
        <v>13850</v>
      </c>
      <c r="F235" s="32"/>
      <c r="G235" s="32" t="n">
        <v>150</v>
      </c>
      <c r="H235" s="33" t="n">
        <v>2</v>
      </c>
      <c r="I235" s="34" t="n">
        <f aca="false">E235*H235+N(F235)+N(G235)</f>
        <v>27850</v>
      </c>
      <c r="J235" s="32" t="n">
        <f aca="false">ROUND(IFERROR(ROUND(IF(OR(ISNUMBER(SEARCH("week",C235)),ISNUMBER(SEARCH("minggu",C235))),IFERROR(_xlfn.NUMBERVALUE(SUBSTITUTE(LEFT(TRIM(C235),FIND(" ",TRIM(C235)&amp;" ")-1),",","."),"."),LEFT(SUBSTITUTE(LEFT(TRIM(C235),FIND(" ",TRIM(C235)&amp;" ")-1),",","."),FIND("/",SUBSTITUTE(LEFT(TRIM(C235),FIND(" ",TRIM(C235)&amp;" ")-1),",","."))-1)/MID(SUBSTITUTE(LEFT(TRIM(C235),FIND(" ",TRIM(C235)&amp;" ")-1),",","."),FIND("/",SUBSTITUTE(LEFT(TRIM(C235),FIND(" ",TRIM(C235)&amp;" ")-1),",","."))+1,9))*12/52,IF(ISNUMBER(SEARCH("month",C235)),IFERROR(_xlfn.NUMBERVALUE(SUBSTITUTE(LEFT(TRIM(C235),FIND(" ",TRIM(C235)&amp;" ")-1),",","."),"."),LEFT(SUBSTITUTE(LEFT(TRIM(C235),FIND(" ",TRIM(C235)&amp;" ")-1),",","."),FIND("/",SUBSTITUTE(LEFT(TRIM(C235),FIND(" ",TRIM(C235)&amp;" ")-1),",","."))-1)/MID(SUBSTITUTE(LEFT(TRIM(C235),FIND(" ",TRIM(C235)&amp;" ")-1),",","."),FIND("/",SUBSTITUTE(LEFT(TRIM(C235),FIND(" ",TRIM(C235)&amp;" ")-1),",","."))+1,9)),IF(ISNUMBER(SEARCH("yea",C235)),IFERROR(_xlfn.NUMBERVALUE(SUBSTITUTE(LEFT(TRIM(C235),FIND(" ",TRIM(C235)&amp;" ")-1),",","."),"."),LEFT(SUBSTITUTE(LEFT(TRIM(C235),FIND(" ",TRIM(C235)&amp;" ")-1),",","."),FIND("/",SUBSTITUTE(LEFT(TRIM(C235),FIND(" ",TRIM(C235)&amp;" ")-1),",","."))-1)/MID(SUBSTITUTE(LEFT(TRIM(C235),FIND(" ",TRIM(C235)&amp;" ")-1),",","."),FIND("/",SUBSTITUTE(LEFT(TRIM(C235),FIND(" ",TRIM(C235)&amp;" ")-1),",","."))+1,9))*12,NA()))),0),36)*'Aturan &amp; Tarif'!$B$4,2)</f>
        <v>2044.08</v>
      </c>
      <c r="K235" s="32" t="n">
        <f aca="false">'Aturan &amp; Tarif'!$B$5</f>
        <v>2050</v>
      </c>
      <c r="L235" s="35" t="n">
        <f aca="false">I235+J235+K235</f>
        <v>31944.08</v>
      </c>
      <c r="M235" s="37" t="s">
        <v>1187</v>
      </c>
    </row>
    <row r="236" customFormat="false" ht="25.5" hidden="false" customHeight="true" outlineLevel="0" collapsed="false">
      <c r="A236" s="29"/>
      <c r="B236" s="30" t="s">
        <v>1413</v>
      </c>
      <c r="C236" s="31" t="s">
        <v>127</v>
      </c>
      <c r="D236" s="31" t="s">
        <v>108</v>
      </c>
      <c r="E236" s="32" t="n">
        <v>13850</v>
      </c>
      <c r="F236" s="32"/>
      <c r="G236" s="32" t="n">
        <v>150</v>
      </c>
      <c r="H236" s="33" t="n">
        <v>2</v>
      </c>
      <c r="I236" s="34" t="n">
        <f aca="false">E236*H236+N(F236)+N(G236)</f>
        <v>27850</v>
      </c>
      <c r="J236" s="32" t="n">
        <f aca="false">ROUND(IFERROR(ROUND(IF(OR(ISNUMBER(SEARCH("week",C236)),ISNUMBER(SEARCH("minggu",C236))),IFERROR(_xlfn.NUMBERVALUE(SUBSTITUTE(LEFT(TRIM(C236),FIND(" ",TRIM(C236)&amp;" ")-1),",","."),"."),LEFT(SUBSTITUTE(LEFT(TRIM(C236),FIND(" ",TRIM(C236)&amp;" ")-1),",","."),FIND("/",SUBSTITUTE(LEFT(TRIM(C236),FIND(" ",TRIM(C236)&amp;" ")-1),",","."))-1)/MID(SUBSTITUTE(LEFT(TRIM(C236),FIND(" ",TRIM(C236)&amp;" ")-1),",","."),FIND("/",SUBSTITUTE(LEFT(TRIM(C236),FIND(" ",TRIM(C236)&amp;" ")-1),",","."))+1,9))*12/52,IF(ISNUMBER(SEARCH("month",C236)),IFERROR(_xlfn.NUMBERVALUE(SUBSTITUTE(LEFT(TRIM(C236),FIND(" ",TRIM(C236)&amp;" ")-1),",","."),"."),LEFT(SUBSTITUTE(LEFT(TRIM(C236),FIND(" ",TRIM(C236)&amp;" ")-1),",","."),FIND("/",SUBSTITUTE(LEFT(TRIM(C236),FIND(" ",TRIM(C236)&amp;" ")-1),",","."))-1)/MID(SUBSTITUTE(LEFT(TRIM(C236),FIND(" ",TRIM(C236)&amp;" ")-1),",","."),FIND("/",SUBSTITUTE(LEFT(TRIM(C236),FIND(" ",TRIM(C236)&amp;" ")-1),",","."))+1,9)),IF(ISNUMBER(SEARCH("yea",C236)),IFERROR(_xlfn.NUMBERVALUE(SUBSTITUTE(LEFT(TRIM(C236),FIND(" ",TRIM(C236)&amp;" ")-1),",","."),"."),LEFT(SUBSTITUTE(LEFT(TRIM(C236),FIND(" ",TRIM(C236)&amp;" ")-1),",","."),FIND("/",SUBSTITUTE(LEFT(TRIM(C236),FIND(" ",TRIM(C236)&amp;" ")-1),",","."))-1)/MID(SUBSTITUTE(LEFT(TRIM(C236),FIND(" ",TRIM(C236)&amp;" ")-1),",","."),FIND("/",SUBSTITUTE(LEFT(TRIM(C236),FIND(" ",TRIM(C236)&amp;" ")-1),",","."))+1,9))*12,NA()))),0),36)*'Aturan &amp; Tarif'!$B$4,2)</f>
        <v>2044.08</v>
      </c>
      <c r="K236" s="32" t="n">
        <f aca="false">'Aturan &amp; Tarif'!$B$5</f>
        <v>2050</v>
      </c>
      <c r="L236" s="35" t="n">
        <f aca="false">I236+J236+K236</f>
        <v>31944.08</v>
      </c>
      <c r="M236" s="37" t="s">
        <v>1187</v>
      </c>
    </row>
    <row r="237" customFormat="false" ht="25.5" hidden="false" customHeight="true" outlineLevel="0" collapsed="false">
      <c r="A237" s="29"/>
      <c r="B237" s="30" t="s">
        <v>1414</v>
      </c>
      <c r="C237" s="31" t="s">
        <v>127</v>
      </c>
      <c r="D237" s="31" t="s">
        <v>108</v>
      </c>
      <c r="E237" s="32" t="n">
        <v>13850</v>
      </c>
      <c r="F237" s="32"/>
      <c r="G237" s="32" t="n">
        <v>150</v>
      </c>
      <c r="H237" s="33" t="n">
        <v>2</v>
      </c>
      <c r="I237" s="34" t="n">
        <f aca="false">E237*H237+N(F237)+N(G237)</f>
        <v>27850</v>
      </c>
      <c r="J237" s="32" t="n">
        <f aca="false">ROUND(IFERROR(ROUND(IF(OR(ISNUMBER(SEARCH("week",C237)),ISNUMBER(SEARCH("minggu",C237))),IFERROR(_xlfn.NUMBERVALUE(SUBSTITUTE(LEFT(TRIM(C237),FIND(" ",TRIM(C237)&amp;" ")-1),",","."),"."),LEFT(SUBSTITUTE(LEFT(TRIM(C237),FIND(" ",TRIM(C237)&amp;" ")-1),",","."),FIND("/",SUBSTITUTE(LEFT(TRIM(C237),FIND(" ",TRIM(C237)&amp;" ")-1),",","."))-1)/MID(SUBSTITUTE(LEFT(TRIM(C237),FIND(" ",TRIM(C237)&amp;" ")-1),",","."),FIND("/",SUBSTITUTE(LEFT(TRIM(C237),FIND(" ",TRIM(C237)&amp;" ")-1),",","."))+1,9))*12/52,IF(ISNUMBER(SEARCH("month",C237)),IFERROR(_xlfn.NUMBERVALUE(SUBSTITUTE(LEFT(TRIM(C237),FIND(" ",TRIM(C237)&amp;" ")-1),",","."),"."),LEFT(SUBSTITUTE(LEFT(TRIM(C237),FIND(" ",TRIM(C237)&amp;" ")-1),",","."),FIND("/",SUBSTITUTE(LEFT(TRIM(C237),FIND(" ",TRIM(C237)&amp;" ")-1),",","."))-1)/MID(SUBSTITUTE(LEFT(TRIM(C237),FIND(" ",TRIM(C237)&amp;" ")-1),",","."),FIND("/",SUBSTITUTE(LEFT(TRIM(C237),FIND(" ",TRIM(C237)&amp;" ")-1),",","."))+1,9)),IF(ISNUMBER(SEARCH("yea",C237)),IFERROR(_xlfn.NUMBERVALUE(SUBSTITUTE(LEFT(TRIM(C237),FIND(" ",TRIM(C237)&amp;" ")-1),",","."),"."),LEFT(SUBSTITUTE(LEFT(TRIM(C237),FIND(" ",TRIM(C237)&amp;" ")-1),",","."),FIND("/",SUBSTITUTE(LEFT(TRIM(C237),FIND(" ",TRIM(C237)&amp;" ")-1),",","."))-1)/MID(SUBSTITUTE(LEFT(TRIM(C237),FIND(" ",TRIM(C237)&amp;" ")-1),",","."),FIND("/",SUBSTITUTE(LEFT(TRIM(C237),FIND(" ",TRIM(C237)&amp;" ")-1),",","."))+1,9))*12,NA()))),0),36)*'Aturan &amp; Tarif'!$B$4,2)</f>
        <v>2044.08</v>
      </c>
      <c r="K237" s="32" t="n">
        <f aca="false">'Aturan &amp; Tarif'!$B$5</f>
        <v>2050</v>
      </c>
      <c r="L237" s="35" t="n">
        <f aca="false">I237+J237+K237</f>
        <v>31944.08</v>
      </c>
      <c r="M237" s="37" t="s">
        <v>1187</v>
      </c>
    </row>
    <row r="238" customFormat="false" ht="14.25" hidden="false" customHeight="true" outlineLevel="0" collapsed="false">
      <c r="A238" s="29"/>
      <c r="B238" s="30" t="s">
        <v>1415</v>
      </c>
      <c r="C238" s="31" t="s">
        <v>127</v>
      </c>
      <c r="D238" s="31" t="s">
        <v>108</v>
      </c>
      <c r="E238" s="32" t="n">
        <v>13850</v>
      </c>
      <c r="F238" s="32"/>
      <c r="G238" s="32" t="n">
        <v>150</v>
      </c>
      <c r="H238" s="33" t="n">
        <v>2</v>
      </c>
      <c r="I238" s="34" t="n">
        <f aca="false">E238*H238+N(F238)+N(G238)</f>
        <v>27850</v>
      </c>
      <c r="J238" s="32" t="n">
        <f aca="false">ROUND(IFERROR(ROUND(IF(OR(ISNUMBER(SEARCH("week",C238)),ISNUMBER(SEARCH("minggu",C238))),IFERROR(_xlfn.NUMBERVALUE(SUBSTITUTE(LEFT(TRIM(C238),FIND(" ",TRIM(C238)&amp;" ")-1),",","."),"."),LEFT(SUBSTITUTE(LEFT(TRIM(C238),FIND(" ",TRIM(C238)&amp;" ")-1),",","."),FIND("/",SUBSTITUTE(LEFT(TRIM(C238),FIND(" ",TRIM(C238)&amp;" ")-1),",","."))-1)/MID(SUBSTITUTE(LEFT(TRIM(C238),FIND(" ",TRIM(C238)&amp;" ")-1),",","."),FIND("/",SUBSTITUTE(LEFT(TRIM(C238),FIND(" ",TRIM(C238)&amp;" ")-1),",","."))+1,9))*12/52,IF(ISNUMBER(SEARCH("month",C238)),IFERROR(_xlfn.NUMBERVALUE(SUBSTITUTE(LEFT(TRIM(C238),FIND(" ",TRIM(C238)&amp;" ")-1),",","."),"."),LEFT(SUBSTITUTE(LEFT(TRIM(C238),FIND(" ",TRIM(C238)&amp;" ")-1),",","."),FIND("/",SUBSTITUTE(LEFT(TRIM(C238),FIND(" ",TRIM(C238)&amp;" ")-1),",","."))-1)/MID(SUBSTITUTE(LEFT(TRIM(C238),FIND(" ",TRIM(C238)&amp;" ")-1),",","."),FIND("/",SUBSTITUTE(LEFT(TRIM(C238),FIND(" ",TRIM(C238)&amp;" ")-1),",","."))+1,9)),IF(ISNUMBER(SEARCH("yea",C238)),IFERROR(_xlfn.NUMBERVALUE(SUBSTITUTE(LEFT(TRIM(C238),FIND(" ",TRIM(C238)&amp;" ")-1),",","."),"."),LEFT(SUBSTITUTE(LEFT(TRIM(C238),FIND(" ",TRIM(C238)&amp;" ")-1),",","."),FIND("/",SUBSTITUTE(LEFT(TRIM(C238),FIND(" ",TRIM(C238)&amp;" ")-1),",","."))-1)/MID(SUBSTITUTE(LEFT(TRIM(C238),FIND(" ",TRIM(C238)&amp;" ")-1),",","."),FIND("/",SUBSTITUTE(LEFT(TRIM(C238),FIND(" ",TRIM(C238)&amp;" ")-1),",","."))+1,9))*12,NA()))),0),36)*'Aturan &amp; Tarif'!$B$4,2)</f>
        <v>2044.08</v>
      </c>
      <c r="K238" s="32" t="n">
        <f aca="false">'Aturan &amp; Tarif'!$B$5</f>
        <v>2050</v>
      </c>
      <c r="L238" s="35" t="n">
        <f aca="false">I238+J238+K238</f>
        <v>31944.08</v>
      </c>
      <c r="M238" s="37" t="s">
        <v>1187</v>
      </c>
    </row>
    <row r="239" customFormat="false" ht="14.25" hidden="false" customHeight="true" outlineLevel="0" collapsed="false">
      <c r="A239" s="29"/>
      <c r="B239" s="30" t="s">
        <v>1416</v>
      </c>
      <c r="C239" s="31" t="s">
        <v>127</v>
      </c>
      <c r="D239" s="31" t="s">
        <v>108</v>
      </c>
      <c r="E239" s="32" t="n">
        <v>13850</v>
      </c>
      <c r="F239" s="32"/>
      <c r="G239" s="32" t="n">
        <v>150</v>
      </c>
      <c r="H239" s="33" t="n">
        <v>2</v>
      </c>
      <c r="I239" s="34" t="n">
        <f aca="false">E239*H239+N(F239)+N(G239)</f>
        <v>27850</v>
      </c>
      <c r="J239" s="32" t="n">
        <f aca="false">ROUND(IFERROR(ROUND(IF(OR(ISNUMBER(SEARCH("week",C239)),ISNUMBER(SEARCH("minggu",C239))),IFERROR(_xlfn.NUMBERVALUE(SUBSTITUTE(LEFT(TRIM(C239),FIND(" ",TRIM(C239)&amp;" ")-1),",","."),"."),LEFT(SUBSTITUTE(LEFT(TRIM(C239),FIND(" ",TRIM(C239)&amp;" ")-1),",","."),FIND("/",SUBSTITUTE(LEFT(TRIM(C239),FIND(" ",TRIM(C239)&amp;" ")-1),",","."))-1)/MID(SUBSTITUTE(LEFT(TRIM(C239),FIND(" ",TRIM(C239)&amp;" ")-1),",","."),FIND("/",SUBSTITUTE(LEFT(TRIM(C239),FIND(" ",TRIM(C239)&amp;" ")-1),",","."))+1,9))*12/52,IF(ISNUMBER(SEARCH("month",C239)),IFERROR(_xlfn.NUMBERVALUE(SUBSTITUTE(LEFT(TRIM(C239),FIND(" ",TRIM(C239)&amp;" ")-1),",","."),"."),LEFT(SUBSTITUTE(LEFT(TRIM(C239),FIND(" ",TRIM(C239)&amp;" ")-1),",","."),FIND("/",SUBSTITUTE(LEFT(TRIM(C239),FIND(" ",TRIM(C239)&amp;" ")-1),",","."))-1)/MID(SUBSTITUTE(LEFT(TRIM(C239),FIND(" ",TRIM(C239)&amp;" ")-1),",","."),FIND("/",SUBSTITUTE(LEFT(TRIM(C239),FIND(" ",TRIM(C239)&amp;" ")-1),",","."))+1,9)),IF(ISNUMBER(SEARCH("yea",C239)),IFERROR(_xlfn.NUMBERVALUE(SUBSTITUTE(LEFT(TRIM(C239),FIND(" ",TRIM(C239)&amp;" ")-1),",","."),"."),LEFT(SUBSTITUTE(LEFT(TRIM(C239),FIND(" ",TRIM(C239)&amp;" ")-1),",","."),FIND("/",SUBSTITUTE(LEFT(TRIM(C239),FIND(" ",TRIM(C239)&amp;" ")-1),",","."))-1)/MID(SUBSTITUTE(LEFT(TRIM(C239),FIND(" ",TRIM(C239)&amp;" ")-1),",","."),FIND("/",SUBSTITUTE(LEFT(TRIM(C239),FIND(" ",TRIM(C239)&amp;" ")-1),",","."))+1,9))*12,NA()))),0),36)*'Aturan &amp; Tarif'!$B$4,2)</f>
        <v>2044.08</v>
      </c>
      <c r="K239" s="32" t="n">
        <f aca="false">'Aturan &amp; Tarif'!$B$5</f>
        <v>2050</v>
      </c>
      <c r="L239" s="35" t="n">
        <f aca="false">I239+J239+K239</f>
        <v>31944.08</v>
      </c>
      <c r="M239" s="37" t="s">
        <v>1187</v>
      </c>
    </row>
    <row r="240" customFormat="false" ht="25.5" hidden="false" customHeight="true" outlineLevel="0" collapsed="false">
      <c r="A240" s="29"/>
      <c r="B240" s="30" t="s">
        <v>1417</v>
      </c>
      <c r="C240" s="31" t="s">
        <v>127</v>
      </c>
      <c r="D240" s="31" t="s">
        <v>108</v>
      </c>
      <c r="E240" s="32" t="n">
        <v>13850</v>
      </c>
      <c r="F240" s="32"/>
      <c r="G240" s="32" t="n">
        <v>150</v>
      </c>
      <c r="H240" s="33" t="n">
        <v>2</v>
      </c>
      <c r="I240" s="34" t="n">
        <f aca="false">E240*H240+N(F240)+N(G240)</f>
        <v>27850</v>
      </c>
      <c r="J240" s="32" t="n">
        <f aca="false">ROUND(IFERROR(ROUND(IF(OR(ISNUMBER(SEARCH("week",C240)),ISNUMBER(SEARCH("minggu",C240))),IFERROR(_xlfn.NUMBERVALUE(SUBSTITUTE(LEFT(TRIM(C240),FIND(" ",TRIM(C240)&amp;" ")-1),",","."),"."),LEFT(SUBSTITUTE(LEFT(TRIM(C240),FIND(" ",TRIM(C240)&amp;" ")-1),",","."),FIND("/",SUBSTITUTE(LEFT(TRIM(C240),FIND(" ",TRIM(C240)&amp;" ")-1),",","."))-1)/MID(SUBSTITUTE(LEFT(TRIM(C240),FIND(" ",TRIM(C240)&amp;" ")-1),",","."),FIND("/",SUBSTITUTE(LEFT(TRIM(C240),FIND(" ",TRIM(C240)&amp;" ")-1),",","."))+1,9))*12/52,IF(ISNUMBER(SEARCH("month",C240)),IFERROR(_xlfn.NUMBERVALUE(SUBSTITUTE(LEFT(TRIM(C240),FIND(" ",TRIM(C240)&amp;" ")-1),",","."),"."),LEFT(SUBSTITUTE(LEFT(TRIM(C240),FIND(" ",TRIM(C240)&amp;" ")-1),",","."),FIND("/",SUBSTITUTE(LEFT(TRIM(C240),FIND(" ",TRIM(C240)&amp;" ")-1),",","."))-1)/MID(SUBSTITUTE(LEFT(TRIM(C240),FIND(" ",TRIM(C240)&amp;" ")-1),",","."),FIND("/",SUBSTITUTE(LEFT(TRIM(C240),FIND(" ",TRIM(C240)&amp;" ")-1),",","."))+1,9)),IF(ISNUMBER(SEARCH("yea",C240)),IFERROR(_xlfn.NUMBERVALUE(SUBSTITUTE(LEFT(TRIM(C240),FIND(" ",TRIM(C240)&amp;" ")-1),",","."),"."),LEFT(SUBSTITUTE(LEFT(TRIM(C240),FIND(" ",TRIM(C240)&amp;" ")-1),",","."),FIND("/",SUBSTITUTE(LEFT(TRIM(C240),FIND(" ",TRIM(C240)&amp;" ")-1),",","."))-1)/MID(SUBSTITUTE(LEFT(TRIM(C240),FIND(" ",TRIM(C240)&amp;" ")-1),",","."),FIND("/",SUBSTITUTE(LEFT(TRIM(C240),FIND(" ",TRIM(C240)&amp;" ")-1),",","."))+1,9))*12,NA()))),0),36)*'Aturan &amp; Tarif'!$B$4,2)</f>
        <v>2044.08</v>
      </c>
      <c r="K240" s="32" t="n">
        <f aca="false">'Aturan &amp; Tarif'!$B$5</f>
        <v>2050</v>
      </c>
      <c r="L240" s="35" t="n">
        <f aca="false">I240+J240+K240</f>
        <v>31944.08</v>
      </c>
      <c r="M240" s="37" t="s">
        <v>1187</v>
      </c>
    </row>
    <row r="241" customFormat="false" ht="25.5" hidden="false" customHeight="true" outlineLevel="0" collapsed="false">
      <c r="A241" s="29"/>
      <c r="B241" s="30" t="s">
        <v>1418</v>
      </c>
      <c r="C241" s="31" t="s">
        <v>127</v>
      </c>
      <c r="D241" s="31" t="s">
        <v>108</v>
      </c>
      <c r="E241" s="32" t="n">
        <v>13850</v>
      </c>
      <c r="F241" s="32"/>
      <c r="G241" s="32" t="n">
        <v>150</v>
      </c>
      <c r="H241" s="33" t="n">
        <v>2</v>
      </c>
      <c r="I241" s="34" t="n">
        <f aca="false">E241*H241+N(F241)+N(G241)</f>
        <v>27850</v>
      </c>
      <c r="J241" s="32" t="n">
        <f aca="false">ROUND(IFERROR(ROUND(IF(OR(ISNUMBER(SEARCH("week",C241)),ISNUMBER(SEARCH("minggu",C241))),IFERROR(_xlfn.NUMBERVALUE(SUBSTITUTE(LEFT(TRIM(C241),FIND(" ",TRIM(C241)&amp;" ")-1),",","."),"."),LEFT(SUBSTITUTE(LEFT(TRIM(C241),FIND(" ",TRIM(C241)&amp;" ")-1),",","."),FIND("/",SUBSTITUTE(LEFT(TRIM(C241),FIND(" ",TRIM(C241)&amp;" ")-1),",","."))-1)/MID(SUBSTITUTE(LEFT(TRIM(C241),FIND(" ",TRIM(C241)&amp;" ")-1),",","."),FIND("/",SUBSTITUTE(LEFT(TRIM(C241),FIND(" ",TRIM(C241)&amp;" ")-1),",","."))+1,9))*12/52,IF(ISNUMBER(SEARCH("month",C241)),IFERROR(_xlfn.NUMBERVALUE(SUBSTITUTE(LEFT(TRIM(C241),FIND(" ",TRIM(C241)&amp;" ")-1),",","."),"."),LEFT(SUBSTITUTE(LEFT(TRIM(C241),FIND(" ",TRIM(C241)&amp;" ")-1),",","."),FIND("/",SUBSTITUTE(LEFT(TRIM(C241),FIND(" ",TRIM(C241)&amp;" ")-1),",","."))-1)/MID(SUBSTITUTE(LEFT(TRIM(C241),FIND(" ",TRIM(C241)&amp;" ")-1),",","."),FIND("/",SUBSTITUTE(LEFT(TRIM(C241),FIND(" ",TRIM(C241)&amp;" ")-1),",","."))+1,9)),IF(ISNUMBER(SEARCH("yea",C241)),IFERROR(_xlfn.NUMBERVALUE(SUBSTITUTE(LEFT(TRIM(C241),FIND(" ",TRIM(C241)&amp;" ")-1),",","."),"."),LEFT(SUBSTITUTE(LEFT(TRIM(C241),FIND(" ",TRIM(C241)&amp;" ")-1),",","."),FIND("/",SUBSTITUTE(LEFT(TRIM(C241),FIND(" ",TRIM(C241)&amp;" ")-1),",","."))-1)/MID(SUBSTITUTE(LEFT(TRIM(C241),FIND(" ",TRIM(C241)&amp;" ")-1),",","."),FIND("/",SUBSTITUTE(LEFT(TRIM(C241),FIND(" ",TRIM(C241)&amp;" ")-1),",","."))+1,9))*12,NA()))),0),36)*'Aturan &amp; Tarif'!$B$4,2)</f>
        <v>2044.08</v>
      </c>
      <c r="K241" s="32" t="n">
        <f aca="false">'Aturan &amp; Tarif'!$B$5</f>
        <v>2050</v>
      </c>
      <c r="L241" s="35" t="n">
        <f aca="false">I241+J241+K241</f>
        <v>31944.08</v>
      </c>
      <c r="M241" s="37" t="s">
        <v>1187</v>
      </c>
    </row>
    <row r="242" customFormat="false" ht="25.5" hidden="false" customHeight="true" outlineLevel="0" collapsed="false">
      <c r="A242" s="29"/>
      <c r="B242" s="30" t="s">
        <v>1419</v>
      </c>
      <c r="C242" s="31" t="s">
        <v>127</v>
      </c>
      <c r="D242" s="31" t="s">
        <v>108</v>
      </c>
      <c r="E242" s="32" t="n">
        <v>13850</v>
      </c>
      <c r="F242" s="32"/>
      <c r="G242" s="32" t="n">
        <v>150</v>
      </c>
      <c r="H242" s="33" t="n">
        <v>2</v>
      </c>
      <c r="I242" s="34" t="n">
        <f aca="false">E242*H242+N(F242)+N(G242)</f>
        <v>27850</v>
      </c>
      <c r="J242" s="32" t="n">
        <f aca="false">ROUND(IFERROR(ROUND(IF(OR(ISNUMBER(SEARCH("week",C242)),ISNUMBER(SEARCH("minggu",C242))),IFERROR(_xlfn.NUMBERVALUE(SUBSTITUTE(LEFT(TRIM(C242),FIND(" ",TRIM(C242)&amp;" ")-1),",","."),"."),LEFT(SUBSTITUTE(LEFT(TRIM(C242),FIND(" ",TRIM(C242)&amp;" ")-1),",","."),FIND("/",SUBSTITUTE(LEFT(TRIM(C242),FIND(" ",TRIM(C242)&amp;" ")-1),",","."))-1)/MID(SUBSTITUTE(LEFT(TRIM(C242),FIND(" ",TRIM(C242)&amp;" ")-1),",","."),FIND("/",SUBSTITUTE(LEFT(TRIM(C242),FIND(" ",TRIM(C242)&amp;" ")-1),",","."))+1,9))*12/52,IF(ISNUMBER(SEARCH("month",C242)),IFERROR(_xlfn.NUMBERVALUE(SUBSTITUTE(LEFT(TRIM(C242),FIND(" ",TRIM(C242)&amp;" ")-1),",","."),"."),LEFT(SUBSTITUTE(LEFT(TRIM(C242),FIND(" ",TRIM(C242)&amp;" ")-1),",","."),FIND("/",SUBSTITUTE(LEFT(TRIM(C242),FIND(" ",TRIM(C242)&amp;" ")-1),",","."))-1)/MID(SUBSTITUTE(LEFT(TRIM(C242),FIND(" ",TRIM(C242)&amp;" ")-1),",","."),FIND("/",SUBSTITUTE(LEFT(TRIM(C242),FIND(" ",TRIM(C242)&amp;" ")-1),",","."))+1,9)),IF(ISNUMBER(SEARCH("yea",C242)),IFERROR(_xlfn.NUMBERVALUE(SUBSTITUTE(LEFT(TRIM(C242),FIND(" ",TRIM(C242)&amp;" ")-1),",","."),"."),LEFT(SUBSTITUTE(LEFT(TRIM(C242),FIND(" ",TRIM(C242)&amp;" ")-1),",","."),FIND("/",SUBSTITUTE(LEFT(TRIM(C242),FIND(" ",TRIM(C242)&amp;" ")-1),",","."))-1)/MID(SUBSTITUTE(LEFT(TRIM(C242),FIND(" ",TRIM(C242)&amp;" ")-1),",","."),FIND("/",SUBSTITUTE(LEFT(TRIM(C242),FIND(" ",TRIM(C242)&amp;" ")-1),",","."))+1,9))*12,NA()))),0),36)*'Aturan &amp; Tarif'!$B$4,2)</f>
        <v>2044.08</v>
      </c>
      <c r="K242" s="32" t="n">
        <f aca="false">'Aturan &amp; Tarif'!$B$5</f>
        <v>2050</v>
      </c>
      <c r="L242" s="35" t="n">
        <f aca="false">I242+J242+K242</f>
        <v>31944.08</v>
      </c>
      <c r="M242" s="37" t="s">
        <v>1187</v>
      </c>
    </row>
    <row r="243" customFormat="false" ht="25.5" hidden="false" customHeight="true" outlineLevel="0" collapsed="false">
      <c r="A243" s="29"/>
      <c r="B243" s="30" t="s">
        <v>1420</v>
      </c>
      <c r="C243" s="31" t="s">
        <v>127</v>
      </c>
      <c r="D243" s="31" t="s">
        <v>108</v>
      </c>
      <c r="E243" s="32" t="n">
        <v>13850</v>
      </c>
      <c r="F243" s="32"/>
      <c r="G243" s="32" t="n">
        <v>150</v>
      </c>
      <c r="H243" s="33" t="n">
        <v>2</v>
      </c>
      <c r="I243" s="34" t="n">
        <f aca="false">E243*H243+N(F243)+N(G243)</f>
        <v>27850</v>
      </c>
      <c r="J243" s="32" t="n">
        <f aca="false">ROUND(IFERROR(ROUND(IF(OR(ISNUMBER(SEARCH("week",C243)),ISNUMBER(SEARCH("minggu",C243))),IFERROR(_xlfn.NUMBERVALUE(SUBSTITUTE(LEFT(TRIM(C243),FIND(" ",TRIM(C243)&amp;" ")-1),",","."),"."),LEFT(SUBSTITUTE(LEFT(TRIM(C243),FIND(" ",TRIM(C243)&amp;" ")-1),",","."),FIND("/",SUBSTITUTE(LEFT(TRIM(C243),FIND(" ",TRIM(C243)&amp;" ")-1),",","."))-1)/MID(SUBSTITUTE(LEFT(TRIM(C243),FIND(" ",TRIM(C243)&amp;" ")-1),",","."),FIND("/",SUBSTITUTE(LEFT(TRIM(C243),FIND(" ",TRIM(C243)&amp;" ")-1),",","."))+1,9))*12/52,IF(ISNUMBER(SEARCH("month",C243)),IFERROR(_xlfn.NUMBERVALUE(SUBSTITUTE(LEFT(TRIM(C243),FIND(" ",TRIM(C243)&amp;" ")-1),",","."),"."),LEFT(SUBSTITUTE(LEFT(TRIM(C243),FIND(" ",TRIM(C243)&amp;" ")-1),",","."),FIND("/",SUBSTITUTE(LEFT(TRIM(C243),FIND(" ",TRIM(C243)&amp;" ")-1),",","."))-1)/MID(SUBSTITUTE(LEFT(TRIM(C243),FIND(" ",TRIM(C243)&amp;" ")-1),",","."),FIND("/",SUBSTITUTE(LEFT(TRIM(C243),FIND(" ",TRIM(C243)&amp;" ")-1),",","."))+1,9)),IF(ISNUMBER(SEARCH("yea",C243)),IFERROR(_xlfn.NUMBERVALUE(SUBSTITUTE(LEFT(TRIM(C243),FIND(" ",TRIM(C243)&amp;" ")-1),",","."),"."),LEFT(SUBSTITUTE(LEFT(TRIM(C243),FIND(" ",TRIM(C243)&amp;" ")-1),",","."),FIND("/",SUBSTITUTE(LEFT(TRIM(C243),FIND(" ",TRIM(C243)&amp;" ")-1),",","."))-1)/MID(SUBSTITUTE(LEFT(TRIM(C243),FIND(" ",TRIM(C243)&amp;" ")-1),",","."),FIND("/",SUBSTITUTE(LEFT(TRIM(C243),FIND(" ",TRIM(C243)&amp;" ")-1),",","."))+1,9))*12,NA()))),0),36)*'Aturan &amp; Tarif'!$B$4,2)</f>
        <v>2044.08</v>
      </c>
      <c r="K243" s="32" t="n">
        <f aca="false">'Aturan &amp; Tarif'!$B$5</f>
        <v>2050</v>
      </c>
      <c r="L243" s="35" t="n">
        <f aca="false">I243+J243+K243</f>
        <v>31944.08</v>
      </c>
      <c r="M243" s="37" t="s">
        <v>1187</v>
      </c>
    </row>
    <row r="244" customFormat="false" ht="25.5" hidden="false" customHeight="true" outlineLevel="0" collapsed="false">
      <c r="A244" s="29"/>
      <c r="B244" s="30" t="s">
        <v>1421</v>
      </c>
      <c r="C244" s="31" t="s">
        <v>127</v>
      </c>
      <c r="D244" s="31" t="s">
        <v>108</v>
      </c>
      <c r="E244" s="32" t="n">
        <v>13850</v>
      </c>
      <c r="F244" s="32"/>
      <c r="G244" s="32" t="n">
        <v>150</v>
      </c>
      <c r="H244" s="33" t="n">
        <v>2</v>
      </c>
      <c r="I244" s="34" t="n">
        <f aca="false">E244*H244+N(F244)+N(G244)</f>
        <v>27850</v>
      </c>
      <c r="J244" s="32" t="n">
        <f aca="false">ROUND(IFERROR(ROUND(IF(OR(ISNUMBER(SEARCH("week",C244)),ISNUMBER(SEARCH("minggu",C244))),IFERROR(_xlfn.NUMBERVALUE(SUBSTITUTE(LEFT(TRIM(C244),FIND(" ",TRIM(C244)&amp;" ")-1),",","."),"."),LEFT(SUBSTITUTE(LEFT(TRIM(C244),FIND(" ",TRIM(C244)&amp;" ")-1),",","."),FIND("/",SUBSTITUTE(LEFT(TRIM(C244),FIND(" ",TRIM(C244)&amp;" ")-1),",","."))-1)/MID(SUBSTITUTE(LEFT(TRIM(C244),FIND(" ",TRIM(C244)&amp;" ")-1),",","."),FIND("/",SUBSTITUTE(LEFT(TRIM(C244),FIND(" ",TRIM(C244)&amp;" ")-1),",","."))+1,9))*12/52,IF(ISNUMBER(SEARCH("month",C244)),IFERROR(_xlfn.NUMBERVALUE(SUBSTITUTE(LEFT(TRIM(C244),FIND(" ",TRIM(C244)&amp;" ")-1),",","."),"."),LEFT(SUBSTITUTE(LEFT(TRIM(C244),FIND(" ",TRIM(C244)&amp;" ")-1),",","."),FIND("/",SUBSTITUTE(LEFT(TRIM(C244),FIND(" ",TRIM(C244)&amp;" ")-1),",","."))-1)/MID(SUBSTITUTE(LEFT(TRIM(C244),FIND(" ",TRIM(C244)&amp;" ")-1),",","."),FIND("/",SUBSTITUTE(LEFT(TRIM(C244),FIND(" ",TRIM(C244)&amp;" ")-1),",","."))+1,9)),IF(ISNUMBER(SEARCH("yea",C244)),IFERROR(_xlfn.NUMBERVALUE(SUBSTITUTE(LEFT(TRIM(C244),FIND(" ",TRIM(C244)&amp;" ")-1),",","."),"."),LEFT(SUBSTITUTE(LEFT(TRIM(C244),FIND(" ",TRIM(C244)&amp;" ")-1),",","."),FIND("/",SUBSTITUTE(LEFT(TRIM(C244),FIND(" ",TRIM(C244)&amp;" ")-1),",","."))-1)/MID(SUBSTITUTE(LEFT(TRIM(C244),FIND(" ",TRIM(C244)&amp;" ")-1),",","."),FIND("/",SUBSTITUTE(LEFT(TRIM(C244),FIND(" ",TRIM(C244)&amp;" ")-1),",","."))+1,9))*12,NA()))),0),36)*'Aturan &amp; Tarif'!$B$4,2)</f>
        <v>2044.08</v>
      </c>
      <c r="K244" s="32" t="n">
        <f aca="false">'Aturan &amp; Tarif'!$B$5</f>
        <v>2050</v>
      </c>
      <c r="L244" s="35" t="n">
        <f aca="false">I244+J244+K244</f>
        <v>31944.08</v>
      </c>
      <c r="M244" s="37" t="s">
        <v>1187</v>
      </c>
    </row>
    <row r="245" customFormat="false" ht="25.5" hidden="false" customHeight="true" outlineLevel="0" collapsed="false">
      <c r="A245" s="29"/>
      <c r="B245" s="30" t="s">
        <v>1422</v>
      </c>
      <c r="C245" s="31" t="s">
        <v>127</v>
      </c>
      <c r="D245" s="31" t="s">
        <v>108</v>
      </c>
      <c r="E245" s="32" t="n">
        <v>13850</v>
      </c>
      <c r="F245" s="32"/>
      <c r="G245" s="32" t="n">
        <v>150</v>
      </c>
      <c r="H245" s="33" t="n">
        <v>2</v>
      </c>
      <c r="I245" s="34" t="n">
        <f aca="false">E245*H245+N(F245)+N(G245)</f>
        <v>27850</v>
      </c>
      <c r="J245" s="32" t="n">
        <f aca="false">ROUND(IFERROR(ROUND(IF(OR(ISNUMBER(SEARCH("week",C245)),ISNUMBER(SEARCH("minggu",C245))),IFERROR(_xlfn.NUMBERVALUE(SUBSTITUTE(LEFT(TRIM(C245),FIND(" ",TRIM(C245)&amp;" ")-1),",","."),"."),LEFT(SUBSTITUTE(LEFT(TRIM(C245),FIND(" ",TRIM(C245)&amp;" ")-1),",","."),FIND("/",SUBSTITUTE(LEFT(TRIM(C245),FIND(" ",TRIM(C245)&amp;" ")-1),",","."))-1)/MID(SUBSTITUTE(LEFT(TRIM(C245),FIND(" ",TRIM(C245)&amp;" ")-1),",","."),FIND("/",SUBSTITUTE(LEFT(TRIM(C245),FIND(" ",TRIM(C245)&amp;" ")-1),",","."))+1,9))*12/52,IF(ISNUMBER(SEARCH("month",C245)),IFERROR(_xlfn.NUMBERVALUE(SUBSTITUTE(LEFT(TRIM(C245),FIND(" ",TRIM(C245)&amp;" ")-1),",","."),"."),LEFT(SUBSTITUTE(LEFT(TRIM(C245),FIND(" ",TRIM(C245)&amp;" ")-1),",","."),FIND("/",SUBSTITUTE(LEFT(TRIM(C245),FIND(" ",TRIM(C245)&amp;" ")-1),",","."))-1)/MID(SUBSTITUTE(LEFT(TRIM(C245),FIND(" ",TRIM(C245)&amp;" ")-1),",","."),FIND("/",SUBSTITUTE(LEFT(TRIM(C245),FIND(" ",TRIM(C245)&amp;" ")-1),",","."))+1,9)),IF(ISNUMBER(SEARCH("yea",C245)),IFERROR(_xlfn.NUMBERVALUE(SUBSTITUTE(LEFT(TRIM(C245),FIND(" ",TRIM(C245)&amp;" ")-1),",","."),"."),LEFT(SUBSTITUTE(LEFT(TRIM(C245),FIND(" ",TRIM(C245)&amp;" ")-1),",","."),FIND("/",SUBSTITUTE(LEFT(TRIM(C245),FIND(" ",TRIM(C245)&amp;" ")-1),",","."))-1)/MID(SUBSTITUTE(LEFT(TRIM(C245),FIND(" ",TRIM(C245)&amp;" ")-1),",","."),FIND("/",SUBSTITUTE(LEFT(TRIM(C245),FIND(" ",TRIM(C245)&amp;" ")-1),",","."))+1,9))*12,NA()))),0),36)*'Aturan &amp; Tarif'!$B$4,2)</f>
        <v>2044.08</v>
      </c>
      <c r="K245" s="32" t="n">
        <f aca="false">'Aturan &amp; Tarif'!$B$5</f>
        <v>2050</v>
      </c>
      <c r="L245" s="35" t="n">
        <f aca="false">I245+J245+K245</f>
        <v>31944.08</v>
      </c>
      <c r="M245" s="37" t="s">
        <v>1187</v>
      </c>
    </row>
    <row r="246" customFormat="false" ht="25.5" hidden="false" customHeight="true" outlineLevel="0" collapsed="false">
      <c r="A246" s="29"/>
      <c r="B246" s="30" t="s">
        <v>1423</v>
      </c>
      <c r="C246" s="31" t="s">
        <v>127</v>
      </c>
      <c r="D246" s="31" t="s">
        <v>108</v>
      </c>
      <c r="E246" s="32" t="n">
        <v>13850</v>
      </c>
      <c r="F246" s="32"/>
      <c r="G246" s="32" t="n">
        <v>150</v>
      </c>
      <c r="H246" s="33" t="n">
        <v>2</v>
      </c>
      <c r="I246" s="34" t="n">
        <f aca="false">E246*H246+N(F246)+N(G246)</f>
        <v>27850</v>
      </c>
      <c r="J246" s="32" t="n">
        <f aca="false">ROUND(IFERROR(ROUND(IF(OR(ISNUMBER(SEARCH("week",C246)),ISNUMBER(SEARCH("minggu",C246))),IFERROR(_xlfn.NUMBERVALUE(SUBSTITUTE(LEFT(TRIM(C246),FIND(" ",TRIM(C246)&amp;" ")-1),",","."),"."),LEFT(SUBSTITUTE(LEFT(TRIM(C246),FIND(" ",TRIM(C246)&amp;" ")-1),",","."),FIND("/",SUBSTITUTE(LEFT(TRIM(C246),FIND(" ",TRIM(C246)&amp;" ")-1),",","."))-1)/MID(SUBSTITUTE(LEFT(TRIM(C246),FIND(" ",TRIM(C246)&amp;" ")-1),",","."),FIND("/",SUBSTITUTE(LEFT(TRIM(C246),FIND(" ",TRIM(C246)&amp;" ")-1),",","."))+1,9))*12/52,IF(ISNUMBER(SEARCH("month",C246)),IFERROR(_xlfn.NUMBERVALUE(SUBSTITUTE(LEFT(TRIM(C246),FIND(" ",TRIM(C246)&amp;" ")-1),",","."),"."),LEFT(SUBSTITUTE(LEFT(TRIM(C246),FIND(" ",TRIM(C246)&amp;" ")-1),",","."),FIND("/",SUBSTITUTE(LEFT(TRIM(C246),FIND(" ",TRIM(C246)&amp;" ")-1),",","."))-1)/MID(SUBSTITUTE(LEFT(TRIM(C246),FIND(" ",TRIM(C246)&amp;" ")-1),",","."),FIND("/",SUBSTITUTE(LEFT(TRIM(C246),FIND(" ",TRIM(C246)&amp;" ")-1),",","."))+1,9)),IF(ISNUMBER(SEARCH("yea",C246)),IFERROR(_xlfn.NUMBERVALUE(SUBSTITUTE(LEFT(TRIM(C246),FIND(" ",TRIM(C246)&amp;" ")-1),",","."),"."),LEFT(SUBSTITUTE(LEFT(TRIM(C246),FIND(" ",TRIM(C246)&amp;" ")-1),",","."),FIND("/",SUBSTITUTE(LEFT(TRIM(C246),FIND(" ",TRIM(C246)&amp;" ")-1),",","."))-1)/MID(SUBSTITUTE(LEFT(TRIM(C246),FIND(" ",TRIM(C246)&amp;" ")-1),",","."),FIND("/",SUBSTITUTE(LEFT(TRIM(C246),FIND(" ",TRIM(C246)&amp;" ")-1),",","."))+1,9))*12,NA()))),0),36)*'Aturan &amp; Tarif'!$B$4,2)</f>
        <v>2044.08</v>
      </c>
      <c r="K246" s="32" t="n">
        <f aca="false">'Aturan &amp; Tarif'!$B$5</f>
        <v>2050</v>
      </c>
      <c r="L246" s="35" t="n">
        <f aca="false">I246+J246+K246</f>
        <v>31944.08</v>
      </c>
      <c r="M246" s="37" t="s">
        <v>1187</v>
      </c>
    </row>
    <row r="247" customFormat="false" ht="25.5" hidden="false" customHeight="true" outlineLevel="0" collapsed="false">
      <c r="A247" s="29"/>
      <c r="B247" s="30" t="s">
        <v>1424</v>
      </c>
      <c r="C247" s="31" t="s">
        <v>127</v>
      </c>
      <c r="D247" s="31" t="s">
        <v>108</v>
      </c>
      <c r="E247" s="32" t="n">
        <v>13850</v>
      </c>
      <c r="F247" s="32"/>
      <c r="G247" s="32" t="n">
        <v>150</v>
      </c>
      <c r="H247" s="33" t="n">
        <v>2</v>
      </c>
      <c r="I247" s="34" t="n">
        <f aca="false">E247*H247+N(F247)+N(G247)</f>
        <v>27850</v>
      </c>
      <c r="J247" s="32" t="n">
        <f aca="false">ROUND(IFERROR(ROUND(IF(OR(ISNUMBER(SEARCH("week",C247)),ISNUMBER(SEARCH("minggu",C247))),IFERROR(_xlfn.NUMBERVALUE(SUBSTITUTE(LEFT(TRIM(C247),FIND(" ",TRIM(C247)&amp;" ")-1),",","."),"."),LEFT(SUBSTITUTE(LEFT(TRIM(C247),FIND(" ",TRIM(C247)&amp;" ")-1),",","."),FIND("/",SUBSTITUTE(LEFT(TRIM(C247),FIND(" ",TRIM(C247)&amp;" ")-1),",","."))-1)/MID(SUBSTITUTE(LEFT(TRIM(C247),FIND(" ",TRIM(C247)&amp;" ")-1),",","."),FIND("/",SUBSTITUTE(LEFT(TRIM(C247),FIND(" ",TRIM(C247)&amp;" ")-1),",","."))+1,9))*12/52,IF(ISNUMBER(SEARCH("month",C247)),IFERROR(_xlfn.NUMBERVALUE(SUBSTITUTE(LEFT(TRIM(C247),FIND(" ",TRIM(C247)&amp;" ")-1),",","."),"."),LEFT(SUBSTITUTE(LEFT(TRIM(C247),FIND(" ",TRIM(C247)&amp;" ")-1),",","."),FIND("/",SUBSTITUTE(LEFT(TRIM(C247),FIND(" ",TRIM(C247)&amp;" ")-1),",","."))-1)/MID(SUBSTITUTE(LEFT(TRIM(C247),FIND(" ",TRIM(C247)&amp;" ")-1),",","."),FIND("/",SUBSTITUTE(LEFT(TRIM(C247),FIND(" ",TRIM(C247)&amp;" ")-1),",","."))+1,9)),IF(ISNUMBER(SEARCH("yea",C247)),IFERROR(_xlfn.NUMBERVALUE(SUBSTITUTE(LEFT(TRIM(C247),FIND(" ",TRIM(C247)&amp;" ")-1),",","."),"."),LEFT(SUBSTITUTE(LEFT(TRIM(C247),FIND(" ",TRIM(C247)&amp;" ")-1),",","."),FIND("/",SUBSTITUTE(LEFT(TRIM(C247),FIND(" ",TRIM(C247)&amp;" ")-1),",","."))-1)/MID(SUBSTITUTE(LEFT(TRIM(C247),FIND(" ",TRIM(C247)&amp;" ")-1),",","."),FIND("/",SUBSTITUTE(LEFT(TRIM(C247),FIND(" ",TRIM(C247)&amp;" ")-1),",","."))+1,9))*12,NA()))),0),36)*'Aturan &amp; Tarif'!$B$4,2)</f>
        <v>2044.08</v>
      </c>
      <c r="K247" s="32" t="n">
        <f aca="false">'Aturan &amp; Tarif'!$B$5</f>
        <v>2050</v>
      </c>
      <c r="L247" s="35" t="n">
        <f aca="false">I247+J247+K247</f>
        <v>31944.08</v>
      </c>
      <c r="M247" s="37" t="s">
        <v>1187</v>
      </c>
    </row>
    <row r="248" customFormat="false" ht="25.5" hidden="false" customHeight="true" outlineLevel="0" collapsed="false">
      <c r="A248" s="29"/>
      <c r="B248" s="30" t="s">
        <v>1425</v>
      </c>
      <c r="C248" s="31" t="s">
        <v>127</v>
      </c>
      <c r="D248" s="31" t="s">
        <v>108</v>
      </c>
      <c r="E248" s="32" t="n">
        <v>13850</v>
      </c>
      <c r="F248" s="32"/>
      <c r="G248" s="32" t="n">
        <v>150</v>
      </c>
      <c r="H248" s="33" t="n">
        <v>2</v>
      </c>
      <c r="I248" s="34" t="n">
        <f aca="false">E248*H248+N(F248)+N(G248)</f>
        <v>27850</v>
      </c>
      <c r="J248" s="32" t="n">
        <f aca="false">ROUND(IFERROR(ROUND(IF(OR(ISNUMBER(SEARCH("week",C248)),ISNUMBER(SEARCH("minggu",C248))),IFERROR(_xlfn.NUMBERVALUE(SUBSTITUTE(LEFT(TRIM(C248),FIND(" ",TRIM(C248)&amp;" ")-1),",","."),"."),LEFT(SUBSTITUTE(LEFT(TRIM(C248),FIND(" ",TRIM(C248)&amp;" ")-1),",","."),FIND("/",SUBSTITUTE(LEFT(TRIM(C248),FIND(" ",TRIM(C248)&amp;" ")-1),",","."))-1)/MID(SUBSTITUTE(LEFT(TRIM(C248),FIND(" ",TRIM(C248)&amp;" ")-1),",","."),FIND("/",SUBSTITUTE(LEFT(TRIM(C248),FIND(" ",TRIM(C248)&amp;" ")-1),",","."))+1,9))*12/52,IF(ISNUMBER(SEARCH("month",C248)),IFERROR(_xlfn.NUMBERVALUE(SUBSTITUTE(LEFT(TRIM(C248),FIND(" ",TRIM(C248)&amp;" ")-1),",","."),"."),LEFT(SUBSTITUTE(LEFT(TRIM(C248),FIND(" ",TRIM(C248)&amp;" ")-1),",","."),FIND("/",SUBSTITUTE(LEFT(TRIM(C248),FIND(" ",TRIM(C248)&amp;" ")-1),",","."))-1)/MID(SUBSTITUTE(LEFT(TRIM(C248),FIND(" ",TRIM(C248)&amp;" ")-1),",","."),FIND("/",SUBSTITUTE(LEFT(TRIM(C248),FIND(" ",TRIM(C248)&amp;" ")-1),",","."))+1,9)),IF(ISNUMBER(SEARCH("yea",C248)),IFERROR(_xlfn.NUMBERVALUE(SUBSTITUTE(LEFT(TRIM(C248),FIND(" ",TRIM(C248)&amp;" ")-1),",","."),"."),LEFT(SUBSTITUTE(LEFT(TRIM(C248),FIND(" ",TRIM(C248)&amp;" ")-1),",","."),FIND("/",SUBSTITUTE(LEFT(TRIM(C248),FIND(" ",TRIM(C248)&amp;" ")-1),",","."))-1)/MID(SUBSTITUTE(LEFT(TRIM(C248),FIND(" ",TRIM(C248)&amp;" ")-1),",","."),FIND("/",SUBSTITUTE(LEFT(TRIM(C248),FIND(" ",TRIM(C248)&amp;" ")-1),",","."))+1,9))*12,NA()))),0),36)*'Aturan &amp; Tarif'!$B$4,2)</f>
        <v>2044.08</v>
      </c>
      <c r="K248" s="32" t="n">
        <f aca="false">'Aturan &amp; Tarif'!$B$5</f>
        <v>2050</v>
      </c>
      <c r="L248" s="35" t="n">
        <f aca="false">I248+J248+K248</f>
        <v>31944.08</v>
      </c>
      <c r="M248" s="37" t="s">
        <v>1187</v>
      </c>
    </row>
    <row r="249" customFormat="false" ht="25.5" hidden="false" customHeight="true" outlineLevel="0" collapsed="false">
      <c r="A249" s="29"/>
      <c r="B249" s="30" t="s">
        <v>1426</v>
      </c>
      <c r="C249" s="31" t="s">
        <v>127</v>
      </c>
      <c r="D249" s="31" t="s">
        <v>108</v>
      </c>
      <c r="E249" s="32" t="n">
        <v>13850</v>
      </c>
      <c r="F249" s="32"/>
      <c r="G249" s="32" t="n">
        <v>150</v>
      </c>
      <c r="H249" s="33" t="n">
        <v>2</v>
      </c>
      <c r="I249" s="34" t="n">
        <f aca="false">E249*H249+N(F249)+N(G249)</f>
        <v>27850</v>
      </c>
      <c r="J249" s="32" t="n">
        <f aca="false">ROUND(IFERROR(ROUND(IF(OR(ISNUMBER(SEARCH("week",C249)),ISNUMBER(SEARCH("minggu",C249))),IFERROR(_xlfn.NUMBERVALUE(SUBSTITUTE(LEFT(TRIM(C249),FIND(" ",TRIM(C249)&amp;" ")-1),",","."),"."),LEFT(SUBSTITUTE(LEFT(TRIM(C249),FIND(" ",TRIM(C249)&amp;" ")-1),",","."),FIND("/",SUBSTITUTE(LEFT(TRIM(C249),FIND(" ",TRIM(C249)&amp;" ")-1),",","."))-1)/MID(SUBSTITUTE(LEFT(TRIM(C249),FIND(" ",TRIM(C249)&amp;" ")-1),",","."),FIND("/",SUBSTITUTE(LEFT(TRIM(C249),FIND(" ",TRIM(C249)&amp;" ")-1),",","."))+1,9))*12/52,IF(ISNUMBER(SEARCH("month",C249)),IFERROR(_xlfn.NUMBERVALUE(SUBSTITUTE(LEFT(TRIM(C249),FIND(" ",TRIM(C249)&amp;" ")-1),",","."),"."),LEFT(SUBSTITUTE(LEFT(TRIM(C249),FIND(" ",TRIM(C249)&amp;" ")-1),",","."),FIND("/",SUBSTITUTE(LEFT(TRIM(C249),FIND(" ",TRIM(C249)&amp;" ")-1),",","."))-1)/MID(SUBSTITUTE(LEFT(TRIM(C249),FIND(" ",TRIM(C249)&amp;" ")-1),",","."),FIND("/",SUBSTITUTE(LEFT(TRIM(C249),FIND(" ",TRIM(C249)&amp;" ")-1),",","."))+1,9)),IF(ISNUMBER(SEARCH("yea",C249)),IFERROR(_xlfn.NUMBERVALUE(SUBSTITUTE(LEFT(TRIM(C249),FIND(" ",TRIM(C249)&amp;" ")-1),",","."),"."),LEFT(SUBSTITUTE(LEFT(TRIM(C249),FIND(" ",TRIM(C249)&amp;" ")-1),",","."),FIND("/",SUBSTITUTE(LEFT(TRIM(C249),FIND(" ",TRIM(C249)&amp;" ")-1),",","."))-1)/MID(SUBSTITUTE(LEFT(TRIM(C249),FIND(" ",TRIM(C249)&amp;" ")-1),",","."),FIND("/",SUBSTITUTE(LEFT(TRIM(C249),FIND(" ",TRIM(C249)&amp;" ")-1),",","."))+1,9))*12,NA()))),0),36)*'Aturan &amp; Tarif'!$B$4,2)</f>
        <v>2044.08</v>
      </c>
      <c r="K249" s="32" t="n">
        <f aca="false">'Aturan &amp; Tarif'!$B$5</f>
        <v>2050</v>
      </c>
      <c r="L249" s="35" t="n">
        <f aca="false">I249+J249+K249</f>
        <v>31944.08</v>
      </c>
      <c r="M249" s="37" t="s">
        <v>1187</v>
      </c>
    </row>
    <row r="250" customFormat="false" ht="25.5" hidden="false" customHeight="true" outlineLevel="0" collapsed="false">
      <c r="A250" s="29"/>
      <c r="B250" s="30" t="s">
        <v>1427</v>
      </c>
      <c r="C250" s="31" t="s">
        <v>127</v>
      </c>
      <c r="D250" s="31" t="s">
        <v>108</v>
      </c>
      <c r="E250" s="32" t="n">
        <v>13850</v>
      </c>
      <c r="F250" s="32"/>
      <c r="G250" s="32" t="n">
        <v>150</v>
      </c>
      <c r="H250" s="33" t="n">
        <v>2</v>
      </c>
      <c r="I250" s="34" t="n">
        <f aca="false">E250*H250+N(F250)+N(G250)</f>
        <v>27850</v>
      </c>
      <c r="J250" s="32" t="n">
        <f aca="false">ROUND(IFERROR(ROUND(IF(OR(ISNUMBER(SEARCH("week",C250)),ISNUMBER(SEARCH("minggu",C250))),IFERROR(_xlfn.NUMBERVALUE(SUBSTITUTE(LEFT(TRIM(C250),FIND(" ",TRIM(C250)&amp;" ")-1),",","."),"."),LEFT(SUBSTITUTE(LEFT(TRIM(C250),FIND(" ",TRIM(C250)&amp;" ")-1),",","."),FIND("/",SUBSTITUTE(LEFT(TRIM(C250),FIND(" ",TRIM(C250)&amp;" ")-1),",","."))-1)/MID(SUBSTITUTE(LEFT(TRIM(C250),FIND(" ",TRIM(C250)&amp;" ")-1),",","."),FIND("/",SUBSTITUTE(LEFT(TRIM(C250),FIND(" ",TRIM(C250)&amp;" ")-1),",","."))+1,9))*12/52,IF(ISNUMBER(SEARCH("month",C250)),IFERROR(_xlfn.NUMBERVALUE(SUBSTITUTE(LEFT(TRIM(C250),FIND(" ",TRIM(C250)&amp;" ")-1),",","."),"."),LEFT(SUBSTITUTE(LEFT(TRIM(C250),FIND(" ",TRIM(C250)&amp;" ")-1),",","."),FIND("/",SUBSTITUTE(LEFT(TRIM(C250),FIND(" ",TRIM(C250)&amp;" ")-1),",","."))-1)/MID(SUBSTITUTE(LEFT(TRIM(C250),FIND(" ",TRIM(C250)&amp;" ")-1),",","."),FIND("/",SUBSTITUTE(LEFT(TRIM(C250),FIND(" ",TRIM(C250)&amp;" ")-1),",","."))+1,9)),IF(ISNUMBER(SEARCH("yea",C250)),IFERROR(_xlfn.NUMBERVALUE(SUBSTITUTE(LEFT(TRIM(C250),FIND(" ",TRIM(C250)&amp;" ")-1),",","."),"."),LEFT(SUBSTITUTE(LEFT(TRIM(C250),FIND(" ",TRIM(C250)&amp;" ")-1),",","."),FIND("/",SUBSTITUTE(LEFT(TRIM(C250),FIND(" ",TRIM(C250)&amp;" ")-1),",","."))-1)/MID(SUBSTITUTE(LEFT(TRIM(C250),FIND(" ",TRIM(C250)&amp;" ")-1),",","."),FIND("/",SUBSTITUTE(LEFT(TRIM(C250),FIND(" ",TRIM(C250)&amp;" ")-1),",","."))+1,9))*12,NA()))),0),36)*'Aturan &amp; Tarif'!$B$4,2)</f>
        <v>2044.08</v>
      </c>
      <c r="K250" s="32" t="n">
        <f aca="false">'Aturan &amp; Tarif'!$B$5</f>
        <v>2050</v>
      </c>
      <c r="L250" s="35" t="n">
        <f aca="false">I250+J250+K250</f>
        <v>31944.08</v>
      </c>
      <c r="M250" s="37" t="s">
        <v>1187</v>
      </c>
    </row>
    <row r="251" customFormat="false" ht="25.5" hidden="false" customHeight="true" outlineLevel="0" collapsed="false">
      <c r="A251" s="29"/>
      <c r="B251" s="30" t="s">
        <v>1428</v>
      </c>
      <c r="C251" s="31" t="s">
        <v>127</v>
      </c>
      <c r="D251" s="31" t="s">
        <v>108</v>
      </c>
      <c r="E251" s="32" t="n">
        <v>13850</v>
      </c>
      <c r="F251" s="32"/>
      <c r="G251" s="32" t="n">
        <v>150</v>
      </c>
      <c r="H251" s="33" t="n">
        <v>2</v>
      </c>
      <c r="I251" s="34" t="n">
        <f aca="false">E251*H251+N(F251)+N(G251)</f>
        <v>27850</v>
      </c>
      <c r="J251" s="32" t="n">
        <f aca="false">ROUND(IFERROR(ROUND(IF(OR(ISNUMBER(SEARCH("week",C251)),ISNUMBER(SEARCH("minggu",C251))),IFERROR(_xlfn.NUMBERVALUE(SUBSTITUTE(LEFT(TRIM(C251),FIND(" ",TRIM(C251)&amp;" ")-1),",","."),"."),LEFT(SUBSTITUTE(LEFT(TRIM(C251),FIND(" ",TRIM(C251)&amp;" ")-1),",","."),FIND("/",SUBSTITUTE(LEFT(TRIM(C251),FIND(" ",TRIM(C251)&amp;" ")-1),",","."))-1)/MID(SUBSTITUTE(LEFT(TRIM(C251),FIND(" ",TRIM(C251)&amp;" ")-1),",","."),FIND("/",SUBSTITUTE(LEFT(TRIM(C251),FIND(" ",TRIM(C251)&amp;" ")-1),",","."))+1,9))*12/52,IF(ISNUMBER(SEARCH("month",C251)),IFERROR(_xlfn.NUMBERVALUE(SUBSTITUTE(LEFT(TRIM(C251),FIND(" ",TRIM(C251)&amp;" ")-1),",","."),"."),LEFT(SUBSTITUTE(LEFT(TRIM(C251),FIND(" ",TRIM(C251)&amp;" ")-1),",","."),FIND("/",SUBSTITUTE(LEFT(TRIM(C251),FIND(" ",TRIM(C251)&amp;" ")-1),",","."))-1)/MID(SUBSTITUTE(LEFT(TRIM(C251),FIND(" ",TRIM(C251)&amp;" ")-1),",","."),FIND("/",SUBSTITUTE(LEFT(TRIM(C251),FIND(" ",TRIM(C251)&amp;" ")-1),",","."))+1,9)),IF(ISNUMBER(SEARCH("yea",C251)),IFERROR(_xlfn.NUMBERVALUE(SUBSTITUTE(LEFT(TRIM(C251),FIND(" ",TRIM(C251)&amp;" ")-1),",","."),"."),LEFT(SUBSTITUTE(LEFT(TRIM(C251),FIND(" ",TRIM(C251)&amp;" ")-1),",","."),FIND("/",SUBSTITUTE(LEFT(TRIM(C251),FIND(" ",TRIM(C251)&amp;" ")-1),",","."))-1)/MID(SUBSTITUTE(LEFT(TRIM(C251),FIND(" ",TRIM(C251)&amp;" ")-1),",","."),FIND("/",SUBSTITUTE(LEFT(TRIM(C251),FIND(" ",TRIM(C251)&amp;" ")-1),",","."))+1,9))*12,NA()))),0),36)*'Aturan &amp; Tarif'!$B$4,2)</f>
        <v>2044.08</v>
      </c>
      <c r="K251" s="32" t="n">
        <f aca="false">'Aturan &amp; Tarif'!$B$5</f>
        <v>2050</v>
      </c>
      <c r="L251" s="35" t="n">
        <f aca="false">I251+J251+K251</f>
        <v>31944.08</v>
      </c>
      <c r="M251" s="37" t="s">
        <v>1187</v>
      </c>
    </row>
    <row r="252" customFormat="false" ht="25.5" hidden="false" customHeight="true" outlineLevel="0" collapsed="false">
      <c r="A252" s="29"/>
      <c r="B252" s="30" t="s">
        <v>1429</v>
      </c>
      <c r="C252" s="31" t="s">
        <v>127</v>
      </c>
      <c r="D252" s="31" t="s">
        <v>108</v>
      </c>
      <c r="E252" s="32" t="n">
        <v>13850</v>
      </c>
      <c r="F252" s="32"/>
      <c r="G252" s="32" t="n">
        <v>150</v>
      </c>
      <c r="H252" s="33" t="n">
        <v>2</v>
      </c>
      <c r="I252" s="34" t="n">
        <f aca="false">E252*H252+N(F252)+N(G252)</f>
        <v>27850</v>
      </c>
      <c r="J252" s="32" t="n">
        <f aca="false">ROUND(IFERROR(ROUND(IF(OR(ISNUMBER(SEARCH("week",C252)),ISNUMBER(SEARCH("minggu",C252))),IFERROR(_xlfn.NUMBERVALUE(SUBSTITUTE(LEFT(TRIM(C252),FIND(" ",TRIM(C252)&amp;" ")-1),",","."),"."),LEFT(SUBSTITUTE(LEFT(TRIM(C252),FIND(" ",TRIM(C252)&amp;" ")-1),",","."),FIND("/",SUBSTITUTE(LEFT(TRIM(C252),FIND(" ",TRIM(C252)&amp;" ")-1),",","."))-1)/MID(SUBSTITUTE(LEFT(TRIM(C252),FIND(" ",TRIM(C252)&amp;" ")-1),",","."),FIND("/",SUBSTITUTE(LEFT(TRIM(C252),FIND(" ",TRIM(C252)&amp;" ")-1),",","."))+1,9))*12/52,IF(ISNUMBER(SEARCH("month",C252)),IFERROR(_xlfn.NUMBERVALUE(SUBSTITUTE(LEFT(TRIM(C252),FIND(" ",TRIM(C252)&amp;" ")-1),",","."),"."),LEFT(SUBSTITUTE(LEFT(TRIM(C252),FIND(" ",TRIM(C252)&amp;" ")-1),",","."),FIND("/",SUBSTITUTE(LEFT(TRIM(C252),FIND(" ",TRIM(C252)&amp;" ")-1),",","."))-1)/MID(SUBSTITUTE(LEFT(TRIM(C252),FIND(" ",TRIM(C252)&amp;" ")-1),",","."),FIND("/",SUBSTITUTE(LEFT(TRIM(C252),FIND(" ",TRIM(C252)&amp;" ")-1),",","."))+1,9)),IF(ISNUMBER(SEARCH("yea",C252)),IFERROR(_xlfn.NUMBERVALUE(SUBSTITUTE(LEFT(TRIM(C252),FIND(" ",TRIM(C252)&amp;" ")-1),",","."),"."),LEFT(SUBSTITUTE(LEFT(TRIM(C252),FIND(" ",TRIM(C252)&amp;" ")-1),",","."),FIND("/",SUBSTITUTE(LEFT(TRIM(C252),FIND(" ",TRIM(C252)&amp;" ")-1),",","."))-1)/MID(SUBSTITUTE(LEFT(TRIM(C252),FIND(" ",TRIM(C252)&amp;" ")-1),",","."),FIND("/",SUBSTITUTE(LEFT(TRIM(C252),FIND(" ",TRIM(C252)&amp;" ")-1),",","."))+1,9))*12,NA()))),0),36)*'Aturan &amp; Tarif'!$B$4,2)</f>
        <v>2044.08</v>
      </c>
      <c r="K252" s="32" t="n">
        <f aca="false">'Aturan &amp; Tarif'!$B$5</f>
        <v>2050</v>
      </c>
      <c r="L252" s="35" t="n">
        <f aca="false">I252+J252+K252</f>
        <v>31944.08</v>
      </c>
      <c r="M252" s="37" t="s">
        <v>1187</v>
      </c>
    </row>
    <row r="253" customFormat="false" ht="25.5" hidden="false" customHeight="true" outlineLevel="0" collapsed="false">
      <c r="A253" s="29"/>
      <c r="B253" s="30" t="s">
        <v>1430</v>
      </c>
      <c r="C253" s="31" t="s">
        <v>127</v>
      </c>
      <c r="D253" s="31" t="s">
        <v>108</v>
      </c>
      <c r="E253" s="32" t="n">
        <v>13850</v>
      </c>
      <c r="F253" s="32"/>
      <c r="G253" s="32" t="n">
        <v>150</v>
      </c>
      <c r="H253" s="33" t="n">
        <v>2</v>
      </c>
      <c r="I253" s="34" t="n">
        <f aca="false">E253*H253+N(F253)+N(G253)</f>
        <v>27850</v>
      </c>
      <c r="J253" s="32" t="n">
        <f aca="false">ROUND(IFERROR(ROUND(IF(OR(ISNUMBER(SEARCH("week",C253)),ISNUMBER(SEARCH("minggu",C253))),IFERROR(_xlfn.NUMBERVALUE(SUBSTITUTE(LEFT(TRIM(C253),FIND(" ",TRIM(C253)&amp;" ")-1),",","."),"."),LEFT(SUBSTITUTE(LEFT(TRIM(C253),FIND(" ",TRIM(C253)&amp;" ")-1),",","."),FIND("/",SUBSTITUTE(LEFT(TRIM(C253),FIND(" ",TRIM(C253)&amp;" ")-1),",","."))-1)/MID(SUBSTITUTE(LEFT(TRIM(C253),FIND(" ",TRIM(C253)&amp;" ")-1),",","."),FIND("/",SUBSTITUTE(LEFT(TRIM(C253),FIND(" ",TRIM(C253)&amp;" ")-1),",","."))+1,9))*12/52,IF(ISNUMBER(SEARCH("month",C253)),IFERROR(_xlfn.NUMBERVALUE(SUBSTITUTE(LEFT(TRIM(C253),FIND(" ",TRIM(C253)&amp;" ")-1),",","."),"."),LEFT(SUBSTITUTE(LEFT(TRIM(C253),FIND(" ",TRIM(C253)&amp;" ")-1),",","."),FIND("/",SUBSTITUTE(LEFT(TRIM(C253),FIND(" ",TRIM(C253)&amp;" ")-1),",","."))-1)/MID(SUBSTITUTE(LEFT(TRIM(C253),FIND(" ",TRIM(C253)&amp;" ")-1),",","."),FIND("/",SUBSTITUTE(LEFT(TRIM(C253),FIND(" ",TRIM(C253)&amp;" ")-1),",","."))+1,9)),IF(ISNUMBER(SEARCH("yea",C253)),IFERROR(_xlfn.NUMBERVALUE(SUBSTITUTE(LEFT(TRIM(C253),FIND(" ",TRIM(C253)&amp;" ")-1),",","."),"."),LEFT(SUBSTITUTE(LEFT(TRIM(C253),FIND(" ",TRIM(C253)&amp;" ")-1),",","."),FIND("/",SUBSTITUTE(LEFT(TRIM(C253),FIND(" ",TRIM(C253)&amp;" ")-1),",","."))-1)/MID(SUBSTITUTE(LEFT(TRIM(C253),FIND(" ",TRIM(C253)&amp;" ")-1),",","."),FIND("/",SUBSTITUTE(LEFT(TRIM(C253),FIND(" ",TRIM(C253)&amp;" ")-1),",","."))+1,9))*12,NA()))),0),36)*'Aturan &amp; Tarif'!$B$4,2)</f>
        <v>2044.08</v>
      </c>
      <c r="K253" s="32" t="n">
        <f aca="false">'Aturan &amp; Tarif'!$B$5</f>
        <v>2050</v>
      </c>
      <c r="L253" s="35" t="n">
        <f aca="false">I253+J253+K253</f>
        <v>31944.08</v>
      </c>
      <c r="M253" s="37" t="s">
        <v>1187</v>
      </c>
    </row>
    <row r="254" customFormat="false" ht="14.25" hidden="false" customHeight="true" outlineLevel="0" collapsed="false">
      <c r="A254" s="29"/>
      <c r="B254" s="30" t="s">
        <v>1431</v>
      </c>
      <c r="C254" s="31" t="s">
        <v>191</v>
      </c>
      <c r="D254" s="31" t="s">
        <v>108</v>
      </c>
      <c r="E254" s="32" t="n">
        <v>13850</v>
      </c>
      <c r="F254" s="32"/>
      <c r="G254" s="32" t="n">
        <v>150</v>
      </c>
      <c r="H254" s="33" t="n">
        <v>2</v>
      </c>
      <c r="I254" s="34" t="n">
        <f aca="false">E254*H254+N(F254)+N(G254)</f>
        <v>27850</v>
      </c>
      <c r="J254" s="32" t="n">
        <f aca="false">ROUND(IFERROR(ROUND(IF(OR(ISNUMBER(SEARCH("week",C254)),ISNUMBER(SEARCH("minggu",C254))),IFERROR(_xlfn.NUMBERVALUE(SUBSTITUTE(LEFT(TRIM(C254),FIND(" ",TRIM(C254)&amp;" ")-1),",","."),"."),LEFT(SUBSTITUTE(LEFT(TRIM(C254),FIND(" ",TRIM(C254)&amp;" ")-1),",","."),FIND("/",SUBSTITUTE(LEFT(TRIM(C254),FIND(" ",TRIM(C254)&amp;" ")-1),",","."))-1)/MID(SUBSTITUTE(LEFT(TRIM(C254),FIND(" ",TRIM(C254)&amp;" ")-1),",","."),FIND("/",SUBSTITUTE(LEFT(TRIM(C254),FIND(" ",TRIM(C254)&amp;" ")-1),",","."))+1,9))*12/52,IF(ISNUMBER(SEARCH("month",C254)),IFERROR(_xlfn.NUMBERVALUE(SUBSTITUTE(LEFT(TRIM(C254),FIND(" ",TRIM(C254)&amp;" ")-1),",","."),"."),LEFT(SUBSTITUTE(LEFT(TRIM(C254),FIND(" ",TRIM(C254)&amp;" ")-1),",","."),FIND("/",SUBSTITUTE(LEFT(TRIM(C254),FIND(" ",TRIM(C254)&amp;" ")-1),",","."))-1)/MID(SUBSTITUTE(LEFT(TRIM(C254),FIND(" ",TRIM(C254)&amp;" ")-1),",","."),FIND("/",SUBSTITUTE(LEFT(TRIM(C254),FIND(" ",TRIM(C254)&amp;" ")-1),",","."))+1,9)),IF(ISNUMBER(SEARCH("yea",C254)),IFERROR(_xlfn.NUMBERVALUE(SUBSTITUTE(LEFT(TRIM(C254),FIND(" ",TRIM(C254)&amp;" ")-1),",","."),"."),LEFT(SUBSTITUTE(LEFT(TRIM(C254),FIND(" ",TRIM(C254)&amp;" ")-1),",","."),FIND("/",SUBSTITUTE(LEFT(TRIM(C254),FIND(" ",TRIM(C254)&amp;" ")-1),",","."))-1)/MID(SUBSTITUTE(LEFT(TRIM(C254),FIND(" ",TRIM(C254)&amp;" ")-1),",","."),FIND("/",SUBSTITUTE(LEFT(TRIM(C254),FIND(" ",TRIM(C254)&amp;" ")-1),",","."))+1,9))*12,NA()))),0),48)*'Aturan &amp; Tarif'!$B$4,2)</f>
        <v>2725.44</v>
      </c>
      <c r="K254" s="32" t="n">
        <f aca="false">'Aturan &amp; Tarif'!$B$5</f>
        <v>2050</v>
      </c>
      <c r="L254" s="35" t="n">
        <f aca="false">I254+J254+K254</f>
        <v>32625.44</v>
      </c>
      <c r="M254" s="37" t="s">
        <v>846</v>
      </c>
    </row>
    <row r="255" customFormat="false" ht="25.5" hidden="false" customHeight="true" outlineLevel="0" collapsed="false">
      <c r="A255" s="29"/>
      <c r="B255" s="30" t="s">
        <v>1432</v>
      </c>
      <c r="C255" s="31" t="s">
        <v>127</v>
      </c>
      <c r="D255" s="31" t="s">
        <v>108</v>
      </c>
      <c r="E255" s="32" t="n">
        <v>14275</v>
      </c>
      <c r="F255" s="32"/>
      <c r="G255" s="32" t="n">
        <v>150</v>
      </c>
      <c r="H255" s="33" t="n">
        <v>2</v>
      </c>
      <c r="I255" s="34" t="n">
        <f aca="false">E255*H255+N(F255)+N(G255)</f>
        <v>28700</v>
      </c>
      <c r="J255" s="32" t="n">
        <f aca="false">ROUND(IFERROR(ROUND(IF(OR(ISNUMBER(SEARCH("week",C255)),ISNUMBER(SEARCH("minggu",C255))),IFERROR(_xlfn.NUMBERVALUE(SUBSTITUTE(LEFT(TRIM(C255),FIND(" ",TRIM(C255)&amp;" ")-1),",","."),"."),LEFT(SUBSTITUTE(LEFT(TRIM(C255),FIND(" ",TRIM(C255)&amp;" ")-1),",","."),FIND("/",SUBSTITUTE(LEFT(TRIM(C255),FIND(" ",TRIM(C255)&amp;" ")-1),",","."))-1)/MID(SUBSTITUTE(LEFT(TRIM(C255),FIND(" ",TRIM(C255)&amp;" ")-1),",","."),FIND("/",SUBSTITUTE(LEFT(TRIM(C255),FIND(" ",TRIM(C255)&amp;" ")-1),",","."))+1,9))*12/52,IF(ISNUMBER(SEARCH("month",C255)),IFERROR(_xlfn.NUMBERVALUE(SUBSTITUTE(LEFT(TRIM(C255),FIND(" ",TRIM(C255)&amp;" ")-1),",","."),"."),LEFT(SUBSTITUTE(LEFT(TRIM(C255),FIND(" ",TRIM(C255)&amp;" ")-1),",","."),FIND("/",SUBSTITUTE(LEFT(TRIM(C255),FIND(" ",TRIM(C255)&amp;" ")-1),",","."))-1)/MID(SUBSTITUTE(LEFT(TRIM(C255),FIND(" ",TRIM(C255)&amp;" ")-1),",","."),FIND("/",SUBSTITUTE(LEFT(TRIM(C255),FIND(" ",TRIM(C255)&amp;" ")-1),",","."))+1,9)),IF(ISNUMBER(SEARCH("yea",C255)),IFERROR(_xlfn.NUMBERVALUE(SUBSTITUTE(LEFT(TRIM(C255),FIND(" ",TRIM(C255)&amp;" ")-1),",","."),"."),LEFT(SUBSTITUTE(LEFT(TRIM(C255),FIND(" ",TRIM(C255)&amp;" ")-1),",","."),FIND("/",SUBSTITUTE(LEFT(TRIM(C255),FIND(" ",TRIM(C255)&amp;" ")-1),",","."))-1)/MID(SUBSTITUTE(LEFT(TRIM(C255),FIND(" ",TRIM(C255)&amp;" ")-1),",","."),FIND("/",SUBSTITUTE(LEFT(TRIM(C255),FIND(" ",TRIM(C255)&amp;" ")-1),",","."))+1,9))*12,NA()))),0),36)*'Aturan &amp; Tarif'!$B$4,2)</f>
        <v>2044.08</v>
      </c>
      <c r="K255" s="32" t="n">
        <f aca="false">'Aturan &amp; Tarif'!$B$5</f>
        <v>2050</v>
      </c>
      <c r="L255" s="35" t="n">
        <f aca="false">I255+J255+K255</f>
        <v>32794.08</v>
      </c>
      <c r="M255" s="37" t="s">
        <v>1433</v>
      </c>
    </row>
    <row r="256" customFormat="false" ht="25.5" hidden="false" customHeight="true" outlineLevel="0" collapsed="false">
      <c r="A256" s="29"/>
      <c r="B256" s="30" t="s">
        <v>1434</v>
      </c>
      <c r="C256" s="31" t="s">
        <v>127</v>
      </c>
      <c r="D256" s="31" t="s">
        <v>108</v>
      </c>
      <c r="E256" s="32" t="n">
        <v>14275</v>
      </c>
      <c r="F256" s="32"/>
      <c r="G256" s="32" t="n">
        <v>150</v>
      </c>
      <c r="H256" s="33" t="n">
        <v>2</v>
      </c>
      <c r="I256" s="34" t="n">
        <f aca="false">E256*H256+N(F256)+N(G256)</f>
        <v>28700</v>
      </c>
      <c r="J256" s="32" t="n">
        <f aca="false">ROUND(IFERROR(ROUND(IF(OR(ISNUMBER(SEARCH("week",C256)),ISNUMBER(SEARCH("minggu",C256))),IFERROR(_xlfn.NUMBERVALUE(SUBSTITUTE(LEFT(TRIM(C256),FIND(" ",TRIM(C256)&amp;" ")-1),",","."),"."),LEFT(SUBSTITUTE(LEFT(TRIM(C256),FIND(" ",TRIM(C256)&amp;" ")-1),",","."),FIND("/",SUBSTITUTE(LEFT(TRIM(C256),FIND(" ",TRIM(C256)&amp;" ")-1),",","."))-1)/MID(SUBSTITUTE(LEFT(TRIM(C256),FIND(" ",TRIM(C256)&amp;" ")-1),",","."),FIND("/",SUBSTITUTE(LEFT(TRIM(C256),FIND(" ",TRIM(C256)&amp;" ")-1),",","."))+1,9))*12/52,IF(ISNUMBER(SEARCH("month",C256)),IFERROR(_xlfn.NUMBERVALUE(SUBSTITUTE(LEFT(TRIM(C256),FIND(" ",TRIM(C256)&amp;" ")-1),",","."),"."),LEFT(SUBSTITUTE(LEFT(TRIM(C256),FIND(" ",TRIM(C256)&amp;" ")-1),",","."),FIND("/",SUBSTITUTE(LEFT(TRIM(C256),FIND(" ",TRIM(C256)&amp;" ")-1),",","."))-1)/MID(SUBSTITUTE(LEFT(TRIM(C256),FIND(" ",TRIM(C256)&amp;" ")-1),",","."),FIND("/",SUBSTITUTE(LEFT(TRIM(C256),FIND(" ",TRIM(C256)&amp;" ")-1),",","."))+1,9)),IF(ISNUMBER(SEARCH("yea",C256)),IFERROR(_xlfn.NUMBERVALUE(SUBSTITUTE(LEFT(TRIM(C256),FIND(" ",TRIM(C256)&amp;" ")-1),",","."),"."),LEFT(SUBSTITUTE(LEFT(TRIM(C256),FIND(" ",TRIM(C256)&amp;" ")-1),",","."),FIND("/",SUBSTITUTE(LEFT(TRIM(C256),FIND(" ",TRIM(C256)&amp;" ")-1),",","."))-1)/MID(SUBSTITUTE(LEFT(TRIM(C256),FIND(" ",TRIM(C256)&amp;" ")-1),",","."),FIND("/",SUBSTITUTE(LEFT(TRIM(C256),FIND(" ",TRIM(C256)&amp;" ")-1),",","."))+1,9))*12,NA()))),0),36)*'Aturan &amp; Tarif'!$B$4,2)</f>
        <v>2044.08</v>
      </c>
      <c r="K256" s="32" t="n">
        <f aca="false">'Aturan &amp; Tarif'!$B$5</f>
        <v>2050</v>
      </c>
      <c r="L256" s="35" t="n">
        <f aca="false">I256+J256+K256</f>
        <v>32794.08</v>
      </c>
      <c r="M256" s="37" t="s">
        <v>1433</v>
      </c>
    </row>
    <row r="257" customFormat="false" ht="25.5" hidden="false" customHeight="true" outlineLevel="0" collapsed="false">
      <c r="A257" s="29"/>
      <c r="B257" s="30" t="s">
        <v>1435</v>
      </c>
      <c r="C257" s="31" t="s">
        <v>127</v>
      </c>
      <c r="D257" s="31" t="s">
        <v>108</v>
      </c>
      <c r="E257" s="32" t="n">
        <v>14275</v>
      </c>
      <c r="F257" s="32"/>
      <c r="G257" s="32" t="n">
        <v>150</v>
      </c>
      <c r="H257" s="33" t="n">
        <v>2</v>
      </c>
      <c r="I257" s="34" t="n">
        <f aca="false">E257*H257+N(F257)+N(G257)</f>
        <v>28700</v>
      </c>
      <c r="J257" s="32" t="n">
        <f aca="false">ROUND(IFERROR(ROUND(IF(OR(ISNUMBER(SEARCH("week",C257)),ISNUMBER(SEARCH("minggu",C257))),IFERROR(_xlfn.NUMBERVALUE(SUBSTITUTE(LEFT(TRIM(C257),FIND(" ",TRIM(C257)&amp;" ")-1),",","."),"."),LEFT(SUBSTITUTE(LEFT(TRIM(C257),FIND(" ",TRIM(C257)&amp;" ")-1),",","."),FIND("/",SUBSTITUTE(LEFT(TRIM(C257),FIND(" ",TRIM(C257)&amp;" ")-1),",","."))-1)/MID(SUBSTITUTE(LEFT(TRIM(C257),FIND(" ",TRIM(C257)&amp;" ")-1),",","."),FIND("/",SUBSTITUTE(LEFT(TRIM(C257),FIND(" ",TRIM(C257)&amp;" ")-1),",","."))+1,9))*12/52,IF(ISNUMBER(SEARCH("month",C257)),IFERROR(_xlfn.NUMBERVALUE(SUBSTITUTE(LEFT(TRIM(C257),FIND(" ",TRIM(C257)&amp;" ")-1),",","."),"."),LEFT(SUBSTITUTE(LEFT(TRIM(C257),FIND(" ",TRIM(C257)&amp;" ")-1),",","."),FIND("/",SUBSTITUTE(LEFT(TRIM(C257),FIND(" ",TRIM(C257)&amp;" ")-1),",","."))-1)/MID(SUBSTITUTE(LEFT(TRIM(C257),FIND(" ",TRIM(C257)&amp;" ")-1),",","."),FIND("/",SUBSTITUTE(LEFT(TRIM(C257),FIND(" ",TRIM(C257)&amp;" ")-1),",","."))+1,9)),IF(ISNUMBER(SEARCH("yea",C257)),IFERROR(_xlfn.NUMBERVALUE(SUBSTITUTE(LEFT(TRIM(C257),FIND(" ",TRIM(C257)&amp;" ")-1),",","."),"."),LEFT(SUBSTITUTE(LEFT(TRIM(C257),FIND(" ",TRIM(C257)&amp;" ")-1),",","."),FIND("/",SUBSTITUTE(LEFT(TRIM(C257),FIND(" ",TRIM(C257)&amp;" ")-1),",","."))-1)/MID(SUBSTITUTE(LEFT(TRIM(C257),FIND(" ",TRIM(C257)&amp;" ")-1),",","."),FIND("/",SUBSTITUTE(LEFT(TRIM(C257),FIND(" ",TRIM(C257)&amp;" ")-1),",","."))+1,9))*12,NA()))),0),36)*'Aturan &amp; Tarif'!$B$4,2)</f>
        <v>2044.08</v>
      </c>
      <c r="K257" s="32" t="n">
        <f aca="false">'Aturan &amp; Tarif'!$B$5</f>
        <v>2050</v>
      </c>
      <c r="L257" s="35" t="n">
        <f aca="false">I257+J257+K257</f>
        <v>32794.08</v>
      </c>
      <c r="M257" s="37" t="s">
        <v>1433</v>
      </c>
    </row>
    <row r="258" customFormat="false" ht="25.5" hidden="false" customHeight="true" outlineLevel="0" collapsed="false">
      <c r="A258" s="29"/>
      <c r="B258" s="30" t="s">
        <v>1436</v>
      </c>
      <c r="C258" s="31" t="s">
        <v>127</v>
      </c>
      <c r="D258" s="31" t="s">
        <v>108</v>
      </c>
      <c r="E258" s="32" t="n">
        <v>14275</v>
      </c>
      <c r="F258" s="32"/>
      <c r="G258" s="32" t="n">
        <v>150</v>
      </c>
      <c r="H258" s="33" t="n">
        <v>2</v>
      </c>
      <c r="I258" s="34" t="n">
        <f aca="false">E258*H258+N(F258)+N(G258)</f>
        <v>28700</v>
      </c>
      <c r="J258" s="32" t="n">
        <f aca="false">ROUND(IFERROR(ROUND(IF(OR(ISNUMBER(SEARCH("week",C258)),ISNUMBER(SEARCH("minggu",C258))),IFERROR(_xlfn.NUMBERVALUE(SUBSTITUTE(LEFT(TRIM(C258),FIND(" ",TRIM(C258)&amp;" ")-1),",","."),"."),LEFT(SUBSTITUTE(LEFT(TRIM(C258),FIND(" ",TRIM(C258)&amp;" ")-1),",","."),FIND("/",SUBSTITUTE(LEFT(TRIM(C258),FIND(" ",TRIM(C258)&amp;" ")-1),",","."))-1)/MID(SUBSTITUTE(LEFT(TRIM(C258),FIND(" ",TRIM(C258)&amp;" ")-1),",","."),FIND("/",SUBSTITUTE(LEFT(TRIM(C258),FIND(" ",TRIM(C258)&amp;" ")-1),",","."))+1,9))*12/52,IF(ISNUMBER(SEARCH("month",C258)),IFERROR(_xlfn.NUMBERVALUE(SUBSTITUTE(LEFT(TRIM(C258),FIND(" ",TRIM(C258)&amp;" ")-1),",","."),"."),LEFT(SUBSTITUTE(LEFT(TRIM(C258),FIND(" ",TRIM(C258)&amp;" ")-1),",","."),FIND("/",SUBSTITUTE(LEFT(TRIM(C258),FIND(" ",TRIM(C258)&amp;" ")-1),",","."))-1)/MID(SUBSTITUTE(LEFT(TRIM(C258),FIND(" ",TRIM(C258)&amp;" ")-1),",","."),FIND("/",SUBSTITUTE(LEFT(TRIM(C258),FIND(" ",TRIM(C258)&amp;" ")-1),",","."))+1,9)),IF(ISNUMBER(SEARCH("yea",C258)),IFERROR(_xlfn.NUMBERVALUE(SUBSTITUTE(LEFT(TRIM(C258),FIND(" ",TRIM(C258)&amp;" ")-1),",","."),"."),LEFT(SUBSTITUTE(LEFT(TRIM(C258),FIND(" ",TRIM(C258)&amp;" ")-1),",","."),FIND("/",SUBSTITUTE(LEFT(TRIM(C258),FIND(" ",TRIM(C258)&amp;" ")-1),",","."))-1)/MID(SUBSTITUTE(LEFT(TRIM(C258),FIND(" ",TRIM(C258)&amp;" ")-1),",","."),FIND("/",SUBSTITUTE(LEFT(TRIM(C258),FIND(" ",TRIM(C258)&amp;" ")-1),",","."))+1,9))*12,NA()))),0),36)*'Aturan &amp; Tarif'!$B$4,2)</f>
        <v>2044.08</v>
      </c>
      <c r="K258" s="32" t="n">
        <f aca="false">'Aturan &amp; Tarif'!$B$5</f>
        <v>2050</v>
      </c>
      <c r="L258" s="35" t="n">
        <f aca="false">I258+J258+K258</f>
        <v>32794.08</v>
      </c>
      <c r="M258" s="37" t="s">
        <v>1433</v>
      </c>
    </row>
    <row r="259" customFormat="false" ht="25.5" hidden="false" customHeight="true" outlineLevel="0" collapsed="false">
      <c r="A259" s="29"/>
      <c r="B259" s="30" t="s">
        <v>1437</v>
      </c>
      <c r="C259" s="31" t="s">
        <v>127</v>
      </c>
      <c r="D259" s="31" t="s">
        <v>108</v>
      </c>
      <c r="E259" s="32" t="n">
        <v>14275</v>
      </c>
      <c r="F259" s="32"/>
      <c r="G259" s="32" t="n">
        <v>150</v>
      </c>
      <c r="H259" s="33" t="n">
        <v>2</v>
      </c>
      <c r="I259" s="34" t="n">
        <f aca="false">E259*H259+N(F259)+N(G259)</f>
        <v>28700</v>
      </c>
      <c r="J259" s="32" t="n">
        <f aca="false">ROUND(IFERROR(ROUND(IF(OR(ISNUMBER(SEARCH("week",C259)),ISNUMBER(SEARCH("minggu",C259))),IFERROR(_xlfn.NUMBERVALUE(SUBSTITUTE(LEFT(TRIM(C259),FIND(" ",TRIM(C259)&amp;" ")-1),",","."),"."),LEFT(SUBSTITUTE(LEFT(TRIM(C259),FIND(" ",TRIM(C259)&amp;" ")-1),",","."),FIND("/",SUBSTITUTE(LEFT(TRIM(C259),FIND(" ",TRIM(C259)&amp;" ")-1),",","."))-1)/MID(SUBSTITUTE(LEFT(TRIM(C259),FIND(" ",TRIM(C259)&amp;" ")-1),",","."),FIND("/",SUBSTITUTE(LEFT(TRIM(C259),FIND(" ",TRIM(C259)&amp;" ")-1),",","."))+1,9))*12/52,IF(ISNUMBER(SEARCH("month",C259)),IFERROR(_xlfn.NUMBERVALUE(SUBSTITUTE(LEFT(TRIM(C259),FIND(" ",TRIM(C259)&amp;" ")-1),",","."),"."),LEFT(SUBSTITUTE(LEFT(TRIM(C259),FIND(" ",TRIM(C259)&amp;" ")-1),",","."),FIND("/",SUBSTITUTE(LEFT(TRIM(C259),FIND(" ",TRIM(C259)&amp;" ")-1),",","."))-1)/MID(SUBSTITUTE(LEFT(TRIM(C259),FIND(" ",TRIM(C259)&amp;" ")-1),",","."),FIND("/",SUBSTITUTE(LEFT(TRIM(C259),FIND(" ",TRIM(C259)&amp;" ")-1),",","."))+1,9)),IF(ISNUMBER(SEARCH("yea",C259)),IFERROR(_xlfn.NUMBERVALUE(SUBSTITUTE(LEFT(TRIM(C259),FIND(" ",TRIM(C259)&amp;" ")-1),",","."),"."),LEFT(SUBSTITUTE(LEFT(TRIM(C259),FIND(" ",TRIM(C259)&amp;" ")-1),",","."),FIND("/",SUBSTITUTE(LEFT(TRIM(C259),FIND(" ",TRIM(C259)&amp;" ")-1),",","."))-1)/MID(SUBSTITUTE(LEFT(TRIM(C259),FIND(" ",TRIM(C259)&amp;" ")-1),",","."),FIND("/",SUBSTITUTE(LEFT(TRIM(C259),FIND(" ",TRIM(C259)&amp;" ")-1),",","."))+1,9))*12,NA()))),0),36)*'Aturan &amp; Tarif'!$B$4,2)</f>
        <v>2044.08</v>
      </c>
      <c r="K259" s="32" t="n">
        <f aca="false">'Aturan &amp; Tarif'!$B$5</f>
        <v>2050</v>
      </c>
      <c r="L259" s="35" t="n">
        <f aca="false">I259+J259+K259</f>
        <v>32794.08</v>
      </c>
      <c r="M259" s="37" t="s">
        <v>1433</v>
      </c>
    </row>
    <row r="260" customFormat="false" ht="37.5" hidden="false" customHeight="true" outlineLevel="0" collapsed="false">
      <c r="A260" s="29"/>
      <c r="B260" s="30" t="s">
        <v>1438</v>
      </c>
      <c r="C260" s="31" t="s">
        <v>127</v>
      </c>
      <c r="D260" s="31" t="s">
        <v>108</v>
      </c>
      <c r="E260" s="32" t="n">
        <v>14275</v>
      </c>
      <c r="F260" s="32"/>
      <c r="G260" s="32" t="n">
        <v>150</v>
      </c>
      <c r="H260" s="33" t="n">
        <v>2</v>
      </c>
      <c r="I260" s="34" t="n">
        <f aca="false">E260*H260+N(F260)+N(G260)</f>
        <v>28700</v>
      </c>
      <c r="J260" s="32" t="n">
        <f aca="false">ROUND(IFERROR(ROUND(IF(OR(ISNUMBER(SEARCH("week",C260)),ISNUMBER(SEARCH("minggu",C260))),IFERROR(_xlfn.NUMBERVALUE(SUBSTITUTE(LEFT(TRIM(C260),FIND(" ",TRIM(C260)&amp;" ")-1),",","."),"."),LEFT(SUBSTITUTE(LEFT(TRIM(C260),FIND(" ",TRIM(C260)&amp;" ")-1),",","."),FIND("/",SUBSTITUTE(LEFT(TRIM(C260),FIND(" ",TRIM(C260)&amp;" ")-1),",","."))-1)/MID(SUBSTITUTE(LEFT(TRIM(C260),FIND(" ",TRIM(C260)&amp;" ")-1),",","."),FIND("/",SUBSTITUTE(LEFT(TRIM(C260),FIND(" ",TRIM(C260)&amp;" ")-1),",","."))+1,9))*12/52,IF(ISNUMBER(SEARCH("month",C260)),IFERROR(_xlfn.NUMBERVALUE(SUBSTITUTE(LEFT(TRIM(C260),FIND(" ",TRIM(C260)&amp;" ")-1),",","."),"."),LEFT(SUBSTITUTE(LEFT(TRIM(C260),FIND(" ",TRIM(C260)&amp;" ")-1),",","."),FIND("/",SUBSTITUTE(LEFT(TRIM(C260),FIND(" ",TRIM(C260)&amp;" ")-1),",","."))-1)/MID(SUBSTITUTE(LEFT(TRIM(C260),FIND(" ",TRIM(C260)&amp;" ")-1),",","."),FIND("/",SUBSTITUTE(LEFT(TRIM(C260),FIND(" ",TRIM(C260)&amp;" ")-1),",","."))+1,9)),IF(ISNUMBER(SEARCH("yea",C260)),IFERROR(_xlfn.NUMBERVALUE(SUBSTITUTE(LEFT(TRIM(C260),FIND(" ",TRIM(C260)&amp;" ")-1),",","."),"."),LEFT(SUBSTITUTE(LEFT(TRIM(C260),FIND(" ",TRIM(C260)&amp;" ")-1),",","."),FIND("/",SUBSTITUTE(LEFT(TRIM(C260),FIND(" ",TRIM(C260)&amp;" ")-1),",","."))-1)/MID(SUBSTITUTE(LEFT(TRIM(C260),FIND(" ",TRIM(C260)&amp;" ")-1),",","."),FIND("/",SUBSTITUTE(LEFT(TRIM(C260),FIND(" ",TRIM(C260)&amp;" ")-1),",","."))+1,9))*12,NA()))),0),36)*'Aturan &amp; Tarif'!$B$4,2)</f>
        <v>2044.08</v>
      </c>
      <c r="K260" s="32" t="n">
        <f aca="false">'Aturan &amp; Tarif'!$B$5</f>
        <v>2050</v>
      </c>
      <c r="L260" s="35" t="n">
        <f aca="false">I260+J260+K260</f>
        <v>32794.08</v>
      </c>
      <c r="M260" s="37" t="s">
        <v>1433</v>
      </c>
    </row>
    <row r="261" customFormat="false" ht="25.5" hidden="false" customHeight="true" outlineLevel="0" collapsed="false">
      <c r="A261" s="29"/>
      <c r="B261" s="30" t="s">
        <v>1439</v>
      </c>
      <c r="C261" s="31" t="s">
        <v>127</v>
      </c>
      <c r="D261" s="31" t="s">
        <v>108</v>
      </c>
      <c r="E261" s="32" t="n">
        <v>14275</v>
      </c>
      <c r="F261" s="32"/>
      <c r="G261" s="32" t="n">
        <v>150</v>
      </c>
      <c r="H261" s="33" t="n">
        <v>2</v>
      </c>
      <c r="I261" s="34" t="n">
        <f aca="false">E261*H261+N(F261)+N(G261)</f>
        <v>28700</v>
      </c>
      <c r="J261" s="32" t="n">
        <f aca="false">ROUND(IFERROR(ROUND(IF(OR(ISNUMBER(SEARCH("week",C261)),ISNUMBER(SEARCH("minggu",C261))),IFERROR(_xlfn.NUMBERVALUE(SUBSTITUTE(LEFT(TRIM(C261),FIND(" ",TRIM(C261)&amp;" ")-1),",","."),"."),LEFT(SUBSTITUTE(LEFT(TRIM(C261),FIND(" ",TRIM(C261)&amp;" ")-1),",","."),FIND("/",SUBSTITUTE(LEFT(TRIM(C261),FIND(" ",TRIM(C261)&amp;" ")-1),",","."))-1)/MID(SUBSTITUTE(LEFT(TRIM(C261),FIND(" ",TRIM(C261)&amp;" ")-1),",","."),FIND("/",SUBSTITUTE(LEFT(TRIM(C261),FIND(" ",TRIM(C261)&amp;" ")-1),",","."))+1,9))*12/52,IF(ISNUMBER(SEARCH("month",C261)),IFERROR(_xlfn.NUMBERVALUE(SUBSTITUTE(LEFT(TRIM(C261),FIND(" ",TRIM(C261)&amp;" ")-1),",","."),"."),LEFT(SUBSTITUTE(LEFT(TRIM(C261),FIND(" ",TRIM(C261)&amp;" ")-1),",","."),FIND("/",SUBSTITUTE(LEFT(TRIM(C261),FIND(" ",TRIM(C261)&amp;" ")-1),",","."))-1)/MID(SUBSTITUTE(LEFT(TRIM(C261),FIND(" ",TRIM(C261)&amp;" ")-1),",","."),FIND("/",SUBSTITUTE(LEFT(TRIM(C261),FIND(" ",TRIM(C261)&amp;" ")-1),",","."))+1,9)),IF(ISNUMBER(SEARCH("yea",C261)),IFERROR(_xlfn.NUMBERVALUE(SUBSTITUTE(LEFT(TRIM(C261),FIND(" ",TRIM(C261)&amp;" ")-1),",","."),"."),LEFT(SUBSTITUTE(LEFT(TRIM(C261),FIND(" ",TRIM(C261)&amp;" ")-1),",","."),FIND("/",SUBSTITUTE(LEFT(TRIM(C261),FIND(" ",TRIM(C261)&amp;" ")-1),",","."))-1)/MID(SUBSTITUTE(LEFT(TRIM(C261),FIND(" ",TRIM(C261)&amp;" ")-1),",","."),FIND("/",SUBSTITUTE(LEFT(TRIM(C261),FIND(" ",TRIM(C261)&amp;" ")-1),",","."))+1,9))*12,NA()))),0),36)*'Aturan &amp; Tarif'!$B$4,2)</f>
        <v>2044.08</v>
      </c>
      <c r="K261" s="32" t="n">
        <f aca="false">'Aturan &amp; Tarif'!$B$5</f>
        <v>2050</v>
      </c>
      <c r="L261" s="35" t="n">
        <f aca="false">I261+J261+K261</f>
        <v>32794.08</v>
      </c>
      <c r="M261" s="37" t="s">
        <v>1433</v>
      </c>
    </row>
    <row r="262" customFormat="false" ht="25.5" hidden="false" customHeight="true" outlineLevel="0" collapsed="false">
      <c r="A262" s="29"/>
      <c r="B262" s="30" t="s">
        <v>1440</v>
      </c>
      <c r="C262" s="31" t="s">
        <v>127</v>
      </c>
      <c r="D262" s="31" t="s">
        <v>108</v>
      </c>
      <c r="E262" s="32" t="n">
        <v>14275</v>
      </c>
      <c r="F262" s="32"/>
      <c r="G262" s="32" t="n">
        <v>150</v>
      </c>
      <c r="H262" s="33" t="n">
        <v>2</v>
      </c>
      <c r="I262" s="34" t="n">
        <f aca="false">E262*H262+N(F262)+N(G262)</f>
        <v>28700</v>
      </c>
      <c r="J262" s="32" t="n">
        <f aca="false">ROUND(IFERROR(ROUND(IF(OR(ISNUMBER(SEARCH("week",C262)),ISNUMBER(SEARCH("minggu",C262))),IFERROR(_xlfn.NUMBERVALUE(SUBSTITUTE(LEFT(TRIM(C262),FIND(" ",TRIM(C262)&amp;" ")-1),",","."),"."),LEFT(SUBSTITUTE(LEFT(TRIM(C262),FIND(" ",TRIM(C262)&amp;" ")-1),",","."),FIND("/",SUBSTITUTE(LEFT(TRIM(C262),FIND(" ",TRIM(C262)&amp;" ")-1),",","."))-1)/MID(SUBSTITUTE(LEFT(TRIM(C262),FIND(" ",TRIM(C262)&amp;" ")-1),",","."),FIND("/",SUBSTITUTE(LEFT(TRIM(C262),FIND(" ",TRIM(C262)&amp;" ")-1),",","."))+1,9))*12/52,IF(ISNUMBER(SEARCH("month",C262)),IFERROR(_xlfn.NUMBERVALUE(SUBSTITUTE(LEFT(TRIM(C262),FIND(" ",TRIM(C262)&amp;" ")-1),",","."),"."),LEFT(SUBSTITUTE(LEFT(TRIM(C262),FIND(" ",TRIM(C262)&amp;" ")-1),",","."),FIND("/",SUBSTITUTE(LEFT(TRIM(C262),FIND(" ",TRIM(C262)&amp;" ")-1),",","."))-1)/MID(SUBSTITUTE(LEFT(TRIM(C262),FIND(" ",TRIM(C262)&amp;" ")-1),",","."),FIND("/",SUBSTITUTE(LEFT(TRIM(C262),FIND(" ",TRIM(C262)&amp;" ")-1),",","."))+1,9)),IF(ISNUMBER(SEARCH("yea",C262)),IFERROR(_xlfn.NUMBERVALUE(SUBSTITUTE(LEFT(TRIM(C262),FIND(" ",TRIM(C262)&amp;" ")-1),",","."),"."),LEFT(SUBSTITUTE(LEFT(TRIM(C262),FIND(" ",TRIM(C262)&amp;" ")-1),",","."),FIND("/",SUBSTITUTE(LEFT(TRIM(C262),FIND(" ",TRIM(C262)&amp;" ")-1),",","."))-1)/MID(SUBSTITUTE(LEFT(TRIM(C262),FIND(" ",TRIM(C262)&amp;" ")-1),",","."),FIND("/",SUBSTITUTE(LEFT(TRIM(C262),FIND(" ",TRIM(C262)&amp;" ")-1),",","."))+1,9))*12,NA()))),0),36)*'Aturan &amp; Tarif'!$B$4,2)</f>
        <v>2044.08</v>
      </c>
      <c r="K262" s="32" t="n">
        <f aca="false">'Aturan &amp; Tarif'!$B$5</f>
        <v>2050</v>
      </c>
      <c r="L262" s="35" t="n">
        <f aca="false">I262+J262+K262</f>
        <v>32794.08</v>
      </c>
      <c r="M262" s="37" t="s">
        <v>1433</v>
      </c>
    </row>
    <row r="263" customFormat="false" ht="37.5" hidden="false" customHeight="true" outlineLevel="0" collapsed="false">
      <c r="A263" s="29"/>
      <c r="B263" s="30" t="s">
        <v>1441</v>
      </c>
      <c r="C263" s="31" t="s">
        <v>127</v>
      </c>
      <c r="D263" s="31" t="s">
        <v>108</v>
      </c>
      <c r="E263" s="32" t="n">
        <v>14275</v>
      </c>
      <c r="F263" s="32"/>
      <c r="G263" s="32" t="n">
        <v>150</v>
      </c>
      <c r="H263" s="33" t="n">
        <v>2</v>
      </c>
      <c r="I263" s="34" t="n">
        <f aca="false">E263*H263+N(F263)+N(G263)</f>
        <v>28700</v>
      </c>
      <c r="J263" s="32" t="n">
        <f aca="false">ROUND(IFERROR(ROUND(IF(OR(ISNUMBER(SEARCH("week",C263)),ISNUMBER(SEARCH("minggu",C263))),IFERROR(_xlfn.NUMBERVALUE(SUBSTITUTE(LEFT(TRIM(C263),FIND(" ",TRIM(C263)&amp;" ")-1),",","."),"."),LEFT(SUBSTITUTE(LEFT(TRIM(C263),FIND(" ",TRIM(C263)&amp;" ")-1),",","."),FIND("/",SUBSTITUTE(LEFT(TRIM(C263),FIND(" ",TRIM(C263)&amp;" ")-1),",","."))-1)/MID(SUBSTITUTE(LEFT(TRIM(C263),FIND(" ",TRIM(C263)&amp;" ")-1),",","."),FIND("/",SUBSTITUTE(LEFT(TRIM(C263),FIND(" ",TRIM(C263)&amp;" ")-1),",","."))+1,9))*12/52,IF(ISNUMBER(SEARCH("month",C263)),IFERROR(_xlfn.NUMBERVALUE(SUBSTITUTE(LEFT(TRIM(C263),FIND(" ",TRIM(C263)&amp;" ")-1),",","."),"."),LEFT(SUBSTITUTE(LEFT(TRIM(C263),FIND(" ",TRIM(C263)&amp;" ")-1),",","."),FIND("/",SUBSTITUTE(LEFT(TRIM(C263),FIND(" ",TRIM(C263)&amp;" ")-1),",","."))-1)/MID(SUBSTITUTE(LEFT(TRIM(C263),FIND(" ",TRIM(C263)&amp;" ")-1),",","."),FIND("/",SUBSTITUTE(LEFT(TRIM(C263),FIND(" ",TRIM(C263)&amp;" ")-1),",","."))+1,9)),IF(ISNUMBER(SEARCH("yea",C263)),IFERROR(_xlfn.NUMBERVALUE(SUBSTITUTE(LEFT(TRIM(C263),FIND(" ",TRIM(C263)&amp;" ")-1),",","."),"."),LEFT(SUBSTITUTE(LEFT(TRIM(C263),FIND(" ",TRIM(C263)&amp;" ")-1),",","."),FIND("/",SUBSTITUTE(LEFT(TRIM(C263),FIND(" ",TRIM(C263)&amp;" ")-1),",","."))-1)/MID(SUBSTITUTE(LEFT(TRIM(C263),FIND(" ",TRIM(C263)&amp;" ")-1),",","."),FIND("/",SUBSTITUTE(LEFT(TRIM(C263),FIND(" ",TRIM(C263)&amp;" ")-1),",","."))+1,9))*12,NA()))),0),36)*'Aturan &amp; Tarif'!$B$4,2)</f>
        <v>2044.08</v>
      </c>
      <c r="K263" s="32" t="n">
        <f aca="false">'Aturan &amp; Tarif'!$B$5</f>
        <v>2050</v>
      </c>
      <c r="L263" s="35" t="n">
        <f aca="false">I263+J263+K263</f>
        <v>32794.08</v>
      </c>
      <c r="M263" s="37" t="s">
        <v>1433</v>
      </c>
    </row>
    <row r="264" customFormat="false" ht="25.5" hidden="false" customHeight="true" outlineLevel="0" collapsed="false">
      <c r="A264" s="29"/>
      <c r="B264" s="30" t="s">
        <v>1442</v>
      </c>
      <c r="C264" s="31" t="s">
        <v>127</v>
      </c>
      <c r="D264" s="31" t="s">
        <v>108</v>
      </c>
      <c r="E264" s="32" t="n">
        <v>14275</v>
      </c>
      <c r="F264" s="32"/>
      <c r="G264" s="32" t="n">
        <v>150</v>
      </c>
      <c r="H264" s="33" t="n">
        <v>2</v>
      </c>
      <c r="I264" s="34" t="n">
        <f aca="false">E264*H264+N(F264)+N(G264)</f>
        <v>28700</v>
      </c>
      <c r="J264" s="32" t="n">
        <f aca="false">ROUND(IFERROR(ROUND(IF(OR(ISNUMBER(SEARCH("week",C264)),ISNUMBER(SEARCH("minggu",C264))),IFERROR(_xlfn.NUMBERVALUE(SUBSTITUTE(LEFT(TRIM(C264),FIND(" ",TRIM(C264)&amp;" ")-1),",","."),"."),LEFT(SUBSTITUTE(LEFT(TRIM(C264),FIND(" ",TRIM(C264)&amp;" ")-1),",","."),FIND("/",SUBSTITUTE(LEFT(TRIM(C264),FIND(" ",TRIM(C264)&amp;" ")-1),",","."))-1)/MID(SUBSTITUTE(LEFT(TRIM(C264),FIND(" ",TRIM(C264)&amp;" ")-1),",","."),FIND("/",SUBSTITUTE(LEFT(TRIM(C264),FIND(" ",TRIM(C264)&amp;" ")-1),",","."))+1,9))*12/52,IF(ISNUMBER(SEARCH("month",C264)),IFERROR(_xlfn.NUMBERVALUE(SUBSTITUTE(LEFT(TRIM(C264),FIND(" ",TRIM(C264)&amp;" ")-1),",","."),"."),LEFT(SUBSTITUTE(LEFT(TRIM(C264),FIND(" ",TRIM(C264)&amp;" ")-1),",","."),FIND("/",SUBSTITUTE(LEFT(TRIM(C264),FIND(" ",TRIM(C264)&amp;" ")-1),",","."))-1)/MID(SUBSTITUTE(LEFT(TRIM(C264),FIND(" ",TRIM(C264)&amp;" ")-1),",","."),FIND("/",SUBSTITUTE(LEFT(TRIM(C264),FIND(" ",TRIM(C264)&amp;" ")-1),",","."))+1,9)),IF(ISNUMBER(SEARCH("yea",C264)),IFERROR(_xlfn.NUMBERVALUE(SUBSTITUTE(LEFT(TRIM(C264),FIND(" ",TRIM(C264)&amp;" ")-1),",","."),"."),LEFT(SUBSTITUTE(LEFT(TRIM(C264),FIND(" ",TRIM(C264)&amp;" ")-1),",","."),FIND("/",SUBSTITUTE(LEFT(TRIM(C264),FIND(" ",TRIM(C264)&amp;" ")-1),",","."))-1)/MID(SUBSTITUTE(LEFT(TRIM(C264),FIND(" ",TRIM(C264)&amp;" ")-1),",","."),FIND("/",SUBSTITUTE(LEFT(TRIM(C264),FIND(" ",TRIM(C264)&amp;" ")-1),",","."))+1,9))*12,NA()))),0),36)*'Aturan &amp; Tarif'!$B$4,2)</f>
        <v>2044.08</v>
      </c>
      <c r="K264" s="32" t="n">
        <f aca="false">'Aturan &amp; Tarif'!$B$5</f>
        <v>2050</v>
      </c>
      <c r="L264" s="35" t="n">
        <f aca="false">I264+J264+K264</f>
        <v>32794.08</v>
      </c>
      <c r="M264" s="37" t="s">
        <v>1433</v>
      </c>
    </row>
    <row r="265" customFormat="false" ht="25.5" hidden="false" customHeight="true" outlineLevel="0" collapsed="false">
      <c r="A265" s="29"/>
      <c r="B265" s="30" t="s">
        <v>1443</v>
      </c>
      <c r="C265" s="31" t="s">
        <v>127</v>
      </c>
      <c r="D265" s="31" t="s">
        <v>108</v>
      </c>
      <c r="E265" s="32" t="n">
        <v>10850</v>
      </c>
      <c r="F265" s="32"/>
      <c r="G265" s="32" t="n">
        <v>150</v>
      </c>
      <c r="H265" s="33" t="n">
        <v>2</v>
      </c>
      <c r="I265" s="34" t="n">
        <f aca="false">E265*H265+N(F265)+N(G265)</f>
        <v>21850</v>
      </c>
      <c r="J265" s="32" t="n">
        <f aca="false">ROUND(IFERROR(ROUND(IF(OR(ISNUMBER(SEARCH("week",C265)),ISNUMBER(SEARCH("minggu",C265))),IFERROR(_xlfn.NUMBERVALUE(SUBSTITUTE(LEFT(TRIM(C265),FIND(" ",TRIM(C265)&amp;" ")-1),",","."),"."),LEFT(SUBSTITUTE(LEFT(TRIM(C265),FIND(" ",TRIM(C265)&amp;" ")-1),",","."),FIND("/",SUBSTITUTE(LEFT(TRIM(C265),FIND(" ",TRIM(C265)&amp;" ")-1),",","."))-1)/MID(SUBSTITUTE(LEFT(TRIM(C265),FIND(" ",TRIM(C265)&amp;" ")-1),",","."),FIND("/",SUBSTITUTE(LEFT(TRIM(C265),FIND(" ",TRIM(C265)&amp;" ")-1),",","."))+1,9))*12/52,IF(ISNUMBER(SEARCH("month",C265)),IFERROR(_xlfn.NUMBERVALUE(SUBSTITUTE(LEFT(TRIM(C265),FIND(" ",TRIM(C265)&amp;" ")-1),",","."),"."),LEFT(SUBSTITUTE(LEFT(TRIM(C265),FIND(" ",TRIM(C265)&amp;" ")-1),",","."),FIND("/",SUBSTITUTE(LEFT(TRIM(C265),FIND(" ",TRIM(C265)&amp;" ")-1),",","."))-1)/MID(SUBSTITUTE(LEFT(TRIM(C265),FIND(" ",TRIM(C265)&amp;" ")-1),",","."),FIND("/",SUBSTITUTE(LEFT(TRIM(C265),FIND(" ",TRIM(C265)&amp;" ")-1),",","."))+1,9)),IF(ISNUMBER(SEARCH("yea",C265)),IFERROR(_xlfn.NUMBERVALUE(SUBSTITUTE(LEFT(TRIM(C265),FIND(" ",TRIM(C265)&amp;" ")-1),",","."),"."),LEFT(SUBSTITUTE(LEFT(TRIM(C265),FIND(" ",TRIM(C265)&amp;" ")-1),",","."),FIND("/",SUBSTITUTE(LEFT(TRIM(C265),FIND(" ",TRIM(C265)&amp;" ")-1),",","."))-1)/MID(SUBSTITUTE(LEFT(TRIM(C265),FIND(" ",TRIM(C265)&amp;" ")-1),",","."),FIND("/",SUBSTITUTE(LEFT(TRIM(C265),FIND(" ",TRIM(C265)&amp;" ")-1),",","."))+1,9))*12,NA()))),0),36)*'Aturan &amp; Tarif'!$B$4,2)</f>
        <v>2044.08</v>
      </c>
      <c r="K265" s="32" t="n">
        <f aca="false">'Aturan &amp; Tarif'!$B$5</f>
        <v>2050</v>
      </c>
      <c r="L265" s="35" t="n">
        <f aca="false">I265+J265+K265</f>
        <v>25944.08</v>
      </c>
      <c r="M265" s="37" t="s">
        <v>1444</v>
      </c>
    </row>
    <row r="266" customFormat="false" ht="14.25" hidden="false" customHeight="true" outlineLevel="0" collapsed="false">
      <c r="A266" s="29"/>
      <c r="B266" s="30" t="s">
        <v>1445</v>
      </c>
      <c r="C266" s="31" t="s">
        <v>191</v>
      </c>
      <c r="D266" s="31" t="s">
        <v>108</v>
      </c>
      <c r="E266" s="32" t="n">
        <v>11275</v>
      </c>
      <c r="F266" s="32"/>
      <c r="G266" s="32" t="n">
        <v>150</v>
      </c>
      <c r="H266" s="33" t="n">
        <v>2</v>
      </c>
      <c r="I266" s="34" t="n">
        <f aca="false">E266*H266+N(F266)+N(G266)</f>
        <v>22700</v>
      </c>
      <c r="J266" s="32" t="n">
        <f aca="false">ROUND(IFERROR(ROUND(IF(OR(ISNUMBER(SEARCH("week",C266)),ISNUMBER(SEARCH("minggu",C266))),IFERROR(_xlfn.NUMBERVALUE(SUBSTITUTE(LEFT(TRIM(C266),FIND(" ",TRIM(C266)&amp;" ")-1),",","."),"."),LEFT(SUBSTITUTE(LEFT(TRIM(C266),FIND(" ",TRIM(C266)&amp;" ")-1),",","."),FIND("/",SUBSTITUTE(LEFT(TRIM(C266),FIND(" ",TRIM(C266)&amp;" ")-1),",","."))-1)/MID(SUBSTITUTE(LEFT(TRIM(C266),FIND(" ",TRIM(C266)&amp;" ")-1),",","."),FIND("/",SUBSTITUTE(LEFT(TRIM(C266),FIND(" ",TRIM(C266)&amp;" ")-1),",","."))+1,9))*12/52,IF(ISNUMBER(SEARCH("month",C266)),IFERROR(_xlfn.NUMBERVALUE(SUBSTITUTE(LEFT(TRIM(C266),FIND(" ",TRIM(C266)&amp;" ")-1),",","."),"."),LEFT(SUBSTITUTE(LEFT(TRIM(C266),FIND(" ",TRIM(C266)&amp;" ")-1),",","."),FIND("/",SUBSTITUTE(LEFT(TRIM(C266),FIND(" ",TRIM(C266)&amp;" ")-1),",","."))-1)/MID(SUBSTITUTE(LEFT(TRIM(C266),FIND(" ",TRIM(C266)&amp;" ")-1),",","."),FIND("/",SUBSTITUTE(LEFT(TRIM(C266),FIND(" ",TRIM(C266)&amp;" ")-1),",","."))+1,9)),IF(ISNUMBER(SEARCH("yea",C266)),IFERROR(_xlfn.NUMBERVALUE(SUBSTITUTE(LEFT(TRIM(C266),FIND(" ",TRIM(C266)&amp;" ")-1),",","."),"."),LEFT(SUBSTITUTE(LEFT(TRIM(C266),FIND(" ",TRIM(C266)&amp;" ")-1),",","."),FIND("/",SUBSTITUTE(LEFT(TRIM(C266),FIND(" ",TRIM(C266)&amp;" ")-1),",","."))-1)/MID(SUBSTITUTE(LEFT(TRIM(C266),FIND(" ",TRIM(C266)&amp;" ")-1),",","."),FIND("/",SUBSTITUTE(LEFT(TRIM(C266),FIND(" ",TRIM(C266)&amp;" ")-1),",","."))+1,9))*12,NA()))),0),48)*'Aturan &amp; Tarif'!$B$4,2)</f>
        <v>2725.44</v>
      </c>
      <c r="K266" s="32" t="n">
        <f aca="false">'Aturan &amp; Tarif'!$B$5</f>
        <v>2050</v>
      </c>
      <c r="L266" s="35" t="n">
        <f aca="false">I266+J266+K266</f>
        <v>27475.44</v>
      </c>
      <c r="M266" s="37" t="s">
        <v>1446</v>
      </c>
    </row>
    <row r="267" customFormat="false" ht="25.5" hidden="false" customHeight="true" outlineLevel="0" collapsed="false">
      <c r="A267" s="29"/>
      <c r="B267" s="30" t="s">
        <v>1447</v>
      </c>
      <c r="C267" s="31" t="s">
        <v>191</v>
      </c>
      <c r="D267" s="31" t="s">
        <v>108</v>
      </c>
      <c r="E267" s="32" t="n">
        <v>11275</v>
      </c>
      <c r="F267" s="32"/>
      <c r="G267" s="32" t="n">
        <v>150</v>
      </c>
      <c r="H267" s="33" t="n">
        <v>2</v>
      </c>
      <c r="I267" s="34" t="n">
        <f aca="false">E267*H267+N(F267)+N(G267)</f>
        <v>22700</v>
      </c>
      <c r="J267" s="32" t="n">
        <f aca="false">ROUND(IFERROR(ROUND(IF(OR(ISNUMBER(SEARCH("week",C267)),ISNUMBER(SEARCH("minggu",C267))),IFERROR(_xlfn.NUMBERVALUE(SUBSTITUTE(LEFT(TRIM(C267),FIND(" ",TRIM(C267)&amp;" ")-1),",","."),"."),LEFT(SUBSTITUTE(LEFT(TRIM(C267),FIND(" ",TRIM(C267)&amp;" ")-1),",","."),FIND("/",SUBSTITUTE(LEFT(TRIM(C267),FIND(" ",TRIM(C267)&amp;" ")-1),",","."))-1)/MID(SUBSTITUTE(LEFT(TRIM(C267),FIND(" ",TRIM(C267)&amp;" ")-1),",","."),FIND("/",SUBSTITUTE(LEFT(TRIM(C267),FIND(" ",TRIM(C267)&amp;" ")-1),",","."))+1,9))*12/52,IF(ISNUMBER(SEARCH("month",C267)),IFERROR(_xlfn.NUMBERVALUE(SUBSTITUTE(LEFT(TRIM(C267),FIND(" ",TRIM(C267)&amp;" ")-1),",","."),"."),LEFT(SUBSTITUTE(LEFT(TRIM(C267),FIND(" ",TRIM(C267)&amp;" ")-1),",","."),FIND("/",SUBSTITUTE(LEFT(TRIM(C267),FIND(" ",TRIM(C267)&amp;" ")-1),",","."))-1)/MID(SUBSTITUTE(LEFT(TRIM(C267),FIND(" ",TRIM(C267)&amp;" ")-1),",","."),FIND("/",SUBSTITUTE(LEFT(TRIM(C267),FIND(" ",TRIM(C267)&amp;" ")-1),",","."))+1,9)),IF(ISNUMBER(SEARCH("yea",C267)),IFERROR(_xlfn.NUMBERVALUE(SUBSTITUTE(LEFT(TRIM(C267),FIND(" ",TRIM(C267)&amp;" ")-1),",","."),"."),LEFT(SUBSTITUTE(LEFT(TRIM(C267),FIND(" ",TRIM(C267)&amp;" ")-1),",","."),FIND("/",SUBSTITUTE(LEFT(TRIM(C267),FIND(" ",TRIM(C267)&amp;" ")-1),",","."))-1)/MID(SUBSTITUTE(LEFT(TRIM(C267),FIND(" ",TRIM(C267)&amp;" ")-1),",","."),FIND("/",SUBSTITUTE(LEFT(TRIM(C267),FIND(" ",TRIM(C267)&amp;" ")-1),",","."))+1,9))*12,NA()))),0),48)*'Aturan &amp; Tarif'!$B$4,2)</f>
        <v>2725.44</v>
      </c>
      <c r="K267" s="32" t="n">
        <f aca="false">'Aturan &amp; Tarif'!$B$5</f>
        <v>2050</v>
      </c>
      <c r="L267" s="35" t="n">
        <f aca="false">I267+J267+K267</f>
        <v>27475.44</v>
      </c>
      <c r="M267" s="37" t="s">
        <v>846</v>
      </c>
    </row>
    <row r="268" customFormat="false" ht="25.5" hidden="false" customHeight="true" outlineLevel="0" collapsed="false">
      <c r="A268" s="29"/>
      <c r="B268" s="30" t="s">
        <v>1448</v>
      </c>
      <c r="C268" s="31" t="s">
        <v>127</v>
      </c>
      <c r="D268" s="31" t="s">
        <v>108</v>
      </c>
      <c r="E268" s="32" t="n">
        <v>12625</v>
      </c>
      <c r="F268" s="32"/>
      <c r="G268" s="32" t="n">
        <v>150</v>
      </c>
      <c r="H268" s="33" t="n">
        <v>2</v>
      </c>
      <c r="I268" s="34" t="n">
        <f aca="false">E268*H268+N(F268)+N(G268)</f>
        <v>25400</v>
      </c>
      <c r="J268" s="32" t="n">
        <f aca="false">ROUND(IFERROR(ROUND(IF(OR(ISNUMBER(SEARCH("week",C268)),ISNUMBER(SEARCH("minggu",C268))),IFERROR(_xlfn.NUMBERVALUE(SUBSTITUTE(LEFT(TRIM(C268),FIND(" ",TRIM(C268)&amp;" ")-1),",","."),"."),LEFT(SUBSTITUTE(LEFT(TRIM(C268),FIND(" ",TRIM(C268)&amp;" ")-1),",","."),FIND("/",SUBSTITUTE(LEFT(TRIM(C268),FIND(" ",TRIM(C268)&amp;" ")-1),",","."))-1)/MID(SUBSTITUTE(LEFT(TRIM(C268),FIND(" ",TRIM(C268)&amp;" ")-1),",","."),FIND("/",SUBSTITUTE(LEFT(TRIM(C268),FIND(" ",TRIM(C268)&amp;" ")-1),",","."))+1,9))*12/52,IF(ISNUMBER(SEARCH("month",C268)),IFERROR(_xlfn.NUMBERVALUE(SUBSTITUTE(LEFT(TRIM(C268),FIND(" ",TRIM(C268)&amp;" ")-1),",","."),"."),LEFT(SUBSTITUTE(LEFT(TRIM(C268),FIND(" ",TRIM(C268)&amp;" ")-1),",","."),FIND("/",SUBSTITUTE(LEFT(TRIM(C268),FIND(" ",TRIM(C268)&amp;" ")-1),",","."))-1)/MID(SUBSTITUTE(LEFT(TRIM(C268),FIND(" ",TRIM(C268)&amp;" ")-1),",","."),FIND("/",SUBSTITUTE(LEFT(TRIM(C268),FIND(" ",TRIM(C268)&amp;" ")-1),",","."))+1,9)),IF(ISNUMBER(SEARCH("yea",C268)),IFERROR(_xlfn.NUMBERVALUE(SUBSTITUTE(LEFT(TRIM(C268),FIND(" ",TRIM(C268)&amp;" ")-1),",","."),"."),LEFT(SUBSTITUTE(LEFT(TRIM(C268),FIND(" ",TRIM(C268)&amp;" ")-1),",","."),FIND("/",SUBSTITUTE(LEFT(TRIM(C268),FIND(" ",TRIM(C268)&amp;" ")-1),",","."))-1)/MID(SUBSTITUTE(LEFT(TRIM(C268),FIND(" ",TRIM(C268)&amp;" ")-1),",","."),FIND("/",SUBSTITUTE(LEFT(TRIM(C268),FIND(" ",TRIM(C268)&amp;" ")-1),",","."))+1,9))*12,NA()))),0),36)*'Aturan &amp; Tarif'!$B$4,2)</f>
        <v>2044.08</v>
      </c>
      <c r="K268" s="32" t="n">
        <f aca="false">'Aturan &amp; Tarif'!$B$5</f>
        <v>2050</v>
      </c>
      <c r="L268" s="35" t="n">
        <f aca="false">I268+J268+K268</f>
        <v>29494.08</v>
      </c>
      <c r="M268" s="37" t="s">
        <v>1256</v>
      </c>
    </row>
    <row r="269" customFormat="false" ht="25.5" hidden="false" customHeight="true" outlineLevel="0" collapsed="false">
      <c r="A269" s="29"/>
      <c r="B269" s="30" t="s">
        <v>1449</v>
      </c>
      <c r="C269" s="31" t="s">
        <v>127</v>
      </c>
      <c r="D269" s="31" t="s">
        <v>108</v>
      </c>
      <c r="E269" s="32" t="n">
        <v>12625</v>
      </c>
      <c r="F269" s="32"/>
      <c r="G269" s="32" t="n">
        <v>150</v>
      </c>
      <c r="H269" s="33" t="n">
        <v>2</v>
      </c>
      <c r="I269" s="34" t="n">
        <f aca="false">E269*H269+N(F269)+N(G269)</f>
        <v>25400</v>
      </c>
      <c r="J269" s="32" t="n">
        <f aca="false">ROUND(IFERROR(ROUND(IF(OR(ISNUMBER(SEARCH("week",C269)),ISNUMBER(SEARCH("minggu",C269))),IFERROR(_xlfn.NUMBERVALUE(SUBSTITUTE(LEFT(TRIM(C269),FIND(" ",TRIM(C269)&amp;" ")-1),",","."),"."),LEFT(SUBSTITUTE(LEFT(TRIM(C269),FIND(" ",TRIM(C269)&amp;" ")-1),",","."),FIND("/",SUBSTITUTE(LEFT(TRIM(C269),FIND(" ",TRIM(C269)&amp;" ")-1),",","."))-1)/MID(SUBSTITUTE(LEFT(TRIM(C269),FIND(" ",TRIM(C269)&amp;" ")-1),",","."),FIND("/",SUBSTITUTE(LEFT(TRIM(C269),FIND(" ",TRIM(C269)&amp;" ")-1),",","."))+1,9))*12/52,IF(ISNUMBER(SEARCH("month",C269)),IFERROR(_xlfn.NUMBERVALUE(SUBSTITUTE(LEFT(TRIM(C269),FIND(" ",TRIM(C269)&amp;" ")-1),",","."),"."),LEFT(SUBSTITUTE(LEFT(TRIM(C269),FIND(" ",TRIM(C269)&amp;" ")-1),",","."),FIND("/",SUBSTITUTE(LEFT(TRIM(C269),FIND(" ",TRIM(C269)&amp;" ")-1),",","."))-1)/MID(SUBSTITUTE(LEFT(TRIM(C269),FIND(" ",TRIM(C269)&amp;" ")-1),",","."),FIND("/",SUBSTITUTE(LEFT(TRIM(C269),FIND(" ",TRIM(C269)&amp;" ")-1),",","."))+1,9)),IF(ISNUMBER(SEARCH("yea",C269)),IFERROR(_xlfn.NUMBERVALUE(SUBSTITUTE(LEFT(TRIM(C269),FIND(" ",TRIM(C269)&amp;" ")-1),",","."),"."),LEFT(SUBSTITUTE(LEFT(TRIM(C269),FIND(" ",TRIM(C269)&amp;" ")-1),",","."),FIND("/",SUBSTITUTE(LEFT(TRIM(C269),FIND(" ",TRIM(C269)&amp;" ")-1),",","."))-1)/MID(SUBSTITUTE(LEFT(TRIM(C269),FIND(" ",TRIM(C269)&amp;" ")-1),",","."),FIND("/",SUBSTITUTE(LEFT(TRIM(C269),FIND(" ",TRIM(C269)&amp;" ")-1),",","."))+1,9))*12,NA()))),0),36)*'Aturan &amp; Tarif'!$B$4,2)</f>
        <v>2044.08</v>
      </c>
      <c r="K269" s="32" t="n">
        <f aca="false">'Aturan &amp; Tarif'!$B$5</f>
        <v>2050</v>
      </c>
      <c r="L269" s="35" t="n">
        <f aca="false">I269+J269+K269</f>
        <v>29494.08</v>
      </c>
      <c r="M269" s="37" t="s">
        <v>1256</v>
      </c>
    </row>
    <row r="270" customFormat="false" ht="14.25" hidden="false" customHeight="true" outlineLevel="0" collapsed="false">
      <c r="A270" s="29"/>
      <c r="B270" s="30" t="s">
        <v>1450</v>
      </c>
      <c r="C270" s="31" t="s">
        <v>107</v>
      </c>
      <c r="D270" s="31" t="s">
        <v>108</v>
      </c>
      <c r="E270" s="32" t="n">
        <v>13575</v>
      </c>
      <c r="F270" s="32"/>
      <c r="G270" s="32" t="n">
        <v>150</v>
      </c>
      <c r="H270" s="33" t="n">
        <v>2</v>
      </c>
      <c r="I270" s="34" t="n">
        <f aca="false">E270*H270+N(F270)+N(G270)</f>
        <v>27300</v>
      </c>
      <c r="J270" s="32" t="n">
        <f aca="false">ROUND(IFERROR(ROUND(IF(OR(ISNUMBER(SEARCH("week",C270)),ISNUMBER(SEARCH("minggu",C270))),IFERROR(_xlfn.NUMBERVALUE(SUBSTITUTE(LEFT(TRIM(C270),FIND(" ",TRIM(C270)&amp;" ")-1),",","."),"."),LEFT(SUBSTITUTE(LEFT(TRIM(C270),FIND(" ",TRIM(C270)&amp;" ")-1),",","."),FIND("/",SUBSTITUTE(LEFT(TRIM(C270),FIND(" ",TRIM(C270)&amp;" ")-1),",","."))-1)/MID(SUBSTITUTE(LEFT(TRIM(C270),FIND(" ",TRIM(C270)&amp;" ")-1),",","."),FIND("/",SUBSTITUTE(LEFT(TRIM(C270),FIND(" ",TRIM(C270)&amp;" ")-1),",","."))+1,9))*12/52,IF(ISNUMBER(SEARCH("month",C270)),IFERROR(_xlfn.NUMBERVALUE(SUBSTITUTE(LEFT(TRIM(C270),FIND(" ",TRIM(C270)&amp;" ")-1),",","."),"."),LEFT(SUBSTITUTE(LEFT(TRIM(C270),FIND(" ",TRIM(C270)&amp;" ")-1),",","."),FIND("/",SUBSTITUTE(LEFT(TRIM(C270),FIND(" ",TRIM(C270)&amp;" ")-1),",","."))-1)/MID(SUBSTITUTE(LEFT(TRIM(C270),FIND(" ",TRIM(C270)&amp;" ")-1),",","."),FIND("/",SUBSTITUTE(LEFT(TRIM(C270),FIND(" ",TRIM(C270)&amp;" ")-1),",","."))+1,9)),IF(ISNUMBER(SEARCH("yea",C270)),IFERROR(_xlfn.NUMBERVALUE(SUBSTITUTE(LEFT(TRIM(C270),FIND(" ",TRIM(C270)&amp;" ")-1),",","."),"."),LEFT(SUBSTITUTE(LEFT(TRIM(C270),FIND(" ",TRIM(C270)&amp;" ")-1),",","."),FIND("/",SUBSTITUTE(LEFT(TRIM(C270),FIND(" ",TRIM(C270)&amp;" ")-1),",","."))-1)/MID(SUBSTITUTE(LEFT(TRIM(C270),FIND(" ",TRIM(C270)&amp;" ")-1),",","."),FIND("/",SUBSTITUTE(LEFT(TRIM(C270),FIND(" ",TRIM(C270)&amp;" ")-1),",","."))+1,9))*12,NA()))),0),24)*'Aturan &amp; Tarif'!$B$4,2)</f>
        <v>1362.72</v>
      </c>
      <c r="K270" s="32" t="n">
        <f aca="false">'Aturan &amp; Tarif'!$B$5</f>
        <v>2050</v>
      </c>
      <c r="L270" s="35" t="n">
        <f aca="false">I270+J270+K270</f>
        <v>30712.72</v>
      </c>
      <c r="M270" s="37" t="s">
        <v>1451</v>
      </c>
    </row>
    <row r="271" customFormat="false" ht="25.5" hidden="false" customHeight="true" outlineLevel="0" collapsed="false">
      <c r="A271" s="29"/>
      <c r="B271" s="30" t="s">
        <v>1452</v>
      </c>
      <c r="C271" s="31" t="s">
        <v>107</v>
      </c>
      <c r="D271" s="31" t="s">
        <v>108</v>
      </c>
      <c r="E271" s="32" t="n">
        <v>13575</v>
      </c>
      <c r="F271" s="32"/>
      <c r="G271" s="32" t="n">
        <v>150</v>
      </c>
      <c r="H271" s="33" t="n">
        <v>2</v>
      </c>
      <c r="I271" s="34" t="n">
        <f aca="false">E271*H271+N(F271)+N(G271)</f>
        <v>27300</v>
      </c>
      <c r="J271" s="32" t="n">
        <f aca="false">ROUND(IFERROR(ROUND(IF(OR(ISNUMBER(SEARCH("week",C271)),ISNUMBER(SEARCH("minggu",C271))),IFERROR(_xlfn.NUMBERVALUE(SUBSTITUTE(LEFT(TRIM(C271),FIND(" ",TRIM(C271)&amp;" ")-1),",","."),"."),LEFT(SUBSTITUTE(LEFT(TRIM(C271),FIND(" ",TRIM(C271)&amp;" ")-1),",","."),FIND("/",SUBSTITUTE(LEFT(TRIM(C271),FIND(" ",TRIM(C271)&amp;" ")-1),",","."))-1)/MID(SUBSTITUTE(LEFT(TRIM(C271),FIND(" ",TRIM(C271)&amp;" ")-1),",","."),FIND("/",SUBSTITUTE(LEFT(TRIM(C271),FIND(" ",TRIM(C271)&amp;" ")-1),",","."))+1,9))*12/52,IF(ISNUMBER(SEARCH("month",C271)),IFERROR(_xlfn.NUMBERVALUE(SUBSTITUTE(LEFT(TRIM(C271),FIND(" ",TRIM(C271)&amp;" ")-1),",","."),"."),LEFT(SUBSTITUTE(LEFT(TRIM(C271),FIND(" ",TRIM(C271)&amp;" ")-1),",","."),FIND("/",SUBSTITUTE(LEFT(TRIM(C271),FIND(" ",TRIM(C271)&amp;" ")-1),",","."))-1)/MID(SUBSTITUTE(LEFT(TRIM(C271),FIND(" ",TRIM(C271)&amp;" ")-1),",","."),FIND("/",SUBSTITUTE(LEFT(TRIM(C271),FIND(" ",TRIM(C271)&amp;" ")-1),",","."))+1,9)),IF(ISNUMBER(SEARCH("yea",C271)),IFERROR(_xlfn.NUMBERVALUE(SUBSTITUTE(LEFT(TRIM(C271),FIND(" ",TRIM(C271)&amp;" ")-1),",","."),"."),LEFT(SUBSTITUTE(LEFT(TRIM(C271),FIND(" ",TRIM(C271)&amp;" ")-1),",","."),FIND("/",SUBSTITUTE(LEFT(TRIM(C271),FIND(" ",TRIM(C271)&amp;" ")-1),",","."))-1)/MID(SUBSTITUTE(LEFT(TRIM(C271),FIND(" ",TRIM(C271)&amp;" ")-1),",","."),FIND("/",SUBSTITUTE(LEFT(TRIM(C271),FIND(" ",TRIM(C271)&amp;" ")-1),",","."))+1,9))*12,NA()))),0),24)*'Aturan &amp; Tarif'!$B$4,2)</f>
        <v>1362.72</v>
      </c>
      <c r="K271" s="32" t="n">
        <f aca="false">'Aturan &amp; Tarif'!$B$5</f>
        <v>2050</v>
      </c>
      <c r="L271" s="35" t="n">
        <f aca="false">I271+J271+K271</f>
        <v>30712.72</v>
      </c>
      <c r="M271" s="37" t="s">
        <v>846</v>
      </c>
    </row>
    <row r="272" customFormat="false" ht="14.25" hidden="false" customHeight="true" outlineLevel="0" collapsed="false">
      <c r="A272" s="29"/>
      <c r="B272" s="30" t="s">
        <v>1453</v>
      </c>
      <c r="C272" s="31" t="s">
        <v>107</v>
      </c>
      <c r="D272" s="31" t="s">
        <v>108</v>
      </c>
      <c r="E272" s="32" t="n">
        <v>13575</v>
      </c>
      <c r="F272" s="32"/>
      <c r="G272" s="32" t="n">
        <v>150</v>
      </c>
      <c r="H272" s="33" t="n">
        <v>2</v>
      </c>
      <c r="I272" s="34" t="n">
        <f aca="false">E272*H272+N(F272)+N(G272)</f>
        <v>27300</v>
      </c>
      <c r="J272" s="32" t="n">
        <f aca="false">ROUND(IFERROR(ROUND(IF(OR(ISNUMBER(SEARCH("week",C272)),ISNUMBER(SEARCH("minggu",C272))),IFERROR(_xlfn.NUMBERVALUE(SUBSTITUTE(LEFT(TRIM(C272),FIND(" ",TRIM(C272)&amp;" ")-1),",","."),"."),LEFT(SUBSTITUTE(LEFT(TRIM(C272),FIND(" ",TRIM(C272)&amp;" ")-1),",","."),FIND("/",SUBSTITUTE(LEFT(TRIM(C272),FIND(" ",TRIM(C272)&amp;" ")-1),",","."))-1)/MID(SUBSTITUTE(LEFT(TRIM(C272),FIND(" ",TRIM(C272)&amp;" ")-1),",","."),FIND("/",SUBSTITUTE(LEFT(TRIM(C272),FIND(" ",TRIM(C272)&amp;" ")-1),",","."))+1,9))*12/52,IF(ISNUMBER(SEARCH("month",C272)),IFERROR(_xlfn.NUMBERVALUE(SUBSTITUTE(LEFT(TRIM(C272),FIND(" ",TRIM(C272)&amp;" ")-1),",","."),"."),LEFT(SUBSTITUTE(LEFT(TRIM(C272),FIND(" ",TRIM(C272)&amp;" ")-1),",","."),FIND("/",SUBSTITUTE(LEFT(TRIM(C272),FIND(" ",TRIM(C272)&amp;" ")-1),",","."))-1)/MID(SUBSTITUTE(LEFT(TRIM(C272),FIND(" ",TRIM(C272)&amp;" ")-1),",","."),FIND("/",SUBSTITUTE(LEFT(TRIM(C272),FIND(" ",TRIM(C272)&amp;" ")-1),",","."))+1,9)),IF(ISNUMBER(SEARCH("yea",C272)),IFERROR(_xlfn.NUMBERVALUE(SUBSTITUTE(LEFT(TRIM(C272),FIND(" ",TRIM(C272)&amp;" ")-1),",","."),"."),LEFT(SUBSTITUTE(LEFT(TRIM(C272),FIND(" ",TRIM(C272)&amp;" ")-1),",","."),FIND("/",SUBSTITUTE(LEFT(TRIM(C272),FIND(" ",TRIM(C272)&amp;" ")-1),",","."))-1)/MID(SUBSTITUTE(LEFT(TRIM(C272),FIND(" ",TRIM(C272)&amp;" ")-1),",","."),FIND("/",SUBSTITUTE(LEFT(TRIM(C272),FIND(" ",TRIM(C272)&amp;" ")-1),",","."))+1,9))*12,NA()))),0),24)*'Aturan &amp; Tarif'!$B$4,2)</f>
        <v>1362.72</v>
      </c>
      <c r="K272" s="32" t="n">
        <f aca="false">'Aturan &amp; Tarif'!$B$5</f>
        <v>2050</v>
      </c>
      <c r="L272" s="35" t="n">
        <f aca="false">I272+J272+K272</f>
        <v>30712.72</v>
      </c>
      <c r="M272" s="37" t="s">
        <v>846</v>
      </c>
    </row>
    <row r="273" customFormat="false" ht="14.25" hidden="false" customHeight="true" outlineLevel="0" collapsed="false">
      <c r="A273" s="29"/>
      <c r="B273" s="30" t="s">
        <v>1454</v>
      </c>
      <c r="C273" s="31" t="s">
        <v>113</v>
      </c>
      <c r="D273" s="31" t="s">
        <v>108</v>
      </c>
      <c r="E273" s="32" t="n">
        <v>13575</v>
      </c>
      <c r="F273" s="32"/>
      <c r="G273" s="32" t="n">
        <v>150</v>
      </c>
      <c r="H273" s="33" t="n">
        <v>2</v>
      </c>
      <c r="I273" s="34" t="n">
        <f aca="false">E273*H273+N(F273)+N(G273)</f>
        <v>27300</v>
      </c>
      <c r="J273" s="32" t="n">
        <f aca="false">ROUND(IFERROR(ROUND(IF(OR(ISNUMBER(SEARCH("week",C273)),ISNUMBER(SEARCH("minggu",C273))),IFERROR(_xlfn.NUMBERVALUE(SUBSTITUTE(LEFT(TRIM(C273),FIND(" ",TRIM(C273)&amp;" ")-1),",","."),"."),LEFT(SUBSTITUTE(LEFT(TRIM(C273),FIND(" ",TRIM(C273)&amp;" ")-1),",","."),FIND("/",SUBSTITUTE(LEFT(TRIM(C273),FIND(" ",TRIM(C273)&amp;" ")-1),",","."))-1)/MID(SUBSTITUTE(LEFT(TRIM(C273),FIND(" ",TRIM(C273)&amp;" ")-1),",","."),FIND("/",SUBSTITUTE(LEFT(TRIM(C273),FIND(" ",TRIM(C273)&amp;" ")-1),",","."))+1,9))*12/52,IF(ISNUMBER(SEARCH("month",C273)),IFERROR(_xlfn.NUMBERVALUE(SUBSTITUTE(LEFT(TRIM(C273),FIND(" ",TRIM(C273)&amp;" ")-1),",","."),"."),LEFT(SUBSTITUTE(LEFT(TRIM(C273),FIND(" ",TRIM(C273)&amp;" ")-1),",","."),FIND("/",SUBSTITUTE(LEFT(TRIM(C273),FIND(" ",TRIM(C273)&amp;" ")-1),",","."))-1)/MID(SUBSTITUTE(LEFT(TRIM(C273),FIND(" ",TRIM(C273)&amp;" ")-1),",","."),FIND("/",SUBSTITUTE(LEFT(TRIM(C273),FIND(" ",TRIM(C273)&amp;" ")-1),",","."))+1,9)),IF(ISNUMBER(SEARCH("yea",C273)),IFERROR(_xlfn.NUMBERVALUE(SUBSTITUTE(LEFT(TRIM(C273),FIND(" ",TRIM(C273)&amp;" ")-1),",","."),"."),LEFT(SUBSTITUTE(LEFT(TRIM(C273),FIND(" ",TRIM(C273)&amp;" ")-1),",","."),FIND("/",SUBSTITUTE(LEFT(TRIM(C273),FIND(" ",TRIM(C273)&amp;" ")-1),",","."))-1)/MID(SUBSTITUTE(LEFT(TRIM(C273),FIND(" ",TRIM(C273)&amp;" ")-1),",","."),FIND("/",SUBSTITUTE(LEFT(TRIM(C273),FIND(" ",TRIM(C273)&amp;" ")-1),",","."))+1,9))*12,NA()))),0),18)*'Aturan &amp; Tarif'!$B$4,2)</f>
        <v>1022.04</v>
      </c>
      <c r="K273" s="32" t="n">
        <f aca="false">'Aturan &amp; Tarif'!$B$5</f>
        <v>2050</v>
      </c>
      <c r="L273" s="35" t="n">
        <f aca="false">I273+J273+K273</f>
        <v>30372.04</v>
      </c>
      <c r="M273" s="37" t="s">
        <v>846</v>
      </c>
    </row>
    <row r="274" customFormat="false" ht="14.25" hidden="false" customHeight="true" outlineLevel="0" collapsed="false">
      <c r="A274" s="29"/>
      <c r="B274" s="30" t="s">
        <v>1455</v>
      </c>
      <c r="C274" s="31" t="s">
        <v>107</v>
      </c>
      <c r="D274" s="31" t="s">
        <v>108</v>
      </c>
      <c r="E274" s="32" t="n">
        <v>13575</v>
      </c>
      <c r="F274" s="32"/>
      <c r="G274" s="32" t="n">
        <v>150</v>
      </c>
      <c r="H274" s="33" t="n">
        <v>2</v>
      </c>
      <c r="I274" s="34" t="n">
        <f aca="false">E274*H274+N(F274)+N(G274)</f>
        <v>27300</v>
      </c>
      <c r="J274" s="32" t="n">
        <f aca="false">ROUND(IFERROR(ROUND(IF(OR(ISNUMBER(SEARCH("week",C274)),ISNUMBER(SEARCH("minggu",C274))),IFERROR(_xlfn.NUMBERVALUE(SUBSTITUTE(LEFT(TRIM(C274),FIND(" ",TRIM(C274)&amp;" ")-1),",","."),"."),LEFT(SUBSTITUTE(LEFT(TRIM(C274),FIND(" ",TRIM(C274)&amp;" ")-1),",","."),FIND("/",SUBSTITUTE(LEFT(TRIM(C274),FIND(" ",TRIM(C274)&amp;" ")-1),",","."))-1)/MID(SUBSTITUTE(LEFT(TRIM(C274),FIND(" ",TRIM(C274)&amp;" ")-1),",","."),FIND("/",SUBSTITUTE(LEFT(TRIM(C274),FIND(" ",TRIM(C274)&amp;" ")-1),",","."))+1,9))*12/52,IF(ISNUMBER(SEARCH("month",C274)),IFERROR(_xlfn.NUMBERVALUE(SUBSTITUTE(LEFT(TRIM(C274),FIND(" ",TRIM(C274)&amp;" ")-1),",","."),"."),LEFT(SUBSTITUTE(LEFT(TRIM(C274),FIND(" ",TRIM(C274)&amp;" ")-1),",","."),FIND("/",SUBSTITUTE(LEFT(TRIM(C274),FIND(" ",TRIM(C274)&amp;" ")-1),",","."))-1)/MID(SUBSTITUTE(LEFT(TRIM(C274),FIND(" ",TRIM(C274)&amp;" ")-1),",","."),FIND("/",SUBSTITUTE(LEFT(TRIM(C274),FIND(" ",TRIM(C274)&amp;" ")-1),",","."))+1,9)),IF(ISNUMBER(SEARCH("yea",C274)),IFERROR(_xlfn.NUMBERVALUE(SUBSTITUTE(LEFT(TRIM(C274),FIND(" ",TRIM(C274)&amp;" ")-1),",","."),"."),LEFT(SUBSTITUTE(LEFT(TRIM(C274),FIND(" ",TRIM(C274)&amp;" ")-1),",","."),FIND("/",SUBSTITUTE(LEFT(TRIM(C274),FIND(" ",TRIM(C274)&amp;" ")-1),",","."))-1)/MID(SUBSTITUTE(LEFT(TRIM(C274),FIND(" ",TRIM(C274)&amp;" ")-1),",","."),FIND("/",SUBSTITUTE(LEFT(TRIM(C274),FIND(" ",TRIM(C274)&amp;" ")-1),",","."))+1,9))*12,NA()))),0),24)*'Aturan &amp; Tarif'!$B$4,2)</f>
        <v>1362.72</v>
      </c>
      <c r="K274" s="32" t="n">
        <f aca="false">'Aturan &amp; Tarif'!$B$5</f>
        <v>2050</v>
      </c>
      <c r="L274" s="35" t="n">
        <f aca="false">I274+J274+K274</f>
        <v>30712.72</v>
      </c>
      <c r="M274" s="37" t="s">
        <v>846</v>
      </c>
    </row>
    <row r="275" customFormat="false" ht="25.5" hidden="false" customHeight="true" outlineLevel="0" collapsed="false">
      <c r="A275" s="29"/>
      <c r="B275" s="30" t="s">
        <v>1456</v>
      </c>
      <c r="C275" s="31" t="s">
        <v>107</v>
      </c>
      <c r="D275" s="31" t="s">
        <v>108</v>
      </c>
      <c r="E275" s="32" t="n">
        <v>13575</v>
      </c>
      <c r="F275" s="32"/>
      <c r="G275" s="32" t="n">
        <v>150</v>
      </c>
      <c r="H275" s="33" t="n">
        <v>2</v>
      </c>
      <c r="I275" s="34" t="n">
        <f aca="false">E275*H275+N(F275)+N(G275)</f>
        <v>27300</v>
      </c>
      <c r="J275" s="32" t="n">
        <f aca="false">ROUND(IFERROR(ROUND(IF(OR(ISNUMBER(SEARCH("week",C275)),ISNUMBER(SEARCH("minggu",C275))),IFERROR(_xlfn.NUMBERVALUE(SUBSTITUTE(LEFT(TRIM(C275),FIND(" ",TRIM(C275)&amp;" ")-1),",","."),"."),LEFT(SUBSTITUTE(LEFT(TRIM(C275),FIND(" ",TRIM(C275)&amp;" ")-1),",","."),FIND("/",SUBSTITUTE(LEFT(TRIM(C275),FIND(" ",TRIM(C275)&amp;" ")-1),",","."))-1)/MID(SUBSTITUTE(LEFT(TRIM(C275),FIND(" ",TRIM(C275)&amp;" ")-1),",","."),FIND("/",SUBSTITUTE(LEFT(TRIM(C275),FIND(" ",TRIM(C275)&amp;" ")-1),",","."))+1,9))*12/52,IF(ISNUMBER(SEARCH("month",C275)),IFERROR(_xlfn.NUMBERVALUE(SUBSTITUTE(LEFT(TRIM(C275),FIND(" ",TRIM(C275)&amp;" ")-1),",","."),"."),LEFT(SUBSTITUTE(LEFT(TRIM(C275),FIND(" ",TRIM(C275)&amp;" ")-1),",","."),FIND("/",SUBSTITUTE(LEFT(TRIM(C275),FIND(" ",TRIM(C275)&amp;" ")-1),",","."))-1)/MID(SUBSTITUTE(LEFT(TRIM(C275),FIND(" ",TRIM(C275)&amp;" ")-1),",","."),FIND("/",SUBSTITUTE(LEFT(TRIM(C275),FIND(" ",TRIM(C275)&amp;" ")-1),",","."))+1,9)),IF(ISNUMBER(SEARCH("yea",C275)),IFERROR(_xlfn.NUMBERVALUE(SUBSTITUTE(LEFT(TRIM(C275),FIND(" ",TRIM(C275)&amp;" ")-1),",","."),"."),LEFT(SUBSTITUTE(LEFT(TRIM(C275),FIND(" ",TRIM(C275)&amp;" ")-1),",","."),FIND("/",SUBSTITUTE(LEFT(TRIM(C275),FIND(" ",TRIM(C275)&amp;" ")-1),",","."))-1)/MID(SUBSTITUTE(LEFT(TRIM(C275),FIND(" ",TRIM(C275)&amp;" ")-1),",","."),FIND("/",SUBSTITUTE(LEFT(TRIM(C275),FIND(" ",TRIM(C275)&amp;" ")-1),",","."))+1,9))*12,NA()))),0),24)*'Aturan &amp; Tarif'!$B$4,2)</f>
        <v>1362.72</v>
      </c>
      <c r="K275" s="32" t="n">
        <f aca="false">'Aturan &amp; Tarif'!$B$5</f>
        <v>2050</v>
      </c>
      <c r="L275" s="35" t="n">
        <f aca="false">I275+J275+K275</f>
        <v>30712.72</v>
      </c>
      <c r="M275" s="37" t="s">
        <v>846</v>
      </c>
    </row>
    <row r="276" customFormat="false" ht="37.5" hidden="false" customHeight="true" outlineLevel="0" collapsed="false">
      <c r="A276" s="29"/>
      <c r="B276" s="30" t="s">
        <v>1457</v>
      </c>
      <c r="C276" s="31" t="s">
        <v>107</v>
      </c>
      <c r="D276" s="31" t="s">
        <v>108</v>
      </c>
      <c r="E276" s="32" t="n">
        <v>13575</v>
      </c>
      <c r="F276" s="32"/>
      <c r="G276" s="32" t="n">
        <v>150</v>
      </c>
      <c r="H276" s="33" t="n">
        <v>2</v>
      </c>
      <c r="I276" s="34" t="n">
        <f aca="false">E276*H276+N(F276)+N(G276)</f>
        <v>27300</v>
      </c>
      <c r="J276" s="32" t="n">
        <f aca="false">ROUND(IFERROR(ROUND(IF(OR(ISNUMBER(SEARCH("week",C276)),ISNUMBER(SEARCH("minggu",C276))),IFERROR(_xlfn.NUMBERVALUE(SUBSTITUTE(LEFT(TRIM(C276),FIND(" ",TRIM(C276)&amp;" ")-1),",","."),"."),LEFT(SUBSTITUTE(LEFT(TRIM(C276),FIND(" ",TRIM(C276)&amp;" ")-1),",","."),FIND("/",SUBSTITUTE(LEFT(TRIM(C276),FIND(" ",TRIM(C276)&amp;" ")-1),",","."))-1)/MID(SUBSTITUTE(LEFT(TRIM(C276),FIND(" ",TRIM(C276)&amp;" ")-1),",","."),FIND("/",SUBSTITUTE(LEFT(TRIM(C276),FIND(" ",TRIM(C276)&amp;" ")-1),",","."))+1,9))*12/52,IF(ISNUMBER(SEARCH("month",C276)),IFERROR(_xlfn.NUMBERVALUE(SUBSTITUTE(LEFT(TRIM(C276),FIND(" ",TRIM(C276)&amp;" ")-1),",","."),"."),LEFT(SUBSTITUTE(LEFT(TRIM(C276),FIND(" ",TRIM(C276)&amp;" ")-1),",","."),FIND("/",SUBSTITUTE(LEFT(TRIM(C276),FIND(" ",TRIM(C276)&amp;" ")-1),",","."))-1)/MID(SUBSTITUTE(LEFT(TRIM(C276),FIND(" ",TRIM(C276)&amp;" ")-1),",","."),FIND("/",SUBSTITUTE(LEFT(TRIM(C276),FIND(" ",TRIM(C276)&amp;" ")-1),",","."))+1,9)),IF(ISNUMBER(SEARCH("yea",C276)),IFERROR(_xlfn.NUMBERVALUE(SUBSTITUTE(LEFT(TRIM(C276),FIND(" ",TRIM(C276)&amp;" ")-1),",","."),"."),LEFT(SUBSTITUTE(LEFT(TRIM(C276),FIND(" ",TRIM(C276)&amp;" ")-1),",","."),FIND("/",SUBSTITUTE(LEFT(TRIM(C276),FIND(" ",TRIM(C276)&amp;" ")-1),",","."))-1)/MID(SUBSTITUTE(LEFT(TRIM(C276),FIND(" ",TRIM(C276)&amp;" ")-1),",","."),FIND("/",SUBSTITUTE(LEFT(TRIM(C276),FIND(" ",TRIM(C276)&amp;" ")-1),",","."))+1,9))*12,NA()))),0),24)*'Aturan &amp; Tarif'!$B$4,2)</f>
        <v>1362.72</v>
      </c>
      <c r="K276" s="32" t="n">
        <f aca="false">'Aturan &amp; Tarif'!$B$5</f>
        <v>2050</v>
      </c>
      <c r="L276" s="35" t="n">
        <f aca="false">I276+J276+K276</f>
        <v>30712.72</v>
      </c>
      <c r="M276" s="37" t="s">
        <v>846</v>
      </c>
    </row>
    <row r="277" customFormat="false" ht="25.5" hidden="false" customHeight="true" outlineLevel="0" collapsed="false">
      <c r="A277" s="29"/>
      <c r="B277" s="30" t="s">
        <v>1458</v>
      </c>
      <c r="C277" s="31" t="s">
        <v>107</v>
      </c>
      <c r="D277" s="31" t="s">
        <v>108</v>
      </c>
      <c r="E277" s="32" t="n">
        <v>13575</v>
      </c>
      <c r="F277" s="32"/>
      <c r="G277" s="32" t="n">
        <v>150</v>
      </c>
      <c r="H277" s="33" t="n">
        <v>2</v>
      </c>
      <c r="I277" s="34" t="n">
        <f aca="false">E277*H277+N(F277)+N(G277)</f>
        <v>27300</v>
      </c>
      <c r="J277" s="32" t="n">
        <f aca="false">ROUND(IFERROR(ROUND(IF(OR(ISNUMBER(SEARCH("week",C277)),ISNUMBER(SEARCH("minggu",C277))),IFERROR(_xlfn.NUMBERVALUE(SUBSTITUTE(LEFT(TRIM(C277),FIND(" ",TRIM(C277)&amp;" ")-1),",","."),"."),LEFT(SUBSTITUTE(LEFT(TRIM(C277),FIND(" ",TRIM(C277)&amp;" ")-1),",","."),FIND("/",SUBSTITUTE(LEFT(TRIM(C277),FIND(" ",TRIM(C277)&amp;" ")-1),",","."))-1)/MID(SUBSTITUTE(LEFT(TRIM(C277),FIND(" ",TRIM(C277)&amp;" ")-1),",","."),FIND("/",SUBSTITUTE(LEFT(TRIM(C277),FIND(" ",TRIM(C277)&amp;" ")-1),",","."))+1,9))*12/52,IF(ISNUMBER(SEARCH("month",C277)),IFERROR(_xlfn.NUMBERVALUE(SUBSTITUTE(LEFT(TRIM(C277),FIND(" ",TRIM(C277)&amp;" ")-1),",","."),"."),LEFT(SUBSTITUTE(LEFT(TRIM(C277),FIND(" ",TRIM(C277)&amp;" ")-1),",","."),FIND("/",SUBSTITUTE(LEFT(TRIM(C277),FIND(" ",TRIM(C277)&amp;" ")-1),",","."))-1)/MID(SUBSTITUTE(LEFT(TRIM(C277),FIND(" ",TRIM(C277)&amp;" ")-1),",","."),FIND("/",SUBSTITUTE(LEFT(TRIM(C277),FIND(" ",TRIM(C277)&amp;" ")-1),",","."))+1,9)),IF(ISNUMBER(SEARCH("yea",C277)),IFERROR(_xlfn.NUMBERVALUE(SUBSTITUTE(LEFT(TRIM(C277),FIND(" ",TRIM(C277)&amp;" ")-1),",","."),"."),LEFT(SUBSTITUTE(LEFT(TRIM(C277),FIND(" ",TRIM(C277)&amp;" ")-1),",","."),FIND("/",SUBSTITUTE(LEFT(TRIM(C277),FIND(" ",TRIM(C277)&amp;" ")-1),",","."))-1)/MID(SUBSTITUTE(LEFT(TRIM(C277),FIND(" ",TRIM(C277)&amp;" ")-1),",","."),FIND("/",SUBSTITUTE(LEFT(TRIM(C277),FIND(" ",TRIM(C277)&amp;" ")-1),",","."))+1,9))*12,NA()))),0),24)*'Aturan &amp; Tarif'!$B$4,2)</f>
        <v>1362.72</v>
      </c>
      <c r="K277" s="32" t="n">
        <f aca="false">'Aturan &amp; Tarif'!$B$5</f>
        <v>2050</v>
      </c>
      <c r="L277" s="35" t="n">
        <f aca="false">I277+J277+K277</f>
        <v>30712.72</v>
      </c>
      <c r="M277" s="37" t="s">
        <v>846</v>
      </c>
    </row>
    <row r="278" customFormat="false" ht="37.5" hidden="false" customHeight="true" outlineLevel="0" collapsed="false">
      <c r="A278" s="29"/>
      <c r="B278" s="30" t="s">
        <v>1459</v>
      </c>
      <c r="C278" s="31" t="s">
        <v>107</v>
      </c>
      <c r="D278" s="31" t="s">
        <v>108</v>
      </c>
      <c r="E278" s="32" t="n">
        <v>13575</v>
      </c>
      <c r="F278" s="32"/>
      <c r="G278" s="32" t="n">
        <v>150</v>
      </c>
      <c r="H278" s="33" t="n">
        <v>2</v>
      </c>
      <c r="I278" s="34" t="n">
        <f aca="false">E278*H278+N(F278)+N(G278)</f>
        <v>27300</v>
      </c>
      <c r="J278" s="32" t="n">
        <f aca="false">ROUND(IFERROR(ROUND(IF(OR(ISNUMBER(SEARCH("week",C278)),ISNUMBER(SEARCH("minggu",C278))),IFERROR(_xlfn.NUMBERVALUE(SUBSTITUTE(LEFT(TRIM(C278),FIND(" ",TRIM(C278)&amp;" ")-1),",","."),"."),LEFT(SUBSTITUTE(LEFT(TRIM(C278),FIND(" ",TRIM(C278)&amp;" ")-1),",","."),FIND("/",SUBSTITUTE(LEFT(TRIM(C278),FIND(" ",TRIM(C278)&amp;" ")-1),",","."))-1)/MID(SUBSTITUTE(LEFT(TRIM(C278),FIND(" ",TRIM(C278)&amp;" ")-1),",","."),FIND("/",SUBSTITUTE(LEFT(TRIM(C278),FIND(" ",TRIM(C278)&amp;" ")-1),",","."))+1,9))*12/52,IF(ISNUMBER(SEARCH("month",C278)),IFERROR(_xlfn.NUMBERVALUE(SUBSTITUTE(LEFT(TRIM(C278),FIND(" ",TRIM(C278)&amp;" ")-1),",","."),"."),LEFT(SUBSTITUTE(LEFT(TRIM(C278),FIND(" ",TRIM(C278)&amp;" ")-1),",","."),FIND("/",SUBSTITUTE(LEFT(TRIM(C278),FIND(" ",TRIM(C278)&amp;" ")-1),",","."))-1)/MID(SUBSTITUTE(LEFT(TRIM(C278),FIND(" ",TRIM(C278)&amp;" ")-1),",","."),FIND("/",SUBSTITUTE(LEFT(TRIM(C278),FIND(" ",TRIM(C278)&amp;" ")-1),",","."))+1,9)),IF(ISNUMBER(SEARCH("yea",C278)),IFERROR(_xlfn.NUMBERVALUE(SUBSTITUTE(LEFT(TRIM(C278),FIND(" ",TRIM(C278)&amp;" ")-1),",","."),"."),LEFT(SUBSTITUTE(LEFT(TRIM(C278),FIND(" ",TRIM(C278)&amp;" ")-1),",","."),FIND("/",SUBSTITUTE(LEFT(TRIM(C278),FIND(" ",TRIM(C278)&amp;" ")-1),",","."))-1)/MID(SUBSTITUTE(LEFT(TRIM(C278),FIND(" ",TRIM(C278)&amp;" ")-1),",","."),FIND("/",SUBSTITUTE(LEFT(TRIM(C278),FIND(" ",TRIM(C278)&amp;" ")-1),",","."))+1,9))*12,NA()))),0),24)*'Aturan &amp; Tarif'!$B$4,2)</f>
        <v>1362.72</v>
      </c>
      <c r="K278" s="32" t="n">
        <f aca="false">'Aturan &amp; Tarif'!$B$5</f>
        <v>2050</v>
      </c>
      <c r="L278" s="35" t="n">
        <f aca="false">I278+J278+K278</f>
        <v>30712.72</v>
      </c>
      <c r="M278" s="37" t="s">
        <v>846</v>
      </c>
    </row>
    <row r="279" customFormat="false" ht="14.25" hidden="false" customHeight="true" outlineLevel="0" collapsed="false">
      <c r="A279" s="29"/>
      <c r="B279" s="30" t="s">
        <v>1460</v>
      </c>
      <c r="C279" s="31" t="s">
        <v>107</v>
      </c>
      <c r="D279" s="31" t="s">
        <v>108</v>
      </c>
      <c r="E279" s="32" t="n">
        <v>13575</v>
      </c>
      <c r="F279" s="32"/>
      <c r="G279" s="32" t="n">
        <v>150</v>
      </c>
      <c r="H279" s="33" t="n">
        <v>2</v>
      </c>
      <c r="I279" s="34" t="n">
        <f aca="false">E279*H279+N(F279)+N(G279)</f>
        <v>27300</v>
      </c>
      <c r="J279" s="32" t="n">
        <f aca="false">ROUND(IFERROR(ROUND(IF(OR(ISNUMBER(SEARCH("week",C279)),ISNUMBER(SEARCH("minggu",C279))),IFERROR(_xlfn.NUMBERVALUE(SUBSTITUTE(LEFT(TRIM(C279),FIND(" ",TRIM(C279)&amp;" ")-1),",","."),"."),LEFT(SUBSTITUTE(LEFT(TRIM(C279),FIND(" ",TRIM(C279)&amp;" ")-1),",","."),FIND("/",SUBSTITUTE(LEFT(TRIM(C279),FIND(" ",TRIM(C279)&amp;" ")-1),",","."))-1)/MID(SUBSTITUTE(LEFT(TRIM(C279),FIND(" ",TRIM(C279)&amp;" ")-1),",","."),FIND("/",SUBSTITUTE(LEFT(TRIM(C279),FIND(" ",TRIM(C279)&amp;" ")-1),",","."))+1,9))*12/52,IF(ISNUMBER(SEARCH("month",C279)),IFERROR(_xlfn.NUMBERVALUE(SUBSTITUTE(LEFT(TRIM(C279),FIND(" ",TRIM(C279)&amp;" ")-1),",","."),"."),LEFT(SUBSTITUTE(LEFT(TRIM(C279),FIND(" ",TRIM(C279)&amp;" ")-1),",","."),FIND("/",SUBSTITUTE(LEFT(TRIM(C279),FIND(" ",TRIM(C279)&amp;" ")-1),",","."))-1)/MID(SUBSTITUTE(LEFT(TRIM(C279),FIND(" ",TRIM(C279)&amp;" ")-1),",","."),FIND("/",SUBSTITUTE(LEFT(TRIM(C279),FIND(" ",TRIM(C279)&amp;" ")-1),",","."))+1,9)),IF(ISNUMBER(SEARCH("yea",C279)),IFERROR(_xlfn.NUMBERVALUE(SUBSTITUTE(LEFT(TRIM(C279),FIND(" ",TRIM(C279)&amp;" ")-1),",","."),"."),LEFT(SUBSTITUTE(LEFT(TRIM(C279),FIND(" ",TRIM(C279)&amp;" ")-1),",","."),FIND("/",SUBSTITUTE(LEFT(TRIM(C279),FIND(" ",TRIM(C279)&amp;" ")-1),",","."))-1)/MID(SUBSTITUTE(LEFT(TRIM(C279),FIND(" ",TRIM(C279)&amp;" ")-1),",","."),FIND("/",SUBSTITUTE(LEFT(TRIM(C279),FIND(" ",TRIM(C279)&amp;" ")-1),",","."))+1,9))*12,NA()))),0),24)*'Aturan &amp; Tarif'!$B$4,2)</f>
        <v>1362.72</v>
      </c>
      <c r="K279" s="32" t="n">
        <f aca="false">'Aturan &amp; Tarif'!$B$5</f>
        <v>2050</v>
      </c>
      <c r="L279" s="35" t="n">
        <f aca="false">I279+J279+K279</f>
        <v>30712.72</v>
      </c>
      <c r="M279" s="37" t="s">
        <v>846</v>
      </c>
    </row>
    <row r="280" customFormat="false" ht="14.25" hidden="false" customHeight="true" outlineLevel="0" collapsed="false">
      <c r="A280" s="29"/>
      <c r="B280" s="30" t="s">
        <v>1461</v>
      </c>
      <c r="C280" s="31" t="s">
        <v>107</v>
      </c>
      <c r="D280" s="31" t="s">
        <v>108</v>
      </c>
      <c r="E280" s="32" t="n">
        <v>13575</v>
      </c>
      <c r="F280" s="32"/>
      <c r="G280" s="32" t="n">
        <v>150</v>
      </c>
      <c r="H280" s="33" t="n">
        <v>2</v>
      </c>
      <c r="I280" s="34" t="n">
        <f aca="false">E280*H280+N(F280)+N(G280)</f>
        <v>27300</v>
      </c>
      <c r="J280" s="32" t="n">
        <f aca="false">ROUND(IFERROR(ROUND(IF(OR(ISNUMBER(SEARCH("week",C280)),ISNUMBER(SEARCH("minggu",C280))),IFERROR(_xlfn.NUMBERVALUE(SUBSTITUTE(LEFT(TRIM(C280),FIND(" ",TRIM(C280)&amp;" ")-1),",","."),"."),LEFT(SUBSTITUTE(LEFT(TRIM(C280),FIND(" ",TRIM(C280)&amp;" ")-1),",","."),FIND("/",SUBSTITUTE(LEFT(TRIM(C280),FIND(" ",TRIM(C280)&amp;" ")-1),",","."))-1)/MID(SUBSTITUTE(LEFT(TRIM(C280),FIND(" ",TRIM(C280)&amp;" ")-1),",","."),FIND("/",SUBSTITUTE(LEFT(TRIM(C280),FIND(" ",TRIM(C280)&amp;" ")-1),",","."))+1,9))*12/52,IF(ISNUMBER(SEARCH("month",C280)),IFERROR(_xlfn.NUMBERVALUE(SUBSTITUTE(LEFT(TRIM(C280),FIND(" ",TRIM(C280)&amp;" ")-1),",","."),"."),LEFT(SUBSTITUTE(LEFT(TRIM(C280),FIND(" ",TRIM(C280)&amp;" ")-1),",","."),FIND("/",SUBSTITUTE(LEFT(TRIM(C280),FIND(" ",TRIM(C280)&amp;" ")-1),",","."))-1)/MID(SUBSTITUTE(LEFT(TRIM(C280),FIND(" ",TRIM(C280)&amp;" ")-1),",","."),FIND("/",SUBSTITUTE(LEFT(TRIM(C280),FIND(" ",TRIM(C280)&amp;" ")-1),",","."))+1,9)),IF(ISNUMBER(SEARCH("yea",C280)),IFERROR(_xlfn.NUMBERVALUE(SUBSTITUTE(LEFT(TRIM(C280),FIND(" ",TRIM(C280)&amp;" ")-1),",","."),"."),LEFT(SUBSTITUTE(LEFT(TRIM(C280),FIND(" ",TRIM(C280)&amp;" ")-1),",","."),FIND("/",SUBSTITUTE(LEFT(TRIM(C280),FIND(" ",TRIM(C280)&amp;" ")-1),",","."))-1)/MID(SUBSTITUTE(LEFT(TRIM(C280),FIND(" ",TRIM(C280)&amp;" ")-1),",","."),FIND("/",SUBSTITUTE(LEFT(TRIM(C280),FIND(" ",TRIM(C280)&amp;" ")-1),",","."))+1,9))*12,NA()))),0),24)*'Aturan &amp; Tarif'!$B$4,2)</f>
        <v>1362.72</v>
      </c>
      <c r="K280" s="32" t="n">
        <f aca="false">'Aturan &amp; Tarif'!$B$5</f>
        <v>2050</v>
      </c>
      <c r="L280" s="35" t="n">
        <f aca="false">I280+J280+K280</f>
        <v>30712.72</v>
      </c>
      <c r="M280" s="37" t="s">
        <v>846</v>
      </c>
    </row>
    <row r="281" customFormat="false" ht="14.25" hidden="false" customHeight="true" outlineLevel="0" collapsed="false">
      <c r="A281" s="29"/>
      <c r="B281" s="30" t="s">
        <v>1462</v>
      </c>
      <c r="C281" s="31" t="s">
        <v>107</v>
      </c>
      <c r="D281" s="31" t="s">
        <v>108</v>
      </c>
      <c r="E281" s="32" t="n">
        <v>13575</v>
      </c>
      <c r="F281" s="32"/>
      <c r="G281" s="32" t="n">
        <v>150</v>
      </c>
      <c r="H281" s="33" t="n">
        <v>2</v>
      </c>
      <c r="I281" s="34" t="n">
        <f aca="false">E281*H281+N(F281)+N(G281)</f>
        <v>27300</v>
      </c>
      <c r="J281" s="32" t="n">
        <f aca="false">ROUND(IFERROR(ROUND(IF(OR(ISNUMBER(SEARCH("week",C281)),ISNUMBER(SEARCH("minggu",C281))),IFERROR(_xlfn.NUMBERVALUE(SUBSTITUTE(LEFT(TRIM(C281),FIND(" ",TRIM(C281)&amp;" ")-1),",","."),"."),LEFT(SUBSTITUTE(LEFT(TRIM(C281),FIND(" ",TRIM(C281)&amp;" ")-1),",","."),FIND("/",SUBSTITUTE(LEFT(TRIM(C281),FIND(" ",TRIM(C281)&amp;" ")-1),",","."))-1)/MID(SUBSTITUTE(LEFT(TRIM(C281),FIND(" ",TRIM(C281)&amp;" ")-1),",","."),FIND("/",SUBSTITUTE(LEFT(TRIM(C281),FIND(" ",TRIM(C281)&amp;" ")-1),",","."))+1,9))*12/52,IF(ISNUMBER(SEARCH("month",C281)),IFERROR(_xlfn.NUMBERVALUE(SUBSTITUTE(LEFT(TRIM(C281),FIND(" ",TRIM(C281)&amp;" ")-1),",","."),"."),LEFT(SUBSTITUTE(LEFT(TRIM(C281),FIND(" ",TRIM(C281)&amp;" ")-1),",","."),FIND("/",SUBSTITUTE(LEFT(TRIM(C281),FIND(" ",TRIM(C281)&amp;" ")-1),",","."))-1)/MID(SUBSTITUTE(LEFT(TRIM(C281),FIND(" ",TRIM(C281)&amp;" ")-1),",","."),FIND("/",SUBSTITUTE(LEFT(TRIM(C281),FIND(" ",TRIM(C281)&amp;" ")-1),",","."))+1,9)),IF(ISNUMBER(SEARCH("yea",C281)),IFERROR(_xlfn.NUMBERVALUE(SUBSTITUTE(LEFT(TRIM(C281),FIND(" ",TRIM(C281)&amp;" ")-1),",","."),"."),LEFT(SUBSTITUTE(LEFT(TRIM(C281),FIND(" ",TRIM(C281)&amp;" ")-1),",","."),FIND("/",SUBSTITUTE(LEFT(TRIM(C281),FIND(" ",TRIM(C281)&amp;" ")-1),",","."))-1)/MID(SUBSTITUTE(LEFT(TRIM(C281),FIND(" ",TRIM(C281)&amp;" ")-1),",","."),FIND("/",SUBSTITUTE(LEFT(TRIM(C281),FIND(" ",TRIM(C281)&amp;" ")-1),",","."))+1,9))*12,NA()))),0),24)*'Aturan &amp; Tarif'!$B$4,2)</f>
        <v>1362.72</v>
      </c>
      <c r="K281" s="32" t="n">
        <f aca="false">'Aturan &amp; Tarif'!$B$5</f>
        <v>2050</v>
      </c>
      <c r="L281" s="35" t="n">
        <f aca="false">I281+J281+K281</f>
        <v>30712.72</v>
      </c>
      <c r="M281" s="37" t="s">
        <v>846</v>
      </c>
    </row>
    <row r="282" customFormat="false" ht="14.25" hidden="false" customHeight="true" outlineLevel="0" collapsed="false">
      <c r="A282" s="29"/>
      <c r="B282" s="30" t="s">
        <v>167</v>
      </c>
      <c r="C282" s="31" t="s">
        <v>113</v>
      </c>
      <c r="D282" s="31" t="s">
        <v>108</v>
      </c>
      <c r="E282" s="32" t="n">
        <v>13575</v>
      </c>
      <c r="F282" s="32"/>
      <c r="G282" s="32" t="n">
        <v>150</v>
      </c>
      <c r="H282" s="33" t="n">
        <v>2</v>
      </c>
      <c r="I282" s="34" t="n">
        <f aca="false">E282*H282+N(F282)+N(G282)</f>
        <v>27300</v>
      </c>
      <c r="J282" s="32" t="n">
        <f aca="false">ROUND(IFERROR(ROUND(IF(OR(ISNUMBER(SEARCH("week",C282)),ISNUMBER(SEARCH("minggu",C282))),IFERROR(_xlfn.NUMBERVALUE(SUBSTITUTE(LEFT(TRIM(C282),FIND(" ",TRIM(C282)&amp;" ")-1),",","."),"."),LEFT(SUBSTITUTE(LEFT(TRIM(C282),FIND(" ",TRIM(C282)&amp;" ")-1),",","."),FIND("/",SUBSTITUTE(LEFT(TRIM(C282),FIND(" ",TRIM(C282)&amp;" ")-1),",","."))-1)/MID(SUBSTITUTE(LEFT(TRIM(C282),FIND(" ",TRIM(C282)&amp;" ")-1),",","."),FIND("/",SUBSTITUTE(LEFT(TRIM(C282),FIND(" ",TRIM(C282)&amp;" ")-1),",","."))+1,9))*12/52,IF(ISNUMBER(SEARCH("month",C282)),IFERROR(_xlfn.NUMBERVALUE(SUBSTITUTE(LEFT(TRIM(C282),FIND(" ",TRIM(C282)&amp;" ")-1),",","."),"."),LEFT(SUBSTITUTE(LEFT(TRIM(C282),FIND(" ",TRIM(C282)&amp;" ")-1),",","."),FIND("/",SUBSTITUTE(LEFT(TRIM(C282),FIND(" ",TRIM(C282)&amp;" ")-1),",","."))-1)/MID(SUBSTITUTE(LEFT(TRIM(C282),FIND(" ",TRIM(C282)&amp;" ")-1),",","."),FIND("/",SUBSTITUTE(LEFT(TRIM(C282),FIND(" ",TRIM(C282)&amp;" ")-1),",","."))+1,9)),IF(ISNUMBER(SEARCH("yea",C282)),IFERROR(_xlfn.NUMBERVALUE(SUBSTITUTE(LEFT(TRIM(C282),FIND(" ",TRIM(C282)&amp;" ")-1),",","."),"."),LEFT(SUBSTITUTE(LEFT(TRIM(C282),FIND(" ",TRIM(C282)&amp;" ")-1),",","."),FIND("/",SUBSTITUTE(LEFT(TRIM(C282),FIND(" ",TRIM(C282)&amp;" ")-1),",","."))-1)/MID(SUBSTITUTE(LEFT(TRIM(C282),FIND(" ",TRIM(C282)&amp;" ")-1),",","."),FIND("/",SUBSTITUTE(LEFT(TRIM(C282),FIND(" ",TRIM(C282)&amp;" ")-1),",","."))+1,9))*12,NA()))),0),18)*'Aturan &amp; Tarif'!$B$4,2)</f>
        <v>1022.04</v>
      </c>
      <c r="K282" s="32" t="n">
        <f aca="false">'Aturan &amp; Tarif'!$B$5</f>
        <v>2050</v>
      </c>
      <c r="L282" s="35" t="n">
        <f aca="false">I282+J282+K282</f>
        <v>30372.04</v>
      </c>
      <c r="M282" s="37" t="s">
        <v>846</v>
      </c>
    </row>
    <row r="283" customFormat="false" ht="14.25" hidden="false" customHeight="true" outlineLevel="0" collapsed="false">
      <c r="A283" s="29"/>
      <c r="B283" s="30" t="s">
        <v>1463</v>
      </c>
      <c r="C283" s="31" t="s">
        <v>127</v>
      </c>
      <c r="D283" s="31" t="s">
        <v>108</v>
      </c>
      <c r="E283" s="32" t="n">
        <v>21175</v>
      </c>
      <c r="F283" s="32"/>
      <c r="G283" s="32" t="n">
        <v>150</v>
      </c>
      <c r="H283" s="33" t="n">
        <v>2</v>
      </c>
      <c r="I283" s="34" t="n">
        <f aca="false">E283*H283+N(F283)+N(G283)</f>
        <v>42500</v>
      </c>
      <c r="J283" s="32" t="n">
        <f aca="false">ROUND(IFERROR(ROUND(IF(OR(ISNUMBER(SEARCH("week",C283)),ISNUMBER(SEARCH("minggu",C283))),IFERROR(_xlfn.NUMBERVALUE(SUBSTITUTE(LEFT(TRIM(C283),FIND(" ",TRIM(C283)&amp;" ")-1),",","."),"."),LEFT(SUBSTITUTE(LEFT(TRIM(C283),FIND(" ",TRIM(C283)&amp;" ")-1),",","."),FIND("/",SUBSTITUTE(LEFT(TRIM(C283),FIND(" ",TRIM(C283)&amp;" ")-1),",","."))-1)/MID(SUBSTITUTE(LEFT(TRIM(C283),FIND(" ",TRIM(C283)&amp;" ")-1),",","."),FIND("/",SUBSTITUTE(LEFT(TRIM(C283),FIND(" ",TRIM(C283)&amp;" ")-1),",","."))+1,9))*12/52,IF(ISNUMBER(SEARCH("month",C283)),IFERROR(_xlfn.NUMBERVALUE(SUBSTITUTE(LEFT(TRIM(C283),FIND(" ",TRIM(C283)&amp;" ")-1),",","."),"."),LEFT(SUBSTITUTE(LEFT(TRIM(C283),FIND(" ",TRIM(C283)&amp;" ")-1),",","."),FIND("/",SUBSTITUTE(LEFT(TRIM(C283),FIND(" ",TRIM(C283)&amp;" ")-1),",","."))-1)/MID(SUBSTITUTE(LEFT(TRIM(C283),FIND(" ",TRIM(C283)&amp;" ")-1),",","."),FIND("/",SUBSTITUTE(LEFT(TRIM(C283),FIND(" ",TRIM(C283)&amp;" ")-1),",","."))+1,9)),IF(ISNUMBER(SEARCH("yea",C283)),IFERROR(_xlfn.NUMBERVALUE(SUBSTITUTE(LEFT(TRIM(C283),FIND(" ",TRIM(C283)&amp;" ")-1),",","."),"."),LEFT(SUBSTITUTE(LEFT(TRIM(C283),FIND(" ",TRIM(C283)&amp;" ")-1),",","."),FIND("/",SUBSTITUTE(LEFT(TRIM(C283),FIND(" ",TRIM(C283)&amp;" ")-1),",","."))-1)/MID(SUBSTITUTE(LEFT(TRIM(C283),FIND(" ",TRIM(C283)&amp;" ")-1),",","."),FIND("/",SUBSTITUTE(LEFT(TRIM(C283),FIND(" ",TRIM(C283)&amp;" ")-1),",","."))+1,9))*12,NA()))),0),36)*'Aturan &amp; Tarif'!$B$4,2)</f>
        <v>2044.08</v>
      </c>
      <c r="K283" s="32" t="n">
        <f aca="false">'Aturan &amp; Tarif'!$B$5</f>
        <v>2050</v>
      </c>
      <c r="L283" s="35" t="n">
        <f aca="false">I283+J283+K283</f>
        <v>46594.08</v>
      </c>
      <c r="M283" s="37" t="s">
        <v>1464</v>
      </c>
    </row>
    <row r="284" customFormat="false" ht="14.25" hidden="false" customHeight="true" outlineLevel="0" collapsed="false">
      <c r="A284" s="29"/>
      <c r="B284" s="30" t="s">
        <v>1465</v>
      </c>
      <c r="C284" s="31" t="s">
        <v>107</v>
      </c>
      <c r="D284" s="31" t="s">
        <v>108</v>
      </c>
      <c r="E284" s="32" t="n">
        <v>15425</v>
      </c>
      <c r="F284" s="32"/>
      <c r="G284" s="32" t="n">
        <v>150</v>
      </c>
      <c r="H284" s="33" t="n">
        <v>2</v>
      </c>
      <c r="I284" s="34" t="n">
        <f aca="false">E284*H284+N(F284)+N(G284)</f>
        <v>31000</v>
      </c>
      <c r="J284" s="32" t="n">
        <f aca="false">ROUND(IFERROR(ROUND(IF(OR(ISNUMBER(SEARCH("week",C284)),ISNUMBER(SEARCH("minggu",C284))),IFERROR(_xlfn.NUMBERVALUE(SUBSTITUTE(LEFT(TRIM(C284),FIND(" ",TRIM(C284)&amp;" ")-1),",","."),"."),LEFT(SUBSTITUTE(LEFT(TRIM(C284),FIND(" ",TRIM(C284)&amp;" ")-1),",","."),FIND("/",SUBSTITUTE(LEFT(TRIM(C284),FIND(" ",TRIM(C284)&amp;" ")-1),",","."))-1)/MID(SUBSTITUTE(LEFT(TRIM(C284),FIND(" ",TRIM(C284)&amp;" ")-1),",","."),FIND("/",SUBSTITUTE(LEFT(TRIM(C284),FIND(" ",TRIM(C284)&amp;" ")-1),",","."))+1,9))*12/52,IF(ISNUMBER(SEARCH("month",C284)),IFERROR(_xlfn.NUMBERVALUE(SUBSTITUTE(LEFT(TRIM(C284),FIND(" ",TRIM(C284)&amp;" ")-1),",","."),"."),LEFT(SUBSTITUTE(LEFT(TRIM(C284),FIND(" ",TRIM(C284)&amp;" ")-1),",","."),FIND("/",SUBSTITUTE(LEFT(TRIM(C284),FIND(" ",TRIM(C284)&amp;" ")-1),",","."))-1)/MID(SUBSTITUTE(LEFT(TRIM(C284),FIND(" ",TRIM(C284)&amp;" ")-1),",","."),FIND("/",SUBSTITUTE(LEFT(TRIM(C284),FIND(" ",TRIM(C284)&amp;" ")-1),",","."))+1,9)),IF(ISNUMBER(SEARCH("yea",C284)),IFERROR(_xlfn.NUMBERVALUE(SUBSTITUTE(LEFT(TRIM(C284),FIND(" ",TRIM(C284)&amp;" ")-1),",","."),"."),LEFT(SUBSTITUTE(LEFT(TRIM(C284),FIND(" ",TRIM(C284)&amp;" ")-1),",","."),FIND("/",SUBSTITUTE(LEFT(TRIM(C284),FIND(" ",TRIM(C284)&amp;" ")-1),",","."))-1)/MID(SUBSTITUTE(LEFT(TRIM(C284),FIND(" ",TRIM(C284)&amp;" ")-1),",","."),FIND("/",SUBSTITUTE(LEFT(TRIM(C284),FIND(" ",TRIM(C284)&amp;" ")-1),",","."))+1,9))*12,NA()))),0),24)*'Aturan &amp; Tarif'!$B$4,2)</f>
        <v>1362.72</v>
      </c>
      <c r="K284" s="32" t="n">
        <f aca="false">'Aturan &amp; Tarif'!$B$5</f>
        <v>2050</v>
      </c>
      <c r="L284" s="35" t="n">
        <f aca="false">I284+J284+K284</f>
        <v>34412.72</v>
      </c>
      <c r="M284" s="37" t="s">
        <v>846</v>
      </c>
    </row>
    <row r="285" customFormat="false" ht="25.5" hidden="false" customHeight="true" outlineLevel="0" collapsed="false">
      <c r="A285" s="29"/>
      <c r="B285" s="30" t="s">
        <v>1466</v>
      </c>
      <c r="C285" s="31" t="s">
        <v>130</v>
      </c>
      <c r="D285" s="31" t="s">
        <v>108</v>
      </c>
      <c r="E285" s="32" t="n">
        <v>13575</v>
      </c>
      <c r="F285" s="32"/>
      <c r="G285" s="32" t="n">
        <v>150</v>
      </c>
      <c r="H285" s="33" t="n">
        <v>2</v>
      </c>
      <c r="I285" s="34" t="n">
        <f aca="false">E285*H285+N(F285)+N(G285)</f>
        <v>27300</v>
      </c>
      <c r="J285" s="32" t="n">
        <f aca="false">ROUND(IFERROR(ROUND(IF(OR(ISNUMBER(SEARCH("week",C285)),ISNUMBER(SEARCH("minggu",C285))),IFERROR(_xlfn.NUMBERVALUE(SUBSTITUTE(LEFT(TRIM(C285),FIND(" ",TRIM(C285)&amp;" ")-1),",","."),"."),LEFT(SUBSTITUTE(LEFT(TRIM(C285),FIND(" ",TRIM(C285)&amp;" ")-1),",","."),FIND("/",SUBSTITUTE(LEFT(TRIM(C285),FIND(" ",TRIM(C285)&amp;" ")-1),",","."))-1)/MID(SUBSTITUTE(LEFT(TRIM(C285),FIND(" ",TRIM(C285)&amp;" ")-1),",","."),FIND("/",SUBSTITUTE(LEFT(TRIM(C285),FIND(" ",TRIM(C285)&amp;" ")-1),",","."))+1,9))*12/52,IF(ISNUMBER(SEARCH("month",C285)),IFERROR(_xlfn.NUMBERVALUE(SUBSTITUTE(LEFT(TRIM(C285),FIND(" ",TRIM(C285)&amp;" ")-1),",","."),"."),LEFT(SUBSTITUTE(LEFT(TRIM(C285),FIND(" ",TRIM(C285)&amp;" ")-1),",","."),FIND("/",SUBSTITUTE(LEFT(TRIM(C285),FIND(" ",TRIM(C285)&amp;" ")-1),",","."))-1)/MID(SUBSTITUTE(LEFT(TRIM(C285),FIND(" ",TRIM(C285)&amp;" ")-1),",","."),FIND("/",SUBSTITUTE(LEFT(TRIM(C285),FIND(" ",TRIM(C285)&amp;" ")-1),",","."))+1,9)),IF(ISNUMBER(SEARCH("yea",C285)),IFERROR(_xlfn.NUMBERVALUE(SUBSTITUTE(LEFT(TRIM(C285),FIND(" ",TRIM(C285)&amp;" ")-1),",","."),"."),LEFT(SUBSTITUTE(LEFT(TRIM(C285),FIND(" ",TRIM(C285)&amp;" ")-1),",","."),FIND("/",SUBSTITUTE(LEFT(TRIM(C285),FIND(" ",TRIM(C285)&amp;" ")-1),",","."))-1)/MID(SUBSTITUTE(LEFT(TRIM(C285),FIND(" ",TRIM(C285)&amp;" ")-1),",","."),FIND("/",SUBSTITUTE(LEFT(TRIM(C285),FIND(" ",TRIM(C285)&amp;" ")-1),",","."))+1,9))*12,NA()))),0),12)*'Aturan &amp; Tarif'!$B$4,2)</f>
        <v>681.36</v>
      </c>
      <c r="K285" s="32" t="n">
        <f aca="false">'Aturan &amp; Tarif'!$B$5</f>
        <v>2050</v>
      </c>
      <c r="L285" s="35" t="n">
        <f aca="false">I285+J285+K285</f>
        <v>30031.36</v>
      </c>
      <c r="M285" s="37" t="s">
        <v>846</v>
      </c>
    </row>
    <row r="286" customFormat="false" ht="25.5" hidden="false" customHeight="true" outlineLevel="0" collapsed="false">
      <c r="A286" s="29"/>
      <c r="B286" s="30" t="s">
        <v>1467</v>
      </c>
      <c r="C286" s="31" t="s">
        <v>130</v>
      </c>
      <c r="D286" s="31" t="s">
        <v>108</v>
      </c>
      <c r="E286" s="32" t="n">
        <v>13575</v>
      </c>
      <c r="F286" s="32"/>
      <c r="G286" s="32" t="n">
        <v>150</v>
      </c>
      <c r="H286" s="33" t="n">
        <v>2</v>
      </c>
      <c r="I286" s="34" t="n">
        <f aca="false">E286*H286+N(F286)+N(G286)</f>
        <v>27300</v>
      </c>
      <c r="J286" s="32" t="n">
        <f aca="false">ROUND(IFERROR(ROUND(IF(OR(ISNUMBER(SEARCH("week",C286)),ISNUMBER(SEARCH("minggu",C286))),IFERROR(_xlfn.NUMBERVALUE(SUBSTITUTE(LEFT(TRIM(C286),FIND(" ",TRIM(C286)&amp;" ")-1),",","."),"."),LEFT(SUBSTITUTE(LEFT(TRIM(C286),FIND(" ",TRIM(C286)&amp;" ")-1),",","."),FIND("/",SUBSTITUTE(LEFT(TRIM(C286),FIND(" ",TRIM(C286)&amp;" ")-1),",","."))-1)/MID(SUBSTITUTE(LEFT(TRIM(C286),FIND(" ",TRIM(C286)&amp;" ")-1),",","."),FIND("/",SUBSTITUTE(LEFT(TRIM(C286),FIND(" ",TRIM(C286)&amp;" ")-1),",","."))+1,9))*12/52,IF(ISNUMBER(SEARCH("month",C286)),IFERROR(_xlfn.NUMBERVALUE(SUBSTITUTE(LEFT(TRIM(C286),FIND(" ",TRIM(C286)&amp;" ")-1),",","."),"."),LEFT(SUBSTITUTE(LEFT(TRIM(C286),FIND(" ",TRIM(C286)&amp;" ")-1),",","."),FIND("/",SUBSTITUTE(LEFT(TRIM(C286),FIND(" ",TRIM(C286)&amp;" ")-1),",","."))-1)/MID(SUBSTITUTE(LEFT(TRIM(C286),FIND(" ",TRIM(C286)&amp;" ")-1),",","."),FIND("/",SUBSTITUTE(LEFT(TRIM(C286),FIND(" ",TRIM(C286)&amp;" ")-1),",","."))+1,9)),IF(ISNUMBER(SEARCH("yea",C286)),IFERROR(_xlfn.NUMBERVALUE(SUBSTITUTE(LEFT(TRIM(C286),FIND(" ",TRIM(C286)&amp;" ")-1),",","."),"."),LEFT(SUBSTITUTE(LEFT(TRIM(C286),FIND(" ",TRIM(C286)&amp;" ")-1),",","."),FIND("/",SUBSTITUTE(LEFT(TRIM(C286),FIND(" ",TRIM(C286)&amp;" ")-1),",","."))-1)/MID(SUBSTITUTE(LEFT(TRIM(C286),FIND(" ",TRIM(C286)&amp;" ")-1),",","."),FIND("/",SUBSTITUTE(LEFT(TRIM(C286),FIND(" ",TRIM(C286)&amp;" ")-1),",","."))+1,9))*12,NA()))),0),12)*'Aturan &amp; Tarif'!$B$4,2)</f>
        <v>681.36</v>
      </c>
      <c r="K286" s="32" t="n">
        <f aca="false">'Aturan &amp; Tarif'!$B$5</f>
        <v>2050</v>
      </c>
      <c r="L286" s="35" t="n">
        <f aca="false">I286+J286+K286</f>
        <v>30031.36</v>
      </c>
      <c r="M286" s="37" t="s">
        <v>846</v>
      </c>
    </row>
    <row r="287" customFormat="false" ht="25.5" hidden="false" customHeight="true" outlineLevel="0" collapsed="false">
      <c r="A287" s="29"/>
      <c r="B287" s="30" t="s">
        <v>1468</v>
      </c>
      <c r="C287" s="31" t="s">
        <v>107</v>
      </c>
      <c r="D287" s="31" t="s">
        <v>108</v>
      </c>
      <c r="E287" s="32" t="n">
        <v>13575</v>
      </c>
      <c r="F287" s="32"/>
      <c r="G287" s="32" t="n">
        <v>150</v>
      </c>
      <c r="H287" s="33" t="n">
        <v>2</v>
      </c>
      <c r="I287" s="34" t="n">
        <f aca="false">E287*H287+N(F287)+N(G287)</f>
        <v>27300</v>
      </c>
      <c r="J287" s="32" t="n">
        <f aca="false">ROUND(IFERROR(ROUND(IF(OR(ISNUMBER(SEARCH("week",C287)),ISNUMBER(SEARCH("minggu",C287))),IFERROR(_xlfn.NUMBERVALUE(SUBSTITUTE(LEFT(TRIM(C287),FIND(" ",TRIM(C287)&amp;" ")-1),",","."),"."),LEFT(SUBSTITUTE(LEFT(TRIM(C287),FIND(" ",TRIM(C287)&amp;" ")-1),",","."),FIND("/",SUBSTITUTE(LEFT(TRIM(C287),FIND(" ",TRIM(C287)&amp;" ")-1),",","."))-1)/MID(SUBSTITUTE(LEFT(TRIM(C287),FIND(" ",TRIM(C287)&amp;" ")-1),",","."),FIND("/",SUBSTITUTE(LEFT(TRIM(C287),FIND(" ",TRIM(C287)&amp;" ")-1),",","."))+1,9))*12/52,IF(ISNUMBER(SEARCH("month",C287)),IFERROR(_xlfn.NUMBERVALUE(SUBSTITUTE(LEFT(TRIM(C287),FIND(" ",TRIM(C287)&amp;" ")-1),",","."),"."),LEFT(SUBSTITUTE(LEFT(TRIM(C287),FIND(" ",TRIM(C287)&amp;" ")-1),",","."),FIND("/",SUBSTITUTE(LEFT(TRIM(C287),FIND(" ",TRIM(C287)&amp;" ")-1),",","."))-1)/MID(SUBSTITUTE(LEFT(TRIM(C287),FIND(" ",TRIM(C287)&amp;" ")-1),",","."),FIND("/",SUBSTITUTE(LEFT(TRIM(C287),FIND(" ",TRIM(C287)&amp;" ")-1),",","."))+1,9)),IF(ISNUMBER(SEARCH("yea",C287)),IFERROR(_xlfn.NUMBERVALUE(SUBSTITUTE(LEFT(TRIM(C287),FIND(" ",TRIM(C287)&amp;" ")-1),",","."),"."),LEFT(SUBSTITUTE(LEFT(TRIM(C287),FIND(" ",TRIM(C287)&amp;" ")-1),",","."),FIND("/",SUBSTITUTE(LEFT(TRIM(C287),FIND(" ",TRIM(C287)&amp;" ")-1),",","."))-1)/MID(SUBSTITUTE(LEFT(TRIM(C287),FIND(" ",TRIM(C287)&amp;" ")-1),",","."),FIND("/",SUBSTITUTE(LEFT(TRIM(C287),FIND(" ",TRIM(C287)&amp;" ")-1),",","."))+1,9))*12,NA()))),0),24)*'Aturan &amp; Tarif'!$B$4,2)</f>
        <v>1362.72</v>
      </c>
      <c r="K287" s="32" t="n">
        <f aca="false">'Aturan &amp; Tarif'!$B$5</f>
        <v>2050</v>
      </c>
      <c r="L287" s="35" t="n">
        <f aca="false">I287+J287+K287</f>
        <v>30712.72</v>
      </c>
      <c r="M287" s="37" t="s">
        <v>846</v>
      </c>
    </row>
    <row r="288" customFormat="false" ht="25.5" hidden="false" customHeight="true" outlineLevel="0" collapsed="false">
      <c r="A288" s="29"/>
      <c r="B288" s="30" t="s">
        <v>1469</v>
      </c>
      <c r="C288" s="31" t="s">
        <v>107</v>
      </c>
      <c r="D288" s="31" t="s">
        <v>108</v>
      </c>
      <c r="E288" s="32" t="n">
        <v>14275</v>
      </c>
      <c r="F288" s="32"/>
      <c r="G288" s="32" t="n">
        <v>150</v>
      </c>
      <c r="H288" s="33" t="n">
        <v>2</v>
      </c>
      <c r="I288" s="34" t="n">
        <f aca="false">E288*H288+N(F288)+N(G288)</f>
        <v>28700</v>
      </c>
      <c r="J288" s="32" t="n">
        <f aca="false">ROUND(IFERROR(ROUND(IF(OR(ISNUMBER(SEARCH("week",C288)),ISNUMBER(SEARCH("minggu",C288))),IFERROR(_xlfn.NUMBERVALUE(SUBSTITUTE(LEFT(TRIM(C288),FIND(" ",TRIM(C288)&amp;" ")-1),",","."),"."),LEFT(SUBSTITUTE(LEFT(TRIM(C288),FIND(" ",TRIM(C288)&amp;" ")-1),",","."),FIND("/",SUBSTITUTE(LEFT(TRIM(C288),FIND(" ",TRIM(C288)&amp;" ")-1),",","."))-1)/MID(SUBSTITUTE(LEFT(TRIM(C288),FIND(" ",TRIM(C288)&amp;" ")-1),",","."),FIND("/",SUBSTITUTE(LEFT(TRIM(C288),FIND(" ",TRIM(C288)&amp;" ")-1),",","."))+1,9))*12/52,IF(ISNUMBER(SEARCH("month",C288)),IFERROR(_xlfn.NUMBERVALUE(SUBSTITUTE(LEFT(TRIM(C288),FIND(" ",TRIM(C288)&amp;" ")-1),",","."),"."),LEFT(SUBSTITUTE(LEFT(TRIM(C288),FIND(" ",TRIM(C288)&amp;" ")-1),",","."),FIND("/",SUBSTITUTE(LEFT(TRIM(C288),FIND(" ",TRIM(C288)&amp;" ")-1),",","."))-1)/MID(SUBSTITUTE(LEFT(TRIM(C288),FIND(" ",TRIM(C288)&amp;" ")-1),",","."),FIND("/",SUBSTITUTE(LEFT(TRIM(C288),FIND(" ",TRIM(C288)&amp;" ")-1),",","."))+1,9)),IF(ISNUMBER(SEARCH("yea",C288)),IFERROR(_xlfn.NUMBERVALUE(SUBSTITUTE(LEFT(TRIM(C288),FIND(" ",TRIM(C288)&amp;" ")-1),",","."),"."),LEFT(SUBSTITUTE(LEFT(TRIM(C288),FIND(" ",TRIM(C288)&amp;" ")-1),",","."),FIND("/",SUBSTITUTE(LEFT(TRIM(C288),FIND(" ",TRIM(C288)&amp;" ")-1),",","."))-1)/MID(SUBSTITUTE(LEFT(TRIM(C288),FIND(" ",TRIM(C288)&amp;" ")-1),",","."),FIND("/",SUBSTITUTE(LEFT(TRIM(C288),FIND(" ",TRIM(C288)&amp;" ")-1),",","."))+1,9))*12,NA()))),0),24)*'Aturan &amp; Tarif'!$B$4,2)</f>
        <v>1362.72</v>
      </c>
      <c r="K288" s="32" t="n">
        <f aca="false">'Aturan &amp; Tarif'!$B$5</f>
        <v>2050</v>
      </c>
      <c r="L288" s="35" t="n">
        <f aca="false">I288+J288+K288</f>
        <v>32112.72</v>
      </c>
      <c r="M288" s="37" t="s">
        <v>846</v>
      </c>
    </row>
    <row r="289" customFormat="false" ht="14.25" hidden="false" customHeight="true" outlineLevel="0" collapsed="false">
      <c r="A289" s="29"/>
      <c r="B289" s="30" t="s">
        <v>283</v>
      </c>
      <c r="C289" s="31" t="s">
        <v>107</v>
      </c>
      <c r="D289" s="31" t="s">
        <v>108</v>
      </c>
      <c r="E289" s="32" t="n">
        <v>13125</v>
      </c>
      <c r="F289" s="32"/>
      <c r="G289" s="32" t="n">
        <v>150</v>
      </c>
      <c r="H289" s="33" t="n">
        <v>2</v>
      </c>
      <c r="I289" s="34" t="n">
        <f aca="false">E289*H289+N(F289)+N(G289)</f>
        <v>26400</v>
      </c>
      <c r="J289" s="32" t="n">
        <f aca="false">ROUND(IFERROR(ROUND(IF(OR(ISNUMBER(SEARCH("week",C289)),ISNUMBER(SEARCH("minggu",C289))),IFERROR(_xlfn.NUMBERVALUE(SUBSTITUTE(LEFT(TRIM(C289),FIND(" ",TRIM(C289)&amp;" ")-1),",","."),"."),LEFT(SUBSTITUTE(LEFT(TRIM(C289),FIND(" ",TRIM(C289)&amp;" ")-1),",","."),FIND("/",SUBSTITUTE(LEFT(TRIM(C289),FIND(" ",TRIM(C289)&amp;" ")-1),",","."))-1)/MID(SUBSTITUTE(LEFT(TRIM(C289),FIND(" ",TRIM(C289)&amp;" ")-1),",","."),FIND("/",SUBSTITUTE(LEFT(TRIM(C289),FIND(" ",TRIM(C289)&amp;" ")-1),",","."))+1,9))*12/52,IF(ISNUMBER(SEARCH("month",C289)),IFERROR(_xlfn.NUMBERVALUE(SUBSTITUTE(LEFT(TRIM(C289),FIND(" ",TRIM(C289)&amp;" ")-1),",","."),"."),LEFT(SUBSTITUTE(LEFT(TRIM(C289),FIND(" ",TRIM(C289)&amp;" ")-1),",","."),FIND("/",SUBSTITUTE(LEFT(TRIM(C289),FIND(" ",TRIM(C289)&amp;" ")-1),",","."))-1)/MID(SUBSTITUTE(LEFT(TRIM(C289),FIND(" ",TRIM(C289)&amp;" ")-1),",","."),FIND("/",SUBSTITUTE(LEFT(TRIM(C289),FIND(" ",TRIM(C289)&amp;" ")-1),",","."))+1,9)),IF(ISNUMBER(SEARCH("yea",C289)),IFERROR(_xlfn.NUMBERVALUE(SUBSTITUTE(LEFT(TRIM(C289),FIND(" ",TRIM(C289)&amp;" ")-1),",","."),"."),LEFT(SUBSTITUTE(LEFT(TRIM(C289),FIND(" ",TRIM(C289)&amp;" ")-1),",","."),FIND("/",SUBSTITUTE(LEFT(TRIM(C289),FIND(" ",TRIM(C289)&amp;" ")-1),",","."))-1)/MID(SUBSTITUTE(LEFT(TRIM(C289),FIND(" ",TRIM(C289)&amp;" ")-1),",","."),FIND("/",SUBSTITUTE(LEFT(TRIM(C289),FIND(" ",TRIM(C289)&amp;" ")-1),",","."))+1,9))*12,NA()))),0),24)*'Aturan &amp; Tarif'!$B$4,2)</f>
        <v>1362.72</v>
      </c>
      <c r="K289" s="32" t="n">
        <f aca="false">'Aturan &amp; Tarif'!$B$5</f>
        <v>2050</v>
      </c>
      <c r="L289" s="35" t="n">
        <f aca="false">I289+J289+K289</f>
        <v>29812.72</v>
      </c>
      <c r="M289" s="37" t="s">
        <v>846</v>
      </c>
    </row>
    <row r="290" customFormat="false" ht="14.25" hidden="false" customHeight="true" outlineLevel="0" collapsed="false">
      <c r="A290" s="29"/>
      <c r="B290" s="30" t="s">
        <v>181</v>
      </c>
      <c r="C290" s="31" t="s">
        <v>107</v>
      </c>
      <c r="D290" s="31" t="s">
        <v>108</v>
      </c>
      <c r="E290" s="32" t="n">
        <v>12625</v>
      </c>
      <c r="F290" s="32"/>
      <c r="G290" s="32" t="n">
        <v>150</v>
      </c>
      <c r="H290" s="33" t="n">
        <v>2</v>
      </c>
      <c r="I290" s="34" t="n">
        <f aca="false">E290*H290+N(F290)+N(G290)</f>
        <v>25400</v>
      </c>
      <c r="J290" s="32" t="n">
        <f aca="false">ROUND(IFERROR(ROUND(IF(OR(ISNUMBER(SEARCH("week",C290)),ISNUMBER(SEARCH("minggu",C290))),IFERROR(_xlfn.NUMBERVALUE(SUBSTITUTE(LEFT(TRIM(C290),FIND(" ",TRIM(C290)&amp;" ")-1),",","."),"."),LEFT(SUBSTITUTE(LEFT(TRIM(C290),FIND(" ",TRIM(C290)&amp;" ")-1),",","."),FIND("/",SUBSTITUTE(LEFT(TRIM(C290),FIND(" ",TRIM(C290)&amp;" ")-1),",","."))-1)/MID(SUBSTITUTE(LEFT(TRIM(C290),FIND(" ",TRIM(C290)&amp;" ")-1),",","."),FIND("/",SUBSTITUTE(LEFT(TRIM(C290),FIND(" ",TRIM(C290)&amp;" ")-1),",","."))+1,9))*12/52,IF(ISNUMBER(SEARCH("month",C290)),IFERROR(_xlfn.NUMBERVALUE(SUBSTITUTE(LEFT(TRIM(C290),FIND(" ",TRIM(C290)&amp;" ")-1),",","."),"."),LEFT(SUBSTITUTE(LEFT(TRIM(C290),FIND(" ",TRIM(C290)&amp;" ")-1),",","."),FIND("/",SUBSTITUTE(LEFT(TRIM(C290),FIND(" ",TRIM(C290)&amp;" ")-1),",","."))-1)/MID(SUBSTITUTE(LEFT(TRIM(C290),FIND(" ",TRIM(C290)&amp;" ")-1),",","."),FIND("/",SUBSTITUTE(LEFT(TRIM(C290),FIND(" ",TRIM(C290)&amp;" ")-1),",","."))+1,9)),IF(ISNUMBER(SEARCH("yea",C290)),IFERROR(_xlfn.NUMBERVALUE(SUBSTITUTE(LEFT(TRIM(C290),FIND(" ",TRIM(C290)&amp;" ")-1),",","."),"."),LEFT(SUBSTITUTE(LEFT(TRIM(C290),FIND(" ",TRIM(C290)&amp;" ")-1),",","."),FIND("/",SUBSTITUTE(LEFT(TRIM(C290),FIND(" ",TRIM(C290)&amp;" ")-1),",","."))-1)/MID(SUBSTITUTE(LEFT(TRIM(C290),FIND(" ",TRIM(C290)&amp;" ")-1),",","."),FIND("/",SUBSTITUTE(LEFT(TRIM(C290),FIND(" ",TRIM(C290)&amp;" ")-1),",","."))+1,9))*12,NA()))),0),24)*'Aturan &amp; Tarif'!$B$4,2)</f>
        <v>1362.72</v>
      </c>
      <c r="K290" s="32" t="n">
        <f aca="false">'Aturan &amp; Tarif'!$B$5</f>
        <v>2050</v>
      </c>
      <c r="L290" s="35" t="n">
        <f aca="false">I290+J290+K290</f>
        <v>28812.72</v>
      </c>
      <c r="M290" s="37" t="s">
        <v>846</v>
      </c>
    </row>
    <row r="291" customFormat="false" ht="25.5" hidden="false" customHeight="true" outlineLevel="0" collapsed="false">
      <c r="A291" s="29"/>
      <c r="B291" s="30" t="s">
        <v>1470</v>
      </c>
      <c r="C291" s="31" t="s">
        <v>107</v>
      </c>
      <c r="D291" s="31" t="s">
        <v>108</v>
      </c>
      <c r="E291" s="32" t="n">
        <v>12150</v>
      </c>
      <c r="F291" s="32"/>
      <c r="G291" s="32" t="n">
        <v>150</v>
      </c>
      <c r="H291" s="33" t="n">
        <v>2</v>
      </c>
      <c r="I291" s="34" t="n">
        <f aca="false">E291*H291+N(F291)+N(G291)</f>
        <v>24450</v>
      </c>
      <c r="J291" s="32" t="n">
        <f aca="false">ROUND(IFERROR(ROUND(IF(OR(ISNUMBER(SEARCH("week",C291)),ISNUMBER(SEARCH("minggu",C291))),IFERROR(_xlfn.NUMBERVALUE(SUBSTITUTE(LEFT(TRIM(C291),FIND(" ",TRIM(C291)&amp;" ")-1),",","."),"."),LEFT(SUBSTITUTE(LEFT(TRIM(C291),FIND(" ",TRIM(C291)&amp;" ")-1),",","."),FIND("/",SUBSTITUTE(LEFT(TRIM(C291),FIND(" ",TRIM(C291)&amp;" ")-1),",","."))-1)/MID(SUBSTITUTE(LEFT(TRIM(C291),FIND(" ",TRIM(C291)&amp;" ")-1),",","."),FIND("/",SUBSTITUTE(LEFT(TRIM(C291),FIND(" ",TRIM(C291)&amp;" ")-1),",","."))+1,9))*12/52,IF(ISNUMBER(SEARCH("month",C291)),IFERROR(_xlfn.NUMBERVALUE(SUBSTITUTE(LEFT(TRIM(C291),FIND(" ",TRIM(C291)&amp;" ")-1),",","."),"."),LEFT(SUBSTITUTE(LEFT(TRIM(C291),FIND(" ",TRIM(C291)&amp;" ")-1),",","."),FIND("/",SUBSTITUTE(LEFT(TRIM(C291),FIND(" ",TRIM(C291)&amp;" ")-1),",","."))-1)/MID(SUBSTITUTE(LEFT(TRIM(C291),FIND(" ",TRIM(C291)&amp;" ")-1),",","."),FIND("/",SUBSTITUTE(LEFT(TRIM(C291),FIND(" ",TRIM(C291)&amp;" ")-1),",","."))+1,9)),IF(ISNUMBER(SEARCH("yea",C291)),IFERROR(_xlfn.NUMBERVALUE(SUBSTITUTE(LEFT(TRIM(C291),FIND(" ",TRIM(C291)&amp;" ")-1),",","."),"."),LEFT(SUBSTITUTE(LEFT(TRIM(C291),FIND(" ",TRIM(C291)&amp;" ")-1),",","."),FIND("/",SUBSTITUTE(LEFT(TRIM(C291),FIND(" ",TRIM(C291)&amp;" ")-1),",","."))-1)/MID(SUBSTITUTE(LEFT(TRIM(C291),FIND(" ",TRIM(C291)&amp;" ")-1),",","."),FIND("/",SUBSTITUTE(LEFT(TRIM(C291),FIND(" ",TRIM(C291)&amp;" ")-1),",","."))+1,9))*12,NA()))),0),24)*'Aturan &amp; Tarif'!$B$4,2)</f>
        <v>1362.72</v>
      </c>
      <c r="K291" s="32" t="n">
        <f aca="false">'Aturan &amp; Tarif'!$B$5</f>
        <v>2050</v>
      </c>
      <c r="L291" s="35" t="n">
        <f aca="false">I291+J291+K291</f>
        <v>27862.72</v>
      </c>
      <c r="M291" s="37" t="s">
        <v>1471</v>
      </c>
    </row>
    <row r="292" customFormat="false" ht="25.5" hidden="false" customHeight="true" outlineLevel="0" collapsed="false">
      <c r="A292" s="29"/>
      <c r="B292" s="30" t="s">
        <v>1472</v>
      </c>
      <c r="C292" s="31" t="s">
        <v>107</v>
      </c>
      <c r="D292" s="31" t="s">
        <v>108</v>
      </c>
      <c r="E292" s="32" t="n">
        <v>12150</v>
      </c>
      <c r="F292" s="32"/>
      <c r="G292" s="32" t="n">
        <v>150</v>
      </c>
      <c r="H292" s="33" t="n">
        <v>2</v>
      </c>
      <c r="I292" s="34" t="n">
        <f aca="false">E292*H292+N(F292)+N(G292)</f>
        <v>24450</v>
      </c>
      <c r="J292" s="32" t="n">
        <f aca="false">ROUND(IFERROR(ROUND(IF(OR(ISNUMBER(SEARCH("week",C292)),ISNUMBER(SEARCH("minggu",C292))),IFERROR(_xlfn.NUMBERVALUE(SUBSTITUTE(LEFT(TRIM(C292),FIND(" ",TRIM(C292)&amp;" ")-1),",","."),"."),LEFT(SUBSTITUTE(LEFT(TRIM(C292),FIND(" ",TRIM(C292)&amp;" ")-1),",","."),FIND("/",SUBSTITUTE(LEFT(TRIM(C292),FIND(" ",TRIM(C292)&amp;" ")-1),",","."))-1)/MID(SUBSTITUTE(LEFT(TRIM(C292),FIND(" ",TRIM(C292)&amp;" ")-1),",","."),FIND("/",SUBSTITUTE(LEFT(TRIM(C292),FIND(" ",TRIM(C292)&amp;" ")-1),",","."))+1,9))*12/52,IF(ISNUMBER(SEARCH("month",C292)),IFERROR(_xlfn.NUMBERVALUE(SUBSTITUTE(LEFT(TRIM(C292),FIND(" ",TRIM(C292)&amp;" ")-1),",","."),"."),LEFT(SUBSTITUTE(LEFT(TRIM(C292),FIND(" ",TRIM(C292)&amp;" ")-1),",","."),FIND("/",SUBSTITUTE(LEFT(TRIM(C292),FIND(" ",TRIM(C292)&amp;" ")-1),",","."))-1)/MID(SUBSTITUTE(LEFT(TRIM(C292),FIND(" ",TRIM(C292)&amp;" ")-1),",","."),FIND("/",SUBSTITUTE(LEFT(TRIM(C292),FIND(" ",TRIM(C292)&amp;" ")-1),",","."))+1,9)),IF(ISNUMBER(SEARCH("yea",C292)),IFERROR(_xlfn.NUMBERVALUE(SUBSTITUTE(LEFT(TRIM(C292),FIND(" ",TRIM(C292)&amp;" ")-1),",","."),"."),LEFT(SUBSTITUTE(LEFT(TRIM(C292),FIND(" ",TRIM(C292)&amp;" ")-1),",","."),FIND("/",SUBSTITUTE(LEFT(TRIM(C292),FIND(" ",TRIM(C292)&amp;" ")-1),",","."))-1)/MID(SUBSTITUTE(LEFT(TRIM(C292),FIND(" ",TRIM(C292)&amp;" ")-1),",","."),FIND("/",SUBSTITUTE(LEFT(TRIM(C292),FIND(" ",TRIM(C292)&amp;" ")-1),",","."))+1,9))*12,NA()))),0),24)*'Aturan &amp; Tarif'!$B$4,2)</f>
        <v>1362.72</v>
      </c>
      <c r="K292" s="32" t="n">
        <f aca="false">'Aturan &amp; Tarif'!$B$5</f>
        <v>2050</v>
      </c>
      <c r="L292" s="35" t="n">
        <f aca="false">I292+J292+K292</f>
        <v>27862.72</v>
      </c>
      <c r="M292" s="37" t="s">
        <v>1471</v>
      </c>
    </row>
    <row r="293" customFormat="false" ht="14.25" hidden="false" customHeight="true" outlineLevel="0" collapsed="false">
      <c r="A293" s="29"/>
      <c r="B293" s="30" t="s">
        <v>1473</v>
      </c>
      <c r="C293" s="31" t="s">
        <v>107</v>
      </c>
      <c r="D293" s="31" t="s">
        <v>108</v>
      </c>
      <c r="E293" s="32" t="n">
        <v>13125</v>
      </c>
      <c r="F293" s="32"/>
      <c r="G293" s="32" t="n">
        <v>150</v>
      </c>
      <c r="H293" s="33" t="n">
        <v>2</v>
      </c>
      <c r="I293" s="34" t="n">
        <f aca="false">E293*H293+N(F293)+N(G293)</f>
        <v>26400</v>
      </c>
      <c r="J293" s="32" t="n">
        <f aca="false">ROUND(IFERROR(ROUND(IF(OR(ISNUMBER(SEARCH("week",C293)),ISNUMBER(SEARCH("minggu",C293))),IFERROR(_xlfn.NUMBERVALUE(SUBSTITUTE(LEFT(TRIM(C293),FIND(" ",TRIM(C293)&amp;" ")-1),",","."),"."),LEFT(SUBSTITUTE(LEFT(TRIM(C293),FIND(" ",TRIM(C293)&amp;" ")-1),",","."),FIND("/",SUBSTITUTE(LEFT(TRIM(C293),FIND(" ",TRIM(C293)&amp;" ")-1),",","."))-1)/MID(SUBSTITUTE(LEFT(TRIM(C293),FIND(" ",TRIM(C293)&amp;" ")-1),",","."),FIND("/",SUBSTITUTE(LEFT(TRIM(C293),FIND(" ",TRIM(C293)&amp;" ")-1),",","."))+1,9))*12/52,IF(ISNUMBER(SEARCH("month",C293)),IFERROR(_xlfn.NUMBERVALUE(SUBSTITUTE(LEFT(TRIM(C293),FIND(" ",TRIM(C293)&amp;" ")-1),",","."),"."),LEFT(SUBSTITUTE(LEFT(TRIM(C293),FIND(" ",TRIM(C293)&amp;" ")-1),",","."),FIND("/",SUBSTITUTE(LEFT(TRIM(C293),FIND(" ",TRIM(C293)&amp;" ")-1),",","."))-1)/MID(SUBSTITUTE(LEFT(TRIM(C293),FIND(" ",TRIM(C293)&amp;" ")-1),",","."),FIND("/",SUBSTITUTE(LEFT(TRIM(C293),FIND(" ",TRIM(C293)&amp;" ")-1),",","."))+1,9)),IF(ISNUMBER(SEARCH("yea",C293)),IFERROR(_xlfn.NUMBERVALUE(SUBSTITUTE(LEFT(TRIM(C293),FIND(" ",TRIM(C293)&amp;" ")-1),",","."),"."),LEFT(SUBSTITUTE(LEFT(TRIM(C293),FIND(" ",TRIM(C293)&amp;" ")-1),",","."),FIND("/",SUBSTITUTE(LEFT(TRIM(C293),FIND(" ",TRIM(C293)&amp;" ")-1),",","."))-1)/MID(SUBSTITUTE(LEFT(TRIM(C293),FIND(" ",TRIM(C293)&amp;" ")-1),",","."),FIND("/",SUBSTITUTE(LEFT(TRIM(C293),FIND(" ",TRIM(C293)&amp;" ")-1),",","."))+1,9))*12,NA()))),0),24)*'Aturan &amp; Tarif'!$B$4,2)</f>
        <v>1362.72</v>
      </c>
      <c r="K293" s="32" t="n">
        <f aca="false">'Aturan &amp; Tarif'!$B$5</f>
        <v>2050</v>
      </c>
      <c r="L293" s="35" t="n">
        <f aca="false">I293+J293+K293</f>
        <v>29812.72</v>
      </c>
      <c r="M293" s="37" t="s">
        <v>846</v>
      </c>
    </row>
    <row r="294" customFormat="false" ht="14.25" hidden="false" customHeight="true" outlineLevel="0" collapsed="false">
      <c r="A294" s="29"/>
      <c r="B294" s="30" t="s">
        <v>1474</v>
      </c>
      <c r="C294" s="31" t="s">
        <v>107</v>
      </c>
      <c r="D294" s="31" t="s">
        <v>108</v>
      </c>
      <c r="E294" s="32" t="n">
        <v>11275</v>
      </c>
      <c r="F294" s="32"/>
      <c r="G294" s="32" t="n">
        <v>150</v>
      </c>
      <c r="H294" s="33" t="n">
        <v>2</v>
      </c>
      <c r="I294" s="34" t="n">
        <f aca="false">E294*H294+N(F294)+N(G294)</f>
        <v>22700</v>
      </c>
      <c r="J294" s="32" t="n">
        <f aca="false">ROUND(IFERROR(ROUND(IF(OR(ISNUMBER(SEARCH("week",C294)),ISNUMBER(SEARCH("minggu",C294))),IFERROR(_xlfn.NUMBERVALUE(SUBSTITUTE(LEFT(TRIM(C294),FIND(" ",TRIM(C294)&amp;" ")-1),",","."),"."),LEFT(SUBSTITUTE(LEFT(TRIM(C294),FIND(" ",TRIM(C294)&amp;" ")-1),",","."),FIND("/",SUBSTITUTE(LEFT(TRIM(C294),FIND(" ",TRIM(C294)&amp;" ")-1),",","."))-1)/MID(SUBSTITUTE(LEFT(TRIM(C294),FIND(" ",TRIM(C294)&amp;" ")-1),",","."),FIND("/",SUBSTITUTE(LEFT(TRIM(C294),FIND(" ",TRIM(C294)&amp;" ")-1),",","."))+1,9))*12/52,IF(ISNUMBER(SEARCH("month",C294)),IFERROR(_xlfn.NUMBERVALUE(SUBSTITUTE(LEFT(TRIM(C294),FIND(" ",TRIM(C294)&amp;" ")-1),",","."),"."),LEFT(SUBSTITUTE(LEFT(TRIM(C294),FIND(" ",TRIM(C294)&amp;" ")-1),",","."),FIND("/",SUBSTITUTE(LEFT(TRIM(C294),FIND(" ",TRIM(C294)&amp;" ")-1),",","."))-1)/MID(SUBSTITUTE(LEFT(TRIM(C294),FIND(" ",TRIM(C294)&amp;" ")-1),",","."),FIND("/",SUBSTITUTE(LEFT(TRIM(C294),FIND(" ",TRIM(C294)&amp;" ")-1),",","."))+1,9)),IF(ISNUMBER(SEARCH("yea",C294)),IFERROR(_xlfn.NUMBERVALUE(SUBSTITUTE(LEFT(TRIM(C294),FIND(" ",TRIM(C294)&amp;" ")-1),",","."),"."),LEFT(SUBSTITUTE(LEFT(TRIM(C294),FIND(" ",TRIM(C294)&amp;" ")-1),",","."),FIND("/",SUBSTITUTE(LEFT(TRIM(C294),FIND(" ",TRIM(C294)&amp;" ")-1),",","."))-1)/MID(SUBSTITUTE(LEFT(TRIM(C294),FIND(" ",TRIM(C294)&amp;" ")-1),",","."),FIND("/",SUBSTITUTE(LEFT(TRIM(C294),FIND(" ",TRIM(C294)&amp;" ")-1),",","."))+1,9))*12,NA()))),0),24)*'Aturan &amp; Tarif'!$B$4,2)</f>
        <v>1362.72</v>
      </c>
      <c r="K294" s="32" t="n">
        <f aca="false">'Aturan &amp; Tarif'!$B$5</f>
        <v>2050</v>
      </c>
      <c r="L294" s="35" t="n">
        <f aca="false">I294+J294+K294</f>
        <v>26112.72</v>
      </c>
      <c r="M294" s="37" t="s">
        <v>846</v>
      </c>
    </row>
    <row r="295" customFormat="false" ht="14.25" hidden="false" customHeight="true" outlineLevel="0" collapsed="false">
      <c r="A295" s="29"/>
      <c r="B295" s="30" t="s">
        <v>1475</v>
      </c>
      <c r="C295" s="31" t="s">
        <v>107</v>
      </c>
      <c r="D295" s="31" t="s">
        <v>108</v>
      </c>
      <c r="E295" s="32" t="n">
        <v>12425</v>
      </c>
      <c r="F295" s="32"/>
      <c r="G295" s="32" t="n">
        <v>150</v>
      </c>
      <c r="H295" s="33" t="n">
        <v>2</v>
      </c>
      <c r="I295" s="34" t="n">
        <f aca="false">E295*H295+N(F295)+N(G295)</f>
        <v>25000</v>
      </c>
      <c r="J295" s="32" t="n">
        <f aca="false">ROUND(IFERROR(ROUND(IF(OR(ISNUMBER(SEARCH("week",C295)),ISNUMBER(SEARCH("minggu",C295))),IFERROR(_xlfn.NUMBERVALUE(SUBSTITUTE(LEFT(TRIM(C295),FIND(" ",TRIM(C295)&amp;" ")-1),",","."),"."),LEFT(SUBSTITUTE(LEFT(TRIM(C295),FIND(" ",TRIM(C295)&amp;" ")-1),",","."),FIND("/",SUBSTITUTE(LEFT(TRIM(C295),FIND(" ",TRIM(C295)&amp;" ")-1),",","."))-1)/MID(SUBSTITUTE(LEFT(TRIM(C295),FIND(" ",TRIM(C295)&amp;" ")-1),",","."),FIND("/",SUBSTITUTE(LEFT(TRIM(C295),FIND(" ",TRIM(C295)&amp;" ")-1),",","."))+1,9))*12/52,IF(ISNUMBER(SEARCH("month",C295)),IFERROR(_xlfn.NUMBERVALUE(SUBSTITUTE(LEFT(TRIM(C295),FIND(" ",TRIM(C295)&amp;" ")-1),",","."),"."),LEFT(SUBSTITUTE(LEFT(TRIM(C295),FIND(" ",TRIM(C295)&amp;" ")-1),",","."),FIND("/",SUBSTITUTE(LEFT(TRIM(C295),FIND(" ",TRIM(C295)&amp;" ")-1),",","."))-1)/MID(SUBSTITUTE(LEFT(TRIM(C295),FIND(" ",TRIM(C295)&amp;" ")-1),",","."),FIND("/",SUBSTITUTE(LEFT(TRIM(C295),FIND(" ",TRIM(C295)&amp;" ")-1),",","."))+1,9)),IF(ISNUMBER(SEARCH("yea",C295)),IFERROR(_xlfn.NUMBERVALUE(SUBSTITUTE(LEFT(TRIM(C295),FIND(" ",TRIM(C295)&amp;" ")-1),",","."),"."),LEFT(SUBSTITUTE(LEFT(TRIM(C295),FIND(" ",TRIM(C295)&amp;" ")-1),",","."),FIND("/",SUBSTITUTE(LEFT(TRIM(C295),FIND(" ",TRIM(C295)&amp;" ")-1),",","."))-1)/MID(SUBSTITUTE(LEFT(TRIM(C295),FIND(" ",TRIM(C295)&amp;" ")-1),",","."),FIND("/",SUBSTITUTE(LEFT(TRIM(C295),FIND(" ",TRIM(C295)&amp;" ")-1),",","."))+1,9))*12,NA()))),0),24)*'Aturan &amp; Tarif'!$B$4,2)</f>
        <v>1362.72</v>
      </c>
      <c r="K295" s="32" t="n">
        <f aca="false">'Aturan &amp; Tarif'!$B$5</f>
        <v>2050</v>
      </c>
      <c r="L295" s="35" t="n">
        <f aca="false">I295+J295+K295</f>
        <v>28412.72</v>
      </c>
      <c r="M295" s="37" t="s">
        <v>846</v>
      </c>
    </row>
    <row r="296" customFormat="false" ht="14.25" hidden="false" customHeight="true" outlineLevel="0" collapsed="false">
      <c r="A296" s="29"/>
      <c r="B296" s="30" t="s">
        <v>1476</v>
      </c>
      <c r="C296" s="31" t="s">
        <v>130</v>
      </c>
      <c r="D296" s="31" t="s">
        <v>108</v>
      </c>
      <c r="E296" s="32" t="n">
        <v>32425</v>
      </c>
      <c r="F296" s="32"/>
      <c r="G296" s="32" t="n">
        <v>150</v>
      </c>
      <c r="H296" s="33" t="n">
        <v>2</v>
      </c>
      <c r="I296" s="34" t="n">
        <f aca="false">E296*H296+N(F296)+N(G296)</f>
        <v>65000</v>
      </c>
      <c r="J296" s="32" t="n">
        <f aca="false">ROUND(IFERROR(ROUND(IF(OR(ISNUMBER(SEARCH("week",C296)),ISNUMBER(SEARCH("minggu",C296))),IFERROR(_xlfn.NUMBERVALUE(SUBSTITUTE(LEFT(TRIM(C296),FIND(" ",TRIM(C296)&amp;" ")-1),",","."),"."),LEFT(SUBSTITUTE(LEFT(TRIM(C296),FIND(" ",TRIM(C296)&amp;" ")-1),",","."),FIND("/",SUBSTITUTE(LEFT(TRIM(C296),FIND(" ",TRIM(C296)&amp;" ")-1),",","."))-1)/MID(SUBSTITUTE(LEFT(TRIM(C296),FIND(" ",TRIM(C296)&amp;" ")-1),",","."),FIND("/",SUBSTITUTE(LEFT(TRIM(C296),FIND(" ",TRIM(C296)&amp;" ")-1),",","."))+1,9))*12/52,IF(ISNUMBER(SEARCH("month",C296)),IFERROR(_xlfn.NUMBERVALUE(SUBSTITUTE(LEFT(TRIM(C296),FIND(" ",TRIM(C296)&amp;" ")-1),",","."),"."),LEFT(SUBSTITUTE(LEFT(TRIM(C296),FIND(" ",TRIM(C296)&amp;" ")-1),",","."),FIND("/",SUBSTITUTE(LEFT(TRIM(C296),FIND(" ",TRIM(C296)&amp;" ")-1),",","."))-1)/MID(SUBSTITUTE(LEFT(TRIM(C296),FIND(" ",TRIM(C296)&amp;" ")-1),",","."),FIND("/",SUBSTITUTE(LEFT(TRIM(C296),FIND(" ",TRIM(C296)&amp;" ")-1),",","."))+1,9)),IF(ISNUMBER(SEARCH("yea",C296)),IFERROR(_xlfn.NUMBERVALUE(SUBSTITUTE(LEFT(TRIM(C296),FIND(" ",TRIM(C296)&amp;" ")-1),",","."),"."),LEFT(SUBSTITUTE(LEFT(TRIM(C296),FIND(" ",TRIM(C296)&amp;" ")-1),",","."),FIND("/",SUBSTITUTE(LEFT(TRIM(C296),FIND(" ",TRIM(C296)&amp;" ")-1),",","."))-1)/MID(SUBSTITUTE(LEFT(TRIM(C296),FIND(" ",TRIM(C296)&amp;" ")-1),",","."),FIND("/",SUBSTITUTE(LEFT(TRIM(C296),FIND(" ",TRIM(C296)&amp;" ")-1),",","."))+1,9))*12,NA()))),0),12)*'Aturan &amp; Tarif'!$B$4,2)</f>
        <v>681.36</v>
      </c>
      <c r="K296" s="32" t="n">
        <f aca="false">'Aturan &amp; Tarif'!$B$5</f>
        <v>2050</v>
      </c>
      <c r="L296" s="35" t="n">
        <f aca="false">I296+J296+K296</f>
        <v>67731.36</v>
      </c>
      <c r="M296" s="37" t="s">
        <v>1477</v>
      </c>
    </row>
    <row r="297" customFormat="false" ht="25.5" hidden="false" customHeight="true" outlineLevel="0" collapsed="false">
      <c r="A297" s="29"/>
      <c r="B297" s="30" t="s">
        <v>1478</v>
      </c>
      <c r="C297" s="31" t="s">
        <v>107</v>
      </c>
      <c r="D297" s="31" t="s">
        <v>108</v>
      </c>
      <c r="E297" s="32" t="n">
        <v>13125</v>
      </c>
      <c r="F297" s="32"/>
      <c r="G297" s="32" t="n">
        <v>150</v>
      </c>
      <c r="H297" s="33" t="n">
        <v>2</v>
      </c>
      <c r="I297" s="34" t="n">
        <f aca="false">E297*H297+N(F297)+N(G297)</f>
        <v>26400</v>
      </c>
      <c r="J297" s="32" t="n">
        <f aca="false">ROUND(IFERROR(ROUND(IF(OR(ISNUMBER(SEARCH("week",C297)),ISNUMBER(SEARCH("minggu",C297))),IFERROR(_xlfn.NUMBERVALUE(SUBSTITUTE(LEFT(TRIM(C297),FIND(" ",TRIM(C297)&amp;" ")-1),",","."),"."),LEFT(SUBSTITUTE(LEFT(TRIM(C297),FIND(" ",TRIM(C297)&amp;" ")-1),",","."),FIND("/",SUBSTITUTE(LEFT(TRIM(C297),FIND(" ",TRIM(C297)&amp;" ")-1),",","."))-1)/MID(SUBSTITUTE(LEFT(TRIM(C297),FIND(" ",TRIM(C297)&amp;" ")-1),",","."),FIND("/",SUBSTITUTE(LEFT(TRIM(C297),FIND(" ",TRIM(C297)&amp;" ")-1),",","."))+1,9))*12/52,IF(ISNUMBER(SEARCH("month",C297)),IFERROR(_xlfn.NUMBERVALUE(SUBSTITUTE(LEFT(TRIM(C297),FIND(" ",TRIM(C297)&amp;" ")-1),",","."),"."),LEFT(SUBSTITUTE(LEFT(TRIM(C297),FIND(" ",TRIM(C297)&amp;" ")-1),",","."),FIND("/",SUBSTITUTE(LEFT(TRIM(C297),FIND(" ",TRIM(C297)&amp;" ")-1),",","."))-1)/MID(SUBSTITUTE(LEFT(TRIM(C297),FIND(" ",TRIM(C297)&amp;" ")-1),",","."),FIND("/",SUBSTITUTE(LEFT(TRIM(C297),FIND(" ",TRIM(C297)&amp;" ")-1),",","."))+1,9)),IF(ISNUMBER(SEARCH("yea",C297)),IFERROR(_xlfn.NUMBERVALUE(SUBSTITUTE(LEFT(TRIM(C297),FIND(" ",TRIM(C297)&amp;" ")-1),",","."),"."),LEFT(SUBSTITUTE(LEFT(TRIM(C297),FIND(" ",TRIM(C297)&amp;" ")-1),",","."),FIND("/",SUBSTITUTE(LEFT(TRIM(C297),FIND(" ",TRIM(C297)&amp;" ")-1),",","."))-1)/MID(SUBSTITUTE(LEFT(TRIM(C297),FIND(" ",TRIM(C297)&amp;" ")-1),",","."),FIND("/",SUBSTITUTE(LEFT(TRIM(C297),FIND(" ",TRIM(C297)&amp;" ")-1),",","."))+1,9))*12,NA()))),0),24)*'Aturan &amp; Tarif'!$B$4,2)</f>
        <v>1362.72</v>
      </c>
      <c r="K297" s="32" t="n">
        <f aca="false">'Aturan &amp; Tarif'!$B$5</f>
        <v>2050</v>
      </c>
      <c r="L297" s="35" t="n">
        <f aca="false">I297+J297+K297</f>
        <v>29812.72</v>
      </c>
      <c r="M297" s="37" t="s">
        <v>1479</v>
      </c>
    </row>
    <row r="298" customFormat="false" ht="25.5" hidden="false" customHeight="true" outlineLevel="0" collapsed="false">
      <c r="A298" s="29"/>
      <c r="B298" s="30" t="s">
        <v>1480</v>
      </c>
      <c r="C298" s="31" t="s">
        <v>107</v>
      </c>
      <c r="D298" s="31" t="s">
        <v>108</v>
      </c>
      <c r="E298" s="32" t="n">
        <v>13125</v>
      </c>
      <c r="F298" s="32"/>
      <c r="G298" s="32" t="n">
        <v>150</v>
      </c>
      <c r="H298" s="33" t="n">
        <v>2</v>
      </c>
      <c r="I298" s="34" t="n">
        <f aca="false">E298*H298+N(F298)+N(G298)</f>
        <v>26400</v>
      </c>
      <c r="J298" s="32" t="n">
        <f aca="false">ROUND(IFERROR(ROUND(IF(OR(ISNUMBER(SEARCH("week",C298)),ISNUMBER(SEARCH("minggu",C298))),IFERROR(_xlfn.NUMBERVALUE(SUBSTITUTE(LEFT(TRIM(C298),FIND(" ",TRIM(C298)&amp;" ")-1),",","."),"."),LEFT(SUBSTITUTE(LEFT(TRIM(C298),FIND(" ",TRIM(C298)&amp;" ")-1),",","."),FIND("/",SUBSTITUTE(LEFT(TRIM(C298),FIND(" ",TRIM(C298)&amp;" ")-1),",","."))-1)/MID(SUBSTITUTE(LEFT(TRIM(C298),FIND(" ",TRIM(C298)&amp;" ")-1),",","."),FIND("/",SUBSTITUTE(LEFT(TRIM(C298),FIND(" ",TRIM(C298)&amp;" ")-1),",","."))+1,9))*12/52,IF(ISNUMBER(SEARCH("month",C298)),IFERROR(_xlfn.NUMBERVALUE(SUBSTITUTE(LEFT(TRIM(C298),FIND(" ",TRIM(C298)&amp;" ")-1),",","."),"."),LEFT(SUBSTITUTE(LEFT(TRIM(C298),FIND(" ",TRIM(C298)&amp;" ")-1),",","."),FIND("/",SUBSTITUTE(LEFT(TRIM(C298),FIND(" ",TRIM(C298)&amp;" ")-1),",","."))-1)/MID(SUBSTITUTE(LEFT(TRIM(C298),FIND(" ",TRIM(C298)&amp;" ")-1),",","."),FIND("/",SUBSTITUTE(LEFT(TRIM(C298),FIND(" ",TRIM(C298)&amp;" ")-1),",","."))+1,9)),IF(ISNUMBER(SEARCH("yea",C298)),IFERROR(_xlfn.NUMBERVALUE(SUBSTITUTE(LEFT(TRIM(C298),FIND(" ",TRIM(C298)&amp;" ")-1),",","."),"."),LEFT(SUBSTITUTE(LEFT(TRIM(C298),FIND(" ",TRIM(C298)&amp;" ")-1),",","."),FIND("/",SUBSTITUTE(LEFT(TRIM(C298),FIND(" ",TRIM(C298)&amp;" ")-1),",","."))-1)/MID(SUBSTITUTE(LEFT(TRIM(C298),FIND(" ",TRIM(C298)&amp;" ")-1),",","."),FIND("/",SUBSTITUTE(LEFT(TRIM(C298),FIND(" ",TRIM(C298)&amp;" ")-1),",","."))+1,9))*12,NA()))),0),24)*'Aturan &amp; Tarif'!$B$4,2)</f>
        <v>1362.72</v>
      </c>
      <c r="K298" s="32" t="n">
        <f aca="false">'Aturan &amp; Tarif'!$B$5</f>
        <v>2050</v>
      </c>
      <c r="L298" s="35" t="n">
        <f aca="false">I298+J298+K298</f>
        <v>29812.72</v>
      </c>
      <c r="M298" s="37" t="s">
        <v>1479</v>
      </c>
    </row>
    <row r="299" customFormat="false" ht="25.5" hidden="false" customHeight="true" outlineLevel="0" collapsed="false">
      <c r="A299" s="29"/>
      <c r="B299" s="30" t="s">
        <v>1481</v>
      </c>
      <c r="C299" s="31" t="s">
        <v>107</v>
      </c>
      <c r="D299" s="31" t="s">
        <v>108</v>
      </c>
      <c r="E299" s="32" t="n">
        <v>13125</v>
      </c>
      <c r="F299" s="32"/>
      <c r="G299" s="32" t="n">
        <v>150</v>
      </c>
      <c r="H299" s="33" t="n">
        <v>2</v>
      </c>
      <c r="I299" s="34" t="n">
        <f aca="false">E299*H299+N(F299)+N(G299)</f>
        <v>26400</v>
      </c>
      <c r="J299" s="32" t="n">
        <f aca="false">ROUND(IFERROR(ROUND(IF(OR(ISNUMBER(SEARCH("week",C299)),ISNUMBER(SEARCH("minggu",C299))),IFERROR(_xlfn.NUMBERVALUE(SUBSTITUTE(LEFT(TRIM(C299),FIND(" ",TRIM(C299)&amp;" ")-1),",","."),"."),LEFT(SUBSTITUTE(LEFT(TRIM(C299),FIND(" ",TRIM(C299)&amp;" ")-1),",","."),FIND("/",SUBSTITUTE(LEFT(TRIM(C299),FIND(" ",TRIM(C299)&amp;" ")-1),",","."))-1)/MID(SUBSTITUTE(LEFT(TRIM(C299),FIND(" ",TRIM(C299)&amp;" ")-1),",","."),FIND("/",SUBSTITUTE(LEFT(TRIM(C299),FIND(" ",TRIM(C299)&amp;" ")-1),",","."))+1,9))*12/52,IF(ISNUMBER(SEARCH("month",C299)),IFERROR(_xlfn.NUMBERVALUE(SUBSTITUTE(LEFT(TRIM(C299),FIND(" ",TRIM(C299)&amp;" ")-1),",","."),"."),LEFT(SUBSTITUTE(LEFT(TRIM(C299),FIND(" ",TRIM(C299)&amp;" ")-1),",","."),FIND("/",SUBSTITUTE(LEFT(TRIM(C299),FIND(" ",TRIM(C299)&amp;" ")-1),",","."))-1)/MID(SUBSTITUTE(LEFT(TRIM(C299),FIND(" ",TRIM(C299)&amp;" ")-1),",","."),FIND("/",SUBSTITUTE(LEFT(TRIM(C299),FIND(" ",TRIM(C299)&amp;" ")-1),",","."))+1,9)),IF(ISNUMBER(SEARCH("yea",C299)),IFERROR(_xlfn.NUMBERVALUE(SUBSTITUTE(LEFT(TRIM(C299),FIND(" ",TRIM(C299)&amp;" ")-1),",","."),"."),LEFT(SUBSTITUTE(LEFT(TRIM(C299),FIND(" ",TRIM(C299)&amp;" ")-1),",","."),FIND("/",SUBSTITUTE(LEFT(TRIM(C299),FIND(" ",TRIM(C299)&amp;" ")-1),",","."))-1)/MID(SUBSTITUTE(LEFT(TRIM(C299),FIND(" ",TRIM(C299)&amp;" ")-1),",","."),FIND("/",SUBSTITUTE(LEFT(TRIM(C299),FIND(" ",TRIM(C299)&amp;" ")-1),",","."))+1,9))*12,NA()))),0),24)*'Aturan &amp; Tarif'!$B$4,2)</f>
        <v>1362.72</v>
      </c>
      <c r="K299" s="32" t="n">
        <f aca="false">'Aturan &amp; Tarif'!$B$5</f>
        <v>2050</v>
      </c>
      <c r="L299" s="35" t="n">
        <f aca="false">I299+J299+K299</f>
        <v>29812.72</v>
      </c>
      <c r="M299" s="37" t="s">
        <v>1479</v>
      </c>
    </row>
    <row r="300" customFormat="false" ht="37.5" hidden="false" customHeight="true" outlineLevel="0" collapsed="false">
      <c r="A300" s="29"/>
      <c r="B300" s="30" t="s">
        <v>1482</v>
      </c>
      <c r="C300" s="31" t="s">
        <v>107</v>
      </c>
      <c r="D300" s="31" t="s">
        <v>108</v>
      </c>
      <c r="E300" s="32" t="n">
        <v>13125</v>
      </c>
      <c r="F300" s="32"/>
      <c r="G300" s="32" t="n">
        <v>150</v>
      </c>
      <c r="H300" s="33" t="n">
        <v>2</v>
      </c>
      <c r="I300" s="34" t="n">
        <f aca="false">E300*H300+N(F300)+N(G300)</f>
        <v>26400</v>
      </c>
      <c r="J300" s="32" t="n">
        <f aca="false">ROUND(IFERROR(ROUND(IF(OR(ISNUMBER(SEARCH("week",C300)),ISNUMBER(SEARCH("minggu",C300))),IFERROR(_xlfn.NUMBERVALUE(SUBSTITUTE(LEFT(TRIM(C300),FIND(" ",TRIM(C300)&amp;" ")-1),",","."),"."),LEFT(SUBSTITUTE(LEFT(TRIM(C300),FIND(" ",TRIM(C300)&amp;" ")-1),",","."),FIND("/",SUBSTITUTE(LEFT(TRIM(C300),FIND(" ",TRIM(C300)&amp;" ")-1),",","."))-1)/MID(SUBSTITUTE(LEFT(TRIM(C300),FIND(" ",TRIM(C300)&amp;" ")-1),",","."),FIND("/",SUBSTITUTE(LEFT(TRIM(C300),FIND(" ",TRIM(C300)&amp;" ")-1),",","."))+1,9))*12/52,IF(ISNUMBER(SEARCH("month",C300)),IFERROR(_xlfn.NUMBERVALUE(SUBSTITUTE(LEFT(TRIM(C300),FIND(" ",TRIM(C300)&amp;" ")-1),",","."),"."),LEFT(SUBSTITUTE(LEFT(TRIM(C300),FIND(" ",TRIM(C300)&amp;" ")-1),",","."),FIND("/",SUBSTITUTE(LEFT(TRIM(C300),FIND(" ",TRIM(C300)&amp;" ")-1),",","."))-1)/MID(SUBSTITUTE(LEFT(TRIM(C300),FIND(" ",TRIM(C300)&amp;" ")-1),",","."),FIND("/",SUBSTITUTE(LEFT(TRIM(C300),FIND(" ",TRIM(C300)&amp;" ")-1),",","."))+1,9)),IF(ISNUMBER(SEARCH("yea",C300)),IFERROR(_xlfn.NUMBERVALUE(SUBSTITUTE(LEFT(TRIM(C300),FIND(" ",TRIM(C300)&amp;" ")-1),",","."),"."),LEFT(SUBSTITUTE(LEFT(TRIM(C300),FIND(" ",TRIM(C300)&amp;" ")-1),",","."),FIND("/",SUBSTITUTE(LEFT(TRIM(C300),FIND(" ",TRIM(C300)&amp;" ")-1),",","."))-1)/MID(SUBSTITUTE(LEFT(TRIM(C300),FIND(" ",TRIM(C300)&amp;" ")-1),",","."),FIND("/",SUBSTITUTE(LEFT(TRIM(C300),FIND(" ",TRIM(C300)&amp;" ")-1),",","."))+1,9))*12,NA()))),0),24)*'Aturan &amp; Tarif'!$B$4,2)</f>
        <v>1362.72</v>
      </c>
      <c r="K300" s="32" t="n">
        <f aca="false">'Aturan &amp; Tarif'!$B$5</f>
        <v>2050</v>
      </c>
      <c r="L300" s="35" t="n">
        <f aca="false">I300+J300+K300</f>
        <v>29812.72</v>
      </c>
      <c r="M300" s="37" t="s">
        <v>1479</v>
      </c>
    </row>
    <row r="301" customFormat="false" ht="25.5" hidden="false" customHeight="true" outlineLevel="0" collapsed="false">
      <c r="A301" s="29"/>
      <c r="B301" s="30" t="s">
        <v>1483</v>
      </c>
      <c r="C301" s="31" t="s">
        <v>107</v>
      </c>
      <c r="D301" s="31" t="s">
        <v>108</v>
      </c>
      <c r="E301" s="32" t="n">
        <v>13125</v>
      </c>
      <c r="F301" s="32"/>
      <c r="G301" s="32" t="n">
        <v>150</v>
      </c>
      <c r="H301" s="33" t="n">
        <v>2</v>
      </c>
      <c r="I301" s="34" t="n">
        <f aca="false">E301*H301+N(F301)+N(G301)</f>
        <v>26400</v>
      </c>
      <c r="J301" s="32" t="n">
        <f aca="false">ROUND(IFERROR(ROUND(IF(OR(ISNUMBER(SEARCH("week",C301)),ISNUMBER(SEARCH("minggu",C301))),IFERROR(_xlfn.NUMBERVALUE(SUBSTITUTE(LEFT(TRIM(C301),FIND(" ",TRIM(C301)&amp;" ")-1),",","."),"."),LEFT(SUBSTITUTE(LEFT(TRIM(C301),FIND(" ",TRIM(C301)&amp;" ")-1),",","."),FIND("/",SUBSTITUTE(LEFT(TRIM(C301),FIND(" ",TRIM(C301)&amp;" ")-1),",","."))-1)/MID(SUBSTITUTE(LEFT(TRIM(C301),FIND(" ",TRIM(C301)&amp;" ")-1),",","."),FIND("/",SUBSTITUTE(LEFT(TRIM(C301),FIND(" ",TRIM(C301)&amp;" ")-1),",","."))+1,9))*12/52,IF(ISNUMBER(SEARCH("month",C301)),IFERROR(_xlfn.NUMBERVALUE(SUBSTITUTE(LEFT(TRIM(C301),FIND(" ",TRIM(C301)&amp;" ")-1),",","."),"."),LEFT(SUBSTITUTE(LEFT(TRIM(C301),FIND(" ",TRIM(C301)&amp;" ")-1),",","."),FIND("/",SUBSTITUTE(LEFT(TRIM(C301),FIND(" ",TRIM(C301)&amp;" ")-1),",","."))-1)/MID(SUBSTITUTE(LEFT(TRIM(C301),FIND(" ",TRIM(C301)&amp;" ")-1),",","."),FIND("/",SUBSTITUTE(LEFT(TRIM(C301),FIND(" ",TRIM(C301)&amp;" ")-1),",","."))+1,9)),IF(ISNUMBER(SEARCH("yea",C301)),IFERROR(_xlfn.NUMBERVALUE(SUBSTITUTE(LEFT(TRIM(C301),FIND(" ",TRIM(C301)&amp;" ")-1),",","."),"."),LEFT(SUBSTITUTE(LEFT(TRIM(C301),FIND(" ",TRIM(C301)&amp;" ")-1),",","."),FIND("/",SUBSTITUTE(LEFT(TRIM(C301),FIND(" ",TRIM(C301)&amp;" ")-1),",","."))-1)/MID(SUBSTITUTE(LEFT(TRIM(C301),FIND(" ",TRIM(C301)&amp;" ")-1),",","."),FIND("/",SUBSTITUTE(LEFT(TRIM(C301),FIND(" ",TRIM(C301)&amp;" ")-1),",","."))+1,9))*12,NA()))),0),24)*'Aturan &amp; Tarif'!$B$4,2)</f>
        <v>1362.72</v>
      </c>
      <c r="K301" s="32" t="n">
        <f aca="false">'Aturan &amp; Tarif'!$B$5</f>
        <v>2050</v>
      </c>
      <c r="L301" s="35" t="n">
        <f aca="false">I301+J301+K301</f>
        <v>29812.72</v>
      </c>
      <c r="M301" s="37" t="s">
        <v>1479</v>
      </c>
    </row>
    <row r="302" customFormat="false" ht="37.5" hidden="false" customHeight="true" outlineLevel="0" collapsed="false">
      <c r="A302" s="29"/>
      <c r="B302" s="30" t="s">
        <v>1484</v>
      </c>
      <c r="C302" s="31" t="s">
        <v>107</v>
      </c>
      <c r="D302" s="31" t="s">
        <v>108</v>
      </c>
      <c r="E302" s="32" t="n">
        <v>13125</v>
      </c>
      <c r="F302" s="32"/>
      <c r="G302" s="32" t="n">
        <v>150</v>
      </c>
      <c r="H302" s="33" t="n">
        <v>2</v>
      </c>
      <c r="I302" s="34" t="n">
        <f aca="false">E302*H302+N(F302)+N(G302)</f>
        <v>26400</v>
      </c>
      <c r="J302" s="32" t="n">
        <f aca="false">ROUND(IFERROR(ROUND(IF(OR(ISNUMBER(SEARCH("week",C302)),ISNUMBER(SEARCH("minggu",C302))),IFERROR(_xlfn.NUMBERVALUE(SUBSTITUTE(LEFT(TRIM(C302),FIND(" ",TRIM(C302)&amp;" ")-1),",","."),"."),LEFT(SUBSTITUTE(LEFT(TRIM(C302),FIND(" ",TRIM(C302)&amp;" ")-1),",","."),FIND("/",SUBSTITUTE(LEFT(TRIM(C302),FIND(" ",TRIM(C302)&amp;" ")-1),",","."))-1)/MID(SUBSTITUTE(LEFT(TRIM(C302),FIND(" ",TRIM(C302)&amp;" ")-1),",","."),FIND("/",SUBSTITUTE(LEFT(TRIM(C302),FIND(" ",TRIM(C302)&amp;" ")-1),",","."))+1,9))*12/52,IF(ISNUMBER(SEARCH("month",C302)),IFERROR(_xlfn.NUMBERVALUE(SUBSTITUTE(LEFT(TRIM(C302),FIND(" ",TRIM(C302)&amp;" ")-1),",","."),"."),LEFT(SUBSTITUTE(LEFT(TRIM(C302),FIND(" ",TRIM(C302)&amp;" ")-1),",","."),FIND("/",SUBSTITUTE(LEFT(TRIM(C302),FIND(" ",TRIM(C302)&amp;" ")-1),",","."))-1)/MID(SUBSTITUTE(LEFT(TRIM(C302),FIND(" ",TRIM(C302)&amp;" ")-1),",","."),FIND("/",SUBSTITUTE(LEFT(TRIM(C302),FIND(" ",TRIM(C302)&amp;" ")-1),",","."))+1,9)),IF(ISNUMBER(SEARCH("yea",C302)),IFERROR(_xlfn.NUMBERVALUE(SUBSTITUTE(LEFT(TRIM(C302),FIND(" ",TRIM(C302)&amp;" ")-1),",","."),"."),LEFT(SUBSTITUTE(LEFT(TRIM(C302),FIND(" ",TRIM(C302)&amp;" ")-1),",","."),FIND("/",SUBSTITUTE(LEFT(TRIM(C302),FIND(" ",TRIM(C302)&amp;" ")-1),",","."))-1)/MID(SUBSTITUTE(LEFT(TRIM(C302),FIND(" ",TRIM(C302)&amp;" ")-1),",","."),FIND("/",SUBSTITUTE(LEFT(TRIM(C302),FIND(" ",TRIM(C302)&amp;" ")-1),",","."))+1,9))*12,NA()))),0),24)*'Aturan &amp; Tarif'!$B$4,2)</f>
        <v>1362.72</v>
      </c>
      <c r="K302" s="32" t="n">
        <f aca="false">'Aturan &amp; Tarif'!$B$5</f>
        <v>2050</v>
      </c>
      <c r="L302" s="35" t="n">
        <f aca="false">I302+J302+K302</f>
        <v>29812.72</v>
      </c>
      <c r="M302" s="37" t="s">
        <v>1479</v>
      </c>
    </row>
    <row r="303" customFormat="false" ht="25.5" hidden="false" customHeight="true" outlineLevel="0" collapsed="false">
      <c r="A303" s="29"/>
      <c r="B303" s="30" t="s">
        <v>1485</v>
      </c>
      <c r="C303" s="31" t="s">
        <v>107</v>
      </c>
      <c r="D303" s="31" t="s">
        <v>108</v>
      </c>
      <c r="E303" s="32" t="n">
        <v>13125</v>
      </c>
      <c r="F303" s="32"/>
      <c r="G303" s="32" t="n">
        <v>150</v>
      </c>
      <c r="H303" s="33" t="n">
        <v>2</v>
      </c>
      <c r="I303" s="34" t="n">
        <f aca="false">E303*H303+N(F303)+N(G303)</f>
        <v>26400</v>
      </c>
      <c r="J303" s="32" t="n">
        <f aca="false">ROUND(IFERROR(ROUND(IF(OR(ISNUMBER(SEARCH("week",C303)),ISNUMBER(SEARCH("minggu",C303))),IFERROR(_xlfn.NUMBERVALUE(SUBSTITUTE(LEFT(TRIM(C303),FIND(" ",TRIM(C303)&amp;" ")-1),",","."),"."),LEFT(SUBSTITUTE(LEFT(TRIM(C303),FIND(" ",TRIM(C303)&amp;" ")-1),",","."),FIND("/",SUBSTITUTE(LEFT(TRIM(C303),FIND(" ",TRIM(C303)&amp;" ")-1),",","."))-1)/MID(SUBSTITUTE(LEFT(TRIM(C303),FIND(" ",TRIM(C303)&amp;" ")-1),",","."),FIND("/",SUBSTITUTE(LEFT(TRIM(C303),FIND(" ",TRIM(C303)&amp;" ")-1),",","."))+1,9))*12/52,IF(ISNUMBER(SEARCH("month",C303)),IFERROR(_xlfn.NUMBERVALUE(SUBSTITUTE(LEFT(TRIM(C303),FIND(" ",TRIM(C303)&amp;" ")-1),",","."),"."),LEFT(SUBSTITUTE(LEFT(TRIM(C303),FIND(" ",TRIM(C303)&amp;" ")-1),",","."),FIND("/",SUBSTITUTE(LEFT(TRIM(C303),FIND(" ",TRIM(C303)&amp;" ")-1),",","."))-1)/MID(SUBSTITUTE(LEFT(TRIM(C303),FIND(" ",TRIM(C303)&amp;" ")-1),",","."),FIND("/",SUBSTITUTE(LEFT(TRIM(C303),FIND(" ",TRIM(C303)&amp;" ")-1),",","."))+1,9)),IF(ISNUMBER(SEARCH("yea",C303)),IFERROR(_xlfn.NUMBERVALUE(SUBSTITUTE(LEFT(TRIM(C303),FIND(" ",TRIM(C303)&amp;" ")-1),",","."),"."),LEFT(SUBSTITUTE(LEFT(TRIM(C303),FIND(" ",TRIM(C303)&amp;" ")-1),",","."),FIND("/",SUBSTITUTE(LEFT(TRIM(C303),FIND(" ",TRIM(C303)&amp;" ")-1),",","."))-1)/MID(SUBSTITUTE(LEFT(TRIM(C303),FIND(" ",TRIM(C303)&amp;" ")-1),",","."),FIND("/",SUBSTITUTE(LEFT(TRIM(C303),FIND(" ",TRIM(C303)&amp;" ")-1),",","."))+1,9))*12,NA()))),0),24)*'Aturan &amp; Tarif'!$B$4,2)</f>
        <v>1362.72</v>
      </c>
      <c r="K303" s="32" t="n">
        <f aca="false">'Aturan &amp; Tarif'!$B$5</f>
        <v>2050</v>
      </c>
      <c r="L303" s="35" t="n">
        <f aca="false">I303+J303+K303</f>
        <v>29812.72</v>
      </c>
      <c r="M303" s="37" t="s">
        <v>1479</v>
      </c>
    </row>
    <row r="304" customFormat="false" ht="14.25" hidden="false" customHeight="true" outlineLevel="0" collapsed="false">
      <c r="A304" s="29"/>
      <c r="B304" s="30" t="s">
        <v>348</v>
      </c>
      <c r="C304" s="31" t="s">
        <v>113</v>
      </c>
      <c r="D304" s="31" t="s">
        <v>108</v>
      </c>
      <c r="E304" s="32" t="n">
        <v>14275</v>
      </c>
      <c r="F304" s="32"/>
      <c r="G304" s="32" t="n">
        <v>150</v>
      </c>
      <c r="H304" s="33" t="n">
        <v>2</v>
      </c>
      <c r="I304" s="34" t="n">
        <f aca="false">E304*H304+N(F304)+N(G304)</f>
        <v>28700</v>
      </c>
      <c r="J304" s="32" t="n">
        <f aca="false">ROUND(IFERROR(ROUND(IF(OR(ISNUMBER(SEARCH("week",C304)),ISNUMBER(SEARCH("minggu",C304))),IFERROR(_xlfn.NUMBERVALUE(SUBSTITUTE(LEFT(TRIM(C304),FIND(" ",TRIM(C304)&amp;" ")-1),",","."),"."),LEFT(SUBSTITUTE(LEFT(TRIM(C304),FIND(" ",TRIM(C304)&amp;" ")-1),",","."),FIND("/",SUBSTITUTE(LEFT(TRIM(C304),FIND(" ",TRIM(C304)&amp;" ")-1),",","."))-1)/MID(SUBSTITUTE(LEFT(TRIM(C304),FIND(" ",TRIM(C304)&amp;" ")-1),",","."),FIND("/",SUBSTITUTE(LEFT(TRIM(C304),FIND(" ",TRIM(C304)&amp;" ")-1),",","."))+1,9))*12/52,IF(ISNUMBER(SEARCH("month",C304)),IFERROR(_xlfn.NUMBERVALUE(SUBSTITUTE(LEFT(TRIM(C304),FIND(" ",TRIM(C304)&amp;" ")-1),",","."),"."),LEFT(SUBSTITUTE(LEFT(TRIM(C304),FIND(" ",TRIM(C304)&amp;" ")-1),",","."),FIND("/",SUBSTITUTE(LEFT(TRIM(C304),FIND(" ",TRIM(C304)&amp;" ")-1),",","."))-1)/MID(SUBSTITUTE(LEFT(TRIM(C304),FIND(" ",TRIM(C304)&amp;" ")-1),",","."),FIND("/",SUBSTITUTE(LEFT(TRIM(C304),FIND(" ",TRIM(C304)&amp;" ")-1),",","."))+1,9)),IF(ISNUMBER(SEARCH("yea",C304)),IFERROR(_xlfn.NUMBERVALUE(SUBSTITUTE(LEFT(TRIM(C304),FIND(" ",TRIM(C304)&amp;" ")-1),",","."),"."),LEFT(SUBSTITUTE(LEFT(TRIM(C304),FIND(" ",TRIM(C304)&amp;" ")-1),",","."),FIND("/",SUBSTITUTE(LEFT(TRIM(C304),FIND(" ",TRIM(C304)&amp;" ")-1),",","."))-1)/MID(SUBSTITUTE(LEFT(TRIM(C304),FIND(" ",TRIM(C304)&amp;" ")-1),",","."),FIND("/",SUBSTITUTE(LEFT(TRIM(C304),FIND(" ",TRIM(C304)&amp;" ")-1),",","."))+1,9))*12,NA()))),0),18)*'Aturan &amp; Tarif'!$B$4,2)</f>
        <v>1022.04</v>
      </c>
      <c r="K304" s="32" t="n">
        <f aca="false">'Aturan &amp; Tarif'!$B$5</f>
        <v>2050</v>
      </c>
      <c r="L304" s="35" t="n">
        <f aca="false">I304+J304+K304</f>
        <v>31772.04</v>
      </c>
      <c r="M304" s="37" t="s">
        <v>1486</v>
      </c>
    </row>
    <row r="305" customFormat="false" ht="25.5" hidden="false" customHeight="true" outlineLevel="0" collapsed="false">
      <c r="A305" s="29"/>
      <c r="B305" s="30" t="s">
        <v>1487</v>
      </c>
      <c r="C305" s="31" t="s">
        <v>113</v>
      </c>
      <c r="D305" s="31" t="s">
        <v>108</v>
      </c>
      <c r="E305" s="32" t="n">
        <v>14275</v>
      </c>
      <c r="F305" s="32"/>
      <c r="G305" s="32" t="n">
        <v>150</v>
      </c>
      <c r="H305" s="33" t="n">
        <v>2</v>
      </c>
      <c r="I305" s="34" t="n">
        <f aca="false">E305*H305+N(F305)+N(G305)</f>
        <v>28700</v>
      </c>
      <c r="J305" s="32" t="n">
        <f aca="false">ROUND(IFERROR(ROUND(IF(OR(ISNUMBER(SEARCH("week",C305)),ISNUMBER(SEARCH("minggu",C305))),IFERROR(_xlfn.NUMBERVALUE(SUBSTITUTE(LEFT(TRIM(C305),FIND(" ",TRIM(C305)&amp;" ")-1),",","."),"."),LEFT(SUBSTITUTE(LEFT(TRIM(C305),FIND(" ",TRIM(C305)&amp;" ")-1),",","."),FIND("/",SUBSTITUTE(LEFT(TRIM(C305),FIND(" ",TRIM(C305)&amp;" ")-1),",","."))-1)/MID(SUBSTITUTE(LEFT(TRIM(C305),FIND(" ",TRIM(C305)&amp;" ")-1),",","."),FIND("/",SUBSTITUTE(LEFT(TRIM(C305),FIND(" ",TRIM(C305)&amp;" ")-1),",","."))+1,9))*12/52,IF(ISNUMBER(SEARCH("month",C305)),IFERROR(_xlfn.NUMBERVALUE(SUBSTITUTE(LEFT(TRIM(C305),FIND(" ",TRIM(C305)&amp;" ")-1),",","."),"."),LEFT(SUBSTITUTE(LEFT(TRIM(C305),FIND(" ",TRIM(C305)&amp;" ")-1),",","."),FIND("/",SUBSTITUTE(LEFT(TRIM(C305),FIND(" ",TRIM(C305)&amp;" ")-1),",","."))-1)/MID(SUBSTITUTE(LEFT(TRIM(C305),FIND(" ",TRIM(C305)&amp;" ")-1),",","."),FIND("/",SUBSTITUTE(LEFT(TRIM(C305),FIND(" ",TRIM(C305)&amp;" ")-1),",","."))+1,9)),IF(ISNUMBER(SEARCH("yea",C305)),IFERROR(_xlfn.NUMBERVALUE(SUBSTITUTE(LEFT(TRIM(C305),FIND(" ",TRIM(C305)&amp;" ")-1),",","."),"."),LEFT(SUBSTITUTE(LEFT(TRIM(C305),FIND(" ",TRIM(C305)&amp;" ")-1),",","."),FIND("/",SUBSTITUTE(LEFT(TRIM(C305),FIND(" ",TRIM(C305)&amp;" ")-1),",","."))-1)/MID(SUBSTITUTE(LEFT(TRIM(C305),FIND(" ",TRIM(C305)&amp;" ")-1),",","."),FIND("/",SUBSTITUTE(LEFT(TRIM(C305),FIND(" ",TRIM(C305)&amp;" ")-1),",","."))+1,9))*12,NA()))),0),18)*'Aturan &amp; Tarif'!$B$4,2)</f>
        <v>1022.04</v>
      </c>
      <c r="K305" s="32" t="n">
        <f aca="false">'Aturan &amp; Tarif'!$B$5</f>
        <v>2050</v>
      </c>
      <c r="L305" s="35" t="n">
        <f aca="false">I305+J305+K305</f>
        <v>31772.04</v>
      </c>
      <c r="M305" s="37" t="s">
        <v>1486</v>
      </c>
    </row>
    <row r="306" customFormat="false" ht="25.5" hidden="false" customHeight="true" outlineLevel="0" collapsed="false">
      <c r="A306" s="29"/>
      <c r="B306" s="30" t="s">
        <v>1488</v>
      </c>
      <c r="C306" s="31" t="s">
        <v>113</v>
      </c>
      <c r="D306" s="31" t="s">
        <v>108</v>
      </c>
      <c r="E306" s="32" t="n">
        <v>14275</v>
      </c>
      <c r="F306" s="32"/>
      <c r="G306" s="32" t="n">
        <v>150</v>
      </c>
      <c r="H306" s="33" t="n">
        <v>2</v>
      </c>
      <c r="I306" s="34" t="n">
        <f aca="false">E306*H306+N(F306)+N(G306)</f>
        <v>28700</v>
      </c>
      <c r="J306" s="32" t="n">
        <f aca="false">ROUND(IFERROR(ROUND(IF(OR(ISNUMBER(SEARCH("week",C306)),ISNUMBER(SEARCH("minggu",C306))),IFERROR(_xlfn.NUMBERVALUE(SUBSTITUTE(LEFT(TRIM(C306),FIND(" ",TRIM(C306)&amp;" ")-1),",","."),"."),LEFT(SUBSTITUTE(LEFT(TRIM(C306),FIND(" ",TRIM(C306)&amp;" ")-1),",","."),FIND("/",SUBSTITUTE(LEFT(TRIM(C306),FIND(" ",TRIM(C306)&amp;" ")-1),",","."))-1)/MID(SUBSTITUTE(LEFT(TRIM(C306),FIND(" ",TRIM(C306)&amp;" ")-1),",","."),FIND("/",SUBSTITUTE(LEFT(TRIM(C306),FIND(" ",TRIM(C306)&amp;" ")-1),",","."))+1,9))*12/52,IF(ISNUMBER(SEARCH("month",C306)),IFERROR(_xlfn.NUMBERVALUE(SUBSTITUTE(LEFT(TRIM(C306),FIND(" ",TRIM(C306)&amp;" ")-1),",","."),"."),LEFT(SUBSTITUTE(LEFT(TRIM(C306),FIND(" ",TRIM(C306)&amp;" ")-1),",","."),FIND("/",SUBSTITUTE(LEFT(TRIM(C306),FIND(" ",TRIM(C306)&amp;" ")-1),",","."))-1)/MID(SUBSTITUTE(LEFT(TRIM(C306),FIND(" ",TRIM(C306)&amp;" ")-1),",","."),FIND("/",SUBSTITUTE(LEFT(TRIM(C306),FIND(" ",TRIM(C306)&amp;" ")-1),",","."))+1,9)),IF(ISNUMBER(SEARCH("yea",C306)),IFERROR(_xlfn.NUMBERVALUE(SUBSTITUTE(LEFT(TRIM(C306),FIND(" ",TRIM(C306)&amp;" ")-1),",","."),"."),LEFT(SUBSTITUTE(LEFT(TRIM(C306),FIND(" ",TRIM(C306)&amp;" ")-1),",","."),FIND("/",SUBSTITUTE(LEFT(TRIM(C306),FIND(" ",TRIM(C306)&amp;" ")-1),",","."))-1)/MID(SUBSTITUTE(LEFT(TRIM(C306),FIND(" ",TRIM(C306)&amp;" ")-1),",","."),FIND("/",SUBSTITUTE(LEFT(TRIM(C306),FIND(" ",TRIM(C306)&amp;" ")-1),",","."))+1,9))*12,NA()))),0),18)*'Aturan &amp; Tarif'!$B$4,2)</f>
        <v>1022.04</v>
      </c>
      <c r="K306" s="32" t="n">
        <f aca="false">'Aturan &amp; Tarif'!$B$5</f>
        <v>2050</v>
      </c>
      <c r="L306" s="35" t="n">
        <f aca="false">I306+J306+K306</f>
        <v>31772.04</v>
      </c>
      <c r="M306" s="37" t="s">
        <v>1486</v>
      </c>
    </row>
    <row r="307" customFormat="false" ht="25.5" hidden="false" customHeight="true" outlineLevel="0" collapsed="false">
      <c r="A307" s="29"/>
      <c r="B307" s="30" t="s">
        <v>1489</v>
      </c>
      <c r="C307" s="31" t="s">
        <v>113</v>
      </c>
      <c r="D307" s="31" t="s">
        <v>108</v>
      </c>
      <c r="E307" s="32" t="n">
        <v>14275</v>
      </c>
      <c r="F307" s="32"/>
      <c r="G307" s="32" t="n">
        <v>150</v>
      </c>
      <c r="H307" s="33" t="n">
        <v>2</v>
      </c>
      <c r="I307" s="34" t="n">
        <f aca="false">E307*H307+N(F307)+N(G307)</f>
        <v>28700</v>
      </c>
      <c r="J307" s="32" t="n">
        <f aca="false">ROUND(IFERROR(ROUND(IF(OR(ISNUMBER(SEARCH("week",C307)),ISNUMBER(SEARCH("minggu",C307))),IFERROR(_xlfn.NUMBERVALUE(SUBSTITUTE(LEFT(TRIM(C307),FIND(" ",TRIM(C307)&amp;" ")-1),",","."),"."),LEFT(SUBSTITUTE(LEFT(TRIM(C307),FIND(" ",TRIM(C307)&amp;" ")-1),",","."),FIND("/",SUBSTITUTE(LEFT(TRIM(C307),FIND(" ",TRIM(C307)&amp;" ")-1),",","."))-1)/MID(SUBSTITUTE(LEFT(TRIM(C307),FIND(" ",TRIM(C307)&amp;" ")-1),",","."),FIND("/",SUBSTITUTE(LEFT(TRIM(C307),FIND(" ",TRIM(C307)&amp;" ")-1),",","."))+1,9))*12/52,IF(ISNUMBER(SEARCH("month",C307)),IFERROR(_xlfn.NUMBERVALUE(SUBSTITUTE(LEFT(TRIM(C307),FIND(" ",TRIM(C307)&amp;" ")-1),",","."),"."),LEFT(SUBSTITUTE(LEFT(TRIM(C307),FIND(" ",TRIM(C307)&amp;" ")-1),",","."),FIND("/",SUBSTITUTE(LEFT(TRIM(C307),FIND(" ",TRIM(C307)&amp;" ")-1),",","."))-1)/MID(SUBSTITUTE(LEFT(TRIM(C307),FIND(" ",TRIM(C307)&amp;" ")-1),",","."),FIND("/",SUBSTITUTE(LEFT(TRIM(C307),FIND(" ",TRIM(C307)&amp;" ")-1),",","."))+1,9)),IF(ISNUMBER(SEARCH("yea",C307)),IFERROR(_xlfn.NUMBERVALUE(SUBSTITUTE(LEFT(TRIM(C307),FIND(" ",TRIM(C307)&amp;" ")-1),",","."),"."),LEFT(SUBSTITUTE(LEFT(TRIM(C307),FIND(" ",TRIM(C307)&amp;" ")-1),",","."),FIND("/",SUBSTITUTE(LEFT(TRIM(C307),FIND(" ",TRIM(C307)&amp;" ")-1),",","."))-1)/MID(SUBSTITUTE(LEFT(TRIM(C307),FIND(" ",TRIM(C307)&amp;" ")-1),",","."),FIND("/",SUBSTITUTE(LEFT(TRIM(C307),FIND(" ",TRIM(C307)&amp;" ")-1),",","."))+1,9))*12,NA()))),0),18)*'Aturan &amp; Tarif'!$B$4,2)</f>
        <v>1022.04</v>
      </c>
      <c r="K307" s="32" t="n">
        <f aca="false">'Aturan &amp; Tarif'!$B$5</f>
        <v>2050</v>
      </c>
      <c r="L307" s="35" t="n">
        <f aca="false">I307+J307+K307</f>
        <v>31772.04</v>
      </c>
      <c r="M307" s="37" t="s">
        <v>1486</v>
      </c>
    </row>
    <row r="308" customFormat="false" ht="25.5" hidden="false" customHeight="true" outlineLevel="0" collapsed="false">
      <c r="A308" s="29"/>
      <c r="B308" s="30" t="s">
        <v>1490</v>
      </c>
      <c r="C308" s="31" t="s">
        <v>113</v>
      </c>
      <c r="D308" s="31" t="s">
        <v>108</v>
      </c>
      <c r="E308" s="32" t="n">
        <v>14275</v>
      </c>
      <c r="F308" s="32"/>
      <c r="G308" s="32" t="n">
        <v>150</v>
      </c>
      <c r="H308" s="33" t="n">
        <v>2</v>
      </c>
      <c r="I308" s="34" t="n">
        <f aca="false">E308*H308+N(F308)+N(G308)</f>
        <v>28700</v>
      </c>
      <c r="J308" s="32" t="n">
        <f aca="false">ROUND(IFERROR(ROUND(IF(OR(ISNUMBER(SEARCH("week",C308)),ISNUMBER(SEARCH("minggu",C308))),IFERROR(_xlfn.NUMBERVALUE(SUBSTITUTE(LEFT(TRIM(C308),FIND(" ",TRIM(C308)&amp;" ")-1),",","."),"."),LEFT(SUBSTITUTE(LEFT(TRIM(C308),FIND(" ",TRIM(C308)&amp;" ")-1),",","."),FIND("/",SUBSTITUTE(LEFT(TRIM(C308),FIND(" ",TRIM(C308)&amp;" ")-1),",","."))-1)/MID(SUBSTITUTE(LEFT(TRIM(C308),FIND(" ",TRIM(C308)&amp;" ")-1),",","."),FIND("/",SUBSTITUTE(LEFT(TRIM(C308),FIND(" ",TRIM(C308)&amp;" ")-1),",","."))+1,9))*12/52,IF(ISNUMBER(SEARCH("month",C308)),IFERROR(_xlfn.NUMBERVALUE(SUBSTITUTE(LEFT(TRIM(C308),FIND(" ",TRIM(C308)&amp;" ")-1),",","."),"."),LEFT(SUBSTITUTE(LEFT(TRIM(C308),FIND(" ",TRIM(C308)&amp;" ")-1),",","."),FIND("/",SUBSTITUTE(LEFT(TRIM(C308),FIND(" ",TRIM(C308)&amp;" ")-1),",","."))-1)/MID(SUBSTITUTE(LEFT(TRIM(C308),FIND(" ",TRIM(C308)&amp;" ")-1),",","."),FIND("/",SUBSTITUTE(LEFT(TRIM(C308),FIND(" ",TRIM(C308)&amp;" ")-1),",","."))+1,9)),IF(ISNUMBER(SEARCH("yea",C308)),IFERROR(_xlfn.NUMBERVALUE(SUBSTITUTE(LEFT(TRIM(C308),FIND(" ",TRIM(C308)&amp;" ")-1),",","."),"."),LEFT(SUBSTITUTE(LEFT(TRIM(C308),FIND(" ",TRIM(C308)&amp;" ")-1),",","."),FIND("/",SUBSTITUTE(LEFT(TRIM(C308),FIND(" ",TRIM(C308)&amp;" ")-1),",","."))-1)/MID(SUBSTITUTE(LEFT(TRIM(C308),FIND(" ",TRIM(C308)&amp;" ")-1),",","."),FIND("/",SUBSTITUTE(LEFT(TRIM(C308),FIND(" ",TRIM(C308)&amp;" ")-1),",","."))+1,9))*12,NA()))),0),18)*'Aturan &amp; Tarif'!$B$4,2)</f>
        <v>1022.04</v>
      </c>
      <c r="K308" s="32" t="n">
        <f aca="false">'Aturan &amp; Tarif'!$B$5</f>
        <v>2050</v>
      </c>
      <c r="L308" s="35" t="n">
        <f aca="false">I308+J308+K308</f>
        <v>31772.04</v>
      </c>
      <c r="M308" s="37" t="s">
        <v>1486</v>
      </c>
    </row>
    <row r="309" customFormat="false" ht="14.25" hidden="false" customHeight="true" outlineLevel="0" collapsed="false">
      <c r="A309" s="29"/>
      <c r="B309" s="30" t="s">
        <v>1059</v>
      </c>
      <c r="C309" s="31" t="s">
        <v>107</v>
      </c>
      <c r="D309" s="31" t="s">
        <v>108</v>
      </c>
      <c r="E309" s="32" t="n">
        <v>14275</v>
      </c>
      <c r="F309" s="32"/>
      <c r="G309" s="32" t="n">
        <v>150</v>
      </c>
      <c r="H309" s="33" t="n">
        <v>2</v>
      </c>
      <c r="I309" s="34" t="n">
        <f aca="false">E309*H309+N(F309)+N(G309)</f>
        <v>28700</v>
      </c>
      <c r="J309" s="32" t="n">
        <f aca="false">ROUND(IFERROR(ROUND(IF(OR(ISNUMBER(SEARCH("week",C309)),ISNUMBER(SEARCH("minggu",C309))),IFERROR(_xlfn.NUMBERVALUE(SUBSTITUTE(LEFT(TRIM(C309),FIND(" ",TRIM(C309)&amp;" ")-1),",","."),"."),LEFT(SUBSTITUTE(LEFT(TRIM(C309),FIND(" ",TRIM(C309)&amp;" ")-1),",","."),FIND("/",SUBSTITUTE(LEFT(TRIM(C309),FIND(" ",TRIM(C309)&amp;" ")-1),",","."))-1)/MID(SUBSTITUTE(LEFT(TRIM(C309),FIND(" ",TRIM(C309)&amp;" ")-1),",","."),FIND("/",SUBSTITUTE(LEFT(TRIM(C309),FIND(" ",TRIM(C309)&amp;" ")-1),",","."))+1,9))*12/52,IF(ISNUMBER(SEARCH("month",C309)),IFERROR(_xlfn.NUMBERVALUE(SUBSTITUTE(LEFT(TRIM(C309),FIND(" ",TRIM(C309)&amp;" ")-1),",","."),"."),LEFT(SUBSTITUTE(LEFT(TRIM(C309),FIND(" ",TRIM(C309)&amp;" ")-1),",","."),FIND("/",SUBSTITUTE(LEFT(TRIM(C309),FIND(" ",TRIM(C309)&amp;" ")-1),",","."))-1)/MID(SUBSTITUTE(LEFT(TRIM(C309),FIND(" ",TRIM(C309)&amp;" ")-1),",","."),FIND("/",SUBSTITUTE(LEFT(TRIM(C309),FIND(" ",TRIM(C309)&amp;" ")-1),",","."))+1,9)),IF(ISNUMBER(SEARCH("yea",C309)),IFERROR(_xlfn.NUMBERVALUE(SUBSTITUTE(LEFT(TRIM(C309),FIND(" ",TRIM(C309)&amp;" ")-1),",","."),"."),LEFT(SUBSTITUTE(LEFT(TRIM(C309),FIND(" ",TRIM(C309)&amp;" ")-1),",","."),FIND("/",SUBSTITUTE(LEFT(TRIM(C309),FIND(" ",TRIM(C309)&amp;" ")-1),",","."))-1)/MID(SUBSTITUTE(LEFT(TRIM(C309),FIND(" ",TRIM(C309)&amp;" ")-1),",","."),FIND("/",SUBSTITUTE(LEFT(TRIM(C309),FIND(" ",TRIM(C309)&amp;" ")-1),",","."))+1,9))*12,NA()))),0),24)*'Aturan &amp; Tarif'!$B$4,2)</f>
        <v>1362.72</v>
      </c>
      <c r="K309" s="32" t="n">
        <f aca="false">'Aturan &amp; Tarif'!$B$5</f>
        <v>2050</v>
      </c>
      <c r="L309" s="35" t="n">
        <f aca="false">I309+J309+K309</f>
        <v>32112.72</v>
      </c>
      <c r="M309" s="37" t="s">
        <v>846</v>
      </c>
    </row>
    <row r="310" customFormat="false" ht="25.5" hidden="false" customHeight="true" outlineLevel="0" collapsed="false">
      <c r="A310" s="29"/>
      <c r="B310" s="30" t="s">
        <v>1491</v>
      </c>
      <c r="C310" s="31" t="s">
        <v>107</v>
      </c>
      <c r="D310" s="31" t="s">
        <v>108</v>
      </c>
      <c r="E310" s="32" t="n">
        <v>12425</v>
      </c>
      <c r="F310" s="32"/>
      <c r="G310" s="32" t="n">
        <v>150</v>
      </c>
      <c r="H310" s="33" t="n">
        <v>2</v>
      </c>
      <c r="I310" s="34" t="n">
        <f aca="false">E310*H310+N(F310)+N(G310)</f>
        <v>25000</v>
      </c>
      <c r="J310" s="32" t="n">
        <f aca="false">ROUND(IFERROR(ROUND(IF(OR(ISNUMBER(SEARCH("week",C310)),ISNUMBER(SEARCH("minggu",C310))),IFERROR(_xlfn.NUMBERVALUE(SUBSTITUTE(LEFT(TRIM(C310),FIND(" ",TRIM(C310)&amp;" ")-1),",","."),"."),LEFT(SUBSTITUTE(LEFT(TRIM(C310),FIND(" ",TRIM(C310)&amp;" ")-1),",","."),FIND("/",SUBSTITUTE(LEFT(TRIM(C310),FIND(" ",TRIM(C310)&amp;" ")-1),",","."))-1)/MID(SUBSTITUTE(LEFT(TRIM(C310),FIND(" ",TRIM(C310)&amp;" ")-1),",","."),FIND("/",SUBSTITUTE(LEFT(TRIM(C310),FIND(" ",TRIM(C310)&amp;" ")-1),",","."))+1,9))*12/52,IF(ISNUMBER(SEARCH("month",C310)),IFERROR(_xlfn.NUMBERVALUE(SUBSTITUTE(LEFT(TRIM(C310),FIND(" ",TRIM(C310)&amp;" ")-1),",","."),"."),LEFT(SUBSTITUTE(LEFT(TRIM(C310),FIND(" ",TRIM(C310)&amp;" ")-1),",","."),FIND("/",SUBSTITUTE(LEFT(TRIM(C310),FIND(" ",TRIM(C310)&amp;" ")-1),",","."))-1)/MID(SUBSTITUTE(LEFT(TRIM(C310),FIND(" ",TRIM(C310)&amp;" ")-1),",","."),FIND("/",SUBSTITUTE(LEFT(TRIM(C310),FIND(" ",TRIM(C310)&amp;" ")-1),",","."))+1,9)),IF(ISNUMBER(SEARCH("yea",C310)),IFERROR(_xlfn.NUMBERVALUE(SUBSTITUTE(LEFT(TRIM(C310),FIND(" ",TRIM(C310)&amp;" ")-1),",","."),"."),LEFT(SUBSTITUTE(LEFT(TRIM(C310),FIND(" ",TRIM(C310)&amp;" ")-1),",","."),FIND("/",SUBSTITUTE(LEFT(TRIM(C310),FIND(" ",TRIM(C310)&amp;" ")-1),",","."))-1)/MID(SUBSTITUTE(LEFT(TRIM(C310),FIND(" ",TRIM(C310)&amp;" ")-1),",","."),FIND("/",SUBSTITUTE(LEFT(TRIM(C310),FIND(" ",TRIM(C310)&amp;" ")-1),",","."))+1,9))*12,NA()))),0),24)*'Aturan &amp; Tarif'!$B$4,2)</f>
        <v>1362.72</v>
      </c>
      <c r="K310" s="32" t="n">
        <f aca="false">'Aturan &amp; Tarif'!$B$5</f>
        <v>2050</v>
      </c>
      <c r="L310" s="35" t="n">
        <f aca="false">I310+J310+K310</f>
        <v>28412.72</v>
      </c>
      <c r="M310" s="37" t="s">
        <v>846</v>
      </c>
    </row>
    <row r="311" customFormat="false" ht="14.25" hidden="false" customHeight="true" outlineLevel="0" collapsed="false">
      <c r="A311" s="29"/>
      <c r="B311" s="30" t="s">
        <v>1492</v>
      </c>
      <c r="C311" s="31" t="s">
        <v>107</v>
      </c>
      <c r="D311" s="31" t="s">
        <v>108</v>
      </c>
      <c r="E311" s="32" t="n">
        <v>13125</v>
      </c>
      <c r="F311" s="32"/>
      <c r="G311" s="32" t="n">
        <v>150</v>
      </c>
      <c r="H311" s="33" t="n">
        <v>2</v>
      </c>
      <c r="I311" s="34" t="n">
        <f aca="false">E311*H311+N(F311)+N(G311)</f>
        <v>26400</v>
      </c>
      <c r="J311" s="32" t="n">
        <f aca="false">ROUND(IFERROR(ROUND(IF(OR(ISNUMBER(SEARCH("week",C311)),ISNUMBER(SEARCH("minggu",C311))),IFERROR(_xlfn.NUMBERVALUE(SUBSTITUTE(LEFT(TRIM(C311),FIND(" ",TRIM(C311)&amp;" ")-1),",","."),"."),LEFT(SUBSTITUTE(LEFT(TRIM(C311),FIND(" ",TRIM(C311)&amp;" ")-1),",","."),FIND("/",SUBSTITUTE(LEFT(TRIM(C311),FIND(" ",TRIM(C311)&amp;" ")-1),",","."))-1)/MID(SUBSTITUTE(LEFT(TRIM(C311),FIND(" ",TRIM(C311)&amp;" ")-1),",","."),FIND("/",SUBSTITUTE(LEFT(TRIM(C311),FIND(" ",TRIM(C311)&amp;" ")-1),",","."))+1,9))*12/52,IF(ISNUMBER(SEARCH("month",C311)),IFERROR(_xlfn.NUMBERVALUE(SUBSTITUTE(LEFT(TRIM(C311),FIND(" ",TRIM(C311)&amp;" ")-1),",","."),"."),LEFT(SUBSTITUTE(LEFT(TRIM(C311),FIND(" ",TRIM(C311)&amp;" ")-1),",","."),FIND("/",SUBSTITUTE(LEFT(TRIM(C311),FIND(" ",TRIM(C311)&amp;" ")-1),",","."))-1)/MID(SUBSTITUTE(LEFT(TRIM(C311),FIND(" ",TRIM(C311)&amp;" ")-1),",","."),FIND("/",SUBSTITUTE(LEFT(TRIM(C311),FIND(" ",TRIM(C311)&amp;" ")-1),",","."))+1,9)),IF(ISNUMBER(SEARCH("yea",C311)),IFERROR(_xlfn.NUMBERVALUE(SUBSTITUTE(LEFT(TRIM(C311),FIND(" ",TRIM(C311)&amp;" ")-1),",","."),"."),LEFT(SUBSTITUTE(LEFT(TRIM(C311),FIND(" ",TRIM(C311)&amp;" ")-1),",","."),FIND("/",SUBSTITUTE(LEFT(TRIM(C311),FIND(" ",TRIM(C311)&amp;" ")-1),",","."))-1)/MID(SUBSTITUTE(LEFT(TRIM(C311),FIND(" ",TRIM(C311)&amp;" ")-1),",","."),FIND("/",SUBSTITUTE(LEFT(TRIM(C311),FIND(" ",TRIM(C311)&amp;" ")-1),",","."))+1,9))*12,NA()))),0),24)*'Aturan &amp; Tarif'!$B$4,2)</f>
        <v>1362.72</v>
      </c>
      <c r="K311" s="32" t="n">
        <f aca="false">'Aturan &amp; Tarif'!$B$5</f>
        <v>2050</v>
      </c>
      <c r="L311" s="35" t="n">
        <f aca="false">I311+J311+K311</f>
        <v>29812.72</v>
      </c>
      <c r="M311" s="37" t="s">
        <v>846</v>
      </c>
    </row>
    <row r="312" customFormat="false" ht="14.25" hidden="false" customHeight="true" outlineLevel="0" collapsed="false">
      <c r="A312" s="29"/>
      <c r="B312" s="30" t="s">
        <v>1493</v>
      </c>
      <c r="C312" s="31" t="s">
        <v>107</v>
      </c>
      <c r="D312" s="31" t="s">
        <v>108</v>
      </c>
      <c r="E312" s="32" t="n">
        <v>14275</v>
      </c>
      <c r="F312" s="32"/>
      <c r="G312" s="32" t="n">
        <v>150</v>
      </c>
      <c r="H312" s="33" t="n">
        <v>2</v>
      </c>
      <c r="I312" s="34" t="n">
        <f aca="false">E312*H312+N(F312)+N(G312)</f>
        <v>28700</v>
      </c>
      <c r="J312" s="32" t="n">
        <f aca="false">ROUND(IFERROR(ROUND(IF(OR(ISNUMBER(SEARCH("week",C312)),ISNUMBER(SEARCH("minggu",C312))),IFERROR(_xlfn.NUMBERVALUE(SUBSTITUTE(LEFT(TRIM(C312),FIND(" ",TRIM(C312)&amp;" ")-1),",","."),"."),LEFT(SUBSTITUTE(LEFT(TRIM(C312),FIND(" ",TRIM(C312)&amp;" ")-1),",","."),FIND("/",SUBSTITUTE(LEFT(TRIM(C312),FIND(" ",TRIM(C312)&amp;" ")-1),",","."))-1)/MID(SUBSTITUTE(LEFT(TRIM(C312),FIND(" ",TRIM(C312)&amp;" ")-1),",","."),FIND("/",SUBSTITUTE(LEFT(TRIM(C312),FIND(" ",TRIM(C312)&amp;" ")-1),",","."))+1,9))*12/52,IF(ISNUMBER(SEARCH("month",C312)),IFERROR(_xlfn.NUMBERVALUE(SUBSTITUTE(LEFT(TRIM(C312),FIND(" ",TRIM(C312)&amp;" ")-1),",","."),"."),LEFT(SUBSTITUTE(LEFT(TRIM(C312),FIND(" ",TRIM(C312)&amp;" ")-1),",","."),FIND("/",SUBSTITUTE(LEFT(TRIM(C312),FIND(" ",TRIM(C312)&amp;" ")-1),",","."))-1)/MID(SUBSTITUTE(LEFT(TRIM(C312),FIND(" ",TRIM(C312)&amp;" ")-1),",","."),FIND("/",SUBSTITUTE(LEFT(TRIM(C312),FIND(" ",TRIM(C312)&amp;" ")-1),",","."))+1,9)),IF(ISNUMBER(SEARCH("yea",C312)),IFERROR(_xlfn.NUMBERVALUE(SUBSTITUTE(LEFT(TRIM(C312),FIND(" ",TRIM(C312)&amp;" ")-1),",","."),"."),LEFT(SUBSTITUTE(LEFT(TRIM(C312),FIND(" ",TRIM(C312)&amp;" ")-1),",","."),FIND("/",SUBSTITUTE(LEFT(TRIM(C312),FIND(" ",TRIM(C312)&amp;" ")-1),",","."))-1)/MID(SUBSTITUTE(LEFT(TRIM(C312),FIND(" ",TRIM(C312)&amp;" ")-1),",","."),FIND("/",SUBSTITUTE(LEFT(TRIM(C312),FIND(" ",TRIM(C312)&amp;" ")-1),",","."))+1,9))*12,NA()))),0),24)*'Aturan &amp; Tarif'!$B$4,2)</f>
        <v>1362.72</v>
      </c>
      <c r="K312" s="32" t="n">
        <f aca="false">'Aturan &amp; Tarif'!$B$5</f>
        <v>2050</v>
      </c>
      <c r="L312" s="35" t="n">
        <f aca="false">I312+J312+K312</f>
        <v>32112.72</v>
      </c>
      <c r="M312" s="37" t="s">
        <v>846</v>
      </c>
    </row>
    <row r="313" customFormat="false" ht="14.25" hidden="false" customHeight="true" outlineLevel="0" collapsed="false">
      <c r="A313" s="29"/>
      <c r="B313" s="30" t="s">
        <v>1494</v>
      </c>
      <c r="C313" s="31" t="s">
        <v>107</v>
      </c>
      <c r="D313" s="31" t="s">
        <v>108</v>
      </c>
      <c r="E313" s="32" t="n">
        <v>13125</v>
      </c>
      <c r="F313" s="32"/>
      <c r="G313" s="32" t="n">
        <v>150</v>
      </c>
      <c r="H313" s="33" t="n">
        <v>2</v>
      </c>
      <c r="I313" s="34" t="n">
        <f aca="false">E313*H313+N(F313)+N(G313)</f>
        <v>26400</v>
      </c>
      <c r="J313" s="32" t="n">
        <f aca="false">ROUND(IFERROR(ROUND(IF(OR(ISNUMBER(SEARCH("week",C313)),ISNUMBER(SEARCH("minggu",C313))),IFERROR(_xlfn.NUMBERVALUE(SUBSTITUTE(LEFT(TRIM(C313),FIND(" ",TRIM(C313)&amp;" ")-1),",","."),"."),LEFT(SUBSTITUTE(LEFT(TRIM(C313),FIND(" ",TRIM(C313)&amp;" ")-1),",","."),FIND("/",SUBSTITUTE(LEFT(TRIM(C313),FIND(" ",TRIM(C313)&amp;" ")-1),",","."))-1)/MID(SUBSTITUTE(LEFT(TRIM(C313),FIND(" ",TRIM(C313)&amp;" ")-1),",","."),FIND("/",SUBSTITUTE(LEFT(TRIM(C313),FIND(" ",TRIM(C313)&amp;" ")-1),",","."))+1,9))*12/52,IF(ISNUMBER(SEARCH("month",C313)),IFERROR(_xlfn.NUMBERVALUE(SUBSTITUTE(LEFT(TRIM(C313),FIND(" ",TRIM(C313)&amp;" ")-1),",","."),"."),LEFT(SUBSTITUTE(LEFT(TRIM(C313),FIND(" ",TRIM(C313)&amp;" ")-1),",","."),FIND("/",SUBSTITUTE(LEFT(TRIM(C313),FIND(" ",TRIM(C313)&amp;" ")-1),",","."))-1)/MID(SUBSTITUTE(LEFT(TRIM(C313),FIND(" ",TRIM(C313)&amp;" ")-1),",","."),FIND("/",SUBSTITUTE(LEFT(TRIM(C313),FIND(" ",TRIM(C313)&amp;" ")-1),",","."))+1,9)),IF(ISNUMBER(SEARCH("yea",C313)),IFERROR(_xlfn.NUMBERVALUE(SUBSTITUTE(LEFT(TRIM(C313),FIND(" ",TRIM(C313)&amp;" ")-1),",","."),"."),LEFT(SUBSTITUTE(LEFT(TRIM(C313),FIND(" ",TRIM(C313)&amp;" ")-1),",","."),FIND("/",SUBSTITUTE(LEFT(TRIM(C313),FIND(" ",TRIM(C313)&amp;" ")-1),",","."))-1)/MID(SUBSTITUTE(LEFT(TRIM(C313),FIND(" ",TRIM(C313)&amp;" ")-1),",","."),FIND("/",SUBSTITUTE(LEFT(TRIM(C313),FIND(" ",TRIM(C313)&amp;" ")-1),",","."))+1,9))*12,NA()))),0),24)*'Aturan &amp; Tarif'!$B$4,2)</f>
        <v>1362.72</v>
      </c>
      <c r="K313" s="32" t="n">
        <f aca="false">'Aturan &amp; Tarif'!$B$5</f>
        <v>2050</v>
      </c>
      <c r="L313" s="35" t="n">
        <f aca="false">I313+J313+K313</f>
        <v>29812.72</v>
      </c>
      <c r="M313" s="37" t="s">
        <v>846</v>
      </c>
    </row>
    <row r="314" customFormat="false" ht="14.25" hidden="false" customHeight="true" outlineLevel="0" collapsed="false">
      <c r="A314" s="29"/>
      <c r="B314" s="30" t="s">
        <v>1495</v>
      </c>
      <c r="C314" s="31" t="s">
        <v>107</v>
      </c>
      <c r="D314" s="31" t="s">
        <v>108</v>
      </c>
      <c r="E314" s="32" t="n">
        <v>13125</v>
      </c>
      <c r="F314" s="32"/>
      <c r="G314" s="32" t="n">
        <v>150</v>
      </c>
      <c r="H314" s="33" t="n">
        <v>2</v>
      </c>
      <c r="I314" s="34" t="n">
        <f aca="false">E314*H314+N(F314)+N(G314)</f>
        <v>26400</v>
      </c>
      <c r="J314" s="32" t="n">
        <f aca="false">ROUND(IFERROR(ROUND(IF(OR(ISNUMBER(SEARCH("week",C314)),ISNUMBER(SEARCH("minggu",C314))),IFERROR(_xlfn.NUMBERVALUE(SUBSTITUTE(LEFT(TRIM(C314),FIND(" ",TRIM(C314)&amp;" ")-1),",","."),"."),LEFT(SUBSTITUTE(LEFT(TRIM(C314),FIND(" ",TRIM(C314)&amp;" ")-1),",","."),FIND("/",SUBSTITUTE(LEFT(TRIM(C314),FIND(" ",TRIM(C314)&amp;" ")-1),",","."))-1)/MID(SUBSTITUTE(LEFT(TRIM(C314),FIND(" ",TRIM(C314)&amp;" ")-1),",","."),FIND("/",SUBSTITUTE(LEFT(TRIM(C314),FIND(" ",TRIM(C314)&amp;" ")-1),",","."))+1,9))*12/52,IF(ISNUMBER(SEARCH("month",C314)),IFERROR(_xlfn.NUMBERVALUE(SUBSTITUTE(LEFT(TRIM(C314),FIND(" ",TRIM(C314)&amp;" ")-1),",","."),"."),LEFT(SUBSTITUTE(LEFT(TRIM(C314),FIND(" ",TRIM(C314)&amp;" ")-1),",","."),FIND("/",SUBSTITUTE(LEFT(TRIM(C314),FIND(" ",TRIM(C314)&amp;" ")-1),",","."))-1)/MID(SUBSTITUTE(LEFT(TRIM(C314),FIND(" ",TRIM(C314)&amp;" ")-1),",","."),FIND("/",SUBSTITUTE(LEFT(TRIM(C314),FIND(" ",TRIM(C314)&amp;" ")-1),",","."))+1,9)),IF(ISNUMBER(SEARCH("yea",C314)),IFERROR(_xlfn.NUMBERVALUE(SUBSTITUTE(LEFT(TRIM(C314),FIND(" ",TRIM(C314)&amp;" ")-1),",","."),"."),LEFT(SUBSTITUTE(LEFT(TRIM(C314),FIND(" ",TRIM(C314)&amp;" ")-1),",","."),FIND("/",SUBSTITUTE(LEFT(TRIM(C314),FIND(" ",TRIM(C314)&amp;" ")-1),",","."))-1)/MID(SUBSTITUTE(LEFT(TRIM(C314),FIND(" ",TRIM(C314)&amp;" ")-1),",","."),FIND("/",SUBSTITUTE(LEFT(TRIM(C314),FIND(" ",TRIM(C314)&amp;" ")-1),",","."))+1,9))*12,NA()))),0),24)*'Aturan &amp; Tarif'!$B$4,2)</f>
        <v>1362.72</v>
      </c>
      <c r="K314" s="32" t="n">
        <f aca="false">'Aturan &amp; Tarif'!$B$5</f>
        <v>2050</v>
      </c>
      <c r="L314" s="35" t="n">
        <f aca="false">I314+J314+K314</f>
        <v>29812.72</v>
      </c>
      <c r="M314" s="37" t="s">
        <v>846</v>
      </c>
    </row>
    <row r="315" customFormat="false" ht="25.5" hidden="false" customHeight="true" outlineLevel="0" collapsed="false">
      <c r="A315" s="29"/>
      <c r="B315" s="30" t="s">
        <v>1496</v>
      </c>
      <c r="C315" s="31" t="s">
        <v>107</v>
      </c>
      <c r="D315" s="31" t="s">
        <v>108</v>
      </c>
      <c r="E315" s="32" t="n">
        <v>13125</v>
      </c>
      <c r="F315" s="32"/>
      <c r="G315" s="32" t="n">
        <v>150</v>
      </c>
      <c r="H315" s="33" t="n">
        <v>2</v>
      </c>
      <c r="I315" s="34" t="n">
        <f aca="false">E315*H315+N(F315)+N(G315)</f>
        <v>26400</v>
      </c>
      <c r="J315" s="32" t="n">
        <f aca="false">ROUND(IFERROR(ROUND(IF(OR(ISNUMBER(SEARCH("week",C315)),ISNUMBER(SEARCH("minggu",C315))),IFERROR(_xlfn.NUMBERVALUE(SUBSTITUTE(LEFT(TRIM(C315),FIND(" ",TRIM(C315)&amp;" ")-1),",","."),"."),LEFT(SUBSTITUTE(LEFT(TRIM(C315),FIND(" ",TRIM(C315)&amp;" ")-1),",","."),FIND("/",SUBSTITUTE(LEFT(TRIM(C315),FIND(" ",TRIM(C315)&amp;" ")-1),",","."))-1)/MID(SUBSTITUTE(LEFT(TRIM(C315),FIND(" ",TRIM(C315)&amp;" ")-1),",","."),FIND("/",SUBSTITUTE(LEFT(TRIM(C315),FIND(" ",TRIM(C315)&amp;" ")-1),",","."))+1,9))*12/52,IF(ISNUMBER(SEARCH("month",C315)),IFERROR(_xlfn.NUMBERVALUE(SUBSTITUTE(LEFT(TRIM(C315),FIND(" ",TRIM(C315)&amp;" ")-1),",","."),"."),LEFT(SUBSTITUTE(LEFT(TRIM(C315),FIND(" ",TRIM(C315)&amp;" ")-1),",","."),FIND("/",SUBSTITUTE(LEFT(TRIM(C315),FIND(" ",TRIM(C315)&amp;" ")-1),",","."))-1)/MID(SUBSTITUTE(LEFT(TRIM(C315),FIND(" ",TRIM(C315)&amp;" ")-1),",","."),FIND("/",SUBSTITUTE(LEFT(TRIM(C315),FIND(" ",TRIM(C315)&amp;" ")-1),",","."))+1,9)),IF(ISNUMBER(SEARCH("yea",C315)),IFERROR(_xlfn.NUMBERVALUE(SUBSTITUTE(LEFT(TRIM(C315),FIND(" ",TRIM(C315)&amp;" ")-1),",","."),"."),LEFT(SUBSTITUTE(LEFT(TRIM(C315),FIND(" ",TRIM(C315)&amp;" ")-1),",","."),FIND("/",SUBSTITUTE(LEFT(TRIM(C315),FIND(" ",TRIM(C315)&amp;" ")-1),",","."))-1)/MID(SUBSTITUTE(LEFT(TRIM(C315),FIND(" ",TRIM(C315)&amp;" ")-1),",","."),FIND("/",SUBSTITUTE(LEFT(TRIM(C315),FIND(" ",TRIM(C315)&amp;" ")-1),",","."))+1,9))*12,NA()))),0),24)*'Aturan &amp; Tarif'!$B$4,2)</f>
        <v>1362.72</v>
      </c>
      <c r="K315" s="32" t="n">
        <f aca="false">'Aturan &amp; Tarif'!$B$5</f>
        <v>2050</v>
      </c>
      <c r="L315" s="35" t="n">
        <f aca="false">I315+J315+K315</f>
        <v>29812.72</v>
      </c>
      <c r="M315" s="37" t="s">
        <v>846</v>
      </c>
    </row>
    <row r="316" customFormat="false" ht="14.25" hidden="false" customHeight="true" outlineLevel="0" collapsed="false">
      <c r="A316" s="29"/>
      <c r="B316" s="30" t="s">
        <v>859</v>
      </c>
      <c r="C316" s="31" t="s">
        <v>107</v>
      </c>
      <c r="D316" s="31" t="s">
        <v>108</v>
      </c>
      <c r="E316" s="32" t="n">
        <v>13125</v>
      </c>
      <c r="F316" s="32"/>
      <c r="G316" s="32" t="n">
        <v>150</v>
      </c>
      <c r="H316" s="33" t="n">
        <v>2</v>
      </c>
      <c r="I316" s="34" t="n">
        <f aca="false">E316*H316+N(F316)+N(G316)</f>
        <v>26400</v>
      </c>
      <c r="J316" s="32" t="n">
        <f aca="false">ROUND(IFERROR(ROUND(IF(OR(ISNUMBER(SEARCH("week",C316)),ISNUMBER(SEARCH("minggu",C316))),IFERROR(_xlfn.NUMBERVALUE(SUBSTITUTE(LEFT(TRIM(C316),FIND(" ",TRIM(C316)&amp;" ")-1),",","."),"."),LEFT(SUBSTITUTE(LEFT(TRIM(C316),FIND(" ",TRIM(C316)&amp;" ")-1),",","."),FIND("/",SUBSTITUTE(LEFT(TRIM(C316),FIND(" ",TRIM(C316)&amp;" ")-1),",","."))-1)/MID(SUBSTITUTE(LEFT(TRIM(C316),FIND(" ",TRIM(C316)&amp;" ")-1),",","."),FIND("/",SUBSTITUTE(LEFT(TRIM(C316),FIND(" ",TRIM(C316)&amp;" ")-1),",","."))+1,9))*12/52,IF(ISNUMBER(SEARCH("month",C316)),IFERROR(_xlfn.NUMBERVALUE(SUBSTITUTE(LEFT(TRIM(C316),FIND(" ",TRIM(C316)&amp;" ")-1),",","."),"."),LEFT(SUBSTITUTE(LEFT(TRIM(C316),FIND(" ",TRIM(C316)&amp;" ")-1),",","."),FIND("/",SUBSTITUTE(LEFT(TRIM(C316),FIND(" ",TRIM(C316)&amp;" ")-1),",","."))-1)/MID(SUBSTITUTE(LEFT(TRIM(C316),FIND(" ",TRIM(C316)&amp;" ")-1),",","."),FIND("/",SUBSTITUTE(LEFT(TRIM(C316),FIND(" ",TRIM(C316)&amp;" ")-1),",","."))+1,9)),IF(ISNUMBER(SEARCH("yea",C316)),IFERROR(_xlfn.NUMBERVALUE(SUBSTITUTE(LEFT(TRIM(C316),FIND(" ",TRIM(C316)&amp;" ")-1),",","."),"."),LEFT(SUBSTITUTE(LEFT(TRIM(C316),FIND(" ",TRIM(C316)&amp;" ")-1),",","."),FIND("/",SUBSTITUTE(LEFT(TRIM(C316),FIND(" ",TRIM(C316)&amp;" ")-1),",","."))-1)/MID(SUBSTITUTE(LEFT(TRIM(C316),FIND(" ",TRIM(C316)&amp;" ")-1),",","."),FIND("/",SUBSTITUTE(LEFT(TRIM(C316),FIND(" ",TRIM(C316)&amp;" ")-1),",","."))+1,9))*12,NA()))),0),24)*'Aturan &amp; Tarif'!$B$4,2)</f>
        <v>1362.72</v>
      </c>
      <c r="K316" s="32" t="n">
        <f aca="false">'Aturan &amp; Tarif'!$B$5</f>
        <v>2050</v>
      </c>
      <c r="L316" s="35" t="n">
        <f aca="false">I316+J316+K316</f>
        <v>29812.72</v>
      </c>
      <c r="M316" s="37" t="s">
        <v>846</v>
      </c>
    </row>
    <row r="317" customFormat="false" ht="25.5" hidden="false" customHeight="true" outlineLevel="0" collapsed="false">
      <c r="A317" s="29"/>
      <c r="B317" s="30" t="s">
        <v>1497</v>
      </c>
      <c r="C317" s="31" t="s">
        <v>107</v>
      </c>
      <c r="D317" s="31" t="s">
        <v>108</v>
      </c>
      <c r="E317" s="32" t="n">
        <v>13125</v>
      </c>
      <c r="F317" s="32"/>
      <c r="G317" s="32" t="n">
        <v>150</v>
      </c>
      <c r="H317" s="33" t="n">
        <v>2</v>
      </c>
      <c r="I317" s="34" t="n">
        <f aca="false">E317*H317+N(F317)+N(G317)</f>
        <v>26400</v>
      </c>
      <c r="J317" s="32" t="n">
        <f aca="false">ROUND(IFERROR(ROUND(IF(OR(ISNUMBER(SEARCH("week",C317)),ISNUMBER(SEARCH("minggu",C317))),IFERROR(_xlfn.NUMBERVALUE(SUBSTITUTE(LEFT(TRIM(C317),FIND(" ",TRIM(C317)&amp;" ")-1),",","."),"."),LEFT(SUBSTITUTE(LEFT(TRIM(C317),FIND(" ",TRIM(C317)&amp;" ")-1),",","."),FIND("/",SUBSTITUTE(LEFT(TRIM(C317),FIND(" ",TRIM(C317)&amp;" ")-1),",","."))-1)/MID(SUBSTITUTE(LEFT(TRIM(C317),FIND(" ",TRIM(C317)&amp;" ")-1),",","."),FIND("/",SUBSTITUTE(LEFT(TRIM(C317),FIND(" ",TRIM(C317)&amp;" ")-1),",","."))+1,9))*12/52,IF(ISNUMBER(SEARCH("month",C317)),IFERROR(_xlfn.NUMBERVALUE(SUBSTITUTE(LEFT(TRIM(C317),FIND(" ",TRIM(C317)&amp;" ")-1),",","."),"."),LEFT(SUBSTITUTE(LEFT(TRIM(C317),FIND(" ",TRIM(C317)&amp;" ")-1),",","."),FIND("/",SUBSTITUTE(LEFT(TRIM(C317),FIND(" ",TRIM(C317)&amp;" ")-1),",","."))-1)/MID(SUBSTITUTE(LEFT(TRIM(C317),FIND(" ",TRIM(C317)&amp;" ")-1),",","."),FIND("/",SUBSTITUTE(LEFT(TRIM(C317),FIND(" ",TRIM(C317)&amp;" ")-1),",","."))+1,9)),IF(ISNUMBER(SEARCH("yea",C317)),IFERROR(_xlfn.NUMBERVALUE(SUBSTITUTE(LEFT(TRIM(C317),FIND(" ",TRIM(C317)&amp;" ")-1),",","."),"."),LEFT(SUBSTITUTE(LEFT(TRIM(C317),FIND(" ",TRIM(C317)&amp;" ")-1),",","."),FIND("/",SUBSTITUTE(LEFT(TRIM(C317),FIND(" ",TRIM(C317)&amp;" ")-1),",","."))-1)/MID(SUBSTITUTE(LEFT(TRIM(C317),FIND(" ",TRIM(C317)&amp;" ")-1),",","."),FIND("/",SUBSTITUTE(LEFT(TRIM(C317),FIND(" ",TRIM(C317)&amp;" ")-1),",","."))+1,9))*12,NA()))),0),24)*'Aturan &amp; Tarif'!$B$4,2)</f>
        <v>1362.72</v>
      </c>
      <c r="K317" s="32" t="n">
        <f aca="false">'Aturan &amp; Tarif'!$B$5</f>
        <v>2050</v>
      </c>
      <c r="L317" s="35" t="n">
        <f aca="false">I317+J317+K317</f>
        <v>29812.72</v>
      </c>
      <c r="M317" s="37" t="s">
        <v>846</v>
      </c>
    </row>
    <row r="318" customFormat="false" ht="14.25" hidden="false" customHeight="true" outlineLevel="0" collapsed="false">
      <c r="A318" s="29"/>
      <c r="B318" s="30" t="s">
        <v>1498</v>
      </c>
      <c r="C318" s="31" t="s">
        <v>107</v>
      </c>
      <c r="D318" s="31" t="s">
        <v>108</v>
      </c>
      <c r="E318" s="32" t="n">
        <v>13575</v>
      </c>
      <c r="F318" s="32"/>
      <c r="G318" s="32" t="n">
        <v>150</v>
      </c>
      <c r="H318" s="33" t="n">
        <v>2</v>
      </c>
      <c r="I318" s="34" t="n">
        <f aca="false">E318*H318+N(F318)+N(G318)</f>
        <v>27300</v>
      </c>
      <c r="J318" s="32" t="n">
        <f aca="false">ROUND(IFERROR(ROUND(IF(OR(ISNUMBER(SEARCH("week",C318)),ISNUMBER(SEARCH("minggu",C318))),IFERROR(_xlfn.NUMBERVALUE(SUBSTITUTE(LEFT(TRIM(C318),FIND(" ",TRIM(C318)&amp;" ")-1),",","."),"."),LEFT(SUBSTITUTE(LEFT(TRIM(C318),FIND(" ",TRIM(C318)&amp;" ")-1),",","."),FIND("/",SUBSTITUTE(LEFT(TRIM(C318),FIND(" ",TRIM(C318)&amp;" ")-1),",","."))-1)/MID(SUBSTITUTE(LEFT(TRIM(C318),FIND(" ",TRIM(C318)&amp;" ")-1),",","."),FIND("/",SUBSTITUTE(LEFT(TRIM(C318),FIND(" ",TRIM(C318)&amp;" ")-1),",","."))+1,9))*12/52,IF(ISNUMBER(SEARCH("month",C318)),IFERROR(_xlfn.NUMBERVALUE(SUBSTITUTE(LEFT(TRIM(C318),FIND(" ",TRIM(C318)&amp;" ")-1),",","."),"."),LEFT(SUBSTITUTE(LEFT(TRIM(C318),FIND(" ",TRIM(C318)&amp;" ")-1),",","."),FIND("/",SUBSTITUTE(LEFT(TRIM(C318),FIND(" ",TRIM(C318)&amp;" ")-1),",","."))-1)/MID(SUBSTITUTE(LEFT(TRIM(C318),FIND(" ",TRIM(C318)&amp;" ")-1),",","."),FIND("/",SUBSTITUTE(LEFT(TRIM(C318),FIND(" ",TRIM(C318)&amp;" ")-1),",","."))+1,9)),IF(ISNUMBER(SEARCH("yea",C318)),IFERROR(_xlfn.NUMBERVALUE(SUBSTITUTE(LEFT(TRIM(C318),FIND(" ",TRIM(C318)&amp;" ")-1),",","."),"."),LEFT(SUBSTITUTE(LEFT(TRIM(C318),FIND(" ",TRIM(C318)&amp;" ")-1),",","."),FIND("/",SUBSTITUTE(LEFT(TRIM(C318),FIND(" ",TRIM(C318)&amp;" ")-1),",","."))-1)/MID(SUBSTITUTE(LEFT(TRIM(C318),FIND(" ",TRIM(C318)&amp;" ")-1),",","."),FIND("/",SUBSTITUTE(LEFT(TRIM(C318),FIND(" ",TRIM(C318)&amp;" ")-1),",","."))+1,9))*12,NA()))),0),24)*'Aturan &amp; Tarif'!$B$4,2)</f>
        <v>1362.72</v>
      </c>
      <c r="K318" s="32" t="n">
        <f aca="false">'Aturan &amp; Tarif'!$B$5</f>
        <v>2050</v>
      </c>
      <c r="L318" s="35" t="n">
        <f aca="false">I318+J318+K318</f>
        <v>30712.72</v>
      </c>
      <c r="M318" s="37" t="s">
        <v>846</v>
      </c>
    </row>
    <row r="319" customFormat="false" ht="25.5" hidden="false" customHeight="true" outlineLevel="0" collapsed="false">
      <c r="A319" s="29"/>
      <c r="B319" s="30" t="s">
        <v>1499</v>
      </c>
      <c r="C319" s="31" t="s">
        <v>107</v>
      </c>
      <c r="D319" s="31" t="s">
        <v>108</v>
      </c>
      <c r="E319" s="32" t="n">
        <v>14275</v>
      </c>
      <c r="F319" s="32"/>
      <c r="G319" s="32" t="n">
        <v>150</v>
      </c>
      <c r="H319" s="33" t="n">
        <v>2</v>
      </c>
      <c r="I319" s="34" t="n">
        <f aca="false">E319*H319+N(F319)+N(G319)</f>
        <v>28700</v>
      </c>
      <c r="J319" s="32" t="n">
        <f aca="false">ROUND(IFERROR(ROUND(IF(OR(ISNUMBER(SEARCH("week",C319)),ISNUMBER(SEARCH("minggu",C319))),IFERROR(_xlfn.NUMBERVALUE(SUBSTITUTE(LEFT(TRIM(C319),FIND(" ",TRIM(C319)&amp;" ")-1),",","."),"."),LEFT(SUBSTITUTE(LEFT(TRIM(C319),FIND(" ",TRIM(C319)&amp;" ")-1),",","."),FIND("/",SUBSTITUTE(LEFT(TRIM(C319),FIND(" ",TRIM(C319)&amp;" ")-1),",","."))-1)/MID(SUBSTITUTE(LEFT(TRIM(C319),FIND(" ",TRIM(C319)&amp;" ")-1),",","."),FIND("/",SUBSTITUTE(LEFT(TRIM(C319),FIND(" ",TRIM(C319)&amp;" ")-1),",","."))+1,9))*12/52,IF(ISNUMBER(SEARCH("month",C319)),IFERROR(_xlfn.NUMBERVALUE(SUBSTITUTE(LEFT(TRIM(C319),FIND(" ",TRIM(C319)&amp;" ")-1),",","."),"."),LEFT(SUBSTITUTE(LEFT(TRIM(C319),FIND(" ",TRIM(C319)&amp;" ")-1),",","."),FIND("/",SUBSTITUTE(LEFT(TRIM(C319),FIND(" ",TRIM(C319)&amp;" ")-1),",","."))-1)/MID(SUBSTITUTE(LEFT(TRIM(C319),FIND(" ",TRIM(C319)&amp;" ")-1),",","."),FIND("/",SUBSTITUTE(LEFT(TRIM(C319),FIND(" ",TRIM(C319)&amp;" ")-1),",","."))+1,9)),IF(ISNUMBER(SEARCH("yea",C319)),IFERROR(_xlfn.NUMBERVALUE(SUBSTITUTE(LEFT(TRIM(C319),FIND(" ",TRIM(C319)&amp;" ")-1),",","."),"."),LEFT(SUBSTITUTE(LEFT(TRIM(C319),FIND(" ",TRIM(C319)&amp;" ")-1),",","."),FIND("/",SUBSTITUTE(LEFT(TRIM(C319),FIND(" ",TRIM(C319)&amp;" ")-1),",","."))-1)/MID(SUBSTITUTE(LEFT(TRIM(C319),FIND(" ",TRIM(C319)&amp;" ")-1),",","."),FIND("/",SUBSTITUTE(LEFT(TRIM(C319),FIND(" ",TRIM(C319)&amp;" ")-1),",","."))+1,9))*12,NA()))),0),24)*'Aturan &amp; Tarif'!$B$4,2)</f>
        <v>1362.72</v>
      </c>
      <c r="K319" s="32" t="n">
        <f aca="false">'Aturan &amp; Tarif'!$B$5</f>
        <v>2050</v>
      </c>
      <c r="L319" s="35" t="n">
        <f aca="false">I319+J319+K319</f>
        <v>32112.72</v>
      </c>
      <c r="M319" s="37" t="s">
        <v>846</v>
      </c>
    </row>
    <row r="320" customFormat="false" ht="14.25" hidden="false" customHeight="true" outlineLevel="0" collapsed="false">
      <c r="A320" s="29"/>
      <c r="B320" s="30" t="s">
        <v>1500</v>
      </c>
      <c r="C320" s="31" t="s">
        <v>107</v>
      </c>
      <c r="D320" s="31" t="s">
        <v>108</v>
      </c>
      <c r="E320" s="32" t="n">
        <v>14275</v>
      </c>
      <c r="F320" s="32"/>
      <c r="G320" s="32" t="n">
        <v>150</v>
      </c>
      <c r="H320" s="33" t="n">
        <v>2</v>
      </c>
      <c r="I320" s="34" t="n">
        <f aca="false">E320*H320+N(F320)+N(G320)</f>
        <v>28700</v>
      </c>
      <c r="J320" s="32" t="n">
        <f aca="false">ROUND(IFERROR(ROUND(IF(OR(ISNUMBER(SEARCH("week",C320)),ISNUMBER(SEARCH("minggu",C320))),IFERROR(_xlfn.NUMBERVALUE(SUBSTITUTE(LEFT(TRIM(C320),FIND(" ",TRIM(C320)&amp;" ")-1),",","."),"."),LEFT(SUBSTITUTE(LEFT(TRIM(C320),FIND(" ",TRIM(C320)&amp;" ")-1),",","."),FIND("/",SUBSTITUTE(LEFT(TRIM(C320),FIND(" ",TRIM(C320)&amp;" ")-1),",","."))-1)/MID(SUBSTITUTE(LEFT(TRIM(C320),FIND(" ",TRIM(C320)&amp;" ")-1),",","."),FIND("/",SUBSTITUTE(LEFT(TRIM(C320),FIND(" ",TRIM(C320)&amp;" ")-1),",","."))+1,9))*12/52,IF(ISNUMBER(SEARCH("month",C320)),IFERROR(_xlfn.NUMBERVALUE(SUBSTITUTE(LEFT(TRIM(C320),FIND(" ",TRIM(C320)&amp;" ")-1),",","."),"."),LEFT(SUBSTITUTE(LEFT(TRIM(C320),FIND(" ",TRIM(C320)&amp;" ")-1),",","."),FIND("/",SUBSTITUTE(LEFT(TRIM(C320),FIND(" ",TRIM(C320)&amp;" ")-1),",","."))-1)/MID(SUBSTITUTE(LEFT(TRIM(C320),FIND(" ",TRIM(C320)&amp;" ")-1),",","."),FIND("/",SUBSTITUTE(LEFT(TRIM(C320),FIND(" ",TRIM(C320)&amp;" ")-1),",","."))+1,9)),IF(ISNUMBER(SEARCH("yea",C320)),IFERROR(_xlfn.NUMBERVALUE(SUBSTITUTE(LEFT(TRIM(C320),FIND(" ",TRIM(C320)&amp;" ")-1),",","."),"."),LEFT(SUBSTITUTE(LEFT(TRIM(C320),FIND(" ",TRIM(C320)&amp;" ")-1),",","."),FIND("/",SUBSTITUTE(LEFT(TRIM(C320),FIND(" ",TRIM(C320)&amp;" ")-1),",","."))-1)/MID(SUBSTITUTE(LEFT(TRIM(C320),FIND(" ",TRIM(C320)&amp;" ")-1),",","."),FIND("/",SUBSTITUTE(LEFT(TRIM(C320),FIND(" ",TRIM(C320)&amp;" ")-1),",","."))+1,9))*12,NA()))),0),24)*'Aturan &amp; Tarif'!$B$4,2)</f>
        <v>1362.72</v>
      </c>
      <c r="K320" s="32" t="n">
        <f aca="false">'Aturan &amp; Tarif'!$B$5</f>
        <v>2050</v>
      </c>
      <c r="L320" s="35" t="n">
        <f aca="false">I320+J320+K320</f>
        <v>32112.72</v>
      </c>
      <c r="M320" s="37" t="s">
        <v>846</v>
      </c>
    </row>
    <row r="321" customFormat="false" ht="25.5" hidden="false" customHeight="true" outlineLevel="0" collapsed="false">
      <c r="A321" s="29"/>
      <c r="B321" s="30" t="s">
        <v>3401</v>
      </c>
      <c r="C321" s="31" t="s">
        <v>107</v>
      </c>
      <c r="D321" s="31" t="s">
        <v>108</v>
      </c>
      <c r="E321" s="32" t="n">
        <v>13850</v>
      </c>
      <c r="F321" s="32"/>
      <c r="G321" s="32" t="n">
        <v>150</v>
      </c>
      <c r="H321" s="33" t="n">
        <v>2</v>
      </c>
      <c r="I321" s="34" t="n">
        <f aca="false">E321*H321+N(F321)+N(G321)</f>
        <v>27850</v>
      </c>
      <c r="J321" s="32" t="n">
        <f aca="false">ROUND(IFERROR(ROUND(IF(OR(ISNUMBER(SEARCH("week",C321)),ISNUMBER(SEARCH("minggu",C321))),IFERROR(_xlfn.NUMBERVALUE(SUBSTITUTE(LEFT(TRIM(C321),FIND(" ",TRIM(C321)&amp;" ")-1),",","."),"."),LEFT(SUBSTITUTE(LEFT(TRIM(C321),FIND(" ",TRIM(C321)&amp;" ")-1),",","."),FIND("/",SUBSTITUTE(LEFT(TRIM(C321),FIND(" ",TRIM(C321)&amp;" ")-1),",","."))-1)/MID(SUBSTITUTE(LEFT(TRIM(C321),FIND(" ",TRIM(C321)&amp;" ")-1),",","."),FIND("/",SUBSTITUTE(LEFT(TRIM(C321),FIND(" ",TRIM(C321)&amp;" ")-1),",","."))+1,9))*12/52,IF(ISNUMBER(SEARCH("month",C321)),IFERROR(_xlfn.NUMBERVALUE(SUBSTITUTE(LEFT(TRIM(C321),FIND(" ",TRIM(C321)&amp;" ")-1),",","."),"."),LEFT(SUBSTITUTE(LEFT(TRIM(C321),FIND(" ",TRIM(C321)&amp;" ")-1),",","."),FIND("/",SUBSTITUTE(LEFT(TRIM(C321),FIND(" ",TRIM(C321)&amp;" ")-1),",","."))-1)/MID(SUBSTITUTE(LEFT(TRIM(C321),FIND(" ",TRIM(C321)&amp;" ")-1),",","."),FIND("/",SUBSTITUTE(LEFT(TRIM(C321),FIND(" ",TRIM(C321)&amp;" ")-1),",","."))+1,9)),IF(ISNUMBER(SEARCH("yea",C321)),IFERROR(_xlfn.NUMBERVALUE(SUBSTITUTE(LEFT(TRIM(C321),FIND(" ",TRIM(C321)&amp;" ")-1),",","."),"."),LEFT(SUBSTITUTE(LEFT(TRIM(C321),FIND(" ",TRIM(C321)&amp;" ")-1),",","."),FIND("/",SUBSTITUTE(LEFT(TRIM(C321),FIND(" ",TRIM(C321)&amp;" ")-1),",","."))-1)/MID(SUBSTITUTE(LEFT(TRIM(C321),FIND(" ",TRIM(C321)&amp;" ")-1),",","."),FIND("/",SUBSTITUTE(LEFT(TRIM(C321),FIND(" ",TRIM(C321)&amp;" ")-1),",","."))+1,9))*12,NA()))),0),24)*'Aturan &amp; Tarif'!$B$4,2)</f>
        <v>1362.72</v>
      </c>
      <c r="K321" s="32" t="n">
        <f aca="false">'Aturan &amp; Tarif'!$B$5</f>
        <v>2050</v>
      </c>
      <c r="L321" s="35" t="n">
        <f aca="false">I321+J321+K321</f>
        <v>31262.72</v>
      </c>
      <c r="M321" s="37" t="s">
        <v>1502</v>
      </c>
    </row>
    <row r="322" customFormat="false" ht="25.5" hidden="false" customHeight="true" outlineLevel="0" collapsed="false">
      <c r="A322" s="29"/>
      <c r="B322" s="30" t="s">
        <v>3402</v>
      </c>
      <c r="C322" s="31" t="s">
        <v>107</v>
      </c>
      <c r="D322" s="31" t="s">
        <v>108</v>
      </c>
      <c r="E322" s="32" t="n">
        <v>13850</v>
      </c>
      <c r="F322" s="32"/>
      <c r="G322" s="32" t="n">
        <v>150</v>
      </c>
      <c r="H322" s="33" t="n">
        <v>2</v>
      </c>
      <c r="I322" s="34" t="n">
        <f aca="false">E322*H322+N(F322)+N(G322)</f>
        <v>27850</v>
      </c>
      <c r="J322" s="32" t="n">
        <f aca="false">ROUND(IFERROR(ROUND(IF(OR(ISNUMBER(SEARCH("week",C322)),ISNUMBER(SEARCH("minggu",C322))),IFERROR(_xlfn.NUMBERVALUE(SUBSTITUTE(LEFT(TRIM(C322),FIND(" ",TRIM(C322)&amp;" ")-1),",","."),"."),LEFT(SUBSTITUTE(LEFT(TRIM(C322),FIND(" ",TRIM(C322)&amp;" ")-1),",","."),FIND("/",SUBSTITUTE(LEFT(TRIM(C322),FIND(" ",TRIM(C322)&amp;" ")-1),",","."))-1)/MID(SUBSTITUTE(LEFT(TRIM(C322),FIND(" ",TRIM(C322)&amp;" ")-1),",","."),FIND("/",SUBSTITUTE(LEFT(TRIM(C322),FIND(" ",TRIM(C322)&amp;" ")-1),",","."))+1,9))*12/52,IF(ISNUMBER(SEARCH("month",C322)),IFERROR(_xlfn.NUMBERVALUE(SUBSTITUTE(LEFT(TRIM(C322),FIND(" ",TRIM(C322)&amp;" ")-1),",","."),"."),LEFT(SUBSTITUTE(LEFT(TRIM(C322),FIND(" ",TRIM(C322)&amp;" ")-1),",","."),FIND("/",SUBSTITUTE(LEFT(TRIM(C322),FIND(" ",TRIM(C322)&amp;" ")-1),",","."))-1)/MID(SUBSTITUTE(LEFT(TRIM(C322),FIND(" ",TRIM(C322)&amp;" ")-1),",","."),FIND("/",SUBSTITUTE(LEFT(TRIM(C322),FIND(" ",TRIM(C322)&amp;" ")-1),",","."))+1,9)),IF(ISNUMBER(SEARCH("yea",C322)),IFERROR(_xlfn.NUMBERVALUE(SUBSTITUTE(LEFT(TRIM(C322),FIND(" ",TRIM(C322)&amp;" ")-1),",","."),"."),LEFT(SUBSTITUTE(LEFT(TRIM(C322),FIND(" ",TRIM(C322)&amp;" ")-1),",","."),FIND("/",SUBSTITUTE(LEFT(TRIM(C322),FIND(" ",TRIM(C322)&amp;" ")-1),",","."))-1)/MID(SUBSTITUTE(LEFT(TRIM(C322),FIND(" ",TRIM(C322)&amp;" ")-1),",","."),FIND("/",SUBSTITUTE(LEFT(TRIM(C322),FIND(" ",TRIM(C322)&amp;" ")-1),",","."))+1,9))*12,NA()))),0),24)*'Aturan &amp; Tarif'!$B$4,2)</f>
        <v>1362.72</v>
      </c>
      <c r="K322" s="32" t="n">
        <f aca="false">'Aturan &amp; Tarif'!$B$5</f>
        <v>2050</v>
      </c>
      <c r="L322" s="35" t="n">
        <f aca="false">I322+J322+K322</f>
        <v>31262.72</v>
      </c>
      <c r="M322" s="37" t="s">
        <v>846</v>
      </c>
    </row>
    <row r="323" customFormat="false" ht="25.5" hidden="false" customHeight="true" outlineLevel="0" collapsed="false">
      <c r="A323" s="29"/>
      <c r="B323" s="30" t="s">
        <v>599</v>
      </c>
      <c r="C323" s="31" t="s">
        <v>107</v>
      </c>
      <c r="D323" s="31" t="s">
        <v>108</v>
      </c>
      <c r="E323" s="32" t="n">
        <v>13850</v>
      </c>
      <c r="F323" s="32"/>
      <c r="G323" s="32" t="n">
        <v>150</v>
      </c>
      <c r="H323" s="33" t="n">
        <v>2</v>
      </c>
      <c r="I323" s="34" t="n">
        <f aca="false">E323*H323+N(F323)+N(G323)</f>
        <v>27850</v>
      </c>
      <c r="J323" s="32" t="n">
        <f aca="false">ROUND(IFERROR(ROUND(IF(OR(ISNUMBER(SEARCH("week",C323)),ISNUMBER(SEARCH("minggu",C323))),IFERROR(_xlfn.NUMBERVALUE(SUBSTITUTE(LEFT(TRIM(C323),FIND(" ",TRIM(C323)&amp;" ")-1),",","."),"."),LEFT(SUBSTITUTE(LEFT(TRIM(C323),FIND(" ",TRIM(C323)&amp;" ")-1),",","."),FIND("/",SUBSTITUTE(LEFT(TRIM(C323),FIND(" ",TRIM(C323)&amp;" ")-1),",","."))-1)/MID(SUBSTITUTE(LEFT(TRIM(C323),FIND(" ",TRIM(C323)&amp;" ")-1),",","."),FIND("/",SUBSTITUTE(LEFT(TRIM(C323),FIND(" ",TRIM(C323)&amp;" ")-1),",","."))+1,9))*12/52,IF(ISNUMBER(SEARCH("month",C323)),IFERROR(_xlfn.NUMBERVALUE(SUBSTITUTE(LEFT(TRIM(C323),FIND(" ",TRIM(C323)&amp;" ")-1),",","."),"."),LEFT(SUBSTITUTE(LEFT(TRIM(C323),FIND(" ",TRIM(C323)&amp;" ")-1),",","."),FIND("/",SUBSTITUTE(LEFT(TRIM(C323),FIND(" ",TRIM(C323)&amp;" ")-1),",","."))-1)/MID(SUBSTITUTE(LEFT(TRIM(C323),FIND(" ",TRIM(C323)&amp;" ")-1),",","."),FIND("/",SUBSTITUTE(LEFT(TRIM(C323),FIND(" ",TRIM(C323)&amp;" ")-1),",","."))+1,9)),IF(ISNUMBER(SEARCH("yea",C323)),IFERROR(_xlfn.NUMBERVALUE(SUBSTITUTE(LEFT(TRIM(C323),FIND(" ",TRIM(C323)&amp;" ")-1),",","."),"."),LEFT(SUBSTITUTE(LEFT(TRIM(C323),FIND(" ",TRIM(C323)&amp;" ")-1),",","."),FIND("/",SUBSTITUTE(LEFT(TRIM(C323),FIND(" ",TRIM(C323)&amp;" ")-1),",","."))-1)/MID(SUBSTITUTE(LEFT(TRIM(C323),FIND(" ",TRIM(C323)&amp;" ")-1),",","."),FIND("/",SUBSTITUTE(LEFT(TRIM(C323),FIND(" ",TRIM(C323)&amp;" ")-1),",","."))+1,9))*12,NA()))),0),24)*'Aturan &amp; Tarif'!$B$4,2)</f>
        <v>1362.72</v>
      </c>
      <c r="K323" s="32" t="n">
        <f aca="false">'Aturan &amp; Tarif'!$B$5</f>
        <v>2050</v>
      </c>
      <c r="L323" s="35" t="n">
        <f aca="false">I323+J323+K323</f>
        <v>31262.72</v>
      </c>
      <c r="M323" s="37" t="s">
        <v>846</v>
      </c>
    </row>
    <row r="324" customFormat="false" ht="25.5" hidden="false" customHeight="true" outlineLevel="0" collapsed="false">
      <c r="A324" s="29"/>
      <c r="B324" s="30" t="s">
        <v>3403</v>
      </c>
      <c r="C324" s="31" t="s">
        <v>107</v>
      </c>
      <c r="D324" s="31" t="s">
        <v>108</v>
      </c>
      <c r="E324" s="32" t="n">
        <v>13850</v>
      </c>
      <c r="F324" s="32"/>
      <c r="G324" s="32" t="n">
        <v>150</v>
      </c>
      <c r="H324" s="33" t="n">
        <v>2</v>
      </c>
      <c r="I324" s="34" t="n">
        <f aca="false">E324*H324+N(F324)+N(G324)</f>
        <v>27850</v>
      </c>
      <c r="J324" s="32" t="n">
        <f aca="false">ROUND(IFERROR(ROUND(IF(OR(ISNUMBER(SEARCH("week",C324)),ISNUMBER(SEARCH("minggu",C324))),IFERROR(_xlfn.NUMBERVALUE(SUBSTITUTE(LEFT(TRIM(C324),FIND(" ",TRIM(C324)&amp;" ")-1),",","."),"."),LEFT(SUBSTITUTE(LEFT(TRIM(C324),FIND(" ",TRIM(C324)&amp;" ")-1),",","."),FIND("/",SUBSTITUTE(LEFT(TRIM(C324),FIND(" ",TRIM(C324)&amp;" ")-1),",","."))-1)/MID(SUBSTITUTE(LEFT(TRIM(C324),FIND(" ",TRIM(C324)&amp;" ")-1),",","."),FIND("/",SUBSTITUTE(LEFT(TRIM(C324),FIND(" ",TRIM(C324)&amp;" ")-1),",","."))+1,9))*12/52,IF(ISNUMBER(SEARCH("month",C324)),IFERROR(_xlfn.NUMBERVALUE(SUBSTITUTE(LEFT(TRIM(C324),FIND(" ",TRIM(C324)&amp;" ")-1),",","."),"."),LEFT(SUBSTITUTE(LEFT(TRIM(C324),FIND(" ",TRIM(C324)&amp;" ")-1),",","."),FIND("/",SUBSTITUTE(LEFT(TRIM(C324),FIND(" ",TRIM(C324)&amp;" ")-1),",","."))-1)/MID(SUBSTITUTE(LEFT(TRIM(C324),FIND(" ",TRIM(C324)&amp;" ")-1),",","."),FIND("/",SUBSTITUTE(LEFT(TRIM(C324),FIND(" ",TRIM(C324)&amp;" ")-1),",","."))+1,9)),IF(ISNUMBER(SEARCH("yea",C324)),IFERROR(_xlfn.NUMBERVALUE(SUBSTITUTE(LEFT(TRIM(C324),FIND(" ",TRIM(C324)&amp;" ")-1),",","."),"."),LEFT(SUBSTITUTE(LEFT(TRIM(C324),FIND(" ",TRIM(C324)&amp;" ")-1),",","."),FIND("/",SUBSTITUTE(LEFT(TRIM(C324),FIND(" ",TRIM(C324)&amp;" ")-1),",","."))-1)/MID(SUBSTITUTE(LEFT(TRIM(C324),FIND(" ",TRIM(C324)&amp;" ")-1),",","."),FIND("/",SUBSTITUTE(LEFT(TRIM(C324),FIND(" ",TRIM(C324)&amp;" ")-1),",","."))+1,9))*12,NA()))),0),24)*'Aturan &amp; Tarif'!$B$4,2)</f>
        <v>1362.72</v>
      </c>
      <c r="K324" s="32" t="n">
        <f aca="false">'Aturan &amp; Tarif'!$B$5</f>
        <v>2050</v>
      </c>
      <c r="L324" s="35" t="n">
        <f aca="false">I324+J324+K324</f>
        <v>31262.72</v>
      </c>
      <c r="M324" s="37" t="s">
        <v>846</v>
      </c>
    </row>
    <row r="325" customFormat="false" ht="14.25" hidden="false" customHeight="true" outlineLevel="0" collapsed="false">
      <c r="A325" s="29"/>
      <c r="B325" s="30" t="s">
        <v>1506</v>
      </c>
      <c r="C325" s="31" t="s">
        <v>344</v>
      </c>
      <c r="D325" s="31" t="s">
        <v>108</v>
      </c>
      <c r="E325" s="32" t="n">
        <v>11275</v>
      </c>
      <c r="F325" s="32"/>
      <c r="G325" s="32" t="n">
        <v>150</v>
      </c>
      <c r="H325" s="33" t="n">
        <v>2</v>
      </c>
      <c r="I325" s="34" t="n">
        <f aca="false">E325*H325+N(F325)+N(G325)</f>
        <v>22700</v>
      </c>
      <c r="J325" s="32" t="n">
        <f aca="false">ROUND(IFERROR(ROUND(IF(OR(ISNUMBER(SEARCH("week",C325)),ISNUMBER(SEARCH("minggu",C325))),IFERROR(_xlfn.NUMBERVALUE(SUBSTITUTE(LEFT(TRIM(C325),FIND(" ",TRIM(C325)&amp;" ")-1),",","."),"."),LEFT(SUBSTITUTE(LEFT(TRIM(C325),FIND(" ",TRIM(C325)&amp;" ")-1),",","."),FIND("/",SUBSTITUTE(LEFT(TRIM(C325),FIND(" ",TRIM(C325)&amp;" ")-1),",","."))-1)/MID(SUBSTITUTE(LEFT(TRIM(C325),FIND(" ",TRIM(C325)&amp;" ")-1),",","."),FIND("/",SUBSTITUTE(LEFT(TRIM(C325),FIND(" ",TRIM(C325)&amp;" ")-1),",","."))+1,9))*12/52,IF(ISNUMBER(SEARCH("month",C325)),IFERROR(_xlfn.NUMBERVALUE(SUBSTITUTE(LEFT(TRIM(C325),FIND(" ",TRIM(C325)&amp;" ")-1),",","."),"."),LEFT(SUBSTITUTE(LEFT(TRIM(C325),FIND(" ",TRIM(C325)&amp;" ")-1),",","."),FIND("/",SUBSTITUTE(LEFT(TRIM(C325),FIND(" ",TRIM(C325)&amp;" ")-1),",","."))-1)/MID(SUBSTITUTE(LEFT(TRIM(C325),FIND(" ",TRIM(C325)&amp;" ")-1),",","."),FIND("/",SUBSTITUTE(LEFT(TRIM(C325),FIND(" ",TRIM(C325)&amp;" ")-1),",","."))+1,9)),IF(ISNUMBER(SEARCH("yea",C325)),IFERROR(_xlfn.NUMBERVALUE(SUBSTITUTE(LEFT(TRIM(C325),FIND(" ",TRIM(C325)&amp;" ")-1),",","."),"."),LEFT(SUBSTITUTE(LEFT(TRIM(C325),FIND(" ",TRIM(C325)&amp;" ")-1),",","."),FIND("/",SUBSTITUTE(LEFT(TRIM(C325),FIND(" ",TRIM(C325)&amp;" ")-1),",","."))-1)/MID(SUBSTITUTE(LEFT(TRIM(C325),FIND(" ",TRIM(C325)&amp;" ")-1),",","."),FIND("/",SUBSTITUTE(LEFT(TRIM(C325),FIND(" ",TRIM(C325)&amp;" ")-1),",","."))+1,9))*12,NA()))),0),6)*'Aturan &amp; Tarif'!$B$4,2)</f>
        <v>340.68</v>
      </c>
      <c r="K325" s="32" t="n">
        <f aca="false">'Aturan &amp; Tarif'!$B$5</f>
        <v>2050</v>
      </c>
      <c r="L325" s="35" t="n">
        <f aca="false">I325+J325+K325</f>
        <v>25090.68</v>
      </c>
      <c r="M325" s="37" t="s">
        <v>846</v>
      </c>
    </row>
    <row r="326" customFormat="false" ht="25.5" hidden="false" customHeight="true" outlineLevel="0" collapsed="false">
      <c r="A326" s="29"/>
      <c r="B326" s="30" t="s">
        <v>1507</v>
      </c>
      <c r="C326" s="31" t="s">
        <v>344</v>
      </c>
      <c r="D326" s="31" t="s">
        <v>108</v>
      </c>
      <c r="E326" s="32" t="n">
        <v>11275</v>
      </c>
      <c r="F326" s="32"/>
      <c r="G326" s="32" t="n">
        <v>150</v>
      </c>
      <c r="H326" s="33" t="n">
        <v>2</v>
      </c>
      <c r="I326" s="34" t="n">
        <f aca="false">E326*H326+N(F326)+N(G326)</f>
        <v>22700</v>
      </c>
      <c r="J326" s="32" t="n">
        <f aca="false">ROUND(IFERROR(ROUND(IF(OR(ISNUMBER(SEARCH("week",C326)),ISNUMBER(SEARCH("minggu",C326))),IFERROR(_xlfn.NUMBERVALUE(SUBSTITUTE(LEFT(TRIM(C326),FIND(" ",TRIM(C326)&amp;" ")-1),",","."),"."),LEFT(SUBSTITUTE(LEFT(TRIM(C326),FIND(" ",TRIM(C326)&amp;" ")-1),",","."),FIND("/",SUBSTITUTE(LEFT(TRIM(C326),FIND(" ",TRIM(C326)&amp;" ")-1),",","."))-1)/MID(SUBSTITUTE(LEFT(TRIM(C326),FIND(" ",TRIM(C326)&amp;" ")-1),",","."),FIND("/",SUBSTITUTE(LEFT(TRIM(C326),FIND(" ",TRIM(C326)&amp;" ")-1),",","."))+1,9))*12/52,IF(ISNUMBER(SEARCH("month",C326)),IFERROR(_xlfn.NUMBERVALUE(SUBSTITUTE(LEFT(TRIM(C326),FIND(" ",TRIM(C326)&amp;" ")-1),",","."),"."),LEFT(SUBSTITUTE(LEFT(TRIM(C326),FIND(" ",TRIM(C326)&amp;" ")-1),",","."),FIND("/",SUBSTITUTE(LEFT(TRIM(C326),FIND(" ",TRIM(C326)&amp;" ")-1),",","."))-1)/MID(SUBSTITUTE(LEFT(TRIM(C326),FIND(" ",TRIM(C326)&amp;" ")-1),",","."),FIND("/",SUBSTITUTE(LEFT(TRIM(C326),FIND(" ",TRIM(C326)&amp;" ")-1),",","."))+1,9)),IF(ISNUMBER(SEARCH("yea",C326)),IFERROR(_xlfn.NUMBERVALUE(SUBSTITUTE(LEFT(TRIM(C326),FIND(" ",TRIM(C326)&amp;" ")-1),",","."),"."),LEFT(SUBSTITUTE(LEFT(TRIM(C326),FIND(" ",TRIM(C326)&amp;" ")-1),",","."),FIND("/",SUBSTITUTE(LEFT(TRIM(C326),FIND(" ",TRIM(C326)&amp;" ")-1),",","."))-1)/MID(SUBSTITUTE(LEFT(TRIM(C326),FIND(" ",TRIM(C326)&amp;" ")-1),",","."),FIND("/",SUBSTITUTE(LEFT(TRIM(C326),FIND(" ",TRIM(C326)&amp;" ")-1),",","."))+1,9))*12,NA()))),0),6)*'Aturan &amp; Tarif'!$B$4,2)</f>
        <v>340.68</v>
      </c>
      <c r="K326" s="32" t="n">
        <f aca="false">'Aturan &amp; Tarif'!$B$5</f>
        <v>2050</v>
      </c>
      <c r="L326" s="35" t="n">
        <f aca="false">I326+J326+K326</f>
        <v>25090.68</v>
      </c>
      <c r="M326" s="37" t="s">
        <v>846</v>
      </c>
    </row>
    <row r="327" customFormat="false" ht="14.25" hidden="false" customHeight="true" outlineLevel="0" collapsed="false">
      <c r="A327" s="29"/>
      <c r="B327" s="30" t="s">
        <v>1508</v>
      </c>
      <c r="C327" s="31" t="s">
        <v>344</v>
      </c>
      <c r="D327" s="31" t="s">
        <v>108</v>
      </c>
      <c r="E327" s="32" t="n">
        <v>11275</v>
      </c>
      <c r="F327" s="32"/>
      <c r="G327" s="32" t="n">
        <v>150</v>
      </c>
      <c r="H327" s="33" t="n">
        <v>2</v>
      </c>
      <c r="I327" s="34" t="n">
        <f aca="false">E327*H327+N(F327)+N(G327)</f>
        <v>22700</v>
      </c>
      <c r="J327" s="32" t="n">
        <f aca="false">ROUND(IFERROR(ROUND(IF(OR(ISNUMBER(SEARCH("week",C327)),ISNUMBER(SEARCH("minggu",C327))),IFERROR(_xlfn.NUMBERVALUE(SUBSTITUTE(LEFT(TRIM(C327),FIND(" ",TRIM(C327)&amp;" ")-1),",","."),"."),LEFT(SUBSTITUTE(LEFT(TRIM(C327),FIND(" ",TRIM(C327)&amp;" ")-1),",","."),FIND("/",SUBSTITUTE(LEFT(TRIM(C327),FIND(" ",TRIM(C327)&amp;" ")-1),",","."))-1)/MID(SUBSTITUTE(LEFT(TRIM(C327),FIND(" ",TRIM(C327)&amp;" ")-1),",","."),FIND("/",SUBSTITUTE(LEFT(TRIM(C327),FIND(" ",TRIM(C327)&amp;" ")-1),",","."))+1,9))*12/52,IF(ISNUMBER(SEARCH("month",C327)),IFERROR(_xlfn.NUMBERVALUE(SUBSTITUTE(LEFT(TRIM(C327),FIND(" ",TRIM(C327)&amp;" ")-1),",","."),"."),LEFT(SUBSTITUTE(LEFT(TRIM(C327),FIND(" ",TRIM(C327)&amp;" ")-1),",","."),FIND("/",SUBSTITUTE(LEFT(TRIM(C327),FIND(" ",TRIM(C327)&amp;" ")-1),",","."))-1)/MID(SUBSTITUTE(LEFT(TRIM(C327),FIND(" ",TRIM(C327)&amp;" ")-1),",","."),FIND("/",SUBSTITUTE(LEFT(TRIM(C327),FIND(" ",TRIM(C327)&amp;" ")-1),",","."))+1,9)),IF(ISNUMBER(SEARCH("yea",C327)),IFERROR(_xlfn.NUMBERVALUE(SUBSTITUTE(LEFT(TRIM(C327),FIND(" ",TRIM(C327)&amp;" ")-1),",","."),"."),LEFT(SUBSTITUTE(LEFT(TRIM(C327),FIND(" ",TRIM(C327)&amp;" ")-1),",","."),FIND("/",SUBSTITUTE(LEFT(TRIM(C327),FIND(" ",TRIM(C327)&amp;" ")-1),",","."))-1)/MID(SUBSTITUTE(LEFT(TRIM(C327),FIND(" ",TRIM(C327)&amp;" ")-1),",","."),FIND("/",SUBSTITUTE(LEFT(TRIM(C327),FIND(" ",TRIM(C327)&amp;" ")-1),",","."))+1,9))*12,NA()))),0),6)*'Aturan &amp; Tarif'!$B$4,2)</f>
        <v>340.68</v>
      </c>
      <c r="K327" s="32" t="n">
        <f aca="false">'Aturan &amp; Tarif'!$B$5</f>
        <v>2050</v>
      </c>
      <c r="L327" s="35" t="n">
        <f aca="false">I327+J327+K327</f>
        <v>25090.68</v>
      </c>
      <c r="M327" s="37" t="s">
        <v>846</v>
      </c>
    </row>
    <row r="328" customFormat="false" ht="14.25" hidden="false" customHeight="true" outlineLevel="0" collapsed="false">
      <c r="A328" s="29"/>
      <c r="B328" s="30" t="s">
        <v>1509</v>
      </c>
      <c r="C328" s="31" t="s">
        <v>107</v>
      </c>
      <c r="D328" s="31" t="s">
        <v>108</v>
      </c>
      <c r="E328" s="32" t="n">
        <v>12150</v>
      </c>
      <c r="F328" s="32"/>
      <c r="G328" s="32" t="n">
        <v>150</v>
      </c>
      <c r="H328" s="33" t="n">
        <v>2</v>
      </c>
      <c r="I328" s="34" t="n">
        <f aca="false">E328*H328+N(F328)+N(G328)</f>
        <v>24450</v>
      </c>
      <c r="J328" s="32" t="n">
        <f aca="false">ROUND(IFERROR(ROUND(IF(OR(ISNUMBER(SEARCH("week",C328)),ISNUMBER(SEARCH("minggu",C328))),IFERROR(_xlfn.NUMBERVALUE(SUBSTITUTE(LEFT(TRIM(C328),FIND(" ",TRIM(C328)&amp;" ")-1),",","."),"."),LEFT(SUBSTITUTE(LEFT(TRIM(C328),FIND(" ",TRIM(C328)&amp;" ")-1),",","."),FIND("/",SUBSTITUTE(LEFT(TRIM(C328),FIND(" ",TRIM(C328)&amp;" ")-1),",","."))-1)/MID(SUBSTITUTE(LEFT(TRIM(C328),FIND(" ",TRIM(C328)&amp;" ")-1),",","."),FIND("/",SUBSTITUTE(LEFT(TRIM(C328),FIND(" ",TRIM(C328)&amp;" ")-1),",","."))+1,9))*12/52,IF(ISNUMBER(SEARCH("month",C328)),IFERROR(_xlfn.NUMBERVALUE(SUBSTITUTE(LEFT(TRIM(C328),FIND(" ",TRIM(C328)&amp;" ")-1),",","."),"."),LEFT(SUBSTITUTE(LEFT(TRIM(C328),FIND(" ",TRIM(C328)&amp;" ")-1),",","."),FIND("/",SUBSTITUTE(LEFT(TRIM(C328),FIND(" ",TRIM(C328)&amp;" ")-1),",","."))-1)/MID(SUBSTITUTE(LEFT(TRIM(C328),FIND(" ",TRIM(C328)&amp;" ")-1),",","."),FIND("/",SUBSTITUTE(LEFT(TRIM(C328),FIND(" ",TRIM(C328)&amp;" ")-1),",","."))+1,9)),IF(ISNUMBER(SEARCH("yea",C328)),IFERROR(_xlfn.NUMBERVALUE(SUBSTITUTE(LEFT(TRIM(C328),FIND(" ",TRIM(C328)&amp;" ")-1),",","."),"."),LEFT(SUBSTITUTE(LEFT(TRIM(C328),FIND(" ",TRIM(C328)&amp;" ")-1),",","."),FIND("/",SUBSTITUTE(LEFT(TRIM(C328),FIND(" ",TRIM(C328)&amp;" ")-1),",","."))-1)/MID(SUBSTITUTE(LEFT(TRIM(C328),FIND(" ",TRIM(C328)&amp;" ")-1),",","."),FIND("/",SUBSTITUTE(LEFT(TRIM(C328),FIND(" ",TRIM(C328)&amp;" ")-1),",","."))+1,9))*12,NA()))),0),24)*'Aturan &amp; Tarif'!$B$4,2)</f>
        <v>1362.72</v>
      </c>
      <c r="K328" s="32" t="n">
        <f aca="false">'Aturan &amp; Tarif'!$B$5</f>
        <v>2050</v>
      </c>
      <c r="L328" s="35" t="n">
        <f aca="false">I328+J328+K328</f>
        <v>27862.72</v>
      </c>
      <c r="M328" s="37" t="s">
        <v>1471</v>
      </c>
    </row>
    <row r="329" customFormat="false" ht="25.5" hidden="false" customHeight="true" outlineLevel="0" collapsed="false">
      <c r="A329" s="29"/>
      <c r="B329" s="30" t="s">
        <v>1510</v>
      </c>
      <c r="C329" s="31" t="s">
        <v>107</v>
      </c>
      <c r="D329" s="31" t="s">
        <v>108</v>
      </c>
      <c r="E329" s="32" t="n">
        <v>12150</v>
      </c>
      <c r="F329" s="32"/>
      <c r="G329" s="32" t="n">
        <v>150</v>
      </c>
      <c r="H329" s="33" t="n">
        <v>2</v>
      </c>
      <c r="I329" s="34" t="n">
        <f aca="false">E329*H329+N(F329)+N(G329)</f>
        <v>24450</v>
      </c>
      <c r="J329" s="32" t="n">
        <f aca="false">ROUND(IFERROR(ROUND(IF(OR(ISNUMBER(SEARCH("week",C329)),ISNUMBER(SEARCH("minggu",C329))),IFERROR(_xlfn.NUMBERVALUE(SUBSTITUTE(LEFT(TRIM(C329),FIND(" ",TRIM(C329)&amp;" ")-1),",","."),"."),LEFT(SUBSTITUTE(LEFT(TRIM(C329),FIND(" ",TRIM(C329)&amp;" ")-1),",","."),FIND("/",SUBSTITUTE(LEFT(TRIM(C329),FIND(" ",TRIM(C329)&amp;" ")-1),",","."))-1)/MID(SUBSTITUTE(LEFT(TRIM(C329),FIND(" ",TRIM(C329)&amp;" ")-1),",","."),FIND("/",SUBSTITUTE(LEFT(TRIM(C329),FIND(" ",TRIM(C329)&amp;" ")-1),",","."))+1,9))*12/52,IF(ISNUMBER(SEARCH("month",C329)),IFERROR(_xlfn.NUMBERVALUE(SUBSTITUTE(LEFT(TRIM(C329),FIND(" ",TRIM(C329)&amp;" ")-1),",","."),"."),LEFT(SUBSTITUTE(LEFT(TRIM(C329),FIND(" ",TRIM(C329)&amp;" ")-1),",","."),FIND("/",SUBSTITUTE(LEFT(TRIM(C329),FIND(" ",TRIM(C329)&amp;" ")-1),",","."))-1)/MID(SUBSTITUTE(LEFT(TRIM(C329),FIND(" ",TRIM(C329)&amp;" ")-1),",","."),FIND("/",SUBSTITUTE(LEFT(TRIM(C329),FIND(" ",TRIM(C329)&amp;" ")-1),",","."))+1,9)),IF(ISNUMBER(SEARCH("yea",C329)),IFERROR(_xlfn.NUMBERVALUE(SUBSTITUTE(LEFT(TRIM(C329),FIND(" ",TRIM(C329)&amp;" ")-1),",","."),"."),LEFT(SUBSTITUTE(LEFT(TRIM(C329),FIND(" ",TRIM(C329)&amp;" ")-1),",","."),FIND("/",SUBSTITUTE(LEFT(TRIM(C329),FIND(" ",TRIM(C329)&amp;" ")-1),",","."))-1)/MID(SUBSTITUTE(LEFT(TRIM(C329),FIND(" ",TRIM(C329)&amp;" ")-1),",","."),FIND("/",SUBSTITUTE(LEFT(TRIM(C329),FIND(" ",TRIM(C329)&amp;" ")-1),",","."))+1,9))*12,NA()))),0),24)*'Aturan &amp; Tarif'!$B$4,2)</f>
        <v>1362.72</v>
      </c>
      <c r="K329" s="32" t="n">
        <f aca="false">'Aturan &amp; Tarif'!$B$5</f>
        <v>2050</v>
      </c>
      <c r="L329" s="35" t="n">
        <f aca="false">I329+J329+K329</f>
        <v>27862.72</v>
      </c>
      <c r="M329" s="37" t="s">
        <v>1471</v>
      </c>
    </row>
    <row r="330" customFormat="false" ht="25.5" hidden="false" customHeight="true" outlineLevel="0" collapsed="false">
      <c r="A330" s="29"/>
      <c r="B330" s="30" t="s">
        <v>1511</v>
      </c>
      <c r="C330" s="31" t="s">
        <v>107</v>
      </c>
      <c r="D330" s="31" t="s">
        <v>108</v>
      </c>
      <c r="E330" s="32" t="n">
        <v>12150</v>
      </c>
      <c r="F330" s="32"/>
      <c r="G330" s="32" t="n">
        <v>150</v>
      </c>
      <c r="H330" s="33" t="n">
        <v>2</v>
      </c>
      <c r="I330" s="34" t="n">
        <f aca="false">E330*H330+N(F330)+N(G330)</f>
        <v>24450</v>
      </c>
      <c r="J330" s="32" t="n">
        <f aca="false">ROUND(IFERROR(ROUND(IF(OR(ISNUMBER(SEARCH("week",C330)),ISNUMBER(SEARCH("minggu",C330))),IFERROR(_xlfn.NUMBERVALUE(SUBSTITUTE(LEFT(TRIM(C330),FIND(" ",TRIM(C330)&amp;" ")-1),",","."),"."),LEFT(SUBSTITUTE(LEFT(TRIM(C330),FIND(" ",TRIM(C330)&amp;" ")-1),",","."),FIND("/",SUBSTITUTE(LEFT(TRIM(C330),FIND(" ",TRIM(C330)&amp;" ")-1),",","."))-1)/MID(SUBSTITUTE(LEFT(TRIM(C330),FIND(" ",TRIM(C330)&amp;" ")-1),",","."),FIND("/",SUBSTITUTE(LEFT(TRIM(C330),FIND(" ",TRIM(C330)&amp;" ")-1),",","."))+1,9))*12/52,IF(ISNUMBER(SEARCH("month",C330)),IFERROR(_xlfn.NUMBERVALUE(SUBSTITUTE(LEFT(TRIM(C330),FIND(" ",TRIM(C330)&amp;" ")-1),",","."),"."),LEFT(SUBSTITUTE(LEFT(TRIM(C330),FIND(" ",TRIM(C330)&amp;" ")-1),",","."),FIND("/",SUBSTITUTE(LEFT(TRIM(C330),FIND(" ",TRIM(C330)&amp;" ")-1),",","."))-1)/MID(SUBSTITUTE(LEFT(TRIM(C330),FIND(" ",TRIM(C330)&amp;" ")-1),",","."),FIND("/",SUBSTITUTE(LEFT(TRIM(C330),FIND(" ",TRIM(C330)&amp;" ")-1),",","."))+1,9)),IF(ISNUMBER(SEARCH("yea",C330)),IFERROR(_xlfn.NUMBERVALUE(SUBSTITUTE(LEFT(TRIM(C330),FIND(" ",TRIM(C330)&amp;" ")-1),",","."),"."),LEFT(SUBSTITUTE(LEFT(TRIM(C330),FIND(" ",TRIM(C330)&amp;" ")-1),",","."),FIND("/",SUBSTITUTE(LEFT(TRIM(C330),FIND(" ",TRIM(C330)&amp;" ")-1),",","."))-1)/MID(SUBSTITUTE(LEFT(TRIM(C330),FIND(" ",TRIM(C330)&amp;" ")-1),",","."),FIND("/",SUBSTITUTE(LEFT(TRIM(C330),FIND(" ",TRIM(C330)&amp;" ")-1),",","."))+1,9))*12,NA()))),0),24)*'Aturan &amp; Tarif'!$B$4,2)</f>
        <v>1362.72</v>
      </c>
      <c r="K330" s="32" t="n">
        <f aca="false">'Aturan &amp; Tarif'!$B$5</f>
        <v>2050</v>
      </c>
      <c r="L330" s="35" t="n">
        <f aca="false">I330+J330+K330</f>
        <v>27862.72</v>
      </c>
      <c r="M330" s="37" t="s">
        <v>1471</v>
      </c>
    </row>
    <row r="331" customFormat="false" ht="25.5" hidden="false" customHeight="true" outlineLevel="0" collapsed="false">
      <c r="A331" s="29"/>
      <c r="B331" s="30" t="s">
        <v>1512</v>
      </c>
      <c r="C331" s="31" t="s">
        <v>107</v>
      </c>
      <c r="D331" s="31" t="s">
        <v>108</v>
      </c>
      <c r="E331" s="32" t="n">
        <v>12150</v>
      </c>
      <c r="F331" s="32"/>
      <c r="G331" s="32" t="n">
        <v>150</v>
      </c>
      <c r="H331" s="33" t="n">
        <v>2</v>
      </c>
      <c r="I331" s="34" t="n">
        <f aca="false">E331*H331+N(F331)+N(G331)</f>
        <v>24450</v>
      </c>
      <c r="J331" s="32" t="n">
        <f aca="false">ROUND(IFERROR(ROUND(IF(OR(ISNUMBER(SEARCH("week",C331)),ISNUMBER(SEARCH("minggu",C331))),IFERROR(_xlfn.NUMBERVALUE(SUBSTITUTE(LEFT(TRIM(C331),FIND(" ",TRIM(C331)&amp;" ")-1),",","."),"."),LEFT(SUBSTITUTE(LEFT(TRIM(C331),FIND(" ",TRIM(C331)&amp;" ")-1),",","."),FIND("/",SUBSTITUTE(LEFT(TRIM(C331),FIND(" ",TRIM(C331)&amp;" ")-1),",","."))-1)/MID(SUBSTITUTE(LEFT(TRIM(C331),FIND(" ",TRIM(C331)&amp;" ")-1),",","."),FIND("/",SUBSTITUTE(LEFT(TRIM(C331),FIND(" ",TRIM(C331)&amp;" ")-1),",","."))+1,9))*12/52,IF(ISNUMBER(SEARCH("month",C331)),IFERROR(_xlfn.NUMBERVALUE(SUBSTITUTE(LEFT(TRIM(C331),FIND(" ",TRIM(C331)&amp;" ")-1),",","."),"."),LEFT(SUBSTITUTE(LEFT(TRIM(C331),FIND(" ",TRIM(C331)&amp;" ")-1),",","."),FIND("/",SUBSTITUTE(LEFT(TRIM(C331),FIND(" ",TRIM(C331)&amp;" ")-1),",","."))-1)/MID(SUBSTITUTE(LEFT(TRIM(C331),FIND(" ",TRIM(C331)&amp;" ")-1),",","."),FIND("/",SUBSTITUTE(LEFT(TRIM(C331),FIND(" ",TRIM(C331)&amp;" ")-1),",","."))+1,9)),IF(ISNUMBER(SEARCH("yea",C331)),IFERROR(_xlfn.NUMBERVALUE(SUBSTITUTE(LEFT(TRIM(C331),FIND(" ",TRIM(C331)&amp;" ")-1),",","."),"."),LEFT(SUBSTITUTE(LEFT(TRIM(C331),FIND(" ",TRIM(C331)&amp;" ")-1),",","."),FIND("/",SUBSTITUTE(LEFT(TRIM(C331),FIND(" ",TRIM(C331)&amp;" ")-1),",","."))-1)/MID(SUBSTITUTE(LEFT(TRIM(C331),FIND(" ",TRIM(C331)&amp;" ")-1),",","."),FIND("/",SUBSTITUTE(LEFT(TRIM(C331),FIND(" ",TRIM(C331)&amp;" ")-1),",","."))+1,9))*12,NA()))),0),24)*'Aturan &amp; Tarif'!$B$4,2)</f>
        <v>1362.72</v>
      </c>
      <c r="K331" s="32" t="n">
        <f aca="false">'Aturan &amp; Tarif'!$B$5</f>
        <v>2050</v>
      </c>
      <c r="L331" s="35" t="n">
        <f aca="false">I331+J331+K331</f>
        <v>27862.72</v>
      </c>
      <c r="M331" s="37" t="s">
        <v>1471</v>
      </c>
    </row>
    <row r="332" customFormat="false" ht="14.25" hidden="false" customHeight="true" outlineLevel="0" collapsed="false">
      <c r="A332" s="29"/>
      <c r="B332" s="30" t="s">
        <v>1513</v>
      </c>
      <c r="C332" s="31" t="s">
        <v>107</v>
      </c>
      <c r="D332" s="31" t="s">
        <v>108</v>
      </c>
      <c r="E332" s="32" t="n">
        <v>12425</v>
      </c>
      <c r="F332" s="32"/>
      <c r="G332" s="32" t="n">
        <v>150</v>
      </c>
      <c r="H332" s="33" t="n">
        <v>2</v>
      </c>
      <c r="I332" s="34" t="n">
        <f aca="false">E332*H332+N(F332)+N(G332)</f>
        <v>25000</v>
      </c>
      <c r="J332" s="32" t="n">
        <f aca="false">ROUND(IFERROR(ROUND(IF(OR(ISNUMBER(SEARCH("week",C332)),ISNUMBER(SEARCH("minggu",C332))),IFERROR(_xlfn.NUMBERVALUE(SUBSTITUTE(LEFT(TRIM(C332),FIND(" ",TRIM(C332)&amp;" ")-1),",","."),"."),LEFT(SUBSTITUTE(LEFT(TRIM(C332),FIND(" ",TRIM(C332)&amp;" ")-1),",","."),FIND("/",SUBSTITUTE(LEFT(TRIM(C332),FIND(" ",TRIM(C332)&amp;" ")-1),",","."))-1)/MID(SUBSTITUTE(LEFT(TRIM(C332),FIND(" ",TRIM(C332)&amp;" ")-1),",","."),FIND("/",SUBSTITUTE(LEFT(TRIM(C332),FIND(" ",TRIM(C332)&amp;" ")-1),",","."))+1,9))*12/52,IF(ISNUMBER(SEARCH("month",C332)),IFERROR(_xlfn.NUMBERVALUE(SUBSTITUTE(LEFT(TRIM(C332),FIND(" ",TRIM(C332)&amp;" ")-1),",","."),"."),LEFT(SUBSTITUTE(LEFT(TRIM(C332),FIND(" ",TRIM(C332)&amp;" ")-1),",","."),FIND("/",SUBSTITUTE(LEFT(TRIM(C332),FIND(" ",TRIM(C332)&amp;" ")-1),",","."))-1)/MID(SUBSTITUTE(LEFT(TRIM(C332),FIND(" ",TRIM(C332)&amp;" ")-1),",","."),FIND("/",SUBSTITUTE(LEFT(TRIM(C332),FIND(" ",TRIM(C332)&amp;" ")-1),",","."))+1,9)),IF(ISNUMBER(SEARCH("yea",C332)),IFERROR(_xlfn.NUMBERVALUE(SUBSTITUTE(LEFT(TRIM(C332),FIND(" ",TRIM(C332)&amp;" ")-1),",","."),"."),LEFT(SUBSTITUTE(LEFT(TRIM(C332),FIND(" ",TRIM(C332)&amp;" ")-1),",","."),FIND("/",SUBSTITUTE(LEFT(TRIM(C332),FIND(" ",TRIM(C332)&amp;" ")-1),",","."))-1)/MID(SUBSTITUTE(LEFT(TRIM(C332),FIND(" ",TRIM(C332)&amp;" ")-1),",","."),FIND("/",SUBSTITUTE(LEFT(TRIM(C332),FIND(" ",TRIM(C332)&amp;" ")-1),",","."))+1,9))*12,NA()))),0),24)*'Aturan &amp; Tarif'!$B$4,2)</f>
        <v>1362.72</v>
      </c>
      <c r="K332" s="32" t="n">
        <f aca="false">'Aturan &amp; Tarif'!$B$5</f>
        <v>2050</v>
      </c>
      <c r="L332" s="35" t="n">
        <f aca="false">I332+J332+K332</f>
        <v>28412.72</v>
      </c>
      <c r="M332" s="37" t="s">
        <v>846</v>
      </c>
    </row>
    <row r="333" customFormat="false" ht="14.25" hidden="false" customHeight="true" outlineLevel="0" collapsed="false">
      <c r="A333" s="29"/>
      <c r="B333" s="30" t="s">
        <v>1514</v>
      </c>
      <c r="C333" s="31" t="s">
        <v>107</v>
      </c>
      <c r="D333" s="31" t="s">
        <v>108</v>
      </c>
      <c r="E333" s="32" t="n">
        <v>11950</v>
      </c>
      <c r="F333" s="32"/>
      <c r="G333" s="32" t="n">
        <v>150</v>
      </c>
      <c r="H333" s="33" t="n">
        <v>2</v>
      </c>
      <c r="I333" s="34" t="n">
        <f aca="false">E333*H333+N(F333)+N(G333)</f>
        <v>24050</v>
      </c>
      <c r="J333" s="32" t="n">
        <f aca="false">ROUND(IFERROR(ROUND(IF(OR(ISNUMBER(SEARCH("week",C333)),ISNUMBER(SEARCH("minggu",C333))),IFERROR(_xlfn.NUMBERVALUE(SUBSTITUTE(LEFT(TRIM(C333),FIND(" ",TRIM(C333)&amp;" ")-1),",","."),"."),LEFT(SUBSTITUTE(LEFT(TRIM(C333),FIND(" ",TRIM(C333)&amp;" ")-1),",","."),FIND("/",SUBSTITUTE(LEFT(TRIM(C333),FIND(" ",TRIM(C333)&amp;" ")-1),",","."))-1)/MID(SUBSTITUTE(LEFT(TRIM(C333),FIND(" ",TRIM(C333)&amp;" ")-1),",","."),FIND("/",SUBSTITUTE(LEFT(TRIM(C333),FIND(" ",TRIM(C333)&amp;" ")-1),",","."))+1,9))*12/52,IF(ISNUMBER(SEARCH("month",C333)),IFERROR(_xlfn.NUMBERVALUE(SUBSTITUTE(LEFT(TRIM(C333),FIND(" ",TRIM(C333)&amp;" ")-1),",","."),"."),LEFT(SUBSTITUTE(LEFT(TRIM(C333),FIND(" ",TRIM(C333)&amp;" ")-1),",","."),FIND("/",SUBSTITUTE(LEFT(TRIM(C333),FIND(" ",TRIM(C333)&amp;" ")-1),",","."))-1)/MID(SUBSTITUTE(LEFT(TRIM(C333),FIND(" ",TRIM(C333)&amp;" ")-1),",","."),FIND("/",SUBSTITUTE(LEFT(TRIM(C333),FIND(" ",TRIM(C333)&amp;" ")-1),",","."))+1,9)),IF(ISNUMBER(SEARCH("yea",C333)),IFERROR(_xlfn.NUMBERVALUE(SUBSTITUTE(LEFT(TRIM(C333),FIND(" ",TRIM(C333)&amp;" ")-1),",","."),"."),LEFT(SUBSTITUTE(LEFT(TRIM(C333),FIND(" ",TRIM(C333)&amp;" ")-1),",","."),FIND("/",SUBSTITUTE(LEFT(TRIM(C333),FIND(" ",TRIM(C333)&amp;" ")-1),",","."))-1)/MID(SUBSTITUTE(LEFT(TRIM(C333),FIND(" ",TRIM(C333)&amp;" ")-1),",","."),FIND("/",SUBSTITUTE(LEFT(TRIM(C333),FIND(" ",TRIM(C333)&amp;" ")-1),",","."))+1,9))*12,NA()))),0),24)*'Aturan &amp; Tarif'!$B$4,2)</f>
        <v>1362.72</v>
      </c>
      <c r="K333" s="32" t="n">
        <f aca="false">'Aturan &amp; Tarif'!$B$5</f>
        <v>2050</v>
      </c>
      <c r="L333" s="35" t="n">
        <f aca="false">I333+J333+K333</f>
        <v>27462.72</v>
      </c>
      <c r="M333" s="37" t="s">
        <v>846</v>
      </c>
    </row>
    <row r="334" customFormat="false" ht="14.25" hidden="false" customHeight="true" outlineLevel="0" collapsed="false">
      <c r="A334" s="29"/>
      <c r="B334" s="30" t="s">
        <v>1515</v>
      </c>
      <c r="C334" s="31" t="s">
        <v>107</v>
      </c>
      <c r="D334" s="31" t="s">
        <v>108</v>
      </c>
      <c r="E334" s="32" t="n">
        <v>14275</v>
      </c>
      <c r="F334" s="32"/>
      <c r="G334" s="32" t="n">
        <v>150</v>
      </c>
      <c r="H334" s="33" t="n">
        <v>2</v>
      </c>
      <c r="I334" s="34" t="n">
        <f aca="false">E334*H334+N(F334)+N(G334)</f>
        <v>28700</v>
      </c>
      <c r="J334" s="32" t="n">
        <f aca="false">ROUND(IFERROR(ROUND(IF(OR(ISNUMBER(SEARCH("week",C334)),ISNUMBER(SEARCH("minggu",C334))),IFERROR(_xlfn.NUMBERVALUE(SUBSTITUTE(LEFT(TRIM(C334),FIND(" ",TRIM(C334)&amp;" ")-1),",","."),"."),LEFT(SUBSTITUTE(LEFT(TRIM(C334),FIND(" ",TRIM(C334)&amp;" ")-1),",","."),FIND("/",SUBSTITUTE(LEFT(TRIM(C334),FIND(" ",TRIM(C334)&amp;" ")-1),",","."))-1)/MID(SUBSTITUTE(LEFT(TRIM(C334),FIND(" ",TRIM(C334)&amp;" ")-1),",","."),FIND("/",SUBSTITUTE(LEFT(TRIM(C334),FIND(" ",TRIM(C334)&amp;" ")-1),",","."))+1,9))*12/52,IF(ISNUMBER(SEARCH("month",C334)),IFERROR(_xlfn.NUMBERVALUE(SUBSTITUTE(LEFT(TRIM(C334),FIND(" ",TRIM(C334)&amp;" ")-1),",","."),"."),LEFT(SUBSTITUTE(LEFT(TRIM(C334),FIND(" ",TRIM(C334)&amp;" ")-1),",","."),FIND("/",SUBSTITUTE(LEFT(TRIM(C334),FIND(" ",TRIM(C334)&amp;" ")-1),",","."))-1)/MID(SUBSTITUTE(LEFT(TRIM(C334),FIND(" ",TRIM(C334)&amp;" ")-1),",","."),FIND("/",SUBSTITUTE(LEFT(TRIM(C334),FIND(" ",TRIM(C334)&amp;" ")-1),",","."))+1,9)),IF(ISNUMBER(SEARCH("yea",C334)),IFERROR(_xlfn.NUMBERVALUE(SUBSTITUTE(LEFT(TRIM(C334),FIND(" ",TRIM(C334)&amp;" ")-1),",","."),"."),LEFT(SUBSTITUTE(LEFT(TRIM(C334),FIND(" ",TRIM(C334)&amp;" ")-1),",","."),FIND("/",SUBSTITUTE(LEFT(TRIM(C334),FIND(" ",TRIM(C334)&amp;" ")-1),",","."))-1)/MID(SUBSTITUTE(LEFT(TRIM(C334),FIND(" ",TRIM(C334)&amp;" ")-1),",","."),FIND("/",SUBSTITUTE(LEFT(TRIM(C334),FIND(" ",TRIM(C334)&amp;" ")-1),",","."))+1,9))*12,NA()))),0),24)*'Aturan &amp; Tarif'!$B$4,2)</f>
        <v>1362.72</v>
      </c>
      <c r="K334" s="32" t="n">
        <f aca="false">'Aturan &amp; Tarif'!$B$5</f>
        <v>2050</v>
      </c>
      <c r="L334" s="35" t="n">
        <f aca="false">I334+J334+K334</f>
        <v>32112.72</v>
      </c>
      <c r="M334" s="37" t="s">
        <v>846</v>
      </c>
    </row>
    <row r="335" customFormat="false" ht="25.5" hidden="false" customHeight="true" outlineLevel="0" collapsed="false">
      <c r="A335" s="29"/>
      <c r="B335" s="30" t="s">
        <v>1516</v>
      </c>
      <c r="C335" s="31" t="s">
        <v>107</v>
      </c>
      <c r="D335" s="31" t="s">
        <v>108</v>
      </c>
      <c r="E335" s="32" t="n">
        <v>13125</v>
      </c>
      <c r="F335" s="32"/>
      <c r="G335" s="32" t="n">
        <v>150</v>
      </c>
      <c r="H335" s="33" t="n">
        <v>2</v>
      </c>
      <c r="I335" s="34" t="n">
        <f aca="false">E335*H335+N(F335)+N(G335)</f>
        <v>26400</v>
      </c>
      <c r="J335" s="32" t="n">
        <f aca="false">ROUND(IFERROR(ROUND(IF(OR(ISNUMBER(SEARCH("week",C335)),ISNUMBER(SEARCH("minggu",C335))),IFERROR(_xlfn.NUMBERVALUE(SUBSTITUTE(LEFT(TRIM(C335),FIND(" ",TRIM(C335)&amp;" ")-1),",","."),"."),LEFT(SUBSTITUTE(LEFT(TRIM(C335),FIND(" ",TRIM(C335)&amp;" ")-1),",","."),FIND("/",SUBSTITUTE(LEFT(TRIM(C335),FIND(" ",TRIM(C335)&amp;" ")-1),",","."))-1)/MID(SUBSTITUTE(LEFT(TRIM(C335),FIND(" ",TRIM(C335)&amp;" ")-1),",","."),FIND("/",SUBSTITUTE(LEFT(TRIM(C335),FIND(" ",TRIM(C335)&amp;" ")-1),",","."))+1,9))*12/52,IF(ISNUMBER(SEARCH("month",C335)),IFERROR(_xlfn.NUMBERVALUE(SUBSTITUTE(LEFT(TRIM(C335),FIND(" ",TRIM(C335)&amp;" ")-1),",","."),"."),LEFT(SUBSTITUTE(LEFT(TRIM(C335),FIND(" ",TRIM(C335)&amp;" ")-1),",","."),FIND("/",SUBSTITUTE(LEFT(TRIM(C335),FIND(" ",TRIM(C335)&amp;" ")-1),",","."))-1)/MID(SUBSTITUTE(LEFT(TRIM(C335),FIND(" ",TRIM(C335)&amp;" ")-1),",","."),FIND("/",SUBSTITUTE(LEFT(TRIM(C335),FIND(" ",TRIM(C335)&amp;" ")-1),",","."))+1,9)),IF(ISNUMBER(SEARCH("yea",C335)),IFERROR(_xlfn.NUMBERVALUE(SUBSTITUTE(LEFT(TRIM(C335),FIND(" ",TRIM(C335)&amp;" ")-1),",","."),"."),LEFT(SUBSTITUTE(LEFT(TRIM(C335),FIND(" ",TRIM(C335)&amp;" ")-1),",","."),FIND("/",SUBSTITUTE(LEFT(TRIM(C335),FIND(" ",TRIM(C335)&amp;" ")-1),",","."))-1)/MID(SUBSTITUTE(LEFT(TRIM(C335),FIND(" ",TRIM(C335)&amp;" ")-1),",","."),FIND("/",SUBSTITUTE(LEFT(TRIM(C335),FIND(" ",TRIM(C335)&amp;" ")-1),",","."))+1,9))*12,NA()))),0),24)*'Aturan &amp; Tarif'!$B$4,2)</f>
        <v>1362.72</v>
      </c>
      <c r="K335" s="32" t="n">
        <f aca="false">'Aturan &amp; Tarif'!$B$5</f>
        <v>2050</v>
      </c>
      <c r="L335" s="35" t="n">
        <f aca="false">I335+J335+K335</f>
        <v>29812.72</v>
      </c>
      <c r="M335" s="37" t="s">
        <v>846</v>
      </c>
    </row>
    <row r="336" customFormat="false" ht="14.25" hidden="false" customHeight="true" outlineLevel="0" collapsed="false">
      <c r="A336" s="29"/>
      <c r="B336" s="30" t="s">
        <v>1517</v>
      </c>
      <c r="C336" s="31" t="s">
        <v>107</v>
      </c>
      <c r="D336" s="31" t="s">
        <v>108</v>
      </c>
      <c r="E336" s="32" t="n">
        <v>14275</v>
      </c>
      <c r="F336" s="32"/>
      <c r="G336" s="32" t="n">
        <v>150</v>
      </c>
      <c r="H336" s="33" t="n">
        <v>2</v>
      </c>
      <c r="I336" s="34" t="n">
        <f aca="false">E336*H336+N(F336)+N(G336)</f>
        <v>28700</v>
      </c>
      <c r="J336" s="32" t="n">
        <f aca="false">ROUND(IFERROR(ROUND(IF(OR(ISNUMBER(SEARCH("week",C336)),ISNUMBER(SEARCH("minggu",C336))),IFERROR(_xlfn.NUMBERVALUE(SUBSTITUTE(LEFT(TRIM(C336),FIND(" ",TRIM(C336)&amp;" ")-1),",","."),"."),LEFT(SUBSTITUTE(LEFT(TRIM(C336),FIND(" ",TRIM(C336)&amp;" ")-1),",","."),FIND("/",SUBSTITUTE(LEFT(TRIM(C336),FIND(" ",TRIM(C336)&amp;" ")-1),",","."))-1)/MID(SUBSTITUTE(LEFT(TRIM(C336),FIND(" ",TRIM(C336)&amp;" ")-1),",","."),FIND("/",SUBSTITUTE(LEFT(TRIM(C336),FIND(" ",TRIM(C336)&amp;" ")-1),",","."))+1,9))*12/52,IF(ISNUMBER(SEARCH("month",C336)),IFERROR(_xlfn.NUMBERVALUE(SUBSTITUTE(LEFT(TRIM(C336),FIND(" ",TRIM(C336)&amp;" ")-1),",","."),"."),LEFT(SUBSTITUTE(LEFT(TRIM(C336),FIND(" ",TRIM(C336)&amp;" ")-1),",","."),FIND("/",SUBSTITUTE(LEFT(TRIM(C336),FIND(" ",TRIM(C336)&amp;" ")-1),",","."))-1)/MID(SUBSTITUTE(LEFT(TRIM(C336),FIND(" ",TRIM(C336)&amp;" ")-1),",","."),FIND("/",SUBSTITUTE(LEFT(TRIM(C336),FIND(" ",TRIM(C336)&amp;" ")-1),",","."))+1,9)),IF(ISNUMBER(SEARCH("yea",C336)),IFERROR(_xlfn.NUMBERVALUE(SUBSTITUTE(LEFT(TRIM(C336),FIND(" ",TRIM(C336)&amp;" ")-1),",","."),"."),LEFT(SUBSTITUTE(LEFT(TRIM(C336),FIND(" ",TRIM(C336)&amp;" ")-1),",","."),FIND("/",SUBSTITUTE(LEFT(TRIM(C336),FIND(" ",TRIM(C336)&amp;" ")-1),",","."))-1)/MID(SUBSTITUTE(LEFT(TRIM(C336),FIND(" ",TRIM(C336)&amp;" ")-1),",","."),FIND("/",SUBSTITUTE(LEFT(TRIM(C336),FIND(" ",TRIM(C336)&amp;" ")-1),",","."))+1,9))*12,NA()))),0),24)*'Aturan &amp; Tarif'!$B$4,2)</f>
        <v>1362.72</v>
      </c>
      <c r="K336" s="32" t="n">
        <f aca="false">'Aturan &amp; Tarif'!$B$5</f>
        <v>2050</v>
      </c>
      <c r="L336" s="35" t="n">
        <f aca="false">I336+J336+K336</f>
        <v>32112.72</v>
      </c>
      <c r="M336" s="37" t="s">
        <v>846</v>
      </c>
    </row>
    <row r="337" customFormat="false" ht="14.25" hidden="false" customHeight="true" outlineLevel="0" collapsed="false">
      <c r="A337" s="29"/>
      <c r="B337" s="30" t="s">
        <v>1518</v>
      </c>
      <c r="C337" s="31" t="s">
        <v>107</v>
      </c>
      <c r="D337" s="31" t="s">
        <v>108</v>
      </c>
      <c r="E337" s="32" t="n">
        <v>14275</v>
      </c>
      <c r="F337" s="32"/>
      <c r="G337" s="32" t="n">
        <v>150</v>
      </c>
      <c r="H337" s="33" t="n">
        <v>2</v>
      </c>
      <c r="I337" s="34" t="n">
        <f aca="false">E337*H337+N(F337)+N(G337)</f>
        <v>28700</v>
      </c>
      <c r="J337" s="32" t="n">
        <f aca="false">ROUND(IFERROR(ROUND(IF(OR(ISNUMBER(SEARCH("week",C337)),ISNUMBER(SEARCH("minggu",C337))),IFERROR(_xlfn.NUMBERVALUE(SUBSTITUTE(LEFT(TRIM(C337),FIND(" ",TRIM(C337)&amp;" ")-1),",","."),"."),LEFT(SUBSTITUTE(LEFT(TRIM(C337),FIND(" ",TRIM(C337)&amp;" ")-1),",","."),FIND("/",SUBSTITUTE(LEFT(TRIM(C337),FIND(" ",TRIM(C337)&amp;" ")-1),",","."))-1)/MID(SUBSTITUTE(LEFT(TRIM(C337),FIND(" ",TRIM(C337)&amp;" ")-1),",","."),FIND("/",SUBSTITUTE(LEFT(TRIM(C337),FIND(" ",TRIM(C337)&amp;" ")-1),",","."))+1,9))*12/52,IF(ISNUMBER(SEARCH("month",C337)),IFERROR(_xlfn.NUMBERVALUE(SUBSTITUTE(LEFT(TRIM(C337),FIND(" ",TRIM(C337)&amp;" ")-1),",","."),"."),LEFT(SUBSTITUTE(LEFT(TRIM(C337),FIND(" ",TRIM(C337)&amp;" ")-1),",","."),FIND("/",SUBSTITUTE(LEFT(TRIM(C337),FIND(" ",TRIM(C337)&amp;" ")-1),",","."))-1)/MID(SUBSTITUTE(LEFT(TRIM(C337),FIND(" ",TRIM(C337)&amp;" ")-1),",","."),FIND("/",SUBSTITUTE(LEFT(TRIM(C337),FIND(" ",TRIM(C337)&amp;" ")-1),",","."))+1,9)),IF(ISNUMBER(SEARCH("yea",C337)),IFERROR(_xlfn.NUMBERVALUE(SUBSTITUTE(LEFT(TRIM(C337),FIND(" ",TRIM(C337)&amp;" ")-1),",","."),"."),LEFT(SUBSTITUTE(LEFT(TRIM(C337),FIND(" ",TRIM(C337)&amp;" ")-1),",","."),FIND("/",SUBSTITUTE(LEFT(TRIM(C337),FIND(" ",TRIM(C337)&amp;" ")-1),",","."))-1)/MID(SUBSTITUTE(LEFT(TRIM(C337),FIND(" ",TRIM(C337)&amp;" ")-1),",","."),FIND("/",SUBSTITUTE(LEFT(TRIM(C337),FIND(" ",TRIM(C337)&amp;" ")-1),",","."))+1,9))*12,NA()))),0),24)*'Aturan &amp; Tarif'!$B$4,2)</f>
        <v>1362.72</v>
      </c>
      <c r="K337" s="32" t="n">
        <f aca="false">'Aturan &amp; Tarif'!$B$5</f>
        <v>2050</v>
      </c>
      <c r="L337" s="35" t="n">
        <f aca="false">I337+J337+K337</f>
        <v>32112.72</v>
      </c>
      <c r="M337" s="37" t="s">
        <v>846</v>
      </c>
    </row>
    <row r="338" customFormat="false" ht="25.5" hidden="false" customHeight="true" outlineLevel="0" collapsed="false">
      <c r="A338" s="29"/>
      <c r="B338" s="30" t="s">
        <v>1519</v>
      </c>
      <c r="C338" s="31" t="s">
        <v>107</v>
      </c>
      <c r="D338" s="31" t="s">
        <v>108</v>
      </c>
      <c r="E338" s="32" t="n">
        <v>14275</v>
      </c>
      <c r="F338" s="32"/>
      <c r="G338" s="32" t="n">
        <v>150</v>
      </c>
      <c r="H338" s="33" t="n">
        <v>2</v>
      </c>
      <c r="I338" s="34" t="n">
        <f aca="false">E338*H338+N(F338)+N(G338)</f>
        <v>28700</v>
      </c>
      <c r="J338" s="32" t="n">
        <f aca="false">ROUND(IFERROR(ROUND(IF(OR(ISNUMBER(SEARCH("week",C338)),ISNUMBER(SEARCH("minggu",C338))),IFERROR(_xlfn.NUMBERVALUE(SUBSTITUTE(LEFT(TRIM(C338),FIND(" ",TRIM(C338)&amp;" ")-1),",","."),"."),LEFT(SUBSTITUTE(LEFT(TRIM(C338),FIND(" ",TRIM(C338)&amp;" ")-1),",","."),FIND("/",SUBSTITUTE(LEFT(TRIM(C338),FIND(" ",TRIM(C338)&amp;" ")-1),",","."))-1)/MID(SUBSTITUTE(LEFT(TRIM(C338),FIND(" ",TRIM(C338)&amp;" ")-1),",","."),FIND("/",SUBSTITUTE(LEFT(TRIM(C338),FIND(" ",TRIM(C338)&amp;" ")-1),",","."))+1,9))*12/52,IF(ISNUMBER(SEARCH("month",C338)),IFERROR(_xlfn.NUMBERVALUE(SUBSTITUTE(LEFT(TRIM(C338),FIND(" ",TRIM(C338)&amp;" ")-1),",","."),"."),LEFT(SUBSTITUTE(LEFT(TRIM(C338),FIND(" ",TRIM(C338)&amp;" ")-1),",","."),FIND("/",SUBSTITUTE(LEFT(TRIM(C338),FIND(" ",TRIM(C338)&amp;" ")-1),",","."))-1)/MID(SUBSTITUTE(LEFT(TRIM(C338),FIND(" ",TRIM(C338)&amp;" ")-1),",","."),FIND("/",SUBSTITUTE(LEFT(TRIM(C338),FIND(" ",TRIM(C338)&amp;" ")-1),",","."))+1,9)),IF(ISNUMBER(SEARCH("yea",C338)),IFERROR(_xlfn.NUMBERVALUE(SUBSTITUTE(LEFT(TRIM(C338),FIND(" ",TRIM(C338)&amp;" ")-1),",","."),"."),LEFT(SUBSTITUTE(LEFT(TRIM(C338),FIND(" ",TRIM(C338)&amp;" ")-1),",","."),FIND("/",SUBSTITUTE(LEFT(TRIM(C338),FIND(" ",TRIM(C338)&amp;" ")-1),",","."))-1)/MID(SUBSTITUTE(LEFT(TRIM(C338),FIND(" ",TRIM(C338)&amp;" ")-1),",","."),FIND("/",SUBSTITUTE(LEFT(TRIM(C338),FIND(" ",TRIM(C338)&amp;" ")-1),",","."))+1,9))*12,NA()))),0),24)*'Aturan &amp; Tarif'!$B$4,2)</f>
        <v>1362.72</v>
      </c>
      <c r="K338" s="32" t="n">
        <f aca="false">'Aturan &amp; Tarif'!$B$5</f>
        <v>2050</v>
      </c>
      <c r="L338" s="35" t="n">
        <f aca="false">I338+J338+K338</f>
        <v>32112.72</v>
      </c>
      <c r="M338" s="37" t="s">
        <v>846</v>
      </c>
    </row>
    <row r="339" customFormat="false" ht="25.5" hidden="false" customHeight="true" outlineLevel="0" collapsed="false">
      <c r="A339" s="29"/>
      <c r="B339" s="30" t="s">
        <v>1520</v>
      </c>
      <c r="C339" s="31" t="s">
        <v>107</v>
      </c>
      <c r="D339" s="31" t="s">
        <v>108</v>
      </c>
      <c r="E339" s="32" t="n">
        <v>14275</v>
      </c>
      <c r="F339" s="32"/>
      <c r="G339" s="32" t="n">
        <v>150</v>
      </c>
      <c r="H339" s="33" t="n">
        <v>2</v>
      </c>
      <c r="I339" s="34" t="n">
        <f aca="false">E339*H339+N(F339)+N(G339)</f>
        <v>28700</v>
      </c>
      <c r="J339" s="32" t="n">
        <f aca="false">ROUND(IFERROR(ROUND(IF(OR(ISNUMBER(SEARCH("week",C339)),ISNUMBER(SEARCH("minggu",C339))),IFERROR(_xlfn.NUMBERVALUE(SUBSTITUTE(LEFT(TRIM(C339),FIND(" ",TRIM(C339)&amp;" ")-1),",","."),"."),LEFT(SUBSTITUTE(LEFT(TRIM(C339),FIND(" ",TRIM(C339)&amp;" ")-1),",","."),FIND("/",SUBSTITUTE(LEFT(TRIM(C339),FIND(" ",TRIM(C339)&amp;" ")-1),",","."))-1)/MID(SUBSTITUTE(LEFT(TRIM(C339),FIND(" ",TRIM(C339)&amp;" ")-1),",","."),FIND("/",SUBSTITUTE(LEFT(TRIM(C339),FIND(" ",TRIM(C339)&amp;" ")-1),",","."))+1,9))*12/52,IF(ISNUMBER(SEARCH("month",C339)),IFERROR(_xlfn.NUMBERVALUE(SUBSTITUTE(LEFT(TRIM(C339),FIND(" ",TRIM(C339)&amp;" ")-1),",","."),"."),LEFT(SUBSTITUTE(LEFT(TRIM(C339),FIND(" ",TRIM(C339)&amp;" ")-1),",","."),FIND("/",SUBSTITUTE(LEFT(TRIM(C339),FIND(" ",TRIM(C339)&amp;" ")-1),",","."))-1)/MID(SUBSTITUTE(LEFT(TRIM(C339),FIND(" ",TRIM(C339)&amp;" ")-1),",","."),FIND("/",SUBSTITUTE(LEFT(TRIM(C339),FIND(" ",TRIM(C339)&amp;" ")-1),",","."))+1,9)),IF(ISNUMBER(SEARCH("yea",C339)),IFERROR(_xlfn.NUMBERVALUE(SUBSTITUTE(LEFT(TRIM(C339),FIND(" ",TRIM(C339)&amp;" ")-1),",","."),"."),LEFT(SUBSTITUTE(LEFT(TRIM(C339),FIND(" ",TRIM(C339)&amp;" ")-1),",","."),FIND("/",SUBSTITUTE(LEFT(TRIM(C339),FIND(" ",TRIM(C339)&amp;" ")-1),",","."))-1)/MID(SUBSTITUTE(LEFT(TRIM(C339),FIND(" ",TRIM(C339)&amp;" ")-1),",","."),FIND("/",SUBSTITUTE(LEFT(TRIM(C339),FIND(" ",TRIM(C339)&amp;" ")-1),",","."))+1,9))*12,NA()))),0),24)*'Aturan &amp; Tarif'!$B$4,2)</f>
        <v>1362.72</v>
      </c>
      <c r="K339" s="32" t="n">
        <f aca="false">'Aturan &amp; Tarif'!$B$5</f>
        <v>2050</v>
      </c>
      <c r="L339" s="35" t="n">
        <f aca="false">I339+J339+K339</f>
        <v>32112.72</v>
      </c>
      <c r="M339" s="37" t="s">
        <v>1521</v>
      </c>
    </row>
    <row r="340" customFormat="false" ht="25.5" hidden="false" customHeight="true" outlineLevel="0" collapsed="false">
      <c r="A340" s="29"/>
      <c r="B340" s="30" t="s">
        <v>1522</v>
      </c>
      <c r="C340" s="31" t="s">
        <v>107</v>
      </c>
      <c r="D340" s="31" t="s">
        <v>108</v>
      </c>
      <c r="E340" s="32" t="n">
        <v>14275</v>
      </c>
      <c r="F340" s="32"/>
      <c r="G340" s="32" t="n">
        <v>150</v>
      </c>
      <c r="H340" s="33" t="n">
        <v>2</v>
      </c>
      <c r="I340" s="34" t="n">
        <f aca="false">E340*H340+N(F340)+N(G340)</f>
        <v>28700</v>
      </c>
      <c r="J340" s="32" t="n">
        <f aca="false">ROUND(IFERROR(ROUND(IF(OR(ISNUMBER(SEARCH("week",C340)),ISNUMBER(SEARCH("minggu",C340))),IFERROR(_xlfn.NUMBERVALUE(SUBSTITUTE(LEFT(TRIM(C340),FIND(" ",TRIM(C340)&amp;" ")-1),",","."),"."),LEFT(SUBSTITUTE(LEFT(TRIM(C340),FIND(" ",TRIM(C340)&amp;" ")-1),",","."),FIND("/",SUBSTITUTE(LEFT(TRIM(C340),FIND(" ",TRIM(C340)&amp;" ")-1),",","."))-1)/MID(SUBSTITUTE(LEFT(TRIM(C340),FIND(" ",TRIM(C340)&amp;" ")-1),",","."),FIND("/",SUBSTITUTE(LEFT(TRIM(C340),FIND(" ",TRIM(C340)&amp;" ")-1),",","."))+1,9))*12/52,IF(ISNUMBER(SEARCH("month",C340)),IFERROR(_xlfn.NUMBERVALUE(SUBSTITUTE(LEFT(TRIM(C340),FIND(" ",TRIM(C340)&amp;" ")-1),",","."),"."),LEFT(SUBSTITUTE(LEFT(TRIM(C340),FIND(" ",TRIM(C340)&amp;" ")-1),",","."),FIND("/",SUBSTITUTE(LEFT(TRIM(C340),FIND(" ",TRIM(C340)&amp;" ")-1),",","."))-1)/MID(SUBSTITUTE(LEFT(TRIM(C340),FIND(" ",TRIM(C340)&amp;" ")-1),",","."),FIND("/",SUBSTITUTE(LEFT(TRIM(C340),FIND(" ",TRIM(C340)&amp;" ")-1),",","."))+1,9)),IF(ISNUMBER(SEARCH("yea",C340)),IFERROR(_xlfn.NUMBERVALUE(SUBSTITUTE(LEFT(TRIM(C340),FIND(" ",TRIM(C340)&amp;" ")-1),",","."),"."),LEFT(SUBSTITUTE(LEFT(TRIM(C340),FIND(" ",TRIM(C340)&amp;" ")-1),",","."),FIND("/",SUBSTITUTE(LEFT(TRIM(C340),FIND(" ",TRIM(C340)&amp;" ")-1),",","."))-1)/MID(SUBSTITUTE(LEFT(TRIM(C340),FIND(" ",TRIM(C340)&amp;" ")-1),",","."),FIND("/",SUBSTITUTE(LEFT(TRIM(C340),FIND(" ",TRIM(C340)&amp;" ")-1),",","."))+1,9))*12,NA()))),0),24)*'Aturan &amp; Tarif'!$B$4,2)</f>
        <v>1362.72</v>
      </c>
      <c r="K340" s="32" t="n">
        <f aca="false">'Aturan &amp; Tarif'!$B$5</f>
        <v>2050</v>
      </c>
      <c r="L340" s="35" t="n">
        <f aca="false">I340+J340+K340</f>
        <v>32112.72</v>
      </c>
      <c r="M340" s="37" t="s">
        <v>846</v>
      </c>
    </row>
    <row r="341" customFormat="false" ht="25.5" hidden="false" customHeight="true" outlineLevel="0" collapsed="false">
      <c r="A341" s="29"/>
      <c r="B341" s="30" t="s">
        <v>1523</v>
      </c>
      <c r="C341" s="31" t="s">
        <v>107</v>
      </c>
      <c r="D341" s="31" t="s">
        <v>108</v>
      </c>
      <c r="E341" s="32" t="n">
        <v>14275</v>
      </c>
      <c r="F341" s="32"/>
      <c r="G341" s="32" t="n">
        <v>150</v>
      </c>
      <c r="H341" s="33" t="n">
        <v>2</v>
      </c>
      <c r="I341" s="34" t="n">
        <f aca="false">E341*H341+N(F341)+N(G341)</f>
        <v>28700</v>
      </c>
      <c r="J341" s="32" t="n">
        <f aca="false">ROUND(IFERROR(ROUND(IF(OR(ISNUMBER(SEARCH("week",C341)),ISNUMBER(SEARCH("minggu",C341))),IFERROR(_xlfn.NUMBERVALUE(SUBSTITUTE(LEFT(TRIM(C341),FIND(" ",TRIM(C341)&amp;" ")-1),",","."),"."),LEFT(SUBSTITUTE(LEFT(TRIM(C341),FIND(" ",TRIM(C341)&amp;" ")-1),",","."),FIND("/",SUBSTITUTE(LEFT(TRIM(C341),FIND(" ",TRIM(C341)&amp;" ")-1),",","."))-1)/MID(SUBSTITUTE(LEFT(TRIM(C341),FIND(" ",TRIM(C341)&amp;" ")-1),",","."),FIND("/",SUBSTITUTE(LEFT(TRIM(C341),FIND(" ",TRIM(C341)&amp;" ")-1),",","."))+1,9))*12/52,IF(ISNUMBER(SEARCH("month",C341)),IFERROR(_xlfn.NUMBERVALUE(SUBSTITUTE(LEFT(TRIM(C341),FIND(" ",TRIM(C341)&amp;" ")-1),",","."),"."),LEFT(SUBSTITUTE(LEFT(TRIM(C341),FIND(" ",TRIM(C341)&amp;" ")-1),",","."),FIND("/",SUBSTITUTE(LEFT(TRIM(C341),FIND(" ",TRIM(C341)&amp;" ")-1),",","."))-1)/MID(SUBSTITUTE(LEFT(TRIM(C341),FIND(" ",TRIM(C341)&amp;" ")-1),",","."),FIND("/",SUBSTITUTE(LEFT(TRIM(C341),FIND(" ",TRIM(C341)&amp;" ")-1),",","."))+1,9)),IF(ISNUMBER(SEARCH("yea",C341)),IFERROR(_xlfn.NUMBERVALUE(SUBSTITUTE(LEFT(TRIM(C341),FIND(" ",TRIM(C341)&amp;" ")-1),",","."),"."),LEFT(SUBSTITUTE(LEFT(TRIM(C341),FIND(" ",TRIM(C341)&amp;" ")-1),",","."),FIND("/",SUBSTITUTE(LEFT(TRIM(C341),FIND(" ",TRIM(C341)&amp;" ")-1),",","."))-1)/MID(SUBSTITUTE(LEFT(TRIM(C341),FIND(" ",TRIM(C341)&amp;" ")-1),",","."),FIND("/",SUBSTITUTE(LEFT(TRIM(C341),FIND(" ",TRIM(C341)&amp;" ")-1),",","."))+1,9))*12,NA()))),0),24)*'Aturan &amp; Tarif'!$B$4,2)</f>
        <v>1362.72</v>
      </c>
      <c r="K341" s="32" t="n">
        <f aca="false">'Aturan &amp; Tarif'!$B$5</f>
        <v>2050</v>
      </c>
      <c r="L341" s="35" t="n">
        <f aca="false">I341+J341+K341</f>
        <v>32112.72</v>
      </c>
      <c r="M341" s="37" t="s">
        <v>846</v>
      </c>
    </row>
    <row r="342" customFormat="false" ht="25.5" hidden="false" customHeight="true" outlineLevel="0" collapsed="false">
      <c r="A342" s="29"/>
      <c r="B342" s="30" t="s">
        <v>1524</v>
      </c>
      <c r="C342" s="31" t="s">
        <v>107</v>
      </c>
      <c r="D342" s="31" t="s">
        <v>108</v>
      </c>
      <c r="E342" s="32" t="n">
        <v>14275</v>
      </c>
      <c r="F342" s="32"/>
      <c r="G342" s="32" t="n">
        <v>150</v>
      </c>
      <c r="H342" s="33" t="n">
        <v>2</v>
      </c>
      <c r="I342" s="34" t="n">
        <f aca="false">E342*H342+N(F342)+N(G342)</f>
        <v>28700</v>
      </c>
      <c r="J342" s="32" t="n">
        <f aca="false">ROUND(IFERROR(ROUND(IF(OR(ISNUMBER(SEARCH("week",C342)),ISNUMBER(SEARCH("minggu",C342))),IFERROR(_xlfn.NUMBERVALUE(SUBSTITUTE(LEFT(TRIM(C342),FIND(" ",TRIM(C342)&amp;" ")-1),",","."),"."),LEFT(SUBSTITUTE(LEFT(TRIM(C342),FIND(" ",TRIM(C342)&amp;" ")-1),",","."),FIND("/",SUBSTITUTE(LEFT(TRIM(C342),FIND(" ",TRIM(C342)&amp;" ")-1),",","."))-1)/MID(SUBSTITUTE(LEFT(TRIM(C342),FIND(" ",TRIM(C342)&amp;" ")-1),",","."),FIND("/",SUBSTITUTE(LEFT(TRIM(C342),FIND(" ",TRIM(C342)&amp;" ")-1),",","."))+1,9))*12/52,IF(ISNUMBER(SEARCH("month",C342)),IFERROR(_xlfn.NUMBERVALUE(SUBSTITUTE(LEFT(TRIM(C342),FIND(" ",TRIM(C342)&amp;" ")-1),",","."),"."),LEFT(SUBSTITUTE(LEFT(TRIM(C342),FIND(" ",TRIM(C342)&amp;" ")-1),",","."),FIND("/",SUBSTITUTE(LEFT(TRIM(C342),FIND(" ",TRIM(C342)&amp;" ")-1),",","."))-1)/MID(SUBSTITUTE(LEFT(TRIM(C342),FIND(" ",TRIM(C342)&amp;" ")-1),",","."),FIND("/",SUBSTITUTE(LEFT(TRIM(C342),FIND(" ",TRIM(C342)&amp;" ")-1),",","."))+1,9)),IF(ISNUMBER(SEARCH("yea",C342)),IFERROR(_xlfn.NUMBERVALUE(SUBSTITUTE(LEFT(TRIM(C342),FIND(" ",TRIM(C342)&amp;" ")-1),",","."),"."),LEFT(SUBSTITUTE(LEFT(TRIM(C342),FIND(" ",TRIM(C342)&amp;" ")-1),",","."),FIND("/",SUBSTITUTE(LEFT(TRIM(C342),FIND(" ",TRIM(C342)&amp;" ")-1),",","."))-1)/MID(SUBSTITUTE(LEFT(TRIM(C342),FIND(" ",TRIM(C342)&amp;" ")-1),",","."),FIND("/",SUBSTITUTE(LEFT(TRIM(C342),FIND(" ",TRIM(C342)&amp;" ")-1),",","."))+1,9))*12,NA()))),0),24)*'Aturan &amp; Tarif'!$B$4,2)</f>
        <v>1362.72</v>
      </c>
      <c r="K342" s="32" t="n">
        <f aca="false">'Aturan &amp; Tarif'!$B$5</f>
        <v>2050</v>
      </c>
      <c r="L342" s="35" t="n">
        <f aca="false">I342+J342+K342</f>
        <v>32112.72</v>
      </c>
      <c r="M342" s="37" t="s">
        <v>846</v>
      </c>
    </row>
    <row r="343" customFormat="false" ht="25.5" hidden="false" customHeight="true" outlineLevel="0" collapsed="false">
      <c r="A343" s="29"/>
      <c r="B343" s="30" t="s">
        <v>1525</v>
      </c>
      <c r="C343" s="31" t="s">
        <v>107</v>
      </c>
      <c r="D343" s="31" t="s">
        <v>108</v>
      </c>
      <c r="E343" s="32" t="n">
        <v>14275</v>
      </c>
      <c r="F343" s="32"/>
      <c r="G343" s="32" t="n">
        <v>150</v>
      </c>
      <c r="H343" s="33" t="n">
        <v>2</v>
      </c>
      <c r="I343" s="34" t="n">
        <f aca="false">E343*H343+N(F343)+N(G343)</f>
        <v>28700</v>
      </c>
      <c r="J343" s="32" t="n">
        <f aca="false">ROUND(IFERROR(ROUND(IF(OR(ISNUMBER(SEARCH("week",C343)),ISNUMBER(SEARCH("minggu",C343))),IFERROR(_xlfn.NUMBERVALUE(SUBSTITUTE(LEFT(TRIM(C343),FIND(" ",TRIM(C343)&amp;" ")-1),",","."),"."),LEFT(SUBSTITUTE(LEFT(TRIM(C343),FIND(" ",TRIM(C343)&amp;" ")-1),",","."),FIND("/",SUBSTITUTE(LEFT(TRIM(C343),FIND(" ",TRIM(C343)&amp;" ")-1),",","."))-1)/MID(SUBSTITUTE(LEFT(TRIM(C343),FIND(" ",TRIM(C343)&amp;" ")-1),",","."),FIND("/",SUBSTITUTE(LEFT(TRIM(C343),FIND(" ",TRIM(C343)&amp;" ")-1),",","."))+1,9))*12/52,IF(ISNUMBER(SEARCH("month",C343)),IFERROR(_xlfn.NUMBERVALUE(SUBSTITUTE(LEFT(TRIM(C343),FIND(" ",TRIM(C343)&amp;" ")-1),",","."),"."),LEFT(SUBSTITUTE(LEFT(TRIM(C343),FIND(" ",TRIM(C343)&amp;" ")-1),",","."),FIND("/",SUBSTITUTE(LEFT(TRIM(C343),FIND(" ",TRIM(C343)&amp;" ")-1),",","."))-1)/MID(SUBSTITUTE(LEFT(TRIM(C343),FIND(" ",TRIM(C343)&amp;" ")-1),",","."),FIND("/",SUBSTITUTE(LEFT(TRIM(C343),FIND(" ",TRIM(C343)&amp;" ")-1),",","."))+1,9)),IF(ISNUMBER(SEARCH("yea",C343)),IFERROR(_xlfn.NUMBERVALUE(SUBSTITUTE(LEFT(TRIM(C343),FIND(" ",TRIM(C343)&amp;" ")-1),",","."),"."),LEFT(SUBSTITUTE(LEFT(TRIM(C343),FIND(" ",TRIM(C343)&amp;" ")-1),",","."),FIND("/",SUBSTITUTE(LEFT(TRIM(C343),FIND(" ",TRIM(C343)&amp;" ")-1),",","."))-1)/MID(SUBSTITUTE(LEFT(TRIM(C343),FIND(" ",TRIM(C343)&amp;" ")-1),",","."),FIND("/",SUBSTITUTE(LEFT(TRIM(C343),FIND(" ",TRIM(C343)&amp;" ")-1),",","."))+1,9))*12,NA()))),0),24)*'Aturan &amp; Tarif'!$B$4,2)</f>
        <v>1362.72</v>
      </c>
      <c r="K343" s="32" t="n">
        <f aca="false">'Aturan &amp; Tarif'!$B$5</f>
        <v>2050</v>
      </c>
      <c r="L343" s="35" t="n">
        <f aca="false">I343+J343+K343</f>
        <v>32112.72</v>
      </c>
      <c r="M343" s="37" t="s">
        <v>846</v>
      </c>
    </row>
    <row r="344" customFormat="false" ht="25.5" hidden="false" customHeight="true" outlineLevel="0" collapsed="false">
      <c r="A344" s="29"/>
      <c r="B344" s="30" t="s">
        <v>1526</v>
      </c>
      <c r="C344" s="31" t="s">
        <v>107</v>
      </c>
      <c r="D344" s="31" t="s">
        <v>108</v>
      </c>
      <c r="E344" s="32" t="n">
        <v>14275</v>
      </c>
      <c r="F344" s="32"/>
      <c r="G344" s="32" t="n">
        <v>150</v>
      </c>
      <c r="H344" s="33" t="n">
        <v>2</v>
      </c>
      <c r="I344" s="34" t="n">
        <f aca="false">E344*H344+N(F344)+N(G344)</f>
        <v>28700</v>
      </c>
      <c r="J344" s="32" t="n">
        <f aca="false">ROUND(IFERROR(ROUND(IF(OR(ISNUMBER(SEARCH("week",C344)),ISNUMBER(SEARCH("minggu",C344))),IFERROR(_xlfn.NUMBERVALUE(SUBSTITUTE(LEFT(TRIM(C344),FIND(" ",TRIM(C344)&amp;" ")-1),",","."),"."),LEFT(SUBSTITUTE(LEFT(TRIM(C344),FIND(" ",TRIM(C344)&amp;" ")-1),",","."),FIND("/",SUBSTITUTE(LEFT(TRIM(C344),FIND(" ",TRIM(C344)&amp;" ")-1),",","."))-1)/MID(SUBSTITUTE(LEFT(TRIM(C344),FIND(" ",TRIM(C344)&amp;" ")-1),",","."),FIND("/",SUBSTITUTE(LEFT(TRIM(C344),FIND(" ",TRIM(C344)&amp;" ")-1),",","."))+1,9))*12/52,IF(ISNUMBER(SEARCH("month",C344)),IFERROR(_xlfn.NUMBERVALUE(SUBSTITUTE(LEFT(TRIM(C344),FIND(" ",TRIM(C344)&amp;" ")-1),",","."),"."),LEFT(SUBSTITUTE(LEFT(TRIM(C344),FIND(" ",TRIM(C344)&amp;" ")-1),",","."),FIND("/",SUBSTITUTE(LEFT(TRIM(C344),FIND(" ",TRIM(C344)&amp;" ")-1),",","."))-1)/MID(SUBSTITUTE(LEFT(TRIM(C344),FIND(" ",TRIM(C344)&amp;" ")-1),",","."),FIND("/",SUBSTITUTE(LEFT(TRIM(C344),FIND(" ",TRIM(C344)&amp;" ")-1),",","."))+1,9)),IF(ISNUMBER(SEARCH("yea",C344)),IFERROR(_xlfn.NUMBERVALUE(SUBSTITUTE(LEFT(TRIM(C344),FIND(" ",TRIM(C344)&amp;" ")-1),",","."),"."),LEFT(SUBSTITUTE(LEFT(TRIM(C344),FIND(" ",TRIM(C344)&amp;" ")-1),",","."),FIND("/",SUBSTITUTE(LEFT(TRIM(C344),FIND(" ",TRIM(C344)&amp;" ")-1),",","."))-1)/MID(SUBSTITUTE(LEFT(TRIM(C344),FIND(" ",TRIM(C344)&amp;" ")-1),",","."),FIND("/",SUBSTITUTE(LEFT(TRIM(C344),FIND(" ",TRIM(C344)&amp;" ")-1),",","."))+1,9))*12,NA()))),0),24)*'Aturan &amp; Tarif'!$B$4,2)</f>
        <v>1362.72</v>
      </c>
      <c r="K344" s="32" t="n">
        <f aca="false">'Aturan &amp; Tarif'!$B$5</f>
        <v>2050</v>
      </c>
      <c r="L344" s="35" t="n">
        <f aca="false">I344+J344+K344</f>
        <v>32112.72</v>
      </c>
      <c r="M344" s="37" t="s">
        <v>846</v>
      </c>
    </row>
    <row r="345" customFormat="false" ht="25.5" hidden="false" customHeight="true" outlineLevel="0" collapsed="false">
      <c r="A345" s="29"/>
      <c r="B345" s="30" t="s">
        <v>1527</v>
      </c>
      <c r="C345" s="31" t="s">
        <v>107</v>
      </c>
      <c r="D345" s="31" t="s">
        <v>108</v>
      </c>
      <c r="E345" s="32" t="n">
        <v>14275</v>
      </c>
      <c r="F345" s="32"/>
      <c r="G345" s="32" t="n">
        <v>150</v>
      </c>
      <c r="H345" s="33" t="n">
        <v>2</v>
      </c>
      <c r="I345" s="34" t="n">
        <f aca="false">E345*H345+N(F345)+N(G345)</f>
        <v>28700</v>
      </c>
      <c r="J345" s="32" t="n">
        <f aca="false">ROUND(IFERROR(ROUND(IF(OR(ISNUMBER(SEARCH("week",C345)),ISNUMBER(SEARCH("minggu",C345))),IFERROR(_xlfn.NUMBERVALUE(SUBSTITUTE(LEFT(TRIM(C345),FIND(" ",TRIM(C345)&amp;" ")-1),",","."),"."),LEFT(SUBSTITUTE(LEFT(TRIM(C345),FIND(" ",TRIM(C345)&amp;" ")-1),",","."),FIND("/",SUBSTITUTE(LEFT(TRIM(C345),FIND(" ",TRIM(C345)&amp;" ")-1),",","."))-1)/MID(SUBSTITUTE(LEFT(TRIM(C345),FIND(" ",TRIM(C345)&amp;" ")-1),",","."),FIND("/",SUBSTITUTE(LEFT(TRIM(C345),FIND(" ",TRIM(C345)&amp;" ")-1),",","."))+1,9))*12/52,IF(ISNUMBER(SEARCH("month",C345)),IFERROR(_xlfn.NUMBERVALUE(SUBSTITUTE(LEFT(TRIM(C345),FIND(" ",TRIM(C345)&amp;" ")-1),",","."),"."),LEFT(SUBSTITUTE(LEFT(TRIM(C345),FIND(" ",TRIM(C345)&amp;" ")-1),",","."),FIND("/",SUBSTITUTE(LEFT(TRIM(C345),FIND(" ",TRIM(C345)&amp;" ")-1),",","."))-1)/MID(SUBSTITUTE(LEFT(TRIM(C345),FIND(" ",TRIM(C345)&amp;" ")-1),",","."),FIND("/",SUBSTITUTE(LEFT(TRIM(C345),FIND(" ",TRIM(C345)&amp;" ")-1),",","."))+1,9)),IF(ISNUMBER(SEARCH("yea",C345)),IFERROR(_xlfn.NUMBERVALUE(SUBSTITUTE(LEFT(TRIM(C345),FIND(" ",TRIM(C345)&amp;" ")-1),",","."),"."),LEFT(SUBSTITUTE(LEFT(TRIM(C345),FIND(" ",TRIM(C345)&amp;" ")-1),",","."),FIND("/",SUBSTITUTE(LEFT(TRIM(C345),FIND(" ",TRIM(C345)&amp;" ")-1),",","."))-1)/MID(SUBSTITUTE(LEFT(TRIM(C345),FIND(" ",TRIM(C345)&amp;" ")-1),",","."),FIND("/",SUBSTITUTE(LEFT(TRIM(C345),FIND(" ",TRIM(C345)&amp;" ")-1),",","."))+1,9))*12,NA()))),0),24)*'Aturan &amp; Tarif'!$B$4,2)</f>
        <v>1362.72</v>
      </c>
      <c r="K345" s="32" t="n">
        <f aca="false">'Aturan &amp; Tarif'!$B$5</f>
        <v>2050</v>
      </c>
      <c r="L345" s="35" t="n">
        <f aca="false">I345+J345+K345</f>
        <v>32112.72</v>
      </c>
      <c r="M345" s="37" t="s">
        <v>846</v>
      </c>
    </row>
    <row r="346" customFormat="false" ht="25.5" hidden="false" customHeight="true" outlineLevel="0" collapsed="false">
      <c r="A346" s="29"/>
      <c r="B346" s="30" t="s">
        <v>1528</v>
      </c>
      <c r="C346" s="31" t="s">
        <v>107</v>
      </c>
      <c r="D346" s="31" t="s">
        <v>108</v>
      </c>
      <c r="E346" s="32" t="n">
        <v>14275</v>
      </c>
      <c r="F346" s="32"/>
      <c r="G346" s="32" t="n">
        <v>150</v>
      </c>
      <c r="H346" s="33" t="n">
        <v>2</v>
      </c>
      <c r="I346" s="34" t="n">
        <f aca="false">E346*H346+N(F346)+N(G346)</f>
        <v>28700</v>
      </c>
      <c r="J346" s="32" t="n">
        <f aca="false">ROUND(IFERROR(ROUND(IF(OR(ISNUMBER(SEARCH("week",C346)),ISNUMBER(SEARCH("minggu",C346))),IFERROR(_xlfn.NUMBERVALUE(SUBSTITUTE(LEFT(TRIM(C346),FIND(" ",TRIM(C346)&amp;" ")-1),",","."),"."),LEFT(SUBSTITUTE(LEFT(TRIM(C346),FIND(" ",TRIM(C346)&amp;" ")-1),",","."),FIND("/",SUBSTITUTE(LEFT(TRIM(C346),FIND(" ",TRIM(C346)&amp;" ")-1),",","."))-1)/MID(SUBSTITUTE(LEFT(TRIM(C346),FIND(" ",TRIM(C346)&amp;" ")-1),",","."),FIND("/",SUBSTITUTE(LEFT(TRIM(C346),FIND(" ",TRIM(C346)&amp;" ")-1),",","."))+1,9))*12/52,IF(ISNUMBER(SEARCH("month",C346)),IFERROR(_xlfn.NUMBERVALUE(SUBSTITUTE(LEFT(TRIM(C346),FIND(" ",TRIM(C346)&amp;" ")-1),",","."),"."),LEFT(SUBSTITUTE(LEFT(TRIM(C346),FIND(" ",TRIM(C346)&amp;" ")-1),",","."),FIND("/",SUBSTITUTE(LEFT(TRIM(C346),FIND(" ",TRIM(C346)&amp;" ")-1),",","."))-1)/MID(SUBSTITUTE(LEFT(TRIM(C346),FIND(" ",TRIM(C346)&amp;" ")-1),",","."),FIND("/",SUBSTITUTE(LEFT(TRIM(C346),FIND(" ",TRIM(C346)&amp;" ")-1),",","."))+1,9)),IF(ISNUMBER(SEARCH("yea",C346)),IFERROR(_xlfn.NUMBERVALUE(SUBSTITUTE(LEFT(TRIM(C346),FIND(" ",TRIM(C346)&amp;" ")-1),",","."),"."),LEFT(SUBSTITUTE(LEFT(TRIM(C346),FIND(" ",TRIM(C346)&amp;" ")-1),",","."),FIND("/",SUBSTITUTE(LEFT(TRIM(C346),FIND(" ",TRIM(C346)&amp;" ")-1),",","."))-1)/MID(SUBSTITUTE(LEFT(TRIM(C346),FIND(" ",TRIM(C346)&amp;" ")-1),",","."),FIND("/",SUBSTITUTE(LEFT(TRIM(C346),FIND(" ",TRIM(C346)&amp;" ")-1),",","."))+1,9))*12,NA()))),0),24)*'Aturan &amp; Tarif'!$B$4,2)</f>
        <v>1362.72</v>
      </c>
      <c r="K346" s="32" t="n">
        <f aca="false">'Aturan &amp; Tarif'!$B$5</f>
        <v>2050</v>
      </c>
      <c r="L346" s="35" t="n">
        <f aca="false">I346+J346+K346</f>
        <v>32112.72</v>
      </c>
      <c r="M346" s="37" t="s">
        <v>846</v>
      </c>
    </row>
    <row r="347" customFormat="false" ht="25.5" hidden="false" customHeight="true" outlineLevel="0" collapsed="false">
      <c r="A347" s="29"/>
      <c r="B347" s="30" t="s">
        <v>1529</v>
      </c>
      <c r="C347" s="31" t="s">
        <v>107</v>
      </c>
      <c r="D347" s="31" t="s">
        <v>108</v>
      </c>
      <c r="E347" s="32" t="n">
        <v>14275</v>
      </c>
      <c r="F347" s="32"/>
      <c r="G347" s="32" t="n">
        <v>150</v>
      </c>
      <c r="H347" s="33" t="n">
        <v>2</v>
      </c>
      <c r="I347" s="34" t="n">
        <f aca="false">E347*H347+N(F347)+N(G347)</f>
        <v>28700</v>
      </c>
      <c r="J347" s="32" t="n">
        <f aca="false">ROUND(IFERROR(ROUND(IF(OR(ISNUMBER(SEARCH("week",C347)),ISNUMBER(SEARCH("minggu",C347))),IFERROR(_xlfn.NUMBERVALUE(SUBSTITUTE(LEFT(TRIM(C347),FIND(" ",TRIM(C347)&amp;" ")-1),",","."),"."),LEFT(SUBSTITUTE(LEFT(TRIM(C347),FIND(" ",TRIM(C347)&amp;" ")-1),",","."),FIND("/",SUBSTITUTE(LEFT(TRIM(C347),FIND(" ",TRIM(C347)&amp;" ")-1),",","."))-1)/MID(SUBSTITUTE(LEFT(TRIM(C347),FIND(" ",TRIM(C347)&amp;" ")-1),",","."),FIND("/",SUBSTITUTE(LEFT(TRIM(C347),FIND(" ",TRIM(C347)&amp;" ")-1),",","."))+1,9))*12/52,IF(ISNUMBER(SEARCH("month",C347)),IFERROR(_xlfn.NUMBERVALUE(SUBSTITUTE(LEFT(TRIM(C347),FIND(" ",TRIM(C347)&amp;" ")-1),",","."),"."),LEFT(SUBSTITUTE(LEFT(TRIM(C347),FIND(" ",TRIM(C347)&amp;" ")-1),",","."),FIND("/",SUBSTITUTE(LEFT(TRIM(C347),FIND(" ",TRIM(C347)&amp;" ")-1),",","."))-1)/MID(SUBSTITUTE(LEFT(TRIM(C347),FIND(" ",TRIM(C347)&amp;" ")-1),",","."),FIND("/",SUBSTITUTE(LEFT(TRIM(C347),FIND(" ",TRIM(C347)&amp;" ")-1),",","."))+1,9)),IF(ISNUMBER(SEARCH("yea",C347)),IFERROR(_xlfn.NUMBERVALUE(SUBSTITUTE(LEFT(TRIM(C347),FIND(" ",TRIM(C347)&amp;" ")-1),",","."),"."),LEFT(SUBSTITUTE(LEFT(TRIM(C347),FIND(" ",TRIM(C347)&amp;" ")-1),",","."),FIND("/",SUBSTITUTE(LEFT(TRIM(C347),FIND(" ",TRIM(C347)&amp;" ")-1),",","."))-1)/MID(SUBSTITUTE(LEFT(TRIM(C347),FIND(" ",TRIM(C347)&amp;" ")-1),",","."),FIND("/",SUBSTITUTE(LEFT(TRIM(C347),FIND(" ",TRIM(C347)&amp;" ")-1),",","."))+1,9))*12,NA()))),0),24)*'Aturan &amp; Tarif'!$B$4,2)</f>
        <v>1362.72</v>
      </c>
      <c r="K347" s="32" t="n">
        <f aca="false">'Aturan &amp; Tarif'!$B$5</f>
        <v>2050</v>
      </c>
      <c r="L347" s="35" t="n">
        <f aca="false">I347+J347+K347</f>
        <v>32112.72</v>
      </c>
      <c r="M347" s="37" t="s">
        <v>846</v>
      </c>
    </row>
    <row r="348" customFormat="false" ht="14.25" hidden="false" customHeight="true" outlineLevel="0" collapsed="false">
      <c r="A348" s="29"/>
      <c r="B348" s="30" t="s">
        <v>1530</v>
      </c>
      <c r="C348" s="31" t="s">
        <v>107</v>
      </c>
      <c r="D348" s="31" t="s">
        <v>108</v>
      </c>
      <c r="E348" s="32" t="n">
        <v>14275</v>
      </c>
      <c r="F348" s="32"/>
      <c r="G348" s="32" t="n">
        <v>150</v>
      </c>
      <c r="H348" s="33" t="n">
        <v>2</v>
      </c>
      <c r="I348" s="34" t="n">
        <f aca="false">E348*H348+N(F348)+N(G348)</f>
        <v>28700</v>
      </c>
      <c r="J348" s="32" t="n">
        <f aca="false">ROUND(IFERROR(ROUND(IF(OR(ISNUMBER(SEARCH("week",C348)),ISNUMBER(SEARCH("minggu",C348))),IFERROR(_xlfn.NUMBERVALUE(SUBSTITUTE(LEFT(TRIM(C348),FIND(" ",TRIM(C348)&amp;" ")-1),",","."),"."),LEFT(SUBSTITUTE(LEFT(TRIM(C348),FIND(" ",TRIM(C348)&amp;" ")-1),",","."),FIND("/",SUBSTITUTE(LEFT(TRIM(C348),FIND(" ",TRIM(C348)&amp;" ")-1),",","."))-1)/MID(SUBSTITUTE(LEFT(TRIM(C348),FIND(" ",TRIM(C348)&amp;" ")-1),",","."),FIND("/",SUBSTITUTE(LEFT(TRIM(C348),FIND(" ",TRIM(C348)&amp;" ")-1),",","."))+1,9))*12/52,IF(ISNUMBER(SEARCH("month",C348)),IFERROR(_xlfn.NUMBERVALUE(SUBSTITUTE(LEFT(TRIM(C348),FIND(" ",TRIM(C348)&amp;" ")-1),",","."),"."),LEFT(SUBSTITUTE(LEFT(TRIM(C348),FIND(" ",TRIM(C348)&amp;" ")-1),",","."),FIND("/",SUBSTITUTE(LEFT(TRIM(C348),FIND(" ",TRIM(C348)&amp;" ")-1),",","."))-1)/MID(SUBSTITUTE(LEFT(TRIM(C348),FIND(" ",TRIM(C348)&amp;" ")-1),",","."),FIND("/",SUBSTITUTE(LEFT(TRIM(C348),FIND(" ",TRIM(C348)&amp;" ")-1),",","."))+1,9)),IF(ISNUMBER(SEARCH("yea",C348)),IFERROR(_xlfn.NUMBERVALUE(SUBSTITUTE(LEFT(TRIM(C348),FIND(" ",TRIM(C348)&amp;" ")-1),",","."),"."),LEFT(SUBSTITUTE(LEFT(TRIM(C348),FIND(" ",TRIM(C348)&amp;" ")-1),",","."),FIND("/",SUBSTITUTE(LEFT(TRIM(C348),FIND(" ",TRIM(C348)&amp;" ")-1),",","."))-1)/MID(SUBSTITUTE(LEFT(TRIM(C348),FIND(" ",TRIM(C348)&amp;" ")-1),",","."),FIND("/",SUBSTITUTE(LEFT(TRIM(C348),FIND(" ",TRIM(C348)&amp;" ")-1),",","."))+1,9))*12,NA()))),0),24)*'Aturan &amp; Tarif'!$B$4,2)</f>
        <v>1362.72</v>
      </c>
      <c r="K348" s="32" t="n">
        <f aca="false">'Aturan &amp; Tarif'!$B$5</f>
        <v>2050</v>
      </c>
      <c r="L348" s="35" t="n">
        <f aca="false">I348+J348+K348</f>
        <v>32112.72</v>
      </c>
      <c r="M348" s="37" t="s">
        <v>846</v>
      </c>
    </row>
    <row r="349" customFormat="false" ht="14.25" hidden="false" customHeight="true" outlineLevel="0" collapsed="false">
      <c r="A349" s="29"/>
      <c r="B349" s="30" t="s">
        <v>1531</v>
      </c>
      <c r="C349" s="31" t="s">
        <v>107</v>
      </c>
      <c r="D349" s="31" t="s">
        <v>108</v>
      </c>
      <c r="E349" s="32" t="n">
        <v>14275</v>
      </c>
      <c r="F349" s="32"/>
      <c r="G349" s="32" t="n">
        <v>150</v>
      </c>
      <c r="H349" s="33" t="n">
        <v>2</v>
      </c>
      <c r="I349" s="34" t="n">
        <f aca="false">E349*H349+N(F349)+N(G349)</f>
        <v>28700</v>
      </c>
      <c r="J349" s="32" t="n">
        <f aca="false">ROUND(IFERROR(ROUND(IF(OR(ISNUMBER(SEARCH("week",C349)),ISNUMBER(SEARCH("minggu",C349))),IFERROR(_xlfn.NUMBERVALUE(SUBSTITUTE(LEFT(TRIM(C349),FIND(" ",TRIM(C349)&amp;" ")-1),",","."),"."),LEFT(SUBSTITUTE(LEFT(TRIM(C349),FIND(" ",TRIM(C349)&amp;" ")-1),",","."),FIND("/",SUBSTITUTE(LEFT(TRIM(C349),FIND(" ",TRIM(C349)&amp;" ")-1),",","."))-1)/MID(SUBSTITUTE(LEFT(TRIM(C349),FIND(" ",TRIM(C349)&amp;" ")-1),",","."),FIND("/",SUBSTITUTE(LEFT(TRIM(C349),FIND(" ",TRIM(C349)&amp;" ")-1),",","."))+1,9))*12/52,IF(ISNUMBER(SEARCH("month",C349)),IFERROR(_xlfn.NUMBERVALUE(SUBSTITUTE(LEFT(TRIM(C349),FIND(" ",TRIM(C349)&amp;" ")-1),",","."),"."),LEFT(SUBSTITUTE(LEFT(TRIM(C349),FIND(" ",TRIM(C349)&amp;" ")-1),",","."),FIND("/",SUBSTITUTE(LEFT(TRIM(C349),FIND(" ",TRIM(C349)&amp;" ")-1),",","."))-1)/MID(SUBSTITUTE(LEFT(TRIM(C349),FIND(" ",TRIM(C349)&amp;" ")-1),",","."),FIND("/",SUBSTITUTE(LEFT(TRIM(C349),FIND(" ",TRIM(C349)&amp;" ")-1),",","."))+1,9)),IF(ISNUMBER(SEARCH("yea",C349)),IFERROR(_xlfn.NUMBERVALUE(SUBSTITUTE(LEFT(TRIM(C349),FIND(" ",TRIM(C349)&amp;" ")-1),",","."),"."),LEFT(SUBSTITUTE(LEFT(TRIM(C349),FIND(" ",TRIM(C349)&amp;" ")-1),",","."),FIND("/",SUBSTITUTE(LEFT(TRIM(C349),FIND(" ",TRIM(C349)&amp;" ")-1),",","."))-1)/MID(SUBSTITUTE(LEFT(TRIM(C349),FIND(" ",TRIM(C349)&amp;" ")-1),",","."),FIND("/",SUBSTITUTE(LEFT(TRIM(C349),FIND(" ",TRIM(C349)&amp;" ")-1),",","."))+1,9))*12,NA()))),0),24)*'Aturan &amp; Tarif'!$B$4,2)</f>
        <v>1362.72</v>
      </c>
      <c r="K349" s="32" t="n">
        <f aca="false">'Aturan &amp; Tarif'!$B$5</f>
        <v>2050</v>
      </c>
      <c r="L349" s="35" t="n">
        <f aca="false">I349+J349+K349</f>
        <v>32112.72</v>
      </c>
      <c r="M349" s="37" t="s">
        <v>846</v>
      </c>
    </row>
    <row r="350" customFormat="false" ht="14.25" hidden="false" customHeight="true" outlineLevel="0" collapsed="false">
      <c r="A350" s="29"/>
      <c r="B350" s="30" t="s">
        <v>597</v>
      </c>
      <c r="C350" s="31" t="s">
        <v>107</v>
      </c>
      <c r="D350" s="31" t="s">
        <v>108</v>
      </c>
      <c r="E350" s="32" t="n">
        <v>14275</v>
      </c>
      <c r="F350" s="32"/>
      <c r="G350" s="32" t="n">
        <v>150</v>
      </c>
      <c r="H350" s="33" t="n">
        <v>2</v>
      </c>
      <c r="I350" s="34" t="n">
        <f aca="false">E350*H350+N(F350)+N(G350)</f>
        <v>28700</v>
      </c>
      <c r="J350" s="32" t="n">
        <f aca="false">ROUND(IFERROR(ROUND(IF(OR(ISNUMBER(SEARCH("week",C350)),ISNUMBER(SEARCH("minggu",C350))),IFERROR(_xlfn.NUMBERVALUE(SUBSTITUTE(LEFT(TRIM(C350),FIND(" ",TRIM(C350)&amp;" ")-1),",","."),"."),LEFT(SUBSTITUTE(LEFT(TRIM(C350),FIND(" ",TRIM(C350)&amp;" ")-1),",","."),FIND("/",SUBSTITUTE(LEFT(TRIM(C350),FIND(" ",TRIM(C350)&amp;" ")-1),",","."))-1)/MID(SUBSTITUTE(LEFT(TRIM(C350),FIND(" ",TRIM(C350)&amp;" ")-1),",","."),FIND("/",SUBSTITUTE(LEFT(TRIM(C350),FIND(" ",TRIM(C350)&amp;" ")-1),",","."))+1,9))*12/52,IF(ISNUMBER(SEARCH("month",C350)),IFERROR(_xlfn.NUMBERVALUE(SUBSTITUTE(LEFT(TRIM(C350),FIND(" ",TRIM(C350)&amp;" ")-1),",","."),"."),LEFT(SUBSTITUTE(LEFT(TRIM(C350),FIND(" ",TRIM(C350)&amp;" ")-1),",","."),FIND("/",SUBSTITUTE(LEFT(TRIM(C350),FIND(" ",TRIM(C350)&amp;" ")-1),",","."))-1)/MID(SUBSTITUTE(LEFT(TRIM(C350),FIND(" ",TRIM(C350)&amp;" ")-1),",","."),FIND("/",SUBSTITUTE(LEFT(TRIM(C350),FIND(" ",TRIM(C350)&amp;" ")-1),",","."))+1,9)),IF(ISNUMBER(SEARCH("yea",C350)),IFERROR(_xlfn.NUMBERVALUE(SUBSTITUTE(LEFT(TRIM(C350),FIND(" ",TRIM(C350)&amp;" ")-1),",","."),"."),LEFT(SUBSTITUTE(LEFT(TRIM(C350),FIND(" ",TRIM(C350)&amp;" ")-1),",","."),FIND("/",SUBSTITUTE(LEFT(TRIM(C350),FIND(" ",TRIM(C350)&amp;" ")-1),",","."))-1)/MID(SUBSTITUTE(LEFT(TRIM(C350),FIND(" ",TRIM(C350)&amp;" ")-1),",","."),FIND("/",SUBSTITUTE(LEFT(TRIM(C350),FIND(" ",TRIM(C350)&amp;" ")-1),",","."))+1,9))*12,NA()))),0),24)*'Aturan &amp; Tarif'!$B$4,2)</f>
        <v>1362.72</v>
      </c>
      <c r="K350" s="32" t="n">
        <f aca="false">'Aturan &amp; Tarif'!$B$5</f>
        <v>2050</v>
      </c>
      <c r="L350" s="35" t="n">
        <f aca="false">I350+J350+K350</f>
        <v>32112.72</v>
      </c>
      <c r="M350" s="37" t="s">
        <v>1532</v>
      </c>
    </row>
    <row r="351" customFormat="false" ht="25.5" hidden="false" customHeight="true" outlineLevel="0" collapsed="false">
      <c r="A351" s="29"/>
      <c r="B351" s="30" t="s">
        <v>1533</v>
      </c>
      <c r="C351" s="31" t="s">
        <v>107</v>
      </c>
      <c r="D351" s="31" t="s">
        <v>108</v>
      </c>
      <c r="E351" s="32" t="n">
        <v>14275</v>
      </c>
      <c r="F351" s="32"/>
      <c r="G351" s="32" t="n">
        <v>150</v>
      </c>
      <c r="H351" s="33" t="n">
        <v>2</v>
      </c>
      <c r="I351" s="34" t="n">
        <f aca="false">E351*H351+N(F351)+N(G351)</f>
        <v>28700</v>
      </c>
      <c r="J351" s="32" t="n">
        <f aca="false">ROUND(IFERROR(ROUND(IF(OR(ISNUMBER(SEARCH("week",C351)),ISNUMBER(SEARCH("minggu",C351))),IFERROR(_xlfn.NUMBERVALUE(SUBSTITUTE(LEFT(TRIM(C351),FIND(" ",TRIM(C351)&amp;" ")-1),",","."),"."),LEFT(SUBSTITUTE(LEFT(TRIM(C351),FIND(" ",TRIM(C351)&amp;" ")-1),",","."),FIND("/",SUBSTITUTE(LEFT(TRIM(C351),FIND(" ",TRIM(C351)&amp;" ")-1),",","."))-1)/MID(SUBSTITUTE(LEFT(TRIM(C351),FIND(" ",TRIM(C351)&amp;" ")-1),",","."),FIND("/",SUBSTITUTE(LEFT(TRIM(C351),FIND(" ",TRIM(C351)&amp;" ")-1),",","."))+1,9))*12/52,IF(ISNUMBER(SEARCH("month",C351)),IFERROR(_xlfn.NUMBERVALUE(SUBSTITUTE(LEFT(TRIM(C351),FIND(" ",TRIM(C351)&amp;" ")-1),",","."),"."),LEFT(SUBSTITUTE(LEFT(TRIM(C351),FIND(" ",TRIM(C351)&amp;" ")-1),",","."),FIND("/",SUBSTITUTE(LEFT(TRIM(C351),FIND(" ",TRIM(C351)&amp;" ")-1),",","."))-1)/MID(SUBSTITUTE(LEFT(TRIM(C351),FIND(" ",TRIM(C351)&amp;" ")-1),",","."),FIND("/",SUBSTITUTE(LEFT(TRIM(C351),FIND(" ",TRIM(C351)&amp;" ")-1),",","."))+1,9)),IF(ISNUMBER(SEARCH("yea",C351)),IFERROR(_xlfn.NUMBERVALUE(SUBSTITUTE(LEFT(TRIM(C351),FIND(" ",TRIM(C351)&amp;" ")-1),",","."),"."),LEFT(SUBSTITUTE(LEFT(TRIM(C351),FIND(" ",TRIM(C351)&amp;" ")-1),",","."),FIND("/",SUBSTITUTE(LEFT(TRIM(C351),FIND(" ",TRIM(C351)&amp;" ")-1),",","."))-1)/MID(SUBSTITUTE(LEFT(TRIM(C351),FIND(" ",TRIM(C351)&amp;" ")-1),",","."),FIND("/",SUBSTITUTE(LEFT(TRIM(C351),FIND(" ",TRIM(C351)&amp;" ")-1),",","."))+1,9))*12,NA()))),0),24)*'Aturan &amp; Tarif'!$B$4,2)</f>
        <v>1362.72</v>
      </c>
      <c r="K351" s="32" t="n">
        <f aca="false">'Aturan &amp; Tarif'!$B$5</f>
        <v>2050</v>
      </c>
      <c r="L351" s="35" t="n">
        <f aca="false">I351+J351+K351</f>
        <v>32112.72</v>
      </c>
      <c r="M351" s="37" t="s">
        <v>846</v>
      </c>
    </row>
    <row r="352" customFormat="false" ht="14.25" hidden="false" customHeight="true" outlineLevel="0" collapsed="false">
      <c r="A352" s="29"/>
      <c r="B352" s="30" t="s">
        <v>1534</v>
      </c>
      <c r="C352" s="31" t="s">
        <v>107</v>
      </c>
      <c r="D352" s="31" t="s">
        <v>108</v>
      </c>
      <c r="E352" s="32" t="n">
        <v>25750</v>
      </c>
      <c r="F352" s="32"/>
      <c r="G352" s="32" t="n">
        <v>150</v>
      </c>
      <c r="H352" s="33" t="n">
        <v>2</v>
      </c>
      <c r="I352" s="34" t="n">
        <f aca="false">E352*H352+N(F352)+N(G352)</f>
        <v>51650</v>
      </c>
      <c r="J352" s="32" t="n">
        <f aca="false">ROUND(IFERROR(ROUND(IF(OR(ISNUMBER(SEARCH("week",C352)),ISNUMBER(SEARCH("minggu",C352))),IFERROR(_xlfn.NUMBERVALUE(SUBSTITUTE(LEFT(TRIM(C352),FIND(" ",TRIM(C352)&amp;" ")-1),",","."),"."),LEFT(SUBSTITUTE(LEFT(TRIM(C352),FIND(" ",TRIM(C352)&amp;" ")-1),",","."),FIND("/",SUBSTITUTE(LEFT(TRIM(C352),FIND(" ",TRIM(C352)&amp;" ")-1),",","."))-1)/MID(SUBSTITUTE(LEFT(TRIM(C352),FIND(" ",TRIM(C352)&amp;" ")-1),",","."),FIND("/",SUBSTITUTE(LEFT(TRIM(C352),FIND(" ",TRIM(C352)&amp;" ")-1),",","."))+1,9))*12/52,IF(ISNUMBER(SEARCH("month",C352)),IFERROR(_xlfn.NUMBERVALUE(SUBSTITUTE(LEFT(TRIM(C352),FIND(" ",TRIM(C352)&amp;" ")-1),",","."),"."),LEFT(SUBSTITUTE(LEFT(TRIM(C352),FIND(" ",TRIM(C352)&amp;" ")-1),",","."),FIND("/",SUBSTITUTE(LEFT(TRIM(C352),FIND(" ",TRIM(C352)&amp;" ")-1),",","."))-1)/MID(SUBSTITUTE(LEFT(TRIM(C352),FIND(" ",TRIM(C352)&amp;" ")-1),",","."),FIND("/",SUBSTITUTE(LEFT(TRIM(C352),FIND(" ",TRIM(C352)&amp;" ")-1),",","."))+1,9)),IF(ISNUMBER(SEARCH("yea",C352)),IFERROR(_xlfn.NUMBERVALUE(SUBSTITUTE(LEFT(TRIM(C352),FIND(" ",TRIM(C352)&amp;" ")-1),",","."),"."),LEFT(SUBSTITUTE(LEFT(TRIM(C352),FIND(" ",TRIM(C352)&amp;" ")-1),",","."),FIND("/",SUBSTITUTE(LEFT(TRIM(C352),FIND(" ",TRIM(C352)&amp;" ")-1),",","."))-1)/MID(SUBSTITUTE(LEFT(TRIM(C352),FIND(" ",TRIM(C352)&amp;" ")-1),",","."),FIND("/",SUBSTITUTE(LEFT(TRIM(C352),FIND(" ",TRIM(C352)&amp;" ")-1),",","."))+1,9))*12,NA()))),0),24)*'Aturan &amp; Tarif'!$B$4,2)</f>
        <v>1362.72</v>
      </c>
      <c r="K352" s="32" t="n">
        <f aca="false">'Aturan &amp; Tarif'!$B$5</f>
        <v>2050</v>
      </c>
      <c r="L352" s="35" t="n">
        <f aca="false">I352+J352+K352</f>
        <v>55062.72</v>
      </c>
      <c r="M352" s="37" t="s">
        <v>1535</v>
      </c>
    </row>
    <row r="353" customFormat="false" ht="25.5" hidden="false" customHeight="true" outlineLevel="0" collapsed="false">
      <c r="A353" s="29"/>
      <c r="B353" s="30" t="s">
        <v>1536</v>
      </c>
      <c r="C353" s="31" t="s">
        <v>107</v>
      </c>
      <c r="D353" s="31" t="s">
        <v>108</v>
      </c>
      <c r="E353" s="32" t="n">
        <v>12425</v>
      </c>
      <c r="F353" s="32"/>
      <c r="G353" s="32" t="n">
        <v>150</v>
      </c>
      <c r="H353" s="33" t="n">
        <v>2</v>
      </c>
      <c r="I353" s="34" t="n">
        <f aca="false">E353*H353+N(F353)+N(G353)</f>
        <v>25000</v>
      </c>
      <c r="J353" s="32" t="n">
        <f aca="false">ROUND(IFERROR(ROUND(IF(OR(ISNUMBER(SEARCH("week",C353)),ISNUMBER(SEARCH("minggu",C353))),IFERROR(_xlfn.NUMBERVALUE(SUBSTITUTE(LEFT(TRIM(C353),FIND(" ",TRIM(C353)&amp;" ")-1),",","."),"."),LEFT(SUBSTITUTE(LEFT(TRIM(C353),FIND(" ",TRIM(C353)&amp;" ")-1),",","."),FIND("/",SUBSTITUTE(LEFT(TRIM(C353),FIND(" ",TRIM(C353)&amp;" ")-1),",","."))-1)/MID(SUBSTITUTE(LEFT(TRIM(C353),FIND(" ",TRIM(C353)&amp;" ")-1),",","."),FIND("/",SUBSTITUTE(LEFT(TRIM(C353),FIND(" ",TRIM(C353)&amp;" ")-1),",","."))+1,9))*12/52,IF(ISNUMBER(SEARCH("month",C353)),IFERROR(_xlfn.NUMBERVALUE(SUBSTITUTE(LEFT(TRIM(C353),FIND(" ",TRIM(C353)&amp;" ")-1),",","."),"."),LEFT(SUBSTITUTE(LEFT(TRIM(C353),FIND(" ",TRIM(C353)&amp;" ")-1),",","."),FIND("/",SUBSTITUTE(LEFT(TRIM(C353),FIND(" ",TRIM(C353)&amp;" ")-1),",","."))-1)/MID(SUBSTITUTE(LEFT(TRIM(C353),FIND(" ",TRIM(C353)&amp;" ")-1),",","."),FIND("/",SUBSTITUTE(LEFT(TRIM(C353),FIND(" ",TRIM(C353)&amp;" ")-1),",","."))+1,9)),IF(ISNUMBER(SEARCH("yea",C353)),IFERROR(_xlfn.NUMBERVALUE(SUBSTITUTE(LEFT(TRIM(C353),FIND(" ",TRIM(C353)&amp;" ")-1),",","."),"."),LEFT(SUBSTITUTE(LEFT(TRIM(C353),FIND(" ",TRIM(C353)&amp;" ")-1),",","."),FIND("/",SUBSTITUTE(LEFT(TRIM(C353),FIND(" ",TRIM(C353)&amp;" ")-1),",","."))-1)/MID(SUBSTITUTE(LEFT(TRIM(C353),FIND(" ",TRIM(C353)&amp;" ")-1),",","."),FIND("/",SUBSTITUTE(LEFT(TRIM(C353),FIND(" ",TRIM(C353)&amp;" ")-1),",","."))+1,9))*12,NA()))),0),24)*'Aturan &amp; Tarif'!$B$4,2)</f>
        <v>1362.72</v>
      </c>
      <c r="K353" s="32" t="n">
        <f aca="false">'Aturan &amp; Tarif'!$B$5</f>
        <v>2050</v>
      </c>
      <c r="L353" s="35" t="n">
        <f aca="false">I353+J353+K353</f>
        <v>28412.72</v>
      </c>
      <c r="M353" s="37" t="s">
        <v>846</v>
      </c>
    </row>
    <row r="354" customFormat="false" ht="14.25" hidden="false" customHeight="true" outlineLevel="0" collapsed="false">
      <c r="A354" s="29"/>
      <c r="B354" s="30" t="s">
        <v>1537</v>
      </c>
      <c r="C354" s="31" t="s">
        <v>107</v>
      </c>
      <c r="D354" s="31" t="s">
        <v>108</v>
      </c>
      <c r="E354" s="32" t="n">
        <v>12425</v>
      </c>
      <c r="F354" s="32"/>
      <c r="G354" s="32" t="n">
        <v>150</v>
      </c>
      <c r="H354" s="33" t="n">
        <v>2</v>
      </c>
      <c r="I354" s="34" t="n">
        <f aca="false">E354*H354+N(F354)+N(G354)</f>
        <v>25000</v>
      </c>
      <c r="J354" s="32" t="n">
        <f aca="false">ROUND(IFERROR(ROUND(IF(OR(ISNUMBER(SEARCH("week",C354)),ISNUMBER(SEARCH("minggu",C354))),IFERROR(_xlfn.NUMBERVALUE(SUBSTITUTE(LEFT(TRIM(C354),FIND(" ",TRIM(C354)&amp;" ")-1),",","."),"."),LEFT(SUBSTITUTE(LEFT(TRIM(C354),FIND(" ",TRIM(C354)&amp;" ")-1),",","."),FIND("/",SUBSTITUTE(LEFT(TRIM(C354),FIND(" ",TRIM(C354)&amp;" ")-1),",","."))-1)/MID(SUBSTITUTE(LEFT(TRIM(C354),FIND(" ",TRIM(C354)&amp;" ")-1),",","."),FIND("/",SUBSTITUTE(LEFT(TRIM(C354),FIND(" ",TRIM(C354)&amp;" ")-1),",","."))+1,9))*12/52,IF(ISNUMBER(SEARCH("month",C354)),IFERROR(_xlfn.NUMBERVALUE(SUBSTITUTE(LEFT(TRIM(C354),FIND(" ",TRIM(C354)&amp;" ")-1),",","."),"."),LEFT(SUBSTITUTE(LEFT(TRIM(C354),FIND(" ",TRIM(C354)&amp;" ")-1),",","."),FIND("/",SUBSTITUTE(LEFT(TRIM(C354),FIND(" ",TRIM(C354)&amp;" ")-1),",","."))-1)/MID(SUBSTITUTE(LEFT(TRIM(C354),FIND(" ",TRIM(C354)&amp;" ")-1),",","."),FIND("/",SUBSTITUTE(LEFT(TRIM(C354),FIND(" ",TRIM(C354)&amp;" ")-1),",","."))+1,9)),IF(ISNUMBER(SEARCH("yea",C354)),IFERROR(_xlfn.NUMBERVALUE(SUBSTITUTE(LEFT(TRIM(C354),FIND(" ",TRIM(C354)&amp;" ")-1),",","."),"."),LEFT(SUBSTITUTE(LEFT(TRIM(C354),FIND(" ",TRIM(C354)&amp;" ")-1),",","."),FIND("/",SUBSTITUTE(LEFT(TRIM(C354),FIND(" ",TRIM(C354)&amp;" ")-1),",","."))-1)/MID(SUBSTITUTE(LEFT(TRIM(C354),FIND(" ",TRIM(C354)&amp;" ")-1),",","."),FIND("/",SUBSTITUTE(LEFT(TRIM(C354),FIND(" ",TRIM(C354)&amp;" ")-1),",","."))+1,9))*12,NA()))),0),24)*'Aturan &amp; Tarif'!$B$4,2)</f>
        <v>1362.72</v>
      </c>
      <c r="K354" s="32" t="n">
        <f aca="false">'Aturan &amp; Tarif'!$B$5</f>
        <v>2050</v>
      </c>
      <c r="L354" s="35" t="n">
        <f aca="false">I354+J354+K354</f>
        <v>28412.72</v>
      </c>
      <c r="M354" s="37" t="s">
        <v>846</v>
      </c>
    </row>
    <row r="355" customFormat="false" ht="14.25" hidden="false" customHeight="true" outlineLevel="0" collapsed="false">
      <c r="A355" s="29"/>
      <c r="B355" s="30" t="s">
        <v>1538</v>
      </c>
      <c r="C355" s="31" t="s">
        <v>107</v>
      </c>
      <c r="D355" s="31" t="s">
        <v>108</v>
      </c>
      <c r="E355" s="32" t="n">
        <v>12150</v>
      </c>
      <c r="F355" s="32"/>
      <c r="G355" s="32" t="n">
        <v>150</v>
      </c>
      <c r="H355" s="33" t="n">
        <v>2</v>
      </c>
      <c r="I355" s="34" t="n">
        <f aca="false">E355*H355+N(F355)+N(G355)</f>
        <v>24450</v>
      </c>
      <c r="J355" s="32" t="n">
        <f aca="false">ROUND(IFERROR(ROUND(IF(OR(ISNUMBER(SEARCH("week",C355)),ISNUMBER(SEARCH("minggu",C355))),IFERROR(_xlfn.NUMBERVALUE(SUBSTITUTE(LEFT(TRIM(C355),FIND(" ",TRIM(C355)&amp;" ")-1),",","."),"."),LEFT(SUBSTITUTE(LEFT(TRIM(C355),FIND(" ",TRIM(C355)&amp;" ")-1),",","."),FIND("/",SUBSTITUTE(LEFT(TRIM(C355),FIND(" ",TRIM(C355)&amp;" ")-1),",","."))-1)/MID(SUBSTITUTE(LEFT(TRIM(C355),FIND(" ",TRIM(C355)&amp;" ")-1),",","."),FIND("/",SUBSTITUTE(LEFT(TRIM(C355),FIND(" ",TRIM(C355)&amp;" ")-1),",","."))+1,9))*12/52,IF(ISNUMBER(SEARCH("month",C355)),IFERROR(_xlfn.NUMBERVALUE(SUBSTITUTE(LEFT(TRIM(C355),FIND(" ",TRIM(C355)&amp;" ")-1),",","."),"."),LEFT(SUBSTITUTE(LEFT(TRIM(C355),FIND(" ",TRIM(C355)&amp;" ")-1),",","."),FIND("/",SUBSTITUTE(LEFT(TRIM(C355),FIND(" ",TRIM(C355)&amp;" ")-1),",","."))-1)/MID(SUBSTITUTE(LEFT(TRIM(C355),FIND(" ",TRIM(C355)&amp;" ")-1),",","."),FIND("/",SUBSTITUTE(LEFT(TRIM(C355),FIND(" ",TRIM(C355)&amp;" ")-1),",","."))+1,9)),IF(ISNUMBER(SEARCH("yea",C355)),IFERROR(_xlfn.NUMBERVALUE(SUBSTITUTE(LEFT(TRIM(C355),FIND(" ",TRIM(C355)&amp;" ")-1),",","."),"."),LEFT(SUBSTITUTE(LEFT(TRIM(C355),FIND(" ",TRIM(C355)&amp;" ")-1),",","."),FIND("/",SUBSTITUTE(LEFT(TRIM(C355),FIND(" ",TRIM(C355)&amp;" ")-1),",","."))-1)/MID(SUBSTITUTE(LEFT(TRIM(C355),FIND(" ",TRIM(C355)&amp;" ")-1),",","."),FIND("/",SUBSTITUTE(LEFT(TRIM(C355),FIND(" ",TRIM(C355)&amp;" ")-1),",","."))+1,9))*12,NA()))),0),24)*'Aturan &amp; Tarif'!$B$4,2)</f>
        <v>1362.72</v>
      </c>
      <c r="K355" s="32" t="n">
        <f aca="false">'Aturan &amp; Tarif'!$B$5</f>
        <v>2050</v>
      </c>
      <c r="L355" s="35" t="n">
        <f aca="false">I355+J355+K355</f>
        <v>27862.72</v>
      </c>
      <c r="M355" s="37" t="s">
        <v>846</v>
      </c>
    </row>
    <row r="356" customFormat="false" ht="14.25" hidden="false" customHeight="true" outlineLevel="0" collapsed="false">
      <c r="A356" s="29"/>
      <c r="B356" s="30" t="s">
        <v>1539</v>
      </c>
      <c r="C356" s="31" t="s">
        <v>107</v>
      </c>
      <c r="D356" s="31" t="s">
        <v>108</v>
      </c>
      <c r="E356" s="32" t="n">
        <v>12150</v>
      </c>
      <c r="F356" s="32"/>
      <c r="G356" s="32" t="n">
        <v>150</v>
      </c>
      <c r="H356" s="33" t="n">
        <v>2</v>
      </c>
      <c r="I356" s="34" t="n">
        <f aca="false">E356*H356+N(F356)+N(G356)</f>
        <v>24450</v>
      </c>
      <c r="J356" s="32" t="n">
        <f aca="false">ROUND(IFERROR(ROUND(IF(OR(ISNUMBER(SEARCH("week",C356)),ISNUMBER(SEARCH("minggu",C356))),IFERROR(_xlfn.NUMBERVALUE(SUBSTITUTE(LEFT(TRIM(C356),FIND(" ",TRIM(C356)&amp;" ")-1),",","."),"."),LEFT(SUBSTITUTE(LEFT(TRIM(C356),FIND(" ",TRIM(C356)&amp;" ")-1),",","."),FIND("/",SUBSTITUTE(LEFT(TRIM(C356),FIND(" ",TRIM(C356)&amp;" ")-1),",","."))-1)/MID(SUBSTITUTE(LEFT(TRIM(C356),FIND(" ",TRIM(C356)&amp;" ")-1),",","."),FIND("/",SUBSTITUTE(LEFT(TRIM(C356),FIND(" ",TRIM(C356)&amp;" ")-1),",","."))+1,9))*12/52,IF(ISNUMBER(SEARCH("month",C356)),IFERROR(_xlfn.NUMBERVALUE(SUBSTITUTE(LEFT(TRIM(C356),FIND(" ",TRIM(C356)&amp;" ")-1),",","."),"."),LEFT(SUBSTITUTE(LEFT(TRIM(C356),FIND(" ",TRIM(C356)&amp;" ")-1),",","."),FIND("/",SUBSTITUTE(LEFT(TRIM(C356),FIND(" ",TRIM(C356)&amp;" ")-1),",","."))-1)/MID(SUBSTITUTE(LEFT(TRIM(C356),FIND(" ",TRIM(C356)&amp;" ")-1),",","."),FIND("/",SUBSTITUTE(LEFT(TRIM(C356),FIND(" ",TRIM(C356)&amp;" ")-1),",","."))+1,9)),IF(ISNUMBER(SEARCH("yea",C356)),IFERROR(_xlfn.NUMBERVALUE(SUBSTITUTE(LEFT(TRIM(C356),FIND(" ",TRIM(C356)&amp;" ")-1),",","."),"."),LEFT(SUBSTITUTE(LEFT(TRIM(C356),FIND(" ",TRIM(C356)&amp;" ")-1),",","."),FIND("/",SUBSTITUTE(LEFT(TRIM(C356),FIND(" ",TRIM(C356)&amp;" ")-1),",","."))-1)/MID(SUBSTITUTE(LEFT(TRIM(C356),FIND(" ",TRIM(C356)&amp;" ")-1),",","."),FIND("/",SUBSTITUTE(LEFT(TRIM(C356),FIND(" ",TRIM(C356)&amp;" ")-1),",","."))+1,9))*12,NA()))),0),24)*'Aturan &amp; Tarif'!$B$4,2)</f>
        <v>1362.72</v>
      </c>
      <c r="K356" s="32" t="n">
        <f aca="false">'Aturan &amp; Tarif'!$B$5</f>
        <v>2050</v>
      </c>
      <c r="L356" s="35" t="n">
        <f aca="false">I356+J356+K356</f>
        <v>27862.72</v>
      </c>
      <c r="M356" s="37" t="s">
        <v>846</v>
      </c>
    </row>
    <row r="357" customFormat="false" ht="14.25" hidden="false" customHeight="true" outlineLevel="0" collapsed="false">
      <c r="A357" s="29"/>
      <c r="B357" s="30" t="s">
        <v>1540</v>
      </c>
      <c r="C357" s="31" t="s">
        <v>107</v>
      </c>
      <c r="D357" s="31" t="s">
        <v>108</v>
      </c>
      <c r="E357" s="32" t="n">
        <v>13725</v>
      </c>
      <c r="F357" s="32"/>
      <c r="G357" s="32" t="n">
        <v>150</v>
      </c>
      <c r="H357" s="33" t="n">
        <v>2</v>
      </c>
      <c r="I357" s="34" t="n">
        <f aca="false">E357*H357+N(F357)+N(G357)</f>
        <v>27600</v>
      </c>
      <c r="J357" s="32" t="n">
        <f aca="false">ROUND(IFERROR(ROUND(IF(OR(ISNUMBER(SEARCH("week",C357)),ISNUMBER(SEARCH("minggu",C357))),IFERROR(_xlfn.NUMBERVALUE(SUBSTITUTE(LEFT(TRIM(C357),FIND(" ",TRIM(C357)&amp;" ")-1),",","."),"."),LEFT(SUBSTITUTE(LEFT(TRIM(C357),FIND(" ",TRIM(C357)&amp;" ")-1),",","."),FIND("/",SUBSTITUTE(LEFT(TRIM(C357),FIND(" ",TRIM(C357)&amp;" ")-1),",","."))-1)/MID(SUBSTITUTE(LEFT(TRIM(C357),FIND(" ",TRIM(C357)&amp;" ")-1),",","."),FIND("/",SUBSTITUTE(LEFT(TRIM(C357),FIND(" ",TRIM(C357)&amp;" ")-1),",","."))+1,9))*12/52,IF(ISNUMBER(SEARCH("month",C357)),IFERROR(_xlfn.NUMBERVALUE(SUBSTITUTE(LEFT(TRIM(C357),FIND(" ",TRIM(C357)&amp;" ")-1),",","."),"."),LEFT(SUBSTITUTE(LEFT(TRIM(C357),FIND(" ",TRIM(C357)&amp;" ")-1),",","."),FIND("/",SUBSTITUTE(LEFT(TRIM(C357),FIND(" ",TRIM(C357)&amp;" ")-1),",","."))-1)/MID(SUBSTITUTE(LEFT(TRIM(C357),FIND(" ",TRIM(C357)&amp;" ")-1),",","."),FIND("/",SUBSTITUTE(LEFT(TRIM(C357),FIND(" ",TRIM(C357)&amp;" ")-1),",","."))+1,9)),IF(ISNUMBER(SEARCH("yea",C357)),IFERROR(_xlfn.NUMBERVALUE(SUBSTITUTE(LEFT(TRIM(C357),FIND(" ",TRIM(C357)&amp;" ")-1),",","."),"."),LEFT(SUBSTITUTE(LEFT(TRIM(C357),FIND(" ",TRIM(C357)&amp;" ")-1),",","."),FIND("/",SUBSTITUTE(LEFT(TRIM(C357),FIND(" ",TRIM(C357)&amp;" ")-1),",","."))-1)/MID(SUBSTITUTE(LEFT(TRIM(C357),FIND(" ",TRIM(C357)&amp;" ")-1),",","."),FIND("/",SUBSTITUTE(LEFT(TRIM(C357),FIND(" ",TRIM(C357)&amp;" ")-1),",","."))+1,9))*12,NA()))),0),24)*'Aturan &amp; Tarif'!$B$4,2)</f>
        <v>1362.72</v>
      </c>
      <c r="K357" s="32" t="n">
        <f aca="false">'Aturan &amp; Tarif'!$B$5</f>
        <v>2050</v>
      </c>
      <c r="L357" s="35" t="n">
        <f aca="false">I357+J357+K357</f>
        <v>31012.72</v>
      </c>
      <c r="M357" s="37" t="s">
        <v>1541</v>
      </c>
    </row>
    <row r="358" customFormat="false" ht="14.25" hidden="false" customHeight="true" outlineLevel="0" collapsed="false">
      <c r="A358" s="29"/>
      <c r="B358" s="30" t="s">
        <v>1542</v>
      </c>
      <c r="C358" s="31" t="s">
        <v>107</v>
      </c>
      <c r="D358" s="31" t="s">
        <v>108</v>
      </c>
      <c r="E358" s="32" t="n">
        <v>13725</v>
      </c>
      <c r="F358" s="32"/>
      <c r="G358" s="32" t="n">
        <v>150</v>
      </c>
      <c r="H358" s="33" t="n">
        <v>2</v>
      </c>
      <c r="I358" s="34" t="n">
        <f aca="false">E358*H358+N(F358)+N(G358)</f>
        <v>27600</v>
      </c>
      <c r="J358" s="32" t="n">
        <f aca="false">ROUND(IFERROR(ROUND(IF(OR(ISNUMBER(SEARCH("week",C358)),ISNUMBER(SEARCH("minggu",C358))),IFERROR(_xlfn.NUMBERVALUE(SUBSTITUTE(LEFT(TRIM(C358),FIND(" ",TRIM(C358)&amp;" ")-1),",","."),"."),LEFT(SUBSTITUTE(LEFT(TRIM(C358),FIND(" ",TRIM(C358)&amp;" ")-1),",","."),FIND("/",SUBSTITUTE(LEFT(TRIM(C358),FIND(" ",TRIM(C358)&amp;" ")-1),",","."))-1)/MID(SUBSTITUTE(LEFT(TRIM(C358),FIND(" ",TRIM(C358)&amp;" ")-1),",","."),FIND("/",SUBSTITUTE(LEFT(TRIM(C358),FIND(" ",TRIM(C358)&amp;" ")-1),",","."))+1,9))*12/52,IF(ISNUMBER(SEARCH("month",C358)),IFERROR(_xlfn.NUMBERVALUE(SUBSTITUTE(LEFT(TRIM(C358),FIND(" ",TRIM(C358)&amp;" ")-1),",","."),"."),LEFT(SUBSTITUTE(LEFT(TRIM(C358),FIND(" ",TRIM(C358)&amp;" ")-1),",","."),FIND("/",SUBSTITUTE(LEFT(TRIM(C358),FIND(" ",TRIM(C358)&amp;" ")-1),",","."))-1)/MID(SUBSTITUTE(LEFT(TRIM(C358),FIND(" ",TRIM(C358)&amp;" ")-1),",","."),FIND("/",SUBSTITUTE(LEFT(TRIM(C358),FIND(" ",TRIM(C358)&amp;" ")-1),",","."))+1,9)),IF(ISNUMBER(SEARCH("yea",C358)),IFERROR(_xlfn.NUMBERVALUE(SUBSTITUTE(LEFT(TRIM(C358),FIND(" ",TRIM(C358)&amp;" ")-1),",","."),"."),LEFT(SUBSTITUTE(LEFT(TRIM(C358),FIND(" ",TRIM(C358)&amp;" ")-1),",","."),FIND("/",SUBSTITUTE(LEFT(TRIM(C358),FIND(" ",TRIM(C358)&amp;" ")-1),",","."))-1)/MID(SUBSTITUTE(LEFT(TRIM(C358),FIND(" ",TRIM(C358)&amp;" ")-1),",","."),FIND("/",SUBSTITUTE(LEFT(TRIM(C358),FIND(" ",TRIM(C358)&amp;" ")-1),",","."))+1,9))*12,NA()))),0),24)*'Aturan &amp; Tarif'!$B$4,2)</f>
        <v>1362.72</v>
      </c>
      <c r="K358" s="32" t="n">
        <f aca="false">'Aturan &amp; Tarif'!$B$5</f>
        <v>2050</v>
      </c>
      <c r="L358" s="35" t="n">
        <f aca="false">I358+J358+K358</f>
        <v>31012.72</v>
      </c>
      <c r="M358" s="37" t="s">
        <v>846</v>
      </c>
    </row>
    <row r="359" customFormat="false" ht="14.25" hidden="false" customHeight="true" outlineLevel="0" collapsed="false">
      <c r="A359" s="29"/>
      <c r="B359" s="30" t="s">
        <v>1543</v>
      </c>
      <c r="C359" s="31" t="s">
        <v>107</v>
      </c>
      <c r="D359" s="31" t="s">
        <v>108</v>
      </c>
      <c r="E359" s="32" t="n">
        <v>13125</v>
      </c>
      <c r="F359" s="32"/>
      <c r="G359" s="32" t="n">
        <v>150</v>
      </c>
      <c r="H359" s="33" t="n">
        <v>2</v>
      </c>
      <c r="I359" s="34" t="n">
        <f aca="false">E359*H359+N(F359)+N(G359)</f>
        <v>26400</v>
      </c>
      <c r="J359" s="32" t="n">
        <f aca="false">ROUND(IFERROR(ROUND(IF(OR(ISNUMBER(SEARCH("week",C359)),ISNUMBER(SEARCH("minggu",C359))),IFERROR(_xlfn.NUMBERVALUE(SUBSTITUTE(LEFT(TRIM(C359),FIND(" ",TRIM(C359)&amp;" ")-1),",","."),"."),LEFT(SUBSTITUTE(LEFT(TRIM(C359),FIND(" ",TRIM(C359)&amp;" ")-1),",","."),FIND("/",SUBSTITUTE(LEFT(TRIM(C359),FIND(" ",TRIM(C359)&amp;" ")-1),",","."))-1)/MID(SUBSTITUTE(LEFT(TRIM(C359),FIND(" ",TRIM(C359)&amp;" ")-1),",","."),FIND("/",SUBSTITUTE(LEFT(TRIM(C359),FIND(" ",TRIM(C359)&amp;" ")-1),",","."))+1,9))*12/52,IF(ISNUMBER(SEARCH("month",C359)),IFERROR(_xlfn.NUMBERVALUE(SUBSTITUTE(LEFT(TRIM(C359),FIND(" ",TRIM(C359)&amp;" ")-1),",","."),"."),LEFT(SUBSTITUTE(LEFT(TRIM(C359),FIND(" ",TRIM(C359)&amp;" ")-1),",","."),FIND("/",SUBSTITUTE(LEFT(TRIM(C359),FIND(" ",TRIM(C359)&amp;" ")-1),",","."))-1)/MID(SUBSTITUTE(LEFT(TRIM(C359),FIND(" ",TRIM(C359)&amp;" ")-1),",","."),FIND("/",SUBSTITUTE(LEFT(TRIM(C359),FIND(" ",TRIM(C359)&amp;" ")-1),",","."))+1,9)),IF(ISNUMBER(SEARCH("yea",C359)),IFERROR(_xlfn.NUMBERVALUE(SUBSTITUTE(LEFT(TRIM(C359),FIND(" ",TRIM(C359)&amp;" ")-1),",","."),"."),LEFT(SUBSTITUTE(LEFT(TRIM(C359),FIND(" ",TRIM(C359)&amp;" ")-1),",","."),FIND("/",SUBSTITUTE(LEFT(TRIM(C359),FIND(" ",TRIM(C359)&amp;" ")-1),",","."))-1)/MID(SUBSTITUTE(LEFT(TRIM(C359),FIND(" ",TRIM(C359)&amp;" ")-1),",","."),FIND("/",SUBSTITUTE(LEFT(TRIM(C359),FIND(" ",TRIM(C359)&amp;" ")-1),",","."))+1,9))*12,NA()))),0),24)*'Aturan &amp; Tarif'!$B$4,2)</f>
        <v>1362.72</v>
      </c>
      <c r="K359" s="32" t="n">
        <f aca="false">'Aturan &amp; Tarif'!$B$5</f>
        <v>2050</v>
      </c>
      <c r="L359" s="35" t="n">
        <f aca="false">I359+J359+K359</f>
        <v>29812.72</v>
      </c>
      <c r="M359" s="37" t="s">
        <v>846</v>
      </c>
    </row>
    <row r="360" customFormat="false" ht="14.25" hidden="false" customHeight="true" outlineLevel="0" collapsed="false">
      <c r="A360" s="29"/>
      <c r="B360" s="30" t="s">
        <v>1544</v>
      </c>
      <c r="C360" s="31" t="s">
        <v>107</v>
      </c>
      <c r="D360" s="31" t="s">
        <v>108</v>
      </c>
      <c r="E360" s="32" t="n">
        <v>13125</v>
      </c>
      <c r="F360" s="32"/>
      <c r="G360" s="32" t="n">
        <v>150</v>
      </c>
      <c r="H360" s="33" t="n">
        <v>2</v>
      </c>
      <c r="I360" s="34" t="n">
        <f aca="false">E360*H360+N(F360)+N(G360)</f>
        <v>26400</v>
      </c>
      <c r="J360" s="32" t="n">
        <f aca="false">ROUND(IFERROR(ROUND(IF(OR(ISNUMBER(SEARCH("week",C360)),ISNUMBER(SEARCH("minggu",C360))),IFERROR(_xlfn.NUMBERVALUE(SUBSTITUTE(LEFT(TRIM(C360),FIND(" ",TRIM(C360)&amp;" ")-1),",","."),"."),LEFT(SUBSTITUTE(LEFT(TRIM(C360),FIND(" ",TRIM(C360)&amp;" ")-1),",","."),FIND("/",SUBSTITUTE(LEFT(TRIM(C360),FIND(" ",TRIM(C360)&amp;" ")-1),",","."))-1)/MID(SUBSTITUTE(LEFT(TRIM(C360),FIND(" ",TRIM(C360)&amp;" ")-1),",","."),FIND("/",SUBSTITUTE(LEFT(TRIM(C360),FIND(" ",TRIM(C360)&amp;" ")-1),",","."))+1,9))*12/52,IF(ISNUMBER(SEARCH("month",C360)),IFERROR(_xlfn.NUMBERVALUE(SUBSTITUTE(LEFT(TRIM(C360),FIND(" ",TRIM(C360)&amp;" ")-1),",","."),"."),LEFT(SUBSTITUTE(LEFT(TRIM(C360),FIND(" ",TRIM(C360)&amp;" ")-1),",","."),FIND("/",SUBSTITUTE(LEFT(TRIM(C360),FIND(" ",TRIM(C360)&amp;" ")-1),",","."))-1)/MID(SUBSTITUTE(LEFT(TRIM(C360),FIND(" ",TRIM(C360)&amp;" ")-1),",","."),FIND("/",SUBSTITUTE(LEFT(TRIM(C360),FIND(" ",TRIM(C360)&amp;" ")-1),",","."))+1,9)),IF(ISNUMBER(SEARCH("yea",C360)),IFERROR(_xlfn.NUMBERVALUE(SUBSTITUTE(LEFT(TRIM(C360),FIND(" ",TRIM(C360)&amp;" ")-1),",","."),"."),LEFT(SUBSTITUTE(LEFT(TRIM(C360),FIND(" ",TRIM(C360)&amp;" ")-1),",","."),FIND("/",SUBSTITUTE(LEFT(TRIM(C360),FIND(" ",TRIM(C360)&amp;" ")-1),",","."))-1)/MID(SUBSTITUTE(LEFT(TRIM(C360),FIND(" ",TRIM(C360)&amp;" ")-1),",","."),FIND("/",SUBSTITUTE(LEFT(TRIM(C360),FIND(" ",TRIM(C360)&amp;" ")-1),",","."))+1,9))*12,NA()))),0),24)*'Aturan &amp; Tarif'!$B$4,2)</f>
        <v>1362.72</v>
      </c>
      <c r="K360" s="32" t="n">
        <f aca="false">'Aturan &amp; Tarif'!$B$5</f>
        <v>2050</v>
      </c>
      <c r="L360" s="35" t="n">
        <f aca="false">I360+J360+K360</f>
        <v>29812.72</v>
      </c>
      <c r="M360" s="37" t="s">
        <v>846</v>
      </c>
    </row>
    <row r="361" customFormat="false" ht="14.25" hidden="false" customHeight="true" outlineLevel="0" collapsed="false">
      <c r="A361" s="29"/>
      <c r="B361" s="30" t="s">
        <v>1545</v>
      </c>
      <c r="C361" s="31" t="s">
        <v>107</v>
      </c>
      <c r="D361" s="31" t="s">
        <v>108</v>
      </c>
      <c r="E361" s="32" t="n">
        <v>12150</v>
      </c>
      <c r="F361" s="32"/>
      <c r="G361" s="32" t="n">
        <v>150</v>
      </c>
      <c r="H361" s="33" t="n">
        <v>2</v>
      </c>
      <c r="I361" s="34" t="n">
        <f aca="false">E361*H361+N(F361)+N(G361)</f>
        <v>24450</v>
      </c>
      <c r="J361" s="32" t="n">
        <f aca="false">ROUND(IFERROR(ROUND(IF(OR(ISNUMBER(SEARCH("week",C361)),ISNUMBER(SEARCH("minggu",C361))),IFERROR(_xlfn.NUMBERVALUE(SUBSTITUTE(LEFT(TRIM(C361),FIND(" ",TRIM(C361)&amp;" ")-1),",","."),"."),LEFT(SUBSTITUTE(LEFT(TRIM(C361),FIND(" ",TRIM(C361)&amp;" ")-1),",","."),FIND("/",SUBSTITUTE(LEFT(TRIM(C361),FIND(" ",TRIM(C361)&amp;" ")-1),",","."))-1)/MID(SUBSTITUTE(LEFT(TRIM(C361),FIND(" ",TRIM(C361)&amp;" ")-1),",","."),FIND("/",SUBSTITUTE(LEFT(TRIM(C361),FIND(" ",TRIM(C361)&amp;" ")-1),",","."))+1,9))*12/52,IF(ISNUMBER(SEARCH("month",C361)),IFERROR(_xlfn.NUMBERVALUE(SUBSTITUTE(LEFT(TRIM(C361),FIND(" ",TRIM(C361)&amp;" ")-1),",","."),"."),LEFT(SUBSTITUTE(LEFT(TRIM(C361),FIND(" ",TRIM(C361)&amp;" ")-1),",","."),FIND("/",SUBSTITUTE(LEFT(TRIM(C361),FIND(" ",TRIM(C361)&amp;" ")-1),",","."))-1)/MID(SUBSTITUTE(LEFT(TRIM(C361),FIND(" ",TRIM(C361)&amp;" ")-1),",","."),FIND("/",SUBSTITUTE(LEFT(TRIM(C361),FIND(" ",TRIM(C361)&amp;" ")-1),",","."))+1,9)),IF(ISNUMBER(SEARCH("yea",C361)),IFERROR(_xlfn.NUMBERVALUE(SUBSTITUTE(LEFT(TRIM(C361),FIND(" ",TRIM(C361)&amp;" ")-1),",","."),"."),LEFT(SUBSTITUTE(LEFT(TRIM(C361),FIND(" ",TRIM(C361)&amp;" ")-1),",","."),FIND("/",SUBSTITUTE(LEFT(TRIM(C361),FIND(" ",TRIM(C361)&amp;" ")-1),",","."))-1)/MID(SUBSTITUTE(LEFT(TRIM(C361),FIND(" ",TRIM(C361)&amp;" ")-1),",","."),FIND("/",SUBSTITUTE(LEFT(TRIM(C361),FIND(" ",TRIM(C361)&amp;" ")-1),",","."))+1,9))*12,NA()))),0),24)*'Aturan &amp; Tarif'!$B$4,2)</f>
        <v>1362.72</v>
      </c>
      <c r="K361" s="32" t="n">
        <f aca="false">'Aturan &amp; Tarif'!$B$5</f>
        <v>2050</v>
      </c>
      <c r="L361" s="35" t="n">
        <f aca="false">I361+J361+K361</f>
        <v>27862.72</v>
      </c>
      <c r="M361" s="37" t="s">
        <v>846</v>
      </c>
    </row>
    <row r="362" customFormat="false" ht="14.25" hidden="false" customHeight="true" outlineLevel="0" collapsed="false">
      <c r="A362" s="29"/>
      <c r="B362" s="30" t="s">
        <v>1546</v>
      </c>
      <c r="C362" s="31" t="s">
        <v>107</v>
      </c>
      <c r="D362" s="31" t="s">
        <v>108</v>
      </c>
      <c r="E362" s="32" t="n">
        <v>13575</v>
      </c>
      <c r="F362" s="32"/>
      <c r="G362" s="32" t="n">
        <v>150</v>
      </c>
      <c r="H362" s="33" t="n">
        <v>2</v>
      </c>
      <c r="I362" s="34" t="n">
        <f aca="false">E362*H362+N(F362)+N(G362)</f>
        <v>27300</v>
      </c>
      <c r="J362" s="32" t="n">
        <f aca="false">ROUND(IFERROR(ROUND(IF(OR(ISNUMBER(SEARCH("week",C362)),ISNUMBER(SEARCH("minggu",C362))),IFERROR(_xlfn.NUMBERVALUE(SUBSTITUTE(LEFT(TRIM(C362),FIND(" ",TRIM(C362)&amp;" ")-1),",","."),"."),LEFT(SUBSTITUTE(LEFT(TRIM(C362),FIND(" ",TRIM(C362)&amp;" ")-1),",","."),FIND("/",SUBSTITUTE(LEFT(TRIM(C362),FIND(" ",TRIM(C362)&amp;" ")-1),",","."))-1)/MID(SUBSTITUTE(LEFT(TRIM(C362),FIND(" ",TRIM(C362)&amp;" ")-1),",","."),FIND("/",SUBSTITUTE(LEFT(TRIM(C362),FIND(" ",TRIM(C362)&amp;" ")-1),",","."))+1,9))*12/52,IF(ISNUMBER(SEARCH("month",C362)),IFERROR(_xlfn.NUMBERVALUE(SUBSTITUTE(LEFT(TRIM(C362),FIND(" ",TRIM(C362)&amp;" ")-1),",","."),"."),LEFT(SUBSTITUTE(LEFT(TRIM(C362),FIND(" ",TRIM(C362)&amp;" ")-1),",","."),FIND("/",SUBSTITUTE(LEFT(TRIM(C362),FIND(" ",TRIM(C362)&amp;" ")-1),",","."))-1)/MID(SUBSTITUTE(LEFT(TRIM(C362),FIND(" ",TRIM(C362)&amp;" ")-1),",","."),FIND("/",SUBSTITUTE(LEFT(TRIM(C362),FIND(" ",TRIM(C362)&amp;" ")-1),",","."))+1,9)),IF(ISNUMBER(SEARCH("yea",C362)),IFERROR(_xlfn.NUMBERVALUE(SUBSTITUTE(LEFT(TRIM(C362),FIND(" ",TRIM(C362)&amp;" ")-1),",","."),"."),LEFT(SUBSTITUTE(LEFT(TRIM(C362),FIND(" ",TRIM(C362)&amp;" ")-1),",","."),FIND("/",SUBSTITUTE(LEFT(TRIM(C362),FIND(" ",TRIM(C362)&amp;" ")-1),",","."))-1)/MID(SUBSTITUTE(LEFT(TRIM(C362),FIND(" ",TRIM(C362)&amp;" ")-1),",","."),FIND("/",SUBSTITUTE(LEFT(TRIM(C362),FIND(" ",TRIM(C362)&amp;" ")-1),",","."))+1,9))*12,NA()))),0),24)*'Aturan &amp; Tarif'!$B$4,2)</f>
        <v>1362.72</v>
      </c>
      <c r="K362" s="32" t="n">
        <f aca="false">'Aturan &amp; Tarif'!$B$5</f>
        <v>2050</v>
      </c>
      <c r="L362" s="35" t="n">
        <f aca="false">I362+J362+K362</f>
        <v>30712.72</v>
      </c>
      <c r="M362" s="37" t="s">
        <v>1547</v>
      </c>
    </row>
    <row r="363" customFormat="false" ht="14.25" hidden="false" customHeight="true" outlineLevel="0" collapsed="false">
      <c r="A363" s="29"/>
      <c r="B363" s="30" t="s">
        <v>1548</v>
      </c>
      <c r="C363" s="31" t="s">
        <v>107</v>
      </c>
      <c r="D363" s="31" t="s">
        <v>108</v>
      </c>
      <c r="E363" s="32" t="n">
        <v>13575</v>
      </c>
      <c r="F363" s="32"/>
      <c r="G363" s="32" t="n">
        <v>150</v>
      </c>
      <c r="H363" s="33" t="n">
        <v>2</v>
      </c>
      <c r="I363" s="34" t="n">
        <f aca="false">E363*H363+N(F363)+N(G363)</f>
        <v>27300</v>
      </c>
      <c r="J363" s="32" t="n">
        <f aca="false">ROUND(IFERROR(ROUND(IF(OR(ISNUMBER(SEARCH("week",C363)),ISNUMBER(SEARCH("minggu",C363))),IFERROR(_xlfn.NUMBERVALUE(SUBSTITUTE(LEFT(TRIM(C363),FIND(" ",TRIM(C363)&amp;" ")-1),",","."),"."),LEFT(SUBSTITUTE(LEFT(TRIM(C363),FIND(" ",TRIM(C363)&amp;" ")-1),",","."),FIND("/",SUBSTITUTE(LEFT(TRIM(C363),FIND(" ",TRIM(C363)&amp;" ")-1),",","."))-1)/MID(SUBSTITUTE(LEFT(TRIM(C363),FIND(" ",TRIM(C363)&amp;" ")-1),",","."),FIND("/",SUBSTITUTE(LEFT(TRIM(C363),FIND(" ",TRIM(C363)&amp;" ")-1),",","."))+1,9))*12/52,IF(ISNUMBER(SEARCH("month",C363)),IFERROR(_xlfn.NUMBERVALUE(SUBSTITUTE(LEFT(TRIM(C363),FIND(" ",TRIM(C363)&amp;" ")-1),",","."),"."),LEFT(SUBSTITUTE(LEFT(TRIM(C363),FIND(" ",TRIM(C363)&amp;" ")-1),",","."),FIND("/",SUBSTITUTE(LEFT(TRIM(C363),FIND(" ",TRIM(C363)&amp;" ")-1),",","."))-1)/MID(SUBSTITUTE(LEFT(TRIM(C363),FIND(" ",TRIM(C363)&amp;" ")-1),",","."),FIND("/",SUBSTITUTE(LEFT(TRIM(C363),FIND(" ",TRIM(C363)&amp;" ")-1),",","."))+1,9)),IF(ISNUMBER(SEARCH("yea",C363)),IFERROR(_xlfn.NUMBERVALUE(SUBSTITUTE(LEFT(TRIM(C363),FIND(" ",TRIM(C363)&amp;" ")-1),",","."),"."),LEFT(SUBSTITUTE(LEFT(TRIM(C363),FIND(" ",TRIM(C363)&amp;" ")-1),",","."),FIND("/",SUBSTITUTE(LEFT(TRIM(C363),FIND(" ",TRIM(C363)&amp;" ")-1),",","."))-1)/MID(SUBSTITUTE(LEFT(TRIM(C363),FIND(" ",TRIM(C363)&amp;" ")-1),",","."),FIND("/",SUBSTITUTE(LEFT(TRIM(C363),FIND(" ",TRIM(C363)&amp;" ")-1),",","."))+1,9))*12,NA()))),0),24)*'Aturan &amp; Tarif'!$B$4,2)</f>
        <v>1362.72</v>
      </c>
      <c r="K363" s="32" t="n">
        <f aca="false">'Aturan &amp; Tarif'!$B$5</f>
        <v>2050</v>
      </c>
      <c r="L363" s="35" t="n">
        <f aca="false">I363+J363+K363</f>
        <v>30712.72</v>
      </c>
      <c r="M363" s="37" t="s">
        <v>846</v>
      </c>
    </row>
    <row r="364" customFormat="false" ht="25.5" hidden="false" customHeight="true" outlineLevel="0" collapsed="false">
      <c r="A364" s="29"/>
      <c r="B364" s="30" t="s">
        <v>1549</v>
      </c>
      <c r="C364" s="31" t="s">
        <v>107</v>
      </c>
      <c r="D364" s="31" t="s">
        <v>108</v>
      </c>
      <c r="E364" s="32" t="n">
        <v>13575</v>
      </c>
      <c r="F364" s="32"/>
      <c r="G364" s="32" t="n">
        <v>150</v>
      </c>
      <c r="H364" s="33" t="n">
        <v>2</v>
      </c>
      <c r="I364" s="34" t="n">
        <f aca="false">E364*H364+N(F364)+N(G364)</f>
        <v>27300</v>
      </c>
      <c r="J364" s="32" t="n">
        <f aca="false">ROUND(IFERROR(ROUND(IF(OR(ISNUMBER(SEARCH("week",C364)),ISNUMBER(SEARCH("minggu",C364))),IFERROR(_xlfn.NUMBERVALUE(SUBSTITUTE(LEFT(TRIM(C364),FIND(" ",TRIM(C364)&amp;" ")-1),",","."),"."),LEFT(SUBSTITUTE(LEFT(TRIM(C364),FIND(" ",TRIM(C364)&amp;" ")-1),",","."),FIND("/",SUBSTITUTE(LEFT(TRIM(C364),FIND(" ",TRIM(C364)&amp;" ")-1),",","."))-1)/MID(SUBSTITUTE(LEFT(TRIM(C364),FIND(" ",TRIM(C364)&amp;" ")-1),",","."),FIND("/",SUBSTITUTE(LEFT(TRIM(C364),FIND(" ",TRIM(C364)&amp;" ")-1),",","."))+1,9))*12/52,IF(ISNUMBER(SEARCH("month",C364)),IFERROR(_xlfn.NUMBERVALUE(SUBSTITUTE(LEFT(TRIM(C364),FIND(" ",TRIM(C364)&amp;" ")-1),",","."),"."),LEFT(SUBSTITUTE(LEFT(TRIM(C364),FIND(" ",TRIM(C364)&amp;" ")-1),",","."),FIND("/",SUBSTITUTE(LEFT(TRIM(C364),FIND(" ",TRIM(C364)&amp;" ")-1),",","."))-1)/MID(SUBSTITUTE(LEFT(TRIM(C364),FIND(" ",TRIM(C364)&amp;" ")-1),",","."),FIND("/",SUBSTITUTE(LEFT(TRIM(C364),FIND(" ",TRIM(C364)&amp;" ")-1),",","."))+1,9)),IF(ISNUMBER(SEARCH("yea",C364)),IFERROR(_xlfn.NUMBERVALUE(SUBSTITUTE(LEFT(TRIM(C364),FIND(" ",TRIM(C364)&amp;" ")-1),",","."),"."),LEFT(SUBSTITUTE(LEFT(TRIM(C364),FIND(" ",TRIM(C364)&amp;" ")-1),",","."),FIND("/",SUBSTITUTE(LEFT(TRIM(C364),FIND(" ",TRIM(C364)&amp;" ")-1),",","."))-1)/MID(SUBSTITUTE(LEFT(TRIM(C364),FIND(" ",TRIM(C364)&amp;" ")-1),",","."),FIND("/",SUBSTITUTE(LEFT(TRIM(C364),FIND(" ",TRIM(C364)&amp;" ")-1),",","."))+1,9))*12,NA()))),0),24)*'Aturan &amp; Tarif'!$B$4,2)</f>
        <v>1362.72</v>
      </c>
      <c r="K364" s="32" t="n">
        <f aca="false">'Aturan &amp; Tarif'!$B$5</f>
        <v>2050</v>
      </c>
      <c r="L364" s="35" t="n">
        <f aca="false">I364+J364+K364</f>
        <v>30712.72</v>
      </c>
      <c r="M364" s="37" t="s">
        <v>846</v>
      </c>
    </row>
    <row r="365" customFormat="false" ht="14.25" hidden="false" customHeight="true" outlineLevel="0" collapsed="false">
      <c r="A365" s="29"/>
      <c r="B365" s="30" t="s">
        <v>1550</v>
      </c>
      <c r="C365" s="31" t="s">
        <v>107</v>
      </c>
      <c r="D365" s="31" t="s">
        <v>108</v>
      </c>
      <c r="E365" s="32" t="n">
        <v>10850</v>
      </c>
      <c r="F365" s="32"/>
      <c r="G365" s="32" t="n">
        <v>150</v>
      </c>
      <c r="H365" s="33" t="n">
        <v>2</v>
      </c>
      <c r="I365" s="34" t="n">
        <f aca="false">E365*H365+N(F365)+N(G365)</f>
        <v>21850</v>
      </c>
      <c r="J365" s="32" t="n">
        <f aca="false">ROUND(IFERROR(ROUND(IF(OR(ISNUMBER(SEARCH("week",C365)),ISNUMBER(SEARCH("minggu",C365))),IFERROR(_xlfn.NUMBERVALUE(SUBSTITUTE(LEFT(TRIM(C365),FIND(" ",TRIM(C365)&amp;" ")-1),",","."),"."),LEFT(SUBSTITUTE(LEFT(TRIM(C365),FIND(" ",TRIM(C365)&amp;" ")-1),",","."),FIND("/",SUBSTITUTE(LEFT(TRIM(C365),FIND(" ",TRIM(C365)&amp;" ")-1),",","."))-1)/MID(SUBSTITUTE(LEFT(TRIM(C365),FIND(" ",TRIM(C365)&amp;" ")-1),",","."),FIND("/",SUBSTITUTE(LEFT(TRIM(C365),FIND(" ",TRIM(C365)&amp;" ")-1),",","."))+1,9))*12/52,IF(ISNUMBER(SEARCH("month",C365)),IFERROR(_xlfn.NUMBERVALUE(SUBSTITUTE(LEFT(TRIM(C365),FIND(" ",TRIM(C365)&amp;" ")-1),",","."),"."),LEFT(SUBSTITUTE(LEFT(TRIM(C365),FIND(" ",TRIM(C365)&amp;" ")-1),",","."),FIND("/",SUBSTITUTE(LEFT(TRIM(C365),FIND(" ",TRIM(C365)&amp;" ")-1),",","."))-1)/MID(SUBSTITUTE(LEFT(TRIM(C365),FIND(" ",TRIM(C365)&amp;" ")-1),",","."),FIND("/",SUBSTITUTE(LEFT(TRIM(C365),FIND(" ",TRIM(C365)&amp;" ")-1),",","."))+1,9)),IF(ISNUMBER(SEARCH("yea",C365)),IFERROR(_xlfn.NUMBERVALUE(SUBSTITUTE(LEFT(TRIM(C365),FIND(" ",TRIM(C365)&amp;" ")-1),",","."),"."),LEFT(SUBSTITUTE(LEFT(TRIM(C365),FIND(" ",TRIM(C365)&amp;" ")-1),",","."),FIND("/",SUBSTITUTE(LEFT(TRIM(C365),FIND(" ",TRIM(C365)&amp;" ")-1),",","."))-1)/MID(SUBSTITUTE(LEFT(TRIM(C365),FIND(" ",TRIM(C365)&amp;" ")-1),",","."),FIND("/",SUBSTITUTE(LEFT(TRIM(C365),FIND(" ",TRIM(C365)&amp;" ")-1),",","."))+1,9))*12,NA()))),0),24)*'Aturan &amp; Tarif'!$B$4,2)</f>
        <v>1362.72</v>
      </c>
      <c r="K365" s="32" t="n">
        <f aca="false">'Aturan &amp; Tarif'!$B$5</f>
        <v>2050</v>
      </c>
      <c r="L365" s="35" t="n">
        <f aca="false">I365+J365+K365</f>
        <v>25262.72</v>
      </c>
      <c r="M365" s="37" t="s">
        <v>1551</v>
      </c>
    </row>
    <row r="366" customFormat="false" ht="25.5" hidden="false" customHeight="true" outlineLevel="0" collapsed="false">
      <c r="A366" s="29"/>
      <c r="B366" s="30" t="s">
        <v>1552</v>
      </c>
      <c r="C366" s="31" t="s">
        <v>107</v>
      </c>
      <c r="D366" s="31" t="s">
        <v>108</v>
      </c>
      <c r="E366" s="32" t="n">
        <v>14150</v>
      </c>
      <c r="F366" s="32"/>
      <c r="G366" s="32" t="n">
        <v>150</v>
      </c>
      <c r="H366" s="33" t="n">
        <v>2</v>
      </c>
      <c r="I366" s="34" t="n">
        <f aca="false">E366*H366+N(F366)+N(G366)</f>
        <v>28450</v>
      </c>
      <c r="J366" s="32" t="n">
        <f aca="false">ROUND(IFERROR(ROUND(IF(OR(ISNUMBER(SEARCH("week",C366)),ISNUMBER(SEARCH("minggu",C366))),IFERROR(_xlfn.NUMBERVALUE(SUBSTITUTE(LEFT(TRIM(C366),FIND(" ",TRIM(C366)&amp;" ")-1),",","."),"."),LEFT(SUBSTITUTE(LEFT(TRIM(C366),FIND(" ",TRIM(C366)&amp;" ")-1),",","."),FIND("/",SUBSTITUTE(LEFT(TRIM(C366),FIND(" ",TRIM(C366)&amp;" ")-1),",","."))-1)/MID(SUBSTITUTE(LEFT(TRIM(C366),FIND(" ",TRIM(C366)&amp;" ")-1),",","."),FIND("/",SUBSTITUTE(LEFT(TRIM(C366),FIND(" ",TRIM(C366)&amp;" ")-1),",","."))+1,9))*12/52,IF(ISNUMBER(SEARCH("month",C366)),IFERROR(_xlfn.NUMBERVALUE(SUBSTITUTE(LEFT(TRIM(C366),FIND(" ",TRIM(C366)&amp;" ")-1),",","."),"."),LEFT(SUBSTITUTE(LEFT(TRIM(C366),FIND(" ",TRIM(C366)&amp;" ")-1),",","."),FIND("/",SUBSTITUTE(LEFT(TRIM(C366),FIND(" ",TRIM(C366)&amp;" ")-1),",","."))-1)/MID(SUBSTITUTE(LEFT(TRIM(C366),FIND(" ",TRIM(C366)&amp;" ")-1),",","."),FIND("/",SUBSTITUTE(LEFT(TRIM(C366),FIND(" ",TRIM(C366)&amp;" ")-1),",","."))+1,9)),IF(ISNUMBER(SEARCH("yea",C366)),IFERROR(_xlfn.NUMBERVALUE(SUBSTITUTE(LEFT(TRIM(C366),FIND(" ",TRIM(C366)&amp;" ")-1),",","."),"."),LEFT(SUBSTITUTE(LEFT(TRIM(C366),FIND(" ",TRIM(C366)&amp;" ")-1),",","."),FIND("/",SUBSTITUTE(LEFT(TRIM(C366),FIND(" ",TRIM(C366)&amp;" ")-1),",","."))-1)/MID(SUBSTITUTE(LEFT(TRIM(C366),FIND(" ",TRIM(C366)&amp;" ")-1),",","."),FIND("/",SUBSTITUTE(LEFT(TRIM(C366),FIND(" ",TRIM(C366)&amp;" ")-1),",","."))+1,9))*12,NA()))),0),24)*'Aturan &amp; Tarif'!$B$4,2)</f>
        <v>1362.72</v>
      </c>
      <c r="K366" s="32" t="n">
        <f aca="false">'Aturan &amp; Tarif'!$B$5</f>
        <v>2050</v>
      </c>
      <c r="L366" s="35" t="n">
        <f aca="false">I366+J366+K366</f>
        <v>31862.72</v>
      </c>
      <c r="M366" s="37" t="s">
        <v>1553</v>
      </c>
    </row>
    <row r="367" customFormat="false" ht="25.5" hidden="false" customHeight="true" outlineLevel="0" collapsed="false">
      <c r="A367" s="29"/>
      <c r="B367" s="30" t="s">
        <v>1554</v>
      </c>
      <c r="C367" s="31" t="s">
        <v>107</v>
      </c>
      <c r="D367" s="31" t="s">
        <v>108</v>
      </c>
      <c r="E367" s="32" t="n">
        <v>14150</v>
      </c>
      <c r="F367" s="32"/>
      <c r="G367" s="32" t="n">
        <v>150</v>
      </c>
      <c r="H367" s="33" t="n">
        <v>2</v>
      </c>
      <c r="I367" s="34" t="n">
        <f aca="false">E367*H367+N(F367)+N(G367)</f>
        <v>28450</v>
      </c>
      <c r="J367" s="32" t="n">
        <f aca="false">ROUND(IFERROR(ROUND(IF(OR(ISNUMBER(SEARCH("week",C367)),ISNUMBER(SEARCH("minggu",C367))),IFERROR(_xlfn.NUMBERVALUE(SUBSTITUTE(LEFT(TRIM(C367),FIND(" ",TRIM(C367)&amp;" ")-1),",","."),"."),LEFT(SUBSTITUTE(LEFT(TRIM(C367),FIND(" ",TRIM(C367)&amp;" ")-1),",","."),FIND("/",SUBSTITUTE(LEFT(TRIM(C367),FIND(" ",TRIM(C367)&amp;" ")-1),",","."))-1)/MID(SUBSTITUTE(LEFT(TRIM(C367),FIND(" ",TRIM(C367)&amp;" ")-1),",","."),FIND("/",SUBSTITUTE(LEFT(TRIM(C367),FIND(" ",TRIM(C367)&amp;" ")-1),",","."))+1,9))*12/52,IF(ISNUMBER(SEARCH("month",C367)),IFERROR(_xlfn.NUMBERVALUE(SUBSTITUTE(LEFT(TRIM(C367),FIND(" ",TRIM(C367)&amp;" ")-1),",","."),"."),LEFT(SUBSTITUTE(LEFT(TRIM(C367),FIND(" ",TRIM(C367)&amp;" ")-1),",","."),FIND("/",SUBSTITUTE(LEFT(TRIM(C367),FIND(" ",TRIM(C367)&amp;" ")-1),",","."))-1)/MID(SUBSTITUTE(LEFT(TRIM(C367),FIND(" ",TRIM(C367)&amp;" ")-1),",","."),FIND("/",SUBSTITUTE(LEFT(TRIM(C367),FIND(" ",TRIM(C367)&amp;" ")-1),",","."))+1,9)),IF(ISNUMBER(SEARCH("yea",C367)),IFERROR(_xlfn.NUMBERVALUE(SUBSTITUTE(LEFT(TRIM(C367),FIND(" ",TRIM(C367)&amp;" ")-1),",","."),"."),LEFT(SUBSTITUTE(LEFT(TRIM(C367),FIND(" ",TRIM(C367)&amp;" ")-1),",","."),FIND("/",SUBSTITUTE(LEFT(TRIM(C367),FIND(" ",TRIM(C367)&amp;" ")-1),",","."))-1)/MID(SUBSTITUTE(LEFT(TRIM(C367),FIND(" ",TRIM(C367)&amp;" ")-1),",","."),FIND("/",SUBSTITUTE(LEFT(TRIM(C367),FIND(" ",TRIM(C367)&amp;" ")-1),",","."))+1,9))*12,NA()))),0),24)*'Aturan &amp; Tarif'!$B$4,2)</f>
        <v>1362.72</v>
      </c>
      <c r="K367" s="32" t="n">
        <f aca="false">'Aturan &amp; Tarif'!$B$5</f>
        <v>2050</v>
      </c>
      <c r="L367" s="35" t="n">
        <f aca="false">I367+J367+K367</f>
        <v>31862.72</v>
      </c>
      <c r="M367" s="37" t="s">
        <v>1553</v>
      </c>
    </row>
    <row r="368" customFormat="false" ht="25.5" hidden="false" customHeight="true" outlineLevel="0" collapsed="false">
      <c r="A368" s="29"/>
      <c r="B368" s="30" t="s">
        <v>1555</v>
      </c>
      <c r="C368" s="31" t="s">
        <v>107</v>
      </c>
      <c r="D368" s="31" t="s">
        <v>108</v>
      </c>
      <c r="E368" s="32" t="n">
        <v>14150</v>
      </c>
      <c r="F368" s="32"/>
      <c r="G368" s="32" t="n">
        <v>150</v>
      </c>
      <c r="H368" s="33" t="n">
        <v>2</v>
      </c>
      <c r="I368" s="34" t="n">
        <f aca="false">E368*H368+N(F368)+N(G368)</f>
        <v>28450</v>
      </c>
      <c r="J368" s="32" t="n">
        <f aca="false">ROUND(IFERROR(ROUND(IF(OR(ISNUMBER(SEARCH("week",C368)),ISNUMBER(SEARCH("minggu",C368))),IFERROR(_xlfn.NUMBERVALUE(SUBSTITUTE(LEFT(TRIM(C368),FIND(" ",TRIM(C368)&amp;" ")-1),",","."),"."),LEFT(SUBSTITUTE(LEFT(TRIM(C368),FIND(" ",TRIM(C368)&amp;" ")-1),",","."),FIND("/",SUBSTITUTE(LEFT(TRIM(C368),FIND(" ",TRIM(C368)&amp;" ")-1),",","."))-1)/MID(SUBSTITUTE(LEFT(TRIM(C368),FIND(" ",TRIM(C368)&amp;" ")-1),",","."),FIND("/",SUBSTITUTE(LEFT(TRIM(C368),FIND(" ",TRIM(C368)&amp;" ")-1),",","."))+1,9))*12/52,IF(ISNUMBER(SEARCH("month",C368)),IFERROR(_xlfn.NUMBERVALUE(SUBSTITUTE(LEFT(TRIM(C368),FIND(" ",TRIM(C368)&amp;" ")-1),",","."),"."),LEFT(SUBSTITUTE(LEFT(TRIM(C368),FIND(" ",TRIM(C368)&amp;" ")-1),",","."),FIND("/",SUBSTITUTE(LEFT(TRIM(C368),FIND(" ",TRIM(C368)&amp;" ")-1),",","."))-1)/MID(SUBSTITUTE(LEFT(TRIM(C368),FIND(" ",TRIM(C368)&amp;" ")-1),",","."),FIND("/",SUBSTITUTE(LEFT(TRIM(C368),FIND(" ",TRIM(C368)&amp;" ")-1),",","."))+1,9)),IF(ISNUMBER(SEARCH("yea",C368)),IFERROR(_xlfn.NUMBERVALUE(SUBSTITUTE(LEFT(TRIM(C368),FIND(" ",TRIM(C368)&amp;" ")-1),",","."),"."),LEFT(SUBSTITUTE(LEFT(TRIM(C368),FIND(" ",TRIM(C368)&amp;" ")-1),",","."),FIND("/",SUBSTITUTE(LEFT(TRIM(C368),FIND(" ",TRIM(C368)&amp;" ")-1),",","."))-1)/MID(SUBSTITUTE(LEFT(TRIM(C368),FIND(" ",TRIM(C368)&amp;" ")-1),",","."),FIND("/",SUBSTITUTE(LEFT(TRIM(C368),FIND(" ",TRIM(C368)&amp;" ")-1),",","."))+1,9))*12,NA()))),0),24)*'Aturan &amp; Tarif'!$B$4,2)</f>
        <v>1362.72</v>
      </c>
      <c r="K368" s="32" t="n">
        <f aca="false">'Aturan &amp; Tarif'!$B$5</f>
        <v>2050</v>
      </c>
      <c r="L368" s="35" t="n">
        <f aca="false">I368+J368+K368</f>
        <v>31862.72</v>
      </c>
      <c r="M368" s="37" t="s">
        <v>1553</v>
      </c>
    </row>
    <row r="369" customFormat="false" ht="25.5" hidden="false" customHeight="true" outlineLevel="0" collapsed="false">
      <c r="A369" s="29"/>
      <c r="B369" s="30" t="s">
        <v>1556</v>
      </c>
      <c r="C369" s="31" t="s">
        <v>107</v>
      </c>
      <c r="D369" s="31" t="s">
        <v>108</v>
      </c>
      <c r="E369" s="32" t="n">
        <v>14150</v>
      </c>
      <c r="F369" s="32"/>
      <c r="G369" s="32" t="n">
        <v>150</v>
      </c>
      <c r="H369" s="33" t="n">
        <v>2</v>
      </c>
      <c r="I369" s="34" t="n">
        <f aca="false">E369*H369+N(F369)+N(G369)</f>
        <v>28450</v>
      </c>
      <c r="J369" s="32" t="n">
        <f aca="false">ROUND(IFERROR(ROUND(IF(OR(ISNUMBER(SEARCH("week",C369)),ISNUMBER(SEARCH("minggu",C369))),IFERROR(_xlfn.NUMBERVALUE(SUBSTITUTE(LEFT(TRIM(C369),FIND(" ",TRIM(C369)&amp;" ")-1),",","."),"."),LEFT(SUBSTITUTE(LEFT(TRIM(C369),FIND(" ",TRIM(C369)&amp;" ")-1),",","."),FIND("/",SUBSTITUTE(LEFT(TRIM(C369),FIND(" ",TRIM(C369)&amp;" ")-1),",","."))-1)/MID(SUBSTITUTE(LEFT(TRIM(C369),FIND(" ",TRIM(C369)&amp;" ")-1),",","."),FIND("/",SUBSTITUTE(LEFT(TRIM(C369),FIND(" ",TRIM(C369)&amp;" ")-1),",","."))+1,9))*12/52,IF(ISNUMBER(SEARCH("month",C369)),IFERROR(_xlfn.NUMBERVALUE(SUBSTITUTE(LEFT(TRIM(C369),FIND(" ",TRIM(C369)&amp;" ")-1),",","."),"."),LEFT(SUBSTITUTE(LEFT(TRIM(C369),FIND(" ",TRIM(C369)&amp;" ")-1),",","."),FIND("/",SUBSTITUTE(LEFT(TRIM(C369),FIND(" ",TRIM(C369)&amp;" ")-1),",","."))-1)/MID(SUBSTITUTE(LEFT(TRIM(C369),FIND(" ",TRIM(C369)&amp;" ")-1),",","."),FIND("/",SUBSTITUTE(LEFT(TRIM(C369),FIND(" ",TRIM(C369)&amp;" ")-1),",","."))+1,9)),IF(ISNUMBER(SEARCH("yea",C369)),IFERROR(_xlfn.NUMBERVALUE(SUBSTITUTE(LEFT(TRIM(C369),FIND(" ",TRIM(C369)&amp;" ")-1),",","."),"."),LEFT(SUBSTITUTE(LEFT(TRIM(C369),FIND(" ",TRIM(C369)&amp;" ")-1),",","."),FIND("/",SUBSTITUTE(LEFT(TRIM(C369),FIND(" ",TRIM(C369)&amp;" ")-1),",","."))-1)/MID(SUBSTITUTE(LEFT(TRIM(C369),FIND(" ",TRIM(C369)&amp;" ")-1),",","."),FIND("/",SUBSTITUTE(LEFT(TRIM(C369),FIND(" ",TRIM(C369)&amp;" ")-1),",","."))+1,9))*12,NA()))),0),24)*'Aturan &amp; Tarif'!$B$4,2)</f>
        <v>1362.72</v>
      </c>
      <c r="K369" s="32" t="n">
        <f aca="false">'Aturan &amp; Tarif'!$B$5</f>
        <v>2050</v>
      </c>
      <c r="L369" s="35" t="n">
        <f aca="false">I369+J369+K369</f>
        <v>31862.72</v>
      </c>
      <c r="M369" s="37" t="s">
        <v>1553</v>
      </c>
    </row>
    <row r="370" customFormat="false" ht="25.5" hidden="false" customHeight="true" outlineLevel="0" collapsed="false">
      <c r="A370" s="29"/>
      <c r="B370" s="30" t="s">
        <v>1557</v>
      </c>
      <c r="C370" s="31" t="s">
        <v>107</v>
      </c>
      <c r="D370" s="31" t="s">
        <v>108</v>
      </c>
      <c r="E370" s="32" t="n">
        <v>14150</v>
      </c>
      <c r="F370" s="32"/>
      <c r="G370" s="32" t="n">
        <v>150</v>
      </c>
      <c r="H370" s="33" t="n">
        <v>2</v>
      </c>
      <c r="I370" s="34" t="n">
        <f aca="false">E370*H370+N(F370)+N(G370)</f>
        <v>28450</v>
      </c>
      <c r="J370" s="32" t="n">
        <f aca="false">ROUND(IFERROR(ROUND(IF(OR(ISNUMBER(SEARCH("week",C370)),ISNUMBER(SEARCH("minggu",C370))),IFERROR(_xlfn.NUMBERVALUE(SUBSTITUTE(LEFT(TRIM(C370),FIND(" ",TRIM(C370)&amp;" ")-1),",","."),"."),LEFT(SUBSTITUTE(LEFT(TRIM(C370),FIND(" ",TRIM(C370)&amp;" ")-1),",","."),FIND("/",SUBSTITUTE(LEFT(TRIM(C370),FIND(" ",TRIM(C370)&amp;" ")-1),",","."))-1)/MID(SUBSTITUTE(LEFT(TRIM(C370),FIND(" ",TRIM(C370)&amp;" ")-1),",","."),FIND("/",SUBSTITUTE(LEFT(TRIM(C370),FIND(" ",TRIM(C370)&amp;" ")-1),",","."))+1,9))*12/52,IF(ISNUMBER(SEARCH("month",C370)),IFERROR(_xlfn.NUMBERVALUE(SUBSTITUTE(LEFT(TRIM(C370),FIND(" ",TRIM(C370)&amp;" ")-1),",","."),"."),LEFT(SUBSTITUTE(LEFT(TRIM(C370),FIND(" ",TRIM(C370)&amp;" ")-1),",","."),FIND("/",SUBSTITUTE(LEFT(TRIM(C370),FIND(" ",TRIM(C370)&amp;" ")-1),",","."))-1)/MID(SUBSTITUTE(LEFT(TRIM(C370),FIND(" ",TRIM(C370)&amp;" ")-1),",","."),FIND("/",SUBSTITUTE(LEFT(TRIM(C370),FIND(" ",TRIM(C370)&amp;" ")-1),",","."))+1,9)),IF(ISNUMBER(SEARCH("yea",C370)),IFERROR(_xlfn.NUMBERVALUE(SUBSTITUTE(LEFT(TRIM(C370),FIND(" ",TRIM(C370)&amp;" ")-1),",","."),"."),LEFT(SUBSTITUTE(LEFT(TRIM(C370),FIND(" ",TRIM(C370)&amp;" ")-1),",","."),FIND("/",SUBSTITUTE(LEFT(TRIM(C370),FIND(" ",TRIM(C370)&amp;" ")-1),",","."))-1)/MID(SUBSTITUTE(LEFT(TRIM(C370),FIND(" ",TRIM(C370)&amp;" ")-1),",","."),FIND("/",SUBSTITUTE(LEFT(TRIM(C370),FIND(" ",TRIM(C370)&amp;" ")-1),",","."))+1,9))*12,NA()))),0),24)*'Aturan &amp; Tarif'!$B$4,2)</f>
        <v>1362.72</v>
      </c>
      <c r="K370" s="32" t="n">
        <f aca="false">'Aturan &amp; Tarif'!$B$5</f>
        <v>2050</v>
      </c>
      <c r="L370" s="35" t="n">
        <f aca="false">I370+J370+K370</f>
        <v>31862.72</v>
      </c>
      <c r="M370" s="37" t="s">
        <v>1553</v>
      </c>
    </row>
    <row r="371" customFormat="false" ht="14.25" hidden="false" customHeight="true" outlineLevel="0" collapsed="false">
      <c r="A371" s="29"/>
      <c r="B371" s="30" t="s">
        <v>373</v>
      </c>
      <c r="C371" s="31" t="s">
        <v>107</v>
      </c>
      <c r="D371" s="31" t="s">
        <v>108</v>
      </c>
      <c r="E371" s="32" t="n">
        <v>11275</v>
      </c>
      <c r="F371" s="32"/>
      <c r="G371" s="32" t="n">
        <v>150</v>
      </c>
      <c r="H371" s="33" t="n">
        <v>2</v>
      </c>
      <c r="I371" s="34" t="n">
        <f aca="false">E371*H371+N(F371)+N(G371)</f>
        <v>22700</v>
      </c>
      <c r="J371" s="32" t="n">
        <f aca="false">ROUND(IFERROR(ROUND(IF(OR(ISNUMBER(SEARCH("week",C371)),ISNUMBER(SEARCH("minggu",C371))),IFERROR(_xlfn.NUMBERVALUE(SUBSTITUTE(LEFT(TRIM(C371),FIND(" ",TRIM(C371)&amp;" ")-1),",","."),"."),LEFT(SUBSTITUTE(LEFT(TRIM(C371),FIND(" ",TRIM(C371)&amp;" ")-1),",","."),FIND("/",SUBSTITUTE(LEFT(TRIM(C371),FIND(" ",TRIM(C371)&amp;" ")-1),",","."))-1)/MID(SUBSTITUTE(LEFT(TRIM(C371),FIND(" ",TRIM(C371)&amp;" ")-1),",","."),FIND("/",SUBSTITUTE(LEFT(TRIM(C371),FIND(" ",TRIM(C371)&amp;" ")-1),",","."))+1,9))*12/52,IF(ISNUMBER(SEARCH("month",C371)),IFERROR(_xlfn.NUMBERVALUE(SUBSTITUTE(LEFT(TRIM(C371),FIND(" ",TRIM(C371)&amp;" ")-1),",","."),"."),LEFT(SUBSTITUTE(LEFT(TRIM(C371),FIND(" ",TRIM(C371)&amp;" ")-1),",","."),FIND("/",SUBSTITUTE(LEFT(TRIM(C371),FIND(" ",TRIM(C371)&amp;" ")-1),",","."))-1)/MID(SUBSTITUTE(LEFT(TRIM(C371),FIND(" ",TRIM(C371)&amp;" ")-1),",","."),FIND("/",SUBSTITUTE(LEFT(TRIM(C371),FIND(" ",TRIM(C371)&amp;" ")-1),",","."))+1,9)),IF(ISNUMBER(SEARCH("yea",C371)),IFERROR(_xlfn.NUMBERVALUE(SUBSTITUTE(LEFT(TRIM(C371),FIND(" ",TRIM(C371)&amp;" ")-1),",","."),"."),LEFT(SUBSTITUTE(LEFT(TRIM(C371),FIND(" ",TRIM(C371)&amp;" ")-1),",","."),FIND("/",SUBSTITUTE(LEFT(TRIM(C371),FIND(" ",TRIM(C371)&amp;" ")-1),",","."))-1)/MID(SUBSTITUTE(LEFT(TRIM(C371),FIND(" ",TRIM(C371)&amp;" ")-1),",","."),FIND("/",SUBSTITUTE(LEFT(TRIM(C371),FIND(" ",TRIM(C371)&amp;" ")-1),",","."))+1,9))*12,NA()))),0),24)*'Aturan &amp; Tarif'!$B$4,2)</f>
        <v>1362.72</v>
      </c>
      <c r="K371" s="32" t="n">
        <f aca="false">'Aturan &amp; Tarif'!$B$5</f>
        <v>2050</v>
      </c>
      <c r="L371" s="35" t="n">
        <f aca="false">I371+J371+K371</f>
        <v>26112.72</v>
      </c>
      <c r="M371" s="37" t="s">
        <v>846</v>
      </c>
    </row>
    <row r="372" customFormat="false" ht="25.5" hidden="false" customHeight="true" outlineLevel="0" collapsed="false">
      <c r="A372" s="29"/>
      <c r="B372" s="30" t="s">
        <v>450</v>
      </c>
      <c r="C372" s="31" t="s">
        <v>107</v>
      </c>
      <c r="D372" s="31" t="s">
        <v>108</v>
      </c>
      <c r="E372" s="32" t="n">
        <v>11275</v>
      </c>
      <c r="F372" s="32"/>
      <c r="G372" s="32" t="n">
        <v>150</v>
      </c>
      <c r="H372" s="33" t="n">
        <v>2</v>
      </c>
      <c r="I372" s="34" t="n">
        <f aca="false">E372*H372+N(F372)+N(G372)</f>
        <v>22700</v>
      </c>
      <c r="J372" s="32" t="n">
        <f aca="false">ROUND(IFERROR(ROUND(IF(OR(ISNUMBER(SEARCH("week",C372)),ISNUMBER(SEARCH("minggu",C372))),IFERROR(_xlfn.NUMBERVALUE(SUBSTITUTE(LEFT(TRIM(C372),FIND(" ",TRIM(C372)&amp;" ")-1),",","."),"."),LEFT(SUBSTITUTE(LEFT(TRIM(C372),FIND(" ",TRIM(C372)&amp;" ")-1),",","."),FIND("/",SUBSTITUTE(LEFT(TRIM(C372),FIND(" ",TRIM(C372)&amp;" ")-1),",","."))-1)/MID(SUBSTITUTE(LEFT(TRIM(C372),FIND(" ",TRIM(C372)&amp;" ")-1),",","."),FIND("/",SUBSTITUTE(LEFT(TRIM(C372),FIND(" ",TRIM(C372)&amp;" ")-1),",","."))+1,9))*12/52,IF(ISNUMBER(SEARCH("month",C372)),IFERROR(_xlfn.NUMBERVALUE(SUBSTITUTE(LEFT(TRIM(C372),FIND(" ",TRIM(C372)&amp;" ")-1),",","."),"."),LEFT(SUBSTITUTE(LEFT(TRIM(C372),FIND(" ",TRIM(C372)&amp;" ")-1),",","."),FIND("/",SUBSTITUTE(LEFT(TRIM(C372),FIND(" ",TRIM(C372)&amp;" ")-1),",","."))-1)/MID(SUBSTITUTE(LEFT(TRIM(C372),FIND(" ",TRIM(C372)&amp;" ")-1),",","."),FIND("/",SUBSTITUTE(LEFT(TRIM(C372),FIND(" ",TRIM(C372)&amp;" ")-1),",","."))+1,9)),IF(ISNUMBER(SEARCH("yea",C372)),IFERROR(_xlfn.NUMBERVALUE(SUBSTITUTE(LEFT(TRIM(C372),FIND(" ",TRIM(C372)&amp;" ")-1),",","."),"."),LEFT(SUBSTITUTE(LEFT(TRIM(C372),FIND(" ",TRIM(C372)&amp;" ")-1),",","."),FIND("/",SUBSTITUTE(LEFT(TRIM(C372),FIND(" ",TRIM(C372)&amp;" ")-1),",","."))-1)/MID(SUBSTITUTE(LEFT(TRIM(C372),FIND(" ",TRIM(C372)&amp;" ")-1),",","."),FIND("/",SUBSTITUTE(LEFT(TRIM(C372),FIND(" ",TRIM(C372)&amp;" ")-1),",","."))+1,9))*12,NA()))),0),24)*'Aturan &amp; Tarif'!$B$4,2)</f>
        <v>1362.72</v>
      </c>
      <c r="K372" s="32" t="n">
        <f aca="false">'Aturan &amp; Tarif'!$B$5</f>
        <v>2050</v>
      </c>
      <c r="L372" s="35" t="n">
        <f aca="false">I372+J372+K372</f>
        <v>26112.72</v>
      </c>
      <c r="M372" s="37" t="s">
        <v>846</v>
      </c>
    </row>
    <row r="373" customFormat="false" ht="14.25" hidden="false" customHeight="true" outlineLevel="0" collapsed="false">
      <c r="A373" s="29"/>
      <c r="B373" s="30" t="s">
        <v>376</v>
      </c>
      <c r="C373" s="31" t="s">
        <v>107</v>
      </c>
      <c r="D373" s="31" t="s">
        <v>108</v>
      </c>
      <c r="E373" s="32" t="n">
        <v>11275</v>
      </c>
      <c r="F373" s="32"/>
      <c r="G373" s="32" t="n">
        <v>150</v>
      </c>
      <c r="H373" s="33" t="n">
        <v>2</v>
      </c>
      <c r="I373" s="34" t="n">
        <f aca="false">E373*H373+N(F373)+N(G373)</f>
        <v>22700</v>
      </c>
      <c r="J373" s="32" t="n">
        <f aca="false">ROUND(IFERROR(ROUND(IF(OR(ISNUMBER(SEARCH("week",C373)),ISNUMBER(SEARCH("minggu",C373))),IFERROR(_xlfn.NUMBERVALUE(SUBSTITUTE(LEFT(TRIM(C373),FIND(" ",TRIM(C373)&amp;" ")-1),",","."),"."),LEFT(SUBSTITUTE(LEFT(TRIM(C373),FIND(" ",TRIM(C373)&amp;" ")-1),",","."),FIND("/",SUBSTITUTE(LEFT(TRIM(C373),FIND(" ",TRIM(C373)&amp;" ")-1),",","."))-1)/MID(SUBSTITUTE(LEFT(TRIM(C373),FIND(" ",TRIM(C373)&amp;" ")-1),",","."),FIND("/",SUBSTITUTE(LEFT(TRIM(C373),FIND(" ",TRIM(C373)&amp;" ")-1),",","."))+1,9))*12/52,IF(ISNUMBER(SEARCH("month",C373)),IFERROR(_xlfn.NUMBERVALUE(SUBSTITUTE(LEFT(TRIM(C373),FIND(" ",TRIM(C373)&amp;" ")-1),",","."),"."),LEFT(SUBSTITUTE(LEFT(TRIM(C373),FIND(" ",TRIM(C373)&amp;" ")-1),",","."),FIND("/",SUBSTITUTE(LEFT(TRIM(C373),FIND(" ",TRIM(C373)&amp;" ")-1),",","."))-1)/MID(SUBSTITUTE(LEFT(TRIM(C373),FIND(" ",TRIM(C373)&amp;" ")-1),",","."),FIND("/",SUBSTITUTE(LEFT(TRIM(C373),FIND(" ",TRIM(C373)&amp;" ")-1),",","."))+1,9)),IF(ISNUMBER(SEARCH("yea",C373)),IFERROR(_xlfn.NUMBERVALUE(SUBSTITUTE(LEFT(TRIM(C373),FIND(" ",TRIM(C373)&amp;" ")-1),",","."),"."),LEFT(SUBSTITUTE(LEFT(TRIM(C373),FIND(" ",TRIM(C373)&amp;" ")-1),",","."),FIND("/",SUBSTITUTE(LEFT(TRIM(C373),FIND(" ",TRIM(C373)&amp;" ")-1),",","."))-1)/MID(SUBSTITUTE(LEFT(TRIM(C373),FIND(" ",TRIM(C373)&amp;" ")-1),",","."),FIND("/",SUBSTITUTE(LEFT(TRIM(C373),FIND(" ",TRIM(C373)&amp;" ")-1),",","."))+1,9))*12,NA()))),0),24)*'Aturan &amp; Tarif'!$B$4,2)</f>
        <v>1362.72</v>
      </c>
      <c r="K373" s="32" t="n">
        <f aca="false">'Aturan &amp; Tarif'!$B$5</f>
        <v>2050</v>
      </c>
      <c r="L373" s="35" t="n">
        <f aca="false">I373+J373+K373</f>
        <v>26112.72</v>
      </c>
      <c r="M373" s="37" t="s">
        <v>846</v>
      </c>
    </row>
    <row r="374" customFormat="false" ht="14.25" hidden="false" customHeight="true" outlineLevel="0" collapsed="false">
      <c r="A374" s="29"/>
      <c r="B374" s="30" t="s">
        <v>377</v>
      </c>
      <c r="C374" s="31" t="s">
        <v>107</v>
      </c>
      <c r="D374" s="31" t="s">
        <v>108</v>
      </c>
      <c r="E374" s="32" t="n">
        <v>11275</v>
      </c>
      <c r="F374" s="32"/>
      <c r="G374" s="32" t="n">
        <v>150</v>
      </c>
      <c r="H374" s="33" t="n">
        <v>2</v>
      </c>
      <c r="I374" s="34" t="n">
        <f aca="false">E374*H374+N(F374)+N(G374)</f>
        <v>22700</v>
      </c>
      <c r="J374" s="32" t="n">
        <f aca="false">ROUND(IFERROR(ROUND(IF(OR(ISNUMBER(SEARCH("week",C374)),ISNUMBER(SEARCH("minggu",C374))),IFERROR(_xlfn.NUMBERVALUE(SUBSTITUTE(LEFT(TRIM(C374),FIND(" ",TRIM(C374)&amp;" ")-1),",","."),"."),LEFT(SUBSTITUTE(LEFT(TRIM(C374),FIND(" ",TRIM(C374)&amp;" ")-1),",","."),FIND("/",SUBSTITUTE(LEFT(TRIM(C374),FIND(" ",TRIM(C374)&amp;" ")-1),",","."))-1)/MID(SUBSTITUTE(LEFT(TRIM(C374),FIND(" ",TRIM(C374)&amp;" ")-1),",","."),FIND("/",SUBSTITUTE(LEFT(TRIM(C374),FIND(" ",TRIM(C374)&amp;" ")-1),",","."))+1,9))*12/52,IF(ISNUMBER(SEARCH("month",C374)),IFERROR(_xlfn.NUMBERVALUE(SUBSTITUTE(LEFT(TRIM(C374),FIND(" ",TRIM(C374)&amp;" ")-1),",","."),"."),LEFT(SUBSTITUTE(LEFT(TRIM(C374),FIND(" ",TRIM(C374)&amp;" ")-1),",","."),FIND("/",SUBSTITUTE(LEFT(TRIM(C374),FIND(" ",TRIM(C374)&amp;" ")-1),",","."))-1)/MID(SUBSTITUTE(LEFT(TRIM(C374),FIND(" ",TRIM(C374)&amp;" ")-1),",","."),FIND("/",SUBSTITUTE(LEFT(TRIM(C374),FIND(" ",TRIM(C374)&amp;" ")-1),",","."))+1,9)),IF(ISNUMBER(SEARCH("yea",C374)),IFERROR(_xlfn.NUMBERVALUE(SUBSTITUTE(LEFT(TRIM(C374),FIND(" ",TRIM(C374)&amp;" ")-1),",","."),"."),LEFT(SUBSTITUTE(LEFT(TRIM(C374),FIND(" ",TRIM(C374)&amp;" ")-1),",","."),FIND("/",SUBSTITUTE(LEFT(TRIM(C374),FIND(" ",TRIM(C374)&amp;" ")-1),",","."))-1)/MID(SUBSTITUTE(LEFT(TRIM(C374),FIND(" ",TRIM(C374)&amp;" ")-1),",","."),FIND("/",SUBSTITUTE(LEFT(TRIM(C374),FIND(" ",TRIM(C374)&amp;" ")-1),",","."))+1,9))*12,NA()))),0),24)*'Aturan &amp; Tarif'!$B$4,2)</f>
        <v>1362.72</v>
      </c>
      <c r="K374" s="32" t="n">
        <f aca="false">'Aturan &amp; Tarif'!$B$5</f>
        <v>2050</v>
      </c>
      <c r="L374" s="35" t="n">
        <f aca="false">I374+J374+K374</f>
        <v>26112.72</v>
      </c>
      <c r="M374" s="37" t="s">
        <v>1558</v>
      </c>
    </row>
    <row r="375" customFormat="false" ht="25.5" hidden="false" customHeight="true" outlineLevel="0" collapsed="false">
      <c r="A375" s="29"/>
      <c r="B375" s="30" t="s">
        <v>1559</v>
      </c>
      <c r="C375" s="31" t="s">
        <v>107</v>
      </c>
      <c r="D375" s="31" t="s">
        <v>108</v>
      </c>
      <c r="E375" s="32" t="n">
        <v>13125</v>
      </c>
      <c r="F375" s="32"/>
      <c r="G375" s="32" t="n">
        <v>150</v>
      </c>
      <c r="H375" s="33" t="n">
        <v>2</v>
      </c>
      <c r="I375" s="34" t="n">
        <f aca="false">E375*H375+N(F375)+N(G375)</f>
        <v>26400</v>
      </c>
      <c r="J375" s="32" t="n">
        <f aca="false">ROUND(IFERROR(ROUND(IF(OR(ISNUMBER(SEARCH("week",C375)),ISNUMBER(SEARCH("minggu",C375))),IFERROR(_xlfn.NUMBERVALUE(SUBSTITUTE(LEFT(TRIM(C375),FIND(" ",TRIM(C375)&amp;" ")-1),",","."),"."),LEFT(SUBSTITUTE(LEFT(TRIM(C375),FIND(" ",TRIM(C375)&amp;" ")-1),",","."),FIND("/",SUBSTITUTE(LEFT(TRIM(C375),FIND(" ",TRIM(C375)&amp;" ")-1),",","."))-1)/MID(SUBSTITUTE(LEFT(TRIM(C375),FIND(" ",TRIM(C375)&amp;" ")-1),",","."),FIND("/",SUBSTITUTE(LEFT(TRIM(C375),FIND(" ",TRIM(C375)&amp;" ")-1),",","."))+1,9))*12/52,IF(ISNUMBER(SEARCH("month",C375)),IFERROR(_xlfn.NUMBERVALUE(SUBSTITUTE(LEFT(TRIM(C375),FIND(" ",TRIM(C375)&amp;" ")-1),",","."),"."),LEFT(SUBSTITUTE(LEFT(TRIM(C375),FIND(" ",TRIM(C375)&amp;" ")-1),",","."),FIND("/",SUBSTITUTE(LEFT(TRIM(C375),FIND(" ",TRIM(C375)&amp;" ")-1),",","."))-1)/MID(SUBSTITUTE(LEFT(TRIM(C375),FIND(" ",TRIM(C375)&amp;" ")-1),",","."),FIND("/",SUBSTITUTE(LEFT(TRIM(C375),FIND(" ",TRIM(C375)&amp;" ")-1),",","."))+1,9)),IF(ISNUMBER(SEARCH("yea",C375)),IFERROR(_xlfn.NUMBERVALUE(SUBSTITUTE(LEFT(TRIM(C375),FIND(" ",TRIM(C375)&amp;" ")-1),",","."),"."),LEFT(SUBSTITUTE(LEFT(TRIM(C375),FIND(" ",TRIM(C375)&amp;" ")-1),",","."),FIND("/",SUBSTITUTE(LEFT(TRIM(C375),FIND(" ",TRIM(C375)&amp;" ")-1),",","."))-1)/MID(SUBSTITUTE(LEFT(TRIM(C375),FIND(" ",TRIM(C375)&amp;" ")-1),",","."),FIND("/",SUBSTITUTE(LEFT(TRIM(C375),FIND(" ",TRIM(C375)&amp;" ")-1),",","."))+1,9))*12,NA()))),0),24)*'Aturan &amp; Tarif'!$B$4,2)</f>
        <v>1362.72</v>
      </c>
      <c r="K375" s="32" t="n">
        <f aca="false">'Aturan &amp; Tarif'!$B$5</f>
        <v>2050</v>
      </c>
      <c r="L375" s="35" t="n">
        <f aca="false">I375+J375+K375</f>
        <v>29812.72</v>
      </c>
      <c r="M375" s="37" t="s">
        <v>846</v>
      </c>
    </row>
    <row r="376" customFormat="false" ht="48.75" hidden="false" customHeight="true" outlineLevel="0" collapsed="false">
      <c r="A376" s="39" t="s">
        <v>1560</v>
      </c>
      <c r="B376" s="40" t="s">
        <v>833</v>
      </c>
      <c r="C376" s="41" t="s">
        <v>107</v>
      </c>
      <c r="D376" s="41" t="s">
        <v>108</v>
      </c>
      <c r="E376" s="42" t="n">
        <v>1250</v>
      </c>
      <c r="F376" s="42" t="n">
        <v>0</v>
      </c>
      <c r="G376" s="42" t="n">
        <v>200</v>
      </c>
      <c r="H376" s="43" t="n">
        <v>1</v>
      </c>
      <c r="I376" s="34" t="n">
        <f aca="false">E376*H376+N(F376)+N(G376)</f>
        <v>1450</v>
      </c>
      <c r="J376" s="42" t="n">
        <f aca="false">ROUND(IFERROR(ROUND(IF(OR(ISNUMBER(SEARCH("week",C376)),ISNUMBER(SEARCH("minggu",C376))),IFERROR(_xlfn.NUMBERVALUE(SUBSTITUTE(LEFT(TRIM(C376),FIND(" ",TRIM(C376)&amp;" ")-1),",","."),"."),LEFT(SUBSTITUTE(LEFT(TRIM(C376),FIND(" ",TRIM(C376)&amp;" ")-1),",","."),FIND("/",SUBSTITUTE(LEFT(TRIM(C376),FIND(" ",TRIM(C376)&amp;" ")-1),",","."))-1)/MID(SUBSTITUTE(LEFT(TRIM(C376),FIND(" ",TRIM(C376)&amp;" ")-1),",","."),FIND("/",SUBSTITUTE(LEFT(TRIM(C376),FIND(" ",TRIM(C376)&amp;" ")-1),",","."))+1,9))*12/52,IF(ISNUMBER(SEARCH("month",C376)),IFERROR(_xlfn.NUMBERVALUE(SUBSTITUTE(LEFT(TRIM(C376),FIND(" ",TRIM(C376)&amp;" ")-1),",","."),"."),LEFT(SUBSTITUTE(LEFT(TRIM(C376),FIND(" ",TRIM(C376)&amp;" ")-1),",","."),FIND("/",SUBSTITUTE(LEFT(TRIM(C376),FIND(" ",TRIM(C376)&amp;" ")-1),",","."))-1)/MID(SUBSTITUTE(LEFT(TRIM(C376),FIND(" ",TRIM(C376)&amp;" ")-1),",","."),FIND("/",SUBSTITUTE(LEFT(TRIM(C376),FIND(" ",TRIM(C376)&amp;" ")-1),",","."))+1,9)),IF(ISNUMBER(SEARCH("yea",C376)),IFERROR(_xlfn.NUMBERVALUE(SUBSTITUTE(LEFT(TRIM(C376),FIND(" ",TRIM(C376)&amp;" ")-1),",","."),"."),LEFT(SUBSTITUTE(LEFT(TRIM(C376),FIND(" ",TRIM(C376)&amp;" ")-1),",","."),FIND("/",SUBSTITUTE(LEFT(TRIM(C376),FIND(" ",TRIM(C376)&amp;" ")-1),",","."))-1)/MID(SUBSTITUTE(LEFT(TRIM(C376),FIND(" ",TRIM(C376)&amp;" ")-1),",","."),FIND("/",SUBSTITUTE(LEFT(TRIM(C376),FIND(" ",TRIM(C376)&amp;" ")-1),",","."))+1,9))*12,NA()))),0),24)*'Aturan &amp; Tarif'!$B$4,2)</f>
        <v>1362.72</v>
      </c>
      <c r="K376" s="42" t="n">
        <f aca="false">'Aturan &amp; Tarif'!$B$5</f>
        <v>2050</v>
      </c>
      <c r="L376" s="35" t="n">
        <f aca="false">I376+J376+K376</f>
        <v>4862.72</v>
      </c>
      <c r="M376" s="45" t="s">
        <v>3067</v>
      </c>
    </row>
    <row r="377" customFormat="false" ht="14.25" hidden="false" customHeight="true" outlineLevel="0" collapsed="false">
      <c r="A377" s="39"/>
      <c r="B377" s="40" t="s">
        <v>835</v>
      </c>
      <c r="C377" s="41" t="s">
        <v>107</v>
      </c>
      <c r="D377" s="41" t="s">
        <v>108</v>
      </c>
      <c r="E377" s="42" t="n">
        <v>1625</v>
      </c>
      <c r="F377" s="42" t="n">
        <v>1000</v>
      </c>
      <c r="G377" s="42" t="n">
        <v>200</v>
      </c>
      <c r="H377" s="43" t="n">
        <v>1</v>
      </c>
      <c r="I377" s="34" t="n">
        <f aca="false">E377*H377+N(F377)+N(G377)</f>
        <v>2825</v>
      </c>
      <c r="J377" s="42" t="n">
        <f aca="false">ROUND(IFERROR(ROUND(IF(OR(ISNUMBER(SEARCH("week",C377)),ISNUMBER(SEARCH("minggu",C377))),IFERROR(_xlfn.NUMBERVALUE(SUBSTITUTE(LEFT(TRIM(C377),FIND(" ",TRIM(C377)&amp;" ")-1),",","."),"."),LEFT(SUBSTITUTE(LEFT(TRIM(C377),FIND(" ",TRIM(C377)&amp;" ")-1),",","."),FIND("/",SUBSTITUTE(LEFT(TRIM(C377),FIND(" ",TRIM(C377)&amp;" ")-1),",","."))-1)/MID(SUBSTITUTE(LEFT(TRIM(C377),FIND(" ",TRIM(C377)&amp;" ")-1),",","."),FIND("/",SUBSTITUTE(LEFT(TRIM(C377),FIND(" ",TRIM(C377)&amp;" ")-1),",","."))+1,9))*12/52,IF(ISNUMBER(SEARCH("month",C377)),IFERROR(_xlfn.NUMBERVALUE(SUBSTITUTE(LEFT(TRIM(C377),FIND(" ",TRIM(C377)&amp;" ")-1),",","."),"."),LEFT(SUBSTITUTE(LEFT(TRIM(C377),FIND(" ",TRIM(C377)&amp;" ")-1),",","."),FIND("/",SUBSTITUTE(LEFT(TRIM(C377),FIND(" ",TRIM(C377)&amp;" ")-1),",","."))-1)/MID(SUBSTITUTE(LEFT(TRIM(C377),FIND(" ",TRIM(C377)&amp;" ")-1),",","."),FIND("/",SUBSTITUTE(LEFT(TRIM(C377),FIND(" ",TRIM(C377)&amp;" ")-1),",","."))+1,9)),IF(ISNUMBER(SEARCH("yea",C377)),IFERROR(_xlfn.NUMBERVALUE(SUBSTITUTE(LEFT(TRIM(C377),FIND(" ",TRIM(C377)&amp;" ")-1),",","."),"."),LEFT(SUBSTITUTE(LEFT(TRIM(C377),FIND(" ",TRIM(C377)&amp;" ")-1),",","."),FIND("/",SUBSTITUTE(LEFT(TRIM(C377),FIND(" ",TRIM(C377)&amp;" ")-1),",","."))-1)/MID(SUBSTITUTE(LEFT(TRIM(C377),FIND(" ",TRIM(C377)&amp;" ")-1),",","."),FIND("/",SUBSTITUTE(LEFT(TRIM(C377),FIND(" ",TRIM(C377)&amp;" ")-1),",","."))+1,9))*12,NA()))),0),24)*'Aturan &amp; Tarif'!$B$4,2)</f>
        <v>1362.72</v>
      </c>
      <c r="K377" s="42" t="n">
        <f aca="false">'Aturan &amp; Tarif'!$B$5</f>
        <v>2050</v>
      </c>
      <c r="L377" s="35" t="n">
        <f aca="false">I377+J377+K377</f>
        <v>6237.72</v>
      </c>
      <c r="M377" s="45" t="s">
        <v>3068</v>
      </c>
    </row>
    <row r="378" customFormat="false" ht="25.5" hidden="false" customHeight="true" outlineLevel="0" collapsed="false">
      <c r="A378" s="39"/>
      <c r="B378" s="40" t="s">
        <v>837</v>
      </c>
      <c r="C378" s="41" t="s">
        <v>107</v>
      </c>
      <c r="D378" s="41" t="s">
        <v>108</v>
      </c>
      <c r="E378" s="42" t="n">
        <v>2375</v>
      </c>
      <c r="F378" s="42" t="n">
        <v>500</v>
      </c>
      <c r="G378" s="42" t="n">
        <v>200</v>
      </c>
      <c r="H378" s="43" t="n">
        <v>1</v>
      </c>
      <c r="I378" s="34" t="n">
        <f aca="false">E378*H378+N(F378)+N(G378)</f>
        <v>3075</v>
      </c>
      <c r="J378" s="42" t="n">
        <f aca="false">ROUND(IFERROR(ROUND(IF(OR(ISNUMBER(SEARCH("week",C378)),ISNUMBER(SEARCH("minggu",C378))),IFERROR(_xlfn.NUMBERVALUE(SUBSTITUTE(LEFT(TRIM(C378),FIND(" ",TRIM(C378)&amp;" ")-1),",","."),"."),LEFT(SUBSTITUTE(LEFT(TRIM(C378),FIND(" ",TRIM(C378)&amp;" ")-1),",","."),FIND("/",SUBSTITUTE(LEFT(TRIM(C378),FIND(" ",TRIM(C378)&amp;" ")-1),",","."))-1)/MID(SUBSTITUTE(LEFT(TRIM(C378),FIND(" ",TRIM(C378)&amp;" ")-1),",","."),FIND("/",SUBSTITUTE(LEFT(TRIM(C378),FIND(" ",TRIM(C378)&amp;" ")-1),",","."))+1,9))*12/52,IF(ISNUMBER(SEARCH("month",C378)),IFERROR(_xlfn.NUMBERVALUE(SUBSTITUTE(LEFT(TRIM(C378),FIND(" ",TRIM(C378)&amp;" ")-1),",","."),"."),LEFT(SUBSTITUTE(LEFT(TRIM(C378),FIND(" ",TRIM(C378)&amp;" ")-1),",","."),FIND("/",SUBSTITUTE(LEFT(TRIM(C378),FIND(" ",TRIM(C378)&amp;" ")-1),",","."))-1)/MID(SUBSTITUTE(LEFT(TRIM(C378),FIND(" ",TRIM(C378)&amp;" ")-1),",","."),FIND("/",SUBSTITUTE(LEFT(TRIM(C378),FIND(" ",TRIM(C378)&amp;" ")-1),",","."))+1,9)),IF(ISNUMBER(SEARCH("yea",C378)),IFERROR(_xlfn.NUMBERVALUE(SUBSTITUTE(LEFT(TRIM(C378),FIND(" ",TRIM(C378)&amp;" ")-1),",","."),"."),LEFT(SUBSTITUTE(LEFT(TRIM(C378),FIND(" ",TRIM(C378)&amp;" ")-1),",","."),FIND("/",SUBSTITUTE(LEFT(TRIM(C378),FIND(" ",TRIM(C378)&amp;" ")-1),",","."))-1)/MID(SUBSTITUTE(LEFT(TRIM(C378),FIND(" ",TRIM(C378)&amp;" ")-1),",","."),FIND("/",SUBSTITUTE(LEFT(TRIM(C378),FIND(" ",TRIM(C378)&amp;" ")-1),",","."))+1,9))*12,NA()))),0),24)*'Aturan &amp; Tarif'!$B$4,2)</f>
        <v>1362.72</v>
      </c>
      <c r="K378" s="42" t="n">
        <f aca="false">'Aturan &amp; Tarif'!$B$5</f>
        <v>2050</v>
      </c>
      <c r="L378" s="35" t="n">
        <f aca="false">I378+J378+K378</f>
        <v>6487.72</v>
      </c>
      <c r="M378" s="45" t="s">
        <v>3068</v>
      </c>
    </row>
    <row r="379" customFormat="false" ht="37.5" hidden="false" customHeight="true" outlineLevel="0" collapsed="false">
      <c r="A379" s="39"/>
      <c r="B379" s="40" t="s">
        <v>1561</v>
      </c>
      <c r="C379" s="41" t="s">
        <v>107</v>
      </c>
      <c r="D379" s="41" t="s">
        <v>108</v>
      </c>
      <c r="E379" s="42" t="n">
        <v>1875</v>
      </c>
      <c r="F379" s="42" t="n">
        <v>1500</v>
      </c>
      <c r="G379" s="42" t="n">
        <v>200</v>
      </c>
      <c r="H379" s="43" t="n">
        <v>1</v>
      </c>
      <c r="I379" s="34" t="n">
        <f aca="false">E379*H379+N(F379)+N(G379)</f>
        <v>3575</v>
      </c>
      <c r="J379" s="42" t="n">
        <f aca="false">ROUND(IFERROR(ROUND(IF(OR(ISNUMBER(SEARCH("week",C379)),ISNUMBER(SEARCH("minggu",C379))),IFERROR(_xlfn.NUMBERVALUE(SUBSTITUTE(LEFT(TRIM(C379),FIND(" ",TRIM(C379)&amp;" ")-1),",","."),"."),LEFT(SUBSTITUTE(LEFT(TRIM(C379),FIND(" ",TRIM(C379)&amp;" ")-1),",","."),FIND("/",SUBSTITUTE(LEFT(TRIM(C379),FIND(" ",TRIM(C379)&amp;" ")-1),",","."))-1)/MID(SUBSTITUTE(LEFT(TRIM(C379),FIND(" ",TRIM(C379)&amp;" ")-1),",","."),FIND("/",SUBSTITUTE(LEFT(TRIM(C379),FIND(" ",TRIM(C379)&amp;" ")-1),",","."))+1,9))*12/52,IF(ISNUMBER(SEARCH("month",C379)),IFERROR(_xlfn.NUMBERVALUE(SUBSTITUTE(LEFT(TRIM(C379),FIND(" ",TRIM(C379)&amp;" ")-1),",","."),"."),LEFT(SUBSTITUTE(LEFT(TRIM(C379),FIND(" ",TRIM(C379)&amp;" ")-1),",","."),FIND("/",SUBSTITUTE(LEFT(TRIM(C379),FIND(" ",TRIM(C379)&amp;" ")-1),",","."))-1)/MID(SUBSTITUTE(LEFT(TRIM(C379),FIND(" ",TRIM(C379)&amp;" ")-1),",","."),FIND("/",SUBSTITUTE(LEFT(TRIM(C379),FIND(" ",TRIM(C379)&amp;" ")-1),",","."))+1,9)),IF(ISNUMBER(SEARCH("yea",C379)),IFERROR(_xlfn.NUMBERVALUE(SUBSTITUTE(LEFT(TRIM(C379),FIND(" ",TRIM(C379)&amp;" ")-1),",","."),"."),LEFT(SUBSTITUTE(LEFT(TRIM(C379),FIND(" ",TRIM(C379)&amp;" ")-1),",","."),FIND("/",SUBSTITUTE(LEFT(TRIM(C379),FIND(" ",TRIM(C379)&amp;" ")-1),",","."))-1)/MID(SUBSTITUTE(LEFT(TRIM(C379),FIND(" ",TRIM(C379)&amp;" ")-1),",","."),FIND("/",SUBSTITUTE(LEFT(TRIM(C379),FIND(" ",TRIM(C379)&amp;" ")-1),",","."))+1,9))*12,NA()))),0),24)*'Aturan &amp; Tarif'!$B$4,2)</f>
        <v>1362.72</v>
      </c>
      <c r="K379" s="42" t="n">
        <f aca="false">'Aturan &amp; Tarif'!$B$5</f>
        <v>2050</v>
      </c>
      <c r="L379" s="35" t="n">
        <f aca="false">I379+J379+K379</f>
        <v>6987.72</v>
      </c>
      <c r="M379" s="45" t="s">
        <v>3068</v>
      </c>
    </row>
    <row r="380" customFormat="false" ht="25.5" hidden="false" customHeight="true" outlineLevel="0" collapsed="false">
      <c r="A380" s="39"/>
      <c r="B380" s="40" t="s">
        <v>1562</v>
      </c>
      <c r="C380" s="41" t="s">
        <v>107</v>
      </c>
      <c r="D380" s="41" t="s">
        <v>108</v>
      </c>
      <c r="E380" s="42" t="n">
        <v>1250</v>
      </c>
      <c r="F380" s="42" t="n">
        <v>0</v>
      </c>
      <c r="G380" s="42" t="n">
        <v>200</v>
      </c>
      <c r="H380" s="43" t="n">
        <v>1</v>
      </c>
      <c r="I380" s="34" t="n">
        <f aca="false">E380*H380+N(F380)+N(G380)</f>
        <v>1450</v>
      </c>
      <c r="J380" s="42" t="n">
        <f aca="false">ROUND(IFERROR(ROUND(IF(OR(ISNUMBER(SEARCH("week",C380)),ISNUMBER(SEARCH("minggu",C380))),IFERROR(_xlfn.NUMBERVALUE(SUBSTITUTE(LEFT(TRIM(C380),FIND(" ",TRIM(C380)&amp;" ")-1),",","."),"."),LEFT(SUBSTITUTE(LEFT(TRIM(C380),FIND(" ",TRIM(C380)&amp;" ")-1),",","."),FIND("/",SUBSTITUTE(LEFT(TRIM(C380),FIND(" ",TRIM(C380)&amp;" ")-1),",","."))-1)/MID(SUBSTITUTE(LEFT(TRIM(C380),FIND(" ",TRIM(C380)&amp;" ")-1),",","."),FIND("/",SUBSTITUTE(LEFT(TRIM(C380),FIND(" ",TRIM(C380)&amp;" ")-1),",","."))+1,9))*12/52,IF(ISNUMBER(SEARCH("month",C380)),IFERROR(_xlfn.NUMBERVALUE(SUBSTITUTE(LEFT(TRIM(C380),FIND(" ",TRIM(C380)&amp;" ")-1),",","."),"."),LEFT(SUBSTITUTE(LEFT(TRIM(C380),FIND(" ",TRIM(C380)&amp;" ")-1),",","."),FIND("/",SUBSTITUTE(LEFT(TRIM(C380),FIND(" ",TRIM(C380)&amp;" ")-1),",","."))-1)/MID(SUBSTITUTE(LEFT(TRIM(C380),FIND(" ",TRIM(C380)&amp;" ")-1),",","."),FIND("/",SUBSTITUTE(LEFT(TRIM(C380),FIND(" ",TRIM(C380)&amp;" ")-1),",","."))+1,9)),IF(ISNUMBER(SEARCH("yea",C380)),IFERROR(_xlfn.NUMBERVALUE(SUBSTITUTE(LEFT(TRIM(C380),FIND(" ",TRIM(C380)&amp;" ")-1),",","."),"."),LEFT(SUBSTITUTE(LEFT(TRIM(C380),FIND(" ",TRIM(C380)&amp;" ")-1),",","."),FIND("/",SUBSTITUTE(LEFT(TRIM(C380),FIND(" ",TRIM(C380)&amp;" ")-1),",","."))-1)/MID(SUBSTITUTE(LEFT(TRIM(C380),FIND(" ",TRIM(C380)&amp;" ")-1),",","."),FIND("/",SUBSTITUTE(LEFT(TRIM(C380),FIND(" ",TRIM(C380)&amp;" ")-1),",","."))+1,9))*12,NA()))),0),24)*'Aturan &amp; Tarif'!$B$4,2)</f>
        <v>1362.72</v>
      </c>
      <c r="K380" s="42" t="n">
        <f aca="false">'Aturan &amp; Tarif'!$B$5</f>
        <v>2050</v>
      </c>
      <c r="L380" s="35" t="n">
        <f aca="false">I380+J380+K380</f>
        <v>4862.72</v>
      </c>
      <c r="M380" s="45" t="s">
        <v>3067</v>
      </c>
    </row>
    <row r="381" customFormat="false" ht="48.75" hidden="false" customHeight="true" outlineLevel="0" collapsed="false">
      <c r="A381" s="39" t="s">
        <v>1563</v>
      </c>
      <c r="B381" s="40" t="s">
        <v>1561</v>
      </c>
      <c r="C381" s="41" t="s">
        <v>107</v>
      </c>
      <c r="D381" s="41" t="s">
        <v>108</v>
      </c>
      <c r="E381" s="42" t="n">
        <v>3560</v>
      </c>
      <c r="F381" s="42" t="n">
        <v>1600</v>
      </c>
      <c r="G381" s="42" t="n">
        <v>300</v>
      </c>
      <c r="H381" s="43" t="n">
        <v>1</v>
      </c>
      <c r="I381" s="34" t="n">
        <f aca="false">E381*H381+N(F381)+N(G381)</f>
        <v>5460</v>
      </c>
      <c r="J381" s="42" t="n">
        <f aca="false">ROUND(IFERROR(ROUND(IF(OR(ISNUMBER(SEARCH("week",C381)),ISNUMBER(SEARCH("minggu",C381))),IFERROR(_xlfn.NUMBERVALUE(SUBSTITUTE(LEFT(TRIM(C381),FIND(" ",TRIM(C381)&amp;" ")-1),",","."),"."),LEFT(SUBSTITUTE(LEFT(TRIM(C381),FIND(" ",TRIM(C381)&amp;" ")-1),",","."),FIND("/",SUBSTITUTE(LEFT(TRIM(C381),FIND(" ",TRIM(C381)&amp;" ")-1),",","."))-1)/MID(SUBSTITUTE(LEFT(TRIM(C381),FIND(" ",TRIM(C381)&amp;" ")-1),",","."),FIND("/",SUBSTITUTE(LEFT(TRIM(C381),FIND(" ",TRIM(C381)&amp;" ")-1),",","."))+1,9))*12/52,IF(ISNUMBER(SEARCH("month",C381)),IFERROR(_xlfn.NUMBERVALUE(SUBSTITUTE(LEFT(TRIM(C381),FIND(" ",TRIM(C381)&amp;" ")-1),",","."),"."),LEFT(SUBSTITUTE(LEFT(TRIM(C381),FIND(" ",TRIM(C381)&amp;" ")-1),",","."),FIND("/",SUBSTITUTE(LEFT(TRIM(C381),FIND(" ",TRIM(C381)&amp;" ")-1),",","."))-1)/MID(SUBSTITUTE(LEFT(TRIM(C381),FIND(" ",TRIM(C381)&amp;" ")-1),",","."),FIND("/",SUBSTITUTE(LEFT(TRIM(C381),FIND(" ",TRIM(C381)&amp;" ")-1),",","."))+1,9)),IF(ISNUMBER(SEARCH("yea",C381)),IFERROR(_xlfn.NUMBERVALUE(SUBSTITUTE(LEFT(TRIM(C381),FIND(" ",TRIM(C381)&amp;" ")-1),",","."),"."),LEFT(SUBSTITUTE(LEFT(TRIM(C381),FIND(" ",TRIM(C381)&amp;" ")-1),",","."),FIND("/",SUBSTITUTE(LEFT(TRIM(C381),FIND(" ",TRIM(C381)&amp;" ")-1),",","."))-1)/MID(SUBSTITUTE(LEFT(TRIM(C381),FIND(" ",TRIM(C381)&amp;" ")-1),",","."),FIND("/",SUBSTITUTE(LEFT(TRIM(C381),FIND(" ",TRIM(C381)&amp;" ")-1),",","."))+1,9))*12,NA()))),0),24)*'Aturan &amp; Tarif'!$B$4,2)</f>
        <v>1362.72</v>
      </c>
      <c r="K381" s="42" t="n">
        <f aca="false">'Aturan &amp; Tarif'!$B$5</f>
        <v>2050</v>
      </c>
      <c r="L381" s="35" t="n">
        <f aca="false">I381+J381+K381</f>
        <v>8872.72</v>
      </c>
      <c r="M381" s="45" t="s">
        <v>615</v>
      </c>
    </row>
    <row r="382" customFormat="false" ht="37.5" hidden="false" customHeight="true" outlineLevel="0" collapsed="false">
      <c r="A382" s="39"/>
      <c r="B382" s="40" t="s">
        <v>1565</v>
      </c>
      <c r="C382" s="41" t="s">
        <v>138</v>
      </c>
      <c r="D382" s="41" t="s">
        <v>108</v>
      </c>
      <c r="E382" s="42" t="n">
        <v>3385</v>
      </c>
      <c r="F382" s="42" t="n">
        <v>1600</v>
      </c>
      <c r="G382" s="42" t="n">
        <v>300</v>
      </c>
      <c r="H382" s="43" t="n">
        <v>1</v>
      </c>
      <c r="I382" s="34" t="n">
        <f aca="false">E382*H382+N(F382)+N(G382)</f>
        <v>5285</v>
      </c>
      <c r="J382" s="42" t="n">
        <f aca="false">ROUND(IFERROR(ROUND(IF(OR(ISNUMBER(SEARCH("week",C382)),ISNUMBER(SEARCH("minggu",C382))),IFERROR(_xlfn.NUMBERVALUE(SUBSTITUTE(LEFT(TRIM(C382),FIND(" ",TRIM(C382)&amp;" ")-1),",","."),"."),LEFT(SUBSTITUTE(LEFT(TRIM(C382),FIND(" ",TRIM(C382)&amp;" ")-1),",","."),FIND("/",SUBSTITUTE(LEFT(TRIM(C382),FIND(" ",TRIM(C382)&amp;" ")-1),",","."))-1)/MID(SUBSTITUTE(LEFT(TRIM(C382),FIND(" ",TRIM(C382)&amp;" ")-1),",","."),FIND("/",SUBSTITUTE(LEFT(TRIM(C382),FIND(" ",TRIM(C382)&amp;" ")-1),",","."))+1,9))*12/52,IF(ISNUMBER(SEARCH("month",C382)),IFERROR(_xlfn.NUMBERVALUE(SUBSTITUTE(LEFT(TRIM(C382),FIND(" ",TRIM(C382)&amp;" ")-1),",","."),"."),LEFT(SUBSTITUTE(LEFT(TRIM(C382),FIND(" ",TRIM(C382)&amp;" ")-1),",","."),FIND("/",SUBSTITUTE(LEFT(TRIM(C382),FIND(" ",TRIM(C382)&amp;" ")-1),",","."))-1)/MID(SUBSTITUTE(LEFT(TRIM(C382),FIND(" ",TRIM(C382)&amp;" ")-1),",","."),FIND("/",SUBSTITUTE(LEFT(TRIM(C382),FIND(" ",TRIM(C382)&amp;" ")-1),",","."))+1,9)),IF(ISNUMBER(SEARCH("yea",C382)),IFERROR(_xlfn.NUMBERVALUE(SUBSTITUTE(LEFT(TRIM(C382),FIND(" ",TRIM(C382)&amp;" ")-1),",","."),"."),LEFT(SUBSTITUTE(LEFT(TRIM(C382),FIND(" ",TRIM(C382)&amp;" ")-1),",","."),FIND("/",SUBSTITUTE(LEFT(TRIM(C382),FIND(" ",TRIM(C382)&amp;" ")-1),",","."))-1)/MID(SUBSTITUTE(LEFT(TRIM(C382),FIND(" ",TRIM(C382)&amp;" ")-1),",","."),FIND("/",SUBSTITUTE(LEFT(TRIM(C382),FIND(" ",TRIM(C382)&amp;" ")-1),",","."))+1,9))*12,NA()))),0),30)*'Aturan &amp; Tarif'!$B$4,2)</f>
        <v>1703.4</v>
      </c>
      <c r="K382" s="42" t="n">
        <f aca="false">'Aturan &amp; Tarif'!$B$5</f>
        <v>2050</v>
      </c>
      <c r="L382" s="35" t="n">
        <f aca="false">I382+J382+K382</f>
        <v>9038.4</v>
      </c>
      <c r="M382" s="45" t="s">
        <v>615</v>
      </c>
    </row>
    <row r="383" customFormat="false" ht="25.5" hidden="false" customHeight="true" outlineLevel="0" collapsed="false">
      <c r="A383" s="39"/>
      <c r="B383" s="40" t="s">
        <v>1566</v>
      </c>
      <c r="C383" s="41" t="s">
        <v>107</v>
      </c>
      <c r="D383" s="41" t="s">
        <v>108</v>
      </c>
      <c r="E383" s="42" t="n">
        <v>3850</v>
      </c>
      <c r="F383" s="42" t="n">
        <v>1300</v>
      </c>
      <c r="G383" s="42" t="n">
        <v>300</v>
      </c>
      <c r="H383" s="43" t="n">
        <v>1</v>
      </c>
      <c r="I383" s="34" t="n">
        <f aca="false">E383*H383+N(F383)+N(G383)</f>
        <v>5450</v>
      </c>
      <c r="J383" s="42" t="n">
        <f aca="false">ROUND(IFERROR(ROUND(IF(OR(ISNUMBER(SEARCH("week",C383)),ISNUMBER(SEARCH("minggu",C383))),IFERROR(_xlfn.NUMBERVALUE(SUBSTITUTE(LEFT(TRIM(C383),FIND(" ",TRIM(C383)&amp;" ")-1),",","."),"."),LEFT(SUBSTITUTE(LEFT(TRIM(C383),FIND(" ",TRIM(C383)&amp;" ")-1),",","."),FIND("/",SUBSTITUTE(LEFT(TRIM(C383),FIND(" ",TRIM(C383)&amp;" ")-1),",","."))-1)/MID(SUBSTITUTE(LEFT(TRIM(C383),FIND(" ",TRIM(C383)&amp;" ")-1),",","."),FIND("/",SUBSTITUTE(LEFT(TRIM(C383),FIND(" ",TRIM(C383)&amp;" ")-1),",","."))+1,9))*12/52,IF(ISNUMBER(SEARCH("month",C383)),IFERROR(_xlfn.NUMBERVALUE(SUBSTITUTE(LEFT(TRIM(C383),FIND(" ",TRIM(C383)&amp;" ")-1),",","."),"."),LEFT(SUBSTITUTE(LEFT(TRIM(C383),FIND(" ",TRIM(C383)&amp;" ")-1),",","."),FIND("/",SUBSTITUTE(LEFT(TRIM(C383),FIND(" ",TRIM(C383)&amp;" ")-1),",","."))-1)/MID(SUBSTITUTE(LEFT(TRIM(C383),FIND(" ",TRIM(C383)&amp;" ")-1),",","."),FIND("/",SUBSTITUTE(LEFT(TRIM(C383),FIND(" ",TRIM(C383)&amp;" ")-1),",","."))+1,9)),IF(ISNUMBER(SEARCH("yea",C383)),IFERROR(_xlfn.NUMBERVALUE(SUBSTITUTE(LEFT(TRIM(C383),FIND(" ",TRIM(C383)&amp;" ")-1),",","."),"."),LEFT(SUBSTITUTE(LEFT(TRIM(C383),FIND(" ",TRIM(C383)&amp;" ")-1),",","."),FIND("/",SUBSTITUTE(LEFT(TRIM(C383),FIND(" ",TRIM(C383)&amp;" ")-1),",","."))-1)/MID(SUBSTITUTE(LEFT(TRIM(C383),FIND(" ",TRIM(C383)&amp;" ")-1),",","."),FIND("/",SUBSTITUTE(LEFT(TRIM(C383),FIND(" ",TRIM(C383)&amp;" ")-1),",","."))+1,9))*12,NA()))),0),24)*'Aturan &amp; Tarif'!$B$4,2)</f>
        <v>1362.72</v>
      </c>
      <c r="K383" s="42" t="n">
        <f aca="false">'Aturan &amp; Tarif'!$B$5</f>
        <v>2050</v>
      </c>
      <c r="L383" s="35" t="n">
        <f aca="false">I383+J383+K383</f>
        <v>8862.72</v>
      </c>
      <c r="M383" s="45" t="s">
        <v>615</v>
      </c>
    </row>
    <row r="384" customFormat="false" ht="37.5" hidden="false" customHeight="true" outlineLevel="0" collapsed="false">
      <c r="A384" s="39"/>
      <c r="B384" s="40" t="s">
        <v>1567</v>
      </c>
      <c r="C384" s="41" t="s">
        <v>138</v>
      </c>
      <c r="D384" s="41" t="s">
        <v>108</v>
      </c>
      <c r="E384" s="42" t="n">
        <v>3610</v>
      </c>
      <c r="F384" s="42" t="n">
        <v>1300</v>
      </c>
      <c r="G384" s="42" t="n">
        <v>300</v>
      </c>
      <c r="H384" s="43" t="n">
        <v>1</v>
      </c>
      <c r="I384" s="34" t="n">
        <f aca="false">E384*H384+N(F384)+N(G384)</f>
        <v>5210</v>
      </c>
      <c r="J384" s="42" t="n">
        <f aca="false">ROUND(IFERROR(ROUND(IF(OR(ISNUMBER(SEARCH("week",C384)),ISNUMBER(SEARCH("minggu",C384))),IFERROR(_xlfn.NUMBERVALUE(SUBSTITUTE(LEFT(TRIM(C384),FIND(" ",TRIM(C384)&amp;" ")-1),",","."),"."),LEFT(SUBSTITUTE(LEFT(TRIM(C384),FIND(" ",TRIM(C384)&amp;" ")-1),",","."),FIND("/",SUBSTITUTE(LEFT(TRIM(C384),FIND(" ",TRIM(C384)&amp;" ")-1),",","."))-1)/MID(SUBSTITUTE(LEFT(TRIM(C384),FIND(" ",TRIM(C384)&amp;" ")-1),",","."),FIND("/",SUBSTITUTE(LEFT(TRIM(C384),FIND(" ",TRIM(C384)&amp;" ")-1),",","."))+1,9))*12/52,IF(ISNUMBER(SEARCH("month",C384)),IFERROR(_xlfn.NUMBERVALUE(SUBSTITUTE(LEFT(TRIM(C384),FIND(" ",TRIM(C384)&amp;" ")-1),",","."),"."),LEFT(SUBSTITUTE(LEFT(TRIM(C384),FIND(" ",TRIM(C384)&amp;" ")-1),",","."),FIND("/",SUBSTITUTE(LEFT(TRIM(C384),FIND(" ",TRIM(C384)&amp;" ")-1),",","."))-1)/MID(SUBSTITUTE(LEFT(TRIM(C384),FIND(" ",TRIM(C384)&amp;" ")-1),",","."),FIND("/",SUBSTITUTE(LEFT(TRIM(C384),FIND(" ",TRIM(C384)&amp;" ")-1),",","."))+1,9)),IF(ISNUMBER(SEARCH("yea",C384)),IFERROR(_xlfn.NUMBERVALUE(SUBSTITUTE(LEFT(TRIM(C384),FIND(" ",TRIM(C384)&amp;" ")-1),",","."),"."),LEFT(SUBSTITUTE(LEFT(TRIM(C384),FIND(" ",TRIM(C384)&amp;" ")-1),",","."),FIND("/",SUBSTITUTE(LEFT(TRIM(C384),FIND(" ",TRIM(C384)&amp;" ")-1),",","."))-1)/MID(SUBSTITUTE(LEFT(TRIM(C384),FIND(" ",TRIM(C384)&amp;" ")-1),",","."),FIND("/",SUBSTITUTE(LEFT(TRIM(C384),FIND(" ",TRIM(C384)&amp;" ")-1),",","."))+1,9))*12,NA()))),0),30)*'Aturan &amp; Tarif'!$B$4,2)</f>
        <v>1703.4</v>
      </c>
      <c r="K384" s="42" t="n">
        <f aca="false">'Aturan &amp; Tarif'!$B$5</f>
        <v>2050</v>
      </c>
      <c r="L384" s="35" t="n">
        <f aca="false">I384+J384+K384</f>
        <v>8963.4</v>
      </c>
      <c r="M384" s="45" t="s">
        <v>615</v>
      </c>
    </row>
    <row r="385" customFormat="false" ht="37.5" hidden="false" customHeight="true" outlineLevel="0" collapsed="false">
      <c r="A385" s="39"/>
      <c r="B385" s="40" t="s">
        <v>1568</v>
      </c>
      <c r="C385" s="41" t="s">
        <v>127</v>
      </c>
      <c r="D385" s="41" t="s">
        <v>108</v>
      </c>
      <c r="E385" s="42" t="n">
        <v>3455</v>
      </c>
      <c r="F385" s="42" t="n">
        <v>1300</v>
      </c>
      <c r="G385" s="42" t="n">
        <v>300</v>
      </c>
      <c r="H385" s="43" t="n">
        <v>1</v>
      </c>
      <c r="I385" s="34" t="n">
        <f aca="false">E385*H385+N(F385)+N(G385)</f>
        <v>5055</v>
      </c>
      <c r="J385" s="42" t="n">
        <f aca="false">ROUND(IFERROR(ROUND(IF(OR(ISNUMBER(SEARCH("week",C385)),ISNUMBER(SEARCH("minggu",C385))),IFERROR(_xlfn.NUMBERVALUE(SUBSTITUTE(LEFT(TRIM(C385),FIND(" ",TRIM(C385)&amp;" ")-1),",","."),"."),LEFT(SUBSTITUTE(LEFT(TRIM(C385),FIND(" ",TRIM(C385)&amp;" ")-1),",","."),FIND("/",SUBSTITUTE(LEFT(TRIM(C385),FIND(" ",TRIM(C385)&amp;" ")-1),",","."))-1)/MID(SUBSTITUTE(LEFT(TRIM(C385),FIND(" ",TRIM(C385)&amp;" ")-1),",","."),FIND("/",SUBSTITUTE(LEFT(TRIM(C385),FIND(" ",TRIM(C385)&amp;" ")-1),",","."))+1,9))*12/52,IF(ISNUMBER(SEARCH("month",C385)),IFERROR(_xlfn.NUMBERVALUE(SUBSTITUTE(LEFT(TRIM(C385),FIND(" ",TRIM(C385)&amp;" ")-1),",","."),"."),LEFT(SUBSTITUTE(LEFT(TRIM(C385),FIND(" ",TRIM(C385)&amp;" ")-1),",","."),FIND("/",SUBSTITUTE(LEFT(TRIM(C385),FIND(" ",TRIM(C385)&amp;" ")-1),",","."))-1)/MID(SUBSTITUTE(LEFT(TRIM(C385),FIND(" ",TRIM(C385)&amp;" ")-1),",","."),FIND("/",SUBSTITUTE(LEFT(TRIM(C385),FIND(" ",TRIM(C385)&amp;" ")-1),",","."))+1,9)),IF(ISNUMBER(SEARCH("yea",C385)),IFERROR(_xlfn.NUMBERVALUE(SUBSTITUTE(LEFT(TRIM(C385),FIND(" ",TRIM(C385)&amp;" ")-1),",","."),"."),LEFT(SUBSTITUTE(LEFT(TRIM(C385),FIND(" ",TRIM(C385)&amp;" ")-1),",","."),FIND("/",SUBSTITUTE(LEFT(TRIM(C385),FIND(" ",TRIM(C385)&amp;" ")-1),",","."))-1)/MID(SUBSTITUTE(LEFT(TRIM(C385),FIND(" ",TRIM(C385)&amp;" ")-1),",","."),FIND("/",SUBSTITUTE(LEFT(TRIM(C385),FIND(" ",TRIM(C385)&amp;" ")-1),",","."))+1,9))*12,NA()))),0),36)*'Aturan &amp; Tarif'!$B$4,2)</f>
        <v>2044.08</v>
      </c>
      <c r="K385" s="42" t="n">
        <f aca="false">'Aturan &amp; Tarif'!$B$5</f>
        <v>2050</v>
      </c>
      <c r="L385" s="35" t="n">
        <f aca="false">I385+J385+K385</f>
        <v>9149.08</v>
      </c>
      <c r="M385" s="45" t="s">
        <v>615</v>
      </c>
    </row>
    <row r="386" customFormat="false" ht="14.25" hidden="false" customHeight="true" outlineLevel="0" collapsed="false">
      <c r="A386" s="39"/>
      <c r="B386" s="40" t="s">
        <v>1569</v>
      </c>
      <c r="C386" s="41" t="s">
        <v>107</v>
      </c>
      <c r="D386" s="41" t="s">
        <v>108</v>
      </c>
      <c r="E386" s="42" t="n">
        <v>2220</v>
      </c>
      <c r="F386" s="42" t="n">
        <v>950</v>
      </c>
      <c r="G386" s="42" t="n">
        <v>300</v>
      </c>
      <c r="H386" s="43" t="n">
        <v>1</v>
      </c>
      <c r="I386" s="34" t="n">
        <f aca="false">E386*H386+N(F386)+N(G386)</f>
        <v>3470</v>
      </c>
      <c r="J386" s="42" t="n">
        <f aca="false">ROUND(IFERROR(ROUND(IF(OR(ISNUMBER(SEARCH("week",C386)),ISNUMBER(SEARCH("minggu",C386))),IFERROR(_xlfn.NUMBERVALUE(SUBSTITUTE(LEFT(TRIM(C386),FIND(" ",TRIM(C386)&amp;" ")-1),",","."),"."),LEFT(SUBSTITUTE(LEFT(TRIM(C386),FIND(" ",TRIM(C386)&amp;" ")-1),",","."),FIND("/",SUBSTITUTE(LEFT(TRIM(C386),FIND(" ",TRIM(C386)&amp;" ")-1),",","."))-1)/MID(SUBSTITUTE(LEFT(TRIM(C386),FIND(" ",TRIM(C386)&amp;" ")-1),",","."),FIND("/",SUBSTITUTE(LEFT(TRIM(C386),FIND(" ",TRIM(C386)&amp;" ")-1),",","."))+1,9))*12/52,IF(ISNUMBER(SEARCH("month",C386)),IFERROR(_xlfn.NUMBERVALUE(SUBSTITUTE(LEFT(TRIM(C386),FIND(" ",TRIM(C386)&amp;" ")-1),",","."),"."),LEFT(SUBSTITUTE(LEFT(TRIM(C386),FIND(" ",TRIM(C386)&amp;" ")-1),",","."),FIND("/",SUBSTITUTE(LEFT(TRIM(C386),FIND(" ",TRIM(C386)&amp;" ")-1),",","."))-1)/MID(SUBSTITUTE(LEFT(TRIM(C386),FIND(" ",TRIM(C386)&amp;" ")-1),",","."),FIND("/",SUBSTITUTE(LEFT(TRIM(C386),FIND(" ",TRIM(C386)&amp;" ")-1),",","."))+1,9)),IF(ISNUMBER(SEARCH("yea",C386)),IFERROR(_xlfn.NUMBERVALUE(SUBSTITUTE(LEFT(TRIM(C386),FIND(" ",TRIM(C386)&amp;" ")-1),",","."),"."),LEFT(SUBSTITUTE(LEFT(TRIM(C386),FIND(" ",TRIM(C386)&amp;" ")-1),",","."),FIND("/",SUBSTITUTE(LEFT(TRIM(C386),FIND(" ",TRIM(C386)&amp;" ")-1),",","."))-1)/MID(SUBSTITUTE(LEFT(TRIM(C386),FIND(" ",TRIM(C386)&amp;" ")-1),",","."),FIND("/",SUBSTITUTE(LEFT(TRIM(C386),FIND(" ",TRIM(C386)&amp;" ")-1),",","."))+1,9))*12,NA()))),0),24)*'Aturan &amp; Tarif'!$B$4,2)</f>
        <v>1362.72</v>
      </c>
      <c r="K386" s="42" t="n">
        <f aca="false">'Aturan &amp; Tarif'!$B$5</f>
        <v>2050</v>
      </c>
      <c r="L386" s="35" t="n">
        <f aca="false">I386+J386+K386</f>
        <v>6882.72</v>
      </c>
      <c r="M386" s="45" t="s">
        <v>615</v>
      </c>
    </row>
    <row r="387" customFormat="false" ht="37.5" hidden="false" customHeight="true" outlineLevel="0" collapsed="false">
      <c r="A387" s="39"/>
      <c r="B387" s="40" t="s">
        <v>1570</v>
      </c>
      <c r="C387" s="41" t="s">
        <v>107</v>
      </c>
      <c r="D387" s="41" t="s">
        <v>108</v>
      </c>
      <c r="E387" s="42" t="n">
        <v>3600</v>
      </c>
      <c r="F387" s="42" t="n">
        <v>2100</v>
      </c>
      <c r="G387" s="42" t="n">
        <v>300</v>
      </c>
      <c r="H387" s="43" t="n">
        <v>1</v>
      </c>
      <c r="I387" s="34" t="n">
        <f aca="false">E387*H387+N(F387)+N(G387)</f>
        <v>6000</v>
      </c>
      <c r="J387" s="42" t="n">
        <f aca="false">ROUND(IFERROR(ROUND(IF(OR(ISNUMBER(SEARCH("week",C387)),ISNUMBER(SEARCH("minggu",C387))),IFERROR(_xlfn.NUMBERVALUE(SUBSTITUTE(LEFT(TRIM(C387),FIND(" ",TRIM(C387)&amp;" ")-1),",","."),"."),LEFT(SUBSTITUTE(LEFT(TRIM(C387),FIND(" ",TRIM(C387)&amp;" ")-1),",","."),FIND("/",SUBSTITUTE(LEFT(TRIM(C387),FIND(" ",TRIM(C387)&amp;" ")-1),",","."))-1)/MID(SUBSTITUTE(LEFT(TRIM(C387),FIND(" ",TRIM(C387)&amp;" ")-1),",","."),FIND("/",SUBSTITUTE(LEFT(TRIM(C387),FIND(" ",TRIM(C387)&amp;" ")-1),",","."))+1,9))*12/52,IF(ISNUMBER(SEARCH("month",C387)),IFERROR(_xlfn.NUMBERVALUE(SUBSTITUTE(LEFT(TRIM(C387),FIND(" ",TRIM(C387)&amp;" ")-1),",","."),"."),LEFT(SUBSTITUTE(LEFT(TRIM(C387),FIND(" ",TRIM(C387)&amp;" ")-1),",","."),FIND("/",SUBSTITUTE(LEFT(TRIM(C387),FIND(" ",TRIM(C387)&amp;" ")-1),",","."))-1)/MID(SUBSTITUTE(LEFT(TRIM(C387),FIND(" ",TRIM(C387)&amp;" ")-1),",","."),FIND("/",SUBSTITUTE(LEFT(TRIM(C387),FIND(" ",TRIM(C387)&amp;" ")-1),",","."))+1,9)),IF(ISNUMBER(SEARCH("yea",C387)),IFERROR(_xlfn.NUMBERVALUE(SUBSTITUTE(LEFT(TRIM(C387),FIND(" ",TRIM(C387)&amp;" ")-1),",","."),"."),LEFT(SUBSTITUTE(LEFT(TRIM(C387),FIND(" ",TRIM(C387)&amp;" ")-1),",","."),FIND("/",SUBSTITUTE(LEFT(TRIM(C387),FIND(" ",TRIM(C387)&amp;" ")-1),",","."))-1)/MID(SUBSTITUTE(LEFT(TRIM(C387),FIND(" ",TRIM(C387)&amp;" ")-1),",","."),FIND("/",SUBSTITUTE(LEFT(TRIM(C387),FIND(" ",TRIM(C387)&amp;" ")-1),",","."))+1,9))*12,NA()))),0),24)*'Aturan &amp; Tarif'!$B$4,2)</f>
        <v>1362.72</v>
      </c>
      <c r="K387" s="42" t="n">
        <f aca="false">'Aturan &amp; Tarif'!$B$5</f>
        <v>2050</v>
      </c>
      <c r="L387" s="35" t="n">
        <f aca="false">I387+J387+K387</f>
        <v>9412.72</v>
      </c>
      <c r="M387" s="45" t="s">
        <v>615</v>
      </c>
    </row>
    <row r="388" customFormat="false" ht="37.5" hidden="false" customHeight="true" outlineLevel="0" collapsed="false">
      <c r="A388" s="39"/>
      <c r="B388" s="40" t="s">
        <v>1571</v>
      </c>
      <c r="C388" s="41" t="s">
        <v>138</v>
      </c>
      <c r="D388" s="41" t="s">
        <v>108</v>
      </c>
      <c r="E388" s="42" t="n">
        <v>3480</v>
      </c>
      <c r="F388" s="42" t="n">
        <v>2100</v>
      </c>
      <c r="G388" s="42" t="n">
        <v>300</v>
      </c>
      <c r="H388" s="43" t="n">
        <v>1</v>
      </c>
      <c r="I388" s="34" t="n">
        <f aca="false">E388*H388+N(F388)+N(G388)</f>
        <v>5880</v>
      </c>
      <c r="J388" s="42" t="n">
        <f aca="false">ROUND(IFERROR(ROUND(IF(OR(ISNUMBER(SEARCH("week",C388)),ISNUMBER(SEARCH("minggu",C388))),IFERROR(_xlfn.NUMBERVALUE(SUBSTITUTE(LEFT(TRIM(C388),FIND(" ",TRIM(C388)&amp;" ")-1),",","."),"."),LEFT(SUBSTITUTE(LEFT(TRIM(C388),FIND(" ",TRIM(C388)&amp;" ")-1),",","."),FIND("/",SUBSTITUTE(LEFT(TRIM(C388),FIND(" ",TRIM(C388)&amp;" ")-1),",","."))-1)/MID(SUBSTITUTE(LEFT(TRIM(C388),FIND(" ",TRIM(C388)&amp;" ")-1),",","."),FIND("/",SUBSTITUTE(LEFT(TRIM(C388),FIND(" ",TRIM(C388)&amp;" ")-1),",","."))+1,9))*12/52,IF(ISNUMBER(SEARCH("month",C388)),IFERROR(_xlfn.NUMBERVALUE(SUBSTITUTE(LEFT(TRIM(C388),FIND(" ",TRIM(C388)&amp;" ")-1),",","."),"."),LEFT(SUBSTITUTE(LEFT(TRIM(C388),FIND(" ",TRIM(C388)&amp;" ")-1),",","."),FIND("/",SUBSTITUTE(LEFT(TRIM(C388),FIND(" ",TRIM(C388)&amp;" ")-1),",","."))-1)/MID(SUBSTITUTE(LEFT(TRIM(C388),FIND(" ",TRIM(C388)&amp;" ")-1),",","."),FIND("/",SUBSTITUTE(LEFT(TRIM(C388),FIND(" ",TRIM(C388)&amp;" ")-1),",","."))+1,9)),IF(ISNUMBER(SEARCH("yea",C388)),IFERROR(_xlfn.NUMBERVALUE(SUBSTITUTE(LEFT(TRIM(C388),FIND(" ",TRIM(C388)&amp;" ")-1),",","."),"."),LEFT(SUBSTITUTE(LEFT(TRIM(C388),FIND(" ",TRIM(C388)&amp;" ")-1),",","."),FIND("/",SUBSTITUTE(LEFT(TRIM(C388),FIND(" ",TRIM(C388)&amp;" ")-1),",","."))-1)/MID(SUBSTITUTE(LEFT(TRIM(C388),FIND(" ",TRIM(C388)&amp;" ")-1),",","."),FIND("/",SUBSTITUTE(LEFT(TRIM(C388),FIND(" ",TRIM(C388)&amp;" ")-1),",","."))+1,9))*12,NA()))),0),30)*'Aturan &amp; Tarif'!$B$4,2)</f>
        <v>1703.4</v>
      </c>
      <c r="K388" s="42" t="n">
        <f aca="false">'Aturan &amp; Tarif'!$B$5</f>
        <v>2050</v>
      </c>
      <c r="L388" s="35" t="n">
        <f aca="false">I388+J388+K388</f>
        <v>9633.4</v>
      </c>
      <c r="M388" s="45" t="s">
        <v>615</v>
      </c>
    </row>
    <row r="389" customFormat="false" ht="37.5" hidden="false" customHeight="true" outlineLevel="0" collapsed="false">
      <c r="A389" s="39"/>
      <c r="B389" s="40" t="s">
        <v>1572</v>
      </c>
      <c r="C389" s="41" t="s">
        <v>107</v>
      </c>
      <c r="D389" s="41" t="s">
        <v>108</v>
      </c>
      <c r="E389" s="42" t="n">
        <v>3600</v>
      </c>
      <c r="F389" s="42" t="n">
        <v>2100</v>
      </c>
      <c r="G389" s="42" t="n">
        <v>300</v>
      </c>
      <c r="H389" s="43" t="n">
        <v>1</v>
      </c>
      <c r="I389" s="34" t="n">
        <f aca="false">E389*H389+N(F389)+N(G389)</f>
        <v>6000</v>
      </c>
      <c r="J389" s="42" t="n">
        <f aca="false">ROUND(IFERROR(ROUND(IF(OR(ISNUMBER(SEARCH("week",C389)),ISNUMBER(SEARCH("minggu",C389))),IFERROR(_xlfn.NUMBERVALUE(SUBSTITUTE(LEFT(TRIM(C389),FIND(" ",TRIM(C389)&amp;" ")-1),",","."),"."),LEFT(SUBSTITUTE(LEFT(TRIM(C389),FIND(" ",TRIM(C389)&amp;" ")-1),",","."),FIND("/",SUBSTITUTE(LEFT(TRIM(C389),FIND(" ",TRIM(C389)&amp;" ")-1),",","."))-1)/MID(SUBSTITUTE(LEFT(TRIM(C389),FIND(" ",TRIM(C389)&amp;" ")-1),",","."),FIND("/",SUBSTITUTE(LEFT(TRIM(C389),FIND(" ",TRIM(C389)&amp;" ")-1),",","."))+1,9))*12/52,IF(ISNUMBER(SEARCH("month",C389)),IFERROR(_xlfn.NUMBERVALUE(SUBSTITUTE(LEFT(TRIM(C389),FIND(" ",TRIM(C389)&amp;" ")-1),",","."),"."),LEFT(SUBSTITUTE(LEFT(TRIM(C389),FIND(" ",TRIM(C389)&amp;" ")-1),",","."),FIND("/",SUBSTITUTE(LEFT(TRIM(C389),FIND(" ",TRIM(C389)&amp;" ")-1),",","."))-1)/MID(SUBSTITUTE(LEFT(TRIM(C389),FIND(" ",TRIM(C389)&amp;" ")-1),",","."),FIND("/",SUBSTITUTE(LEFT(TRIM(C389),FIND(" ",TRIM(C389)&amp;" ")-1),",","."))+1,9)),IF(ISNUMBER(SEARCH("yea",C389)),IFERROR(_xlfn.NUMBERVALUE(SUBSTITUTE(LEFT(TRIM(C389),FIND(" ",TRIM(C389)&amp;" ")-1),",","."),"."),LEFT(SUBSTITUTE(LEFT(TRIM(C389),FIND(" ",TRIM(C389)&amp;" ")-1),",","."),FIND("/",SUBSTITUTE(LEFT(TRIM(C389),FIND(" ",TRIM(C389)&amp;" ")-1),",","."))-1)/MID(SUBSTITUTE(LEFT(TRIM(C389),FIND(" ",TRIM(C389)&amp;" ")-1),",","."),FIND("/",SUBSTITUTE(LEFT(TRIM(C389),FIND(" ",TRIM(C389)&amp;" ")-1),",","."))+1,9))*12,NA()))),0),24)*'Aturan &amp; Tarif'!$B$4,2)</f>
        <v>1362.72</v>
      </c>
      <c r="K389" s="42" t="n">
        <f aca="false">'Aturan &amp; Tarif'!$B$5</f>
        <v>2050</v>
      </c>
      <c r="L389" s="35" t="n">
        <f aca="false">I389+J389+K389</f>
        <v>9412.72</v>
      </c>
      <c r="M389" s="45" t="s">
        <v>615</v>
      </c>
    </row>
    <row r="390" customFormat="false" ht="37.5" hidden="false" customHeight="true" outlineLevel="0" collapsed="false">
      <c r="A390" s="39"/>
      <c r="B390" s="40" t="s">
        <v>1573</v>
      </c>
      <c r="C390" s="41" t="s">
        <v>138</v>
      </c>
      <c r="D390" s="41" t="s">
        <v>108</v>
      </c>
      <c r="E390" s="42" t="n">
        <v>3480</v>
      </c>
      <c r="F390" s="42" t="n">
        <v>2100</v>
      </c>
      <c r="G390" s="42" t="n">
        <v>300</v>
      </c>
      <c r="H390" s="43" t="n">
        <v>1</v>
      </c>
      <c r="I390" s="34" t="n">
        <f aca="false">E390*H390+N(F390)+N(G390)</f>
        <v>5880</v>
      </c>
      <c r="J390" s="42" t="n">
        <f aca="false">ROUND(IFERROR(ROUND(IF(OR(ISNUMBER(SEARCH("week",C390)),ISNUMBER(SEARCH("minggu",C390))),IFERROR(_xlfn.NUMBERVALUE(SUBSTITUTE(LEFT(TRIM(C390),FIND(" ",TRIM(C390)&amp;" ")-1),",","."),"."),LEFT(SUBSTITUTE(LEFT(TRIM(C390),FIND(" ",TRIM(C390)&amp;" ")-1),",","."),FIND("/",SUBSTITUTE(LEFT(TRIM(C390),FIND(" ",TRIM(C390)&amp;" ")-1),",","."))-1)/MID(SUBSTITUTE(LEFT(TRIM(C390),FIND(" ",TRIM(C390)&amp;" ")-1),",","."),FIND("/",SUBSTITUTE(LEFT(TRIM(C390),FIND(" ",TRIM(C390)&amp;" ")-1),",","."))+1,9))*12/52,IF(ISNUMBER(SEARCH("month",C390)),IFERROR(_xlfn.NUMBERVALUE(SUBSTITUTE(LEFT(TRIM(C390),FIND(" ",TRIM(C390)&amp;" ")-1),",","."),"."),LEFT(SUBSTITUTE(LEFT(TRIM(C390),FIND(" ",TRIM(C390)&amp;" ")-1),",","."),FIND("/",SUBSTITUTE(LEFT(TRIM(C390),FIND(" ",TRIM(C390)&amp;" ")-1),",","."))-1)/MID(SUBSTITUTE(LEFT(TRIM(C390),FIND(" ",TRIM(C390)&amp;" ")-1),",","."),FIND("/",SUBSTITUTE(LEFT(TRIM(C390),FIND(" ",TRIM(C390)&amp;" ")-1),",","."))+1,9)),IF(ISNUMBER(SEARCH("yea",C390)),IFERROR(_xlfn.NUMBERVALUE(SUBSTITUTE(LEFT(TRIM(C390),FIND(" ",TRIM(C390)&amp;" ")-1),",","."),"."),LEFT(SUBSTITUTE(LEFT(TRIM(C390),FIND(" ",TRIM(C390)&amp;" ")-1),",","."),FIND("/",SUBSTITUTE(LEFT(TRIM(C390),FIND(" ",TRIM(C390)&amp;" ")-1),",","."))-1)/MID(SUBSTITUTE(LEFT(TRIM(C390),FIND(" ",TRIM(C390)&amp;" ")-1),",","."),FIND("/",SUBSTITUTE(LEFT(TRIM(C390),FIND(" ",TRIM(C390)&amp;" ")-1),",","."))+1,9))*12,NA()))),0),30)*'Aturan &amp; Tarif'!$B$4,2)</f>
        <v>1703.4</v>
      </c>
      <c r="K390" s="42" t="n">
        <f aca="false">'Aturan &amp; Tarif'!$B$5</f>
        <v>2050</v>
      </c>
      <c r="L390" s="35" t="n">
        <f aca="false">I390+J390+K390</f>
        <v>9633.4</v>
      </c>
      <c r="M390" s="45" t="s">
        <v>615</v>
      </c>
    </row>
    <row r="391" customFormat="false" ht="14.25" hidden="false" customHeight="true" outlineLevel="0" collapsed="false">
      <c r="A391" s="39"/>
      <c r="B391" s="40" t="s">
        <v>471</v>
      </c>
      <c r="C391" s="41" t="s">
        <v>107</v>
      </c>
      <c r="D391" s="41" t="s">
        <v>108</v>
      </c>
      <c r="E391" s="42" t="n">
        <v>3575</v>
      </c>
      <c r="F391" s="42" t="n">
        <v>3300</v>
      </c>
      <c r="G391" s="42" t="n">
        <v>300</v>
      </c>
      <c r="H391" s="43" t="n">
        <v>1</v>
      </c>
      <c r="I391" s="34" t="n">
        <f aca="false">E391*H391+N(F391)+N(G391)</f>
        <v>7175</v>
      </c>
      <c r="J391" s="42" t="n">
        <f aca="false">ROUND(IFERROR(ROUND(IF(OR(ISNUMBER(SEARCH("week",C391)),ISNUMBER(SEARCH("minggu",C391))),IFERROR(_xlfn.NUMBERVALUE(SUBSTITUTE(LEFT(TRIM(C391),FIND(" ",TRIM(C391)&amp;" ")-1),",","."),"."),LEFT(SUBSTITUTE(LEFT(TRIM(C391),FIND(" ",TRIM(C391)&amp;" ")-1),",","."),FIND("/",SUBSTITUTE(LEFT(TRIM(C391),FIND(" ",TRIM(C391)&amp;" ")-1),",","."))-1)/MID(SUBSTITUTE(LEFT(TRIM(C391),FIND(" ",TRIM(C391)&amp;" ")-1),",","."),FIND("/",SUBSTITUTE(LEFT(TRIM(C391),FIND(" ",TRIM(C391)&amp;" ")-1),",","."))+1,9))*12/52,IF(ISNUMBER(SEARCH("month",C391)),IFERROR(_xlfn.NUMBERVALUE(SUBSTITUTE(LEFT(TRIM(C391),FIND(" ",TRIM(C391)&amp;" ")-1),",","."),"."),LEFT(SUBSTITUTE(LEFT(TRIM(C391),FIND(" ",TRIM(C391)&amp;" ")-1),",","."),FIND("/",SUBSTITUTE(LEFT(TRIM(C391),FIND(" ",TRIM(C391)&amp;" ")-1),",","."))-1)/MID(SUBSTITUTE(LEFT(TRIM(C391),FIND(" ",TRIM(C391)&amp;" ")-1),",","."),FIND("/",SUBSTITUTE(LEFT(TRIM(C391),FIND(" ",TRIM(C391)&amp;" ")-1),",","."))+1,9)),IF(ISNUMBER(SEARCH("yea",C391)),IFERROR(_xlfn.NUMBERVALUE(SUBSTITUTE(LEFT(TRIM(C391),FIND(" ",TRIM(C391)&amp;" ")-1),",","."),"."),LEFT(SUBSTITUTE(LEFT(TRIM(C391),FIND(" ",TRIM(C391)&amp;" ")-1),",","."),FIND("/",SUBSTITUTE(LEFT(TRIM(C391),FIND(" ",TRIM(C391)&amp;" ")-1),",","."))-1)/MID(SUBSTITUTE(LEFT(TRIM(C391),FIND(" ",TRIM(C391)&amp;" ")-1),",","."),FIND("/",SUBSTITUTE(LEFT(TRIM(C391),FIND(" ",TRIM(C391)&amp;" ")-1),",","."))+1,9))*12,NA()))),0),24)*'Aturan &amp; Tarif'!$B$4,2)</f>
        <v>1362.72</v>
      </c>
      <c r="K391" s="42" t="n">
        <f aca="false">'Aturan &amp; Tarif'!$B$5</f>
        <v>2050</v>
      </c>
      <c r="L391" s="35" t="n">
        <f aca="false">I391+J391+K391</f>
        <v>10587.72</v>
      </c>
      <c r="M391" s="45" t="s">
        <v>615</v>
      </c>
    </row>
    <row r="392" customFormat="false" ht="25.5" hidden="false" customHeight="true" outlineLevel="0" collapsed="false">
      <c r="A392" s="39"/>
      <c r="B392" s="40" t="s">
        <v>1574</v>
      </c>
      <c r="C392" s="41" t="s">
        <v>107</v>
      </c>
      <c r="D392" s="41" t="s">
        <v>108</v>
      </c>
      <c r="E392" s="42" t="n">
        <v>4075</v>
      </c>
      <c r="F392" s="42" t="n">
        <v>3300</v>
      </c>
      <c r="G392" s="42" t="n">
        <v>300</v>
      </c>
      <c r="H392" s="43" t="n">
        <v>1</v>
      </c>
      <c r="I392" s="34" t="n">
        <f aca="false">E392*H392+N(F392)+N(G392)</f>
        <v>7675</v>
      </c>
      <c r="J392" s="42" t="n">
        <f aca="false">ROUND(IFERROR(ROUND(IF(OR(ISNUMBER(SEARCH("week",C392)),ISNUMBER(SEARCH("minggu",C392))),IFERROR(_xlfn.NUMBERVALUE(SUBSTITUTE(LEFT(TRIM(C392),FIND(" ",TRIM(C392)&amp;" ")-1),",","."),"."),LEFT(SUBSTITUTE(LEFT(TRIM(C392),FIND(" ",TRIM(C392)&amp;" ")-1),",","."),FIND("/",SUBSTITUTE(LEFT(TRIM(C392),FIND(" ",TRIM(C392)&amp;" ")-1),",","."))-1)/MID(SUBSTITUTE(LEFT(TRIM(C392),FIND(" ",TRIM(C392)&amp;" ")-1),",","."),FIND("/",SUBSTITUTE(LEFT(TRIM(C392),FIND(" ",TRIM(C392)&amp;" ")-1),",","."))+1,9))*12/52,IF(ISNUMBER(SEARCH("month",C392)),IFERROR(_xlfn.NUMBERVALUE(SUBSTITUTE(LEFT(TRIM(C392),FIND(" ",TRIM(C392)&amp;" ")-1),",","."),"."),LEFT(SUBSTITUTE(LEFT(TRIM(C392),FIND(" ",TRIM(C392)&amp;" ")-1),",","."),FIND("/",SUBSTITUTE(LEFT(TRIM(C392),FIND(" ",TRIM(C392)&amp;" ")-1),",","."))-1)/MID(SUBSTITUTE(LEFT(TRIM(C392),FIND(" ",TRIM(C392)&amp;" ")-1),",","."),FIND("/",SUBSTITUTE(LEFT(TRIM(C392),FIND(" ",TRIM(C392)&amp;" ")-1),",","."))+1,9)),IF(ISNUMBER(SEARCH("yea",C392)),IFERROR(_xlfn.NUMBERVALUE(SUBSTITUTE(LEFT(TRIM(C392),FIND(" ",TRIM(C392)&amp;" ")-1),",","."),"."),LEFT(SUBSTITUTE(LEFT(TRIM(C392),FIND(" ",TRIM(C392)&amp;" ")-1),",","."),FIND("/",SUBSTITUTE(LEFT(TRIM(C392),FIND(" ",TRIM(C392)&amp;" ")-1),",","."))-1)/MID(SUBSTITUTE(LEFT(TRIM(C392),FIND(" ",TRIM(C392)&amp;" ")-1),",","."),FIND("/",SUBSTITUTE(LEFT(TRIM(C392),FIND(" ",TRIM(C392)&amp;" ")-1),",","."))+1,9))*12,NA()))),0),24)*'Aturan &amp; Tarif'!$B$4,2)</f>
        <v>1362.72</v>
      </c>
      <c r="K392" s="42" t="n">
        <f aca="false">'Aturan &amp; Tarif'!$B$5</f>
        <v>2050</v>
      </c>
      <c r="L392" s="35" t="n">
        <f aca="false">I392+J392+K392</f>
        <v>11087.72</v>
      </c>
      <c r="M392" s="45" t="s">
        <v>615</v>
      </c>
    </row>
    <row r="393" customFormat="false" ht="14.25" hidden="false" customHeight="true" outlineLevel="0" collapsed="false">
      <c r="A393" s="39"/>
      <c r="B393" s="40" t="s">
        <v>1575</v>
      </c>
      <c r="C393" s="41" t="s">
        <v>107</v>
      </c>
      <c r="D393" s="41" t="s">
        <v>108</v>
      </c>
      <c r="E393" s="42" t="n">
        <v>3640</v>
      </c>
      <c r="F393" s="42" t="n">
        <v>1000</v>
      </c>
      <c r="G393" s="42" t="n">
        <v>300</v>
      </c>
      <c r="H393" s="43" t="n">
        <v>1</v>
      </c>
      <c r="I393" s="34" t="n">
        <f aca="false">E393*H393+N(F393)+N(G393)</f>
        <v>4940</v>
      </c>
      <c r="J393" s="42" t="n">
        <f aca="false">ROUND(IFERROR(ROUND(IF(OR(ISNUMBER(SEARCH("week",C393)),ISNUMBER(SEARCH("minggu",C393))),IFERROR(_xlfn.NUMBERVALUE(SUBSTITUTE(LEFT(TRIM(C393),FIND(" ",TRIM(C393)&amp;" ")-1),",","."),"."),LEFT(SUBSTITUTE(LEFT(TRIM(C393),FIND(" ",TRIM(C393)&amp;" ")-1),",","."),FIND("/",SUBSTITUTE(LEFT(TRIM(C393),FIND(" ",TRIM(C393)&amp;" ")-1),",","."))-1)/MID(SUBSTITUTE(LEFT(TRIM(C393),FIND(" ",TRIM(C393)&amp;" ")-1),",","."),FIND("/",SUBSTITUTE(LEFT(TRIM(C393),FIND(" ",TRIM(C393)&amp;" ")-1),",","."))+1,9))*12/52,IF(ISNUMBER(SEARCH("month",C393)),IFERROR(_xlfn.NUMBERVALUE(SUBSTITUTE(LEFT(TRIM(C393),FIND(" ",TRIM(C393)&amp;" ")-1),",","."),"."),LEFT(SUBSTITUTE(LEFT(TRIM(C393),FIND(" ",TRIM(C393)&amp;" ")-1),",","."),FIND("/",SUBSTITUTE(LEFT(TRIM(C393),FIND(" ",TRIM(C393)&amp;" ")-1),",","."))-1)/MID(SUBSTITUTE(LEFT(TRIM(C393),FIND(" ",TRIM(C393)&amp;" ")-1),",","."),FIND("/",SUBSTITUTE(LEFT(TRIM(C393),FIND(" ",TRIM(C393)&amp;" ")-1),",","."))+1,9)),IF(ISNUMBER(SEARCH("yea",C393)),IFERROR(_xlfn.NUMBERVALUE(SUBSTITUTE(LEFT(TRIM(C393),FIND(" ",TRIM(C393)&amp;" ")-1),",","."),"."),LEFT(SUBSTITUTE(LEFT(TRIM(C393),FIND(" ",TRIM(C393)&amp;" ")-1),",","."),FIND("/",SUBSTITUTE(LEFT(TRIM(C393),FIND(" ",TRIM(C393)&amp;" ")-1),",","."))-1)/MID(SUBSTITUTE(LEFT(TRIM(C393),FIND(" ",TRIM(C393)&amp;" ")-1),",","."),FIND("/",SUBSTITUTE(LEFT(TRIM(C393),FIND(" ",TRIM(C393)&amp;" ")-1),",","."))+1,9))*12,NA()))),0),24)*'Aturan &amp; Tarif'!$B$4,2)</f>
        <v>1362.72</v>
      </c>
      <c r="K393" s="42" t="n">
        <f aca="false">'Aturan &amp; Tarif'!$B$5</f>
        <v>2050</v>
      </c>
      <c r="L393" s="35" t="n">
        <f aca="false">I393+J393+K393</f>
        <v>8352.72</v>
      </c>
      <c r="M393" s="45" t="s">
        <v>615</v>
      </c>
    </row>
    <row r="394" customFormat="false" ht="37.5" hidden="false" customHeight="true" outlineLevel="0" collapsed="false">
      <c r="A394" s="39"/>
      <c r="B394" s="40" t="s">
        <v>1576</v>
      </c>
      <c r="C394" s="41" t="s">
        <v>127</v>
      </c>
      <c r="D394" s="41" t="s">
        <v>108</v>
      </c>
      <c r="E394" s="42" t="n">
        <v>4010</v>
      </c>
      <c r="F394" s="42" t="n">
        <v>3300</v>
      </c>
      <c r="G394" s="42" t="n">
        <v>300</v>
      </c>
      <c r="H394" s="43" t="n">
        <v>1</v>
      </c>
      <c r="I394" s="34" t="n">
        <f aca="false">E394*H394+N(F394)+N(G394)</f>
        <v>7610</v>
      </c>
      <c r="J394" s="42" t="n">
        <f aca="false">ROUND(IFERROR(ROUND(IF(OR(ISNUMBER(SEARCH("week",C394)),ISNUMBER(SEARCH("minggu",C394))),IFERROR(_xlfn.NUMBERVALUE(SUBSTITUTE(LEFT(TRIM(C394),FIND(" ",TRIM(C394)&amp;" ")-1),",","."),"."),LEFT(SUBSTITUTE(LEFT(TRIM(C394),FIND(" ",TRIM(C394)&amp;" ")-1),",","."),FIND("/",SUBSTITUTE(LEFT(TRIM(C394),FIND(" ",TRIM(C394)&amp;" ")-1),",","."))-1)/MID(SUBSTITUTE(LEFT(TRIM(C394),FIND(" ",TRIM(C394)&amp;" ")-1),",","."),FIND("/",SUBSTITUTE(LEFT(TRIM(C394),FIND(" ",TRIM(C394)&amp;" ")-1),",","."))+1,9))*12/52,IF(ISNUMBER(SEARCH("month",C394)),IFERROR(_xlfn.NUMBERVALUE(SUBSTITUTE(LEFT(TRIM(C394),FIND(" ",TRIM(C394)&amp;" ")-1),",","."),"."),LEFT(SUBSTITUTE(LEFT(TRIM(C394),FIND(" ",TRIM(C394)&amp;" ")-1),",","."),FIND("/",SUBSTITUTE(LEFT(TRIM(C394),FIND(" ",TRIM(C394)&amp;" ")-1),",","."))-1)/MID(SUBSTITUTE(LEFT(TRIM(C394),FIND(" ",TRIM(C394)&amp;" ")-1),",","."),FIND("/",SUBSTITUTE(LEFT(TRIM(C394),FIND(" ",TRIM(C394)&amp;" ")-1),",","."))+1,9)),IF(ISNUMBER(SEARCH("yea",C394)),IFERROR(_xlfn.NUMBERVALUE(SUBSTITUTE(LEFT(TRIM(C394),FIND(" ",TRIM(C394)&amp;" ")-1),",","."),"."),LEFT(SUBSTITUTE(LEFT(TRIM(C394),FIND(" ",TRIM(C394)&amp;" ")-1),",","."),FIND("/",SUBSTITUTE(LEFT(TRIM(C394),FIND(" ",TRIM(C394)&amp;" ")-1),",","."))-1)/MID(SUBSTITUTE(LEFT(TRIM(C394),FIND(" ",TRIM(C394)&amp;" ")-1),",","."),FIND("/",SUBSTITUTE(LEFT(TRIM(C394),FIND(" ",TRIM(C394)&amp;" ")-1),",","."))+1,9))*12,NA()))),0),36)*'Aturan &amp; Tarif'!$B$4,2)</f>
        <v>2044.08</v>
      </c>
      <c r="K394" s="42" t="n">
        <f aca="false">'Aturan &amp; Tarif'!$B$5</f>
        <v>2050</v>
      </c>
      <c r="L394" s="35" t="n">
        <f aca="false">I394+J394+K394</f>
        <v>11704.08</v>
      </c>
      <c r="M394" s="45" t="s">
        <v>615</v>
      </c>
    </row>
    <row r="395" customFormat="false" ht="37.5" hidden="false" customHeight="true" outlineLevel="0" collapsed="false">
      <c r="A395" s="39"/>
      <c r="B395" s="40" t="s">
        <v>1577</v>
      </c>
      <c r="C395" s="41" t="s">
        <v>191</v>
      </c>
      <c r="D395" s="41" t="s">
        <v>108</v>
      </c>
      <c r="E395" s="42" t="n">
        <v>3850</v>
      </c>
      <c r="F395" s="42" t="n">
        <v>3300</v>
      </c>
      <c r="G395" s="42" t="n">
        <v>300</v>
      </c>
      <c r="H395" s="43" t="n">
        <v>1</v>
      </c>
      <c r="I395" s="34" t="n">
        <f aca="false">E395*H395+N(F395)+N(G395)</f>
        <v>7450</v>
      </c>
      <c r="J395" s="42" t="n">
        <f aca="false">ROUND(IFERROR(ROUND(IF(OR(ISNUMBER(SEARCH("week",C395)),ISNUMBER(SEARCH("minggu",C395))),IFERROR(_xlfn.NUMBERVALUE(SUBSTITUTE(LEFT(TRIM(C395),FIND(" ",TRIM(C395)&amp;" ")-1),",","."),"."),LEFT(SUBSTITUTE(LEFT(TRIM(C395),FIND(" ",TRIM(C395)&amp;" ")-1),",","."),FIND("/",SUBSTITUTE(LEFT(TRIM(C395),FIND(" ",TRIM(C395)&amp;" ")-1),",","."))-1)/MID(SUBSTITUTE(LEFT(TRIM(C395),FIND(" ",TRIM(C395)&amp;" ")-1),",","."),FIND("/",SUBSTITUTE(LEFT(TRIM(C395),FIND(" ",TRIM(C395)&amp;" ")-1),",","."))+1,9))*12/52,IF(ISNUMBER(SEARCH("month",C395)),IFERROR(_xlfn.NUMBERVALUE(SUBSTITUTE(LEFT(TRIM(C395),FIND(" ",TRIM(C395)&amp;" ")-1),",","."),"."),LEFT(SUBSTITUTE(LEFT(TRIM(C395),FIND(" ",TRIM(C395)&amp;" ")-1),",","."),FIND("/",SUBSTITUTE(LEFT(TRIM(C395),FIND(" ",TRIM(C395)&amp;" ")-1),",","."))-1)/MID(SUBSTITUTE(LEFT(TRIM(C395),FIND(" ",TRIM(C395)&amp;" ")-1),",","."),FIND("/",SUBSTITUTE(LEFT(TRIM(C395),FIND(" ",TRIM(C395)&amp;" ")-1),",","."))+1,9)),IF(ISNUMBER(SEARCH("yea",C395)),IFERROR(_xlfn.NUMBERVALUE(SUBSTITUTE(LEFT(TRIM(C395),FIND(" ",TRIM(C395)&amp;" ")-1),",","."),"."),LEFT(SUBSTITUTE(LEFT(TRIM(C395),FIND(" ",TRIM(C395)&amp;" ")-1),",","."),FIND("/",SUBSTITUTE(LEFT(TRIM(C395),FIND(" ",TRIM(C395)&amp;" ")-1),",","."))-1)/MID(SUBSTITUTE(LEFT(TRIM(C395),FIND(" ",TRIM(C395)&amp;" ")-1),",","."),FIND("/",SUBSTITUTE(LEFT(TRIM(C395),FIND(" ",TRIM(C395)&amp;" ")-1),",","."))+1,9))*12,NA()))),0),48)*'Aturan &amp; Tarif'!$B$4,2)</f>
        <v>2725.44</v>
      </c>
      <c r="K395" s="42" t="n">
        <f aca="false">'Aturan &amp; Tarif'!$B$5</f>
        <v>2050</v>
      </c>
      <c r="L395" s="35" t="n">
        <f aca="false">I395+J395+K395</f>
        <v>12225.44</v>
      </c>
      <c r="M395" s="45" t="s">
        <v>615</v>
      </c>
    </row>
    <row r="396" customFormat="false" ht="14.25" hidden="false" customHeight="true" outlineLevel="0" collapsed="false">
      <c r="A396" s="39"/>
      <c r="B396" s="40" t="s">
        <v>1170</v>
      </c>
      <c r="C396" s="41" t="s">
        <v>107</v>
      </c>
      <c r="D396" s="41" t="s">
        <v>108</v>
      </c>
      <c r="E396" s="42" t="n">
        <v>1540</v>
      </c>
      <c r="F396" s="42"/>
      <c r="G396" s="42" t="n">
        <v>300</v>
      </c>
      <c r="H396" s="43" t="n">
        <v>1</v>
      </c>
      <c r="I396" s="34" t="n">
        <f aca="false">E396*H396+N(F396)+N(G396)</f>
        <v>1840</v>
      </c>
      <c r="J396" s="42" t="n">
        <f aca="false">ROUND(IFERROR(ROUND(IF(OR(ISNUMBER(SEARCH("week",C396)),ISNUMBER(SEARCH("minggu",C396))),IFERROR(_xlfn.NUMBERVALUE(SUBSTITUTE(LEFT(TRIM(C396),FIND(" ",TRIM(C396)&amp;" ")-1),",","."),"."),LEFT(SUBSTITUTE(LEFT(TRIM(C396),FIND(" ",TRIM(C396)&amp;" ")-1),",","."),FIND("/",SUBSTITUTE(LEFT(TRIM(C396),FIND(" ",TRIM(C396)&amp;" ")-1),",","."))-1)/MID(SUBSTITUTE(LEFT(TRIM(C396),FIND(" ",TRIM(C396)&amp;" ")-1),",","."),FIND("/",SUBSTITUTE(LEFT(TRIM(C396),FIND(" ",TRIM(C396)&amp;" ")-1),",","."))+1,9))*12/52,IF(ISNUMBER(SEARCH("month",C396)),IFERROR(_xlfn.NUMBERVALUE(SUBSTITUTE(LEFT(TRIM(C396),FIND(" ",TRIM(C396)&amp;" ")-1),",","."),"."),LEFT(SUBSTITUTE(LEFT(TRIM(C396),FIND(" ",TRIM(C396)&amp;" ")-1),",","."),FIND("/",SUBSTITUTE(LEFT(TRIM(C396),FIND(" ",TRIM(C396)&amp;" ")-1),",","."))-1)/MID(SUBSTITUTE(LEFT(TRIM(C396),FIND(" ",TRIM(C396)&amp;" ")-1),",","."),FIND("/",SUBSTITUTE(LEFT(TRIM(C396),FIND(" ",TRIM(C396)&amp;" ")-1),",","."))+1,9)),IF(ISNUMBER(SEARCH("yea",C396)),IFERROR(_xlfn.NUMBERVALUE(SUBSTITUTE(LEFT(TRIM(C396),FIND(" ",TRIM(C396)&amp;" ")-1),",","."),"."),LEFT(SUBSTITUTE(LEFT(TRIM(C396),FIND(" ",TRIM(C396)&amp;" ")-1),",","."),FIND("/",SUBSTITUTE(LEFT(TRIM(C396),FIND(" ",TRIM(C396)&amp;" ")-1),",","."))-1)/MID(SUBSTITUTE(LEFT(TRIM(C396),FIND(" ",TRIM(C396)&amp;" ")-1),",","."),FIND("/",SUBSTITUTE(LEFT(TRIM(C396),FIND(" ",TRIM(C396)&amp;" ")-1),",","."))+1,9))*12,NA()))),0),24)*'Aturan &amp; Tarif'!$B$4,2)</f>
        <v>1362.72</v>
      </c>
      <c r="K396" s="42" t="n">
        <f aca="false">'Aturan &amp; Tarif'!$B$5</f>
        <v>2050</v>
      </c>
      <c r="L396" s="35" t="n">
        <f aca="false">I396+J396+K396</f>
        <v>5252.72</v>
      </c>
      <c r="M396" s="45" t="s">
        <v>3404</v>
      </c>
    </row>
    <row r="397" customFormat="false" ht="25.5" hidden="false" customHeight="true" outlineLevel="0" collapsed="false">
      <c r="A397" s="39"/>
      <c r="B397" s="40" t="s">
        <v>1897</v>
      </c>
      <c r="C397" s="41" t="s">
        <v>127</v>
      </c>
      <c r="D397" s="41" t="s">
        <v>108</v>
      </c>
      <c r="E397" s="42" t="n">
        <v>2360</v>
      </c>
      <c r="F397" s="42"/>
      <c r="G397" s="42" t="n">
        <v>300</v>
      </c>
      <c r="H397" s="43" t="n">
        <v>1</v>
      </c>
      <c r="I397" s="34" t="n">
        <f aca="false">E397*H397+N(F397)+N(G397)</f>
        <v>2660</v>
      </c>
      <c r="J397" s="42" t="n">
        <f aca="false">ROUND(IFERROR(ROUND(IF(OR(ISNUMBER(SEARCH("week",C397)),ISNUMBER(SEARCH("minggu",C397))),IFERROR(_xlfn.NUMBERVALUE(SUBSTITUTE(LEFT(TRIM(C397),FIND(" ",TRIM(C397)&amp;" ")-1),",","."),"."),LEFT(SUBSTITUTE(LEFT(TRIM(C397),FIND(" ",TRIM(C397)&amp;" ")-1),",","."),FIND("/",SUBSTITUTE(LEFT(TRIM(C397),FIND(" ",TRIM(C397)&amp;" ")-1),",","."))-1)/MID(SUBSTITUTE(LEFT(TRIM(C397),FIND(" ",TRIM(C397)&amp;" ")-1),",","."),FIND("/",SUBSTITUTE(LEFT(TRIM(C397),FIND(" ",TRIM(C397)&amp;" ")-1),",","."))+1,9))*12/52,IF(ISNUMBER(SEARCH("month",C397)),IFERROR(_xlfn.NUMBERVALUE(SUBSTITUTE(LEFT(TRIM(C397),FIND(" ",TRIM(C397)&amp;" ")-1),",","."),"."),LEFT(SUBSTITUTE(LEFT(TRIM(C397),FIND(" ",TRIM(C397)&amp;" ")-1),",","."),FIND("/",SUBSTITUTE(LEFT(TRIM(C397),FIND(" ",TRIM(C397)&amp;" ")-1),",","."))-1)/MID(SUBSTITUTE(LEFT(TRIM(C397),FIND(" ",TRIM(C397)&amp;" ")-1),",","."),FIND("/",SUBSTITUTE(LEFT(TRIM(C397),FIND(" ",TRIM(C397)&amp;" ")-1),",","."))+1,9)),IF(ISNUMBER(SEARCH("yea",C397)),IFERROR(_xlfn.NUMBERVALUE(SUBSTITUTE(LEFT(TRIM(C397),FIND(" ",TRIM(C397)&amp;" ")-1),",","."),"."),LEFT(SUBSTITUTE(LEFT(TRIM(C397),FIND(" ",TRIM(C397)&amp;" ")-1),",","."),FIND("/",SUBSTITUTE(LEFT(TRIM(C397),FIND(" ",TRIM(C397)&amp;" ")-1),",","."))-1)/MID(SUBSTITUTE(LEFT(TRIM(C397),FIND(" ",TRIM(C397)&amp;" ")-1),",","."),FIND("/",SUBSTITUTE(LEFT(TRIM(C397),FIND(" ",TRIM(C397)&amp;" ")-1),",","."))+1,9))*12,NA()))),0),36)*'Aturan &amp; Tarif'!$B$4,2)</f>
        <v>2044.08</v>
      </c>
      <c r="K397" s="42" t="n">
        <f aca="false">'Aturan &amp; Tarif'!$B$5</f>
        <v>2050</v>
      </c>
      <c r="L397" s="35" t="n">
        <f aca="false">I397+J397+K397</f>
        <v>6754.08</v>
      </c>
      <c r="M397" s="45" t="s">
        <v>3404</v>
      </c>
    </row>
    <row r="398" customFormat="false" ht="48.75" hidden="false" customHeight="true" outlineLevel="0" collapsed="false">
      <c r="A398" s="39" t="s">
        <v>1579</v>
      </c>
      <c r="B398" s="40" t="s">
        <v>909</v>
      </c>
      <c r="C398" s="41" t="s">
        <v>107</v>
      </c>
      <c r="D398" s="41" t="s">
        <v>108</v>
      </c>
      <c r="E398" s="42" t="n">
        <v>2687.5</v>
      </c>
      <c r="F398" s="42" t="n">
        <v>1500</v>
      </c>
      <c r="G398" s="42" t="n">
        <v>250</v>
      </c>
      <c r="H398" s="43" t="n">
        <v>1</v>
      </c>
      <c r="I398" s="34" t="n">
        <f aca="false">E398*H398+N(F398)+N(G398)</f>
        <v>4437.5</v>
      </c>
      <c r="J398" s="42" t="n">
        <f aca="false">ROUND(IFERROR(ROUND(IF(OR(ISNUMBER(SEARCH("week",C398)),ISNUMBER(SEARCH("minggu",C398))),IFERROR(_xlfn.NUMBERVALUE(SUBSTITUTE(LEFT(TRIM(C398),FIND(" ",TRIM(C398)&amp;" ")-1),",","."),"."),LEFT(SUBSTITUTE(LEFT(TRIM(C398),FIND(" ",TRIM(C398)&amp;" ")-1),",","."),FIND("/",SUBSTITUTE(LEFT(TRIM(C398),FIND(" ",TRIM(C398)&amp;" ")-1),",","."))-1)/MID(SUBSTITUTE(LEFT(TRIM(C398),FIND(" ",TRIM(C398)&amp;" ")-1),",","."),FIND("/",SUBSTITUTE(LEFT(TRIM(C398),FIND(" ",TRIM(C398)&amp;" ")-1),",","."))+1,9))*12/52,IF(ISNUMBER(SEARCH("month",C398)),IFERROR(_xlfn.NUMBERVALUE(SUBSTITUTE(LEFT(TRIM(C398),FIND(" ",TRIM(C398)&amp;" ")-1),",","."),"."),LEFT(SUBSTITUTE(LEFT(TRIM(C398),FIND(" ",TRIM(C398)&amp;" ")-1),",","."),FIND("/",SUBSTITUTE(LEFT(TRIM(C398),FIND(" ",TRIM(C398)&amp;" ")-1),",","."))-1)/MID(SUBSTITUTE(LEFT(TRIM(C398),FIND(" ",TRIM(C398)&amp;" ")-1),",","."),FIND("/",SUBSTITUTE(LEFT(TRIM(C398),FIND(" ",TRIM(C398)&amp;" ")-1),",","."))+1,9)),IF(ISNUMBER(SEARCH("yea",C398)),IFERROR(_xlfn.NUMBERVALUE(SUBSTITUTE(LEFT(TRIM(C398),FIND(" ",TRIM(C398)&amp;" ")-1),",","."),"."),LEFT(SUBSTITUTE(LEFT(TRIM(C398),FIND(" ",TRIM(C398)&amp;" ")-1),",","."),FIND("/",SUBSTITUTE(LEFT(TRIM(C398),FIND(" ",TRIM(C398)&amp;" ")-1),",","."))-1)/MID(SUBSTITUTE(LEFT(TRIM(C398),FIND(" ",TRIM(C398)&amp;" ")-1),",","."),FIND("/",SUBSTITUTE(LEFT(TRIM(C398),FIND(" ",TRIM(C398)&amp;" ")-1),",","."))+1,9))*12,NA()))),0),24)*'Aturan &amp; Tarif'!$B$4,2)</f>
        <v>1362.72</v>
      </c>
      <c r="K398" s="42" t="n">
        <f aca="false">'Aturan &amp; Tarif'!$B$5</f>
        <v>2050</v>
      </c>
      <c r="L398" s="35" t="n">
        <f aca="false">I398+J398+K398</f>
        <v>7850.22</v>
      </c>
      <c r="M398" s="45" t="s">
        <v>134</v>
      </c>
    </row>
    <row r="399" customFormat="false" ht="25.5" hidden="false" customHeight="true" outlineLevel="0" collapsed="false">
      <c r="A399" s="39"/>
      <c r="B399" s="40" t="s">
        <v>1580</v>
      </c>
      <c r="C399" s="41" t="s">
        <v>113</v>
      </c>
      <c r="D399" s="41" t="s">
        <v>108</v>
      </c>
      <c r="E399" s="42" t="n">
        <v>2166.66</v>
      </c>
      <c r="F399" s="42" t="n">
        <v>1500</v>
      </c>
      <c r="G399" s="42" t="n">
        <v>250</v>
      </c>
      <c r="H399" s="43" t="n">
        <v>1</v>
      </c>
      <c r="I399" s="34" t="n">
        <f aca="false">E399*H399+N(F399)+N(G399)</f>
        <v>3916.66</v>
      </c>
      <c r="J399" s="42" t="n">
        <f aca="false">ROUND(IFERROR(ROUND(IF(OR(ISNUMBER(SEARCH("week",C399)),ISNUMBER(SEARCH("minggu",C399))),IFERROR(_xlfn.NUMBERVALUE(SUBSTITUTE(LEFT(TRIM(C399),FIND(" ",TRIM(C399)&amp;" ")-1),",","."),"."),LEFT(SUBSTITUTE(LEFT(TRIM(C399),FIND(" ",TRIM(C399)&amp;" ")-1),",","."),FIND("/",SUBSTITUTE(LEFT(TRIM(C399),FIND(" ",TRIM(C399)&amp;" ")-1),",","."))-1)/MID(SUBSTITUTE(LEFT(TRIM(C399),FIND(" ",TRIM(C399)&amp;" ")-1),",","."),FIND("/",SUBSTITUTE(LEFT(TRIM(C399),FIND(" ",TRIM(C399)&amp;" ")-1),",","."))+1,9))*12/52,IF(ISNUMBER(SEARCH("month",C399)),IFERROR(_xlfn.NUMBERVALUE(SUBSTITUTE(LEFT(TRIM(C399),FIND(" ",TRIM(C399)&amp;" ")-1),",","."),"."),LEFT(SUBSTITUTE(LEFT(TRIM(C399),FIND(" ",TRIM(C399)&amp;" ")-1),",","."),FIND("/",SUBSTITUTE(LEFT(TRIM(C399),FIND(" ",TRIM(C399)&amp;" ")-1),",","."))-1)/MID(SUBSTITUTE(LEFT(TRIM(C399),FIND(" ",TRIM(C399)&amp;" ")-1),",","."),FIND("/",SUBSTITUTE(LEFT(TRIM(C399),FIND(" ",TRIM(C399)&amp;" ")-1),",","."))+1,9)),IF(ISNUMBER(SEARCH("yea",C399)),IFERROR(_xlfn.NUMBERVALUE(SUBSTITUTE(LEFT(TRIM(C399),FIND(" ",TRIM(C399)&amp;" ")-1),",","."),"."),LEFT(SUBSTITUTE(LEFT(TRIM(C399),FIND(" ",TRIM(C399)&amp;" ")-1),",","."),FIND("/",SUBSTITUTE(LEFT(TRIM(C399),FIND(" ",TRIM(C399)&amp;" ")-1),",","."))-1)/MID(SUBSTITUTE(LEFT(TRIM(C399),FIND(" ",TRIM(C399)&amp;" ")-1),",","."),FIND("/",SUBSTITUTE(LEFT(TRIM(C399),FIND(" ",TRIM(C399)&amp;" ")-1),",","."))+1,9))*12,NA()))),0),18)*'Aturan &amp; Tarif'!$B$4,2)</f>
        <v>1022.04</v>
      </c>
      <c r="K399" s="42" t="n">
        <f aca="false">'Aturan &amp; Tarif'!$B$5</f>
        <v>2050</v>
      </c>
      <c r="L399" s="35" t="n">
        <f aca="false">I399+J399+K399</f>
        <v>6988.7</v>
      </c>
      <c r="M399" s="45" t="s">
        <v>134</v>
      </c>
    </row>
    <row r="400" customFormat="false" ht="37.5" hidden="false" customHeight="true" outlineLevel="0" collapsed="false">
      <c r="A400" s="39"/>
      <c r="B400" s="40" t="s">
        <v>1581</v>
      </c>
      <c r="C400" s="41" t="s">
        <v>107</v>
      </c>
      <c r="D400" s="41" t="s">
        <v>108</v>
      </c>
      <c r="E400" s="42" t="n">
        <v>2125</v>
      </c>
      <c r="F400" s="42" t="n">
        <v>2500</v>
      </c>
      <c r="G400" s="42" t="n">
        <v>250</v>
      </c>
      <c r="H400" s="43" t="n">
        <v>1</v>
      </c>
      <c r="I400" s="34" t="n">
        <f aca="false">E400*H400+N(F400)+N(G400)</f>
        <v>4875</v>
      </c>
      <c r="J400" s="42" t="n">
        <f aca="false">ROUND(IFERROR(ROUND(IF(OR(ISNUMBER(SEARCH("week",C400)),ISNUMBER(SEARCH("minggu",C400))),IFERROR(_xlfn.NUMBERVALUE(SUBSTITUTE(LEFT(TRIM(C400),FIND(" ",TRIM(C400)&amp;" ")-1),",","."),"."),LEFT(SUBSTITUTE(LEFT(TRIM(C400),FIND(" ",TRIM(C400)&amp;" ")-1),",","."),FIND("/",SUBSTITUTE(LEFT(TRIM(C400),FIND(" ",TRIM(C400)&amp;" ")-1),",","."))-1)/MID(SUBSTITUTE(LEFT(TRIM(C400),FIND(" ",TRIM(C400)&amp;" ")-1),",","."),FIND("/",SUBSTITUTE(LEFT(TRIM(C400),FIND(" ",TRIM(C400)&amp;" ")-1),",","."))+1,9))*12/52,IF(ISNUMBER(SEARCH("month",C400)),IFERROR(_xlfn.NUMBERVALUE(SUBSTITUTE(LEFT(TRIM(C400),FIND(" ",TRIM(C400)&amp;" ")-1),",","."),"."),LEFT(SUBSTITUTE(LEFT(TRIM(C400),FIND(" ",TRIM(C400)&amp;" ")-1),",","."),FIND("/",SUBSTITUTE(LEFT(TRIM(C400),FIND(" ",TRIM(C400)&amp;" ")-1),",","."))-1)/MID(SUBSTITUTE(LEFT(TRIM(C400),FIND(" ",TRIM(C400)&amp;" ")-1),",","."),FIND("/",SUBSTITUTE(LEFT(TRIM(C400),FIND(" ",TRIM(C400)&amp;" ")-1),",","."))+1,9)),IF(ISNUMBER(SEARCH("yea",C400)),IFERROR(_xlfn.NUMBERVALUE(SUBSTITUTE(LEFT(TRIM(C400),FIND(" ",TRIM(C400)&amp;" ")-1),",","."),"."),LEFT(SUBSTITUTE(LEFT(TRIM(C400),FIND(" ",TRIM(C400)&amp;" ")-1),",","."),FIND("/",SUBSTITUTE(LEFT(TRIM(C400),FIND(" ",TRIM(C400)&amp;" ")-1),",","."))-1)/MID(SUBSTITUTE(LEFT(TRIM(C400),FIND(" ",TRIM(C400)&amp;" ")-1),",","."),FIND("/",SUBSTITUTE(LEFT(TRIM(C400),FIND(" ",TRIM(C400)&amp;" ")-1),",","."))+1,9))*12,NA()))),0),24)*'Aturan &amp; Tarif'!$B$4,2)</f>
        <v>1362.72</v>
      </c>
      <c r="K400" s="42" t="n">
        <f aca="false">'Aturan &amp; Tarif'!$B$5</f>
        <v>2050</v>
      </c>
      <c r="L400" s="35" t="n">
        <f aca="false">I400+J400+K400</f>
        <v>8287.72</v>
      </c>
      <c r="M400" s="45" t="s">
        <v>134</v>
      </c>
    </row>
    <row r="401" customFormat="false" ht="37.5" hidden="false" customHeight="true" outlineLevel="0" collapsed="false">
      <c r="A401" s="39"/>
      <c r="B401" s="40" t="s">
        <v>1582</v>
      </c>
      <c r="C401" s="41" t="s">
        <v>138</v>
      </c>
      <c r="D401" s="41" t="s">
        <v>108</v>
      </c>
      <c r="E401" s="42" t="n">
        <v>2100</v>
      </c>
      <c r="F401" s="42" t="n">
        <v>2500</v>
      </c>
      <c r="G401" s="42" t="n">
        <v>250</v>
      </c>
      <c r="H401" s="43" t="n">
        <v>1</v>
      </c>
      <c r="I401" s="34" t="n">
        <f aca="false">E401*H401+N(F401)+N(G401)</f>
        <v>4850</v>
      </c>
      <c r="J401" s="42" t="n">
        <f aca="false">ROUND(IFERROR(ROUND(IF(OR(ISNUMBER(SEARCH("week",C401)),ISNUMBER(SEARCH("minggu",C401))),IFERROR(_xlfn.NUMBERVALUE(SUBSTITUTE(LEFT(TRIM(C401),FIND(" ",TRIM(C401)&amp;" ")-1),",","."),"."),LEFT(SUBSTITUTE(LEFT(TRIM(C401),FIND(" ",TRIM(C401)&amp;" ")-1),",","."),FIND("/",SUBSTITUTE(LEFT(TRIM(C401),FIND(" ",TRIM(C401)&amp;" ")-1),",","."))-1)/MID(SUBSTITUTE(LEFT(TRIM(C401),FIND(" ",TRIM(C401)&amp;" ")-1),",","."),FIND("/",SUBSTITUTE(LEFT(TRIM(C401),FIND(" ",TRIM(C401)&amp;" ")-1),",","."))+1,9))*12/52,IF(ISNUMBER(SEARCH("month",C401)),IFERROR(_xlfn.NUMBERVALUE(SUBSTITUTE(LEFT(TRIM(C401),FIND(" ",TRIM(C401)&amp;" ")-1),",","."),"."),LEFT(SUBSTITUTE(LEFT(TRIM(C401),FIND(" ",TRIM(C401)&amp;" ")-1),",","."),FIND("/",SUBSTITUTE(LEFT(TRIM(C401),FIND(" ",TRIM(C401)&amp;" ")-1),",","."))-1)/MID(SUBSTITUTE(LEFT(TRIM(C401),FIND(" ",TRIM(C401)&amp;" ")-1),",","."),FIND("/",SUBSTITUTE(LEFT(TRIM(C401),FIND(" ",TRIM(C401)&amp;" ")-1),",","."))+1,9)),IF(ISNUMBER(SEARCH("yea",C401)),IFERROR(_xlfn.NUMBERVALUE(SUBSTITUTE(LEFT(TRIM(C401),FIND(" ",TRIM(C401)&amp;" ")-1),",","."),"."),LEFT(SUBSTITUTE(LEFT(TRIM(C401),FIND(" ",TRIM(C401)&amp;" ")-1),",","."),FIND("/",SUBSTITUTE(LEFT(TRIM(C401),FIND(" ",TRIM(C401)&amp;" ")-1),",","."))-1)/MID(SUBSTITUTE(LEFT(TRIM(C401),FIND(" ",TRIM(C401)&amp;" ")-1),",","."),FIND("/",SUBSTITUTE(LEFT(TRIM(C401),FIND(" ",TRIM(C401)&amp;" ")-1),",","."))+1,9))*12,NA()))),0),30)*'Aturan &amp; Tarif'!$B$4,2)</f>
        <v>1703.4</v>
      </c>
      <c r="K401" s="42" t="n">
        <f aca="false">'Aturan &amp; Tarif'!$B$5</f>
        <v>2050</v>
      </c>
      <c r="L401" s="35" t="n">
        <f aca="false">I401+J401+K401</f>
        <v>8603.4</v>
      </c>
      <c r="M401" s="45" t="s">
        <v>134</v>
      </c>
    </row>
    <row r="402" customFormat="false" ht="48.75" hidden="false" customHeight="true" outlineLevel="0" collapsed="false">
      <c r="A402" s="29" t="s">
        <v>1583</v>
      </c>
      <c r="B402" s="30" t="s">
        <v>1584</v>
      </c>
      <c r="C402" s="31" t="s">
        <v>113</v>
      </c>
      <c r="D402" s="31" t="s">
        <v>108</v>
      </c>
      <c r="E402" s="32" t="n">
        <v>1500</v>
      </c>
      <c r="F402" s="32" t="n">
        <v>100</v>
      </c>
      <c r="G402" s="32" t="n">
        <v>200</v>
      </c>
      <c r="H402" s="33" t="n">
        <v>1</v>
      </c>
      <c r="I402" s="34" t="n">
        <f aca="false">E402*H402+N(F402)+N(G402)</f>
        <v>1800</v>
      </c>
      <c r="J402" s="32" t="n">
        <f aca="false">ROUND(IFERROR(ROUND(IF(OR(ISNUMBER(SEARCH("week",C402)),ISNUMBER(SEARCH("minggu",C402))),IFERROR(_xlfn.NUMBERVALUE(SUBSTITUTE(LEFT(TRIM(C402),FIND(" ",TRIM(C402)&amp;" ")-1),",","."),"."),LEFT(SUBSTITUTE(LEFT(TRIM(C402),FIND(" ",TRIM(C402)&amp;" ")-1),",","."),FIND("/",SUBSTITUTE(LEFT(TRIM(C402),FIND(" ",TRIM(C402)&amp;" ")-1),",","."))-1)/MID(SUBSTITUTE(LEFT(TRIM(C402),FIND(" ",TRIM(C402)&amp;" ")-1),",","."),FIND("/",SUBSTITUTE(LEFT(TRIM(C402),FIND(" ",TRIM(C402)&amp;" ")-1),",","."))+1,9))*12/52,IF(ISNUMBER(SEARCH("month",C402)),IFERROR(_xlfn.NUMBERVALUE(SUBSTITUTE(LEFT(TRIM(C402),FIND(" ",TRIM(C402)&amp;" ")-1),",","."),"."),LEFT(SUBSTITUTE(LEFT(TRIM(C402),FIND(" ",TRIM(C402)&amp;" ")-1),",","."),FIND("/",SUBSTITUTE(LEFT(TRIM(C402),FIND(" ",TRIM(C402)&amp;" ")-1),",","."))-1)/MID(SUBSTITUTE(LEFT(TRIM(C402),FIND(" ",TRIM(C402)&amp;" ")-1),",","."),FIND("/",SUBSTITUTE(LEFT(TRIM(C402),FIND(" ",TRIM(C402)&amp;" ")-1),",","."))+1,9)),IF(ISNUMBER(SEARCH("yea",C402)),IFERROR(_xlfn.NUMBERVALUE(SUBSTITUTE(LEFT(TRIM(C402),FIND(" ",TRIM(C402)&amp;" ")-1),",","."),"."),LEFT(SUBSTITUTE(LEFT(TRIM(C402),FIND(" ",TRIM(C402)&amp;" ")-1),",","."),FIND("/",SUBSTITUTE(LEFT(TRIM(C402),FIND(" ",TRIM(C402)&amp;" ")-1),",","."))-1)/MID(SUBSTITUTE(LEFT(TRIM(C402),FIND(" ",TRIM(C402)&amp;" ")-1),",","."),FIND("/",SUBSTITUTE(LEFT(TRIM(C402),FIND(" ",TRIM(C402)&amp;" ")-1),",","."))+1,9))*12,NA()))),0),18)*'Aturan &amp; Tarif'!$B$4,2)</f>
        <v>1022.04</v>
      </c>
      <c r="K402" s="32" t="n">
        <f aca="false">'Aturan &amp; Tarif'!$B$5</f>
        <v>2050</v>
      </c>
      <c r="L402" s="35" t="n">
        <f aca="false">I402+J402+K402</f>
        <v>4872.04</v>
      </c>
      <c r="M402" s="36" t="s">
        <v>1585</v>
      </c>
    </row>
    <row r="403" customFormat="false" ht="25.5" hidden="false" customHeight="true" outlineLevel="0" collapsed="false">
      <c r="A403" s="29"/>
      <c r="B403" s="30" t="s">
        <v>1586</v>
      </c>
      <c r="C403" s="31" t="s">
        <v>138</v>
      </c>
      <c r="D403" s="31" t="s">
        <v>108</v>
      </c>
      <c r="E403" s="32" t="n">
        <v>1500</v>
      </c>
      <c r="F403" s="32" t="n">
        <v>100</v>
      </c>
      <c r="G403" s="32" t="n">
        <v>200</v>
      </c>
      <c r="H403" s="33" t="n">
        <v>1</v>
      </c>
      <c r="I403" s="34" t="n">
        <f aca="false">E403*H403+N(F403)+N(G403)</f>
        <v>1800</v>
      </c>
      <c r="J403" s="32" t="n">
        <f aca="false">ROUND(IFERROR(ROUND(IF(OR(ISNUMBER(SEARCH("week",C403)),ISNUMBER(SEARCH("minggu",C403))),IFERROR(_xlfn.NUMBERVALUE(SUBSTITUTE(LEFT(TRIM(C403),FIND(" ",TRIM(C403)&amp;" ")-1),",","."),"."),LEFT(SUBSTITUTE(LEFT(TRIM(C403),FIND(" ",TRIM(C403)&amp;" ")-1),",","."),FIND("/",SUBSTITUTE(LEFT(TRIM(C403),FIND(" ",TRIM(C403)&amp;" ")-1),",","."))-1)/MID(SUBSTITUTE(LEFT(TRIM(C403),FIND(" ",TRIM(C403)&amp;" ")-1),",","."),FIND("/",SUBSTITUTE(LEFT(TRIM(C403),FIND(" ",TRIM(C403)&amp;" ")-1),",","."))+1,9))*12/52,IF(ISNUMBER(SEARCH("month",C403)),IFERROR(_xlfn.NUMBERVALUE(SUBSTITUTE(LEFT(TRIM(C403),FIND(" ",TRIM(C403)&amp;" ")-1),",","."),"."),LEFT(SUBSTITUTE(LEFT(TRIM(C403),FIND(" ",TRIM(C403)&amp;" ")-1),",","."),FIND("/",SUBSTITUTE(LEFT(TRIM(C403),FIND(" ",TRIM(C403)&amp;" ")-1),",","."))-1)/MID(SUBSTITUTE(LEFT(TRIM(C403),FIND(" ",TRIM(C403)&amp;" ")-1),",","."),FIND("/",SUBSTITUTE(LEFT(TRIM(C403),FIND(" ",TRIM(C403)&amp;" ")-1),",","."))+1,9)),IF(ISNUMBER(SEARCH("yea",C403)),IFERROR(_xlfn.NUMBERVALUE(SUBSTITUTE(LEFT(TRIM(C403),FIND(" ",TRIM(C403)&amp;" ")-1),",","."),"."),LEFT(SUBSTITUTE(LEFT(TRIM(C403),FIND(" ",TRIM(C403)&amp;" ")-1),",","."),FIND("/",SUBSTITUTE(LEFT(TRIM(C403),FIND(" ",TRIM(C403)&amp;" ")-1),",","."))-1)/MID(SUBSTITUTE(LEFT(TRIM(C403),FIND(" ",TRIM(C403)&amp;" ")-1),",","."),FIND("/",SUBSTITUTE(LEFT(TRIM(C403),FIND(" ",TRIM(C403)&amp;" ")-1),",","."))+1,9))*12,NA()))),0),30)*'Aturan &amp; Tarif'!$B$4,2)</f>
        <v>1703.4</v>
      </c>
      <c r="K403" s="32" t="n">
        <f aca="false">'Aturan &amp; Tarif'!$B$5</f>
        <v>2050</v>
      </c>
      <c r="L403" s="35" t="n">
        <f aca="false">I403+J403+K403</f>
        <v>5553.4</v>
      </c>
      <c r="M403" s="37" t="s">
        <v>134</v>
      </c>
    </row>
    <row r="404" customFormat="false" ht="60" hidden="false" customHeight="true" outlineLevel="0" collapsed="false">
      <c r="A404" s="29"/>
      <c r="B404" s="30" t="s">
        <v>1587</v>
      </c>
      <c r="C404" s="31" t="s">
        <v>136</v>
      </c>
      <c r="D404" s="31" t="s">
        <v>108</v>
      </c>
      <c r="E404" s="32" t="n">
        <v>1500</v>
      </c>
      <c r="F404" s="32" t="n">
        <v>100</v>
      </c>
      <c r="G404" s="32" t="n">
        <v>200</v>
      </c>
      <c r="H404" s="33" t="n">
        <v>1</v>
      </c>
      <c r="I404" s="34" t="n">
        <f aca="false">E404*H404+N(F404)+N(G404)</f>
        <v>1800</v>
      </c>
      <c r="J404" s="32" t="n">
        <f aca="false">ROUND(IFERROR(ROUND(IF(OR(ISNUMBER(SEARCH("week",C404)),ISNUMBER(SEARCH("minggu",C404))),IFERROR(_xlfn.NUMBERVALUE(SUBSTITUTE(LEFT(TRIM(C404),FIND(" ",TRIM(C404)&amp;" ")-1),",","."),"."),LEFT(SUBSTITUTE(LEFT(TRIM(C404),FIND(" ",TRIM(C404)&amp;" ")-1),",","."),FIND("/",SUBSTITUTE(LEFT(TRIM(C404),FIND(" ",TRIM(C404)&amp;" ")-1),",","."))-1)/MID(SUBSTITUTE(LEFT(TRIM(C404),FIND(" ",TRIM(C404)&amp;" ")-1),",","."),FIND("/",SUBSTITUTE(LEFT(TRIM(C404),FIND(" ",TRIM(C404)&amp;" ")-1),",","."))+1,9))*12/52,IF(ISNUMBER(SEARCH("month",C404)),IFERROR(_xlfn.NUMBERVALUE(SUBSTITUTE(LEFT(TRIM(C404),FIND(" ",TRIM(C404)&amp;" ")-1),",","."),"."),LEFT(SUBSTITUTE(LEFT(TRIM(C404),FIND(" ",TRIM(C404)&amp;" ")-1),",","."),FIND("/",SUBSTITUTE(LEFT(TRIM(C404),FIND(" ",TRIM(C404)&amp;" ")-1),",","."))-1)/MID(SUBSTITUTE(LEFT(TRIM(C404),FIND(" ",TRIM(C404)&amp;" ")-1),",","."),FIND("/",SUBSTITUTE(LEFT(TRIM(C404),FIND(" ",TRIM(C404)&amp;" ")-1),",","."))+1,9)),IF(ISNUMBER(SEARCH("yea",C404)),IFERROR(_xlfn.NUMBERVALUE(SUBSTITUTE(LEFT(TRIM(C404),FIND(" ",TRIM(C404)&amp;" ")-1),",","."),"."),LEFT(SUBSTITUTE(LEFT(TRIM(C404),FIND(" ",TRIM(C404)&amp;" ")-1),",","."),FIND("/",SUBSTITUTE(LEFT(TRIM(C404),FIND(" ",TRIM(C404)&amp;" ")-1),",","."))-1)/MID(SUBSTITUTE(LEFT(TRIM(C404),FIND(" ",TRIM(C404)&amp;" ")-1),",","."),FIND("/",SUBSTITUTE(LEFT(TRIM(C404),FIND(" ",TRIM(C404)&amp;" ")-1),",","."))+1,9))*12,NA()))),0),42)*'Aturan &amp; Tarif'!$B$4,2)</f>
        <v>2384.76</v>
      </c>
      <c r="K404" s="32" t="n">
        <f aca="false">'Aturan &amp; Tarif'!$B$5</f>
        <v>2050</v>
      </c>
      <c r="L404" s="35" t="n">
        <f aca="false">I404+J404+K404</f>
        <v>6234.76</v>
      </c>
      <c r="M404" s="36" t="s">
        <v>1588</v>
      </c>
    </row>
    <row r="405" customFormat="false" ht="14.25" hidden="false" customHeight="true" outlineLevel="0" collapsed="false">
      <c r="A405" s="29"/>
      <c r="B405" s="30" t="s">
        <v>1589</v>
      </c>
      <c r="C405" s="31" t="s">
        <v>113</v>
      </c>
      <c r="D405" s="31" t="s">
        <v>108</v>
      </c>
      <c r="E405" s="32" t="n">
        <v>1500</v>
      </c>
      <c r="F405" s="32" t="n">
        <v>100</v>
      </c>
      <c r="G405" s="32" t="n">
        <v>200</v>
      </c>
      <c r="H405" s="33" t="n">
        <v>1</v>
      </c>
      <c r="I405" s="34" t="n">
        <f aca="false">E405*H405+N(F405)+N(G405)</f>
        <v>1800</v>
      </c>
      <c r="J405" s="32" t="n">
        <f aca="false">ROUND(IFERROR(ROUND(IF(OR(ISNUMBER(SEARCH("week",C405)),ISNUMBER(SEARCH("minggu",C405))),IFERROR(_xlfn.NUMBERVALUE(SUBSTITUTE(LEFT(TRIM(C405),FIND(" ",TRIM(C405)&amp;" ")-1),",","."),"."),LEFT(SUBSTITUTE(LEFT(TRIM(C405),FIND(" ",TRIM(C405)&amp;" ")-1),",","."),FIND("/",SUBSTITUTE(LEFT(TRIM(C405),FIND(" ",TRIM(C405)&amp;" ")-1),",","."))-1)/MID(SUBSTITUTE(LEFT(TRIM(C405),FIND(" ",TRIM(C405)&amp;" ")-1),",","."),FIND("/",SUBSTITUTE(LEFT(TRIM(C405),FIND(" ",TRIM(C405)&amp;" ")-1),",","."))+1,9))*12/52,IF(ISNUMBER(SEARCH("month",C405)),IFERROR(_xlfn.NUMBERVALUE(SUBSTITUTE(LEFT(TRIM(C405),FIND(" ",TRIM(C405)&amp;" ")-1),",","."),"."),LEFT(SUBSTITUTE(LEFT(TRIM(C405),FIND(" ",TRIM(C405)&amp;" ")-1),",","."),FIND("/",SUBSTITUTE(LEFT(TRIM(C405),FIND(" ",TRIM(C405)&amp;" ")-1),",","."))-1)/MID(SUBSTITUTE(LEFT(TRIM(C405),FIND(" ",TRIM(C405)&amp;" ")-1),",","."),FIND("/",SUBSTITUTE(LEFT(TRIM(C405),FIND(" ",TRIM(C405)&amp;" ")-1),",","."))+1,9)),IF(ISNUMBER(SEARCH("yea",C405)),IFERROR(_xlfn.NUMBERVALUE(SUBSTITUTE(LEFT(TRIM(C405),FIND(" ",TRIM(C405)&amp;" ")-1),",","."),"."),LEFT(SUBSTITUTE(LEFT(TRIM(C405),FIND(" ",TRIM(C405)&amp;" ")-1),",","."),FIND("/",SUBSTITUTE(LEFT(TRIM(C405),FIND(" ",TRIM(C405)&amp;" ")-1),",","."))-1)/MID(SUBSTITUTE(LEFT(TRIM(C405),FIND(" ",TRIM(C405)&amp;" ")-1),",","."),FIND("/",SUBSTITUTE(LEFT(TRIM(C405),FIND(" ",TRIM(C405)&amp;" ")-1),",","."))+1,9))*12,NA()))),0),18)*'Aturan &amp; Tarif'!$B$4,2)</f>
        <v>1022.04</v>
      </c>
      <c r="K405" s="32" t="n">
        <f aca="false">'Aturan &amp; Tarif'!$B$5</f>
        <v>2050</v>
      </c>
      <c r="L405" s="35" t="n">
        <f aca="false">I405+J405+K405</f>
        <v>4872.04</v>
      </c>
      <c r="M405" s="37" t="s">
        <v>1590</v>
      </c>
    </row>
    <row r="406" customFormat="false" ht="25.5" hidden="false" customHeight="true" outlineLevel="0" collapsed="false">
      <c r="A406" s="29"/>
      <c r="B406" s="30" t="s">
        <v>1591</v>
      </c>
      <c r="C406" s="31" t="s">
        <v>113</v>
      </c>
      <c r="D406" s="31" t="s">
        <v>108</v>
      </c>
      <c r="E406" s="32" t="n">
        <v>1500</v>
      </c>
      <c r="F406" s="32" t="n">
        <v>100</v>
      </c>
      <c r="G406" s="32" t="n">
        <v>200</v>
      </c>
      <c r="H406" s="33" t="n">
        <v>1</v>
      </c>
      <c r="I406" s="34" t="n">
        <f aca="false">E406*H406+N(F406)+N(G406)</f>
        <v>1800</v>
      </c>
      <c r="J406" s="32" t="n">
        <f aca="false">ROUND(IFERROR(ROUND(IF(OR(ISNUMBER(SEARCH("week",C406)),ISNUMBER(SEARCH("minggu",C406))),IFERROR(_xlfn.NUMBERVALUE(SUBSTITUTE(LEFT(TRIM(C406),FIND(" ",TRIM(C406)&amp;" ")-1),",","."),"."),LEFT(SUBSTITUTE(LEFT(TRIM(C406),FIND(" ",TRIM(C406)&amp;" ")-1),",","."),FIND("/",SUBSTITUTE(LEFT(TRIM(C406),FIND(" ",TRIM(C406)&amp;" ")-1),",","."))-1)/MID(SUBSTITUTE(LEFT(TRIM(C406),FIND(" ",TRIM(C406)&amp;" ")-1),",","."),FIND("/",SUBSTITUTE(LEFT(TRIM(C406),FIND(" ",TRIM(C406)&amp;" ")-1),",","."))+1,9))*12/52,IF(ISNUMBER(SEARCH("month",C406)),IFERROR(_xlfn.NUMBERVALUE(SUBSTITUTE(LEFT(TRIM(C406),FIND(" ",TRIM(C406)&amp;" ")-1),",","."),"."),LEFT(SUBSTITUTE(LEFT(TRIM(C406),FIND(" ",TRIM(C406)&amp;" ")-1),",","."),FIND("/",SUBSTITUTE(LEFT(TRIM(C406),FIND(" ",TRIM(C406)&amp;" ")-1),",","."))-1)/MID(SUBSTITUTE(LEFT(TRIM(C406),FIND(" ",TRIM(C406)&amp;" ")-1),",","."),FIND("/",SUBSTITUTE(LEFT(TRIM(C406),FIND(" ",TRIM(C406)&amp;" ")-1),",","."))+1,9)),IF(ISNUMBER(SEARCH("yea",C406)),IFERROR(_xlfn.NUMBERVALUE(SUBSTITUTE(LEFT(TRIM(C406),FIND(" ",TRIM(C406)&amp;" ")-1),",","."),"."),LEFT(SUBSTITUTE(LEFT(TRIM(C406),FIND(" ",TRIM(C406)&amp;" ")-1),",","."),FIND("/",SUBSTITUTE(LEFT(TRIM(C406),FIND(" ",TRIM(C406)&amp;" ")-1),",","."))-1)/MID(SUBSTITUTE(LEFT(TRIM(C406),FIND(" ",TRIM(C406)&amp;" ")-1),",","."),FIND("/",SUBSTITUTE(LEFT(TRIM(C406),FIND(" ",TRIM(C406)&amp;" ")-1),",","."))+1,9))*12,NA()))),0),18)*'Aturan &amp; Tarif'!$B$4,2)</f>
        <v>1022.04</v>
      </c>
      <c r="K406" s="32" t="n">
        <f aca="false">'Aturan &amp; Tarif'!$B$5</f>
        <v>2050</v>
      </c>
      <c r="L406" s="35" t="n">
        <f aca="false">I406+J406+K406</f>
        <v>4872.04</v>
      </c>
      <c r="M406" s="37" t="s">
        <v>134</v>
      </c>
    </row>
    <row r="407" customFormat="false" ht="37.5" hidden="false" customHeight="true" outlineLevel="0" collapsed="false">
      <c r="A407" s="29"/>
      <c r="B407" s="30" t="s">
        <v>1592</v>
      </c>
      <c r="C407" s="31" t="s">
        <v>138</v>
      </c>
      <c r="D407" s="31" t="s">
        <v>108</v>
      </c>
      <c r="E407" s="32" t="n">
        <v>1500</v>
      </c>
      <c r="F407" s="32" t="n">
        <v>100</v>
      </c>
      <c r="G407" s="32" t="n">
        <v>200</v>
      </c>
      <c r="H407" s="33" t="n">
        <v>1</v>
      </c>
      <c r="I407" s="34" t="n">
        <f aca="false">E407*H407+N(F407)+N(G407)</f>
        <v>1800</v>
      </c>
      <c r="J407" s="32" t="n">
        <f aca="false">ROUND(IFERROR(ROUND(IF(OR(ISNUMBER(SEARCH("week",C407)),ISNUMBER(SEARCH("minggu",C407))),IFERROR(_xlfn.NUMBERVALUE(SUBSTITUTE(LEFT(TRIM(C407),FIND(" ",TRIM(C407)&amp;" ")-1),",","."),"."),LEFT(SUBSTITUTE(LEFT(TRIM(C407),FIND(" ",TRIM(C407)&amp;" ")-1),",","."),FIND("/",SUBSTITUTE(LEFT(TRIM(C407),FIND(" ",TRIM(C407)&amp;" ")-1),",","."))-1)/MID(SUBSTITUTE(LEFT(TRIM(C407),FIND(" ",TRIM(C407)&amp;" ")-1),",","."),FIND("/",SUBSTITUTE(LEFT(TRIM(C407),FIND(" ",TRIM(C407)&amp;" ")-1),",","."))+1,9))*12/52,IF(ISNUMBER(SEARCH("month",C407)),IFERROR(_xlfn.NUMBERVALUE(SUBSTITUTE(LEFT(TRIM(C407),FIND(" ",TRIM(C407)&amp;" ")-1),",","."),"."),LEFT(SUBSTITUTE(LEFT(TRIM(C407),FIND(" ",TRIM(C407)&amp;" ")-1),",","."),FIND("/",SUBSTITUTE(LEFT(TRIM(C407),FIND(" ",TRIM(C407)&amp;" ")-1),",","."))-1)/MID(SUBSTITUTE(LEFT(TRIM(C407),FIND(" ",TRIM(C407)&amp;" ")-1),",","."),FIND("/",SUBSTITUTE(LEFT(TRIM(C407),FIND(" ",TRIM(C407)&amp;" ")-1),",","."))+1,9)),IF(ISNUMBER(SEARCH("yea",C407)),IFERROR(_xlfn.NUMBERVALUE(SUBSTITUTE(LEFT(TRIM(C407),FIND(" ",TRIM(C407)&amp;" ")-1),",","."),"."),LEFT(SUBSTITUTE(LEFT(TRIM(C407),FIND(" ",TRIM(C407)&amp;" ")-1),",","."),FIND("/",SUBSTITUTE(LEFT(TRIM(C407),FIND(" ",TRIM(C407)&amp;" ")-1),",","."))-1)/MID(SUBSTITUTE(LEFT(TRIM(C407),FIND(" ",TRIM(C407)&amp;" ")-1),",","."),FIND("/",SUBSTITUTE(LEFT(TRIM(C407),FIND(" ",TRIM(C407)&amp;" ")-1),",","."))+1,9))*12,NA()))),0),30)*'Aturan &amp; Tarif'!$B$4,2)</f>
        <v>1703.4</v>
      </c>
      <c r="K407" s="32" t="n">
        <f aca="false">'Aturan &amp; Tarif'!$B$5</f>
        <v>2050</v>
      </c>
      <c r="L407" s="35" t="n">
        <f aca="false">I407+J407+K407</f>
        <v>5553.4</v>
      </c>
      <c r="M407" s="37" t="s">
        <v>134</v>
      </c>
    </row>
    <row r="408" customFormat="false" ht="60" hidden="false" customHeight="true" outlineLevel="0" collapsed="false">
      <c r="A408" s="29"/>
      <c r="B408" s="30" t="s">
        <v>1593</v>
      </c>
      <c r="C408" s="31" t="s">
        <v>136</v>
      </c>
      <c r="D408" s="31" t="s">
        <v>108</v>
      </c>
      <c r="E408" s="32" t="n">
        <v>1500</v>
      </c>
      <c r="F408" s="32" t="n">
        <v>100</v>
      </c>
      <c r="G408" s="32" t="n">
        <v>200</v>
      </c>
      <c r="H408" s="33" t="n">
        <v>1</v>
      </c>
      <c r="I408" s="34" t="n">
        <f aca="false">E408*H408+N(F408)+N(G408)</f>
        <v>1800</v>
      </c>
      <c r="J408" s="32" t="n">
        <f aca="false">ROUND(IFERROR(ROUND(IF(OR(ISNUMBER(SEARCH("week",C408)),ISNUMBER(SEARCH("minggu",C408))),IFERROR(_xlfn.NUMBERVALUE(SUBSTITUTE(LEFT(TRIM(C408),FIND(" ",TRIM(C408)&amp;" ")-1),",","."),"."),LEFT(SUBSTITUTE(LEFT(TRIM(C408),FIND(" ",TRIM(C408)&amp;" ")-1),",","."),FIND("/",SUBSTITUTE(LEFT(TRIM(C408),FIND(" ",TRIM(C408)&amp;" ")-1),",","."))-1)/MID(SUBSTITUTE(LEFT(TRIM(C408),FIND(" ",TRIM(C408)&amp;" ")-1),",","."),FIND("/",SUBSTITUTE(LEFT(TRIM(C408),FIND(" ",TRIM(C408)&amp;" ")-1),",","."))+1,9))*12/52,IF(ISNUMBER(SEARCH("month",C408)),IFERROR(_xlfn.NUMBERVALUE(SUBSTITUTE(LEFT(TRIM(C408),FIND(" ",TRIM(C408)&amp;" ")-1),",","."),"."),LEFT(SUBSTITUTE(LEFT(TRIM(C408),FIND(" ",TRIM(C408)&amp;" ")-1),",","."),FIND("/",SUBSTITUTE(LEFT(TRIM(C408),FIND(" ",TRIM(C408)&amp;" ")-1),",","."))-1)/MID(SUBSTITUTE(LEFT(TRIM(C408),FIND(" ",TRIM(C408)&amp;" ")-1),",","."),FIND("/",SUBSTITUTE(LEFT(TRIM(C408),FIND(" ",TRIM(C408)&amp;" ")-1),",","."))+1,9)),IF(ISNUMBER(SEARCH("yea",C408)),IFERROR(_xlfn.NUMBERVALUE(SUBSTITUTE(LEFT(TRIM(C408),FIND(" ",TRIM(C408)&amp;" ")-1),",","."),"."),LEFT(SUBSTITUTE(LEFT(TRIM(C408),FIND(" ",TRIM(C408)&amp;" ")-1),",","."),FIND("/",SUBSTITUTE(LEFT(TRIM(C408),FIND(" ",TRIM(C408)&amp;" ")-1),",","."))-1)/MID(SUBSTITUTE(LEFT(TRIM(C408),FIND(" ",TRIM(C408)&amp;" ")-1),",","."),FIND("/",SUBSTITUTE(LEFT(TRIM(C408),FIND(" ",TRIM(C408)&amp;" ")-1),",","."))+1,9))*12,NA()))),0),42)*'Aturan &amp; Tarif'!$B$4,2)</f>
        <v>2384.76</v>
      </c>
      <c r="K408" s="32" t="n">
        <f aca="false">'Aturan &amp; Tarif'!$B$5</f>
        <v>2050</v>
      </c>
      <c r="L408" s="35" t="n">
        <f aca="false">I408+J408+K408</f>
        <v>6234.76</v>
      </c>
      <c r="M408" s="36" t="s">
        <v>1594</v>
      </c>
    </row>
    <row r="409" customFormat="false" ht="14.25" hidden="false" customHeight="true" outlineLevel="0" collapsed="false">
      <c r="A409" s="29"/>
      <c r="B409" s="30" t="s">
        <v>1595</v>
      </c>
      <c r="C409" s="31" t="s">
        <v>130</v>
      </c>
      <c r="D409" s="31" t="s">
        <v>108</v>
      </c>
      <c r="E409" s="32" t="n">
        <v>1500</v>
      </c>
      <c r="F409" s="32" t="n">
        <v>100</v>
      </c>
      <c r="G409" s="32" t="n">
        <v>200</v>
      </c>
      <c r="H409" s="33" t="n">
        <v>1</v>
      </c>
      <c r="I409" s="34" t="n">
        <f aca="false">E409*H409+N(F409)+N(G409)</f>
        <v>1800</v>
      </c>
      <c r="J409" s="32" t="n">
        <f aca="false">ROUND(IFERROR(ROUND(IF(OR(ISNUMBER(SEARCH("week",C409)),ISNUMBER(SEARCH("minggu",C409))),IFERROR(_xlfn.NUMBERVALUE(SUBSTITUTE(LEFT(TRIM(C409),FIND(" ",TRIM(C409)&amp;" ")-1),",","."),"."),LEFT(SUBSTITUTE(LEFT(TRIM(C409),FIND(" ",TRIM(C409)&amp;" ")-1),",","."),FIND("/",SUBSTITUTE(LEFT(TRIM(C409),FIND(" ",TRIM(C409)&amp;" ")-1),",","."))-1)/MID(SUBSTITUTE(LEFT(TRIM(C409),FIND(" ",TRIM(C409)&amp;" ")-1),",","."),FIND("/",SUBSTITUTE(LEFT(TRIM(C409),FIND(" ",TRIM(C409)&amp;" ")-1),",","."))+1,9))*12/52,IF(ISNUMBER(SEARCH("month",C409)),IFERROR(_xlfn.NUMBERVALUE(SUBSTITUTE(LEFT(TRIM(C409),FIND(" ",TRIM(C409)&amp;" ")-1),",","."),"."),LEFT(SUBSTITUTE(LEFT(TRIM(C409),FIND(" ",TRIM(C409)&amp;" ")-1),",","."),FIND("/",SUBSTITUTE(LEFT(TRIM(C409),FIND(" ",TRIM(C409)&amp;" ")-1),",","."))-1)/MID(SUBSTITUTE(LEFT(TRIM(C409),FIND(" ",TRIM(C409)&amp;" ")-1),",","."),FIND("/",SUBSTITUTE(LEFT(TRIM(C409),FIND(" ",TRIM(C409)&amp;" ")-1),",","."))+1,9)),IF(ISNUMBER(SEARCH("yea",C409)),IFERROR(_xlfn.NUMBERVALUE(SUBSTITUTE(LEFT(TRIM(C409),FIND(" ",TRIM(C409)&amp;" ")-1),",","."),"."),LEFT(SUBSTITUTE(LEFT(TRIM(C409),FIND(" ",TRIM(C409)&amp;" ")-1),",","."),FIND("/",SUBSTITUTE(LEFT(TRIM(C409),FIND(" ",TRIM(C409)&amp;" ")-1),",","."))-1)/MID(SUBSTITUTE(LEFT(TRIM(C409),FIND(" ",TRIM(C409)&amp;" ")-1),",","."),FIND("/",SUBSTITUTE(LEFT(TRIM(C409),FIND(" ",TRIM(C409)&amp;" ")-1),",","."))+1,9))*12,NA()))),0),12)*'Aturan &amp; Tarif'!$B$4,2)</f>
        <v>681.36</v>
      </c>
      <c r="K409" s="32" t="n">
        <f aca="false">'Aturan &amp; Tarif'!$B$5</f>
        <v>2050</v>
      </c>
      <c r="L409" s="35" t="n">
        <f aca="false">I409+J409+K409</f>
        <v>4531.36</v>
      </c>
      <c r="M409" s="37" t="s">
        <v>1590</v>
      </c>
    </row>
    <row r="410" customFormat="false" ht="14.25" hidden="false" customHeight="true" outlineLevel="0" collapsed="false">
      <c r="A410" s="29"/>
      <c r="B410" s="30" t="s">
        <v>1596</v>
      </c>
      <c r="C410" s="31" t="s">
        <v>107</v>
      </c>
      <c r="D410" s="31" t="s">
        <v>108</v>
      </c>
      <c r="E410" s="32" t="n">
        <v>1500</v>
      </c>
      <c r="F410" s="32" t="n">
        <v>100</v>
      </c>
      <c r="G410" s="32" t="n">
        <v>200</v>
      </c>
      <c r="H410" s="33" t="n">
        <v>1</v>
      </c>
      <c r="I410" s="34" t="n">
        <f aca="false">E410*H410+N(F410)+N(G410)</f>
        <v>1800</v>
      </c>
      <c r="J410" s="32" t="n">
        <f aca="false">ROUND(IFERROR(ROUND(IF(OR(ISNUMBER(SEARCH("week",C410)),ISNUMBER(SEARCH("minggu",C410))),IFERROR(_xlfn.NUMBERVALUE(SUBSTITUTE(LEFT(TRIM(C410),FIND(" ",TRIM(C410)&amp;" ")-1),",","."),"."),LEFT(SUBSTITUTE(LEFT(TRIM(C410),FIND(" ",TRIM(C410)&amp;" ")-1),",","."),FIND("/",SUBSTITUTE(LEFT(TRIM(C410),FIND(" ",TRIM(C410)&amp;" ")-1),",","."))-1)/MID(SUBSTITUTE(LEFT(TRIM(C410),FIND(" ",TRIM(C410)&amp;" ")-1),",","."),FIND("/",SUBSTITUTE(LEFT(TRIM(C410),FIND(" ",TRIM(C410)&amp;" ")-1),",","."))+1,9))*12/52,IF(ISNUMBER(SEARCH("month",C410)),IFERROR(_xlfn.NUMBERVALUE(SUBSTITUTE(LEFT(TRIM(C410),FIND(" ",TRIM(C410)&amp;" ")-1),",","."),"."),LEFT(SUBSTITUTE(LEFT(TRIM(C410),FIND(" ",TRIM(C410)&amp;" ")-1),",","."),FIND("/",SUBSTITUTE(LEFT(TRIM(C410),FIND(" ",TRIM(C410)&amp;" ")-1),",","."))-1)/MID(SUBSTITUTE(LEFT(TRIM(C410),FIND(" ",TRIM(C410)&amp;" ")-1),",","."),FIND("/",SUBSTITUTE(LEFT(TRIM(C410),FIND(" ",TRIM(C410)&amp;" ")-1),",","."))+1,9)),IF(ISNUMBER(SEARCH("yea",C410)),IFERROR(_xlfn.NUMBERVALUE(SUBSTITUTE(LEFT(TRIM(C410),FIND(" ",TRIM(C410)&amp;" ")-1),",","."),"."),LEFT(SUBSTITUTE(LEFT(TRIM(C410),FIND(" ",TRIM(C410)&amp;" ")-1),",","."),FIND("/",SUBSTITUTE(LEFT(TRIM(C410),FIND(" ",TRIM(C410)&amp;" ")-1),",","."))-1)/MID(SUBSTITUTE(LEFT(TRIM(C410),FIND(" ",TRIM(C410)&amp;" ")-1),",","."),FIND("/",SUBSTITUTE(LEFT(TRIM(C410),FIND(" ",TRIM(C410)&amp;" ")-1),",","."))+1,9))*12,NA()))),0),24)*'Aturan &amp; Tarif'!$B$4,2)</f>
        <v>1362.72</v>
      </c>
      <c r="K410" s="32" t="n">
        <f aca="false">'Aturan &amp; Tarif'!$B$5</f>
        <v>2050</v>
      </c>
      <c r="L410" s="35" t="n">
        <f aca="false">I410+J410+K410</f>
        <v>5212.72</v>
      </c>
      <c r="M410" s="37" t="s">
        <v>134</v>
      </c>
    </row>
    <row r="411" customFormat="false" ht="25.5" hidden="false" customHeight="true" outlineLevel="0" collapsed="false">
      <c r="A411" s="29"/>
      <c r="B411" s="30" t="s">
        <v>1597</v>
      </c>
      <c r="C411" s="31" t="s">
        <v>127</v>
      </c>
      <c r="D411" s="31" t="s">
        <v>108</v>
      </c>
      <c r="E411" s="32" t="n">
        <v>1750</v>
      </c>
      <c r="F411" s="32" t="n">
        <v>200</v>
      </c>
      <c r="G411" s="32" t="n">
        <v>200</v>
      </c>
      <c r="H411" s="33" t="n">
        <v>1</v>
      </c>
      <c r="I411" s="34" t="n">
        <f aca="false">E411*H411+N(F411)+N(G411)</f>
        <v>2150</v>
      </c>
      <c r="J411" s="32" t="n">
        <f aca="false">ROUND(IFERROR(ROUND(IF(OR(ISNUMBER(SEARCH("week",C411)),ISNUMBER(SEARCH("minggu",C411))),IFERROR(_xlfn.NUMBERVALUE(SUBSTITUTE(LEFT(TRIM(C411),FIND(" ",TRIM(C411)&amp;" ")-1),",","."),"."),LEFT(SUBSTITUTE(LEFT(TRIM(C411),FIND(" ",TRIM(C411)&amp;" ")-1),",","."),FIND("/",SUBSTITUTE(LEFT(TRIM(C411),FIND(" ",TRIM(C411)&amp;" ")-1),",","."))-1)/MID(SUBSTITUTE(LEFT(TRIM(C411),FIND(" ",TRIM(C411)&amp;" ")-1),",","."),FIND("/",SUBSTITUTE(LEFT(TRIM(C411),FIND(" ",TRIM(C411)&amp;" ")-1),",","."))+1,9))*12/52,IF(ISNUMBER(SEARCH("month",C411)),IFERROR(_xlfn.NUMBERVALUE(SUBSTITUTE(LEFT(TRIM(C411),FIND(" ",TRIM(C411)&amp;" ")-1),",","."),"."),LEFT(SUBSTITUTE(LEFT(TRIM(C411),FIND(" ",TRIM(C411)&amp;" ")-1),",","."),FIND("/",SUBSTITUTE(LEFT(TRIM(C411),FIND(" ",TRIM(C411)&amp;" ")-1),",","."))-1)/MID(SUBSTITUTE(LEFT(TRIM(C411),FIND(" ",TRIM(C411)&amp;" ")-1),",","."),FIND("/",SUBSTITUTE(LEFT(TRIM(C411),FIND(" ",TRIM(C411)&amp;" ")-1),",","."))+1,9)),IF(ISNUMBER(SEARCH("yea",C411)),IFERROR(_xlfn.NUMBERVALUE(SUBSTITUTE(LEFT(TRIM(C411),FIND(" ",TRIM(C411)&amp;" ")-1),",","."),"."),LEFT(SUBSTITUTE(LEFT(TRIM(C411),FIND(" ",TRIM(C411)&amp;" ")-1),",","."),FIND("/",SUBSTITUTE(LEFT(TRIM(C411),FIND(" ",TRIM(C411)&amp;" ")-1),",","."))-1)/MID(SUBSTITUTE(LEFT(TRIM(C411),FIND(" ",TRIM(C411)&amp;" ")-1),",","."),FIND("/",SUBSTITUTE(LEFT(TRIM(C411),FIND(" ",TRIM(C411)&amp;" ")-1),",","."))+1,9))*12,NA()))),0),36)*'Aturan &amp; Tarif'!$B$4,2)</f>
        <v>2044.08</v>
      </c>
      <c r="K411" s="32" t="n">
        <f aca="false">'Aturan &amp; Tarif'!$B$5</f>
        <v>2050</v>
      </c>
      <c r="L411" s="35" t="n">
        <f aca="false">I411+J411+K411</f>
        <v>6244.08</v>
      </c>
      <c r="M411" s="37" t="s">
        <v>134</v>
      </c>
    </row>
    <row r="412" customFormat="false" ht="14.25" hidden="false" customHeight="true" outlineLevel="0" collapsed="false">
      <c r="A412" s="29"/>
      <c r="B412" s="30" t="s">
        <v>1598</v>
      </c>
      <c r="C412" s="31" t="s">
        <v>107</v>
      </c>
      <c r="D412" s="31" t="s">
        <v>108</v>
      </c>
      <c r="E412" s="32" t="n">
        <v>1750</v>
      </c>
      <c r="F412" s="32" t="n">
        <v>200</v>
      </c>
      <c r="G412" s="32" t="n">
        <v>200</v>
      </c>
      <c r="H412" s="33" t="n">
        <v>1</v>
      </c>
      <c r="I412" s="34" t="n">
        <f aca="false">E412*H412+N(F412)+N(G412)</f>
        <v>2150</v>
      </c>
      <c r="J412" s="32" t="n">
        <f aca="false">ROUND(IFERROR(ROUND(IF(OR(ISNUMBER(SEARCH("week",C412)),ISNUMBER(SEARCH("minggu",C412))),IFERROR(_xlfn.NUMBERVALUE(SUBSTITUTE(LEFT(TRIM(C412),FIND(" ",TRIM(C412)&amp;" ")-1),",","."),"."),LEFT(SUBSTITUTE(LEFT(TRIM(C412),FIND(" ",TRIM(C412)&amp;" ")-1),",","."),FIND("/",SUBSTITUTE(LEFT(TRIM(C412),FIND(" ",TRIM(C412)&amp;" ")-1),",","."))-1)/MID(SUBSTITUTE(LEFT(TRIM(C412),FIND(" ",TRIM(C412)&amp;" ")-1),",","."),FIND("/",SUBSTITUTE(LEFT(TRIM(C412),FIND(" ",TRIM(C412)&amp;" ")-1),",","."))+1,9))*12/52,IF(ISNUMBER(SEARCH("month",C412)),IFERROR(_xlfn.NUMBERVALUE(SUBSTITUTE(LEFT(TRIM(C412),FIND(" ",TRIM(C412)&amp;" ")-1),",","."),"."),LEFT(SUBSTITUTE(LEFT(TRIM(C412),FIND(" ",TRIM(C412)&amp;" ")-1),",","."),FIND("/",SUBSTITUTE(LEFT(TRIM(C412),FIND(" ",TRIM(C412)&amp;" ")-1),",","."))-1)/MID(SUBSTITUTE(LEFT(TRIM(C412),FIND(" ",TRIM(C412)&amp;" ")-1),",","."),FIND("/",SUBSTITUTE(LEFT(TRIM(C412),FIND(" ",TRIM(C412)&amp;" ")-1),",","."))+1,9)),IF(ISNUMBER(SEARCH("yea",C412)),IFERROR(_xlfn.NUMBERVALUE(SUBSTITUTE(LEFT(TRIM(C412),FIND(" ",TRIM(C412)&amp;" ")-1),",","."),"."),LEFT(SUBSTITUTE(LEFT(TRIM(C412),FIND(" ",TRIM(C412)&amp;" ")-1),",","."),FIND("/",SUBSTITUTE(LEFT(TRIM(C412),FIND(" ",TRIM(C412)&amp;" ")-1),",","."))-1)/MID(SUBSTITUTE(LEFT(TRIM(C412),FIND(" ",TRIM(C412)&amp;" ")-1),",","."),FIND("/",SUBSTITUTE(LEFT(TRIM(C412),FIND(" ",TRIM(C412)&amp;" ")-1),",","."))+1,9))*12,NA()))),0),24)*'Aturan &amp; Tarif'!$B$4,2)</f>
        <v>1362.72</v>
      </c>
      <c r="K412" s="32" t="n">
        <f aca="false">'Aturan &amp; Tarif'!$B$5</f>
        <v>2050</v>
      </c>
      <c r="L412" s="35" t="n">
        <f aca="false">I412+J412+K412</f>
        <v>5562.72</v>
      </c>
      <c r="M412" s="37" t="s">
        <v>134</v>
      </c>
    </row>
    <row r="413" customFormat="false" ht="60" hidden="false" customHeight="true" outlineLevel="0" collapsed="false">
      <c r="A413" s="29"/>
      <c r="B413" s="30" t="s">
        <v>126</v>
      </c>
      <c r="C413" s="31" t="s">
        <v>127</v>
      </c>
      <c r="D413" s="31" t="s">
        <v>108</v>
      </c>
      <c r="E413" s="32" t="n">
        <v>1750</v>
      </c>
      <c r="F413" s="32" t="n">
        <v>200</v>
      </c>
      <c r="G413" s="32" t="n">
        <v>200</v>
      </c>
      <c r="H413" s="33" t="n">
        <v>1</v>
      </c>
      <c r="I413" s="34" t="n">
        <f aca="false">E413*H413+N(F413)+N(G413)</f>
        <v>2150</v>
      </c>
      <c r="J413" s="32" t="n">
        <f aca="false">ROUND(IFERROR(ROUND(IF(OR(ISNUMBER(SEARCH("week",C413)),ISNUMBER(SEARCH("minggu",C413))),IFERROR(_xlfn.NUMBERVALUE(SUBSTITUTE(LEFT(TRIM(C413),FIND(" ",TRIM(C413)&amp;" ")-1),",","."),"."),LEFT(SUBSTITUTE(LEFT(TRIM(C413),FIND(" ",TRIM(C413)&amp;" ")-1),",","."),FIND("/",SUBSTITUTE(LEFT(TRIM(C413),FIND(" ",TRIM(C413)&amp;" ")-1),",","."))-1)/MID(SUBSTITUTE(LEFT(TRIM(C413),FIND(" ",TRIM(C413)&amp;" ")-1),",","."),FIND("/",SUBSTITUTE(LEFT(TRIM(C413),FIND(" ",TRIM(C413)&amp;" ")-1),",","."))+1,9))*12/52,IF(ISNUMBER(SEARCH("month",C413)),IFERROR(_xlfn.NUMBERVALUE(SUBSTITUTE(LEFT(TRIM(C413),FIND(" ",TRIM(C413)&amp;" ")-1),",","."),"."),LEFT(SUBSTITUTE(LEFT(TRIM(C413),FIND(" ",TRIM(C413)&amp;" ")-1),",","."),FIND("/",SUBSTITUTE(LEFT(TRIM(C413),FIND(" ",TRIM(C413)&amp;" ")-1),",","."))-1)/MID(SUBSTITUTE(LEFT(TRIM(C413),FIND(" ",TRIM(C413)&amp;" ")-1),",","."),FIND("/",SUBSTITUTE(LEFT(TRIM(C413),FIND(" ",TRIM(C413)&amp;" ")-1),",","."))+1,9)),IF(ISNUMBER(SEARCH("yea",C413)),IFERROR(_xlfn.NUMBERVALUE(SUBSTITUTE(LEFT(TRIM(C413),FIND(" ",TRIM(C413)&amp;" ")-1),",","."),"."),LEFT(SUBSTITUTE(LEFT(TRIM(C413),FIND(" ",TRIM(C413)&amp;" ")-1),",","."),FIND("/",SUBSTITUTE(LEFT(TRIM(C413),FIND(" ",TRIM(C413)&amp;" ")-1),",","."))-1)/MID(SUBSTITUTE(LEFT(TRIM(C413),FIND(" ",TRIM(C413)&amp;" ")-1),",","."),FIND("/",SUBSTITUTE(LEFT(TRIM(C413),FIND(" ",TRIM(C413)&amp;" ")-1),",","."))+1,9))*12,NA()))),0),36)*'Aturan &amp; Tarif'!$B$4,2)</f>
        <v>2044.08</v>
      </c>
      <c r="K413" s="32" t="n">
        <f aca="false">'Aturan &amp; Tarif'!$B$5</f>
        <v>2050</v>
      </c>
      <c r="L413" s="35" t="n">
        <f aca="false">I413+J413+K413</f>
        <v>6244.08</v>
      </c>
      <c r="M413" s="36" t="s">
        <v>1599</v>
      </c>
    </row>
    <row r="414" customFormat="false" ht="14.25" hidden="false" customHeight="true" outlineLevel="0" collapsed="false">
      <c r="A414" s="29"/>
      <c r="B414" s="30" t="s">
        <v>1600</v>
      </c>
      <c r="C414" s="31" t="s">
        <v>107</v>
      </c>
      <c r="D414" s="31" t="s">
        <v>108</v>
      </c>
      <c r="E414" s="32" t="n">
        <v>1750</v>
      </c>
      <c r="F414" s="32" t="n">
        <v>200</v>
      </c>
      <c r="G414" s="32" t="n">
        <v>200</v>
      </c>
      <c r="H414" s="33" t="n">
        <v>1</v>
      </c>
      <c r="I414" s="34" t="n">
        <f aca="false">E414*H414+N(F414)+N(G414)</f>
        <v>2150</v>
      </c>
      <c r="J414" s="32" t="n">
        <f aca="false">ROUND(IFERROR(ROUND(IF(OR(ISNUMBER(SEARCH("week",C414)),ISNUMBER(SEARCH("minggu",C414))),IFERROR(_xlfn.NUMBERVALUE(SUBSTITUTE(LEFT(TRIM(C414),FIND(" ",TRIM(C414)&amp;" ")-1),",","."),"."),LEFT(SUBSTITUTE(LEFT(TRIM(C414),FIND(" ",TRIM(C414)&amp;" ")-1),",","."),FIND("/",SUBSTITUTE(LEFT(TRIM(C414),FIND(" ",TRIM(C414)&amp;" ")-1),",","."))-1)/MID(SUBSTITUTE(LEFT(TRIM(C414),FIND(" ",TRIM(C414)&amp;" ")-1),",","."),FIND("/",SUBSTITUTE(LEFT(TRIM(C414),FIND(" ",TRIM(C414)&amp;" ")-1),",","."))+1,9))*12/52,IF(ISNUMBER(SEARCH("month",C414)),IFERROR(_xlfn.NUMBERVALUE(SUBSTITUTE(LEFT(TRIM(C414),FIND(" ",TRIM(C414)&amp;" ")-1),",","."),"."),LEFT(SUBSTITUTE(LEFT(TRIM(C414),FIND(" ",TRIM(C414)&amp;" ")-1),",","."),FIND("/",SUBSTITUTE(LEFT(TRIM(C414),FIND(" ",TRIM(C414)&amp;" ")-1),",","."))-1)/MID(SUBSTITUTE(LEFT(TRIM(C414),FIND(" ",TRIM(C414)&amp;" ")-1),",","."),FIND("/",SUBSTITUTE(LEFT(TRIM(C414),FIND(" ",TRIM(C414)&amp;" ")-1),",","."))+1,9)),IF(ISNUMBER(SEARCH("yea",C414)),IFERROR(_xlfn.NUMBERVALUE(SUBSTITUTE(LEFT(TRIM(C414),FIND(" ",TRIM(C414)&amp;" ")-1),",","."),"."),LEFT(SUBSTITUTE(LEFT(TRIM(C414),FIND(" ",TRIM(C414)&amp;" ")-1),",","."),FIND("/",SUBSTITUTE(LEFT(TRIM(C414),FIND(" ",TRIM(C414)&amp;" ")-1),",","."))-1)/MID(SUBSTITUTE(LEFT(TRIM(C414),FIND(" ",TRIM(C414)&amp;" ")-1),",","."),FIND("/",SUBSTITUTE(LEFT(TRIM(C414),FIND(" ",TRIM(C414)&amp;" ")-1),",","."))+1,9))*12,NA()))),0),24)*'Aturan &amp; Tarif'!$B$4,2)</f>
        <v>1362.72</v>
      </c>
      <c r="K414" s="32" t="n">
        <f aca="false">'Aturan &amp; Tarif'!$B$5</f>
        <v>2050</v>
      </c>
      <c r="L414" s="35" t="n">
        <f aca="false">I414+J414+K414</f>
        <v>5562.72</v>
      </c>
      <c r="M414" s="37" t="s">
        <v>1601</v>
      </c>
    </row>
    <row r="415" customFormat="false" ht="25.5" hidden="false" customHeight="true" outlineLevel="0" collapsed="false">
      <c r="A415" s="29"/>
      <c r="B415" s="30" t="s">
        <v>1602</v>
      </c>
      <c r="C415" s="31" t="s">
        <v>107</v>
      </c>
      <c r="D415" s="31" t="s">
        <v>108</v>
      </c>
      <c r="E415" s="32" t="n">
        <v>1500</v>
      </c>
      <c r="F415" s="32" t="n">
        <v>200</v>
      </c>
      <c r="G415" s="32" t="n">
        <v>200</v>
      </c>
      <c r="H415" s="33" t="n">
        <v>1</v>
      </c>
      <c r="I415" s="34" t="n">
        <f aca="false">E415*H415+N(F415)+N(G415)</f>
        <v>1900</v>
      </c>
      <c r="J415" s="32" t="n">
        <f aca="false">ROUND(IFERROR(ROUND(IF(OR(ISNUMBER(SEARCH("week",C415)),ISNUMBER(SEARCH("minggu",C415))),IFERROR(_xlfn.NUMBERVALUE(SUBSTITUTE(LEFT(TRIM(C415),FIND(" ",TRIM(C415)&amp;" ")-1),",","."),"."),LEFT(SUBSTITUTE(LEFT(TRIM(C415),FIND(" ",TRIM(C415)&amp;" ")-1),",","."),FIND("/",SUBSTITUTE(LEFT(TRIM(C415),FIND(" ",TRIM(C415)&amp;" ")-1),",","."))-1)/MID(SUBSTITUTE(LEFT(TRIM(C415),FIND(" ",TRIM(C415)&amp;" ")-1),",","."),FIND("/",SUBSTITUTE(LEFT(TRIM(C415),FIND(" ",TRIM(C415)&amp;" ")-1),",","."))+1,9))*12/52,IF(ISNUMBER(SEARCH("month",C415)),IFERROR(_xlfn.NUMBERVALUE(SUBSTITUTE(LEFT(TRIM(C415),FIND(" ",TRIM(C415)&amp;" ")-1),",","."),"."),LEFT(SUBSTITUTE(LEFT(TRIM(C415),FIND(" ",TRIM(C415)&amp;" ")-1),",","."),FIND("/",SUBSTITUTE(LEFT(TRIM(C415),FIND(" ",TRIM(C415)&amp;" ")-1),",","."))-1)/MID(SUBSTITUTE(LEFT(TRIM(C415),FIND(" ",TRIM(C415)&amp;" ")-1),",","."),FIND("/",SUBSTITUTE(LEFT(TRIM(C415),FIND(" ",TRIM(C415)&amp;" ")-1),",","."))+1,9)),IF(ISNUMBER(SEARCH("yea",C415)),IFERROR(_xlfn.NUMBERVALUE(SUBSTITUTE(LEFT(TRIM(C415),FIND(" ",TRIM(C415)&amp;" ")-1),",","."),"."),LEFT(SUBSTITUTE(LEFT(TRIM(C415),FIND(" ",TRIM(C415)&amp;" ")-1),",","."),FIND("/",SUBSTITUTE(LEFT(TRIM(C415),FIND(" ",TRIM(C415)&amp;" ")-1),",","."))-1)/MID(SUBSTITUTE(LEFT(TRIM(C415),FIND(" ",TRIM(C415)&amp;" ")-1),",","."),FIND("/",SUBSTITUTE(LEFT(TRIM(C415),FIND(" ",TRIM(C415)&amp;" ")-1),",","."))+1,9))*12,NA()))),0),24)*'Aturan &amp; Tarif'!$B$4,2)</f>
        <v>1362.72</v>
      </c>
      <c r="K415" s="32" t="n">
        <f aca="false">'Aturan &amp; Tarif'!$B$5</f>
        <v>2050</v>
      </c>
      <c r="L415" s="35" t="n">
        <f aca="false">I415+J415+K415</f>
        <v>5312.72</v>
      </c>
      <c r="M415" s="37" t="s">
        <v>134</v>
      </c>
    </row>
    <row r="416" customFormat="false" ht="25.5" hidden="false" customHeight="true" outlineLevel="0" collapsed="false">
      <c r="A416" s="29"/>
      <c r="B416" s="30" t="s">
        <v>1603</v>
      </c>
      <c r="C416" s="31" t="s">
        <v>127</v>
      </c>
      <c r="D416" s="31" t="s">
        <v>108</v>
      </c>
      <c r="E416" s="32" t="n">
        <v>1500</v>
      </c>
      <c r="F416" s="32" t="n">
        <v>200</v>
      </c>
      <c r="G416" s="32" t="n">
        <v>200</v>
      </c>
      <c r="H416" s="33" t="n">
        <v>1</v>
      </c>
      <c r="I416" s="34" t="n">
        <f aca="false">E416*H416+N(F416)+N(G416)</f>
        <v>1900</v>
      </c>
      <c r="J416" s="32" t="n">
        <f aca="false">ROUND(IFERROR(ROUND(IF(OR(ISNUMBER(SEARCH("week",C416)),ISNUMBER(SEARCH("minggu",C416))),IFERROR(_xlfn.NUMBERVALUE(SUBSTITUTE(LEFT(TRIM(C416),FIND(" ",TRIM(C416)&amp;" ")-1),",","."),"."),LEFT(SUBSTITUTE(LEFT(TRIM(C416),FIND(" ",TRIM(C416)&amp;" ")-1),",","."),FIND("/",SUBSTITUTE(LEFT(TRIM(C416),FIND(" ",TRIM(C416)&amp;" ")-1),",","."))-1)/MID(SUBSTITUTE(LEFT(TRIM(C416),FIND(" ",TRIM(C416)&amp;" ")-1),",","."),FIND("/",SUBSTITUTE(LEFT(TRIM(C416),FIND(" ",TRIM(C416)&amp;" ")-1),",","."))+1,9))*12/52,IF(ISNUMBER(SEARCH("month",C416)),IFERROR(_xlfn.NUMBERVALUE(SUBSTITUTE(LEFT(TRIM(C416),FIND(" ",TRIM(C416)&amp;" ")-1),",","."),"."),LEFT(SUBSTITUTE(LEFT(TRIM(C416),FIND(" ",TRIM(C416)&amp;" ")-1),",","."),FIND("/",SUBSTITUTE(LEFT(TRIM(C416),FIND(" ",TRIM(C416)&amp;" ")-1),",","."))-1)/MID(SUBSTITUTE(LEFT(TRIM(C416),FIND(" ",TRIM(C416)&amp;" ")-1),",","."),FIND("/",SUBSTITUTE(LEFT(TRIM(C416),FIND(" ",TRIM(C416)&amp;" ")-1),",","."))+1,9)),IF(ISNUMBER(SEARCH("yea",C416)),IFERROR(_xlfn.NUMBERVALUE(SUBSTITUTE(LEFT(TRIM(C416),FIND(" ",TRIM(C416)&amp;" ")-1),",","."),"."),LEFT(SUBSTITUTE(LEFT(TRIM(C416),FIND(" ",TRIM(C416)&amp;" ")-1),",","."),FIND("/",SUBSTITUTE(LEFT(TRIM(C416),FIND(" ",TRIM(C416)&amp;" ")-1),",","."))-1)/MID(SUBSTITUTE(LEFT(TRIM(C416),FIND(" ",TRIM(C416)&amp;" ")-1),",","."),FIND("/",SUBSTITUTE(LEFT(TRIM(C416),FIND(" ",TRIM(C416)&amp;" ")-1),",","."))+1,9))*12,NA()))),0),36)*'Aturan &amp; Tarif'!$B$4,2)</f>
        <v>2044.08</v>
      </c>
      <c r="K416" s="32" t="n">
        <f aca="false">'Aturan &amp; Tarif'!$B$5</f>
        <v>2050</v>
      </c>
      <c r="L416" s="35" t="n">
        <f aca="false">I416+J416+K416</f>
        <v>5994.08</v>
      </c>
      <c r="M416" s="37" t="s">
        <v>134</v>
      </c>
    </row>
    <row r="417" customFormat="false" ht="25.5" hidden="false" customHeight="true" outlineLevel="0" collapsed="false">
      <c r="A417" s="29"/>
      <c r="B417" s="30" t="s">
        <v>711</v>
      </c>
      <c r="C417" s="31" t="s">
        <v>138</v>
      </c>
      <c r="D417" s="31" t="s">
        <v>108</v>
      </c>
      <c r="E417" s="32" t="n">
        <v>2250</v>
      </c>
      <c r="F417" s="32" t="n">
        <v>500</v>
      </c>
      <c r="G417" s="32" t="n">
        <v>200</v>
      </c>
      <c r="H417" s="33" t="n">
        <v>1</v>
      </c>
      <c r="I417" s="34" t="n">
        <f aca="false">E417*H417+N(F417)+N(G417)</f>
        <v>2950</v>
      </c>
      <c r="J417" s="32" t="n">
        <f aca="false">ROUND(IFERROR(ROUND(IF(OR(ISNUMBER(SEARCH("week",C417)),ISNUMBER(SEARCH("minggu",C417))),IFERROR(_xlfn.NUMBERVALUE(SUBSTITUTE(LEFT(TRIM(C417),FIND(" ",TRIM(C417)&amp;" ")-1),",","."),"."),LEFT(SUBSTITUTE(LEFT(TRIM(C417),FIND(" ",TRIM(C417)&amp;" ")-1),",","."),FIND("/",SUBSTITUTE(LEFT(TRIM(C417),FIND(" ",TRIM(C417)&amp;" ")-1),",","."))-1)/MID(SUBSTITUTE(LEFT(TRIM(C417),FIND(" ",TRIM(C417)&amp;" ")-1),",","."),FIND("/",SUBSTITUTE(LEFT(TRIM(C417),FIND(" ",TRIM(C417)&amp;" ")-1),",","."))+1,9))*12/52,IF(ISNUMBER(SEARCH("month",C417)),IFERROR(_xlfn.NUMBERVALUE(SUBSTITUTE(LEFT(TRIM(C417),FIND(" ",TRIM(C417)&amp;" ")-1),",","."),"."),LEFT(SUBSTITUTE(LEFT(TRIM(C417),FIND(" ",TRIM(C417)&amp;" ")-1),",","."),FIND("/",SUBSTITUTE(LEFT(TRIM(C417),FIND(" ",TRIM(C417)&amp;" ")-1),",","."))-1)/MID(SUBSTITUTE(LEFT(TRIM(C417),FIND(" ",TRIM(C417)&amp;" ")-1),",","."),FIND("/",SUBSTITUTE(LEFT(TRIM(C417),FIND(" ",TRIM(C417)&amp;" ")-1),",","."))+1,9)),IF(ISNUMBER(SEARCH("yea",C417)),IFERROR(_xlfn.NUMBERVALUE(SUBSTITUTE(LEFT(TRIM(C417),FIND(" ",TRIM(C417)&amp;" ")-1),",","."),"."),LEFT(SUBSTITUTE(LEFT(TRIM(C417),FIND(" ",TRIM(C417)&amp;" ")-1),",","."),FIND("/",SUBSTITUTE(LEFT(TRIM(C417),FIND(" ",TRIM(C417)&amp;" ")-1),",","."))-1)/MID(SUBSTITUTE(LEFT(TRIM(C417),FIND(" ",TRIM(C417)&amp;" ")-1),",","."),FIND("/",SUBSTITUTE(LEFT(TRIM(C417),FIND(" ",TRIM(C417)&amp;" ")-1),",","."))+1,9))*12,NA()))),0),30)*'Aturan &amp; Tarif'!$B$4,2)</f>
        <v>1703.4</v>
      </c>
      <c r="K417" s="32" t="n">
        <f aca="false">'Aturan &amp; Tarif'!$B$5</f>
        <v>2050</v>
      </c>
      <c r="L417" s="35" t="n">
        <f aca="false">I417+J417+K417</f>
        <v>6703.4</v>
      </c>
      <c r="M417" s="37" t="s">
        <v>134</v>
      </c>
    </row>
    <row r="418" customFormat="false" ht="37.5" hidden="false" customHeight="true" outlineLevel="0" collapsed="false">
      <c r="A418" s="29"/>
      <c r="B418" s="30" t="s">
        <v>1604</v>
      </c>
      <c r="C418" s="31" t="s">
        <v>130</v>
      </c>
      <c r="D418" s="31" t="s">
        <v>108</v>
      </c>
      <c r="E418" s="32" t="n">
        <v>3000</v>
      </c>
      <c r="F418" s="32" t="n">
        <v>300</v>
      </c>
      <c r="G418" s="32" t="n">
        <v>200</v>
      </c>
      <c r="H418" s="33" t="n">
        <v>1</v>
      </c>
      <c r="I418" s="34" t="n">
        <f aca="false">E418*H418+N(F418)+N(G418)</f>
        <v>3500</v>
      </c>
      <c r="J418" s="32" t="n">
        <f aca="false">ROUND(IFERROR(ROUND(IF(OR(ISNUMBER(SEARCH("week",C418)),ISNUMBER(SEARCH("minggu",C418))),IFERROR(_xlfn.NUMBERVALUE(SUBSTITUTE(LEFT(TRIM(C418),FIND(" ",TRIM(C418)&amp;" ")-1),",","."),"."),LEFT(SUBSTITUTE(LEFT(TRIM(C418),FIND(" ",TRIM(C418)&amp;" ")-1),",","."),FIND("/",SUBSTITUTE(LEFT(TRIM(C418),FIND(" ",TRIM(C418)&amp;" ")-1),",","."))-1)/MID(SUBSTITUTE(LEFT(TRIM(C418),FIND(" ",TRIM(C418)&amp;" ")-1),",","."),FIND("/",SUBSTITUTE(LEFT(TRIM(C418),FIND(" ",TRIM(C418)&amp;" ")-1),",","."))+1,9))*12/52,IF(ISNUMBER(SEARCH("month",C418)),IFERROR(_xlfn.NUMBERVALUE(SUBSTITUTE(LEFT(TRIM(C418),FIND(" ",TRIM(C418)&amp;" ")-1),",","."),"."),LEFT(SUBSTITUTE(LEFT(TRIM(C418),FIND(" ",TRIM(C418)&amp;" ")-1),",","."),FIND("/",SUBSTITUTE(LEFT(TRIM(C418),FIND(" ",TRIM(C418)&amp;" ")-1),",","."))-1)/MID(SUBSTITUTE(LEFT(TRIM(C418),FIND(" ",TRIM(C418)&amp;" ")-1),",","."),FIND("/",SUBSTITUTE(LEFT(TRIM(C418),FIND(" ",TRIM(C418)&amp;" ")-1),",","."))+1,9)),IF(ISNUMBER(SEARCH("yea",C418)),IFERROR(_xlfn.NUMBERVALUE(SUBSTITUTE(LEFT(TRIM(C418),FIND(" ",TRIM(C418)&amp;" ")-1),",","."),"."),LEFT(SUBSTITUTE(LEFT(TRIM(C418),FIND(" ",TRIM(C418)&amp;" ")-1),",","."),FIND("/",SUBSTITUTE(LEFT(TRIM(C418),FIND(" ",TRIM(C418)&amp;" ")-1),",","."))-1)/MID(SUBSTITUTE(LEFT(TRIM(C418),FIND(" ",TRIM(C418)&amp;" ")-1),",","."),FIND("/",SUBSTITUTE(LEFT(TRIM(C418),FIND(" ",TRIM(C418)&amp;" ")-1),",","."))+1,9))*12,NA()))),0),12)*'Aturan &amp; Tarif'!$B$4,2)</f>
        <v>681.36</v>
      </c>
      <c r="K418" s="32" t="n">
        <f aca="false">'Aturan &amp; Tarif'!$B$5</f>
        <v>2050</v>
      </c>
      <c r="L418" s="35" t="n">
        <f aca="false">I418+J418+K418</f>
        <v>6231.36</v>
      </c>
      <c r="M418" s="36" t="s">
        <v>131</v>
      </c>
    </row>
    <row r="419" customFormat="false" ht="48.75" hidden="false" customHeight="true" outlineLevel="0" collapsed="false">
      <c r="A419" s="39" t="s">
        <v>1605</v>
      </c>
      <c r="B419" s="40" t="s">
        <v>1606</v>
      </c>
      <c r="C419" s="41" t="s">
        <v>107</v>
      </c>
      <c r="D419" s="41" t="s">
        <v>108</v>
      </c>
      <c r="E419" s="42" t="n">
        <v>3500</v>
      </c>
      <c r="F419" s="42"/>
      <c r="G419" s="42" t="n">
        <v>250</v>
      </c>
      <c r="H419" s="43" t="n">
        <v>2</v>
      </c>
      <c r="I419" s="34" t="n">
        <f aca="false">E419*H419+N(F419)+N(G419)</f>
        <v>7250</v>
      </c>
      <c r="J419" s="42" t="n">
        <f aca="false">ROUND(IFERROR(ROUND(IF(OR(ISNUMBER(SEARCH("week",C419)),ISNUMBER(SEARCH("minggu",C419))),IFERROR(_xlfn.NUMBERVALUE(SUBSTITUTE(LEFT(TRIM(C419),FIND(" ",TRIM(C419)&amp;" ")-1),",","."),"."),LEFT(SUBSTITUTE(LEFT(TRIM(C419),FIND(" ",TRIM(C419)&amp;" ")-1),",","."),FIND("/",SUBSTITUTE(LEFT(TRIM(C419),FIND(" ",TRIM(C419)&amp;" ")-1),",","."))-1)/MID(SUBSTITUTE(LEFT(TRIM(C419),FIND(" ",TRIM(C419)&amp;" ")-1),",","."),FIND("/",SUBSTITUTE(LEFT(TRIM(C419),FIND(" ",TRIM(C419)&amp;" ")-1),",","."))+1,9))*12/52,IF(ISNUMBER(SEARCH("month",C419)),IFERROR(_xlfn.NUMBERVALUE(SUBSTITUTE(LEFT(TRIM(C419),FIND(" ",TRIM(C419)&amp;" ")-1),",","."),"."),LEFT(SUBSTITUTE(LEFT(TRIM(C419),FIND(" ",TRIM(C419)&amp;" ")-1),",","."),FIND("/",SUBSTITUTE(LEFT(TRIM(C419),FIND(" ",TRIM(C419)&amp;" ")-1),",","."))-1)/MID(SUBSTITUTE(LEFT(TRIM(C419),FIND(" ",TRIM(C419)&amp;" ")-1),",","."),FIND("/",SUBSTITUTE(LEFT(TRIM(C419),FIND(" ",TRIM(C419)&amp;" ")-1),",","."))+1,9)),IF(ISNUMBER(SEARCH("yea",C419)),IFERROR(_xlfn.NUMBERVALUE(SUBSTITUTE(LEFT(TRIM(C419),FIND(" ",TRIM(C419)&amp;" ")-1),",","."),"."),LEFT(SUBSTITUTE(LEFT(TRIM(C419),FIND(" ",TRIM(C419)&amp;" ")-1),",","."),FIND("/",SUBSTITUTE(LEFT(TRIM(C419),FIND(" ",TRIM(C419)&amp;" ")-1),",","."))-1)/MID(SUBSTITUTE(LEFT(TRIM(C419),FIND(" ",TRIM(C419)&amp;" ")-1),",","."),FIND("/",SUBSTITUTE(LEFT(TRIM(C419),FIND(" ",TRIM(C419)&amp;" ")-1),",","."))+1,9))*12,NA()))),0),24)*'Aturan &amp; Tarif'!$B$4,2)</f>
        <v>1362.72</v>
      </c>
      <c r="K419" s="42" t="n">
        <f aca="false">'Aturan &amp; Tarif'!$B$5</f>
        <v>2050</v>
      </c>
      <c r="L419" s="35" t="n">
        <f aca="false">I419+J419+K419</f>
        <v>10662.72</v>
      </c>
      <c r="M419" s="45" t="s">
        <v>3329</v>
      </c>
    </row>
    <row r="420" customFormat="false" ht="25.5" hidden="false" customHeight="true" outlineLevel="0" collapsed="false">
      <c r="A420" s="39"/>
      <c r="B420" s="40" t="s">
        <v>1608</v>
      </c>
      <c r="C420" s="41" t="s">
        <v>107</v>
      </c>
      <c r="D420" s="41" t="s">
        <v>108</v>
      </c>
      <c r="E420" s="42" t="n">
        <v>3750</v>
      </c>
      <c r="F420" s="42"/>
      <c r="G420" s="42" t="n">
        <v>250</v>
      </c>
      <c r="H420" s="43" t="n">
        <v>2</v>
      </c>
      <c r="I420" s="34" t="n">
        <f aca="false">E420*H420+N(F420)+N(G420)</f>
        <v>7750</v>
      </c>
      <c r="J420" s="42" t="n">
        <f aca="false">ROUND(IFERROR(ROUND(IF(OR(ISNUMBER(SEARCH("week",C420)),ISNUMBER(SEARCH("minggu",C420))),IFERROR(_xlfn.NUMBERVALUE(SUBSTITUTE(LEFT(TRIM(C420),FIND(" ",TRIM(C420)&amp;" ")-1),",","."),"."),LEFT(SUBSTITUTE(LEFT(TRIM(C420),FIND(" ",TRIM(C420)&amp;" ")-1),",","."),FIND("/",SUBSTITUTE(LEFT(TRIM(C420),FIND(" ",TRIM(C420)&amp;" ")-1),",","."))-1)/MID(SUBSTITUTE(LEFT(TRIM(C420),FIND(" ",TRIM(C420)&amp;" ")-1),",","."),FIND("/",SUBSTITUTE(LEFT(TRIM(C420),FIND(" ",TRIM(C420)&amp;" ")-1),",","."))+1,9))*12/52,IF(ISNUMBER(SEARCH("month",C420)),IFERROR(_xlfn.NUMBERVALUE(SUBSTITUTE(LEFT(TRIM(C420),FIND(" ",TRIM(C420)&amp;" ")-1),",","."),"."),LEFT(SUBSTITUTE(LEFT(TRIM(C420),FIND(" ",TRIM(C420)&amp;" ")-1),",","."),FIND("/",SUBSTITUTE(LEFT(TRIM(C420),FIND(" ",TRIM(C420)&amp;" ")-1),",","."))-1)/MID(SUBSTITUTE(LEFT(TRIM(C420),FIND(" ",TRIM(C420)&amp;" ")-1),",","."),FIND("/",SUBSTITUTE(LEFT(TRIM(C420),FIND(" ",TRIM(C420)&amp;" ")-1),",","."))+1,9)),IF(ISNUMBER(SEARCH("yea",C420)),IFERROR(_xlfn.NUMBERVALUE(SUBSTITUTE(LEFT(TRIM(C420),FIND(" ",TRIM(C420)&amp;" ")-1),",","."),"."),LEFT(SUBSTITUTE(LEFT(TRIM(C420),FIND(" ",TRIM(C420)&amp;" ")-1),",","."),FIND("/",SUBSTITUTE(LEFT(TRIM(C420),FIND(" ",TRIM(C420)&amp;" ")-1),",","."))-1)/MID(SUBSTITUTE(LEFT(TRIM(C420),FIND(" ",TRIM(C420)&amp;" ")-1),",","."),FIND("/",SUBSTITUTE(LEFT(TRIM(C420),FIND(" ",TRIM(C420)&amp;" ")-1),",","."))+1,9))*12,NA()))),0),24)*'Aturan &amp; Tarif'!$B$4,2)</f>
        <v>1362.72</v>
      </c>
      <c r="K420" s="42" t="n">
        <f aca="false">'Aturan &amp; Tarif'!$B$5</f>
        <v>2050</v>
      </c>
      <c r="L420" s="35" t="n">
        <f aca="false">I420+J420+K420</f>
        <v>11162.72</v>
      </c>
      <c r="M420" s="45" t="s">
        <v>3331</v>
      </c>
    </row>
    <row r="421" customFormat="false" ht="25.5" hidden="false" customHeight="true" outlineLevel="0" collapsed="false">
      <c r="A421" s="39"/>
      <c r="B421" s="40" t="s">
        <v>1610</v>
      </c>
      <c r="C421" s="41" t="s">
        <v>107</v>
      </c>
      <c r="D421" s="41" t="s">
        <v>108</v>
      </c>
      <c r="E421" s="42" t="n">
        <v>3750</v>
      </c>
      <c r="F421" s="42"/>
      <c r="G421" s="42" t="n">
        <v>250</v>
      </c>
      <c r="H421" s="43" t="n">
        <v>2</v>
      </c>
      <c r="I421" s="34" t="n">
        <f aca="false">E421*H421+N(F421)+N(G421)</f>
        <v>7750</v>
      </c>
      <c r="J421" s="42" t="n">
        <f aca="false">ROUND(IFERROR(ROUND(IF(OR(ISNUMBER(SEARCH("week",C421)),ISNUMBER(SEARCH("minggu",C421))),IFERROR(_xlfn.NUMBERVALUE(SUBSTITUTE(LEFT(TRIM(C421),FIND(" ",TRIM(C421)&amp;" ")-1),",","."),"."),LEFT(SUBSTITUTE(LEFT(TRIM(C421),FIND(" ",TRIM(C421)&amp;" ")-1),",","."),FIND("/",SUBSTITUTE(LEFT(TRIM(C421),FIND(" ",TRIM(C421)&amp;" ")-1),",","."))-1)/MID(SUBSTITUTE(LEFT(TRIM(C421),FIND(" ",TRIM(C421)&amp;" ")-1),",","."),FIND("/",SUBSTITUTE(LEFT(TRIM(C421),FIND(" ",TRIM(C421)&amp;" ")-1),",","."))+1,9))*12/52,IF(ISNUMBER(SEARCH("month",C421)),IFERROR(_xlfn.NUMBERVALUE(SUBSTITUTE(LEFT(TRIM(C421),FIND(" ",TRIM(C421)&amp;" ")-1),",","."),"."),LEFT(SUBSTITUTE(LEFT(TRIM(C421),FIND(" ",TRIM(C421)&amp;" ")-1),",","."),FIND("/",SUBSTITUTE(LEFT(TRIM(C421),FIND(" ",TRIM(C421)&amp;" ")-1),",","."))-1)/MID(SUBSTITUTE(LEFT(TRIM(C421),FIND(" ",TRIM(C421)&amp;" ")-1),",","."),FIND("/",SUBSTITUTE(LEFT(TRIM(C421),FIND(" ",TRIM(C421)&amp;" ")-1),",","."))+1,9)),IF(ISNUMBER(SEARCH("yea",C421)),IFERROR(_xlfn.NUMBERVALUE(SUBSTITUTE(LEFT(TRIM(C421),FIND(" ",TRIM(C421)&amp;" ")-1),",","."),"."),LEFT(SUBSTITUTE(LEFT(TRIM(C421),FIND(" ",TRIM(C421)&amp;" ")-1),",","."),FIND("/",SUBSTITUTE(LEFT(TRIM(C421),FIND(" ",TRIM(C421)&amp;" ")-1),",","."))-1)/MID(SUBSTITUTE(LEFT(TRIM(C421),FIND(" ",TRIM(C421)&amp;" ")-1),",","."),FIND("/",SUBSTITUTE(LEFT(TRIM(C421),FIND(" ",TRIM(C421)&amp;" ")-1),",","."))+1,9))*12,NA()))),0),24)*'Aturan &amp; Tarif'!$B$4,2)</f>
        <v>1362.72</v>
      </c>
      <c r="K421" s="42" t="n">
        <f aca="false">'Aturan &amp; Tarif'!$B$5</f>
        <v>2050</v>
      </c>
      <c r="L421" s="35" t="n">
        <f aca="false">I421+J421+K421</f>
        <v>11162.72</v>
      </c>
      <c r="M421" s="45" t="s">
        <v>3331</v>
      </c>
    </row>
    <row r="422" customFormat="false" ht="37.5" hidden="false" customHeight="true" outlineLevel="0" collapsed="false">
      <c r="A422" s="39"/>
      <c r="B422" s="40" t="s">
        <v>1611</v>
      </c>
      <c r="C422" s="41" t="s">
        <v>107</v>
      </c>
      <c r="D422" s="41" t="s">
        <v>108</v>
      </c>
      <c r="E422" s="42" t="n">
        <v>3750</v>
      </c>
      <c r="F422" s="42"/>
      <c r="G422" s="42" t="n">
        <v>250</v>
      </c>
      <c r="H422" s="43" t="n">
        <v>2</v>
      </c>
      <c r="I422" s="34" t="n">
        <f aca="false">E422*H422+N(F422)+N(G422)</f>
        <v>7750</v>
      </c>
      <c r="J422" s="42" t="n">
        <f aca="false">ROUND(IFERROR(ROUND(IF(OR(ISNUMBER(SEARCH("week",C422)),ISNUMBER(SEARCH("minggu",C422))),IFERROR(_xlfn.NUMBERVALUE(SUBSTITUTE(LEFT(TRIM(C422),FIND(" ",TRIM(C422)&amp;" ")-1),",","."),"."),LEFT(SUBSTITUTE(LEFT(TRIM(C422),FIND(" ",TRIM(C422)&amp;" ")-1),",","."),FIND("/",SUBSTITUTE(LEFT(TRIM(C422),FIND(" ",TRIM(C422)&amp;" ")-1),",","."))-1)/MID(SUBSTITUTE(LEFT(TRIM(C422),FIND(" ",TRIM(C422)&amp;" ")-1),",","."),FIND("/",SUBSTITUTE(LEFT(TRIM(C422),FIND(" ",TRIM(C422)&amp;" ")-1),",","."))+1,9))*12/52,IF(ISNUMBER(SEARCH("month",C422)),IFERROR(_xlfn.NUMBERVALUE(SUBSTITUTE(LEFT(TRIM(C422),FIND(" ",TRIM(C422)&amp;" ")-1),",","."),"."),LEFT(SUBSTITUTE(LEFT(TRIM(C422),FIND(" ",TRIM(C422)&amp;" ")-1),",","."),FIND("/",SUBSTITUTE(LEFT(TRIM(C422),FIND(" ",TRIM(C422)&amp;" ")-1),",","."))-1)/MID(SUBSTITUTE(LEFT(TRIM(C422),FIND(" ",TRIM(C422)&amp;" ")-1),",","."),FIND("/",SUBSTITUTE(LEFT(TRIM(C422),FIND(" ",TRIM(C422)&amp;" ")-1),",","."))+1,9)),IF(ISNUMBER(SEARCH("yea",C422)),IFERROR(_xlfn.NUMBERVALUE(SUBSTITUTE(LEFT(TRIM(C422),FIND(" ",TRIM(C422)&amp;" ")-1),",","."),"."),LEFT(SUBSTITUTE(LEFT(TRIM(C422),FIND(" ",TRIM(C422)&amp;" ")-1),",","."),FIND("/",SUBSTITUTE(LEFT(TRIM(C422),FIND(" ",TRIM(C422)&amp;" ")-1),",","."))-1)/MID(SUBSTITUTE(LEFT(TRIM(C422),FIND(" ",TRIM(C422)&amp;" ")-1),",","."),FIND("/",SUBSTITUTE(LEFT(TRIM(C422),FIND(" ",TRIM(C422)&amp;" ")-1),",","."))+1,9))*12,NA()))),0),24)*'Aturan &amp; Tarif'!$B$4,2)</f>
        <v>1362.72</v>
      </c>
      <c r="K422" s="42" t="n">
        <f aca="false">'Aturan &amp; Tarif'!$B$5</f>
        <v>2050</v>
      </c>
      <c r="L422" s="35" t="n">
        <f aca="false">I422+J422+K422</f>
        <v>11162.72</v>
      </c>
      <c r="M422" s="45" t="s">
        <v>3331</v>
      </c>
    </row>
    <row r="423" customFormat="false" ht="14.25" hidden="false" customHeight="true" outlineLevel="0" collapsed="false">
      <c r="A423" s="39"/>
      <c r="B423" s="40" t="s">
        <v>335</v>
      </c>
      <c r="C423" s="41" t="s">
        <v>127</v>
      </c>
      <c r="D423" s="41" t="s">
        <v>108</v>
      </c>
      <c r="E423" s="42" t="n">
        <v>3000</v>
      </c>
      <c r="F423" s="42"/>
      <c r="G423" s="42" t="n">
        <v>250</v>
      </c>
      <c r="H423" s="43" t="n">
        <v>2</v>
      </c>
      <c r="I423" s="34" t="n">
        <f aca="false">E423*H423+N(F423)+N(G423)</f>
        <v>6250</v>
      </c>
      <c r="J423" s="42" t="n">
        <f aca="false">ROUND(IFERROR(ROUND(IF(OR(ISNUMBER(SEARCH("week",C423)),ISNUMBER(SEARCH("minggu",C423))),IFERROR(_xlfn.NUMBERVALUE(SUBSTITUTE(LEFT(TRIM(C423),FIND(" ",TRIM(C423)&amp;" ")-1),",","."),"."),LEFT(SUBSTITUTE(LEFT(TRIM(C423),FIND(" ",TRIM(C423)&amp;" ")-1),",","."),FIND("/",SUBSTITUTE(LEFT(TRIM(C423),FIND(" ",TRIM(C423)&amp;" ")-1),",","."))-1)/MID(SUBSTITUTE(LEFT(TRIM(C423),FIND(" ",TRIM(C423)&amp;" ")-1),",","."),FIND("/",SUBSTITUTE(LEFT(TRIM(C423),FIND(" ",TRIM(C423)&amp;" ")-1),",","."))+1,9))*12/52,IF(ISNUMBER(SEARCH("month",C423)),IFERROR(_xlfn.NUMBERVALUE(SUBSTITUTE(LEFT(TRIM(C423),FIND(" ",TRIM(C423)&amp;" ")-1),",","."),"."),LEFT(SUBSTITUTE(LEFT(TRIM(C423),FIND(" ",TRIM(C423)&amp;" ")-1),",","."),FIND("/",SUBSTITUTE(LEFT(TRIM(C423),FIND(" ",TRIM(C423)&amp;" ")-1),",","."))-1)/MID(SUBSTITUTE(LEFT(TRIM(C423),FIND(" ",TRIM(C423)&amp;" ")-1),",","."),FIND("/",SUBSTITUTE(LEFT(TRIM(C423),FIND(" ",TRIM(C423)&amp;" ")-1),",","."))+1,9)),IF(ISNUMBER(SEARCH("yea",C423)),IFERROR(_xlfn.NUMBERVALUE(SUBSTITUTE(LEFT(TRIM(C423),FIND(" ",TRIM(C423)&amp;" ")-1),",","."),"."),LEFT(SUBSTITUTE(LEFT(TRIM(C423),FIND(" ",TRIM(C423)&amp;" ")-1),",","."),FIND("/",SUBSTITUTE(LEFT(TRIM(C423),FIND(" ",TRIM(C423)&amp;" ")-1),",","."))-1)/MID(SUBSTITUTE(LEFT(TRIM(C423),FIND(" ",TRIM(C423)&amp;" ")-1),",","."),FIND("/",SUBSTITUTE(LEFT(TRIM(C423),FIND(" ",TRIM(C423)&amp;" ")-1),",","."))+1,9))*12,NA()))),0),36)*'Aturan &amp; Tarif'!$B$4,2)</f>
        <v>2044.08</v>
      </c>
      <c r="K423" s="42" t="n">
        <f aca="false">'Aturan &amp; Tarif'!$B$5</f>
        <v>2050</v>
      </c>
      <c r="L423" s="35" t="n">
        <f aca="false">I423+J423+K423</f>
        <v>10344.08</v>
      </c>
      <c r="M423" s="45" t="s">
        <v>3332</v>
      </c>
    </row>
    <row r="424" customFormat="false" ht="48.75" hidden="false" customHeight="true" outlineLevel="0" collapsed="false">
      <c r="A424" s="29" t="s">
        <v>1613</v>
      </c>
      <c r="B424" s="30" t="s">
        <v>1606</v>
      </c>
      <c r="C424" s="31" t="s">
        <v>107</v>
      </c>
      <c r="D424" s="31" t="s">
        <v>108</v>
      </c>
      <c r="E424" s="32" t="n">
        <v>3500</v>
      </c>
      <c r="F424" s="32"/>
      <c r="G424" s="32" t="n">
        <v>250</v>
      </c>
      <c r="H424" s="33" t="n">
        <v>2</v>
      </c>
      <c r="I424" s="34" t="n">
        <f aca="false">E424*H424+N(F424)+N(G424)</f>
        <v>7250</v>
      </c>
      <c r="J424" s="32" t="n">
        <f aca="false">ROUND(IFERROR(ROUND(IF(OR(ISNUMBER(SEARCH("week",C424)),ISNUMBER(SEARCH("minggu",C424))),IFERROR(_xlfn.NUMBERVALUE(SUBSTITUTE(LEFT(TRIM(C424),FIND(" ",TRIM(C424)&amp;" ")-1),",","."),"."),LEFT(SUBSTITUTE(LEFT(TRIM(C424),FIND(" ",TRIM(C424)&amp;" ")-1),",","."),FIND("/",SUBSTITUTE(LEFT(TRIM(C424),FIND(" ",TRIM(C424)&amp;" ")-1),",","."))-1)/MID(SUBSTITUTE(LEFT(TRIM(C424),FIND(" ",TRIM(C424)&amp;" ")-1),",","."),FIND("/",SUBSTITUTE(LEFT(TRIM(C424),FIND(" ",TRIM(C424)&amp;" ")-1),",","."))+1,9))*12/52,IF(ISNUMBER(SEARCH("month",C424)),IFERROR(_xlfn.NUMBERVALUE(SUBSTITUTE(LEFT(TRIM(C424),FIND(" ",TRIM(C424)&amp;" ")-1),",","."),"."),LEFT(SUBSTITUTE(LEFT(TRIM(C424),FIND(" ",TRIM(C424)&amp;" ")-1),",","."),FIND("/",SUBSTITUTE(LEFT(TRIM(C424),FIND(" ",TRIM(C424)&amp;" ")-1),",","."))-1)/MID(SUBSTITUTE(LEFT(TRIM(C424),FIND(" ",TRIM(C424)&amp;" ")-1),",","."),FIND("/",SUBSTITUTE(LEFT(TRIM(C424),FIND(" ",TRIM(C424)&amp;" ")-1),",","."))+1,9)),IF(ISNUMBER(SEARCH("yea",C424)),IFERROR(_xlfn.NUMBERVALUE(SUBSTITUTE(LEFT(TRIM(C424),FIND(" ",TRIM(C424)&amp;" ")-1),",","."),"."),LEFT(SUBSTITUTE(LEFT(TRIM(C424),FIND(" ",TRIM(C424)&amp;" ")-1),",","."),FIND("/",SUBSTITUTE(LEFT(TRIM(C424),FIND(" ",TRIM(C424)&amp;" ")-1),",","."))-1)/MID(SUBSTITUTE(LEFT(TRIM(C424),FIND(" ",TRIM(C424)&amp;" ")-1),",","."),FIND("/",SUBSTITUTE(LEFT(TRIM(C424),FIND(" ",TRIM(C424)&amp;" ")-1),",","."))+1,9))*12,NA()))),0),24)*'Aturan &amp; Tarif'!$B$4,2)</f>
        <v>1362.72</v>
      </c>
      <c r="K424" s="32" t="n">
        <f aca="false">'Aturan &amp; Tarif'!$B$5</f>
        <v>2050</v>
      </c>
      <c r="L424" s="35" t="n">
        <f aca="false">I424+J424+K424</f>
        <v>10662.72</v>
      </c>
      <c r="M424" s="37" t="s">
        <v>3325</v>
      </c>
    </row>
    <row r="425" customFormat="false" ht="25.5" hidden="false" customHeight="true" outlineLevel="0" collapsed="false">
      <c r="A425" s="29"/>
      <c r="B425" s="30" t="s">
        <v>1608</v>
      </c>
      <c r="C425" s="31" t="s">
        <v>107</v>
      </c>
      <c r="D425" s="31" t="s">
        <v>108</v>
      </c>
      <c r="E425" s="32" t="n">
        <v>3750</v>
      </c>
      <c r="F425" s="32"/>
      <c r="G425" s="32" t="n">
        <v>250</v>
      </c>
      <c r="H425" s="33" t="n">
        <v>2</v>
      </c>
      <c r="I425" s="34" t="n">
        <f aca="false">E425*H425+N(F425)+N(G425)</f>
        <v>7750</v>
      </c>
      <c r="J425" s="32" t="n">
        <f aca="false">ROUND(IFERROR(ROUND(IF(OR(ISNUMBER(SEARCH("week",C425)),ISNUMBER(SEARCH("minggu",C425))),IFERROR(_xlfn.NUMBERVALUE(SUBSTITUTE(LEFT(TRIM(C425),FIND(" ",TRIM(C425)&amp;" ")-1),",","."),"."),LEFT(SUBSTITUTE(LEFT(TRIM(C425),FIND(" ",TRIM(C425)&amp;" ")-1),",","."),FIND("/",SUBSTITUTE(LEFT(TRIM(C425),FIND(" ",TRIM(C425)&amp;" ")-1),",","."))-1)/MID(SUBSTITUTE(LEFT(TRIM(C425),FIND(" ",TRIM(C425)&amp;" ")-1),",","."),FIND("/",SUBSTITUTE(LEFT(TRIM(C425),FIND(" ",TRIM(C425)&amp;" ")-1),",","."))+1,9))*12/52,IF(ISNUMBER(SEARCH("month",C425)),IFERROR(_xlfn.NUMBERVALUE(SUBSTITUTE(LEFT(TRIM(C425),FIND(" ",TRIM(C425)&amp;" ")-1),",","."),"."),LEFT(SUBSTITUTE(LEFT(TRIM(C425),FIND(" ",TRIM(C425)&amp;" ")-1),",","."),FIND("/",SUBSTITUTE(LEFT(TRIM(C425),FIND(" ",TRIM(C425)&amp;" ")-1),",","."))-1)/MID(SUBSTITUTE(LEFT(TRIM(C425),FIND(" ",TRIM(C425)&amp;" ")-1),",","."),FIND("/",SUBSTITUTE(LEFT(TRIM(C425),FIND(" ",TRIM(C425)&amp;" ")-1),",","."))+1,9)),IF(ISNUMBER(SEARCH("yea",C425)),IFERROR(_xlfn.NUMBERVALUE(SUBSTITUTE(LEFT(TRIM(C425),FIND(" ",TRIM(C425)&amp;" ")-1),",","."),"."),LEFT(SUBSTITUTE(LEFT(TRIM(C425),FIND(" ",TRIM(C425)&amp;" ")-1),",","."),FIND("/",SUBSTITUTE(LEFT(TRIM(C425),FIND(" ",TRIM(C425)&amp;" ")-1),",","."))-1)/MID(SUBSTITUTE(LEFT(TRIM(C425),FIND(" ",TRIM(C425)&amp;" ")-1),",","."),FIND("/",SUBSTITUTE(LEFT(TRIM(C425),FIND(" ",TRIM(C425)&amp;" ")-1),",","."))+1,9))*12,NA()))),0),24)*'Aturan &amp; Tarif'!$B$4,2)</f>
        <v>1362.72</v>
      </c>
      <c r="K425" s="32" t="n">
        <f aca="false">'Aturan &amp; Tarif'!$B$5</f>
        <v>2050</v>
      </c>
      <c r="L425" s="35" t="n">
        <f aca="false">I425+J425+K425</f>
        <v>11162.72</v>
      </c>
      <c r="M425" s="37" t="s">
        <v>3326</v>
      </c>
    </row>
    <row r="426" customFormat="false" ht="25.5" hidden="false" customHeight="true" outlineLevel="0" collapsed="false">
      <c r="A426" s="29"/>
      <c r="B426" s="30" t="s">
        <v>1610</v>
      </c>
      <c r="C426" s="31" t="s">
        <v>107</v>
      </c>
      <c r="D426" s="31" t="s">
        <v>108</v>
      </c>
      <c r="E426" s="32" t="n">
        <v>3750</v>
      </c>
      <c r="F426" s="32"/>
      <c r="G426" s="32" t="n">
        <v>250</v>
      </c>
      <c r="H426" s="33" t="n">
        <v>2</v>
      </c>
      <c r="I426" s="34" t="n">
        <f aca="false">E426*H426+N(F426)+N(G426)</f>
        <v>7750</v>
      </c>
      <c r="J426" s="32" t="n">
        <f aca="false">ROUND(IFERROR(ROUND(IF(OR(ISNUMBER(SEARCH("week",C426)),ISNUMBER(SEARCH("minggu",C426))),IFERROR(_xlfn.NUMBERVALUE(SUBSTITUTE(LEFT(TRIM(C426),FIND(" ",TRIM(C426)&amp;" ")-1),",","."),"."),LEFT(SUBSTITUTE(LEFT(TRIM(C426),FIND(" ",TRIM(C426)&amp;" ")-1),",","."),FIND("/",SUBSTITUTE(LEFT(TRIM(C426),FIND(" ",TRIM(C426)&amp;" ")-1),",","."))-1)/MID(SUBSTITUTE(LEFT(TRIM(C426),FIND(" ",TRIM(C426)&amp;" ")-1),",","."),FIND("/",SUBSTITUTE(LEFT(TRIM(C426),FIND(" ",TRIM(C426)&amp;" ")-1),",","."))+1,9))*12/52,IF(ISNUMBER(SEARCH("month",C426)),IFERROR(_xlfn.NUMBERVALUE(SUBSTITUTE(LEFT(TRIM(C426),FIND(" ",TRIM(C426)&amp;" ")-1),",","."),"."),LEFT(SUBSTITUTE(LEFT(TRIM(C426),FIND(" ",TRIM(C426)&amp;" ")-1),",","."),FIND("/",SUBSTITUTE(LEFT(TRIM(C426),FIND(" ",TRIM(C426)&amp;" ")-1),",","."))-1)/MID(SUBSTITUTE(LEFT(TRIM(C426),FIND(" ",TRIM(C426)&amp;" ")-1),",","."),FIND("/",SUBSTITUTE(LEFT(TRIM(C426),FIND(" ",TRIM(C426)&amp;" ")-1),",","."))+1,9)),IF(ISNUMBER(SEARCH("yea",C426)),IFERROR(_xlfn.NUMBERVALUE(SUBSTITUTE(LEFT(TRIM(C426),FIND(" ",TRIM(C426)&amp;" ")-1),",","."),"."),LEFT(SUBSTITUTE(LEFT(TRIM(C426),FIND(" ",TRIM(C426)&amp;" ")-1),",","."),FIND("/",SUBSTITUTE(LEFT(TRIM(C426),FIND(" ",TRIM(C426)&amp;" ")-1),",","."))-1)/MID(SUBSTITUTE(LEFT(TRIM(C426),FIND(" ",TRIM(C426)&amp;" ")-1),",","."),FIND("/",SUBSTITUTE(LEFT(TRIM(C426),FIND(" ",TRIM(C426)&amp;" ")-1),",","."))+1,9))*12,NA()))),0),24)*'Aturan &amp; Tarif'!$B$4,2)</f>
        <v>1362.72</v>
      </c>
      <c r="K426" s="32" t="n">
        <f aca="false">'Aturan &amp; Tarif'!$B$5</f>
        <v>2050</v>
      </c>
      <c r="L426" s="35" t="n">
        <f aca="false">I426+J426+K426</f>
        <v>11162.72</v>
      </c>
      <c r="M426" s="37" t="s">
        <v>3326</v>
      </c>
    </row>
    <row r="427" customFormat="false" ht="37.5" hidden="false" customHeight="true" outlineLevel="0" collapsed="false">
      <c r="A427" s="29"/>
      <c r="B427" s="30" t="s">
        <v>1611</v>
      </c>
      <c r="C427" s="31" t="s">
        <v>107</v>
      </c>
      <c r="D427" s="31" t="s">
        <v>108</v>
      </c>
      <c r="E427" s="32" t="n">
        <v>3750</v>
      </c>
      <c r="F427" s="32"/>
      <c r="G427" s="32" t="n">
        <v>250</v>
      </c>
      <c r="H427" s="33" t="n">
        <v>2</v>
      </c>
      <c r="I427" s="34" t="n">
        <f aca="false">E427*H427+N(F427)+N(G427)</f>
        <v>7750</v>
      </c>
      <c r="J427" s="32" t="n">
        <f aca="false">ROUND(IFERROR(ROUND(IF(OR(ISNUMBER(SEARCH("week",C427)),ISNUMBER(SEARCH("minggu",C427))),IFERROR(_xlfn.NUMBERVALUE(SUBSTITUTE(LEFT(TRIM(C427),FIND(" ",TRIM(C427)&amp;" ")-1),",","."),"."),LEFT(SUBSTITUTE(LEFT(TRIM(C427),FIND(" ",TRIM(C427)&amp;" ")-1),",","."),FIND("/",SUBSTITUTE(LEFT(TRIM(C427),FIND(" ",TRIM(C427)&amp;" ")-1),",","."))-1)/MID(SUBSTITUTE(LEFT(TRIM(C427),FIND(" ",TRIM(C427)&amp;" ")-1),",","."),FIND("/",SUBSTITUTE(LEFT(TRIM(C427),FIND(" ",TRIM(C427)&amp;" ")-1),",","."))+1,9))*12/52,IF(ISNUMBER(SEARCH("month",C427)),IFERROR(_xlfn.NUMBERVALUE(SUBSTITUTE(LEFT(TRIM(C427),FIND(" ",TRIM(C427)&amp;" ")-1),",","."),"."),LEFT(SUBSTITUTE(LEFT(TRIM(C427),FIND(" ",TRIM(C427)&amp;" ")-1),",","."),FIND("/",SUBSTITUTE(LEFT(TRIM(C427),FIND(" ",TRIM(C427)&amp;" ")-1),",","."))-1)/MID(SUBSTITUTE(LEFT(TRIM(C427),FIND(" ",TRIM(C427)&amp;" ")-1),",","."),FIND("/",SUBSTITUTE(LEFT(TRIM(C427),FIND(" ",TRIM(C427)&amp;" ")-1),",","."))+1,9)),IF(ISNUMBER(SEARCH("yea",C427)),IFERROR(_xlfn.NUMBERVALUE(SUBSTITUTE(LEFT(TRIM(C427),FIND(" ",TRIM(C427)&amp;" ")-1),",","."),"."),LEFT(SUBSTITUTE(LEFT(TRIM(C427),FIND(" ",TRIM(C427)&amp;" ")-1),",","."),FIND("/",SUBSTITUTE(LEFT(TRIM(C427),FIND(" ",TRIM(C427)&amp;" ")-1),",","."))-1)/MID(SUBSTITUTE(LEFT(TRIM(C427),FIND(" ",TRIM(C427)&amp;" ")-1),",","."),FIND("/",SUBSTITUTE(LEFT(TRIM(C427),FIND(" ",TRIM(C427)&amp;" ")-1),",","."))+1,9))*12,NA()))),0),24)*'Aturan &amp; Tarif'!$B$4,2)</f>
        <v>1362.72</v>
      </c>
      <c r="K427" s="32" t="n">
        <f aca="false">'Aturan &amp; Tarif'!$B$5</f>
        <v>2050</v>
      </c>
      <c r="L427" s="35" t="n">
        <f aca="false">I427+J427+K427</f>
        <v>11162.72</v>
      </c>
      <c r="M427" s="37" t="s">
        <v>3326</v>
      </c>
    </row>
    <row r="428" customFormat="false" ht="14.25" hidden="false" customHeight="true" outlineLevel="0" collapsed="false">
      <c r="A428" s="29"/>
      <c r="B428" s="30" t="s">
        <v>335</v>
      </c>
      <c r="C428" s="31" t="s">
        <v>127</v>
      </c>
      <c r="D428" s="31" t="s">
        <v>108</v>
      </c>
      <c r="E428" s="32" t="n">
        <v>3000</v>
      </c>
      <c r="F428" s="32"/>
      <c r="G428" s="32" t="n">
        <v>250</v>
      </c>
      <c r="H428" s="33" t="n">
        <v>2</v>
      </c>
      <c r="I428" s="34" t="n">
        <f aca="false">E428*H428+N(F428)+N(G428)</f>
        <v>6250</v>
      </c>
      <c r="J428" s="32" t="n">
        <f aca="false">ROUND(IFERROR(ROUND(IF(OR(ISNUMBER(SEARCH("week",C428)),ISNUMBER(SEARCH("minggu",C428))),IFERROR(_xlfn.NUMBERVALUE(SUBSTITUTE(LEFT(TRIM(C428),FIND(" ",TRIM(C428)&amp;" ")-1),",","."),"."),LEFT(SUBSTITUTE(LEFT(TRIM(C428),FIND(" ",TRIM(C428)&amp;" ")-1),",","."),FIND("/",SUBSTITUTE(LEFT(TRIM(C428),FIND(" ",TRIM(C428)&amp;" ")-1),",","."))-1)/MID(SUBSTITUTE(LEFT(TRIM(C428),FIND(" ",TRIM(C428)&amp;" ")-1),",","."),FIND("/",SUBSTITUTE(LEFT(TRIM(C428),FIND(" ",TRIM(C428)&amp;" ")-1),",","."))+1,9))*12/52,IF(ISNUMBER(SEARCH("month",C428)),IFERROR(_xlfn.NUMBERVALUE(SUBSTITUTE(LEFT(TRIM(C428),FIND(" ",TRIM(C428)&amp;" ")-1),",","."),"."),LEFT(SUBSTITUTE(LEFT(TRIM(C428),FIND(" ",TRIM(C428)&amp;" ")-1),",","."),FIND("/",SUBSTITUTE(LEFT(TRIM(C428),FIND(" ",TRIM(C428)&amp;" ")-1),",","."))-1)/MID(SUBSTITUTE(LEFT(TRIM(C428),FIND(" ",TRIM(C428)&amp;" ")-1),",","."),FIND("/",SUBSTITUTE(LEFT(TRIM(C428),FIND(" ",TRIM(C428)&amp;" ")-1),",","."))+1,9)),IF(ISNUMBER(SEARCH("yea",C428)),IFERROR(_xlfn.NUMBERVALUE(SUBSTITUTE(LEFT(TRIM(C428),FIND(" ",TRIM(C428)&amp;" ")-1),",","."),"."),LEFT(SUBSTITUTE(LEFT(TRIM(C428),FIND(" ",TRIM(C428)&amp;" ")-1),",","."),FIND("/",SUBSTITUTE(LEFT(TRIM(C428),FIND(" ",TRIM(C428)&amp;" ")-1),",","."))-1)/MID(SUBSTITUTE(LEFT(TRIM(C428),FIND(" ",TRIM(C428)&amp;" ")-1),",","."),FIND("/",SUBSTITUTE(LEFT(TRIM(C428),FIND(" ",TRIM(C428)&amp;" ")-1),",","."))+1,9))*12,NA()))),0),36)*'Aturan &amp; Tarif'!$B$4,2)</f>
        <v>2044.08</v>
      </c>
      <c r="K428" s="32" t="n">
        <f aca="false">'Aturan &amp; Tarif'!$B$5</f>
        <v>2050</v>
      </c>
      <c r="L428" s="35" t="n">
        <f aca="false">I428+J428+K428</f>
        <v>10344.08</v>
      </c>
      <c r="M428" s="37" t="s">
        <v>3327</v>
      </c>
    </row>
    <row r="429" customFormat="false" ht="48.75" hidden="false" customHeight="true" outlineLevel="0" collapsed="false">
      <c r="A429" s="29" t="s">
        <v>1618</v>
      </c>
      <c r="B429" s="30" t="s">
        <v>3405</v>
      </c>
      <c r="C429" s="31" t="s">
        <v>138</v>
      </c>
      <c r="D429" s="31" t="s">
        <v>108</v>
      </c>
      <c r="E429" s="32" t="n">
        <v>2900</v>
      </c>
      <c r="F429" s="32" t="n">
        <v>800</v>
      </c>
      <c r="G429" s="32" t="n">
        <v>300</v>
      </c>
      <c r="H429" s="33" t="n">
        <v>1</v>
      </c>
      <c r="I429" s="34" t="n">
        <f aca="false">E429*H429+N(F429)+N(G429)</f>
        <v>4000</v>
      </c>
      <c r="J429" s="32" t="n">
        <f aca="false">ROUND(IFERROR(ROUND(IF(OR(ISNUMBER(SEARCH("week",C429)),ISNUMBER(SEARCH("minggu",C429))),IFERROR(_xlfn.NUMBERVALUE(SUBSTITUTE(LEFT(TRIM(C429),FIND(" ",TRIM(C429)&amp;" ")-1),",","."),"."),LEFT(SUBSTITUTE(LEFT(TRIM(C429),FIND(" ",TRIM(C429)&amp;" ")-1),",","."),FIND("/",SUBSTITUTE(LEFT(TRIM(C429),FIND(" ",TRIM(C429)&amp;" ")-1),",","."))-1)/MID(SUBSTITUTE(LEFT(TRIM(C429),FIND(" ",TRIM(C429)&amp;" ")-1),",","."),FIND("/",SUBSTITUTE(LEFT(TRIM(C429),FIND(" ",TRIM(C429)&amp;" ")-1),",","."))+1,9))*12/52,IF(ISNUMBER(SEARCH("month",C429)),IFERROR(_xlfn.NUMBERVALUE(SUBSTITUTE(LEFT(TRIM(C429),FIND(" ",TRIM(C429)&amp;" ")-1),",","."),"."),LEFT(SUBSTITUTE(LEFT(TRIM(C429),FIND(" ",TRIM(C429)&amp;" ")-1),",","."),FIND("/",SUBSTITUTE(LEFT(TRIM(C429),FIND(" ",TRIM(C429)&amp;" ")-1),",","."))-1)/MID(SUBSTITUTE(LEFT(TRIM(C429),FIND(" ",TRIM(C429)&amp;" ")-1),",","."),FIND("/",SUBSTITUTE(LEFT(TRIM(C429),FIND(" ",TRIM(C429)&amp;" ")-1),",","."))+1,9)),IF(ISNUMBER(SEARCH("yea",C429)),IFERROR(_xlfn.NUMBERVALUE(SUBSTITUTE(LEFT(TRIM(C429),FIND(" ",TRIM(C429)&amp;" ")-1),",","."),"."),LEFT(SUBSTITUTE(LEFT(TRIM(C429),FIND(" ",TRIM(C429)&amp;" ")-1),",","."),FIND("/",SUBSTITUTE(LEFT(TRIM(C429),FIND(" ",TRIM(C429)&amp;" ")-1),",","."))-1)/MID(SUBSTITUTE(LEFT(TRIM(C429),FIND(" ",TRIM(C429)&amp;" ")-1),",","."),FIND("/",SUBSTITUTE(LEFT(TRIM(C429),FIND(" ",TRIM(C429)&amp;" ")-1),",","."))+1,9))*12,NA()))),0),30)*'Aturan &amp; Tarif'!$B$4,2)</f>
        <v>1703.4</v>
      </c>
      <c r="K429" s="32" t="n">
        <f aca="false">'Aturan &amp; Tarif'!$B$5</f>
        <v>2050</v>
      </c>
      <c r="L429" s="35" t="n">
        <f aca="false">I429+J429+K429</f>
        <v>7753.4</v>
      </c>
      <c r="M429" s="36" t="s">
        <v>3406</v>
      </c>
    </row>
    <row r="430" customFormat="false" ht="37.5" hidden="false" customHeight="true" outlineLevel="0" collapsed="false">
      <c r="A430" s="29"/>
      <c r="B430" s="30" t="s">
        <v>3407</v>
      </c>
      <c r="C430" s="31" t="s">
        <v>138</v>
      </c>
      <c r="D430" s="31" t="s">
        <v>108</v>
      </c>
      <c r="E430" s="32" t="n">
        <v>2900</v>
      </c>
      <c r="F430" s="32" t="n">
        <v>800</v>
      </c>
      <c r="G430" s="32" t="n">
        <v>300</v>
      </c>
      <c r="H430" s="33" t="n">
        <v>1</v>
      </c>
      <c r="I430" s="34" t="n">
        <f aca="false">E430*H430+N(F430)+N(G430)</f>
        <v>4000</v>
      </c>
      <c r="J430" s="32" t="n">
        <f aca="false">ROUND(IFERROR(ROUND(IF(OR(ISNUMBER(SEARCH("week",C430)),ISNUMBER(SEARCH("minggu",C430))),IFERROR(_xlfn.NUMBERVALUE(SUBSTITUTE(LEFT(TRIM(C430),FIND(" ",TRIM(C430)&amp;" ")-1),",","."),"."),LEFT(SUBSTITUTE(LEFT(TRIM(C430),FIND(" ",TRIM(C430)&amp;" ")-1),",","."),FIND("/",SUBSTITUTE(LEFT(TRIM(C430),FIND(" ",TRIM(C430)&amp;" ")-1),",","."))-1)/MID(SUBSTITUTE(LEFT(TRIM(C430),FIND(" ",TRIM(C430)&amp;" ")-1),",","."),FIND("/",SUBSTITUTE(LEFT(TRIM(C430),FIND(" ",TRIM(C430)&amp;" ")-1),",","."))+1,9))*12/52,IF(ISNUMBER(SEARCH("month",C430)),IFERROR(_xlfn.NUMBERVALUE(SUBSTITUTE(LEFT(TRIM(C430),FIND(" ",TRIM(C430)&amp;" ")-1),",","."),"."),LEFT(SUBSTITUTE(LEFT(TRIM(C430),FIND(" ",TRIM(C430)&amp;" ")-1),",","."),FIND("/",SUBSTITUTE(LEFT(TRIM(C430),FIND(" ",TRIM(C430)&amp;" ")-1),",","."))-1)/MID(SUBSTITUTE(LEFT(TRIM(C430),FIND(" ",TRIM(C430)&amp;" ")-1),",","."),FIND("/",SUBSTITUTE(LEFT(TRIM(C430),FIND(" ",TRIM(C430)&amp;" ")-1),",","."))+1,9)),IF(ISNUMBER(SEARCH("yea",C430)),IFERROR(_xlfn.NUMBERVALUE(SUBSTITUTE(LEFT(TRIM(C430),FIND(" ",TRIM(C430)&amp;" ")-1),",","."),"."),LEFT(SUBSTITUTE(LEFT(TRIM(C430),FIND(" ",TRIM(C430)&amp;" ")-1),",","."),FIND("/",SUBSTITUTE(LEFT(TRIM(C430),FIND(" ",TRIM(C430)&amp;" ")-1),",","."))-1)/MID(SUBSTITUTE(LEFT(TRIM(C430),FIND(" ",TRIM(C430)&amp;" ")-1),",","."),FIND("/",SUBSTITUTE(LEFT(TRIM(C430),FIND(" ",TRIM(C430)&amp;" ")-1),",","."))+1,9))*12,NA()))),0),30)*'Aturan &amp; Tarif'!$B$4,2)</f>
        <v>1703.4</v>
      </c>
      <c r="K430" s="32" t="n">
        <f aca="false">'Aturan &amp; Tarif'!$B$5</f>
        <v>2050</v>
      </c>
      <c r="L430" s="35" t="n">
        <f aca="false">I430+J430+K430</f>
        <v>7753.4</v>
      </c>
      <c r="M430" s="36" t="s">
        <v>3406</v>
      </c>
    </row>
    <row r="431" customFormat="false" ht="37.5" hidden="false" customHeight="true" outlineLevel="0" collapsed="false">
      <c r="A431" s="29"/>
      <c r="B431" s="30" t="s">
        <v>3408</v>
      </c>
      <c r="C431" s="31" t="s">
        <v>138</v>
      </c>
      <c r="D431" s="31" t="s">
        <v>108</v>
      </c>
      <c r="E431" s="32" t="n">
        <v>3950</v>
      </c>
      <c r="F431" s="32" t="n">
        <v>800</v>
      </c>
      <c r="G431" s="32" t="n">
        <v>300</v>
      </c>
      <c r="H431" s="33" t="n">
        <v>1</v>
      </c>
      <c r="I431" s="34" t="n">
        <f aca="false">E431*H431+N(F431)+N(G431)</f>
        <v>5050</v>
      </c>
      <c r="J431" s="32" t="n">
        <f aca="false">ROUND(IFERROR(ROUND(IF(OR(ISNUMBER(SEARCH("week",C431)),ISNUMBER(SEARCH("minggu",C431))),IFERROR(_xlfn.NUMBERVALUE(SUBSTITUTE(LEFT(TRIM(C431),FIND(" ",TRIM(C431)&amp;" ")-1),",","."),"."),LEFT(SUBSTITUTE(LEFT(TRIM(C431),FIND(" ",TRIM(C431)&amp;" ")-1),",","."),FIND("/",SUBSTITUTE(LEFT(TRIM(C431),FIND(" ",TRIM(C431)&amp;" ")-1),",","."))-1)/MID(SUBSTITUTE(LEFT(TRIM(C431),FIND(" ",TRIM(C431)&amp;" ")-1),",","."),FIND("/",SUBSTITUTE(LEFT(TRIM(C431),FIND(" ",TRIM(C431)&amp;" ")-1),",","."))+1,9))*12/52,IF(ISNUMBER(SEARCH("month",C431)),IFERROR(_xlfn.NUMBERVALUE(SUBSTITUTE(LEFT(TRIM(C431),FIND(" ",TRIM(C431)&amp;" ")-1),",","."),"."),LEFT(SUBSTITUTE(LEFT(TRIM(C431),FIND(" ",TRIM(C431)&amp;" ")-1),",","."),FIND("/",SUBSTITUTE(LEFT(TRIM(C431),FIND(" ",TRIM(C431)&amp;" ")-1),",","."))-1)/MID(SUBSTITUTE(LEFT(TRIM(C431),FIND(" ",TRIM(C431)&amp;" ")-1),",","."),FIND("/",SUBSTITUTE(LEFT(TRIM(C431),FIND(" ",TRIM(C431)&amp;" ")-1),",","."))+1,9)),IF(ISNUMBER(SEARCH("yea",C431)),IFERROR(_xlfn.NUMBERVALUE(SUBSTITUTE(LEFT(TRIM(C431),FIND(" ",TRIM(C431)&amp;" ")-1),",","."),"."),LEFT(SUBSTITUTE(LEFT(TRIM(C431),FIND(" ",TRIM(C431)&amp;" ")-1),",","."),FIND("/",SUBSTITUTE(LEFT(TRIM(C431),FIND(" ",TRIM(C431)&amp;" ")-1),",","."))-1)/MID(SUBSTITUTE(LEFT(TRIM(C431),FIND(" ",TRIM(C431)&amp;" ")-1),",","."),FIND("/",SUBSTITUTE(LEFT(TRIM(C431),FIND(" ",TRIM(C431)&amp;" ")-1),",","."))+1,9))*12,NA()))),0),30)*'Aturan &amp; Tarif'!$B$4,2)</f>
        <v>1703.4</v>
      </c>
      <c r="K431" s="32" t="n">
        <f aca="false">'Aturan &amp; Tarif'!$B$5</f>
        <v>2050</v>
      </c>
      <c r="L431" s="35" t="n">
        <f aca="false">I431+J431+K431</f>
        <v>8803.4</v>
      </c>
      <c r="M431" s="36" t="s">
        <v>3406</v>
      </c>
    </row>
    <row r="432" customFormat="false" ht="14.25" hidden="false" customHeight="true" outlineLevel="0" collapsed="false">
      <c r="A432" s="29"/>
      <c r="B432" s="30" t="s">
        <v>1623</v>
      </c>
      <c r="C432" s="31" t="s">
        <v>107</v>
      </c>
      <c r="D432" s="31" t="s">
        <v>108</v>
      </c>
      <c r="E432" s="32" t="n">
        <v>2200</v>
      </c>
      <c r="F432" s="32" t="n">
        <v>350</v>
      </c>
      <c r="G432" s="32" t="n">
        <v>300</v>
      </c>
      <c r="H432" s="33" t="n">
        <v>1</v>
      </c>
      <c r="I432" s="34" t="n">
        <f aca="false">E432*H432+N(F432)+N(G432)</f>
        <v>2850</v>
      </c>
      <c r="J432" s="32" t="n">
        <f aca="false">ROUND(IFERROR(ROUND(IF(OR(ISNUMBER(SEARCH("week",C432)),ISNUMBER(SEARCH("minggu",C432))),IFERROR(_xlfn.NUMBERVALUE(SUBSTITUTE(LEFT(TRIM(C432),FIND(" ",TRIM(C432)&amp;" ")-1),",","."),"."),LEFT(SUBSTITUTE(LEFT(TRIM(C432),FIND(" ",TRIM(C432)&amp;" ")-1),",","."),FIND("/",SUBSTITUTE(LEFT(TRIM(C432),FIND(" ",TRIM(C432)&amp;" ")-1),",","."))-1)/MID(SUBSTITUTE(LEFT(TRIM(C432),FIND(" ",TRIM(C432)&amp;" ")-1),",","."),FIND("/",SUBSTITUTE(LEFT(TRIM(C432),FIND(" ",TRIM(C432)&amp;" ")-1),",","."))+1,9))*12/52,IF(ISNUMBER(SEARCH("month",C432)),IFERROR(_xlfn.NUMBERVALUE(SUBSTITUTE(LEFT(TRIM(C432),FIND(" ",TRIM(C432)&amp;" ")-1),",","."),"."),LEFT(SUBSTITUTE(LEFT(TRIM(C432),FIND(" ",TRIM(C432)&amp;" ")-1),",","."),FIND("/",SUBSTITUTE(LEFT(TRIM(C432),FIND(" ",TRIM(C432)&amp;" ")-1),",","."))-1)/MID(SUBSTITUTE(LEFT(TRIM(C432),FIND(" ",TRIM(C432)&amp;" ")-1),",","."),FIND("/",SUBSTITUTE(LEFT(TRIM(C432),FIND(" ",TRIM(C432)&amp;" ")-1),",","."))+1,9)),IF(ISNUMBER(SEARCH("yea",C432)),IFERROR(_xlfn.NUMBERVALUE(SUBSTITUTE(LEFT(TRIM(C432),FIND(" ",TRIM(C432)&amp;" ")-1),",","."),"."),LEFT(SUBSTITUTE(LEFT(TRIM(C432),FIND(" ",TRIM(C432)&amp;" ")-1),",","."),FIND("/",SUBSTITUTE(LEFT(TRIM(C432),FIND(" ",TRIM(C432)&amp;" ")-1),",","."))-1)/MID(SUBSTITUTE(LEFT(TRIM(C432),FIND(" ",TRIM(C432)&amp;" ")-1),",","."),FIND("/",SUBSTITUTE(LEFT(TRIM(C432),FIND(" ",TRIM(C432)&amp;" ")-1),",","."))+1,9))*12,NA()))),0),24)*'Aturan &amp; Tarif'!$B$4,2)</f>
        <v>1362.72</v>
      </c>
      <c r="K432" s="32" t="n">
        <f aca="false">'Aturan &amp; Tarif'!$B$5</f>
        <v>2050</v>
      </c>
      <c r="L432" s="35" t="n">
        <f aca="false">I432+J432+K432</f>
        <v>6262.72</v>
      </c>
      <c r="M432" s="37" t="s">
        <v>3409</v>
      </c>
    </row>
    <row r="433" customFormat="false" ht="37.5" hidden="false" customHeight="true" outlineLevel="0" collapsed="false">
      <c r="A433" s="39" t="s">
        <v>1625</v>
      </c>
      <c r="B433" s="40" t="s">
        <v>1626</v>
      </c>
      <c r="C433" s="41" t="s">
        <v>486</v>
      </c>
      <c r="D433" s="41" t="s">
        <v>108</v>
      </c>
      <c r="E433" s="42" t="n">
        <v>1250</v>
      </c>
      <c r="F433" s="42" t="n">
        <v>120</v>
      </c>
      <c r="G433" s="42" t="n">
        <v>260</v>
      </c>
      <c r="H433" s="43" t="n">
        <v>1</v>
      </c>
      <c r="I433" s="34" t="n">
        <f aca="false">E433*H433+N(F433)+N(G433)</f>
        <v>1630</v>
      </c>
      <c r="J433" s="42" t="n">
        <f aca="false">ROUND(IFERROR(ROUND(IF(OR(ISNUMBER(SEARCH("week",C433)),ISNUMBER(SEARCH("minggu",C433))),IFERROR(_xlfn.NUMBERVALUE(SUBSTITUTE(LEFT(TRIM(C433),FIND(" ",TRIM(C433)&amp;" ")-1),",","."),"."),LEFT(SUBSTITUTE(LEFT(TRIM(C433),FIND(" ",TRIM(C433)&amp;" ")-1),",","."),FIND("/",SUBSTITUTE(LEFT(TRIM(C433),FIND(" ",TRIM(C433)&amp;" ")-1),",","."))-1)/MID(SUBSTITUTE(LEFT(TRIM(C433),FIND(" ",TRIM(C433)&amp;" ")-1),",","."),FIND("/",SUBSTITUTE(LEFT(TRIM(C433),FIND(" ",TRIM(C433)&amp;" ")-1),",","."))+1,9))*12/52,IF(ISNUMBER(SEARCH("month",C433)),IFERROR(_xlfn.NUMBERVALUE(SUBSTITUTE(LEFT(TRIM(C433),FIND(" ",TRIM(C433)&amp;" ")-1),",","."),"."),LEFT(SUBSTITUTE(LEFT(TRIM(C433),FIND(" ",TRIM(C433)&amp;" ")-1),",","."),FIND("/",SUBSTITUTE(LEFT(TRIM(C433),FIND(" ",TRIM(C433)&amp;" ")-1),",","."))-1)/MID(SUBSTITUTE(LEFT(TRIM(C433),FIND(" ",TRIM(C433)&amp;" ")-1),",","."),FIND("/",SUBSTITUTE(LEFT(TRIM(C433),FIND(" ",TRIM(C433)&amp;" ")-1),",","."))+1,9)),IF(ISNUMBER(SEARCH("yea",C433)),IFERROR(_xlfn.NUMBERVALUE(SUBSTITUTE(LEFT(TRIM(C433),FIND(" ",TRIM(C433)&amp;" ")-1),",","."),"."),LEFT(SUBSTITUTE(LEFT(TRIM(C433),FIND(" ",TRIM(C433)&amp;" ")-1),",","."),FIND("/",SUBSTITUTE(LEFT(TRIM(C433),FIND(" ",TRIM(C433)&amp;" ")-1),",","."))-1)/MID(SUBSTITUTE(LEFT(TRIM(C433),FIND(" ",TRIM(C433)&amp;" ")-1),",","."),FIND("/",SUBSTITUTE(LEFT(TRIM(C433),FIND(" ",TRIM(C433)&amp;" ")-1),",","."))+1,9))*12,NA()))),0),12)*'Aturan &amp; Tarif'!$B$4,2)</f>
        <v>681.36</v>
      </c>
      <c r="K433" s="42" t="n">
        <f aca="false">'Aturan &amp; Tarif'!$B$5</f>
        <v>2050</v>
      </c>
      <c r="L433" s="35" t="n">
        <f aca="false">I433+J433+K433</f>
        <v>4361.36</v>
      </c>
      <c r="M433" s="45" t="s">
        <v>923</v>
      </c>
    </row>
    <row r="434" customFormat="false" ht="37.5" hidden="false" customHeight="true" outlineLevel="0" collapsed="false">
      <c r="A434" s="39"/>
      <c r="B434" s="40" t="s">
        <v>1627</v>
      </c>
      <c r="C434" s="41" t="s">
        <v>1628</v>
      </c>
      <c r="D434" s="41" t="s">
        <v>108</v>
      </c>
      <c r="E434" s="42" t="n">
        <v>1250</v>
      </c>
      <c r="F434" s="42" t="n">
        <v>120</v>
      </c>
      <c r="G434" s="42" t="n">
        <v>260</v>
      </c>
      <c r="H434" s="43" t="n">
        <v>1</v>
      </c>
      <c r="I434" s="34" t="n">
        <f aca="false">E434*H434+N(F434)+N(G434)</f>
        <v>1630</v>
      </c>
      <c r="J434" s="42" t="n">
        <f aca="false">ROUND(IFERROR(ROUND(IF(OR(ISNUMBER(SEARCH("week",C434)),ISNUMBER(SEARCH("minggu",C434))),IFERROR(_xlfn.NUMBERVALUE(SUBSTITUTE(LEFT(TRIM(C434),FIND(" ",TRIM(C434)&amp;" ")-1),",","."),"."),LEFT(SUBSTITUTE(LEFT(TRIM(C434),FIND(" ",TRIM(C434)&amp;" ")-1),",","."),FIND("/",SUBSTITUTE(LEFT(TRIM(C434),FIND(" ",TRIM(C434)&amp;" ")-1),",","."))-1)/MID(SUBSTITUTE(LEFT(TRIM(C434),FIND(" ",TRIM(C434)&amp;" ")-1),",","."),FIND("/",SUBSTITUTE(LEFT(TRIM(C434),FIND(" ",TRIM(C434)&amp;" ")-1),",","."))+1,9))*12/52,IF(ISNUMBER(SEARCH("month",C434)),IFERROR(_xlfn.NUMBERVALUE(SUBSTITUTE(LEFT(TRIM(C434),FIND(" ",TRIM(C434)&amp;" ")-1),",","."),"."),LEFT(SUBSTITUTE(LEFT(TRIM(C434),FIND(" ",TRIM(C434)&amp;" ")-1),",","."),FIND("/",SUBSTITUTE(LEFT(TRIM(C434),FIND(" ",TRIM(C434)&amp;" ")-1),",","."))-1)/MID(SUBSTITUTE(LEFT(TRIM(C434),FIND(" ",TRIM(C434)&amp;" ")-1),",","."),FIND("/",SUBSTITUTE(LEFT(TRIM(C434),FIND(" ",TRIM(C434)&amp;" ")-1),",","."))+1,9)),IF(ISNUMBER(SEARCH("yea",C434)),IFERROR(_xlfn.NUMBERVALUE(SUBSTITUTE(LEFT(TRIM(C434),FIND(" ",TRIM(C434)&amp;" ")-1),",","."),"."),LEFT(SUBSTITUTE(LEFT(TRIM(C434),FIND(" ",TRIM(C434)&amp;" ")-1),",","."),FIND("/",SUBSTITUTE(LEFT(TRIM(C434),FIND(" ",TRIM(C434)&amp;" ")-1),",","."))-1)/MID(SUBSTITUTE(LEFT(TRIM(C434),FIND(" ",TRIM(C434)&amp;" ")-1),",","."),FIND("/",SUBSTITUTE(LEFT(TRIM(C434),FIND(" ",TRIM(C434)&amp;" ")-1),",","."))+1,9))*12,NA()))),0),28)*'Aturan &amp; Tarif'!$B$4,2)</f>
        <v>1589.84</v>
      </c>
      <c r="K434" s="42" t="n">
        <f aca="false">'Aturan &amp; Tarif'!$B$5</f>
        <v>2050</v>
      </c>
      <c r="L434" s="35" t="n">
        <f aca="false">I434+J434+K434</f>
        <v>5269.84</v>
      </c>
      <c r="M434" s="44" t="s">
        <v>1629</v>
      </c>
    </row>
    <row r="435" customFormat="false" ht="25.5" hidden="false" customHeight="true" outlineLevel="0" collapsed="false">
      <c r="A435" s="39"/>
      <c r="B435" s="40" t="s">
        <v>3410</v>
      </c>
      <c r="C435" s="41" t="s">
        <v>107</v>
      </c>
      <c r="D435" s="41" t="s">
        <v>108</v>
      </c>
      <c r="E435" s="42" t="n">
        <v>1250</v>
      </c>
      <c r="F435" s="42" t="n">
        <v>240</v>
      </c>
      <c r="G435" s="42" t="n">
        <v>260</v>
      </c>
      <c r="H435" s="43" t="n">
        <v>1</v>
      </c>
      <c r="I435" s="34" t="n">
        <f aca="false">E435*H435+N(F435)+N(G435)</f>
        <v>1750</v>
      </c>
      <c r="J435" s="42" t="n">
        <f aca="false">ROUND(IFERROR(ROUND(IF(OR(ISNUMBER(SEARCH("week",C435)),ISNUMBER(SEARCH("minggu",C435))),IFERROR(_xlfn.NUMBERVALUE(SUBSTITUTE(LEFT(TRIM(C435),FIND(" ",TRIM(C435)&amp;" ")-1),",","."),"."),LEFT(SUBSTITUTE(LEFT(TRIM(C435),FIND(" ",TRIM(C435)&amp;" ")-1),",","."),FIND("/",SUBSTITUTE(LEFT(TRIM(C435),FIND(" ",TRIM(C435)&amp;" ")-1),",","."))-1)/MID(SUBSTITUTE(LEFT(TRIM(C435),FIND(" ",TRIM(C435)&amp;" ")-1),",","."),FIND("/",SUBSTITUTE(LEFT(TRIM(C435),FIND(" ",TRIM(C435)&amp;" ")-1),",","."))+1,9))*12/52,IF(ISNUMBER(SEARCH("month",C435)),IFERROR(_xlfn.NUMBERVALUE(SUBSTITUTE(LEFT(TRIM(C435),FIND(" ",TRIM(C435)&amp;" ")-1),",","."),"."),LEFT(SUBSTITUTE(LEFT(TRIM(C435),FIND(" ",TRIM(C435)&amp;" ")-1),",","."),FIND("/",SUBSTITUTE(LEFT(TRIM(C435),FIND(" ",TRIM(C435)&amp;" ")-1),",","."))-1)/MID(SUBSTITUTE(LEFT(TRIM(C435),FIND(" ",TRIM(C435)&amp;" ")-1),",","."),FIND("/",SUBSTITUTE(LEFT(TRIM(C435),FIND(" ",TRIM(C435)&amp;" ")-1),",","."))+1,9)),IF(ISNUMBER(SEARCH("yea",C435)),IFERROR(_xlfn.NUMBERVALUE(SUBSTITUTE(LEFT(TRIM(C435),FIND(" ",TRIM(C435)&amp;" ")-1),",","."),"."),LEFT(SUBSTITUTE(LEFT(TRIM(C435),FIND(" ",TRIM(C435)&amp;" ")-1),",","."),FIND("/",SUBSTITUTE(LEFT(TRIM(C435),FIND(" ",TRIM(C435)&amp;" ")-1),",","."))-1)/MID(SUBSTITUTE(LEFT(TRIM(C435),FIND(" ",TRIM(C435)&amp;" ")-1),",","."),FIND("/",SUBSTITUTE(LEFT(TRIM(C435),FIND(" ",TRIM(C435)&amp;" ")-1),",","."))+1,9))*12,NA()))),0),24)*'Aturan &amp; Tarif'!$B$4,2)</f>
        <v>1362.72</v>
      </c>
      <c r="K435" s="42" t="n">
        <f aca="false">'Aturan &amp; Tarif'!$B$5</f>
        <v>2050</v>
      </c>
      <c r="L435" s="35" t="n">
        <f aca="false">I435+J435+K435</f>
        <v>5162.72</v>
      </c>
      <c r="M435" s="44" t="s">
        <v>1634</v>
      </c>
    </row>
    <row r="436" customFormat="false" ht="25.5" hidden="false" customHeight="true" outlineLevel="0" collapsed="false">
      <c r="A436" s="39"/>
      <c r="B436" s="40" t="s">
        <v>711</v>
      </c>
      <c r="C436" s="41" t="s">
        <v>712</v>
      </c>
      <c r="D436" s="41" t="s">
        <v>108</v>
      </c>
      <c r="E436" s="42" t="n">
        <v>1600</v>
      </c>
      <c r="F436" s="42" t="n">
        <v>500</v>
      </c>
      <c r="G436" s="42" t="n">
        <v>260</v>
      </c>
      <c r="H436" s="43" t="n">
        <v>1</v>
      </c>
      <c r="I436" s="34" t="n">
        <f aca="false">E436*H436+N(F436)+N(G436)</f>
        <v>2360</v>
      </c>
      <c r="J436" s="42" t="n">
        <f aca="false">ROUND(IFERROR(ROUND(IF(OR(ISNUMBER(SEARCH("week",C436)),ISNUMBER(SEARCH("minggu",C436))),IFERROR(_xlfn.NUMBERVALUE(SUBSTITUTE(LEFT(TRIM(C436),FIND(" ",TRIM(C436)&amp;" ")-1),",","."),"."),LEFT(SUBSTITUTE(LEFT(TRIM(C436),FIND(" ",TRIM(C436)&amp;" ")-1),",","."),FIND("/",SUBSTITUTE(LEFT(TRIM(C436),FIND(" ",TRIM(C436)&amp;" ")-1),",","."))-1)/MID(SUBSTITUTE(LEFT(TRIM(C436),FIND(" ",TRIM(C436)&amp;" ")-1),",","."),FIND("/",SUBSTITUTE(LEFT(TRIM(C436),FIND(" ",TRIM(C436)&amp;" ")-1),",","."))+1,9))*12/52,IF(ISNUMBER(SEARCH("month",C436)),IFERROR(_xlfn.NUMBERVALUE(SUBSTITUTE(LEFT(TRIM(C436),FIND(" ",TRIM(C436)&amp;" ")-1),",","."),"."),LEFT(SUBSTITUTE(LEFT(TRIM(C436),FIND(" ",TRIM(C436)&amp;" ")-1),",","."),FIND("/",SUBSTITUTE(LEFT(TRIM(C436),FIND(" ",TRIM(C436)&amp;" ")-1),",","."))-1)/MID(SUBSTITUTE(LEFT(TRIM(C436),FIND(" ",TRIM(C436)&amp;" ")-1),",","."),FIND("/",SUBSTITUTE(LEFT(TRIM(C436),FIND(" ",TRIM(C436)&amp;" ")-1),",","."))+1,9)),IF(ISNUMBER(SEARCH("yea",C436)),IFERROR(_xlfn.NUMBERVALUE(SUBSTITUTE(LEFT(TRIM(C436),FIND(" ",TRIM(C436)&amp;" ")-1),",","."),"."),LEFT(SUBSTITUTE(LEFT(TRIM(C436),FIND(" ",TRIM(C436)&amp;" ")-1),",","."),FIND("/",SUBSTITUTE(LEFT(TRIM(C436),FIND(" ",TRIM(C436)&amp;" ")-1),",","."))-1)/MID(SUBSTITUTE(LEFT(TRIM(C436),FIND(" ",TRIM(C436)&amp;" ")-1),",","."),FIND("/",SUBSTITUTE(LEFT(TRIM(C436),FIND(" ",TRIM(C436)&amp;" ")-1),",","."))+1,9))*12,NA()))),0),30)*'Aturan &amp; Tarif'!$B$4,2)</f>
        <v>1703.4</v>
      </c>
      <c r="K436" s="42" t="n">
        <f aca="false">'Aturan &amp; Tarif'!$B$5</f>
        <v>2050</v>
      </c>
      <c r="L436" s="35" t="n">
        <f aca="false">I436+J436+K436</f>
        <v>6113.4</v>
      </c>
      <c r="M436" s="45" t="s">
        <v>713</v>
      </c>
    </row>
    <row r="437" customFormat="false" ht="25.5" hidden="false" customHeight="true" outlineLevel="0" collapsed="false">
      <c r="A437" s="39"/>
      <c r="B437" s="40" t="s">
        <v>3411</v>
      </c>
      <c r="C437" s="41" t="s">
        <v>721</v>
      </c>
      <c r="D437" s="41" t="s">
        <v>108</v>
      </c>
      <c r="E437" s="42" t="n">
        <v>1600</v>
      </c>
      <c r="F437" s="42" t="n">
        <v>500</v>
      </c>
      <c r="G437" s="42" t="n">
        <v>260</v>
      </c>
      <c r="H437" s="43" t="n">
        <v>1</v>
      </c>
      <c r="I437" s="34" t="n">
        <f aca="false">E437*H437+N(F437)+N(G437)</f>
        <v>2360</v>
      </c>
      <c r="J437" s="42" t="n">
        <f aca="false">ROUND(IFERROR(ROUND(IF(OR(ISNUMBER(SEARCH("week",C437)),ISNUMBER(SEARCH("minggu",C437))),IFERROR(_xlfn.NUMBERVALUE(SUBSTITUTE(LEFT(TRIM(C437),FIND(" ",TRIM(C437)&amp;" ")-1),",","."),"."),LEFT(SUBSTITUTE(LEFT(TRIM(C437),FIND(" ",TRIM(C437)&amp;" ")-1),",","."),FIND("/",SUBSTITUTE(LEFT(TRIM(C437),FIND(" ",TRIM(C437)&amp;" ")-1),",","."))-1)/MID(SUBSTITUTE(LEFT(TRIM(C437),FIND(" ",TRIM(C437)&amp;" ")-1),",","."),FIND("/",SUBSTITUTE(LEFT(TRIM(C437),FIND(" ",TRIM(C437)&amp;" ")-1),",","."))+1,9))*12/52,IF(ISNUMBER(SEARCH("month",C437)),IFERROR(_xlfn.NUMBERVALUE(SUBSTITUTE(LEFT(TRIM(C437),FIND(" ",TRIM(C437)&amp;" ")-1),",","."),"."),LEFT(SUBSTITUTE(LEFT(TRIM(C437),FIND(" ",TRIM(C437)&amp;" ")-1),",","."),FIND("/",SUBSTITUTE(LEFT(TRIM(C437),FIND(" ",TRIM(C437)&amp;" ")-1),",","."))-1)/MID(SUBSTITUTE(LEFT(TRIM(C437),FIND(" ",TRIM(C437)&amp;" ")-1),",","."),FIND("/",SUBSTITUTE(LEFT(TRIM(C437),FIND(" ",TRIM(C437)&amp;" ")-1),",","."))+1,9)),IF(ISNUMBER(SEARCH("yea",C437)),IFERROR(_xlfn.NUMBERVALUE(SUBSTITUTE(LEFT(TRIM(C437),FIND(" ",TRIM(C437)&amp;" ")-1),",","."),"."),LEFT(SUBSTITUTE(LEFT(TRIM(C437),FIND(" ",TRIM(C437)&amp;" ")-1),",","."),FIND("/",SUBSTITUTE(LEFT(TRIM(C437),FIND(" ",TRIM(C437)&amp;" ")-1),",","."))-1)/MID(SUBSTITUTE(LEFT(TRIM(C437),FIND(" ",TRIM(C437)&amp;" ")-1),",","."),FIND("/",SUBSTITUTE(LEFT(TRIM(C437),FIND(" ",TRIM(C437)&amp;" ")-1),",","."))+1,9))*12,NA()))),0),19)*'Aturan &amp; Tarif'!$B$4,2)</f>
        <v>1078.82</v>
      </c>
      <c r="K437" s="42" t="n">
        <f aca="false">'Aturan &amp; Tarif'!$B$5</f>
        <v>2050</v>
      </c>
      <c r="L437" s="35" t="n">
        <f aca="false">I437+J437+K437</f>
        <v>5488.82</v>
      </c>
      <c r="M437" s="45" t="s">
        <v>1630</v>
      </c>
    </row>
    <row r="438" customFormat="false" ht="48.75" hidden="false" customHeight="true" outlineLevel="0" collapsed="false">
      <c r="A438" s="39"/>
      <c r="B438" s="40" t="s">
        <v>1631</v>
      </c>
      <c r="C438" s="41" t="s">
        <v>724</v>
      </c>
      <c r="D438" s="41" t="s">
        <v>108</v>
      </c>
      <c r="E438" s="42" t="n">
        <v>1600</v>
      </c>
      <c r="F438" s="42" t="n">
        <v>500</v>
      </c>
      <c r="G438" s="42" t="n">
        <v>260</v>
      </c>
      <c r="H438" s="43" t="n">
        <v>1</v>
      </c>
      <c r="I438" s="34" t="n">
        <f aca="false">E438*H438+N(F438)+N(G438)</f>
        <v>2360</v>
      </c>
      <c r="J438" s="42" t="n">
        <f aca="false">ROUND(IFERROR(ROUND(IF(OR(ISNUMBER(SEARCH("week",C438)),ISNUMBER(SEARCH("minggu",C438))),IFERROR(_xlfn.NUMBERVALUE(SUBSTITUTE(LEFT(TRIM(C438),FIND(" ",TRIM(C438)&amp;" ")-1),",","."),"."),LEFT(SUBSTITUTE(LEFT(TRIM(C438),FIND(" ",TRIM(C438)&amp;" ")-1),",","."),FIND("/",SUBSTITUTE(LEFT(TRIM(C438),FIND(" ",TRIM(C438)&amp;" ")-1),",","."))-1)/MID(SUBSTITUTE(LEFT(TRIM(C438),FIND(" ",TRIM(C438)&amp;" ")-1),",","."),FIND("/",SUBSTITUTE(LEFT(TRIM(C438),FIND(" ",TRIM(C438)&amp;" ")-1),",","."))+1,9))*12/52,IF(ISNUMBER(SEARCH("month",C438)),IFERROR(_xlfn.NUMBERVALUE(SUBSTITUTE(LEFT(TRIM(C438),FIND(" ",TRIM(C438)&amp;" ")-1),",","."),"."),LEFT(SUBSTITUTE(LEFT(TRIM(C438),FIND(" ",TRIM(C438)&amp;" ")-1),",","."),FIND("/",SUBSTITUTE(LEFT(TRIM(C438),FIND(" ",TRIM(C438)&amp;" ")-1),",","."))-1)/MID(SUBSTITUTE(LEFT(TRIM(C438),FIND(" ",TRIM(C438)&amp;" ")-1),",","."),FIND("/",SUBSTITUTE(LEFT(TRIM(C438),FIND(" ",TRIM(C438)&amp;" ")-1),",","."))+1,9)),IF(ISNUMBER(SEARCH("yea",C438)),IFERROR(_xlfn.NUMBERVALUE(SUBSTITUTE(LEFT(TRIM(C438),FIND(" ",TRIM(C438)&amp;" ")-1),",","."),"."),LEFT(SUBSTITUTE(LEFT(TRIM(C438),FIND(" ",TRIM(C438)&amp;" ")-1),",","."),FIND("/",SUBSTITUTE(LEFT(TRIM(C438),FIND(" ",TRIM(C438)&amp;" ")-1),",","."))-1)/MID(SUBSTITUTE(LEFT(TRIM(C438),FIND(" ",TRIM(C438)&amp;" ")-1),",","."),FIND("/",SUBSTITUTE(LEFT(TRIM(C438),FIND(" ",TRIM(C438)&amp;" ")-1),",","."))+1,9))*12,NA()))),0),37)*'Aturan &amp; Tarif'!$B$4,2)</f>
        <v>2100.86</v>
      </c>
      <c r="K438" s="42" t="n">
        <f aca="false">'Aturan &amp; Tarif'!$B$5</f>
        <v>2050</v>
      </c>
      <c r="L438" s="35" t="n">
        <f aca="false">I438+J438+K438</f>
        <v>6510.86</v>
      </c>
      <c r="M438" s="44" t="s">
        <v>1632</v>
      </c>
    </row>
    <row r="439" customFormat="false" ht="37.5" hidden="false" customHeight="true" outlineLevel="0" collapsed="false">
      <c r="A439" s="39"/>
      <c r="B439" s="40" t="s">
        <v>932</v>
      </c>
      <c r="C439" s="41" t="s">
        <v>107</v>
      </c>
      <c r="D439" s="41" t="s">
        <v>108</v>
      </c>
      <c r="E439" s="42" t="n">
        <v>1350</v>
      </c>
      <c r="F439" s="42" t="n">
        <v>500</v>
      </c>
      <c r="G439" s="42" t="n">
        <v>250</v>
      </c>
      <c r="H439" s="43" t="n">
        <v>1</v>
      </c>
      <c r="I439" s="34" t="n">
        <f aca="false">E439*H439+N(F439)+N(G439)</f>
        <v>2100</v>
      </c>
      <c r="J439" s="42" t="n">
        <f aca="false">ROUND(IFERROR(ROUND(IF(OR(ISNUMBER(SEARCH("week",C439)),ISNUMBER(SEARCH("minggu",C439))),IFERROR(_xlfn.NUMBERVALUE(SUBSTITUTE(LEFT(TRIM(C439),FIND(" ",TRIM(C439)&amp;" ")-1),",","."),"."),LEFT(SUBSTITUTE(LEFT(TRIM(C439),FIND(" ",TRIM(C439)&amp;" ")-1),",","."),FIND("/",SUBSTITUTE(LEFT(TRIM(C439),FIND(" ",TRIM(C439)&amp;" ")-1),",","."))-1)/MID(SUBSTITUTE(LEFT(TRIM(C439),FIND(" ",TRIM(C439)&amp;" ")-1),",","."),FIND("/",SUBSTITUTE(LEFT(TRIM(C439),FIND(" ",TRIM(C439)&amp;" ")-1),",","."))+1,9))*12/52,IF(ISNUMBER(SEARCH("month",C439)),IFERROR(_xlfn.NUMBERVALUE(SUBSTITUTE(LEFT(TRIM(C439),FIND(" ",TRIM(C439)&amp;" ")-1),",","."),"."),LEFT(SUBSTITUTE(LEFT(TRIM(C439),FIND(" ",TRIM(C439)&amp;" ")-1),",","."),FIND("/",SUBSTITUTE(LEFT(TRIM(C439),FIND(" ",TRIM(C439)&amp;" ")-1),",","."))-1)/MID(SUBSTITUTE(LEFT(TRIM(C439),FIND(" ",TRIM(C439)&amp;" ")-1),",","."),FIND("/",SUBSTITUTE(LEFT(TRIM(C439),FIND(" ",TRIM(C439)&amp;" ")-1),",","."))+1,9)),IF(ISNUMBER(SEARCH("yea",C439)),IFERROR(_xlfn.NUMBERVALUE(SUBSTITUTE(LEFT(TRIM(C439),FIND(" ",TRIM(C439)&amp;" ")-1),",","."),"."),LEFT(SUBSTITUTE(LEFT(TRIM(C439),FIND(" ",TRIM(C439)&amp;" ")-1),",","."),FIND("/",SUBSTITUTE(LEFT(TRIM(C439),FIND(" ",TRIM(C439)&amp;" ")-1),",","."))-1)/MID(SUBSTITUTE(LEFT(TRIM(C439),FIND(" ",TRIM(C439)&amp;" ")-1),",","."),FIND("/",SUBSTITUTE(LEFT(TRIM(C439),FIND(" ",TRIM(C439)&amp;" ")-1),",","."))+1,9))*12,NA()))),0),24)*'Aturan &amp; Tarif'!$B$4,2)</f>
        <v>1362.72</v>
      </c>
      <c r="K439" s="42" t="n">
        <f aca="false">'Aturan &amp; Tarif'!$B$5</f>
        <v>2050</v>
      </c>
      <c r="L439" s="35" t="n">
        <f aca="false">I439+J439+K439</f>
        <v>5512.72</v>
      </c>
      <c r="M439" s="44" t="s">
        <v>1633</v>
      </c>
    </row>
    <row r="440" customFormat="false" ht="25.5" hidden="false" customHeight="true" outlineLevel="0" collapsed="false">
      <c r="A440" s="39"/>
      <c r="B440" s="40" t="s">
        <v>2840</v>
      </c>
      <c r="C440" s="41" t="s">
        <v>107</v>
      </c>
      <c r="D440" s="41" t="s">
        <v>108</v>
      </c>
      <c r="E440" s="42" t="n">
        <v>1250</v>
      </c>
      <c r="F440" s="42" t="n">
        <v>240</v>
      </c>
      <c r="G440" s="42" t="n">
        <v>260</v>
      </c>
      <c r="H440" s="43" t="n">
        <v>1</v>
      </c>
      <c r="I440" s="34" t="n">
        <f aca="false">E440*H440+N(F440)+N(G440)</f>
        <v>1750</v>
      </c>
      <c r="J440" s="42" t="n">
        <f aca="false">ROUND(IFERROR(ROUND(IF(OR(ISNUMBER(SEARCH("week",C440)),ISNUMBER(SEARCH("minggu",C440))),IFERROR(_xlfn.NUMBERVALUE(SUBSTITUTE(LEFT(TRIM(C440),FIND(" ",TRIM(C440)&amp;" ")-1),",","."),"."),LEFT(SUBSTITUTE(LEFT(TRIM(C440),FIND(" ",TRIM(C440)&amp;" ")-1),",","."),FIND("/",SUBSTITUTE(LEFT(TRIM(C440),FIND(" ",TRIM(C440)&amp;" ")-1),",","."))-1)/MID(SUBSTITUTE(LEFT(TRIM(C440),FIND(" ",TRIM(C440)&amp;" ")-1),",","."),FIND("/",SUBSTITUTE(LEFT(TRIM(C440),FIND(" ",TRIM(C440)&amp;" ")-1),",","."))+1,9))*12/52,IF(ISNUMBER(SEARCH("month",C440)),IFERROR(_xlfn.NUMBERVALUE(SUBSTITUTE(LEFT(TRIM(C440),FIND(" ",TRIM(C440)&amp;" ")-1),",","."),"."),LEFT(SUBSTITUTE(LEFT(TRIM(C440),FIND(" ",TRIM(C440)&amp;" ")-1),",","."),FIND("/",SUBSTITUTE(LEFT(TRIM(C440),FIND(" ",TRIM(C440)&amp;" ")-1),",","."))-1)/MID(SUBSTITUTE(LEFT(TRIM(C440),FIND(" ",TRIM(C440)&amp;" ")-1),",","."),FIND("/",SUBSTITUTE(LEFT(TRIM(C440),FIND(" ",TRIM(C440)&amp;" ")-1),",","."))+1,9)),IF(ISNUMBER(SEARCH("yea",C440)),IFERROR(_xlfn.NUMBERVALUE(SUBSTITUTE(LEFT(TRIM(C440),FIND(" ",TRIM(C440)&amp;" ")-1),",","."),"."),LEFT(SUBSTITUTE(LEFT(TRIM(C440),FIND(" ",TRIM(C440)&amp;" ")-1),",","."),FIND("/",SUBSTITUTE(LEFT(TRIM(C440),FIND(" ",TRIM(C440)&amp;" ")-1),",","."))-1)/MID(SUBSTITUTE(LEFT(TRIM(C440),FIND(" ",TRIM(C440)&amp;" ")-1),",","."),FIND("/",SUBSTITUTE(LEFT(TRIM(C440),FIND(" ",TRIM(C440)&amp;" ")-1),",","."))+1,9))*12,NA()))),0),24)*'Aturan &amp; Tarif'!$B$4,2)</f>
        <v>1362.72</v>
      </c>
      <c r="K440" s="42" t="n">
        <f aca="false">'Aturan &amp; Tarif'!$B$5</f>
        <v>2050</v>
      </c>
      <c r="L440" s="35" t="n">
        <f aca="false">I440+J440+K440</f>
        <v>5162.72</v>
      </c>
      <c r="M440" s="44" t="s">
        <v>1634</v>
      </c>
    </row>
    <row r="441" customFormat="false" ht="60" hidden="false" customHeight="true" outlineLevel="0" collapsed="false">
      <c r="A441" s="47" t="s">
        <v>1635</v>
      </c>
      <c r="B441" s="40" t="s">
        <v>727</v>
      </c>
      <c r="C441" s="41" t="s">
        <v>127</v>
      </c>
      <c r="D441" s="41" t="s">
        <v>108</v>
      </c>
      <c r="E441" s="42" t="n">
        <v>4025</v>
      </c>
      <c r="F441" s="42" t="n">
        <v>200</v>
      </c>
      <c r="G441" s="42" t="n">
        <v>250</v>
      </c>
      <c r="H441" s="43" t="n">
        <v>2</v>
      </c>
      <c r="I441" s="34" t="n">
        <f aca="false">E441*H441+N(F441)+N(G441)</f>
        <v>8500</v>
      </c>
      <c r="J441" s="42" t="n">
        <f aca="false">ROUND(IFERROR(ROUND(IF(OR(ISNUMBER(SEARCH("week",C441)),ISNUMBER(SEARCH("minggu",C441))),IFERROR(_xlfn.NUMBERVALUE(SUBSTITUTE(LEFT(TRIM(C441),FIND(" ",TRIM(C441)&amp;" ")-1),",","."),"."),LEFT(SUBSTITUTE(LEFT(TRIM(C441),FIND(" ",TRIM(C441)&amp;" ")-1),",","."),FIND("/",SUBSTITUTE(LEFT(TRIM(C441),FIND(" ",TRIM(C441)&amp;" ")-1),",","."))-1)/MID(SUBSTITUTE(LEFT(TRIM(C441),FIND(" ",TRIM(C441)&amp;" ")-1),",","."),FIND("/",SUBSTITUTE(LEFT(TRIM(C441),FIND(" ",TRIM(C441)&amp;" ")-1),",","."))+1,9))*12/52,IF(ISNUMBER(SEARCH("month",C441)),IFERROR(_xlfn.NUMBERVALUE(SUBSTITUTE(LEFT(TRIM(C441),FIND(" ",TRIM(C441)&amp;" ")-1),",","."),"."),LEFT(SUBSTITUTE(LEFT(TRIM(C441),FIND(" ",TRIM(C441)&amp;" ")-1),",","."),FIND("/",SUBSTITUTE(LEFT(TRIM(C441),FIND(" ",TRIM(C441)&amp;" ")-1),",","."))-1)/MID(SUBSTITUTE(LEFT(TRIM(C441),FIND(" ",TRIM(C441)&amp;" ")-1),",","."),FIND("/",SUBSTITUTE(LEFT(TRIM(C441),FIND(" ",TRIM(C441)&amp;" ")-1),",","."))+1,9)),IF(ISNUMBER(SEARCH("yea",C441)),IFERROR(_xlfn.NUMBERVALUE(SUBSTITUTE(LEFT(TRIM(C441),FIND(" ",TRIM(C441)&amp;" ")-1),",","."),"."),LEFT(SUBSTITUTE(LEFT(TRIM(C441),FIND(" ",TRIM(C441)&amp;" ")-1),",","."),FIND("/",SUBSTITUTE(LEFT(TRIM(C441),FIND(" ",TRIM(C441)&amp;" ")-1),",","."))-1)/MID(SUBSTITUTE(LEFT(TRIM(C441),FIND(" ",TRIM(C441)&amp;" ")-1),",","."),FIND("/",SUBSTITUTE(LEFT(TRIM(C441),FIND(" ",TRIM(C441)&amp;" ")-1),",","."))+1,9))*12,NA()))),0),36)*'Aturan &amp; Tarif'!$B$4,2)</f>
        <v>2044.08</v>
      </c>
      <c r="K441" s="42" t="n">
        <f aca="false">'Aturan &amp; Tarif'!$B$5</f>
        <v>2050</v>
      </c>
      <c r="L441" s="35" t="n">
        <f aca="false">I441+J441+K441</f>
        <v>12594.08</v>
      </c>
      <c r="M441" s="44" t="s">
        <v>1636</v>
      </c>
    </row>
    <row r="442" customFormat="false" ht="60" hidden="false" customHeight="true" outlineLevel="0" collapsed="false">
      <c r="A442" s="39"/>
      <c r="B442" s="40" t="s">
        <v>729</v>
      </c>
      <c r="C442" s="41" t="s">
        <v>127</v>
      </c>
      <c r="D442" s="41" t="s">
        <v>108</v>
      </c>
      <c r="E442" s="42" t="n">
        <v>4025</v>
      </c>
      <c r="F442" s="42" t="n">
        <v>200</v>
      </c>
      <c r="G442" s="42" t="n">
        <v>250</v>
      </c>
      <c r="H442" s="43" t="n">
        <v>2</v>
      </c>
      <c r="I442" s="34" t="n">
        <f aca="false">E442*H442+N(F442)+N(G442)</f>
        <v>8500</v>
      </c>
      <c r="J442" s="42" t="n">
        <f aca="false">ROUND(IFERROR(ROUND(IF(OR(ISNUMBER(SEARCH("week",C442)),ISNUMBER(SEARCH("minggu",C442))),IFERROR(_xlfn.NUMBERVALUE(SUBSTITUTE(LEFT(TRIM(C442),FIND(" ",TRIM(C442)&amp;" ")-1),",","."),"."),LEFT(SUBSTITUTE(LEFT(TRIM(C442),FIND(" ",TRIM(C442)&amp;" ")-1),",","."),FIND("/",SUBSTITUTE(LEFT(TRIM(C442),FIND(" ",TRIM(C442)&amp;" ")-1),",","."))-1)/MID(SUBSTITUTE(LEFT(TRIM(C442),FIND(" ",TRIM(C442)&amp;" ")-1),",","."),FIND("/",SUBSTITUTE(LEFT(TRIM(C442),FIND(" ",TRIM(C442)&amp;" ")-1),",","."))+1,9))*12/52,IF(ISNUMBER(SEARCH("month",C442)),IFERROR(_xlfn.NUMBERVALUE(SUBSTITUTE(LEFT(TRIM(C442),FIND(" ",TRIM(C442)&amp;" ")-1),",","."),"."),LEFT(SUBSTITUTE(LEFT(TRIM(C442),FIND(" ",TRIM(C442)&amp;" ")-1),",","."),FIND("/",SUBSTITUTE(LEFT(TRIM(C442),FIND(" ",TRIM(C442)&amp;" ")-1),",","."))-1)/MID(SUBSTITUTE(LEFT(TRIM(C442),FIND(" ",TRIM(C442)&amp;" ")-1),",","."),FIND("/",SUBSTITUTE(LEFT(TRIM(C442),FIND(" ",TRIM(C442)&amp;" ")-1),",","."))+1,9)),IF(ISNUMBER(SEARCH("yea",C442)),IFERROR(_xlfn.NUMBERVALUE(SUBSTITUTE(LEFT(TRIM(C442),FIND(" ",TRIM(C442)&amp;" ")-1),",","."),"."),LEFT(SUBSTITUTE(LEFT(TRIM(C442),FIND(" ",TRIM(C442)&amp;" ")-1),",","."),FIND("/",SUBSTITUTE(LEFT(TRIM(C442),FIND(" ",TRIM(C442)&amp;" ")-1),",","."))-1)/MID(SUBSTITUTE(LEFT(TRIM(C442),FIND(" ",TRIM(C442)&amp;" ")-1),",","."),FIND("/",SUBSTITUTE(LEFT(TRIM(C442),FIND(" ",TRIM(C442)&amp;" ")-1),",","."))+1,9))*12,NA()))),0),36)*'Aturan &amp; Tarif'!$B$4,2)</f>
        <v>2044.08</v>
      </c>
      <c r="K442" s="42" t="n">
        <f aca="false">'Aturan &amp; Tarif'!$B$5</f>
        <v>2050</v>
      </c>
      <c r="L442" s="35" t="n">
        <f aca="false">I442+J442+K442</f>
        <v>12594.08</v>
      </c>
      <c r="M442" s="44" t="s">
        <v>1636</v>
      </c>
    </row>
    <row r="443" customFormat="false" ht="60" hidden="false" customHeight="true" outlineLevel="0" collapsed="false">
      <c r="A443" s="39"/>
      <c r="B443" s="40" t="s">
        <v>730</v>
      </c>
      <c r="C443" s="41" t="s">
        <v>127</v>
      </c>
      <c r="D443" s="41" t="s">
        <v>108</v>
      </c>
      <c r="E443" s="42" t="n">
        <v>4025</v>
      </c>
      <c r="F443" s="42" t="n">
        <v>200</v>
      </c>
      <c r="G443" s="42" t="n">
        <v>250</v>
      </c>
      <c r="H443" s="43" t="n">
        <v>2</v>
      </c>
      <c r="I443" s="34" t="n">
        <f aca="false">E443*H443+N(F443)+N(G443)</f>
        <v>8500</v>
      </c>
      <c r="J443" s="42" t="n">
        <f aca="false">ROUND(IFERROR(ROUND(IF(OR(ISNUMBER(SEARCH("week",C443)),ISNUMBER(SEARCH("minggu",C443))),IFERROR(_xlfn.NUMBERVALUE(SUBSTITUTE(LEFT(TRIM(C443),FIND(" ",TRIM(C443)&amp;" ")-1),",","."),"."),LEFT(SUBSTITUTE(LEFT(TRIM(C443),FIND(" ",TRIM(C443)&amp;" ")-1),",","."),FIND("/",SUBSTITUTE(LEFT(TRIM(C443),FIND(" ",TRIM(C443)&amp;" ")-1),",","."))-1)/MID(SUBSTITUTE(LEFT(TRIM(C443),FIND(" ",TRIM(C443)&amp;" ")-1),",","."),FIND("/",SUBSTITUTE(LEFT(TRIM(C443),FIND(" ",TRIM(C443)&amp;" ")-1),",","."))+1,9))*12/52,IF(ISNUMBER(SEARCH("month",C443)),IFERROR(_xlfn.NUMBERVALUE(SUBSTITUTE(LEFT(TRIM(C443),FIND(" ",TRIM(C443)&amp;" ")-1),",","."),"."),LEFT(SUBSTITUTE(LEFT(TRIM(C443),FIND(" ",TRIM(C443)&amp;" ")-1),",","."),FIND("/",SUBSTITUTE(LEFT(TRIM(C443),FIND(" ",TRIM(C443)&amp;" ")-1),",","."))-1)/MID(SUBSTITUTE(LEFT(TRIM(C443),FIND(" ",TRIM(C443)&amp;" ")-1),",","."),FIND("/",SUBSTITUTE(LEFT(TRIM(C443),FIND(" ",TRIM(C443)&amp;" ")-1),",","."))+1,9)),IF(ISNUMBER(SEARCH("yea",C443)),IFERROR(_xlfn.NUMBERVALUE(SUBSTITUTE(LEFT(TRIM(C443),FIND(" ",TRIM(C443)&amp;" ")-1),",","."),"."),LEFT(SUBSTITUTE(LEFT(TRIM(C443),FIND(" ",TRIM(C443)&amp;" ")-1),",","."),FIND("/",SUBSTITUTE(LEFT(TRIM(C443),FIND(" ",TRIM(C443)&amp;" ")-1),",","."))-1)/MID(SUBSTITUTE(LEFT(TRIM(C443),FIND(" ",TRIM(C443)&amp;" ")-1),",","."),FIND("/",SUBSTITUTE(LEFT(TRIM(C443),FIND(" ",TRIM(C443)&amp;" ")-1),",","."))+1,9))*12,NA()))),0),36)*'Aturan &amp; Tarif'!$B$4,2)</f>
        <v>2044.08</v>
      </c>
      <c r="K443" s="42" t="n">
        <f aca="false">'Aturan &amp; Tarif'!$B$5</f>
        <v>2050</v>
      </c>
      <c r="L443" s="35" t="n">
        <f aca="false">I443+J443+K443</f>
        <v>12594.08</v>
      </c>
      <c r="M443" s="44" t="s">
        <v>1636</v>
      </c>
    </row>
    <row r="444" customFormat="false" ht="37.5" hidden="false" customHeight="true" outlineLevel="0" collapsed="false">
      <c r="A444" s="29" t="s">
        <v>1637</v>
      </c>
      <c r="B444" s="30" t="s">
        <v>967</v>
      </c>
      <c r="C444" s="31" t="s">
        <v>130</v>
      </c>
      <c r="D444" s="31" t="s">
        <v>737</v>
      </c>
      <c r="E444" s="32" t="n">
        <v>11520</v>
      </c>
      <c r="F444" s="32" t="n">
        <v>0</v>
      </c>
      <c r="G444" s="32" t="n">
        <v>300</v>
      </c>
      <c r="H444" s="33" t="n">
        <v>1</v>
      </c>
      <c r="I444" s="34" t="n">
        <f aca="false">E444*H444+N(F444)+N(G444)</f>
        <v>11820</v>
      </c>
      <c r="J444" s="32" t="n">
        <f aca="false">ROUND(IFERROR(ROUND(IF(OR(ISNUMBER(SEARCH("week",C444)),ISNUMBER(SEARCH("minggu",C444))),IFERROR(_xlfn.NUMBERVALUE(SUBSTITUTE(LEFT(TRIM(C444),FIND(" ",TRIM(C444)&amp;" ")-1),",","."),"."),LEFT(SUBSTITUTE(LEFT(TRIM(C444),FIND(" ",TRIM(C444)&amp;" ")-1),",","."),FIND("/",SUBSTITUTE(LEFT(TRIM(C444),FIND(" ",TRIM(C444)&amp;" ")-1),",","."))-1)/MID(SUBSTITUTE(LEFT(TRIM(C444),FIND(" ",TRIM(C444)&amp;" ")-1),",","."),FIND("/",SUBSTITUTE(LEFT(TRIM(C444),FIND(" ",TRIM(C444)&amp;" ")-1),",","."))+1,9))*12/52,IF(ISNUMBER(SEARCH("month",C444)),IFERROR(_xlfn.NUMBERVALUE(SUBSTITUTE(LEFT(TRIM(C444),FIND(" ",TRIM(C444)&amp;" ")-1),",","."),"."),LEFT(SUBSTITUTE(LEFT(TRIM(C444),FIND(" ",TRIM(C444)&amp;" ")-1),",","."),FIND("/",SUBSTITUTE(LEFT(TRIM(C444),FIND(" ",TRIM(C444)&amp;" ")-1),",","."))-1)/MID(SUBSTITUTE(LEFT(TRIM(C444),FIND(" ",TRIM(C444)&amp;" ")-1),",","."),FIND("/",SUBSTITUTE(LEFT(TRIM(C444),FIND(" ",TRIM(C444)&amp;" ")-1),",","."))+1,9)),IF(ISNUMBER(SEARCH("yea",C444)),IFERROR(_xlfn.NUMBERVALUE(SUBSTITUTE(LEFT(TRIM(C444),FIND(" ",TRIM(C444)&amp;" ")-1),",","."),"."),LEFT(SUBSTITUTE(LEFT(TRIM(C444),FIND(" ",TRIM(C444)&amp;" ")-1),",","."),FIND("/",SUBSTITUTE(LEFT(TRIM(C444),FIND(" ",TRIM(C444)&amp;" ")-1),",","."))-1)/MID(SUBSTITUTE(LEFT(TRIM(C444),FIND(" ",TRIM(C444)&amp;" ")-1),",","."),FIND("/",SUBSTITUTE(LEFT(TRIM(C444),FIND(" ",TRIM(C444)&amp;" ")-1),",","."))+1,9))*12,NA()))),0),12)*'Aturan &amp; Tarif'!$B$4,2)</f>
        <v>681.36</v>
      </c>
      <c r="K444" s="32" t="n">
        <f aca="false">'Aturan &amp; Tarif'!$B$5</f>
        <v>2050</v>
      </c>
      <c r="L444" s="35" t="n">
        <f aca="false">I444+J444+K444</f>
        <v>14551.36</v>
      </c>
      <c r="M444" s="37" t="s">
        <v>738</v>
      </c>
    </row>
    <row r="445" customFormat="false" ht="25.5" hidden="false" customHeight="true" outlineLevel="0" collapsed="false">
      <c r="A445" s="29"/>
      <c r="B445" s="30" t="s">
        <v>968</v>
      </c>
      <c r="C445" s="31" t="s">
        <v>127</v>
      </c>
      <c r="D445" s="31" t="s">
        <v>737</v>
      </c>
      <c r="E445" s="32" t="n">
        <v>11520</v>
      </c>
      <c r="F445" s="32" t="n">
        <v>0</v>
      </c>
      <c r="G445" s="32" t="n">
        <v>300</v>
      </c>
      <c r="H445" s="33" t="n">
        <v>1</v>
      </c>
      <c r="I445" s="34" t="n">
        <f aca="false">E445*H445+N(F445)+N(G445)</f>
        <v>11820</v>
      </c>
      <c r="J445" s="32" t="n">
        <f aca="false">ROUND(IFERROR(ROUND(IF(OR(ISNUMBER(SEARCH("week",C445)),ISNUMBER(SEARCH("minggu",C445))),IFERROR(_xlfn.NUMBERVALUE(SUBSTITUTE(LEFT(TRIM(C445),FIND(" ",TRIM(C445)&amp;" ")-1),",","."),"."),LEFT(SUBSTITUTE(LEFT(TRIM(C445),FIND(" ",TRIM(C445)&amp;" ")-1),",","."),FIND("/",SUBSTITUTE(LEFT(TRIM(C445),FIND(" ",TRIM(C445)&amp;" ")-1),",","."))-1)/MID(SUBSTITUTE(LEFT(TRIM(C445),FIND(" ",TRIM(C445)&amp;" ")-1),",","."),FIND("/",SUBSTITUTE(LEFT(TRIM(C445),FIND(" ",TRIM(C445)&amp;" ")-1),",","."))+1,9))*12/52,IF(ISNUMBER(SEARCH("month",C445)),IFERROR(_xlfn.NUMBERVALUE(SUBSTITUTE(LEFT(TRIM(C445),FIND(" ",TRIM(C445)&amp;" ")-1),",","."),"."),LEFT(SUBSTITUTE(LEFT(TRIM(C445),FIND(" ",TRIM(C445)&amp;" ")-1),",","."),FIND("/",SUBSTITUTE(LEFT(TRIM(C445),FIND(" ",TRIM(C445)&amp;" ")-1),",","."))-1)/MID(SUBSTITUTE(LEFT(TRIM(C445),FIND(" ",TRIM(C445)&amp;" ")-1),",","."),FIND("/",SUBSTITUTE(LEFT(TRIM(C445),FIND(" ",TRIM(C445)&amp;" ")-1),",","."))+1,9)),IF(ISNUMBER(SEARCH("yea",C445)),IFERROR(_xlfn.NUMBERVALUE(SUBSTITUTE(LEFT(TRIM(C445),FIND(" ",TRIM(C445)&amp;" ")-1),",","."),"."),LEFT(SUBSTITUTE(LEFT(TRIM(C445),FIND(" ",TRIM(C445)&amp;" ")-1),",","."),FIND("/",SUBSTITUTE(LEFT(TRIM(C445),FIND(" ",TRIM(C445)&amp;" ")-1),",","."))-1)/MID(SUBSTITUTE(LEFT(TRIM(C445),FIND(" ",TRIM(C445)&amp;" ")-1),",","."),FIND("/",SUBSTITUTE(LEFT(TRIM(C445),FIND(" ",TRIM(C445)&amp;" ")-1),",","."))+1,9))*12,NA()))),0),36)*'Aturan &amp; Tarif'!$B$4,2)</f>
        <v>2044.08</v>
      </c>
      <c r="K445" s="32" t="n">
        <f aca="false">'Aturan &amp; Tarif'!$B$5</f>
        <v>2050</v>
      </c>
      <c r="L445" s="35" t="n">
        <f aca="false">I445+J445+K445</f>
        <v>15914.08</v>
      </c>
      <c r="M445" s="37" t="s">
        <v>738</v>
      </c>
    </row>
    <row r="446" customFormat="false" ht="25.5" hidden="false" customHeight="true" outlineLevel="0" collapsed="false">
      <c r="A446" s="29"/>
      <c r="B446" s="30" t="s">
        <v>969</v>
      </c>
      <c r="C446" s="31" t="s">
        <v>344</v>
      </c>
      <c r="D446" s="31" t="s">
        <v>737</v>
      </c>
      <c r="E446" s="32" t="n">
        <v>19640</v>
      </c>
      <c r="F446" s="32" t="n">
        <v>0</v>
      </c>
      <c r="G446" s="32" t="n">
        <v>300</v>
      </c>
      <c r="H446" s="33" t="n">
        <v>1</v>
      </c>
      <c r="I446" s="34" t="n">
        <f aca="false">E446*H446+N(F446)+N(G446)</f>
        <v>19940</v>
      </c>
      <c r="J446" s="32" t="n">
        <f aca="false">ROUND(IFERROR(ROUND(IF(OR(ISNUMBER(SEARCH("week",C446)),ISNUMBER(SEARCH("minggu",C446))),IFERROR(_xlfn.NUMBERVALUE(SUBSTITUTE(LEFT(TRIM(C446),FIND(" ",TRIM(C446)&amp;" ")-1),",","."),"."),LEFT(SUBSTITUTE(LEFT(TRIM(C446),FIND(" ",TRIM(C446)&amp;" ")-1),",","."),FIND("/",SUBSTITUTE(LEFT(TRIM(C446),FIND(" ",TRIM(C446)&amp;" ")-1),",","."))-1)/MID(SUBSTITUTE(LEFT(TRIM(C446),FIND(" ",TRIM(C446)&amp;" ")-1),",","."),FIND("/",SUBSTITUTE(LEFT(TRIM(C446),FIND(" ",TRIM(C446)&amp;" ")-1),",","."))+1,9))*12/52,IF(ISNUMBER(SEARCH("month",C446)),IFERROR(_xlfn.NUMBERVALUE(SUBSTITUTE(LEFT(TRIM(C446),FIND(" ",TRIM(C446)&amp;" ")-1),",","."),"."),LEFT(SUBSTITUTE(LEFT(TRIM(C446),FIND(" ",TRIM(C446)&amp;" ")-1),",","."),FIND("/",SUBSTITUTE(LEFT(TRIM(C446),FIND(" ",TRIM(C446)&amp;" ")-1),",","."))-1)/MID(SUBSTITUTE(LEFT(TRIM(C446),FIND(" ",TRIM(C446)&amp;" ")-1),",","."),FIND("/",SUBSTITUTE(LEFT(TRIM(C446),FIND(" ",TRIM(C446)&amp;" ")-1),",","."))+1,9)),IF(ISNUMBER(SEARCH("yea",C446)),IFERROR(_xlfn.NUMBERVALUE(SUBSTITUTE(LEFT(TRIM(C446),FIND(" ",TRIM(C446)&amp;" ")-1),",","."),"."),LEFT(SUBSTITUTE(LEFT(TRIM(C446),FIND(" ",TRIM(C446)&amp;" ")-1),",","."),FIND("/",SUBSTITUTE(LEFT(TRIM(C446),FIND(" ",TRIM(C446)&amp;" ")-1),",","."))-1)/MID(SUBSTITUTE(LEFT(TRIM(C446),FIND(" ",TRIM(C446)&amp;" ")-1),",","."),FIND("/",SUBSTITUTE(LEFT(TRIM(C446),FIND(" ",TRIM(C446)&amp;" ")-1),",","."))+1,9))*12,NA()))),0),6)*'Aturan &amp; Tarif'!$B$4,2)</f>
        <v>340.68</v>
      </c>
      <c r="K446" s="32" t="n">
        <f aca="false">'Aturan &amp; Tarif'!$B$5</f>
        <v>2050</v>
      </c>
      <c r="L446" s="35" t="n">
        <f aca="false">I446+J446+K446</f>
        <v>22330.68</v>
      </c>
      <c r="M446" s="37" t="s">
        <v>738</v>
      </c>
    </row>
    <row r="447" customFormat="false" ht="25.5" hidden="false" customHeight="true" outlineLevel="0" collapsed="false">
      <c r="A447" s="29"/>
      <c r="B447" s="30" t="s">
        <v>741</v>
      </c>
      <c r="C447" s="31" t="s">
        <v>130</v>
      </c>
      <c r="D447" s="31" t="s">
        <v>737</v>
      </c>
      <c r="E447" s="32" t="n">
        <v>19640</v>
      </c>
      <c r="F447" s="32" t="n">
        <v>0</v>
      </c>
      <c r="G447" s="32" t="n">
        <v>300</v>
      </c>
      <c r="H447" s="33" t="n">
        <v>1</v>
      </c>
      <c r="I447" s="34" t="n">
        <f aca="false">E447*H447+N(F447)+N(G447)</f>
        <v>19940</v>
      </c>
      <c r="J447" s="32" t="n">
        <f aca="false">ROUND(IFERROR(ROUND(IF(OR(ISNUMBER(SEARCH("week",C447)),ISNUMBER(SEARCH("minggu",C447))),IFERROR(_xlfn.NUMBERVALUE(SUBSTITUTE(LEFT(TRIM(C447),FIND(" ",TRIM(C447)&amp;" ")-1),",","."),"."),LEFT(SUBSTITUTE(LEFT(TRIM(C447),FIND(" ",TRIM(C447)&amp;" ")-1),",","."),FIND("/",SUBSTITUTE(LEFT(TRIM(C447),FIND(" ",TRIM(C447)&amp;" ")-1),",","."))-1)/MID(SUBSTITUTE(LEFT(TRIM(C447),FIND(" ",TRIM(C447)&amp;" ")-1),",","."),FIND("/",SUBSTITUTE(LEFT(TRIM(C447),FIND(" ",TRIM(C447)&amp;" ")-1),",","."))+1,9))*12/52,IF(ISNUMBER(SEARCH("month",C447)),IFERROR(_xlfn.NUMBERVALUE(SUBSTITUTE(LEFT(TRIM(C447),FIND(" ",TRIM(C447)&amp;" ")-1),",","."),"."),LEFT(SUBSTITUTE(LEFT(TRIM(C447),FIND(" ",TRIM(C447)&amp;" ")-1),",","."),FIND("/",SUBSTITUTE(LEFT(TRIM(C447),FIND(" ",TRIM(C447)&amp;" ")-1),",","."))-1)/MID(SUBSTITUTE(LEFT(TRIM(C447),FIND(" ",TRIM(C447)&amp;" ")-1),",","."),FIND("/",SUBSTITUTE(LEFT(TRIM(C447),FIND(" ",TRIM(C447)&amp;" ")-1),",","."))+1,9)),IF(ISNUMBER(SEARCH("yea",C447)),IFERROR(_xlfn.NUMBERVALUE(SUBSTITUTE(LEFT(TRIM(C447),FIND(" ",TRIM(C447)&amp;" ")-1),",","."),"."),LEFT(SUBSTITUTE(LEFT(TRIM(C447),FIND(" ",TRIM(C447)&amp;" ")-1),",","."),FIND("/",SUBSTITUTE(LEFT(TRIM(C447),FIND(" ",TRIM(C447)&amp;" ")-1),",","."))-1)/MID(SUBSTITUTE(LEFT(TRIM(C447),FIND(" ",TRIM(C447)&amp;" ")-1),",","."),FIND("/",SUBSTITUTE(LEFT(TRIM(C447),FIND(" ",TRIM(C447)&amp;" ")-1),",","."))+1,9))*12,NA()))),0),12)*'Aturan &amp; Tarif'!$B$4,2)</f>
        <v>681.36</v>
      </c>
      <c r="K447" s="32" t="n">
        <f aca="false">'Aturan &amp; Tarif'!$B$5</f>
        <v>2050</v>
      </c>
      <c r="L447" s="35" t="n">
        <f aca="false">I447+J447+K447</f>
        <v>22671.36</v>
      </c>
      <c r="M447" s="37" t="s">
        <v>742</v>
      </c>
    </row>
    <row r="448" customFormat="false" ht="25.5" hidden="false" customHeight="true" outlineLevel="0" collapsed="false">
      <c r="A448" s="29"/>
      <c r="B448" s="30" t="s">
        <v>971</v>
      </c>
      <c r="C448" s="31" t="s">
        <v>113</v>
      </c>
      <c r="D448" s="31" t="s">
        <v>737</v>
      </c>
      <c r="E448" s="32" t="n">
        <v>19640</v>
      </c>
      <c r="F448" s="32" t="n">
        <v>0</v>
      </c>
      <c r="G448" s="32" t="n">
        <v>300</v>
      </c>
      <c r="H448" s="33" t="n">
        <v>1</v>
      </c>
      <c r="I448" s="34" t="n">
        <f aca="false">E448*H448+N(F448)+N(G448)</f>
        <v>19940</v>
      </c>
      <c r="J448" s="32" t="n">
        <f aca="false">ROUND(IFERROR(ROUND(IF(OR(ISNUMBER(SEARCH("week",C448)),ISNUMBER(SEARCH("minggu",C448))),IFERROR(_xlfn.NUMBERVALUE(SUBSTITUTE(LEFT(TRIM(C448),FIND(" ",TRIM(C448)&amp;" ")-1),",","."),"."),LEFT(SUBSTITUTE(LEFT(TRIM(C448),FIND(" ",TRIM(C448)&amp;" ")-1),",","."),FIND("/",SUBSTITUTE(LEFT(TRIM(C448),FIND(" ",TRIM(C448)&amp;" ")-1),",","."))-1)/MID(SUBSTITUTE(LEFT(TRIM(C448),FIND(" ",TRIM(C448)&amp;" ")-1),",","."),FIND("/",SUBSTITUTE(LEFT(TRIM(C448),FIND(" ",TRIM(C448)&amp;" ")-1),",","."))+1,9))*12/52,IF(ISNUMBER(SEARCH("month",C448)),IFERROR(_xlfn.NUMBERVALUE(SUBSTITUTE(LEFT(TRIM(C448),FIND(" ",TRIM(C448)&amp;" ")-1),",","."),"."),LEFT(SUBSTITUTE(LEFT(TRIM(C448),FIND(" ",TRIM(C448)&amp;" ")-1),",","."),FIND("/",SUBSTITUTE(LEFT(TRIM(C448),FIND(" ",TRIM(C448)&amp;" ")-1),",","."))-1)/MID(SUBSTITUTE(LEFT(TRIM(C448),FIND(" ",TRIM(C448)&amp;" ")-1),",","."),FIND("/",SUBSTITUTE(LEFT(TRIM(C448),FIND(" ",TRIM(C448)&amp;" ")-1),",","."))+1,9)),IF(ISNUMBER(SEARCH("yea",C448)),IFERROR(_xlfn.NUMBERVALUE(SUBSTITUTE(LEFT(TRIM(C448),FIND(" ",TRIM(C448)&amp;" ")-1),",","."),"."),LEFT(SUBSTITUTE(LEFT(TRIM(C448),FIND(" ",TRIM(C448)&amp;" ")-1),",","."),FIND("/",SUBSTITUTE(LEFT(TRIM(C448),FIND(" ",TRIM(C448)&amp;" ")-1),",","."))-1)/MID(SUBSTITUTE(LEFT(TRIM(C448),FIND(" ",TRIM(C448)&amp;" ")-1),",","."),FIND("/",SUBSTITUTE(LEFT(TRIM(C448),FIND(" ",TRIM(C448)&amp;" ")-1),",","."))+1,9))*12,NA()))),0),18)*'Aturan &amp; Tarif'!$B$4,2)</f>
        <v>1022.04</v>
      </c>
      <c r="K448" s="32" t="n">
        <f aca="false">'Aturan &amp; Tarif'!$B$5</f>
        <v>2050</v>
      </c>
      <c r="L448" s="35" t="n">
        <f aca="false">I448+J448+K448</f>
        <v>23012.04</v>
      </c>
      <c r="M448" s="37" t="s">
        <v>744</v>
      </c>
    </row>
    <row r="449" customFormat="false" ht="25.5" hidden="false" customHeight="true" outlineLevel="0" collapsed="false">
      <c r="A449" s="29"/>
      <c r="B449" s="30" t="s">
        <v>972</v>
      </c>
      <c r="C449" s="31" t="s">
        <v>344</v>
      </c>
      <c r="D449" s="31" t="s">
        <v>737</v>
      </c>
      <c r="E449" s="32" t="n">
        <v>13600</v>
      </c>
      <c r="F449" s="32" t="n">
        <v>0</v>
      </c>
      <c r="G449" s="32" t="n">
        <v>300</v>
      </c>
      <c r="H449" s="33" t="n">
        <v>1</v>
      </c>
      <c r="I449" s="34" t="n">
        <f aca="false">E449*H449+N(F449)+N(G449)</f>
        <v>13900</v>
      </c>
      <c r="J449" s="32" t="n">
        <f aca="false">ROUND(IFERROR(ROUND(IF(OR(ISNUMBER(SEARCH("week",C449)),ISNUMBER(SEARCH("minggu",C449))),IFERROR(_xlfn.NUMBERVALUE(SUBSTITUTE(LEFT(TRIM(C449),FIND(" ",TRIM(C449)&amp;" ")-1),",","."),"."),LEFT(SUBSTITUTE(LEFT(TRIM(C449),FIND(" ",TRIM(C449)&amp;" ")-1),",","."),FIND("/",SUBSTITUTE(LEFT(TRIM(C449),FIND(" ",TRIM(C449)&amp;" ")-1),",","."))-1)/MID(SUBSTITUTE(LEFT(TRIM(C449),FIND(" ",TRIM(C449)&amp;" ")-1),",","."),FIND("/",SUBSTITUTE(LEFT(TRIM(C449),FIND(" ",TRIM(C449)&amp;" ")-1),",","."))+1,9))*12/52,IF(ISNUMBER(SEARCH("month",C449)),IFERROR(_xlfn.NUMBERVALUE(SUBSTITUTE(LEFT(TRIM(C449),FIND(" ",TRIM(C449)&amp;" ")-1),",","."),"."),LEFT(SUBSTITUTE(LEFT(TRIM(C449),FIND(" ",TRIM(C449)&amp;" ")-1),",","."),FIND("/",SUBSTITUTE(LEFT(TRIM(C449),FIND(" ",TRIM(C449)&amp;" ")-1),",","."))-1)/MID(SUBSTITUTE(LEFT(TRIM(C449),FIND(" ",TRIM(C449)&amp;" ")-1),",","."),FIND("/",SUBSTITUTE(LEFT(TRIM(C449),FIND(" ",TRIM(C449)&amp;" ")-1),",","."))+1,9)),IF(ISNUMBER(SEARCH("yea",C449)),IFERROR(_xlfn.NUMBERVALUE(SUBSTITUTE(LEFT(TRIM(C449),FIND(" ",TRIM(C449)&amp;" ")-1),",","."),"."),LEFT(SUBSTITUTE(LEFT(TRIM(C449),FIND(" ",TRIM(C449)&amp;" ")-1),",","."),FIND("/",SUBSTITUTE(LEFT(TRIM(C449),FIND(" ",TRIM(C449)&amp;" ")-1),",","."))-1)/MID(SUBSTITUTE(LEFT(TRIM(C449),FIND(" ",TRIM(C449)&amp;" ")-1),",","."),FIND("/",SUBSTITUTE(LEFT(TRIM(C449),FIND(" ",TRIM(C449)&amp;" ")-1),",","."))+1,9))*12,NA()))),0),6)*'Aturan &amp; Tarif'!$B$4,2)</f>
        <v>340.68</v>
      </c>
      <c r="K449" s="32" t="n">
        <f aca="false">'Aturan &amp; Tarif'!$B$5</f>
        <v>2050</v>
      </c>
      <c r="L449" s="35" t="n">
        <f aca="false">I449+J449+K449</f>
        <v>16290.68</v>
      </c>
      <c r="M449" s="37" t="s">
        <v>738</v>
      </c>
    </row>
    <row r="450" customFormat="false" ht="25.5" hidden="false" customHeight="true" outlineLevel="0" collapsed="false">
      <c r="A450" s="29"/>
      <c r="B450" s="30" t="s">
        <v>973</v>
      </c>
      <c r="C450" s="31" t="s">
        <v>107</v>
      </c>
      <c r="D450" s="31" t="s">
        <v>737</v>
      </c>
      <c r="E450" s="32" t="n">
        <v>13600</v>
      </c>
      <c r="F450" s="32" t="n">
        <v>0</v>
      </c>
      <c r="G450" s="32" t="n">
        <v>300</v>
      </c>
      <c r="H450" s="33" t="n">
        <v>1</v>
      </c>
      <c r="I450" s="34" t="n">
        <f aca="false">E450*H450+N(F450)+N(G450)</f>
        <v>13900</v>
      </c>
      <c r="J450" s="32" t="n">
        <f aca="false">ROUND(IFERROR(ROUND(IF(OR(ISNUMBER(SEARCH("week",C450)),ISNUMBER(SEARCH("minggu",C450))),IFERROR(_xlfn.NUMBERVALUE(SUBSTITUTE(LEFT(TRIM(C450),FIND(" ",TRIM(C450)&amp;" ")-1),",","."),"."),LEFT(SUBSTITUTE(LEFT(TRIM(C450),FIND(" ",TRIM(C450)&amp;" ")-1),",","."),FIND("/",SUBSTITUTE(LEFT(TRIM(C450),FIND(" ",TRIM(C450)&amp;" ")-1),",","."))-1)/MID(SUBSTITUTE(LEFT(TRIM(C450),FIND(" ",TRIM(C450)&amp;" ")-1),",","."),FIND("/",SUBSTITUTE(LEFT(TRIM(C450),FIND(" ",TRIM(C450)&amp;" ")-1),",","."))+1,9))*12/52,IF(ISNUMBER(SEARCH("month",C450)),IFERROR(_xlfn.NUMBERVALUE(SUBSTITUTE(LEFT(TRIM(C450),FIND(" ",TRIM(C450)&amp;" ")-1),",","."),"."),LEFT(SUBSTITUTE(LEFT(TRIM(C450),FIND(" ",TRIM(C450)&amp;" ")-1),",","."),FIND("/",SUBSTITUTE(LEFT(TRIM(C450),FIND(" ",TRIM(C450)&amp;" ")-1),",","."))-1)/MID(SUBSTITUTE(LEFT(TRIM(C450),FIND(" ",TRIM(C450)&amp;" ")-1),",","."),FIND("/",SUBSTITUTE(LEFT(TRIM(C450),FIND(" ",TRIM(C450)&amp;" ")-1),",","."))+1,9)),IF(ISNUMBER(SEARCH("yea",C450)),IFERROR(_xlfn.NUMBERVALUE(SUBSTITUTE(LEFT(TRIM(C450),FIND(" ",TRIM(C450)&amp;" ")-1),",","."),"."),LEFT(SUBSTITUTE(LEFT(TRIM(C450),FIND(" ",TRIM(C450)&amp;" ")-1),",","."),FIND("/",SUBSTITUTE(LEFT(TRIM(C450),FIND(" ",TRIM(C450)&amp;" ")-1),",","."))-1)/MID(SUBSTITUTE(LEFT(TRIM(C450),FIND(" ",TRIM(C450)&amp;" ")-1),",","."),FIND("/",SUBSTITUTE(LEFT(TRIM(C450),FIND(" ",TRIM(C450)&amp;" ")-1),",","."))+1,9))*12,NA()))),0),24)*'Aturan &amp; Tarif'!$B$4,2)</f>
        <v>1362.72</v>
      </c>
      <c r="K450" s="32" t="n">
        <f aca="false">'Aturan &amp; Tarif'!$B$5</f>
        <v>2050</v>
      </c>
      <c r="L450" s="35" t="n">
        <f aca="false">I450+J450+K450</f>
        <v>17312.72</v>
      </c>
      <c r="M450" s="37" t="s">
        <v>738</v>
      </c>
    </row>
    <row r="451" customFormat="false" ht="25.5" hidden="false" customHeight="true" outlineLevel="0" collapsed="false">
      <c r="A451" s="29"/>
      <c r="B451" s="30" t="s">
        <v>974</v>
      </c>
      <c r="C451" s="31" t="s">
        <v>113</v>
      </c>
      <c r="D451" s="31" t="s">
        <v>737</v>
      </c>
      <c r="E451" s="32" t="n">
        <v>13600</v>
      </c>
      <c r="F451" s="32" t="n">
        <v>0</v>
      </c>
      <c r="G451" s="32" t="n">
        <v>300</v>
      </c>
      <c r="H451" s="33" t="n">
        <v>1</v>
      </c>
      <c r="I451" s="34" t="n">
        <f aca="false">E451*H451+N(F451)+N(G451)</f>
        <v>13900</v>
      </c>
      <c r="J451" s="32" t="n">
        <f aca="false">ROUND(IFERROR(ROUND(IF(OR(ISNUMBER(SEARCH("week",C451)),ISNUMBER(SEARCH("minggu",C451))),IFERROR(_xlfn.NUMBERVALUE(SUBSTITUTE(LEFT(TRIM(C451),FIND(" ",TRIM(C451)&amp;" ")-1),",","."),"."),LEFT(SUBSTITUTE(LEFT(TRIM(C451),FIND(" ",TRIM(C451)&amp;" ")-1),",","."),FIND("/",SUBSTITUTE(LEFT(TRIM(C451),FIND(" ",TRIM(C451)&amp;" ")-1),",","."))-1)/MID(SUBSTITUTE(LEFT(TRIM(C451),FIND(" ",TRIM(C451)&amp;" ")-1),",","."),FIND("/",SUBSTITUTE(LEFT(TRIM(C451),FIND(" ",TRIM(C451)&amp;" ")-1),",","."))+1,9))*12/52,IF(ISNUMBER(SEARCH("month",C451)),IFERROR(_xlfn.NUMBERVALUE(SUBSTITUTE(LEFT(TRIM(C451),FIND(" ",TRIM(C451)&amp;" ")-1),",","."),"."),LEFT(SUBSTITUTE(LEFT(TRIM(C451),FIND(" ",TRIM(C451)&amp;" ")-1),",","."),FIND("/",SUBSTITUTE(LEFT(TRIM(C451),FIND(" ",TRIM(C451)&amp;" ")-1),",","."))-1)/MID(SUBSTITUTE(LEFT(TRIM(C451),FIND(" ",TRIM(C451)&amp;" ")-1),",","."),FIND("/",SUBSTITUTE(LEFT(TRIM(C451),FIND(" ",TRIM(C451)&amp;" ")-1),",","."))+1,9)),IF(ISNUMBER(SEARCH("yea",C451)),IFERROR(_xlfn.NUMBERVALUE(SUBSTITUTE(LEFT(TRIM(C451),FIND(" ",TRIM(C451)&amp;" ")-1),",","."),"."),LEFT(SUBSTITUTE(LEFT(TRIM(C451),FIND(" ",TRIM(C451)&amp;" ")-1),",","."),FIND("/",SUBSTITUTE(LEFT(TRIM(C451),FIND(" ",TRIM(C451)&amp;" ")-1),",","."))-1)/MID(SUBSTITUTE(LEFT(TRIM(C451),FIND(" ",TRIM(C451)&amp;" ")-1),",","."),FIND("/",SUBSTITUTE(LEFT(TRIM(C451),FIND(" ",TRIM(C451)&amp;" ")-1),",","."))+1,9))*12,NA()))),0),18)*'Aturan &amp; Tarif'!$B$4,2)</f>
        <v>1022.04</v>
      </c>
      <c r="K451" s="32" t="n">
        <f aca="false">'Aturan &amp; Tarif'!$B$5</f>
        <v>2050</v>
      </c>
      <c r="L451" s="35" t="n">
        <f aca="false">I451+J451+K451</f>
        <v>16972.04</v>
      </c>
      <c r="M451" s="37" t="s">
        <v>738</v>
      </c>
    </row>
    <row r="452" customFormat="false" ht="25.5" hidden="false" customHeight="true" outlineLevel="0" collapsed="false">
      <c r="A452" s="29"/>
      <c r="B452" s="30" t="s">
        <v>975</v>
      </c>
      <c r="C452" s="31" t="s">
        <v>113</v>
      </c>
      <c r="D452" s="31" t="s">
        <v>737</v>
      </c>
      <c r="E452" s="32" t="n">
        <v>13600</v>
      </c>
      <c r="F452" s="32" t="n">
        <v>0</v>
      </c>
      <c r="G452" s="32" t="n">
        <v>300</v>
      </c>
      <c r="H452" s="33" t="n">
        <v>1</v>
      </c>
      <c r="I452" s="34" t="n">
        <f aca="false">E452*H452+N(F452)+N(G452)</f>
        <v>13900</v>
      </c>
      <c r="J452" s="32" t="n">
        <f aca="false">ROUND(IFERROR(ROUND(IF(OR(ISNUMBER(SEARCH("week",C452)),ISNUMBER(SEARCH("minggu",C452))),IFERROR(_xlfn.NUMBERVALUE(SUBSTITUTE(LEFT(TRIM(C452),FIND(" ",TRIM(C452)&amp;" ")-1),",","."),"."),LEFT(SUBSTITUTE(LEFT(TRIM(C452),FIND(" ",TRIM(C452)&amp;" ")-1),",","."),FIND("/",SUBSTITUTE(LEFT(TRIM(C452),FIND(" ",TRIM(C452)&amp;" ")-1),",","."))-1)/MID(SUBSTITUTE(LEFT(TRIM(C452),FIND(" ",TRIM(C452)&amp;" ")-1),",","."),FIND("/",SUBSTITUTE(LEFT(TRIM(C452),FIND(" ",TRIM(C452)&amp;" ")-1),",","."))+1,9))*12/52,IF(ISNUMBER(SEARCH("month",C452)),IFERROR(_xlfn.NUMBERVALUE(SUBSTITUTE(LEFT(TRIM(C452),FIND(" ",TRIM(C452)&amp;" ")-1),",","."),"."),LEFT(SUBSTITUTE(LEFT(TRIM(C452),FIND(" ",TRIM(C452)&amp;" ")-1),",","."),FIND("/",SUBSTITUTE(LEFT(TRIM(C452),FIND(" ",TRIM(C452)&amp;" ")-1),",","."))-1)/MID(SUBSTITUTE(LEFT(TRIM(C452),FIND(" ",TRIM(C452)&amp;" ")-1),",","."),FIND("/",SUBSTITUTE(LEFT(TRIM(C452),FIND(" ",TRIM(C452)&amp;" ")-1),",","."))+1,9)),IF(ISNUMBER(SEARCH("yea",C452)),IFERROR(_xlfn.NUMBERVALUE(SUBSTITUTE(LEFT(TRIM(C452),FIND(" ",TRIM(C452)&amp;" ")-1),",","."),"."),LEFT(SUBSTITUTE(LEFT(TRIM(C452),FIND(" ",TRIM(C452)&amp;" ")-1),",","."),FIND("/",SUBSTITUTE(LEFT(TRIM(C452),FIND(" ",TRIM(C452)&amp;" ")-1),",","."))-1)/MID(SUBSTITUTE(LEFT(TRIM(C452),FIND(" ",TRIM(C452)&amp;" ")-1),",","."),FIND("/",SUBSTITUTE(LEFT(TRIM(C452),FIND(" ",TRIM(C452)&amp;" ")-1),",","."))+1,9))*12,NA()))),0),18)*'Aturan &amp; Tarif'!$B$4,2)</f>
        <v>1022.04</v>
      </c>
      <c r="K452" s="32" t="n">
        <f aca="false">'Aturan &amp; Tarif'!$B$5</f>
        <v>2050</v>
      </c>
      <c r="L452" s="35" t="n">
        <f aca="false">I452+J452+K452</f>
        <v>16972.04</v>
      </c>
      <c r="M452" s="37" t="s">
        <v>738</v>
      </c>
    </row>
    <row r="453" customFormat="false" ht="25.5" hidden="false" customHeight="true" outlineLevel="0" collapsed="false">
      <c r="A453" s="29"/>
      <c r="B453" s="30" t="s">
        <v>976</v>
      </c>
      <c r="C453" s="31" t="s">
        <v>107</v>
      </c>
      <c r="D453" s="31" t="s">
        <v>737</v>
      </c>
      <c r="E453" s="32" t="n">
        <v>13600</v>
      </c>
      <c r="F453" s="32" t="n">
        <v>0</v>
      </c>
      <c r="G453" s="32" t="n">
        <v>300</v>
      </c>
      <c r="H453" s="33" t="n">
        <v>1</v>
      </c>
      <c r="I453" s="34" t="n">
        <f aca="false">E453*H453+N(F453)+N(G453)</f>
        <v>13900</v>
      </c>
      <c r="J453" s="32" t="n">
        <f aca="false">ROUND(IFERROR(ROUND(IF(OR(ISNUMBER(SEARCH("week",C453)),ISNUMBER(SEARCH("minggu",C453))),IFERROR(_xlfn.NUMBERVALUE(SUBSTITUTE(LEFT(TRIM(C453),FIND(" ",TRIM(C453)&amp;" ")-1),",","."),"."),LEFT(SUBSTITUTE(LEFT(TRIM(C453),FIND(" ",TRIM(C453)&amp;" ")-1),",","."),FIND("/",SUBSTITUTE(LEFT(TRIM(C453),FIND(" ",TRIM(C453)&amp;" ")-1),",","."))-1)/MID(SUBSTITUTE(LEFT(TRIM(C453),FIND(" ",TRIM(C453)&amp;" ")-1),",","."),FIND("/",SUBSTITUTE(LEFT(TRIM(C453),FIND(" ",TRIM(C453)&amp;" ")-1),",","."))+1,9))*12/52,IF(ISNUMBER(SEARCH("month",C453)),IFERROR(_xlfn.NUMBERVALUE(SUBSTITUTE(LEFT(TRIM(C453),FIND(" ",TRIM(C453)&amp;" ")-1),",","."),"."),LEFT(SUBSTITUTE(LEFT(TRIM(C453),FIND(" ",TRIM(C453)&amp;" ")-1),",","."),FIND("/",SUBSTITUTE(LEFT(TRIM(C453),FIND(" ",TRIM(C453)&amp;" ")-1),",","."))-1)/MID(SUBSTITUTE(LEFT(TRIM(C453),FIND(" ",TRIM(C453)&amp;" ")-1),",","."),FIND("/",SUBSTITUTE(LEFT(TRIM(C453),FIND(" ",TRIM(C453)&amp;" ")-1),",","."))+1,9)),IF(ISNUMBER(SEARCH("yea",C453)),IFERROR(_xlfn.NUMBERVALUE(SUBSTITUTE(LEFT(TRIM(C453),FIND(" ",TRIM(C453)&amp;" ")-1),",","."),"."),LEFT(SUBSTITUTE(LEFT(TRIM(C453),FIND(" ",TRIM(C453)&amp;" ")-1),",","."),FIND("/",SUBSTITUTE(LEFT(TRIM(C453),FIND(" ",TRIM(C453)&amp;" ")-1),",","."))-1)/MID(SUBSTITUTE(LEFT(TRIM(C453),FIND(" ",TRIM(C453)&amp;" ")-1),",","."),FIND("/",SUBSTITUTE(LEFT(TRIM(C453),FIND(" ",TRIM(C453)&amp;" ")-1),",","."))+1,9))*12,NA()))),0),24)*'Aturan &amp; Tarif'!$B$4,2)</f>
        <v>1362.72</v>
      </c>
      <c r="K453" s="32" t="n">
        <f aca="false">'Aturan &amp; Tarif'!$B$5</f>
        <v>2050</v>
      </c>
      <c r="L453" s="35" t="n">
        <f aca="false">I453+J453+K453</f>
        <v>17312.72</v>
      </c>
      <c r="M453" s="37" t="s">
        <v>738</v>
      </c>
    </row>
    <row r="454" customFormat="false" ht="37.5" hidden="false" customHeight="true" outlineLevel="0" collapsed="false">
      <c r="A454" s="29"/>
      <c r="B454" s="30" t="s">
        <v>977</v>
      </c>
      <c r="C454" s="31" t="s">
        <v>138</v>
      </c>
      <c r="D454" s="31" t="s">
        <v>737</v>
      </c>
      <c r="E454" s="32" t="n">
        <v>13600</v>
      </c>
      <c r="F454" s="32" t="n">
        <v>0</v>
      </c>
      <c r="G454" s="32" t="n">
        <v>300</v>
      </c>
      <c r="H454" s="33" t="n">
        <v>1</v>
      </c>
      <c r="I454" s="34" t="n">
        <f aca="false">E454*H454+N(F454)+N(G454)</f>
        <v>13900</v>
      </c>
      <c r="J454" s="32" t="n">
        <f aca="false">ROUND(IFERROR(ROUND(IF(OR(ISNUMBER(SEARCH("week",C454)),ISNUMBER(SEARCH("minggu",C454))),IFERROR(_xlfn.NUMBERVALUE(SUBSTITUTE(LEFT(TRIM(C454),FIND(" ",TRIM(C454)&amp;" ")-1),",","."),"."),LEFT(SUBSTITUTE(LEFT(TRIM(C454),FIND(" ",TRIM(C454)&amp;" ")-1),",","."),FIND("/",SUBSTITUTE(LEFT(TRIM(C454),FIND(" ",TRIM(C454)&amp;" ")-1),",","."))-1)/MID(SUBSTITUTE(LEFT(TRIM(C454),FIND(" ",TRIM(C454)&amp;" ")-1),",","."),FIND("/",SUBSTITUTE(LEFT(TRIM(C454),FIND(" ",TRIM(C454)&amp;" ")-1),",","."))+1,9))*12/52,IF(ISNUMBER(SEARCH("month",C454)),IFERROR(_xlfn.NUMBERVALUE(SUBSTITUTE(LEFT(TRIM(C454),FIND(" ",TRIM(C454)&amp;" ")-1),",","."),"."),LEFT(SUBSTITUTE(LEFT(TRIM(C454),FIND(" ",TRIM(C454)&amp;" ")-1),",","."),FIND("/",SUBSTITUTE(LEFT(TRIM(C454),FIND(" ",TRIM(C454)&amp;" ")-1),",","."))-1)/MID(SUBSTITUTE(LEFT(TRIM(C454),FIND(" ",TRIM(C454)&amp;" ")-1),",","."),FIND("/",SUBSTITUTE(LEFT(TRIM(C454),FIND(" ",TRIM(C454)&amp;" ")-1),",","."))+1,9)),IF(ISNUMBER(SEARCH("yea",C454)),IFERROR(_xlfn.NUMBERVALUE(SUBSTITUTE(LEFT(TRIM(C454),FIND(" ",TRIM(C454)&amp;" ")-1),",","."),"."),LEFT(SUBSTITUTE(LEFT(TRIM(C454),FIND(" ",TRIM(C454)&amp;" ")-1),",","."),FIND("/",SUBSTITUTE(LEFT(TRIM(C454),FIND(" ",TRIM(C454)&amp;" ")-1),",","."))-1)/MID(SUBSTITUTE(LEFT(TRIM(C454),FIND(" ",TRIM(C454)&amp;" ")-1),",","."),FIND("/",SUBSTITUTE(LEFT(TRIM(C454),FIND(" ",TRIM(C454)&amp;" ")-1),",","."))+1,9))*12,NA()))),0),30)*'Aturan &amp; Tarif'!$B$4,2)</f>
        <v>1703.4</v>
      </c>
      <c r="K454" s="32" t="n">
        <f aca="false">'Aturan &amp; Tarif'!$B$5</f>
        <v>2050</v>
      </c>
      <c r="L454" s="35" t="n">
        <f aca="false">I454+J454+K454</f>
        <v>17653.4</v>
      </c>
      <c r="M454" s="37" t="s">
        <v>738</v>
      </c>
    </row>
    <row r="455" customFormat="false" ht="25.5" hidden="false" customHeight="true" outlineLevel="0" collapsed="false">
      <c r="A455" s="29"/>
      <c r="B455" s="30" t="s">
        <v>2126</v>
      </c>
      <c r="C455" s="31" t="s">
        <v>344</v>
      </c>
      <c r="D455" s="31" t="s">
        <v>737</v>
      </c>
      <c r="E455" s="32" t="n">
        <v>14560</v>
      </c>
      <c r="F455" s="32" t="n">
        <v>0</v>
      </c>
      <c r="G455" s="32" t="n">
        <v>300</v>
      </c>
      <c r="H455" s="33" t="n">
        <v>1</v>
      </c>
      <c r="I455" s="34" t="n">
        <f aca="false">E455*H455+N(F455)+N(G455)</f>
        <v>14860</v>
      </c>
      <c r="J455" s="32" t="n">
        <f aca="false">ROUND(IFERROR(ROUND(IF(OR(ISNUMBER(SEARCH("week",C455)),ISNUMBER(SEARCH("minggu",C455))),IFERROR(_xlfn.NUMBERVALUE(SUBSTITUTE(LEFT(TRIM(C455),FIND(" ",TRIM(C455)&amp;" ")-1),",","."),"."),LEFT(SUBSTITUTE(LEFT(TRIM(C455),FIND(" ",TRIM(C455)&amp;" ")-1),",","."),FIND("/",SUBSTITUTE(LEFT(TRIM(C455),FIND(" ",TRIM(C455)&amp;" ")-1),",","."))-1)/MID(SUBSTITUTE(LEFT(TRIM(C455),FIND(" ",TRIM(C455)&amp;" ")-1),",","."),FIND("/",SUBSTITUTE(LEFT(TRIM(C455),FIND(" ",TRIM(C455)&amp;" ")-1),",","."))+1,9))*12/52,IF(ISNUMBER(SEARCH("month",C455)),IFERROR(_xlfn.NUMBERVALUE(SUBSTITUTE(LEFT(TRIM(C455),FIND(" ",TRIM(C455)&amp;" ")-1),",","."),"."),LEFT(SUBSTITUTE(LEFT(TRIM(C455),FIND(" ",TRIM(C455)&amp;" ")-1),",","."),FIND("/",SUBSTITUTE(LEFT(TRIM(C455),FIND(" ",TRIM(C455)&amp;" ")-1),",","."))-1)/MID(SUBSTITUTE(LEFT(TRIM(C455),FIND(" ",TRIM(C455)&amp;" ")-1),",","."),FIND("/",SUBSTITUTE(LEFT(TRIM(C455),FIND(" ",TRIM(C455)&amp;" ")-1),",","."))+1,9)),IF(ISNUMBER(SEARCH("yea",C455)),IFERROR(_xlfn.NUMBERVALUE(SUBSTITUTE(LEFT(TRIM(C455),FIND(" ",TRIM(C455)&amp;" ")-1),",","."),"."),LEFT(SUBSTITUTE(LEFT(TRIM(C455),FIND(" ",TRIM(C455)&amp;" ")-1),",","."),FIND("/",SUBSTITUTE(LEFT(TRIM(C455),FIND(" ",TRIM(C455)&amp;" ")-1),",","."))-1)/MID(SUBSTITUTE(LEFT(TRIM(C455),FIND(" ",TRIM(C455)&amp;" ")-1),",","."),FIND("/",SUBSTITUTE(LEFT(TRIM(C455),FIND(" ",TRIM(C455)&amp;" ")-1),",","."))+1,9))*12,NA()))),0),6)*'Aturan &amp; Tarif'!$B$4,2)</f>
        <v>340.68</v>
      </c>
      <c r="K455" s="32" t="n">
        <f aca="false">'Aturan &amp; Tarif'!$B$5</f>
        <v>2050</v>
      </c>
      <c r="L455" s="35" t="n">
        <f aca="false">I455+J455+K455</f>
        <v>17250.68</v>
      </c>
      <c r="M455" s="37" t="s">
        <v>738</v>
      </c>
    </row>
    <row r="456" customFormat="false" ht="25.5" hidden="false" customHeight="true" outlineLevel="0" collapsed="false">
      <c r="A456" s="29"/>
      <c r="B456" s="30" t="s">
        <v>979</v>
      </c>
      <c r="C456" s="31" t="s">
        <v>130</v>
      </c>
      <c r="D456" s="31" t="s">
        <v>737</v>
      </c>
      <c r="E456" s="32" t="n">
        <v>14560</v>
      </c>
      <c r="F456" s="32" t="n">
        <v>0</v>
      </c>
      <c r="G456" s="32" t="n">
        <v>300</v>
      </c>
      <c r="H456" s="33" t="n">
        <v>1</v>
      </c>
      <c r="I456" s="34" t="n">
        <f aca="false">E456*H456+N(F456)+N(G456)</f>
        <v>14860</v>
      </c>
      <c r="J456" s="32" t="n">
        <f aca="false">ROUND(IFERROR(ROUND(IF(OR(ISNUMBER(SEARCH("week",C456)),ISNUMBER(SEARCH("minggu",C456))),IFERROR(_xlfn.NUMBERVALUE(SUBSTITUTE(LEFT(TRIM(C456),FIND(" ",TRIM(C456)&amp;" ")-1),",","."),"."),LEFT(SUBSTITUTE(LEFT(TRIM(C456),FIND(" ",TRIM(C456)&amp;" ")-1),",","."),FIND("/",SUBSTITUTE(LEFT(TRIM(C456),FIND(" ",TRIM(C456)&amp;" ")-1),",","."))-1)/MID(SUBSTITUTE(LEFT(TRIM(C456),FIND(" ",TRIM(C456)&amp;" ")-1),",","."),FIND("/",SUBSTITUTE(LEFT(TRIM(C456),FIND(" ",TRIM(C456)&amp;" ")-1),",","."))+1,9))*12/52,IF(ISNUMBER(SEARCH("month",C456)),IFERROR(_xlfn.NUMBERVALUE(SUBSTITUTE(LEFT(TRIM(C456),FIND(" ",TRIM(C456)&amp;" ")-1),",","."),"."),LEFT(SUBSTITUTE(LEFT(TRIM(C456),FIND(" ",TRIM(C456)&amp;" ")-1),",","."),FIND("/",SUBSTITUTE(LEFT(TRIM(C456),FIND(" ",TRIM(C456)&amp;" ")-1),",","."))-1)/MID(SUBSTITUTE(LEFT(TRIM(C456),FIND(" ",TRIM(C456)&amp;" ")-1),",","."),FIND("/",SUBSTITUTE(LEFT(TRIM(C456),FIND(" ",TRIM(C456)&amp;" ")-1),",","."))+1,9)),IF(ISNUMBER(SEARCH("yea",C456)),IFERROR(_xlfn.NUMBERVALUE(SUBSTITUTE(LEFT(TRIM(C456),FIND(" ",TRIM(C456)&amp;" ")-1),",","."),"."),LEFT(SUBSTITUTE(LEFT(TRIM(C456),FIND(" ",TRIM(C456)&amp;" ")-1),",","."),FIND("/",SUBSTITUTE(LEFT(TRIM(C456),FIND(" ",TRIM(C456)&amp;" ")-1),",","."))-1)/MID(SUBSTITUTE(LEFT(TRIM(C456),FIND(" ",TRIM(C456)&amp;" ")-1),",","."),FIND("/",SUBSTITUTE(LEFT(TRIM(C456),FIND(" ",TRIM(C456)&amp;" ")-1),",","."))+1,9))*12,NA()))),0),12)*'Aturan &amp; Tarif'!$B$4,2)</f>
        <v>681.36</v>
      </c>
      <c r="K456" s="32" t="n">
        <f aca="false">'Aturan &amp; Tarif'!$B$5</f>
        <v>2050</v>
      </c>
      <c r="L456" s="35" t="n">
        <f aca="false">I456+J456+K456</f>
        <v>17591.36</v>
      </c>
      <c r="M456" s="37" t="s">
        <v>738</v>
      </c>
    </row>
    <row r="457" customFormat="false" ht="25.5" hidden="false" customHeight="true" outlineLevel="0" collapsed="false">
      <c r="A457" s="29"/>
      <c r="B457" s="30" t="s">
        <v>1915</v>
      </c>
      <c r="C457" s="31" t="s">
        <v>113</v>
      </c>
      <c r="D457" s="31" t="s">
        <v>737</v>
      </c>
      <c r="E457" s="32" t="n">
        <v>14560</v>
      </c>
      <c r="F457" s="32" t="n">
        <v>0</v>
      </c>
      <c r="G457" s="32" t="n">
        <v>300</v>
      </c>
      <c r="H457" s="33" t="n">
        <v>1</v>
      </c>
      <c r="I457" s="34" t="n">
        <f aca="false">E457*H457+N(F457)+N(G457)</f>
        <v>14860</v>
      </c>
      <c r="J457" s="32" t="n">
        <f aca="false">ROUND(IFERROR(ROUND(IF(OR(ISNUMBER(SEARCH("week",C457)),ISNUMBER(SEARCH("minggu",C457))),IFERROR(_xlfn.NUMBERVALUE(SUBSTITUTE(LEFT(TRIM(C457),FIND(" ",TRIM(C457)&amp;" ")-1),",","."),"."),LEFT(SUBSTITUTE(LEFT(TRIM(C457),FIND(" ",TRIM(C457)&amp;" ")-1),",","."),FIND("/",SUBSTITUTE(LEFT(TRIM(C457),FIND(" ",TRIM(C457)&amp;" ")-1),",","."))-1)/MID(SUBSTITUTE(LEFT(TRIM(C457),FIND(" ",TRIM(C457)&amp;" ")-1),",","."),FIND("/",SUBSTITUTE(LEFT(TRIM(C457),FIND(" ",TRIM(C457)&amp;" ")-1),",","."))+1,9))*12/52,IF(ISNUMBER(SEARCH("month",C457)),IFERROR(_xlfn.NUMBERVALUE(SUBSTITUTE(LEFT(TRIM(C457),FIND(" ",TRIM(C457)&amp;" ")-1),",","."),"."),LEFT(SUBSTITUTE(LEFT(TRIM(C457),FIND(" ",TRIM(C457)&amp;" ")-1),",","."),FIND("/",SUBSTITUTE(LEFT(TRIM(C457),FIND(" ",TRIM(C457)&amp;" ")-1),",","."))-1)/MID(SUBSTITUTE(LEFT(TRIM(C457),FIND(" ",TRIM(C457)&amp;" ")-1),",","."),FIND("/",SUBSTITUTE(LEFT(TRIM(C457),FIND(" ",TRIM(C457)&amp;" ")-1),",","."))+1,9)),IF(ISNUMBER(SEARCH("yea",C457)),IFERROR(_xlfn.NUMBERVALUE(SUBSTITUTE(LEFT(TRIM(C457),FIND(" ",TRIM(C457)&amp;" ")-1),",","."),"."),LEFT(SUBSTITUTE(LEFT(TRIM(C457),FIND(" ",TRIM(C457)&amp;" ")-1),",","."),FIND("/",SUBSTITUTE(LEFT(TRIM(C457),FIND(" ",TRIM(C457)&amp;" ")-1),",","."))-1)/MID(SUBSTITUTE(LEFT(TRIM(C457),FIND(" ",TRIM(C457)&amp;" ")-1),",","."),FIND("/",SUBSTITUTE(LEFT(TRIM(C457),FIND(" ",TRIM(C457)&amp;" ")-1),",","."))+1,9))*12,NA()))),0),18)*'Aturan &amp; Tarif'!$B$4,2)</f>
        <v>1022.04</v>
      </c>
      <c r="K457" s="32" t="n">
        <f aca="false">'Aturan &amp; Tarif'!$B$5</f>
        <v>2050</v>
      </c>
      <c r="L457" s="35" t="n">
        <f aca="false">I457+J457+K457</f>
        <v>17932.04</v>
      </c>
      <c r="M457" s="37" t="s">
        <v>738</v>
      </c>
    </row>
    <row r="458" customFormat="false" ht="25.5" hidden="false" customHeight="true" outlineLevel="0" collapsed="false">
      <c r="A458" s="29"/>
      <c r="B458" s="30" t="s">
        <v>2128</v>
      </c>
      <c r="C458" s="31" t="s">
        <v>107</v>
      </c>
      <c r="D458" s="31" t="s">
        <v>737</v>
      </c>
      <c r="E458" s="32" t="n">
        <v>14560</v>
      </c>
      <c r="F458" s="32" t="n">
        <v>0</v>
      </c>
      <c r="G458" s="32" t="n">
        <v>300</v>
      </c>
      <c r="H458" s="33" t="n">
        <v>1</v>
      </c>
      <c r="I458" s="34" t="n">
        <f aca="false">E458*H458+N(F458)+N(G458)</f>
        <v>14860</v>
      </c>
      <c r="J458" s="32" t="n">
        <f aca="false">ROUND(IFERROR(ROUND(IF(OR(ISNUMBER(SEARCH("week",C458)),ISNUMBER(SEARCH("minggu",C458))),IFERROR(_xlfn.NUMBERVALUE(SUBSTITUTE(LEFT(TRIM(C458),FIND(" ",TRIM(C458)&amp;" ")-1),",","."),"."),LEFT(SUBSTITUTE(LEFT(TRIM(C458),FIND(" ",TRIM(C458)&amp;" ")-1),",","."),FIND("/",SUBSTITUTE(LEFT(TRIM(C458),FIND(" ",TRIM(C458)&amp;" ")-1),",","."))-1)/MID(SUBSTITUTE(LEFT(TRIM(C458),FIND(" ",TRIM(C458)&amp;" ")-1),",","."),FIND("/",SUBSTITUTE(LEFT(TRIM(C458),FIND(" ",TRIM(C458)&amp;" ")-1),",","."))+1,9))*12/52,IF(ISNUMBER(SEARCH("month",C458)),IFERROR(_xlfn.NUMBERVALUE(SUBSTITUTE(LEFT(TRIM(C458),FIND(" ",TRIM(C458)&amp;" ")-1),",","."),"."),LEFT(SUBSTITUTE(LEFT(TRIM(C458),FIND(" ",TRIM(C458)&amp;" ")-1),",","."),FIND("/",SUBSTITUTE(LEFT(TRIM(C458),FIND(" ",TRIM(C458)&amp;" ")-1),",","."))-1)/MID(SUBSTITUTE(LEFT(TRIM(C458),FIND(" ",TRIM(C458)&amp;" ")-1),",","."),FIND("/",SUBSTITUTE(LEFT(TRIM(C458),FIND(" ",TRIM(C458)&amp;" ")-1),",","."))+1,9)),IF(ISNUMBER(SEARCH("yea",C458)),IFERROR(_xlfn.NUMBERVALUE(SUBSTITUTE(LEFT(TRIM(C458),FIND(" ",TRIM(C458)&amp;" ")-1),",","."),"."),LEFT(SUBSTITUTE(LEFT(TRIM(C458),FIND(" ",TRIM(C458)&amp;" ")-1),",","."),FIND("/",SUBSTITUTE(LEFT(TRIM(C458),FIND(" ",TRIM(C458)&amp;" ")-1),",","."))-1)/MID(SUBSTITUTE(LEFT(TRIM(C458),FIND(" ",TRIM(C458)&amp;" ")-1),",","."),FIND("/",SUBSTITUTE(LEFT(TRIM(C458),FIND(" ",TRIM(C458)&amp;" ")-1),",","."))+1,9))*12,NA()))),0),24)*'Aturan &amp; Tarif'!$B$4,2)</f>
        <v>1362.72</v>
      </c>
      <c r="K458" s="32" t="n">
        <f aca="false">'Aturan &amp; Tarif'!$B$5</f>
        <v>2050</v>
      </c>
      <c r="L458" s="35" t="n">
        <f aca="false">I458+J458+K458</f>
        <v>18272.72</v>
      </c>
      <c r="M458" s="37" t="s">
        <v>738</v>
      </c>
    </row>
    <row r="459" customFormat="false" ht="60" hidden="false" customHeight="true" outlineLevel="0" collapsed="false">
      <c r="A459" s="39" t="s">
        <v>1640</v>
      </c>
      <c r="B459" s="40" t="s">
        <v>765</v>
      </c>
      <c r="C459" s="41" t="s">
        <v>107</v>
      </c>
      <c r="D459" s="41" t="s">
        <v>108</v>
      </c>
      <c r="E459" s="42" t="n">
        <v>2969</v>
      </c>
      <c r="F459" s="42" t="n">
        <v>2000</v>
      </c>
      <c r="G459" s="42" t="n">
        <v>250</v>
      </c>
      <c r="H459" s="43" t="n">
        <v>1</v>
      </c>
      <c r="I459" s="34" t="n">
        <f aca="false">E459*H459+N(F459)+N(G459)</f>
        <v>5219</v>
      </c>
      <c r="J459" s="42" t="n">
        <f aca="false">ROUND(IFERROR(ROUND(IF(OR(ISNUMBER(SEARCH("week",C459)),ISNUMBER(SEARCH("minggu",C459))),IFERROR(_xlfn.NUMBERVALUE(SUBSTITUTE(LEFT(TRIM(C459),FIND(" ",TRIM(C459)&amp;" ")-1),",","."),"."),LEFT(SUBSTITUTE(LEFT(TRIM(C459),FIND(" ",TRIM(C459)&amp;" ")-1),",","."),FIND("/",SUBSTITUTE(LEFT(TRIM(C459),FIND(" ",TRIM(C459)&amp;" ")-1),",","."))-1)/MID(SUBSTITUTE(LEFT(TRIM(C459),FIND(" ",TRIM(C459)&amp;" ")-1),",","."),FIND("/",SUBSTITUTE(LEFT(TRIM(C459),FIND(" ",TRIM(C459)&amp;" ")-1),",","."))+1,9))*12/52,IF(ISNUMBER(SEARCH("month",C459)),IFERROR(_xlfn.NUMBERVALUE(SUBSTITUTE(LEFT(TRIM(C459),FIND(" ",TRIM(C459)&amp;" ")-1),",","."),"."),LEFT(SUBSTITUTE(LEFT(TRIM(C459),FIND(" ",TRIM(C459)&amp;" ")-1),",","."),FIND("/",SUBSTITUTE(LEFT(TRIM(C459),FIND(" ",TRIM(C459)&amp;" ")-1),",","."))-1)/MID(SUBSTITUTE(LEFT(TRIM(C459),FIND(" ",TRIM(C459)&amp;" ")-1),",","."),FIND("/",SUBSTITUTE(LEFT(TRIM(C459),FIND(" ",TRIM(C459)&amp;" ")-1),",","."))+1,9)),IF(ISNUMBER(SEARCH("yea",C459)),IFERROR(_xlfn.NUMBERVALUE(SUBSTITUTE(LEFT(TRIM(C459),FIND(" ",TRIM(C459)&amp;" ")-1),",","."),"."),LEFT(SUBSTITUTE(LEFT(TRIM(C459),FIND(" ",TRIM(C459)&amp;" ")-1),",","."),FIND("/",SUBSTITUTE(LEFT(TRIM(C459),FIND(" ",TRIM(C459)&amp;" ")-1),",","."))-1)/MID(SUBSTITUTE(LEFT(TRIM(C459),FIND(" ",TRIM(C459)&amp;" ")-1),",","."),FIND("/",SUBSTITUTE(LEFT(TRIM(C459),FIND(" ",TRIM(C459)&amp;" ")-1),",","."))+1,9))*12,NA()))),0),24)*'Aturan &amp; Tarif'!$B$4,2)</f>
        <v>1362.72</v>
      </c>
      <c r="K459" s="42" t="n">
        <f aca="false">'Aturan &amp; Tarif'!$B$5</f>
        <v>2050</v>
      </c>
      <c r="L459" s="35" t="n">
        <f aca="false">I459+J459+K459</f>
        <v>8631.72</v>
      </c>
      <c r="M459" s="44" t="s">
        <v>766</v>
      </c>
    </row>
    <row r="460" customFormat="false" ht="60" hidden="false" customHeight="true" outlineLevel="0" collapsed="false">
      <c r="A460" s="39"/>
      <c r="B460" s="40" t="s">
        <v>767</v>
      </c>
      <c r="C460" s="41" t="s">
        <v>113</v>
      </c>
      <c r="D460" s="41" t="s">
        <v>108</v>
      </c>
      <c r="E460" s="42" t="n">
        <v>3167</v>
      </c>
      <c r="F460" s="42" t="n">
        <v>1000</v>
      </c>
      <c r="G460" s="42" t="n">
        <v>250</v>
      </c>
      <c r="H460" s="43" t="n">
        <v>1</v>
      </c>
      <c r="I460" s="34" t="n">
        <f aca="false">E460*H460+N(F460)+N(G460)</f>
        <v>4417</v>
      </c>
      <c r="J460" s="42" t="n">
        <f aca="false">ROUND(IFERROR(ROUND(IF(OR(ISNUMBER(SEARCH("week",C460)),ISNUMBER(SEARCH("minggu",C460))),IFERROR(_xlfn.NUMBERVALUE(SUBSTITUTE(LEFT(TRIM(C460),FIND(" ",TRIM(C460)&amp;" ")-1),",","."),"."),LEFT(SUBSTITUTE(LEFT(TRIM(C460),FIND(" ",TRIM(C460)&amp;" ")-1),",","."),FIND("/",SUBSTITUTE(LEFT(TRIM(C460),FIND(" ",TRIM(C460)&amp;" ")-1),",","."))-1)/MID(SUBSTITUTE(LEFT(TRIM(C460),FIND(" ",TRIM(C460)&amp;" ")-1),",","."),FIND("/",SUBSTITUTE(LEFT(TRIM(C460),FIND(" ",TRIM(C460)&amp;" ")-1),",","."))+1,9))*12/52,IF(ISNUMBER(SEARCH("month",C460)),IFERROR(_xlfn.NUMBERVALUE(SUBSTITUTE(LEFT(TRIM(C460),FIND(" ",TRIM(C460)&amp;" ")-1),",","."),"."),LEFT(SUBSTITUTE(LEFT(TRIM(C460),FIND(" ",TRIM(C460)&amp;" ")-1),",","."),FIND("/",SUBSTITUTE(LEFT(TRIM(C460),FIND(" ",TRIM(C460)&amp;" ")-1),",","."))-1)/MID(SUBSTITUTE(LEFT(TRIM(C460),FIND(" ",TRIM(C460)&amp;" ")-1),",","."),FIND("/",SUBSTITUTE(LEFT(TRIM(C460),FIND(" ",TRIM(C460)&amp;" ")-1),",","."))+1,9)),IF(ISNUMBER(SEARCH("yea",C460)),IFERROR(_xlfn.NUMBERVALUE(SUBSTITUTE(LEFT(TRIM(C460),FIND(" ",TRIM(C460)&amp;" ")-1),",","."),"."),LEFT(SUBSTITUTE(LEFT(TRIM(C460),FIND(" ",TRIM(C460)&amp;" ")-1),",","."),FIND("/",SUBSTITUTE(LEFT(TRIM(C460),FIND(" ",TRIM(C460)&amp;" ")-1),",","."))-1)/MID(SUBSTITUTE(LEFT(TRIM(C460),FIND(" ",TRIM(C460)&amp;" ")-1),",","."),FIND("/",SUBSTITUTE(LEFT(TRIM(C460),FIND(" ",TRIM(C460)&amp;" ")-1),",","."))+1,9))*12,NA()))),0),18)*'Aturan &amp; Tarif'!$B$4,2)</f>
        <v>1022.04</v>
      </c>
      <c r="K460" s="42" t="n">
        <f aca="false">'Aturan &amp; Tarif'!$B$5</f>
        <v>2050</v>
      </c>
      <c r="L460" s="35" t="n">
        <f aca="false">I460+J460+K460</f>
        <v>7489.04</v>
      </c>
      <c r="M460" s="44" t="s">
        <v>768</v>
      </c>
    </row>
    <row r="461" customFormat="false" ht="37.5" hidden="false" customHeight="true" outlineLevel="0" collapsed="false">
      <c r="A461" s="39"/>
      <c r="B461" s="40" t="s">
        <v>3412</v>
      </c>
      <c r="C461" s="41" t="s">
        <v>107</v>
      </c>
      <c r="D461" s="41" t="s">
        <v>108</v>
      </c>
      <c r="E461" s="42" t="n">
        <v>2442</v>
      </c>
      <c r="F461" s="42" t="n">
        <v>1500</v>
      </c>
      <c r="G461" s="42" t="n">
        <v>250</v>
      </c>
      <c r="H461" s="43" t="n">
        <v>1</v>
      </c>
      <c r="I461" s="34" t="n">
        <f aca="false">E461*H461+N(F461)+N(G461)</f>
        <v>4192</v>
      </c>
      <c r="J461" s="42" t="n">
        <f aca="false">ROUND(IFERROR(ROUND(IF(OR(ISNUMBER(SEARCH("week",C461)),ISNUMBER(SEARCH("minggu",C461))),IFERROR(_xlfn.NUMBERVALUE(SUBSTITUTE(LEFT(TRIM(C461),FIND(" ",TRIM(C461)&amp;" ")-1),",","."),"."),LEFT(SUBSTITUTE(LEFT(TRIM(C461),FIND(" ",TRIM(C461)&amp;" ")-1),",","."),FIND("/",SUBSTITUTE(LEFT(TRIM(C461),FIND(" ",TRIM(C461)&amp;" ")-1),",","."))-1)/MID(SUBSTITUTE(LEFT(TRIM(C461),FIND(" ",TRIM(C461)&amp;" ")-1),",","."),FIND("/",SUBSTITUTE(LEFT(TRIM(C461),FIND(" ",TRIM(C461)&amp;" ")-1),",","."))+1,9))*12/52,IF(ISNUMBER(SEARCH("month",C461)),IFERROR(_xlfn.NUMBERVALUE(SUBSTITUTE(LEFT(TRIM(C461),FIND(" ",TRIM(C461)&amp;" ")-1),",","."),"."),LEFT(SUBSTITUTE(LEFT(TRIM(C461),FIND(" ",TRIM(C461)&amp;" ")-1),",","."),FIND("/",SUBSTITUTE(LEFT(TRIM(C461),FIND(" ",TRIM(C461)&amp;" ")-1),",","."))-1)/MID(SUBSTITUTE(LEFT(TRIM(C461),FIND(" ",TRIM(C461)&amp;" ")-1),",","."),FIND("/",SUBSTITUTE(LEFT(TRIM(C461),FIND(" ",TRIM(C461)&amp;" ")-1),",","."))+1,9)),IF(ISNUMBER(SEARCH("yea",C461)),IFERROR(_xlfn.NUMBERVALUE(SUBSTITUTE(LEFT(TRIM(C461),FIND(" ",TRIM(C461)&amp;" ")-1),",","."),"."),LEFT(SUBSTITUTE(LEFT(TRIM(C461),FIND(" ",TRIM(C461)&amp;" ")-1),",","."),FIND("/",SUBSTITUTE(LEFT(TRIM(C461),FIND(" ",TRIM(C461)&amp;" ")-1),",","."))-1)/MID(SUBSTITUTE(LEFT(TRIM(C461),FIND(" ",TRIM(C461)&amp;" ")-1),",","."),FIND("/",SUBSTITUTE(LEFT(TRIM(C461),FIND(" ",TRIM(C461)&amp;" ")-1),",","."))+1,9))*12,NA()))),0),24)*'Aturan &amp; Tarif'!$B$4,2)</f>
        <v>1362.72</v>
      </c>
      <c r="K461" s="42" t="n">
        <f aca="false">'Aturan &amp; Tarif'!$B$5</f>
        <v>2050</v>
      </c>
      <c r="L461" s="35" t="n">
        <f aca="false">I461+J461+K461</f>
        <v>7604.72</v>
      </c>
      <c r="M461" s="44" t="s">
        <v>3413</v>
      </c>
    </row>
    <row r="462" customFormat="false" ht="37.5" hidden="false" customHeight="true" outlineLevel="0" collapsed="false">
      <c r="A462" s="29" t="s">
        <v>1642</v>
      </c>
      <c r="B462" s="30" t="s">
        <v>983</v>
      </c>
      <c r="C462" s="31" t="s">
        <v>113</v>
      </c>
      <c r="D462" s="31" t="s">
        <v>108</v>
      </c>
      <c r="E462" s="32" t="n">
        <v>6997.5</v>
      </c>
      <c r="F462" s="32"/>
      <c r="G462" s="32" t="n">
        <v>250</v>
      </c>
      <c r="H462" s="33" t="n">
        <v>2</v>
      </c>
      <c r="I462" s="34" t="n">
        <f aca="false">E462*H462+N(F462)+N(G462)</f>
        <v>14245</v>
      </c>
      <c r="J462" s="32" t="n">
        <f aca="false">ROUND(IFERROR(ROUND(IF(OR(ISNUMBER(SEARCH("week",C462)),ISNUMBER(SEARCH("minggu",C462))),IFERROR(_xlfn.NUMBERVALUE(SUBSTITUTE(LEFT(TRIM(C462),FIND(" ",TRIM(C462)&amp;" ")-1),",","."),"."),LEFT(SUBSTITUTE(LEFT(TRIM(C462),FIND(" ",TRIM(C462)&amp;" ")-1),",","."),FIND("/",SUBSTITUTE(LEFT(TRIM(C462),FIND(" ",TRIM(C462)&amp;" ")-1),",","."))-1)/MID(SUBSTITUTE(LEFT(TRIM(C462),FIND(" ",TRIM(C462)&amp;" ")-1),",","."),FIND("/",SUBSTITUTE(LEFT(TRIM(C462),FIND(" ",TRIM(C462)&amp;" ")-1),",","."))+1,9))*12/52,IF(ISNUMBER(SEARCH("month",C462)),IFERROR(_xlfn.NUMBERVALUE(SUBSTITUTE(LEFT(TRIM(C462),FIND(" ",TRIM(C462)&amp;" ")-1),",","."),"."),LEFT(SUBSTITUTE(LEFT(TRIM(C462),FIND(" ",TRIM(C462)&amp;" ")-1),",","."),FIND("/",SUBSTITUTE(LEFT(TRIM(C462),FIND(" ",TRIM(C462)&amp;" ")-1),",","."))-1)/MID(SUBSTITUTE(LEFT(TRIM(C462),FIND(" ",TRIM(C462)&amp;" ")-1),",","."),FIND("/",SUBSTITUTE(LEFT(TRIM(C462),FIND(" ",TRIM(C462)&amp;" ")-1),",","."))+1,9)),IF(ISNUMBER(SEARCH("yea",C462)),IFERROR(_xlfn.NUMBERVALUE(SUBSTITUTE(LEFT(TRIM(C462),FIND(" ",TRIM(C462)&amp;" ")-1),",","."),"."),LEFT(SUBSTITUTE(LEFT(TRIM(C462),FIND(" ",TRIM(C462)&amp;" ")-1),",","."),FIND("/",SUBSTITUTE(LEFT(TRIM(C462),FIND(" ",TRIM(C462)&amp;" ")-1),",","."))-1)/MID(SUBSTITUTE(LEFT(TRIM(C462),FIND(" ",TRIM(C462)&amp;" ")-1),",","."),FIND("/",SUBSTITUTE(LEFT(TRIM(C462),FIND(" ",TRIM(C462)&amp;" ")-1),",","."))+1,9))*12,NA()))),0),18)*'Aturan &amp; Tarif'!$B$4,2)</f>
        <v>1022.04</v>
      </c>
      <c r="K462" s="32" t="n">
        <f aca="false">'Aturan &amp; Tarif'!$B$5</f>
        <v>2050</v>
      </c>
      <c r="L462" s="35" t="n">
        <f aca="false">I462+J462+K462</f>
        <v>17317.04</v>
      </c>
      <c r="M462" s="37" t="s">
        <v>1643</v>
      </c>
    </row>
    <row r="463" customFormat="false" ht="14.25" hidden="false" customHeight="true" outlineLevel="0" collapsed="false">
      <c r="A463" s="29"/>
      <c r="B463" s="30" t="s">
        <v>985</v>
      </c>
      <c r="C463" s="31" t="s">
        <v>344</v>
      </c>
      <c r="D463" s="31" t="s">
        <v>108</v>
      </c>
      <c r="E463" s="32" t="n">
        <v>6737</v>
      </c>
      <c r="F463" s="32"/>
      <c r="G463" s="32" t="n">
        <v>250</v>
      </c>
      <c r="H463" s="33" t="n">
        <v>2</v>
      </c>
      <c r="I463" s="34" t="n">
        <f aca="false">E463*H463+N(F463)+N(G463)</f>
        <v>13724</v>
      </c>
      <c r="J463" s="32" t="n">
        <f aca="false">ROUND(IFERROR(ROUND(IF(OR(ISNUMBER(SEARCH("week",C463)),ISNUMBER(SEARCH("minggu",C463))),IFERROR(_xlfn.NUMBERVALUE(SUBSTITUTE(LEFT(TRIM(C463),FIND(" ",TRIM(C463)&amp;" ")-1),",","."),"."),LEFT(SUBSTITUTE(LEFT(TRIM(C463),FIND(" ",TRIM(C463)&amp;" ")-1),",","."),FIND("/",SUBSTITUTE(LEFT(TRIM(C463),FIND(" ",TRIM(C463)&amp;" ")-1),",","."))-1)/MID(SUBSTITUTE(LEFT(TRIM(C463),FIND(" ",TRIM(C463)&amp;" ")-1),",","."),FIND("/",SUBSTITUTE(LEFT(TRIM(C463),FIND(" ",TRIM(C463)&amp;" ")-1),",","."))+1,9))*12/52,IF(ISNUMBER(SEARCH("month",C463)),IFERROR(_xlfn.NUMBERVALUE(SUBSTITUTE(LEFT(TRIM(C463),FIND(" ",TRIM(C463)&amp;" ")-1),",","."),"."),LEFT(SUBSTITUTE(LEFT(TRIM(C463),FIND(" ",TRIM(C463)&amp;" ")-1),",","."),FIND("/",SUBSTITUTE(LEFT(TRIM(C463),FIND(" ",TRIM(C463)&amp;" ")-1),",","."))-1)/MID(SUBSTITUTE(LEFT(TRIM(C463),FIND(" ",TRIM(C463)&amp;" ")-1),",","."),FIND("/",SUBSTITUTE(LEFT(TRIM(C463),FIND(" ",TRIM(C463)&amp;" ")-1),",","."))+1,9)),IF(ISNUMBER(SEARCH("yea",C463)),IFERROR(_xlfn.NUMBERVALUE(SUBSTITUTE(LEFT(TRIM(C463),FIND(" ",TRIM(C463)&amp;" ")-1),",","."),"."),LEFT(SUBSTITUTE(LEFT(TRIM(C463),FIND(" ",TRIM(C463)&amp;" ")-1),",","."),FIND("/",SUBSTITUTE(LEFT(TRIM(C463),FIND(" ",TRIM(C463)&amp;" ")-1),",","."))-1)/MID(SUBSTITUTE(LEFT(TRIM(C463),FIND(" ",TRIM(C463)&amp;" ")-1),",","."),FIND("/",SUBSTITUTE(LEFT(TRIM(C463),FIND(" ",TRIM(C463)&amp;" ")-1),",","."))+1,9))*12,NA()))),0),6)*'Aturan &amp; Tarif'!$B$4,2)</f>
        <v>340.68</v>
      </c>
      <c r="K463" s="32" t="n">
        <f aca="false">'Aturan &amp; Tarif'!$B$5</f>
        <v>2050</v>
      </c>
      <c r="L463" s="35" t="n">
        <f aca="false">I463+J463+K463</f>
        <v>16114.68</v>
      </c>
      <c r="M463" s="37" t="s">
        <v>1644</v>
      </c>
    </row>
    <row r="464" customFormat="false" ht="25.5" hidden="false" customHeight="true" outlineLevel="0" collapsed="false">
      <c r="A464" s="29"/>
      <c r="B464" s="30" t="s">
        <v>987</v>
      </c>
      <c r="C464" s="31" t="s">
        <v>344</v>
      </c>
      <c r="D464" s="31" t="s">
        <v>108</v>
      </c>
      <c r="E464" s="32" t="n">
        <v>7298.5</v>
      </c>
      <c r="F464" s="32"/>
      <c r="G464" s="32" t="n">
        <v>250</v>
      </c>
      <c r="H464" s="33" t="n">
        <v>2</v>
      </c>
      <c r="I464" s="34" t="n">
        <f aca="false">E464*H464+N(F464)+N(G464)</f>
        <v>14847</v>
      </c>
      <c r="J464" s="32" t="n">
        <f aca="false">ROUND(IFERROR(ROUND(IF(OR(ISNUMBER(SEARCH("week",C464)),ISNUMBER(SEARCH("minggu",C464))),IFERROR(_xlfn.NUMBERVALUE(SUBSTITUTE(LEFT(TRIM(C464),FIND(" ",TRIM(C464)&amp;" ")-1),",","."),"."),LEFT(SUBSTITUTE(LEFT(TRIM(C464),FIND(" ",TRIM(C464)&amp;" ")-1),",","."),FIND("/",SUBSTITUTE(LEFT(TRIM(C464),FIND(" ",TRIM(C464)&amp;" ")-1),",","."))-1)/MID(SUBSTITUTE(LEFT(TRIM(C464),FIND(" ",TRIM(C464)&amp;" ")-1),",","."),FIND("/",SUBSTITUTE(LEFT(TRIM(C464),FIND(" ",TRIM(C464)&amp;" ")-1),",","."))+1,9))*12/52,IF(ISNUMBER(SEARCH("month",C464)),IFERROR(_xlfn.NUMBERVALUE(SUBSTITUTE(LEFT(TRIM(C464),FIND(" ",TRIM(C464)&amp;" ")-1),",","."),"."),LEFT(SUBSTITUTE(LEFT(TRIM(C464),FIND(" ",TRIM(C464)&amp;" ")-1),",","."),FIND("/",SUBSTITUTE(LEFT(TRIM(C464),FIND(" ",TRIM(C464)&amp;" ")-1),",","."))-1)/MID(SUBSTITUTE(LEFT(TRIM(C464),FIND(" ",TRIM(C464)&amp;" ")-1),",","."),FIND("/",SUBSTITUTE(LEFT(TRIM(C464),FIND(" ",TRIM(C464)&amp;" ")-1),",","."))+1,9)),IF(ISNUMBER(SEARCH("yea",C464)),IFERROR(_xlfn.NUMBERVALUE(SUBSTITUTE(LEFT(TRIM(C464),FIND(" ",TRIM(C464)&amp;" ")-1),",","."),"."),LEFT(SUBSTITUTE(LEFT(TRIM(C464),FIND(" ",TRIM(C464)&amp;" ")-1),",","."),FIND("/",SUBSTITUTE(LEFT(TRIM(C464),FIND(" ",TRIM(C464)&amp;" ")-1),",","."))-1)/MID(SUBSTITUTE(LEFT(TRIM(C464),FIND(" ",TRIM(C464)&amp;" ")-1),",","."),FIND("/",SUBSTITUTE(LEFT(TRIM(C464),FIND(" ",TRIM(C464)&amp;" ")-1),",","."))+1,9))*12,NA()))),0),6)*'Aturan &amp; Tarif'!$B$4,2)</f>
        <v>340.68</v>
      </c>
      <c r="K464" s="32" t="n">
        <f aca="false">'Aturan &amp; Tarif'!$B$5</f>
        <v>2050</v>
      </c>
      <c r="L464" s="35" t="n">
        <f aca="false">I464+J464+K464</f>
        <v>17237.68</v>
      </c>
      <c r="M464" s="37" t="s">
        <v>1644</v>
      </c>
    </row>
    <row r="465" customFormat="false" ht="60" hidden="false" customHeight="true" outlineLevel="0" collapsed="false">
      <c r="A465" s="29"/>
      <c r="B465" s="30" t="s">
        <v>988</v>
      </c>
      <c r="C465" s="31" t="s">
        <v>138</v>
      </c>
      <c r="D465" s="31" t="s">
        <v>108</v>
      </c>
      <c r="E465" s="32" t="n">
        <v>7005.6</v>
      </c>
      <c r="F465" s="32"/>
      <c r="G465" s="32" t="n">
        <v>250</v>
      </c>
      <c r="H465" s="33" t="n">
        <v>2</v>
      </c>
      <c r="I465" s="34" t="n">
        <f aca="false">E465*H465+N(F465)+N(G465)</f>
        <v>14261.2</v>
      </c>
      <c r="J465" s="32" t="n">
        <f aca="false">ROUND(IFERROR(ROUND(IF(OR(ISNUMBER(SEARCH("week",C465)),ISNUMBER(SEARCH("minggu",C465))),IFERROR(_xlfn.NUMBERVALUE(SUBSTITUTE(LEFT(TRIM(C465),FIND(" ",TRIM(C465)&amp;" ")-1),",","."),"."),LEFT(SUBSTITUTE(LEFT(TRIM(C465),FIND(" ",TRIM(C465)&amp;" ")-1),",","."),FIND("/",SUBSTITUTE(LEFT(TRIM(C465),FIND(" ",TRIM(C465)&amp;" ")-1),",","."))-1)/MID(SUBSTITUTE(LEFT(TRIM(C465),FIND(" ",TRIM(C465)&amp;" ")-1),",","."),FIND("/",SUBSTITUTE(LEFT(TRIM(C465),FIND(" ",TRIM(C465)&amp;" ")-1),",","."))+1,9))*12/52,IF(ISNUMBER(SEARCH("month",C465)),IFERROR(_xlfn.NUMBERVALUE(SUBSTITUTE(LEFT(TRIM(C465),FIND(" ",TRIM(C465)&amp;" ")-1),",","."),"."),LEFT(SUBSTITUTE(LEFT(TRIM(C465),FIND(" ",TRIM(C465)&amp;" ")-1),",","."),FIND("/",SUBSTITUTE(LEFT(TRIM(C465),FIND(" ",TRIM(C465)&amp;" ")-1),",","."))-1)/MID(SUBSTITUTE(LEFT(TRIM(C465),FIND(" ",TRIM(C465)&amp;" ")-1),",","."),FIND("/",SUBSTITUTE(LEFT(TRIM(C465),FIND(" ",TRIM(C465)&amp;" ")-1),",","."))+1,9)),IF(ISNUMBER(SEARCH("yea",C465)),IFERROR(_xlfn.NUMBERVALUE(SUBSTITUTE(LEFT(TRIM(C465),FIND(" ",TRIM(C465)&amp;" ")-1),",","."),"."),LEFT(SUBSTITUTE(LEFT(TRIM(C465),FIND(" ",TRIM(C465)&amp;" ")-1),",","."),FIND("/",SUBSTITUTE(LEFT(TRIM(C465),FIND(" ",TRIM(C465)&amp;" ")-1),",","."))-1)/MID(SUBSTITUTE(LEFT(TRIM(C465),FIND(" ",TRIM(C465)&amp;" ")-1),",","."),FIND("/",SUBSTITUTE(LEFT(TRIM(C465),FIND(" ",TRIM(C465)&amp;" ")-1),",","."))+1,9))*12,NA()))),0),30)*'Aturan &amp; Tarif'!$B$4,2)</f>
        <v>1703.4</v>
      </c>
      <c r="K465" s="32" t="n">
        <f aca="false">'Aturan &amp; Tarif'!$B$5</f>
        <v>2050</v>
      </c>
      <c r="L465" s="35" t="n">
        <f aca="false">I465+J465+K465</f>
        <v>18014.6</v>
      </c>
      <c r="M465" s="36" t="s">
        <v>1645</v>
      </c>
    </row>
    <row r="466" customFormat="false" ht="14.25" hidden="false" customHeight="true" outlineLevel="0" collapsed="false">
      <c r="A466" s="29"/>
      <c r="B466" s="30" t="s">
        <v>990</v>
      </c>
      <c r="C466" s="31" t="s">
        <v>113</v>
      </c>
      <c r="D466" s="31" t="s">
        <v>108</v>
      </c>
      <c r="E466" s="32" t="n">
        <v>6997.5</v>
      </c>
      <c r="F466" s="32"/>
      <c r="G466" s="32" t="n">
        <v>250</v>
      </c>
      <c r="H466" s="33" t="n">
        <v>2</v>
      </c>
      <c r="I466" s="34" t="n">
        <f aca="false">E466*H466+N(F466)+N(G466)</f>
        <v>14245</v>
      </c>
      <c r="J466" s="32" t="n">
        <f aca="false">ROUND(IFERROR(ROUND(IF(OR(ISNUMBER(SEARCH("week",C466)),ISNUMBER(SEARCH("minggu",C466))),IFERROR(_xlfn.NUMBERVALUE(SUBSTITUTE(LEFT(TRIM(C466),FIND(" ",TRIM(C466)&amp;" ")-1),",","."),"."),LEFT(SUBSTITUTE(LEFT(TRIM(C466),FIND(" ",TRIM(C466)&amp;" ")-1),",","."),FIND("/",SUBSTITUTE(LEFT(TRIM(C466),FIND(" ",TRIM(C466)&amp;" ")-1),",","."))-1)/MID(SUBSTITUTE(LEFT(TRIM(C466),FIND(" ",TRIM(C466)&amp;" ")-1),",","."),FIND("/",SUBSTITUTE(LEFT(TRIM(C466),FIND(" ",TRIM(C466)&amp;" ")-1),",","."))+1,9))*12/52,IF(ISNUMBER(SEARCH("month",C466)),IFERROR(_xlfn.NUMBERVALUE(SUBSTITUTE(LEFT(TRIM(C466),FIND(" ",TRIM(C466)&amp;" ")-1),",","."),"."),LEFT(SUBSTITUTE(LEFT(TRIM(C466),FIND(" ",TRIM(C466)&amp;" ")-1),",","."),FIND("/",SUBSTITUTE(LEFT(TRIM(C466),FIND(" ",TRIM(C466)&amp;" ")-1),",","."))-1)/MID(SUBSTITUTE(LEFT(TRIM(C466),FIND(" ",TRIM(C466)&amp;" ")-1),",","."),FIND("/",SUBSTITUTE(LEFT(TRIM(C466),FIND(" ",TRIM(C466)&amp;" ")-1),",","."))+1,9)),IF(ISNUMBER(SEARCH("yea",C466)),IFERROR(_xlfn.NUMBERVALUE(SUBSTITUTE(LEFT(TRIM(C466),FIND(" ",TRIM(C466)&amp;" ")-1),",","."),"."),LEFT(SUBSTITUTE(LEFT(TRIM(C466),FIND(" ",TRIM(C466)&amp;" ")-1),",","."),FIND("/",SUBSTITUTE(LEFT(TRIM(C466),FIND(" ",TRIM(C466)&amp;" ")-1),",","."))-1)/MID(SUBSTITUTE(LEFT(TRIM(C466),FIND(" ",TRIM(C466)&amp;" ")-1),",","."),FIND("/",SUBSTITUTE(LEFT(TRIM(C466),FIND(" ",TRIM(C466)&amp;" ")-1),",","."))+1,9))*12,NA()))),0),18)*'Aturan &amp; Tarif'!$B$4,2)</f>
        <v>1022.04</v>
      </c>
      <c r="K466" s="32" t="n">
        <f aca="false">'Aturan &amp; Tarif'!$B$5</f>
        <v>2050</v>
      </c>
      <c r="L466" s="35" t="n">
        <f aca="false">I466+J466+K466</f>
        <v>17317.04</v>
      </c>
      <c r="M466" s="37" t="s">
        <v>1646</v>
      </c>
    </row>
    <row r="467" customFormat="false" ht="14.25" hidden="false" customHeight="true" outlineLevel="0" collapsed="false">
      <c r="A467" s="29"/>
      <c r="B467" s="30" t="s">
        <v>992</v>
      </c>
      <c r="C467" s="31" t="s">
        <v>344</v>
      </c>
      <c r="D467" s="31" t="s">
        <v>108</v>
      </c>
      <c r="E467" s="32" t="n">
        <v>6737</v>
      </c>
      <c r="F467" s="32"/>
      <c r="G467" s="32" t="n">
        <v>250</v>
      </c>
      <c r="H467" s="33" t="n">
        <v>2</v>
      </c>
      <c r="I467" s="34" t="n">
        <f aca="false">E467*H467+N(F467)+N(G467)</f>
        <v>13724</v>
      </c>
      <c r="J467" s="32" t="n">
        <f aca="false">ROUND(IFERROR(ROUND(IF(OR(ISNUMBER(SEARCH("week",C467)),ISNUMBER(SEARCH("minggu",C467))),IFERROR(_xlfn.NUMBERVALUE(SUBSTITUTE(LEFT(TRIM(C467),FIND(" ",TRIM(C467)&amp;" ")-1),",","."),"."),LEFT(SUBSTITUTE(LEFT(TRIM(C467),FIND(" ",TRIM(C467)&amp;" ")-1),",","."),FIND("/",SUBSTITUTE(LEFT(TRIM(C467),FIND(" ",TRIM(C467)&amp;" ")-1),",","."))-1)/MID(SUBSTITUTE(LEFT(TRIM(C467),FIND(" ",TRIM(C467)&amp;" ")-1),",","."),FIND("/",SUBSTITUTE(LEFT(TRIM(C467),FIND(" ",TRIM(C467)&amp;" ")-1),",","."))+1,9))*12/52,IF(ISNUMBER(SEARCH("month",C467)),IFERROR(_xlfn.NUMBERVALUE(SUBSTITUTE(LEFT(TRIM(C467),FIND(" ",TRIM(C467)&amp;" ")-1),",","."),"."),LEFT(SUBSTITUTE(LEFT(TRIM(C467),FIND(" ",TRIM(C467)&amp;" ")-1),",","."),FIND("/",SUBSTITUTE(LEFT(TRIM(C467),FIND(" ",TRIM(C467)&amp;" ")-1),",","."))-1)/MID(SUBSTITUTE(LEFT(TRIM(C467),FIND(" ",TRIM(C467)&amp;" ")-1),",","."),FIND("/",SUBSTITUTE(LEFT(TRIM(C467),FIND(" ",TRIM(C467)&amp;" ")-1),",","."))+1,9)),IF(ISNUMBER(SEARCH("yea",C467)),IFERROR(_xlfn.NUMBERVALUE(SUBSTITUTE(LEFT(TRIM(C467),FIND(" ",TRIM(C467)&amp;" ")-1),",","."),"."),LEFT(SUBSTITUTE(LEFT(TRIM(C467),FIND(" ",TRIM(C467)&amp;" ")-1),",","."),FIND("/",SUBSTITUTE(LEFT(TRIM(C467),FIND(" ",TRIM(C467)&amp;" ")-1),",","."))-1)/MID(SUBSTITUTE(LEFT(TRIM(C467),FIND(" ",TRIM(C467)&amp;" ")-1),",","."),FIND("/",SUBSTITUTE(LEFT(TRIM(C467),FIND(" ",TRIM(C467)&amp;" ")-1),",","."))+1,9))*12,NA()))),0),6)*'Aturan &amp; Tarif'!$B$4,2)</f>
        <v>340.68</v>
      </c>
      <c r="K467" s="32" t="n">
        <f aca="false">'Aturan &amp; Tarif'!$B$5</f>
        <v>2050</v>
      </c>
      <c r="L467" s="35" t="n">
        <f aca="false">I467+J467+K467</f>
        <v>16114.68</v>
      </c>
      <c r="M467" s="37" t="s">
        <v>1644</v>
      </c>
    </row>
    <row r="468" customFormat="false" ht="25.5" hidden="false" customHeight="true" outlineLevel="0" collapsed="false">
      <c r="A468" s="29"/>
      <c r="B468" s="30" t="s">
        <v>987</v>
      </c>
      <c r="C468" s="31" t="s">
        <v>344</v>
      </c>
      <c r="D468" s="31" t="s">
        <v>108</v>
      </c>
      <c r="E468" s="32" t="n">
        <v>7298.5</v>
      </c>
      <c r="F468" s="32"/>
      <c r="G468" s="32" t="n">
        <v>250</v>
      </c>
      <c r="H468" s="33" t="n">
        <v>2</v>
      </c>
      <c r="I468" s="34" t="n">
        <f aca="false">E468*H468+N(F468)+N(G468)</f>
        <v>14847</v>
      </c>
      <c r="J468" s="32" t="n">
        <f aca="false">ROUND(IFERROR(ROUND(IF(OR(ISNUMBER(SEARCH("week",C468)),ISNUMBER(SEARCH("minggu",C468))),IFERROR(_xlfn.NUMBERVALUE(SUBSTITUTE(LEFT(TRIM(C468),FIND(" ",TRIM(C468)&amp;" ")-1),",","."),"."),LEFT(SUBSTITUTE(LEFT(TRIM(C468),FIND(" ",TRIM(C468)&amp;" ")-1),",","."),FIND("/",SUBSTITUTE(LEFT(TRIM(C468),FIND(" ",TRIM(C468)&amp;" ")-1),",","."))-1)/MID(SUBSTITUTE(LEFT(TRIM(C468),FIND(" ",TRIM(C468)&amp;" ")-1),",","."),FIND("/",SUBSTITUTE(LEFT(TRIM(C468),FIND(" ",TRIM(C468)&amp;" ")-1),",","."))+1,9))*12/52,IF(ISNUMBER(SEARCH("month",C468)),IFERROR(_xlfn.NUMBERVALUE(SUBSTITUTE(LEFT(TRIM(C468),FIND(" ",TRIM(C468)&amp;" ")-1),",","."),"."),LEFT(SUBSTITUTE(LEFT(TRIM(C468),FIND(" ",TRIM(C468)&amp;" ")-1),",","."),FIND("/",SUBSTITUTE(LEFT(TRIM(C468),FIND(" ",TRIM(C468)&amp;" ")-1),",","."))-1)/MID(SUBSTITUTE(LEFT(TRIM(C468),FIND(" ",TRIM(C468)&amp;" ")-1),",","."),FIND("/",SUBSTITUTE(LEFT(TRIM(C468),FIND(" ",TRIM(C468)&amp;" ")-1),",","."))+1,9)),IF(ISNUMBER(SEARCH("yea",C468)),IFERROR(_xlfn.NUMBERVALUE(SUBSTITUTE(LEFT(TRIM(C468),FIND(" ",TRIM(C468)&amp;" ")-1),",","."),"."),LEFT(SUBSTITUTE(LEFT(TRIM(C468),FIND(" ",TRIM(C468)&amp;" ")-1),",","."),FIND("/",SUBSTITUTE(LEFT(TRIM(C468),FIND(" ",TRIM(C468)&amp;" ")-1),",","."))-1)/MID(SUBSTITUTE(LEFT(TRIM(C468),FIND(" ",TRIM(C468)&amp;" ")-1),",","."),FIND("/",SUBSTITUTE(LEFT(TRIM(C468),FIND(" ",TRIM(C468)&amp;" ")-1),",","."))+1,9))*12,NA()))),0),6)*'Aturan &amp; Tarif'!$B$4,2)</f>
        <v>340.68</v>
      </c>
      <c r="K468" s="32" t="n">
        <f aca="false">'Aturan &amp; Tarif'!$B$5</f>
        <v>2050</v>
      </c>
      <c r="L468" s="35" t="n">
        <f aca="false">I468+J468+K468</f>
        <v>17237.68</v>
      </c>
      <c r="M468" s="37" t="s">
        <v>1644</v>
      </c>
    </row>
    <row r="469" customFormat="false" ht="60" hidden="false" customHeight="true" outlineLevel="0" collapsed="false">
      <c r="A469" s="29"/>
      <c r="B469" s="30" t="s">
        <v>993</v>
      </c>
      <c r="C469" s="31" t="s">
        <v>138</v>
      </c>
      <c r="D469" s="31" t="s">
        <v>108</v>
      </c>
      <c r="E469" s="32" t="n">
        <v>7005.6</v>
      </c>
      <c r="F469" s="32"/>
      <c r="G469" s="32" t="n">
        <v>250</v>
      </c>
      <c r="H469" s="33" t="n">
        <v>2</v>
      </c>
      <c r="I469" s="34" t="n">
        <f aca="false">E469*H469+N(F469)+N(G469)</f>
        <v>14261.2</v>
      </c>
      <c r="J469" s="32" t="n">
        <f aca="false">ROUND(IFERROR(ROUND(IF(OR(ISNUMBER(SEARCH("week",C469)),ISNUMBER(SEARCH("minggu",C469))),IFERROR(_xlfn.NUMBERVALUE(SUBSTITUTE(LEFT(TRIM(C469),FIND(" ",TRIM(C469)&amp;" ")-1),",","."),"."),LEFT(SUBSTITUTE(LEFT(TRIM(C469),FIND(" ",TRIM(C469)&amp;" ")-1),",","."),FIND("/",SUBSTITUTE(LEFT(TRIM(C469),FIND(" ",TRIM(C469)&amp;" ")-1),",","."))-1)/MID(SUBSTITUTE(LEFT(TRIM(C469),FIND(" ",TRIM(C469)&amp;" ")-1),",","."),FIND("/",SUBSTITUTE(LEFT(TRIM(C469),FIND(" ",TRIM(C469)&amp;" ")-1),",","."))+1,9))*12/52,IF(ISNUMBER(SEARCH("month",C469)),IFERROR(_xlfn.NUMBERVALUE(SUBSTITUTE(LEFT(TRIM(C469),FIND(" ",TRIM(C469)&amp;" ")-1),",","."),"."),LEFT(SUBSTITUTE(LEFT(TRIM(C469),FIND(" ",TRIM(C469)&amp;" ")-1),",","."),FIND("/",SUBSTITUTE(LEFT(TRIM(C469),FIND(" ",TRIM(C469)&amp;" ")-1),",","."))-1)/MID(SUBSTITUTE(LEFT(TRIM(C469),FIND(" ",TRIM(C469)&amp;" ")-1),",","."),FIND("/",SUBSTITUTE(LEFT(TRIM(C469),FIND(" ",TRIM(C469)&amp;" ")-1),",","."))+1,9)),IF(ISNUMBER(SEARCH("yea",C469)),IFERROR(_xlfn.NUMBERVALUE(SUBSTITUTE(LEFT(TRIM(C469),FIND(" ",TRIM(C469)&amp;" ")-1),",","."),"."),LEFT(SUBSTITUTE(LEFT(TRIM(C469),FIND(" ",TRIM(C469)&amp;" ")-1),",","."),FIND("/",SUBSTITUTE(LEFT(TRIM(C469),FIND(" ",TRIM(C469)&amp;" ")-1),",","."))-1)/MID(SUBSTITUTE(LEFT(TRIM(C469),FIND(" ",TRIM(C469)&amp;" ")-1),",","."),FIND("/",SUBSTITUTE(LEFT(TRIM(C469),FIND(" ",TRIM(C469)&amp;" ")-1),",","."))+1,9))*12,NA()))),0),30)*'Aturan &amp; Tarif'!$B$4,2)</f>
        <v>1703.4</v>
      </c>
      <c r="K469" s="32" t="n">
        <f aca="false">'Aturan &amp; Tarif'!$B$5</f>
        <v>2050</v>
      </c>
      <c r="L469" s="35" t="n">
        <f aca="false">I469+J469+K469</f>
        <v>18014.6</v>
      </c>
      <c r="M469" s="36" t="s">
        <v>1645</v>
      </c>
    </row>
    <row r="470" customFormat="false" ht="25.5" hidden="false" customHeight="true" outlineLevel="0" collapsed="false">
      <c r="A470" s="29"/>
      <c r="B470" s="30" t="s">
        <v>994</v>
      </c>
      <c r="C470" s="31" t="s">
        <v>127</v>
      </c>
      <c r="D470" s="31" t="s">
        <v>108</v>
      </c>
      <c r="E470" s="32" t="n">
        <v>5688.58</v>
      </c>
      <c r="F470" s="32"/>
      <c r="G470" s="32" t="n">
        <v>250</v>
      </c>
      <c r="H470" s="33" t="n">
        <v>2</v>
      </c>
      <c r="I470" s="34" t="n">
        <f aca="false">E470*H470+N(F470)+N(G470)</f>
        <v>11627.16</v>
      </c>
      <c r="J470" s="32" t="n">
        <f aca="false">ROUND(IFERROR(ROUND(IF(OR(ISNUMBER(SEARCH("week",C470)),ISNUMBER(SEARCH("minggu",C470))),IFERROR(_xlfn.NUMBERVALUE(SUBSTITUTE(LEFT(TRIM(C470),FIND(" ",TRIM(C470)&amp;" ")-1),",","."),"."),LEFT(SUBSTITUTE(LEFT(TRIM(C470),FIND(" ",TRIM(C470)&amp;" ")-1),",","."),FIND("/",SUBSTITUTE(LEFT(TRIM(C470),FIND(" ",TRIM(C470)&amp;" ")-1),",","."))-1)/MID(SUBSTITUTE(LEFT(TRIM(C470),FIND(" ",TRIM(C470)&amp;" ")-1),",","."),FIND("/",SUBSTITUTE(LEFT(TRIM(C470),FIND(" ",TRIM(C470)&amp;" ")-1),",","."))+1,9))*12/52,IF(ISNUMBER(SEARCH("month",C470)),IFERROR(_xlfn.NUMBERVALUE(SUBSTITUTE(LEFT(TRIM(C470),FIND(" ",TRIM(C470)&amp;" ")-1),",","."),"."),LEFT(SUBSTITUTE(LEFT(TRIM(C470),FIND(" ",TRIM(C470)&amp;" ")-1),",","."),FIND("/",SUBSTITUTE(LEFT(TRIM(C470),FIND(" ",TRIM(C470)&amp;" ")-1),",","."))-1)/MID(SUBSTITUTE(LEFT(TRIM(C470),FIND(" ",TRIM(C470)&amp;" ")-1),",","."),FIND("/",SUBSTITUTE(LEFT(TRIM(C470),FIND(" ",TRIM(C470)&amp;" ")-1),",","."))+1,9)),IF(ISNUMBER(SEARCH("yea",C470)),IFERROR(_xlfn.NUMBERVALUE(SUBSTITUTE(LEFT(TRIM(C470),FIND(" ",TRIM(C470)&amp;" ")-1),",","."),"."),LEFT(SUBSTITUTE(LEFT(TRIM(C470),FIND(" ",TRIM(C470)&amp;" ")-1),",","."),FIND("/",SUBSTITUTE(LEFT(TRIM(C470),FIND(" ",TRIM(C470)&amp;" ")-1),",","."))-1)/MID(SUBSTITUTE(LEFT(TRIM(C470),FIND(" ",TRIM(C470)&amp;" ")-1),",","."),FIND("/",SUBSTITUTE(LEFT(TRIM(C470),FIND(" ",TRIM(C470)&amp;" ")-1),",","."))+1,9))*12,NA()))),0),36)*'Aturan &amp; Tarif'!$B$4,2)</f>
        <v>2044.08</v>
      </c>
      <c r="K470" s="32" t="n">
        <f aca="false">'Aturan &amp; Tarif'!$B$5</f>
        <v>2050</v>
      </c>
      <c r="L470" s="35" t="n">
        <f aca="false">I470+J470+K470</f>
        <v>15721.24</v>
      </c>
      <c r="M470" s="37" t="s">
        <v>1647</v>
      </c>
    </row>
    <row r="471" customFormat="false" ht="25.5" hidden="false" customHeight="true" outlineLevel="0" collapsed="false">
      <c r="A471" s="29"/>
      <c r="B471" s="30" t="s">
        <v>996</v>
      </c>
      <c r="C471" s="31" t="s">
        <v>127</v>
      </c>
      <c r="D471" s="31" t="s">
        <v>108</v>
      </c>
      <c r="E471" s="32" t="n">
        <v>5821.66</v>
      </c>
      <c r="F471" s="32"/>
      <c r="G471" s="32" t="n">
        <v>250</v>
      </c>
      <c r="H471" s="33" t="n">
        <v>2</v>
      </c>
      <c r="I471" s="34" t="n">
        <f aca="false">E471*H471+N(F471)+N(G471)</f>
        <v>11893.32</v>
      </c>
      <c r="J471" s="32" t="n">
        <f aca="false">ROUND(IFERROR(ROUND(IF(OR(ISNUMBER(SEARCH("week",C471)),ISNUMBER(SEARCH("minggu",C471))),IFERROR(_xlfn.NUMBERVALUE(SUBSTITUTE(LEFT(TRIM(C471),FIND(" ",TRIM(C471)&amp;" ")-1),",","."),"."),LEFT(SUBSTITUTE(LEFT(TRIM(C471),FIND(" ",TRIM(C471)&amp;" ")-1),",","."),FIND("/",SUBSTITUTE(LEFT(TRIM(C471),FIND(" ",TRIM(C471)&amp;" ")-1),",","."))-1)/MID(SUBSTITUTE(LEFT(TRIM(C471),FIND(" ",TRIM(C471)&amp;" ")-1),",","."),FIND("/",SUBSTITUTE(LEFT(TRIM(C471),FIND(" ",TRIM(C471)&amp;" ")-1),",","."))+1,9))*12/52,IF(ISNUMBER(SEARCH("month",C471)),IFERROR(_xlfn.NUMBERVALUE(SUBSTITUTE(LEFT(TRIM(C471),FIND(" ",TRIM(C471)&amp;" ")-1),",","."),"."),LEFT(SUBSTITUTE(LEFT(TRIM(C471),FIND(" ",TRIM(C471)&amp;" ")-1),",","."),FIND("/",SUBSTITUTE(LEFT(TRIM(C471),FIND(" ",TRIM(C471)&amp;" ")-1),",","."))-1)/MID(SUBSTITUTE(LEFT(TRIM(C471),FIND(" ",TRIM(C471)&amp;" ")-1),",","."),FIND("/",SUBSTITUTE(LEFT(TRIM(C471),FIND(" ",TRIM(C471)&amp;" ")-1),",","."))+1,9)),IF(ISNUMBER(SEARCH("yea",C471)),IFERROR(_xlfn.NUMBERVALUE(SUBSTITUTE(LEFT(TRIM(C471),FIND(" ",TRIM(C471)&amp;" ")-1),",","."),"."),LEFT(SUBSTITUTE(LEFT(TRIM(C471),FIND(" ",TRIM(C471)&amp;" ")-1),",","."),FIND("/",SUBSTITUTE(LEFT(TRIM(C471),FIND(" ",TRIM(C471)&amp;" ")-1),",","."))-1)/MID(SUBSTITUTE(LEFT(TRIM(C471),FIND(" ",TRIM(C471)&amp;" ")-1),",","."),FIND("/",SUBSTITUTE(LEFT(TRIM(C471),FIND(" ",TRIM(C471)&amp;" ")-1),",","."))+1,9))*12,NA()))),0),36)*'Aturan &amp; Tarif'!$B$4,2)</f>
        <v>2044.08</v>
      </c>
      <c r="K471" s="32" t="n">
        <f aca="false">'Aturan &amp; Tarif'!$B$5</f>
        <v>2050</v>
      </c>
      <c r="L471" s="35" t="n">
        <f aca="false">I471+J471+K471</f>
        <v>15987.4</v>
      </c>
      <c r="M471" s="37" t="s">
        <v>1644</v>
      </c>
    </row>
    <row r="472" customFormat="false" ht="14.25" hidden="false" customHeight="true" outlineLevel="0" collapsed="false">
      <c r="A472" s="29"/>
      <c r="B472" s="30" t="s">
        <v>997</v>
      </c>
      <c r="C472" s="31" t="s">
        <v>107</v>
      </c>
      <c r="D472" s="31" t="s">
        <v>108</v>
      </c>
      <c r="E472" s="32" t="n">
        <v>6818.75</v>
      </c>
      <c r="F472" s="32"/>
      <c r="G472" s="32" t="n">
        <v>250</v>
      </c>
      <c r="H472" s="33" t="n">
        <v>2</v>
      </c>
      <c r="I472" s="34" t="n">
        <f aca="false">E472*H472+N(F472)+N(G472)</f>
        <v>13887.5</v>
      </c>
      <c r="J472" s="32" t="n">
        <f aca="false">ROUND(IFERROR(ROUND(IF(OR(ISNUMBER(SEARCH("week",C472)),ISNUMBER(SEARCH("minggu",C472))),IFERROR(_xlfn.NUMBERVALUE(SUBSTITUTE(LEFT(TRIM(C472),FIND(" ",TRIM(C472)&amp;" ")-1),",","."),"."),LEFT(SUBSTITUTE(LEFT(TRIM(C472),FIND(" ",TRIM(C472)&amp;" ")-1),",","."),FIND("/",SUBSTITUTE(LEFT(TRIM(C472),FIND(" ",TRIM(C472)&amp;" ")-1),",","."))-1)/MID(SUBSTITUTE(LEFT(TRIM(C472),FIND(" ",TRIM(C472)&amp;" ")-1),",","."),FIND("/",SUBSTITUTE(LEFT(TRIM(C472),FIND(" ",TRIM(C472)&amp;" ")-1),",","."))+1,9))*12/52,IF(ISNUMBER(SEARCH("month",C472)),IFERROR(_xlfn.NUMBERVALUE(SUBSTITUTE(LEFT(TRIM(C472),FIND(" ",TRIM(C472)&amp;" ")-1),",","."),"."),LEFT(SUBSTITUTE(LEFT(TRIM(C472),FIND(" ",TRIM(C472)&amp;" ")-1),",","."),FIND("/",SUBSTITUTE(LEFT(TRIM(C472),FIND(" ",TRIM(C472)&amp;" ")-1),",","."))-1)/MID(SUBSTITUTE(LEFT(TRIM(C472),FIND(" ",TRIM(C472)&amp;" ")-1),",","."),FIND("/",SUBSTITUTE(LEFT(TRIM(C472),FIND(" ",TRIM(C472)&amp;" ")-1),",","."))+1,9)),IF(ISNUMBER(SEARCH("yea",C472)),IFERROR(_xlfn.NUMBERVALUE(SUBSTITUTE(LEFT(TRIM(C472),FIND(" ",TRIM(C472)&amp;" ")-1),",","."),"."),LEFT(SUBSTITUTE(LEFT(TRIM(C472),FIND(" ",TRIM(C472)&amp;" ")-1),",","."),FIND("/",SUBSTITUTE(LEFT(TRIM(C472),FIND(" ",TRIM(C472)&amp;" ")-1),",","."))-1)/MID(SUBSTITUTE(LEFT(TRIM(C472),FIND(" ",TRIM(C472)&amp;" ")-1),",","."),FIND("/",SUBSTITUTE(LEFT(TRIM(C472),FIND(" ",TRIM(C472)&amp;" ")-1),",","."))+1,9))*12,NA()))),0),24)*'Aturan &amp; Tarif'!$B$4,2)</f>
        <v>1362.72</v>
      </c>
      <c r="K472" s="32" t="n">
        <f aca="false">'Aturan &amp; Tarif'!$B$5</f>
        <v>2050</v>
      </c>
      <c r="L472" s="35" t="n">
        <f aca="false">I472+J472+K472</f>
        <v>17300.22</v>
      </c>
      <c r="M472" s="37" t="s">
        <v>1648</v>
      </c>
    </row>
    <row r="473" customFormat="false" ht="14.25" hidden="false" customHeight="true" outlineLevel="0" collapsed="false">
      <c r="A473" s="29"/>
      <c r="B473" s="30" t="s">
        <v>999</v>
      </c>
      <c r="C473" s="31" t="s">
        <v>107</v>
      </c>
      <c r="D473" s="31" t="s">
        <v>108</v>
      </c>
      <c r="E473" s="32" t="n">
        <v>6760</v>
      </c>
      <c r="F473" s="32"/>
      <c r="G473" s="32" t="n">
        <v>250</v>
      </c>
      <c r="H473" s="33" t="n">
        <v>2</v>
      </c>
      <c r="I473" s="34" t="n">
        <f aca="false">E473*H473+N(F473)+N(G473)</f>
        <v>13770</v>
      </c>
      <c r="J473" s="32" t="n">
        <f aca="false">ROUND(IFERROR(ROUND(IF(OR(ISNUMBER(SEARCH("week",C473)),ISNUMBER(SEARCH("minggu",C473))),IFERROR(_xlfn.NUMBERVALUE(SUBSTITUTE(LEFT(TRIM(C473),FIND(" ",TRIM(C473)&amp;" ")-1),",","."),"."),LEFT(SUBSTITUTE(LEFT(TRIM(C473),FIND(" ",TRIM(C473)&amp;" ")-1),",","."),FIND("/",SUBSTITUTE(LEFT(TRIM(C473),FIND(" ",TRIM(C473)&amp;" ")-1),",","."))-1)/MID(SUBSTITUTE(LEFT(TRIM(C473),FIND(" ",TRIM(C473)&amp;" ")-1),",","."),FIND("/",SUBSTITUTE(LEFT(TRIM(C473),FIND(" ",TRIM(C473)&amp;" ")-1),",","."))+1,9))*12/52,IF(ISNUMBER(SEARCH("month",C473)),IFERROR(_xlfn.NUMBERVALUE(SUBSTITUTE(LEFT(TRIM(C473),FIND(" ",TRIM(C473)&amp;" ")-1),",","."),"."),LEFT(SUBSTITUTE(LEFT(TRIM(C473),FIND(" ",TRIM(C473)&amp;" ")-1),",","."),FIND("/",SUBSTITUTE(LEFT(TRIM(C473),FIND(" ",TRIM(C473)&amp;" ")-1),",","."))-1)/MID(SUBSTITUTE(LEFT(TRIM(C473),FIND(" ",TRIM(C473)&amp;" ")-1),",","."),FIND("/",SUBSTITUTE(LEFT(TRIM(C473),FIND(" ",TRIM(C473)&amp;" ")-1),",","."))+1,9)),IF(ISNUMBER(SEARCH("yea",C473)),IFERROR(_xlfn.NUMBERVALUE(SUBSTITUTE(LEFT(TRIM(C473),FIND(" ",TRIM(C473)&amp;" ")-1),",","."),"."),LEFT(SUBSTITUTE(LEFT(TRIM(C473),FIND(" ",TRIM(C473)&amp;" ")-1),",","."),FIND("/",SUBSTITUTE(LEFT(TRIM(C473),FIND(" ",TRIM(C473)&amp;" ")-1),",","."))-1)/MID(SUBSTITUTE(LEFT(TRIM(C473),FIND(" ",TRIM(C473)&amp;" ")-1),",","."),FIND("/",SUBSTITUTE(LEFT(TRIM(C473),FIND(" ",TRIM(C473)&amp;" ")-1),",","."))+1,9))*12,NA()))),0),24)*'Aturan &amp; Tarif'!$B$4,2)</f>
        <v>1362.72</v>
      </c>
      <c r="K473" s="32" t="n">
        <f aca="false">'Aturan &amp; Tarif'!$B$5</f>
        <v>2050</v>
      </c>
      <c r="L473" s="35" t="n">
        <f aca="false">I473+J473+K473</f>
        <v>17182.72</v>
      </c>
      <c r="M473" s="37" t="s">
        <v>1649</v>
      </c>
    </row>
    <row r="474" customFormat="false" ht="37.5" hidden="false" customHeight="true" outlineLevel="0" collapsed="false">
      <c r="A474" s="29" t="s">
        <v>1650</v>
      </c>
      <c r="B474" s="30" t="s">
        <v>1651</v>
      </c>
      <c r="C474" s="31" t="s">
        <v>107</v>
      </c>
      <c r="D474" s="31" t="s">
        <v>108</v>
      </c>
      <c r="E474" s="32" t="n">
        <v>3650</v>
      </c>
      <c r="F474" s="32" t="n">
        <v>2500</v>
      </c>
      <c r="G474" s="32" t="n">
        <v>300</v>
      </c>
      <c r="H474" s="33" t="n">
        <v>1</v>
      </c>
      <c r="I474" s="34" t="n">
        <f aca="false">E474*H474+N(F474)+N(G474)</f>
        <v>6450</v>
      </c>
      <c r="J474" s="32" t="n">
        <f aca="false">ROUND(IFERROR(ROUND(IF(OR(ISNUMBER(SEARCH("week",C474)),ISNUMBER(SEARCH("minggu",C474))),IFERROR(_xlfn.NUMBERVALUE(SUBSTITUTE(LEFT(TRIM(C474),FIND(" ",TRIM(C474)&amp;" ")-1),",","."),"."),LEFT(SUBSTITUTE(LEFT(TRIM(C474),FIND(" ",TRIM(C474)&amp;" ")-1),",","."),FIND("/",SUBSTITUTE(LEFT(TRIM(C474),FIND(" ",TRIM(C474)&amp;" ")-1),",","."))-1)/MID(SUBSTITUTE(LEFT(TRIM(C474),FIND(" ",TRIM(C474)&amp;" ")-1),",","."),FIND("/",SUBSTITUTE(LEFT(TRIM(C474),FIND(" ",TRIM(C474)&amp;" ")-1),",","."))+1,9))*12/52,IF(ISNUMBER(SEARCH("month",C474)),IFERROR(_xlfn.NUMBERVALUE(SUBSTITUTE(LEFT(TRIM(C474),FIND(" ",TRIM(C474)&amp;" ")-1),",","."),"."),LEFT(SUBSTITUTE(LEFT(TRIM(C474),FIND(" ",TRIM(C474)&amp;" ")-1),",","."),FIND("/",SUBSTITUTE(LEFT(TRIM(C474),FIND(" ",TRIM(C474)&amp;" ")-1),",","."))-1)/MID(SUBSTITUTE(LEFT(TRIM(C474),FIND(" ",TRIM(C474)&amp;" ")-1),",","."),FIND("/",SUBSTITUTE(LEFT(TRIM(C474),FIND(" ",TRIM(C474)&amp;" ")-1),",","."))+1,9)),IF(ISNUMBER(SEARCH("yea",C474)),IFERROR(_xlfn.NUMBERVALUE(SUBSTITUTE(LEFT(TRIM(C474),FIND(" ",TRIM(C474)&amp;" ")-1),",","."),"."),LEFT(SUBSTITUTE(LEFT(TRIM(C474),FIND(" ",TRIM(C474)&amp;" ")-1),",","."),FIND("/",SUBSTITUTE(LEFT(TRIM(C474),FIND(" ",TRIM(C474)&amp;" ")-1),",","."))-1)/MID(SUBSTITUTE(LEFT(TRIM(C474),FIND(" ",TRIM(C474)&amp;" ")-1),",","."),FIND("/",SUBSTITUTE(LEFT(TRIM(C474),FIND(" ",TRIM(C474)&amp;" ")-1),",","."))+1,9))*12,NA()))),0),24)*'Aturan &amp; Tarif'!$B$4,2)</f>
        <v>1362.72</v>
      </c>
      <c r="K474" s="32" t="n">
        <f aca="false">'Aturan &amp; Tarif'!$B$5</f>
        <v>2050</v>
      </c>
      <c r="L474" s="35" t="n">
        <f aca="false">I474+J474+K474</f>
        <v>9862.72</v>
      </c>
      <c r="M474" s="37" t="s">
        <v>134</v>
      </c>
    </row>
    <row r="475" customFormat="false" ht="60" hidden="false" customHeight="true" outlineLevel="0" collapsed="false">
      <c r="A475" s="29"/>
      <c r="B475" s="30" t="s">
        <v>465</v>
      </c>
      <c r="C475" s="31" t="s">
        <v>107</v>
      </c>
      <c r="D475" s="31" t="s">
        <v>108</v>
      </c>
      <c r="E475" s="32" t="n">
        <v>1875</v>
      </c>
      <c r="F475" s="32" t="n">
        <v>500</v>
      </c>
      <c r="G475" s="32" t="n">
        <v>300</v>
      </c>
      <c r="H475" s="33" t="n">
        <v>1</v>
      </c>
      <c r="I475" s="34" t="n">
        <f aca="false">E475*H475+N(F475)+N(G475)</f>
        <v>2675</v>
      </c>
      <c r="J475" s="32" t="n">
        <f aca="false">ROUND(IFERROR(ROUND(IF(OR(ISNUMBER(SEARCH("week",C475)),ISNUMBER(SEARCH("minggu",C475))),IFERROR(_xlfn.NUMBERVALUE(SUBSTITUTE(LEFT(TRIM(C475),FIND(" ",TRIM(C475)&amp;" ")-1),",","."),"."),LEFT(SUBSTITUTE(LEFT(TRIM(C475),FIND(" ",TRIM(C475)&amp;" ")-1),",","."),FIND("/",SUBSTITUTE(LEFT(TRIM(C475),FIND(" ",TRIM(C475)&amp;" ")-1),",","."))-1)/MID(SUBSTITUTE(LEFT(TRIM(C475),FIND(" ",TRIM(C475)&amp;" ")-1),",","."),FIND("/",SUBSTITUTE(LEFT(TRIM(C475),FIND(" ",TRIM(C475)&amp;" ")-1),",","."))+1,9))*12/52,IF(ISNUMBER(SEARCH("month",C475)),IFERROR(_xlfn.NUMBERVALUE(SUBSTITUTE(LEFT(TRIM(C475),FIND(" ",TRIM(C475)&amp;" ")-1),",","."),"."),LEFT(SUBSTITUTE(LEFT(TRIM(C475),FIND(" ",TRIM(C475)&amp;" ")-1),",","."),FIND("/",SUBSTITUTE(LEFT(TRIM(C475),FIND(" ",TRIM(C475)&amp;" ")-1),",","."))-1)/MID(SUBSTITUTE(LEFT(TRIM(C475),FIND(" ",TRIM(C475)&amp;" ")-1),",","."),FIND("/",SUBSTITUTE(LEFT(TRIM(C475),FIND(" ",TRIM(C475)&amp;" ")-1),",","."))+1,9)),IF(ISNUMBER(SEARCH("yea",C475)),IFERROR(_xlfn.NUMBERVALUE(SUBSTITUTE(LEFT(TRIM(C475),FIND(" ",TRIM(C475)&amp;" ")-1),",","."),"."),LEFT(SUBSTITUTE(LEFT(TRIM(C475),FIND(" ",TRIM(C475)&amp;" ")-1),",","."),FIND("/",SUBSTITUTE(LEFT(TRIM(C475),FIND(" ",TRIM(C475)&amp;" ")-1),",","."))-1)/MID(SUBSTITUTE(LEFT(TRIM(C475),FIND(" ",TRIM(C475)&amp;" ")-1),",","."),FIND("/",SUBSTITUTE(LEFT(TRIM(C475),FIND(" ",TRIM(C475)&amp;" ")-1),",","."))+1,9))*12,NA()))),0),24)*'Aturan &amp; Tarif'!$B$4,2)</f>
        <v>1362.72</v>
      </c>
      <c r="K475" s="32" t="n">
        <f aca="false">'Aturan &amp; Tarif'!$B$5</f>
        <v>2050</v>
      </c>
      <c r="L475" s="35" t="n">
        <f aca="false">I475+J475+K475</f>
        <v>6087.72</v>
      </c>
      <c r="M475" s="36" t="s">
        <v>1652</v>
      </c>
    </row>
    <row r="476" customFormat="false" ht="37.5" hidden="false" customHeight="true" outlineLevel="0" collapsed="false">
      <c r="A476" s="29"/>
      <c r="B476" s="30" t="s">
        <v>470</v>
      </c>
      <c r="C476" s="31" t="s">
        <v>107</v>
      </c>
      <c r="D476" s="31" t="s">
        <v>108</v>
      </c>
      <c r="E476" s="32" t="n">
        <v>2750</v>
      </c>
      <c r="F476" s="32"/>
      <c r="G476" s="32" t="n">
        <v>300</v>
      </c>
      <c r="H476" s="33" t="n">
        <v>1</v>
      </c>
      <c r="I476" s="34" t="n">
        <f aca="false">E476*H476+N(F476)+N(G476)</f>
        <v>3050</v>
      </c>
      <c r="J476" s="32" t="n">
        <f aca="false">ROUND(IFERROR(ROUND(IF(OR(ISNUMBER(SEARCH("week",C476)),ISNUMBER(SEARCH("minggu",C476))),IFERROR(_xlfn.NUMBERVALUE(SUBSTITUTE(LEFT(TRIM(C476),FIND(" ",TRIM(C476)&amp;" ")-1),",","."),"."),LEFT(SUBSTITUTE(LEFT(TRIM(C476),FIND(" ",TRIM(C476)&amp;" ")-1),",","."),FIND("/",SUBSTITUTE(LEFT(TRIM(C476),FIND(" ",TRIM(C476)&amp;" ")-1),",","."))-1)/MID(SUBSTITUTE(LEFT(TRIM(C476),FIND(" ",TRIM(C476)&amp;" ")-1),",","."),FIND("/",SUBSTITUTE(LEFT(TRIM(C476),FIND(" ",TRIM(C476)&amp;" ")-1),",","."))+1,9))*12/52,IF(ISNUMBER(SEARCH("month",C476)),IFERROR(_xlfn.NUMBERVALUE(SUBSTITUTE(LEFT(TRIM(C476),FIND(" ",TRIM(C476)&amp;" ")-1),",","."),"."),LEFT(SUBSTITUTE(LEFT(TRIM(C476),FIND(" ",TRIM(C476)&amp;" ")-1),",","."),FIND("/",SUBSTITUTE(LEFT(TRIM(C476),FIND(" ",TRIM(C476)&amp;" ")-1),",","."))-1)/MID(SUBSTITUTE(LEFT(TRIM(C476),FIND(" ",TRIM(C476)&amp;" ")-1),",","."),FIND("/",SUBSTITUTE(LEFT(TRIM(C476),FIND(" ",TRIM(C476)&amp;" ")-1),",","."))+1,9)),IF(ISNUMBER(SEARCH("yea",C476)),IFERROR(_xlfn.NUMBERVALUE(SUBSTITUTE(LEFT(TRIM(C476),FIND(" ",TRIM(C476)&amp;" ")-1),",","."),"."),LEFT(SUBSTITUTE(LEFT(TRIM(C476),FIND(" ",TRIM(C476)&amp;" ")-1),",","."),FIND("/",SUBSTITUTE(LEFT(TRIM(C476),FIND(" ",TRIM(C476)&amp;" ")-1),",","."))-1)/MID(SUBSTITUTE(LEFT(TRIM(C476),FIND(" ",TRIM(C476)&amp;" ")-1),",","."),FIND("/",SUBSTITUTE(LEFT(TRIM(C476),FIND(" ",TRIM(C476)&amp;" ")-1),",","."))+1,9))*12,NA()))),0),24)*'Aturan &amp; Tarif'!$B$4,2)</f>
        <v>1362.72</v>
      </c>
      <c r="K476" s="32" t="n">
        <f aca="false">'Aturan &amp; Tarif'!$B$5</f>
        <v>2050</v>
      </c>
      <c r="L476" s="35" t="n">
        <f aca="false">I476+J476+K476</f>
        <v>6462.72</v>
      </c>
      <c r="M476" s="37" t="s">
        <v>1653</v>
      </c>
    </row>
    <row r="477" customFormat="false" ht="72" hidden="false" customHeight="true" outlineLevel="0" collapsed="false">
      <c r="A477" s="29"/>
      <c r="B477" s="30" t="s">
        <v>1654</v>
      </c>
      <c r="C477" s="31" t="s">
        <v>138</v>
      </c>
      <c r="D477" s="31" t="s">
        <v>108</v>
      </c>
      <c r="E477" s="32" t="n">
        <v>2300</v>
      </c>
      <c r="F477" s="32" t="n">
        <v>2250</v>
      </c>
      <c r="G477" s="32" t="n">
        <v>300</v>
      </c>
      <c r="H477" s="33" t="n">
        <v>1</v>
      </c>
      <c r="I477" s="34" t="n">
        <f aca="false">E477*H477+N(F477)+N(G477)</f>
        <v>4850</v>
      </c>
      <c r="J477" s="32" t="n">
        <f aca="false">ROUND(IFERROR(ROUND(IF(OR(ISNUMBER(SEARCH("week",C477)),ISNUMBER(SEARCH("minggu",C477))),IFERROR(_xlfn.NUMBERVALUE(SUBSTITUTE(LEFT(TRIM(C477),FIND(" ",TRIM(C477)&amp;" ")-1),",","."),"."),LEFT(SUBSTITUTE(LEFT(TRIM(C477),FIND(" ",TRIM(C477)&amp;" ")-1),",","."),FIND("/",SUBSTITUTE(LEFT(TRIM(C477),FIND(" ",TRIM(C477)&amp;" ")-1),",","."))-1)/MID(SUBSTITUTE(LEFT(TRIM(C477),FIND(" ",TRIM(C477)&amp;" ")-1),",","."),FIND("/",SUBSTITUTE(LEFT(TRIM(C477),FIND(" ",TRIM(C477)&amp;" ")-1),",","."))+1,9))*12/52,IF(ISNUMBER(SEARCH("month",C477)),IFERROR(_xlfn.NUMBERVALUE(SUBSTITUTE(LEFT(TRIM(C477),FIND(" ",TRIM(C477)&amp;" ")-1),",","."),"."),LEFT(SUBSTITUTE(LEFT(TRIM(C477),FIND(" ",TRIM(C477)&amp;" ")-1),",","."),FIND("/",SUBSTITUTE(LEFT(TRIM(C477),FIND(" ",TRIM(C477)&amp;" ")-1),",","."))-1)/MID(SUBSTITUTE(LEFT(TRIM(C477),FIND(" ",TRIM(C477)&amp;" ")-1),",","."),FIND("/",SUBSTITUTE(LEFT(TRIM(C477),FIND(" ",TRIM(C477)&amp;" ")-1),",","."))+1,9)),IF(ISNUMBER(SEARCH("yea",C477)),IFERROR(_xlfn.NUMBERVALUE(SUBSTITUTE(LEFT(TRIM(C477),FIND(" ",TRIM(C477)&amp;" ")-1),",","."),"."),LEFT(SUBSTITUTE(LEFT(TRIM(C477),FIND(" ",TRIM(C477)&amp;" ")-1),",","."),FIND("/",SUBSTITUTE(LEFT(TRIM(C477),FIND(" ",TRIM(C477)&amp;" ")-1),",","."))-1)/MID(SUBSTITUTE(LEFT(TRIM(C477),FIND(" ",TRIM(C477)&amp;" ")-1),",","."),FIND("/",SUBSTITUTE(LEFT(TRIM(C477),FIND(" ",TRIM(C477)&amp;" ")-1),",","."))+1,9))*12,NA()))),0),30)*'Aturan &amp; Tarif'!$B$4,2)</f>
        <v>1703.4</v>
      </c>
      <c r="K477" s="32" t="n">
        <f aca="false">'Aturan &amp; Tarif'!$B$5</f>
        <v>2050</v>
      </c>
      <c r="L477" s="35" t="n">
        <f aca="false">I477+J477+K477</f>
        <v>8603.4</v>
      </c>
      <c r="M477" s="36" t="s">
        <v>1655</v>
      </c>
    </row>
    <row r="478" customFormat="false" ht="25.5" hidden="false" customHeight="true" outlineLevel="0" collapsed="false">
      <c r="A478" s="29"/>
      <c r="B478" s="30" t="s">
        <v>1656</v>
      </c>
      <c r="C478" s="31" t="s">
        <v>191</v>
      </c>
      <c r="D478" s="31" t="s">
        <v>108</v>
      </c>
      <c r="E478" s="32" t="n">
        <v>3800</v>
      </c>
      <c r="F478" s="32"/>
      <c r="G478" s="32" t="n">
        <v>300</v>
      </c>
      <c r="H478" s="33" t="n">
        <v>1</v>
      </c>
      <c r="I478" s="34" t="n">
        <f aca="false">E478*H478+N(F478)+N(G478)</f>
        <v>4100</v>
      </c>
      <c r="J478" s="32" t="n">
        <f aca="false">ROUND(IFERROR(ROUND(IF(OR(ISNUMBER(SEARCH("week",C478)),ISNUMBER(SEARCH("minggu",C478))),IFERROR(_xlfn.NUMBERVALUE(SUBSTITUTE(LEFT(TRIM(C478),FIND(" ",TRIM(C478)&amp;" ")-1),",","."),"."),LEFT(SUBSTITUTE(LEFT(TRIM(C478),FIND(" ",TRIM(C478)&amp;" ")-1),",","."),FIND("/",SUBSTITUTE(LEFT(TRIM(C478),FIND(" ",TRIM(C478)&amp;" ")-1),",","."))-1)/MID(SUBSTITUTE(LEFT(TRIM(C478),FIND(" ",TRIM(C478)&amp;" ")-1),",","."),FIND("/",SUBSTITUTE(LEFT(TRIM(C478),FIND(" ",TRIM(C478)&amp;" ")-1),",","."))+1,9))*12/52,IF(ISNUMBER(SEARCH("month",C478)),IFERROR(_xlfn.NUMBERVALUE(SUBSTITUTE(LEFT(TRIM(C478),FIND(" ",TRIM(C478)&amp;" ")-1),",","."),"."),LEFT(SUBSTITUTE(LEFT(TRIM(C478),FIND(" ",TRIM(C478)&amp;" ")-1),",","."),FIND("/",SUBSTITUTE(LEFT(TRIM(C478),FIND(" ",TRIM(C478)&amp;" ")-1),",","."))-1)/MID(SUBSTITUTE(LEFT(TRIM(C478),FIND(" ",TRIM(C478)&amp;" ")-1),",","."),FIND("/",SUBSTITUTE(LEFT(TRIM(C478),FIND(" ",TRIM(C478)&amp;" ")-1),",","."))+1,9)),IF(ISNUMBER(SEARCH("yea",C478)),IFERROR(_xlfn.NUMBERVALUE(SUBSTITUTE(LEFT(TRIM(C478),FIND(" ",TRIM(C478)&amp;" ")-1),",","."),"."),LEFT(SUBSTITUTE(LEFT(TRIM(C478),FIND(" ",TRIM(C478)&amp;" ")-1),",","."),FIND("/",SUBSTITUTE(LEFT(TRIM(C478),FIND(" ",TRIM(C478)&amp;" ")-1),",","."))-1)/MID(SUBSTITUTE(LEFT(TRIM(C478),FIND(" ",TRIM(C478)&amp;" ")-1),",","."),FIND("/",SUBSTITUTE(LEFT(TRIM(C478),FIND(" ",TRIM(C478)&amp;" ")-1),",","."))+1,9))*12,NA()))),0),48)*'Aturan &amp; Tarif'!$B$4,2)</f>
        <v>2725.44</v>
      </c>
      <c r="K478" s="32" t="n">
        <f aca="false">'Aturan &amp; Tarif'!$B$5</f>
        <v>2050</v>
      </c>
      <c r="L478" s="35" t="n">
        <f aca="false">I478+J478+K478</f>
        <v>8875.44</v>
      </c>
      <c r="M478" s="37" t="s">
        <v>1653</v>
      </c>
    </row>
    <row r="479" customFormat="false" ht="37.5" hidden="false" customHeight="true" outlineLevel="0" collapsed="false">
      <c r="A479" s="29"/>
      <c r="B479" s="30" t="s">
        <v>1657</v>
      </c>
      <c r="C479" s="31" t="s">
        <v>245</v>
      </c>
      <c r="D479" s="31" t="s">
        <v>108</v>
      </c>
      <c r="E479" s="32" t="n">
        <v>3800</v>
      </c>
      <c r="F479" s="32"/>
      <c r="G479" s="32" t="n">
        <v>300</v>
      </c>
      <c r="H479" s="33" t="n">
        <v>1</v>
      </c>
      <c r="I479" s="34" t="n">
        <f aca="false">E479*H479+N(F479)+N(G479)</f>
        <v>4100</v>
      </c>
      <c r="J479" s="32" t="n">
        <f aca="false">ROUND(IFERROR(ROUND(IF(OR(ISNUMBER(SEARCH("week",C479)),ISNUMBER(SEARCH("minggu",C479))),IFERROR(_xlfn.NUMBERVALUE(SUBSTITUTE(LEFT(TRIM(C479),FIND(" ",TRIM(C479)&amp;" ")-1),",","."),"."),LEFT(SUBSTITUTE(LEFT(TRIM(C479),FIND(" ",TRIM(C479)&amp;" ")-1),",","."),FIND("/",SUBSTITUTE(LEFT(TRIM(C479),FIND(" ",TRIM(C479)&amp;" ")-1),",","."))-1)/MID(SUBSTITUTE(LEFT(TRIM(C479),FIND(" ",TRIM(C479)&amp;" ")-1),",","."),FIND("/",SUBSTITUTE(LEFT(TRIM(C479),FIND(" ",TRIM(C479)&amp;" ")-1),",","."))+1,9))*12/52,IF(ISNUMBER(SEARCH("month",C479)),IFERROR(_xlfn.NUMBERVALUE(SUBSTITUTE(LEFT(TRIM(C479),FIND(" ",TRIM(C479)&amp;" ")-1),",","."),"."),LEFT(SUBSTITUTE(LEFT(TRIM(C479),FIND(" ",TRIM(C479)&amp;" ")-1),",","."),FIND("/",SUBSTITUTE(LEFT(TRIM(C479),FIND(" ",TRIM(C479)&amp;" ")-1),",","."))-1)/MID(SUBSTITUTE(LEFT(TRIM(C479),FIND(" ",TRIM(C479)&amp;" ")-1),",","."),FIND("/",SUBSTITUTE(LEFT(TRIM(C479),FIND(" ",TRIM(C479)&amp;" ")-1),",","."))+1,9)),IF(ISNUMBER(SEARCH("yea",C479)),IFERROR(_xlfn.NUMBERVALUE(SUBSTITUTE(LEFT(TRIM(C479),FIND(" ",TRIM(C479)&amp;" ")-1),",","."),"."),LEFT(SUBSTITUTE(LEFT(TRIM(C479),FIND(" ",TRIM(C479)&amp;" ")-1),",","."),FIND("/",SUBSTITUTE(LEFT(TRIM(C479),FIND(" ",TRIM(C479)&amp;" ")-1),",","."))-1)/MID(SUBSTITUTE(LEFT(TRIM(C479),FIND(" ",TRIM(C479)&amp;" ")-1),",","."),FIND("/",SUBSTITUTE(LEFT(TRIM(C479),FIND(" ",TRIM(C479)&amp;" ")-1),",","."))+1,9))*12,NA()))),0),60)*'Aturan &amp; Tarif'!$B$4,2)</f>
        <v>3406.8</v>
      </c>
      <c r="K479" s="32" t="n">
        <f aca="false">'Aturan &amp; Tarif'!$B$5</f>
        <v>2050</v>
      </c>
      <c r="L479" s="35" t="n">
        <f aca="false">I479+J479+K479</f>
        <v>9556.8</v>
      </c>
      <c r="M479" s="37" t="s">
        <v>1658</v>
      </c>
    </row>
    <row r="480" customFormat="false" ht="25.5" hidden="false" customHeight="true" outlineLevel="0" collapsed="false">
      <c r="A480" s="29"/>
      <c r="B480" s="30" t="s">
        <v>1656</v>
      </c>
      <c r="C480" s="31" t="s">
        <v>191</v>
      </c>
      <c r="D480" s="31" t="s">
        <v>108</v>
      </c>
      <c r="E480" s="32" t="n">
        <v>3800</v>
      </c>
      <c r="F480" s="32"/>
      <c r="G480" s="32" t="n">
        <v>300</v>
      </c>
      <c r="H480" s="33" t="n">
        <v>1</v>
      </c>
      <c r="I480" s="34" t="n">
        <f aca="false">E480*H480+N(F480)+N(G480)</f>
        <v>4100</v>
      </c>
      <c r="J480" s="32" t="n">
        <f aca="false">ROUND(IFERROR(ROUND(IF(OR(ISNUMBER(SEARCH("week",C480)),ISNUMBER(SEARCH("minggu",C480))),IFERROR(_xlfn.NUMBERVALUE(SUBSTITUTE(LEFT(TRIM(C480),FIND(" ",TRIM(C480)&amp;" ")-1),",","."),"."),LEFT(SUBSTITUTE(LEFT(TRIM(C480),FIND(" ",TRIM(C480)&amp;" ")-1),",","."),FIND("/",SUBSTITUTE(LEFT(TRIM(C480),FIND(" ",TRIM(C480)&amp;" ")-1),",","."))-1)/MID(SUBSTITUTE(LEFT(TRIM(C480),FIND(" ",TRIM(C480)&amp;" ")-1),",","."),FIND("/",SUBSTITUTE(LEFT(TRIM(C480),FIND(" ",TRIM(C480)&amp;" ")-1),",","."))+1,9))*12/52,IF(ISNUMBER(SEARCH("month",C480)),IFERROR(_xlfn.NUMBERVALUE(SUBSTITUTE(LEFT(TRIM(C480),FIND(" ",TRIM(C480)&amp;" ")-1),",","."),"."),LEFT(SUBSTITUTE(LEFT(TRIM(C480),FIND(" ",TRIM(C480)&amp;" ")-1),",","."),FIND("/",SUBSTITUTE(LEFT(TRIM(C480),FIND(" ",TRIM(C480)&amp;" ")-1),",","."))-1)/MID(SUBSTITUTE(LEFT(TRIM(C480),FIND(" ",TRIM(C480)&amp;" ")-1),",","."),FIND("/",SUBSTITUTE(LEFT(TRIM(C480),FIND(" ",TRIM(C480)&amp;" ")-1),",","."))+1,9)),IF(ISNUMBER(SEARCH("yea",C480)),IFERROR(_xlfn.NUMBERVALUE(SUBSTITUTE(LEFT(TRIM(C480),FIND(" ",TRIM(C480)&amp;" ")-1),",","."),"."),LEFT(SUBSTITUTE(LEFT(TRIM(C480),FIND(" ",TRIM(C480)&amp;" ")-1),",","."),FIND("/",SUBSTITUTE(LEFT(TRIM(C480),FIND(" ",TRIM(C480)&amp;" ")-1),",","."))-1)/MID(SUBSTITUTE(LEFT(TRIM(C480),FIND(" ",TRIM(C480)&amp;" ")-1),",","."),FIND("/",SUBSTITUTE(LEFT(TRIM(C480),FIND(" ",TRIM(C480)&amp;" ")-1),",","."))+1,9))*12,NA()))),0),48)*'Aturan &amp; Tarif'!$B$4,2)</f>
        <v>2725.44</v>
      </c>
      <c r="K480" s="32" t="n">
        <f aca="false">'Aturan &amp; Tarif'!$B$5</f>
        <v>2050</v>
      </c>
      <c r="L480" s="35" t="n">
        <f aca="false">I480+J480+K480</f>
        <v>8875.44</v>
      </c>
      <c r="M480" s="37" t="s">
        <v>1653</v>
      </c>
    </row>
    <row r="481" customFormat="false" ht="37.5" hidden="false" customHeight="true" outlineLevel="0" collapsed="false">
      <c r="A481" s="29"/>
      <c r="B481" s="30" t="s">
        <v>1659</v>
      </c>
      <c r="C481" s="31" t="s">
        <v>245</v>
      </c>
      <c r="D481" s="31" t="s">
        <v>108</v>
      </c>
      <c r="E481" s="32" t="n">
        <v>3800</v>
      </c>
      <c r="F481" s="32"/>
      <c r="G481" s="32" t="n">
        <v>300</v>
      </c>
      <c r="H481" s="33" t="n">
        <v>1</v>
      </c>
      <c r="I481" s="34" t="n">
        <f aca="false">E481*H481+N(F481)+N(G481)</f>
        <v>4100</v>
      </c>
      <c r="J481" s="32" t="n">
        <f aca="false">ROUND(IFERROR(ROUND(IF(OR(ISNUMBER(SEARCH("week",C481)),ISNUMBER(SEARCH("minggu",C481))),IFERROR(_xlfn.NUMBERVALUE(SUBSTITUTE(LEFT(TRIM(C481),FIND(" ",TRIM(C481)&amp;" ")-1),",","."),"."),LEFT(SUBSTITUTE(LEFT(TRIM(C481),FIND(" ",TRIM(C481)&amp;" ")-1),",","."),FIND("/",SUBSTITUTE(LEFT(TRIM(C481),FIND(" ",TRIM(C481)&amp;" ")-1),",","."))-1)/MID(SUBSTITUTE(LEFT(TRIM(C481),FIND(" ",TRIM(C481)&amp;" ")-1),",","."),FIND("/",SUBSTITUTE(LEFT(TRIM(C481),FIND(" ",TRIM(C481)&amp;" ")-1),",","."))+1,9))*12/52,IF(ISNUMBER(SEARCH("month",C481)),IFERROR(_xlfn.NUMBERVALUE(SUBSTITUTE(LEFT(TRIM(C481),FIND(" ",TRIM(C481)&amp;" ")-1),",","."),"."),LEFT(SUBSTITUTE(LEFT(TRIM(C481),FIND(" ",TRIM(C481)&amp;" ")-1),",","."),FIND("/",SUBSTITUTE(LEFT(TRIM(C481),FIND(" ",TRIM(C481)&amp;" ")-1),",","."))-1)/MID(SUBSTITUTE(LEFT(TRIM(C481),FIND(" ",TRIM(C481)&amp;" ")-1),",","."),FIND("/",SUBSTITUTE(LEFT(TRIM(C481),FIND(" ",TRIM(C481)&amp;" ")-1),",","."))+1,9)),IF(ISNUMBER(SEARCH("yea",C481)),IFERROR(_xlfn.NUMBERVALUE(SUBSTITUTE(LEFT(TRIM(C481),FIND(" ",TRIM(C481)&amp;" ")-1),",","."),"."),LEFT(SUBSTITUTE(LEFT(TRIM(C481),FIND(" ",TRIM(C481)&amp;" ")-1),",","."),FIND("/",SUBSTITUTE(LEFT(TRIM(C481),FIND(" ",TRIM(C481)&amp;" ")-1),",","."))-1)/MID(SUBSTITUTE(LEFT(TRIM(C481),FIND(" ",TRIM(C481)&amp;" ")-1),",","."),FIND("/",SUBSTITUTE(LEFT(TRIM(C481),FIND(" ",TRIM(C481)&amp;" ")-1),",","."))+1,9))*12,NA()))),0),60)*'Aturan &amp; Tarif'!$B$4,2)</f>
        <v>3406.8</v>
      </c>
      <c r="K481" s="32" t="n">
        <f aca="false">'Aturan &amp; Tarif'!$B$5</f>
        <v>2050</v>
      </c>
      <c r="L481" s="35" t="n">
        <f aca="false">I481+J481+K481</f>
        <v>9556.8</v>
      </c>
      <c r="M481" s="37" t="s">
        <v>1658</v>
      </c>
    </row>
    <row r="482" customFormat="false" ht="14.25" hidden="false" customHeight="true" outlineLevel="0" collapsed="false">
      <c r="A482" s="29"/>
      <c r="B482" s="30" t="s">
        <v>3414</v>
      </c>
      <c r="C482" s="31" t="s">
        <v>107</v>
      </c>
      <c r="D482" s="31" t="s">
        <v>108</v>
      </c>
      <c r="E482" s="32" t="n">
        <v>1800</v>
      </c>
      <c r="F482" s="32" t="n">
        <v>250</v>
      </c>
      <c r="G482" s="32" t="n">
        <v>300</v>
      </c>
      <c r="H482" s="33" t="n">
        <v>1</v>
      </c>
      <c r="I482" s="34" t="n">
        <f aca="false">E482*H482+N(F482)+N(G482)</f>
        <v>2350</v>
      </c>
      <c r="J482" s="32" t="n">
        <f aca="false">ROUND(IFERROR(ROUND(IF(OR(ISNUMBER(SEARCH("week",C482)),ISNUMBER(SEARCH("minggu",C482))),IFERROR(_xlfn.NUMBERVALUE(SUBSTITUTE(LEFT(TRIM(C482),FIND(" ",TRIM(C482)&amp;" ")-1),",","."),"."),LEFT(SUBSTITUTE(LEFT(TRIM(C482),FIND(" ",TRIM(C482)&amp;" ")-1),",","."),FIND("/",SUBSTITUTE(LEFT(TRIM(C482),FIND(" ",TRIM(C482)&amp;" ")-1),",","."))-1)/MID(SUBSTITUTE(LEFT(TRIM(C482),FIND(" ",TRIM(C482)&amp;" ")-1),",","."),FIND("/",SUBSTITUTE(LEFT(TRIM(C482),FIND(" ",TRIM(C482)&amp;" ")-1),",","."))+1,9))*12/52,IF(ISNUMBER(SEARCH("month",C482)),IFERROR(_xlfn.NUMBERVALUE(SUBSTITUTE(LEFT(TRIM(C482),FIND(" ",TRIM(C482)&amp;" ")-1),",","."),"."),LEFT(SUBSTITUTE(LEFT(TRIM(C482),FIND(" ",TRIM(C482)&amp;" ")-1),",","."),FIND("/",SUBSTITUTE(LEFT(TRIM(C482),FIND(" ",TRIM(C482)&amp;" ")-1),",","."))-1)/MID(SUBSTITUTE(LEFT(TRIM(C482),FIND(" ",TRIM(C482)&amp;" ")-1),",","."),FIND("/",SUBSTITUTE(LEFT(TRIM(C482),FIND(" ",TRIM(C482)&amp;" ")-1),",","."))+1,9)),IF(ISNUMBER(SEARCH("yea",C482)),IFERROR(_xlfn.NUMBERVALUE(SUBSTITUTE(LEFT(TRIM(C482),FIND(" ",TRIM(C482)&amp;" ")-1),",","."),"."),LEFT(SUBSTITUTE(LEFT(TRIM(C482),FIND(" ",TRIM(C482)&amp;" ")-1),",","."),FIND("/",SUBSTITUTE(LEFT(TRIM(C482),FIND(" ",TRIM(C482)&amp;" ")-1),",","."))-1)/MID(SUBSTITUTE(LEFT(TRIM(C482),FIND(" ",TRIM(C482)&amp;" ")-1),",","."),FIND("/",SUBSTITUTE(LEFT(TRIM(C482),FIND(" ",TRIM(C482)&amp;" ")-1),",","."))+1,9))*12,NA()))),0),24)*'Aturan &amp; Tarif'!$B$4,2)</f>
        <v>1362.72</v>
      </c>
      <c r="K482" s="32" t="n">
        <f aca="false">'Aturan &amp; Tarif'!$B$5</f>
        <v>2050</v>
      </c>
      <c r="L482" s="35" t="n">
        <f aca="false">I482+J482+K482</f>
        <v>5762.72</v>
      </c>
      <c r="M482" s="37" t="s">
        <v>134</v>
      </c>
    </row>
    <row r="483" customFormat="false" ht="48.75" hidden="false" customHeight="true" outlineLevel="0" collapsed="false">
      <c r="A483" s="39" t="s">
        <v>1660</v>
      </c>
      <c r="B483" s="40" t="s">
        <v>465</v>
      </c>
      <c r="C483" s="41" t="s">
        <v>107</v>
      </c>
      <c r="D483" s="41" t="s">
        <v>108</v>
      </c>
      <c r="E483" s="42" t="n">
        <v>2700</v>
      </c>
      <c r="F483" s="42" t="n">
        <v>500</v>
      </c>
      <c r="G483" s="42" t="n">
        <v>250</v>
      </c>
      <c r="H483" s="43" t="n">
        <v>1</v>
      </c>
      <c r="I483" s="34" t="n">
        <f aca="false">E483*H483+N(F483)+N(G483)</f>
        <v>3450</v>
      </c>
      <c r="J483" s="42" t="n">
        <f aca="false">ROUND(IFERROR(ROUND(IF(OR(ISNUMBER(SEARCH("week",C483)),ISNUMBER(SEARCH("minggu",C483))),IFERROR(_xlfn.NUMBERVALUE(SUBSTITUTE(LEFT(TRIM(C483),FIND(" ",TRIM(C483)&amp;" ")-1),",","."),"."),LEFT(SUBSTITUTE(LEFT(TRIM(C483),FIND(" ",TRIM(C483)&amp;" ")-1),",","."),FIND("/",SUBSTITUTE(LEFT(TRIM(C483),FIND(" ",TRIM(C483)&amp;" ")-1),",","."))-1)/MID(SUBSTITUTE(LEFT(TRIM(C483),FIND(" ",TRIM(C483)&amp;" ")-1),",","."),FIND("/",SUBSTITUTE(LEFT(TRIM(C483),FIND(" ",TRIM(C483)&amp;" ")-1),",","."))+1,9))*12/52,IF(ISNUMBER(SEARCH("month",C483)),IFERROR(_xlfn.NUMBERVALUE(SUBSTITUTE(LEFT(TRIM(C483),FIND(" ",TRIM(C483)&amp;" ")-1),",","."),"."),LEFT(SUBSTITUTE(LEFT(TRIM(C483),FIND(" ",TRIM(C483)&amp;" ")-1),",","."),FIND("/",SUBSTITUTE(LEFT(TRIM(C483),FIND(" ",TRIM(C483)&amp;" ")-1),",","."))-1)/MID(SUBSTITUTE(LEFT(TRIM(C483),FIND(" ",TRIM(C483)&amp;" ")-1),",","."),FIND("/",SUBSTITUTE(LEFT(TRIM(C483),FIND(" ",TRIM(C483)&amp;" ")-1),",","."))+1,9)),IF(ISNUMBER(SEARCH("yea",C483)),IFERROR(_xlfn.NUMBERVALUE(SUBSTITUTE(LEFT(TRIM(C483),FIND(" ",TRIM(C483)&amp;" ")-1),",","."),"."),LEFT(SUBSTITUTE(LEFT(TRIM(C483),FIND(" ",TRIM(C483)&amp;" ")-1),",","."),FIND("/",SUBSTITUTE(LEFT(TRIM(C483),FIND(" ",TRIM(C483)&amp;" ")-1),",","."))-1)/MID(SUBSTITUTE(LEFT(TRIM(C483),FIND(" ",TRIM(C483)&amp;" ")-1),",","."),FIND("/",SUBSTITUTE(LEFT(TRIM(C483),FIND(" ",TRIM(C483)&amp;" ")-1),",","."))+1,9))*12,NA()))),0),24)*'Aturan &amp; Tarif'!$B$4,2)</f>
        <v>1362.72</v>
      </c>
      <c r="K483" s="42" t="n">
        <f aca="false">'Aturan &amp; Tarif'!$B$5</f>
        <v>2050</v>
      </c>
      <c r="L483" s="35" t="n">
        <f aca="false">I483+J483+K483</f>
        <v>6862.72</v>
      </c>
      <c r="M483" s="45" t="s">
        <v>615</v>
      </c>
    </row>
    <row r="484" customFormat="false" ht="25.5" hidden="false" customHeight="true" outlineLevel="0" collapsed="false">
      <c r="A484" s="39"/>
      <c r="B484" s="40" t="s">
        <v>475</v>
      </c>
      <c r="C484" s="41" t="s">
        <v>138</v>
      </c>
      <c r="D484" s="41" t="s">
        <v>108</v>
      </c>
      <c r="E484" s="42" t="n">
        <v>3000</v>
      </c>
      <c r="F484" s="42" t="n">
        <v>750</v>
      </c>
      <c r="G484" s="42" t="n">
        <v>250</v>
      </c>
      <c r="H484" s="43" t="n">
        <v>1</v>
      </c>
      <c r="I484" s="34" t="n">
        <f aca="false">E484*H484+N(F484)+N(G484)</f>
        <v>4000</v>
      </c>
      <c r="J484" s="42" t="n">
        <f aca="false">ROUND(IFERROR(ROUND(IF(OR(ISNUMBER(SEARCH("week",C484)),ISNUMBER(SEARCH("minggu",C484))),IFERROR(_xlfn.NUMBERVALUE(SUBSTITUTE(LEFT(TRIM(C484),FIND(" ",TRIM(C484)&amp;" ")-1),",","."),"."),LEFT(SUBSTITUTE(LEFT(TRIM(C484),FIND(" ",TRIM(C484)&amp;" ")-1),",","."),FIND("/",SUBSTITUTE(LEFT(TRIM(C484),FIND(" ",TRIM(C484)&amp;" ")-1),",","."))-1)/MID(SUBSTITUTE(LEFT(TRIM(C484),FIND(" ",TRIM(C484)&amp;" ")-1),",","."),FIND("/",SUBSTITUTE(LEFT(TRIM(C484),FIND(" ",TRIM(C484)&amp;" ")-1),",","."))+1,9))*12/52,IF(ISNUMBER(SEARCH("month",C484)),IFERROR(_xlfn.NUMBERVALUE(SUBSTITUTE(LEFT(TRIM(C484),FIND(" ",TRIM(C484)&amp;" ")-1),",","."),"."),LEFT(SUBSTITUTE(LEFT(TRIM(C484),FIND(" ",TRIM(C484)&amp;" ")-1),",","."),FIND("/",SUBSTITUTE(LEFT(TRIM(C484),FIND(" ",TRIM(C484)&amp;" ")-1),",","."))-1)/MID(SUBSTITUTE(LEFT(TRIM(C484),FIND(" ",TRIM(C484)&amp;" ")-1),",","."),FIND("/",SUBSTITUTE(LEFT(TRIM(C484),FIND(" ",TRIM(C484)&amp;" ")-1),",","."))+1,9)),IF(ISNUMBER(SEARCH("yea",C484)),IFERROR(_xlfn.NUMBERVALUE(SUBSTITUTE(LEFT(TRIM(C484),FIND(" ",TRIM(C484)&amp;" ")-1),",","."),"."),LEFT(SUBSTITUTE(LEFT(TRIM(C484),FIND(" ",TRIM(C484)&amp;" ")-1),",","."),FIND("/",SUBSTITUTE(LEFT(TRIM(C484),FIND(" ",TRIM(C484)&amp;" ")-1),",","."))-1)/MID(SUBSTITUTE(LEFT(TRIM(C484),FIND(" ",TRIM(C484)&amp;" ")-1),",","."),FIND("/",SUBSTITUTE(LEFT(TRIM(C484),FIND(" ",TRIM(C484)&amp;" ")-1),",","."))+1,9))*12,NA()))),0),30)*'Aturan &amp; Tarif'!$B$4,2)</f>
        <v>1703.4</v>
      </c>
      <c r="K484" s="42" t="n">
        <f aca="false">'Aturan &amp; Tarif'!$B$5</f>
        <v>2050</v>
      </c>
      <c r="L484" s="35" t="n">
        <f aca="false">I484+J484+K484</f>
        <v>7753.4</v>
      </c>
      <c r="M484" s="45" t="s">
        <v>615</v>
      </c>
    </row>
    <row r="485" customFormat="false" ht="14.25" hidden="false" customHeight="true" outlineLevel="0" collapsed="false">
      <c r="A485" s="39"/>
      <c r="B485" s="40" t="s">
        <v>616</v>
      </c>
      <c r="C485" s="41" t="s">
        <v>107</v>
      </c>
      <c r="D485" s="41" t="s">
        <v>108</v>
      </c>
      <c r="E485" s="42" t="n">
        <v>3125</v>
      </c>
      <c r="F485" s="42" t="n">
        <v>2000</v>
      </c>
      <c r="G485" s="42" t="n">
        <v>250</v>
      </c>
      <c r="H485" s="43" t="n">
        <v>1</v>
      </c>
      <c r="I485" s="34" t="n">
        <f aca="false">E485*H485+N(F485)+N(G485)</f>
        <v>5375</v>
      </c>
      <c r="J485" s="42" t="n">
        <f aca="false">ROUND(IFERROR(ROUND(IF(OR(ISNUMBER(SEARCH("week",C485)),ISNUMBER(SEARCH("minggu",C485))),IFERROR(_xlfn.NUMBERVALUE(SUBSTITUTE(LEFT(TRIM(C485),FIND(" ",TRIM(C485)&amp;" ")-1),",","."),"."),LEFT(SUBSTITUTE(LEFT(TRIM(C485),FIND(" ",TRIM(C485)&amp;" ")-1),",","."),FIND("/",SUBSTITUTE(LEFT(TRIM(C485),FIND(" ",TRIM(C485)&amp;" ")-1),",","."))-1)/MID(SUBSTITUTE(LEFT(TRIM(C485),FIND(" ",TRIM(C485)&amp;" ")-1),",","."),FIND("/",SUBSTITUTE(LEFT(TRIM(C485),FIND(" ",TRIM(C485)&amp;" ")-1),",","."))+1,9))*12/52,IF(ISNUMBER(SEARCH("month",C485)),IFERROR(_xlfn.NUMBERVALUE(SUBSTITUTE(LEFT(TRIM(C485),FIND(" ",TRIM(C485)&amp;" ")-1),",","."),"."),LEFT(SUBSTITUTE(LEFT(TRIM(C485),FIND(" ",TRIM(C485)&amp;" ")-1),",","."),FIND("/",SUBSTITUTE(LEFT(TRIM(C485),FIND(" ",TRIM(C485)&amp;" ")-1),",","."))-1)/MID(SUBSTITUTE(LEFT(TRIM(C485),FIND(" ",TRIM(C485)&amp;" ")-1),",","."),FIND("/",SUBSTITUTE(LEFT(TRIM(C485),FIND(" ",TRIM(C485)&amp;" ")-1),",","."))+1,9)),IF(ISNUMBER(SEARCH("yea",C485)),IFERROR(_xlfn.NUMBERVALUE(SUBSTITUTE(LEFT(TRIM(C485),FIND(" ",TRIM(C485)&amp;" ")-1),",","."),"."),LEFT(SUBSTITUTE(LEFT(TRIM(C485),FIND(" ",TRIM(C485)&amp;" ")-1),",","."),FIND("/",SUBSTITUTE(LEFT(TRIM(C485),FIND(" ",TRIM(C485)&amp;" ")-1),",","."))-1)/MID(SUBSTITUTE(LEFT(TRIM(C485),FIND(" ",TRIM(C485)&amp;" ")-1),",","."),FIND("/",SUBSTITUTE(LEFT(TRIM(C485),FIND(" ",TRIM(C485)&amp;" ")-1),",","."))+1,9))*12,NA()))),0),24)*'Aturan &amp; Tarif'!$B$4,2)</f>
        <v>1362.72</v>
      </c>
      <c r="K485" s="42" t="n">
        <f aca="false">'Aturan &amp; Tarif'!$B$5</f>
        <v>2050</v>
      </c>
      <c r="L485" s="35" t="n">
        <f aca="false">I485+J485+K485</f>
        <v>8787.72</v>
      </c>
      <c r="M485" s="45" t="s">
        <v>617</v>
      </c>
    </row>
    <row r="486" customFormat="false" ht="25.5" hidden="false" customHeight="true" outlineLevel="0" collapsed="false">
      <c r="A486" s="39"/>
      <c r="B486" s="40" t="s">
        <v>618</v>
      </c>
      <c r="C486" s="41" t="s">
        <v>138</v>
      </c>
      <c r="D486" s="41" t="s">
        <v>108</v>
      </c>
      <c r="E486" s="42" t="n">
        <v>4300</v>
      </c>
      <c r="F486" s="42" t="n">
        <v>2000</v>
      </c>
      <c r="G486" s="42" t="n">
        <v>250</v>
      </c>
      <c r="H486" s="43" t="n">
        <v>1</v>
      </c>
      <c r="I486" s="34" t="n">
        <f aca="false">E486*H486+N(F486)+N(G486)</f>
        <v>6550</v>
      </c>
      <c r="J486" s="42" t="n">
        <f aca="false">ROUND(IFERROR(ROUND(IF(OR(ISNUMBER(SEARCH("week",C486)),ISNUMBER(SEARCH("minggu",C486))),IFERROR(_xlfn.NUMBERVALUE(SUBSTITUTE(LEFT(TRIM(C486),FIND(" ",TRIM(C486)&amp;" ")-1),",","."),"."),LEFT(SUBSTITUTE(LEFT(TRIM(C486),FIND(" ",TRIM(C486)&amp;" ")-1),",","."),FIND("/",SUBSTITUTE(LEFT(TRIM(C486),FIND(" ",TRIM(C486)&amp;" ")-1),",","."))-1)/MID(SUBSTITUTE(LEFT(TRIM(C486),FIND(" ",TRIM(C486)&amp;" ")-1),",","."),FIND("/",SUBSTITUTE(LEFT(TRIM(C486),FIND(" ",TRIM(C486)&amp;" ")-1),",","."))+1,9))*12/52,IF(ISNUMBER(SEARCH("month",C486)),IFERROR(_xlfn.NUMBERVALUE(SUBSTITUTE(LEFT(TRIM(C486),FIND(" ",TRIM(C486)&amp;" ")-1),",","."),"."),LEFT(SUBSTITUTE(LEFT(TRIM(C486),FIND(" ",TRIM(C486)&amp;" ")-1),",","."),FIND("/",SUBSTITUTE(LEFT(TRIM(C486),FIND(" ",TRIM(C486)&amp;" ")-1),",","."))-1)/MID(SUBSTITUTE(LEFT(TRIM(C486),FIND(" ",TRIM(C486)&amp;" ")-1),",","."),FIND("/",SUBSTITUTE(LEFT(TRIM(C486),FIND(" ",TRIM(C486)&amp;" ")-1),",","."))+1,9)),IF(ISNUMBER(SEARCH("yea",C486)),IFERROR(_xlfn.NUMBERVALUE(SUBSTITUTE(LEFT(TRIM(C486),FIND(" ",TRIM(C486)&amp;" ")-1),",","."),"."),LEFT(SUBSTITUTE(LEFT(TRIM(C486),FIND(" ",TRIM(C486)&amp;" ")-1),",","."),FIND("/",SUBSTITUTE(LEFT(TRIM(C486),FIND(" ",TRIM(C486)&amp;" ")-1),",","."))-1)/MID(SUBSTITUTE(LEFT(TRIM(C486),FIND(" ",TRIM(C486)&amp;" ")-1),",","."),FIND("/",SUBSTITUTE(LEFT(TRIM(C486),FIND(" ",TRIM(C486)&amp;" ")-1),",","."))+1,9))*12,NA()))),0),30)*'Aturan &amp; Tarif'!$B$4,2)</f>
        <v>1703.4</v>
      </c>
      <c r="K486" s="42" t="n">
        <f aca="false">'Aturan &amp; Tarif'!$B$5</f>
        <v>2050</v>
      </c>
      <c r="L486" s="35" t="n">
        <f aca="false">I486+J486+K486</f>
        <v>10303.4</v>
      </c>
      <c r="M486" s="45" t="s">
        <v>615</v>
      </c>
    </row>
    <row r="487" customFormat="false" ht="244.5" hidden="false" customHeight="true" outlineLevel="0" collapsed="false">
      <c r="A487" s="39" t="s">
        <v>1663</v>
      </c>
      <c r="B487" s="40" t="s">
        <v>1664</v>
      </c>
      <c r="C487" s="41" t="s">
        <v>130</v>
      </c>
      <c r="D487" s="41" t="s">
        <v>439</v>
      </c>
      <c r="E487" s="42" t="n">
        <v>9275</v>
      </c>
      <c r="F487" s="42" t="n">
        <v>700</v>
      </c>
      <c r="G487" s="42"/>
      <c r="H487" s="43" t="n">
        <v>1</v>
      </c>
      <c r="I487" s="34" t="n">
        <f aca="false">E487*H487+N(F487)+N(G487)</f>
        <v>9975</v>
      </c>
      <c r="J487" s="42" t="n">
        <f aca="false">ROUND(IFERROR(ROUND(IF(OR(ISNUMBER(SEARCH("week",C487)),ISNUMBER(SEARCH("minggu",C487))),IFERROR(_xlfn.NUMBERVALUE(SUBSTITUTE(LEFT(TRIM(C487),FIND(" ",TRIM(C487)&amp;" ")-1),",","."),"."),LEFT(SUBSTITUTE(LEFT(TRIM(C487),FIND(" ",TRIM(C487)&amp;" ")-1),",","."),FIND("/",SUBSTITUTE(LEFT(TRIM(C487),FIND(" ",TRIM(C487)&amp;" ")-1),",","."))-1)/MID(SUBSTITUTE(LEFT(TRIM(C487),FIND(" ",TRIM(C487)&amp;" ")-1),",","."),FIND("/",SUBSTITUTE(LEFT(TRIM(C487),FIND(" ",TRIM(C487)&amp;" ")-1),",","."))+1,9))*12/52,IF(ISNUMBER(SEARCH("month",C487)),IFERROR(_xlfn.NUMBERVALUE(SUBSTITUTE(LEFT(TRIM(C487),FIND(" ",TRIM(C487)&amp;" ")-1),",","."),"."),LEFT(SUBSTITUTE(LEFT(TRIM(C487),FIND(" ",TRIM(C487)&amp;" ")-1),",","."),FIND("/",SUBSTITUTE(LEFT(TRIM(C487),FIND(" ",TRIM(C487)&amp;" ")-1),",","."))-1)/MID(SUBSTITUTE(LEFT(TRIM(C487),FIND(" ",TRIM(C487)&amp;" ")-1),",","."),FIND("/",SUBSTITUTE(LEFT(TRIM(C487),FIND(" ",TRIM(C487)&amp;" ")-1),",","."))+1,9)),IF(ISNUMBER(SEARCH("yea",C487)),IFERROR(_xlfn.NUMBERVALUE(SUBSTITUTE(LEFT(TRIM(C487),FIND(" ",TRIM(C487)&amp;" ")-1),",","."),"."),LEFT(SUBSTITUTE(LEFT(TRIM(C487),FIND(" ",TRIM(C487)&amp;" ")-1),",","."),FIND("/",SUBSTITUTE(LEFT(TRIM(C487),FIND(" ",TRIM(C487)&amp;" ")-1),",","."))-1)/MID(SUBSTITUTE(LEFT(TRIM(C487),FIND(" ",TRIM(C487)&amp;" ")-1),",","."),FIND("/",SUBSTITUTE(LEFT(TRIM(C487),FIND(" ",TRIM(C487)&amp;" ")-1),",","."))+1,9))*12,NA()))),0),12)*'Aturan &amp; Tarif'!$B$4,2)</f>
        <v>681.36</v>
      </c>
      <c r="K487" s="42" t="n">
        <f aca="false">'Aturan &amp; Tarif'!$B$5</f>
        <v>2050</v>
      </c>
      <c r="L487" s="35" t="n">
        <f aca="false">I487+J487+K487</f>
        <v>12706.36</v>
      </c>
      <c r="M487" s="45" t="s">
        <v>1665</v>
      </c>
    </row>
    <row r="488" customFormat="false" ht="25.5" hidden="false" customHeight="true" outlineLevel="0" collapsed="false">
      <c r="A488" s="39"/>
      <c r="B488" s="40" t="s">
        <v>1666</v>
      </c>
      <c r="C488" s="41" t="s">
        <v>130</v>
      </c>
      <c r="D488" s="41" t="s">
        <v>439</v>
      </c>
      <c r="E488" s="42" t="n">
        <v>11030</v>
      </c>
      <c r="F488" s="42"/>
      <c r="G488" s="42"/>
      <c r="H488" s="43" t="n">
        <v>1</v>
      </c>
      <c r="I488" s="34" t="n">
        <f aca="false">E488*H488+N(F488)+N(G488)</f>
        <v>11030</v>
      </c>
      <c r="J488" s="42" t="n">
        <f aca="false">ROUND(IFERROR(ROUND(IF(OR(ISNUMBER(SEARCH("week",C488)),ISNUMBER(SEARCH("minggu",C488))),IFERROR(_xlfn.NUMBERVALUE(SUBSTITUTE(LEFT(TRIM(C488),FIND(" ",TRIM(C488)&amp;" ")-1),",","."),"."),LEFT(SUBSTITUTE(LEFT(TRIM(C488),FIND(" ",TRIM(C488)&amp;" ")-1),",","."),FIND("/",SUBSTITUTE(LEFT(TRIM(C488),FIND(" ",TRIM(C488)&amp;" ")-1),",","."))-1)/MID(SUBSTITUTE(LEFT(TRIM(C488),FIND(" ",TRIM(C488)&amp;" ")-1),",","."),FIND("/",SUBSTITUTE(LEFT(TRIM(C488),FIND(" ",TRIM(C488)&amp;" ")-1),",","."))+1,9))*12/52,IF(ISNUMBER(SEARCH("month",C488)),IFERROR(_xlfn.NUMBERVALUE(SUBSTITUTE(LEFT(TRIM(C488),FIND(" ",TRIM(C488)&amp;" ")-1),",","."),"."),LEFT(SUBSTITUTE(LEFT(TRIM(C488),FIND(" ",TRIM(C488)&amp;" ")-1),",","."),FIND("/",SUBSTITUTE(LEFT(TRIM(C488),FIND(" ",TRIM(C488)&amp;" ")-1),",","."))-1)/MID(SUBSTITUTE(LEFT(TRIM(C488),FIND(" ",TRIM(C488)&amp;" ")-1),",","."),FIND("/",SUBSTITUTE(LEFT(TRIM(C488),FIND(" ",TRIM(C488)&amp;" ")-1),",","."))+1,9)),IF(ISNUMBER(SEARCH("yea",C488)),IFERROR(_xlfn.NUMBERVALUE(SUBSTITUTE(LEFT(TRIM(C488),FIND(" ",TRIM(C488)&amp;" ")-1),",","."),"."),LEFT(SUBSTITUTE(LEFT(TRIM(C488),FIND(" ",TRIM(C488)&amp;" ")-1),",","."),FIND("/",SUBSTITUTE(LEFT(TRIM(C488),FIND(" ",TRIM(C488)&amp;" ")-1),",","."))-1)/MID(SUBSTITUTE(LEFT(TRIM(C488),FIND(" ",TRIM(C488)&amp;" ")-1),",","."),FIND("/",SUBSTITUTE(LEFT(TRIM(C488),FIND(" ",TRIM(C488)&amp;" ")-1),",","."))+1,9))*12,NA()))),0),12)*'Aturan &amp; Tarif'!$B$4,2)</f>
        <v>681.36</v>
      </c>
      <c r="K488" s="42" t="n">
        <f aca="false">'Aturan &amp; Tarif'!$B$5</f>
        <v>2050</v>
      </c>
      <c r="L488" s="35" t="n">
        <f aca="false">I488+J488+K488</f>
        <v>13761.36</v>
      </c>
      <c r="M488" s="45" t="s">
        <v>1667</v>
      </c>
    </row>
    <row r="489" customFormat="false" ht="14.25" hidden="false" customHeight="true" outlineLevel="0" collapsed="false">
      <c r="A489" s="39"/>
      <c r="B489" s="40" t="s">
        <v>1080</v>
      </c>
      <c r="C489" s="41" t="s">
        <v>130</v>
      </c>
      <c r="D489" s="41" t="s">
        <v>439</v>
      </c>
      <c r="E489" s="42" t="n">
        <v>10225</v>
      </c>
      <c r="F489" s="42" t="n">
        <v>0</v>
      </c>
      <c r="G489" s="42"/>
      <c r="H489" s="43" t="n">
        <v>1</v>
      </c>
      <c r="I489" s="34" t="n">
        <f aca="false">E489*H489+N(F489)+N(G489)</f>
        <v>10225</v>
      </c>
      <c r="J489" s="42" t="n">
        <f aca="false">ROUND(IFERROR(ROUND(IF(OR(ISNUMBER(SEARCH("week",C489)),ISNUMBER(SEARCH("minggu",C489))),IFERROR(_xlfn.NUMBERVALUE(SUBSTITUTE(LEFT(TRIM(C489),FIND(" ",TRIM(C489)&amp;" ")-1),",","."),"."),LEFT(SUBSTITUTE(LEFT(TRIM(C489),FIND(" ",TRIM(C489)&amp;" ")-1),",","."),FIND("/",SUBSTITUTE(LEFT(TRIM(C489),FIND(" ",TRIM(C489)&amp;" ")-1),",","."))-1)/MID(SUBSTITUTE(LEFT(TRIM(C489),FIND(" ",TRIM(C489)&amp;" ")-1),",","."),FIND("/",SUBSTITUTE(LEFT(TRIM(C489),FIND(" ",TRIM(C489)&amp;" ")-1),",","."))+1,9))*12/52,IF(ISNUMBER(SEARCH("month",C489)),IFERROR(_xlfn.NUMBERVALUE(SUBSTITUTE(LEFT(TRIM(C489),FIND(" ",TRIM(C489)&amp;" ")-1),",","."),"."),LEFT(SUBSTITUTE(LEFT(TRIM(C489),FIND(" ",TRIM(C489)&amp;" ")-1),",","."),FIND("/",SUBSTITUTE(LEFT(TRIM(C489),FIND(" ",TRIM(C489)&amp;" ")-1),",","."))-1)/MID(SUBSTITUTE(LEFT(TRIM(C489),FIND(" ",TRIM(C489)&amp;" ")-1),",","."),FIND("/",SUBSTITUTE(LEFT(TRIM(C489),FIND(" ",TRIM(C489)&amp;" ")-1),",","."))+1,9)),IF(ISNUMBER(SEARCH("yea",C489)),IFERROR(_xlfn.NUMBERVALUE(SUBSTITUTE(LEFT(TRIM(C489),FIND(" ",TRIM(C489)&amp;" ")-1),",","."),"."),LEFT(SUBSTITUTE(LEFT(TRIM(C489),FIND(" ",TRIM(C489)&amp;" ")-1),",","."),FIND("/",SUBSTITUTE(LEFT(TRIM(C489),FIND(" ",TRIM(C489)&amp;" ")-1),",","."))-1)/MID(SUBSTITUTE(LEFT(TRIM(C489),FIND(" ",TRIM(C489)&amp;" ")-1),",","."),FIND("/",SUBSTITUTE(LEFT(TRIM(C489),FIND(" ",TRIM(C489)&amp;" ")-1),",","."))+1,9))*12,NA()))),0),12)*'Aturan &amp; Tarif'!$B$4,2)</f>
        <v>681.36</v>
      </c>
      <c r="K489" s="42" t="n">
        <f aca="false">'Aturan &amp; Tarif'!$B$5</f>
        <v>2050</v>
      </c>
      <c r="L489" s="35" t="n">
        <f aca="false">I489+J489+K489</f>
        <v>12956.36</v>
      </c>
      <c r="M489" s="45" t="s">
        <v>1668</v>
      </c>
    </row>
    <row r="490" customFormat="false" ht="48.75" hidden="false" customHeight="true" outlineLevel="0" collapsed="false">
      <c r="A490" s="39"/>
      <c r="B490" s="40" t="s">
        <v>1669</v>
      </c>
      <c r="C490" s="41" t="s">
        <v>130</v>
      </c>
      <c r="D490" s="41" t="s">
        <v>439</v>
      </c>
      <c r="E490" s="42" t="n">
        <v>11030</v>
      </c>
      <c r="F490" s="42"/>
      <c r="G490" s="42"/>
      <c r="H490" s="43" t="n">
        <v>1</v>
      </c>
      <c r="I490" s="34" t="n">
        <f aca="false">E490*H490+N(F490)+N(G490)</f>
        <v>11030</v>
      </c>
      <c r="J490" s="42" t="n">
        <f aca="false">ROUND(IFERROR(ROUND(IF(OR(ISNUMBER(SEARCH("week",C490)),ISNUMBER(SEARCH("minggu",C490))),IFERROR(_xlfn.NUMBERVALUE(SUBSTITUTE(LEFT(TRIM(C490),FIND(" ",TRIM(C490)&amp;" ")-1),",","."),"."),LEFT(SUBSTITUTE(LEFT(TRIM(C490),FIND(" ",TRIM(C490)&amp;" ")-1),",","."),FIND("/",SUBSTITUTE(LEFT(TRIM(C490),FIND(" ",TRIM(C490)&amp;" ")-1),",","."))-1)/MID(SUBSTITUTE(LEFT(TRIM(C490),FIND(" ",TRIM(C490)&amp;" ")-1),",","."),FIND("/",SUBSTITUTE(LEFT(TRIM(C490),FIND(" ",TRIM(C490)&amp;" ")-1),",","."))+1,9))*12/52,IF(ISNUMBER(SEARCH("month",C490)),IFERROR(_xlfn.NUMBERVALUE(SUBSTITUTE(LEFT(TRIM(C490),FIND(" ",TRIM(C490)&amp;" ")-1),",","."),"."),LEFT(SUBSTITUTE(LEFT(TRIM(C490),FIND(" ",TRIM(C490)&amp;" ")-1),",","."),FIND("/",SUBSTITUTE(LEFT(TRIM(C490),FIND(" ",TRIM(C490)&amp;" ")-1),",","."))-1)/MID(SUBSTITUTE(LEFT(TRIM(C490),FIND(" ",TRIM(C490)&amp;" ")-1),",","."),FIND("/",SUBSTITUTE(LEFT(TRIM(C490),FIND(" ",TRIM(C490)&amp;" ")-1),",","."))+1,9)),IF(ISNUMBER(SEARCH("yea",C490)),IFERROR(_xlfn.NUMBERVALUE(SUBSTITUTE(LEFT(TRIM(C490),FIND(" ",TRIM(C490)&amp;" ")-1),",","."),"."),LEFT(SUBSTITUTE(LEFT(TRIM(C490),FIND(" ",TRIM(C490)&amp;" ")-1),",","."),FIND("/",SUBSTITUTE(LEFT(TRIM(C490),FIND(" ",TRIM(C490)&amp;" ")-1),",","."))-1)/MID(SUBSTITUTE(LEFT(TRIM(C490),FIND(" ",TRIM(C490)&amp;" ")-1),",","."),FIND("/",SUBSTITUTE(LEFT(TRIM(C490),FIND(" ",TRIM(C490)&amp;" ")-1),",","."))+1,9))*12,NA()))),0),12)*'Aturan &amp; Tarif'!$B$4,2)</f>
        <v>681.36</v>
      </c>
      <c r="K490" s="42" t="n">
        <f aca="false">'Aturan &amp; Tarif'!$B$5</f>
        <v>2050</v>
      </c>
      <c r="L490" s="35" t="n">
        <f aca="false">I490+J490+K490</f>
        <v>13761.36</v>
      </c>
      <c r="M490" s="44" t="s">
        <v>1670</v>
      </c>
    </row>
    <row r="491" customFormat="false" ht="60" hidden="false" customHeight="true" outlineLevel="0" collapsed="false">
      <c r="A491" s="39"/>
      <c r="B491" s="40" t="s">
        <v>1671</v>
      </c>
      <c r="C491" s="41" t="s">
        <v>107</v>
      </c>
      <c r="D491" s="41" t="s">
        <v>439</v>
      </c>
      <c r="E491" s="42" t="n">
        <v>9720</v>
      </c>
      <c r="F491" s="42"/>
      <c r="G491" s="42"/>
      <c r="H491" s="43" t="n">
        <v>1</v>
      </c>
      <c r="I491" s="34" t="n">
        <f aca="false">E491*H491+N(F491)+N(G491)</f>
        <v>9720</v>
      </c>
      <c r="J491" s="42" t="n">
        <f aca="false">ROUND(IFERROR(ROUND(IF(OR(ISNUMBER(SEARCH("week",C491)),ISNUMBER(SEARCH("minggu",C491))),IFERROR(_xlfn.NUMBERVALUE(SUBSTITUTE(LEFT(TRIM(C491),FIND(" ",TRIM(C491)&amp;" ")-1),",","."),"."),LEFT(SUBSTITUTE(LEFT(TRIM(C491),FIND(" ",TRIM(C491)&amp;" ")-1),",","."),FIND("/",SUBSTITUTE(LEFT(TRIM(C491),FIND(" ",TRIM(C491)&amp;" ")-1),",","."))-1)/MID(SUBSTITUTE(LEFT(TRIM(C491),FIND(" ",TRIM(C491)&amp;" ")-1),",","."),FIND("/",SUBSTITUTE(LEFT(TRIM(C491),FIND(" ",TRIM(C491)&amp;" ")-1),",","."))+1,9))*12/52,IF(ISNUMBER(SEARCH("month",C491)),IFERROR(_xlfn.NUMBERVALUE(SUBSTITUTE(LEFT(TRIM(C491),FIND(" ",TRIM(C491)&amp;" ")-1),",","."),"."),LEFT(SUBSTITUTE(LEFT(TRIM(C491),FIND(" ",TRIM(C491)&amp;" ")-1),",","."),FIND("/",SUBSTITUTE(LEFT(TRIM(C491),FIND(" ",TRIM(C491)&amp;" ")-1),",","."))-1)/MID(SUBSTITUTE(LEFT(TRIM(C491),FIND(" ",TRIM(C491)&amp;" ")-1),",","."),FIND("/",SUBSTITUTE(LEFT(TRIM(C491),FIND(" ",TRIM(C491)&amp;" ")-1),",","."))+1,9)),IF(ISNUMBER(SEARCH("yea",C491)),IFERROR(_xlfn.NUMBERVALUE(SUBSTITUTE(LEFT(TRIM(C491),FIND(" ",TRIM(C491)&amp;" ")-1),",","."),"."),LEFT(SUBSTITUTE(LEFT(TRIM(C491),FIND(" ",TRIM(C491)&amp;" ")-1),",","."),FIND("/",SUBSTITUTE(LEFT(TRIM(C491),FIND(" ",TRIM(C491)&amp;" ")-1),",","."))-1)/MID(SUBSTITUTE(LEFT(TRIM(C491),FIND(" ",TRIM(C491)&amp;" ")-1),",","."),FIND("/",SUBSTITUTE(LEFT(TRIM(C491),FIND(" ",TRIM(C491)&amp;" ")-1),",","."))+1,9))*12,NA()))),0),24)*'Aturan &amp; Tarif'!$B$4,2)</f>
        <v>1362.72</v>
      </c>
      <c r="K491" s="42" t="n">
        <f aca="false">'Aturan &amp; Tarif'!$B$5</f>
        <v>2050</v>
      </c>
      <c r="L491" s="35" t="n">
        <f aca="false">I491+J491+K491</f>
        <v>13132.72</v>
      </c>
      <c r="M491" s="44" t="s">
        <v>1672</v>
      </c>
    </row>
    <row r="492" customFormat="false" ht="25.5" hidden="false" customHeight="true" outlineLevel="0" collapsed="false">
      <c r="A492" s="39"/>
      <c r="B492" s="40" t="s">
        <v>1673</v>
      </c>
      <c r="C492" s="41" t="s">
        <v>130</v>
      </c>
      <c r="D492" s="41" t="s">
        <v>439</v>
      </c>
      <c r="E492" s="42" t="n">
        <v>11035</v>
      </c>
      <c r="F492" s="42"/>
      <c r="G492" s="42"/>
      <c r="H492" s="43" t="n">
        <v>1</v>
      </c>
      <c r="I492" s="34" t="n">
        <f aca="false">E492*H492+N(F492)+N(G492)</f>
        <v>11035</v>
      </c>
      <c r="J492" s="42" t="n">
        <f aca="false">ROUND(IFERROR(ROUND(IF(OR(ISNUMBER(SEARCH("week",C492)),ISNUMBER(SEARCH("minggu",C492))),IFERROR(_xlfn.NUMBERVALUE(SUBSTITUTE(LEFT(TRIM(C492),FIND(" ",TRIM(C492)&amp;" ")-1),",","."),"."),LEFT(SUBSTITUTE(LEFT(TRIM(C492),FIND(" ",TRIM(C492)&amp;" ")-1),",","."),FIND("/",SUBSTITUTE(LEFT(TRIM(C492),FIND(" ",TRIM(C492)&amp;" ")-1),",","."))-1)/MID(SUBSTITUTE(LEFT(TRIM(C492),FIND(" ",TRIM(C492)&amp;" ")-1),",","."),FIND("/",SUBSTITUTE(LEFT(TRIM(C492),FIND(" ",TRIM(C492)&amp;" ")-1),",","."))+1,9))*12/52,IF(ISNUMBER(SEARCH("month",C492)),IFERROR(_xlfn.NUMBERVALUE(SUBSTITUTE(LEFT(TRIM(C492),FIND(" ",TRIM(C492)&amp;" ")-1),",","."),"."),LEFT(SUBSTITUTE(LEFT(TRIM(C492),FIND(" ",TRIM(C492)&amp;" ")-1),",","."),FIND("/",SUBSTITUTE(LEFT(TRIM(C492),FIND(" ",TRIM(C492)&amp;" ")-1),",","."))-1)/MID(SUBSTITUTE(LEFT(TRIM(C492),FIND(" ",TRIM(C492)&amp;" ")-1),",","."),FIND("/",SUBSTITUTE(LEFT(TRIM(C492),FIND(" ",TRIM(C492)&amp;" ")-1),",","."))+1,9)),IF(ISNUMBER(SEARCH("yea",C492)),IFERROR(_xlfn.NUMBERVALUE(SUBSTITUTE(LEFT(TRIM(C492),FIND(" ",TRIM(C492)&amp;" ")-1),",","."),"."),LEFT(SUBSTITUTE(LEFT(TRIM(C492),FIND(" ",TRIM(C492)&amp;" ")-1),",","."),FIND("/",SUBSTITUTE(LEFT(TRIM(C492),FIND(" ",TRIM(C492)&amp;" ")-1),",","."))-1)/MID(SUBSTITUTE(LEFT(TRIM(C492),FIND(" ",TRIM(C492)&amp;" ")-1),",","."),FIND("/",SUBSTITUTE(LEFT(TRIM(C492),FIND(" ",TRIM(C492)&amp;" ")-1),",","."))+1,9))*12,NA()))),0),12)*'Aturan &amp; Tarif'!$B$4,2)</f>
        <v>681.36</v>
      </c>
      <c r="K492" s="42" t="n">
        <f aca="false">'Aturan &amp; Tarif'!$B$5</f>
        <v>2050</v>
      </c>
      <c r="L492" s="35" t="n">
        <f aca="false">I492+J492+K492</f>
        <v>13766.36</v>
      </c>
      <c r="M492" s="45" t="s">
        <v>1674</v>
      </c>
    </row>
    <row r="493" customFormat="false" ht="14.25" hidden="false" customHeight="true" outlineLevel="0" collapsed="false">
      <c r="A493" s="39"/>
      <c r="B493" s="40" t="s">
        <v>1675</v>
      </c>
      <c r="C493" s="41" t="s">
        <v>130</v>
      </c>
      <c r="D493" s="41" t="s">
        <v>439</v>
      </c>
      <c r="E493" s="42" t="n">
        <v>10225</v>
      </c>
      <c r="F493" s="42" t="n">
        <v>0</v>
      </c>
      <c r="G493" s="42"/>
      <c r="H493" s="43" t="n">
        <v>1</v>
      </c>
      <c r="I493" s="34" t="n">
        <f aca="false">E493*H493+N(F493)+N(G493)</f>
        <v>10225</v>
      </c>
      <c r="J493" s="42" t="n">
        <f aca="false">ROUND(IFERROR(ROUND(IF(OR(ISNUMBER(SEARCH("week",C493)),ISNUMBER(SEARCH("minggu",C493))),IFERROR(_xlfn.NUMBERVALUE(SUBSTITUTE(LEFT(TRIM(C493),FIND(" ",TRIM(C493)&amp;" ")-1),",","."),"."),LEFT(SUBSTITUTE(LEFT(TRIM(C493),FIND(" ",TRIM(C493)&amp;" ")-1),",","."),FIND("/",SUBSTITUTE(LEFT(TRIM(C493),FIND(" ",TRIM(C493)&amp;" ")-1),",","."))-1)/MID(SUBSTITUTE(LEFT(TRIM(C493),FIND(" ",TRIM(C493)&amp;" ")-1),",","."),FIND("/",SUBSTITUTE(LEFT(TRIM(C493),FIND(" ",TRIM(C493)&amp;" ")-1),",","."))+1,9))*12/52,IF(ISNUMBER(SEARCH("month",C493)),IFERROR(_xlfn.NUMBERVALUE(SUBSTITUTE(LEFT(TRIM(C493),FIND(" ",TRIM(C493)&amp;" ")-1),",","."),"."),LEFT(SUBSTITUTE(LEFT(TRIM(C493),FIND(" ",TRIM(C493)&amp;" ")-1),",","."),FIND("/",SUBSTITUTE(LEFT(TRIM(C493),FIND(" ",TRIM(C493)&amp;" ")-1),",","."))-1)/MID(SUBSTITUTE(LEFT(TRIM(C493),FIND(" ",TRIM(C493)&amp;" ")-1),",","."),FIND("/",SUBSTITUTE(LEFT(TRIM(C493),FIND(" ",TRIM(C493)&amp;" ")-1),",","."))+1,9)),IF(ISNUMBER(SEARCH("yea",C493)),IFERROR(_xlfn.NUMBERVALUE(SUBSTITUTE(LEFT(TRIM(C493),FIND(" ",TRIM(C493)&amp;" ")-1),",","."),"."),LEFT(SUBSTITUTE(LEFT(TRIM(C493),FIND(" ",TRIM(C493)&amp;" ")-1),",","."),FIND("/",SUBSTITUTE(LEFT(TRIM(C493),FIND(" ",TRIM(C493)&amp;" ")-1),",","."))-1)/MID(SUBSTITUTE(LEFT(TRIM(C493),FIND(" ",TRIM(C493)&amp;" ")-1),",","."),FIND("/",SUBSTITUTE(LEFT(TRIM(C493),FIND(" ",TRIM(C493)&amp;" ")-1),",","."))+1,9))*12,NA()))),0),12)*'Aturan &amp; Tarif'!$B$4,2)</f>
        <v>681.36</v>
      </c>
      <c r="K493" s="42" t="n">
        <f aca="false">'Aturan &amp; Tarif'!$B$5</f>
        <v>2050</v>
      </c>
      <c r="L493" s="35" t="n">
        <f aca="false">I493+J493+K493</f>
        <v>12956.36</v>
      </c>
      <c r="M493" s="45" t="s">
        <v>1676</v>
      </c>
    </row>
    <row r="494" customFormat="false" ht="14.25" hidden="false" customHeight="true" outlineLevel="0" collapsed="false">
      <c r="A494" s="39"/>
      <c r="B494" s="40" t="s">
        <v>1677</v>
      </c>
      <c r="C494" s="41" t="s">
        <v>130</v>
      </c>
      <c r="D494" s="41" t="s">
        <v>439</v>
      </c>
      <c r="E494" s="42" t="n">
        <v>11035</v>
      </c>
      <c r="F494" s="42"/>
      <c r="G494" s="42"/>
      <c r="H494" s="43" t="n">
        <v>1</v>
      </c>
      <c r="I494" s="34" t="n">
        <f aca="false">E494*H494+N(F494)+N(G494)</f>
        <v>11035</v>
      </c>
      <c r="J494" s="42" t="n">
        <f aca="false">ROUND(IFERROR(ROUND(IF(OR(ISNUMBER(SEARCH("week",C494)),ISNUMBER(SEARCH("minggu",C494))),IFERROR(_xlfn.NUMBERVALUE(SUBSTITUTE(LEFT(TRIM(C494),FIND(" ",TRIM(C494)&amp;" ")-1),",","."),"."),LEFT(SUBSTITUTE(LEFT(TRIM(C494),FIND(" ",TRIM(C494)&amp;" ")-1),",","."),FIND("/",SUBSTITUTE(LEFT(TRIM(C494),FIND(" ",TRIM(C494)&amp;" ")-1),",","."))-1)/MID(SUBSTITUTE(LEFT(TRIM(C494),FIND(" ",TRIM(C494)&amp;" ")-1),",","."),FIND("/",SUBSTITUTE(LEFT(TRIM(C494),FIND(" ",TRIM(C494)&amp;" ")-1),",","."))+1,9))*12/52,IF(ISNUMBER(SEARCH("month",C494)),IFERROR(_xlfn.NUMBERVALUE(SUBSTITUTE(LEFT(TRIM(C494),FIND(" ",TRIM(C494)&amp;" ")-1),",","."),"."),LEFT(SUBSTITUTE(LEFT(TRIM(C494),FIND(" ",TRIM(C494)&amp;" ")-1),",","."),FIND("/",SUBSTITUTE(LEFT(TRIM(C494),FIND(" ",TRIM(C494)&amp;" ")-1),",","."))-1)/MID(SUBSTITUTE(LEFT(TRIM(C494),FIND(" ",TRIM(C494)&amp;" ")-1),",","."),FIND("/",SUBSTITUTE(LEFT(TRIM(C494),FIND(" ",TRIM(C494)&amp;" ")-1),",","."))+1,9)),IF(ISNUMBER(SEARCH("yea",C494)),IFERROR(_xlfn.NUMBERVALUE(SUBSTITUTE(LEFT(TRIM(C494),FIND(" ",TRIM(C494)&amp;" ")-1),",","."),"."),LEFT(SUBSTITUTE(LEFT(TRIM(C494),FIND(" ",TRIM(C494)&amp;" ")-1),",","."),FIND("/",SUBSTITUTE(LEFT(TRIM(C494),FIND(" ",TRIM(C494)&amp;" ")-1),",","."))-1)/MID(SUBSTITUTE(LEFT(TRIM(C494),FIND(" ",TRIM(C494)&amp;" ")-1),",","."),FIND("/",SUBSTITUTE(LEFT(TRIM(C494),FIND(" ",TRIM(C494)&amp;" ")-1),",","."))+1,9))*12,NA()))),0),12)*'Aturan &amp; Tarif'!$B$4,2)</f>
        <v>681.36</v>
      </c>
      <c r="K494" s="42" t="n">
        <f aca="false">'Aturan &amp; Tarif'!$B$5</f>
        <v>2050</v>
      </c>
      <c r="L494" s="35" t="n">
        <f aca="false">I494+J494+K494</f>
        <v>13766.36</v>
      </c>
      <c r="M494" s="45" t="s">
        <v>1678</v>
      </c>
    </row>
    <row r="495" customFormat="false" ht="14.25" hidden="false" customHeight="true" outlineLevel="0" collapsed="false">
      <c r="A495" s="39"/>
      <c r="B495" s="40" t="s">
        <v>1679</v>
      </c>
      <c r="C495" s="41" t="s">
        <v>130</v>
      </c>
      <c r="D495" s="41" t="s">
        <v>439</v>
      </c>
      <c r="E495" s="42" t="n">
        <v>9660</v>
      </c>
      <c r="F495" s="42"/>
      <c r="G495" s="42"/>
      <c r="H495" s="43" t="n">
        <v>1</v>
      </c>
      <c r="I495" s="34" t="n">
        <f aca="false">E495*H495+N(F495)+N(G495)</f>
        <v>9660</v>
      </c>
      <c r="J495" s="42" t="n">
        <f aca="false">ROUND(IFERROR(ROUND(IF(OR(ISNUMBER(SEARCH("week",C495)),ISNUMBER(SEARCH("minggu",C495))),IFERROR(_xlfn.NUMBERVALUE(SUBSTITUTE(LEFT(TRIM(C495),FIND(" ",TRIM(C495)&amp;" ")-1),",","."),"."),LEFT(SUBSTITUTE(LEFT(TRIM(C495),FIND(" ",TRIM(C495)&amp;" ")-1),",","."),FIND("/",SUBSTITUTE(LEFT(TRIM(C495),FIND(" ",TRIM(C495)&amp;" ")-1),",","."))-1)/MID(SUBSTITUTE(LEFT(TRIM(C495),FIND(" ",TRIM(C495)&amp;" ")-1),",","."),FIND("/",SUBSTITUTE(LEFT(TRIM(C495),FIND(" ",TRIM(C495)&amp;" ")-1),",","."))+1,9))*12/52,IF(ISNUMBER(SEARCH("month",C495)),IFERROR(_xlfn.NUMBERVALUE(SUBSTITUTE(LEFT(TRIM(C495),FIND(" ",TRIM(C495)&amp;" ")-1),",","."),"."),LEFT(SUBSTITUTE(LEFT(TRIM(C495),FIND(" ",TRIM(C495)&amp;" ")-1),",","."),FIND("/",SUBSTITUTE(LEFT(TRIM(C495),FIND(" ",TRIM(C495)&amp;" ")-1),",","."))-1)/MID(SUBSTITUTE(LEFT(TRIM(C495),FIND(" ",TRIM(C495)&amp;" ")-1),",","."),FIND("/",SUBSTITUTE(LEFT(TRIM(C495),FIND(" ",TRIM(C495)&amp;" ")-1),",","."))+1,9)),IF(ISNUMBER(SEARCH("yea",C495)),IFERROR(_xlfn.NUMBERVALUE(SUBSTITUTE(LEFT(TRIM(C495),FIND(" ",TRIM(C495)&amp;" ")-1),",","."),"."),LEFT(SUBSTITUTE(LEFT(TRIM(C495),FIND(" ",TRIM(C495)&amp;" ")-1),",","."),FIND("/",SUBSTITUTE(LEFT(TRIM(C495),FIND(" ",TRIM(C495)&amp;" ")-1),",","."))-1)/MID(SUBSTITUTE(LEFT(TRIM(C495),FIND(" ",TRIM(C495)&amp;" ")-1),",","."),FIND("/",SUBSTITUTE(LEFT(TRIM(C495),FIND(" ",TRIM(C495)&amp;" ")-1),",","."))+1,9))*12,NA()))),0),12)*'Aturan &amp; Tarif'!$B$4,2)</f>
        <v>681.36</v>
      </c>
      <c r="K495" s="42" t="n">
        <f aca="false">'Aturan &amp; Tarif'!$B$5</f>
        <v>2050</v>
      </c>
      <c r="L495" s="35" t="n">
        <f aca="false">I495+J495+K495</f>
        <v>12391.36</v>
      </c>
      <c r="M495" s="45" t="s">
        <v>1680</v>
      </c>
    </row>
    <row r="496" customFormat="false" ht="72" hidden="false" customHeight="true" outlineLevel="0" collapsed="false">
      <c r="A496" s="39"/>
      <c r="B496" s="40" t="s">
        <v>1681</v>
      </c>
      <c r="C496" s="41" t="s">
        <v>113</v>
      </c>
      <c r="D496" s="41" t="s">
        <v>108</v>
      </c>
      <c r="E496" s="42" t="n">
        <v>5553.75</v>
      </c>
      <c r="F496" s="42"/>
      <c r="G496" s="42"/>
      <c r="H496" s="43" t="n">
        <v>2</v>
      </c>
      <c r="I496" s="34" t="n">
        <f aca="false">E496*H496+N(F496)+N(G496)</f>
        <v>11107.5</v>
      </c>
      <c r="J496" s="42" t="n">
        <f aca="false">ROUND(IFERROR(ROUND(IF(OR(ISNUMBER(SEARCH("week",C496)),ISNUMBER(SEARCH("minggu",C496))),IFERROR(_xlfn.NUMBERVALUE(SUBSTITUTE(LEFT(TRIM(C496),FIND(" ",TRIM(C496)&amp;" ")-1),",","."),"."),LEFT(SUBSTITUTE(LEFT(TRIM(C496),FIND(" ",TRIM(C496)&amp;" ")-1),",","."),FIND("/",SUBSTITUTE(LEFT(TRIM(C496),FIND(" ",TRIM(C496)&amp;" ")-1),",","."))-1)/MID(SUBSTITUTE(LEFT(TRIM(C496),FIND(" ",TRIM(C496)&amp;" ")-1),",","."),FIND("/",SUBSTITUTE(LEFT(TRIM(C496),FIND(" ",TRIM(C496)&amp;" ")-1),",","."))+1,9))*12/52,IF(ISNUMBER(SEARCH("month",C496)),IFERROR(_xlfn.NUMBERVALUE(SUBSTITUTE(LEFT(TRIM(C496),FIND(" ",TRIM(C496)&amp;" ")-1),",","."),"."),LEFT(SUBSTITUTE(LEFT(TRIM(C496),FIND(" ",TRIM(C496)&amp;" ")-1),",","."),FIND("/",SUBSTITUTE(LEFT(TRIM(C496),FIND(" ",TRIM(C496)&amp;" ")-1),",","."))-1)/MID(SUBSTITUTE(LEFT(TRIM(C496),FIND(" ",TRIM(C496)&amp;" ")-1),",","."),FIND("/",SUBSTITUTE(LEFT(TRIM(C496),FIND(" ",TRIM(C496)&amp;" ")-1),",","."))+1,9)),IF(ISNUMBER(SEARCH("yea",C496)),IFERROR(_xlfn.NUMBERVALUE(SUBSTITUTE(LEFT(TRIM(C496),FIND(" ",TRIM(C496)&amp;" ")-1),",","."),"."),LEFT(SUBSTITUTE(LEFT(TRIM(C496),FIND(" ",TRIM(C496)&amp;" ")-1),",","."),FIND("/",SUBSTITUTE(LEFT(TRIM(C496),FIND(" ",TRIM(C496)&amp;" ")-1),",","."))-1)/MID(SUBSTITUTE(LEFT(TRIM(C496),FIND(" ",TRIM(C496)&amp;" ")-1),",","."),FIND("/",SUBSTITUTE(LEFT(TRIM(C496),FIND(" ",TRIM(C496)&amp;" ")-1),",","."))+1,9))*12,NA()))),0),18)*'Aturan &amp; Tarif'!$B$4,2)</f>
        <v>1022.04</v>
      </c>
      <c r="K496" s="42" t="n">
        <f aca="false">'Aturan &amp; Tarif'!$B$5</f>
        <v>2050</v>
      </c>
      <c r="L496" s="35" t="n">
        <f aca="false">I496+J496+K496</f>
        <v>14179.54</v>
      </c>
      <c r="M496" s="44" t="s">
        <v>1682</v>
      </c>
    </row>
    <row r="497" customFormat="false" ht="25.5" hidden="false" customHeight="true" outlineLevel="0" collapsed="false">
      <c r="A497" s="39"/>
      <c r="B497" s="40" t="s">
        <v>1683</v>
      </c>
      <c r="C497" s="41" t="s">
        <v>130</v>
      </c>
      <c r="D497" s="41" t="s">
        <v>439</v>
      </c>
      <c r="E497" s="42" t="n">
        <v>11107</v>
      </c>
      <c r="F497" s="42"/>
      <c r="G497" s="42"/>
      <c r="H497" s="43" t="n">
        <v>1</v>
      </c>
      <c r="I497" s="34" t="n">
        <f aca="false">E497*H497+N(F497)+N(G497)</f>
        <v>11107</v>
      </c>
      <c r="J497" s="42" t="n">
        <f aca="false">ROUND(IFERROR(ROUND(IF(OR(ISNUMBER(SEARCH("week",C497)),ISNUMBER(SEARCH("minggu",C497))),IFERROR(_xlfn.NUMBERVALUE(SUBSTITUTE(LEFT(TRIM(C497),FIND(" ",TRIM(C497)&amp;" ")-1),",","."),"."),LEFT(SUBSTITUTE(LEFT(TRIM(C497),FIND(" ",TRIM(C497)&amp;" ")-1),",","."),FIND("/",SUBSTITUTE(LEFT(TRIM(C497),FIND(" ",TRIM(C497)&amp;" ")-1),",","."))-1)/MID(SUBSTITUTE(LEFT(TRIM(C497),FIND(" ",TRIM(C497)&amp;" ")-1),",","."),FIND("/",SUBSTITUTE(LEFT(TRIM(C497),FIND(" ",TRIM(C497)&amp;" ")-1),",","."))+1,9))*12/52,IF(ISNUMBER(SEARCH("month",C497)),IFERROR(_xlfn.NUMBERVALUE(SUBSTITUTE(LEFT(TRIM(C497),FIND(" ",TRIM(C497)&amp;" ")-1),",","."),"."),LEFT(SUBSTITUTE(LEFT(TRIM(C497),FIND(" ",TRIM(C497)&amp;" ")-1),",","."),FIND("/",SUBSTITUTE(LEFT(TRIM(C497),FIND(" ",TRIM(C497)&amp;" ")-1),",","."))-1)/MID(SUBSTITUTE(LEFT(TRIM(C497),FIND(" ",TRIM(C497)&amp;" ")-1),",","."),FIND("/",SUBSTITUTE(LEFT(TRIM(C497),FIND(" ",TRIM(C497)&amp;" ")-1),",","."))+1,9)),IF(ISNUMBER(SEARCH("yea",C497)),IFERROR(_xlfn.NUMBERVALUE(SUBSTITUTE(LEFT(TRIM(C497),FIND(" ",TRIM(C497)&amp;" ")-1),",","."),"."),LEFT(SUBSTITUTE(LEFT(TRIM(C497),FIND(" ",TRIM(C497)&amp;" ")-1),",","."),FIND("/",SUBSTITUTE(LEFT(TRIM(C497),FIND(" ",TRIM(C497)&amp;" ")-1),",","."))-1)/MID(SUBSTITUTE(LEFT(TRIM(C497),FIND(" ",TRIM(C497)&amp;" ")-1),",","."),FIND("/",SUBSTITUTE(LEFT(TRIM(C497),FIND(" ",TRIM(C497)&amp;" ")-1),",","."))+1,9))*12,NA()))),0),12)*'Aturan &amp; Tarif'!$B$4,2)</f>
        <v>681.36</v>
      </c>
      <c r="K497" s="42" t="n">
        <f aca="false">'Aturan &amp; Tarif'!$B$5</f>
        <v>2050</v>
      </c>
      <c r="L497" s="35" t="n">
        <f aca="false">I497+J497+K497</f>
        <v>13838.36</v>
      </c>
      <c r="M497" s="45" t="s">
        <v>1684</v>
      </c>
    </row>
    <row r="498" customFormat="false" ht="60" hidden="false" customHeight="true" outlineLevel="0" collapsed="false">
      <c r="A498" s="39"/>
      <c r="B498" s="40" t="s">
        <v>1685</v>
      </c>
      <c r="C498" s="41" t="s">
        <v>107</v>
      </c>
      <c r="D498" s="41" t="s">
        <v>439</v>
      </c>
      <c r="E498" s="42" t="n">
        <v>10720</v>
      </c>
      <c r="F498" s="42" t="n">
        <v>2000</v>
      </c>
      <c r="G498" s="42"/>
      <c r="H498" s="43" t="n">
        <v>1</v>
      </c>
      <c r="I498" s="34" t="n">
        <f aca="false">E498*H498+N(F498)+N(G498)</f>
        <v>12720</v>
      </c>
      <c r="J498" s="42" t="n">
        <f aca="false">ROUND(IFERROR(ROUND(IF(OR(ISNUMBER(SEARCH("week",C498)),ISNUMBER(SEARCH("minggu",C498))),IFERROR(_xlfn.NUMBERVALUE(SUBSTITUTE(LEFT(TRIM(C498),FIND(" ",TRIM(C498)&amp;" ")-1),",","."),"."),LEFT(SUBSTITUTE(LEFT(TRIM(C498),FIND(" ",TRIM(C498)&amp;" ")-1),",","."),FIND("/",SUBSTITUTE(LEFT(TRIM(C498),FIND(" ",TRIM(C498)&amp;" ")-1),",","."))-1)/MID(SUBSTITUTE(LEFT(TRIM(C498),FIND(" ",TRIM(C498)&amp;" ")-1),",","."),FIND("/",SUBSTITUTE(LEFT(TRIM(C498),FIND(" ",TRIM(C498)&amp;" ")-1),",","."))+1,9))*12/52,IF(ISNUMBER(SEARCH("month",C498)),IFERROR(_xlfn.NUMBERVALUE(SUBSTITUTE(LEFT(TRIM(C498),FIND(" ",TRIM(C498)&amp;" ")-1),",","."),"."),LEFT(SUBSTITUTE(LEFT(TRIM(C498),FIND(" ",TRIM(C498)&amp;" ")-1),",","."),FIND("/",SUBSTITUTE(LEFT(TRIM(C498),FIND(" ",TRIM(C498)&amp;" ")-1),",","."))-1)/MID(SUBSTITUTE(LEFT(TRIM(C498),FIND(" ",TRIM(C498)&amp;" ")-1),",","."),FIND("/",SUBSTITUTE(LEFT(TRIM(C498),FIND(" ",TRIM(C498)&amp;" ")-1),",","."))+1,9)),IF(ISNUMBER(SEARCH("yea",C498)),IFERROR(_xlfn.NUMBERVALUE(SUBSTITUTE(LEFT(TRIM(C498),FIND(" ",TRIM(C498)&amp;" ")-1),",","."),"."),LEFT(SUBSTITUTE(LEFT(TRIM(C498),FIND(" ",TRIM(C498)&amp;" ")-1),",","."),FIND("/",SUBSTITUTE(LEFT(TRIM(C498),FIND(" ",TRIM(C498)&amp;" ")-1),",","."))-1)/MID(SUBSTITUTE(LEFT(TRIM(C498),FIND(" ",TRIM(C498)&amp;" ")-1),",","."),FIND("/",SUBSTITUTE(LEFT(TRIM(C498),FIND(" ",TRIM(C498)&amp;" ")-1),",","."))+1,9))*12,NA()))),0),24)*'Aturan &amp; Tarif'!$B$4,2)</f>
        <v>1362.72</v>
      </c>
      <c r="K498" s="42" t="n">
        <f aca="false">'Aturan &amp; Tarif'!$B$5</f>
        <v>2050</v>
      </c>
      <c r="L498" s="35" t="n">
        <f aca="false">I498+J498+K498</f>
        <v>16132.72</v>
      </c>
      <c r="M498" s="44" t="s">
        <v>1686</v>
      </c>
    </row>
    <row r="499" customFormat="false" ht="14.25" hidden="false" customHeight="true" outlineLevel="0" collapsed="false">
      <c r="A499" s="39"/>
      <c r="B499" s="40" t="s">
        <v>1687</v>
      </c>
      <c r="C499" s="41" t="s">
        <v>130</v>
      </c>
      <c r="D499" s="41" t="s">
        <v>439</v>
      </c>
      <c r="E499" s="42" t="n">
        <v>8135</v>
      </c>
      <c r="F499" s="42"/>
      <c r="G499" s="42"/>
      <c r="H499" s="43" t="n">
        <v>1</v>
      </c>
      <c r="I499" s="34" t="n">
        <f aca="false">E499*H499+N(F499)+N(G499)</f>
        <v>8135</v>
      </c>
      <c r="J499" s="42" t="n">
        <f aca="false">ROUND(IFERROR(ROUND(IF(OR(ISNUMBER(SEARCH("week",C499)),ISNUMBER(SEARCH("minggu",C499))),IFERROR(_xlfn.NUMBERVALUE(SUBSTITUTE(LEFT(TRIM(C499),FIND(" ",TRIM(C499)&amp;" ")-1),",","."),"."),LEFT(SUBSTITUTE(LEFT(TRIM(C499),FIND(" ",TRIM(C499)&amp;" ")-1),",","."),FIND("/",SUBSTITUTE(LEFT(TRIM(C499),FIND(" ",TRIM(C499)&amp;" ")-1),",","."))-1)/MID(SUBSTITUTE(LEFT(TRIM(C499),FIND(" ",TRIM(C499)&amp;" ")-1),",","."),FIND("/",SUBSTITUTE(LEFT(TRIM(C499),FIND(" ",TRIM(C499)&amp;" ")-1),",","."))+1,9))*12/52,IF(ISNUMBER(SEARCH("month",C499)),IFERROR(_xlfn.NUMBERVALUE(SUBSTITUTE(LEFT(TRIM(C499),FIND(" ",TRIM(C499)&amp;" ")-1),",","."),"."),LEFT(SUBSTITUTE(LEFT(TRIM(C499),FIND(" ",TRIM(C499)&amp;" ")-1),",","."),FIND("/",SUBSTITUTE(LEFT(TRIM(C499),FIND(" ",TRIM(C499)&amp;" ")-1),",","."))-1)/MID(SUBSTITUTE(LEFT(TRIM(C499),FIND(" ",TRIM(C499)&amp;" ")-1),",","."),FIND("/",SUBSTITUTE(LEFT(TRIM(C499),FIND(" ",TRIM(C499)&amp;" ")-1),",","."))+1,9)),IF(ISNUMBER(SEARCH("yea",C499)),IFERROR(_xlfn.NUMBERVALUE(SUBSTITUTE(LEFT(TRIM(C499),FIND(" ",TRIM(C499)&amp;" ")-1),",","."),"."),LEFT(SUBSTITUTE(LEFT(TRIM(C499),FIND(" ",TRIM(C499)&amp;" ")-1),",","."),FIND("/",SUBSTITUTE(LEFT(TRIM(C499),FIND(" ",TRIM(C499)&amp;" ")-1),",","."))-1)/MID(SUBSTITUTE(LEFT(TRIM(C499),FIND(" ",TRIM(C499)&amp;" ")-1),",","."),FIND("/",SUBSTITUTE(LEFT(TRIM(C499),FIND(" ",TRIM(C499)&amp;" ")-1),",","."))+1,9))*12,NA()))),0),12)*'Aturan &amp; Tarif'!$B$4,2)</f>
        <v>681.36</v>
      </c>
      <c r="K499" s="42" t="n">
        <f aca="false">'Aturan &amp; Tarif'!$B$5</f>
        <v>2050</v>
      </c>
      <c r="L499" s="35" t="n">
        <f aca="false">I499+J499+K499</f>
        <v>10866.36</v>
      </c>
      <c r="M499" s="45" t="s">
        <v>1688</v>
      </c>
    </row>
    <row r="500" customFormat="false" ht="25.5" hidden="false" customHeight="true" outlineLevel="0" collapsed="false">
      <c r="A500" s="39"/>
      <c r="B500" s="40" t="s">
        <v>1689</v>
      </c>
      <c r="C500" s="41" t="s">
        <v>344</v>
      </c>
      <c r="D500" s="41" t="s">
        <v>439</v>
      </c>
      <c r="E500" s="42" t="n">
        <v>8130</v>
      </c>
      <c r="F500" s="42" t="n">
        <v>800</v>
      </c>
      <c r="G500" s="42"/>
      <c r="H500" s="43" t="n">
        <v>1</v>
      </c>
      <c r="I500" s="34" t="n">
        <f aca="false">E500*H500+N(F500)+N(G500)</f>
        <v>8930</v>
      </c>
      <c r="J500" s="42" t="n">
        <f aca="false">ROUND(IFERROR(ROUND(IF(OR(ISNUMBER(SEARCH("week",C500)),ISNUMBER(SEARCH("minggu",C500))),IFERROR(_xlfn.NUMBERVALUE(SUBSTITUTE(LEFT(TRIM(C500),FIND(" ",TRIM(C500)&amp;" ")-1),",","."),"."),LEFT(SUBSTITUTE(LEFT(TRIM(C500),FIND(" ",TRIM(C500)&amp;" ")-1),",","."),FIND("/",SUBSTITUTE(LEFT(TRIM(C500),FIND(" ",TRIM(C500)&amp;" ")-1),",","."))-1)/MID(SUBSTITUTE(LEFT(TRIM(C500),FIND(" ",TRIM(C500)&amp;" ")-1),",","."),FIND("/",SUBSTITUTE(LEFT(TRIM(C500),FIND(" ",TRIM(C500)&amp;" ")-1),",","."))+1,9))*12/52,IF(ISNUMBER(SEARCH("month",C500)),IFERROR(_xlfn.NUMBERVALUE(SUBSTITUTE(LEFT(TRIM(C500),FIND(" ",TRIM(C500)&amp;" ")-1),",","."),"."),LEFT(SUBSTITUTE(LEFT(TRIM(C500),FIND(" ",TRIM(C500)&amp;" ")-1),",","."),FIND("/",SUBSTITUTE(LEFT(TRIM(C500),FIND(" ",TRIM(C500)&amp;" ")-1),",","."))-1)/MID(SUBSTITUTE(LEFT(TRIM(C500),FIND(" ",TRIM(C500)&amp;" ")-1),",","."),FIND("/",SUBSTITUTE(LEFT(TRIM(C500),FIND(" ",TRIM(C500)&amp;" ")-1),",","."))+1,9)),IF(ISNUMBER(SEARCH("yea",C500)),IFERROR(_xlfn.NUMBERVALUE(SUBSTITUTE(LEFT(TRIM(C500),FIND(" ",TRIM(C500)&amp;" ")-1),",","."),"."),LEFT(SUBSTITUTE(LEFT(TRIM(C500),FIND(" ",TRIM(C500)&amp;" ")-1),",","."),FIND("/",SUBSTITUTE(LEFT(TRIM(C500),FIND(" ",TRIM(C500)&amp;" ")-1),",","."))-1)/MID(SUBSTITUTE(LEFT(TRIM(C500),FIND(" ",TRIM(C500)&amp;" ")-1),",","."),FIND("/",SUBSTITUTE(LEFT(TRIM(C500),FIND(" ",TRIM(C500)&amp;" ")-1),",","."))+1,9))*12,NA()))),0),6)*'Aturan &amp; Tarif'!$B$4,2)</f>
        <v>340.68</v>
      </c>
      <c r="K500" s="42" t="n">
        <f aca="false">'Aturan &amp; Tarif'!$B$5</f>
        <v>2050</v>
      </c>
      <c r="L500" s="35" t="n">
        <f aca="false">I500+J500+K500</f>
        <v>11320.68</v>
      </c>
      <c r="M500" s="45" t="s">
        <v>1690</v>
      </c>
    </row>
    <row r="501" customFormat="false" ht="14.25" hidden="false" customHeight="true" outlineLevel="0" collapsed="false">
      <c r="A501" s="39"/>
      <c r="B501" s="40" t="s">
        <v>1691</v>
      </c>
      <c r="C501" s="41" t="s">
        <v>130</v>
      </c>
      <c r="D501" s="41" t="s">
        <v>108</v>
      </c>
      <c r="E501" s="42" t="n">
        <v>4126.6</v>
      </c>
      <c r="F501" s="42"/>
      <c r="G501" s="42"/>
      <c r="H501" s="43" t="n">
        <v>2</v>
      </c>
      <c r="I501" s="34" t="n">
        <f aca="false">E501*H501+N(F501)+N(G501)</f>
        <v>8253.2</v>
      </c>
      <c r="J501" s="42" t="n">
        <f aca="false">ROUND(IFERROR(ROUND(IF(OR(ISNUMBER(SEARCH("week",C501)),ISNUMBER(SEARCH("minggu",C501))),IFERROR(_xlfn.NUMBERVALUE(SUBSTITUTE(LEFT(TRIM(C501),FIND(" ",TRIM(C501)&amp;" ")-1),",","."),"."),LEFT(SUBSTITUTE(LEFT(TRIM(C501),FIND(" ",TRIM(C501)&amp;" ")-1),",","."),FIND("/",SUBSTITUTE(LEFT(TRIM(C501),FIND(" ",TRIM(C501)&amp;" ")-1),",","."))-1)/MID(SUBSTITUTE(LEFT(TRIM(C501),FIND(" ",TRIM(C501)&amp;" ")-1),",","."),FIND("/",SUBSTITUTE(LEFT(TRIM(C501),FIND(" ",TRIM(C501)&amp;" ")-1),",","."))+1,9))*12/52,IF(ISNUMBER(SEARCH("month",C501)),IFERROR(_xlfn.NUMBERVALUE(SUBSTITUTE(LEFT(TRIM(C501),FIND(" ",TRIM(C501)&amp;" ")-1),",","."),"."),LEFT(SUBSTITUTE(LEFT(TRIM(C501),FIND(" ",TRIM(C501)&amp;" ")-1),",","."),FIND("/",SUBSTITUTE(LEFT(TRIM(C501),FIND(" ",TRIM(C501)&amp;" ")-1),",","."))-1)/MID(SUBSTITUTE(LEFT(TRIM(C501),FIND(" ",TRIM(C501)&amp;" ")-1),",","."),FIND("/",SUBSTITUTE(LEFT(TRIM(C501),FIND(" ",TRIM(C501)&amp;" ")-1),",","."))+1,9)),IF(ISNUMBER(SEARCH("yea",C501)),IFERROR(_xlfn.NUMBERVALUE(SUBSTITUTE(LEFT(TRIM(C501),FIND(" ",TRIM(C501)&amp;" ")-1),",","."),"."),LEFT(SUBSTITUTE(LEFT(TRIM(C501),FIND(" ",TRIM(C501)&amp;" ")-1),",","."),FIND("/",SUBSTITUTE(LEFT(TRIM(C501),FIND(" ",TRIM(C501)&amp;" ")-1),",","."))-1)/MID(SUBSTITUTE(LEFT(TRIM(C501),FIND(" ",TRIM(C501)&amp;" ")-1),",","."),FIND("/",SUBSTITUTE(LEFT(TRIM(C501),FIND(" ",TRIM(C501)&amp;" ")-1),",","."))+1,9))*12,NA()))),0),12)*'Aturan &amp; Tarif'!$B$4,2)</f>
        <v>681.36</v>
      </c>
      <c r="K501" s="42" t="n">
        <f aca="false">'Aturan &amp; Tarif'!$B$5</f>
        <v>2050</v>
      </c>
      <c r="L501" s="35" t="n">
        <f aca="false">I501+J501+K501</f>
        <v>10984.56</v>
      </c>
      <c r="M501" s="45" t="s">
        <v>1692</v>
      </c>
    </row>
    <row r="502" customFormat="false" ht="72" hidden="false" customHeight="true" outlineLevel="0" collapsed="false">
      <c r="A502" s="39"/>
      <c r="B502" s="40" t="s">
        <v>1693</v>
      </c>
      <c r="C502" s="41" t="s">
        <v>113</v>
      </c>
      <c r="D502" s="41" t="s">
        <v>439</v>
      </c>
      <c r="E502" s="42" t="n">
        <v>6360</v>
      </c>
      <c r="F502" s="42" t="n">
        <v>200</v>
      </c>
      <c r="G502" s="42"/>
      <c r="H502" s="43" t="n">
        <v>1</v>
      </c>
      <c r="I502" s="34" t="n">
        <f aca="false">E502*H502+N(F502)+N(G502)</f>
        <v>6560</v>
      </c>
      <c r="J502" s="42" t="n">
        <f aca="false">ROUND(IFERROR(ROUND(IF(OR(ISNUMBER(SEARCH("week",C502)),ISNUMBER(SEARCH("minggu",C502))),IFERROR(_xlfn.NUMBERVALUE(SUBSTITUTE(LEFT(TRIM(C502),FIND(" ",TRIM(C502)&amp;" ")-1),",","."),"."),LEFT(SUBSTITUTE(LEFT(TRIM(C502),FIND(" ",TRIM(C502)&amp;" ")-1),",","."),FIND("/",SUBSTITUTE(LEFT(TRIM(C502),FIND(" ",TRIM(C502)&amp;" ")-1),",","."))-1)/MID(SUBSTITUTE(LEFT(TRIM(C502),FIND(" ",TRIM(C502)&amp;" ")-1),",","."),FIND("/",SUBSTITUTE(LEFT(TRIM(C502),FIND(" ",TRIM(C502)&amp;" ")-1),",","."))+1,9))*12/52,IF(ISNUMBER(SEARCH("month",C502)),IFERROR(_xlfn.NUMBERVALUE(SUBSTITUTE(LEFT(TRIM(C502),FIND(" ",TRIM(C502)&amp;" ")-1),",","."),"."),LEFT(SUBSTITUTE(LEFT(TRIM(C502),FIND(" ",TRIM(C502)&amp;" ")-1),",","."),FIND("/",SUBSTITUTE(LEFT(TRIM(C502),FIND(" ",TRIM(C502)&amp;" ")-1),",","."))-1)/MID(SUBSTITUTE(LEFT(TRIM(C502),FIND(" ",TRIM(C502)&amp;" ")-1),",","."),FIND("/",SUBSTITUTE(LEFT(TRIM(C502),FIND(" ",TRIM(C502)&amp;" ")-1),",","."))+1,9)),IF(ISNUMBER(SEARCH("yea",C502)),IFERROR(_xlfn.NUMBERVALUE(SUBSTITUTE(LEFT(TRIM(C502),FIND(" ",TRIM(C502)&amp;" ")-1),",","."),"."),LEFT(SUBSTITUTE(LEFT(TRIM(C502),FIND(" ",TRIM(C502)&amp;" ")-1),",","."),FIND("/",SUBSTITUTE(LEFT(TRIM(C502),FIND(" ",TRIM(C502)&amp;" ")-1),",","."))-1)/MID(SUBSTITUTE(LEFT(TRIM(C502),FIND(" ",TRIM(C502)&amp;" ")-1),",","."),FIND("/",SUBSTITUTE(LEFT(TRIM(C502),FIND(" ",TRIM(C502)&amp;" ")-1),",","."))+1,9))*12,NA()))),0),18)*'Aturan &amp; Tarif'!$B$4,2)</f>
        <v>1022.04</v>
      </c>
      <c r="K502" s="42" t="n">
        <f aca="false">'Aturan &amp; Tarif'!$B$5</f>
        <v>2050</v>
      </c>
      <c r="L502" s="35" t="n">
        <f aca="false">I502+J502+K502</f>
        <v>9632.04</v>
      </c>
      <c r="M502" s="44" t="s">
        <v>1694</v>
      </c>
    </row>
    <row r="503" customFormat="false" ht="25.5" hidden="false" customHeight="true" outlineLevel="0" collapsed="false">
      <c r="A503" s="39"/>
      <c r="B503" s="40" t="s">
        <v>1703</v>
      </c>
      <c r="C503" s="41" t="s">
        <v>130</v>
      </c>
      <c r="D503" s="41" t="s">
        <v>439</v>
      </c>
      <c r="E503" s="42" t="n">
        <v>7483</v>
      </c>
      <c r="F503" s="42" t="n">
        <v>126</v>
      </c>
      <c r="G503" s="42"/>
      <c r="H503" s="43" t="n">
        <v>1</v>
      </c>
      <c r="I503" s="34" t="n">
        <f aca="false">E503*H503+N(F503)+N(G503)</f>
        <v>7609</v>
      </c>
      <c r="J503" s="42" t="n">
        <f aca="false">ROUND(IFERROR(ROUND(IF(OR(ISNUMBER(SEARCH("week",C503)),ISNUMBER(SEARCH("minggu",C503))),IFERROR(_xlfn.NUMBERVALUE(SUBSTITUTE(LEFT(TRIM(C503),FIND(" ",TRIM(C503)&amp;" ")-1),",","."),"."),LEFT(SUBSTITUTE(LEFT(TRIM(C503),FIND(" ",TRIM(C503)&amp;" ")-1),",","."),FIND("/",SUBSTITUTE(LEFT(TRIM(C503),FIND(" ",TRIM(C503)&amp;" ")-1),",","."))-1)/MID(SUBSTITUTE(LEFT(TRIM(C503),FIND(" ",TRIM(C503)&amp;" ")-1),",","."),FIND("/",SUBSTITUTE(LEFT(TRIM(C503),FIND(" ",TRIM(C503)&amp;" ")-1),",","."))+1,9))*12/52,IF(ISNUMBER(SEARCH("month",C503)),IFERROR(_xlfn.NUMBERVALUE(SUBSTITUTE(LEFT(TRIM(C503),FIND(" ",TRIM(C503)&amp;" ")-1),",","."),"."),LEFT(SUBSTITUTE(LEFT(TRIM(C503),FIND(" ",TRIM(C503)&amp;" ")-1),",","."),FIND("/",SUBSTITUTE(LEFT(TRIM(C503),FIND(" ",TRIM(C503)&amp;" ")-1),",","."))-1)/MID(SUBSTITUTE(LEFT(TRIM(C503),FIND(" ",TRIM(C503)&amp;" ")-1),",","."),FIND("/",SUBSTITUTE(LEFT(TRIM(C503),FIND(" ",TRIM(C503)&amp;" ")-1),",","."))+1,9)),IF(ISNUMBER(SEARCH("yea",C503)),IFERROR(_xlfn.NUMBERVALUE(SUBSTITUTE(LEFT(TRIM(C503),FIND(" ",TRIM(C503)&amp;" ")-1),",","."),"."),LEFT(SUBSTITUTE(LEFT(TRIM(C503),FIND(" ",TRIM(C503)&amp;" ")-1),",","."),FIND("/",SUBSTITUTE(LEFT(TRIM(C503),FIND(" ",TRIM(C503)&amp;" ")-1),",","."))-1)/MID(SUBSTITUTE(LEFT(TRIM(C503),FIND(" ",TRIM(C503)&amp;" ")-1),",","."),FIND("/",SUBSTITUTE(LEFT(TRIM(C503),FIND(" ",TRIM(C503)&amp;" ")-1),",","."))+1,9))*12,NA()))),0),12)*'Aturan &amp; Tarif'!$B$4,2)</f>
        <v>681.36</v>
      </c>
      <c r="K503" s="42" t="n">
        <f aca="false">'Aturan &amp; Tarif'!$B$5</f>
        <v>2050</v>
      </c>
      <c r="L503" s="35" t="n">
        <f aca="false">I503+J503+K503</f>
        <v>10340.36</v>
      </c>
      <c r="M503" s="45" t="s">
        <v>1704</v>
      </c>
    </row>
    <row r="504" customFormat="false" ht="25.5" hidden="false" customHeight="true" outlineLevel="0" collapsed="false">
      <c r="A504" s="39"/>
      <c r="B504" s="40" t="s">
        <v>1705</v>
      </c>
      <c r="C504" s="41" t="s">
        <v>130</v>
      </c>
      <c r="D504" s="41" t="s">
        <v>439</v>
      </c>
      <c r="E504" s="42" t="n">
        <v>7510</v>
      </c>
      <c r="F504" s="42"/>
      <c r="G504" s="42"/>
      <c r="H504" s="43" t="n">
        <v>1</v>
      </c>
      <c r="I504" s="34" t="n">
        <f aca="false">E504*H504+N(F504)+N(G504)</f>
        <v>7510</v>
      </c>
      <c r="J504" s="42" t="n">
        <f aca="false">ROUND(IFERROR(ROUND(IF(OR(ISNUMBER(SEARCH("week",C504)),ISNUMBER(SEARCH("minggu",C504))),IFERROR(_xlfn.NUMBERVALUE(SUBSTITUTE(LEFT(TRIM(C504),FIND(" ",TRIM(C504)&amp;" ")-1),",","."),"."),LEFT(SUBSTITUTE(LEFT(TRIM(C504),FIND(" ",TRIM(C504)&amp;" ")-1),",","."),FIND("/",SUBSTITUTE(LEFT(TRIM(C504),FIND(" ",TRIM(C504)&amp;" ")-1),",","."))-1)/MID(SUBSTITUTE(LEFT(TRIM(C504),FIND(" ",TRIM(C504)&amp;" ")-1),",","."),FIND("/",SUBSTITUTE(LEFT(TRIM(C504),FIND(" ",TRIM(C504)&amp;" ")-1),",","."))+1,9))*12/52,IF(ISNUMBER(SEARCH("month",C504)),IFERROR(_xlfn.NUMBERVALUE(SUBSTITUTE(LEFT(TRIM(C504),FIND(" ",TRIM(C504)&amp;" ")-1),",","."),"."),LEFT(SUBSTITUTE(LEFT(TRIM(C504),FIND(" ",TRIM(C504)&amp;" ")-1),",","."),FIND("/",SUBSTITUTE(LEFT(TRIM(C504),FIND(" ",TRIM(C504)&amp;" ")-1),",","."))-1)/MID(SUBSTITUTE(LEFT(TRIM(C504),FIND(" ",TRIM(C504)&amp;" ")-1),",","."),FIND("/",SUBSTITUTE(LEFT(TRIM(C504),FIND(" ",TRIM(C504)&amp;" ")-1),",","."))+1,9)),IF(ISNUMBER(SEARCH("yea",C504)),IFERROR(_xlfn.NUMBERVALUE(SUBSTITUTE(LEFT(TRIM(C504),FIND(" ",TRIM(C504)&amp;" ")-1),",","."),"."),LEFT(SUBSTITUTE(LEFT(TRIM(C504),FIND(" ",TRIM(C504)&amp;" ")-1),",","."),FIND("/",SUBSTITUTE(LEFT(TRIM(C504),FIND(" ",TRIM(C504)&amp;" ")-1),",","."))-1)/MID(SUBSTITUTE(LEFT(TRIM(C504),FIND(" ",TRIM(C504)&amp;" ")-1),",","."),FIND("/",SUBSTITUTE(LEFT(TRIM(C504),FIND(" ",TRIM(C504)&amp;" ")-1),",","."))+1,9))*12,NA()))),0),12)*'Aturan &amp; Tarif'!$B$4,2)</f>
        <v>681.36</v>
      </c>
      <c r="K504" s="42" t="n">
        <f aca="false">'Aturan &amp; Tarif'!$B$5</f>
        <v>2050</v>
      </c>
      <c r="L504" s="35" t="n">
        <f aca="false">I504+J504+K504</f>
        <v>10241.36</v>
      </c>
      <c r="M504" s="45" t="s">
        <v>1706</v>
      </c>
    </row>
    <row r="505" customFormat="false" ht="14.25" hidden="false" customHeight="true" outlineLevel="0" collapsed="false">
      <c r="A505" s="39"/>
      <c r="B505" s="40" t="s">
        <v>1707</v>
      </c>
      <c r="C505" s="41" t="s">
        <v>130</v>
      </c>
      <c r="D505" s="41" t="s">
        <v>439</v>
      </c>
      <c r="E505" s="42" t="n">
        <v>9722</v>
      </c>
      <c r="F505" s="42" t="n">
        <v>400</v>
      </c>
      <c r="G505" s="42"/>
      <c r="H505" s="43" t="n">
        <v>1</v>
      </c>
      <c r="I505" s="34" t="n">
        <f aca="false">E505*H505+N(F505)+N(G505)</f>
        <v>10122</v>
      </c>
      <c r="J505" s="42" t="n">
        <f aca="false">ROUND(IFERROR(ROUND(IF(OR(ISNUMBER(SEARCH("week",C505)),ISNUMBER(SEARCH("minggu",C505))),IFERROR(_xlfn.NUMBERVALUE(SUBSTITUTE(LEFT(TRIM(C505),FIND(" ",TRIM(C505)&amp;" ")-1),",","."),"."),LEFT(SUBSTITUTE(LEFT(TRIM(C505),FIND(" ",TRIM(C505)&amp;" ")-1),",","."),FIND("/",SUBSTITUTE(LEFT(TRIM(C505),FIND(" ",TRIM(C505)&amp;" ")-1),",","."))-1)/MID(SUBSTITUTE(LEFT(TRIM(C505),FIND(" ",TRIM(C505)&amp;" ")-1),",","."),FIND("/",SUBSTITUTE(LEFT(TRIM(C505),FIND(" ",TRIM(C505)&amp;" ")-1),",","."))+1,9))*12/52,IF(ISNUMBER(SEARCH("month",C505)),IFERROR(_xlfn.NUMBERVALUE(SUBSTITUTE(LEFT(TRIM(C505),FIND(" ",TRIM(C505)&amp;" ")-1),",","."),"."),LEFT(SUBSTITUTE(LEFT(TRIM(C505),FIND(" ",TRIM(C505)&amp;" ")-1),",","."),FIND("/",SUBSTITUTE(LEFT(TRIM(C505),FIND(" ",TRIM(C505)&amp;" ")-1),",","."))-1)/MID(SUBSTITUTE(LEFT(TRIM(C505),FIND(" ",TRIM(C505)&amp;" ")-1),",","."),FIND("/",SUBSTITUTE(LEFT(TRIM(C505),FIND(" ",TRIM(C505)&amp;" ")-1),",","."))+1,9)),IF(ISNUMBER(SEARCH("yea",C505)),IFERROR(_xlfn.NUMBERVALUE(SUBSTITUTE(LEFT(TRIM(C505),FIND(" ",TRIM(C505)&amp;" ")-1),",","."),"."),LEFT(SUBSTITUTE(LEFT(TRIM(C505),FIND(" ",TRIM(C505)&amp;" ")-1),",","."),FIND("/",SUBSTITUTE(LEFT(TRIM(C505),FIND(" ",TRIM(C505)&amp;" ")-1),",","."))-1)/MID(SUBSTITUTE(LEFT(TRIM(C505),FIND(" ",TRIM(C505)&amp;" ")-1),",","."),FIND("/",SUBSTITUTE(LEFT(TRIM(C505),FIND(" ",TRIM(C505)&amp;" ")-1),",","."))+1,9))*12,NA()))),0),12)*'Aturan &amp; Tarif'!$B$4,2)</f>
        <v>681.36</v>
      </c>
      <c r="K505" s="42" t="n">
        <f aca="false">'Aturan &amp; Tarif'!$B$5</f>
        <v>2050</v>
      </c>
      <c r="L505" s="35" t="n">
        <f aca="false">I505+J505+K505</f>
        <v>12853.36</v>
      </c>
      <c r="M505" s="45" t="s">
        <v>1708</v>
      </c>
    </row>
    <row r="506" customFormat="false" ht="60" hidden="false" customHeight="true" outlineLevel="0" collapsed="false">
      <c r="A506" s="39"/>
      <c r="B506" s="40" t="s">
        <v>1709</v>
      </c>
      <c r="C506" s="41" t="s">
        <v>107</v>
      </c>
      <c r="D506" s="41" t="s">
        <v>439</v>
      </c>
      <c r="E506" s="42" t="n">
        <v>11695</v>
      </c>
      <c r="F506" s="42" t="n">
        <v>2300</v>
      </c>
      <c r="G506" s="42"/>
      <c r="H506" s="43" t="n">
        <v>1</v>
      </c>
      <c r="I506" s="34" t="n">
        <f aca="false">E506*H506+N(F506)+N(G506)</f>
        <v>13995</v>
      </c>
      <c r="J506" s="42" t="n">
        <f aca="false">ROUND(IFERROR(ROUND(IF(OR(ISNUMBER(SEARCH("week",C506)),ISNUMBER(SEARCH("minggu",C506))),IFERROR(_xlfn.NUMBERVALUE(SUBSTITUTE(LEFT(TRIM(C506),FIND(" ",TRIM(C506)&amp;" ")-1),",","."),"."),LEFT(SUBSTITUTE(LEFT(TRIM(C506),FIND(" ",TRIM(C506)&amp;" ")-1),",","."),FIND("/",SUBSTITUTE(LEFT(TRIM(C506),FIND(" ",TRIM(C506)&amp;" ")-1),",","."))-1)/MID(SUBSTITUTE(LEFT(TRIM(C506),FIND(" ",TRIM(C506)&amp;" ")-1),",","."),FIND("/",SUBSTITUTE(LEFT(TRIM(C506),FIND(" ",TRIM(C506)&amp;" ")-1),",","."))+1,9))*12/52,IF(ISNUMBER(SEARCH("month",C506)),IFERROR(_xlfn.NUMBERVALUE(SUBSTITUTE(LEFT(TRIM(C506),FIND(" ",TRIM(C506)&amp;" ")-1),",","."),"."),LEFT(SUBSTITUTE(LEFT(TRIM(C506),FIND(" ",TRIM(C506)&amp;" ")-1),",","."),FIND("/",SUBSTITUTE(LEFT(TRIM(C506),FIND(" ",TRIM(C506)&amp;" ")-1),",","."))-1)/MID(SUBSTITUTE(LEFT(TRIM(C506),FIND(" ",TRIM(C506)&amp;" ")-1),",","."),FIND("/",SUBSTITUTE(LEFT(TRIM(C506),FIND(" ",TRIM(C506)&amp;" ")-1),",","."))+1,9)),IF(ISNUMBER(SEARCH("yea",C506)),IFERROR(_xlfn.NUMBERVALUE(SUBSTITUTE(LEFT(TRIM(C506),FIND(" ",TRIM(C506)&amp;" ")-1),",","."),"."),LEFT(SUBSTITUTE(LEFT(TRIM(C506),FIND(" ",TRIM(C506)&amp;" ")-1),",","."),FIND("/",SUBSTITUTE(LEFT(TRIM(C506),FIND(" ",TRIM(C506)&amp;" ")-1),",","."))-1)/MID(SUBSTITUTE(LEFT(TRIM(C506),FIND(" ",TRIM(C506)&amp;" ")-1),",","."),FIND("/",SUBSTITUTE(LEFT(TRIM(C506),FIND(" ",TRIM(C506)&amp;" ")-1),",","."))+1,9))*12,NA()))),0),24)*'Aturan &amp; Tarif'!$B$4,2)</f>
        <v>1362.72</v>
      </c>
      <c r="K506" s="42" t="n">
        <f aca="false">'Aturan &amp; Tarif'!$B$5</f>
        <v>2050</v>
      </c>
      <c r="L506" s="35" t="n">
        <f aca="false">I506+J506+K506</f>
        <v>17407.72</v>
      </c>
      <c r="M506" s="44" t="s">
        <v>1710</v>
      </c>
    </row>
    <row r="507" customFormat="false" ht="72" hidden="false" customHeight="true" outlineLevel="0" collapsed="false">
      <c r="A507" s="39"/>
      <c r="B507" s="40" t="s">
        <v>1145</v>
      </c>
      <c r="C507" s="41" t="s">
        <v>107</v>
      </c>
      <c r="D507" s="41" t="s">
        <v>108</v>
      </c>
      <c r="E507" s="42" t="n">
        <v>9544</v>
      </c>
      <c r="F507" s="42" t="n">
        <v>1500</v>
      </c>
      <c r="G507" s="42"/>
      <c r="H507" s="43" t="n">
        <v>2</v>
      </c>
      <c r="I507" s="34" t="n">
        <f aca="false">E507*H507+N(F507)+N(G507)</f>
        <v>20588</v>
      </c>
      <c r="J507" s="42" t="n">
        <f aca="false">ROUND(IFERROR(ROUND(IF(OR(ISNUMBER(SEARCH("week",C507)),ISNUMBER(SEARCH("minggu",C507))),IFERROR(_xlfn.NUMBERVALUE(SUBSTITUTE(LEFT(TRIM(C507),FIND(" ",TRIM(C507)&amp;" ")-1),",","."),"."),LEFT(SUBSTITUTE(LEFT(TRIM(C507),FIND(" ",TRIM(C507)&amp;" ")-1),",","."),FIND("/",SUBSTITUTE(LEFT(TRIM(C507),FIND(" ",TRIM(C507)&amp;" ")-1),",","."))-1)/MID(SUBSTITUTE(LEFT(TRIM(C507),FIND(" ",TRIM(C507)&amp;" ")-1),",","."),FIND("/",SUBSTITUTE(LEFT(TRIM(C507),FIND(" ",TRIM(C507)&amp;" ")-1),",","."))+1,9))*12/52,IF(ISNUMBER(SEARCH("month",C507)),IFERROR(_xlfn.NUMBERVALUE(SUBSTITUTE(LEFT(TRIM(C507),FIND(" ",TRIM(C507)&amp;" ")-1),",","."),"."),LEFT(SUBSTITUTE(LEFT(TRIM(C507),FIND(" ",TRIM(C507)&amp;" ")-1),",","."),FIND("/",SUBSTITUTE(LEFT(TRIM(C507),FIND(" ",TRIM(C507)&amp;" ")-1),",","."))-1)/MID(SUBSTITUTE(LEFT(TRIM(C507),FIND(" ",TRIM(C507)&amp;" ")-1),",","."),FIND("/",SUBSTITUTE(LEFT(TRIM(C507),FIND(" ",TRIM(C507)&amp;" ")-1),",","."))+1,9)),IF(ISNUMBER(SEARCH("yea",C507)),IFERROR(_xlfn.NUMBERVALUE(SUBSTITUTE(LEFT(TRIM(C507),FIND(" ",TRIM(C507)&amp;" ")-1),",","."),"."),LEFT(SUBSTITUTE(LEFT(TRIM(C507),FIND(" ",TRIM(C507)&amp;" ")-1),",","."),FIND("/",SUBSTITUTE(LEFT(TRIM(C507),FIND(" ",TRIM(C507)&amp;" ")-1),",","."))-1)/MID(SUBSTITUTE(LEFT(TRIM(C507),FIND(" ",TRIM(C507)&amp;" ")-1),",","."),FIND("/",SUBSTITUTE(LEFT(TRIM(C507),FIND(" ",TRIM(C507)&amp;" ")-1),",","."))+1,9))*12,NA()))),0),24)*'Aturan &amp; Tarif'!$B$4,2)</f>
        <v>1362.72</v>
      </c>
      <c r="K507" s="42" t="n">
        <f aca="false">'Aturan &amp; Tarif'!$B$5</f>
        <v>2050</v>
      </c>
      <c r="L507" s="35" t="n">
        <f aca="false">I507+J507+K507</f>
        <v>24000.72</v>
      </c>
      <c r="M507" s="44" t="s">
        <v>1711</v>
      </c>
    </row>
    <row r="508" customFormat="false" ht="60" hidden="false" customHeight="true" outlineLevel="0" collapsed="false">
      <c r="A508" s="39"/>
      <c r="B508" s="40" t="s">
        <v>1712</v>
      </c>
      <c r="C508" s="41" t="s">
        <v>107</v>
      </c>
      <c r="D508" s="41" t="s">
        <v>439</v>
      </c>
      <c r="E508" s="42" t="n">
        <v>19631</v>
      </c>
      <c r="F508" s="42" t="n">
        <v>10000</v>
      </c>
      <c r="G508" s="42"/>
      <c r="H508" s="43" t="n">
        <v>1</v>
      </c>
      <c r="I508" s="34" t="n">
        <f aca="false">E508*H508+N(F508)+N(G508)</f>
        <v>29631</v>
      </c>
      <c r="J508" s="42" t="n">
        <f aca="false">ROUND(IFERROR(ROUND(IF(OR(ISNUMBER(SEARCH("week",C508)),ISNUMBER(SEARCH("minggu",C508))),IFERROR(_xlfn.NUMBERVALUE(SUBSTITUTE(LEFT(TRIM(C508),FIND(" ",TRIM(C508)&amp;" ")-1),",","."),"."),LEFT(SUBSTITUTE(LEFT(TRIM(C508),FIND(" ",TRIM(C508)&amp;" ")-1),",","."),FIND("/",SUBSTITUTE(LEFT(TRIM(C508),FIND(" ",TRIM(C508)&amp;" ")-1),",","."))-1)/MID(SUBSTITUTE(LEFT(TRIM(C508),FIND(" ",TRIM(C508)&amp;" ")-1),",","."),FIND("/",SUBSTITUTE(LEFT(TRIM(C508),FIND(" ",TRIM(C508)&amp;" ")-1),",","."))+1,9))*12/52,IF(ISNUMBER(SEARCH("month",C508)),IFERROR(_xlfn.NUMBERVALUE(SUBSTITUTE(LEFT(TRIM(C508),FIND(" ",TRIM(C508)&amp;" ")-1),",","."),"."),LEFT(SUBSTITUTE(LEFT(TRIM(C508),FIND(" ",TRIM(C508)&amp;" ")-1),",","."),FIND("/",SUBSTITUTE(LEFT(TRIM(C508),FIND(" ",TRIM(C508)&amp;" ")-1),",","."))-1)/MID(SUBSTITUTE(LEFT(TRIM(C508),FIND(" ",TRIM(C508)&amp;" ")-1),",","."),FIND("/",SUBSTITUTE(LEFT(TRIM(C508),FIND(" ",TRIM(C508)&amp;" ")-1),",","."))+1,9)),IF(ISNUMBER(SEARCH("yea",C508)),IFERROR(_xlfn.NUMBERVALUE(SUBSTITUTE(LEFT(TRIM(C508),FIND(" ",TRIM(C508)&amp;" ")-1),",","."),"."),LEFT(SUBSTITUTE(LEFT(TRIM(C508),FIND(" ",TRIM(C508)&amp;" ")-1),",","."),FIND("/",SUBSTITUTE(LEFT(TRIM(C508),FIND(" ",TRIM(C508)&amp;" ")-1),",","."))-1)/MID(SUBSTITUTE(LEFT(TRIM(C508),FIND(" ",TRIM(C508)&amp;" ")-1),",","."),FIND("/",SUBSTITUTE(LEFT(TRIM(C508),FIND(" ",TRIM(C508)&amp;" ")-1),",","."))+1,9))*12,NA()))),0),24)*'Aturan &amp; Tarif'!$B$4,2)</f>
        <v>1362.72</v>
      </c>
      <c r="K508" s="42" t="n">
        <f aca="false">'Aturan &amp; Tarif'!$B$5</f>
        <v>2050</v>
      </c>
      <c r="L508" s="35" t="n">
        <f aca="false">I508+J508+K508</f>
        <v>33043.72</v>
      </c>
      <c r="M508" s="44" t="s">
        <v>1713</v>
      </c>
    </row>
    <row r="509" customFormat="false" ht="14.25" hidden="false" customHeight="true" outlineLevel="0" collapsed="false">
      <c r="A509" s="39"/>
      <c r="B509" s="40" t="s">
        <v>990</v>
      </c>
      <c r="C509" s="41" t="s">
        <v>130</v>
      </c>
      <c r="D509" s="41" t="s">
        <v>108</v>
      </c>
      <c r="E509" s="42" t="n">
        <v>4375</v>
      </c>
      <c r="F509" s="42" t="n">
        <v>1065</v>
      </c>
      <c r="G509" s="42"/>
      <c r="H509" s="43" t="n">
        <v>2</v>
      </c>
      <c r="I509" s="34" t="n">
        <f aca="false">E509*H509+N(F509)+N(G509)</f>
        <v>9815</v>
      </c>
      <c r="J509" s="42" t="n">
        <f aca="false">ROUND(IFERROR(ROUND(IF(OR(ISNUMBER(SEARCH("week",C509)),ISNUMBER(SEARCH("minggu",C509))),IFERROR(_xlfn.NUMBERVALUE(SUBSTITUTE(LEFT(TRIM(C509),FIND(" ",TRIM(C509)&amp;" ")-1),",","."),"."),LEFT(SUBSTITUTE(LEFT(TRIM(C509),FIND(" ",TRIM(C509)&amp;" ")-1),",","."),FIND("/",SUBSTITUTE(LEFT(TRIM(C509),FIND(" ",TRIM(C509)&amp;" ")-1),",","."))-1)/MID(SUBSTITUTE(LEFT(TRIM(C509),FIND(" ",TRIM(C509)&amp;" ")-1),",","."),FIND("/",SUBSTITUTE(LEFT(TRIM(C509),FIND(" ",TRIM(C509)&amp;" ")-1),",","."))+1,9))*12/52,IF(ISNUMBER(SEARCH("month",C509)),IFERROR(_xlfn.NUMBERVALUE(SUBSTITUTE(LEFT(TRIM(C509),FIND(" ",TRIM(C509)&amp;" ")-1),",","."),"."),LEFT(SUBSTITUTE(LEFT(TRIM(C509),FIND(" ",TRIM(C509)&amp;" ")-1),",","."),FIND("/",SUBSTITUTE(LEFT(TRIM(C509),FIND(" ",TRIM(C509)&amp;" ")-1),",","."))-1)/MID(SUBSTITUTE(LEFT(TRIM(C509),FIND(" ",TRIM(C509)&amp;" ")-1),",","."),FIND("/",SUBSTITUTE(LEFT(TRIM(C509),FIND(" ",TRIM(C509)&amp;" ")-1),",","."))+1,9)),IF(ISNUMBER(SEARCH("yea",C509)),IFERROR(_xlfn.NUMBERVALUE(SUBSTITUTE(LEFT(TRIM(C509),FIND(" ",TRIM(C509)&amp;" ")-1),",","."),"."),LEFT(SUBSTITUTE(LEFT(TRIM(C509),FIND(" ",TRIM(C509)&amp;" ")-1),",","."),FIND("/",SUBSTITUTE(LEFT(TRIM(C509),FIND(" ",TRIM(C509)&amp;" ")-1),",","."))-1)/MID(SUBSTITUTE(LEFT(TRIM(C509),FIND(" ",TRIM(C509)&amp;" ")-1),",","."),FIND("/",SUBSTITUTE(LEFT(TRIM(C509),FIND(" ",TRIM(C509)&amp;" ")-1),",","."))+1,9))*12,NA()))),0),12)*'Aturan &amp; Tarif'!$B$4,2)</f>
        <v>681.36</v>
      </c>
      <c r="K509" s="42" t="n">
        <f aca="false">'Aturan &amp; Tarif'!$B$5</f>
        <v>2050</v>
      </c>
      <c r="L509" s="35" t="n">
        <f aca="false">I509+J509+K509</f>
        <v>12546.36</v>
      </c>
      <c r="M509" s="45" t="s">
        <v>1714</v>
      </c>
    </row>
    <row r="510" customFormat="false" ht="14.25" hidden="false" customHeight="true" outlineLevel="0" collapsed="false">
      <c r="A510" s="39"/>
      <c r="B510" s="40" t="s">
        <v>1715</v>
      </c>
      <c r="C510" s="41" t="s">
        <v>344</v>
      </c>
      <c r="D510" s="41" t="s">
        <v>439</v>
      </c>
      <c r="E510" s="42" t="n">
        <v>8130</v>
      </c>
      <c r="F510" s="42" t="n">
        <v>85</v>
      </c>
      <c r="G510" s="42"/>
      <c r="H510" s="43" t="n">
        <v>1</v>
      </c>
      <c r="I510" s="34" t="n">
        <f aca="false">E510*H510+N(F510)+N(G510)</f>
        <v>8215</v>
      </c>
      <c r="J510" s="42" t="n">
        <f aca="false">ROUND(IFERROR(ROUND(IF(OR(ISNUMBER(SEARCH("week",C510)),ISNUMBER(SEARCH("minggu",C510))),IFERROR(_xlfn.NUMBERVALUE(SUBSTITUTE(LEFT(TRIM(C510),FIND(" ",TRIM(C510)&amp;" ")-1),",","."),"."),LEFT(SUBSTITUTE(LEFT(TRIM(C510),FIND(" ",TRIM(C510)&amp;" ")-1),",","."),FIND("/",SUBSTITUTE(LEFT(TRIM(C510),FIND(" ",TRIM(C510)&amp;" ")-1),",","."))-1)/MID(SUBSTITUTE(LEFT(TRIM(C510),FIND(" ",TRIM(C510)&amp;" ")-1),",","."),FIND("/",SUBSTITUTE(LEFT(TRIM(C510),FIND(" ",TRIM(C510)&amp;" ")-1),",","."))+1,9))*12/52,IF(ISNUMBER(SEARCH("month",C510)),IFERROR(_xlfn.NUMBERVALUE(SUBSTITUTE(LEFT(TRIM(C510),FIND(" ",TRIM(C510)&amp;" ")-1),",","."),"."),LEFT(SUBSTITUTE(LEFT(TRIM(C510),FIND(" ",TRIM(C510)&amp;" ")-1),",","."),FIND("/",SUBSTITUTE(LEFT(TRIM(C510),FIND(" ",TRIM(C510)&amp;" ")-1),",","."))-1)/MID(SUBSTITUTE(LEFT(TRIM(C510),FIND(" ",TRIM(C510)&amp;" ")-1),",","."),FIND("/",SUBSTITUTE(LEFT(TRIM(C510),FIND(" ",TRIM(C510)&amp;" ")-1),",","."))+1,9)),IF(ISNUMBER(SEARCH("yea",C510)),IFERROR(_xlfn.NUMBERVALUE(SUBSTITUTE(LEFT(TRIM(C510),FIND(" ",TRIM(C510)&amp;" ")-1),",","."),"."),LEFT(SUBSTITUTE(LEFT(TRIM(C510),FIND(" ",TRIM(C510)&amp;" ")-1),",","."),FIND("/",SUBSTITUTE(LEFT(TRIM(C510),FIND(" ",TRIM(C510)&amp;" ")-1),",","."))-1)/MID(SUBSTITUTE(LEFT(TRIM(C510),FIND(" ",TRIM(C510)&amp;" ")-1),",","."),FIND("/",SUBSTITUTE(LEFT(TRIM(C510),FIND(" ",TRIM(C510)&amp;" ")-1),",","."))+1,9))*12,NA()))),0),6)*'Aturan &amp; Tarif'!$B$4,2)</f>
        <v>340.68</v>
      </c>
      <c r="K510" s="42" t="n">
        <f aca="false">'Aturan &amp; Tarif'!$B$5</f>
        <v>2050</v>
      </c>
      <c r="L510" s="35" t="n">
        <f aca="false">I510+J510+K510</f>
        <v>10605.68</v>
      </c>
      <c r="M510" s="45" t="s">
        <v>1716</v>
      </c>
    </row>
    <row r="511" customFormat="false" ht="14.25" hidden="false" customHeight="true" outlineLevel="0" collapsed="false">
      <c r="A511" s="39"/>
      <c r="B511" s="40" t="s">
        <v>1717</v>
      </c>
      <c r="C511" s="41" t="s">
        <v>344</v>
      </c>
      <c r="D511" s="41" t="s">
        <v>108</v>
      </c>
      <c r="E511" s="42" t="n">
        <v>4343</v>
      </c>
      <c r="F511" s="42" t="n">
        <v>235</v>
      </c>
      <c r="G511" s="42"/>
      <c r="H511" s="43" t="n">
        <v>2</v>
      </c>
      <c r="I511" s="34" t="n">
        <f aca="false">E511*H511+N(F511)+N(G511)</f>
        <v>8921</v>
      </c>
      <c r="J511" s="42" t="n">
        <f aca="false">ROUND(IFERROR(ROUND(IF(OR(ISNUMBER(SEARCH("week",C511)),ISNUMBER(SEARCH("minggu",C511))),IFERROR(_xlfn.NUMBERVALUE(SUBSTITUTE(LEFT(TRIM(C511),FIND(" ",TRIM(C511)&amp;" ")-1),",","."),"."),LEFT(SUBSTITUTE(LEFT(TRIM(C511),FIND(" ",TRIM(C511)&amp;" ")-1),",","."),FIND("/",SUBSTITUTE(LEFT(TRIM(C511),FIND(" ",TRIM(C511)&amp;" ")-1),",","."))-1)/MID(SUBSTITUTE(LEFT(TRIM(C511),FIND(" ",TRIM(C511)&amp;" ")-1),",","."),FIND("/",SUBSTITUTE(LEFT(TRIM(C511),FIND(" ",TRIM(C511)&amp;" ")-1),",","."))+1,9))*12/52,IF(ISNUMBER(SEARCH("month",C511)),IFERROR(_xlfn.NUMBERVALUE(SUBSTITUTE(LEFT(TRIM(C511),FIND(" ",TRIM(C511)&amp;" ")-1),",","."),"."),LEFT(SUBSTITUTE(LEFT(TRIM(C511),FIND(" ",TRIM(C511)&amp;" ")-1),",","."),FIND("/",SUBSTITUTE(LEFT(TRIM(C511),FIND(" ",TRIM(C511)&amp;" ")-1),",","."))-1)/MID(SUBSTITUTE(LEFT(TRIM(C511),FIND(" ",TRIM(C511)&amp;" ")-1),",","."),FIND("/",SUBSTITUTE(LEFT(TRIM(C511),FIND(" ",TRIM(C511)&amp;" ")-1),",","."))+1,9)),IF(ISNUMBER(SEARCH("yea",C511)),IFERROR(_xlfn.NUMBERVALUE(SUBSTITUTE(LEFT(TRIM(C511),FIND(" ",TRIM(C511)&amp;" ")-1),",","."),"."),LEFT(SUBSTITUTE(LEFT(TRIM(C511),FIND(" ",TRIM(C511)&amp;" ")-1),",","."),FIND("/",SUBSTITUTE(LEFT(TRIM(C511),FIND(" ",TRIM(C511)&amp;" ")-1),",","."))-1)/MID(SUBSTITUTE(LEFT(TRIM(C511),FIND(" ",TRIM(C511)&amp;" ")-1),",","."),FIND("/",SUBSTITUTE(LEFT(TRIM(C511),FIND(" ",TRIM(C511)&amp;" ")-1),",","."))+1,9))*12,NA()))),0),6)*'Aturan &amp; Tarif'!$B$4,2)</f>
        <v>340.68</v>
      </c>
      <c r="K511" s="42" t="n">
        <f aca="false">'Aturan &amp; Tarif'!$B$5</f>
        <v>2050</v>
      </c>
      <c r="L511" s="35" t="n">
        <f aca="false">I511+J511+K511</f>
        <v>11311.68</v>
      </c>
      <c r="M511" s="45" t="s">
        <v>1718</v>
      </c>
    </row>
    <row r="512" customFormat="false" ht="14.25" hidden="false" customHeight="true" outlineLevel="0" collapsed="false">
      <c r="A512" s="39"/>
      <c r="B512" s="40" t="s">
        <v>1719</v>
      </c>
      <c r="C512" s="41" t="s">
        <v>130</v>
      </c>
      <c r="D512" s="41" t="s">
        <v>108</v>
      </c>
      <c r="E512" s="42" t="n">
        <v>3046</v>
      </c>
      <c r="F512" s="42" t="n">
        <v>90</v>
      </c>
      <c r="G512" s="42"/>
      <c r="H512" s="43" t="n">
        <v>2</v>
      </c>
      <c r="I512" s="34" t="n">
        <f aca="false">E512*H512+N(F512)+N(G512)</f>
        <v>6182</v>
      </c>
      <c r="J512" s="42" t="n">
        <f aca="false">ROUND(IFERROR(ROUND(IF(OR(ISNUMBER(SEARCH("week",C512)),ISNUMBER(SEARCH("minggu",C512))),IFERROR(_xlfn.NUMBERVALUE(SUBSTITUTE(LEFT(TRIM(C512),FIND(" ",TRIM(C512)&amp;" ")-1),",","."),"."),LEFT(SUBSTITUTE(LEFT(TRIM(C512),FIND(" ",TRIM(C512)&amp;" ")-1),",","."),FIND("/",SUBSTITUTE(LEFT(TRIM(C512),FIND(" ",TRIM(C512)&amp;" ")-1),",","."))-1)/MID(SUBSTITUTE(LEFT(TRIM(C512),FIND(" ",TRIM(C512)&amp;" ")-1),",","."),FIND("/",SUBSTITUTE(LEFT(TRIM(C512),FIND(" ",TRIM(C512)&amp;" ")-1),",","."))+1,9))*12/52,IF(ISNUMBER(SEARCH("month",C512)),IFERROR(_xlfn.NUMBERVALUE(SUBSTITUTE(LEFT(TRIM(C512),FIND(" ",TRIM(C512)&amp;" ")-1),",","."),"."),LEFT(SUBSTITUTE(LEFT(TRIM(C512),FIND(" ",TRIM(C512)&amp;" ")-1),",","."),FIND("/",SUBSTITUTE(LEFT(TRIM(C512),FIND(" ",TRIM(C512)&amp;" ")-1),",","."))-1)/MID(SUBSTITUTE(LEFT(TRIM(C512),FIND(" ",TRIM(C512)&amp;" ")-1),",","."),FIND("/",SUBSTITUTE(LEFT(TRIM(C512),FIND(" ",TRIM(C512)&amp;" ")-1),",","."))+1,9)),IF(ISNUMBER(SEARCH("yea",C512)),IFERROR(_xlfn.NUMBERVALUE(SUBSTITUTE(LEFT(TRIM(C512),FIND(" ",TRIM(C512)&amp;" ")-1),",","."),"."),LEFT(SUBSTITUTE(LEFT(TRIM(C512),FIND(" ",TRIM(C512)&amp;" ")-1),",","."),FIND("/",SUBSTITUTE(LEFT(TRIM(C512),FIND(" ",TRIM(C512)&amp;" ")-1),",","."))-1)/MID(SUBSTITUTE(LEFT(TRIM(C512),FIND(" ",TRIM(C512)&amp;" ")-1),",","."),FIND("/",SUBSTITUTE(LEFT(TRIM(C512),FIND(" ",TRIM(C512)&amp;" ")-1),",","."))+1,9))*12,NA()))),0),12)*'Aturan &amp; Tarif'!$B$4,2)</f>
        <v>681.36</v>
      </c>
      <c r="K512" s="42" t="n">
        <f aca="false">'Aturan &amp; Tarif'!$B$5</f>
        <v>2050</v>
      </c>
      <c r="L512" s="35" t="n">
        <f aca="false">I512+J512+K512</f>
        <v>8913.36</v>
      </c>
      <c r="M512" s="45" t="s">
        <v>1720</v>
      </c>
    </row>
    <row r="513" customFormat="false" ht="14.25" hidden="false" customHeight="true" outlineLevel="0" collapsed="false">
      <c r="A513" s="39"/>
      <c r="B513" s="40" t="s">
        <v>983</v>
      </c>
      <c r="C513" s="41" t="s">
        <v>130</v>
      </c>
      <c r="D513" s="41" t="s">
        <v>439</v>
      </c>
      <c r="E513" s="42" t="n">
        <v>8750</v>
      </c>
      <c r="F513" s="42" t="n">
        <v>1065</v>
      </c>
      <c r="G513" s="42"/>
      <c r="H513" s="43" t="n">
        <v>1</v>
      </c>
      <c r="I513" s="34" t="n">
        <f aca="false">E513*H513+N(F513)+N(G513)</f>
        <v>9815</v>
      </c>
      <c r="J513" s="42" t="n">
        <f aca="false">ROUND(IFERROR(ROUND(IF(OR(ISNUMBER(SEARCH("week",C513)),ISNUMBER(SEARCH("minggu",C513))),IFERROR(_xlfn.NUMBERVALUE(SUBSTITUTE(LEFT(TRIM(C513),FIND(" ",TRIM(C513)&amp;" ")-1),",","."),"."),LEFT(SUBSTITUTE(LEFT(TRIM(C513),FIND(" ",TRIM(C513)&amp;" ")-1),",","."),FIND("/",SUBSTITUTE(LEFT(TRIM(C513),FIND(" ",TRIM(C513)&amp;" ")-1),",","."))-1)/MID(SUBSTITUTE(LEFT(TRIM(C513),FIND(" ",TRIM(C513)&amp;" ")-1),",","."),FIND("/",SUBSTITUTE(LEFT(TRIM(C513),FIND(" ",TRIM(C513)&amp;" ")-1),",","."))+1,9))*12/52,IF(ISNUMBER(SEARCH("month",C513)),IFERROR(_xlfn.NUMBERVALUE(SUBSTITUTE(LEFT(TRIM(C513),FIND(" ",TRIM(C513)&amp;" ")-1),",","."),"."),LEFT(SUBSTITUTE(LEFT(TRIM(C513),FIND(" ",TRIM(C513)&amp;" ")-1),",","."),FIND("/",SUBSTITUTE(LEFT(TRIM(C513),FIND(" ",TRIM(C513)&amp;" ")-1),",","."))-1)/MID(SUBSTITUTE(LEFT(TRIM(C513),FIND(" ",TRIM(C513)&amp;" ")-1),",","."),FIND("/",SUBSTITUTE(LEFT(TRIM(C513),FIND(" ",TRIM(C513)&amp;" ")-1),",","."))+1,9)),IF(ISNUMBER(SEARCH("yea",C513)),IFERROR(_xlfn.NUMBERVALUE(SUBSTITUTE(LEFT(TRIM(C513),FIND(" ",TRIM(C513)&amp;" ")-1),",","."),"."),LEFT(SUBSTITUTE(LEFT(TRIM(C513),FIND(" ",TRIM(C513)&amp;" ")-1),",","."),FIND("/",SUBSTITUTE(LEFT(TRIM(C513),FIND(" ",TRIM(C513)&amp;" ")-1),",","."))-1)/MID(SUBSTITUTE(LEFT(TRIM(C513),FIND(" ",TRIM(C513)&amp;" ")-1),",","."),FIND("/",SUBSTITUTE(LEFT(TRIM(C513),FIND(" ",TRIM(C513)&amp;" ")-1),",","."))+1,9))*12,NA()))),0),12)*'Aturan &amp; Tarif'!$B$4,2)</f>
        <v>681.36</v>
      </c>
      <c r="K513" s="42" t="n">
        <f aca="false">'Aturan &amp; Tarif'!$B$5</f>
        <v>2050</v>
      </c>
      <c r="L513" s="35" t="n">
        <f aca="false">I513+J513+K513</f>
        <v>12546.36</v>
      </c>
      <c r="M513" s="45" t="s">
        <v>1721</v>
      </c>
    </row>
    <row r="514" customFormat="false" ht="14.25" hidden="false" customHeight="true" outlineLevel="0" collapsed="false">
      <c r="A514" s="39"/>
      <c r="B514" s="40" t="s">
        <v>992</v>
      </c>
      <c r="C514" s="41" t="s">
        <v>344</v>
      </c>
      <c r="D514" s="41" t="s">
        <v>439</v>
      </c>
      <c r="E514" s="42" t="n">
        <v>13025</v>
      </c>
      <c r="F514" s="42" t="n">
        <v>500</v>
      </c>
      <c r="G514" s="42"/>
      <c r="H514" s="43" t="n">
        <v>1</v>
      </c>
      <c r="I514" s="34" t="n">
        <f aca="false">E514*H514+N(F514)+N(G514)</f>
        <v>13525</v>
      </c>
      <c r="J514" s="42" t="n">
        <f aca="false">ROUND(IFERROR(ROUND(IF(OR(ISNUMBER(SEARCH("week",C514)),ISNUMBER(SEARCH("minggu",C514))),IFERROR(_xlfn.NUMBERVALUE(SUBSTITUTE(LEFT(TRIM(C514),FIND(" ",TRIM(C514)&amp;" ")-1),",","."),"."),LEFT(SUBSTITUTE(LEFT(TRIM(C514),FIND(" ",TRIM(C514)&amp;" ")-1),",","."),FIND("/",SUBSTITUTE(LEFT(TRIM(C514),FIND(" ",TRIM(C514)&amp;" ")-1),",","."))-1)/MID(SUBSTITUTE(LEFT(TRIM(C514),FIND(" ",TRIM(C514)&amp;" ")-1),",","."),FIND("/",SUBSTITUTE(LEFT(TRIM(C514),FIND(" ",TRIM(C514)&amp;" ")-1),",","."))+1,9))*12/52,IF(ISNUMBER(SEARCH("month",C514)),IFERROR(_xlfn.NUMBERVALUE(SUBSTITUTE(LEFT(TRIM(C514),FIND(" ",TRIM(C514)&amp;" ")-1),",","."),"."),LEFT(SUBSTITUTE(LEFT(TRIM(C514),FIND(" ",TRIM(C514)&amp;" ")-1),",","."),FIND("/",SUBSTITUTE(LEFT(TRIM(C514),FIND(" ",TRIM(C514)&amp;" ")-1),",","."))-1)/MID(SUBSTITUTE(LEFT(TRIM(C514),FIND(" ",TRIM(C514)&amp;" ")-1),",","."),FIND("/",SUBSTITUTE(LEFT(TRIM(C514),FIND(" ",TRIM(C514)&amp;" ")-1),",","."))+1,9)),IF(ISNUMBER(SEARCH("yea",C514)),IFERROR(_xlfn.NUMBERVALUE(SUBSTITUTE(LEFT(TRIM(C514),FIND(" ",TRIM(C514)&amp;" ")-1),",","."),"."),LEFT(SUBSTITUTE(LEFT(TRIM(C514),FIND(" ",TRIM(C514)&amp;" ")-1),",","."),FIND("/",SUBSTITUTE(LEFT(TRIM(C514),FIND(" ",TRIM(C514)&amp;" ")-1),",","."))-1)/MID(SUBSTITUTE(LEFT(TRIM(C514),FIND(" ",TRIM(C514)&amp;" ")-1),",","."),FIND("/",SUBSTITUTE(LEFT(TRIM(C514),FIND(" ",TRIM(C514)&amp;" ")-1),",","."))+1,9))*12,NA()))),0),6)*'Aturan &amp; Tarif'!$B$4,2)</f>
        <v>340.68</v>
      </c>
      <c r="K514" s="42" t="n">
        <f aca="false">'Aturan &amp; Tarif'!$B$5</f>
        <v>2050</v>
      </c>
      <c r="L514" s="35" t="n">
        <f aca="false">I514+J514+K514</f>
        <v>15915.68</v>
      </c>
      <c r="M514" s="45" t="s">
        <v>1722</v>
      </c>
    </row>
    <row r="515" customFormat="false" ht="14.25" hidden="false" customHeight="true" outlineLevel="0" collapsed="false">
      <c r="A515" s="39"/>
      <c r="B515" s="40" t="s">
        <v>1723</v>
      </c>
      <c r="C515" s="41" t="s">
        <v>344</v>
      </c>
      <c r="D515" s="41" t="s">
        <v>108</v>
      </c>
      <c r="E515" s="42" t="n">
        <v>4895</v>
      </c>
      <c r="F515" s="42" t="n">
        <v>40</v>
      </c>
      <c r="G515" s="42"/>
      <c r="H515" s="43" t="n">
        <v>2</v>
      </c>
      <c r="I515" s="34" t="n">
        <f aca="false">E515*H515+N(F515)+N(G515)</f>
        <v>9830</v>
      </c>
      <c r="J515" s="42" t="n">
        <f aca="false">ROUND(IFERROR(ROUND(IF(OR(ISNUMBER(SEARCH("week",C515)),ISNUMBER(SEARCH("minggu",C515))),IFERROR(_xlfn.NUMBERVALUE(SUBSTITUTE(LEFT(TRIM(C515),FIND(" ",TRIM(C515)&amp;" ")-1),",","."),"."),LEFT(SUBSTITUTE(LEFT(TRIM(C515),FIND(" ",TRIM(C515)&amp;" ")-1),",","."),FIND("/",SUBSTITUTE(LEFT(TRIM(C515),FIND(" ",TRIM(C515)&amp;" ")-1),",","."))-1)/MID(SUBSTITUTE(LEFT(TRIM(C515),FIND(" ",TRIM(C515)&amp;" ")-1),",","."),FIND("/",SUBSTITUTE(LEFT(TRIM(C515),FIND(" ",TRIM(C515)&amp;" ")-1),",","."))+1,9))*12/52,IF(ISNUMBER(SEARCH("month",C515)),IFERROR(_xlfn.NUMBERVALUE(SUBSTITUTE(LEFT(TRIM(C515),FIND(" ",TRIM(C515)&amp;" ")-1),",","."),"."),LEFT(SUBSTITUTE(LEFT(TRIM(C515),FIND(" ",TRIM(C515)&amp;" ")-1),",","."),FIND("/",SUBSTITUTE(LEFT(TRIM(C515),FIND(" ",TRIM(C515)&amp;" ")-1),",","."))-1)/MID(SUBSTITUTE(LEFT(TRIM(C515),FIND(" ",TRIM(C515)&amp;" ")-1),",","."),FIND("/",SUBSTITUTE(LEFT(TRIM(C515),FIND(" ",TRIM(C515)&amp;" ")-1),",","."))+1,9)),IF(ISNUMBER(SEARCH("yea",C515)),IFERROR(_xlfn.NUMBERVALUE(SUBSTITUTE(LEFT(TRIM(C515),FIND(" ",TRIM(C515)&amp;" ")-1),",","."),"."),LEFT(SUBSTITUTE(LEFT(TRIM(C515),FIND(" ",TRIM(C515)&amp;" ")-1),",","."),FIND("/",SUBSTITUTE(LEFT(TRIM(C515),FIND(" ",TRIM(C515)&amp;" ")-1),",","."))-1)/MID(SUBSTITUTE(LEFT(TRIM(C515),FIND(" ",TRIM(C515)&amp;" ")-1),",","."),FIND("/",SUBSTITUTE(LEFT(TRIM(C515),FIND(" ",TRIM(C515)&amp;" ")-1),",","."))+1,9))*12,NA()))),0),6)*'Aturan &amp; Tarif'!$B$4,2)</f>
        <v>340.68</v>
      </c>
      <c r="K515" s="42" t="n">
        <f aca="false">'Aturan &amp; Tarif'!$B$5</f>
        <v>2050</v>
      </c>
      <c r="L515" s="35" t="n">
        <f aca="false">I515+J515+K515</f>
        <v>12220.68</v>
      </c>
      <c r="M515" s="45" t="s">
        <v>1724</v>
      </c>
    </row>
    <row r="516" customFormat="false" ht="14.25" hidden="false" customHeight="true" outlineLevel="0" collapsed="false">
      <c r="A516" s="39"/>
      <c r="B516" s="40" t="s">
        <v>985</v>
      </c>
      <c r="C516" s="41" t="s">
        <v>344</v>
      </c>
      <c r="D516" s="41" t="s">
        <v>439</v>
      </c>
      <c r="E516" s="42" t="n">
        <v>12435</v>
      </c>
      <c r="F516" s="42" t="n">
        <v>515</v>
      </c>
      <c r="G516" s="42"/>
      <c r="H516" s="43" t="n">
        <v>1</v>
      </c>
      <c r="I516" s="34" t="n">
        <f aca="false">E516*H516+N(F516)+N(G516)</f>
        <v>12950</v>
      </c>
      <c r="J516" s="42" t="n">
        <f aca="false">ROUND(IFERROR(ROUND(IF(OR(ISNUMBER(SEARCH("week",C516)),ISNUMBER(SEARCH("minggu",C516))),IFERROR(_xlfn.NUMBERVALUE(SUBSTITUTE(LEFT(TRIM(C516),FIND(" ",TRIM(C516)&amp;" ")-1),",","."),"."),LEFT(SUBSTITUTE(LEFT(TRIM(C516),FIND(" ",TRIM(C516)&amp;" ")-1),",","."),FIND("/",SUBSTITUTE(LEFT(TRIM(C516),FIND(" ",TRIM(C516)&amp;" ")-1),",","."))-1)/MID(SUBSTITUTE(LEFT(TRIM(C516),FIND(" ",TRIM(C516)&amp;" ")-1),",","."),FIND("/",SUBSTITUTE(LEFT(TRIM(C516),FIND(" ",TRIM(C516)&amp;" ")-1),",","."))+1,9))*12/52,IF(ISNUMBER(SEARCH("month",C516)),IFERROR(_xlfn.NUMBERVALUE(SUBSTITUTE(LEFT(TRIM(C516),FIND(" ",TRIM(C516)&amp;" ")-1),",","."),"."),LEFT(SUBSTITUTE(LEFT(TRIM(C516),FIND(" ",TRIM(C516)&amp;" ")-1),",","."),FIND("/",SUBSTITUTE(LEFT(TRIM(C516),FIND(" ",TRIM(C516)&amp;" ")-1),",","."))-1)/MID(SUBSTITUTE(LEFT(TRIM(C516),FIND(" ",TRIM(C516)&amp;" ")-1),",","."),FIND("/",SUBSTITUTE(LEFT(TRIM(C516),FIND(" ",TRIM(C516)&amp;" ")-1),",","."))+1,9)),IF(ISNUMBER(SEARCH("yea",C516)),IFERROR(_xlfn.NUMBERVALUE(SUBSTITUTE(LEFT(TRIM(C516),FIND(" ",TRIM(C516)&amp;" ")-1),",","."),"."),LEFT(SUBSTITUTE(LEFT(TRIM(C516),FIND(" ",TRIM(C516)&amp;" ")-1),",","."),FIND("/",SUBSTITUTE(LEFT(TRIM(C516),FIND(" ",TRIM(C516)&amp;" ")-1),",","."))-1)/MID(SUBSTITUTE(LEFT(TRIM(C516),FIND(" ",TRIM(C516)&amp;" ")-1),",","."),FIND("/",SUBSTITUTE(LEFT(TRIM(C516),FIND(" ",TRIM(C516)&amp;" ")-1),",","."))+1,9))*12,NA()))),0),6)*'Aturan &amp; Tarif'!$B$4,2)</f>
        <v>340.68</v>
      </c>
      <c r="K516" s="42" t="n">
        <f aca="false">'Aturan &amp; Tarif'!$B$5</f>
        <v>2050</v>
      </c>
      <c r="L516" s="35" t="n">
        <f aca="false">I516+J516+K516</f>
        <v>15340.68</v>
      </c>
      <c r="M516" s="45" t="s">
        <v>1725</v>
      </c>
    </row>
    <row r="517" customFormat="false" ht="14.25" hidden="false" customHeight="true" outlineLevel="0" collapsed="false">
      <c r="A517" s="39"/>
      <c r="B517" s="40" t="s">
        <v>1726</v>
      </c>
      <c r="C517" s="41" t="s">
        <v>130</v>
      </c>
      <c r="D517" s="41" t="s">
        <v>439</v>
      </c>
      <c r="E517" s="42" t="n">
        <v>8127</v>
      </c>
      <c r="F517" s="42"/>
      <c r="G517" s="42"/>
      <c r="H517" s="43" t="n">
        <v>1</v>
      </c>
      <c r="I517" s="34" t="n">
        <f aca="false">E517*H517+N(F517)+N(G517)</f>
        <v>8127</v>
      </c>
      <c r="J517" s="42" t="n">
        <f aca="false">ROUND(IFERROR(ROUND(IF(OR(ISNUMBER(SEARCH("week",C517)),ISNUMBER(SEARCH("minggu",C517))),IFERROR(_xlfn.NUMBERVALUE(SUBSTITUTE(LEFT(TRIM(C517),FIND(" ",TRIM(C517)&amp;" ")-1),",","."),"."),LEFT(SUBSTITUTE(LEFT(TRIM(C517),FIND(" ",TRIM(C517)&amp;" ")-1),",","."),FIND("/",SUBSTITUTE(LEFT(TRIM(C517),FIND(" ",TRIM(C517)&amp;" ")-1),",","."))-1)/MID(SUBSTITUTE(LEFT(TRIM(C517),FIND(" ",TRIM(C517)&amp;" ")-1),",","."),FIND("/",SUBSTITUTE(LEFT(TRIM(C517),FIND(" ",TRIM(C517)&amp;" ")-1),",","."))+1,9))*12/52,IF(ISNUMBER(SEARCH("month",C517)),IFERROR(_xlfn.NUMBERVALUE(SUBSTITUTE(LEFT(TRIM(C517),FIND(" ",TRIM(C517)&amp;" ")-1),",","."),"."),LEFT(SUBSTITUTE(LEFT(TRIM(C517),FIND(" ",TRIM(C517)&amp;" ")-1),",","."),FIND("/",SUBSTITUTE(LEFT(TRIM(C517),FIND(" ",TRIM(C517)&amp;" ")-1),",","."))-1)/MID(SUBSTITUTE(LEFT(TRIM(C517),FIND(" ",TRIM(C517)&amp;" ")-1),",","."),FIND("/",SUBSTITUTE(LEFT(TRIM(C517),FIND(" ",TRIM(C517)&amp;" ")-1),",","."))+1,9)),IF(ISNUMBER(SEARCH("yea",C517)),IFERROR(_xlfn.NUMBERVALUE(SUBSTITUTE(LEFT(TRIM(C517),FIND(" ",TRIM(C517)&amp;" ")-1),",","."),"."),LEFT(SUBSTITUTE(LEFT(TRIM(C517),FIND(" ",TRIM(C517)&amp;" ")-1),",","."),FIND("/",SUBSTITUTE(LEFT(TRIM(C517),FIND(" ",TRIM(C517)&amp;" ")-1),",","."))-1)/MID(SUBSTITUTE(LEFT(TRIM(C517),FIND(" ",TRIM(C517)&amp;" ")-1),",","."),FIND("/",SUBSTITUTE(LEFT(TRIM(C517),FIND(" ",TRIM(C517)&amp;" ")-1),",","."))+1,9))*12,NA()))),0),12)*'Aturan &amp; Tarif'!$B$4,2)</f>
        <v>681.36</v>
      </c>
      <c r="K517" s="42" t="n">
        <f aca="false">'Aturan &amp; Tarif'!$B$5</f>
        <v>2050</v>
      </c>
      <c r="L517" s="35" t="n">
        <f aca="false">I517+J517+K517</f>
        <v>10858.36</v>
      </c>
      <c r="M517" s="45" t="s">
        <v>1727</v>
      </c>
    </row>
    <row r="518" customFormat="false" ht="14.25" hidden="false" customHeight="true" outlineLevel="0" collapsed="false">
      <c r="A518" s="39"/>
      <c r="B518" s="40" t="s">
        <v>1728</v>
      </c>
      <c r="C518" s="41" t="s">
        <v>130</v>
      </c>
      <c r="D518" s="41" t="s">
        <v>439</v>
      </c>
      <c r="E518" s="42" t="n">
        <v>8127</v>
      </c>
      <c r="F518" s="42" t="n">
        <v>85</v>
      </c>
      <c r="G518" s="42"/>
      <c r="H518" s="43" t="n">
        <v>1</v>
      </c>
      <c r="I518" s="34" t="n">
        <f aca="false">E518*H518+N(F518)+N(G518)</f>
        <v>8212</v>
      </c>
      <c r="J518" s="42" t="n">
        <f aca="false">ROUND(IFERROR(ROUND(IF(OR(ISNUMBER(SEARCH("week",C518)),ISNUMBER(SEARCH("minggu",C518))),IFERROR(_xlfn.NUMBERVALUE(SUBSTITUTE(LEFT(TRIM(C518),FIND(" ",TRIM(C518)&amp;" ")-1),",","."),"."),LEFT(SUBSTITUTE(LEFT(TRIM(C518),FIND(" ",TRIM(C518)&amp;" ")-1),",","."),FIND("/",SUBSTITUTE(LEFT(TRIM(C518),FIND(" ",TRIM(C518)&amp;" ")-1),",","."))-1)/MID(SUBSTITUTE(LEFT(TRIM(C518),FIND(" ",TRIM(C518)&amp;" ")-1),",","."),FIND("/",SUBSTITUTE(LEFT(TRIM(C518),FIND(" ",TRIM(C518)&amp;" ")-1),",","."))+1,9))*12/52,IF(ISNUMBER(SEARCH("month",C518)),IFERROR(_xlfn.NUMBERVALUE(SUBSTITUTE(LEFT(TRIM(C518),FIND(" ",TRIM(C518)&amp;" ")-1),",","."),"."),LEFT(SUBSTITUTE(LEFT(TRIM(C518),FIND(" ",TRIM(C518)&amp;" ")-1),",","."),FIND("/",SUBSTITUTE(LEFT(TRIM(C518),FIND(" ",TRIM(C518)&amp;" ")-1),",","."))-1)/MID(SUBSTITUTE(LEFT(TRIM(C518),FIND(" ",TRIM(C518)&amp;" ")-1),",","."),FIND("/",SUBSTITUTE(LEFT(TRIM(C518),FIND(" ",TRIM(C518)&amp;" ")-1),",","."))+1,9)),IF(ISNUMBER(SEARCH("yea",C518)),IFERROR(_xlfn.NUMBERVALUE(SUBSTITUTE(LEFT(TRIM(C518),FIND(" ",TRIM(C518)&amp;" ")-1),",","."),"."),LEFT(SUBSTITUTE(LEFT(TRIM(C518),FIND(" ",TRIM(C518)&amp;" ")-1),",","."),FIND("/",SUBSTITUTE(LEFT(TRIM(C518),FIND(" ",TRIM(C518)&amp;" ")-1),",","."))-1)/MID(SUBSTITUTE(LEFT(TRIM(C518),FIND(" ",TRIM(C518)&amp;" ")-1),",","."),FIND("/",SUBSTITUTE(LEFT(TRIM(C518),FIND(" ",TRIM(C518)&amp;" ")-1),",","."))+1,9))*12,NA()))),0),12)*'Aturan &amp; Tarif'!$B$4,2)</f>
        <v>681.36</v>
      </c>
      <c r="K518" s="42" t="n">
        <f aca="false">'Aturan &amp; Tarif'!$B$5</f>
        <v>2050</v>
      </c>
      <c r="L518" s="35" t="n">
        <f aca="false">I518+J518+K518</f>
        <v>10943.36</v>
      </c>
      <c r="M518" s="45" t="s">
        <v>1729</v>
      </c>
    </row>
    <row r="519" customFormat="false" ht="14.25" hidden="false" customHeight="true" outlineLevel="0" collapsed="false">
      <c r="A519" s="39"/>
      <c r="B519" s="40" t="s">
        <v>1730</v>
      </c>
      <c r="C519" s="41" t="s">
        <v>130</v>
      </c>
      <c r="D519" s="41" t="s">
        <v>439</v>
      </c>
      <c r="E519" s="42" t="n">
        <v>8495</v>
      </c>
      <c r="F519" s="42" t="n">
        <v>160</v>
      </c>
      <c r="G519" s="42"/>
      <c r="H519" s="43" t="n">
        <v>1</v>
      </c>
      <c r="I519" s="34" t="n">
        <f aca="false">E519*H519+N(F519)+N(G519)</f>
        <v>8655</v>
      </c>
      <c r="J519" s="42" t="n">
        <f aca="false">ROUND(IFERROR(ROUND(IF(OR(ISNUMBER(SEARCH("week",C519)),ISNUMBER(SEARCH("minggu",C519))),IFERROR(_xlfn.NUMBERVALUE(SUBSTITUTE(LEFT(TRIM(C519),FIND(" ",TRIM(C519)&amp;" ")-1),",","."),"."),LEFT(SUBSTITUTE(LEFT(TRIM(C519),FIND(" ",TRIM(C519)&amp;" ")-1),",","."),FIND("/",SUBSTITUTE(LEFT(TRIM(C519),FIND(" ",TRIM(C519)&amp;" ")-1),",","."))-1)/MID(SUBSTITUTE(LEFT(TRIM(C519),FIND(" ",TRIM(C519)&amp;" ")-1),",","."),FIND("/",SUBSTITUTE(LEFT(TRIM(C519),FIND(" ",TRIM(C519)&amp;" ")-1),",","."))+1,9))*12/52,IF(ISNUMBER(SEARCH("month",C519)),IFERROR(_xlfn.NUMBERVALUE(SUBSTITUTE(LEFT(TRIM(C519),FIND(" ",TRIM(C519)&amp;" ")-1),",","."),"."),LEFT(SUBSTITUTE(LEFT(TRIM(C519),FIND(" ",TRIM(C519)&amp;" ")-1),",","."),FIND("/",SUBSTITUTE(LEFT(TRIM(C519),FIND(" ",TRIM(C519)&amp;" ")-1),",","."))-1)/MID(SUBSTITUTE(LEFT(TRIM(C519),FIND(" ",TRIM(C519)&amp;" ")-1),",","."),FIND("/",SUBSTITUTE(LEFT(TRIM(C519),FIND(" ",TRIM(C519)&amp;" ")-1),",","."))+1,9)),IF(ISNUMBER(SEARCH("yea",C519)),IFERROR(_xlfn.NUMBERVALUE(SUBSTITUTE(LEFT(TRIM(C519),FIND(" ",TRIM(C519)&amp;" ")-1),",","."),"."),LEFT(SUBSTITUTE(LEFT(TRIM(C519),FIND(" ",TRIM(C519)&amp;" ")-1),",","."),FIND("/",SUBSTITUTE(LEFT(TRIM(C519),FIND(" ",TRIM(C519)&amp;" ")-1),",","."))-1)/MID(SUBSTITUTE(LEFT(TRIM(C519),FIND(" ",TRIM(C519)&amp;" ")-1),",","."),FIND("/",SUBSTITUTE(LEFT(TRIM(C519),FIND(" ",TRIM(C519)&amp;" ")-1),",","."))+1,9))*12,NA()))),0),12)*'Aturan &amp; Tarif'!$B$4,2)</f>
        <v>681.36</v>
      </c>
      <c r="K519" s="42" t="n">
        <f aca="false">'Aturan &amp; Tarif'!$B$5</f>
        <v>2050</v>
      </c>
      <c r="L519" s="35" t="n">
        <f aca="false">I519+J519+K519</f>
        <v>11386.36</v>
      </c>
      <c r="M519" s="45" t="s">
        <v>1731</v>
      </c>
    </row>
    <row r="520" customFormat="false" ht="14.25" hidden="false" customHeight="true" outlineLevel="0" collapsed="false">
      <c r="A520" s="39"/>
      <c r="B520" s="40" t="s">
        <v>1732</v>
      </c>
      <c r="C520" s="41" t="s">
        <v>344</v>
      </c>
      <c r="D520" s="41" t="s">
        <v>439</v>
      </c>
      <c r="E520" s="42" t="n">
        <v>6065</v>
      </c>
      <c r="F520" s="42" t="n">
        <v>0</v>
      </c>
      <c r="G520" s="42"/>
      <c r="H520" s="43" t="n">
        <v>1</v>
      </c>
      <c r="I520" s="34" t="n">
        <f aca="false">E520*H520+N(F520)+N(G520)</f>
        <v>6065</v>
      </c>
      <c r="J520" s="42" t="n">
        <f aca="false">ROUND(IFERROR(ROUND(IF(OR(ISNUMBER(SEARCH("week",C520)),ISNUMBER(SEARCH("minggu",C520))),IFERROR(_xlfn.NUMBERVALUE(SUBSTITUTE(LEFT(TRIM(C520),FIND(" ",TRIM(C520)&amp;" ")-1),",","."),"."),LEFT(SUBSTITUTE(LEFT(TRIM(C520),FIND(" ",TRIM(C520)&amp;" ")-1),",","."),FIND("/",SUBSTITUTE(LEFT(TRIM(C520),FIND(" ",TRIM(C520)&amp;" ")-1),",","."))-1)/MID(SUBSTITUTE(LEFT(TRIM(C520),FIND(" ",TRIM(C520)&amp;" ")-1),",","."),FIND("/",SUBSTITUTE(LEFT(TRIM(C520),FIND(" ",TRIM(C520)&amp;" ")-1),",","."))+1,9))*12/52,IF(ISNUMBER(SEARCH("month",C520)),IFERROR(_xlfn.NUMBERVALUE(SUBSTITUTE(LEFT(TRIM(C520),FIND(" ",TRIM(C520)&amp;" ")-1),",","."),"."),LEFT(SUBSTITUTE(LEFT(TRIM(C520),FIND(" ",TRIM(C520)&amp;" ")-1),",","."),FIND("/",SUBSTITUTE(LEFT(TRIM(C520),FIND(" ",TRIM(C520)&amp;" ")-1),",","."))-1)/MID(SUBSTITUTE(LEFT(TRIM(C520),FIND(" ",TRIM(C520)&amp;" ")-1),",","."),FIND("/",SUBSTITUTE(LEFT(TRIM(C520),FIND(" ",TRIM(C520)&amp;" ")-1),",","."))+1,9)),IF(ISNUMBER(SEARCH("yea",C520)),IFERROR(_xlfn.NUMBERVALUE(SUBSTITUTE(LEFT(TRIM(C520),FIND(" ",TRIM(C520)&amp;" ")-1),",","."),"."),LEFT(SUBSTITUTE(LEFT(TRIM(C520),FIND(" ",TRIM(C520)&amp;" ")-1),",","."),FIND("/",SUBSTITUTE(LEFT(TRIM(C520),FIND(" ",TRIM(C520)&amp;" ")-1),",","."))-1)/MID(SUBSTITUTE(LEFT(TRIM(C520),FIND(" ",TRIM(C520)&amp;" ")-1),",","."),FIND("/",SUBSTITUTE(LEFT(TRIM(C520),FIND(" ",TRIM(C520)&amp;" ")-1),",","."))+1,9))*12,NA()))),0),6)*'Aturan &amp; Tarif'!$B$4,2)</f>
        <v>340.68</v>
      </c>
      <c r="K520" s="42" t="n">
        <f aca="false">'Aturan &amp; Tarif'!$B$5</f>
        <v>2050</v>
      </c>
      <c r="L520" s="35" t="n">
        <f aca="false">I520+J520+K520</f>
        <v>8455.68</v>
      </c>
      <c r="M520" s="45" t="s">
        <v>1733</v>
      </c>
    </row>
    <row r="521" customFormat="false" ht="72" hidden="false" customHeight="true" outlineLevel="0" collapsed="false">
      <c r="A521" s="39"/>
      <c r="B521" s="40" t="s">
        <v>1734</v>
      </c>
      <c r="C521" s="41" t="s">
        <v>127</v>
      </c>
      <c r="D521" s="41" t="s">
        <v>108</v>
      </c>
      <c r="E521" s="42" t="n">
        <v>13614</v>
      </c>
      <c r="F521" s="42" t="n">
        <v>2010</v>
      </c>
      <c r="G521" s="42"/>
      <c r="H521" s="43" t="n">
        <v>2</v>
      </c>
      <c r="I521" s="34" t="n">
        <f aca="false">E521*H521+N(F521)+N(G521)</f>
        <v>29238</v>
      </c>
      <c r="J521" s="42" t="n">
        <f aca="false">ROUND(IFERROR(ROUND(IF(OR(ISNUMBER(SEARCH("week",C521)),ISNUMBER(SEARCH("minggu",C521))),IFERROR(_xlfn.NUMBERVALUE(SUBSTITUTE(LEFT(TRIM(C521),FIND(" ",TRIM(C521)&amp;" ")-1),",","."),"."),LEFT(SUBSTITUTE(LEFT(TRIM(C521),FIND(" ",TRIM(C521)&amp;" ")-1),",","."),FIND("/",SUBSTITUTE(LEFT(TRIM(C521),FIND(" ",TRIM(C521)&amp;" ")-1),",","."))-1)/MID(SUBSTITUTE(LEFT(TRIM(C521),FIND(" ",TRIM(C521)&amp;" ")-1),",","."),FIND("/",SUBSTITUTE(LEFT(TRIM(C521),FIND(" ",TRIM(C521)&amp;" ")-1),",","."))+1,9))*12/52,IF(ISNUMBER(SEARCH("month",C521)),IFERROR(_xlfn.NUMBERVALUE(SUBSTITUTE(LEFT(TRIM(C521),FIND(" ",TRIM(C521)&amp;" ")-1),",","."),"."),LEFT(SUBSTITUTE(LEFT(TRIM(C521),FIND(" ",TRIM(C521)&amp;" ")-1),",","."),FIND("/",SUBSTITUTE(LEFT(TRIM(C521),FIND(" ",TRIM(C521)&amp;" ")-1),",","."))-1)/MID(SUBSTITUTE(LEFT(TRIM(C521),FIND(" ",TRIM(C521)&amp;" ")-1),",","."),FIND("/",SUBSTITUTE(LEFT(TRIM(C521),FIND(" ",TRIM(C521)&amp;" ")-1),",","."))+1,9)),IF(ISNUMBER(SEARCH("yea",C521)),IFERROR(_xlfn.NUMBERVALUE(SUBSTITUTE(LEFT(TRIM(C521),FIND(" ",TRIM(C521)&amp;" ")-1),",","."),"."),LEFT(SUBSTITUTE(LEFT(TRIM(C521),FIND(" ",TRIM(C521)&amp;" ")-1),",","."),FIND("/",SUBSTITUTE(LEFT(TRIM(C521),FIND(" ",TRIM(C521)&amp;" ")-1),",","."))-1)/MID(SUBSTITUTE(LEFT(TRIM(C521),FIND(" ",TRIM(C521)&amp;" ")-1),",","."),FIND("/",SUBSTITUTE(LEFT(TRIM(C521),FIND(" ",TRIM(C521)&amp;" ")-1),",","."))+1,9))*12,NA()))),0),36)*'Aturan &amp; Tarif'!$B$4,2)</f>
        <v>2044.08</v>
      </c>
      <c r="K521" s="42" t="n">
        <f aca="false">'Aturan &amp; Tarif'!$B$5</f>
        <v>2050</v>
      </c>
      <c r="L521" s="35" t="n">
        <f aca="false">I521+J521+K521</f>
        <v>33332.08</v>
      </c>
      <c r="M521" s="44" t="s">
        <v>1735</v>
      </c>
    </row>
    <row r="522" customFormat="false" ht="25.5" hidden="false" customHeight="true" outlineLevel="0" collapsed="false">
      <c r="A522" s="39"/>
      <c r="B522" s="40" t="s">
        <v>1736</v>
      </c>
      <c r="C522" s="41" t="s">
        <v>344</v>
      </c>
      <c r="D522" s="41" t="s">
        <v>439</v>
      </c>
      <c r="E522" s="42" t="n">
        <v>8130</v>
      </c>
      <c r="F522" s="42" t="n">
        <v>0</v>
      </c>
      <c r="G522" s="42"/>
      <c r="H522" s="43" t="n">
        <v>1</v>
      </c>
      <c r="I522" s="34" t="n">
        <f aca="false">E522*H522+N(F522)+N(G522)</f>
        <v>8130</v>
      </c>
      <c r="J522" s="42" t="n">
        <f aca="false">ROUND(IFERROR(ROUND(IF(OR(ISNUMBER(SEARCH("week",C522)),ISNUMBER(SEARCH("minggu",C522))),IFERROR(_xlfn.NUMBERVALUE(SUBSTITUTE(LEFT(TRIM(C522),FIND(" ",TRIM(C522)&amp;" ")-1),",","."),"."),LEFT(SUBSTITUTE(LEFT(TRIM(C522),FIND(" ",TRIM(C522)&amp;" ")-1),",","."),FIND("/",SUBSTITUTE(LEFT(TRIM(C522),FIND(" ",TRIM(C522)&amp;" ")-1),",","."))-1)/MID(SUBSTITUTE(LEFT(TRIM(C522),FIND(" ",TRIM(C522)&amp;" ")-1),",","."),FIND("/",SUBSTITUTE(LEFT(TRIM(C522),FIND(" ",TRIM(C522)&amp;" ")-1),",","."))+1,9))*12/52,IF(ISNUMBER(SEARCH("month",C522)),IFERROR(_xlfn.NUMBERVALUE(SUBSTITUTE(LEFT(TRIM(C522),FIND(" ",TRIM(C522)&amp;" ")-1),",","."),"."),LEFT(SUBSTITUTE(LEFT(TRIM(C522),FIND(" ",TRIM(C522)&amp;" ")-1),",","."),FIND("/",SUBSTITUTE(LEFT(TRIM(C522),FIND(" ",TRIM(C522)&amp;" ")-1),",","."))-1)/MID(SUBSTITUTE(LEFT(TRIM(C522),FIND(" ",TRIM(C522)&amp;" ")-1),",","."),FIND("/",SUBSTITUTE(LEFT(TRIM(C522),FIND(" ",TRIM(C522)&amp;" ")-1),",","."))+1,9)),IF(ISNUMBER(SEARCH("yea",C522)),IFERROR(_xlfn.NUMBERVALUE(SUBSTITUTE(LEFT(TRIM(C522),FIND(" ",TRIM(C522)&amp;" ")-1),",","."),"."),LEFT(SUBSTITUTE(LEFT(TRIM(C522),FIND(" ",TRIM(C522)&amp;" ")-1),",","."),FIND("/",SUBSTITUTE(LEFT(TRIM(C522),FIND(" ",TRIM(C522)&amp;" ")-1),",","."))-1)/MID(SUBSTITUTE(LEFT(TRIM(C522),FIND(" ",TRIM(C522)&amp;" ")-1),",","."),FIND("/",SUBSTITUTE(LEFT(TRIM(C522),FIND(" ",TRIM(C522)&amp;" ")-1),",","."))+1,9))*12,NA()))),0),6)*'Aturan &amp; Tarif'!$B$4,2)</f>
        <v>340.68</v>
      </c>
      <c r="K522" s="42" t="n">
        <f aca="false">'Aturan &amp; Tarif'!$B$5</f>
        <v>2050</v>
      </c>
      <c r="L522" s="35" t="n">
        <f aca="false">I522+J522+K522</f>
        <v>10520.68</v>
      </c>
      <c r="M522" s="45" t="s">
        <v>1737</v>
      </c>
    </row>
    <row r="523" customFormat="false" ht="14.25" hidden="false" customHeight="true" outlineLevel="0" collapsed="false">
      <c r="A523" s="39"/>
      <c r="B523" s="40" t="s">
        <v>1738</v>
      </c>
      <c r="C523" s="41" t="s">
        <v>130</v>
      </c>
      <c r="D523" s="41" t="s">
        <v>439</v>
      </c>
      <c r="E523" s="42" t="n">
        <v>8135</v>
      </c>
      <c r="F523" s="42" t="n">
        <v>3000</v>
      </c>
      <c r="G523" s="42"/>
      <c r="H523" s="43" t="n">
        <v>1</v>
      </c>
      <c r="I523" s="34" t="n">
        <f aca="false">E523*H523+N(F523)+N(G523)</f>
        <v>11135</v>
      </c>
      <c r="J523" s="42" t="n">
        <f aca="false">ROUND(IFERROR(ROUND(IF(OR(ISNUMBER(SEARCH("week",C523)),ISNUMBER(SEARCH("minggu",C523))),IFERROR(_xlfn.NUMBERVALUE(SUBSTITUTE(LEFT(TRIM(C523),FIND(" ",TRIM(C523)&amp;" ")-1),",","."),"."),LEFT(SUBSTITUTE(LEFT(TRIM(C523),FIND(" ",TRIM(C523)&amp;" ")-1),",","."),FIND("/",SUBSTITUTE(LEFT(TRIM(C523),FIND(" ",TRIM(C523)&amp;" ")-1),",","."))-1)/MID(SUBSTITUTE(LEFT(TRIM(C523),FIND(" ",TRIM(C523)&amp;" ")-1),",","."),FIND("/",SUBSTITUTE(LEFT(TRIM(C523),FIND(" ",TRIM(C523)&amp;" ")-1),",","."))+1,9))*12/52,IF(ISNUMBER(SEARCH("month",C523)),IFERROR(_xlfn.NUMBERVALUE(SUBSTITUTE(LEFT(TRIM(C523),FIND(" ",TRIM(C523)&amp;" ")-1),",","."),"."),LEFT(SUBSTITUTE(LEFT(TRIM(C523),FIND(" ",TRIM(C523)&amp;" ")-1),",","."),FIND("/",SUBSTITUTE(LEFT(TRIM(C523),FIND(" ",TRIM(C523)&amp;" ")-1),",","."))-1)/MID(SUBSTITUTE(LEFT(TRIM(C523),FIND(" ",TRIM(C523)&amp;" ")-1),",","."),FIND("/",SUBSTITUTE(LEFT(TRIM(C523),FIND(" ",TRIM(C523)&amp;" ")-1),",","."))+1,9)),IF(ISNUMBER(SEARCH("yea",C523)),IFERROR(_xlfn.NUMBERVALUE(SUBSTITUTE(LEFT(TRIM(C523),FIND(" ",TRIM(C523)&amp;" ")-1),",","."),"."),LEFT(SUBSTITUTE(LEFT(TRIM(C523),FIND(" ",TRIM(C523)&amp;" ")-1),",","."),FIND("/",SUBSTITUTE(LEFT(TRIM(C523),FIND(" ",TRIM(C523)&amp;" ")-1),",","."))-1)/MID(SUBSTITUTE(LEFT(TRIM(C523),FIND(" ",TRIM(C523)&amp;" ")-1),",","."),FIND("/",SUBSTITUTE(LEFT(TRIM(C523),FIND(" ",TRIM(C523)&amp;" ")-1),",","."))+1,9))*12,NA()))),0),12)*'Aturan &amp; Tarif'!$B$4,2)</f>
        <v>681.36</v>
      </c>
      <c r="K523" s="42" t="n">
        <f aca="false">'Aturan &amp; Tarif'!$B$5</f>
        <v>2050</v>
      </c>
      <c r="L523" s="35" t="n">
        <f aca="false">I523+J523+K523</f>
        <v>13866.36</v>
      </c>
      <c r="M523" s="45" t="s">
        <v>1739</v>
      </c>
    </row>
    <row r="524" customFormat="false" ht="25.5" hidden="false" customHeight="true" outlineLevel="0" collapsed="false">
      <c r="A524" s="39"/>
      <c r="B524" s="40" t="s">
        <v>1740</v>
      </c>
      <c r="C524" s="41" t="s">
        <v>130</v>
      </c>
      <c r="D524" s="41" t="s">
        <v>439</v>
      </c>
      <c r="E524" s="42" t="n">
        <v>8135</v>
      </c>
      <c r="F524" s="42" t="n">
        <v>300</v>
      </c>
      <c r="G524" s="42"/>
      <c r="H524" s="43" t="n">
        <v>1</v>
      </c>
      <c r="I524" s="34" t="n">
        <f aca="false">E524*H524+N(F524)+N(G524)</f>
        <v>8435</v>
      </c>
      <c r="J524" s="42" t="n">
        <f aca="false">ROUND(IFERROR(ROUND(IF(OR(ISNUMBER(SEARCH("week",C524)),ISNUMBER(SEARCH("minggu",C524))),IFERROR(_xlfn.NUMBERVALUE(SUBSTITUTE(LEFT(TRIM(C524),FIND(" ",TRIM(C524)&amp;" ")-1),",","."),"."),LEFT(SUBSTITUTE(LEFT(TRIM(C524),FIND(" ",TRIM(C524)&amp;" ")-1),",","."),FIND("/",SUBSTITUTE(LEFT(TRIM(C524),FIND(" ",TRIM(C524)&amp;" ")-1),",","."))-1)/MID(SUBSTITUTE(LEFT(TRIM(C524),FIND(" ",TRIM(C524)&amp;" ")-1),",","."),FIND("/",SUBSTITUTE(LEFT(TRIM(C524),FIND(" ",TRIM(C524)&amp;" ")-1),",","."))+1,9))*12/52,IF(ISNUMBER(SEARCH("month",C524)),IFERROR(_xlfn.NUMBERVALUE(SUBSTITUTE(LEFT(TRIM(C524),FIND(" ",TRIM(C524)&amp;" ")-1),",","."),"."),LEFT(SUBSTITUTE(LEFT(TRIM(C524),FIND(" ",TRIM(C524)&amp;" ")-1),",","."),FIND("/",SUBSTITUTE(LEFT(TRIM(C524),FIND(" ",TRIM(C524)&amp;" ")-1),",","."))-1)/MID(SUBSTITUTE(LEFT(TRIM(C524),FIND(" ",TRIM(C524)&amp;" ")-1),",","."),FIND("/",SUBSTITUTE(LEFT(TRIM(C524),FIND(" ",TRIM(C524)&amp;" ")-1),",","."))+1,9)),IF(ISNUMBER(SEARCH("yea",C524)),IFERROR(_xlfn.NUMBERVALUE(SUBSTITUTE(LEFT(TRIM(C524),FIND(" ",TRIM(C524)&amp;" ")-1),",","."),"."),LEFT(SUBSTITUTE(LEFT(TRIM(C524),FIND(" ",TRIM(C524)&amp;" ")-1),",","."),FIND("/",SUBSTITUTE(LEFT(TRIM(C524),FIND(" ",TRIM(C524)&amp;" ")-1),",","."))-1)/MID(SUBSTITUTE(LEFT(TRIM(C524),FIND(" ",TRIM(C524)&amp;" ")-1),",","."),FIND("/",SUBSTITUTE(LEFT(TRIM(C524),FIND(" ",TRIM(C524)&amp;" ")-1),",","."))+1,9))*12,NA()))),0),12)*'Aturan &amp; Tarif'!$B$4,2)</f>
        <v>681.36</v>
      </c>
      <c r="K524" s="42" t="n">
        <f aca="false">'Aturan &amp; Tarif'!$B$5</f>
        <v>2050</v>
      </c>
      <c r="L524" s="35" t="n">
        <f aca="false">I524+J524+K524</f>
        <v>11166.36</v>
      </c>
      <c r="M524" s="45" t="s">
        <v>1741</v>
      </c>
    </row>
    <row r="525" customFormat="false" ht="25.5" hidden="false" customHeight="true" outlineLevel="0" collapsed="false">
      <c r="A525" s="39"/>
      <c r="B525" s="40" t="s">
        <v>1742</v>
      </c>
      <c r="C525" s="41" t="s">
        <v>130</v>
      </c>
      <c r="D525" s="41" t="s">
        <v>439</v>
      </c>
      <c r="E525" s="42" t="n">
        <v>8135</v>
      </c>
      <c r="F525" s="42" t="n">
        <v>300</v>
      </c>
      <c r="G525" s="42"/>
      <c r="H525" s="43" t="n">
        <v>1</v>
      </c>
      <c r="I525" s="34" t="n">
        <f aca="false">E525*H525+N(F525)+N(G525)</f>
        <v>8435</v>
      </c>
      <c r="J525" s="42" t="n">
        <f aca="false">ROUND(IFERROR(ROUND(IF(OR(ISNUMBER(SEARCH("week",C525)),ISNUMBER(SEARCH("minggu",C525))),IFERROR(_xlfn.NUMBERVALUE(SUBSTITUTE(LEFT(TRIM(C525),FIND(" ",TRIM(C525)&amp;" ")-1),",","."),"."),LEFT(SUBSTITUTE(LEFT(TRIM(C525),FIND(" ",TRIM(C525)&amp;" ")-1),",","."),FIND("/",SUBSTITUTE(LEFT(TRIM(C525),FIND(" ",TRIM(C525)&amp;" ")-1),",","."))-1)/MID(SUBSTITUTE(LEFT(TRIM(C525),FIND(" ",TRIM(C525)&amp;" ")-1),",","."),FIND("/",SUBSTITUTE(LEFT(TRIM(C525),FIND(" ",TRIM(C525)&amp;" ")-1),",","."))+1,9))*12/52,IF(ISNUMBER(SEARCH("month",C525)),IFERROR(_xlfn.NUMBERVALUE(SUBSTITUTE(LEFT(TRIM(C525),FIND(" ",TRIM(C525)&amp;" ")-1),",","."),"."),LEFT(SUBSTITUTE(LEFT(TRIM(C525),FIND(" ",TRIM(C525)&amp;" ")-1),",","."),FIND("/",SUBSTITUTE(LEFT(TRIM(C525),FIND(" ",TRIM(C525)&amp;" ")-1),",","."))-1)/MID(SUBSTITUTE(LEFT(TRIM(C525),FIND(" ",TRIM(C525)&amp;" ")-1),",","."),FIND("/",SUBSTITUTE(LEFT(TRIM(C525),FIND(" ",TRIM(C525)&amp;" ")-1),",","."))+1,9)),IF(ISNUMBER(SEARCH("yea",C525)),IFERROR(_xlfn.NUMBERVALUE(SUBSTITUTE(LEFT(TRIM(C525),FIND(" ",TRIM(C525)&amp;" ")-1),",","."),"."),LEFT(SUBSTITUTE(LEFT(TRIM(C525),FIND(" ",TRIM(C525)&amp;" ")-1),",","."),FIND("/",SUBSTITUTE(LEFT(TRIM(C525),FIND(" ",TRIM(C525)&amp;" ")-1),",","."))-1)/MID(SUBSTITUTE(LEFT(TRIM(C525),FIND(" ",TRIM(C525)&amp;" ")-1),",","."),FIND("/",SUBSTITUTE(LEFT(TRIM(C525),FIND(" ",TRIM(C525)&amp;" ")-1),",","."))+1,9))*12,NA()))),0),12)*'Aturan &amp; Tarif'!$B$4,2)</f>
        <v>681.36</v>
      </c>
      <c r="K525" s="42" t="n">
        <f aca="false">'Aturan &amp; Tarif'!$B$5</f>
        <v>2050</v>
      </c>
      <c r="L525" s="35" t="n">
        <f aca="false">I525+J525+K525</f>
        <v>11166.36</v>
      </c>
      <c r="M525" s="45" t="s">
        <v>1743</v>
      </c>
    </row>
    <row r="526" customFormat="false" ht="25.5" hidden="false" customHeight="true" outlineLevel="0" collapsed="false">
      <c r="A526" s="39"/>
      <c r="B526" s="40" t="s">
        <v>1744</v>
      </c>
      <c r="C526" s="41" t="s">
        <v>130</v>
      </c>
      <c r="D526" s="41" t="s">
        <v>439</v>
      </c>
      <c r="E526" s="42" t="n">
        <v>8135</v>
      </c>
      <c r="F526" s="42" t="n">
        <v>300</v>
      </c>
      <c r="G526" s="42"/>
      <c r="H526" s="43" t="n">
        <v>1</v>
      </c>
      <c r="I526" s="34" t="n">
        <f aca="false">E526*H526+N(F526)+N(G526)</f>
        <v>8435</v>
      </c>
      <c r="J526" s="42" t="n">
        <f aca="false">ROUND(IFERROR(ROUND(IF(OR(ISNUMBER(SEARCH("week",C526)),ISNUMBER(SEARCH("minggu",C526))),IFERROR(_xlfn.NUMBERVALUE(SUBSTITUTE(LEFT(TRIM(C526),FIND(" ",TRIM(C526)&amp;" ")-1),",","."),"."),LEFT(SUBSTITUTE(LEFT(TRIM(C526),FIND(" ",TRIM(C526)&amp;" ")-1),",","."),FIND("/",SUBSTITUTE(LEFT(TRIM(C526),FIND(" ",TRIM(C526)&amp;" ")-1),",","."))-1)/MID(SUBSTITUTE(LEFT(TRIM(C526),FIND(" ",TRIM(C526)&amp;" ")-1),",","."),FIND("/",SUBSTITUTE(LEFT(TRIM(C526),FIND(" ",TRIM(C526)&amp;" ")-1),",","."))+1,9))*12/52,IF(ISNUMBER(SEARCH("month",C526)),IFERROR(_xlfn.NUMBERVALUE(SUBSTITUTE(LEFT(TRIM(C526),FIND(" ",TRIM(C526)&amp;" ")-1),",","."),"."),LEFT(SUBSTITUTE(LEFT(TRIM(C526),FIND(" ",TRIM(C526)&amp;" ")-1),",","."),FIND("/",SUBSTITUTE(LEFT(TRIM(C526),FIND(" ",TRIM(C526)&amp;" ")-1),",","."))-1)/MID(SUBSTITUTE(LEFT(TRIM(C526),FIND(" ",TRIM(C526)&amp;" ")-1),",","."),FIND("/",SUBSTITUTE(LEFT(TRIM(C526),FIND(" ",TRIM(C526)&amp;" ")-1),",","."))+1,9)),IF(ISNUMBER(SEARCH("yea",C526)),IFERROR(_xlfn.NUMBERVALUE(SUBSTITUTE(LEFT(TRIM(C526),FIND(" ",TRIM(C526)&amp;" ")-1),",","."),"."),LEFT(SUBSTITUTE(LEFT(TRIM(C526),FIND(" ",TRIM(C526)&amp;" ")-1),",","."),FIND("/",SUBSTITUTE(LEFT(TRIM(C526),FIND(" ",TRIM(C526)&amp;" ")-1),",","."))-1)/MID(SUBSTITUTE(LEFT(TRIM(C526),FIND(" ",TRIM(C526)&amp;" ")-1),",","."),FIND("/",SUBSTITUTE(LEFT(TRIM(C526),FIND(" ",TRIM(C526)&amp;" ")-1),",","."))+1,9))*12,NA()))),0),12)*'Aturan &amp; Tarif'!$B$4,2)</f>
        <v>681.36</v>
      </c>
      <c r="K526" s="42" t="n">
        <f aca="false">'Aturan &amp; Tarif'!$B$5</f>
        <v>2050</v>
      </c>
      <c r="L526" s="35" t="n">
        <f aca="false">I526+J526+K526</f>
        <v>11166.36</v>
      </c>
      <c r="M526" s="45" t="s">
        <v>1745</v>
      </c>
    </row>
    <row r="527" customFormat="false" ht="25.5" hidden="false" customHeight="true" outlineLevel="0" collapsed="false">
      <c r="A527" s="39"/>
      <c r="B527" s="40" t="s">
        <v>1746</v>
      </c>
      <c r="C527" s="41" t="s">
        <v>130</v>
      </c>
      <c r="D527" s="41" t="s">
        <v>439</v>
      </c>
      <c r="E527" s="42" t="n">
        <v>8135</v>
      </c>
      <c r="F527" s="42" t="n">
        <v>300</v>
      </c>
      <c r="G527" s="42"/>
      <c r="H527" s="43" t="n">
        <v>1</v>
      </c>
      <c r="I527" s="34" t="n">
        <f aca="false">E527*H527+N(F527)+N(G527)</f>
        <v>8435</v>
      </c>
      <c r="J527" s="42" t="n">
        <f aca="false">ROUND(IFERROR(ROUND(IF(OR(ISNUMBER(SEARCH("week",C527)),ISNUMBER(SEARCH("minggu",C527))),IFERROR(_xlfn.NUMBERVALUE(SUBSTITUTE(LEFT(TRIM(C527),FIND(" ",TRIM(C527)&amp;" ")-1),",","."),"."),LEFT(SUBSTITUTE(LEFT(TRIM(C527),FIND(" ",TRIM(C527)&amp;" ")-1),",","."),FIND("/",SUBSTITUTE(LEFT(TRIM(C527),FIND(" ",TRIM(C527)&amp;" ")-1),",","."))-1)/MID(SUBSTITUTE(LEFT(TRIM(C527),FIND(" ",TRIM(C527)&amp;" ")-1),",","."),FIND("/",SUBSTITUTE(LEFT(TRIM(C527),FIND(" ",TRIM(C527)&amp;" ")-1),",","."))+1,9))*12/52,IF(ISNUMBER(SEARCH("month",C527)),IFERROR(_xlfn.NUMBERVALUE(SUBSTITUTE(LEFT(TRIM(C527),FIND(" ",TRIM(C527)&amp;" ")-1),",","."),"."),LEFT(SUBSTITUTE(LEFT(TRIM(C527),FIND(" ",TRIM(C527)&amp;" ")-1),",","."),FIND("/",SUBSTITUTE(LEFT(TRIM(C527),FIND(" ",TRIM(C527)&amp;" ")-1),",","."))-1)/MID(SUBSTITUTE(LEFT(TRIM(C527),FIND(" ",TRIM(C527)&amp;" ")-1),",","."),FIND("/",SUBSTITUTE(LEFT(TRIM(C527),FIND(" ",TRIM(C527)&amp;" ")-1),",","."))+1,9)),IF(ISNUMBER(SEARCH("yea",C527)),IFERROR(_xlfn.NUMBERVALUE(SUBSTITUTE(LEFT(TRIM(C527),FIND(" ",TRIM(C527)&amp;" ")-1),",","."),"."),LEFT(SUBSTITUTE(LEFT(TRIM(C527),FIND(" ",TRIM(C527)&amp;" ")-1),",","."),FIND("/",SUBSTITUTE(LEFT(TRIM(C527),FIND(" ",TRIM(C527)&amp;" ")-1),",","."))-1)/MID(SUBSTITUTE(LEFT(TRIM(C527),FIND(" ",TRIM(C527)&amp;" ")-1),",","."),FIND("/",SUBSTITUTE(LEFT(TRIM(C527),FIND(" ",TRIM(C527)&amp;" ")-1),",","."))+1,9))*12,NA()))),0),12)*'Aturan &amp; Tarif'!$B$4,2)</f>
        <v>681.36</v>
      </c>
      <c r="K527" s="42" t="n">
        <f aca="false">'Aturan &amp; Tarif'!$B$5</f>
        <v>2050</v>
      </c>
      <c r="L527" s="35" t="n">
        <f aca="false">I527+J527+K527</f>
        <v>11166.36</v>
      </c>
      <c r="M527" s="45" t="s">
        <v>1747</v>
      </c>
    </row>
    <row r="528" customFormat="false" ht="25.5" hidden="false" customHeight="true" outlineLevel="0" collapsed="false">
      <c r="A528" s="39"/>
      <c r="B528" s="40" t="s">
        <v>1748</v>
      </c>
      <c r="C528" s="41" t="s">
        <v>130</v>
      </c>
      <c r="D528" s="41" t="s">
        <v>439</v>
      </c>
      <c r="E528" s="42" t="n">
        <v>8135</v>
      </c>
      <c r="F528" s="42" t="n">
        <v>300</v>
      </c>
      <c r="G528" s="42"/>
      <c r="H528" s="43" t="n">
        <v>1</v>
      </c>
      <c r="I528" s="34" t="n">
        <f aca="false">E528*H528+N(F528)+N(G528)</f>
        <v>8435</v>
      </c>
      <c r="J528" s="42" t="n">
        <f aca="false">ROUND(IFERROR(ROUND(IF(OR(ISNUMBER(SEARCH("week",C528)),ISNUMBER(SEARCH("minggu",C528))),IFERROR(_xlfn.NUMBERVALUE(SUBSTITUTE(LEFT(TRIM(C528),FIND(" ",TRIM(C528)&amp;" ")-1),",","."),"."),LEFT(SUBSTITUTE(LEFT(TRIM(C528),FIND(" ",TRIM(C528)&amp;" ")-1),",","."),FIND("/",SUBSTITUTE(LEFT(TRIM(C528),FIND(" ",TRIM(C528)&amp;" ")-1),",","."))-1)/MID(SUBSTITUTE(LEFT(TRIM(C528),FIND(" ",TRIM(C528)&amp;" ")-1),",","."),FIND("/",SUBSTITUTE(LEFT(TRIM(C528),FIND(" ",TRIM(C528)&amp;" ")-1),",","."))+1,9))*12/52,IF(ISNUMBER(SEARCH("month",C528)),IFERROR(_xlfn.NUMBERVALUE(SUBSTITUTE(LEFT(TRIM(C528),FIND(" ",TRIM(C528)&amp;" ")-1),",","."),"."),LEFT(SUBSTITUTE(LEFT(TRIM(C528),FIND(" ",TRIM(C528)&amp;" ")-1),",","."),FIND("/",SUBSTITUTE(LEFT(TRIM(C528),FIND(" ",TRIM(C528)&amp;" ")-1),",","."))-1)/MID(SUBSTITUTE(LEFT(TRIM(C528),FIND(" ",TRIM(C528)&amp;" ")-1),",","."),FIND("/",SUBSTITUTE(LEFT(TRIM(C528),FIND(" ",TRIM(C528)&amp;" ")-1),",","."))+1,9)),IF(ISNUMBER(SEARCH("yea",C528)),IFERROR(_xlfn.NUMBERVALUE(SUBSTITUTE(LEFT(TRIM(C528),FIND(" ",TRIM(C528)&amp;" ")-1),",","."),"."),LEFT(SUBSTITUTE(LEFT(TRIM(C528),FIND(" ",TRIM(C528)&amp;" ")-1),",","."),FIND("/",SUBSTITUTE(LEFT(TRIM(C528),FIND(" ",TRIM(C528)&amp;" ")-1),",","."))-1)/MID(SUBSTITUTE(LEFT(TRIM(C528),FIND(" ",TRIM(C528)&amp;" ")-1),",","."),FIND("/",SUBSTITUTE(LEFT(TRIM(C528),FIND(" ",TRIM(C528)&amp;" ")-1),",","."))+1,9))*12,NA()))),0),12)*'Aturan &amp; Tarif'!$B$4,2)</f>
        <v>681.36</v>
      </c>
      <c r="K528" s="42" t="n">
        <f aca="false">'Aturan &amp; Tarif'!$B$5</f>
        <v>2050</v>
      </c>
      <c r="L528" s="35" t="n">
        <f aca="false">I528+J528+K528</f>
        <v>11166.36</v>
      </c>
      <c r="M528" s="45" t="s">
        <v>1749</v>
      </c>
    </row>
    <row r="529" customFormat="false" ht="25.5" hidden="false" customHeight="true" outlineLevel="0" collapsed="false">
      <c r="A529" s="39"/>
      <c r="B529" s="40" t="s">
        <v>1750</v>
      </c>
      <c r="C529" s="41" t="s">
        <v>130</v>
      </c>
      <c r="D529" s="41" t="s">
        <v>439</v>
      </c>
      <c r="E529" s="42" t="n">
        <v>8135</v>
      </c>
      <c r="F529" s="42" t="n">
        <v>400</v>
      </c>
      <c r="G529" s="42"/>
      <c r="H529" s="43" t="n">
        <v>1</v>
      </c>
      <c r="I529" s="34" t="n">
        <f aca="false">E529*H529+N(F529)+N(G529)</f>
        <v>8535</v>
      </c>
      <c r="J529" s="42" t="n">
        <f aca="false">ROUND(IFERROR(ROUND(IF(OR(ISNUMBER(SEARCH("week",C529)),ISNUMBER(SEARCH("minggu",C529))),IFERROR(_xlfn.NUMBERVALUE(SUBSTITUTE(LEFT(TRIM(C529),FIND(" ",TRIM(C529)&amp;" ")-1),",","."),"."),LEFT(SUBSTITUTE(LEFT(TRIM(C529),FIND(" ",TRIM(C529)&amp;" ")-1),",","."),FIND("/",SUBSTITUTE(LEFT(TRIM(C529),FIND(" ",TRIM(C529)&amp;" ")-1),",","."))-1)/MID(SUBSTITUTE(LEFT(TRIM(C529),FIND(" ",TRIM(C529)&amp;" ")-1),",","."),FIND("/",SUBSTITUTE(LEFT(TRIM(C529),FIND(" ",TRIM(C529)&amp;" ")-1),",","."))+1,9))*12/52,IF(ISNUMBER(SEARCH("month",C529)),IFERROR(_xlfn.NUMBERVALUE(SUBSTITUTE(LEFT(TRIM(C529),FIND(" ",TRIM(C529)&amp;" ")-1),",","."),"."),LEFT(SUBSTITUTE(LEFT(TRIM(C529),FIND(" ",TRIM(C529)&amp;" ")-1),",","."),FIND("/",SUBSTITUTE(LEFT(TRIM(C529),FIND(" ",TRIM(C529)&amp;" ")-1),",","."))-1)/MID(SUBSTITUTE(LEFT(TRIM(C529),FIND(" ",TRIM(C529)&amp;" ")-1),",","."),FIND("/",SUBSTITUTE(LEFT(TRIM(C529),FIND(" ",TRIM(C529)&amp;" ")-1),",","."))+1,9)),IF(ISNUMBER(SEARCH("yea",C529)),IFERROR(_xlfn.NUMBERVALUE(SUBSTITUTE(LEFT(TRIM(C529),FIND(" ",TRIM(C529)&amp;" ")-1),",","."),"."),LEFT(SUBSTITUTE(LEFT(TRIM(C529),FIND(" ",TRIM(C529)&amp;" ")-1),",","."),FIND("/",SUBSTITUTE(LEFT(TRIM(C529),FIND(" ",TRIM(C529)&amp;" ")-1),",","."))-1)/MID(SUBSTITUTE(LEFT(TRIM(C529),FIND(" ",TRIM(C529)&amp;" ")-1),",","."),FIND("/",SUBSTITUTE(LEFT(TRIM(C529),FIND(" ",TRIM(C529)&amp;" ")-1),",","."))+1,9))*12,NA()))),0),12)*'Aturan &amp; Tarif'!$B$4,2)</f>
        <v>681.36</v>
      </c>
      <c r="K529" s="42" t="n">
        <f aca="false">'Aturan &amp; Tarif'!$B$5</f>
        <v>2050</v>
      </c>
      <c r="L529" s="35" t="n">
        <f aca="false">I529+J529+K529</f>
        <v>11266.36</v>
      </c>
      <c r="M529" s="45" t="s">
        <v>1751</v>
      </c>
    </row>
    <row r="530" customFormat="false" ht="25.5" hidden="false" customHeight="true" outlineLevel="0" collapsed="false">
      <c r="A530" s="39"/>
      <c r="B530" s="40" t="s">
        <v>1752</v>
      </c>
      <c r="C530" s="41" t="s">
        <v>130</v>
      </c>
      <c r="D530" s="41" t="s">
        <v>439</v>
      </c>
      <c r="E530" s="42" t="n">
        <v>8135</v>
      </c>
      <c r="F530" s="42"/>
      <c r="G530" s="42"/>
      <c r="H530" s="43" t="n">
        <v>1</v>
      </c>
      <c r="I530" s="34" t="n">
        <f aca="false">E530*H530+N(F530)+N(G530)</f>
        <v>8135</v>
      </c>
      <c r="J530" s="42" t="n">
        <f aca="false">ROUND(IFERROR(ROUND(IF(OR(ISNUMBER(SEARCH("week",C530)),ISNUMBER(SEARCH("minggu",C530))),IFERROR(_xlfn.NUMBERVALUE(SUBSTITUTE(LEFT(TRIM(C530),FIND(" ",TRIM(C530)&amp;" ")-1),",","."),"."),LEFT(SUBSTITUTE(LEFT(TRIM(C530),FIND(" ",TRIM(C530)&amp;" ")-1),",","."),FIND("/",SUBSTITUTE(LEFT(TRIM(C530),FIND(" ",TRIM(C530)&amp;" ")-1),",","."))-1)/MID(SUBSTITUTE(LEFT(TRIM(C530),FIND(" ",TRIM(C530)&amp;" ")-1),",","."),FIND("/",SUBSTITUTE(LEFT(TRIM(C530),FIND(" ",TRIM(C530)&amp;" ")-1),",","."))+1,9))*12/52,IF(ISNUMBER(SEARCH("month",C530)),IFERROR(_xlfn.NUMBERVALUE(SUBSTITUTE(LEFT(TRIM(C530),FIND(" ",TRIM(C530)&amp;" ")-1),",","."),"."),LEFT(SUBSTITUTE(LEFT(TRIM(C530),FIND(" ",TRIM(C530)&amp;" ")-1),",","."),FIND("/",SUBSTITUTE(LEFT(TRIM(C530),FIND(" ",TRIM(C530)&amp;" ")-1),",","."))-1)/MID(SUBSTITUTE(LEFT(TRIM(C530),FIND(" ",TRIM(C530)&amp;" ")-1),",","."),FIND("/",SUBSTITUTE(LEFT(TRIM(C530),FIND(" ",TRIM(C530)&amp;" ")-1),",","."))+1,9)),IF(ISNUMBER(SEARCH("yea",C530)),IFERROR(_xlfn.NUMBERVALUE(SUBSTITUTE(LEFT(TRIM(C530),FIND(" ",TRIM(C530)&amp;" ")-1),",","."),"."),LEFT(SUBSTITUTE(LEFT(TRIM(C530),FIND(" ",TRIM(C530)&amp;" ")-1),",","."),FIND("/",SUBSTITUTE(LEFT(TRIM(C530),FIND(" ",TRIM(C530)&amp;" ")-1),",","."))-1)/MID(SUBSTITUTE(LEFT(TRIM(C530),FIND(" ",TRIM(C530)&amp;" ")-1),",","."),FIND("/",SUBSTITUTE(LEFT(TRIM(C530),FIND(" ",TRIM(C530)&amp;" ")-1),",","."))+1,9))*12,NA()))),0),12)*'Aturan &amp; Tarif'!$B$4,2)</f>
        <v>681.36</v>
      </c>
      <c r="K530" s="42" t="n">
        <f aca="false">'Aturan &amp; Tarif'!$B$5</f>
        <v>2050</v>
      </c>
      <c r="L530" s="35" t="n">
        <f aca="false">I530+J530+K530</f>
        <v>10866.36</v>
      </c>
      <c r="M530" s="45" t="s">
        <v>1753</v>
      </c>
    </row>
    <row r="531" customFormat="false" ht="25.5" hidden="false" customHeight="true" outlineLevel="0" collapsed="false">
      <c r="A531" s="39"/>
      <c r="B531" s="40" t="s">
        <v>1754</v>
      </c>
      <c r="C531" s="41" t="s">
        <v>130</v>
      </c>
      <c r="D531" s="41" t="s">
        <v>439</v>
      </c>
      <c r="E531" s="42" t="n">
        <v>8135</v>
      </c>
      <c r="F531" s="42" t="n">
        <v>400</v>
      </c>
      <c r="G531" s="42"/>
      <c r="H531" s="43" t="n">
        <v>1</v>
      </c>
      <c r="I531" s="34" t="n">
        <f aca="false">E531*H531+N(F531)+N(G531)</f>
        <v>8535</v>
      </c>
      <c r="J531" s="42" t="n">
        <f aca="false">ROUND(IFERROR(ROUND(IF(OR(ISNUMBER(SEARCH("week",C531)),ISNUMBER(SEARCH("minggu",C531))),IFERROR(_xlfn.NUMBERVALUE(SUBSTITUTE(LEFT(TRIM(C531),FIND(" ",TRIM(C531)&amp;" ")-1),",","."),"."),LEFT(SUBSTITUTE(LEFT(TRIM(C531),FIND(" ",TRIM(C531)&amp;" ")-1),",","."),FIND("/",SUBSTITUTE(LEFT(TRIM(C531),FIND(" ",TRIM(C531)&amp;" ")-1),",","."))-1)/MID(SUBSTITUTE(LEFT(TRIM(C531),FIND(" ",TRIM(C531)&amp;" ")-1),",","."),FIND("/",SUBSTITUTE(LEFT(TRIM(C531),FIND(" ",TRIM(C531)&amp;" ")-1),",","."))+1,9))*12/52,IF(ISNUMBER(SEARCH("month",C531)),IFERROR(_xlfn.NUMBERVALUE(SUBSTITUTE(LEFT(TRIM(C531),FIND(" ",TRIM(C531)&amp;" ")-1),",","."),"."),LEFT(SUBSTITUTE(LEFT(TRIM(C531),FIND(" ",TRIM(C531)&amp;" ")-1),",","."),FIND("/",SUBSTITUTE(LEFT(TRIM(C531),FIND(" ",TRIM(C531)&amp;" ")-1),",","."))-1)/MID(SUBSTITUTE(LEFT(TRIM(C531),FIND(" ",TRIM(C531)&amp;" ")-1),",","."),FIND("/",SUBSTITUTE(LEFT(TRIM(C531),FIND(" ",TRIM(C531)&amp;" ")-1),",","."))+1,9)),IF(ISNUMBER(SEARCH("yea",C531)),IFERROR(_xlfn.NUMBERVALUE(SUBSTITUTE(LEFT(TRIM(C531),FIND(" ",TRIM(C531)&amp;" ")-1),",","."),"."),LEFT(SUBSTITUTE(LEFT(TRIM(C531),FIND(" ",TRIM(C531)&amp;" ")-1),",","."),FIND("/",SUBSTITUTE(LEFT(TRIM(C531),FIND(" ",TRIM(C531)&amp;" ")-1),",","."))-1)/MID(SUBSTITUTE(LEFT(TRIM(C531),FIND(" ",TRIM(C531)&amp;" ")-1),",","."),FIND("/",SUBSTITUTE(LEFT(TRIM(C531),FIND(" ",TRIM(C531)&amp;" ")-1),",","."))+1,9))*12,NA()))),0),12)*'Aturan &amp; Tarif'!$B$4,2)</f>
        <v>681.36</v>
      </c>
      <c r="K531" s="42" t="n">
        <f aca="false">'Aturan &amp; Tarif'!$B$5</f>
        <v>2050</v>
      </c>
      <c r="L531" s="35" t="n">
        <f aca="false">I531+J531+K531</f>
        <v>11266.36</v>
      </c>
      <c r="M531" s="45" t="s">
        <v>1755</v>
      </c>
    </row>
    <row r="532" customFormat="false" ht="37.5" hidden="false" customHeight="true" outlineLevel="0" collapsed="false">
      <c r="A532" s="39"/>
      <c r="B532" s="40" t="s">
        <v>1756</v>
      </c>
      <c r="C532" s="41" t="s">
        <v>130</v>
      </c>
      <c r="D532" s="41" t="s">
        <v>439</v>
      </c>
      <c r="E532" s="42" t="n">
        <v>8135</v>
      </c>
      <c r="F532" s="42" t="n">
        <v>300</v>
      </c>
      <c r="G532" s="42"/>
      <c r="H532" s="43" t="n">
        <v>1</v>
      </c>
      <c r="I532" s="34" t="n">
        <f aca="false">E532*H532+N(F532)+N(G532)</f>
        <v>8435</v>
      </c>
      <c r="J532" s="42" t="n">
        <f aca="false">ROUND(IFERROR(ROUND(IF(OR(ISNUMBER(SEARCH("week",C532)),ISNUMBER(SEARCH("minggu",C532))),IFERROR(_xlfn.NUMBERVALUE(SUBSTITUTE(LEFT(TRIM(C532),FIND(" ",TRIM(C532)&amp;" ")-1),",","."),"."),LEFT(SUBSTITUTE(LEFT(TRIM(C532),FIND(" ",TRIM(C532)&amp;" ")-1),",","."),FIND("/",SUBSTITUTE(LEFT(TRIM(C532),FIND(" ",TRIM(C532)&amp;" ")-1),",","."))-1)/MID(SUBSTITUTE(LEFT(TRIM(C532),FIND(" ",TRIM(C532)&amp;" ")-1),",","."),FIND("/",SUBSTITUTE(LEFT(TRIM(C532),FIND(" ",TRIM(C532)&amp;" ")-1),",","."))+1,9))*12/52,IF(ISNUMBER(SEARCH("month",C532)),IFERROR(_xlfn.NUMBERVALUE(SUBSTITUTE(LEFT(TRIM(C532),FIND(" ",TRIM(C532)&amp;" ")-1),",","."),"."),LEFT(SUBSTITUTE(LEFT(TRIM(C532),FIND(" ",TRIM(C532)&amp;" ")-1),",","."),FIND("/",SUBSTITUTE(LEFT(TRIM(C532),FIND(" ",TRIM(C532)&amp;" ")-1),",","."))-1)/MID(SUBSTITUTE(LEFT(TRIM(C532),FIND(" ",TRIM(C532)&amp;" ")-1),",","."),FIND("/",SUBSTITUTE(LEFT(TRIM(C532),FIND(" ",TRIM(C532)&amp;" ")-1),",","."))+1,9)),IF(ISNUMBER(SEARCH("yea",C532)),IFERROR(_xlfn.NUMBERVALUE(SUBSTITUTE(LEFT(TRIM(C532),FIND(" ",TRIM(C532)&amp;" ")-1),",","."),"."),LEFT(SUBSTITUTE(LEFT(TRIM(C532),FIND(" ",TRIM(C532)&amp;" ")-1),",","."),FIND("/",SUBSTITUTE(LEFT(TRIM(C532),FIND(" ",TRIM(C532)&amp;" ")-1),",","."))-1)/MID(SUBSTITUTE(LEFT(TRIM(C532),FIND(" ",TRIM(C532)&amp;" ")-1),",","."),FIND("/",SUBSTITUTE(LEFT(TRIM(C532),FIND(" ",TRIM(C532)&amp;" ")-1),",","."))+1,9))*12,NA()))),0),12)*'Aturan &amp; Tarif'!$B$4,2)</f>
        <v>681.36</v>
      </c>
      <c r="K532" s="42" t="n">
        <f aca="false">'Aturan &amp; Tarif'!$B$5</f>
        <v>2050</v>
      </c>
      <c r="L532" s="35" t="n">
        <f aca="false">I532+J532+K532</f>
        <v>11166.36</v>
      </c>
      <c r="M532" s="45" t="s">
        <v>1757</v>
      </c>
    </row>
    <row r="533" customFormat="false" ht="25.5" hidden="false" customHeight="true" outlineLevel="0" collapsed="false">
      <c r="A533" s="39"/>
      <c r="B533" s="40" t="s">
        <v>1758</v>
      </c>
      <c r="C533" s="41" t="s">
        <v>344</v>
      </c>
      <c r="D533" s="41" t="s">
        <v>439</v>
      </c>
      <c r="E533" s="42" t="n">
        <v>8235</v>
      </c>
      <c r="F533" s="42" t="n">
        <v>2500</v>
      </c>
      <c r="G533" s="42"/>
      <c r="H533" s="43" t="n">
        <v>1</v>
      </c>
      <c r="I533" s="34" t="n">
        <f aca="false">E533*H533+N(F533)+N(G533)</f>
        <v>10735</v>
      </c>
      <c r="J533" s="42" t="n">
        <f aca="false">ROUND(IFERROR(ROUND(IF(OR(ISNUMBER(SEARCH("week",C533)),ISNUMBER(SEARCH("minggu",C533))),IFERROR(_xlfn.NUMBERVALUE(SUBSTITUTE(LEFT(TRIM(C533),FIND(" ",TRIM(C533)&amp;" ")-1),",","."),"."),LEFT(SUBSTITUTE(LEFT(TRIM(C533),FIND(" ",TRIM(C533)&amp;" ")-1),",","."),FIND("/",SUBSTITUTE(LEFT(TRIM(C533),FIND(" ",TRIM(C533)&amp;" ")-1),",","."))-1)/MID(SUBSTITUTE(LEFT(TRIM(C533),FIND(" ",TRIM(C533)&amp;" ")-1),",","."),FIND("/",SUBSTITUTE(LEFT(TRIM(C533),FIND(" ",TRIM(C533)&amp;" ")-1),",","."))+1,9))*12/52,IF(ISNUMBER(SEARCH("month",C533)),IFERROR(_xlfn.NUMBERVALUE(SUBSTITUTE(LEFT(TRIM(C533),FIND(" ",TRIM(C533)&amp;" ")-1),",","."),"."),LEFT(SUBSTITUTE(LEFT(TRIM(C533),FIND(" ",TRIM(C533)&amp;" ")-1),",","."),FIND("/",SUBSTITUTE(LEFT(TRIM(C533),FIND(" ",TRIM(C533)&amp;" ")-1),",","."))-1)/MID(SUBSTITUTE(LEFT(TRIM(C533),FIND(" ",TRIM(C533)&amp;" ")-1),",","."),FIND("/",SUBSTITUTE(LEFT(TRIM(C533),FIND(" ",TRIM(C533)&amp;" ")-1),",","."))+1,9)),IF(ISNUMBER(SEARCH("yea",C533)),IFERROR(_xlfn.NUMBERVALUE(SUBSTITUTE(LEFT(TRIM(C533),FIND(" ",TRIM(C533)&amp;" ")-1),",","."),"."),LEFT(SUBSTITUTE(LEFT(TRIM(C533),FIND(" ",TRIM(C533)&amp;" ")-1),",","."),FIND("/",SUBSTITUTE(LEFT(TRIM(C533),FIND(" ",TRIM(C533)&amp;" ")-1),",","."))-1)/MID(SUBSTITUTE(LEFT(TRIM(C533),FIND(" ",TRIM(C533)&amp;" ")-1),",","."),FIND("/",SUBSTITUTE(LEFT(TRIM(C533),FIND(" ",TRIM(C533)&amp;" ")-1),",","."))+1,9))*12,NA()))),0),6)*'Aturan &amp; Tarif'!$B$4,2)</f>
        <v>340.68</v>
      </c>
      <c r="K533" s="42" t="n">
        <f aca="false">'Aturan &amp; Tarif'!$B$5</f>
        <v>2050</v>
      </c>
      <c r="L533" s="35" t="n">
        <f aca="false">I533+J533+K533</f>
        <v>13125.68</v>
      </c>
      <c r="M533" s="45" t="s">
        <v>1759</v>
      </c>
    </row>
    <row r="534" customFormat="false" ht="60" hidden="false" customHeight="true" outlineLevel="0" collapsed="false">
      <c r="A534" s="39"/>
      <c r="B534" s="40" t="s">
        <v>1760</v>
      </c>
      <c r="C534" s="41" t="s">
        <v>107</v>
      </c>
      <c r="D534" s="41" t="s">
        <v>439</v>
      </c>
      <c r="E534" s="42" t="n">
        <v>10720</v>
      </c>
      <c r="F534" s="42" t="n">
        <v>2000</v>
      </c>
      <c r="G534" s="42"/>
      <c r="H534" s="43" t="n">
        <v>1</v>
      </c>
      <c r="I534" s="34" t="n">
        <f aca="false">E534*H534+N(F534)+N(G534)</f>
        <v>12720</v>
      </c>
      <c r="J534" s="42" t="n">
        <f aca="false">ROUND(IFERROR(ROUND(IF(OR(ISNUMBER(SEARCH("week",C534)),ISNUMBER(SEARCH("minggu",C534))),IFERROR(_xlfn.NUMBERVALUE(SUBSTITUTE(LEFT(TRIM(C534),FIND(" ",TRIM(C534)&amp;" ")-1),",","."),"."),LEFT(SUBSTITUTE(LEFT(TRIM(C534),FIND(" ",TRIM(C534)&amp;" ")-1),",","."),FIND("/",SUBSTITUTE(LEFT(TRIM(C534),FIND(" ",TRIM(C534)&amp;" ")-1),",","."))-1)/MID(SUBSTITUTE(LEFT(TRIM(C534),FIND(" ",TRIM(C534)&amp;" ")-1),",","."),FIND("/",SUBSTITUTE(LEFT(TRIM(C534),FIND(" ",TRIM(C534)&amp;" ")-1),",","."))+1,9))*12/52,IF(ISNUMBER(SEARCH("month",C534)),IFERROR(_xlfn.NUMBERVALUE(SUBSTITUTE(LEFT(TRIM(C534),FIND(" ",TRIM(C534)&amp;" ")-1),",","."),"."),LEFT(SUBSTITUTE(LEFT(TRIM(C534),FIND(" ",TRIM(C534)&amp;" ")-1),",","."),FIND("/",SUBSTITUTE(LEFT(TRIM(C534),FIND(" ",TRIM(C534)&amp;" ")-1),",","."))-1)/MID(SUBSTITUTE(LEFT(TRIM(C534),FIND(" ",TRIM(C534)&amp;" ")-1),",","."),FIND("/",SUBSTITUTE(LEFT(TRIM(C534),FIND(" ",TRIM(C534)&amp;" ")-1),",","."))+1,9)),IF(ISNUMBER(SEARCH("yea",C534)),IFERROR(_xlfn.NUMBERVALUE(SUBSTITUTE(LEFT(TRIM(C534),FIND(" ",TRIM(C534)&amp;" ")-1),",","."),"."),LEFT(SUBSTITUTE(LEFT(TRIM(C534),FIND(" ",TRIM(C534)&amp;" ")-1),",","."),FIND("/",SUBSTITUTE(LEFT(TRIM(C534),FIND(" ",TRIM(C534)&amp;" ")-1),",","."))-1)/MID(SUBSTITUTE(LEFT(TRIM(C534),FIND(" ",TRIM(C534)&amp;" ")-1),",","."),FIND("/",SUBSTITUTE(LEFT(TRIM(C534),FIND(" ",TRIM(C534)&amp;" ")-1),",","."))+1,9))*12,NA()))),0),24)*'Aturan &amp; Tarif'!$B$4,2)</f>
        <v>1362.72</v>
      </c>
      <c r="K534" s="42" t="n">
        <f aca="false">'Aturan &amp; Tarif'!$B$5</f>
        <v>2050</v>
      </c>
      <c r="L534" s="35" t="n">
        <f aca="false">I534+J534+K534</f>
        <v>16132.72</v>
      </c>
      <c r="M534" s="44" t="s">
        <v>1761</v>
      </c>
    </row>
    <row r="535" customFormat="false" ht="60" hidden="false" customHeight="true" outlineLevel="0" collapsed="false">
      <c r="A535" s="39"/>
      <c r="B535" s="40" t="s">
        <v>1762</v>
      </c>
      <c r="C535" s="41" t="s">
        <v>107</v>
      </c>
      <c r="D535" s="41" t="s">
        <v>439</v>
      </c>
      <c r="E535" s="42" t="n">
        <v>10720</v>
      </c>
      <c r="F535" s="42" t="n">
        <v>2000</v>
      </c>
      <c r="G535" s="42"/>
      <c r="H535" s="43" t="n">
        <v>1</v>
      </c>
      <c r="I535" s="34" t="n">
        <f aca="false">E535*H535+N(F535)+N(G535)</f>
        <v>12720</v>
      </c>
      <c r="J535" s="42" t="n">
        <f aca="false">ROUND(IFERROR(ROUND(IF(OR(ISNUMBER(SEARCH("week",C535)),ISNUMBER(SEARCH("minggu",C535))),IFERROR(_xlfn.NUMBERVALUE(SUBSTITUTE(LEFT(TRIM(C535),FIND(" ",TRIM(C535)&amp;" ")-1),",","."),"."),LEFT(SUBSTITUTE(LEFT(TRIM(C535),FIND(" ",TRIM(C535)&amp;" ")-1),",","."),FIND("/",SUBSTITUTE(LEFT(TRIM(C535),FIND(" ",TRIM(C535)&amp;" ")-1),",","."))-1)/MID(SUBSTITUTE(LEFT(TRIM(C535),FIND(" ",TRIM(C535)&amp;" ")-1),",","."),FIND("/",SUBSTITUTE(LEFT(TRIM(C535),FIND(" ",TRIM(C535)&amp;" ")-1),",","."))+1,9))*12/52,IF(ISNUMBER(SEARCH("month",C535)),IFERROR(_xlfn.NUMBERVALUE(SUBSTITUTE(LEFT(TRIM(C535),FIND(" ",TRIM(C535)&amp;" ")-1),",","."),"."),LEFT(SUBSTITUTE(LEFT(TRIM(C535),FIND(" ",TRIM(C535)&amp;" ")-1),",","."),FIND("/",SUBSTITUTE(LEFT(TRIM(C535),FIND(" ",TRIM(C535)&amp;" ")-1),",","."))-1)/MID(SUBSTITUTE(LEFT(TRIM(C535),FIND(" ",TRIM(C535)&amp;" ")-1),",","."),FIND("/",SUBSTITUTE(LEFT(TRIM(C535),FIND(" ",TRIM(C535)&amp;" ")-1),",","."))+1,9)),IF(ISNUMBER(SEARCH("yea",C535)),IFERROR(_xlfn.NUMBERVALUE(SUBSTITUTE(LEFT(TRIM(C535),FIND(" ",TRIM(C535)&amp;" ")-1),",","."),"."),LEFT(SUBSTITUTE(LEFT(TRIM(C535),FIND(" ",TRIM(C535)&amp;" ")-1),",","."),FIND("/",SUBSTITUTE(LEFT(TRIM(C535),FIND(" ",TRIM(C535)&amp;" ")-1),",","."))-1)/MID(SUBSTITUTE(LEFT(TRIM(C535),FIND(" ",TRIM(C535)&amp;" ")-1),",","."),FIND("/",SUBSTITUTE(LEFT(TRIM(C535),FIND(" ",TRIM(C535)&amp;" ")-1),",","."))+1,9))*12,NA()))),0),24)*'Aturan &amp; Tarif'!$B$4,2)</f>
        <v>1362.72</v>
      </c>
      <c r="K535" s="42" t="n">
        <f aca="false">'Aturan &amp; Tarif'!$B$5</f>
        <v>2050</v>
      </c>
      <c r="L535" s="35" t="n">
        <f aca="false">I535+J535+K535</f>
        <v>16132.72</v>
      </c>
      <c r="M535" s="44" t="s">
        <v>1763</v>
      </c>
    </row>
    <row r="536" customFormat="false" ht="60" hidden="false" customHeight="true" outlineLevel="0" collapsed="false">
      <c r="A536" s="39"/>
      <c r="B536" s="40" t="s">
        <v>1764</v>
      </c>
      <c r="C536" s="41" t="s">
        <v>107</v>
      </c>
      <c r="D536" s="41" t="s">
        <v>439</v>
      </c>
      <c r="E536" s="42" t="n">
        <v>10720</v>
      </c>
      <c r="F536" s="42" t="n">
        <v>2000</v>
      </c>
      <c r="G536" s="42"/>
      <c r="H536" s="43" t="n">
        <v>1</v>
      </c>
      <c r="I536" s="34" t="n">
        <f aca="false">E536*H536+N(F536)+N(G536)</f>
        <v>12720</v>
      </c>
      <c r="J536" s="42" t="n">
        <f aca="false">ROUND(IFERROR(ROUND(IF(OR(ISNUMBER(SEARCH("week",C536)),ISNUMBER(SEARCH("minggu",C536))),IFERROR(_xlfn.NUMBERVALUE(SUBSTITUTE(LEFT(TRIM(C536),FIND(" ",TRIM(C536)&amp;" ")-1),",","."),"."),LEFT(SUBSTITUTE(LEFT(TRIM(C536),FIND(" ",TRIM(C536)&amp;" ")-1),",","."),FIND("/",SUBSTITUTE(LEFT(TRIM(C536),FIND(" ",TRIM(C536)&amp;" ")-1),",","."))-1)/MID(SUBSTITUTE(LEFT(TRIM(C536),FIND(" ",TRIM(C536)&amp;" ")-1),",","."),FIND("/",SUBSTITUTE(LEFT(TRIM(C536),FIND(" ",TRIM(C536)&amp;" ")-1),",","."))+1,9))*12/52,IF(ISNUMBER(SEARCH("month",C536)),IFERROR(_xlfn.NUMBERVALUE(SUBSTITUTE(LEFT(TRIM(C536),FIND(" ",TRIM(C536)&amp;" ")-1),",","."),"."),LEFT(SUBSTITUTE(LEFT(TRIM(C536),FIND(" ",TRIM(C536)&amp;" ")-1),",","."),FIND("/",SUBSTITUTE(LEFT(TRIM(C536),FIND(" ",TRIM(C536)&amp;" ")-1),",","."))-1)/MID(SUBSTITUTE(LEFT(TRIM(C536),FIND(" ",TRIM(C536)&amp;" ")-1),",","."),FIND("/",SUBSTITUTE(LEFT(TRIM(C536),FIND(" ",TRIM(C536)&amp;" ")-1),",","."))+1,9)),IF(ISNUMBER(SEARCH("yea",C536)),IFERROR(_xlfn.NUMBERVALUE(SUBSTITUTE(LEFT(TRIM(C536),FIND(" ",TRIM(C536)&amp;" ")-1),",","."),"."),LEFT(SUBSTITUTE(LEFT(TRIM(C536),FIND(" ",TRIM(C536)&amp;" ")-1),",","."),FIND("/",SUBSTITUTE(LEFT(TRIM(C536),FIND(" ",TRIM(C536)&amp;" ")-1),",","."))-1)/MID(SUBSTITUTE(LEFT(TRIM(C536),FIND(" ",TRIM(C536)&amp;" ")-1),",","."),FIND("/",SUBSTITUTE(LEFT(TRIM(C536),FIND(" ",TRIM(C536)&amp;" ")-1),",","."))+1,9))*12,NA()))),0),24)*'Aturan &amp; Tarif'!$B$4,2)</f>
        <v>1362.72</v>
      </c>
      <c r="K536" s="42" t="n">
        <f aca="false">'Aturan &amp; Tarif'!$B$5</f>
        <v>2050</v>
      </c>
      <c r="L536" s="35" t="n">
        <f aca="false">I536+J536+K536</f>
        <v>16132.72</v>
      </c>
      <c r="M536" s="44" t="s">
        <v>1765</v>
      </c>
    </row>
    <row r="537" customFormat="false" ht="60" hidden="false" customHeight="true" outlineLevel="0" collapsed="false">
      <c r="A537" s="39"/>
      <c r="B537" s="40" t="s">
        <v>1766</v>
      </c>
      <c r="C537" s="41" t="s">
        <v>107</v>
      </c>
      <c r="D537" s="41" t="s">
        <v>439</v>
      </c>
      <c r="E537" s="42" t="n">
        <v>10720</v>
      </c>
      <c r="F537" s="42" t="n">
        <v>2000</v>
      </c>
      <c r="G537" s="42"/>
      <c r="H537" s="43" t="n">
        <v>1</v>
      </c>
      <c r="I537" s="34" t="n">
        <f aca="false">E537*H537+N(F537)+N(G537)</f>
        <v>12720</v>
      </c>
      <c r="J537" s="42" t="n">
        <f aca="false">ROUND(IFERROR(ROUND(IF(OR(ISNUMBER(SEARCH("week",C537)),ISNUMBER(SEARCH("minggu",C537))),IFERROR(_xlfn.NUMBERVALUE(SUBSTITUTE(LEFT(TRIM(C537),FIND(" ",TRIM(C537)&amp;" ")-1),",","."),"."),LEFT(SUBSTITUTE(LEFT(TRIM(C537),FIND(" ",TRIM(C537)&amp;" ")-1),",","."),FIND("/",SUBSTITUTE(LEFT(TRIM(C537),FIND(" ",TRIM(C537)&amp;" ")-1),",","."))-1)/MID(SUBSTITUTE(LEFT(TRIM(C537),FIND(" ",TRIM(C537)&amp;" ")-1),",","."),FIND("/",SUBSTITUTE(LEFT(TRIM(C537),FIND(" ",TRIM(C537)&amp;" ")-1),",","."))+1,9))*12/52,IF(ISNUMBER(SEARCH("month",C537)),IFERROR(_xlfn.NUMBERVALUE(SUBSTITUTE(LEFT(TRIM(C537),FIND(" ",TRIM(C537)&amp;" ")-1),",","."),"."),LEFT(SUBSTITUTE(LEFT(TRIM(C537),FIND(" ",TRIM(C537)&amp;" ")-1),",","."),FIND("/",SUBSTITUTE(LEFT(TRIM(C537),FIND(" ",TRIM(C537)&amp;" ")-1),",","."))-1)/MID(SUBSTITUTE(LEFT(TRIM(C537),FIND(" ",TRIM(C537)&amp;" ")-1),",","."),FIND("/",SUBSTITUTE(LEFT(TRIM(C537),FIND(" ",TRIM(C537)&amp;" ")-1),",","."))+1,9)),IF(ISNUMBER(SEARCH("yea",C537)),IFERROR(_xlfn.NUMBERVALUE(SUBSTITUTE(LEFT(TRIM(C537),FIND(" ",TRIM(C537)&amp;" ")-1),",","."),"."),LEFT(SUBSTITUTE(LEFT(TRIM(C537),FIND(" ",TRIM(C537)&amp;" ")-1),",","."),FIND("/",SUBSTITUTE(LEFT(TRIM(C537),FIND(" ",TRIM(C537)&amp;" ")-1),",","."))-1)/MID(SUBSTITUTE(LEFT(TRIM(C537),FIND(" ",TRIM(C537)&amp;" ")-1),",","."),FIND("/",SUBSTITUTE(LEFT(TRIM(C537),FIND(" ",TRIM(C537)&amp;" ")-1),",","."))+1,9))*12,NA()))),0),24)*'Aturan &amp; Tarif'!$B$4,2)</f>
        <v>1362.72</v>
      </c>
      <c r="K537" s="42" t="n">
        <f aca="false">'Aturan &amp; Tarif'!$B$5</f>
        <v>2050</v>
      </c>
      <c r="L537" s="35" t="n">
        <f aca="false">I537+J537+K537</f>
        <v>16132.72</v>
      </c>
      <c r="M537" s="44" t="s">
        <v>1767</v>
      </c>
    </row>
    <row r="538" customFormat="false" ht="14.25" hidden="false" customHeight="true" outlineLevel="0" collapsed="false">
      <c r="A538" s="39"/>
      <c r="B538" s="40" t="s">
        <v>1768</v>
      </c>
      <c r="C538" s="41" t="s">
        <v>130</v>
      </c>
      <c r="D538" s="41" t="s">
        <v>439</v>
      </c>
      <c r="E538" s="42" t="n">
        <v>5942</v>
      </c>
      <c r="F538" s="42" t="n">
        <v>150</v>
      </c>
      <c r="G538" s="42"/>
      <c r="H538" s="43" t="n">
        <v>1</v>
      </c>
      <c r="I538" s="34" t="n">
        <f aca="false">E538*H538+N(F538)+N(G538)</f>
        <v>6092</v>
      </c>
      <c r="J538" s="42" t="n">
        <f aca="false">ROUND(IFERROR(ROUND(IF(OR(ISNUMBER(SEARCH("week",C538)),ISNUMBER(SEARCH("minggu",C538))),IFERROR(_xlfn.NUMBERVALUE(SUBSTITUTE(LEFT(TRIM(C538),FIND(" ",TRIM(C538)&amp;" ")-1),",","."),"."),LEFT(SUBSTITUTE(LEFT(TRIM(C538),FIND(" ",TRIM(C538)&amp;" ")-1),",","."),FIND("/",SUBSTITUTE(LEFT(TRIM(C538),FIND(" ",TRIM(C538)&amp;" ")-1),",","."))-1)/MID(SUBSTITUTE(LEFT(TRIM(C538),FIND(" ",TRIM(C538)&amp;" ")-1),",","."),FIND("/",SUBSTITUTE(LEFT(TRIM(C538),FIND(" ",TRIM(C538)&amp;" ")-1),",","."))+1,9))*12/52,IF(ISNUMBER(SEARCH("month",C538)),IFERROR(_xlfn.NUMBERVALUE(SUBSTITUTE(LEFT(TRIM(C538),FIND(" ",TRIM(C538)&amp;" ")-1),",","."),"."),LEFT(SUBSTITUTE(LEFT(TRIM(C538),FIND(" ",TRIM(C538)&amp;" ")-1),",","."),FIND("/",SUBSTITUTE(LEFT(TRIM(C538),FIND(" ",TRIM(C538)&amp;" ")-1),",","."))-1)/MID(SUBSTITUTE(LEFT(TRIM(C538),FIND(" ",TRIM(C538)&amp;" ")-1),",","."),FIND("/",SUBSTITUTE(LEFT(TRIM(C538),FIND(" ",TRIM(C538)&amp;" ")-1),",","."))+1,9)),IF(ISNUMBER(SEARCH("yea",C538)),IFERROR(_xlfn.NUMBERVALUE(SUBSTITUTE(LEFT(TRIM(C538),FIND(" ",TRIM(C538)&amp;" ")-1),",","."),"."),LEFT(SUBSTITUTE(LEFT(TRIM(C538),FIND(" ",TRIM(C538)&amp;" ")-1),",","."),FIND("/",SUBSTITUTE(LEFT(TRIM(C538),FIND(" ",TRIM(C538)&amp;" ")-1),",","."))-1)/MID(SUBSTITUTE(LEFT(TRIM(C538),FIND(" ",TRIM(C538)&amp;" ")-1),",","."),FIND("/",SUBSTITUTE(LEFT(TRIM(C538),FIND(" ",TRIM(C538)&amp;" ")-1),",","."))+1,9))*12,NA()))),0),12)*'Aturan &amp; Tarif'!$B$4,2)</f>
        <v>681.36</v>
      </c>
      <c r="K538" s="42" t="n">
        <f aca="false">'Aturan &amp; Tarif'!$B$5</f>
        <v>2050</v>
      </c>
      <c r="L538" s="35" t="n">
        <f aca="false">I538+J538+K538</f>
        <v>8823.36</v>
      </c>
      <c r="M538" s="45" t="s">
        <v>1769</v>
      </c>
    </row>
    <row r="539" customFormat="false" ht="25.5" hidden="false" customHeight="true" outlineLevel="0" collapsed="false">
      <c r="A539" s="39"/>
      <c r="B539" s="40" t="s">
        <v>1770</v>
      </c>
      <c r="C539" s="41" t="s">
        <v>130</v>
      </c>
      <c r="D539" s="41" t="s">
        <v>439</v>
      </c>
      <c r="E539" s="42" t="n">
        <v>6243</v>
      </c>
      <c r="F539" s="42" t="n">
        <v>200</v>
      </c>
      <c r="G539" s="42"/>
      <c r="H539" s="43" t="n">
        <v>1</v>
      </c>
      <c r="I539" s="34" t="n">
        <f aca="false">E539*H539+N(F539)+N(G539)</f>
        <v>6443</v>
      </c>
      <c r="J539" s="42" t="n">
        <f aca="false">ROUND(IFERROR(ROUND(IF(OR(ISNUMBER(SEARCH("week",C539)),ISNUMBER(SEARCH("minggu",C539))),IFERROR(_xlfn.NUMBERVALUE(SUBSTITUTE(LEFT(TRIM(C539),FIND(" ",TRIM(C539)&amp;" ")-1),",","."),"."),LEFT(SUBSTITUTE(LEFT(TRIM(C539),FIND(" ",TRIM(C539)&amp;" ")-1),",","."),FIND("/",SUBSTITUTE(LEFT(TRIM(C539),FIND(" ",TRIM(C539)&amp;" ")-1),",","."))-1)/MID(SUBSTITUTE(LEFT(TRIM(C539),FIND(" ",TRIM(C539)&amp;" ")-1),",","."),FIND("/",SUBSTITUTE(LEFT(TRIM(C539),FIND(" ",TRIM(C539)&amp;" ")-1),",","."))+1,9))*12/52,IF(ISNUMBER(SEARCH("month",C539)),IFERROR(_xlfn.NUMBERVALUE(SUBSTITUTE(LEFT(TRIM(C539),FIND(" ",TRIM(C539)&amp;" ")-1),",","."),"."),LEFT(SUBSTITUTE(LEFT(TRIM(C539),FIND(" ",TRIM(C539)&amp;" ")-1),",","."),FIND("/",SUBSTITUTE(LEFT(TRIM(C539),FIND(" ",TRIM(C539)&amp;" ")-1),",","."))-1)/MID(SUBSTITUTE(LEFT(TRIM(C539),FIND(" ",TRIM(C539)&amp;" ")-1),",","."),FIND("/",SUBSTITUTE(LEFT(TRIM(C539),FIND(" ",TRIM(C539)&amp;" ")-1),",","."))+1,9)),IF(ISNUMBER(SEARCH("yea",C539)),IFERROR(_xlfn.NUMBERVALUE(SUBSTITUTE(LEFT(TRIM(C539),FIND(" ",TRIM(C539)&amp;" ")-1),",","."),"."),LEFT(SUBSTITUTE(LEFT(TRIM(C539),FIND(" ",TRIM(C539)&amp;" ")-1),",","."),FIND("/",SUBSTITUTE(LEFT(TRIM(C539),FIND(" ",TRIM(C539)&amp;" ")-1),",","."))-1)/MID(SUBSTITUTE(LEFT(TRIM(C539),FIND(" ",TRIM(C539)&amp;" ")-1),",","."),FIND("/",SUBSTITUTE(LEFT(TRIM(C539),FIND(" ",TRIM(C539)&amp;" ")-1),",","."))+1,9))*12,NA()))),0),12)*'Aturan &amp; Tarif'!$B$4,2)</f>
        <v>681.36</v>
      </c>
      <c r="K539" s="42" t="n">
        <f aca="false">'Aturan &amp; Tarif'!$B$5</f>
        <v>2050</v>
      </c>
      <c r="L539" s="35" t="n">
        <f aca="false">I539+J539+K539</f>
        <v>9174.36</v>
      </c>
      <c r="M539" s="45" t="s">
        <v>1771</v>
      </c>
    </row>
    <row r="540" customFormat="false" ht="25.5" hidden="false" customHeight="true" outlineLevel="0" collapsed="false">
      <c r="A540" s="39"/>
      <c r="B540" s="40" t="s">
        <v>1772</v>
      </c>
      <c r="C540" s="41" t="s">
        <v>130</v>
      </c>
      <c r="D540" s="41" t="s">
        <v>439</v>
      </c>
      <c r="E540" s="42" t="n">
        <v>9235</v>
      </c>
      <c r="F540" s="42" t="n">
        <v>150</v>
      </c>
      <c r="G540" s="42"/>
      <c r="H540" s="43" t="n">
        <v>1</v>
      </c>
      <c r="I540" s="34" t="n">
        <f aca="false">E540*H540+N(F540)+N(G540)</f>
        <v>9385</v>
      </c>
      <c r="J540" s="42" t="n">
        <f aca="false">ROUND(IFERROR(ROUND(IF(OR(ISNUMBER(SEARCH("week",C540)),ISNUMBER(SEARCH("minggu",C540))),IFERROR(_xlfn.NUMBERVALUE(SUBSTITUTE(LEFT(TRIM(C540),FIND(" ",TRIM(C540)&amp;" ")-1),",","."),"."),LEFT(SUBSTITUTE(LEFT(TRIM(C540),FIND(" ",TRIM(C540)&amp;" ")-1),",","."),FIND("/",SUBSTITUTE(LEFT(TRIM(C540),FIND(" ",TRIM(C540)&amp;" ")-1),",","."))-1)/MID(SUBSTITUTE(LEFT(TRIM(C540),FIND(" ",TRIM(C540)&amp;" ")-1),",","."),FIND("/",SUBSTITUTE(LEFT(TRIM(C540),FIND(" ",TRIM(C540)&amp;" ")-1),",","."))+1,9))*12/52,IF(ISNUMBER(SEARCH("month",C540)),IFERROR(_xlfn.NUMBERVALUE(SUBSTITUTE(LEFT(TRIM(C540),FIND(" ",TRIM(C540)&amp;" ")-1),",","."),"."),LEFT(SUBSTITUTE(LEFT(TRIM(C540),FIND(" ",TRIM(C540)&amp;" ")-1),",","."),FIND("/",SUBSTITUTE(LEFT(TRIM(C540),FIND(" ",TRIM(C540)&amp;" ")-1),",","."))-1)/MID(SUBSTITUTE(LEFT(TRIM(C540),FIND(" ",TRIM(C540)&amp;" ")-1),",","."),FIND("/",SUBSTITUTE(LEFT(TRIM(C540),FIND(" ",TRIM(C540)&amp;" ")-1),",","."))+1,9)),IF(ISNUMBER(SEARCH("yea",C540)),IFERROR(_xlfn.NUMBERVALUE(SUBSTITUTE(LEFT(TRIM(C540),FIND(" ",TRIM(C540)&amp;" ")-1),",","."),"."),LEFT(SUBSTITUTE(LEFT(TRIM(C540),FIND(" ",TRIM(C540)&amp;" ")-1),",","."),FIND("/",SUBSTITUTE(LEFT(TRIM(C540),FIND(" ",TRIM(C540)&amp;" ")-1),",","."))-1)/MID(SUBSTITUTE(LEFT(TRIM(C540),FIND(" ",TRIM(C540)&amp;" ")-1),",","."),FIND("/",SUBSTITUTE(LEFT(TRIM(C540),FIND(" ",TRIM(C540)&amp;" ")-1),",","."))+1,9))*12,NA()))),0),12)*'Aturan &amp; Tarif'!$B$4,2)</f>
        <v>681.36</v>
      </c>
      <c r="K540" s="42" t="n">
        <f aca="false">'Aturan &amp; Tarif'!$B$5</f>
        <v>2050</v>
      </c>
      <c r="L540" s="35" t="n">
        <f aca="false">I540+J540+K540</f>
        <v>12116.36</v>
      </c>
      <c r="M540" s="45" t="s">
        <v>1773</v>
      </c>
    </row>
    <row r="541" customFormat="false" ht="72" hidden="false" customHeight="true" outlineLevel="0" collapsed="false">
      <c r="A541" s="39"/>
      <c r="B541" s="40" t="s">
        <v>1774</v>
      </c>
      <c r="C541" s="41" t="s">
        <v>113</v>
      </c>
      <c r="D541" s="41" t="s">
        <v>108</v>
      </c>
      <c r="E541" s="42" t="n">
        <v>5921.25</v>
      </c>
      <c r="F541" s="42" t="n">
        <v>250</v>
      </c>
      <c r="G541" s="42"/>
      <c r="H541" s="43" t="n">
        <v>2</v>
      </c>
      <c r="I541" s="34" t="n">
        <f aca="false">E541*H541+N(F541)+N(G541)</f>
        <v>12092.5</v>
      </c>
      <c r="J541" s="42" t="n">
        <f aca="false">ROUND(IFERROR(ROUND(IF(OR(ISNUMBER(SEARCH("week",C541)),ISNUMBER(SEARCH("minggu",C541))),IFERROR(_xlfn.NUMBERVALUE(SUBSTITUTE(LEFT(TRIM(C541),FIND(" ",TRIM(C541)&amp;" ")-1),",","."),"."),LEFT(SUBSTITUTE(LEFT(TRIM(C541),FIND(" ",TRIM(C541)&amp;" ")-1),",","."),FIND("/",SUBSTITUTE(LEFT(TRIM(C541),FIND(" ",TRIM(C541)&amp;" ")-1),",","."))-1)/MID(SUBSTITUTE(LEFT(TRIM(C541),FIND(" ",TRIM(C541)&amp;" ")-1),",","."),FIND("/",SUBSTITUTE(LEFT(TRIM(C541),FIND(" ",TRIM(C541)&amp;" ")-1),",","."))+1,9))*12/52,IF(ISNUMBER(SEARCH("month",C541)),IFERROR(_xlfn.NUMBERVALUE(SUBSTITUTE(LEFT(TRIM(C541),FIND(" ",TRIM(C541)&amp;" ")-1),",","."),"."),LEFT(SUBSTITUTE(LEFT(TRIM(C541),FIND(" ",TRIM(C541)&amp;" ")-1),",","."),FIND("/",SUBSTITUTE(LEFT(TRIM(C541),FIND(" ",TRIM(C541)&amp;" ")-1),",","."))-1)/MID(SUBSTITUTE(LEFT(TRIM(C541),FIND(" ",TRIM(C541)&amp;" ")-1),",","."),FIND("/",SUBSTITUTE(LEFT(TRIM(C541),FIND(" ",TRIM(C541)&amp;" ")-1),",","."))+1,9)),IF(ISNUMBER(SEARCH("yea",C541)),IFERROR(_xlfn.NUMBERVALUE(SUBSTITUTE(LEFT(TRIM(C541),FIND(" ",TRIM(C541)&amp;" ")-1),",","."),"."),LEFT(SUBSTITUTE(LEFT(TRIM(C541),FIND(" ",TRIM(C541)&amp;" ")-1),",","."),FIND("/",SUBSTITUTE(LEFT(TRIM(C541),FIND(" ",TRIM(C541)&amp;" ")-1),",","."))-1)/MID(SUBSTITUTE(LEFT(TRIM(C541),FIND(" ",TRIM(C541)&amp;" ")-1),",","."),FIND("/",SUBSTITUTE(LEFT(TRIM(C541),FIND(" ",TRIM(C541)&amp;" ")-1),",","."))+1,9))*12,NA()))),0),18)*'Aturan &amp; Tarif'!$B$4,2)</f>
        <v>1022.04</v>
      </c>
      <c r="K541" s="42" t="n">
        <f aca="false">'Aturan &amp; Tarif'!$B$5</f>
        <v>2050</v>
      </c>
      <c r="L541" s="35" t="n">
        <f aca="false">I541+J541+K541</f>
        <v>15164.54</v>
      </c>
      <c r="M541" s="44" t="s">
        <v>1775</v>
      </c>
    </row>
    <row r="542" customFormat="false" ht="37.5" hidden="false" customHeight="true" outlineLevel="0" collapsed="false">
      <c r="A542" s="29" t="s">
        <v>1776</v>
      </c>
      <c r="B542" s="30" t="s">
        <v>1777</v>
      </c>
      <c r="C542" s="31" t="s">
        <v>127</v>
      </c>
      <c r="D542" s="31" t="s">
        <v>108</v>
      </c>
      <c r="E542" s="32" t="n">
        <v>2700</v>
      </c>
      <c r="F542" s="32" t="n">
        <v>2700</v>
      </c>
      <c r="G542" s="32" t="n">
        <v>250</v>
      </c>
      <c r="H542" s="33" t="n">
        <v>1</v>
      </c>
      <c r="I542" s="34" t="n">
        <f aca="false">E542*H542+N(F542)+N(G542)</f>
        <v>5650</v>
      </c>
      <c r="J542" s="32" t="n">
        <f aca="false">ROUND(IFERROR(ROUND(IF(OR(ISNUMBER(SEARCH("week",C542)),ISNUMBER(SEARCH("minggu",C542))),IFERROR(_xlfn.NUMBERVALUE(SUBSTITUTE(LEFT(TRIM(C542),FIND(" ",TRIM(C542)&amp;" ")-1),",","."),"."),LEFT(SUBSTITUTE(LEFT(TRIM(C542),FIND(" ",TRIM(C542)&amp;" ")-1),",","."),FIND("/",SUBSTITUTE(LEFT(TRIM(C542),FIND(" ",TRIM(C542)&amp;" ")-1),",","."))-1)/MID(SUBSTITUTE(LEFT(TRIM(C542),FIND(" ",TRIM(C542)&amp;" ")-1),",","."),FIND("/",SUBSTITUTE(LEFT(TRIM(C542),FIND(" ",TRIM(C542)&amp;" ")-1),",","."))+1,9))*12/52,IF(ISNUMBER(SEARCH("month",C542)),IFERROR(_xlfn.NUMBERVALUE(SUBSTITUTE(LEFT(TRIM(C542),FIND(" ",TRIM(C542)&amp;" ")-1),",","."),"."),LEFT(SUBSTITUTE(LEFT(TRIM(C542),FIND(" ",TRIM(C542)&amp;" ")-1),",","."),FIND("/",SUBSTITUTE(LEFT(TRIM(C542),FIND(" ",TRIM(C542)&amp;" ")-1),",","."))-1)/MID(SUBSTITUTE(LEFT(TRIM(C542),FIND(" ",TRIM(C542)&amp;" ")-1),",","."),FIND("/",SUBSTITUTE(LEFT(TRIM(C542),FIND(" ",TRIM(C542)&amp;" ")-1),",","."))+1,9)),IF(ISNUMBER(SEARCH("yea",C542)),IFERROR(_xlfn.NUMBERVALUE(SUBSTITUTE(LEFT(TRIM(C542),FIND(" ",TRIM(C542)&amp;" ")-1),",","."),"."),LEFT(SUBSTITUTE(LEFT(TRIM(C542),FIND(" ",TRIM(C542)&amp;" ")-1),",","."),FIND("/",SUBSTITUTE(LEFT(TRIM(C542),FIND(" ",TRIM(C542)&amp;" ")-1),",","."))-1)/MID(SUBSTITUTE(LEFT(TRIM(C542),FIND(" ",TRIM(C542)&amp;" ")-1),",","."),FIND("/",SUBSTITUTE(LEFT(TRIM(C542),FIND(" ",TRIM(C542)&amp;" ")-1),",","."))+1,9))*12,NA()))),0),36)*'Aturan &amp; Tarif'!$B$4,2)</f>
        <v>2044.08</v>
      </c>
      <c r="K542" s="32" t="n">
        <f aca="false">'Aturan &amp; Tarif'!$B$5</f>
        <v>2050</v>
      </c>
      <c r="L542" s="35" t="n">
        <f aca="false">I542+J542+K542</f>
        <v>9744.08</v>
      </c>
      <c r="M542" s="37" t="s">
        <v>134</v>
      </c>
    </row>
    <row r="543" customFormat="false" ht="25.5" hidden="false" customHeight="true" outlineLevel="0" collapsed="false">
      <c r="A543" s="29"/>
      <c r="B543" s="30" t="s">
        <v>837</v>
      </c>
      <c r="C543" s="31" t="s">
        <v>107</v>
      </c>
      <c r="D543" s="31" t="s">
        <v>108</v>
      </c>
      <c r="E543" s="32" t="n">
        <v>2700</v>
      </c>
      <c r="F543" s="32" t="n">
        <v>1250</v>
      </c>
      <c r="G543" s="32" t="n">
        <v>250</v>
      </c>
      <c r="H543" s="33" t="n">
        <v>1</v>
      </c>
      <c r="I543" s="34" t="n">
        <f aca="false">E543*H543+N(F543)+N(G543)</f>
        <v>4200</v>
      </c>
      <c r="J543" s="32" t="n">
        <f aca="false">ROUND(IFERROR(ROUND(IF(OR(ISNUMBER(SEARCH("week",C543)),ISNUMBER(SEARCH("minggu",C543))),IFERROR(_xlfn.NUMBERVALUE(SUBSTITUTE(LEFT(TRIM(C543),FIND(" ",TRIM(C543)&amp;" ")-1),",","."),"."),LEFT(SUBSTITUTE(LEFT(TRIM(C543),FIND(" ",TRIM(C543)&amp;" ")-1),",","."),FIND("/",SUBSTITUTE(LEFT(TRIM(C543),FIND(" ",TRIM(C543)&amp;" ")-1),",","."))-1)/MID(SUBSTITUTE(LEFT(TRIM(C543),FIND(" ",TRIM(C543)&amp;" ")-1),",","."),FIND("/",SUBSTITUTE(LEFT(TRIM(C543),FIND(" ",TRIM(C543)&amp;" ")-1),",","."))+1,9))*12/52,IF(ISNUMBER(SEARCH("month",C543)),IFERROR(_xlfn.NUMBERVALUE(SUBSTITUTE(LEFT(TRIM(C543),FIND(" ",TRIM(C543)&amp;" ")-1),",","."),"."),LEFT(SUBSTITUTE(LEFT(TRIM(C543),FIND(" ",TRIM(C543)&amp;" ")-1),",","."),FIND("/",SUBSTITUTE(LEFT(TRIM(C543),FIND(" ",TRIM(C543)&amp;" ")-1),",","."))-1)/MID(SUBSTITUTE(LEFT(TRIM(C543),FIND(" ",TRIM(C543)&amp;" ")-1),",","."),FIND("/",SUBSTITUTE(LEFT(TRIM(C543),FIND(" ",TRIM(C543)&amp;" ")-1),",","."))+1,9)),IF(ISNUMBER(SEARCH("yea",C543)),IFERROR(_xlfn.NUMBERVALUE(SUBSTITUTE(LEFT(TRIM(C543),FIND(" ",TRIM(C543)&amp;" ")-1),",","."),"."),LEFT(SUBSTITUTE(LEFT(TRIM(C543),FIND(" ",TRIM(C543)&amp;" ")-1),",","."),FIND("/",SUBSTITUTE(LEFT(TRIM(C543),FIND(" ",TRIM(C543)&amp;" ")-1),",","."))-1)/MID(SUBSTITUTE(LEFT(TRIM(C543),FIND(" ",TRIM(C543)&amp;" ")-1),",","."),FIND("/",SUBSTITUTE(LEFT(TRIM(C543),FIND(" ",TRIM(C543)&amp;" ")-1),",","."))+1,9))*12,NA()))),0),24)*'Aturan &amp; Tarif'!$B$4,2)</f>
        <v>1362.72</v>
      </c>
      <c r="K543" s="32" t="n">
        <f aca="false">'Aturan &amp; Tarif'!$B$5</f>
        <v>2050</v>
      </c>
      <c r="L543" s="35" t="n">
        <f aca="false">I543+J543+K543</f>
        <v>7612.72</v>
      </c>
      <c r="M543" s="37" t="s">
        <v>134</v>
      </c>
    </row>
    <row r="544" customFormat="false" ht="14.25" hidden="false" customHeight="true" outlineLevel="0" collapsed="false">
      <c r="A544" s="29"/>
      <c r="B544" s="30" t="s">
        <v>1170</v>
      </c>
      <c r="C544" s="31" t="s">
        <v>107</v>
      </c>
      <c r="D544" s="31" t="s">
        <v>108</v>
      </c>
      <c r="E544" s="32" t="n">
        <v>1500</v>
      </c>
      <c r="F544" s="32" t="n">
        <v>800</v>
      </c>
      <c r="G544" s="32" t="n">
        <v>250</v>
      </c>
      <c r="H544" s="33" t="n">
        <v>1</v>
      </c>
      <c r="I544" s="34" t="n">
        <f aca="false">E544*H544+N(F544)+N(G544)</f>
        <v>2550</v>
      </c>
      <c r="J544" s="32" t="n">
        <f aca="false">ROUND(IFERROR(ROUND(IF(OR(ISNUMBER(SEARCH("week",C544)),ISNUMBER(SEARCH("minggu",C544))),IFERROR(_xlfn.NUMBERVALUE(SUBSTITUTE(LEFT(TRIM(C544),FIND(" ",TRIM(C544)&amp;" ")-1),",","."),"."),LEFT(SUBSTITUTE(LEFT(TRIM(C544),FIND(" ",TRIM(C544)&amp;" ")-1),",","."),FIND("/",SUBSTITUTE(LEFT(TRIM(C544),FIND(" ",TRIM(C544)&amp;" ")-1),",","."))-1)/MID(SUBSTITUTE(LEFT(TRIM(C544),FIND(" ",TRIM(C544)&amp;" ")-1),",","."),FIND("/",SUBSTITUTE(LEFT(TRIM(C544),FIND(" ",TRIM(C544)&amp;" ")-1),",","."))+1,9))*12/52,IF(ISNUMBER(SEARCH("month",C544)),IFERROR(_xlfn.NUMBERVALUE(SUBSTITUTE(LEFT(TRIM(C544),FIND(" ",TRIM(C544)&amp;" ")-1),",","."),"."),LEFT(SUBSTITUTE(LEFT(TRIM(C544),FIND(" ",TRIM(C544)&amp;" ")-1),",","."),FIND("/",SUBSTITUTE(LEFT(TRIM(C544),FIND(" ",TRIM(C544)&amp;" ")-1),",","."))-1)/MID(SUBSTITUTE(LEFT(TRIM(C544),FIND(" ",TRIM(C544)&amp;" ")-1),",","."),FIND("/",SUBSTITUTE(LEFT(TRIM(C544),FIND(" ",TRIM(C544)&amp;" ")-1),",","."))+1,9)),IF(ISNUMBER(SEARCH("yea",C544)),IFERROR(_xlfn.NUMBERVALUE(SUBSTITUTE(LEFT(TRIM(C544),FIND(" ",TRIM(C544)&amp;" ")-1),",","."),"."),LEFT(SUBSTITUTE(LEFT(TRIM(C544),FIND(" ",TRIM(C544)&amp;" ")-1),",","."),FIND("/",SUBSTITUTE(LEFT(TRIM(C544),FIND(" ",TRIM(C544)&amp;" ")-1),",","."))-1)/MID(SUBSTITUTE(LEFT(TRIM(C544),FIND(" ",TRIM(C544)&amp;" ")-1),",","."),FIND("/",SUBSTITUTE(LEFT(TRIM(C544),FIND(" ",TRIM(C544)&amp;" ")-1),",","."))+1,9))*12,NA()))),0),24)*'Aturan &amp; Tarif'!$B$4,2)</f>
        <v>1362.72</v>
      </c>
      <c r="K544" s="32" t="n">
        <f aca="false">'Aturan &amp; Tarif'!$B$5</f>
        <v>2050</v>
      </c>
      <c r="L544" s="35" t="n">
        <f aca="false">I544+J544+K544</f>
        <v>5962.72</v>
      </c>
      <c r="M544" s="37" t="s">
        <v>134</v>
      </c>
    </row>
    <row r="545" customFormat="false" ht="60" hidden="false" customHeight="true" outlineLevel="0" collapsed="false">
      <c r="A545" s="29" t="s">
        <v>1778</v>
      </c>
      <c r="B545" s="30" t="s">
        <v>1032</v>
      </c>
      <c r="C545" s="31" t="s">
        <v>130</v>
      </c>
      <c r="D545" s="31" t="s">
        <v>108</v>
      </c>
      <c r="E545" s="32" t="n">
        <v>7900</v>
      </c>
      <c r="F545" s="32"/>
      <c r="G545" s="32"/>
      <c r="H545" s="33" t="n">
        <v>2</v>
      </c>
      <c r="I545" s="34" t="n">
        <f aca="false">E545*H545+N(F545)+N(G545)</f>
        <v>15800</v>
      </c>
      <c r="J545" s="32" t="n">
        <f aca="false">ROUND(IFERROR(ROUND(IF(OR(ISNUMBER(SEARCH("week",C545)),ISNUMBER(SEARCH("minggu",C545))),IFERROR(_xlfn.NUMBERVALUE(SUBSTITUTE(LEFT(TRIM(C545),FIND(" ",TRIM(C545)&amp;" ")-1),",","."),"."),LEFT(SUBSTITUTE(LEFT(TRIM(C545),FIND(" ",TRIM(C545)&amp;" ")-1),",","."),FIND("/",SUBSTITUTE(LEFT(TRIM(C545),FIND(" ",TRIM(C545)&amp;" ")-1),",","."))-1)/MID(SUBSTITUTE(LEFT(TRIM(C545),FIND(" ",TRIM(C545)&amp;" ")-1),",","."),FIND("/",SUBSTITUTE(LEFT(TRIM(C545),FIND(" ",TRIM(C545)&amp;" ")-1),",","."))+1,9))*12/52,IF(ISNUMBER(SEARCH("month",C545)),IFERROR(_xlfn.NUMBERVALUE(SUBSTITUTE(LEFT(TRIM(C545),FIND(" ",TRIM(C545)&amp;" ")-1),",","."),"."),LEFT(SUBSTITUTE(LEFT(TRIM(C545),FIND(" ",TRIM(C545)&amp;" ")-1),",","."),FIND("/",SUBSTITUTE(LEFT(TRIM(C545),FIND(" ",TRIM(C545)&amp;" ")-1),",","."))-1)/MID(SUBSTITUTE(LEFT(TRIM(C545),FIND(" ",TRIM(C545)&amp;" ")-1),",","."),FIND("/",SUBSTITUTE(LEFT(TRIM(C545),FIND(" ",TRIM(C545)&amp;" ")-1),",","."))+1,9)),IF(ISNUMBER(SEARCH("yea",C545)),IFERROR(_xlfn.NUMBERVALUE(SUBSTITUTE(LEFT(TRIM(C545),FIND(" ",TRIM(C545)&amp;" ")-1),",","."),"."),LEFT(SUBSTITUTE(LEFT(TRIM(C545),FIND(" ",TRIM(C545)&amp;" ")-1),",","."),FIND("/",SUBSTITUTE(LEFT(TRIM(C545),FIND(" ",TRIM(C545)&amp;" ")-1),",","."))-1)/MID(SUBSTITUTE(LEFT(TRIM(C545),FIND(" ",TRIM(C545)&amp;" ")-1),",","."),FIND("/",SUBSTITUTE(LEFT(TRIM(C545),FIND(" ",TRIM(C545)&amp;" ")-1),",","."))+1,9))*12,NA()))),0),12)*'Aturan &amp; Tarif'!$B$4,2)</f>
        <v>681.36</v>
      </c>
      <c r="K545" s="32" t="n">
        <f aca="false">'Aturan &amp; Tarif'!$B$5</f>
        <v>2050</v>
      </c>
      <c r="L545" s="35" t="n">
        <f aca="false">I545+J545+K545</f>
        <v>18531.36</v>
      </c>
      <c r="M545" s="36" t="s">
        <v>1033</v>
      </c>
    </row>
    <row r="546" customFormat="false" ht="60" hidden="false" customHeight="true" outlineLevel="0" collapsed="false">
      <c r="A546" s="29"/>
      <c r="B546" s="30" t="s">
        <v>321</v>
      </c>
      <c r="C546" s="31" t="s">
        <v>127</v>
      </c>
      <c r="D546" s="31" t="s">
        <v>108</v>
      </c>
      <c r="E546" s="32" t="n">
        <v>7900</v>
      </c>
      <c r="F546" s="32"/>
      <c r="G546" s="32"/>
      <c r="H546" s="33" t="n">
        <v>2</v>
      </c>
      <c r="I546" s="34" t="n">
        <f aca="false">E546*H546+N(F546)+N(G546)</f>
        <v>15800</v>
      </c>
      <c r="J546" s="32" t="n">
        <f aca="false">ROUND(IFERROR(ROUND(IF(OR(ISNUMBER(SEARCH("week",C546)),ISNUMBER(SEARCH("minggu",C546))),IFERROR(_xlfn.NUMBERVALUE(SUBSTITUTE(LEFT(TRIM(C546),FIND(" ",TRIM(C546)&amp;" ")-1),",","."),"."),LEFT(SUBSTITUTE(LEFT(TRIM(C546),FIND(" ",TRIM(C546)&amp;" ")-1),",","."),FIND("/",SUBSTITUTE(LEFT(TRIM(C546),FIND(" ",TRIM(C546)&amp;" ")-1),",","."))-1)/MID(SUBSTITUTE(LEFT(TRIM(C546),FIND(" ",TRIM(C546)&amp;" ")-1),",","."),FIND("/",SUBSTITUTE(LEFT(TRIM(C546),FIND(" ",TRIM(C546)&amp;" ")-1),",","."))+1,9))*12/52,IF(ISNUMBER(SEARCH("month",C546)),IFERROR(_xlfn.NUMBERVALUE(SUBSTITUTE(LEFT(TRIM(C546),FIND(" ",TRIM(C546)&amp;" ")-1),",","."),"."),LEFT(SUBSTITUTE(LEFT(TRIM(C546),FIND(" ",TRIM(C546)&amp;" ")-1),",","."),FIND("/",SUBSTITUTE(LEFT(TRIM(C546),FIND(" ",TRIM(C546)&amp;" ")-1),",","."))-1)/MID(SUBSTITUTE(LEFT(TRIM(C546),FIND(" ",TRIM(C546)&amp;" ")-1),",","."),FIND("/",SUBSTITUTE(LEFT(TRIM(C546),FIND(" ",TRIM(C546)&amp;" ")-1),",","."))+1,9)),IF(ISNUMBER(SEARCH("yea",C546)),IFERROR(_xlfn.NUMBERVALUE(SUBSTITUTE(LEFT(TRIM(C546),FIND(" ",TRIM(C546)&amp;" ")-1),",","."),"."),LEFT(SUBSTITUTE(LEFT(TRIM(C546),FIND(" ",TRIM(C546)&amp;" ")-1),",","."),FIND("/",SUBSTITUTE(LEFT(TRIM(C546),FIND(" ",TRIM(C546)&amp;" ")-1),",","."))-1)/MID(SUBSTITUTE(LEFT(TRIM(C546),FIND(" ",TRIM(C546)&amp;" ")-1),",","."),FIND("/",SUBSTITUTE(LEFT(TRIM(C546),FIND(" ",TRIM(C546)&amp;" ")-1),",","."))+1,9))*12,NA()))),0),36)*'Aturan &amp; Tarif'!$B$4,2)</f>
        <v>2044.08</v>
      </c>
      <c r="K546" s="32" t="n">
        <f aca="false">'Aturan &amp; Tarif'!$B$5</f>
        <v>2050</v>
      </c>
      <c r="L546" s="35" t="n">
        <f aca="false">I546+J546+K546</f>
        <v>19894.08</v>
      </c>
      <c r="M546" s="36" t="s">
        <v>1034</v>
      </c>
    </row>
    <row r="547" customFormat="false" ht="60" hidden="false" customHeight="true" outlineLevel="0" collapsed="false">
      <c r="A547" s="29"/>
      <c r="B547" s="30" t="s">
        <v>1035</v>
      </c>
      <c r="C547" s="31" t="s">
        <v>130</v>
      </c>
      <c r="D547" s="31" t="s">
        <v>108</v>
      </c>
      <c r="E547" s="32" t="n">
        <v>7900</v>
      </c>
      <c r="F547" s="32"/>
      <c r="G547" s="32"/>
      <c r="H547" s="33" t="n">
        <v>2</v>
      </c>
      <c r="I547" s="34" t="n">
        <f aca="false">E547*H547+N(F547)+N(G547)</f>
        <v>15800</v>
      </c>
      <c r="J547" s="32" t="n">
        <f aca="false">ROUND(IFERROR(ROUND(IF(OR(ISNUMBER(SEARCH("week",C547)),ISNUMBER(SEARCH("minggu",C547))),IFERROR(_xlfn.NUMBERVALUE(SUBSTITUTE(LEFT(TRIM(C547),FIND(" ",TRIM(C547)&amp;" ")-1),",","."),"."),LEFT(SUBSTITUTE(LEFT(TRIM(C547),FIND(" ",TRIM(C547)&amp;" ")-1),",","."),FIND("/",SUBSTITUTE(LEFT(TRIM(C547),FIND(" ",TRIM(C547)&amp;" ")-1),",","."))-1)/MID(SUBSTITUTE(LEFT(TRIM(C547),FIND(" ",TRIM(C547)&amp;" ")-1),",","."),FIND("/",SUBSTITUTE(LEFT(TRIM(C547),FIND(" ",TRIM(C547)&amp;" ")-1),",","."))+1,9))*12/52,IF(ISNUMBER(SEARCH("month",C547)),IFERROR(_xlfn.NUMBERVALUE(SUBSTITUTE(LEFT(TRIM(C547),FIND(" ",TRIM(C547)&amp;" ")-1),",","."),"."),LEFT(SUBSTITUTE(LEFT(TRIM(C547),FIND(" ",TRIM(C547)&amp;" ")-1),",","."),FIND("/",SUBSTITUTE(LEFT(TRIM(C547),FIND(" ",TRIM(C547)&amp;" ")-1),",","."))-1)/MID(SUBSTITUTE(LEFT(TRIM(C547),FIND(" ",TRIM(C547)&amp;" ")-1),",","."),FIND("/",SUBSTITUTE(LEFT(TRIM(C547),FIND(" ",TRIM(C547)&amp;" ")-1),",","."))+1,9)),IF(ISNUMBER(SEARCH("yea",C547)),IFERROR(_xlfn.NUMBERVALUE(SUBSTITUTE(LEFT(TRIM(C547),FIND(" ",TRIM(C547)&amp;" ")-1),",","."),"."),LEFT(SUBSTITUTE(LEFT(TRIM(C547),FIND(" ",TRIM(C547)&amp;" ")-1),",","."),FIND("/",SUBSTITUTE(LEFT(TRIM(C547),FIND(" ",TRIM(C547)&amp;" ")-1),",","."))-1)/MID(SUBSTITUTE(LEFT(TRIM(C547),FIND(" ",TRIM(C547)&amp;" ")-1),",","."),FIND("/",SUBSTITUTE(LEFT(TRIM(C547),FIND(" ",TRIM(C547)&amp;" ")-1),",","."))+1,9))*12,NA()))),0),12)*'Aturan &amp; Tarif'!$B$4,2)</f>
        <v>681.36</v>
      </c>
      <c r="K547" s="32" t="n">
        <f aca="false">'Aturan &amp; Tarif'!$B$5</f>
        <v>2050</v>
      </c>
      <c r="L547" s="35" t="n">
        <f aca="false">I547+J547+K547</f>
        <v>18531.36</v>
      </c>
      <c r="M547" s="36" t="s">
        <v>1036</v>
      </c>
    </row>
    <row r="548" customFormat="false" ht="60" hidden="false" customHeight="true" outlineLevel="0" collapsed="false">
      <c r="A548" s="29"/>
      <c r="B548" s="30" t="s">
        <v>1037</v>
      </c>
      <c r="C548" s="31" t="s">
        <v>127</v>
      </c>
      <c r="D548" s="31" t="s">
        <v>108</v>
      </c>
      <c r="E548" s="32" t="n">
        <v>7900</v>
      </c>
      <c r="F548" s="32"/>
      <c r="G548" s="32"/>
      <c r="H548" s="33" t="n">
        <v>2</v>
      </c>
      <c r="I548" s="34" t="n">
        <f aca="false">E548*H548+N(F548)+N(G548)</f>
        <v>15800</v>
      </c>
      <c r="J548" s="32" t="n">
        <f aca="false">ROUND(IFERROR(ROUND(IF(OR(ISNUMBER(SEARCH("week",C548)),ISNUMBER(SEARCH("minggu",C548))),IFERROR(_xlfn.NUMBERVALUE(SUBSTITUTE(LEFT(TRIM(C548),FIND(" ",TRIM(C548)&amp;" ")-1),",","."),"."),LEFT(SUBSTITUTE(LEFT(TRIM(C548),FIND(" ",TRIM(C548)&amp;" ")-1),",","."),FIND("/",SUBSTITUTE(LEFT(TRIM(C548),FIND(" ",TRIM(C548)&amp;" ")-1),",","."))-1)/MID(SUBSTITUTE(LEFT(TRIM(C548),FIND(" ",TRIM(C548)&amp;" ")-1),",","."),FIND("/",SUBSTITUTE(LEFT(TRIM(C548),FIND(" ",TRIM(C548)&amp;" ")-1),",","."))+1,9))*12/52,IF(ISNUMBER(SEARCH("month",C548)),IFERROR(_xlfn.NUMBERVALUE(SUBSTITUTE(LEFT(TRIM(C548),FIND(" ",TRIM(C548)&amp;" ")-1),",","."),"."),LEFT(SUBSTITUTE(LEFT(TRIM(C548),FIND(" ",TRIM(C548)&amp;" ")-1),",","."),FIND("/",SUBSTITUTE(LEFT(TRIM(C548),FIND(" ",TRIM(C548)&amp;" ")-1),",","."))-1)/MID(SUBSTITUTE(LEFT(TRIM(C548),FIND(" ",TRIM(C548)&amp;" ")-1),",","."),FIND("/",SUBSTITUTE(LEFT(TRIM(C548),FIND(" ",TRIM(C548)&amp;" ")-1),",","."))+1,9)),IF(ISNUMBER(SEARCH("yea",C548)),IFERROR(_xlfn.NUMBERVALUE(SUBSTITUTE(LEFT(TRIM(C548),FIND(" ",TRIM(C548)&amp;" ")-1),",","."),"."),LEFT(SUBSTITUTE(LEFT(TRIM(C548),FIND(" ",TRIM(C548)&amp;" ")-1),",","."),FIND("/",SUBSTITUTE(LEFT(TRIM(C548),FIND(" ",TRIM(C548)&amp;" ")-1),",","."))-1)/MID(SUBSTITUTE(LEFT(TRIM(C548),FIND(" ",TRIM(C548)&amp;" ")-1),",","."),FIND("/",SUBSTITUTE(LEFT(TRIM(C548),FIND(" ",TRIM(C548)&amp;" ")-1),",","."))+1,9))*12,NA()))),0),36)*'Aturan &amp; Tarif'!$B$4,2)</f>
        <v>2044.08</v>
      </c>
      <c r="K548" s="32" t="n">
        <f aca="false">'Aturan &amp; Tarif'!$B$5</f>
        <v>2050</v>
      </c>
      <c r="L548" s="35" t="n">
        <f aca="false">I548+J548+K548</f>
        <v>19894.08</v>
      </c>
      <c r="M548" s="36" t="s">
        <v>1036</v>
      </c>
    </row>
    <row r="549" customFormat="false" ht="60" hidden="false" customHeight="true" outlineLevel="0" collapsed="false">
      <c r="A549" s="29"/>
      <c r="B549" s="30" t="s">
        <v>1038</v>
      </c>
      <c r="C549" s="31" t="s">
        <v>127</v>
      </c>
      <c r="D549" s="31" t="s">
        <v>108</v>
      </c>
      <c r="E549" s="32" t="n">
        <v>7900</v>
      </c>
      <c r="F549" s="32"/>
      <c r="G549" s="32"/>
      <c r="H549" s="33" t="n">
        <v>2</v>
      </c>
      <c r="I549" s="34" t="n">
        <f aca="false">E549*H549+N(F549)+N(G549)</f>
        <v>15800</v>
      </c>
      <c r="J549" s="32" t="n">
        <f aca="false">ROUND(IFERROR(ROUND(IF(OR(ISNUMBER(SEARCH("week",C549)),ISNUMBER(SEARCH("minggu",C549))),IFERROR(_xlfn.NUMBERVALUE(SUBSTITUTE(LEFT(TRIM(C549),FIND(" ",TRIM(C549)&amp;" ")-1),",","."),"."),LEFT(SUBSTITUTE(LEFT(TRIM(C549),FIND(" ",TRIM(C549)&amp;" ")-1),",","."),FIND("/",SUBSTITUTE(LEFT(TRIM(C549),FIND(" ",TRIM(C549)&amp;" ")-1),",","."))-1)/MID(SUBSTITUTE(LEFT(TRIM(C549),FIND(" ",TRIM(C549)&amp;" ")-1),",","."),FIND("/",SUBSTITUTE(LEFT(TRIM(C549),FIND(" ",TRIM(C549)&amp;" ")-1),",","."))+1,9))*12/52,IF(ISNUMBER(SEARCH("month",C549)),IFERROR(_xlfn.NUMBERVALUE(SUBSTITUTE(LEFT(TRIM(C549),FIND(" ",TRIM(C549)&amp;" ")-1),",","."),"."),LEFT(SUBSTITUTE(LEFT(TRIM(C549),FIND(" ",TRIM(C549)&amp;" ")-1),",","."),FIND("/",SUBSTITUTE(LEFT(TRIM(C549),FIND(" ",TRIM(C549)&amp;" ")-1),",","."))-1)/MID(SUBSTITUTE(LEFT(TRIM(C549),FIND(" ",TRIM(C549)&amp;" ")-1),",","."),FIND("/",SUBSTITUTE(LEFT(TRIM(C549),FIND(" ",TRIM(C549)&amp;" ")-1),",","."))+1,9)),IF(ISNUMBER(SEARCH("yea",C549)),IFERROR(_xlfn.NUMBERVALUE(SUBSTITUTE(LEFT(TRIM(C549),FIND(" ",TRIM(C549)&amp;" ")-1),",","."),"."),LEFT(SUBSTITUTE(LEFT(TRIM(C549),FIND(" ",TRIM(C549)&amp;" ")-1),",","."),FIND("/",SUBSTITUTE(LEFT(TRIM(C549),FIND(" ",TRIM(C549)&amp;" ")-1),",","."))-1)/MID(SUBSTITUTE(LEFT(TRIM(C549),FIND(" ",TRIM(C549)&amp;" ")-1),",","."),FIND("/",SUBSTITUTE(LEFT(TRIM(C549),FIND(" ",TRIM(C549)&amp;" ")-1),",","."))+1,9))*12,NA()))),0),36)*'Aturan &amp; Tarif'!$B$4,2)</f>
        <v>2044.08</v>
      </c>
      <c r="K549" s="32" t="n">
        <f aca="false">'Aturan &amp; Tarif'!$B$5</f>
        <v>2050</v>
      </c>
      <c r="L549" s="35" t="n">
        <f aca="false">I549+J549+K549</f>
        <v>19894.08</v>
      </c>
      <c r="M549" s="36" t="s">
        <v>1039</v>
      </c>
    </row>
    <row r="550" customFormat="false" ht="60" hidden="false" customHeight="true" outlineLevel="0" collapsed="false">
      <c r="A550" s="29"/>
      <c r="B550" s="30" t="s">
        <v>1040</v>
      </c>
      <c r="C550" s="31" t="s">
        <v>127</v>
      </c>
      <c r="D550" s="31" t="s">
        <v>108</v>
      </c>
      <c r="E550" s="32" t="n">
        <v>7900</v>
      </c>
      <c r="F550" s="32"/>
      <c r="G550" s="32"/>
      <c r="H550" s="33" t="n">
        <v>2</v>
      </c>
      <c r="I550" s="34" t="n">
        <f aca="false">E550*H550+N(F550)+N(G550)</f>
        <v>15800</v>
      </c>
      <c r="J550" s="32" t="n">
        <f aca="false">ROUND(IFERROR(ROUND(IF(OR(ISNUMBER(SEARCH("week",C550)),ISNUMBER(SEARCH("minggu",C550))),IFERROR(_xlfn.NUMBERVALUE(SUBSTITUTE(LEFT(TRIM(C550),FIND(" ",TRIM(C550)&amp;" ")-1),",","."),"."),LEFT(SUBSTITUTE(LEFT(TRIM(C550),FIND(" ",TRIM(C550)&amp;" ")-1),",","."),FIND("/",SUBSTITUTE(LEFT(TRIM(C550),FIND(" ",TRIM(C550)&amp;" ")-1),",","."))-1)/MID(SUBSTITUTE(LEFT(TRIM(C550),FIND(" ",TRIM(C550)&amp;" ")-1),",","."),FIND("/",SUBSTITUTE(LEFT(TRIM(C550),FIND(" ",TRIM(C550)&amp;" ")-1),",","."))+1,9))*12/52,IF(ISNUMBER(SEARCH("month",C550)),IFERROR(_xlfn.NUMBERVALUE(SUBSTITUTE(LEFT(TRIM(C550),FIND(" ",TRIM(C550)&amp;" ")-1),",","."),"."),LEFT(SUBSTITUTE(LEFT(TRIM(C550),FIND(" ",TRIM(C550)&amp;" ")-1),",","."),FIND("/",SUBSTITUTE(LEFT(TRIM(C550),FIND(" ",TRIM(C550)&amp;" ")-1),",","."))-1)/MID(SUBSTITUTE(LEFT(TRIM(C550),FIND(" ",TRIM(C550)&amp;" ")-1),",","."),FIND("/",SUBSTITUTE(LEFT(TRIM(C550),FIND(" ",TRIM(C550)&amp;" ")-1),",","."))+1,9)),IF(ISNUMBER(SEARCH("yea",C550)),IFERROR(_xlfn.NUMBERVALUE(SUBSTITUTE(LEFT(TRIM(C550),FIND(" ",TRIM(C550)&amp;" ")-1),",","."),"."),LEFT(SUBSTITUTE(LEFT(TRIM(C550),FIND(" ",TRIM(C550)&amp;" ")-1),",","."),FIND("/",SUBSTITUTE(LEFT(TRIM(C550),FIND(" ",TRIM(C550)&amp;" ")-1),",","."))-1)/MID(SUBSTITUTE(LEFT(TRIM(C550),FIND(" ",TRIM(C550)&amp;" ")-1),",","."),FIND("/",SUBSTITUTE(LEFT(TRIM(C550),FIND(" ",TRIM(C550)&amp;" ")-1),",","."))+1,9))*12,NA()))),0),36)*'Aturan &amp; Tarif'!$B$4,2)</f>
        <v>2044.08</v>
      </c>
      <c r="K550" s="32" t="n">
        <f aca="false">'Aturan &amp; Tarif'!$B$5</f>
        <v>2050</v>
      </c>
      <c r="L550" s="35" t="n">
        <f aca="false">I550+J550+K550</f>
        <v>19894.08</v>
      </c>
      <c r="M550" s="36" t="s">
        <v>1041</v>
      </c>
    </row>
    <row r="551" customFormat="false" ht="60" hidden="false" customHeight="true" outlineLevel="0" collapsed="false">
      <c r="A551" s="29"/>
      <c r="B551" s="30" t="s">
        <v>1042</v>
      </c>
      <c r="C551" s="31" t="s">
        <v>130</v>
      </c>
      <c r="D551" s="31" t="s">
        <v>108</v>
      </c>
      <c r="E551" s="32" t="n">
        <v>7900</v>
      </c>
      <c r="F551" s="32"/>
      <c r="G551" s="32"/>
      <c r="H551" s="33" t="n">
        <v>2</v>
      </c>
      <c r="I551" s="34" t="n">
        <f aca="false">E551*H551+N(F551)+N(G551)</f>
        <v>15800</v>
      </c>
      <c r="J551" s="32" t="n">
        <f aca="false">ROUND(IFERROR(ROUND(IF(OR(ISNUMBER(SEARCH("week",C551)),ISNUMBER(SEARCH("minggu",C551))),IFERROR(_xlfn.NUMBERVALUE(SUBSTITUTE(LEFT(TRIM(C551),FIND(" ",TRIM(C551)&amp;" ")-1),",","."),"."),LEFT(SUBSTITUTE(LEFT(TRIM(C551),FIND(" ",TRIM(C551)&amp;" ")-1),",","."),FIND("/",SUBSTITUTE(LEFT(TRIM(C551),FIND(" ",TRIM(C551)&amp;" ")-1),",","."))-1)/MID(SUBSTITUTE(LEFT(TRIM(C551),FIND(" ",TRIM(C551)&amp;" ")-1),",","."),FIND("/",SUBSTITUTE(LEFT(TRIM(C551),FIND(" ",TRIM(C551)&amp;" ")-1),",","."))+1,9))*12/52,IF(ISNUMBER(SEARCH("month",C551)),IFERROR(_xlfn.NUMBERVALUE(SUBSTITUTE(LEFT(TRIM(C551),FIND(" ",TRIM(C551)&amp;" ")-1),",","."),"."),LEFT(SUBSTITUTE(LEFT(TRIM(C551),FIND(" ",TRIM(C551)&amp;" ")-1),",","."),FIND("/",SUBSTITUTE(LEFT(TRIM(C551),FIND(" ",TRIM(C551)&amp;" ")-1),",","."))-1)/MID(SUBSTITUTE(LEFT(TRIM(C551),FIND(" ",TRIM(C551)&amp;" ")-1),",","."),FIND("/",SUBSTITUTE(LEFT(TRIM(C551),FIND(" ",TRIM(C551)&amp;" ")-1),",","."))+1,9)),IF(ISNUMBER(SEARCH("yea",C551)),IFERROR(_xlfn.NUMBERVALUE(SUBSTITUTE(LEFT(TRIM(C551),FIND(" ",TRIM(C551)&amp;" ")-1),",","."),"."),LEFT(SUBSTITUTE(LEFT(TRIM(C551),FIND(" ",TRIM(C551)&amp;" ")-1),",","."),FIND("/",SUBSTITUTE(LEFT(TRIM(C551),FIND(" ",TRIM(C551)&amp;" ")-1),",","."))-1)/MID(SUBSTITUTE(LEFT(TRIM(C551),FIND(" ",TRIM(C551)&amp;" ")-1),",","."),FIND("/",SUBSTITUTE(LEFT(TRIM(C551),FIND(" ",TRIM(C551)&amp;" ")-1),",","."))+1,9))*12,NA()))),0),12)*'Aturan &amp; Tarif'!$B$4,2)</f>
        <v>681.36</v>
      </c>
      <c r="K551" s="32" t="n">
        <f aca="false">'Aturan &amp; Tarif'!$B$5</f>
        <v>2050</v>
      </c>
      <c r="L551" s="35" t="n">
        <f aca="false">I551+J551+K551</f>
        <v>18531.36</v>
      </c>
      <c r="M551" s="36" t="s">
        <v>1043</v>
      </c>
    </row>
    <row r="552" customFormat="false" ht="60" hidden="false" customHeight="true" outlineLevel="0" collapsed="false">
      <c r="A552" s="29"/>
      <c r="B552" s="30" t="s">
        <v>1044</v>
      </c>
      <c r="C552" s="31" t="s">
        <v>127</v>
      </c>
      <c r="D552" s="31" t="s">
        <v>108</v>
      </c>
      <c r="E552" s="32" t="n">
        <v>7900</v>
      </c>
      <c r="F552" s="32"/>
      <c r="G552" s="32"/>
      <c r="H552" s="33" t="n">
        <v>2</v>
      </c>
      <c r="I552" s="34" t="n">
        <f aca="false">E552*H552+N(F552)+N(G552)</f>
        <v>15800</v>
      </c>
      <c r="J552" s="32" t="n">
        <f aca="false">ROUND(IFERROR(ROUND(IF(OR(ISNUMBER(SEARCH("week",C552)),ISNUMBER(SEARCH("minggu",C552))),IFERROR(_xlfn.NUMBERVALUE(SUBSTITUTE(LEFT(TRIM(C552),FIND(" ",TRIM(C552)&amp;" ")-1),",","."),"."),LEFT(SUBSTITUTE(LEFT(TRIM(C552),FIND(" ",TRIM(C552)&amp;" ")-1),",","."),FIND("/",SUBSTITUTE(LEFT(TRIM(C552),FIND(" ",TRIM(C552)&amp;" ")-1),",","."))-1)/MID(SUBSTITUTE(LEFT(TRIM(C552),FIND(" ",TRIM(C552)&amp;" ")-1),",","."),FIND("/",SUBSTITUTE(LEFT(TRIM(C552),FIND(" ",TRIM(C552)&amp;" ")-1),",","."))+1,9))*12/52,IF(ISNUMBER(SEARCH("month",C552)),IFERROR(_xlfn.NUMBERVALUE(SUBSTITUTE(LEFT(TRIM(C552),FIND(" ",TRIM(C552)&amp;" ")-1),",","."),"."),LEFT(SUBSTITUTE(LEFT(TRIM(C552),FIND(" ",TRIM(C552)&amp;" ")-1),",","."),FIND("/",SUBSTITUTE(LEFT(TRIM(C552),FIND(" ",TRIM(C552)&amp;" ")-1),",","."))-1)/MID(SUBSTITUTE(LEFT(TRIM(C552),FIND(" ",TRIM(C552)&amp;" ")-1),",","."),FIND("/",SUBSTITUTE(LEFT(TRIM(C552),FIND(" ",TRIM(C552)&amp;" ")-1),",","."))+1,9)),IF(ISNUMBER(SEARCH("yea",C552)),IFERROR(_xlfn.NUMBERVALUE(SUBSTITUTE(LEFT(TRIM(C552),FIND(" ",TRIM(C552)&amp;" ")-1),",","."),"."),LEFT(SUBSTITUTE(LEFT(TRIM(C552),FIND(" ",TRIM(C552)&amp;" ")-1),",","."),FIND("/",SUBSTITUTE(LEFT(TRIM(C552),FIND(" ",TRIM(C552)&amp;" ")-1),",","."))-1)/MID(SUBSTITUTE(LEFT(TRIM(C552),FIND(" ",TRIM(C552)&amp;" ")-1),",","."),FIND("/",SUBSTITUTE(LEFT(TRIM(C552),FIND(" ",TRIM(C552)&amp;" ")-1),",","."))+1,9))*12,NA()))),0),36)*'Aturan &amp; Tarif'!$B$4,2)</f>
        <v>2044.08</v>
      </c>
      <c r="K552" s="32" t="n">
        <f aca="false">'Aturan &amp; Tarif'!$B$5</f>
        <v>2050</v>
      </c>
      <c r="L552" s="35" t="n">
        <f aca="false">I552+J552+K552</f>
        <v>19894.08</v>
      </c>
      <c r="M552" s="36" t="s">
        <v>1045</v>
      </c>
    </row>
    <row r="553" customFormat="false" ht="60" hidden="false" customHeight="true" outlineLevel="0" collapsed="false">
      <c r="A553" s="29"/>
      <c r="B553" s="30" t="s">
        <v>1046</v>
      </c>
      <c r="C553" s="31" t="s">
        <v>127</v>
      </c>
      <c r="D553" s="31" t="s">
        <v>108</v>
      </c>
      <c r="E553" s="32" t="n">
        <v>7900</v>
      </c>
      <c r="F553" s="32"/>
      <c r="G553" s="32"/>
      <c r="H553" s="33" t="n">
        <v>2</v>
      </c>
      <c r="I553" s="34" t="n">
        <f aca="false">E553*H553+N(F553)+N(G553)</f>
        <v>15800</v>
      </c>
      <c r="J553" s="32" t="n">
        <f aca="false">ROUND(IFERROR(ROUND(IF(OR(ISNUMBER(SEARCH("week",C553)),ISNUMBER(SEARCH("minggu",C553))),IFERROR(_xlfn.NUMBERVALUE(SUBSTITUTE(LEFT(TRIM(C553),FIND(" ",TRIM(C553)&amp;" ")-1),",","."),"."),LEFT(SUBSTITUTE(LEFT(TRIM(C553),FIND(" ",TRIM(C553)&amp;" ")-1),",","."),FIND("/",SUBSTITUTE(LEFT(TRIM(C553),FIND(" ",TRIM(C553)&amp;" ")-1),",","."))-1)/MID(SUBSTITUTE(LEFT(TRIM(C553),FIND(" ",TRIM(C553)&amp;" ")-1),",","."),FIND("/",SUBSTITUTE(LEFT(TRIM(C553),FIND(" ",TRIM(C553)&amp;" ")-1),",","."))+1,9))*12/52,IF(ISNUMBER(SEARCH("month",C553)),IFERROR(_xlfn.NUMBERVALUE(SUBSTITUTE(LEFT(TRIM(C553),FIND(" ",TRIM(C553)&amp;" ")-1),",","."),"."),LEFT(SUBSTITUTE(LEFT(TRIM(C553),FIND(" ",TRIM(C553)&amp;" ")-1),",","."),FIND("/",SUBSTITUTE(LEFT(TRIM(C553),FIND(" ",TRIM(C553)&amp;" ")-1),",","."))-1)/MID(SUBSTITUTE(LEFT(TRIM(C553),FIND(" ",TRIM(C553)&amp;" ")-1),",","."),FIND("/",SUBSTITUTE(LEFT(TRIM(C553),FIND(" ",TRIM(C553)&amp;" ")-1),",","."))+1,9)),IF(ISNUMBER(SEARCH("yea",C553)),IFERROR(_xlfn.NUMBERVALUE(SUBSTITUTE(LEFT(TRIM(C553),FIND(" ",TRIM(C553)&amp;" ")-1),",","."),"."),LEFT(SUBSTITUTE(LEFT(TRIM(C553),FIND(" ",TRIM(C553)&amp;" ")-1),",","."),FIND("/",SUBSTITUTE(LEFT(TRIM(C553),FIND(" ",TRIM(C553)&amp;" ")-1),",","."))-1)/MID(SUBSTITUTE(LEFT(TRIM(C553),FIND(" ",TRIM(C553)&amp;" ")-1),",","."),FIND("/",SUBSTITUTE(LEFT(TRIM(C553),FIND(" ",TRIM(C553)&amp;" ")-1),",","."))+1,9))*12,NA()))),0),36)*'Aturan &amp; Tarif'!$B$4,2)</f>
        <v>2044.08</v>
      </c>
      <c r="K553" s="32" t="n">
        <f aca="false">'Aturan &amp; Tarif'!$B$5</f>
        <v>2050</v>
      </c>
      <c r="L553" s="35" t="n">
        <f aca="false">I553+J553+K553</f>
        <v>19894.08</v>
      </c>
      <c r="M553" s="36" t="s">
        <v>1047</v>
      </c>
    </row>
    <row r="554" customFormat="false" ht="60" hidden="false" customHeight="true" outlineLevel="0" collapsed="false">
      <c r="A554" s="29"/>
      <c r="B554" s="30" t="s">
        <v>1048</v>
      </c>
      <c r="C554" s="31" t="s">
        <v>344</v>
      </c>
      <c r="D554" s="31" t="s">
        <v>108</v>
      </c>
      <c r="E554" s="32" t="n">
        <v>4500</v>
      </c>
      <c r="F554" s="32"/>
      <c r="G554" s="32"/>
      <c r="H554" s="33" t="n">
        <v>2</v>
      </c>
      <c r="I554" s="34" t="n">
        <f aca="false">E554*H554+N(F554)+N(G554)</f>
        <v>9000</v>
      </c>
      <c r="J554" s="32" t="n">
        <f aca="false">ROUND(IFERROR(ROUND(IF(OR(ISNUMBER(SEARCH("week",C554)),ISNUMBER(SEARCH("minggu",C554))),IFERROR(_xlfn.NUMBERVALUE(SUBSTITUTE(LEFT(TRIM(C554),FIND(" ",TRIM(C554)&amp;" ")-1),",","."),"."),LEFT(SUBSTITUTE(LEFT(TRIM(C554),FIND(" ",TRIM(C554)&amp;" ")-1),",","."),FIND("/",SUBSTITUTE(LEFT(TRIM(C554),FIND(" ",TRIM(C554)&amp;" ")-1),",","."))-1)/MID(SUBSTITUTE(LEFT(TRIM(C554),FIND(" ",TRIM(C554)&amp;" ")-1),",","."),FIND("/",SUBSTITUTE(LEFT(TRIM(C554),FIND(" ",TRIM(C554)&amp;" ")-1),",","."))+1,9))*12/52,IF(ISNUMBER(SEARCH("month",C554)),IFERROR(_xlfn.NUMBERVALUE(SUBSTITUTE(LEFT(TRIM(C554),FIND(" ",TRIM(C554)&amp;" ")-1),",","."),"."),LEFT(SUBSTITUTE(LEFT(TRIM(C554),FIND(" ",TRIM(C554)&amp;" ")-1),",","."),FIND("/",SUBSTITUTE(LEFT(TRIM(C554),FIND(" ",TRIM(C554)&amp;" ")-1),",","."))-1)/MID(SUBSTITUTE(LEFT(TRIM(C554),FIND(" ",TRIM(C554)&amp;" ")-1),",","."),FIND("/",SUBSTITUTE(LEFT(TRIM(C554),FIND(" ",TRIM(C554)&amp;" ")-1),",","."))+1,9)),IF(ISNUMBER(SEARCH("yea",C554)),IFERROR(_xlfn.NUMBERVALUE(SUBSTITUTE(LEFT(TRIM(C554),FIND(" ",TRIM(C554)&amp;" ")-1),",","."),"."),LEFT(SUBSTITUTE(LEFT(TRIM(C554),FIND(" ",TRIM(C554)&amp;" ")-1),",","."),FIND("/",SUBSTITUTE(LEFT(TRIM(C554),FIND(" ",TRIM(C554)&amp;" ")-1),",","."))-1)/MID(SUBSTITUTE(LEFT(TRIM(C554),FIND(" ",TRIM(C554)&amp;" ")-1),",","."),FIND("/",SUBSTITUTE(LEFT(TRIM(C554),FIND(" ",TRIM(C554)&amp;" ")-1),",","."))+1,9))*12,NA()))),0),6)*'Aturan &amp; Tarif'!$B$4,2)</f>
        <v>340.68</v>
      </c>
      <c r="K554" s="32" t="n">
        <f aca="false">'Aturan &amp; Tarif'!$B$5</f>
        <v>2050</v>
      </c>
      <c r="L554" s="35" t="n">
        <f aca="false">I554+J554+K554</f>
        <v>11390.68</v>
      </c>
      <c r="M554" s="36" t="s">
        <v>1049</v>
      </c>
    </row>
    <row r="555" customFormat="false" ht="60" hidden="false" customHeight="true" outlineLevel="0" collapsed="false">
      <c r="A555" s="29"/>
      <c r="B555" s="30" t="s">
        <v>1050</v>
      </c>
      <c r="C555" s="31" t="s">
        <v>130</v>
      </c>
      <c r="D555" s="31" t="s">
        <v>108</v>
      </c>
      <c r="E555" s="32" t="n">
        <v>9000</v>
      </c>
      <c r="F555" s="32"/>
      <c r="G555" s="32"/>
      <c r="H555" s="33" t="n">
        <v>2</v>
      </c>
      <c r="I555" s="34" t="n">
        <f aca="false">E555*H555+N(F555)+N(G555)</f>
        <v>18000</v>
      </c>
      <c r="J555" s="32" t="n">
        <f aca="false">ROUND(IFERROR(ROUND(IF(OR(ISNUMBER(SEARCH("week",C555)),ISNUMBER(SEARCH("minggu",C555))),IFERROR(_xlfn.NUMBERVALUE(SUBSTITUTE(LEFT(TRIM(C555),FIND(" ",TRIM(C555)&amp;" ")-1),",","."),"."),LEFT(SUBSTITUTE(LEFT(TRIM(C555),FIND(" ",TRIM(C555)&amp;" ")-1),",","."),FIND("/",SUBSTITUTE(LEFT(TRIM(C555),FIND(" ",TRIM(C555)&amp;" ")-1),",","."))-1)/MID(SUBSTITUTE(LEFT(TRIM(C555),FIND(" ",TRIM(C555)&amp;" ")-1),",","."),FIND("/",SUBSTITUTE(LEFT(TRIM(C555),FIND(" ",TRIM(C555)&amp;" ")-1),",","."))+1,9))*12/52,IF(ISNUMBER(SEARCH("month",C555)),IFERROR(_xlfn.NUMBERVALUE(SUBSTITUTE(LEFT(TRIM(C555),FIND(" ",TRIM(C555)&amp;" ")-1),",","."),"."),LEFT(SUBSTITUTE(LEFT(TRIM(C555),FIND(" ",TRIM(C555)&amp;" ")-1),",","."),FIND("/",SUBSTITUTE(LEFT(TRIM(C555),FIND(" ",TRIM(C555)&amp;" ")-1),",","."))-1)/MID(SUBSTITUTE(LEFT(TRIM(C555),FIND(" ",TRIM(C555)&amp;" ")-1),",","."),FIND("/",SUBSTITUTE(LEFT(TRIM(C555),FIND(" ",TRIM(C555)&amp;" ")-1),",","."))+1,9)),IF(ISNUMBER(SEARCH("yea",C555)),IFERROR(_xlfn.NUMBERVALUE(SUBSTITUTE(LEFT(TRIM(C555),FIND(" ",TRIM(C555)&amp;" ")-1),",","."),"."),LEFT(SUBSTITUTE(LEFT(TRIM(C555),FIND(" ",TRIM(C555)&amp;" ")-1),",","."),FIND("/",SUBSTITUTE(LEFT(TRIM(C555),FIND(" ",TRIM(C555)&amp;" ")-1),",","."))-1)/MID(SUBSTITUTE(LEFT(TRIM(C555),FIND(" ",TRIM(C555)&amp;" ")-1),",","."),FIND("/",SUBSTITUTE(LEFT(TRIM(C555),FIND(" ",TRIM(C555)&amp;" ")-1),",","."))+1,9))*12,NA()))),0),12)*'Aturan &amp; Tarif'!$B$4,2)</f>
        <v>681.36</v>
      </c>
      <c r="K555" s="32" t="n">
        <f aca="false">'Aturan &amp; Tarif'!$B$5</f>
        <v>2050</v>
      </c>
      <c r="L555" s="35" t="n">
        <f aca="false">I555+J555+K555</f>
        <v>20731.36</v>
      </c>
      <c r="M555" s="36" t="s">
        <v>1051</v>
      </c>
    </row>
    <row r="556" customFormat="false" ht="60" hidden="false" customHeight="true" outlineLevel="0" collapsed="false">
      <c r="A556" s="29"/>
      <c r="B556" s="30" t="s">
        <v>348</v>
      </c>
      <c r="C556" s="31" t="s">
        <v>113</v>
      </c>
      <c r="D556" s="31" t="s">
        <v>108</v>
      </c>
      <c r="E556" s="32" t="n">
        <v>9000</v>
      </c>
      <c r="F556" s="32"/>
      <c r="G556" s="32"/>
      <c r="H556" s="33" t="n">
        <v>2</v>
      </c>
      <c r="I556" s="34" t="n">
        <f aca="false">E556*H556+N(F556)+N(G556)</f>
        <v>18000</v>
      </c>
      <c r="J556" s="32" t="n">
        <f aca="false">ROUND(IFERROR(ROUND(IF(OR(ISNUMBER(SEARCH("week",C556)),ISNUMBER(SEARCH("minggu",C556))),IFERROR(_xlfn.NUMBERVALUE(SUBSTITUTE(LEFT(TRIM(C556),FIND(" ",TRIM(C556)&amp;" ")-1),",","."),"."),LEFT(SUBSTITUTE(LEFT(TRIM(C556),FIND(" ",TRIM(C556)&amp;" ")-1),",","."),FIND("/",SUBSTITUTE(LEFT(TRIM(C556),FIND(" ",TRIM(C556)&amp;" ")-1),",","."))-1)/MID(SUBSTITUTE(LEFT(TRIM(C556),FIND(" ",TRIM(C556)&amp;" ")-1),",","."),FIND("/",SUBSTITUTE(LEFT(TRIM(C556),FIND(" ",TRIM(C556)&amp;" ")-1),",","."))+1,9))*12/52,IF(ISNUMBER(SEARCH("month",C556)),IFERROR(_xlfn.NUMBERVALUE(SUBSTITUTE(LEFT(TRIM(C556),FIND(" ",TRIM(C556)&amp;" ")-1),",","."),"."),LEFT(SUBSTITUTE(LEFT(TRIM(C556),FIND(" ",TRIM(C556)&amp;" ")-1),",","."),FIND("/",SUBSTITUTE(LEFT(TRIM(C556),FIND(" ",TRIM(C556)&amp;" ")-1),",","."))-1)/MID(SUBSTITUTE(LEFT(TRIM(C556),FIND(" ",TRIM(C556)&amp;" ")-1),",","."),FIND("/",SUBSTITUTE(LEFT(TRIM(C556),FIND(" ",TRIM(C556)&amp;" ")-1),",","."))+1,9)),IF(ISNUMBER(SEARCH("yea",C556)),IFERROR(_xlfn.NUMBERVALUE(SUBSTITUTE(LEFT(TRIM(C556),FIND(" ",TRIM(C556)&amp;" ")-1),",","."),"."),LEFT(SUBSTITUTE(LEFT(TRIM(C556),FIND(" ",TRIM(C556)&amp;" ")-1),",","."),FIND("/",SUBSTITUTE(LEFT(TRIM(C556),FIND(" ",TRIM(C556)&amp;" ")-1),",","."))-1)/MID(SUBSTITUTE(LEFT(TRIM(C556),FIND(" ",TRIM(C556)&amp;" ")-1),",","."),FIND("/",SUBSTITUTE(LEFT(TRIM(C556),FIND(" ",TRIM(C556)&amp;" ")-1),",","."))+1,9))*12,NA()))),0),18)*'Aturan &amp; Tarif'!$B$4,2)</f>
        <v>1022.04</v>
      </c>
      <c r="K556" s="32" t="n">
        <f aca="false">'Aturan &amp; Tarif'!$B$5</f>
        <v>2050</v>
      </c>
      <c r="L556" s="35" t="n">
        <f aca="false">I556+J556+K556</f>
        <v>21072.04</v>
      </c>
      <c r="M556" s="36" t="s">
        <v>1052</v>
      </c>
    </row>
    <row r="557" customFormat="false" ht="60" hidden="false" customHeight="true" outlineLevel="0" collapsed="false">
      <c r="A557" s="29"/>
      <c r="B557" s="30" t="s">
        <v>1053</v>
      </c>
      <c r="C557" s="31" t="s">
        <v>107</v>
      </c>
      <c r="D557" s="31" t="s">
        <v>108</v>
      </c>
      <c r="E557" s="32" t="n">
        <v>9000</v>
      </c>
      <c r="F557" s="32"/>
      <c r="G557" s="32"/>
      <c r="H557" s="33" t="n">
        <v>2</v>
      </c>
      <c r="I557" s="34" t="n">
        <f aca="false">E557*H557+N(F557)+N(G557)</f>
        <v>18000</v>
      </c>
      <c r="J557" s="32" t="n">
        <f aca="false">ROUND(IFERROR(ROUND(IF(OR(ISNUMBER(SEARCH("week",C557)),ISNUMBER(SEARCH("minggu",C557))),IFERROR(_xlfn.NUMBERVALUE(SUBSTITUTE(LEFT(TRIM(C557),FIND(" ",TRIM(C557)&amp;" ")-1),",","."),"."),LEFT(SUBSTITUTE(LEFT(TRIM(C557),FIND(" ",TRIM(C557)&amp;" ")-1),",","."),FIND("/",SUBSTITUTE(LEFT(TRIM(C557),FIND(" ",TRIM(C557)&amp;" ")-1),",","."))-1)/MID(SUBSTITUTE(LEFT(TRIM(C557),FIND(" ",TRIM(C557)&amp;" ")-1),",","."),FIND("/",SUBSTITUTE(LEFT(TRIM(C557),FIND(" ",TRIM(C557)&amp;" ")-1),",","."))+1,9))*12/52,IF(ISNUMBER(SEARCH("month",C557)),IFERROR(_xlfn.NUMBERVALUE(SUBSTITUTE(LEFT(TRIM(C557),FIND(" ",TRIM(C557)&amp;" ")-1),",","."),"."),LEFT(SUBSTITUTE(LEFT(TRIM(C557),FIND(" ",TRIM(C557)&amp;" ")-1),",","."),FIND("/",SUBSTITUTE(LEFT(TRIM(C557),FIND(" ",TRIM(C557)&amp;" ")-1),",","."))-1)/MID(SUBSTITUTE(LEFT(TRIM(C557),FIND(" ",TRIM(C557)&amp;" ")-1),",","."),FIND("/",SUBSTITUTE(LEFT(TRIM(C557),FIND(" ",TRIM(C557)&amp;" ")-1),",","."))+1,9)),IF(ISNUMBER(SEARCH("yea",C557)),IFERROR(_xlfn.NUMBERVALUE(SUBSTITUTE(LEFT(TRIM(C557),FIND(" ",TRIM(C557)&amp;" ")-1),",","."),"."),LEFT(SUBSTITUTE(LEFT(TRIM(C557),FIND(" ",TRIM(C557)&amp;" ")-1),",","."),FIND("/",SUBSTITUTE(LEFT(TRIM(C557),FIND(" ",TRIM(C557)&amp;" ")-1),",","."))-1)/MID(SUBSTITUTE(LEFT(TRIM(C557),FIND(" ",TRIM(C557)&amp;" ")-1),",","."),FIND("/",SUBSTITUTE(LEFT(TRIM(C557),FIND(" ",TRIM(C557)&amp;" ")-1),",","."))+1,9))*12,NA()))),0),24)*'Aturan &amp; Tarif'!$B$4,2)</f>
        <v>1362.72</v>
      </c>
      <c r="K557" s="32" t="n">
        <f aca="false">'Aturan &amp; Tarif'!$B$5</f>
        <v>2050</v>
      </c>
      <c r="L557" s="35" t="n">
        <f aca="false">I557+J557+K557</f>
        <v>21412.72</v>
      </c>
      <c r="M557" s="36" t="s">
        <v>1054</v>
      </c>
    </row>
    <row r="558" customFormat="false" ht="60" hidden="false" customHeight="true" outlineLevel="0" collapsed="false">
      <c r="A558" s="29"/>
      <c r="B558" s="30" t="s">
        <v>1055</v>
      </c>
      <c r="C558" s="31" t="s">
        <v>107</v>
      </c>
      <c r="D558" s="31" t="s">
        <v>108</v>
      </c>
      <c r="E558" s="32" t="n">
        <v>9000</v>
      </c>
      <c r="F558" s="32"/>
      <c r="G558" s="32"/>
      <c r="H558" s="33" t="n">
        <v>2</v>
      </c>
      <c r="I558" s="34" t="n">
        <f aca="false">E558*H558+N(F558)+N(G558)</f>
        <v>18000</v>
      </c>
      <c r="J558" s="32" t="n">
        <f aca="false">ROUND(IFERROR(ROUND(IF(OR(ISNUMBER(SEARCH("week",C558)),ISNUMBER(SEARCH("minggu",C558))),IFERROR(_xlfn.NUMBERVALUE(SUBSTITUTE(LEFT(TRIM(C558),FIND(" ",TRIM(C558)&amp;" ")-1),",","."),"."),LEFT(SUBSTITUTE(LEFT(TRIM(C558),FIND(" ",TRIM(C558)&amp;" ")-1),",","."),FIND("/",SUBSTITUTE(LEFT(TRIM(C558),FIND(" ",TRIM(C558)&amp;" ")-1),",","."))-1)/MID(SUBSTITUTE(LEFT(TRIM(C558),FIND(" ",TRIM(C558)&amp;" ")-1),",","."),FIND("/",SUBSTITUTE(LEFT(TRIM(C558),FIND(" ",TRIM(C558)&amp;" ")-1),",","."))+1,9))*12/52,IF(ISNUMBER(SEARCH("month",C558)),IFERROR(_xlfn.NUMBERVALUE(SUBSTITUTE(LEFT(TRIM(C558),FIND(" ",TRIM(C558)&amp;" ")-1),",","."),"."),LEFT(SUBSTITUTE(LEFT(TRIM(C558),FIND(" ",TRIM(C558)&amp;" ")-1),",","."),FIND("/",SUBSTITUTE(LEFT(TRIM(C558),FIND(" ",TRIM(C558)&amp;" ")-1),",","."))-1)/MID(SUBSTITUTE(LEFT(TRIM(C558),FIND(" ",TRIM(C558)&amp;" ")-1),",","."),FIND("/",SUBSTITUTE(LEFT(TRIM(C558),FIND(" ",TRIM(C558)&amp;" ")-1),",","."))+1,9)),IF(ISNUMBER(SEARCH("yea",C558)),IFERROR(_xlfn.NUMBERVALUE(SUBSTITUTE(LEFT(TRIM(C558),FIND(" ",TRIM(C558)&amp;" ")-1),",","."),"."),LEFT(SUBSTITUTE(LEFT(TRIM(C558),FIND(" ",TRIM(C558)&amp;" ")-1),",","."),FIND("/",SUBSTITUTE(LEFT(TRIM(C558),FIND(" ",TRIM(C558)&amp;" ")-1),",","."))-1)/MID(SUBSTITUTE(LEFT(TRIM(C558),FIND(" ",TRIM(C558)&amp;" ")-1),",","."),FIND("/",SUBSTITUTE(LEFT(TRIM(C558),FIND(" ",TRIM(C558)&amp;" ")-1),",","."))+1,9))*12,NA()))),0),24)*'Aturan &amp; Tarif'!$B$4,2)</f>
        <v>1362.72</v>
      </c>
      <c r="K558" s="32" t="n">
        <f aca="false">'Aturan &amp; Tarif'!$B$5</f>
        <v>2050</v>
      </c>
      <c r="L558" s="35" t="n">
        <f aca="false">I558+J558+K558</f>
        <v>21412.72</v>
      </c>
      <c r="M558" s="36" t="s">
        <v>1056</v>
      </c>
    </row>
    <row r="559" customFormat="false" ht="60" hidden="false" customHeight="true" outlineLevel="0" collapsed="false">
      <c r="A559" s="29"/>
      <c r="B559" s="30" t="s">
        <v>1057</v>
      </c>
      <c r="C559" s="31" t="s">
        <v>107</v>
      </c>
      <c r="D559" s="31" t="s">
        <v>108</v>
      </c>
      <c r="E559" s="32" t="n">
        <v>7950</v>
      </c>
      <c r="F559" s="32"/>
      <c r="G559" s="32"/>
      <c r="H559" s="33" t="n">
        <v>2</v>
      </c>
      <c r="I559" s="34" t="n">
        <f aca="false">E559*H559+N(F559)+N(G559)</f>
        <v>15900</v>
      </c>
      <c r="J559" s="32" t="n">
        <f aca="false">ROUND(IFERROR(ROUND(IF(OR(ISNUMBER(SEARCH("week",C559)),ISNUMBER(SEARCH("minggu",C559))),IFERROR(_xlfn.NUMBERVALUE(SUBSTITUTE(LEFT(TRIM(C559),FIND(" ",TRIM(C559)&amp;" ")-1),",","."),"."),LEFT(SUBSTITUTE(LEFT(TRIM(C559),FIND(" ",TRIM(C559)&amp;" ")-1),",","."),FIND("/",SUBSTITUTE(LEFT(TRIM(C559),FIND(" ",TRIM(C559)&amp;" ")-1),",","."))-1)/MID(SUBSTITUTE(LEFT(TRIM(C559),FIND(" ",TRIM(C559)&amp;" ")-1),",","."),FIND("/",SUBSTITUTE(LEFT(TRIM(C559),FIND(" ",TRIM(C559)&amp;" ")-1),",","."))+1,9))*12/52,IF(ISNUMBER(SEARCH("month",C559)),IFERROR(_xlfn.NUMBERVALUE(SUBSTITUTE(LEFT(TRIM(C559),FIND(" ",TRIM(C559)&amp;" ")-1),",","."),"."),LEFT(SUBSTITUTE(LEFT(TRIM(C559),FIND(" ",TRIM(C559)&amp;" ")-1),",","."),FIND("/",SUBSTITUTE(LEFT(TRIM(C559),FIND(" ",TRIM(C559)&amp;" ")-1),",","."))-1)/MID(SUBSTITUTE(LEFT(TRIM(C559),FIND(" ",TRIM(C559)&amp;" ")-1),",","."),FIND("/",SUBSTITUTE(LEFT(TRIM(C559),FIND(" ",TRIM(C559)&amp;" ")-1),",","."))+1,9)),IF(ISNUMBER(SEARCH("yea",C559)),IFERROR(_xlfn.NUMBERVALUE(SUBSTITUTE(LEFT(TRIM(C559),FIND(" ",TRIM(C559)&amp;" ")-1),",","."),"."),LEFT(SUBSTITUTE(LEFT(TRIM(C559),FIND(" ",TRIM(C559)&amp;" ")-1),",","."),FIND("/",SUBSTITUTE(LEFT(TRIM(C559),FIND(" ",TRIM(C559)&amp;" ")-1),",","."))-1)/MID(SUBSTITUTE(LEFT(TRIM(C559),FIND(" ",TRIM(C559)&amp;" ")-1),",","."),FIND("/",SUBSTITUTE(LEFT(TRIM(C559),FIND(" ",TRIM(C559)&amp;" ")-1),",","."))+1,9))*12,NA()))),0),24)*'Aturan &amp; Tarif'!$B$4,2)</f>
        <v>1362.72</v>
      </c>
      <c r="K559" s="32" t="n">
        <f aca="false">'Aturan &amp; Tarif'!$B$5</f>
        <v>2050</v>
      </c>
      <c r="L559" s="35" t="n">
        <f aca="false">I559+J559+K559</f>
        <v>19312.72</v>
      </c>
      <c r="M559" s="36" t="s">
        <v>1058</v>
      </c>
    </row>
    <row r="560" customFormat="false" ht="60" hidden="false" customHeight="true" outlineLevel="0" collapsed="false">
      <c r="A560" s="29"/>
      <c r="B560" s="30" t="s">
        <v>1059</v>
      </c>
      <c r="C560" s="31" t="s">
        <v>113</v>
      </c>
      <c r="D560" s="31" t="s">
        <v>108</v>
      </c>
      <c r="E560" s="32" t="n">
        <v>9000</v>
      </c>
      <c r="F560" s="32"/>
      <c r="G560" s="32"/>
      <c r="H560" s="33" t="n">
        <v>2</v>
      </c>
      <c r="I560" s="34" t="n">
        <f aca="false">E560*H560+N(F560)+N(G560)</f>
        <v>18000</v>
      </c>
      <c r="J560" s="32" t="n">
        <f aca="false">ROUND(IFERROR(ROUND(IF(OR(ISNUMBER(SEARCH("week",C560)),ISNUMBER(SEARCH("minggu",C560))),IFERROR(_xlfn.NUMBERVALUE(SUBSTITUTE(LEFT(TRIM(C560),FIND(" ",TRIM(C560)&amp;" ")-1),",","."),"."),LEFT(SUBSTITUTE(LEFT(TRIM(C560),FIND(" ",TRIM(C560)&amp;" ")-1),",","."),FIND("/",SUBSTITUTE(LEFT(TRIM(C560),FIND(" ",TRIM(C560)&amp;" ")-1),",","."))-1)/MID(SUBSTITUTE(LEFT(TRIM(C560),FIND(" ",TRIM(C560)&amp;" ")-1),",","."),FIND("/",SUBSTITUTE(LEFT(TRIM(C560),FIND(" ",TRIM(C560)&amp;" ")-1),",","."))+1,9))*12/52,IF(ISNUMBER(SEARCH("month",C560)),IFERROR(_xlfn.NUMBERVALUE(SUBSTITUTE(LEFT(TRIM(C560),FIND(" ",TRIM(C560)&amp;" ")-1),",","."),"."),LEFT(SUBSTITUTE(LEFT(TRIM(C560),FIND(" ",TRIM(C560)&amp;" ")-1),",","."),FIND("/",SUBSTITUTE(LEFT(TRIM(C560),FIND(" ",TRIM(C560)&amp;" ")-1),",","."))-1)/MID(SUBSTITUTE(LEFT(TRIM(C560),FIND(" ",TRIM(C560)&amp;" ")-1),",","."),FIND("/",SUBSTITUTE(LEFT(TRIM(C560),FIND(" ",TRIM(C560)&amp;" ")-1),",","."))+1,9)),IF(ISNUMBER(SEARCH("yea",C560)),IFERROR(_xlfn.NUMBERVALUE(SUBSTITUTE(LEFT(TRIM(C560),FIND(" ",TRIM(C560)&amp;" ")-1),",","."),"."),LEFT(SUBSTITUTE(LEFT(TRIM(C560),FIND(" ",TRIM(C560)&amp;" ")-1),",","."),FIND("/",SUBSTITUTE(LEFT(TRIM(C560),FIND(" ",TRIM(C560)&amp;" ")-1),",","."))-1)/MID(SUBSTITUTE(LEFT(TRIM(C560),FIND(" ",TRIM(C560)&amp;" ")-1),",","."),FIND("/",SUBSTITUTE(LEFT(TRIM(C560),FIND(" ",TRIM(C560)&amp;" ")-1),",","."))+1,9))*12,NA()))),0),18)*'Aturan &amp; Tarif'!$B$4,2)</f>
        <v>1022.04</v>
      </c>
      <c r="K560" s="32" t="n">
        <f aca="false">'Aturan &amp; Tarif'!$B$5</f>
        <v>2050</v>
      </c>
      <c r="L560" s="35" t="n">
        <f aca="false">I560+J560+K560</f>
        <v>21072.04</v>
      </c>
      <c r="M560" s="36" t="s">
        <v>1060</v>
      </c>
    </row>
    <row r="561" customFormat="false" ht="60" hidden="false" customHeight="true" outlineLevel="0" collapsed="false">
      <c r="A561" s="29"/>
      <c r="B561" s="30" t="s">
        <v>1061</v>
      </c>
      <c r="C561" s="31" t="s">
        <v>107</v>
      </c>
      <c r="D561" s="31" t="s">
        <v>108</v>
      </c>
      <c r="E561" s="32" t="n">
        <v>9000</v>
      </c>
      <c r="F561" s="32"/>
      <c r="G561" s="32"/>
      <c r="H561" s="33" t="n">
        <v>2</v>
      </c>
      <c r="I561" s="34" t="n">
        <f aca="false">E561*H561+N(F561)+N(G561)</f>
        <v>18000</v>
      </c>
      <c r="J561" s="32" t="n">
        <f aca="false">ROUND(IFERROR(ROUND(IF(OR(ISNUMBER(SEARCH("week",C561)),ISNUMBER(SEARCH("minggu",C561))),IFERROR(_xlfn.NUMBERVALUE(SUBSTITUTE(LEFT(TRIM(C561),FIND(" ",TRIM(C561)&amp;" ")-1),",","."),"."),LEFT(SUBSTITUTE(LEFT(TRIM(C561),FIND(" ",TRIM(C561)&amp;" ")-1),",","."),FIND("/",SUBSTITUTE(LEFT(TRIM(C561),FIND(" ",TRIM(C561)&amp;" ")-1),",","."))-1)/MID(SUBSTITUTE(LEFT(TRIM(C561),FIND(" ",TRIM(C561)&amp;" ")-1),",","."),FIND("/",SUBSTITUTE(LEFT(TRIM(C561),FIND(" ",TRIM(C561)&amp;" ")-1),",","."))+1,9))*12/52,IF(ISNUMBER(SEARCH("month",C561)),IFERROR(_xlfn.NUMBERVALUE(SUBSTITUTE(LEFT(TRIM(C561),FIND(" ",TRIM(C561)&amp;" ")-1),",","."),"."),LEFT(SUBSTITUTE(LEFT(TRIM(C561),FIND(" ",TRIM(C561)&amp;" ")-1),",","."),FIND("/",SUBSTITUTE(LEFT(TRIM(C561),FIND(" ",TRIM(C561)&amp;" ")-1),",","."))-1)/MID(SUBSTITUTE(LEFT(TRIM(C561),FIND(" ",TRIM(C561)&amp;" ")-1),",","."),FIND("/",SUBSTITUTE(LEFT(TRIM(C561),FIND(" ",TRIM(C561)&amp;" ")-1),",","."))+1,9)),IF(ISNUMBER(SEARCH("yea",C561)),IFERROR(_xlfn.NUMBERVALUE(SUBSTITUTE(LEFT(TRIM(C561),FIND(" ",TRIM(C561)&amp;" ")-1),",","."),"."),LEFT(SUBSTITUTE(LEFT(TRIM(C561),FIND(" ",TRIM(C561)&amp;" ")-1),",","."),FIND("/",SUBSTITUTE(LEFT(TRIM(C561),FIND(" ",TRIM(C561)&amp;" ")-1),",","."))-1)/MID(SUBSTITUTE(LEFT(TRIM(C561),FIND(" ",TRIM(C561)&amp;" ")-1),",","."),FIND("/",SUBSTITUTE(LEFT(TRIM(C561),FIND(" ",TRIM(C561)&amp;" ")-1),",","."))+1,9))*12,NA()))),0),24)*'Aturan &amp; Tarif'!$B$4,2)</f>
        <v>1362.72</v>
      </c>
      <c r="K561" s="32" t="n">
        <f aca="false">'Aturan &amp; Tarif'!$B$5</f>
        <v>2050</v>
      </c>
      <c r="L561" s="35" t="n">
        <f aca="false">I561+J561+K561</f>
        <v>21412.72</v>
      </c>
      <c r="M561" s="36" t="s">
        <v>1062</v>
      </c>
    </row>
    <row r="562" customFormat="false" ht="14.25" hidden="false" customHeight="true" outlineLevel="0" collapsed="false">
      <c r="A562" s="29"/>
      <c r="B562" s="30" t="s">
        <v>1063</v>
      </c>
      <c r="C562" s="31" t="s">
        <v>130</v>
      </c>
      <c r="D562" s="31" t="s">
        <v>108</v>
      </c>
      <c r="E562" s="32" t="n">
        <v>4500</v>
      </c>
      <c r="F562" s="32"/>
      <c r="G562" s="32"/>
      <c r="H562" s="33" t="n">
        <v>2</v>
      </c>
      <c r="I562" s="34" t="n">
        <f aca="false">E562*H562+N(F562)+N(G562)</f>
        <v>9000</v>
      </c>
      <c r="J562" s="32" t="n">
        <f aca="false">ROUND(IFERROR(ROUND(IF(OR(ISNUMBER(SEARCH("week",C562)),ISNUMBER(SEARCH("minggu",C562))),IFERROR(_xlfn.NUMBERVALUE(SUBSTITUTE(LEFT(TRIM(C562),FIND(" ",TRIM(C562)&amp;" ")-1),",","."),"."),LEFT(SUBSTITUTE(LEFT(TRIM(C562),FIND(" ",TRIM(C562)&amp;" ")-1),",","."),FIND("/",SUBSTITUTE(LEFT(TRIM(C562),FIND(" ",TRIM(C562)&amp;" ")-1),",","."))-1)/MID(SUBSTITUTE(LEFT(TRIM(C562),FIND(" ",TRIM(C562)&amp;" ")-1),",","."),FIND("/",SUBSTITUTE(LEFT(TRIM(C562),FIND(" ",TRIM(C562)&amp;" ")-1),",","."))+1,9))*12/52,IF(ISNUMBER(SEARCH("month",C562)),IFERROR(_xlfn.NUMBERVALUE(SUBSTITUTE(LEFT(TRIM(C562),FIND(" ",TRIM(C562)&amp;" ")-1),",","."),"."),LEFT(SUBSTITUTE(LEFT(TRIM(C562),FIND(" ",TRIM(C562)&amp;" ")-1),",","."),FIND("/",SUBSTITUTE(LEFT(TRIM(C562),FIND(" ",TRIM(C562)&amp;" ")-1),",","."))-1)/MID(SUBSTITUTE(LEFT(TRIM(C562),FIND(" ",TRIM(C562)&amp;" ")-1),",","."),FIND("/",SUBSTITUTE(LEFT(TRIM(C562),FIND(" ",TRIM(C562)&amp;" ")-1),",","."))+1,9)),IF(ISNUMBER(SEARCH("yea",C562)),IFERROR(_xlfn.NUMBERVALUE(SUBSTITUTE(LEFT(TRIM(C562),FIND(" ",TRIM(C562)&amp;" ")-1),",","."),"."),LEFT(SUBSTITUTE(LEFT(TRIM(C562),FIND(" ",TRIM(C562)&amp;" ")-1),",","."),FIND("/",SUBSTITUTE(LEFT(TRIM(C562),FIND(" ",TRIM(C562)&amp;" ")-1),",","."))-1)/MID(SUBSTITUTE(LEFT(TRIM(C562),FIND(" ",TRIM(C562)&amp;" ")-1),",","."),FIND("/",SUBSTITUTE(LEFT(TRIM(C562),FIND(" ",TRIM(C562)&amp;" ")-1),",","."))+1,9))*12,NA()))),0),12)*'Aturan &amp; Tarif'!$B$4,2)</f>
        <v>681.36</v>
      </c>
      <c r="K562" s="32" t="n">
        <f aca="false">'Aturan &amp; Tarif'!$B$5</f>
        <v>2050</v>
      </c>
      <c r="L562" s="35" t="n">
        <f aca="false">I562+J562+K562</f>
        <v>11731.36</v>
      </c>
      <c r="M562" s="37" t="s">
        <v>1064</v>
      </c>
    </row>
    <row r="563" customFormat="false" ht="25.5" hidden="false" customHeight="true" outlineLevel="0" collapsed="false">
      <c r="A563" s="29"/>
      <c r="B563" s="30" t="s">
        <v>1065</v>
      </c>
      <c r="C563" s="31" t="s">
        <v>130</v>
      </c>
      <c r="D563" s="31" t="s">
        <v>108</v>
      </c>
      <c r="E563" s="32" t="n">
        <v>4500</v>
      </c>
      <c r="F563" s="32"/>
      <c r="G563" s="32"/>
      <c r="H563" s="33" t="n">
        <v>2</v>
      </c>
      <c r="I563" s="34" t="n">
        <f aca="false">E563*H563+N(F563)+N(G563)</f>
        <v>9000</v>
      </c>
      <c r="J563" s="32" t="n">
        <f aca="false">ROUND(IFERROR(ROUND(IF(OR(ISNUMBER(SEARCH("week",C563)),ISNUMBER(SEARCH("minggu",C563))),IFERROR(_xlfn.NUMBERVALUE(SUBSTITUTE(LEFT(TRIM(C563),FIND(" ",TRIM(C563)&amp;" ")-1),",","."),"."),LEFT(SUBSTITUTE(LEFT(TRIM(C563),FIND(" ",TRIM(C563)&amp;" ")-1),",","."),FIND("/",SUBSTITUTE(LEFT(TRIM(C563),FIND(" ",TRIM(C563)&amp;" ")-1),",","."))-1)/MID(SUBSTITUTE(LEFT(TRIM(C563),FIND(" ",TRIM(C563)&amp;" ")-1),",","."),FIND("/",SUBSTITUTE(LEFT(TRIM(C563),FIND(" ",TRIM(C563)&amp;" ")-1),",","."))+1,9))*12/52,IF(ISNUMBER(SEARCH("month",C563)),IFERROR(_xlfn.NUMBERVALUE(SUBSTITUTE(LEFT(TRIM(C563),FIND(" ",TRIM(C563)&amp;" ")-1),",","."),"."),LEFT(SUBSTITUTE(LEFT(TRIM(C563),FIND(" ",TRIM(C563)&amp;" ")-1),",","."),FIND("/",SUBSTITUTE(LEFT(TRIM(C563),FIND(" ",TRIM(C563)&amp;" ")-1),",","."))-1)/MID(SUBSTITUTE(LEFT(TRIM(C563),FIND(" ",TRIM(C563)&amp;" ")-1),",","."),FIND("/",SUBSTITUTE(LEFT(TRIM(C563),FIND(" ",TRIM(C563)&amp;" ")-1),",","."))+1,9)),IF(ISNUMBER(SEARCH("yea",C563)),IFERROR(_xlfn.NUMBERVALUE(SUBSTITUTE(LEFT(TRIM(C563),FIND(" ",TRIM(C563)&amp;" ")-1),",","."),"."),LEFT(SUBSTITUTE(LEFT(TRIM(C563),FIND(" ",TRIM(C563)&amp;" ")-1),",","."),FIND("/",SUBSTITUTE(LEFT(TRIM(C563),FIND(" ",TRIM(C563)&amp;" ")-1),",","."))-1)/MID(SUBSTITUTE(LEFT(TRIM(C563),FIND(" ",TRIM(C563)&amp;" ")-1),",","."),FIND("/",SUBSTITUTE(LEFT(TRIM(C563),FIND(" ",TRIM(C563)&amp;" ")-1),",","."))+1,9))*12,NA()))),0),12)*'Aturan &amp; Tarif'!$B$4,2)</f>
        <v>681.36</v>
      </c>
      <c r="K563" s="32" t="n">
        <f aca="false">'Aturan &amp; Tarif'!$B$5</f>
        <v>2050</v>
      </c>
      <c r="L563" s="35" t="n">
        <f aca="false">I563+J563+K563</f>
        <v>11731.36</v>
      </c>
      <c r="M563" s="37" t="s">
        <v>1066</v>
      </c>
    </row>
    <row r="564" customFormat="false" ht="14.25" hidden="false" customHeight="true" outlineLevel="0" collapsed="false">
      <c r="A564" s="29"/>
      <c r="B564" s="30" t="s">
        <v>1067</v>
      </c>
      <c r="C564" s="31" t="s">
        <v>130</v>
      </c>
      <c r="D564" s="31" t="s">
        <v>108</v>
      </c>
      <c r="E564" s="32" t="n">
        <v>9000</v>
      </c>
      <c r="F564" s="32"/>
      <c r="G564" s="32"/>
      <c r="H564" s="33" t="n">
        <v>2</v>
      </c>
      <c r="I564" s="34" t="n">
        <f aca="false">E564*H564+N(F564)+N(G564)</f>
        <v>18000</v>
      </c>
      <c r="J564" s="32" t="n">
        <f aca="false">ROUND(IFERROR(ROUND(IF(OR(ISNUMBER(SEARCH("week",C564)),ISNUMBER(SEARCH("minggu",C564))),IFERROR(_xlfn.NUMBERVALUE(SUBSTITUTE(LEFT(TRIM(C564),FIND(" ",TRIM(C564)&amp;" ")-1),",","."),"."),LEFT(SUBSTITUTE(LEFT(TRIM(C564),FIND(" ",TRIM(C564)&amp;" ")-1),",","."),FIND("/",SUBSTITUTE(LEFT(TRIM(C564),FIND(" ",TRIM(C564)&amp;" ")-1),",","."))-1)/MID(SUBSTITUTE(LEFT(TRIM(C564),FIND(" ",TRIM(C564)&amp;" ")-1),",","."),FIND("/",SUBSTITUTE(LEFT(TRIM(C564),FIND(" ",TRIM(C564)&amp;" ")-1),",","."))+1,9))*12/52,IF(ISNUMBER(SEARCH("month",C564)),IFERROR(_xlfn.NUMBERVALUE(SUBSTITUTE(LEFT(TRIM(C564),FIND(" ",TRIM(C564)&amp;" ")-1),",","."),"."),LEFT(SUBSTITUTE(LEFT(TRIM(C564),FIND(" ",TRIM(C564)&amp;" ")-1),",","."),FIND("/",SUBSTITUTE(LEFT(TRIM(C564),FIND(" ",TRIM(C564)&amp;" ")-1),",","."))-1)/MID(SUBSTITUTE(LEFT(TRIM(C564),FIND(" ",TRIM(C564)&amp;" ")-1),",","."),FIND("/",SUBSTITUTE(LEFT(TRIM(C564),FIND(" ",TRIM(C564)&amp;" ")-1),",","."))+1,9)),IF(ISNUMBER(SEARCH("yea",C564)),IFERROR(_xlfn.NUMBERVALUE(SUBSTITUTE(LEFT(TRIM(C564),FIND(" ",TRIM(C564)&amp;" ")-1),",","."),"."),LEFT(SUBSTITUTE(LEFT(TRIM(C564),FIND(" ",TRIM(C564)&amp;" ")-1),",","."),FIND("/",SUBSTITUTE(LEFT(TRIM(C564),FIND(" ",TRIM(C564)&amp;" ")-1),",","."))-1)/MID(SUBSTITUTE(LEFT(TRIM(C564),FIND(" ",TRIM(C564)&amp;" ")-1),",","."),FIND("/",SUBSTITUTE(LEFT(TRIM(C564),FIND(" ",TRIM(C564)&amp;" ")-1),",","."))+1,9))*12,NA()))),0),12)*'Aturan &amp; Tarif'!$B$4,2)</f>
        <v>681.36</v>
      </c>
      <c r="K564" s="32" t="n">
        <f aca="false">'Aturan &amp; Tarif'!$B$5</f>
        <v>2050</v>
      </c>
      <c r="L564" s="35" t="n">
        <f aca="false">I564+J564+K564</f>
        <v>20731.36</v>
      </c>
      <c r="M564" s="37" t="s">
        <v>1068</v>
      </c>
    </row>
    <row r="565" customFormat="false" ht="60" hidden="false" customHeight="true" outlineLevel="0" collapsed="false">
      <c r="A565" s="29"/>
      <c r="B565" s="30" t="s">
        <v>1069</v>
      </c>
      <c r="C565" s="31" t="s">
        <v>130</v>
      </c>
      <c r="D565" s="31" t="s">
        <v>108</v>
      </c>
      <c r="E565" s="32" t="n">
        <v>9000</v>
      </c>
      <c r="F565" s="32"/>
      <c r="G565" s="32"/>
      <c r="H565" s="33" t="n">
        <v>2</v>
      </c>
      <c r="I565" s="34" t="n">
        <f aca="false">E565*H565+N(F565)+N(G565)</f>
        <v>18000</v>
      </c>
      <c r="J565" s="32" t="n">
        <f aca="false">ROUND(IFERROR(ROUND(IF(OR(ISNUMBER(SEARCH("week",C565)),ISNUMBER(SEARCH("minggu",C565))),IFERROR(_xlfn.NUMBERVALUE(SUBSTITUTE(LEFT(TRIM(C565),FIND(" ",TRIM(C565)&amp;" ")-1),",","."),"."),LEFT(SUBSTITUTE(LEFT(TRIM(C565),FIND(" ",TRIM(C565)&amp;" ")-1),",","."),FIND("/",SUBSTITUTE(LEFT(TRIM(C565),FIND(" ",TRIM(C565)&amp;" ")-1),",","."))-1)/MID(SUBSTITUTE(LEFT(TRIM(C565),FIND(" ",TRIM(C565)&amp;" ")-1),",","."),FIND("/",SUBSTITUTE(LEFT(TRIM(C565),FIND(" ",TRIM(C565)&amp;" ")-1),",","."))+1,9))*12/52,IF(ISNUMBER(SEARCH("month",C565)),IFERROR(_xlfn.NUMBERVALUE(SUBSTITUTE(LEFT(TRIM(C565),FIND(" ",TRIM(C565)&amp;" ")-1),",","."),"."),LEFT(SUBSTITUTE(LEFT(TRIM(C565),FIND(" ",TRIM(C565)&amp;" ")-1),",","."),FIND("/",SUBSTITUTE(LEFT(TRIM(C565),FIND(" ",TRIM(C565)&amp;" ")-1),",","."))-1)/MID(SUBSTITUTE(LEFT(TRIM(C565),FIND(" ",TRIM(C565)&amp;" ")-1),",","."),FIND("/",SUBSTITUTE(LEFT(TRIM(C565),FIND(" ",TRIM(C565)&amp;" ")-1),",","."))+1,9)),IF(ISNUMBER(SEARCH("yea",C565)),IFERROR(_xlfn.NUMBERVALUE(SUBSTITUTE(LEFT(TRIM(C565),FIND(" ",TRIM(C565)&amp;" ")-1),",","."),"."),LEFT(SUBSTITUTE(LEFT(TRIM(C565),FIND(" ",TRIM(C565)&amp;" ")-1),",","."),FIND("/",SUBSTITUTE(LEFT(TRIM(C565),FIND(" ",TRIM(C565)&amp;" ")-1),",","."))-1)/MID(SUBSTITUTE(LEFT(TRIM(C565),FIND(" ",TRIM(C565)&amp;" ")-1),",","."),FIND("/",SUBSTITUTE(LEFT(TRIM(C565),FIND(" ",TRIM(C565)&amp;" ")-1),",","."))+1,9))*12,NA()))),0),12)*'Aturan &amp; Tarif'!$B$4,2)</f>
        <v>681.36</v>
      </c>
      <c r="K565" s="32" t="n">
        <f aca="false">'Aturan &amp; Tarif'!$B$5</f>
        <v>2050</v>
      </c>
      <c r="L565" s="35" t="n">
        <f aca="false">I565+J565+K565</f>
        <v>20731.36</v>
      </c>
      <c r="M565" s="36" t="s">
        <v>1036</v>
      </c>
    </row>
    <row r="566" customFormat="false" ht="60" hidden="false" customHeight="true" outlineLevel="0" collapsed="false">
      <c r="A566" s="29"/>
      <c r="B566" s="30" t="s">
        <v>1070</v>
      </c>
      <c r="C566" s="31" t="s">
        <v>107</v>
      </c>
      <c r="D566" s="31" t="s">
        <v>108</v>
      </c>
      <c r="E566" s="32" t="n">
        <v>9000</v>
      </c>
      <c r="F566" s="32"/>
      <c r="G566" s="32"/>
      <c r="H566" s="33" t="n">
        <v>2</v>
      </c>
      <c r="I566" s="34" t="n">
        <f aca="false">E566*H566+N(F566)+N(G566)</f>
        <v>18000</v>
      </c>
      <c r="J566" s="32" t="n">
        <f aca="false">ROUND(IFERROR(ROUND(IF(OR(ISNUMBER(SEARCH("week",C566)),ISNUMBER(SEARCH("minggu",C566))),IFERROR(_xlfn.NUMBERVALUE(SUBSTITUTE(LEFT(TRIM(C566),FIND(" ",TRIM(C566)&amp;" ")-1),",","."),"."),LEFT(SUBSTITUTE(LEFT(TRIM(C566),FIND(" ",TRIM(C566)&amp;" ")-1),",","."),FIND("/",SUBSTITUTE(LEFT(TRIM(C566),FIND(" ",TRIM(C566)&amp;" ")-1),",","."))-1)/MID(SUBSTITUTE(LEFT(TRIM(C566),FIND(" ",TRIM(C566)&amp;" ")-1),",","."),FIND("/",SUBSTITUTE(LEFT(TRIM(C566),FIND(" ",TRIM(C566)&amp;" ")-1),",","."))+1,9))*12/52,IF(ISNUMBER(SEARCH("month",C566)),IFERROR(_xlfn.NUMBERVALUE(SUBSTITUTE(LEFT(TRIM(C566),FIND(" ",TRIM(C566)&amp;" ")-1),",","."),"."),LEFT(SUBSTITUTE(LEFT(TRIM(C566),FIND(" ",TRIM(C566)&amp;" ")-1),",","."),FIND("/",SUBSTITUTE(LEFT(TRIM(C566),FIND(" ",TRIM(C566)&amp;" ")-1),",","."))-1)/MID(SUBSTITUTE(LEFT(TRIM(C566),FIND(" ",TRIM(C566)&amp;" ")-1),",","."),FIND("/",SUBSTITUTE(LEFT(TRIM(C566),FIND(" ",TRIM(C566)&amp;" ")-1),",","."))+1,9)),IF(ISNUMBER(SEARCH("yea",C566)),IFERROR(_xlfn.NUMBERVALUE(SUBSTITUTE(LEFT(TRIM(C566),FIND(" ",TRIM(C566)&amp;" ")-1),",","."),"."),LEFT(SUBSTITUTE(LEFT(TRIM(C566),FIND(" ",TRIM(C566)&amp;" ")-1),",","."),FIND("/",SUBSTITUTE(LEFT(TRIM(C566),FIND(" ",TRIM(C566)&amp;" ")-1),",","."))-1)/MID(SUBSTITUTE(LEFT(TRIM(C566),FIND(" ",TRIM(C566)&amp;" ")-1),",","."),FIND("/",SUBSTITUTE(LEFT(TRIM(C566),FIND(" ",TRIM(C566)&amp;" ")-1),",","."))+1,9))*12,NA()))),0),24)*'Aturan &amp; Tarif'!$B$4,2)</f>
        <v>1362.72</v>
      </c>
      <c r="K566" s="32" t="n">
        <f aca="false">'Aturan &amp; Tarif'!$B$5</f>
        <v>2050</v>
      </c>
      <c r="L566" s="35" t="n">
        <f aca="false">I566+J566+K566</f>
        <v>21412.72</v>
      </c>
      <c r="M566" s="36" t="s">
        <v>1036</v>
      </c>
    </row>
    <row r="567" customFormat="false" ht="60" hidden="false" customHeight="true" outlineLevel="0" collapsed="false">
      <c r="A567" s="29"/>
      <c r="B567" s="30" t="s">
        <v>1071</v>
      </c>
      <c r="C567" s="31" t="s">
        <v>107</v>
      </c>
      <c r="D567" s="31" t="s">
        <v>108</v>
      </c>
      <c r="E567" s="32" t="n">
        <v>9000</v>
      </c>
      <c r="F567" s="32"/>
      <c r="G567" s="32"/>
      <c r="H567" s="33" t="n">
        <v>2</v>
      </c>
      <c r="I567" s="34" t="n">
        <f aca="false">E567*H567+N(F567)+N(G567)</f>
        <v>18000</v>
      </c>
      <c r="J567" s="32" t="n">
        <f aca="false">ROUND(IFERROR(ROUND(IF(OR(ISNUMBER(SEARCH("week",C567)),ISNUMBER(SEARCH("minggu",C567))),IFERROR(_xlfn.NUMBERVALUE(SUBSTITUTE(LEFT(TRIM(C567),FIND(" ",TRIM(C567)&amp;" ")-1),",","."),"."),LEFT(SUBSTITUTE(LEFT(TRIM(C567),FIND(" ",TRIM(C567)&amp;" ")-1),",","."),FIND("/",SUBSTITUTE(LEFT(TRIM(C567),FIND(" ",TRIM(C567)&amp;" ")-1),",","."))-1)/MID(SUBSTITUTE(LEFT(TRIM(C567),FIND(" ",TRIM(C567)&amp;" ")-1),",","."),FIND("/",SUBSTITUTE(LEFT(TRIM(C567),FIND(" ",TRIM(C567)&amp;" ")-1),",","."))+1,9))*12/52,IF(ISNUMBER(SEARCH("month",C567)),IFERROR(_xlfn.NUMBERVALUE(SUBSTITUTE(LEFT(TRIM(C567),FIND(" ",TRIM(C567)&amp;" ")-1),",","."),"."),LEFT(SUBSTITUTE(LEFT(TRIM(C567),FIND(" ",TRIM(C567)&amp;" ")-1),",","."),FIND("/",SUBSTITUTE(LEFT(TRIM(C567),FIND(" ",TRIM(C567)&amp;" ")-1),",","."))-1)/MID(SUBSTITUTE(LEFT(TRIM(C567),FIND(" ",TRIM(C567)&amp;" ")-1),",","."),FIND("/",SUBSTITUTE(LEFT(TRIM(C567),FIND(" ",TRIM(C567)&amp;" ")-1),",","."))+1,9)),IF(ISNUMBER(SEARCH("yea",C567)),IFERROR(_xlfn.NUMBERVALUE(SUBSTITUTE(LEFT(TRIM(C567),FIND(" ",TRIM(C567)&amp;" ")-1),",","."),"."),LEFT(SUBSTITUTE(LEFT(TRIM(C567),FIND(" ",TRIM(C567)&amp;" ")-1),",","."),FIND("/",SUBSTITUTE(LEFT(TRIM(C567),FIND(" ",TRIM(C567)&amp;" ")-1),",","."))-1)/MID(SUBSTITUTE(LEFT(TRIM(C567),FIND(" ",TRIM(C567)&amp;" ")-1),",","."),FIND("/",SUBSTITUTE(LEFT(TRIM(C567),FIND(" ",TRIM(C567)&amp;" ")-1),",","."))+1,9))*12,NA()))),0),24)*'Aturan &amp; Tarif'!$B$4,2)</f>
        <v>1362.72</v>
      </c>
      <c r="K567" s="32" t="n">
        <f aca="false">'Aturan &amp; Tarif'!$B$5</f>
        <v>2050</v>
      </c>
      <c r="L567" s="35" t="n">
        <f aca="false">I567+J567+K567</f>
        <v>21412.72</v>
      </c>
      <c r="M567" s="36" t="s">
        <v>1072</v>
      </c>
    </row>
    <row r="568" customFormat="false" ht="60" hidden="false" customHeight="true" outlineLevel="0" collapsed="false">
      <c r="A568" s="29"/>
      <c r="B568" s="30" t="s">
        <v>1073</v>
      </c>
      <c r="C568" s="31" t="s">
        <v>344</v>
      </c>
      <c r="D568" s="31" t="s">
        <v>108</v>
      </c>
      <c r="E568" s="32" t="n">
        <v>4500</v>
      </c>
      <c r="F568" s="32"/>
      <c r="G568" s="32"/>
      <c r="H568" s="33" t="n">
        <v>2</v>
      </c>
      <c r="I568" s="34" t="n">
        <f aca="false">E568*H568+N(F568)+N(G568)</f>
        <v>9000</v>
      </c>
      <c r="J568" s="32" t="n">
        <f aca="false">ROUND(IFERROR(ROUND(IF(OR(ISNUMBER(SEARCH("week",C568)),ISNUMBER(SEARCH("minggu",C568))),IFERROR(_xlfn.NUMBERVALUE(SUBSTITUTE(LEFT(TRIM(C568),FIND(" ",TRIM(C568)&amp;" ")-1),",","."),"."),LEFT(SUBSTITUTE(LEFT(TRIM(C568),FIND(" ",TRIM(C568)&amp;" ")-1),",","."),FIND("/",SUBSTITUTE(LEFT(TRIM(C568),FIND(" ",TRIM(C568)&amp;" ")-1),",","."))-1)/MID(SUBSTITUTE(LEFT(TRIM(C568),FIND(" ",TRIM(C568)&amp;" ")-1),",","."),FIND("/",SUBSTITUTE(LEFT(TRIM(C568),FIND(" ",TRIM(C568)&amp;" ")-1),",","."))+1,9))*12/52,IF(ISNUMBER(SEARCH("month",C568)),IFERROR(_xlfn.NUMBERVALUE(SUBSTITUTE(LEFT(TRIM(C568),FIND(" ",TRIM(C568)&amp;" ")-1),",","."),"."),LEFT(SUBSTITUTE(LEFT(TRIM(C568),FIND(" ",TRIM(C568)&amp;" ")-1),",","."),FIND("/",SUBSTITUTE(LEFT(TRIM(C568),FIND(" ",TRIM(C568)&amp;" ")-1),",","."))-1)/MID(SUBSTITUTE(LEFT(TRIM(C568),FIND(" ",TRIM(C568)&amp;" ")-1),",","."),FIND("/",SUBSTITUTE(LEFT(TRIM(C568),FIND(" ",TRIM(C568)&amp;" ")-1),",","."))+1,9)),IF(ISNUMBER(SEARCH("yea",C568)),IFERROR(_xlfn.NUMBERVALUE(SUBSTITUTE(LEFT(TRIM(C568),FIND(" ",TRIM(C568)&amp;" ")-1),",","."),"."),LEFT(SUBSTITUTE(LEFT(TRIM(C568),FIND(" ",TRIM(C568)&amp;" ")-1),",","."),FIND("/",SUBSTITUTE(LEFT(TRIM(C568),FIND(" ",TRIM(C568)&amp;" ")-1),",","."))-1)/MID(SUBSTITUTE(LEFT(TRIM(C568),FIND(" ",TRIM(C568)&amp;" ")-1),",","."),FIND("/",SUBSTITUTE(LEFT(TRIM(C568),FIND(" ",TRIM(C568)&amp;" ")-1),",","."))+1,9))*12,NA()))),0),6)*'Aturan &amp; Tarif'!$B$4,2)</f>
        <v>340.68</v>
      </c>
      <c r="K568" s="32" t="n">
        <f aca="false">'Aturan &amp; Tarif'!$B$5</f>
        <v>2050</v>
      </c>
      <c r="L568" s="35" t="n">
        <f aca="false">I568+J568+K568</f>
        <v>11390.68</v>
      </c>
      <c r="M568" s="36" t="s">
        <v>1036</v>
      </c>
    </row>
    <row r="569" customFormat="false" ht="60" hidden="false" customHeight="true" outlineLevel="0" collapsed="false">
      <c r="A569" s="29"/>
      <c r="B569" s="30" t="s">
        <v>1074</v>
      </c>
      <c r="C569" s="31" t="s">
        <v>130</v>
      </c>
      <c r="D569" s="31" t="s">
        <v>108</v>
      </c>
      <c r="E569" s="32" t="n">
        <v>9000</v>
      </c>
      <c r="F569" s="32"/>
      <c r="G569" s="32"/>
      <c r="H569" s="33" t="n">
        <v>2</v>
      </c>
      <c r="I569" s="34" t="n">
        <f aca="false">E569*H569+N(F569)+N(G569)</f>
        <v>18000</v>
      </c>
      <c r="J569" s="32" t="n">
        <f aca="false">ROUND(IFERROR(ROUND(IF(OR(ISNUMBER(SEARCH("week",C569)),ISNUMBER(SEARCH("minggu",C569))),IFERROR(_xlfn.NUMBERVALUE(SUBSTITUTE(LEFT(TRIM(C569),FIND(" ",TRIM(C569)&amp;" ")-1),",","."),"."),LEFT(SUBSTITUTE(LEFT(TRIM(C569),FIND(" ",TRIM(C569)&amp;" ")-1),",","."),FIND("/",SUBSTITUTE(LEFT(TRIM(C569),FIND(" ",TRIM(C569)&amp;" ")-1),",","."))-1)/MID(SUBSTITUTE(LEFT(TRIM(C569),FIND(" ",TRIM(C569)&amp;" ")-1),",","."),FIND("/",SUBSTITUTE(LEFT(TRIM(C569),FIND(" ",TRIM(C569)&amp;" ")-1),",","."))+1,9))*12/52,IF(ISNUMBER(SEARCH("month",C569)),IFERROR(_xlfn.NUMBERVALUE(SUBSTITUTE(LEFT(TRIM(C569),FIND(" ",TRIM(C569)&amp;" ")-1),",","."),"."),LEFT(SUBSTITUTE(LEFT(TRIM(C569),FIND(" ",TRIM(C569)&amp;" ")-1),",","."),FIND("/",SUBSTITUTE(LEFT(TRIM(C569),FIND(" ",TRIM(C569)&amp;" ")-1),",","."))-1)/MID(SUBSTITUTE(LEFT(TRIM(C569),FIND(" ",TRIM(C569)&amp;" ")-1),",","."),FIND("/",SUBSTITUTE(LEFT(TRIM(C569),FIND(" ",TRIM(C569)&amp;" ")-1),",","."))+1,9)),IF(ISNUMBER(SEARCH("yea",C569)),IFERROR(_xlfn.NUMBERVALUE(SUBSTITUTE(LEFT(TRIM(C569),FIND(" ",TRIM(C569)&amp;" ")-1),",","."),"."),LEFT(SUBSTITUTE(LEFT(TRIM(C569),FIND(" ",TRIM(C569)&amp;" ")-1),",","."),FIND("/",SUBSTITUTE(LEFT(TRIM(C569),FIND(" ",TRIM(C569)&amp;" ")-1),",","."))-1)/MID(SUBSTITUTE(LEFT(TRIM(C569),FIND(" ",TRIM(C569)&amp;" ")-1),",","."),FIND("/",SUBSTITUTE(LEFT(TRIM(C569),FIND(" ",TRIM(C569)&amp;" ")-1),",","."))+1,9))*12,NA()))),0),12)*'Aturan &amp; Tarif'!$B$4,2)</f>
        <v>681.36</v>
      </c>
      <c r="K569" s="32" t="n">
        <f aca="false">'Aturan &amp; Tarif'!$B$5</f>
        <v>2050</v>
      </c>
      <c r="L569" s="35" t="n">
        <f aca="false">I569+J569+K569</f>
        <v>20731.36</v>
      </c>
      <c r="M569" s="36" t="s">
        <v>1036</v>
      </c>
    </row>
    <row r="570" customFormat="false" ht="60" hidden="false" customHeight="true" outlineLevel="0" collapsed="false">
      <c r="A570" s="29"/>
      <c r="B570" s="30" t="s">
        <v>1075</v>
      </c>
      <c r="C570" s="31" t="s">
        <v>113</v>
      </c>
      <c r="D570" s="31" t="s">
        <v>108</v>
      </c>
      <c r="E570" s="32" t="n">
        <v>9000</v>
      </c>
      <c r="F570" s="32"/>
      <c r="G570" s="32"/>
      <c r="H570" s="33" t="n">
        <v>2</v>
      </c>
      <c r="I570" s="34" t="n">
        <f aca="false">E570*H570+N(F570)+N(G570)</f>
        <v>18000</v>
      </c>
      <c r="J570" s="32" t="n">
        <f aca="false">ROUND(IFERROR(ROUND(IF(OR(ISNUMBER(SEARCH("week",C570)),ISNUMBER(SEARCH("minggu",C570))),IFERROR(_xlfn.NUMBERVALUE(SUBSTITUTE(LEFT(TRIM(C570),FIND(" ",TRIM(C570)&amp;" ")-1),",","."),"."),LEFT(SUBSTITUTE(LEFT(TRIM(C570),FIND(" ",TRIM(C570)&amp;" ")-1),",","."),FIND("/",SUBSTITUTE(LEFT(TRIM(C570),FIND(" ",TRIM(C570)&amp;" ")-1),",","."))-1)/MID(SUBSTITUTE(LEFT(TRIM(C570),FIND(" ",TRIM(C570)&amp;" ")-1),",","."),FIND("/",SUBSTITUTE(LEFT(TRIM(C570),FIND(" ",TRIM(C570)&amp;" ")-1),",","."))+1,9))*12/52,IF(ISNUMBER(SEARCH("month",C570)),IFERROR(_xlfn.NUMBERVALUE(SUBSTITUTE(LEFT(TRIM(C570),FIND(" ",TRIM(C570)&amp;" ")-1),",","."),"."),LEFT(SUBSTITUTE(LEFT(TRIM(C570),FIND(" ",TRIM(C570)&amp;" ")-1),",","."),FIND("/",SUBSTITUTE(LEFT(TRIM(C570),FIND(" ",TRIM(C570)&amp;" ")-1),",","."))-1)/MID(SUBSTITUTE(LEFT(TRIM(C570),FIND(" ",TRIM(C570)&amp;" ")-1),",","."),FIND("/",SUBSTITUTE(LEFT(TRIM(C570),FIND(" ",TRIM(C570)&amp;" ")-1),",","."))+1,9)),IF(ISNUMBER(SEARCH("yea",C570)),IFERROR(_xlfn.NUMBERVALUE(SUBSTITUTE(LEFT(TRIM(C570),FIND(" ",TRIM(C570)&amp;" ")-1),",","."),"."),LEFT(SUBSTITUTE(LEFT(TRIM(C570),FIND(" ",TRIM(C570)&amp;" ")-1),",","."),FIND("/",SUBSTITUTE(LEFT(TRIM(C570),FIND(" ",TRIM(C570)&amp;" ")-1),",","."))-1)/MID(SUBSTITUTE(LEFT(TRIM(C570),FIND(" ",TRIM(C570)&amp;" ")-1),",","."),FIND("/",SUBSTITUTE(LEFT(TRIM(C570),FIND(" ",TRIM(C570)&amp;" ")-1),",","."))+1,9))*12,NA()))),0),18)*'Aturan &amp; Tarif'!$B$4,2)</f>
        <v>1022.04</v>
      </c>
      <c r="K570" s="32" t="n">
        <f aca="false">'Aturan &amp; Tarif'!$B$5</f>
        <v>2050</v>
      </c>
      <c r="L570" s="35" t="n">
        <f aca="false">I570+J570+K570</f>
        <v>21072.04</v>
      </c>
      <c r="M570" s="36" t="s">
        <v>1036</v>
      </c>
    </row>
    <row r="571" customFormat="false" ht="60" hidden="false" customHeight="true" outlineLevel="0" collapsed="false">
      <c r="A571" s="29"/>
      <c r="B571" s="30" t="s">
        <v>1076</v>
      </c>
      <c r="C571" s="31" t="s">
        <v>107</v>
      </c>
      <c r="D571" s="31" t="s">
        <v>108</v>
      </c>
      <c r="E571" s="32" t="n">
        <v>9000</v>
      </c>
      <c r="F571" s="32"/>
      <c r="G571" s="32"/>
      <c r="H571" s="33" t="n">
        <v>2</v>
      </c>
      <c r="I571" s="34" t="n">
        <f aca="false">E571*H571+N(F571)+N(G571)</f>
        <v>18000</v>
      </c>
      <c r="J571" s="32" t="n">
        <f aca="false">ROUND(IFERROR(ROUND(IF(OR(ISNUMBER(SEARCH("week",C571)),ISNUMBER(SEARCH("minggu",C571))),IFERROR(_xlfn.NUMBERVALUE(SUBSTITUTE(LEFT(TRIM(C571),FIND(" ",TRIM(C571)&amp;" ")-1),",","."),"."),LEFT(SUBSTITUTE(LEFT(TRIM(C571),FIND(" ",TRIM(C571)&amp;" ")-1),",","."),FIND("/",SUBSTITUTE(LEFT(TRIM(C571),FIND(" ",TRIM(C571)&amp;" ")-1),",","."))-1)/MID(SUBSTITUTE(LEFT(TRIM(C571),FIND(" ",TRIM(C571)&amp;" ")-1),",","."),FIND("/",SUBSTITUTE(LEFT(TRIM(C571),FIND(" ",TRIM(C571)&amp;" ")-1),",","."))+1,9))*12/52,IF(ISNUMBER(SEARCH("month",C571)),IFERROR(_xlfn.NUMBERVALUE(SUBSTITUTE(LEFT(TRIM(C571),FIND(" ",TRIM(C571)&amp;" ")-1),",","."),"."),LEFT(SUBSTITUTE(LEFT(TRIM(C571),FIND(" ",TRIM(C571)&amp;" ")-1),",","."),FIND("/",SUBSTITUTE(LEFT(TRIM(C571),FIND(" ",TRIM(C571)&amp;" ")-1),",","."))-1)/MID(SUBSTITUTE(LEFT(TRIM(C571),FIND(" ",TRIM(C571)&amp;" ")-1),",","."),FIND("/",SUBSTITUTE(LEFT(TRIM(C571),FIND(" ",TRIM(C571)&amp;" ")-1),",","."))+1,9)),IF(ISNUMBER(SEARCH("yea",C571)),IFERROR(_xlfn.NUMBERVALUE(SUBSTITUTE(LEFT(TRIM(C571),FIND(" ",TRIM(C571)&amp;" ")-1),",","."),"."),LEFT(SUBSTITUTE(LEFT(TRIM(C571),FIND(" ",TRIM(C571)&amp;" ")-1),",","."),FIND("/",SUBSTITUTE(LEFT(TRIM(C571),FIND(" ",TRIM(C571)&amp;" ")-1),",","."))-1)/MID(SUBSTITUTE(LEFT(TRIM(C571),FIND(" ",TRIM(C571)&amp;" ")-1),",","."),FIND("/",SUBSTITUTE(LEFT(TRIM(C571),FIND(" ",TRIM(C571)&amp;" ")-1),",","."))+1,9))*12,NA()))),0),24)*'Aturan &amp; Tarif'!$B$4,2)</f>
        <v>1362.72</v>
      </c>
      <c r="K571" s="32" t="n">
        <f aca="false">'Aturan &amp; Tarif'!$B$5</f>
        <v>2050</v>
      </c>
      <c r="L571" s="35" t="n">
        <f aca="false">I571+J571+K571</f>
        <v>21412.72</v>
      </c>
      <c r="M571" s="36" t="s">
        <v>1036</v>
      </c>
    </row>
    <row r="572" customFormat="false" ht="60" hidden="false" customHeight="true" outlineLevel="0" collapsed="false">
      <c r="A572" s="29"/>
      <c r="B572" s="30" t="s">
        <v>1055</v>
      </c>
      <c r="C572" s="31" t="s">
        <v>107</v>
      </c>
      <c r="D572" s="31" t="s">
        <v>108</v>
      </c>
      <c r="E572" s="32" t="n">
        <v>9000</v>
      </c>
      <c r="F572" s="32"/>
      <c r="G572" s="32"/>
      <c r="H572" s="33" t="n">
        <v>2</v>
      </c>
      <c r="I572" s="34" t="n">
        <f aca="false">E572*H572+N(F572)+N(G572)</f>
        <v>18000</v>
      </c>
      <c r="J572" s="32" t="n">
        <f aca="false">ROUND(IFERROR(ROUND(IF(OR(ISNUMBER(SEARCH("week",C572)),ISNUMBER(SEARCH("minggu",C572))),IFERROR(_xlfn.NUMBERVALUE(SUBSTITUTE(LEFT(TRIM(C572),FIND(" ",TRIM(C572)&amp;" ")-1),",","."),"."),LEFT(SUBSTITUTE(LEFT(TRIM(C572),FIND(" ",TRIM(C572)&amp;" ")-1),",","."),FIND("/",SUBSTITUTE(LEFT(TRIM(C572),FIND(" ",TRIM(C572)&amp;" ")-1),",","."))-1)/MID(SUBSTITUTE(LEFT(TRIM(C572),FIND(" ",TRIM(C572)&amp;" ")-1),",","."),FIND("/",SUBSTITUTE(LEFT(TRIM(C572),FIND(" ",TRIM(C572)&amp;" ")-1),",","."))+1,9))*12/52,IF(ISNUMBER(SEARCH("month",C572)),IFERROR(_xlfn.NUMBERVALUE(SUBSTITUTE(LEFT(TRIM(C572),FIND(" ",TRIM(C572)&amp;" ")-1),",","."),"."),LEFT(SUBSTITUTE(LEFT(TRIM(C572),FIND(" ",TRIM(C572)&amp;" ")-1),",","."),FIND("/",SUBSTITUTE(LEFT(TRIM(C572),FIND(" ",TRIM(C572)&amp;" ")-1),",","."))-1)/MID(SUBSTITUTE(LEFT(TRIM(C572),FIND(" ",TRIM(C572)&amp;" ")-1),",","."),FIND("/",SUBSTITUTE(LEFT(TRIM(C572),FIND(" ",TRIM(C572)&amp;" ")-1),",","."))+1,9)),IF(ISNUMBER(SEARCH("yea",C572)),IFERROR(_xlfn.NUMBERVALUE(SUBSTITUTE(LEFT(TRIM(C572),FIND(" ",TRIM(C572)&amp;" ")-1),",","."),"."),LEFT(SUBSTITUTE(LEFT(TRIM(C572),FIND(" ",TRIM(C572)&amp;" ")-1),",","."),FIND("/",SUBSTITUTE(LEFT(TRIM(C572),FIND(" ",TRIM(C572)&amp;" ")-1),",","."))-1)/MID(SUBSTITUTE(LEFT(TRIM(C572),FIND(" ",TRIM(C572)&amp;" ")-1),",","."),FIND("/",SUBSTITUTE(LEFT(TRIM(C572),FIND(" ",TRIM(C572)&amp;" ")-1),",","."))+1,9))*12,NA()))),0),24)*'Aturan &amp; Tarif'!$B$4,2)</f>
        <v>1362.72</v>
      </c>
      <c r="K572" s="32" t="n">
        <f aca="false">'Aturan &amp; Tarif'!$B$5</f>
        <v>2050</v>
      </c>
      <c r="L572" s="35" t="n">
        <f aca="false">I572+J572+K572</f>
        <v>21412.72</v>
      </c>
      <c r="M572" s="36" t="s">
        <v>1056</v>
      </c>
    </row>
    <row r="573" customFormat="false" ht="60" hidden="false" customHeight="true" outlineLevel="0" collapsed="false">
      <c r="A573" s="29"/>
      <c r="B573" s="30" t="s">
        <v>1077</v>
      </c>
      <c r="C573" s="31" t="s">
        <v>107</v>
      </c>
      <c r="D573" s="31" t="s">
        <v>108</v>
      </c>
      <c r="E573" s="32" t="n">
        <v>7950</v>
      </c>
      <c r="F573" s="32"/>
      <c r="G573" s="32"/>
      <c r="H573" s="33" t="n">
        <v>2</v>
      </c>
      <c r="I573" s="34" t="n">
        <f aca="false">E573*H573+N(F573)+N(G573)</f>
        <v>15900</v>
      </c>
      <c r="J573" s="32" t="n">
        <f aca="false">ROUND(IFERROR(ROUND(IF(OR(ISNUMBER(SEARCH("week",C573)),ISNUMBER(SEARCH("minggu",C573))),IFERROR(_xlfn.NUMBERVALUE(SUBSTITUTE(LEFT(TRIM(C573),FIND(" ",TRIM(C573)&amp;" ")-1),",","."),"."),LEFT(SUBSTITUTE(LEFT(TRIM(C573),FIND(" ",TRIM(C573)&amp;" ")-1),",","."),FIND("/",SUBSTITUTE(LEFT(TRIM(C573),FIND(" ",TRIM(C573)&amp;" ")-1),",","."))-1)/MID(SUBSTITUTE(LEFT(TRIM(C573),FIND(" ",TRIM(C573)&amp;" ")-1),",","."),FIND("/",SUBSTITUTE(LEFT(TRIM(C573),FIND(" ",TRIM(C573)&amp;" ")-1),",","."))+1,9))*12/52,IF(ISNUMBER(SEARCH("month",C573)),IFERROR(_xlfn.NUMBERVALUE(SUBSTITUTE(LEFT(TRIM(C573),FIND(" ",TRIM(C573)&amp;" ")-1),",","."),"."),LEFT(SUBSTITUTE(LEFT(TRIM(C573),FIND(" ",TRIM(C573)&amp;" ")-1),",","."),FIND("/",SUBSTITUTE(LEFT(TRIM(C573),FIND(" ",TRIM(C573)&amp;" ")-1),",","."))-1)/MID(SUBSTITUTE(LEFT(TRIM(C573),FIND(" ",TRIM(C573)&amp;" ")-1),",","."),FIND("/",SUBSTITUTE(LEFT(TRIM(C573),FIND(" ",TRIM(C573)&amp;" ")-1),",","."))+1,9)),IF(ISNUMBER(SEARCH("yea",C573)),IFERROR(_xlfn.NUMBERVALUE(SUBSTITUTE(LEFT(TRIM(C573),FIND(" ",TRIM(C573)&amp;" ")-1),",","."),"."),LEFT(SUBSTITUTE(LEFT(TRIM(C573),FIND(" ",TRIM(C573)&amp;" ")-1),",","."),FIND("/",SUBSTITUTE(LEFT(TRIM(C573),FIND(" ",TRIM(C573)&amp;" ")-1),",","."))-1)/MID(SUBSTITUTE(LEFT(TRIM(C573),FIND(" ",TRIM(C573)&amp;" ")-1),",","."),FIND("/",SUBSTITUTE(LEFT(TRIM(C573),FIND(" ",TRIM(C573)&amp;" ")-1),",","."))+1,9))*12,NA()))),0),24)*'Aturan &amp; Tarif'!$B$4,2)</f>
        <v>1362.72</v>
      </c>
      <c r="K573" s="32" t="n">
        <f aca="false">'Aturan &amp; Tarif'!$B$5</f>
        <v>2050</v>
      </c>
      <c r="L573" s="35" t="n">
        <f aca="false">I573+J573+K573</f>
        <v>19312.72</v>
      </c>
      <c r="M573" s="36" t="s">
        <v>1036</v>
      </c>
    </row>
    <row r="574" customFormat="false" ht="25.5" hidden="false" customHeight="true" outlineLevel="0" collapsed="false">
      <c r="A574" s="29"/>
      <c r="B574" s="30" t="s">
        <v>1078</v>
      </c>
      <c r="C574" s="31" t="s">
        <v>107</v>
      </c>
      <c r="D574" s="31" t="s">
        <v>108</v>
      </c>
      <c r="E574" s="32" t="n">
        <v>20635</v>
      </c>
      <c r="F574" s="32"/>
      <c r="G574" s="32"/>
      <c r="H574" s="33" t="n">
        <v>2</v>
      </c>
      <c r="I574" s="34" t="n">
        <f aca="false">E574*H574+N(F574)+N(G574)</f>
        <v>41270</v>
      </c>
      <c r="J574" s="32" t="n">
        <f aca="false">ROUND(IFERROR(ROUND(IF(OR(ISNUMBER(SEARCH("week",C574)),ISNUMBER(SEARCH("minggu",C574))),IFERROR(_xlfn.NUMBERVALUE(SUBSTITUTE(LEFT(TRIM(C574),FIND(" ",TRIM(C574)&amp;" ")-1),",","."),"."),LEFT(SUBSTITUTE(LEFT(TRIM(C574),FIND(" ",TRIM(C574)&amp;" ")-1),",","."),FIND("/",SUBSTITUTE(LEFT(TRIM(C574),FIND(" ",TRIM(C574)&amp;" ")-1),",","."))-1)/MID(SUBSTITUTE(LEFT(TRIM(C574),FIND(" ",TRIM(C574)&amp;" ")-1),",","."),FIND("/",SUBSTITUTE(LEFT(TRIM(C574),FIND(" ",TRIM(C574)&amp;" ")-1),",","."))+1,9))*12/52,IF(ISNUMBER(SEARCH("month",C574)),IFERROR(_xlfn.NUMBERVALUE(SUBSTITUTE(LEFT(TRIM(C574),FIND(" ",TRIM(C574)&amp;" ")-1),",","."),"."),LEFT(SUBSTITUTE(LEFT(TRIM(C574),FIND(" ",TRIM(C574)&amp;" ")-1),",","."),FIND("/",SUBSTITUTE(LEFT(TRIM(C574),FIND(" ",TRIM(C574)&amp;" ")-1),",","."))-1)/MID(SUBSTITUTE(LEFT(TRIM(C574),FIND(" ",TRIM(C574)&amp;" ")-1),",","."),FIND("/",SUBSTITUTE(LEFT(TRIM(C574),FIND(" ",TRIM(C574)&amp;" ")-1),",","."))+1,9)),IF(ISNUMBER(SEARCH("yea",C574)),IFERROR(_xlfn.NUMBERVALUE(SUBSTITUTE(LEFT(TRIM(C574),FIND(" ",TRIM(C574)&amp;" ")-1),",","."),"."),LEFT(SUBSTITUTE(LEFT(TRIM(C574),FIND(" ",TRIM(C574)&amp;" ")-1),",","."),FIND("/",SUBSTITUTE(LEFT(TRIM(C574),FIND(" ",TRIM(C574)&amp;" ")-1),",","."))-1)/MID(SUBSTITUTE(LEFT(TRIM(C574),FIND(" ",TRIM(C574)&amp;" ")-1),",","."),FIND("/",SUBSTITUTE(LEFT(TRIM(C574),FIND(" ",TRIM(C574)&amp;" ")-1),",","."))+1,9))*12,NA()))),0),24)*'Aturan &amp; Tarif'!$B$4,2)</f>
        <v>1362.72</v>
      </c>
      <c r="K574" s="32" t="n">
        <f aca="false">'Aturan &amp; Tarif'!$B$5</f>
        <v>2050</v>
      </c>
      <c r="L574" s="35" t="n">
        <f aca="false">I574+J574+K574</f>
        <v>44682.72</v>
      </c>
      <c r="M574" s="37" t="s">
        <v>1079</v>
      </c>
    </row>
    <row r="575" customFormat="false" ht="60" hidden="false" customHeight="true" outlineLevel="0" collapsed="false">
      <c r="A575" s="29"/>
      <c r="B575" s="30" t="s">
        <v>1035</v>
      </c>
      <c r="C575" s="31" t="s">
        <v>130</v>
      </c>
      <c r="D575" s="31" t="s">
        <v>108</v>
      </c>
      <c r="E575" s="32" t="n">
        <v>7900</v>
      </c>
      <c r="F575" s="32"/>
      <c r="G575" s="32"/>
      <c r="H575" s="33" t="n">
        <v>2</v>
      </c>
      <c r="I575" s="34" t="n">
        <f aca="false">E575*H575+N(F575)+N(G575)</f>
        <v>15800</v>
      </c>
      <c r="J575" s="32" t="n">
        <f aca="false">ROUND(IFERROR(ROUND(IF(OR(ISNUMBER(SEARCH("week",C575)),ISNUMBER(SEARCH("minggu",C575))),IFERROR(_xlfn.NUMBERVALUE(SUBSTITUTE(LEFT(TRIM(C575),FIND(" ",TRIM(C575)&amp;" ")-1),",","."),"."),LEFT(SUBSTITUTE(LEFT(TRIM(C575),FIND(" ",TRIM(C575)&amp;" ")-1),",","."),FIND("/",SUBSTITUTE(LEFT(TRIM(C575),FIND(" ",TRIM(C575)&amp;" ")-1),",","."))-1)/MID(SUBSTITUTE(LEFT(TRIM(C575),FIND(" ",TRIM(C575)&amp;" ")-1),",","."),FIND("/",SUBSTITUTE(LEFT(TRIM(C575),FIND(" ",TRIM(C575)&amp;" ")-1),",","."))+1,9))*12/52,IF(ISNUMBER(SEARCH("month",C575)),IFERROR(_xlfn.NUMBERVALUE(SUBSTITUTE(LEFT(TRIM(C575),FIND(" ",TRIM(C575)&amp;" ")-1),",","."),"."),LEFT(SUBSTITUTE(LEFT(TRIM(C575),FIND(" ",TRIM(C575)&amp;" ")-1),",","."),FIND("/",SUBSTITUTE(LEFT(TRIM(C575),FIND(" ",TRIM(C575)&amp;" ")-1),",","."))-1)/MID(SUBSTITUTE(LEFT(TRIM(C575),FIND(" ",TRIM(C575)&amp;" ")-1),",","."),FIND("/",SUBSTITUTE(LEFT(TRIM(C575),FIND(" ",TRIM(C575)&amp;" ")-1),",","."))+1,9)),IF(ISNUMBER(SEARCH("yea",C575)),IFERROR(_xlfn.NUMBERVALUE(SUBSTITUTE(LEFT(TRIM(C575),FIND(" ",TRIM(C575)&amp;" ")-1),",","."),"."),LEFT(SUBSTITUTE(LEFT(TRIM(C575),FIND(" ",TRIM(C575)&amp;" ")-1),",","."),FIND("/",SUBSTITUTE(LEFT(TRIM(C575),FIND(" ",TRIM(C575)&amp;" ")-1),",","."))-1)/MID(SUBSTITUTE(LEFT(TRIM(C575),FIND(" ",TRIM(C575)&amp;" ")-1),",","."),FIND("/",SUBSTITUTE(LEFT(TRIM(C575),FIND(" ",TRIM(C575)&amp;" ")-1),",","."))+1,9))*12,NA()))),0),12)*'Aturan &amp; Tarif'!$B$4,2)</f>
        <v>681.36</v>
      </c>
      <c r="K575" s="32" t="n">
        <f aca="false">'Aturan &amp; Tarif'!$B$5</f>
        <v>2050</v>
      </c>
      <c r="L575" s="35" t="n">
        <f aca="false">I575+J575+K575</f>
        <v>18531.36</v>
      </c>
      <c r="M575" s="36" t="s">
        <v>1036</v>
      </c>
    </row>
    <row r="576" customFormat="false" ht="60" hidden="false" customHeight="true" outlineLevel="0" collapsed="false">
      <c r="A576" s="29"/>
      <c r="B576" s="30" t="s">
        <v>1037</v>
      </c>
      <c r="C576" s="31" t="s">
        <v>127</v>
      </c>
      <c r="D576" s="31" t="s">
        <v>108</v>
      </c>
      <c r="E576" s="32" t="n">
        <v>7900</v>
      </c>
      <c r="F576" s="32"/>
      <c r="G576" s="32"/>
      <c r="H576" s="33" t="n">
        <v>2</v>
      </c>
      <c r="I576" s="34" t="n">
        <f aca="false">E576*H576+N(F576)+N(G576)</f>
        <v>15800</v>
      </c>
      <c r="J576" s="32" t="n">
        <f aca="false">ROUND(IFERROR(ROUND(IF(OR(ISNUMBER(SEARCH("week",C576)),ISNUMBER(SEARCH("minggu",C576))),IFERROR(_xlfn.NUMBERVALUE(SUBSTITUTE(LEFT(TRIM(C576),FIND(" ",TRIM(C576)&amp;" ")-1),",","."),"."),LEFT(SUBSTITUTE(LEFT(TRIM(C576),FIND(" ",TRIM(C576)&amp;" ")-1),",","."),FIND("/",SUBSTITUTE(LEFT(TRIM(C576),FIND(" ",TRIM(C576)&amp;" ")-1),",","."))-1)/MID(SUBSTITUTE(LEFT(TRIM(C576),FIND(" ",TRIM(C576)&amp;" ")-1),",","."),FIND("/",SUBSTITUTE(LEFT(TRIM(C576),FIND(" ",TRIM(C576)&amp;" ")-1),",","."))+1,9))*12/52,IF(ISNUMBER(SEARCH("month",C576)),IFERROR(_xlfn.NUMBERVALUE(SUBSTITUTE(LEFT(TRIM(C576),FIND(" ",TRIM(C576)&amp;" ")-1),",","."),"."),LEFT(SUBSTITUTE(LEFT(TRIM(C576),FIND(" ",TRIM(C576)&amp;" ")-1),",","."),FIND("/",SUBSTITUTE(LEFT(TRIM(C576),FIND(" ",TRIM(C576)&amp;" ")-1),",","."))-1)/MID(SUBSTITUTE(LEFT(TRIM(C576),FIND(" ",TRIM(C576)&amp;" ")-1),",","."),FIND("/",SUBSTITUTE(LEFT(TRIM(C576),FIND(" ",TRIM(C576)&amp;" ")-1),",","."))+1,9)),IF(ISNUMBER(SEARCH("yea",C576)),IFERROR(_xlfn.NUMBERVALUE(SUBSTITUTE(LEFT(TRIM(C576),FIND(" ",TRIM(C576)&amp;" ")-1),",","."),"."),LEFT(SUBSTITUTE(LEFT(TRIM(C576),FIND(" ",TRIM(C576)&amp;" ")-1),",","."),FIND("/",SUBSTITUTE(LEFT(TRIM(C576),FIND(" ",TRIM(C576)&amp;" ")-1),",","."))-1)/MID(SUBSTITUTE(LEFT(TRIM(C576),FIND(" ",TRIM(C576)&amp;" ")-1),",","."),FIND("/",SUBSTITUTE(LEFT(TRIM(C576),FIND(" ",TRIM(C576)&amp;" ")-1),",","."))+1,9))*12,NA()))),0),36)*'Aturan &amp; Tarif'!$B$4,2)</f>
        <v>2044.08</v>
      </c>
      <c r="K576" s="32" t="n">
        <f aca="false">'Aturan &amp; Tarif'!$B$5</f>
        <v>2050</v>
      </c>
      <c r="L576" s="35" t="n">
        <f aca="false">I576+J576+K576</f>
        <v>19894.08</v>
      </c>
      <c r="M576" s="36" t="s">
        <v>1036</v>
      </c>
    </row>
    <row r="577" customFormat="false" ht="60" hidden="false" customHeight="true" outlineLevel="0" collapsed="false">
      <c r="A577" s="29"/>
      <c r="B577" s="30" t="s">
        <v>1779</v>
      </c>
      <c r="C577" s="31" t="s">
        <v>130</v>
      </c>
      <c r="D577" s="31" t="s">
        <v>108</v>
      </c>
      <c r="E577" s="32" t="n">
        <v>9375</v>
      </c>
      <c r="F577" s="32"/>
      <c r="G577" s="32"/>
      <c r="H577" s="33" t="n">
        <v>2</v>
      </c>
      <c r="I577" s="34" t="n">
        <f aca="false">E577*H577+N(F577)+N(G577)</f>
        <v>18750</v>
      </c>
      <c r="J577" s="32" t="n">
        <f aca="false">ROUND(IFERROR(ROUND(IF(OR(ISNUMBER(SEARCH("week",C577)),ISNUMBER(SEARCH("minggu",C577))),IFERROR(_xlfn.NUMBERVALUE(SUBSTITUTE(LEFT(TRIM(C577),FIND(" ",TRIM(C577)&amp;" ")-1),",","."),"."),LEFT(SUBSTITUTE(LEFT(TRIM(C577),FIND(" ",TRIM(C577)&amp;" ")-1),",","."),FIND("/",SUBSTITUTE(LEFT(TRIM(C577),FIND(" ",TRIM(C577)&amp;" ")-1),",","."))-1)/MID(SUBSTITUTE(LEFT(TRIM(C577),FIND(" ",TRIM(C577)&amp;" ")-1),",","."),FIND("/",SUBSTITUTE(LEFT(TRIM(C577),FIND(" ",TRIM(C577)&amp;" ")-1),",","."))+1,9))*12/52,IF(ISNUMBER(SEARCH("month",C577)),IFERROR(_xlfn.NUMBERVALUE(SUBSTITUTE(LEFT(TRIM(C577),FIND(" ",TRIM(C577)&amp;" ")-1),",","."),"."),LEFT(SUBSTITUTE(LEFT(TRIM(C577),FIND(" ",TRIM(C577)&amp;" ")-1),",","."),FIND("/",SUBSTITUTE(LEFT(TRIM(C577),FIND(" ",TRIM(C577)&amp;" ")-1),",","."))-1)/MID(SUBSTITUTE(LEFT(TRIM(C577),FIND(" ",TRIM(C577)&amp;" ")-1),",","."),FIND("/",SUBSTITUTE(LEFT(TRIM(C577),FIND(" ",TRIM(C577)&amp;" ")-1),",","."))+1,9)),IF(ISNUMBER(SEARCH("yea",C577)),IFERROR(_xlfn.NUMBERVALUE(SUBSTITUTE(LEFT(TRIM(C577),FIND(" ",TRIM(C577)&amp;" ")-1),",","."),"."),LEFT(SUBSTITUTE(LEFT(TRIM(C577),FIND(" ",TRIM(C577)&amp;" ")-1),",","."),FIND("/",SUBSTITUTE(LEFT(TRIM(C577),FIND(" ",TRIM(C577)&amp;" ")-1),",","."))-1)/MID(SUBSTITUTE(LEFT(TRIM(C577),FIND(" ",TRIM(C577)&amp;" ")-1),",","."),FIND("/",SUBSTITUTE(LEFT(TRIM(C577),FIND(" ",TRIM(C577)&amp;" ")-1),",","."))+1,9))*12,NA()))),0),12)*'Aturan &amp; Tarif'!$B$4,2)</f>
        <v>681.36</v>
      </c>
      <c r="K577" s="32" t="n">
        <f aca="false">'Aturan &amp; Tarif'!$B$5</f>
        <v>2050</v>
      </c>
      <c r="L577" s="35" t="n">
        <f aca="false">I577+J577+K577</f>
        <v>21481.36</v>
      </c>
      <c r="M577" s="36" t="s">
        <v>1103</v>
      </c>
    </row>
    <row r="578" customFormat="false" ht="60" hidden="false" customHeight="true" outlineLevel="0" collapsed="false">
      <c r="A578" s="29"/>
      <c r="B578" s="30" t="s">
        <v>1276</v>
      </c>
      <c r="C578" s="31" t="s">
        <v>127</v>
      </c>
      <c r="D578" s="31" t="s">
        <v>108</v>
      </c>
      <c r="E578" s="32" t="n">
        <v>9375</v>
      </c>
      <c r="F578" s="32"/>
      <c r="G578" s="32"/>
      <c r="H578" s="33" t="n">
        <v>2</v>
      </c>
      <c r="I578" s="34" t="n">
        <f aca="false">E578*H578+N(F578)+N(G578)</f>
        <v>18750</v>
      </c>
      <c r="J578" s="32" t="n">
        <f aca="false">ROUND(IFERROR(ROUND(IF(OR(ISNUMBER(SEARCH("week",C578)),ISNUMBER(SEARCH("minggu",C578))),IFERROR(_xlfn.NUMBERVALUE(SUBSTITUTE(LEFT(TRIM(C578),FIND(" ",TRIM(C578)&amp;" ")-1),",","."),"."),LEFT(SUBSTITUTE(LEFT(TRIM(C578),FIND(" ",TRIM(C578)&amp;" ")-1),",","."),FIND("/",SUBSTITUTE(LEFT(TRIM(C578),FIND(" ",TRIM(C578)&amp;" ")-1),",","."))-1)/MID(SUBSTITUTE(LEFT(TRIM(C578),FIND(" ",TRIM(C578)&amp;" ")-1),",","."),FIND("/",SUBSTITUTE(LEFT(TRIM(C578),FIND(" ",TRIM(C578)&amp;" ")-1),",","."))+1,9))*12/52,IF(ISNUMBER(SEARCH("month",C578)),IFERROR(_xlfn.NUMBERVALUE(SUBSTITUTE(LEFT(TRIM(C578),FIND(" ",TRIM(C578)&amp;" ")-1),",","."),"."),LEFT(SUBSTITUTE(LEFT(TRIM(C578),FIND(" ",TRIM(C578)&amp;" ")-1),",","."),FIND("/",SUBSTITUTE(LEFT(TRIM(C578),FIND(" ",TRIM(C578)&amp;" ")-1),",","."))-1)/MID(SUBSTITUTE(LEFT(TRIM(C578),FIND(" ",TRIM(C578)&amp;" ")-1),",","."),FIND("/",SUBSTITUTE(LEFT(TRIM(C578),FIND(" ",TRIM(C578)&amp;" ")-1),",","."))+1,9)),IF(ISNUMBER(SEARCH("yea",C578)),IFERROR(_xlfn.NUMBERVALUE(SUBSTITUTE(LEFT(TRIM(C578),FIND(" ",TRIM(C578)&amp;" ")-1),",","."),"."),LEFT(SUBSTITUTE(LEFT(TRIM(C578),FIND(" ",TRIM(C578)&amp;" ")-1),",","."),FIND("/",SUBSTITUTE(LEFT(TRIM(C578),FIND(" ",TRIM(C578)&amp;" ")-1),",","."))-1)/MID(SUBSTITUTE(LEFT(TRIM(C578),FIND(" ",TRIM(C578)&amp;" ")-1),",","."),FIND("/",SUBSTITUTE(LEFT(TRIM(C578),FIND(" ",TRIM(C578)&amp;" ")-1),",","."))+1,9))*12,NA()))),0),36)*'Aturan &amp; Tarif'!$B$4,2)</f>
        <v>2044.08</v>
      </c>
      <c r="K578" s="32" t="n">
        <f aca="false">'Aturan &amp; Tarif'!$B$5</f>
        <v>2050</v>
      </c>
      <c r="L578" s="35" t="n">
        <f aca="false">I578+J578+K578</f>
        <v>22844.08</v>
      </c>
      <c r="M578" s="36" t="s">
        <v>1780</v>
      </c>
    </row>
    <row r="579" customFormat="false" ht="60" hidden="false" customHeight="true" outlineLevel="0" collapsed="false">
      <c r="A579" s="29"/>
      <c r="B579" s="30" t="s">
        <v>1104</v>
      </c>
      <c r="C579" s="31" t="s">
        <v>130</v>
      </c>
      <c r="D579" s="31" t="s">
        <v>108</v>
      </c>
      <c r="E579" s="32" t="n">
        <v>7900</v>
      </c>
      <c r="F579" s="32"/>
      <c r="G579" s="32"/>
      <c r="H579" s="33" t="n">
        <v>2</v>
      </c>
      <c r="I579" s="34" t="n">
        <f aca="false">E579*H579+N(F579)+N(G579)</f>
        <v>15800</v>
      </c>
      <c r="J579" s="32" t="n">
        <f aca="false">ROUND(IFERROR(ROUND(IF(OR(ISNUMBER(SEARCH("week",C579)),ISNUMBER(SEARCH("minggu",C579))),IFERROR(_xlfn.NUMBERVALUE(SUBSTITUTE(LEFT(TRIM(C579),FIND(" ",TRIM(C579)&amp;" ")-1),",","."),"."),LEFT(SUBSTITUTE(LEFT(TRIM(C579),FIND(" ",TRIM(C579)&amp;" ")-1),",","."),FIND("/",SUBSTITUTE(LEFT(TRIM(C579),FIND(" ",TRIM(C579)&amp;" ")-1),",","."))-1)/MID(SUBSTITUTE(LEFT(TRIM(C579),FIND(" ",TRIM(C579)&amp;" ")-1),",","."),FIND("/",SUBSTITUTE(LEFT(TRIM(C579),FIND(" ",TRIM(C579)&amp;" ")-1),",","."))+1,9))*12/52,IF(ISNUMBER(SEARCH("month",C579)),IFERROR(_xlfn.NUMBERVALUE(SUBSTITUTE(LEFT(TRIM(C579),FIND(" ",TRIM(C579)&amp;" ")-1),",","."),"."),LEFT(SUBSTITUTE(LEFT(TRIM(C579),FIND(" ",TRIM(C579)&amp;" ")-1),",","."),FIND("/",SUBSTITUTE(LEFT(TRIM(C579),FIND(" ",TRIM(C579)&amp;" ")-1),",","."))-1)/MID(SUBSTITUTE(LEFT(TRIM(C579),FIND(" ",TRIM(C579)&amp;" ")-1),",","."),FIND("/",SUBSTITUTE(LEFT(TRIM(C579),FIND(" ",TRIM(C579)&amp;" ")-1),",","."))+1,9)),IF(ISNUMBER(SEARCH("yea",C579)),IFERROR(_xlfn.NUMBERVALUE(SUBSTITUTE(LEFT(TRIM(C579),FIND(" ",TRIM(C579)&amp;" ")-1),",","."),"."),LEFT(SUBSTITUTE(LEFT(TRIM(C579),FIND(" ",TRIM(C579)&amp;" ")-1),",","."),FIND("/",SUBSTITUTE(LEFT(TRIM(C579),FIND(" ",TRIM(C579)&amp;" ")-1),",","."))-1)/MID(SUBSTITUTE(LEFT(TRIM(C579),FIND(" ",TRIM(C579)&amp;" ")-1),",","."),FIND("/",SUBSTITUTE(LEFT(TRIM(C579),FIND(" ",TRIM(C579)&amp;" ")-1),",","."))+1,9))*12,NA()))),0),12)*'Aturan &amp; Tarif'!$B$4,2)</f>
        <v>681.36</v>
      </c>
      <c r="K579" s="32" t="n">
        <f aca="false">'Aturan &amp; Tarif'!$B$5</f>
        <v>2050</v>
      </c>
      <c r="L579" s="35" t="n">
        <f aca="false">I579+J579+K579</f>
        <v>18531.36</v>
      </c>
      <c r="M579" s="36" t="s">
        <v>1105</v>
      </c>
    </row>
    <row r="580" customFormat="false" ht="60" hidden="false" customHeight="true" outlineLevel="0" collapsed="false">
      <c r="A580" s="29"/>
      <c r="B580" s="30" t="s">
        <v>335</v>
      </c>
      <c r="C580" s="31" t="s">
        <v>127</v>
      </c>
      <c r="D580" s="31" t="s">
        <v>108</v>
      </c>
      <c r="E580" s="32" t="n">
        <v>7900</v>
      </c>
      <c r="F580" s="32"/>
      <c r="G580" s="32"/>
      <c r="H580" s="33" t="n">
        <v>2</v>
      </c>
      <c r="I580" s="34" t="n">
        <f aca="false">E580*H580+N(F580)+N(G580)</f>
        <v>15800</v>
      </c>
      <c r="J580" s="32" t="n">
        <f aca="false">ROUND(IFERROR(ROUND(IF(OR(ISNUMBER(SEARCH("week",C580)),ISNUMBER(SEARCH("minggu",C580))),IFERROR(_xlfn.NUMBERVALUE(SUBSTITUTE(LEFT(TRIM(C580),FIND(" ",TRIM(C580)&amp;" ")-1),",","."),"."),LEFT(SUBSTITUTE(LEFT(TRIM(C580),FIND(" ",TRIM(C580)&amp;" ")-1),",","."),FIND("/",SUBSTITUTE(LEFT(TRIM(C580),FIND(" ",TRIM(C580)&amp;" ")-1),",","."))-1)/MID(SUBSTITUTE(LEFT(TRIM(C580),FIND(" ",TRIM(C580)&amp;" ")-1),",","."),FIND("/",SUBSTITUTE(LEFT(TRIM(C580),FIND(" ",TRIM(C580)&amp;" ")-1),",","."))+1,9))*12/52,IF(ISNUMBER(SEARCH("month",C580)),IFERROR(_xlfn.NUMBERVALUE(SUBSTITUTE(LEFT(TRIM(C580),FIND(" ",TRIM(C580)&amp;" ")-1),",","."),"."),LEFT(SUBSTITUTE(LEFT(TRIM(C580),FIND(" ",TRIM(C580)&amp;" ")-1),",","."),FIND("/",SUBSTITUTE(LEFT(TRIM(C580),FIND(" ",TRIM(C580)&amp;" ")-1),",","."))-1)/MID(SUBSTITUTE(LEFT(TRIM(C580),FIND(" ",TRIM(C580)&amp;" ")-1),",","."),FIND("/",SUBSTITUTE(LEFT(TRIM(C580),FIND(" ",TRIM(C580)&amp;" ")-1),",","."))+1,9)),IF(ISNUMBER(SEARCH("yea",C580)),IFERROR(_xlfn.NUMBERVALUE(SUBSTITUTE(LEFT(TRIM(C580),FIND(" ",TRIM(C580)&amp;" ")-1),",","."),"."),LEFT(SUBSTITUTE(LEFT(TRIM(C580),FIND(" ",TRIM(C580)&amp;" ")-1),",","."),FIND("/",SUBSTITUTE(LEFT(TRIM(C580),FIND(" ",TRIM(C580)&amp;" ")-1),",","."))-1)/MID(SUBSTITUTE(LEFT(TRIM(C580),FIND(" ",TRIM(C580)&amp;" ")-1),",","."),FIND("/",SUBSTITUTE(LEFT(TRIM(C580),FIND(" ",TRIM(C580)&amp;" ")-1),",","."))+1,9))*12,NA()))),0),36)*'Aturan &amp; Tarif'!$B$4,2)</f>
        <v>2044.08</v>
      </c>
      <c r="K580" s="32" t="n">
        <f aca="false">'Aturan &amp; Tarif'!$B$5</f>
        <v>2050</v>
      </c>
      <c r="L580" s="35" t="n">
        <f aca="false">I580+J580+K580</f>
        <v>19894.08</v>
      </c>
      <c r="M580" s="36" t="s">
        <v>1106</v>
      </c>
    </row>
    <row r="581" customFormat="false" ht="60" hidden="false" customHeight="true" outlineLevel="0" collapsed="false">
      <c r="A581" s="29"/>
      <c r="B581" s="30" t="s">
        <v>1069</v>
      </c>
      <c r="C581" s="31" t="s">
        <v>130</v>
      </c>
      <c r="D581" s="31" t="s">
        <v>108</v>
      </c>
      <c r="E581" s="32" t="n">
        <v>9000</v>
      </c>
      <c r="F581" s="32"/>
      <c r="G581" s="32"/>
      <c r="H581" s="33" t="n">
        <v>2</v>
      </c>
      <c r="I581" s="34" t="n">
        <f aca="false">E581*H581+N(F581)+N(G581)</f>
        <v>18000</v>
      </c>
      <c r="J581" s="32" t="n">
        <f aca="false">ROUND(IFERROR(ROUND(IF(OR(ISNUMBER(SEARCH("week",C581)),ISNUMBER(SEARCH("minggu",C581))),IFERROR(_xlfn.NUMBERVALUE(SUBSTITUTE(LEFT(TRIM(C581),FIND(" ",TRIM(C581)&amp;" ")-1),",","."),"."),LEFT(SUBSTITUTE(LEFT(TRIM(C581),FIND(" ",TRIM(C581)&amp;" ")-1),",","."),FIND("/",SUBSTITUTE(LEFT(TRIM(C581),FIND(" ",TRIM(C581)&amp;" ")-1),",","."))-1)/MID(SUBSTITUTE(LEFT(TRIM(C581),FIND(" ",TRIM(C581)&amp;" ")-1),",","."),FIND("/",SUBSTITUTE(LEFT(TRIM(C581),FIND(" ",TRIM(C581)&amp;" ")-1),",","."))+1,9))*12/52,IF(ISNUMBER(SEARCH("month",C581)),IFERROR(_xlfn.NUMBERVALUE(SUBSTITUTE(LEFT(TRIM(C581),FIND(" ",TRIM(C581)&amp;" ")-1),",","."),"."),LEFT(SUBSTITUTE(LEFT(TRIM(C581),FIND(" ",TRIM(C581)&amp;" ")-1),",","."),FIND("/",SUBSTITUTE(LEFT(TRIM(C581),FIND(" ",TRIM(C581)&amp;" ")-1),",","."))-1)/MID(SUBSTITUTE(LEFT(TRIM(C581),FIND(" ",TRIM(C581)&amp;" ")-1),",","."),FIND("/",SUBSTITUTE(LEFT(TRIM(C581),FIND(" ",TRIM(C581)&amp;" ")-1),",","."))+1,9)),IF(ISNUMBER(SEARCH("yea",C581)),IFERROR(_xlfn.NUMBERVALUE(SUBSTITUTE(LEFT(TRIM(C581),FIND(" ",TRIM(C581)&amp;" ")-1),",","."),"."),LEFT(SUBSTITUTE(LEFT(TRIM(C581),FIND(" ",TRIM(C581)&amp;" ")-1),",","."),FIND("/",SUBSTITUTE(LEFT(TRIM(C581),FIND(" ",TRIM(C581)&amp;" ")-1),",","."))-1)/MID(SUBSTITUTE(LEFT(TRIM(C581),FIND(" ",TRIM(C581)&amp;" ")-1),",","."),FIND("/",SUBSTITUTE(LEFT(TRIM(C581),FIND(" ",TRIM(C581)&amp;" ")-1),",","."))+1,9))*12,NA()))),0),12)*'Aturan &amp; Tarif'!$B$4,2)</f>
        <v>681.36</v>
      </c>
      <c r="K581" s="32" t="n">
        <f aca="false">'Aturan &amp; Tarif'!$B$5</f>
        <v>2050</v>
      </c>
      <c r="L581" s="35" t="n">
        <f aca="false">I581+J581+K581</f>
        <v>20731.36</v>
      </c>
      <c r="M581" s="36" t="s">
        <v>1036</v>
      </c>
    </row>
    <row r="582" customFormat="false" ht="60" hidden="false" customHeight="true" outlineLevel="0" collapsed="false">
      <c r="A582" s="29"/>
      <c r="B582" s="30" t="s">
        <v>1070</v>
      </c>
      <c r="C582" s="31" t="s">
        <v>107</v>
      </c>
      <c r="D582" s="31" t="s">
        <v>108</v>
      </c>
      <c r="E582" s="32" t="n">
        <v>9000</v>
      </c>
      <c r="F582" s="32"/>
      <c r="G582" s="32"/>
      <c r="H582" s="33" t="n">
        <v>2</v>
      </c>
      <c r="I582" s="34" t="n">
        <f aca="false">E582*H582+N(F582)+N(G582)</f>
        <v>18000</v>
      </c>
      <c r="J582" s="32" t="n">
        <f aca="false">ROUND(IFERROR(ROUND(IF(OR(ISNUMBER(SEARCH("week",C582)),ISNUMBER(SEARCH("minggu",C582))),IFERROR(_xlfn.NUMBERVALUE(SUBSTITUTE(LEFT(TRIM(C582),FIND(" ",TRIM(C582)&amp;" ")-1),",","."),"."),LEFT(SUBSTITUTE(LEFT(TRIM(C582),FIND(" ",TRIM(C582)&amp;" ")-1),",","."),FIND("/",SUBSTITUTE(LEFT(TRIM(C582),FIND(" ",TRIM(C582)&amp;" ")-1),",","."))-1)/MID(SUBSTITUTE(LEFT(TRIM(C582),FIND(" ",TRIM(C582)&amp;" ")-1),",","."),FIND("/",SUBSTITUTE(LEFT(TRIM(C582),FIND(" ",TRIM(C582)&amp;" ")-1),",","."))+1,9))*12/52,IF(ISNUMBER(SEARCH("month",C582)),IFERROR(_xlfn.NUMBERVALUE(SUBSTITUTE(LEFT(TRIM(C582),FIND(" ",TRIM(C582)&amp;" ")-1),",","."),"."),LEFT(SUBSTITUTE(LEFT(TRIM(C582),FIND(" ",TRIM(C582)&amp;" ")-1),",","."),FIND("/",SUBSTITUTE(LEFT(TRIM(C582),FIND(" ",TRIM(C582)&amp;" ")-1),",","."))-1)/MID(SUBSTITUTE(LEFT(TRIM(C582),FIND(" ",TRIM(C582)&amp;" ")-1),",","."),FIND("/",SUBSTITUTE(LEFT(TRIM(C582),FIND(" ",TRIM(C582)&amp;" ")-1),",","."))+1,9)),IF(ISNUMBER(SEARCH("yea",C582)),IFERROR(_xlfn.NUMBERVALUE(SUBSTITUTE(LEFT(TRIM(C582),FIND(" ",TRIM(C582)&amp;" ")-1),",","."),"."),LEFT(SUBSTITUTE(LEFT(TRIM(C582),FIND(" ",TRIM(C582)&amp;" ")-1),",","."),FIND("/",SUBSTITUTE(LEFT(TRIM(C582),FIND(" ",TRIM(C582)&amp;" ")-1),",","."))-1)/MID(SUBSTITUTE(LEFT(TRIM(C582),FIND(" ",TRIM(C582)&amp;" ")-1),",","."),FIND("/",SUBSTITUTE(LEFT(TRIM(C582),FIND(" ",TRIM(C582)&amp;" ")-1),",","."))+1,9))*12,NA()))),0),24)*'Aturan &amp; Tarif'!$B$4,2)</f>
        <v>1362.72</v>
      </c>
      <c r="K582" s="32" t="n">
        <f aca="false">'Aturan &amp; Tarif'!$B$5</f>
        <v>2050</v>
      </c>
      <c r="L582" s="35" t="n">
        <f aca="false">I582+J582+K582</f>
        <v>21412.72</v>
      </c>
      <c r="M582" s="36" t="s">
        <v>1036</v>
      </c>
    </row>
    <row r="583" customFormat="false" ht="60" hidden="false" customHeight="true" outlineLevel="0" collapsed="false">
      <c r="A583" s="29"/>
      <c r="B583" s="30" t="s">
        <v>1107</v>
      </c>
      <c r="C583" s="31" t="s">
        <v>130</v>
      </c>
      <c r="D583" s="31" t="s">
        <v>108</v>
      </c>
      <c r="E583" s="32" t="n">
        <v>4975</v>
      </c>
      <c r="F583" s="32"/>
      <c r="G583" s="32"/>
      <c r="H583" s="33" t="n">
        <v>2</v>
      </c>
      <c r="I583" s="34" t="n">
        <f aca="false">E583*H583+N(F583)+N(G583)</f>
        <v>9950</v>
      </c>
      <c r="J583" s="32" t="n">
        <f aca="false">ROUND(IFERROR(ROUND(IF(OR(ISNUMBER(SEARCH("week",C583)),ISNUMBER(SEARCH("minggu",C583))),IFERROR(_xlfn.NUMBERVALUE(SUBSTITUTE(LEFT(TRIM(C583),FIND(" ",TRIM(C583)&amp;" ")-1),",","."),"."),LEFT(SUBSTITUTE(LEFT(TRIM(C583),FIND(" ",TRIM(C583)&amp;" ")-1),",","."),FIND("/",SUBSTITUTE(LEFT(TRIM(C583),FIND(" ",TRIM(C583)&amp;" ")-1),",","."))-1)/MID(SUBSTITUTE(LEFT(TRIM(C583),FIND(" ",TRIM(C583)&amp;" ")-1),",","."),FIND("/",SUBSTITUTE(LEFT(TRIM(C583),FIND(" ",TRIM(C583)&amp;" ")-1),",","."))+1,9))*12/52,IF(ISNUMBER(SEARCH("month",C583)),IFERROR(_xlfn.NUMBERVALUE(SUBSTITUTE(LEFT(TRIM(C583),FIND(" ",TRIM(C583)&amp;" ")-1),",","."),"."),LEFT(SUBSTITUTE(LEFT(TRIM(C583),FIND(" ",TRIM(C583)&amp;" ")-1),",","."),FIND("/",SUBSTITUTE(LEFT(TRIM(C583),FIND(" ",TRIM(C583)&amp;" ")-1),",","."))-1)/MID(SUBSTITUTE(LEFT(TRIM(C583),FIND(" ",TRIM(C583)&amp;" ")-1),",","."),FIND("/",SUBSTITUTE(LEFT(TRIM(C583),FIND(" ",TRIM(C583)&amp;" ")-1),",","."))+1,9)),IF(ISNUMBER(SEARCH("yea",C583)),IFERROR(_xlfn.NUMBERVALUE(SUBSTITUTE(LEFT(TRIM(C583),FIND(" ",TRIM(C583)&amp;" ")-1),",","."),"."),LEFT(SUBSTITUTE(LEFT(TRIM(C583),FIND(" ",TRIM(C583)&amp;" ")-1),",","."),FIND("/",SUBSTITUTE(LEFT(TRIM(C583),FIND(" ",TRIM(C583)&amp;" ")-1),",","."))-1)/MID(SUBSTITUTE(LEFT(TRIM(C583),FIND(" ",TRIM(C583)&amp;" ")-1),",","."),FIND("/",SUBSTITUTE(LEFT(TRIM(C583),FIND(" ",TRIM(C583)&amp;" ")-1),",","."))+1,9))*12,NA()))),0),12)*'Aturan &amp; Tarif'!$B$4,2)</f>
        <v>681.36</v>
      </c>
      <c r="K583" s="32" t="n">
        <f aca="false">'Aturan &amp; Tarif'!$B$5</f>
        <v>2050</v>
      </c>
      <c r="L583" s="35" t="n">
        <f aca="false">I583+J583+K583</f>
        <v>12681.36</v>
      </c>
      <c r="M583" s="36" t="s">
        <v>1108</v>
      </c>
    </row>
    <row r="584" customFormat="false" ht="60" hidden="false" customHeight="true" outlineLevel="0" collapsed="false">
      <c r="A584" s="29"/>
      <c r="B584" s="30" t="s">
        <v>1109</v>
      </c>
      <c r="C584" s="31" t="s">
        <v>130</v>
      </c>
      <c r="D584" s="31" t="s">
        <v>108</v>
      </c>
      <c r="E584" s="32" t="n">
        <v>9950</v>
      </c>
      <c r="F584" s="32"/>
      <c r="G584" s="32"/>
      <c r="H584" s="33" t="n">
        <v>2</v>
      </c>
      <c r="I584" s="34" t="n">
        <f aca="false">E584*H584+N(F584)+N(G584)</f>
        <v>19900</v>
      </c>
      <c r="J584" s="32" t="n">
        <f aca="false">ROUND(IFERROR(ROUND(IF(OR(ISNUMBER(SEARCH("week",C584)),ISNUMBER(SEARCH("minggu",C584))),IFERROR(_xlfn.NUMBERVALUE(SUBSTITUTE(LEFT(TRIM(C584),FIND(" ",TRIM(C584)&amp;" ")-1),",","."),"."),LEFT(SUBSTITUTE(LEFT(TRIM(C584),FIND(" ",TRIM(C584)&amp;" ")-1),",","."),FIND("/",SUBSTITUTE(LEFT(TRIM(C584),FIND(" ",TRIM(C584)&amp;" ")-1),",","."))-1)/MID(SUBSTITUTE(LEFT(TRIM(C584),FIND(" ",TRIM(C584)&amp;" ")-1),",","."),FIND("/",SUBSTITUTE(LEFT(TRIM(C584),FIND(" ",TRIM(C584)&amp;" ")-1),",","."))+1,9))*12/52,IF(ISNUMBER(SEARCH("month",C584)),IFERROR(_xlfn.NUMBERVALUE(SUBSTITUTE(LEFT(TRIM(C584),FIND(" ",TRIM(C584)&amp;" ")-1),",","."),"."),LEFT(SUBSTITUTE(LEFT(TRIM(C584),FIND(" ",TRIM(C584)&amp;" ")-1),",","."),FIND("/",SUBSTITUTE(LEFT(TRIM(C584),FIND(" ",TRIM(C584)&amp;" ")-1),",","."))-1)/MID(SUBSTITUTE(LEFT(TRIM(C584),FIND(" ",TRIM(C584)&amp;" ")-1),",","."),FIND("/",SUBSTITUTE(LEFT(TRIM(C584),FIND(" ",TRIM(C584)&amp;" ")-1),",","."))+1,9)),IF(ISNUMBER(SEARCH("yea",C584)),IFERROR(_xlfn.NUMBERVALUE(SUBSTITUTE(LEFT(TRIM(C584),FIND(" ",TRIM(C584)&amp;" ")-1),",","."),"."),LEFT(SUBSTITUTE(LEFT(TRIM(C584),FIND(" ",TRIM(C584)&amp;" ")-1),",","."),FIND("/",SUBSTITUTE(LEFT(TRIM(C584),FIND(" ",TRIM(C584)&amp;" ")-1),",","."))-1)/MID(SUBSTITUTE(LEFT(TRIM(C584),FIND(" ",TRIM(C584)&amp;" ")-1),",","."),FIND("/",SUBSTITUTE(LEFT(TRIM(C584),FIND(" ",TRIM(C584)&amp;" ")-1),",","."))+1,9))*12,NA()))),0),12)*'Aturan &amp; Tarif'!$B$4,2)</f>
        <v>681.36</v>
      </c>
      <c r="K584" s="32" t="n">
        <f aca="false">'Aturan &amp; Tarif'!$B$5</f>
        <v>2050</v>
      </c>
      <c r="L584" s="35" t="n">
        <f aca="false">I584+J584+K584</f>
        <v>22631.36</v>
      </c>
      <c r="M584" s="36" t="s">
        <v>1110</v>
      </c>
    </row>
    <row r="585" customFormat="false" ht="60" hidden="false" customHeight="true" outlineLevel="0" collapsed="false">
      <c r="A585" s="29"/>
      <c r="B585" s="30" t="s">
        <v>1111</v>
      </c>
      <c r="C585" s="31" t="s">
        <v>107</v>
      </c>
      <c r="D585" s="31" t="s">
        <v>108</v>
      </c>
      <c r="E585" s="32" t="n">
        <v>9950</v>
      </c>
      <c r="F585" s="32"/>
      <c r="G585" s="32"/>
      <c r="H585" s="33" t="n">
        <v>2</v>
      </c>
      <c r="I585" s="34" t="n">
        <f aca="false">E585*H585+N(F585)+N(G585)</f>
        <v>19900</v>
      </c>
      <c r="J585" s="32" t="n">
        <f aca="false">ROUND(IFERROR(ROUND(IF(OR(ISNUMBER(SEARCH("week",C585)),ISNUMBER(SEARCH("minggu",C585))),IFERROR(_xlfn.NUMBERVALUE(SUBSTITUTE(LEFT(TRIM(C585),FIND(" ",TRIM(C585)&amp;" ")-1),",","."),"."),LEFT(SUBSTITUTE(LEFT(TRIM(C585),FIND(" ",TRIM(C585)&amp;" ")-1),",","."),FIND("/",SUBSTITUTE(LEFT(TRIM(C585),FIND(" ",TRIM(C585)&amp;" ")-1),",","."))-1)/MID(SUBSTITUTE(LEFT(TRIM(C585),FIND(" ",TRIM(C585)&amp;" ")-1),",","."),FIND("/",SUBSTITUTE(LEFT(TRIM(C585),FIND(" ",TRIM(C585)&amp;" ")-1),",","."))+1,9))*12/52,IF(ISNUMBER(SEARCH("month",C585)),IFERROR(_xlfn.NUMBERVALUE(SUBSTITUTE(LEFT(TRIM(C585),FIND(" ",TRIM(C585)&amp;" ")-1),",","."),"."),LEFT(SUBSTITUTE(LEFT(TRIM(C585),FIND(" ",TRIM(C585)&amp;" ")-1),",","."),FIND("/",SUBSTITUTE(LEFT(TRIM(C585),FIND(" ",TRIM(C585)&amp;" ")-1),",","."))-1)/MID(SUBSTITUTE(LEFT(TRIM(C585),FIND(" ",TRIM(C585)&amp;" ")-1),",","."),FIND("/",SUBSTITUTE(LEFT(TRIM(C585),FIND(" ",TRIM(C585)&amp;" ")-1),",","."))+1,9)),IF(ISNUMBER(SEARCH("yea",C585)),IFERROR(_xlfn.NUMBERVALUE(SUBSTITUTE(LEFT(TRIM(C585),FIND(" ",TRIM(C585)&amp;" ")-1),",","."),"."),LEFT(SUBSTITUTE(LEFT(TRIM(C585),FIND(" ",TRIM(C585)&amp;" ")-1),",","."),FIND("/",SUBSTITUTE(LEFT(TRIM(C585),FIND(" ",TRIM(C585)&amp;" ")-1),",","."))-1)/MID(SUBSTITUTE(LEFT(TRIM(C585),FIND(" ",TRIM(C585)&amp;" ")-1),",","."),FIND("/",SUBSTITUTE(LEFT(TRIM(C585),FIND(" ",TRIM(C585)&amp;" ")-1),",","."))+1,9))*12,NA()))),0),24)*'Aturan &amp; Tarif'!$B$4,2)</f>
        <v>1362.72</v>
      </c>
      <c r="K585" s="32" t="n">
        <f aca="false">'Aturan &amp; Tarif'!$B$5</f>
        <v>2050</v>
      </c>
      <c r="L585" s="35" t="n">
        <f aca="false">I585+J585+K585</f>
        <v>23312.72</v>
      </c>
      <c r="M585" s="36" t="s">
        <v>1112</v>
      </c>
    </row>
    <row r="586" customFormat="false" ht="60" hidden="false" customHeight="true" outlineLevel="0" collapsed="false">
      <c r="A586" s="29"/>
      <c r="B586" s="30" t="s">
        <v>1113</v>
      </c>
      <c r="C586" s="31" t="s">
        <v>107</v>
      </c>
      <c r="D586" s="31" t="s">
        <v>108</v>
      </c>
      <c r="E586" s="32" t="n">
        <v>9950</v>
      </c>
      <c r="F586" s="32"/>
      <c r="G586" s="32"/>
      <c r="H586" s="33" t="n">
        <v>2</v>
      </c>
      <c r="I586" s="34" t="n">
        <f aca="false">E586*H586+N(F586)+N(G586)</f>
        <v>19900</v>
      </c>
      <c r="J586" s="32" t="n">
        <f aca="false">ROUND(IFERROR(ROUND(IF(OR(ISNUMBER(SEARCH("week",C586)),ISNUMBER(SEARCH("minggu",C586))),IFERROR(_xlfn.NUMBERVALUE(SUBSTITUTE(LEFT(TRIM(C586),FIND(" ",TRIM(C586)&amp;" ")-1),",","."),"."),LEFT(SUBSTITUTE(LEFT(TRIM(C586),FIND(" ",TRIM(C586)&amp;" ")-1),",","."),FIND("/",SUBSTITUTE(LEFT(TRIM(C586),FIND(" ",TRIM(C586)&amp;" ")-1),",","."))-1)/MID(SUBSTITUTE(LEFT(TRIM(C586),FIND(" ",TRIM(C586)&amp;" ")-1),",","."),FIND("/",SUBSTITUTE(LEFT(TRIM(C586),FIND(" ",TRIM(C586)&amp;" ")-1),",","."))+1,9))*12/52,IF(ISNUMBER(SEARCH("month",C586)),IFERROR(_xlfn.NUMBERVALUE(SUBSTITUTE(LEFT(TRIM(C586),FIND(" ",TRIM(C586)&amp;" ")-1),",","."),"."),LEFT(SUBSTITUTE(LEFT(TRIM(C586),FIND(" ",TRIM(C586)&amp;" ")-1),",","."),FIND("/",SUBSTITUTE(LEFT(TRIM(C586),FIND(" ",TRIM(C586)&amp;" ")-1),",","."))-1)/MID(SUBSTITUTE(LEFT(TRIM(C586),FIND(" ",TRIM(C586)&amp;" ")-1),",","."),FIND("/",SUBSTITUTE(LEFT(TRIM(C586),FIND(" ",TRIM(C586)&amp;" ")-1),",","."))+1,9)),IF(ISNUMBER(SEARCH("yea",C586)),IFERROR(_xlfn.NUMBERVALUE(SUBSTITUTE(LEFT(TRIM(C586),FIND(" ",TRIM(C586)&amp;" ")-1),",","."),"."),LEFT(SUBSTITUTE(LEFT(TRIM(C586),FIND(" ",TRIM(C586)&amp;" ")-1),",","."),FIND("/",SUBSTITUTE(LEFT(TRIM(C586),FIND(" ",TRIM(C586)&amp;" ")-1),",","."))-1)/MID(SUBSTITUTE(LEFT(TRIM(C586),FIND(" ",TRIM(C586)&amp;" ")-1),",","."),FIND("/",SUBSTITUTE(LEFT(TRIM(C586),FIND(" ",TRIM(C586)&amp;" ")-1),",","."))+1,9))*12,NA()))),0),24)*'Aturan &amp; Tarif'!$B$4,2)</f>
        <v>1362.72</v>
      </c>
      <c r="K586" s="32" t="n">
        <f aca="false">'Aturan &amp; Tarif'!$B$5</f>
        <v>2050</v>
      </c>
      <c r="L586" s="35" t="n">
        <f aca="false">I586+J586+K586</f>
        <v>23312.72</v>
      </c>
      <c r="M586" s="36" t="s">
        <v>1114</v>
      </c>
    </row>
    <row r="587" customFormat="false" ht="60" hidden="false" customHeight="true" outlineLevel="0" collapsed="false">
      <c r="A587" s="29"/>
      <c r="B587" s="30" t="s">
        <v>1115</v>
      </c>
      <c r="C587" s="31" t="s">
        <v>130</v>
      </c>
      <c r="D587" s="31" t="s">
        <v>108</v>
      </c>
      <c r="E587" s="32" t="n">
        <v>4500</v>
      </c>
      <c r="F587" s="32"/>
      <c r="G587" s="32"/>
      <c r="H587" s="33" t="n">
        <v>2</v>
      </c>
      <c r="I587" s="34" t="n">
        <f aca="false">E587*H587+N(F587)+N(G587)</f>
        <v>9000</v>
      </c>
      <c r="J587" s="32" t="n">
        <f aca="false">ROUND(IFERROR(ROUND(IF(OR(ISNUMBER(SEARCH("week",C587)),ISNUMBER(SEARCH("minggu",C587))),IFERROR(_xlfn.NUMBERVALUE(SUBSTITUTE(LEFT(TRIM(C587),FIND(" ",TRIM(C587)&amp;" ")-1),",","."),"."),LEFT(SUBSTITUTE(LEFT(TRIM(C587),FIND(" ",TRIM(C587)&amp;" ")-1),",","."),FIND("/",SUBSTITUTE(LEFT(TRIM(C587),FIND(" ",TRIM(C587)&amp;" ")-1),",","."))-1)/MID(SUBSTITUTE(LEFT(TRIM(C587),FIND(" ",TRIM(C587)&amp;" ")-1),",","."),FIND("/",SUBSTITUTE(LEFT(TRIM(C587),FIND(" ",TRIM(C587)&amp;" ")-1),",","."))+1,9))*12/52,IF(ISNUMBER(SEARCH("month",C587)),IFERROR(_xlfn.NUMBERVALUE(SUBSTITUTE(LEFT(TRIM(C587),FIND(" ",TRIM(C587)&amp;" ")-1),",","."),"."),LEFT(SUBSTITUTE(LEFT(TRIM(C587),FIND(" ",TRIM(C587)&amp;" ")-1),",","."),FIND("/",SUBSTITUTE(LEFT(TRIM(C587),FIND(" ",TRIM(C587)&amp;" ")-1),",","."))-1)/MID(SUBSTITUTE(LEFT(TRIM(C587),FIND(" ",TRIM(C587)&amp;" ")-1),",","."),FIND("/",SUBSTITUTE(LEFT(TRIM(C587),FIND(" ",TRIM(C587)&amp;" ")-1),",","."))+1,9)),IF(ISNUMBER(SEARCH("yea",C587)),IFERROR(_xlfn.NUMBERVALUE(SUBSTITUTE(LEFT(TRIM(C587),FIND(" ",TRIM(C587)&amp;" ")-1),",","."),"."),LEFT(SUBSTITUTE(LEFT(TRIM(C587),FIND(" ",TRIM(C587)&amp;" ")-1),",","."),FIND("/",SUBSTITUTE(LEFT(TRIM(C587),FIND(" ",TRIM(C587)&amp;" ")-1),",","."))-1)/MID(SUBSTITUTE(LEFT(TRIM(C587),FIND(" ",TRIM(C587)&amp;" ")-1),",","."),FIND("/",SUBSTITUTE(LEFT(TRIM(C587),FIND(" ",TRIM(C587)&amp;" ")-1),",","."))+1,9))*12,NA()))),0),12)*'Aturan &amp; Tarif'!$B$4,2)</f>
        <v>681.36</v>
      </c>
      <c r="K587" s="32" t="n">
        <f aca="false">'Aturan &amp; Tarif'!$B$5</f>
        <v>2050</v>
      </c>
      <c r="L587" s="35" t="n">
        <f aca="false">I587+J587+K587</f>
        <v>11731.36</v>
      </c>
      <c r="M587" s="36" t="s">
        <v>1116</v>
      </c>
    </row>
    <row r="588" customFormat="false" ht="60" hidden="false" customHeight="true" outlineLevel="0" collapsed="false">
      <c r="A588" s="29"/>
      <c r="B588" s="30" t="s">
        <v>1117</v>
      </c>
      <c r="C588" s="31" t="s">
        <v>130</v>
      </c>
      <c r="D588" s="31" t="s">
        <v>108</v>
      </c>
      <c r="E588" s="32" t="n">
        <v>9000</v>
      </c>
      <c r="F588" s="32"/>
      <c r="G588" s="32"/>
      <c r="H588" s="33" t="n">
        <v>2</v>
      </c>
      <c r="I588" s="34" t="n">
        <f aca="false">E588*H588+N(F588)+N(G588)</f>
        <v>18000</v>
      </c>
      <c r="J588" s="32" t="n">
        <f aca="false">ROUND(IFERROR(ROUND(IF(OR(ISNUMBER(SEARCH("week",C588)),ISNUMBER(SEARCH("minggu",C588))),IFERROR(_xlfn.NUMBERVALUE(SUBSTITUTE(LEFT(TRIM(C588),FIND(" ",TRIM(C588)&amp;" ")-1),",","."),"."),LEFT(SUBSTITUTE(LEFT(TRIM(C588),FIND(" ",TRIM(C588)&amp;" ")-1),",","."),FIND("/",SUBSTITUTE(LEFT(TRIM(C588),FIND(" ",TRIM(C588)&amp;" ")-1),",","."))-1)/MID(SUBSTITUTE(LEFT(TRIM(C588),FIND(" ",TRIM(C588)&amp;" ")-1),",","."),FIND("/",SUBSTITUTE(LEFT(TRIM(C588),FIND(" ",TRIM(C588)&amp;" ")-1),",","."))+1,9))*12/52,IF(ISNUMBER(SEARCH("month",C588)),IFERROR(_xlfn.NUMBERVALUE(SUBSTITUTE(LEFT(TRIM(C588),FIND(" ",TRIM(C588)&amp;" ")-1),",","."),"."),LEFT(SUBSTITUTE(LEFT(TRIM(C588),FIND(" ",TRIM(C588)&amp;" ")-1),",","."),FIND("/",SUBSTITUTE(LEFT(TRIM(C588),FIND(" ",TRIM(C588)&amp;" ")-1),",","."))-1)/MID(SUBSTITUTE(LEFT(TRIM(C588),FIND(" ",TRIM(C588)&amp;" ")-1),",","."),FIND("/",SUBSTITUTE(LEFT(TRIM(C588),FIND(" ",TRIM(C588)&amp;" ")-1),",","."))+1,9)),IF(ISNUMBER(SEARCH("yea",C588)),IFERROR(_xlfn.NUMBERVALUE(SUBSTITUTE(LEFT(TRIM(C588),FIND(" ",TRIM(C588)&amp;" ")-1),",","."),"."),LEFT(SUBSTITUTE(LEFT(TRIM(C588),FIND(" ",TRIM(C588)&amp;" ")-1),",","."),FIND("/",SUBSTITUTE(LEFT(TRIM(C588),FIND(" ",TRIM(C588)&amp;" ")-1),",","."))-1)/MID(SUBSTITUTE(LEFT(TRIM(C588),FIND(" ",TRIM(C588)&amp;" ")-1),",","."),FIND("/",SUBSTITUTE(LEFT(TRIM(C588),FIND(" ",TRIM(C588)&amp;" ")-1),",","."))+1,9))*12,NA()))),0),12)*'Aturan &amp; Tarif'!$B$4,2)</f>
        <v>681.36</v>
      </c>
      <c r="K588" s="32" t="n">
        <f aca="false">'Aturan &amp; Tarif'!$B$5</f>
        <v>2050</v>
      </c>
      <c r="L588" s="35" t="n">
        <f aca="false">I588+J588+K588</f>
        <v>20731.36</v>
      </c>
      <c r="M588" s="36" t="s">
        <v>1118</v>
      </c>
    </row>
    <row r="589" customFormat="false" ht="60" hidden="false" customHeight="true" outlineLevel="0" collapsed="false">
      <c r="A589" s="29"/>
      <c r="B589" s="30" t="s">
        <v>349</v>
      </c>
      <c r="C589" s="31" t="s">
        <v>107</v>
      </c>
      <c r="D589" s="31" t="s">
        <v>108</v>
      </c>
      <c r="E589" s="32" t="n">
        <v>9000</v>
      </c>
      <c r="F589" s="32"/>
      <c r="G589" s="32"/>
      <c r="H589" s="33" t="n">
        <v>2</v>
      </c>
      <c r="I589" s="34" t="n">
        <f aca="false">E589*H589+N(F589)+N(G589)</f>
        <v>18000</v>
      </c>
      <c r="J589" s="32" t="n">
        <f aca="false">ROUND(IFERROR(ROUND(IF(OR(ISNUMBER(SEARCH("week",C589)),ISNUMBER(SEARCH("minggu",C589))),IFERROR(_xlfn.NUMBERVALUE(SUBSTITUTE(LEFT(TRIM(C589),FIND(" ",TRIM(C589)&amp;" ")-1),",","."),"."),LEFT(SUBSTITUTE(LEFT(TRIM(C589),FIND(" ",TRIM(C589)&amp;" ")-1),",","."),FIND("/",SUBSTITUTE(LEFT(TRIM(C589),FIND(" ",TRIM(C589)&amp;" ")-1),",","."))-1)/MID(SUBSTITUTE(LEFT(TRIM(C589),FIND(" ",TRIM(C589)&amp;" ")-1),",","."),FIND("/",SUBSTITUTE(LEFT(TRIM(C589),FIND(" ",TRIM(C589)&amp;" ")-1),",","."))+1,9))*12/52,IF(ISNUMBER(SEARCH("month",C589)),IFERROR(_xlfn.NUMBERVALUE(SUBSTITUTE(LEFT(TRIM(C589),FIND(" ",TRIM(C589)&amp;" ")-1),",","."),"."),LEFT(SUBSTITUTE(LEFT(TRIM(C589),FIND(" ",TRIM(C589)&amp;" ")-1),",","."),FIND("/",SUBSTITUTE(LEFT(TRIM(C589),FIND(" ",TRIM(C589)&amp;" ")-1),",","."))-1)/MID(SUBSTITUTE(LEFT(TRIM(C589),FIND(" ",TRIM(C589)&amp;" ")-1),",","."),FIND("/",SUBSTITUTE(LEFT(TRIM(C589),FIND(" ",TRIM(C589)&amp;" ")-1),",","."))+1,9)),IF(ISNUMBER(SEARCH("yea",C589)),IFERROR(_xlfn.NUMBERVALUE(SUBSTITUTE(LEFT(TRIM(C589),FIND(" ",TRIM(C589)&amp;" ")-1),",","."),"."),LEFT(SUBSTITUTE(LEFT(TRIM(C589),FIND(" ",TRIM(C589)&amp;" ")-1),",","."),FIND("/",SUBSTITUTE(LEFT(TRIM(C589),FIND(" ",TRIM(C589)&amp;" ")-1),",","."))-1)/MID(SUBSTITUTE(LEFT(TRIM(C589),FIND(" ",TRIM(C589)&amp;" ")-1),",","."),FIND("/",SUBSTITUTE(LEFT(TRIM(C589),FIND(" ",TRIM(C589)&amp;" ")-1),",","."))+1,9))*12,NA()))),0),24)*'Aturan &amp; Tarif'!$B$4,2)</f>
        <v>1362.72</v>
      </c>
      <c r="K589" s="32" t="n">
        <f aca="false">'Aturan &amp; Tarif'!$B$5</f>
        <v>2050</v>
      </c>
      <c r="L589" s="35" t="n">
        <f aca="false">I589+J589+K589</f>
        <v>21412.72</v>
      </c>
      <c r="M589" s="36" t="s">
        <v>1119</v>
      </c>
    </row>
    <row r="590" customFormat="false" ht="60" hidden="false" customHeight="true" outlineLevel="0" collapsed="false">
      <c r="A590" s="29"/>
      <c r="B590" s="30" t="s">
        <v>1120</v>
      </c>
      <c r="C590" s="31" t="s">
        <v>107</v>
      </c>
      <c r="D590" s="31" t="s">
        <v>108</v>
      </c>
      <c r="E590" s="32" t="n">
        <v>9000</v>
      </c>
      <c r="F590" s="32"/>
      <c r="G590" s="32"/>
      <c r="H590" s="33" t="n">
        <v>2</v>
      </c>
      <c r="I590" s="34" t="n">
        <f aca="false">E590*H590+N(F590)+N(G590)</f>
        <v>18000</v>
      </c>
      <c r="J590" s="32" t="n">
        <f aca="false">ROUND(IFERROR(ROUND(IF(OR(ISNUMBER(SEARCH("week",C590)),ISNUMBER(SEARCH("minggu",C590))),IFERROR(_xlfn.NUMBERVALUE(SUBSTITUTE(LEFT(TRIM(C590),FIND(" ",TRIM(C590)&amp;" ")-1),",","."),"."),LEFT(SUBSTITUTE(LEFT(TRIM(C590),FIND(" ",TRIM(C590)&amp;" ")-1),",","."),FIND("/",SUBSTITUTE(LEFT(TRIM(C590),FIND(" ",TRIM(C590)&amp;" ")-1),",","."))-1)/MID(SUBSTITUTE(LEFT(TRIM(C590),FIND(" ",TRIM(C590)&amp;" ")-1),",","."),FIND("/",SUBSTITUTE(LEFT(TRIM(C590),FIND(" ",TRIM(C590)&amp;" ")-1),",","."))+1,9))*12/52,IF(ISNUMBER(SEARCH("month",C590)),IFERROR(_xlfn.NUMBERVALUE(SUBSTITUTE(LEFT(TRIM(C590),FIND(" ",TRIM(C590)&amp;" ")-1),",","."),"."),LEFT(SUBSTITUTE(LEFT(TRIM(C590),FIND(" ",TRIM(C590)&amp;" ")-1),",","."),FIND("/",SUBSTITUTE(LEFT(TRIM(C590),FIND(" ",TRIM(C590)&amp;" ")-1),",","."))-1)/MID(SUBSTITUTE(LEFT(TRIM(C590),FIND(" ",TRIM(C590)&amp;" ")-1),",","."),FIND("/",SUBSTITUTE(LEFT(TRIM(C590),FIND(" ",TRIM(C590)&amp;" ")-1),",","."))+1,9)),IF(ISNUMBER(SEARCH("yea",C590)),IFERROR(_xlfn.NUMBERVALUE(SUBSTITUTE(LEFT(TRIM(C590),FIND(" ",TRIM(C590)&amp;" ")-1),",","."),"."),LEFT(SUBSTITUTE(LEFT(TRIM(C590),FIND(" ",TRIM(C590)&amp;" ")-1),",","."),FIND("/",SUBSTITUTE(LEFT(TRIM(C590),FIND(" ",TRIM(C590)&amp;" ")-1),",","."))-1)/MID(SUBSTITUTE(LEFT(TRIM(C590),FIND(" ",TRIM(C590)&amp;" ")-1),",","."),FIND("/",SUBSTITUTE(LEFT(TRIM(C590),FIND(" ",TRIM(C590)&amp;" ")-1),",","."))+1,9))*12,NA()))),0),24)*'Aturan &amp; Tarif'!$B$4,2)</f>
        <v>1362.72</v>
      </c>
      <c r="K590" s="32" t="n">
        <f aca="false">'Aturan &amp; Tarif'!$B$5</f>
        <v>2050</v>
      </c>
      <c r="L590" s="35" t="n">
        <f aca="false">I590+J590+K590</f>
        <v>21412.72</v>
      </c>
      <c r="M590" s="36" t="s">
        <v>1121</v>
      </c>
    </row>
    <row r="591" customFormat="false" ht="60" hidden="false" customHeight="true" outlineLevel="0" collapsed="false">
      <c r="A591" s="29"/>
      <c r="B591" s="30" t="s">
        <v>1134</v>
      </c>
      <c r="C591" s="31" t="s">
        <v>127</v>
      </c>
      <c r="D591" s="31" t="s">
        <v>108</v>
      </c>
      <c r="E591" s="32" t="n">
        <v>7333</v>
      </c>
      <c r="F591" s="32"/>
      <c r="G591" s="32"/>
      <c r="H591" s="33" t="n">
        <v>2</v>
      </c>
      <c r="I591" s="34" t="n">
        <f aca="false">E591*H591+N(F591)+N(G591)</f>
        <v>14666</v>
      </c>
      <c r="J591" s="32" t="n">
        <f aca="false">ROUND(IFERROR(ROUND(IF(OR(ISNUMBER(SEARCH("week",C591)),ISNUMBER(SEARCH("minggu",C591))),IFERROR(_xlfn.NUMBERVALUE(SUBSTITUTE(LEFT(TRIM(C591),FIND(" ",TRIM(C591)&amp;" ")-1),",","."),"."),LEFT(SUBSTITUTE(LEFT(TRIM(C591),FIND(" ",TRIM(C591)&amp;" ")-1),",","."),FIND("/",SUBSTITUTE(LEFT(TRIM(C591),FIND(" ",TRIM(C591)&amp;" ")-1),",","."))-1)/MID(SUBSTITUTE(LEFT(TRIM(C591),FIND(" ",TRIM(C591)&amp;" ")-1),",","."),FIND("/",SUBSTITUTE(LEFT(TRIM(C591),FIND(" ",TRIM(C591)&amp;" ")-1),",","."))+1,9))*12/52,IF(ISNUMBER(SEARCH("month",C591)),IFERROR(_xlfn.NUMBERVALUE(SUBSTITUTE(LEFT(TRIM(C591),FIND(" ",TRIM(C591)&amp;" ")-1),",","."),"."),LEFT(SUBSTITUTE(LEFT(TRIM(C591),FIND(" ",TRIM(C591)&amp;" ")-1),",","."),FIND("/",SUBSTITUTE(LEFT(TRIM(C591),FIND(" ",TRIM(C591)&amp;" ")-1),",","."))-1)/MID(SUBSTITUTE(LEFT(TRIM(C591),FIND(" ",TRIM(C591)&amp;" ")-1),",","."),FIND("/",SUBSTITUTE(LEFT(TRIM(C591),FIND(" ",TRIM(C591)&amp;" ")-1),",","."))+1,9)),IF(ISNUMBER(SEARCH("yea",C591)),IFERROR(_xlfn.NUMBERVALUE(SUBSTITUTE(LEFT(TRIM(C591),FIND(" ",TRIM(C591)&amp;" ")-1),",","."),"."),LEFT(SUBSTITUTE(LEFT(TRIM(C591),FIND(" ",TRIM(C591)&amp;" ")-1),",","."),FIND("/",SUBSTITUTE(LEFT(TRIM(C591),FIND(" ",TRIM(C591)&amp;" ")-1),",","."))-1)/MID(SUBSTITUTE(LEFT(TRIM(C591),FIND(" ",TRIM(C591)&amp;" ")-1),",","."),FIND("/",SUBSTITUTE(LEFT(TRIM(C591),FIND(" ",TRIM(C591)&amp;" ")-1),",","."))+1,9))*12,NA()))),0),36)*'Aturan &amp; Tarif'!$B$4,2)</f>
        <v>2044.08</v>
      </c>
      <c r="K591" s="32" t="n">
        <f aca="false">'Aturan &amp; Tarif'!$B$5</f>
        <v>2050</v>
      </c>
      <c r="L591" s="35" t="n">
        <f aca="false">I591+J591+K591</f>
        <v>18760.08</v>
      </c>
      <c r="M591" s="36" t="s">
        <v>1781</v>
      </c>
    </row>
    <row r="592" customFormat="false" ht="60" hidden="false" customHeight="true" outlineLevel="0" collapsed="false">
      <c r="A592" s="29"/>
      <c r="B592" s="30" t="s">
        <v>265</v>
      </c>
      <c r="C592" s="31" t="s">
        <v>127</v>
      </c>
      <c r="D592" s="31" t="s">
        <v>108</v>
      </c>
      <c r="E592" s="32" t="n">
        <v>8750</v>
      </c>
      <c r="F592" s="32"/>
      <c r="G592" s="32"/>
      <c r="H592" s="33" t="n">
        <v>2</v>
      </c>
      <c r="I592" s="34" t="n">
        <f aca="false">E592*H592+N(F592)+N(G592)</f>
        <v>17500</v>
      </c>
      <c r="J592" s="32" t="n">
        <f aca="false">ROUND(IFERROR(ROUND(IF(OR(ISNUMBER(SEARCH("week",C592)),ISNUMBER(SEARCH("minggu",C592))),IFERROR(_xlfn.NUMBERVALUE(SUBSTITUTE(LEFT(TRIM(C592),FIND(" ",TRIM(C592)&amp;" ")-1),",","."),"."),LEFT(SUBSTITUTE(LEFT(TRIM(C592),FIND(" ",TRIM(C592)&amp;" ")-1),",","."),FIND("/",SUBSTITUTE(LEFT(TRIM(C592),FIND(" ",TRIM(C592)&amp;" ")-1),",","."))-1)/MID(SUBSTITUTE(LEFT(TRIM(C592),FIND(" ",TRIM(C592)&amp;" ")-1),",","."),FIND("/",SUBSTITUTE(LEFT(TRIM(C592),FIND(" ",TRIM(C592)&amp;" ")-1),",","."))+1,9))*12/52,IF(ISNUMBER(SEARCH("month",C592)),IFERROR(_xlfn.NUMBERVALUE(SUBSTITUTE(LEFT(TRIM(C592),FIND(" ",TRIM(C592)&amp;" ")-1),",","."),"."),LEFT(SUBSTITUTE(LEFT(TRIM(C592),FIND(" ",TRIM(C592)&amp;" ")-1),",","."),FIND("/",SUBSTITUTE(LEFT(TRIM(C592),FIND(" ",TRIM(C592)&amp;" ")-1),",","."))-1)/MID(SUBSTITUTE(LEFT(TRIM(C592),FIND(" ",TRIM(C592)&amp;" ")-1),",","."),FIND("/",SUBSTITUTE(LEFT(TRIM(C592),FIND(" ",TRIM(C592)&amp;" ")-1),",","."))+1,9)),IF(ISNUMBER(SEARCH("yea",C592)),IFERROR(_xlfn.NUMBERVALUE(SUBSTITUTE(LEFT(TRIM(C592),FIND(" ",TRIM(C592)&amp;" ")-1),",","."),"."),LEFT(SUBSTITUTE(LEFT(TRIM(C592),FIND(" ",TRIM(C592)&amp;" ")-1),",","."),FIND("/",SUBSTITUTE(LEFT(TRIM(C592),FIND(" ",TRIM(C592)&amp;" ")-1),",","."))-1)/MID(SUBSTITUTE(LEFT(TRIM(C592),FIND(" ",TRIM(C592)&amp;" ")-1),",","."),FIND("/",SUBSTITUTE(LEFT(TRIM(C592),FIND(" ",TRIM(C592)&amp;" ")-1),",","."))+1,9))*12,NA()))),0),36)*'Aturan &amp; Tarif'!$B$4,2)</f>
        <v>2044.08</v>
      </c>
      <c r="K592" s="32" t="n">
        <f aca="false">'Aturan &amp; Tarif'!$B$5</f>
        <v>2050</v>
      </c>
      <c r="L592" s="35" t="n">
        <f aca="false">I592+J592+K592</f>
        <v>21594.08</v>
      </c>
      <c r="M592" s="36" t="s">
        <v>1136</v>
      </c>
    </row>
    <row r="593" customFormat="false" ht="60" hidden="false" customHeight="true" outlineLevel="0" collapsed="false">
      <c r="A593" s="29"/>
      <c r="B593" s="30" t="s">
        <v>560</v>
      </c>
      <c r="C593" s="31" t="s">
        <v>344</v>
      </c>
      <c r="D593" s="31" t="s">
        <v>108</v>
      </c>
      <c r="E593" s="32" t="n">
        <v>3975</v>
      </c>
      <c r="F593" s="32"/>
      <c r="G593" s="32"/>
      <c r="H593" s="33" t="n">
        <v>2</v>
      </c>
      <c r="I593" s="34" t="n">
        <f aca="false">E593*H593+N(F593)+N(G593)</f>
        <v>7950</v>
      </c>
      <c r="J593" s="32" t="n">
        <f aca="false">ROUND(IFERROR(ROUND(IF(OR(ISNUMBER(SEARCH("week",C593)),ISNUMBER(SEARCH("minggu",C593))),IFERROR(_xlfn.NUMBERVALUE(SUBSTITUTE(LEFT(TRIM(C593),FIND(" ",TRIM(C593)&amp;" ")-1),",","."),"."),LEFT(SUBSTITUTE(LEFT(TRIM(C593),FIND(" ",TRIM(C593)&amp;" ")-1),",","."),FIND("/",SUBSTITUTE(LEFT(TRIM(C593),FIND(" ",TRIM(C593)&amp;" ")-1),",","."))-1)/MID(SUBSTITUTE(LEFT(TRIM(C593),FIND(" ",TRIM(C593)&amp;" ")-1),",","."),FIND("/",SUBSTITUTE(LEFT(TRIM(C593),FIND(" ",TRIM(C593)&amp;" ")-1),",","."))+1,9))*12/52,IF(ISNUMBER(SEARCH("month",C593)),IFERROR(_xlfn.NUMBERVALUE(SUBSTITUTE(LEFT(TRIM(C593),FIND(" ",TRIM(C593)&amp;" ")-1),",","."),"."),LEFT(SUBSTITUTE(LEFT(TRIM(C593),FIND(" ",TRIM(C593)&amp;" ")-1),",","."),FIND("/",SUBSTITUTE(LEFT(TRIM(C593),FIND(" ",TRIM(C593)&amp;" ")-1),",","."))-1)/MID(SUBSTITUTE(LEFT(TRIM(C593),FIND(" ",TRIM(C593)&amp;" ")-1),",","."),FIND("/",SUBSTITUTE(LEFT(TRIM(C593),FIND(" ",TRIM(C593)&amp;" ")-1),",","."))+1,9)),IF(ISNUMBER(SEARCH("yea",C593)),IFERROR(_xlfn.NUMBERVALUE(SUBSTITUTE(LEFT(TRIM(C593),FIND(" ",TRIM(C593)&amp;" ")-1),",","."),"."),LEFT(SUBSTITUTE(LEFT(TRIM(C593),FIND(" ",TRIM(C593)&amp;" ")-1),",","."),FIND("/",SUBSTITUTE(LEFT(TRIM(C593),FIND(" ",TRIM(C593)&amp;" ")-1),",","."))-1)/MID(SUBSTITUTE(LEFT(TRIM(C593),FIND(" ",TRIM(C593)&amp;" ")-1),",","."),FIND("/",SUBSTITUTE(LEFT(TRIM(C593),FIND(" ",TRIM(C593)&amp;" ")-1),",","."))+1,9))*12,NA()))),0),6)*'Aturan &amp; Tarif'!$B$4,2)</f>
        <v>340.68</v>
      </c>
      <c r="K593" s="32" t="n">
        <f aca="false">'Aturan &amp; Tarif'!$B$5</f>
        <v>2050</v>
      </c>
      <c r="L593" s="35" t="n">
        <f aca="false">I593+J593+K593</f>
        <v>10340.68</v>
      </c>
      <c r="M593" s="36" t="s">
        <v>1140</v>
      </c>
    </row>
    <row r="594" customFormat="false" ht="60" hidden="false" customHeight="true" outlineLevel="0" collapsed="false">
      <c r="A594" s="29"/>
      <c r="B594" s="30" t="s">
        <v>559</v>
      </c>
      <c r="C594" s="31" t="s">
        <v>130</v>
      </c>
      <c r="D594" s="31" t="s">
        <v>108</v>
      </c>
      <c r="E594" s="32" t="n">
        <v>7950</v>
      </c>
      <c r="F594" s="32"/>
      <c r="G594" s="32"/>
      <c r="H594" s="33" t="n">
        <v>2</v>
      </c>
      <c r="I594" s="34" t="n">
        <f aca="false">E594*H594+N(F594)+N(G594)</f>
        <v>15900</v>
      </c>
      <c r="J594" s="32" t="n">
        <f aca="false">ROUND(IFERROR(ROUND(IF(OR(ISNUMBER(SEARCH("week",C594)),ISNUMBER(SEARCH("minggu",C594))),IFERROR(_xlfn.NUMBERVALUE(SUBSTITUTE(LEFT(TRIM(C594),FIND(" ",TRIM(C594)&amp;" ")-1),",","."),"."),LEFT(SUBSTITUTE(LEFT(TRIM(C594),FIND(" ",TRIM(C594)&amp;" ")-1),",","."),FIND("/",SUBSTITUTE(LEFT(TRIM(C594),FIND(" ",TRIM(C594)&amp;" ")-1),",","."))-1)/MID(SUBSTITUTE(LEFT(TRIM(C594),FIND(" ",TRIM(C594)&amp;" ")-1),",","."),FIND("/",SUBSTITUTE(LEFT(TRIM(C594),FIND(" ",TRIM(C594)&amp;" ")-1),",","."))+1,9))*12/52,IF(ISNUMBER(SEARCH("month",C594)),IFERROR(_xlfn.NUMBERVALUE(SUBSTITUTE(LEFT(TRIM(C594),FIND(" ",TRIM(C594)&amp;" ")-1),",","."),"."),LEFT(SUBSTITUTE(LEFT(TRIM(C594),FIND(" ",TRIM(C594)&amp;" ")-1),",","."),FIND("/",SUBSTITUTE(LEFT(TRIM(C594),FIND(" ",TRIM(C594)&amp;" ")-1),",","."))-1)/MID(SUBSTITUTE(LEFT(TRIM(C594),FIND(" ",TRIM(C594)&amp;" ")-1),",","."),FIND("/",SUBSTITUTE(LEFT(TRIM(C594),FIND(" ",TRIM(C594)&amp;" ")-1),",","."))+1,9)),IF(ISNUMBER(SEARCH("yea",C594)),IFERROR(_xlfn.NUMBERVALUE(SUBSTITUTE(LEFT(TRIM(C594),FIND(" ",TRIM(C594)&amp;" ")-1),",","."),"."),LEFT(SUBSTITUTE(LEFT(TRIM(C594),FIND(" ",TRIM(C594)&amp;" ")-1),",","."),FIND("/",SUBSTITUTE(LEFT(TRIM(C594),FIND(" ",TRIM(C594)&amp;" ")-1),",","."))-1)/MID(SUBSTITUTE(LEFT(TRIM(C594),FIND(" ",TRIM(C594)&amp;" ")-1),",","."),FIND("/",SUBSTITUTE(LEFT(TRIM(C594),FIND(" ",TRIM(C594)&amp;" ")-1),",","."))+1,9))*12,NA()))),0),12)*'Aturan &amp; Tarif'!$B$4,2)</f>
        <v>681.36</v>
      </c>
      <c r="K594" s="32" t="n">
        <f aca="false">'Aturan &amp; Tarif'!$B$5</f>
        <v>2050</v>
      </c>
      <c r="L594" s="35" t="n">
        <f aca="false">I594+J594+K594</f>
        <v>18631.36</v>
      </c>
      <c r="M594" s="36" t="s">
        <v>1141</v>
      </c>
    </row>
    <row r="595" customFormat="false" ht="60" hidden="false" customHeight="true" outlineLevel="0" collapsed="false">
      <c r="A595" s="29"/>
      <c r="B595" s="30" t="s">
        <v>283</v>
      </c>
      <c r="C595" s="31" t="s">
        <v>113</v>
      </c>
      <c r="D595" s="31" t="s">
        <v>108</v>
      </c>
      <c r="E595" s="32" t="n">
        <v>7950</v>
      </c>
      <c r="F595" s="32"/>
      <c r="G595" s="32"/>
      <c r="H595" s="33" t="n">
        <v>2</v>
      </c>
      <c r="I595" s="34" t="n">
        <f aca="false">E595*H595+N(F595)+N(G595)</f>
        <v>15900</v>
      </c>
      <c r="J595" s="32" t="n">
        <f aca="false">ROUND(IFERROR(ROUND(IF(OR(ISNUMBER(SEARCH("week",C595)),ISNUMBER(SEARCH("minggu",C595))),IFERROR(_xlfn.NUMBERVALUE(SUBSTITUTE(LEFT(TRIM(C595),FIND(" ",TRIM(C595)&amp;" ")-1),",","."),"."),LEFT(SUBSTITUTE(LEFT(TRIM(C595),FIND(" ",TRIM(C595)&amp;" ")-1),",","."),FIND("/",SUBSTITUTE(LEFT(TRIM(C595),FIND(" ",TRIM(C595)&amp;" ")-1),",","."))-1)/MID(SUBSTITUTE(LEFT(TRIM(C595),FIND(" ",TRIM(C595)&amp;" ")-1),",","."),FIND("/",SUBSTITUTE(LEFT(TRIM(C595),FIND(" ",TRIM(C595)&amp;" ")-1),",","."))+1,9))*12/52,IF(ISNUMBER(SEARCH("month",C595)),IFERROR(_xlfn.NUMBERVALUE(SUBSTITUTE(LEFT(TRIM(C595),FIND(" ",TRIM(C595)&amp;" ")-1),",","."),"."),LEFT(SUBSTITUTE(LEFT(TRIM(C595),FIND(" ",TRIM(C595)&amp;" ")-1),",","."),FIND("/",SUBSTITUTE(LEFT(TRIM(C595),FIND(" ",TRIM(C595)&amp;" ")-1),",","."))-1)/MID(SUBSTITUTE(LEFT(TRIM(C595),FIND(" ",TRIM(C595)&amp;" ")-1),",","."),FIND("/",SUBSTITUTE(LEFT(TRIM(C595),FIND(" ",TRIM(C595)&amp;" ")-1),",","."))+1,9)),IF(ISNUMBER(SEARCH("yea",C595)),IFERROR(_xlfn.NUMBERVALUE(SUBSTITUTE(LEFT(TRIM(C595),FIND(" ",TRIM(C595)&amp;" ")-1),",","."),"."),LEFT(SUBSTITUTE(LEFT(TRIM(C595),FIND(" ",TRIM(C595)&amp;" ")-1),",","."),FIND("/",SUBSTITUTE(LEFT(TRIM(C595),FIND(" ",TRIM(C595)&amp;" ")-1),",","."))-1)/MID(SUBSTITUTE(LEFT(TRIM(C595),FIND(" ",TRIM(C595)&amp;" ")-1),",","."),FIND("/",SUBSTITUTE(LEFT(TRIM(C595),FIND(" ",TRIM(C595)&amp;" ")-1),",","."))+1,9))*12,NA()))),0),18)*'Aturan &amp; Tarif'!$B$4,2)</f>
        <v>1022.04</v>
      </c>
      <c r="K595" s="32" t="n">
        <f aca="false">'Aturan &amp; Tarif'!$B$5</f>
        <v>2050</v>
      </c>
      <c r="L595" s="35" t="n">
        <f aca="false">I595+J595+K595</f>
        <v>18972.04</v>
      </c>
      <c r="M595" s="36" t="s">
        <v>1142</v>
      </c>
    </row>
    <row r="596" customFormat="false" ht="60" hidden="false" customHeight="true" outlineLevel="0" collapsed="false">
      <c r="A596" s="29"/>
      <c r="B596" s="30" t="s">
        <v>1143</v>
      </c>
      <c r="C596" s="31" t="s">
        <v>107</v>
      </c>
      <c r="D596" s="31" t="s">
        <v>108</v>
      </c>
      <c r="E596" s="32" t="n">
        <v>7950</v>
      </c>
      <c r="F596" s="32"/>
      <c r="G596" s="32"/>
      <c r="H596" s="33" t="n">
        <v>2</v>
      </c>
      <c r="I596" s="34" t="n">
        <f aca="false">E596*H596+N(F596)+N(G596)</f>
        <v>15900</v>
      </c>
      <c r="J596" s="32" t="n">
        <f aca="false">ROUND(IFERROR(ROUND(IF(OR(ISNUMBER(SEARCH("week",C596)),ISNUMBER(SEARCH("minggu",C596))),IFERROR(_xlfn.NUMBERVALUE(SUBSTITUTE(LEFT(TRIM(C596),FIND(" ",TRIM(C596)&amp;" ")-1),",","."),"."),LEFT(SUBSTITUTE(LEFT(TRIM(C596),FIND(" ",TRIM(C596)&amp;" ")-1),",","."),FIND("/",SUBSTITUTE(LEFT(TRIM(C596),FIND(" ",TRIM(C596)&amp;" ")-1),",","."))-1)/MID(SUBSTITUTE(LEFT(TRIM(C596),FIND(" ",TRIM(C596)&amp;" ")-1),",","."),FIND("/",SUBSTITUTE(LEFT(TRIM(C596),FIND(" ",TRIM(C596)&amp;" ")-1),",","."))+1,9))*12/52,IF(ISNUMBER(SEARCH("month",C596)),IFERROR(_xlfn.NUMBERVALUE(SUBSTITUTE(LEFT(TRIM(C596),FIND(" ",TRIM(C596)&amp;" ")-1),",","."),"."),LEFT(SUBSTITUTE(LEFT(TRIM(C596),FIND(" ",TRIM(C596)&amp;" ")-1),",","."),FIND("/",SUBSTITUTE(LEFT(TRIM(C596),FIND(" ",TRIM(C596)&amp;" ")-1),",","."))-1)/MID(SUBSTITUTE(LEFT(TRIM(C596),FIND(" ",TRIM(C596)&amp;" ")-1),",","."),FIND("/",SUBSTITUTE(LEFT(TRIM(C596),FIND(" ",TRIM(C596)&amp;" ")-1),",","."))+1,9)),IF(ISNUMBER(SEARCH("yea",C596)),IFERROR(_xlfn.NUMBERVALUE(SUBSTITUTE(LEFT(TRIM(C596),FIND(" ",TRIM(C596)&amp;" ")-1),",","."),"."),LEFT(SUBSTITUTE(LEFT(TRIM(C596),FIND(" ",TRIM(C596)&amp;" ")-1),",","."),FIND("/",SUBSTITUTE(LEFT(TRIM(C596),FIND(" ",TRIM(C596)&amp;" ")-1),",","."))-1)/MID(SUBSTITUTE(LEFT(TRIM(C596),FIND(" ",TRIM(C596)&amp;" ")-1),",","."),FIND("/",SUBSTITUTE(LEFT(TRIM(C596),FIND(" ",TRIM(C596)&amp;" ")-1),",","."))+1,9))*12,NA()))),0),24)*'Aturan &amp; Tarif'!$B$4,2)</f>
        <v>1362.72</v>
      </c>
      <c r="K596" s="32" t="n">
        <f aca="false">'Aturan &amp; Tarif'!$B$5</f>
        <v>2050</v>
      </c>
      <c r="L596" s="35" t="n">
        <f aca="false">I596+J596+K596</f>
        <v>19312.72</v>
      </c>
      <c r="M596" s="36" t="s">
        <v>1144</v>
      </c>
    </row>
    <row r="597" customFormat="false" ht="60" hidden="false" customHeight="true" outlineLevel="0" collapsed="false">
      <c r="A597" s="29"/>
      <c r="B597" s="30" t="s">
        <v>1057</v>
      </c>
      <c r="C597" s="31" t="s">
        <v>107</v>
      </c>
      <c r="D597" s="31" t="s">
        <v>108</v>
      </c>
      <c r="E597" s="32" t="n">
        <v>7950</v>
      </c>
      <c r="F597" s="32"/>
      <c r="G597" s="32"/>
      <c r="H597" s="33" t="n">
        <v>2</v>
      </c>
      <c r="I597" s="34" t="n">
        <f aca="false">E597*H597+N(F597)+N(G597)</f>
        <v>15900</v>
      </c>
      <c r="J597" s="32" t="n">
        <f aca="false">ROUND(IFERROR(ROUND(IF(OR(ISNUMBER(SEARCH("week",C597)),ISNUMBER(SEARCH("minggu",C597))),IFERROR(_xlfn.NUMBERVALUE(SUBSTITUTE(LEFT(TRIM(C597),FIND(" ",TRIM(C597)&amp;" ")-1),",","."),"."),LEFT(SUBSTITUTE(LEFT(TRIM(C597),FIND(" ",TRIM(C597)&amp;" ")-1),",","."),FIND("/",SUBSTITUTE(LEFT(TRIM(C597),FIND(" ",TRIM(C597)&amp;" ")-1),",","."))-1)/MID(SUBSTITUTE(LEFT(TRIM(C597),FIND(" ",TRIM(C597)&amp;" ")-1),",","."),FIND("/",SUBSTITUTE(LEFT(TRIM(C597),FIND(" ",TRIM(C597)&amp;" ")-1),",","."))+1,9))*12/52,IF(ISNUMBER(SEARCH("month",C597)),IFERROR(_xlfn.NUMBERVALUE(SUBSTITUTE(LEFT(TRIM(C597),FIND(" ",TRIM(C597)&amp;" ")-1),",","."),"."),LEFT(SUBSTITUTE(LEFT(TRIM(C597),FIND(" ",TRIM(C597)&amp;" ")-1),",","."),FIND("/",SUBSTITUTE(LEFT(TRIM(C597),FIND(" ",TRIM(C597)&amp;" ")-1),",","."))-1)/MID(SUBSTITUTE(LEFT(TRIM(C597),FIND(" ",TRIM(C597)&amp;" ")-1),",","."),FIND("/",SUBSTITUTE(LEFT(TRIM(C597),FIND(" ",TRIM(C597)&amp;" ")-1),",","."))+1,9)),IF(ISNUMBER(SEARCH("yea",C597)),IFERROR(_xlfn.NUMBERVALUE(SUBSTITUTE(LEFT(TRIM(C597),FIND(" ",TRIM(C597)&amp;" ")-1),",","."),"."),LEFT(SUBSTITUTE(LEFT(TRIM(C597),FIND(" ",TRIM(C597)&amp;" ")-1),",","."),FIND("/",SUBSTITUTE(LEFT(TRIM(C597),FIND(" ",TRIM(C597)&amp;" ")-1),",","."))-1)/MID(SUBSTITUTE(LEFT(TRIM(C597),FIND(" ",TRIM(C597)&amp;" ")-1),",","."),FIND("/",SUBSTITUTE(LEFT(TRIM(C597),FIND(" ",TRIM(C597)&amp;" ")-1),",","."))+1,9))*12,NA()))),0),24)*'Aturan &amp; Tarif'!$B$4,2)</f>
        <v>1362.72</v>
      </c>
      <c r="K597" s="32" t="n">
        <f aca="false">'Aturan &amp; Tarif'!$B$5</f>
        <v>2050</v>
      </c>
      <c r="L597" s="35" t="n">
        <f aca="false">I597+J597+K597</f>
        <v>19312.72</v>
      </c>
      <c r="M597" s="36" t="s">
        <v>1058</v>
      </c>
    </row>
    <row r="598" customFormat="false" ht="60" hidden="false" customHeight="true" outlineLevel="0" collapsed="false">
      <c r="A598" s="29"/>
      <c r="B598" s="30" t="s">
        <v>1077</v>
      </c>
      <c r="C598" s="31" t="s">
        <v>107</v>
      </c>
      <c r="D598" s="31" t="s">
        <v>108</v>
      </c>
      <c r="E598" s="32" t="n">
        <v>7950</v>
      </c>
      <c r="F598" s="32"/>
      <c r="G598" s="32"/>
      <c r="H598" s="33" t="n">
        <v>2</v>
      </c>
      <c r="I598" s="34" t="n">
        <f aca="false">E598*H598+N(F598)+N(G598)</f>
        <v>15900</v>
      </c>
      <c r="J598" s="32" t="n">
        <f aca="false">ROUND(IFERROR(ROUND(IF(OR(ISNUMBER(SEARCH("week",C598)),ISNUMBER(SEARCH("minggu",C598))),IFERROR(_xlfn.NUMBERVALUE(SUBSTITUTE(LEFT(TRIM(C598),FIND(" ",TRIM(C598)&amp;" ")-1),",","."),"."),LEFT(SUBSTITUTE(LEFT(TRIM(C598),FIND(" ",TRIM(C598)&amp;" ")-1),",","."),FIND("/",SUBSTITUTE(LEFT(TRIM(C598),FIND(" ",TRIM(C598)&amp;" ")-1),",","."))-1)/MID(SUBSTITUTE(LEFT(TRIM(C598),FIND(" ",TRIM(C598)&amp;" ")-1),",","."),FIND("/",SUBSTITUTE(LEFT(TRIM(C598),FIND(" ",TRIM(C598)&amp;" ")-1),",","."))+1,9))*12/52,IF(ISNUMBER(SEARCH("month",C598)),IFERROR(_xlfn.NUMBERVALUE(SUBSTITUTE(LEFT(TRIM(C598),FIND(" ",TRIM(C598)&amp;" ")-1),",","."),"."),LEFT(SUBSTITUTE(LEFT(TRIM(C598),FIND(" ",TRIM(C598)&amp;" ")-1),",","."),FIND("/",SUBSTITUTE(LEFT(TRIM(C598),FIND(" ",TRIM(C598)&amp;" ")-1),",","."))-1)/MID(SUBSTITUTE(LEFT(TRIM(C598),FIND(" ",TRIM(C598)&amp;" ")-1),",","."),FIND("/",SUBSTITUTE(LEFT(TRIM(C598),FIND(" ",TRIM(C598)&amp;" ")-1),",","."))+1,9)),IF(ISNUMBER(SEARCH("yea",C598)),IFERROR(_xlfn.NUMBERVALUE(SUBSTITUTE(LEFT(TRIM(C598),FIND(" ",TRIM(C598)&amp;" ")-1),",","."),"."),LEFT(SUBSTITUTE(LEFT(TRIM(C598),FIND(" ",TRIM(C598)&amp;" ")-1),",","."),FIND("/",SUBSTITUTE(LEFT(TRIM(C598),FIND(" ",TRIM(C598)&amp;" ")-1),",","."))-1)/MID(SUBSTITUTE(LEFT(TRIM(C598),FIND(" ",TRIM(C598)&amp;" ")-1),",","."),FIND("/",SUBSTITUTE(LEFT(TRIM(C598),FIND(" ",TRIM(C598)&amp;" ")-1),",","."))+1,9))*12,NA()))),0),24)*'Aturan &amp; Tarif'!$B$4,2)</f>
        <v>1362.72</v>
      </c>
      <c r="K598" s="32" t="n">
        <f aca="false">'Aturan &amp; Tarif'!$B$5</f>
        <v>2050</v>
      </c>
      <c r="L598" s="35" t="n">
        <f aca="false">I598+J598+K598</f>
        <v>19312.72</v>
      </c>
      <c r="M598" s="36" t="s">
        <v>1036</v>
      </c>
    </row>
    <row r="599" customFormat="false" ht="60" hidden="false" customHeight="true" outlineLevel="0" collapsed="false">
      <c r="A599" s="29"/>
      <c r="B599" s="30" t="s">
        <v>1145</v>
      </c>
      <c r="C599" s="31" t="s">
        <v>113</v>
      </c>
      <c r="D599" s="31" t="s">
        <v>108</v>
      </c>
      <c r="E599" s="32" t="n">
        <v>6563</v>
      </c>
      <c r="F599" s="32"/>
      <c r="G599" s="32"/>
      <c r="H599" s="33" t="n">
        <v>2</v>
      </c>
      <c r="I599" s="34" t="n">
        <f aca="false">E599*H599+N(F599)+N(G599)</f>
        <v>13126</v>
      </c>
      <c r="J599" s="32" t="n">
        <f aca="false">ROUND(IFERROR(ROUND(IF(OR(ISNUMBER(SEARCH("week",C599)),ISNUMBER(SEARCH("minggu",C599))),IFERROR(_xlfn.NUMBERVALUE(SUBSTITUTE(LEFT(TRIM(C599),FIND(" ",TRIM(C599)&amp;" ")-1),",","."),"."),LEFT(SUBSTITUTE(LEFT(TRIM(C599),FIND(" ",TRIM(C599)&amp;" ")-1),",","."),FIND("/",SUBSTITUTE(LEFT(TRIM(C599),FIND(" ",TRIM(C599)&amp;" ")-1),",","."))-1)/MID(SUBSTITUTE(LEFT(TRIM(C599),FIND(" ",TRIM(C599)&amp;" ")-1),",","."),FIND("/",SUBSTITUTE(LEFT(TRIM(C599),FIND(" ",TRIM(C599)&amp;" ")-1),",","."))+1,9))*12/52,IF(ISNUMBER(SEARCH("month",C599)),IFERROR(_xlfn.NUMBERVALUE(SUBSTITUTE(LEFT(TRIM(C599),FIND(" ",TRIM(C599)&amp;" ")-1),",","."),"."),LEFT(SUBSTITUTE(LEFT(TRIM(C599),FIND(" ",TRIM(C599)&amp;" ")-1),",","."),FIND("/",SUBSTITUTE(LEFT(TRIM(C599),FIND(" ",TRIM(C599)&amp;" ")-1),",","."))-1)/MID(SUBSTITUTE(LEFT(TRIM(C599),FIND(" ",TRIM(C599)&amp;" ")-1),",","."),FIND("/",SUBSTITUTE(LEFT(TRIM(C599),FIND(" ",TRIM(C599)&amp;" ")-1),",","."))+1,9)),IF(ISNUMBER(SEARCH("yea",C599)),IFERROR(_xlfn.NUMBERVALUE(SUBSTITUTE(LEFT(TRIM(C599),FIND(" ",TRIM(C599)&amp;" ")-1),",","."),"."),LEFT(SUBSTITUTE(LEFT(TRIM(C599),FIND(" ",TRIM(C599)&amp;" ")-1),",","."),FIND("/",SUBSTITUTE(LEFT(TRIM(C599),FIND(" ",TRIM(C599)&amp;" ")-1),",","."))-1)/MID(SUBSTITUTE(LEFT(TRIM(C599),FIND(" ",TRIM(C599)&amp;" ")-1),",","."),FIND("/",SUBSTITUTE(LEFT(TRIM(C599),FIND(" ",TRIM(C599)&amp;" ")-1),",","."))+1,9))*12,NA()))),0),18)*'Aturan &amp; Tarif'!$B$4,2)</f>
        <v>1022.04</v>
      </c>
      <c r="K599" s="32" t="n">
        <f aca="false">'Aturan &amp; Tarif'!$B$5</f>
        <v>2050</v>
      </c>
      <c r="L599" s="35" t="n">
        <f aca="false">I599+J599+K599</f>
        <v>16198.04</v>
      </c>
      <c r="M599" s="36" t="s">
        <v>1146</v>
      </c>
    </row>
    <row r="600" customFormat="false" ht="60" hidden="false" customHeight="true" outlineLevel="0" collapsed="false">
      <c r="A600" s="29"/>
      <c r="B600" s="30" t="s">
        <v>1147</v>
      </c>
      <c r="C600" s="31" t="s">
        <v>127</v>
      </c>
      <c r="D600" s="31" t="s">
        <v>108</v>
      </c>
      <c r="E600" s="32" t="n">
        <v>7900</v>
      </c>
      <c r="F600" s="32"/>
      <c r="G600" s="32"/>
      <c r="H600" s="33" t="n">
        <v>2</v>
      </c>
      <c r="I600" s="34" t="n">
        <f aca="false">E600*H600+N(F600)+N(G600)</f>
        <v>15800</v>
      </c>
      <c r="J600" s="32" t="n">
        <f aca="false">ROUND(IFERROR(ROUND(IF(OR(ISNUMBER(SEARCH("week",C600)),ISNUMBER(SEARCH("minggu",C600))),IFERROR(_xlfn.NUMBERVALUE(SUBSTITUTE(LEFT(TRIM(C600),FIND(" ",TRIM(C600)&amp;" ")-1),",","."),"."),LEFT(SUBSTITUTE(LEFT(TRIM(C600),FIND(" ",TRIM(C600)&amp;" ")-1),",","."),FIND("/",SUBSTITUTE(LEFT(TRIM(C600),FIND(" ",TRIM(C600)&amp;" ")-1),",","."))-1)/MID(SUBSTITUTE(LEFT(TRIM(C600),FIND(" ",TRIM(C600)&amp;" ")-1),",","."),FIND("/",SUBSTITUTE(LEFT(TRIM(C600),FIND(" ",TRIM(C600)&amp;" ")-1),",","."))+1,9))*12/52,IF(ISNUMBER(SEARCH("month",C600)),IFERROR(_xlfn.NUMBERVALUE(SUBSTITUTE(LEFT(TRIM(C600),FIND(" ",TRIM(C600)&amp;" ")-1),",","."),"."),LEFT(SUBSTITUTE(LEFT(TRIM(C600),FIND(" ",TRIM(C600)&amp;" ")-1),",","."),FIND("/",SUBSTITUTE(LEFT(TRIM(C600),FIND(" ",TRIM(C600)&amp;" ")-1),",","."))-1)/MID(SUBSTITUTE(LEFT(TRIM(C600),FIND(" ",TRIM(C600)&amp;" ")-1),",","."),FIND("/",SUBSTITUTE(LEFT(TRIM(C600),FIND(" ",TRIM(C600)&amp;" ")-1),",","."))+1,9)),IF(ISNUMBER(SEARCH("yea",C600)),IFERROR(_xlfn.NUMBERVALUE(SUBSTITUTE(LEFT(TRIM(C600),FIND(" ",TRIM(C600)&amp;" ")-1),",","."),"."),LEFT(SUBSTITUTE(LEFT(TRIM(C600),FIND(" ",TRIM(C600)&amp;" ")-1),",","."),FIND("/",SUBSTITUTE(LEFT(TRIM(C600),FIND(" ",TRIM(C600)&amp;" ")-1),",","."))-1)/MID(SUBSTITUTE(LEFT(TRIM(C600),FIND(" ",TRIM(C600)&amp;" ")-1),",","."),FIND("/",SUBSTITUTE(LEFT(TRIM(C600),FIND(" ",TRIM(C600)&amp;" ")-1),",","."))+1,9))*12,NA()))),0),36)*'Aturan &amp; Tarif'!$B$4,2)</f>
        <v>2044.08</v>
      </c>
      <c r="K600" s="32" t="n">
        <f aca="false">'Aturan &amp; Tarif'!$B$5</f>
        <v>2050</v>
      </c>
      <c r="L600" s="35" t="n">
        <f aca="false">I600+J600+K600</f>
        <v>19894.08</v>
      </c>
      <c r="M600" s="36" t="s">
        <v>1782</v>
      </c>
    </row>
    <row r="601" customFormat="false" ht="60" hidden="false" customHeight="true" outlineLevel="0" collapsed="false">
      <c r="A601" s="29"/>
      <c r="B601" s="30" t="s">
        <v>1040</v>
      </c>
      <c r="C601" s="31" t="s">
        <v>127</v>
      </c>
      <c r="D601" s="31" t="s">
        <v>108</v>
      </c>
      <c r="E601" s="32" t="n">
        <v>7900</v>
      </c>
      <c r="F601" s="32"/>
      <c r="G601" s="32"/>
      <c r="H601" s="33" t="n">
        <v>2</v>
      </c>
      <c r="I601" s="34" t="n">
        <f aca="false">E601*H601+N(F601)+N(G601)</f>
        <v>15800</v>
      </c>
      <c r="J601" s="32" t="n">
        <f aca="false">ROUND(IFERROR(ROUND(IF(OR(ISNUMBER(SEARCH("week",C601)),ISNUMBER(SEARCH("minggu",C601))),IFERROR(_xlfn.NUMBERVALUE(SUBSTITUTE(LEFT(TRIM(C601),FIND(" ",TRIM(C601)&amp;" ")-1),",","."),"."),LEFT(SUBSTITUTE(LEFT(TRIM(C601),FIND(" ",TRIM(C601)&amp;" ")-1),",","."),FIND("/",SUBSTITUTE(LEFT(TRIM(C601),FIND(" ",TRIM(C601)&amp;" ")-1),",","."))-1)/MID(SUBSTITUTE(LEFT(TRIM(C601),FIND(" ",TRIM(C601)&amp;" ")-1),",","."),FIND("/",SUBSTITUTE(LEFT(TRIM(C601),FIND(" ",TRIM(C601)&amp;" ")-1),",","."))+1,9))*12/52,IF(ISNUMBER(SEARCH("month",C601)),IFERROR(_xlfn.NUMBERVALUE(SUBSTITUTE(LEFT(TRIM(C601),FIND(" ",TRIM(C601)&amp;" ")-1),",","."),"."),LEFT(SUBSTITUTE(LEFT(TRIM(C601),FIND(" ",TRIM(C601)&amp;" ")-1),",","."),FIND("/",SUBSTITUTE(LEFT(TRIM(C601),FIND(" ",TRIM(C601)&amp;" ")-1),",","."))-1)/MID(SUBSTITUTE(LEFT(TRIM(C601),FIND(" ",TRIM(C601)&amp;" ")-1),",","."),FIND("/",SUBSTITUTE(LEFT(TRIM(C601),FIND(" ",TRIM(C601)&amp;" ")-1),",","."))+1,9)),IF(ISNUMBER(SEARCH("yea",C601)),IFERROR(_xlfn.NUMBERVALUE(SUBSTITUTE(LEFT(TRIM(C601),FIND(" ",TRIM(C601)&amp;" ")-1),",","."),"."),LEFT(SUBSTITUTE(LEFT(TRIM(C601),FIND(" ",TRIM(C601)&amp;" ")-1),",","."),FIND("/",SUBSTITUTE(LEFT(TRIM(C601),FIND(" ",TRIM(C601)&amp;" ")-1),",","."))-1)/MID(SUBSTITUTE(LEFT(TRIM(C601),FIND(" ",TRIM(C601)&amp;" ")-1),",","."),FIND("/",SUBSTITUTE(LEFT(TRIM(C601),FIND(" ",TRIM(C601)&amp;" ")-1),",","."))+1,9))*12,NA()))),0),36)*'Aturan &amp; Tarif'!$B$4,2)</f>
        <v>2044.08</v>
      </c>
      <c r="K601" s="32" t="n">
        <f aca="false">'Aturan &amp; Tarif'!$B$5</f>
        <v>2050</v>
      </c>
      <c r="L601" s="35" t="n">
        <f aca="false">I601+J601+K601</f>
        <v>19894.08</v>
      </c>
      <c r="M601" s="36" t="s">
        <v>1041</v>
      </c>
    </row>
    <row r="602" customFormat="false" ht="60" hidden="false" customHeight="true" outlineLevel="0" collapsed="false">
      <c r="A602" s="29"/>
      <c r="B602" s="30" t="s">
        <v>1783</v>
      </c>
      <c r="C602" s="31" t="s">
        <v>344</v>
      </c>
      <c r="D602" s="31" t="s">
        <v>108</v>
      </c>
      <c r="E602" s="32" t="n">
        <v>5248</v>
      </c>
      <c r="F602" s="32"/>
      <c r="G602" s="32"/>
      <c r="H602" s="33" t="n">
        <v>2</v>
      </c>
      <c r="I602" s="34" t="n">
        <f aca="false">E602*H602+N(F602)+N(G602)</f>
        <v>10496</v>
      </c>
      <c r="J602" s="32" t="n">
        <f aca="false">ROUND(IFERROR(ROUND(IF(OR(ISNUMBER(SEARCH("week",C602)),ISNUMBER(SEARCH("minggu",C602))),IFERROR(_xlfn.NUMBERVALUE(SUBSTITUTE(LEFT(TRIM(C602),FIND(" ",TRIM(C602)&amp;" ")-1),",","."),"."),LEFT(SUBSTITUTE(LEFT(TRIM(C602),FIND(" ",TRIM(C602)&amp;" ")-1),",","."),FIND("/",SUBSTITUTE(LEFT(TRIM(C602),FIND(" ",TRIM(C602)&amp;" ")-1),",","."))-1)/MID(SUBSTITUTE(LEFT(TRIM(C602),FIND(" ",TRIM(C602)&amp;" ")-1),",","."),FIND("/",SUBSTITUTE(LEFT(TRIM(C602),FIND(" ",TRIM(C602)&amp;" ")-1),",","."))+1,9))*12/52,IF(ISNUMBER(SEARCH("month",C602)),IFERROR(_xlfn.NUMBERVALUE(SUBSTITUTE(LEFT(TRIM(C602),FIND(" ",TRIM(C602)&amp;" ")-1),",","."),"."),LEFT(SUBSTITUTE(LEFT(TRIM(C602),FIND(" ",TRIM(C602)&amp;" ")-1),",","."),FIND("/",SUBSTITUTE(LEFT(TRIM(C602),FIND(" ",TRIM(C602)&amp;" ")-1),",","."))-1)/MID(SUBSTITUTE(LEFT(TRIM(C602),FIND(" ",TRIM(C602)&amp;" ")-1),",","."),FIND("/",SUBSTITUTE(LEFT(TRIM(C602),FIND(" ",TRIM(C602)&amp;" ")-1),",","."))+1,9)),IF(ISNUMBER(SEARCH("yea",C602)),IFERROR(_xlfn.NUMBERVALUE(SUBSTITUTE(LEFT(TRIM(C602),FIND(" ",TRIM(C602)&amp;" ")-1),",","."),"."),LEFT(SUBSTITUTE(LEFT(TRIM(C602),FIND(" ",TRIM(C602)&amp;" ")-1),",","."),FIND("/",SUBSTITUTE(LEFT(TRIM(C602),FIND(" ",TRIM(C602)&amp;" ")-1),",","."))-1)/MID(SUBSTITUTE(LEFT(TRIM(C602),FIND(" ",TRIM(C602)&amp;" ")-1),",","."),FIND("/",SUBSTITUTE(LEFT(TRIM(C602),FIND(" ",TRIM(C602)&amp;" ")-1),",","."))+1,9))*12,NA()))),0),6)*'Aturan &amp; Tarif'!$B$4,2)</f>
        <v>340.68</v>
      </c>
      <c r="K602" s="32" t="n">
        <f aca="false">'Aturan &amp; Tarif'!$B$5</f>
        <v>2050</v>
      </c>
      <c r="L602" s="35" t="n">
        <f aca="false">I602+J602+K602</f>
        <v>12886.68</v>
      </c>
      <c r="M602" s="36" t="s">
        <v>1784</v>
      </c>
    </row>
    <row r="603" customFormat="false" ht="25.5" hidden="false" customHeight="true" outlineLevel="0" collapsed="false">
      <c r="A603" s="29"/>
      <c r="B603" s="30" t="s">
        <v>1785</v>
      </c>
      <c r="C603" s="31" t="s">
        <v>107</v>
      </c>
      <c r="D603" s="31" t="s">
        <v>108</v>
      </c>
      <c r="E603" s="32" t="n">
        <v>10495</v>
      </c>
      <c r="F603" s="32"/>
      <c r="G603" s="32"/>
      <c r="H603" s="33" t="n">
        <v>2</v>
      </c>
      <c r="I603" s="34" t="n">
        <f aca="false">E603*H603+N(F603)+N(G603)</f>
        <v>20990</v>
      </c>
      <c r="J603" s="32" t="n">
        <f aca="false">ROUND(IFERROR(ROUND(IF(OR(ISNUMBER(SEARCH("week",C603)),ISNUMBER(SEARCH("minggu",C603))),IFERROR(_xlfn.NUMBERVALUE(SUBSTITUTE(LEFT(TRIM(C603),FIND(" ",TRIM(C603)&amp;" ")-1),",","."),"."),LEFT(SUBSTITUTE(LEFT(TRIM(C603),FIND(" ",TRIM(C603)&amp;" ")-1),",","."),FIND("/",SUBSTITUTE(LEFT(TRIM(C603),FIND(" ",TRIM(C603)&amp;" ")-1),",","."))-1)/MID(SUBSTITUTE(LEFT(TRIM(C603),FIND(" ",TRIM(C603)&amp;" ")-1),",","."),FIND("/",SUBSTITUTE(LEFT(TRIM(C603),FIND(" ",TRIM(C603)&amp;" ")-1),",","."))+1,9))*12/52,IF(ISNUMBER(SEARCH("month",C603)),IFERROR(_xlfn.NUMBERVALUE(SUBSTITUTE(LEFT(TRIM(C603),FIND(" ",TRIM(C603)&amp;" ")-1),",","."),"."),LEFT(SUBSTITUTE(LEFT(TRIM(C603),FIND(" ",TRIM(C603)&amp;" ")-1),",","."),FIND("/",SUBSTITUTE(LEFT(TRIM(C603),FIND(" ",TRIM(C603)&amp;" ")-1),",","."))-1)/MID(SUBSTITUTE(LEFT(TRIM(C603),FIND(" ",TRIM(C603)&amp;" ")-1),",","."),FIND("/",SUBSTITUTE(LEFT(TRIM(C603),FIND(" ",TRIM(C603)&amp;" ")-1),",","."))+1,9)),IF(ISNUMBER(SEARCH("yea",C603)),IFERROR(_xlfn.NUMBERVALUE(SUBSTITUTE(LEFT(TRIM(C603),FIND(" ",TRIM(C603)&amp;" ")-1),",","."),"."),LEFT(SUBSTITUTE(LEFT(TRIM(C603),FIND(" ",TRIM(C603)&amp;" ")-1),",","."),FIND("/",SUBSTITUTE(LEFT(TRIM(C603),FIND(" ",TRIM(C603)&amp;" ")-1),",","."))-1)/MID(SUBSTITUTE(LEFT(TRIM(C603),FIND(" ",TRIM(C603)&amp;" ")-1),",","."),FIND("/",SUBSTITUTE(LEFT(TRIM(C603),FIND(" ",TRIM(C603)&amp;" ")-1),",","."))+1,9))*12,NA()))),0),24)*'Aturan &amp; Tarif'!$B$4,2)</f>
        <v>1362.72</v>
      </c>
      <c r="K603" s="32" t="n">
        <f aca="false">'Aturan &amp; Tarif'!$B$5</f>
        <v>2050</v>
      </c>
      <c r="L603" s="35" t="n">
        <f aca="false">I603+J603+K603</f>
        <v>24402.72</v>
      </c>
      <c r="M603" s="37" t="s">
        <v>1786</v>
      </c>
    </row>
    <row r="604" customFormat="false" ht="60" hidden="false" customHeight="true" outlineLevel="0" collapsed="false">
      <c r="A604" s="29"/>
      <c r="B604" s="30" t="s">
        <v>1151</v>
      </c>
      <c r="C604" s="31" t="s">
        <v>344</v>
      </c>
      <c r="D604" s="31" t="s">
        <v>108</v>
      </c>
      <c r="E604" s="32" t="n">
        <v>3688</v>
      </c>
      <c r="F604" s="32"/>
      <c r="G604" s="32"/>
      <c r="H604" s="33" t="n">
        <v>2</v>
      </c>
      <c r="I604" s="34" t="n">
        <f aca="false">E604*H604+N(F604)+N(G604)</f>
        <v>7376</v>
      </c>
      <c r="J604" s="32" t="n">
        <f aca="false">ROUND(IFERROR(ROUND(IF(OR(ISNUMBER(SEARCH("week",C604)),ISNUMBER(SEARCH("minggu",C604))),IFERROR(_xlfn.NUMBERVALUE(SUBSTITUTE(LEFT(TRIM(C604),FIND(" ",TRIM(C604)&amp;" ")-1),",","."),"."),LEFT(SUBSTITUTE(LEFT(TRIM(C604),FIND(" ",TRIM(C604)&amp;" ")-1),",","."),FIND("/",SUBSTITUTE(LEFT(TRIM(C604),FIND(" ",TRIM(C604)&amp;" ")-1),",","."))-1)/MID(SUBSTITUTE(LEFT(TRIM(C604),FIND(" ",TRIM(C604)&amp;" ")-1),",","."),FIND("/",SUBSTITUTE(LEFT(TRIM(C604),FIND(" ",TRIM(C604)&amp;" ")-1),",","."))+1,9))*12/52,IF(ISNUMBER(SEARCH("month",C604)),IFERROR(_xlfn.NUMBERVALUE(SUBSTITUTE(LEFT(TRIM(C604),FIND(" ",TRIM(C604)&amp;" ")-1),",","."),"."),LEFT(SUBSTITUTE(LEFT(TRIM(C604),FIND(" ",TRIM(C604)&amp;" ")-1),",","."),FIND("/",SUBSTITUTE(LEFT(TRIM(C604),FIND(" ",TRIM(C604)&amp;" ")-1),",","."))-1)/MID(SUBSTITUTE(LEFT(TRIM(C604),FIND(" ",TRIM(C604)&amp;" ")-1),",","."),FIND("/",SUBSTITUTE(LEFT(TRIM(C604),FIND(" ",TRIM(C604)&amp;" ")-1),",","."))+1,9)),IF(ISNUMBER(SEARCH("yea",C604)),IFERROR(_xlfn.NUMBERVALUE(SUBSTITUTE(LEFT(TRIM(C604),FIND(" ",TRIM(C604)&amp;" ")-1),",","."),"."),LEFT(SUBSTITUTE(LEFT(TRIM(C604),FIND(" ",TRIM(C604)&amp;" ")-1),",","."),FIND("/",SUBSTITUTE(LEFT(TRIM(C604),FIND(" ",TRIM(C604)&amp;" ")-1),",","."))-1)/MID(SUBSTITUTE(LEFT(TRIM(C604),FIND(" ",TRIM(C604)&amp;" ")-1),",","."),FIND("/",SUBSTITUTE(LEFT(TRIM(C604),FIND(" ",TRIM(C604)&amp;" ")-1),",","."))+1,9))*12,NA()))),0),6)*'Aturan &amp; Tarif'!$B$4,2)</f>
        <v>340.68</v>
      </c>
      <c r="K604" s="32" t="n">
        <f aca="false">'Aturan &amp; Tarif'!$B$5</f>
        <v>2050</v>
      </c>
      <c r="L604" s="35" t="n">
        <f aca="false">I604+J604+K604</f>
        <v>9766.68</v>
      </c>
      <c r="M604" s="36" t="s">
        <v>1152</v>
      </c>
    </row>
    <row r="605" customFormat="false" ht="60" hidden="false" customHeight="true" outlineLevel="0" collapsed="false">
      <c r="A605" s="29"/>
      <c r="B605" s="30" t="s">
        <v>1153</v>
      </c>
      <c r="C605" s="31" t="s">
        <v>130</v>
      </c>
      <c r="D605" s="31" t="s">
        <v>108</v>
      </c>
      <c r="E605" s="32" t="n">
        <v>7375</v>
      </c>
      <c r="F605" s="32"/>
      <c r="G605" s="32"/>
      <c r="H605" s="33" t="n">
        <v>2</v>
      </c>
      <c r="I605" s="34" t="n">
        <f aca="false">E605*H605+N(F605)+N(G605)</f>
        <v>14750</v>
      </c>
      <c r="J605" s="32" t="n">
        <f aca="false">ROUND(IFERROR(ROUND(IF(OR(ISNUMBER(SEARCH("week",C605)),ISNUMBER(SEARCH("minggu",C605))),IFERROR(_xlfn.NUMBERVALUE(SUBSTITUTE(LEFT(TRIM(C605),FIND(" ",TRIM(C605)&amp;" ")-1),",","."),"."),LEFT(SUBSTITUTE(LEFT(TRIM(C605),FIND(" ",TRIM(C605)&amp;" ")-1),",","."),FIND("/",SUBSTITUTE(LEFT(TRIM(C605),FIND(" ",TRIM(C605)&amp;" ")-1),",","."))-1)/MID(SUBSTITUTE(LEFT(TRIM(C605),FIND(" ",TRIM(C605)&amp;" ")-1),",","."),FIND("/",SUBSTITUTE(LEFT(TRIM(C605),FIND(" ",TRIM(C605)&amp;" ")-1),",","."))+1,9))*12/52,IF(ISNUMBER(SEARCH("month",C605)),IFERROR(_xlfn.NUMBERVALUE(SUBSTITUTE(LEFT(TRIM(C605),FIND(" ",TRIM(C605)&amp;" ")-1),",","."),"."),LEFT(SUBSTITUTE(LEFT(TRIM(C605),FIND(" ",TRIM(C605)&amp;" ")-1),",","."),FIND("/",SUBSTITUTE(LEFT(TRIM(C605),FIND(" ",TRIM(C605)&amp;" ")-1),",","."))-1)/MID(SUBSTITUTE(LEFT(TRIM(C605),FIND(" ",TRIM(C605)&amp;" ")-1),",","."),FIND("/",SUBSTITUTE(LEFT(TRIM(C605),FIND(" ",TRIM(C605)&amp;" ")-1),",","."))+1,9)),IF(ISNUMBER(SEARCH("yea",C605)),IFERROR(_xlfn.NUMBERVALUE(SUBSTITUTE(LEFT(TRIM(C605),FIND(" ",TRIM(C605)&amp;" ")-1),",","."),"."),LEFT(SUBSTITUTE(LEFT(TRIM(C605),FIND(" ",TRIM(C605)&amp;" ")-1),",","."),FIND("/",SUBSTITUTE(LEFT(TRIM(C605),FIND(" ",TRIM(C605)&amp;" ")-1),",","."))-1)/MID(SUBSTITUTE(LEFT(TRIM(C605),FIND(" ",TRIM(C605)&amp;" ")-1),",","."),FIND("/",SUBSTITUTE(LEFT(TRIM(C605),FIND(" ",TRIM(C605)&amp;" ")-1),",","."))+1,9))*12,NA()))),0),12)*'Aturan &amp; Tarif'!$B$4,2)</f>
        <v>681.36</v>
      </c>
      <c r="K605" s="32" t="n">
        <f aca="false">'Aturan &amp; Tarif'!$B$5</f>
        <v>2050</v>
      </c>
      <c r="L605" s="35" t="n">
        <f aca="false">I605+J605+K605</f>
        <v>17481.36</v>
      </c>
      <c r="M605" s="36" t="s">
        <v>1154</v>
      </c>
    </row>
    <row r="606" customFormat="false" ht="60" hidden="false" customHeight="true" outlineLevel="0" collapsed="false">
      <c r="A606" s="29"/>
      <c r="B606" s="30" t="s">
        <v>1155</v>
      </c>
      <c r="C606" s="31" t="s">
        <v>107</v>
      </c>
      <c r="D606" s="31" t="s">
        <v>108</v>
      </c>
      <c r="E606" s="32" t="n">
        <v>7375</v>
      </c>
      <c r="F606" s="32"/>
      <c r="G606" s="32"/>
      <c r="H606" s="33" t="n">
        <v>2</v>
      </c>
      <c r="I606" s="34" t="n">
        <f aca="false">E606*H606+N(F606)+N(G606)</f>
        <v>14750</v>
      </c>
      <c r="J606" s="32" t="n">
        <f aca="false">ROUND(IFERROR(ROUND(IF(OR(ISNUMBER(SEARCH("week",C606)),ISNUMBER(SEARCH("minggu",C606))),IFERROR(_xlfn.NUMBERVALUE(SUBSTITUTE(LEFT(TRIM(C606),FIND(" ",TRIM(C606)&amp;" ")-1),",","."),"."),LEFT(SUBSTITUTE(LEFT(TRIM(C606),FIND(" ",TRIM(C606)&amp;" ")-1),",","."),FIND("/",SUBSTITUTE(LEFT(TRIM(C606),FIND(" ",TRIM(C606)&amp;" ")-1),",","."))-1)/MID(SUBSTITUTE(LEFT(TRIM(C606),FIND(" ",TRIM(C606)&amp;" ")-1),",","."),FIND("/",SUBSTITUTE(LEFT(TRIM(C606),FIND(" ",TRIM(C606)&amp;" ")-1),",","."))+1,9))*12/52,IF(ISNUMBER(SEARCH("month",C606)),IFERROR(_xlfn.NUMBERVALUE(SUBSTITUTE(LEFT(TRIM(C606),FIND(" ",TRIM(C606)&amp;" ")-1),",","."),"."),LEFT(SUBSTITUTE(LEFT(TRIM(C606),FIND(" ",TRIM(C606)&amp;" ")-1),",","."),FIND("/",SUBSTITUTE(LEFT(TRIM(C606),FIND(" ",TRIM(C606)&amp;" ")-1),",","."))-1)/MID(SUBSTITUTE(LEFT(TRIM(C606),FIND(" ",TRIM(C606)&amp;" ")-1),",","."),FIND("/",SUBSTITUTE(LEFT(TRIM(C606),FIND(" ",TRIM(C606)&amp;" ")-1),",","."))+1,9)),IF(ISNUMBER(SEARCH("yea",C606)),IFERROR(_xlfn.NUMBERVALUE(SUBSTITUTE(LEFT(TRIM(C606),FIND(" ",TRIM(C606)&amp;" ")-1),",","."),"."),LEFT(SUBSTITUTE(LEFT(TRIM(C606),FIND(" ",TRIM(C606)&amp;" ")-1),",","."),FIND("/",SUBSTITUTE(LEFT(TRIM(C606),FIND(" ",TRIM(C606)&amp;" ")-1),",","."))-1)/MID(SUBSTITUTE(LEFT(TRIM(C606),FIND(" ",TRIM(C606)&amp;" ")-1),",","."),FIND("/",SUBSTITUTE(LEFT(TRIM(C606),FIND(" ",TRIM(C606)&amp;" ")-1),",","."))+1,9))*12,NA()))),0),24)*'Aturan &amp; Tarif'!$B$4,2)</f>
        <v>1362.72</v>
      </c>
      <c r="K606" s="32" t="n">
        <f aca="false">'Aturan &amp; Tarif'!$B$5</f>
        <v>2050</v>
      </c>
      <c r="L606" s="35" t="n">
        <f aca="false">I606+J606+K606</f>
        <v>18162.72</v>
      </c>
      <c r="M606" s="36" t="s">
        <v>1156</v>
      </c>
    </row>
    <row r="607" customFormat="false" ht="60" hidden="false" customHeight="true" outlineLevel="0" collapsed="false">
      <c r="A607" s="29"/>
      <c r="B607" s="30" t="s">
        <v>407</v>
      </c>
      <c r="C607" s="31" t="s">
        <v>107</v>
      </c>
      <c r="D607" s="31" t="s">
        <v>108</v>
      </c>
      <c r="E607" s="32" t="n">
        <v>7375</v>
      </c>
      <c r="F607" s="32"/>
      <c r="G607" s="32"/>
      <c r="H607" s="33" t="n">
        <v>2</v>
      </c>
      <c r="I607" s="34" t="n">
        <f aca="false">E607*H607+N(F607)+N(G607)</f>
        <v>14750</v>
      </c>
      <c r="J607" s="32" t="n">
        <f aca="false">ROUND(IFERROR(ROUND(IF(OR(ISNUMBER(SEARCH("week",C607)),ISNUMBER(SEARCH("minggu",C607))),IFERROR(_xlfn.NUMBERVALUE(SUBSTITUTE(LEFT(TRIM(C607),FIND(" ",TRIM(C607)&amp;" ")-1),",","."),"."),LEFT(SUBSTITUTE(LEFT(TRIM(C607),FIND(" ",TRIM(C607)&amp;" ")-1),",","."),FIND("/",SUBSTITUTE(LEFT(TRIM(C607),FIND(" ",TRIM(C607)&amp;" ")-1),",","."))-1)/MID(SUBSTITUTE(LEFT(TRIM(C607),FIND(" ",TRIM(C607)&amp;" ")-1),",","."),FIND("/",SUBSTITUTE(LEFT(TRIM(C607),FIND(" ",TRIM(C607)&amp;" ")-1),",","."))+1,9))*12/52,IF(ISNUMBER(SEARCH("month",C607)),IFERROR(_xlfn.NUMBERVALUE(SUBSTITUTE(LEFT(TRIM(C607),FIND(" ",TRIM(C607)&amp;" ")-1),",","."),"."),LEFT(SUBSTITUTE(LEFT(TRIM(C607),FIND(" ",TRIM(C607)&amp;" ")-1),",","."),FIND("/",SUBSTITUTE(LEFT(TRIM(C607),FIND(" ",TRIM(C607)&amp;" ")-1),",","."))-1)/MID(SUBSTITUTE(LEFT(TRIM(C607),FIND(" ",TRIM(C607)&amp;" ")-1),",","."),FIND("/",SUBSTITUTE(LEFT(TRIM(C607),FIND(" ",TRIM(C607)&amp;" ")-1),",","."))+1,9)),IF(ISNUMBER(SEARCH("yea",C607)),IFERROR(_xlfn.NUMBERVALUE(SUBSTITUTE(LEFT(TRIM(C607),FIND(" ",TRIM(C607)&amp;" ")-1),",","."),"."),LEFT(SUBSTITUTE(LEFT(TRIM(C607),FIND(" ",TRIM(C607)&amp;" ")-1),",","."),FIND("/",SUBSTITUTE(LEFT(TRIM(C607),FIND(" ",TRIM(C607)&amp;" ")-1),",","."))-1)/MID(SUBSTITUTE(LEFT(TRIM(C607),FIND(" ",TRIM(C607)&amp;" ")-1),",","."),FIND("/",SUBSTITUTE(LEFT(TRIM(C607),FIND(" ",TRIM(C607)&amp;" ")-1),",","."))+1,9))*12,NA()))),0),24)*'Aturan &amp; Tarif'!$B$4,2)</f>
        <v>1362.72</v>
      </c>
      <c r="K607" s="32" t="n">
        <f aca="false">'Aturan &amp; Tarif'!$B$5</f>
        <v>2050</v>
      </c>
      <c r="L607" s="35" t="n">
        <f aca="false">I607+J607+K607</f>
        <v>18162.72</v>
      </c>
      <c r="M607" s="36" t="s">
        <v>1157</v>
      </c>
    </row>
    <row r="608" customFormat="false" ht="60" hidden="false" customHeight="true" outlineLevel="0" collapsed="false">
      <c r="A608" s="29"/>
      <c r="B608" s="30" t="s">
        <v>406</v>
      </c>
      <c r="C608" s="31" t="s">
        <v>127</v>
      </c>
      <c r="D608" s="31" t="s">
        <v>108</v>
      </c>
      <c r="E608" s="32" t="n">
        <v>7375</v>
      </c>
      <c r="F608" s="32"/>
      <c r="G608" s="32"/>
      <c r="H608" s="33" t="n">
        <v>2</v>
      </c>
      <c r="I608" s="34" t="n">
        <f aca="false">E608*H608+N(F608)+N(G608)</f>
        <v>14750</v>
      </c>
      <c r="J608" s="32" t="n">
        <f aca="false">ROUND(IFERROR(ROUND(IF(OR(ISNUMBER(SEARCH("week",C608)),ISNUMBER(SEARCH("minggu",C608))),IFERROR(_xlfn.NUMBERVALUE(SUBSTITUTE(LEFT(TRIM(C608),FIND(" ",TRIM(C608)&amp;" ")-1),",","."),"."),LEFT(SUBSTITUTE(LEFT(TRIM(C608),FIND(" ",TRIM(C608)&amp;" ")-1),",","."),FIND("/",SUBSTITUTE(LEFT(TRIM(C608),FIND(" ",TRIM(C608)&amp;" ")-1),",","."))-1)/MID(SUBSTITUTE(LEFT(TRIM(C608),FIND(" ",TRIM(C608)&amp;" ")-1),",","."),FIND("/",SUBSTITUTE(LEFT(TRIM(C608),FIND(" ",TRIM(C608)&amp;" ")-1),",","."))+1,9))*12/52,IF(ISNUMBER(SEARCH("month",C608)),IFERROR(_xlfn.NUMBERVALUE(SUBSTITUTE(LEFT(TRIM(C608),FIND(" ",TRIM(C608)&amp;" ")-1),",","."),"."),LEFT(SUBSTITUTE(LEFT(TRIM(C608),FIND(" ",TRIM(C608)&amp;" ")-1),",","."),FIND("/",SUBSTITUTE(LEFT(TRIM(C608),FIND(" ",TRIM(C608)&amp;" ")-1),",","."))-1)/MID(SUBSTITUTE(LEFT(TRIM(C608),FIND(" ",TRIM(C608)&amp;" ")-1),",","."),FIND("/",SUBSTITUTE(LEFT(TRIM(C608),FIND(" ",TRIM(C608)&amp;" ")-1),",","."))+1,9)),IF(ISNUMBER(SEARCH("yea",C608)),IFERROR(_xlfn.NUMBERVALUE(SUBSTITUTE(LEFT(TRIM(C608),FIND(" ",TRIM(C608)&amp;" ")-1),",","."),"."),LEFT(SUBSTITUTE(LEFT(TRIM(C608),FIND(" ",TRIM(C608)&amp;" ")-1),",","."),FIND("/",SUBSTITUTE(LEFT(TRIM(C608),FIND(" ",TRIM(C608)&amp;" ")-1),",","."))-1)/MID(SUBSTITUTE(LEFT(TRIM(C608),FIND(" ",TRIM(C608)&amp;" ")-1),",","."),FIND("/",SUBSTITUTE(LEFT(TRIM(C608),FIND(" ",TRIM(C608)&amp;" ")-1),",","."))+1,9))*12,NA()))),0),36)*'Aturan &amp; Tarif'!$B$4,2)</f>
        <v>2044.08</v>
      </c>
      <c r="K608" s="32" t="n">
        <f aca="false">'Aturan &amp; Tarif'!$B$5</f>
        <v>2050</v>
      </c>
      <c r="L608" s="35" t="n">
        <f aca="false">I608+J608+K608</f>
        <v>18844.08</v>
      </c>
      <c r="M608" s="36" t="s">
        <v>1158</v>
      </c>
    </row>
    <row r="609" customFormat="false" ht="60" hidden="false" customHeight="true" outlineLevel="0" collapsed="false">
      <c r="A609" s="29"/>
      <c r="B609" s="30" t="s">
        <v>1159</v>
      </c>
      <c r="C609" s="31" t="s">
        <v>127</v>
      </c>
      <c r="D609" s="31" t="s">
        <v>108</v>
      </c>
      <c r="E609" s="32" t="n">
        <v>7375</v>
      </c>
      <c r="F609" s="32"/>
      <c r="G609" s="32"/>
      <c r="H609" s="33" t="n">
        <v>2</v>
      </c>
      <c r="I609" s="34" t="n">
        <f aca="false">E609*H609+N(F609)+N(G609)</f>
        <v>14750</v>
      </c>
      <c r="J609" s="32" t="n">
        <f aca="false">ROUND(IFERROR(ROUND(IF(OR(ISNUMBER(SEARCH("week",C609)),ISNUMBER(SEARCH("minggu",C609))),IFERROR(_xlfn.NUMBERVALUE(SUBSTITUTE(LEFT(TRIM(C609),FIND(" ",TRIM(C609)&amp;" ")-1),",","."),"."),LEFT(SUBSTITUTE(LEFT(TRIM(C609),FIND(" ",TRIM(C609)&amp;" ")-1),",","."),FIND("/",SUBSTITUTE(LEFT(TRIM(C609),FIND(" ",TRIM(C609)&amp;" ")-1),",","."))-1)/MID(SUBSTITUTE(LEFT(TRIM(C609),FIND(" ",TRIM(C609)&amp;" ")-1),",","."),FIND("/",SUBSTITUTE(LEFT(TRIM(C609),FIND(" ",TRIM(C609)&amp;" ")-1),",","."))+1,9))*12/52,IF(ISNUMBER(SEARCH("month",C609)),IFERROR(_xlfn.NUMBERVALUE(SUBSTITUTE(LEFT(TRIM(C609),FIND(" ",TRIM(C609)&amp;" ")-1),",","."),"."),LEFT(SUBSTITUTE(LEFT(TRIM(C609),FIND(" ",TRIM(C609)&amp;" ")-1),",","."),FIND("/",SUBSTITUTE(LEFT(TRIM(C609),FIND(" ",TRIM(C609)&amp;" ")-1),",","."))-1)/MID(SUBSTITUTE(LEFT(TRIM(C609),FIND(" ",TRIM(C609)&amp;" ")-1),",","."),FIND("/",SUBSTITUTE(LEFT(TRIM(C609),FIND(" ",TRIM(C609)&amp;" ")-1),",","."))+1,9)),IF(ISNUMBER(SEARCH("yea",C609)),IFERROR(_xlfn.NUMBERVALUE(SUBSTITUTE(LEFT(TRIM(C609),FIND(" ",TRIM(C609)&amp;" ")-1),",","."),"."),LEFT(SUBSTITUTE(LEFT(TRIM(C609),FIND(" ",TRIM(C609)&amp;" ")-1),",","."),FIND("/",SUBSTITUTE(LEFT(TRIM(C609),FIND(" ",TRIM(C609)&amp;" ")-1),",","."))-1)/MID(SUBSTITUTE(LEFT(TRIM(C609),FIND(" ",TRIM(C609)&amp;" ")-1),",","."),FIND("/",SUBSTITUTE(LEFT(TRIM(C609),FIND(" ",TRIM(C609)&amp;" ")-1),",","."))+1,9))*12,NA()))),0),36)*'Aturan &amp; Tarif'!$B$4,2)</f>
        <v>2044.08</v>
      </c>
      <c r="K609" s="32" t="n">
        <f aca="false">'Aturan &amp; Tarif'!$B$5</f>
        <v>2050</v>
      </c>
      <c r="L609" s="35" t="n">
        <f aca="false">I609+J609+K609</f>
        <v>18844.08</v>
      </c>
      <c r="M609" s="36" t="s">
        <v>1160</v>
      </c>
    </row>
    <row r="610" customFormat="false" ht="14.25" hidden="false" customHeight="true" outlineLevel="0" collapsed="false">
      <c r="A610" s="29"/>
      <c r="B610" s="30" t="s">
        <v>1161</v>
      </c>
      <c r="C610" s="31" t="s">
        <v>127</v>
      </c>
      <c r="D610" s="31" t="s">
        <v>108</v>
      </c>
      <c r="E610" s="32" t="n">
        <v>7375</v>
      </c>
      <c r="F610" s="32"/>
      <c r="G610" s="32"/>
      <c r="H610" s="33" t="n">
        <v>2</v>
      </c>
      <c r="I610" s="34" t="n">
        <f aca="false">E610*H610+N(F610)+N(G610)</f>
        <v>14750</v>
      </c>
      <c r="J610" s="32" t="n">
        <f aca="false">ROUND(IFERROR(ROUND(IF(OR(ISNUMBER(SEARCH("week",C610)),ISNUMBER(SEARCH("minggu",C610))),IFERROR(_xlfn.NUMBERVALUE(SUBSTITUTE(LEFT(TRIM(C610),FIND(" ",TRIM(C610)&amp;" ")-1),",","."),"."),LEFT(SUBSTITUTE(LEFT(TRIM(C610),FIND(" ",TRIM(C610)&amp;" ")-1),",","."),FIND("/",SUBSTITUTE(LEFT(TRIM(C610),FIND(" ",TRIM(C610)&amp;" ")-1),",","."))-1)/MID(SUBSTITUTE(LEFT(TRIM(C610),FIND(" ",TRIM(C610)&amp;" ")-1),",","."),FIND("/",SUBSTITUTE(LEFT(TRIM(C610),FIND(" ",TRIM(C610)&amp;" ")-1),",","."))+1,9))*12/52,IF(ISNUMBER(SEARCH("month",C610)),IFERROR(_xlfn.NUMBERVALUE(SUBSTITUTE(LEFT(TRIM(C610),FIND(" ",TRIM(C610)&amp;" ")-1),",","."),"."),LEFT(SUBSTITUTE(LEFT(TRIM(C610),FIND(" ",TRIM(C610)&amp;" ")-1),",","."),FIND("/",SUBSTITUTE(LEFT(TRIM(C610),FIND(" ",TRIM(C610)&amp;" ")-1),",","."))-1)/MID(SUBSTITUTE(LEFT(TRIM(C610),FIND(" ",TRIM(C610)&amp;" ")-1),",","."),FIND("/",SUBSTITUTE(LEFT(TRIM(C610),FIND(" ",TRIM(C610)&amp;" ")-1),",","."))+1,9)),IF(ISNUMBER(SEARCH("yea",C610)),IFERROR(_xlfn.NUMBERVALUE(SUBSTITUTE(LEFT(TRIM(C610),FIND(" ",TRIM(C610)&amp;" ")-1),",","."),"."),LEFT(SUBSTITUTE(LEFT(TRIM(C610),FIND(" ",TRIM(C610)&amp;" ")-1),",","."),FIND("/",SUBSTITUTE(LEFT(TRIM(C610),FIND(" ",TRIM(C610)&amp;" ")-1),",","."))-1)/MID(SUBSTITUTE(LEFT(TRIM(C610),FIND(" ",TRIM(C610)&amp;" ")-1),",","."),FIND("/",SUBSTITUTE(LEFT(TRIM(C610),FIND(" ",TRIM(C610)&amp;" ")-1),",","."))+1,9))*12,NA()))),0),36)*'Aturan &amp; Tarif'!$B$4,2)</f>
        <v>2044.08</v>
      </c>
      <c r="K610" s="32" t="n">
        <f aca="false">'Aturan &amp; Tarif'!$B$5</f>
        <v>2050</v>
      </c>
      <c r="L610" s="35" t="n">
        <f aca="false">I610+J610+K610</f>
        <v>18844.08</v>
      </c>
      <c r="M610" s="37" t="s">
        <v>1162</v>
      </c>
    </row>
    <row r="611" customFormat="false" ht="37.5" hidden="false" customHeight="true" outlineLevel="0" collapsed="false">
      <c r="A611" s="39" t="s">
        <v>1787</v>
      </c>
      <c r="B611" s="40" t="s">
        <v>1788</v>
      </c>
      <c r="C611" s="41" t="s">
        <v>127</v>
      </c>
      <c r="D611" s="41" t="s">
        <v>108</v>
      </c>
      <c r="E611" s="42" t="n">
        <v>5700</v>
      </c>
      <c r="F611" s="42"/>
      <c r="G611" s="42"/>
      <c r="H611" s="43" t="n">
        <v>2</v>
      </c>
      <c r="I611" s="34" t="n">
        <f aca="false">E611*H611+N(F611)+N(G611)</f>
        <v>11400</v>
      </c>
      <c r="J611" s="42" t="n">
        <f aca="false">ROUND(IFERROR(ROUND(IF(OR(ISNUMBER(SEARCH("week",C611)),ISNUMBER(SEARCH("minggu",C611))),IFERROR(_xlfn.NUMBERVALUE(SUBSTITUTE(LEFT(TRIM(C611),FIND(" ",TRIM(C611)&amp;" ")-1),",","."),"."),LEFT(SUBSTITUTE(LEFT(TRIM(C611),FIND(" ",TRIM(C611)&amp;" ")-1),",","."),FIND("/",SUBSTITUTE(LEFT(TRIM(C611),FIND(" ",TRIM(C611)&amp;" ")-1),",","."))-1)/MID(SUBSTITUTE(LEFT(TRIM(C611),FIND(" ",TRIM(C611)&amp;" ")-1),",","."),FIND("/",SUBSTITUTE(LEFT(TRIM(C611),FIND(" ",TRIM(C611)&amp;" ")-1),",","."))+1,9))*12/52,IF(ISNUMBER(SEARCH("month",C611)),IFERROR(_xlfn.NUMBERVALUE(SUBSTITUTE(LEFT(TRIM(C611),FIND(" ",TRIM(C611)&amp;" ")-1),",","."),"."),LEFT(SUBSTITUTE(LEFT(TRIM(C611),FIND(" ",TRIM(C611)&amp;" ")-1),",","."),FIND("/",SUBSTITUTE(LEFT(TRIM(C611),FIND(" ",TRIM(C611)&amp;" ")-1),",","."))-1)/MID(SUBSTITUTE(LEFT(TRIM(C611),FIND(" ",TRIM(C611)&amp;" ")-1),",","."),FIND("/",SUBSTITUTE(LEFT(TRIM(C611),FIND(" ",TRIM(C611)&amp;" ")-1),",","."))+1,9)),IF(ISNUMBER(SEARCH("yea",C611)),IFERROR(_xlfn.NUMBERVALUE(SUBSTITUTE(LEFT(TRIM(C611),FIND(" ",TRIM(C611)&amp;" ")-1),",","."),"."),LEFT(SUBSTITUTE(LEFT(TRIM(C611),FIND(" ",TRIM(C611)&amp;" ")-1),",","."),FIND("/",SUBSTITUTE(LEFT(TRIM(C611),FIND(" ",TRIM(C611)&amp;" ")-1),",","."))-1)/MID(SUBSTITUTE(LEFT(TRIM(C611),FIND(" ",TRIM(C611)&amp;" ")-1),",","."),FIND("/",SUBSTITUTE(LEFT(TRIM(C611),FIND(" ",TRIM(C611)&amp;" ")-1),",","."))+1,9))*12,NA()))),0),36)*'Aturan &amp; Tarif'!$B$4,2)</f>
        <v>2044.08</v>
      </c>
      <c r="K611" s="42" t="n">
        <f aca="false">'Aturan &amp; Tarif'!$B$5</f>
        <v>2050</v>
      </c>
      <c r="L611" s="35" t="n">
        <f aca="false">I611+J611+K611</f>
        <v>15494.08</v>
      </c>
      <c r="M611" s="45" t="s">
        <v>3415</v>
      </c>
    </row>
    <row r="612" customFormat="false" ht="25.5" hidden="false" customHeight="true" outlineLevel="0" collapsed="false">
      <c r="A612" s="39"/>
      <c r="B612" s="40" t="s">
        <v>1790</v>
      </c>
      <c r="C612" s="41" t="s">
        <v>127</v>
      </c>
      <c r="D612" s="41" t="s">
        <v>108</v>
      </c>
      <c r="E612" s="42" t="n">
        <v>6500</v>
      </c>
      <c r="F612" s="42"/>
      <c r="G612" s="42"/>
      <c r="H612" s="43" t="n">
        <v>2</v>
      </c>
      <c r="I612" s="34" t="n">
        <f aca="false">E612*H612+N(F612)+N(G612)</f>
        <v>13000</v>
      </c>
      <c r="J612" s="42" t="n">
        <f aca="false">ROUND(IFERROR(ROUND(IF(OR(ISNUMBER(SEARCH("week",C612)),ISNUMBER(SEARCH("minggu",C612))),IFERROR(_xlfn.NUMBERVALUE(SUBSTITUTE(LEFT(TRIM(C612),FIND(" ",TRIM(C612)&amp;" ")-1),",","."),"."),LEFT(SUBSTITUTE(LEFT(TRIM(C612),FIND(" ",TRIM(C612)&amp;" ")-1),",","."),FIND("/",SUBSTITUTE(LEFT(TRIM(C612),FIND(" ",TRIM(C612)&amp;" ")-1),",","."))-1)/MID(SUBSTITUTE(LEFT(TRIM(C612),FIND(" ",TRIM(C612)&amp;" ")-1),",","."),FIND("/",SUBSTITUTE(LEFT(TRIM(C612),FIND(" ",TRIM(C612)&amp;" ")-1),",","."))+1,9))*12/52,IF(ISNUMBER(SEARCH("month",C612)),IFERROR(_xlfn.NUMBERVALUE(SUBSTITUTE(LEFT(TRIM(C612),FIND(" ",TRIM(C612)&amp;" ")-1),",","."),"."),LEFT(SUBSTITUTE(LEFT(TRIM(C612),FIND(" ",TRIM(C612)&amp;" ")-1),",","."),FIND("/",SUBSTITUTE(LEFT(TRIM(C612),FIND(" ",TRIM(C612)&amp;" ")-1),",","."))-1)/MID(SUBSTITUTE(LEFT(TRIM(C612),FIND(" ",TRIM(C612)&amp;" ")-1),",","."),FIND("/",SUBSTITUTE(LEFT(TRIM(C612),FIND(" ",TRIM(C612)&amp;" ")-1),",","."))+1,9)),IF(ISNUMBER(SEARCH("yea",C612)),IFERROR(_xlfn.NUMBERVALUE(SUBSTITUTE(LEFT(TRIM(C612),FIND(" ",TRIM(C612)&amp;" ")-1),",","."),"."),LEFT(SUBSTITUTE(LEFT(TRIM(C612),FIND(" ",TRIM(C612)&amp;" ")-1),",","."),FIND("/",SUBSTITUTE(LEFT(TRIM(C612),FIND(" ",TRIM(C612)&amp;" ")-1),",","."))-1)/MID(SUBSTITUTE(LEFT(TRIM(C612),FIND(" ",TRIM(C612)&amp;" ")-1),",","."),FIND("/",SUBSTITUTE(LEFT(TRIM(C612),FIND(" ",TRIM(C612)&amp;" ")-1),",","."))+1,9))*12,NA()))),0),36)*'Aturan &amp; Tarif'!$B$4,2)</f>
        <v>2044.08</v>
      </c>
      <c r="K612" s="42" t="n">
        <f aca="false">'Aturan &amp; Tarif'!$B$5</f>
        <v>2050</v>
      </c>
      <c r="L612" s="35" t="n">
        <f aca="false">I612+J612+K612</f>
        <v>17094.08</v>
      </c>
      <c r="M612" s="45" t="s">
        <v>3415</v>
      </c>
    </row>
    <row r="613" customFormat="false" ht="25.5" hidden="false" customHeight="true" outlineLevel="0" collapsed="false">
      <c r="A613" s="39"/>
      <c r="B613" s="40" t="s">
        <v>1791</v>
      </c>
      <c r="C613" s="41" t="s">
        <v>107</v>
      </c>
      <c r="D613" s="41" t="s">
        <v>108</v>
      </c>
      <c r="E613" s="42" t="n">
        <v>6300</v>
      </c>
      <c r="F613" s="42"/>
      <c r="G613" s="42"/>
      <c r="H613" s="43" t="n">
        <v>2</v>
      </c>
      <c r="I613" s="34" t="n">
        <f aca="false">E613*H613+N(F613)+N(G613)</f>
        <v>12600</v>
      </c>
      <c r="J613" s="42" t="n">
        <f aca="false">ROUND(IFERROR(ROUND(IF(OR(ISNUMBER(SEARCH("week",C613)),ISNUMBER(SEARCH("minggu",C613))),IFERROR(_xlfn.NUMBERVALUE(SUBSTITUTE(LEFT(TRIM(C613),FIND(" ",TRIM(C613)&amp;" ")-1),",","."),"."),LEFT(SUBSTITUTE(LEFT(TRIM(C613),FIND(" ",TRIM(C613)&amp;" ")-1),",","."),FIND("/",SUBSTITUTE(LEFT(TRIM(C613),FIND(" ",TRIM(C613)&amp;" ")-1),",","."))-1)/MID(SUBSTITUTE(LEFT(TRIM(C613),FIND(" ",TRIM(C613)&amp;" ")-1),",","."),FIND("/",SUBSTITUTE(LEFT(TRIM(C613),FIND(" ",TRIM(C613)&amp;" ")-1),",","."))+1,9))*12/52,IF(ISNUMBER(SEARCH("month",C613)),IFERROR(_xlfn.NUMBERVALUE(SUBSTITUTE(LEFT(TRIM(C613),FIND(" ",TRIM(C613)&amp;" ")-1),",","."),"."),LEFT(SUBSTITUTE(LEFT(TRIM(C613),FIND(" ",TRIM(C613)&amp;" ")-1),",","."),FIND("/",SUBSTITUTE(LEFT(TRIM(C613),FIND(" ",TRIM(C613)&amp;" ")-1),",","."))-1)/MID(SUBSTITUTE(LEFT(TRIM(C613),FIND(" ",TRIM(C613)&amp;" ")-1),",","."),FIND("/",SUBSTITUTE(LEFT(TRIM(C613),FIND(" ",TRIM(C613)&amp;" ")-1),",","."))+1,9)),IF(ISNUMBER(SEARCH("yea",C613)),IFERROR(_xlfn.NUMBERVALUE(SUBSTITUTE(LEFT(TRIM(C613),FIND(" ",TRIM(C613)&amp;" ")-1),",","."),"."),LEFT(SUBSTITUTE(LEFT(TRIM(C613),FIND(" ",TRIM(C613)&amp;" ")-1),",","."),FIND("/",SUBSTITUTE(LEFT(TRIM(C613),FIND(" ",TRIM(C613)&amp;" ")-1),",","."))-1)/MID(SUBSTITUTE(LEFT(TRIM(C613),FIND(" ",TRIM(C613)&amp;" ")-1),",","."),FIND("/",SUBSTITUTE(LEFT(TRIM(C613),FIND(" ",TRIM(C613)&amp;" ")-1),",","."))+1,9))*12,NA()))),0),24)*'Aturan &amp; Tarif'!$B$4,2)</f>
        <v>1362.72</v>
      </c>
      <c r="K613" s="42" t="n">
        <f aca="false">'Aturan &amp; Tarif'!$B$5</f>
        <v>2050</v>
      </c>
      <c r="L613" s="35" t="n">
        <f aca="false">I613+J613+K613</f>
        <v>16012.72</v>
      </c>
      <c r="M613" s="45" t="s">
        <v>3415</v>
      </c>
    </row>
    <row r="614" customFormat="false" ht="14.25" hidden="false" customHeight="true" outlineLevel="0" collapsed="false">
      <c r="A614" s="39"/>
      <c r="B614" s="40" t="s">
        <v>1792</v>
      </c>
      <c r="C614" s="41" t="s">
        <v>107</v>
      </c>
      <c r="D614" s="41" t="s">
        <v>108</v>
      </c>
      <c r="E614" s="42" t="n">
        <v>6300</v>
      </c>
      <c r="F614" s="42"/>
      <c r="G614" s="42"/>
      <c r="H614" s="43" t="n">
        <v>2</v>
      </c>
      <c r="I614" s="34" t="n">
        <f aca="false">E614*H614+N(F614)+N(G614)</f>
        <v>12600</v>
      </c>
      <c r="J614" s="42" t="n">
        <f aca="false">ROUND(IFERROR(ROUND(IF(OR(ISNUMBER(SEARCH("week",C614)),ISNUMBER(SEARCH("minggu",C614))),IFERROR(_xlfn.NUMBERVALUE(SUBSTITUTE(LEFT(TRIM(C614),FIND(" ",TRIM(C614)&amp;" ")-1),",","."),"."),LEFT(SUBSTITUTE(LEFT(TRIM(C614),FIND(" ",TRIM(C614)&amp;" ")-1),",","."),FIND("/",SUBSTITUTE(LEFT(TRIM(C614),FIND(" ",TRIM(C614)&amp;" ")-1),",","."))-1)/MID(SUBSTITUTE(LEFT(TRIM(C614),FIND(" ",TRIM(C614)&amp;" ")-1),",","."),FIND("/",SUBSTITUTE(LEFT(TRIM(C614),FIND(" ",TRIM(C614)&amp;" ")-1),",","."))+1,9))*12/52,IF(ISNUMBER(SEARCH("month",C614)),IFERROR(_xlfn.NUMBERVALUE(SUBSTITUTE(LEFT(TRIM(C614),FIND(" ",TRIM(C614)&amp;" ")-1),",","."),"."),LEFT(SUBSTITUTE(LEFT(TRIM(C614),FIND(" ",TRIM(C614)&amp;" ")-1),",","."),FIND("/",SUBSTITUTE(LEFT(TRIM(C614),FIND(" ",TRIM(C614)&amp;" ")-1),",","."))-1)/MID(SUBSTITUTE(LEFT(TRIM(C614),FIND(" ",TRIM(C614)&amp;" ")-1),",","."),FIND("/",SUBSTITUTE(LEFT(TRIM(C614),FIND(" ",TRIM(C614)&amp;" ")-1),",","."))+1,9)),IF(ISNUMBER(SEARCH("yea",C614)),IFERROR(_xlfn.NUMBERVALUE(SUBSTITUTE(LEFT(TRIM(C614),FIND(" ",TRIM(C614)&amp;" ")-1),",","."),"."),LEFT(SUBSTITUTE(LEFT(TRIM(C614),FIND(" ",TRIM(C614)&amp;" ")-1),",","."),FIND("/",SUBSTITUTE(LEFT(TRIM(C614),FIND(" ",TRIM(C614)&amp;" ")-1),",","."))-1)/MID(SUBSTITUTE(LEFT(TRIM(C614),FIND(" ",TRIM(C614)&amp;" ")-1),",","."),FIND("/",SUBSTITUTE(LEFT(TRIM(C614),FIND(" ",TRIM(C614)&amp;" ")-1),",","."))+1,9))*12,NA()))),0),24)*'Aturan &amp; Tarif'!$B$4,2)</f>
        <v>1362.72</v>
      </c>
      <c r="K614" s="42" t="n">
        <f aca="false">'Aturan &amp; Tarif'!$B$5</f>
        <v>2050</v>
      </c>
      <c r="L614" s="35" t="n">
        <f aca="false">I614+J614+K614</f>
        <v>16012.72</v>
      </c>
      <c r="M614" s="45" t="s">
        <v>3415</v>
      </c>
    </row>
    <row r="615" customFormat="false" ht="25.5" hidden="false" customHeight="true" outlineLevel="0" collapsed="false">
      <c r="A615" s="39"/>
      <c r="B615" s="40" t="s">
        <v>1793</v>
      </c>
      <c r="C615" s="41" t="s">
        <v>107</v>
      </c>
      <c r="D615" s="41" t="s">
        <v>108</v>
      </c>
      <c r="E615" s="42" t="n">
        <v>6500</v>
      </c>
      <c r="F615" s="42"/>
      <c r="G615" s="42"/>
      <c r="H615" s="43" t="n">
        <v>2</v>
      </c>
      <c r="I615" s="34" t="n">
        <f aca="false">E615*H615+N(F615)+N(G615)</f>
        <v>13000</v>
      </c>
      <c r="J615" s="42" t="n">
        <f aca="false">ROUND(IFERROR(ROUND(IF(OR(ISNUMBER(SEARCH("week",C615)),ISNUMBER(SEARCH("minggu",C615))),IFERROR(_xlfn.NUMBERVALUE(SUBSTITUTE(LEFT(TRIM(C615),FIND(" ",TRIM(C615)&amp;" ")-1),",","."),"."),LEFT(SUBSTITUTE(LEFT(TRIM(C615),FIND(" ",TRIM(C615)&amp;" ")-1),",","."),FIND("/",SUBSTITUTE(LEFT(TRIM(C615),FIND(" ",TRIM(C615)&amp;" ")-1),",","."))-1)/MID(SUBSTITUTE(LEFT(TRIM(C615),FIND(" ",TRIM(C615)&amp;" ")-1),",","."),FIND("/",SUBSTITUTE(LEFT(TRIM(C615),FIND(" ",TRIM(C615)&amp;" ")-1),",","."))+1,9))*12/52,IF(ISNUMBER(SEARCH("month",C615)),IFERROR(_xlfn.NUMBERVALUE(SUBSTITUTE(LEFT(TRIM(C615),FIND(" ",TRIM(C615)&amp;" ")-1),",","."),"."),LEFT(SUBSTITUTE(LEFT(TRIM(C615),FIND(" ",TRIM(C615)&amp;" ")-1),",","."),FIND("/",SUBSTITUTE(LEFT(TRIM(C615),FIND(" ",TRIM(C615)&amp;" ")-1),",","."))-1)/MID(SUBSTITUTE(LEFT(TRIM(C615),FIND(" ",TRIM(C615)&amp;" ")-1),",","."),FIND("/",SUBSTITUTE(LEFT(TRIM(C615),FIND(" ",TRIM(C615)&amp;" ")-1),",","."))+1,9)),IF(ISNUMBER(SEARCH("yea",C615)),IFERROR(_xlfn.NUMBERVALUE(SUBSTITUTE(LEFT(TRIM(C615),FIND(" ",TRIM(C615)&amp;" ")-1),",","."),"."),LEFT(SUBSTITUTE(LEFT(TRIM(C615),FIND(" ",TRIM(C615)&amp;" ")-1),",","."),FIND("/",SUBSTITUTE(LEFT(TRIM(C615),FIND(" ",TRIM(C615)&amp;" ")-1),",","."))-1)/MID(SUBSTITUTE(LEFT(TRIM(C615),FIND(" ",TRIM(C615)&amp;" ")-1),",","."),FIND("/",SUBSTITUTE(LEFT(TRIM(C615),FIND(" ",TRIM(C615)&amp;" ")-1),",","."))+1,9))*12,NA()))),0),24)*'Aturan &amp; Tarif'!$B$4,2)</f>
        <v>1362.72</v>
      </c>
      <c r="K615" s="42" t="n">
        <f aca="false">'Aturan &amp; Tarif'!$B$5</f>
        <v>2050</v>
      </c>
      <c r="L615" s="35" t="n">
        <f aca="false">I615+J615+K615</f>
        <v>16412.72</v>
      </c>
      <c r="M615" s="45" t="s">
        <v>3415</v>
      </c>
    </row>
    <row r="617" customFormat="false" ht="12.75" hidden="false" customHeight="true" outlineLevel="0" collapsed="false">
      <c r="A617" s="38" t="s">
        <v>117</v>
      </c>
    </row>
    <row r="618" customFormat="false" ht="12.75" hidden="false" customHeight="true" outlineLevel="0" collapsed="false">
      <c r="A618" s="38" t="s">
        <v>118</v>
      </c>
    </row>
    <row r="619" customFormat="false" ht="12.75" hidden="false" customHeight="true" outlineLevel="0" collapsed="false">
      <c r="A619" s="38" t="s">
        <v>119</v>
      </c>
    </row>
    <row r="620" customFormat="false" ht="12.75" hidden="false" customHeight="true" outlineLevel="0" collapsed="false">
      <c r="A620" s="38" t="s">
        <v>120</v>
      </c>
    </row>
    <row r="621" customFormat="false" ht="12.75" hidden="false" customHeight="true" outlineLevel="0" collapsed="false">
      <c r="A621" s="38" t="s">
        <v>121</v>
      </c>
    </row>
    <row r="622" customFormat="false" ht="12.75" hidden="false" customHeight="true" outlineLevel="0" collapsed="false">
      <c r="A622" s="38" t="s">
        <v>3294</v>
      </c>
    </row>
    <row r="623" customFormat="false" ht="12.75" hidden="false" customHeight="true" outlineLevel="0" collapsed="false">
      <c r="A623" s="38" t="s">
        <v>3416</v>
      </c>
    </row>
    <row r="624" customFormat="false" ht="12.75" hidden="false" customHeight="true" outlineLevel="0" collapsed="false">
      <c r="A624" s="38" t="s">
        <v>122</v>
      </c>
    </row>
    <row r="625" customFormat="false" ht="12.75" hidden="false" customHeight="true" outlineLevel="0" collapsed="false">
      <c r="A625" s="38" t="s">
        <v>123</v>
      </c>
    </row>
    <row r="626" customFormat="false" ht="81.75" hidden="false" customHeight="true" outlineLevel="0" collapsed="false">
      <c r="A626" s="38" t="s">
        <v>3302</v>
      </c>
    </row>
  </sheetData>
  <autoFilter ref="A5:M615"/>
  <conditionalFormatting sqref="J6:J615">
    <cfRule type="expression" priority="2" aboveAverage="0" equalAverage="0" bottom="0" percent="0" rank="0" text="" dxfId="6">
      <formula>AND($E6&lt;&gt;"",OR(ISERROR(ROUND(IF(OR(ISNUMBER(SEARCH("week",C6)),ISNUMBER(SEARCH("minggu",C6))),IFERROR(_xlfn.NUMBERVALUE(SUBSTITUTE(LEFT(TRIM(C6),FIND("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")-1),",","."))+1,9))*12,NA()))),0)&lt;1,1),IFERROR(ROUND(IF(OR(ISNUMBER(SEARCH("week",C6)),ISNUMBER(SEARCH("minggu",C6))),IFERROR(_xlfn.NUMBERVALUE(SUBSTITUTE(LEFT(TRIM(C6),FIND("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")-1),",","."))+1,9))*12,NA()))),0)&gt;96,1)))</formula>
    </cfRule>
  </conditionalFormatting>
  <printOptions headings="false" gridLines="false" gridLinesSet="true" horizontalCentered="true" verticalCentered="false"/>
  <pageMargins left="0.3" right="0.3" top="0.5" bottom="0.5" header="0.2" footer="0.2"/>
  <pageSetup paperSize="9" scale="100" fitToWidth="1" fitToHeight="0" pageOrder="downThenOver" orientation="landscape" blackAndWhite="false" draft="false" cellComments="none" horizontalDpi="300" verticalDpi="300" copies="1"/>
  <headerFooter differentFirst="false" differentOddEven="false">
    <oddHeader>&amp;R&amp;8 ONSHORE - ADELAIDE</oddHeader>
    <oddFooter>&amp;L&amp;8 TEG Pricelist - harga bisa berubah sewaktu-waktu&amp;R&amp;8 Halaman &amp;P dari &amp;N</oddFooter>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398"/>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2" min="2" style="1" width="55"/>
    <col collapsed="false" customWidth="true" hidden="false" outlineLevel="0" max="3" min="3" style="1" width="14"/>
    <col collapsed="false" customWidth="true" hidden="false" outlineLevel="0" max="4" min="4" style="1" width="11"/>
    <col collapsed="false" customWidth="true" hidden="false" outlineLevel="0" max="5" min="5" style="1" width="12"/>
    <col collapsed="false" customWidth="true" hidden="false" outlineLevel="0" max="8" min="6" style="1" width="11"/>
    <col collapsed="false" customWidth="true" hidden="false" outlineLevel="0" max="9" min="9" style="1" width="15"/>
    <col collapsed="false" customWidth="true" hidden="false" outlineLevel="0" max="10" min="10" style="1" width="12"/>
    <col collapsed="false" customWidth="true" hidden="false" outlineLevel="0" max="11" min="11" style="1" width="10"/>
    <col collapsed="false" customWidth="true" hidden="false" outlineLevel="0" max="12" min="12" style="1" width="15"/>
    <col collapsed="false" customWidth="true" hidden="false" outlineLevel="0" max="13" min="13" style="1" width="110"/>
    <col collapsed="false" customWidth="true" hidden="false" outlineLevel="0" max="44" min="14" style="1" width="9"/>
  </cols>
  <sheetData>
    <row r="1" customFormat="false" ht="17.25" hidden="false" customHeight="true" outlineLevel="0" collapsed="false">
      <c r="A1" s="14" t="s">
        <v>3417</v>
      </c>
    </row>
    <row r="2" customFormat="false" ht="15" hidden="false" customHeight="true" outlineLevel="0" collapsed="false">
      <c r="A2" s="25" t="s">
        <v>91</v>
      </c>
    </row>
    <row r="3" customFormat="false" ht="15" hidden="false" customHeight="true" outlineLevel="0" collapsed="false">
      <c r="A3" s="26" t="s">
        <v>3014</v>
      </c>
    </row>
    <row r="5" customFormat="false" ht="36" hidden="false" customHeight="true" outlineLevel="0" collapsed="false">
      <c r="A5" s="27" t="s">
        <v>93</v>
      </c>
      <c r="B5" s="27" t="s">
        <v>94</v>
      </c>
      <c r="C5" s="27" t="s">
        <v>95</v>
      </c>
      <c r="D5" s="27" t="s">
        <v>96</v>
      </c>
      <c r="E5" s="27" t="s">
        <v>97</v>
      </c>
      <c r="F5" s="27" t="s">
        <v>98</v>
      </c>
      <c r="G5" s="27" t="s">
        <v>99</v>
      </c>
      <c r="H5" s="27" t="s">
        <v>100</v>
      </c>
      <c r="I5" s="27" t="s">
        <v>101</v>
      </c>
      <c r="J5" s="27" t="s">
        <v>10</v>
      </c>
      <c r="K5" s="27" t="s">
        <v>102</v>
      </c>
      <c r="L5" s="27" t="s">
        <v>104</v>
      </c>
      <c r="M5" s="28" t="s">
        <v>14</v>
      </c>
    </row>
    <row r="6" customFormat="false" ht="48.75" hidden="false" customHeight="true" outlineLevel="0" collapsed="false">
      <c r="A6" s="29" t="s">
        <v>827</v>
      </c>
      <c r="B6" s="30" t="s">
        <v>828</v>
      </c>
      <c r="C6" s="31" t="s">
        <v>138</v>
      </c>
      <c r="D6" s="31" t="s">
        <v>108</v>
      </c>
      <c r="E6" s="32" t="n">
        <v>2700</v>
      </c>
      <c r="F6" s="32" t="n">
        <v>1000</v>
      </c>
      <c r="G6" s="32" t="n">
        <v>200</v>
      </c>
      <c r="H6" s="33" t="n">
        <v>2</v>
      </c>
      <c r="I6" s="34" t="n">
        <f aca="false">E6*H6+N(F6)+N(G6)</f>
        <v>6600</v>
      </c>
      <c r="J6" s="32" t="n">
        <f aca="false">ROUND(IFERROR(ROUND(IF(OR(ISNUMBER(SEARCH("week",C6)),ISNUMBER(SEARCH("minggu",C6))),IFERROR(_xlfn.NUMBERVALUE(SUBSTITUTE(LEFT(TRIM(C6),FIND("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")-1),",","."))+1,9))*12,NA()))),0),30)*'Aturan &amp; Tarif'!$B$4,2)</f>
        <v>1703.4</v>
      </c>
      <c r="K6" s="32" t="n">
        <f aca="false">'Aturan &amp; Tarif'!$B$5</f>
        <v>2050</v>
      </c>
      <c r="L6" s="35" t="n">
        <f aca="false">I6+J6+K6</f>
        <v>10353.4</v>
      </c>
      <c r="M6" s="37" t="s">
        <v>829</v>
      </c>
    </row>
    <row r="7" customFormat="false" ht="25.5" hidden="false" customHeight="true" outlineLevel="0" collapsed="false">
      <c r="A7" s="29"/>
      <c r="B7" s="30" t="s">
        <v>830</v>
      </c>
      <c r="C7" s="31" t="s">
        <v>127</v>
      </c>
      <c r="D7" s="31" t="s">
        <v>108</v>
      </c>
      <c r="E7" s="32" t="n">
        <v>2500</v>
      </c>
      <c r="F7" s="32" t="n">
        <v>1200</v>
      </c>
      <c r="G7" s="32" t="n">
        <v>200</v>
      </c>
      <c r="H7" s="33" t="n">
        <v>2</v>
      </c>
      <c r="I7" s="34" t="n">
        <f aca="false">E7*H7+N(F7)+N(G7)</f>
        <v>6400</v>
      </c>
      <c r="J7" s="32" t="n">
        <f aca="false">ROUND(IFERROR(ROUND(IF(OR(ISNUMBER(SEARCH("week",C7)),ISNUMBER(SEARCH("minggu",C7))),IFERROR(_xlfn.NUMBERVALUE(SUBSTITUTE(LEFT(TRIM(C7),FIND(" ",TRIM(C7)&amp;" ")-1),",","."),"."),LEFT(SUBSTITUTE(LEFT(TRIM(C7),FIND(" ",TRIM(C7)&amp;" ")-1),",","."),FIND("/",SUBSTITUTE(LEFT(TRIM(C7),FIND(" ",TRIM(C7)&amp;" ")-1),",","."))-1)/MID(SUBSTITUTE(LEFT(TRIM(C7),FIND(" ",TRIM(C7)&amp;" ")-1),",","."),FIND("/",SUBSTITUTE(LEFT(TRIM(C7),FIND(" ",TRIM(C7)&amp;" ")-1),",","."))+1,9))*12/52,IF(ISNUMBER(SEARCH("month",C7)),IFERROR(_xlfn.NUMBERVALUE(SUBSTITUTE(LEFT(TRIM(C7),FIND(" ",TRIM(C7)&amp;" ")-1),",","."),"."),LEFT(SUBSTITUTE(LEFT(TRIM(C7),FIND(" ",TRIM(C7)&amp;" ")-1),",","."),FIND("/",SUBSTITUTE(LEFT(TRIM(C7),FIND(" ",TRIM(C7)&amp;" ")-1),",","."))-1)/MID(SUBSTITUTE(LEFT(TRIM(C7),FIND(" ",TRIM(C7)&amp;" ")-1),",","."),FIND("/",SUBSTITUTE(LEFT(TRIM(C7),FIND(" ",TRIM(C7)&amp;" ")-1),",","."))+1,9)),IF(ISNUMBER(SEARCH("yea",C7)),IFERROR(_xlfn.NUMBERVALUE(SUBSTITUTE(LEFT(TRIM(C7),FIND(" ",TRIM(C7)&amp;" ")-1),",","."),"."),LEFT(SUBSTITUTE(LEFT(TRIM(C7),FIND(" ",TRIM(C7)&amp;" ")-1),",","."),FIND("/",SUBSTITUTE(LEFT(TRIM(C7),FIND(" ",TRIM(C7)&amp;" ")-1),",","."))-1)/MID(SUBSTITUTE(LEFT(TRIM(C7),FIND(" ",TRIM(C7)&amp;" ")-1),",","."),FIND("/",SUBSTITUTE(LEFT(TRIM(C7),FIND(" ",TRIM(C7)&amp;" ")-1),",","."))+1,9))*12,NA()))),0),36)*'Aturan &amp; Tarif'!$B$4,2)</f>
        <v>2044.08</v>
      </c>
      <c r="K7" s="32" t="n">
        <f aca="false">'Aturan &amp; Tarif'!$B$5</f>
        <v>2050</v>
      </c>
      <c r="L7" s="35" t="n">
        <f aca="false">I7+J7+K7</f>
        <v>10494.08</v>
      </c>
      <c r="M7" s="37" t="s">
        <v>829</v>
      </c>
    </row>
    <row r="8" customFormat="false" ht="37.5" hidden="false" customHeight="true" outlineLevel="0" collapsed="false">
      <c r="A8" s="29" t="s">
        <v>831</v>
      </c>
      <c r="B8" s="30" t="s">
        <v>1276</v>
      </c>
      <c r="C8" s="31" t="s">
        <v>127</v>
      </c>
      <c r="D8" s="31" t="s">
        <v>108</v>
      </c>
      <c r="E8" s="32" t="n">
        <v>3250</v>
      </c>
      <c r="F8" s="32"/>
      <c r="G8" s="32" t="n">
        <v>250</v>
      </c>
      <c r="H8" s="33" t="n">
        <v>2</v>
      </c>
      <c r="I8" s="34" t="n">
        <f aca="false">E8*H8+N(F8)+N(G8)</f>
        <v>6750</v>
      </c>
      <c r="J8" s="32" t="n">
        <f aca="false">ROUND(IFERROR(ROUND(IF(OR(ISNUMBER(SEARCH("week",C8)),ISNUMBER(SEARCH("minggu",C8))),IFERROR(_xlfn.NUMBERVALUE(SUBSTITUTE(LEFT(TRIM(C8),FIND(" ",TRIM(C8)&amp;" ")-1),",","."),"."),LEFT(SUBSTITUTE(LEFT(TRIM(C8),FIND(" ",TRIM(C8)&amp;" ")-1),",","."),FIND("/",SUBSTITUTE(LEFT(TRIM(C8),FIND(" ",TRIM(C8)&amp;" ")-1),",","."))-1)/MID(SUBSTITUTE(LEFT(TRIM(C8),FIND(" ",TRIM(C8)&amp;" ")-1),",","."),FIND("/",SUBSTITUTE(LEFT(TRIM(C8),FIND(" ",TRIM(C8)&amp;" ")-1),",","."))+1,9))*12/52,IF(ISNUMBER(SEARCH("month",C8)),IFERROR(_xlfn.NUMBERVALUE(SUBSTITUTE(LEFT(TRIM(C8),FIND(" ",TRIM(C8)&amp;" ")-1),",","."),"."),LEFT(SUBSTITUTE(LEFT(TRIM(C8),FIND(" ",TRIM(C8)&amp;" ")-1),",","."),FIND("/",SUBSTITUTE(LEFT(TRIM(C8),FIND(" ",TRIM(C8)&amp;" ")-1),",","."))-1)/MID(SUBSTITUTE(LEFT(TRIM(C8),FIND(" ",TRIM(C8)&amp;" ")-1),",","."),FIND("/",SUBSTITUTE(LEFT(TRIM(C8),FIND(" ",TRIM(C8)&amp;" ")-1),",","."))+1,9)),IF(ISNUMBER(SEARCH("yea",C8)),IFERROR(_xlfn.NUMBERVALUE(SUBSTITUTE(LEFT(TRIM(C8),FIND(" ",TRIM(C8)&amp;" ")-1),",","."),"."),LEFT(SUBSTITUTE(LEFT(TRIM(C8),FIND(" ",TRIM(C8)&amp;" ")-1),",","."),FIND("/",SUBSTITUTE(LEFT(TRIM(C8),FIND(" ",TRIM(C8)&amp;" ")-1),",","."))-1)/MID(SUBSTITUTE(LEFT(TRIM(C8),FIND(" ",TRIM(C8)&amp;" ")-1),",","."),FIND("/",SUBSTITUTE(LEFT(TRIM(C8),FIND(" ",TRIM(C8)&amp;" ")-1),",","."))+1,9))*12,NA()))),0),36)*'Aturan &amp; Tarif'!$B$4,2)</f>
        <v>2044.08</v>
      </c>
      <c r="K8" s="32" t="n">
        <f aca="false">'Aturan &amp; Tarif'!$B$5</f>
        <v>2050</v>
      </c>
      <c r="L8" s="35" t="n">
        <f aca="false">I8+J8+K8</f>
        <v>10844.08</v>
      </c>
      <c r="M8" s="37" t="s">
        <v>3053</v>
      </c>
    </row>
    <row r="9" customFormat="false" ht="14.25" hidden="false" customHeight="true" outlineLevel="0" collapsed="false">
      <c r="A9" s="29"/>
      <c r="B9" s="30" t="s">
        <v>321</v>
      </c>
      <c r="C9" s="31" t="s">
        <v>127</v>
      </c>
      <c r="D9" s="31" t="s">
        <v>108</v>
      </c>
      <c r="E9" s="32" t="n">
        <v>3250</v>
      </c>
      <c r="F9" s="32"/>
      <c r="G9" s="32" t="n">
        <v>250</v>
      </c>
      <c r="H9" s="33" t="n">
        <v>2</v>
      </c>
      <c r="I9" s="34" t="n">
        <f aca="false">E9*H9+N(F9)+N(G9)</f>
        <v>6750</v>
      </c>
      <c r="J9" s="32" t="n">
        <f aca="false">ROUND(IFERROR(ROUND(IF(OR(ISNUMBER(SEARCH("week",C9)),ISNUMBER(SEARCH("minggu",C9))),IFERROR(_xlfn.NUMBERVALUE(SUBSTITUTE(LEFT(TRIM(C9),FIND(" ",TRIM(C9)&amp;" ")-1),",","."),"."),LEFT(SUBSTITUTE(LEFT(TRIM(C9),FIND(" ",TRIM(C9)&amp;" ")-1),",","."),FIND("/",SUBSTITUTE(LEFT(TRIM(C9),FIND(" ",TRIM(C9)&amp;" ")-1),",","."))-1)/MID(SUBSTITUTE(LEFT(TRIM(C9),FIND(" ",TRIM(C9)&amp;" ")-1),",","."),FIND("/",SUBSTITUTE(LEFT(TRIM(C9),FIND(" ",TRIM(C9)&amp;" ")-1),",","."))+1,9))*12/52,IF(ISNUMBER(SEARCH("month",C9)),IFERROR(_xlfn.NUMBERVALUE(SUBSTITUTE(LEFT(TRIM(C9),FIND(" ",TRIM(C9)&amp;" ")-1),",","."),"."),LEFT(SUBSTITUTE(LEFT(TRIM(C9),FIND(" ",TRIM(C9)&amp;" ")-1),",","."),FIND("/",SUBSTITUTE(LEFT(TRIM(C9),FIND(" ",TRIM(C9)&amp;" ")-1),",","."))-1)/MID(SUBSTITUTE(LEFT(TRIM(C9),FIND(" ",TRIM(C9)&amp;" ")-1),",","."),FIND("/",SUBSTITUTE(LEFT(TRIM(C9),FIND(" ",TRIM(C9)&amp;" ")-1),",","."))+1,9)),IF(ISNUMBER(SEARCH("yea",C9)),IFERROR(_xlfn.NUMBERVALUE(SUBSTITUTE(LEFT(TRIM(C9),FIND(" ",TRIM(C9)&amp;" ")-1),",","."),"."),LEFT(SUBSTITUTE(LEFT(TRIM(C9),FIND(" ",TRIM(C9)&amp;" ")-1),",","."),FIND("/",SUBSTITUTE(LEFT(TRIM(C9),FIND(" ",TRIM(C9)&amp;" ")-1),",","."))-1)/MID(SUBSTITUTE(LEFT(TRIM(C9),FIND(" ",TRIM(C9)&amp;" ")-1),",","."),FIND("/",SUBSTITUTE(LEFT(TRIM(C9),FIND(" ",TRIM(C9)&amp;" ")-1),",","."))+1,9))*12,NA()))),0),36)*'Aturan &amp; Tarif'!$B$4,2)</f>
        <v>2044.08</v>
      </c>
      <c r="K9" s="32" t="n">
        <f aca="false">'Aturan &amp; Tarif'!$B$5</f>
        <v>2050</v>
      </c>
      <c r="L9" s="35" t="n">
        <f aca="false">I9+J9+K9</f>
        <v>10844.08</v>
      </c>
      <c r="M9" s="37" t="s">
        <v>3053</v>
      </c>
    </row>
    <row r="10" customFormat="false" ht="25.5" hidden="false" customHeight="true" outlineLevel="0" collapsed="false">
      <c r="A10" s="29"/>
      <c r="B10" s="30" t="s">
        <v>3054</v>
      </c>
      <c r="C10" s="31" t="s">
        <v>127</v>
      </c>
      <c r="D10" s="31" t="s">
        <v>108</v>
      </c>
      <c r="E10" s="32" t="n">
        <v>3250</v>
      </c>
      <c r="F10" s="32"/>
      <c r="G10" s="32" t="n">
        <v>250</v>
      </c>
      <c r="H10" s="33" t="n">
        <v>2</v>
      </c>
      <c r="I10" s="34" t="n">
        <f aca="false">E10*H10+N(F10)+N(G10)</f>
        <v>6750</v>
      </c>
      <c r="J10" s="32" t="n">
        <f aca="false">ROUND(IFERROR(ROUND(IF(OR(ISNUMBER(SEARCH("week",C10)),ISNUMBER(SEARCH("minggu",C10))),IFERROR(_xlfn.NUMBERVALUE(SUBSTITUTE(LEFT(TRIM(C10),FIND(" ",TRIM(C10)&amp;" ")-1),",","."),"."),LEFT(SUBSTITUTE(LEFT(TRIM(C10),FIND(" ",TRIM(C10)&amp;" ")-1),",","."),FIND("/",SUBSTITUTE(LEFT(TRIM(C10),FIND(" ",TRIM(C10)&amp;" ")-1),",","."))-1)/MID(SUBSTITUTE(LEFT(TRIM(C10),FIND(" ",TRIM(C10)&amp;" ")-1),",","."),FIND("/",SUBSTITUTE(LEFT(TRIM(C10),FIND(" ",TRIM(C10)&amp;" ")-1),",","."))+1,9))*12/52,IF(ISNUMBER(SEARCH("month",C10)),IFERROR(_xlfn.NUMBERVALUE(SUBSTITUTE(LEFT(TRIM(C10),FIND(" ",TRIM(C10)&amp;" ")-1),",","."),"."),LEFT(SUBSTITUTE(LEFT(TRIM(C10),FIND(" ",TRIM(C10)&amp;" ")-1),",","."),FIND("/",SUBSTITUTE(LEFT(TRIM(C10),FIND(" ",TRIM(C10)&amp;" ")-1),",","."))-1)/MID(SUBSTITUTE(LEFT(TRIM(C10),FIND(" ",TRIM(C10)&amp;" ")-1),",","."),FIND("/",SUBSTITUTE(LEFT(TRIM(C10),FIND(" ",TRIM(C10)&amp;" ")-1),",","."))+1,9)),IF(ISNUMBER(SEARCH("yea",C10)),IFERROR(_xlfn.NUMBERVALUE(SUBSTITUTE(LEFT(TRIM(C10),FIND(" ",TRIM(C10)&amp;" ")-1),",","."),"."),LEFT(SUBSTITUTE(LEFT(TRIM(C10),FIND(" ",TRIM(C10)&amp;" ")-1),",","."),FIND("/",SUBSTITUTE(LEFT(TRIM(C10),FIND(" ",TRIM(C10)&amp;" ")-1),",","."))-1)/MID(SUBSTITUTE(LEFT(TRIM(C10),FIND(" ",TRIM(C10)&amp;" ")-1),",","."),FIND("/",SUBSTITUTE(LEFT(TRIM(C10),FIND(" ",TRIM(C10)&amp;" ")-1),",","."))+1,9))*12,NA()))),0),36)*'Aturan &amp; Tarif'!$B$4,2)</f>
        <v>2044.08</v>
      </c>
      <c r="K10" s="32" t="n">
        <f aca="false">'Aturan &amp; Tarif'!$B$5</f>
        <v>2050</v>
      </c>
      <c r="L10" s="35" t="n">
        <f aca="false">I10+J10+K10</f>
        <v>10844.08</v>
      </c>
      <c r="M10" s="37" t="s">
        <v>3053</v>
      </c>
    </row>
    <row r="11" customFormat="false" ht="14.25" hidden="false" customHeight="true" outlineLevel="0" collapsed="false">
      <c r="A11" s="29"/>
      <c r="B11" s="30" t="s">
        <v>3055</v>
      </c>
      <c r="C11" s="31" t="s">
        <v>127</v>
      </c>
      <c r="D11" s="31" t="s">
        <v>108</v>
      </c>
      <c r="E11" s="32" t="n">
        <v>3250</v>
      </c>
      <c r="F11" s="32"/>
      <c r="G11" s="32" t="n">
        <v>250</v>
      </c>
      <c r="H11" s="33" t="n">
        <v>2</v>
      </c>
      <c r="I11" s="34" t="n">
        <f aca="false">E11*H11+N(F11)+N(G11)</f>
        <v>6750</v>
      </c>
      <c r="J11" s="32" t="n">
        <f aca="false">ROUND(IFERROR(ROUND(IF(OR(ISNUMBER(SEARCH("week",C11)),ISNUMBER(SEARCH("minggu",C11))),IFERROR(_xlfn.NUMBERVALUE(SUBSTITUTE(LEFT(TRIM(C11),FIND(" ",TRIM(C11)&amp;" ")-1),",","."),"."),LEFT(SUBSTITUTE(LEFT(TRIM(C11),FIND(" ",TRIM(C11)&amp;" ")-1),",","."),FIND("/",SUBSTITUTE(LEFT(TRIM(C11),FIND(" ",TRIM(C11)&amp;" ")-1),",","."))-1)/MID(SUBSTITUTE(LEFT(TRIM(C11),FIND(" ",TRIM(C11)&amp;" ")-1),",","."),FIND("/",SUBSTITUTE(LEFT(TRIM(C11),FIND(" ",TRIM(C11)&amp;" ")-1),",","."))+1,9))*12/52,IF(ISNUMBER(SEARCH("month",C11)),IFERROR(_xlfn.NUMBERVALUE(SUBSTITUTE(LEFT(TRIM(C11),FIND(" ",TRIM(C11)&amp;" ")-1),",","."),"."),LEFT(SUBSTITUTE(LEFT(TRIM(C11),FIND(" ",TRIM(C11)&amp;" ")-1),",","."),FIND("/",SUBSTITUTE(LEFT(TRIM(C11),FIND(" ",TRIM(C11)&amp;" ")-1),",","."))-1)/MID(SUBSTITUTE(LEFT(TRIM(C11),FIND(" ",TRIM(C11)&amp;" ")-1),",","."),FIND("/",SUBSTITUTE(LEFT(TRIM(C11),FIND(" ",TRIM(C11)&amp;" ")-1),",","."))+1,9)),IF(ISNUMBER(SEARCH("yea",C11)),IFERROR(_xlfn.NUMBERVALUE(SUBSTITUTE(LEFT(TRIM(C11),FIND(" ",TRIM(C11)&amp;" ")-1),",","."),"."),LEFT(SUBSTITUTE(LEFT(TRIM(C11),FIND(" ",TRIM(C11)&amp;" ")-1),",","."),FIND("/",SUBSTITUTE(LEFT(TRIM(C11),FIND(" ",TRIM(C11)&amp;" ")-1),",","."))-1)/MID(SUBSTITUTE(LEFT(TRIM(C11),FIND(" ",TRIM(C11)&amp;" ")-1),",","."),FIND("/",SUBSTITUTE(LEFT(TRIM(C11),FIND(" ",TRIM(C11)&amp;" ")-1),",","."))+1,9))*12,NA()))),0),36)*'Aturan &amp; Tarif'!$B$4,2)</f>
        <v>2044.08</v>
      </c>
      <c r="K11" s="32" t="n">
        <f aca="false">'Aturan &amp; Tarif'!$B$5</f>
        <v>2050</v>
      </c>
      <c r="L11" s="35" t="n">
        <f aca="false">I11+J11+K11</f>
        <v>10844.08</v>
      </c>
      <c r="M11" s="37" t="s">
        <v>3053</v>
      </c>
    </row>
    <row r="12" customFormat="false" ht="25.5" hidden="false" customHeight="true" outlineLevel="0" collapsed="false">
      <c r="A12" s="29"/>
      <c r="B12" s="30" t="s">
        <v>3056</v>
      </c>
      <c r="C12" s="31" t="s">
        <v>127</v>
      </c>
      <c r="D12" s="31" t="s">
        <v>108</v>
      </c>
      <c r="E12" s="32" t="n">
        <v>3250</v>
      </c>
      <c r="F12" s="32"/>
      <c r="G12" s="32" t="n">
        <v>250</v>
      </c>
      <c r="H12" s="33" t="n">
        <v>2</v>
      </c>
      <c r="I12" s="34" t="n">
        <f aca="false">E12*H12+N(F12)+N(G12)</f>
        <v>6750</v>
      </c>
      <c r="J12" s="32" t="n">
        <f aca="false">ROUND(IFERROR(ROUND(IF(OR(ISNUMBER(SEARCH("week",C12)),ISNUMBER(SEARCH("minggu",C12))),IFERROR(_xlfn.NUMBERVALUE(SUBSTITUTE(LEFT(TRIM(C12),FIND(" ",TRIM(C12)&amp;" ")-1),",","."),"."),LEFT(SUBSTITUTE(LEFT(TRIM(C12),FIND(" ",TRIM(C12)&amp;" ")-1),",","."),FIND("/",SUBSTITUTE(LEFT(TRIM(C12),FIND(" ",TRIM(C12)&amp;" ")-1),",","."))-1)/MID(SUBSTITUTE(LEFT(TRIM(C12),FIND(" ",TRIM(C12)&amp;" ")-1),",","."),FIND("/",SUBSTITUTE(LEFT(TRIM(C12),FIND(" ",TRIM(C12)&amp;" ")-1),",","."))+1,9))*12/52,IF(ISNUMBER(SEARCH("month",C12)),IFERROR(_xlfn.NUMBERVALUE(SUBSTITUTE(LEFT(TRIM(C12),FIND(" ",TRIM(C12)&amp;" ")-1),",","."),"."),LEFT(SUBSTITUTE(LEFT(TRIM(C12),FIND(" ",TRIM(C12)&amp;" ")-1),",","."),FIND("/",SUBSTITUTE(LEFT(TRIM(C12),FIND(" ",TRIM(C12)&amp;" ")-1),",","."))-1)/MID(SUBSTITUTE(LEFT(TRIM(C12),FIND(" ",TRIM(C12)&amp;" ")-1),",","."),FIND("/",SUBSTITUTE(LEFT(TRIM(C12),FIND(" ",TRIM(C12)&amp;" ")-1),",","."))+1,9)),IF(ISNUMBER(SEARCH("yea",C12)),IFERROR(_xlfn.NUMBERVALUE(SUBSTITUTE(LEFT(TRIM(C12),FIND(" ",TRIM(C12)&amp;" ")-1),",","."),"."),LEFT(SUBSTITUTE(LEFT(TRIM(C12),FIND(" ",TRIM(C12)&amp;" ")-1),",","."),FIND("/",SUBSTITUTE(LEFT(TRIM(C12),FIND(" ",TRIM(C12)&amp;" ")-1),",","."))-1)/MID(SUBSTITUTE(LEFT(TRIM(C12),FIND(" ",TRIM(C12)&amp;" ")-1),",","."),FIND("/",SUBSTITUTE(LEFT(TRIM(C12),FIND(" ",TRIM(C12)&amp;" ")-1),",","."))+1,9))*12,NA()))),0),36)*'Aturan &amp; Tarif'!$B$4,2)</f>
        <v>2044.08</v>
      </c>
      <c r="K12" s="32" t="n">
        <f aca="false">'Aturan &amp; Tarif'!$B$5</f>
        <v>2050</v>
      </c>
      <c r="L12" s="35" t="n">
        <f aca="false">I12+J12+K12</f>
        <v>10844.08</v>
      </c>
      <c r="M12" s="37" t="s">
        <v>3053</v>
      </c>
    </row>
    <row r="13" customFormat="false" ht="25.5" hidden="false" customHeight="true" outlineLevel="0" collapsed="false">
      <c r="A13" s="29"/>
      <c r="B13" s="30" t="s">
        <v>640</v>
      </c>
      <c r="C13" s="31" t="s">
        <v>107</v>
      </c>
      <c r="D13" s="31" t="s">
        <v>108</v>
      </c>
      <c r="E13" s="32" t="n">
        <v>4050</v>
      </c>
      <c r="F13" s="32"/>
      <c r="G13" s="32" t="n">
        <v>250</v>
      </c>
      <c r="H13" s="33" t="n">
        <v>2</v>
      </c>
      <c r="I13" s="34" t="n">
        <f aca="false">E13*H13+N(F13)+N(G13)</f>
        <v>8350</v>
      </c>
      <c r="J13" s="32" t="n">
        <f aca="false">ROUND(IFERROR(ROUND(IF(OR(ISNUMBER(SEARCH("week",C13)),ISNUMBER(SEARCH("minggu",C13))),IFERROR(_xlfn.NUMBERVALUE(SUBSTITUTE(LEFT(TRIM(C13),FIND(" ",TRIM(C13)&amp;" ")-1),",","."),"."),LEFT(SUBSTITUTE(LEFT(TRIM(C13),FIND(" ",TRIM(C13)&amp;" ")-1),",","."),FIND("/",SUBSTITUTE(LEFT(TRIM(C13),FIND(" ",TRIM(C13)&amp;" ")-1),",","."))-1)/MID(SUBSTITUTE(LEFT(TRIM(C13),FIND(" ",TRIM(C13)&amp;" ")-1),",","."),FIND("/",SUBSTITUTE(LEFT(TRIM(C13),FIND(" ",TRIM(C13)&amp;" ")-1),",","."))+1,9))*12/52,IF(ISNUMBER(SEARCH("month",C13)),IFERROR(_xlfn.NUMBERVALUE(SUBSTITUTE(LEFT(TRIM(C13),FIND(" ",TRIM(C13)&amp;" ")-1),",","."),"."),LEFT(SUBSTITUTE(LEFT(TRIM(C13),FIND(" ",TRIM(C13)&amp;" ")-1),",","."),FIND("/",SUBSTITUTE(LEFT(TRIM(C13),FIND(" ",TRIM(C13)&amp;" ")-1),",","."))-1)/MID(SUBSTITUTE(LEFT(TRIM(C13),FIND(" ",TRIM(C13)&amp;" ")-1),",","."),FIND("/",SUBSTITUTE(LEFT(TRIM(C13),FIND(" ",TRIM(C13)&amp;" ")-1),",","."))+1,9)),IF(ISNUMBER(SEARCH("yea",C13)),IFERROR(_xlfn.NUMBERVALUE(SUBSTITUTE(LEFT(TRIM(C13),FIND(" ",TRIM(C13)&amp;" ")-1),",","."),"."),LEFT(SUBSTITUTE(LEFT(TRIM(C13),FIND(" ",TRIM(C13)&amp;" ")-1),",","."),FIND("/",SUBSTITUTE(LEFT(TRIM(C13),FIND(" ",TRIM(C13)&amp;" ")-1),",","."))-1)/MID(SUBSTITUTE(LEFT(TRIM(C13),FIND(" ",TRIM(C13)&amp;" ")-1),",","."),FIND("/",SUBSTITUTE(LEFT(TRIM(C13),FIND(" ",TRIM(C13)&amp;" ")-1),",","."))+1,9))*12,NA()))),0),24)*'Aturan &amp; Tarif'!$B$4,2)</f>
        <v>1362.72</v>
      </c>
      <c r="K13" s="32" t="n">
        <f aca="false">'Aturan &amp; Tarif'!$B$5</f>
        <v>2050</v>
      </c>
      <c r="L13" s="35" t="n">
        <f aca="false">I13+J13+K13</f>
        <v>11762.72</v>
      </c>
      <c r="M13" s="37" t="s">
        <v>3053</v>
      </c>
    </row>
    <row r="14" customFormat="false" ht="37.5" hidden="false" customHeight="true" outlineLevel="0" collapsed="false">
      <c r="A14" s="29"/>
      <c r="B14" s="30" t="s">
        <v>642</v>
      </c>
      <c r="C14" s="31" t="s">
        <v>107</v>
      </c>
      <c r="D14" s="31" t="s">
        <v>108</v>
      </c>
      <c r="E14" s="32" t="n">
        <v>4050</v>
      </c>
      <c r="F14" s="32"/>
      <c r="G14" s="32" t="n">
        <v>250</v>
      </c>
      <c r="H14" s="33" t="n">
        <v>2</v>
      </c>
      <c r="I14" s="34" t="n">
        <f aca="false">E14*H14+N(F14)+N(G14)</f>
        <v>8350</v>
      </c>
      <c r="J14" s="32" t="n">
        <f aca="false">ROUND(IFERROR(ROUND(IF(OR(ISNUMBER(SEARCH("week",C14)),ISNUMBER(SEARCH("minggu",C14))),IFERROR(_xlfn.NUMBERVALUE(SUBSTITUTE(LEFT(TRIM(C14),FIND(" ",TRIM(C14)&amp;" ")-1),",","."),"."),LEFT(SUBSTITUTE(LEFT(TRIM(C14),FIND(" ",TRIM(C14)&amp;" ")-1),",","."),FIND("/",SUBSTITUTE(LEFT(TRIM(C14),FIND(" ",TRIM(C14)&amp;" ")-1),",","."))-1)/MID(SUBSTITUTE(LEFT(TRIM(C14),FIND(" ",TRIM(C14)&amp;" ")-1),",","."),FIND("/",SUBSTITUTE(LEFT(TRIM(C14),FIND(" ",TRIM(C14)&amp;" ")-1),",","."))+1,9))*12/52,IF(ISNUMBER(SEARCH("month",C14)),IFERROR(_xlfn.NUMBERVALUE(SUBSTITUTE(LEFT(TRIM(C14),FIND(" ",TRIM(C14)&amp;" ")-1),",","."),"."),LEFT(SUBSTITUTE(LEFT(TRIM(C14),FIND(" ",TRIM(C14)&amp;" ")-1),",","."),FIND("/",SUBSTITUTE(LEFT(TRIM(C14),FIND(" ",TRIM(C14)&amp;" ")-1),",","."))-1)/MID(SUBSTITUTE(LEFT(TRIM(C14),FIND(" ",TRIM(C14)&amp;" ")-1),",","."),FIND("/",SUBSTITUTE(LEFT(TRIM(C14),FIND(" ",TRIM(C14)&amp;" ")-1),",","."))+1,9)),IF(ISNUMBER(SEARCH("yea",C14)),IFERROR(_xlfn.NUMBERVALUE(SUBSTITUTE(LEFT(TRIM(C14),FIND(" ",TRIM(C14)&amp;" ")-1),",","."),"."),LEFT(SUBSTITUTE(LEFT(TRIM(C14),FIND(" ",TRIM(C14)&amp;" ")-1),",","."),FIND("/",SUBSTITUTE(LEFT(TRIM(C14),FIND(" ",TRIM(C14)&amp;" ")-1),",","."))-1)/MID(SUBSTITUTE(LEFT(TRIM(C14),FIND(" ",TRIM(C14)&amp;" ")-1),",","."),FIND("/",SUBSTITUTE(LEFT(TRIM(C14),FIND(" ",TRIM(C14)&amp;" ")-1),",","."))+1,9))*12,NA()))),0),24)*'Aturan &amp; Tarif'!$B$4,2)</f>
        <v>1362.72</v>
      </c>
      <c r="K14" s="32" t="n">
        <f aca="false">'Aturan &amp; Tarif'!$B$5</f>
        <v>2050</v>
      </c>
      <c r="L14" s="35" t="n">
        <f aca="false">I14+J14+K14</f>
        <v>11762.72</v>
      </c>
      <c r="M14" s="37" t="s">
        <v>3053</v>
      </c>
    </row>
    <row r="15" customFormat="false" ht="37.5" hidden="false" customHeight="true" outlineLevel="0" collapsed="false">
      <c r="A15" s="29"/>
      <c r="B15" s="30" t="s">
        <v>643</v>
      </c>
      <c r="C15" s="31" t="s">
        <v>107</v>
      </c>
      <c r="D15" s="31" t="s">
        <v>108</v>
      </c>
      <c r="E15" s="32" t="n">
        <v>4050</v>
      </c>
      <c r="F15" s="32"/>
      <c r="G15" s="32" t="n">
        <v>250</v>
      </c>
      <c r="H15" s="33" t="n">
        <v>2</v>
      </c>
      <c r="I15" s="34" t="n">
        <f aca="false">E15*H15+N(F15)+N(G15)</f>
        <v>8350</v>
      </c>
      <c r="J15" s="32" t="n">
        <f aca="false">ROUND(IFERROR(ROUND(IF(OR(ISNUMBER(SEARCH("week",C15)),ISNUMBER(SEARCH("minggu",C15))),IFERROR(_xlfn.NUMBERVALUE(SUBSTITUTE(LEFT(TRIM(C15),FIND(" ",TRIM(C15)&amp;" ")-1),",","."),"."),LEFT(SUBSTITUTE(LEFT(TRIM(C15),FIND(" ",TRIM(C15)&amp;" ")-1),",","."),FIND("/",SUBSTITUTE(LEFT(TRIM(C15),FIND(" ",TRIM(C15)&amp;" ")-1),",","."))-1)/MID(SUBSTITUTE(LEFT(TRIM(C15),FIND(" ",TRIM(C15)&amp;" ")-1),",","."),FIND("/",SUBSTITUTE(LEFT(TRIM(C15),FIND(" ",TRIM(C15)&amp;" ")-1),",","."))+1,9))*12/52,IF(ISNUMBER(SEARCH("month",C15)),IFERROR(_xlfn.NUMBERVALUE(SUBSTITUTE(LEFT(TRIM(C15),FIND(" ",TRIM(C15)&amp;" ")-1),",","."),"."),LEFT(SUBSTITUTE(LEFT(TRIM(C15),FIND(" ",TRIM(C15)&amp;" ")-1),",","."),FIND("/",SUBSTITUTE(LEFT(TRIM(C15),FIND(" ",TRIM(C15)&amp;" ")-1),",","."))-1)/MID(SUBSTITUTE(LEFT(TRIM(C15),FIND(" ",TRIM(C15)&amp;" ")-1),",","."),FIND("/",SUBSTITUTE(LEFT(TRIM(C15),FIND(" ",TRIM(C15)&amp;" ")-1),",","."))+1,9)),IF(ISNUMBER(SEARCH("yea",C15)),IFERROR(_xlfn.NUMBERVALUE(SUBSTITUTE(LEFT(TRIM(C15),FIND(" ",TRIM(C15)&amp;" ")-1),",","."),"."),LEFT(SUBSTITUTE(LEFT(TRIM(C15),FIND(" ",TRIM(C15)&amp;" ")-1),",","."),FIND("/",SUBSTITUTE(LEFT(TRIM(C15),FIND(" ",TRIM(C15)&amp;" ")-1),",","."))-1)/MID(SUBSTITUTE(LEFT(TRIM(C15),FIND(" ",TRIM(C15)&amp;" ")-1),",","."),FIND("/",SUBSTITUTE(LEFT(TRIM(C15),FIND(" ",TRIM(C15)&amp;" ")-1),",","."))+1,9))*12,NA()))),0),24)*'Aturan &amp; Tarif'!$B$4,2)</f>
        <v>1362.72</v>
      </c>
      <c r="K15" s="32" t="n">
        <f aca="false">'Aturan &amp; Tarif'!$B$5</f>
        <v>2050</v>
      </c>
      <c r="L15" s="35" t="n">
        <f aca="false">I15+J15+K15</f>
        <v>11762.72</v>
      </c>
      <c r="M15" s="37" t="s">
        <v>3053</v>
      </c>
    </row>
    <row r="16" customFormat="false" ht="37.5" hidden="false" customHeight="true" outlineLevel="0" collapsed="false">
      <c r="A16" s="29"/>
      <c r="B16" s="30" t="s">
        <v>644</v>
      </c>
      <c r="C16" s="31" t="s">
        <v>107</v>
      </c>
      <c r="D16" s="31" t="s">
        <v>108</v>
      </c>
      <c r="E16" s="32" t="n">
        <v>4050</v>
      </c>
      <c r="F16" s="32"/>
      <c r="G16" s="32" t="n">
        <v>250</v>
      </c>
      <c r="H16" s="33" t="n">
        <v>2</v>
      </c>
      <c r="I16" s="34" t="n">
        <f aca="false">E16*H16+N(F16)+N(G16)</f>
        <v>8350</v>
      </c>
      <c r="J16" s="32" t="n">
        <f aca="false">ROUND(IFERROR(ROUND(IF(OR(ISNUMBER(SEARCH("week",C16)),ISNUMBER(SEARCH("minggu",C16))),IFERROR(_xlfn.NUMBERVALUE(SUBSTITUTE(LEFT(TRIM(C16),FIND(" ",TRIM(C16)&amp;" ")-1),",","."),"."),LEFT(SUBSTITUTE(LEFT(TRIM(C16),FIND(" ",TRIM(C16)&amp;" ")-1),",","."),FIND("/",SUBSTITUTE(LEFT(TRIM(C16),FIND(" ",TRIM(C16)&amp;" ")-1),",","."))-1)/MID(SUBSTITUTE(LEFT(TRIM(C16),FIND(" ",TRIM(C16)&amp;" ")-1),",","."),FIND("/",SUBSTITUTE(LEFT(TRIM(C16),FIND(" ",TRIM(C16)&amp;" ")-1),",","."))+1,9))*12/52,IF(ISNUMBER(SEARCH("month",C16)),IFERROR(_xlfn.NUMBERVALUE(SUBSTITUTE(LEFT(TRIM(C16),FIND(" ",TRIM(C16)&amp;" ")-1),",","."),"."),LEFT(SUBSTITUTE(LEFT(TRIM(C16),FIND(" ",TRIM(C16)&amp;" ")-1),",","."),FIND("/",SUBSTITUTE(LEFT(TRIM(C16),FIND(" ",TRIM(C16)&amp;" ")-1),",","."))-1)/MID(SUBSTITUTE(LEFT(TRIM(C16),FIND(" ",TRIM(C16)&amp;" ")-1),",","."),FIND("/",SUBSTITUTE(LEFT(TRIM(C16),FIND(" ",TRIM(C16)&amp;" ")-1),",","."))+1,9)),IF(ISNUMBER(SEARCH("yea",C16)),IFERROR(_xlfn.NUMBERVALUE(SUBSTITUTE(LEFT(TRIM(C16),FIND(" ",TRIM(C16)&amp;" ")-1),",","."),"."),LEFT(SUBSTITUTE(LEFT(TRIM(C16),FIND(" ",TRIM(C16)&amp;" ")-1),",","."),FIND("/",SUBSTITUTE(LEFT(TRIM(C16),FIND(" ",TRIM(C16)&amp;" ")-1),",","."))-1)/MID(SUBSTITUTE(LEFT(TRIM(C16),FIND(" ",TRIM(C16)&amp;" ")-1),",","."),FIND("/",SUBSTITUTE(LEFT(TRIM(C16),FIND(" ",TRIM(C16)&amp;" ")-1),",","."))+1,9))*12,NA()))),0),24)*'Aturan &amp; Tarif'!$B$4,2)</f>
        <v>1362.72</v>
      </c>
      <c r="K16" s="32" t="n">
        <f aca="false">'Aturan &amp; Tarif'!$B$5</f>
        <v>2050</v>
      </c>
      <c r="L16" s="35" t="n">
        <f aca="false">I16+J16+K16</f>
        <v>11762.72</v>
      </c>
      <c r="M16" s="37" t="s">
        <v>3053</v>
      </c>
    </row>
    <row r="17" customFormat="false" ht="37.5" hidden="false" customHeight="true" outlineLevel="0" collapsed="false">
      <c r="A17" s="29"/>
      <c r="B17" s="30" t="s">
        <v>645</v>
      </c>
      <c r="C17" s="31" t="s">
        <v>107</v>
      </c>
      <c r="D17" s="31" t="s">
        <v>108</v>
      </c>
      <c r="E17" s="32" t="n">
        <v>4050</v>
      </c>
      <c r="F17" s="32"/>
      <c r="G17" s="32" t="n">
        <v>250</v>
      </c>
      <c r="H17" s="33" t="n">
        <v>2</v>
      </c>
      <c r="I17" s="34" t="n">
        <f aca="false">E17*H17+N(F17)+N(G17)</f>
        <v>8350</v>
      </c>
      <c r="J17" s="32" t="n">
        <f aca="false">ROUND(IFERROR(ROUND(IF(OR(ISNUMBER(SEARCH("week",C17)),ISNUMBER(SEARCH("minggu",C17))),IFERROR(_xlfn.NUMBERVALUE(SUBSTITUTE(LEFT(TRIM(C17),FIND(" ",TRIM(C17)&amp;" ")-1),",","."),"."),LEFT(SUBSTITUTE(LEFT(TRIM(C17),FIND(" ",TRIM(C17)&amp;" ")-1),",","."),FIND("/",SUBSTITUTE(LEFT(TRIM(C17),FIND(" ",TRIM(C17)&amp;" ")-1),",","."))-1)/MID(SUBSTITUTE(LEFT(TRIM(C17),FIND(" ",TRIM(C17)&amp;" ")-1),",","."),FIND("/",SUBSTITUTE(LEFT(TRIM(C17),FIND(" ",TRIM(C17)&amp;" ")-1),",","."))+1,9))*12/52,IF(ISNUMBER(SEARCH("month",C17)),IFERROR(_xlfn.NUMBERVALUE(SUBSTITUTE(LEFT(TRIM(C17),FIND(" ",TRIM(C17)&amp;" ")-1),",","."),"."),LEFT(SUBSTITUTE(LEFT(TRIM(C17),FIND(" ",TRIM(C17)&amp;" ")-1),",","."),FIND("/",SUBSTITUTE(LEFT(TRIM(C17),FIND(" ",TRIM(C17)&amp;" ")-1),",","."))-1)/MID(SUBSTITUTE(LEFT(TRIM(C17),FIND(" ",TRIM(C17)&amp;" ")-1),",","."),FIND("/",SUBSTITUTE(LEFT(TRIM(C17),FIND(" ",TRIM(C17)&amp;" ")-1),",","."))+1,9)),IF(ISNUMBER(SEARCH("yea",C17)),IFERROR(_xlfn.NUMBERVALUE(SUBSTITUTE(LEFT(TRIM(C17),FIND(" ",TRIM(C17)&amp;" ")-1),",","."),"."),LEFT(SUBSTITUTE(LEFT(TRIM(C17),FIND(" ",TRIM(C17)&amp;" ")-1),",","."),FIND("/",SUBSTITUTE(LEFT(TRIM(C17),FIND(" ",TRIM(C17)&amp;" ")-1),",","."))-1)/MID(SUBSTITUTE(LEFT(TRIM(C17),FIND(" ",TRIM(C17)&amp;" ")-1),",","."),FIND("/",SUBSTITUTE(LEFT(TRIM(C17),FIND(" ",TRIM(C17)&amp;" ")-1),",","."))+1,9))*12,NA()))),0),24)*'Aturan &amp; Tarif'!$B$4,2)</f>
        <v>1362.72</v>
      </c>
      <c r="K17" s="32" t="n">
        <f aca="false">'Aturan &amp; Tarif'!$B$5</f>
        <v>2050</v>
      </c>
      <c r="L17" s="35" t="n">
        <f aca="false">I17+J17+K17</f>
        <v>11762.72</v>
      </c>
      <c r="M17" s="37" t="s">
        <v>3053</v>
      </c>
    </row>
    <row r="18" customFormat="false" ht="14.25" hidden="false" customHeight="true" outlineLevel="0" collapsed="false">
      <c r="A18" s="29"/>
      <c r="B18" s="30" t="s">
        <v>646</v>
      </c>
      <c r="C18" s="31" t="s">
        <v>130</v>
      </c>
      <c r="D18" s="31" t="s">
        <v>108</v>
      </c>
      <c r="E18" s="32" t="n">
        <v>4050</v>
      </c>
      <c r="F18" s="32"/>
      <c r="G18" s="32" t="n">
        <v>250</v>
      </c>
      <c r="H18" s="33" t="n">
        <v>2</v>
      </c>
      <c r="I18" s="34" t="n">
        <f aca="false">E18*H18+N(F18)+N(G18)</f>
        <v>8350</v>
      </c>
      <c r="J18" s="32" t="n">
        <f aca="false">ROUND(IFERROR(ROUND(IF(OR(ISNUMBER(SEARCH("week",C18)),ISNUMBER(SEARCH("minggu",C18))),IFERROR(_xlfn.NUMBERVALUE(SUBSTITUTE(LEFT(TRIM(C18),FIND(" ",TRIM(C18)&amp;" ")-1),",","."),"."),LEFT(SUBSTITUTE(LEFT(TRIM(C18),FIND(" ",TRIM(C18)&amp;" ")-1),",","."),FIND("/",SUBSTITUTE(LEFT(TRIM(C18),FIND(" ",TRIM(C18)&amp;" ")-1),",","."))-1)/MID(SUBSTITUTE(LEFT(TRIM(C18),FIND(" ",TRIM(C18)&amp;" ")-1),",","."),FIND("/",SUBSTITUTE(LEFT(TRIM(C18),FIND(" ",TRIM(C18)&amp;" ")-1),",","."))+1,9))*12/52,IF(ISNUMBER(SEARCH("month",C18)),IFERROR(_xlfn.NUMBERVALUE(SUBSTITUTE(LEFT(TRIM(C18),FIND(" ",TRIM(C18)&amp;" ")-1),",","."),"."),LEFT(SUBSTITUTE(LEFT(TRIM(C18),FIND(" ",TRIM(C18)&amp;" ")-1),",","."),FIND("/",SUBSTITUTE(LEFT(TRIM(C18),FIND(" ",TRIM(C18)&amp;" ")-1),",","."))-1)/MID(SUBSTITUTE(LEFT(TRIM(C18),FIND(" ",TRIM(C18)&amp;" ")-1),",","."),FIND("/",SUBSTITUTE(LEFT(TRIM(C18),FIND(" ",TRIM(C18)&amp;" ")-1),",","."))+1,9)),IF(ISNUMBER(SEARCH("yea",C18)),IFERROR(_xlfn.NUMBERVALUE(SUBSTITUTE(LEFT(TRIM(C18),FIND(" ",TRIM(C18)&amp;" ")-1),",","."),"."),LEFT(SUBSTITUTE(LEFT(TRIM(C18),FIND(" ",TRIM(C18)&amp;" ")-1),",","."),FIND("/",SUBSTITUTE(LEFT(TRIM(C18),FIND(" ",TRIM(C18)&amp;" ")-1),",","."))-1)/MID(SUBSTITUTE(LEFT(TRIM(C18),FIND(" ",TRIM(C18)&amp;" ")-1),",","."),FIND("/",SUBSTITUTE(LEFT(TRIM(C18),FIND(" ",TRIM(C18)&amp;" ")-1),",","."))+1,9))*12,NA()))),0),12)*'Aturan &amp; Tarif'!$B$4,2)</f>
        <v>681.36</v>
      </c>
      <c r="K18" s="32" t="n">
        <f aca="false">'Aturan &amp; Tarif'!$B$5</f>
        <v>2050</v>
      </c>
      <c r="L18" s="35" t="n">
        <f aca="false">I18+J18+K18</f>
        <v>11081.36</v>
      </c>
      <c r="M18" s="37" t="s">
        <v>3053</v>
      </c>
    </row>
    <row r="19" customFormat="false" ht="14.25" hidden="false" customHeight="true" outlineLevel="0" collapsed="false">
      <c r="A19" s="29"/>
      <c r="B19" s="30" t="s">
        <v>647</v>
      </c>
      <c r="C19" s="31" t="s">
        <v>648</v>
      </c>
      <c r="D19" s="31" t="s">
        <v>108</v>
      </c>
      <c r="E19" s="32" t="n">
        <v>2700</v>
      </c>
      <c r="F19" s="32"/>
      <c r="G19" s="32" t="n">
        <v>250</v>
      </c>
      <c r="H19" s="33" t="n">
        <v>2</v>
      </c>
      <c r="I19" s="34" t="n">
        <f aca="false">E19*H19+N(F19)+N(G19)</f>
        <v>5650</v>
      </c>
      <c r="J19" s="32" t="n">
        <f aca="false">ROUND(IFERROR(ROUND(IF(OR(ISNUMBER(SEARCH("week",C19)),ISNUMBER(SEARCH("minggu",C19))),IFERROR(_xlfn.NUMBERVALUE(SUBSTITUTE(LEFT(TRIM(C19),FIND(" ",TRIM(C19)&amp;" ")-1),",","."),"."),LEFT(SUBSTITUTE(LEFT(TRIM(C19),FIND(" ",TRIM(C19)&amp;" ")-1),",","."),FIND("/",SUBSTITUTE(LEFT(TRIM(C19),FIND(" ",TRIM(C19)&amp;" ")-1),",","."))-1)/MID(SUBSTITUTE(LEFT(TRIM(C19),FIND(" ",TRIM(C19)&amp;" ")-1),",","."),FIND("/",SUBSTITUTE(LEFT(TRIM(C19),FIND(" ",TRIM(C19)&amp;" ")-1),",","."))+1,9))*12/52,IF(ISNUMBER(SEARCH("month",C19)),IFERROR(_xlfn.NUMBERVALUE(SUBSTITUTE(LEFT(TRIM(C19),FIND(" ",TRIM(C19)&amp;" ")-1),",","."),"."),LEFT(SUBSTITUTE(LEFT(TRIM(C19),FIND(" ",TRIM(C19)&amp;" ")-1),",","."),FIND("/",SUBSTITUTE(LEFT(TRIM(C19),FIND(" ",TRIM(C19)&amp;" ")-1),",","."))-1)/MID(SUBSTITUTE(LEFT(TRIM(C19),FIND(" ",TRIM(C19)&amp;" ")-1),",","."),FIND("/",SUBSTITUTE(LEFT(TRIM(C19),FIND(" ",TRIM(C19)&amp;" ")-1),",","."))+1,9)),IF(ISNUMBER(SEARCH("yea",C19)),IFERROR(_xlfn.NUMBERVALUE(SUBSTITUTE(LEFT(TRIM(C19),FIND(" ",TRIM(C19)&amp;" ")-1),",","."),"."),LEFT(SUBSTITUTE(LEFT(TRIM(C19),FIND(" ",TRIM(C19)&amp;" ")-1),",","."),FIND("/",SUBSTITUTE(LEFT(TRIM(C19),FIND(" ",TRIM(C19)&amp;" ")-1),",","."))-1)/MID(SUBSTITUTE(LEFT(TRIM(C19),FIND(" ",TRIM(C19)&amp;" ")-1),",","."),FIND("/",SUBSTITUTE(LEFT(TRIM(C19),FIND(" ",TRIM(C19)&amp;" ")-1),",","."))+1,9))*12,NA()))),0),8)*'Aturan &amp; Tarif'!$B$4,2)</f>
        <v>454.24</v>
      </c>
      <c r="K19" s="32" t="n">
        <f aca="false">'Aturan &amp; Tarif'!$B$5</f>
        <v>2050</v>
      </c>
      <c r="L19" s="35" t="n">
        <f aca="false">I19+J19+K19</f>
        <v>8154.24</v>
      </c>
      <c r="M19" s="37" t="s">
        <v>3053</v>
      </c>
    </row>
    <row r="20" customFormat="false" ht="25.5" hidden="false" customHeight="true" outlineLevel="0" collapsed="false">
      <c r="A20" s="29"/>
      <c r="B20" s="30" t="s">
        <v>649</v>
      </c>
      <c r="C20" s="31" t="s">
        <v>130</v>
      </c>
      <c r="D20" s="31" t="s">
        <v>108</v>
      </c>
      <c r="E20" s="32" t="n">
        <v>4050</v>
      </c>
      <c r="F20" s="32"/>
      <c r="G20" s="32" t="n">
        <v>250</v>
      </c>
      <c r="H20" s="33" t="n">
        <v>2</v>
      </c>
      <c r="I20" s="34" t="n">
        <f aca="false">E20*H20+N(F20)+N(G20)</f>
        <v>8350</v>
      </c>
      <c r="J20" s="32" t="n">
        <f aca="false">ROUND(IFERROR(ROUND(IF(OR(ISNUMBER(SEARCH("week",C20)),ISNUMBER(SEARCH("minggu",C20))),IFERROR(_xlfn.NUMBERVALUE(SUBSTITUTE(LEFT(TRIM(C20),FIND(" ",TRIM(C20)&amp;" ")-1),",","."),"."),LEFT(SUBSTITUTE(LEFT(TRIM(C20),FIND(" ",TRIM(C20)&amp;" ")-1),",","."),FIND("/",SUBSTITUTE(LEFT(TRIM(C20),FIND(" ",TRIM(C20)&amp;" ")-1),",","."))-1)/MID(SUBSTITUTE(LEFT(TRIM(C20),FIND(" ",TRIM(C20)&amp;" ")-1),",","."),FIND("/",SUBSTITUTE(LEFT(TRIM(C20),FIND(" ",TRIM(C20)&amp;" ")-1),",","."))+1,9))*12/52,IF(ISNUMBER(SEARCH("month",C20)),IFERROR(_xlfn.NUMBERVALUE(SUBSTITUTE(LEFT(TRIM(C20),FIND(" ",TRIM(C20)&amp;" ")-1),",","."),"."),LEFT(SUBSTITUTE(LEFT(TRIM(C20),FIND(" ",TRIM(C20)&amp;" ")-1),",","."),FIND("/",SUBSTITUTE(LEFT(TRIM(C20),FIND(" ",TRIM(C20)&amp;" ")-1),",","."))-1)/MID(SUBSTITUTE(LEFT(TRIM(C20),FIND(" ",TRIM(C20)&amp;" ")-1),",","."),FIND("/",SUBSTITUTE(LEFT(TRIM(C20),FIND(" ",TRIM(C20)&amp;" ")-1),",","."))+1,9)),IF(ISNUMBER(SEARCH("yea",C20)),IFERROR(_xlfn.NUMBERVALUE(SUBSTITUTE(LEFT(TRIM(C20),FIND(" ",TRIM(C20)&amp;" ")-1),",","."),"."),LEFT(SUBSTITUTE(LEFT(TRIM(C20),FIND(" ",TRIM(C20)&amp;" ")-1),",","."),FIND("/",SUBSTITUTE(LEFT(TRIM(C20),FIND(" ",TRIM(C20)&amp;" ")-1),",","."))-1)/MID(SUBSTITUTE(LEFT(TRIM(C20),FIND(" ",TRIM(C20)&amp;" ")-1),",","."),FIND("/",SUBSTITUTE(LEFT(TRIM(C20),FIND(" ",TRIM(C20)&amp;" ")-1),",","."))+1,9))*12,NA()))),0),12)*'Aturan &amp; Tarif'!$B$4,2)</f>
        <v>681.36</v>
      </c>
      <c r="K20" s="32" t="n">
        <f aca="false">'Aturan &amp; Tarif'!$B$5</f>
        <v>2050</v>
      </c>
      <c r="L20" s="35" t="n">
        <f aca="false">I20+J20+K20</f>
        <v>11081.36</v>
      </c>
      <c r="M20" s="37" t="s">
        <v>3053</v>
      </c>
    </row>
    <row r="21" customFormat="false" ht="25.5" hidden="false" customHeight="true" outlineLevel="0" collapsed="false">
      <c r="A21" s="29"/>
      <c r="B21" s="30" t="s">
        <v>650</v>
      </c>
      <c r="C21" s="31" t="s">
        <v>648</v>
      </c>
      <c r="D21" s="31" t="s">
        <v>108</v>
      </c>
      <c r="E21" s="32" t="n">
        <v>2700</v>
      </c>
      <c r="F21" s="32"/>
      <c r="G21" s="32" t="n">
        <v>250</v>
      </c>
      <c r="H21" s="33" t="n">
        <v>2</v>
      </c>
      <c r="I21" s="34" t="n">
        <f aca="false">E21*H21+N(F21)+N(G21)</f>
        <v>5650</v>
      </c>
      <c r="J21" s="32" t="n">
        <f aca="false">ROUND(IFERROR(ROUND(IF(OR(ISNUMBER(SEARCH("week",C21)),ISNUMBER(SEARCH("minggu",C21))),IFERROR(_xlfn.NUMBERVALUE(SUBSTITUTE(LEFT(TRIM(C21),FIND(" ",TRIM(C21)&amp;" ")-1),",","."),"."),LEFT(SUBSTITUTE(LEFT(TRIM(C21),FIND(" ",TRIM(C21)&amp;" ")-1),",","."),FIND("/",SUBSTITUTE(LEFT(TRIM(C21),FIND(" ",TRIM(C21)&amp;" ")-1),",","."))-1)/MID(SUBSTITUTE(LEFT(TRIM(C21),FIND(" ",TRIM(C21)&amp;" ")-1),",","."),FIND("/",SUBSTITUTE(LEFT(TRIM(C21),FIND(" ",TRIM(C21)&amp;" ")-1),",","."))+1,9))*12/52,IF(ISNUMBER(SEARCH("month",C21)),IFERROR(_xlfn.NUMBERVALUE(SUBSTITUTE(LEFT(TRIM(C21),FIND(" ",TRIM(C21)&amp;" ")-1),",","."),"."),LEFT(SUBSTITUTE(LEFT(TRIM(C21),FIND(" ",TRIM(C21)&amp;" ")-1),",","."),FIND("/",SUBSTITUTE(LEFT(TRIM(C21),FIND(" ",TRIM(C21)&amp;" ")-1),",","."))-1)/MID(SUBSTITUTE(LEFT(TRIM(C21),FIND(" ",TRIM(C21)&amp;" ")-1),",","."),FIND("/",SUBSTITUTE(LEFT(TRIM(C21),FIND(" ",TRIM(C21)&amp;" ")-1),",","."))+1,9)),IF(ISNUMBER(SEARCH("yea",C21)),IFERROR(_xlfn.NUMBERVALUE(SUBSTITUTE(LEFT(TRIM(C21),FIND(" ",TRIM(C21)&amp;" ")-1),",","."),"."),LEFT(SUBSTITUTE(LEFT(TRIM(C21),FIND(" ",TRIM(C21)&amp;" ")-1),",","."),FIND("/",SUBSTITUTE(LEFT(TRIM(C21),FIND(" ",TRIM(C21)&amp;" ")-1),",","."))-1)/MID(SUBSTITUTE(LEFT(TRIM(C21),FIND(" ",TRIM(C21)&amp;" ")-1),",","."),FIND("/",SUBSTITUTE(LEFT(TRIM(C21),FIND(" ",TRIM(C21)&amp;" ")-1),",","."))+1,9))*12,NA()))),0),8)*'Aturan &amp; Tarif'!$B$4,2)</f>
        <v>454.24</v>
      </c>
      <c r="K21" s="32" t="n">
        <f aca="false">'Aturan &amp; Tarif'!$B$5</f>
        <v>2050</v>
      </c>
      <c r="L21" s="35" t="n">
        <f aca="false">I21+J21+K21</f>
        <v>8154.24</v>
      </c>
      <c r="M21" s="37" t="s">
        <v>3053</v>
      </c>
    </row>
    <row r="22" customFormat="false" ht="48.75" hidden="false" customHeight="true" outlineLevel="0" collapsed="false">
      <c r="A22" s="39" t="s">
        <v>832</v>
      </c>
      <c r="B22" s="40" t="s">
        <v>833</v>
      </c>
      <c r="C22" s="41" t="s">
        <v>107</v>
      </c>
      <c r="D22" s="41" t="s">
        <v>108</v>
      </c>
      <c r="E22" s="42" t="n">
        <v>1250</v>
      </c>
      <c r="F22" s="42" t="n">
        <v>0</v>
      </c>
      <c r="G22" s="42" t="n">
        <v>200</v>
      </c>
      <c r="H22" s="43" t="n">
        <v>1</v>
      </c>
      <c r="I22" s="34" t="n">
        <f aca="false">E22*H22+N(F22)+N(G22)</f>
        <v>1450</v>
      </c>
      <c r="J22" s="42" t="n">
        <f aca="false">ROUND(IFERROR(ROUND(IF(OR(ISNUMBER(SEARCH("week",C22)),ISNUMBER(SEARCH("minggu",C22))),IFERROR(_xlfn.NUMBERVALUE(SUBSTITUTE(LEFT(TRIM(C22),FIND(" ",TRIM(C22)&amp;" ")-1),",","."),"."),LEFT(SUBSTITUTE(LEFT(TRIM(C22),FIND(" ",TRIM(C22)&amp;" ")-1),",","."),FIND("/",SUBSTITUTE(LEFT(TRIM(C22),FIND(" ",TRIM(C22)&amp;" ")-1),",","."))-1)/MID(SUBSTITUTE(LEFT(TRIM(C22),FIND(" ",TRIM(C22)&amp;" ")-1),",","."),FIND("/",SUBSTITUTE(LEFT(TRIM(C22),FIND(" ",TRIM(C22)&amp;" ")-1),",","."))+1,9))*12/52,IF(ISNUMBER(SEARCH("month",C22)),IFERROR(_xlfn.NUMBERVALUE(SUBSTITUTE(LEFT(TRIM(C22),FIND(" ",TRIM(C22)&amp;" ")-1),",","."),"."),LEFT(SUBSTITUTE(LEFT(TRIM(C22),FIND(" ",TRIM(C22)&amp;" ")-1),",","."),FIND("/",SUBSTITUTE(LEFT(TRIM(C22),FIND(" ",TRIM(C22)&amp;" ")-1),",","."))-1)/MID(SUBSTITUTE(LEFT(TRIM(C22),FIND(" ",TRIM(C22)&amp;" ")-1),",","."),FIND("/",SUBSTITUTE(LEFT(TRIM(C22),FIND(" ",TRIM(C22)&amp;" ")-1),",","."))+1,9)),IF(ISNUMBER(SEARCH("yea",C22)),IFERROR(_xlfn.NUMBERVALUE(SUBSTITUTE(LEFT(TRIM(C22),FIND(" ",TRIM(C22)&amp;" ")-1),",","."),"."),LEFT(SUBSTITUTE(LEFT(TRIM(C22),FIND(" ",TRIM(C22)&amp;" ")-1),",","."),FIND("/",SUBSTITUTE(LEFT(TRIM(C22),FIND(" ",TRIM(C22)&amp;" ")-1),",","."))-1)/MID(SUBSTITUTE(LEFT(TRIM(C22),FIND(" ",TRIM(C22)&amp;" ")-1),",","."),FIND("/",SUBSTITUTE(LEFT(TRIM(C22),FIND(" ",TRIM(C22)&amp;" ")-1),",","."))+1,9))*12,NA()))),0),24)*'Aturan &amp; Tarif'!$B$4,2)</f>
        <v>1362.72</v>
      </c>
      <c r="K22" s="42" t="n">
        <f aca="false">'Aturan &amp; Tarif'!$B$5</f>
        <v>2050</v>
      </c>
      <c r="L22" s="35" t="n">
        <f aca="false">I22+J22+K22</f>
        <v>4862.72</v>
      </c>
      <c r="M22" s="45" t="s">
        <v>3067</v>
      </c>
    </row>
    <row r="23" customFormat="false" ht="14.25" hidden="false" customHeight="true" outlineLevel="0" collapsed="false">
      <c r="A23" s="39"/>
      <c r="B23" s="40" t="s">
        <v>835</v>
      </c>
      <c r="C23" s="41" t="s">
        <v>107</v>
      </c>
      <c r="D23" s="41" t="s">
        <v>108</v>
      </c>
      <c r="E23" s="42" t="n">
        <v>1625</v>
      </c>
      <c r="F23" s="42" t="n">
        <v>1000</v>
      </c>
      <c r="G23" s="42" t="n">
        <v>200</v>
      </c>
      <c r="H23" s="43" t="n">
        <v>1</v>
      </c>
      <c r="I23" s="34" t="n">
        <f aca="false">E23*H23+N(F23)+N(G23)</f>
        <v>2825</v>
      </c>
      <c r="J23" s="42" t="n">
        <f aca="false">ROUND(IFERROR(ROUND(IF(OR(ISNUMBER(SEARCH("week",C23)),ISNUMBER(SEARCH("minggu",C23))),IFERROR(_xlfn.NUMBERVALUE(SUBSTITUTE(LEFT(TRIM(C23),FIND(" ",TRIM(C23)&amp;" ")-1),",","."),"."),LEFT(SUBSTITUTE(LEFT(TRIM(C23),FIND(" ",TRIM(C23)&amp;" ")-1),",","."),FIND("/",SUBSTITUTE(LEFT(TRIM(C23),FIND(" ",TRIM(C23)&amp;" ")-1),",","."))-1)/MID(SUBSTITUTE(LEFT(TRIM(C23),FIND(" ",TRIM(C23)&amp;" ")-1),",","."),FIND("/",SUBSTITUTE(LEFT(TRIM(C23),FIND(" ",TRIM(C23)&amp;" ")-1),",","."))+1,9))*12/52,IF(ISNUMBER(SEARCH("month",C23)),IFERROR(_xlfn.NUMBERVALUE(SUBSTITUTE(LEFT(TRIM(C23),FIND(" ",TRIM(C23)&amp;" ")-1),",","."),"."),LEFT(SUBSTITUTE(LEFT(TRIM(C23),FIND(" ",TRIM(C23)&amp;" ")-1),",","."),FIND("/",SUBSTITUTE(LEFT(TRIM(C23),FIND(" ",TRIM(C23)&amp;" ")-1),",","."))-1)/MID(SUBSTITUTE(LEFT(TRIM(C23),FIND(" ",TRIM(C23)&amp;" ")-1),",","."),FIND("/",SUBSTITUTE(LEFT(TRIM(C23),FIND(" ",TRIM(C23)&amp;" ")-1),",","."))+1,9)),IF(ISNUMBER(SEARCH("yea",C23)),IFERROR(_xlfn.NUMBERVALUE(SUBSTITUTE(LEFT(TRIM(C23),FIND(" ",TRIM(C23)&amp;" ")-1),",","."),"."),LEFT(SUBSTITUTE(LEFT(TRIM(C23),FIND(" ",TRIM(C23)&amp;" ")-1),",","."),FIND("/",SUBSTITUTE(LEFT(TRIM(C23),FIND(" ",TRIM(C23)&amp;" ")-1),",","."))-1)/MID(SUBSTITUTE(LEFT(TRIM(C23),FIND(" ",TRIM(C23)&amp;" ")-1),",","."),FIND("/",SUBSTITUTE(LEFT(TRIM(C23),FIND(" ",TRIM(C23)&amp;" ")-1),",","."))+1,9))*12,NA()))),0),24)*'Aturan &amp; Tarif'!$B$4,2)</f>
        <v>1362.72</v>
      </c>
      <c r="K23" s="42" t="n">
        <f aca="false">'Aturan &amp; Tarif'!$B$5</f>
        <v>2050</v>
      </c>
      <c r="L23" s="35" t="n">
        <f aca="false">I23+J23+K23</f>
        <v>6237.72</v>
      </c>
      <c r="M23" s="45" t="s">
        <v>3068</v>
      </c>
    </row>
    <row r="24" customFormat="false" ht="25.5" hidden="false" customHeight="true" outlineLevel="0" collapsed="false">
      <c r="A24" s="39"/>
      <c r="B24" s="40" t="s">
        <v>837</v>
      </c>
      <c r="C24" s="41" t="s">
        <v>107</v>
      </c>
      <c r="D24" s="41" t="s">
        <v>108</v>
      </c>
      <c r="E24" s="42" t="n">
        <v>2375</v>
      </c>
      <c r="F24" s="42" t="n">
        <v>500</v>
      </c>
      <c r="G24" s="42" t="n">
        <v>200</v>
      </c>
      <c r="H24" s="43" t="n">
        <v>1</v>
      </c>
      <c r="I24" s="34" t="n">
        <f aca="false">E24*H24+N(F24)+N(G24)</f>
        <v>3075</v>
      </c>
      <c r="J24" s="42" t="n">
        <f aca="false">ROUND(IFERROR(ROUND(IF(OR(ISNUMBER(SEARCH("week",C24)),ISNUMBER(SEARCH("minggu",C24))),IFERROR(_xlfn.NUMBERVALUE(SUBSTITUTE(LEFT(TRIM(C24),FIND(" ",TRIM(C24)&amp;" ")-1),",","."),"."),LEFT(SUBSTITUTE(LEFT(TRIM(C24),FIND(" ",TRIM(C24)&amp;" ")-1),",","."),FIND("/",SUBSTITUTE(LEFT(TRIM(C24),FIND(" ",TRIM(C24)&amp;" ")-1),",","."))-1)/MID(SUBSTITUTE(LEFT(TRIM(C24),FIND(" ",TRIM(C24)&amp;" ")-1),",","."),FIND("/",SUBSTITUTE(LEFT(TRIM(C24),FIND(" ",TRIM(C24)&amp;" ")-1),",","."))+1,9))*12/52,IF(ISNUMBER(SEARCH("month",C24)),IFERROR(_xlfn.NUMBERVALUE(SUBSTITUTE(LEFT(TRIM(C24),FIND(" ",TRIM(C24)&amp;" ")-1),",","."),"."),LEFT(SUBSTITUTE(LEFT(TRIM(C24),FIND(" ",TRIM(C24)&amp;" ")-1),",","."),FIND("/",SUBSTITUTE(LEFT(TRIM(C24),FIND(" ",TRIM(C24)&amp;" ")-1),",","."))-1)/MID(SUBSTITUTE(LEFT(TRIM(C24),FIND(" ",TRIM(C24)&amp;" ")-1),",","."),FIND("/",SUBSTITUTE(LEFT(TRIM(C24),FIND(" ",TRIM(C24)&amp;" ")-1),",","."))+1,9)),IF(ISNUMBER(SEARCH("yea",C24)),IFERROR(_xlfn.NUMBERVALUE(SUBSTITUTE(LEFT(TRIM(C24),FIND(" ",TRIM(C24)&amp;" ")-1),",","."),"."),LEFT(SUBSTITUTE(LEFT(TRIM(C24),FIND(" ",TRIM(C24)&amp;" ")-1),",","."),FIND("/",SUBSTITUTE(LEFT(TRIM(C24),FIND(" ",TRIM(C24)&amp;" ")-1),",","."))-1)/MID(SUBSTITUTE(LEFT(TRIM(C24),FIND(" ",TRIM(C24)&amp;" ")-1),",","."),FIND("/",SUBSTITUTE(LEFT(TRIM(C24),FIND(" ",TRIM(C24)&amp;" ")-1),",","."))+1,9))*12,NA()))),0),24)*'Aturan &amp; Tarif'!$B$4,2)</f>
        <v>1362.72</v>
      </c>
      <c r="K24" s="42" t="n">
        <f aca="false">'Aturan &amp; Tarif'!$B$5</f>
        <v>2050</v>
      </c>
      <c r="L24" s="35" t="n">
        <f aca="false">I24+J24+K24</f>
        <v>6487.72</v>
      </c>
      <c r="M24" s="45" t="s">
        <v>3068</v>
      </c>
    </row>
    <row r="25" customFormat="false" ht="25.5" hidden="false" customHeight="true" outlineLevel="0" collapsed="false">
      <c r="A25" s="39"/>
      <c r="B25" s="40" t="s">
        <v>1562</v>
      </c>
      <c r="C25" s="41" t="s">
        <v>107</v>
      </c>
      <c r="D25" s="41" t="s">
        <v>108</v>
      </c>
      <c r="E25" s="42" t="n">
        <v>1250</v>
      </c>
      <c r="F25" s="42" t="n">
        <v>0</v>
      </c>
      <c r="G25" s="42" t="n">
        <v>200</v>
      </c>
      <c r="H25" s="43" t="n">
        <v>1</v>
      </c>
      <c r="I25" s="34" t="n">
        <f aca="false">E25*H25+N(F25)+N(G25)</f>
        <v>1450</v>
      </c>
      <c r="J25" s="42" t="n">
        <f aca="false">ROUND(IFERROR(ROUND(IF(OR(ISNUMBER(SEARCH("week",C25)),ISNUMBER(SEARCH("minggu",C25))),IFERROR(_xlfn.NUMBERVALUE(SUBSTITUTE(LEFT(TRIM(C25),FIND(" ",TRIM(C25)&amp;" ")-1),",","."),"."),LEFT(SUBSTITUTE(LEFT(TRIM(C25),FIND(" ",TRIM(C25)&amp;" ")-1),",","."),FIND("/",SUBSTITUTE(LEFT(TRIM(C25),FIND(" ",TRIM(C25)&amp;" ")-1),",","."))-1)/MID(SUBSTITUTE(LEFT(TRIM(C25),FIND(" ",TRIM(C25)&amp;" ")-1),",","."),FIND("/",SUBSTITUTE(LEFT(TRIM(C25),FIND(" ",TRIM(C25)&amp;" ")-1),",","."))+1,9))*12/52,IF(ISNUMBER(SEARCH("month",C25)),IFERROR(_xlfn.NUMBERVALUE(SUBSTITUTE(LEFT(TRIM(C25),FIND(" ",TRIM(C25)&amp;" ")-1),",","."),"."),LEFT(SUBSTITUTE(LEFT(TRIM(C25),FIND(" ",TRIM(C25)&amp;" ")-1),",","."),FIND("/",SUBSTITUTE(LEFT(TRIM(C25),FIND(" ",TRIM(C25)&amp;" ")-1),",","."))-1)/MID(SUBSTITUTE(LEFT(TRIM(C25),FIND(" ",TRIM(C25)&amp;" ")-1),",","."),FIND("/",SUBSTITUTE(LEFT(TRIM(C25),FIND(" ",TRIM(C25)&amp;" ")-1),",","."))+1,9)),IF(ISNUMBER(SEARCH("yea",C25)),IFERROR(_xlfn.NUMBERVALUE(SUBSTITUTE(LEFT(TRIM(C25),FIND(" ",TRIM(C25)&amp;" ")-1),",","."),"."),LEFT(SUBSTITUTE(LEFT(TRIM(C25),FIND(" ",TRIM(C25)&amp;" ")-1),",","."),FIND("/",SUBSTITUTE(LEFT(TRIM(C25),FIND(" ",TRIM(C25)&amp;" ")-1),",","."))-1)/MID(SUBSTITUTE(LEFT(TRIM(C25),FIND(" ",TRIM(C25)&amp;" ")-1),",","."),FIND("/",SUBSTITUTE(LEFT(TRIM(C25),FIND(" ",TRIM(C25)&amp;" ")-1),",","."))+1,9))*12,NA()))),0),24)*'Aturan &amp; Tarif'!$B$4,2)</f>
        <v>1362.72</v>
      </c>
      <c r="K25" s="42" t="n">
        <f aca="false">'Aturan &amp; Tarif'!$B$5</f>
        <v>2050</v>
      </c>
      <c r="L25" s="35" t="n">
        <f aca="false">I25+J25+K25</f>
        <v>4862.72</v>
      </c>
      <c r="M25" s="45" t="s">
        <v>3067</v>
      </c>
    </row>
    <row r="26" customFormat="false" ht="37.5" hidden="false" customHeight="true" outlineLevel="0" collapsed="false">
      <c r="A26" s="39" t="s">
        <v>839</v>
      </c>
      <c r="B26" s="40" t="s">
        <v>840</v>
      </c>
      <c r="C26" s="41" t="s">
        <v>127</v>
      </c>
      <c r="D26" s="41" t="s">
        <v>108</v>
      </c>
      <c r="E26" s="42" t="n">
        <v>2350</v>
      </c>
      <c r="F26" s="42" t="n">
        <v>395</v>
      </c>
      <c r="G26" s="42" t="n">
        <v>1000</v>
      </c>
      <c r="H26" s="43" t="n">
        <v>1</v>
      </c>
      <c r="I26" s="34" t="n">
        <f aca="false">E26*H26+N(F26)+N(G26)</f>
        <v>3745</v>
      </c>
      <c r="J26" s="42" t="n">
        <f aca="false">ROUND(IFERROR(ROUND(IF(OR(ISNUMBER(SEARCH("week",C26)),ISNUMBER(SEARCH("minggu",C26))),IFERROR(_xlfn.NUMBERVALUE(SUBSTITUTE(LEFT(TRIM(C26),FIND(" ",TRIM(C26)&amp;" ")-1),",","."),"."),LEFT(SUBSTITUTE(LEFT(TRIM(C26),FIND(" ",TRIM(C26)&amp;" ")-1),",","."),FIND("/",SUBSTITUTE(LEFT(TRIM(C26),FIND(" ",TRIM(C26)&amp;" ")-1),",","."))-1)/MID(SUBSTITUTE(LEFT(TRIM(C26),FIND(" ",TRIM(C26)&amp;" ")-1),",","."),FIND("/",SUBSTITUTE(LEFT(TRIM(C26),FIND(" ",TRIM(C26)&amp;" ")-1),",","."))+1,9))*12/52,IF(ISNUMBER(SEARCH("month",C26)),IFERROR(_xlfn.NUMBERVALUE(SUBSTITUTE(LEFT(TRIM(C26),FIND(" ",TRIM(C26)&amp;" ")-1),",","."),"."),LEFT(SUBSTITUTE(LEFT(TRIM(C26),FIND(" ",TRIM(C26)&amp;" ")-1),",","."),FIND("/",SUBSTITUTE(LEFT(TRIM(C26),FIND(" ",TRIM(C26)&amp;" ")-1),",","."))-1)/MID(SUBSTITUTE(LEFT(TRIM(C26),FIND(" ",TRIM(C26)&amp;" ")-1),",","."),FIND("/",SUBSTITUTE(LEFT(TRIM(C26),FIND(" ",TRIM(C26)&amp;" ")-1),",","."))+1,9)),IF(ISNUMBER(SEARCH("yea",C26)),IFERROR(_xlfn.NUMBERVALUE(SUBSTITUTE(LEFT(TRIM(C26),FIND(" ",TRIM(C26)&amp;" ")-1),",","."),"."),LEFT(SUBSTITUTE(LEFT(TRIM(C26),FIND(" ",TRIM(C26)&amp;" ")-1),",","."),FIND("/",SUBSTITUTE(LEFT(TRIM(C26),FIND(" ",TRIM(C26)&amp;" ")-1),",","."))-1)/MID(SUBSTITUTE(LEFT(TRIM(C26),FIND(" ",TRIM(C26)&amp;" ")-1),",","."),FIND("/",SUBSTITUTE(LEFT(TRIM(C26),FIND(" ",TRIM(C26)&amp;" ")-1),",","."))+1,9))*12,NA()))),0),36)*'Aturan &amp; Tarif'!$B$4,2)</f>
        <v>2044.08</v>
      </c>
      <c r="K26" s="42" t="n">
        <f aca="false">'Aturan &amp; Tarif'!$B$5</f>
        <v>2050</v>
      </c>
      <c r="L26" s="35" t="n">
        <f aca="false">I26+J26+K26</f>
        <v>7839.08</v>
      </c>
      <c r="M26" s="45" t="s">
        <v>134</v>
      </c>
    </row>
    <row r="27" customFormat="false" ht="37.5" hidden="false" customHeight="true" outlineLevel="0" collapsed="false">
      <c r="A27" s="39"/>
      <c r="B27" s="40" t="s">
        <v>470</v>
      </c>
      <c r="C27" s="41" t="s">
        <v>138</v>
      </c>
      <c r="D27" s="41" t="s">
        <v>108</v>
      </c>
      <c r="E27" s="42" t="n">
        <v>2860</v>
      </c>
      <c r="F27" s="42" t="n">
        <v>395</v>
      </c>
      <c r="G27" s="42" t="n">
        <v>1000</v>
      </c>
      <c r="H27" s="43" t="n">
        <v>1</v>
      </c>
      <c r="I27" s="34" t="n">
        <f aca="false">E27*H27+N(F27)+N(G27)</f>
        <v>4255</v>
      </c>
      <c r="J27" s="42" t="n">
        <f aca="false">ROUND(IFERROR(ROUND(IF(OR(ISNUMBER(SEARCH("week",C27)),ISNUMBER(SEARCH("minggu",C27))),IFERROR(_xlfn.NUMBERVALUE(SUBSTITUTE(LEFT(TRIM(C27),FIND(" ",TRIM(C27)&amp;" ")-1),",","."),"."),LEFT(SUBSTITUTE(LEFT(TRIM(C27),FIND(" ",TRIM(C27)&amp;" ")-1),",","."),FIND("/",SUBSTITUTE(LEFT(TRIM(C27),FIND(" ",TRIM(C27)&amp;" ")-1),",","."))-1)/MID(SUBSTITUTE(LEFT(TRIM(C27),FIND(" ",TRIM(C27)&amp;" ")-1),",","."),FIND("/",SUBSTITUTE(LEFT(TRIM(C27),FIND(" ",TRIM(C27)&amp;" ")-1),",","."))+1,9))*12/52,IF(ISNUMBER(SEARCH("month",C27)),IFERROR(_xlfn.NUMBERVALUE(SUBSTITUTE(LEFT(TRIM(C27),FIND(" ",TRIM(C27)&amp;" ")-1),",","."),"."),LEFT(SUBSTITUTE(LEFT(TRIM(C27),FIND(" ",TRIM(C27)&amp;" ")-1),",","."),FIND("/",SUBSTITUTE(LEFT(TRIM(C27),FIND(" ",TRIM(C27)&amp;" ")-1),",","."))-1)/MID(SUBSTITUTE(LEFT(TRIM(C27),FIND(" ",TRIM(C27)&amp;" ")-1),",","."),FIND("/",SUBSTITUTE(LEFT(TRIM(C27),FIND(" ",TRIM(C27)&amp;" ")-1),",","."))+1,9)),IF(ISNUMBER(SEARCH("yea",C27)),IFERROR(_xlfn.NUMBERVALUE(SUBSTITUTE(LEFT(TRIM(C27),FIND(" ",TRIM(C27)&amp;" ")-1),",","."),"."),LEFT(SUBSTITUTE(LEFT(TRIM(C27),FIND(" ",TRIM(C27)&amp;" ")-1),",","."),FIND("/",SUBSTITUTE(LEFT(TRIM(C27),FIND(" ",TRIM(C27)&amp;" ")-1),",","."))-1)/MID(SUBSTITUTE(LEFT(TRIM(C27),FIND(" ",TRIM(C27)&amp;" ")-1),",","."),FIND("/",SUBSTITUTE(LEFT(TRIM(C27),FIND(" ",TRIM(C27)&amp;" ")-1),",","."))+1,9))*12,NA()))),0),30)*'Aturan &amp; Tarif'!$B$4,2)</f>
        <v>1703.4</v>
      </c>
      <c r="K27" s="42" t="n">
        <f aca="false">'Aturan &amp; Tarif'!$B$5</f>
        <v>2050</v>
      </c>
      <c r="L27" s="35" t="n">
        <f aca="false">I27+J27+K27</f>
        <v>8008.4</v>
      </c>
      <c r="M27" s="45" t="s">
        <v>134</v>
      </c>
    </row>
    <row r="28" customFormat="false" ht="37.5" hidden="false" customHeight="true" outlineLevel="0" collapsed="false">
      <c r="A28" s="39"/>
      <c r="B28" s="40" t="s">
        <v>841</v>
      </c>
      <c r="C28" s="41" t="s">
        <v>127</v>
      </c>
      <c r="D28" s="41" t="s">
        <v>108</v>
      </c>
      <c r="E28" s="42" t="n">
        <v>2860</v>
      </c>
      <c r="F28" s="42" t="n">
        <v>395</v>
      </c>
      <c r="G28" s="42" t="n">
        <v>1000</v>
      </c>
      <c r="H28" s="43" t="n">
        <v>1</v>
      </c>
      <c r="I28" s="34" t="n">
        <f aca="false">E28*H28+N(F28)+N(G28)</f>
        <v>4255</v>
      </c>
      <c r="J28" s="42" t="n">
        <f aca="false">ROUND(IFERROR(ROUND(IF(OR(ISNUMBER(SEARCH("week",C28)),ISNUMBER(SEARCH("minggu",C28))),IFERROR(_xlfn.NUMBERVALUE(SUBSTITUTE(LEFT(TRIM(C28),FIND(" ",TRIM(C28)&amp;" ")-1),",","."),"."),LEFT(SUBSTITUTE(LEFT(TRIM(C28),FIND(" ",TRIM(C28)&amp;" ")-1),",","."),FIND("/",SUBSTITUTE(LEFT(TRIM(C28),FIND(" ",TRIM(C28)&amp;" ")-1),",","."))-1)/MID(SUBSTITUTE(LEFT(TRIM(C28),FIND(" ",TRIM(C28)&amp;" ")-1),",","."),FIND("/",SUBSTITUTE(LEFT(TRIM(C28),FIND(" ",TRIM(C28)&amp;" ")-1),",","."))+1,9))*12/52,IF(ISNUMBER(SEARCH("month",C28)),IFERROR(_xlfn.NUMBERVALUE(SUBSTITUTE(LEFT(TRIM(C28),FIND(" ",TRIM(C28)&amp;" ")-1),",","."),"."),LEFT(SUBSTITUTE(LEFT(TRIM(C28),FIND(" ",TRIM(C28)&amp;" ")-1),",","."),FIND("/",SUBSTITUTE(LEFT(TRIM(C28),FIND(" ",TRIM(C28)&amp;" ")-1),",","."))-1)/MID(SUBSTITUTE(LEFT(TRIM(C28),FIND(" ",TRIM(C28)&amp;" ")-1),",","."),FIND("/",SUBSTITUTE(LEFT(TRIM(C28),FIND(" ",TRIM(C28)&amp;" ")-1),",","."))+1,9)),IF(ISNUMBER(SEARCH("yea",C28)),IFERROR(_xlfn.NUMBERVALUE(SUBSTITUTE(LEFT(TRIM(C28),FIND(" ",TRIM(C28)&amp;" ")-1),",","."),"."),LEFT(SUBSTITUTE(LEFT(TRIM(C28),FIND(" ",TRIM(C28)&amp;" ")-1),",","."),FIND("/",SUBSTITUTE(LEFT(TRIM(C28),FIND(" ",TRIM(C28)&amp;" ")-1),",","."))-1)/MID(SUBSTITUTE(LEFT(TRIM(C28),FIND(" ",TRIM(C28)&amp;" ")-1),",","."),FIND("/",SUBSTITUTE(LEFT(TRIM(C28),FIND(" ",TRIM(C28)&amp;" ")-1),",","."))+1,9))*12,NA()))),0),36)*'Aturan &amp; Tarif'!$B$4,2)</f>
        <v>2044.08</v>
      </c>
      <c r="K28" s="42" t="n">
        <f aca="false">'Aturan &amp; Tarif'!$B$5</f>
        <v>2050</v>
      </c>
      <c r="L28" s="35" t="n">
        <f aca="false">I28+J28+K28</f>
        <v>8349.08</v>
      </c>
      <c r="M28" s="45" t="s">
        <v>134</v>
      </c>
    </row>
    <row r="29" customFormat="false" ht="25.5" hidden="false" customHeight="true" outlineLevel="0" collapsed="false">
      <c r="A29" s="39"/>
      <c r="B29" s="40" t="s">
        <v>842</v>
      </c>
      <c r="C29" s="41" t="s">
        <v>107</v>
      </c>
      <c r="D29" s="41" t="s">
        <v>108</v>
      </c>
      <c r="E29" s="42" t="n">
        <v>2350</v>
      </c>
      <c r="F29" s="42" t="n">
        <v>395</v>
      </c>
      <c r="G29" s="42" t="n">
        <v>1000</v>
      </c>
      <c r="H29" s="43" t="n">
        <v>1</v>
      </c>
      <c r="I29" s="34" t="n">
        <f aca="false">E29*H29+N(F29)+N(G29)</f>
        <v>3745</v>
      </c>
      <c r="J29" s="42" t="n">
        <f aca="false">ROUND(IFERROR(ROUND(IF(OR(ISNUMBER(SEARCH("week",C29)),ISNUMBER(SEARCH("minggu",C29))),IFERROR(_xlfn.NUMBERVALUE(SUBSTITUTE(LEFT(TRIM(C29),FIND(" ",TRIM(C29)&amp;" ")-1),",","."),"."),LEFT(SUBSTITUTE(LEFT(TRIM(C29),FIND(" ",TRIM(C29)&amp;" ")-1),",","."),FIND("/",SUBSTITUTE(LEFT(TRIM(C29),FIND(" ",TRIM(C29)&amp;" ")-1),",","."))-1)/MID(SUBSTITUTE(LEFT(TRIM(C29),FIND(" ",TRIM(C29)&amp;" ")-1),",","."),FIND("/",SUBSTITUTE(LEFT(TRIM(C29),FIND(" ",TRIM(C29)&amp;" ")-1),",","."))+1,9))*12/52,IF(ISNUMBER(SEARCH("month",C29)),IFERROR(_xlfn.NUMBERVALUE(SUBSTITUTE(LEFT(TRIM(C29),FIND(" ",TRIM(C29)&amp;" ")-1),",","."),"."),LEFT(SUBSTITUTE(LEFT(TRIM(C29),FIND(" ",TRIM(C29)&amp;" ")-1),",","."),FIND("/",SUBSTITUTE(LEFT(TRIM(C29),FIND(" ",TRIM(C29)&amp;" ")-1),",","."))-1)/MID(SUBSTITUTE(LEFT(TRIM(C29),FIND(" ",TRIM(C29)&amp;" ")-1),",","."),FIND("/",SUBSTITUTE(LEFT(TRIM(C29),FIND(" ",TRIM(C29)&amp;" ")-1),",","."))+1,9)),IF(ISNUMBER(SEARCH("yea",C29)),IFERROR(_xlfn.NUMBERVALUE(SUBSTITUTE(LEFT(TRIM(C29),FIND(" ",TRIM(C29)&amp;" ")-1),",","."),"."),LEFT(SUBSTITUTE(LEFT(TRIM(C29),FIND(" ",TRIM(C29)&amp;" ")-1),",","."),FIND("/",SUBSTITUTE(LEFT(TRIM(C29),FIND(" ",TRIM(C29)&amp;" ")-1),",","."))-1)/MID(SUBSTITUTE(LEFT(TRIM(C29),FIND(" ",TRIM(C29)&amp;" ")-1),",","."),FIND("/",SUBSTITUTE(LEFT(TRIM(C29),FIND(" ",TRIM(C29)&amp;" ")-1),",","."))+1,9))*12,NA()))),0),24)*'Aturan &amp; Tarif'!$B$4,2)</f>
        <v>1362.72</v>
      </c>
      <c r="K29" s="42" t="n">
        <f aca="false">'Aturan &amp; Tarif'!$B$5</f>
        <v>2050</v>
      </c>
      <c r="L29" s="35" t="n">
        <f aca="false">I29+J29+K29</f>
        <v>7157.72</v>
      </c>
      <c r="M29" s="45" t="s">
        <v>134</v>
      </c>
    </row>
    <row r="30" customFormat="false" ht="25.5" hidden="false" customHeight="true" outlineLevel="0" collapsed="false">
      <c r="A30" s="39"/>
      <c r="B30" s="40" t="s">
        <v>843</v>
      </c>
      <c r="C30" s="41" t="s">
        <v>127</v>
      </c>
      <c r="D30" s="41" t="s">
        <v>108</v>
      </c>
      <c r="E30" s="42" t="n">
        <v>2350</v>
      </c>
      <c r="F30" s="42" t="n">
        <v>395</v>
      </c>
      <c r="G30" s="42" t="n">
        <v>1000</v>
      </c>
      <c r="H30" s="43" t="n">
        <v>1</v>
      </c>
      <c r="I30" s="34" t="n">
        <f aca="false">E30*H30+N(F30)+N(G30)</f>
        <v>3745</v>
      </c>
      <c r="J30" s="42" t="n">
        <f aca="false">ROUND(IFERROR(ROUND(IF(OR(ISNUMBER(SEARCH("week",C30)),ISNUMBER(SEARCH("minggu",C30))),IFERROR(_xlfn.NUMBERVALUE(SUBSTITUTE(LEFT(TRIM(C30),FIND(" ",TRIM(C30)&amp;" ")-1),",","."),"."),LEFT(SUBSTITUTE(LEFT(TRIM(C30),FIND(" ",TRIM(C30)&amp;" ")-1),",","."),FIND("/",SUBSTITUTE(LEFT(TRIM(C30),FIND(" ",TRIM(C30)&amp;" ")-1),",","."))-1)/MID(SUBSTITUTE(LEFT(TRIM(C30),FIND(" ",TRIM(C30)&amp;" ")-1),",","."),FIND("/",SUBSTITUTE(LEFT(TRIM(C30),FIND(" ",TRIM(C30)&amp;" ")-1),",","."))+1,9))*12/52,IF(ISNUMBER(SEARCH("month",C30)),IFERROR(_xlfn.NUMBERVALUE(SUBSTITUTE(LEFT(TRIM(C30),FIND(" ",TRIM(C30)&amp;" ")-1),",","."),"."),LEFT(SUBSTITUTE(LEFT(TRIM(C30),FIND(" ",TRIM(C30)&amp;" ")-1),",","."),FIND("/",SUBSTITUTE(LEFT(TRIM(C30),FIND(" ",TRIM(C30)&amp;" ")-1),",","."))-1)/MID(SUBSTITUTE(LEFT(TRIM(C30),FIND(" ",TRIM(C30)&amp;" ")-1),",","."),FIND("/",SUBSTITUTE(LEFT(TRIM(C30),FIND(" ",TRIM(C30)&amp;" ")-1),",","."))+1,9)),IF(ISNUMBER(SEARCH("yea",C30)),IFERROR(_xlfn.NUMBERVALUE(SUBSTITUTE(LEFT(TRIM(C30),FIND(" ",TRIM(C30)&amp;" ")-1),",","."),"."),LEFT(SUBSTITUTE(LEFT(TRIM(C30),FIND(" ",TRIM(C30)&amp;" ")-1),",","."),FIND("/",SUBSTITUTE(LEFT(TRIM(C30),FIND(" ",TRIM(C30)&amp;" ")-1),",","."))-1)/MID(SUBSTITUTE(LEFT(TRIM(C30),FIND(" ",TRIM(C30)&amp;" ")-1),",","."),FIND("/",SUBSTITUTE(LEFT(TRIM(C30),FIND(" ",TRIM(C30)&amp;" ")-1),",","."))+1,9))*12,NA()))),0),36)*'Aturan &amp; Tarif'!$B$4,2)</f>
        <v>2044.08</v>
      </c>
      <c r="K30" s="42" t="n">
        <f aca="false">'Aturan &amp; Tarif'!$B$5</f>
        <v>2050</v>
      </c>
      <c r="L30" s="35" t="n">
        <f aca="false">I30+J30+K30</f>
        <v>7839.08</v>
      </c>
      <c r="M30" s="45" t="s">
        <v>134</v>
      </c>
    </row>
    <row r="31" customFormat="false" ht="25.5" hidden="false" customHeight="true" outlineLevel="0" collapsed="false">
      <c r="A31" s="39"/>
      <c r="B31" s="40" t="s">
        <v>133</v>
      </c>
      <c r="C31" s="41" t="s">
        <v>107</v>
      </c>
      <c r="D31" s="41" t="s">
        <v>108</v>
      </c>
      <c r="E31" s="42" t="n">
        <v>2500</v>
      </c>
      <c r="F31" s="42" t="n">
        <v>395</v>
      </c>
      <c r="G31" s="42" t="n">
        <v>1000</v>
      </c>
      <c r="H31" s="43" t="n">
        <v>1</v>
      </c>
      <c r="I31" s="34" t="n">
        <f aca="false">E31*H31+N(F31)+N(G31)</f>
        <v>3895</v>
      </c>
      <c r="J31" s="42" t="n">
        <f aca="false">ROUND(IFERROR(ROUND(IF(OR(ISNUMBER(SEARCH("week",C31)),ISNUMBER(SEARCH("minggu",C31))),IFERROR(_xlfn.NUMBERVALUE(SUBSTITUTE(LEFT(TRIM(C31),FIND(" ",TRIM(C31)&amp;" ")-1),",","."),"."),LEFT(SUBSTITUTE(LEFT(TRIM(C31),FIND(" ",TRIM(C31)&amp;" ")-1),",","."),FIND("/",SUBSTITUTE(LEFT(TRIM(C31),FIND(" ",TRIM(C31)&amp;" ")-1),",","."))-1)/MID(SUBSTITUTE(LEFT(TRIM(C31),FIND(" ",TRIM(C31)&amp;" ")-1),",","."),FIND("/",SUBSTITUTE(LEFT(TRIM(C31),FIND(" ",TRIM(C31)&amp;" ")-1),",","."))+1,9))*12/52,IF(ISNUMBER(SEARCH("month",C31)),IFERROR(_xlfn.NUMBERVALUE(SUBSTITUTE(LEFT(TRIM(C31),FIND(" ",TRIM(C31)&amp;" ")-1),",","."),"."),LEFT(SUBSTITUTE(LEFT(TRIM(C31),FIND(" ",TRIM(C31)&amp;" ")-1),",","."),FIND("/",SUBSTITUTE(LEFT(TRIM(C31),FIND(" ",TRIM(C31)&amp;" ")-1),",","."))-1)/MID(SUBSTITUTE(LEFT(TRIM(C31),FIND(" ",TRIM(C31)&amp;" ")-1),",","."),FIND("/",SUBSTITUTE(LEFT(TRIM(C31),FIND(" ",TRIM(C31)&amp;" ")-1),",","."))+1,9)),IF(ISNUMBER(SEARCH("yea",C31)),IFERROR(_xlfn.NUMBERVALUE(SUBSTITUTE(LEFT(TRIM(C31),FIND(" ",TRIM(C31)&amp;" ")-1),",","."),"."),LEFT(SUBSTITUTE(LEFT(TRIM(C31),FIND(" ",TRIM(C31)&amp;" ")-1),",","."),FIND("/",SUBSTITUTE(LEFT(TRIM(C31),FIND(" ",TRIM(C31)&amp;" ")-1),",","."))-1)/MID(SUBSTITUTE(LEFT(TRIM(C31),FIND(" ",TRIM(C31)&amp;" ")-1),",","."),FIND("/",SUBSTITUTE(LEFT(TRIM(C31),FIND(" ",TRIM(C31)&amp;" ")-1),",","."))+1,9))*12,NA()))),0),24)*'Aturan &amp; Tarif'!$B$4,2)</f>
        <v>1362.72</v>
      </c>
      <c r="K31" s="42" t="n">
        <f aca="false">'Aturan &amp; Tarif'!$B$5</f>
        <v>2050</v>
      </c>
      <c r="L31" s="35" t="n">
        <f aca="false">I31+J31+K31</f>
        <v>7307.72</v>
      </c>
      <c r="M31" s="45" t="s">
        <v>134</v>
      </c>
    </row>
    <row r="32" customFormat="false" ht="37.5" hidden="false" customHeight="true" outlineLevel="0" collapsed="false">
      <c r="A32" s="39"/>
      <c r="B32" s="40" t="s">
        <v>844</v>
      </c>
      <c r="C32" s="41" t="s">
        <v>127</v>
      </c>
      <c r="D32" s="41" t="s">
        <v>108</v>
      </c>
      <c r="E32" s="42" t="n">
        <v>2500</v>
      </c>
      <c r="F32" s="42" t="n">
        <v>395</v>
      </c>
      <c r="G32" s="42" t="n">
        <v>1000</v>
      </c>
      <c r="H32" s="43" t="n">
        <v>1</v>
      </c>
      <c r="I32" s="34" t="n">
        <f aca="false">E32*H32+N(F32)+N(G32)</f>
        <v>3895</v>
      </c>
      <c r="J32" s="42" t="n">
        <f aca="false">ROUND(IFERROR(ROUND(IF(OR(ISNUMBER(SEARCH("week",C32)),ISNUMBER(SEARCH("minggu",C32))),IFERROR(_xlfn.NUMBERVALUE(SUBSTITUTE(LEFT(TRIM(C32),FIND(" ",TRIM(C32)&amp;" ")-1),",","."),"."),LEFT(SUBSTITUTE(LEFT(TRIM(C32),FIND(" ",TRIM(C32)&amp;" ")-1),",","."),FIND("/",SUBSTITUTE(LEFT(TRIM(C32),FIND(" ",TRIM(C32)&amp;" ")-1),",","."))-1)/MID(SUBSTITUTE(LEFT(TRIM(C32),FIND(" ",TRIM(C32)&amp;" ")-1),",","."),FIND("/",SUBSTITUTE(LEFT(TRIM(C32),FIND(" ",TRIM(C32)&amp;" ")-1),",","."))+1,9))*12/52,IF(ISNUMBER(SEARCH("month",C32)),IFERROR(_xlfn.NUMBERVALUE(SUBSTITUTE(LEFT(TRIM(C32),FIND(" ",TRIM(C32)&amp;" ")-1),",","."),"."),LEFT(SUBSTITUTE(LEFT(TRIM(C32),FIND(" ",TRIM(C32)&amp;" ")-1),",","."),FIND("/",SUBSTITUTE(LEFT(TRIM(C32),FIND(" ",TRIM(C32)&amp;" ")-1),",","."))-1)/MID(SUBSTITUTE(LEFT(TRIM(C32),FIND(" ",TRIM(C32)&amp;" ")-1),",","."),FIND("/",SUBSTITUTE(LEFT(TRIM(C32),FIND(" ",TRIM(C32)&amp;" ")-1),",","."))+1,9)),IF(ISNUMBER(SEARCH("yea",C32)),IFERROR(_xlfn.NUMBERVALUE(SUBSTITUTE(LEFT(TRIM(C32),FIND(" ",TRIM(C32)&amp;" ")-1),",","."),"."),LEFT(SUBSTITUTE(LEFT(TRIM(C32),FIND(" ",TRIM(C32)&amp;" ")-1),",","."),FIND("/",SUBSTITUTE(LEFT(TRIM(C32),FIND(" ",TRIM(C32)&amp;" ")-1),",","."))-1)/MID(SUBSTITUTE(LEFT(TRIM(C32),FIND(" ",TRIM(C32)&amp;" ")-1),",","."),FIND("/",SUBSTITUTE(LEFT(TRIM(C32),FIND(" ",TRIM(C32)&amp;" ")-1),",","."))+1,9))*12,NA()))),0),36)*'Aturan &amp; Tarif'!$B$4,2)</f>
        <v>2044.08</v>
      </c>
      <c r="K32" s="42" t="n">
        <f aca="false">'Aturan &amp; Tarif'!$B$5</f>
        <v>2050</v>
      </c>
      <c r="L32" s="35" t="n">
        <f aca="false">I32+J32+K32</f>
        <v>7989.08</v>
      </c>
      <c r="M32" s="45" t="s">
        <v>134</v>
      </c>
    </row>
    <row r="33" customFormat="false" ht="48.75" hidden="false" customHeight="true" outlineLevel="0" collapsed="false">
      <c r="A33" s="39" t="s">
        <v>845</v>
      </c>
      <c r="B33" s="40" t="s">
        <v>1908</v>
      </c>
      <c r="C33" s="41" t="s">
        <v>130</v>
      </c>
      <c r="D33" s="41" t="s">
        <v>737</v>
      </c>
      <c r="E33" s="42" t="n">
        <v>3000</v>
      </c>
      <c r="F33" s="42"/>
      <c r="G33" s="42" t="n">
        <v>200</v>
      </c>
      <c r="H33" s="43" t="n">
        <v>1</v>
      </c>
      <c r="I33" s="34" t="n">
        <f aca="false">E33*H33+N(F33)+N(G33)</f>
        <v>3200</v>
      </c>
      <c r="J33" s="42" t="n">
        <f aca="false">ROUND(IFERROR(ROUND(IF(OR(ISNUMBER(SEARCH("week",C33)),ISNUMBER(SEARCH("minggu",C33))),IFERROR(_xlfn.NUMBERVALUE(SUBSTITUTE(LEFT(TRIM(C33),FIND(" ",TRIM(C33)&amp;" ")-1),",","."),"."),LEFT(SUBSTITUTE(LEFT(TRIM(C33),FIND(" ",TRIM(C33)&amp;" ")-1),",","."),FIND("/",SUBSTITUTE(LEFT(TRIM(C33),FIND(" ",TRIM(C33)&amp;" ")-1),",","."))-1)/MID(SUBSTITUTE(LEFT(TRIM(C33),FIND(" ",TRIM(C33)&amp;" ")-1),",","."),FIND("/",SUBSTITUTE(LEFT(TRIM(C33),FIND(" ",TRIM(C33)&amp;" ")-1),",","."))+1,9))*12/52,IF(ISNUMBER(SEARCH("month",C33)),IFERROR(_xlfn.NUMBERVALUE(SUBSTITUTE(LEFT(TRIM(C33),FIND(" ",TRIM(C33)&amp;" ")-1),",","."),"."),LEFT(SUBSTITUTE(LEFT(TRIM(C33),FIND(" ",TRIM(C33)&amp;" ")-1),",","."),FIND("/",SUBSTITUTE(LEFT(TRIM(C33),FIND(" ",TRIM(C33)&amp;" ")-1),",","."))-1)/MID(SUBSTITUTE(LEFT(TRIM(C33),FIND(" ",TRIM(C33)&amp;" ")-1),",","."),FIND("/",SUBSTITUTE(LEFT(TRIM(C33),FIND(" ",TRIM(C33)&amp;" ")-1),",","."))+1,9)),IF(ISNUMBER(SEARCH("yea",C33)),IFERROR(_xlfn.NUMBERVALUE(SUBSTITUTE(LEFT(TRIM(C33),FIND(" ",TRIM(C33)&amp;" ")-1),",","."),"."),LEFT(SUBSTITUTE(LEFT(TRIM(C33),FIND(" ",TRIM(C33)&amp;" ")-1),",","."),FIND("/",SUBSTITUTE(LEFT(TRIM(C33),FIND(" ",TRIM(C33)&amp;" ")-1),",","."))-1)/MID(SUBSTITUTE(LEFT(TRIM(C33),FIND(" ",TRIM(C33)&amp;" ")-1),",","."),FIND("/",SUBSTITUTE(LEFT(TRIM(C33),FIND(" ",TRIM(C33)&amp;" ")-1),",","."))+1,9))*12,NA()))),0),12)*'Aturan &amp; Tarif'!$B$4,2)</f>
        <v>681.36</v>
      </c>
      <c r="K33" s="42" t="n">
        <f aca="false">'Aturan &amp; Tarif'!$B$5</f>
        <v>2050</v>
      </c>
      <c r="L33" s="35" t="n">
        <f aca="false">I33+J33+K33</f>
        <v>5931.36</v>
      </c>
      <c r="M33" s="45" t="s">
        <v>846</v>
      </c>
    </row>
    <row r="34" customFormat="false" ht="37.5" hidden="false" customHeight="true" outlineLevel="0" collapsed="false">
      <c r="A34" s="39"/>
      <c r="B34" s="40" t="s">
        <v>1909</v>
      </c>
      <c r="C34" s="41" t="s">
        <v>127</v>
      </c>
      <c r="D34" s="41" t="s">
        <v>737</v>
      </c>
      <c r="E34" s="42" t="n">
        <v>4500</v>
      </c>
      <c r="F34" s="42"/>
      <c r="G34" s="42" t="n">
        <v>200</v>
      </c>
      <c r="H34" s="43" t="n">
        <v>1</v>
      </c>
      <c r="I34" s="34" t="n">
        <f aca="false">E34*H34+N(F34)+N(G34)</f>
        <v>4700</v>
      </c>
      <c r="J34" s="42" t="n">
        <f aca="false">ROUND(IFERROR(ROUND(IF(OR(ISNUMBER(SEARCH("week",C34)),ISNUMBER(SEARCH("minggu",C34))),IFERROR(_xlfn.NUMBERVALUE(SUBSTITUTE(LEFT(TRIM(C34),FIND(" ",TRIM(C34)&amp;" ")-1),",","."),"."),LEFT(SUBSTITUTE(LEFT(TRIM(C34),FIND(" ",TRIM(C34)&amp;" ")-1),",","."),FIND("/",SUBSTITUTE(LEFT(TRIM(C34),FIND(" ",TRIM(C34)&amp;" ")-1),",","."))-1)/MID(SUBSTITUTE(LEFT(TRIM(C34),FIND(" ",TRIM(C34)&amp;" ")-1),",","."),FIND("/",SUBSTITUTE(LEFT(TRIM(C34),FIND(" ",TRIM(C34)&amp;" ")-1),",","."))+1,9))*12/52,IF(ISNUMBER(SEARCH("month",C34)),IFERROR(_xlfn.NUMBERVALUE(SUBSTITUTE(LEFT(TRIM(C34),FIND(" ",TRIM(C34)&amp;" ")-1),",","."),"."),LEFT(SUBSTITUTE(LEFT(TRIM(C34),FIND(" ",TRIM(C34)&amp;" ")-1),",","."),FIND("/",SUBSTITUTE(LEFT(TRIM(C34),FIND(" ",TRIM(C34)&amp;" ")-1),",","."))-1)/MID(SUBSTITUTE(LEFT(TRIM(C34),FIND(" ",TRIM(C34)&amp;" ")-1),",","."),FIND("/",SUBSTITUTE(LEFT(TRIM(C34),FIND(" ",TRIM(C34)&amp;" ")-1),",","."))+1,9)),IF(ISNUMBER(SEARCH("yea",C34)),IFERROR(_xlfn.NUMBERVALUE(SUBSTITUTE(LEFT(TRIM(C34),FIND(" ",TRIM(C34)&amp;" ")-1),",","."),"."),LEFT(SUBSTITUTE(LEFT(TRIM(C34),FIND(" ",TRIM(C34)&amp;" ")-1),",","."),FIND("/",SUBSTITUTE(LEFT(TRIM(C34),FIND(" ",TRIM(C34)&amp;" ")-1),",","."))-1)/MID(SUBSTITUTE(LEFT(TRIM(C34),FIND(" ",TRIM(C34)&amp;" ")-1),",","."),FIND("/",SUBSTITUTE(LEFT(TRIM(C34),FIND(" ",TRIM(C34)&amp;" ")-1),",","."))+1,9))*12,NA()))),0),36)*'Aturan &amp; Tarif'!$B$4,2)</f>
        <v>2044.08</v>
      </c>
      <c r="K34" s="42" t="n">
        <f aca="false">'Aturan &amp; Tarif'!$B$5</f>
        <v>2050</v>
      </c>
      <c r="L34" s="35" t="n">
        <f aca="false">I34+J34+K34</f>
        <v>8794.08</v>
      </c>
      <c r="M34" s="44" t="s">
        <v>847</v>
      </c>
    </row>
    <row r="35" customFormat="false" ht="37.5" hidden="false" customHeight="true" outlineLevel="0" collapsed="false">
      <c r="A35" s="39"/>
      <c r="B35" s="40" t="s">
        <v>1910</v>
      </c>
      <c r="C35" s="41" t="s">
        <v>130</v>
      </c>
      <c r="D35" s="41" t="s">
        <v>737</v>
      </c>
      <c r="E35" s="42" t="n">
        <v>3000</v>
      </c>
      <c r="F35" s="42"/>
      <c r="G35" s="42" t="n">
        <v>200</v>
      </c>
      <c r="H35" s="43" t="n">
        <v>1</v>
      </c>
      <c r="I35" s="34" t="n">
        <f aca="false">E35*H35+N(F35)+N(G35)</f>
        <v>3200</v>
      </c>
      <c r="J35" s="42" t="n">
        <f aca="false">ROUND(IFERROR(ROUND(IF(OR(ISNUMBER(SEARCH("week",C35)),ISNUMBER(SEARCH("minggu",C35))),IFERROR(_xlfn.NUMBERVALUE(SUBSTITUTE(LEFT(TRIM(C35),FIND(" ",TRIM(C35)&amp;" ")-1),",","."),"."),LEFT(SUBSTITUTE(LEFT(TRIM(C35),FIND(" ",TRIM(C35)&amp;" ")-1),",","."),FIND("/",SUBSTITUTE(LEFT(TRIM(C35),FIND(" ",TRIM(C35)&amp;" ")-1),",","."))-1)/MID(SUBSTITUTE(LEFT(TRIM(C35),FIND(" ",TRIM(C35)&amp;" ")-1),",","."),FIND("/",SUBSTITUTE(LEFT(TRIM(C35),FIND(" ",TRIM(C35)&amp;" ")-1),",","."))+1,9))*12/52,IF(ISNUMBER(SEARCH("month",C35)),IFERROR(_xlfn.NUMBERVALUE(SUBSTITUTE(LEFT(TRIM(C35),FIND(" ",TRIM(C35)&amp;" ")-1),",","."),"."),LEFT(SUBSTITUTE(LEFT(TRIM(C35),FIND(" ",TRIM(C35)&amp;" ")-1),",","."),FIND("/",SUBSTITUTE(LEFT(TRIM(C35),FIND(" ",TRIM(C35)&amp;" ")-1),",","."))-1)/MID(SUBSTITUTE(LEFT(TRIM(C35),FIND(" ",TRIM(C35)&amp;" ")-1),",","."),FIND("/",SUBSTITUTE(LEFT(TRIM(C35),FIND(" ",TRIM(C35)&amp;" ")-1),",","."))+1,9)),IF(ISNUMBER(SEARCH("yea",C35)),IFERROR(_xlfn.NUMBERVALUE(SUBSTITUTE(LEFT(TRIM(C35),FIND(" ",TRIM(C35)&amp;" ")-1),",","."),"."),LEFT(SUBSTITUTE(LEFT(TRIM(C35),FIND(" ",TRIM(C35)&amp;" ")-1),",","."),FIND("/",SUBSTITUTE(LEFT(TRIM(C35),FIND(" ",TRIM(C35)&amp;" ")-1),",","."))-1)/MID(SUBSTITUTE(LEFT(TRIM(C35),FIND(" ",TRIM(C35)&amp;" ")-1),",","."),FIND("/",SUBSTITUTE(LEFT(TRIM(C35),FIND(" ",TRIM(C35)&amp;" ")-1),",","."))+1,9))*12,NA()))),0),12)*'Aturan &amp; Tarif'!$B$4,2)</f>
        <v>681.36</v>
      </c>
      <c r="K35" s="42" t="n">
        <f aca="false">'Aturan &amp; Tarif'!$B$5</f>
        <v>2050</v>
      </c>
      <c r="L35" s="35" t="n">
        <f aca="false">I35+J35+K35</f>
        <v>5931.36</v>
      </c>
      <c r="M35" s="44" t="s">
        <v>849</v>
      </c>
    </row>
    <row r="36" customFormat="false" ht="37.5" hidden="false" customHeight="true" outlineLevel="0" collapsed="false">
      <c r="A36" s="39"/>
      <c r="B36" s="40" t="s">
        <v>321</v>
      </c>
      <c r="C36" s="41" t="s">
        <v>127</v>
      </c>
      <c r="D36" s="41" t="s">
        <v>737</v>
      </c>
      <c r="E36" s="42" t="n">
        <v>4500</v>
      </c>
      <c r="F36" s="42"/>
      <c r="G36" s="42" t="n">
        <v>200</v>
      </c>
      <c r="H36" s="43" t="n">
        <v>1</v>
      </c>
      <c r="I36" s="34" t="n">
        <f aca="false">E36*H36+N(F36)+N(G36)</f>
        <v>4700</v>
      </c>
      <c r="J36" s="42" t="n">
        <f aca="false">ROUND(IFERROR(ROUND(IF(OR(ISNUMBER(SEARCH("week",C36)),ISNUMBER(SEARCH("minggu",C36))),IFERROR(_xlfn.NUMBERVALUE(SUBSTITUTE(LEFT(TRIM(C36),FIND(" ",TRIM(C36)&amp;" ")-1),",","."),"."),LEFT(SUBSTITUTE(LEFT(TRIM(C36),FIND(" ",TRIM(C36)&amp;" ")-1),",","."),FIND("/",SUBSTITUTE(LEFT(TRIM(C36),FIND(" ",TRIM(C36)&amp;" ")-1),",","."))-1)/MID(SUBSTITUTE(LEFT(TRIM(C36),FIND(" ",TRIM(C36)&amp;" ")-1),",","."),FIND("/",SUBSTITUTE(LEFT(TRIM(C36),FIND(" ",TRIM(C36)&amp;" ")-1),",","."))+1,9))*12/52,IF(ISNUMBER(SEARCH("month",C36)),IFERROR(_xlfn.NUMBERVALUE(SUBSTITUTE(LEFT(TRIM(C36),FIND(" ",TRIM(C36)&amp;" ")-1),",","."),"."),LEFT(SUBSTITUTE(LEFT(TRIM(C36),FIND(" ",TRIM(C36)&amp;" ")-1),",","."),FIND("/",SUBSTITUTE(LEFT(TRIM(C36),FIND(" ",TRIM(C36)&amp;" ")-1),",","."))-1)/MID(SUBSTITUTE(LEFT(TRIM(C36),FIND(" ",TRIM(C36)&amp;" ")-1),",","."),FIND("/",SUBSTITUTE(LEFT(TRIM(C36),FIND(" ",TRIM(C36)&amp;" ")-1),",","."))+1,9)),IF(ISNUMBER(SEARCH("yea",C36)),IFERROR(_xlfn.NUMBERVALUE(SUBSTITUTE(LEFT(TRIM(C36),FIND(" ",TRIM(C36)&amp;" ")-1),",","."),"."),LEFT(SUBSTITUTE(LEFT(TRIM(C36),FIND(" ",TRIM(C36)&amp;" ")-1),",","."),FIND("/",SUBSTITUTE(LEFT(TRIM(C36),FIND(" ",TRIM(C36)&amp;" ")-1),",","."))-1)/MID(SUBSTITUTE(LEFT(TRIM(C36),FIND(" ",TRIM(C36)&amp;" ")-1),",","."),FIND("/",SUBSTITUTE(LEFT(TRIM(C36),FIND(" ",TRIM(C36)&amp;" ")-1),",","."))+1,9))*12,NA()))),0),36)*'Aturan &amp; Tarif'!$B$4,2)</f>
        <v>2044.08</v>
      </c>
      <c r="K36" s="42" t="n">
        <f aca="false">'Aturan &amp; Tarif'!$B$5</f>
        <v>2050</v>
      </c>
      <c r="L36" s="35" t="n">
        <f aca="false">I36+J36+K36</f>
        <v>8794.08</v>
      </c>
      <c r="M36" s="44" t="s">
        <v>847</v>
      </c>
    </row>
    <row r="37" customFormat="false" ht="37.5" hidden="false" customHeight="true" outlineLevel="0" collapsed="false">
      <c r="A37" s="39"/>
      <c r="B37" s="40" t="s">
        <v>1911</v>
      </c>
      <c r="C37" s="41" t="s">
        <v>127</v>
      </c>
      <c r="D37" s="41" t="s">
        <v>737</v>
      </c>
      <c r="E37" s="42" t="n">
        <v>4500</v>
      </c>
      <c r="F37" s="42"/>
      <c r="G37" s="42" t="n">
        <v>200</v>
      </c>
      <c r="H37" s="43" t="n">
        <v>1</v>
      </c>
      <c r="I37" s="34" t="n">
        <f aca="false">E37*H37+N(F37)+N(G37)</f>
        <v>4700</v>
      </c>
      <c r="J37" s="42" t="n">
        <f aca="false">ROUND(IFERROR(ROUND(IF(OR(ISNUMBER(SEARCH("week",C37)),ISNUMBER(SEARCH("minggu",C37))),IFERROR(_xlfn.NUMBERVALUE(SUBSTITUTE(LEFT(TRIM(C37),FIND(" ",TRIM(C37)&amp;" ")-1),",","."),"."),LEFT(SUBSTITUTE(LEFT(TRIM(C37),FIND(" ",TRIM(C37)&amp;" ")-1),",","."),FIND("/",SUBSTITUTE(LEFT(TRIM(C37),FIND(" ",TRIM(C37)&amp;" ")-1),",","."))-1)/MID(SUBSTITUTE(LEFT(TRIM(C37),FIND(" ",TRIM(C37)&amp;" ")-1),",","."),FIND("/",SUBSTITUTE(LEFT(TRIM(C37),FIND(" ",TRIM(C37)&amp;" ")-1),",","."))+1,9))*12/52,IF(ISNUMBER(SEARCH("month",C37)),IFERROR(_xlfn.NUMBERVALUE(SUBSTITUTE(LEFT(TRIM(C37),FIND(" ",TRIM(C37)&amp;" ")-1),",","."),"."),LEFT(SUBSTITUTE(LEFT(TRIM(C37),FIND(" ",TRIM(C37)&amp;" ")-1),",","."),FIND("/",SUBSTITUTE(LEFT(TRIM(C37),FIND(" ",TRIM(C37)&amp;" ")-1),",","."))-1)/MID(SUBSTITUTE(LEFT(TRIM(C37),FIND(" ",TRIM(C37)&amp;" ")-1),",","."),FIND("/",SUBSTITUTE(LEFT(TRIM(C37),FIND(" ",TRIM(C37)&amp;" ")-1),",","."))+1,9)),IF(ISNUMBER(SEARCH("yea",C37)),IFERROR(_xlfn.NUMBERVALUE(SUBSTITUTE(LEFT(TRIM(C37),FIND(" ",TRIM(C37)&amp;" ")-1),",","."),"."),LEFT(SUBSTITUTE(LEFT(TRIM(C37),FIND(" ",TRIM(C37)&amp;" ")-1),",","."),FIND("/",SUBSTITUTE(LEFT(TRIM(C37),FIND(" ",TRIM(C37)&amp;" ")-1),",","."))-1)/MID(SUBSTITUTE(LEFT(TRIM(C37),FIND(" ",TRIM(C37)&amp;" ")-1),",","."),FIND("/",SUBSTITUTE(LEFT(TRIM(C37),FIND(" ",TRIM(C37)&amp;" ")-1),",","."))+1,9))*12,NA()))),0),36)*'Aturan &amp; Tarif'!$B$4,2)</f>
        <v>2044.08</v>
      </c>
      <c r="K37" s="42" t="n">
        <f aca="false">'Aturan &amp; Tarif'!$B$5</f>
        <v>2050</v>
      </c>
      <c r="L37" s="35" t="n">
        <f aca="false">I37+J37+K37</f>
        <v>8794.08</v>
      </c>
      <c r="M37" s="44" t="s">
        <v>847</v>
      </c>
    </row>
    <row r="38" customFormat="false" ht="37.5" hidden="false" customHeight="true" outlineLevel="0" collapsed="false">
      <c r="A38" s="39"/>
      <c r="B38" s="40" t="s">
        <v>1912</v>
      </c>
      <c r="C38" s="41" t="s">
        <v>852</v>
      </c>
      <c r="D38" s="41" t="s">
        <v>737</v>
      </c>
      <c r="E38" s="42" t="n">
        <v>7800</v>
      </c>
      <c r="F38" s="42"/>
      <c r="G38" s="42" t="n">
        <v>200</v>
      </c>
      <c r="H38" s="43" t="n">
        <v>1</v>
      </c>
      <c r="I38" s="34" t="n">
        <f aca="false">E38*H38+N(F38)+N(G38)</f>
        <v>8000</v>
      </c>
      <c r="J38" s="42" t="n">
        <f aca="false">ROUND(IFERROR(ROUND(IF(OR(ISNUMBER(SEARCH("week",C38)),ISNUMBER(SEARCH("minggu",C38))),IFERROR(_xlfn.NUMBERVALUE(SUBSTITUTE(LEFT(TRIM(C38),FIND(" ",TRIM(C38)&amp;" ")-1),",","."),"."),LEFT(SUBSTITUTE(LEFT(TRIM(C38),FIND(" ",TRIM(C38)&amp;" ")-1),",","."),FIND("/",SUBSTITUTE(LEFT(TRIM(C38),FIND(" ",TRIM(C38)&amp;" ")-1),",","."))-1)/MID(SUBSTITUTE(LEFT(TRIM(C38),FIND(" ",TRIM(C38)&amp;" ")-1),",","."),FIND("/",SUBSTITUTE(LEFT(TRIM(C38),FIND(" ",TRIM(C38)&amp;" ")-1),",","."))+1,9))*12/52,IF(ISNUMBER(SEARCH("month",C38)),IFERROR(_xlfn.NUMBERVALUE(SUBSTITUTE(LEFT(TRIM(C38),FIND(" ",TRIM(C38)&amp;" ")-1),",","."),"."),LEFT(SUBSTITUTE(LEFT(TRIM(C38),FIND(" ",TRIM(C38)&amp;" ")-1),",","."),FIND("/",SUBSTITUTE(LEFT(TRIM(C38),FIND(" ",TRIM(C38)&amp;" ")-1),",","."))-1)/MID(SUBSTITUTE(LEFT(TRIM(C38),FIND(" ",TRIM(C38)&amp;" ")-1),",","."),FIND("/",SUBSTITUTE(LEFT(TRIM(C38),FIND(" ",TRIM(C38)&amp;" ")-1),",","."))+1,9)),IF(ISNUMBER(SEARCH("yea",C38)),IFERROR(_xlfn.NUMBERVALUE(SUBSTITUTE(LEFT(TRIM(C38),FIND(" ",TRIM(C38)&amp;" ")-1),",","."),"."),LEFT(SUBSTITUTE(LEFT(TRIM(C38),FIND(" ",TRIM(C38)&amp;" ")-1),",","."),FIND("/",SUBSTITUTE(LEFT(TRIM(C38),FIND(" ",TRIM(C38)&amp;" ")-1),",","."))-1)/MID(SUBSTITUTE(LEFT(TRIM(C38),FIND(" ",TRIM(C38)&amp;" ")-1),",","."),FIND("/",SUBSTITUTE(LEFT(TRIM(C38),FIND(" ",TRIM(C38)&amp;" ")-1),",","."))+1,9))*12,NA()))),0),9)*'Aturan &amp; Tarif'!$B$4,2)</f>
        <v>511.02</v>
      </c>
      <c r="K38" s="42" t="n">
        <f aca="false">'Aturan &amp; Tarif'!$B$5</f>
        <v>2050</v>
      </c>
      <c r="L38" s="35" t="n">
        <f aca="false">I38+J38+K38</f>
        <v>10561.02</v>
      </c>
      <c r="M38" s="44" t="s">
        <v>853</v>
      </c>
    </row>
    <row r="39" customFormat="false" ht="37.5" hidden="false" customHeight="true" outlineLevel="0" collapsed="false">
      <c r="A39" s="39"/>
      <c r="B39" s="40" t="s">
        <v>1913</v>
      </c>
      <c r="C39" s="41" t="s">
        <v>130</v>
      </c>
      <c r="D39" s="41" t="s">
        <v>737</v>
      </c>
      <c r="E39" s="42" t="n">
        <v>7800</v>
      </c>
      <c r="F39" s="42"/>
      <c r="G39" s="42" t="n">
        <v>200</v>
      </c>
      <c r="H39" s="43" t="n">
        <v>1</v>
      </c>
      <c r="I39" s="34" t="n">
        <f aca="false">E39*H39+N(F39)+N(G39)</f>
        <v>8000</v>
      </c>
      <c r="J39" s="42" t="n">
        <f aca="false">ROUND(IFERROR(ROUND(IF(OR(ISNUMBER(SEARCH("week",C39)),ISNUMBER(SEARCH("minggu",C39))),IFERROR(_xlfn.NUMBERVALUE(SUBSTITUTE(LEFT(TRIM(C39),FIND(" ",TRIM(C39)&amp;" ")-1),",","."),"."),LEFT(SUBSTITUTE(LEFT(TRIM(C39),FIND(" ",TRIM(C39)&amp;" ")-1),",","."),FIND("/",SUBSTITUTE(LEFT(TRIM(C39),FIND(" ",TRIM(C39)&amp;" ")-1),",","."))-1)/MID(SUBSTITUTE(LEFT(TRIM(C39),FIND(" ",TRIM(C39)&amp;" ")-1),",","."),FIND("/",SUBSTITUTE(LEFT(TRIM(C39),FIND(" ",TRIM(C39)&amp;" ")-1),",","."))+1,9))*12/52,IF(ISNUMBER(SEARCH("month",C39)),IFERROR(_xlfn.NUMBERVALUE(SUBSTITUTE(LEFT(TRIM(C39),FIND(" ",TRIM(C39)&amp;" ")-1),",","."),"."),LEFT(SUBSTITUTE(LEFT(TRIM(C39),FIND(" ",TRIM(C39)&amp;" ")-1),",","."),FIND("/",SUBSTITUTE(LEFT(TRIM(C39),FIND(" ",TRIM(C39)&amp;" ")-1),",","."))-1)/MID(SUBSTITUTE(LEFT(TRIM(C39),FIND(" ",TRIM(C39)&amp;" ")-1),",","."),FIND("/",SUBSTITUTE(LEFT(TRIM(C39),FIND(" ",TRIM(C39)&amp;" ")-1),",","."))+1,9)),IF(ISNUMBER(SEARCH("yea",C39)),IFERROR(_xlfn.NUMBERVALUE(SUBSTITUTE(LEFT(TRIM(C39),FIND(" ",TRIM(C39)&amp;" ")-1),",","."),"."),LEFT(SUBSTITUTE(LEFT(TRIM(C39),FIND(" ",TRIM(C39)&amp;" ")-1),",","."),FIND("/",SUBSTITUTE(LEFT(TRIM(C39),FIND(" ",TRIM(C39)&amp;" ")-1),",","."))-1)/MID(SUBSTITUTE(LEFT(TRIM(C39),FIND(" ",TRIM(C39)&amp;" ")-1),",","."),FIND("/",SUBSTITUTE(LEFT(TRIM(C39),FIND(" ",TRIM(C39)&amp;" ")-1),",","."))+1,9))*12,NA()))),0),12)*'Aturan &amp; Tarif'!$B$4,2)</f>
        <v>681.36</v>
      </c>
      <c r="K39" s="42" t="n">
        <f aca="false">'Aturan &amp; Tarif'!$B$5</f>
        <v>2050</v>
      </c>
      <c r="L39" s="35" t="n">
        <f aca="false">I39+J39+K39</f>
        <v>10731.36</v>
      </c>
      <c r="M39" s="44" t="s">
        <v>853</v>
      </c>
    </row>
    <row r="40" customFormat="false" ht="37.5" hidden="false" customHeight="true" outlineLevel="0" collapsed="false">
      <c r="A40" s="39"/>
      <c r="B40" s="40" t="s">
        <v>971</v>
      </c>
      <c r="C40" s="41" t="s">
        <v>107</v>
      </c>
      <c r="D40" s="41" t="s">
        <v>737</v>
      </c>
      <c r="E40" s="42" t="n">
        <v>7800</v>
      </c>
      <c r="F40" s="42"/>
      <c r="G40" s="42" t="n">
        <v>200</v>
      </c>
      <c r="H40" s="43" t="n">
        <v>1</v>
      </c>
      <c r="I40" s="34" t="n">
        <f aca="false">E40*H40+N(F40)+N(G40)</f>
        <v>8000</v>
      </c>
      <c r="J40" s="42" t="n">
        <f aca="false">ROUND(IFERROR(ROUND(IF(OR(ISNUMBER(SEARCH("week",C40)),ISNUMBER(SEARCH("minggu",C40))),IFERROR(_xlfn.NUMBERVALUE(SUBSTITUTE(LEFT(TRIM(C40),FIND(" ",TRIM(C40)&amp;" ")-1),",","."),"."),LEFT(SUBSTITUTE(LEFT(TRIM(C40),FIND(" ",TRIM(C40)&amp;" ")-1),",","."),FIND("/",SUBSTITUTE(LEFT(TRIM(C40),FIND(" ",TRIM(C40)&amp;" ")-1),",","."))-1)/MID(SUBSTITUTE(LEFT(TRIM(C40),FIND(" ",TRIM(C40)&amp;" ")-1),",","."),FIND("/",SUBSTITUTE(LEFT(TRIM(C40),FIND(" ",TRIM(C40)&amp;" ")-1),",","."))+1,9))*12/52,IF(ISNUMBER(SEARCH("month",C40)),IFERROR(_xlfn.NUMBERVALUE(SUBSTITUTE(LEFT(TRIM(C40),FIND(" ",TRIM(C40)&amp;" ")-1),",","."),"."),LEFT(SUBSTITUTE(LEFT(TRIM(C40),FIND(" ",TRIM(C40)&amp;" ")-1),",","."),FIND("/",SUBSTITUTE(LEFT(TRIM(C40),FIND(" ",TRIM(C40)&amp;" ")-1),",","."))-1)/MID(SUBSTITUTE(LEFT(TRIM(C40),FIND(" ",TRIM(C40)&amp;" ")-1),",","."),FIND("/",SUBSTITUTE(LEFT(TRIM(C40),FIND(" ",TRIM(C40)&amp;" ")-1),",","."))+1,9)),IF(ISNUMBER(SEARCH("yea",C40)),IFERROR(_xlfn.NUMBERVALUE(SUBSTITUTE(LEFT(TRIM(C40),FIND(" ",TRIM(C40)&amp;" ")-1),",","."),"."),LEFT(SUBSTITUTE(LEFT(TRIM(C40),FIND(" ",TRIM(C40)&amp;" ")-1),",","."),FIND("/",SUBSTITUTE(LEFT(TRIM(C40),FIND(" ",TRIM(C40)&amp;" ")-1),",","."))-1)/MID(SUBSTITUTE(LEFT(TRIM(C40),FIND(" ",TRIM(C40)&amp;" ")-1),",","."),FIND("/",SUBSTITUTE(LEFT(TRIM(C40),FIND(" ",TRIM(C40)&amp;" ")-1),",","."))+1,9))*12,NA()))),0),24)*'Aturan &amp; Tarif'!$B$4,2)</f>
        <v>1362.72</v>
      </c>
      <c r="K40" s="42" t="n">
        <f aca="false">'Aturan &amp; Tarif'!$B$5</f>
        <v>2050</v>
      </c>
      <c r="L40" s="35" t="n">
        <f aca="false">I40+J40+K40</f>
        <v>11412.72</v>
      </c>
      <c r="M40" s="44" t="s">
        <v>3071</v>
      </c>
    </row>
    <row r="41" customFormat="false" ht="37.5" hidden="false" customHeight="true" outlineLevel="0" collapsed="false">
      <c r="A41" s="39"/>
      <c r="B41" s="40" t="s">
        <v>1914</v>
      </c>
      <c r="C41" s="41" t="s">
        <v>344</v>
      </c>
      <c r="D41" s="41" t="s">
        <v>737</v>
      </c>
      <c r="E41" s="42" t="n">
        <v>7800</v>
      </c>
      <c r="F41" s="42"/>
      <c r="G41" s="42" t="n">
        <v>200</v>
      </c>
      <c r="H41" s="43" t="n">
        <v>1</v>
      </c>
      <c r="I41" s="34" t="n">
        <f aca="false">E41*H41+N(F41)+N(G41)</f>
        <v>8000</v>
      </c>
      <c r="J41" s="42" t="n">
        <f aca="false">ROUND(IFERROR(ROUND(IF(OR(ISNUMBER(SEARCH("week",C41)),ISNUMBER(SEARCH("minggu",C41))),IFERROR(_xlfn.NUMBERVALUE(SUBSTITUTE(LEFT(TRIM(C41),FIND(" ",TRIM(C41)&amp;" ")-1),",","."),"."),LEFT(SUBSTITUTE(LEFT(TRIM(C41),FIND(" ",TRIM(C41)&amp;" ")-1),",","."),FIND("/",SUBSTITUTE(LEFT(TRIM(C41),FIND(" ",TRIM(C41)&amp;" ")-1),",","."))-1)/MID(SUBSTITUTE(LEFT(TRIM(C41),FIND(" ",TRIM(C41)&amp;" ")-1),",","."),FIND("/",SUBSTITUTE(LEFT(TRIM(C41),FIND(" ",TRIM(C41)&amp;" ")-1),",","."))+1,9))*12/52,IF(ISNUMBER(SEARCH("month",C41)),IFERROR(_xlfn.NUMBERVALUE(SUBSTITUTE(LEFT(TRIM(C41),FIND(" ",TRIM(C41)&amp;" ")-1),",","."),"."),LEFT(SUBSTITUTE(LEFT(TRIM(C41),FIND(" ",TRIM(C41)&amp;" ")-1),",","."),FIND("/",SUBSTITUTE(LEFT(TRIM(C41),FIND(" ",TRIM(C41)&amp;" ")-1),",","."))-1)/MID(SUBSTITUTE(LEFT(TRIM(C41),FIND(" ",TRIM(C41)&amp;" ")-1),",","."),FIND("/",SUBSTITUTE(LEFT(TRIM(C41),FIND(" ",TRIM(C41)&amp;" ")-1),",","."))+1,9)),IF(ISNUMBER(SEARCH("yea",C41)),IFERROR(_xlfn.NUMBERVALUE(SUBSTITUTE(LEFT(TRIM(C41),FIND(" ",TRIM(C41)&amp;" ")-1),",","."),"."),LEFT(SUBSTITUTE(LEFT(TRIM(C41),FIND(" ",TRIM(C41)&amp;" ")-1),",","."),FIND("/",SUBSTITUTE(LEFT(TRIM(C41),FIND(" ",TRIM(C41)&amp;" ")-1),",","."))-1)/MID(SUBSTITUTE(LEFT(TRIM(C41),FIND(" ",TRIM(C41)&amp;" ")-1),",","."),FIND("/",SUBSTITUTE(LEFT(TRIM(C41),FIND(" ",TRIM(C41)&amp;" ")-1),",","."))+1,9))*12,NA()))),0),6)*'Aturan &amp; Tarif'!$B$4,2)</f>
        <v>340.68</v>
      </c>
      <c r="K41" s="42" t="n">
        <f aca="false">'Aturan &amp; Tarif'!$B$5</f>
        <v>2050</v>
      </c>
      <c r="L41" s="35" t="n">
        <f aca="false">I41+J41+K41</f>
        <v>10390.68</v>
      </c>
      <c r="M41" s="44" t="s">
        <v>853</v>
      </c>
    </row>
    <row r="42" customFormat="false" ht="37.5" hidden="false" customHeight="true" outlineLevel="0" collapsed="false">
      <c r="A42" s="39"/>
      <c r="B42" s="40" t="s">
        <v>1915</v>
      </c>
      <c r="C42" s="41" t="s">
        <v>107</v>
      </c>
      <c r="D42" s="41" t="s">
        <v>737</v>
      </c>
      <c r="E42" s="42" t="n">
        <v>7800</v>
      </c>
      <c r="F42" s="42"/>
      <c r="G42" s="42" t="n">
        <v>200</v>
      </c>
      <c r="H42" s="43" t="n">
        <v>1</v>
      </c>
      <c r="I42" s="34" t="n">
        <f aca="false">E42*H42+N(F42)+N(G42)</f>
        <v>8000</v>
      </c>
      <c r="J42" s="42" t="n">
        <f aca="false">ROUND(IFERROR(ROUND(IF(OR(ISNUMBER(SEARCH("week",C42)),ISNUMBER(SEARCH("minggu",C42))),IFERROR(_xlfn.NUMBERVALUE(SUBSTITUTE(LEFT(TRIM(C42),FIND(" ",TRIM(C42)&amp;" ")-1),",","."),"."),LEFT(SUBSTITUTE(LEFT(TRIM(C42),FIND(" ",TRIM(C42)&amp;" ")-1),",","."),FIND("/",SUBSTITUTE(LEFT(TRIM(C42),FIND(" ",TRIM(C42)&amp;" ")-1),",","."))-1)/MID(SUBSTITUTE(LEFT(TRIM(C42),FIND(" ",TRIM(C42)&amp;" ")-1),",","."),FIND("/",SUBSTITUTE(LEFT(TRIM(C42),FIND(" ",TRIM(C42)&amp;" ")-1),",","."))+1,9))*12/52,IF(ISNUMBER(SEARCH("month",C42)),IFERROR(_xlfn.NUMBERVALUE(SUBSTITUTE(LEFT(TRIM(C42),FIND(" ",TRIM(C42)&amp;" ")-1),",","."),"."),LEFT(SUBSTITUTE(LEFT(TRIM(C42),FIND(" ",TRIM(C42)&amp;" ")-1),",","."),FIND("/",SUBSTITUTE(LEFT(TRIM(C42),FIND(" ",TRIM(C42)&amp;" ")-1),",","."))-1)/MID(SUBSTITUTE(LEFT(TRIM(C42),FIND(" ",TRIM(C42)&amp;" ")-1),",","."),FIND("/",SUBSTITUTE(LEFT(TRIM(C42),FIND(" ",TRIM(C42)&amp;" ")-1),",","."))+1,9)),IF(ISNUMBER(SEARCH("yea",C42)),IFERROR(_xlfn.NUMBERVALUE(SUBSTITUTE(LEFT(TRIM(C42),FIND(" ",TRIM(C42)&amp;" ")-1),",","."),"."),LEFT(SUBSTITUTE(LEFT(TRIM(C42),FIND(" ",TRIM(C42)&amp;" ")-1),",","."),FIND("/",SUBSTITUTE(LEFT(TRIM(C42),FIND(" ",TRIM(C42)&amp;" ")-1),",","."))-1)/MID(SUBSTITUTE(LEFT(TRIM(C42),FIND(" ",TRIM(C42)&amp;" ")-1),",","."),FIND("/",SUBSTITUTE(LEFT(TRIM(C42),FIND(" ",TRIM(C42)&amp;" ")-1),",","."))+1,9))*12,NA()))),0),24)*'Aturan &amp; Tarif'!$B$4,2)</f>
        <v>1362.72</v>
      </c>
      <c r="K42" s="42" t="n">
        <f aca="false">'Aturan &amp; Tarif'!$B$5</f>
        <v>2050</v>
      </c>
      <c r="L42" s="35" t="n">
        <f aca="false">I42+J42+K42</f>
        <v>11412.72</v>
      </c>
      <c r="M42" s="44" t="s">
        <v>3071</v>
      </c>
    </row>
    <row r="43" customFormat="false" ht="37.5" hidden="false" customHeight="true" outlineLevel="0" collapsed="false">
      <c r="A43" s="39"/>
      <c r="B43" s="40" t="s">
        <v>1916</v>
      </c>
      <c r="C43" s="41" t="s">
        <v>852</v>
      </c>
      <c r="D43" s="41" t="s">
        <v>737</v>
      </c>
      <c r="E43" s="42" t="n">
        <v>7800</v>
      </c>
      <c r="F43" s="42"/>
      <c r="G43" s="42" t="n">
        <v>200</v>
      </c>
      <c r="H43" s="43" t="n">
        <v>1</v>
      </c>
      <c r="I43" s="34" t="n">
        <f aca="false">E43*H43+N(F43)+N(G43)</f>
        <v>8000</v>
      </c>
      <c r="J43" s="42" t="n">
        <f aca="false">ROUND(IFERROR(ROUND(IF(OR(ISNUMBER(SEARCH("week",C43)),ISNUMBER(SEARCH("minggu",C43))),IFERROR(_xlfn.NUMBERVALUE(SUBSTITUTE(LEFT(TRIM(C43),FIND(" ",TRIM(C43)&amp;" ")-1),",","."),"."),LEFT(SUBSTITUTE(LEFT(TRIM(C43),FIND(" ",TRIM(C43)&amp;" ")-1),",","."),FIND("/",SUBSTITUTE(LEFT(TRIM(C43),FIND(" ",TRIM(C43)&amp;" ")-1),",","."))-1)/MID(SUBSTITUTE(LEFT(TRIM(C43),FIND(" ",TRIM(C43)&amp;" ")-1),",","."),FIND("/",SUBSTITUTE(LEFT(TRIM(C43),FIND(" ",TRIM(C43)&amp;" ")-1),",","."))+1,9))*12/52,IF(ISNUMBER(SEARCH("month",C43)),IFERROR(_xlfn.NUMBERVALUE(SUBSTITUTE(LEFT(TRIM(C43),FIND(" ",TRIM(C43)&amp;" ")-1),",","."),"."),LEFT(SUBSTITUTE(LEFT(TRIM(C43),FIND(" ",TRIM(C43)&amp;" ")-1),",","."),FIND("/",SUBSTITUTE(LEFT(TRIM(C43),FIND(" ",TRIM(C43)&amp;" ")-1),",","."))-1)/MID(SUBSTITUTE(LEFT(TRIM(C43),FIND(" ",TRIM(C43)&amp;" ")-1),",","."),FIND("/",SUBSTITUTE(LEFT(TRIM(C43),FIND(" ",TRIM(C43)&amp;" ")-1),",","."))+1,9)),IF(ISNUMBER(SEARCH("yea",C43)),IFERROR(_xlfn.NUMBERVALUE(SUBSTITUTE(LEFT(TRIM(C43),FIND(" ",TRIM(C43)&amp;" ")-1),",","."),"."),LEFT(SUBSTITUTE(LEFT(TRIM(C43),FIND(" ",TRIM(C43)&amp;" ")-1),",","."),FIND("/",SUBSTITUTE(LEFT(TRIM(C43),FIND(" ",TRIM(C43)&amp;" ")-1),",","."))-1)/MID(SUBSTITUTE(LEFT(TRIM(C43),FIND(" ",TRIM(C43)&amp;" ")-1),",","."),FIND("/",SUBSTITUTE(LEFT(TRIM(C43),FIND(" ",TRIM(C43)&amp;" ")-1),",","."))+1,9))*12,NA()))),0),9)*'Aturan &amp; Tarif'!$B$4,2)</f>
        <v>511.02</v>
      </c>
      <c r="K43" s="42" t="n">
        <f aca="false">'Aturan &amp; Tarif'!$B$5</f>
        <v>2050</v>
      </c>
      <c r="L43" s="35" t="n">
        <f aca="false">I43+J43+K43</f>
        <v>10561.02</v>
      </c>
      <c r="M43" s="44" t="s">
        <v>853</v>
      </c>
    </row>
    <row r="44" customFormat="false" ht="37.5" hidden="false" customHeight="true" outlineLevel="0" collapsed="false">
      <c r="A44" s="39"/>
      <c r="B44" s="40" t="s">
        <v>1917</v>
      </c>
      <c r="C44" s="41" t="s">
        <v>130</v>
      </c>
      <c r="D44" s="41" t="s">
        <v>737</v>
      </c>
      <c r="E44" s="42" t="n">
        <v>7800</v>
      </c>
      <c r="F44" s="42"/>
      <c r="G44" s="42" t="n">
        <v>200</v>
      </c>
      <c r="H44" s="43" t="n">
        <v>1</v>
      </c>
      <c r="I44" s="34" t="n">
        <f aca="false">E44*H44+N(F44)+N(G44)</f>
        <v>8000</v>
      </c>
      <c r="J44" s="42" t="n">
        <f aca="false">ROUND(IFERROR(ROUND(IF(OR(ISNUMBER(SEARCH("week",C44)),ISNUMBER(SEARCH("minggu",C44))),IFERROR(_xlfn.NUMBERVALUE(SUBSTITUTE(LEFT(TRIM(C44),FIND(" ",TRIM(C44)&amp;" ")-1),",","."),"."),LEFT(SUBSTITUTE(LEFT(TRIM(C44),FIND(" ",TRIM(C44)&amp;" ")-1),",","."),FIND("/",SUBSTITUTE(LEFT(TRIM(C44),FIND(" ",TRIM(C44)&amp;" ")-1),",","."))-1)/MID(SUBSTITUTE(LEFT(TRIM(C44),FIND(" ",TRIM(C44)&amp;" ")-1),",","."),FIND("/",SUBSTITUTE(LEFT(TRIM(C44),FIND(" ",TRIM(C44)&amp;" ")-1),",","."))+1,9))*12/52,IF(ISNUMBER(SEARCH("month",C44)),IFERROR(_xlfn.NUMBERVALUE(SUBSTITUTE(LEFT(TRIM(C44),FIND(" ",TRIM(C44)&amp;" ")-1),",","."),"."),LEFT(SUBSTITUTE(LEFT(TRIM(C44),FIND(" ",TRIM(C44)&amp;" ")-1),",","."),FIND("/",SUBSTITUTE(LEFT(TRIM(C44),FIND(" ",TRIM(C44)&amp;" ")-1),",","."))-1)/MID(SUBSTITUTE(LEFT(TRIM(C44),FIND(" ",TRIM(C44)&amp;" ")-1),",","."),FIND("/",SUBSTITUTE(LEFT(TRIM(C44),FIND(" ",TRIM(C44)&amp;" ")-1),",","."))+1,9)),IF(ISNUMBER(SEARCH("yea",C44)),IFERROR(_xlfn.NUMBERVALUE(SUBSTITUTE(LEFT(TRIM(C44),FIND(" ",TRIM(C44)&amp;" ")-1),",","."),"."),LEFT(SUBSTITUTE(LEFT(TRIM(C44),FIND(" ",TRIM(C44)&amp;" ")-1),",","."),FIND("/",SUBSTITUTE(LEFT(TRIM(C44),FIND(" ",TRIM(C44)&amp;" ")-1),",","."))-1)/MID(SUBSTITUTE(LEFT(TRIM(C44),FIND(" ",TRIM(C44)&amp;" ")-1),",","."),FIND("/",SUBSTITUTE(LEFT(TRIM(C44),FIND(" ",TRIM(C44)&amp;" ")-1),",","."))+1,9))*12,NA()))),0),12)*'Aturan &amp; Tarif'!$B$4,2)</f>
        <v>681.36</v>
      </c>
      <c r="K44" s="42" t="n">
        <f aca="false">'Aturan &amp; Tarif'!$B$5</f>
        <v>2050</v>
      </c>
      <c r="L44" s="35" t="n">
        <f aca="false">I44+J44+K44</f>
        <v>10731.36</v>
      </c>
      <c r="M44" s="44" t="s">
        <v>853</v>
      </c>
    </row>
    <row r="45" customFormat="false" ht="37.5" hidden="false" customHeight="true" outlineLevel="0" collapsed="false">
      <c r="A45" s="39"/>
      <c r="B45" s="40" t="s">
        <v>3072</v>
      </c>
      <c r="C45" s="41" t="s">
        <v>107</v>
      </c>
      <c r="D45" s="41" t="s">
        <v>737</v>
      </c>
      <c r="E45" s="42" t="n">
        <v>7800</v>
      </c>
      <c r="F45" s="42"/>
      <c r="G45" s="42" t="n">
        <v>200</v>
      </c>
      <c r="H45" s="43" t="n">
        <v>1</v>
      </c>
      <c r="I45" s="34" t="n">
        <f aca="false">E45*H45+N(F45)+N(G45)</f>
        <v>8000</v>
      </c>
      <c r="J45" s="42" t="n">
        <f aca="false">ROUND(IFERROR(ROUND(IF(OR(ISNUMBER(SEARCH("week",C45)),ISNUMBER(SEARCH("minggu",C45))),IFERROR(_xlfn.NUMBERVALUE(SUBSTITUTE(LEFT(TRIM(C45),FIND(" ",TRIM(C45)&amp;" ")-1),",","."),"."),LEFT(SUBSTITUTE(LEFT(TRIM(C45),FIND(" ",TRIM(C45)&amp;" ")-1),",","."),FIND("/",SUBSTITUTE(LEFT(TRIM(C45),FIND(" ",TRIM(C45)&amp;" ")-1),",","."))-1)/MID(SUBSTITUTE(LEFT(TRIM(C45),FIND(" ",TRIM(C45)&amp;" ")-1),",","."),FIND("/",SUBSTITUTE(LEFT(TRIM(C45),FIND(" ",TRIM(C45)&amp;" ")-1),",","."))+1,9))*12/52,IF(ISNUMBER(SEARCH("month",C45)),IFERROR(_xlfn.NUMBERVALUE(SUBSTITUTE(LEFT(TRIM(C45),FIND(" ",TRIM(C45)&amp;" ")-1),",","."),"."),LEFT(SUBSTITUTE(LEFT(TRIM(C45),FIND(" ",TRIM(C45)&amp;" ")-1),",","."),FIND("/",SUBSTITUTE(LEFT(TRIM(C45),FIND(" ",TRIM(C45)&amp;" ")-1),",","."))-1)/MID(SUBSTITUTE(LEFT(TRIM(C45),FIND(" ",TRIM(C45)&amp;" ")-1),",","."),FIND("/",SUBSTITUTE(LEFT(TRIM(C45),FIND(" ",TRIM(C45)&amp;" ")-1),",","."))+1,9)),IF(ISNUMBER(SEARCH("yea",C45)),IFERROR(_xlfn.NUMBERVALUE(SUBSTITUTE(LEFT(TRIM(C45),FIND(" ",TRIM(C45)&amp;" ")-1),",","."),"."),LEFT(SUBSTITUTE(LEFT(TRIM(C45),FIND(" ",TRIM(C45)&amp;" ")-1),",","."),FIND("/",SUBSTITUTE(LEFT(TRIM(C45),FIND(" ",TRIM(C45)&amp;" ")-1),",","."))-1)/MID(SUBSTITUTE(LEFT(TRIM(C45),FIND(" ",TRIM(C45)&amp;" ")-1),",","."),FIND("/",SUBSTITUTE(LEFT(TRIM(C45),FIND(" ",TRIM(C45)&amp;" ")-1),",","."))+1,9))*12,NA()))),0),24)*'Aturan &amp; Tarif'!$B$4,2)</f>
        <v>1362.72</v>
      </c>
      <c r="K45" s="42" t="n">
        <f aca="false">'Aturan &amp; Tarif'!$B$5</f>
        <v>2050</v>
      </c>
      <c r="L45" s="35" t="n">
        <f aca="false">I45+J45+K45</f>
        <v>11412.72</v>
      </c>
      <c r="M45" s="44" t="s">
        <v>3071</v>
      </c>
    </row>
    <row r="46" customFormat="false" ht="60" hidden="false" customHeight="true" outlineLevel="0" collapsed="false">
      <c r="A46" s="39" t="s">
        <v>860</v>
      </c>
      <c r="B46" s="40" t="s">
        <v>861</v>
      </c>
      <c r="C46" s="41" t="s">
        <v>127</v>
      </c>
      <c r="D46" s="41" t="s">
        <v>108</v>
      </c>
      <c r="E46" s="42" t="n">
        <v>3000</v>
      </c>
      <c r="F46" s="42"/>
      <c r="G46" s="42" t="n">
        <v>500</v>
      </c>
      <c r="H46" s="43" t="n">
        <v>2</v>
      </c>
      <c r="I46" s="34" t="n">
        <f aca="false">E46*H46+N(F46)+N(G46)</f>
        <v>6500</v>
      </c>
      <c r="J46" s="42" t="n">
        <f aca="false">ROUND(IFERROR(ROUND(IF(OR(ISNUMBER(SEARCH("week",C46)),ISNUMBER(SEARCH("minggu",C46))),IFERROR(_xlfn.NUMBERVALUE(SUBSTITUTE(LEFT(TRIM(C46),FIND(" ",TRIM(C46)&amp;" ")-1),",","."),"."),LEFT(SUBSTITUTE(LEFT(TRIM(C46),FIND(" ",TRIM(C46)&amp;" ")-1),",","."),FIND("/",SUBSTITUTE(LEFT(TRIM(C46),FIND(" ",TRIM(C46)&amp;" ")-1),",","."))-1)/MID(SUBSTITUTE(LEFT(TRIM(C46),FIND(" ",TRIM(C46)&amp;" ")-1),",","."),FIND("/",SUBSTITUTE(LEFT(TRIM(C46),FIND(" ",TRIM(C46)&amp;" ")-1),",","."))+1,9))*12/52,IF(ISNUMBER(SEARCH("month",C46)),IFERROR(_xlfn.NUMBERVALUE(SUBSTITUTE(LEFT(TRIM(C46),FIND(" ",TRIM(C46)&amp;" ")-1),",","."),"."),LEFT(SUBSTITUTE(LEFT(TRIM(C46),FIND(" ",TRIM(C46)&amp;" ")-1),",","."),FIND("/",SUBSTITUTE(LEFT(TRIM(C46),FIND(" ",TRIM(C46)&amp;" ")-1),",","."))-1)/MID(SUBSTITUTE(LEFT(TRIM(C46),FIND(" ",TRIM(C46)&amp;" ")-1),",","."),FIND("/",SUBSTITUTE(LEFT(TRIM(C46),FIND(" ",TRIM(C46)&amp;" ")-1),",","."))+1,9)),IF(ISNUMBER(SEARCH("yea",C46)),IFERROR(_xlfn.NUMBERVALUE(SUBSTITUTE(LEFT(TRIM(C46),FIND(" ",TRIM(C46)&amp;" ")-1),",","."),"."),LEFT(SUBSTITUTE(LEFT(TRIM(C46),FIND(" ",TRIM(C46)&amp;" ")-1),",","."),FIND("/",SUBSTITUTE(LEFT(TRIM(C46),FIND(" ",TRIM(C46)&amp;" ")-1),",","."))-1)/MID(SUBSTITUTE(LEFT(TRIM(C46),FIND(" ",TRIM(C46)&amp;" ")-1),",","."),FIND("/",SUBSTITUTE(LEFT(TRIM(C46),FIND(" ",TRIM(C46)&amp;" ")-1),",","."))+1,9))*12,NA()))),0),36)*'Aturan &amp; Tarif'!$B$4,2)</f>
        <v>2044.08</v>
      </c>
      <c r="K46" s="42" t="n">
        <f aca="false">'Aturan &amp; Tarif'!$B$5</f>
        <v>2050</v>
      </c>
      <c r="L46" s="35" t="n">
        <f aca="false">I46+J46+K46</f>
        <v>10594.08</v>
      </c>
      <c r="M46" s="45" t="s">
        <v>862</v>
      </c>
    </row>
    <row r="47" customFormat="false" ht="14.25" hidden="false" customHeight="true" outlineLevel="0" collapsed="false">
      <c r="A47" s="39"/>
      <c r="B47" s="40" t="s">
        <v>863</v>
      </c>
      <c r="C47" s="41" t="s">
        <v>130</v>
      </c>
      <c r="D47" s="41" t="s">
        <v>108</v>
      </c>
      <c r="E47" s="42" t="n">
        <v>4000</v>
      </c>
      <c r="F47" s="42"/>
      <c r="G47" s="42" t="n">
        <v>500</v>
      </c>
      <c r="H47" s="43" t="n">
        <v>2</v>
      </c>
      <c r="I47" s="34" t="n">
        <f aca="false">E47*H47+N(F47)+N(G47)</f>
        <v>8500</v>
      </c>
      <c r="J47" s="42" t="n">
        <f aca="false">ROUND(IFERROR(ROUND(IF(OR(ISNUMBER(SEARCH("week",C47)),ISNUMBER(SEARCH("minggu",C47))),IFERROR(_xlfn.NUMBERVALUE(SUBSTITUTE(LEFT(TRIM(C47),FIND(" ",TRIM(C47)&amp;" ")-1),",","."),"."),LEFT(SUBSTITUTE(LEFT(TRIM(C47),FIND(" ",TRIM(C47)&amp;" ")-1),",","."),FIND("/",SUBSTITUTE(LEFT(TRIM(C47),FIND(" ",TRIM(C47)&amp;" ")-1),",","."))-1)/MID(SUBSTITUTE(LEFT(TRIM(C47),FIND(" ",TRIM(C47)&amp;" ")-1),",","."),FIND("/",SUBSTITUTE(LEFT(TRIM(C47),FIND(" ",TRIM(C47)&amp;" ")-1),",","."))+1,9))*12/52,IF(ISNUMBER(SEARCH("month",C47)),IFERROR(_xlfn.NUMBERVALUE(SUBSTITUTE(LEFT(TRIM(C47),FIND(" ",TRIM(C47)&amp;" ")-1),",","."),"."),LEFT(SUBSTITUTE(LEFT(TRIM(C47),FIND(" ",TRIM(C47)&amp;" ")-1),",","."),FIND("/",SUBSTITUTE(LEFT(TRIM(C47),FIND(" ",TRIM(C47)&amp;" ")-1),",","."))-1)/MID(SUBSTITUTE(LEFT(TRIM(C47),FIND(" ",TRIM(C47)&amp;" ")-1),",","."),FIND("/",SUBSTITUTE(LEFT(TRIM(C47),FIND(" ",TRIM(C47)&amp;" ")-1),",","."))+1,9)),IF(ISNUMBER(SEARCH("yea",C47)),IFERROR(_xlfn.NUMBERVALUE(SUBSTITUTE(LEFT(TRIM(C47),FIND(" ",TRIM(C47)&amp;" ")-1),",","."),"."),LEFT(SUBSTITUTE(LEFT(TRIM(C47),FIND(" ",TRIM(C47)&amp;" ")-1),",","."),FIND("/",SUBSTITUTE(LEFT(TRIM(C47),FIND(" ",TRIM(C47)&amp;" ")-1),",","."))-1)/MID(SUBSTITUTE(LEFT(TRIM(C47),FIND(" ",TRIM(C47)&amp;" ")-1),",","."),FIND("/",SUBSTITUTE(LEFT(TRIM(C47),FIND(" ",TRIM(C47)&amp;" ")-1),",","."))+1,9))*12,NA()))),0),12)*'Aturan &amp; Tarif'!$B$4,2)</f>
        <v>681.36</v>
      </c>
      <c r="K47" s="42" t="n">
        <f aca="false">'Aturan &amp; Tarif'!$B$5</f>
        <v>2050</v>
      </c>
      <c r="L47" s="35" t="n">
        <f aca="false">I47+J47+K47</f>
        <v>11231.36</v>
      </c>
      <c r="M47" s="45" t="s">
        <v>862</v>
      </c>
    </row>
    <row r="48" customFormat="false" ht="25.5" hidden="false" customHeight="true" outlineLevel="0" collapsed="false">
      <c r="A48" s="39"/>
      <c r="B48" s="40" t="s">
        <v>864</v>
      </c>
      <c r="C48" s="41" t="s">
        <v>107</v>
      </c>
      <c r="D48" s="41" t="s">
        <v>108</v>
      </c>
      <c r="E48" s="42" t="n">
        <v>4000</v>
      </c>
      <c r="F48" s="42"/>
      <c r="G48" s="42" t="n">
        <v>500</v>
      </c>
      <c r="H48" s="43" t="n">
        <v>2</v>
      </c>
      <c r="I48" s="34" t="n">
        <f aca="false">E48*H48+N(F48)+N(G48)</f>
        <v>8500</v>
      </c>
      <c r="J48" s="42" t="n">
        <f aca="false">ROUND(IFERROR(ROUND(IF(OR(ISNUMBER(SEARCH("week",C48)),ISNUMBER(SEARCH("minggu",C48))),IFERROR(_xlfn.NUMBERVALUE(SUBSTITUTE(LEFT(TRIM(C48),FIND(" ",TRIM(C48)&amp;" ")-1),",","."),"."),LEFT(SUBSTITUTE(LEFT(TRIM(C48),FIND(" ",TRIM(C48)&amp;" ")-1),",","."),FIND("/",SUBSTITUTE(LEFT(TRIM(C48),FIND(" ",TRIM(C48)&amp;" ")-1),",","."))-1)/MID(SUBSTITUTE(LEFT(TRIM(C48),FIND(" ",TRIM(C48)&amp;" ")-1),",","."),FIND("/",SUBSTITUTE(LEFT(TRIM(C48),FIND(" ",TRIM(C48)&amp;" ")-1),",","."))+1,9))*12/52,IF(ISNUMBER(SEARCH("month",C48)),IFERROR(_xlfn.NUMBERVALUE(SUBSTITUTE(LEFT(TRIM(C48),FIND(" ",TRIM(C48)&amp;" ")-1),",","."),"."),LEFT(SUBSTITUTE(LEFT(TRIM(C48),FIND(" ",TRIM(C48)&amp;" ")-1),",","."),FIND("/",SUBSTITUTE(LEFT(TRIM(C48),FIND(" ",TRIM(C48)&amp;" ")-1),",","."))-1)/MID(SUBSTITUTE(LEFT(TRIM(C48),FIND(" ",TRIM(C48)&amp;" ")-1),",","."),FIND("/",SUBSTITUTE(LEFT(TRIM(C48),FIND(" ",TRIM(C48)&amp;" ")-1),",","."))+1,9)),IF(ISNUMBER(SEARCH("yea",C48)),IFERROR(_xlfn.NUMBERVALUE(SUBSTITUTE(LEFT(TRIM(C48),FIND(" ",TRIM(C48)&amp;" ")-1),",","."),"."),LEFT(SUBSTITUTE(LEFT(TRIM(C48),FIND(" ",TRIM(C48)&amp;" ")-1),",","."),FIND("/",SUBSTITUTE(LEFT(TRIM(C48),FIND(" ",TRIM(C48)&amp;" ")-1),",","."))-1)/MID(SUBSTITUTE(LEFT(TRIM(C48),FIND(" ",TRIM(C48)&amp;" ")-1),",","."),FIND("/",SUBSTITUTE(LEFT(TRIM(C48),FIND(" ",TRIM(C48)&amp;" ")-1),",","."))+1,9))*12,NA()))),0),24)*'Aturan &amp; Tarif'!$B$4,2)</f>
        <v>1362.72</v>
      </c>
      <c r="K48" s="42" t="n">
        <f aca="false">'Aturan &amp; Tarif'!$B$5</f>
        <v>2050</v>
      </c>
      <c r="L48" s="35" t="n">
        <f aca="false">I48+J48+K48</f>
        <v>11912.72</v>
      </c>
      <c r="M48" s="45" t="s">
        <v>862</v>
      </c>
    </row>
    <row r="49" customFormat="false" ht="25.5" hidden="false" customHeight="true" outlineLevel="0" collapsed="false">
      <c r="A49" s="39"/>
      <c r="B49" s="40" t="s">
        <v>865</v>
      </c>
      <c r="C49" s="41" t="s">
        <v>107</v>
      </c>
      <c r="D49" s="41" t="s">
        <v>108</v>
      </c>
      <c r="E49" s="42" t="n">
        <v>4000</v>
      </c>
      <c r="F49" s="42"/>
      <c r="G49" s="42" t="n">
        <v>500</v>
      </c>
      <c r="H49" s="43" t="n">
        <v>2</v>
      </c>
      <c r="I49" s="34" t="n">
        <f aca="false">E49*H49+N(F49)+N(G49)</f>
        <v>8500</v>
      </c>
      <c r="J49" s="42" t="n">
        <f aca="false">ROUND(IFERROR(ROUND(IF(OR(ISNUMBER(SEARCH("week",C49)),ISNUMBER(SEARCH("minggu",C49))),IFERROR(_xlfn.NUMBERVALUE(SUBSTITUTE(LEFT(TRIM(C49),FIND(" ",TRIM(C49)&amp;" ")-1),",","."),"."),LEFT(SUBSTITUTE(LEFT(TRIM(C49),FIND(" ",TRIM(C49)&amp;" ")-1),",","."),FIND("/",SUBSTITUTE(LEFT(TRIM(C49),FIND(" ",TRIM(C49)&amp;" ")-1),",","."))-1)/MID(SUBSTITUTE(LEFT(TRIM(C49),FIND(" ",TRIM(C49)&amp;" ")-1),",","."),FIND("/",SUBSTITUTE(LEFT(TRIM(C49),FIND(" ",TRIM(C49)&amp;" ")-1),",","."))+1,9))*12/52,IF(ISNUMBER(SEARCH("month",C49)),IFERROR(_xlfn.NUMBERVALUE(SUBSTITUTE(LEFT(TRIM(C49),FIND(" ",TRIM(C49)&amp;" ")-1),",","."),"."),LEFT(SUBSTITUTE(LEFT(TRIM(C49),FIND(" ",TRIM(C49)&amp;" ")-1),",","."),FIND("/",SUBSTITUTE(LEFT(TRIM(C49),FIND(" ",TRIM(C49)&amp;" ")-1),",","."))-1)/MID(SUBSTITUTE(LEFT(TRIM(C49),FIND(" ",TRIM(C49)&amp;" ")-1),",","."),FIND("/",SUBSTITUTE(LEFT(TRIM(C49),FIND(" ",TRIM(C49)&amp;" ")-1),",","."))+1,9)),IF(ISNUMBER(SEARCH("yea",C49)),IFERROR(_xlfn.NUMBERVALUE(SUBSTITUTE(LEFT(TRIM(C49),FIND(" ",TRIM(C49)&amp;" ")-1),",","."),"."),LEFT(SUBSTITUTE(LEFT(TRIM(C49),FIND(" ",TRIM(C49)&amp;" ")-1),",","."),FIND("/",SUBSTITUTE(LEFT(TRIM(C49),FIND(" ",TRIM(C49)&amp;" ")-1),",","."))-1)/MID(SUBSTITUTE(LEFT(TRIM(C49),FIND(" ",TRIM(C49)&amp;" ")-1),",","."),FIND("/",SUBSTITUTE(LEFT(TRIM(C49),FIND(" ",TRIM(C49)&amp;" ")-1),",","."))+1,9))*12,NA()))),0),24)*'Aturan &amp; Tarif'!$B$4,2)</f>
        <v>1362.72</v>
      </c>
      <c r="K49" s="42" t="n">
        <f aca="false">'Aturan &amp; Tarif'!$B$5</f>
        <v>2050</v>
      </c>
      <c r="L49" s="35" t="n">
        <f aca="false">I49+J49+K49</f>
        <v>11912.72</v>
      </c>
      <c r="M49" s="45" t="s">
        <v>862</v>
      </c>
    </row>
    <row r="50" customFormat="false" ht="60" hidden="false" customHeight="true" outlineLevel="0" collapsed="false">
      <c r="A50" s="29" t="s">
        <v>866</v>
      </c>
      <c r="B50" s="30" t="s">
        <v>867</v>
      </c>
      <c r="C50" s="31" t="s">
        <v>127</v>
      </c>
      <c r="D50" s="31" t="s">
        <v>108</v>
      </c>
      <c r="E50" s="32" t="n">
        <v>3000</v>
      </c>
      <c r="F50" s="32"/>
      <c r="G50" s="32" t="n">
        <v>500</v>
      </c>
      <c r="H50" s="33" t="n">
        <v>2</v>
      </c>
      <c r="I50" s="34" t="n">
        <f aca="false">E50*H50+N(F50)+N(G50)</f>
        <v>6500</v>
      </c>
      <c r="J50" s="32" t="n">
        <f aca="false">ROUND(IFERROR(ROUND(IF(OR(ISNUMBER(SEARCH("week",C50)),ISNUMBER(SEARCH("minggu",C50))),IFERROR(_xlfn.NUMBERVALUE(SUBSTITUTE(LEFT(TRIM(C50),FIND(" ",TRIM(C50)&amp;" ")-1),",","."),"."),LEFT(SUBSTITUTE(LEFT(TRIM(C50),FIND(" ",TRIM(C50)&amp;" ")-1),",","."),FIND("/",SUBSTITUTE(LEFT(TRIM(C50),FIND(" ",TRIM(C50)&amp;" ")-1),",","."))-1)/MID(SUBSTITUTE(LEFT(TRIM(C50),FIND(" ",TRIM(C50)&amp;" ")-1),",","."),FIND("/",SUBSTITUTE(LEFT(TRIM(C50),FIND(" ",TRIM(C50)&amp;" ")-1),",","."))+1,9))*12/52,IF(ISNUMBER(SEARCH("month",C50)),IFERROR(_xlfn.NUMBERVALUE(SUBSTITUTE(LEFT(TRIM(C50),FIND(" ",TRIM(C50)&amp;" ")-1),",","."),"."),LEFT(SUBSTITUTE(LEFT(TRIM(C50),FIND(" ",TRIM(C50)&amp;" ")-1),",","."),FIND("/",SUBSTITUTE(LEFT(TRIM(C50),FIND(" ",TRIM(C50)&amp;" ")-1),",","."))-1)/MID(SUBSTITUTE(LEFT(TRIM(C50),FIND(" ",TRIM(C50)&amp;" ")-1),",","."),FIND("/",SUBSTITUTE(LEFT(TRIM(C50),FIND(" ",TRIM(C50)&amp;" ")-1),",","."))+1,9)),IF(ISNUMBER(SEARCH("yea",C50)),IFERROR(_xlfn.NUMBERVALUE(SUBSTITUTE(LEFT(TRIM(C50),FIND(" ",TRIM(C50)&amp;" ")-1),",","."),"."),LEFT(SUBSTITUTE(LEFT(TRIM(C50),FIND(" ",TRIM(C50)&amp;" ")-1),",","."),FIND("/",SUBSTITUTE(LEFT(TRIM(C50),FIND(" ",TRIM(C50)&amp;" ")-1),",","."))-1)/MID(SUBSTITUTE(LEFT(TRIM(C50),FIND(" ",TRIM(C50)&amp;" ")-1),",","."),FIND("/",SUBSTITUTE(LEFT(TRIM(C50),FIND(" ",TRIM(C50)&amp;" ")-1),",","."))+1,9))*12,NA()))),0),36)*'Aturan &amp; Tarif'!$B$4,2)</f>
        <v>2044.08</v>
      </c>
      <c r="K50" s="32" t="n">
        <f aca="false">'Aturan &amp; Tarif'!$B$5</f>
        <v>2050</v>
      </c>
      <c r="L50" s="35" t="n">
        <f aca="false">I50+J50+K50</f>
        <v>10594.08</v>
      </c>
      <c r="M50" s="37" t="s">
        <v>868</v>
      </c>
    </row>
    <row r="51" customFormat="false" ht="25.5" hidden="false" customHeight="true" outlineLevel="0" collapsed="false">
      <c r="A51" s="29"/>
      <c r="B51" s="30" t="s">
        <v>869</v>
      </c>
      <c r="C51" s="31" t="s">
        <v>130</v>
      </c>
      <c r="D51" s="31" t="s">
        <v>108</v>
      </c>
      <c r="E51" s="32" t="n">
        <v>4000</v>
      </c>
      <c r="F51" s="32"/>
      <c r="G51" s="32" t="n">
        <v>500</v>
      </c>
      <c r="H51" s="33" t="n">
        <v>2</v>
      </c>
      <c r="I51" s="34" t="n">
        <f aca="false">E51*H51+N(F51)+N(G51)</f>
        <v>8500</v>
      </c>
      <c r="J51" s="32" t="n">
        <f aca="false">ROUND(IFERROR(ROUND(IF(OR(ISNUMBER(SEARCH("week",C51)),ISNUMBER(SEARCH("minggu",C51))),IFERROR(_xlfn.NUMBERVALUE(SUBSTITUTE(LEFT(TRIM(C51),FIND(" ",TRIM(C51)&amp;" ")-1),",","."),"."),LEFT(SUBSTITUTE(LEFT(TRIM(C51),FIND(" ",TRIM(C51)&amp;" ")-1),",","."),FIND("/",SUBSTITUTE(LEFT(TRIM(C51),FIND(" ",TRIM(C51)&amp;" ")-1),",","."))-1)/MID(SUBSTITUTE(LEFT(TRIM(C51),FIND(" ",TRIM(C51)&amp;" ")-1),",","."),FIND("/",SUBSTITUTE(LEFT(TRIM(C51),FIND(" ",TRIM(C51)&amp;" ")-1),",","."))+1,9))*12/52,IF(ISNUMBER(SEARCH("month",C51)),IFERROR(_xlfn.NUMBERVALUE(SUBSTITUTE(LEFT(TRIM(C51),FIND(" ",TRIM(C51)&amp;" ")-1),",","."),"."),LEFT(SUBSTITUTE(LEFT(TRIM(C51),FIND(" ",TRIM(C51)&amp;" ")-1),",","."),FIND("/",SUBSTITUTE(LEFT(TRIM(C51),FIND(" ",TRIM(C51)&amp;" ")-1),",","."))-1)/MID(SUBSTITUTE(LEFT(TRIM(C51),FIND(" ",TRIM(C51)&amp;" ")-1),",","."),FIND("/",SUBSTITUTE(LEFT(TRIM(C51),FIND(" ",TRIM(C51)&amp;" ")-1),",","."))+1,9)),IF(ISNUMBER(SEARCH("yea",C51)),IFERROR(_xlfn.NUMBERVALUE(SUBSTITUTE(LEFT(TRIM(C51),FIND(" ",TRIM(C51)&amp;" ")-1),",","."),"."),LEFT(SUBSTITUTE(LEFT(TRIM(C51),FIND(" ",TRIM(C51)&amp;" ")-1),",","."),FIND("/",SUBSTITUTE(LEFT(TRIM(C51),FIND(" ",TRIM(C51)&amp;" ")-1),",","."))-1)/MID(SUBSTITUTE(LEFT(TRIM(C51),FIND(" ",TRIM(C51)&amp;" ")-1),",","."),FIND("/",SUBSTITUTE(LEFT(TRIM(C51),FIND(" ",TRIM(C51)&amp;" ")-1),",","."))+1,9))*12,NA()))),0),12)*'Aturan &amp; Tarif'!$B$4,2)</f>
        <v>681.36</v>
      </c>
      <c r="K51" s="32" t="n">
        <f aca="false">'Aturan &amp; Tarif'!$B$5</f>
        <v>2050</v>
      </c>
      <c r="L51" s="35" t="n">
        <f aca="false">I51+J51+K51</f>
        <v>11231.36</v>
      </c>
      <c r="M51" s="37" t="s">
        <v>868</v>
      </c>
    </row>
    <row r="52" customFormat="false" ht="14.25" hidden="false" customHeight="true" outlineLevel="0" collapsed="false">
      <c r="A52" s="29"/>
      <c r="B52" s="30" t="s">
        <v>870</v>
      </c>
      <c r="C52" s="31" t="s">
        <v>107</v>
      </c>
      <c r="D52" s="31" t="s">
        <v>108</v>
      </c>
      <c r="E52" s="32" t="n">
        <v>4000</v>
      </c>
      <c r="F52" s="32"/>
      <c r="G52" s="32" t="n">
        <v>500</v>
      </c>
      <c r="H52" s="33" t="n">
        <v>2</v>
      </c>
      <c r="I52" s="34" t="n">
        <f aca="false">E52*H52+N(F52)+N(G52)</f>
        <v>8500</v>
      </c>
      <c r="J52" s="32" t="n">
        <f aca="false">ROUND(IFERROR(ROUND(IF(OR(ISNUMBER(SEARCH("week",C52)),ISNUMBER(SEARCH("minggu",C52))),IFERROR(_xlfn.NUMBERVALUE(SUBSTITUTE(LEFT(TRIM(C52),FIND(" ",TRIM(C52)&amp;" ")-1),",","."),"."),LEFT(SUBSTITUTE(LEFT(TRIM(C52),FIND(" ",TRIM(C52)&amp;" ")-1),",","."),FIND("/",SUBSTITUTE(LEFT(TRIM(C52),FIND(" ",TRIM(C52)&amp;" ")-1),",","."))-1)/MID(SUBSTITUTE(LEFT(TRIM(C52),FIND(" ",TRIM(C52)&amp;" ")-1),",","."),FIND("/",SUBSTITUTE(LEFT(TRIM(C52),FIND(" ",TRIM(C52)&amp;" ")-1),",","."))+1,9))*12/52,IF(ISNUMBER(SEARCH("month",C52)),IFERROR(_xlfn.NUMBERVALUE(SUBSTITUTE(LEFT(TRIM(C52),FIND(" ",TRIM(C52)&amp;" ")-1),",","."),"."),LEFT(SUBSTITUTE(LEFT(TRIM(C52),FIND(" ",TRIM(C52)&amp;" ")-1),",","."),FIND("/",SUBSTITUTE(LEFT(TRIM(C52),FIND(" ",TRIM(C52)&amp;" ")-1),",","."))-1)/MID(SUBSTITUTE(LEFT(TRIM(C52),FIND(" ",TRIM(C52)&amp;" ")-1),",","."),FIND("/",SUBSTITUTE(LEFT(TRIM(C52),FIND(" ",TRIM(C52)&amp;" ")-1),",","."))+1,9)),IF(ISNUMBER(SEARCH("yea",C52)),IFERROR(_xlfn.NUMBERVALUE(SUBSTITUTE(LEFT(TRIM(C52),FIND(" ",TRIM(C52)&amp;" ")-1),",","."),"."),LEFT(SUBSTITUTE(LEFT(TRIM(C52),FIND(" ",TRIM(C52)&amp;" ")-1),",","."),FIND("/",SUBSTITUTE(LEFT(TRIM(C52),FIND(" ",TRIM(C52)&amp;" ")-1),",","."))-1)/MID(SUBSTITUTE(LEFT(TRIM(C52),FIND(" ",TRIM(C52)&amp;" ")-1),",","."),FIND("/",SUBSTITUTE(LEFT(TRIM(C52),FIND(" ",TRIM(C52)&amp;" ")-1),",","."))+1,9))*12,NA()))),0),24)*'Aturan &amp; Tarif'!$B$4,2)</f>
        <v>1362.72</v>
      </c>
      <c r="K52" s="32" t="n">
        <f aca="false">'Aturan &amp; Tarif'!$B$5</f>
        <v>2050</v>
      </c>
      <c r="L52" s="35" t="n">
        <f aca="false">I52+J52+K52</f>
        <v>11912.72</v>
      </c>
      <c r="M52" s="37" t="s">
        <v>868</v>
      </c>
    </row>
    <row r="53" customFormat="false" ht="48.75" hidden="false" customHeight="true" outlineLevel="0" collapsed="false">
      <c r="A53" s="29" t="s">
        <v>871</v>
      </c>
      <c r="B53" s="30" t="s">
        <v>317</v>
      </c>
      <c r="C53" s="31" t="s">
        <v>127</v>
      </c>
      <c r="D53" s="31" t="s">
        <v>108</v>
      </c>
      <c r="E53" s="32" t="n">
        <v>8742</v>
      </c>
      <c r="F53" s="32"/>
      <c r="G53" s="32"/>
      <c r="H53" s="33" t="n">
        <v>2</v>
      </c>
      <c r="I53" s="34" t="n">
        <f aca="false">E53*H53+N(F53)+N(G53)</f>
        <v>17484</v>
      </c>
      <c r="J53" s="32" t="n">
        <f aca="false">ROUND(IFERROR(ROUND(IF(OR(ISNUMBER(SEARCH("week",C53)),ISNUMBER(SEARCH("minggu",C53))),IFERROR(_xlfn.NUMBERVALUE(SUBSTITUTE(LEFT(TRIM(C53),FIND(" ",TRIM(C53)&amp;" ")-1),",","."),"."),LEFT(SUBSTITUTE(LEFT(TRIM(C53),FIND(" ",TRIM(C53)&amp;" ")-1),",","."),FIND("/",SUBSTITUTE(LEFT(TRIM(C53),FIND(" ",TRIM(C53)&amp;" ")-1),",","."))-1)/MID(SUBSTITUTE(LEFT(TRIM(C53),FIND(" ",TRIM(C53)&amp;" ")-1),",","."),FIND("/",SUBSTITUTE(LEFT(TRIM(C53),FIND(" ",TRIM(C53)&amp;" ")-1),",","."))+1,9))*12/52,IF(ISNUMBER(SEARCH("month",C53)),IFERROR(_xlfn.NUMBERVALUE(SUBSTITUTE(LEFT(TRIM(C53),FIND(" ",TRIM(C53)&amp;" ")-1),",","."),"."),LEFT(SUBSTITUTE(LEFT(TRIM(C53),FIND(" ",TRIM(C53)&amp;" ")-1),",","."),FIND("/",SUBSTITUTE(LEFT(TRIM(C53),FIND(" ",TRIM(C53)&amp;" ")-1),",","."))-1)/MID(SUBSTITUTE(LEFT(TRIM(C53),FIND(" ",TRIM(C53)&amp;" ")-1),",","."),FIND("/",SUBSTITUTE(LEFT(TRIM(C53),FIND(" ",TRIM(C53)&amp;" ")-1),",","."))+1,9)),IF(ISNUMBER(SEARCH("yea",C53)),IFERROR(_xlfn.NUMBERVALUE(SUBSTITUTE(LEFT(TRIM(C53),FIND(" ",TRIM(C53)&amp;" ")-1),",","."),"."),LEFT(SUBSTITUTE(LEFT(TRIM(C53),FIND(" ",TRIM(C53)&amp;" ")-1),",","."),FIND("/",SUBSTITUTE(LEFT(TRIM(C53),FIND(" ",TRIM(C53)&amp;" ")-1),",","."))-1)/MID(SUBSTITUTE(LEFT(TRIM(C53),FIND(" ",TRIM(C53)&amp;" ")-1),",","."),FIND("/",SUBSTITUTE(LEFT(TRIM(C53),FIND(" ",TRIM(C53)&amp;" ")-1),",","."))+1,9))*12,NA()))),0),36)*'Aturan &amp; Tarif'!$B$4,2)</f>
        <v>2044.08</v>
      </c>
      <c r="K53" s="32" t="n">
        <f aca="false">'Aturan &amp; Tarif'!$B$5</f>
        <v>2050</v>
      </c>
      <c r="L53" s="35" t="n">
        <f aca="false">I53+J53+K53</f>
        <v>21578.08</v>
      </c>
      <c r="M53" s="37" t="s">
        <v>318</v>
      </c>
    </row>
    <row r="54" customFormat="false" ht="14.25" hidden="false" customHeight="true" outlineLevel="0" collapsed="false">
      <c r="A54" s="29"/>
      <c r="B54" s="30" t="s">
        <v>319</v>
      </c>
      <c r="C54" s="31" t="s">
        <v>191</v>
      </c>
      <c r="D54" s="31" t="s">
        <v>108</v>
      </c>
      <c r="E54" s="32" t="n">
        <v>8742</v>
      </c>
      <c r="F54" s="32"/>
      <c r="G54" s="32"/>
      <c r="H54" s="33" t="n">
        <v>2</v>
      </c>
      <c r="I54" s="34" t="n">
        <f aca="false">E54*H54+N(F54)+N(G54)</f>
        <v>17484</v>
      </c>
      <c r="J54" s="32" t="n">
        <f aca="false">ROUND(IFERROR(ROUND(IF(OR(ISNUMBER(SEARCH("week",C54)),ISNUMBER(SEARCH("minggu",C54))),IFERROR(_xlfn.NUMBERVALUE(SUBSTITUTE(LEFT(TRIM(C54),FIND(" ",TRIM(C54)&amp;" ")-1),",","."),"."),LEFT(SUBSTITUTE(LEFT(TRIM(C54),FIND(" ",TRIM(C54)&amp;" ")-1),",","."),FIND("/",SUBSTITUTE(LEFT(TRIM(C54),FIND(" ",TRIM(C54)&amp;" ")-1),",","."))-1)/MID(SUBSTITUTE(LEFT(TRIM(C54),FIND(" ",TRIM(C54)&amp;" ")-1),",","."),FIND("/",SUBSTITUTE(LEFT(TRIM(C54),FIND(" ",TRIM(C54)&amp;" ")-1),",","."))+1,9))*12/52,IF(ISNUMBER(SEARCH("month",C54)),IFERROR(_xlfn.NUMBERVALUE(SUBSTITUTE(LEFT(TRIM(C54),FIND(" ",TRIM(C54)&amp;" ")-1),",","."),"."),LEFT(SUBSTITUTE(LEFT(TRIM(C54),FIND(" ",TRIM(C54)&amp;" ")-1),",","."),FIND("/",SUBSTITUTE(LEFT(TRIM(C54),FIND(" ",TRIM(C54)&amp;" ")-1),",","."))-1)/MID(SUBSTITUTE(LEFT(TRIM(C54),FIND(" ",TRIM(C54)&amp;" ")-1),",","."),FIND("/",SUBSTITUTE(LEFT(TRIM(C54),FIND(" ",TRIM(C54)&amp;" ")-1),",","."))+1,9)),IF(ISNUMBER(SEARCH("yea",C54)),IFERROR(_xlfn.NUMBERVALUE(SUBSTITUTE(LEFT(TRIM(C54),FIND(" ",TRIM(C54)&amp;" ")-1),",","."),"."),LEFT(SUBSTITUTE(LEFT(TRIM(C54),FIND(" ",TRIM(C54)&amp;" ")-1),",","."),FIND("/",SUBSTITUTE(LEFT(TRIM(C54),FIND(" ",TRIM(C54)&amp;" ")-1),",","."))-1)/MID(SUBSTITUTE(LEFT(TRIM(C54),FIND(" ",TRIM(C54)&amp;" ")-1),",","."),FIND("/",SUBSTITUTE(LEFT(TRIM(C54),FIND(" ",TRIM(C54)&amp;" ")-1),",","."))+1,9))*12,NA()))),0),48)*'Aturan &amp; Tarif'!$B$4,2)</f>
        <v>2725.44</v>
      </c>
      <c r="K54" s="32" t="n">
        <f aca="false">'Aturan &amp; Tarif'!$B$5</f>
        <v>2050</v>
      </c>
      <c r="L54" s="35" t="n">
        <f aca="false">I54+J54+K54</f>
        <v>22259.44</v>
      </c>
      <c r="M54" s="37" t="s">
        <v>318</v>
      </c>
    </row>
    <row r="55" customFormat="false" ht="14.25" hidden="false" customHeight="true" outlineLevel="0" collapsed="false">
      <c r="A55" s="29"/>
      <c r="B55" s="30" t="s">
        <v>320</v>
      </c>
      <c r="C55" s="31" t="s">
        <v>245</v>
      </c>
      <c r="D55" s="31" t="s">
        <v>108</v>
      </c>
      <c r="E55" s="32" t="n">
        <v>9200</v>
      </c>
      <c r="F55" s="32"/>
      <c r="G55" s="32"/>
      <c r="H55" s="33" t="n">
        <v>2</v>
      </c>
      <c r="I55" s="34" t="n">
        <f aca="false">E55*H55+N(F55)+N(G55)</f>
        <v>18400</v>
      </c>
      <c r="J55" s="32" t="n">
        <f aca="false">ROUND(IFERROR(ROUND(IF(OR(ISNUMBER(SEARCH("week",C55)),ISNUMBER(SEARCH("minggu",C55))),IFERROR(_xlfn.NUMBERVALUE(SUBSTITUTE(LEFT(TRIM(C55),FIND(" ",TRIM(C55)&amp;" ")-1),",","."),"."),LEFT(SUBSTITUTE(LEFT(TRIM(C55),FIND(" ",TRIM(C55)&amp;" ")-1),",","."),FIND("/",SUBSTITUTE(LEFT(TRIM(C55),FIND(" ",TRIM(C55)&amp;" ")-1),",","."))-1)/MID(SUBSTITUTE(LEFT(TRIM(C55),FIND(" ",TRIM(C55)&amp;" ")-1),",","."),FIND("/",SUBSTITUTE(LEFT(TRIM(C55),FIND(" ",TRIM(C55)&amp;" ")-1),",","."))+1,9))*12/52,IF(ISNUMBER(SEARCH("month",C55)),IFERROR(_xlfn.NUMBERVALUE(SUBSTITUTE(LEFT(TRIM(C55),FIND(" ",TRIM(C55)&amp;" ")-1),",","."),"."),LEFT(SUBSTITUTE(LEFT(TRIM(C55),FIND(" ",TRIM(C55)&amp;" ")-1),",","."),FIND("/",SUBSTITUTE(LEFT(TRIM(C55),FIND(" ",TRIM(C55)&amp;" ")-1),",","."))-1)/MID(SUBSTITUTE(LEFT(TRIM(C55),FIND(" ",TRIM(C55)&amp;" ")-1),",","."),FIND("/",SUBSTITUTE(LEFT(TRIM(C55),FIND(" ",TRIM(C55)&amp;" ")-1),",","."))+1,9)),IF(ISNUMBER(SEARCH("yea",C55)),IFERROR(_xlfn.NUMBERVALUE(SUBSTITUTE(LEFT(TRIM(C55),FIND(" ",TRIM(C55)&amp;" ")-1),",","."),"."),LEFT(SUBSTITUTE(LEFT(TRIM(C55),FIND(" ",TRIM(C55)&amp;" ")-1),",","."),FIND("/",SUBSTITUTE(LEFT(TRIM(C55),FIND(" ",TRIM(C55)&amp;" ")-1),",","."))-1)/MID(SUBSTITUTE(LEFT(TRIM(C55),FIND(" ",TRIM(C55)&amp;" ")-1),",","."),FIND("/",SUBSTITUTE(LEFT(TRIM(C55),FIND(" ",TRIM(C55)&amp;" ")-1),",","."))+1,9))*12,NA()))),0),60)*'Aturan &amp; Tarif'!$B$4,2)</f>
        <v>3406.8</v>
      </c>
      <c r="K55" s="32" t="n">
        <f aca="false">'Aturan &amp; Tarif'!$B$5</f>
        <v>2050</v>
      </c>
      <c r="L55" s="35" t="n">
        <f aca="false">I55+J55+K55</f>
        <v>23856.8</v>
      </c>
      <c r="M55" s="37" t="s">
        <v>318</v>
      </c>
    </row>
    <row r="56" customFormat="false" ht="14.25" hidden="false" customHeight="true" outlineLevel="0" collapsed="false">
      <c r="A56" s="29"/>
      <c r="B56" s="30" t="s">
        <v>321</v>
      </c>
      <c r="C56" s="31" t="s">
        <v>127</v>
      </c>
      <c r="D56" s="31" t="s">
        <v>108</v>
      </c>
      <c r="E56" s="32" t="n">
        <v>8742</v>
      </c>
      <c r="F56" s="32"/>
      <c r="G56" s="32"/>
      <c r="H56" s="33" t="n">
        <v>2</v>
      </c>
      <c r="I56" s="34" t="n">
        <f aca="false">E56*H56+N(F56)+N(G56)</f>
        <v>17484</v>
      </c>
      <c r="J56" s="32" t="n">
        <f aca="false">ROUND(IFERROR(ROUND(IF(OR(ISNUMBER(SEARCH("week",C56)),ISNUMBER(SEARCH("minggu",C56))),IFERROR(_xlfn.NUMBERVALUE(SUBSTITUTE(LEFT(TRIM(C56),FIND(" ",TRIM(C56)&amp;" ")-1),",","."),"."),LEFT(SUBSTITUTE(LEFT(TRIM(C56),FIND(" ",TRIM(C56)&amp;" ")-1),",","."),FIND("/",SUBSTITUTE(LEFT(TRIM(C56),FIND(" ",TRIM(C56)&amp;" ")-1),",","."))-1)/MID(SUBSTITUTE(LEFT(TRIM(C56),FIND(" ",TRIM(C56)&amp;" ")-1),",","."),FIND("/",SUBSTITUTE(LEFT(TRIM(C56),FIND(" ",TRIM(C56)&amp;" ")-1),",","."))+1,9))*12/52,IF(ISNUMBER(SEARCH("month",C56)),IFERROR(_xlfn.NUMBERVALUE(SUBSTITUTE(LEFT(TRIM(C56),FIND(" ",TRIM(C56)&amp;" ")-1),",","."),"."),LEFT(SUBSTITUTE(LEFT(TRIM(C56),FIND(" ",TRIM(C56)&amp;" ")-1),",","."),FIND("/",SUBSTITUTE(LEFT(TRIM(C56),FIND(" ",TRIM(C56)&amp;" ")-1),",","."))-1)/MID(SUBSTITUTE(LEFT(TRIM(C56),FIND(" ",TRIM(C56)&amp;" ")-1),",","."),FIND("/",SUBSTITUTE(LEFT(TRIM(C56),FIND(" ",TRIM(C56)&amp;" ")-1),",","."))+1,9)),IF(ISNUMBER(SEARCH("yea",C56)),IFERROR(_xlfn.NUMBERVALUE(SUBSTITUTE(LEFT(TRIM(C56),FIND(" ",TRIM(C56)&amp;" ")-1),",","."),"."),LEFT(SUBSTITUTE(LEFT(TRIM(C56),FIND(" ",TRIM(C56)&amp;" ")-1),",","."),FIND("/",SUBSTITUTE(LEFT(TRIM(C56),FIND(" ",TRIM(C56)&amp;" ")-1),",","."))-1)/MID(SUBSTITUTE(LEFT(TRIM(C56),FIND(" ",TRIM(C56)&amp;" ")-1),",","."),FIND("/",SUBSTITUTE(LEFT(TRIM(C56),FIND(" ",TRIM(C56)&amp;" ")-1),",","."))+1,9))*12,NA()))),0),36)*'Aturan &amp; Tarif'!$B$4,2)</f>
        <v>2044.08</v>
      </c>
      <c r="K56" s="32" t="n">
        <f aca="false">'Aturan &amp; Tarif'!$B$5</f>
        <v>2050</v>
      </c>
      <c r="L56" s="35" t="n">
        <f aca="false">I56+J56+K56</f>
        <v>21578.08</v>
      </c>
      <c r="M56" s="37" t="s">
        <v>322</v>
      </c>
    </row>
    <row r="57" customFormat="false" ht="37.5" hidden="false" customHeight="true" outlineLevel="0" collapsed="false">
      <c r="A57" s="29"/>
      <c r="B57" s="30" t="s">
        <v>323</v>
      </c>
      <c r="C57" s="31" t="s">
        <v>245</v>
      </c>
      <c r="D57" s="31" t="s">
        <v>108</v>
      </c>
      <c r="E57" s="32" t="n">
        <v>8742</v>
      </c>
      <c r="F57" s="32"/>
      <c r="G57" s="32"/>
      <c r="H57" s="33" t="n">
        <v>2</v>
      </c>
      <c r="I57" s="34" t="n">
        <f aca="false">E57*H57+N(F57)+N(G57)</f>
        <v>17484</v>
      </c>
      <c r="J57" s="32" t="n">
        <f aca="false">ROUND(IFERROR(ROUND(IF(OR(ISNUMBER(SEARCH("week",C57)),ISNUMBER(SEARCH("minggu",C57))),IFERROR(_xlfn.NUMBERVALUE(SUBSTITUTE(LEFT(TRIM(C57),FIND(" ",TRIM(C57)&amp;" ")-1),",","."),"."),LEFT(SUBSTITUTE(LEFT(TRIM(C57),FIND(" ",TRIM(C57)&amp;" ")-1),",","."),FIND("/",SUBSTITUTE(LEFT(TRIM(C57),FIND(" ",TRIM(C57)&amp;" ")-1),",","."))-1)/MID(SUBSTITUTE(LEFT(TRIM(C57),FIND(" ",TRIM(C57)&amp;" ")-1),",","."),FIND("/",SUBSTITUTE(LEFT(TRIM(C57),FIND(" ",TRIM(C57)&amp;" ")-1),",","."))+1,9))*12/52,IF(ISNUMBER(SEARCH("month",C57)),IFERROR(_xlfn.NUMBERVALUE(SUBSTITUTE(LEFT(TRIM(C57),FIND(" ",TRIM(C57)&amp;" ")-1),",","."),"."),LEFT(SUBSTITUTE(LEFT(TRIM(C57),FIND(" ",TRIM(C57)&amp;" ")-1),",","."),FIND("/",SUBSTITUTE(LEFT(TRIM(C57),FIND(" ",TRIM(C57)&amp;" ")-1),",","."))-1)/MID(SUBSTITUTE(LEFT(TRIM(C57),FIND(" ",TRIM(C57)&amp;" ")-1),",","."),FIND("/",SUBSTITUTE(LEFT(TRIM(C57),FIND(" ",TRIM(C57)&amp;" ")-1),",","."))+1,9)),IF(ISNUMBER(SEARCH("yea",C57)),IFERROR(_xlfn.NUMBERVALUE(SUBSTITUTE(LEFT(TRIM(C57),FIND(" ",TRIM(C57)&amp;" ")-1),",","."),"."),LEFT(SUBSTITUTE(LEFT(TRIM(C57),FIND(" ",TRIM(C57)&amp;" ")-1),",","."),FIND("/",SUBSTITUTE(LEFT(TRIM(C57),FIND(" ",TRIM(C57)&amp;" ")-1),",","."))-1)/MID(SUBSTITUTE(LEFT(TRIM(C57),FIND(" ",TRIM(C57)&amp;" ")-1),",","."),FIND("/",SUBSTITUTE(LEFT(TRIM(C57),FIND(" ",TRIM(C57)&amp;" ")-1),",","."))+1,9))*12,NA()))),0),60)*'Aturan &amp; Tarif'!$B$4,2)</f>
        <v>3406.8</v>
      </c>
      <c r="K57" s="32" t="n">
        <f aca="false">'Aturan &amp; Tarif'!$B$5</f>
        <v>2050</v>
      </c>
      <c r="L57" s="35" t="n">
        <f aca="false">I57+J57+K57</f>
        <v>22940.8</v>
      </c>
      <c r="M57" s="36" t="s">
        <v>324</v>
      </c>
    </row>
    <row r="58" customFormat="false" ht="14.25" hidden="false" customHeight="true" outlineLevel="0" collapsed="false">
      <c r="A58" s="29"/>
      <c r="B58" s="30" t="s">
        <v>325</v>
      </c>
      <c r="C58" s="31" t="s">
        <v>127</v>
      </c>
      <c r="D58" s="31" t="s">
        <v>108</v>
      </c>
      <c r="E58" s="32" t="n">
        <v>8742</v>
      </c>
      <c r="F58" s="32"/>
      <c r="G58" s="32"/>
      <c r="H58" s="33" t="n">
        <v>2</v>
      </c>
      <c r="I58" s="34" t="n">
        <f aca="false">E58*H58+N(F58)+N(G58)</f>
        <v>17484</v>
      </c>
      <c r="J58" s="32" t="n">
        <f aca="false">ROUND(IFERROR(ROUND(IF(OR(ISNUMBER(SEARCH("week",C58)),ISNUMBER(SEARCH("minggu",C58))),IFERROR(_xlfn.NUMBERVALUE(SUBSTITUTE(LEFT(TRIM(C58),FIND(" ",TRIM(C58)&amp;" ")-1),",","."),"."),LEFT(SUBSTITUTE(LEFT(TRIM(C58),FIND(" ",TRIM(C58)&amp;" ")-1),",","."),FIND("/",SUBSTITUTE(LEFT(TRIM(C58),FIND(" ",TRIM(C58)&amp;" ")-1),",","."))-1)/MID(SUBSTITUTE(LEFT(TRIM(C58),FIND(" ",TRIM(C58)&amp;" ")-1),",","."),FIND("/",SUBSTITUTE(LEFT(TRIM(C58),FIND(" ",TRIM(C58)&amp;" ")-1),",","."))+1,9))*12/52,IF(ISNUMBER(SEARCH("month",C58)),IFERROR(_xlfn.NUMBERVALUE(SUBSTITUTE(LEFT(TRIM(C58),FIND(" ",TRIM(C58)&amp;" ")-1),",","."),"."),LEFT(SUBSTITUTE(LEFT(TRIM(C58),FIND(" ",TRIM(C58)&amp;" ")-1),",","."),FIND("/",SUBSTITUTE(LEFT(TRIM(C58),FIND(" ",TRIM(C58)&amp;" ")-1),",","."))-1)/MID(SUBSTITUTE(LEFT(TRIM(C58),FIND(" ",TRIM(C58)&amp;" ")-1),",","."),FIND("/",SUBSTITUTE(LEFT(TRIM(C58),FIND(" ",TRIM(C58)&amp;" ")-1),",","."))+1,9)),IF(ISNUMBER(SEARCH("yea",C58)),IFERROR(_xlfn.NUMBERVALUE(SUBSTITUTE(LEFT(TRIM(C58),FIND(" ",TRIM(C58)&amp;" ")-1),",","."),"."),LEFT(SUBSTITUTE(LEFT(TRIM(C58),FIND(" ",TRIM(C58)&amp;" ")-1),",","."),FIND("/",SUBSTITUTE(LEFT(TRIM(C58),FIND(" ",TRIM(C58)&amp;" ")-1),",","."))-1)/MID(SUBSTITUTE(LEFT(TRIM(C58),FIND(" ",TRIM(C58)&amp;" ")-1),",","."),FIND("/",SUBSTITUTE(LEFT(TRIM(C58),FIND(" ",TRIM(C58)&amp;" ")-1),",","."))+1,9))*12,NA()))),0),36)*'Aturan &amp; Tarif'!$B$4,2)</f>
        <v>2044.08</v>
      </c>
      <c r="K58" s="32" t="n">
        <f aca="false">'Aturan &amp; Tarif'!$B$5</f>
        <v>2050</v>
      </c>
      <c r="L58" s="35" t="n">
        <f aca="false">I58+J58+K58</f>
        <v>21578.08</v>
      </c>
      <c r="M58" s="37" t="s">
        <v>322</v>
      </c>
    </row>
    <row r="59" customFormat="false" ht="14.25" hidden="false" customHeight="true" outlineLevel="0" collapsed="false">
      <c r="A59" s="29"/>
      <c r="B59" s="30" t="s">
        <v>326</v>
      </c>
      <c r="C59" s="31" t="s">
        <v>245</v>
      </c>
      <c r="D59" s="31" t="s">
        <v>108</v>
      </c>
      <c r="E59" s="32" t="n">
        <v>9200</v>
      </c>
      <c r="F59" s="32"/>
      <c r="G59" s="32"/>
      <c r="H59" s="33" t="n">
        <v>2</v>
      </c>
      <c r="I59" s="34" t="n">
        <f aca="false">E59*H59+N(F59)+N(G59)</f>
        <v>18400</v>
      </c>
      <c r="J59" s="32" t="n">
        <f aca="false">ROUND(IFERROR(ROUND(IF(OR(ISNUMBER(SEARCH("week",C59)),ISNUMBER(SEARCH("minggu",C59))),IFERROR(_xlfn.NUMBERVALUE(SUBSTITUTE(LEFT(TRIM(C59),FIND(" ",TRIM(C59)&amp;" ")-1),",","."),"."),LEFT(SUBSTITUTE(LEFT(TRIM(C59),FIND(" ",TRIM(C59)&amp;" ")-1),",","."),FIND("/",SUBSTITUTE(LEFT(TRIM(C59),FIND(" ",TRIM(C59)&amp;" ")-1),",","."))-1)/MID(SUBSTITUTE(LEFT(TRIM(C59),FIND(" ",TRIM(C59)&amp;" ")-1),",","."),FIND("/",SUBSTITUTE(LEFT(TRIM(C59),FIND(" ",TRIM(C59)&amp;" ")-1),",","."))+1,9))*12/52,IF(ISNUMBER(SEARCH("month",C59)),IFERROR(_xlfn.NUMBERVALUE(SUBSTITUTE(LEFT(TRIM(C59),FIND(" ",TRIM(C59)&amp;" ")-1),",","."),"."),LEFT(SUBSTITUTE(LEFT(TRIM(C59),FIND(" ",TRIM(C59)&amp;" ")-1),",","."),FIND("/",SUBSTITUTE(LEFT(TRIM(C59),FIND(" ",TRIM(C59)&amp;" ")-1),",","."))-1)/MID(SUBSTITUTE(LEFT(TRIM(C59),FIND(" ",TRIM(C59)&amp;" ")-1),",","."),FIND("/",SUBSTITUTE(LEFT(TRIM(C59),FIND(" ",TRIM(C59)&amp;" ")-1),",","."))+1,9)),IF(ISNUMBER(SEARCH("yea",C59)),IFERROR(_xlfn.NUMBERVALUE(SUBSTITUTE(LEFT(TRIM(C59),FIND(" ",TRIM(C59)&amp;" ")-1),",","."),"."),LEFT(SUBSTITUTE(LEFT(TRIM(C59),FIND(" ",TRIM(C59)&amp;" ")-1),",","."),FIND("/",SUBSTITUTE(LEFT(TRIM(C59),FIND(" ",TRIM(C59)&amp;" ")-1),",","."))-1)/MID(SUBSTITUTE(LEFT(TRIM(C59),FIND(" ",TRIM(C59)&amp;" ")-1),",","."),FIND("/",SUBSTITUTE(LEFT(TRIM(C59),FIND(" ",TRIM(C59)&amp;" ")-1),",","."))+1,9))*12,NA()))),0),60)*'Aturan &amp; Tarif'!$B$4,2)</f>
        <v>3406.8</v>
      </c>
      <c r="K59" s="32" t="n">
        <f aca="false">'Aturan &amp; Tarif'!$B$5</f>
        <v>2050</v>
      </c>
      <c r="L59" s="35" t="n">
        <f aca="false">I59+J59+K59</f>
        <v>23856.8</v>
      </c>
      <c r="M59" s="37" t="s">
        <v>318</v>
      </c>
    </row>
    <row r="60" customFormat="false" ht="60" hidden="false" customHeight="true" outlineLevel="0" collapsed="false">
      <c r="A60" s="29"/>
      <c r="B60" s="30" t="s">
        <v>327</v>
      </c>
      <c r="C60" s="31" t="s">
        <v>127</v>
      </c>
      <c r="D60" s="31" t="s">
        <v>108</v>
      </c>
      <c r="E60" s="32" t="n">
        <v>9750</v>
      </c>
      <c r="F60" s="32"/>
      <c r="G60" s="32"/>
      <c r="H60" s="33" t="n">
        <v>2</v>
      </c>
      <c r="I60" s="34" t="n">
        <f aca="false">E60*H60+N(F60)+N(G60)</f>
        <v>19500</v>
      </c>
      <c r="J60" s="32" t="n">
        <f aca="false">ROUND(IFERROR(ROUND(IF(OR(ISNUMBER(SEARCH("week",C60)),ISNUMBER(SEARCH("minggu",C60))),IFERROR(_xlfn.NUMBERVALUE(SUBSTITUTE(LEFT(TRIM(C60),FIND(" ",TRIM(C60)&amp;" ")-1),",","."),"."),LEFT(SUBSTITUTE(LEFT(TRIM(C60),FIND(" ",TRIM(C60)&amp;" ")-1),",","."),FIND("/",SUBSTITUTE(LEFT(TRIM(C60),FIND(" ",TRIM(C60)&amp;" ")-1),",","."))-1)/MID(SUBSTITUTE(LEFT(TRIM(C60),FIND(" ",TRIM(C60)&amp;" ")-1),",","."),FIND("/",SUBSTITUTE(LEFT(TRIM(C60),FIND(" ",TRIM(C60)&amp;" ")-1),",","."))+1,9))*12/52,IF(ISNUMBER(SEARCH("month",C60)),IFERROR(_xlfn.NUMBERVALUE(SUBSTITUTE(LEFT(TRIM(C60),FIND(" ",TRIM(C60)&amp;" ")-1),",","."),"."),LEFT(SUBSTITUTE(LEFT(TRIM(C60),FIND(" ",TRIM(C60)&amp;" ")-1),",","."),FIND("/",SUBSTITUTE(LEFT(TRIM(C60),FIND(" ",TRIM(C60)&amp;" ")-1),",","."))-1)/MID(SUBSTITUTE(LEFT(TRIM(C60),FIND(" ",TRIM(C60)&amp;" ")-1),",","."),FIND("/",SUBSTITUTE(LEFT(TRIM(C60),FIND(" ",TRIM(C60)&amp;" ")-1),",","."))+1,9)),IF(ISNUMBER(SEARCH("yea",C60)),IFERROR(_xlfn.NUMBERVALUE(SUBSTITUTE(LEFT(TRIM(C60),FIND(" ",TRIM(C60)&amp;" ")-1),",","."),"."),LEFT(SUBSTITUTE(LEFT(TRIM(C60),FIND(" ",TRIM(C60)&amp;" ")-1),",","."),FIND("/",SUBSTITUTE(LEFT(TRIM(C60),FIND(" ",TRIM(C60)&amp;" ")-1),",","."))-1)/MID(SUBSTITUTE(LEFT(TRIM(C60),FIND(" ",TRIM(C60)&amp;" ")-1),",","."),FIND("/",SUBSTITUTE(LEFT(TRIM(C60),FIND(" ",TRIM(C60)&amp;" ")-1),",","."))+1,9))*12,NA()))),0),36)*'Aturan &amp; Tarif'!$B$4,2)</f>
        <v>2044.08</v>
      </c>
      <c r="K60" s="32" t="n">
        <f aca="false">'Aturan &amp; Tarif'!$B$5</f>
        <v>2050</v>
      </c>
      <c r="L60" s="35" t="n">
        <f aca="false">I60+J60+K60</f>
        <v>23594.08</v>
      </c>
      <c r="M60" s="36" t="s">
        <v>328</v>
      </c>
    </row>
    <row r="61" customFormat="false" ht="25.5" hidden="false" customHeight="true" outlineLevel="0" collapsed="false">
      <c r="A61" s="29"/>
      <c r="B61" s="30" t="s">
        <v>329</v>
      </c>
      <c r="C61" s="31" t="s">
        <v>191</v>
      </c>
      <c r="D61" s="31" t="s">
        <v>108</v>
      </c>
      <c r="E61" s="32" t="n">
        <v>9750</v>
      </c>
      <c r="F61" s="32"/>
      <c r="G61" s="32"/>
      <c r="H61" s="33" t="n">
        <v>2</v>
      </c>
      <c r="I61" s="34" t="n">
        <f aca="false">E61*H61+N(F61)+N(G61)</f>
        <v>19500</v>
      </c>
      <c r="J61" s="32" t="n">
        <f aca="false">ROUND(IFERROR(ROUND(IF(OR(ISNUMBER(SEARCH("week",C61)),ISNUMBER(SEARCH("minggu",C61))),IFERROR(_xlfn.NUMBERVALUE(SUBSTITUTE(LEFT(TRIM(C61),FIND(" ",TRIM(C61)&amp;" ")-1),",","."),"."),LEFT(SUBSTITUTE(LEFT(TRIM(C61),FIND(" ",TRIM(C61)&amp;" ")-1),",","."),FIND("/",SUBSTITUTE(LEFT(TRIM(C61),FIND(" ",TRIM(C61)&amp;" ")-1),",","."))-1)/MID(SUBSTITUTE(LEFT(TRIM(C61),FIND(" ",TRIM(C61)&amp;" ")-1),",","."),FIND("/",SUBSTITUTE(LEFT(TRIM(C61),FIND(" ",TRIM(C61)&amp;" ")-1),",","."))+1,9))*12/52,IF(ISNUMBER(SEARCH("month",C61)),IFERROR(_xlfn.NUMBERVALUE(SUBSTITUTE(LEFT(TRIM(C61),FIND(" ",TRIM(C61)&amp;" ")-1),",","."),"."),LEFT(SUBSTITUTE(LEFT(TRIM(C61),FIND(" ",TRIM(C61)&amp;" ")-1),",","."),FIND("/",SUBSTITUTE(LEFT(TRIM(C61),FIND(" ",TRIM(C61)&amp;" ")-1),",","."))-1)/MID(SUBSTITUTE(LEFT(TRIM(C61),FIND(" ",TRIM(C61)&amp;" ")-1),",","."),FIND("/",SUBSTITUTE(LEFT(TRIM(C61),FIND(" ",TRIM(C61)&amp;" ")-1),",","."))+1,9)),IF(ISNUMBER(SEARCH("yea",C61)),IFERROR(_xlfn.NUMBERVALUE(SUBSTITUTE(LEFT(TRIM(C61),FIND(" ",TRIM(C61)&amp;" ")-1),",","."),"."),LEFT(SUBSTITUTE(LEFT(TRIM(C61),FIND(" ",TRIM(C61)&amp;" ")-1),",","."),FIND("/",SUBSTITUTE(LEFT(TRIM(C61),FIND(" ",TRIM(C61)&amp;" ")-1),",","."))-1)/MID(SUBSTITUTE(LEFT(TRIM(C61),FIND(" ",TRIM(C61)&amp;" ")-1),",","."),FIND("/",SUBSTITUTE(LEFT(TRIM(C61),FIND(" ",TRIM(C61)&amp;" ")-1),",","."))+1,9))*12,NA()))),0),48)*'Aturan &amp; Tarif'!$B$4,2)</f>
        <v>2725.44</v>
      </c>
      <c r="K61" s="32" t="n">
        <f aca="false">'Aturan &amp; Tarif'!$B$5</f>
        <v>2050</v>
      </c>
      <c r="L61" s="35" t="n">
        <f aca="false">I61+J61+K61</f>
        <v>24275.44</v>
      </c>
      <c r="M61" s="37" t="s">
        <v>318</v>
      </c>
    </row>
    <row r="62" customFormat="false" ht="25.5" hidden="false" customHeight="true" outlineLevel="0" collapsed="false">
      <c r="A62" s="29"/>
      <c r="B62" s="30" t="s">
        <v>330</v>
      </c>
      <c r="C62" s="31" t="s">
        <v>127</v>
      </c>
      <c r="D62" s="31" t="s">
        <v>108</v>
      </c>
      <c r="E62" s="32" t="n">
        <v>9200</v>
      </c>
      <c r="F62" s="32"/>
      <c r="G62" s="32"/>
      <c r="H62" s="33" t="n">
        <v>2</v>
      </c>
      <c r="I62" s="34" t="n">
        <f aca="false">E62*H62+N(F62)+N(G62)</f>
        <v>18400</v>
      </c>
      <c r="J62" s="32" t="n">
        <f aca="false">ROUND(IFERROR(ROUND(IF(OR(ISNUMBER(SEARCH("week",C62)),ISNUMBER(SEARCH("minggu",C62))),IFERROR(_xlfn.NUMBERVALUE(SUBSTITUTE(LEFT(TRIM(C62),FIND(" ",TRIM(C62)&amp;" ")-1),",","."),"."),LEFT(SUBSTITUTE(LEFT(TRIM(C62),FIND(" ",TRIM(C62)&amp;" ")-1),",","."),FIND("/",SUBSTITUTE(LEFT(TRIM(C62),FIND(" ",TRIM(C62)&amp;" ")-1),",","."))-1)/MID(SUBSTITUTE(LEFT(TRIM(C62),FIND(" ",TRIM(C62)&amp;" ")-1),",","."),FIND("/",SUBSTITUTE(LEFT(TRIM(C62),FIND(" ",TRIM(C62)&amp;" ")-1),",","."))+1,9))*12/52,IF(ISNUMBER(SEARCH("month",C62)),IFERROR(_xlfn.NUMBERVALUE(SUBSTITUTE(LEFT(TRIM(C62),FIND(" ",TRIM(C62)&amp;" ")-1),",","."),"."),LEFT(SUBSTITUTE(LEFT(TRIM(C62),FIND(" ",TRIM(C62)&amp;" ")-1),",","."),FIND("/",SUBSTITUTE(LEFT(TRIM(C62),FIND(" ",TRIM(C62)&amp;" ")-1),",","."))-1)/MID(SUBSTITUTE(LEFT(TRIM(C62),FIND(" ",TRIM(C62)&amp;" ")-1),",","."),FIND("/",SUBSTITUTE(LEFT(TRIM(C62),FIND(" ",TRIM(C62)&amp;" ")-1),",","."))+1,9)),IF(ISNUMBER(SEARCH("yea",C62)),IFERROR(_xlfn.NUMBERVALUE(SUBSTITUTE(LEFT(TRIM(C62),FIND(" ",TRIM(C62)&amp;" ")-1),",","."),"."),LEFT(SUBSTITUTE(LEFT(TRIM(C62),FIND(" ",TRIM(C62)&amp;" ")-1),",","."),FIND("/",SUBSTITUTE(LEFT(TRIM(C62),FIND(" ",TRIM(C62)&amp;" ")-1),",","."))-1)/MID(SUBSTITUTE(LEFT(TRIM(C62),FIND(" ",TRIM(C62)&amp;" ")-1),",","."),FIND("/",SUBSTITUTE(LEFT(TRIM(C62),FIND(" ",TRIM(C62)&amp;" ")-1),",","."))+1,9))*12,NA()))),0),36)*'Aturan &amp; Tarif'!$B$4,2)</f>
        <v>2044.08</v>
      </c>
      <c r="K62" s="32" t="n">
        <f aca="false">'Aturan &amp; Tarif'!$B$5</f>
        <v>2050</v>
      </c>
      <c r="L62" s="35" t="n">
        <f aca="false">I62+J62+K62</f>
        <v>22494.08</v>
      </c>
      <c r="M62" s="37" t="s">
        <v>318</v>
      </c>
    </row>
    <row r="63" customFormat="false" ht="25.5" hidden="false" customHeight="true" outlineLevel="0" collapsed="false">
      <c r="A63" s="29"/>
      <c r="B63" s="30" t="s">
        <v>331</v>
      </c>
      <c r="C63" s="31" t="s">
        <v>245</v>
      </c>
      <c r="D63" s="31" t="s">
        <v>108</v>
      </c>
      <c r="E63" s="32" t="n">
        <v>9200</v>
      </c>
      <c r="F63" s="32"/>
      <c r="G63" s="32"/>
      <c r="H63" s="33" t="n">
        <v>2</v>
      </c>
      <c r="I63" s="34" t="n">
        <f aca="false">E63*H63+N(F63)+N(G63)</f>
        <v>18400</v>
      </c>
      <c r="J63" s="32" t="n">
        <f aca="false">ROUND(IFERROR(ROUND(IF(OR(ISNUMBER(SEARCH("week",C63)),ISNUMBER(SEARCH("minggu",C63))),IFERROR(_xlfn.NUMBERVALUE(SUBSTITUTE(LEFT(TRIM(C63),FIND(" ",TRIM(C63)&amp;" ")-1),",","."),"."),LEFT(SUBSTITUTE(LEFT(TRIM(C63),FIND(" ",TRIM(C63)&amp;" ")-1),",","."),FIND("/",SUBSTITUTE(LEFT(TRIM(C63),FIND(" ",TRIM(C63)&amp;" ")-1),",","."))-1)/MID(SUBSTITUTE(LEFT(TRIM(C63),FIND(" ",TRIM(C63)&amp;" ")-1),",","."),FIND("/",SUBSTITUTE(LEFT(TRIM(C63),FIND(" ",TRIM(C63)&amp;" ")-1),",","."))+1,9))*12/52,IF(ISNUMBER(SEARCH("month",C63)),IFERROR(_xlfn.NUMBERVALUE(SUBSTITUTE(LEFT(TRIM(C63),FIND(" ",TRIM(C63)&amp;" ")-1),",","."),"."),LEFT(SUBSTITUTE(LEFT(TRIM(C63),FIND(" ",TRIM(C63)&amp;" ")-1),",","."),FIND("/",SUBSTITUTE(LEFT(TRIM(C63),FIND(" ",TRIM(C63)&amp;" ")-1),",","."))-1)/MID(SUBSTITUTE(LEFT(TRIM(C63),FIND(" ",TRIM(C63)&amp;" ")-1),",","."),FIND("/",SUBSTITUTE(LEFT(TRIM(C63),FIND(" ",TRIM(C63)&amp;" ")-1),",","."))+1,9)),IF(ISNUMBER(SEARCH("yea",C63)),IFERROR(_xlfn.NUMBERVALUE(SUBSTITUTE(LEFT(TRIM(C63),FIND(" ",TRIM(C63)&amp;" ")-1),",","."),"."),LEFT(SUBSTITUTE(LEFT(TRIM(C63),FIND(" ",TRIM(C63)&amp;" ")-1),",","."),FIND("/",SUBSTITUTE(LEFT(TRIM(C63),FIND(" ",TRIM(C63)&amp;" ")-1),",","."))-1)/MID(SUBSTITUTE(LEFT(TRIM(C63),FIND(" ",TRIM(C63)&amp;" ")-1),",","."),FIND("/",SUBSTITUTE(LEFT(TRIM(C63),FIND(" ",TRIM(C63)&amp;" ")-1),",","."))+1,9))*12,NA()))),0),60)*'Aturan &amp; Tarif'!$B$4,2)</f>
        <v>3406.8</v>
      </c>
      <c r="K63" s="32" t="n">
        <f aca="false">'Aturan &amp; Tarif'!$B$5</f>
        <v>2050</v>
      </c>
      <c r="L63" s="35" t="n">
        <f aca="false">I63+J63+K63</f>
        <v>23856.8</v>
      </c>
      <c r="M63" s="37" t="s">
        <v>318</v>
      </c>
    </row>
    <row r="64" customFormat="false" ht="25.5" hidden="false" customHeight="true" outlineLevel="0" collapsed="false">
      <c r="A64" s="29"/>
      <c r="B64" s="30" t="s">
        <v>332</v>
      </c>
      <c r="C64" s="31" t="s">
        <v>245</v>
      </c>
      <c r="D64" s="31" t="s">
        <v>108</v>
      </c>
      <c r="E64" s="32" t="n">
        <v>9200</v>
      </c>
      <c r="F64" s="32"/>
      <c r="G64" s="32"/>
      <c r="H64" s="33" t="n">
        <v>2</v>
      </c>
      <c r="I64" s="34" t="n">
        <f aca="false">E64*H64+N(F64)+N(G64)</f>
        <v>18400</v>
      </c>
      <c r="J64" s="32" t="n">
        <f aca="false">ROUND(IFERROR(ROUND(IF(OR(ISNUMBER(SEARCH("week",C64)),ISNUMBER(SEARCH("minggu",C64))),IFERROR(_xlfn.NUMBERVALUE(SUBSTITUTE(LEFT(TRIM(C64),FIND(" ",TRIM(C64)&amp;" ")-1),",","."),"."),LEFT(SUBSTITUTE(LEFT(TRIM(C64),FIND(" ",TRIM(C64)&amp;" ")-1),",","."),FIND("/",SUBSTITUTE(LEFT(TRIM(C64),FIND(" ",TRIM(C64)&amp;" ")-1),",","."))-1)/MID(SUBSTITUTE(LEFT(TRIM(C64),FIND(" ",TRIM(C64)&amp;" ")-1),",","."),FIND("/",SUBSTITUTE(LEFT(TRIM(C64),FIND(" ",TRIM(C64)&amp;" ")-1),",","."))+1,9))*12/52,IF(ISNUMBER(SEARCH("month",C64)),IFERROR(_xlfn.NUMBERVALUE(SUBSTITUTE(LEFT(TRIM(C64),FIND(" ",TRIM(C64)&amp;" ")-1),",","."),"."),LEFT(SUBSTITUTE(LEFT(TRIM(C64),FIND(" ",TRIM(C64)&amp;" ")-1),",","."),FIND("/",SUBSTITUTE(LEFT(TRIM(C64),FIND(" ",TRIM(C64)&amp;" ")-1),",","."))-1)/MID(SUBSTITUTE(LEFT(TRIM(C64),FIND(" ",TRIM(C64)&amp;" ")-1),",","."),FIND("/",SUBSTITUTE(LEFT(TRIM(C64),FIND(" ",TRIM(C64)&amp;" ")-1),",","."))+1,9)),IF(ISNUMBER(SEARCH("yea",C64)),IFERROR(_xlfn.NUMBERVALUE(SUBSTITUTE(LEFT(TRIM(C64),FIND(" ",TRIM(C64)&amp;" ")-1),",","."),"."),LEFT(SUBSTITUTE(LEFT(TRIM(C64),FIND(" ",TRIM(C64)&amp;" ")-1),",","."),FIND("/",SUBSTITUTE(LEFT(TRIM(C64),FIND(" ",TRIM(C64)&amp;" ")-1),",","."))-1)/MID(SUBSTITUTE(LEFT(TRIM(C64),FIND(" ",TRIM(C64)&amp;" ")-1),",","."),FIND("/",SUBSTITUTE(LEFT(TRIM(C64),FIND(" ",TRIM(C64)&amp;" ")-1),",","."))+1,9))*12,NA()))),0),60)*'Aturan &amp; Tarif'!$B$4,2)</f>
        <v>3406.8</v>
      </c>
      <c r="K64" s="32" t="n">
        <f aca="false">'Aturan &amp; Tarif'!$B$5</f>
        <v>2050</v>
      </c>
      <c r="L64" s="35" t="n">
        <f aca="false">I64+J64+K64</f>
        <v>23856.8</v>
      </c>
      <c r="M64" s="37" t="s">
        <v>318</v>
      </c>
    </row>
    <row r="65" customFormat="false" ht="25.5" hidden="false" customHeight="true" outlineLevel="0" collapsed="false">
      <c r="A65" s="29"/>
      <c r="B65" s="30" t="s">
        <v>333</v>
      </c>
      <c r="C65" s="31" t="s">
        <v>191</v>
      </c>
      <c r="D65" s="31" t="s">
        <v>108</v>
      </c>
      <c r="E65" s="32" t="n">
        <v>9200</v>
      </c>
      <c r="F65" s="32"/>
      <c r="G65" s="32"/>
      <c r="H65" s="33" t="n">
        <v>2</v>
      </c>
      <c r="I65" s="34" t="n">
        <f aca="false">E65*H65+N(F65)+N(G65)</f>
        <v>18400</v>
      </c>
      <c r="J65" s="32" t="n">
        <f aca="false">ROUND(IFERROR(ROUND(IF(OR(ISNUMBER(SEARCH("week",C65)),ISNUMBER(SEARCH("minggu",C65))),IFERROR(_xlfn.NUMBERVALUE(SUBSTITUTE(LEFT(TRIM(C65),FIND(" ",TRIM(C65)&amp;" ")-1),",","."),"."),LEFT(SUBSTITUTE(LEFT(TRIM(C65),FIND(" ",TRIM(C65)&amp;" ")-1),",","."),FIND("/",SUBSTITUTE(LEFT(TRIM(C65),FIND(" ",TRIM(C65)&amp;" ")-1),",","."))-1)/MID(SUBSTITUTE(LEFT(TRIM(C65),FIND(" ",TRIM(C65)&amp;" ")-1),",","."),FIND("/",SUBSTITUTE(LEFT(TRIM(C65),FIND(" ",TRIM(C65)&amp;" ")-1),",","."))+1,9))*12/52,IF(ISNUMBER(SEARCH("month",C65)),IFERROR(_xlfn.NUMBERVALUE(SUBSTITUTE(LEFT(TRIM(C65),FIND(" ",TRIM(C65)&amp;" ")-1),",","."),"."),LEFT(SUBSTITUTE(LEFT(TRIM(C65),FIND(" ",TRIM(C65)&amp;" ")-1),",","."),FIND("/",SUBSTITUTE(LEFT(TRIM(C65),FIND(" ",TRIM(C65)&amp;" ")-1),",","."))-1)/MID(SUBSTITUTE(LEFT(TRIM(C65),FIND(" ",TRIM(C65)&amp;" ")-1),",","."),FIND("/",SUBSTITUTE(LEFT(TRIM(C65),FIND(" ",TRIM(C65)&amp;" ")-1),",","."))+1,9)),IF(ISNUMBER(SEARCH("yea",C65)),IFERROR(_xlfn.NUMBERVALUE(SUBSTITUTE(LEFT(TRIM(C65),FIND(" ",TRIM(C65)&amp;" ")-1),",","."),"."),LEFT(SUBSTITUTE(LEFT(TRIM(C65),FIND(" ",TRIM(C65)&amp;" ")-1),",","."),FIND("/",SUBSTITUTE(LEFT(TRIM(C65),FIND(" ",TRIM(C65)&amp;" ")-1),",","."))-1)/MID(SUBSTITUTE(LEFT(TRIM(C65),FIND(" ",TRIM(C65)&amp;" ")-1),",","."),FIND("/",SUBSTITUTE(LEFT(TRIM(C65),FIND(" ",TRIM(C65)&amp;" ")-1),",","."))+1,9))*12,NA()))),0),48)*'Aturan &amp; Tarif'!$B$4,2)</f>
        <v>2725.44</v>
      </c>
      <c r="K65" s="32" t="n">
        <f aca="false">'Aturan &amp; Tarif'!$B$5</f>
        <v>2050</v>
      </c>
      <c r="L65" s="35" t="n">
        <f aca="false">I65+J65+K65</f>
        <v>23175.44</v>
      </c>
      <c r="M65" s="37" t="s">
        <v>318</v>
      </c>
    </row>
    <row r="66" customFormat="false" ht="25.5" hidden="false" customHeight="true" outlineLevel="0" collapsed="false">
      <c r="A66" s="29"/>
      <c r="B66" s="30" t="s">
        <v>334</v>
      </c>
      <c r="C66" s="31" t="s">
        <v>245</v>
      </c>
      <c r="D66" s="31" t="s">
        <v>108</v>
      </c>
      <c r="E66" s="32" t="n">
        <v>9200</v>
      </c>
      <c r="F66" s="32"/>
      <c r="G66" s="32"/>
      <c r="H66" s="33" t="n">
        <v>2</v>
      </c>
      <c r="I66" s="34" t="n">
        <f aca="false">E66*H66+N(F66)+N(G66)</f>
        <v>18400</v>
      </c>
      <c r="J66" s="32" t="n">
        <f aca="false">ROUND(IFERROR(ROUND(IF(OR(ISNUMBER(SEARCH("week",C66)),ISNUMBER(SEARCH("minggu",C66))),IFERROR(_xlfn.NUMBERVALUE(SUBSTITUTE(LEFT(TRIM(C66),FIND(" ",TRIM(C66)&amp;" ")-1),",","."),"."),LEFT(SUBSTITUTE(LEFT(TRIM(C66),FIND(" ",TRIM(C66)&amp;" ")-1),",","."),FIND("/",SUBSTITUTE(LEFT(TRIM(C66),FIND(" ",TRIM(C66)&amp;" ")-1),",","."))-1)/MID(SUBSTITUTE(LEFT(TRIM(C66),FIND(" ",TRIM(C66)&amp;" ")-1),",","."),FIND("/",SUBSTITUTE(LEFT(TRIM(C66),FIND(" ",TRIM(C66)&amp;" ")-1),",","."))+1,9))*12/52,IF(ISNUMBER(SEARCH("month",C66)),IFERROR(_xlfn.NUMBERVALUE(SUBSTITUTE(LEFT(TRIM(C66),FIND(" ",TRIM(C66)&amp;" ")-1),",","."),"."),LEFT(SUBSTITUTE(LEFT(TRIM(C66),FIND(" ",TRIM(C66)&amp;" ")-1),",","."),FIND("/",SUBSTITUTE(LEFT(TRIM(C66),FIND(" ",TRIM(C66)&amp;" ")-1),",","."))-1)/MID(SUBSTITUTE(LEFT(TRIM(C66),FIND(" ",TRIM(C66)&amp;" ")-1),",","."),FIND("/",SUBSTITUTE(LEFT(TRIM(C66),FIND(" ",TRIM(C66)&amp;" ")-1),",","."))+1,9)),IF(ISNUMBER(SEARCH("yea",C66)),IFERROR(_xlfn.NUMBERVALUE(SUBSTITUTE(LEFT(TRIM(C66),FIND(" ",TRIM(C66)&amp;" ")-1),",","."),"."),LEFT(SUBSTITUTE(LEFT(TRIM(C66),FIND(" ",TRIM(C66)&amp;" ")-1),",","."),FIND("/",SUBSTITUTE(LEFT(TRIM(C66),FIND(" ",TRIM(C66)&amp;" ")-1),",","."))-1)/MID(SUBSTITUTE(LEFT(TRIM(C66),FIND(" ",TRIM(C66)&amp;" ")-1),",","."),FIND("/",SUBSTITUTE(LEFT(TRIM(C66),FIND(" ",TRIM(C66)&amp;" ")-1),",","."))+1,9))*12,NA()))),0),60)*'Aturan &amp; Tarif'!$B$4,2)</f>
        <v>3406.8</v>
      </c>
      <c r="K66" s="32" t="n">
        <f aca="false">'Aturan &amp; Tarif'!$B$5</f>
        <v>2050</v>
      </c>
      <c r="L66" s="35" t="n">
        <f aca="false">I66+J66+K66</f>
        <v>23856.8</v>
      </c>
      <c r="M66" s="37" t="s">
        <v>318</v>
      </c>
    </row>
    <row r="67" customFormat="false" ht="14.25" hidden="false" customHeight="true" outlineLevel="0" collapsed="false">
      <c r="A67" s="29"/>
      <c r="B67" s="30" t="s">
        <v>335</v>
      </c>
      <c r="C67" s="31" t="s">
        <v>127</v>
      </c>
      <c r="D67" s="31" t="s">
        <v>108</v>
      </c>
      <c r="E67" s="32" t="n">
        <v>8742</v>
      </c>
      <c r="F67" s="32"/>
      <c r="G67" s="32"/>
      <c r="H67" s="33" t="n">
        <v>2</v>
      </c>
      <c r="I67" s="34" t="n">
        <f aca="false">E67*H67+N(F67)+N(G67)</f>
        <v>17484</v>
      </c>
      <c r="J67" s="32" t="n">
        <f aca="false">ROUND(IFERROR(ROUND(IF(OR(ISNUMBER(SEARCH("week",C67)),ISNUMBER(SEARCH("minggu",C67))),IFERROR(_xlfn.NUMBERVALUE(SUBSTITUTE(LEFT(TRIM(C67),FIND(" ",TRIM(C67)&amp;" ")-1),",","."),"."),LEFT(SUBSTITUTE(LEFT(TRIM(C67),FIND(" ",TRIM(C67)&amp;" ")-1),",","."),FIND("/",SUBSTITUTE(LEFT(TRIM(C67),FIND(" ",TRIM(C67)&amp;" ")-1),",","."))-1)/MID(SUBSTITUTE(LEFT(TRIM(C67),FIND(" ",TRIM(C67)&amp;" ")-1),",","."),FIND("/",SUBSTITUTE(LEFT(TRIM(C67),FIND(" ",TRIM(C67)&amp;" ")-1),",","."))+1,9))*12/52,IF(ISNUMBER(SEARCH("month",C67)),IFERROR(_xlfn.NUMBERVALUE(SUBSTITUTE(LEFT(TRIM(C67),FIND(" ",TRIM(C67)&amp;" ")-1),",","."),"."),LEFT(SUBSTITUTE(LEFT(TRIM(C67),FIND(" ",TRIM(C67)&amp;" ")-1),",","."),FIND("/",SUBSTITUTE(LEFT(TRIM(C67),FIND(" ",TRIM(C67)&amp;" ")-1),",","."))-1)/MID(SUBSTITUTE(LEFT(TRIM(C67),FIND(" ",TRIM(C67)&amp;" ")-1),",","."),FIND("/",SUBSTITUTE(LEFT(TRIM(C67),FIND(" ",TRIM(C67)&amp;" ")-1),",","."))+1,9)),IF(ISNUMBER(SEARCH("yea",C67)),IFERROR(_xlfn.NUMBERVALUE(SUBSTITUTE(LEFT(TRIM(C67),FIND(" ",TRIM(C67)&amp;" ")-1),",","."),"."),LEFT(SUBSTITUTE(LEFT(TRIM(C67),FIND(" ",TRIM(C67)&amp;" ")-1),",","."),FIND("/",SUBSTITUTE(LEFT(TRIM(C67),FIND(" ",TRIM(C67)&amp;" ")-1),",","."))-1)/MID(SUBSTITUTE(LEFT(TRIM(C67),FIND(" ",TRIM(C67)&amp;" ")-1),",","."),FIND("/",SUBSTITUTE(LEFT(TRIM(C67),FIND(" ",TRIM(C67)&amp;" ")-1),",","."))+1,9))*12,NA()))),0),36)*'Aturan &amp; Tarif'!$B$4,2)</f>
        <v>2044.08</v>
      </c>
      <c r="K67" s="32" t="n">
        <f aca="false">'Aturan &amp; Tarif'!$B$5</f>
        <v>2050</v>
      </c>
      <c r="L67" s="35" t="n">
        <f aca="false">I67+J67+K67</f>
        <v>21578.08</v>
      </c>
      <c r="M67" s="37" t="s">
        <v>318</v>
      </c>
    </row>
    <row r="68" customFormat="false" ht="25.5" hidden="false" customHeight="true" outlineLevel="0" collapsed="false">
      <c r="A68" s="29"/>
      <c r="B68" s="30" t="s">
        <v>336</v>
      </c>
      <c r="C68" s="31" t="s">
        <v>191</v>
      </c>
      <c r="D68" s="31" t="s">
        <v>108</v>
      </c>
      <c r="E68" s="32" t="n">
        <v>8742</v>
      </c>
      <c r="F68" s="32"/>
      <c r="G68" s="32"/>
      <c r="H68" s="33" t="n">
        <v>2</v>
      </c>
      <c r="I68" s="34" t="n">
        <f aca="false">E68*H68+N(F68)+N(G68)</f>
        <v>17484</v>
      </c>
      <c r="J68" s="32" t="n">
        <f aca="false">ROUND(IFERROR(ROUND(IF(OR(ISNUMBER(SEARCH("week",C68)),ISNUMBER(SEARCH("minggu",C68))),IFERROR(_xlfn.NUMBERVALUE(SUBSTITUTE(LEFT(TRIM(C68),FIND(" ",TRIM(C68)&amp;" ")-1),",","."),"."),LEFT(SUBSTITUTE(LEFT(TRIM(C68),FIND(" ",TRIM(C68)&amp;" ")-1),",","."),FIND("/",SUBSTITUTE(LEFT(TRIM(C68),FIND(" ",TRIM(C68)&amp;" ")-1),",","."))-1)/MID(SUBSTITUTE(LEFT(TRIM(C68),FIND(" ",TRIM(C68)&amp;" ")-1),",","."),FIND("/",SUBSTITUTE(LEFT(TRIM(C68),FIND(" ",TRIM(C68)&amp;" ")-1),",","."))+1,9))*12/52,IF(ISNUMBER(SEARCH("month",C68)),IFERROR(_xlfn.NUMBERVALUE(SUBSTITUTE(LEFT(TRIM(C68),FIND(" ",TRIM(C68)&amp;" ")-1),",","."),"."),LEFT(SUBSTITUTE(LEFT(TRIM(C68),FIND(" ",TRIM(C68)&amp;" ")-1),",","."),FIND("/",SUBSTITUTE(LEFT(TRIM(C68),FIND(" ",TRIM(C68)&amp;" ")-1),",","."))-1)/MID(SUBSTITUTE(LEFT(TRIM(C68),FIND(" ",TRIM(C68)&amp;" ")-1),",","."),FIND("/",SUBSTITUTE(LEFT(TRIM(C68),FIND(" ",TRIM(C68)&amp;" ")-1),",","."))+1,9)),IF(ISNUMBER(SEARCH("yea",C68)),IFERROR(_xlfn.NUMBERVALUE(SUBSTITUTE(LEFT(TRIM(C68),FIND(" ",TRIM(C68)&amp;" ")-1),",","."),"."),LEFT(SUBSTITUTE(LEFT(TRIM(C68),FIND(" ",TRIM(C68)&amp;" ")-1),",","."),FIND("/",SUBSTITUTE(LEFT(TRIM(C68),FIND(" ",TRIM(C68)&amp;" ")-1),",","."))-1)/MID(SUBSTITUTE(LEFT(TRIM(C68),FIND(" ",TRIM(C68)&amp;" ")-1),",","."),FIND("/",SUBSTITUTE(LEFT(TRIM(C68),FIND(" ",TRIM(C68)&amp;" ")-1),",","."))+1,9))*12,NA()))),0),48)*'Aturan &amp; Tarif'!$B$4,2)</f>
        <v>2725.44</v>
      </c>
      <c r="K68" s="32" t="n">
        <f aca="false">'Aturan &amp; Tarif'!$B$5</f>
        <v>2050</v>
      </c>
      <c r="L68" s="35" t="n">
        <f aca="false">I68+J68+K68</f>
        <v>22259.44</v>
      </c>
      <c r="M68" s="37" t="s">
        <v>318</v>
      </c>
    </row>
    <row r="69" customFormat="false" ht="14.25" hidden="false" customHeight="true" outlineLevel="0" collapsed="false">
      <c r="A69" s="29"/>
      <c r="B69" s="30" t="s">
        <v>156</v>
      </c>
      <c r="C69" s="31" t="s">
        <v>191</v>
      </c>
      <c r="D69" s="31" t="s">
        <v>108</v>
      </c>
      <c r="E69" s="32" t="n">
        <v>9200</v>
      </c>
      <c r="F69" s="32"/>
      <c r="G69" s="32"/>
      <c r="H69" s="33" t="n">
        <v>2</v>
      </c>
      <c r="I69" s="34" t="n">
        <f aca="false">E69*H69+N(F69)+N(G69)</f>
        <v>18400</v>
      </c>
      <c r="J69" s="32" t="n">
        <f aca="false">ROUND(IFERROR(ROUND(IF(OR(ISNUMBER(SEARCH("week",C69)),ISNUMBER(SEARCH("minggu",C69))),IFERROR(_xlfn.NUMBERVALUE(SUBSTITUTE(LEFT(TRIM(C69),FIND(" ",TRIM(C69)&amp;" ")-1),",","."),"."),LEFT(SUBSTITUTE(LEFT(TRIM(C69),FIND(" ",TRIM(C69)&amp;" ")-1),",","."),FIND("/",SUBSTITUTE(LEFT(TRIM(C69),FIND(" ",TRIM(C69)&amp;" ")-1),",","."))-1)/MID(SUBSTITUTE(LEFT(TRIM(C69),FIND(" ",TRIM(C69)&amp;" ")-1),",","."),FIND("/",SUBSTITUTE(LEFT(TRIM(C69),FIND(" ",TRIM(C69)&amp;" ")-1),",","."))+1,9))*12/52,IF(ISNUMBER(SEARCH("month",C69)),IFERROR(_xlfn.NUMBERVALUE(SUBSTITUTE(LEFT(TRIM(C69),FIND(" ",TRIM(C69)&amp;" ")-1),",","."),"."),LEFT(SUBSTITUTE(LEFT(TRIM(C69),FIND(" ",TRIM(C69)&amp;" ")-1),",","."),FIND("/",SUBSTITUTE(LEFT(TRIM(C69),FIND(" ",TRIM(C69)&amp;" ")-1),",","."))-1)/MID(SUBSTITUTE(LEFT(TRIM(C69),FIND(" ",TRIM(C69)&amp;" ")-1),",","."),FIND("/",SUBSTITUTE(LEFT(TRIM(C69),FIND(" ",TRIM(C69)&amp;" ")-1),",","."))+1,9)),IF(ISNUMBER(SEARCH("yea",C69)),IFERROR(_xlfn.NUMBERVALUE(SUBSTITUTE(LEFT(TRIM(C69),FIND(" ",TRIM(C69)&amp;" ")-1),",","."),"."),LEFT(SUBSTITUTE(LEFT(TRIM(C69),FIND(" ",TRIM(C69)&amp;" ")-1),",","."),FIND("/",SUBSTITUTE(LEFT(TRIM(C69),FIND(" ",TRIM(C69)&amp;" ")-1),",","."))-1)/MID(SUBSTITUTE(LEFT(TRIM(C69),FIND(" ",TRIM(C69)&amp;" ")-1),",","."),FIND("/",SUBSTITUTE(LEFT(TRIM(C69),FIND(" ",TRIM(C69)&amp;" ")-1),",","."))+1,9))*12,NA()))),0),48)*'Aturan &amp; Tarif'!$B$4,2)</f>
        <v>2725.44</v>
      </c>
      <c r="K69" s="32" t="n">
        <f aca="false">'Aturan &amp; Tarif'!$B$5</f>
        <v>2050</v>
      </c>
      <c r="L69" s="35" t="n">
        <f aca="false">I69+J69+K69</f>
        <v>23175.44</v>
      </c>
      <c r="M69" s="37" t="s">
        <v>318</v>
      </c>
    </row>
    <row r="70" customFormat="false" ht="14.25" hidden="false" customHeight="true" outlineLevel="0" collapsed="false">
      <c r="A70" s="29"/>
      <c r="B70" s="30" t="s">
        <v>337</v>
      </c>
      <c r="C70" s="31" t="s">
        <v>127</v>
      </c>
      <c r="D70" s="31" t="s">
        <v>108</v>
      </c>
      <c r="E70" s="32" t="n">
        <v>9200</v>
      </c>
      <c r="F70" s="32"/>
      <c r="G70" s="32"/>
      <c r="H70" s="33" t="n">
        <v>2</v>
      </c>
      <c r="I70" s="34" t="n">
        <f aca="false">E70*H70+N(F70)+N(G70)</f>
        <v>18400</v>
      </c>
      <c r="J70" s="32" t="n">
        <f aca="false">ROUND(IFERROR(ROUND(IF(OR(ISNUMBER(SEARCH("week",C70)),ISNUMBER(SEARCH("minggu",C70))),IFERROR(_xlfn.NUMBERVALUE(SUBSTITUTE(LEFT(TRIM(C70),FIND(" ",TRIM(C70)&amp;" ")-1),",","."),"."),LEFT(SUBSTITUTE(LEFT(TRIM(C70),FIND(" ",TRIM(C70)&amp;" ")-1),",","."),FIND("/",SUBSTITUTE(LEFT(TRIM(C70),FIND(" ",TRIM(C70)&amp;" ")-1),",","."))-1)/MID(SUBSTITUTE(LEFT(TRIM(C70),FIND(" ",TRIM(C70)&amp;" ")-1),",","."),FIND("/",SUBSTITUTE(LEFT(TRIM(C70),FIND(" ",TRIM(C70)&amp;" ")-1),",","."))+1,9))*12/52,IF(ISNUMBER(SEARCH("month",C70)),IFERROR(_xlfn.NUMBERVALUE(SUBSTITUTE(LEFT(TRIM(C70),FIND(" ",TRIM(C70)&amp;" ")-1),",","."),"."),LEFT(SUBSTITUTE(LEFT(TRIM(C70),FIND(" ",TRIM(C70)&amp;" ")-1),",","."),FIND("/",SUBSTITUTE(LEFT(TRIM(C70),FIND(" ",TRIM(C70)&amp;" ")-1),",","."))-1)/MID(SUBSTITUTE(LEFT(TRIM(C70),FIND(" ",TRIM(C70)&amp;" ")-1),",","."),FIND("/",SUBSTITUTE(LEFT(TRIM(C70),FIND(" ",TRIM(C70)&amp;" ")-1),",","."))+1,9)),IF(ISNUMBER(SEARCH("yea",C70)),IFERROR(_xlfn.NUMBERVALUE(SUBSTITUTE(LEFT(TRIM(C70),FIND(" ",TRIM(C70)&amp;" ")-1),",","."),"."),LEFT(SUBSTITUTE(LEFT(TRIM(C70),FIND(" ",TRIM(C70)&amp;" ")-1),",","."),FIND("/",SUBSTITUTE(LEFT(TRIM(C70),FIND(" ",TRIM(C70)&amp;" ")-1),",","."))-1)/MID(SUBSTITUTE(LEFT(TRIM(C70),FIND(" ",TRIM(C70)&amp;" ")-1),",","."),FIND("/",SUBSTITUTE(LEFT(TRIM(C70),FIND(" ",TRIM(C70)&amp;" ")-1),",","."))+1,9))*12,NA()))),0),36)*'Aturan &amp; Tarif'!$B$4,2)</f>
        <v>2044.08</v>
      </c>
      <c r="K70" s="32" t="n">
        <f aca="false">'Aturan &amp; Tarif'!$B$5</f>
        <v>2050</v>
      </c>
      <c r="L70" s="35" t="n">
        <f aca="false">I70+J70+K70</f>
        <v>22494.08</v>
      </c>
      <c r="M70" s="37" t="s">
        <v>318</v>
      </c>
    </row>
    <row r="71" customFormat="false" ht="25.5" hidden="false" customHeight="true" outlineLevel="0" collapsed="false">
      <c r="A71" s="29"/>
      <c r="B71" s="30" t="s">
        <v>338</v>
      </c>
      <c r="C71" s="31" t="s">
        <v>191</v>
      </c>
      <c r="D71" s="31" t="s">
        <v>108</v>
      </c>
      <c r="E71" s="32" t="n">
        <v>9200</v>
      </c>
      <c r="F71" s="32"/>
      <c r="G71" s="32"/>
      <c r="H71" s="33" t="n">
        <v>2</v>
      </c>
      <c r="I71" s="34" t="n">
        <f aca="false">E71*H71+N(F71)+N(G71)</f>
        <v>18400</v>
      </c>
      <c r="J71" s="32" t="n">
        <f aca="false">ROUND(IFERROR(ROUND(IF(OR(ISNUMBER(SEARCH("week",C71)),ISNUMBER(SEARCH("minggu",C71))),IFERROR(_xlfn.NUMBERVALUE(SUBSTITUTE(LEFT(TRIM(C71),FIND(" ",TRIM(C71)&amp;" ")-1),",","."),"."),LEFT(SUBSTITUTE(LEFT(TRIM(C71),FIND(" ",TRIM(C71)&amp;" ")-1),",","."),FIND("/",SUBSTITUTE(LEFT(TRIM(C71),FIND(" ",TRIM(C71)&amp;" ")-1),",","."))-1)/MID(SUBSTITUTE(LEFT(TRIM(C71),FIND(" ",TRIM(C71)&amp;" ")-1),",","."),FIND("/",SUBSTITUTE(LEFT(TRIM(C71),FIND(" ",TRIM(C71)&amp;" ")-1),",","."))+1,9))*12/52,IF(ISNUMBER(SEARCH("month",C71)),IFERROR(_xlfn.NUMBERVALUE(SUBSTITUTE(LEFT(TRIM(C71),FIND(" ",TRIM(C71)&amp;" ")-1),",","."),"."),LEFT(SUBSTITUTE(LEFT(TRIM(C71),FIND(" ",TRIM(C71)&amp;" ")-1),",","."),FIND("/",SUBSTITUTE(LEFT(TRIM(C71),FIND(" ",TRIM(C71)&amp;" ")-1),",","."))-1)/MID(SUBSTITUTE(LEFT(TRIM(C71),FIND(" ",TRIM(C71)&amp;" ")-1),",","."),FIND("/",SUBSTITUTE(LEFT(TRIM(C71),FIND(" ",TRIM(C71)&amp;" ")-1),",","."))+1,9)),IF(ISNUMBER(SEARCH("yea",C71)),IFERROR(_xlfn.NUMBERVALUE(SUBSTITUTE(LEFT(TRIM(C71),FIND(" ",TRIM(C71)&amp;" ")-1),",","."),"."),LEFT(SUBSTITUTE(LEFT(TRIM(C71),FIND(" ",TRIM(C71)&amp;" ")-1),",","."),FIND("/",SUBSTITUTE(LEFT(TRIM(C71),FIND(" ",TRIM(C71)&amp;" ")-1),",","."))-1)/MID(SUBSTITUTE(LEFT(TRIM(C71),FIND(" ",TRIM(C71)&amp;" ")-1),",","."),FIND("/",SUBSTITUTE(LEFT(TRIM(C71),FIND(" ",TRIM(C71)&amp;" ")-1),",","."))+1,9))*12,NA()))),0),48)*'Aturan &amp; Tarif'!$B$4,2)</f>
        <v>2725.44</v>
      </c>
      <c r="K71" s="32" t="n">
        <f aca="false">'Aturan &amp; Tarif'!$B$5</f>
        <v>2050</v>
      </c>
      <c r="L71" s="35" t="n">
        <f aca="false">I71+J71+K71</f>
        <v>23175.44</v>
      </c>
      <c r="M71" s="37" t="s">
        <v>318</v>
      </c>
    </row>
    <row r="72" customFormat="false" ht="25.5" hidden="false" customHeight="true" outlineLevel="0" collapsed="false">
      <c r="A72" s="29"/>
      <c r="B72" s="30" t="s">
        <v>339</v>
      </c>
      <c r="C72" s="31" t="s">
        <v>191</v>
      </c>
      <c r="D72" s="31" t="s">
        <v>108</v>
      </c>
      <c r="E72" s="32" t="n">
        <v>9200</v>
      </c>
      <c r="F72" s="32"/>
      <c r="G72" s="32"/>
      <c r="H72" s="33" t="n">
        <v>2</v>
      </c>
      <c r="I72" s="34" t="n">
        <f aca="false">E72*H72+N(F72)+N(G72)</f>
        <v>18400</v>
      </c>
      <c r="J72" s="32" t="n">
        <f aca="false">ROUND(IFERROR(ROUND(IF(OR(ISNUMBER(SEARCH("week",C72)),ISNUMBER(SEARCH("minggu",C72))),IFERROR(_xlfn.NUMBERVALUE(SUBSTITUTE(LEFT(TRIM(C72),FIND(" ",TRIM(C72)&amp;" ")-1),",","."),"."),LEFT(SUBSTITUTE(LEFT(TRIM(C72),FIND(" ",TRIM(C72)&amp;" ")-1),",","."),FIND("/",SUBSTITUTE(LEFT(TRIM(C72),FIND(" ",TRIM(C72)&amp;" ")-1),",","."))-1)/MID(SUBSTITUTE(LEFT(TRIM(C72),FIND(" ",TRIM(C72)&amp;" ")-1),",","."),FIND("/",SUBSTITUTE(LEFT(TRIM(C72),FIND(" ",TRIM(C72)&amp;" ")-1),",","."))+1,9))*12/52,IF(ISNUMBER(SEARCH("month",C72)),IFERROR(_xlfn.NUMBERVALUE(SUBSTITUTE(LEFT(TRIM(C72),FIND(" ",TRIM(C72)&amp;" ")-1),",","."),"."),LEFT(SUBSTITUTE(LEFT(TRIM(C72),FIND(" ",TRIM(C72)&amp;" ")-1),",","."),FIND("/",SUBSTITUTE(LEFT(TRIM(C72),FIND(" ",TRIM(C72)&amp;" ")-1),",","."))-1)/MID(SUBSTITUTE(LEFT(TRIM(C72),FIND(" ",TRIM(C72)&amp;" ")-1),",","."),FIND("/",SUBSTITUTE(LEFT(TRIM(C72),FIND(" ",TRIM(C72)&amp;" ")-1),",","."))+1,9)),IF(ISNUMBER(SEARCH("yea",C72)),IFERROR(_xlfn.NUMBERVALUE(SUBSTITUTE(LEFT(TRIM(C72),FIND(" ",TRIM(C72)&amp;" ")-1),",","."),"."),LEFT(SUBSTITUTE(LEFT(TRIM(C72),FIND(" ",TRIM(C72)&amp;" ")-1),",","."),FIND("/",SUBSTITUTE(LEFT(TRIM(C72),FIND(" ",TRIM(C72)&amp;" ")-1),",","."))-1)/MID(SUBSTITUTE(LEFT(TRIM(C72),FIND(" ",TRIM(C72)&amp;" ")-1),",","."),FIND("/",SUBSTITUTE(LEFT(TRIM(C72),FIND(" ",TRIM(C72)&amp;" ")-1),",","."))+1,9))*12,NA()))),0),48)*'Aturan &amp; Tarif'!$B$4,2)</f>
        <v>2725.44</v>
      </c>
      <c r="K72" s="32" t="n">
        <f aca="false">'Aturan &amp; Tarif'!$B$5</f>
        <v>2050</v>
      </c>
      <c r="L72" s="35" t="n">
        <f aca="false">I72+J72+K72</f>
        <v>23175.44</v>
      </c>
      <c r="M72" s="37" t="s">
        <v>318</v>
      </c>
    </row>
    <row r="73" customFormat="false" ht="25.5" hidden="false" customHeight="true" outlineLevel="0" collapsed="false">
      <c r="A73" s="29"/>
      <c r="B73" s="30" t="s">
        <v>340</v>
      </c>
      <c r="C73" s="31" t="s">
        <v>191</v>
      </c>
      <c r="D73" s="31" t="s">
        <v>108</v>
      </c>
      <c r="E73" s="32" t="n">
        <v>8742</v>
      </c>
      <c r="F73" s="32"/>
      <c r="G73" s="32"/>
      <c r="H73" s="33" t="n">
        <v>2</v>
      </c>
      <c r="I73" s="34" t="n">
        <f aca="false">E73*H73+N(F73)+N(G73)</f>
        <v>17484</v>
      </c>
      <c r="J73" s="32" t="n">
        <f aca="false">ROUND(IFERROR(ROUND(IF(OR(ISNUMBER(SEARCH("week",C73)),ISNUMBER(SEARCH("minggu",C73))),IFERROR(_xlfn.NUMBERVALUE(SUBSTITUTE(LEFT(TRIM(C73),FIND(" ",TRIM(C73)&amp;" ")-1),",","."),"."),LEFT(SUBSTITUTE(LEFT(TRIM(C73),FIND(" ",TRIM(C73)&amp;" ")-1),",","."),FIND("/",SUBSTITUTE(LEFT(TRIM(C73),FIND(" ",TRIM(C73)&amp;" ")-1),",","."))-1)/MID(SUBSTITUTE(LEFT(TRIM(C73),FIND(" ",TRIM(C73)&amp;" ")-1),",","."),FIND("/",SUBSTITUTE(LEFT(TRIM(C73),FIND(" ",TRIM(C73)&amp;" ")-1),",","."))+1,9))*12/52,IF(ISNUMBER(SEARCH("month",C73)),IFERROR(_xlfn.NUMBERVALUE(SUBSTITUTE(LEFT(TRIM(C73),FIND(" ",TRIM(C73)&amp;" ")-1),",","."),"."),LEFT(SUBSTITUTE(LEFT(TRIM(C73),FIND(" ",TRIM(C73)&amp;" ")-1),",","."),FIND("/",SUBSTITUTE(LEFT(TRIM(C73),FIND(" ",TRIM(C73)&amp;" ")-1),",","."))-1)/MID(SUBSTITUTE(LEFT(TRIM(C73),FIND(" ",TRIM(C73)&amp;" ")-1),",","."),FIND("/",SUBSTITUTE(LEFT(TRIM(C73),FIND(" ",TRIM(C73)&amp;" ")-1),",","."))+1,9)),IF(ISNUMBER(SEARCH("yea",C73)),IFERROR(_xlfn.NUMBERVALUE(SUBSTITUTE(LEFT(TRIM(C73),FIND(" ",TRIM(C73)&amp;" ")-1),",","."),"."),LEFT(SUBSTITUTE(LEFT(TRIM(C73),FIND(" ",TRIM(C73)&amp;" ")-1),",","."),FIND("/",SUBSTITUTE(LEFT(TRIM(C73),FIND(" ",TRIM(C73)&amp;" ")-1),",","."))-1)/MID(SUBSTITUTE(LEFT(TRIM(C73),FIND(" ",TRIM(C73)&amp;" ")-1),",","."),FIND("/",SUBSTITUTE(LEFT(TRIM(C73),FIND(" ",TRIM(C73)&amp;" ")-1),",","."))+1,9))*12,NA()))),0),48)*'Aturan &amp; Tarif'!$B$4,2)</f>
        <v>2725.44</v>
      </c>
      <c r="K73" s="32" t="n">
        <f aca="false">'Aturan &amp; Tarif'!$B$5</f>
        <v>2050</v>
      </c>
      <c r="L73" s="35" t="n">
        <f aca="false">I73+J73+K73</f>
        <v>22259.44</v>
      </c>
      <c r="M73" s="37" t="s">
        <v>318</v>
      </c>
    </row>
    <row r="74" customFormat="false" ht="14.25" hidden="false" customHeight="true" outlineLevel="0" collapsed="false">
      <c r="A74" s="29"/>
      <c r="B74" s="30" t="s">
        <v>341</v>
      </c>
      <c r="C74" s="31" t="s">
        <v>245</v>
      </c>
      <c r="D74" s="31" t="s">
        <v>108</v>
      </c>
      <c r="E74" s="32" t="n">
        <v>9200</v>
      </c>
      <c r="F74" s="32"/>
      <c r="G74" s="32"/>
      <c r="H74" s="33" t="n">
        <v>2</v>
      </c>
      <c r="I74" s="34" t="n">
        <f aca="false">E74*H74+N(F74)+N(G74)</f>
        <v>18400</v>
      </c>
      <c r="J74" s="32" t="n">
        <f aca="false">ROUND(IFERROR(ROUND(IF(OR(ISNUMBER(SEARCH("week",C74)),ISNUMBER(SEARCH("minggu",C74))),IFERROR(_xlfn.NUMBERVALUE(SUBSTITUTE(LEFT(TRIM(C74),FIND(" ",TRIM(C74)&amp;" ")-1),",","."),"."),LEFT(SUBSTITUTE(LEFT(TRIM(C74),FIND(" ",TRIM(C74)&amp;" ")-1),",","."),FIND("/",SUBSTITUTE(LEFT(TRIM(C74),FIND(" ",TRIM(C74)&amp;" ")-1),",","."))-1)/MID(SUBSTITUTE(LEFT(TRIM(C74),FIND(" ",TRIM(C74)&amp;" ")-1),",","."),FIND("/",SUBSTITUTE(LEFT(TRIM(C74),FIND(" ",TRIM(C74)&amp;" ")-1),",","."))+1,9))*12/52,IF(ISNUMBER(SEARCH("month",C74)),IFERROR(_xlfn.NUMBERVALUE(SUBSTITUTE(LEFT(TRIM(C74),FIND(" ",TRIM(C74)&amp;" ")-1),",","."),"."),LEFT(SUBSTITUTE(LEFT(TRIM(C74),FIND(" ",TRIM(C74)&amp;" ")-1),",","."),FIND("/",SUBSTITUTE(LEFT(TRIM(C74),FIND(" ",TRIM(C74)&amp;" ")-1),",","."))-1)/MID(SUBSTITUTE(LEFT(TRIM(C74),FIND(" ",TRIM(C74)&amp;" ")-1),",","."),FIND("/",SUBSTITUTE(LEFT(TRIM(C74),FIND(" ",TRIM(C74)&amp;" ")-1),",","."))+1,9)),IF(ISNUMBER(SEARCH("yea",C74)),IFERROR(_xlfn.NUMBERVALUE(SUBSTITUTE(LEFT(TRIM(C74),FIND(" ",TRIM(C74)&amp;" ")-1),",","."),"."),LEFT(SUBSTITUTE(LEFT(TRIM(C74),FIND(" ",TRIM(C74)&amp;" ")-1),",","."),FIND("/",SUBSTITUTE(LEFT(TRIM(C74),FIND(" ",TRIM(C74)&amp;" ")-1),",","."))-1)/MID(SUBSTITUTE(LEFT(TRIM(C74),FIND(" ",TRIM(C74)&amp;" ")-1),",","."),FIND("/",SUBSTITUTE(LEFT(TRIM(C74),FIND(" ",TRIM(C74)&amp;" ")-1),",","."))+1,9))*12,NA()))),0),60)*'Aturan &amp; Tarif'!$B$4,2)</f>
        <v>3406.8</v>
      </c>
      <c r="K74" s="32" t="n">
        <f aca="false">'Aturan &amp; Tarif'!$B$5</f>
        <v>2050</v>
      </c>
      <c r="L74" s="35" t="n">
        <f aca="false">I74+J74+K74</f>
        <v>23856.8</v>
      </c>
      <c r="M74" s="37" t="s">
        <v>318</v>
      </c>
    </row>
    <row r="75" customFormat="false" ht="14.25" hidden="false" customHeight="true" outlineLevel="0" collapsed="false">
      <c r="A75" s="29"/>
      <c r="B75" s="30" t="s">
        <v>342</v>
      </c>
      <c r="C75" s="31" t="s">
        <v>245</v>
      </c>
      <c r="D75" s="31" t="s">
        <v>108</v>
      </c>
      <c r="E75" s="32" t="n">
        <v>9200</v>
      </c>
      <c r="F75" s="32"/>
      <c r="G75" s="32"/>
      <c r="H75" s="33" t="n">
        <v>2</v>
      </c>
      <c r="I75" s="34" t="n">
        <f aca="false">E75*H75+N(F75)+N(G75)</f>
        <v>18400</v>
      </c>
      <c r="J75" s="32" t="n">
        <f aca="false">ROUND(IFERROR(ROUND(IF(OR(ISNUMBER(SEARCH("week",C75)),ISNUMBER(SEARCH("minggu",C75))),IFERROR(_xlfn.NUMBERVALUE(SUBSTITUTE(LEFT(TRIM(C75),FIND(" ",TRIM(C75)&amp;" ")-1),",","."),"."),LEFT(SUBSTITUTE(LEFT(TRIM(C75),FIND(" ",TRIM(C75)&amp;" ")-1),",","."),FIND("/",SUBSTITUTE(LEFT(TRIM(C75),FIND(" ",TRIM(C75)&amp;" ")-1),",","."))-1)/MID(SUBSTITUTE(LEFT(TRIM(C75),FIND(" ",TRIM(C75)&amp;" ")-1),",","."),FIND("/",SUBSTITUTE(LEFT(TRIM(C75),FIND(" ",TRIM(C75)&amp;" ")-1),",","."))+1,9))*12/52,IF(ISNUMBER(SEARCH("month",C75)),IFERROR(_xlfn.NUMBERVALUE(SUBSTITUTE(LEFT(TRIM(C75),FIND(" ",TRIM(C75)&amp;" ")-1),",","."),"."),LEFT(SUBSTITUTE(LEFT(TRIM(C75),FIND(" ",TRIM(C75)&amp;" ")-1),",","."),FIND("/",SUBSTITUTE(LEFT(TRIM(C75),FIND(" ",TRIM(C75)&amp;" ")-1),",","."))-1)/MID(SUBSTITUTE(LEFT(TRIM(C75),FIND(" ",TRIM(C75)&amp;" ")-1),",","."),FIND("/",SUBSTITUTE(LEFT(TRIM(C75),FIND(" ",TRIM(C75)&amp;" ")-1),",","."))+1,9)),IF(ISNUMBER(SEARCH("yea",C75)),IFERROR(_xlfn.NUMBERVALUE(SUBSTITUTE(LEFT(TRIM(C75),FIND(" ",TRIM(C75)&amp;" ")-1),",","."),"."),LEFT(SUBSTITUTE(LEFT(TRIM(C75),FIND(" ",TRIM(C75)&amp;" ")-1),",","."),FIND("/",SUBSTITUTE(LEFT(TRIM(C75),FIND(" ",TRIM(C75)&amp;" ")-1),",","."))-1)/MID(SUBSTITUTE(LEFT(TRIM(C75),FIND(" ",TRIM(C75)&amp;" ")-1),",","."),FIND("/",SUBSTITUTE(LEFT(TRIM(C75),FIND(" ",TRIM(C75)&amp;" ")-1),",","."))+1,9))*12,NA()))),0),60)*'Aturan &amp; Tarif'!$B$4,2)</f>
        <v>3406.8</v>
      </c>
      <c r="K75" s="32" t="n">
        <f aca="false">'Aturan &amp; Tarif'!$B$5</f>
        <v>2050</v>
      </c>
      <c r="L75" s="35" t="n">
        <f aca="false">I75+J75+K75</f>
        <v>23856.8</v>
      </c>
      <c r="M75" s="37" t="s">
        <v>318</v>
      </c>
    </row>
    <row r="76" customFormat="false" ht="25.5" hidden="false" customHeight="true" outlineLevel="0" collapsed="false">
      <c r="A76" s="29"/>
      <c r="B76" s="30" t="s">
        <v>343</v>
      </c>
      <c r="C76" s="31" t="s">
        <v>344</v>
      </c>
      <c r="D76" s="31" t="s">
        <v>108</v>
      </c>
      <c r="E76" s="32" t="n">
        <v>4762</v>
      </c>
      <c r="F76" s="32"/>
      <c r="G76" s="32"/>
      <c r="H76" s="33" t="n">
        <v>2</v>
      </c>
      <c r="I76" s="34" t="n">
        <f aca="false">E76*H76+N(F76)+N(G76)</f>
        <v>9524</v>
      </c>
      <c r="J76" s="32" t="n">
        <f aca="false">ROUND(IFERROR(ROUND(IF(OR(ISNUMBER(SEARCH("week",C76)),ISNUMBER(SEARCH("minggu",C76))),IFERROR(_xlfn.NUMBERVALUE(SUBSTITUTE(LEFT(TRIM(C76),FIND(" ",TRIM(C76)&amp;" ")-1),",","."),"."),LEFT(SUBSTITUTE(LEFT(TRIM(C76),FIND(" ",TRIM(C76)&amp;" ")-1),",","."),FIND("/",SUBSTITUTE(LEFT(TRIM(C76),FIND(" ",TRIM(C76)&amp;" ")-1),",","."))-1)/MID(SUBSTITUTE(LEFT(TRIM(C76),FIND(" ",TRIM(C76)&amp;" ")-1),",","."),FIND("/",SUBSTITUTE(LEFT(TRIM(C76),FIND(" ",TRIM(C76)&amp;" ")-1),",","."))+1,9))*12/52,IF(ISNUMBER(SEARCH("month",C76)),IFERROR(_xlfn.NUMBERVALUE(SUBSTITUTE(LEFT(TRIM(C76),FIND(" ",TRIM(C76)&amp;" ")-1),",","."),"."),LEFT(SUBSTITUTE(LEFT(TRIM(C76),FIND(" ",TRIM(C76)&amp;" ")-1),",","."),FIND("/",SUBSTITUTE(LEFT(TRIM(C76),FIND(" ",TRIM(C76)&amp;" ")-1),",","."))-1)/MID(SUBSTITUTE(LEFT(TRIM(C76),FIND(" ",TRIM(C76)&amp;" ")-1),",","."),FIND("/",SUBSTITUTE(LEFT(TRIM(C76),FIND(" ",TRIM(C76)&amp;" ")-1),",","."))+1,9)),IF(ISNUMBER(SEARCH("yea",C76)),IFERROR(_xlfn.NUMBERVALUE(SUBSTITUTE(LEFT(TRIM(C76),FIND(" ",TRIM(C76)&amp;" ")-1),",","."),"."),LEFT(SUBSTITUTE(LEFT(TRIM(C76),FIND(" ",TRIM(C76)&amp;" ")-1),",","."),FIND("/",SUBSTITUTE(LEFT(TRIM(C76),FIND(" ",TRIM(C76)&amp;" ")-1),",","."))-1)/MID(SUBSTITUTE(LEFT(TRIM(C76),FIND(" ",TRIM(C76)&amp;" ")-1),",","."),FIND("/",SUBSTITUTE(LEFT(TRIM(C76),FIND(" ",TRIM(C76)&amp;" ")-1),",","."))+1,9))*12,NA()))),0),6)*'Aturan &amp; Tarif'!$B$4,2)</f>
        <v>340.68</v>
      </c>
      <c r="K76" s="32" t="n">
        <f aca="false">'Aturan &amp; Tarif'!$B$5</f>
        <v>2050</v>
      </c>
      <c r="L76" s="35" t="n">
        <f aca="false">I76+J76+K76</f>
        <v>11914.68</v>
      </c>
      <c r="M76" s="37" t="s">
        <v>345</v>
      </c>
    </row>
    <row r="77" customFormat="false" ht="25.5" hidden="false" customHeight="true" outlineLevel="0" collapsed="false">
      <c r="A77" s="29"/>
      <c r="B77" s="30" t="s">
        <v>346</v>
      </c>
      <c r="C77" s="31" t="s">
        <v>344</v>
      </c>
      <c r="D77" s="31" t="s">
        <v>108</v>
      </c>
      <c r="E77" s="32" t="n">
        <v>4762</v>
      </c>
      <c r="F77" s="32"/>
      <c r="G77" s="32"/>
      <c r="H77" s="33" t="n">
        <v>2</v>
      </c>
      <c r="I77" s="34" t="n">
        <f aca="false">E77*H77+N(F77)+N(G77)</f>
        <v>9524</v>
      </c>
      <c r="J77" s="32" t="n">
        <f aca="false">ROUND(IFERROR(ROUND(IF(OR(ISNUMBER(SEARCH("week",C77)),ISNUMBER(SEARCH("minggu",C77))),IFERROR(_xlfn.NUMBERVALUE(SUBSTITUTE(LEFT(TRIM(C77),FIND(" ",TRIM(C77)&amp;" ")-1),",","."),"."),LEFT(SUBSTITUTE(LEFT(TRIM(C77),FIND(" ",TRIM(C77)&amp;" ")-1),",","."),FIND("/",SUBSTITUTE(LEFT(TRIM(C77),FIND(" ",TRIM(C77)&amp;" ")-1),",","."))-1)/MID(SUBSTITUTE(LEFT(TRIM(C77),FIND(" ",TRIM(C77)&amp;" ")-1),",","."),FIND("/",SUBSTITUTE(LEFT(TRIM(C77),FIND(" ",TRIM(C77)&amp;" ")-1),",","."))+1,9))*12/52,IF(ISNUMBER(SEARCH("month",C77)),IFERROR(_xlfn.NUMBERVALUE(SUBSTITUTE(LEFT(TRIM(C77),FIND(" ",TRIM(C77)&amp;" ")-1),",","."),"."),LEFT(SUBSTITUTE(LEFT(TRIM(C77),FIND(" ",TRIM(C77)&amp;" ")-1),",","."),FIND("/",SUBSTITUTE(LEFT(TRIM(C77),FIND(" ",TRIM(C77)&amp;" ")-1),",","."))-1)/MID(SUBSTITUTE(LEFT(TRIM(C77),FIND(" ",TRIM(C77)&amp;" ")-1),",","."),FIND("/",SUBSTITUTE(LEFT(TRIM(C77),FIND(" ",TRIM(C77)&amp;" ")-1),",","."))+1,9)),IF(ISNUMBER(SEARCH("yea",C77)),IFERROR(_xlfn.NUMBERVALUE(SUBSTITUTE(LEFT(TRIM(C77),FIND(" ",TRIM(C77)&amp;" ")-1),",","."),"."),LEFT(SUBSTITUTE(LEFT(TRIM(C77),FIND(" ",TRIM(C77)&amp;" ")-1),",","."),FIND("/",SUBSTITUTE(LEFT(TRIM(C77),FIND(" ",TRIM(C77)&amp;" ")-1),",","."))-1)/MID(SUBSTITUTE(LEFT(TRIM(C77),FIND(" ",TRIM(C77)&amp;" ")-1),",","."),FIND("/",SUBSTITUTE(LEFT(TRIM(C77),FIND(" ",TRIM(C77)&amp;" ")-1),",","."))+1,9))*12,NA()))),0),6)*'Aturan &amp; Tarif'!$B$4,2)</f>
        <v>340.68</v>
      </c>
      <c r="K77" s="32" t="n">
        <f aca="false">'Aturan &amp; Tarif'!$B$5</f>
        <v>2050</v>
      </c>
      <c r="L77" s="35" t="n">
        <f aca="false">I77+J77+K77</f>
        <v>11914.68</v>
      </c>
      <c r="M77" s="37" t="s">
        <v>345</v>
      </c>
    </row>
    <row r="78" customFormat="false" ht="25.5" hidden="false" customHeight="true" outlineLevel="0" collapsed="false">
      <c r="A78" s="29"/>
      <c r="B78" s="30" t="s">
        <v>347</v>
      </c>
      <c r="C78" s="31" t="s">
        <v>344</v>
      </c>
      <c r="D78" s="31" t="s">
        <v>108</v>
      </c>
      <c r="E78" s="32" t="n">
        <v>4614</v>
      </c>
      <c r="F78" s="32"/>
      <c r="G78" s="32"/>
      <c r="H78" s="33" t="n">
        <v>2</v>
      </c>
      <c r="I78" s="34" t="n">
        <f aca="false">E78*H78+N(F78)+N(G78)</f>
        <v>9228</v>
      </c>
      <c r="J78" s="32" t="n">
        <f aca="false">ROUND(IFERROR(ROUND(IF(OR(ISNUMBER(SEARCH("week",C78)),ISNUMBER(SEARCH("minggu",C78))),IFERROR(_xlfn.NUMBERVALUE(SUBSTITUTE(LEFT(TRIM(C78),FIND(" ",TRIM(C78)&amp;" ")-1),",","."),"."),LEFT(SUBSTITUTE(LEFT(TRIM(C78),FIND(" ",TRIM(C78)&amp;" ")-1),",","."),FIND("/",SUBSTITUTE(LEFT(TRIM(C78),FIND(" ",TRIM(C78)&amp;" ")-1),",","."))-1)/MID(SUBSTITUTE(LEFT(TRIM(C78),FIND(" ",TRIM(C78)&amp;" ")-1),",","."),FIND("/",SUBSTITUTE(LEFT(TRIM(C78),FIND(" ",TRIM(C78)&amp;" ")-1),",","."))+1,9))*12/52,IF(ISNUMBER(SEARCH("month",C78)),IFERROR(_xlfn.NUMBERVALUE(SUBSTITUTE(LEFT(TRIM(C78),FIND(" ",TRIM(C78)&amp;" ")-1),",","."),"."),LEFT(SUBSTITUTE(LEFT(TRIM(C78),FIND(" ",TRIM(C78)&amp;" ")-1),",","."),FIND("/",SUBSTITUTE(LEFT(TRIM(C78),FIND(" ",TRIM(C78)&amp;" ")-1),",","."))-1)/MID(SUBSTITUTE(LEFT(TRIM(C78),FIND(" ",TRIM(C78)&amp;" ")-1),",","."),FIND("/",SUBSTITUTE(LEFT(TRIM(C78),FIND(" ",TRIM(C78)&amp;" ")-1),",","."))+1,9)),IF(ISNUMBER(SEARCH("yea",C78)),IFERROR(_xlfn.NUMBERVALUE(SUBSTITUTE(LEFT(TRIM(C78),FIND(" ",TRIM(C78)&amp;" ")-1),",","."),"."),LEFT(SUBSTITUTE(LEFT(TRIM(C78),FIND(" ",TRIM(C78)&amp;" ")-1),",","."),FIND("/",SUBSTITUTE(LEFT(TRIM(C78),FIND(" ",TRIM(C78)&amp;" ")-1),",","."))-1)/MID(SUBSTITUTE(LEFT(TRIM(C78),FIND(" ",TRIM(C78)&amp;" ")-1),",","."),FIND("/",SUBSTITUTE(LEFT(TRIM(C78),FIND(" ",TRIM(C78)&amp;" ")-1),",","."))+1,9))*12,NA()))),0),6)*'Aturan &amp; Tarif'!$B$4,2)</f>
        <v>340.68</v>
      </c>
      <c r="K78" s="32" t="n">
        <f aca="false">'Aturan &amp; Tarif'!$B$5</f>
        <v>2050</v>
      </c>
      <c r="L78" s="35" t="n">
        <f aca="false">I78+J78+K78</f>
        <v>11618.68</v>
      </c>
      <c r="M78" s="37" t="s">
        <v>345</v>
      </c>
    </row>
    <row r="79" customFormat="false" ht="14.25" hidden="false" customHeight="true" outlineLevel="0" collapsed="false">
      <c r="A79" s="29"/>
      <c r="B79" s="30" t="s">
        <v>348</v>
      </c>
      <c r="C79" s="31" t="s">
        <v>107</v>
      </c>
      <c r="D79" s="31" t="s">
        <v>108</v>
      </c>
      <c r="E79" s="32" t="n">
        <v>9524</v>
      </c>
      <c r="F79" s="32"/>
      <c r="G79" s="32"/>
      <c r="H79" s="33" t="n">
        <v>2</v>
      </c>
      <c r="I79" s="34" t="n">
        <f aca="false">E79*H79+N(F79)+N(G79)</f>
        <v>19048</v>
      </c>
      <c r="J79" s="32" t="n">
        <f aca="false">ROUND(IFERROR(ROUND(IF(OR(ISNUMBER(SEARCH("week",C79)),ISNUMBER(SEARCH("minggu",C79))),IFERROR(_xlfn.NUMBERVALUE(SUBSTITUTE(LEFT(TRIM(C79),FIND(" ",TRIM(C79)&amp;" ")-1),",","."),"."),LEFT(SUBSTITUTE(LEFT(TRIM(C79),FIND(" ",TRIM(C79)&amp;" ")-1),",","."),FIND("/",SUBSTITUTE(LEFT(TRIM(C79),FIND(" ",TRIM(C79)&amp;" ")-1),",","."))-1)/MID(SUBSTITUTE(LEFT(TRIM(C79),FIND(" ",TRIM(C79)&amp;" ")-1),",","."),FIND("/",SUBSTITUTE(LEFT(TRIM(C79),FIND(" ",TRIM(C79)&amp;" ")-1),",","."))+1,9))*12/52,IF(ISNUMBER(SEARCH("month",C79)),IFERROR(_xlfn.NUMBERVALUE(SUBSTITUTE(LEFT(TRIM(C79),FIND(" ",TRIM(C79)&amp;" ")-1),",","."),"."),LEFT(SUBSTITUTE(LEFT(TRIM(C79),FIND(" ",TRIM(C79)&amp;" ")-1),",","."),FIND("/",SUBSTITUTE(LEFT(TRIM(C79),FIND(" ",TRIM(C79)&amp;" ")-1),",","."))-1)/MID(SUBSTITUTE(LEFT(TRIM(C79),FIND(" ",TRIM(C79)&amp;" ")-1),",","."),FIND("/",SUBSTITUTE(LEFT(TRIM(C79),FIND(" ",TRIM(C79)&amp;" ")-1),",","."))+1,9)),IF(ISNUMBER(SEARCH("yea",C79)),IFERROR(_xlfn.NUMBERVALUE(SUBSTITUTE(LEFT(TRIM(C79),FIND(" ",TRIM(C79)&amp;" ")-1),",","."),"."),LEFT(SUBSTITUTE(LEFT(TRIM(C79),FIND(" ",TRIM(C79)&amp;" ")-1),",","."),FIND("/",SUBSTITUTE(LEFT(TRIM(C79),FIND(" ",TRIM(C79)&amp;" ")-1),",","."))-1)/MID(SUBSTITUTE(LEFT(TRIM(C79),FIND(" ",TRIM(C79)&amp;" ")-1),",","."),FIND("/",SUBSTITUTE(LEFT(TRIM(C79),FIND(" ",TRIM(C79)&amp;" ")-1),",","."))+1,9))*12,NA()))),0),24)*'Aturan &amp; Tarif'!$B$4,2)</f>
        <v>1362.72</v>
      </c>
      <c r="K79" s="32" t="n">
        <f aca="false">'Aturan &amp; Tarif'!$B$5</f>
        <v>2050</v>
      </c>
      <c r="L79" s="35" t="n">
        <f aca="false">I79+J79+K79</f>
        <v>22460.72</v>
      </c>
      <c r="M79" s="37" t="s">
        <v>318</v>
      </c>
    </row>
    <row r="80" customFormat="false" ht="14.25" hidden="false" customHeight="true" outlineLevel="0" collapsed="false">
      <c r="A80" s="29"/>
      <c r="B80" s="30" t="s">
        <v>349</v>
      </c>
      <c r="C80" s="31" t="s">
        <v>107</v>
      </c>
      <c r="D80" s="31" t="s">
        <v>108</v>
      </c>
      <c r="E80" s="32" t="n">
        <v>9524</v>
      </c>
      <c r="F80" s="32"/>
      <c r="G80" s="32"/>
      <c r="H80" s="33" t="n">
        <v>2</v>
      </c>
      <c r="I80" s="34" t="n">
        <f aca="false">E80*H80+N(F80)+N(G80)</f>
        <v>19048</v>
      </c>
      <c r="J80" s="32" t="n">
        <f aca="false">ROUND(IFERROR(ROUND(IF(OR(ISNUMBER(SEARCH("week",C80)),ISNUMBER(SEARCH("minggu",C80))),IFERROR(_xlfn.NUMBERVALUE(SUBSTITUTE(LEFT(TRIM(C80),FIND(" ",TRIM(C80)&amp;" ")-1),",","."),"."),LEFT(SUBSTITUTE(LEFT(TRIM(C80),FIND(" ",TRIM(C80)&amp;" ")-1),",","."),FIND("/",SUBSTITUTE(LEFT(TRIM(C80),FIND(" ",TRIM(C80)&amp;" ")-1),",","."))-1)/MID(SUBSTITUTE(LEFT(TRIM(C80),FIND(" ",TRIM(C80)&amp;" ")-1),",","."),FIND("/",SUBSTITUTE(LEFT(TRIM(C80),FIND(" ",TRIM(C80)&amp;" ")-1),",","."))+1,9))*12/52,IF(ISNUMBER(SEARCH("month",C80)),IFERROR(_xlfn.NUMBERVALUE(SUBSTITUTE(LEFT(TRIM(C80),FIND(" ",TRIM(C80)&amp;" ")-1),",","."),"."),LEFT(SUBSTITUTE(LEFT(TRIM(C80),FIND(" ",TRIM(C80)&amp;" ")-1),",","."),FIND("/",SUBSTITUTE(LEFT(TRIM(C80),FIND(" ",TRIM(C80)&amp;" ")-1),",","."))-1)/MID(SUBSTITUTE(LEFT(TRIM(C80),FIND(" ",TRIM(C80)&amp;" ")-1),",","."),FIND("/",SUBSTITUTE(LEFT(TRIM(C80),FIND(" ",TRIM(C80)&amp;" ")-1),",","."))+1,9)),IF(ISNUMBER(SEARCH("yea",C80)),IFERROR(_xlfn.NUMBERVALUE(SUBSTITUTE(LEFT(TRIM(C80),FIND(" ",TRIM(C80)&amp;" ")-1),",","."),"."),LEFT(SUBSTITUTE(LEFT(TRIM(C80),FIND(" ",TRIM(C80)&amp;" ")-1),",","."),FIND("/",SUBSTITUTE(LEFT(TRIM(C80),FIND(" ",TRIM(C80)&amp;" ")-1),",","."))-1)/MID(SUBSTITUTE(LEFT(TRIM(C80),FIND(" ",TRIM(C80)&amp;" ")-1),",","."),FIND("/",SUBSTITUTE(LEFT(TRIM(C80),FIND(" ",TRIM(C80)&amp;" ")-1),",","."))+1,9))*12,NA()))),0),24)*'Aturan &amp; Tarif'!$B$4,2)</f>
        <v>1362.72</v>
      </c>
      <c r="K80" s="32" t="n">
        <f aca="false">'Aturan &amp; Tarif'!$B$5</f>
        <v>2050</v>
      </c>
      <c r="L80" s="35" t="n">
        <f aca="false">I80+J80+K80</f>
        <v>22460.72</v>
      </c>
      <c r="M80" s="37" t="s">
        <v>318</v>
      </c>
    </row>
    <row r="81" customFormat="false" ht="14.25" hidden="false" customHeight="true" outlineLevel="0" collapsed="false">
      <c r="A81" s="29"/>
      <c r="B81" s="30" t="s">
        <v>167</v>
      </c>
      <c r="C81" s="31" t="s">
        <v>107</v>
      </c>
      <c r="D81" s="31" t="s">
        <v>108</v>
      </c>
      <c r="E81" s="32" t="n">
        <v>9524</v>
      </c>
      <c r="F81" s="32"/>
      <c r="G81" s="32"/>
      <c r="H81" s="33" t="n">
        <v>2</v>
      </c>
      <c r="I81" s="34" t="n">
        <f aca="false">E81*H81+N(F81)+N(G81)</f>
        <v>19048</v>
      </c>
      <c r="J81" s="32" t="n">
        <f aca="false">ROUND(IFERROR(ROUND(IF(OR(ISNUMBER(SEARCH("week",C81)),ISNUMBER(SEARCH("minggu",C81))),IFERROR(_xlfn.NUMBERVALUE(SUBSTITUTE(LEFT(TRIM(C81),FIND(" ",TRIM(C81)&amp;" ")-1),",","."),"."),LEFT(SUBSTITUTE(LEFT(TRIM(C81),FIND(" ",TRIM(C81)&amp;" ")-1),",","."),FIND("/",SUBSTITUTE(LEFT(TRIM(C81),FIND(" ",TRIM(C81)&amp;" ")-1),",","."))-1)/MID(SUBSTITUTE(LEFT(TRIM(C81),FIND(" ",TRIM(C81)&amp;" ")-1),",","."),FIND("/",SUBSTITUTE(LEFT(TRIM(C81),FIND(" ",TRIM(C81)&amp;" ")-1),",","."))+1,9))*12/52,IF(ISNUMBER(SEARCH("month",C81)),IFERROR(_xlfn.NUMBERVALUE(SUBSTITUTE(LEFT(TRIM(C81),FIND(" ",TRIM(C81)&amp;" ")-1),",","."),"."),LEFT(SUBSTITUTE(LEFT(TRIM(C81),FIND(" ",TRIM(C81)&amp;" ")-1),",","."),FIND("/",SUBSTITUTE(LEFT(TRIM(C81),FIND(" ",TRIM(C81)&amp;" ")-1),",","."))-1)/MID(SUBSTITUTE(LEFT(TRIM(C81),FIND(" ",TRIM(C81)&amp;" ")-1),",","."),FIND("/",SUBSTITUTE(LEFT(TRIM(C81),FIND(" ",TRIM(C81)&amp;" ")-1),",","."))+1,9)),IF(ISNUMBER(SEARCH("yea",C81)),IFERROR(_xlfn.NUMBERVALUE(SUBSTITUTE(LEFT(TRIM(C81),FIND(" ",TRIM(C81)&amp;" ")-1),",","."),"."),LEFT(SUBSTITUTE(LEFT(TRIM(C81),FIND(" ",TRIM(C81)&amp;" ")-1),",","."),FIND("/",SUBSTITUTE(LEFT(TRIM(C81),FIND(" ",TRIM(C81)&amp;" ")-1),",","."))-1)/MID(SUBSTITUTE(LEFT(TRIM(C81),FIND(" ",TRIM(C81)&amp;" ")-1),",","."),FIND("/",SUBSTITUTE(LEFT(TRIM(C81),FIND(" ",TRIM(C81)&amp;" ")-1),",","."))+1,9))*12,NA()))),0),24)*'Aturan &amp; Tarif'!$B$4,2)</f>
        <v>1362.72</v>
      </c>
      <c r="K81" s="32" t="n">
        <f aca="false">'Aturan &amp; Tarif'!$B$5</f>
        <v>2050</v>
      </c>
      <c r="L81" s="35" t="n">
        <f aca="false">I81+J81+K81</f>
        <v>22460.72</v>
      </c>
      <c r="M81" s="37" t="s">
        <v>318</v>
      </c>
    </row>
    <row r="82" customFormat="false" ht="14.25" hidden="false" customHeight="true" outlineLevel="0" collapsed="false">
      <c r="A82" s="29"/>
      <c r="B82" s="30" t="s">
        <v>236</v>
      </c>
      <c r="C82" s="31" t="s">
        <v>127</v>
      </c>
      <c r="D82" s="31" t="s">
        <v>108</v>
      </c>
      <c r="E82" s="32" t="n">
        <v>8906</v>
      </c>
      <c r="F82" s="32"/>
      <c r="G82" s="32"/>
      <c r="H82" s="33" t="n">
        <v>2</v>
      </c>
      <c r="I82" s="34" t="n">
        <f aca="false">E82*H82+N(F82)+N(G82)</f>
        <v>17812</v>
      </c>
      <c r="J82" s="32" t="n">
        <f aca="false">ROUND(IFERROR(ROUND(IF(OR(ISNUMBER(SEARCH("week",C82)),ISNUMBER(SEARCH("minggu",C82))),IFERROR(_xlfn.NUMBERVALUE(SUBSTITUTE(LEFT(TRIM(C82),FIND(" ",TRIM(C82)&amp;" ")-1),",","."),"."),LEFT(SUBSTITUTE(LEFT(TRIM(C82),FIND(" ",TRIM(C82)&amp;" ")-1),",","."),FIND("/",SUBSTITUTE(LEFT(TRIM(C82),FIND(" ",TRIM(C82)&amp;" ")-1),",","."))-1)/MID(SUBSTITUTE(LEFT(TRIM(C82),FIND(" ",TRIM(C82)&amp;" ")-1),",","."),FIND("/",SUBSTITUTE(LEFT(TRIM(C82),FIND(" ",TRIM(C82)&amp;" ")-1),",","."))+1,9))*12/52,IF(ISNUMBER(SEARCH("month",C82)),IFERROR(_xlfn.NUMBERVALUE(SUBSTITUTE(LEFT(TRIM(C82),FIND(" ",TRIM(C82)&amp;" ")-1),",","."),"."),LEFT(SUBSTITUTE(LEFT(TRIM(C82),FIND(" ",TRIM(C82)&amp;" ")-1),",","."),FIND("/",SUBSTITUTE(LEFT(TRIM(C82),FIND(" ",TRIM(C82)&amp;" ")-1),",","."))-1)/MID(SUBSTITUTE(LEFT(TRIM(C82),FIND(" ",TRIM(C82)&amp;" ")-1),",","."),FIND("/",SUBSTITUTE(LEFT(TRIM(C82),FIND(" ",TRIM(C82)&amp;" ")-1),",","."))+1,9)),IF(ISNUMBER(SEARCH("yea",C82)),IFERROR(_xlfn.NUMBERVALUE(SUBSTITUTE(LEFT(TRIM(C82),FIND(" ",TRIM(C82)&amp;" ")-1),",","."),"."),LEFT(SUBSTITUTE(LEFT(TRIM(C82),FIND(" ",TRIM(C82)&amp;" ")-1),",","."),FIND("/",SUBSTITUTE(LEFT(TRIM(C82),FIND(" ",TRIM(C82)&amp;" ")-1),",","."))-1)/MID(SUBSTITUTE(LEFT(TRIM(C82),FIND(" ",TRIM(C82)&amp;" ")-1),",","."),FIND("/",SUBSTITUTE(LEFT(TRIM(C82),FIND(" ",TRIM(C82)&amp;" ")-1),",","."))+1,9))*12,NA()))),0),36)*'Aturan &amp; Tarif'!$B$4,2)</f>
        <v>2044.08</v>
      </c>
      <c r="K82" s="32" t="n">
        <f aca="false">'Aturan &amp; Tarif'!$B$5</f>
        <v>2050</v>
      </c>
      <c r="L82" s="35" t="n">
        <f aca="false">I82+J82+K82</f>
        <v>21906.08</v>
      </c>
      <c r="M82" s="37" t="s">
        <v>318</v>
      </c>
    </row>
    <row r="83" customFormat="false" ht="25.5" hidden="false" customHeight="true" outlineLevel="0" collapsed="false">
      <c r="A83" s="29"/>
      <c r="B83" s="30" t="s">
        <v>350</v>
      </c>
      <c r="C83" s="31" t="s">
        <v>191</v>
      </c>
      <c r="D83" s="31" t="s">
        <v>108</v>
      </c>
      <c r="E83" s="32" t="n">
        <v>8906</v>
      </c>
      <c r="F83" s="32"/>
      <c r="G83" s="32"/>
      <c r="H83" s="33" t="n">
        <v>2</v>
      </c>
      <c r="I83" s="34" t="n">
        <f aca="false">E83*H83+N(F83)+N(G83)</f>
        <v>17812</v>
      </c>
      <c r="J83" s="32" t="n">
        <f aca="false">ROUND(IFERROR(ROUND(IF(OR(ISNUMBER(SEARCH("week",C83)),ISNUMBER(SEARCH("minggu",C83))),IFERROR(_xlfn.NUMBERVALUE(SUBSTITUTE(LEFT(TRIM(C83),FIND(" ",TRIM(C83)&amp;" ")-1),",","."),"."),LEFT(SUBSTITUTE(LEFT(TRIM(C83),FIND(" ",TRIM(C83)&amp;" ")-1),",","."),FIND("/",SUBSTITUTE(LEFT(TRIM(C83),FIND(" ",TRIM(C83)&amp;" ")-1),",","."))-1)/MID(SUBSTITUTE(LEFT(TRIM(C83),FIND(" ",TRIM(C83)&amp;" ")-1),",","."),FIND("/",SUBSTITUTE(LEFT(TRIM(C83),FIND(" ",TRIM(C83)&amp;" ")-1),",","."))+1,9))*12/52,IF(ISNUMBER(SEARCH("month",C83)),IFERROR(_xlfn.NUMBERVALUE(SUBSTITUTE(LEFT(TRIM(C83),FIND(" ",TRIM(C83)&amp;" ")-1),",","."),"."),LEFT(SUBSTITUTE(LEFT(TRIM(C83),FIND(" ",TRIM(C83)&amp;" ")-1),",","."),FIND("/",SUBSTITUTE(LEFT(TRIM(C83),FIND(" ",TRIM(C83)&amp;" ")-1),",","."))-1)/MID(SUBSTITUTE(LEFT(TRIM(C83),FIND(" ",TRIM(C83)&amp;" ")-1),",","."),FIND("/",SUBSTITUTE(LEFT(TRIM(C83),FIND(" ",TRIM(C83)&amp;" ")-1),",","."))+1,9)),IF(ISNUMBER(SEARCH("yea",C83)),IFERROR(_xlfn.NUMBERVALUE(SUBSTITUTE(LEFT(TRIM(C83),FIND(" ",TRIM(C83)&amp;" ")-1),",","."),"."),LEFT(SUBSTITUTE(LEFT(TRIM(C83),FIND(" ",TRIM(C83)&amp;" ")-1),",","."),FIND("/",SUBSTITUTE(LEFT(TRIM(C83),FIND(" ",TRIM(C83)&amp;" ")-1),",","."))-1)/MID(SUBSTITUTE(LEFT(TRIM(C83),FIND(" ",TRIM(C83)&amp;" ")-1),",","."),FIND("/",SUBSTITUTE(LEFT(TRIM(C83),FIND(" ",TRIM(C83)&amp;" ")-1),",","."))+1,9))*12,NA()))),0),48)*'Aturan &amp; Tarif'!$B$4,2)</f>
        <v>2725.44</v>
      </c>
      <c r="K83" s="32" t="n">
        <f aca="false">'Aturan &amp; Tarif'!$B$5</f>
        <v>2050</v>
      </c>
      <c r="L83" s="35" t="n">
        <f aca="false">I83+J83+K83</f>
        <v>22587.44</v>
      </c>
      <c r="M83" s="37" t="s">
        <v>318</v>
      </c>
    </row>
    <row r="84" customFormat="false" ht="25.5" hidden="false" customHeight="true" outlineLevel="0" collapsed="false">
      <c r="A84" s="29"/>
      <c r="B84" s="30" t="s">
        <v>351</v>
      </c>
      <c r="C84" s="31" t="s">
        <v>191</v>
      </c>
      <c r="D84" s="31" t="s">
        <v>108</v>
      </c>
      <c r="E84" s="32" t="n">
        <v>8906</v>
      </c>
      <c r="F84" s="32"/>
      <c r="G84" s="32"/>
      <c r="H84" s="33" t="n">
        <v>2</v>
      </c>
      <c r="I84" s="34" t="n">
        <f aca="false">E84*H84+N(F84)+N(G84)</f>
        <v>17812</v>
      </c>
      <c r="J84" s="32" t="n">
        <f aca="false">ROUND(IFERROR(ROUND(IF(OR(ISNUMBER(SEARCH("week",C84)),ISNUMBER(SEARCH("minggu",C84))),IFERROR(_xlfn.NUMBERVALUE(SUBSTITUTE(LEFT(TRIM(C84),FIND(" ",TRIM(C84)&amp;" ")-1),",","."),"."),LEFT(SUBSTITUTE(LEFT(TRIM(C84),FIND(" ",TRIM(C84)&amp;" ")-1),",","."),FIND("/",SUBSTITUTE(LEFT(TRIM(C84),FIND(" ",TRIM(C84)&amp;" ")-1),",","."))-1)/MID(SUBSTITUTE(LEFT(TRIM(C84),FIND(" ",TRIM(C84)&amp;" ")-1),",","."),FIND("/",SUBSTITUTE(LEFT(TRIM(C84),FIND(" ",TRIM(C84)&amp;" ")-1),",","."))+1,9))*12/52,IF(ISNUMBER(SEARCH("month",C84)),IFERROR(_xlfn.NUMBERVALUE(SUBSTITUTE(LEFT(TRIM(C84),FIND(" ",TRIM(C84)&amp;" ")-1),",","."),"."),LEFT(SUBSTITUTE(LEFT(TRIM(C84),FIND(" ",TRIM(C84)&amp;" ")-1),",","."),FIND("/",SUBSTITUTE(LEFT(TRIM(C84),FIND(" ",TRIM(C84)&amp;" ")-1),",","."))-1)/MID(SUBSTITUTE(LEFT(TRIM(C84),FIND(" ",TRIM(C84)&amp;" ")-1),",","."),FIND("/",SUBSTITUTE(LEFT(TRIM(C84),FIND(" ",TRIM(C84)&amp;" ")-1),",","."))+1,9)),IF(ISNUMBER(SEARCH("yea",C84)),IFERROR(_xlfn.NUMBERVALUE(SUBSTITUTE(LEFT(TRIM(C84),FIND(" ",TRIM(C84)&amp;" ")-1),",","."),"."),LEFT(SUBSTITUTE(LEFT(TRIM(C84),FIND(" ",TRIM(C84)&amp;" ")-1),",","."),FIND("/",SUBSTITUTE(LEFT(TRIM(C84),FIND(" ",TRIM(C84)&amp;" ")-1),",","."))-1)/MID(SUBSTITUTE(LEFT(TRIM(C84),FIND(" ",TRIM(C84)&amp;" ")-1),",","."),FIND("/",SUBSTITUTE(LEFT(TRIM(C84),FIND(" ",TRIM(C84)&amp;" ")-1),",","."))+1,9))*12,NA()))),0),48)*'Aturan &amp; Tarif'!$B$4,2)</f>
        <v>2725.44</v>
      </c>
      <c r="K84" s="32" t="n">
        <f aca="false">'Aturan &amp; Tarif'!$B$5</f>
        <v>2050</v>
      </c>
      <c r="L84" s="35" t="n">
        <f aca="false">I84+J84+K84</f>
        <v>22587.44</v>
      </c>
      <c r="M84" s="37" t="s">
        <v>318</v>
      </c>
    </row>
    <row r="85" customFormat="false" ht="25.5" hidden="false" customHeight="true" outlineLevel="0" collapsed="false">
      <c r="A85" s="29"/>
      <c r="B85" s="30" t="s">
        <v>352</v>
      </c>
      <c r="C85" s="31" t="s">
        <v>191</v>
      </c>
      <c r="D85" s="31" t="s">
        <v>108</v>
      </c>
      <c r="E85" s="32" t="n">
        <v>8906</v>
      </c>
      <c r="F85" s="32"/>
      <c r="G85" s="32"/>
      <c r="H85" s="33" t="n">
        <v>2</v>
      </c>
      <c r="I85" s="34" t="n">
        <f aca="false">E85*H85+N(F85)+N(G85)</f>
        <v>17812</v>
      </c>
      <c r="J85" s="32" t="n">
        <f aca="false">ROUND(IFERROR(ROUND(IF(OR(ISNUMBER(SEARCH("week",C85)),ISNUMBER(SEARCH("minggu",C85))),IFERROR(_xlfn.NUMBERVALUE(SUBSTITUTE(LEFT(TRIM(C85),FIND(" ",TRIM(C85)&amp;" ")-1),",","."),"."),LEFT(SUBSTITUTE(LEFT(TRIM(C85),FIND(" ",TRIM(C85)&amp;" ")-1),",","."),FIND("/",SUBSTITUTE(LEFT(TRIM(C85),FIND(" ",TRIM(C85)&amp;" ")-1),",","."))-1)/MID(SUBSTITUTE(LEFT(TRIM(C85),FIND(" ",TRIM(C85)&amp;" ")-1),",","."),FIND("/",SUBSTITUTE(LEFT(TRIM(C85),FIND(" ",TRIM(C85)&amp;" ")-1),",","."))+1,9))*12/52,IF(ISNUMBER(SEARCH("month",C85)),IFERROR(_xlfn.NUMBERVALUE(SUBSTITUTE(LEFT(TRIM(C85),FIND(" ",TRIM(C85)&amp;" ")-1),",","."),"."),LEFT(SUBSTITUTE(LEFT(TRIM(C85),FIND(" ",TRIM(C85)&amp;" ")-1),",","."),FIND("/",SUBSTITUTE(LEFT(TRIM(C85),FIND(" ",TRIM(C85)&amp;" ")-1),",","."))-1)/MID(SUBSTITUTE(LEFT(TRIM(C85),FIND(" ",TRIM(C85)&amp;" ")-1),",","."),FIND("/",SUBSTITUTE(LEFT(TRIM(C85),FIND(" ",TRIM(C85)&amp;" ")-1),",","."))+1,9)),IF(ISNUMBER(SEARCH("yea",C85)),IFERROR(_xlfn.NUMBERVALUE(SUBSTITUTE(LEFT(TRIM(C85),FIND(" ",TRIM(C85)&amp;" ")-1),",","."),"."),LEFT(SUBSTITUTE(LEFT(TRIM(C85),FIND(" ",TRIM(C85)&amp;" ")-1),",","."),FIND("/",SUBSTITUTE(LEFT(TRIM(C85),FIND(" ",TRIM(C85)&amp;" ")-1),",","."))-1)/MID(SUBSTITUTE(LEFT(TRIM(C85),FIND(" ",TRIM(C85)&amp;" ")-1),",","."),FIND("/",SUBSTITUTE(LEFT(TRIM(C85),FIND(" ",TRIM(C85)&amp;" ")-1),",","."))+1,9))*12,NA()))),0),48)*'Aturan &amp; Tarif'!$B$4,2)</f>
        <v>2725.44</v>
      </c>
      <c r="K85" s="32" t="n">
        <f aca="false">'Aturan &amp; Tarif'!$B$5</f>
        <v>2050</v>
      </c>
      <c r="L85" s="35" t="n">
        <f aca="false">I85+J85+K85</f>
        <v>22587.44</v>
      </c>
      <c r="M85" s="37" t="s">
        <v>318</v>
      </c>
    </row>
    <row r="86" customFormat="false" ht="25.5" hidden="false" customHeight="true" outlineLevel="0" collapsed="false">
      <c r="A86" s="29"/>
      <c r="B86" s="30" t="s">
        <v>353</v>
      </c>
      <c r="C86" s="31" t="s">
        <v>191</v>
      </c>
      <c r="D86" s="31" t="s">
        <v>108</v>
      </c>
      <c r="E86" s="32" t="n">
        <v>8906</v>
      </c>
      <c r="F86" s="32"/>
      <c r="G86" s="32"/>
      <c r="H86" s="33" t="n">
        <v>2</v>
      </c>
      <c r="I86" s="34" t="n">
        <f aca="false">E86*H86+N(F86)+N(G86)</f>
        <v>17812</v>
      </c>
      <c r="J86" s="32" t="n">
        <f aca="false">ROUND(IFERROR(ROUND(IF(OR(ISNUMBER(SEARCH("week",C86)),ISNUMBER(SEARCH("minggu",C86))),IFERROR(_xlfn.NUMBERVALUE(SUBSTITUTE(LEFT(TRIM(C86),FIND(" ",TRIM(C86)&amp;" ")-1),",","."),"."),LEFT(SUBSTITUTE(LEFT(TRIM(C86),FIND(" ",TRIM(C86)&amp;" ")-1),",","."),FIND("/",SUBSTITUTE(LEFT(TRIM(C86),FIND(" ",TRIM(C86)&amp;" ")-1),",","."))-1)/MID(SUBSTITUTE(LEFT(TRIM(C86),FIND(" ",TRIM(C86)&amp;" ")-1),",","."),FIND("/",SUBSTITUTE(LEFT(TRIM(C86),FIND(" ",TRIM(C86)&amp;" ")-1),",","."))+1,9))*12/52,IF(ISNUMBER(SEARCH("month",C86)),IFERROR(_xlfn.NUMBERVALUE(SUBSTITUTE(LEFT(TRIM(C86),FIND(" ",TRIM(C86)&amp;" ")-1),",","."),"."),LEFT(SUBSTITUTE(LEFT(TRIM(C86),FIND(" ",TRIM(C86)&amp;" ")-1),",","."),FIND("/",SUBSTITUTE(LEFT(TRIM(C86),FIND(" ",TRIM(C86)&amp;" ")-1),",","."))-1)/MID(SUBSTITUTE(LEFT(TRIM(C86),FIND(" ",TRIM(C86)&amp;" ")-1),",","."),FIND("/",SUBSTITUTE(LEFT(TRIM(C86),FIND(" ",TRIM(C86)&amp;" ")-1),",","."))+1,9)),IF(ISNUMBER(SEARCH("yea",C86)),IFERROR(_xlfn.NUMBERVALUE(SUBSTITUTE(LEFT(TRIM(C86),FIND(" ",TRIM(C86)&amp;" ")-1),",","."),"."),LEFT(SUBSTITUTE(LEFT(TRIM(C86),FIND(" ",TRIM(C86)&amp;" ")-1),",","."),FIND("/",SUBSTITUTE(LEFT(TRIM(C86),FIND(" ",TRIM(C86)&amp;" ")-1),",","."))-1)/MID(SUBSTITUTE(LEFT(TRIM(C86),FIND(" ",TRIM(C86)&amp;" ")-1),",","."),FIND("/",SUBSTITUTE(LEFT(TRIM(C86),FIND(" ",TRIM(C86)&amp;" ")-1),",","."))+1,9))*12,NA()))),0),48)*'Aturan &amp; Tarif'!$B$4,2)</f>
        <v>2725.44</v>
      </c>
      <c r="K86" s="32" t="n">
        <f aca="false">'Aturan &amp; Tarif'!$B$5</f>
        <v>2050</v>
      </c>
      <c r="L86" s="35" t="n">
        <f aca="false">I86+J86+K86</f>
        <v>22587.44</v>
      </c>
      <c r="M86" s="37" t="s">
        <v>318</v>
      </c>
    </row>
    <row r="87" customFormat="false" ht="25.5" hidden="false" customHeight="true" outlineLevel="0" collapsed="false">
      <c r="A87" s="29"/>
      <c r="B87" s="30" t="s">
        <v>354</v>
      </c>
      <c r="C87" s="31" t="s">
        <v>191</v>
      </c>
      <c r="D87" s="31" t="s">
        <v>108</v>
      </c>
      <c r="E87" s="32" t="n">
        <v>9706</v>
      </c>
      <c r="F87" s="32"/>
      <c r="G87" s="32"/>
      <c r="H87" s="33" t="n">
        <v>2</v>
      </c>
      <c r="I87" s="34" t="n">
        <f aca="false">E87*H87+N(F87)+N(G87)</f>
        <v>19412</v>
      </c>
      <c r="J87" s="32" t="n">
        <f aca="false">ROUND(IFERROR(ROUND(IF(OR(ISNUMBER(SEARCH("week",C87)),ISNUMBER(SEARCH("minggu",C87))),IFERROR(_xlfn.NUMBERVALUE(SUBSTITUTE(LEFT(TRIM(C87),FIND(" ",TRIM(C87)&amp;" ")-1),",","."),"."),LEFT(SUBSTITUTE(LEFT(TRIM(C87),FIND(" ",TRIM(C87)&amp;" ")-1),",","."),FIND("/",SUBSTITUTE(LEFT(TRIM(C87),FIND(" ",TRIM(C87)&amp;" ")-1),",","."))-1)/MID(SUBSTITUTE(LEFT(TRIM(C87),FIND(" ",TRIM(C87)&amp;" ")-1),",","."),FIND("/",SUBSTITUTE(LEFT(TRIM(C87),FIND(" ",TRIM(C87)&amp;" ")-1),",","."))+1,9))*12/52,IF(ISNUMBER(SEARCH("month",C87)),IFERROR(_xlfn.NUMBERVALUE(SUBSTITUTE(LEFT(TRIM(C87),FIND(" ",TRIM(C87)&amp;" ")-1),",","."),"."),LEFT(SUBSTITUTE(LEFT(TRIM(C87),FIND(" ",TRIM(C87)&amp;" ")-1),",","."),FIND("/",SUBSTITUTE(LEFT(TRIM(C87),FIND(" ",TRIM(C87)&amp;" ")-1),",","."))-1)/MID(SUBSTITUTE(LEFT(TRIM(C87),FIND(" ",TRIM(C87)&amp;" ")-1),",","."),FIND("/",SUBSTITUTE(LEFT(TRIM(C87),FIND(" ",TRIM(C87)&amp;" ")-1),",","."))+1,9)),IF(ISNUMBER(SEARCH("yea",C87)),IFERROR(_xlfn.NUMBERVALUE(SUBSTITUTE(LEFT(TRIM(C87),FIND(" ",TRIM(C87)&amp;" ")-1),",","."),"."),LEFT(SUBSTITUTE(LEFT(TRIM(C87),FIND(" ",TRIM(C87)&amp;" ")-1),",","."),FIND("/",SUBSTITUTE(LEFT(TRIM(C87),FIND(" ",TRIM(C87)&amp;" ")-1),",","."))-1)/MID(SUBSTITUTE(LEFT(TRIM(C87),FIND(" ",TRIM(C87)&amp;" ")-1),",","."),FIND("/",SUBSTITUTE(LEFT(TRIM(C87),FIND(" ",TRIM(C87)&amp;" ")-1),",","."))+1,9))*12,NA()))),0),48)*'Aturan &amp; Tarif'!$B$4,2)</f>
        <v>2725.44</v>
      </c>
      <c r="K87" s="32" t="n">
        <f aca="false">'Aturan &amp; Tarif'!$B$5</f>
        <v>2050</v>
      </c>
      <c r="L87" s="35" t="n">
        <f aca="false">I87+J87+K87</f>
        <v>24187.44</v>
      </c>
      <c r="M87" s="37" t="s">
        <v>318</v>
      </c>
    </row>
    <row r="88" customFormat="false" ht="14.25" hidden="false" customHeight="true" outlineLevel="0" collapsed="false">
      <c r="A88" s="29"/>
      <c r="B88" s="30" t="s">
        <v>355</v>
      </c>
      <c r="C88" s="31" t="s">
        <v>127</v>
      </c>
      <c r="D88" s="31" t="s">
        <v>108</v>
      </c>
      <c r="E88" s="32" t="n">
        <v>8906</v>
      </c>
      <c r="F88" s="32"/>
      <c r="G88" s="32"/>
      <c r="H88" s="33" t="n">
        <v>2</v>
      </c>
      <c r="I88" s="34" t="n">
        <f aca="false">E88*H88+N(F88)+N(G88)</f>
        <v>17812</v>
      </c>
      <c r="J88" s="32" t="n">
        <f aca="false">ROUND(IFERROR(ROUND(IF(OR(ISNUMBER(SEARCH("week",C88)),ISNUMBER(SEARCH("minggu",C88))),IFERROR(_xlfn.NUMBERVALUE(SUBSTITUTE(LEFT(TRIM(C88),FIND(" ",TRIM(C88)&amp;" ")-1),",","."),"."),LEFT(SUBSTITUTE(LEFT(TRIM(C88),FIND(" ",TRIM(C88)&amp;" ")-1),",","."),FIND("/",SUBSTITUTE(LEFT(TRIM(C88),FIND(" ",TRIM(C88)&amp;" ")-1),",","."))-1)/MID(SUBSTITUTE(LEFT(TRIM(C88),FIND(" ",TRIM(C88)&amp;" ")-1),",","."),FIND("/",SUBSTITUTE(LEFT(TRIM(C88),FIND(" ",TRIM(C88)&amp;" ")-1),",","."))+1,9))*12/52,IF(ISNUMBER(SEARCH("month",C88)),IFERROR(_xlfn.NUMBERVALUE(SUBSTITUTE(LEFT(TRIM(C88),FIND(" ",TRIM(C88)&amp;" ")-1),",","."),"."),LEFT(SUBSTITUTE(LEFT(TRIM(C88),FIND(" ",TRIM(C88)&amp;" ")-1),",","."),FIND("/",SUBSTITUTE(LEFT(TRIM(C88),FIND(" ",TRIM(C88)&amp;" ")-1),",","."))-1)/MID(SUBSTITUTE(LEFT(TRIM(C88),FIND(" ",TRIM(C88)&amp;" ")-1),",","."),FIND("/",SUBSTITUTE(LEFT(TRIM(C88),FIND(" ",TRIM(C88)&amp;" ")-1),",","."))+1,9)),IF(ISNUMBER(SEARCH("yea",C88)),IFERROR(_xlfn.NUMBERVALUE(SUBSTITUTE(LEFT(TRIM(C88),FIND(" ",TRIM(C88)&amp;" ")-1),",","."),"."),LEFT(SUBSTITUTE(LEFT(TRIM(C88),FIND(" ",TRIM(C88)&amp;" ")-1),",","."),FIND("/",SUBSTITUTE(LEFT(TRIM(C88),FIND(" ",TRIM(C88)&amp;" ")-1),",","."))-1)/MID(SUBSTITUTE(LEFT(TRIM(C88),FIND(" ",TRIM(C88)&amp;" ")-1),",","."),FIND("/",SUBSTITUTE(LEFT(TRIM(C88),FIND(" ",TRIM(C88)&amp;" ")-1),",","."))+1,9))*12,NA()))),0),36)*'Aturan &amp; Tarif'!$B$4,2)</f>
        <v>2044.08</v>
      </c>
      <c r="K88" s="32" t="n">
        <f aca="false">'Aturan &amp; Tarif'!$B$5</f>
        <v>2050</v>
      </c>
      <c r="L88" s="35" t="n">
        <f aca="false">I88+J88+K88</f>
        <v>21906.08</v>
      </c>
      <c r="M88" s="37" t="s">
        <v>318</v>
      </c>
    </row>
    <row r="89" customFormat="false" ht="25.5" hidden="false" customHeight="true" outlineLevel="0" collapsed="false">
      <c r="A89" s="29"/>
      <c r="B89" s="30" t="s">
        <v>356</v>
      </c>
      <c r="C89" s="31" t="s">
        <v>191</v>
      </c>
      <c r="D89" s="31" t="s">
        <v>108</v>
      </c>
      <c r="E89" s="32" t="n">
        <v>8906</v>
      </c>
      <c r="F89" s="32"/>
      <c r="G89" s="32"/>
      <c r="H89" s="33" t="n">
        <v>2</v>
      </c>
      <c r="I89" s="34" t="n">
        <f aca="false">E89*H89+N(F89)+N(G89)</f>
        <v>17812</v>
      </c>
      <c r="J89" s="32" t="n">
        <f aca="false">ROUND(IFERROR(ROUND(IF(OR(ISNUMBER(SEARCH("week",C89)),ISNUMBER(SEARCH("minggu",C89))),IFERROR(_xlfn.NUMBERVALUE(SUBSTITUTE(LEFT(TRIM(C89),FIND(" ",TRIM(C89)&amp;" ")-1),",","."),"."),LEFT(SUBSTITUTE(LEFT(TRIM(C89),FIND(" ",TRIM(C89)&amp;" ")-1),",","."),FIND("/",SUBSTITUTE(LEFT(TRIM(C89),FIND(" ",TRIM(C89)&amp;" ")-1),",","."))-1)/MID(SUBSTITUTE(LEFT(TRIM(C89),FIND(" ",TRIM(C89)&amp;" ")-1),",","."),FIND("/",SUBSTITUTE(LEFT(TRIM(C89),FIND(" ",TRIM(C89)&amp;" ")-1),",","."))+1,9))*12/52,IF(ISNUMBER(SEARCH("month",C89)),IFERROR(_xlfn.NUMBERVALUE(SUBSTITUTE(LEFT(TRIM(C89),FIND(" ",TRIM(C89)&amp;" ")-1),",","."),"."),LEFT(SUBSTITUTE(LEFT(TRIM(C89),FIND(" ",TRIM(C89)&amp;" ")-1),",","."),FIND("/",SUBSTITUTE(LEFT(TRIM(C89),FIND(" ",TRIM(C89)&amp;" ")-1),",","."))-1)/MID(SUBSTITUTE(LEFT(TRIM(C89),FIND(" ",TRIM(C89)&amp;" ")-1),",","."),FIND("/",SUBSTITUTE(LEFT(TRIM(C89),FIND(" ",TRIM(C89)&amp;" ")-1),",","."))+1,9)),IF(ISNUMBER(SEARCH("yea",C89)),IFERROR(_xlfn.NUMBERVALUE(SUBSTITUTE(LEFT(TRIM(C89),FIND(" ",TRIM(C89)&amp;" ")-1),",","."),"."),LEFT(SUBSTITUTE(LEFT(TRIM(C89),FIND(" ",TRIM(C89)&amp;" ")-1),",","."),FIND("/",SUBSTITUTE(LEFT(TRIM(C89),FIND(" ",TRIM(C89)&amp;" ")-1),",","."))-1)/MID(SUBSTITUTE(LEFT(TRIM(C89),FIND(" ",TRIM(C89)&amp;" ")-1),",","."),FIND("/",SUBSTITUTE(LEFT(TRIM(C89),FIND(" ",TRIM(C89)&amp;" ")-1),",","."))+1,9))*12,NA()))),0),48)*'Aturan &amp; Tarif'!$B$4,2)</f>
        <v>2725.44</v>
      </c>
      <c r="K89" s="32" t="n">
        <f aca="false">'Aturan &amp; Tarif'!$B$5</f>
        <v>2050</v>
      </c>
      <c r="L89" s="35" t="n">
        <f aca="false">I89+J89+K89</f>
        <v>22587.44</v>
      </c>
      <c r="M89" s="37" t="s">
        <v>318</v>
      </c>
    </row>
    <row r="90" customFormat="false" ht="14.25" hidden="false" customHeight="true" outlineLevel="0" collapsed="false">
      <c r="A90" s="29"/>
      <c r="B90" s="30" t="s">
        <v>357</v>
      </c>
      <c r="C90" s="31" t="s">
        <v>191</v>
      </c>
      <c r="D90" s="31" t="s">
        <v>108</v>
      </c>
      <c r="E90" s="32" t="n">
        <v>8906</v>
      </c>
      <c r="F90" s="32"/>
      <c r="G90" s="32"/>
      <c r="H90" s="33" t="n">
        <v>2</v>
      </c>
      <c r="I90" s="34" t="n">
        <f aca="false">E90*H90+N(F90)+N(G90)</f>
        <v>17812</v>
      </c>
      <c r="J90" s="32" t="n">
        <f aca="false">ROUND(IFERROR(ROUND(IF(OR(ISNUMBER(SEARCH("week",C90)),ISNUMBER(SEARCH("minggu",C90))),IFERROR(_xlfn.NUMBERVALUE(SUBSTITUTE(LEFT(TRIM(C90),FIND(" ",TRIM(C90)&amp;" ")-1),",","."),"."),LEFT(SUBSTITUTE(LEFT(TRIM(C90),FIND(" ",TRIM(C90)&amp;" ")-1),",","."),FIND("/",SUBSTITUTE(LEFT(TRIM(C90),FIND(" ",TRIM(C90)&amp;" ")-1),",","."))-1)/MID(SUBSTITUTE(LEFT(TRIM(C90),FIND(" ",TRIM(C90)&amp;" ")-1),",","."),FIND("/",SUBSTITUTE(LEFT(TRIM(C90),FIND(" ",TRIM(C90)&amp;" ")-1),",","."))+1,9))*12/52,IF(ISNUMBER(SEARCH("month",C90)),IFERROR(_xlfn.NUMBERVALUE(SUBSTITUTE(LEFT(TRIM(C90),FIND(" ",TRIM(C90)&amp;" ")-1),",","."),"."),LEFT(SUBSTITUTE(LEFT(TRIM(C90),FIND(" ",TRIM(C90)&amp;" ")-1),",","."),FIND("/",SUBSTITUTE(LEFT(TRIM(C90),FIND(" ",TRIM(C90)&amp;" ")-1),",","."))-1)/MID(SUBSTITUTE(LEFT(TRIM(C90),FIND(" ",TRIM(C90)&amp;" ")-1),",","."),FIND("/",SUBSTITUTE(LEFT(TRIM(C90),FIND(" ",TRIM(C90)&amp;" ")-1),",","."))+1,9)),IF(ISNUMBER(SEARCH("yea",C90)),IFERROR(_xlfn.NUMBERVALUE(SUBSTITUTE(LEFT(TRIM(C90),FIND(" ",TRIM(C90)&amp;" ")-1),",","."),"."),LEFT(SUBSTITUTE(LEFT(TRIM(C90),FIND(" ",TRIM(C90)&amp;" ")-1),",","."),FIND("/",SUBSTITUTE(LEFT(TRIM(C90),FIND(" ",TRIM(C90)&amp;" ")-1),",","."))-1)/MID(SUBSTITUTE(LEFT(TRIM(C90),FIND(" ",TRIM(C90)&amp;" ")-1),",","."),FIND("/",SUBSTITUTE(LEFT(TRIM(C90),FIND(" ",TRIM(C90)&amp;" ")-1),",","."))+1,9))*12,NA()))),0),48)*'Aturan &amp; Tarif'!$B$4,2)</f>
        <v>2725.44</v>
      </c>
      <c r="K90" s="32" t="n">
        <f aca="false">'Aturan &amp; Tarif'!$B$5</f>
        <v>2050</v>
      </c>
      <c r="L90" s="35" t="n">
        <f aca="false">I90+J90+K90</f>
        <v>22587.44</v>
      </c>
      <c r="M90" s="37" t="s">
        <v>318</v>
      </c>
    </row>
    <row r="91" customFormat="false" ht="25.5" hidden="false" customHeight="true" outlineLevel="0" collapsed="false">
      <c r="A91" s="29"/>
      <c r="B91" s="30" t="s">
        <v>358</v>
      </c>
      <c r="C91" s="31" t="s">
        <v>191</v>
      </c>
      <c r="D91" s="31" t="s">
        <v>108</v>
      </c>
      <c r="E91" s="32" t="n">
        <v>8906</v>
      </c>
      <c r="F91" s="32"/>
      <c r="G91" s="32"/>
      <c r="H91" s="33" t="n">
        <v>2</v>
      </c>
      <c r="I91" s="34" t="n">
        <f aca="false">E91*H91+N(F91)+N(G91)</f>
        <v>17812</v>
      </c>
      <c r="J91" s="32" t="n">
        <f aca="false">ROUND(IFERROR(ROUND(IF(OR(ISNUMBER(SEARCH("week",C91)),ISNUMBER(SEARCH("minggu",C91))),IFERROR(_xlfn.NUMBERVALUE(SUBSTITUTE(LEFT(TRIM(C91),FIND(" ",TRIM(C91)&amp;" ")-1),",","."),"."),LEFT(SUBSTITUTE(LEFT(TRIM(C91),FIND(" ",TRIM(C91)&amp;" ")-1),",","."),FIND("/",SUBSTITUTE(LEFT(TRIM(C91),FIND(" ",TRIM(C91)&amp;" ")-1),",","."))-1)/MID(SUBSTITUTE(LEFT(TRIM(C91),FIND(" ",TRIM(C91)&amp;" ")-1),",","."),FIND("/",SUBSTITUTE(LEFT(TRIM(C91),FIND(" ",TRIM(C91)&amp;" ")-1),",","."))+1,9))*12/52,IF(ISNUMBER(SEARCH("month",C91)),IFERROR(_xlfn.NUMBERVALUE(SUBSTITUTE(LEFT(TRIM(C91),FIND(" ",TRIM(C91)&amp;" ")-1),",","."),"."),LEFT(SUBSTITUTE(LEFT(TRIM(C91),FIND(" ",TRIM(C91)&amp;" ")-1),",","."),FIND("/",SUBSTITUTE(LEFT(TRIM(C91),FIND(" ",TRIM(C91)&amp;" ")-1),",","."))-1)/MID(SUBSTITUTE(LEFT(TRIM(C91),FIND(" ",TRIM(C91)&amp;" ")-1),",","."),FIND("/",SUBSTITUTE(LEFT(TRIM(C91),FIND(" ",TRIM(C91)&amp;" ")-1),",","."))+1,9)),IF(ISNUMBER(SEARCH("yea",C91)),IFERROR(_xlfn.NUMBERVALUE(SUBSTITUTE(LEFT(TRIM(C91),FIND(" ",TRIM(C91)&amp;" ")-1),",","."),"."),LEFT(SUBSTITUTE(LEFT(TRIM(C91),FIND(" ",TRIM(C91)&amp;" ")-1),",","."),FIND("/",SUBSTITUTE(LEFT(TRIM(C91),FIND(" ",TRIM(C91)&amp;" ")-1),",","."))-1)/MID(SUBSTITUTE(LEFT(TRIM(C91),FIND(" ",TRIM(C91)&amp;" ")-1),",","."),FIND("/",SUBSTITUTE(LEFT(TRIM(C91),FIND(" ",TRIM(C91)&amp;" ")-1),",","."))+1,9))*12,NA()))),0),48)*'Aturan &amp; Tarif'!$B$4,2)</f>
        <v>2725.44</v>
      </c>
      <c r="K91" s="32" t="n">
        <f aca="false">'Aturan &amp; Tarif'!$B$5</f>
        <v>2050</v>
      </c>
      <c r="L91" s="35" t="n">
        <f aca="false">I91+J91+K91</f>
        <v>22587.44</v>
      </c>
      <c r="M91" s="37" t="s">
        <v>318</v>
      </c>
    </row>
    <row r="92" customFormat="false" ht="14.25" hidden="false" customHeight="true" outlineLevel="0" collapsed="false">
      <c r="A92" s="29"/>
      <c r="B92" s="30" t="s">
        <v>237</v>
      </c>
      <c r="C92" s="31" t="s">
        <v>191</v>
      </c>
      <c r="D92" s="31" t="s">
        <v>108</v>
      </c>
      <c r="E92" s="32" t="n">
        <v>8906</v>
      </c>
      <c r="F92" s="32"/>
      <c r="G92" s="32"/>
      <c r="H92" s="33" t="n">
        <v>2</v>
      </c>
      <c r="I92" s="34" t="n">
        <f aca="false">E92*H92+N(F92)+N(G92)</f>
        <v>17812</v>
      </c>
      <c r="J92" s="32" t="n">
        <f aca="false">ROUND(IFERROR(ROUND(IF(OR(ISNUMBER(SEARCH("week",C92)),ISNUMBER(SEARCH("minggu",C92))),IFERROR(_xlfn.NUMBERVALUE(SUBSTITUTE(LEFT(TRIM(C92),FIND(" ",TRIM(C92)&amp;" ")-1),",","."),"."),LEFT(SUBSTITUTE(LEFT(TRIM(C92),FIND(" ",TRIM(C92)&amp;" ")-1),",","."),FIND("/",SUBSTITUTE(LEFT(TRIM(C92),FIND(" ",TRIM(C92)&amp;" ")-1),",","."))-1)/MID(SUBSTITUTE(LEFT(TRIM(C92),FIND(" ",TRIM(C92)&amp;" ")-1),",","."),FIND("/",SUBSTITUTE(LEFT(TRIM(C92),FIND(" ",TRIM(C92)&amp;" ")-1),",","."))+1,9))*12/52,IF(ISNUMBER(SEARCH("month",C92)),IFERROR(_xlfn.NUMBERVALUE(SUBSTITUTE(LEFT(TRIM(C92),FIND(" ",TRIM(C92)&amp;" ")-1),",","."),"."),LEFT(SUBSTITUTE(LEFT(TRIM(C92),FIND(" ",TRIM(C92)&amp;" ")-1),",","."),FIND("/",SUBSTITUTE(LEFT(TRIM(C92),FIND(" ",TRIM(C92)&amp;" ")-1),",","."))-1)/MID(SUBSTITUTE(LEFT(TRIM(C92),FIND(" ",TRIM(C92)&amp;" ")-1),",","."),FIND("/",SUBSTITUTE(LEFT(TRIM(C92),FIND(" ",TRIM(C92)&amp;" ")-1),",","."))+1,9)),IF(ISNUMBER(SEARCH("yea",C92)),IFERROR(_xlfn.NUMBERVALUE(SUBSTITUTE(LEFT(TRIM(C92),FIND(" ",TRIM(C92)&amp;" ")-1),",","."),"."),LEFT(SUBSTITUTE(LEFT(TRIM(C92),FIND(" ",TRIM(C92)&amp;" ")-1),",","."),FIND("/",SUBSTITUTE(LEFT(TRIM(C92),FIND(" ",TRIM(C92)&amp;" ")-1),",","."))-1)/MID(SUBSTITUTE(LEFT(TRIM(C92),FIND(" ",TRIM(C92)&amp;" ")-1),",","."),FIND("/",SUBSTITUTE(LEFT(TRIM(C92),FIND(" ",TRIM(C92)&amp;" ")-1),",","."))+1,9))*12,NA()))),0),48)*'Aturan &amp; Tarif'!$B$4,2)</f>
        <v>2725.44</v>
      </c>
      <c r="K92" s="32" t="n">
        <f aca="false">'Aturan &amp; Tarif'!$B$5</f>
        <v>2050</v>
      </c>
      <c r="L92" s="35" t="n">
        <f aca="false">I92+J92+K92</f>
        <v>22587.44</v>
      </c>
      <c r="M92" s="37" t="s">
        <v>318</v>
      </c>
    </row>
    <row r="93" customFormat="false" ht="25.5" hidden="false" customHeight="true" outlineLevel="0" collapsed="false">
      <c r="A93" s="29"/>
      <c r="B93" s="30" t="s">
        <v>359</v>
      </c>
      <c r="C93" s="31" t="s">
        <v>191</v>
      </c>
      <c r="D93" s="31" t="s">
        <v>108</v>
      </c>
      <c r="E93" s="32" t="n">
        <v>8906</v>
      </c>
      <c r="F93" s="32"/>
      <c r="G93" s="32"/>
      <c r="H93" s="33" t="n">
        <v>2</v>
      </c>
      <c r="I93" s="34" t="n">
        <f aca="false">E93*H93+N(F93)+N(G93)</f>
        <v>17812</v>
      </c>
      <c r="J93" s="32" t="n">
        <f aca="false">ROUND(IFERROR(ROUND(IF(OR(ISNUMBER(SEARCH("week",C93)),ISNUMBER(SEARCH("minggu",C93))),IFERROR(_xlfn.NUMBERVALUE(SUBSTITUTE(LEFT(TRIM(C93),FIND(" ",TRIM(C93)&amp;" ")-1),",","."),"."),LEFT(SUBSTITUTE(LEFT(TRIM(C93),FIND(" ",TRIM(C93)&amp;" ")-1),",","."),FIND("/",SUBSTITUTE(LEFT(TRIM(C93),FIND(" ",TRIM(C93)&amp;" ")-1),",","."))-1)/MID(SUBSTITUTE(LEFT(TRIM(C93),FIND(" ",TRIM(C93)&amp;" ")-1),",","."),FIND("/",SUBSTITUTE(LEFT(TRIM(C93),FIND(" ",TRIM(C93)&amp;" ")-1),",","."))+1,9))*12/52,IF(ISNUMBER(SEARCH("month",C93)),IFERROR(_xlfn.NUMBERVALUE(SUBSTITUTE(LEFT(TRIM(C93),FIND(" ",TRIM(C93)&amp;" ")-1),",","."),"."),LEFT(SUBSTITUTE(LEFT(TRIM(C93),FIND(" ",TRIM(C93)&amp;" ")-1),",","."),FIND("/",SUBSTITUTE(LEFT(TRIM(C93),FIND(" ",TRIM(C93)&amp;" ")-1),",","."))-1)/MID(SUBSTITUTE(LEFT(TRIM(C93),FIND(" ",TRIM(C93)&amp;" ")-1),",","."),FIND("/",SUBSTITUTE(LEFT(TRIM(C93),FIND(" ",TRIM(C93)&amp;" ")-1),",","."))+1,9)),IF(ISNUMBER(SEARCH("yea",C93)),IFERROR(_xlfn.NUMBERVALUE(SUBSTITUTE(LEFT(TRIM(C93),FIND(" ",TRIM(C93)&amp;" ")-1),",","."),"."),LEFT(SUBSTITUTE(LEFT(TRIM(C93),FIND(" ",TRIM(C93)&amp;" ")-1),",","."),FIND("/",SUBSTITUTE(LEFT(TRIM(C93),FIND(" ",TRIM(C93)&amp;" ")-1),",","."))-1)/MID(SUBSTITUTE(LEFT(TRIM(C93),FIND(" ",TRIM(C93)&amp;" ")-1),",","."),FIND("/",SUBSTITUTE(LEFT(TRIM(C93),FIND(" ",TRIM(C93)&amp;" ")-1),",","."))+1,9))*12,NA()))),0),48)*'Aturan &amp; Tarif'!$B$4,2)</f>
        <v>2725.44</v>
      </c>
      <c r="K93" s="32" t="n">
        <f aca="false">'Aturan &amp; Tarif'!$B$5</f>
        <v>2050</v>
      </c>
      <c r="L93" s="35" t="n">
        <f aca="false">I93+J93+K93</f>
        <v>22587.44</v>
      </c>
      <c r="M93" s="37" t="s">
        <v>318</v>
      </c>
    </row>
    <row r="94" customFormat="false" ht="14.25" hidden="false" customHeight="true" outlineLevel="0" collapsed="false">
      <c r="A94" s="29"/>
      <c r="B94" s="30" t="s">
        <v>360</v>
      </c>
      <c r="C94" s="31" t="s">
        <v>191</v>
      </c>
      <c r="D94" s="31" t="s">
        <v>108</v>
      </c>
      <c r="E94" s="32" t="n">
        <v>8906</v>
      </c>
      <c r="F94" s="32"/>
      <c r="G94" s="32"/>
      <c r="H94" s="33" t="n">
        <v>2</v>
      </c>
      <c r="I94" s="34" t="n">
        <f aca="false">E94*H94+N(F94)+N(G94)</f>
        <v>17812</v>
      </c>
      <c r="J94" s="32" t="n">
        <f aca="false">ROUND(IFERROR(ROUND(IF(OR(ISNUMBER(SEARCH("week",C94)),ISNUMBER(SEARCH("minggu",C94))),IFERROR(_xlfn.NUMBERVALUE(SUBSTITUTE(LEFT(TRIM(C94),FIND(" ",TRIM(C94)&amp;" ")-1),",","."),"."),LEFT(SUBSTITUTE(LEFT(TRIM(C94),FIND(" ",TRIM(C94)&amp;" ")-1),",","."),FIND("/",SUBSTITUTE(LEFT(TRIM(C94),FIND(" ",TRIM(C94)&amp;" ")-1),",","."))-1)/MID(SUBSTITUTE(LEFT(TRIM(C94),FIND(" ",TRIM(C94)&amp;" ")-1),",","."),FIND("/",SUBSTITUTE(LEFT(TRIM(C94),FIND(" ",TRIM(C94)&amp;" ")-1),",","."))+1,9))*12/52,IF(ISNUMBER(SEARCH("month",C94)),IFERROR(_xlfn.NUMBERVALUE(SUBSTITUTE(LEFT(TRIM(C94),FIND(" ",TRIM(C94)&amp;" ")-1),",","."),"."),LEFT(SUBSTITUTE(LEFT(TRIM(C94),FIND(" ",TRIM(C94)&amp;" ")-1),",","."),FIND("/",SUBSTITUTE(LEFT(TRIM(C94),FIND(" ",TRIM(C94)&amp;" ")-1),",","."))-1)/MID(SUBSTITUTE(LEFT(TRIM(C94),FIND(" ",TRIM(C94)&amp;" ")-1),",","."),FIND("/",SUBSTITUTE(LEFT(TRIM(C94),FIND(" ",TRIM(C94)&amp;" ")-1),",","."))+1,9)),IF(ISNUMBER(SEARCH("yea",C94)),IFERROR(_xlfn.NUMBERVALUE(SUBSTITUTE(LEFT(TRIM(C94),FIND(" ",TRIM(C94)&amp;" ")-1),",","."),"."),LEFT(SUBSTITUTE(LEFT(TRIM(C94),FIND(" ",TRIM(C94)&amp;" ")-1),",","."),FIND("/",SUBSTITUTE(LEFT(TRIM(C94),FIND(" ",TRIM(C94)&amp;" ")-1),",","."))-1)/MID(SUBSTITUTE(LEFT(TRIM(C94),FIND(" ",TRIM(C94)&amp;" ")-1),",","."),FIND("/",SUBSTITUTE(LEFT(TRIM(C94),FIND(" ",TRIM(C94)&amp;" ")-1),",","."))+1,9))*12,NA()))),0),48)*'Aturan &amp; Tarif'!$B$4,2)</f>
        <v>2725.44</v>
      </c>
      <c r="K94" s="32" t="n">
        <f aca="false">'Aturan &amp; Tarif'!$B$5</f>
        <v>2050</v>
      </c>
      <c r="L94" s="35" t="n">
        <f aca="false">I94+J94+K94</f>
        <v>22587.44</v>
      </c>
      <c r="M94" s="37" t="s">
        <v>318</v>
      </c>
    </row>
    <row r="95" customFormat="false" ht="25.5" hidden="false" customHeight="true" outlineLevel="0" collapsed="false">
      <c r="A95" s="29"/>
      <c r="B95" s="30" t="s">
        <v>361</v>
      </c>
      <c r="C95" s="31" t="s">
        <v>191</v>
      </c>
      <c r="D95" s="31" t="s">
        <v>108</v>
      </c>
      <c r="E95" s="32" t="n">
        <v>8906</v>
      </c>
      <c r="F95" s="32"/>
      <c r="G95" s="32"/>
      <c r="H95" s="33" t="n">
        <v>2</v>
      </c>
      <c r="I95" s="34" t="n">
        <f aca="false">E95*H95+N(F95)+N(G95)</f>
        <v>17812</v>
      </c>
      <c r="J95" s="32" t="n">
        <f aca="false">ROUND(IFERROR(ROUND(IF(OR(ISNUMBER(SEARCH("week",C95)),ISNUMBER(SEARCH("minggu",C95))),IFERROR(_xlfn.NUMBERVALUE(SUBSTITUTE(LEFT(TRIM(C95),FIND(" ",TRIM(C95)&amp;" ")-1),",","."),"."),LEFT(SUBSTITUTE(LEFT(TRIM(C95),FIND(" ",TRIM(C95)&amp;" ")-1),",","."),FIND("/",SUBSTITUTE(LEFT(TRIM(C95),FIND(" ",TRIM(C95)&amp;" ")-1),",","."))-1)/MID(SUBSTITUTE(LEFT(TRIM(C95),FIND(" ",TRIM(C95)&amp;" ")-1),",","."),FIND("/",SUBSTITUTE(LEFT(TRIM(C95),FIND(" ",TRIM(C95)&amp;" ")-1),",","."))+1,9))*12/52,IF(ISNUMBER(SEARCH("month",C95)),IFERROR(_xlfn.NUMBERVALUE(SUBSTITUTE(LEFT(TRIM(C95),FIND(" ",TRIM(C95)&amp;" ")-1),",","."),"."),LEFT(SUBSTITUTE(LEFT(TRIM(C95),FIND(" ",TRIM(C95)&amp;" ")-1),",","."),FIND("/",SUBSTITUTE(LEFT(TRIM(C95),FIND(" ",TRIM(C95)&amp;" ")-1),",","."))-1)/MID(SUBSTITUTE(LEFT(TRIM(C95),FIND(" ",TRIM(C95)&amp;" ")-1),",","."),FIND("/",SUBSTITUTE(LEFT(TRIM(C95),FIND(" ",TRIM(C95)&amp;" ")-1),",","."))+1,9)),IF(ISNUMBER(SEARCH("yea",C95)),IFERROR(_xlfn.NUMBERVALUE(SUBSTITUTE(LEFT(TRIM(C95),FIND(" ",TRIM(C95)&amp;" ")-1),",","."),"."),LEFT(SUBSTITUTE(LEFT(TRIM(C95),FIND(" ",TRIM(C95)&amp;" ")-1),",","."),FIND("/",SUBSTITUTE(LEFT(TRIM(C95),FIND(" ",TRIM(C95)&amp;" ")-1),",","."))-1)/MID(SUBSTITUTE(LEFT(TRIM(C95),FIND(" ",TRIM(C95)&amp;" ")-1),",","."),FIND("/",SUBSTITUTE(LEFT(TRIM(C95),FIND(" ",TRIM(C95)&amp;" ")-1),",","."))+1,9))*12,NA()))),0),48)*'Aturan &amp; Tarif'!$B$4,2)</f>
        <v>2725.44</v>
      </c>
      <c r="K95" s="32" t="n">
        <f aca="false">'Aturan &amp; Tarif'!$B$5</f>
        <v>2050</v>
      </c>
      <c r="L95" s="35" t="n">
        <f aca="false">I95+J95+K95</f>
        <v>22587.44</v>
      </c>
      <c r="M95" s="37" t="s">
        <v>318</v>
      </c>
    </row>
    <row r="96" customFormat="false" ht="37.5" hidden="false" customHeight="true" outlineLevel="0" collapsed="false">
      <c r="A96" s="29"/>
      <c r="B96" s="30" t="s">
        <v>362</v>
      </c>
      <c r="C96" s="31" t="s">
        <v>191</v>
      </c>
      <c r="D96" s="31" t="s">
        <v>108</v>
      </c>
      <c r="E96" s="32" t="n">
        <v>8906</v>
      </c>
      <c r="F96" s="32"/>
      <c r="G96" s="32"/>
      <c r="H96" s="33" t="n">
        <v>2</v>
      </c>
      <c r="I96" s="34" t="n">
        <f aca="false">E96*H96+N(F96)+N(G96)</f>
        <v>17812</v>
      </c>
      <c r="J96" s="32" t="n">
        <f aca="false">ROUND(IFERROR(ROUND(IF(OR(ISNUMBER(SEARCH("week",C96)),ISNUMBER(SEARCH("minggu",C96))),IFERROR(_xlfn.NUMBERVALUE(SUBSTITUTE(LEFT(TRIM(C96),FIND(" ",TRIM(C96)&amp;" ")-1),",","."),"."),LEFT(SUBSTITUTE(LEFT(TRIM(C96),FIND(" ",TRIM(C96)&amp;" ")-1),",","."),FIND("/",SUBSTITUTE(LEFT(TRIM(C96),FIND(" ",TRIM(C96)&amp;" ")-1),",","."))-1)/MID(SUBSTITUTE(LEFT(TRIM(C96),FIND(" ",TRIM(C96)&amp;" ")-1),",","."),FIND("/",SUBSTITUTE(LEFT(TRIM(C96),FIND(" ",TRIM(C96)&amp;" ")-1),",","."))+1,9))*12/52,IF(ISNUMBER(SEARCH("month",C96)),IFERROR(_xlfn.NUMBERVALUE(SUBSTITUTE(LEFT(TRIM(C96),FIND(" ",TRIM(C96)&amp;" ")-1),",","."),"."),LEFT(SUBSTITUTE(LEFT(TRIM(C96),FIND(" ",TRIM(C96)&amp;" ")-1),",","."),FIND("/",SUBSTITUTE(LEFT(TRIM(C96),FIND(" ",TRIM(C96)&amp;" ")-1),",","."))-1)/MID(SUBSTITUTE(LEFT(TRIM(C96),FIND(" ",TRIM(C96)&amp;" ")-1),",","."),FIND("/",SUBSTITUTE(LEFT(TRIM(C96),FIND(" ",TRIM(C96)&amp;" ")-1),",","."))+1,9)),IF(ISNUMBER(SEARCH("yea",C96)),IFERROR(_xlfn.NUMBERVALUE(SUBSTITUTE(LEFT(TRIM(C96),FIND(" ",TRIM(C96)&amp;" ")-1),",","."),"."),LEFT(SUBSTITUTE(LEFT(TRIM(C96),FIND(" ",TRIM(C96)&amp;" ")-1),",","."),FIND("/",SUBSTITUTE(LEFT(TRIM(C96),FIND(" ",TRIM(C96)&amp;" ")-1),",","."))-1)/MID(SUBSTITUTE(LEFT(TRIM(C96),FIND(" ",TRIM(C96)&amp;" ")-1),",","."),FIND("/",SUBSTITUTE(LEFT(TRIM(C96),FIND(" ",TRIM(C96)&amp;" ")-1),",","."))+1,9))*12,NA()))),0),48)*'Aturan &amp; Tarif'!$B$4,2)</f>
        <v>2725.44</v>
      </c>
      <c r="K96" s="32" t="n">
        <f aca="false">'Aturan &amp; Tarif'!$B$5</f>
        <v>2050</v>
      </c>
      <c r="L96" s="35" t="n">
        <f aca="false">I96+J96+K96</f>
        <v>22587.44</v>
      </c>
      <c r="M96" s="37" t="s">
        <v>318</v>
      </c>
    </row>
    <row r="97" customFormat="false" ht="25.5" hidden="false" customHeight="true" outlineLevel="0" collapsed="false">
      <c r="A97" s="29"/>
      <c r="B97" s="30" t="s">
        <v>363</v>
      </c>
      <c r="C97" s="31" t="s">
        <v>191</v>
      </c>
      <c r="D97" s="31" t="s">
        <v>108</v>
      </c>
      <c r="E97" s="32" t="n">
        <v>8906</v>
      </c>
      <c r="F97" s="32"/>
      <c r="G97" s="32"/>
      <c r="H97" s="33" t="n">
        <v>2</v>
      </c>
      <c r="I97" s="34" t="n">
        <f aca="false">E97*H97+N(F97)+N(G97)</f>
        <v>17812</v>
      </c>
      <c r="J97" s="32" t="n">
        <f aca="false">ROUND(IFERROR(ROUND(IF(OR(ISNUMBER(SEARCH("week",C97)),ISNUMBER(SEARCH("minggu",C97))),IFERROR(_xlfn.NUMBERVALUE(SUBSTITUTE(LEFT(TRIM(C97),FIND(" ",TRIM(C97)&amp;" ")-1),",","."),"."),LEFT(SUBSTITUTE(LEFT(TRIM(C97),FIND(" ",TRIM(C97)&amp;" ")-1),",","."),FIND("/",SUBSTITUTE(LEFT(TRIM(C97),FIND(" ",TRIM(C97)&amp;" ")-1),",","."))-1)/MID(SUBSTITUTE(LEFT(TRIM(C97),FIND(" ",TRIM(C97)&amp;" ")-1),",","."),FIND("/",SUBSTITUTE(LEFT(TRIM(C97),FIND(" ",TRIM(C97)&amp;" ")-1),",","."))+1,9))*12/52,IF(ISNUMBER(SEARCH("month",C97)),IFERROR(_xlfn.NUMBERVALUE(SUBSTITUTE(LEFT(TRIM(C97),FIND(" ",TRIM(C97)&amp;" ")-1),",","."),"."),LEFT(SUBSTITUTE(LEFT(TRIM(C97),FIND(" ",TRIM(C97)&amp;" ")-1),",","."),FIND("/",SUBSTITUTE(LEFT(TRIM(C97),FIND(" ",TRIM(C97)&amp;" ")-1),",","."))-1)/MID(SUBSTITUTE(LEFT(TRIM(C97),FIND(" ",TRIM(C97)&amp;" ")-1),",","."),FIND("/",SUBSTITUTE(LEFT(TRIM(C97),FIND(" ",TRIM(C97)&amp;" ")-1),",","."))+1,9)),IF(ISNUMBER(SEARCH("yea",C97)),IFERROR(_xlfn.NUMBERVALUE(SUBSTITUTE(LEFT(TRIM(C97),FIND(" ",TRIM(C97)&amp;" ")-1),",","."),"."),LEFT(SUBSTITUTE(LEFT(TRIM(C97),FIND(" ",TRIM(C97)&amp;" ")-1),",","."),FIND("/",SUBSTITUTE(LEFT(TRIM(C97),FIND(" ",TRIM(C97)&amp;" ")-1),",","."))-1)/MID(SUBSTITUTE(LEFT(TRIM(C97),FIND(" ",TRIM(C97)&amp;" ")-1),",","."),FIND("/",SUBSTITUTE(LEFT(TRIM(C97),FIND(" ",TRIM(C97)&amp;" ")-1),",","."))+1,9))*12,NA()))),0),48)*'Aturan &amp; Tarif'!$B$4,2)</f>
        <v>2725.44</v>
      </c>
      <c r="K97" s="32" t="n">
        <f aca="false">'Aturan &amp; Tarif'!$B$5</f>
        <v>2050</v>
      </c>
      <c r="L97" s="35" t="n">
        <f aca="false">I97+J97+K97</f>
        <v>22587.44</v>
      </c>
      <c r="M97" s="37" t="s">
        <v>318</v>
      </c>
    </row>
    <row r="98" customFormat="false" ht="25.5" hidden="false" customHeight="true" outlineLevel="0" collapsed="false">
      <c r="A98" s="29"/>
      <c r="B98" s="30" t="s">
        <v>364</v>
      </c>
      <c r="C98" s="31" t="s">
        <v>191</v>
      </c>
      <c r="D98" s="31" t="s">
        <v>108</v>
      </c>
      <c r="E98" s="32" t="n">
        <v>8906</v>
      </c>
      <c r="F98" s="32"/>
      <c r="G98" s="32"/>
      <c r="H98" s="33" t="n">
        <v>2</v>
      </c>
      <c r="I98" s="34" t="n">
        <f aca="false">E98*H98+N(F98)+N(G98)</f>
        <v>17812</v>
      </c>
      <c r="J98" s="32" t="n">
        <f aca="false">ROUND(IFERROR(ROUND(IF(OR(ISNUMBER(SEARCH("week",C98)),ISNUMBER(SEARCH("minggu",C98))),IFERROR(_xlfn.NUMBERVALUE(SUBSTITUTE(LEFT(TRIM(C98),FIND(" ",TRIM(C98)&amp;" ")-1),",","."),"."),LEFT(SUBSTITUTE(LEFT(TRIM(C98),FIND(" ",TRIM(C98)&amp;" ")-1),",","."),FIND("/",SUBSTITUTE(LEFT(TRIM(C98),FIND(" ",TRIM(C98)&amp;" ")-1),",","."))-1)/MID(SUBSTITUTE(LEFT(TRIM(C98),FIND(" ",TRIM(C98)&amp;" ")-1),",","."),FIND("/",SUBSTITUTE(LEFT(TRIM(C98),FIND(" ",TRIM(C98)&amp;" ")-1),",","."))+1,9))*12/52,IF(ISNUMBER(SEARCH("month",C98)),IFERROR(_xlfn.NUMBERVALUE(SUBSTITUTE(LEFT(TRIM(C98),FIND(" ",TRIM(C98)&amp;" ")-1),",","."),"."),LEFT(SUBSTITUTE(LEFT(TRIM(C98),FIND(" ",TRIM(C98)&amp;" ")-1),",","."),FIND("/",SUBSTITUTE(LEFT(TRIM(C98),FIND(" ",TRIM(C98)&amp;" ")-1),",","."))-1)/MID(SUBSTITUTE(LEFT(TRIM(C98),FIND(" ",TRIM(C98)&amp;" ")-1),",","."),FIND("/",SUBSTITUTE(LEFT(TRIM(C98),FIND(" ",TRIM(C98)&amp;" ")-1),",","."))+1,9)),IF(ISNUMBER(SEARCH("yea",C98)),IFERROR(_xlfn.NUMBERVALUE(SUBSTITUTE(LEFT(TRIM(C98),FIND(" ",TRIM(C98)&amp;" ")-1),",","."),"."),LEFT(SUBSTITUTE(LEFT(TRIM(C98),FIND(" ",TRIM(C98)&amp;" ")-1),",","."),FIND("/",SUBSTITUTE(LEFT(TRIM(C98),FIND(" ",TRIM(C98)&amp;" ")-1),",","."))-1)/MID(SUBSTITUTE(LEFT(TRIM(C98),FIND(" ",TRIM(C98)&amp;" ")-1),",","."),FIND("/",SUBSTITUTE(LEFT(TRIM(C98),FIND(" ",TRIM(C98)&amp;" ")-1),",","."))+1,9))*12,NA()))),0),48)*'Aturan &amp; Tarif'!$B$4,2)</f>
        <v>2725.44</v>
      </c>
      <c r="K98" s="32" t="n">
        <f aca="false">'Aturan &amp; Tarif'!$B$5</f>
        <v>2050</v>
      </c>
      <c r="L98" s="35" t="n">
        <f aca="false">I98+J98+K98</f>
        <v>22587.44</v>
      </c>
      <c r="M98" s="37" t="s">
        <v>318</v>
      </c>
    </row>
    <row r="99" customFormat="false" ht="25.5" hidden="false" customHeight="true" outlineLevel="0" collapsed="false">
      <c r="A99" s="29"/>
      <c r="B99" s="30" t="s">
        <v>365</v>
      </c>
      <c r="C99" s="31" t="s">
        <v>191</v>
      </c>
      <c r="D99" s="31" t="s">
        <v>108</v>
      </c>
      <c r="E99" s="32" t="n">
        <v>8906</v>
      </c>
      <c r="F99" s="32"/>
      <c r="G99" s="32"/>
      <c r="H99" s="33" t="n">
        <v>2</v>
      </c>
      <c r="I99" s="34" t="n">
        <f aca="false">E99*H99+N(F99)+N(G99)</f>
        <v>17812</v>
      </c>
      <c r="J99" s="32" t="n">
        <f aca="false">ROUND(IFERROR(ROUND(IF(OR(ISNUMBER(SEARCH("week",C99)),ISNUMBER(SEARCH("minggu",C99))),IFERROR(_xlfn.NUMBERVALUE(SUBSTITUTE(LEFT(TRIM(C99),FIND(" ",TRIM(C99)&amp;" ")-1),",","."),"."),LEFT(SUBSTITUTE(LEFT(TRIM(C99),FIND(" ",TRIM(C99)&amp;" ")-1),",","."),FIND("/",SUBSTITUTE(LEFT(TRIM(C99),FIND(" ",TRIM(C99)&amp;" ")-1),",","."))-1)/MID(SUBSTITUTE(LEFT(TRIM(C99),FIND(" ",TRIM(C99)&amp;" ")-1),",","."),FIND("/",SUBSTITUTE(LEFT(TRIM(C99),FIND(" ",TRIM(C99)&amp;" ")-1),",","."))+1,9))*12/52,IF(ISNUMBER(SEARCH("month",C99)),IFERROR(_xlfn.NUMBERVALUE(SUBSTITUTE(LEFT(TRIM(C99),FIND(" ",TRIM(C99)&amp;" ")-1),",","."),"."),LEFT(SUBSTITUTE(LEFT(TRIM(C99),FIND(" ",TRIM(C99)&amp;" ")-1),",","."),FIND("/",SUBSTITUTE(LEFT(TRIM(C99),FIND(" ",TRIM(C99)&amp;" ")-1),",","."))-1)/MID(SUBSTITUTE(LEFT(TRIM(C99),FIND(" ",TRIM(C99)&amp;" ")-1),",","."),FIND("/",SUBSTITUTE(LEFT(TRIM(C99),FIND(" ",TRIM(C99)&amp;" ")-1),",","."))+1,9)),IF(ISNUMBER(SEARCH("yea",C99)),IFERROR(_xlfn.NUMBERVALUE(SUBSTITUTE(LEFT(TRIM(C99),FIND(" ",TRIM(C99)&amp;" ")-1),",","."),"."),LEFT(SUBSTITUTE(LEFT(TRIM(C99),FIND(" ",TRIM(C99)&amp;" ")-1),",","."),FIND("/",SUBSTITUTE(LEFT(TRIM(C99),FIND(" ",TRIM(C99)&amp;" ")-1),",","."))-1)/MID(SUBSTITUTE(LEFT(TRIM(C99),FIND(" ",TRIM(C99)&amp;" ")-1),",","."),FIND("/",SUBSTITUTE(LEFT(TRIM(C99),FIND(" ",TRIM(C99)&amp;" ")-1),",","."))+1,9))*12,NA()))),0),48)*'Aturan &amp; Tarif'!$B$4,2)</f>
        <v>2725.44</v>
      </c>
      <c r="K99" s="32" t="n">
        <f aca="false">'Aturan &amp; Tarif'!$B$5</f>
        <v>2050</v>
      </c>
      <c r="L99" s="35" t="n">
        <f aca="false">I99+J99+K99</f>
        <v>22587.44</v>
      </c>
      <c r="M99" s="37" t="s">
        <v>318</v>
      </c>
    </row>
    <row r="100" customFormat="false" ht="25.5" hidden="false" customHeight="true" outlineLevel="0" collapsed="false">
      <c r="A100" s="29"/>
      <c r="B100" s="30" t="s">
        <v>366</v>
      </c>
      <c r="C100" s="31" t="s">
        <v>191</v>
      </c>
      <c r="D100" s="31" t="s">
        <v>108</v>
      </c>
      <c r="E100" s="32" t="n">
        <v>8906</v>
      </c>
      <c r="F100" s="32"/>
      <c r="G100" s="32"/>
      <c r="H100" s="33" t="n">
        <v>2</v>
      </c>
      <c r="I100" s="34" t="n">
        <f aca="false">E100*H100+N(F100)+N(G100)</f>
        <v>17812</v>
      </c>
      <c r="J100" s="32" t="n">
        <f aca="false">ROUND(IFERROR(ROUND(IF(OR(ISNUMBER(SEARCH("week",C100)),ISNUMBER(SEARCH("minggu",C100))),IFERROR(_xlfn.NUMBERVALUE(SUBSTITUTE(LEFT(TRIM(C100),FIND(" ",TRIM(C100)&amp;" ")-1),",","."),"."),LEFT(SUBSTITUTE(LEFT(TRIM(C100),FIND(" ",TRIM(C100)&amp;" ")-1),",","."),FIND("/",SUBSTITUTE(LEFT(TRIM(C100),FIND(" ",TRIM(C100)&amp;" ")-1),",","."))-1)/MID(SUBSTITUTE(LEFT(TRIM(C100),FIND(" ",TRIM(C100)&amp;" ")-1),",","."),FIND("/",SUBSTITUTE(LEFT(TRIM(C100),FIND(" ",TRIM(C100)&amp;" ")-1),",","."))+1,9))*12/52,IF(ISNUMBER(SEARCH("month",C100)),IFERROR(_xlfn.NUMBERVALUE(SUBSTITUTE(LEFT(TRIM(C100),FIND(" ",TRIM(C100)&amp;" ")-1),",","."),"."),LEFT(SUBSTITUTE(LEFT(TRIM(C100),FIND(" ",TRIM(C100)&amp;" ")-1),",","."),FIND("/",SUBSTITUTE(LEFT(TRIM(C100),FIND(" ",TRIM(C100)&amp;" ")-1),",","."))-1)/MID(SUBSTITUTE(LEFT(TRIM(C100),FIND(" ",TRIM(C100)&amp;" ")-1),",","."),FIND("/",SUBSTITUTE(LEFT(TRIM(C100),FIND(" ",TRIM(C100)&amp;" ")-1),",","."))+1,9)),IF(ISNUMBER(SEARCH("yea",C100)),IFERROR(_xlfn.NUMBERVALUE(SUBSTITUTE(LEFT(TRIM(C100),FIND(" ",TRIM(C100)&amp;" ")-1),",","."),"."),LEFT(SUBSTITUTE(LEFT(TRIM(C100),FIND(" ",TRIM(C100)&amp;" ")-1),",","."),FIND("/",SUBSTITUTE(LEFT(TRIM(C100),FIND(" ",TRIM(C100)&amp;" ")-1),",","."))-1)/MID(SUBSTITUTE(LEFT(TRIM(C100),FIND(" ",TRIM(C100)&amp;" ")-1),",","."),FIND("/",SUBSTITUTE(LEFT(TRIM(C100),FIND(" ",TRIM(C100)&amp;" ")-1),",","."))+1,9))*12,NA()))),0),48)*'Aturan &amp; Tarif'!$B$4,2)</f>
        <v>2725.44</v>
      </c>
      <c r="K100" s="32" t="n">
        <f aca="false">'Aturan &amp; Tarif'!$B$5</f>
        <v>2050</v>
      </c>
      <c r="L100" s="35" t="n">
        <f aca="false">I100+J100+K100</f>
        <v>22587.44</v>
      </c>
      <c r="M100" s="37" t="s">
        <v>318</v>
      </c>
    </row>
    <row r="101" customFormat="false" ht="14.25" hidden="false" customHeight="true" outlineLevel="0" collapsed="false">
      <c r="A101" s="29"/>
      <c r="B101" s="30" t="s">
        <v>367</v>
      </c>
      <c r="C101" s="31" t="s">
        <v>127</v>
      </c>
      <c r="D101" s="31" t="s">
        <v>108</v>
      </c>
      <c r="E101" s="32" t="n">
        <v>8906</v>
      </c>
      <c r="F101" s="32"/>
      <c r="G101" s="32"/>
      <c r="H101" s="33" t="n">
        <v>2</v>
      </c>
      <c r="I101" s="34" t="n">
        <f aca="false">E101*H101+N(F101)+N(G101)</f>
        <v>17812</v>
      </c>
      <c r="J101" s="32" t="n">
        <f aca="false">ROUND(IFERROR(ROUND(IF(OR(ISNUMBER(SEARCH("week",C101)),ISNUMBER(SEARCH("minggu",C101))),IFERROR(_xlfn.NUMBERVALUE(SUBSTITUTE(LEFT(TRIM(C101),FIND(" ",TRIM(C101)&amp;" ")-1),",","."),"."),LEFT(SUBSTITUTE(LEFT(TRIM(C101),FIND(" ",TRIM(C101)&amp;" ")-1),",","."),FIND("/",SUBSTITUTE(LEFT(TRIM(C101),FIND(" ",TRIM(C101)&amp;" ")-1),",","."))-1)/MID(SUBSTITUTE(LEFT(TRIM(C101),FIND(" ",TRIM(C101)&amp;" ")-1),",","."),FIND("/",SUBSTITUTE(LEFT(TRIM(C101),FIND(" ",TRIM(C101)&amp;" ")-1),",","."))+1,9))*12/52,IF(ISNUMBER(SEARCH("month",C101)),IFERROR(_xlfn.NUMBERVALUE(SUBSTITUTE(LEFT(TRIM(C101),FIND(" ",TRIM(C101)&amp;" ")-1),",","."),"."),LEFT(SUBSTITUTE(LEFT(TRIM(C101),FIND(" ",TRIM(C101)&amp;" ")-1),",","."),FIND("/",SUBSTITUTE(LEFT(TRIM(C101),FIND(" ",TRIM(C101)&amp;" ")-1),",","."))-1)/MID(SUBSTITUTE(LEFT(TRIM(C101),FIND(" ",TRIM(C101)&amp;" ")-1),",","."),FIND("/",SUBSTITUTE(LEFT(TRIM(C101),FIND(" ",TRIM(C101)&amp;" ")-1),",","."))+1,9)),IF(ISNUMBER(SEARCH("yea",C101)),IFERROR(_xlfn.NUMBERVALUE(SUBSTITUTE(LEFT(TRIM(C101),FIND(" ",TRIM(C101)&amp;" ")-1),",","."),"."),LEFT(SUBSTITUTE(LEFT(TRIM(C101),FIND(" ",TRIM(C101)&amp;" ")-1),",","."),FIND("/",SUBSTITUTE(LEFT(TRIM(C101),FIND(" ",TRIM(C101)&amp;" ")-1),",","."))-1)/MID(SUBSTITUTE(LEFT(TRIM(C101),FIND(" ",TRIM(C101)&amp;" ")-1),",","."),FIND("/",SUBSTITUTE(LEFT(TRIM(C101),FIND(" ",TRIM(C101)&amp;" ")-1),",","."))+1,9))*12,NA()))),0),36)*'Aturan &amp; Tarif'!$B$4,2)</f>
        <v>2044.08</v>
      </c>
      <c r="K101" s="32" t="n">
        <f aca="false">'Aturan &amp; Tarif'!$B$5</f>
        <v>2050</v>
      </c>
      <c r="L101" s="35" t="n">
        <f aca="false">I101+J101+K101</f>
        <v>21906.08</v>
      </c>
      <c r="M101" s="37" t="s">
        <v>318</v>
      </c>
    </row>
    <row r="102" customFormat="false" ht="25.5" hidden="false" customHeight="true" outlineLevel="0" collapsed="false">
      <c r="A102" s="29"/>
      <c r="B102" s="30" t="s">
        <v>368</v>
      </c>
      <c r="C102" s="31" t="s">
        <v>191</v>
      </c>
      <c r="D102" s="31" t="s">
        <v>108</v>
      </c>
      <c r="E102" s="32" t="n">
        <v>8906</v>
      </c>
      <c r="F102" s="32"/>
      <c r="G102" s="32"/>
      <c r="H102" s="33" t="n">
        <v>2</v>
      </c>
      <c r="I102" s="34" t="n">
        <f aca="false">E102*H102+N(F102)+N(G102)</f>
        <v>17812</v>
      </c>
      <c r="J102" s="32" t="n">
        <f aca="false">ROUND(IFERROR(ROUND(IF(OR(ISNUMBER(SEARCH("week",C102)),ISNUMBER(SEARCH("minggu",C102))),IFERROR(_xlfn.NUMBERVALUE(SUBSTITUTE(LEFT(TRIM(C102),FIND(" ",TRIM(C102)&amp;" ")-1),",","."),"."),LEFT(SUBSTITUTE(LEFT(TRIM(C102),FIND(" ",TRIM(C102)&amp;" ")-1),",","."),FIND("/",SUBSTITUTE(LEFT(TRIM(C102),FIND(" ",TRIM(C102)&amp;" ")-1),",","."))-1)/MID(SUBSTITUTE(LEFT(TRIM(C102),FIND(" ",TRIM(C102)&amp;" ")-1),",","."),FIND("/",SUBSTITUTE(LEFT(TRIM(C102),FIND(" ",TRIM(C102)&amp;" ")-1),",","."))+1,9))*12/52,IF(ISNUMBER(SEARCH("month",C102)),IFERROR(_xlfn.NUMBERVALUE(SUBSTITUTE(LEFT(TRIM(C102),FIND(" ",TRIM(C102)&amp;" ")-1),",","."),"."),LEFT(SUBSTITUTE(LEFT(TRIM(C102),FIND(" ",TRIM(C102)&amp;" ")-1),",","."),FIND("/",SUBSTITUTE(LEFT(TRIM(C102),FIND(" ",TRIM(C102)&amp;" ")-1),",","."))-1)/MID(SUBSTITUTE(LEFT(TRIM(C102),FIND(" ",TRIM(C102)&amp;" ")-1),",","."),FIND("/",SUBSTITUTE(LEFT(TRIM(C102),FIND(" ",TRIM(C102)&amp;" ")-1),",","."))+1,9)),IF(ISNUMBER(SEARCH("yea",C102)),IFERROR(_xlfn.NUMBERVALUE(SUBSTITUTE(LEFT(TRIM(C102),FIND(" ",TRIM(C102)&amp;" ")-1),",","."),"."),LEFT(SUBSTITUTE(LEFT(TRIM(C102),FIND(" ",TRIM(C102)&amp;" ")-1),",","."),FIND("/",SUBSTITUTE(LEFT(TRIM(C102),FIND(" ",TRIM(C102)&amp;" ")-1),",","."))-1)/MID(SUBSTITUTE(LEFT(TRIM(C102),FIND(" ",TRIM(C102)&amp;" ")-1),",","."),FIND("/",SUBSTITUTE(LEFT(TRIM(C102),FIND(" ",TRIM(C102)&amp;" ")-1),",","."))+1,9))*12,NA()))),0),48)*'Aturan &amp; Tarif'!$B$4,2)</f>
        <v>2725.44</v>
      </c>
      <c r="K102" s="32" t="n">
        <f aca="false">'Aturan &amp; Tarif'!$B$5</f>
        <v>2050</v>
      </c>
      <c r="L102" s="35" t="n">
        <f aca="false">I102+J102+K102</f>
        <v>22587.44</v>
      </c>
      <c r="M102" s="37" t="s">
        <v>318</v>
      </c>
    </row>
    <row r="103" customFormat="false" ht="25.5" hidden="false" customHeight="true" outlineLevel="0" collapsed="false">
      <c r="A103" s="29"/>
      <c r="B103" s="30" t="s">
        <v>369</v>
      </c>
      <c r="C103" s="31" t="s">
        <v>191</v>
      </c>
      <c r="D103" s="31" t="s">
        <v>108</v>
      </c>
      <c r="E103" s="32" t="n">
        <v>8906</v>
      </c>
      <c r="F103" s="32"/>
      <c r="G103" s="32"/>
      <c r="H103" s="33" t="n">
        <v>2</v>
      </c>
      <c r="I103" s="34" t="n">
        <f aca="false">E103*H103+N(F103)+N(G103)</f>
        <v>17812</v>
      </c>
      <c r="J103" s="32" t="n">
        <f aca="false">ROUND(IFERROR(ROUND(IF(OR(ISNUMBER(SEARCH("week",C103)),ISNUMBER(SEARCH("minggu",C103))),IFERROR(_xlfn.NUMBERVALUE(SUBSTITUTE(LEFT(TRIM(C103),FIND(" ",TRIM(C103)&amp;" ")-1),",","."),"."),LEFT(SUBSTITUTE(LEFT(TRIM(C103),FIND(" ",TRIM(C103)&amp;" ")-1),",","."),FIND("/",SUBSTITUTE(LEFT(TRIM(C103),FIND(" ",TRIM(C103)&amp;" ")-1),",","."))-1)/MID(SUBSTITUTE(LEFT(TRIM(C103),FIND(" ",TRIM(C103)&amp;" ")-1),",","."),FIND("/",SUBSTITUTE(LEFT(TRIM(C103),FIND(" ",TRIM(C103)&amp;" ")-1),",","."))+1,9))*12/52,IF(ISNUMBER(SEARCH("month",C103)),IFERROR(_xlfn.NUMBERVALUE(SUBSTITUTE(LEFT(TRIM(C103),FIND(" ",TRIM(C103)&amp;" ")-1),",","."),"."),LEFT(SUBSTITUTE(LEFT(TRIM(C103),FIND(" ",TRIM(C103)&amp;" ")-1),",","."),FIND("/",SUBSTITUTE(LEFT(TRIM(C103),FIND(" ",TRIM(C103)&amp;" ")-1),",","."))-1)/MID(SUBSTITUTE(LEFT(TRIM(C103),FIND(" ",TRIM(C103)&amp;" ")-1),",","."),FIND("/",SUBSTITUTE(LEFT(TRIM(C103),FIND(" ",TRIM(C103)&amp;" ")-1),",","."))+1,9)),IF(ISNUMBER(SEARCH("yea",C103)),IFERROR(_xlfn.NUMBERVALUE(SUBSTITUTE(LEFT(TRIM(C103),FIND(" ",TRIM(C103)&amp;" ")-1),",","."),"."),LEFT(SUBSTITUTE(LEFT(TRIM(C103),FIND(" ",TRIM(C103)&amp;" ")-1),",","."),FIND("/",SUBSTITUTE(LEFT(TRIM(C103),FIND(" ",TRIM(C103)&amp;" ")-1),",","."))-1)/MID(SUBSTITUTE(LEFT(TRIM(C103),FIND(" ",TRIM(C103)&amp;" ")-1),",","."),FIND("/",SUBSTITUTE(LEFT(TRIM(C103),FIND(" ",TRIM(C103)&amp;" ")-1),",","."))+1,9))*12,NA()))),0),48)*'Aturan &amp; Tarif'!$B$4,2)</f>
        <v>2725.44</v>
      </c>
      <c r="K103" s="32" t="n">
        <f aca="false">'Aturan &amp; Tarif'!$B$5</f>
        <v>2050</v>
      </c>
      <c r="L103" s="35" t="n">
        <f aca="false">I103+J103+K103</f>
        <v>22587.44</v>
      </c>
      <c r="M103" s="37" t="s">
        <v>318</v>
      </c>
    </row>
    <row r="104" customFormat="false" ht="25.5" hidden="false" customHeight="true" outlineLevel="0" collapsed="false">
      <c r="A104" s="29"/>
      <c r="B104" s="30" t="s">
        <v>370</v>
      </c>
      <c r="C104" s="31" t="s">
        <v>191</v>
      </c>
      <c r="D104" s="31" t="s">
        <v>108</v>
      </c>
      <c r="E104" s="32" t="n">
        <v>8906</v>
      </c>
      <c r="F104" s="32"/>
      <c r="G104" s="32"/>
      <c r="H104" s="33" t="n">
        <v>2</v>
      </c>
      <c r="I104" s="34" t="n">
        <f aca="false">E104*H104+N(F104)+N(G104)</f>
        <v>17812</v>
      </c>
      <c r="J104" s="32" t="n">
        <f aca="false">ROUND(IFERROR(ROUND(IF(OR(ISNUMBER(SEARCH("week",C104)),ISNUMBER(SEARCH("minggu",C104))),IFERROR(_xlfn.NUMBERVALUE(SUBSTITUTE(LEFT(TRIM(C104),FIND(" ",TRIM(C104)&amp;" ")-1),",","."),"."),LEFT(SUBSTITUTE(LEFT(TRIM(C104),FIND(" ",TRIM(C104)&amp;" ")-1),",","."),FIND("/",SUBSTITUTE(LEFT(TRIM(C104),FIND(" ",TRIM(C104)&amp;" ")-1),",","."))-1)/MID(SUBSTITUTE(LEFT(TRIM(C104),FIND(" ",TRIM(C104)&amp;" ")-1),",","."),FIND("/",SUBSTITUTE(LEFT(TRIM(C104),FIND(" ",TRIM(C104)&amp;" ")-1),",","."))+1,9))*12/52,IF(ISNUMBER(SEARCH("month",C104)),IFERROR(_xlfn.NUMBERVALUE(SUBSTITUTE(LEFT(TRIM(C104),FIND(" ",TRIM(C104)&amp;" ")-1),",","."),"."),LEFT(SUBSTITUTE(LEFT(TRIM(C104),FIND(" ",TRIM(C104)&amp;" ")-1),",","."),FIND("/",SUBSTITUTE(LEFT(TRIM(C104),FIND(" ",TRIM(C104)&amp;" ")-1),",","."))-1)/MID(SUBSTITUTE(LEFT(TRIM(C104),FIND(" ",TRIM(C104)&amp;" ")-1),",","."),FIND("/",SUBSTITUTE(LEFT(TRIM(C104),FIND(" ",TRIM(C104)&amp;" ")-1),",","."))+1,9)),IF(ISNUMBER(SEARCH("yea",C104)),IFERROR(_xlfn.NUMBERVALUE(SUBSTITUTE(LEFT(TRIM(C104),FIND(" ",TRIM(C104)&amp;" ")-1),",","."),"."),LEFT(SUBSTITUTE(LEFT(TRIM(C104),FIND(" ",TRIM(C104)&amp;" ")-1),",","."),FIND("/",SUBSTITUTE(LEFT(TRIM(C104),FIND(" ",TRIM(C104)&amp;" ")-1),",","."))-1)/MID(SUBSTITUTE(LEFT(TRIM(C104),FIND(" ",TRIM(C104)&amp;" ")-1),",","."),FIND("/",SUBSTITUTE(LEFT(TRIM(C104),FIND(" ",TRIM(C104)&amp;" ")-1),",","."))+1,9))*12,NA()))),0),48)*'Aturan &amp; Tarif'!$B$4,2)</f>
        <v>2725.44</v>
      </c>
      <c r="K104" s="32" t="n">
        <f aca="false">'Aturan &amp; Tarif'!$B$5</f>
        <v>2050</v>
      </c>
      <c r="L104" s="35" t="n">
        <f aca="false">I104+J104+K104</f>
        <v>22587.44</v>
      </c>
      <c r="M104" s="37" t="s">
        <v>318</v>
      </c>
    </row>
    <row r="105" customFormat="false" ht="14.25" hidden="false" customHeight="true" outlineLevel="0" collapsed="false">
      <c r="A105" s="29"/>
      <c r="B105" s="30" t="s">
        <v>371</v>
      </c>
      <c r="C105" s="31" t="s">
        <v>127</v>
      </c>
      <c r="D105" s="31" t="s">
        <v>108</v>
      </c>
      <c r="E105" s="32" t="n">
        <v>8906</v>
      </c>
      <c r="F105" s="32"/>
      <c r="G105" s="32"/>
      <c r="H105" s="33" t="n">
        <v>2</v>
      </c>
      <c r="I105" s="34" t="n">
        <f aca="false">E105*H105+N(F105)+N(G105)</f>
        <v>17812</v>
      </c>
      <c r="J105" s="32" t="n">
        <f aca="false">ROUND(IFERROR(ROUND(IF(OR(ISNUMBER(SEARCH("week",C105)),ISNUMBER(SEARCH("minggu",C105))),IFERROR(_xlfn.NUMBERVALUE(SUBSTITUTE(LEFT(TRIM(C105),FIND(" ",TRIM(C105)&amp;" ")-1),",","."),"."),LEFT(SUBSTITUTE(LEFT(TRIM(C105),FIND(" ",TRIM(C105)&amp;" ")-1),",","."),FIND("/",SUBSTITUTE(LEFT(TRIM(C105),FIND(" ",TRIM(C105)&amp;" ")-1),",","."))-1)/MID(SUBSTITUTE(LEFT(TRIM(C105),FIND(" ",TRIM(C105)&amp;" ")-1),",","."),FIND("/",SUBSTITUTE(LEFT(TRIM(C105),FIND(" ",TRIM(C105)&amp;" ")-1),",","."))+1,9))*12/52,IF(ISNUMBER(SEARCH("month",C105)),IFERROR(_xlfn.NUMBERVALUE(SUBSTITUTE(LEFT(TRIM(C105),FIND(" ",TRIM(C105)&amp;" ")-1),",","."),"."),LEFT(SUBSTITUTE(LEFT(TRIM(C105),FIND(" ",TRIM(C105)&amp;" ")-1),",","."),FIND("/",SUBSTITUTE(LEFT(TRIM(C105),FIND(" ",TRIM(C105)&amp;" ")-1),",","."))-1)/MID(SUBSTITUTE(LEFT(TRIM(C105),FIND(" ",TRIM(C105)&amp;" ")-1),",","."),FIND("/",SUBSTITUTE(LEFT(TRIM(C105),FIND(" ",TRIM(C105)&amp;" ")-1),",","."))+1,9)),IF(ISNUMBER(SEARCH("yea",C105)),IFERROR(_xlfn.NUMBERVALUE(SUBSTITUTE(LEFT(TRIM(C105),FIND(" ",TRIM(C105)&amp;" ")-1),",","."),"."),LEFT(SUBSTITUTE(LEFT(TRIM(C105),FIND(" ",TRIM(C105)&amp;" ")-1),",","."),FIND("/",SUBSTITUTE(LEFT(TRIM(C105),FIND(" ",TRIM(C105)&amp;" ")-1),",","."))-1)/MID(SUBSTITUTE(LEFT(TRIM(C105),FIND(" ",TRIM(C105)&amp;" ")-1),",","."),FIND("/",SUBSTITUTE(LEFT(TRIM(C105),FIND(" ",TRIM(C105)&amp;" ")-1),",","."))+1,9))*12,NA()))),0),36)*'Aturan &amp; Tarif'!$B$4,2)</f>
        <v>2044.08</v>
      </c>
      <c r="K105" s="32" t="n">
        <f aca="false">'Aturan &amp; Tarif'!$B$5</f>
        <v>2050</v>
      </c>
      <c r="L105" s="35" t="n">
        <f aca="false">I105+J105+K105</f>
        <v>21906.08</v>
      </c>
      <c r="M105" s="37" t="s">
        <v>318</v>
      </c>
    </row>
    <row r="106" customFormat="false" ht="14.25" hidden="false" customHeight="true" outlineLevel="0" collapsed="false">
      <c r="A106" s="29"/>
      <c r="B106" s="30" t="s">
        <v>372</v>
      </c>
      <c r="C106" s="31" t="s">
        <v>127</v>
      </c>
      <c r="D106" s="31" t="s">
        <v>108</v>
      </c>
      <c r="E106" s="32" t="n">
        <v>8906</v>
      </c>
      <c r="F106" s="32"/>
      <c r="G106" s="32"/>
      <c r="H106" s="33" t="n">
        <v>2</v>
      </c>
      <c r="I106" s="34" t="n">
        <f aca="false">E106*H106+N(F106)+N(G106)</f>
        <v>17812</v>
      </c>
      <c r="J106" s="32" t="n">
        <f aca="false">ROUND(IFERROR(ROUND(IF(OR(ISNUMBER(SEARCH("week",C106)),ISNUMBER(SEARCH("minggu",C106))),IFERROR(_xlfn.NUMBERVALUE(SUBSTITUTE(LEFT(TRIM(C106),FIND(" ",TRIM(C106)&amp;" ")-1),",","."),"."),LEFT(SUBSTITUTE(LEFT(TRIM(C106),FIND(" ",TRIM(C106)&amp;" ")-1),",","."),FIND("/",SUBSTITUTE(LEFT(TRIM(C106),FIND(" ",TRIM(C106)&amp;" ")-1),",","."))-1)/MID(SUBSTITUTE(LEFT(TRIM(C106),FIND(" ",TRIM(C106)&amp;" ")-1),",","."),FIND("/",SUBSTITUTE(LEFT(TRIM(C106),FIND(" ",TRIM(C106)&amp;" ")-1),",","."))+1,9))*12/52,IF(ISNUMBER(SEARCH("month",C106)),IFERROR(_xlfn.NUMBERVALUE(SUBSTITUTE(LEFT(TRIM(C106),FIND(" ",TRIM(C106)&amp;" ")-1),",","."),"."),LEFT(SUBSTITUTE(LEFT(TRIM(C106),FIND(" ",TRIM(C106)&amp;" ")-1),",","."),FIND("/",SUBSTITUTE(LEFT(TRIM(C106),FIND(" ",TRIM(C106)&amp;" ")-1),",","."))-1)/MID(SUBSTITUTE(LEFT(TRIM(C106),FIND(" ",TRIM(C106)&amp;" ")-1),",","."),FIND("/",SUBSTITUTE(LEFT(TRIM(C106),FIND(" ",TRIM(C106)&amp;" ")-1),",","."))+1,9)),IF(ISNUMBER(SEARCH("yea",C106)),IFERROR(_xlfn.NUMBERVALUE(SUBSTITUTE(LEFT(TRIM(C106),FIND(" ",TRIM(C106)&amp;" ")-1),",","."),"."),LEFT(SUBSTITUTE(LEFT(TRIM(C106),FIND(" ",TRIM(C106)&amp;" ")-1),",","."),FIND("/",SUBSTITUTE(LEFT(TRIM(C106),FIND(" ",TRIM(C106)&amp;" ")-1),",","."))-1)/MID(SUBSTITUTE(LEFT(TRIM(C106),FIND(" ",TRIM(C106)&amp;" ")-1),",","."),FIND("/",SUBSTITUTE(LEFT(TRIM(C106),FIND(" ",TRIM(C106)&amp;" ")-1),",","."))+1,9))*12,NA()))),0),36)*'Aturan &amp; Tarif'!$B$4,2)</f>
        <v>2044.08</v>
      </c>
      <c r="K106" s="32" t="n">
        <f aca="false">'Aturan &amp; Tarif'!$B$5</f>
        <v>2050</v>
      </c>
      <c r="L106" s="35" t="n">
        <f aca="false">I106+J106+K106</f>
        <v>21906.08</v>
      </c>
      <c r="M106" s="37" t="s">
        <v>318</v>
      </c>
    </row>
    <row r="107" customFormat="false" ht="14.25" hidden="false" customHeight="true" outlineLevel="0" collapsed="false">
      <c r="A107" s="29"/>
      <c r="B107" s="30" t="s">
        <v>373</v>
      </c>
      <c r="C107" s="31" t="s">
        <v>107</v>
      </c>
      <c r="D107" s="31" t="s">
        <v>108</v>
      </c>
      <c r="E107" s="32" t="n">
        <v>8906</v>
      </c>
      <c r="F107" s="32"/>
      <c r="G107" s="32"/>
      <c r="H107" s="33" t="n">
        <v>2</v>
      </c>
      <c r="I107" s="34" t="n">
        <f aca="false">E107*H107+N(F107)+N(G107)</f>
        <v>17812</v>
      </c>
      <c r="J107" s="32" t="n">
        <f aca="false">ROUND(IFERROR(ROUND(IF(OR(ISNUMBER(SEARCH("week",C107)),ISNUMBER(SEARCH("minggu",C107))),IFERROR(_xlfn.NUMBERVALUE(SUBSTITUTE(LEFT(TRIM(C107),FIND(" ",TRIM(C107)&amp;" ")-1),",","."),"."),LEFT(SUBSTITUTE(LEFT(TRIM(C107),FIND(" ",TRIM(C107)&amp;" ")-1),",","."),FIND("/",SUBSTITUTE(LEFT(TRIM(C107),FIND(" ",TRIM(C107)&amp;" ")-1),",","."))-1)/MID(SUBSTITUTE(LEFT(TRIM(C107),FIND(" ",TRIM(C107)&amp;" ")-1),",","."),FIND("/",SUBSTITUTE(LEFT(TRIM(C107),FIND(" ",TRIM(C107)&amp;" ")-1),",","."))+1,9))*12/52,IF(ISNUMBER(SEARCH("month",C107)),IFERROR(_xlfn.NUMBERVALUE(SUBSTITUTE(LEFT(TRIM(C107),FIND(" ",TRIM(C107)&amp;" ")-1),",","."),"."),LEFT(SUBSTITUTE(LEFT(TRIM(C107),FIND(" ",TRIM(C107)&amp;" ")-1),",","."),FIND("/",SUBSTITUTE(LEFT(TRIM(C107),FIND(" ",TRIM(C107)&amp;" ")-1),",","."))-1)/MID(SUBSTITUTE(LEFT(TRIM(C107),FIND(" ",TRIM(C107)&amp;" ")-1),",","."),FIND("/",SUBSTITUTE(LEFT(TRIM(C107),FIND(" ",TRIM(C107)&amp;" ")-1),",","."))+1,9)),IF(ISNUMBER(SEARCH("yea",C107)),IFERROR(_xlfn.NUMBERVALUE(SUBSTITUTE(LEFT(TRIM(C107),FIND(" ",TRIM(C107)&amp;" ")-1),",","."),"."),LEFT(SUBSTITUTE(LEFT(TRIM(C107),FIND(" ",TRIM(C107)&amp;" ")-1),",","."),FIND("/",SUBSTITUTE(LEFT(TRIM(C107),FIND(" ",TRIM(C107)&amp;" ")-1),",","."))-1)/MID(SUBSTITUTE(LEFT(TRIM(C107),FIND(" ",TRIM(C107)&amp;" ")-1),",","."),FIND("/",SUBSTITUTE(LEFT(TRIM(C107),FIND(" ",TRIM(C107)&amp;" ")-1),",","."))+1,9))*12,NA()))),0),24)*'Aturan &amp; Tarif'!$B$4,2)</f>
        <v>1362.72</v>
      </c>
      <c r="K107" s="32" t="n">
        <f aca="false">'Aturan &amp; Tarif'!$B$5</f>
        <v>2050</v>
      </c>
      <c r="L107" s="35" t="n">
        <f aca="false">I107+J107+K107</f>
        <v>21224.72</v>
      </c>
      <c r="M107" s="37" t="s">
        <v>318</v>
      </c>
    </row>
    <row r="108" customFormat="false" ht="25.5" hidden="false" customHeight="true" outlineLevel="0" collapsed="false">
      <c r="A108" s="29"/>
      <c r="B108" s="30" t="s">
        <v>374</v>
      </c>
      <c r="C108" s="31" t="s">
        <v>107</v>
      </c>
      <c r="D108" s="31" t="s">
        <v>108</v>
      </c>
      <c r="E108" s="32" t="n">
        <v>8906</v>
      </c>
      <c r="F108" s="32"/>
      <c r="G108" s="32"/>
      <c r="H108" s="33" t="n">
        <v>2</v>
      </c>
      <c r="I108" s="34" t="n">
        <f aca="false">E108*H108+N(F108)+N(G108)</f>
        <v>17812</v>
      </c>
      <c r="J108" s="32" t="n">
        <f aca="false">ROUND(IFERROR(ROUND(IF(OR(ISNUMBER(SEARCH("week",C108)),ISNUMBER(SEARCH("minggu",C108))),IFERROR(_xlfn.NUMBERVALUE(SUBSTITUTE(LEFT(TRIM(C108),FIND(" ",TRIM(C108)&amp;" ")-1),",","."),"."),LEFT(SUBSTITUTE(LEFT(TRIM(C108),FIND(" ",TRIM(C108)&amp;" ")-1),",","."),FIND("/",SUBSTITUTE(LEFT(TRIM(C108),FIND(" ",TRIM(C108)&amp;" ")-1),",","."))-1)/MID(SUBSTITUTE(LEFT(TRIM(C108),FIND(" ",TRIM(C108)&amp;" ")-1),",","."),FIND("/",SUBSTITUTE(LEFT(TRIM(C108),FIND(" ",TRIM(C108)&amp;" ")-1),",","."))+1,9))*12/52,IF(ISNUMBER(SEARCH("month",C108)),IFERROR(_xlfn.NUMBERVALUE(SUBSTITUTE(LEFT(TRIM(C108),FIND(" ",TRIM(C108)&amp;" ")-1),",","."),"."),LEFT(SUBSTITUTE(LEFT(TRIM(C108),FIND(" ",TRIM(C108)&amp;" ")-1),",","."),FIND("/",SUBSTITUTE(LEFT(TRIM(C108),FIND(" ",TRIM(C108)&amp;" ")-1),",","."))-1)/MID(SUBSTITUTE(LEFT(TRIM(C108),FIND(" ",TRIM(C108)&amp;" ")-1),",","."),FIND("/",SUBSTITUTE(LEFT(TRIM(C108),FIND(" ",TRIM(C108)&amp;" ")-1),",","."))+1,9)),IF(ISNUMBER(SEARCH("yea",C108)),IFERROR(_xlfn.NUMBERVALUE(SUBSTITUTE(LEFT(TRIM(C108),FIND(" ",TRIM(C108)&amp;" ")-1),",","."),"."),LEFT(SUBSTITUTE(LEFT(TRIM(C108),FIND(" ",TRIM(C108)&amp;" ")-1),",","."),FIND("/",SUBSTITUTE(LEFT(TRIM(C108),FIND(" ",TRIM(C108)&amp;" ")-1),",","."))-1)/MID(SUBSTITUTE(LEFT(TRIM(C108),FIND(" ",TRIM(C108)&amp;" ")-1),",","."),FIND("/",SUBSTITUTE(LEFT(TRIM(C108),FIND(" ",TRIM(C108)&amp;" ")-1),",","."))+1,9))*12,NA()))),0),24)*'Aturan &amp; Tarif'!$B$4,2)</f>
        <v>1362.72</v>
      </c>
      <c r="K108" s="32" t="n">
        <f aca="false">'Aturan &amp; Tarif'!$B$5</f>
        <v>2050</v>
      </c>
      <c r="L108" s="35" t="n">
        <f aca="false">I108+J108+K108</f>
        <v>21224.72</v>
      </c>
      <c r="M108" s="37" t="s">
        <v>318</v>
      </c>
    </row>
    <row r="109" customFormat="false" ht="25.5" hidden="false" customHeight="true" outlineLevel="0" collapsed="false">
      <c r="A109" s="29"/>
      <c r="B109" s="30" t="s">
        <v>375</v>
      </c>
      <c r="C109" s="31" t="s">
        <v>107</v>
      </c>
      <c r="D109" s="31" t="s">
        <v>108</v>
      </c>
      <c r="E109" s="32" t="n">
        <v>8906</v>
      </c>
      <c r="F109" s="32"/>
      <c r="G109" s="32"/>
      <c r="H109" s="33" t="n">
        <v>2</v>
      </c>
      <c r="I109" s="34" t="n">
        <f aca="false">E109*H109+N(F109)+N(G109)</f>
        <v>17812</v>
      </c>
      <c r="J109" s="32" t="n">
        <f aca="false">ROUND(IFERROR(ROUND(IF(OR(ISNUMBER(SEARCH("week",C109)),ISNUMBER(SEARCH("minggu",C109))),IFERROR(_xlfn.NUMBERVALUE(SUBSTITUTE(LEFT(TRIM(C109),FIND(" ",TRIM(C109)&amp;" ")-1),",","."),"."),LEFT(SUBSTITUTE(LEFT(TRIM(C109),FIND(" ",TRIM(C109)&amp;" ")-1),",","."),FIND("/",SUBSTITUTE(LEFT(TRIM(C109),FIND(" ",TRIM(C109)&amp;" ")-1),",","."))-1)/MID(SUBSTITUTE(LEFT(TRIM(C109),FIND(" ",TRIM(C109)&amp;" ")-1),",","."),FIND("/",SUBSTITUTE(LEFT(TRIM(C109),FIND(" ",TRIM(C109)&amp;" ")-1),",","."))+1,9))*12/52,IF(ISNUMBER(SEARCH("month",C109)),IFERROR(_xlfn.NUMBERVALUE(SUBSTITUTE(LEFT(TRIM(C109),FIND(" ",TRIM(C109)&amp;" ")-1),",","."),"."),LEFT(SUBSTITUTE(LEFT(TRIM(C109),FIND(" ",TRIM(C109)&amp;" ")-1),",","."),FIND("/",SUBSTITUTE(LEFT(TRIM(C109),FIND(" ",TRIM(C109)&amp;" ")-1),",","."))-1)/MID(SUBSTITUTE(LEFT(TRIM(C109),FIND(" ",TRIM(C109)&amp;" ")-1),",","."),FIND("/",SUBSTITUTE(LEFT(TRIM(C109),FIND(" ",TRIM(C109)&amp;" ")-1),",","."))+1,9)),IF(ISNUMBER(SEARCH("yea",C109)),IFERROR(_xlfn.NUMBERVALUE(SUBSTITUTE(LEFT(TRIM(C109),FIND(" ",TRIM(C109)&amp;" ")-1),",","."),"."),LEFT(SUBSTITUTE(LEFT(TRIM(C109),FIND(" ",TRIM(C109)&amp;" ")-1),",","."),FIND("/",SUBSTITUTE(LEFT(TRIM(C109),FIND(" ",TRIM(C109)&amp;" ")-1),",","."))-1)/MID(SUBSTITUTE(LEFT(TRIM(C109),FIND(" ",TRIM(C109)&amp;" ")-1),",","."),FIND("/",SUBSTITUTE(LEFT(TRIM(C109),FIND(" ",TRIM(C109)&amp;" ")-1),",","."))+1,9))*12,NA()))),0),24)*'Aturan &amp; Tarif'!$B$4,2)</f>
        <v>1362.72</v>
      </c>
      <c r="K109" s="32" t="n">
        <f aca="false">'Aturan &amp; Tarif'!$B$5</f>
        <v>2050</v>
      </c>
      <c r="L109" s="35" t="n">
        <f aca="false">I109+J109+K109</f>
        <v>21224.72</v>
      </c>
      <c r="M109" s="37" t="s">
        <v>318</v>
      </c>
    </row>
    <row r="110" customFormat="false" ht="14.25" hidden="false" customHeight="true" outlineLevel="0" collapsed="false">
      <c r="A110" s="29"/>
      <c r="B110" s="30" t="s">
        <v>376</v>
      </c>
      <c r="C110" s="31" t="s">
        <v>107</v>
      </c>
      <c r="D110" s="31" t="s">
        <v>108</v>
      </c>
      <c r="E110" s="32" t="n">
        <v>8906</v>
      </c>
      <c r="F110" s="32"/>
      <c r="G110" s="32"/>
      <c r="H110" s="33" t="n">
        <v>2</v>
      </c>
      <c r="I110" s="34" t="n">
        <f aca="false">E110*H110+N(F110)+N(G110)</f>
        <v>17812</v>
      </c>
      <c r="J110" s="32" t="n">
        <f aca="false">ROUND(IFERROR(ROUND(IF(OR(ISNUMBER(SEARCH("week",C110)),ISNUMBER(SEARCH("minggu",C110))),IFERROR(_xlfn.NUMBERVALUE(SUBSTITUTE(LEFT(TRIM(C110),FIND(" ",TRIM(C110)&amp;" ")-1),",","."),"."),LEFT(SUBSTITUTE(LEFT(TRIM(C110),FIND(" ",TRIM(C110)&amp;" ")-1),",","."),FIND("/",SUBSTITUTE(LEFT(TRIM(C110),FIND(" ",TRIM(C110)&amp;" ")-1),",","."))-1)/MID(SUBSTITUTE(LEFT(TRIM(C110),FIND(" ",TRIM(C110)&amp;" ")-1),",","."),FIND("/",SUBSTITUTE(LEFT(TRIM(C110),FIND(" ",TRIM(C110)&amp;" ")-1),",","."))+1,9))*12/52,IF(ISNUMBER(SEARCH("month",C110)),IFERROR(_xlfn.NUMBERVALUE(SUBSTITUTE(LEFT(TRIM(C110),FIND(" ",TRIM(C110)&amp;" ")-1),",","."),"."),LEFT(SUBSTITUTE(LEFT(TRIM(C110),FIND(" ",TRIM(C110)&amp;" ")-1),",","."),FIND("/",SUBSTITUTE(LEFT(TRIM(C110),FIND(" ",TRIM(C110)&amp;" ")-1),",","."))-1)/MID(SUBSTITUTE(LEFT(TRIM(C110),FIND(" ",TRIM(C110)&amp;" ")-1),",","."),FIND("/",SUBSTITUTE(LEFT(TRIM(C110),FIND(" ",TRIM(C110)&amp;" ")-1),",","."))+1,9)),IF(ISNUMBER(SEARCH("yea",C110)),IFERROR(_xlfn.NUMBERVALUE(SUBSTITUTE(LEFT(TRIM(C110),FIND(" ",TRIM(C110)&amp;" ")-1),",","."),"."),LEFT(SUBSTITUTE(LEFT(TRIM(C110),FIND(" ",TRIM(C110)&amp;" ")-1),",","."),FIND("/",SUBSTITUTE(LEFT(TRIM(C110),FIND(" ",TRIM(C110)&amp;" ")-1),",","."))-1)/MID(SUBSTITUTE(LEFT(TRIM(C110),FIND(" ",TRIM(C110)&amp;" ")-1),",","."),FIND("/",SUBSTITUTE(LEFT(TRIM(C110),FIND(" ",TRIM(C110)&amp;" ")-1),",","."))+1,9))*12,NA()))),0),24)*'Aturan &amp; Tarif'!$B$4,2)</f>
        <v>1362.72</v>
      </c>
      <c r="K110" s="32" t="n">
        <f aca="false">'Aturan &amp; Tarif'!$B$5</f>
        <v>2050</v>
      </c>
      <c r="L110" s="35" t="n">
        <f aca="false">I110+J110+K110</f>
        <v>21224.72</v>
      </c>
      <c r="M110" s="37" t="s">
        <v>318</v>
      </c>
    </row>
    <row r="111" customFormat="false" ht="14.25" hidden="false" customHeight="true" outlineLevel="0" collapsed="false">
      <c r="A111" s="29"/>
      <c r="B111" s="30" t="s">
        <v>377</v>
      </c>
      <c r="C111" s="31" t="s">
        <v>107</v>
      </c>
      <c r="D111" s="31" t="s">
        <v>108</v>
      </c>
      <c r="E111" s="32" t="n">
        <v>8906</v>
      </c>
      <c r="F111" s="32"/>
      <c r="G111" s="32"/>
      <c r="H111" s="33" t="n">
        <v>2</v>
      </c>
      <c r="I111" s="34" t="n">
        <f aca="false">E111*H111+N(F111)+N(G111)</f>
        <v>17812</v>
      </c>
      <c r="J111" s="32" t="n">
        <f aca="false">ROUND(IFERROR(ROUND(IF(OR(ISNUMBER(SEARCH("week",C111)),ISNUMBER(SEARCH("minggu",C111))),IFERROR(_xlfn.NUMBERVALUE(SUBSTITUTE(LEFT(TRIM(C111),FIND(" ",TRIM(C111)&amp;" ")-1),",","."),"."),LEFT(SUBSTITUTE(LEFT(TRIM(C111),FIND(" ",TRIM(C111)&amp;" ")-1),",","."),FIND("/",SUBSTITUTE(LEFT(TRIM(C111),FIND(" ",TRIM(C111)&amp;" ")-1),",","."))-1)/MID(SUBSTITUTE(LEFT(TRIM(C111),FIND(" ",TRIM(C111)&amp;" ")-1),",","."),FIND("/",SUBSTITUTE(LEFT(TRIM(C111),FIND(" ",TRIM(C111)&amp;" ")-1),",","."))+1,9))*12/52,IF(ISNUMBER(SEARCH("month",C111)),IFERROR(_xlfn.NUMBERVALUE(SUBSTITUTE(LEFT(TRIM(C111),FIND(" ",TRIM(C111)&amp;" ")-1),",","."),"."),LEFT(SUBSTITUTE(LEFT(TRIM(C111),FIND(" ",TRIM(C111)&amp;" ")-1),",","."),FIND("/",SUBSTITUTE(LEFT(TRIM(C111),FIND(" ",TRIM(C111)&amp;" ")-1),",","."))-1)/MID(SUBSTITUTE(LEFT(TRIM(C111),FIND(" ",TRIM(C111)&amp;" ")-1),",","."),FIND("/",SUBSTITUTE(LEFT(TRIM(C111),FIND(" ",TRIM(C111)&amp;" ")-1),",","."))+1,9)),IF(ISNUMBER(SEARCH("yea",C111)),IFERROR(_xlfn.NUMBERVALUE(SUBSTITUTE(LEFT(TRIM(C111),FIND(" ",TRIM(C111)&amp;" ")-1),",","."),"."),LEFT(SUBSTITUTE(LEFT(TRIM(C111),FIND(" ",TRIM(C111)&amp;" ")-1),",","."),FIND("/",SUBSTITUTE(LEFT(TRIM(C111),FIND(" ",TRIM(C111)&amp;" ")-1),",","."))-1)/MID(SUBSTITUTE(LEFT(TRIM(C111),FIND(" ",TRIM(C111)&amp;" ")-1),",","."),FIND("/",SUBSTITUTE(LEFT(TRIM(C111),FIND(" ",TRIM(C111)&amp;" ")-1),",","."))+1,9))*12,NA()))),0),24)*'Aturan &amp; Tarif'!$B$4,2)</f>
        <v>1362.72</v>
      </c>
      <c r="K111" s="32" t="n">
        <f aca="false">'Aturan &amp; Tarif'!$B$5</f>
        <v>2050</v>
      </c>
      <c r="L111" s="35" t="n">
        <f aca="false">I111+J111+K111</f>
        <v>21224.72</v>
      </c>
      <c r="M111" s="37" t="s">
        <v>318</v>
      </c>
    </row>
    <row r="112" customFormat="false" ht="25.5" hidden="false" customHeight="true" outlineLevel="0" collapsed="false">
      <c r="A112" s="29"/>
      <c r="B112" s="30" t="s">
        <v>378</v>
      </c>
      <c r="C112" s="31" t="s">
        <v>107</v>
      </c>
      <c r="D112" s="31" t="s">
        <v>108</v>
      </c>
      <c r="E112" s="32" t="n">
        <v>8906</v>
      </c>
      <c r="F112" s="32"/>
      <c r="G112" s="32"/>
      <c r="H112" s="33" t="n">
        <v>2</v>
      </c>
      <c r="I112" s="34" t="n">
        <f aca="false">E112*H112+N(F112)+N(G112)</f>
        <v>17812</v>
      </c>
      <c r="J112" s="32" t="n">
        <f aca="false">ROUND(IFERROR(ROUND(IF(OR(ISNUMBER(SEARCH("week",C112)),ISNUMBER(SEARCH("minggu",C112))),IFERROR(_xlfn.NUMBERVALUE(SUBSTITUTE(LEFT(TRIM(C112),FIND(" ",TRIM(C112)&amp;" ")-1),",","."),"."),LEFT(SUBSTITUTE(LEFT(TRIM(C112),FIND(" ",TRIM(C112)&amp;" ")-1),",","."),FIND("/",SUBSTITUTE(LEFT(TRIM(C112),FIND(" ",TRIM(C112)&amp;" ")-1),",","."))-1)/MID(SUBSTITUTE(LEFT(TRIM(C112),FIND(" ",TRIM(C112)&amp;" ")-1),",","."),FIND("/",SUBSTITUTE(LEFT(TRIM(C112),FIND(" ",TRIM(C112)&amp;" ")-1),",","."))+1,9))*12/52,IF(ISNUMBER(SEARCH("month",C112)),IFERROR(_xlfn.NUMBERVALUE(SUBSTITUTE(LEFT(TRIM(C112),FIND(" ",TRIM(C112)&amp;" ")-1),",","."),"."),LEFT(SUBSTITUTE(LEFT(TRIM(C112),FIND(" ",TRIM(C112)&amp;" ")-1),",","."),FIND("/",SUBSTITUTE(LEFT(TRIM(C112),FIND(" ",TRIM(C112)&amp;" ")-1),",","."))-1)/MID(SUBSTITUTE(LEFT(TRIM(C112),FIND(" ",TRIM(C112)&amp;" ")-1),",","."),FIND("/",SUBSTITUTE(LEFT(TRIM(C112),FIND(" ",TRIM(C112)&amp;" ")-1),",","."))+1,9)),IF(ISNUMBER(SEARCH("yea",C112)),IFERROR(_xlfn.NUMBERVALUE(SUBSTITUTE(LEFT(TRIM(C112),FIND(" ",TRIM(C112)&amp;" ")-1),",","."),"."),LEFT(SUBSTITUTE(LEFT(TRIM(C112),FIND(" ",TRIM(C112)&amp;" ")-1),",","."),FIND("/",SUBSTITUTE(LEFT(TRIM(C112),FIND(" ",TRIM(C112)&amp;" ")-1),",","."))-1)/MID(SUBSTITUTE(LEFT(TRIM(C112),FIND(" ",TRIM(C112)&amp;" ")-1),",","."),FIND("/",SUBSTITUTE(LEFT(TRIM(C112),FIND(" ",TRIM(C112)&amp;" ")-1),",","."))+1,9))*12,NA()))),0),24)*'Aturan &amp; Tarif'!$B$4,2)</f>
        <v>1362.72</v>
      </c>
      <c r="K112" s="32" t="n">
        <f aca="false">'Aturan &amp; Tarif'!$B$5</f>
        <v>2050</v>
      </c>
      <c r="L112" s="35" t="n">
        <f aca="false">I112+J112+K112</f>
        <v>21224.72</v>
      </c>
      <c r="M112" s="37" t="s">
        <v>318</v>
      </c>
    </row>
    <row r="113" customFormat="false" ht="14.25" hidden="false" customHeight="true" outlineLevel="0" collapsed="false">
      <c r="A113" s="29"/>
      <c r="B113" s="30" t="s">
        <v>379</v>
      </c>
      <c r="C113" s="31" t="s">
        <v>127</v>
      </c>
      <c r="D113" s="31" t="s">
        <v>108</v>
      </c>
      <c r="E113" s="32" t="n">
        <v>8098</v>
      </c>
      <c r="F113" s="32"/>
      <c r="G113" s="32"/>
      <c r="H113" s="33" t="n">
        <v>2</v>
      </c>
      <c r="I113" s="34" t="n">
        <f aca="false">E113*H113+N(F113)+N(G113)</f>
        <v>16196</v>
      </c>
      <c r="J113" s="32" t="n">
        <f aca="false">ROUND(IFERROR(ROUND(IF(OR(ISNUMBER(SEARCH("week",C113)),ISNUMBER(SEARCH("minggu",C113))),IFERROR(_xlfn.NUMBERVALUE(SUBSTITUTE(LEFT(TRIM(C113),FIND(" ",TRIM(C113)&amp;" ")-1),",","."),"."),LEFT(SUBSTITUTE(LEFT(TRIM(C113),FIND(" ",TRIM(C113)&amp;" ")-1),",","."),FIND("/",SUBSTITUTE(LEFT(TRIM(C113),FIND(" ",TRIM(C113)&amp;" ")-1),",","."))-1)/MID(SUBSTITUTE(LEFT(TRIM(C113),FIND(" ",TRIM(C113)&amp;" ")-1),",","."),FIND("/",SUBSTITUTE(LEFT(TRIM(C113),FIND(" ",TRIM(C113)&amp;" ")-1),",","."))+1,9))*12/52,IF(ISNUMBER(SEARCH("month",C113)),IFERROR(_xlfn.NUMBERVALUE(SUBSTITUTE(LEFT(TRIM(C113),FIND(" ",TRIM(C113)&amp;" ")-1),",","."),"."),LEFT(SUBSTITUTE(LEFT(TRIM(C113),FIND(" ",TRIM(C113)&amp;" ")-1),",","."),FIND("/",SUBSTITUTE(LEFT(TRIM(C113),FIND(" ",TRIM(C113)&amp;" ")-1),",","."))-1)/MID(SUBSTITUTE(LEFT(TRIM(C113),FIND(" ",TRIM(C113)&amp;" ")-1),",","."),FIND("/",SUBSTITUTE(LEFT(TRIM(C113),FIND(" ",TRIM(C113)&amp;" ")-1),",","."))+1,9)),IF(ISNUMBER(SEARCH("yea",C113)),IFERROR(_xlfn.NUMBERVALUE(SUBSTITUTE(LEFT(TRIM(C113),FIND(" ",TRIM(C113)&amp;" ")-1),",","."),"."),LEFT(SUBSTITUTE(LEFT(TRIM(C113),FIND(" ",TRIM(C113)&amp;" ")-1),",","."),FIND("/",SUBSTITUTE(LEFT(TRIM(C113),FIND(" ",TRIM(C113)&amp;" ")-1),",","."))-1)/MID(SUBSTITUTE(LEFT(TRIM(C113),FIND(" ",TRIM(C113)&amp;" ")-1),",","."),FIND("/",SUBSTITUTE(LEFT(TRIM(C113),FIND(" ",TRIM(C113)&amp;" ")-1),",","."))+1,9))*12,NA()))),0),36)*'Aturan &amp; Tarif'!$B$4,2)</f>
        <v>2044.08</v>
      </c>
      <c r="K113" s="32" t="n">
        <f aca="false">'Aturan &amp; Tarif'!$B$5</f>
        <v>2050</v>
      </c>
      <c r="L113" s="35" t="n">
        <f aca="false">I113+J113+K113</f>
        <v>20290.08</v>
      </c>
      <c r="M113" s="37" t="s">
        <v>318</v>
      </c>
    </row>
    <row r="114" customFormat="false" ht="25.5" hidden="false" customHeight="true" outlineLevel="0" collapsed="false">
      <c r="A114" s="29"/>
      <c r="B114" s="30" t="s">
        <v>380</v>
      </c>
      <c r="C114" s="31" t="s">
        <v>191</v>
      </c>
      <c r="D114" s="31" t="s">
        <v>108</v>
      </c>
      <c r="E114" s="32" t="n">
        <v>8906</v>
      </c>
      <c r="F114" s="32"/>
      <c r="G114" s="32"/>
      <c r="H114" s="33" t="n">
        <v>2</v>
      </c>
      <c r="I114" s="34" t="n">
        <f aca="false">E114*H114+N(F114)+N(G114)</f>
        <v>17812</v>
      </c>
      <c r="J114" s="32" t="n">
        <f aca="false">ROUND(IFERROR(ROUND(IF(OR(ISNUMBER(SEARCH("week",C114)),ISNUMBER(SEARCH("minggu",C114))),IFERROR(_xlfn.NUMBERVALUE(SUBSTITUTE(LEFT(TRIM(C114),FIND(" ",TRIM(C114)&amp;" ")-1),",","."),"."),LEFT(SUBSTITUTE(LEFT(TRIM(C114),FIND(" ",TRIM(C114)&amp;" ")-1),",","."),FIND("/",SUBSTITUTE(LEFT(TRIM(C114),FIND(" ",TRIM(C114)&amp;" ")-1),",","."))-1)/MID(SUBSTITUTE(LEFT(TRIM(C114),FIND(" ",TRIM(C114)&amp;" ")-1),",","."),FIND("/",SUBSTITUTE(LEFT(TRIM(C114),FIND(" ",TRIM(C114)&amp;" ")-1),",","."))+1,9))*12/52,IF(ISNUMBER(SEARCH("month",C114)),IFERROR(_xlfn.NUMBERVALUE(SUBSTITUTE(LEFT(TRIM(C114),FIND(" ",TRIM(C114)&amp;" ")-1),",","."),"."),LEFT(SUBSTITUTE(LEFT(TRIM(C114),FIND(" ",TRIM(C114)&amp;" ")-1),",","."),FIND("/",SUBSTITUTE(LEFT(TRIM(C114),FIND(" ",TRIM(C114)&amp;" ")-1),",","."))-1)/MID(SUBSTITUTE(LEFT(TRIM(C114),FIND(" ",TRIM(C114)&amp;" ")-1),",","."),FIND("/",SUBSTITUTE(LEFT(TRIM(C114),FIND(" ",TRIM(C114)&amp;" ")-1),",","."))+1,9)),IF(ISNUMBER(SEARCH("yea",C114)),IFERROR(_xlfn.NUMBERVALUE(SUBSTITUTE(LEFT(TRIM(C114),FIND(" ",TRIM(C114)&amp;" ")-1),",","."),"."),LEFT(SUBSTITUTE(LEFT(TRIM(C114),FIND(" ",TRIM(C114)&amp;" ")-1),",","."),FIND("/",SUBSTITUTE(LEFT(TRIM(C114),FIND(" ",TRIM(C114)&amp;" ")-1),",","."))-1)/MID(SUBSTITUTE(LEFT(TRIM(C114),FIND(" ",TRIM(C114)&amp;" ")-1),",","."),FIND("/",SUBSTITUTE(LEFT(TRIM(C114),FIND(" ",TRIM(C114)&amp;" ")-1),",","."))+1,9))*12,NA()))),0),48)*'Aturan &amp; Tarif'!$B$4,2)</f>
        <v>2725.44</v>
      </c>
      <c r="K114" s="32" t="n">
        <f aca="false">'Aturan &amp; Tarif'!$B$5</f>
        <v>2050</v>
      </c>
      <c r="L114" s="35" t="n">
        <f aca="false">I114+J114+K114</f>
        <v>22587.44</v>
      </c>
      <c r="M114" s="37" t="s">
        <v>318</v>
      </c>
    </row>
    <row r="115" customFormat="false" ht="14.25" hidden="false" customHeight="true" outlineLevel="0" collapsed="false">
      <c r="A115" s="29"/>
      <c r="B115" s="30" t="s">
        <v>381</v>
      </c>
      <c r="C115" s="31" t="s">
        <v>127</v>
      </c>
      <c r="D115" s="31" t="s">
        <v>108</v>
      </c>
      <c r="E115" s="32" t="n">
        <v>8098</v>
      </c>
      <c r="F115" s="32"/>
      <c r="G115" s="32"/>
      <c r="H115" s="33" t="n">
        <v>2</v>
      </c>
      <c r="I115" s="34" t="n">
        <f aca="false">E115*H115+N(F115)+N(G115)</f>
        <v>16196</v>
      </c>
      <c r="J115" s="32" t="n">
        <f aca="false">ROUND(IFERROR(ROUND(IF(OR(ISNUMBER(SEARCH("week",C115)),ISNUMBER(SEARCH("minggu",C115))),IFERROR(_xlfn.NUMBERVALUE(SUBSTITUTE(LEFT(TRIM(C115),FIND(" ",TRIM(C115)&amp;" ")-1),",","."),"."),LEFT(SUBSTITUTE(LEFT(TRIM(C115),FIND(" ",TRIM(C115)&amp;" ")-1),",","."),FIND("/",SUBSTITUTE(LEFT(TRIM(C115),FIND(" ",TRIM(C115)&amp;" ")-1),",","."))-1)/MID(SUBSTITUTE(LEFT(TRIM(C115),FIND(" ",TRIM(C115)&amp;" ")-1),",","."),FIND("/",SUBSTITUTE(LEFT(TRIM(C115),FIND(" ",TRIM(C115)&amp;" ")-1),",","."))+1,9))*12/52,IF(ISNUMBER(SEARCH("month",C115)),IFERROR(_xlfn.NUMBERVALUE(SUBSTITUTE(LEFT(TRIM(C115),FIND(" ",TRIM(C115)&amp;" ")-1),",","."),"."),LEFT(SUBSTITUTE(LEFT(TRIM(C115),FIND(" ",TRIM(C115)&amp;" ")-1),",","."),FIND("/",SUBSTITUTE(LEFT(TRIM(C115),FIND(" ",TRIM(C115)&amp;" ")-1),",","."))-1)/MID(SUBSTITUTE(LEFT(TRIM(C115),FIND(" ",TRIM(C115)&amp;" ")-1),",","."),FIND("/",SUBSTITUTE(LEFT(TRIM(C115),FIND(" ",TRIM(C115)&amp;" ")-1),",","."))+1,9)),IF(ISNUMBER(SEARCH("yea",C115)),IFERROR(_xlfn.NUMBERVALUE(SUBSTITUTE(LEFT(TRIM(C115),FIND(" ",TRIM(C115)&amp;" ")-1),",","."),"."),LEFT(SUBSTITUTE(LEFT(TRIM(C115),FIND(" ",TRIM(C115)&amp;" ")-1),",","."),FIND("/",SUBSTITUTE(LEFT(TRIM(C115),FIND(" ",TRIM(C115)&amp;" ")-1),",","."))-1)/MID(SUBSTITUTE(LEFT(TRIM(C115),FIND(" ",TRIM(C115)&amp;" ")-1),",","."),FIND("/",SUBSTITUTE(LEFT(TRIM(C115),FIND(" ",TRIM(C115)&amp;" ")-1),",","."))+1,9))*12,NA()))),0),36)*'Aturan &amp; Tarif'!$B$4,2)</f>
        <v>2044.08</v>
      </c>
      <c r="K115" s="32" t="n">
        <f aca="false">'Aturan &amp; Tarif'!$B$5</f>
        <v>2050</v>
      </c>
      <c r="L115" s="35" t="n">
        <f aca="false">I115+J115+K115</f>
        <v>20290.08</v>
      </c>
      <c r="M115" s="37" t="s">
        <v>318</v>
      </c>
    </row>
    <row r="116" customFormat="false" ht="25.5" hidden="false" customHeight="true" outlineLevel="0" collapsed="false">
      <c r="A116" s="29"/>
      <c r="B116" s="30" t="s">
        <v>382</v>
      </c>
      <c r="C116" s="31" t="s">
        <v>191</v>
      </c>
      <c r="D116" s="31" t="s">
        <v>108</v>
      </c>
      <c r="E116" s="32" t="n">
        <v>8098</v>
      </c>
      <c r="F116" s="32"/>
      <c r="G116" s="32"/>
      <c r="H116" s="33" t="n">
        <v>2</v>
      </c>
      <c r="I116" s="34" t="n">
        <f aca="false">E116*H116+N(F116)+N(G116)</f>
        <v>16196</v>
      </c>
      <c r="J116" s="32" t="n">
        <f aca="false">ROUND(IFERROR(ROUND(IF(OR(ISNUMBER(SEARCH("week",C116)),ISNUMBER(SEARCH("minggu",C116))),IFERROR(_xlfn.NUMBERVALUE(SUBSTITUTE(LEFT(TRIM(C116),FIND(" ",TRIM(C116)&amp;" ")-1),",","."),"."),LEFT(SUBSTITUTE(LEFT(TRIM(C116),FIND(" ",TRIM(C116)&amp;" ")-1),",","."),FIND("/",SUBSTITUTE(LEFT(TRIM(C116),FIND(" ",TRIM(C116)&amp;" ")-1),",","."))-1)/MID(SUBSTITUTE(LEFT(TRIM(C116),FIND(" ",TRIM(C116)&amp;" ")-1),",","."),FIND("/",SUBSTITUTE(LEFT(TRIM(C116),FIND(" ",TRIM(C116)&amp;" ")-1),",","."))+1,9))*12/52,IF(ISNUMBER(SEARCH("month",C116)),IFERROR(_xlfn.NUMBERVALUE(SUBSTITUTE(LEFT(TRIM(C116),FIND(" ",TRIM(C116)&amp;" ")-1),",","."),"."),LEFT(SUBSTITUTE(LEFT(TRIM(C116),FIND(" ",TRIM(C116)&amp;" ")-1),",","."),FIND("/",SUBSTITUTE(LEFT(TRIM(C116),FIND(" ",TRIM(C116)&amp;" ")-1),",","."))-1)/MID(SUBSTITUTE(LEFT(TRIM(C116),FIND(" ",TRIM(C116)&amp;" ")-1),",","."),FIND("/",SUBSTITUTE(LEFT(TRIM(C116),FIND(" ",TRIM(C116)&amp;" ")-1),",","."))+1,9)),IF(ISNUMBER(SEARCH("yea",C116)),IFERROR(_xlfn.NUMBERVALUE(SUBSTITUTE(LEFT(TRIM(C116),FIND(" ",TRIM(C116)&amp;" ")-1),",","."),"."),LEFT(SUBSTITUTE(LEFT(TRIM(C116),FIND(" ",TRIM(C116)&amp;" ")-1),",","."),FIND("/",SUBSTITUTE(LEFT(TRIM(C116),FIND(" ",TRIM(C116)&amp;" ")-1),",","."))-1)/MID(SUBSTITUTE(LEFT(TRIM(C116),FIND(" ",TRIM(C116)&amp;" ")-1),",","."),FIND("/",SUBSTITUTE(LEFT(TRIM(C116),FIND(" ",TRIM(C116)&amp;" ")-1),",","."))+1,9))*12,NA()))),0),48)*'Aturan &amp; Tarif'!$B$4,2)</f>
        <v>2725.44</v>
      </c>
      <c r="K116" s="32" t="n">
        <f aca="false">'Aturan &amp; Tarif'!$B$5</f>
        <v>2050</v>
      </c>
      <c r="L116" s="35" t="n">
        <f aca="false">I116+J116+K116</f>
        <v>20971.44</v>
      </c>
      <c r="M116" s="37" t="s">
        <v>318</v>
      </c>
    </row>
    <row r="117" customFormat="false" ht="25.5" hidden="false" customHeight="true" outlineLevel="0" collapsed="false">
      <c r="A117" s="29"/>
      <c r="B117" s="30" t="s">
        <v>383</v>
      </c>
      <c r="C117" s="31" t="s">
        <v>191</v>
      </c>
      <c r="D117" s="31" t="s">
        <v>108</v>
      </c>
      <c r="E117" s="32" t="n">
        <v>8906</v>
      </c>
      <c r="F117" s="32"/>
      <c r="G117" s="32"/>
      <c r="H117" s="33" t="n">
        <v>2</v>
      </c>
      <c r="I117" s="34" t="n">
        <f aca="false">E117*H117+N(F117)+N(G117)</f>
        <v>17812</v>
      </c>
      <c r="J117" s="32" t="n">
        <f aca="false">ROUND(IFERROR(ROUND(IF(OR(ISNUMBER(SEARCH("week",C117)),ISNUMBER(SEARCH("minggu",C117))),IFERROR(_xlfn.NUMBERVALUE(SUBSTITUTE(LEFT(TRIM(C117),FIND(" ",TRIM(C117)&amp;" ")-1),",","."),"."),LEFT(SUBSTITUTE(LEFT(TRIM(C117),FIND(" ",TRIM(C117)&amp;" ")-1),",","."),FIND("/",SUBSTITUTE(LEFT(TRIM(C117),FIND(" ",TRIM(C117)&amp;" ")-1),",","."))-1)/MID(SUBSTITUTE(LEFT(TRIM(C117),FIND(" ",TRIM(C117)&amp;" ")-1),",","."),FIND("/",SUBSTITUTE(LEFT(TRIM(C117),FIND(" ",TRIM(C117)&amp;" ")-1),",","."))+1,9))*12/52,IF(ISNUMBER(SEARCH("month",C117)),IFERROR(_xlfn.NUMBERVALUE(SUBSTITUTE(LEFT(TRIM(C117),FIND(" ",TRIM(C117)&amp;" ")-1),",","."),"."),LEFT(SUBSTITUTE(LEFT(TRIM(C117),FIND(" ",TRIM(C117)&amp;" ")-1),",","."),FIND("/",SUBSTITUTE(LEFT(TRIM(C117),FIND(" ",TRIM(C117)&amp;" ")-1),",","."))-1)/MID(SUBSTITUTE(LEFT(TRIM(C117),FIND(" ",TRIM(C117)&amp;" ")-1),",","."),FIND("/",SUBSTITUTE(LEFT(TRIM(C117),FIND(" ",TRIM(C117)&amp;" ")-1),",","."))+1,9)),IF(ISNUMBER(SEARCH("yea",C117)),IFERROR(_xlfn.NUMBERVALUE(SUBSTITUTE(LEFT(TRIM(C117),FIND(" ",TRIM(C117)&amp;" ")-1),",","."),"."),LEFT(SUBSTITUTE(LEFT(TRIM(C117),FIND(" ",TRIM(C117)&amp;" ")-1),",","."),FIND("/",SUBSTITUTE(LEFT(TRIM(C117),FIND(" ",TRIM(C117)&amp;" ")-1),",","."))-1)/MID(SUBSTITUTE(LEFT(TRIM(C117),FIND(" ",TRIM(C117)&amp;" ")-1),",","."),FIND("/",SUBSTITUTE(LEFT(TRIM(C117),FIND(" ",TRIM(C117)&amp;" ")-1),",","."))+1,9))*12,NA()))),0),48)*'Aturan &amp; Tarif'!$B$4,2)</f>
        <v>2725.44</v>
      </c>
      <c r="K117" s="32" t="n">
        <f aca="false">'Aturan &amp; Tarif'!$B$5</f>
        <v>2050</v>
      </c>
      <c r="L117" s="35" t="n">
        <f aca="false">I117+J117+K117</f>
        <v>22587.44</v>
      </c>
      <c r="M117" s="37" t="s">
        <v>318</v>
      </c>
    </row>
    <row r="118" customFormat="false" ht="14.25" hidden="false" customHeight="true" outlineLevel="0" collapsed="false">
      <c r="A118" s="29"/>
      <c r="B118" s="30" t="s">
        <v>265</v>
      </c>
      <c r="C118" s="31" t="s">
        <v>127</v>
      </c>
      <c r="D118" s="31" t="s">
        <v>108</v>
      </c>
      <c r="E118" s="32" t="n">
        <v>9820</v>
      </c>
      <c r="F118" s="32"/>
      <c r="G118" s="32"/>
      <c r="H118" s="33" t="n">
        <v>2</v>
      </c>
      <c r="I118" s="34" t="n">
        <f aca="false">E118*H118+N(F118)+N(G118)</f>
        <v>19640</v>
      </c>
      <c r="J118" s="32" t="n">
        <f aca="false">ROUND(IFERROR(ROUND(IF(OR(ISNUMBER(SEARCH("week",C118)),ISNUMBER(SEARCH("minggu",C118))),IFERROR(_xlfn.NUMBERVALUE(SUBSTITUTE(LEFT(TRIM(C118),FIND(" ",TRIM(C118)&amp;" ")-1),",","."),"."),LEFT(SUBSTITUTE(LEFT(TRIM(C118),FIND(" ",TRIM(C118)&amp;" ")-1),",","."),FIND("/",SUBSTITUTE(LEFT(TRIM(C118),FIND(" ",TRIM(C118)&amp;" ")-1),",","."))-1)/MID(SUBSTITUTE(LEFT(TRIM(C118),FIND(" ",TRIM(C118)&amp;" ")-1),",","."),FIND("/",SUBSTITUTE(LEFT(TRIM(C118),FIND(" ",TRIM(C118)&amp;" ")-1),",","."))+1,9))*12/52,IF(ISNUMBER(SEARCH("month",C118)),IFERROR(_xlfn.NUMBERVALUE(SUBSTITUTE(LEFT(TRIM(C118),FIND(" ",TRIM(C118)&amp;" ")-1),",","."),"."),LEFT(SUBSTITUTE(LEFT(TRIM(C118),FIND(" ",TRIM(C118)&amp;" ")-1),",","."),FIND("/",SUBSTITUTE(LEFT(TRIM(C118),FIND(" ",TRIM(C118)&amp;" ")-1),",","."))-1)/MID(SUBSTITUTE(LEFT(TRIM(C118),FIND(" ",TRIM(C118)&amp;" ")-1),",","."),FIND("/",SUBSTITUTE(LEFT(TRIM(C118),FIND(" ",TRIM(C118)&amp;" ")-1),",","."))+1,9)),IF(ISNUMBER(SEARCH("yea",C118)),IFERROR(_xlfn.NUMBERVALUE(SUBSTITUTE(LEFT(TRIM(C118),FIND(" ",TRIM(C118)&amp;" ")-1),",","."),"."),LEFT(SUBSTITUTE(LEFT(TRIM(C118),FIND(" ",TRIM(C118)&amp;" ")-1),",","."),FIND("/",SUBSTITUTE(LEFT(TRIM(C118),FIND(" ",TRIM(C118)&amp;" ")-1),",","."))-1)/MID(SUBSTITUTE(LEFT(TRIM(C118),FIND(" ",TRIM(C118)&amp;" ")-1),",","."),FIND("/",SUBSTITUTE(LEFT(TRIM(C118),FIND(" ",TRIM(C118)&amp;" ")-1),",","."))+1,9))*12,NA()))),0),36)*'Aturan &amp; Tarif'!$B$4,2)</f>
        <v>2044.08</v>
      </c>
      <c r="K118" s="32" t="n">
        <f aca="false">'Aturan &amp; Tarif'!$B$5</f>
        <v>2050</v>
      </c>
      <c r="L118" s="35" t="n">
        <f aca="false">I118+J118+K118</f>
        <v>23734.08</v>
      </c>
      <c r="M118" s="37" t="s">
        <v>318</v>
      </c>
    </row>
    <row r="119" customFormat="false" ht="14.25" hidden="false" customHeight="true" outlineLevel="0" collapsed="false">
      <c r="A119" s="29"/>
      <c r="B119" s="30" t="s">
        <v>384</v>
      </c>
      <c r="C119" s="31" t="s">
        <v>127</v>
      </c>
      <c r="D119" s="31" t="s">
        <v>108</v>
      </c>
      <c r="E119" s="32" t="n">
        <v>9820</v>
      </c>
      <c r="F119" s="32"/>
      <c r="G119" s="32"/>
      <c r="H119" s="33" t="n">
        <v>2</v>
      </c>
      <c r="I119" s="34" t="n">
        <f aca="false">E119*H119+N(F119)+N(G119)</f>
        <v>19640</v>
      </c>
      <c r="J119" s="32" t="n">
        <f aca="false">ROUND(IFERROR(ROUND(IF(OR(ISNUMBER(SEARCH("week",C119)),ISNUMBER(SEARCH("minggu",C119))),IFERROR(_xlfn.NUMBERVALUE(SUBSTITUTE(LEFT(TRIM(C119),FIND(" ",TRIM(C119)&amp;" ")-1),",","."),"."),LEFT(SUBSTITUTE(LEFT(TRIM(C119),FIND(" ",TRIM(C119)&amp;" ")-1),",","."),FIND("/",SUBSTITUTE(LEFT(TRIM(C119),FIND(" ",TRIM(C119)&amp;" ")-1),",","."))-1)/MID(SUBSTITUTE(LEFT(TRIM(C119),FIND(" ",TRIM(C119)&amp;" ")-1),",","."),FIND("/",SUBSTITUTE(LEFT(TRIM(C119),FIND(" ",TRIM(C119)&amp;" ")-1),",","."))+1,9))*12/52,IF(ISNUMBER(SEARCH("month",C119)),IFERROR(_xlfn.NUMBERVALUE(SUBSTITUTE(LEFT(TRIM(C119),FIND(" ",TRIM(C119)&amp;" ")-1),",","."),"."),LEFT(SUBSTITUTE(LEFT(TRIM(C119),FIND(" ",TRIM(C119)&amp;" ")-1),",","."),FIND("/",SUBSTITUTE(LEFT(TRIM(C119),FIND(" ",TRIM(C119)&amp;" ")-1),",","."))-1)/MID(SUBSTITUTE(LEFT(TRIM(C119),FIND(" ",TRIM(C119)&amp;" ")-1),",","."),FIND("/",SUBSTITUTE(LEFT(TRIM(C119),FIND(" ",TRIM(C119)&amp;" ")-1),",","."))+1,9)),IF(ISNUMBER(SEARCH("yea",C119)),IFERROR(_xlfn.NUMBERVALUE(SUBSTITUTE(LEFT(TRIM(C119),FIND(" ",TRIM(C119)&amp;" ")-1),",","."),"."),LEFT(SUBSTITUTE(LEFT(TRIM(C119),FIND(" ",TRIM(C119)&amp;" ")-1),",","."),FIND("/",SUBSTITUTE(LEFT(TRIM(C119),FIND(" ",TRIM(C119)&amp;" ")-1),",","."))-1)/MID(SUBSTITUTE(LEFT(TRIM(C119),FIND(" ",TRIM(C119)&amp;" ")-1),",","."),FIND("/",SUBSTITUTE(LEFT(TRIM(C119),FIND(" ",TRIM(C119)&amp;" ")-1),",","."))+1,9))*12,NA()))),0),36)*'Aturan &amp; Tarif'!$B$4,2)</f>
        <v>2044.08</v>
      </c>
      <c r="K119" s="32" t="n">
        <f aca="false">'Aturan &amp; Tarif'!$B$5</f>
        <v>2050</v>
      </c>
      <c r="L119" s="35" t="n">
        <f aca="false">I119+J119+K119</f>
        <v>23734.08</v>
      </c>
      <c r="M119" s="37" t="s">
        <v>318</v>
      </c>
    </row>
    <row r="120" customFormat="false" ht="14.25" hidden="false" customHeight="true" outlineLevel="0" collapsed="false">
      <c r="A120" s="29"/>
      <c r="B120" s="30" t="s">
        <v>385</v>
      </c>
      <c r="C120" s="31" t="s">
        <v>127</v>
      </c>
      <c r="D120" s="31" t="s">
        <v>108</v>
      </c>
      <c r="E120" s="32" t="n">
        <v>8098</v>
      </c>
      <c r="F120" s="32"/>
      <c r="G120" s="32"/>
      <c r="H120" s="33" t="n">
        <v>2</v>
      </c>
      <c r="I120" s="34" t="n">
        <f aca="false">E120*H120+N(F120)+N(G120)</f>
        <v>16196</v>
      </c>
      <c r="J120" s="32" t="n">
        <f aca="false">ROUND(IFERROR(ROUND(IF(OR(ISNUMBER(SEARCH("week",C120)),ISNUMBER(SEARCH("minggu",C120))),IFERROR(_xlfn.NUMBERVALUE(SUBSTITUTE(LEFT(TRIM(C120),FIND(" ",TRIM(C120)&amp;" ")-1),",","."),"."),LEFT(SUBSTITUTE(LEFT(TRIM(C120),FIND(" ",TRIM(C120)&amp;" ")-1),",","."),FIND("/",SUBSTITUTE(LEFT(TRIM(C120),FIND(" ",TRIM(C120)&amp;" ")-1),",","."))-1)/MID(SUBSTITUTE(LEFT(TRIM(C120),FIND(" ",TRIM(C120)&amp;" ")-1),",","."),FIND("/",SUBSTITUTE(LEFT(TRIM(C120),FIND(" ",TRIM(C120)&amp;" ")-1),",","."))+1,9))*12/52,IF(ISNUMBER(SEARCH("month",C120)),IFERROR(_xlfn.NUMBERVALUE(SUBSTITUTE(LEFT(TRIM(C120),FIND(" ",TRIM(C120)&amp;" ")-1),",","."),"."),LEFT(SUBSTITUTE(LEFT(TRIM(C120),FIND(" ",TRIM(C120)&amp;" ")-1),",","."),FIND("/",SUBSTITUTE(LEFT(TRIM(C120),FIND(" ",TRIM(C120)&amp;" ")-1),",","."))-1)/MID(SUBSTITUTE(LEFT(TRIM(C120),FIND(" ",TRIM(C120)&amp;" ")-1),",","."),FIND("/",SUBSTITUTE(LEFT(TRIM(C120),FIND(" ",TRIM(C120)&amp;" ")-1),",","."))+1,9)),IF(ISNUMBER(SEARCH("yea",C120)),IFERROR(_xlfn.NUMBERVALUE(SUBSTITUTE(LEFT(TRIM(C120),FIND(" ",TRIM(C120)&amp;" ")-1),",","."),"."),LEFT(SUBSTITUTE(LEFT(TRIM(C120),FIND(" ",TRIM(C120)&amp;" ")-1),",","."),FIND("/",SUBSTITUTE(LEFT(TRIM(C120),FIND(" ",TRIM(C120)&amp;" ")-1),",","."))-1)/MID(SUBSTITUTE(LEFT(TRIM(C120),FIND(" ",TRIM(C120)&amp;" ")-1),",","."),FIND("/",SUBSTITUTE(LEFT(TRIM(C120),FIND(" ",TRIM(C120)&amp;" ")-1),",","."))+1,9))*12,NA()))),0),36)*'Aturan &amp; Tarif'!$B$4,2)</f>
        <v>2044.08</v>
      </c>
      <c r="K120" s="32" t="n">
        <f aca="false">'Aturan &amp; Tarif'!$B$5</f>
        <v>2050</v>
      </c>
      <c r="L120" s="35" t="n">
        <f aca="false">I120+J120+K120</f>
        <v>20290.08</v>
      </c>
      <c r="M120" s="37" t="s">
        <v>318</v>
      </c>
    </row>
    <row r="121" customFormat="false" ht="14.25" hidden="false" customHeight="true" outlineLevel="0" collapsed="false">
      <c r="A121" s="29"/>
      <c r="B121" s="30" t="s">
        <v>386</v>
      </c>
      <c r="C121" s="31" t="s">
        <v>191</v>
      </c>
      <c r="D121" s="31" t="s">
        <v>108</v>
      </c>
      <c r="E121" s="32" t="n">
        <v>13136</v>
      </c>
      <c r="F121" s="32"/>
      <c r="G121" s="32"/>
      <c r="H121" s="33" t="n">
        <v>2</v>
      </c>
      <c r="I121" s="34" t="n">
        <f aca="false">E121*H121+N(F121)+N(G121)</f>
        <v>26272</v>
      </c>
      <c r="J121" s="32" t="n">
        <f aca="false">ROUND(IFERROR(ROUND(IF(OR(ISNUMBER(SEARCH("week",C121)),ISNUMBER(SEARCH("minggu",C121))),IFERROR(_xlfn.NUMBERVALUE(SUBSTITUTE(LEFT(TRIM(C121),FIND(" ",TRIM(C121)&amp;" ")-1),",","."),"."),LEFT(SUBSTITUTE(LEFT(TRIM(C121),FIND(" ",TRIM(C121)&amp;" ")-1),",","."),FIND("/",SUBSTITUTE(LEFT(TRIM(C121),FIND(" ",TRIM(C121)&amp;" ")-1),",","."))-1)/MID(SUBSTITUTE(LEFT(TRIM(C121),FIND(" ",TRIM(C121)&amp;" ")-1),",","."),FIND("/",SUBSTITUTE(LEFT(TRIM(C121),FIND(" ",TRIM(C121)&amp;" ")-1),",","."))+1,9))*12/52,IF(ISNUMBER(SEARCH("month",C121)),IFERROR(_xlfn.NUMBERVALUE(SUBSTITUTE(LEFT(TRIM(C121),FIND(" ",TRIM(C121)&amp;" ")-1),",","."),"."),LEFT(SUBSTITUTE(LEFT(TRIM(C121),FIND(" ",TRIM(C121)&amp;" ")-1),",","."),FIND("/",SUBSTITUTE(LEFT(TRIM(C121),FIND(" ",TRIM(C121)&amp;" ")-1),",","."))-1)/MID(SUBSTITUTE(LEFT(TRIM(C121),FIND(" ",TRIM(C121)&amp;" ")-1),",","."),FIND("/",SUBSTITUTE(LEFT(TRIM(C121),FIND(" ",TRIM(C121)&amp;" ")-1),",","."))+1,9)),IF(ISNUMBER(SEARCH("yea",C121)),IFERROR(_xlfn.NUMBERVALUE(SUBSTITUTE(LEFT(TRIM(C121),FIND(" ",TRIM(C121)&amp;" ")-1),",","."),"."),LEFT(SUBSTITUTE(LEFT(TRIM(C121),FIND(" ",TRIM(C121)&amp;" ")-1),",","."),FIND("/",SUBSTITUTE(LEFT(TRIM(C121),FIND(" ",TRIM(C121)&amp;" ")-1),",","."))-1)/MID(SUBSTITUTE(LEFT(TRIM(C121),FIND(" ",TRIM(C121)&amp;" ")-1),",","."),FIND("/",SUBSTITUTE(LEFT(TRIM(C121),FIND(" ",TRIM(C121)&amp;" ")-1),",","."))+1,9))*12,NA()))),0),48)*'Aturan &amp; Tarif'!$B$4,2)</f>
        <v>2725.44</v>
      </c>
      <c r="K121" s="32" t="n">
        <f aca="false">'Aturan &amp; Tarif'!$B$5</f>
        <v>2050</v>
      </c>
      <c r="L121" s="35" t="n">
        <f aca="false">I121+J121+K121</f>
        <v>31047.44</v>
      </c>
      <c r="M121" s="37" t="s">
        <v>318</v>
      </c>
    </row>
    <row r="122" customFormat="false" ht="72" hidden="false" customHeight="true" outlineLevel="0" collapsed="false">
      <c r="A122" s="29"/>
      <c r="B122" s="30" t="s">
        <v>387</v>
      </c>
      <c r="C122" s="31" t="s">
        <v>191</v>
      </c>
      <c r="D122" s="31" t="s">
        <v>108</v>
      </c>
      <c r="E122" s="32" t="n">
        <v>13136</v>
      </c>
      <c r="F122" s="32"/>
      <c r="G122" s="32"/>
      <c r="H122" s="33" t="n">
        <v>2</v>
      </c>
      <c r="I122" s="34" t="n">
        <f aca="false">E122*H122+N(F122)+N(G122)</f>
        <v>26272</v>
      </c>
      <c r="J122" s="32" t="n">
        <f aca="false">ROUND(IFERROR(ROUND(IF(OR(ISNUMBER(SEARCH("week",C122)),ISNUMBER(SEARCH("minggu",C122))),IFERROR(_xlfn.NUMBERVALUE(SUBSTITUTE(LEFT(TRIM(C122),FIND(" ",TRIM(C122)&amp;" ")-1),",","."),"."),LEFT(SUBSTITUTE(LEFT(TRIM(C122),FIND(" ",TRIM(C122)&amp;" ")-1),",","."),FIND("/",SUBSTITUTE(LEFT(TRIM(C122),FIND(" ",TRIM(C122)&amp;" ")-1),",","."))-1)/MID(SUBSTITUTE(LEFT(TRIM(C122),FIND(" ",TRIM(C122)&amp;" ")-1),",","."),FIND("/",SUBSTITUTE(LEFT(TRIM(C122),FIND(" ",TRIM(C122)&amp;" ")-1),",","."))+1,9))*12/52,IF(ISNUMBER(SEARCH("month",C122)),IFERROR(_xlfn.NUMBERVALUE(SUBSTITUTE(LEFT(TRIM(C122),FIND(" ",TRIM(C122)&amp;" ")-1),",","."),"."),LEFT(SUBSTITUTE(LEFT(TRIM(C122),FIND(" ",TRIM(C122)&amp;" ")-1),",","."),FIND("/",SUBSTITUTE(LEFT(TRIM(C122),FIND(" ",TRIM(C122)&amp;" ")-1),",","."))-1)/MID(SUBSTITUTE(LEFT(TRIM(C122),FIND(" ",TRIM(C122)&amp;" ")-1),",","."),FIND("/",SUBSTITUTE(LEFT(TRIM(C122),FIND(" ",TRIM(C122)&amp;" ")-1),",","."))+1,9)),IF(ISNUMBER(SEARCH("yea",C122)),IFERROR(_xlfn.NUMBERVALUE(SUBSTITUTE(LEFT(TRIM(C122),FIND(" ",TRIM(C122)&amp;" ")-1),",","."),"."),LEFT(SUBSTITUTE(LEFT(TRIM(C122),FIND(" ",TRIM(C122)&amp;" ")-1),",","."),FIND("/",SUBSTITUTE(LEFT(TRIM(C122),FIND(" ",TRIM(C122)&amp;" ")-1),",","."))-1)/MID(SUBSTITUTE(LEFT(TRIM(C122),FIND(" ",TRIM(C122)&amp;" ")-1),",","."),FIND("/",SUBSTITUTE(LEFT(TRIM(C122),FIND(" ",TRIM(C122)&amp;" ")-1),",","."))+1,9))*12,NA()))),0),48)*'Aturan &amp; Tarif'!$B$4,2)</f>
        <v>2725.44</v>
      </c>
      <c r="K122" s="32" t="n">
        <f aca="false">'Aturan &amp; Tarif'!$B$5</f>
        <v>2050</v>
      </c>
      <c r="L122" s="35" t="n">
        <f aca="false">I122+J122+K122</f>
        <v>31047.44</v>
      </c>
      <c r="M122" s="36" t="s">
        <v>388</v>
      </c>
    </row>
    <row r="123" customFormat="false" ht="25.5" hidden="false" customHeight="true" outlineLevel="0" collapsed="false">
      <c r="A123" s="29"/>
      <c r="B123" s="30" t="s">
        <v>389</v>
      </c>
      <c r="C123" s="31" t="s">
        <v>191</v>
      </c>
      <c r="D123" s="31" t="s">
        <v>108</v>
      </c>
      <c r="E123" s="32" t="n">
        <v>8098</v>
      </c>
      <c r="F123" s="32"/>
      <c r="G123" s="32"/>
      <c r="H123" s="33" t="n">
        <v>2</v>
      </c>
      <c r="I123" s="34" t="n">
        <f aca="false">E123*H123+N(F123)+N(G123)</f>
        <v>16196</v>
      </c>
      <c r="J123" s="32" t="n">
        <f aca="false">ROUND(IFERROR(ROUND(IF(OR(ISNUMBER(SEARCH("week",C123)),ISNUMBER(SEARCH("minggu",C123))),IFERROR(_xlfn.NUMBERVALUE(SUBSTITUTE(LEFT(TRIM(C123),FIND(" ",TRIM(C123)&amp;" ")-1),",","."),"."),LEFT(SUBSTITUTE(LEFT(TRIM(C123),FIND(" ",TRIM(C123)&amp;" ")-1),",","."),FIND("/",SUBSTITUTE(LEFT(TRIM(C123),FIND(" ",TRIM(C123)&amp;" ")-1),",","."))-1)/MID(SUBSTITUTE(LEFT(TRIM(C123),FIND(" ",TRIM(C123)&amp;" ")-1),",","."),FIND("/",SUBSTITUTE(LEFT(TRIM(C123),FIND(" ",TRIM(C123)&amp;" ")-1),",","."))+1,9))*12/52,IF(ISNUMBER(SEARCH("month",C123)),IFERROR(_xlfn.NUMBERVALUE(SUBSTITUTE(LEFT(TRIM(C123),FIND(" ",TRIM(C123)&amp;" ")-1),",","."),"."),LEFT(SUBSTITUTE(LEFT(TRIM(C123),FIND(" ",TRIM(C123)&amp;" ")-1),",","."),FIND("/",SUBSTITUTE(LEFT(TRIM(C123),FIND(" ",TRIM(C123)&amp;" ")-1),",","."))-1)/MID(SUBSTITUTE(LEFT(TRIM(C123),FIND(" ",TRIM(C123)&amp;" ")-1),",","."),FIND("/",SUBSTITUTE(LEFT(TRIM(C123),FIND(" ",TRIM(C123)&amp;" ")-1),",","."))+1,9)),IF(ISNUMBER(SEARCH("yea",C123)),IFERROR(_xlfn.NUMBERVALUE(SUBSTITUTE(LEFT(TRIM(C123),FIND(" ",TRIM(C123)&amp;" ")-1),",","."),"."),LEFT(SUBSTITUTE(LEFT(TRIM(C123),FIND(" ",TRIM(C123)&amp;" ")-1),",","."),FIND("/",SUBSTITUTE(LEFT(TRIM(C123),FIND(" ",TRIM(C123)&amp;" ")-1),",","."))-1)/MID(SUBSTITUTE(LEFT(TRIM(C123),FIND(" ",TRIM(C123)&amp;" ")-1),",","."),FIND("/",SUBSTITUTE(LEFT(TRIM(C123),FIND(" ",TRIM(C123)&amp;" ")-1),",","."))+1,9))*12,NA()))),0),48)*'Aturan &amp; Tarif'!$B$4,2)</f>
        <v>2725.44</v>
      </c>
      <c r="K123" s="32" t="n">
        <f aca="false">'Aturan &amp; Tarif'!$B$5</f>
        <v>2050</v>
      </c>
      <c r="L123" s="35" t="n">
        <f aca="false">I123+J123+K123</f>
        <v>20971.44</v>
      </c>
      <c r="M123" s="37" t="s">
        <v>318</v>
      </c>
    </row>
    <row r="124" customFormat="false" ht="37.5" hidden="false" customHeight="true" outlineLevel="0" collapsed="false">
      <c r="A124" s="29"/>
      <c r="B124" s="30" t="s">
        <v>390</v>
      </c>
      <c r="C124" s="31" t="s">
        <v>191</v>
      </c>
      <c r="D124" s="31" t="s">
        <v>108</v>
      </c>
      <c r="E124" s="32" t="n">
        <v>8098</v>
      </c>
      <c r="F124" s="32"/>
      <c r="G124" s="32"/>
      <c r="H124" s="33" t="n">
        <v>2</v>
      </c>
      <c r="I124" s="34" t="n">
        <f aca="false">E124*H124+N(F124)+N(G124)</f>
        <v>16196</v>
      </c>
      <c r="J124" s="32" t="n">
        <f aca="false">ROUND(IFERROR(ROUND(IF(OR(ISNUMBER(SEARCH("week",C124)),ISNUMBER(SEARCH("minggu",C124))),IFERROR(_xlfn.NUMBERVALUE(SUBSTITUTE(LEFT(TRIM(C124),FIND(" ",TRIM(C124)&amp;" ")-1),",","."),"."),LEFT(SUBSTITUTE(LEFT(TRIM(C124),FIND(" ",TRIM(C124)&amp;" ")-1),",","."),FIND("/",SUBSTITUTE(LEFT(TRIM(C124),FIND(" ",TRIM(C124)&amp;" ")-1),",","."))-1)/MID(SUBSTITUTE(LEFT(TRIM(C124),FIND(" ",TRIM(C124)&amp;" ")-1),",","."),FIND("/",SUBSTITUTE(LEFT(TRIM(C124),FIND(" ",TRIM(C124)&amp;" ")-1),",","."))+1,9))*12/52,IF(ISNUMBER(SEARCH("month",C124)),IFERROR(_xlfn.NUMBERVALUE(SUBSTITUTE(LEFT(TRIM(C124),FIND(" ",TRIM(C124)&amp;" ")-1),",","."),"."),LEFT(SUBSTITUTE(LEFT(TRIM(C124),FIND(" ",TRIM(C124)&amp;" ")-1),",","."),FIND("/",SUBSTITUTE(LEFT(TRIM(C124),FIND(" ",TRIM(C124)&amp;" ")-1),",","."))-1)/MID(SUBSTITUTE(LEFT(TRIM(C124),FIND(" ",TRIM(C124)&amp;" ")-1),",","."),FIND("/",SUBSTITUTE(LEFT(TRIM(C124),FIND(" ",TRIM(C124)&amp;" ")-1),",","."))+1,9)),IF(ISNUMBER(SEARCH("yea",C124)),IFERROR(_xlfn.NUMBERVALUE(SUBSTITUTE(LEFT(TRIM(C124),FIND(" ",TRIM(C124)&amp;" ")-1),",","."),"."),LEFT(SUBSTITUTE(LEFT(TRIM(C124),FIND(" ",TRIM(C124)&amp;" ")-1),",","."),FIND("/",SUBSTITUTE(LEFT(TRIM(C124),FIND(" ",TRIM(C124)&amp;" ")-1),",","."))-1)/MID(SUBSTITUTE(LEFT(TRIM(C124),FIND(" ",TRIM(C124)&amp;" ")-1),",","."),FIND("/",SUBSTITUTE(LEFT(TRIM(C124),FIND(" ",TRIM(C124)&amp;" ")-1),",","."))+1,9))*12,NA()))),0),48)*'Aturan &amp; Tarif'!$B$4,2)</f>
        <v>2725.44</v>
      </c>
      <c r="K124" s="32" t="n">
        <f aca="false">'Aturan &amp; Tarif'!$B$5</f>
        <v>2050</v>
      </c>
      <c r="L124" s="35" t="n">
        <f aca="false">I124+J124+K124</f>
        <v>20971.44</v>
      </c>
      <c r="M124" s="36" t="s">
        <v>391</v>
      </c>
    </row>
    <row r="125" customFormat="false" ht="37.5" hidden="false" customHeight="true" outlineLevel="0" collapsed="false">
      <c r="A125" s="29"/>
      <c r="B125" s="30" t="s">
        <v>392</v>
      </c>
      <c r="C125" s="31" t="s">
        <v>191</v>
      </c>
      <c r="D125" s="31" t="s">
        <v>108</v>
      </c>
      <c r="E125" s="32" t="n">
        <v>8098</v>
      </c>
      <c r="F125" s="32"/>
      <c r="G125" s="32"/>
      <c r="H125" s="33" t="n">
        <v>2</v>
      </c>
      <c r="I125" s="34" t="n">
        <f aca="false">E125*H125+N(F125)+N(G125)</f>
        <v>16196</v>
      </c>
      <c r="J125" s="32" t="n">
        <f aca="false">ROUND(IFERROR(ROUND(IF(OR(ISNUMBER(SEARCH("week",C125)),ISNUMBER(SEARCH("minggu",C125))),IFERROR(_xlfn.NUMBERVALUE(SUBSTITUTE(LEFT(TRIM(C125),FIND(" ",TRIM(C125)&amp;" ")-1),",","."),"."),LEFT(SUBSTITUTE(LEFT(TRIM(C125),FIND(" ",TRIM(C125)&amp;" ")-1),",","."),FIND("/",SUBSTITUTE(LEFT(TRIM(C125),FIND(" ",TRIM(C125)&amp;" ")-1),",","."))-1)/MID(SUBSTITUTE(LEFT(TRIM(C125),FIND(" ",TRIM(C125)&amp;" ")-1),",","."),FIND("/",SUBSTITUTE(LEFT(TRIM(C125),FIND(" ",TRIM(C125)&amp;" ")-1),",","."))+1,9))*12/52,IF(ISNUMBER(SEARCH("month",C125)),IFERROR(_xlfn.NUMBERVALUE(SUBSTITUTE(LEFT(TRIM(C125),FIND(" ",TRIM(C125)&amp;" ")-1),",","."),"."),LEFT(SUBSTITUTE(LEFT(TRIM(C125),FIND(" ",TRIM(C125)&amp;" ")-1),",","."),FIND("/",SUBSTITUTE(LEFT(TRIM(C125),FIND(" ",TRIM(C125)&amp;" ")-1),",","."))-1)/MID(SUBSTITUTE(LEFT(TRIM(C125),FIND(" ",TRIM(C125)&amp;" ")-1),",","."),FIND("/",SUBSTITUTE(LEFT(TRIM(C125),FIND(" ",TRIM(C125)&amp;" ")-1),",","."))+1,9)),IF(ISNUMBER(SEARCH("yea",C125)),IFERROR(_xlfn.NUMBERVALUE(SUBSTITUTE(LEFT(TRIM(C125),FIND(" ",TRIM(C125)&amp;" ")-1),",","."),"."),LEFT(SUBSTITUTE(LEFT(TRIM(C125),FIND(" ",TRIM(C125)&amp;" ")-1),",","."),FIND("/",SUBSTITUTE(LEFT(TRIM(C125),FIND(" ",TRIM(C125)&amp;" ")-1),",","."))-1)/MID(SUBSTITUTE(LEFT(TRIM(C125),FIND(" ",TRIM(C125)&amp;" ")-1),",","."),FIND("/",SUBSTITUTE(LEFT(TRIM(C125),FIND(" ",TRIM(C125)&amp;" ")-1),",","."))+1,9))*12,NA()))),0),48)*'Aturan &amp; Tarif'!$B$4,2)</f>
        <v>2725.44</v>
      </c>
      <c r="K125" s="32" t="n">
        <f aca="false">'Aturan &amp; Tarif'!$B$5</f>
        <v>2050</v>
      </c>
      <c r="L125" s="35" t="n">
        <f aca="false">I125+J125+K125</f>
        <v>20971.44</v>
      </c>
      <c r="M125" s="36" t="s">
        <v>391</v>
      </c>
    </row>
    <row r="126" customFormat="false" ht="25.5" hidden="false" customHeight="true" outlineLevel="0" collapsed="false">
      <c r="A126" s="29"/>
      <c r="B126" s="30" t="s">
        <v>393</v>
      </c>
      <c r="C126" s="31" t="s">
        <v>191</v>
      </c>
      <c r="D126" s="31" t="s">
        <v>108</v>
      </c>
      <c r="E126" s="32" t="n">
        <v>8098</v>
      </c>
      <c r="F126" s="32"/>
      <c r="G126" s="32"/>
      <c r="H126" s="33" t="n">
        <v>2</v>
      </c>
      <c r="I126" s="34" t="n">
        <f aca="false">E126*H126+N(F126)+N(G126)</f>
        <v>16196</v>
      </c>
      <c r="J126" s="32" t="n">
        <f aca="false">ROUND(IFERROR(ROUND(IF(OR(ISNUMBER(SEARCH("week",C126)),ISNUMBER(SEARCH("minggu",C126))),IFERROR(_xlfn.NUMBERVALUE(SUBSTITUTE(LEFT(TRIM(C126),FIND(" ",TRIM(C126)&amp;" ")-1),",","."),"."),LEFT(SUBSTITUTE(LEFT(TRIM(C126),FIND(" ",TRIM(C126)&amp;" ")-1),",","."),FIND("/",SUBSTITUTE(LEFT(TRIM(C126),FIND(" ",TRIM(C126)&amp;" ")-1),",","."))-1)/MID(SUBSTITUTE(LEFT(TRIM(C126),FIND(" ",TRIM(C126)&amp;" ")-1),",","."),FIND("/",SUBSTITUTE(LEFT(TRIM(C126),FIND(" ",TRIM(C126)&amp;" ")-1),",","."))+1,9))*12/52,IF(ISNUMBER(SEARCH("month",C126)),IFERROR(_xlfn.NUMBERVALUE(SUBSTITUTE(LEFT(TRIM(C126),FIND(" ",TRIM(C126)&amp;" ")-1),",","."),"."),LEFT(SUBSTITUTE(LEFT(TRIM(C126),FIND(" ",TRIM(C126)&amp;" ")-1),",","."),FIND("/",SUBSTITUTE(LEFT(TRIM(C126),FIND(" ",TRIM(C126)&amp;" ")-1),",","."))-1)/MID(SUBSTITUTE(LEFT(TRIM(C126),FIND(" ",TRIM(C126)&amp;" ")-1),",","."),FIND("/",SUBSTITUTE(LEFT(TRIM(C126),FIND(" ",TRIM(C126)&amp;" ")-1),",","."))+1,9)),IF(ISNUMBER(SEARCH("yea",C126)),IFERROR(_xlfn.NUMBERVALUE(SUBSTITUTE(LEFT(TRIM(C126),FIND(" ",TRIM(C126)&amp;" ")-1),",","."),"."),LEFT(SUBSTITUTE(LEFT(TRIM(C126),FIND(" ",TRIM(C126)&amp;" ")-1),",","."),FIND("/",SUBSTITUTE(LEFT(TRIM(C126),FIND(" ",TRIM(C126)&amp;" ")-1),",","."))-1)/MID(SUBSTITUTE(LEFT(TRIM(C126),FIND(" ",TRIM(C126)&amp;" ")-1),",","."),FIND("/",SUBSTITUTE(LEFT(TRIM(C126),FIND(" ",TRIM(C126)&amp;" ")-1),",","."))+1,9))*12,NA()))),0),48)*'Aturan &amp; Tarif'!$B$4,2)</f>
        <v>2725.44</v>
      </c>
      <c r="K126" s="32" t="n">
        <f aca="false">'Aturan &amp; Tarif'!$B$5</f>
        <v>2050</v>
      </c>
      <c r="L126" s="35" t="n">
        <f aca="false">I126+J126+K126</f>
        <v>20971.44</v>
      </c>
      <c r="M126" s="37" t="s">
        <v>322</v>
      </c>
    </row>
    <row r="127" customFormat="false" ht="25.5" hidden="false" customHeight="true" outlineLevel="0" collapsed="false">
      <c r="A127" s="29"/>
      <c r="B127" s="30" t="s">
        <v>394</v>
      </c>
      <c r="C127" s="31" t="s">
        <v>191</v>
      </c>
      <c r="D127" s="31" t="s">
        <v>108</v>
      </c>
      <c r="E127" s="32" t="n">
        <v>8098</v>
      </c>
      <c r="F127" s="32"/>
      <c r="G127" s="32"/>
      <c r="H127" s="33" t="n">
        <v>2</v>
      </c>
      <c r="I127" s="34" t="n">
        <f aca="false">E127*H127+N(F127)+N(G127)</f>
        <v>16196</v>
      </c>
      <c r="J127" s="32" t="n">
        <f aca="false">ROUND(IFERROR(ROUND(IF(OR(ISNUMBER(SEARCH("week",C127)),ISNUMBER(SEARCH("minggu",C127))),IFERROR(_xlfn.NUMBERVALUE(SUBSTITUTE(LEFT(TRIM(C127),FIND(" ",TRIM(C127)&amp;" ")-1),",","."),"."),LEFT(SUBSTITUTE(LEFT(TRIM(C127),FIND(" ",TRIM(C127)&amp;" ")-1),",","."),FIND("/",SUBSTITUTE(LEFT(TRIM(C127),FIND(" ",TRIM(C127)&amp;" ")-1),",","."))-1)/MID(SUBSTITUTE(LEFT(TRIM(C127),FIND(" ",TRIM(C127)&amp;" ")-1),",","."),FIND("/",SUBSTITUTE(LEFT(TRIM(C127),FIND(" ",TRIM(C127)&amp;" ")-1),",","."))+1,9))*12/52,IF(ISNUMBER(SEARCH("month",C127)),IFERROR(_xlfn.NUMBERVALUE(SUBSTITUTE(LEFT(TRIM(C127),FIND(" ",TRIM(C127)&amp;" ")-1),",","."),"."),LEFT(SUBSTITUTE(LEFT(TRIM(C127),FIND(" ",TRIM(C127)&amp;" ")-1),",","."),FIND("/",SUBSTITUTE(LEFT(TRIM(C127),FIND(" ",TRIM(C127)&amp;" ")-1),",","."))-1)/MID(SUBSTITUTE(LEFT(TRIM(C127),FIND(" ",TRIM(C127)&amp;" ")-1),",","."),FIND("/",SUBSTITUTE(LEFT(TRIM(C127),FIND(" ",TRIM(C127)&amp;" ")-1),",","."))+1,9)),IF(ISNUMBER(SEARCH("yea",C127)),IFERROR(_xlfn.NUMBERVALUE(SUBSTITUTE(LEFT(TRIM(C127),FIND(" ",TRIM(C127)&amp;" ")-1),",","."),"."),LEFT(SUBSTITUTE(LEFT(TRIM(C127),FIND(" ",TRIM(C127)&amp;" ")-1),",","."),FIND("/",SUBSTITUTE(LEFT(TRIM(C127),FIND(" ",TRIM(C127)&amp;" ")-1),",","."))-1)/MID(SUBSTITUTE(LEFT(TRIM(C127),FIND(" ",TRIM(C127)&amp;" ")-1),",","."),FIND("/",SUBSTITUTE(LEFT(TRIM(C127),FIND(" ",TRIM(C127)&amp;" ")-1),",","."))+1,9))*12,NA()))),0),48)*'Aturan &amp; Tarif'!$B$4,2)</f>
        <v>2725.44</v>
      </c>
      <c r="K127" s="32" t="n">
        <f aca="false">'Aturan &amp; Tarif'!$B$5</f>
        <v>2050</v>
      </c>
      <c r="L127" s="35" t="n">
        <f aca="false">I127+J127+K127</f>
        <v>20971.44</v>
      </c>
      <c r="M127" s="37" t="s">
        <v>322</v>
      </c>
    </row>
    <row r="128" customFormat="false" ht="25.5" hidden="false" customHeight="true" outlineLevel="0" collapsed="false">
      <c r="A128" s="29"/>
      <c r="B128" s="30" t="s">
        <v>387</v>
      </c>
      <c r="C128" s="31" t="s">
        <v>191</v>
      </c>
      <c r="D128" s="31" t="s">
        <v>108</v>
      </c>
      <c r="E128" s="32" t="n">
        <v>8098</v>
      </c>
      <c r="F128" s="32"/>
      <c r="G128" s="32"/>
      <c r="H128" s="33" t="n">
        <v>2</v>
      </c>
      <c r="I128" s="34" t="n">
        <f aca="false">E128*H128+N(F128)+N(G128)</f>
        <v>16196</v>
      </c>
      <c r="J128" s="32" t="n">
        <f aca="false">ROUND(IFERROR(ROUND(IF(OR(ISNUMBER(SEARCH("week",C128)),ISNUMBER(SEARCH("minggu",C128))),IFERROR(_xlfn.NUMBERVALUE(SUBSTITUTE(LEFT(TRIM(C128),FIND(" ",TRIM(C128)&amp;" ")-1),",","."),"."),LEFT(SUBSTITUTE(LEFT(TRIM(C128),FIND(" ",TRIM(C128)&amp;" ")-1),",","."),FIND("/",SUBSTITUTE(LEFT(TRIM(C128),FIND(" ",TRIM(C128)&amp;" ")-1),",","."))-1)/MID(SUBSTITUTE(LEFT(TRIM(C128),FIND(" ",TRIM(C128)&amp;" ")-1),",","."),FIND("/",SUBSTITUTE(LEFT(TRIM(C128),FIND(" ",TRIM(C128)&amp;" ")-1),",","."))+1,9))*12/52,IF(ISNUMBER(SEARCH("month",C128)),IFERROR(_xlfn.NUMBERVALUE(SUBSTITUTE(LEFT(TRIM(C128),FIND(" ",TRIM(C128)&amp;" ")-1),",","."),"."),LEFT(SUBSTITUTE(LEFT(TRIM(C128),FIND(" ",TRIM(C128)&amp;" ")-1),",","."),FIND("/",SUBSTITUTE(LEFT(TRIM(C128),FIND(" ",TRIM(C128)&amp;" ")-1),",","."))-1)/MID(SUBSTITUTE(LEFT(TRIM(C128),FIND(" ",TRIM(C128)&amp;" ")-1),",","."),FIND("/",SUBSTITUTE(LEFT(TRIM(C128),FIND(" ",TRIM(C128)&amp;" ")-1),",","."))+1,9)),IF(ISNUMBER(SEARCH("yea",C128)),IFERROR(_xlfn.NUMBERVALUE(SUBSTITUTE(LEFT(TRIM(C128),FIND(" ",TRIM(C128)&amp;" ")-1),",","."),"."),LEFT(SUBSTITUTE(LEFT(TRIM(C128),FIND(" ",TRIM(C128)&amp;" ")-1),",","."),FIND("/",SUBSTITUTE(LEFT(TRIM(C128),FIND(" ",TRIM(C128)&amp;" ")-1),",","."))-1)/MID(SUBSTITUTE(LEFT(TRIM(C128),FIND(" ",TRIM(C128)&amp;" ")-1),",","."),FIND("/",SUBSTITUTE(LEFT(TRIM(C128),FIND(" ",TRIM(C128)&amp;" ")-1),",","."))+1,9))*12,NA()))),0),48)*'Aturan &amp; Tarif'!$B$4,2)</f>
        <v>2725.44</v>
      </c>
      <c r="K128" s="32" t="n">
        <f aca="false">'Aturan &amp; Tarif'!$B$5</f>
        <v>2050</v>
      </c>
      <c r="L128" s="35" t="n">
        <f aca="false">I128+J128+K128</f>
        <v>20971.44</v>
      </c>
      <c r="M128" s="37" t="s">
        <v>322</v>
      </c>
    </row>
    <row r="129" customFormat="false" ht="14.25" hidden="false" customHeight="true" outlineLevel="0" collapsed="false">
      <c r="A129" s="29"/>
      <c r="B129" s="30" t="s">
        <v>395</v>
      </c>
      <c r="C129" s="31" t="s">
        <v>191</v>
      </c>
      <c r="D129" s="31" t="s">
        <v>108</v>
      </c>
      <c r="E129" s="32" t="n">
        <v>8098</v>
      </c>
      <c r="F129" s="32"/>
      <c r="G129" s="32"/>
      <c r="H129" s="33" t="n">
        <v>2</v>
      </c>
      <c r="I129" s="34" t="n">
        <f aca="false">E129*H129+N(F129)+N(G129)</f>
        <v>16196</v>
      </c>
      <c r="J129" s="32" t="n">
        <f aca="false">ROUND(IFERROR(ROUND(IF(OR(ISNUMBER(SEARCH("week",C129)),ISNUMBER(SEARCH("minggu",C129))),IFERROR(_xlfn.NUMBERVALUE(SUBSTITUTE(LEFT(TRIM(C129),FIND(" ",TRIM(C129)&amp;" ")-1),",","."),"."),LEFT(SUBSTITUTE(LEFT(TRIM(C129),FIND(" ",TRIM(C129)&amp;" ")-1),",","."),FIND("/",SUBSTITUTE(LEFT(TRIM(C129),FIND(" ",TRIM(C129)&amp;" ")-1),",","."))-1)/MID(SUBSTITUTE(LEFT(TRIM(C129),FIND(" ",TRIM(C129)&amp;" ")-1),",","."),FIND("/",SUBSTITUTE(LEFT(TRIM(C129),FIND(" ",TRIM(C129)&amp;" ")-1),",","."))+1,9))*12/52,IF(ISNUMBER(SEARCH("month",C129)),IFERROR(_xlfn.NUMBERVALUE(SUBSTITUTE(LEFT(TRIM(C129),FIND(" ",TRIM(C129)&amp;" ")-1),",","."),"."),LEFT(SUBSTITUTE(LEFT(TRIM(C129),FIND(" ",TRIM(C129)&amp;" ")-1),",","."),FIND("/",SUBSTITUTE(LEFT(TRIM(C129),FIND(" ",TRIM(C129)&amp;" ")-1),",","."))-1)/MID(SUBSTITUTE(LEFT(TRIM(C129),FIND(" ",TRIM(C129)&amp;" ")-1),",","."),FIND("/",SUBSTITUTE(LEFT(TRIM(C129),FIND(" ",TRIM(C129)&amp;" ")-1),",","."))+1,9)),IF(ISNUMBER(SEARCH("yea",C129)),IFERROR(_xlfn.NUMBERVALUE(SUBSTITUTE(LEFT(TRIM(C129),FIND(" ",TRIM(C129)&amp;" ")-1),",","."),"."),LEFT(SUBSTITUTE(LEFT(TRIM(C129),FIND(" ",TRIM(C129)&amp;" ")-1),",","."),FIND("/",SUBSTITUTE(LEFT(TRIM(C129),FIND(" ",TRIM(C129)&amp;" ")-1),",","."))-1)/MID(SUBSTITUTE(LEFT(TRIM(C129),FIND(" ",TRIM(C129)&amp;" ")-1),",","."),FIND("/",SUBSTITUTE(LEFT(TRIM(C129),FIND(" ",TRIM(C129)&amp;" ")-1),",","."))+1,9))*12,NA()))),0),48)*'Aturan &amp; Tarif'!$B$4,2)</f>
        <v>2725.44</v>
      </c>
      <c r="K129" s="32" t="n">
        <f aca="false">'Aturan &amp; Tarif'!$B$5</f>
        <v>2050</v>
      </c>
      <c r="L129" s="35" t="n">
        <f aca="false">I129+J129+K129</f>
        <v>20971.44</v>
      </c>
      <c r="M129" s="37" t="s">
        <v>322</v>
      </c>
    </row>
    <row r="130" customFormat="false" ht="14.25" hidden="false" customHeight="true" outlineLevel="0" collapsed="false">
      <c r="A130" s="29"/>
      <c r="B130" s="30" t="s">
        <v>396</v>
      </c>
      <c r="C130" s="31" t="s">
        <v>191</v>
      </c>
      <c r="D130" s="31" t="s">
        <v>108</v>
      </c>
      <c r="E130" s="32" t="n">
        <v>13136</v>
      </c>
      <c r="F130" s="32"/>
      <c r="G130" s="32"/>
      <c r="H130" s="33" t="n">
        <v>2</v>
      </c>
      <c r="I130" s="34" t="n">
        <f aca="false">E130*H130+N(F130)+N(G130)</f>
        <v>26272</v>
      </c>
      <c r="J130" s="32" t="n">
        <f aca="false">ROUND(IFERROR(ROUND(IF(OR(ISNUMBER(SEARCH("week",C130)),ISNUMBER(SEARCH("minggu",C130))),IFERROR(_xlfn.NUMBERVALUE(SUBSTITUTE(LEFT(TRIM(C130),FIND(" ",TRIM(C130)&amp;" ")-1),",","."),"."),LEFT(SUBSTITUTE(LEFT(TRIM(C130),FIND(" ",TRIM(C130)&amp;" ")-1),",","."),FIND("/",SUBSTITUTE(LEFT(TRIM(C130),FIND(" ",TRIM(C130)&amp;" ")-1),",","."))-1)/MID(SUBSTITUTE(LEFT(TRIM(C130),FIND(" ",TRIM(C130)&amp;" ")-1),",","."),FIND("/",SUBSTITUTE(LEFT(TRIM(C130),FIND(" ",TRIM(C130)&amp;" ")-1),",","."))+1,9))*12/52,IF(ISNUMBER(SEARCH("month",C130)),IFERROR(_xlfn.NUMBERVALUE(SUBSTITUTE(LEFT(TRIM(C130),FIND(" ",TRIM(C130)&amp;" ")-1),",","."),"."),LEFT(SUBSTITUTE(LEFT(TRIM(C130),FIND(" ",TRIM(C130)&amp;" ")-1),",","."),FIND("/",SUBSTITUTE(LEFT(TRIM(C130),FIND(" ",TRIM(C130)&amp;" ")-1),",","."))-1)/MID(SUBSTITUTE(LEFT(TRIM(C130),FIND(" ",TRIM(C130)&amp;" ")-1),",","."),FIND("/",SUBSTITUTE(LEFT(TRIM(C130),FIND(" ",TRIM(C130)&amp;" ")-1),",","."))+1,9)),IF(ISNUMBER(SEARCH("yea",C130)),IFERROR(_xlfn.NUMBERVALUE(SUBSTITUTE(LEFT(TRIM(C130),FIND(" ",TRIM(C130)&amp;" ")-1),",","."),"."),LEFT(SUBSTITUTE(LEFT(TRIM(C130),FIND(" ",TRIM(C130)&amp;" ")-1),",","."),FIND("/",SUBSTITUTE(LEFT(TRIM(C130),FIND(" ",TRIM(C130)&amp;" ")-1),",","."))-1)/MID(SUBSTITUTE(LEFT(TRIM(C130),FIND(" ",TRIM(C130)&amp;" ")-1),",","."),FIND("/",SUBSTITUTE(LEFT(TRIM(C130),FIND(" ",TRIM(C130)&amp;" ")-1),",","."))+1,9))*12,NA()))),0),48)*'Aturan &amp; Tarif'!$B$4,2)</f>
        <v>2725.44</v>
      </c>
      <c r="K130" s="32" t="n">
        <f aca="false">'Aturan &amp; Tarif'!$B$5</f>
        <v>2050</v>
      </c>
      <c r="L130" s="35" t="n">
        <f aca="false">I130+J130+K130</f>
        <v>31047.44</v>
      </c>
      <c r="M130" s="37" t="s">
        <v>318</v>
      </c>
    </row>
    <row r="131" customFormat="false" ht="14.25" hidden="false" customHeight="true" outlineLevel="0" collapsed="false">
      <c r="A131" s="29"/>
      <c r="B131" s="30" t="s">
        <v>397</v>
      </c>
      <c r="C131" s="31" t="s">
        <v>130</v>
      </c>
      <c r="D131" s="31" t="s">
        <v>108</v>
      </c>
      <c r="E131" s="32" t="n">
        <v>8018</v>
      </c>
      <c r="F131" s="32"/>
      <c r="G131" s="32"/>
      <c r="H131" s="33" t="n">
        <v>2</v>
      </c>
      <c r="I131" s="34" t="n">
        <f aca="false">E131*H131+N(F131)+N(G131)</f>
        <v>16036</v>
      </c>
      <c r="J131" s="32" t="n">
        <f aca="false">ROUND(IFERROR(ROUND(IF(OR(ISNUMBER(SEARCH("week",C131)),ISNUMBER(SEARCH("minggu",C131))),IFERROR(_xlfn.NUMBERVALUE(SUBSTITUTE(LEFT(TRIM(C131),FIND(" ",TRIM(C131)&amp;" ")-1),",","."),"."),LEFT(SUBSTITUTE(LEFT(TRIM(C131),FIND(" ",TRIM(C131)&amp;" ")-1),",","."),FIND("/",SUBSTITUTE(LEFT(TRIM(C131),FIND(" ",TRIM(C131)&amp;" ")-1),",","."))-1)/MID(SUBSTITUTE(LEFT(TRIM(C131),FIND(" ",TRIM(C131)&amp;" ")-1),",","."),FIND("/",SUBSTITUTE(LEFT(TRIM(C131),FIND(" ",TRIM(C131)&amp;" ")-1),",","."))+1,9))*12/52,IF(ISNUMBER(SEARCH("month",C131)),IFERROR(_xlfn.NUMBERVALUE(SUBSTITUTE(LEFT(TRIM(C131),FIND(" ",TRIM(C131)&amp;" ")-1),",","."),"."),LEFT(SUBSTITUTE(LEFT(TRIM(C131),FIND(" ",TRIM(C131)&amp;" ")-1),",","."),FIND("/",SUBSTITUTE(LEFT(TRIM(C131),FIND(" ",TRIM(C131)&amp;" ")-1),",","."))-1)/MID(SUBSTITUTE(LEFT(TRIM(C131),FIND(" ",TRIM(C131)&amp;" ")-1),",","."),FIND("/",SUBSTITUTE(LEFT(TRIM(C131),FIND(" ",TRIM(C131)&amp;" ")-1),",","."))+1,9)),IF(ISNUMBER(SEARCH("yea",C131)),IFERROR(_xlfn.NUMBERVALUE(SUBSTITUTE(LEFT(TRIM(C131),FIND(" ",TRIM(C131)&amp;" ")-1),",","."),"."),LEFT(SUBSTITUTE(LEFT(TRIM(C131),FIND(" ",TRIM(C131)&amp;" ")-1),",","."),FIND("/",SUBSTITUTE(LEFT(TRIM(C131),FIND(" ",TRIM(C131)&amp;" ")-1),",","."))-1)/MID(SUBSTITUTE(LEFT(TRIM(C131),FIND(" ",TRIM(C131)&amp;" ")-1),",","."),FIND("/",SUBSTITUTE(LEFT(TRIM(C131),FIND(" ",TRIM(C131)&amp;" ")-1),",","."))+1,9))*12,NA()))),0),12)*'Aturan &amp; Tarif'!$B$4,2)</f>
        <v>681.36</v>
      </c>
      <c r="K131" s="32" t="n">
        <f aca="false">'Aturan &amp; Tarif'!$B$5</f>
        <v>2050</v>
      </c>
      <c r="L131" s="35" t="n">
        <f aca="false">I131+J131+K131</f>
        <v>18767.36</v>
      </c>
      <c r="M131" s="37" t="s">
        <v>318</v>
      </c>
    </row>
    <row r="132" customFormat="false" ht="14.25" hidden="false" customHeight="true" outlineLevel="0" collapsed="false">
      <c r="A132" s="29"/>
      <c r="B132" s="30" t="s">
        <v>398</v>
      </c>
      <c r="C132" s="31" t="s">
        <v>107</v>
      </c>
      <c r="D132" s="31" t="s">
        <v>108</v>
      </c>
      <c r="E132" s="32" t="n">
        <v>8018</v>
      </c>
      <c r="F132" s="32"/>
      <c r="G132" s="32"/>
      <c r="H132" s="33" t="n">
        <v>2</v>
      </c>
      <c r="I132" s="34" t="n">
        <f aca="false">E132*H132+N(F132)+N(G132)</f>
        <v>16036</v>
      </c>
      <c r="J132" s="32" t="n">
        <f aca="false">ROUND(IFERROR(ROUND(IF(OR(ISNUMBER(SEARCH("week",C132)),ISNUMBER(SEARCH("minggu",C132))),IFERROR(_xlfn.NUMBERVALUE(SUBSTITUTE(LEFT(TRIM(C132),FIND(" ",TRIM(C132)&amp;" ")-1),",","."),"."),LEFT(SUBSTITUTE(LEFT(TRIM(C132),FIND(" ",TRIM(C132)&amp;" ")-1),",","."),FIND("/",SUBSTITUTE(LEFT(TRIM(C132),FIND(" ",TRIM(C132)&amp;" ")-1),",","."))-1)/MID(SUBSTITUTE(LEFT(TRIM(C132),FIND(" ",TRIM(C132)&amp;" ")-1),",","."),FIND("/",SUBSTITUTE(LEFT(TRIM(C132),FIND(" ",TRIM(C132)&amp;" ")-1),",","."))+1,9))*12/52,IF(ISNUMBER(SEARCH("month",C132)),IFERROR(_xlfn.NUMBERVALUE(SUBSTITUTE(LEFT(TRIM(C132),FIND(" ",TRIM(C132)&amp;" ")-1),",","."),"."),LEFT(SUBSTITUTE(LEFT(TRIM(C132),FIND(" ",TRIM(C132)&amp;" ")-1),",","."),FIND("/",SUBSTITUTE(LEFT(TRIM(C132),FIND(" ",TRIM(C132)&amp;" ")-1),",","."))-1)/MID(SUBSTITUTE(LEFT(TRIM(C132),FIND(" ",TRIM(C132)&amp;" ")-1),",","."),FIND("/",SUBSTITUTE(LEFT(TRIM(C132),FIND(" ",TRIM(C132)&amp;" ")-1),",","."))+1,9)),IF(ISNUMBER(SEARCH("yea",C132)),IFERROR(_xlfn.NUMBERVALUE(SUBSTITUTE(LEFT(TRIM(C132),FIND(" ",TRIM(C132)&amp;" ")-1),",","."),"."),LEFT(SUBSTITUTE(LEFT(TRIM(C132),FIND(" ",TRIM(C132)&amp;" ")-1),",","."),FIND("/",SUBSTITUTE(LEFT(TRIM(C132),FIND(" ",TRIM(C132)&amp;" ")-1),",","."))-1)/MID(SUBSTITUTE(LEFT(TRIM(C132),FIND(" ",TRIM(C132)&amp;" ")-1),",","."),FIND("/",SUBSTITUTE(LEFT(TRIM(C132),FIND(" ",TRIM(C132)&amp;" ")-1),",","."))+1,9))*12,NA()))),0),24)*'Aturan &amp; Tarif'!$B$4,2)</f>
        <v>1362.72</v>
      </c>
      <c r="K132" s="32" t="n">
        <f aca="false">'Aturan &amp; Tarif'!$B$5</f>
        <v>2050</v>
      </c>
      <c r="L132" s="35" t="n">
        <f aca="false">I132+J132+K132</f>
        <v>19448.72</v>
      </c>
      <c r="M132" s="37" t="s">
        <v>318</v>
      </c>
    </row>
    <row r="133" customFormat="false" ht="14.25" hidden="false" customHeight="true" outlineLevel="0" collapsed="false">
      <c r="A133" s="29"/>
      <c r="B133" s="30" t="s">
        <v>399</v>
      </c>
      <c r="C133" s="31" t="s">
        <v>107</v>
      </c>
      <c r="D133" s="31" t="s">
        <v>108</v>
      </c>
      <c r="E133" s="32" t="n">
        <v>11410</v>
      </c>
      <c r="F133" s="32"/>
      <c r="G133" s="32"/>
      <c r="H133" s="33" t="n">
        <v>2</v>
      </c>
      <c r="I133" s="34" t="n">
        <f aca="false">E133*H133+N(F133)+N(G133)</f>
        <v>22820</v>
      </c>
      <c r="J133" s="32" t="n">
        <f aca="false">ROUND(IFERROR(ROUND(IF(OR(ISNUMBER(SEARCH("week",C133)),ISNUMBER(SEARCH("minggu",C133))),IFERROR(_xlfn.NUMBERVALUE(SUBSTITUTE(LEFT(TRIM(C133),FIND(" ",TRIM(C133)&amp;" ")-1),",","."),"."),LEFT(SUBSTITUTE(LEFT(TRIM(C133),FIND(" ",TRIM(C133)&amp;" ")-1),",","."),FIND("/",SUBSTITUTE(LEFT(TRIM(C133),FIND(" ",TRIM(C133)&amp;" ")-1),",","."))-1)/MID(SUBSTITUTE(LEFT(TRIM(C133),FIND(" ",TRIM(C133)&amp;" ")-1),",","."),FIND("/",SUBSTITUTE(LEFT(TRIM(C133),FIND(" ",TRIM(C133)&amp;" ")-1),",","."))+1,9))*12/52,IF(ISNUMBER(SEARCH("month",C133)),IFERROR(_xlfn.NUMBERVALUE(SUBSTITUTE(LEFT(TRIM(C133),FIND(" ",TRIM(C133)&amp;" ")-1),",","."),"."),LEFT(SUBSTITUTE(LEFT(TRIM(C133),FIND(" ",TRIM(C133)&amp;" ")-1),",","."),FIND("/",SUBSTITUTE(LEFT(TRIM(C133),FIND(" ",TRIM(C133)&amp;" ")-1),",","."))-1)/MID(SUBSTITUTE(LEFT(TRIM(C133),FIND(" ",TRIM(C133)&amp;" ")-1),",","."),FIND("/",SUBSTITUTE(LEFT(TRIM(C133),FIND(" ",TRIM(C133)&amp;" ")-1),",","."))+1,9)),IF(ISNUMBER(SEARCH("yea",C133)),IFERROR(_xlfn.NUMBERVALUE(SUBSTITUTE(LEFT(TRIM(C133),FIND(" ",TRIM(C133)&amp;" ")-1),",","."),"."),LEFT(SUBSTITUTE(LEFT(TRIM(C133),FIND(" ",TRIM(C133)&amp;" ")-1),",","."),FIND("/",SUBSTITUTE(LEFT(TRIM(C133),FIND(" ",TRIM(C133)&amp;" ")-1),",","."))-1)/MID(SUBSTITUTE(LEFT(TRIM(C133),FIND(" ",TRIM(C133)&amp;" ")-1),",","."),FIND("/",SUBSTITUTE(LEFT(TRIM(C133),FIND(" ",TRIM(C133)&amp;" ")-1),",","."))+1,9))*12,NA()))),0),24)*'Aturan &amp; Tarif'!$B$4,2)</f>
        <v>1362.72</v>
      </c>
      <c r="K133" s="32" t="n">
        <f aca="false">'Aturan &amp; Tarif'!$B$5</f>
        <v>2050</v>
      </c>
      <c r="L133" s="35" t="n">
        <f aca="false">I133+J133+K133</f>
        <v>26232.72</v>
      </c>
      <c r="M133" s="37" t="s">
        <v>318</v>
      </c>
    </row>
    <row r="134" customFormat="false" ht="25.5" hidden="false" customHeight="true" outlineLevel="0" collapsed="false">
      <c r="A134" s="29"/>
      <c r="B134" s="30" t="s">
        <v>400</v>
      </c>
      <c r="C134" s="31" t="s">
        <v>107</v>
      </c>
      <c r="D134" s="31" t="s">
        <v>108</v>
      </c>
      <c r="E134" s="32" t="n">
        <v>8172</v>
      </c>
      <c r="F134" s="32"/>
      <c r="G134" s="32"/>
      <c r="H134" s="33" t="n">
        <v>2</v>
      </c>
      <c r="I134" s="34" t="n">
        <f aca="false">E134*H134+N(F134)+N(G134)</f>
        <v>16344</v>
      </c>
      <c r="J134" s="32" t="n">
        <f aca="false">ROUND(IFERROR(ROUND(IF(OR(ISNUMBER(SEARCH("week",C134)),ISNUMBER(SEARCH("minggu",C134))),IFERROR(_xlfn.NUMBERVALUE(SUBSTITUTE(LEFT(TRIM(C134),FIND(" ",TRIM(C134)&amp;" ")-1),",","."),"."),LEFT(SUBSTITUTE(LEFT(TRIM(C134),FIND(" ",TRIM(C134)&amp;" ")-1),",","."),FIND("/",SUBSTITUTE(LEFT(TRIM(C134),FIND(" ",TRIM(C134)&amp;" ")-1),",","."))-1)/MID(SUBSTITUTE(LEFT(TRIM(C134),FIND(" ",TRIM(C134)&amp;" ")-1),",","."),FIND("/",SUBSTITUTE(LEFT(TRIM(C134),FIND(" ",TRIM(C134)&amp;" ")-1),",","."))+1,9))*12/52,IF(ISNUMBER(SEARCH("month",C134)),IFERROR(_xlfn.NUMBERVALUE(SUBSTITUTE(LEFT(TRIM(C134),FIND(" ",TRIM(C134)&amp;" ")-1),",","."),"."),LEFT(SUBSTITUTE(LEFT(TRIM(C134),FIND(" ",TRIM(C134)&amp;" ")-1),",","."),FIND("/",SUBSTITUTE(LEFT(TRIM(C134),FIND(" ",TRIM(C134)&amp;" ")-1),",","."))-1)/MID(SUBSTITUTE(LEFT(TRIM(C134),FIND(" ",TRIM(C134)&amp;" ")-1),",","."),FIND("/",SUBSTITUTE(LEFT(TRIM(C134),FIND(" ",TRIM(C134)&amp;" ")-1),",","."))+1,9)),IF(ISNUMBER(SEARCH("yea",C134)),IFERROR(_xlfn.NUMBERVALUE(SUBSTITUTE(LEFT(TRIM(C134),FIND(" ",TRIM(C134)&amp;" ")-1),",","."),"."),LEFT(SUBSTITUTE(LEFT(TRIM(C134),FIND(" ",TRIM(C134)&amp;" ")-1),",","."),FIND("/",SUBSTITUTE(LEFT(TRIM(C134),FIND(" ",TRIM(C134)&amp;" ")-1),",","."))-1)/MID(SUBSTITUTE(LEFT(TRIM(C134),FIND(" ",TRIM(C134)&amp;" ")-1),",","."),FIND("/",SUBSTITUTE(LEFT(TRIM(C134),FIND(" ",TRIM(C134)&amp;" ")-1),",","."))+1,9))*12,NA()))),0),24)*'Aturan &amp; Tarif'!$B$4,2)</f>
        <v>1362.72</v>
      </c>
      <c r="K134" s="32" t="n">
        <f aca="false">'Aturan &amp; Tarif'!$B$5</f>
        <v>2050</v>
      </c>
      <c r="L134" s="35" t="n">
        <f aca="false">I134+J134+K134</f>
        <v>19756.72</v>
      </c>
      <c r="M134" s="37" t="s">
        <v>318</v>
      </c>
    </row>
    <row r="135" customFormat="false" ht="14.25" hidden="false" customHeight="true" outlineLevel="0" collapsed="false">
      <c r="A135" s="29"/>
      <c r="B135" s="30" t="s">
        <v>285</v>
      </c>
      <c r="C135" s="31" t="s">
        <v>107</v>
      </c>
      <c r="D135" s="31" t="s">
        <v>108</v>
      </c>
      <c r="E135" s="32" t="n">
        <v>9288</v>
      </c>
      <c r="F135" s="32"/>
      <c r="G135" s="32"/>
      <c r="H135" s="33" t="n">
        <v>2</v>
      </c>
      <c r="I135" s="34" t="n">
        <f aca="false">E135*H135+N(F135)+N(G135)</f>
        <v>18576</v>
      </c>
      <c r="J135" s="32" t="n">
        <f aca="false">ROUND(IFERROR(ROUND(IF(OR(ISNUMBER(SEARCH("week",C135)),ISNUMBER(SEARCH("minggu",C135))),IFERROR(_xlfn.NUMBERVALUE(SUBSTITUTE(LEFT(TRIM(C135),FIND(" ",TRIM(C135)&amp;" ")-1),",","."),"."),LEFT(SUBSTITUTE(LEFT(TRIM(C135),FIND(" ",TRIM(C135)&amp;" ")-1),",","."),FIND("/",SUBSTITUTE(LEFT(TRIM(C135),FIND(" ",TRIM(C135)&amp;" ")-1),",","."))-1)/MID(SUBSTITUTE(LEFT(TRIM(C135),FIND(" ",TRIM(C135)&amp;" ")-1),",","."),FIND("/",SUBSTITUTE(LEFT(TRIM(C135),FIND(" ",TRIM(C135)&amp;" ")-1),",","."))+1,9))*12/52,IF(ISNUMBER(SEARCH("month",C135)),IFERROR(_xlfn.NUMBERVALUE(SUBSTITUTE(LEFT(TRIM(C135),FIND(" ",TRIM(C135)&amp;" ")-1),",","."),"."),LEFT(SUBSTITUTE(LEFT(TRIM(C135),FIND(" ",TRIM(C135)&amp;" ")-1),",","."),FIND("/",SUBSTITUTE(LEFT(TRIM(C135),FIND(" ",TRIM(C135)&amp;" ")-1),",","."))-1)/MID(SUBSTITUTE(LEFT(TRIM(C135),FIND(" ",TRIM(C135)&amp;" ")-1),",","."),FIND("/",SUBSTITUTE(LEFT(TRIM(C135),FIND(" ",TRIM(C135)&amp;" ")-1),",","."))+1,9)),IF(ISNUMBER(SEARCH("yea",C135)),IFERROR(_xlfn.NUMBERVALUE(SUBSTITUTE(LEFT(TRIM(C135),FIND(" ",TRIM(C135)&amp;" ")-1),",","."),"."),LEFT(SUBSTITUTE(LEFT(TRIM(C135),FIND(" ",TRIM(C135)&amp;" ")-1),",","."),FIND("/",SUBSTITUTE(LEFT(TRIM(C135),FIND(" ",TRIM(C135)&amp;" ")-1),",","."))-1)/MID(SUBSTITUTE(LEFT(TRIM(C135),FIND(" ",TRIM(C135)&amp;" ")-1),",","."),FIND("/",SUBSTITUTE(LEFT(TRIM(C135),FIND(" ",TRIM(C135)&amp;" ")-1),",","."))+1,9))*12,NA()))),0),24)*'Aturan &amp; Tarif'!$B$4,2)</f>
        <v>1362.72</v>
      </c>
      <c r="K135" s="32" t="n">
        <f aca="false">'Aturan &amp; Tarif'!$B$5</f>
        <v>2050</v>
      </c>
      <c r="L135" s="35" t="n">
        <f aca="false">I135+J135+K135</f>
        <v>21988.72</v>
      </c>
      <c r="M135" s="37" t="s">
        <v>318</v>
      </c>
    </row>
    <row r="136" customFormat="false" ht="14.25" hidden="false" customHeight="true" outlineLevel="0" collapsed="false">
      <c r="A136" s="29"/>
      <c r="B136" s="30" t="s">
        <v>287</v>
      </c>
      <c r="C136" s="31" t="s">
        <v>107</v>
      </c>
      <c r="D136" s="31" t="s">
        <v>108</v>
      </c>
      <c r="E136" s="32" t="n">
        <v>9288</v>
      </c>
      <c r="F136" s="32"/>
      <c r="G136" s="32"/>
      <c r="H136" s="33" t="n">
        <v>2</v>
      </c>
      <c r="I136" s="34" t="n">
        <f aca="false">E136*H136+N(F136)+N(G136)</f>
        <v>18576</v>
      </c>
      <c r="J136" s="32" t="n">
        <f aca="false">ROUND(IFERROR(ROUND(IF(OR(ISNUMBER(SEARCH("week",C136)),ISNUMBER(SEARCH("minggu",C136))),IFERROR(_xlfn.NUMBERVALUE(SUBSTITUTE(LEFT(TRIM(C136),FIND(" ",TRIM(C136)&amp;" ")-1),",","."),"."),LEFT(SUBSTITUTE(LEFT(TRIM(C136),FIND(" ",TRIM(C136)&amp;" ")-1),",","."),FIND("/",SUBSTITUTE(LEFT(TRIM(C136),FIND(" ",TRIM(C136)&amp;" ")-1),",","."))-1)/MID(SUBSTITUTE(LEFT(TRIM(C136),FIND(" ",TRIM(C136)&amp;" ")-1),",","."),FIND("/",SUBSTITUTE(LEFT(TRIM(C136),FIND(" ",TRIM(C136)&amp;" ")-1),",","."))+1,9))*12/52,IF(ISNUMBER(SEARCH("month",C136)),IFERROR(_xlfn.NUMBERVALUE(SUBSTITUTE(LEFT(TRIM(C136),FIND(" ",TRIM(C136)&amp;" ")-1),",","."),"."),LEFT(SUBSTITUTE(LEFT(TRIM(C136),FIND(" ",TRIM(C136)&amp;" ")-1),",","."),FIND("/",SUBSTITUTE(LEFT(TRIM(C136),FIND(" ",TRIM(C136)&amp;" ")-1),",","."))-1)/MID(SUBSTITUTE(LEFT(TRIM(C136),FIND(" ",TRIM(C136)&amp;" ")-1),",","."),FIND("/",SUBSTITUTE(LEFT(TRIM(C136),FIND(" ",TRIM(C136)&amp;" ")-1),",","."))+1,9)),IF(ISNUMBER(SEARCH("yea",C136)),IFERROR(_xlfn.NUMBERVALUE(SUBSTITUTE(LEFT(TRIM(C136),FIND(" ",TRIM(C136)&amp;" ")-1),",","."),"."),LEFT(SUBSTITUTE(LEFT(TRIM(C136),FIND(" ",TRIM(C136)&amp;" ")-1),",","."),FIND("/",SUBSTITUTE(LEFT(TRIM(C136),FIND(" ",TRIM(C136)&amp;" ")-1),",","."))-1)/MID(SUBSTITUTE(LEFT(TRIM(C136),FIND(" ",TRIM(C136)&amp;" ")-1),",","."),FIND("/",SUBSTITUTE(LEFT(TRIM(C136),FIND(" ",TRIM(C136)&amp;" ")-1),",","."))+1,9))*12,NA()))),0),24)*'Aturan &amp; Tarif'!$B$4,2)</f>
        <v>1362.72</v>
      </c>
      <c r="K136" s="32" t="n">
        <f aca="false">'Aturan &amp; Tarif'!$B$5</f>
        <v>2050</v>
      </c>
      <c r="L136" s="35" t="n">
        <f aca="false">I136+J136+K136</f>
        <v>21988.72</v>
      </c>
      <c r="M136" s="37" t="s">
        <v>318</v>
      </c>
    </row>
    <row r="137" customFormat="false" ht="25.5" hidden="false" customHeight="true" outlineLevel="0" collapsed="false">
      <c r="A137" s="29"/>
      <c r="B137" s="30" t="s">
        <v>401</v>
      </c>
      <c r="C137" s="31" t="s">
        <v>107</v>
      </c>
      <c r="D137" s="31" t="s">
        <v>108</v>
      </c>
      <c r="E137" s="32" t="n">
        <v>9288</v>
      </c>
      <c r="F137" s="32"/>
      <c r="G137" s="32"/>
      <c r="H137" s="33" t="n">
        <v>2</v>
      </c>
      <c r="I137" s="34" t="n">
        <f aca="false">E137*H137+N(F137)+N(G137)</f>
        <v>18576</v>
      </c>
      <c r="J137" s="32" t="n">
        <f aca="false">ROUND(IFERROR(ROUND(IF(OR(ISNUMBER(SEARCH("week",C137)),ISNUMBER(SEARCH("minggu",C137))),IFERROR(_xlfn.NUMBERVALUE(SUBSTITUTE(LEFT(TRIM(C137),FIND(" ",TRIM(C137)&amp;" ")-1),",","."),"."),LEFT(SUBSTITUTE(LEFT(TRIM(C137),FIND(" ",TRIM(C137)&amp;" ")-1),",","."),FIND("/",SUBSTITUTE(LEFT(TRIM(C137),FIND(" ",TRIM(C137)&amp;" ")-1),",","."))-1)/MID(SUBSTITUTE(LEFT(TRIM(C137),FIND(" ",TRIM(C137)&amp;" ")-1),",","."),FIND("/",SUBSTITUTE(LEFT(TRIM(C137),FIND(" ",TRIM(C137)&amp;" ")-1),",","."))+1,9))*12/52,IF(ISNUMBER(SEARCH("month",C137)),IFERROR(_xlfn.NUMBERVALUE(SUBSTITUTE(LEFT(TRIM(C137),FIND(" ",TRIM(C137)&amp;" ")-1),",","."),"."),LEFT(SUBSTITUTE(LEFT(TRIM(C137),FIND(" ",TRIM(C137)&amp;" ")-1),",","."),FIND("/",SUBSTITUTE(LEFT(TRIM(C137),FIND(" ",TRIM(C137)&amp;" ")-1),",","."))-1)/MID(SUBSTITUTE(LEFT(TRIM(C137),FIND(" ",TRIM(C137)&amp;" ")-1),",","."),FIND("/",SUBSTITUTE(LEFT(TRIM(C137),FIND(" ",TRIM(C137)&amp;" ")-1),",","."))+1,9)),IF(ISNUMBER(SEARCH("yea",C137)),IFERROR(_xlfn.NUMBERVALUE(SUBSTITUTE(LEFT(TRIM(C137),FIND(" ",TRIM(C137)&amp;" ")-1),",","."),"."),LEFT(SUBSTITUTE(LEFT(TRIM(C137),FIND(" ",TRIM(C137)&amp;" ")-1),",","."),FIND("/",SUBSTITUTE(LEFT(TRIM(C137),FIND(" ",TRIM(C137)&amp;" ")-1),",","."))-1)/MID(SUBSTITUTE(LEFT(TRIM(C137),FIND(" ",TRIM(C137)&amp;" ")-1),",","."),FIND("/",SUBSTITUTE(LEFT(TRIM(C137),FIND(" ",TRIM(C137)&amp;" ")-1),",","."))+1,9))*12,NA()))),0),24)*'Aturan &amp; Tarif'!$B$4,2)</f>
        <v>1362.72</v>
      </c>
      <c r="K137" s="32" t="n">
        <f aca="false">'Aturan &amp; Tarif'!$B$5</f>
        <v>2050</v>
      </c>
      <c r="L137" s="35" t="n">
        <f aca="false">I137+J137+K137</f>
        <v>21988.72</v>
      </c>
      <c r="M137" s="37" t="s">
        <v>318</v>
      </c>
    </row>
    <row r="138" customFormat="false" ht="14.25" hidden="false" customHeight="true" outlineLevel="0" collapsed="false">
      <c r="A138" s="29"/>
      <c r="B138" s="30" t="s">
        <v>283</v>
      </c>
      <c r="C138" s="31" t="s">
        <v>107</v>
      </c>
      <c r="D138" s="31" t="s">
        <v>108</v>
      </c>
      <c r="E138" s="32" t="n">
        <v>8018</v>
      </c>
      <c r="F138" s="32"/>
      <c r="G138" s="32"/>
      <c r="H138" s="33" t="n">
        <v>2</v>
      </c>
      <c r="I138" s="34" t="n">
        <f aca="false">E138*H138+N(F138)+N(G138)</f>
        <v>16036</v>
      </c>
      <c r="J138" s="32" t="n">
        <f aca="false">ROUND(IFERROR(ROUND(IF(OR(ISNUMBER(SEARCH("week",C138)),ISNUMBER(SEARCH("minggu",C138))),IFERROR(_xlfn.NUMBERVALUE(SUBSTITUTE(LEFT(TRIM(C138),FIND(" ",TRIM(C138)&amp;" ")-1),",","."),"."),LEFT(SUBSTITUTE(LEFT(TRIM(C138),FIND(" ",TRIM(C138)&amp;" ")-1),",","."),FIND("/",SUBSTITUTE(LEFT(TRIM(C138),FIND(" ",TRIM(C138)&amp;" ")-1),",","."))-1)/MID(SUBSTITUTE(LEFT(TRIM(C138),FIND(" ",TRIM(C138)&amp;" ")-1),",","."),FIND("/",SUBSTITUTE(LEFT(TRIM(C138),FIND(" ",TRIM(C138)&amp;" ")-1),",","."))+1,9))*12/52,IF(ISNUMBER(SEARCH("month",C138)),IFERROR(_xlfn.NUMBERVALUE(SUBSTITUTE(LEFT(TRIM(C138),FIND(" ",TRIM(C138)&amp;" ")-1),",","."),"."),LEFT(SUBSTITUTE(LEFT(TRIM(C138),FIND(" ",TRIM(C138)&amp;" ")-1),",","."),FIND("/",SUBSTITUTE(LEFT(TRIM(C138),FIND(" ",TRIM(C138)&amp;" ")-1),",","."))-1)/MID(SUBSTITUTE(LEFT(TRIM(C138),FIND(" ",TRIM(C138)&amp;" ")-1),",","."),FIND("/",SUBSTITUTE(LEFT(TRIM(C138),FIND(" ",TRIM(C138)&amp;" ")-1),",","."))+1,9)),IF(ISNUMBER(SEARCH("yea",C138)),IFERROR(_xlfn.NUMBERVALUE(SUBSTITUTE(LEFT(TRIM(C138),FIND(" ",TRIM(C138)&amp;" ")-1),",","."),"."),LEFT(SUBSTITUTE(LEFT(TRIM(C138),FIND(" ",TRIM(C138)&amp;" ")-1),",","."),FIND("/",SUBSTITUTE(LEFT(TRIM(C138),FIND(" ",TRIM(C138)&amp;" ")-1),",","."))-1)/MID(SUBSTITUTE(LEFT(TRIM(C138),FIND(" ",TRIM(C138)&amp;" ")-1),",","."),FIND("/",SUBSTITUTE(LEFT(TRIM(C138),FIND(" ",TRIM(C138)&amp;" ")-1),",","."))+1,9))*12,NA()))),0),24)*'Aturan &amp; Tarif'!$B$4,2)</f>
        <v>1362.72</v>
      </c>
      <c r="K138" s="32" t="n">
        <f aca="false">'Aturan &amp; Tarif'!$B$5</f>
        <v>2050</v>
      </c>
      <c r="L138" s="35" t="n">
        <f aca="false">I138+J138+K138</f>
        <v>19448.72</v>
      </c>
      <c r="M138" s="37" t="s">
        <v>318</v>
      </c>
    </row>
    <row r="139" customFormat="false" ht="25.5" hidden="false" customHeight="true" outlineLevel="0" collapsed="false">
      <c r="A139" s="29"/>
      <c r="B139" s="30" t="s">
        <v>402</v>
      </c>
      <c r="C139" s="31" t="s">
        <v>107</v>
      </c>
      <c r="D139" s="31" t="s">
        <v>108</v>
      </c>
      <c r="E139" s="32" t="n">
        <v>8018</v>
      </c>
      <c r="F139" s="32"/>
      <c r="G139" s="32"/>
      <c r="H139" s="33" t="n">
        <v>2</v>
      </c>
      <c r="I139" s="34" t="n">
        <f aca="false">E139*H139+N(F139)+N(G139)</f>
        <v>16036</v>
      </c>
      <c r="J139" s="32" t="n">
        <f aca="false">ROUND(IFERROR(ROUND(IF(OR(ISNUMBER(SEARCH("week",C139)),ISNUMBER(SEARCH("minggu",C139))),IFERROR(_xlfn.NUMBERVALUE(SUBSTITUTE(LEFT(TRIM(C139),FIND(" ",TRIM(C139)&amp;" ")-1),",","."),"."),LEFT(SUBSTITUTE(LEFT(TRIM(C139),FIND(" ",TRIM(C139)&amp;" ")-1),",","."),FIND("/",SUBSTITUTE(LEFT(TRIM(C139),FIND(" ",TRIM(C139)&amp;" ")-1),",","."))-1)/MID(SUBSTITUTE(LEFT(TRIM(C139),FIND(" ",TRIM(C139)&amp;" ")-1),",","."),FIND("/",SUBSTITUTE(LEFT(TRIM(C139),FIND(" ",TRIM(C139)&amp;" ")-1),",","."))+1,9))*12/52,IF(ISNUMBER(SEARCH("month",C139)),IFERROR(_xlfn.NUMBERVALUE(SUBSTITUTE(LEFT(TRIM(C139),FIND(" ",TRIM(C139)&amp;" ")-1),",","."),"."),LEFT(SUBSTITUTE(LEFT(TRIM(C139),FIND(" ",TRIM(C139)&amp;" ")-1),",","."),FIND("/",SUBSTITUTE(LEFT(TRIM(C139),FIND(" ",TRIM(C139)&amp;" ")-1),",","."))-1)/MID(SUBSTITUTE(LEFT(TRIM(C139),FIND(" ",TRIM(C139)&amp;" ")-1),",","."),FIND("/",SUBSTITUTE(LEFT(TRIM(C139),FIND(" ",TRIM(C139)&amp;" ")-1),",","."))+1,9)),IF(ISNUMBER(SEARCH("yea",C139)),IFERROR(_xlfn.NUMBERVALUE(SUBSTITUTE(LEFT(TRIM(C139),FIND(" ",TRIM(C139)&amp;" ")-1),",","."),"."),LEFT(SUBSTITUTE(LEFT(TRIM(C139),FIND(" ",TRIM(C139)&amp;" ")-1),",","."),FIND("/",SUBSTITUTE(LEFT(TRIM(C139),FIND(" ",TRIM(C139)&amp;" ")-1),",","."))-1)/MID(SUBSTITUTE(LEFT(TRIM(C139),FIND(" ",TRIM(C139)&amp;" ")-1),",","."),FIND("/",SUBSTITUTE(LEFT(TRIM(C139),FIND(" ",TRIM(C139)&amp;" ")-1),",","."))+1,9))*12,NA()))),0),24)*'Aturan &amp; Tarif'!$B$4,2)</f>
        <v>1362.72</v>
      </c>
      <c r="K139" s="32" t="n">
        <f aca="false">'Aturan &amp; Tarif'!$B$5</f>
        <v>2050</v>
      </c>
      <c r="L139" s="35" t="n">
        <f aca="false">I139+J139+K139</f>
        <v>19448.72</v>
      </c>
      <c r="M139" s="37" t="s">
        <v>318</v>
      </c>
    </row>
    <row r="140" customFormat="false" ht="14.25" hidden="false" customHeight="true" outlineLevel="0" collapsed="false">
      <c r="A140" s="29"/>
      <c r="B140" s="30" t="s">
        <v>289</v>
      </c>
      <c r="C140" s="31" t="s">
        <v>107</v>
      </c>
      <c r="D140" s="31" t="s">
        <v>108</v>
      </c>
      <c r="E140" s="32" t="n">
        <v>8018</v>
      </c>
      <c r="F140" s="32"/>
      <c r="G140" s="32"/>
      <c r="H140" s="33" t="n">
        <v>2</v>
      </c>
      <c r="I140" s="34" t="n">
        <f aca="false">E140*H140+N(F140)+N(G140)</f>
        <v>16036</v>
      </c>
      <c r="J140" s="32" t="n">
        <f aca="false">ROUND(IFERROR(ROUND(IF(OR(ISNUMBER(SEARCH("week",C140)),ISNUMBER(SEARCH("minggu",C140))),IFERROR(_xlfn.NUMBERVALUE(SUBSTITUTE(LEFT(TRIM(C140),FIND(" ",TRIM(C140)&amp;" ")-1),",","."),"."),LEFT(SUBSTITUTE(LEFT(TRIM(C140),FIND(" ",TRIM(C140)&amp;" ")-1),",","."),FIND("/",SUBSTITUTE(LEFT(TRIM(C140),FIND(" ",TRIM(C140)&amp;" ")-1),",","."))-1)/MID(SUBSTITUTE(LEFT(TRIM(C140),FIND(" ",TRIM(C140)&amp;" ")-1),",","."),FIND("/",SUBSTITUTE(LEFT(TRIM(C140),FIND(" ",TRIM(C140)&amp;" ")-1),",","."))+1,9))*12/52,IF(ISNUMBER(SEARCH("month",C140)),IFERROR(_xlfn.NUMBERVALUE(SUBSTITUTE(LEFT(TRIM(C140),FIND(" ",TRIM(C140)&amp;" ")-1),",","."),"."),LEFT(SUBSTITUTE(LEFT(TRIM(C140),FIND(" ",TRIM(C140)&amp;" ")-1),",","."),FIND("/",SUBSTITUTE(LEFT(TRIM(C140),FIND(" ",TRIM(C140)&amp;" ")-1),",","."))-1)/MID(SUBSTITUTE(LEFT(TRIM(C140),FIND(" ",TRIM(C140)&amp;" ")-1),",","."),FIND("/",SUBSTITUTE(LEFT(TRIM(C140),FIND(" ",TRIM(C140)&amp;" ")-1),",","."))+1,9)),IF(ISNUMBER(SEARCH("yea",C140)),IFERROR(_xlfn.NUMBERVALUE(SUBSTITUTE(LEFT(TRIM(C140),FIND(" ",TRIM(C140)&amp;" ")-1),",","."),"."),LEFT(SUBSTITUTE(LEFT(TRIM(C140),FIND(" ",TRIM(C140)&amp;" ")-1),",","."),FIND("/",SUBSTITUTE(LEFT(TRIM(C140),FIND(" ",TRIM(C140)&amp;" ")-1),",","."))-1)/MID(SUBSTITUTE(LEFT(TRIM(C140),FIND(" ",TRIM(C140)&amp;" ")-1),",","."),FIND("/",SUBSTITUTE(LEFT(TRIM(C140),FIND(" ",TRIM(C140)&amp;" ")-1),",","."))+1,9))*12,NA()))),0),24)*'Aturan &amp; Tarif'!$B$4,2)</f>
        <v>1362.72</v>
      </c>
      <c r="K140" s="32" t="n">
        <f aca="false">'Aturan &amp; Tarif'!$B$5</f>
        <v>2050</v>
      </c>
      <c r="L140" s="35" t="n">
        <f aca="false">I140+J140+K140</f>
        <v>19448.72</v>
      </c>
      <c r="M140" s="37" t="s">
        <v>318</v>
      </c>
    </row>
    <row r="141" customFormat="false" ht="14.25" hidden="false" customHeight="true" outlineLevel="0" collapsed="false">
      <c r="A141" s="29"/>
      <c r="B141" s="30" t="s">
        <v>403</v>
      </c>
      <c r="C141" s="31" t="s">
        <v>127</v>
      </c>
      <c r="D141" s="31" t="s">
        <v>108</v>
      </c>
      <c r="E141" s="32" t="n">
        <v>7162</v>
      </c>
      <c r="F141" s="32"/>
      <c r="G141" s="32"/>
      <c r="H141" s="33" t="n">
        <v>2</v>
      </c>
      <c r="I141" s="34" t="n">
        <f aca="false">E141*H141+N(F141)+N(G141)</f>
        <v>14324</v>
      </c>
      <c r="J141" s="32" t="n">
        <f aca="false">ROUND(IFERROR(ROUND(IF(OR(ISNUMBER(SEARCH("week",C141)),ISNUMBER(SEARCH("minggu",C141))),IFERROR(_xlfn.NUMBERVALUE(SUBSTITUTE(LEFT(TRIM(C141),FIND(" ",TRIM(C141)&amp;" ")-1),",","."),"."),LEFT(SUBSTITUTE(LEFT(TRIM(C141),FIND(" ",TRIM(C141)&amp;" ")-1),",","."),FIND("/",SUBSTITUTE(LEFT(TRIM(C141),FIND(" ",TRIM(C141)&amp;" ")-1),",","."))-1)/MID(SUBSTITUTE(LEFT(TRIM(C141),FIND(" ",TRIM(C141)&amp;" ")-1),",","."),FIND("/",SUBSTITUTE(LEFT(TRIM(C141),FIND(" ",TRIM(C141)&amp;" ")-1),",","."))+1,9))*12/52,IF(ISNUMBER(SEARCH("month",C141)),IFERROR(_xlfn.NUMBERVALUE(SUBSTITUTE(LEFT(TRIM(C141),FIND(" ",TRIM(C141)&amp;" ")-1),",","."),"."),LEFT(SUBSTITUTE(LEFT(TRIM(C141),FIND(" ",TRIM(C141)&amp;" ")-1),",","."),FIND("/",SUBSTITUTE(LEFT(TRIM(C141),FIND(" ",TRIM(C141)&amp;" ")-1),",","."))-1)/MID(SUBSTITUTE(LEFT(TRIM(C141),FIND(" ",TRIM(C141)&amp;" ")-1),",","."),FIND("/",SUBSTITUTE(LEFT(TRIM(C141),FIND(" ",TRIM(C141)&amp;" ")-1),",","."))+1,9)),IF(ISNUMBER(SEARCH("yea",C141)),IFERROR(_xlfn.NUMBERVALUE(SUBSTITUTE(LEFT(TRIM(C141),FIND(" ",TRIM(C141)&amp;" ")-1),",","."),"."),LEFT(SUBSTITUTE(LEFT(TRIM(C141),FIND(" ",TRIM(C141)&amp;" ")-1),",","."),FIND("/",SUBSTITUTE(LEFT(TRIM(C141),FIND(" ",TRIM(C141)&amp;" ")-1),",","."))-1)/MID(SUBSTITUTE(LEFT(TRIM(C141),FIND(" ",TRIM(C141)&amp;" ")-1),",","."),FIND("/",SUBSTITUTE(LEFT(TRIM(C141),FIND(" ",TRIM(C141)&amp;" ")-1),",","."))+1,9))*12,NA()))),0),36)*'Aturan &amp; Tarif'!$B$4,2)</f>
        <v>2044.08</v>
      </c>
      <c r="K141" s="32" t="n">
        <f aca="false">'Aturan &amp; Tarif'!$B$5</f>
        <v>2050</v>
      </c>
      <c r="L141" s="35" t="n">
        <f aca="false">I141+J141+K141</f>
        <v>18418.08</v>
      </c>
      <c r="M141" s="37" t="s">
        <v>318</v>
      </c>
    </row>
    <row r="142" customFormat="false" ht="25.5" hidden="false" customHeight="true" outlineLevel="0" collapsed="false">
      <c r="A142" s="29"/>
      <c r="B142" s="30" t="s">
        <v>404</v>
      </c>
      <c r="C142" s="31" t="s">
        <v>191</v>
      </c>
      <c r="D142" s="31" t="s">
        <v>108</v>
      </c>
      <c r="E142" s="32" t="n">
        <v>7162</v>
      </c>
      <c r="F142" s="32"/>
      <c r="G142" s="32"/>
      <c r="H142" s="33" t="n">
        <v>2</v>
      </c>
      <c r="I142" s="34" t="n">
        <f aca="false">E142*H142+N(F142)+N(G142)</f>
        <v>14324</v>
      </c>
      <c r="J142" s="32" t="n">
        <f aca="false">ROUND(IFERROR(ROUND(IF(OR(ISNUMBER(SEARCH("week",C142)),ISNUMBER(SEARCH("minggu",C142))),IFERROR(_xlfn.NUMBERVALUE(SUBSTITUTE(LEFT(TRIM(C142),FIND(" ",TRIM(C142)&amp;" ")-1),",","."),"."),LEFT(SUBSTITUTE(LEFT(TRIM(C142),FIND(" ",TRIM(C142)&amp;" ")-1),",","."),FIND("/",SUBSTITUTE(LEFT(TRIM(C142),FIND(" ",TRIM(C142)&amp;" ")-1),",","."))-1)/MID(SUBSTITUTE(LEFT(TRIM(C142),FIND(" ",TRIM(C142)&amp;" ")-1),",","."),FIND("/",SUBSTITUTE(LEFT(TRIM(C142),FIND(" ",TRIM(C142)&amp;" ")-1),",","."))+1,9))*12/52,IF(ISNUMBER(SEARCH("month",C142)),IFERROR(_xlfn.NUMBERVALUE(SUBSTITUTE(LEFT(TRIM(C142),FIND(" ",TRIM(C142)&amp;" ")-1),",","."),"."),LEFT(SUBSTITUTE(LEFT(TRIM(C142),FIND(" ",TRIM(C142)&amp;" ")-1),",","."),FIND("/",SUBSTITUTE(LEFT(TRIM(C142),FIND(" ",TRIM(C142)&amp;" ")-1),",","."))-1)/MID(SUBSTITUTE(LEFT(TRIM(C142),FIND(" ",TRIM(C142)&amp;" ")-1),",","."),FIND("/",SUBSTITUTE(LEFT(TRIM(C142),FIND(" ",TRIM(C142)&amp;" ")-1),",","."))+1,9)),IF(ISNUMBER(SEARCH("yea",C142)),IFERROR(_xlfn.NUMBERVALUE(SUBSTITUTE(LEFT(TRIM(C142),FIND(" ",TRIM(C142)&amp;" ")-1),",","."),"."),LEFT(SUBSTITUTE(LEFT(TRIM(C142),FIND(" ",TRIM(C142)&amp;" ")-1),",","."),FIND("/",SUBSTITUTE(LEFT(TRIM(C142),FIND(" ",TRIM(C142)&amp;" ")-1),",","."))-1)/MID(SUBSTITUTE(LEFT(TRIM(C142),FIND(" ",TRIM(C142)&amp;" ")-1),",","."),FIND("/",SUBSTITUTE(LEFT(TRIM(C142),FIND(" ",TRIM(C142)&amp;" ")-1),",","."))+1,9))*12,NA()))),0),48)*'Aturan &amp; Tarif'!$B$4,2)</f>
        <v>2725.44</v>
      </c>
      <c r="K142" s="32" t="n">
        <f aca="false">'Aturan &amp; Tarif'!$B$5</f>
        <v>2050</v>
      </c>
      <c r="L142" s="35" t="n">
        <f aca="false">I142+J142+K142</f>
        <v>19099.44</v>
      </c>
      <c r="M142" s="37" t="s">
        <v>318</v>
      </c>
    </row>
    <row r="143" customFormat="false" ht="14.25" hidden="false" customHeight="true" outlineLevel="0" collapsed="false">
      <c r="A143" s="29"/>
      <c r="B143" s="30" t="s">
        <v>405</v>
      </c>
      <c r="C143" s="31" t="s">
        <v>127</v>
      </c>
      <c r="D143" s="31" t="s">
        <v>108</v>
      </c>
      <c r="E143" s="32" t="n">
        <v>8682</v>
      </c>
      <c r="F143" s="32"/>
      <c r="G143" s="32"/>
      <c r="H143" s="33" t="n">
        <v>2</v>
      </c>
      <c r="I143" s="34" t="n">
        <f aca="false">E143*H143+N(F143)+N(G143)</f>
        <v>17364</v>
      </c>
      <c r="J143" s="32" t="n">
        <f aca="false">ROUND(IFERROR(ROUND(IF(OR(ISNUMBER(SEARCH("week",C143)),ISNUMBER(SEARCH("minggu",C143))),IFERROR(_xlfn.NUMBERVALUE(SUBSTITUTE(LEFT(TRIM(C143),FIND(" ",TRIM(C143)&amp;" ")-1),",","."),"."),LEFT(SUBSTITUTE(LEFT(TRIM(C143),FIND(" ",TRIM(C143)&amp;" ")-1),",","."),FIND("/",SUBSTITUTE(LEFT(TRIM(C143),FIND(" ",TRIM(C143)&amp;" ")-1),",","."))-1)/MID(SUBSTITUTE(LEFT(TRIM(C143),FIND(" ",TRIM(C143)&amp;" ")-1),",","."),FIND("/",SUBSTITUTE(LEFT(TRIM(C143),FIND(" ",TRIM(C143)&amp;" ")-1),",","."))+1,9))*12/52,IF(ISNUMBER(SEARCH("month",C143)),IFERROR(_xlfn.NUMBERVALUE(SUBSTITUTE(LEFT(TRIM(C143),FIND(" ",TRIM(C143)&amp;" ")-1),",","."),"."),LEFT(SUBSTITUTE(LEFT(TRIM(C143),FIND(" ",TRIM(C143)&amp;" ")-1),",","."),FIND("/",SUBSTITUTE(LEFT(TRIM(C143),FIND(" ",TRIM(C143)&amp;" ")-1),",","."))-1)/MID(SUBSTITUTE(LEFT(TRIM(C143),FIND(" ",TRIM(C143)&amp;" ")-1),",","."),FIND("/",SUBSTITUTE(LEFT(TRIM(C143),FIND(" ",TRIM(C143)&amp;" ")-1),",","."))+1,9)),IF(ISNUMBER(SEARCH("yea",C143)),IFERROR(_xlfn.NUMBERVALUE(SUBSTITUTE(LEFT(TRIM(C143),FIND(" ",TRIM(C143)&amp;" ")-1),",","."),"."),LEFT(SUBSTITUTE(LEFT(TRIM(C143),FIND(" ",TRIM(C143)&amp;" ")-1),",","."),FIND("/",SUBSTITUTE(LEFT(TRIM(C143),FIND(" ",TRIM(C143)&amp;" ")-1),",","."))-1)/MID(SUBSTITUTE(LEFT(TRIM(C143),FIND(" ",TRIM(C143)&amp;" ")-1),",","."),FIND("/",SUBSTITUTE(LEFT(TRIM(C143),FIND(" ",TRIM(C143)&amp;" ")-1),",","."))+1,9))*12,NA()))),0),36)*'Aturan &amp; Tarif'!$B$4,2)</f>
        <v>2044.08</v>
      </c>
      <c r="K143" s="32" t="n">
        <f aca="false">'Aturan &amp; Tarif'!$B$5</f>
        <v>2050</v>
      </c>
      <c r="L143" s="35" t="n">
        <f aca="false">I143+J143+K143</f>
        <v>21458.08</v>
      </c>
      <c r="M143" s="37" t="s">
        <v>318</v>
      </c>
    </row>
    <row r="144" customFormat="false" ht="14.25" hidden="false" customHeight="true" outlineLevel="0" collapsed="false">
      <c r="A144" s="29"/>
      <c r="B144" s="30" t="s">
        <v>406</v>
      </c>
      <c r="C144" s="31" t="s">
        <v>191</v>
      </c>
      <c r="D144" s="31" t="s">
        <v>108</v>
      </c>
      <c r="E144" s="32" t="n">
        <v>8682</v>
      </c>
      <c r="F144" s="32"/>
      <c r="G144" s="32"/>
      <c r="H144" s="33" t="n">
        <v>2</v>
      </c>
      <c r="I144" s="34" t="n">
        <f aca="false">E144*H144+N(F144)+N(G144)</f>
        <v>17364</v>
      </c>
      <c r="J144" s="32" t="n">
        <f aca="false">ROUND(IFERROR(ROUND(IF(OR(ISNUMBER(SEARCH("week",C144)),ISNUMBER(SEARCH("minggu",C144))),IFERROR(_xlfn.NUMBERVALUE(SUBSTITUTE(LEFT(TRIM(C144),FIND(" ",TRIM(C144)&amp;" ")-1),",","."),"."),LEFT(SUBSTITUTE(LEFT(TRIM(C144),FIND(" ",TRIM(C144)&amp;" ")-1),",","."),FIND("/",SUBSTITUTE(LEFT(TRIM(C144),FIND(" ",TRIM(C144)&amp;" ")-1),",","."))-1)/MID(SUBSTITUTE(LEFT(TRIM(C144),FIND(" ",TRIM(C144)&amp;" ")-1),",","."),FIND("/",SUBSTITUTE(LEFT(TRIM(C144),FIND(" ",TRIM(C144)&amp;" ")-1),",","."))+1,9))*12/52,IF(ISNUMBER(SEARCH("month",C144)),IFERROR(_xlfn.NUMBERVALUE(SUBSTITUTE(LEFT(TRIM(C144),FIND(" ",TRIM(C144)&amp;" ")-1),",","."),"."),LEFT(SUBSTITUTE(LEFT(TRIM(C144),FIND(" ",TRIM(C144)&amp;" ")-1),",","."),FIND("/",SUBSTITUTE(LEFT(TRIM(C144),FIND(" ",TRIM(C144)&amp;" ")-1),",","."))-1)/MID(SUBSTITUTE(LEFT(TRIM(C144),FIND(" ",TRIM(C144)&amp;" ")-1),",","."),FIND("/",SUBSTITUTE(LEFT(TRIM(C144),FIND(" ",TRIM(C144)&amp;" ")-1),",","."))+1,9)),IF(ISNUMBER(SEARCH("yea",C144)),IFERROR(_xlfn.NUMBERVALUE(SUBSTITUTE(LEFT(TRIM(C144),FIND(" ",TRIM(C144)&amp;" ")-1),",","."),"."),LEFT(SUBSTITUTE(LEFT(TRIM(C144),FIND(" ",TRIM(C144)&amp;" ")-1),",","."),FIND("/",SUBSTITUTE(LEFT(TRIM(C144),FIND(" ",TRIM(C144)&amp;" ")-1),",","."))-1)/MID(SUBSTITUTE(LEFT(TRIM(C144),FIND(" ",TRIM(C144)&amp;" ")-1),",","."),FIND("/",SUBSTITUTE(LEFT(TRIM(C144),FIND(" ",TRIM(C144)&amp;" ")-1),",","."))+1,9))*12,NA()))),0),48)*'Aturan &amp; Tarif'!$B$4,2)</f>
        <v>2725.44</v>
      </c>
      <c r="K144" s="32" t="n">
        <f aca="false">'Aturan &amp; Tarif'!$B$5</f>
        <v>2050</v>
      </c>
      <c r="L144" s="35" t="n">
        <f aca="false">I144+J144+K144</f>
        <v>22139.44</v>
      </c>
      <c r="M144" s="37" t="s">
        <v>318</v>
      </c>
    </row>
    <row r="145" customFormat="false" ht="14.25" hidden="false" customHeight="true" outlineLevel="0" collapsed="false">
      <c r="A145" s="29"/>
      <c r="B145" s="30" t="s">
        <v>407</v>
      </c>
      <c r="C145" s="31" t="s">
        <v>107</v>
      </c>
      <c r="D145" s="31" t="s">
        <v>108</v>
      </c>
      <c r="E145" s="32" t="n">
        <v>8682</v>
      </c>
      <c r="F145" s="32"/>
      <c r="G145" s="32"/>
      <c r="H145" s="33" t="n">
        <v>2</v>
      </c>
      <c r="I145" s="34" t="n">
        <f aca="false">E145*H145+N(F145)+N(G145)</f>
        <v>17364</v>
      </c>
      <c r="J145" s="32" t="n">
        <f aca="false">ROUND(IFERROR(ROUND(IF(OR(ISNUMBER(SEARCH("week",C145)),ISNUMBER(SEARCH("minggu",C145))),IFERROR(_xlfn.NUMBERVALUE(SUBSTITUTE(LEFT(TRIM(C145),FIND(" ",TRIM(C145)&amp;" ")-1),",","."),"."),LEFT(SUBSTITUTE(LEFT(TRIM(C145),FIND(" ",TRIM(C145)&amp;" ")-1),",","."),FIND("/",SUBSTITUTE(LEFT(TRIM(C145),FIND(" ",TRIM(C145)&amp;" ")-1),",","."))-1)/MID(SUBSTITUTE(LEFT(TRIM(C145),FIND(" ",TRIM(C145)&amp;" ")-1),",","."),FIND("/",SUBSTITUTE(LEFT(TRIM(C145),FIND(" ",TRIM(C145)&amp;" ")-1),",","."))+1,9))*12/52,IF(ISNUMBER(SEARCH("month",C145)),IFERROR(_xlfn.NUMBERVALUE(SUBSTITUTE(LEFT(TRIM(C145),FIND(" ",TRIM(C145)&amp;" ")-1),",","."),"."),LEFT(SUBSTITUTE(LEFT(TRIM(C145),FIND(" ",TRIM(C145)&amp;" ")-1),",","."),FIND("/",SUBSTITUTE(LEFT(TRIM(C145),FIND(" ",TRIM(C145)&amp;" ")-1),",","."))-1)/MID(SUBSTITUTE(LEFT(TRIM(C145),FIND(" ",TRIM(C145)&amp;" ")-1),",","."),FIND("/",SUBSTITUTE(LEFT(TRIM(C145),FIND(" ",TRIM(C145)&amp;" ")-1),",","."))+1,9)),IF(ISNUMBER(SEARCH("yea",C145)),IFERROR(_xlfn.NUMBERVALUE(SUBSTITUTE(LEFT(TRIM(C145),FIND(" ",TRIM(C145)&amp;" ")-1),",","."),"."),LEFT(SUBSTITUTE(LEFT(TRIM(C145),FIND(" ",TRIM(C145)&amp;" ")-1),",","."),FIND("/",SUBSTITUTE(LEFT(TRIM(C145),FIND(" ",TRIM(C145)&amp;" ")-1),",","."))-1)/MID(SUBSTITUTE(LEFT(TRIM(C145),FIND(" ",TRIM(C145)&amp;" ")-1),",","."),FIND("/",SUBSTITUTE(LEFT(TRIM(C145),FIND(" ",TRIM(C145)&amp;" ")-1),",","."))+1,9))*12,NA()))),0),24)*'Aturan &amp; Tarif'!$B$4,2)</f>
        <v>1362.72</v>
      </c>
      <c r="K145" s="32" t="n">
        <f aca="false">'Aturan &amp; Tarif'!$B$5</f>
        <v>2050</v>
      </c>
      <c r="L145" s="35" t="n">
        <f aca="false">I145+J145+K145</f>
        <v>20776.72</v>
      </c>
      <c r="M145" s="37" t="s">
        <v>318</v>
      </c>
    </row>
    <row r="146" customFormat="false" ht="14.25" hidden="false" customHeight="true" outlineLevel="0" collapsed="false">
      <c r="A146" s="29"/>
      <c r="B146" s="30" t="s">
        <v>408</v>
      </c>
      <c r="C146" s="31" t="s">
        <v>130</v>
      </c>
      <c r="D146" s="31" t="s">
        <v>108</v>
      </c>
      <c r="E146" s="32" t="n">
        <v>7086</v>
      </c>
      <c r="F146" s="32"/>
      <c r="G146" s="32"/>
      <c r="H146" s="33" t="n">
        <v>2</v>
      </c>
      <c r="I146" s="34" t="n">
        <f aca="false">E146*H146+N(F146)+N(G146)</f>
        <v>14172</v>
      </c>
      <c r="J146" s="32" t="n">
        <f aca="false">ROUND(IFERROR(ROUND(IF(OR(ISNUMBER(SEARCH("week",C146)),ISNUMBER(SEARCH("minggu",C146))),IFERROR(_xlfn.NUMBERVALUE(SUBSTITUTE(LEFT(TRIM(C146),FIND(" ",TRIM(C146)&amp;" ")-1),",","."),"."),LEFT(SUBSTITUTE(LEFT(TRIM(C146),FIND(" ",TRIM(C146)&amp;" ")-1),",","."),FIND("/",SUBSTITUTE(LEFT(TRIM(C146),FIND(" ",TRIM(C146)&amp;" ")-1),",","."))-1)/MID(SUBSTITUTE(LEFT(TRIM(C146),FIND(" ",TRIM(C146)&amp;" ")-1),",","."),FIND("/",SUBSTITUTE(LEFT(TRIM(C146),FIND(" ",TRIM(C146)&amp;" ")-1),",","."))+1,9))*12/52,IF(ISNUMBER(SEARCH("month",C146)),IFERROR(_xlfn.NUMBERVALUE(SUBSTITUTE(LEFT(TRIM(C146),FIND(" ",TRIM(C146)&amp;" ")-1),",","."),"."),LEFT(SUBSTITUTE(LEFT(TRIM(C146),FIND(" ",TRIM(C146)&amp;" ")-1),",","."),FIND("/",SUBSTITUTE(LEFT(TRIM(C146),FIND(" ",TRIM(C146)&amp;" ")-1),",","."))-1)/MID(SUBSTITUTE(LEFT(TRIM(C146),FIND(" ",TRIM(C146)&amp;" ")-1),",","."),FIND("/",SUBSTITUTE(LEFT(TRIM(C146),FIND(" ",TRIM(C146)&amp;" ")-1),",","."))+1,9)),IF(ISNUMBER(SEARCH("yea",C146)),IFERROR(_xlfn.NUMBERVALUE(SUBSTITUTE(LEFT(TRIM(C146),FIND(" ",TRIM(C146)&amp;" ")-1),",","."),"."),LEFT(SUBSTITUTE(LEFT(TRIM(C146),FIND(" ",TRIM(C146)&amp;" ")-1),",","."),FIND("/",SUBSTITUTE(LEFT(TRIM(C146),FIND(" ",TRIM(C146)&amp;" ")-1),",","."))-1)/MID(SUBSTITUTE(LEFT(TRIM(C146),FIND(" ",TRIM(C146)&amp;" ")-1),",","."),FIND("/",SUBSTITUTE(LEFT(TRIM(C146),FIND(" ",TRIM(C146)&amp;" ")-1),",","."))+1,9))*12,NA()))),0),12)*'Aturan &amp; Tarif'!$B$4,2)</f>
        <v>681.36</v>
      </c>
      <c r="K146" s="32" t="n">
        <f aca="false">'Aturan &amp; Tarif'!$B$5</f>
        <v>2050</v>
      </c>
      <c r="L146" s="35" t="n">
        <f aca="false">I146+J146+K146</f>
        <v>16903.36</v>
      </c>
      <c r="M146" s="37" t="s">
        <v>318</v>
      </c>
    </row>
    <row r="147" customFormat="false" ht="14.25" hidden="false" customHeight="true" outlineLevel="0" collapsed="false">
      <c r="A147" s="29"/>
      <c r="B147" s="30" t="s">
        <v>409</v>
      </c>
      <c r="C147" s="31" t="s">
        <v>130</v>
      </c>
      <c r="D147" s="31" t="s">
        <v>108</v>
      </c>
      <c r="E147" s="32" t="n">
        <v>8058</v>
      </c>
      <c r="F147" s="32"/>
      <c r="G147" s="32"/>
      <c r="H147" s="33" t="n">
        <v>2</v>
      </c>
      <c r="I147" s="34" t="n">
        <f aca="false">E147*H147+N(F147)+N(G147)</f>
        <v>16116</v>
      </c>
      <c r="J147" s="32" t="n">
        <f aca="false">ROUND(IFERROR(ROUND(IF(OR(ISNUMBER(SEARCH("week",C147)),ISNUMBER(SEARCH("minggu",C147))),IFERROR(_xlfn.NUMBERVALUE(SUBSTITUTE(LEFT(TRIM(C147),FIND(" ",TRIM(C147)&amp;" ")-1),",","."),"."),LEFT(SUBSTITUTE(LEFT(TRIM(C147),FIND(" ",TRIM(C147)&amp;" ")-1),",","."),FIND("/",SUBSTITUTE(LEFT(TRIM(C147),FIND(" ",TRIM(C147)&amp;" ")-1),",","."))-1)/MID(SUBSTITUTE(LEFT(TRIM(C147),FIND(" ",TRIM(C147)&amp;" ")-1),",","."),FIND("/",SUBSTITUTE(LEFT(TRIM(C147),FIND(" ",TRIM(C147)&amp;" ")-1),",","."))+1,9))*12/52,IF(ISNUMBER(SEARCH("month",C147)),IFERROR(_xlfn.NUMBERVALUE(SUBSTITUTE(LEFT(TRIM(C147),FIND(" ",TRIM(C147)&amp;" ")-1),",","."),"."),LEFT(SUBSTITUTE(LEFT(TRIM(C147),FIND(" ",TRIM(C147)&amp;" ")-1),",","."),FIND("/",SUBSTITUTE(LEFT(TRIM(C147),FIND(" ",TRIM(C147)&amp;" ")-1),",","."))-1)/MID(SUBSTITUTE(LEFT(TRIM(C147),FIND(" ",TRIM(C147)&amp;" ")-1),",","."),FIND("/",SUBSTITUTE(LEFT(TRIM(C147),FIND(" ",TRIM(C147)&amp;" ")-1),",","."))+1,9)),IF(ISNUMBER(SEARCH("yea",C147)),IFERROR(_xlfn.NUMBERVALUE(SUBSTITUTE(LEFT(TRIM(C147),FIND(" ",TRIM(C147)&amp;" ")-1),",","."),"."),LEFT(SUBSTITUTE(LEFT(TRIM(C147),FIND(" ",TRIM(C147)&amp;" ")-1),",","."),FIND("/",SUBSTITUTE(LEFT(TRIM(C147),FIND(" ",TRIM(C147)&amp;" ")-1),",","."))-1)/MID(SUBSTITUTE(LEFT(TRIM(C147),FIND(" ",TRIM(C147)&amp;" ")-1),",","."),FIND("/",SUBSTITUTE(LEFT(TRIM(C147),FIND(" ",TRIM(C147)&amp;" ")-1),",","."))+1,9))*12,NA()))),0),12)*'Aturan &amp; Tarif'!$B$4,2)</f>
        <v>681.36</v>
      </c>
      <c r="K147" s="32" t="n">
        <f aca="false">'Aturan &amp; Tarif'!$B$5</f>
        <v>2050</v>
      </c>
      <c r="L147" s="35" t="n">
        <f aca="false">I147+J147+K147</f>
        <v>18847.36</v>
      </c>
      <c r="M147" s="37" t="s">
        <v>318</v>
      </c>
    </row>
    <row r="148" customFormat="false" ht="14.25" hidden="false" customHeight="true" outlineLevel="0" collapsed="false">
      <c r="A148" s="29"/>
      <c r="B148" s="30" t="s">
        <v>410</v>
      </c>
      <c r="C148" s="31" t="s">
        <v>130</v>
      </c>
      <c r="D148" s="31" t="s">
        <v>108</v>
      </c>
      <c r="E148" s="32" t="n">
        <v>8480</v>
      </c>
      <c r="F148" s="32"/>
      <c r="G148" s="32"/>
      <c r="H148" s="33" t="n">
        <v>2</v>
      </c>
      <c r="I148" s="34" t="n">
        <f aca="false">E148*H148+N(F148)+N(G148)</f>
        <v>16960</v>
      </c>
      <c r="J148" s="32" t="n">
        <f aca="false">ROUND(IFERROR(ROUND(IF(OR(ISNUMBER(SEARCH("week",C148)),ISNUMBER(SEARCH("minggu",C148))),IFERROR(_xlfn.NUMBERVALUE(SUBSTITUTE(LEFT(TRIM(C148),FIND(" ",TRIM(C148)&amp;" ")-1),",","."),"."),LEFT(SUBSTITUTE(LEFT(TRIM(C148),FIND(" ",TRIM(C148)&amp;" ")-1),",","."),FIND("/",SUBSTITUTE(LEFT(TRIM(C148),FIND(" ",TRIM(C148)&amp;" ")-1),",","."))-1)/MID(SUBSTITUTE(LEFT(TRIM(C148),FIND(" ",TRIM(C148)&amp;" ")-1),",","."),FIND("/",SUBSTITUTE(LEFT(TRIM(C148),FIND(" ",TRIM(C148)&amp;" ")-1),",","."))+1,9))*12/52,IF(ISNUMBER(SEARCH("month",C148)),IFERROR(_xlfn.NUMBERVALUE(SUBSTITUTE(LEFT(TRIM(C148),FIND(" ",TRIM(C148)&amp;" ")-1),",","."),"."),LEFT(SUBSTITUTE(LEFT(TRIM(C148),FIND(" ",TRIM(C148)&amp;" ")-1),",","."),FIND("/",SUBSTITUTE(LEFT(TRIM(C148),FIND(" ",TRIM(C148)&amp;" ")-1),",","."))-1)/MID(SUBSTITUTE(LEFT(TRIM(C148),FIND(" ",TRIM(C148)&amp;" ")-1),",","."),FIND("/",SUBSTITUTE(LEFT(TRIM(C148),FIND(" ",TRIM(C148)&amp;" ")-1),",","."))+1,9)),IF(ISNUMBER(SEARCH("yea",C148)),IFERROR(_xlfn.NUMBERVALUE(SUBSTITUTE(LEFT(TRIM(C148),FIND(" ",TRIM(C148)&amp;" ")-1),",","."),"."),LEFT(SUBSTITUTE(LEFT(TRIM(C148),FIND(" ",TRIM(C148)&amp;" ")-1),",","."),FIND("/",SUBSTITUTE(LEFT(TRIM(C148),FIND(" ",TRIM(C148)&amp;" ")-1),",","."))-1)/MID(SUBSTITUTE(LEFT(TRIM(C148),FIND(" ",TRIM(C148)&amp;" ")-1),",","."),FIND("/",SUBSTITUTE(LEFT(TRIM(C148),FIND(" ",TRIM(C148)&amp;" ")-1),",","."))+1,9))*12,NA()))),0),12)*'Aturan &amp; Tarif'!$B$4,2)</f>
        <v>681.36</v>
      </c>
      <c r="K148" s="32" t="n">
        <f aca="false">'Aturan &amp; Tarif'!$B$5</f>
        <v>2050</v>
      </c>
      <c r="L148" s="35" t="n">
        <f aca="false">I148+J148+K148</f>
        <v>19691.36</v>
      </c>
      <c r="M148" s="37" t="s">
        <v>318</v>
      </c>
    </row>
    <row r="149" customFormat="false" ht="25.5" hidden="false" customHeight="true" outlineLevel="0" collapsed="false">
      <c r="A149" s="29"/>
      <c r="B149" s="30" t="s">
        <v>411</v>
      </c>
      <c r="C149" s="31" t="s">
        <v>130</v>
      </c>
      <c r="D149" s="31" t="s">
        <v>108</v>
      </c>
      <c r="E149" s="32" t="n">
        <v>8906</v>
      </c>
      <c r="F149" s="32"/>
      <c r="G149" s="32"/>
      <c r="H149" s="33" t="n">
        <v>2</v>
      </c>
      <c r="I149" s="34" t="n">
        <f aca="false">E149*H149+N(F149)+N(G149)</f>
        <v>17812</v>
      </c>
      <c r="J149" s="32" t="n">
        <f aca="false">ROUND(IFERROR(ROUND(IF(OR(ISNUMBER(SEARCH("week",C149)),ISNUMBER(SEARCH("minggu",C149))),IFERROR(_xlfn.NUMBERVALUE(SUBSTITUTE(LEFT(TRIM(C149),FIND(" ",TRIM(C149)&amp;" ")-1),",","."),"."),LEFT(SUBSTITUTE(LEFT(TRIM(C149),FIND(" ",TRIM(C149)&amp;" ")-1),",","."),FIND("/",SUBSTITUTE(LEFT(TRIM(C149),FIND(" ",TRIM(C149)&amp;" ")-1),",","."))-1)/MID(SUBSTITUTE(LEFT(TRIM(C149),FIND(" ",TRIM(C149)&amp;" ")-1),",","."),FIND("/",SUBSTITUTE(LEFT(TRIM(C149),FIND(" ",TRIM(C149)&amp;" ")-1),",","."))+1,9))*12/52,IF(ISNUMBER(SEARCH("month",C149)),IFERROR(_xlfn.NUMBERVALUE(SUBSTITUTE(LEFT(TRIM(C149),FIND(" ",TRIM(C149)&amp;" ")-1),",","."),"."),LEFT(SUBSTITUTE(LEFT(TRIM(C149),FIND(" ",TRIM(C149)&amp;" ")-1),",","."),FIND("/",SUBSTITUTE(LEFT(TRIM(C149),FIND(" ",TRIM(C149)&amp;" ")-1),",","."))-1)/MID(SUBSTITUTE(LEFT(TRIM(C149),FIND(" ",TRIM(C149)&amp;" ")-1),",","."),FIND("/",SUBSTITUTE(LEFT(TRIM(C149),FIND(" ",TRIM(C149)&amp;" ")-1),",","."))+1,9)),IF(ISNUMBER(SEARCH("yea",C149)),IFERROR(_xlfn.NUMBERVALUE(SUBSTITUTE(LEFT(TRIM(C149),FIND(" ",TRIM(C149)&amp;" ")-1),",","."),"."),LEFT(SUBSTITUTE(LEFT(TRIM(C149),FIND(" ",TRIM(C149)&amp;" ")-1),",","."),FIND("/",SUBSTITUTE(LEFT(TRIM(C149),FIND(" ",TRIM(C149)&amp;" ")-1),",","."))-1)/MID(SUBSTITUTE(LEFT(TRIM(C149),FIND(" ",TRIM(C149)&amp;" ")-1),",","."),FIND("/",SUBSTITUTE(LEFT(TRIM(C149),FIND(" ",TRIM(C149)&amp;" ")-1),",","."))+1,9))*12,NA()))),0),12)*'Aturan &amp; Tarif'!$B$4,2)</f>
        <v>681.36</v>
      </c>
      <c r="K149" s="32" t="n">
        <f aca="false">'Aturan &amp; Tarif'!$B$5</f>
        <v>2050</v>
      </c>
      <c r="L149" s="35" t="n">
        <f aca="false">I149+J149+K149</f>
        <v>20543.36</v>
      </c>
      <c r="M149" s="37" t="s">
        <v>318</v>
      </c>
    </row>
    <row r="150" customFormat="false" ht="14.25" hidden="false" customHeight="true" outlineLevel="0" collapsed="false">
      <c r="A150" s="29"/>
      <c r="B150" s="30" t="s">
        <v>412</v>
      </c>
      <c r="C150" s="31" t="s">
        <v>130</v>
      </c>
      <c r="D150" s="31" t="s">
        <v>108</v>
      </c>
      <c r="E150" s="32" t="n">
        <v>7086</v>
      </c>
      <c r="F150" s="32"/>
      <c r="G150" s="32"/>
      <c r="H150" s="33" t="n">
        <v>2</v>
      </c>
      <c r="I150" s="34" t="n">
        <f aca="false">E150*H150+N(F150)+N(G150)</f>
        <v>14172</v>
      </c>
      <c r="J150" s="32" t="n">
        <f aca="false">ROUND(IFERROR(ROUND(IF(OR(ISNUMBER(SEARCH("week",C150)),ISNUMBER(SEARCH("minggu",C150))),IFERROR(_xlfn.NUMBERVALUE(SUBSTITUTE(LEFT(TRIM(C150),FIND(" ",TRIM(C150)&amp;" ")-1),",","."),"."),LEFT(SUBSTITUTE(LEFT(TRIM(C150),FIND(" ",TRIM(C150)&amp;" ")-1),",","."),FIND("/",SUBSTITUTE(LEFT(TRIM(C150),FIND(" ",TRIM(C150)&amp;" ")-1),",","."))-1)/MID(SUBSTITUTE(LEFT(TRIM(C150),FIND(" ",TRIM(C150)&amp;" ")-1),",","."),FIND("/",SUBSTITUTE(LEFT(TRIM(C150),FIND(" ",TRIM(C150)&amp;" ")-1),",","."))+1,9))*12/52,IF(ISNUMBER(SEARCH("month",C150)),IFERROR(_xlfn.NUMBERVALUE(SUBSTITUTE(LEFT(TRIM(C150),FIND(" ",TRIM(C150)&amp;" ")-1),",","."),"."),LEFT(SUBSTITUTE(LEFT(TRIM(C150),FIND(" ",TRIM(C150)&amp;" ")-1),",","."),FIND("/",SUBSTITUTE(LEFT(TRIM(C150),FIND(" ",TRIM(C150)&amp;" ")-1),",","."))-1)/MID(SUBSTITUTE(LEFT(TRIM(C150),FIND(" ",TRIM(C150)&amp;" ")-1),",","."),FIND("/",SUBSTITUTE(LEFT(TRIM(C150),FIND(" ",TRIM(C150)&amp;" ")-1),",","."))+1,9)),IF(ISNUMBER(SEARCH("yea",C150)),IFERROR(_xlfn.NUMBERVALUE(SUBSTITUTE(LEFT(TRIM(C150),FIND(" ",TRIM(C150)&amp;" ")-1),",","."),"."),LEFT(SUBSTITUTE(LEFT(TRIM(C150),FIND(" ",TRIM(C150)&amp;" ")-1),",","."),FIND("/",SUBSTITUTE(LEFT(TRIM(C150),FIND(" ",TRIM(C150)&amp;" ")-1),",","."))-1)/MID(SUBSTITUTE(LEFT(TRIM(C150),FIND(" ",TRIM(C150)&amp;" ")-1),",","."),FIND("/",SUBSTITUTE(LEFT(TRIM(C150),FIND(" ",TRIM(C150)&amp;" ")-1),",","."))+1,9))*12,NA()))),0),12)*'Aturan &amp; Tarif'!$B$4,2)</f>
        <v>681.36</v>
      </c>
      <c r="K150" s="32" t="n">
        <f aca="false">'Aturan &amp; Tarif'!$B$5</f>
        <v>2050</v>
      </c>
      <c r="L150" s="35" t="n">
        <f aca="false">I150+J150+K150</f>
        <v>16903.36</v>
      </c>
      <c r="M150" s="37" t="s">
        <v>318</v>
      </c>
    </row>
    <row r="151" customFormat="false" ht="14.25" hidden="false" customHeight="true" outlineLevel="0" collapsed="false">
      <c r="A151" s="29"/>
      <c r="B151" s="30" t="s">
        <v>872</v>
      </c>
      <c r="C151" s="31" t="s">
        <v>130</v>
      </c>
      <c r="D151" s="31" t="s">
        <v>108</v>
      </c>
      <c r="E151" s="32" t="n">
        <v>8058</v>
      </c>
      <c r="F151" s="32"/>
      <c r="G151" s="32"/>
      <c r="H151" s="33" t="n">
        <v>2</v>
      </c>
      <c r="I151" s="34" t="n">
        <f aca="false">E151*H151+N(F151)+N(G151)</f>
        <v>16116</v>
      </c>
      <c r="J151" s="32" t="n">
        <f aca="false">ROUND(IFERROR(ROUND(IF(OR(ISNUMBER(SEARCH("week",C151)),ISNUMBER(SEARCH("minggu",C151))),IFERROR(_xlfn.NUMBERVALUE(SUBSTITUTE(LEFT(TRIM(C151),FIND(" ",TRIM(C151)&amp;" ")-1),",","."),"."),LEFT(SUBSTITUTE(LEFT(TRIM(C151),FIND(" ",TRIM(C151)&amp;" ")-1),",","."),FIND("/",SUBSTITUTE(LEFT(TRIM(C151),FIND(" ",TRIM(C151)&amp;" ")-1),",","."))-1)/MID(SUBSTITUTE(LEFT(TRIM(C151),FIND(" ",TRIM(C151)&amp;" ")-1),",","."),FIND("/",SUBSTITUTE(LEFT(TRIM(C151),FIND(" ",TRIM(C151)&amp;" ")-1),",","."))+1,9))*12/52,IF(ISNUMBER(SEARCH("month",C151)),IFERROR(_xlfn.NUMBERVALUE(SUBSTITUTE(LEFT(TRIM(C151),FIND(" ",TRIM(C151)&amp;" ")-1),",","."),"."),LEFT(SUBSTITUTE(LEFT(TRIM(C151),FIND(" ",TRIM(C151)&amp;" ")-1),",","."),FIND("/",SUBSTITUTE(LEFT(TRIM(C151),FIND(" ",TRIM(C151)&amp;" ")-1),",","."))-1)/MID(SUBSTITUTE(LEFT(TRIM(C151),FIND(" ",TRIM(C151)&amp;" ")-1),",","."),FIND("/",SUBSTITUTE(LEFT(TRIM(C151),FIND(" ",TRIM(C151)&amp;" ")-1),",","."))+1,9)),IF(ISNUMBER(SEARCH("yea",C151)),IFERROR(_xlfn.NUMBERVALUE(SUBSTITUTE(LEFT(TRIM(C151),FIND(" ",TRIM(C151)&amp;" ")-1),",","."),"."),LEFT(SUBSTITUTE(LEFT(TRIM(C151),FIND(" ",TRIM(C151)&amp;" ")-1),",","."),FIND("/",SUBSTITUTE(LEFT(TRIM(C151),FIND(" ",TRIM(C151)&amp;" ")-1),",","."))-1)/MID(SUBSTITUTE(LEFT(TRIM(C151),FIND(" ",TRIM(C151)&amp;" ")-1),",","."),FIND("/",SUBSTITUTE(LEFT(TRIM(C151),FIND(" ",TRIM(C151)&amp;" ")-1),",","."))+1,9))*12,NA()))),0),12)*'Aturan &amp; Tarif'!$B$4,2)</f>
        <v>681.36</v>
      </c>
      <c r="K151" s="32" t="n">
        <f aca="false">'Aturan &amp; Tarif'!$B$5</f>
        <v>2050</v>
      </c>
      <c r="L151" s="35" t="n">
        <f aca="false">I151+J151+K151</f>
        <v>18847.36</v>
      </c>
      <c r="M151" s="37" t="s">
        <v>318</v>
      </c>
    </row>
    <row r="152" customFormat="false" ht="14.25" hidden="false" customHeight="true" outlineLevel="0" collapsed="false">
      <c r="A152" s="29"/>
      <c r="B152" s="30" t="s">
        <v>414</v>
      </c>
      <c r="C152" s="31" t="s">
        <v>130</v>
      </c>
      <c r="D152" s="31" t="s">
        <v>108</v>
      </c>
      <c r="E152" s="32" t="n">
        <v>8906</v>
      </c>
      <c r="F152" s="32"/>
      <c r="G152" s="32"/>
      <c r="H152" s="33" t="n">
        <v>2</v>
      </c>
      <c r="I152" s="34" t="n">
        <f aca="false">E152*H152+N(F152)+N(G152)</f>
        <v>17812</v>
      </c>
      <c r="J152" s="32" t="n">
        <f aca="false">ROUND(IFERROR(ROUND(IF(OR(ISNUMBER(SEARCH("week",C152)),ISNUMBER(SEARCH("minggu",C152))),IFERROR(_xlfn.NUMBERVALUE(SUBSTITUTE(LEFT(TRIM(C152),FIND(" ",TRIM(C152)&amp;" ")-1),",","."),"."),LEFT(SUBSTITUTE(LEFT(TRIM(C152),FIND(" ",TRIM(C152)&amp;" ")-1),",","."),FIND("/",SUBSTITUTE(LEFT(TRIM(C152),FIND(" ",TRIM(C152)&amp;" ")-1),",","."))-1)/MID(SUBSTITUTE(LEFT(TRIM(C152),FIND(" ",TRIM(C152)&amp;" ")-1),",","."),FIND("/",SUBSTITUTE(LEFT(TRIM(C152),FIND(" ",TRIM(C152)&amp;" ")-1),",","."))+1,9))*12/52,IF(ISNUMBER(SEARCH("month",C152)),IFERROR(_xlfn.NUMBERVALUE(SUBSTITUTE(LEFT(TRIM(C152),FIND(" ",TRIM(C152)&amp;" ")-1),",","."),"."),LEFT(SUBSTITUTE(LEFT(TRIM(C152),FIND(" ",TRIM(C152)&amp;" ")-1),",","."),FIND("/",SUBSTITUTE(LEFT(TRIM(C152),FIND(" ",TRIM(C152)&amp;" ")-1),",","."))-1)/MID(SUBSTITUTE(LEFT(TRIM(C152),FIND(" ",TRIM(C152)&amp;" ")-1),",","."),FIND("/",SUBSTITUTE(LEFT(TRIM(C152),FIND(" ",TRIM(C152)&amp;" ")-1),",","."))+1,9)),IF(ISNUMBER(SEARCH("yea",C152)),IFERROR(_xlfn.NUMBERVALUE(SUBSTITUTE(LEFT(TRIM(C152),FIND(" ",TRIM(C152)&amp;" ")-1),",","."),"."),LEFT(SUBSTITUTE(LEFT(TRIM(C152),FIND(" ",TRIM(C152)&amp;" ")-1),",","."),FIND("/",SUBSTITUTE(LEFT(TRIM(C152),FIND(" ",TRIM(C152)&amp;" ")-1),",","."))-1)/MID(SUBSTITUTE(LEFT(TRIM(C152),FIND(" ",TRIM(C152)&amp;" ")-1),",","."),FIND("/",SUBSTITUTE(LEFT(TRIM(C152),FIND(" ",TRIM(C152)&amp;" ")-1),",","."))+1,9))*12,NA()))),0),12)*'Aturan &amp; Tarif'!$B$4,2)</f>
        <v>681.36</v>
      </c>
      <c r="K152" s="32" t="n">
        <f aca="false">'Aturan &amp; Tarif'!$B$5</f>
        <v>2050</v>
      </c>
      <c r="L152" s="35" t="n">
        <f aca="false">I152+J152+K152</f>
        <v>20543.36</v>
      </c>
      <c r="M152" s="37" t="s">
        <v>318</v>
      </c>
    </row>
    <row r="153" customFormat="false" ht="14.25" hidden="false" customHeight="true" outlineLevel="0" collapsed="false">
      <c r="A153" s="29"/>
      <c r="B153" s="30" t="s">
        <v>415</v>
      </c>
      <c r="C153" s="31" t="s">
        <v>130</v>
      </c>
      <c r="D153" s="31" t="s">
        <v>108</v>
      </c>
      <c r="E153" s="32" t="n">
        <v>7086</v>
      </c>
      <c r="F153" s="32"/>
      <c r="G153" s="32"/>
      <c r="H153" s="33" t="n">
        <v>2</v>
      </c>
      <c r="I153" s="34" t="n">
        <f aca="false">E153*H153+N(F153)+N(G153)</f>
        <v>14172</v>
      </c>
      <c r="J153" s="32" t="n">
        <f aca="false">ROUND(IFERROR(ROUND(IF(OR(ISNUMBER(SEARCH("week",C153)),ISNUMBER(SEARCH("minggu",C153))),IFERROR(_xlfn.NUMBERVALUE(SUBSTITUTE(LEFT(TRIM(C153),FIND(" ",TRIM(C153)&amp;" ")-1),",","."),"."),LEFT(SUBSTITUTE(LEFT(TRIM(C153),FIND(" ",TRIM(C153)&amp;" ")-1),",","."),FIND("/",SUBSTITUTE(LEFT(TRIM(C153),FIND(" ",TRIM(C153)&amp;" ")-1),",","."))-1)/MID(SUBSTITUTE(LEFT(TRIM(C153),FIND(" ",TRIM(C153)&amp;" ")-1),",","."),FIND("/",SUBSTITUTE(LEFT(TRIM(C153),FIND(" ",TRIM(C153)&amp;" ")-1),",","."))+1,9))*12/52,IF(ISNUMBER(SEARCH("month",C153)),IFERROR(_xlfn.NUMBERVALUE(SUBSTITUTE(LEFT(TRIM(C153),FIND(" ",TRIM(C153)&amp;" ")-1),",","."),"."),LEFT(SUBSTITUTE(LEFT(TRIM(C153),FIND(" ",TRIM(C153)&amp;" ")-1),",","."),FIND("/",SUBSTITUTE(LEFT(TRIM(C153),FIND(" ",TRIM(C153)&amp;" ")-1),",","."))-1)/MID(SUBSTITUTE(LEFT(TRIM(C153),FIND(" ",TRIM(C153)&amp;" ")-1),",","."),FIND("/",SUBSTITUTE(LEFT(TRIM(C153),FIND(" ",TRIM(C153)&amp;" ")-1),",","."))+1,9)),IF(ISNUMBER(SEARCH("yea",C153)),IFERROR(_xlfn.NUMBERVALUE(SUBSTITUTE(LEFT(TRIM(C153),FIND(" ",TRIM(C153)&amp;" ")-1),",","."),"."),LEFT(SUBSTITUTE(LEFT(TRIM(C153),FIND(" ",TRIM(C153)&amp;" ")-1),",","."),FIND("/",SUBSTITUTE(LEFT(TRIM(C153),FIND(" ",TRIM(C153)&amp;" ")-1),",","."))-1)/MID(SUBSTITUTE(LEFT(TRIM(C153),FIND(" ",TRIM(C153)&amp;" ")-1),",","."),FIND("/",SUBSTITUTE(LEFT(TRIM(C153),FIND(" ",TRIM(C153)&amp;" ")-1),",","."))+1,9))*12,NA()))),0),12)*'Aturan &amp; Tarif'!$B$4,2)</f>
        <v>681.36</v>
      </c>
      <c r="K153" s="32" t="n">
        <f aca="false">'Aturan &amp; Tarif'!$B$5</f>
        <v>2050</v>
      </c>
      <c r="L153" s="35" t="n">
        <f aca="false">I153+J153+K153</f>
        <v>16903.36</v>
      </c>
      <c r="M153" s="37" t="s">
        <v>318</v>
      </c>
    </row>
    <row r="154" customFormat="false" ht="14.25" hidden="false" customHeight="true" outlineLevel="0" collapsed="false">
      <c r="A154" s="29"/>
      <c r="B154" s="30" t="s">
        <v>416</v>
      </c>
      <c r="C154" s="31" t="s">
        <v>130</v>
      </c>
      <c r="D154" s="31" t="s">
        <v>108</v>
      </c>
      <c r="E154" s="32" t="n">
        <v>8906</v>
      </c>
      <c r="F154" s="32"/>
      <c r="G154" s="32"/>
      <c r="H154" s="33" t="n">
        <v>2</v>
      </c>
      <c r="I154" s="34" t="n">
        <f aca="false">E154*H154+N(F154)+N(G154)</f>
        <v>17812</v>
      </c>
      <c r="J154" s="32" t="n">
        <f aca="false">ROUND(IFERROR(ROUND(IF(OR(ISNUMBER(SEARCH("week",C154)),ISNUMBER(SEARCH("minggu",C154))),IFERROR(_xlfn.NUMBERVALUE(SUBSTITUTE(LEFT(TRIM(C154),FIND(" ",TRIM(C154)&amp;" ")-1),",","."),"."),LEFT(SUBSTITUTE(LEFT(TRIM(C154),FIND(" ",TRIM(C154)&amp;" ")-1),",","."),FIND("/",SUBSTITUTE(LEFT(TRIM(C154),FIND(" ",TRIM(C154)&amp;" ")-1),",","."))-1)/MID(SUBSTITUTE(LEFT(TRIM(C154),FIND(" ",TRIM(C154)&amp;" ")-1),",","."),FIND("/",SUBSTITUTE(LEFT(TRIM(C154),FIND(" ",TRIM(C154)&amp;" ")-1),",","."))+1,9))*12/52,IF(ISNUMBER(SEARCH("month",C154)),IFERROR(_xlfn.NUMBERVALUE(SUBSTITUTE(LEFT(TRIM(C154),FIND(" ",TRIM(C154)&amp;" ")-1),",","."),"."),LEFT(SUBSTITUTE(LEFT(TRIM(C154),FIND(" ",TRIM(C154)&amp;" ")-1),",","."),FIND("/",SUBSTITUTE(LEFT(TRIM(C154),FIND(" ",TRIM(C154)&amp;" ")-1),",","."))-1)/MID(SUBSTITUTE(LEFT(TRIM(C154),FIND(" ",TRIM(C154)&amp;" ")-1),",","."),FIND("/",SUBSTITUTE(LEFT(TRIM(C154),FIND(" ",TRIM(C154)&amp;" ")-1),",","."))+1,9)),IF(ISNUMBER(SEARCH("yea",C154)),IFERROR(_xlfn.NUMBERVALUE(SUBSTITUTE(LEFT(TRIM(C154),FIND(" ",TRIM(C154)&amp;" ")-1),",","."),"."),LEFT(SUBSTITUTE(LEFT(TRIM(C154),FIND(" ",TRIM(C154)&amp;" ")-1),",","."),FIND("/",SUBSTITUTE(LEFT(TRIM(C154),FIND(" ",TRIM(C154)&amp;" ")-1),",","."))-1)/MID(SUBSTITUTE(LEFT(TRIM(C154),FIND(" ",TRIM(C154)&amp;" ")-1),",","."),FIND("/",SUBSTITUTE(LEFT(TRIM(C154),FIND(" ",TRIM(C154)&amp;" ")-1),",","."))+1,9))*12,NA()))),0),12)*'Aturan &amp; Tarif'!$B$4,2)</f>
        <v>681.36</v>
      </c>
      <c r="K154" s="32" t="n">
        <f aca="false">'Aturan &amp; Tarif'!$B$5</f>
        <v>2050</v>
      </c>
      <c r="L154" s="35" t="n">
        <f aca="false">I154+J154+K154</f>
        <v>20543.36</v>
      </c>
      <c r="M154" s="37" t="s">
        <v>318</v>
      </c>
    </row>
    <row r="155" customFormat="false" ht="14.25" hidden="false" customHeight="true" outlineLevel="0" collapsed="false">
      <c r="A155" s="29"/>
      <c r="B155" s="30" t="s">
        <v>417</v>
      </c>
      <c r="C155" s="31" t="s">
        <v>130</v>
      </c>
      <c r="D155" s="31" t="s">
        <v>108</v>
      </c>
      <c r="E155" s="32" t="n">
        <v>8906</v>
      </c>
      <c r="F155" s="32"/>
      <c r="G155" s="32"/>
      <c r="H155" s="33" t="n">
        <v>2</v>
      </c>
      <c r="I155" s="34" t="n">
        <f aca="false">E155*H155+N(F155)+N(G155)</f>
        <v>17812</v>
      </c>
      <c r="J155" s="32" t="n">
        <f aca="false">ROUND(IFERROR(ROUND(IF(OR(ISNUMBER(SEARCH("week",C155)),ISNUMBER(SEARCH("minggu",C155))),IFERROR(_xlfn.NUMBERVALUE(SUBSTITUTE(LEFT(TRIM(C155),FIND(" ",TRIM(C155)&amp;" ")-1),",","."),"."),LEFT(SUBSTITUTE(LEFT(TRIM(C155),FIND(" ",TRIM(C155)&amp;" ")-1),",","."),FIND("/",SUBSTITUTE(LEFT(TRIM(C155),FIND(" ",TRIM(C155)&amp;" ")-1),",","."))-1)/MID(SUBSTITUTE(LEFT(TRIM(C155),FIND(" ",TRIM(C155)&amp;" ")-1),",","."),FIND("/",SUBSTITUTE(LEFT(TRIM(C155),FIND(" ",TRIM(C155)&amp;" ")-1),",","."))+1,9))*12/52,IF(ISNUMBER(SEARCH("month",C155)),IFERROR(_xlfn.NUMBERVALUE(SUBSTITUTE(LEFT(TRIM(C155),FIND(" ",TRIM(C155)&amp;" ")-1),",","."),"."),LEFT(SUBSTITUTE(LEFT(TRIM(C155),FIND(" ",TRIM(C155)&amp;" ")-1),",","."),FIND("/",SUBSTITUTE(LEFT(TRIM(C155),FIND(" ",TRIM(C155)&amp;" ")-1),",","."))-1)/MID(SUBSTITUTE(LEFT(TRIM(C155),FIND(" ",TRIM(C155)&amp;" ")-1),",","."),FIND("/",SUBSTITUTE(LEFT(TRIM(C155),FIND(" ",TRIM(C155)&amp;" ")-1),",","."))+1,9)),IF(ISNUMBER(SEARCH("yea",C155)),IFERROR(_xlfn.NUMBERVALUE(SUBSTITUTE(LEFT(TRIM(C155),FIND(" ",TRIM(C155)&amp;" ")-1),",","."),"."),LEFT(SUBSTITUTE(LEFT(TRIM(C155),FIND(" ",TRIM(C155)&amp;" ")-1),",","."),FIND("/",SUBSTITUTE(LEFT(TRIM(C155),FIND(" ",TRIM(C155)&amp;" ")-1),",","."))-1)/MID(SUBSTITUTE(LEFT(TRIM(C155),FIND(" ",TRIM(C155)&amp;" ")-1),",","."),FIND("/",SUBSTITUTE(LEFT(TRIM(C155),FIND(" ",TRIM(C155)&amp;" ")-1),",","."))+1,9))*12,NA()))),0),12)*'Aturan &amp; Tarif'!$B$4,2)</f>
        <v>681.36</v>
      </c>
      <c r="K155" s="32" t="n">
        <f aca="false">'Aturan &amp; Tarif'!$B$5</f>
        <v>2050</v>
      </c>
      <c r="L155" s="35" t="n">
        <f aca="false">I155+J155+K155</f>
        <v>20543.36</v>
      </c>
      <c r="M155" s="37" t="s">
        <v>318</v>
      </c>
    </row>
    <row r="156" customFormat="false" ht="14.25" hidden="false" customHeight="true" outlineLevel="0" collapsed="false">
      <c r="A156" s="29"/>
      <c r="B156" s="30" t="s">
        <v>418</v>
      </c>
      <c r="C156" s="31" t="s">
        <v>130</v>
      </c>
      <c r="D156" s="31" t="s">
        <v>108</v>
      </c>
      <c r="E156" s="32" t="n">
        <v>5780</v>
      </c>
      <c r="F156" s="32"/>
      <c r="G156" s="32"/>
      <c r="H156" s="33" t="n">
        <v>2</v>
      </c>
      <c r="I156" s="34" t="n">
        <f aca="false">E156*H156+N(F156)+N(G156)</f>
        <v>11560</v>
      </c>
      <c r="J156" s="32" t="n">
        <f aca="false">ROUND(IFERROR(ROUND(IF(OR(ISNUMBER(SEARCH("week",C156)),ISNUMBER(SEARCH("minggu",C156))),IFERROR(_xlfn.NUMBERVALUE(SUBSTITUTE(LEFT(TRIM(C156),FIND(" ",TRIM(C156)&amp;" ")-1),",","."),"."),LEFT(SUBSTITUTE(LEFT(TRIM(C156),FIND(" ",TRIM(C156)&amp;" ")-1),",","."),FIND("/",SUBSTITUTE(LEFT(TRIM(C156),FIND(" ",TRIM(C156)&amp;" ")-1),",","."))-1)/MID(SUBSTITUTE(LEFT(TRIM(C156),FIND(" ",TRIM(C156)&amp;" ")-1),",","."),FIND("/",SUBSTITUTE(LEFT(TRIM(C156),FIND(" ",TRIM(C156)&amp;" ")-1),",","."))+1,9))*12/52,IF(ISNUMBER(SEARCH("month",C156)),IFERROR(_xlfn.NUMBERVALUE(SUBSTITUTE(LEFT(TRIM(C156),FIND(" ",TRIM(C156)&amp;" ")-1),",","."),"."),LEFT(SUBSTITUTE(LEFT(TRIM(C156),FIND(" ",TRIM(C156)&amp;" ")-1),",","."),FIND("/",SUBSTITUTE(LEFT(TRIM(C156),FIND(" ",TRIM(C156)&amp;" ")-1),",","."))-1)/MID(SUBSTITUTE(LEFT(TRIM(C156),FIND(" ",TRIM(C156)&amp;" ")-1),",","."),FIND("/",SUBSTITUTE(LEFT(TRIM(C156),FIND(" ",TRIM(C156)&amp;" ")-1),",","."))+1,9)),IF(ISNUMBER(SEARCH("yea",C156)),IFERROR(_xlfn.NUMBERVALUE(SUBSTITUTE(LEFT(TRIM(C156),FIND(" ",TRIM(C156)&amp;" ")-1),",","."),"."),LEFT(SUBSTITUTE(LEFT(TRIM(C156),FIND(" ",TRIM(C156)&amp;" ")-1),",","."),FIND("/",SUBSTITUTE(LEFT(TRIM(C156),FIND(" ",TRIM(C156)&amp;" ")-1),",","."))-1)/MID(SUBSTITUTE(LEFT(TRIM(C156),FIND(" ",TRIM(C156)&amp;" ")-1),",","."),FIND("/",SUBSTITUTE(LEFT(TRIM(C156),FIND(" ",TRIM(C156)&amp;" ")-1),",","."))+1,9))*12,NA()))),0),12)*'Aturan &amp; Tarif'!$B$4,2)</f>
        <v>681.36</v>
      </c>
      <c r="K156" s="32" t="n">
        <f aca="false">'Aturan &amp; Tarif'!$B$5</f>
        <v>2050</v>
      </c>
      <c r="L156" s="35" t="n">
        <f aca="false">I156+J156+K156</f>
        <v>14291.36</v>
      </c>
      <c r="M156" s="37" t="s">
        <v>318</v>
      </c>
    </row>
    <row r="157" customFormat="false" ht="25.5" hidden="false" customHeight="true" outlineLevel="0" collapsed="false">
      <c r="A157" s="29"/>
      <c r="B157" s="30" t="s">
        <v>419</v>
      </c>
      <c r="C157" s="31" t="s">
        <v>130</v>
      </c>
      <c r="D157" s="31" t="s">
        <v>108</v>
      </c>
      <c r="E157" s="32" t="n">
        <v>5000</v>
      </c>
      <c r="F157" s="32"/>
      <c r="G157" s="32"/>
      <c r="H157" s="33" t="n">
        <v>2</v>
      </c>
      <c r="I157" s="34" t="n">
        <f aca="false">E157*H157+N(F157)+N(G157)</f>
        <v>10000</v>
      </c>
      <c r="J157" s="32" t="n">
        <f aca="false">ROUND(IFERROR(ROUND(IF(OR(ISNUMBER(SEARCH("week",C157)),ISNUMBER(SEARCH("minggu",C157))),IFERROR(_xlfn.NUMBERVALUE(SUBSTITUTE(LEFT(TRIM(C157),FIND(" ",TRIM(C157)&amp;" ")-1),",","."),"."),LEFT(SUBSTITUTE(LEFT(TRIM(C157),FIND(" ",TRIM(C157)&amp;" ")-1),",","."),FIND("/",SUBSTITUTE(LEFT(TRIM(C157),FIND(" ",TRIM(C157)&amp;" ")-1),",","."))-1)/MID(SUBSTITUTE(LEFT(TRIM(C157),FIND(" ",TRIM(C157)&amp;" ")-1),",","."),FIND("/",SUBSTITUTE(LEFT(TRIM(C157),FIND(" ",TRIM(C157)&amp;" ")-1),",","."))+1,9))*12/52,IF(ISNUMBER(SEARCH("month",C157)),IFERROR(_xlfn.NUMBERVALUE(SUBSTITUTE(LEFT(TRIM(C157),FIND(" ",TRIM(C157)&amp;" ")-1),",","."),"."),LEFT(SUBSTITUTE(LEFT(TRIM(C157),FIND(" ",TRIM(C157)&amp;" ")-1),",","."),FIND("/",SUBSTITUTE(LEFT(TRIM(C157),FIND(" ",TRIM(C157)&amp;" ")-1),",","."))-1)/MID(SUBSTITUTE(LEFT(TRIM(C157),FIND(" ",TRIM(C157)&amp;" ")-1),",","."),FIND("/",SUBSTITUTE(LEFT(TRIM(C157),FIND(" ",TRIM(C157)&amp;" ")-1),",","."))+1,9)),IF(ISNUMBER(SEARCH("yea",C157)),IFERROR(_xlfn.NUMBERVALUE(SUBSTITUTE(LEFT(TRIM(C157),FIND(" ",TRIM(C157)&amp;" ")-1),",","."),"."),LEFT(SUBSTITUTE(LEFT(TRIM(C157),FIND(" ",TRIM(C157)&amp;" ")-1),",","."),FIND("/",SUBSTITUTE(LEFT(TRIM(C157),FIND(" ",TRIM(C157)&amp;" ")-1),",","."))-1)/MID(SUBSTITUTE(LEFT(TRIM(C157),FIND(" ",TRIM(C157)&amp;" ")-1),",","."),FIND("/",SUBSTITUTE(LEFT(TRIM(C157),FIND(" ",TRIM(C157)&amp;" ")-1),",","."))+1,9))*12,NA()))),0),12)*'Aturan &amp; Tarif'!$B$4,2)</f>
        <v>681.36</v>
      </c>
      <c r="K157" s="32" t="n">
        <f aca="false">'Aturan &amp; Tarif'!$B$5</f>
        <v>2050</v>
      </c>
      <c r="L157" s="35" t="n">
        <f aca="false">I157+J157+K157</f>
        <v>12731.36</v>
      </c>
      <c r="M157" s="37" t="s">
        <v>318</v>
      </c>
    </row>
    <row r="158" customFormat="false" ht="60" hidden="false" customHeight="true" outlineLevel="0" collapsed="false">
      <c r="A158" s="29" t="s">
        <v>873</v>
      </c>
      <c r="B158" s="30" t="s">
        <v>148</v>
      </c>
      <c r="C158" s="31" t="s">
        <v>138</v>
      </c>
      <c r="D158" s="31" t="s">
        <v>108</v>
      </c>
      <c r="E158" s="32" t="n">
        <v>2950</v>
      </c>
      <c r="F158" s="32" t="n">
        <v>2500</v>
      </c>
      <c r="G158" s="32" t="n">
        <v>250</v>
      </c>
      <c r="H158" s="33" t="n">
        <v>1</v>
      </c>
      <c r="I158" s="34" t="n">
        <f aca="false">E158*H158+N(F158)+N(G158)</f>
        <v>5700</v>
      </c>
      <c r="J158" s="32" t="n">
        <f aca="false">ROUND(IFERROR(ROUND(IF(OR(ISNUMBER(SEARCH("week",C158)),ISNUMBER(SEARCH("minggu",C158))),IFERROR(_xlfn.NUMBERVALUE(SUBSTITUTE(LEFT(TRIM(C158),FIND(" ",TRIM(C158)&amp;" ")-1),",","."),"."),LEFT(SUBSTITUTE(LEFT(TRIM(C158),FIND(" ",TRIM(C158)&amp;" ")-1),",","."),FIND("/",SUBSTITUTE(LEFT(TRIM(C158),FIND(" ",TRIM(C158)&amp;" ")-1),",","."))-1)/MID(SUBSTITUTE(LEFT(TRIM(C158),FIND(" ",TRIM(C158)&amp;" ")-1),",","."),FIND("/",SUBSTITUTE(LEFT(TRIM(C158),FIND(" ",TRIM(C158)&amp;" ")-1),",","."))+1,9))*12/52,IF(ISNUMBER(SEARCH("month",C158)),IFERROR(_xlfn.NUMBERVALUE(SUBSTITUTE(LEFT(TRIM(C158),FIND(" ",TRIM(C158)&amp;" ")-1),",","."),"."),LEFT(SUBSTITUTE(LEFT(TRIM(C158),FIND(" ",TRIM(C158)&amp;" ")-1),",","."),FIND("/",SUBSTITUTE(LEFT(TRIM(C158),FIND(" ",TRIM(C158)&amp;" ")-1),",","."))-1)/MID(SUBSTITUTE(LEFT(TRIM(C158),FIND(" ",TRIM(C158)&amp;" ")-1),",","."),FIND("/",SUBSTITUTE(LEFT(TRIM(C158),FIND(" ",TRIM(C158)&amp;" ")-1),",","."))+1,9)),IF(ISNUMBER(SEARCH("yea",C158)),IFERROR(_xlfn.NUMBERVALUE(SUBSTITUTE(LEFT(TRIM(C158),FIND(" ",TRIM(C158)&amp;" ")-1),",","."),"."),LEFT(SUBSTITUTE(LEFT(TRIM(C158),FIND(" ",TRIM(C158)&amp;" ")-1),",","."),FIND("/",SUBSTITUTE(LEFT(TRIM(C158),FIND(" ",TRIM(C158)&amp;" ")-1),",","."))-1)/MID(SUBSTITUTE(LEFT(TRIM(C158),FIND(" ",TRIM(C158)&amp;" ")-1),",","."),FIND("/",SUBSTITUTE(LEFT(TRIM(C158),FIND(" ",TRIM(C158)&amp;" ")-1),",","."))+1,9))*12,NA()))),0),30)*'Aturan &amp; Tarif'!$B$4,2)</f>
        <v>1703.4</v>
      </c>
      <c r="K158" s="32" t="n">
        <f aca="false">'Aturan &amp; Tarif'!$B$5</f>
        <v>2050</v>
      </c>
      <c r="L158" s="35" t="n">
        <f aca="false">I158+J158+K158</f>
        <v>9453.4</v>
      </c>
      <c r="M158" s="37" t="s">
        <v>134</v>
      </c>
    </row>
    <row r="159" customFormat="false" ht="37.5" hidden="false" customHeight="true" outlineLevel="0" collapsed="false">
      <c r="A159" s="29"/>
      <c r="B159" s="30" t="s">
        <v>470</v>
      </c>
      <c r="C159" s="31" t="s">
        <v>138</v>
      </c>
      <c r="D159" s="31" t="s">
        <v>108</v>
      </c>
      <c r="E159" s="32" t="n">
        <v>3500</v>
      </c>
      <c r="F159" s="32" t="n">
        <v>500</v>
      </c>
      <c r="G159" s="32" t="n">
        <v>250</v>
      </c>
      <c r="H159" s="33" t="n">
        <v>1</v>
      </c>
      <c r="I159" s="34" t="n">
        <f aca="false">E159*H159+N(F159)+N(G159)</f>
        <v>4250</v>
      </c>
      <c r="J159" s="32" t="n">
        <f aca="false">ROUND(IFERROR(ROUND(IF(OR(ISNUMBER(SEARCH("week",C159)),ISNUMBER(SEARCH("minggu",C159))),IFERROR(_xlfn.NUMBERVALUE(SUBSTITUTE(LEFT(TRIM(C159),FIND(" ",TRIM(C159)&amp;" ")-1),",","."),"."),LEFT(SUBSTITUTE(LEFT(TRIM(C159),FIND(" ",TRIM(C159)&amp;" ")-1),",","."),FIND("/",SUBSTITUTE(LEFT(TRIM(C159),FIND(" ",TRIM(C159)&amp;" ")-1),",","."))-1)/MID(SUBSTITUTE(LEFT(TRIM(C159),FIND(" ",TRIM(C159)&amp;" ")-1),",","."),FIND("/",SUBSTITUTE(LEFT(TRIM(C159),FIND(" ",TRIM(C159)&amp;" ")-1),",","."))+1,9))*12/52,IF(ISNUMBER(SEARCH("month",C159)),IFERROR(_xlfn.NUMBERVALUE(SUBSTITUTE(LEFT(TRIM(C159),FIND(" ",TRIM(C159)&amp;" ")-1),",","."),"."),LEFT(SUBSTITUTE(LEFT(TRIM(C159),FIND(" ",TRIM(C159)&amp;" ")-1),",","."),FIND("/",SUBSTITUTE(LEFT(TRIM(C159),FIND(" ",TRIM(C159)&amp;" ")-1),",","."))-1)/MID(SUBSTITUTE(LEFT(TRIM(C159),FIND(" ",TRIM(C159)&amp;" ")-1),",","."),FIND("/",SUBSTITUTE(LEFT(TRIM(C159),FIND(" ",TRIM(C159)&amp;" ")-1),",","."))+1,9)),IF(ISNUMBER(SEARCH("yea",C159)),IFERROR(_xlfn.NUMBERVALUE(SUBSTITUTE(LEFT(TRIM(C159),FIND(" ",TRIM(C159)&amp;" ")-1),",","."),"."),LEFT(SUBSTITUTE(LEFT(TRIM(C159),FIND(" ",TRIM(C159)&amp;" ")-1),",","."),FIND("/",SUBSTITUTE(LEFT(TRIM(C159),FIND(" ",TRIM(C159)&amp;" ")-1),",","."))-1)/MID(SUBSTITUTE(LEFT(TRIM(C159),FIND(" ",TRIM(C159)&amp;" ")-1),",","."),FIND("/",SUBSTITUTE(LEFT(TRIM(C159),FIND(" ",TRIM(C159)&amp;" ")-1),",","."))+1,9))*12,NA()))),0),30)*'Aturan &amp; Tarif'!$B$4,2)</f>
        <v>1703.4</v>
      </c>
      <c r="K159" s="32" t="n">
        <f aca="false">'Aturan &amp; Tarif'!$B$5</f>
        <v>2050</v>
      </c>
      <c r="L159" s="35" t="n">
        <f aca="false">I159+J159+K159</f>
        <v>8003.4</v>
      </c>
      <c r="M159" s="37" t="s">
        <v>134</v>
      </c>
    </row>
    <row r="160" customFormat="false" ht="14.25" hidden="false" customHeight="true" outlineLevel="0" collapsed="false">
      <c r="A160" s="29"/>
      <c r="B160" s="30" t="s">
        <v>874</v>
      </c>
      <c r="C160" s="31" t="s">
        <v>107</v>
      </c>
      <c r="D160" s="31" t="s">
        <v>108</v>
      </c>
      <c r="E160" s="32" t="n">
        <v>2100</v>
      </c>
      <c r="F160" s="32" t="n">
        <v>500</v>
      </c>
      <c r="G160" s="32" t="n">
        <v>250</v>
      </c>
      <c r="H160" s="33" t="n">
        <v>1</v>
      </c>
      <c r="I160" s="34" t="n">
        <f aca="false">E160*H160+N(F160)+N(G160)</f>
        <v>2850</v>
      </c>
      <c r="J160" s="32" t="n">
        <f aca="false">ROUND(IFERROR(ROUND(IF(OR(ISNUMBER(SEARCH("week",C160)),ISNUMBER(SEARCH("minggu",C160))),IFERROR(_xlfn.NUMBERVALUE(SUBSTITUTE(LEFT(TRIM(C160),FIND(" ",TRIM(C160)&amp;" ")-1),",","."),"."),LEFT(SUBSTITUTE(LEFT(TRIM(C160),FIND(" ",TRIM(C160)&amp;" ")-1),",","."),FIND("/",SUBSTITUTE(LEFT(TRIM(C160),FIND(" ",TRIM(C160)&amp;" ")-1),",","."))-1)/MID(SUBSTITUTE(LEFT(TRIM(C160),FIND(" ",TRIM(C160)&amp;" ")-1),",","."),FIND("/",SUBSTITUTE(LEFT(TRIM(C160),FIND(" ",TRIM(C160)&amp;" ")-1),",","."))+1,9))*12/52,IF(ISNUMBER(SEARCH("month",C160)),IFERROR(_xlfn.NUMBERVALUE(SUBSTITUTE(LEFT(TRIM(C160),FIND(" ",TRIM(C160)&amp;" ")-1),",","."),"."),LEFT(SUBSTITUTE(LEFT(TRIM(C160),FIND(" ",TRIM(C160)&amp;" ")-1),",","."),FIND("/",SUBSTITUTE(LEFT(TRIM(C160),FIND(" ",TRIM(C160)&amp;" ")-1),",","."))-1)/MID(SUBSTITUTE(LEFT(TRIM(C160),FIND(" ",TRIM(C160)&amp;" ")-1),",","."),FIND("/",SUBSTITUTE(LEFT(TRIM(C160),FIND(" ",TRIM(C160)&amp;" ")-1),",","."))+1,9)),IF(ISNUMBER(SEARCH("yea",C160)),IFERROR(_xlfn.NUMBERVALUE(SUBSTITUTE(LEFT(TRIM(C160),FIND(" ",TRIM(C160)&amp;" ")-1),",","."),"."),LEFT(SUBSTITUTE(LEFT(TRIM(C160),FIND(" ",TRIM(C160)&amp;" ")-1),",","."),FIND("/",SUBSTITUTE(LEFT(TRIM(C160),FIND(" ",TRIM(C160)&amp;" ")-1),",","."))-1)/MID(SUBSTITUTE(LEFT(TRIM(C160),FIND(" ",TRIM(C160)&amp;" ")-1),",","."),FIND("/",SUBSTITUTE(LEFT(TRIM(C160),FIND(" ",TRIM(C160)&amp;" ")-1),",","."))+1,9))*12,NA()))),0),24)*'Aturan &amp; Tarif'!$B$4,2)</f>
        <v>1362.72</v>
      </c>
      <c r="K160" s="32" t="n">
        <f aca="false">'Aturan &amp; Tarif'!$B$5</f>
        <v>2050</v>
      </c>
      <c r="L160" s="35" t="n">
        <f aca="false">I160+J160+K160</f>
        <v>6262.72</v>
      </c>
      <c r="M160" s="37" t="s">
        <v>134</v>
      </c>
    </row>
    <row r="161" customFormat="false" ht="37.5" hidden="false" customHeight="true" outlineLevel="0" collapsed="false">
      <c r="A161" s="39" t="s">
        <v>3418</v>
      </c>
      <c r="B161" s="40" t="s">
        <v>424</v>
      </c>
      <c r="C161" s="41" t="s">
        <v>107</v>
      </c>
      <c r="D161" s="41" t="s">
        <v>108</v>
      </c>
      <c r="E161" s="42" t="n">
        <v>2053</v>
      </c>
      <c r="F161" s="42" t="n">
        <v>470</v>
      </c>
      <c r="G161" s="42" t="n">
        <v>100</v>
      </c>
      <c r="H161" s="43" t="n">
        <v>2</v>
      </c>
      <c r="I161" s="34" t="n">
        <f aca="false">E161*H161+N(F161)+N(G161)</f>
        <v>4676</v>
      </c>
      <c r="J161" s="42" t="n">
        <f aca="false">ROUND(IFERROR(ROUND(IF(OR(ISNUMBER(SEARCH("week",C161)),ISNUMBER(SEARCH("minggu",C161))),IFERROR(_xlfn.NUMBERVALUE(SUBSTITUTE(LEFT(TRIM(C161),FIND(" ",TRIM(C161)&amp;" ")-1),",","."),"."),LEFT(SUBSTITUTE(LEFT(TRIM(C161),FIND(" ",TRIM(C161)&amp;" ")-1),",","."),FIND("/",SUBSTITUTE(LEFT(TRIM(C161),FIND(" ",TRIM(C161)&amp;" ")-1),",","."))-1)/MID(SUBSTITUTE(LEFT(TRIM(C161),FIND(" ",TRIM(C161)&amp;" ")-1),",","."),FIND("/",SUBSTITUTE(LEFT(TRIM(C161),FIND(" ",TRIM(C161)&amp;" ")-1),",","."))+1,9))*12/52,IF(ISNUMBER(SEARCH("month",C161)),IFERROR(_xlfn.NUMBERVALUE(SUBSTITUTE(LEFT(TRIM(C161),FIND(" ",TRIM(C161)&amp;" ")-1),",","."),"."),LEFT(SUBSTITUTE(LEFT(TRIM(C161),FIND(" ",TRIM(C161)&amp;" ")-1),",","."),FIND("/",SUBSTITUTE(LEFT(TRIM(C161),FIND(" ",TRIM(C161)&amp;" ")-1),",","."))-1)/MID(SUBSTITUTE(LEFT(TRIM(C161),FIND(" ",TRIM(C161)&amp;" ")-1),",","."),FIND("/",SUBSTITUTE(LEFT(TRIM(C161),FIND(" ",TRIM(C161)&amp;" ")-1),",","."))+1,9)),IF(ISNUMBER(SEARCH("yea",C161)),IFERROR(_xlfn.NUMBERVALUE(SUBSTITUTE(LEFT(TRIM(C161),FIND(" ",TRIM(C161)&amp;" ")-1),",","."),"."),LEFT(SUBSTITUTE(LEFT(TRIM(C161),FIND(" ",TRIM(C161)&amp;" ")-1),",","."),FIND("/",SUBSTITUTE(LEFT(TRIM(C161),FIND(" ",TRIM(C161)&amp;" ")-1),",","."))-1)/MID(SUBSTITUTE(LEFT(TRIM(C161),FIND(" ",TRIM(C161)&amp;" ")-1),",","."),FIND("/",SUBSTITUTE(LEFT(TRIM(C161),FIND(" ",TRIM(C161)&amp;" ")-1),",","."))+1,9))*12,NA()))),0),24)*'Aturan &amp; Tarif'!$B$4,2)</f>
        <v>1362.72</v>
      </c>
      <c r="K161" s="42" t="n">
        <f aca="false">'Aturan &amp; Tarif'!$B$5</f>
        <v>2050</v>
      </c>
      <c r="L161" s="35" t="n">
        <f aca="false">I161+J161+K161</f>
        <v>8088.72</v>
      </c>
      <c r="M161" s="45" t="s">
        <v>876</v>
      </c>
    </row>
    <row r="162" customFormat="false" ht="25.5" hidden="false" customHeight="true" outlineLevel="0" collapsed="false">
      <c r="A162" s="39"/>
      <c r="B162" s="40" t="s">
        <v>426</v>
      </c>
      <c r="C162" s="41" t="s">
        <v>138</v>
      </c>
      <c r="D162" s="41" t="s">
        <v>108</v>
      </c>
      <c r="E162" s="42" t="n">
        <v>2000</v>
      </c>
      <c r="F162" s="42" t="n">
        <v>600</v>
      </c>
      <c r="G162" s="42" t="n">
        <v>100</v>
      </c>
      <c r="H162" s="43" t="n">
        <v>2</v>
      </c>
      <c r="I162" s="34" t="n">
        <f aca="false">E162*H162+N(F162)+N(G162)</f>
        <v>4700</v>
      </c>
      <c r="J162" s="42" t="n">
        <f aca="false">ROUND(IFERROR(ROUND(IF(OR(ISNUMBER(SEARCH("week",C162)),ISNUMBER(SEARCH("minggu",C162))),IFERROR(_xlfn.NUMBERVALUE(SUBSTITUTE(LEFT(TRIM(C162),FIND(" ",TRIM(C162)&amp;" ")-1),",","."),"."),LEFT(SUBSTITUTE(LEFT(TRIM(C162),FIND(" ",TRIM(C162)&amp;" ")-1),",","."),FIND("/",SUBSTITUTE(LEFT(TRIM(C162),FIND(" ",TRIM(C162)&amp;" ")-1),",","."))-1)/MID(SUBSTITUTE(LEFT(TRIM(C162),FIND(" ",TRIM(C162)&amp;" ")-1),",","."),FIND("/",SUBSTITUTE(LEFT(TRIM(C162),FIND(" ",TRIM(C162)&amp;" ")-1),",","."))+1,9))*12/52,IF(ISNUMBER(SEARCH("month",C162)),IFERROR(_xlfn.NUMBERVALUE(SUBSTITUTE(LEFT(TRIM(C162),FIND(" ",TRIM(C162)&amp;" ")-1),",","."),"."),LEFT(SUBSTITUTE(LEFT(TRIM(C162),FIND(" ",TRIM(C162)&amp;" ")-1),",","."),FIND("/",SUBSTITUTE(LEFT(TRIM(C162),FIND(" ",TRIM(C162)&amp;" ")-1),",","."))-1)/MID(SUBSTITUTE(LEFT(TRIM(C162),FIND(" ",TRIM(C162)&amp;" ")-1),",","."),FIND("/",SUBSTITUTE(LEFT(TRIM(C162),FIND(" ",TRIM(C162)&amp;" ")-1),",","."))+1,9)),IF(ISNUMBER(SEARCH("yea",C162)),IFERROR(_xlfn.NUMBERVALUE(SUBSTITUTE(LEFT(TRIM(C162),FIND(" ",TRIM(C162)&amp;" ")-1),",","."),"."),LEFT(SUBSTITUTE(LEFT(TRIM(C162),FIND(" ",TRIM(C162)&amp;" ")-1),",","."),FIND("/",SUBSTITUTE(LEFT(TRIM(C162),FIND(" ",TRIM(C162)&amp;" ")-1),",","."))-1)/MID(SUBSTITUTE(LEFT(TRIM(C162),FIND(" ",TRIM(C162)&amp;" ")-1),",","."),FIND("/",SUBSTITUTE(LEFT(TRIM(C162),FIND(" ",TRIM(C162)&amp;" ")-1),",","."))+1,9))*12,NA()))),0),30)*'Aturan &amp; Tarif'!$B$4,2)</f>
        <v>1703.4</v>
      </c>
      <c r="K162" s="42" t="n">
        <f aca="false">'Aturan &amp; Tarif'!$B$5</f>
        <v>2050</v>
      </c>
      <c r="L162" s="35" t="n">
        <f aca="false">I162+J162+K162</f>
        <v>8453.4</v>
      </c>
      <c r="M162" s="45" t="s">
        <v>876</v>
      </c>
    </row>
    <row r="163" customFormat="false" ht="14.25" hidden="false" customHeight="true" outlineLevel="0" collapsed="false">
      <c r="A163" s="39"/>
      <c r="B163" s="40" t="s">
        <v>877</v>
      </c>
      <c r="C163" s="41" t="s">
        <v>878</v>
      </c>
      <c r="D163" s="41" t="s">
        <v>108</v>
      </c>
      <c r="E163" s="42" t="n">
        <v>1350</v>
      </c>
      <c r="F163" s="42" t="n">
        <v>600</v>
      </c>
      <c r="G163" s="42" t="n">
        <v>100</v>
      </c>
      <c r="H163" s="43" t="n">
        <v>2</v>
      </c>
      <c r="I163" s="34" t="n">
        <f aca="false">E163*H163+N(F163)+N(G163)</f>
        <v>3400</v>
      </c>
      <c r="J163" s="42" t="n">
        <f aca="false">ROUND(IFERROR(ROUND(IF(OR(ISNUMBER(SEARCH("week",C163)),ISNUMBER(SEARCH("minggu",C163))),IFERROR(_xlfn.NUMBERVALUE(SUBSTITUTE(LEFT(TRIM(C163),FIND(" ",TRIM(C163)&amp;" ")-1),",","."),"."),LEFT(SUBSTITUTE(LEFT(TRIM(C163),FIND(" ",TRIM(C163)&amp;" ")-1),",","."),FIND("/",SUBSTITUTE(LEFT(TRIM(C163),FIND(" ",TRIM(C163)&amp;" ")-1),",","."))-1)/MID(SUBSTITUTE(LEFT(TRIM(C163),FIND(" ",TRIM(C163)&amp;" ")-1),",","."),FIND("/",SUBSTITUTE(LEFT(TRIM(C163),FIND(" ",TRIM(C163)&amp;" ")-1),",","."))+1,9))*12/52,IF(ISNUMBER(SEARCH("month",C163)),IFERROR(_xlfn.NUMBERVALUE(SUBSTITUTE(LEFT(TRIM(C163),FIND(" ",TRIM(C163)&amp;" ")-1),",","."),"."),LEFT(SUBSTITUTE(LEFT(TRIM(C163),FIND(" ",TRIM(C163)&amp;" ")-1),",","."),FIND("/",SUBSTITUTE(LEFT(TRIM(C163),FIND(" ",TRIM(C163)&amp;" ")-1),",","."))-1)/MID(SUBSTITUTE(LEFT(TRIM(C163),FIND(" ",TRIM(C163)&amp;" ")-1),",","."),FIND("/",SUBSTITUTE(LEFT(TRIM(C163),FIND(" ",TRIM(C163)&amp;" ")-1),",","."))+1,9)),IF(ISNUMBER(SEARCH("yea",C163)),IFERROR(_xlfn.NUMBERVALUE(SUBSTITUTE(LEFT(TRIM(C163),FIND(" ",TRIM(C163)&amp;" ")-1),",","."),"."),LEFT(SUBSTITUTE(LEFT(TRIM(C163),FIND(" ",TRIM(C163)&amp;" ")-1),",","."),FIND("/",SUBSTITUTE(LEFT(TRIM(C163),FIND(" ",TRIM(C163)&amp;" ")-1),",","."))-1)/MID(SUBSTITUTE(LEFT(TRIM(C163),FIND(" ",TRIM(C163)&amp;" ")-1),",","."),FIND("/",SUBSTITUTE(LEFT(TRIM(C163),FIND(" ",TRIM(C163)&amp;" ")-1),",","."))+1,9))*12,NA()))),0),20)*'Aturan &amp; Tarif'!$B$4,2)</f>
        <v>1135.6</v>
      </c>
      <c r="K163" s="42" t="n">
        <f aca="false">'Aturan &amp; Tarif'!$B$5</f>
        <v>2050</v>
      </c>
      <c r="L163" s="35" t="n">
        <f aca="false">I163+J163+K163</f>
        <v>6585.6</v>
      </c>
      <c r="M163" s="45" t="s">
        <v>876</v>
      </c>
    </row>
    <row r="164" customFormat="false" ht="25.5" hidden="false" customHeight="true" outlineLevel="0" collapsed="false">
      <c r="A164" s="39"/>
      <c r="B164" s="40" t="s">
        <v>879</v>
      </c>
      <c r="C164" s="41" t="s">
        <v>878</v>
      </c>
      <c r="D164" s="41" t="s">
        <v>108</v>
      </c>
      <c r="E164" s="42" t="n">
        <v>1350</v>
      </c>
      <c r="F164" s="42" t="n">
        <v>400</v>
      </c>
      <c r="G164" s="42" t="n">
        <v>100</v>
      </c>
      <c r="H164" s="43" t="n">
        <v>2</v>
      </c>
      <c r="I164" s="34" t="n">
        <f aca="false">E164*H164+N(F164)+N(G164)</f>
        <v>3200</v>
      </c>
      <c r="J164" s="42" t="n">
        <f aca="false">ROUND(IFERROR(ROUND(IF(OR(ISNUMBER(SEARCH("week",C164)),ISNUMBER(SEARCH("minggu",C164))),IFERROR(_xlfn.NUMBERVALUE(SUBSTITUTE(LEFT(TRIM(C164),FIND(" ",TRIM(C164)&amp;" ")-1),",","."),"."),LEFT(SUBSTITUTE(LEFT(TRIM(C164),FIND(" ",TRIM(C164)&amp;" ")-1),",","."),FIND("/",SUBSTITUTE(LEFT(TRIM(C164),FIND(" ",TRIM(C164)&amp;" ")-1),",","."))-1)/MID(SUBSTITUTE(LEFT(TRIM(C164),FIND(" ",TRIM(C164)&amp;" ")-1),",","."),FIND("/",SUBSTITUTE(LEFT(TRIM(C164),FIND(" ",TRIM(C164)&amp;" ")-1),",","."))+1,9))*12/52,IF(ISNUMBER(SEARCH("month",C164)),IFERROR(_xlfn.NUMBERVALUE(SUBSTITUTE(LEFT(TRIM(C164),FIND(" ",TRIM(C164)&amp;" ")-1),",","."),"."),LEFT(SUBSTITUTE(LEFT(TRIM(C164),FIND(" ",TRIM(C164)&amp;" ")-1),",","."),FIND("/",SUBSTITUTE(LEFT(TRIM(C164),FIND(" ",TRIM(C164)&amp;" ")-1),",","."))-1)/MID(SUBSTITUTE(LEFT(TRIM(C164),FIND(" ",TRIM(C164)&amp;" ")-1),",","."),FIND("/",SUBSTITUTE(LEFT(TRIM(C164),FIND(" ",TRIM(C164)&amp;" ")-1),",","."))+1,9)),IF(ISNUMBER(SEARCH("yea",C164)),IFERROR(_xlfn.NUMBERVALUE(SUBSTITUTE(LEFT(TRIM(C164),FIND(" ",TRIM(C164)&amp;" ")-1),",","."),"."),LEFT(SUBSTITUTE(LEFT(TRIM(C164),FIND(" ",TRIM(C164)&amp;" ")-1),",","."),FIND("/",SUBSTITUTE(LEFT(TRIM(C164),FIND(" ",TRIM(C164)&amp;" ")-1),",","."))-1)/MID(SUBSTITUTE(LEFT(TRIM(C164),FIND(" ",TRIM(C164)&amp;" ")-1),",","."),FIND("/",SUBSTITUTE(LEFT(TRIM(C164),FIND(" ",TRIM(C164)&amp;" ")-1),",","."))+1,9))*12,NA()))),0),20)*'Aturan &amp; Tarif'!$B$4,2)</f>
        <v>1135.6</v>
      </c>
      <c r="K164" s="42" t="n">
        <f aca="false">'Aturan &amp; Tarif'!$B$5</f>
        <v>2050</v>
      </c>
      <c r="L164" s="35" t="n">
        <f aca="false">I164+J164+K164</f>
        <v>6385.6</v>
      </c>
      <c r="M164" s="45" t="s">
        <v>876</v>
      </c>
    </row>
    <row r="165" customFormat="false" ht="14.25" hidden="false" customHeight="true" outlineLevel="0" collapsed="false">
      <c r="A165" s="39"/>
      <c r="B165" s="40" t="s">
        <v>880</v>
      </c>
      <c r="C165" s="41" t="s">
        <v>107</v>
      </c>
      <c r="D165" s="41" t="s">
        <v>108</v>
      </c>
      <c r="E165" s="42" t="n">
        <v>1250</v>
      </c>
      <c r="F165" s="42" t="n">
        <v>600</v>
      </c>
      <c r="G165" s="42" t="n">
        <v>100</v>
      </c>
      <c r="H165" s="43" t="n">
        <v>2</v>
      </c>
      <c r="I165" s="34" t="n">
        <f aca="false">E165*H165+N(F165)+N(G165)</f>
        <v>3200</v>
      </c>
      <c r="J165" s="42" t="n">
        <f aca="false">ROUND(IFERROR(ROUND(IF(OR(ISNUMBER(SEARCH("week",C165)),ISNUMBER(SEARCH("minggu",C165))),IFERROR(_xlfn.NUMBERVALUE(SUBSTITUTE(LEFT(TRIM(C165),FIND(" ",TRIM(C165)&amp;" ")-1),",","."),"."),LEFT(SUBSTITUTE(LEFT(TRIM(C165),FIND(" ",TRIM(C165)&amp;" ")-1),",","."),FIND("/",SUBSTITUTE(LEFT(TRIM(C165),FIND(" ",TRIM(C165)&amp;" ")-1),",","."))-1)/MID(SUBSTITUTE(LEFT(TRIM(C165),FIND(" ",TRIM(C165)&amp;" ")-1),",","."),FIND("/",SUBSTITUTE(LEFT(TRIM(C165),FIND(" ",TRIM(C165)&amp;" ")-1),",","."))+1,9))*12/52,IF(ISNUMBER(SEARCH("month",C165)),IFERROR(_xlfn.NUMBERVALUE(SUBSTITUTE(LEFT(TRIM(C165),FIND(" ",TRIM(C165)&amp;" ")-1),",","."),"."),LEFT(SUBSTITUTE(LEFT(TRIM(C165),FIND(" ",TRIM(C165)&amp;" ")-1),",","."),FIND("/",SUBSTITUTE(LEFT(TRIM(C165),FIND(" ",TRIM(C165)&amp;" ")-1),",","."))-1)/MID(SUBSTITUTE(LEFT(TRIM(C165),FIND(" ",TRIM(C165)&amp;" ")-1),",","."),FIND("/",SUBSTITUTE(LEFT(TRIM(C165),FIND(" ",TRIM(C165)&amp;" ")-1),",","."))+1,9)),IF(ISNUMBER(SEARCH("yea",C165)),IFERROR(_xlfn.NUMBERVALUE(SUBSTITUTE(LEFT(TRIM(C165),FIND(" ",TRIM(C165)&amp;" ")-1),",","."),"."),LEFT(SUBSTITUTE(LEFT(TRIM(C165),FIND(" ",TRIM(C165)&amp;" ")-1),",","."),FIND("/",SUBSTITUTE(LEFT(TRIM(C165),FIND(" ",TRIM(C165)&amp;" ")-1),",","."))-1)/MID(SUBSTITUTE(LEFT(TRIM(C165),FIND(" ",TRIM(C165)&amp;" ")-1),",","."),FIND("/",SUBSTITUTE(LEFT(TRIM(C165),FIND(" ",TRIM(C165)&amp;" ")-1),",","."))+1,9))*12,NA()))),0),24)*'Aturan &amp; Tarif'!$B$4,2)</f>
        <v>1362.72</v>
      </c>
      <c r="K165" s="42" t="n">
        <f aca="false">'Aturan &amp; Tarif'!$B$5</f>
        <v>2050</v>
      </c>
      <c r="L165" s="35" t="n">
        <f aca="false">I165+J165+K165</f>
        <v>6612.72</v>
      </c>
      <c r="M165" s="45" t="s">
        <v>876</v>
      </c>
    </row>
    <row r="166" customFormat="false" ht="25.5" hidden="false" customHeight="true" outlineLevel="0" collapsed="false">
      <c r="A166" s="39"/>
      <c r="B166" s="40" t="s">
        <v>1982</v>
      </c>
      <c r="C166" s="41" t="s">
        <v>878</v>
      </c>
      <c r="D166" s="41" t="s">
        <v>108</v>
      </c>
      <c r="E166" s="42" t="n">
        <v>1800</v>
      </c>
      <c r="F166" s="42" t="n">
        <v>400</v>
      </c>
      <c r="G166" s="42" t="n">
        <v>100</v>
      </c>
      <c r="H166" s="43" t="n">
        <v>2</v>
      </c>
      <c r="I166" s="34" t="n">
        <f aca="false">E166*H166+N(F166)+N(G166)</f>
        <v>4100</v>
      </c>
      <c r="J166" s="42" t="n">
        <f aca="false">ROUND(IFERROR(ROUND(IF(OR(ISNUMBER(SEARCH("week",C166)),ISNUMBER(SEARCH("minggu",C166))),IFERROR(_xlfn.NUMBERVALUE(SUBSTITUTE(LEFT(TRIM(C166),FIND(" ",TRIM(C166)&amp;" ")-1),",","."),"."),LEFT(SUBSTITUTE(LEFT(TRIM(C166),FIND(" ",TRIM(C166)&amp;" ")-1),",","."),FIND("/",SUBSTITUTE(LEFT(TRIM(C166),FIND(" ",TRIM(C166)&amp;" ")-1),",","."))-1)/MID(SUBSTITUTE(LEFT(TRIM(C166),FIND(" ",TRIM(C166)&amp;" ")-1),",","."),FIND("/",SUBSTITUTE(LEFT(TRIM(C166),FIND(" ",TRIM(C166)&amp;" ")-1),",","."))+1,9))*12/52,IF(ISNUMBER(SEARCH("month",C166)),IFERROR(_xlfn.NUMBERVALUE(SUBSTITUTE(LEFT(TRIM(C166),FIND(" ",TRIM(C166)&amp;" ")-1),",","."),"."),LEFT(SUBSTITUTE(LEFT(TRIM(C166),FIND(" ",TRIM(C166)&amp;" ")-1),",","."),FIND("/",SUBSTITUTE(LEFT(TRIM(C166),FIND(" ",TRIM(C166)&amp;" ")-1),",","."))-1)/MID(SUBSTITUTE(LEFT(TRIM(C166),FIND(" ",TRIM(C166)&amp;" ")-1),",","."),FIND("/",SUBSTITUTE(LEFT(TRIM(C166),FIND(" ",TRIM(C166)&amp;" ")-1),",","."))+1,9)),IF(ISNUMBER(SEARCH("yea",C166)),IFERROR(_xlfn.NUMBERVALUE(SUBSTITUTE(LEFT(TRIM(C166),FIND(" ",TRIM(C166)&amp;" ")-1),",","."),"."),LEFT(SUBSTITUTE(LEFT(TRIM(C166),FIND(" ",TRIM(C166)&amp;" ")-1),",","."),FIND("/",SUBSTITUTE(LEFT(TRIM(C166),FIND(" ",TRIM(C166)&amp;" ")-1),",","."))-1)/MID(SUBSTITUTE(LEFT(TRIM(C166),FIND(" ",TRIM(C166)&amp;" ")-1),",","."),FIND("/",SUBSTITUTE(LEFT(TRIM(C166),FIND(" ",TRIM(C166)&amp;" ")-1),",","."))+1,9))*12,NA()))),0),20)*'Aturan &amp; Tarif'!$B$4,2)</f>
        <v>1135.6</v>
      </c>
      <c r="K166" s="42" t="n">
        <f aca="false">'Aturan &amp; Tarif'!$B$5</f>
        <v>2050</v>
      </c>
      <c r="L166" s="35" t="n">
        <f aca="false">I166+J166+K166</f>
        <v>7285.6</v>
      </c>
      <c r="M166" s="45" t="s">
        <v>876</v>
      </c>
    </row>
    <row r="167" customFormat="false" ht="37.5" hidden="false" customHeight="true" outlineLevel="0" collapsed="false">
      <c r="A167" s="39"/>
      <c r="B167" s="40" t="s">
        <v>3096</v>
      </c>
      <c r="C167" s="41" t="s">
        <v>138</v>
      </c>
      <c r="D167" s="41" t="s">
        <v>108</v>
      </c>
      <c r="E167" s="42" t="n">
        <v>1600</v>
      </c>
      <c r="F167" s="42" t="n">
        <v>600</v>
      </c>
      <c r="G167" s="42" t="n">
        <v>100</v>
      </c>
      <c r="H167" s="43" t="n">
        <v>2</v>
      </c>
      <c r="I167" s="34" t="n">
        <f aca="false">E167*H167+N(F167)+N(G167)</f>
        <v>3900</v>
      </c>
      <c r="J167" s="42" t="n">
        <f aca="false">ROUND(IFERROR(ROUND(IF(OR(ISNUMBER(SEARCH("week",C167)),ISNUMBER(SEARCH("minggu",C167))),IFERROR(_xlfn.NUMBERVALUE(SUBSTITUTE(LEFT(TRIM(C167),FIND(" ",TRIM(C167)&amp;" ")-1),",","."),"."),LEFT(SUBSTITUTE(LEFT(TRIM(C167),FIND(" ",TRIM(C167)&amp;" ")-1),",","."),FIND("/",SUBSTITUTE(LEFT(TRIM(C167),FIND(" ",TRIM(C167)&amp;" ")-1),",","."))-1)/MID(SUBSTITUTE(LEFT(TRIM(C167),FIND(" ",TRIM(C167)&amp;" ")-1),",","."),FIND("/",SUBSTITUTE(LEFT(TRIM(C167),FIND(" ",TRIM(C167)&amp;" ")-1),",","."))+1,9))*12/52,IF(ISNUMBER(SEARCH("month",C167)),IFERROR(_xlfn.NUMBERVALUE(SUBSTITUTE(LEFT(TRIM(C167),FIND(" ",TRIM(C167)&amp;" ")-1),",","."),"."),LEFT(SUBSTITUTE(LEFT(TRIM(C167),FIND(" ",TRIM(C167)&amp;" ")-1),",","."),FIND("/",SUBSTITUTE(LEFT(TRIM(C167),FIND(" ",TRIM(C167)&amp;" ")-1),",","."))-1)/MID(SUBSTITUTE(LEFT(TRIM(C167),FIND(" ",TRIM(C167)&amp;" ")-1),",","."),FIND("/",SUBSTITUTE(LEFT(TRIM(C167),FIND(" ",TRIM(C167)&amp;" ")-1),",","."))+1,9)),IF(ISNUMBER(SEARCH("yea",C167)),IFERROR(_xlfn.NUMBERVALUE(SUBSTITUTE(LEFT(TRIM(C167),FIND(" ",TRIM(C167)&amp;" ")-1),",","."),"."),LEFT(SUBSTITUTE(LEFT(TRIM(C167),FIND(" ",TRIM(C167)&amp;" ")-1),",","."),FIND("/",SUBSTITUTE(LEFT(TRIM(C167),FIND(" ",TRIM(C167)&amp;" ")-1),",","."))-1)/MID(SUBSTITUTE(LEFT(TRIM(C167),FIND(" ",TRIM(C167)&amp;" ")-1),",","."),FIND("/",SUBSTITUTE(LEFT(TRIM(C167),FIND(" ",TRIM(C167)&amp;" ")-1),",","."))+1,9))*12,NA()))),0),30)*'Aturan &amp; Tarif'!$B$4,2)</f>
        <v>1703.4</v>
      </c>
      <c r="K167" s="42" t="n">
        <f aca="false">'Aturan &amp; Tarif'!$B$5</f>
        <v>2050</v>
      </c>
      <c r="L167" s="35" t="n">
        <f aca="false">I167+J167+K167</f>
        <v>7653.4</v>
      </c>
      <c r="M167" s="45" t="s">
        <v>876</v>
      </c>
    </row>
    <row r="168" customFormat="false" ht="25.5" hidden="false" customHeight="true" outlineLevel="0" collapsed="false">
      <c r="A168" s="39"/>
      <c r="B168" s="40" t="s">
        <v>3419</v>
      </c>
      <c r="C168" s="41" t="s">
        <v>107</v>
      </c>
      <c r="D168" s="41" t="s">
        <v>108</v>
      </c>
      <c r="E168" s="42" t="n">
        <v>2100</v>
      </c>
      <c r="F168" s="42" t="n">
        <v>400</v>
      </c>
      <c r="G168" s="42" t="n">
        <v>100</v>
      </c>
      <c r="H168" s="43" t="n">
        <v>2</v>
      </c>
      <c r="I168" s="34" t="n">
        <f aca="false">E168*H168+N(F168)+N(G168)</f>
        <v>4700</v>
      </c>
      <c r="J168" s="42" t="n">
        <f aca="false">ROUND(IFERROR(ROUND(IF(OR(ISNUMBER(SEARCH("week",C168)),ISNUMBER(SEARCH("minggu",C168))),IFERROR(_xlfn.NUMBERVALUE(SUBSTITUTE(LEFT(TRIM(C168),FIND(" ",TRIM(C168)&amp;" ")-1),",","."),"."),LEFT(SUBSTITUTE(LEFT(TRIM(C168),FIND(" ",TRIM(C168)&amp;" ")-1),",","."),FIND("/",SUBSTITUTE(LEFT(TRIM(C168),FIND(" ",TRIM(C168)&amp;" ")-1),",","."))-1)/MID(SUBSTITUTE(LEFT(TRIM(C168),FIND(" ",TRIM(C168)&amp;" ")-1),",","."),FIND("/",SUBSTITUTE(LEFT(TRIM(C168),FIND(" ",TRIM(C168)&amp;" ")-1),",","."))+1,9))*12/52,IF(ISNUMBER(SEARCH("month",C168)),IFERROR(_xlfn.NUMBERVALUE(SUBSTITUTE(LEFT(TRIM(C168),FIND(" ",TRIM(C168)&amp;" ")-1),",","."),"."),LEFT(SUBSTITUTE(LEFT(TRIM(C168),FIND(" ",TRIM(C168)&amp;" ")-1),",","."),FIND("/",SUBSTITUTE(LEFT(TRIM(C168),FIND(" ",TRIM(C168)&amp;" ")-1),",","."))-1)/MID(SUBSTITUTE(LEFT(TRIM(C168),FIND(" ",TRIM(C168)&amp;" ")-1),",","."),FIND("/",SUBSTITUTE(LEFT(TRIM(C168),FIND(" ",TRIM(C168)&amp;" ")-1),",","."))+1,9)),IF(ISNUMBER(SEARCH("yea",C168)),IFERROR(_xlfn.NUMBERVALUE(SUBSTITUTE(LEFT(TRIM(C168),FIND(" ",TRIM(C168)&amp;" ")-1),",","."),"."),LEFT(SUBSTITUTE(LEFT(TRIM(C168),FIND(" ",TRIM(C168)&amp;" ")-1),",","."),FIND("/",SUBSTITUTE(LEFT(TRIM(C168),FIND(" ",TRIM(C168)&amp;" ")-1),",","."))-1)/MID(SUBSTITUTE(LEFT(TRIM(C168),FIND(" ",TRIM(C168)&amp;" ")-1),",","."),FIND("/",SUBSTITUTE(LEFT(TRIM(C168),FIND(" ",TRIM(C168)&amp;" ")-1),",","."))+1,9))*12,NA()))),0),24)*'Aturan &amp; Tarif'!$B$4,2)</f>
        <v>1362.72</v>
      </c>
      <c r="K168" s="42" t="n">
        <f aca="false">'Aturan &amp; Tarif'!$B$5</f>
        <v>2050</v>
      </c>
      <c r="L168" s="35" t="n">
        <f aca="false">I168+J168+K168</f>
        <v>8112.72</v>
      </c>
      <c r="M168" s="45" t="s">
        <v>876</v>
      </c>
    </row>
    <row r="169" customFormat="false" ht="25.5" hidden="false" customHeight="true" outlineLevel="0" collapsed="false">
      <c r="A169" s="39"/>
      <c r="B169" s="40" t="s">
        <v>883</v>
      </c>
      <c r="C169" s="41" t="s">
        <v>107</v>
      </c>
      <c r="D169" s="41" t="s">
        <v>108</v>
      </c>
      <c r="E169" s="42" t="n">
        <v>1650</v>
      </c>
      <c r="F169" s="42" t="n">
        <v>400</v>
      </c>
      <c r="G169" s="42" t="n">
        <v>100</v>
      </c>
      <c r="H169" s="43" t="n">
        <v>2</v>
      </c>
      <c r="I169" s="34" t="n">
        <f aca="false">E169*H169+N(F169)+N(G169)</f>
        <v>3800</v>
      </c>
      <c r="J169" s="42" t="n">
        <f aca="false">ROUND(IFERROR(ROUND(IF(OR(ISNUMBER(SEARCH("week",C169)),ISNUMBER(SEARCH("minggu",C169))),IFERROR(_xlfn.NUMBERVALUE(SUBSTITUTE(LEFT(TRIM(C169),FIND(" ",TRIM(C169)&amp;" ")-1),",","."),"."),LEFT(SUBSTITUTE(LEFT(TRIM(C169),FIND(" ",TRIM(C169)&amp;" ")-1),",","."),FIND("/",SUBSTITUTE(LEFT(TRIM(C169),FIND(" ",TRIM(C169)&amp;" ")-1),",","."))-1)/MID(SUBSTITUTE(LEFT(TRIM(C169),FIND(" ",TRIM(C169)&amp;" ")-1),",","."),FIND("/",SUBSTITUTE(LEFT(TRIM(C169),FIND(" ",TRIM(C169)&amp;" ")-1),",","."))+1,9))*12/52,IF(ISNUMBER(SEARCH("month",C169)),IFERROR(_xlfn.NUMBERVALUE(SUBSTITUTE(LEFT(TRIM(C169),FIND(" ",TRIM(C169)&amp;" ")-1),",","."),"."),LEFT(SUBSTITUTE(LEFT(TRIM(C169),FIND(" ",TRIM(C169)&amp;" ")-1),",","."),FIND("/",SUBSTITUTE(LEFT(TRIM(C169),FIND(" ",TRIM(C169)&amp;" ")-1),",","."))-1)/MID(SUBSTITUTE(LEFT(TRIM(C169),FIND(" ",TRIM(C169)&amp;" ")-1),",","."),FIND("/",SUBSTITUTE(LEFT(TRIM(C169),FIND(" ",TRIM(C169)&amp;" ")-1),",","."))+1,9)),IF(ISNUMBER(SEARCH("yea",C169)),IFERROR(_xlfn.NUMBERVALUE(SUBSTITUTE(LEFT(TRIM(C169),FIND(" ",TRIM(C169)&amp;" ")-1),",","."),"."),LEFT(SUBSTITUTE(LEFT(TRIM(C169),FIND(" ",TRIM(C169)&amp;" ")-1),",","."),FIND("/",SUBSTITUTE(LEFT(TRIM(C169),FIND(" ",TRIM(C169)&amp;" ")-1),",","."))-1)/MID(SUBSTITUTE(LEFT(TRIM(C169),FIND(" ",TRIM(C169)&amp;" ")-1),",","."),FIND("/",SUBSTITUTE(LEFT(TRIM(C169),FIND(" ",TRIM(C169)&amp;" ")-1),",","."))+1,9))*12,NA()))),0),24)*'Aturan &amp; Tarif'!$B$4,2)</f>
        <v>1362.72</v>
      </c>
      <c r="K169" s="42" t="n">
        <f aca="false">'Aturan &amp; Tarif'!$B$5</f>
        <v>2050</v>
      </c>
      <c r="L169" s="35" t="n">
        <f aca="false">I169+J169+K169</f>
        <v>7212.72</v>
      </c>
      <c r="M169" s="45" t="s">
        <v>876</v>
      </c>
    </row>
    <row r="170" customFormat="false" ht="37.5" hidden="false" customHeight="true" outlineLevel="0" collapsed="false">
      <c r="A170" s="29" t="s">
        <v>884</v>
      </c>
      <c r="B170" s="30" t="s">
        <v>148</v>
      </c>
      <c r="C170" s="31" t="s">
        <v>107</v>
      </c>
      <c r="D170" s="31" t="s">
        <v>108</v>
      </c>
      <c r="E170" s="32" t="n">
        <v>2250</v>
      </c>
      <c r="F170" s="32" t="n">
        <v>1500</v>
      </c>
      <c r="G170" s="32" t="n">
        <v>250</v>
      </c>
      <c r="H170" s="33" t="n">
        <v>1</v>
      </c>
      <c r="I170" s="34" t="n">
        <f aca="false">E170*H170+N(F170)+N(G170)</f>
        <v>4000</v>
      </c>
      <c r="J170" s="32" t="n">
        <f aca="false">ROUND(IFERROR(ROUND(IF(OR(ISNUMBER(SEARCH("week",C170)),ISNUMBER(SEARCH("minggu",C170))),IFERROR(_xlfn.NUMBERVALUE(SUBSTITUTE(LEFT(TRIM(C170),FIND(" ",TRIM(C170)&amp;" ")-1),",","."),"."),LEFT(SUBSTITUTE(LEFT(TRIM(C170),FIND(" ",TRIM(C170)&amp;" ")-1),",","."),FIND("/",SUBSTITUTE(LEFT(TRIM(C170),FIND(" ",TRIM(C170)&amp;" ")-1),",","."))-1)/MID(SUBSTITUTE(LEFT(TRIM(C170),FIND(" ",TRIM(C170)&amp;" ")-1),",","."),FIND("/",SUBSTITUTE(LEFT(TRIM(C170),FIND(" ",TRIM(C170)&amp;" ")-1),",","."))+1,9))*12/52,IF(ISNUMBER(SEARCH("month",C170)),IFERROR(_xlfn.NUMBERVALUE(SUBSTITUTE(LEFT(TRIM(C170),FIND(" ",TRIM(C170)&amp;" ")-1),",","."),"."),LEFT(SUBSTITUTE(LEFT(TRIM(C170),FIND(" ",TRIM(C170)&amp;" ")-1),",","."),FIND("/",SUBSTITUTE(LEFT(TRIM(C170),FIND(" ",TRIM(C170)&amp;" ")-1),",","."))-1)/MID(SUBSTITUTE(LEFT(TRIM(C170),FIND(" ",TRIM(C170)&amp;" ")-1),",","."),FIND("/",SUBSTITUTE(LEFT(TRIM(C170),FIND(" ",TRIM(C170)&amp;" ")-1),",","."))+1,9)),IF(ISNUMBER(SEARCH("yea",C170)),IFERROR(_xlfn.NUMBERVALUE(SUBSTITUTE(LEFT(TRIM(C170),FIND(" ",TRIM(C170)&amp;" ")-1),",","."),"."),LEFT(SUBSTITUTE(LEFT(TRIM(C170),FIND(" ",TRIM(C170)&amp;" ")-1),",","."),FIND("/",SUBSTITUTE(LEFT(TRIM(C170),FIND(" ",TRIM(C170)&amp;" ")-1),",","."))-1)/MID(SUBSTITUTE(LEFT(TRIM(C170),FIND(" ",TRIM(C170)&amp;" ")-1),",","."),FIND("/",SUBSTITUTE(LEFT(TRIM(C170),FIND(" ",TRIM(C170)&amp;" ")-1),",","."))+1,9))*12,NA()))),0),24)*'Aturan &amp; Tarif'!$B$4,2)</f>
        <v>1362.72</v>
      </c>
      <c r="K170" s="32" t="n">
        <f aca="false">'Aturan &amp; Tarif'!$B$5</f>
        <v>2050</v>
      </c>
      <c r="L170" s="35" t="n">
        <f aca="false">I170+J170+K170</f>
        <v>7412.72</v>
      </c>
      <c r="M170" s="37" t="s">
        <v>885</v>
      </c>
    </row>
    <row r="171" customFormat="false" ht="25.5" hidden="false" customHeight="true" outlineLevel="0" collapsed="false">
      <c r="A171" s="29"/>
      <c r="B171" s="30" t="s">
        <v>886</v>
      </c>
      <c r="C171" s="31" t="s">
        <v>107</v>
      </c>
      <c r="D171" s="31" t="s">
        <v>108</v>
      </c>
      <c r="E171" s="32" t="n">
        <v>2500</v>
      </c>
      <c r="F171" s="32" t="n">
        <v>1000</v>
      </c>
      <c r="G171" s="32" t="n">
        <v>250</v>
      </c>
      <c r="H171" s="33" t="n">
        <v>1</v>
      </c>
      <c r="I171" s="34" t="n">
        <f aca="false">E171*H171+N(F171)+N(G171)</f>
        <v>3750</v>
      </c>
      <c r="J171" s="32" t="n">
        <f aca="false">ROUND(IFERROR(ROUND(IF(OR(ISNUMBER(SEARCH("week",C171)),ISNUMBER(SEARCH("minggu",C171))),IFERROR(_xlfn.NUMBERVALUE(SUBSTITUTE(LEFT(TRIM(C171),FIND(" ",TRIM(C171)&amp;" ")-1),",","."),"."),LEFT(SUBSTITUTE(LEFT(TRIM(C171),FIND(" ",TRIM(C171)&amp;" ")-1),",","."),FIND("/",SUBSTITUTE(LEFT(TRIM(C171),FIND(" ",TRIM(C171)&amp;" ")-1),",","."))-1)/MID(SUBSTITUTE(LEFT(TRIM(C171),FIND(" ",TRIM(C171)&amp;" ")-1),",","."),FIND("/",SUBSTITUTE(LEFT(TRIM(C171),FIND(" ",TRIM(C171)&amp;" ")-1),",","."))+1,9))*12/52,IF(ISNUMBER(SEARCH("month",C171)),IFERROR(_xlfn.NUMBERVALUE(SUBSTITUTE(LEFT(TRIM(C171),FIND(" ",TRIM(C171)&amp;" ")-1),",","."),"."),LEFT(SUBSTITUTE(LEFT(TRIM(C171),FIND(" ",TRIM(C171)&amp;" ")-1),",","."),FIND("/",SUBSTITUTE(LEFT(TRIM(C171),FIND(" ",TRIM(C171)&amp;" ")-1),",","."))-1)/MID(SUBSTITUTE(LEFT(TRIM(C171),FIND(" ",TRIM(C171)&amp;" ")-1),",","."),FIND("/",SUBSTITUTE(LEFT(TRIM(C171),FIND(" ",TRIM(C171)&amp;" ")-1),",","."))+1,9)),IF(ISNUMBER(SEARCH("yea",C171)),IFERROR(_xlfn.NUMBERVALUE(SUBSTITUTE(LEFT(TRIM(C171),FIND(" ",TRIM(C171)&amp;" ")-1),",","."),"."),LEFT(SUBSTITUTE(LEFT(TRIM(C171),FIND(" ",TRIM(C171)&amp;" ")-1),",","."),FIND("/",SUBSTITUTE(LEFT(TRIM(C171),FIND(" ",TRIM(C171)&amp;" ")-1),",","."))-1)/MID(SUBSTITUTE(LEFT(TRIM(C171),FIND(" ",TRIM(C171)&amp;" ")-1),",","."),FIND("/",SUBSTITUTE(LEFT(TRIM(C171),FIND(" ",TRIM(C171)&amp;" ")-1),",","."))+1,9))*12,NA()))),0),24)*'Aturan &amp; Tarif'!$B$4,2)</f>
        <v>1362.72</v>
      </c>
      <c r="K171" s="32" t="n">
        <f aca="false">'Aturan &amp; Tarif'!$B$5</f>
        <v>2050</v>
      </c>
      <c r="L171" s="35" t="n">
        <f aca="false">I171+J171+K171</f>
        <v>7162.72</v>
      </c>
      <c r="M171" s="37" t="s">
        <v>885</v>
      </c>
    </row>
    <row r="172" customFormat="false" ht="37.5" hidden="false" customHeight="true" outlineLevel="0" collapsed="false">
      <c r="A172" s="29"/>
      <c r="B172" s="30" t="s">
        <v>887</v>
      </c>
      <c r="C172" s="31" t="s">
        <v>127</v>
      </c>
      <c r="D172" s="31" t="s">
        <v>108</v>
      </c>
      <c r="E172" s="32" t="n">
        <v>2400</v>
      </c>
      <c r="F172" s="32" t="n">
        <v>1000</v>
      </c>
      <c r="G172" s="32" t="n">
        <v>250</v>
      </c>
      <c r="H172" s="33" t="n">
        <v>1</v>
      </c>
      <c r="I172" s="34" t="n">
        <f aca="false">E172*H172+N(F172)+N(G172)</f>
        <v>3650</v>
      </c>
      <c r="J172" s="32" t="n">
        <f aca="false">ROUND(IFERROR(ROUND(IF(OR(ISNUMBER(SEARCH("week",C172)),ISNUMBER(SEARCH("minggu",C172))),IFERROR(_xlfn.NUMBERVALUE(SUBSTITUTE(LEFT(TRIM(C172),FIND(" ",TRIM(C172)&amp;" ")-1),",","."),"."),LEFT(SUBSTITUTE(LEFT(TRIM(C172),FIND(" ",TRIM(C172)&amp;" ")-1),",","."),FIND("/",SUBSTITUTE(LEFT(TRIM(C172),FIND(" ",TRIM(C172)&amp;" ")-1),",","."))-1)/MID(SUBSTITUTE(LEFT(TRIM(C172),FIND(" ",TRIM(C172)&amp;" ")-1),",","."),FIND("/",SUBSTITUTE(LEFT(TRIM(C172),FIND(" ",TRIM(C172)&amp;" ")-1),",","."))+1,9))*12/52,IF(ISNUMBER(SEARCH("month",C172)),IFERROR(_xlfn.NUMBERVALUE(SUBSTITUTE(LEFT(TRIM(C172),FIND(" ",TRIM(C172)&amp;" ")-1),",","."),"."),LEFT(SUBSTITUTE(LEFT(TRIM(C172),FIND(" ",TRIM(C172)&amp;" ")-1),",","."),FIND("/",SUBSTITUTE(LEFT(TRIM(C172),FIND(" ",TRIM(C172)&amp;" ")-1),",","."))-1)/MID(SUBSTITUTE(LEFT(TRIM(C172),FIND(" ",TRIM(C172)&amp;" ")-1),",","."),FIND("/",SUBSTITUTE(LEFT(TRIM(C172),FIND(" ",TRIM(C172)&amp;" ")-1),",","."))+1,9)),IF(ISNUMBER(SEARCH("yea",C172)),IFERROR(_xlfn.NUMBERVALUE(SUBSTITUTE(LEFT(TRIM(C172),FIND(" ",TRIM(C172)&amp;" ")-1),",","."),"."),LEFT(SUBSTITUTE(LEFT(TRIM(C172),FIND(" ",TRIM(C172)&amp;" ")-1),",","."),FIND("/",SUBSTITUTE(LEFT(TRIM(C172),FIND(" ",TRIM(C172)&amp;" ")-1),",","."))-1)/MID(SUBSTITUTE(LEFT(TRIM(C172),FIND(" ",TRIM(C172)&amp;" ")-1),",","."),FIND("/",SUBSTITUTE(LEFT(TRIM(C172),FIND(" ",TRIM(C172)&amp;" ")-1),",","."))+1,9))*12,NA()))),0),36)*'Aturan &amp; Tarif'!$B$4,2)</f>
        <v>2044.08</v>
      </c>
      <c r="K172" s="32" t="n">
        <f aca="false">'Aturan &amp; Tarif'!$B$5</f>
        <v>2050</v>
      </c>
      <c r="L172" s="35" t="n">
        <f aca="false">I172+J172+K172</f>
        <v>7744.08</v>
      </c>
      <c r="M172" s="37" t="s">
        <v>885</v>
      </c>
    </row>
    <row r="173" customFormat="false" ht="14.25" hidden="false" customHeight="true" outlineLevel="0" collapsed="false">
      <c r="A173" s="29"/>
      <c r="B173" s="30" t="s">
        <v>888</v>
      </c>
      <c r="C173" s="31" t="s">
        <v>107</v>
      </c>
      <c r="D173" s="31" t="s">
        <v>108</v>
      </c>
      <c r="E173" s="32" t="n">
        <v>2250</v>
      </c>
      <c r="F173" s="32" t="n">
        <v>500</v>
      </c>
      <c r="G173" s="32" t="n">
        <v>250</v>
      </c>
      <c r="H173" s="33" t="n">
        <v>1</v>
      </c>
      <c r="I173" s="34" t="n">
        <f aca="false">E173*H173+N(F173)+N(G173)</f>
        <v>3000</v>
      </c>
      <c r="J173" s="32" t="n">
        <f aca="false">ROUND(IFERROR(ROUND(IF(OR(ISNUMBER(SEARCH("week",C173)),ISNUMBER(SEARCH("minggu",C173))),IFERROR(_xlfn.NUMBERVALUE(SUBSTITUTE(LEFT(TRIM(C173),FIND(" ",TRIM(C173)&amp;" ")-1),",","."),"."),LEFT(SUBSTITUTE(LEFT(TRIM(C173),FIND(" ",TRIM(C173)&amp;" ")-1),",","."),FIND("/",SUBSTITUTE(LEFT(TRIM(C173),FIND(" ",TRIM(C173)&amp;" ")-1),",","."))-1)/MID(SUBSTITUTE(LEFT(TRIM(C173),FIND(" ",TRIM(C173)&amp;" ")-1),",","."),FIND("/",SUBSTITUTE(LEFT(TRIM(C173),FIND(" ",TRIM(C173)&amp;" ")-1),",","."))+1,9))*12/52,IF(ISNUMBER(SEARCH("month",C173)),IFERROR(_xlfn.NUMBERVALUE(SUBSTITUTE(LEFT(TRIM(C173),FIND(" ",TRIM(C173)&amp;" ")-1),",","."),"."),LEFT(SUBSTITUTE(LEFT(TRIM(C173),FIND(" ",TRIM(C173)&amp;" ")-1),",","."),FIND("/",SUBSTITUTE(LEFT(TRIM(C173),FIND(" ",TRIM(C173)&amp;" ")-1),",","."))-1)/MID(SUBSTITUTE(LEFT(TRIM(C173),FIND(" ",TRIM(C173)&amp;" ")-1),",","."),FIND("/",SUBSTITUTE(LEFT(TRIM(C173),FIND(" ",TRIM(C173)&amp;" ")-1),",","."))+1,9)),IF(ISNUMBER(SEARCH("yea",C173)),IFERROR(_xlfn.NUMBERVALUE(SUBSTITUTE(LEFT(TRIM(C173),FIND(" ",TRIM(C173)&amp;" ")-1),",","."),"."),LEFT(SUBSTITUTE(LEFT(TRIM(C173),FIND(" ",TRIM(C173)&amp;" ")-1),",","."),FIND("/",SUBSTITUTE(LEFT(TRIM(C173),FIND(" ",TRIM(C173)&amp;" ")-1),",","."))-1)/MID(SUBSTITUTE(LEFT(TRIM(C173),FIND(" ",TRIM(C173)&amp;" ")-1),",","."),FIND("/",SUBSTITUTE(LEFT(TRIM(C173),FIND(" ",TRIM(C173)&amp;" ")-1),",","."))+1,9))*12,NA()))),0),24)*'Aturan &amp; Tarif'!$B$4,2)</f>
        <v>1362.72</v>
      </c>
      <c r="K173" s="32" t="n">
        <f aca="false">'Aturan &amp; Tarif'!$B$5</f>
        <v>2050</v>
      </c>
      <c r="L173" s="35" t="n">
        <f aca="false">I173+J173+K173</f>
        <v>6412.72</v>
      </c>
      <c r="M173" s="37" t="s">
        <v>885</v>
      </c>
    </row>
    <row r="174" customFormat="false" ht="25.5" hidden="false" customHeight="true" outlineLevel="0" collapsed="false">
      <c r="A174" s="29"/>
      <c r="B174" s="30" t="s">
        <v>889</v>
      </c>
      <c r="C174" s="31" t="s">
        <v>107</v>
      </c>
      <c r="D174" s="31" t="s">
        <v>108</v>
      </c>
      <c r="E174" s="32" t="n">
        <v>2500</v>
      </c>
      <c r="F174" s="32" t="n">
        <v>1000</v>
      </c>
      <c r="G174" s="32" t="n">
        <v>250</v>
      </c>
      <c r="H174" s="33" t="n">
        <v>1</v>
      </c>
      <c r="I174" s="34" t="n">
        <f aca="false">E174*H174+N(F174)+N(G174)</f>
        <v>3750</v>
      </c>
      <c r="J174" s="32" t="n">
        <f aca="false">ROUND(IFERROR(ROUND(IF(OR(ISNUMBER(SEARCH("week",C174)),ISNUMBER(SEARCH("minggu",C174))),IFERROR(_xlfn.NUMBERVALUE(SUBSTITUTE(LEFT(TRIM(C174),FIND(" ",TRIM(C174)&amp;" ")-1),",","."),"."),LEFT(SUBSTITUTE(LEFT(TRIM(C174),FIND(" ",TRIM(C174)&amp;" ")-1),",","."),FIND("/",SUBSTITUTE(LEFT(TRIM(C174),FIND(" ",TRIM(C174)&amp;" ")-1),",","."))-1)/MID(SUBSTITUTE(LEFT(TRIM(C174),FIND(" ",TRIM(C174)&amp;" ")-1),",","."),FIND("/",SUBSTITUTE(LEFT(TRIM(C174),FIND(" ",TRIM(C174)&amp;" ")-1),",","."))+1,9))*12/52,IF(ISNUMBER(SEARCH("month",C174)),IFERROR(_xlfn.NUMBERVALUE(SUBSTITUTE(LEFT(TRIM(C174),FIND(" ",TRIM(C174)&amp;" ")-1),",","."),"."),LEFT(SUBSTITUTE(LEFT(TRIM(C174),FIND(" ",TRIM(C174)&amp;" ")-1),",","."),FIND("/",SUBSTITUTE(LEFT(TRIM(C174),FIND(" ",TRIM(C174)&amp;" ")-1),",","."))-1)/MID(SUBSTITUTE(LEFT(TRIM(C174),FIND(" ",TRIM(C174)&amp;" ")-1),",","."),FIND("/",SUBSTITUTE(LEFT(TRIM(C174),FIND(" ",TRIM(C174)&amp;" ")-1),",","."))+1,9)),IF(ISNUMBER(SEARCH("yea",C174)),IFERROR(_xlfn.NUMBERVALUE(SUBSTITUTE(LEFT(TRIM(C174),FIND(" ",TRIM(C174)&amp;" ")-1),",","."),"."),LEFT(SUBSTITUTE(LEFT(TRIM(C174),FIND(" ",TRIM(C174)&amp;" ")-1),",","."),FIND("/",SUBSTITUTE(LEFT(TRIM(C174),FIND(" ",TRIM(C174)&amp;" ")-1),",","."))-1)/MID(SUBSTITUTE(LEFT(TRIM(C174),FIND(" ",TRIM(C174)&amp;" ")-1),",","."),FIND("/",SUBSTITUTE(LEFT(TRIM(C174),FIND(" ",TRIM(C174)&amp;" ")-1),",","."))+1,9))*12,NA()))),0),24)*'Aturan &amp; Tarif'!$B$4,2)</f>
        <v>1362.72</v>
      </c>
      <c r="K174" s="32" t="n">
        <f aca="false">'Aturan &amp; Tarif'!$B$5</f>
        <v>2050</v>
      </c>
      <c r="L174" s="35" t="n">
        <f aca="false">I174+J174+K174</f>
        <v>7162.72</v>
      </c>
      <c r="M174" s="37" t="s">
        <v>885</v>
      </c>
    </row>
    <row r="175" customFormat="false" ht="60" hidden="false" customHeight="true" outlineLevel="0" collapsed="false">
      <c r="A175" s="39" t="s">
        <v>890</v>
      </c>
      <c r="B175" s="40" t="s">
        <v>891</v>
      </c>
      <c r="C175" s="41" t="s">
        <v>191</v>
      </c>
      <c r="D175" s="41" t="s">
        <v>108</v>
      </c>
      <c r="E175" s="42" t="n">
        <v>8427</v>
      </c>
      <c r="F175" s="42"/>
      <c r="G175" s="42"/>
      <c r="H175" s="43" t="n">
        <v>2</v>
      </c>
      <c r="I175" s="34" t="n">
        <f aca="false">E175*H175+N(F175)+N(G175)</f>
        <v>16854</v>
      </c>
      <c r="J175" s="42" t="n">
        <f aca="false">ROUND(IFERROR(ROUND(IF(OR(ISNUMBER(SEARCH("week",C175)),ISNUMBER(SEARCH("minggu",C175))),IFERROR(_xlfn.NUMBERVALUE(SUBSTITUTE(LEFT(TRIM(C175),FIND(" ",TRIM(C175)&amp;" ")-1),",","."),"."),LEFT(SUBSTITUTE(LEFT(TRIM(C175),FIND(" ",TRIM(C175)&amp;" ")-1),",","."),FIND("/",SUBSTITUTE(LEFT(TRIM(C175),FIND(" ",TRIM(C175)&amp;" ")-1),",","."))-1)/MID(SUBSTITUTE(LEFT(TRIM(C175),FIND(" ",TRIM(C175)&amp;" ")-1),",","."),FIND("/",SUBSTITUTE(LEFT(TRIM(C175),FIND(" ",TRIM(C175)&amp;" ")-1),",","."))+1,9))*12/52,IF(ISNUMBER(SEARCH("month",C175)),IFERROR(_xlfn.NUMBERVALUE(SUBSTITUTE(LEFT(TRIM(C175),FIND(" ",TRIM(C175)&amp;" ")-1),",","."),"."),LEFT(SUBSTITUTE(LEFT(TRIM(C175),FIND(" ",TRIM(C175)&amp;" ")-1),",","."),FIND("/",SUBSTITUTE(LEFT(TRIM(C175),FIND(" ",TRIM(C175)&amp;" ")-1),",","."))-1)/MID(SUBSTITUTE(LEFT(TRIM(C175),FIND(" ",TRIM(C175)&amp;" ")-1),",","."),FIND("/",SUBSTITUTE(LEFT(TRIM(C175),FIND(" ",TRIM(C175)&amp;" ")-1),",","."))+1,9)),IF(ISNUMBER(SEARCH("yea",C175)),IFERROR(_xlfn.NUMBERVALUE(SUBSTITUTE(LEFT(TRIM(C175),FIND(" ",TRIM(C175)&amp;" ")-1),",","."),"."),LEFT(SUBSTITUTE(LEFT(TRIM(C175),FIND(" ",TRIM(C175)&amp;" ")-1),",","."),FIND("/",SUBSTITUTE(LEFT(TRIM(C175),FIND(" ",TRIM(C175)&amp;" ")-1),",","."))-1)/MID(SUBSTITUTE(LEFT(TRIM(C175),FIND(" ",TRIM(C175)&amp;" ")-1),",","."),FIND("/",SUBSTITUTE(LEFT(TRIM(C175),FIND(" ",TRIM(C175)&amp;" ")-1),",","."))+1,9))*12,NA()))),0),48)*'Aturan &amp; Tarif'!$B$4,2)</f>
        <v>2725.44</v>
      </c>
      <c r="K175" s="42" t="n">
        <f aca="false">'Aturan &amp; Tarif'!$B$5</f>
        <v>2050</v>
      </c>
      <c r="L175" s="35" t="n">
        <f aca="false">I175+J175+K175</f>
        <v>21629.44</v>
      </c>
      <c r="M175" s="44" t="s">
        <v>605</v>
      </c>
    </row>
    <row r="176" customFormat="false" ht="37.5" hidden="false" customHeight="true" outlineLevel="0" collapsed="false">
      <c r="A176" s="39"/>
      <c r="B176" s="40" t="s">
        <v>892</v>
      </c>
      <c r="C176" s="41" t="s">
        <v>191</v>
      </c>
      <c r="D176" s="41" t="s">
        <v>108</v>
      </c>
      <c r="E176" s="42" t="n">
        <v>7784</v>
      </c>
      <c r="F176" s="42"/>
      <c r="G176" s="42"/>
      <c r="H176" s="43" t="n">
        <v>2</v>
      </c>
      <c r="I176" s="34" t="n">
        <f aca="false">E176*H176+N(F176)+N(G176)</f>
        <v>15568</v>
      </c>
      <c r="J176" s="42" t="n">
        <f aca="false">ROUND(IFERROR(ROUND(IF(OR(ISNUMBER(SEARCH("week",C176)),ISNUMBER(SEARCH("minggu",C176))),IFERROR(_xlfn.NUMBERVALUE(SUBSTITUTE(LEFT(TRIM(C176),FIND(" ",TRIM(C176)&amp;" ")-1),",","."),"."),LEFT(SUBSTITUTE(LEFT(TRIM(C176),FIND(" ",TRIM(C176)&amp;" ")-1),",","."),FIND("/",SUBSTITUTE(LEFT(TRIM(C176),FIND(" ",TRIM(C176)&amp;" ")-1),",","."))-1)/MID(SUBSTITUTE(LEFT(TRIM(C176),FIND(" ",TRIM(C176)&amp;" ")-1),",","."),FIND("/",SUBSTITUTE(LEFT(TRIM(C176),FIND(" ",TRIM(C176)&amp;" ")-1),",","."))+1,9))*12/52,IF(ISNUMBER(SEARCH("month",C176)),IFERROR(_xlfn.NUMBERVALUE(SUBSTITUTE(LEFT(TRIM(C176),FIND(" ",TRIM(C176)&amp;" ")-1),",","."),"."),LEFT(SUBSTITUTE(LEFT(TRIM(C176),FIND(" ",TRIM(C176)&amp;" ")-1),",","."),FIND("/",SUBSTITUTE(LEFT(TRIM(C176),FIND(" ",TRIM(C176)&amp;" ")-1),",","."))-1)/MID(SUBSTITUTE(LEFT(TRIM(C176),FIND(" ",TRIM(C176)&amp;" ")-1),",","."),FIND("/",SUBSTITUTE(LEFT(TRIM(C176),FIND(" ",TRIM(C176)&amp;" ")-1),",","."))+1,9)),IF(ISNUMBER(SEARCH("yea",C176)),IFERROR(_xlfn.NUMBERVALUE(SUBSTITUTE(LEFT(TRIM(C176),FIND(" ",TRIM(C176)&amp;" ")-1),",","."),"."),LEFT(SUBSTITUTE(LEFT(TRIM(C176),FIND(" ",TRIM(C176)&amp;" ")-1),",","."),FIND("/",SUBSTITUTE(LEFT(TRIM(C176),FIND(" ",TRIM(C176)&amp;" ")-1),",","."))-1)/MID(SUBSTITUTE(LEFT(TRIM(C176),FIND(" ",TRIM(C176)&amp;" ")-1),",","."),FIND("/",SUBSTITUTE(LEFT(TRIM(C176),FIND(" ",TRIM(C176)&amp;" ")-1),",","."))+1,9))*12,NA()))),0),48)*'Aturan &amp; Tarif'!$B$4,2)</f>
        <v>2725.44</v>
      </c>
      <c r="K176" s="42" t="n">
        <f aca="false">'Aturan &amp; Tarif'!$B$5</f>
        <v>2050</v>
      </c>
      <c r="L176" s="35" t="n">
        <f aca="false">I176+J176+K176</f>
        <v>20343.44</v>
      </c>
      <c r="M176" s="44" t="s">
        <v>607</v>
      </c>
    </row>
    <row r="177" customFormat="false" ht="37.5" hidden="false" customHeight="true" outlineLevel="0" collapsed="false">
      <c r="A177" s="39"/>
      <c r="B177" s="40" t="s">
        <v>893</v>
      </c>
      <c r="C177" s="41" t="s">
        <v>107</v>
      </c>
      <c r="D177" s="41" t="s">
        <v>108</v>
      </c>
      <c r="E177" s="42" t="n">
        <v>8427</v>
      </c>
      <c r="F177" s="42"/>
      <c r="G177" s="42"/>
      <c r="H177" s="43" t="n">
        <v>2</v>
      </c>
      <c r="I177" s="34" t="n">
        <f aca="false">E177*H177+N(F177)+N(G177)</f>
        <v>16854</v>
      </c>
      <c r="J177" s="42" t="n">
        <f aca="false">ROUND(IFERROR(ROUND(IF(OR(ISNUMBER(SEARCH("week",C177)),ISNUMBER(SEARCH("minggu",C177))),IFERROR(_xlfn.NUMBERVALUE(SUBSTITUTE(LEFT(TRIM(C177),FIND(" ",TRIM(C177)&amp;" ")-1),",","."),"."),LEFT(SUBSTITUTE(LEFT(TRIM(C177),FIND(" ",TRIM(C177)&amp;" ")-1),",","."),FIND("/",SUBSTITUTE(LEFT(TRIM(C177),FIND(" ",TRIM(C177)&amp;" ")-1),",","."))-1)/MID(SUBSTITUTE(LEFT(TRIM(C177),FIND(" ",TRIM(C177)&amp;" ")-1),",","."),FIND("/",SUBSTITUTE(LEFT(TRIM(C177),FIND(" ",TRIM(C177)&amp;" ")-1),",","."))+1,9))*12/52,IF(ISNUMBER(SEARCH("month",C177)),IFERROR(_xlfn.NUMBERVALUE(SUBSTITUTE(LEFT(TRIM(C177),FIND(" ",TRIM(C177)&amp;" ")-1),",","."),"."),LEFT(SUBSTITUTE(LEFT(TRIM(C177),FIND(" ",TRIM(C177)&amp;" ")-1),",","."),FIND("/",SUBSTITUTE(LEFT(TRIM(C177),FIND(" ",TRIM(C177)&amp;" ")-1),",","."))-1)/MID(SUBSTITUTE(LEFT(TRIM(C177),FIND(" ",TRIM(C177)&amp;" ")-1),",","."),FIND("/",SUBSTITUTE(LEFT(TRIM(C177),FIND(" ",TRIM(C177)&amp;" ")-1),",","."))+1,9)),IF(ISNUMBER(SEARCH("yea",C177)),IFERROR(_xlfn.NUMBERVALUE(SUBSTITUTE(LEFT(TRIM(C177),FIND(" ",TRIM(C177)&amp;" ")-1),",","."),"."),LEFT(SUBSTITUTE(LEFT(TRIM(C177),FIND(" ",TRIM(C177)&amp;" ")-1),",","."),FIND("/",SUBSTITUTE(LEFT(TRIM(C177),FIND(" ",TRIM(C177)&amp;" ")-1),",","."))-1)/MID(SUBSTITUTE(LEFT(TRIM(C177),FIND(" ",TRIM(C177)&amp;" ")-1),",","."),FIND("/",SUBSTITUTE(LEFT(TRIM(C177),FIND(" ",TRIM(C177)&amp;" ")-1),",","."))+1,9))*12,NA()))),0),24)*'Aturan &amp; Tarif'!$B$4,2)</f>
        <v>1362.72</v>
      </c>
      <c r="K177" s="42" t="n">
        <f aca="false">'Aturan &amp; Tarif'!$B$5</f>
        <v>2050</v>
      </c>
      <c r="L177" s="35" t="n">
        <f aca="false">I177+J177+K177</f>
        <v>20266.72</v>
      </c>
      <c r="M177" s="44" t="s">
        <v>605</v>
      </c>
    </row>
    <row r="178" customFormat="false" ht="37.5" hidden="false" customHeight="true" outlineLevel="0" collapsed="false">
      <c r="A178" s="39"/>
      <c r="B178" s="40" t="s">
        <v>894</v>
      </c>
      <c r="C178" s="41" t="s">
        <v>107</v>
      </c>
      <c r="D178" s="41" t="s">
        <v>108</v>
      </c>
      <c r="E178" s="42" t="n">
        <v>7784</v>
      </c>
      <c r="F178" s="42"/>
      <c r="G178" s="42"/>
      <c r="H178" s="43" t="n">
        <v>2</v>
      </c>
      <c r="I178" s="34" t="n">
        <f aca="false">E178*H178+N(F178)+N(G178)</f>
        <v>15568</v>
      </c>
      <c r="J178" s="42" t="n">
        <f aca="false">ROUND(IFERROR(ROUND(IF(OR(ISNUMBER(SEARCH("week",C178)),ISNUMBER(SEARCH("minggu",C178))),IFERROR(_xlfn.NUMBERVALUE(SUBSTITUTE(LEFT(TRIM(C178),FIND(" ",TRIM(C178)&amp;" ")-1),",","."),"."),LEFT(SUBSTITUTE(LEFT(TRIM(C178),FIND(" ",TRIM(C178)&amp;" ")-1),",","."),FIND("/",SUBSTITUTE(LEFT(TRIM(C178),FIND(" ",TRIM(C178)&amp;" ")-1),",","."))-1)/MID(SUBSTITUTE(LEFT(TRIM(C178),FIND(" ",TRIM(C178)&amp;" ")-1),",","."),FIND("/",SUBSTITUTE(LEFT(TRIM(C178),FIND(" ",TRIM(C178)&amp;" ")-1),",","."))+1,9))*12/52,IF(ISNUMBER(SEARCH("month",C178)),IFERROR(_xlfn.NUMBERVALUE(SUBSTITUTE(LEFT(TRIM(C178),FIND(" ",TRIM(C178)&amp;" ")-1),",","."),"."),LEFT(SUBSTITUTE(LEFT(TRIM(C178),FIND(" ",TRIM(C178)&amp;" ")-1),",","."),FIND("/",SUBSTITUTE(LEFT(TRIM(C178),FIND(" ",TRIM(C178)&amp;" ")-1),",","."))-1)/MID(SUBSTITUTE(LEFT(TRIM(C178),FIND(" ",TRIM(C178)&amp;" ")-1),",","."),FIND("/",SUBSTITUTE(LEFT(TRIM(C178),FIND(" ",TRIM(C178)&amp;" ")-1),",","."))+1,9)),IF(ISNUMBER(SEARCH("yea",C178)),IFERROR(_xlfn.NUMBERVALUE(SUBSTITUTE(LEFT(TRIM(C178),FIND(" ",TRIM(C178)&amp;" ")-1),",","."),"."),LEFT(SUBSTITUTE(LEFT(TRIM(C178),FIND(" ",TRIM(C178)&amp;" ")-1),",","."),FIND("/",SUBSTITUTE(LEFT(TRIM(C178),FIND(" ",TRIM(C178)&amp;" ")-1),",","."))-1)/MID(SUBSTITUTE(LEFT(TRIM(C178),FIND(" ",TRIM(C178)&amp;" ")-1),",","."),FIND("/",SUBSTITUTE(LEFT(TRIM(C178),FIND(" ",TRIM(C178)&amp;" ")-1),",","."))+1,9))*12,NA()))),0),24)*'Aturan &amp; Tarif'!$B$4,2)</f>
        <v>1362.72</v>
      </c>
      <c r="K178" s="42" t="n">
        <f aca="false">'Aturan &amp; Tarif'!$B$5</f>
        <v>2050</v>
      </c>
      <c r="L178" s="35" t="n">
        <f aca="false">I178+J178+K178</f>
        <v>18980.72</v>
      </c>
      <c r="M178" s="44" t="s">
        <v>607</v>
      </c>
    </row>
    <row r="179" customFormat="false" ht="37.5" hidden="false" customHeight="true" outlineLevel="0" collapsed="false">
      <c r="A179" s="39"/>
      <c r="B179" s="40" t="s">
        <v>604</v>
      </c>
      <c r="C179" s="41" t="s">
        <v>191</v>
      </c>
      <c r="D179" s="41" t="s">
        <v>108</v>
      </c>
      <c r="E179" s="42" t="n">
        <v>8427</v>
      </c>
      <c r="F179" s="42"/>
      <c r="G179" s="42"/>
      <c r="H179" s="43" t="n">
        <v>2</v>
      </c>
      <c r="I179" s="34" t="n">
        <f aca="false">E179*H179+N(F179)+N(G179)</f>
        <v>16854</v>
      </c>
      <c r="J179" s="42" t="n">
        <f aca="false">ROUND(IFERROR(ROUND(IF(OR(ISNUMBER(SEARCH("week",C179)),ISNUMBER(SEARCH("minggu",C179))),IFERROR(_xlfn.NUMBERVALUE(SUBSTITUTE(LEFT(TRIM(C179),FIND(" ",TRIM(C179)&amp;" ")-1),",","."),"."),LEFT(SUBSTITUTE(LEFT(TRIM(C179),FIND(" ",TRIM(C179)&amp;" ")-1),",","."),FIND("/",SUBSTITUTE(LEFT(TRIM(C179),FIND(" ",TRIM(C179)&amp;" ")-1),",","."))-1)/MID(SUBSTITUTE(LEFT(TRIM(C179),FIND(" ",TRIM(C179)&amp;" ")-1),",","."),FIND("/",SUBSTITUTE(LEFT(TRIM(C179),FIND(" ",TRIM(C179)&amp;" ")-1),",","."))+1,9))*12/52,IF(ISNUMBER(SEARCH("month",C179)),IFERROR(_xlfn.NUMBERVALUE(SUBSTITUTE(LEFT(TRIM(C179),FIND(" ",TRIM(C179)&amp;" ")-1),",","."),"."),LEFT(SUBSTITUTE(LEFT(TRIM(C179),FIND(" ",TRIM(C179)&amp;" ")-1),",","."),FIND("/",SUBSTITUTE(LEFT(TRIM(C179),FIND(" ",TRIM(C179)&amp;" ")-1),",","."))-1)/MID(SUBSTITUTE(LEFT(TRIM(C179),FIND(" ",TRIM(C179)&amp;" ")-1),",","."),FIND("/",SUBSTITUTE(LEFT(TRIM(C179),FIND(" ",TRIM(C179)&amp;" ")-1),",","."))+1,9)),IF(ISNUMBER(SEARCH("yea",C179)),IFERROR(_xlfn.NUMBERVALUE(SUBSTITUTE(LEFT(TRIM(C179),FIND(" ",TRIM(C179)&amp;" ")-1),",","."),"."),LEFT(SUBSTITUTE(LEFT(TRIM(C179),FIND(" ",TRIM(C179)&amp;" ")-1),",","."),FIND("/",SUBSTITUTE(LEFT(TRIM(C179),FIND(" ",TRIM(C179)&amp;" ")-1),",","."))-1)/MID(SUBSTITUTE(LEFT(TRIM(C179),FIND(" ",TRIM(C179)&amp;" ")-1),",","."),FIND("/",SUBSTITUTE(LEFT(TRIM(C179),FIND(" ",TRIM(C179)&amp;" ")-1),",","."))+1,9))*12,NA()))),0),48)*'Aturan &amp; Tarif'!$B$4,2)</f>
        <v>2725.44</v>
      </c>
      <c r="K179" s="42" t="n">
        <f aca="false">'Aturan &amp; Tarif'!$B$5</f>
        <v>2050</v>
      </c>
      <c r="L179" s="35" t="n">
        <f aca="false">I179+J179+K179</f>
        <v>21629.44</v>
      </c>
      <c r="M179" s="44" t="s">
        <v>605</v>
      </c>
    </row>
    <row r="180" customFormat="false" ht="37.5" hidden="false" customHeight="true" outlineLevel="0" collapsed="false">
      <c r="A180" s="39"/>
      <c r="B180" s="40" t="s">
        <v>606</v>
      </c>
      <c r="C180" s="41" t="s">
        <v>191</v>
      </c>
      <c r="D180" s="41" t="s">
        <v>108</v>
      </c>
      <c r="E180" s="42" t="n">
        <v>7784</v>
      </c>
      <c r="F180" s="42"/>
      <c r="G180" s="42"/>
      <c r="H180" s="43" t="n">
        <v>2</v>
      </c>
      <c r="I180" s="34" t="n">
        <f aca="false">E180*H180+N(F180)+N(G180)</f>
        <v>15568</v>
      </c>
      <c r="J180" s="42" t="n">
        <f aca="false">ROUND(IFERROR(ROUND(IF(OR(ISNUMBER(SEARCH("week",C180)),ISNUMBER(SEARCH("minggu",C180))),IFERROR(_xlfn.NUMBERVALUE(SUBSTITUTE(LEFT(TRIM(C180),FIND(" ",TRIM(C180)&amp;" ")-1),",","."),"."),LEFT(SUBSTITUTE(LEFT(TRIM(C180),FIND(" ",TRIM(C180)&amp;" ")-1),",","."),FIND("/",SUBSTITUTE(LEFT(TRIM(C180),FIND(" ",TRIM(C180)&amp;" ")-1),",","."))-1)/MID(SUBSTITUTE(LEFT(TRIM(C180),FIND(" ",TRIM(C180)&amp;" ")-1),",","."),FIND("/",SUBSTITUTE(LEFT(TRIM(C180),FIND(" ",TRIM(C180)&amp;" ")-1),",","."))+1,9))*12/52,IF(ISNUMBER(SEARCH("month",C180)),IFERROR(_xlfn.NUMBERVALUE(SUBSTITUTE(LEFT(TRIM(C180),FIND(" ",TRIM(C180)&amp;" ")-1),",","."),"."),LEFT(SUBSTITUTE(LEFT(TRIM(C180),FIND(" ",TRIM(C180)&amp;" ")-1),",","."),FIND("/",SUBSTITUTE(LEFT(TRIM(C180),FIND(" ",TRIM(C180)&amp;" ")-1),",","."))-1)/MID(SUBSTITUTE(LEFT(TRIM(C180),FIND(" ",TRIM(C180)&amp;" ")-1),",","."),FIND("/",SUBSTITUTE(LEFT(TRIM(C180),FIND(" ",TRIM(C180)&amp;" ")-1),",","."))+1,9)),IF(ISNUMBER(SEARCH("yea",C180)),IFERROR(_xlfn.NUMBERVALUE(SUBSTITUTE(LEFT(TRIM(C180),FIND(" ",TRIM(C180)&amp;" ")-1),",","."),"."),LEFT(SUBSTITUTE(LEFT(TRIM(C180),FIND(" ",TRIM(C180)&amp;" ")-1),",","."),FIND("/",SUBSTITUTE(LEFT(TRIM(C180),FIND(" ",TRIM(C180)&amp;" ")-1),",","."))-1)/MID(SUBSTITUTE(LEFT(TRIM(C180),FIND(" ",TRIM(C180)&amp;" ")-1),",","."),FIND("/",SUBSTITUTE(LEFT(TRIM(C180),FIND(" ",TRIM(C180)&amp;" ")-1),",","."))+1,9))*12,NA()))),0),48)*'Aturan &amp; Tarif'!$B$4,2)</f>
        <v>2725.44</v>
      </c>
      <c r="K180" s="42" t="n">
        <f aca="false">'Aturan &amp; Tarif'!$B$5</f>
        <v>2050</v>
      </c>
      <c r="L180" s="35" t="n">
        <f aca="false">I180+J180+K180</f>
        <v>20343.44</v>
      </c>
      <c r="M180" s="44" t="s">
        <v>607</v>
      </c>
    </row>
    <row r="181" customFormat="false" ht="37.5" hidden="false" customHeight="true" outlineLevel="0" collapsed="false">
      <c r="A181" s="39"/>
      <c r="B181" s="40" t="s">
        <v>608</v>
      </c>
      <c r="C181" s="41" t="s">
        <v>107</v>
      </c>
      <c r="D181" s="41" t="s">
        <v>108</v>
      </c>
      <c r="E181" s="42" t="n">
        <v>8427</v>
      </c>
      <c r="F181" s="42"/>
      <c r="G181" s="42"/>
      <c r="H181" s="43" t="n">
        <v>2</v>
      </c>
      <c r="I181" s="34" t="n">
        <f aca="false">E181*H181+N(F181)+N(G181)</f>
        <v>16854</v>
      </c>
      <c r="J181" s="42" t="n">
        <f aca="false">ROUND(IFERROR(ROUND(IF(OR(ISNUMBER(SEARCH("week",C181)),ISNUMBER(SEARCH("minggu",C181))),IFERROR(_xlfn.NUMBERVALUE(SUBSTITUTE(LEFT(TRIM(C181),FIND(" ",TRIM(C181)&amp;" ")-1),",","."),"."),LEFT(SUBSTITUTE(LEFT(TRIM(C181),FIND(" ",TRIM(C181)&amp;" ")-1),",","."),FIND("/",SUBSTITUTE(LEFT(TRIM(C181),FIND(" ",TRIM(C181)&amp;" ")-1),",","."))-1)/MID(SUBSTITUTE(LEFT(TRIM(C181),FIND(" ",TRIM(C181)&amp;" ")-1),",","."),FIND("/",SUBSTITUTE(LEFT(TRIM(C181),FIND(" ",TRIM(C181)&amp;" ")-1),",","."))+1,9))*12/52,IF(ISNUMBER(SEARCH("month",C181)),IFERROR(_xlfn.NUMBERVALUE(SUBSTITUTE(LEFT(TRIM(C181),FIND(" ",TRIM(C181)&amp;" ")-1),",","."),"."),LEFT(SUBSTITUTE(LEFT(TRIM(C181),FIND(" ",TRIM(C181)&amp;" ")-1),",","."),FIND("/",SUBSTITUTE(LEFT(TRIM(C181),FIND(" ",TRIM(C181)&amp;" ")-1),",","."))-1)/MID(SUBSTITUTE(LEFT(TRIM(C181),FIND(" ",TRIM(C181)&amp;" ")-1),",","."),FIND("/",SUBSTITUTE(LEFT(TRIM(C181),FIND(" ",TRIM(C181)&amp;" ")-1),",","."))+1,9)),IF(ISNUMBER(SEARCH("yea",C181)),IFERROR(_xlfn.NUMBERVALUE(SUBSTITUTE(LEFT(TRIM(C181),FIND(" ",TRIM(C181)&amp;" ")-1),",","."),"."),LEFT(SUBSTITUTE(LEFT(TRIM(C181),FIND(" ",TRIM(C181)&amp;" ")-1),",","."),FIND("/",SUBSTITUTE(LEFT(TRIM(C181),FIND(" ",TRIM(C181)&amp;" ")-1),",","."))-1)/MID(SUBSTITUTE(LEFT(TRIM(C181),FIND(" ",TRIM(C181)&amp;" ")-1),",","."),FIND("/",SUBSTITUTE(LEFT(TRIM(C181),FIND(" ",TRIM(C181)&amp;" ")-1),",","."))+1,9))*12,NA()))),0),24)*'Aturan &amp; Tarif'!$B$4,2)</f>
        <v>1362.72</v>
      </c>
      <c r="K181" s="42" t="n">
        <f aca="false">'Aturan &amp; Tarif'!$B$5</f>
        <v>2050</v>
      </c>
      <c r="L181" s="35" t="n">
        <f aca="false">I181+J181+K181</f>
        <v>20266.72</v>
      </c>
      <c r="M181" s="44" t="s">
        <v>605</v>
      </c>
    </row>
    <row r="182" customFormat="false" ht="37.5" hidden="false" customHeight="true" outlineLevel="0" collapsed="false">
      <c r="A182" s="39"/>
      <c r="B182" s="40" t="s">
        <v>609</v>
      </c>
      <c r="C182" s="41" t="s">
        <v>107</v>
      </c>
      <c r="D182" s="41" t="s">
        <v>108</v>
      </c>
      <c r="E182" s="42" t="n">
        <v>7784</v>
      </c>
      <c r="F182" s="42"/>
      <c r="G182" s="42"/>
      <c r="H182" s="43" t="n">
        <v>2</v>
      </c>
      <c r="I182" s="34" t="n">
        <f aca="false">E182*H182+N(F182)+N(G182)</f>
        <v>15568</v>
      </c>
      <c r="J182" s="42" t="n">
        <f aca="false">ROUND(IFERROR(ROUND(IF(OR(ISNUMBER(SEARCH("week",C182)),ISNUMBER(SEARCH("minggu",C182))),IFERROR(_xlfn.NUMBERVALUE(SUBSTITUTE(LEFT(TRIM(C182),FIND(" ",TRIM(C182)&amp;" ")-1),",","."),"."),LEFT(SUBSTITUTE(LEFT(TRIM(C182),FIND(" ",TRIM(C182)&amp;" ")-1),",","."),FIND("/",SUBSTITUTE(LEFT(TRIM(C182),FIND(" ",TRIM(C182)&amp;" ")-1),",","."))-1)/MID(SUBSTITUTE(LEFT(TRIM(C182),FIND(" ",TRIM(C182)&amp;" ")-1),",","."),FIND("/",SUBSTITUTE(LEFT(TRIM(C182),FIND(" ",TRIM(C182)&amp;" ")-1),",","."))+1,9))*12/52,IF(ISNUMBER(SEARCH("month",C182)),IFERROR(_xlfn.NUMBERVALUE(SUBSTITUTE(LEFT(TRIM(C182),FIND(" ",TRIM(C182)&amp;" ")-1),",","."),"."),LEFT(SUBSTITUTE(LEFT(TRIM(C182),FIND(" ",TRIM(C182)&amp;" ")-1),",","."),FIND("/",SUBSTITUTE(LEFT(TRIM(C182),FIND(" ",TRIM(C182)&amp;" ")-1),",","."))-1)/MID(SUBSTITUTE(LEFT(TRIM(C182),FIND(" ",TRIM(C182)&amp;" ")-1),",","."),FIND("/",SUBSTITUTE(LEFT(TRIM(C182),FIND(" ",TRIM(C182)&amp;" ")-1),",","."))+1,9)),IF(ISNUMBER(SEARCH("yea",C182)),IFERROR(_xlfn.NUMBERVALUE(SUBSTITUTE(LEFT(TRIM(C182),FIND(" ",TRIM(C182)&amp;" ")-1),",","."),"."),LEFT(SUBSTITUTE(LEFT(TRIM(C182),FIND(" ",TRIM(C182)&amp;" ")-1),",","."),FIND("/",SUBSTITUTE(LEFT(TRIM(C182),FIND(" ",TRIM(C182)&amp;" ")-1),",","."))-1)/MID(SUBSTITUTE(LEFT(TRIM(C182),FIND(" ",TRIM(C182)&amp;" ")-1),",","."),FIND("/",SUBSTITUTE(LEFT(TRIM(C182),FIND(" ",TRIM(C182)&amp;" ")-1),",","."))+1,9))*12,NA()))),0),24)*'Aturan &amp; Tarif'!$B$4,2)</f>
        <v>1362.72</v>
      </c>
      <c r="K182" s="42" t="n">
        <f aca="false">'Aturan &amp; Tarif'!$B$5</f>
        <v>2050</v>
      </c>
      <c r="L182" s="35" t="n">
        <f aca="false">I182+J182+K182</f>
        <v>18980.72</v>
      </c>
      <c r="M182" s="44" t="s">
        <v>607</v>
      </c>
    </row>
    <row r="183" customFormat="false" ht="37.5" hidden="false" customHeight="true" outlineLevel="0" collapsed="false">
      <c r="A183" s="39" t="s">
        <v>895</v>
      </c>
      <c r="B183" s="40" t="s">
        <v>896</v>
      </c>
      <c r="C183" s="41" t="s">
        <v>130</v>
      </c>
      <c r="D183" s="41" t="s">
        <v>108</v>
      </c>
      <c r="E183" s="42" t="n">
        <v>3000</v>
      </c>
      <c r="F183" s="42" t="n">
        <v>0</v>
      </c>
      <c r="G183" s="42" t="n">
        <v>250</v>
      </c>
      <c r="H183" s="43" t="n">
        <v>1</v>
      </c>
      <c r="I183" s="34" t="n">
        <f aca="false">E183*H183+N(F183)+N(G183)</f>
        <v>3250</v>
      </c>
      <c r="J183" s="42" t="n">
        <f aca="false">ROUND(IFERROR(ROUND(IF(OR(ISNUMBER(SEARCH("week",C183)),ISNUMBER(SEARCH("minggu",C183))),IFERROR(_xlfn.NUMBERVALUE(SUBSTITUTE(LEFT(TRIM(C183),FIND(" ",TRIM(C183)&amp;" ")-1),",","."),"."),LEFT(SUBSTITUTE(LEFT(TRIM(C183),FIND(" ",TRIM(C183)&amp;" ")-1),",","."),FIND("/",SUBSTITUTE(LEFT(TRIM(C183),FIND(" ",TRIM(C183)&amp;" ")-1),",","."))-1)/MID(SUBSTITUTE(LEFT(TRIM(C183),FIND(" ",TRIM(C183)&amp;" ")-1),",","."),FIND("/",SUBSTITUTE(LEFT(TRIM(C183),FIND(" ",TRIM(C183)&amp;" ")-1),",","."))+1,9))*12/52,IF(ISNUMBER(SEARCH("month",C183)),IFERROR(_xlfn.NUMBERVALUE(SUBSTITUTE(LEFT(TRIM(C183),FIND(" ",TRIM(C183)&amp;" ")-1),",","."),"."),LEFT(SUBSTITUTE(LEFT(TRIM(C183),FIND(" ",TRIM(C183)&amp;" ")-1),",","."),FIND("/",SUBSTITUTE(LEFT(TRIM(C183),FIND(" ",TRIM(C183)&amp;" ")-1),",","."))-1)/MID(SUBSTITUTE(LEFT(TRIM(C183),FIND(" ",TRIM(C183)&amp;" ")-1),",","."),FIND("/",SUBSTITUTE(LEFT(TRIM(C183),FIND(" ",TRIM(C183)&amp;" ")-1),",","."))+1,9)),IF(ISNUMBER(SEARCH("yea",C183)),IFERROR(_xlfn.NUMBERVALUE(SUBSTITUTE(LEFT(TRIM(C183),FIND(" ",TRIM(C183)&amp;" ")-1),",","."),"."),LEFT(SUBSTITUTE(LEFT(TRIM(C183),FIND(" ",TRIM(C183)&amp;" ")-1),",","."),FIND("/",SUBSTITUTE(LEFT(TRIM(C183),FIND(" ",TRIM(C183)&amp;" ")-1),",","."))-1)/MID(SUBSTITUTE(LEFT(TRIM(C183),FIND(" ",TRIM(C183)&amp;" ")-1),",","."),FIND("/",SUBSTITUTE(LEFT(TRIM(C183),FIND(" ",TRIM(C183)&amp;" ")-1),",","."))+1,9))*12,NA()))),0),12)*'Aturan &amp; Tarif'!$B$4,2)</f>
        <v>681.36</v>
      </c>
      <c r="K183" s="42" t="n">
        <f aca="false">'Aturan &amp; Tarif'!$B$5</f>
        <v>2050</v>
      </c>
      <c r="L183" s="35" t="n">
        <f aca="false">I183+J183+K183</f>
        <v>5981.36</v>
      </c>
      <c r="M183" s="45" t="s">
        <v>897</v>
      </c>
    </row>
    <row r="184" customFormat="false" ht="25.5" hidden="false" customHeight="true" outlineLevel="0" collapsed="false">
      <c r="A184" s="39"/>
      <c r="B184" s="40" t="s">
        <v>898</v>
      </c>
      <c r="C184" s="41" t="s">
        <v>107</v>
      </c>
      <c r="D184" s="41" t="s">
        <v>108</v>
      </c>
      <c r="E184" s="42" t="n">
        <v>1500</v>
      </c>
      <c r="F184" s="42" t="n">
        <v>0</v>
      </c>
      <c r="G184" s="42" t="n">
        <v>250</v>
      </c>
      <c r="H184" s="43" t="n">
        <v>1</v>
      </c>
      <c r="I184" s="34" t="n">
        <f aca="false">E184*H184+N(F184)+N(G184)</f>
        <v>1750</v>
      </c>
      <c r="J184" s="42" t="n">
        <f aca="false">ROUND(IFERROR(ROUND(IF(OR(ISNUMBER(SEARCH("week",C184)),ISNUMBER(SEARCH("minggu",C184))),IFERROR(_xlfn.NUMBERVALUE(SUBSTITUTE(LEFT(TRIM(C184),FIND(" ",TRIM(C184)&amp;" ")-1),",","."),"."),LEFT(SUBSTITUTE(LEFT(TRIM(C184),FIND(" ",TRIM(C184)&amp;" ")-1),",","."),FIND("/",SUBSTITUTE(LEFT(TRIM(C184),FIND(" ",TRIM(C184)&amp;" ")-1),",","."))-1)/MID(SUBSTITUTE(LEFT(TRIM(C184),FIND(" ",TRIM(C184)&amp;" ")-1),",","."),FIND("/",SUBSTITUTE(LEFT(TRIM(C184),FIND(" ",TRIM(C184)&amp;" ")-1),",","."))+1,9))*12/52,IF(ISNUMBER(SEARCH("month",C184)),IFERROR(_xlfn.NUMBERVALUE(SUBSTITUTE(LEFT(TRIM(C184),FIND(" ",TRIM(C184)&amp;" ")-1),",","."),"."),LEFT(SUBSTITUTE(LEFT(TRIM(C184),FIND(" ",TRIM(C184)&amp;" ")-1),",","."),FIND("/",SUBSTITUTE(LEFT(TRIM(C184),FIND(" ",TRIM(C184)&amp;" ")-1),",","."))-1)/MID(SUBSTITUTE(LEFT(TRIM(C184),FIND(" ",TRIM(C184)&amp;" ")-1),",","."),FIND("/",SUBSTITUTE(LEFT(TRIM(C184),FIND(" ",TRIM(C184)&amp;" ")-1),",","."))+1,9)),IF(ISNUMBER(SEARCH("yea",C184)),IFERROR(_xlfn.NUMBERVALUE(SUBSTITUTE(LEFT(TRIM(C184),FIND(" ",TRIM(C184)&amp;" ")-1),",","."),"."),LEFT(SUBSTITUTE(LEFT(TRIM(C184),FIND(" ",TRIM(C184)&amp;" ")-1),",","."),FIND("/",SUBSTITUTE(LEFT(TRIM(C184),FIND(" ",TRIM(C184)&amp;" ")-1),",","."))-1)/MID(SUBSTITUTE(LEFT(TRIM(C184),FIND(" ",TRIM(C184)&amp;" ")-1),",","."),FIND("/",SUBSTITUTE(LEFT(TRIM(C184),FIND(" ",TRIM(C184)&amp;" ")-1),",","."))+1,9))*12,NA()))),0),24)*'Aturan &amp; Tarif'!$B$4,2)</f>
        <v>1362.72</v>
      </c>
      <c r="K184" s="42" t="n">
        <f aca="false">'Aturan &amp; Tarif'!$B$5</f>
        <v>2050</v>
      </c>
      <c r="L184" s="35" t="n">
        <f aca="false">I184+J184+K184</f>
        <v>5162.72</v>
      </c>
      <c r="M184" s="45" t="s">
        <v>899</v>
      </c>
    </row>
    <row r="185" customFormat="false" ht="25.5" hidden="false" customHeight="true" outlineLevel="0" collapsed="false">
      <c r="A185" s="39"/>
      <c r="B185" s="40" t="s">
        <v>900</v>
      </c>
      <c r="C185" s="41" t="s">
        <v>127</v>
      </c>
      <c r="D185" s="41" t="s">
        <v>108</v>
      </c>
      <c r="E185" s="42" t="n">
        <v>1500</v>
      </c>
      <c r="F185" s="42" t="n">
        <v>0</v>
      </c>
      <c r="G185" s="42" t="n">
        <v>250</v>
      </c>
      <c r="H185" s="43" t="n">
        <v>1</v>
      </c>
      <c r="I185" s="34" t="n">
        <f aca="false">E185*H185+N(F185)+N(G185)</f>
        <v>1750</v>
      </c>
      <c r="J185" s="42" t="n">
        <f aca="false">ROUND(IFERROR(ROUND(IF(OR(ISNUMBER(SEARCH("week",C185)),ISNUMBER(SEARCH("minggu",C185))),IFERROR(_xlfn.NUMBERVALUE(SUBSTITUTE(LEFT(TRIM(C185),FIND(" ",TRIM(C185)&amp;" ")-1),",","."),"."),LEFT(SUBSTITUTE(LEFT(TRIM(C185),FIND(" ",TRIM(C185)&amp;" ")-1),",","."),FIND("/",SUBSTITUTE(LEFT(TRIM(C185),FIND(" ",TRIM(C185)&amp;" ")-1),",","."))-1)/MID(SUBSTITUTE(LEFT(TRIM(C185),FIND(" ",TRIM(C185)&amp;" ")-1),",","."),FIND("/",SUBSTITUTE(LEFT(TRIM(C185),FIND(" ",TRIM(C185)&amp;" ")-1),",","."))+1,9))*12/52,IF(ISNUMBER(SEARCH("month",C185)),IFERROR(_xlfn.NUMBERVALUE(SUBSTITUTE(LEFT(TRIM(C185),FIND(" ",TRIM(C185)&amp;" ")-1),",","."),"."),LEFT(SUBSTITUTE(LEFT(TRIM(C185),FIND(" ",TRIM(C185)&amp;" ")-1),",","."),FIND("/",SUBSTITUTE(LEFT(TRIM(C185),FIND(" ",TRIM(C185)&amp;" ")-1),",","."))-1)/MID(SUBSTITUTE(LEFT(TRIM(C185),FIND(" ",TRIM(C185)&amp;" ")-1),",","."),FIND("/",SUBSTITUTE(LEFT(TRIM(C185),FIND(" ",TRIM(C185)&amp;" ")-1),",","."))+1,9)),IF(ISNUMBER(SEARCH("yea",C185)),IFERROR(_xlfn.NUMBERVALUE(SUBSTITUTE(LEFT(TRIM(C185),FIND(" ",TRIM(C185)&amp;" ")-1),",","."),"."),LEFT(SUBSTITUTE(LEFT(TRIM(C185),FIND(" ",TRIM(C185)&amp;" ")-1),",","."),FIND("/",SUBSTITUTE(LEFT(TRIM(C185),FIND(" ",TRIM(C185)&amp;" ")-1),",","."))-1)/MID(SUBSTITUTE(LEFT(TRIM(C185),FIND(" ",TRIM(C185)&amp;" ")-1),",","."),FIND("/",SUBSTITUTE(LEFT(TRIM(C185),FIND(" ",TRIM(C185)&amp;" ")-1),",","."))+1,9))*12,NA()))),0),36)*'Aturan &amp; Tarif'!$B$4,2)</f>
        <v>2044.08</v>
      </c>
      <c r="K185" s="42" t="n">
        <f aca="false">'Aturan &amp; Tarif'!$B$5</f>
        <v>2050</v>
      </c>
      <c r="L185" s="35" t="n">
        <f aca="false">I185+J185+K185</f>
        <v>5844.08</v>
      </c>
      <c r="M185" s="45" t="s">
        <v>899</v>
      </c>
    </row>
    <row r="186" customFormat="false" ht="25.5" hidden="false" customHeight="true" outlineLevel="0" collapsed="false">
      <c r="A186" s="39"/>
      <c r="B186" s="40" t="s">
        <v>430</v>
      </c>
      <c r="C186" s="41" t="s">
        <v>127</v>
      </c>
      <c r="D186" s="41" t="s">
        <v>108</v>
      </c>
      <c r="E186" s="42" t="n">
        <v>1700</v>
      </c>
      <c r="F186" s="42" t="n">
        <v>0</v>
      </c>
      <c r="G186" s="42" t="n">
        <v>250</v>
      </c>
      <c r="H186" s="43" t="n">
        <v>1</v>
      </c>
      <c r="I186" s="34" t="n">
        <f aca="false">E186*H186+N(F186)+N(G186)</f>
        <v>1950</v>
      </c>
      <c r="J186" s="42" t="n">
        <f aca="false">ROUND(IFERROR(ROUND(IF(OR(ISNUMBER(SEARCH("week",C186)),ISNUMBER(SEARCH("minggu",C186))),IFERROR(_xlfn.NUMBERVALUE(SUBSTITUTE(LEFT(TRIM(C186),FIND(" ",TRIM(C186)&amp;" ")-1),",","."),"."),LEFT(SUBSTITUTE(LEFT(TRIM(C186),FIND(" ",TRIM(C186)&amp;" ")-1),",","."),FIND("/",SUBSTITUTE(LEFT(TRIM(C186),FIND(" ",TRIM(C186)&amp;" ")-1),",","."))-1)/MID(SUBSTITUTE(LEFT(TRIM(C186),FIND(" ",TRIM(C186)&amp;" ")-1),",","."),FIND("/",SUBSTITUTE(LEFT(TRIM(C186),FIND(" ",TRIM(C186)&amp;" ")-1),",","."))+1,9))*12/52,IF(ISNUMBER(SEARCH("month",C186)),IFERROR(_xlfn.NUMBERVALUE(SUBSTITUTE(LEFT(TRIM(C186),FIND(" ",TRIM(C186)&amp;" ")-1),",","."),"."),LEFT(SUBSTITUTE(LEFT(TRIM(C186),FIND(" ",TRIM(C186)&amp;" ")-1),",","."),FIND("/",SUBSTITUTE(LEFT(TRIM(C186),FIND(" ",TRIM(C186)&amp;" ")-1),",","."))-1)/MID(SUBSTITUTE(LEFT(TRIM(C186),FIND(" ",TRIM(C186)&amp;" ")-1),",","."),FIND("/",SUBSTITUTE(LEFT(TRIM(C186),FIND(" ",TRIM(C186)&amp;" ")-1),",","."))+1,9)),IF(ISNUMBER(SEARCH("yea",C186)),IFERROR(_xlfn.NUMBERVALUE(SUBSTITUTE(LEFT(TRIM(C186),FIND(" ",TRIM(C186)&amp;" ")-1),",","."),"."),LEFT(SUBSTITUTE(LEFT(TRIM(C186),FIND(" ",TRIM(C186)&amp;" ")-1),",","."),FIND("/",SUBSTITUTE(LEFT(TRIM(C186),FIND(" ",TRIM(C186)&amp;" ")-1),",","."))-1)/MID(SUBSTITUTE(LEFT(TRIM(C186),FIND(" ",TRIM(C186)&amp;" ")-1),",","."),FIND("/",SUBSTITUTE(LEFT(TRIM(C186),FIND(" ",TRIM(C186)&amp;" ")-1),",","."))+1,9))*12,NA()))),0),36)*'Aturan &amp; Tarif'!$B$4,2)</f>
        <v>2044.08</v>
      </c>
      <c r="K186" s="42" t="n">
        <f aca="false">'Aturan &amp; Tarif'!$B$5</f>
        <v>2050</v>
      </c>
      <c r="L186" s="35" t="n">
        <f aca="false">I186+J186+K186</f>
        <v>6044.08</v>
      </c>
      <c r="M186" s="45" t="s">
        <v>899</v>
      </c>
    </row>
    <row r="187" customFormat="false" ht="25.5" hidden="false" customHeight="true" outlineLevel="0" collapsed="false">
      <c r="A187" s="39"/>
      <c r="B187" s="40" t="s">
        <v>465</v>
      </c>
      <c r="C187" s="41" t="s">
        <v>107</v>
      </c>
      <c r="D187" s="41" t="s">
        <v>108</v>
      </c>
      <c r="E187" s="42" t="n">
        <v>1500</v>
      </c>
      <c r="F187" s="42" t="n">
        <v>0</v>
      </c>
      <c r="G187" s="42" t="n">
        <v>250</v>
      </c>
      <c r="H187" s="43" t="n">
        <v>1</v>
      </c>
      <c r="I187" s="34" t="n">
        <f aca="false">E187*H187+N(F187)+N(G187)</f>
        <v>1750</v>
      </c>
      <c r="J187" s="42" t="n">
        <f aca="false">ROUND(IFERROR(ROUND(IF(OR(ISNUMBER(SEARCH("week",C187)),ISNUMBER(SEARCH("minggu",C187))),IFERROR(_xlfn.NUMBERVALUE(SUBSTITUTE(LEFT(TRIM(C187),FIND(" ",TRIM(C187)&amp;" ")-1),",","."),"."),LEFT(SUBSTITUTE(LEFT(TRIM(C187),FIND(" ",TRIM(C187)&amp;" ")-1),",","."),FIND("/",SUBSTITUTE(LEFT(TRIM(C187),FIND(" ",TRIM(C187)&amp;" ")-1),",","."))-1)/MID(SUBSTITUTE(LEFT(TRIM(C187),FIND(" ",TRIM(C187)&amp;" ")-1),",","."),FIND("/",SUBSTITUTE(LEFT(TRIM(C187),FIND(" ",TRIM(C187)&amp;" ")-1),",","."))+1,9))*12/52,IF(ISNUMBER(SEARCH("month",C187)),IFERROR(_xlfn.NUMBERVALUE(SUBSTITUTE(LEFT(TRIM(C187),FIND(" ",TRIM(C187)&amp;" ")-1),",","."),"."),LEFT(SUBSTITUTE(LEFT(TRIM(C187),FIND(" ",TRIM(C187)&amp;" ")-1),",","."),FIND("/",SUBSTITUTE(LEFT(TRIM(C187),FIND(" ",TRIM(C187)&amp;" ")-1),",","."))-1)/MID(SUBSTITUTE(LEFT(TRIM(C187),FIND(" ",TRIM(C187)&amp;" ")-1),",","."),FIND("/",SUBSTITUTE(LEFT(TRIM(C187),FIND(" ",TRIM(C187)&amp;" ")-1),",","."))+1,9)),IF(ISNUMBER(SEARCH("yea",C187)),IFERROR(_xlfn.NUMBERVALUE(SUBSTITUTE(LEFT(TRIM(C187),FIND(" ",TRIM(C187)&amp;" ")-1),",","."),"."),LEFT(SUBSTITUTE(LEFT(TRIM(C187),FIND(" ",TRIM(C187)&amp;" ")-1),",","."),FIND("/",SUBSTITUTE(LEFT(TRIM(C187),FIND(" ",TRIM(C187)&amp;" ")-1),",","."))-1)/MID(SUBSTITUTE(LEFT(TRIM(C187),FIND(" ",TRIM(C187)&amp;" ")-1),",","."),FIND("/",SUBSTITUTE(LEFT(TRIM(C187),FIND(" ",TRIM(C187)&amp;" ")-1),",","."))+1,9))*12,NA()))),0),24)*'Aturan &amp; Tarif'!$B$4,2)</f>
        <v>1362.72</v>
      </c>
      <c r="K187" s="42" t="n">
        <f aca="false">'Aturan &amp; Tarif'!$B$5</f>
        <v>2050</v>
      </c>
      <c r="L187" s="35" t="n">
        <f aca="false">I187+J187+K187</f>
        <v>5162.72</v>
      </c>
      <c r="M187" s="45" t="s">
        <v>899</v>
      </c>
    </row>
    <row r="188" customFormat="false" ht="48.75" hidden="false" customHeight="true" outlineLevel="0" collapsed="false">
      <c r="A188" s="29" t="s">
        <v>901</v>
      </c>
      <c r="B188" s="30" t="s">
        <v>2033</v>
      </c>
      <c r="C188" s="31" t="s">
        <v>852</v>
      </c>
      <c r="D188" s="31" t="s">
        <v>737</v>
      </c>
      <c r="E188" s="32" t="n">
        <v>7800</v>
      </c>
      <c r="F188" s="32"/>
      <c r="G188" s="32" t="n">
        <v>200</v>
      </c>
      <c r="H188" s="33" t="n">
        <v>1</v>
      </c>
      <c r="I188" s="34" t="n">
        <f aca="false">E188*H188+N(F188)+N(G188)</f>
        <v>8000</v>
      </c>
      <c r="J188" s="32" t="n">
        <f aca="false">ROUND(IFERROR(ROUND(IF(OR(ISNUMBER(SEARCH("week",C188)),ISNUMBER(SEARCH("minggu",C188))),IFERROR(_xlfn.NUMBERVALUE(SUBSTITUTE(LEFT(TRIM(C188),FIND(" ",TRIM(C188)&amp;" ")-1),",","."),"."),LEFT(SUBSTITUTE(LEFT(TRIM(C188),FIND(" ",TRIM(C188)&amp;" ")-1),",","."),FIND("/",SUBSTITUTE(LEFT(TRIM(C188),FIND(" ",TRIM(C188)&amp;" ")-1),",","."))-1)/MID(SUBSTITUTE(LEFT(TRIM(C188),FIND(" ",TRIM(C188)&amp;" ")-1),",","."),FIND("/",SUBSTITUTE(LEFT(TRIM(C188),FIND(" ",TRIM(C188)&amp;" ")-1),",","."))+1,9))*12/52,IF(ISNUMBER(SEARCH("month",C188)),IFERROR(_xlfn.NUMBERVALUE(SUBSTITUTE(LEFT(TRIM(C188),FIND(" ",TRIM(C188)&amp;" ")-1),",","."),"."),LEFT(SUBSTITUTE(LEFT(TRIM(C188),FIND(" ",TRIM(C188)&amp;" ")-1),",","."),FIND("/",SUBSTITUTE(LEFT(TRIM(C188),FIND(" ",TRIM(C188)&amp;" ")-1),",","."))-1)/MID(SUBSTITUTE(LEFT(TRIM(C188),FIND(" ",TRIM(C188)&amp;" ")-1),",","."),FIND("/",SUBSTITUTE(LEFT(TRIM(C188),FIND(" ",TRIM(C188)&amp;" ")-1),",","."))+1,9)),IF(ISNUMBER(SEARCH("yea",C188)),IFERROR(_xlfn.NUMBERVALUE(SUBSTITUTE(LEFT(TRIM(C188),FIND(" ",TRIM(C188)&amp;" ")-1),",","."),"."),LEFT(SUBSTITUTE(LEFT(TRIM(C188),FIND(" ",TRIM(C188)&amp;" ")-1),",","."),FIND("/",SUBSTITUTE(LEFT(TRIM(C188),FIND(" ",TRIM(C188)&amp;" ")-1),",","."))-1)/MID(SUBSTITUTE(LEFT(TRIM(C188),FIND(" ",TRIM(C188)&amp;" ")-1),",","."),FIND("/",SUBSTITUTE(LEFT(TRIM(C188),FIND(" ",TRIM(C188)&amp;" ")-1),",","."))+1,9))*12,NA()))),0),9)*'Aturan &amp; Tarif'!$B$4,2)</f>
        <v>511.02</v>
      </c>
      <c r="K188" s="32" t="n">
        <f aca="false">'Aturan &amp; Tarif'!$B$5</f>
        <v>2050</v>
      </c>
      <c r="L188" s="35" t="n">
        <f aca="false">I188+J188+K188</f>
        <v>10561.02</v>
      </c>
      <c r="M188" s="37" t="s">
        <v>903</v>
      </c>
    </row>
    <row r="189" customFormat="false" ht="25.5" hidden="false" customHeight="true" outlineLevel="0" collapsed="false">
      <c r="A189" s="29"/>
      <c r="B189" s="30" t="s">
        <v>2034</v>
      </c>
      <c r="C189" s="31" t="s">
        <v>130</v>
      </c>
      <c r="D189" s="31" t="s">
        <v>737</v>
      </c>
      <c r="E189" s="32" t="n">
        <v>7800</v>
      </c>
      <c r="F189" s="32"/>
      <c r="G189" s="32" t="n">
        <v>200</v>
      </c>
      <c r="H189" s="33" t="n">
        <v>1</v>
      </c>
      <c r="I189" s="34" t="n">
        <f aca="false">E189*H189+N(F189)+N(G189)</f>
        <v>8000</v>
      </c>
      <c r="J189" s="32" t="n">
        <f aca="false">ROUND(IFERROR(ROUND(IF(OR(ISNUMBER(SEARCH("week",C189)),ISNUMBER(SEARCH("minggu",C189))),IFERROR(_xlfn.NUMBERVALUE(SUBSTITUTE(LEFT(TRIM(C189),FIND(" ",TRIM(C189)&amp;" ")-1),",","."),"."),LEFT(SUBSTITUTE(LEFT(TRIM(C189),FIND(" ",TRIM(C189)&amp;" ")-1),",","."),FIND("/",SUBSTITUTE(LEFT(TRIM(C189),FIND(" ",TRIM(C189)&amp;" ")-1),",","."))-1)/MID(SUBSTITUTE(LEFT(TRIM(C189),FIND(" ",TRIM(C189)&amp;" ")-1),",","."),FIND("/",SUBSTITUTE(LEFT(TRIM(C189),FIND(" ",TRIM(C189)&amp;" ")-1),",","."))+1,9))*12/52,IF(ISNUMBER(SEARCH("month",C189)),IFERROR(_xlfn.NUMBERVALUE(SUBSTITUTE(LEFT(TRIM(C189),FIND(" ",TRIM(C189)&amp;" ")-1),",","."),"."),LEFT(SUBSTITUTE(LEFT(TRIM(C189),FIND(" ",TRIM(C189)&amp;" ")-1),",","."),FIND("/",SUBSTITUTE(LEFT(TRIM(C189),FIND(" ",TRIM(C189)&amp;" ")-1),",","."))-1)/MID(SUBSTITUTE(LEFT(TRIM(C189),FIND(" ",TRIM(C189)&amp;" ")-1),",","."),FIND("/",SUBSTITUTE(LEFT(TRIM(C189),FIND(" ",TRIM(C189)&amp;" ")-1),",","."))+1,9)),IF(ISNUMBER(SEARCH("yea",C189)),IFERROR(_xlfn.NUMBERVALUE(SUBSTITUTE(LEFT(TRIM(C189),FIND(" ",TRIM(C189)&amp;" ")-1),",","."),"."),LEFT(SUBSTITUTE(LEFT(TRIM(C189),FIND(" ",TRIM(C189)&amp;" ")-1),",","."),FIND("/",SUBSTITUTE(LEFT(TRIM(C189),FIND(" ",TRIM(C189)&amp;" ")-1),",","."))-1)/MID(SUBSTITUTE(LEFT(TRIM(C189),FIND(" ",TRIM(C189)&amp;" ")-1),",","."),FIND("/",SUBSTITUTE(LEFT(TRIM(C189),FIND(" ",TRIM(C189)&amp;" ")-1),",","."))+1,9))*12,NA()))),0),12)*'Aturan &amp; Tarif'!$B$4,2)</f>
        <v>681.36</v>
      </c>
      <c r="K189" s="32" t="n">
        <f aca="false">'Aturan &amp; Tarif'!$B$5</f>
        <v>2050</v>
      </c>
      <c r="L189" s="35" t="n">
        <f aca="false">I189+J189+K189</f>
        <v>10731.36</v>
      </c>
      <c r="M189" s="37" t="s">
        <v>903</v>
      </c>
    </row>
    <row r="190" customFormat="false" ht="25.5" hidden="false" customHeight="true" outlineLevel="0" collapsed="false">
      <c r="A190" s="29"/>
      <c r="B190" s="30" t="s">
        <v>2035</v>
      </c>
      <c r="C190" s="31" t="s">
        <v>107</v>
      </c>
      <c r="D190" s="31" t="s">
        <v>737</v>
      </c>
      <c r="E190" s="32" t="n">
        <v>7800</v>
      </c>
      <c r="F190" s="32"/>
      <c r="G190" s="32" t="n">
        <v>200</v>
      </c>
      <c r="H190" s="33" t="n">
        <v>1</v>
      </c>
      <c r="I190" s="34" t="n">
        <f aca="false">E190*H190+N(F190)+N(G190)</f>
        <v>8000</v>
      </c>
      <c r="J190" s="32" t="n">
        <f aca="false">ROUND(IFERROR(ROUND(IF(OR(ISNUMBER(SEARCH("week",C190)),ISNUMBER(SEARCH("minggu",C190))),IFERROR(_xlfn.NUMBERVALUE(SUBSTITUTE(LEFT(TRIM(C190),FIND(" ",TRIM(C190)&amp;" ")-1),",","."),"."),LEFT(SUBSTITUTE(LEFT(TRIM(C190),FIND(" ",TRIM(C190)&amp;" ")-1),",","."),FIND("/",SUBSTITUTE(LEFT(TRIM(C190),FIND(" ",TRIM(C190)&amp;" ")-1),",","."))-1)/MID(SUBSTITUTE(LEFT(TRIM(C190),FIND(" ",TRIM(C190)&amp;" ")-1),",","."),FIND("/",SUBSTITUTE(LEFT(TRIM(C190),FIND(" ",TRIM(C190)&amp;" ")-1),",","."))+1,9))*12/52,IF(ISNUMBER(SEARCH("month",C190)),IFERROR(_xlfn.NUMBERVALUE(SUBSTITUTE(LEFT(TRIM(C190),FIND(" ",TRIM(C190)&amp;" ")-1),",","."),"."),LEFT(SUBSTITUTE(LEFT(TRIM(C190),FIND(" ",TRIM(C190)&amp;" ")-1),",","."),FIND("/",SUBSTITUTE(LEFT(TRIM(C190),FIND(" ",TRIM(C190)&amp;" ")-1),",","."))-1)/MID(SUBSTITUTE(LEFT(TRIM(C190),FIND(" ",TRIM(C190)&amp;" ")-1),",","."),FIND("/",SUBSTITUTE(LEFT(TRIM(C190),FIND(" ",TRIM(C190)&amp;" ")-1),",","."))+1,9)),IF(ISNUMBER(SEARCH("yea",C190)),IFERROR(_xlfn.NUMBERVALUE(SUBSTITUTE(LEFT(TRIM(C190),FIND(" ",TRIM(C190)&amp;" ")-1),",","."),"."),LEFT(SUBSTITUTE(LEFT(TRIM(C190),FIND(" ",TRIM(C190)&amp;" ")-1),",","."),FIND("/",SUBSTITUTE(LEFT(TRIM(C190),FIND(" ",TRIM(C190)&amp;" ")-1),",","."))-1)/MID(SUBSTITUTE(LEFT(TRIM(C190),FIND(" ",TRIM(C190)&amp;" ")-1),",","."),FIND("/",SUBSTITUTE(LEFT(TRIM(C190),FIND(" ",TRIM(C190)&amp;" ")-1),",","."))+1,9))*12,NA()))),0),24)*'Aturan &amp; Tarif'!$B$4,2)</f>
        <v>1362.72</v>
      </c>
      <c r="K190" s="32" t="n">
        <f aca="false">'Aturan &amp; Tarif'!$B$5</f>
        <v>2050</v>
      </c>
      <c r="L190" s="35" t="n">
        <f aca="false">I190+J190+K190</f>
        <v>11412.72</v>
      </c>
      <c r="M190" s="37" t="s">
        <v>903</v>
      </c>
    </row>
    <row r="191" customFormat="false" ht="48.75" hidden="false" customHeight="true" outlineLevel="0" collapsed="false">
      <c r="A191" s="29" t="s">
        <v>906</v>
      </c>
      <c r="B191" s="30" t="s">
        <v>471</v>
      </c>
      <c r="C191" s="31" t="s">
        <v>113</v>
      </c>
      <c r="D191" s="31" t="s">
        <v>108</v>
      </c>
      <c r="E191" s="32" t="n">
        <v>2167</v>
      </c>
      <c r="F191" s="32" t="n">
        <v>2000</v>
      </c>
      <c r="G191" s="32" t="n">
        <v>250</v>
      </c>
      <c r="H191" s="33" t="n">
        <v>1</v>
      </c>
      <c r="I191" s="34" t="n">
        <f aca="false">E191*H191+N(F191)+N(G191)</f>
        <v>4417</v>
      </c>
      <c r="J191" s="32" t="n">
        <f aca="false">ROUND(IFERROR(ROUND(IF(OR(ISNUMBER(SEARCH("week",C191)),ISNUMBER(SEARCH("minggu",C191))),IFERROR(_xlfn.NUMBERVALUE(SUBSTITUTE(LEFT(TRIM(C191),FIND(" ",TRIM(C191)&amp;" ")-1),",","."),"."),LEFT(SUBSTITUTE(LEFT(TRIM(C191),FIND(" ",TRIM(C191)&amp;" ")-1),",","."),FIND("/",SUBSTITUTE(LEFT(TRIM(C191),FIND(" ",TRIM(C191)&amp;" ")-1),",","."))-1)/MID(SUBSTITUTE(LEFT(TRIM(C191),FIND(" ",TRIM(C191)&amp;" ")-1),",","."),FIND("/",SUBSTITUTE(LEFT(TRIM(C191),FIND(" ",TRIM(C191)&amp;" ")-1),",","."))+1,9))*12/52,IF(ISNUMBER(SEARCH("month",C191)),IFERROR(_xlfn.NUMBERVALUE(SUBSTITUTE(LEFT(TRIM(C191),FIND(" ",TRIM(C191)&amp;" ")-1),",","."),"."),LEFT(SUBSTITUTE(LEFT(TRIM(C191),FIND(" ",TRIM(C191)&amp;" ")-1),",","."),FIND("/",SUBSTITUTE(LEFT(TRIM(C191),FIND(" ",TRIM(C191)&amp;" ")-1),",","."))-1)/MID(SUBSTITUTE(LEFT(TRIM(C191),FIND(" ",TRIM(C191)&amp;" ")-1),",","."),FIND("/",SUBSTITUTE(LEFT(TRIM(C191),FIND(" ",TRIM(C191)&amp;" ")-1),",","."))+1,9)),IF(ISNUMBER(SEARCH("yea",C191)),IFERROR(_xlfn.NUMBERVALUE(SUBSTITUTE(LEFT(TRIM(C191),FIND(" ",TRIM(C191)&amp;" ")-1),",","."),"."),LEFT(SUBSTITUTE(LEFT(TRIM(C191),FIND(" ",TRIM(C191)&amp;" ")-1),",","."),FIND("/",SUBSTITUTE(LEFT(TRIM(C191),FIND(" ",TRIM(C191)&amp;" ")-1),",","."))-1)/MID(SUBSTITUTE(LEFT(TRIM(C191),FIND(" ",TRIM(C191)&amp;" ")-1),",","."),FIND("/",SUBSTITUTE(LEFT(TRIM(C191),FIND(" ",TRIM(C191)&amp;" ")-1),",","."))+1,9))*12,NA()))),0),18)*'Aturan &amp; Tarif'!$B$4,2)</f>
        <v>1022.04</v>
      </c>
      <c r="K191" s="32" t="n">
        <f aca="false">'Aturan &amp; Tarif'!$B$5</f>
        <v>2050</v>
      </c>
      <c r="L191" s="35" t="n">
        <f aca="false">I191+J191+K191</f>
        <v>7489.04</v>
      </c>
      <c r="M191" s="37" t="s">
        <v>134</v>
      </c>
    </row>
    <row r="192" customFormat="false" ht="14.25" hidden="false" customHeight="true" outlineLevel="0" collapsed="false">
      <c r="A192" s="29"/>
      <c r="B192" s="30" t="s">
        <v>673</v>
      </c>
      <c r="C192" s="31" t="s">
        <v>113</v>
      </c>
      <c r="D192" s="31" t="s">
        <v>108</v>
      </c>
      <c r="E192" s="32" t="n">
        <v>2083</v>
      </c>
      <c r="F192" s="32" t="n">
        <v>2000</v>
      </c>
      <c r="G192" s="32" t="n">
        <v>250</v>
      </c>
      <c r="H192" s="33" t="n">
        <v>1</v>
      </c>
      <c r="I192" s="34" t="n">
        <f aca="false">E192*H192+N(F192)+N(G192)</f>
        <v>4333</v>
      </c>
      <c r="J192" s="32" t="n">
        <f aca="false">ROUND(IFERROR(ROUND(IF(OR(ISNUMBER(SEARCH("week",C192)),ISNUMBER(SEARCH("minggu",C192))),IFERROR(_xlfn.NUMBERVALUE(SUBSTITUTE(LEFT(TRIM(C192),FIND(" ",TRIM(C192)&amp;" ")-1),",","."),"."),LEFT(SUBSTITUTE(LEFT(TRIM(C192),FIND(" ",TRIM(C192)&amp;" ")-1),",","."),FIND("/",SUBSTITUTE(LEFT(TRIM(C192),FIND(" ",TRIM(C192)&amp;" ")-1),",","."))-1)/MID(SUBSTITUTE(LEFT(TRIM(C192),FIND(" ",TRIM(C192)&amp;" ")-1),",","."),FIND("/",SUBSTITUTE(LEFT(TRIM(C192),FIND(" ",TRIM(C192)&amp;" ")-1),",","."))+1,9))*12/52,IF(ISNUMBER(SEARCH("month",C192)),IFERROR(_xlfn.NUMBERVALUE(SUBSTITUTE(LEFT(TRIM(C192),FIND(" ",TRIM(C192)&amp;" ")-1),",","."),"."),LEFT(SUBSTITUTE(LEFT(TRIM(C192),FIND(" ",TRIM(C192)&amp;" ")-1),",","."),FIND("/",SUBSTITUTE(LEFT(TRIM(C192),FIND(" ",TRIM(C192)&amp;" ")-1),",","."))-1)/MID(SUBSTITUTE(LEFT(TRIM(C192),FIND(" ",TRIM(C192)&amp;" ")-1),",","."),FIND("/",SUBSTITUTE(LEFT(TRIM(C192),FIND(" ",TRIM(C192)&amp;" ")-1),",","."))+1,9)),IF(ISNUMBER(SEARCH("yea",C192)),IFERROR(_xlfn.NUMBERVALUE(SUBSTITUTE(LEFT(TRIM(C192),FIND(" ",TRIM(C192)&amp;" ")-1),",","."),"."),LEFT(SUBSTITUTE(LEFT(TRIM(C192),FIND(" ",TRIM(C192)&amp;" ")-1),",","."),FIND("/",SUBSTITUTE(LEFT(TRIM(C192),FIND(" ",TRIM(C192)&amp;" ")-1),",","."))-1)/MID(SUBSTITUTE(LEFT(TRIM(C192),FIND(" ",TRIM(C192)&amp;" ")-1),",","."),FIND("/",SUBSTITUTE(LEFT(TRIM(C192),FIND(" ",TRIM(C192)&amp;" ")-1),",","."))+1,9))*12,NA()))),0),18)*'Aturan &amp; Tarif'!$B$4,2)</f>
        <v>1022.04</v>
      </c>
      <c r="K192" s="32" t="n">
        <f aca="false">'Aturan &amp; Tarif'!$B$5</f>
        <v>2050</v>
      </c>
      <c r="L192" s="35" t="n">
        <f aca="false">I192+J192+K192</f>
        <v>7405.04</v>
      </c>
      <c r="M192" s="37" t="s">
        <v>134</v>
      </c>
    </row>
    <row r="193" customFormat="false" ht="14.25" hidden="false" customHeight="true" outlineLevel="0" collapsed="false">
      <c r="A193" s="29"/>
      <c r="B193" s="30" t="s">
        <v>907</v>
      </c>
      <c r="C193" s="31" t="s">
        <v>107</v>
      </c>
      <c r="D193" s="31" t="s">
        <v>108</v>
      </c>
      <c r="E193" s="32" t="n">
        <v>2544</v>
      </c>
      <c r="F193" s="32" t="n">
        <v>2500</v>
      </c>
      <c r="G193" s="32" t="n">
        <v>250</v>
      </c>
      <c r="H193" s="33" t="n">
        <v>1</v>
      </c>
      <c r="I193" s="34" t="n">
        <f aca="false">E193*H193+N(F193)+N(G193)</f>
        <v>5294</v>
      </c>
      <c r="J193" s="32" t="n">
        <f aca="false">ROUND(IFERROR(ROUND(IF(OR(ISNUMBER(SEARCH("week",C193)),ISNUMBER(SEARCH("minggu",C193))),IFERROR(_xlfn.NUMBERVALUE(SUBSTITUTE(LEFT(TRIM(C193),FIND(" ",TRIM(C193)&amp;" ")-1),",","."),"."),LEFT(SUBSTITUTE(LEFT(TRIM(C193),FIND(" ",TRIM(C193)&amp;" ")-1),",","."),FIND("/",SUBSTITUTE(LEFT(TRIM(C193),FIND(" ",TRIM(C193)&amp;" ")-1),",","."))-1)/MID(SUBSTITUTE(LEFT(TRIM(C193),FIND(" ",TRIM(C193)&amp;" ")-1),",","."),FIND("/",SUBSTITUTE(LEFT(TRIM(C193),FIND(" ",TRIM(C193)&amp;" ")-1),",","."))+1,9))*12/52,IF(ISNUMBER(SEARCH("month",C193)),IFERROR(_xlfn.NUMBERVALUE(SUBSTITUTE(LEFT(TRIM(C193),FIND(" ",TRIM(C193)&amp;" ")-1),",","."),"."),LEFT(SUBSTITUTE(LEFT(TRIM(C193),FIND(" ",TRIM(C193)&amp;" ")-1),",","."),FIND("/",SUBSTITUTE(LEFT(TRIM(C193),FIND(" ",TRIM(C193)&amp;" ")-1),",","."))-1)/MID(SUBSTITUTE(LEFT(TRIM(C193),FIND(" ",TRIM(C193)&amp;" ")-1),",","."),FIND("/",SUBSTITUTE(LEFT(TRIM(C193),FIND(" ",TRIM(C193)&amp;" ")-1),",","."))+1,9)),IF(ISNUMBER(SEARCH("yea",C193)),IFERROR(_xlfn.NUMBERVALUE(SUBSTITUTE(LEFT(TRIM(C193),FIND(" ",TRIM(C193)&amp;" ")-1),",","."),"."),LEFT(SUBSTITUTE(LEFT(TRIM(C193),FIND(" ",TRIM(C193)&amp;" ")-1),",","."),FIND("/",SUBSTITUTE(LEFT(TRIM(C193),FIND(" ",TRIM(C193)&amp;" ")-1),",","."))-1)/MID(SUBSTITUTE(LEFT(TRIM(C193),FIND(" ",TRIM(C193)&amp;" ")-1),",","."),FIND("/",SUBSTITUTE(LEFT(TRIM(C193),FIND(" ",TRIM(C193)&amp;" ")-1),",","."))+1,9))*12,NA()))),0),24)*'Aturan &amp; Tarif'!$B$4,2)</f>
        <v>1362.72</v>
      </c>
      <c r="K193" s="32" t="n">
        <f aca="false">'Aturan &amp; Tarif'!$B$5</f>
        <v>2050</v>
      </c>
      <c r="L193" s="35" t="n">
        <f aca="false">I193+J193+K193</f>
        <v>8706.72</v>
      </c>
      <c r="M193" s="37" t="s">
        <v>134</v>
      </c>
    </row>
    <row r="194" customFormat="false" ht="14.25" hidden="false" customHeight="true" outlineLevel="0" collapsed="false">
      <c r="A194" s="29"/>
      <c r="B194" s="30" t="s">
        <v>674</v>
      </c>
      <c r="C194" s="31" t="s">
        <v>107</v>
      </c>
      <c r="D194" s="31" t="s">
        <v>108</v>
      </c>
      <c r="E194" s="32" t="n">
        <v>2544</v>
      </c>
      <c r="F194" s="32" t="n">
        <v>2500</v>
      </c>
      <c r="G194" s="32" t="n">
        <v>250</v>
      </c>
      <c r="H194" s="33" t="n">
        <v>1</v>
      </c>
      <c r="I194" s="34" t="n">
        <f aca="false">E194*H194+N(F194)+N(G194)</f>
        <v>5294</v>
      </c>
      <c r="J194" s="32" t="n">
        <f aca="false">ROUND(IFERROR(ROUND(IF(OR(ISNUMBER(SEARCH("week",C194)),ISNUMBER(SEARCH("minggu",C194))),IFERROR(_xlfn.NUMBERVALUE(SUBSTITUTE(LEFT(TRIM(C194),FIND(" ",TRIM(C194)&amp;" ")-1),",","."),"."),LEFT(SUBSTITUTE(LEFT(TRIM(C194),FIND(" ",TRIM(C194)&amp;" ")-1),",","."),FIND("/",SUBSTITUTE(LEFT(TRIM(C194),FIND(" ",TRIM(C194)&amp;" ")-1),",","."))-1)/MID(SUBSTITUTE(LEFT(TRIM(C194),FIND(" ",TRIM(C194)&amp;" ")-1),",","."),FIND("/",SUBSTITUTE(LEFT(TRIM(C194),FIND(" ",TRIM(C194)&amp;" ")-1),",","."))+1,9))*12/52,IF(ISNUMBER(SEARCH("month",C194)),IFERROR(_xlfn.NUMBERVALUE(SUBSTITUTE(LEFT(TRIM(C194),FIND(" ",TRIM(C194)&amp;" ")-1),",","."),"."),LEFT(SUBSTITUTE(LEFT(TRIM(C194),FIND(" ",TRIM(C194)&amp;" ")-1),",","."),FIND("/",SUBSTITUTE(LEFT(TRIM(C194),FIND(" ",TRIM(C194)&amp;" ")-1),",","."))-1)/MID(SUBSTITUTE(LEFT(TRIM(C194),FIND(" ",TRIM(C194)&amp;" ")-1),",","."),FIND("/",SUBSTITUTE(LEFT(TRIM(C194),FIND(" ",TRIM(C194)&amp;" ")-1),",","."))+1,9)),IF(ISNUMBER(SEARCH("yea",C194)),IFERROR(_xlfn.NUMBERVALUE(SUBSTITUTE(LEFT(TRIM(C194),FIND(" ",TRIM(C194)&amp;" ")-1),",","."),"."),LEFT(SUBSTITUTE(LEFT(TRIM(C194),FIND(" ",TRIM(C194)&amp;" ")-1),",","."),FIND("/",SUBSTITUTE(LEFT(TRIM(C194),FIND(" ",TRIM(C194)&amp;" ")-1),",","."))-1)/MID(SUBSTITUTE(LEFT(TRIM(C194),FIND(" ",TRIM(C194)&amp;" ")-1),",","."),FIND("/",SUBSTITUTE(LEFT(TRIM(C194),FIND(" ",TRIM(C194)&amp;" ")-1),",","."))+1,9))*12,NA()))),0),24)*'Aturan &amp; Tarif'!$B$4,2)</f>
        <v>1362.72</v>
      </c>
      <c r="K194" s="32" t="n">
        <f aca="false">'Aturan &amp; Tarif'!$B$5</f>
        <v>2050</v>
      </c>
      <c r="L194" s="35" t="n">
        <f aca="false">I194+J194+K194</f>
        <v>8706.72</v>
      </c>
      <c r="M194" s="37" t="s">
        <v>134</v>
      </c>
    </row>
    <row r="195" customFormat="false" ht="14.25" hidden="false" customHeight="true" outlineLevel="0" collapsed="false">
      <c r="A195" s="29"/>
      <c r="B195" s="30" t="s">
        <v>675</v>
      </c>
      <c r="C195" s="31" t="s">
        <v>107</v>
      </c>
      <c r="D195" s="31" t="s">
        <v>108</v>
      </c>
      <c r="E195" s="32" t="n">
        <v>2563</v>
      </c>
      <c r="F195" s="32" t="n">
        <v>1000</v>
      </c>
      <c r="G195" s="32" t="n">
        <v>250</v>
      </c>
      <c r="H195" s="33" t="n">
        <v>1</v>
      </c>
      <c r="I195" s="34" t="n">
        <f aca="false">E195*H195+N(F195)+N(G195)</f>
        <v>3813</v>
      </c>
      <c r="J195" s="32" t="n">
        <f aca="false">ROUND(IFERROR(ROUND(IF(OR(ISNUMBER(SEARCH("week",C195)),ISNUMBER(SEARCH("minggu",C195))),IFERROR(_xlfn.NUMBERVALUE(SUBSTITUTE(LEFT(TRIM(C195),FIND(" ",TRIM(C195)&amp;" ")-1),",","."),"."),LEFT(SUBSTITUTE(LEFT(TRIM(C195),FIND(" ",TRIM(C195)&amp;" ")-1),",","."),FIND("/",SUBSTITUTE(LEFT(TRIM(C195),FIND(" ",TRIM(C195)&amp;" ")-1),",","."))-1)/MID(SUBSTITUTE(LEFT(TRIM(C195),FIND(" ",TRIM(C195)&amp;" ")-1),",","."),FIND("/",SUBSTITUTE(LEFT(TRIM(C195),FIND(" ",TRIM(C195)&amp;" ")-1),",","."))+1,9))*12/52,IF(ISNUMBER(SEARCH("month",C195)),IFERROR(_xlfn.NUMBERVALUE(SUBSTITUTE(LEFT(TRIM(C195),FIND(" ",TRIM(C195)&amp;" ")-1),",","."),"."),LEFT(SUBSTITUTE(LEFT(TRIM(C195),FIND(" ",TRIM(C195)&amp;" ")-1),",","."),FIND("/",SUBSTITUTE(LEFT(TRIM(C195),FIND(" ",TRIM(C195)&amp;" ")-1),",","."))-1)/MID(SUBSTITUTE(LEFT(TRIM(C195),FIND(" ",TRIM(C195)&amp;" ")-1),",","."),FIND("/",SUBSTITUTE(LEFT(TRIM(C195),FIND(" ",TRIM(C195)&amp;" ")-1),",","."))+1,9)),IF(ISNUMBER(SEARCH("yea",C195)),IFERROR(_xlfn.NUMBERVALUE(SUBSTITUTE(LEFT(TRIM(C195),FIND(" ",TRIM(C195)&amp;" ")-1),",","."),"."),LEFT(SUBSTITUTE(LEFT(TRIM(C195),FIND(" ",TRIM(C195)&amp;" ")-1),",","."),FIND("/",SUBSTITUTE(LEFT(TRIM(C195),FIND(" ",TRIM(C195)&amp;" ")-1),",","."))-1)/MID(SUBSTITUTE(LEFT(TRIM(C195),FIND(" ",TRIM(C195)&amp;" ")-1),",","."),FIND("/",SUBSTITUTE(LEFT(TRIM(C195),FIND(" ",TRIM(C195)&amp;" ")-1),",","."))+1,9))*12,NA()))),0),24)*'Aturan &amp; Tarif'!$B$4,2)</f>
        <v>1362.72</v>
      </c>
      <c r="K195" s="32" t="n">
        <f aca="false">'Aturan &amp; Tarif'!$B$5</f>
        <v>2050</v>
      </c>
      <c r="L195" s="35" t="n">
        <f aca="false">I195+J195+K195</f>
        <v>7225.72</v>
      </c>
      <c r="M195" s="37" t="s">
        <v>134</v>
      </c>
    </row>
    <row r="196" customFormat="false" ht="14.25" hidden="false" customHeight="true" outlineLevel="0" collapsed="false">
      <c r="A196" s="29"/>
      <c r="B196" s="30" t="s">
        <v>676</v>
      </c>
      <c r="C196" s="31" t="s">
        <v>107</v>
      </c>
      <c r="D196" s="31" t="s">
        <v>108</v>
      </c>
      <c r="E196" s="32" t="n">
        <v>2688</v>
      </c>
      <c r="F196" s="32" t="n">
        <v>1000</v>
      </c>
      <c r="G196" s="32" t="n">
        <v>250</v>
      </c>
      <c r="H196" s="33" t="n">
        <v>1</v>
      </c>
      <c r="I196" s="34" t="n">
        <f aca="false">E196*H196+N(F196)+N(G196)</f>
        <v>3938</v>
      </c>
      <c r="J196" s="32" t="n">
        <f aca="false">ROUND(IFERROR(ROUND(IF(OR(ISNUMBER(SEARCH("week",C196)),ISNUMBER(SEARCH("minggu",C196))),IFERROR(_xlfn.NUMBERVALUE(SUBSTITUTE(LEFT(TRIM(C196),FIND(" ",TRIM(C196)&amp;" ")-1),",","."),"."),LEFT(SUBSTITUTE(LEFT(TRIM(C196),FIND(" ",TRIM(C196)&amp;" ")-1),",","."),FIND("/",SUBSTITUTE(LEFT(TRIM(C196),FIND(" ",TRIM(C196)&amp;" ")-1),",","."))-1)/MID(SUBSTITUTE(LEFT(TRIM(C196),FIND(" ",TRIM(C196)&amp;" ")-1),",","."),FIND("/",SUBSTITUTE(LEFT(TRIM(C196),FIND(" ",TRIM(C196)&amp;" ")-1),",","."))+1,9))*12/52,IF(ISNUMBER(SEARCH("month",C196)),IFERROR(_xlfn.NUMBERVALUE(SUBSTITUTE(LEFT(TRIM(C196),FIND(" ",TRIM(C196)&amp;" ")-1),",","."),"."),LEFT(SUBSTITUTE(LEFT(TRIM(C196),FIND(" ",TRIM(C196)&amp;" ")-1),",","."),FIND("/",SUBSTITUTE(LEFT(TRIM(C196),FIND(" ",TRIM(C196)&amp;" ")-1),",","."))-1)/MID(SUBSTITUTE(LEFT(TRIM(C196),FIND(" ",TRIM(C196)&amp;" ")-1),",","."),FIND("/",SUBSTITUTE(LEFT(TRIM(C196),FIND(" ",TRIM(C196)&amp;" ")-1),",","."))+1,9)),IF(ISNUMBER(SEARCH("yea",C196)),IFERROR(_xlfn.NUMBERVALUE(SUBSTITUTE(LEFT(TRIM(C196),FIND(" ",TRIM(C196)&amp;" ")-1),",","."),"."),LEFT(SUBSTITUTE(LEFT(TRIM(C196),FIND(" ",TRIM(C196)&amp;" ")-1),",","."),FIND("/",SUBSTITUTE(LEFT(TRIM(C196),FIND(" ",TRIM(C196)&amp;" ")-1),",","."))-1)/MID(SUBSTITUTE(LEFT(TRIM(C196),FIND(" ",TRIM(C196)&amp;" ")-1),",","."),FIND("/",SUBSTITUTE(LEFT(TRIM(C196),FIND(" ",TRIM(C196)&amp;" ")-1),",","."))+1,9))*12,NA()))),0),24)*'Aturan &amp; Tarif'!$B$4,2)</f>
        <v>1362.72</v>
      </c>
      <c r="K196" s="32" t="n">
        <f aca="false">'Aturan &amp; Tarif'!$B$5</f>
        <v>2050</v>
      </c>
      <c r="L196" s="35" t="n">
        <f aca="false">I196+J196+K196</f>
        <v>7350.72</v>
      </c>
      <c r="M196" s="37" t="s">
        <v>134</v>
      </c>
    </row>
    <row r="197" customFormat="false" ht="25.5" hidden="false" customHeight="true" outlineLevel="0" collapsed="false">
      <c r="A197" s="29"/>
      <c r="B197" s="30" t="s">
        <v>677</v>
      </c>
      <c r="C197" s="31" t="s">
        <v>138</v>
      </c>
      <c r="D197" s="31" t="s">
        <v>108</v>
      </c>
      <c r="E197" s="32" t="n">
        <v>2167</v>
      </c>
      <c r="F197" s="32" t="n">
        <v>2000</v>
      </c>
      <c r="G197" s="32" t="n">
        <v>250</v>
      </c>
      <c r="H197" s="33" t="n">
        <v>1</v>
      </c>
      <c r="I197" s="34" t="n">
        <f aca="false">E197*H197+N(F197)+N(G197)</f>
        <v>4417</v>
      </c>
      <c r="J197" s="32" t="n">
        <f aca="false">ROUND(IFERROR(ROUND(IF(OR(ISNUMBER(SEARCH("week",C197)),ISNUMBER(SEARCH("minggu",C197))),IFERROR(_xlfn.NUMBERVALUE(SUBSTITUTE(LEFT(TRIM(C197),FIND(" ",TRIM(C197)&amp;" ")-1),",","."),"."),LEFT(SUBSTITUTE(LEFT(TRIM(C197),FIND(" ",TRIM(C197)&amp;" ")-1),",","."),FIND("/",SUBSTITUTE(LEFT(TRIM(C197),FIND(" ",TRIM(C197)&amp;" ")-1),",","."))-1)/MID(SUBSTITUTE(LEFT(TRIM(C197),FIND(" ",TRIM(C197)&amp;" ")-1),",","."),FIND("/",SUBSTITUTE(LEFT(TRIM(C197),FIND(" ",TRIM(C197)&amp;" ")-1),",","."))+1,9))*12/52,IF(ISNUMBER(SEARCH("month",C197)),IFERROR(_xlfn.NUMBERVALUE(SUBSTITUTE(LEFT(TRIM(C197),FIND(" ",TRIM(C197)&amp;" ")-1),",","."),"."),LEFT(SUBSTITUTE(LEFT(TRIM(C197),FIND(" ",TRIM(C197)&amp;" ")-1),",","."),FIND("/",SUBSTITUTE(LEFT(TRIM(C197),FIND(" ",TRIM(C197)&amp;" ")-1),",","."))-1)/MID(SUBSTITUTE(LEFT(TRIM(C197),FIND(" ",TRIM(C197)&amp;" ")-1),",","."),FIND("/",SUBSTITUTE(LEFT(TRIM(C197),FIND(" ",TRIM(C197)&amp;" ")-1),",","."))+1,9)),IF(ISNUMBER(SEARCH("yea",C197)),IFERROR(_xlfn.NUMBERVALUE(SUBSTITUTE(LEFT(TRIM(C197),FIND(" ",TRIM(C197)&amp;" ")-1),",","."),"."),LEFT(SUBSTITUTE(LEFT(TRIM(C197),FIND(" ",TRIM(C197)&amp;" ")-1),",","."),FIND("/",SUBSTITUTE(LEFT(TRIM(C197),FIND(" ",TRIM(C197)&amp;" ")-1),",","."))-1)/MID(SUBSTITUTE(LEFT(TRIM(C197),FIND(" ",TRIM(C197)&amp;" ")-1),",","."),FIND("/",SUBSTITUTE(LEFT(TRIM(C197),FIND(" ",TRIM(C197)&amp;" ")-1),",","."))+1,9))*12,NA()))),0),30)*'Aturan &amp; Tarif'!$B$4,2)</f>
        <v>1703.4</v>
      </c>
      <c r="K197" s="32" t="n">
        <f aca="false">'Aturan &amp; Tarif'!$B$5</f>
        <v>2050</v>
      </c>
      <c r="L197" s="35" t="n">
        <f aca="false">I197+J197+K197</f>
        <v>8170.4</v>
      </c>
      <c r="M197" s="36" t="s">
        <v>131</v>
      </c>
    </row>
    <row r="198" customFormat="false" ht="37.5" hidden="false" customHeight="true" outlineLevel="0" collapsed="false">
      <c r="A198" s="29"/>
      <c r="B198" s="30" t="s">
        <v>678</v>
      </c>
      <c r="C198" s="31" t="s">
        <v>138</v>
      </c>
      <c r="D198" s="31" t="s">
        <v>108</v>
      </c>
      <c r="E198" s="32" t="n">
        <v>2083</v>
      </c>
      <c r="F198" s="32" t="n">
        <v>2000</v>
      </c>
      <c r="G198" s="32" t="n">
        <v>250</v>
      </c>
      <c r="H198" s="33" t="n">
        <v>1</v>
      </c>
      <c r="I198" s="34" t="n">
        <f aca="false">E198*H198+N(F198)+N(G198)</f>
        <v>4333</v>
      </c>
      <c r="J198" s="32" t="n">
        <f aca="false">ROUND(IFERROR(ROUND(IF(OR(ISNUMBER(SEARCH("week",C198)),ISNUMBER(SEARCH("minggu",C198))),IFERROR(_xlfn.NUMBERVALUE(SUBSTITUTE(LEFT(TRIM(C198),FIND(" ",TRIM(C198)&amp;" ")-1),",","."),"."),LEFT(SUBSTITUTE(LEFT(TRIM(C198),FIND(" ",TRIM(C198)&amp;" ")-1),",","."),FIND("/",SUBSTITUTE(LEFT(TRIM(C198),FIND(" ",TRIM(C198)&amp;" ")-1),",","."))-1)/MID(SUBSTITUTE(LEFT(TRIM(C198),FIND(" ",TRIM(C198)&amp;" ")-1),",","."),FIND("/",SUBSTITUTE(LEFT(TRIM(C198),FIND(" ",TRIM(C198)&amp;" ")-1),",","."))+1,9))*12/52,IF(ISNUMBER(SEARCH("month",C198)),IFERROR(_xlfn.NUMBERVALUE(SUBSTITUTE(LEFT(TRIM(C198),FIND(" ",TRIM(C198)&amp;" ")-1),",","."),"."),LEFT(SUBSTITUTE(LEFT(TRIM(C198),FIND(" ",TRIM(C198)&amp;" ")-1),",","."),FIND("/",SUBSTITUTE(LEFT(TRIM(C198),FIND(" ",TRIM(C198)&amp;" ")-1),",","."))-1)/MID(SUBSTITUTE(LEFT(TRIM(C198),FIND(" ",TRIM(C198)&amp;" ")-1),",","."),FIND("/",SUBSTITUTE(LEFT(TRIM(C198),FIND(" ",TRIM(C198)&amp;" ")-1),",","."))+1,9)),IF(ISNUMBER(SEARCH("yea",C198)),IFERROR(_xlfn.NUMBERVALUE(SUBSTITUTE(LEFT(TRIM(C198),FIND(" ",TRIM(C198)&amp;" ")-1),",","."),"."),LEFT(SUBSTITUTE(LEFT(TRIM(C198),FIND(" ",TRIM(C198)&amp;" ")-1),",","."),FIND("/",SUBSTITUTE(LEFT(TRIM(C198),FIND(" ",TRIM(C198)&amp;" ")-1),",","."))-1)/MID(SUBSTITUTE(LEFT(TRIM(C198),FIND(" ",TRIM(C198)&amp;" ")-1),",","."),FIND("/",SUBSTITUTE(LEFT(TRIM(C198),FIND(" ",TRIM(C198)&amp;" ")-1),",","."))+1,9))*12,NA()))),0),30)*'Aturan &amp; Tarif'!$B$4,2)</f>
        <v>1703.4</v>
      </c>
      <c r="K198" s="32" t="n">
        <f aca="false">'Aturan &amp; Tarif'!$B$5</f>
        <v>2050</v>
      </c>
      <c r="L198" s="35" t="n">
        <f aca="false">I198+J198+K198</f>
        <v>8086.4</v>
      </c>
      <c r="M198" s="36" t="s">
        <v>131</v>
      </c>
    </row>
    <row r="199" customFormat="false" ht="37.5" hidden="false" customHeight="true" outlineLevel="0" collapsed="false">
      <c r="A199" s="29"/>
      <c r="B199" s="30" t="s">
        <v>679</v>
      </c>
      <c r="C199" s="31" t="s">
        <v>138</v>
      </c>
      <c r="D199" s="31" t="s">
        <v>108</v>
      </c>
      <c r="E199" s="32" t="n">
        <v>2167</v>
      </c>
      <c r="F199" s="32" t="n">
        <v>2000</v>
      </c>
      <c r="G199" s="32" t="n">
        <v>250</v>
      </c>
      <c r="H199" s="33" t="n">
        <v>1</v>
      </c>
      <c r="I199" s="34" t="n">
        <f aca="false">E199*H199+N(F199)+N(G199)</f>
        <v>4417</v>
      </c>
      <c r="J199" s="32" t="n">
        <f aca="false">ROUND(IFERROR(ROUND(IF(OR(ISNUMBER(SEARCH("week",C199)),ISNUMBER(SEARCH("minggu",C199))),IFERROR(_xlfn.NUMBERVALUE(SUBSTITUTE(LEFT(TRIM(C199),FIND(" ",TRIM(C199)&amp;" ")-1),",","."),"."),LEFT(SUBSTITUTE(LEFT(TRIM(C199),FIND(" ",TRIM(C199)&amp;" ")-1),",","."),FIND("/",SUBSTITUTE(LEFT(TRIM(C199),FIND(" ",TRIM(C199)&amp;" ")-1),",","."))-1)/MID(SUBSTITUTE(LEFT(TRIM(C199),FIND(" ",TRIM(C199)&amp;" ")-1),",","."),FIND("/",SUBSTITUTE(LEFT(TRIM(C199),FIND(" ",TRIM(C199)&amp;" ")-1),",","."))+1,9))*12/52,IF(ISNUMBER(SEARCH("month",C199)),IFERROR(_xlfn.NUMBERVALUE(SUBSTITUTE(LEFT(TRIM(C199),FIND(" ",TRIM(C199)&amp;" ")-1),",","."),"."),LEFT(SUBSTITUTE(LEFT(TRIM(C199),FIND(" ",TRIM(C199)&amp;" ")-1),",","."),FIND("/",SUBSTITUTE(LEFT(TRIM(C199),FIND(" ",TRIM(C199)&amp;" ")-1),",","."))-1)/MID(SUBSTITUTE(LEFT(TRIM(C199),FIND(" ",TRIM(C199)&amp;" ")-1),",","."),FIND("/",SUBSTITUTE(LEFT(TRIM(C199),FIND(" ",TRIM(C199)&amp;" ")-1),",","."))+1,9)),IF(ISNUMBER(SEARCH("yea",C199)),IFERROR(_xlfn.NUMBERVALUE(SUBSTITUTE(LEFT(TRIM(C199),FIND(" ",TRIM(C199)&amp;" ")-1),",","."),"."),LEFT(SUBSTITUTE(LEFT(TRIM(C199),FIND(" ",TRIM(C199)&amp;" ")-1),",","."),FIND("/",SUBSTITUTE(LEFT(TRIM(C199),FIND(" ",TRIM(C199)&amp;" ")-1),",","."))-1)/MID(SUBSTITUTE(LEFT(TRIM(C199),FIND(" ",TRIM(C199)&amp;" ")-1),",","."),FIND("/",SUBSTITUTE(LEFT(TRIM(C199),FIND(" ",TRIM(C199)&amp;" ")-1),",","."))+1,9))*12,NA()))),0),30)*'Aturan &amp; Tarif'!$B$4,2)</f>
        <v>1703.4</v>
      </c>
      <c r="K199" s="32" t="n">
        <f aca="false">'Aturan &amp; Tarif'!$B$5</f>
        <v>2050</v>
      </c>
      <c r="L199" s="35" t="n">
        <f aca="false">I199+J199+K199</f>
        <v>8170.4</v>
      </c>
      <c r="M199" s="36" t="s">
        <v>131</v>
      </c>
    </row>
    <row r="200" customFormat="false" ht="37.5" hidden="false" customHeight="true" outlineLevel="0" collapsed="false">
      <c r="A200" s="29"/>
      <c r="B200" s="30" t="s">
        <v>680</v>
      </c>
      <c r="C200" s="31" t="s">
        <v>138</v>
      </c>
      <c r="D200" s="31" t="s">
        <v>108</v>
      </c>
      <c r="E200" s="32" t="n">
        <v>2083</v>
      </c>
      <c r="F200" s="32" t="n">
        <v>2000</v>
      </c>
      <c r="G200" s="32" t="n">
        <v>250</v>
      </c>
      <c r="H200" s="33" t="n">
        <v>1</v>
      </c>
      <c r="I200" s="34" t="n">
        <f aca="false">E200*H200+N(F200)+N(G200)</f>
        <v>4333</v>
      </c>
      <c r="J200" s="32" t="n">
        <f aca="false">ROUND(IFERROR(ROUND(IF(OR(ISNUMBER(SEARCH("week",C200)),ISNUMBER(SEARCH("minggu",C200))),IFERROR(_xlfn.NUMBERVALUE(SUBSTITUTE(LEFT(TRIM(C200),FIND(" ",TRIM(C200)&amp;" ")-1),",","."),"."),LEFT(SUBSTITUTE(LEFT(TRIM(C200),FIND(" ",TRIM(C200)&amp;" ")-1),",","."),FIND("/",SUBSTITUTE(LEFT(TRIM(C200),FIND(" ",TRIM(C200)&amp;" ")-1),",","."))-1)/MID(SUBSTITUTE(LEFT(TRIM(C200),FIND(" ",TRIM(C200)&amp;" ")-1),",","."),FIND("/",SUBSTITUTE(LEFT(TRIM(C200),FIND(" ",TRIM(C200)&amp;" ")-1),",","."))+1,9))*12/52,IF(ISNUMBER(SEARCH("month",C200)),IFERROR(_xlfn.NUMBERVALUE(SUBSTITUTE(LEFT(TRIM(C200),FIND(" ",TRIM(C200)&amp;" ")-1),",","."),"."),LEFT(SUBSTITUTE(LEFT(TRIM(C200),FIND(" ",TRIM(C200)&amp;" ")-1),",","."),FIND("/",SUBSTITUTE(LEFT(TRIM(C200),FIND(" ",TRIM(C200)&amp;" ")-1),",","."))-1)/MID(SUBSTITUTE(LEFT(TRIM(C200),FIND(" ",TRIM(C200)&amp;" ")-1),",","."),FIND("/",SUBSTITUTE(LEFT(TRIM(C200),FIND(" ",TRIM(C200)&amp;" ")-1),",","."))+1,9)),IF(ISNUMBER(SEARCH("yea",C200)),IFERROR(_xlfn.NUMBERVALUE(SUBSTITUTE(LEFT(TRIM(C200),FIND(" ",TRIM(C200)&amp;" ")-1),",","."),"."),LEFT(SUBSTITUTE(LEFT(TRIM(C200),FIND(" ",TRIM(C200)&amp;" ")-1),",","."),FIND("/",SUBSTITUTE(LEFT(TRIM(C200),FIND(" ",TRIM(C200)&amp;" ")-1),",","."))-1)/MID(SUBSTITUTE(LEFT(TRIM(C200),FIND(" ",TRIM(C200)&amp;" ")-1),",","."),FIND("/",SUBSTITUTE(LEFT(TRIM(C200),FIND(" ",TRIM(C200)&amp;" ")-1),",","."))+1,9))*12,NA()))),0),30)*'Aturan &amp; Tarif'!$B$4,2)</f>
        <v>1703.4</v>
      </c>
      <c r="K200" s="32" t="n">
        <f aca="false">'Aturan &amp; Tarif'!$B$5</f>
        <v>2050</v>
      </c>
      <c r="L200" s="35" t="n">
        <f aca="false">I200+J200+K200</f>
        <v>8086.4</v>
      </c>
      <c r="M200" s="36" t="s">
        <v>131</v>
      </c>
    </row>
    <row r="201" customFormat="false" ht="37.5" hidden="false" customHeight="true" outlineLevel="0" collapsed="false">
      <c r="A201" s="39" t="s">
        <v>908</v>
      </c>
      <c r="B201" s="40" t="s">
        <v>909</v>
      </c>
      <c r="C201" s="41" t="s">
        <v>138</v>
      </c>
      <c r="D201" s="41" t="s">
        <v>108</v>
      </c>
      <c r="E201" s="42" t="n">
        <v>3000</v>
      </c>
      <c r="F201" s="42" t="n">
        <v>1000</v>
      </c>
      <c r="G201" s="42" t="n">
        <v>250</v>
      </c>
      <c r="H201" s="43" t="n">
        <v>1</v>
      </c>
      <c r="I201" s="34" t="n">
        <f aca="false">E201*H201+N(F201)+N(G201)</f>
        <v>4250</v>
      </c>
      <c r="J201" s="42" t="n">
        <f aca="false">ROUND(IFERROR(ROUND(IF(OR(ISNUMBER(SEARCH("week",C201)),ISNUMBER(SEARCH("minggu",C201))),IFERROR(_xlfn.NUMBERVALUE(SUBSTITUTE(LEFT(TRIM(C201),FIND(" ",TRIM(C201)&amp;" ")-1),",","."),"."),LEFT(SUBSTITUTE(LEFT(TRIM(C201),FIND(" ",TRIM(C201)&amp;" ")-1),",","."),FIND("/",SUBSTITUTE(LEFT(TRIM(C201),FIND(" ",TRIM(C201)&amp;" ")-1),",","."))-1)/MID(SUBSTITUTE(LEFT(TRIM(C201),FIND(" ",TRIM(C201)&amp;" ")-1),",","."),FIND("/",SUBSTITUTE(LEFT(TRIM(C201),FIND(" ",TRIM(C201)&amp;" ")-1),",","."))+1,9))*12/52,IF(ISNUMBER(SEARCH("month",C201)),IFERROR(_xlfn.NUMBERVALUE(SUBSTITUTE(LEFT(TRIM(C201),FIND(" ",TRIM(C201)&amp;" ")-1),",","."),"."),LEFT(SUBSTITUTE(LEFT(TRIM(C201),FIND(" ",TRIM(C201)&amp;" ")-1),",","."),FIND("/",SUBSTITUTE(LEFT(TRIM(C201),FIND(" ",TRIM(C201)&amp;" ")-1),",","."))-1)/MID(SUBSTITUTE(LEFT(TRIM(C201),FIND(" ",TRIM(C201)&amp;" ")-1),",","."),FIND("/",SUBSTITUTE(LEFT(TRIM(C201),FIND(" ",TRIM(C201)&amp;" ")-1),",","."))+1,9)),IF(ISNUMBER(SEARCH("yea",C201)),IFERROR(_xlfn.NUMBERVALUE(SUBSTITUTE(LEFT(TRIM(C201),FIND(" ",TRIM(C201)&amp;" ")-1),",","."),"."),LEFT(SUBSTITUTE(LEFT(TRIM(C201),FIND(" ",TRIM(C201)&amp;" ")-1),",","."),FIND("/",SUBSTITUTE(LEFT(TRIM(C201),FIND(" ",TRIM(C201)&amp;" ")-1),",","."))-1)/MID(SUBSTITUTE(LEFT(TRIM(C201),FIND(" ",TRIM(C201)&amp;" ")-1),",","."),FIND("/",SUBSTITUTE(LEFT(TRIM(C201),FIND(" ",TRIM(C201)&amp;" ")-1),",","."))+1,9))*12,NA()))),0),30)*'Aturan &amp; Tarif'!$B$4,2)</f>
        <v>1703.4</v>
      </c>
      <c r="K201" s="42" t="n">
        <f aca="false">'Aturan &amp; Tarif'!$B$5</f>
        <v>2050</v>
      </c>
      <c r="L201" s="35" t="n">
        <f aca="false">I201+J201+K201</f>
        <v>8003.4</v>
      </c>
      <c r="M201" s="45" t="s">
        <v>134</v>
      </c>
    </row>
    <row r="202" customFormat="false" ht="37.5" hidden="false" customHeight="true" outlineLevel="0" collapsed="false">
      <c r="A202" s="39"/>
      <c r="B202" s="40" t="s">
        <v>3420</v>
      </c>
      <c r="C202" s="41" t="s">
        <v>138</v>
      </c>
      <c r="D202" s="41" t="s">
        <v>108</v>
      </c>
      <c r="E202" s="42" t="n">
        <v>2430</v>
      </c>
      <c r="F202" s="42" t="n">
        <v>600</v>
      </c>
      <c r="G202" s="42" t="n">
        <v>250</v>
      </c>
      <c r="H202" s="43" t="n">
        <v>1</v>
      </c>
      <c r="I202" s="34" t="n">
        <f aca="false">E202*H202+N(F202)+N(G202)</f>
        <v>3280</v>
      </c>
      <c r="J202" s="42" t="n">
        <f aca="false">ROUND(IFERROR(ROUND(IF(OR(ISNUMBER(SEARCH("week",C202)),ISNUMBER(SEARCH("minggu",C202))),IFERROR(_xlfn.NUMBERVALUE(SUBSTITUTE(LEFT(TRIM(C202),FIND(" ",TRIM(C202)&amp;" ")-1),",","."),"."),LEFT(SUBSTITUTE(LEFT(TRIM(C202),FIND(" ",TRIM(C202)&amp;" ")-1),",","."),FIND("/",SUBSTITUTE(LEFT(TRIM(C202),FIND(" ",TRIM(C202)&amp;" ")-1),",","."))-1)/MID(SUBSTITUTE(LEFT(TRIM(C202),FIND(" ",TRIM(C202)&amp;" ")-1),",","."),FIND("/",SUBSTITUTE(LEFT(TRIM(C202),FIND(" ",TRIM(C202)&amp;" ")-1),",","."))+1,9))*12/52,IF(ISNUMBER(SEARCH("month",C202)),IFERROR(_xlfn.NUMBERVALUE(SUBSTITUTE(LEFT(TRIM(C202),FIND(" ",TRIM(C202)&amp;" ")-1),",","."),"."),LEFT(SUBSTITUTE(LEFT(TRIM(C202),FIND(" ",TRIM(C202)&amp;" ")-1),",","."),FIND("/",SUBSTITUTE(LEFT(TRIM(C202),FIND(" ",TRIM(C202)&amp;" ")-1),",","."))-1)/MID(SUBSTITUTE(LEFT(TRIM(C202),FIND(" ",TRIM(C202)&amp;" ")-1),",","."),FIND("/",SUBSTITUTE(LEFT(TRIM(C202),FIND(" ",TRIM(C202)&amp;" ")-1),",","."))+1,9)),IF(ISNUMBER(SEARCH("yea",C202)),IFERROR(_xlfn.NUMBERVALUE(SUBSTITUTE(LEFT(TRIM(C202),FIND(" ",TRIM(C202)&amp;" ")-1),",","."),"."),LEFT(SUBSTITUTE(LEFT(TRIM(C202),FIND(" ",TRIM(C202)&amp;" ")-1),",","."),FIND("/",SUBSTITUTE(LEFT(TRIM(C202),FIND(" ",TRIM(C202)&amp;" ")-1),",","."))-1)/MID(SUBSTITUTE(LEFT(TRIM(C202),FIND(" ",TRIM(C202)&amp;" ")-1),",","."),FIND("/",SUBSTITUTE(LEFT(TRIM(C202),FIND(" ",TRIM(C202)&amp;" ")-1),",","."))+1,9))*12,NA()))),0),30)*'Aturan &amp; Tarif'!$B$4,2)</f>
        <v>1703.4</v>
      </c>
      <c r="K202" s="42" t="n">
        <f aca="false">'Aturan &amp; Tarif'!$B$5</f>
        <v>2050</v>
      </c>
      <c r="L202" s="35" t="n">
        <f aca="false">I202+J202+K202</f>
        <v>7033.4</v>
      </c>
      <c r="M202" s="45" t="s">
        <v>134</v>
      </c>
    </row>
    <row r="203" customFormat="false" ht="37.5" hidden="false" customHeight="true" outlineLevel="0" collapsed="false">
      <c r="A203" s="39"/>
      <c r="B203" s="40" t="s">
        <v>3421</v>
      </c>
      <c r="C203" s="41" t="s">
        <v>107</v>
      </c>
      <c r="D203" s="41" t="s">
        <v>108</v>
      </c>
      <c r="E203" s="42" t="n">
        <v>3300</v>
      </c>
      <c r="F203" s="42" t="n">
        <v>500</v>
      </c>
      <c r="G203" s="42" t="n">
        <v>250</v>
      </c>
      <c r="H203" s="43" t="n">
        <v>1</v>
      </c>
      <c r="I203" s="34" t="n">
        <f aca="false">E203*H203+N(F203)+N(G203)</f>
        <v>4050</v>
      </c>
      <c r="J203" s="42" t="n">
        <f aca="false">ROUND(IFERROR(ROUND(IF(OR(ISNUMBER(SEARCH("week",C203)),ISNUMBER(SEARCH("minggu",C203))),IFERROR(_xlfn.NUMBERVALUE(SUBSTITUTE(LEFT(TRIM(C203),FIND(" ",TRIM(C203)&amp;" ")-1),",","."),"."),LEFT(SUBSTITUTE(LEFT(TRIM(C203),FIND(" ",TRIM(C203)&amp;" ")-1),",","."),FIND("/",SUBSTITUTE(LEFT(TRIM(C203),FIND(" ",TRIM(C203)&amp;" ")-1),",","."))-1)/MID(SUBSTITUTE(LEFT(TRIM(C203),FIND(" ",TRIM(C203)&amp;" ")-1),",","."),FIND("/",SUBSTITUTE(LEFT(TRIM(C203),FIND(" ",TRIM(C203)&amp;" ")-1),",","."))+1,9))*12/52,IF(ISNUMBER(SEARCH("month",C203)),IFERROR(_xlfn.NUMBERVALUE(SUBSTITUTE(LEFT(TRIM(C203),FIND(" ",TRIM(C203)&amp;" ")-1),",","."),"."),LEFT(SUBSTITUTE(LEFT(TRIM(C203),FIND(" ",TRIM(C203)&amp;" ")-1),",","."),FIND("/",SUBSTITUTE(LEFT(TRIM(C203),FIND(" ",TRIM(C203)&amp;" ")-1),",","."))-1)/MID(SUBSTITUTE(LEFT(TRIM(C203),FIND(" ",TRIM(C203)&amp;" ")-1),",","."),FIND("/",SUBSTITUTE(LEFT(TRIM(C203),FIND(" ",TRIM(C203)&amp;" ")-1),",","."))+1,9)),IF(ISNUMBER(SEARCH("yea",C203)),IFERROR(_xlfn.NUMBERVALUE(SUBSTITUTE(LEFT(TRIM(C203),FIND(" ",TRIM(C203)&amp;" ")-1),",","."),"."),LEFT(SUBSTITUTE(LEFT(TRIM(C203),FIND(" ",TRIM(C203)&amp;" ")-1),",","."),FIND("/",SUBSTITUTE(LEFT(TRIM(C203),FIND(" ",TRIM(C203)&amp;" ")-1),",","."))-1)/MID(SUBSTITUTE(LEFT(TRIM(C203),FIND(" ",TRIM(C203)&amp;" ")-1),",","."),FIND("/",SUBSTITUTE(LEFT(TRIM(C203),FIND(" ",TRIM(C203)&amp;" ")-1),",","."))+1,9))*12,NA()))),0),24)*'Aturan &amp; Tarif'!$B$4,2)</f>
        <v>1362.72</v>
      </c>
      <c r="K203" s="42" t="n">
        <f aca="false">'Aturan &amp; Tarif'!$B$5</f>
        <v>2050</v>
      </c>
      <c r="L203" s="35" t="n">
        <f aca="false">I203+J203+K203</f>
        <v>7462.72</v>
      </c>
      <c r="M203" s="45" t="s">
        <v>134</v>
      </c>
    </row>
    <row r="204" customFormat="false" ht="37.5" hidden="false" customHeight="true" outlineLevel="0" collapsed="false">
      <c r="A204" s="39"/>
      <c r="B204" s="40" t="s">
        <v>912</v>
      </c>
      <c r="C204" s="41" t="s">
        <v>138</v>
      </c>
      <c r="D204" s="41" t="s">
        <v>108</v>
      </c>
      <c r="E204" s="42" t="n">
        <v>3300</v>
      </c>
      <c r="F204" s="42" t="n">
        <v>2500</v>
      </c>
      <c r="G204" s="42" t="n">
        <v>250</v>
      </c>
      <c r="H204" s="43" t="n">
        <v>1</v>
      </c>
      <c r="I204" s="34" t="n">
        <f aca="false">E204*H204+N(F204)+N(G204)</f>
        <v>6050</v>
      </c>
      <c r="J204" s="42" t="n">
        <f aca="false">ROUND(IFERROR(ROUND(IF(OR(ISNUMBER(SEARCH("week",C204)),ISNUMBER(SEARCH("minggu",C204))),IFERROR(_xlfn.NUMBERVALUE(SUBSTITUTE(LEFT(TRIM(C204),FIND(" ",TRIM(C204)&amp;" ")-1),",","."),"."),LEFT(SUBSTITUTE(LEFT(TRIM(C204),FIND(" ",TRIM(C204)&amp;" ")-1),",","."),FIND("/",SUBSTITUTE(LEFT(TRIM(C204),FIND(" ",TRIM(C204)&amp;" ")-1),",","."))-1)/MID(SUBSTITUTE(LEFT(TRIM(C204),FIND(" ",TRIM(C204)&amp;" ")-1),",","."),FIND("/",SUBSTITUTE(LEFT(TRIM(C204),FIND(" ",TRIM(C204)&amp;" ")-1),",","."))+1,9))*12/52,IF(ISNUMBER(SEARCH("month",C204)),IFERROR(_xlfn.NUMBERVALUE(SUBSTITUTE(LEFT(TRIM(C204),FIND(" ",TRIM(C204)&amp;" ")-1),",","."),"."),LEFT(SUBSTITUTE(LEFT(TRIM(C204),FIND(" ",TRIM(C204)&amp;" ")-1),",","."),FIND("/",SUBSTITUTE(LEFT(TRIM(C204),FIND(" ",TRIM(C204)&amp;" ")-1),",","."))-1)/MID(SUBSTITUTE(LEFT(TRIM(C204),FIND(" ",TRIM(C204)&amp;" ")-1),",","."),FIND("/",SUBSTITUTE(LEFT(TRIM(C204),FIND(" ",TRIM(C204)&amp;" ")-1),",","."))+1,9)),IF(ISNUMBER(SEARCH("yea",C204)),IFERROR(_xlfn.NUMBERVALUE(SUBSTITUTE(LEFT(TRIM(C204),FIND(" ",TRIM(C204)&amp;" ")-1),",","."),"."),LEFT(SUBSTITUTE(LEFT(TRIM(C204),FIND(" ",TRIM(C204)&amp;" ")-1),",","."),FIND("/",SUBSTITUTE(LEFT(TRIM(C204),FIND(" ",TRIM(C204)&amp;" ")-1),",","."))-1)/MID(SUBSTITUTE(LEFT(TRIM(C204),FIND(" ",TRIM(C204)&amp;" ")-1),",","."),FIND("/",SUBSTITUTE(LEFT(TRIM(C204),FIND(" ",TRIM(C204)&amp;" ")-1),",","."))+1,9))*12,NA()))),0),30)*'Aturan &amp; Tarif'!$B$4,2)</f>
        <v>1703.4</v>
      </c>
      <c r="K204" s="42" t="n">
        <f aca="false">'Aturan &amp; Tarif'!$B$5</f>
        <v>2050</v>
      </c>
      <c r="L204" s="35" t="n">
        <f aca="false">I204+J204+K204</f>
        <v>9803.4</v>
      </c>
      <c r="M204" s="45" t="s">
        <v>134</v>
      </c>
    </row>
    <row r="205" customFormat="false" ht="25.5" hidden="false" customHeight="true" outlineLevel="0" collapsed="false">
      <c r="A205" s="39"/>
      <c r="B205" s="40" t="s">
        <v>148</v>
      </c>
      <c r="C205" s="41" t="s">
        <v>107</v>
      </c>
      <c r="D205" s="41" t="s">
        <v>108</v>
      </c>
      <c r="E205" s="42" t="n">
        <v>2430</v>
      </c>
      <c r="F205" s="42" t="n">
        <v>1400</v>
      </c>
      <c r="G205" s="42" t="n">
        <v>250</v>
      </c>
      <c r="H205" s="43" t="n">
        <v>1</v>
      </c>
      <c r="I205" s="34" t="n">
        <f aca="false">E205*H205+N(F205)+N(G205)</f>
        <v>4080</v>
      </c>
      <c r="J205" s="42" t="n">
        <f aca="false">ROUND(IFERROR(ROUND(IF(OR(ISNUMBER(SEARCH("week",C205)),ISNUMBER(SEARCH("minggu",C205))),IFERROR(_xlfn.NUMBERVALUE(SUBSTITUTE(LEFT(TRIM(C205),FIND(" ",TRIM(C205)&amp;" ")-1),",","."),"."),LEFT(SUBSTITUTE(LEFT(TRIM(C205),FIND(" ",TRIM(C205)&amp;" ")-1),",","."),FIND("/",SUBSTITUTE(LEFT(TRIM(C205),FIND(" ",TRIM(C205)&amp;" ")-1),",","."))-1)/MID(SUBSTITUTE(LEFT(TRIM(C205),FIND(" ",TRIM(C205)&amp;" ")-1),",","."),FIND("/",SUBSTITUTE(LEFT(TRIM(C205),FIND(" ",TRIM(C205)&amp;" ")-1),",","."))+1,9))*12/52,IF(ISNUMBER(SEARCH("month",C205)),IFERROR(_xlfn.NUMBERVALUE(SUBSTITUTE(LEFT(TRIM(C205),FIND(" ",TRIM(C205)&amp;" ")-1),",","."),"."),LEFT(SUBSTITUTE(LEFT(TRIM(C205),FIND(" ",TRIM(C205)&amp;" ")-1),",","."),FIND("/",SUBSTITUTE(LEFT(TRIM(C205),FIND(" ",TRIM(C205)&amp;" ")-1),",","."))-1)/MID(SUBSTITUTE(LEFT(TRIM(C205),FIND(" ",TRIM(C205)&amp;" ")-1),",","."),FIND("/",SUBSTITUTE(LEFT(TRIM(C205),FIND(" ",TRIM(C205)&amp;" ")-1),",","."))+1,9)),IF(ISNUMBER(SEARCH("yea",C205)),IFERROR(_xlfn.NUMBERVALUE(SUBSTITUTE(LEFT(TRIM(C205),FIND(" ",TRIM(C205)&amp;" ")-1),",","."),"."),LEFT(SUBSTITUTE(LEFT(TRIM(C205),FIND(" ",TRIM(C205)&amp;" ")-1),",","."),FIND("/",SUBSTITUTE(LEFT(TRIM(C205),FIND(" ",TRIM(C205)&amp;" ")-1),",","."))-1)/MID(SUBSTITUTE(LEFT(TRIM(C205),FIND(" ",TRIM(C205)&amp;" ")-1),",","."),FIND("/",SUBSTITUTE(LEFT(TRIM(C205),FIND(" ",TRIM(C205)&amp;" ")-1),",","."))+1,9))*12,NA()))),0),24)*'Aturan &amp; Tarif'!$B$4,2)</f>
        <v>1362.72</v>
      </c>
      <c r="K205" s="42" t="n">
        <f aca="false">'Aturan &amp; Tarif'!$B$5</f>
        <v>2050</v>
      </c>
      <c r="L205" s="35" t="n">
        <f aca="false">I205+J205+K205</f>
        <v>7492.72</v>
      </c>
      <c r="M205" s="45" t="s">
        <v>134</v>
      </c>
    </row>
    <row r="206" customFormat="false" ht="37.5" hidden="false" customHeight="true" outlineLevel="0" collapsed="false">
      <c r="A206" s="29" t="s">
        <v>913</v>
      </c>
      <c r="B206" s="30" t="s">
        <v>697</v>
      </c>
      <c r="C206" s="31" t="s">
        <v>107</v>
      </c>
      <c r="D206" s="31" t="s">
        <v>108</v>
      </c>
      <c r="E206" s="32" t="n">
        <v>1250</v>
      </c>
      <c r="F206" s="32" t="n">
        <v>120</v>
      </c>
      <c r="G206" s="32" t="n">
        <v>250</v>
      </c>
      <c r="H206" s="33" t="n">
        <v>1</v>
      </c>
      <c r="I206" s="34" t="n">
        <f aca="false">E206*H206+N(F206)+N(G206)</f>
        <v>1620</v>
      </c>
      <c r="J206" s="32" t="n">
        <f aca="false">ROUND(IFERROR(ROUND(IF(OR(ISNUMBER(SEARCH("week",C206)),ISNUMBER(SEARCH("minggu",C206))),IFERROR(_xlfn.NUMBERVALUE(SUBSTITUTE(LEFT(TRIM(C206),FIND(" ",TRIM(C206)&amp;" ")-1),",","."),"."),LEFT(SUBSTITUTE(LEFT(TRIM(C206),FIND(" ",TRIM(C206)&amp;" ")-1),",","."),FIND("/",SUBSTITUTE(LEFT(TRIM(C206),FIND(" ",TRIM(C206)&amp;" ")-1),",","."))-1)/MID(SUBSTITUTE(LEFT(TRIM(C206),FIND(" ",TRIM(C206)&amp;" ")-1),",","."),FIND("/",SUBSTITUTE(LEFT(TRIM(C206),FIND(" ",TRIM(C206)&amp;" ")-1),",","."))+1,9))*12/52,IF(ISNUMBER(SEARCH("month",C206)),IFERROR(_xlfn.NUMBERVALUE(SUBSTITUTE(LEFT(TRIM(C206),FIND(" ",TRIM(C206)&amp;" ")-1),",","."),"."),LEFT(SUBSTITUTE(LEFT(TRIM(C206),FIND(" ",TRIM(C206)&amp;" ")-1),",","."),FIND("/",SUBSTITUTE(LEFT(TRIM(C206),FIND(" ",TRIM(C206)&amp;" ")-1),",","."))-1)/MID(SUBSTITUTE(LEFT(TRIM(C206),FIND(" ",TRIM(C206)&amp;" ")-1),",","."),FIND("/",SUBSTITUTE(LEFT(TRIM(C206),FIND(" ",TRIM(C206)&amp;" ")-1),",","."))+1,9)),IF(ISNUMBER(SEARCH("yea",C206)),IFERROR(_xlfn.NUMBERVALUE(SUBSTITUTE(LEFT(TRIM(C206),FIND(" ",TRIM(C206)&amp;" ")-1),",","."),"."),LEFT(SUBSTITUTE(LEFT(TRIM(C206),FIND(" ",TRIM(C206)&amp;" ")-1),",","."),FIND("/",SUBSTITUTE(LEFT(TRIM(C206),FIND(" ",TRIM(C206)&amp;" ")-1),",","."))-1)/MID(SUBSTITUTE(LEFT(TRIM(C206),FIND(" ",TRIM(C206)&amp;" ")-1),",","."),FIND("/",SUBSTITUTE(LEFT(TRIM(C206),FIND(" ",TRIM(C206)&amp;" ")-1),",","."))+1,9))*12,NA()))),0),24)*'Aturan &amp; Tarif'!$B$4,2)</f>
        <v>1362.72</v>
      </c>
      <c r="K206" s="32" t="n">
        <f aca="false">'Aturan &amp; Tarif'!$B$5</f>
        <v>2050</v>
      </c>
      <c r="L206" s="35" t="n">
        <f aca="false">I206+J206+K206</f>
        <v>5032.72</v>
      </c>
      <c r="M206" s="37" t="s">
        <v>3422</v>
      </c>
    </row>
    <row r="207" customFormat="false" ht="48.75" hidden="false" customHeight="true" outlineLevel="0" collapsed="false">
      <c r="A207" s="29"/>
      <c r="B207" s="30" t="s">
        <v>699</v>
      </c>
      <c r="C207" s="31" t="s">
        <v>136</v>
      </c>
      <c r="D207" s="31" t="s">
        <v>108</v>
      </c>
      <c r="E207" s="32" t="n">
        <v>1250</v>
      </c>
      <c r="F207" s="32" t="n">
        <v>120</v>
      </c>
      <c r="G207" s="32" t="n">
        <v>250</v>
      </c>
      <c r="H207" s="33" t="n">
        <v>1</v>
      </c>
      <c r="I207" s="34" t="n">
        <f aca="false">E207*H207+N(F207)+N(G207)</f>
        <v>1620</v>
      </c>
      <c r="J207" s="32" t="n">
        <f aca="false">ROUND(IFERROR(ROUND(IF(OR(ISNUMBER(SEARCH("week",C207)),ISNUMBER(SEARCH("minggu",C207))),IFERROR(_xlfn.NUMBERVALUE(SUBSTITUTE(LEFT(TRIM(C207),FIND(" ",TRIM(C207)&amp;" ")-1),",","."),"."),LEFT(SUBSTITUTE(LEFT(TRIM(C207),FIND(" ",TRIM(C207)&amp;" ")-1),",","."),FIND("/",SUBSTITUTE(LEFT(TRIM(C207),FIND(" ",TRIM(C207)&amp;" ")-1),",","."))-1)/MID(SUBSTITUTE(LEFT(TRIM(C207),FIND(" ",TRIM(C207)&amp;" ")-1),",","."),FIND("/",SUBSTITUTE(LEFT(TRIM(C207),FIND(" ",TRIM(C207)&amp;" ")-1),",","."))+1,9))*12/52,IF(ISNUMBER(SEARCH("month",C207)),IFERROR(_xlfn.NUMBERVALUE(SUBSTITUTE(LEFT(TRIM(C207),FIND(" ",TRIM(C207)&amp;" ")-1),",","."),"."),LEFT(SUBSTITUTE(LEFT(TRIM(C207),FIND(" ",TRIM(C207)&amp;" ")-1),",","."),FIND("/",SUBSTITUTE(LEFT(TRIM(C207),FIND(" ",TRIM(C207)&amp;" ")-1),",","."))-1)/MID(SUBSTITUTE(LEFT(TRIM(C207),FIND(" ",TRIM(C207)&amp;" ")-1),",","."),FIND("/",SUBSTITUTE(LEFT(TRIM(C207),FIND(" ",TRIM(C207)&amp;" ")-1),",","."))+1,9)),IF(ISNUMBER(SEARCH("yea",C207)),IFERROR(_xlfn.NUMBERVALUE(SUBSTITUTE(LEFT(TRIM(C207),FIND(" ",TRIM(C207)&amp;" ")-1),",","."),"."),LEFT(SUBSTITUTE(LEFT(TRIM(C207),FIND(" ",TRIM(C207)&amp;" ")-1),",","."),FIND("/",SUBSTITUTE(LEFT(TRIM(C207),FIND(" ",TRIM(C207)&amp;" ")-1),",","."))-1)/MID(SUBSTITUTE(LEFT(TRIM(C207),FIND(" ",TRIM(C207)&amp;" ")-1),",","."),FIND("/",SUBSTITUTE(LEFT(TRIM(C207),FIND(" ",TRIM(C207)&amp;" ")-1),",","."))+1,9))*12,NA()))),0),42)*'Aturan &amp; Tarif'!$B$4,2)</f>
        <v>2384.76</v>
      </c>
      <c r="K207" s="32" t="n">
        <f aca="false">'Aturan &amp; Tarif'!$B$5</f>
        <v>2050</v>
      </c>
      <c r="L207" s="35" t="n">
        <f aca="false">I207+J207+K207</f>
        <v>6054.76</v>
      </c>
      <c r="M207" s="36" t="s">
        <v>3423</v>
      </c>
    </row>
    <row r="208" customFormat="false" ht="14.25" hidden="false" customHeight="true" outlineLevel="0" collapsed="false">
      <c r="A208" s="29"/>
      <c r="B208" s="30" t="s">
        <v>701</v>
      </c>
      <c r="C208" s="31" t="s">
        <v>107</v>
      </c>
      <c r="D208" s="31" t="s">
        <v>108</v>
      </c>
      <c r="E208" s="32" t="n">
        <v>1250</v>
      </c>
      <c r="F208" s="32" t="n">
        <v>120</v>
      </c>
      <c r="G208" s="32" t="n">
        <v>250</v>
      </c>
      <c r="H208" s="33" t="n">
        <v>1</v>
      </c>
      <c r="I208" s="34" t="n">
        <f aca="false">E208*H208+N(F208)+N(G208)</f>
        <v>1620</v>
      </c>
      <c r="J208" s="32" t="n">
        <f aca="false">ROUND(IFERROR(ROUND(IF(OR(ISNUMBER(SEARCH("week",C208)),ISNUMBER(SEARCH("minggu",C208))),IFERROR(_xlfn.NUMBERVALUE(SUBSTITUTE(LEFT(TRIM(C208),FIND(" ",TRIM(C208)&amp;" ")-1),",","."),"."),LEFT(SUBSTITUTE(LEFT(TRIM(C208),FIND(" ",TRIM(C208)&amp;" ")-1),",","."),FIND("/",SUBSTITUTE(LEFT(TRIM(C208),FIND(" ",TRIM(C208)&amp;" ")-1),",","."))-1)/MID(SUBSTITUTE(LEFT(TRIM(C208),FIND(" ",TRIM(C208)&amp;" ")-1),",","."),FIND("/",SUBSTITUTE(LEFT(TRIM(C208),FIND(" ",TRIM(C208)&amp;" ")-1),",","."))+1,9))*12/52,IF(ISNUMBER(SEARCH("month",C208)),IFERROR(_xlfn.NUMBERVALUE(SUBSTITUTE(LEFT(TRIM(C208),FIND(" ",TRIM(C208)&amp;" ")-1),",","."),"."),LEFT(SUBSTITUTE(LEFT(TRIM(C208),FIND(" ",TRIM(C208)&amp;" ")-1),",","."),FIND("/",SUBSTITUTE(LEFT(TRIM(C208),FIND(" ",TRIM(C208)&amp;" ")-1),",","."))-1)/MID(SUBSTITUTE(LEFT(TRIM(C208),FIND(" ",TRIM(C208)&amp;" ")-1),",","."),FIND("/",SUBSTITUTE(LEFT(TRIM(C208),FIND(" ",TRIM(C208)&amp;" ")-1),",","."))+1,9)),IF(ISNUMBER(SEARCH("yea",C208)),IFERROR(_xlfn.NUMBERVALUE(SUBSTITUTE(LEFT(TRIM(C208),FIND(" ",TRIM(C208)&amp;" ")-1),",","."),"."),LEFT(SUBSTITUTE(LEFT(TRIM(C208),FIND(" ",TRIM(C208)&amp;" ")-1),",","."),FIND("/",SUBSTITUTE(LEFT(TRIM(C208),FIND(" ",TRIM(C208)&amp;" ")-1),",","."))-1)/MID(SUBSTITUTE(LEFT(TRIM(C208),FIND(" ",TRIM(C208)&amp;" ")-1),",","."),FIND("/",SUBSTITUTE(LEFT(TRIM(C208),FIND(" ",TRIM(C208)&amp;" ")-1),",","."))+1,9))*12,NA()))),0),24)*'Aturan &amp; Tarif'!$B$4,2)</f>
        <v>1362.72</v>
      </c>
      <c r="K208" s="32" t="n">
        <f aca="false">'Aturan &amp; Tarif'!$B$5</f>
        <v>2050</v>
      </c>
      <c r="L208" s="35" t="n">
        <f aca="false">I208+J208+K208</f>
        <v>5032.72</v>
      </c>
      <c r="M208" s="37" t="s">
        <v>3424</v>
      </c>
    </row>
    <row r="209" customFormat="false" ht="37.5" hidden="false" customHeight="true" outlineLevel="0" collapsed="false">
      <c r="A209" s="29"/>
      <c r="B209" s="30" t="s">
        <v>703</v>
      </c>
      <c r="C209" s="31" t="s">
        <v>136</v>
      </c>
      <c r="D209" s="31" t="s">
        <v>108</v>
      </c>
      <c r="E209" s="32" t="n">
        <v>1250</v>
      </c>
      <c r="F209" s="32" t="n">
        <v>120</v>
      </c>
      <c r="G209" s="32" t="n">
        <v>250</v>
      </c>
      <c r="H209" s="33" t="n">
        <v>1</v>
      </c>
      <c r="I209" s="34" t="n">
        <f aca="false">E209*H209+N(F209)+N(G209)</f>
        <v>1620</v>
      </c>
      <c r="J209" s="32" t="n">
        <f aca="false">ROUND(IFERROR(ROUND(IF(OR(ISNUMBER(SEARCH("week",C209)),ISNUMBER(SEARCH("minggu",C209))),IFERROR(_xlfn.NUMBERVALUE(SUBSTITUTE(LEFT(TRIM(C209),FIND(" ",TRIM(C209)&amp;" ")-1),",","."),"."),LEFT(SUBSTITUTE(LEFT(TRIM(C209),FIND(" ",TRIM(C209)&amp;" ")-1),",","."),FIND("/",SUBSTITUTE(LEFT(TRIM(C209),FIND(" ",TRIM(C209)&amp;" ")-1),",","."))-1)/MID(SUBSTITUTE(LEFT(TRIM(C209),FIND(" ",TRIM(C209)&amp;" ")-1),",","."),FIND("/",SUBSTITUTE(LEFT(TRIM(C209),FIND(" ",TRIM(C209)&amp;" ")-1),",","."))+1,9))*12/52,IF(ISNUMBER(SEARCH("month",C209)),IFERROR(_xlfn.NUMBERVALUE(SUBSTITUTE(LEFT(TRIM(C209),FIND(" ",TRIM(C209)&amp;" ")-1),",","."),"."),LEFT(SUBSTITUTE(LEFT(TRIM(C209),FIND(" ",TRIM(C209)&amp;" ")-1),",","."),FIND("/",SUBSTITUTE(LEFT(TRIM(C209),FIND(" ",TRIM(C209)&amp;" ")-1),",","."))-1)/MID(SUBSTITUTE(LEFT(TRIM(C209),FIND(" ",TRIM(C209)&amp;" ")-1),",","."),FIND("/",SUBSTITUTE(LEFT(TRIM(C209),FIND(" ",TRIM(C209)&amp;" ")-1),",","."))+1,9)),IF(ISNUMBER(SEARCH("yea",C209)),IFERROR(_xlfn.NUMBERVALUE(SUBSTITUTE(LEFT(TRIM(C209),FIND(" ",TRIM(C209)&amp;" ")-1),",","."),"."),LEFT(SUBSTITUTE(LEFT(TRIM(C209),FIND(" ",TRIM(C209)&amp;" ")-1),",","."),FIND("/",SUBSTITUTE(LEFT(TRIM(C209),FIND(" ",TRIM(C209)&amp;" ")-1),",","."))-1)/MID(SUBSTITUTE(LEFT(TRIM(C209),FIND(" ",TRIM(C209)&amp;" ")-1),",","."),FIND("/",SUBSTITUTE(LEFT(TRIM(C209),FIND(" ",TRIM(C209)&amp;" ")-1),",","."))+1,9))*12,NA()))),0),42)*'Aturan &amp; Tarif'!$B$4,2)</f>
        <v>2384.76</v>
      </c>
      <c r="K209" s="32" t="n">
        <f aca="false">'Aturan &amp; Tarif'!$B$5</f>
        <v>2050</v>
      </c>
      <c r="L209" s="35" t="n">
        <f aca="false">I209+J209+K209</f>
        <v>6054.76</v>
      </c>
      <c r="M209" s="36" t="s">
        <v>3425</v>
      </c>
    </row>
    <row r="210" customFormat="false" ht="14.25" hidden="false" customHeight="true" outlineLevel="0" collapsed="false">
      <c r="A210" s="29"/>
      <c r="B210" s="30" t="s">
        <v>705</v>
      </c>
      <c r="C210" s="31" t="s">
        <v>706</v>
      </c>
      <c r="D210" s="31" t="s">
        <v>108</v>
      </c>
      <c r="E210" s="32" t="n">
        <v>1250</v>
      </c>
      <c r="F210" s="32" t="n">
        <v>120</v>
      </c>
      <c r="G210" s="32" t="n">
        <v>260</v>
      </c>
      <c r="H210" s="33" t="n">
        <v>1</v>
      </c>
      <c r="I210" s="34" t="n">
        <f aca="false">E210*H210+N(F210)+N(G210)</f>
        <v>1630</v>
      </c>
      <c r="J210" s="32" t="n">
        <f aca="false">ROUND(IFERROR(ROUND(IF(OR(ISNUMBER(SEARCH("week",C210)),ISNUMBER(SEARCH("minggu",C210))),IFERROR(_xlfn.NUMBERVALUE(SUBSTITUTE(LEFT(TRIM(C210),FIND(" ",TRIM(C210)&amp;" ")-1),",","."),"."),LEFT(SUBSTITUTE(LEFT(TRIM(C210),FIND(" ",TRIM(C210)&amp;" ")-1),",","."),FIND("/",SUBSTITUTE(LEFT(TRIM(C210),FIND(" ",TRIM(C210)&amp;" ")-1),",","."))-1)/MID(SUBSTITUTE(LEFT(TRIM(C210),FIND(" ",TRIM(C210)&amp;" ")-1),",","."),FIND("/",SUBSTITUTE(LEFT(TRIM(C210),FIND(" ",TRIM(C210)&amp;" ")-1),",","."))+1,9))*12/52,IF(ISNUMBER(SEARCH("month",C210)),IFERROR(_xlfn.NUMBERVALUE(SUBSTITUTE(LEFT(TRIM(C210),FIND(" ",TRIM(C210)&amp;" ")-1),",","."),"."),LEFT(SUBSTITUTE(LEFT(TRIM(C210),FIND(" ",TRIM(C210)&amp;" ")-1),",","."),FIND("/",SUBSTITUTE(LEFT(TRIM(C210),FIND(" ",TRIM(C210)&amp;" ")-1),",","."))-1)/MID(SUBSTITUTE(LEFT(TRIM(C210),FIND(" ",TRIM(C210)&amp;" ")-1),",","."),FIND("/",SUBSTITUTE(LEFT(TRIM(C210),FIND(" ",TRIM(C210)&amp;" ")-1),",","."))+1,9)),IF(ISNUMBER(SEARCH("yea",C210)),IFERROR(_xlfn.NUMBERVALUE(SUBSTITUTE(LEFT(TRIM(C210),FIND(" ",TRIM(C210)&amp;" ")-1),",","."),"."),LEFT(SUBSTITUTE(LEFT(TRIM(C210),FIND(" ",TRIM(C210)&amp;" ")-1),",","."),FIND("/",SUBSTITUTE(LEFT(TRIM(C210),FIND(" ",TRIM(C210)&amp;" ")-1),",","."))-1)/MID(SUBSTITUTE(LEFT(TRIM(C210),FIND(" ",TRIM(C210)&amp;" ")-1),",","."),FIND("/",SUBSTITUTE(LEFT(TRIM(C210),FIND(" ",TRIM(C210)&amp;" ")-1),",","."))+1,9))*12,NA()))),0),22)*'Aturan &amp; Tarif'!$B$4,2)</f>
        <v>1249.16</v>
      </c>
      <c r="K210" s="32" t="n">
        <f aca="false">'Aturan &amp; Tarif'!$B$5</f>
        <v>2050</v>
      </c>
      <c r="L210" s="35" t="n">
        <f aca="false">I210+J210+K210</f>
        <v>4929.16</v>
      </c>
      <c r="M210" s="37" t="s">
        <v>3426</v>
      </c>
    </row>
    <row r="211" customFormat="false" ht="37.5" hidden="false" customHeight="true" outlineLevel="0" collapsed="false">
      <c r="A211" s="29"/>
      <c r="B211" s="30" t="s">
        <v>708</v>
      </c>
      <c r="C211" s="31" t="s">
        <v>709</v>
      </c>
      <c r="D211" s="31" t="s">
        <v>108</v>
      </c>
      <c r="E211" s="32" t="n">
        <v>1250</v>
      </c>
      <c r="F211" s="32" t="n">
        <v>120</v>
      </c>
      <c r="G211" s="32" t="n">
        <v>260</v>
      </c>
      <c r="H211" s="33" t="n">
        <v>1</v>
      </c>
      <c r="I211" s="34" t="n">
        <f aca="false">E211*H211+N(F211)+N(G211)</f>
        <v>1630</v>
      </c>
      <c r="J211" s="32" t="n">
        <f aca="false">ROUND(IFERROR(ROUND(IF(OR(ISNUMBER(SEARCH("week",C211)),ISNUMBER(SEARCH("minggu",C211))),IFERROR(_xlfn.NUMBERVALUE(SUBSTITUTE(LEFT(TRIM(C211),FIND(" ",TRIM(C211)&amp;" ")-1),",","."),"."),LEFT(SUBSTITUTE(LEFT(TRIM(C211),FIND(" ",TRIM(C211)&amp;" ")-1),",","."),FIND("/",SUBSTITUTE(LEFT(TRIM(C211),FIND(" ",TRIM(C211)&amp;" ")-1),",","."))-1)/MID(SUBSTITUTE(LEFT(TRIM(C211),FIND(" ",TRIM(C211)&amp;" ")-1),",","."),FIND("/",SUBSTITUTE(LEFT(TRIM(C211),FIND(" ",TRIM(C211)&amp;" ")-1),",","."))+1,9))*12/52,IF(ISNUMBER(SEARCH("month",C211)),IFERROR(_xlfn.NUMBERVALUE(SUBSTITUTE(LEFT(TRIM(C211),FIND(" ",TRIM(C211)&amp;" ")-1),",","."),"."),LEFT(SUBSTITUTE(LEFT(TRIM(C211),FIND(" ",TRIM(C211)&amp;" ")-1),",","."),FIND("/",SUBSTITUTE(LEFT(TRIM(C211),FIND(" ",TRIM(C211)&amp;" ")-1),",","."))-1)/MID(SUBSTITUTE(LEFT(TRIM(C211),FIND(" ",TRIM(C211)&amp;" ")-1),",","."),FIND("/",SUBSTITUTE(LEFT(TRIM(C211),FIND(" ",TRIM(C211)&amp;" ")-1),",","."))+1,9)),IF(ISNUMBER(SEARCH("yea",C211)),IFERROR(_xlfn.NUMBERVALUE(SUBSTITUTE(LEFT(TRIM(C211),FIND(" ",TRIM(C211)&amp;" ")-1),",","."),"."),LEFT(SUBSTITUTE(LEFT(TRIM(C211),FIND(" ",TRIM(C211)&amp;" ")-1),",","."),FIND("/",SUBSTITUTE(LEFT(TRIM(C211),FIND(" ",TRIM(C211)&amp;" ")-1),",","."))-1)/MID(SUBSTITUTE(LEFT(TRIM(C211),FIND(" ",TRIM(C211)&amp;" ")-1),",","."),FIND("/",SUBSTITUTE(LEFT(TRIM(C211),FIND(" ",TRIM(C211)&amp;" ")-1),",","."))+1,9))*12,NA()))),0),40)*'Aturan &amp; Tarif'!$B$4,2)</f>
        <v>2271.2</v>
      </c>
      <c r="K211" s="32" t="n">
        <f aca="false">'Aturan &amp; Tarif'!$B$5</f>
        <v>2050</v>
      </c>
      <c r="L211" s="35" t="n">
        <f aca="false">I211+J211+K211</f>
        <v>5951.2</v>
      </c>
      <c r="M211" s="36" t="s">
        <v>710</v>
      </c>
    </row>
    <row r="212" customFormat="false" ht="25.5" hidden="false" customHeight="true" outlineLevel="0" collapsed="false">
      <c r="A212" s="29"/>
      <c r="B212" s="30" t="s">
        <v>496</v>
      </c>
      <c r="C212" s="31" t="s">
        <v>706</v>
      </c>
      <c r="D212" s="31" t="s">
        <v>108</v>
      </c>
      <c r="E212" s="32" t="n">
        <v>1250</v>
      </c>
      <c r="F212" s="32" t="n">
        <v>120</v>
      </c>
      <c r="G212" s="32" t="n">
        <v>260</v>
      </c>
      <c r="H212" s="33" t="n">
        <v>1</v>
      </c>
      <c r="I212" s="34" t="n">
        <f aca="false">E212*H212+N(F212)+N(G212)</f>
        <v>1630</v>
      </c>
      <c r="J212" s="32" t="n">
        <f aca="false">ROUND(IFERROR(ROUND(IF(OR(ISNUMBER(SEARCH("week",C212)),ISNUMBER(SEARCH("minggu",C212))),IFERROR(_xlfn.NUMBERVALUE(SUBSTITUTE(LEFT(TRIM(C212),FIND(" ",TRIM(C212)&amp;" ")-1),",","."),"."),LEFT(SUBSTITUTE(LEFT(TRIM(C212),FIND(" ",TRIM(C212)&amp;" ")-1),",","."),FIND("/",SUBSTITUTE(LEFT(TRIM(C212),FIND(" ",TRIM(C212)&amp;" ")-1),",","."))-1)/MID(SUBSTITUTE(LEFT(TRIM(C212),FIND(" ",TRIM(C212)&amp;" ")-1),",","."),FIND("/",SUBSTITUTE(LEFT(TRIM(C212),FIND(" ",TRIM(C212)&amp;" ")-1),",","."))+1,9))*12/52,IF(ISNUMBER(SEARCH("month",C212)),IFERROR(_xlfn.NUMBERVALUE(SUBSTITUTE(LEFT(TRIM(C212),FIND(" ",TRIM(C212)&amp;" ")-1),",","."),"."),LEFT(SUBSTITUTE(LEFT(TRIM(C212),FIND(" ",TRIM(C212)&amp;" ")-1),",","."),FIND("/",SUBSTITUTE(LEFT(TRIM(C212),FIND(" ",TRIM(C212)&amp;" ")-1),",","."))-1)/MID(SUBSTITUTE(LEFT(TRIM(C212),FIND(" ",TRIM(C212)&amp;" ")-1),",","."),FIND("/",SUBSTITUTE(LEFT(TRIM(C212),FIND(" ",TRIM(C212)&amp;" ")-1),",","."))+1,9)),IF(ISNUMBER(SEARCH("yea",C212)),IFERROR(_xlfn.NUMBERVALUE(SUBSTITUTE(LEFT(TRIM(C212),FIND(" ",TRIM(C212)&amp;" ")-1),",","."),"."),LEFT(SUBSTITUTE(LEFT(TRIM(C212),FIND(" ",TRIM(C212)&amp;" ")-1),",","."),FIND("/",SUBSTITUTE(LEFT(TRIM(C212),FIND(" ",TRIM(C212)&amp;" ")-1),",","."))-1)/MID(SUBSTITUTE(LEFT(TRIM(C212),FIND(" ",TRIM(C212)&amp;" ")-1),",","."),FIND("/",SUBSTITUTE(LEFT(TRIM(C212),FIND(" ",TRIM(C212)&amp;" ")-1),",","."))+1,9))*12,NA()))),0),22)*'Aturan &amp; Tarif'!$B$4,2)</f>
        <v>1249.16</v>
      </c>
      <c r="K212" s="32" t="n">
        <f aca="false">'Aturan &amp; Tarif'!$B$5</f>
        <v>2050</v>
      </c>
      <c r="L212" s="35" t="n">
        <f aca="false">I212+J212+K212</f>
        <v>4929.16</v>
      </c>
      <c r="M212" s="37" t="s">
        <v>3427</v>
      </c>
    </row>
    <row r="213" customFormat="false" ht="37.5" hidden="false" customHeight="true" outlineLevel="0" collapsed="false">
      <c r="A213" s="29"/>
      <c r="B213" s="30" t="s">
        <v>920</v>
      </c>
      <c r="C213" s="31" t="s">
        <v>709</v>
      </c>
      <c r="D213" s="31" t="s">
        <v>108</v>
      </c>
      <c r="E213" s="32" t="n">
        <v>1250</v>
      </c>
      <c r="F213" s="32" t="n">
        <v>120</v>
      </c>
      <c r="G213" s="32" t="n">
        <v>260</v>
      </c>
      <c r="H213" s="33" t="n">
        <v>1</v>
      </c>
      <c r="I213" s="34" t="n">
        <f aca="false">E213*H213+N(F213)+N(G213)</f>
        <v>1630</v>
      </c>
      <c r="J213" s="32" t="n">
        <f aca="false">ROUND(IFERROR(ROUND(IF(OR(ISNUMBER(SEARCH("week",C213)),ISNUMBER(SEARCH("minggu",C213))),IFERROR(_xlfn.NUMBERVALUE(SUBSTITUTE(LEFT(TRIM(C213),FIND(" ",TRIM(C213)&amp;" ")-1),",","."),"."),LEFT(SUBSTITUTE(LEFT(TRIM(C213),FIND(" ",TRIM(C213)&amp;" ")-1),",","."),FIND("/",SUBSTITUTE(LEFT(TRIM(C213),FIND(" ",TRIM(C213)&amp;" ")-1),",","."))-1)/MID(SUBSTITUTE(LEFT(TRIM(C213),FIND(" ",TRIM(C213)&amp;" ")-1),",","."),FIND("/",SUBSTITUTE(LEFT(TRIM(C213),FIND(" ",TRIM(C213)&amp;" ")-1),",","."))+1,9))*12/52,IF(ISNUMBER(SEARCH("month",C213)),IFERROR(_xlfn.NUMBERVALUE(SUBSTITUTE(LEFT(TRIM(C213),FIND(" ",TRIM(C213)&amp;" ")-1),",","."),"."),LEFT(SUBSTITUTE(LEFT(TRIM(C213),FIND(" ",TRIM(C213)&amp;" ")-1),",","."),FIND("/",SUBSTITUTE(LEFT(TRIM(C213),FIND(" ",TRIM(C213)&amp;" ")-1),",","."))-1)/MID(SUBSTITUTE(LEFT(TRIM(C213),FIND(" ",TRIM(C213)&amp;" ")-1),",","."),FIND("/",SUBSTITUTE(LEFT(TRIM(C213),FIND(" ",TRIM(C213)&amp;" ")-1),",","."))+1,9)),IF(ISNUMBER(SEARCH("yea",C213)),IFERROR(_xlfn.NUMBERVALUE(SUBSTITUTE(LEFT(TRIM(C213),FIND(" ",TRIM(C213)&amp;" ")-1),",","."),"."),LEFT(SUBSTITUTE(LEFT(TRIM(C213),FIND(" ",TRIM(C213)&amp;" ")-1),",","."),FIND("/",SUBSTITUTE(LEFT(TRIM(C213),FIND(" ",TRIM(C213)&amp;" ")-1),",","."))-1)/MID(SUBSTITUTE(LEFT(TRIM(C213),FIND(" ",TRIM(C213)&amp;" ")-1),",","."),FIND("/",SUBSTITUTE(LEFT(TRIM(C213),FIND(" ",TRIM(C213)&amp;" ")-1),",","."))+1,9))*12,NA()))),0),40)*'Aturan &amp; Tarif'!$B$4,2)</f>
        <v>2271.2</v>
      </c>
      <c r="K213" s="32" t="n">
        <f aca="false">'Aturan &amp; Tarif'!$B$5</f>
        <v>2050</v>
      </c>
      <c r="L213" s="35" t="n">
        <f aca="false">I213+J213+K213</f>
        <v>5951.2</v>
      </c>
      <c r="M213" s="36" t="s">
        <v>3428</v>
      </c>
    </row>
    <row r="214" customFormat="false" ht="14.25" hidden="false" customHeight="true" outlineLevel="0" collapsed="false">
      <c r="A214" s="29"/>
      <c r="B214" s="30" t="s">
        <v>3429</v>
      </c>
      <c r="C214" s="31" t="s">
        <v>486</v>
      </c>
      <c r="D214" s="31" t="s">
        <v>108</v>
      </c>
      <c r="E214" s="32" t="n">
        <v>1250</v>
      </c>
      <c r="F214" s="32" t="n">
        <v>200</v>
      </c>
      <c r="G214" s="32" t="n">
        <v>260</v>
      </c>
      <c r="H214" s="33" t="n">
        <v>1</v>
      </c>
      <c r="I214" s="34" t="n">
        <f aca="false">E214*H214+N(F214)+N(G214)</f>
        <v>1710</v>
      </c>
      <c r="J214" s="32" t="n">
        <f aca="false">ROUND(IFERROR(ROUND(IF(OR(ISNUMBER(SEARCH("week",C214)),ISNUMBER(SEARCH("minggu",C214))),IFERROR(_xlfn.NUMBERVALUE(SUBSTITUTE(LEFT(TRIM(C214),FIND(" ",TRIM(C214)&amp;" ")-1),",","."),"."),LEFT(SUBSTITUTE(LEFT(TRIM(C214),FIND(" ",TRIM(C214)&amp;" ")-1),",","."),FIND("/",SUBSTITUTE(LEFT(TRIM(C214),FIND(" ",TRIM(C214)&amp;" ")-1),",","."))-1)/MID(SUBSTITUTE(LEFT(TRIM(C214),FIND(" ",TRIM(C214)&amp;" ")-1),",","."),FIND("/",SUBSTITUTE(LEFT(TRIM(C214),FIND(" ",TRIM(C214)&amp;" ")-1),",","."))+1,9))*12/52,IF(ISNUMBER(SEARCH("month",C214)),IFERROR(_xlfn.NUMBERVALUE(SUBSTITUTE(LEFT(TRIM(C214),FIND(" ",TRIM(C214)&amp;" ")-1),",","."),"."),LEFT(SUBSTITUTE(LEFT(TRIM(C214),FIND(" ",TRIM(C214)&amp;" ")-1),",","."),FIND("/",SUBSTITUTE(LEFT(TRIM(C214),FIND(" ",TRIM(C214)&amp;" ")-1),",","."))-1)/MID(SUBSTITUTE(LEFT(TRIM(C214),FIND(" ",TRIM(C214)&amp;" ")-1),",","."),FIND("/",SUBSTITUTE(LEFT(TRIM(C214),FIND(" ",TRIM(C214)&amp;" ")-1),",","."))+1,9)),IF(ISNUMBER(SEARCH("yea",C214)),IFERROR(_xlfn.NUMBERVALUE(SUBSTITUTE(LEFT(TRIM(C214),FIND(" ",TRIM(C214)&amp;" ")-1),",","."),"."),LEFT(SUBSTITUTE(LEFT(TRIM(C214),FIND(" ",TRIM(C214)&amp;" ")-1),",","."),FIND("/",SUBSTITUTE(LEFT(TRIM(C214),FIND(" ",TRIM(C214)&amp;" ")-1),",","."))-1)/MID(SUBSTITUTE(LEFT(TRIM(C214),FIND(" ",TRIM(C214)&amp;" ")-1),",","."),FIND("/",SUBSTITUTE(LEFT(TRIM(C214),FIND(" ",TRIM(C214)&amp;" ")-1),",","."))+1,9))*12,NA()))),0),12)*'Aturan &amp; Tarif'!$B$4,2)</f>
        <v>681.36</v>
      </c>
      <c r="K214" s="32" t="n">
        <f aca="false">'Aturan &amp; Tarif'!$B$5</f>
        <v>2050</v>
      </c>
      <c r="L214" s="35" t="n">
        <f aca="false">I214+J214+K214</f>
        <v>4441.36</v>
      </c>
      <c r="M214" s="37" t="s">
        <v>923</v>
      </c>
    </row>
    <row r="215" customFormat="false" ht="25.5" hidden="false" customHeight="true" outlineLevel="0" collapsed="false">
      <c r="A215" s="29"/>
      <c r="B215" s="30" t="s">
        <v>711</v>
      </c>
      <c r="C215" s="31" t="s">
        <v>712</v>
      </c>
      <c r="D215" s="31" t="s">
        <v>108</v>
      </c>
      <c r="E215" s="32" t="n">
        <v>1600</v>
      </c>
      <c r="F215" s="32" t="n">
        <v>500</v>
      </c>
      <c r="G215" s="32" t="n">
        <v>260</v>
      </c>
      <c r="H215" s="33" t="n">
        <v>1</v>
      </c>
      <c r="I215" s="34" t="n">
        <f aca="false">E215*H215+N(F215)+N(G215)</f>
        <v>2360</v>
      </c>
      <c r="J215" s="32" t="n">
        <f aca="false">ROUND(IFERROR(ROUND(IF(OR(ISNUMBER(SEARCH("week",C215)),ISNUMBER(SEARCH("minggu",C215))),IFERROR(_xlfn.NUMBERVALUE(SUBSTITUTE(LEFT(TRIM(C215),FIND(" ",TRIM(C215)&amp;" ")-1),",","."),"."),LEFT(SUBSTITUTE(LEFT(TRIM(C215),FIND(" ",TRIM(C215)&amp;" ")-1),",","."),FIND("/",SUBSTITUTE(LEFT(TRIM(C215),FIND(" ",TRIM(C215)&amp;" ")-1),",","."))-1)/MID(SUBSTITUTE(LEFT(TRIM(C215),FIND(" ",TRIM(C215)&amp;" ")-1),",","."),FIND("/",SUBSTITUTE(LEFT(TRIM(C215),FIND(" ",TRIM(C215)&amp;" ")-1),",","."))+1,9))*12/52,IF(ISNUMBER(SEARCH("month",C215)),IFERROR(_xlfn.NUMBERVALUE(SUBSTITUTE(LEFT(TRIM(C215),FIND(" ",TRIM(C215)&amp;" ")-1),",","."),"."),LEFT(SUBSTITUTE(LEFT(TRIM(C215),FIND(" ",TRIM(C215)&amp;" ")-1),",","."),FIND("/",SUBSTITUTE(LEFT(TRIM(C215),FIND(" ",TRIM(C215)&amp;" ")-1),",","."))-1)/MID(SUBSTITUTE(LEFT(TRIM(C215),FIND(" ",TRIM(C215)&amp;" ")-1),",","."),FIND("/",SUBSTITUTE(LEFT(TRIM(C215),FIND(" ",TRIM(C215)&amp;" ")-1),",","."))+1,9)),IF(ISNUMBER(SEARCH("yea",C215)),IFERROR(_xlfn.NUMBERVALUE(SUBSTITUTE(LEFT(TRIM(C215),FIND(" ",TRIM(C215)&amp;" ")-1),",","."),"."),LEFT(SUBSTITUTE(LEFT(TRIM(C215),FIND(" ",TRIM(C215)&amp;" ")-1),",","."),FIND("/",SUBSTITUTE(LEFT(TRIM(C215),FIND(" ",TRIM(C215)&amp;" ")-1),",","."))-1)/MID(SUBSTITUTE(LEFT(TRIM(C215),FIND(" ",TRIM(C215)&amp;" ")-1),",","."),FIND("/",SUBSTITUTE(LEFT(TRIM(C215),FIND(" ",TRIM(C215)&amp;" ")-1),",","."))+1,9))*12,NA()))),0),30)*'Aturan &amp; Tarif'!$B$4,2)</f>
        <v>1703.4</v>
      </c>
      <c r="K215" s="32" t="n">
        <f aca="false">'Aturan &amp; Tarif'!$B$5</f>
        <v>2050</v>
      </c>
      <c r="L215" s="35" t="n">
        <f aca="false">I215+J215+K215</f>
        <v>6113.4</v>
      </c>
      <c r="M215" s="37" t="s">
        <v>3430</v>
      </c>
    </row>
    <row r="216" customFormat="false" ht="37.5" hidden="false" customHeight="true" outlineLevel="0" collapsed="false">
      <c r="A216" s="29"/>
      <c r="B216" s="30" t="s">
        <v>925</v>
      </c>
      <c r="C216" s="31" t="s">
        <v>715</v>
      </c>
      <c r="D216" s="31" t="s">
        <v>108</v>
      </c>
      <c r="E216" s="32" t="n">
        <v>1650</v>
      </c>
      <c r="F216" s="32" t="n">
        <v>1700</v>
      </c>
      <c r="G216" s="32" t="n">
        <v>260</v>
      </c>
      <c r="H216" s="33" t="n">
        <v>1</v>
      </c>
      <c r="I216" s="34" t="n">
        <f aca="false">E216*H216+N(F216)+N(G216)</f>
        <v>3610</v>
      </c>
      <c r="J216" s="32" t="n">
        <f aca="false">ROUND(IFERROR(ROUND(IF(OR(ISNUMBER(SEARCH("week",C216)),ISNUMBER(SEARCH("minggu",C216))),IFERROR(_xlfn.NUMBERVALUE(SUBSTITUTE(LEFT(TRIM(C216),FIND(" ",TRIM(C216)&amp;" ")-1),",","."),"."),LEFT(SUBSTITUTE(LEFT(TRIM(C216),FIND(" ",TRIM(C216)&amp;" ")-1),",","."),FIND("/",SUBSTITUTE(LEFT(TRIM(C216),FIND(" ",TRIM(C216)&amp;" ")-1),",","."))-1)/MID(SUBSTITUTE(LEFT(TRIM(C216),FIND(" ",TRIM(C216)&amp;" ")-1),",","."),FIND("/",SUBSTITUTE(LEFT(TRIM(C216),FIND(" ",TRIM(C216)&amp;" ")-1),",","."))+1,9))*12/52,IF(ISNUMBER(SEARCH("month",C216)),IFERROR(_xlfn.NUMBERVALUE(SUBSTITUTE(LEFT(TRIM(C216),FIND(" ",TRIM(C216)&amp;" ")-1),",","."),"."),LEFT(SUBSTITUTE(LEFT(TRIM(C216),FIND(" ",TRIM(C216)&amp;" ")-1),",","."),FIND("/",SUBSTITUTE(LEFT(TRIM(C216),FIND(" ",TRIM(C216)&amp;" ")-1),",","."))-1)/MID(SUBSTITUTE(LEFT(TRIM(C216),FIND(" ",TRIM(C216)&amp;" ")-1),",","."),FIND("/",SUBSTITUTE(LEFT(TRIM(C216),FIND(" ",TRIM(C216)&amp;" ")-1),",","."))+1,9)),IF(ISNUMBER(SEARCH("yea",C216)),IFERROR(_xlfn.NUMBERVALUE(SUBSTITUTE(LEFT(TRIM(C216),FIND(" ",TRIM(C216)&amp;" ")-1),",","."),"."),LEFT(SUBSTITUTE(LEFT(TRIM(C216),FIND(" ",TRIM(C216)&amp;" ")-1),",","."),FIND("/",SUBSTITUTE(LEFT(TRIM(C216),FIND(" ",TRIM(C216)&amp;" ")-1),",","."))-1)/MID(SUBSTITUTE(LEFT(TRIM(C216),FIND(" ",TRIM(C216)&amp;" ")-1),",","."),FIND("/",SUBSTITUTE(LEFT(TRIM(C216),FIND(" ",TRIM(C216)&amp;" ")-1),",","."))+1,9))*12,NA()))),0),25)*'Aturan &amp; Tarif'!$B$4,2)</f>
        <v>1419.5</v>
      </c>
      <c r="K216" s="32" t="n">
        <f aca="false">'Aturan &amp; Tarif'!$B$5</f>
        <v>2050</v>
      </c>
      <c r="L216" s="35" t="n">
        <f aca="false">I216+J216+K216</f>
        <v>7079.5</v>
      </c>
      <c r="M216" s="37" t="s">
        <v>3431</v>
      </c>
    </row>
    <row r="217" customFormat="false" ht="37.5" hidden="false" customHeight="true" outlineLevel="0" collapsed="false">
      <c r="A217" s="29"/>
      <c r="B217" s="30" t="s">
        <v>927</v>
      </c>
      <c r="C217" s="31" t="s">
        <v>718</v>
      </c>
      <c r="D217" s="31" t="s">
        <v>108</v>
      </c>
      <c r="E217" s="32" t="n">
        <v>1650</v>
      </c>
      <c r="F217" s="32" t="n">
        <v>1700</v>
      </c>
      <c r="G217" s="32" t="n">
        <v>260</v>
      </c>
      <c r="H217" s="33" t="n">
        <v>1</v>
      </c>
      <c r="I217" s="34" t="n">
        <f aca="false">E217*H217+N(F217)+N(G217)</f>
        <v>3610</v>
      </c>
      <c r="J217" s="32" t="n">
        <f aca="false">ROUND(IFERROR(ROUND(IF(OR(ISNUMBER(SEARCH("week",C217)),ISNUMBER(SEARCH("minggu",C217))),IFERROR(_xlfn.NUMBERVALUE(SUBSTITUTE(LEFT(TRIM(C217),FIND(" ",TRIM(C217)&amp;" ")-1),",","."),"."),LEFT(SUBSTITUTE(LEFT(TRIM(C217),FIND(" ",TRIM(C217)&amp;" ")-1),",","."),FIND("/",SUBSTITUTE(LEFT(TRIM(C217),FIND(" ",TRIM(C217)&amp;" ")-1),",","."))-1)/MID(SUBSTITUTE(LEFT(TRIM(C217),FIND(" ",TRIM(C217)&amp;" ")-1),",","."),FIND("/",SUBSTITUTE(LEFT(TRIM(C217),FIND(" ",TRIM(C217)&amp;" ")-1),",","."))+1,9))*12/52,IF(ISNUMBER(SEARCH("month",C217)),IFERROR(_xlfn.NUMBERVALUE(SUBSTITUTE(LEFT(TRIM(C217),FIND(" ",TRIM(C217)&amp;" ")-1),",","."),"."),LEFT(SUBSTITUTE(LEFT(TRIM(C217),FIND(" ",TRIM(C217)&amp;" ")-1),",","."),FIND("/",SUBSTITUTE(LEFT(TRIM(C217),FIND(" ",TRIM(C217)&amp;" ")-1),",","."))-1)/MID(SUBSTITUTE(LEFT(TRIM(C217),FIND(" ",TRIM(C217)&amp;" ")-1),",","."),FIND("/",SUBSTITUTE(LEFT(TRIM(C217),FIND(" ",TRIM(C217)&amp;" ")-1),",","."))+1,9)),IF(ISNUMBER(SEARCH("yea",C217)),IFERROR(_xlfn.NUMBERVALUE(SUBSTITUTE(LEFT(TRIM(C217),FIND(" ",TRIM(C217)&amp;" ")-1),",","."),"."),LEFT(SUBSTITUTE(LEFT(TRIM(C217),FIND(" ",TRIM(C217)&amp;" ")-1),",","."),FIND("/",SUBSTITUTE(LEFT(TRIM(C217),FIND(" ",TRIM(C217)&amp;" ")-1),",","."))-1)/MID(SUBSTITUTE(LEFT(TRIM(C217),FIND(" ",TRIM(C217)&amp;" ")-1),",","."),FIND("/",SUBSTITUTE(LEFT(TRIM(C217),FIND(" ",TRIM(C217)&amp;" ")-1),",","."))+1,9))*12,NA()))),0),33)*'Aturan &amp; Tarif'!$B$4,2)</f>
        <v>1873.74</v>
      </c>
      <c r="K217" s="32" t="n">
        <f aca="false">'Aturan &amp; Tarif'!$B$5</f>
        <v>2050</v>
      </c>
      <c r="L217" s="35" t="n">
        <f aca="false">I217+J217+K217</f>
        <v>7533.74</v>
      </c>
      <c r="M217" s="37" t="s">
        <v>3432</v>
      </c>
    </row>
    <row r="218" customFormat="false" ht="25.5" hidden="false" customHeight="true" outlineLevel="0" collapsed="false">
      <c r="A218" s="29"/>
      <c r="B218" s="30" t="s">
        <v>720</v>
      </c>
      <c r="C218" s="31" t="s">
        <v>721</v>
      </c>
      <c r="D218" s="31" t="s">
        <v>108</v>
      </c>
      <c r="E218" s="32" t="n">
        <v>1600</v>
      </c>
      <c r="F218" s="32" t="n">
        <v>500</v>
      </c>
      <c r="G218" s="32" t="n">
        <v>260</v>
      </c>
      <c r="H218" s="33" t="n">
        <v>1</v>
      </c>
      <c r="I218" s="34" t="n">
        <f aca="false">E218*H218+N(F218)+N(G218)</f>
        <v>2360</v>
      </c>
      <c r="J218" s="32" t="n">
        <f aca="false">ROUND(IFERROR(ROUND(IF(OR(ISNUMBER(SEARCH("week",C218)),ISNUMBER(SEARCH("minggu",C218))),IFERROR(_xlfn.NUMBERVALUE(SUBSTITUTE(LEFT(TRIM(C218),FIND(" ",TRIM(C218)&amp;" ")-1),",","."),"."),LEFT(SUBSTITUTE(LEFT(TRIM(C218),FIND(" ",TRIM(C218)&amp;" ")-1),",","."),FIND("/",SUBSTITUTE(LEFT(TRIM(C218),FIND(" ",TRIM(C218)&amp;" ")-1),",","."))-1)/MID(SUBSTITUTE(LEFT(TRIM(C218),FIND(" ",TRIM(C218)&amp;" ")-1),",","."),FIND("/",SUBSTITUTE(LEFT(TRIM(C218),FIND(" ",TRIM(C218)&amp;" ")-1),",","."))+1,9))*12/52,IF(ISNUMBER(SEARCH("month",C218)),IFERROR(_xlfn.NUMBERVALUE(SUBSTITUTE(LEFT(TRIM(C218),FIND(" ",TRIM(C218)&amp;" ")-1),",","."),"."),LEFT(SUBSTITUTE(LEFT(TRIM(C218),FIND(" ",TRIM(C218)&amp;" ")-1),",","."),FIND("/",SUBSTITUTE(LEFT(TRIM(C218),FIND(" ",TRIM(C218)&amp;" ")-1),",","."))-1)/MID(SUBSTITUTE(LEFT(TRIM(C218),FIND(" ",TRIM(C218)&amp;" ")-1),",","."),FIND("/",SUBSTITUTE(LEFT(TRIM(C218),FIND(" ",TRIM(C218)&amp;" ")-1),",","."))+1,9)),IF(ISNUMBER(SEARCH("yea",C218)),IFERROR(_xlfn.NUMBERVALUE(SUBSTITUTE(LEFT(TRIM(C218),FIND(" ",TRIM(C218)&amp;" ")-1),",","."),"."),LEFT(SUBSTITUTE(LEFT(TRIM(C218),FIND(" ",TRIM(C218)&amp;" ")-1),",","."),FIND("/",SUBSTITUTE(LEFT(TRIM(C218),FIND(" ",TRIM(C218)&amp;" ")-1),",","."))-1)/MID(SUBSTITUTE(LEFT(TRIM(C218),FIND(" ",TRIM(C218)&amp;" ")-1),",","."),FIND("/",SUBSTITUTE(LEFT(TRIM(C218),FIND(" ",TRIM(C218)&amp;" ")-1),",","."))+1,9))*12,NA()))),0),19)*'Aturan &amp; Tarif'!$B$4,2)</f>
        <v>1078.82</v>
      </c>
      <c r="K218" s="32" t="n">
        <f aca="false">'Aturan &amp; Tarif'!$B$5</f>
        <v>2050</v>
      </c>
      <c r="L218" s="35" t="n">
        <f aca="false">I218+J218+K218</f>
        <v>5488.82</v>
      </c>
      <c r="M218" s="37" t="s">
        <v>3433</v>
      </c>
    </row>
    <row r="219" customFormat="false" ht="48.75" hidden="false" customHeight="true" outlineLevel="0" collapsed="false">
      <c r="A219" s="29"/>
      <c r="B219" s="30" t="s">
        <v>930</v>
      </c>
      <c r="C219" s="31" t="s">
        <v>724</v>
      </c>
      <c r="D219" s="31" t="s">
        <v>108</v>
      </c>
      <c r="E219" s="32" t="n">
        <v>1600</v>
      </c>
      <c r="F219" s="32" t="n">
        <v>500</v>
      </c>
      <c r="G219" s="32" t="n">
        <v>260</v>
      </c>
      <c r="H219" s="33" t="n">
        <v>1</v>
      </c>
      <c r="I219" s="34" t="n">
        <f aca="false">E219*H219+N(F219)+N(G219)</f>
        <v>2360</v>
      </c>
      <c r="J219" s="32" t="n">
        <f aca="false">ROUND(IFERROR(ROUND(IF(OR(ISNUMBER(SEARCH("week",C219)),ISNUMBER(SEARCH("minggu",C219))),IFERROR(_xlfn.NUMBERVALUE(SUBSTITUTE(LEFT(TRIM(C219),FIND(" ",TRIM(C219)&amp;" ")-1),",","."),"."),LEFT(SUBSTITUTE(LEFT(TRIM(C219),FIND(" ",TRIM(C219)&amp;" ")-1),",","."),FIND("/",SUBSTITUTE(LEFT(TRIM(C219),FIND(" ",TRIM(C219)&amp;" ")-1),",","."))-1)/MID(SUBSTITUTE(LEFT(TRIM(C219),FIND(" ",TRIM(C219)&amp;" ")-1),",","."),FIND("/",SUBSTITUTE(LEFT(TRIM(C219),FIND(" ",TRIM(C219)&amp;" ")-1),",","."))+1,9))*12/52,IF(ISNUMBER(SEARCH("month",C219)),IFERROR(_xlfn.NUMBERVALUE(SUBSTITUTE(LEFT(TRIM(C219),FIND(" ",TRIM(C219)&amp;" ")-1),",","."),"."),LEFT(SUBSTITUTE(LEFT(TRIM(C219),FIND(" ",TRIM(C219)&amp;" ")-1),",","."),FIND("/",SUBSTITUTE(LEFT(TRIM(C219),FIND(" ",TRIM(C219)&amp;" ")-1),",","."))-1)/MID(SUBSTITUTE(LEFT(TRIM(C219),FIND(" ",TRIM(C219)&amp;" ")-1),",","."),FIND("/",SUBSTITUTE(LEFT(TRIM(C219),FIND(" ",TRIM(C219)&amp;" ")-1),",","."))+1,9)),IF(ISNUMBER(SEARCH("yea",C219)),IFERROR(_xlfn.NUMBERVALUE(SUBSTITUTE(LEFT(TRIM(C219),FIND(" ",TRIM(C219)&amp;" ")-1),",","."),"."),LEFT(SUBSTITUTE(LEFT(TRIM(C219),FIND(" ",TRIM(C219)&amp;" ")-1),",","."),FIND("/",SUBSTITUTE(LEFT(TRIM(C219),FIND(" ",TRIM(C219)&amp;" ")-1),",","."))-1)/MID(SUBSTITUTE(LEFT(TRIM(C219),FIND(" ",TRIM(C219)&amp;" ")-1),",","."),FIND("/",SUBSTITUTE(LEFT(TRIM(C219),FIND(" ",TRIM(C219)&amp;" ")-1),",","."))+1,9))*12,NA()))),0),37)*'Aturan &amp; Tarif'!$B$4,2)</f>
        <v>2100.86</v>
      </c>
      <c r="K219" s="32" t="n">
        <f aca="false">'Aturan &amp; Tarif'!$B$5</f>
        <v>2050</v>
      </c>
      <c r="L219" s="35" t="n">
        <f aca="false">I219+J219+K219</f>
        <v>6510.86</v>
      </c>
      <c r="M219" s="36" t="s">
        <v>3434</v>
      </c>
    </row>
    <row r="220" customFormat="false" ht="37.5" hidden="false" customHeight="true" outlineLevel="0" collapsed="false">
      <c r="A220" s="29"/>
      <c r="B220" s="30" t="s">
        <v>932</v>
      </c>
      <c r="C220" s="31" t="s">
        <v>107</v>
      </c>
      <c r="D220" s="31" t="s">
        <v>108</v>
      </c>
      <c r="E220" s="32" t="n">
        <v>1400</v>
      </c>
      <c r="F220" s="32" t="n">
        <v>500</v>
      </c>
      <c r="G220" s="32" t="n">
        <v>260</v>
      </c>
      <c r="H220" s="33" t="n">
        <v>1</v>
      </c>
      <c r="I220" s="34" t="n">
        <f aca="false">E220*H220+N(F220)+N(G220)</f>
        <v>2160</v>
      </c>
      <c r="J220" s="32" t="n">
        <f aca="false">ROUND(IFERROR(ROUND(IF(OR(ISNUMBER(SEARCH("week",C220)),ISNUMBER(SEARCH("minggu",C220))),IFERROR(_xlfn.NUMBERVALUE(SUBSTITUTE(LEFT(TRIM(C220),FIND(" ",TRIM(C220)&amp;" ")-1),",","."),"."),LEFT(SUBSTITUTE(LEFT(TRIM(C220),FIND(" ",TRIM(C220)&amp;" ")-1),",","."),FIND("/",SUBSTITUTE(LEFT(TRIM(C220),FIND(" ",TRIM(C220)&amp;" ")-1),",","."))-1)/MID(SUBSTITUTE(LEFT(TRIM(C220),FIND(" ",TRIM(C220)&amp;" ")-1),",","."),FIND("/",SUBSTITUTE(LEFT(TRIM(C220),FIND(" ",TRIM(C220)&amp;" ")-1),",","."))+1,9))*12/52,IF(ISNUMBER(SEARCH("month",C220)),IFERROR(_xlfn.NUMBERVALUE(SUBSTITUTE(LEFT(TRIM(C220),FIND(" ",TRIM(C220)&amp;" ")-1),",","."),"."),LEFT(SUBSTITUTE(LEFT(TRIM(C220),FIND(" ",TRIM(C220)&amp;" ")-1),",","."),FIND("/",SUBSTITUTE(LEFT(TRIM(C220),FIND(" ",TRIM(C220)&amp;" ")-1),",","."))-1)/MID(SUBSTITUTE(LEFT(TRIM(C220),FIND(" ",TRIM(C220)&amp;" ")-1),",","."),FIND("/",SUBSTITUTE(LEFT(TRIM(C220),FIND(" ",TRIM(C220)&amp;" ")-1),",","."))+1,9)),IF(ISNUMBER(SEARCH("yea",C220)),IFERROR(_xlfn.NUMBERVALUE(SUBSTITUTE(LEFT(TRIM(C220),FIND(" ",TRIM(C220)&amp;" ")-1),",","."),"."),LEFT(SUBSTITUTE(LEFT(TRIM(C220),FIND(" ",TRIM(C220)&amp;" ")-1),",","."),FIND("/",SUBSTITUTE(LEFT(TRIM(C220),FIND(" ",TRIM(C220)&amp;" ")-1),",","."))-1)/MID(SUBSTITUTE(LEFT(TRIM(C220),FIND(" ",TRIM(C220)&amp;" ")-1),",","."),FIND("/",SUBSTITUTE(LEFT(TRIM(C220),FIND(" ",TRIM(C220)&amp;" ")-1),",","."))+1,9))*12,NA()))),0),24)*'Aturan &amp; Tarif'!$B$4,2)</f>
        <v>1362.72</v>
      </c>
      <c r="K220" s="32" t="n">
        <f aca="false">'Aturan &amp; Tarif'!$B$5</f>
        <v>2050</v>
      </c>
      <c r="L220" s="35" t="n">
        <f aca="false">I220+J220+K220</f>
        <v>5572.72</v>
      </c>
      <c r="M220" s="36" t="s">
        <v>933</v>
      </c>
    </row>
    <row r="221" customFormat="false" ht="25.5" hidden="false" customHeight="true" outlineLevel="0" collapsed="false">
      <c r="A221" s="29"/>
      <c r="B221" s="30" t="s">
        <v>697</v>
      </c>
      <c r="C221" s="31" t="s">
        <v>107</v>
      </c>
      <c r="D221" s="31" t="s">
        <v>108</v>
      </c>
      <c r="E221" s="32" t="n">
        <v>1250</v>
      </c>
      <c r="F221" s="32" t="n">
        <v>120</v>
      </c>
      <c r="G221" s="32" t="n">
        <v>250</v>
      </c>
      <c r="H221" s="33" t="n">
        <v>1</v>
      </c>
      <c r="I221" s="34" t="n">
        <f aca="false">E221*H221+N(F221)+N(G221)</f>
        <v>1620</v>
      </c>
      <c r="J221" s="32" t="n">
        <f aca="false">ROUND(IFERROR(ROUND(IF(OR(ISNUMBER(SEARCH("week",C221)),ISNUMBER(SEARCH("minggu",C221))),IFERROR(_xlfn.NUMBERVALUE(SUBSTITUTE(LEFT(TRIM(C221),FIND(" ",TRIM(C221)&amp;" ")-1),",","."),"."),LEFT(SUBSTITUTE(LEFT(TRIM(C221),FIND(" ",TRIM(C221)&amp;" ")-1),",","."),FIND("/",SUBSTITUTE(LEFT(TRIM(C221),FIND(" ",TRIM(C221)&amp;" ")-1),",","."))-1)/MID(SUBSTITUTE(LEFT(TRIM(C221),FIND(" ",TRIM(C221)&amp;" ")-1),",","."),FIND("/",SUBSTITUTE(LEFT(TRIM(C221),FIND(" ",TRIM(C221)&amp;" ")-1),",","."))+1,9))*12/52,IF(ISNUMBER(SEARCH("month",C221)),IFERROR(_xlfn.NUMBERVALUE(SUBSTITUTE(LEFT(TRIM(C221),FIND(" ",TRIM(C221)&amp;" ")-1),",","."),"."),LEFT(SUBSTITUTE(LEFT(TRIM(C221),FIND(" ",TRIM(C221)&amp;" ")-1),",","."),FIND("/",SUBSTITUTE(LEFT(TRIM(C221),FIND(" ",TRIM(C221)&amp;" ")-1),",","."))-1)/MID(SUBSTITUTE(LEFT(TRIM(C221),FIND(" ",TRIM(C221)&amp;" ")-1),",","."),FIND("/",SUBSTITUTE(LEFT(TRIM(C221),FIND(" ",TRIM(C221)&amp;" ")-1),",","."))+1,9)),IF(ISNUMBER(SEARCH("yea",C221)),IFERROR(_xlfn.NUMBERVALUE(SUBSTITUTE(LEFT(TRIM(C221),FIND(" ",TRIM(C221)&amp;" ")-1),",","."),"."),LEFT(SUBSTITUTE(LEFT(TRIM(C221),FIND(" ",TRIM(C221)&amp;" ")-1),",","."),FIND("/",SUBSTITUTE(LEFT(TRIM(C221),FIND(" ",TRIM(C221)&amp;" ")-1),",","."))-1)/MID(SUBSTITUTE(LEFT(TRIM(C221),FIND(" ",TRIM(C221)&amp;" ")-1),",","."),FIND("/",SUBSTITUTE(LEFT(TRIM(C221),FIND(" ",TRIM(C221)&amp;" ")-1),",","."))+1,9))*12,NA()))),0),24)*'Aturan &amp; Tarif'!$B$4,2)</f>
        <v>1362.72</v>
      </c>
      <c r="K221" s="32" t="n">
        <f aca="false">'Aturan &amp; Tarif'!$B$5</f>
        <v>2050</v>
      </c>
      <c r="L221" s="35" t="n">
        <f aca="false">I221+J221+K221</f>
        <v>5032.72</v>
      </c>
      <c r="M221" s="37" t="s">
        <v>3435</v>
      </c>
    </row>
    <row r="222" customFormat="false" ht="48.75" hidden="false" customHeight="true" outlineLevel="0" collapsed="false">
      <c r="A222" s="29"/>
      <c r="B222" s="30" t="s">
        <v>699</v>
      </c>
      <c r="C222" s="31" t="s">
        <v>136</v>
      </c>
      <c r="D222" s="31" t="s">
        <v>108</v>
      </c>
      <c r="E222" s="32" t="n">
        <v>1250</v>
      </c>
      <c r="F222" s="32" t="n">
        <v>120</v>
      </c>
      <c r="G222" s="32" t="n">
        <v>250</v>
      </c>
      <c r="H222" s="33" t="n">
        <v>1</v>
      </c>
      <c r="I222" s="34" t="n">
        <f aca="false">E222*H222+N(F222)+N(G222)</f>
        <v>1620</v>
      </c>
      <c r="J222" s="32" t="n">
        <f aca="false">ROUND(IFERROR(ROUND(IF(OR(ISNUMBER(SEARCH("week",C222)),ISNUMBER(SEARCH("minggu",C222))),IFERROR(_xlfn.NUMBERVALUE(SUBSTITUTE(LEFT(TRIM(C222),FIND(" ",TRIM(C222)&amp;" ")-1),",","."),"."),LEFT(SUBSTITUTE(LEFT(TRIM(C222),FIND(" ",TRIM(C222)&amp;" ")-1),",","."),FIND("/",SUBSTITUTE(LEFT(TRIM(C222),FIND(" ",TRIM(C222)&amp;" ")-1),",","."))-1)/MID(SUBSTITUTE(LEFT(TRIM(C222),FIND(" ",TRIM(C222)&amp;" ")-1),",","."),FIND("/",SUBSTITUTE(LEFT(TRIM(C222),FIND(" ",TRIM(C222)&amp;" ")-1),",","."))+1,9))*12/52,IF(ISNUMBER(SEARCH("month",C222)),IFERROR(_xlfn.NUMBERVALUE(SUBSTITUTE(LEFT(TRIM(C222),FIND(" ",TRIM(C222)&amp;" ")-1),",","."),"."),LEFT(SUBSTITUTE(LEFT(TRIM(C222),FIND(" ",TRIM(C222)&amp;" ")-1),",","."),FIND("/",SUBSTITUTE(LEFT(TRIM(C222),FIND(" ",TRIM(C222)&amp;" ")-1),",","."))-1)/MID(SUBSTITUTE(LEFT(TRIM(C222),FIND(" ",TRIM(C222)&amp;" ")-1),",","."),FIND("/",SUBSTITUTE(LEFT(TRIM(C222),FIND(" ",TRIM(C222)&amp;" ")-1),",","."))+1,9)),IF(ISNUMBER(SEARCH("yea",C222)),IFERROR(_xlfn.NUMBERVALUE(SUBSTITUTE(LEFT(TRIM(C222),FIND(" ",TRIM(C222)&amp;" ")-1),",","."),"."),LEFT(SUBSTITUTE(LEFT(TRIM(C222),FIND(" ",TRIM(C222)&amp;" ")-1),",","."),FIND("/",SUBSTITUTE(LEFT(TRIM(C222),FIND(" ",TRIM(C222)&amp;" ")-1),",","."))-1)/MID(SUBSTITUTE(LEFT(TRIM(C222),FIND(" ",TRIM(C222)&amp;" ")-1),",","."),FIND("/",SUBSTITUTE(LEFT(TRIM(C222),FIND(" ",TRIM(C222)&amp;" ")-1),",","."))+1,9))*12,NA()))),0),42)*'Aturan &amp; Tarif'!$B$4,2)</f>
        <v>2384.76</v>
      </c>
      <c r="K222" s="32" t="n">
        <f aca="false">'Aturan &amp; Tarif'!$B$5</f>
        <v>2050</v>
      </c>
      <c r="L222" s="35" t="n">
        <f aca="false">I222+J222+K222</f>
        <v>6054.76</v>
      </c>
      <c r="M222" s="36" t="s">
        <v>3436</v>
      </c>
    </row>
    <row r="223" customFormat="false" ht="14.25" hidden="false" customHeight="true" outlineLevel="0" collapsed="false">
      <c r="A223" s="29"/>
      <c r="B223" s="30" t="s">
        <v>701</v>
      </c>
      <c r="C223" s="31" t="s">
        <v>107</v>
      </c>
      <c r="D223" s="31" t="s">
        <v>108</v>
      </c>
      <c r="E223" s="32" t="n">
        <v>1250</v>
      </c>
      <c r="F223" s="32" t="n">
        <v>120</v>
      </c>
      <c r="G223" s="32" t="n">
        <v>250</v>
      </c>
      <c r="H223" s="33" t="n">
        <v>1</v>
      </c>
      <c r="I223" s="34" t="n">
        <f aca="false">E223*H223+N(F223)+N(G223)</f>
        <v>1620</v>
      </c>
      <c r="J223" s="32" t="n">
        <f aca="false">ROUND(IFERROR(ROUND(IF(OR(ISNUMBER(SEARCH("week",C223)),ISNUMBER(SEARCH("minggu",C223))),IFERROR(_xlfn.NUMBERVALUE(SUBSTITUTE(LEFT(TRIM(C223),FIND(" ",TRIM(C223)&amp;" ")-1),",","."),"."),LEFT(SUBSTITUTE(LEFT(TRIM(C223),FIND(" ",TRIM(C223)&amp;" ")-1),",","."),FIND("/",SUBSTITUTE(LEFT(TRIM(C223),FIND(" ",TRIM(C223)&amp;" ")-1),",","."))-1)/MID(SUBSTITUTE(LEFT(TRIM(C223),FIND(" ",TRIM(C223)&amp;" ")-1),",","."),FIND("/",SUBSTITUTE(LEFT(TRIM(C223),FIND(" ",TRIM(C223)&amp;" ")-1),",","."))+1,9))*12/52,IF(ISNUMBER(SEARCH("month",C223)),IFERROR(_xlfn.NUMBERVALUE(SUBSTITUTE(LEFT(TRIM(C223),FIND(" ",TRIM(C223)&amp;" ")-1),",","."),"."),LEFT(SUBSTITUTE(LEFT(TRIM(C223),FIND(" ",TRIM(C223)&amp;" ")-1),",","."),FIND("/",SUBSTITUTE(LEFT(TRIM(C223),FIND(" ",TRIM(C223)&amp;" ")-1),",","."))-1)/MID(SUBSTITUTE(LEFT(TRIM(C223),FIND(" ",TRIM(C223)&amp;" ")-1),",","."),FIND("/",SUBSTITUTE(LEFT(TRIM(C223),FIND(" ",TRIM(C223)&amp;" ")-1),",","."))+1,9)),IF(ISNUMBER(SEARCH("yea",C223)),IFERROR(_xlfn.NUMBERVALUE(SUBSTITUTE(LEFT(TRIM(C223),FIND(" ",TRIM(C223)&amp;" ")-1),",","."),"."),LEFT(SUBSTITUTE(LEFT(TRIM(C223),FIND(" ",TRIM(C223)&amp;" ")-1),",","."),FIND("/",SUBSTITUTE(LEFT(TRIM(C223),FIND(" ",TRIM(C223)&amp;" ")-1),",","."))-1)/MID(SUBSTITUTE(LEFT(TRIM(C223),FIND(" ",TRIM(C223)&amp;" ")-1),",","."),FIND("/",SUBSTITUTE(LEFT(TRIM(C223),FIND(" ",TRIM(C223)&amp;" ")-1),",","."))+1,9))*12,NA()))),0),24)*'Aturan &amp; Tarif'!$B$4,2)</f>
        <v>1362.72</v>
      </c>
      <c r="K223" s="32" t="n">
        <f aca="false">'Aturan &amp; Tarif'!$B$5</f>
        <v>2050</v>
      </c>
      <c r="L223" s="35" t="n">
        <f aca="false">I223+J223+K223</f>
        <v>5032.72</v>
      </c>
      <c r="M223" s="37" t="s">
        <v>3437</v>
      </c>
    </row>
    <row r="224" customFormat="false" ht="37.5" hidden="false" customHeight="true" outlineLevel="0" collapsed="false">
      <c r="A224" s="29"/>
      <c r="B224" s="30" t="s">
        <v>703</v>
      </c>
      <c r="C224" s="31" t="s">
        <v>136</v>
      </c>
      <c r="D224" s="31" t="s">
        <v>108</v>
      </c>
      <c r="E224" s="32" t="n">
        <v>1250</v>
      </c>
      <c r="F224" s="32" t="n">
        <v>120</v>
      </c>
      <c r="G224" s="32" t="n">
        <v>250</v>
      </c>
      <c r="H224" s="33" t="n">
        <v>1</v>
      </c>
      <c r="I224" s="34" t="n">
        <f aca="false">E224*H224+N(F224)+N(G224)</f>
        <v>1620</v>
      </c>
      <c r="J224" s="32" t="n">
        <f aca="false">ROUND(IFERROR(ROUND(IF(OR(ISNUMBER(SEARCH("week",C224)),ISNUMBER(SEARCH("minggu",C224))),IFERROR(_xlfn.NUMBERVALUE(SUBSTITUTE(LEFT(TRIM(C224),FIND(" ",TRIM(C224)&amp;" ")-1),",","."),"."),LEFT(SUBSTITUTE(LEFT(TRIM(C224),FIND(" ",TRIM(C224)&amp;" ")-1),",","."),FIND("/",SUBSTITUTE(LEFT(TRIM(C224),FIND(" ",TRIM(C224)&amp;" ")-1),",","."))-1)/MID(SUBSTITUTE(LEFT(TRIM(C224),FIND(" ",TRIM(C224)&amp;" ")-1),",","."),FIND("/",SUBSTITUTE(LEFT(TRIM(C224),FIND(" ",TRIM(C224)&amp;" ")-1),",","."))+1,9))*12/52,IF(ISNUMBER(SEARCH("month",C224)),IFERROR(_xlfn.NUMBERVALUE(SUBSTITUTE(LEFT(TRIM(C224),FIND(" ",TRIM(C224)&amp;" ")-1),",","."),"."),LEFT(SUBSTITUTE(LEFT(TRIM(C224),FIND(" ",TRIM(C224)&amp;" ")-1),",","."),FIND("/",SUBSTITUTE(LEFT(TRIM(C224),FIND(" ",TRIM(C224)&amp;" ")-1),",","."))-1)/MID(SUBSTITUTE(LEFT(TRIM(C224),FIND(" ",TRIM(C224)&amp;" ")-1),",","."),FIND("/",SUBSTITUTE(LEFT(TRIM(C224),FIND(" ",TRIM(C224)&amp;" ")-1),",","."))+1,9)),IF(ISNUMBER(SEARCH("yea",C224)),IFERROR(_xlfn.NUMBERVALUE(SUBSTITUTE(LEFT(TRIM(C224),FIND(" ",TRIM(C224)&amp;" ")-1),",","."),"."),LEFT(SUBSTITUTE(LEFT(TRIM(C224),FIND(" ",TRIM(C224)&amp;" ")-1),",","."),FIND("/",SUBSTITUTE(LEFT(TRIM(C224),FIND(" ",TRIM(C224)&amp;" ")-1),",","."))-1)/MID(SUBSTITUTE(LEFT(TRIM(C224),FIND(" ",TRIM(C224)&amp;" ")-1),",","."),FIND("/",SUBSTITUTE(LEFT(TRIM(C224),FIND(" ",TRIM(C224)&amp;" ")-1),",","."))+1,9))*12,NA()))),0),42)*'Aturan &amp; Tarif'!$B$4,2)</f>
        <v>2384.76</v>
      </c>
      <c r="K224" s="32" t="n">
        <f aca="false">'Aturan &amp; Tarif'!$B$5</f>
        <v>2050</v>
      </c>
      <c r="L224" s="35" t="n">
        <f aca="false">I224+J224+K224</f>
        <v>6054.76</v>
      </c>
      <c r="M224" s="36" t="s">
        <v>3438</v>
      </c>
    </row>
    <row r="225" customFormat="false" ht="14.25" hidden="false" customHeight="true" outlineLevel="0" collapsed="false">
      <c r="A225" s="29"/>
      <c r="B225" s="30" t="s">
        <v>705</v>
      </c>
      <c r="C225" s="31" t="s">
        <v>706</v>
      </c>
      <c r="D225" s="31" t="s">
        <v>108</v>
      </c>
      <c r="E225" s="32" t="n">
        <v>1250</v>
      </c>
      <c r="F225" s="32" t="n">
        <v>120</v>
      </c>
      <c r="G225" s="32" t="n">
        <v>260</v>
      </c>
      <c r="H225" s="33" t="n">
        <v>1</v>
      </c>
      <c r="I225" s="34" t="n">
        <f aca="false">E225*H225+N(F225)+N(G225)</f>
        <v>1630</v>
      </c>
      <c r="J225" s="32" t="n">
        <f aca="false">ROUND(IFERROR(ROUND(IF(OR(ISNUMBER(SEARCH("week",C225)),ISNUMBER(SEARCH("minggu",C225))),IFERROR(_xlfn.NUMBERVALUE(SUBSTITUTE(LEFT(TRIM(C225),FIND(" ",TRIM(C225)&amp;" ")-1),",","."),"."),LEFT(SUBSTITUTE(LEFT(TRIM(C225),FIND(" ",TRIM(C225)&amp;" ")-1),",","."),FIND("/",SUBSTITUTE(LEFT(TRIM(C225),FIND(" ",TRIM(C225)&amp;" ")-1),",","."))-1)/MID(SUBSTITUTE(LEFT(TRIM(C225),FIND(" ",TRIM(C225)&amp;" ")-1),",","."),FIND("/",SUBSTITUTE(LEFT(TRIM(C225),FIND(" ",TRIM(C225)&amp;" ")-1),",","."))+1,9))*12/52,IF(ISNUMBER(SEARCH("month",C225)),IFERROR(_xlfn.NUMBERVALUE(SUBSTITUTE(LEFT(TRIM(C225),FIND(" ",TRIM(C225)&amp;" ")-1),",","."),"."),LEFT(SUBSTITUTE(LEFT(TRIM(C225),FIND(" ",TRIM(C225)&amp;" ")-1),",","."),FIND("/",SUBSTITUTE(LEFT(TRIM(C225),FIND(" ",TRIM(C225)&amp;" ")-1),",","."))-1)/MID(SUBSTITUTE(LEFT(TRIM(C225),FIND(" ",TRIM(C225)&amp;" ")-1),",","."),FIND("/",SUBSTITUTE(LEFT(TRIM(C225),FIND(" ",TRIM(C225)&amp;" ")-1),",","."))+1,9)),IF(ISNUMBER(SEARCH("yea",C225)),IFERROR(_xlfn.NUMBERVALUE(SUBSTITUTE(LEFT(TRIM(C225),FIND(" ",TRIM(C225)&amp;" ")-1),",","."),"."),LEFT(SUBSTITUTE(LEFT(TRIM(C225),FIND(" ",TRIM(C225)&amp;" ")-1),",","."),FIND("/",SUBSTITUTE(LEFT(TRIM(C225),FIND(" ",TRIM(C225)&amp;" ")-1),",","."))-1)/MID(SUBSTITUTE(LEFT(TRIM(C225),FIND(" ",TRIM(C225)&amp;" ")-1),",","."),FIND("/",SUBSTITUTE(LEFT(TRIM(C225),FIND(" ",TRIM(C225)&amp;" ")-1),",","."))+1,9))*12,NA()))),0),22)*'Aturan &amp; Tarif'!$B$4,2)</f>
        <v>1249.16</v>
      </c>
      <c r="K225" s="32" t="n">
        <f aca="false">'Aturan &amp; Tarif'!$B$5</f>
        <v>2050</v>
      </c>
      <c r="L225" s="35" t="n">
        <f aca="false">I225+J225+K225</f>
        <v>4929.16</v>
      </c>
      <c r="M225" s="37" t="s">
        <v>3439</v>
      </c>
    </row>
    <row r="226" customFormat="false" ht="25.5" hidden="false" customHeight="true" outlineLevel="0" collapsed="false">
      <c r="A226" s="29"/>
      <c r="B226" s="30" t="s">
        <v>496</v>
      </c>
      <c r="C226" s="31" t="s">
        <v>706</v>
      </c>
      <c r="D226" s="31" t="s">
        <v>108</v>
      </c>
      <c r="E226" s="32" t="n">
        <v>1250</v>
      </c>
      <c r="F226" s="32" t="n">
        <v>120</v>
      </c>
      <c r="G226" s="32" t="n">
        <v>260</v>
      </c>
      <c r="H226" s="33" t="n">
        <v>1</v>
      </c>
      <c r="I226" s="34" t="n">
        <f aca="false">E226*H226+N(F226)+N(G226)</f>
        <v>1630</v>
      </c>
      <c r="J226" s="32" t="n">
        <f aca="false">ROUND(IFERROR(ROUND(IF(OR(ISNUMBER(SEARCH("week",C226)),ISNUMBER(SEARCH("minggu",C226))),IFERROR(_xlfn.NUMBERVALUE(SUBSTITUTE(LEFT(TRIM(C226),FIND(" ",TRIM(C226)&amp;" ")-1),",","."),"."),LEFT(SUBSTITUTE(LEFT(TRIM(C226),FIND(" ",TRIM(C226)&amp;" ")-1),",","."),FIND("/",SUBSTITUTE(LEFT(TRIM(C226),FIND(" ",TRIM(C226)&amp;" ")-1),",","."))-1)/MID(SUBSTITUTE(LEFT(TRIM(C226),FIND(" ",TRIM(C226)&amp;" ")-1),",","."),FIND("/",SUBSTITUTE(LEFT(TRIM(C226),FIND(" ",TRIM(C226)&amp;" ")-1),",","."))+1,9))*12/52,IF(ISNUMBER(SEARCH("month",C226)),IFERROR(_xlfn.NUMBERVALUE(SUBSTITUTE(LEFT(TRIM(C226),FIND(" ",TRIM(C226)&amp;" ")-1),",","."),"."),LEFT(SUBSTITUTE(LEFT(TRIM(C226),FIND(" ",TRIM(C226)&amp;" ")-1),",","."),FIND("/",SUBSTITUTE(LEFT(TRIM(C226),FIND(" ",TRIM(C226)&amp;" ")-1),",","."))-1)/MID(SUBSTITUTE(LEFT(TRIM(C226),FIND(" ",TRIM(C226)&amp;" ")-1),",","."),FIND("/",SUBSTITUTE(LEFT(TRIM(C226),FIND(" ",TRIM(C226)&amp;" ")-1),",","."))+1,9)),IF(ISNUMBER(SEARCH("yea",C226)),IFERROR(_xlfn.NUMBERVALUE(SUBSTITUTE(LEFT(TRIM(C226),FIND(" ",TRIM(C226)&amp;" ")-1),",","."),"."),LEFT(SUBSTITUTE(LEFT(TRIM(C226),FIND(" ",TRIM(C226)&amp;" ")-1),",","."),FIND("/",SUBSTITUTE(LEFT(TRIM(C226),FIND(" ",TRIM(C226)&amp;" ")-1),",","."))-1)/MID(SUBSTITUTE(LEFT(TRIM(C226),FIND(" ",TRIM(C226)&amp;" ")-1),",","."),FIND("/",SUBSTITUTE(LEFT(TRIM(C226),FIND(" ",TRIM(C226)&amp;" ")-1),",","."))+1,9))*12,NA()))),0),22)*'Aturan &amp; Tarif'!$B$4,2)</f>
        <v>1249.16</v>
      </c>
      <c r="K226" s="32" t="n">
        <f aca="false">'Aturan &amp; Tarif'!$B$5</f>
        <v>2050</v>
      </c>
      <c r="L226" s="35" t="n">
        <f aca="false">I226+J226+K226</f>
        <v>4929.16</v>
      </c>
      <c r="M226" s="37" t="s">
        <v>3440</v>
      </c>
    </row>
    <row r="227" customFormat="false" ht="37.5" hidden="false" customHeight="true" outlineLevel="0" collapsed="false">
      <c r="A227" s="29"/>
      <c r="B227" s="30" t="s">
        <v>920</v>
      </c>
      <c r="C227" s="31" t="s">
        <v>709</v>
      </c>
      <c r="D227" s="31" t="s">
        <v>108</v>
      </c>
      <c r="E227" s="32" t="n">
        <v>1250</v>
      </c>
      <c r="F227" s="32" t="n">
        <v>120</v>
      </c>
      <c r="G227" s="32" t="n">
        <v>260</v>
      </c>
      <c r="H227" s="33" t="n">
        <v>1</v>
      </c>
      <c r="I227" s="34" t="n">
        <f aca="false">E227*H227+N(F227)+N(G227)</f>
        <v>1630</v>
      </c>
      <c r="J227" s="32" t="n">
        <f aca="false">ROUND(IFERROR(ROUND(IF(OR(ISNUMBER(SEARCH("week",C227)),ISNUMBER(SEARCH("minggu",C227))),IFERROR(_xlfn.NUMBERVALUE(SUBSTITUTE(LEFT(TRIM(C227),FIND(" ",TRIM(C227)&amp;" ")-1),",","."),"."),LEFT(SUBSTITUTE(LEFT(TRIM(C227),FIND(" ",TRIM(C227)&amp;" ")-1),",","."),FIND("/",SUBSTITUTE(LEFT(TRIM(C227),FIND(" ",TRIM(C227)&amp;" ")-1),",","."))-1)/MID(SUBSTITUTE(LEFT(TRIM(C227),FIND(" ",TRIM(C227)&amp;" ")-1),",","."),FIND("/",SUBSTITUTE(LEFT(TRIM(C227),FIND(" ",TRIM(C227)&amp;" ")-1),",","."))+1,9))*12/52,IF(ISNUMBER(SEARCH("month",C227)),IFERROR(_xlfn.NUMBERVALUE(SUBSTITUTE(LEFT(TRIM(C227),FIND(" ",TRIM(C227)&amp;" ")-1),",","."),"."),LEFT(SUBSTITUTE(LEFT(TRIM(C227),FIND(" ",TRIM(C227)&amp;" ")-1),",","."),FIND("/",SUBSTITUTE(LEFT(TRIM(C227),FIND(" ",TRIM(C227)&amp;" ")-1),",","."))-1)/MID(SUBSTITUTE(LEFT(TRIM(C227),FIND(" ",TRIM(C227)&amp;" ")-1),",","."),FIND("/",SUBSTITUTE(LEFT(TRIM(C227),FIND(" ",TRIM(C227)&amp;" ")-1),",","."))+1,9)),IF(ISNUMBER(SEARCH("yea",C227)),IFERROR(_xlfn.NUMBERVALUE(SUBSTITUTE(LEFT(TRIM(C227),FIND(" ",TRIM(C227)&amp;" ")-1),",","."),"."),LEFT(SUBSTITUTE(LEFT(TRIM(C227),FIND(" ",TRIM(C227)&amp;" ")-1),",","."),FIND("/",SUBSTITUTE(LEFT(TRIM(C227),FIND(" ",TRIM(C227)&amp;" ")-1),",","."))-1)/MID(SUBSTITUTE(LEFT(TRIM(C227),FIND(" ",TRIM(C227)&amp;" ")-1),",","."),FIND("/",SUBSTITUTE(LEFT(TRIM(C227),FIND(" ",TRIM(C227)&amp;" ")-1),",","."))+1,9))*12,NA()))),0),40)*'Aturan &amp; Tarif'!$B$4,2)</f>
        <v>2271.2</v>
      </c>
      <c r="K227" s="32" t="n">
        <f aca="false">'Aturan &amp; Tarif'!$B$5</f>
        <v>2050</v>
      </c>
      <c r="L227" s="35" t="n">
        <f aca="false">I227+J227+K227</f>
        <v>5951.2</v>
      </c>
      <c r="M227" s="36" t="s">
        <v>3441</v>
      </c>
    </row>
    <row r="228" customFormat="false" ht="25.5" hidden="false" customHeight="true" outlineLevel="0" collapsed="false">
      <c r="A228" s="29"/>
      <c r="B228" s="30" t="s">
        <v>3442</v>
      </c>
      <c r="C228" s="31" t="s">
        <v>107</v>
      </c>
      <c r="D228" s="31" t="s">
        <v>108</v>
      </c>
      <c r="E228" s="32" t="n">
        <v>1250</v>
      </c>
      <c r="F228" s="32" t="n">
        <v>200</v>
      </c>
      <c r="G228" s="32" t="n">
        <v>250</v>
      </c>
      <c r="H228" s="33" t="n">
        <v>1</v>
      </c>
      <c r="I228" s="34" t="n">
        <f aca="false">E228*H228+N(F228)+N(G228)</f>
        <v>1700</v>
      </c>
      <c r="J228" s="32" t="n">
        <f aca="false">ROUND(IFERROR(ROUND(IF(OR(ISNUMBER(SEARCH("week",C228)),ISNUMBER(SEARCH("minggu",C228))),IFERROR(_xlfn.NUMBERVALUE(SUBSTITUTE(LEFT(TRIM(C228),FIND(" ",TRIM(C228)&amp;" ")-1),",","."),"."),LEFT(SUBSTITUTE(LEFT(TRIM(C228),FIND(" ",TRIM(C228)&amp;" ")-1),",","."),FIND("/",SUBSTITUTE(LEFT(TRIM(C228),FIND(" ",TRIM(C228)&amp;" ")-1),",","."))-1)/MID(SUBSTITUTE(LEFT(TRIM(C228),FIND(" ",TRIM(C228)&amp;" ")-1),",","."),FIND("/",SUBSTITUTE(LEFT(TRIM(C228),FIND(" ",TRIM(C228)&amp;" ")-1),",","."))+1,9))*12/52,IF(ISNUMBER(SEARCH("month",C228)),IFERROR(_xlfn.NUMBERVALUE(SUBSTITUTE(LEFT(TRIM(C228),FIND(" ",TRIM(C228)&amp;" ")-1),",","."),"."),LEFT(SUBSTITUTE(LEFT(TRIM(C228),FIND(" ",TRIM(C228)&amp;" ")-1),",","."),FIND("/",SUBSTITUTE(LEFT(TRIM(C228),FIND(" ",TRIM(C228)&amp;" ")-1),",","."))-1)/MID(SUBSTITUTE(LEFT(TRIM(C228),FIND(" ",TRIM(C228)&amp;" ")-1),",","."),FIND("/",SUBSTITUTE(LEFT(TRIM(C228),FIND(" ",TRIM(C228)&amp;" ")-1),",","."))+1,9)),IF(ISNUMBER(SEARCH("yea",C228)),IFERROR(_xlfn.NUMBERVALUE(SUBSTITUTE(LEFT(TRIM(C228),FIND(" ",TRIM(C228)&amp;" ")-1),",","."),"."),LEFT(SUBSTITUTE(LEFT(TRIM(C228),FIND(" ",TRIM(C228)&amp;" ")-1),",","."),FIND("/",SUBSTITUTE(LEFT(TRIM(C228),FIND(" ",TRIM(C228)&amp;" ")-1),",","."))-1)/MID(SUBSTITUTE(LEFT(TRIM(C228),FIND(" ",TRIM(C228)&amp;" ")-1),",","."),FIND("/",SUBSTITUTE(LEFT(TRIM(C228),FIND(" ",TRIM(C228)&amp;" ")-1),",","."))+1,9))*12,NA()))),0),24)*'Aturan &amp; Tarif'!$B$4,2)</f>
        <v>1362.72</v>
      </c>
      <c r="K228" s="32" t="n">
        <f aca="false">'Aturan &amp; Tarif'!$B$5</f>
        <v>2050</v>
      </c>
      <c r="L228" s="35" t="n">
        <f aca="false">I228+J228+K228</f>
        <v>5112.72</v>
      </c>
      <c r="M228" s="36" t="s">
        <v>942</v>
      </c>
    </row>
    <row r="229" customFormat="false" ht="25.5" hidden="false" customHeight="true" outlineLevel="0" collapsed="false">
      <c r="A229" s="29"/>
      <c r="B229" s="30" t="s">
        <v>711</v>
      </c>
      <c r="C229" s="31" t="s">
        <v>712</v>
      </c>
      <c r="D229" s="31" t="s">
        <v>108</v>
      </c>
      <c r="E229" s="32" t="n">
        <v>1600</v>
      </c>
      <c r="F229" s="32" t="n">
        <v>500</v>
      </c>
      <c r="G229" s="32" t="n">
        <v>260</v>
      </c>
      <c r="H229" s="33" t="n">
        <v>1</v>
      </c>
      <c r="I229" s="34" t="n">
        <f aca="false">E229*H229+N(F229)+N(G229)</f>
        <v>2360</v>
      </c>
      <c r="J229" s="32" t="n">
        <f aca="false">ROUND(IFERROR(ROUND(IF(OR(ISNUMBER(SEARCH("week",C229)),ISNUMBER(SEARCH("minggu",C229))),IFERROR(_xlfn.NUMBERVALUE(SUBSTITUTE(LEFT(TRIM(C229),FIND(" ",TRIM(C229)&amp;" ")-1),",","."),"."),LEFT(SUBSTITUTE(LEFT(TRIM(C229),FIND(" ",TRIM(C229)&amp;" ")-1),",","."),FIND("/",SUBSTITUTE(LEFT(TRIM(C229),FIND(" ",TRIM(C229)&amp;" ")-1),",","."))-1)/MID(SUBSTITUTE(LEFT(TRIM(C229),FIND(" ",TRIM(C229)&amp;" ")-1),",","."),FIND("/",SUBSTITUTE(LEFT(TRIM(C229),FIND(" ",TRIM(C229)&amp;" ")-1),",","."))+1,9))*12/52,IF(ISNUMBER(SEARCH("month",C229)),IFERROR(_xlfn.NUMBERVALUE(SUBSTITUTE(LEFT(TRIM(C229),FIND(" ",TRIM(C229)&amp;" ")-1),",","."),"."),LEFT(SUBSTITUTE(LEFT(TRIM(C229),FIND(" ",TRIM(C229)&amp;" ")-1),",","."),FIND("/",SUBSTITUTE(LEFT(TRIM(C229),FIND(" ",TRIM(C229)&amp;" ")-1),",","."))-1)/MID(SUBSTITUTE(LEFT(TRIM(C229),FIND(" ",TRIM(C229)&amp;" ")-1),",","."),FIND("/",SUBSTITUTE(LEFT(TRIM(C229),FIND(" ",TRIM(C229)&amp;" ")-1),",","."))+1,9)),IF(ISNUMBER(SEARCH("yea",C229)),IFERROR(_xlfn.NUMBERVALUE(SUBSTITUTE(LEFT(TRIM(C229),FIND(" ",TRIM(C229)&amp;" ")-1),",","."),"."),LEFT(SUBSTITUTE(LEFT(TRIM(C229),FIND(" ",TRIM(C229)&amp;" ")-1),",","."),FIND("/",SUBSTITUTE(LEFT(TRIM(C229),FIND(" ",TRIM(C229)&amp;" ")-1),",","."))-1)/MID(SUBSTITUTE(LEFT(TRIM(C229),FIND(" ",TRIM(C229)&amp;" ")-1),",","."),FIND("/",SUBSTITUTE(LEFT(TRIM(C229),FIND(" ",TRIM(C229)&amp;" ")-1),",","."))+1,9))*12,NA()))),0),30)*'Aturan &amp; Tarif'!$B$4,2)</f>
        <v>1703.4</v>
      </c>
      <c r="K229" s="32" t="n">
        <f aca="false">'Aturan &amp; Tarif'!$B$5</f>
        <v>2050</v>
      </c>
      <c r="L229" s="35" t="n">
        <f aca="false">I229+J229+K229</f>
        <v>6113.4</v>
      </c>
      <c r="M229" s="37" t="s">
        <v>3443</v>
      </c>
    </row>
    <row r="230" customFormat="false" ht="37.5" hidden="false" customHeight="true" outlineLevel="0" collapsed="false">
      <c r="A230" s="29"/>
      <c r="B230" s="30" t="s">
        <v>925</v>
      </c>
      <c r="C230" s="31" t="s">
        <v>715</v>
      </c>
      <c r="D230" s="31" t="s">
        <v>108</v>
      </c>
      <c r="E230" s="32" t="n">
        <v>1650</v>
      </c>
      <c r="F230" s="32" t="n">
        <v>1700</v>
      </c>
      <c r="G230" s="32" t="n">
        <v>260</v>
      </c>
      <c r="H230" s="33" t="n">
        <v>1</v>
      </c>
      <c r="I230" s="34" t="n">
        <f aca="false">E230*H230+N(F230)+N(G230)</f>
        <v>3610</v>
      </c>
      <c r="J230" s="32" t="n">
        <f aca="false">ROUND(IFERROR(ROUND(IF(OR(ISNUMBER(SEARCH("week",C230)),ISNUMBER(SEARCH("minggu",C230))),IFERROR(_xlfn.NUMBERVALUE(SUBSTITUTE(LEFT(TRIM(C230),FIND(" ",TRIM(C230)&amp;" ")-1),",","."),"."),LEFT(SUBSTITUTE(LEFT(TRIM(C230),FIND(" ",TRIM(C230)&amp;" ")-1),",","."),FIND("/",SUBSTITUTE(LEFT(TRIM(C230),FIND(" ",TRIM(C230)&amp;" ")-1),",","."))-1)/MID(SUBSTITUTE(LEFT(TRIM(C230),FIND(" ",TRIM(C230)&amp;" ")-1),",","."),FIND("/",SUBSTITUTE(LEFT(TRIM(C230),FIND(" ",TRIM(C230)&amp;" ")-1),",","."))+1,9))*12/52,IF(ISNUMBER(SEARCH("month",C230)),IFERROR(_xlfn.NUMBERVALUE(SUBSTITUTE(LEFT(TRIM(C230),FIND(" ",TRIM(C230)&amp;" ")-1),",","."),"."),LEFT(SUBSTITUTE(LEFT(TRIM(C230),FIND(" ",TRIM(C230)&amp;" ")-1),",","."),FIND("/",SUBSTITUTE(LEFT(TRIM(C230),FIND(" ",TRIM(C230)&amp;" ")-1),",","."))-1)/MID(SUBSTITUTE(LEFT(TRIM(C230),FIND(" ",TRIM(C230)&amp;" ")-1),",","."),FIND("/",SUBSTITUTE(LEFT(TRIM(C230),FIND(" ",TRIM(C230)&amp;" ")-1),",","."))+1,9)),IF(ISNUMBER(SEARCH("yea",C230)),IFERROR(_xlfn.NUMBERVALUE(SUBSTITUTE(LEFT(TRIM(C230),FIND(" ",TRIM(C230)&amp;" ")-1),",","."),"."),LEFT(SUBSTITUTE(LEFT(TRIM(C230),FIND(" ",TRIM(C230)&amp;" ")-1),",","."),FIND("/",SUBSTITUTE(LEFT(TRIM(C230),FIND(" ",TRIM(C230)&amp;" ")-1),",","."))-1)/MID(SUBSTITUTE(LEFT(TRIM(C230),FIND(" ",TRIM(C230)&amp;" ")-1),",","."),FIND("/",SUBSTITUTE(LEFT(TRIM(C230),FIND(" ",TRIM(C230)&amp;" ")-1),",","."))+1,9))*12,NA()))),0),25)*'Aturan &amp; Tarif'!$B$4,2)</f>
        <v>1419.5</v>
      </c>
      <c r="K230" s="32" t="n">
        <f aca="false">'Aturan &amp; Tarif'!$B$5</f>
        <v>2050</v>
      </c>
      <c r="L230" s="35" t="n">
        <f aca="false">I230+J230+K230</f>
        <v>7079.5</v>
      </c>
      <c r="M230" s="37" t="s">
        <v>3444</v>
      </c>
    </row>
    <row r="231" customFormat="false" ht="37.5" hidden="false" customHeight="true" outlineLevel="0" collapsed="false">
      <c r="A231" s="29"/>
      <c r="B231" s="30" t="s">
        <v>927</v>
      </c>
      <c r="C231" s="31" t="s">
        <v>718</v>
      </c>
      <c r="D231" s="31" t="s">
        <v>108</v>
      </c>
      <c r="E231" s="32" t="n">
        <v>1650</v>
      </c>
      <c r="F231" s="32" t="n">
        <v>1700</v>
      </c>
      <c r="G231" s="32" t="n">
        <v>260</v>
      </c>
      <c r="H231" s="33" t="n">
        <v>1</v>
      </c>
      <c r="I231" s="34" t="n">
        <f aca="false">E231*H231+N(F231)+N(G231)</f>
        <v>3610</v>
      </c>
      <c r="J231" s="32" t="n">
        <f aca="false">ROUND(IFERROR(ROUND(IF(OR(ISNUMBER(SEARCH("week",C231)),ISNUMBER(SEARCH("minggu",C231))),IFERROR(_xlfn.NUMBERVALUE(SUBSTITUTE(LEFT(TRIM(C231),FIND(" ",TRIM(C231)&amp;" ")-1),",","."),"."),LEFT(SUBSTITUTE(LEFT(TRIM(C231),FIND(" ",TRIM(C231)&amp;" ")-1),",","."),FIND("/",SUBSTITUTE(LEFT(TRIM(C231),FIND(" ",TRIM(C231)&amp;" ")-1),",","."))-1)/MID(SUBSTITUTE(LEFT(TRIM(C231),FIND(" ",TRIM(C231)&amp;" ")-1),",","."),FIND("/",SUBSTITUTE(LEFT(TRIM(C231),FIND(" ",TRIM(C231)&amp;" ")-1),",","."))+1,9))*12/52,IF(ISNUMBER(SEARCH("month",C231)),IFERROR(_xlfn.NUMBERVALUE(SUBSTITUTE(LEFT(TRIM(C231),FIND(" ",TRIM(C231)&amp;" ")-1),",","."),"."),LEFT(SUBSTITUTE(LEFT(TRIM(C231),FIND(" ",TRIM(C231)&amp;" ")-1),",","."),FIND("/",SUBSTITUTE(LEFT(TRIM(C231),FIND(" ",TRIM(C231)&amp;" ")-1),",","."))-1)/MID(SUBSTITUTE(LEFT(TRIM(C231),FIND(" ",TRIM(C231)&amp;" ")-1),",","."),FIND("/",SUBSTITUTE(LEFT(TRIM(C231),FIND(" ",TRIM(C231)&amp;" ")-1),",","."))+1,9)),IF(ISNUMBER(SEARCH("yea",C231)),IFERROR(_xlfn.NUMBERVALUE(SUBSTITUTE(LEFT(TRIM(C231),FIND(" ",TRIM(C231)&amp;" ")-1),",","."),"."),LEFT(SUBSTITUTE(LEFT(TRIM(C231),FIND(" ",TRIM(C231)&amp;" ")-1),",","."),FIND("/",SUBSTITUTE(LEFT(TRIM(C231),FIND(" ",TRIM(C231)&amp;" ")-1),",","."))-1)/MID(SUBSTITUTE(LEFT(TRIM(C231),FIND(" ",TRIM(C231)&amp;" ")-1),",","."),FIND("/",SUBSTITUTE(LEFT(TRIM(C231),FIND(" ",TRIM(C231)&amp;" ")-1),",","."))+1,9))*12,NA()))),0),33)*'Aturan &amp; Tarif'!$B$4,2)</f>
        <v>1873.74</v>
      </c>
      <c r="K231" s="32" t="n">
        <f aca="false">'Aturan &amp; Tarif'!$B$5</f>
        <v>2050</v>
      </c>
      <c r="L231" s="35" t="n">
        <f aca="false">I231+J231+K231</f>
        <v>7533.74</v>
      </c>
      <c r="M231" s="37" t="s">
        <v>3445</v>
      </c>
    </row>
    <row r="232" customFormat="false" ht="25.5" hidden="false" customHeight="true" outlineLevel="0" collapsed="false">
      <c r="A232" s="29"/>
      <c r="B232" s="30" t="s">
        <v>720</v>
      </c>
      <c r="C232" s="31" t="s">
        <v>721</v>
      </c>
      <c r="D232" s="31" t="s">
        <v>108</v>
      </c>
      <c r="E232" s="32" t="n">
        <v>1600</v>
      </c>
      <c r="F232" s="32" t="n">
        <v>500</v>
      </c>
      <c r="G232" s="32" t="n">
        <v>260</v>
      </c>
      <c r="H232" s="33" t="n">
        <v>1</v>
      </c>
      <c r="I232" s="34" t="n">
        <f aca="false">E232*H232+N(F232)+N(G232)</f>
        <v>2360</v>
      </c>
      <c r="J232" s="32" t="n">
        <f aca="false">ROUND(IFERROR(ROUND(IF(OR(ISNUMBER(SEARCH("week",C232)),ISNUMBER(SEARCH("minggu",C232))),IFERROR(_xlfn.NUMBERVALUE(SUBSTITUTE(LEFT(TRIM(C232),FIND(" ",TRIM(C232)&amp;" ")-1),",","."),"."),LEFT(SUBSTITUTE(LEFT(TRIM(C232),FIND(" ",TRIM(C232)&amp;" ")-1),",","."),FIND("/",SUBSTITUTE(LEFT(TRIM(C232),FIND(" ",TRIM(C232)&amp;" ")-1),",","."))-1)/MID(SUBSTITUTE(LEFT(TRIM(C232),FIND(" ",TRIM(C232)&amp;" ")-1),",","."),FIND("/",SUBSTITUTE(LEFT(TRIM(C232),FIND(" ",TRIM(C232)&amp;" ")-1),",","."))+1,9))*12/52,IF(ISNUMBER(SEARCH("month",C232)),IFERROR(_xlfn.NUMBERVALUE(SUBSTITUTE(LEFT(TRIM(C232),FIND(" ",TRIM(C232)&amp;" ")-1),",","."),"."),LEFT(SUBSTITUTE(LEFT(TRIM(C232),FIND(" ",TRIM(C232)&amp;" ")-1),",","."),FIND("/",SUBSTITUTE(LEFT(TRIM(C232),FIND(" ",TRIM(C232)&amp;" ")-1),",","."))-1)/MID(SUBSTITUTE(LEFT(TRIM(C232),FIND(" ",TRIM(C232)&amp;" ")-1),",","."),FIND("/",SUBSTITUTE(LEFT(TRIM(C232),FIND(" ",TRIM(C232)&amp;" ")-1),",","."))+1,9)),IF(ISNUMBER(SEARCH("yea",C232)),IFERROR(_xlfn.NUMBERVALUE(SUBSTITUTE(LEFT(TRIM(C232),FIND(" ",TRIM(C232)&amp;" ")-1),",","."),"."),LEFT(SUBSTITUTE(LEFT(TRIM(C232),FIND(" ",TRIM(C232)&amp;" ")-1),",","."),FIND("/",SUBSTITUTE(LEFT(TRIM(C232),FIND(" ",TRIM(C232)&amp;" ")-1),",","."))-1)/MID(SUBSTITUTE(LEFT(TRIM(C232),FIND(" ",TRIM(C232)&amp;" ")-1),",","."),FIND("/",SUBSTITUTE(LEFT(TRIM(C232),FIND(" ",TRIM(C232)&amp;" ")-1),",","."))+1,9))*12,NA()))),0),19)*'Aturan &amp; Tarif'!$B$4,2)</f>
        <v>1078.82</v>
      </c>
      <c r="K232" s="32" t="n">
        <f aca="false">'Aturan &amp; Tarif'!$B$5</f>
        <v>2050</v>
      </c>
      <c r="L232" s="35" t="n">
        <f aca="false">I232+J232+K232</f>
        <v>5488.82</v>
      </c>
      <c r="M232" s="37" t="s">
        <v>3446</v>
      </c>
    </row>
    <row r="233" customFormat="false" ht="48.75" hidden="false" customHeight="true" outlineLevel="0" collapsed="false">
      <c r="A233" s="29"/>
      <c r="B233" s="30" t="s">
        <v>930</v>
      </c>
      <c r="C233" s="31" t="s">
        <v>724</v>
      </c>
      <c r="D233" s="31" t="s">
        <v>108</v>
      </c>
      <c r="E233" s="32" t="n">
        <v>1600</v>
      </c>
      <c r="F233" s="32" t="n">
        <v>500</v>
      </c>
      <c r="G233" s="32" t="n">
        <v>260</v>
      </c>
      <c r="H233" s="33" t="n">
        <v>1</v>
      </c>
      <c r="I233" s="34" t="n">
        <f aca="false">E233*H233+N(F233)+N(G233)</f>
        <v>2360</v>
      </c>
      <c r="J233" s="32" t="n">
        <f aca="false">ROUND(IFERROR(ROUND(IF(OR(ISNUMBER(SEARCH("week",C233)),ISNUMBER(SEARCH("minggu",C233))),IFERROR(_xlfn.NUMBERVALUE(SUBSTITUTE(LEFT(TRIM(C233),FIND(" ",TRIM(C233)&amp;" ")-1),",","."),"."),LEFT(SUBSTITUTE(LEFT(TRIM(C233),FIND(" ",TRIM(C233)&amp;" ")-1),",","."),FIND("/",SUBSTITUTE(LEFT(TRIM(C233),FIND(" ",TRIM(C233)&amp;" ")-1),",","."))-1)/MID(SUBSTITUTE(LEFT(TRIM(C233),FIND(" ",TRIM(C233)&amp;" ")-1),",","."),FIND("/",SUBSTITUTE(LEFT(TRIM(C233),FIND(" ",TRIM(C233)&amp;" ")-1),",","."))+1,9))*12/52,IF(ISNUMBER(SEARCH("month",C233)),IFERROR(_xlfn.NUMBERVALUE(SUBSTITUTE(LEFT(TRIM(C233),FIND(" ",TRIM(C233)&amp;" ")-1),",","."),"."),LEFT(SUBSTITUTE(LEFT(TRIM(C233),FIND(" ",TRIM(C233)&amp;" ")-1),",","."),FIND("/",SUBSTITUTE(LEFT(TRIM(C233),FIND(" ",TRIM(C233)&amp;" ")-1),",","."))-1)/MID(SUBSTITUTE(LEFT(TRIM(C233),FIND(" ",TRIM(C233)&amp;" ")-1),",","."),FIND("/",SUBSTITUTE(LEFT(TRIM(C233),FIND(" ",TRIM(C233)&amp;" ")-1),",","."))+1,9)),IF(ISNUMBER(SEARCH("yea",C233)),IFERROR(_xlfn.NUMBERVALUE(SUBSTITUTE(LEFT(TRIM(C233),FIND(" ",TRIM(C233)&amp;" ")-1),",","."),"."),LEFT(SUBSTITUTE(LEFT(TRIM(C233),FIND(" ",TRIM(C233)&amp;" ")-1),",","."),FIND("/",SUBSTITUTE(LEFT(TRIM(C233),FIND(" ",TRIM(C233)&amp;" ")-1),",","."))-1)/MID(SUBSTITUTE(LEFT(TRIM(C233),FIND(" ",TRIM(C233)&amp;" ")-1),",","."),FIND("/",SUBSTITUTE(LEFT(TRIM(C233),FIND(" ",TRIM(C233)&amp;" ")-1),",","."))+1,9))*12,NA()))),0),37)*'Aturan &amp; Tarif'!$B$4,2)</f>
        <v>2100.86</v>
      </c>
      <c r="K233" s="32" t="n">
        <f aca="false">'Aturan &amp; Tarif'!$B$5</f>
        <v>2050</v>
      </c>
      <c r="L233" s="35" t="n">
        <f aca="false">I233+J233+K233</f>
        <v>6510.86</v>
      </c>
      <c r="M233" s="36" t="s">
        <v>3447</v>
      </c>
    </row>
    <row r="234" customFormat="false" ht="25.5" hidden="false" customHeight="true" outlineLevel="0" collapsed="false">
      <c r="A234" s="29"/>
      <c r="B234" s="30" t="s">
        <v>2840</v>
      </c>
      <c r="C234" s="31" t="s">
        <v>107</v>
      </c>
      <c r="D234" s="31" t="s">
        <v>108</v>
      </c>
      <c r="E234" s="32" t="n">
        <v>1250</v>
      </c>
      <c r="F234" s="32" t="n">
        <v>200</v>
      </c>
      <c r="G234" s="32" t="n">
        <v>250</v>
      </c>
      <c r="H234" s="33" t="n">
        <v>1</v>
      </c>
      <c r="I234" s="34" t="n">
        <f aca="false">E234*H234+N(F234)+N(G234)</f>
        <v>1700</v>
      </c>
      <c r="J234" s="32" t="n">
        <f aca="false">ROUND(IFERROR(ROUND(IF(OR(ISNUMBER(SEARCH("week",C234)),ISNUMBER(SEARCH("minggu",C234))),IFERROR(_xlfn.NUMBERVALUE(SUBSTITUTE(LEFT(TRIM(C234),FIND(" ",TRIM(C234)&amp;" ")-1),",","."),"."),LEFT(SUBSTITUTE(LEFT(TRIM(C234),FIND(" ",TRIM(C234)&amp;" ")-1),",","."),FIND("/",SUBSTITUTE(LEFT(TRIM(C234),FIND(" ",TRIM(C234)&amp;" ")-1),",","."))-1)/MID(SUBSTITUTE(LEFT(TRIM(C234),FIND(" ",TRIM(C234)&amp;" ")-1),",","."),FIND("/",SUBSTITUTE(LEFT(TRIM(C234),FIND(" ",TRIM(C234)&amp;" ")-1),",","."))+1,9))*12/52,IF(ISNUMBER(SEARCH("month",C234)),IFERROR(_xlfn.NUMBERVALUE(SUBSTITUTE(LEFT(TRIM(C234),FIND(" ",TRIM(C234)&amp;" ")-1),",","."),"."),LEFT(SUBSTITUTE(LEFT(TRIM(C234),FIND(" ",TRIM(C234)&amp;" ")-1),",","."),FIND("/",SUBSTITUTE(LEFT(TRIM(C234),FIND(" ",TRIM(C234)&amp;" ")-1),",","."))-1)/MID(SUBSTITUTE(LEFT(TRIM(C234),FIND(" ",TRIM(C234)&amp;" ")-1),",","."),FIND("/",SUBSTITUTE(LEFT(TRIM(C234),FIND(" ",TRIM(C234)&amp;" ")-1),",","."))+1,9)),IF(ISNUMBER(SEARCH("yea",C234)),IFERROR(_xlfn.NUMBERVALUE(SUBSTITUTE(LEFT(TRIM(C234),FIND(" ",TRIM(C234)&amp;" ")-1),",","."),"."),LEFT(SUBSTITUTE(LEFT(TRIM(C234),FIND(" ",TRIM(C234)&amp;" ")-1),",","."),FIND("/",SUBSTITUTE(LEFT(TRIM(C234),FIND(" ",TRIM(C234)&amp;" ")-1),",","."))-1)/MID(SUBSTITUTE(LEFT(TRIM(C234),FIND(" ",TRIM(C234)&amp;" ")-1),",","."),FIND("/",SUBSTITUTE(LEFT(TRIM(C234),FIND(" ",TRIM(C234)&amp;" ")-1),",","."))+1,9))*12,NA()))),0),24)*'Aturan &amp; Tarif'!$B$4,2)</f>
        <v>1362.72</v>
      </c>
      <c r="K234" s="32" t="n">
        <f aca="false">'Aturan &amp; Tarif'!$B$5</f>
        <v>2050</v>
      </c>
      <c r="L234" s="35" t="n">
        <f aca="false">I234+J234+K234</f>
        <v>5112.72</v>
      </c>
      <c r="M234" s="36" t="s">
        <v>942</v>
      </c>
    </row>
    <row r="235" customFormat="false" ht="60" hidden="false" customHeight="true" outlineLevel="0" collapsed="false">
      <c r="A235" s="46" t="s">
        <v>949</v>
      </c>
      <c r="B235" s="30" t="s">
        <v>727</v>
      </c>
      <c r="C235" s="31" t="s">
        <v>127</v>
      </c>
      <c r="D235" s="31" t="s">
        <v>108</v>
      </c>
      <c r="E235" s="32" t="n">
        <v>4025</v>
      </c>
      <c r="F235" s="32" t="n">
        <v>200</v>
      </c>
      <c r="G235" s="32" t="n">
        <v>250</v>
      </c>
      <c r="H235" s="33" t="n">
        <v>2</v>
      </c>
      <c r="I235" s="34" t="n">
        <f aca="false">E235*H235+N(F235)+N(G235)</f>
        <v>8500</v>
      </c>
      <c r="J235" s="32" t="n">
        <f aca="false">ROUND(IFERROR(ROUND(IF(OR(ISNUMBER(SEARCH("week",C235)),ISNUMBER(SEARCH("minggu",C235))),IFERROR(_xlfn.NUMBERVALUE(SUBSTITUTE(LEFT(TRIM(C235),FIND(" ",TRIM(C235)&amp;" ")-1),",","."),"."),LEFT(SUBSTITUTE(LEFT(TRIM(C235),FIND(" ",TRIM(C235)&amp;" ")-1),",","."),FIND("/",SUBSTITUTE(LEFT(TRIM(C235),FIND(" ",TRIM(C235)&amp;" ")-1),",","."))-1)/MID(SUBSTITUTE(LEFT(TRIM(C235),FIND(" ",TRIM(C235)&amp;" ")-1),",","."),FIND("/",SUBSTITUTE(LEFT(TRIM(C235),FIND(" ",TRIM(C235)&amp;" ")-1),",","."))+1,9))*12/52,IF(ISNUMBER(SEARCH("month",C235)),IFERROR(_xlfn.NUMBERVALUE(SUBSTITUTE(LEFT(TRIM(C235),FIND(" ",TRIM(C235)&amp;" ")-1),",","."),"."),LEFT(SUBSTITUTE(LEFT(TRIM(C235),FIND(" ",TRIM(C235)&amp;" ")-1),",","."),FIND("/",SUBSTITUTE(LEFT(TRIM(C235),FIND(" ",TRIM(C235)&amp;" ")-1),",","."))-1)/MID(SUBSTITUTE(LEFT(TRIM(C235),FIND(" ",TRIM(C235)&amp;" ")-1),",","."),FIND("/",SUBSTITUTE(LEFT(TRIM(C235),FIND(" ",TRIM(C235)&amp;" ")-1),",","."))+1,9)),IF(ISNUMBER(SEARCH("yea",C235)),IFERROR(_xlfn.NUMBERVALUE(SUBSTITUTE(LEFT(TRIM(C235),FIND(" ",TRIM(C235)&amp;" ")-1),",","."),"."),LEFT(SUBSTITUTE(LEFT(TRIM(C235),FIND(" ",TRIM(C235)&amp;" ")-1),",","."),FIND("/",SUBSTITUTE(LEFT(TRIM(C235),FIND(" ",TRIM(C235)&amp;" ")-1),",","."))-1)/MID(SUBSTITUTE(LEFT(TRIM(C235),FIND(" ",TRIM(C235)&amp;" ")-1),",","."),FIND("/",SUBSTITUTE(LEFT(TRIM(C235),FIND(" ",TRIM(C235)&amp;" ")-1),",","."))+1,9))*12,NA()))),0),36)*'Aturan &amp; Tarif'!$B$4,2)</f>
        <v>2044.08</v>
      </c>
      <c r="K235" s="32" t="n">
        <f aca="false">'Aturan &amp; Tarif'!$B$5</f>
        <v>2050</v>
      </c>
      <c r="L235" s="35" t="n">
        <f aca="false">I235+J235+K235</f>
        <v>12594.08</v>
      </c>
      <c r="M235" s="36" t="s">
        <v>950</v>
      </c>
    </row>
    <row r="236" customFormat="false" ht="60" hidden="false" customHeight="true" outlineLevel="0" collapsed="false">
      <c r="A236" s="29"/>
      <c r="B236" s="30" t="s">
        <v>729</v>
      </c>
      <c r="C236" s="31" t="s">
        <v>127</v>
      </c>
      <c r="D236" s="31" t="s">
        <v>108</v>
      </c>
      <c r="E236" s="32" t="n">
        <v>4025</v>
      </c>
      <c r="F236" s="32" t="n">
        <v>200</v>
      </c>
      <c r="G236" s="32" t="n">
        <v>250</v>
      </c>
      <c r="H236" s="33" t="n">
        <v>2</v>
      </c>
      <c r="I236" s="34" t="n">
        <f aca="false">E236*H236+N(F236)+N(G236)</f>
        <v>8500</v>
      </c>
      <c r="J236" s="32" t="n">
        <f aca="false">ROUND(IFERROR(ROUND(IF(OR(ISNUMBER(SEARCH("week",C236)),ISNUMBER(SEARCH("minggu",C236))),IFERROR(_xlfn.NUMBERVALUE(SUBSTITUTE(LEFT(TRIM(C236),FIND(" ",TRIM(C236)&amp;" ")-1),",","."),"."),LEFT(SUBSTITUTE(LEFT(TRIM(C236),FIND(" ",TRIM(C236)&amp;" ")-1),",","."),FIND("/",SUBSTITUTE(LEFT(TRIM(C236),FIND(" ",TRIM(C236)&amp;" ")-1),",","."))-1)/MID(SUBSTITUTE(LEFT(TRIM(C236),FIND(" ",TRIM(C236)&amp;" ")-1),",","."),FIND("/",SUBSTITUTE(LEFT(TRIM(C236),FIND(" ",TRIM(C236)&amp;" ")-1),",","."))+1,9))*12/52,IF(ISNUMBER(SEARCH("month",C236)),IFERROR(_xlfn.NUMBERVALUE(SUBSTITUTE(LEFT(TRIM(C236),FIND(" ",TRIM(C236)&amp;" ")-1),",","."),"."),LEFT(SUBSTITUTE(LEFT(TRIM(C236),FIND(" ",TRIM(C236)&amp;" ")-1),",","."),FIND("/",SUBSTITUTE(LEFT(TRIM(C236),FIND(" ",TRIM(C236)&amp;" ")-1),",","."))-1)/MID(SUBSTITUTE(LEFT(TRIM(C236),FIND(" ",TRIM(C236)&amp;" ")-1),",","."),FIND("/",SUBSTITUTE(LEFT(TRIM(C236),FIND(" ",TRIM(C236)&amp;" ")-1),",","."))+1,9)),IF(ISNUMBER(SEARCH("yea",C236)),IFERROR(_xlfn.NUMBERVALUE(SUBSTITUTE(LEFT(TRIM(C236),FIND(" ",TRIM(C236)&amp;" ")-1),",","."),"."),LEFT(SUBSTITUTE(LEFT(TRIM(C236),FIND(" ",TRIM(C236)&amp;" ")-1),",","."),FIND("/",SUBSTITUTE(LEFT(TRIM(C236),FIND(" ",TRIM(C236)&amp;" ")-1),",","."))-1)/MID(SUBSTITUTE(LEFT(TRIM(C236),FIND(" ",TRIM(C236)&amp;" ")-1),",","."),FIND("/",SUBSTITUTE(LEFT(TRIM(C236),FIND(" ",TRIM(C236)&amp;" ")-1),",","."))+1,9))*12,NA()))),0),36)*'Aturan &amp; Tarif'!$B$4,2)</f>
        <v>2044.08</v>
      </c>
      <c r="K236" s="32" t="n">
        <f aca="false">'Aturan &amp; Tarif'!$B$5</f>
        <v>2050</v>
      </c>
      <c r="L236" s="35" t="n">
        <f aca="false">I236+J236+K236</f>
        <v>12594.08</v>
      </c>
      <c r="M236" s="36" t="s">
        <v>950</v>
      </c>
    </row>
    <row r="237" customFormat="false" ht="60" hidden="false" customHeight="true" outlineLevel="0" collapsed="false">
      <c r="A237" s="29"/>
      <c r="B237" s="30" t="s">
        <v>730</v>
      </c>
      <c r="C237" s="31" t="s">
        <v>127</v>
      </c>
      <c r="D237" s="31" t="s">
        <v>108</v>
      </c>
      <c r="E237" s="32" t="n">
        <v>4025</v>
      </c>
      <c r="F237" s="32" t="n">
        <v>200</v>
      </c>
      <c r="G237" s="32" t="n">
        <v>250</v>
      </c>
      <c r="H237" s="33" t="n">
        <v>2</v>
      </c>
      <c r="I237" s="34" t="n">
        <f aca="false">E237*H237+N(F237)+N(G237)</f>
        <v>8500</v>
      </c>
      <c r="J237" s="32" t="n">
        <f aca="false">ROUND(IFERROR(ROUND(IF(OR(ISNUMBER(SEARCH("week",C237)),ISNUMBER(SEARCH("minggu",C237))),IFERROR(_xlfn.NUMBERVALUE(SUBSTITUTE(LEFT(TRIM(C237),FIND(" ",TRIM(C237)&amp;" ")-1),",","."),"."),LEFT(SUBSTITUTE(LEFT(TRIM(C237),FIND(" ",TRIM(C237)&amp;" ")-1),",","."),FIND("/",SUBSTITUTE(LEFT(TRIM(C237),FIND(" ",TRIM(C237)&amp;" ")-1),",","."))-1)/MID(SUBSTITUTE(LEFT(TRIM(C237),FIND(" ",TRIM(C237)&amp;" ")-1),",","."),FIND("/",SUBSTITUTE(LEFT(TRIM(C237),FIND(" ",TRIM(C237)&amp;" ")-1),",","."))+1,9))*12/52,IF(ISNUMBER(SEARCH("month",C237)),IFERROR(_xlfn.NUMBERVALUE(SUBSTITUTE(LEFT(TRIM(C237),FIND(" ",TRIM(C237)&amp;" ")-1),",","."),"."),LEFT(SUBSTITUTE(LEFT(TRIM(C237),FIND(" ",TRIM(C237)&amp;" ")-1),",","."),FIND("/",SUBSTITUTE(LEFT(TRIM(C237),FIND(" ",TRIM(C237)&amp;" ")-1),",","."))-1)/MID(SUBSTITUTE(LEFT(TRIM(C237),FIND(" ",TRIM(C237)&amp;" ")-1),",","."),FIND("/",SUBSTITUTE(LEFT(TRIM(C237),FIND(" ",TRIM(C237)&amp;" ")-1),",","."))+1,9)),IF(ISNUMBER(SEARCH("yea",C237)),IFERROR(_xlfn.NUMBERVALUE(SUBSTITUTE(LEFT(TRIM(C237),FIND(" ",TRIM(C237)&amp;" ")-1),",","."),"."),LEFT(SUBSTITUTE(LEFT(TRIM(C237),FIND(" ",TRIM(C237)&amp;" ")-1),",","."),FIND("/",SUBSTITUTE(LEFT(TRIM(C237),FIND(" ",TRIM(C237)&amp;" ")-1),",","."))-1)/MID(SUBSTITUTE(LEFT(TRIM(C237),FIND(" ",TRIM(C237)&amp;" ")-1),",","."),FIND("/",SUBSTITUTE(LEFT(TRIM(C237),FIND(" ",TRIM(C237)&amp;" ")-1),",","."))+1,9))*12,NA()))),0),36)*'Aturan &amp; Tarif'!$B$4,2)</f>
        <v>2044.08</v>
      </c>
      <c r="K237" s="32" t="n">
        <f aca="false">'Aturan &amp; Tarif'!$B$5</f>
        <v>2050</v>
      </c>
      <c r="L237" s="35" t="n">
        <f aca="false">I237+J237+K237</f>
        <v>12594.08</v>
      </c>
      <c r="M237" s="36" t="s">
        <v>950</v>
      </c>
    </row>
    <row r="238" customFormat="false" ht="60" hidden="false" customHeight="true" outlineLevel="0" collapsed="false">
      <c r="A238" s="29" t="s">
        <v>3448</v>
      </c>
      <c r="B238" s="30" t="s">
        <v>952</v>
      </c>
      <c r="C238" s="31" t="s">
        <v>107</v>
      </c>
      <c r="D238" s="31" t="s">
        <v>108</v>
      </c>
      <c r="E238" s="32" t="n">
        <v>1535</v>
      </c>
      <c r="F238" s="32" t="n">
        <v>2500</v>
      </c>
      <c r="G238" s="32" t="n">
        <v>350</v>
      </c>
      <c r="H238" s="33" t="n">
        <v>1</v>
      </c>
      <c r="I238" s="34" t="n">
        <f aca="false">E238*H238+N(F238)+N(G238)</f>
        <v>4385</v>
      </c>
      <c r="J238" s="32" t="n">
        <f aca="false">ROUND(IFERROR(ROUND(IF(OR(ISNUMBER(SEARCH("week",C238)),ISNUMBER(SEARCH("minggu",C238))),IFERROR(_xlfn.NUMBERVALUE(SUBSTITUTE(LEFT(TRIM(C238),FIND(" ",TRIM(C238)&amp;" ")-1),",","."),"."),LEFT(SUBSTITUTE(LEFT(TRIM(C238),FIND(" ",TRIM(C238)&amp;" ")-1),",","."),FIND("/",SUBSTITUTE(LEFT(TRIM(C238),FIND(" ",TRIM(C238)&amp;" ")-1),",","."))-1)/MID(SUBSTITUTE(LEFT(TRIM(C238),FIND(" ",TRIM(C238)&amp;" ")-1),",","."),FIND("/",SUBSTITUTE(LEFT(TRIM(C238),FIND(" ",TRIM(C238)&amp;" ")-1),",","."))+1,9))*12/52,IF(ISNUMBER(SEARCH("month",C238)),IFERROR(_xlfn.NUMBERVALUE(SUBSTITUTE(LEFT(TRIM(C238),FIND(" ",TRIM(C238)&amp;" ")-1),",","."),"."),LEFT(SUBSTITUTE(LEFT(TRIM(C238),FIND(" ",TRIM(C238)&amp;" ")-1),",","."),FIND("/",SUBSTITUTE(LEFT(TRIM(C238),FIND(" ",TRIM(C238)&amp;" ")-1),",","."))-1)/MID(SUBSTITUTE(LEFT(TRIM(C238),FIND(" ",TRIM(C238)&amp;" ")-1),",","."),FIND("/",SUBSTITUTE(LEFT(TRIM(C238),FIND(" ",TRIM(C238)&amp;" ")-1),",","."))+1,9)),IF(ISNUMBER(SEARCH("yea",C238)),IFERROR(_xlfn.NUMBERVALUE(SUBSTITUTE(LEFT(TRIM(C238),FIND(" ",TRIM(C238)&amp;" ")-1),",","."),"."),LEFT(SUBSTITUTE(LEFT(TRIM(C238),FIND(" ",TRIM(C238)&amp;" ")-1),",","."),FIND("/",SUBSTITUTE(LEFT(TRIM(C238),FIND(" ",TRIM(C238)&amp;" ")-1),",","."))-1)/MID(SUBSTITUTE(LEFT(TRIM(C238),FIND(" ",TRIM(C238)&amp;" ")-1),",","."),FIND("/",SUBSTITUTE(LEFT(TRIM(C238),FIND(" ",TRIM(C238)&amp;" ")-1),",","."))+1,9))*12,NA()))),0),24)*'Aturan &amp; Tarif'!$B$4,2)</f>
        <v>1362.72</v>
      </c>
      <c r="K238" s="32" t="n">
        <f aca="false">'Aturan &amp; Tarif'!$B$5</f>
        <v>2050</v>
      </c>
      <c r="L238" s="35" t="n">
        <f aca="false">I238+J238+K238</f>
        <v>7797.72</v>
      </c>
      <c r="M238" s="36" t="s">
        <v>131</v>
      </c>
    </row>
    <row r="239" customFormat="false" ht="48.75" hidden="false" customHeight="true" outlineLevel="0" collapsed="false">
      <c r="A239" s="29"/>
      <c r="B239" s="30" t="s">
        <v>953</v>
      </c>
      <c r="C239" s="31" t="s">
        <v>138</v>
      </c>
      <c r="D239" s="31" t="s">
        <v>108</v>
      </c>
      <c r="E239" s="32" t="n">
        <v>1535</v>
      </c>
      <c r="F239" s="32" t="n">
        <v>2500</v>
      </c>
      <c r="G239" s="32" t="n">
        <v>350</v>
      </c>
      <c r="H239" s="33" t="n">
        <v>1</v>
      </c>
      <c r="I239" s="34" t="n">
        <f aca="false">E239*H239+N(F239)+N(G239)</f>
        <v>4385</v>
      </c>
      <c r="J239" s="32" t="n">
        <f aca="false">ROUND(IFERROR(ROUND(IF(OR(ISNUMBER(SEARCH("week",C239)),ISNUMBER(SEARCH("minggu",C239))),IFERROR(_xlfn.NUMBERVALUE(SUBSTITUTE(LEFT(TRIM(C239),FIND(" ",TRIM(C239)&amp;" ")-1),",","."),"."),LEFT(SUBSTITUTE(LEFT(TRIM(C239),FIND(" ",TRIM(C239)&amp;" ")-1),",","."),FIND("/",SUBSTITUTE(LEFT(TRIM(C239),FIND(" ",TRIM(C239)&amp;" ")-1),",","."))-1)/MID(SUBSTITUTE(LEFT(TRIM(C239),FIND(" ",TRIM(C239)&amp;" ")-1),",","."),FIND("/",SUBSTITUTE(LEFT(TRIM(C239),FIND(" ",TRIM(C239)&amp;" ")-1),",","."))+1,9))*12/52,IF(ISNUMBER(SEARCH("month",C239)),IFERROR(_xlfn.NUMBERVALUE(SUBSTITUTE(LEFT(TRIM(C239),FIND(" ",TRIM(C239)&amp;" ")-1),",","."),"."),LEFT(SUBSTITUTE(LEFT(TRIM(C239),FIND(" ",TRIM(C239)&amp;" ")-1),",","."),FIND("/",SUBSTITUTE(LEFT(TRIM(C239),FIND(" ",TRIM(C239)&amp;" ")-1),",","."))-1)/MID(SUBSTITUTE(LEFT(TRIM(C239),FIND(" ",TRIM(C239)&amp;" ")-1),",","."),FIND("/",SUBSTITUTE(LEFT(TRIM(C239),FIND(" ",TRIM(C239)&amp;" ")-1),",","."))+1,9)),IF(ISNUMBER(SEARCH("yea",C239)),IFERROR(_xlfn.NUMBERVALUE(SUBSTITUTE(LEFT(TRIM(C239),FIND(" ",TRIM(C239)&amp;" ")-1),",","."),"."),LEFT(SUBSTITUTE(LEFT(TRIM(C239),FIND(" ",TRIM(C239)&amp;" ")-1),",","."),FIND("/",SUBSTITUTE(LEFT(TRIM(C239),FIND(" ",TRIM(C239)&amp;" ")-1),",","."))-1)/MID(SUBSTITUTE(LEFT(TRIM(C239),FIND(" ",TRIM(C239)&amp;" ")-1),",","."),FIND("/",SUBSTITUTE(LEFT(TRIM(C239),FIND(" ",TRIM(C239)&amp;" ")-1),",","."))+1,9))*12,NA()))),0),30)*'Aturan &amp; Tarif'!$B$4,2)</f>
        <v>1703.4</v>
      </c>
      <c r="K239" s="32" t="n">
        <f aca="false">'Aturan &amp; Tarif'!$B$5</f>
        <v>2050</v>
      </c>
      <c r="L239" s="35" t="n">
        <f aca="false">I239+J239+K239</f>
        <v>8138.4</v>
      </c>
      <c r="M239" s="36" t="s">
        <v>131</v>
      </c>
    </row>
    <row r="240" customFormat="false" ht="37.5" hidden="false" customHeight="true" outlineLevel="0" collapsed="false">
      <c r="A240" s="29"/>
      <c r="B240" s="30" t="s">
        <v>960</v>
      </c>
      <c r="C240" s="31" t="s">
        <v>107</v>
      </c>
      <c r="D240" s="31" t="s">
        <v>108</v>
      </c>
      <c r="E240" s="32" t="n">
        <v>2285</v>
      </c>
      <c r="F240" s="32" t="n">
        <v>4000</v>
      </c>
      <c r="G240" s="32" t="n">
        <v>350</v>
      </c>
      <c r="H240" s="33" t="n">
        <v>1</v>
      </c>
      <c r="I240" s="34" t="n">
        <f aca="false">E240*H240+N(F240)+N(G240)</f>
        <v>6635</v>
      </c>
      <c r="J240" s="32" t="n">
        <f aca="false">ROUND(IFERROR(ROUND(IF(OR(ISNUMBER(SEARCH("week",C240)),ISNUMBER(SEARCH("minggu",C240))),IFERROR(_xlfn.NUMBERVALUE(SUBSTITUTE(LEFT(TRIM(C240),FIND(" ",TRIM(C240)&amp;" ")-1),",","."),"."),LEFT(SUBSTITUTE(LEFT(TRIM(C240),FIND(" ",TRIM(C240)&amp;" ")-1),",","."),FIND("/",SUBSTITUTE(LEFT(TRIM(C240),FIND(" ",TRIM(C240)&amp;" ")-1),",","."))-1)/MID(SUBSTITUTE(LEFT(TRIM(C240),FIND(" ",TRIM(C240)&amp;" ")-1),",","."),FIND("/",SUBSTITUTE(LEFT(TRIM(C240),FIND(" ",TRIM(C240)&amp;" ")-1),",","."))+1,9))*12/52,IF(ISNUMBER(SEARCH("month",C240)),IFERROR(_xlfn.NUMBERVALUE(SUBSTITUTE(LEFT(TRIM(C240),FIND(" ",TRIM(C240)&amp;" ")-1),",","."),"."),LEFT(SUBSTITUTE(LEFT(TRIM(C240),FIND(" ",TRIM(C240)&amp;" ")-1),",","."),FIND("/",SUBSTITUTE(LEFT(TRIM(C240),FIND(" ",TRIM(C240)&amp;" ")-1),",","."))-1)/MID(SUBSTITUTE(LEFT(TRIM(C240),FIND(" ",TRIM(C240)&amp;" ")-1),",","."),FIND("/",SUBSTITUTE(LEFT(TRIM(C240),FIND(" ",TRIM(C240)&amp;" ")-1),",","."))+1,9)),IF(ISNUMBER(SEARCH("yea",C240)),IFERROR(_xlfn.NUMBERVALUE(SUBSTITUTE(LEFT(TRIM(C240),FIND(" ",TRIM(C240)&amp;" ")-1),",","."),"."),LEFT(SUBSTITUTE(LEFT(TRIM(C240),FIND(" ",TRIM(C240)&amp;" ")-1),",","."),FIND("/",SUBSTITUTE(LEFT(TRIM(C240),FIND(" ",TRIM(C240)&amp;" ")-1),",","."))-1)/MID(SUBSTITUTE(LEFT(TRIM(C240),FIND(" ",TRIM(C240)&amp;" ")-1),",","."),FIND("/",SUBSTITUTE(LEFT(TRIM(C240),FIND(" ",TRIM(C240)&amp;" ")-1),",","."))+1,9))*12,NA()))),0),24)*'Aturan &amp; Tarif'!$B$4,2)</f>
        <v>1362.72</v>
      </c>
      <c r="K240" s="32" t="n">
        <f aca="false">'Aturan &amp; Tarif'!$B$5</f>
        <v>2050</v>
      </c>
      <c r="L240" s="35" t="n">
        <f aca="false">I240+J240+K240</f>
        <v>10047.72</v>
      </c>
      <c r="M240" s="36" t="s">
        <v>131</v>
      </c>
    </row>
    <row r="241" customFormat="false" ht="48.75" hidden="false" customHeight="true" outlineLevel="0" collapsed="false">
      <c r="A241" s="29"/>
      <c r="B241" s="30" t="s">
        <v>3449</v>
      </c>
      <c r="C241" s="31" t="s">
        <v>136</v>
      </c>
      <c r="D241" s="31" t="s">
        <v>108</v>
      </c>
      <c r="E241" s="32" t="n">
        <v>1535</v>
      </c>
      <c r="F241" s="32" t="n">
        <v>4000</v>
      </c>
      <c r="G241" s="32" t="n">
        <v>350</v>
      </c>
      <c r="H241" s="33" t="n">
        <v>1</v>
      </c>
      <c r="I241" s="34" t="n">
        <f aca="false">E241*H241+N(F241)+N(G241)</f>
        <v>5885</v>
      </c>
      <c r="J241" s="32" t="n">
        <f aca="false">ROUND(IFERROR(ROUND(IF(OR(ISNUMBER(SEARCH("week",C241)),ISNUMBER(SEARCH("minggu",C241))),IFERROR(_xlfn.NUMBERVALUE(SUBSTITUTE(LEFT(TRIM(C241),FIND(" ",TRIM(C241)&amp;" ")-1),",","."),"."),LEFT(SUBSTITUTE(LEFT(TRIM(C241),FIND(" ",TRIM(C241)&amp;" ")-1),",","."),FIND("/",SUBSTITUTE(LEFT(TRIM(C241),FIND(" ",TRIM(C241)&amp;" ")-1),",","."))-1)/MID(SUBSTITUTE(LEFT(TRIM(C241),FIND(" ",TRIM(C241)&amp;" ")-1),",","."),FIND("/",SUBSTITUTE(LEFT(TRIM(C241),FIND(" ",TRIM(C241)&amp;" ")-1),",","."))+1,9))*12/52,IF(ISNUMBER(SEARCH("month",C241)),IFERROR(_xlfn.NUMBERVALUE(SUBSTITUTE(LEFT(TRIM(C241),FIND(" ",TRIM(C241)&amp;" ")-1),",","."),"."),LEFT(SUBSTITUTE(LEFT(TRIM(C241),FIND(" ",TRIM(C241)&amp;" ")-1),",","."),FIND("/",SUBSTITUTE(LEFT(TRIM(C241),FIND(" ",TRIM(C241)&amp;" ")-1),",","."))-1)/MID(SUBSTITUTE(LEFT(TRIM(C241),FIND(" ",TRIM(C241)&amp;" ")-1),",","."),FIND("/",SUBSTITUTE(LEFT(TRIM(C241),FIND(" ",TRIM(C241)&amp;" ")-1),",","."))+1,9)),IF(ISNUMBER(SEARCH("yea",C241)),IFERROR(_xlfn.NUMBERVALUE(SUBSTITUTE(LEFT(TRIM(C241),FIND(" ",TRIM(C241)&amp;" ")-1),",","."),"."),LEFT(SUBSTITUTE(LEFT(TRIM(C241),FIND(" ",TRIM(C241)&amp;" ")-1),",","."),FIND("/",SUBSTITUTE(LEFT(TRIM(C241),FIND(" ",TRIM(C241)&amp;" ")-1),",","."))-1)/MID(SUBSTITUTE(LEFT(TRIM(C241),FIND(" ",TRIM(C241)&amp;" ")-1),",","."),FIND("/",SUBSTITUTE(LEFT(TRIM(C241),FIND(" ",TRIM(C241)&amp;" ")-1),",","."))+1,9))*12,NA()))),0),42)*'Aturan &amp; Tarif'!$B$4,2)</f>
        <v>2384.76</v>
      </c>
      <c r="K241" s="32" t="n">
        <f aca="false">'Aturan &amp; Tarif'!$B$5</f>
        <v>2050</v>
      </c>
      <c r="L241" s="35" t="n">
        <f aca="false">I241+J241+K241</f>
        <v>10319.76</v>
      </c>
      <c r="M241" s="36" t="s">
        <v>131</v>
      </c>
    </row>
    <row r="242" customFormat="false" ht="48.75" hidden="false" customHeight="true" outlineLevel="0" collapsed="false">
      <c r="A242" s="29"/>
      <c r="B242" s="30" t="s">
        <v>3450</v>
      </c>
      <c r="C242" s="31" t="s">
        <v>107</v>
      </c>
      <c r="D242" s="31" t="s">
        <v>108</v>
      </c>
      <c r="E242" s="32" t="n">
        <v>2625</v>
      </c>
      <c r="F242" s="32" t="n">
        <v>1150</v>
      </c>
      <c r="G242" s="32" t="n">
        <v>350</v>
      </c>
      <c r="H242" s="33" t="n">
        <v>1</v>
      </c>
      <c r="I242" s="34" t="n">
        <f aca="false">E242*H242+N(F242)+N(G242)</f>
        <v>4125</v>
      </c>
      <c r="J242" s="32" t="n">
        <f aca="false">ROUND(IFERROR(ROUND(IF(OR(ISNUMBER(SEARCH("week",C242)),ISNUMBER(SEARCH("minggu",C242))),IFERROR(_xlfn.NUMBERVALUE(SUBSTITUTE(LEFT(TRIM(C242),FIND(" ",TRIM(C242)&amp;" ")-1),",","."),"."),LEFT(SUBSTITUTE(LEFT(TRIM(C242),FIND(" ",TRIM(C242)&amp;" ")-1),",","."),FIND("/",SUBSTITUTE(LEFT(TRIM(C242),FIND(" ",TRIM(C242)&amp;" ")-1),",","."))-1)/MID(SUBSTITUTE(LEFT(TRIM(C242),FIND(" ",TRIM(C242)&amp;" ")-1),",","."),FIND("/",SUBSTITUTE(LEFT(TRIM(C242),FIND(" ",TRIM(C242)&amp;" ")-1),",","."))+1,9))*12/52,IF(ISNUMBER(SEARCH("month",C242)),IFERROR(_xlfn.NUMBERVALUE(SUBSTITUTE(LEFT(TRIM(C242),FIND(" ",TRIM(C242)&amp;" ")-1),",","."),"."),LEFT(SUBSTITUTE(LEFT(TRIM(C242),FIND(" ",TRIM(C242)&amp;" ")-1),",","."),FIND("/",SUBSTITUTE(LEFT(TRIM(C242),FIND(" ",TRIM(C242)&amp;" ")-1),",","."))-1)/MID(SUBSTITUTE(LEFT(TRIM(C242),FIND(" ",TRIM(C242)&amp;" ")-1),",","."),FIND("/",SUBSTITUTE(LEFT(TRIM(C242),FIND(" ",TRIM(C242)&amp;" ")-1),",","."))+1,9)),IF(ISNUMBER(SEARCH("yea",C242)),IFERROR(_xlfn.NUMBERVALUE(SUBSTITUTE(LEFT(TRIM(C242),FIND(" ",TRIM(C242)&amp;" ")-1),",","."),"."),LEFT(SUBSTITUTE(LEFT(TRIM(C242),FIND(" ",TRIM(C242)&amp;" ")-1),",","."),FIND("/",SUBSTITUTE(LEFT(TRIM(C242),FIND(" ",TRIM(C242)&amp;" ")-1),",","."))-1)/MID(SUBSTITUTE(LEFT(TRIM(C242),FIND(" ",TRIM(C242)&amp;" ")-1),",","."),FIND("/",SUBSTITUTE(LEFT(TRIM(C242),FIND(" ",TRIM(C242)&amp;" ")-1),",","."))+1,9))*12,NA()))),0),24)*'Aturan &amp; Tarif'!$B$4,2)</f>
        <v>1362.72</v>
      </c>
      <c r="K242" s="32" t="n">
        <f aca="false">'Aturan &amp; Tarif'!$B$5</f>
        <v>2050</v>
      </c>
      <c r="L242" s="35" t="n">
        <f aca="false">I242+J242+K242</f>
        <v>7537.72</v>
      </c>
      <c r="M242" s="36" t="s">
        <v>131</v>
      </c>
    </row>
    <row r="243" customFormat="false" ht="48.75" hidden="false" customHeight="true" outlineLevel="0" collapsed="false">
      <c r="A243" s="29"/>
      <c r="B243" s="30" t="s">
        <v>3451</v>
      </c>
      <c r="C243" s="31" t="s">
        <v>107</v>
      </c>
      <c r="D243" s="31" t="s">
        <v>108</v>
      </c>
      <c r="E243" s="32" t="n">
        <v>2875</v>
      </c>
      <c r="F243" s="32" t="n">
        <v>1150</v>
      </c>
      <c r="G243" s="32" t="n">
        <v>350</v>
      </c>
      <c r="H243" s="33" t="n">
        <v>1</v>
      </c>
      <c r="I243" s="34" t="n">
        <f aca="false">E243*H243+N(F243)+N(G243)</f>
        <v>4375</v>
      </c>
      <c r="J243" s="32" t="n">
        <f aca="false">ROUND(IFERROR(ROUND(IF(OR(ISNUMBER(SEARCH("week",C243)),ISNUMBER(SEARCH("minggu",C243))),IFERROR(_xlfn.NUMBERVALUE(SUBSTITUTE(LEFT(TRIM(C243),FIND(" ",TRIM(C243)&amp;" ")-1),",","."),"."),LEFT(SUBSTITUTE(LEFT(TRIM(C243),FIND(" ",TRIM(C243)&amp;" ")-1),",","."),FIND("/",SUBSTITUTE(LEFT(TRIM(C243),FIND(" ",TRIM(C243)&amp;" ")-1),",","."))-1)/MID(SUBSTITUTE(LEFT(TRIM(C243),FIND(" ",TRIM(C243)&amp;" ")-1),",","."),FIND("/",SUBSTITUTE(LEFT(TRIM(C243),FIND(" ",TRIM(C243)&amp;" ")-1),",","."))+1,9))*12/52,IF(ISNUMBER(SEARCH("month",C243)),IFERROR(_xlfn.NUMBERVALUE(SUBSTITUTE(LEFT(TRIM(C243),FIND(" ",TRIM(C243)&amp;" ")-1),",","."),"."),LEFT(SUBSTITUTE(LEFT(TRIM(C243),FIND(" ",TRIM(C243)&amp;" ")-1),",","."),FIND("/",SUBSTITUTE(LEFT(TRIM(C243),FIND(" ",TRIM(C243)&amp;" ")-1),",","."))-1)/MID(SUBSTITUTE(LEFT(TRIM(C243),FIND(" ",TRIM(C243)&amp;" ")-1),",","."),FIND("/",SUBSTITUTE(LEFT(TRIM(C243),FIND(" ",TRIM(C243)&amp;" ")-1),",","."))+1,9)),IF(ISNUMBER(SEARCH("yea",C243)),IFERROR(_xlfn.NUMBERVALUE(SUBSTITUTE(LEFT(TRIM(C243),FIND(" ",TRIM(C243)&amp;" ")-1),",","."),"."),LEFT(SUBSTITUTE(LEFT(TRIM(C243),FIND(" ",TRIM(C243)&amp;" ")-1),",","."),FIND("/",SUBSTITUTE(LEFT(TRIM(C243),FIND(" ",TRIM(C243)&amp;" ")-1),",","."))-1)/MID(SUBSTITUTE(LEFT(TRIM(C243),FIND(" ",TRIM(C243)&amp;" ")-1),",","."),FIND("/",SUBSTITUTE(LEFT(TRIM(C243),FIND(" ",TRIM(C243)&amp;" ")-1),",","."))+1,9))*12,NA()))),0),24)*'Aturan &amp; Tarif'!$B$4,2)</f>
        <v>1362.72</v>
      </c>
      <c r="K243" s="32" t="n">
        <f aca="false">'Aturan &amp; Tarif'!$B$5</f>
        <v>2050</v>
      </c>
      <c r="L243" s="35" t="n">
        <f aca="false">I243+J243+K243</f>
        <v>7787.72</v>
      </c>
      <c r="M243" s="36" t="s">
        <v>131</v>
      </c>
    </row>
    <row r="244" customFormat="false" ht="72" hidden="false" customHeight="true" outlineLevel="0" collapsed="false">
      <c r="A244" s="29" t="s">
        <v>3452</v>
      </c>
      <c r="B244" s="30" t="s">
        <v>963</v>
      </c>
      <c r="C244" s="31" t="s">
        <v>107</v>
      </c>
      <c r="D244" s="31" t="s">
        <v>108</v>
      </c>
      <c r="E244" s="32" t="n">
        <v>2350</v>
      </c>
      <c r="F244" s="32" t="n">
        <v>1500</v>
      </c>
      <c r="G244" s="32"/>
      <c r="H244" s="33" t="n">
        <v>1</v>
      </c>
      <c r="I244" s="34" t="n">
        <f aca="false">E244*H244+N(F244)+N(G244)</f>
        <v>3850</v>
      </c>
      <c r="J244" s="32" t="n">
        <f aca="false">ROUND(IFERROR(ROUND(IF(OR(ISNUMBER(SEARCH("week",C244)),ISNUMBER(SEARCH("minggu",C244))),IFERROR(_xlfn.NUMBERVALUE(SUBSTITUTE(LEFT(TRIM(C244),FIND(" ",TRIM(C244)&amp;" ")-1),",","."),"."),LEFT(SUBSTITUTE(LEFT(TRIM(C244),FIND(" ",TRIM(C244)&amp;" ")-1),",","."),FIND("/",SUBSTITUTE(LEFT(TRIM(C244),FIND(" ",TRIM(C244)&amp;" ")-1),",","."))-1)/MID(SUBSTITUTE(LEFT(TRIM(C244),FIND(" ",TRIM(C244)&amp;" ")-1),",","."),FIND("/",SUBSTITUTE(LEFT(TRIM(C244),FIND(" ",TRIM(C244)&amp;" ")-1),",","."))+1,9))*12/52,IF(ISNUMBER(SEARCH("month",C244)),IFERROR(_xlfn.NUMBERVALUE(SUBSTITUTE(LEFT(TRIM(C244),FIND(" ",TRIM(C244)&amp;" ")-1),",","."),"."),LEFT(SUBSTITUTE(LEFT(TRIM(C244),FIND(" ",TRIM(C244)&amp;" ")-1),",","."),FIND("/",SUBSTITUTE(LEFT(TRIM(C244),FIND(" ",TRIM(C244)&amp;" ")-1),",","."))-1)/MID(SUBSTITUTE(LEFT(TRIM(C244),FIND(" ",TRIM(C244)&amp;" ")-1),",","."),FIND("/",SUBSTITUTE(LEFT(TRIM(C244),FIND(" ",TRIM(C244)&amp;" ")-1),",","."))+1,9)),IF(ISNUMBER(SEARCH("yea",C244)),IFERROR(_xlfn.NUMBERVALUE(SUBSTITUTE(LEFT(TRIM(C244),FIND(" ",TRIM(C244)&amp;" ")-1),",","."),"."),LEFT(SUBSTITUTE(LEFT(TRIM(C244),FIND(" ",TRIM(C244)&amp;" ")-1),",","."),FIND("/",SUBSTITUTE(LEFT(TRIM(C244),FIND(" ",TRIM(C244)&amp;" ")-1),",","."))-1)/MID(SUBSTITUTE(LEFT(TRIM(C244),FIND(" ",TRIM(C244)&amp;" ")-1),",","."),FIND("/",SUBSTITUTE(LEFT(TRIM(C244),FIND(" ",TRIM(C244)&amp;" ")-1),",","."))+1,9))*12,NA()))),0),24)*'Aturan &amp; Tarif'!$B$4,2)</f>
        <v>1362.72</v>
      </c>
      <c r="K244" s="32" t="n">
        <f aca="false">'Aturan &amp; Tarif'!$B$5</f>
        <v>2050</v>
      </c>
      <c r="L244" s="35" t="n">
        <f aca="false">I244+J244+K244</f>
        <v>7262.72</v>
      </c>
      <c r="M244" s="37" t="s">
        <v>964</v>
      </c>
    </row>
    <row r="245" customFormat="false" ht="14.25" hidden="false" customHeight="true" outlineLevel="0" collapsed="false">
      <c r="A245" s="29"/>
      <c r="B245" s="30" t="s">
        <v>616</v>
      </c>
      <c r="C245" s="31" t="s">
        <v>107</v>
      </c>
      <c r="D245" s="31" t="s">
        <v>108</v>
      </c>
      <c r="E245" s="32" t="n">
        <v>2250</v>
      </c>
      <c r="F245" s="32" t="n">
        <v>2000</v>
      </c>
      <c r="G245" s="32"/>
      <c r="H245" s="33" t="n">
        <v>1</v>
      </c>
      <c r="I245" s="34" t="n">
        <f aca="false">E245*H245+N(F245)+N(G245)</f>
        <v>4250</v>
      </c>
      <c r="J245" s="32" t="n">
        <f aca="false">ROUND(IFERROR(ROUND(IF(OR(ISNUMBER(SEARCH("week",C245)),ISNUMBER(SEARCH("minggu",C245))),IFERROR(_xlfn.NUMBERVALUE(SUBSTITUTE(LEFT(TRIM(C245),FIND(" ",TRIM(C245)&amp;" ")-1),",","."),"."),LEFT(SUBSTITUTE(LEFT(TRIM(C245),FIND(" ",TRIM(C245)&amp;" ")-1),",","."),FIND("/",SUBSTITUTE(LEFT(TRIM(C245),FIND(" ",TRIM(C245)&amp;" ")-1),",","."))-1)/MID(SUBSTITUTE(LEFT(TRIM(C245),FIND(" ",TRIM(C245)&amp;" ")-1),",","."),FIND("/",SUBSTITUTE(LEFT(TRIM(C245),FIND(" ",TRIM(C245)&amp;" ")-1),",","."))+1,9))*12/52,IF(ISNUMBER(SEARCH("month",C245)),IFERROR(_xlfn.NUMBERVALUE(SUBSTITUTE(LEFT(TRIM(C245),FIND(" ",TRIM(C245)&amp;" ")-1),",","."),"."),LEFT(SUBSTITUTE(LEFT(TRIM(C245),FIND(" ",TRIM(C245)&amp;" ")-1),",","."),FIND("/",SUBSTITUTE(LEFT(TRIM(C245),FIND(" ",TRIM(C245)&amp;" ")-1),",","."))-1)/MID(SUBSTITUTE(LEFT(TRIM(C245),FIND(" ",TRIM(C245)&amp;" ")-1),",","."),FIND("/",SUBSTITUTE(LEFT(TRIM(C245),FIND(" ",TRIM(C245)&amp;" ")-1),",","."))+1,9)),IF(ISNUMBER(SEARCH("yea",C245)),IFERROR(_xlfn.NUMBERVALUE(SUBSTITUTE(LEFT(TRIM(C245),FIND(" ",TRIM(C245)&amp;" ")-1),",","."),"."),LEFT(SUBSTITUTE(LEFT(TRIM(C245),FIND(" ",TRIM(C245)&amp;" ")-1),",","."),FIND("/",SUBSTITUTE(LEFT(TRIM(C245),FIND(" ",TRIM(C245)&amp;" ")-1),",","."))-1)/MID(SUBSTITUTE(LEFT(TRIM(C245),FIND(" ",TRIM(C245)&amp;" ")-1),",","."),FIND("/",SUBSTITUTE(LEFT(TRIM(C245),FIND(" ",TRIM(C245)&amp;" ")-1),",","."))+1,9))*12,NA()))),0),24)*'Aturan &amp; Tarif'!$B$4,2)</f>
        <v>1362.72</v>
      </c>
      <c r="K245" s="32" t="n">
        <f aca="false">'Aturan &amp; Tarif'!$B$5</f>
        <v>2050</v>
      </c>
      <c r="L245" s="35" t="n">
        <f aca="false">I245+J245+K245</f>
        <v>7662.72</v>
      </c>
      <c r="M245" s="37" t="s">
        <v>964</v>
      </c>
    </row>
    <row r="246" customFormat="false" ht="14.25" hidden="false" customHeight="true" outlineLevel="0" collapsed="false">
      <c r="A246" s="29"/>
      <c r="B246" s="30" t="s">
        <v>835</v>
      </c>
      <c r="C246" s="31" t="s">
        <v>107</v>
      </c>
      <c r="D246" s="31" t="s">
        <v>108</v>
      </c>
      <c r="E246" s="32" t="n">
        <v>2100</v>
      </c>
      <c r="F246" s="32" t="n">
        <v>1000</v>
      </c>
      <c r="G246" s="32"/>
      <c r="H246" s="33" t="n">
        <v>1</v>
      </c>
      <c r="I246" s="34" t="n">
        <f aca="false">E246*H246+N(F246)+N(G246)</f>
        <v>3100</v>
      </c>
      <c r="J246" s="32" t="n">
        <f aca="false">ROUND(IFERROR(ROUND(IF(OR(ISNUMBER(SEARCH("week",C246)),ISNUMBER(SEARCH("minggu",C246))),IFERROR(_xlfn.NUMBERVALUE(SUBSTITUTE(LEFT(TRIM(C246),FIND(" ",TRIM(C246)&amp;" ")-1),",","."),"."),LEFT(SUBSTITUTE(LEFT(TRIM(C246),FIND(" ",TRIM(C246)&amp;" ")-1),",","."),FIND("/",SUBSTITUTE(LEFT(TRIM(C246),FIND(" ",TRIM(C246)&amp;" ")-1),",","."))-1)/MID(SUBSTITUTE(LEFT(TRIM(C246),FIND(" ",TRIM(C246)&amp;" ")-1),",","."),FIND("/",SUBSTITUTE(LEFT(TRIM(C246),FIND(" ",TRIM(C246)&amp;" ")-1),",","."))+1,9))*12/52,IF(ISNUMBER(SEARCH("month",C246)),IFERROR(_xlfn.NUMBERVALUE(SUBSTITUTE(LEFT(TRIM(C246),FIND(" ",TRIM(C246)&amp;" ")-1),",","."),"."),LEFT(SUBSTITUTE(LEFT(TRIM(C246),FIND(" ",TRIM(C246)&amp;" ")-1),",","."),FIND("/",SUBSTITUTE(LEFT(TRIM(C246),FIND(" ",TRIM(C246)&amp;" ")-1),",","."))-1)/MID(SUBSTITUTE(LEFT(TRIM(C246),FIND(" ",TRIM(C246)&amp;" ")-1),",","."),FIND("/",SUBSTITUTE(LEFT(TRIM(C246),FIND(" ",TRIM(C246)&amp;" ")-1),",","."))+1,9)),IF(ISNUMBER(SEARCH("yea",C246)),IFERROR(_xlfn.NUMBERVALUE(SUBSTITUTE(LEFT(TRIM(C246),FIND(" ",TRIM(C246)&amp;" ")-1),",","."),"."),LEFT(SUBSTITUTE(LEFT(TRIM(C246),FIND(" ",TRIM(C246)&amp;" ")-1),",","."),FIND("/",SUBSTITUTE(LEFT(TRIM(C246),FIND(" ",TRIM(C246)&amp;" ")-1),",","."))-1)/MID(SUBSTITUTE(LEFT(TRIM(C246),FIND(" ",TRIM(C246)&amp;" ")-1),",","."),FIND("/",SUBSTITUTE(LEFT(TRIM(C246),FIND(" ",TRIM(C246)&amp;" ")-1),",","."))+1,9))*12,NA()))),0),24)*'Aturan &amp; Tarif'!$B$4,2)</f>
        <v>1362.72</v>
      </c>
      <c r="K246" s="32" t="n">
        <f aca="false">'Aturan &amp; Tarif'!$B$5</f>
        <v>2050</v>
      </c>
      <c r="L246" s="35" t="n">
        <f aca="false">I246+J246+K246</f>
        <v>6512.72</v>
      </c>
      <c r="M246" s="37" t="s">
        <v>964</v>
      </c>
    </row>
    <row r="247" customFormat="false" ht="14.25" hidden="false" customHeight="true" outlineLevel="0" collapsed="false">
      <c r="A247" s="29"/>
      <c r="B247" s="30" t="s">
        <v>965</v>
      </c>
      <c r="C247" s="31" t="s">
        <v>127</v>
      </c>
      <c r="D247" s="31" t="s">
        <v>108</v>
      </c>
      <c r="E247" s="32" t="n">
        <v>1350</v>
      </c>
      <c r="F247" s="32" t="n">
        <v>500</v>
      </c>
      <c r="G247" s="32"/>
      <c r="H247" s="33" t="n">
        <v>1</v>
      </c>
      <c r="I247" s="34" t="n">
        <f aca="false">E247*H247+N(F247)+N(G247)</f>
        <v>1850</v>
      </c>
      <c r="J247" s="32" t="n">
        <f aca="false">ROUND(IFERROR(ROUND(IF(OR(ISNUMBER(SEARCH("week",C247)),ISNUMBER(SEARCH("minggu",C247))),IFERROR(_xlfn.NUMBERVALUE(SUBSTITUTE(LEFT(TRIM(C247),FIND(" ",TRIM(C247)&amp;" ")-1),",","."),"."),LEFT(SUBSTITUTE(LEFT(TRIM(C247),FIND(" ",TRIM(C247)&amp;" ")-1),",","."),FIND("/",SUBSTITUTE(LEFT(TRIM(C247),FIND(" ",TRIM(C247)&amp;" ")-1),",","."))-1)/MID(SUBSTITUTE(LEFT(TRIM(C247),FIND(" ",TRIM(C247)&amp;" ")-1),",","."),FIND("/",SUBSTITUTE(LEFT(TRIM(C247),FIND(" ",TRIM(C247)&amp;" ")-1),",","."))+1,9))*12/52,IF(ISNUMBER(SEARCH("month",C247)),IFERROR(_xlfn.NUMBERVALUE(SUBSTITUTE(LEFT(TRIM(C247),FIND(" ",TRIM(C247)&amp;" ")-1),",","."),"."),LEFT(SUBSTITUTE(LEFT(TRIM(C247),FIND(" ",TRIM(C247)&amp;" ")-1),",","."),FIND("/",SUBSTITUTE(LEFT(TRIM(C247),FIND(" ",TRIM(C247)&amp;" ")-1),",","."))-1)/MID(SUBSTITUTE(LEFT(TRIM(C247),FIND(" ",TRIM(C247)&amp;" ")-1),",","."),FIND("/",SUBSTITUTE(LEFT(TRIM(C247),FIND(" ",TRIM(C247)&amp;" ")-1),",","."))+1,9)),IF(ISNUMBER(SEARCH("yea",C247)),IFERROR(_xlfn.NUMBERVALUE(SUBSTITUTE(LEFT(TRIM(C247),FIND(" ",TRIM(C247)&amp;" ")-1),",","."),"."),LEFT(SUBSTITUTE(LEFT(TRIM(C247),FIND(" ",TRIM(C247)&amp;" ")-1),",","."),FIND("/",SUBSTITUTE(LEFT(TRIM(C247),FIND(" ",TRIM(C247)&amp;" ")-1),",","."))-1)/MID(SUBSTITUTE(LEFT(TRIM(C247),FIND(" ",TRIM(C247)&amp;" ")-1),",","."),FIND("/",SUBSTITUTE(LEFT(TRIM(C247),FIND(" ",TRIM(C247)&amp;" ")-1),",","."))+1,9))*12,NA()))),0),36)*'Aturan &amp; Tarif'!$B$4,2)</f>
        <v>2044.08</v>
      </c>
      <c r="K247" s="32" t="n">
        <f aca="false">'Aturan &amp; Tarif'!$B$5</f>
        <v>2050</v>
      </c>
      <c r="L247" s="35" t="n">
        <f aca="false">I247+J247+K247</f>
        <v>5944.08</v>
      </c>
      <c r="M247" s="37" t="s">
        <v>964</v>
      </c>
    </row>
    <row r="248" customFormat="false" ht="14.25" hidden="false" customHeight="true" outlineLevel="0" collapsed="false">
      <c r="A248" s="29"/>
      <c r="B248" s="30" t="s">
        <v>776</v>
      </c>
      <c r="C248" s="31" t="s">
        <v>130</v>
      </c>
      <c r="D248" s="31" t="s">
        <v>108</v>
      </c>
      <c r="E248" s="32" t="n">
        <v>1350</v>
      </c>
      <c r="F248" s="32" t="n">
        <v>500</v>
      </c>
      <c r="G248" s="32"/>
      <c r="H248" s="33" t="n">
        <v>1</v>
      </c>
      <c r="I248" s="34" t="n">
        <f aca="false">E248*H248+N(F248)+N(G248)</f>
        <v>1850</v>
      </c>
      <c r="J248" s="32" t="n">
        <f aca="false">ROUND(IFERROR(ROUND(IF(OR(ISNUMBER(SEARCH("week",C248)),ISNUMBER(SEARCH("minggu",C248))),IFERROR(_xlfn.NUMBERVALUE(SUBSTITUTE(LEFT(TRIM(C248),FIND(" ",TRIM(C248)&amp;" ")-1),",","."),"."),LEFT(SUBSTITUTE(LEFT(TRIM(C248),FIND(" ",TRIM(C248)&amp;" ")-1),",","."),FIND("/",SUBSTITUTE(LEFT(TRIM(C248),FIND(" ",TRIM(C248)&amp;" ")-1),",","."))-1)/MID(SUBSTITUTE(LEFT(TRIM(C248),FIND(" ",TRIM(C248)&amp;" ")-1),",","."),FIND("/",SUBSTITUTE(LEFT(TRIM(C248),FIND(" ",TRIM(C248)&amp;" ")-1),",","."))+1,9))*12/52,IF(ISNUMBER(SEARCH("month",C248)),IFERROR(_xlfn.NUMBERVALUE(SUBSTITUTE(LEFT(TRIM(C248),FIND(" ",TRIM(C248)&amp;" ")-1),",","."),"."),LEFT(SUBSTITUTE(LEFT(TRIM(C248),FIND(" ",TRIM(C248)&amp;" ")-1),",","."),FIND("/",SUBSTITUTE(LEFT(TRIM(C248),FIND(" ",TRIM(C248)&amp;" ")-1),",","."))-1)/MID(SUBSTITUTE(LEFT(TRIM(C248),FIND(" ",TRIM(C248)&amp;" ")-1),",","."),FIND("/",SUBSTITUTE(LEFT(TRIM(C248),FIND(" ",TRIM(C248)&amp;" ")-1),",","."))+1,9)),IF(ISNUMBER(SEARCH("yea",C248)),IFERROR(_xlfn.NUMBERVALUE(SUBSTITUTE(LEFT(TRIM(C248),FIND(" ",TRIM(C248)&amp;" ")-1),",","."),"."),LEFT(SUBSTITUTE(LEFT(TRIM(C248),FIND(" ",TRIM(C248)&amp;" ")-1),",","."),FIND("/",SUBSTITUTE(LEFT(TRIM(C248),FIND(" ",TRIM(C248)&amp;" ")-1),",","."))-1)/MID(SUBSTITUTE(LEFT(TRIM(C248),FIND(" ",TRIM(C248)&amp;" ")-1),",","."),FIND("/",SUBSTITUTE(LEFT(TRIM(C248),FIND(" ",TRIM(C248)&amp;" ")-1),",","."))+1,9))*12,NA()))),0),12)*'Aturan &amp; Tarif'!$B$4,2)</f>
        <v>681.36</v>
      </c>
      <c r="K248" s="32" t="n">
        <f aca="false">'Aturan &amp; Tarif'!$B$5</f>
        <v>2050</v>
      </c>
      <c r="L248" s="35" t="n">
        <f aca="false">I248+J248+K248</f>
        <v>4581.36</v>
      </c>
      <c r="M248" s="37" t="s">
        <v>964</v>
      </c>
    </row>
    <row r="249" customFormat="false" ht="72" hidden="false" customHeight="true" outlineLevel="0" collapsed="false">
      <c r="A249" s="29" t="s">
        <v>966</v>
      </c>
      <c r="B249" s="30" t="s">
        <v>967</v>
      </c>
      <c r="C249" s="31" t="s">
        <v>130</v>
      </c>
      <c r="D249" s="31" t="s">
        <v>737</v>
      </c>
      <c r="E249" s="32" t="n">
        <v>11520</v>
      </c>
      <c r="F249" s="32" t="n">
        <v>0</v>
      </c>
      <c r="G249" s="32" t="n">
        <v>300</v>
      </c>
      <c r="H249" s="33" t="n">
        <v>1</v>
      </c>
      <c r="I249" s="34" t="n">
        <f aca="false">E249*H249+N(F249)+N(G249)</f>
        <v>11820</v>
      </c>
      <c r="J249" s="32" t="n">
        <f aca="false">ROUND(IFERROR(ROUND(IF(OR(ISNUMBER(SEARCH("week",C249)),ISNUMBER(SEARCH("minggu",C249))),IFERROR(_xlfn.NUMBERVALUE(SUBSTITUTE(LEFT(TRIM(C249),FIND(" ",TRIM(C249)&amp;" ")-1),",","."),"."),LEFT(SUBSTITUTE(LEFT(TRIM(C249),FIND(" ",TRIM(C249)&amp;" ")-1),",","."),FIND("/",SUBSTITUTE(LEFT(TRIM(C249),FIND(" ",TRIM(C249)&amp;" ")-1),",","."))-1)/MID(SUBSTITUTE(LEFT(TRIM(C249),FIND(" ",TRIM(C249)&amp;" ")-1),",","."),FIND("/",SUBSTITUTE(LEFT(TRIM(C249),FIND(" ",TRIM(C249)&amp;" ")-1),",","."))+1,9))*12/52,IF(ISNUMBER(SEARCH("month",C249)),IFERROR(_xlfn.NUMBERVALUE(SUBSTITUTE(LEFT(TRIM(C249),FIND(" ",TRIM(C249)&amp;" ")-1),",","."),"."),LEFT(SUBSTITUTE(LEFT(TRIM(C249),FIND(" ",TRIM(C249)&amp;" ")-1),",","."),FIND("/",SUBSTITUTE(LEFT(TRIM(C249),FIND(" ",TRIM(C249)&amp;" ")-1),",","."))-1)/MID(SUBSTITUTE(LEFT(TRIM(C249),FIND(" ",TRIM(C249)&amp;" ")-1),",","."),FIND("/",SUBSTITUTE(LEFT(TRIM(C249),FIND(" ",TRIM(C249)&amp;" ")-1),",","."))+1,9)),IF(ISNUMBER(SEARCH("yea",C249)),IFERROR(_xlfn.NUMBERVALUE(SUBSTITUTE(LEFT(TRIM(C249),FIND(" ",TRIM(C249)&amp;" ")-1),",","."),"."),LEFT(SUBSTITUTE(LEFT(TRIM(C249),FIND(" ",TRIM(C249)&amp;" ")-1),",","."),FIND("/",SUBSTITUTE(LEFT(TRIM(C249),FIND(" ",TRIM(C249)&amp;" ")-1),",","."))-1)/MID(SUBSTITUTE(LEFT(TRIM(C249),FIND(" ",TRIM(C249)&amp;" ")-1),",","."),FIND("/",SUBSTITUTE(LEFT(TRIM(C249),FIND(" ",TRIM(C249)&amp;" ")-1),",","."))+1,9))*12,NA()))),0),12)*'Aturan &amp; Tarif'!$B$4,2)</f>
        <v>681.36</v>
      </c>
      <c r="K249" s="32" t="n">
        <f aca="false">'Aturan &amp; Tarif'!$B$5</f>
        <v>2050</v>
      </c>
      <c r="L249" s="35" t="n">
        <f aca="false">I249+J249+K249</f>
        <v>14551.36</v>
      </c>
      <c r="M249" s="37" t="s">
        <v>738</v>
      </c>
    </row>
    <row r="250" customFormat="false" ht="25.5" hidden="false" customHeight="true" outlineLevel="0" collapsed="false">
      <c r="A250" s="29"/>
      <c r="B250" s="30" t="s">
        <v>968</v>
      </c>
      <c r="C250" s="31" t="s">
        <v>127</v>
      </c>
      <c r="D250" s="31" t="s">
        <v>737</v>
      </c>
      <c r="E250" s="32" t="n">
        <v>11520</v>
      </c>
      <c r="F250" s="32" t="n">
        <v>0</v>
      </c>
      <c r="G250" s="32" t="n">
        <v>300</v>
      </c>
      <c r="H250" s="33" t="n">
        <v>1</v>
      </c>
      <c r="I250" s="34" t="n">
        <f aca="false">E250*H250+N(F250)+N(G250)</f>
        <v>11820</v>
      </c>
      <c r="J250" s="32" t="n">
        <f aca="false">ROUND(IFERROR(ROUND(IF(OR(ISNUMBER(SEARCH("week",C250)),ISNUMBER(SEARCH("minggu",C250))),IFERROR(_xlfn.NUMBERVALUE(SUBSTITUTE(LEFT(TRIM(C250),FIND(" ",TRIM(C250)&amp;" ")-1),",","."),"."),LEFT(SUBSTITUTE(LEFT(TRIM(C250),FIND(" ",TRIM(C250)&amp;" ")-1),",","."),FIND("/",SUBSTITUTE(LEFT(TRIM(C250),FIND(" ",TRIM(C250)&amp;" ")-1),",","."))-1)/MID(SUBSTITUTE(LEFT(TRIM(C250),FIND(" ",TRIM(C250)&amp;" ")-1),",","."),FIND("/",SUBSTITUTE(LEFT(TRIM(C250),FIND(" ",TRIM(C250)&amp;" ")-1),",","."))+1,9))*12/52,IF(ISNUMBER(SEARCH("month",C250)),IFERROR(_xlfn.NUMBERVALUE(SUBSTITUTE(LEFT(TRIM(C250),FIND(" ",TRIM(C250)&amp;" ")-1),",","."),"."),LEFT(SUBSTITUTE(LEFT(TRIM(C250),FIND(" ",TRIM(C250)&amp;" ")-1),",","."),FIND("/",SUBSTITUTE(LEFT(TRIM(C250),FIND(" ",TRIM(C250)&amp;" ")-1),",","."))-1)/MID(SUBSTITUTE(LEFT(TRIM(C250),FIND(" ",TRIM(C250)&amp;" ")-1),",","."),FIND("/",SUBSTITUTE(LEFT(TRIM(C250),FIND(" ",TRIM(C250)&amp;" ")-1),",","."))+1,9)),IF(ISNUMBER(SEARCH("yea",C250)),IFERROR(_xlfn.NUMBERVALUE(SUBSTITUTE(LEFT(TRIM(C250),FIND(" ",TRIM(C250)&amp;" ")-1),",","."),"."),LEFT(SUBSTITUTE(LEFT(TRIM(C250),FIND(" ",TRIM(C250)&amp;" ")-1),",","."),FIND("/",SUBSTITUTE(LEFT(TRIM(C250),FIND(" ",TRIM(C250)&amp;" ")-1),",","."))-1)/MID(SUBSTITUTE(LEFT(TRIM(C250),FIND(" ",TRIM(C250)&amp;" ")-1),",","."),FIND("/",SUBSTITUTE(LEFT(TRIM(C250),FIND(" ",TRIM(C250)&amp;" ")-1),",","."))+1,9))*12,NA()))),0),36)*'Aturan &amp; Tarif'!$B$4,2)</f>
        <v>2044.08</v>
      </c>
      <c r="K250" s="32" t="n">
        <f aca="false">'Aturan &amp; Tarif'!$B$5</f>
        <v>2050</v>
      </c>
      <c r="L250" s="35" t="n">
        <f aca="false">I250+J250+K250</f>
        <v>15914.08</v>
      </c>
      <c r="M250" s="37" t="s">
        <v>738</v>
      </c>
    </row>
    <row r="251" customFormat="false" ht="25.5" hidden="false" customHeight="true" outlineLevel="0" collapsed="false">
      <c r="A251" s="29"/>
      <c r="B251" s="30" t="s">
        <v>969</v>
      </c>
      <c r="C251" s="31" t="s">
        <v>344</v>
      </c>
      <c r="D251" s="31" t="s">
        <v>737</v>
      </c>
      <c r="E251" s="32" t="n">
        <v>19640</v>
      </c>
      <c r="F251" s="32" t="n">
        <v>0</v>
      </c>
      <c r="G251" s="32" t="n">
        <v>300</v>
      </c>
      <c r="H251" s="33" t="n">
        <v>1</v>
      </c>
      <c r="I251" s="34" t="n">
        <f aca="false">E251*H251+N(F251)+N(G251)</f>
        <v>19940</v>
      </c>
      <c r="J251" s="32" t="n">
        <f aca="false">ROUND(IFERROR(ROUND(IF(OR(ISNUMBER(SEARCH("week",C251)),ISNUMBER(SEARCH("minggu",C251))),IFERROR(_xlfn.NUMBERVALUE(SUBSTITUTE(LEFT(TRIM(C251),FIND(" ",TRIM(C251)&amp;" ")-1),",","."),"."),LEFT(SUBSTITUTE(LEFT(TRIM(C251),FIND(" ",TRIM(C251)&amp;" ")-1),",","."),FIND("/",SUBSTITUTE(LEFT(TRIM(C251),FIND(" ",TRIM(C251)&amp;" ")-1),",","."))-1)/MID(SUBSTITUTE(LEFT(TRIM(C251),FIND(" ",TRIM(C251)&amp;" ")-1),",","."),FIND("/",SUBSTITUTE(LEFT(TRIM(C251),FIND(" ",TRIM(C251)&amp;" ")-1),",","."))+1,9))*12/52,IF(ISNUMBER(SEARCH("month",C251)),IFERROR(_xlfn.NUMBERVALUE(SUBSTITUTE(LEFT(TRIM(C251),FIND(" ",TRIM(C251)&amp;" ")-1),",","."),"."),LEFT(SUBSTITUTE(LEFT(TRIM(C251),FIND(" ",TRIM(C251)&amp;" ")-1),",","."),FIND("/",SUBSTITUTE(LEFT(TRIM(C251),FIND(" ",TRIM(C251)&amp;" ")-1),",","."))-1)/MID(SUBSTITUTE(LEFT(TRIM(C251),FIND(" ",TRIM(C251)&amp;" ")-1),",","."),FIND("/",SUBSTITUTE(LEFT(TRIM(C251),FIND(" ",TRIM(C251)&amp;" ")-1),",","."))+1,9)),IF(ISNUMBER(SEARCH("yea",C251)),IFERROR(_xlfn.NUMBERVALUE(SUBSTITUTE(LEFT(TRIM(C251),FIND(" ",TRIM(C251)&amp;" ")-1),",","."),"."),LEFT(SUBSTITUTE(LEFT(TRIM(C251),FIND(" ",TRIM(C251)&amp;" ")-1),",","."),FIND("/",SUBSTITUTE(LEFT(TRIM(C251),FIND(" ",TRIM(C251)&amp;" ")-1),",","."))-1)/MID(SUBSTITUTE(LEFT(TRIM(C251),FIND(" ",TRIM(C251)&amp;" ")-1),",","."),FIND("/",SUBSTITUTE(LEFT(TRIM(C251),FIND(" ",TRIM(C251)&amp;" ")-1),",","."))+1,9))*12,NA()))),0),6)*'Aturan &amp; Tarif'!$B$4,2)</f>
        <v>340.68</v>
      </c>
      <c r="K251" s="32" t="n">
        <f aca="false">'Aturan &amp; Tarif'!$B$5</f>
        <v>2050</v>
      </c>
      <c r="L251" s="35" t="n">
        <f aca="false">I251+J251+K251</f>
        <v>22330.68</v>
      </c>
      <c r="M251" s="37" t="s">
        <v>738</v>
      </c>
    </row>
    <row r="252" customFormat="false" ht="25.5" hidden="false" customHeight="true" outlineLevel="0" collapsed="false">
      <c r="A252" s="29"/>
      <c r="B252" s="30" t="s">
        <v>970</v>
      </c>
      <c r="C252" s="31" t="s">
        <v>130</v>
      </c>
      <c r="D252" s="31" t="s">
        <v>737</v>
      </c>
      <c r="E252" s="32" t="n">
        <v>19640</v>
      </c>
      <c r="F252" s="32" t="n">
        <v>0</v>
      </c>
      <c r="G252" s="32" t="n">
        <v>300</v>
      </c>
      <c r="H252" s="33" t="n">
        <v>1</v>
      </c>
      <c r="I252" s="34" t="n">
        <f aca="false">E252*H252+N(F252)+N(G252)</f>
        <v>19940</v>
      </c>
      <c r="J252" s="32" t="n">
        <f aca="false">ROUND(IFERROR(ROUND(IF(OR(ISNUMBER(SEARCH("week",C252)),ISNUMBER(SEARCH("minggu",C252))),IFERROR(_xlfn.NUMBERVALUE(SUBSTITUTE(LEFT(TRIM(C252),FIND(" ",TRIM(C252)&amp;" ")-1),",","."),"."),LEFT(SUBSTITUTE(LEFT(TRIM(C252),FIND(" ",TRIM(C252)&amp;" ")-1),",","."),FIND("/",SUBSTITUTE(LEFT(TRIM(C252),FIND(" ",TRIM(C252)&amp;" ")-1),",","."))-1)/MID(SUBSTITUTE(LEFT(TRIM(C252),FIND(" ",TRIM(C252)&amp;" ")-1),",","."),FIND("/",SUBSTITUTE(LEFT(TRIM(C252),FIND(" ",TRIM(C252)&amp;" ")-1),",","."))+1,9))*12/52,IF(ISNUMBER(SEARCH("month",C252)),IFERROR(_xlfn.NUMBERVALUE(SUBSTITUTE(LEFT(TRIM(C252),FIND(" ",TRIM(C252)&amp;" ")-1),",","."),"."),LEFT(SUBSTITUTE(LEFT(TRIM(C252),FIND(" ",TRIM(C252)&amp;" ")-1),",","."),FIND("/",SUBSTITUTE(LEFT(TRIM(C252),FIND(" ",TRIM(C252)&amp;" ")-1),",","."))-1)/MID(SUBSTITUTE(LEFT(TRIM(C252),FIND(" ",TRIM(C252)&amp;" ")-1),",","."),FIND("/",SUBSTITUTE(LEFT(TRIM(C252),FIND(" ",TRIM(C252)&amp;" ")-1),",","."))+1,9)),IF(ISNUMBER(SEARCH("yea",C252)),IFERROR(_xlfn.NUMBERVALUE(SUBSTITUTE(LEFT(TRIM(C252),FIND(" ",TRIM(C252)&amp;" ")-1),",","."),"."),LEFT(SUBSTITUTE(LEFT(TRIM(C252),FIND(" ",TRIM(C252)&amp;" ")-1),",","."),FIND("/",SUBSTITUTE(LEFT(TRIM(C252),FIND(" ",TRIM(C252)&amp;" ")-1),",","."))-1)/MID(SUBSTITUTE(LEFT(TRIM(C252),FIND(" ",TRIM(C252)&amp;" ")-1),",","."),FIND("/",SUBSTITUTE(LEFT(TRIM(C252),FIND(" ",TRIM(C252)&amp;" ")-1),",","."))+1,9))*12,NA()))),0),12)*'Aturan &amp; Tarif'!$B$4,2)</f>
        <v>681.36</v>
      </c>
      <c r="K252" s="32" t="n">
        <f aca="false">'Aturan &amp; Tarif'!$B$5</f>
        <v>2050</v>
      </c>
      <c r="L252" s="35" t="n">
        <f aca="false">I252+J252+K252</f>
        <v>22671.36</v>
      </c>
      <c r="M252" s="37" t="s">
        <v>742</v>
      </c>
    </row>
    <row r="253" customFormat="false" ht="25.5" hidden="false" customHeight="true" outlineLevel="0" collapsed="false">
      <c r="A253" s="29"/>
      <c r="B253" s="30" t="s">
        <v>971</v>
      </c>
      <c r="C253" s="31" t="s">
        <v>113</v>
      </c>
      <c r="D253" s="31" t="s">
        <v>737</v>
      </c>
      <c r="E253" s="32" t="n">
        <v>19640</v>
      </c>
      <c r="F253" s="32" t="n">
        <v>0</v>
      </c>
      <c r="G253" s="32" t="n">
        <v>300</v>
      </c>
      <c r="H253" s="33" t="n">
        <v>1</v>
      </c>
      <c r="I253" s="34" t="n">
        <f aca="false">E253*H253+N(F253)+N(G253)</f>
        <v>19940</v>
      </c>
      <c r="J253" s="32" t="n">
        <f aca="false">ROUND(IFERROR(ROUND(IF(OR(ISNUMBER(SEARCH("week",C253)),ISNUMBER(SEARCH("minggu",C253))),IFERROR(_xlfn.NUMBERVALUE(SUBSTITUTE(LEFT(TRIM(C253),FIND(" ",TRIM(C253)&amp;" ")-1),",","."),"."),LEFT(SUBSTITUTE(LEFT(TRIM(C253),FIND(" ",TRIM(C253)&amp;" ")-1),",","."),FIND("/",SUBSTITUTE(LEFT(TRIM(C253),FIND(" ",TRIM(C253)&amp;" ")-1),",","."))-1)/MID(SUBSTITUTE(LEFT(TRIM(C253),FIND(" ",TRIM(C253)&amp;" ")-1),",","."),FIND("/",SUBSTITUTE(LEFT(TRIM(C253),FIND(" ",TRIM(C253)&amp;" ")-1),",","."))+1,9))*12/52,IF(ISNUMBER(SEARCH("month",C253)),IFERROR(_xlfn.NUMBERVALUE(SUBSTITUTE(LEFT(TRIM(C253),FIND(" ",TRIM(C253)&amp;" ")-1),",","."),"."),LEFT(SUBSTITUTE(LEFT(TRIM(C253),FIND(" ",TRIM(C253)&amp;" ")-1),",","."),FIND("/",SUBSTITUTE(LEFT(TRIM(C253),FIND(" ",TRIM(C253)&amp;" ")-1),",","."))-1)/MID(SUBSTITUTE(LEFT(TRIM(C253),FIND(" ",TRIM(C253)&amp;" ")-1),",","."),FIND("/",SUBSTITUTE(LEFT(TRIM(C253),FIND(" ",TRIM(C253)&amp;" ")-1),",","."))+1,9)),IF(ISNUMBER(SEARCH("yea",C253)),IFERROR(_xlfn.NUMBERVALUE(SUBSTITUTE(LEFT(TRIM(C253),FIND(" ",TRIM(C253)&amp;" ")-1),",","."),"."),LEFT(SUBSTITUTE(LEFT(TRIM(C253),FIND(" ",TRIM(C253)&amp;" ")-1),",","."),FIND("/",SUBSTITUTE(LEFT(TRIM(C253),FIND(" ",TRIM(C253)&amp;" ")-1),",","."))-1)/MID(SUBSTITUTE(LEFT(TRIM(C253),FIND(" ",TRIM(C253)&amp;" ")-1),",","."),FIND("/",SUBSTITUTE(LEFT(TRIM(C253),FIND(" ",TRIM(C253)&amp;" ")-1),",","."))+1,9))*12,NA()))),0),18)*'Aturan &amp; Tarif'!$B$4,2)</f>
        <v>1022.04</v>
      </c>
      <c r="K253" s="32" t="n">
        <f aca="false">'Aturan &amp; Tarif'!$B$5</f>
        <v>2050</v>
      </c>
      <c r="L253" s="35" t="n">
        <f aca="false">I253+J253+K253</f>
        <v>23012.04</v>
      </c>
      <c r="M253" s="37" t="s">
        <v>744</v>
      </c>
    </row>
    <row r="254" customFormat="false" ht="25.5" hidden="false" customHeight="true" outlineLevel="0" collapsed="false">
      <c r="A254" s="29"/>
      <c r="B254" s="30" t="s">
        <v>972</v>
      </c>
      <c r="C254" s="31" t="s">
        <v>344</v>
      </c>
      <c r="D254" s="31" t="s">
        <v>737</v>
      </c>
      <c r="E254" s="32" t="n">
        <v>13600</v>
      </c>
      <c r="F254" s="32" t="n">
        <v>0</v>
      </c>
      <c r="G254" s="32" t="n">
        <v>300</v>
      </c>
      <c r="H254" s="33" t="n">
        <v>1</v>
      </c>
      <c r="I254" s="34" t="n">
        <f aca="false">E254*H254+N(F254)+N(G254)</f>
        <v>13900</v>
      </c>
      <c r="J254" s="32" t="n">
        <f aca="false">ROUND(IFERROR(ROUND(IF(OR(ISNUMBER(SEARCH("week",C254)),ISNUMBER(SEARCH("minggu",C254))),IFERROR(_xlfn.NUMBERVALUE(SUBSTITUTE(LEFT(TRIM(C254),FIND(" ",TRIM(C254)&amp;" ")-1),",","."),"."),LEFT(SUBSTITUTE(LEFT(TRIM(C254),FIND(" ",TRIM(C254)&amp;" ")-1),",","."),FIND("/",SUBSTITUTE(LEFT(TRIM(C254),FIND(" ",TRIM(C254)&amp;" ")-1),",","."))-1)/MID(SUBSTITUTE(LEFT(TRIM(C254),FIND(" ",TRIM(C254)&amp;" ")-1),",","."),FIND("/",SUBSTITUTE(LEFT(TRIM(C254),FIND(" ",TRIM(C254)&amp;" ")-1),",","."))+1,9))*12/52,IF(ISNUMBER(SEARCH("month",C254)),IFERROR(_xlfn.NUMBERVALUE(SUBSTITUTE(LEFT(TRIM(C254),FIND(" ",TRIM(C254)&amp;" ")-1),",","."),"."),LEFT(SUBSTITUTE(LEFT(TRIM(C254),FIND(" ",TRIM(C254)&amp;" ")-1),",","."),FIND("/",SUBSTITUTE(LEFT(TRIM(C254),FIND(" ",TRIM(C254)&amp;" ")-1),",","."))-1)/MID(SUBSTITUTE(LEFT(TRIM(C254),FIND(" ",TRIM(C254)&amp;" ")-1),",","."),FIND("/",SUBSTITUTE(LEFT(TRIM(C254),FIND(" ",TRIM(C254)&amp;" ")-1),",","."))+1,9)),IF(ISNUMBER(SEARCH("yea",C254)),IFERROR(_xlfn.NUMBERVALUE(SUBSTITUTE(LEFT(TRIM(C254),FIND(" ",TRIM(C254)&amp;" ")-1),",","."),"."),LEFT(SUBSTITUTE(LEFT(TRIM(C254),FIND(" ",TRIM(C254)&amp;" ")-1),",","."),FIND("/",SUBSTITUTE(LEFT(TRIM(C254),FIND(" ",TRIM(C254)&amp;" ")-1),",","."))-1)/MID(SUBSTITUTE(LEFT(TRIM(C254),FIND(" ",TRIM(C254)&amp;" ")-1),",","."),FIND("/",SUBSTITUTE(LEFT(TRIM(C254),FIND(" ",TRIM(C254)&amp;" ")-1),",","."))+1,9))*12,NA()))),0),6)*'Aturan &amp; Tarif'!$B$4,2)</f>
        <v>340.68</v>
      </c>
      <c r="K254" s="32" t="n">
        <f aca="false">'Aturan &amp; Tarif'!$B$5</f>
        <v>2050</v>
      </c>
      <c r="L254" s="35" t="n">
        <f aca="false">I254+J254+K254</f>
        <v>16290.68</v>
      </c>
      <c r="M254" s="37" t="s">
        <v>738</v>
      </c>
    </row>
    <row r="255" customFormat="false" ht="25.5" hidden="false" customHeight="true" outlineLevel="0" collapsed="false">
      <c r="A255" s="29"/>
      <c r="B255" s="30" t="s">
        <v>973</v>
      </c>
      <c r="C255" s="31" t="s">
        <v>107</v>
      </c>
      <c r="D255" s="31" t="s">
        <v>737</v>
      </c>
      <c r="E255" s="32" t="n">
        <v>13600</v>
      </c>
      <c r="F255" s="32" t="n">
        <v>0</v>
      </c>
      <c r="G255" s="32" t="n">
        <v>300</v>
      </c>
      <c r="H255" s="33" t="n">
        <v>1</v>
      </c>
      <c r="I255" s="34" t="n">
        <f aca="false">E255*H255+N(F255)+N(G255)</f>
        <v>13900</v>
      </c>
      <c r="J255" s="32" t="n">
        <f aca="false">ROUND(IFERROR(ROUND(IF(OR(ISNUMBER(SEARCH("week",C255)),ISNUMBER(SEARCH("minggu",C255))),IFERROR(_xlfn.NUMBERVALUE(SUBSTITUTE(LEFT(TRIM(C255),FIND(" ",TRIM(C255)&amp;" ")-1),",","."),"."),LEFT(SUBSTITUTE(LEFT(TRIM(C255),FIND(" ",TRIM(C255)&amp;" ")-1),",","."),FIND("/",SUBSTITUTE(LEFT(TRIM(C255),FIND(" ",TRIM(C255)&amp;" ")-1),",","."))-1)/MID(SUBSTITUTE(LEFT(TRIM(C255),FIND(" ",TRIM(C255)&amp;" ")-1),",","."),FIND("/",SUBSTITUTE(LEFT(TRIM(C255),FIND(" ",TRIM(C255)&amp;" ")-1),",","."))+1,9))*12/52,IF(ISNUMBER(SEARCH("month",C255)),IFERROR(_xlfn.NUMBERVALUE(SUBSTITUTE(LEFT(TRIM(C255),FIND(" ",TRIM(C255)&amp;" ")-1),",","."),"."),LEFT(SUBSTITUTE(LEFT(TRIM(C255),FIND(" ",TRIM(C255)&amp;" ")-1),",","."),FIND("/",SUBSTITUTE(LEFT(TRIM(C255),FIND(" ",TRIM(C255)&amp;" ")-1),",","."))-1)/MID(SUBSTITUTE(LEFT(TRIM(C255),FIND(" ",TRIM(C255)&amp;" ")-1),",","."),FIND("/",SUBSTITUTE(LEFT(TRIM(C255),FIND(" ",TRIM(C255)&amp;" ")-1),",","."))+1,9)),IF(ISNUMBER(SEARCH("yea",C255)),IFERROR(_xlfn.NUMBERVALUE(SUBSTITUTE(LEFT(TRIM(C255),FIND(" ",TRIM(C255)&amp;" ")-1),",","."),"."),LEFT(SUBSTITUTE(LEFT(TRIM(C255),FIND(" ",TRIM(C255)&amp;" ")-1),",","."),FIND("/",SUBSTITUTE(LEFT(TRIM(C255),FIND(" ",TRIM(C255)&amp;" ")-1),",","."))-1)/MID(SUBSTITUTE(LEFT(TRIM(C255),FIND(" ",TRIM(C255)&amp;" ")-1),",","."),FIND("/",SUBSTITUTE(LEFT(TRIM(C255),FIND(" ",TRIM(C255)&amp;" ")-1),",","."))+1,9))*12,NA()))),0),24)*'Aturan &amp; Tarif'!$B$4,2)</f>
        <v>1362.72</v>
      </c>
      <c r="K255" s="32" t="n">
        <f aca="false">'Aturan &amp; Tarif'!$B$5</f>
        <v>2050</v>
      </c>
      <c r="L255" s="35" t="n">
        <f aca="false">I255+J255+K255</f>
        <v>17312.72</v>
      </c>
      <c r="M255" s="37" t="s">
        <v>738</v>
      </c>
    </row>
    <row r="256" customFormat="false" ht="25.5" hidden="false" customHeight="true" outlineLevel="0" collapsed="false">
      <c r="A256" s="29"/>
      <c r="B256" s="30" t="s">
        <v>974</v>
      </c>
      <c r="C256" s="31" t="s">
        <v>113</v>
      </c>
      <c r="D256" s="31" t="s">
        <v>737</v>
      </c>
      <c r="E256" s="32" t="n">
        <v>13600</v>
      </c>
      <c r="F256" s="32" t="n">
        <v>0</v>
      </c>
      <c r="G256" s="32" t="n">
        <v>300</v>
      </c>
      <c r="H256" s="33" t="n">
        <v>1</v>
      </c>
      <c r="I256" s="34" t="n">
        <f aca="false">E256*H256+N(F256)+N(G256)</f>
        <v>13900</v>
      </c>
      <c r="J256" s="32" t="n">
        <f aca="false">ROUND(IFERROR(ROUND(IF(OR(ISNUMBER(SEARCH("week",C256)),ISNUMBER(SEARCH("minggu",C256))),IFERROR(_xlfn.NUMBERVALUE(SUBSTITUTE(LEFT(TRIM(C256),FIND(" ",TRIM(C256)&amp;" ")-1),",","."),"."),LEFT(SUBSTITUTE(LEFT(TRIM(C256),FIND(" ",TRIM(C256)&amp;" ")-1),",","."),FIND("/",SUBSTITUTE(LEFT(TRIM(C256),FIND(" ",TRIM(C256)&amp;" ")-1),",","."))-1)/MID(SUBSTITUTE(LEFT(TRIM(C256),FIND(" ",TRIM(C256)&amp;" ")-1),",","."),FIND("/",SUBSTITUTE(LEFT(TRIM(C256),FIND(" ",TRIM(C256)&amp;" ")-1),",","."))+1,9))*12/52,IF(ISNUMBER(SEARCH("month",C256)),IFERROR(_xlfn.NUMBERVALUE(SUBSTITUTE(LEFT(TRIM(C256),FIND(" ",TRIM(C256)&amp;" ")-1),",","."),"."),LEFT(SUBSTITUTE(LEFT(TRIM(C256),FIND(" ",TRIM(C256)&amp;" ")-1),",","."),FIND("/",SUBSTITUTE(LEFT(TRIM(C256),FIND(" ",TRIM(C256)&amp;" ")-1),",","."))-1)/MID(SUBSTITUTE(LEFT(TRIM(C256),FIND(" ",TRIM(C256)&amp;" ")-1),",","."),FIND("/",SUBSTITUTE(LEFT(TRIM(C256),FIND(" ",TRIM(C256)&amp;" ")-1),",","."))+1,9)),IF(ISNUMBER(SEARCH("yea",C256)),IFERROR(_xlfn.NUMBERVALUE(SUBSTITUTE(LEFT(TRIM(C256),FIND(" ",TRIM(C256)&amp;" ")-1),",","."),"."),LEFT(SUBSTITUTE(LEFT(TRIM(C256),FIND(" ",TRIM(C256)&amp;" ")-1),",","."),FIND("/",SUBSTITUTE(LEFT(TRIM(C256),FIND(" ",TRIM(C256)&amp;" ")-1),",","."))-1)/MID(SUBSTITUTE(LEFT(TRIM(C256),FIND(" ",TRIM(C256)&amp;" ")-1),",","."),FIND("/",SUBSTITUTE(LEFT(TRIM(C256),FIND(" ",TRIM(C256)&amp;" ")-1),",","."))+1,9))*12,NA()))),0),18)*'Aturan &amp; Tarif'!$B$4,2)</f>
        <v>1022.04</v>
      </c>
      <c r="K256" s="32" t="n">
        <f aca="false">'Aturan &amp; Tarif'!$B$5</f>
        <v>2050</v>
      </c>
      <c r="L256" s="35" t="n">
        <f aca="false">I256+J256+K256</f>
        <v>16972.04</v>
      </c>
      <c r="M256" s="37" t="s">
        <v>738</v>
      </c>
    </row>
    <row r="257" customFormat="false" ht="25.5" hidden="false" customHeight="true" outlineLevel="0" collapsed="false">
      <c r="A257" s="29"/>
      <c r="B257" s="30" t="s">
        <v>975</v>
      </c>
      <c r="C257" s="31" t="s">
        <v>113</v>
      </c>
      <c r="D257" s="31" t="s">
        <v>737</v>
      </c>
      <c r="E257" s="32" t="n">
        <v>13600</v>
      </c>
      <c r="F257" s="32" t="n">
        <v>0</v>
      </c>
      <c r="G257" s="32" t="n">
        <v>300</v>
      </c>
      <c r="H257" s="33" t="n">
        <v>1</v>
      </c>
      <c r="I257" s="34" t="n">
        <f aca="false">E257*H257+N(F257)+N(G257)</f>
        <v>13900</v>
      </c>
      <c r="J257" s="32" t="n">
        <f aca="false">ROUND(IFERROR(ROUND(IF(OR(ISNUMBER(SEARCH("week",C257)),ISNUMBER(SEARCH("minggu",C257))),IFERROR(_xlfn.NUMBERVALUE(SUBSTITUTE(LEFT(TRIM(C257),FIND(" ",TRIM(C257)&amp;" ")-1),",","."),"."),LEFT(SUBSTITUTE(LEFT(TRIM(C257),FIND(" ",TRIM(C257)&amp;" ")-1),",","."),FIND("/",SUBSTITUTE(LEFT(TRIM(C257),FIND(" ",TRIM(C257)&amp;" ")-1),",","."))-1)/MID(SUBSTITUTE(LEFT(TRIM(C257),FIND(" ",TRIM(C257)&amp;" ")-1),",","."),FIND("/",SUBSTITUTE(LEFT(TRIM(C257),FIND(" ",TRIM(C257)&amp;" ")-1),",","."))+1,9))*12/52,IF(ISNUMBER(SEARCH("month",C257)),IFERROR(_xlfn.NUMBERVALUE(SUBSTITUTE(LEFT(TRIM(C257),FIND(" ",TRIM(C257)&amp;" ")-1),",","."),"."),LEFT(SUBSTITUTE(LEFT(TRIM(C257),FIND(" ",TRIM(C257)&amp;" ")-1),",","."),FIND("/",SUBSTITUTE(LEFT(TRIM(C257),FIND(" ",TRIM(C257)&amp;" ")-1),",","."))-1)/MID(SUBSTITUTE(LEFT(TRIM(C257),FIND(" ",TRIM(C257)&amp;" ")-1),",","."),FIND("/",SUBSTITUTE(LEFT(TRIM(C257),FIND(" ",TRIM(C257)&amp;" ")-1),",","."))+1,9)),IF(ISNUMBER(SEARCH("yea",C257)),IFERROR(_xlfn.NUMBERVALUE(SUBSTITUTE(LEFT(TRIM(C257),FIND(" ",TRIM(C257)&amp;" ")-1),",","."),"."),LEFT(SUBSTITUTE(LEFT(TRIM(C257),FIND(" ",TRIM(C257)&amp;" ")-1),",","."),FIND("/",SUBSTITUTE(LEFT(TRIM(C257),FIND(" ",TRIM(C257)&amp;" ")-1),",","."))-1)/MID(SUBSTITUTE(LEFT(TRIM(C257),FIND(" ",TRIM(C257)&amp;" ")-1),",","."),FIND("/",SUBSTITUTE(LEFT(TRIM(C257),FIND(" ",TRIM(C257)&amp;" ")-1),",","."))+1,9))*12,NA()))),0),18)*'Aturan &amp; Tarif'!$B$4,2)</f>
        <v>1022.04</v>
      </c>
      <c r="K257" s="32" t="n">
        <f aca="false">'Aturan &amp; Tarif'!$B$5</f>
        <v>2050</v>
      </c>
      <c r="L257" s="35" t="n">
        <f aca="false">I257+J257+K257</f>
        <v>16972.04</v>
      </c>
      <c r="M257" s="37" t="s">
        <v>738</v>
      </c>
    </row>
    <row r="258" customFormat="false" ht="25.5" hidden="false" customHeight="true" outlineLevel="0" collapsed="false">
      <c r="A258" s="29"/>
      <c r="B258" s="30" t="s">
        <v>976</v>
      </c>
      <c r="C258" s="31" t="s">
        <v>107</v>
      </c>
      <c r="D258" s="31" t="s">
        <v>737</v>
      </c>
      <c r="E258" s="32" t="n">
        <v>13600</v>
      </c>
      <c r="F258" s="32" t="n">
        <v>0</v>
      </c>
      <c r="G258" s="32" t="n">
        <v>300</v>
      </c>
      <c r="H258" s="33" t="n">
        <v>1</v>
      </c>
      <c r="I258" s="34" t="n">
        <f aca="false">E258*H258+N(F258)+N(G258)</f>
        <v>13900</v>
      </c>
      <c r="J258" s="32" t="n">
        <f aca="false">ROUND(IFERROR(ROUND(IF(OR(ISNUMBER(SEARCH("week",C258)),ISNUMBER(SEARCH("minggu",C258))),IFERROR(_xlfn.NUMBERVALUE(SUBSTITUTE(LEFT(TRIM(C258),FIND(" ",TRIM(C258)&amp;" ")-1),",","."),"."),LEFT(SUBSTITUTE(LEFT(TRIM(C258),FIND(" ",TRIM(C258)&amp;" ")-1),",","."),FIND("/",SUBSTITUTE(LEFT(TRIM(C258),FIND(" ",TRIM(C258)&amp;" ")-1),",","."))-1)/MID(SUBSTITUTE(LEFT(TRIM(C258),FIND(" ",TRIM(C258)&amp;" ")-1),",","."),FIND("/",SUBSTITUTE(LEFT(TRIM(C258),FIND(" ",TRIM(C258)&amp;" ")-1),",","."))+1,9))*12/52,IF(ISNUMBER(SEARCH("month",C258)),IFERROR(_xlfn.NUMBERVALUE(SUBSTITUTE(LEFT(TRIM(C258),FIND(" ",TRIM(C258)&amp;" ")-1),",","."),"."),LEFT(SUBSTITUTE(LEFT(TRIM(C258),FIND(" ",TRIM(C258)&amp;" ")-1),",","."),FIND("/",SUBSTITUTE(LEFT(TRIM(C258),FIND(" ",TRIM(C258)&amp;" ")-1),",","."))-1)/MID(SUBSTITUTE(LEFT(TRIM(C258),FIND(" ",TRIM(C258)&amp;" ")-1),",","."),FIND("/",SUBSTITUTE(LEFT(TRIM(C258),FIND(" ",TRIM(C258)&amp;" ")-1),",","."))+1,9)),IF(ISNUMBER(SEARCH("yea",C258)),IFERROR(_xlfn.NUMBERVALUE(SUBSTITUTE(LEFT(TRIM(C258),FIND(" ",TRIM(C258)&amp;" ")-1),",","."),"."),LEFT(SUBSTITUTE(LEFT(TRIM(C258),FIND(" ",TRIM(C258)&amp;" ")-1),",","."),FIND("/",SUBSTITUTE(LEFT(TRIM(C258),FIND(" ",TRIM(C258)&amp;" ")-1),",","."))-1)/MID(SUBSTITUTE(LEFT(TRIM(C258),FIND(" ",TRIM(C258)&amp;" ")-1),",","."),FIND("/",SUBSTITUTE(LEFT(TRIM(C258),FIND(" ",TRIM(C258)&amp;" ")-1),",","."))+1,9))*12,NA()))),0),24)*'Aturan &amp; Tarif'!$B$4,2)</f>
        <v>1362.72</v>
      </c>
      <c r="K258" s="32" t="n">
        <f aca="false">'Aturan &amp; Tarif'!$B$5</f>
        <v>2050</v>
      </c>
      <c r="L258" s="35" t="n">
        <f aca="false">I258+J258+K258</f>
        <v>17312.72</v>
      </c>
      <c r="M258" s="37" t="s">
        <v>738</v>
      </c>
    </row>
    <row r="259" customFormat="false" ht="37.5" hidden="false" customHeight="true" outlineLevel="0" collapsed="false">
      <c r="A259" s="29"/>
      <c r="B259" s="30" t="s">
        <v>977</v>
      </c>
      <c r="C259" s="31" t="s">
        <v>138</v>
      </c>
      <c r="D259" s="31" t="s">
        <v>737</v>
      </c>
      <c r="E259" s="32" t="n">
        <v>13600</v>
      </c>
      <c r="F259" s="32" t="n">
        <v>0</v>
      </c>
      <c r="G259" s="32" t="n">
        <v>300</v>
      </c>
      <c r="H259" s="33" t="n">
        <v>1</v>
      </c>
      <c r="I259" s="34" t="n">
        <f aca="false">E259*H259+N(F259)+N(G259)</f>
        <v>13900</v>
      </c>
      <c r="J259" s="32" t="n">
        <f aca="false">ROUND(IFERROR(ROUND(IF(OR(ISNUMBER(SEARCH("week",C259)),ISNUMBER(SEARCH("minggu",C259))),IFERROR(_xlfn.NUMBERVALUE(SUBSTITUTE(LEFT(TRIM(C259),FIND(" ",TRIM(C259)&amp;" ")-1),",","."),"."),LEFT(SUBSTITUTE(LEFT(TRIM(C259),FIND(" ",TRIM(C259)&amp;" ")-1),",","."),FIND("/",SUBSTITUTE(LEFT(TRIM(C259),FIND(" ",TRIM(C259)&amp;" ")-1),",","."))-1)/MID(SUBSTITUTE(LEFT(TRIM(C259),FIND(" ",TRIM(C259)&amp;" ")-1),",","."),FIND("/",SUBSTITUTE(LEFT(TRIM(C259),FIND(" ",TRIM(C259)&amp;" ")-1),",","."))+1,9))*12/52,IF(ISNUMBER(SEARCH("month",C259)),IFERROR(_xlfn.NUMBERVALUE(SUBSTITUTE(LEFT(TRIM(C259),FIND(" ",TRIM(C259)&amp;" ")-1),",","."),"."),LEFT(SUBSTITUTE(LEFT(TRIM(C259),FIND(" ",TRIM(C259)&amp;" ")-1),",","."),FIND("/",SUBSTITUTE(LEFT(TRIM(C259),FIND(" ",TRIM(C259)&amp;" ")-1),",","."))-1)/MID(SUBSTITUTE(LEFT(TRIM(C259),FIND(" ",TRIM(C259)&amp;" ")-1),",","."),FIND("/",SUBSTITUTE(LEFT(TRIM(C259),FIND(" ",TRIM(C259)&amp;" ")-1),",","."))+1,9)),IF(ISNUMBER(SEARCH("yea",C259)),IFERROR(_xlfn.NUMBERVALUE(SUBSTITUTE(LEFT(TRIM(C259),FIND(" ",TRIM(C259)&amp;" ")-1),",","."),"."),LEFT(SUBSTITUTE(LEFT(TRIM(C259),FIND(" ",TRIM(C259)&amp;" ")-1),",","."),FIND("/",SUBSTITUTE(LEFT(TRIM(C259),FIND(" ",TRIM(C259)&amp;" ")-1),",","."))-1)/MID(SUBSTITUTE(LEFT(TRIM(C259),FIND(" ",TRIM(C259)&amp;" ")-1),",","."),FIND("/",SUBSTITUTE(LEFT(TRIM(C259),FIND(" ",TRIM(C259)&amp;" ")-1),",","."))+1,9))*12,NA()))),0),30)*'Aturan &amp; Tarif'!$B$4,2)</f>
        <v>1703.4</v>
      </c>
      <c r="K259" s="32" t="n">
        <f aca="false">'Aturan &amp; Tarif'!$B$5</f>
        <v>2050</v>
      </c>
      <c r="L259" s="35" t="n">
        <f aca="false">I259+J259+K259</f>
        <v>17653.4</v>
      </c>
      <c r="M259" s="37" t="s">
        <v>738</v>
      </c>
    </row>
    <row r="260" customFormat="false" ht="25.5" hidden="false" customHeight="true" outlineLevel="0" collapsed="false">
      <c r="A260" s="29"/>
      <c r="B260" s="30" t="s">
        <v>2126</v>
      </c>
      <c r="C260" s="31" t="s">
        <v>344</v>
      </c>
      <c r="D260" s="31" t="s">
        <v>737</v>
      </c>
      <c r="E260" s="32" t="n">
        <v>14560</v>
      </c>
      <c r="F260" s="32" t="n">
        <v>0</v>
      </c>
      <c r="G260" s="32" t="n">
        <v>300</v>
      </c>
      <c r="H260" s="33" t="n">
        <v>1</v>
      </c>
      <c r="I260" s="34" t="n">
        <f aca="false">E260*H260+N(F260)+N(G260)</f>
        <v>14860</v>
      </c>
      <c r="J260" s="32" t="n">
        <f aca="false">ROUND(IFERROR(ROUND(IF(OR(ISNUMBER(SEARCH("week",C260)),ISNUMBER(SEARCH("minggu",C260))),IFERROR(_xlfn.NUMBERVALUE(SUBSTITUTE(LEFT(TRIM(C260),FIND(" ",TRIM(C260)&amp;" ")-1),",","."),"."),LEFT(SUBSTITUTE(LEFT(TRIM(C260),FIND(" ",TRIM(C260)&amp;" ")-1),",","."),FIND("/",SUBSTITUTE(LEFT(TRIM(C260),FIND(" ",TRIM(C260)&amp;" ")-1),",","."))-1)/MID(SUBSTITUTE(LEFT(TRIM(C260),FIND(" ",TRIM(C260)&amp;" ")-1),",","."),FIND("/",SUBSTITUTE(LEFT(TRIM(C260),FIND(" ",TRIM(C260)&amp;" ")-1),",","."))+1,9))*12/52,IF(ISNUMBER(SEARCH("month",C260)),IFERROR(_xlfn.NUMBERVALUE(SUBSTITUTE(LEFT(TRIM(C260),FIND(" ",TRIM(C260)&amp;" ")-1),",","."),"."),LEFT(SUBSTITUTE(LEFT(TRIM(C260),FIND(" ",TRIM(C260)&amp;" ")-1),",","."),FIND("/",SUBSTITUTE(LEFT(TRIM(C260),FIND(" ",TRIM(C260)&amp;" ")-1),",","."))-1)/MID(SUBSTITUTE(LEFT(TRIM(C260),FIND(" ",TRIM(C260)&amp;" ")-1),",","."),FIND("/",SUBSTITUTE(LEFT(TRIM(C260),FIND(" ",TRIM(C260)&amp;" ")-1),",","."))+1,9)),IF(ISNUMBER(SEARCH("yea",C260)),IFERROR(_xlfn.NUMBERVALUE(SUBSTITUTE(LEFT(TRIM(C260),FIND(" ",TRIM(C260)&amp;" ")-1),",","."),"."),LEFT(SUBSTITUTE(LEFT(TRIM(C260),FIND(" ",TRIM(C260)&amp;" ")-1),",","."),FIND("/",SUBSTITUTE(LEFT(TRIM(C260),FIND(" ",TRIM(C260)&amp;" ")-1),",","."))-1)/MID(SUBSTITUTE(LEFT(TRIM(C260),FIND(" ",TRIM(C260)&amp;" ")-1),",","."),FIND("/",SUBSTITUTE(LEFT(TRIM(C260),FIND(" ",TRIM(C260)&amp;" ")-1),",","."))+1,9))*12,NA()))),0),6)*'Aturan &amp; Tarif'!$B$4,2)</f>
        <v>340.68</v>
      </c>
      <c r="K260" s="32" t="n">
        <f aca="false">'Aturan &amp; Tarif'!$B$5</f>
        <v>2050</v>
      </c>
      <c r="L260" s="35" t="n">
        <f aca="false">I260+J260+K260</f>
        <v>17250.68</v>
      </c>
      <c r="M260" s="37" t="s">
        <v>738</v>
      </c>
    </row>
    <row r="261" customFormat="false" ht="25.5" hidden="false" customHeight="true" outlineLevel="0" collapsed="false">
      <c r="A261" s="29"/>
      <c r="B261" s="30" t="s">
        <v>2127</v>
      </c>
      <c r="C261" s="31" t="s">
        <v>130</v>
      </c>
      <c r="D261" s="31" t="s">
        <v>737</v>
      </c>
      <c r="E261" s="32" t="n">
        <v>14560</v>
      </c>
      <c r="F261" s="32" t="n">
        <v>0</v>
      </c>
      <c r="G261" s="32" t="n">
        <v>300</v>
      </c>
      <c r="H261" s="33" t="n">
        <v>1</v>
      </c>
      <c r="I261" s="34" t="n">
        <f aca="false">E261*H261+N(F261)+N(G261)</f>
        <v>14860</v>
      </c>
      <c r="J261" s="32" t="n">
        <f aca="false">ROUND(IFERROR(ROUND(IF(OR(ISNUMBER(SEARCH("week",C261)),ISNUMBER(SEARCH("minggu",C261))),IFERROR(_xlfn.NUMBERVALUE(SUBSTITUTE(LEFT(TRIM(C261),FIND(" ",TRIM(C261)&amp;" ")-1),",","."),"."),LEFT(SUBSTITUTE(LEFT(TRIM(C261),FIND(" ",TRIM(C261)&amp;" ")-1),",","."),FIND("/",SUBSTITUTE(LEFT(TRIM(C261),FIND(" ",TRIM(C261)&amp;" ")-1),",","."))-1)/MID(SUBSTITUTE(LEFT(TRIM(C261),FIND(" ",TRIM(C261)&amp;" ")-1),",","."),FIND("/",SUBSTITUTE(LEFT(TRIM(C261),FIND(" ",TRIM(C261)&amp;" ")-1),",","."))+1,9))*12/52,IF(ISNUMBER(SEARCH("month",C261)),IFERROR(_xlfn.NUMBERVALUE(SUBSTITUTE(LEFT(TRIM(C261),FIND(" ",TRIM(C261)&amp;" ")-1),",","."),"."),LEFT(SUBSTITUTE(LEFT(TRIM(C261),FIND(" ",TRIM(C261)&amp;" ")-1),",","."),FIND("/",SUBSTITUTE(LEFT(TRIM(C261),FIND(" ",TRIM(C261)&amp;" ")-1),",","."))-1)/MID(SUBSTITUTE(LEFT(TRIM(C261),FIND(" ",TRIM(C261)&amp;" ")-1),",","."),FIND("/",SUBSTITUTE(LEFT(TRIM(C261),FIND(" ",TRIM(C261)&amp;" ")-1),",","."))+1,9)),IF(ISNUMBER(SEARCH("yea",C261)),IFERROR(_xlfn.NUMBERVALUE(SUBSTITUTE(LEFT(TRIM(C261),FIND(" ",TRIM(C261)&amp;" ")-1),",","."),"."),LEFT(SUBSTITUTE(LEFT(TRIM(C261),FIND(" ",TRIM(C261)&amp;" ")-1),",","."),FIND("/",SUBSTITUTE(LEFT(TRIM(C261),FIND(" ",TRIM(C261)&amp;" ")-1),",","."))-1)/MID(SUBSTITUTE(LEFT(TRIM(C261),FIND(" ",TRIM(C261)&amp;" ")-1),",","."),FIND("/",SUBSTITUTE(LEFT(TRIM(C261),FIND(" ",TRIM(C261)&amp;" ")-1),",","."))+1,9))*12,NA()))),0),12)*'Aturan &amp; Tarif'!$B$4,2)</f>
        <v>681.36</v>
      </c>
      <c r="K261" s="32" t="n">
        <f aca="false">'Aturan &amp; Tarif'!$B$5</f>
        <v>2050</v>
      </c>
      <c r="L261" s="35" t="n">
        <f aca="false">I261+J261+K261</f>
        <v>17591.36</v>
      </c>
      <c r="M261" s="37" t="s">
        <v>738</v>
      </c>
    </row>
    <row r="262" customFormat="false" ht="25.5" hidden="false" customHeight="true" outlineLevel="0" collapsed="false">
      <c r="A262" s="29"/>
      <c r="B262" s="30" t="s">
        <v>1915</v>
      </c>
      <c r="C262" s="31" t="s">
        <v>113</v>
      </c>
      <c r="D262" s="31" t="s">
        <v>737</v>
      </c>
      <c r="E262" s="32" t="n">
        <v>14560</v>
      </c>
      <c r="F262" s="32" t="n">
        <v>0</v>
      </c>
      <c r="G262" s="32" t="n">
        <v>300</v>
      </c>
      <c r="H262" s="33" t="n">
        <v>1</v>
      </c>
      <c r="I262" s="34" t="n">
        <f aca="false">E262*H262+N(F262)+N(G262)</f>
        <v>14860</v>
      </c>
      <c r="J262" s="32" t="n">
        <f aca="false">ROUND(IFERROR(ROUND(IF(OR(ISNUMBER(SEARCH("week",C262)),ISNUMBER(SEARCH("minggu",C262))),IFERROR(_xlfn.NUMBERVALUE(SUBSTITUTE(LEFT(TRIM(C262),FIND(" ",TRIM(C262)&amp;" ")-1),",","."),"."),LEFT(SUBSTITUTE(LEFT(TRIM(C262),FIND(" ",TRIM(C262)&amp;" ")-1),",","."),FIND("/",SUBSTITUTE(LEFT(TRIM(C262),FIND(" ",TRIM(C262)&amp;" ")-1),",","."))-1)/MID(SUBSTITUTE(LEFT(TRIM(C262),FIND(" ",TRIM(C262)&amp;" ")-1),",","."),FIND("/",SUBSTITUTE(LEFT(TRIM(C262),FIND(" ",TRIM(C262)&amp;" ")-1),",","."))+1,9))*12/52,IF(ISNUMBER(SEARCH("month",C262)),IFERROR(_xlfn.NUMBERVALUE(SUBSTITUTE(LEFT(TRIM(C262),FIND(" ",TRIM(C262)&amp;" ")-1),",","."),"."),LEFT(SUBSTITUTE(LEFT(TRIM(C262),FIND(" ",TRIM(C262)&amp;" ")-1),",","."),FIND("/",SUBSTITUTE(LEFT(TRIM(C262),FIND(" ",TRIM(C262)&amp;" ")-1),",","."))-1)/MID(SUBSTITUTE(LEFT(TRIM(C262),FIND(" ",TRIM(C262)&amp;" ")-1),",","."),FIND("/",SUBSTITUTE(LEFT(TRIM(C262),FIND(" ",TRIM(C262)&amp;" ")-1),",","."))+1,9)),IF(ISNUMBER(SEARCH("yea",C262)),IFERROR(_xlfn.NUMBERVALUE(SUBSTITUTE(LEFT(TRIM(C262),FIND(" ",TRIM(C262)&amp;" ")-1),",","."),"."),LEFT(SUBSTITUTE(LEFT(TRIM(C262),FIND(" ",TRIM(C262)&amp;" ")-1),",","."),FIND("/",SUBSTITUTE(LEFT(TRIM(C262),FIND(" ",TRIM(C262)&amp;" ")-1),",","."))-1)/MID(SUBSTITUTE(LEFT(TRIM(C262),FIND(" ",TRIM(C262)&amp;" ")-1),",","."),FIND("/",SUBSTITUTE(LEFT(TRIM(C262),FIND(" ",TRIM(C262)&amp;" ")-1),",","."))+1,9))*12,NA()))),0),18)*'Aturan &amp; Tarif'!$B$4,2)</f>
        <v>1022.04</v>
      </c>
      <c r="K262" s="32" t="n">
        <f aca="false">'Aturan &amp; Tarif'!$B$5</f>
        <v>2050</v>
      </c>
      <c r="L262" s="35" t="n">
        <f aca="false">I262+J262+K262</f>
        <v>17932.04</v>
      </c>
      <c r="M262" s="37" t="s">
        <v>738</v>
      </c>
    </row>
    <row r="263" customFormat="false" ht="25.5" hidden="false" customHeight="true" outlineLevel="0" collapsed="false">
      <c r="A263" s="29"/>
      <c r="B263" s="30" t="s">
        <v>2128</v>
      </c>
      <c r="C263" s="31" t="s">
        <v>107</v>
      </c>
      <c r="D263" s="31" t="s">
        <v>737</v>
      </c>
      <c r="E263" s="32" t="n">
        <v>14560</v>
      </c>
      <c r="F263" s="32" t="n">
        <v>0</v>
      </c>
      <c r="G263" s="32" t="n">
        <v>300</v>
      </c>
      <c r="H263" s="33" t="n">
        <v>1</v>
      </c>
      <c r="I263" s="34" t="n">
        <f aca="false">E263*H263+N(F263)+N(G263)</f>
        <v>14860</v>
      </c>
      <c r="J263" s="32" t="n">
        <f aca="false">ROUND(IFERROR(ROUND(IF(OR(ISNUMBER(SEARCH("week",C263)),ISNUMBER(SEARCH("minggu",C263))),IFERROR(_xlfn.NUMBERVALUE(SUBSTITUTE(LEFT(TRIM(C263),FIND(" ",TRIM(C263)&amp;" ")-1),",","."),"."),LEFT(SUBSTITUTE(LEFT(TRIM(C263),FIND(" ",TRIM(C263)&amp;" ")-1),",","."),FIND("/",SUBSTITUTE(LEFT(TRIM(C263),FIND(" ",TRIM(C263)&amp;" ")-1),",","."))-1)/MID(SUBSTITUTE(LEFT(TRIM(C263),FIND(" ",TRIM(C263)&amp;" ")-1),",","."),FIND("/",SUBSTITUTE(LEFT(TRIM(C263),FIND(" ",TRIM(C263)&amp;" ")-1),",","."))+1,9))*12/52,IF(ISNUMBER(SEARCH("month",C263)),IFERROR(_xlfn.NUMBERVALUE(SUBSTITUTE(LEFT(TRIM(C263),FIND(" ",TRIM(C263)&amp;" ")-1),",","."),"."),LEFT(SUBSTITUTE(LEFT(TRIM(C263),FIND(" ",TRIM(C263)&amp;" ")-1),",","."),FIND("/",SUBSTITUTE(LEFT(TRIM(C263),FIND(" ",TRIM(C263)&amp;" ")-1),",","."))-1)/MID(SUBSTITUTE(LEFT(TRIM(C263),FIND(" ",TRIM(C263)&amp;" ")-1),",","."),FIND("/",SUBSTITUTE(LEFT(TRIM(C263),FIND(" ",TRIM(C263)&amp;" ")-1),",","."))+1,9)),IF(ISNUMBER(SEARCH("yea",C263)),IFERROR(_xlfn.NUMBERVALUE(SUBSTITUTE(LEFT(TRIM(C263),FIND(" ",TRIM(C263)&amp;" ")-1),",","."),"."),LEFT(SUBSTITUTE(LEFT(TRIM(C263),FIND(" ",TRIM(C263)&amp;" ")-1),",","."),FIND("/",SUBSTITUTE(LEFT(TRIM(C263),FIND(" ",TRIM(C263)&amp;" ")-1),",","."))-1)/MID(SUBSTITUTE(LEFT(TRIM(C263),FIND(" ",TRIM(C263)&amp;" ")-1),",","."),FIND("/",SUBSTITUTE(LEFT(TRIM(C263),FIND(" ",TRIM(C263)&amp;" ")-1),",","."))+1,9))*12,NA()))),0),24)*'Aturan &amp; Tarif'!$B$4,2)</f>
        <v>1362.72</v>
      </c>
      <c r="K263" s="32" t="n">
        <f aca="false">'Aturan &amp; Tarif'!$B$5</f>
        <v>2050</v>
      </c>
      <c r="L263" s="35" t="n">
        <f aca="false">I263+J263+K263</f>
        <v>18272.72</v>
      </c>
      <c r="M263" s="37" t="s">
        <v>738</v>
      </c>
    </row>
    <row r="264" customFormat="false" ht="37.5" hidden="false" customHeight="true" outlineLevel="0" collapsed="false">
      <c r="A264" s="39" t="s">
        <v>982</v>
      </c>
      <c r="B264" s="40" t="s">
        <v>983</v>
      </c>
      <c r="C264" s="41" t="s">
        <v>113</v>
      </c>
      <c r="D264" s="41" t="s">
        <v>108</v>
      </c>
      <c r="E264" s="42" t="n">
        <v>6997.5</v>
      </c>
      <c r="F264" s="42"/>
      <c r="G264" s="42" t="n">
        <v>250</v>
      </c>
      <c r="H264" s="43" t="n">
        <v>2</v>
      </c>
      <c r="I264" s="34" t="n">
        <f aca="false">E264*H264+N(F264)+N(G264)</f>
        <v>14245</v>
      </c>
      <c r="J264" s="42" t="n">
        <f aca="false">ROUND(IFERROR(ROUND(IF(OR(ISNUMBER(SEARCH("week",C264)),ISNUMBER(SEARCH("minggu",C264))),IFERROR(_xlfn.NUMBERVALUE(SUBSTITUTE(LEFT(TRIM(C264),FIND(" ",TRIM(C264)&amp;" ")-1),",","."),"."),LEFT(SUBSTITUTE(LEFT(TRIM(C264),FIND(" ",TRIM(C264)&amp;" ")-1),",","."),FIND("/",SUBSTITUTE(LEFT(TRIM(C264),FIND(" ",TRIM(C264)&amp;" ")-1),",","."))-1)/MID(SUBSTITUTE(LEFT(TRIM(C264),FIND(" ",TRIM(C264)&amp;" ")-1),",","."),FIND("/",SUBSTITUTE(LEFT(TRIM(C264),FIND(" ",TRIM(C264)&amp;" ")-1),",","."))+1,9))*12/52,IF(ISNUMBER(SEARCH("month",C264)),IFERROR(_xlfn.NUMBERVALUE(SUBSTITUTE(LEFT(TRIM(C264),FIND(" ",TRIM(C264)&amp;" ")-1),",","."),"."),LEFT(SUBSTITUTE(LEFT(TRIM(C264),FIND(" ",TRIM(C264)&amp;" ")-1),",","."),FIND("/",SUBSTITUTE(LEFT(TRIM(C264),FIND(" ",TRIM(C264)&amp;" ")-1),",","."))-1)/MID(SUBSTITUTE(LEFT(TRIM(C264),FIND(" ",TRIM(C264)&amp;" ")-1),",","."),FIND("/",SUBSTITUTE(LEFT(TRIM(C264),FIND(" ",TRIM(C264)&amp;" ")-1),",","."))+1,9)),IF(ISNUMBER(SEARCH("yea",C264)),IFERROR(_xlfn.NUMBERVALUE(SUBSTITUTE(LEFT(TRIM(C264),FIND(" ",TRIM(C264)&amp;" ")-1),",","."),"."),LEFT(SUBSTITUTE(LEFT(TRIM(C264),FIND(" ",TRIM(C264)&amp;" ")-1),",","."),FIND("/",SUBSTITUTE(LEFT(TRIM(C264),FIND(" ",TRIM(C264)&amp;" ")-1),",","."))-1)/MID(SUBSTITUTE(LEFT(TRIM(C264),FIND(" ",TRIM(C264)&amp;" ")-1),",","."),FIND("/",SUBSTITUTE(LEFT(TRIM(C264),FIND(" ",TRIM(C264)&amp;" ")-1),",","."))+1,9))*12,NA()))),0),18)*'Aturan &amp; Tarif'!$B$4,2)</f>
        <v>1022.04</v>
      </c>
      <c r="K264" s="42" t="n">
        <f aca="false">'Aturan &amp; Tarif'!$B$5</f>
        <v>2050</v>
      </c>
      <c r="L264" s="35" t="n">
        <f aca="false">I264+J264+K264</f>
        <v>17317.04</v>
      </c>
      <c r="M264" s="45" t="s">
        <v>984</v>
      </c>
    </row>
    <row r="265" customFormat="false" ht="14.25" hidden="false" customHeight="true" outlineLevel="0" collapsed="false">
      <c r="A265" s="39"/>
      <c r="B265" s="40" t="s">
        <v>985</v>
      </c>
      <c r="C265" s="41" t="s">
        <v>344</v>
      </c>
      <c r="D265" s="41" t="s">
        <v>108</v>
      </c>
      <c r="E265" s="42" t="n">
        <v>6737</v>
      </c>
      <c r="F265" s="42"/>
      <c r="G265" s="42" t="n">
        <v>250</v>
      </c>
      <c r="H265" s="43" t="n">
        <v>2</v>
      </c>
      <c r="I265" s="34" t="n">
        <f aca="false">E265*H265+N(F265)+N(G265)</f>
        <v>13724</v>
      </c>
      <c r="J265" s="42" t="n">
        <f aca="false">ROUND(IFERROR(ROUND(IF(OR(ISNUMBER(SEARCH("week",C265)),ISNUMBER(SEARCH("minggu",C265))),IFERROR(_xlfn.NUMBERVALUE(SUBSTITUTE(LEFT(TRIM(C265),FIND(" ",TRIM(C265)&amp;" ")-1),",","."),"."),LEFT(SUBSTITUTE(LEFT(TRIM(C265),FIND(" ",TRIM(C265)&amp;" ")-1),",","."),FIND("/",SUBSTITUTE(LEFT(TRIM(C265),FIND(" ",TRIM(C265)&amp;" ")-1),",","."))-1)/MID(SUBSTITUTE(LEFT(TRIM(C265),FIND(" ",TRIM(C265)&amp;" ")-1),",","."),FIND("/",SUBSTITUTE(LEFT(TRIM(C265),FIND(" ",TRIM(C265)&amp;" ")-1),",","."))+1,9))*12/52,IF(ISNUMBER(SEARCH("month",C265)),IFERROR(_xlfn.NUMBERVALUE(SUBSTITUTE(LEFT(TRIM(C265),FIND(" ",TRIM(C265)&amp;" ")-1),",","."),"."),LEFT(SUBSTITUTE(LEFT(TRIM(C265),FIND(" ",TRIM(C265)&amp;" ")-1),",","."),FIND("/",SUBSTITUTE(LEFT(TRIM(C265),FIND(" ",TRIM(C265)&amp;" ")-1),",","."))-1)/MID(SUBSTITUTE(LEFT(TRIM(C265),FIND(" ",TRIM(C265)&amp;" ")-1),",","."),FIND("/",SUBSTITUTE(LEFT(TRIM(C265),FIND(" ",TRIM(C265)&amp;" ")-1),",","."))+1,9)),IF(ISNUMBER(SEARCH("yea",C265)),IFERROR(_xlfn.NUMBERVALUE(SUBSTITUTE(LEFT(TRIM(C265),FIND(" ",TRIM(C265)&amp;" ")-1),",","."),"."),LEFT(SUBSTITUTE(LEFT(TRIM(C265),FIND(" ",TRIM(C265)&amp;" ")-1),",","."),FIND("/",SUBSTITUTE(LEFT(TRIM(C265),FIND(" ",TRIM(C265)&amp;" ")-1),",","."))-1)/MID(SUBSTITUTE(LEFT(TRIM(C265),FIND(" ",TRIM(C265)&amp;" ")-1),",","."),FIND("/",SUBSTITUTE(LEFT(TRIM(C265),FIND(" ",TRIM(C265)&amp;" ")-1),",","."))+1,9))*12,NA()))),0),6)*'Aturan &amp; Tarif'!$B$4,2)</f>
        <v>340.68</v>
      </c>
      <c r="K265" s="42" t="n">
        <f aca="false">'Aturan &amp; Tarif'!$B$5</f>
        <v>2050</v>
      </c>
      <c r="L265" s="35" t="n">
        <f aca="false">I265+J265+K265</f>
        <v>16114.68</v>
      </c>
      <c r="M265" s="45" t="s">
        <v>986</v>
      </c>
    </row>
    <row r="266" customFormat="false" ht="25.5" hidden="false" customHeight="true" outlineLevel="0" collapsed="false">
      <c r="A266" s="39"/>
      <c r="B266" s="40" t="s">
        <v>987</v>
      </c>
      <c r="C266" s="41" t="s">
        <v>344</v>
      </c>
      <c r="D266" s="41" t="s">
        <v>108</v>
      </c>
      <c r="E266" s="42" t="n">
        <v>7298.5</v>
      </c>
      <c r="F266" s="42"/>
      <c r="G266" s="42" t="n">
        <v>250</v>
      </c>
      <c r="H266" s="43" t="n">
        <v>2</v>
      </c>
      <c r="I266" s="34" t="n">
        <f aca="false">E266*H266+N(F266)+N(G266)</f>
        <v>14847</v>
      </c>
      <c r="J266" s="42" t="n">
        <f aca="false">ROUND(IFERROR(ROUND(IF(OR(ISNUMBER(SEARCH("week",C266)),ISNUMBER(SEARCH("minggu",C266))),IFERROR(_xlfn.NUMBERVALUE(SUBSTITUTE(LEFT(TRIM(C266),FIND(" ",TRIM(C266)&amp;" ")-1),",","."),"."),LEFT(SUBSTITUTE(LEFT(TRIM(C266),FIND(" ",TRIM(C266)&amp;" ")-1),",","."),FIND("/",SUBSTITUTE(LEFT(TRIM(C266),FIND(" ",TRIM(C266)&amp;" ")-1),",","."))-1)/MID(SUBSTITUTE(LEFT(TRIM(C266),FIND(" ",TRIM(C266)&amp;" ")-1),",","."),FIND("/",SUBSTITUTE(LEFT(TRIM(C266),FIND(" ",TRIM(C266)&amp;" ")-1),",","."))+1,9))*12/52,IF(ISNUMBER(SEARCH("month",C266)),IFERROR(_xlfn.NUMBERVALUE(SUBSTITUTE(LEFT(TRIM(C266),FIND(" ",TRIM(C266)&amp;" ")-1),",","."),"."),LEFT(SUBSTITUTE(LEFT(TRIM(C266),FIND(" ",TRIM(C266)&amp;" ")-1),",","."),FIND("/",SUBSTITUTE(LEFT(TRIM(C266),FIND(" ",TRIM(C266)&amp;" ")-1),",","."))-1)/MID(SUBSTITUTE(LEFT(TRIM(C266),FIND(" ",TRIM(C266)&amp;" ")-1),",","."),FIND("/",SUBSTITUTE(LEFT(TRIM(C266),FIND(" ",TRIM(C266)&amp;" ")-1),",","."))+1,9)),IF(ISNUMBER(SEARCH("yea",C266)),IFERROR(_xlfn.NUMBERVALUE(SUBSTITUTE(LEFT(TRIM(C266),FIND(" ",TRIM(C266)&amp;" ")-1),",","."),"."),LEFT(SUBSTITUTE(LEFT(TRIM(C266),FIND(" ",TRIM(C266)&amp;" ")-1),",","."),FIND("/",SUBSTITUTE(LEFT(TRIM(C266),FIND(" ",TRIM(C266)&amp;" ")-1),",","."))-1)/MID(SUBSTITUTE(LEFT(TRIM(C266),FIND(" ",TRIM(C266)&amp;" ")-1),",","."),FIND("/",SUBSTITUTE(LEFT(TRIM(C266),FIND(" ",TRIM(C266)&amp;" ")-1),",","."))+1,9))*12,NA()))),0),6)*'Aturan &amp; Tarif'!$B$4,2)</f>
        <v>340.68</v>
      </c>
      <c r="K266" s="42" t="n">
        <f aca="false">'Aturan &amp; Tarif'!$B$5</f>
        <v>2050</v>
      </c>
      <c r="L266" s="35" t="n">
        <f aca="false">I266+J266+K266</f>
        <v>17237.68</v>
      </c>
      <c r="M266" s="45" t="s">
        <v>986</v>
      </c>
    </row>
    <row r="267" customFormat="false" ht="60" hidden="false" customHeight="true" outlineLevel="0" collapsed="false">
      <c r="A267" s="39"/>
      <c r="B267" s="40" t="s">
        <v>988</v>
      </c>
      <c r="C267" s="41" t="s">
        <v>138</v>
      </c>
      <c r="D267" s="41" t="s">
        <v>108</v>
      </c>
      <c r="E267" s="42" t="n">
        <v>7005.6</v>
      </c>
      <c r="F267" s="42"/>
      <c r="G267" s="42" t="n">
        <v>250</v>
      </c>
      <c r="H267" s="43" t="n">
        <v>2</v>
      </c>
      <c r="I267" s="34" t="n">
        <f aca="false">E267*H267+N(F267)+N(G267)</f>
        <v>14261.2</v>
      </c>
      <c r="J267" s="42" t="n">
        <f aca="false">ROUND(IFERROR(ROUND(IF(OR(ISNUMBER(SEARCH("week",C267)),ISNUMBER(SEARCH("minggu",C267))),IFERROR(_xlfn.NUMBERVALUE(SUBSTITUTE(LEFT(TRIM(C267),FIND(" ",TRIM(C267)&amp;" ")-1),",","."),"."),LEFT(SUBSTITUTE(LEFT(TRIM(C267),FIND(" ",TRIM(C267)&amp;" ")-1),",","."),FIND("/",SUBSTITUTE(LEFT(TRIM(C267),FIND(" ",TRIM(C267)&amp;" ")-1),",","."))-1)/MID(SUBSTITUTE(LEFT(TRIM(C267),FIND(" ",TRIM(C267)&amp;" ")-1),",","."),FIND("/",SUBSTITUTE(LEFT(TRIM(C267),FIND(" ",TRIM(C267)&amp;" ")-1),",","."))+1,9))*12/52,IF(ISNUMBER(SEARCH("month",C267)),IFERROR(_xlfn.NUMBERVALUE(SUBSTITUTE(LEFT(TRIM(C267),FIND(" ",TRIM(C267)&amp;" ")-1),",","."),"."),LEFT(SUBSTITUTE(LEFT(TRIM(C267),FIND(" ",TRIM(C267)&amp;" ")-1),",","."),FIND("/",SUBSTITUTE(LEFT(TRIM(C267),FIND(" ",TRIM(C267)&amp;" ")-1),",","."))-1)/MID(SUBSTITUTE(LEFT(TRIM(C267),FIND(" ",TRIM(C267)&amp;" ")-1),",","."),FIND("/",SUBSTITUTE(LEFT(TRIM(C267),FIND(" ",TRIM(C267)&amp;" ")-1),",","."))+1,9)),IF(ISNUMBER(SEARCH("yea",C267)),IFERROR(_xlfn.NUMBERVALUE(SUBSTITUTE(LEFT(TRIM(C267),FIND(" ",TRIM(C267)&amp;" ")-1),",","."),"."),LEFT(SUBSTITUTE(LEFT(TRIM(C267),FIND(" ",TRIM(C267)&amp;" ")-1),",","."),FIND("/",SUBSTITUTE(LEFT(TRIM(C267),FIND(" ",TRIM(C267)&amp;" ")-1),",","."))-1)/MID(SUBSTITUTE(LEFT(TRIM(C267),FIND(" ",TRIM(C267)&amp;" ")-1),",","."),FIND("/",SUBSTITUTE(LEFT(TRIM(C267),FIND(" ",TRIM(C267)&amp;" ")-1),",","."))+1,9))*12,NA()))),0),30)*'Aturan &amp; Tarif'!$B$4,2)</f>
        <v>1703.4</v>
      </c>
      <c r="K267" s="42" t="n">
        <f aca="false">'Aturan &amp; Tarif'!$B$5</f>
        <v>2050</v>
      </c>
      <c r="L267" s="35" t="n">
        <f aca="false">I267+J267+K267</f>
        <v>18014.6</v>
      </c>
      <c r="M267" s="44" t="s">
        <v>989</v>
      </c>
    </row>
    <row r="268" customFormat="false" ht="14.25" hidden="false" customHeight="true" outlineLevel="0" collapsed="false">
      <c r="A268" s="39"/>
      <c r="B268" s="40" t="s">
        <v>990</v>
      </c>
      <c r="C268" s="41" t="s">
        <v>113</v>
      </c>
      <c r="D268" s="41" t="s">
        <v>108</v>
      </c>
      <c r="E268" s="42" t="n">
        <v>6997.5</v>
      </c>
      <c r="F268" s="42"/>
      <c r="G268" s="42" t="n">
        <v>250</v>
      </c>
      <c r="H268" s="43" t="n">
        <v>2</v>
      </c>
      <c r="I268" s="34" t="n">
        <f aca="false">E268*H268+N(F268)+N(G268)</f>
        <v>14245</v>
      </c>
      <c r="J268" s="42" t="n">
        <f aca="false">ROUND(IFERROR(ROUND(IF(OR(ISNUMBER(SEARCH("week",C268)),ISNUMBER(SEARCH("minggu",C268))),IFERROR(_xlfn.NUMBERVALUE(SUBSTITUTE(LEFT(TRIM(C268),FIND(" ",TRIM(C268)&amp;" ")-1),",","."),"."),LEFT(SUBSTITUTE(LEFT(TRIM(C268),FIND(" ",TRIM(C268)&amp;" ")-1),",","."),FIND("/",SUBSTITUTE(LEFT(TRIM(C268),FIND(" ",TRIM(C268)&amp;" ")-1),",","."))-1)/MID(SUBSTITUTE(LEFT(TRIM(C268),FIND(" ",TRIM(C268)&amp;" ")-1),",","."),FIND("/",SUBSTITUTE(LEFT(TRIM(C268),FIND(" ",TRIM(C268)&amp;" ")-1),",","."))+1,9))*12/52,IF(ISNUMBER(SEARCH("month",C268)),IFERROR(_xlfn.NUMBERVALUE(SUBSTITUTE(LEFT(TRIM(C268),FIND(" ",TRIM(C268)&amp;" ")-1),",","."),"."),LEFT(SUBSTITUTE(LEFT(TRIM(C268),FIND(" ",TRIM(C268)&amp;" ")-1),",","."),FIND("/",SUBSTITUTE(LEFT(TRIM(C268),FIND(" ",TRIM(C268)&amp;" ")-1),",","."))-1)/MID(SUBSTITUTE(LEFT(TRIM(C268),FIND(" ",TRIM(C268)&amp;" ")-1),",","."),FIND("/",SUBSTITUTE(LEFT(TRIM(C268),FIND(" ",TRIM(C268)&amp;" ")-1),",","."))+1,9)),IF(ISNUMBER(SEARCH("yea",C268)),IFERROR(_xlfn.NUMBERVALUE(SUBSTITUTE(LEFT(TRIM(C268),FIND(" ",TRIM(C268)&amp;" ")-1),",","."),"."),LEFT(SUBSTITUTE(LEFT(TRIM(C268),FIND(" ",TRIM(C268)&amp;" ")-1),",","."),FIND("/",SUBSTITUTE(LEFT(TRIM(C268),FIND(" ",TRIM(C268)&amp;" ")-1),",","."))-1)/MID(SUBSTITUTE(LEFT(TRIM(C268),FIND(" ",TRIM(C268)&amp;" ")-1),",","."),FIND("/",SUBSTITUTE(LEFT(TRIM(C268),FIND(" ",TRIM(C268)&amp;" ")-1),",","."))+1,9))*12,NA()))),0),18)*'Aturan &amp; Tarif'!$B$4,2)</f>
        <v>1022.04</v>
      </c>
      <c r="K268" s="42" t="n">
        <f aca="false">'Aturan &amp; Tarif'!$B$5</f>
        <v>2050</v>
      </c>
      <c r="L268" s="35" t="n">
        <f aca="false">I268+J268+K268</f>
        <v>17317.04</v>
      </c>
      <c r="M268" s="45" t="s">
        <v>991</v>
      </c>
    </row>
    <row r="269" customFormat="false" ht="14.25" hidden="false" customHeight="true" outlineLevel="0" collapsed="false">
      <c r="A269" s="39"/>
      <c r="B269" s="40" t="s">
        <v>992</v>
      </c>
      <c r="C269" s="41" t="s">
        <v>344</v>
      </c>
      <c r="D269" s="41" t="s">
        <v>108</v>
      </c>
      <c r="E269" s="42" t="n">
        <v>6737</v>
      </c>
      <c r="F269" s="42"/>
      <c r="G269" s="42" t="n">
        <v>250</v>
      </c>
      <c r="H269" s="43" t="n">
        <v>2</v>
      </c>
      <c r="I269" s="34" t="n">
        <f aca="false">E269*H269+N(F269)+N(G269)</f>
        <v>13724</v>
      </c>
      <c r="J269" s="42" t="n">
        <f aca="false">ROUND(IFERROR(ROUND(IF(OR(ISNUMBER(SEARCH("week",C269)),ISNUMBER(SEARCH("minggu",C269))),IFERROR(_xlfn.NUMBERVALUE(SUBSTITUTE(LEFT(TRIM(C269),FIND(" ",TRIM(C269)&amp;" ")-1),",","."),"."),LEFT(SUBSTITUTE(LEFT(TRIM(C269),FIND(" ",TRIM(C269)&amp;" ")-1),",","."),FIND("/",SUBSTITUTE(LEFT(TRIM(C269),FIND(" ",TRIM(C269)&amp;" ")-1),",","."))-1)/MID(SUBSTITUTE(LEFT(TRIM(C269),FIND(" ",TRIM(C269)&amp;" ")-1),",","."),FIND("/",SUBSTITUTE(LEFT(TRIM(C269),FIND(" ",TRIM(C269)&amp;" ")-1),",","."))+1,9))*12/52,IF(ISNUMBER(SEARCH("month",C269)),IFERROR(_xlfn.NUMBERVALUE(SUBSTITUTE(LEFT(TRIM(C269),FIND(" ",TRIM(C269)&amp;" ")-1),",","."),"."),LEFT(SUBSTITUTE(LEFT(TRIM(C269),FIND(" ",TRIM(C269)&amp;" ")-1),",","."),FIND("/",SUBSTITUTE(LEFT(TRIM(C269),FIND(" ",TRIM(C269)&amp;" ")-1),",","."))-1)/MID(SUBSTITUTE(LEFT(TRIM(C269),FIND(" ",TRIM(C269)&amp;" ")-1),",","."),FIND("/",SUBSTITUTE(LEFT(TRIM(C269),FIND(" ",TRIM(C269)&amp;" ")-1),",","."))+1,9)),IF(ISNUMBER(SEARCH("yea",C269)),IFERROR(_xlfn.NUMBERVALUE(SUBSTITUTE(LEFT(TRIM(C269),FIND(" ",TRIM(C269)&amp;" ")-1),",","."),"."),LEFT(SUBSTITUTE(LEFT(TRIM(C269),FIND(" ",TRIM(C269)&amp;" ")-1),",","."),FIND("/",SUBSTITUTE(LEFT(TRIM(C269),FIND(" ",TRIM(C269)&amp;" ")-1),",","."))-1)/MID(SUBSTITUTE(LEFT(TRIM(C269),FIND(" ",TRIM(C269)&amp;" ")-1),",","."),FIND("/",SUBSTITUTE(LEFT(TRIM(C269),FIND(" ",TRIM(C269)&amp;" ")-1),",","."))+1,9))*12,NA()))),0),6)*'Aturan &amp; Tarif'!$B$4,2)</f>
        <v>340.68</v>
      </c>
      <c r="K269" s="42" t="n">
        <f aca="false">'Aturan &amp; Tarif'!$B$5</f>
        <v>2050</v>
      </c>
      <c r="L269" s="35" t="n">
        <f aca="false">I269+J269+K269</f>
        <v>16114.68</v>
      </c>
      <c r="M269" s="45" t="s">
        <v>986</v>
      </c>
    </row>
    <row r="270" customFormat="false" ht="25.5" hidden="false" customHeight="true" outlineLevel="0" collapsed="false">
      <c r="A270" s="39"/>
      <c r="B270" s="40" t="s">
        <v>987</v>
      </c>
      <c r="C270" s="41" t="s">
        <v>344</v>
      </c>
      <c r="D270" s="41" t="s">
        <v>108</v>
      </c>
      <c r="E270" s="42" t="n">
        <v>7298.5</v>
      </c>
      <c r="F270" s="42"/>
      <c r="G270" s="42" t="n">
        <v>250</v>
      </c>
      <c r="H270" s="43" t="n">
        <v>2</v>
      </c>
      <c r="I270" s="34" t="n">
        <f aca="false">E270*H270+N(F270)+N(G270)</f>
        <v>14847</v>
      </c>
      <c r="J270" s="42" t="n">
        <f aca="false">ROUND(IFERROR(ROUND(IF(OR(ISNUMBER(SEARCH("week",C270)),ISNUMBER(SEARCH("minggu",C270))),IFERROR(_xlfn.NUMBERVALUE(SUBSTITUTE(LEFT(TRIM(C270),FIND(" ",TRIM(C270)&amp;" ")-1),",","."),"."),LEFT(SUBSTITUTE(LEFT(TRIM(C270),FIND(" ",TRIM(C270)&amp;" ")-1),",","."),FIND("/",SUBSTITUTE(LEFT(TRIM(C270),FIND(" ",TRIM(C270)&amp;" ")-1),",","."))-1)/MID(SUBSTITUTE(LEFT(TRIM(C270),FIND(" ",TRIM(C270)&amp;" ")-1),",","."),FIND("/",SUBSTITUTE(LEFT(TRIM(C270),FIND(" ",TRIM(C270)&amp;" ")-1),",","."))+1,9))*12/52,IF(ISNUMBER(SEARCH("month",C270)),IFERROR(_xlfn.NUMBERVALUE(SUBSTITUTE(LEFT(TRIM(C270),FIND(" ",TRIM(C270)&amp;" ")-1),",","."),"."),LEFT(SUBSTITUTE(LEFT(TRIM(C270),FIND(" ",TRIM(C270)&amp;" ")-1),",","."),FIND("/",SUBSTITUTE(LEFT(TRIM(C270),FIND(" ",TRIM(C270)&amp;" ")-1),",","."))-1)/MID(SUBSTITUTE(LEFT(TRIM(C270),FIND(" ",TRIM(C270)&amp;" ")-1),",","."),FIND("/",SUBSTITUTE(LEFT(TRIM(C270),FIND(" ",TRIM(C270)&amp;" ")-1),",","."))+1,9)),IF(ISNUMBER(SEARCH("yea",C270)),IFERROR(_xlfn.NUMBERVALUE(SUBSTITUTE(LEFT(TRIM(C270),FIND(" ",TRIM(C270)&amp;" ")-1),",","."),"."),LEFT(SUBSTITUTE(LEFT(TRIM(C270),FIND(" ",TRIM(C270)&amp;" ")-1),",","."),FIND("/",SUBSTITUTE(LEFT(TRIM(C270),FIND(" ",TRIM(C270)&amp;" ")-1),",","."))-1)/MID(SUBSTITUTE(LEFT(TRIM(C270),FIND(" ",TRIM(C270)&amp;" ")-1),",","."),FIND("/",SUBSTITUTE(LEFT(TRIM(C270),FIND(" ",TRIM(C270)&amp;" ")-1),",","."))+1,9))*12,NA()))),0),6)*'Aturan &amp; Tarif'!$B$4,2)</f>
        <v>340.68</v>
      </c>
      <c r="K270" s="42" t="n">
        <f aca="false">'Aturan &amp; Tarif'!$B$5</f>
        <v>2050</v>
      </c>
      <c r="L270" s="35" t="n">
        <f aca="false">I270+J270+K270</f>
        <v>17237.68</v>
      </c>
      <c r="M270" s="45" t="s">
        <v>986</v>
      </c>
    </row>
    <row r="271" customFormat="false" ht="60" hidden="false" customHeight="true" outlineLevel="0" collapsed="false">
      <c r="A271" s="39"/>
      <c r="B271" s="40" t="s">
        <v>993</v>
      </c>
      <c r="C271" s="41" t="s">
        <v>138</v>
      </c>
      <c r="D271" s="41" t="s">
        <v>108</v>
      </c>
      <c r="E271" s="42" t="n">
        <v>7005.6</v>
      </c>
      <c r="F271" s="42"/>
      <c r="G271" s="42" t="n">
        <v>250</v>
      </c>
      <c r="H271" s="43" t="n">
        <v>2</v>
      </c>
      <c r="I271" s="34" t="n">
        <f aca="false">E271*H271+N(F271)+N(G271)</f>
        <v>14261.2</v>
      </c>
      <c r="J271" s="42" t="n">
        <f aca="false">ROUND(IFERROR(ROUND(IF(OR(ISNUMBER(SEARCH("week",C271)),ISNUMBER(SEARCH("minggu",C271))),IFERROR(_xlfn.NUMBERVALUE(SUBSTITUTE(LEFT(TRIM(C271),FIND(" ",TRIM(C271)&amp;" ")-1),",","."),"."),LEFT(SUBSTITUTE(LEFT(TRIM(C271),FIND(" ",TRIM(C271)&amp;" ")-1),",","."),FIND("/",SUBSTITUTE(LEFT(TRIM(C271),FIND(" ",TRIM(C271)&amp;" ")-1),",","."))-1)/MID(SUBSTITUTE(LEFT(TRIM(C271),FIND(" ",TRIM(C271)&amp;" ")-1),",","."),FIND("/",SUBSTITUTE(LEFT(TRIM(C271),FIND(" ",TRIM(C271)&amp;" ")-1),",","."))+1,9))*12/52,IF(ISNUMBER(SEARCH("month",C271)),IFERROR(_xlfn.NUMBERVALUE(SUBSTITUTE(LEFT(TRIM(C271),FIND(" ",TRIM(C271)&amp;" ")-1),",","."),"."),LEFT(SUBSTITUTE(LEFT(TRIM(C271),FIND(" ",TRIM(C271)&amp;" ")-1),",","."),FIND("/",SUBSTITUTE(LEFT(TRIM(C271),FIND(" ",TRIM(C271)&amp;" ")-1),",","."))-1)/MID(SUBSTITUTE(LEFT(TRIM(C271),FIND(" ",TRIM(C271)&amp;" ")-1),",","."),FIND("/",SUBSTITUTE(LEFT(TRIM(C271),FIND(" ",TRIM(C271)&amp;" ")-1),",","."))+1,9)),IF(ISNUMBER(SEARCH("yea",C271)),IFERROR(_xlfn.NUMBERVALUE(SUBSTITUTE(LEFT(TRIM(C271),FIND(" ",TRIM(C271)&amp;" ")-1),",","."),"."),LEFT(SUBSTITUTE(LEFT(TRIM(C271),FIND(" ",TRIM(C271)&amp;" ")-1),",","."),FIND("/",SUBSTITUTE(LEFT(TRIM(C271),FIND(" ",TRIM(C271)&amp;" ")-1),",","."))-1)/MID(SUBSTITUTE(LEFT(TRIM(C271),FIND(" ",TRIM(C271)&amp;" ")-1),",","."),FIND("/",SUBSTITUTE(LEFT(TRIM(C271),FIND(" ",TRIM(C271)&amp;" ")-1),",","."))+1,9))*12,NA()))),0),30)*'Aturan &amp; Tarif'!$B$4,2)</f>
        <v>1703.4</v>
      </c>
      <c r="K271" s="42" t="n">
        <f aca="false">'Aturan &amp; Tarif'!$B$5</f>
        <v>2050</v>
      </c>
      <c r="L271" s="35" t="n">
        <f aca="false">I271+J271+K271</f>
        <v>18014.6</v>
      </c>
      <c r="M271" s="44" t="s">
        <v>989</v>
      </c>
    </row>
    <row r="272" customFormat="false" ht="25.5" hidden="false" customHeight="true" outlineLevel="0" collapsed="false">
      <c r="A272" s="39"/>
      <c r="B272" s="40" t="s">
        <v>994</v>
      </c>
      <c r="C272" s="41" t="s">
        <v>127</v>
      </c>
      <c r="D272" s="41" t="s">
        <v>108</v>
      </c>
      <c r="E272" s="42" t="n">
        <v>5688.58</v>
      </c>
      <c r="F272" s="42"/>
      <c r="G272" s="42" t="n">
        <v>250</v>
      </c>
      <c r="H272" s="43" t="n">
        <v>2</v>
      </c>
      <c r="I272" s="34" t="n">
        <f aca="false">E272*H272+N(F272)+N(G272)</f>
        <v>11627.16</v>
      </c>
      <c r="J272" s="42" t="n">
        <f aca="false">ROUND(IFERROR(ROUND(IF(OR(ISNUMBER(SEARCH("week",C272)),ISNUMBER(SEARCH("minggu",C272))),IFERROR(_xlfn.NUMBERVALUE(SUBSTITUTE(LEFT(TRIM(C272),FIND(" ",TRIM(C272)&amp;" ")-1),",","."),"."),LEFT(SUBSTITUTE(LEFT(TRIM(C272),FIND(" ",TRIM(C272)&amp;" ")-1),",","."),FIND("/",SUBSTITUTE(LEFT(TRIM(C272),FIND(" ",TRIM(C272)&amp;" ")-1),",","."))-1)/MID(SUBSTITUTE(LEFT(TRIM(C272),FIND(" ",TRIM(C272)&amp;" ")-1),",","."),FIND("/",SUBSTITUTE(LEFT(TRIM(C272),FIND(" ",TRIM(C272)&amp;" ")-1),",","."))+1,9))*12/52,IF(ISNUMBER(SEARCH("month",C272)),IFERROR(_xlfn.NUMBERVALUE(SUBSTITUTE(LEFT(TRIM(C272),FIND(" ",TRIM(C272)&amp;" ")-1),",","."),"."),LEFT(SUBSTITUTE(LEFT(TRIM(C272),FIND(" ",TRIM(C272)&amp;" ")-1),",","."),FIND("/",SUBSTITUTE(LEFT(TRIM(C272),FIND(" ",TRIM(C272)&amp;" ")-1),",","."))-1)/MID(SUBSTITUTE(LEFT(TRIM(C272),FIND(" ",TRIM(C272)&amp;" ")-1),",","."),FIND("/",SUBSTITUTE(LEFT(TRIM(C272),FIND(" ",TRIM(C272)&amp;" ")-1),",","."))+1,9)),IF(ISNUMBER(SEARCH("yea",C272)),IFERROR(_xlfn.NUMBERVALUE(SUBSTITUTE(LEFT(TRIM(C272),FIND(" ",TRIM(C272)&amp;" ")-1),",","."),"."),LEFT(SUBSTITUTE(LEFT(TRIM(C272),FIND(" ",TRIM(C272)&amp;" ")-1),",","."),FIND("/",SUBSTITUTE(LEFT(TRIM(C272),FIND(" ",TRIM(C272)&amp;" ")-1),",","."))-1)/MID(SUBSTITUTE(LEFT(TRIM(C272),FIND(" ",TRIM(C272)&amp;" ")-1),",","."),FIND("/",SUBSTITUTE(LEFT(TRIM(C272),FIND(" ",TRIM(C272)&amp;" ")-1),",","."))+1,9))*12,NA()))),0),36)*'Aturan &amp; Tarif'!$B$4,2)</f>
        <v>2044.08</v>
      </c>
      <c r="K272" s="42" t="n">
        <f aca="false">'Aturan &amp; Tarif'!$B$5</f>
        <v>2050</v>
      </c>
      <c r="L272" s="35" t="n">
        <f aca="false">I272+J272+K272</f>
        <v>15721.24</v>
      </c>
      <c r="M272" s="45" t="s">
        <v>995</v>
      </c>
    </row>
    <row r="273" customFormat="false" ht="25.5" hidden="false" customHeight="true" outlineLevel="0" collapsed="false">
      <c r="A273" s="39"/>
      <c r="B273" s="40" t="s">
        <v>996</v>
      </c>
      <c r="C273" s="41" t="s">
        <v>127</v>
      </c>
      <c r="D273" s="41" t="s">
        <v>108</v>
      </c>
      <c r="E273" s="42" t="n">
        <v>5821.66</v>
      </c>
      <c r="F273" s="42"/>
      <c r="G273" s="42" t="n">
        <v>250</v>
      </c>
      <c r="H273" s="43" t="n">
        <v>2</v>
      </c>
      <c r="I273" s="34" t="n">
        <f aca="false">E273*H273+N(F273)+N(G273)</f>
        <v>11893.32</v>
      </c>
      <c r="J273" s="42" t="n">
        <f aca="false">ROUND(IFERROR(ROUND(IF(OR(ISNUMBER(SEARCH("week",C273)),ISNUMBER(SEARCH("minggu",C273))),IFERROR(_xlfn.NUMBERVALUE(SUBSTITUTE(LEFT(TRIM(C273),FIND(" ",TRIM(C273)&amp;" ")-1),",","."),"."),LEFT(SUBSTITUTE(LEFT(TRIM(C273),FIND(" ",TRIM(C273)&amp;" ")-1),",","."),FIND("/",SUBSTITUTE(LEFT(TRIM(C273),FIND(" ",TRIM(C273)&amp;" ")-1),",","."))-1)/MID(SUBSTITUTE(LEFT(TRIM(C273),FIND(" ",TRIM(C273)&amp;" ")-1),",","."),FIND("/",SUBSTITUTE(LEFT(TRIM(C273),FIND(" ",TRIM(C273)&amp;" ")-1),",","."))+1,9))*12/52,IF(ISNUMBER(SEARCH("month",C273)),IFERROR(_xlfn.NUMBERVALUE(SUBSTITUTE(LEFT(TRIM(C273),FIND(" ",TRIM(C273)&amp;" ")-1),",","."),"."),LEFT(SUBSTITUTE(LEFT(TRIM(C273),FIND(" ",TRIM(C273)&amp;" ")-1),",","."),FIND("/",SUBSTITUTE(LEFT(TRIM(C273),FIND(" ",TRIM(C273)&amp;" ")-1),",","."))-1)/MID(SUBSTITUTE(LEFT(TRIM(C273),FIND(" ",TRIM(C273)&amp;" ")-1),",","."),FIND("/",SUBSTITUTE(LEFT(TRIM(C273),FIND(" ",TRIM(C273)&amp;" ")-1),",","."))+1,9)),IF(ISNUMBER(SEARCH("yea",C273)),IFERROR(_xlfn.NUMBERVALUE(SUBSTITUTE(LEFT(TRIM(C273),FIND(" ",TRIM(C273)&amp;" ")-1),",","."),"."),LEFT(SUBSTITUTE(LEFT(TRIM(C273),FIND(" ",TRIM(C273)&amp;" ")-1),",","."),FIND("/",SUBSTITUTE(LEFT(TRIM(C273),FIND(" ",TRIM(C273)&amp;" ")-1),",","."))-1)/MID(SUBSTITUTE(LEFT(TRIM(C273),FIND(" ",TRIM(C273)&amp;" ")-1),",","."),FIND("/",SUBSTITUTE(LEFT(TRIM(C273),FIND(" ",TRIM(C273)&amp;" ")-1),",","."))+1,9))*12,NA()))),0),36)*'Aturan &amp; Tarif'!$B$4,2)</f>
        <v>2044.08</v>
      </c>
      <c r="K273" s="42" t="n">
        <f aca="false">'Aturan &amp; Tarif'!$B$5</f>
        <v>2050</v>
      </c>
      <c r="L273" s="35" t="n">
        <f aca="false">I273+J273+K273</f>
        <v>15987.4</v>
      </c>
      <c r="M273" s="45" t="s">
        <v>986</v>
      </c>
    </row>
    <row r="274" customFormat="false" ht="14.25" hidden="false" customHeight="true" outlineLevel="0" collapsed="false">
      <c r="A274" s="39"/>
      <c r="B274" s="40" t="s">
        <v>997</v>
      </c>
      <c r="C274" s="41" t="s">
        <v>107</v>
      </c>
      <c r="D274" s="41" t="s">
        <v>108</v>
      </c>
      <c r="E274" s="42" t="n">
        <v>6818.75</v>
      </c>
      <c r="F274" s="42"/>
      <c r="G274" s="42" t="n">
        <v>250</v>
      </c>
      <c r="H274" s="43" t="n">
        <v>2</v>
      </c>
      <c r="I274" s="34" t="n">
        <f aca="false">E274*H274+N(F274)+N(G274)</f>
        <v>13887.5</v>
      </c>
      <c r="J274" s="42" t="n">
        <f aca="false">ROUND(IFERROR(ROUND(IF(OR(ISNUMBER(SEARCH("week",C274)),ISNUMBER(SEARCH("minggu",C274))),IFERROR(_xlfn.NUMBERVALUE(SUBSTITUTE(LEFT(TRIM(C274),FIND(" ",TRIM(C274)&amp;" ")-1),",","."),"."),LEFT(SUBSTITUTE(LEFT(TRIM(C274),FIND(" ",TRIM(C274)&amp;" ")-1),",","."),FIND("/",SUBSTITUTE(LEFT(TRIM(C274),FIND(" ",TRIM(C274)&amp;" ")-1),",","."))-1)/MID(SUBSTITUTE(LEFT(TRIM(C274),FIND(" ",TRIM(C274)&amp;" ")-1),",","."),FIND("/",SUBSTITUTE(LEFT(TRIM(C274),FIND(" ",TRIM(C274)&amp;" ")-1),",","."))+1,9))*12/52,IF(ISNUMBER(SEARCH("month",C274)),IFERROR(_xlfn.NUMBERVALUE(SUBSTITUTE(LEFT(TRIM(C274),FIND(" ",TRIM(C274)&amp;" ")-1),",","."),"."),LEFT(SUBSTITUTE(LEFT(TRIM(C274),FIND(" ",TRIM(C274)&amp;" ")-1),",","."),FIND("/",SUBSTITUTE(LEFT(TRIM(C274),FIND(" ",TRIM(C274)&amp;" ")-1),",","."))-1)/MID(SUBSTITUTE(LEFT(TRIM(C274),FIND(" ",TRIM(C274)&amp;" ")-1),",","."),FIND("/",SUBSTITUTE(LEFT(TRIM(C274),FIND(" ",TRIM(C274)&amp;" ")-1),",","."))+1,9)),IF(ISNUMBER(SEARCH("yea",C274)),IFERROR(_xlfn.NUMBERVALUE(SUBSTITUTE(LEFT(TRIM(C274),FIND(" ",TRIM(C274)&amp;" ")-1),",","."),"."),LEFT(SUBSTITUTE(LEFT(TRIM(C274),FIND(" ",TRIM(C274)&amp;" ")-1),",","."),FIND("/",SUBSTITUTE(LEFT(TRIM(C274),FIND(" ",TRIM(C274)&amp;" ")-1),",","."))-1)/MID(SUBSTITUTE(LEFT(TRIM(C274),FIND(" ",TRIM(C274)&amp;" ")-1),",","."),FIND("/",SUBSTITUTE(LEFT(TRIM(C274),FIND(" ",TRIM(C274)&amp;" ")-1),",","."))+1,9))*12,NA()))),0),24)*'Aturan &amp; Tarif'!$B$4,2)</f>
        <v>1362.72</v>
      </c>
      <c r="K274" s="42" t="n">
        <f aca="false">'Aturan &amp; Tarif'!$B$5</f>
        <v>2050</v>
      </c>
      <c r="L274" s="35" t="n">
        <f aca="false">I274+J274+K274</f>
        <v>17300.22</v>
      </c>
      <c r="M274" s="45" t="s">
        <v>998</v>
      </c>
    </row>
    <row r="275" customFormat="false" ht="14.25" hidden="false" customHeight="true" outlineLevel="0" collapsed="false">
      <c r="A275" s="39"/>
      <c r="B275" s="40" t="s">
        <v>999</v>
      </c>
      <c r="C275" s="41" t="s">
        <v>107</v>
      </c>
      <c r="D275" s="41" t="s">
        <v>108</v>
      </c>
      <c r="E275" s="42" t="n">
        <v>6760</v>
      </c>
      <c r="F275" s="42"/>
      <c r="G275" s="42" t="n">
        <v>250</v>
      </c>
      <c r="H275" s="43" t="n">
        <v>2</v>
      </c>
      <c r="I275" s="34" t="n">
        <f aca="false">E275*H275+N(F275)+N(G275)</f>
        <v>13770</v>
      </c>
      <c r="J275" s="42" t="n">
        <f aca="false">ROUND(IFERROR(ROUND(IF(OR(ISNUMBER(SEARCH("week",C275)),ISNUMBER(SEARCH("minggu",C275))),IFERROR(_xlfn.NUMBERVALUE(SUBSTITUTE(LEFT(TRIM(C275),FIND(" ",TRIM(C275)&amp;" ")-1),",","."),"."),LEFT(SUBSTITUTE(LEFT(TRIM(C275),FIND(" ",TRIM(C275)&amp;" ")-1),",","."),FIND("/",SUBSTITUTE(LEFT(TRIM(C275),FIND(" ",TRIM(C275)&amp;" ")-1),",","."))-1)/MID(SUBSTITUTE(LEFT(TRIM(C275),FIND(" ",TRIM(C275)&amp;" ")-1),",","."),FIND("/",SUBSTITUTE(LEFT(TRIM(C275),FIND(" ",TRIM(C275)&amp;" ")-1),",","."))+1,9))*12/52,IF(ISNUMBER(SEARCH("month",C275)),IFERROR(_xlfn.NUMBERVALUE(SUBSTITUTE(LEFT(TRIM(C275),FIND(" ",TRIM(C275)&amp;" ")-1),",","."),"."),LEFT(SUBSTITUTE(LEFT(TRIM(C275),FIND(" ",TRIM(C275)&amp;" ")-1),",","."),FIND("/",SUBSTITUTE(LEFT(TRIM(C275),FIND(" ",TRIM(C275)&amp;" ")-1),",","."))-1)/MID(SUBSTITUTE(LEFT(TRIM(C275),FIND(" ",TRIM(C275)&amp;" ")-1),",","."),FIND("/",SUBSTITUTE(LEFT(TRIM(C275),FIND(" ",TRIM(C275)&amp;" ")-1),",","."))+1,9)),IF(ISNUMBER(SEARCH("yea",C275)),IFERROR(_xlfn.NUMBERVALUE(SUBSTITUTE(LEFT(TRIM(C275),FIND(" ",TRIM(C275)&amp;" ")-1),",","."),"."),LEFT(SUBSTITUTE(LEFT(TRIM(C275),FIND(" ",TRIM(C275)&amp;" ")-1),",","."),FIND("/",SUBSTITUTE(LEFT(TRIM(C275),FIND(" ",TRIM(C275)&amp;" ")-1),",","."))-1)/MID(SUBSTITUTE(LEFT(TRIM(C275),FIND(" ",TRIM(C275)&amp;" ")-1),",","."),FIND("/",SUBSTITUTE(LEFT(TRIM(C275),FIND(" ",TRIM(C275)&amp;" ")-1),",","."))+1,9))*12,NA()))),0),24)*'Aturan &amp; Tarif'!$B$4,2)</f>
        <v>1362.72</v>
      </c>
      <c r="K275" s="42" t="n">
        <f aca="false">'Aturan &amp; Tarif'!$B$5</f>
        <v>2050</v>
      </c>
      <c r="L275" s="35" t="n">
        <f aca="false">I275+J275+K275</f>
        <v>17182.72</v>
      </c>
      <c r="M275" s="45" t="s">
        <v>1000</v>
      </c>
    </row>
    <row r="276" customFormat="false" ht="48.75" hidden="false" customHeight="true" outlineLevel="0" collapsed="false">
      <c r="A276" s="39" t="s">
        <v>1001</v>
      </c>
      <c r="B276" s="40" t="s">
        <v>1002</v>
      </c>
      <c r="C276" s="41" t="s">
        <v>107</v>
      </c>
      <c r="D276" s="41" t="s">
        <v>108</v>
      </c>
      <c r="E276" s="42" t="n">
        <v>2212.5</v>
      </c>
      <c r="F276" s="42" t="n">
        <v>2000</v>
      </c>
      <c r="G276" s="42" t="n">
        <v>200</v>
      </c>
      <c r="H276" s="43" t="n">
        <v>1</v>
      </c>
      <c r="I276" s="34" t="n">
        <f aca="false">E276*H276+N(F276)+N(G276)</f>
        <v>4412.5</v>
      </c>
      <c r="J276" s="42" t="n">
        <f aca="false">ROUND(IFERROR(ROUND(IF(OR(ISNUMBER(SEARCH("week",C276)),ISNUMBER(SEARCH("minggu",C276))),IFERROR(_xlfn.NUMBERVALUE(SUBSTITUTE(LEFT(TRIM(C276),FIND(" ",TRIM(C276)&amp;" ")-1),",","."),"."),LEFT(SUBSTITUTE(LEFT(TRIM(C276),FIND(" ",TRIM(C276)&amp;" ")-1),",","."),FIND("/",SUBSTITUTE(LEFT(TRIM(C276),FIND(" ",TRIM(C276)&amp;" ")-1),",","."))-1)/MID(SUBSTITUTE(LEFT(TRIM(C276),FIND(" ",TRIM(C276)&amp;" ")-1),",","."),FIND("/",SUBSTITUTE(LEFT(TRIM(C276),FIND(" ",TRIM(C276)&amp;" ")-1),",","."))+1,9))*12/52,IF(ISNUMBER(SEARCH("month",C276)),IFERROR(_xlfn.NUMBERVALUE(SUBSTITUTE(LEFT(TRIM(C276),FIND(" ",TRIM(C276)&amp;" ")-1),",","."),"."),LEFT(SUBSTITUTE(LEFT(TRIM(C276),FIND(" ",TRIM(C276)&amp;" ")-1),",","."),FIND("/",SUBSTITUTE(LEFT(TRIM(C276),FIND(" ",TRIM(C276)&amp;" ")-1),",","."))-1)/MID(SUBSTITUTE(LEFT(TRIM(C276),FIND(" ",TRIM(C276)&amp;" ")-1),",","."),FIND("/",SUBSTITUTE(LEFT(TRIM(C276),FIND(" ",TRIM(C276)&amp;" ")-1),",","."))+1,9)),IF(ISNUMBER(SEARCH("yea",C276)),IFERROR(_xlfn.NUMBERVALUE(SUBSTITUTE(LEFT(TRIM(C276),FIND(" ",TRIM(C276)&amp;" ")-1),",","."),"."),LEFT(SUBSTITUTE(LEFT(TRIM(C276),FIND(" ",TRIM(C276)&amp;" ")-1),",","."),FIND("/",SUBSTITUTE(LEFT(TRIM(C276),FIND(" ",TRIM(C276)&amp;" ")-1),",","."))-1)/MID(SUBSTITUTE(LEFT(TRIM(C276),FIND(" ",TRIM(C276)&amp;" ")-1),",","."),FIND("/",SUBSTITUTE(LEFT(TRIM(C276),FIND(" ",TRIM(C276)&amp;" ")-1),",","."))+1,9))*12,NA()))),0),24)*'Aturan &amp; Tarif'!$B$4,2)</f>
        <v>1362.72</v>
      </c>
      <c r="K276" s="42" t="n">
        <f aca="false">'Aturan &amp; Tarif'!$B$5</f>
        <v>2050</v>
      </c>
      <c r="L276" s="35" t="n">
        <f aca="false">I276+J276+K276</f>
        <v>7825.22</v>
      </c>
      <c r="M276" s="44" t="s">
        <v>3453</v>
      </c>
    </row>
    <row r="277" customFormat="false" ht="25.5" hidden="false" customHeight="true" outlineLevel="0" collapsed="false">
      <c r="A277" s="39"/>
      <c r="B277" s="40" t="s">
        <v>1004</v>
      </c>
      <c r="C277" s="41" t="s">
        <v>138</v>
      </c>
      <c r="D277" s="41" t="s">
        <v>108</v>
      </c>
      <c r="E277" s="42" t="n">
        <v>1410</v>
      </c>
      <c r="F277" s="42" t="n">
        <v>350</v>
      </c>
      <c r="G277" s="42" t="n">
        <v>200</v>
      </c>
      <c r="H277" s="43" t="n">
        <v>1</v>
      </c>
      <c r="I277" s="34" t="n">
        <f aca="false">E277*H277+N(F277)+N(G277)</f>
        <v>1960</v>
      </c>
      <c r="J277" s="42" t="n">
        <f aca="false">ROUND(IFERROR(ROUND(IF(OR(ISNUMBER(SEARCH("week",C277)),ISNUMBER(SEARCH("minggu",C277))),IFERROR(_xlfn.NUMBERVALUE(SUBSTITUTE(LEFT(TRIM(C277),FIND(" ",TRIM(C277)&amp;" ")-1),",","."),"."),LEFT(SUBSTITUTE(LEFT(TRIM(C277),FIND(" ",TRIM(C277)&amp;" ")-1),",","."),FIND("/",SUBSTITUTE(LEFT(TRIM(C277),FIND(" ",TRIM(C277)&amp;" ")-1),",","."))-1)/MID(SUBSTITUTE(LEFT(TRIM(C277),FIND(" ",TRIM(C277)&amp;" ")-1),",","."),FIND("/",SUBSTITUTE(LEFT(TRIM(C277),FIND(" ",TRIM(C277)&amp;" ")-1),",","."))+1,9))*12/52,IF(ISNUMBER(SEARCH("month",C277)),IFERROR(_xlfn.NUMBERVALUE(SUBSTITUTE(LEFT(TRIM(C277),FIND(" ",TRIM(C277)&amp;" ")-1),",","."),"."),LEFT(SUBSTITUTE(LEFT(TRIM(C277),FIND(" ",TRIM(C277)&amp;" ")-1),",","."),FIND("/",SUBSTITUTE(LEFT(TRIM(C277),FIND(" ",TRIM(C277)&amp;" ")-1),",","."))-1)/MID(SUBSTITUTE(LEFT(TRIM(C277),FIND(" ",TRIM(C277)&amp;" ")-1),",","."),FIND("/",SUBSTITUTE(LEFT(TRIM(C277),FIND(" ",TRIM(C277)&amp;" ")-1),",","."))+1,9)),IF(ISNUMBER(SEARCH("yea",C277)),IFERROR(_xlfn.NUMBERVALUE(SUBSTITUTE(LEFT(TRIM(C277),FIND(" ",TRIM(C277)&amp;" ")-1),",","."),"."),LEFT(SUBSTITUTE(LEFT(TRIM(C277),FIND(" ",TRIM(C277)&amp;" ")-1),",","."),FIND("/",SUBSTITUTE(LEFT(TRIM(C277),FIND(" ",TRIM(C277)&amp;" ")-1),",","."))-1)/MID(SUBSTITUTE(LEFT(TRIM(C277),FIND(" ",TRIM(C277)&amp;" ")-1),",","."),FIND("/",SUBSTITUTE(LEFT(TRIM(C277),FIND(" ",TRIM(C277)&amp;" ")-1),",","."))+1,9))*12,NA()))),0),30)*'Aturan &amp; Tarif'!$B$4,2)</f>
        <v>1703.4</v>
      </c>
      <c r="K277" s="42" t="n">
        <f aca="false">'Aturan &amp; Tarif'!$B$5</f>
        <v>2050</v>
      </c>
      <c r="L277" s="35" t="n">
        <f aca="false">I277+J277+K277</f>
        <v>5713.4</v>
      </c>
      <c r="M277" s="44" t="s">
        <v>3454</v>
      </c>
    </row>
    <row r="278" customFormat="false" ht="83.25" hidden="false" customHeight="true" outlineLevel="0" collapsed="false">
      <c r="A278" s="39" t="s">
        <v>1006</v>
      </c>
      <c r="B278" s="40" t="s">
        <v>3232</v>
      </c>
      <c r="C278" s="41" t="s">
        <v>107</v>
      </c>
      <c r="D278" s="41" t="s">
        <v>108</v>
      </c>
      <c r="E278" s="42" t="n">
        <v>2250</v>
      </c>
      <c r="F278" s="42" t="n">
        <v>1750</v>
      </c>
      <c r="G278" s="42" t="n">
        <v>350</v>
      </c>
      <c r="H278" s="43" t="n">
        <v>1</v>
      </c>
      <c r="I278" s="34" t="n">
        <f aca="false">E278*H278+N(F278)+N(G278)</f>
        <v>4350</v>
      </c>
      <c r="J278" s="42" t="n">
        <f aca="false">ROUND(IFERROR(ROUND(IF(OR(ISNUMBER(SEARCH("week",C278)),ISNUMBER(SEARCH("minggu",C278))),IFERROR(_xlfn.NUMBERVALUE(SUBSTITUTE(LEFT(TRIM(C278),FIND(" ",TRIM(C278)&amp;" ")-1),",","."),"."),LEFT(SUBSTITUTE(LEFT(TRIM(C278),FIND(" ",TRIM(C278)&amp;" ")-1),",","."),FIND("/",SUBSTITUTE(LEFT(TRIM(C278),FIND(" ",TRIM(C278)&amp;" ")-1),",","."))-1)/MID(SUBSTITUTE(LEFT(TRIM(C278),FIND(" ",TRIM(C278)&amp;" ")-1),",","."),FIND("/",SUBSTITUTE(LEFT(TRIM(C278),FIND(" ",TRIM(C278)&amp;" ")-1),",","."))+1,9))*12/52,IF(ISNUMBER(SEARCH("month",C278)),IFERROR(_xlfn.NUMBERVALUE(SUBSTITUTE(LEFT(TRIM(C278),FIND(" ",TRIM(C278)&amp;" ")-1),",","."),"."),LEFT(SUBSTITUTE(LEFT(TRIM(C278),FIND(" ",TRIM(C278)&amp;" ")-1),",","."),FIND("/",SUBSTITUTE(LEFT(TRIM(C278),FIND(" ",TRIM(C278)&amp;" ")-1),",","."))-1)/MID(SUBSTITUTE(LEFT(TRIM(C278),FIND(" ",TRIM(C278)&amp;" ")-1),",","."),FIND("/",SUBSTITUTE(LEFT(TRIM(C278),FIND(" ",TRIM(C278)&amp;" ")-1),",","."))+1,9)),IF(ISNUMBER(SEARCH("yea",C278)),IFERROR(_xlfn.NUMBERVALUE(SUBSTITUTE(LEFT(TRIM(C278),FIND(" ",TRIM(C278)&amp;" ")-1),",","."),"."),LEFT(SUBSTITUTE(LEFT(TRIM(C278),FIND(" ",TRIM(C278)&amp;" ")-1),",","."),FIND("/",SUBSTITUTE(LEFT(TRIM(C278),FIND(" ",TRIM(C278)&amp;" ")-1),",","."))-1)/MID(SUBSTITUTE(LEFT(TRIM(C278),FIND(" ",TRIM(C278)&amp;" ")-1),",","."),FIND("/",SUBSTITUTE(LEFT(TRIM(C278),FIND(" ",TRIM(C278)&amp;" ")-1),",","."))+1,9))*12,NA()))),0),24)*'Aturan &amp; Tarif'!$B$4,2)</f>
        <v>1362.72</v>
      </c>
      <c r="K278" s="42" t="n">
        <f aca="false">'Aturan &amp; Tarif'!$B$5</f>
        <v>2050</v>
      </c>
      <c r="L278" s="35" t="n">
        <f aca="false">I278+J278+K278</f>
        <v>7762.72</v>
      </c>
      <c r="M278" s="44" t="s">
        <v>1008</v>
      </c>
    </row>
    <row r="279" customFormat="false" ht="48.75" hidden="false" customHeight="true" outlineLevel="0" collapsed="false">
      <c r="A279" s="39"/>
      <c r="B279" s="40" t="s">
        <v>3233</v>
      </c>
      <c r="C279" s="41" t="s">
        <v>127</v>
      </c>
      <c r="D279" s="41" t="s">
        <v>108</v>
      </c>
      <c r="E279" s="42" t="n">
        <v>2600</v>
      </c>
      <c r="F279" s="42" t="n">
        <v>1750</v>
      </c>
      <c r="G279" s="42" t="n">
        <v>350</v>
      </c>
      <c r="H279" s="43" t="n">
        <v>1</v>
      </c>
      <c r="I279" s="34" t="n">
        <f aca="false">E279*H279+N(F279)+N(G279)</f>
        <v>4700</v>
      </c>
      <c r="J279" s="42" t="n">
        <f aca="false">ROUND(IFERROR(ROUND(IF(OR(ISNUMBER(SEARCH("week",C279)),ISNUMBER(SEARCH("minggu",C279))),IFERROR(_xlfn.NUMBERVALUE(SUBSTITUTE(LEFT(TRIM(C279),FIND(" ",TRIM(C279)&amp;" ")-1),",","."),"."),LEFT(SUBSTITUTE(LEFT(TRIM(C279),FIND(" ",TRIM(C279)&amp;" ")-1),",","."),FIND("/",SUBSTITUTE(LEFT(TRIM(C279),FIND(" ",TRIM(C279)&amp;" ")-1),",","."))-1)/MID(SUBSTITUTE(LEFT(TRIM(C279),FIND(" ",TRIM(C279)&amp;" ")-1),",","."),FIND("/",SUBSTITUTE(LEFT(TRIM(C279),FIND(" ",TRIM(C279)&amp;" ")-1),",","."))+1,9))*12/52,IF(ISNUMBER(SEARCH("month",C279)),IFERROR(_xlfn.NUMBERVALUE(SUBSTITUTE(LEFT(TRIM(C279),FIND(" ",TRIM(C279)&amp;" ")-1),",","."),"."),LEFT(SUBSTITUTE(LEFT(TRIM(C279),FIND(" ",TRIM(C279)&amp;" ")-1),",","."),FIND("/",SUBSTITUTE(LEFT(TRIM(C279),FIND(" ",TRIM(C279)&amp;" ")-1),",","."))-1)/MID(SUBSTITUTE(LEFT(TRIM(C279),FIND(" ",TRIM(C279)&amp;" ")-1),",","."),FIND("/",SUBSTITUTE(LEFT(TRIM(C279),FIND(" ",TRIM(C279)&amp;" ")-1),",","."))+1,9)),IF(ISNUMBER(SEARCH("yea",C279)),IFERROR(_xlfn.NUMBERVALUE(SUBSTITUTE(LEFT(TRIM(C279),FIND(" ",TRIM(C279)&amp;" ")-1),",","."),"."),LEFT(SUBSTITUTE(LEFT(TRIM(C279),FIND(" ",TRIM(C279)&amp;" ")-1),",","."),FIND("/",SUBSTITUTE(LEFT(TRIM(C279),FIND(" ",TRIM(C279)&amp;" ")-1),",","."))-1)/MID(SUBSTITUTE(LEFT(TRIM(C279),FIND(" ",TRIM(C279)&amp;" ")-1),",","."),FIND("/",SUBSTITUTE(LEFT(TRIM(C279),FIND(" ",TRIM(C279)&amp;" ")-1),",","."))+1,9))*12,NA()))),0),36)*'Aturan &amp; Tarif'!$B$4,2)</f>
        <v>2044.08</v>
      </c>
      <c r="K279" s="42" t="n">
        <f aca="false">'Aturan &amp; Tarif'!$B$5</f>
        <v>2050</v>
      </c>
      <c r="L279" s="35" t="n">
        <f aca="false">I279+J279+K279</f>
        <v>8794.08</v>
      </c>
      <c r="M279" s="44" t="s">
        <v>1008</v>
      </c>
    </row>
    <row r="280" customFormat="false" ht="25.5" hidden="false" customHeight="true" outlineLevel="0" collapsed="false">
      <c r="A280" s="39"/>
      <c r="B280" s="40" t="s">
        <v>3234</v>
      </c>
      <c r="C280" s="41" t="s">
        <v>107</v>
      </c>
      <c r="D280" s="41" t="s">
        <v>108</v>
      </c>
      <c r="E280" s="42" t="n">
        <v>2750</v>
      </c>
      <c r="F280" s="42" t="n">
        <v>2000</v>
      </c>
      <c r="G280" s="42" t="n">
        <v>350</v>
      </c>
      <c r="H280" s="43" t="n">
        <v>1</v>
      </c>
      <c r="I280" s="34" t="n">
        <f aca="false">E280*H280+N(F280)+N(G280)</f>
        <v>5100</v>
      </c>
      <c r="J280" s="42" t="n">
        <f aca="false">ROUND(IFERROR(ROUND(IF(OR(ISNUMBER(SEARCH("week",C280)),ISNUMBER(SEARCH("minggu",C280))),IFERROR(_xlfn.NUMBERVALUE(SUBSTITUTE(LEFT(TRIM(C280),FIND(" ",TRIM(C280)&amp;" ")-1),",","."),"."),LEFT(SUBSTITUTE(LEFT(TRIM(C280),FIND(" ",TRIM(C280)&amp;" ")-1),",","."),FIND("/",SUBSTITUTE(LEFT(TRIM(C280),FIND(" ",TRIM(C280)&amp;" ")-1),",","."))-1)/MID(SUBSTITUTE(LEFT(TRIM(C280),FIND(" ",TRIM(C280)&amp;" ")-1),",","."),FIND("/",SUBSTITUTE(LEFT(TRIM(C280),FIND(" ",TRIM(C280)&amp;" ")-1),",","."))+1,9))*12/52,IF(ISNUMBER(SEARCH("month",C280)),IFERROR(_xlfn.NUMBERVALUE(SUBSTITUTE(LEFT(TRIM(C280),FIND(" ",TRIM(C280)&amp;" ")-1),",","."),"."),LEFT(SUBSTITUTE(LEFT(TRIM(C280),FIND(" ",TRIM(C280)&amp;" ")-1),",","."),FIND("/",SUBSTITUTE(LEFT(TRIM(C280),FIND(" ",TRIM(C280)&amp;" ")-1),",","."))-1)/MID(SUBSTITUTE(LEFT(TRIM(C280),FIND(" ",TRIM(C280)&amp;" ")-1),",","."),FIND("/",SUBSTITUTE(LEFT(TRIM(C280),FIND(" ",TRIM(C280)&amp;" ")-1),",","."))+1,9)),IF(ISNUMBER(SEARCH("yea",C280)),IFERROR(_xlfn.NUMBERVALUE(SUBSTITUTE(LEFT(TRIM(C280),FIND(" ",TRIM(C280)&amp;" ")-1),",","."),"."),LEFT(SUBSTITUTE(LEFT(TRIM(C280),FIND(" ",TRIM(C280)&amp;" ")-1),",","."),FIND("/",SUBSTITUTE(LEFT(TRIM(C280),FIND(" ",TRIM(C280)&amp;" ")-1),",","."))-1)/MID(SUBSTITUTE(LEFT(TRIM(C280),FIND(" ",TRIM(C280)&amp;" ")-1),",","."),FIND("/",SUBSTITUTE(LEFT(TRIM(C280),FIND(" ",TRIM(C280)&amp;" ")-1),",","."))+1,9))*12,NA()))),0),24)*'Aturan &amp; Tarif'!$B$4,2)</f>
        <v>1362.72</v>
      </c>
      <c r="K280" s="42" t="n">
        <f aca="false">'Aturan &amp; Tarif'!$B$5</f>
        <v>2050</v>
      </c>
      <c r="L280" s="35" t="n">
        <f aca="false">I280+J280+K280</f>
        <v>8512.72</v>
      </c>
      <c r="M280" s="44" t="s">
        <v>1008</v>
      </c>
    </row>
    <row r="281" customFormat="false" ht="48.75" hidden="false" customHeight="true" outlineLevel="0" collapsed="false">
      <c r="A281" s="39"/>
      <c r="B281" s="40" t="s">
        <v>3235</v>
      </c>
      <c r="C281" s="41" t="s">
        <v>127</v>
      </c>
      <c r="D281" s="41" t="s">
        <v>108</v>
      </c>
      <c r="E281" s="42" t="n">
        <v>2750</v>
      </c>
      <c r="F281" s="42" t="n">
        <v>2000</v>
      </c>
      <c r="G281" s="42" t="n">
        <v>350</v>
      </c>
      <c r="H281" s="43" t="n">
        <v>1</v>
      </c>
      <c r="I281" s="34" t="n">
        <f aca="false">E281*H281+N(F281)+N(G281)</f>
        <v>5100</v>
      </c>
      <c r="J281" s="42" t="n">
        <f aca="false">ROUND(IFERROR(ROUND(IF(OR(ISNUMBER(SEARCH("week",C281)),ISNUMBER(SEARCH("minggu",C281))),IFERROR(_xlfn.NUMBERVALUE(SUBSTITUTE(LEFT(TRIM(C281),FIND(" ",TRIM(C281)&amp;" ")-1),",","."),"."),LEFT(SUBSTITUTE(LEFT(TRIM(C281),FIND(" ",TRIM(C281)&amp;" ")-1),",","."),FIND("/",SUBSTITUTE(LEFT(TRIM(C281),FIND(" ",TRIM(C281)&amp;" ")-1),",","."))-1)/MID(SUBSTITUTE(LEFT(TRIM(C281),FIND(" ",TRIM(C281)&amp;" ")-1),",","."),FIND("/",SUBSTITUTE(LEFT(TRIM(C281),FIND(" ",TRIM(C281)&amp;" ")-1),",","."))+1,9))*12/52,IF(ISNUMBER(SEARCH("month",C281)),IFERROR(_xlfn.NUMBERVALUE(SUBSTITUTE(LEFT(TRIM(C281),FIND(" ",TRIM(C281)&amp;" ")-1),",","."),"."),LEFT(SUBSTITUTE(LEFT(TRIM(C281),FIND(" ",TRIM(C281)&amp;" ")-1),",","."),FIND("/",SUBSTITUTE(LEFT(TRIM(C281),FIND(" ",TRIM(C281)&amp;" ")-1),",","."))-1)/MID(SUBSTITUTE(LEFT(TRIM(C281),FIND(" ",TRIM(C281)&amp;" ")-1),",","."),FIND("/",SUBSTITUTE(LEFT(TRIM(C281),FIND(" ",TRIM(C281)&amp;" ")-1),",","."))+1,9)),IF(ISNUMBER(SEARCH("yea",C281)),IFERROR(_xlfn.NUMBERVALUE(SUBSTITUTE(LEFT(TRIM(C281),FIND(" ",TRIM(C281)&amp;" ")-1),",","."),"."),LEFT(SUBSTITUTE(LEFT(TRIM(C281),FIND(" ",TRIM(C281)&amp;" ")-1),",","."),FIND("/",SUBSTITUTE(LEFT(TRIM(C281),FIND(" ",TRIM(C281)&amp;" ")-1),",","."))-1)/MID(SUBSTITUTE(LEFT(TRIM(C281),FIND(" ",TRIM(C281)&amp;" ")-1),",","."),FIND("/",SUBSTITUTE(LEFT(TRIM(C281),FIND(" ",TRIM(C281)&amp;" ")-1),",","."))+1,9))*12,NA()))),0),36)*'Aturan &amp; Tarif'!$B$4,2)</f>
        <v>2044.08</v>
      </c>
      <c r="K281" s="42" t="n">
        <f aca="false">'Aturan &amp; Tarif'!$B$5</f>
        <v>2050</v>
      </c>
      <c r="L281" s="35" t="n">
        <f aca="false">I281+J281+K281</f>
        <v>9194.08</v>
      </c>
      <c r="M281" s="44" t="s">
        <v>1008</v>
      </c>
    </row>
    <row r="282" customFormat="false" ht="48.75" hidden="false" customHeight="true" outlineLevel="0" collapsed="false">
      <c r="A282" s="39"/>
      <c r="B282" s="40" t="s">
        <v>3236</v>
      </c>
      <c r="C282" s="41" t="s">
        <v>107</v>
      </c>
      <c r="D282" s="41" t="s">
        <v>108</v>
      </c>
      <c r="E282" s="42" t="n">
        <v>2333</v>
      </c>
      <c r="F282" s="42" t="n">
        <v>2000</v>
      </c>
      <c r="G282" s="42" t="n">
        <v>350</v>
      </c>
      <c r="H282" s="43" t="n">
        <v>1</v>
      </c>
      <c r="I282" s="34" t="n">
        <f aca="false">E282*H282+N(F282)+N(G282)</f>
        <v>4683</v>
      </c>
      <c r="J282" s="42" t="n">
        <f aca="false">ROUND(IFERROR(ROUND(IF(OR(ISNUMBER(SEARCH("week",C282)),ISNUMBER(SEARCH("minggu",C282))),IFERROR(_xlfn.NUMBERVALUE(SUBSTITUTE(LEFT(TRIM(C282),FIND(" ",TRIM(C282)&amp;" ")-1),",","."),"."),LEFT(SUBSTITUTE(LEFT(TRIM(C282),FIND(" ",TRIM(C282)&amp;" ")-1),",","."),FIND("/",SUBSTITUTE(LEFT(TRIM(C282),FIND(" ",TRIM(C282)&amp;" ")-1),",","."))-1)/MID(SUBSTITUTE(LEFT(TRIM(C282),FIND(" ",TRIM(C282)&amp;" ")-1),",","."),FIND("/",SUBSTITUTE(LEFT(TRIM(C282),FIND(" ",TRIM(C282)&amp;" ")-1),",","."))+1,9))*12/52,IF(ISNUMBER(SEARCH("month",C282)),IFERROR(_xlfn.NUMBERVALUE(SUBSTITUTE(LEFT(TRIM(C282),FIND(" ",TRIM(C282)&amp;" ")-1),",","."),"."),LEFT(SUBSTITUTE(LEFT(TRIM(C282),FIND(" ",TRIM(C282)&amp;" ")-1),",","."),FIND("/",SUBSTITUTE(LEFT(TRIM(C282),FIND(" ",TRIM(C282)&amp;" ")-1),",","."))-1)/MID(SUBSTITUTE(LEFT(TRIM(C282),FIND(" ",TRIM(C282)&amp;" ")-1),",","."),FIND("/",SUBSTITUTE(LEFT(TRIM(C282),FIND(" ",TRIM(C282)&amp;" ")-1),",","."))+1,9)),IF(ISNUMBER(SEARCH("yea",C282)),IFERROR(_xlfn.NUMBERVALUE(SUBSTITUTE(LEFT(TRIM(C282),FIND(" ",TRIM(C282)&amp;" ")-1),",","."),"."),LEFT(SUBSTITUTE(LEFT(TRIM(C282),FIND(" ",TRIM(C282)&amp;" ")-1),",","."),FIND("/",SUBSTITUTE(LEFT(TRIM(C282),FIND(" ",TRIM(C282)&amp;" ")-1),",","."))-1)/MID(SUBSTITUTE(LEFT(TRIM(C282),FIND(" ",TRIM(C282)&amp;" ")-1),",","."),FIND("/",SUBSTITUTE(LEFT(TRIM(C282),FIND(" ",TRIM(C282)&amp;" ")-1),",","."))+1,9))*12,NA()))),0),24)*'Aturan &amp; Tarif'!$B$4,2)</f>
        <v>1362.72</v>
      </c>
      <c r="K282" s="42" t="n">
        <f aca="false">'Aturan &amp; Tarif'!$B$5</f>
        <v>2050</v>
      </c>
      <c r="L282" s="35" t="n">
        <f aca="false">I282+J282+K282</f>
        <v>8095.72</v>
      </c>
      <c r="M282" s="44" t="s">
        <v>1008</v>
      </c>
    </row>
    <row r="283" customFormat="false" ht="60" hidden="false" customHeight="true" outlineLevel="0" collapsed="false">
      <c r="A283" s="39"/>
      <c r="B283" s="40" t="s">
        <v>3237</v>
      </c>
      <c r="C283" s="41" t="s">
        <v>138</v>
      </c>
      <c r="D283" s="41" t="s">
        <v>108</v>
      </c>
      <c r="E283" s="42" t="n">
        <v>2333</v>
      </c>
      <c r="F283" s="42" t="n">
        <v>2000</v>
      </c>
      <c r="G283" s="42" t="n">
        <v>350</v>
      </c>
      <c r="H283" s="43" t="n">
        <v>1</v>
      </c>
      <c r="I283" s="34" t="n">
        <f aca="false">E283*H283+N(F283)+N(G283)</f>
        <v>4683</v>
      </c>
      <c r="J283" s="42" t="n">
        <f aca="false">ROUND(IFERROR(ROUND(IF(OR(ISNUMBER(SEARCH("week",C283)),ISNUMBER(SEARCH("minggu",C283))),IFERROR(_xlfn.NUMBERVALUE(SUBSTITUTE(LEFT(TRIM(C283),FIND(" ",TRIM(C283)&amp;" ")-1),",","."),"."),LEFT(SUBSTITUTE(LEFT(TRIM(C283),FIND(" ",TRIM(C283)&amp;" ")-1),",","."),FIND("/",SUBSTITUTE(LEFT(TRIM(C283),FIND(" ",TRIM(C283)&amp;" ")-1),",","."))-1)/MID(SUBSTITUTE(LEFT(TRIM(C283),FIND(" ",TRIM(C283)&amp;" ")-1),",","."),FIND("/",SUBSTITUTE(LEFT(TRIM(C283),FIND(" ",TRIM(C283)&amp;" ")-1),",","."))+1,9))*12/52,IF(ISNUMBER(SEARCH("month",C283)),IFERROR(_xlfn.NUMBERVALUE(SUBSTITUTE(LEFT(TRIM(C283),FIND(" ",TRIM(C283)&amp;" ")-1),",","."),"."),LEFT(SUBSTITUTE(LEFT(TRIM(C283),FIND(" ",TRIM(C283)&amp;" ")-1),",","."),FIND("/",SUBSTITUTE(LEFT(TRIM(C283),FIND(" ",TRIM(C283)&amp;" ")-1),",","."))-1)/MID(SUBSTITUTE(LEFT(TRIM(C283),FIND(" ",TRIM(C283)&amp;" ")-1),",","."),FIND("/",SUBSTITUTE(LEFT(TRIM(C283),FIND(" ",TRIM(C283)&amp;" ")-1),",","."))+1,9)),IF(ISNUMBER(SEARCH("yea",C283)),IFERROR(_xlfn.NUMBERVALUE(SUBSTITUTE(LEFT(TRIM(C283),FIND(" ",TRIM(C283)&amp;" ")-1),",","."),"."),LEFT(SUBSTITUTE(LEFT(TRIM(C283),FIND(" ",TRIM(C283)&amp;" ")-1),",","."),FIND("/",SUBSTITUTE(LEFT(TRIM(C283),FIND(" ",TRIM(C283)&amp;" ")-1),",","."))-1)/MID(SUBSTITUTE(LEFT(TRIM(C283),FIND(" ",TRIM(C283)&amp;" ")-1),",","."),FIND("/",SUBSTITUTE(LEFT(TRIM(C283),FIND(" ",TRIM(C283)&amp;" ")-1),",","."))+1,9))*12,NA()))),0),30)*'Aturan &amp; Tarif'!$B$4,2)</f>
        <v>1703.4</v>
      </c>
      <c r="K283" s="42" t="n">
        <f aca="false">'Aturan &amp; Tarif'!$B$5</f>
        <v>2050</v>
      </c>
      <c r="L283" s="35" t="n">
        <f aca="false">I283+J283+K283</f>
        <v>8436.4</v>
      </c>
      <c r="M283" s="44" t="s">
        <v>1008</v>
      </c>
    </row>
    <row r="284" customFormat="false" ht="48.75" hidden="false" customHeight="true" outlineLevel="0" collapsed="false">
      <c r="A284" s="39"/>
      <c r="B284" s="40" t="s">
        <v>3238</v>
      </c>
      <c r="C284" s="41" t="s">
        <v>107</v>
      </c>
      <c r="D284" s="41" t="s">
        <v>108</v>
      </c>
      <c r="E284" s="42" t="n">
        <v>2500</v>
      </c>
      <c r="F284" s="42" t="n">
        <v>2000</v>
      </c>
      <c r="G284" s="42" t="n">
        <v>350</v>
      </c>
      <c r="H284" s="43" t="n">
        <v>1</v>
      </c>
      <c r="I284" s="34" t="n">
        <f aca="false">E284*H284+N(F284)+N(G284)</f>
        <v>4850</v>
      </c>
      <c r="J284" s="42" t="n">
        <f aca="false">ROUND(IFERROR(ROUND(IF(OR(ISNUMBER(SEARCH("week",C284)),ISNUMBER(SEARCH("minggu",C284))),IFERROR(_xlfn.NUMBERVALUE(SUBSTITUTE(LEFT(TRIM(C284),FIND(" ",TRIM(C284)&amp;" ")-1),",","."),"."),LEFT(SUBSTITUTE(LEFT(TRIM(C284),FIND(" ",TRIM(C284)&amp;" ")-1),",","."),FIND("/",SUBSTITUTE(LEFT(TRIM(C284),FIND(" ",TRIM(C284)&amp;" ")-1),",","."))-1)/MID(SUBSTITUTE(LEFT(TRIM(C284),FIND(" ",TRIM(C284)&amp;" ")-1),",","."),FIND("/",SUBSTITUTE(LEFT(TRIM(C284),FIND(" ",TRIM(C284)&amp;" ")-1),",","."))+1,9))*12/52,IF(ISNUMBER(SEARCH("month",C284)),IFERROR(_xlfn.NUMBERVALUE(SUBSTITUTE(LEFT(TRIM(C284),FIND(" ",TRIM(C284)&amp;" ")-1),",","."),"."),LEFT(SUBSTITUTE(LEFT(TRIM(C284),FIND(" ",TRIM(C284)&amp;" ")-1),",","."),FIND("/",SUBSTITUTE(LEFT(TRIM(C284),FIND(" ",TRIM(C284)&amp;" ")-1),",","."))-1)/MID(SUBSTITUTE(LEFT(TRIM(C284),FIND(" ",TRIM(C284)&amp;" ")-1),",","."),FIND("/",SUBSTITUTE(LEFT(TRIM(C284),FIND(" ",TRIM(C284)&amp;" ")-1),",","."))+1,9)),IF(ISNUMBER(SEARCH("yea",C284)),IFERROR(_xlfn.NUMBERVALUE(SUBSTITUTE(LEFT(TRIM(C284),FIND(" ",TRIM(C284)&amp;" ")-1),",","."),"."),LEFT(SUBSTITUTE(LEFT(TRIM(C284),FIND(" ",TRIM(C284)&amp;" ")-1),",","."),FIND("/",SUBSTITUTE(LEFT(TRIM(C284),FIND(" ",TRIM(C284)&amp;" ")-1),",","."))-1)/MID(SUBSTITUTE(LEFT(TRIM(C284),FIND(" ",TRIM(C284)&amp;" ")-1),",","."),FIND("/",SUBSTITUTE(LEFT(TRIM(C284),FIND(" ",TRIM(C284)&amp;" ")-1),",","."))+1,9))*12,NA()))),0),24)*'Aturan &amp; Tarif'!$B$4,2)</f>
        <v>1362.72</v>
      </c>
      <c r="K284" s="42" t="n">
        <f aca="false">'Aturan &amp; Tarif'!$B$5</f>
        <v>2050</v>
      </c>
      <c r="L284" s="35" t="n">
        <f aca="false">I284+J284+K284</f>
        <v>8262.72</v>
      </c>
      <c r="M284" s="44" t="s">
        <v>1008</v>
      </c>
    </row>
    <row r="285" customFormat="false" ht="60" hidden="false" customHeight="true" outlineLevel="0" collapsed="false">
      <c r="A285" s="39"/>
      <c r="B285" s="40" t="s">
        <v>3239</v>
      </c>
      <c r="C285" s="41" t="s">
        <v>127</v>
      </c>
      <c r="D285" s="41" t="s">
        <v>108</v>
      </c>
      <c r="E285" s="42" t="n">
        <v>2500</v>
      </c>
      <c r="F285" s="42" t="n">
        <v>2000</v>
      </c>
      <c r="G285" s="42" t="n">
        <v>350</v>
      </c>
      <c r="H285" s="43" t="n">
        <v>1</v>
      </c>
      <c r="I285" s="34" t="n">
        <f aca="false">E285*H285+N(F285)+N(G285)</f>
        <v>4850</v>
      </c>
      <c r="J285" s="42" t="n">
        <f aca="false">ROUND(IFERROR(ROUND(IF(OR(ISNUMBER(SEARCH("week",C285)),ISNUMBER(SEARCH("minggu",C285))),IFERROR(_xlfn.NUMBERVALUE(SUBSTITUTE(LEFT(TRIM(C285),FIND(" ",TRIM(C285)&amp;" ")-1),",","."),"."),LEFT(SUBSTITUTE(LEFT(TRIM(C285),FIND(" ",TRIM(C285)&amp;" ")-1),",","."),FIND("/",SUBSTITUTE(LEFT(TRIM(C285),FIND(" ",TRIM(C285)&amp;" ")-1),",","."))-1)/MID(SUBSTITUTE(LEFT(TRIM(C285),FIND(" ",TRIM(C285)&amp;" ")-1),",","."),FIND("/",SUBSTITUTE(LEFT(TRIM(C285),FIND(" ",TRIM(C285)&amp;" ")-1),",","."))+1,9))*12/52,IF(ISNUMBER(SEARCH("month",C285)),IFERROR(_xlfn.NUMBERVALUE(SUBSTITUTE(LEFT(TRIM(C285),FIND(" ",TRIM(C285)&amp;" ")-1),",","."),"."),LEFT(SUBSTITUTE(LEFT(TRIM(C285),FIND(" ",TRIM(C285)&amp;" ")-1),",","."),FIND("/",SUBSTITUTE(LEFT(TRIM(C285),FIND(" ",TRIM(C285)&amp;" ")-1),",","."))-1)/MID(SUBSTITUTE(LEFT(TRIM(C285),FIND(" ",TRIM(C285)&amp;" ")-1),",","."),FIND("/",SUBSTITUTE(LEFT(TRIM(C285),FIND(" ",TRIM(C285)&amp;" ")-1),",","."))+1,9)),IF(ISNUMBER(SEARCH("yea",C285)),IFERROR(_xlfn.NUMBERVALUE(SUBSTITUTE(LEFT(TRIM(C285),FIND(" ",TRIM(C285)&amp;" ")-1),",","."),"."),LEFT(SUBSTITUTE(LEFT(TRIM(C285),FIND(" ",TRIM(C285)&amp;" ")-1),",","."),FIND("/",SUBSTITUTE(LEFT(TRIM(C285),FIND(" ",TRIM(C285)&amp;" ")-1),",","."))-1)/MID(SUBSTITUTE(LEFT(TRIM(C285),FIND(" ",TRIM(C285)&amp;" ")-1),",","."),FIND("/",SUBSTITUTE(LEFT(TRIM(C285),FIND(" ",TRIM(C285)&amp;" ")-1),",","."))+1,9))*12,NA()))),0),36)*'Aturan &amp; Tarif'!$B$4,2)</f>
        <v>2044.08</v>
      </c>
      <c r="K285" s="42" t="n">
        <f aca="false">'Aturan &amp; Tarif'!$B$5</f>
        <v>2050</v>
      </c>
      <c r="L285" s="35" t="n">
        <f aca="false">I285+J285+K285</f>
        <v>8944.08</v>
      </c>
      <c r="M285" s="44" t="s">
        <v>1008</v>
      </c>
    </row>
    <row r="286" customFormat="false" ht="37.5" hidden="false" customHeight="true" outlineLevel="0" collapsed="false">
      <c r="A286" s="39"/>
      <c r="B286" s="40" t="s">
        <v>3240</v>
      </c>
      <c r="C286" s="41" t="s">
        <v>107</v>
      </c>
      <c r="D286" s="41" t="s">
        <v>108</v>
      </c>
      <c r="E286" s="42" t="n">
        <v>2500</v>
      </c>
      <c r="F286" s="42" t="n">
        <v>2000</v>
      </c>
      <c r="G286" s="42" t="n">
        <v>350</v>
      </c>
      <c r="H286" s="43" t="n">
        <v>1</v>
      </c>
      <c r="I286" s="34" t="n">
        <f aca="false">E286*H286+N(F286)+N(G286)</f>
        <v>4850</v>
      </c>
      <c r="J286" s="42" t="n">
        <f aca="false">ROUND(IFERROR(ROUND(IF(OR(ISNUMBER(SEARCH("week",C286)),ISNUMBER(SEARCH("minggu",C286))),IFERROR(_xlfn.NUMBERVALUE(SUBSTITUTE(LEFT(TRIM(C286),FIND(" ",TRIM(C286)&amp;" ")-1),",","."),"."),LEFT(SUBSTITUTE(LEFT(TRIM(C286),FIND(" ",TRIM(C286)&amp;" ")-1),",","."),FIND("/",SUBSTITUTE(LEFT(TRIM(C286),FIND(" ",TRIM(C286)&amp;" ")-1),",","."))-1)/MID(SUBSTITUTE(LEFT(TRIM(C286),FIND(" ",TRIM(C286)&amp;" ")-1),",","."),FIND("/",SUBSTITUTE(LEFT(TRIM(C286),FIND(" ",TRIM(C286)&amp;" ")-1),",","."))+1,9))*12/52,IF(ISNUMBER(SEARCH("month",C286)),IFERROR(_xlfn.NUMBERVALUE(SUBSTITUTE(LEFT(TRIM(C286),FIND(" ",TRIM(C286)&amp;" ")-1),",","."),"."),LEFT(SUBSTITUTE(LEFT(TRIM(C286),FIND(" ",TRIM(C286)&amp;" ")-1),",","."),FIND("/",SUBSTITUTE(LEFT(TRIM(C286),FIND(" ",TRIM(C286)&amp;" ")-1),",","."))-1)/MID(SUBSTITUTE(LEFT(TRIM(C286),FIND(" ",TRIM(C286)&amp;" ")-1),",","."),FIND("/",SUBSTITUTE(LEFT(TRIM(C286),FIND(" ",TRIM(C286)&amp;" ")-1),",","."))+1,9)),IF(ISNUMBER(SEARCH("yea",C286)),IFERROR(_xlfn.NUMBERVALUE(SUBSTITUTE(LEFT(TRIM(C286),FIND(" ",TRIM(C286)&amp;" ")-1),",","."),"."),LEFT(SUBSTITUTE(LEFT(TRIM(C286),FIND(" ",TRIM(C286)&amp;" ")-1),",","."),FIND("/",SUBSTITUTE(LEFT(TRIM(C286),FIND(" ",TRIM(C286)&amp;" ")-1),",","."))-1)/MID(SUBSTITUTE(LEFT(TRIM(C286),FIND(" ",TRIM(C286)&amp;" ")-1),",","."),FIND("/",SUBSTITUTE(LEFT(TRIM(C286),FIND(" ",TRIM(C286)&amp;" ")-1),",","."))+1,9))*12,NA()))),0),24)*'Aturan &amp; Tarif'!$B$4,2)</f>
        <v>1362.72</v>
      </c>
      <c r="K286" s="42" t="n">
        <f aca="false">'Aturan &amp; Tarif'!$B$5</f>
        <v>2050</v>
      </c>
      <c r="L286" s="35" t="n">
        <f aca="false">I286+J286+K286</f>
        <v>8262.72</v>
      </c>
      <c r="M286" s="44" t="s">
        <v>1008</v>
      </c>
    </row>
    <row r="287" customFormat="false" ht="48.75" hidden="false" customHeight="true" outlineLevel="0" collapsed="false">
      <c r="A287" s="39"/>
      <c r="B287" s="40" t="s">
        <v>3241</v>
      </c>
      <c r="C287" s="41" t="s">
        <v>127</v>
      </c>
      <c r="D287" s="41" t="s">
        <v>108</v>
      </c>
      <c r="E287" s="42" t="n">
        <v>2500</v>
      </c>
      <c r="F287" s="42" t="n">
        <v>2000</v>
      </c>
      <c r="G287" s="42" t="n">
        <v>350</v>
      </c>
      <c r="H287" s="43" t="n">
        <v>1</v>
      </c>
      <c r="I287" s="34" t="n">
        <f aca="false">E287*H287+N(F287)+N(G287)</f>
        <v>4850</v>
      </c>
      <c r="J287" s="42" t="n">
        <f aca="false">ROUND(IFERROR(ROUND(IF(OR(ISNUMBER(SEARCH("week",C287)),ISNUMBER(SEARCH("minggu",C287))),IFERROR(_xlfn.NUMBERVALUE(SUBSTITUTE(LEFT(TRIM(C287),FIND(" ",TRIM(C287)&amp;" ")-1),",","."),"."),LEFT(SUBSTITUTE(LEFT(TRIM(C287),FIND(" ",TRIM(C287)&amp;" ")-1),",","."),FIND("/",SUBSTITUTE(LEFT(TRIM(C287),FIND(" ",TRIM(C287)&amp;" ")-1),",","."))-1)/MID(SUBSTITUTE(LEFT(TRIM(C287),FIND(" ",TRIM(C287)&amp;" ")-1),",","."),FIND("/",SUBSTITUTE(LEFT(TRIM(C287),FIND(" ",TRIM(C287)&amp;" ")-1),",","."))+1,9))*12/52,IF(ISNUMBER(SEARCH("month",C287)),IFERROR(_xlfn.NUMBERVALUE(SUBSTITUTE(LEFT(TRIM(C287),FIND(" ",TRIM(C287)&amp;" ")-1),",","."),"."),LEFT(SUBSTITUTE(LEFT(TRIM(C287),FIND(" ",TRIM(C287)&amp;" ")-1),",","."),FIND("/",SUBSTITUTE(LEFT(TRIM(C287),FIND(" ",TRIM(C287)&amp;" ")-1),",","."))-1)/MID(SUBSTITUTE(LEFT(TRIM(C287),FIND(" ",TRIM(C287)&amp;" ")-1),",","."),FIND("/",SUBSTITUTE(LEFT(TRIM(C287),FIND(" ",TRIM(C287)&amp;" ")-1),",","."))+1,9)),IF(ISNUMBER(SEARCH("yea",C287)),IFERROR(_xlfn.NUMBERVALUE(SUBSTITUTE(LEFT(TRIM(C287),FIND(" ",TRIM(C287)&amp;" ")-1),",","."),"."),LEFT(SUBSTITUTE(LEFT(TRIM(C287),FIND(" ",TRIM(C287)&amp;" ")-1),",","."),FIND("/",SUBSTITUTE(LEFT(TRIM(C287),FIND(" ",TRIM(C287)&amp;" ")-1),",","."))-1)/MID(SUBSTITUTE(LEFT(TRIM(C287),FIND(" ",TRIM(C287)&amp;" ")-1),",","."),FIND("/",SUBSTITUTE(LEFT(TRIM(C287),FIND(" ",TRIM(C287)&amp;" ")-1),",","."))+1,9))*12,NA()))),0),36)*'Aturan &amp; Tarif'!$B$4,2)</f>
        <v>2044.08</v>
      </c>
      <c r="K287" s="42" t="n">
        <f aca="false">'Aturan &amp; Tarif'!$B$5</f>
        <v>2050</v>
      </c>
      <c r="L287" s="35" t="n">
        <f aca="false">I287+J287+K287</f>
        <v>8944.08</v>
      </c>
      <c r="M287" s="44" t="s">
        <v>1008</v>
      </c>
    </row>
    <row r="288" customFormat="false" ht="48.75" hidden="false" customHeight="true" outlineLevel="0" collapsed="false">
      <c r="A288" s="39"/>
      <c r="B288" s="40" t="s">
        <v>3242</v>
      </c>
      <c r="C288" s="41" t="s">
        <v>107</v>
      </c>
      <c r="D288" s="41" t="s">
        <v>108</v>
      </c>
      <c r="E288" s="42" t="n">
        <v>2333</v>
      </c>
      <c r="F288" s="42" t="n">
        <v>2000</v>
      </c>
      <c r="G288" s="42" t="n">
        <v>350</v>
      </c>
      <c r="H288" s="43" t="n">
        <v>1</v>
      </c>
      <c r="I288" s="34" t="n">
        <f aca="false">E288*H288+N(F288)+N(G288)</f>
        <v>4683</v>
      </c>
      <c r="J288" s="42" t="n">
        <f aca="false">ROUND(IFERROR(ROUND(IF(OR(ISNUMBER(SEARCH("week",C288)),ISNUMBER(SEARCH("minggu",C288))),IFERROR(_xlfn.NUMBERVALUE(SUBSTITUTE(LEFT(TRIM(C288),FIND(" ",TRIM(C288)&amp;" ")-1),",","."),"."),LEFT(SUBSTITUTE(LEFT(TRIM(C288),FIND(" ",TRIM(C288)&amp;" ")-1),",","."),FIND("/",SUBSTITUTE(LEFT(TRIM(C288),FIND(" ",TRIM(C288)&amp;" ")-1),",","."))-1)/MID(SUBSTITUTE(LEFT(TRIM(C288),FIND(" ",TRIM(C288)&amp;" ")-1),",","."),FIND("/",SUBSTITUTE(LEFT(TRIM(C288),FIND(" ",TRIM(C288)&amp;" ")-1),",","."))+1,9))*12/52,IF(ISNUMBER(SEARCH("month",C288)),IFERROR(_xlfn.NUMBERVALUE(SUBSTITUTE(LEFT(TRIM(C288),FIND(" ",TRIM(C288)&amp;" ")-1),",","."),"."),LEFT(SUBSTITUTE(LEFT(TRIM(C288),FIND(" ",TRIM(C288)&amp;" ")-1),",","."),FIND("/",SUBSTITUTE(LEFT(TRIM(C288),FIND(" ",TRIM(C288)&amp;" ")-1),",","."))-1)/MID(SUBSTITUTE(LEFT(TRIM(C288),FIND(" ",TRIM(C288)&amp;" ")-1),",","."),FIND("/",SUBSTITUTE(LEFT(TRIM(C288),FIND(" ",TRIM(C288)&amp;" ")-1),",","."))+1,9)),IF(ISNUMBER(SEARCH("yea",C288)),IFERROR(_xlfn.NUMBERVALUE(SUBSTITUTE(LEFT(TRIM(C288),FIND(" ",TRIM(C288)&amp;" ")-1),",","."),"."),LEFT(SUBSTITUTE(LEFT(TRIM(C288),FIND(" ",TRIM(C288)&amp;" ")-1),",","."),FIND("/",SUBSTITUTE(LEFT(TRIM(C288),FIND(" ",TRIM(C288)&amp;" ")-1),",","."))-1)/MID(SUBSTITUTE(LEFT(TRIM(C288),FIND(" ",TRIM(C288)&amp;" ")-1),",","."),FIND("/",SUBSTITUTE(LEFT(TRIM(C288),FIND(" ",TRIM(C288)&amp;" ")-1),",","."))+1,9))*12,NA()))),0),24)*'Aturan &amp; Tarif'!$B$4,2)</f>
        <v>1362.72</v>
      </c>
      <c r="K288" s="42" t="n">
        <f aca="false">'Aturan &amp; Tarif'!$B$5</f>
        <v>2050</v>
      </c>
      <c r="L288" s="35" t="n">
        <f aca="false">I288+J288+K288</f>
        <v>8095.72</v>
      </c>
      <c r="M288" s="44" t="s">
        <v>1008</v>
      </c>
    </row>
    <row r="289" customFormat="false" ht="60" hidden="false" customHeight="true" outlineLevel="0" collapsed="false">
      <c r="A289" s="39"/>
      <c r="B289" s="40" t="s">
        <v>3243</v>
      </c>
      <c r="C289" s="41" t="s">
        <v>138</v>
      </c>
      <c r="D289" s="41" t="s">
        <v>108</v>
      </c>
      <c r="E289" s="42" t="n">
        <v>2333</v>
      </c>
      <c r="F289" s="42" t="n">
        <v>2000</v>
      </c>
      <c r="G289" s="42" t="n">
        <v>350</v>
      </c>
      <c r="H289" s="43" t="n">
        <v>1</v>
      </c>
      <c r="I289" s="34" t="n">
        <f aca="false">E289*H289+N(F289)+N(G289)</f>
        <v>4683</v>
      </c>
      <c r="J289" s="42" t="n">
        <f aca="false">ROUND(IFERROR(ROUND(IF(OR(ISNUMBER(SEARCH("week",C289)),ISNUMBER(SEARCH("minggu",C289))),IFERROR(_xlfn.NUMBERVALUE(SUBSTITUTE(LEFT(TRIM(C289),FIND(" ",TRIM(C289)&amp;" ")-1),",","."),"."),LEFT(SUBSTITUTE(LEFT(TRIM(C289),FIND(" ",TRIM(C289)&amp;" ")-1),",","."),FIND("/",SUBSTITUTE(LEFT(TRIM(C289),FIND(" ",TRIM(C289)&amp;" ")-1),",","."))-1)/MID(SUBSTITUTE(LEFT(TRIM(C289),FIND(" ",TRIM(C289)&amp;" ")-1),",","."),FIND("/",SUBSTITUTE(LEFT(TRIM(C289),FIND(" ",TRIM(C289)&amp;" ")-1),",","."))+1,9))*12/52,IF(ISNUMBER(SEARCH("month",C289)),IFERROR(_xlfn.NUMBERVALUE(SUBSTITUTE(LEFT(TRIM(C289),FIND(" ",TRIM(C289)&amp;" ")-1),",","."),"."),LEFT(SUBSTITUTE(LEFT(TRIM(C289),FIND(" ",TRIM(C289)&amp;" ")-1),",","."),FIND("/",SUBSTITUTE(LEFT(TRIM(C289),FIND(" ",TRIM(C289)&amp;" ")-1),",","."))-1)/MID(SUBSTITUTE(LEFT(TRIM(C289),FIND(" ",TRIM(C289)&amp;" ")-1),",","."),FIND("/",SUBSTITUTE(LEFT(TRIM(C289),FIND(" ",TRIM(C289)&amp;" ")-1),",","."))+1,9)),IF(ISNUMBER(SEARCH("yea",C289)),IFERROR(_xlfn.NUMBERVALUE(SUBSTITUTE(LEFT(TRIM(C289),FIND(" ",TRIM(C289)&amp;" ")-1),",","."),"."),LEFT(SUBSTITUTE(LEFT(TRIM(C289),FIND(" ",TRIM(C289)&amp;" ")-1),",","."),FIND("/",SUBSTITUTE(LEFT(TRIM(C289),FIND(" ",TRIM(C289)&amp;" ")-1),",","."))-1)/MID(SUBSTITUTE(LEFT(TRIM(C289),FIND(" ",TRIM(C289)&amp;" ")-1),",","."),FIND("/",SUBSTITUTE(LEFT(TRIM(C289),FIND(" ",TRIM(C289)&amp;" ")-1),",","."))+1,9))*12,NA()))),0),30)*'Aturan &amp; Tarif'!$B$4,2)</f>
        <v>1703.4</v>
      </c>
      <c r="K289" s="42" t="n">
        <f aca="false">'Aturan &amp; Tarif'!$B$5</f>
        <v>2050</v>
      </c>
      <c r="L289" s="35" t="n">
        <f aca="false">I289+J289+K289</f>
        <v>8436.4</v>
      </c>
      <c r="M289" s="44" t="s">
        <v>1008</v>
      </c>
    </row>
    <row r="290" customFormat="false" ht="37.5" hidden="false" customHeight="true" outlineLevel="0" collapsed="false">
      <c r="A290" s="29" t="s">
        <v>1020</v>
      </c>
      <c r="B290" s="30" t="s">
        <v>1021</v>
      </c>
      <c r="C290" s="31" t="s">
        <v>107</v>
      </c>
      <c r="D290" s="31" t="s">
        <v>108</v>
      </c>
      <c r="E290" s="32" t="n">
        <v>2150</v>
      </c>
      <c r="F290" s="32" t="n">
        <v>1500</v>
      </c>
      <c r="G290" s="32"/>
      <c r="H290" s="33" t="n">
        <v>2</v>
      </c>
      <c r="I290" s="34" t="n">
        <f aca="false">E290*H290+N(F290)+N(G290)</f>
        <v>5800</v>
      </c>
      <c r="J290" s="32" t="n">
        <f aca="false">ROUND(IFERROR(ROUND(IF(OR(ISNUMBER(SEARCH("week",C290)),ISNUMBER(SEARCH("minggu",C290))),IFERROR(_xlfn.NUMBERVALUE(SUBSTITUTE(LEFT(TRIM(C290),FIND(" ",TRIM(C290)&amp;" ")-1),",","."),"."),LEFT(SUBSTITUTE(LEFT(TRIM(C290),FIND(" ",TRIM(C290)&amp;" ")-1),",","."),FIND("/",SUBSTITUTE(LEFT(TRIM(C290),FIND(" ",TRIM(C290)&amp;" ")-1),",","."))-1)/MID(SUBSTITUTE(LEFT(TRIM(C290),FIND(" ",TRIM(C290)&amp;" ")-1),",","."),FIND("/",SUBSTITUTE(LEFT(TRIM(C290),FIND(" ",TRIM(C290)&amp;" ")-1),",","."))+1,9))*12/52,IF(ISNUMBER(SEARCH("month",C290)),IFERROR(_xlfn.NUMBERVALUE(SUBSTITUTE(LEFT(TRIM(C290),FIND(" ",TRIM(C290)&amp;" ")-1),",","."),"."),LEFT(SUBSTITUTE(LEFT(TRIM(C290),FIND(" ",TRIM(C290)&amp;" ")-1),",","."),FIND("/",SUBSTITUTE(LEFT(TRIM(C290),FIND(" ",TRIM(C290)&amp;" ")-1),",","."))-1)/MID(SUBSTITUTE(LEFT(TRIM(C290),FIND(" ",TRIM(C290)&amp;" ")-1),",","."),FIND("/",SUBSTITUTE(LEFT(TRIM(C290),FIND(" ",TRIM(C290)&amp;" ")-1),",","."))+1,9)),IF(ISNUMBER(SEARCH("yea",C290)),IFERROR(_xlfn.NUMBERVALUE(SUBSTITUTE(LEFT(TRIM(C290),FIND(" ",TRIM(C290)&amp;" ")-1),",","."),"."),LEFT(SUBSTITUTE(LEFT(TRIM(C290),FIND(" ",TRIM(C290)&amp;" ")-1),",","."),FIND("/",SUBSTITUTE(LEFT(TRIM(C290),FIND(" ",TRIM(C290)&amp;" ")-1),",","."))-1)/MID(SUBSTITUTE(LEFT(TRIM(C290),FIND(" ",TRIM(C290)&amp;" ")-1),",","."),FIND("/",SUBSTITUTE(LEFT(TRIM(C290),FIND(" ",TRIM(C290)&amp;" ")-1),",","."))+1,9))*12,NA()))),0),24)*'Aturan &amp; Tarif'!$B$4,2)</f>
        <v>1362.72</v>
      </c>
      <c r="K290" s="32" t="n">
        <f aca="false">'Aturan &amp; Tarif'!$B$5</f>
        <v>2050</v>
      </c>
      <c r="L290" s="35" t="n">
        <f aca="false">I290+J290+K290</f>
        <v>9212.72</v>
      </c>
      <c r="M290" s="37" t="s">
        <v>1022</v>
      </c>
    </row>
    <row r="291" customFormat="false" ht="25.5" hidden="false" customHeight="true" outlineLevel="0" collapsed="false">
      <c r="A291" s="29"/>
      <c r="B291" s="30" t="s">
        <v>881</v>
      </c>
      <c r="C291" s="31" t="s">
        <v>107</v>
      </c>
      <c r="D291" s="31" t="s">
        <v>108</v>
      </c>
      <c r="E291" s="32" t="n">
        <v>1800</v>
      </c>
      <c r="F291" s="32" t="n">
        <v>200</v>
      </c>
      <c r="G291" s="32"/>
      <c r="H291" s="33" t="n">
        <v>2</v>
      </c>
      <c r="I291" s="34" t="n">
        <f aca="false">E291*H291+N(F291)+N(G291)</f>
        <v>3800</v>
      </c>
      <c r="J291" s="32" t="n">
        <f aca="false">ROUND(IFERROR(ROUND(IF(OR(ISNUMBER(SEARCH("week",C291)),ISNUMBER(SEARCH("minggu",C291))),IFERROR(_xlfn.NUMBERVALUE(SUBSTITUTE(LEFT(TRIM(C291),FIND(" ",TRIM(C291)&amp;" ")-1),",","."),"."),LEFT(SUBSTITUTE(LEFT(TRIM(C291),FIND(" ",TRIM(C291)&amp;" ")-1),",","."),FIND("/",SUBSTITUTE(LEFT(TRIM(C291),FIND(" ",TRIM(C291)&amp;" ")-1),",","."))-1)/MID(SUBSTITUTE(LEFT(TRIM(C291),FIND(" ",TRIM(C291)&amp;" ")-1),",","."),FIND("/",SUBSTITUTE(LEFT(TRIM(C291),FIND(" ",TRIM(C291)&amp;" ")-1),",","."))+1,9))*12/52,IF(ISNUMBER(SEARCH("month",C291)),IFERROR(_xlfn.NUMBERVALUE(SUBSTITUTE(LEFT(TRIM(C291),FIND(" ",TRIM(C291)&amp;" ")-1),",","."),"."),LEFT(SUBSTITUTE(LEFT(TRIM(C291),FIND(" ",TRIM(C291)&amp;" ")-1),",","."),FIND("/",SUBSTITUTE(LEFT(TRIM(C291),FIND(" ",TRIM(C291)&amp;" ")-1),",","."))-1)/MID(SUBSTITUTE(LEFT(TRIM(C291),FIND(" ",TRIM(C291)&amp;" ")-1),",","."),FIND("/",SUBSTITUTE(LEFT(TRIM(C291),FIND(" ",TRIM(C291)&amp;" ")-1),",","."))+1,9)),IF(ISNUMBER(SEARCH("yea",C291)),IFERROR(_xlfn.NUMBERVALUE(SUBSTITUTE(LEFT(TRIM(C291),FIND(" ",TRIM(C291)&amp;" ")-1),",","."),"."),LEFT(SUBSTITUTE(LEFT(TRIM(C291),FIND(" ",TRIM(C291)&amp;" ")-1),",","."),FIND("/",SUBSTITUTE(LEFT(TRIM(C291),FIND(" ",TRIM(C291)&amp;" ")-1),",","."))-1)/MID(SUBSTITUTE(LEFT(TRIM(C291),FIND(" ",TRIM(C291)&amp;" ")-1),",","."),FIND("/",SUBSTITUTE(LEFT(TRIM(C291),FIND(" ",TRIM(C291)&amp;" ")-1),",","."))+1,9))*12,NA()))),0),24)*'Aturan &amp; Tarif'!$B$4,2)</f>
        <v>1362.72</v>
      </c>
      <c r="K291" s="32" t="n">
        <f aca="false">'Aturan &amp; Tarif'!$B$5</f>
        <v>2050</v>
      </c>
      <c r="L291" s="35" t="n">
        <f aca="false">I291+J291+K291</f>
        <v>7212.72</v>
      </c>
      <c r="M291" s="37" t="s">
        <v>1022</v>
      </c>
    </row>
    <row r="292" customFormat="false" ht="37.5" hidden="false" customHeight="true" outlineLevel="0" collapsed="false">
      <c r="A292" s="29"/>
      <c r="B292" s="30" t="s">
        <v>3455</v>
      </c>
      <c r="C292" s="31" t="s">
        <v>878</v>
      </c>
      <c r="D292" s="31" t="s">
        <v>108</v>
      </c>
      <c r="E292" s="32" t="n">
        <v>2200</v>
      </c>
      <c r="F292" s="32" t="n">
        <v>200</v>
      </c>
      <c r="G292" s="32"/>
      <c r="H292" s="33" t="n">
        <v>2</v>
      </c>
      <c r="I292" s="34" t="n">
        <f aca="false">E292*H292+N(F292)+N(G292)</f>
        <v>4600</v>
      </c>
      <c r="J292" s="32" t="n">
        <f aca="false">ROUND(IFERROR(ROUND(IF(OR(ISNUMBER(SEARCH("week",C292)),ISNUMBER(SEARCH("minggu",C292))),IFERROR(_xlfn.NUMBERVALUE(SUBSTITUTE(LEFT(TRIM(C292),FIND(" ",TRIM(C292)&amp;" ")-1),",","."),"."),LEFT(SUBSTITUTE(LEFT(TRIM(C292),FIND(" ",TRIM(C292)&amp;" ")-1),",","."),FIND("/",SUBSTITUTE(LEFT(TRIM(C292),FIND(" ",TRIM(C292)&amp;" ")-1),",","."))-1)/MID(SUBSTITUTE(LEFT(TRIM(C292),FIND(" ",TRIM(C292)&amp;" ")-1),",","."),FIND("/",SUBSTITUTE(LEFT(TRIM(C292),FIND(" ",TRIM(C292)&amp;" ")-1),",","."))+1,9))*12/52,IF(ISNUMBER(SEARCH("month",C292)),IFERROR(_xlfn.NUMBERVALUE(SUBSTITUTE(LEFT(TRIM(C292),FIND(" ",TRIM(C292)&amp;" ")-1),",","."),"."),LEFT(SUBSTITUTE(LEFT(TRIM(C292),FIND(" ",TRIM(C292)&amp;" ")-1),",","."),FIND("/",SUBSTITUTE(LEFT(TRIM(C292),FIND(" ",TRIM(C292)&amp;" ")-1),",","."))-1)/MID(SUBSTITUTE(LEFT(TRIM(C292),FIND(" ",TRIM(C292)&amp;" ")-1),",","."),FIND("/",SUBSTITUTE(LEFT(TRIM(C292),FIND(" ",TRIM(C292)&amp;" ")-1),",","."))+1,9)),IF(ISNUMBER(SEARCH("yea",C292)),IFERROR(_xlfn.NUMBERVALUE(SUBSTITUTE(LEFT(TRIM(C292),FIND(" ",TRIM(C292)&amp;" ")-1),",","."),"."),LEFT(SUBSTITUTE(LEFT(TRIM(C292),FIND(" ",TRIM(C292)&amp;" ")-1),",","."),FIND("/",SUBSTITUTE(LEFT(TRIM(C292),FIND(" ",TRIM(C292)&amp;" ")-1),",","."))-1)/MID(SUBSTITUTE(LEFT(TRIM(C292),FIND(" ",TRIM(C292)&amp;" ")-1),",","."),FIND("/",SUBSTITUTE(LEFT(TRIM(C292),FIND(" ",TRIM(C292)&amp;" ")-1),",","."))+1,9))*12,NA()))),0),20)*'Aturan &amp; Tarif'!$B$4,2)</f>
        <v>1135.6</v>
      </c>
      <c r="K292" s="32" t="n">
        <f aca="false">'Aturan &amp; Tarif'!$B$5</f>
        <v>2050</v>
      </c>
      <c r="L292" s="35" t="n">
        <f aca="false">I292+J292+K292</f>
        <v>7785.6</v>
      </c>
      <c r="M292" s="36" t="s">
        <v>1024</v>
      </c>
    </row>
    <row r="293" customFormat="false" ht="25.5" hidden="false" customHeight="true" outlineLevel="0" collapsed="false">
      <c r="A293" s="29"/>
      <c r="B293" s="30" t="s">
        <v>1025</v>
      </c>
      <c r="C293" s="31" t="s">
        <v>107</v>
      </c>
      <c r="D293" s="31" t="s">
        <v>108</v>
      </c>
      <c r="E293" s="32" t="n">
        <v>1700</v>
      </c>
      <c r="F293" s="32" t="n">
        <v>200</v>
      </c>
      <c r="G293" s="32"/>
      <c r="H293" s="33" t="n">
        <v>2</v>
      </c>
      <c r="I293" s="34" t="n">
        <f aca="false">E293*H293+N(F293)+N(G293)</f>
        <v>3600</v>
      </c>
      <c r="J293" s="32" t="n">
        <f aca="false">ROUND(IFERROR(ROUND(IF(OR(ISNUMBER(SEARCH("week",C293)),ISNUMBER(SEARCH("minggu",C293))),IFERROR(_xlfn.NUMBERVALUE(SUBSTITUTE(LEFT(TRIM(C293),FIND(" ",TRIM(C293)&amp;" ")-1),",","."),"."),LEFT(SUBSTITUTE(LEFT(TRIM(C293),FIND(" ",TRIM(C293)&amp;" ")-1),",","."),FIND("/",SUBSTITUTE(LEFT(TRIM(C293),FIND(" ",TRIM(C293)&amp;" ")-1),",","."))-1)/MID(SUBSTITUTE(LEFT(TRIM(C293),FIND(" ",TRIM(C293)&amp;" ")-1),",","."),FIND("/",SUBSTITUTE(LEFT(TRIM(C293),FIND(" ",TRIM(C293)&amp;" ")-1),",","."))+1,9))*12/52,IF(ISNUMBER(SEARCH("month",C293)),IFERROR(_xlfn.NUMBERVALUE(SUBSTITUTE(LEFT(TRIM(C293),FIND(" ",TRIM(C293)&amp;" ")-1),",","."),"."),LEFT(SUBSTITUTE(LEFT(TRIM(C293),FIND(" ",TRIM(C293)&amp;" ")-1),",","."),FIND("/",SUBSTITUTE(LEFT(TRIM(C293),FIND(" ",TRIM(C293)&amp;" ")-1),",","."))-1)/MID(SUBSTITUTE(LEFT(TRIM(C293),FIND(" ",TRIM(C293)&amp;" ")-1),",","."),FIND("/",SUBSTITUTE(LEFT(TRIM(C293),FIND(" ",TRIM(C293)&amp;" ")-1),",","."))+1,9)),IF(ISNUMBER(SEARCH("yea",C293)),IFERROR(_xlfn.NUMBERVALUE(SUBSTITUTE(LEFT(TRIM(C293),FIND(" ",TRIM(C293)&amp;" ")-1),",","."),"."),LEFT(SUBSTITUTE(LEFT(TRIM(C293),FIND(" ",TRIM(C293)&amp;" ")-1),",","."),FIND("/",SUBSTITUTE(LEFT(TRIM(C293),FIND(" ",TRIM(C293)&amp;" ")-1),",","."))-1)/MID(SUBSTITUTE(LEFT(TRIM(C293),FIND(" ",TRIM(C293)&amp;" ")-1),",","."),FIND("/",SUBSTITUTE(LEFT(TRIM(C293),FIND(" ",TRIM(C293)&amp;" ")-1),",","."))+1,9))*12,NA()))),0),24)*'Aturan &amp; Tarif'!$B$4,2)</f>
        <v>1362.72</v>
      </c>
      <c r="K293" s="32" t="n">
        <f aca="false">'Aturan &amp; Tarif'!$B$5</f>
        <v>2050</v>
      </c>
      <c r="L293" s="35" t="n">
        <f aca="false">I293+J293+K293</f>
        <v>7012.72</v>
      </c>
      <c r="M293" s="37" t="s">
        <v>1022</v>
      </c>
    </row>
    <row r="294" customFormat="false" ht="25.5" hidden="false" customHeight="true" outlineLevel="0" collapsed="false">
      <c r="A294" s="29"/>
      <c r="B294" s="30" t="s">
        <v>1026</v>
      </c>
      <c r="C294" s="31" t="s">
        <v>107</v>
      </c>
      <c r="D294" s="31" t="s">
        <v>108</v>
      </c>
      <c r="E294" s="32" t="n">
        <v>1625</v>
      </c>
      <c r="F294" s="32" t="n">
        <v>200</v>
      </c>
      <c r="G294" s="32" t="n">
        <v>260</v>
      </c>
      <c r="H294" s="33" t="n">
        <v>2</v>
      </c>
      <c r="I294" s="34" t="n">
        <f aca="false">E294*H294+N(F294)+N(G294)</f>
        <v>3710</v>
      </c>
      <c r="J294" s="32" t="n">
        <f aca="false">ROUND(IFERROR(ROUND(IF(OR(ISNUMBER(SEARCH("week",C294)),ISNUMBER(SEARCH("minggu",C294))),IFERROR(_xlfn.NUMBERVALUE(SUBSTITUTE(LEFT(TRIM(C294),FIND(" ",TRIM(C294)&amp;" ")-1),",","."),"."),LEFT(SUBSTITUTE(LEFT(TRIM(C294),FIND(" ",TRIM(C294)&amp;" ")-1),",","."),FIND("/",SUBSTITUTE(LEFT(TRIM(C294),FIND(" ",TRIM(C294)&amp;" ")-1),",","."))-1)/MID(SUBSTITUTE(LEFT(TRIM(C294),FIND(" ",TRIM(C294)&amp;" ")-1),",","."),FIND("/",SUBSTITUTE(LEFT(TRIM(C294),FIND(" ",TRIM(C294)&amp;" ")-1),",","."))+1,9))*12/52,IF(ISNUMBER(SEARCH("month",C294)),IFERROR(_xlfn.NUMBERVALUE(SUBSTITUTE(LEFT(TRIM(C294),FIND(" ",TRIM(C294)&amp;" ")-1),",","."),"."),LEFT(SUBSTITUTE(LEFT(TRIM(C294),FIND(" ",TRIM(C294)&amp;" ")-1),",","."),FIND("/",SUBSTITUTE(LEFT(TRIM(C294),FIND(" ",TRIM(C294)&amp;" ")-1),",","."))-1)/MID(SUBSTITUTE(LEFT(TRIM(C294),FIND(" ",TRIM(C294)&amp;" ")-1),",","."),FIND("/",SUBSTITUTE(LEFT(TRIM(C294),FIND(" ",TRIM(C294)&amp;" ")-1),",","."))+1,9)),IF(ISNUMBER(SEARCH("yea",C294)),IFERROR(_xlfn.NUMBERVALUE(SUBSTITUTE(LEFT(TRIM(C294),FIND(" ",TRIM(C294)&amp;" ")-1),",","."),"."),LEFT(SUBSTITUTE(LEFT(TRIM(C294),FIND(" ",TRIM(C294)&amp;" ")-1),",","."),FIND("/",SUBSTITUTE(LEFT(TRIM(C294),FIND(" ",TRIM(C294)&amp;" ")-1),",","."))-1)/MID(SUBSTITUTE(LEFT(TRIM(C294),FIND(" ",TRIM(C294)&amp;" ")-1),",","."),FIND("/",SUBSTITUTE(LEFT(TRIM(C294),FIND(" ",TRIM(C294)&amp;" ")-1),",","."))+1,9))*12,NA()))),0),24)*'Aturan &amp; Tarif'!$B$4,2)</f>
        <v>1362.72</v>
      </c>
      <c r="K294" s="32" t="n">
        <f aca="false">'Aturan &amp; Tarif'!$B$5</f>
        <v>2050</v>
      </c>
      <c r="L294" s="35" t="n">
        <f aca="false">I294+J294+K294</f>
        <v>7122.72</v>
      </c>
      <c r="M294" s="37" t="s">
        <v>1027</v>
      </c>
    </row>
    <row r="295" customFormat="false" ht="25.5" hidden="false" customHeight="true" outlineLevel="0" collapsed="false">
      <c r="A295" s="29"/>
      <c r="B295" s="30" t="s">
        <v>1028</v>
      </c>
      <c r="C295" s="31" t="s">
        <v>107</v>
      </c>
      <c r="D295" s="31" t="s">
        <v>108</v>
      </c>
      <c r="E295" s="32" t="n">
        <v>1625</v>
      </c>
      <c r="F295" s="32" t="n">
        <v>200</v>
      </c>
      <c r="G295" s="32" t="n">
        <v>260</v>
      </c>
      <c r="H295" s="33" t="n">
        <v>2</v>
      </c>
      <c r="I295" s="34" t="n">
        <f aca="false">E295*H295+N(F295)+N(G295)</f>
        <v>3710</v>
      </c>
      <c r="J295" s="32" t="n">
        <f aca="false">ROUND(IFERROR(ROUND(IF(OR(ISNUMBER(SEARCH("week",C295)),ISNUMBER(SEARCH("minggu",C295))),IFERROR(_xlfn.NUMBERVALUE(SUBSTITUTE(LEFT(TRIM(C295),FIND(" ",TRIM(C295)&amp;" ")-1),",","."),"."),LEFT(SUBSTITUTE(LEFT(TRIM(C295),FIND(" ",TRIM(C295)&amp;" ")-1),",","."),FIND("/",SUBSTITUTE(LEFT(TRIM(C295),FIND(" ",TRIM(C295)&amp;" ")-1),",","."))-1)/MID(SUBSTITUTE(LEFT(TRIM(C295),FIND(" ",TRIM(C295)&amp;" ")-1),",","."),FIND("/",SUBSTITUTE(LEFT(TRIM(C295),FIND(" ",TRIM(C295)&amp;" ")-1),",","."))+1,9))*12/52,IF(ISNUMBER(SEARCH("month",C295)),IFERROR(_xlfn.NUMBERVALUE(SUBSTITUTE(LEFT(TRIM(C295),FIND(" ",TRIM(C295)&amp;" ")-1),",","."),"."),LEFT(SUBSTITUTE(LEFT(TRIM(C295),FIND(" ",TRIM(C295)&amp;" ")-1),",","."),FIND("/",SUBSTITUTE(LEFT(TRIM(C295),FIND(" ",TRIM(C295)&amp;" ")-1),",","."))-1)/MID(SUBSTITUTE(LEFT(TRIM(C295),FIND(" ",TRIM(C295)&amp;" ")-1),",","."),FIND("/",SUBSTITUTE(LEFT(TRIM(C295),FIND(" ",TRIM(C295)&amp;" ")-1),",","."))+1,9)),IF(ISNUMBER(SEARCH("yea",C295)),IFERROR(_xlfn.NUMBERVALUE(SUBSTITUTE(LEFT(TRIM(C295),FIND(" ",TRIM(C295)&amp;" ")-1),",","."),"."),LEFT(SUBSTITUTE(LEFT(TRIM(C295),FIND(" ",TRIM(C295)&amp;" ")-1),",","."),FIND("/",SUBSTITUTE(LEFT(TRIM(C295),FIND(" ",TRIM(C295)&amp;" ")-1),",","."))-1)/MID(SUBSTITUTE(LEFT(TRIM(C295),FIND(" ",TRIM(C295)&amp;" ")-1),",","."),FIND("/",SUBSTITUTE(LEFT(TRIM(C295),FIND(" ",TRIM(C295)&amp;" ")-1),",","."))+1,9))*12,NA()))),0),24)*'Aturan &amp; Tarif'!$B$4,2)</f>
        <v>1362.72</v>
      </c>
      <c r="K295" s="32" t="n">
        <f aca="false">'Aturan &amp; Tarif'!$B$5</f>
        <v>2050</v>
      </c>
      <c r="L295" s="35" t="n">
        <f aca="false">I295+J295+K295</f>
        <v>7122.72</v>
      </c>
      <c r="M295" s="37" t="s">
        <v>1027</v>
      </c>
    </row>
    <row r="296" customFormat="false" ht="37.5" hidden="false" customHeight="true" outlineLevel="0" collapsed="false">
      <c r="A296" s="39" t="s">
        <v>1029</v>
      </c>
      <c r="B296" s="40" t="s">
        <v>148</v>
      </c>
      <c r="C296" s="41" t="s">
        <v>107</v>
      </c>
      <c r="D296" s="41" t="s">
        <v>108</v>
      </c>
      <c r="E296" s="42" t="n">
        <v>2000</v>
      </c>
      <c r="F296" s="42" t="n">
        <v>1000</v>
      </c>
      <c r="G296" s="42" t="n">
        <v>200</v>
      </c>
      <c r="H296" s="43" t="n">
        <v>1</v>
      </c>
      <c r="I296" s="34" t="n">
        <f aca="false">E296*H296+N(F296)+N(G296)</f>
        <v>3200</v>
      </c>
      <c r="J296" s="42" t="n">
        <f aca="false">ROUND(IFERROR(ROUND(IF(OR(ISNUMBER(SEARCH("week",C296)),ISNUMBER(SEARCH("minggu",C296))),IFERROR(_xlfn.NUMBERVALUE(SUBSTITUTE(LEFT(TRIM(C296),FIND(" ",TRIM(C296)&amp;" ")-1),",","."),"."),LEFT(SUBSTITUTE(LEFT(TRIM(C296),FIND(" ",TRIM(C296)&amp;" ")-1),",","."),FIND("/",SUBSTITUTE(LEFT(TRIM(C296),FIND(" ",TRIM(C296)&amp;" ")-1),",","."))-1)/MID(SUBSTITUTE(LEFT(TRIM(C296),FIND(" ",TRIM(C296)&amp;" ")-1),",","."),FIND("/",SUBSTITUTE(LEFT(TRIM(C296),FIND(" ",TRIM(C296)&amp;" ")-1),",","."))+1,9))*12/52,IF(ISNUMBER(SEARCH("month",C296)),IFERROR(_xlfn.NUMBERVALUE(SUBSTITUTE(LEFT(TRIM(C296),FIND(" ",TRIM(C296)&amp;" ")-1),",","."),"."),LEFT(SUBSTITUTE(LEFT(TRIM(C296),FIND(" ",TRIM(C296)&amp;" ")-1),",","."),FIND("/",SUBSTITUTE(LEFT(TRIM(C296),FIND(" ",TRIM(C296)&amp;" ")-1),",","."))-1)/MID(SUBSTITUTE(LEFT(TRIM(C296),FIND(" ",TRIM(C296)&amp;" ")-1),",","."),FIND("/",SUBSTITUTE(LEFT(TRIM(C296),FIND(" ",TRIM(C296)&amp;" ")-1),",","."))+1,9)),IF(ISNUMBER(SEARCH("yea",C296)),IFERROR(_xlfn.NUMBERVALUE(SUBSTITUTE(LEFT(TRIM(C296),FIND(" ",TRIM(C296)&amp;" ")-1),",","."),"."),LEFT(SUBSTITUTE(LEFT(TRIM(C296),FIND(" ",TRIM(C296)&amp;" ")-1),",","."),FIND("/",SUBSTITUTE(LEFT(TRIM(C296),FIND(" ",TRIM(C296)&amp;" ")-1),",","."))-1)/MID(SUBSTITUTE(LEFT(TRIM(C296),FIND(" ",TRIM(C296)&amp;" ")-1),",","."),FIND("/",SUBSTITUTE(LEFT(TRIM(C296),FIND(" ",TRIM(C296)&amp;" ")-1),",","."))+1,9))*12,NA()))),0),24)*'Aturan &amp; Tarif'!$B$4,2)</f>
        <v>1362.72</v>
      </c>
      <c r="K296" s="42" t="n">
        <f aca="false">'Aturan &amp; Tarif'!$B$5</f>
        <v>2050</v>
      </c>
      <c r="L296" s="35" t="n">
        <f aca="false">I296+J296+K296</f>
        <v>6612.72</v>
      </c>
      <c r="M296" s="45" t="s">
        <v>134</v>
      </c>
    </row>
    <row r="297" customFormat="false" ht="25.5" hidden="false" customHeight="true" outlineLevel="0" collapsed="false">
      <c r="A297" s="39"/>
      <c r="B297" s="40" t="s">
        <v>806</v>
      </c>
      <c r="C297" s="41" t="s">
        <v>127</v>
      </c>
      <c r="D297" s="41" t="s">
        <v>108</v>
      </c>
      <c r="E297" s="42" t="n">
        <v>2000</v>
      </c>
      <c r="F297" s="42" t="n">
        <v>1000</v>
      </c>
      <c r="G297" s="42" t="n">
        <v>200</v>
      </c>
      <c r="H297" s="43" t="n">
        <v>1</v>
      </c>
      <c r="I297" s="34" t="n">
        <f aca="false">E297*H297+N(F297)+N(G297)</f>
        <v>3200</v>
      </c>
      <c r="J297" s="42" t="n">
        <f aca="false">ROUND(IFERROR(ROUND(IF(OR(ISNUMBER(SEARCH("week",C297)),ISNUMBER(SEARCH("minggu",C297))),IFERROR(_xlfn.NUMBERVALUE(SUBSTITUTE(LEFT(TRIM(C297),FIND(" ",TRIM(C297)&amp;" ")-1),",","."),"."),LEFT(SUBSTITUTE(LEFT(TRIM(C297),FIND(" ",TRIM(C297)&amp;" ")-1),",","."),FIND("/",SUBSTITUTE(LEFT(TRIM(C297),FIND(" ",TRIM(C297)&amp;" ")-1),",","."))-1)/MID(SUBSTITUTE(LEFT(TRIM(C297),FIND(" ",TRIM(C297)&amp;" ")-1),",","."),FIND("/",SUBSTITUTE(LEFT(TRIM(C297),FIND(" ",TRIM(C297)&amp;" ")-1),",","."))+1,9))*12/52,IF(ISNUMBER(SEARCH("month",C297)),IFERROR(_xlfn.NUMBERVALUE(SUBSTITUTE(LEFT(TRIM(C297),FIND(" ",TRIM(C297)&amp;" ")-1),",","."),"."),LEFT(SUBSTITUTE(LEFT(TRIM(C297),FIND(" ",TRIM(C297)&amp;" ")-1),",","."),FIND("/",SUBSTITUTE(LEFT(TRIM(C297),FIND(" ",TRIM(C297)&amp;" ")-1),",","."))-1)/MID(SUBSTITUTE(LEFT(TRIM(C297),FIND(" ",TRIM(C297)&amp;" ")-1),",","."),FIND("/",SUBSTITUTE(LEFT(TRIM(C297),FIND(" ",TRIM(C297)&amp;" ")-1),",","."))+1,9)),IF(ISNUMBER(SEARCH("yea",C297)),IFERROR(_xlfn.NUMBERVALUE(SUBSTITUTE(LEFT(TRIM(C297),FIND(" ",TRIM(C297)&amp;" ")-1),",","."),"."),LEFT(SUBSTITUTE(LEFT(TRIM(C297),FIND(" ",TRIM(C297)&amp;" ")-1),",","."),FIND("/",SUBSTITUTE(LEFT(TRIM(C297),FIND(" ",TRIM(C297)&amp;" ")-1),",","."))-1)/MID(SUBSTITUTE(LEFT(TRIM(C297),FIND(" ",TRIM(C297)&amp;" ")-1),",","."),FIND("/",SUBSTITUTE(LEFT(TRIM(C297),FIND(" ",TRIM(C297)&amp;" ")-1),",","."))+1,9))*12,NA()))),0),36)*'Aturan &amp; Tarif'!$B$4,2)</f>
        <v>2044.08</v>
      </c>
      <c r="K297" s="42" t="n">
        <f aca="false">'Aturan &amp; Tarif'!$B$5</f>
        <v>2050</v>
      </c>
      <c r="L297" s="35" t="n">
        <f aca="false">I297+J297+K297</f>
        <v>7294.08</v>
      </c>
      <c r="M297" s="45" t="s">
        <v>134</v>
      </c>
    </row>
    <row r="298" customFormat="false" ht="14.25" hidden="false" customHeight="true" outlineLevel="0" collapsed="false">
      <c r="A298" s="39"/>
      <c r="B298" s="40" t="s">
        <v>126</v>
      </c>
      <c r="C298" s="41" t="s">
        <v>138</v>
      </c>
      <c r="D298" s="41" t="s">
        <v>108</v>
      </c>
      <c r="E298" s="42" t="n">
        <v>1980</v>
      </c>
      <c r="F298" s="42" t="n">
        <v>800</v>
      </c>
      <c r="G298" s="42" t="n">
        <v>200</v>
      </c>
      <c r="H298" s="43" t="n">
        <v>1</v>
      </c>
      <c r="I298" s="34" t="n">
        <f aca="false">E298*H298+N(F298)+N(G298)</f>
        <v>2980</v>
      </c>
      <c r="J298" s="42" t="n">
        <f aca="false">ROUND(IFERROR(ROUND(IF(OR(ISNUMBER(SEARCH("week",C298)),ISNUMBER(SEARCH("minggu",C298))),IFERROR(_xlfn.NUMBERVALUE(SUBSTITUTE(LEFT(TRIM(C298),FIND(" ",TRIM(C298)&amp;" ")-1),",","."),"."),LEFT(SUBSTITUTE(LEFT(TRIM(C298),FIND(" ",TRIM(C298)&amp;" ")-1),",","."),FIND("/",SUBSTITUTE(LEFT(TRIM(C298),FIND(" ",TRIM(C298)&amp;" ")-1),",","."))-1)/MID(SUBSTITUTE(LEFT(TRIM(C298),FIND(" ",TRIM(C298)&amp;" ")-1),",","."),FIND("/",SUBSTITUTE(LEFT(TRIM(C298),FIND(" ",TRIM(C298)&amp;" ")-1),",","."))+1,9))*12/52,IF(ISNUMBER(SEARCH("month",C298)),IFERROR(_xlfn.NUMBERVALUE(SUBSTITUTE(LEFT(TRIM(C298),FIND(" ",TRIM(C298)&amp;" ")-1),",","."),"."),LEFT(SUBSTITUTE(LEFT(TRIM(C298),FIND(" ",TRIM(C298)&amp;" ")-1),",","."),FIND("/",SUBSTITUTE(LEFT(TRIM(C298),FIND(" ",TRIM(C298)&amp;" ")-1),",","."))-1)/MID(SUBSTITUTE(LEFT(TRIM(C298),FIND(" ",TRIM(C298)&amp;" ")-1),",","."),FIND("/",SUBSTITUTE(LEFT(TRIM(C298),FIND(" ",TRIM(C298)&amp;" ")-1),",","."))+1,9)),IF(ISNUMBER(SEARCH("yea",C298)),IFERROR(_xlfn.NUMBERVALUE(SUBSTITUTE(LEFT(TRIM(C298),FIND(" ",TRIM(C298)&amp;" ")-1),",","."),"."),LEFT(SUBSTITUTE(LEFT(TRIM(C298),FIND(" ",TRIM(C298)&amp;" ")-1),",","."),FIND("/",SUBSTITUTE(LEFT(TRIM(C298),FIND(" ",TRIM(C298)&amp;" ")-1),",","."))-1)/MID(SUBSTITUTE(LEFT(TRIM(C298),FIND(" ",TRIM(C298)&amp;" ")-1),",","."),FIND("/",SUBSTITUTE(LEFT(TRIM(C298),FIND(" ",TRIM(C298)&amp;" ")-1),",","."))+1,9))*12,NA()))),0),30)*'Aturan &amp; Tarif'!$B$4,2)</f>
        <v>1703.4</v>
      </c>
      <c r="K298" s="42" t="n">
        <f aca="false">'Aturan &amp; Tarif'!$B$5</f>
        <v>2050</v>
      </c>
      <c r="L298" s="35" t="n">
        <f aca="false">I298+J298+K298</f>
        <v>6733.4</v>
      </c>
      <c r="M298" s="45" t="s">
        <v>134</v>
      </c>
    </row>
    <row r="299" customFormat="false" ht="37.5" hidden="false" customHeight="true" outlineLevel="0" collapsed="false">
      <c r="A299" s="39"/>
      <c r="B299" s="40" t="s">
        <v>807</v>
      </c>
      <c r="C299" s="41" t="s">
        <v>138</v>
      </c>
      <c r="D299" s="41" t="s">
        <v>108</v>
      </c>
      <c r="E299" s="42" t="n">
        <v>2650</v>
      </c>
      <c r="F299" s="42" t="n">
        <v>800</v>
      </c>
      <c r="G299" s="42" t="n">
        <v>200</v>
      </c>
      <c r="H299" s="43" t="n">
        <v>1</v>
      </c>
      <c r="I299" s="34" t="n">
        <f aca="false">E299*H299+N(F299)+N(G299)</f>
        <v>3650</v>
      </c>
      <c r="J299" s="42" t="n">
        <f aca="false">ROUND(IFERROR(ROUND(IF(OR(ISNUMBER(SEARCH("week",C299)),ISNUMBER(SEARCH("minggu",C299))),IFERROR(_xlfn.NUMBERVALUE(SUBSTITUTE(LEFT(TRIM(C299),FIND(" ",TRIM(C299)&amp;" ")-1),",","."),"."),LEFT(SUBSTITUTE(LEFT(TRIM(C299),FIND(" ",TRIM(C299)&amp;" ")-1),",","."),FIND("/",SUBSTITUTE(LEFT(TRIM(C299),FIND(" ",TRIM(C299)&amp;" ")-1),",","."))-1)/MID(SUBSTITUTE(LEFT(TRIM(C299),FIND(" ",TRIM(C299)&amp;" ")-1),",","."),FIND("/",SUBSTITUTE(LEFT(TRIM(C299),FIND(" ",TRIM(C299)&amp;" ")-1),",","."))+1,9))*12/52,IF(ISNUMBER(SEARCH("month",C299)),IFERROR(_xlfn.NUMBERVALUE(SUBSTITUTE(LEFT(TRIM(C299),FIND(" ",TRIM(C299)&amp;" ")-1),",","."),"."),LEFT(SUBSTITUTE(LEFT(TRIM(C299),FIND(" ",TRIM(C299)&amp;" ")-1),",","."),FIND("/",SUBSTITUTE(LEFT(TRIM(C299),FIND(" ",TRIM(C299)&amp;" ")-1),",","."))-1)/MID(SUBSTITUTE(LEFT(TRIM(C299),FIND(" ",TRIM(C299)&amp;" ")-1),",","."),FIND("/",SUBSTITUTE(LEFT(TRIM(C299),FIND(" ",TRIM(C299)&amp;" ")-1),",","."))+1,9)),IF(ISNUMBER(SEARCH("yea",C299)),IFERROR(_xlfn.NUMBERVALUE(SUBSTITUTE(LEFT(TRIM(C299),FIND(" ",TRIM(C299)&amp;" ")-1),",","."),"."),LEFT(SUBSTITUTE(LEFT(TRIM(C299),FIND(" ",TRIM(C299)&amp;" ")-1),",","."),FIND("/",SUBSTITUTE(LEFT(TRIM(C299),FIND(" ",TRIM(C299)&amp;" ")-1),",","."))-1)/MID(SUBSTITUTE(LEFT(TRIM(C299),FIND(" ",TRIM(C299)&amp;" ")-1),",","."),FIND("/",SUBSTITUTE(LEFT(TRIM(C299),FIND(" ",TRIM(C299)&amp;" ")-1),",","."))+1,9))*12,NA()))),0),30)*'Aturan &amp; Tarif'!$B$4,2)</f>
        <v>1703.4</v>
      </c>
      <c r="K299" s="42" t="n">
        <f aca="false">'Aturan &amp; Tarif'!$B$5</f>
        <v>2050</v>
      </c>
      <c r="L299" s="35" t="n">
        <f aca="false">I299+J299+K299</f>
        <v>7403.4</v>
      </c>
      <c r="M299" s="45" t="s">
        <v>134</v>
      </c>
    </row>
    <row r="300" customFormat="false" ht="37.5" hidden="false" customHeight="true" outlineLevel="0" collapsed="false">
      <c r="A300" s="39"/>
      <c r="B300" s="40" t="s">
        <v>808</v>
      </c>
      <c r="C300" s="41" t="s">
        <v>138</v>
      </c>
      <c r="D300" s="41" t="s">
        <v>108</v>
      </c>
      <c r="E300" s="42" t="n">
        <v>2650</v>
      </c>
      <c r="F300" s="42" t="n">
        <v>800</v>
      </c>
      <c r="G300" s="42" t="n">
        <v>200</v>
      </c>
      <c r="H300" s="43" t="n">
        <v>1</v>
      </c>
      <c r="I300" s="34" t="n">
        <f aca="false">E300*H300+N(F300)+N(G300)</f>
        <v>3650</v>
      </c>
      <c r="J300" s="42" t="n">
        <f aca="false">ROUND(IFERROR(ROUND(IF(OR(ISNUMBER(SEARCH("week",C300)),ISNUMBER(SEARCH("minggu",C300))),IFERROR(_xlfn.NUMBERVALUE(SUBSTITUTE(LEFT(TRIM(C300),FIND(" ",TRIM(C300)&amp;" ")-1),",","."),"."),LEFT(SUBSTITUTE(LEFT(TRIM(C300),FIND(" ",TRIM(C300)&amp;" ")-1),",","."),FIND("/",SUBSTITUTE(LEFT(TRIM(C300),FIND(" ",TRIM(C300)&amp;" ")-1),",","."))-1)/MID(SUBSTITUTE(LEFT(TRIM(C300),FIND(" ",TRIM(C300)&amp;" ")-1),",","."),FIND("/",SUBSTITUTE(LEFT(TRIM(C300),FIND(" ",TRIM(C300)&amp;" ")-1),",","."))+1,9))*12/52,IF(ISNUMBER(SEARCH("month",C300)),IFERROR(_xlfn.NUMBERVALUE(SUBSTITUTE(LEFT(TRIM(C300),FIND(" ",TRIM(C300)&amp;" ")-1),",","."),"."),LEFT(SUBSTITUTE(LEFT(TRIM(C300),FIND(" ",TRIM(C300)&amp;" ")-1),",","."),FIND("/",SUBSTITUTE(LEFT(TRIM(C300),FIND(" ",TRIM(C300)&amp;" ")-1),",","."))-1)/MID(SUBSTITUTE(LEFT(TRIM(C300),FIND(" ",TRIM(C300)&amp;" ")-1),",","."),FIND("/",SUBSTITUTE(LEFT(TRIM(C300),FIND(" ",TRIM(C300)&amp;" ")-1),",","."))+1,9)),IF(ISNUMBER(SEARCH("yea",C300)),IFERROR(_xlfn.NUMBERVALUE(SUBSTITUTE(LEFT(TRIM(C300),FIND(" ",TRIM(C300)&amp;" ")-1),",","."),"."),LEFT(SUBSTITUTE(LEFT(TRIM(C300),FIND(" ",TRIM(C300)&amp;" ")-1),",","."),FIND("/",SUBSTITUTE(LEFT(TRIM(C300),FIND(" ",TRIM(C300)&amp;" ")-1),",","."))-1)/MID(SUBSTITUTE(LEFT(TRIM(C300),FIND(" ",TRIM(C300)&amp;" ")-1),",","."),FIND("/",SUBSTITUTE(LEFT(TRIM(C300),FIND(" ",TRIM(C300)&amp;" ")-1),",","."))+1,9))*12,NA()))),0),30)*'Aturan &amp; Tarif'!$B$4,2)</f>
        <v>1703.4</v>
      </c>
      <c r="K300" s="42" t="n">
        <f aca="false">'Aturan &amp; Tarif'!$B$5</f>
        <v>2050</v>
      </c>
      <c r="L300" s="35" t="n">
        <f aca="false">I300+J300+K300</f>
        <v>7403.4</v>
      </c>
      <c r="M300" s="45" t="s">
        <v>134</v>
      </c>
    </row>
    <row r="301" customFormat="false" ht="25.5" hidden="false" customHeight="true" outlineLevel="0" collapsed="false">
      <c r="A301" s="39"/>
      <c r="B301" s="40" t="s">
        <v>144</v>
      </c>
      <c r="C301" s="41" t="s">
        <v>127</v>
      </c>
      <c r="D301" s="41" t="s">
        <v>108</v>
      </c>
      <c r="E301" s="42" t="n">
        <v>2500</v>
      </c>
      <c r="F301" s="42" t="n">
        <v>4000</v>
      </c>
      <c r="G301" s="42" t="n">
        <v>200</v>
      </c>
      <c r="H301" s="43" t="n">
        <v>1</v>
      </c>
      <c r="I301" s="34" t="n">
        <f aca="false">E301*H301+N(F301)+N(G301)</f>
        <v>6700</v>
      </c>
      <c r="J301" s="42" t="n">
        <f aca="false">ROUND(IFERROR(ROUND(IF(OR(ISNUMBER(SEARCH("week",C301)),ISNUMBER(SEARCH("minggu",C301))),IFERROR(_xlfn.NUMBERVALUE(SUBSTITUTE(LEFT(TRIM(C301),FIND(" ",TRIM(C301)&amp;" ")-1),",","."),"."),LEFT(SUBSTITUTE(LEFT(TRIM(C301),FIND(" ",TRIM(C301)&amp;" ")-1),",","."),FIND("/",SUBSTITUTE(LEFT(TRIM(C301),FIND(" ",TRIM(C301)&amp;" ")-1),",","."))-1)/MID(SUBSTITUTE(LEFT(TRIM(C301),FIND(" ",TRIM(C301)&amp;" ")-1),",","."),FIND("/",SUBSTITUTE(LEFT(TRIM(C301),FIND(" ",TRIM(C301)&amp;" ")-1),",","."))+1,9))*12/52,IF(ISNUMBER(SEARCH("month",C301)),IFERROR(_xlfn.NUMBERVALUE(SUBSTITUTE(LEFT(TRIM(C301),FIND(" ",TRIM(C301)&amp;" ")-1),",","."),"."),LEFT(SUBSTITUTE(LEFT(TRIM(C301),FIND(" ",TRIM(C301)&amp;" ")-1),",","."),FIND("/",SUBSTITUTE(LEFT(TRIM(C301),FIND(" ",TRIM(C301)&amp;" ")-1),",","."))-1)/MID(SUBSTITUTE(LEFT(TRIM(C301),FIND(" ",TRIM(C301)&amp;" ")-1),",","."),FIND("/",SUBSTITUTE(LEFT(TRIM(C301),FIND(" ",TRIM(C301)&amp;" ")-1),",","."))+1,9)),IF(ISNUMBER(SEARCH("yea",C301)),IFERROR(_xlfn.NUMBERVALUE(SUBSTITUTE(LEFT(TRIM(C301),FIND(" ",TRIM(C301)&amp;" ")-1),",","."),"."),LEFT(SUBSTITUTE(LEFT(TRIM(C301),FIND(" ",TRIM(C301)&amp;" ")-1),",","."),FIND("/",SUBSTITUTE(LEFT(TRIM(C301),FIND(" ",TRIM(C301)&amp;" ")-1),",","."))-1)/MID(SUBSTITUTE(LEFT(TRIM(C301),FIND(" ",TRIM(C301)&amp;" ")-1),",","."),FIND("/",SUBSTITUTE(LEFT(TRIM(C301),FIND(" ",TRIM(C301)&amp;" ")-1),",","."))+1,9))*12,NA()))),0),36)*'Aturan &amp; Tarif'!$B$4,2)</f>
        <v>2044.08</v>
      </c>
      <c r="K301" s="42" t="n">
        <f aca="false">'Aturan &amp; Tarif'!$B$5</f>
        <v>2050</v>
      </c>
      <c r="L301" s="35" t="n">
        <f aca="false">I301+J301+K301</f>
        <v>10794.08</v>
      </c>
      <c r="M301" s="45" t="s">
        <v>134</v>
      </c>
    </row>
    <row r="302" customFormat="false" ht="25.5" hidden="false" customHeight="true" outlineLevel="0" collapsed="false">
      <c r="A302" s="39"/>
      <c r="B302" s="40" t="s">
        <v>809</v>
      </c>
      <c r="C302" s="41" t="s">
        <v>127</v>
      </c>
      <c r="D302" s="41" t="s">
        <v>108</v>
      </c>
      <c r="E302" s="42" t="n">
        <v>2500</v>
      </c>
      <c r="F302" s="42" t="n">
        <v>4000</v>
      </c>
      <c r="G302" s="42" t="n">
        <v>200</v>
      </c>
      <c r="H302" s="43" t="n">
        <v>1</v>
      </c>
      <c r="I302" s="34" t="n">
        <f aca="false">E302*H302+N(F302)+N(G302)</f>
        <v>6700</v>
      </c>
      <c r="J302" s="42" t="n">
        <f aca="false">ROUND(IFERROR(ROUND(IF(OR(ISNUMBER(SEARCH("week",C302)),ISNUMBER(SEARCH("minggu",C302))),IFERROR(_xlfn.NUMBERVALUE(SUBSTITUTE(LEFT(TRIM(C302),FIND(" ",TRIM(C302)&amp;" ")-1),",","."),"."),LEFT(SUBSTITUTE(LEFT(TRIM(C302),FIND(" ",TRIM(C302)&amp;" ")-1),",","."),FIND("/",SUBSTITUTE(LEFT(TRIM(C302),FIND(" ",TRIM(C302)&amp;" ")-1),",","."))-1)/MID(SUBSTITUTE(LEFT(TRIM(C302),FIND(" ",TRIM(C302)&amp;" ")-1),",","."),FIND("/",SUBSTITUTE(LEFT(TRIM(C302),FIND(" ",TRIM(C302)&amp;" ")-1),",","."))+1,9))*12/52,IF(ISNUMBER(SEARCH("month",C302)),IFERROR(_xlfn.NUMBERVALUE(SUBSTITUTE(LEFT(TRIM(C302),FIND(" ",TRIM(C302)&amp;" ")-1),",","."),"."),LEFT(SUBSTITUTE(LEFT(TRIM(C302),FIND(" ",TRIM(C302)&amp;" ")-1),",","."),FIND("/",SUBSTITUTE(LEFT(TRIM(C302),FIND(" ",TRIM(C302)&amp;" ")-1),",","."))-1)/MID(SUBSTITUTE(LEFT(TRIM(C302),FIND(" ",TRIM(C302)&amp;" ")-1),",","."),FIND("/",SUBSTITUTE(LEFT(TRIM(C302),FIND(" ",TRIM(C302)&amp;" ")-1),",","."))+1,9)),IF(ISNUMBER(SEARCH("yea",C302)),IFERROR(_xlfn.NUMBERVALUE(SUBSTITUTE(LEFT(TRIM(C302),FIND(" ",TRIM(C302)&amp;" ")-1),",","."),"."),LEFT(SUBSTITUTE(LEFT(TRIM(C302),FIND(" ",TRIM(C302)&amp;" ")-1),",","."),FIND("/",SUBSTITUTE(LEFT(TRIM(C302),FIND(" ",TRIM(C302)&amp;" ")-1),",","."))-1)/MID(SUBSTITUTE(LEFT(TRIM(C302),FIND(" ",TRIM(C302)&amp;" ")-1),",","."),FIND("/",SUBSTITUTE(LEFT(TRIM(C302),FIND(" ",TRIM(C302)&amp;" ")-1),",","."))+1,9))*12,NA()))),0),36)*'Aturan &amp; Tarif'!$B$4,2)</f>
        <v>2044.08</v>
      </c>
      <c r="K302" s="42" t="n">
        <f aca="false">'Aturan &amp; Tarif'!$B$5</f>
        <v>2050</v>
      </c>
      <c r="L302" s="35" t="n">
        <f aca="false">I302+J302+K302</f>
        <v>10794.08</v>
      </c>
      <c r="M302" s="45" t="s">
        <v>134</v>
      </c>
    </row>
    <row r="303" customFormat="false" ht="25.5" hidden="false" customHeight="true" outlineLevel="0" collapsed="false">
      <c r="A303" s="39"/>
      <c r="B303" s="40" t="s">
        <v>810</v>
      </c>
      <c r="C303" s="41" t="s">
        <v>127</v>
      </c>
      <c r="D303" s="41" t="s">
        <v>108</v>
      </c>
      <c r="E303" s="42" t="n">
        <v>2500</v>
      </c>
      <c r="F303" s="42" t="n">
        <v>4000</v>
      </c>
      <c r="G303" s="42" t="n">
        <v>200</v>
      </c>
      <c r="H303" s="43" t="n">
        <v>1</v>
      </c>
      <c r="I303" s="34" t="n">
        <f aca="false">E303*H303+N(F303)+N(G303)</f>
        <v>6700</v>
      </c>
      <c r="J303" s="42" t="n">
        <f aca="false">ROUND(IFERROR(ROUND(IF(OR(ISNUMBER(SEARCH("week",C303)),ISNUMBER(SEARCH("minggu",C303))),IFERROR(_xlfn.NUMBERVALUE(SUBSTITUTE(LEFT(TRIM(C303),FIND(" ",TRIM(C303)&amp;" ")-1),",","."),"."),LEFT(SUBSTITUTE(LEFT(TRIM(C303),FIND(" ",TRIM(C303)&amp;" ")-1),",","."),FIND("/",SUBSTITUTE(LEFT(TRIM(C303),FIND(" ",TRIM(C303)&amp;" ")-1),",","."))-1)/MID(SUBSTITUTE(LEFT(TRIM(C303),FIND(" ",TRIM(C303)&amp;" ")-1),",","."),FIND("/",SUBSTITUTE(LEFT(TRIM(C303),FIND(" ",TRIM(C303)&amp;" ")-1),",","."))+1,9))*12/52,IF(ISNUMBER(SEARCH("month",C303)),IFERROR(_xlfn.NUMBERVALUE(SUBSTITUTE(LEFT(TRIM(C303),FIND(" ",TRIM(C303)&amp;" ")-1),",","."),"."),LEFT(SUBSTITUTE(LEFT(TRIM(C303),FIND(" ",TRIM(C303)&amp;" ")-1),",","."),FIND("/",SUBSTITUTE(LEFT(TRIM(C303),FIND(" ",TRIM(C303)&amp;" ")-1),",","."))-1)/MID(SUBSTITUTE(LEFT(TRIM(C303),FIND(" ",TRIM(C303)&amp;" ")-1),",","."),FIND("/",SUBSTITUTE(LEFT(TRIM(C303),FIND(" ",TRIM(C303)&amp;" ")-1),",","."))+1,9)),IF(ISNUMBER(SEARCH("yea",C303)),IFERROR(_xlfn.NUMBERVALUE(SUBSTITUTE(LEFT(TRIM(C303),FIND(" ",TRIM(C303)&amp;" ")-1),",","."),"."),LEFT(SUBSTITUTE(LEFT(TRIM(C303),FIND(" ",TRIM(C303)&amp;" ")-1),",","."),FIND("/",SUBSTITUTE(LEFT(TRIM(C303),FIND(" ",TRIM(C303)&amp;" ")-1),",","."))-1)/MID(SUBSTITUTE(LEFT(TRIM(C303),FIND(" ",TRIM(C303)&amp;" ")-1),",","."),FIND("/",SUBSTITUTE(LEFT(TRIM(C303),FIND(" ",TRIM(C303)&amp;" ")-1),",","."))+1,9))*12,NA()))),0),36)*'Aturan &amp; Tarif'!$B$4,2)</f>
        <v>2044.08</v>
      </c>
      <c r="K303" s="42" t="n">
        <f aca="false">'Aturan &amp; Tarif'!$B$5</f>
        <v>2050</v>
      </c>
      <c r="L303" s="35" t="n">
        <f aca="false">I303+J303+K303</f>
        <v>10794.08</v>
      </c>
      <c r="M303" s="45" t="s">
        <v>134</v>
      </c>
    </row>
    <row r="304" customFormat="false" ht="14.25" hidden="false" customHeight="true" outlineLevel="0" collapsed="false">
      <c r="A304" s="39"/>
      <c r="B304" s="40" t="s">
        <v>811</v>
      </c>
      <c r="C304" s="41" t="s">
        <v>107</v>
      </c>
      <c r="D304" s="41" t="s">
        <v>108</v>
      </c>
      <c r="E304" s="42" t="n">
        <v>2400</v>
      </c>
      <c r="F304" s="42" t="n">
        <v>2000</v>
      </c>
      <c r="G304" s="42" t="n">
        <v>200</v>
      </c>
      <c r="H304" s="43" t="n">
        <v>1</v>
      </c>
      <c r="I304" s="34" t="n">
        <f aca="false">E304*H304+N(F304)+N(G304)</f>
        <v>4600</v>
      </c>
      <c r="J304" s="42" t="n">
        <f aca="false">ROUND(IFERROR(ROUND(IF(OR(ISNUMBER(SEARCH("week",C304)),ISNUMBER(SEARCH("minggu",C304))),IFERROR(_xlfn.NUMBERVALUE(SUBSTITUTE(LEFT(TRIM(C304),FIND(" ",TRIM(C304)&amp;" ")-1),",","."),"."),LEFT(SUBSTITUTE(LEFT(TRIM(C304),FIND(" ",TRIM(C304)&amp;" ")-1),",","."),FIND("/",SUBSTITUTE(LEFT(TRIM(C304),FIND(" ",TRIM(C304)&amp;" ")-1),",","."))-1)/MID(SUBSTITUTE(LEFT(TRIM(C304),FIND(" ",TRIM(C304)&amp;" ")-1),",","."),FIND("/",SUBSTITUTE(LEFT(TRIM(C304),FIND(" ",TRIM(C304)&amp;" ")-1),",","."))+1,9))*12/52,IF(ISNUMBER(SEARCH("month",C304)),IFERROR(_xlfn.NUMBERVALUE(SUBSTITUTE(LEFT(TRIM(C304),FIND(" ",TRIM(C304)&amp;" ")-1),",","."),"."),LEFT(SUBSTITUTE(LEFT(TRIM(C304),FIND(" ",TRIM(C304)&amp;" ")-1),",","."),FIND("/",SUBSTITUTE(LEFT(TRIM(C304),FIND(" ",TRIM(C304)&amp;" ")-1),",","."))-1)/MID(SUBSTITUTE(LEFT(TRIM(C304),FIND(" ",TRIM(C304)&amp;" ")-1),",","."),FIND("/",SUBSTITUTE(LEFT(TRIM(C304),FIND(" ",TRIM(C304)&amp;" ")-1),",","."))+1,9)),IF(ISNUMBER(SEARCH("yea",C304)),IFERROR(_xlfn.NUMBERVALUE(SUBSTITUTE(LEFT(TRIM(C304),FIND(" ",TRIM(C304)&amp;" ")-1),",","."),"."),LEFT(SUBSTITUTE(LEFT(TRIM(C304),FIND(" ",TRIM(C304)&amp;" ")-1),",","."),FIND("/",SUBSTITUTE(LEFT(TRIM(C304),FIND(" ",TRIM(C304)&amp;" ")-1),",","."))-1)/MID(SUBSTITUTE(LEFT(TRIM(C304),FIND(" ",TRIM(C304)&amp;" ")-1),",","."),FIND("/",SUBSTITUTE(LEFT(TRIM(C304),FIND(" ",TRIM(C304)&amp;" ")-1),",","."))+1,9))*12,NA()))),0),24)*'Aturan &amp; Tarif'!$B$4,2)</f>
        <v>1362.72</v>
      </c>
      <c r="K304" s="42" t="n">
        <f aca="false">'Aturan &amp; Tarif'!$B$5</f>
        <v>2050</v>
      </c>
      <c r="L304" s="35" t="n">
        <f aca="false">I304+J304+K304</f>
        <v>8012.72</v>
      </c>
      <c r="M304" s="45" t="s">
        <v>134</v>
      </c>
    </row>
    <row r="305" customFormat="false" ht="25.5" hidden="false" customHeight="true" outlineLevel="0" collapsed="false">
      <c r="A305" s="39"/>
      <c r="B305" s="40" t="s">
        <v>812</v>
      </c>
      <c r="C305" s="41" t="s">
        <v>107</v>
      </c>
      <c r="D305" s="41" t="s">
        <v>108</v>
      </c>
      <c r="E305" s="42" t="n">
        <v>1875</v>
      </c>
      <c r="F305" s="42" t="n">
        <v>800</v>
      </c>
      <c r="G305" s="42" t="n">
        <v>200</v>
      </c>
      <c r="H305" s="43" t="n">
        <v>1</v>
      </c>
      <c r="I305" s="34" t="n">
        <f aca="false">E305*H305+N(F305)+N(G305)</f>
        <v>2875</v>
      </c>
      <c r="J305" s="42" t="n">
        <f aca="false">ROUND(IFERROR(ROUND(IF(OR(ISNUMBER(SEARCH("week",C305)),ISNUMBER(SEARCH("minggu",C305))),IFERROR(_xlfn.NUMBERVALUE(SUBSTITUTE(LEFT(TRIM(C305),FIND(" ",TRIM(C305)&amp;" ")-1),",","."),"."),LEFT(SUBSTITUTE(LEFT(TRIM(C305),FIND(" ",TRIM(C305)&amp;" ")-1),",","."),FIND("/",SUBSTITUTE(LEFT(TRIM(C305),FIND(" ",TRIM(C305)&amp;" ")-1),",","."))-1)/MID(SUBSTITUTE(LEFT(TRIM(C305),FIND(" ",TRIM(C305)&amp;" ")-1),",","."),FIND("/",SUBSTITUTE(LEFT(TRIM(C305),FIND(" ",TRIM(C305)&amp;" ")-1),",","."))+1,9))*12/52,IF(ISNUMBER(SEARCH("month",C305)),IFERROR(_xlfn.NUMBERVALUE(SUBSTITUTE(LEFT(TRIM(C305),FIND(" ",TRIM(C305)&amp;" ")-1),",","."),"."),LEFT(SUBSTITUTE(LEFT(TRIM(C305),FIND(" ",TRIM(C305)&amp;" ")-1),",","."),FIND("/",SUBSTITUTE(LEFT(TRIM(C305),FIND(" ",TRIM(C305)&amp;" ")-1),",","."))-1)/MID(SUBSTITUTE(LEFT(TRIM(C305),FIND(" ",TRIM(C305)&amp;" ")-1),",","."),FIND("/",SUBSTITUTE(LEFT(TRIM(C305),FIND(" ",TRIM(C305)&amp;" ")-1),",","."))+1,9)),IF(ISNUMBER(SEARCH("yea",C305)),IFERROR(_xlfn.NUMBERVALUE(SUBSTITUTE(LEFT(TRIM(C305),FIND(" ",TRIM(C305)&amp;" ")-1),",","."),"."),LEFT(SUBSTITUTE(LEFT(TRIM(C305),FIND(" ",TRIM(C305)&amp;" ")-1),",","."),FIND("/",SUBSTITUTE(LEFT(TRIM(C305),FIND(" ",TRIM(C305)&amp;" ")-1),",","."))-1)/MID(SUBSTITUTE(LEFT(TRIM(C305),FIND(" ",TRIM(C305)&amp;" ")-1),",","."),FIND("/",SUBSTITUTE(LEFT(TRIM(C305),FIND(" ",TRIM(C305)&amp;" ")-1),",","."))+1,9))*12,NA()))),0),24)*'Aturan &amp; Tarif'!$B$4,2)</f>
        <v>1362.72</v>
      </c>
      <c r="K305" s="42" t="n">
        <f aca="false">'Aturan &amp; Tarif'!$B$5</f>
        <v>2050</v>
      </c>
      <c r="L305" s="35" t="n">
        <f aca="false">I305+J305+K305</f>
        <v>6287.72</v>
      </c>
      <c r="M305" s="45" t="s">
        <v>134</v>
      </c>
    </row>
    <row r="306" customFormat="false" ht="25.5" hidden="false" customHeight="true" outlineLevel="0" collapsed="false">
      <c r="A306" s="39"/>
      <c r="B306" s="40" t="s">
        <v>1030</v>
      </c>
      <c r="C306" s="41" t="s">
        <v>107</v>
      </c>
      <c r="D306" s="41" t="s">
        <v>108</v>
      </c>
      <c r="E306" s="42" t="n">
        <v>2125</v>
      </c>
      <c r="F306" s="42" t="n">
        <v>1000</v>
      </c>
      <c r="G306" s="42" t="n">
        <v>200</v>
      </c>
      <c r="H306" s="43" t="n">
        <v>1</v>
      </c>
      <c r="I306" s="34" t="n">
        <f aca="false">E306*H306+N(F306)+N(G306)</f>
        <v>3325</v>
      </c>
      <c r="J306" s="42" t="n">
        <f aca="false">ROUND(IFERROR(ROUND(IF(OR(ISNUMBER(SEARCH("week",C306)),ISNUMBER(SEARCH("minggu",C306))),IFERROR(_xlfn.NUMBERVALUE(SUBSTITUTE(LEFT(TRIM(C306),FIND(" ",TRIM(C306)&amp;" ")-1),",","."),"."),LEFT(SUBSTITUTE(LEFT(TRIM(C306),FIND(" ",TRIM(C306)&amp;" ")-1),",","."),FIND("/",SUBSTITUTE(LEFT(TRIM(C306),FIND(" ",TRIM(C306)&amp;" ")-1),",","."))-1)/MID(SUBSTITUTE(LEFT(TRIM(C306),FIND(" ",TRIM(C306)&amp;" ")-1),",","."),FIND("/",SUBSTITUTE(LEFT(TRIM(C306),FIND(" ",TRIM(C306)&amp;" ")-1),",","."))+1,9))*12/52,IF(ISNUMBER(SEARCH("month",C306)),IFERROR(_xlfn.NUMBERVALUE(SUBSTITUTE(LEFT(TRIM(C306),FIND(" ",TRIM(C306)&amp;" ")-1),",","."),"."),LEFT(SUBSTITUTE(LEFT(TRIM(C306),FIND(" ",TRIM(C306)&amp;" ")-1),",","."),FIND("/",SUBSTITUTE(LEFT(TRIM(C306),FIND(" ",TRIM(C306)&amp;" ")-1),",","."))-1)/MID(SUBSTITUTE(LEFT(TRIM(C306),FIND(" ",TRIM(C306)&amp;" ")-1),",","."),FIND("/",SUBSTITUTE(LEFT(TRIM(C306),FIND(" ",TRIM(C306)&amp;" ")-1),",","."))+1,9)),IF(ISNUMBER(SEARCH("yea",C306)),IFERROR(_xlfn.NUMBERVALUE(SUBSTITUTE(LEFT(TRIM(C306),FIND(" ",TRIM(C306)&amp;" ")-1),",","."),"."),LEFT(SUBSTITUTE(LEFT(TRIM(C306),FIND(" ",TRIM(C306)&amp;" ")-1),",","."),FIND("/",SUBSTITUTE(LEFT(TRIM(C306),FIND(" ",TRIM(C306)&amp;" ")-1),",","."))-1)/MID(SUBSTITUTE(LEFT(TRIM(C306),FIND(" ",TRIM(C306)&amp;" ")-1),",","."),FIND("/",SUBSTITUTE(LEFT(TRIM(C306),FIND(" ",TRIM(C306)&amp;" ")-1),",","."))+1,9))*12,NA()))),0),24)*'Aturan &amp; Tarif'!$B$4,2)</f>
        <v>1362.72</v>
      </c>
      <c r="K306" s="42" t="n">
        <f aca="false">'Aturan &amp; Tarif'!$B$5</f>
        <v>2050</v>
      </c>
      <c r="L306" s="35" t="n">
        <f aca="false">I306+J306+K306</f>
        <v>6737.72</v>
      </c>
      <c r="M306" s="45" t="s">
        <v>134</v>
      </c>
    </row>
    <row r="307" customFormat="false" ht="60" hidden="false" customHeight="true" outlineLevel="0" collapsed="false">
      <c r="A307" s="39" t="s">
        <v>1031</v>
      </c>
      <c r="B307" s="40" t="s">
        <v>1032</v>
      </c>
      <c r="C307" s="41" t="s">
        <v>130</v>
      </c>
      <c r="D307" s="41" t="s">
        <v>108</v>
      </c>
      <c r="E307" s="42" t="n">
        <v>7900</v>
      </c>
      <c r="F307" s="42"/>
      <c r="G307" s="42"/>
      <c r="H307" s="43" t="n">
        <v>2</v>
      </c>
      <c r="I307" s="34" t="n">
        <f aca="false">E307*H307+N(F307)+N(G307)</f>
        <v>15800</v>
      </c>
      <c r="J307" s="42" t="n">
        <f aca="false">ROUND(IFERROR(ROUND(IF(OR(ISNUMBER(SEARCH("week",C307)),ISNUMBER(SEARCH("minggu",C307))),IFERROR(_xlfn.NUMBERVALUE(SUBSTITUTE(LEFT(TRIM(C307),FIND(" ",TRIM(C307)&amp;" ")-1),",","."),"."),LEFT(SUBSTITUTE(LEFT(TRIM(C307),FIND(" ",TRIM(C307)&amp;" ")-1),",","."),FIND("/",SUBSTITUTE(LEFT(TRIM(C307),FIND(" ",TRIM(C307)&amp;" ")-1),",","."))-1)/MID(SUBSTITUTE(LEFT(TRIM(C307),FIND(" ",TRIM(C307)&amp;" ")-1),",","."),FIND("/",SUBSTITUTE(LEFT(TRIM(C307),FIND(" ",TRIM(C307)&amp;" ")-1),",","."))+1,9))*12/52,IF(ISNUMBER(SEARCH("month",C307)),IFERROR(_xlfn.NUMBERVALUE(SUBSTITUTE(LEFT(TRIM(C307),FIND(" ",TRIM(C307)&amp;" ")-1),",","."),"."),LEFT(SUBSTITUTE(LEFT(TRIM(C307),FIND(" ",TRIM(C307)&amp;" ")-1),",","."),FIND("/",SUBSTITUTE(LEFT(TRIM(C307),FIND(" ",TRIM(C307)&amp;" ")-1),",","."))-1)/MID(SUBSTITUTE(LEFT(TRIM(C307),FIND(" ",TRIM(C307)&amp;" ")-1),",","."),FIND("/",SUBSTITUTE(LEFT(TRIM(C307),FIND(" ",TRIM(C307)&amp;" ")-1),",","."))+1,9)),IF(ISNUMBER(SEARCH("yea",C307)),IFERROR(_xlfn.NUMBERVALUE(SUBSTITUTE(LEFT(TRIM(C307),FIND(" ",TRIM(C307)&amp;" ")-1),",","."),"."),LEFT(SUBSTITUTE(LEFT(TRIM(C307),FIND(" ",TRIM(C307)&amp;" ")-1),",","."),FIND("/",SUBSTITUTE(LEFT(TRIM(C307),FIND(" ",TRIM(C307)&amp;" ")-1),",","."))-1)/MID(SUBSTITUTE(LEFT(TRIM(C307),FIND(" ",TRIM(C307)&amp;" ")-1),",","."),FIND("/",SUBSTITUTE(LEFT(TRIM(C307),FIND(" ",TRIM(C307)&amp;" ")-1),",","."))+1,9))*12,NA()))),0),12)*'Aturan &amp; Tarif'!$B$4,2)</f>
        <v>681.36</v>
      </c>
      <c r="K307" s="42" t="n">
        <f aca="false">'Aturan &amp; Tarif'!$B$5</f>
        <v>2050</v>
      </c>
      <c r="L307" s="35" t="n">
        <f aca="false">I307+J307+K307</f>
        <v>18531.36</v>
      </c>
      <c r="M307" s="44" t="s">
        <v>1033</v>
      </c>
    </row>
    <row r="308" customFormat="false" ht="60" hidden="false" customHeight="true" outlineLevel="0" collapsed="false">
      <c r="A308" s="39"/>
      <c r="B308" s="40" t="s">
        <v>321</v>
      </c>
      <c r="C308" s="41" t="s">
        <v>127</v>
      </c>
      <c r="D308" s="41" t="s">
        <v>108</v>
      </c>
      <c r="E308" s="42" t="n">
        <v>7900</v>
      </c>
      <c r="F308" s="42"/>
      <c r="G308" s="42"/>
      <c r="H308" s="43" t="n">
        <v>2</v>
      </c>
      <c r="I308" s="34" t="n">
        <f aca="false">E308*H308+N(F308)+N(G308)</f>
        <v>15800</v>
      </c>
      <c r="J308" s="42" t="n">
        <f aca="false">ROUND(IFERROR(ROUND(IF(OR(ISNUMBER(SEARCH("week",C308)),ISNUMBER(SEARCH("minggu",C308))),IFERROR(_xlfn.NUMBERVALUE(SUBSTITUTE(LEFT(TRIM(C308),FIND(" ",TRIM(C308)&amp;" ")-1),",","."),"."),LEFT(SUBSTITUTE(LEFT(TRIM(C308),FIND(" ",TRIM(C308)&amp;" ")-1),",","."),FIND("/",SUBSTITUTE(LEFT(TRIM(C308),FIND(" ",TRIM(C308)&amp;" ")-1),",","."))-1)/MID(SUBSTITUTE(LEFT(TRIM(C308),FIND(" ",TRIM(C308)&amp;" ")-1),",","."),FIND("/",SUBSTITUTE(LEFT(TRIM(C308),FIND(" ",TRIM(C308)&amp;" ")-1),",","."))+1,9))*12/52,IF(ISNUMBER(SEARCH("month",C308)),IFERROR(_xlfn.NUMBERVALUE(SUBSTITUTE(LEFT(TRIM(C308),FIND(" ",TRIM(C308)&amp;" ")-1),",","."),"."),LEFT(SUBSTITUTE(LEFT(TRIM(C308),FIND(" ",TRIM(C308)&amp;" ")-1),",","."),FIND("/",SUBSTITUTE(LEFT(TRIM(C308),FIND(" ",TRIM(C308)&amp;" ")-1),",","."))-1)/MID(SUBSTITUTE(LEFT(TRIM(C308),FIND(" ",TRIM(C308)&amp;" ")-1),",","."),FIND("/",SUBSTITUTE(LEFT(TRIM(C308),FIND(" ",TRIM(C308)&amp;" ")-1),",","."))+1,9)),IF(ISNUMBER(SEARCH("yea",C308)),IFERROR(_xlfn.NUMBERVALUE(SUBSTITUTE(LEFT(TRIM(C308),FIND(" ",TRIM(C308)&amp;" ")-1),",","."),"."),LEFT(SUBSTITUTE(LEFT(TRIM(C308),FIND(" ",TRIM(C308)&amp;" ")-1),",","."),FIND("/",SUBSTITUTE(LEFT(TRIM(C308),FIND(" ",TRIM(C308)&amp;" ")-1),",","."))-1)/MID(SUBSTITUTE(LEFT(TRIM(C308),FIND(" ",TRIM(C308)&amp;" ")-1),",","."),FIND("/",SUBSTITUTE(LEFT(TRIM(C308),FIND(" ",TRIM(C308)&amp;" ")-1),",","."))+1,9))*12,NA()))),0),36)*'Aturan &amp; Tarif'!$B$4,2)</f>
        <v>2044.08</v>
      </c>
      <c r="K308" s="42" t="n">
        <f aca="false">'Aturan &amp; Tarif'!$B$5</f>
        <v>2050</v>
      </c>
      <c r="L308" s="35" t="n">
        <f aca="false">I308+J308+K308</f>
        <v>19894.08</v>
      </c>
      <c r="M308" s="44" t="s">
        <v>1034</v>
      </c>
    </row>
    <row r="309" customFormat="false" ht="60" hidden="false" customHeight="true" outlineLevel="0" collapsed="false">
      <c r="A309" s="39"/>
      <c r="B309" s="40" t="s">
        <v>1035</v>
      </c>
      <c r="C309" s="41" t="s">
        <v>130</v>
      </c>
      <c r="D309" s="41" t="s">
        <v>108</v>
      </c>
      <c r="E309" s="42" t="n">
        <v>7900</v>
      </c>
      <c r="F309" s="42"/>
      <c r="G309" s="42"/>
      <c r="H309" s="43" t="n">
        <v>2</v>
      </c>
      <c r="I309" s="34" t="n">
        <f aca="false">E309*H309+N(F309)+N(G309)</f>
        <v>15800</v>
      </c>
      <c r="J309" s="42" t="n">
        <f aca="false">ROUND(IFERROR(ROUND(IF(OR(ISNUMBER(SEARCH("week",C309)),ISNUMBER(SEARCH("minggu",C309))),IFERROR(_xlfn.NUMBERVALUE(SUBSTITUTE(LEFT(TRIM(C309),FIND(" ",TRIM(C309)&amp;" ")-1),",","."),"."),LEFT(SUBSTITUTE(LEFT(TRIM(C309),FIND(" ",TRIM(C309)&amp;" ")-1),",","."),FIND("/",SUBSTITUTE(LEFT(TRIM(C309),FIND(" ",TRIM(C309)&amp;" ")-1),",","."))-1)/MID(SUBSTITUTE(LEFT(TRIM(C309),FIND(" ",TRIM(C309)&amp;" ")-1),",","."),FIND("/",SUBSTITUTE(LEFT(TRIM(C309),FIND(" ",TRIM(C309)&amp;" ")-1),",","."))+1,9))*12/52,IF(ISNUMBER(SEARCH("month",C309)),IFERROR(_xlfn.NUMBERVALUE(SUBSTITUTE(LEFT(TRIM(C309),FIND(" ",TRIM(C309)&amp;" ")-1),",","."),"."),LEFT(SUBSTITUTE(LEFT(TRIM(C309),FIND(" ",TRIM(C309)&amp;" ")-1),",","."),FIND("/",SUBSTITUTE(LEFT(TRIM(C309),FIND(" ",TRIM(C309)&amp;" ")-1),",","."))-1)/MID(SUBSTITUTE(LEFT(TRIM(C309),FIND(" ",TRIM(C309)&amp;" ")-1),",","."),FIND("/",SUBSTITUTE(LEFT(TRIM(C309),FIND(" ",TRIM(C309)&amp;" ")-1),",","."))+1,9)),IF(ISNUMBER(SEARCH("yea",C309)),IFERROR(_xlfn.NUMBERVALUE(SUBSTITUTE(LEFT(TRIM(C309),FIND(" ",TRIM(C309)&amp;" ")-1),",","."),"."),LEFT(SUBSTITUTE(LEFT(TRIM(C309),FIND(" ",TRIM(C309)&amp;" ")-1),",","."),FIND("/",SUBSTITUTE(LEFT(TRIM(C309),FIND(" ",TRIM(C309)&amp;" ")-1),",","."))-1)/MID(SUBSTITUTE(LEFT(TRIM(C309),FIND(" ",TRIM(C309)&amp;" ")-1),",","."),FIND("/",SUBSTITUTE(LEFT(TRIM(C309),FIND(" ",TRIM(C309)&amp;" ")-1),",","."))+1,9))*12,NA()))),0),12)*'Aturan &amp; Tarif'!$B$4,2)</f>
        <v>681.36</v>
      </c>
      <c r="K309" s="42" t="n">
        <f aca="false">'Aturan &amp; Tarif'!$B$5</f>
        <v>2050</v>
      </c>
      <c r="L309" s="35" t="n">
        <f aca="false">I309+J309+K309</f>
        <v>18531.36</v>
      </c>
      <c r="M309" s="44" t="s">
        <v>1036</v>
      </c>
    </row>
    <row r="310" customFormat="false" ht="60" hidden="false" customHeight="true" outlineLevel="0" collapsed="false">
      <c r="A310" s="39"/>
      <c r="B310" s="40" t="s">
        <v>1037</v>
      </c>
      <c r="C310" s="41" t="s">
        <v>127</v>
      </c>
      <c r="D310" s="41" t="s">
        <v>108</v>
      </c>
      <c r="E310" s="42" t="n">
        <v>7900</v>
      </c>
      <c r="F310" s="42"/>
      <c r="G310" s="42"/>
      <c r="H310" s="43" t="n">
        <v>2</v>
      </c>
      <c r="I310" s="34" t="n">
        <f aca="false">E310*H310+N(F310)+N(G310)</f>
        <v>15800</v>
      </c>
      <c r="J310" s="42" t="n">
        <f aca="false">ROUND(IFERROR(ROUND(IF(OR(ISNUMBER(SEARCH("week",C310)),ISNUMBER(SEARCH("minggu",C310))),IFERROR(_xlfn.NUMBERVALUE(SUBSTITUTE(LEFT(TRIM(C310),FIND(" ",TRIM(C310)&amp;" ")-1),",","."),"."),LEFT(SUBSTITUTE(LEFT(TRIM(C310),FIND(" ",TRIM(C310)&amp;" ")-1),",","."),FIND("/",SUBSTITUTE(LEFT(TRIM(C310),FIND(" ",TRIM(C310)&amp;" ")-1),",","."))-1)/MID(SUBSTITUTE(LEFT(TRIM(C310),FIND(" ",TRIM(C310)&amp;" ")-1),",","."),FIND("/",SUBSTITUTE(LEFT(TRIM(C310),FIND(" ",TRIM(C310)&amp;" ")-1),",","."))+1,9))*12/52,IF(ISNUMBER(SEARCH("month",C310)),IFERROR(_xlfn.NUMBERVALUE(SUBSTITUTE(LEFT(TRIM(C310),FIND(" ",TRIM(C310)&amp;" ")-1),",","."),"."),LEFT(SUBSTITUTE(LEFT(TRIM(C310),FIND(" ",TRIM(C310)&amp;" ")-1),",","."),FIND("/",SUBSTITUTE(LEFT(TRIM(C310),FIND(" ",TRIM(C310)&amp;" ")-1),",","."))-1)/MID(SUBSTITUTE(LEFT(TRIM(C310),FIND(" ",TRIM(C310)&amp;" ")-1),",","."),FIND("/",SUBSTITUTE(LEFT(TRIM(C310),FIND(" ",TRIM(C310)&amp;" ")-1),",","."))+1,9)),IF(ISNUMBER(SEARCH("yea",C310)),IFERROR(_xlfn.NUMBERVALUE(SUBSTITUTE(LEFT(TRIM(C310),FIND(" ",TRIM(C310)&amp;" ")-1),",","."),"."),LEFT(SUBSTITUTE(LEFT(TRIM(C310),FIND(" ",TRIM(C310)&amp;" ")-1),",","."),FIND("/",SUBSTITUTE(LEFT(TRIM(C310),FIND(" ",TRIM(C310)&amp;" ")-1),",","."))-1)/MID(SUBSTITUTE(LEFT(TRIM(C310),FIND(" ",TRIM(C310)&amp;" ")-1),",","."),FIND("/",SUBSTITUTE(LEFT(TRIM(C310),FIND(" ",TRIM(C310)&amp;" ")-1),",","."))+1,9))*12,NA()))),0),36)*'Aturan &amp; Tarif'!$B$4,2)</f>
        <v>2044.08</v>
      </c>
      <c r="K310" s="42" t="n">
        <f aca="false">'Aturan &amp; Tarif'!$B$5</f>
        <v>2050</v>
      </c>
      <c r="L310" s="35" t="n">
        <f aca="false">I310+J310+K310</f>
        <v>19894.08</v>
      </c>
      <c r="M310" s="44" t="s">
        <v>1036</v>
      </c>
    </row>
    <row r="311" customFormat="false" ht="60" hidden="false" customHeight="true" outlineLevel="0" collapsed="false">
      <c r="A311" s="39"/>
      <c r="B311" s="40" t="s">
        <v>1038</v>
      </c>
      <c r="C311" s="41" t="s">
        <v>127</v>
      </c>
      <c r="D311" s="41" t="s">
        <v>108</v>
      </c>
      <c r="E311" s="42" t="n">
        <v>7900</v>
      </c>
      <c r="F311" s="42"/>
      <c r="G311" s="42"/>
      <c r="H311" s="43" t="n">
        <v>2</v>
      </c>
      <c r="I311" s="34" t="n">
        <f aca="false">E311*H311+N(F311)+N(G311)</f>
        <v>15800</v>
      </c>
      <c r="J311" s="42" t="n">
        <f aca="false">ROUND(IFERROR(ROUND(IF(OR(ISNUMBER(SEARCH("week",C311)),ISNUMBER(SEARCH("minggu",C311))),IFERROR(_xlfn.NUMBERVALUE(SUBSTITUTE(LEFT(TRIM(C311),FIND(" ",TRIM(C311)&amp;" ")-1),",","."),"."),LEFT(SUBSTITUTE(LEFT(TRIM(C311),FIND(" ",TRIM(C311)&amp;" ")-1),",","."),FIND("/",SUBSTITUTE(LEFT(TRIM(C311),FIND(" ",TRIM(C311)&amp;" ")-1),",","."))-1)/MID(SUBSTITUTE(LEFT(TRIM(C311),FIND(" ",TRIM(C311)&amp;" ")-1),",","."),FIND("/",SUBSTITUTE(LEFT(TRIM(C311),FIND(" ",TRIM(C311)&amp;" ")-1),",","."))+1,9))*12/52,IF(ISNUMBER(SEARCH("month",C311)),IFERROR(_xlfn.NUMBERVALUE(SUBSTITUTE(LEFT(TRIM(C311),FIND(" ",TRIM(C311)&amp;" ")-1),",","."),"."),LEFT(SUBSTITUTE(LEFT(TRIM(C311),FIND(" ",TRIM(C311)&amp;" ")-1),",","."),FIND("/",SUBSTITUTE(LEFT(TRIM(C311),FIND(" ",TRIM(C311)&amp;" ")-1),",","."))-1)/MID(SUBSTITUTE(LEFT(TRIM(C311),FIND(" ",TRIM(C311)&amp;" ")-1),",","."),FIND("/",SUBSTITUTE(LEFT(TRIM(C311),FIND(" ",TRIM(C311)&amp;" ")-1),",","."))+1,9)),IF(ISNUMBER(SEARCH("yea",C311)),IFERROR(_xlfn.NUMBERVALUE(SUBSTITUTE(LEFT(TRIM(C311),FIND(" ",TRIM(C311)&amp;" ")-1),",","."),"."),LEFT(SUBSTITUTE(LEFT(TRIM(C311),FIND(" ",TRIM(C311)&amp;" ")-1),",","."),FIND("/",SUBSTITUTE(LEFT(TRIM(C311),FIND(" ",TRIM(C311)&amp;" ")-1),",","."))-1)/MID(SUBSTITUTE(LEFT(TRIM(C311),FIND(" ",TRIM(C311)&amp;" ")-1),",","."),FIND("/",SUBSTITUTE(LEFT(TRIM(C311),FIND(" ",TRIM(C311)&amp;" ")-1),",","."))+1,9))*12,NA()))),0),36)*'Aturan &amp; Tarif'!$B$4,2)</f>
        <v>2044.08</v>
      </c>
      <c r="K311" s="42" t="n">
        <f aca="false">'Aturan &amp; Tarif'!$B$5</f>
        <v>2050</v>
      </c>
      <c r="L311" s="35" t="n">
        <f aca="false">I311+J311+K311</f>
        <v>19894.08</v>
      </c>
      <c r="M311" s="44" t="s">
        <v>1039</v>
      </c>
    </row>
    <row r="312" customFormat="false" ht="60" hidden="false" customHeight="true" outlineLevel="0" collapsed="false">
      <c r="A312" s="39"/>
      <c r="B312" s="40" t="s">
        <v>1040</v>
      </c>
      <c r="C312" s="41" t="s">
        <v>127</v>
      </c>
      <c r="D312" s="41" t="s">
        <v>108</v>
      </c>
      <c r="E312" s="42" t="n">
        <v>7900</v>
      </c>
      <c r="F312" s="42"/>
      <c r="G312" s="42"/>
      <c r="H312" s="43" t="n">
        <v>2</v>
      </c>
      <c r="I312" s="34" t="n">
        <f aca="false">E312*H312+N(F312)+N(G312)</f>
        <v>15800</v>
      </c>
      <c r="J312" s="42" t="n">
        <f aca="false">ROUND(IFERROR(ROUND(IF(OR(ISNUMBER(SEARCH("week",C312)),ISNUMBER(SEARCH("minggu",C312))),IFERROR(_xlfn.NUMBERVALUE(SUBSTITUTE(LEFT(TRIM(C312),FIND(" ",TRIM(C312)&amp;" ")-1),",","."),"."),LEFT(SUBSTITUTE(LEFT(TRIM(C312),FIND(" ",TRIM(C312)&amp;" ")-1),",","."),FIND("/",SUBSTITUTE(LEFT(TRIM(C312),FIND(" ",TRIM(C312)&amp;" ")-1),",","."))-1)/MID(SUBSTITUTE(LEFT(TRIM(C312),FIND(" ",TRIM(C312)&amp;" ")-1),",","."),FIND("/",SUBSTITUTE(LEFT(TRIM(C312),FIND(" ",TRIM(C312)&amp;" ")-1),",","."))+1,9))*12/52,IF(ISNUMBER(SEARCH("month",C312)),IFERROR(_xlfn.NUMBERVALUE(SUBSTITUTE(LEFT(TRIM(C312),FIND(" ",TRIM(C312)&amp;" ")-1),",","."),"."),LEFT(SUBSTITUTE(LEFT(TRIM(C312),FIND(" ",TRIM(C312)&amp;" ")-1),",","."),FIND("/",SUBSTITUTE(LEFT(TRIM(C312),FIND(" ",TRIM(C312)&amp;" ")-1),",","."))-1)/MID(SUBSTITUTE(LEFT(TRIM(C312),FIND(" ",TRIM(C312)&amp;" ")-1),",","."),FIND("/",SUBSTITUTE(LEFT(TRIM(C312),FIND(" ",TRIM(C312)&amp;" ")-1),",","."))+1,9)),IF(ISNUMBER(SEARCH("yea",C312)),IFERROR(_xlfn.NUMBERVALUE(SUBSTITUTE(LEFT(TRIM(C312),FIND(" ",TRIM(C312)&amp;" ")-1),",","."),"."),LEFT(SUBSTITUTE(LEFT(TRIM(C312),FIND(" ",TRIM(C312)&amp;" ")-1),",","."),FIND("/",SUBSTITUTE(LEFT(TRIM(C312),FIND(" ",TRIM(C312)&amp;" ")-1),",","."))-1)/MID(SUBSTITUTE(LEFT(TRIM(C312),FIND(" ",TRIM(C312)&amp;" ")-1),",","."),FIND("/",SUBSTITUTE(LEFT(TRIM(C312),FIND(" ",TRIM(C312)&amp;" ")-1),",","."))+1,9))*12,NA()))),0),36)*'Aturan &amp; Tarif'!$B$4,2)</f>
        <v>2044.08</v>
      </c>
      <c r="K312" s="42" t="n">
        <f aca="false">'Aturan &amp; Tarif'!$B$5</f>
        <v>2050</v>
      </c>
      <c r="L312" s="35" t="n">
        <f aca="false">I312+J312+K312</f>
        <v>19894.08</v>
      </c>
      <c r="M312" s="44" t="s">
        <v>1041</v>
      </c>
    </row>
    <row r="313" customFormat="false" ht="60" hidden="false" customHeight="true" outlineLevel="0" collapsed="false">
      <c r="A313" s="39"/>
      <c r="B313" s="40" t="s">
        <v>1042</v>
      </c>
      <c r="C313" s="41" t="s">
        <v>130</v>
      </c>
      <c r="D313" s="41" t="s">
        <v>108</v>
      </c>
      <c r="E313" s="42" t="n">
        <v>7900</v>
      </c>
      <c r="F313" s="42"/>
      <c r="G313" s="42"/>
      <c r="H313" s="43" t="n">
        <v>2</v>
      </c>
      <c r="I313" s="34" t="n">
        <f aca="false">E313*H313+N(F313)+N(G313)</f>
        <v>15800</v>
      </c>
      <c r="J313" s="42" t="n">
        <f aca="false">ROUND(IFERROR(ROUND(IF(OR(ISNUMBER(SEARCH("week",C313)),ISNUMBER(SEARCH("minggu",C313))),IFERROR(_xlfn.NUMBERVALUE(SUBSTITUTE(LEFT(TRIM(C313),FIND(" ",TRIM(C313)&amp;" ")-1),",","."),"."),LEFT(SUBSTITUTE(LEFT(TRIM(C313),FIND(" ",TRIM(C313)&amp;" ")-1),",","."),FIND("/",SUBSTITUTE(LEFT(TRIM(C313),FIND(" ",TRIM(C313)&amp;" ")-1),",","."))-1)/MID(SUBSTITUTE(LEFT(TRIM(C313),FIND(" ",TRIM(C313)&amp;" ")-1),",","."),FIND("/",SUBSTITUTE(LEFT(TRIM(C313),FIND(" ",TRIM(C313)&amp;" ")-1),",","."))+1,9))*12/52,IF(ISNUMBER(SEARCH("month",C313)),IFERROR(_xlfn.NUMBERVALUE(SUBSTITUTE(LEFT(TRIM(C313),FIND(" ",TRIM(C313)&amp;" ")-1),",","."),"."),LEFT(SUBSTITUTE(LEFT(TRIM(C313),FIND(" ",TRIM(C313)&amp;" ")-1),",","."),FIND("/",SUBSTITUTE(LEFT(TRIM(C313),FIND(" ",TRIM(C313)&amp;" ")-1),",","."))-1)/MID(SUBSTITUTE(LEFT(TRIM(C313),FIND(" ",TRIM(C313)&amp;" ")-1),",","."),FIND("/",SUBSTITUTE(LEFT(TRIM(C313),FIND(" ",TRIM(C313)&amp;" ")-1),",","."))+1,9)),IF(ISNUMBER(SEARCH("yea",C313)),IFERROR(_xlfn.NUMBERVALUE(SUBSTITUTE(LEFT(TRIM(C313),FIND(" ",TRIM(C313)&amp;" ")-1),",","."),"."),LEFT(SUBSTITUTE(LEFT(TRIM(C313),FIND(" ",TRIM(C313)&amp;" ")-1),",","."),FIND("/",SUBSTITUTE(LEFT(TRIM(C313),FIND(" ",TRIM(C313)&amp;" ")-1),",","."))-1)/MID(SUBSTITUTE(LEFT(TRIM(C313),FIND(" ",TRIM(C313)&amp;" ")-1),",","."),FIND("/",SUBSTITUTE(LEFT(TRIM(C313),FIND(" ",TRIM(C313)&amp;" ")-1),",","."))+1,9))*12,NA()))),0),12)*'Aturan &amp; Tarif'!$B$4,2)</f>
        <v>681.36</v>
      </c>
      <c r="K313" s="42" t="n">
        <f aca="false">'Aturan &amp; Tarif'!$B$5</f>
        <v>2050</v>
      </c>
      <c r="L313" s="35" t="n">
        <f aca="false">I313+J313+K313</f>
        <v>18531.36</v>
      </c>
      <c r="M313" s="44" t="s">
        <v>1043</v>
      </c>
    </row>
    <row r="314" customFormat="false" ht="60" hidden="false" customHeight="true" outlineLevel="0" collapsed="false">
      <c r="A314" s="39"/>
      <c r="B314" s="40" t="s">
        <v>1044</v>
      </c>
      <c r="C314" s="41" t="s">
        <v>127</v>
      </c>
      <c r="D314" s="41" t="s">
        <v>108</v>
      </c>
      <c r="E314" s="42" t="n">
        <v>7900</v>
      </c>
      <c r="F314" s="42"/>
      <c r="G314" s="42"/>
      <c r="H314" s="43" t="n">
        <v>2</v>
      </c>
      <c r="I314" s="34" t="n">
        <f aca="false">E314*H314+N(F314)+N(G314)</f>
        <v>15800</v>
      </c>
      <c r="J314" s="42" t="n">
        <f aca="false">ROUND(IFERROR(ROUND(IF(OR(ISNUMBER(SEARCH("week",C314)),ISNUMBER(SEARCH("minggu",C314))),IFERROR(_xlfn.NUMBERVALUE(SUBSTITUTE(LEFT(TRIM(C314),FIND(" ",TRIM(C314)&amp;" ")-1),",","."),"."),LEFT(SUBSTITUTE(LEFT(TRIM(C314),FIND(" ",TRIM(C314)&amp;" ")-1),",","."),FIND("/",SUBSTITUTE(LEFT(TRIM(C314),FIND(" ",TRIM(C314)&amp;" ")-1),",","."))-1)/MID(SUBSTITUTE(LEFT(TRIM(C314),FIND(" ",TRIM(C314)&amp;" ")-1),",","."),FIND("/",SUBSTITUTE(LEFT(TRIM(C314),FIND(" ",TRIM(C314)&amp;" ")-1),",","."))+1,9))*12/52,IF(ISNUMBER(SEARCH("month",C314)),IFERROR(_xlfn.NUMBERVALUE(SUBSTITUTE(LEFT(TRIM(C314),FIND(" ",TRIM(C314)&amp;" ")-1),",","."),"."),LEFT(SUBSTITUTE(LEFT(TRIM(C314),FIND(" ",TRIM(C314)&amp;" ")-1),",","."),FIND("/",SUBSTITUTE(LEFT(TRIM(C314),FIND(" ",TRIM(C314)&amp;" ")-1),",","."))-1)/MID(SUBSTITUTE(LEFT(TRIM(C314),FIND(" ",TRIM(C314)&amp;" ")-1),",","."),FIND("/",SUBSTITUTE(LEFT(TRIM(C314),FIND(" ",TRIM(C314)&amp;" ")-1),",","."))+1,9)),IF(ISNUMBER(SEARCH("yea",C314)),IFERROR(_xlfn.NUMBERVALUE(SUBSTITUTE(LEFT(TRIM(C314),FIND(" ",TRIM(C314)&amp;" ")-1),",","."),"."),LEFT(SUBSTITUTE(LEFT(TRIM(C314),FIND(" ",TRIM(C314)&amp;" ")-1),",","."),FIND("/",SUBSTITUTE(LEFT(TRIM(C314),FIND(" ",TRIM(C314)&amp;" ")-1),",","."))-1)/MID(SUBSTITUTE(LEFT(TRIM(C314),FIND(" ",TRIM(C314)&amp;" ")-1),",","."),FIND("/",SUBSTITUTE(LEFT(TRIM(C314),FIND(" ",TRIM(C314)&amp;" ")-1),",","."))+1,9))*12,NA()))),0),36)*'Aturan &amp; Tarif'!$B$4,2)</f>
        <v>2044.08</v>
      </c>
      <c r="K314" s="42" t="n">
        <f aca="false">'Aturan &amp; Tarif'!$B$5</f>
        <v>2050</v>
      </c>
      <c r="L314" s="35" t="n">
        <f aca="false">I314+J314+K314</f>
        <v>19894.08</v>
      </c>
      <c r="M314" s="44" t="s">
        <v>1045</v>
      </c>
    </row>
    <row r="315" customFormat="false" ht="60" hidden="false" customHeight="true" outlineLevel="0" collapsed="false">
      <c r="A315" s="39"/>
      <c r="B315" s="40" t="s">
        <v>1046</v>
      </c>
      <c r="C315" s="41" t="s">
        <v>127</v>
      </c>
      <c r="D315" s="41" t="s">
        <v>108</v>
      </c>
      <c r="E315" s="42" t="n">
        <v>7900</v>
      </c>
      <c r="F315" s="42"/>
      <c r="G315" s="42"/>
      <c r="H315" s="43" t="n">
        <v>2</v>
      </c>
      <c r="I315" s="34" t="n">
        <f aca="false">E315*H315+N(F315)+N(G315)</f>
        <v>15800</v>
      </c>
      <c r="J315" s="42" t="n">
        <f aca="false">ROUND(IFERROR(ROUND(IF(OR(ISNUMBER(SEARCH("week",C315)),ISNUMBER(SEARCH("minggu",C315))),IFERROR(_xlfn.NUMBERVALUE(SUBSTITUTE(LEFT(TRIM(C315),FIND(" ",TRIM(C315)&amp;" ")-1),",","."),"."),LEFT(SUBSTITUTE(LEFT(TRIM(C315),FIND(" ",TRIM(C315)&amp;" ")-1),",","."),FIND("/",SUBSTITUTE(LEFT(TRIM(C315),FIND(" ",TRIM(C315)&amp;" ")-1),",","."))-1)/MID(SUBSTITUTE(LEFT(TRIM(C315),FIND(" ",TRIM(C315)&amp;" ")-1),",","."),FIND("/",SUBSTITUTE(LEFT(TRIM(C315),FIND(" ",TRIM(C315)&amp;" ")-1),",","."))+1,9))*12/52,IF(ISNUMBER(SEARCH("month",C315)),IFERROR(_xlfn.NUMBERVALUE(SUBSTITUTE(LEFT(TRIM(C315),FIND(" ",TRIM(C315)&amp;" ")-1),",","."),"."),LEFT(SUBSTITUTE(LEFT(TRIM(C315),FIND(" ",TRIM(C315)&amp;" ")-1),",","."),FIND("/",SUBSTITUTE(LEFT(TRIM(C315),FIND(" ",TRIM(C315)&amp;" ")-1),",","."))-1)/MID(SUBSTITUTE(LEFT(TRIM(C315),FIND(" ",TRIM(C315)&amp;" ")-1),",","."),FIND("/",SUBSTITUTE(LEFT(TRIM(C315),FIND(" ",TRIM(C315)&amp;" ")-1),",","."))+1,9)),IF(ISNUMBER(SEARCH("yea",C315)),IFERROR(_xlfn.NUMBERVALUE(SUBSTITUTE(LEFT(TRIM(C315),FIND(" ",TRIM(C315)&amp;" ")-1),",","."),"."),LEFT(SUBSTITUTE(LEFT(TRIM(C315),FIND(" ",TRIM(C315)&amp;" ")-1),",","."),FIND("/",SUBSTITUTE(LEFT(TRIM(C315),FIND(" ",TRIM(C315)&amp;" ")-1),",","."))-1)/MID(SUBSTITUTE(LEFT(TRIM(C315),FIND(" ",TRIM(C315)&amp;" ")-1),",","."),FIND("/",SUBSTITUTE(LEFT(TRIM(C315),FIND(" ",TRIM(C315)&amp;" ")-1),",","."))+1,9))*12,NA()))),0),36)*'Aturan &amp; Tarif'!$B$4,2)</f>
        <v>2044.08</v>
      </c>
      <c r="K315" s="42" t="n">
        <f aca="false">'Aturan &amp; Tarif'!$B$5</f>
        <v>2050</v>
      </c>
      <c r="L315" s="35" t="n">
        <f aca="false">I315+J315+K315</f>
        <v>19894.08</v>
      </c>
      <c r="M315" s="44" t="s">
        <v>1047</v>
      </c>
    </row>
    <row r="316" customFormat="false" ht="60" hidden="false" customHeight="true" outlineLevel="0" collapsed="false">
      <c r="A316" s="39"/>
      <c r="B316" s="40" t="s">
        <v>1048</v>
      </c>
      <c r="C316" s="41" t="s">
        <v>344</v>
      </c>
      <c r="D316" s="41" t="s">
        <v>108</v>
      </c>
      <c r="E316" s="42" t="n">
        <v>4500</v>
      </c>
      <c r="F316" s="42"/>
      <c r="G316" s="42"/>
      <c r="H316" s="43" t="n">
        <v>2</v>
      </c>
      <c r="I316" s="34" t="n">
        <f aca="false">E316*H316+N(F316)+N(G316)</f>
        <v>9000</v>
      </c>
      <c r="J316" s="42" t="n">
        <f aca="false">ROUND(IFERROR(ROUND(IF(OR(ISNUMBER(SEARCH("week",C316)),ISNUMBER(SEARCH("minggu",C316))),IFERROR(_xlfn.NUMBERVALUE(SUBSTITUTE(LEFT(TRIM(C316),FIND(" ",TRIM(C316)&amp;" ")-1),",","."),"."),LEFT(SUBSTITUTE(LEFT(TRIM(C316),FIND(" ",TRIM(C316)&amp;" ")-1),",","."),FIND("/",SUBSTITUTE(LEFT(TRIM(C316),FIND(" ",TRIM(C316)&amp;" ")-1),",","."))-1)/MID(SUBSTITUTE(LEFT(TRIM(C316),FIND(" ",TRIM(C316)&amp;" ")-1),",","."),FIND("/",SUBSTITUTE(LEFT(TRIM(C316),FIND(" ",TRIM(C316)&amp;" ")-1),",","."))+1,9))*12/52,IF(ISNUMBER(SEARCH("month",C316)),IFERROR(_xlfn.NUMBERVALUE(SUBSTITUTE(LEFT(TRIM(C316),FIND(" ",TRIM(C316)&amp;" ")-1),",","."),"."),LEFT(SUBSTITUTE(LEFT(TRIM(C316),FIND(" ",TRIM(C316)&amp;" ")-1),",","."),FIND("/",SUBSTITUTE(LEFT(TRIM(C316),FIND(" ",TRIM(C316)&amp;" ")-1),",","."))-1)/MID(SUBSTITUTE(LEFT(TRIM(C316),FIND(" ",TRIM(C316)&amp;" ")-1),",","."),FIND("/",SUBSTITUTE(LEFT(TRIM(C316),FIND(" ",TRIM(C316)&amp;" ")-1),",","."))+1,9)),IF(ISNUMBER(SEARCH("yea",C316)),IFERROR(_xlfn.NUMBERVALUE(SUBSTITUTE(LEFT(TRIM(C316),FIND(" ",TRIM(C316)&amp;" ")-1),",","."),"."),LEFT(SUBSTITUTE(LEFT(TRIM(C316),FIND(" ",TRIM(C316)&amp;" ")-1),",","."),FIND("/",SUBSTITUTE(LEFT(TRIM(C316),FIND(" ",TRIM(C316)&amp;" ")-1),",","."))-1)/MID(SUBSTITUTE(LEFT(TRIM(C316),FIND(" ",TRIM(C316)&amp;" ")-1),",","."),FIND("/",SUBSTITUTE(LEFT(TRIM(C316),FIND(" ",TRIM(C316)&amp;" ")-1),",","."))+1,9))*12,NA()))),0),6)*'Aturan &amp; Tarif'!$B$4,2)</f>
        <v>340.68</v>
      </c>
      <c r="K316" s="42" t="n">
        <f aca="false">'Aturan &amp; Tarif'!$B$5</f>
        <v>2050</v>
      </c>
      <c r="L316" s="35" t="n">
        <f aca="false">I316+J316+K316</f>
        <v>11390.68</v>
      </c>
      <c r="M316" s="44" t="s">
        <v>1049</v>
      </c>
    </row>
    <row r="317" customFormat="false" ht="60" hidden="false" customHeight="true" outlineLevel="0" collapsed="false">
      <c r="A317" s="39"/>
      <c r="B317" s="40" t="s">
        <v>1050</v>
      </c>
      <c r="C317" s="41" t="s">
        <v>130</v>
      </c>
      <c r="D317" s="41" t="s">
        <v>108</v>
      </c>
      <c r="E317" s="42" t="n">
        <v>9000</v>
      </c>
      <c r="F317" s="42"/>
      <c r="G317" s="42"/>
      <c r="H317" s="43" t="n">
        <v>2</v>
      </c>
      <c r="I317" s="34" t="n">
        <f aca="false">E317*H317+N(F317)+N(G317)</f>
        <v>18000</v>
      </c>
      <c r="J317" s="42" t="n">
        <f aca="false">ROUND(IFERROR(ROUND(IF(OR(ISNUMBER(SEARCH("week",C317)),ISNUMBER(SEARCH("minggu",C317))),IFERROR(_xlfn.NUMBERVALUE(SUBSTITUTE(LEFT(TRIM(C317),FIND(" ",TRIM(C317)&amp;" ")-1),",","."),"."),LEFT(SUBSTITUTE(LEFT(TRIM(C317),FIND(" ",TRIM(C317)&amp;" ")-1),",","."),FIND("/",SUBSTITUTE(LEFT(TRIM(C317),FIND(" ",TRIM(C317)&amp;" ")-1),",","."))-1)/MID(SUBSTITUTE(LEFT(TRIM(C317),FIND(" ",TRIM(C317)&amp;" ")-1),",","."),FIND("/",SUBSTITUTE(LEFT(TRIM(C317),FIND(" ",TRIM(C317)&amp;" ")-1),",","."))+1,9))*12/52,IF(ISNUMBER(SEARCH("month",C317)),IFERROR(_xlfn.NUMBERVALUE(SUBSTITUTE(LEFT(TRIM(C317),FIND(" ",TRIM(C317)&amp;" ")-1),",","."),"."),LEFT(SUBSTITUTE(LEFT(TRIM(C317),FIND(" ",TRIM(C317)&amp;" ")-1),",","."),FIND("/",SUBSTITUTE(LEFT(TRIM(C317),FIND(" ",TRIM(C317)&amp;" ")-1),",","."))-1)/MID(SUBSTITUTE(LEFT(TRIM(C317),FIND(" ",TRIM(C317)&amp;" ")-1),",","."),FIND("/",SUBSTITUTE(LEFT(TRIM(C317),FIND(" ",TRIM(C317)&amp;" ")-1),",","."))+1,9)),IF(ISNUMBER(SEARCH("yea",C317)),IFERROR(_xlfn.NUMBERVALUE(SUBSTITUTE(LEFT(TRIM(C317),FIND(" ",TRIM(C317)&amp;" ")-1),",","."),"."),LEFT(SUBSTITUTE(LEFT(TRIM(C317),FIND(" ",TRIM(C317)&amp;" ")-1),",","."),FIND("/",SUBSTITUTE(LEFT(TRIM(C317),FIND(" ",TRIM(C317)&amp;" ")-1),",","."))-1)/MID(SUBSTITUTE(LEFT(TRIM(C317),FIND(" ",TRIM(C317)&amp;" ")-1),",","."),FIND("/",SUBSTITUTE(LEFT(TRIM(C317),FIND(" ",TRIM(C317)&amp;" ")-1),",","."))+1,9))*12,NA()))),0),12)*'Aturan &amp; Tarif'!$B$4,2)</f>
        <v>681.36</v>
      </c>
      <c r="K317" s="42" t="n">
        <f aca="false">'Aturan &amp; Tarif'!$B$5</f>
        <v>2050</v>
      </c>
      <c r="L317" s="35" t="n">
        <f aca="false">I317+J317+K317</f>
        <v>20731.36</v>
      </c>
      <c r="M317" s="44" t="s">
        <v>1051</v>
      </c>
    </row>
    <row r="318" customFormat="false" ht="60" hidden="false" customHeight="true" outlineLevel="0" collapsed="false">
      <c r="A318" s="39"/>
      <c r="B318" s="40" t="s">
        <v>348</v>
      </c>
      <c r="C318" s="41" t="s">
        <v>113</v>
      </c>
      <c r="D318" s="41" t="s">
        <v>108</v>
      </c>
      <c r="E318" s="42" t="n">
        <v>9000</v>
      </c>
      <c r="F318" s="42"/>
      <c r="G318" s="42"/>
      <c r="H318" s="43" t="n">
        <v>2</v>
      </c>
      <c r="I318" s="34" t="n">
        <f aca="false">E318*H318+N(F318)+N(G318)</f>
        <v>18000</v>
      </c>
      <c r="J318" s="42" t="n">
        <f aca="false">ROUND(IFERROR(ROUND(IF(OR(ISNUMBER(SEARCH("week",C318)),ISNUMBER(SEARCH("minggu",C318))),IFERROR(_xlfn.NUMBERVALUE(SUBSTITUTE(LEFT(TRIM(C318),FIND(" ",TRIM(C318)&amp;" ")-1),",","."),"."),LEFT(SUBSTITUTE(LEFT(TRIM(C318),FIND(" ",TRIM(C318)&amp;" ")-1),",","."),FIND("/",SUBSTITUTE(LEFT(TRIM(C318),FIND(" ",TRIM(C318)&amp;" ")-1),",","."))-1)/MID(SUBSTITUTE(LEFT(TRIM(C318),FIND(" ",TRIM(C318)&amp;" ")-1),",","."),FIND("/",SUBSTITUTE(LEFT(TRIM(C318),FIND(" ",TRIM(C318)&amp;" ")-1),",","."))+1,9))*12/52,IF(ISNUMBER(SEARCH("month",C318)),IFERROR(_xlfn.NUMBERVALUE(SUBSTITUTE(LEFT(TRIM(C318),FIND(" ",TRIM(C318)&amp;" ")-1),",","."),"."),LEFT(SUBSTITUTE(LEFT(TRIM(C318),FIND(" ",TRIM(C318)&amp;" ")-1),",","."),FIND("/",SUBSTITUTE(LEFT(TRIM(C318),FIND(" ",TRIM(C318)&amp;" ")-1),",","."))-1)/MID(SUBSTITUTE(LEFT(TRIM(C318),FIND(" ",TRIM(C318)&amp;" ")-1),",","."),FIND("/",SUBSTITUTE(LEFT(TRIM(C318),FIND(" ",TRIM(C318)&amp;" ")-1),",","."))+1,9)),IF(ISNUMBER(SEARCH("yea",C318)),IFERROR(_xlfn.NUMBERVALUE(SUBSTITUTE(LEFT(TRIM(C318),FIND(" ",TRIM(C318)&amp;" ")-1),",","."),"."),LEFT(SUBSTITUTE(LEFT(TRIM(C318),FIND(" ",TRIM(C318)&amp;" ")-1),",","."),FIND("/",SUBSTITUTE(LEFT(TRIM(C318),FIND(" ",TRIM(C318)&amp;" ")-1),",","."))-1)/MID(SUBSTITUTE(LEFT(TRIM(C318),FIND(" ",TRIM(C318)&amp;" ")-1),",","."),FIND("/",SUBSTITUTE(LEFT(TRIM(C318),FIND(" ",TRIM(C318)&amp;" ")-1),",","."))+1,9))*12,NA()))),0),18)*'Aturan &amp; Tarif'!$B$4,2)</f>
        <v>1022.04</v>
      </c>
      <c r="K318" s="42" t="n">
        <f aca="false">'Aturan &amp; Tarif'!$B$5</f>
        <v>2050</v>
      </c>
      <c r="L318" s="35" t="n">
        <f aca="false">I318+J318+K318</f>
        <v>21072.04</v>
      </c>
      <c r="M318" s="44" t="s">
        <v>1052</v>
      </c>
    </row>
    <row r="319" customFormat="false" ht="60" hidden="false" customHeight="true" outlineLevel="0" collapsed="false">
      <c r="A319" s="39"/>
      <c r="B319" s="40" t="s">
        <v>1053</v>
      </c>
      <c r="C319" s="41" t="s">
        <v>107</v>
      </c>
      <c r="D319" s="41" t="s">
        <v>108</v>
      </c>
      <c r="E319" s="42" t="n">
        <v>9000</v>
      </c>
      <c r="F319" s="42"/>
      <c r="G319" s="42"/>
      <c r="H319" s="43" t="n">
        <v>2</v>
      </c>
      <c r="I319" s="34" t="n">
        <f aca="false">E319*H319+N(F319)+N(G319)</f>
        <v>18000</v>
      </c>
      <c r="J319" s="42" t="n">
        <f aca="false">ROUND(IFERROR(ROUND(IF(OR(ISNUMBER(SEARCH("week",C319)),ISNUMBER(SEARCH("minggu",C319))),IFERROR(_xlfn.NUMBERVALUE(SUBSTITUTE(LEFT(TRIM(C319),FIND(" ",TRIM(C319)&amp;" ")-1),",","."),"."),LEFT(SUBSTITUTE(LEFT(TRIM(C319),FIND(" ",TRIM(C319)&amp;" ")-1),",","."),FIND("/",SUBSTITUTE(LEFT(TRIM(C319),FIND(" ",TRIM(C319)&amp;" ")-1),",","."))-1)/MID(SUBSTITUTE(LEFT(TRIM(C319),FIND(" ",TRIM(C319)&amp;" ")-1),",","."),FIND("/",SUBSTITUTE(LEFT(TRIM(C319),FIND(" ",TRIM(C319)&amp;" ")-1),",","."))+1,9))*12/52,IF(ISNUMBER(SEARCH("month",C319)),IFERROR(_xlfn.NUMBERVALUE(SUBSTITUTE(LEFT(TRIM(C319),FIND(" ",TRIM(C319)&amp;" ")-1),",","."),"."),LEFT(SUBSTITUTE(LEFT(TRIM(C319),FIND(" ",TRIM(C319)&amp;" ")-1),",","."),FIND("/",SUBSTITUTE(LEFT(TRIM(C319),FIND(" ",TRIM(C319)&amp;" ")-1),",","."))-1)/MID(SUBSTITUTE(LEFT(TRIM(C319),FIND(" ",TRIM(C319)&amp;" ")-1),",","."),FIND("/",SUBSTITUTE(LEFT(TRIM(C319),FIND(" ",TRIM(C319)&amp;" ")-1),",","."))+1,9)),IF(ISNUMBER(SEARCH("yea",C319)),IFERROR(_xlfn.NUMBERVALUE(SUBSTITUTE(LEFT(TRIM(C319),FIND(" ",TRIM(C319)&amp;" ")-1),",","."),"."),LEFT(SUBSTITUTE(LEFT(TRIM(C319),FIND(" ",TRIM(C319)&amp;" ")-1),",","."),FIND("/",SUBSTITUTE(LEFT(TRIM(C319),FIND(" ",TRIM(C319)&amp;" ")-1),",","."))-1)/MID(SUBSTITUTE(LEFT(TRIM(C319),FIND(" ",TRIM(C319)&amp;" ")-1),",","."),FIND("/",SUBSTITUTE(LEFT(TRIM(C319),FIND(" ",TRIM(C319)&amp;" ")-1),",","."))+1,9))*12,NA()))),0),24)*'Aturan &amp; Tarif'!$B$4,2)</f>
        <v>1362.72</v>
      </c>
      <c r="K319" s="42" t="n">
        <f aca="false">'Aturan &amp; Tarif'!$B$5</f>
        <v>2050</v>
      </c>
      <c r="L319" s="35" t="n">
        <f aca="false">I319+J319+K319</f>
        <v>21412.72</v>
      </c>
      <c r="M319" s="44" t="s">
        <v>1054</v>
      </c>
    </row>
    <row r="320" customFormat="false" ht="60" hidden="false" customHeight="true" outlineLevel="0" collapsed="false">
      <c r="A320" s="39"/>
      <c r="B320" s="40" t="s">
        <v>1055</v>
      </c>
      <c r="C320" s="41" t="s">
        <v>107</v>
      </c>
      <c r="D320" s="41" t="s">
        <v>108</v>
      </c>
      <c r="E320" s="42" t="n">
        <v>9000</v>
      </c>
      <c r="F320" s="42"/>
      <c r="G320" s="42"/>
      <c r="H320" s="43" t="n">
        <v>2</v>
      </c>
      <c r="I320" s="34" t="n">
        <f aca="false">E320*H320+N(F320)+N(G320)</f>
        <v>18000</v>
      </c>
      <c r="J320" s="42" t="n">
        <f aca="false">ROUND(IFERROR(ROUND(IF(OR(ISNUMBER(SEARCH("week",C320)),ISNUMBER(SEARCH("minggu",C320))),IFERROR(_xlfn.NUMBERVALUE(SUBSTITUTE(LEFT(TRIM(C320),FIND(" ",TRIM(C320)&amp;" ")-1),",","."),"."),LEFT(SUBSTITUTE(LEFT(TRIM(C320),FIND(" ",TRIM(C320)&amp;" ")-1),",","."),FIND("/",SUBSTITUTE(LEFT(TRIM(C320),FIND(" ",TRIM(C320)&amp;" ")-1),",","."))-1)/MID(SUBSTITUTE(LEFT(TRIM(C320),FIND(" ",TRIM(C320)&amp;" ")-1),",","."),FIND("/",SUBSTITUTE(LEFT(TRIM(C320),FIND(" ",TRIM(C320)&amp;" ")-1),",","."))+1,9))*12/52,IF(ISNUMBER(SEARCH("month",C320)),IFERROR(_xlfn.NUMBERVALUE(SUBSTITUTE(LEFT(TRIM(C320),FIND(" ",TRIM(C320)&amp;" ")-1),",","."),"."),LEFT(SUBSTITUTE(LEFT(TRIM(C320),FIND(" ",TRIM(C320)&amp;" ")-1),",","."),FIND("/",SUBSTITUTE(LEFT(TRIM(C320),FIND(" ",TRIM(C320)&amp;" ")-1),",","."))-1)/MID(SUBSTITUTE(LEFT(TRIM(C320),FIND(" ",TRIM(C320)&amp;" ")-1),",","."),FIND("/",SUBSTITUTE(LEFT(TRIM(C320),FIND(" ",TRIM(C320)&amp;" ")-1),",","."))+1,9)),IF(ISNUMBER(SEARCH("yea",C320)),IFERROR(_xlfn.NUMBERVALUE(SUBSTITUTE(LEFT(TRIM(C320),FIND(" ",TRIM(C320)&amp;" ")-1),",","."),"."),LEFT(SUBSTITUTE(LEFT(TRIM(C320),FIND(" ",TRIM(C320)&amp;" ")-1),",","."),FIND("/",SUBSTITUTE(LEFT(TRIM(C320),FIND(" ",TRIM(C320)&amp;" ")-1),",","."))-1)/MID(SUBSTITUTE(LEFT(TRIM(C320),FIND(" ",TRIM(C320)&amp;" ")-1),",","."),FIND("/",SUBSTITUTE(LEFT(TRIM(C320),FIND(" ",TRIM(C320)&amp;" ")-1),",","."))+1,9))*12,NA()))),0),24)*'Aturan &amp; Tarif'!$B$4,2)</f>
        <v>1362.72</v>
      </c>
      <c r="K320" s="42" t="n">
        <f aca="false">'Aturan &amp; Tarif'!$B$5</f>
        <v>2050</v>
      </c>
      <c r="L320" s="35" t="n">
        <f aca="false">I320+J320+K320</f>
        <v>21412.72</v>
      </c>
      <c r="M320" s="44" t="s">
        <v>1056</v>
      </c>
    </row>
    <row r="321" customFormat="false" ht="60" hidden="false" customHeight="true" outlineLevel="0" collapsed="false">
      <c r="A321" s="39"/>
      <c r="B321" s="40" t="s">
        <v>1057</v>
      </c>
      <c r="C321" s="41" t="s">
        <v>107</v>
      </c>
      <c r="D321" s="41" t="s">
        <v>108</v>
      </c>
      <c r="E321" s="42" t="n">
        <v>7950</v>
      </c>
      <c r="F321" s="42"/>
      <c r="G321" s="42"/>
      <c r="H321" s="43" t="n">
        <v>2</v>
      </c>
      <c r="I321" s="34" t="n">
        <f aca="false">E321*H321+N(F321)+N(G321)</f>
        <v>15900</v>
      </c>
      <c r="J321" s="42" t="n">
        <f aca="false">ROUND(IFERROR(ROUND(IF(OR(ISNUMBER(SEARCH("week",C321)),ISNUMBER(SEARCH("minggu",C321))),IFERROR(_xlfn.NUMBERVALUE(SUBSTITUTE(LEFT(TRIM(C321),FIND(" ",TRIM(C321)&amp;" ")-1),",","."),"."),LEFT(SUBSTITUTE(LEFT(TRIM(C321),FIND(" ",TRIM(C321)&amp;" ")-1),",","."),FIND("/",SUBSTITUTE(LEFT(TRIM(C321),FIND(" ",TRIM(C321)&amp;" ")-1),",","."))-1)/MID(SUBSTITUTE(LEFT(TRIM(C321),FIND(" ",TRIM(C321)&amp;" ")-1),",","."),FIND("/",SUBSTITUTE(LEFT(TRIM(C321),FIND(" ",TRIM(C321)&amp;" ")-1),",","."))+1,9))*12/52,IF(ISNUMBER(SEARCH("month",C321)),IFERROR(_xlfn.NUMBERVALUE(SUBSTITUTE(LEFT(TRIM(C321),FIND(" ",TRIM(C321)&amp;" ")-1),",","."),"."),LEFT(SUBSTITUTE(LEFT(TRIM(C321),FIND(" ",TRIM(C321)&amp;" ")-1),",","."),FIND("/",SUBSTITUTE(LEFT(TRIM(C321),FIND(" ",TRIM(C321)&amp;" ")-1),",","."))-1)/MID(SUBSTITUTE(LEFT(TRIM(C321),FIND(" ",TRIM(C321)&amp;" ")-1),",","."),FIND("/",SUBSTITUTE(LEFT(TRIM(C321),FIND(" ",TRIM(C321)&amp;" ")-1),",","."))+1,9)),IF(ISNUMBER(SEARCH("yea",C321)),IFERROR(_xlfn.NUMBERVALUE(SUBSTITUTE(LEFT(TRIM(C321),FIND(" ",TRIM(C321)&amp;" ")-1),",","."),"."),LEFT(SUBSTITUTE(LEFT(TRIM(C321),FIND(" ",TRIM(C321)&amp;" ")-1),",","."),FIND("/",SUBSTITUTE(LEFT(TRIM(C321),FIND(" ",TRIM(C321)&amp;" ")-1),",","."))-1)/MID(SUBSTITUTE(LEFT(TRIM(C321),FIND(" ",TRIM(C321)&amp;" ")-1),",","."),FIND("/",SUBSTITUTE(LEFT(TRIM(C321),FIND(" ",TRIM(C321)&amp;" ")-1),",","."))+1,9))*12,NA()))),0),24)*'Aturan &amp; Tarif'!$B$4,2)</f>
        <v>1362.72</v>
      </c>
      <c r="K321" s="42" t="n">
        <f aca="false">'Aturan &amp; Tarif'!$B$5</f>
        <v>2050</v>
      </c>
      <c r="L321" s="35" t="n">
        <f aca="false">I321+J321+K321</f>
        <v>19312.72</v>
      </c>
      <c r="M321" s="44" t="s">
        <v>1058</v>
      </c>
    </row>
    <row r="322" customFormat="false" ht="60" hidden="false" customHeight="true" outlineLevel="0" collapsed="false">
      <c r="A322" s="39"/>
      <c r="B322" s="40" t="s">
        <v>1059</v>
      </c>
      <c r="C322" s="41" t="s">
        <v>113</v>
      </c>
      <c r="D322" s="41" t="s">
        <v>108</v>
      </c>
      <c r="E322" s="42" t="n">
        <v>9000</v>
      </c>
      <c r="F322" s="42"/>
      <c r="G322" s="42"/>
      <c r="H322" s="43" t="n">
        <v>2</v>
      </c>
      <c r="I322" s="34" t="n">
        <f aca="false">E322*H322+N(F322)+N(G322)</f>
        <v>18000</v>
      </c>
      <c r="J322" s="42" t="n">
        <f aca="false">ROUND(IFERROR(ROUND(IF(OR(ISNUMBER(SEARCH("week",C322)),ISNUMBER(SEARCH("minggu",C322))),IFERROR(_xlfn.NUMBERVALUE(SUBSTITUTE(LEFT(TRIM(C322),FIND(" ",TRIM(C322)&amp;" ")-1),",","."),"."),LEFT(SUBSTITUTE(LEFT(TRIM(C322),FIND(" ",TRIM(C322)&amp;" ")-1),",","."),FIND("/",SUBSTITUTE(LEFT(TRIM(C322),FIND(" ",TRIM(C322)&amp;" ")-1),",","."))-1)/MID(SUBSTITUTE(LEFT(TRIM(C322),FIND(" ",TRIM(C322)&amp;" ")-1),",","."),FIND("/",SUBSTITUTE(LEFT(TRIM(C322),FIND(" ",TRIM(C322)&amp;" ")-1),",","."))+1,9))*12/52,IF(ISNUMBER(SEARCH("month",C322)),IFERROR(_xlfn.NUMBERVALUE(SUBSTITUTE(LEFT(TRIM(C322),FIND(" ",TRIM(C322)&amp;" ")-1),",","."),"."),LEFT(SUBSTITUTE(LEFT(TRIM(C322),FIND(" ",TRIM(C322)&amp;" ")-1),",","."),FIND("/",SUBSTITUTE(LEFT(TRIM(C322),FIND(" ",TRIM(C322)&amp;" ")-1),",","."))-1)/MID(SUBSTITUTE(LEFT(TRIM(C322),FIND(" ",TRIM(C322)&amp;" ")-1),",","."),FIND("/",SUBSTITUTE(LEFT(TRIM(C322),FIND(" ",TRIM(C322)&amp;" ")-1),",","."))+1,9)),IF(ISNUMBER(SEARCH("yea",C322)),IFERROR(_xlfn.NUMBERVALUE(SUBSTITUTE(LEFT(TRIM(C322),FIND(" ",TRIM(C322)&amp;" ")-1),",","."),"."),LEFT(SUBSTITUTE(LEFT(TRIM(C322),FIND(" ",TRIM(C322)&amp;" ")-1),",","."),FIND("/",SUBSTITUTE(LEFT(TRIM(C322),FIND(" ",TRIM(C322)&amp;" ")-1),",","."))-1)/MID(SUBSTITUTE(LEFT(TRIM(C322),FIND(" ",TRIM(C322)&amp;" ")-1),",","."),FIND("/",SUBSTITUTE(LEFT(TRIM(C322),FIND(" ",TRIM(C322)&amp;" ")-1),",","."))+1,9))*12,NA()))),0),18)*'Aturan &amp; Tarif'!$B$4,2)</f>
        <v>1022.04</v>
      </c>
      <c r="K322" s="42" t="n">
        <f aca="false">'Aturan &amp; Tarif'!$B$5</f>
        <v>2050</v>
      </c>
      <c r="L322" s="35" t="n">
        <f aca="false">I322+J322+K322</f>
        <v>21072.04</v>
      </c>
      <c r="M322" s="44" t="s">
        <v>1060</v>
      </c>
    </row>
    <row r="323" customFormat="false" ht="60" hidden="false" customHeight="true" outlineLevel="0" collapsed="false">
      <c r="A323" s="39"/>
      <c r="B323" s="40" t="s">
        <v>1061</v>
      </c>
      <c r="C323" s="41" t="s">
        <v>107</v>
      </c>
      <c r="D323" s="41" t="s">
        <v>108</v>
      </c>
      <c r="E323" s="42" t="n">
        <v>9000</v>
      </c>
      <c r="F323" s="42"/>
      <c r="G323" s="42"/>
      <c r="H323" s="43" t="n">
        <v>2</v>
      </c>
      <c r="I323" s="34" t="n">
        <f aca="false">E323*H323+N(F323)+N(G323)</f>
        <v>18000</v>
      </c>
      <c r="J323" s="42" t="n">
        <f aca="false">ROUND(IFERROR(ROUND(IF(OR(ISNUMBER(SEARCH("week",C323)),ISNUMBER(SEARCH("minggu",C323))),IFERROR(_xlfn.NUMBERVALUE(SUBSTITUTE(LEFT(TRIM(C323),FIND(" ",TRIM(C323)&amp;" ")-1),",","."),"."),LEFT(SUBSTITUTE(LEFT(TRIM(C323),FIND(" ",TRIM(C323)&amp;" ")-1),",","."),FIND("/",SUBSTITUTE(LEFT(TRIM(C323),FIND(" ",TRIM(C323)&amp;" ")-1),",","."))-1)/MID(SUBSTITUTE(LEFT(TRIM(C323),FIND(" ",TRIM(C323)&amp;" ")-1),",","."),FIND("/",SUBSTITUTE(LEFT(TRIM(C323),FIND(" ",TRIM(C323)&amp;" ")-1),",","."))+1,9))*12/52,IF(ISNUMBER(SEARCH("month",C323)),IFERROR(_xlfn.NUMBERVALUE(SUBSTITUTE(LEFT(TRIM(C323),FIND(" ",TRIM(C323)&amp;" ")-1),",","."),"."),LEFT(SUBSTITUTE(LEFT(TRIM(C323),FIND(" ",TRIM(C323)&amp;" ")-1),",","."),FIND("/",SUBSTITUTE(LEFT(TRIM(C323),FIND(" ",TRIM(C323)&amp;" ")-1),",","."))-1)/MID(SUBSTITUTE(LEFT(TRIM(C323),FIND(" ",TRIM(C323)&amp;" ")-1),",","."),FIND("/",SUBSTITUTE(LEFT(TRIM(C323),FIND(" ",TRIM(C323)&amp;" ")-1),",","."))+1,9)),IF(ISNUMBER(SEARCH("yea",C323)),IFERROR(_xlfn.NUMBERVALUE(SUBSTITUTE(LEFT(TRIM(C323),FIND(" ",TRIM(C323)&amp;" ")-1),",","."),"."),LEFT(SUBSTITUTE(LEFT(TRIM(C323),FIND(" ",TRIM(C323)&amp;" ")-1),",","."),FIND("/",SUBSTITUTE(LEFT(TRIM(C323),FIND(" ",TRIM(C323)&amp;" ")-1),",","."))-1)/MID(SUBSTITUTE(LEFT(TRIM(C323),FIND(" ",TRIM(C323)&amp;" ")-1),",","."),FIND("/",SUBSTITUTE(LEFT(TRIM(C323),FIND(" ",TRIM(C323)&amp;" ")-1),",","."))+1,9))*12,NA()))),0),24)*'Aturan &amp; Tarif'!$B$4,2)</f>
        <v>1362.72</v>
      </c>
      <c r="K323" s="42" t="n">
        <f aca="false">'Aturan &amp; Tarif'!$B$5</f>
        <v>2050</v>
      </c>
      <c r="L323" s="35" t="n">
        <f aca="false">I323+J323+K323</f>
        <v>21412.72</v>
      </c>
      <c r="M323" s="44" t="s">
        <v>1062</v>
      </c>
    </row>
    <row r="324" customFormat="false" ht="14.25" hidden="false" customHeight="true" outlineLevel="0" collapsed="false">
      <c r="A324" s="39"/>
      <c r="B324" s="40" t="s">
        <v>1063</v>
      </c>
      <c r="C324" s="41" t="s">
        <v>130</v>
      </c>
      <c r="D324" s="41" t="s">
        <v>108</v>
      </c>
      <c r="E324" s="42" t="n">
        <v>4500</v>
      </c>
      <c r="F324" s="42"/>
      <c r="G324" s="42"/>
      <c r="H324" s="43" t="n">
        <v>2</v>
      </c>
      <c r="I324" s="34" t="n">
        <f aca="false">E324*H324+N(F324)+N(G324)</f>
        <v>9000</v>
      </c>
      <c r="J324" s="42" t="n">
        <f aca="false">ROUND(IFERROR(ROUND(IF(OR(ISNUMBER(SEARCH("week",C324)),ISNUMBER(SEARCH("minggu",C324))),IFERROR(_xlfn.NUMBERVALUE(SUBSTITUTE(LEFT(TRIM(C324),FIND(" ",TRIM(C324)&amp;" ")-1),",","."),"."),LEFT(SUBSTITUTE(LEFT(TRIM(C324),FIND(" ",TRIM(C324)&amp;" ")-1),",","."),FIND("/",SUBSTITUTE(LEFT(TRIM(C324),FIND(" ",TRIM(C324)&amp;" ")-1),",","."))-1)/MID(SUBSTITUTE(LEFT(TRIM(C324),FIND(" ",TRIM(C324)&amp;" ")-1),",","."),FIND("/",SUBSTITUTE(LEFT(TRIM(C324),FIND(" ",TRIM(C324)&amp;" ")-1),",","."))+1,9))*12/52,IF(ISNUMBER(SEARCH("month",C324)),IFERROR(_xlfn.NUMBERVALUE(SUBSTITUTE(LEFT(TRIM(C324),FIND(" ",TRIM(C324)&amp;" ")-1),",","."),"."),LEFT(SUBSTITUTE(LEFT(TRIM(C324),FIND(" ",TRIM(C324)&amp;" ")-1),",","."),FIND("/",SUBSTITUTE(LEFT(TRIM(C324),FIND(" ",TRIM(C324)&amp;" ")-1),",","."))-1)/MID(SUBSTITUTE(LEFT(TRIM(C324),FIND(" ",TRIM(C324)&amp;" ")-1),",","."),FIND("/",SUBSTITUTE(LEFT(TRIM(C324),FIND(" ",TRIM(C324)&amp;" ")-1),",","."))+1,9)),IF(ISNUMBER(SEARCH("yea",C324)),IFERROR(_xlfn.NUMBERVALUE(SUBSTITUTE(LEFT(TRIM(C324),FIND(" ",TRIM(C324)&amp;" ")-1),",","."),"."),LEFT(SUBSTITUTE(LEFT(TRIM(C324),FIND(" ",TRIM(C324)&amp;" ")-1),",","."),FIND("/",SUBSTITUTE(LEFT(TRIM(C324),FIND(" ",TRIM(C324)&amp;" ")-1),",","."))-1)/MID(SUBSTITUTE(LEFT(TRIM(C324),FIND(" ",TRIM(C324)&amp;" ")-1),",","."),FIND("/",SUBSTITUTE(LEFT(TRIM(C324),FIND(" ",TRIM(C324)&amp;" ")-1),",","."))+1,9))*12,NA()))),0),12)*'Aturan &amp; Tarif'!$B$4,2)</f>
        <v>681.36</v>
      </c>
      <c r="K324" s="42" t="n">
        <f aca="false">'Aturan &amp; Tarif'!$B$5</f>
        <v>2050</v>
      </c>
      <c r="L324" s="35" t="n">
        <f aca="false">I324+J324+K324</f>
        <v>11731.36</v>
      </c>
      <c r="M324" s="45" t="s">
        <v>1064</v>
      </c>
    </row>
    <row r="325" customFormat="false" ht="25.5" hidden="false" customHeight="true" outlineLevel="0" collapsed="false">
      <c r="A325" s="39"/>
      <c r="B325" s="40" t="s">
        <v>1065</v>
      </c>
      <c r="C325" s="41" t="s">
        <v>130</v>
      </c>
      <c r="D325" s="41" t="s">
        <v>108</v>
      </c>
      <c r="E325" s="42" t="n">
        <v>4500</v>
      </c>
      <c r="F325" s="42"/>
      <c r="G325" s="42"/>
      <c r="H325" s="43" t="n">
        <v>2</v>
      </c>
      <c r="I325" s="34" t="n">
        <f aca="false">E325*H325+N(F325)+N(G325)</f>
        <v>9000</v>
      </c>
      <c r="J325" s="42" t="n">
        <f aca="false">ROUND(IFERROR(ROUND(IF(OR(ISNUMBER(SEARCH("week",C325)),ISNUMBER(SEARCH("minggu",C325))),IFERROR(_xlfn.NUMBERVALUE(SUBSTITUTE(LEFT(TRIM(C325),FIND(" ",TRIM(C325)&amp;" ")-1),",","."),"."),LEFT(SUBSTITUTE(LEFT(TRIM(C325),FIND(" ",TRIM(C325)&amp;" ")-1),",","."),FIND("/",SUBSTITUTE(LEFT(TRIM(C325),FIND(" ",TRIM(C325)&amp;" ")-1),",","."))-1)/MID(SUBSTITUTE(LEFT(TRIM(C325),FIND(" ",TRIM(C325)&amp;" ")-1),",","."),FIND("/",SUBSTITUTE(LEFT(TRIM(C325),FIND(" ",TRIM(C325)&amp;" ")-1),",","."))+1,9))*12/52,IF(ISNUMBER(SEARCH("month",C325)),IFERROR(_xlfn.NUMBERVALUE(SUBSTITUTE(LEFT(TRIM(C325),FIND(" ",TRIM(C325)&amp;" ")-1),",","."),"."),LEFT(SUBSTITUTE(LEFT(TRIM(C325),FIND(" ",TRIM(C325)&amp;" ")-1),",","."),FIND("/",SUBSTITUTE(LEFT(TRIM(C325),FIND(" ",TRIM(C325)&amp;" ")-1),",","."))-1)/MID(SUBSTITUTE(LEFT(TRIM(C325),FIND(" ",TRIM(C325)&amp;" ")-1),",","."),FIND("/",SUBSTITUTE(LEFT(TRIM(C325),FIND(" ",TRIM(C325)&amp;" ")-1),",","."))+1,9)),IF(ISNUMBER(SEARCH("yea",C325)),IFERROR(_xlfn.NUMBERVALUE(SUBSTITUTE(LEFT(TRIM(C325),FIND(" ",TRIM(C325)&amp;" ")-1),",","."),"."),LEFT(SUBSTITUTE(LEFT(TRIM(C325),FIND(" ",TRIM(C325)&amp;" ")-1),",","."),FIND("/",SUBSTITUTE(LEFT(TRIM(C325),FIND(" ",TRIM(C325)&amp;" ")-1),",","."))-1)/MID(SUBSTITUTE(LEFT(TRIM(C325),FIND(" ",TRIM(C325)&amp;" ")-1),",","."),FIND("/",SUBSTITUTE(LEFT(TRIM(C325),FIND(" ",TRIM(C325)&amp;" ")-1),",","."))+1,9))*12,NA()))),0),12)*'Aturan &amp; Tarif'!$B$4,2)</f>
        <v>681.36</v>
      </c>
      <c r="K325" s="42" t="n">
        <f aca="false">'Aturan &amp; Tarif'!$B$5</f>
        <v>2050</v>
      </c>
      <c r="L325" s="35" t="n">
        <f aca="false">I325+J325+K325</f>
        <v>11731.36</v>
      </c>
      <c r="M325" s="45" t="s">
        <v>1066</v>
      </c>
    </row>
    <row r="326" customFormat="false" ht="14.25" hidden="false" customHeight="true" outlineLevel="0" collapsed="false">
      <c r="A326" s="39"/>
      <c r="B326" s="40" t="s">
        <v>1067</v>
      </c>
      <c r="C326" s="41" t="s">
        <v>130</v>
      </c>
      <c r="D326" s="41" t="s">
        <v>108</v>
      </c>
      <c r="E326" s="42" t="n">
        <v>9000</v>
      </c>
      <c r="F326" s="42"/>
      <c r="G326" s="42"/>
      <c r="H326" s="43" t="n">
        <v>2</v>
      </c>
      <c r="I326" s="34" t="n">
        <f aca="false">E326*H326+N(F326)+N(G326)</f>
        <v>18000</v>
      </c>
      <c r="J326" s="42" t="n">
        <f aca="false">ROUND(IFERROR(ROUND(IF(OR(ISNUMBER(SEARCH("week",C326)),ISNUMBER(SEARCH("minggu",C326))),IFERROR(_xlfn.NUMBERVALUE(SUBSTITUTE(LEFT(TRIM(C326),FIND(" ",TRIM(C326)&amp;" ")-1),",","."),"."),LEFT(SUBSTITUTE(LEFT(TRIM(C326),FIND(" ",TRIM(C326)&amp;" ")-1),",","."),FIND("/",SUBSTITUTE(LEFT(TRIM(C326),FIND(" ",TRIM(C326)&amp;" ")-1),",","."))-1)/MID(SUBSTITUTE(LEFT(TRIM(C326),FIND(" ",TRIM(C326)&amp;" ")-1),",","."),FIND("/",SUBSTITUTE(LEFT(TRIM(C326),FIND(" ",TRIM(C326)&amp;" ")-1),",","."))+1,9))*12/52,IF(ISNUMBER(SEARCH("month",C326)),IFERROR(_xlfn.NUMBERVALUE(SUBSTITUTE(LEFT(TRIM(C326),FIND(" ",TRIM(C326)&amp;" ")-1),",","."),"."),LEFT(SUBSTITUTE(LEFT(TRIM(C326),FIND(" ",TRIM(C326)&amp;" ")-1),",","."),FIND("/",SUBSTITUTE(LEFT(TRIM(C326),FIND(" ",TRIM(C326)&amp;" ")-1),",","."))-1)/MID(SUBSTITUTE(LEFT(TRIM(C326),FIND(" ",TRIM(C326)&amp;" ")-1),",","."),FIND("/",SUBSTITUTE(LEFT(TRIM(C326),FIND(" ",TRIM(C326)&amp;" ")-1),",","."))+1,9)),IF(ISNUMBER(SEARCH("yea",C326)),IFERROR(_xlfn.NUMBERVALUE(SUBSTITUTE(LEFT(TRIM(C326),FIND(" ",TRIM(C326)&amp;" ")-1),",","."),"."),LEFT(SUBSTITUTE(LEFT(TRIM(C326),FIND(" ",TRIM(C326)&amp;" ")-1),",","."),FIND("/",SUBSTITUTE(LEFT(TRIM(C326),FIND(" ",TRIM(C326)&amp;" ")-1),",","."))-1)/MID(SUBSTITUTE(LEFT(TRIM(C326),FIND(" ",TRIM(C326)&amp;" ")-1),",","."),FIND("/",SUBSTITUTE(LEFT(TRIM(C326),FIND(" ",TRIM(C326)&amp;" ")-1),",","."))+1,9))*12,NA()))),0),12)*'Aturan &amp; Tarif'!$B$4,2)</f>
        <v>681.36</v>
      </c>
      <c r="K326" s="42" t="n">
        <f aca="false">'Aturan &amp; Tarif'!$B$5</f>
        <v>2050</v>
      </c>
      <c r="L326" s="35" t="n">
        <f aca="false">I326+J326+K326</f>
        <v>20731.36</v>
      </c>
      <c r="M326" s="45" t="s">
        <v>1068</v>
      </c>
    </row>
    <row r="327" customFormat="false" ht="60" hidden="false" customHeight="true" outlineLevel="0" collapsed="false">
      <c r="A327" s="39"/>
      <c r="B327" s="40" t="s">
        <v>1069</v>
      </c>
      <c r="C327" s="41" t="s">
        <v>130</v>
      </c>
      <c r="D327" s="41" t="s">
        <v>108</v>
      </c>
      <c r="E327" s="42" t="n">
        <v>9000</v>
      </c>
      <c r="F327" s="42"/>
      <c r="G327" s="42"/>
      <c r="H327" s="43" t="n">
        <v>2</v>
      </c>
      <c r="I327" s="34" t="n">
        <f aca="false">E327*H327+N(F327)+N(G327)</f>
        <v>18000</v>
      </c>
      <c r="J327" s="42" t="n">
        <f aca="false">ROUND(IFERROR(ROUND(IF(OR(ISNUMBER(SEARCH("week",C327)),ISNUMBER(SEARCH("minggu",C327))),IFERROR(_xlfn.NUMBERVALUE(SUBSTITUTE(LEFT(TRIM(C327),FIND(" ",TRIM(C327)&amp;" ")-1),",","."),"."),LEFT(SUBSTITUTE(LEFT(TRIM(C327),FIND(" ",TRIM(C327)&amp;" ")-1),",","."),FIND("/",SUBSTITUTE(LEFT(TRIM(C327),FIND(" ",TRIM(C327)&amp;" ")-1),",","."))-1)/MID(SUBSTITUTE(LEFT(TRIM(C327),FIND(" ",TRIM(C327)&amp;" ")-1),",","."),FIND("/",SUBSTITUTE(LEFT(TRIM(C327),FIND(" ",TRIM(C327)&amp;" ")-1),",","."))+1,9))*12/52,IF(ISNUMBER(SEARCH("month",C327)),IFERROR(_xlfn.NUMBERVALUE(SUBSTITUTE(LEFT(TRIM(C327),FIND(" ",TRIM(C327)&amp;" ")-1),",","."),"."),LEFT(SUBSTITUTE(LEFT(TRIM(C327),FIND(" ",TRIM(C327)&amp;" ")-1),",","."),FIND("/",SUBSTITUTE(LEFT(TRIM(C327),FIND(" ",TRIM(C327)&amp;" ")-1),",","."))-1)/MID(SUBSTITUTE(LEFT(TRIM(C327),FIND(" ",TRIM(C327)&amp;" ")-1),",","."),FIND("/",SUBSTITUTE(LEFT(TRIM(C327),FIND(" ",TRIM(C327)&amp;" ")-1),",","."))+1,9)),IF(ISNUMBER(SEARCH("yea",C327)),IFERROR(_xlfn.NUMBERVALUE(SUBSTITUTE(LEFT(TRIM(C327),FIND(" ",TRIM(C327)&amp;" ")-1),",","."),"."),LEFT(SUBSTITUTE(LEFT(TRIM(C327),FIND(" ",TRIM(C327)&amp;" ")-1),",","."),FIND("/",SUBSTITUTE(LEFT(TRIM(C327),FIND(" ",TRIM(C327)&amp;" ")-1),",","."))-1)/MID(SUBSTITUTE(LEFT(TRIM(C327),FIND(" ",TRIM(C327)&amp;" ")-1),",","."),FIND("/",SUBSTITUTE(LEFT(TRIM(C327),FIND(" ",TRIM(C327)&amp;" ")-1),",","."))+1,9))*12,NA()))),0),12)*'Aturan &amp; Tarif'!$B$4,2)</f>
        <v>681.36</v>
      </c>
      <c r="K327" s="42" t="n">
        <f aca="false">'Aturan &amp; Tarif'!$B$5</f>
        <v>2050</v>
      </c>
      <c r="L327" s="35" t="n">
        <f aca="false">I327+J327+K327</f>
        <v>20731.36</v>
      </c>
      <c r="M327" s="44" t="s">
        <v>1036</v>
      </c>
    </row>
    <row r="328" customFormat="false" ht="60" hidden="false" customHeight="true" outlineLevel="0" collapsed="false">
      <c r="A328" s="39"/>
      <c r="B328" s="40" t="s">
        <v>1070</v>
      </c>
      <c r="C328" s="41" t="s">
        <v>107</v>
      </c>
      <c r="D328" s="41" t="s">
        <v>108</v>
      </c>
      <c r="E328" s="42" t="n">
        <v>9000</v>
      </c>
      <c r="F328" s="42"/>
      <c r="G328" s="42"/>
      <c r="H328" s="43" t="n">
        <v>2</v>
      </c>
      <c r="I328" s="34" t="n">
        <f aca="false">E328*H328+N(F328)+N(G328)</f>
        <v>18000</v>
      </c>
      <c r="J328" s="42" t="n">
        <f aca="false">ROUND(IFERROR(ROUND(IF(OR(ISNUMBER(SEARCH("week",C328)),ISNUMBER(SEARCH("minggu",C328))),IFERROR(_xlfn.NUMBERVALUE(SUBSTITUTE(LEFT(TRIM(C328),FIND(" ",TRIM(C328)&amp;" ")-1),",","."),"."),LEFT(SUBSTITUTE(LEFT(TRIM(C328),FIND(" ",TRIM(C328)&amp;" ")-1),",","."),FIND("/",SUBSTITUTE(LEFT(TRIM(C328),FIND(" ",TRIM(C328)&amp;" ")-1),",","."))-1)/MID(SUBSTITUTE(LEFT(TRIM(C328),FIND(" ",TRIM(C328)&amp;" ")-1),",","."),FIND("/",SUBSTITUTE(LEFT(TRIM(C328),FIND(" ",TRIM(C328)&amp;" ")-1),",","."))+1,9))*12/52,IF(ISNUMBER(SEARCH("month",C328)),IFERROR(_xlfn.NUMBERVALUE(SUBSTITUTE(LEFT(TRIM(C328),FIND(" ",TRIM(C328)&amp;" ")-1),",","."),"."),LEFT(SUBSTITUTE(LEFT(TRIM(C328),FIND(" ",TRIM(C328)&amp;" ")-1),",","."),FIND("/",SUBSTITUTE(LEFT(TRIM(C328),FIND(" ",TRIM(C328)&amp;" ")-1),",","."))-1)/MID(SUBSTITUTE(LEFT(TRIM(C328),FIND(" ",TRIM(C328)&amp;" ")-1),",","."),FIND("/",SUBSTITUTE(LEFT(TRIM(C328),FIND(" ",TRIM(C328)&amp;" ")-1),",","."))+1,9)),IF(ISNUMBER(SEARCH("yea",C328)),IFERROR(_xlfn.NUMBERVALUE(SUBSTITUTE(LEFT(TRIM(C328),FIND(" ",TRIM(C328)&amp;" ")-1),",","."),"."),LEFT(SUBSTITUTE(LEFT(TRIM(C328),FIND(" ",TRIM(C328)&amp;" ")-1),",","."),FIND("/",SUBSTITUTE(LEFT(TRIM(C328),FIND(" ",TRIM(C328)&amp;" ")-1),",","."))-1)/MID(SUBSTITUTE(LEFT(TRIM(C328),FIND(" ",TRIM(C328)&amp;" ")-1),",","."),FIND("/",SUBSTITUTE(LEFT(TRIM(C328),FIND(" ",TRIM(C328)&amp;" ")-1),",","."))+1,9))*12,NA()))),0),24)*'Aturan &amp; Tarif'!$B$4,2)</f>
        <v>1362.72</v>
      </c>
      <c r="K328" s="42" t="n">
        <f aca="false">'Aturan &amp; Tarif'!$B$5</f>
        <v>2050</v>
      </c>
      <c r="L328" s="35" t="n">
        <f aca="false">I328+J328+K328</f>
        <v>21412.72</v>
      </c>
      <c r="M328" s="44" t="s">
        <v>1036</v>
      </c>
    </row>
    <row r="329" customFormat="false" ht="60" hidden="false" customHeight="true" outlineLevel="0" collapsed="false">
      <c r="A329" s="39"/>
      <c r="B329" s="40" t="s">
        <v>1071</v>
      </c>
      <c r="C329" s="41" t="s">
        <v>107</v>
      </c>
      <c r="D329" s="41" t="s">
        <v>108</v>
      </c>
      <c r="E329" s="42" t="n">
        <v>9000</v>
      </c>
      <c r="F329" s="42"/>
      <c r="G329" s="42"/>
      <c r="H329" s="43" t="n">
        <v>2</v>
      </c>
      <c r="I329" s="34" t="n">
        <f aca="false">E329*H329+N(F329)+N(G329)</f>
        <v>18000</v>
      </c>
      <c r="J329" s="42" t="n">
        <f aca="false">ROUND(IFERROR(ROUND(IF(OR(ISNUMBER(SEARCH("week",C329)),ISNUMBER(SEARCH("minggu",C329))),IFERROR(_xlfn.NUMBERVALUE(SUBSTITUTE(LEFT(TRIM(C329),FIND(" ",TRIM(C329)&amp;" ")-1),",","."),"."),LEFT(SUBSTITUTE(LEFT(TRIM(C329),FIND(" ",TRIM(C329)&amp;" ")-1),",","."),FIND("/",SUBSTITUTE(LEFT(TRIM(C329),FIND(" ",TRIM(C329)&amp;" ")-1),",","."))-1)/MID(SUBSTITUTE(LEFT(TRIM(C329),FIND(" ",TRIM(C329)&amp;" ")-1),",","."),FIND("/",SUBSTITUTE(LEFT(TRIM(C329),FIND(" ",TRIM(C329)&amp;" ")-1),",","."))+1,9))*12/52,IF(ISNUMBER(SEARCH("month",C329)),IFERROR(_xlfn.NUMBERVALUE(SUBSTITUTE(LEFT(TRIM(C329),FIND(" ",TRIM(C329)&amp;" ")-1),",","."),"."),LEFT(SUBSTITUTE(LEFT(TRIM(C329),FIND(" ",TRIM(C329)&amp;" ")-1),",","."),FIND("/",SUBSTITUTE(LEFT(TRIM(C329),FIND(" ",TRIM(C329)&amp;" ")-1),",","."))-1)/MID(SUBSTITUTE(LEFT(TRIM(C329),FIND(" ",TRIM(C329)&amp;" ")-1),",","."),FIND("/",SUBSTITUTE(LEFT(TRIM(C329),FIND(" ",TRIM(C329)&amp;" ")-1),",","."))+1,9)),IF(ISNUMBER(SEARCH("yea",C329)),IFERROR(_xlfn.NUMBERVALUE(SUBSTITUTE(LEFT(TRIM(C329),FIND(" ",TRIM(C329)&amp;" ")-1),",","."),"."),LEFT(SUBSTITUTE(LEFT(TRIM(C329),FIND(" ",TRIM(C329)&amp;" ")-1),",","."),FIND("/",SUBSTITUTE(LEFT(TRIM(C329),FIND(" ",TRIM(C329)&amp;" ")-1),",","."))-1)/MID(SUBSTITUTE(LEFT(TRIM(C329),FIND(" ",TRIM(C329)&amp;" ")-1),",","."),FIND("/",SUBSTITUTE(LEFT(TRIM(C329),FIND(" ",TRIM(C329)&amp;" ")-1),",","."))+1,9))*12,NA()))),0),24)*'Aturan &amp; Tarif'!$B$4,2)</f>
        <v>1362.72</v>
      </c>
      <c r="K329" s="42" t="n">
        <f aca="false">'Aturan &amp; Tarif'!$B$5</f>
        <v>2050</v>
      </c>
      <c r="L329" s="35" t="n">
        <f aca="false">I329+J329+K329</f>
        <v>21412.72</v>
      </c>
      <c r="M329" s="44" t="s">
        <v>1072</v>
      </c>
    </row>
    <row r="330" customFormat="false" ht="60" hidden="false" customHeight="true" outlineLevel="0" collapsed="false">
      <c r="A330" s="39"/>
      <c r="B330" s="40" t="s">
        <v>1073</v>
      </c>
      <c r="C330" s="41" t="s">
        <v>344</v>
      </c>
      <c r="D330" s="41" t="s">
        <v>108</v>
      </c>
      <c r="E330" s="42" t="n">
        <v>4500</v>
      </c>
      <c r="F330" s="42"/>
      <c r="G330" s="42"/>
      <c r="H330" s="43" t="n">
        <v>2</v>
      </c>
      <c r="I330" s="34" t="n">
        <f aca="false">E330*H330+N(F330)+N(G330)</f>
        <v>9000</v>
      </c>
      <c r="J330" s="42" t="n">
        <f aca="false">ROUND(IFERROR(ROUND(IF(OR(ISNUMBER(SEARCH("week",C330)),ISNUMBER(SEARCH("minggu",C330))),IFERROR(_xlfn.NUMBERVALUE(SUBSTITUTE(LEFT(TRIM(C330),FIND(" ",TRIM(C330)&amp;" ")-1),",","."),"."),LEFT(SUBSTITUTE(LEFT(TRIM(C330),FIND(" ",TRIM(C330)&amp;" ")-1),",","."),FIND("/",SUBSTITUTE(LEFT(TRIM(C330),FIND(" ",TRIM(C330)&amp;" ")-1),",","."))-1)/MID(SUBSTITUTE(LEFT(TRIM(C330),FIND(" ",TRIM(C330)&amp;" ")-1),",","."),FIND("/",SUBSTITUTE(LEFT(TRIM(C330),FIND(" ",TRIM(C330)&amp;" ")-1),",","."))+1,9))*12/52,IF(ISNUMBER(SEARCH("month",C330)),IFERROR(_xlfn.NUMBERVALUE(SUBSTITUTE(LEFT(TRIM(C330),FIND(" ",TRIM(C330)&amp;" ")-1),",","."),"."),LEFT(SUBSTITUTE(LEFT(TRIM(C330),FIND(" ",TRIM(C330)&amp;" ")-1),",","."),FIND("/",SUBSTITUTE(LEFT(TRIM(C330),FIND(" ",TRIM(C330)&amp;" ")-1),",","."))-1)/MID(SUBSTITUTE(LEFT(TRIM(C330),FIND(" ",TRIM(C330)&amp;" ")-1),",","."),FIND("/",SUBSTITUTE(LEFT(TRIM(C330),FIND(" ",TRIM(C330)&amp;" ")-1),",","."))+1,9)),IF(ISNUMBER(SEARCH("yea",C330)),IFERROR(_xlfn.NUMBERVALUE(SUBSTITUTE(LEFT(TRIM(C330),FIND(" ",TRIM(C330)&amp;" ")-1),",","."),"."),LEFT(SUBSTITUTE(LEFT(TRIM(C330),FIND(" ",TRIM(C330)&amp;" ")-1),",","."),FIND("/",SUBSTITUTE(LEFT(TRIM(C330),FIND(" ",TRIM(C330)&amp;" ")-1),",","."))-1)/MID(SUBSTITUTE(LEFT(TRIM(C330),FIND(" ",TRIM(C330)&amp;" ")-1),",","."),FIND("/",SUBSTITUTE(LEFT(TRIM(C330),FIND(" ",TRIM(C330)&amp;" ")-1),",","."))+1,9))*12,NA()))),0),6)*'Aturan &amp; Tarif'!$B$4,2)</f>
        <v>340.68</v>
      </c>
      <c r="K330" s="42" t="n">
        <f aca="false">'Aturan &amp; Tarif'!$B$5</f>
        <v>2050</v>
      </c>
      <c r="L330" s="35" t="n">
        <f aca="false">I330+J330+K330</f>
        <v>11390.68</v>
      </c>
      <c r="M330" s="44" t="s">
        <v>1036</v>
      </c>
    </row>
    <row r="331" customFormat="false" ht="60" hidden="false" customHeight="true" outlineLevel="0" collapsed="false">
      <c r="A331" s="39"/>
      <c r="B331" s="40" t="s">
        <v>1074</v>
      </c>
      <c r="C331" s="41" t="s">
        <v>130</v>
      </c>
      <c r="D331" s="41" t="s">
        <v>108</v>
      </c>
      <c r="E331" s="42" t="n">
        <v>9000</v>
      </c>
      <c r="F331" s="42"/>
      <c r="G331" s="42"/>
      <c r="H331" s="43" t="n">
        <v>2</v>
      </c>
      <c r="I331" s="34" t="n">
        <f aca="false">E331*H331+N(F331)+N(G331)</f>
        <v>18000</v>
      </c>
      <c r="J331" s="42" t="n">
        <f aca="false">ROUND(IFERROR(ROUND(IF(OR(ISNUMBER(SEARCH("week",C331)),ISNUMBER(SEARCH("minggu",C331))),IFERROR(_xlfn.NUMBERVALUE(SUBSTITUTE(LEFT(TRIM(C331),FIND(" ",TRIM(C331)&amp;" ")-1),",","."),"."),LEFT(SUBSTITUTE(LEFT(TRIM(C331),FIND(" ",TRIM(C331)&amp;" ")-1),",","."),FIND("/",SUBSTITUTE(LEFT(TRIM(C331),FIND(" ",TRIM(C331)&amp;" ")-1),",","."))-1)/MID(SUBSTITUTE(LEFT(TRIM(C331),FIND(" ",TRIM(C331)&amp;" ")-1),",","."),FIND("/",SUBSTITUTE(LEFT(TRIM(C331),FIND(" ",TRIM(C331)&amp;" ")-1),",","."))+1,9))*12/52,IF(ISNUMBER(SEARCH("month",C331)),IFERROR(_xlfn.NUMBERVALUE(SUBSTITUTE(LEFT(TRIM(C331),FIND(" ",TRIM(C331)&amp;" ")-1),",","."),"."),LEFT(SUBSTITUTE(LEFT(TRIM(C331),FIND(" ",TRIM(C331)&amp;" ")-1),",","."),FIND("/",SUBSTITUTE(LEFT(TRIM(C331),FIND(" ",TRIM(C331)&amp;" ")-1),",","."))-1)/MID(SUBSTITUTE(LEFT(TRIM(C331),FIND(" ",TRIM(C331)&amp;" ")-1),",","."),FIND("/",SUBSTITUTE(LEFT(TRIM(C331),FIND(" ",TRIM(C331)&amp;" ")-1),",","."))+1,9)),IF(ISNUMBER(SEARCH("yea",C331)),IFERROR(_xlfn.NUMBERVALUE(SUBSTITUTE(LEFT(TRIM(C331),FIND(" ",TRIM(C331)&amp;" ")-1),",","."),"."),LEFT(SUBSTITUTE(LEFT(TRIM(C331),FIND(" ",TRIM(C331)&amp;" ")-1),",","."),FIND("/",SUBSTITUTE(LEFT(TRIM(C331),FIND(" ",TRIM(C331)&amp;" ")-1),",","."))-1)/MID(SUBSTITUTE(LEFT(TRIM(C331),FIND(" ",TRIM(C331)&amp;" ")-1),",","."),FIND("/",SUBSTITUTE(LEFT(TRIM(C331),FIND(" ",TRIM(C331)&amp;" ")-1),",","."))+1,9))*12,NA()))),0),12)*'Aturan &amp; Tarif'!$B$4,2)</f>
        <v>681.36</v>
      </c>
      <c r="K331" s="42" t="n">
        <f aca="false">'Aturan &amp; Tarif'!$B$5</f>
        <v>2050</v>
      </c>
      <c r="L331" s="35" t="n">
        <f aca="false">I331+J331+K331</f>
        <v>20731.36</v>
      </c>
      <c r="M331" s="44" t="s">
        <v>1036</v>
      </c>
    </row>
    <row r="332" customFormat="false" ht="60" hidden="false" customHeight="true" outlineLevel="0" collapsed="false">
      <c r="A332" s="39"/>
      <c r="B332" s="40" t="s">
        <v>1075</v>
      </c>
      <c r="C332" s="41" t="s">
        <v>113</v>
      </c>
      <c r="D332" s="41" t="s">
        <v>108</v>
      </c>
      <c r="E332" s="42" t="n">
        <v>9000</v>
      </c>
      <c r="F332" s="42"/>
      <c r="G332" s="42"/>
      <c r="H332" s="43" t="n">
        <v>2</v>
      </c>
      <c r="I332" s="34" t="n">
        <f aca="false">E332*H332+N(F332)+N(G332)</f>
        <v>18000</v>
      </c>
      <c r="J332" s="42" t="n">
        <f aca="false">ROUND(IFERROR(ROUND(IF(OR(ISNUMBER(SEARCH("week",C332)),ISNUMBER(SEARCH("minggu",C332))),IFERROR(_xlfn.NUMBERVALUE(SUBSTITUTE(LEFT(TRIM(C332),FIND(" ",TRIM(C332)&amp;" ")-1),",","."),"."),LEFT(SUBSTITUTE(LEFT(TRIM(C332),FIND(" ",TRIM(C332)&amp;" ")-1),",","."),FIND("/",SUBSTITUTE(LEFT(TRIM(C332),FIND(" ",TRIM(C332)&amp;" ")-1),",","."))-1)/MID(SUBSTITUTE(LEFT(TRIM(C332),FIND(" ",TRIM(C332)&amp;" ")-1),",","."),FIND("/",SUBSTITUTE(LEFT(TRIM(C332),FIND(" ",TRIM(C332)&amp;" ")-1),",","."))+1,9))*12/52,IF(ISNUMBER(SEARCH("month",C332)),IFERROR(_xlfn.NUMBERVALUE(SUBSTITUTE(LEFT(TRIM(C332),FIND(" ",TRIM(C332)&amp;" ")-1),",","."),"."),LEFT(SUBSTITUTE(LEFT(TRIM(C332),FIND(" ",TRIM(C332)&amp;" ")-1),",","."),FIND("/",SUBSTITUTE(LEFT(TRIM(C332),FIND(" ",TRIM(C332)&amp;" ")-1),",","."))-1)/MID(SUBSTITUTE(LEFT(TRIM(C332),FIND(" ",TRIM(C332)&amp;" ")-1),",","."),FIND("/",SUBSTITUTE(LEFT(TRIM(C332),FIND(" ",TRIM(C332)&amp;" ")-1),",","."))+1,9)),IF(ISNUMBER(SEARCH("yea",C332)),IFERROR(_xlfn.NUMBERVALUE(SUBSTITUTE(LEFT(TRIM(C332),FIND(" ",TRIM(C332)&amp;" ")-1),",","."),"."),LEFT(SUBSTITUTE(LEFT(TRIM(C332),FIND(" ",TRIM(C332)&amp;" ")-1),",","."),FIND("/",SUBSTITUTE(LEFT(TRIM(C332),FIND(" ",TRIM(C332)&amp;" ")-1),",","."))-1)/MID(SUBSTITUTE(LEFT(TRIM(C332),FIND(" ",TRIM(C332)&amp;" ")-1),",","."),FIND("/",SUBSTITUTE(LEFT(TRIM(C332),FIND(" ",TRIM(C332)&amp;" ")-1),",","."))+1,9))*12,NA()))),0),18)*'Aturan &amp; Tarif'!$B$4,2)</f>
        <v>1022.04</v>
      </c>
      <c r="K332" s="42" t="n">
        <f aca="false">'Aturan &amp; Tarif'!$B$5</f>
        <v>2050</v>
      </c>
      <c r="L332" s="35" t="n">
        <f aca="false">I332+J332+K332</f>
        <v>21072.04</v>
      </c>
      <c r="M332" s="44" t="s">
        <v>1036</v>
      </c>
    </row>
    <row r="333" customFormat="false" ht="60" hidden="false" customHeight="true" outlineLevel="0" collapsed="false">
      <c r="A333" s="39"/>
      <c r="B333" s="40" t="s">
        <v>1076</v>
      </c>
      <c r="C333" s="41" t="s">
        <v>107</v>
      </c>
      <c r="D333" s="41" t="s">
        <v>108</v>
      </c>
      <c r="E333" s="42" t="n">
        <v>9000</v>
      </c>
      <c r="F333" s="42"/>
      <c r="G333" s="42"/>
      <c r="H333" s="43" t="n">
        <v>2</v>
      </c>
      <c r="I333" s="34" t="n">
        <f aca="false">E333*H333+N(F333)+N(G333)</f>
        <v>18000</v>
      </c>
      <c r="J333" s="42" t="n">
        <f aca="false">ROUND(IFERROR(ROUND(IF(OR(ISNUMBER(SEARCH("week",C333)),ISNUMBER(SEARCH("minggu",C333))),IFERROR(_xlfn.NUMBERVALUE(SUBSTITUTE(LEFT(TRIM(C333),FIND(" ",TRIM(C333)&amp;" ")-1),",","."),"."),LEFT(SUBSTITUTE(LEFT(TRIM(C333),FIND(" ",TRIM(C333)&amp;" ")-1),",","."),FIND("/",SUBSTITUTE(LEFT(TRIM(C333),FIND(" ",TRIM(C333)&amp;" ")-1),",","."))-1)/MID(SUBSTITUTE(LEFT(TRIM(C333),FIND(" ",TRIM(C333)&amp;" ")-1),",","."),FIND("/",SUBSTITUTE(LEFT(TRIM(C333),FIND(" ",TRIM(C333)&amp;" ")-1),",","."))+1,9))*12/52,IF(ISNUMBER(SEARCH("month",C333)),IFERROR(_xlfn.NUMBERVALUE(SUBSTITUTE(LEFT(TRIM(C333),FIND(" ",TRIM(C333)&amp;" ")-1),",","."),"."),LEFT(SUBSTITUTE(LEFT(TRIM(C333),FIND(" ",TRIM(C333)&amp;" ")-1),",","."),FIND("/",SUBSTITUTE(LEFT(TRIM(C333),FIND(" ",TRIM(C333)&amp;" ")-1),",","."))-1)/MID(SUBSTITUTE(LEFT(TRIM(C333),FIND(" ",TRIM(C333)&amp;" ")-1),",","."),FIND("/",SUBSTITUTE(LEFT(TRIM(C333),FIND(" ",TRIM(C333)&amp;" ")-1),",","."))+1,9)),IF(ISNUMBER(SEARCH("yea",C333)),IFERROR(_xlfn.NUMBERVALUE(SUBSTITUTE(LEFT(TRIM(C333),FIND(" ",TRIM(C333)&amp;" ")-1),",","."),"."),LEFT(SUBSTITUTE(LEFT(TRIM(C333),FIND(" ",TRIM(C333)&amp;" ")-1),",","."),FIND("/",SUBSTITUTE(LEFT(TRIM(C333),FIND(" ",TRIM(C333)&amp;" ")-1),",","."))-1)/MID(SUBSTITUTE(LEFT(TRIM(C333),FIND(" ",TRIM(C333)&amp;" ")-1),",","."),FIND("/",SUBSTITUTE(LEFT(TRIM(C333),FIND(" ",TRIM(C333)&amp;" ")-1),",","."))+1,9))*12,NA()))),0),24)*'Aturan &amp; Tarif'!$B$4,2)</f>
        <v>1362.72</v>
      </c>
      <c r="K333" s="42" t="n">
        <f aca="false">'Aturan &amp; Tarif'!$B$5</f>
        <v>2050</v>
      </c>
      <c r="L333" s="35" t="n">
        <f aca="false">I333+J333+K333</f>
        <v>21412.72</v>
      </c>
      <c r="M333" s="44" t="s">
        <v>1036</v>
      </c>
    </row>
    <row r="334" customFormat="false" ht="60" hidden="false" customHeight="true" outlineLevel="0" collapsed="false">
      <c r="A334" s="39"/>
      <c r="B334" s="40" t="s">
        <v>1055</v>
      </c>
      <c r="C334" s="41" t="s">
        <v>107</v>
      </c>
      <c r="D334" s="41" t="s">
        <v>108</v>
      </c>
      <c r="E334" s="42" t="n">
        <v>9000</v>
      </c>
      <c r="F334" s="42"/>
      <c r="G334" s="42"/>
      <c r="H334" s="43" t="n">
        <v>2</v>
      </c>
      <c r="I334" s="34" t="n">
        <f aca="false">E334*H334+N(F334)+N(G334)</f>
        <v>18000</v>
      </c>
      <c r="J334" s="42" t="n">
        <f aca="false">ROUND(IFERROR(ROUND(IF(OR(ISNUMBER(SEARCH("week",C334)),ISNUMBER(SEARCH("minggu",C334))),IFERROR(_xlfn.NUMBERVALUE(SUBSTITUTE(LEFT(TRIM(C334),FIND(" ",TRIM(C334)&amp;" ")-1),",","."),"."),LEFT(SUBSTITUTE(LEFT(TRIM(C334),FIND(" ",TRIM(C334)&amp;" ")-1),",","."),FIND("/",SUBSTITUTE(LEFT(TRIM(C334),FIND(" ",TRIM(C334)&amp;" ")-1),",","."))-1)/MID(SUBSTITUTE(LEFT(TRIM(C334),FIND(" ",TRIM(C334)&amp;" ")-1),",","."),FIND("/",SUBSTITUTE(LEFT(TRIM(C334),FIND(" ",TRIM(C334)&amp;" ")-1),",","."))+1,9))*12/52,IF(ISNUMBER(SEARCH("month",C334)),IFERROR(_xlfn.NUMBERVALUE(SUBSTITUTE(LEFT(TRIM(C334),FIND(" ",TRIM(C334)&amp;" ")-1),",","."),"."),LEFT(SUBSTITUTE(LEFT(TRIM(C334),FIND(" ",TRIM(C334)&amp;" ")-1),",","."),FIND("/",SUBSTITUTE(LEFT(TRIM(C334),FIND(" ",TRIM(C334)&amp;" ")-1),",","."))-1)/MID(SUBSTITUTE(LEFT(TRIM(C334),FIND(" ",TRIM(C334)&amp;" ")-1),",","."),FIND("/",SUBSTITUTE(LEFT(TRIM(C334),FIND(" ",TRIM(C334)&amp;" ")-1),",","."))+1,9)),IF(ISNUMBER(SEARCH("yea",C334)),IFERROR(_xlfn.NUMBERVALUE(SUBSTITUTE(LEFT(TRIM(C334),FIND(" ",TRIM(C334)&amp;" ")-1),",","."),"."),LEFT(SUBSTITUTE(LEFT(TRIM(C334),FIND(" ",TRIM(C334)&amp;" ")-1),",","."),FIND("/",SUBSTITUTE(LEFT(TRIM(C334),FIND(" ",TRIM(C334)&amp;" ")-1),",","."))-1)/MID(SUBSTITUTE(LEFT(TRIM(C334),FIND(" ",TRIM(C334)&amp;" ")-1),",","."),FIND("/",SUBSTITUTE(LEFT(TRIM(C334),FIND(" ",TRIM(C334)&amp;" ")-1),",","."))+1,9))*12,NA()))),0),24)*'Aturan &amp; Tarif'!$B$4,2)</f>
        <v>1362.72</v>
      </c>
      <c r="K334" s="42" t="n">
        <f aca="false">'Aturan &amp; Tarif'!$B$5</f>
        <v>2050</v>
      </c>
      <c r="L334" s="35" t="n">
        <f aca="false">I334+J334+K334</f>
        <v>21412.72</v>
      </c>
      <c r="M334" s="44" t="s">
        <v>1056</v>
      </c>
    </row>
    <row r="335" customFormat="false" ht="60" hidden="false" customHeight="true" outlineLevel="0" collapsed="false">
      <c r="A335" s="39"/>
      <c r="B335" s="40" t="s">
        <v>1077</v>
      </c>
      <c r="C335" s="41" t="s">
        <v>107</v>
      </c>
      <c r="D335" s="41" t="s">
        <v>108</v>
      </c>
      <c r="E335" s="42" t="n">
        <v>7950</v>
      </c>
      <c r="F335" s="42"/>
      <c r="G335" s="42"/>
      <c r="H335" s="43" t="n">
        <v>2</v>
      </c>
      <c r="I335" s="34" t="n">
        <f aca="false">E335*H335+N(F335)+N(G335)</f>
        <v>15900</v>
      </c>
      <c r="J335" s="42" t="n">
        <f aca="false">ROUND(IFERROR(ROUND(IF(OR(ISNUMBER(SEARCH("week",C335)),ISNUMBER(SEARCH("minggu",C335))),IFERROR(_xlfn.NUMBERVALUE(SUBSTITUTE(LEFT(TRIM(C335),FIND(" ",TRIM(C335)&amp;" ")-1),",","."),"."),LEFT(SUBSTITUTE(LEFT(TRIM(C335),FIND(" ",TRIM(C335)&amp;" ")-1),",","."),FIND("/",SUBSTITUTE(LEFT(TRIM(C335),FIND(" ",TRIM(C335)&amp;" ")-1),",","."))-1)/MID(SUBSTITUTE(LEFT(TRIM(C335),FIND(" ",TRIM(C335)&amp;" ")-1),",","."),FIND("/",SUBSTITUTE(LEFT(TRIM(C335),FIND(" ",TRIM(C335)&amp;" ")-1),",","."))+1,9))*12/52,IF(ISNUMBER(SEARCH("month",C335)),IFERROR(_xlfn.NUMBERVALUE(SUBSTITUTE(LEFT(TRIM(C335),FIND(" ",TRIM(C335)&amp;" ")-1),",","."),"."),LEFT(SUBSTITUTE(LEFT(TRIM(C335),FIND(" ",TRIM(C335)&amp;" ")-1),",","."),FIND("/",SUBSTITUTE(LEFT(TRIM(C335),FIND(" ",TRIM(C335)&amp;" ")-1),",","."))-1)/MID(SUBSTITUTE(LEFT(TRIM(C335),FIND(" ",TRIM(C335)&amp;" ")-1),",","."),FIND("/",SUBSTITUTE(LEFT(TRIM(C335),FIND(" ",TRIM(C335)&amp;" ")-1),",","."))+1,9)),IF(ISNUMBER(SEARCH("yea",C335)),IFERROR(_xlfn.NUMBERVALUE(SUBSTITUTE(LEFT(TRIM(C335),FIND(" ",TRIM(C335)&amp;" ")-1),",","."),"."),LEFT(SUBSTITUTE(LEFT(TRIM(C335),FIND(" ",TRIM(C335)&amp;" ")-1),",","."),FIND("/",SUBSTITUTE(LEFT(TRIM(C335),FIND(" ",TRIM(C335)&amp;" ")-1),",","."))-1)/MID(SUBSTITUTE(LEFT(TRIM(C335),FIND(" ",TRIM(C335)&amp;" ")-1),",","."),FIND("/",SUBSTITUTE(LEFT(TRIM(C335),FIND(" ",TRIM(C335)&amp;" ")-1),",","."))+1,9))*12,NA()))),0),24)*'Aturan &amp; Tarif'!$B$4,2)</f>
        <v>1362.72</v>
      </c>
      <c r="K335" s="42" t="n">
        <f aca="false">'Aturan &amp; Tarif'!$B$5</f>
        <v>2050</v>
      </c>
      <c r="L335" s="35" t="n">
        <f aca="false">I335+J335+K335</f>
        <v>19312.72</v>
      </c>
      <c r="M335" s="44" t="s">
        <v>1036</v>
      </c>
    </row>
    <row r="336" customFormat="false" ht="25.5" hidden="false" customHeight="true" outlineLevel="0" collapsed="false">
      <c r="A336" s="39"/>
      <c r="B336" s="40" t="s">
        <v>1078</v>
      </c>
      <c r="C336" s="41" t="s">
        <v>107</v>
      </c>
      <c r="D336" s="41" t="s">
        <v>108</v>
      </c>
      <c r="E336" s="42" t="n">
        <v>20635</v>
      </c>
      <c r="F336" s="42"/>
      <c r="G336" s="42"/>
      <c r="H336" s="43" t="n">
        <v>2</v>
      </c>
      <c r="I336" s="34" t="n">
        <f aca="false">E336*H336+N(F336)+N(G336)</f>
        <v>41270</v>
      </c>
      <c r="J336" s="42" t="n">
        <f aca="false">ROUND(IFERROR(ROUND(IF(OR(ISNUMBER(SEARCH("week",C336)),ISNUMBER(SEARCH("minggu",C336))),IFERROR(_xlfn.NUMBERVALUE(SUBSTITUTE(LEFT(TRIM(C336),FIND(" ",TRIM(C336)&amp;" ")-1),",","."),"."),LEFT(SUBSTITUTE(LEFT(TRIM(C336),FIND(" ",TRIM(C336)&amp;" ")-1),",","."),FIND("/",SUBSTITUTE(LEFT(TRIM(C336),FIND(" ",TRIM(C336)&amp;" ")-1),",","."))-1)/MID(SUBSTITUTE(LEFT(TRIM(C336),FIND(" ",TRIM(C336)&amp;" ")-1),",","."),FIND("/",SUBSTITUTE(LEFT(TRIM(C336),FIND(" ",TRIM(C336)&amp;" ")-1),",","."))+1,9))*12/52,IF(ISNUMBER(SEARCH("month",C336)),IFERROR(_xlfn.NUMBERVALUE(SUBSTITUTE(LEFT(TRIM(C336),FIND(" ",TRIM(C336)&amp;" ")-1),",","."),"."),LEFT(SUBSTITUTE(LEFT(TRIM(C336),FIND(" ",TRIM(C336)&amp;" ")-1),",","."),FIND("/",SUBSTITUTE(LEFT(TRIM(C336),FIND(" ",TRIM(C336)&amp;" ")-1),",","."))-1)/MID(SUBSTITUTE(LEFT(TRIM(C336),FIND(" ",TRIM(C336)&amp;" ")-1),",","."),FIND("/",SUBSTITUTE(LEFT(TRIM(C336),FIND(" ",TRIM(C336)&amp;" ")-1),",","."))+1,9)),IF(ISNUMBER(SEARCH("yea",C336)),IFERROR(_xlfn.NUMBERVALUE(SUBSTITUTE(LEFT(TRIM(C336),FIND(" ",TRIM(C336)&amp;" ")-1),",","."),"."),LEFT(SUBSTITUTE(LEFT(TRIM(C336),FIND(" ",TRIM(C336)&amp;" ")-1),",","."),FIND("/",SUBSTITUTE(LEFT(TRIM(C336),FIND(" ",TRIM(C336)&amp;" ")-1),",","."))-1)/MID(SUBSTITUTE(LEFT(TRIM(C336),FIND(" ",TRIM(C336)&amp;" ")-1),",","."),FIND("/",SUBSTITUTE(LEFT(TRIM(C336),FIND(" ",TRIM(C336)&amp;" ")-1),",","."))+1,9))*12,NA()))),0),24)*'Aturan &amp; Tarif'!$B$4,2)</f>
        <v>1362.72</v>
      </c>
      <c r="K336" s="42" t="n">
        <f aca="false">'Aturan &amp; Tarif'!$B$5</f>
        <v>2050</v>
      </c>
      <c r="L336" s="35" t="n">
        <f aca="false">I336+J336+K336</f>
        <v>44682.72</v>
      </c>
      <c r="M336" s="45" t="s">
        <v>1079</v>
      </c>
    </row>
    <row r="337" customFormat="false" ht="60" hidden="false" customHeight="true" outlineLevel="0" collapsed="false">
      <c r="A337" s="39"/>
      <c r="B337" s="40" t="s">
        <v>1080</v>
      </c>
      <c r="C337" s="41" t="s">
        <v>113</v>
      </c>
      <c r="D337" s="41" t="s">
        <v>108</v>
      </c>
      <c r="E337" s="42" t="n">
        <v>6250</v>
      </c>
      <c r="F337" s="42"/>
      <c r="G337" s="42"/>
      <c r="H337" s="43" t="n">
        <v>2</v>
      </c>
      <c r="I337" s="34" t="n">
        <f aca="false">E337*H337+N(F337)+N(G337)</f>
        <v>12500</v>
      </c>
      <c r="J337" s="42" t="n">
        <f aca="false">ROUND(IFERROR(ROUND(IF(OR(ISNUMBER(SEARCH("week",C337)),ISNUMBER(SEARCH("minggu",C337))),IFERROR(_xlfn.NUMBERVALUE(SUBSTITUTE(LEFT(TRIM(C337),FIND(" ",TRIM(C337)&amp;" ")-1),",","."),"."),LEFT(SUBSTITUTE(LEFT(TRIM(C337),FIND(" ",TRIM(C337)&amp;" ")-1),",","."),FIND("/",SUBSTITUTE(LEFT(TRIM(C337),FIND(" ",TRIM(C337)&amp;" ")-1),",","."))-1)/MID(SUBSTITUTE(LEFT(TRIM(C337),FIND(" ",TRIM(C337)&amp;" ")-1),",","."),FIND("/",SUBSTITUTE(LEFT(TRIM(C337),FIND(" ",TRIM(C337)&amp;" ")-1),",","."))+1,9))*12/52,IF(ISNUMBER(SEARCH("month",C337)),IFERROR(_xlfn.NUMBERVALUE(SUBSTITUTE(LEFT(TRIM(C337),FIND(" ",TRIM(C337)&amp;" ")-1),",","."),"."),LEFT(SUBSTITUTE(LEFT(TRIM(C337),FIND(" ",TRIM(C337)&amp;" ")-1),",","."),FIND("/",SUBSTITUTE(LEFT(TRIM(C337),FIND(" ",TRIM(C337)&amp;" ")-1),",","."))-1)/MID(SUBSTITUTE(LEFT(TRIM(C337),FIND(" ",TRIM(C337)&amp;" ")-1),",","."),FIND("/",SUBSTITUTE(LEFT(TRIM(C337),FIND(" ",TRIM(C337)&amp;" ")-1),",","."))+1,9)),IF(ISNUMBER(SEARCH("yea",C337)),IFERROR(_xlfn.NUMBERVALUE(SUBSTITUTE(LEFT(TRIM(C337),FIND(" ",TRIM(C337)&amp;" ")-1),",","."),"."),LEFT(SUBSTITUTE(LEFT(TRIM(C337),FIND(" ",TRIM(C337)&amp;" ")-1),",","."),FIND("/",SUBSTITUTE(LEFT(TRIM(C337),FIND(" ",TRIM(C337)&amp;" ")-1),",","."))-1)/MID(SUBSTITUTE(LEFT(TRIM(C337),FIND(" ",TRIM(C337)&amp;" ")-1),",","."),FIND("/",SUBSTITUTE(LEFT(TRIM(C337),FIND(" ",TRIM(C337)&amp;" ")-1),",","."))+1,9))*12,NA()))),0),18)*'Aturan &amp; Tarif'!$B$4,2)</f>
        <v>1022.04</v>
      </c>
      <c r="K337" s="42" t="n">
        <f aca="false">'Aturan &amp; Tarif'!$B$5</f>
        <v>2050</v>
      </c>
      <c r="L337" s="35" t="n">
        <f aca="false">I337+J337+K337</f>
        <v>15572.04</v>
      </c>
      <c r="M337" s="44" t="s">
        <v>1081</v>
      </c>
    </row>
    <row r="338" customFormat="false" ht="60" hidden="false" customHeight="true" outlineLevel="0" collapsed="false">
      <c r="A338" s="39"/>
      <c r="B338" s="40" t="s">
        <v>1082</v>
      </c>
      <c r="C338" s="41" t="s">
        <v>127</v>
      </c>
      <c r="D338" s="41" t="s">
        <v>108</v>
      </c>
      <c r="E338" s="42" t="n">
        <v>9375</v>
      </c>
      <c r="F338" s="42"/>
      <c r="G338" s="42"/>
      <c r="H338" s="43" t="n">
        <v>2</v>
      </c>
      <c r="I338" s="34" t="n">
        <f aca="false">E338*H338+N(F338)+N(G338)</f>
        <v>18750</v>
      </c>
      <c r="J338" s="42" t="n">
        <f aca="false">ROUND(IFERROR(ROUND(IF(OR(ISNUMBER(SEARCH("week",C338)),ISNUMBER(SEARCH("minggu",C338))),IFERROR(_xlfn.NUMBERVALUE(SUBSTITUTE(LEFT(TRIM(C338),FIND(" ",TRIM(C338)&amp;" ")-1),",","."),"."),LEFT(SUBSTITUTE(LEFT(TRIM(C338),FIND(" ",TRIM(C338)&amp;" ")-1),",","."),FIND("/",SUBSTITUTE(LEFT(TRIM(C338),FIND(" ",TRIM(C338)&amp;" ")-1),",","."))-1)/MID(SUBSTITUTE(LEFT(TRIM(C338),FIND(" ",TRIM(C338)&amp;" ")-1),",","."),FIND("/",SUBSTITUTE(LEFT(TRIM(C338),FIND(" ",TRIM(C338)&amp;" ")-1),",","."))+1,9))*12/52,IF(ISNUMBER(SEARCH("month",C338)),IFERROR(_xlfn.NUMBERVALUE(SUBSTITUTE(LEFT(TRIM(C338),FIND(" ",TRIM(C338)&amp;" ")-1),",","."),"."),LEFT(SUBSTITUTE(LEFT(TRIM(C338),FIND(" ",TRIM(C338)&amp;" ")-1),",","."),FIND("/",SUBSTITUTE(LEFT(TRIM(C338),FIND(" ",TRIM(C338)&amp;" ")-1),",","."))-1)/MID(SUBSTITUTE(LEFT(TRIM(C338),FIND(" ",TRIM(C338)&amp;" ")-1),",","."),FIND("/",SUBSTITUTE(LEFT(TRIM(C338),FIND(" ",TRIM(C338)&amp;" ")-1),",","."))+1,9)),IF(ISNUMBER(SEARCH("yea",C338)),IFERROR(_xlfn.NUMBERVALUE(SUBSTITUTE(LEFT(TRIM(C338),FIND(" ",TRIM(C338)&amp;" ")-1),",","."),"."),LEFT(SUBSTITUTE(LEFT(TRIM(C338),FIND(" ",TRIM(C338)&amp;" ")-1),",","."),FIND("/",SUBSTITUTE(LEFT(TRIM(C338),FIND(" ",TRIM(C338)&amp;" ")-1),",","."))-1)/MID(SUBSTITUTE(LEFT(TRIM(C338),FIND(" ",TRIM(C338)&amp;" ")-1),",","."),FIND("/",SUBSTITUTE(LEFT(TRIM(C338),FIND(" ",TRIM(C338)&amp;" ")-1),",","."))+1,9))*12,NA()))),0),36)*'Aturan &amp; Tarif'!$B$4,2)</f>
        <v>2044.08</v>
      </c>
      <c r="K338" s="42" t="n">
        <f aca="false">'Aturan &amp; Tarif'!$B$5</f>
        <v>2050</v>
      </c>
      <c r="L338" s="35" t="n">
        <f aca="false">I338+J338+K338</f>
        <v>22844.08</v>
      </c>
      <c r="M338" s="44" t="s">
        <v>1083</v>
      </c>
    </row>
    <row r="339" customFormat="false" ht="60" hidden="false" customHeight="true" outlineLevel="0" collapsed="false">
      <c r="A339" s="39"/>
      <c r="B339" s="40" t="s">
        <v>1084</v>
      </c>
      <c r="C339" s="41" t="s">
        <v>130</v>
      </c>
      <c r="D339" s="41" t="s">
        <v>108</v>
      </c>
      <c r="E339" s="42" t="n">
        <v>9375</v>
      </c>
      <c r="F339" s="42"/>
      <c r="G339" s="42"/>
      <c r="H339" s="43" t="n">
        <v>2</v>
      </c>
      <c r="I339" s="34" t="n">
        <f aca="false">E339*H339+N(F339)+N(G339)</f>
        <v>18750</v>
      </c>
      <c r="J339" s="42" t="n">
        <f aca="false">ROUND(IFERROR(ROUND(IF(OR(ISNUMBER(SEARCH("week",C339)),ISNUMBER(SEARCH("minggu",C339))),IFERROR(_xlfn.NUMBERVALUE(SUBSTITUTE(LEFT(TRIM(C339),FIND(" ",TRIM(C339)&amp;" ")-1),",","."),"."),LEFT(SUBSTITUTE(LEFT(TRIM(C339),FIND(" ",TRIM(C339)&amp;" ")-1),",","."),FIND("/",SUBSTITUTE(LEFT(TRIM(C339),FIND(" ",TRIM(C339)&amp;" ")-1),",","."))-1)/MID(SUBSTITUTE(LEFT(TRIM(C339),FIND(" ",TRIM(C339)&amp;" ")-1),",","."),FIND("/",SUBSTITUTE(LEFT(TRIM(C339),FIND(" ",TRIM(C339)&amp;" ")-1),",","."))+1,9))*12/52,IF(ISNUMBER(SEARCH("month",C339)),IFERROR(_xlfn.NUMBERVALUE(SUBSTITUTE(LEFT(TRIM(C339),FIND(" ",TRIM(C339)&amp;" ")-1),",","."),"."),LEFT(SUBSTITUTE(LEFT(TRIM(C339),FIND(" ",TRIM(C339)&amp;" ")-1),",","."),FIND("/",SUBSTITUTE(LEFT(TRIM(C339),FIND(" ",TRIM(C339)&amp;" ")-1),",","."))-1)/MID(SUBSTITUTE(LEFT(TRIM(C339),FIND(" ",TRIM(C339)&amp;" ")-1),",","."),FIND("/",SUBSTITUTE(LEFT(TRIM(C339),FIND(" ",TRIM(C339)&amp;" ")-1),",","."))+1,9)),IF(ISNUMBER(SEARCH("yea",C339)),IFERROR(_xlfn.NUMBERVALUE(SUBSTITUTE(LEFT(TRIM(C339),FIND(" ",TRIM(C339)&amp;" ")-1),",","."),"."),LEFT(SUBSTITUTE(LEFT(TRIM(C339),FIND(" ",TRIM(C339)&amp;" ")-1),",","."),FIND("/",SUBSTITUTE(LEFT(TRIM(C339),FIND(" ",TRIM(C339)&amp;" ")-1),",","."))-1)/MID(SUBSTITUTE(LEFT(TRIM(C339),FIND(" ",TRIM(C339)&amp;" ")-1),",","."),FIND("/",SUBSTITUTE(LEFT(TRIM(C339),FIND(" ",TRIM(C339)&amp;" ")-1),",","."))+1,9))*12,NA()))),0),12)*'Aturan &amp; Tarif'!$B$4,2)</f>
        <v>681.36</v>
      </c>
      <c r="K339" s="42" t="n">
        <f aca="false">'Aturan &amp; Tarif'!$B$5</f>
        <v>2050</v>
      </c>
      <c r="L339" s="35" t="n">
        <f aca="false">I339+J339+K339</f>
        <v>21481.36</v>
      </c>
      <c r="M339" s="44" t="s">
        <v>1085</v>
      </c>
    </row>
    <row r="340" customFormat="false" ht="60" hidden="false" customHeight="true" outlineLevel="0" collapsed="false">
      <c r="A340" s="39"/>
      <c r="B340" s="40" t="s">
        <v>1086</v>
      </c>
      <c r="C340" s="41" t="s">
        <v>130</v>
      </c>
      <c r="D340" s="41" t="s">
        <v>108</v>
      </c>
      <c r="E340" s="42" t="n">
        <v>9375</v>
      </c>
      <c r="F340" s="42"/>
      <c r="G340" s="42"/>
      <c r="H340" s="43" t="n">
        <v>2</v>
      </c>
      <c r="I340" s="34" t="n">
        <f aca="false">E340*H340+N(F340)+N(G340)</f>
        <v>18750</v>
      </c>
      <c r="J340" s="42" t="n">
        <f aca="false">ROUND(IFERROR(ROUND(IF(OR(ISNUMBER(SEARCH("week",C340)),ISNUMBER(SEARCH("minggu",C340))),IFERROR(_xlfn.NUMBERVALUE(SUBSTITUTE(LEFT(TRIM(C340),FIND(" ",TRIM(C340)&amp;" ")-1),",","."),"."),LEFT(SUBSTITUTE(LEFT(TRIM(C340),FIND(" ",TRIM(C340)&amp;" ")-1),",","."),FIND("/",SUBSTITUTE(LEFT(TRIM(C340),FIND(" ",TRIM(C340)&amp;" ")-1),",","."))-1)/MID(SUBSTITUTE(LEFT(TRIM(C340),FIND(" ",TRIM(C340)&amp;" ")-1),",","."),FIND("/",SUBSTITUTE(LEFT(TRIM(C340),FIND(" ",TRIM(C340)&amp;" ")-1),",","."))+1,9))*12/52,IF(ISNUMBER(SEARCH("month",C340)),IFERROR(_xlfn.NUMBERVALUE(SUBSTITUTE(LEFT(TRIM(C340),FIND(" ",TRIM(C340)&amp;" ")-1),",","."),"."),LEFT(SUBSTITUTE(LEFT(TRIM(C340),FIND(" ",TRIM(C340)&amp;" ")-1),",","."),FIND("/",SUBSTITUTE(LEFT(TRIM(C340),FIND(" ",TRIM(C340)&amp;" ")-1),",","."))-1)/MID(SUBSTITUTE(LEFT(TRIM(C340),FIND(" ",TRIM(C340)&amp;" ")-1),",","."),FIND("/",SUBSTITUTE(LEFT(TRIM(C340),FIND(" ",TRIM(C340)&amp;" ")-1),",","."))+1,9)),IF(ISNUMBER(SEARCH("yea",C340)),IFERROR(_xlfn.NUMBERVALUE(SUBSTITUTE(LEFT(TRIM(C340),FIND(" ",TRIM(C340)&amp;" ")-1),",","."),"."),LEFT(SUBSTITUTE(LEFT(TRIM(C340),FIND(" ",TRIM(C340)&amp;" ")-1),",","."),FIND("/",SUBSTITUTE(LEFT(TRIM(C340),FIND(" ",TRIM(C340)&amp;" ")-1),",","."))-1)/MID(SUBSTITUTE(LEFT(TRIM(C340),FIND(" ",TRIM(C340)&amp;" ")-1),",","."),FIND("/",SUBSTITUTE(LEFT(TRIM(C340),FIND(" ",TRIM(C340)&amp;" ")-1),",","."))+1,9))*12,NA()))),0),12)*'Aturan &amp; Tarif'!$B$4,2)</f>
        <v>681.36</v>
      </c>
      <c r="K340" s="42" t="n">
        <f aca="false">'Aturan &amp; Tarif'!$B$5</f>
        <v>2050</v>
      </c>
      <c r="L340" s="35" t="n">
        <f aca="false">I340+J340+K340</f>
        <v>21481.36</v>
      </c>
      <c r="M340" s="44" t="s">
        <v>1087</v>
      </c>
    </row>
    <row r="341" customFormat="false" ht="60" hidden="false" customHeight="true" outlineLevel="0" collapsed="false">
      <c r="A341" s="39"/>
      <c r="B341" s="40" t="s">
        <v>1088</v>
      </c>
      <c r="C341" s="41" t="s">
        <v>127</v>
      </c>
      <c r="D341" s="41" t="s">
        <v>108</v>
      </c>
      <c r="E341" s="42" t="n">
        <v>9375</v>
      </c>
      <c r="F341" s="42"/>
      <c r="G341" s="42"/>
      <c r="H341" s="43" t="n">
        <v>2</v>
      </c>
      <c r="I341" s="34" t="n">
        <f aca="false">E341*H341+N(F341)+N(G341)</f>
        <v>18750</v>
      </c>
      <c r="J341" s="42" t="n">
        <f aca="false">ROUND(IFERROR(ROUND(IF(OR(ISNUMBER(SEARCH("week",C341)),ISNUMBER(SEARCH("minggu",C341))),IFERROR(_xlfn.NUMBERVALUE(SUBSTITUTE(LEFT(TRIM(C341),FIND(" ",TRIM(C341)&amp;" ")-1),",","."),"."),LEFT(SUBSTITUTE(LEFT(TRIM(C341),FIND(" ",TRIM(C341)&amp;" ")-1),",","."),FIND("/",SUBSTITUTE(LEFT(TRIM(C341),FIND(" ",TRIM(C341)&amp;" ")-1),",","."))-1)/MID(SUBSTITUTE(LEFT(TRIM(C341),FIND(" ",TRIM(C341)&amp;" ")-1),",","."),FIND("/",SUBSTITUTE(LEFT(TRIM(C341),FIND(" ",TRIM(C341)&amp;" ")-1),",","."))+1,9))*12/52,IF(ISNUMBER(SEARCH("month",C341)),IFERROR(_xlfn.NUMBERVALUE(SUBSTITUTE(LEFT(TRIM(C341),FIND(" ",TRIM(C341)&amp;" ")-1),",","."),"."),LEFT(SUBSTITUTE(LEFT(TRIM(C341),FIND(" ",TRIM(C341)&amp;" ")-1),",","."),FIND("/",SUBSTITUTE(LEFT(TRIM(C341),FIND(" ",TRIM(C341)&amp;" ")-1),",","."))-1)/MID(SUBSTITUTE(LEFT(TRIM(C341),FIND(" ",TRIM(C341)&amp;" ")-1),",","."),FIND("/",SUBSTITUTE(LEFT(TRIM(C341),FIND(" ",TRIM(C341)&amp;" ")-1),",","."))+1,9)),IF(ISNUMBER(SEARCH("yea",C341)),IFERROR(_xlfn.NUMBERVALUE(SUBSTITUTE(LEFT(TRIM(C341),FIND(" ",TRIM(C341)&amp;" ")-1),",","."),"."),LEFT(SUBSTITUTE(LEFT(TRIM(C341),FIND(" ",TRIM(C341)&amp;" ")-1),",","."),FIND("/",SUBSTITUTE(LEFT(TRIM(C341),FIND(" ",TRIM(C341)&amp;" ")-1),",","."))-1)/MID(SUBSTITUTE(LEFT(TRIM(C341),FIND(" ",TRIM(C341)&amp;" ")-1),",","."),FIND("/",SUBSTITUTE(LEFT(TRIM(C341),FIND(" ",TRIM(C341)&amp;" ")-1),",","."))+1,9))*12,NA()))),0),36)*'Aturan &amp; Tarif'!$B$4,2)</f>
        <v>2044.08</v>
      </c>
      <c r="K341" s="42" t="n">
        <f aca="false">'Aturan &amp; Tarif'!$B$5</f>
        <v>2050</v>
      </c>
      <c r="L341" s="35" t="n">
        <f aca="false">I341+J341+K341</f>
        <v>22844.08</v>
      </c>
      <c r="M341" s="44" t="s">
        <v>1089</v>
      </c>
    </row>
    <row r="342" customFormat="false" ht="60" hidden="false" customHeight="true" outlineLevel="0" collapsed="false">
      <c r="A342" s="39"/>
      <c r="B342" s="40" t="s">
        <v>1090</v>
      </c>
      <c r="C342" s="41" t="s">
        <v>127</v>
      </c>
      <c r="D342" s="41" t="s">
        <v>108</v>
      </c>
      <c r="E342" s="42" t="n">
        <v>9375</v>
      </c>
      <c r="F342" s="42"/>
      <c r="G342" s="42"/>
      <c r="H342" s="43" t="n">
        <v>2</v>
      </c>
      <c r="I342" s="34" t="n">
        <f aca="false">E342*H342+N(F342)+N(G342)</f>
        <v>18750</v>
      </c>
      <c r="J342" s="42" t="n">
        <f aca="false">ROUND(IFERROR(ROUND(IF(OR(ISNUMBER(SEARCH("week",C342)),ISNUMBER(SEARCH("minggu",C342))),IFERROR(_xlfn.NUMBERVALUE(SUBSTITUTE(LEFT(TRIM(C342),FIND(" ",TRIM(C342)&amp;" ")-1),",","."),"."),LEFT(SUBSTITUTE(LEFT(TRIM(C342),FIND(" ",TRIM(C342)&amp;" ")-1),",","."),FIND("/",SUBSTITUTE(LEFT(TRIM(C342),FIND(" ",TRIM(C342)&amp;" ")-1),",","."))-1)/MID(SUBSTITUTE(LEFT(TRIM(C342),FIND(" ",TRIM(C342)&amp;" ")-1),",","."),FIND("/",SUBSTITUTE(LEFT(TRIM(C342),FIND(" ",TRIM(C342)&amp;" ")-1),",","."))+1,9))*12/52,IF(ISNUMBER(SEARCH("month",C342)),IFERROR(_xlfn.NUMBERVALUE(SUBSTITUTE(LEFT(TRIM(C342),FIND(" ",TRIM(C342)&amp;" ")-1),",","."),"."),LEFT(SUBSTITUTE(LEFT(TRIM(C342),FIND(" ",TRIM(C342)&amp;" ")-1),",","."),FIND("/",SUBSTITUTE(LEFT(TRIM(C342),FIND(" ",TRIM(C342)&amp;" ")-1),",","."))-1)/MID(SUBSTITUTE(LEFT(TRIM(C342),FIND(" ",TRIM(C342)&amp;" ")-1),",","."),FIND("/",SUBSTITUTE(LEFT(TRIM(C342),FIND(" ",TRIM(C342)&amp;" ")-1),",","."))+1,9)),IF(ISNUMBER(SEARCH("yea",C342)),IFERROR(_xlfn.NUMBERVALUE(SUBSTITUTE(LEFT(TRIM(C342),FIND(" ",TRIM(C342)&amp;" ")-1),",","."),"."),LEFT(SUBSTITUTE(LEFT(TRIM(C342),FIND(" ",TRIM(C342)&amp;" ")-1),",","."),FIND("/",SUBSTITUTE(LEFT(TRIM(C342),FIND(" ",TRIM(C342)&amp;" ")-1),",","."))-1)/MID(SUBSTITUTE(LEFT(TRIM(C342),FIND(" ",TRIM(C342)&amp;" ")-1),",","."),FIND("/",SUBSTITUTE(LEFT(TRIM(C342),FIND(" ",TRIM(C342)&amp;" ")-1),",","."))+1,9))*12,NA()))),0),36)*'Aturan &amp; Tarif'!$B$4,2)</f>
        <v>2044.08</v>
      </c>
      <c r="K342" s="42" t="n">
        <f aca="false">'Aturan &amp; Tarif'!$B$5</f>
        <v>2050</v>
      </c>
      <c r="L342" s="35" t="n">
        <f aca="false">I342+J342+K342</f>
        <v>22844.08</v>
      </c>
      <c r="M342" s="44" t="s">
        <v>1091</v>
      </c>
    </row>
    <row r="343" customFormat="false" ht="60" hidden="false" customHeight="true" outlineLevel="0" collapsed="false">
      <c r="A343" s="39"/>
      <c r="B343" s="40" t="s">
        <v>1092</v>
      </c>
      <c r="C343" s="41" t="s">
        <v>107</v>
      </c>
      <c r="D343" s="41" t="s">
        <v>108</v>
      </c>
      <c r="E343" s="42" t="n">
        <v>6250</v>
      </c>
      <c r="F343" s="42"/>
      <c r="G343" s="42"/>
      <c r="H343" s="43" t="n">
        <v>2</v>
      </c>
      <c r="I343" s="34" t="n">
        <f aca="false">E343*H343+N(F343)+N(G343)</f>
        <v>12500</v>
      </c>
      <c r="J343" s="42" t="n">
        <f aca="false">ROUND(IFERROR(ROUND(IF(OR(ISNUMBER(SEARCH("week",C343)),ISNUMBER(SEARCH("minggu",C343))),IFERROR(_xlfn.NUMBERVALUE(SUBSTITUTE(LEFT(TRIM(C343),FIND(" ",TRIM(C343)&amp;" ")-1),",","."),"."),LEFT(SUBSTITUTE(LEFT(TRIM(C343),FIND(" ",TRIM(C343)&amp;" ")-1),",","."),FIND("/",SUBSTITUTE(LEFT(TRIM(C343),FIND(" ",TRIM(C343)&amp;" ")-1),",","."))-1)/MID(SUBSTITUTE(LEFT(TRIM(C343),FIND(" ",TRIM(C343)&amp;" ")-1),",","."),FIND("/",SUBSTITUTE(LEFT(TRIM(C343),FIND(" ",TRIM(C343)&amp;" ")-1),",","."))+1,9))*12/52,IF(ISNUMBER(SEARCH("month",C343)),IFERROR(_xlfn.NUMBERVALUE(SUBSTITUTE(LEFT(TRIM(C343),FIND(" ",TRIM(C343)&amp;" ")-1),",","."),"."),LEFT(SUBSTITUTE(LEFT(TRIM(C343),FIND(" ",TRIM(C343)&amp;" ")-1),",","."),FIND("/",SUBSTITUTE(LEFT(TRIM(C343),FIND(" ",TRIM(C343)&amp;" ")-1),",","."))-1)/MID(SUBSTITUTE(LEFT(TRIM(C343),FIND(" ",TRIM(C343)&amp;" ")-1),",","."),FIND("/",SUBSTITUTE(LEFT(TRIM(C343),FIND(" ",TRIM(C343)&amp;" ")-1),",","."))+1,9)),IF(ISNUMBER(SEARCH("yea",C343)),IFERROR(_xlfn.NUMBERVALUE(SUBSTITUTE(LEFT(TRIM(C343),FIND(" ",TRIM(C343)&amp;" ")-1),",","."),"."),LEFT(SUBSTITUTE(LEFT(TRIM(C343),FIND(" ",TRIM(C343)&amp;" ")-1),",","."),FIND("/",SUBSTITUTE(LEFT(TRIM(C343),FIND(" ",TRIM(C343)&amp;" ")-1),",","."))-1)/MID(SUBSTITUTE(LEFT(TRIM(C343),FIND(" ",TRIM(C343)&amp;" ")-1),",","."),FIND("/",SUBSTITUTE(LEFT(TRIM(C343),FIND(" ",TRIM(C343)&amp;" ")-1),",","."))+1,9))*12,NA()))),0),24)*'Aturan &amp; Tarif'!$B$4,2)</f>
        <v>1362.72</v>
      </c>
      <c r="K343" s="42" t="n">
        <f aca="false">'Aturan &amp; Tarif'!$B$5</f>
        <v>2050</v>
      </c>
      <c r="L343" s="35" t="n">
        <f aca="false">I343+J343+K343</f>
        <v>15912.72</v>
      </c>
      <c r="M343" s="44" t="s">
        <v>1093</v>
      </c>
    </row>
    <row r="344" customFormat="false" ht="60" hidden="false" customHeight="true" outlineLevel="0" collapsed="false">
      <c r="A344" s="39"/>
      <c r="B344" s="40" t="s">
        <v>1094</v>
      </c>
      <c r="C344" s="41" t="s">
        <v>130</v>
      </c>
      <c r="D344" s="41" t="s">
        <v>108</v>
      </c>
      <c r="E344" s="42" t="n">
        <v>6250</v>
      </c>
      <c r="F344" s="42"/>
      <c r="G344" s="42"/>
      <c r="H344" s="43" t="n">
        <v>2</v>
      </c>
      <c r="I344" s="34" t="n">
        <f aca="false">E344*H344+N(F344)+N(G344)</f>
        <v>12500</v>
      </c>
      <c r="J344" s="42" t="n">
        <f aca="false">ROUND(IFERROR(ROUND(IF(OR(ISNUMBER(SEARCH("week",C344)),ISNUMBER(SEARCH("minggu",C344))),IFERROR(_xlfn.NUMBERVALUE(SUBSTITUTE(LEFT(TRIM(C344),FIND(" ",TRIM(C344)&amp;" ")-1),",","."),"."),LEFT(SUBSTITUTE(LEFT(TRIM(C344),FIND(" ",TRIM(C344)&amp;" ")-1),",","."),FIND("/",SUBSTITUTE(LEFT(TRIM(C344),FIND(" ",TRIM(C344)&amp;" ")-1),",","."))-1)/MID(SUBSTITUTE(LEFT(TRIM(C344),FIND(" ",TRIM(C344)&amp;" ")-1),",","."),FIND("/",SUBSTITUTE(LEFT(TRIM(C344),FIND(" ",TRIM(C344)&amp;" ")-1),",","."))+1,9))*12/52,IF(ISNUMBER(SEARCH("month",C344)),IFERROR(_xlfn.NUMBERVALUE(SUBSTITUTE(LEFT(TRIM(C344),FIND(" ",TRIM(C344)&amp;" ")-1),",","."),"."),LEFT(SUBSTITUTE(LEFT(TRIM(C344),FIND(" ",TRIM(C344)&amp;" ")-1),",","."),FIND("/",SUBSTITUTE(LEFT(TRIM(C344),FIND(" ",TRIM(C344)&amp;" ")-1),",","."))-1)/MID(SUBSTITUTE(LEFT(TRIM(C344),FIND(" ",TRIM(C344)&amp;" ")-1),",","."),FIND("/",SUBSTITUTE(LEFT(TRIM(C344),FIND(" ",TRIM(C344)&amp;" ")-1),",","."))+1,9)),IF(ISNUMBER(SEARCH("yea",C344)),IFERROR(_xlfn.NUMBERVALUE(SUBSTITUTE(LEFT(TRIM(C344),FIND(" ",TRIM(C344)&amp;" ")-1),",","."),"."),LEFT(SUBSTITUTE(LEFT(TRIM(C344),FIND(" ",TRIM(C344)&amp;" ")-1),",","."),FIND("/",SUBSTITUTE(LEFT(TRIM(C344),FIND(" ",TRIM(C344)&amp;" ")-1),",","."))-1)/MID(SUBSTITUTE(LEFT(TRIM(C344),FIND(" ",TRIM(C344)&amp;" ")-1),",","."),FIND("/",SUBSTITUTE(LEFT(TRIM(C344),FIND(" ",TRIM(C344)&amp;" ")-1),",","."))+1,9))*12,NA()))),0),12)*'Aturan &amp; Tarif'!$B$4,2)</f>
        <v>681.36</v>
      </c>
      <c r="K344" s="42" t="n">
        <f aca="false">'Aturan &amp; Tarif'!$B$5</f>
        <v>2050</v>
      </c>
      <c r="L344" s="35" t="n">
        <f aca="false">I344+J344+K344</f>
        <v>15231.36</v>
      </c>
      <c r="M344" s="44" t="s">
        <v>1095</v>
      </c>
    </row>
    <row r="345" customFormat="false" ht="60" hidden="false" customHeight="true" outlineLevel="0" collapsed="false">
      <c r="A345" s="39"/>
      <c r="B345" s="40" t="s">
        <v>1096</v>
      </c>
      <c r="C345" s="41" t="s">
        <v>130</v>
      </c>
      <c r="D345" s="41" t="s">
        <v>108</v>
      </c>
      <c r="E345" s="42" t="n">
        <v>9375</v>
      </c>
      <c r="F345" s="42"/>
      <c r="G345" s="42"/>
      <c r="H345" s="43" t="n">
        <v>2</v>
      </c>
      <c r="I345" s="34" t="n">
        <f aca="false">E345*H345+N(F345)+N(G345)</f>
        <v>18750</v>
      </c>
      <c r="J345" s="42" t="n">
        <f aca="false">ROUND(IFERROR(ROUND(IF(OR(ISNUMBER(SEARCH("week",C345)),ISNUMBER(SEARCH("minggu",C345))),IFERROR(_xlfn.NUMBERVALUE(SUBSTITUTE(LEFT(TRIM(C345),FIND(" ",TRIM(C345)&amp;" ")-1),",","."),"."),LEFT(SUBSTITUTE(LEFT(TRIM(C345),FIND(" ",TRIM(C345)&amp;" ")-1),",","."),FIND("/",SUBSTITUTE(LEFT(TRIM(C345),FIND(" ",TRIM(C345)&amp;" ")-1),",","."))-1)/MID(SUBSTITUTE(LEFT(TRIM(C345),FIND(" ",TRIM(C345)&amp;" ")-1),",","."),FIND("/",SUBSTITUTE(LEFT(TRIM(C345),FIND(" ",TRIM(C345)&amp;" ")-1),",","."))+1,9))*12/52,IF(ISNUMBER(SEARCH("month",C345)),IFERROR(_xlfn.NUMBERVALUE(SUBSTITUTE(LEFT(TRIM(C345),FIND(" ",TRIM(C345)&amp;" ")-1),",","."),"."),LEFT(SUBSTITUTE(LEFT(TRIM(C345),FIND(" ",TRIM(C345)&amp;" ")-1),",","."),FIND("/",SUBSTITUTE(LEFT(TRIM(C345),FIND(" ",TRIM(C345)&amp;" ")-1),",","."))-1)/MID(SUBSTITUTE(LEFT(TRIM(C345),FIND(" ",TRIM(C345)&amp;" ")-1),",","."),FIND("/",SUBSTITUTE(LEFT(TRIM(C345),FIND(" ",TRIM(C345)&amp;" ")-1),",","."))+1,9)),IF(ISNUMBER(SEARCH("yea",C345)),IFERROR(_xlfn.NUMBERVALUE(SUBSTITUTE(LEFT(TRIM(C345),FIND(" ",TRIM(C345)&amp;" ")-1),",","."),"."),LEFT(SUBSTITUTE(LEFT(TRIM(C345),FIND(" ",TRIM(C345)&amp;" ")-1),",","."),FIND("/",SUBSTITUTE(LEFT(TRIM(C345),FIND(" ",TRIM(C345)&amp;" ")-1),",","."))-1)/MID(SUBSTITUTE(LEFT(TRIM(C345),FIND(" ",TRIM(C345)&amp;" ")-1),",","."),FIND("/",SUBSTITUTE(LEFT(TRIM(C345),FIND(" ",TRIM(C345)&amp;" ")-1),",","."))+1,9))*12,NA()))),0),12)*'Aturan &amp; Tarif'!$B$4,2)</f>
        <v>681.36</v>
      </c>
      <c r="K345" s="42" t="n">
        <f aca="false">'Aturan &amp; Tarif'!$B$5</f>
        <v>2050</v>
      </c>
      <c r="L345" s="35" t="n">
        <f aca="false">I345+J345+K345</f>
        <v>21481.36</v>
      </c>
      <c r="M345" s="44" t="s">
        <v>1097</v>
      </c>
    </row>
    <row r="346" customFormat="false" ht="60" hidden="false" customHeight="true" outlineLevel="0" collapsed="false">
      <c r="A346" s="39"/>
      <c r="B346" s="40" t="s">
        <v>1098</v>
      </c>
      <c r="C346" s="41" t="s">
        <v>127</v>
      </c>
      <c r="D346" s="41" t="s">
        <v>108</v>
      </c>
      <c r="E346" s="42" t="n">
        <v>9375</v>
      </c>
      <c r="F346" s="42"/>
      <c r="G346" s="42"/>
      <c r="H346" s="43" t="n">
        <v>2</v>
      </c>
      <c r="I346" s="34" t="n">
        <f aca="false">E346*H346+N(F346)+N(G346)</f>
        <v>18750</v>
      </c>
      <c r="J346" s="42" t="n">
        <f aca="false">ROUND(IFERROR(ROUND(IF(OR(ISNUMBER(SEARCH("week",C346)),ISNUMBER(SEARCH("minggu",C346))),IFERROR(_xlfn.NUMBERVALUE(SUBSTITUTE(LEFT(TRIM(C346),FIND(" ",TRIM(C346)&amp;" ")-1),",","."),"."),LEFT(SUBSTITUTE(LEFT(TRIM(C346),FIND(" ",TRIM(C346)&amp;" ")-1),",","."),FIND("/",SUBSTITUTE(LEFT(TRIM(C346),FIND(" ",TRIM(C346)&amp;" ")-1),",","."))-1)/MID(SUBSTITUTE(LEFT(TRIM(C346),FIND(" ",TRIM(C346)&amp;" ")-1),",","."),FIND("/",SUBSTITUTE(LEFT(TRIM(C346),FIND(" ",TRIM(C346)&amp;" ")-1),",","."))+1,9))*12/52,IF(ISNUMBER(SEARCH("month",C346)),IFERROR(_xlfn.NUMBERVALUE(SUBSTITUTE(LEFT(TRIM(C346),FIND(" ",TRIM(C346)&amp;" ")-1),",","."),"."),LEFT(SUBSTITUTE(LEFT(TRIM(C346),FIND(" ",TRIM(C346)&amp;" ")-1),",","."),FIND("/",SUBSTITUTE(LEFT(TRIM(C346),FIND(" ",TRIM(C346)&amp;" ")-1),",","."))-1)/MID(SUBSTITUTE(LEFT(TRIM(C346),FIND(" ",TRIM(C346)&amp;" ")-1),",","."),FIND("/",SUBSTITUTE(LEFT(TRIM(C346),FIND(" ",TRIM(C346)&amp;" ")-1),",","."))+1,9)),IF(ISNUMBER(SEARCH("yea",C346)),IFERROR(_xlfn.NUMBERVALUE(SUBSTITUTE(LEFT(TRIM(C346),FIND(" ",TRIM(C346)&amp;" ")-1),",","."),"."),LEFT(SUBSTITUTE(LEFT(TRIM(C346),FIND(" ",TRIM(C346)&amp;" ")-1),",","."),FIND("/",SUBSTITUTE(LEFT(TRIM(C346),FIND(" ",TRIM(C346)&amp;" ")-1),",","."))-1)/MID(SUBSTITUTE(LEFT(TRIM(C346),FIND(" ",TRIM(C346)&amp;" ")-1),",","."),FIND("/",SUBSTITUTE(LEFT(TRIM(C346),FIND(" ",TRIM(C346)&amp;" ")-1),",","."))+1,9))*12,NA()))),0),36)*'Aturan &amp; Tarif'!$B$4,2)</f>
        <v>2044.08</v>
      </c>
      <c r="K346" s="42" t="n">
        <f aca="false">'Aturan &amp; Tarif'!$B$5</f>
        <v>2050</v>
      </c>
      <c r="L346" s="35" t="n">
        <f aca="false">I346+J346+K346</f>
        <v>22844.08</v>
      </c>
      <c r="M346" s="44" t="s">
        <v>1099</v>
      </c>
    </row>
    <row r="347" customFormat="false" ht="60" hidden="false" customHeight="true" outlineLevel="0" collapsed="false">
      <c r="A347" s="39"/>
      <c r="B347" s="40" t="s">
        <v>1100</v>
      </c>
      <c r="C347" s="41" t="s">
        <v>127</v>
      </c>
      <c r="D347" s="41" t="s">
        <v>108</v>
      </c>
      <c r="E347" s="42" t="n">
        <v>9375</v>
      </c>
      <c r="F347" s="42"/>
      <c r="G347" s="42"/>
      <c r="H347" s="43" t="n">
        <v>2</v>
      </c>
      <c r="I347" s="34" t="n">
        <f aca="false">E347*H347+N(F347)+N(G347)</f>
        <v>18750</v>
      </c>
      <c r="J347" s="42" t="n">
        <f aca="false">ROUND(IFERROR(ROUND(IF(OR(ISNUMBER(SEARCH("week",C347)),ISNUMBER(SEARCH("minggu",C347))),IFERROR(_xlfn.NUMBERVALUE(SUBSTITUTE(LEFT(TRIM(C347),FIND(" ",TRIM(C347)&amp;" ")-1),",","."),"."),LEFT(SUBSTITUTE(LEFT(TRIM(C347),FIND(" ",TRIM(C347)&amp;" ")-1),",","."),FIND("/",SUBSTITUTE(LEFT(TRIM(C347),FIND(" ",TRIM(C347)&amp;" ")-1),",","."))-1)/MID(SUBSTITUTE(LEFT(TRIM(C347),FIND(" ",TRIM(C347)&amp;" ")-1),",","."),FIND("/",SUBSTITUTE(LEFT(TRIM(C347),FIND(" ",TRIM(C347)&amp;" ")-1),",","."))+1,9))*12/52,IF(ISNUMBER(SEARCH("month",C347)),IFERROR(_xlfn.NUMBERVALUE(SUBSTITUTE(LEFT(TRIM(C347),FIND(" ",TRIM(C347)&amp;" ")-1),",","."),"."),LEFT(SUBSTITUTE(LEFT(TRIM(C347),FIND(" ",TRIM(C347)&amp;" ")-1),",","."),FIND("/",SUBSTITUTE(LEFT(TRIM(C347),FIND(" ",TRIM(C347)&amp;" ")-1),",","."))-1)/MID(SUBSTITUTE(LEFT(TRIM(C347),FIND(" ",TRIM(C347)&amp;" ")-1),",","."),FIND("/",SUBSTITUTE(LEFT(TRIM(C347),FIND(" ",TRIM(C347)&amp;" ")-1),",","."))+1,9)),IF(ISNUMBER(SEARCH("yea",C347)),IFERROR(_xlfn.NUMBERVALUE(SUBSTITUTE(LEFT(TRIM(C347),FIND(" ",TRIM(C347)&amp;" ")-1),",","."),"."),LEFT(SUBSTITUTE(LEFT(TRIM(C347),FIND(" ",TRIM(C347)&amp;" ")-1),",","."),FIND("/",SUBSTITUTE(LEFT(TRIM(C347),FIND(" ",TRIM(C347)&amp;" ")-1),",","."))-1)/MID(SUBSTITUTE(LEFT(TRIM(C347),FIND(" ",TRIM(C347)&amp;" ")-1),",","."),FIND("/",SUBSTITUTE(LEFT(TRIM(C347),FIND(" ",TRIM(C347)&amp;" ")-1),",","."))+1,9))*12,NA()))),0),36)*'Aturan &amp; Tarif'!$B$4,2)</f>
        <v>2044.08</v>
      </c>
      <c r="K347" s="42" t="n">
        <f aca="false">'Aturan &amp; Tarif'!$B$5</f>
        <v>2050</v>
      </c>
      <c r="L347" s="35" t="n">
        <f aca="false">I347+J347+K347</f>
        <v>22844.08</v>
      </c>
      <c r="M347" s="44" t="s">
        <v>1101</v>
      </c>
    </row>
    <row r="348" customFormat="false" ht="60" hidden="false" customHeight="true" outlineLevel="0" collapsed="false">
      <c r="A348" s="39"/>
      <c r="B348" s="40" t="s">
        <v>1035</v>
      </c>
      <c r="C348" s="41" t="s">
        <v>130</v>
      </c>
      <c r="D348" s="41" t="s">
        <v>108</v>
      </c>
      <c r="E348" s="42" t="n">
        <v>7900</v>
      </c>
      <c r="F348" s="42"/>
      <c r="G348" s="42"/>
      <c r="H348" s="43" t="n">
        <v>2</v>
      </c>
      <c r="I348" s="34" t="n">
        <f aca="false">E348*H348+N(F348)+N(G348)</f>
        <v>15800</v>
      </c>
      <c r="J348" s="42" t="n">
        <f aca="false">ROUND(IFERROR(ROUND(IF(OR(ISNUMBER(SEARCH("week",C348)),ISNUMBER(SEARCH("minggu",C348))),IFERROR(_xlfn.NUMBERVALUE(SUBSTITUTE(LEFT(TRIM(C348),FIND(" ",TRIM(C348)&amp;" ")-1),",","."),"."),LEFT(SUBSTITUTE(LEFT(TRIM(C348),FIND(" ",TRIM(C348)&amp;" ")-1),",","."),FIND("/",SUBSTITUTE(LEFT(TRIM(C348),FIND(" ",TRIM(C348)&amp;" ")-1),",","."))-1)/MID(SUBSTITUTE(LEFT(TRIM(C348),FIND(" ",TRIM(C348)&amp;" ")-1),",","."),FIND("/",SUBSTITUTE(LEFT(TRIM(C348),FIND(" ",TRIM(C348)&amp;" ")-1),",","."))+1,9))*12/52,IF(ISNUMBER(SEARCH("month",C348)),IFERROR(_xlfn.NUMBERVALUE(SUBSTITUTE(LEFT(TRIM(C348),FIND(" ",TRIM(C348)&amp;" ")-1),",","."),"."),LEFT(SUBSTITUTE(LEFT(TRIM(C348),FIND(" ",TRIM(C348)&amp;" ")-1),",","."),FIND("/",SUBSTITUTE(LEFT(TRIM(C348),FIND(" ",TRIM(C348)&amp;" ")-1),",","."))-1)/MID(SUBSTITUTE(LEFT(TRIM(C348),FIND(" ",TRIM(C348)&amp;" ")-1),",","."),FIND("/",SUBSTITUTE(LEFT(TRIM(C348),FIND(" ",TRIM(C348)&amp;" ")-1),",","."))+1,9)),IF(ISNUMBER(SEARCH("yea",C348)),IFERROR(_xlfn.NUMBERVALUE(SUBSTITUTE(LEFT(TRIM(C348),FIND(" ",TRIM(C348)&amp;" ")-1),",","."),"."),LEFT(SUBSTITUTE(LEFT(TRIM(C348),FIND(" ",TRIM(C348)&amp;" ")-1),",","."),FIND("/",SUBSTITUTE(LEFT(TRIM(C348),FIND(" ",TRIM(C348)&amp;" ")-1),",","."))-1)/MID(SUBSTITUTE(LEFT(TRIM(C348),FIND(" ",TRIM(C348)&amp;" ")-1),",","."),FIND("/",SUBSTITUTE(LEFT(TRIM(C348),FIND(" ",TRIM(C348)&amp;" ")-1),",","."))+1,9))*12,NA()))),0),12)*'Aturan &amp; Tarif'!$B$4,2)</f>
        <v>681.36</v>
      </c>
      <c r="K348" s="42" t="n">
        <f aca="false">'Aturan &amp; Tarif'!$B$5</f>
        <v>2050</v>
      </c>
      <c r="L348" s="35" t="n">
        <f aca="false">I348+J348+K348</f>
        <v>18531.36</v>
      </c>
      <c r="M348" s="44" t="s">
        <v>1036</v>
      </c>
    </row>
    <row r="349" customFormat="false" ht="60" hidden="false" customHeight="true" outlineLevel="0" collapsed="false">
      <c r="A349" s="39"/>
      <c r="B349" s="40" t="s">
        <v>1037</v>
      </c>
      <c r="C349" s="41" t="s">
        <v>127</v>
      </c>
      <c r="D349" s="41" t="s">
        <v>108</v>
      </c>
      <c r="E349" s="42" t="n">
        <v>7900</v>
      </c>
      <c r="F349" s="42"/>
      <c r="G349" s="42"/>
      <c r="H349" s="43" t="n">
        <v>2</v>
      </c>
      <c r="I349" s="34" t="n">
        <f aca="false">E349*H349+N(F349)+N(G349)</f>
        <v>15800</v>
      </c>
      <c r="J349" s="42" t="n">
        <f aca="false">ROUND(IFERROR(ROUND(IF(OR(ISNUMBER(SEARCH("week",C349)),ISNUMBER(SEARCH("minggu",C349))),IFERROR(_xlfn.NUMBERVALUE(SUBSTITUTE(LEFT(TRIM(C349),FIND(" ",TRIM(C349)&amp;" ")-1),",","."),"."),LEFT(SUBSTITUTE(LEFT(TRIM(C349),FIND(" ",TRIM(C349)&amp;" ")-1),",","."),FIND("/",SUBSTITUTE(LEFT(TRIM(C349),FIND(" ",TRIM(C349)&amp;" ")-1),",","."))-1)/MID(SUBSTITUTE(LEFT(TRIM(C349),FIND(" ",TRIM(C349)&amp;" ")-1),",","."),FIND("/",SUBSTITUTE(LEFT(TRIM(C349),FIND(" ",TRIM(C349)&amp;" ")-1),",","."))+1,9))*12/52,IF(ISNUMBER(SEARCH("month",C349)),IFERROR(_xlfn.NUMBERVALUE(SUBSTITUTE(LEFT(TRIM(C349),FIND(" ",TRIM(C349)&amp;" ")-1),",","."),"."),LEFT(SUBSTITUTE(LEFT(TRIM(C349),FIND(" ",TRIM(C349)&amp;" ")-1),",","."),FIND("/",SUBSTITUTE(LEFT(TRIM(C349),FIND(" ",TRIM(C349)&amp;" ")-1),",","."))-1)/MID(SUBSTITUTE(LEFT(TRIM(C349),FIND(" ",TRIM(C349)&amp;" ")-1),",","."),FIND("/",SUBSTITUTE(LEFT(TRIM(C349),FIND(" ",TRIM(C349)&amp;" ")-1),",","."))+1,9)),IF(ISNUMBER(SEARCH("yea",C349)),IFERROR(_xlfn.NUMBERVALUE(SUBSTITUTE(LEFT(TRIM(C349),FIND(" ",TRIM(C349)&amp;" ")-1),",","."),"."),LEFT(SUBSTITUTE(LEFT(TRIM(C349),FIND(" ",TRIM(C349)&amp;" ")-1),",","."),FIND("/",SUBSTITUTE(LEFT(TRIM(C349),FIND(" ",TRIM(C349)&amp;" ")-1),",","."))-1)/MID(SUBSTITUTE(LEFT(TRIM(C349),FIND(" ",TRIM(C349)&amp;" ")-1),",","."),FIND("/",SUBSTITUTE(LEFT(TRIM(C349),FIND(" ",TRIM(C349)&amp;" ")-1),",","."))+1,9))*12,NA()))),0),36)*'Aturan &amp; Tarif'!$B$4,2)</f>
        <v>2044.08</v>
      </c>
      <c r="K349" s="42" t="n">
        <f aca="false">'Aturan &amp; Tarif'!$B$5</f>
        <v>2050</v>
      </c>
      <c r="L349" s="35" t="n">
        <f aca="false">I349+J349+K349</f>
        <v>19894.08</v>
      </c>
      <c r="M349" s="44" t="s">
        <v>1036</v>
      </c>
    </row>
    <row r="350" customFormat="false" ht="60" hidden="false" customHeight="true" outlineLevel="0" collapsed="false">
      <c r="A350" s="39"/>
      <c r="B350" s="40" t="s">
        <v>1779</v>
      </c>
      <c r="C350" s="41" t="s">
        <v>130</v>
      </c>
      <c r="D350" s="41" t="s">
        <v>108</v>
      </c>
      <c r="E350" s="42" t="n">
        <v>9375</v>
      </c>
      <c r="F350" s="42"/>
      <c r="G350" s="42"/>
      <c r="H350" s="43" t="n">
        <v>2</v>
      </c>
      <c r="I350" s="34" t="n">
        <f aca="false">E350*H350+N(F350)+N(G350)</f>
        <v>18750</v>
      </c>
      <c r="J350" s="42" t="n">
        <f aca="false">ROUND(IFERROR(ROUND(IF(OR(ISNUMBER(SEARCH("week",C350)),ISNUMBER(SEARCH("minggu",C350))),IFERROR(_xlfn.NUMBERVALUE(SUBSTITUTE(LEFT(TRIM(C350),FIND(" ",TRIM(C350)&amp;" ")-1),",","."),"."),LEFT(SUBSTITUTE(LEFT(TRIM(C350),FIND(" ",TRIM(C350)&amp;" ")-1),",","."),FIND("/",SUBSTITUTE(LEFT(TRIM(C350),FIND(" ",TRIM(C350)&amp;" ")-1),",","."))-1)/MID(SUBSTITUTE(LEFT(TRIM(C350),FIND(" ",TRIM(C350)&amp;" ")-1),",","."),FIND("/",SUBSTITUTE(LEFT(TRIM(C350),FIND(" ",TRIM(C350)&amp;" ")-1),",","."))+1,9))*12/52,IF(ISNUMBER(SEARCH("month",C350)),IFERROR(_xlfn.NUMBERVALUE(SUBSTITUTE(LEFT(TRIM(C350),FIND(" ",TRIM(C350)&amp;" ")-1),",","."),"."),LEFT(SUBSTITUTE(LEFT(TRIM(C350),FIND(" ",TRIM(C350)&amp;" ")-1),",","."),FIND("/",SUBSTITUTE(LEFT(TRIM(C350),FIND(" ",TRIM(C350)&amp;" ")-1),",","."))-1)/MID(SUBSTITUTE(LEFT(TRIM(C350),FIND(" ",TRIM(C350)&amp;" ")-1),",","."),FIND("/",SUBSTITUTE(LEFT(TRIM(C350),FIND(" ",TRIM(C350)&amp;" ")-1),",","."))+1,9)),IF(ISNUMBER(SEARCH("yea",C350)),IFERROR(_xlfn.NUMBERVALUE(SUBSTITUTE(LEFT(TRIM(C350),FIND(" ",TRIM(C350)&amp;" ")-1),",","."),"."),LEFT(SUBSTITUTE(LEFT(TRIM(C350),FIND(" ",TRIM(C350)&amp;" ")-1),",","."),FIND("/",SUBSTITUTE(LEFT(TRIM(C350),FIND(" ",TRIM(C350)&amp;" ")-1),",","."))-1)/MID(SUBSTITUTE(LEFT(TRIM(C350),FIND(" ",TRIM(C350)&amp;" ")-1),",","."),FIND("/",SUBSTITUTE(LEFT(TRIM(C350),FIND(" ",TRIM(C350)&amp;" ")-1),",","."))+1,9))*12,NA()))),0),12)*'Aturan &amp; Tarif'!$B$4,2)</f>
        <v>681.36</v>
      </c>
      <c r="K350" s="42" t="n">
        <f aca="false">'Aturan &amp; Tarif'!$B$5</f>
        <v>2050</v>
      </c>
      <c r="L350" s="35" t="n">
        <f aca="false">I350+J350+K350</f>
        <v>21481.36</v>
      </c>
      <c r="M350" s="44" t="s">
        <v>1103</v>
      </c>
    </row>
    <row r="351" customFormat="false" ht="60" hidden="false" customHeight="true" outlineLevel="0" collapsed="false">
      <c r="A351" s="39"/>
      <c r="B351" s="40" t="s">
        <v>1104</v>
      </c>
      <c r="C351" s="41" t="s">
        <v>130</v>
      </c>
      <c r="D351" s="41" t="s">
        <v>108</v>
      </c>
      <c r="E351" s="42" t="n">
        <v>7900</v>
      </c>
      <c r="F351" s="42"/>
      <c r="G351" s="42"/>
      <c r="H351" s="43" t="n">
        <v>2</v>
      </c>
      <c r="I351" s="34" t="n">
        <f aca="false">E351*H351+N(F351)+N(G351)</f>
        <v>15800</v>
      </c>
      <c r="J351" s="42" t="n">
        <f aca="false">ROUND(IFERROR(ROUND(IF(OR(ISNUMBER(SEARCH("week",C351)),ISNUMBER(SEARCH("minggu",C351))),IFERROR(_xlfn.NUMBERVALUE(SUBSTITUTE(LEFT(TRIM(C351),FIND(" ",TRIM(C351)&amp;" ")-1),",","."),"."),LEFT(SUBSTITUTE(LEFT(TRIM(C351),FIND(" ",TRIM(C351)&amp;" ")-1),",","."),FIND("/",SUBSTITUTE(LEFT(TRIM(C351),FIND(" ",TRIM(C351)&amp;" ")-1),",","."))-1)/MID(SUBSTITUTE(LEFT(TRIM(C351),FIND(" ",TRIM(C351)&amp;" ")-1),",","."),FIND("/",SUBSTITUTE(LEFT(TRIM(C351),FIND(" ",TRIM(C351)&amp;" ")-1),",","."))+1,9))*12/52,IF(ISNUMBER(SEARCH("month",C351)),IFERROR(_xlfn.NUMBERVALUE(SUBSTITUTE(LEFT(TRIM(C351),FIND(" ",TRIM(C351)&amp;" ")-1),",","."),"."),LEFT(SUBSTITUTE(LEFT(TRIM(C351),FIND(" ",TRIM(C351)&amp;" ")-1),",","."),FIND("/",SUBSTITUTE(LEFT(TRIM(C351),FIND(" ",TRIM(C351)&amp;" ")-1),",","."))-1)/MID(SUBSTITUTE(LEFT(TRIM(C351),FIND(" ",TRIM(C351)&amp;" ")-1),",","."),FIND("/",SUBSTITUTE(LEFT(TRIM(C351),FIND(" ",TRIM(C351)&amp;" ")-1),",","."))+1,9)),IF(ISNUMBER(SEARCH("yea",C351)),IFERROR(_xlfn.NUMBERVALUE(SUBSTITUTE(LEFT(TRIM(C351),FIND(" ",TRIM(C351)&amp;" ")-1),",","."),"."),LEFT(SUBSTITUTE(LEFT(TRIM(C351),FIND(" ",TRIM(C351)&amp;" ")-1),",","."),FIND("/",SUBSTITUTE(LEFT(TRIM(C351),FIND(" ",TRIM(C351)&amp;" ")-1),",","."))-1)/MID(SUBSTITUTE(LEFT(TRIM(C351),FIND(" ",TRIM(C351)&amp;" ")-1),",","."),FIND("/",SUBSTITUTE(LEFT(TRIM(C351),FIND(" ",TRIM(C351)&amp;" ")-1),",","."))+1,9))*12,NA()))),0),12)*'Aturan &amp; Tarif'!$B$4,2)</f>
        <v>681.36</v>
      </c>
      <c r="K351" s="42" t="n">
        <f aca="false">'Aturan &amp; Tarif'!$B$5</f>
        <v>2050</v>
      </c>
      <c r="L351" s="35" t="n">
        <f aca="false">I351+J351+K351</f>
        <v>18531.36</v>
      </c>
      <c r="M351" s="44" t="s">
        <v>1105</v>
      </c>
    </row>
    <row r="352" customFormat="false" ht="60" hidden="false" customHeight="true" outlineLevel="0" collapsed="false">
      <c r="A352" s="39"/>
      <c r="B352" s="40" t="s">
        <v>335</v>
      </c>
      <c r="C352" s="41" t="s">
        <v>127</v>
      </c>
      <c r="D352" s="41" t="s">
        <v>108</v>
      </c>
      <c r="E352" s="42" t="n">
        <v>7900</v>
      </c>
      <c r="F352" s="42"/>
      <c r="G352" s="42"/>
      <c r="H352" s="43" t="n">
        <v>2</v>
      </c>
      <c r="I352" s="34" t="n">
        <f aca="false">E352*H352+N(F352)+N(G352)</f>
        <v>15800</v>
      </c>
      <c r="J352" s="42" t="n">
        <f aca="false">ROUND(IFERROR(ROUND(IF(OR(ISNUMBER(SEARCH("week",C352)),ISNUMBER(SEARCH("minggu",C352))),IFERROR(_xlfn.NUMBERVALUE(SUBSTITUTE(LEFT(TRIM(C352),FIND(" ",TRIM(C352)&amp;" ")-1),",","."),"."),LEFT(SUBSTITUTE(LEFT(TRIM(C352),FIND(" ",TRIM(C352)&amp;" ")-1),",","."),FIND("/",SUBSTITUTE(LEFT(TRIM(C352),FIND(" ",TRIM(C352)&amp;" ")-1),",","."))-1)/MID(SUBSTITUTE(LEFT(TRIM(C352),FIND(" ",TRIM(C352)&amp;" ")-1),",","."),FIND("/",SUBSTITUTE(LEFT(TRIM(C352),FIND(" ",TRIM(C352)&amp;" ")-1),",","."))+1,9))*12/52,IF(ISNUMBER(SEARCH("month",C352)),IFERROR(_xlfn.NUMBERVALUE(SUBSTITUTE(LEFT(TRIM(C352),FIND(" ",TRIM(C352)&amp;" ")-1),",","."),"."),LEFT(SUBSTITUTE(LEFT(TRIM(C352),FIND(" ",TRIM(C352)&amp;" ")-1),",","."),FIND("/",SUBSTITUTE(LEFT(TRIM(C352),FIND(" ",TRIM(C352)&amp;" ")-1),",","."))-1)/MID(SUBSTITUTE(LEFT(TRIM(C352),FIND(" ",TRIM(C352)&amp;" ")-1),",","."),FIND("/",SUBSTITUTE(LEFT(TRIM(C352),FIND(" ",TRIM(C352)&amp;" ")-1),",","."))+1,9)),IF(ISNUMBER(SEARCH("yea",C352)),IFERROR(_xlfn.NUMBERVALUE(SUBSTITUTE(LEFT(TRIM(C352),FIND(" ",TRIM(C352)&amp;" ")-1),",","."),"."),LEFT(SUBSTITUTE(LEFT(TRIM(C352),FIND(" ",TRIM(C352)&amp;" ")-1),",","."),FIND("/",SUBSTITUTE(LEFT(TRIM(C352),FIND(" ",TRIM(C352)&amp;" ")-1),",","."))-1)/MID(SUBSTITUTE(LEFT(TRIM(C352),FIND(" ",TRIM(C352)&amp;" ")-1),",","."),FIND("/",SUBSTITUTE(LEFT(TRIM(C352),FIND(" ",TRIM(C352)&amp;" ")-1),",","."))+1,9))*12,NA()))),0),36)*'Aturan &amp; Tarif'!$B$4,2)</f>
        <v>2044.08</v>
      </c>
      <c r="K352" s="42" t="n">
        <f aca="false">'Aturan &amp; Tarif'!$B$5</f>
        <v>2050</v>
      </c>
      <c r="L352" s="35" t="n">
        <f aca="false">I352+J352+K352</f>
        <v>19894.08</v>
      </c>
      <c r="M352" s="44" t="s">
        <v>1106</v>
      </c>
    </row>
    <row r="353" customFormat="false" ht="60" hidden="false" customHeight="true" outlineLevel="0" collapsed="false">
      <c r="A353" s="39"/>
      <c r="B353" s="40" t="s">
        <v>1069</v>
      </c>
      <c r="C353" s="41" t="s">
        <v>130</v>
      </c>
      <c r="D353" s="41" t="s">
        <v>108</v>
      </c>
      <c r="E353" s="42" t="n">
        <v>9000</v>
      </c>
      <c r="F353" s="42"/>
      <c r="G353" s="42"/>
      <c r="H353" s="43" t="n">
        <v>2</v>
      </c>
      <c r="I353" s="34" t="n">
        <f aca="false">E353*H353+N(F353)+N(G353)</f>
        <v>18000</v>
      </c>
      <c r="J353" s="42" t="n">
        <f aca="false">ROUND(IFERROR(ROUND(IF(OR(ISNUMBER(SEARCH("week",C353)),ISNUMBER(SEARCH("minggu",C353))),IFERROR(_xlfn.NUMBERVALUE(SUBSTITUTE(LEFT(TRIM(C353),FIND(" ",TRIM(C353)&amp;" ")-1),",","."),"."),LEFT(SUBSTITUTE(LEFT(TRIM(C353),FIND(" ",TRIM(C353)&amp;" ")-1),",","."),FIND("/",SUBSTITUTE(LEFT(TRIM(C353),FIND(" ",TRIM(C353)&amp;" ")-1),",","."))-1)/MID(SUBSTITUTE(LEFT(TRIM(C353),FIND(" ",TRIM(C353)&amp;" ")-1),",","."),FIND("/",SUBSTITUTE(LEFT(TRIM(C353),FIND(" ",TRIM(C353)&amp;" ")-1),",","."))+1,9))*12/52,IF(ISNUMBER(SEARCH("month",C353)),IFERROR(_xlfn.NUMBERVALUE(SUBSTITUTE(LEFT(TRIM(C353),FIND(" ",TRIM(C353)&amp;" ")-1),",","."),"."),LEFT(SUBSTITUTE(LEFT(TRIM(C353),FIND(" ",TRIM(C353)&amp;" ")-1),",","."),FIND("/",SUBSTITUTE(LEFT(TRIM(C353),FIND(" ",TRIM(C353)&amp;" ")-1),",","."))-1)/MID(SUBSTITUTE(LEFT(TRIM(C353),FIND(" ",TRIM(C353)&amp;" ")-1),",","."),FIND("/",SUBSTITUTE(LEFT(TRIM(C353),FIND(" ",TRIM(C353)&amp;" ")-1),",","."))+1,9)),IF(ISNUMBER(SEARCH("yea",C353)),IFERROR(_xlfn.NUMBERVALUE(SUBSTITUTE(LEFT(TRIM(C353),FIND(" ",TRIM(C353)&amp;" ")-1),",","."),"."),LEFT(SUBSTITUTE(LEFT(TRIM(C353),FIND(" ",TRIM(C353)&amp;" ")-1),",","."),FIND("/",SUBSTITUTE(LEFT(TRIM(C353),FIND(" ",TRIM(C353)&amp;" ")-1),",","."))-1)/MID(SUBSTITUTE(LEFT(TRIM(C353),FIND(" ",TRIM(C353)&amp;" ")-1),",","."),FIND("/",SUBSTITUTE(LEFT(TRIM(C353),FIND(" ",TRIM(C353)&amp;" ")-1),",","."))+1,9))*12,NA()))),0),12)*'Aturan &amp; Tarif'!$B$4,2)</f>
        <v>681.36</v>
      </c>
      <c r="K353" s="42" t="n">
        <f aca="false">'Aturan &amp; Tarif'!$B$5</f>
        <v>2050</v>
      </c>
      <c r="L353" s="35" t="n">
        <f aca="false">I353+J353+K353</f>
        <v>20731.36</v>
      </c>
      <c r="M353" s="44" t="s">
        <v>1036</v>
      </c>
    </row>
    <row r="354" customFormat="false" ht="60" hidden="false" customHeight="true" outlineLevel="0" collapsed="false">
      <c r="A354" s="39"/>
      <c r="B354" s="40" t="s">
        <v>1070</v>
      </c>
      <c r="C354" s="41" t="s">
        <v>107</v>
      </c>
      <c r="D354" s="41" t="s">
        <v>108</v>
      </c>
      <c r="E354" s="42" t="n">
        <v>9000</v>
      </c>
      <c r="F354" s="42"/>
      <c r="G354" s="42"/>
      <c r="H354" s="43" t="n">
        <v>2</v>
      </c>
      <c r="I354" s="34" t="n">
        <f aca="false">E354*H354+N(F354)+N(G354)</f>
        <v>18000</v>
      </c>
      <c r="J354" s="42" t="n">
        <f aca="false">ROUND(IFERROR(ROUND(IF(OR(ISNUMBER(SEARCH("week",C354)),ISNUMBER(SEARCH("minggu",C354))),IFERROR(_xlfn.NUMBERVALUE(SUBSTITUTE(LEFT(TRIM(C354),FIND(" ",TRIM(C354)&amp;" ")-1),",","."),"."),LEFT(SUBSTITUTE(LEFT(TRIM(C354),FIND(" ",TRIM(C354)&amp;" ")-1),",","."),FIND("/",SUBSTITUTE(LEFT(TRIM(C354),FIND(" ",TRIM(C354)&amp;" ")-1),",","."))-1)/MID(SUBSTITUTE(LEFT(TRIM(C354),FIND(" ",TRIM(C354)&amp;" ")-1),",","."),FIND("/",SUBSTITUTE(LEFT(TRIM(C354),FIND(" ",TRIM(C354)&amp;" ")-1),",","."))+1,9))*12/52,IF(ISNUMBER(SEARCH("month",C354)),IFERROR(_xlfn.NUMBERVALUE(SUBSTITUTE(LEFT(TRIM(C354),FIND(" ",TRIM(C354)&amp;" ")-1),",","."),"."),LEFT(SUBSTITUTE(LEFT(TRIM(C354),FIND(" ",TRIM(C354)&amp;" ")-1),",","."),FIND("/",SUBSTITUTE(LEFT(TRIM(C354),FIND(" ",TRIM(C354)&amp;" ")-1),",","."))-1)/MID(SUBSTITUTE(LEFT(TRIM(C354),FIND(" ",TRIM(C354)&amp;" ")-1),",","."),FIND("/",SUBSTITUTE(LEFT(TRIM(C354),FIND(" ",TRIM(C354)&amp;" ")-1),",","."))+1,9)),IF(ISNUMBER(SEARCH("yea",C354)),IFERROR(_xlfn.NUMBERVALUE(SUBSTITUTE(LEFT(TRIM(C354),FIND(" ",TRIM(C354)&amp;" ")-1),",","."),"."),LEFT(SUBSTITUTE(LEFT(TRIM(C354),FIND(" ",TRIM(C354)&amp;" ")-1),",","."),FIND("/",SUBSTITUTE(LEFT(TRIM(C354),FIND(" ",TRIM(C354)&amp;" ")-1),",","."))-1)/MID(SUBSTITUTE(LEFT(TRIM(C354),FIND(" ",TRIM(C354)&amp;" ")-1),",","."),FIND("/",SUBSTITUTE(LEFT(TRIM(C354),FIND(" ",TRIM(C354)&amp;" ")-1),",","."))+1,9))*12,NA()))),0),24)*'Aturan &amp; Tarif'!$B$4,2)</f>
        <v>1362.72</v>
      </c>
      <c r="K354" s="42" t="n">
        <f aca="false">'Aturan &amp; Tarif'!$B$5</f>
        <v>2050</v>
      </c>
      <c r="L354" s="35" t="n">
        <f aca="false">I354+J354+K354</f>
        <v>21412.72</v>
      </c>
      <c r="M354" s="44" t="s">
        <v>1036</v>
      </c>
    </row>
    <row r="355" customFormat="false" ht="60" hidden="false" customHeight="true" outlineLevel="0" collapsed="false">
      <c r="A355" s="39"/>
      <c r="B355" s="40" t="s">
        <v>1107</v>
      </c>
      <c r="C355" s="41" t="s">
        <v>130</v>
      </c>
      <c r="D355" s="41" t="s">
        <v>108</v>
      </c>
      <c r="E355" s="42" t="n">
        <v>4975</v>
      </c>
      <c r="F355" s="42"/>
      <c r="G355" s="42"/>
      <c r="H355" s="43" t="n">
        <v>2</v>
      </c>
      <c r="I355" s="34" t="n">
        <f aca="false">E355*H355+N(F355)+N(G355)</f>
        <v>9950</v>
      </c>
      <c r="J355" s="42" t="n">
        <f aca="false">ROUND(IFERROR(ROUND(IF(OR(ISNUMBER(SEARCH("week",C355)),ISNUMBER(SEARCH("minggu",C355))),IFERROR(_xlfn.NUMBERVALUE(SUBSTITUTE(LEFT(TRIM(C355),FIND(" ",TRIM(C355)&amp;" ")-1),",","."),"."),LEFT(SUBSTITUTE(LEFT(TRIM(C355),FIND(" ",TRIM(C355)&amp;" ")-1),",","."),FIND("/",SUBSTITUTE(LEFT(TRIM(C355),FIND(" ",TRIM(C355)&amp;" ")-1),",","."))-1)/MID(SUBSTITUTE(LEFT(TRIM(C355),FIND(" ",TRIM(C355)&amp;" ")-1),",","."),FIND("/",SUBSTITUTE(LEFT(TRIM(C355),FIND(" ",TRIM(C355)&amp;" ")-1),",","."))+1,9))*12/52,IF(ISNUMBER(SEARCH("month",C355)),IFERROR(_xlfn.NUMBERVALUE(SUBSTITUTE(LEFT(TRIM(C355),FIND(" ",TRIM(C355)&amp;" ")-1),",","."),"."),LEFT(SUBSTITUTE(LEFT(TRIM(C355),FIND(" ",TRIM(C355)&amp;" ")-1),",","."),FIND("/",SUBSTITUTE(LEFT(TRIM(C355),FIND(" ",TRIM(C355)&amp;" ")-1),",","."))-1)/MID(SUBSTITUTE(LEFT(TRIM(C355),FIND(" ",TRIM(C355)&amp;" ")-1),",","."),FIND("/",SUBSTITUTE(LEFT(TRIM(C355),FIND(" ",TRIM(C355)&amp;" ")-1),",","."))+1,9)),IF(ISNUMBER(SEARCH("yea",C355)),IFERROR(_xlfn.NUMBERVALUE(SUBSTITUTE(LEFT(TRIM(C355),FIND(" ",TRIM(C355)&amp;" ")-1),",","."),"."),LEFT(SUBSTITUTE(LEFT(TRIM(C355),FIND(" ",TRIM(C355)&amp;" ")-1),",","."),FIND("/",SUBSTITUTE(LEFT(TRIM(C355),FIND(" ",TRIM(C355)&amp;" ")-1),",","."))-1)/MID(SUBSTITUTE(LEFT(TRIM(C355),FIND(" ",TRIM(C355)&amp;" ")-1),",","."),FIND("/",SUBSTITUTE(LEFT(TRIM(C355),FIND(" ",TRIM(C355)&amp;" ")-1),",","."))+1,9))*12,NA()))),0),12)*'Aturan &amp; Tarif'!$B$4,2)</f>
        <v>681.36</v>
      </c>
      <c r="K355" s="42" t="n">
        <f aca="false">'Aturan &amp; Tarif'!$B$5</f>
        <v>2050</v>
      </c>
      <c r="L355" s="35" t="n">
        <f aca="false">I355+J355+K355</f>
        <v>12681.36</v>
      </c>
      <c r="M355" s="44" t="s">
        <v>1108</v>
      </c>
    </row>
    <row r="356" customFormat="false" ht="60" hidden="false" customHeight="true" outlineLevel="0" collapsed="false">
      <c r="A356" s="39"/>
      <c r="B356" s="40" t="s">
        <v>1109</v>
      </c>
      <c r="C356" s="41" t="s">
        <v>130</v>
      </c>
      <c r="D356" s="41" t="s">
        <v>108</v>
      </c>
      <c r="E356" s="42" t="n">
        <v>9950</v>
      </c>
      <c r="F356" s="42"/>
      <c r="G356" s="42"/>
      <c r="H356" s="43" t="n">
        <v>2</v>
      </c>
      <c r="I356" s="34" t="n">
        <f aca="false">E356*H356+N(F356)+N(G356)</f>
        <v>19900</v>
      </c>
      <c r="J356" s="42" t="n">
        <f aca="false">ROUND(IFERROR(ROUND(IF(OR(ISNUMBER(SEARCH("week",C356)),ISNUMBER(SEARCH("minggu",C356))),IFERROR(_xlfn.NUMBERVALUE(SUBSTITUTE(LEFT(TRIM(C356),FIND(" ",TRIM(C356)&amp;" ")-1),",","."),"."),LEFT(SUBSTITUTE(LEFT(TRIM(C356),FIND(" ",TRIM(C356)&amp;" ")-1),",","."),FIND("/",SUBSTITUTE(LEFT(TRIM(C356),FIND(" ",TRIM(C356)&amp;" ")-1),",","."))-1)/MID(SUBSTITUTE(LEFT(TRIM(C356),FIND(" ",TRIM(C356)&amp;" ")-1),",","."),FIND("/",SUBSTITUTE(LEFT(TRIM(C356),FIND(" ",TRIM(C356)&amp;" ")-1),",","."))+1,9))*12/52,IF(ISNUMBER(SEARCH("month",C356)),IFERROR(_xlfn.NUMBERVALUE(SUBSTITUTE(LEFT(TRIM(C356),FIND(" ",TRIM(C356)&amp;" ")-1),",","."),"."),LEFT(SUBSTITUTE(LEFT(TRIM(C356),FIND(" ",TRIM(C356)&amp;" ")-1),",","."),FIND("/",SUBSTITUTE(LEFT(TRIM(C356),FIND(" ",TRIM(C356)&amp;" ")-1),",","."))-1)/MID(SUBSTITUTE(LEFT(TRIM(C356),FIND(" ",TRIM(C356)&amp;" ")-1),",","."),FIND("/",SUBSTITUTE(LEFT(TRIM(C356),FIND(" ",TRIM(C356)&amp;" ")-1),",","."))+1,9)),IF(ISNUMBER(SEARCH("yea",C356)),IFERROR(_xlfn.NUMBERVALUE(SUBSTITUTE(LEFT(TRIM(C356),FIND(" ",TRIM(C356)&amp;" ")-1),",","."),"."),LEFT(SUBSTITUTE(LEFT(TRIM(C356),FIND(" ",TRIM(C356)&amp;" ")-1),",","."),FIND("/",SUBSTITUTE(LEFT(TRIM(C356),FIND(" ",TRIM(C356)&amp;" ")-1),",","."))-1)/MID(SUBSTITUTE(LEFT(TRIM(C356),FIND(" ",TRIM(C356)&amp;" ")-1),",","."),FIND("/",SUBSTITUTE(LEFT(TRIM(C356),FIND(" ",TRIM(C356)&amp;" ")-1),",","."))+1,9))*12,NA()))),0),12)*'Aturan &amp; Tarif'!$B$4,2)</f>
        <v>681.36</v>
      </c>
      <c r="K356" s="42" t="n">
        <f aca="false">'Aturan &amp; Tarif'!$B$5</f>
        <v>2050</v>
      </c>
      <c r="L356" s="35" t="n">
        <f aca="false">I356+J356+K356</f>
        <v>22631.36</v>
      </c>
      <c r="M356" s="44" t="s">
        <v>1110</v>
      </c>
    </row>
    <row r="357" customFormat="false" ht="60" hidden="false" customHeight="true" outlineLevel="0" collapsed="false">
      <c r="A357" s="39"/>
      <c r="B357" s="40" t="s">
        <v>1111</v>
      </c>
      <c r="C357" s="41" t="s">
        <v>107</v>
      </c>
      <c r="D357" s="41" t="s">
        <v>108</v>
      </c>
      <c r="E357" s="42" t="n">
        <v>9950</v>
      </c>
      <c r="F357" s="42"/>
      <c r="G357" s="42"/>
      <c r="H357" s="43" t="n">
        <v>2</v>
      </c>
      <c r="I357" s="34" t="n">
        <f aca="false">E357*H357+N(F357)+N(G357)</f>
        <v>19900</v>
      </c>
      <c r="J357" s="42" t="n">
        <f aca="false">ROUND(IFERROR(ROUND(IF(OR(ISNUMBER(SEARCH("week",C357)),ISNUMBER(SEARCH("minggu",C357))),IFERROR(_xlfn.NUMBERVALUE(SUBSTITUTE(LEFT(TRIM(C357),FIND(" ",TRIM(C357)&amp;" ")-1),",","."),"."),LEFT(SUBSTITUTE(LEFT(TRIM(C357),FIND(" ",TRIM(C357)&amp;" ")-1),",","."),FIND("/",SUBSTITUTE(LEFT(TRIM(C357),FIND(" ",TRIM(C357)&amp;" ")-1),",","."))-1)/MID(SUBSTITUTE(LEFT(TRIM(C357),FIND(" ",TRIM(C357)&amp;" ")-1),",","."),FIND("/",SUBSTITUTE(LEFT(TRIM(C357),FIND(" ",TRIM(C357)&amp;" ")-1),",","."))+1,9))*12/52,IF(ISNUMBER(SEARCH("month",C357)),IFERROR(_xlfn.NUMBERVALUE(SUBSTITUTE(LEFT(TRIM(C357),FIND(" ",TRIM(C357)&amp;" ")-1),",","."),"."),LEFT(SUBSTITUTE(LEFT(TRIM(C357),FIND(" ",TRIM(C357)&amp;" ")-1),",","."),FIND("/",SUBSTITUTE(LEFT(TRIM(C357),FIND(" ",TRIM(C357)&amp;" ")-1),",","."))-1)/MID(SUBSTITUTE(LEFT(TRIM(C357),FIND(" ",TRIM(C357)&amp;" ")-1),",","."),FIND("/",SUBSTITUTE(LEFT(TRIM(C357),FIND(" ",TRIM(C357)&amp;" ")-1),",","."))+1,9)),IF(ISNUMBER(SEARCH("yea",C357)),IFERROR(_xlfn.NUMBERVALUE(SUBSTITUTE(LEFT(TRIM(C357),FIND(" ",TRIM(C357)&amp;" ")-1),",","."),"."),LEFT(SUBSTITUTE(LEFT(TRIM(C357),FIND(" ",TRIM(C357)&amp;" ")-1),",","."),FIND("/",SUBSTITUTE(LEFT(TRIM(C357),FIND(" ",TRIM(C357)&amp;" ")-1),",","."))-1)/MID(SUBSTITUTE(LEFT(TRIM(C357),FIND(" ",TRIM(C357)&amp;" ")-1),",","."),FIND("/",SUBSTITUTE(LEFT(TRIM(C357),FIND(" ",TRIM(C357)&amp;" ")-1),",","."))+1,9))*12,NA()))),0),24)*'Aturan &amp; Tarif'!$B$4,2)</f>
        <v>1362.72</v>
      </c>
      <c r="K357" s="42" t="n">
        <f aca="false">'Aturan &amp; Tarif'!$B$5</f>
        <v>2050</v>
      </c>
      <c r="L357" s="35" t="n">
        <f aca="false">I357+J357+K357</f>
        <v>23312.72</v>
      </c>
      <c r="M357" s="44" t="s">
        <v>1112</v>
      </c>
    </row>
    <row r="358" customFormat="false" ht="60" hidden="false" customHeight="true" outlineLevel="0" collapsed="false">
      <c r="A358" s="39"/>
      <c r="B358" s="40" t="s">
        <v>1113</v>
      </c>
      <c r="C358" s="41" t="s">
        <v>107</v>
      </c>
      <c r="D358" s="41" t="s">
        <v>108</v>
      </c>
      <c r="E358" s="42" t="n">
        <v>9950</v>
      </c>
      <c r="F358" s="42"/>
      <c r="G358" s="42"/>
      <c r="H358" s="43" t="n">
        <v>2</v>
      </c>
      <c r="I358" s="34" t="n">
        <f aca="false">E358*H358+N(F358)+N(G358)</f>
        <v>19900</v>
      </c>
      <c r="J358" s="42" t="n">
        <f aca="false">ROUND(IFERROR(ROUND(IF(OR(ISNUMBER(SEARCH("week",C358)),ISNUMBER(SEARCH("minggu",C358))),IFERROR(_xlfn.NUMBERVALUE(SUBSTITUTE(LEFT(TRIM(C358),FIND(" ",TRIM(C358)&amp;" ")-1),",","."),"."),LEFT(SUBSTITUTE(LEFT(TRIM(C358),FIND(" ",TRIM(C358)&amp;" ")-1),",","."),FIND("/",SUBSTITUTE(LEFT(TRIM(C358),FIND(" ",TRIM(C358)&amp;" ")-1),",","."))-1)/MID(SUBSTITUTE(LEFT(TRIM(C358),FIND(" ",TRIM(C358)&amp;" ")-1),",","."),FIND("/",SUBSTITUTE(LEFT(TRIM(C358),FIND(" ",TRIM(C358)&amp;" ")-1),",","."))+1,9))*12/52,IF(ISNUMBER(SEARCH("month",C358)),IFERROR(_xlfn.NUMBERVALUE(SUBSTITUTE(LEFT(TRIM(C358),FIND(" ",TRIM(C358)&amp;" ")-1),",","."),"."),LEFT(SUBSTITUTE(LEFT(TRIM(C358),FIND(" ",TRIM(C358)&amp;" ")-1),",","."),FIND("/",SUBSTITUTE(LEFT(TRIM(C358),FIND(" ",TRIM(C358)&amp;" ")-1),",","."))-1)/MID(SUBSTITUTE(LEFT(TRIM(C358),FIND(" ",TRIM(C358)&amp;" ")-1),",","."),FIND("/",SUBSTITUTE(LEFT(TRIM(C358),FIND(" ",TRIM(C358)&amp;" ")-1),",","."))+1,9)),IF(ISNUMBER(SEARCH("yea",C358)),IFERROR(_xlfn.NUMBERVALUE(SUBSTITUTE(LEFT(TRIM(C358),FIND(" ",TRIM(C358)&amp;" ")-1),",","."),"."),LEFT(SUBSTITUTE(LEFT(TRIM(C358),FIND(" ",TRIM(C358)&amp;" ")-1),",","."),FIND("/",SUBSTITUTE(LEFT(TRIM(C358),FIND(" ",TRIM(C358)&amp;" ")-1),",","."))-1)/MID(SUBSTITUTE(LEFT(TRIM(C358),FIND(" ",TRIM(C358)&amp;" ")-1),",","."),FIND("/",SUBSTITUTE(LEFT(TRIM(C358),FIND(" ",TRIM(C358)&amp;" ")-1),",","."))+1,9))*12,NA()))),0),24)*'Aturan &amp; Tarif'!$B$4,2)</f>
        <v>1362.72</v>
      </c>
      <c r="K358" s="42" t="n">
        <f aca="false">'Aturan &amp; Tarif'!$B$5</f>
        <v>2050</v>
      </c>
      <c r="L358" s="35" t="n">
        <f aca="false">I358+J358+K358</f>
        <v>23312.72</v>
      </c>
      <c r="M358" s="44" t="s">
        <v>1114</v>
      </c>
    </row>
    <row r="359" customFormat="false" ht="60" hidden="false" customHeight="true" outlineLevel="0" collapsed="false">
      <c r="A359" s="39"/>
      <c r="B359" s="40" t="s">
        <v>1115</v>
      </c>
      <c r="C359" s="41" t="s">
        <v>130</v>
      </c>
      <c r="D359" s="41" t="s">
        <v>108</v>
      </c>
      <c r="E359" s="42" t="n">
        <v>4500</v>
      </c>
      <c r="F359" s="42"/>
      <c r="G359" s="42"/>
      <c r="H359" s="43" t="n">
        <v>2</v>
      </c>
      <c r="I359" s="34" t="n">
        <f aca="false">E359*H359+N(F359)+N(G359)</f>
        <v>9000</v>
      </c>
      <c r="J359" s="42" t="n">
        <f aca="false">ROUND(IFERROR(ROUND(IF(OR(ISNUMBER(SEARCH("week",C359)),ISNUMBER(SEARCH("minggu",C359))),IFERROR(_xlfn.NUMBERVALUE(SUBSTITUTE(LEFT(TRIM(C359),FIND(" ",TRIM(C359)&amp;" ")-1),",","."),"."),LEFT(SUBSTITUTE(LEFT(TRIM(C359),FIND(" ",TRIM(C359)&amp;" ")-1),",","."),FIND("/",SUBSTITUTE(LEFT(TRIM(C359),FIND(" ",TRIM(C359)&amp;" ")-1),",","."))-1)/MID(SUBSTITUTE(LEFT(TRIM(C359),FIND(" ",TRIM(C359)&amp;" ")-1),",","."),FIND("/",SUBSTITUTE(LEFT(TRIM(C359),FIND(" ",TRIM(C359)&amp;" ")-1),",","."))+1,9))*12/52,IF(ISNUMBER(SEARCH("month",C359)),IFERROR(_xlfn.NUMBERVALUE(SUBSTITUTE(LEFT(TRIM(C359),FIND(" ",TRIM(C359)&amp;" ")-1),",","."),"."),LEFT(SUBSTITUTE(LEFT(TRIM(C359),FIND(" ",TRIM(C359)&amp;" ")-1),",","."),FIND("/",SUBSTITUTE(LEFT(TRIM(C359),FIND(" ",TRIM(C359)&amp;" ")-1),",","."))-1)/MID(SUBSTITUTE(LEFT(TRIM(C359),FIND(" ",TRIM(C359)&amp;" ")-1),",","."),FIND("/",SUBSTITUTE(LEFT(TRIM(C359),FIND(" ",TRIM(C359)&amp;" ")-1),",","."))+1,9)),IF(ISNUMBER(SEARCH("yea",C359)),IFERROR(_xlfn.NUMBERVALUE(SUBSTITUTE(LEFT(TRIM(C359),FIND(" ",TRIM(C359)&amp;" ")-1),",","."),"."),LEFT(SUBSTITUTE(LEFT(TRIM(C359),FIND(" ",TRIM(C359)&amp;" ")-1),",","."),FIND("/",SUBSTITUTE(LEFT(TRIM(C359),FIND(" ",TRIM(C359)&amp;" ")-1),",","."))-1)/MID(SUBSTITUTE(LEFT(TRIM(C359),FIND(" ",TRIM(C359)&amp;" ")-1),",","."),FIND("/",SUBSTITUTE(LEFT(TRIM(C359),FIND(" ",TRIM(C359)&amp;" ")-1),",","."))+1,9))*12,NA()))),0),12)*'Aturan &amp; Tarif'!$B$4,2)</f>
        <v>681.36</v>
      </c>
      <c r="K359" s="42" t="n">
        <f aca="false">'Aturan &amp; Tarif'!$B$5</f>
        <v>2050</v>
      </c>
      <c r="L359" s="35" t="n">
        <f aca="false">I359+J359+K359</f>
        <v>11731.36</v>
      </c>
      <c r="M359" s="44" t="s">
        <v>1116</v>
      </c>
    </row>
    <row r="360" customFormat="false" ht="60" hidden="false" customHeight="true" outlineLevel="0" collapsed="false">
      <c r="A360" s="39"/>
      <c r="B360" s="40" t="s">
        <v>1117</v>
      </c>
      <c r="C360" s="41" t="s">
        <v>130</v>
      </c>
      <c r="D360" s="41" t="s">
        <v>108</v>
      </c>
      <c r="E360" s="42" t="n">
        <v>9000</v>
      </c>
      <c r="F360" s="42"/>
      <c r="G360" s="42"/>
      <c r="H360" s="43" t="n">
        <v>2</v>
      </c>
      <c r="I360" s="34" t="n">
        <f aca="false">E360*H360+N(F360)+N(G360)</f>
        <v>18000</v>
      </c>
      <c r="J360" s="42" t="n">
        <f aca="false">ROUND(IFERROR(ROUND(IF(OR(ISNUMBER(SEARCH("week",C360)),ISNUMBER(SEARCH("minggu",C360))),IFERROR(_xlfn.NUMBERVALUE(SUBSTITUTE(LEFT(TRIM(C360),FIND(" ",TRIM(C360)&amp;" ")-1),",","."),"."),LEFT(SUBSTITUTE(LEFT(TRIM(C360),FIND(" ",TRIM(C360)&amp;" ")-1),",","."),FIND("/",SUBSTITUTE(LEFT(TRIM(C360),FIND(" ",TRIM(C360)&amp;" ")-1),",","."))-1)/MID(SUBSTITUTE(LEFT(TRIM(C360),FIND(" ",TRIM(C360)&amp;" ")-1),",","."),FIND("/",SUBSTITUTE(LEFT(TRIM(C360),FIND(" ",TRIM(C360)&amp;" ")-1),",","."))+1,9))*12/52,IF(ISNUMBER(SEARCH("month",C360)),IFERROR(_xlfn.NUMBERVALUE(SUBSTITUTE(LEFT(TRIM(C360),FIND(" ",TRIM(C360)&amp;" ")-1),",","."),"."),LEFT(SUBSTITUTE(LEFT(TRIM(C360),FIND(" ",TRIM(C360)&amp;" ")-1),",","."),FIND("/",SUBSTITUTE(LEFT(TRIM(C360),FIND(" ",TRIM(C360)&amp;" ")-1),",","."))-1)/MID(SUBSTITUTE(LEFT(TRIM(C360),FIND(" ",TRIM(C360)&amp;" ")-1),",","."),FIND("/",SUBSTITUTE(LEFT(TRIM(C360),FIND(" ",TRIM(C360)&amp;" ")-1),",","."))+1,9)),IF(ISNUMBER(SEARCH("yea",C360)),IFERROR(_xlfn.NUMBERVALUE(SUBSTITUTE(LEFT(TRIM(C360),FIND(" ",TRIM(C360)&amp;" ")-1),",","."),"."),LEFT(SUBSTITUTE(LEFT(TRIM(C360),FIND(" ",TRIM(C360)&amp;" ")-1),",","."),FIND("/",SUBSTITUTE(LEFT(TRIM(C360),FIND(" ",TRIM(C360)&amp;" ")-1),",","."))-1)/MID(SUBSTITUTE(LEFT(TRIM(C360),FIND(" ",TRIM(C360)&amp;" ")-1),",","."),FIND("/",SUBSTITUTE(LEFT(TRIM(C360),FIND(" ",TRIM(C360)&amp;" ")-1),",","."))+1,9))*12,NA()))),0),12)*'Aturan &amp; Tarif'!$B$4,2)</f>
        <v>681.36</v>
      </c>
      <c r="K360" s="42" t="n">
        <f aca="false">'Aturan &amp; Tarif'!$B$5</f>
        <v>2050</v>
      </c>
      <c r="L360" s="35" t="n">
        <f aca="false">I360+J360+K360</f>
        <v>20731.36</v>
      </c>
      <c r="M360" s="44" t="s">
        <v>1118</v>
      </c>
    </row>
    <row r="361" customFormat="false" ht="60" hidden="false" customHeight="true" outlineLevel="0" collapsed="false">
      <c r="A361" s="39"/>
      <c r="B361" s="40" t="s">
        <v>349</v>
      </c>
      <c r="C361" s="41" t="s">
        <v>107</v>
      </c>
      <c r="D361" s="41" t="s">
        <v>108</v>
      </c>
      <c r="E361" s="42" t="n">
        <v>9000</v>
      </c>
      <c r="F361" s="42"/>
      <c r="G361" s="42"/>
      <c r="H361" s="43" t="n">
        <v>2</v>
      </c>
      <c r="I361" s="34" t="n">
        <f aca="false">E361*H361+N(F361)+N(G361)</f>
        <v>18000</v>
      </c>
      <c r="J361" s="42" t="n">
        <f aca="false">ROUND(IFERROR(ROUND(IF(OR(ISNUMBER(SEARCH("week",C361)),ISNUMBER(SEARCH("minggu",C361))),IFERROR(_xlfn.NUMBERVALUE(SUBSTITUTE(LEFT(TRIM(C361),FIND(" ",TRIM(C361)&amp;" ")-1),",","."),"."),LEFT(SUBSTITUTE(LEFT(TRIM(C361),FIND(" ",TRIM(C361)&amp;" ")-1),",","."),FIND("/",SUBSTITUTE(LEFT(TRIM(C361),FIND(" ",TRIM(C361)&amp;" ")-1),",","."))-1)/MID(SUBSTITUTE(LEFT(TRIM(C361),FIND(" ",TRIM(C361)&amp;" ")-1),",","."),FIND("/",SUBSTITUTE(LEFT(TRIM(C361),FIND(" ",TRIM(C361)&amp;" ")-1),",","."))+1,9))*12/52,IF(ISNUMBER(SEARCH("month",C361)),IFERROR(_xlfn.NUMBERVALUE(SUBSTITUTE(LEFT(TRIM(C361),FIND(" ",TRIM(C361)&amp;" ")-1),",","."),"."),LEFT(SUBSTITUTE(LEFT(TRIM(C361),FIND(" ",TRIM(C361)&amp;" ")-1),",","."),FIND("/",SUBSTITUTE(LEFT(TRIM(C361),FIND(" ",TRIM(C361)&amp;" ")-1),",","."))-1)/MID(SUBSTITUTE(LEFT(TRIM(C361),FIND(" ",TRIM(C361)&amp;" ")-1),",","."),FIND("/",SUBSTITUTE(LEFT(TRIM(C361),FIND(" ",TRIM(C361)&amp;" ")-1),",","."))+1,9)),IF(ISNUMBER(SEARCH("yea",C361)),IFERROR(_xlfn.NUMBERVALUE(SUBSTITUTE(LEFT(TRIM(C361),FIND(" ",TRIM(C361)&amp;" ")-1),",","."),"."),LEFT(SUBSTITUTE(LEFT(TRIM(C361),FIND(" ",TRIM(C361)&amp;" ")-1),",","."),FIND("/",SUBSTITUTE(LEFT(TRIM(C361),FIND(" ",TRIM(C361)&amp;" ")-1),",","."))-1)/MID(SUBSTITUTE(LEFT(TRIM(C361),FIND(" ",TRIM(C361)&amp;" ")-1),",","."),FIND("/",SUBSTITUTE(LEFT(TRIM(C361),FIND(" ",TRIM(C361)&amp;" ")-1),",","."))+1,9))*12,NA()))),0),24)*'Aturan &amp; Tarif'!$B$4,2)</f>
        <v>1362.72</v>
      </c>
      <c r="K361" s="42" t="n">
        <f aca="false">'Aturan &amp; Tarif'!$B$5</f>
        <v>2050</v>
      </c>
      <c r="L361" s="35" t="n">
        <f aca="false">I361+J361+K361</f>
        <v>21412.72</v>
      </c>
      <c r="M361" s="44" t="s">
        <v>1119</v>
      </c>
    </row>
    <row r="362" customFormat="false" ht="60" hidden="false" customHeight="true" outlineLevel="0" collapsed="false">
      <c r="A362" s="39"/>
      <c r="B362" s="40" t="s">
        <v>1120</v>
      </c>
      <c r="C362" s="41" t="s">
        <v>107</v>
      </c>
      <c r="D362" s="41" t="s">
        <v>108</v>
      </c>
      <c r="E362" s="42" t="n">
        <v>9000</v>
      </c>
      <c r="F362" s="42"/>
      <c r="G362" s="42"/>
      <c r="H362" s="43" t="n">
        <v>2</v>
      </c>
      <c r="I362" s="34" t="n">
        <f aca="false">E362*H362+N(F362)+N(G362)</f>
        <v>18000</v>
      </c>
      <c r="J362" s="42" t="n">
        <f aca="false">ROUND(IFERROR(ROUND(IF(OR(ISNUMBER(SEARCH("week",C362)),ISNUMBER(SEARCH("minggu",C362))),IFERROR(_xlfn.NUMBERVALUE(SUBSTITUTE(LEFT(TRIM(C362),FIND(" ",TRIM(C362)&amp;" ")-1),",","."),"."),LEFT(SUBSTITUTE(LEFT(TRIM(C362),FIND(" ",TRIM(C362)&amp;" ")-1),",","."),FIND("/",SUBSTITUTE(LEFT(TRIM(C362),FIND(" ",TRIM(C362)&amp;" ")-1),",","."))-1)/MID(SUBSTITUTE(LEFT(TRIM(C362),FIND(" ",TRIM(C362)&amp;" ")-1),",","."),FIND("/",SUBSTITUTE(LEFT(TRIM(C362),FIND(" ",TRIM(C362)&amp;" ")-1),",","."))+1,9))*12/52,IF(ISNUMBER(SEARCH("month",C362)),IFERROR(_xlfn.NUMBERVALUE(SUBSTITUTE(LEFT(TRIM(C362),FIND(" ",TRIM(C362)&amp;" ")-1),",","."),"."),LEFT(SUBSTITUTE(LEFT(TRIM(C362),FIND(" ",TRIM(C362)&amp;" ")-1),",","."),FIND("/",SUBSTITUTE(LEFT(TRIM(C362),FIND(" ",TRIM(C362)&amp;" ")-1),",","."))-1)/MID(SUBSTITUTE(LEFT(TRIM(C362),FIND(" ",TRIM(C362)&amp;" ")-1),",","."),FIND("/",SUBSTITUTE(LEFT(TRIM(C362),FIND(" ",TRIM(C362)&amp;" ")-1),",","."))+1,9)),IF(ISNUMBER(SEARCH("yea",C362)),IFERROR(_xlfn.NUMBERVALUE(SUBSTITUTE(LEFT(TRIM(C362),FIND(" ",TRIM(C362)&amp;" ")-1),",","."),"."),LEFT(SUBSTITUTE(LEFT(TRIM(C362),FIND(" ",TRIM(C362)&amp;" ")-1),",","."),FIND("/",SUBSTITUTE(LEFT(TRIM(C362),FIND(" ",TRIM(C362)&amp;" ")-1),",","."))-1)/MID(SUBSTITUTE(LEFT(TRIM(C362),FIND(" ",TRIM(C362)&amp;" ")-1),",","."),FIND("/",SUBSTITUTE(LEFT(TRIM(C362),FIND(" ",TRIM(C362)&amp;" ")-1),",","."))+1,9))*12,NA()))),0),24)*'Aturan &amp; Tarif'!$B$4,2)</f>
        <v>1362.72</v>
      </c>
      <c r="K362" s="42" t="n">
        <f aca="false">'Aturan &amp; Tarif'!$B$5</f>
        <v>2050</v>
      </c>
      <c r="L362" s="35" t="n">
        <f aca="false">I362+J362+K362</f>
        <v>21412.72</v>
      </c>
      <c r="M362" s="44" t="s">
        <v>1121</v>
      </c>
    </row>
    <row r="363" customFormat="false" ht="60" hidden="false" customHeight="true" outlineLevel="0" collapsed="false">
      <c r="A363" s="39"/>
      <c r="B363" s="40" t="s">
        <v>1122</v>
      </c>
      <c r="C363" s="41" t="s">
        <v>130</v>
      </c>
      <c r="D363" s="41" t="s">
        <v>108</v>
      </c>
      <c r="E363" s="42" t="n">
        <v>7332.5</v>
      </c>
      <c r="F363" s="42"/>
      <c r="G363" s="42"/>
      <c r="H363" s="43" t="n">
        <v>2</v>
      </c>
      <c r="I363" s="34" t="n">
        <f aca="false">E363*H363+N(F363)+N(G363)</f>
        <v>14665</v>
      </c>
      <c r="J363" s="42" t="n">
        <f aca="false">ROUND(IFERROR(ROUND(IF(OR(ISNUMBER(SEARCH("week",C363)),ISNUMBER(SEARCH("minggu",C363))),IFERROR(_xlfn.NUMBERVALUE(SUBSTITUTE(LEFT(TRIM(C363),FIND(" ",TRIM(C363)&amp;" ")-1),",","."),"."),LEFT(SUBSTITUTE(LEFT(TRIM(C363),FIND(" ",TRIM(C363)&amp;" ")-1),",","."),FIND("/",SUBSTITUTE(LEFT(TRIM(C363),FIND(" ",TRIM(C363)&amp;" ")-1),",","."))-1)/MID(SUBSTITUTE(LEFT(TRIM(C363),FIND(" ",TRIM(C363)&amp;" ")-1),",","."),FIND("/",SUBSTITUTE(LEFT(TRIM(C363),FIND(" ",TRIM(C363)&amp;" ")-1),",","."))+1,9))*12/52,IF(ISNUMBER(SEARCH("month",C363)),IFERROR(_xlfn.NUMBERVALUE(SUBSTITUTE(LEFT(TRIM(C363),FIND(" ",TRIM(C363)&amp;" ")-1),",","."),"."),LEFT(SUBSTITUTE(LEFT(TRIM(C363),FIND(" ",TRIM(C363)&amp;" ")-1),",","."),FIND("/",SUBSTITUTE(LEFT(TRIM(C363),FIND(" ",TRIM(C363)&amp;" ")-1),",","."))-1)/MID(SUBSTITUTE(LEFT(TRIM(C363),FIND(" ",TRIM(C363)&amp;" ")-1),",","."),FIND("/",SUBSTITUTE(LEFT(TRIM(C363),FIND(" ",TRIM(C363)&amp;" ")-1),",","."))+1,9)),IF(ISNUMBER(SEARCH("yea",C363)),IFERROR(_xlfn.NUMBERVALUE(SUBSTITUTE(LEFT(TRIM(C363),FIND(" ",TRIM(C363)&amp;" ")-1),",","."),"."),LEFT(SUBSTITUTE(LEFT(TRIM(C363),FIND(" ",TRIM(C363)&amp;" ")-1),",","."),FIND("/",SUBSTITUTE(LEFT(TRIM(C363),FIND(" ",TRIM(C363)&amp;" ")-1),",","."))-1)/MID(SUBSTITUTE(LEFT(TRIM(C363),FIND(" ",TRIM(C363)&amp;" ")-1),",","."),FIND("/",SUBSTITUTE(LEFT(TRIM(C363),FIND(" ",TRIM(C363)&amp;" ")-1),",","."))+1,9))*12,NA()))),0),12)*'Aturan &amp; Tarif'!$B$4,2)</f>
        <v>681.36</v>
      </c>
      <c r="K363" s="42" t="n">
        <f aca="false">'Aturan &amp; Tarif'!$B$5</f>
        <v>2050</v>
      </c>
      <c r="L363" s="35" t="n">
        <f aca="false">I363+J363+K363</f>
        <v>17396.36</v>
      </c>
      <c r="M363" s="44" t="s">
        <v>1123</v>
      </c>
    </row>
    <row r="364" customFormat="false" ht="60" hidden="false" customHeight="true" outlineLevel="0" collapsed="false">
      <c r="A364" s="39"/>
      <c r="B364" s="40" t="s">
        <v>1124</v>
      </c>
      <c r="C364" s="41" t="s">
        <v>127</v>
      </c>
      <c r="D364" s="41" t="s">
        <v>108</v>
      </c>
      <c r="E364" s="42" t="n">
        <v>7332.5</v>
      </c>
      <c r="F364" s="42"/>
      <c r="G364" s="42"/>
      <c r="H364" s="43" t="n">
        <v>2</v>
      </c>
      <c r="I364" s="34" t="n">
        <f aca="false">E364*H364+N(F364)+N(G364)</f>
        <v>14665</v>
      </c>
      <c r="J364" s="42" t="n">
        <f aca="false">ROUND(IFERROR(ROUND(IF(OR(ISNUMBER(SEARCH("week",C364)),ISNUMBER(SEARCH("minggu",C364))),IFERROR(_xlfn.NUMBERVALUE(SUBSTITUTE(LEFT(TRIM(C364),FIND(" ",TRIM(C364)&amp;" ")-1),",","."),"."),LEFT(SUBSTITUTE(LEFT(TRIM(C364),FIND(" ",TRIM(C364)&amp;" ")-1),",","."),FIND("/",SUBSTITUTE(LEFT(TRIM(C364),FIND(" ",TRIM(C364)&amp;" ")-1),",","."))-1)/MID(SUBSTITUTE(LEFT(TRIM(C364),FIND(" ",TRIM(C364)&amp;" ")-1),",","."),FIND("/",SUBSTITUTE(LEFT(TRIM(C364),FIND(" ",TRIM(C364)&amp;" ")-1),",","."))+1,9))*12/52,IF(ISNUMBER(SEARCH("month",C364)),IFERROR(_xlfn.NUMBERVALUE(SUBSTITUTE(LEFT(TRIM(C364),FIND(" ",TRIM(C364)&amp;" ")-1),",","."),"."),LEFT(SUBSTITUTE(LEFT(TRIM(C364),FIND(" ",TRIM(C364)&amp;" ")-1),",","."),FIND("/",SUBSTITUTE(LEFT(TRIM(C364),FIND(" ",TRIM(C364)&amp;" ")-1),",","."))-1)/MID(SUBSTITUTE(LEFT(TRIM(C364),FIND(" ",TRIM(C364)&amp;" ")-1),",","."),FIND("/",SUBSTITUTE(LEFT(TRIM(C364),FIND(" ",TRIM(C364)&amp;" ")-1),",","."))+1,9)),IF(ISNUMBER(SEARCH("yea",C364)),IFERROR(_xlfn.NUMBERVALUE(SUBSTITUTE(LEFT(TRIM(C364),FIND(" ",TRIM(C364)&amp;" ")-1),",","."),"."),LEFT(SUBSTITUTE(LEFT(TRIM(C364),FIND(" ",TRIM(C364)&amp;" ")-1),",","."),FIND("/",SUBSTITUTE(LEFT(TRIM(C364),FIND(" ",TRIM(C364)&amp;" ")-1),",","."))-1)/MID(SUBSTITUTE(LEFT(TRIM(C364),FIND(" ",TRIM(C364)&amp;" ")-1),",","."),FIND("/",SUBSTITUTE(LEFT(TRIM(C364),FIND(" ",TRIM(C364)&amp;" ")-1),",","."))+1,9))*12,NA()))),0),36)*'Aturan &amp; Tarif'!$B$4,2)</f>
        <v>2044.08</v>
      </c>
      <c r="K364" s="42" t="n">
        <f aca="false">'Aturan &amp; Tarif'!$B$5</f>
        <v>2050</v>
      </c>
      <c r="L364" s="35" t="n">
        <f aca="false">I364+J364+K364</f>
        <v>18759.08</v>
      </c>
      <c r="M364" s="44" t="s">
        <v>1125</v>
      </c>
    </row>
    <row r="365" customFormat="false" ht="60" hidden="false" customHeight="true" outlineLevel="0" collapsed="false">
      <c r="A365" s="39"/>
      <c r="B365" s="40" t="s">
        <v>1126</v>
      </c>
      <c r="C365" s="41" t="s">
        <v>130</v>
      </c>
      <c r="D365" s="41" t="s">
        <v>108</v>
      </c>
      <c r="E365" s="42" t="n">
        <v>7333</v>
      </c>
      <c r="F365" s="42"/>
      <c r="G365" s="42"/>
      <c r="H365" s="43" t="n">
        <v>2</v>
      </c>
      <c r="I365" s="34" t="n">
        <f aca="false">E365*H365+N(F365)+N(G365)</f>
        <v>14666</v>
      </c>
      <c r="J365" s="42" t="n">
        <f aca="false">ROUND(IFERROR(ROUND(IF(OR(ISNUMBER(SEARCH("week",C365)),ISNUMBER(SEARCH("minggu",C365))),IFERROR(_xlfn.NUMBERVALUE(SUBSTITUTE(LEFT(TRIM(C365),FIND(" ",TRIM(C365)&amp;" ")-1),",","."),"."),LEFT(SUBSTITUTE(LEFT(TRIM(C365),FIND(" ",TRIM(C365)&amp;" ")-1),",","."),FIND("/",SUBSTITUTE(LEFT(TRIM(C365),FIND(" ",TRIM(C365)&amp;" ")-1),",","."))-1)/MID(SUBSTITUTE(LEFT(TRIM(C365),FIND(" ",TRIM(C365)&amp;" ")-1),",","."),FIND("/",SUBSTITUTE(LEFT(TRIM(C365),FIND(" ",TRIM(C365)&amp;" ")-1),",","."))+1,9))*12/52,IF(ISNUMBER(SEARCH("month",C365)),IFERROR(_xlfn.NUMBERVALUE(SUBSTITUTE(LEFT(TRIM(C365),FIND(" ",TRIM(C365)&amp;" ")-1),",","."),"."),LEFT(SUBSTITUTE(LEFT(TRIM(C365),FIND(" ",TRIM(C365)&amp;" ")-1),",","."),FIND("/",SUBSTITUTE(LEFT(TRIM(C365),FIND(" ",TRIM(C365)&amp;" ")-1),",","."))-1)/MID(SUBSTITUTE(LEFT(TRIM(C365),FIND(" ",TRIM(C365)&amp;" ")-1),",","."),FIND("/",SUBSTITUTE(LEFT(TRIM(C365),FIND(" ",TRIM(C365)&amp;" ")-1),",","."))+1,9)),IF(ISNUMBER(SEARCH("yea",C365)),IFERROR(_xlfn.NUMBERVALUE(SUBSTITUTE(LEFT(TRIM(C365),FIND(" ",TRIM(C365)&amp;" ")-1),",","."),"."),LEFT(SUBSTITUTE(LEFT(TRIM(C365),FIND(" ",TRIM(C365)&amp;" ")-1),",","."),FIND("/",SUBSTITUTE(LEFT(TRIM(C365),FIND(" ",TRIM(C365)&amp;" ")-1),",","."))-1)/MID(SUBSTITUTE(LEFT(TRIM(C365),FIND(" ",TRIM(C365)&amp;" ")-1),",","."),FIND("/",SUBSTITUTE(LEFT(TRIM(C365),FIND(" ",TRIM(C365)&amp;" ")-1),",","."))+1,9))*12,NA()))),0),12)*'Aturan &amp; Tarif'!$B$4,2)</f>
        <v>681.36</v>
      </c>
      <c r="K365" s="42" t="n">
        <f aca="false">'Aturan &amp; Tarif'!$B$5</f>
        <v>2050</v>
      </c>
      <c r="L365" s="35" t="n">
        <f aca="false">I365+J365+K365</f>
        <v>17397.36</v>
      </c>
      <c r="M365" s="44" t="s">
        <v>1127</v>
      </c>
    </row>
    <row r="366" customFormat="false" ht="60" hidden="false" customHeight="true" outlineLevel="0" collapsed="false">
      <c r="A366" s="39"/>
      <c r="B366" s="40" t="s">
        <v>1128</v>
      </c>
      <c r="C366" s="41" t="s">
        <v>191</v>
      </c>
      <c r="D366" s="41" t="s">
        <v>108</v>
      </c>
      <c r="E366" s="42" t="n">
        <v>7333</v>
      </c>
      <c r="F366" s="42"/>
      <c r="G366" s="42"/>
      <c r="H366" s="43" t="n">
        <v>2</v>
      </c>
      <c r="I366" s="34" t="n">
        <f aca="false">E366*H366+N(F366)+N(G366)</f>
        <v>14666</v>
      </c>
      <c r="J366" s="42" t="n">
        <f aca="false">ROUND(IFERROR(ROUND(IF(OR(ISNUMBER(SEARCH("week",C366)),ISNUMBER(SEARCH("minggu",C366))),IFERROR(_xlfn.NUMBERVALUE(SUBSTITUTE(LEFT(TRIM(C366),FIND(" ",TRIM(C366)&amp;" ")-1),",","."),"."),LEFT(SUBSTITUTE(LEFT(TRIM(C366),FIND(" ",TRIM(C366)&amp;" ")-1),",","."),FIND("/",SUBSTITUTE(LEFT(TRIM(C366),FIND(" ",TRIM(C366)&amp;" ")-1),",","."))-1)/MID(SUBSTITUTE(LEFT(TRIM(C366),FIND(" ",TRIM(C366)&amp;" ")-1),",","."),FIND("/",SUBSTITUTE(LEFT(TRIM(C366),FIND(" ",TRIM(C366)&amp;" ")-1),",","."))+1,9))*12/52,IF(ISNUMBER(SEARCH("month",C366)),IFERROR(_xlfn.NUMBERVALUE(SUBSTITUTE(LEFT(TRIM(C366),FIND(" ",TRIM(C366)&amp;" ")-1),",","."),"."),LEFT(SUBSTITUTE(LEFT(TRIM(C366),FIND(" ",TRIM(C366)&amp;" ")-1),",","."),FIND("/",SUBSTITUTE(LEFT(TRIM(C366),FIND(" ",TRIM(C366)&amp;" ")-1),",","."))-1)/MID(SUBSTITUTE(LEFT(TRIM(C366),FIND(" ",TRIM(C366)&amp;" ")-1),",","."),FIND("/",SUBSTITUTE(LEFT(TRIM(C366),FIND(" ",TRIM(C366)&amp;" ")-1),",","."))+1,9)),IF(ISNUMBER(SEARCH("yea",C366)),IFERROR(_xlfn.NUMBERVALUE(SUBSTITUTE(LEFT(TRIM(C366),FIND(" ",TRIM(C366)&amp;" ")-1),",","."),"."),LEFT(SUBSTITUTE(LEFT(TRIM(C366),FIND(" ",TRIM(C366)&amp;" ")-1),",","."),FIND("/",SUBSTITUTE(LEFT(TRIM(C366),FIND(" ",TRIM(C366)&amp;" ")-1),",","."))-1)/MID(SUBSTITUTE(LEFT(TRIM(C366),FIND(" ",TRIM(C366)&amp;" ")-1),",","."),FIND("/",SUBSTITUTE(LEFT(TRIM(C366),FIND(" ",TRIM(C366)&amp;" ")-1),",","."))+1,9))*12,NA()))),0),48)*'Aturan &amp; Tarif'!$B$4,2)</f>
        <v>2725.44</v>
      </c>
      <c r="K366" s="42" t="n">
        <f aca="false">'Aturan &amp; Tarif'!$B$5</f>
        <v>2050</v>
      </c>
      <c r="L366" s="35" t="n">
        <f aca="false">I366+J366+K366</f>
        <v>19441.44</v>
      </c>
      <c r="M366" s="44" t="s">
        <v>1129</v>
      </c>
    </row>
    <row r="367" customFormat="false" ht="60" hidden="false" customHeight="true" outlineLevel="0" collapsed="false">
      <c r="A367" s="39"/>
      <c r="B367" s="40" t="s">
        <v>1130</v>
      </c>
      <c r="C367" s="41" t="s">
        <v>191</v>
      </c>
      <c r="D367" s="41" t="s">
        <v>108</v>
      </c>
      <c r="E367" s="42" t="n">
        <v>7333</v>
      </c>
      <c r="F367" s="42"/>
      <c r="G367" s="42"/>
      <c r="H367" s="43" t="n">
        <v>2</v>
      </c>
      <c r="I367" s="34" t="n">
        <f aca="false">E367*H367+N(F367)+N(G367)</f>
        <v>14666</v>
      </c>
      <c r="J367" s="42" t="n">
        <f aca="false">ROUND(IFERROR(ROUND(IF(OR(ISNUMBER(SEARCH("week",C367)),ISNUMBER(SEARCH("minggu",C367))),IFERROR(_xlfn.NUMBERVALUE(SUBSTITUTE(LEFT(TRIM(C367),FIND(" ",TRIM(C367)&amp;" ")-1),",","."),"."),LEFT(SUBSTITUTE(LEFT(TRIM(C367),FIND(" ",TRIM(C367)&amp;" ")-1),",","."),FIND("/",SUBSTITUTE(LEFT(TRIM(C367),FIND(" ",TRIM(C367)&amp;" ")-1),",","."))-1)/MID(SUBSTITUTE(LEFT(TRIM(C367),FIND(" ",TRIM(C367)&amp;" ")-1),",","."),FIND("/",SUBSTITUTE(LEFT(TRIM(C367),FIND(" ",TRIM(C367)&amp;" ")-1),",","."))+1,9))*12/52,IF(ISNUMBER(SEARCH("month",C367)),IFERROR(_xlfn.NUMBERVALUE(SUBSTITUTE(LEFT(TRIM(C367),FIND(" ",TRIM(C367)&amp;" ")-1),",","."),"."),LEFT(SUBSTITUTE(LEFT(TRIM(C367),FIND(" ",TRIM(C367)&amp;" ")-1),",","."),FIND("/",SUBSTITUTE(LEFT(TRIM(C367),FIND(" ",TRIM(C367)&amp;" ")-1),",","."))-1)/MID(SUBSTITUTE(LEFT(TRIM(C367),FIND(" ",TRIM(C367)&amp;" ")-1),",","."),FIND("/",SUBSTITUTE(LEFT(TRIM(C367),FIND(" ",TRIM(C367)&amp;" ")-1),",","."))+1,9)),IF(ISNUMBER(SEARCH("yea",C367)),IFERROR(_xlfn.NUMBERVALUE(SUBSTITUTE(LEFT(TRIM(C367),FIND(" ",TRIM(C367)&amp;" ")-1),",","."),"."),LEFT(SUBSTITUTE(LEFT(TRIM(C367),FIND(" ",TRIM(C367)&amp;" ")-1),",","."),FIND("/",SUBSTITUTE(LEFT(TRIM(C367),FIND(" ",TRIM(C367)&amp;" ")-1),",","."))-1)/MID(SUBSTITUTE(LEFT(TRIM(C367),FIND(" ",TRIM(C367)&amp;" ")-1),",","."),FIND("/",SUBSTITUTE(LEFT(TRIM(C367),FIND(" ",TRIM(C367)&amp;" ")-1),",","."))+1,9))*12,NA()))),0),48)*'Aturan &amp; Tarif'!$B$4,2)</f>
        <v>2725.44</v>
      </c>
      <c r="K367" s="42" t="n">
        <f aca="false">'Aturan &amp; Tarif'!$B$5</f>
        <v>2050</v>
      </c>
      <c r="L367" s="35" t="n">
        <f aca="false">I367+J367+K367</f>
        <v>19441.44</v>
      </c>
      <c r="M367" s="44" t="s">
        <v>1131</v>
      </c>
    </row>
    <row r="368" customFormat="false" ht="60" hidden="false" customHeight="true" outlineLevel="0" collapsed="false">
      <c r="A368" s="39"/>
      <c r="B368" s="40" t="s">
        <v>1132</v>
      </c>
      <c r="C368" s="41" t="s">
        <v>127</v>
      </c>
      <c r="D368" s="41" t="s">
        <v>108</v>
      </c>
      <c r="E368" s="42" t="n">
        <v>7333</v>
      </c>
      <c r="F368" s="42"/>
      <c r="G368" s="42"/>
      <c r="H368" s="43" t="n">
        <v>2</v>
      </c>
      <c r="I368" s="34" t="n">
        <f aca="false">E368*H368+N(F368)+N(G368)</f>
        <v>14666</v>
      </c>
      <c r="J368" s="42" t="n">
        <f aca="false">ROUND(IFERROR(ROUND(IF(OR(ISNUMBER(SEARCH("week",C368)),ISNUMBER(SEARCH("minggu",C368))),IFERROR(_xlfn.NUMBERVALUE(SUBSTITUTE(LEFT(TRIM(C368),FIND(" ",TRIM(C368)&amp;" ")-1),",","."),"."),LEFT(SUBSTITUTE(LEFT(TRIM(C368),FIND(" ",TRIM(C368)&amp;" ")-1),",","."),FIND("/",SUBSTITUTE(LEFT(TRIM(C368),FIND(" ",TRIM(C368)&amp;" ")-1),",","."))-1)/MID(SUBSTITUTE(LEFT(TRIM(C368),FIND(" ",TRIM(C368)&amp;" ")-1),",","."),FIND("/",SUBSTITUTE(LEFT(TRIM(C368),FIND(" ",TRIM(C368)&amp;" ")-1),",","."))+1,9))*12/52,IF(ISNUMBER(SEARCH("month",C368)),IFERROR(_xlfn.NUMBERVALUE(SUBSTITUTE(LEFT(TRIM(C368),FIND(" ",TRIM(C368)&amp;" ")-1),",","."),"."),LEFT(SUBSTITUTE(LEFT(TRIM(C368),FIND(" ",TRIM(C368)&amp;" ")-1),",","."),FIND("/",SUBSTITUTE(LEFT(TRIM(C368),FIND(" ",TRIM(C368)&amp;" ")-1),",","."))-1)/MID(SUBSTITUTE(LEFT(TRIM(C368),FIND(" ",TRIM(C368)&amp;" ")-1),",","."),FIND("/",SUBSTITUTE(LEFT(TRIM(C368),FIND(" ",TRIM(C368)&amp;" ")-1),",","."))+1,9)),IF(ISNUMBER(SEARCH("yea",C368)),IFERROR(_xlfn.NUMBERVALUE(SUBSTITUTE(LEFT(TRIM(C368),FIND(" ",TRIM(C368)&amp;" ")-1),",","."),"."),LEFT(SUBSTITUTE(LEFT(TRIM(C368),FIND(" ",TRIM(C368)&amp;" ")-1),",","."),FIND("/",SUBSTITUTE(LEFT(TRIM(C368),FIND(" ",TRIM(C368)&amp;" ")-1),",","."))-1)/MID(SUBSTITUTE(LEFT(TRIM(C368),FIND(" ",TRIM(C368)&amp;" ")-1),",","."),FIND("/",SUBSTITUTE(LEFT(TRIM(C368),FIND(" ",TRIM(C368)&amp;" ")-1),",","."))+1,9))*12,NA()))),0),36)*'Aturan &amp; Tarif'!$B$4,2)</f>
        <v>2044.08</v>
      </c>
      <c r="K368" s="42" t="n">
        <f aca="false">'Aturan &amp; Tarif'!$B$5</f>
        <v>2050</v>
      </c>
      <c r="L368" s="35" t="n">
        <f aca="false">I368+J368+K368</f>
        <v>18760.08</v>
      </c>
      <c r="M368" s="44" t="s">
        <v>1133</v>
      </c>
    </row>
    <row r="369" customFormat="false" ht="60" hidden="false" customHeight="true" outlineLevel="0" collapsed="false">
      <c r="A369" s="39"/>
      <c r="B369" s="40" t="s">
        <v>1134</v>
      </c>
      <c r="C369" s="41" t="s">
        <v>127</v>
      </c>
      <c r="D369" s="41" t="s">
        <v>108</v>
      </c>
      <c r="E369" s="42" t="n">
        <v>7333</v>
      </c>
      <c r="F369" s="42"/>
      <c r="G369" s="42"/>
      <c r="H369" s="43" t="n">
        <v>2</v>
      </c>
      <c r="I369" s="34" t="n">
        <f aca="false">E369*H369+N(F369)+N(G369)</f>
        <v>14666</v>
      </c>
      <c r="J369" s="42" t="n">
        <f aca="false">ROUND(IFERROR(ROUND(IF(OR(ISNUMBER(SEARCH("week",C369)),ISNUMBER(SEARCH("minggu",C369))),IFERROR(_xlfn.NUMBERVALUE(SUBSTITUTE(LEFT(TRIM(C369),FIND(" ",TRIM(C369)&amp;" ")-1),",","."),"."),LEFT(SUBSTITUTE(LEFT(TRIM(C369),FIND(" ",TRIM(C369)&amp;" ")-1),",","."),FIND("/",SUBSTITUTE(LEFT(TRIM(C369),FIND(" ",TRIM(C369)&amp;" ")-1),",","."))-1)/MID(SUBSTITUTE(LEFT(TRIM(C369),FIND(" ",TRIM(C369)&amp;" ")-1),",","."),FIND("/",SUBSTITUTE(LEFT(TRIM(C369),FIND(" ",TRIM(C369)&amp;" ")-1),",","."))+1,9))*12/52,IF(ISNUMBER(SEARCH("month",C369)),IFERROR(_xlfn.NUMBERVALUE(SUBSTITUTE(LEFT(TRIM(C369),FIND(" ",TRIM(C369)&amp;" ")-1),",","."),"."),LEFT(SUBSTITUTE(LEFT(TRIM(C369),FIND(" ",TRIM(C369)&amp;" ")-1),",","."),FIND("/",SUBSTITUTE(LEFT(TRIM(C369),FIND(" ",TRIM(C369)&amp;" ")-1),",","."))-1)/MID(SUBSTITUTE(LEFT(TRIM(C369),FIND(" ",TRIM(C369)&amp;" ")-1),",","."),FIND("/",SUBSTITUTE(LEFT(TRIM(C369),FIND(" ",TRIM(C369)&amp;" ")-1),",","."))+1,9)),IF(ISNUMBER(SEARCH("yea",C369)),IFERROR(_xlfn.NUMBERVALUE(SUBSTITUTE(LEFT(TRIM(C369),FIND(" ",TRIM(C369)&amp;" ")-1),",","."),"."),LEFT(SUBSTITUTE(LEFT(TRIM(C369),FIND(" ",TRIM(C369)&amp;" ")-1),",","."),FIND("/",SUBSTITUTE(LEFT(TRIM(C369),FIND(" ",TRIM(C369)&amp;" ")-1),",","."))-1)/MID(SUBSTITUTE(LEFT(TRIM(C369),FIND(" ",TRIM(C369)&amp;" ")-1),",","."),FIND("/",SUBSTITUTE(LEFT(TRIM(C369),FIND(" ",TRIM(C369)&amp;" ")-1),",","."))+1,9))*12,NA()))),0),36)*'Aturan &amp; Tarif'!$B$4,2)</f>
        <v>2044.08</v>
      </c>
      <c r="K369" s="42" t="n">
        <f aca="false">'Aturan &amp; Tarif'!$B$5</f>
        <v>2050</v>
      </c>
      <c r="L369" s="35" t="n">
        <f aca="false">I369+J369+K369</f>
        <v>18760.08</v>
      </c>
      <c r="M369" s="44" t="s">
        <v>1135</v>
      </c>
    </row>
    <row r="370" customFormat="false" ht="60" hidden="false" customHeight="true" outlineLevel="0" collapsed="false">
      <c r="A370" s="39"/>
      <c r="B370" s="40" t="s">
        <v>265</v>
      </c>
      <c r="C370" s="41" t="s">
        <v>127</v>
      </c>
      <c r="D370" s="41" t="s">
        <v>108</v>
      </c>
      <c r="E370" s="42" t="n">
        <v>8750</v>
      </c>
      <c r="F370" s="42"/>
      <c r="G370" s="42"/>
      <c r="H370" s="43" t="n">
        <v>2</v>
      </c>
      <c r="I370" s="34" t="n">
        <f aca="false">E370*H370+N(F370)+N(G370)</f>
        <v>17500</v>
      </c>
      <c r="J370" s="42" t="n">
        <f aca="false">ROUND(IFERROR(ROUND(IF(OR(ISNUMBER(SEARCH("week",C370)),ISNUMBER(SEARCH("minggu",C370))),IFERROR(_xlfn.NUMBERVALUE(SUBSTITUTE(LEFT(TRIM(C370),FIND(" ",TRIM(C370)&amp;" ")-1),",","."),"."),LEFT(SUBSTITUTE(LEFT(TRIM(C370),FIND(" ",TRIM(C370)&amp;" ")-1),",","."),FIND("/",SUBSTITUTE(LEFT(TRIM(C370),FIND(" ",TRIM(C370)&amp;" ")-1),",","."))-1)/MID(SUBSTITUTE(LEFT(TRIM(C370),FIND(" ",TRIM(C370)&amp;" ")-1),",","."),FIND("/",SUBSTITUTE(LEFT(TRIM(C370),FIND(" ",TRIM(C370)&amp;" ")-1),",","."))+1,9))*12/52,IF(ISNUMBER(SEARCH("month",C370)),IFERROR(_xlfn.NUMBERVALUE(SUBSTITUTE(LEFT(TRIM(C370),FIND(" ",TRIM(C370)&amp;" ")-1),",","."),"."),LEFT(SUBSTITUTE(LEFT(TRIM(C370),FIND(" ",TRIM(C370)&amp;" ")-1),",","."),FIND("/",SUBSTITUTE(LEFT(TRIM(C370),FIND(" ",TRIM(C370)&amp;" ")-1),",","."))-1)/MID(SUBSTITUTE(LEFT(TRIM(C370),FIND(" ",TRIM(C370)&amp;" ")-1),",","."),FIND("/",SUBSTITUTE(LEFT(TRIM(C370),FIND(" ",TRIM(C370)&amp;" ")-1),",","."))+1,9)),IF(ISNUMBER(SEARCH("yea",C370)),IFERROR(_xlfn.NUMBERVALUE(SUBSTITUTE(LEFT(TRIM(C370),FIND(" ",TRIM(C370)&amp;" ")-1),",","."),"."),LEFT(SUBSTITUTE(LEFT(TRIM(C370),FIND(" ",TRIM(C370)&amp;" ")-1),",","."),FIND("/",SUBSTITUTE(LEFT(TRIM(C370),FIND(" ",TRIM(C370)&amp;" ")-1),",","."))-1)/MID(SUBSTITUTE(LEFT(TRIM(C370),FIND(" ",TRIM(C370)&amp;" ")-1),",","."),FIND("/",SUBSTITUTE(LEFT(TRIM(C370),FIND(" ",TRIM(C370)&amp;" ")-1),",","."))+1,9))*12,NA()))),0),36)*'Aturan &amp; Tarif'!$B$4,2)</f>
        <v>2044.08</v>
      </c>
      <c r="K370" s="42" t="n">
        <f aca="false">'Aturan &amp; Tarif'!$B$5</f>
        <v>2050</v>
      </c>
      <c r="L370" s="35" t="n">
        <f aca="false">I370+J370+K370</f>
        <v>21594.08</v>
      </c>
      <c r="M370" s="44" t="s">
        <v>1136</v>
      </c>
    </row>
    <row r="371" customFormat="false" ht="60" hidden="false" customHeight="true" outlineLevel="0" collapsed="false">
      <c r="A371" s="39"/>
      <c r="B371" s="40" t="s">
        <v>1137</v>
      </c>
      <c r="C371" s="41" t="s">
        <v>127</v>
      </c>
      <c r="D371" s="41" t="s">
        <v>108</v>
      </c>
      <c r="E371" s="42" t="n">
        <v>7333</v>
      </c>
      <c r="F371" s="42"/>
      <c r="G371" s="42"/>
      <c r="H371" s="43" t="n">
        <v>2</v>
      </c>
      <c r="I371" s="34" t="n">
        <f aca="false">E371*H371+N(F371)+N(G371)</f>
        <v>14666</v>
      </c>
      <c r="J371" s="42" t="n">
        <f aca="false">ROUND(IFERROR(ROUND(IF(OR(ISNUMBER(SEARCH("week",C371)),ISNUMBER(SEARCH("minggu",C371))),IFERROR(_xlfn.NUMBERVALUE(SUBSTITUTE(LEFT(TRIM(C371),FIND(" ",TRIM(C371)&amp;" ")-1),",","."),"."),LEFT(SUBSTITUTE(LEFT(TRIM(C371),FIND(" ",TRIM(C371)&amp;" ")-1),",","."),FIND("/",SUBSTITUTE(LEFT(TRIM(C371),FIND(" ",TRIM(C371)&amp;" ")-1),",","."))-1)/MID(SUBSTITUTE(LEFT(TRIM(C371),FIND(" ",TRIM(C371)&amp;" ")-1),",","."),FIND("/",SUBSTITUTE(LEFT(TRIM(C371),FIND(" ",TRIM(C371)&amp;" ")-1),",","."))+1,9))*12/52,IF(ISNUMBER(SEARCH("month",C371)),IFERROR(_xlfn.NUMBERVALUE(SUBSTITUTE(LEFT(TRIM(C371),FIND(" ",TRIM(C371)&amp;" ")-1),",","."),"."),LEFT(SUBSTITUTE(LEFT(TRIM(C371),FIND(" ",TRIM(C371)&amp;" ")-1),",","."),FIND("/",SUBSTITUTE(LEFT(TRIM(C371),FIND(" ",TRIM(C371)&amp;" ")-1),",","."))-1)/MID(SUBSTITUTE(LEFT(TRIM(C371),FIND(" ",TRIM(C371)&amp;" ")-1),",","."),FIND("/",SUBSTITUTE(LEFT(TRIM(C371),FIND(" ",TRIM(C371)&amp;" ")-1),",","."))+1,9)),IF(ISNUMBER(SEARCH("yea",C371)),IFERROR(_xlfn.NUMBERVALUE(SUBSTITUTE(LEFT(TRIM(C371),FIND(" ",TRIM(C371)&amp;" ")-1),",","."),"."),LEFT(SUBSTITUTE(LEFT(TRIM(C371),FIND(" ",TRIM(C371)&amp;" ")-1),",","."),FIND("/",SUBSTITUTE(LEFT(TRIM(C371),FIND(" ",TRIM(C371)&amp;" ")-1),",","."))-1)/MID(SUBSTITUTE(LEFT(TRIM(C371),FIND(" ",TRIM(C371)&amp;" ")-1),",","."),FIND("/",SUBSTITUTE(LEFT(TRIM(C371),FIND(" ",TRIM(C371)&amp;" ")-1),",","."))+1,9))*12,NA()))),0),36)*'Aturan &amp; Tarif'!$B$4,2)</f>
        <v>2044.08</v>
      </c>
      <c r="K371" s="42" t="n">
        <f aca="false">'Aturan &amp; Tarif'!$B$5</f>
        <v>2050</v>
      </c>
      <c r="L371" s="35" t="n">
        <f aca="false">I371+J371+K371</f>
        <v>18760.08</v>
      </c>
      <c r="M371" s="44" t="s">
        <v>1138</v>
      </c>
    </row>
    <row r="372" customFormat="false" ht="14.25" hidden="false" customHeight="true" outlineLevel="0" collapsed="false">
      <c r="A372" s="39"/>
      <c r="B372" s="40" t="s">
        <v>575</v>
      </c>
      <c r="C372" s="41" t="s">
        <v>127</v>
      </c>
      <c r="D372" s="41" t="s">
        <v>108</v>
      </c>
      <c r="E372" s="42" t="n">
        <v>8637</v>
      </c>
      <c r="F372" s="42"/>
      <c r="G372" s="42"/>
      <c r="H372" s="43" t="n">
        <v>2</v>
      </c>
      <c r="I372" s="34" t="n">
        <f aca="false">E372*H372+N(F372)+N(G372)</f>
        <v>17274</v>
      </c>
      <c r="J372" s="42" t="n">
        <f aca="false">ROUND(IFERROR(ROUND(IF(OR(ISNUMBER(SEARCH("week",C372)),ISNUMBER(SEARCH("minggu",C372))),IFERROR(_xlfn.NUMBERVALUE(SUBSTITUTE(LEFT(TRIM(C372),FIND(" ",TRIM(C372)&amp;" ")-1),",","."),"."),LEFT(SUBSTITUTE(LEFT(TRIM(C372),FIND(" ",TRIM(C372)&amp;" ")-1),",","."),FIND("/",SUBSTITUTE(LEFT(TRIM(C372),FIND(" ",TRIM(C372)&amp;" ")-1),",","."))-1)/MID(SUBSTITUTE(LEFT(TRIM(C372),FIND(" ",TRIM(C372)&amp;" ")-1),",","."),FIND("/",SUBSTITUTE(LEFT(TRIM(C372),FIND(" ",TRIM(C372)&amp;" ")-1),",","."))+1,9))*12/52,IF(ISNUMBER(SEARCH("month",C372)),IFERROR(_xlfn.NUMBERVALUE(SUBSTITUTE(LEFT(TRIM(C372),FIND(" ",TRIM(C372)&amp;" ")-1),",","."),"."),LEFT(SUBSTITUTE(LEFT(TRIM(C372),FIND(" ",TRIM(C372)&amp;" ")-1),",","."),FIND("/",SUBSTITUTE(LEFT(TRIM(C372),FIND(" ",TRIM(C372)&amp;" ")-1),",","."))-1)/MID(SUBSTITUTE(LEFT(TRIM(C372),FIND(" ",TRIM(C372)&amp;" ")-1),",","."),FIND("/",SUBSTITUTE(LEFT(TRIM(C372),FIND(" ",TRIM(C372)&amp;" ")-1),",","."))+1,9)),IF(ISNUMBER(SEARCH("yea",C372)),IFERROR(_xlfn.NUMBERVALUE(SUBSTITUTE(LEFT(TRIM(C372),FIND(" ",TRIM(C372)&amp;" ")-1),",","."),"."),LEFT(SUBSTITUTE(LEFT(TRIM(C372),FIND(" ",TRIM(C372)&amp;" ")-1),",","."),FIND("/",SUBSTITUTE(LEFT(TRIM(C372),FIND(" ",TRIM(C372)&amp;" ")-1),",","."))-1)/MID(SUBSTITUTE(LEFT(TRIM(C372),FIND(" ",TRIM(C372)&amp;" ")-1),",","."),FIND("/",SUBSTITUTE(LEFT(TRIM(C372),FIND(" ",TRIM(C372)&amp;" ")-1),",","."))+1,9))*12,NA()))),0),36)*'Aturan &amp; Tarif'!$B$4,2)</f>
        <v>2044.08</v>
      </c>
      <c r="K372" s="42" t="n">
        <f aca="false">'Aturan &amp; Tarif'!$B$5</f>
        <v>2050</v>
      </c>
      <c r="L372" s="35" t="n">
        <f aca="false">I372+J372+K372</f>
        <v>21368.08</v>
      </c>
      <c r="M372" s="45" t="s">
        <v>1139</v>
      </c>
    </row>
    <row r="373" customFormat="false" ht="60" hidden="false" customHeight="true" outlineLevel="0" collapsed="false">
      <c r="A373" s="39"/>
      <c r="B373" s="40" t="s">
        <v>560</v>
      </c>
      <c r="C373" s="41" t="s">
        <v>344</v>
      </c>
      <c r="D373" s="41" t="s">
        <v>108</v>
      </c>
      <c r="E373" s="42" t="n">
        <v>3975</v>
      </c>
      <c r="F373" s="42"/>
      <c r="G373" s="42"/>
      <c r="H373" s="43" t="n">
        <v>2</v>
      </c>
      <c r="I373" s="34" t="n">
        <f aca="false">E373*H373+N(F373)+N(G373)</f>
        <v>7950</v>
      </c>
      <c r="J373" s="42" t="n">
        <f aca="false">ROUND(IFERROR(ROUND(IF(OR(ISNUMBER(SEARCH("week",C373)),ISNUMBER(SEARCH("minggu",C373))),IFERROR(_xlfn.NUMBERVALUE(SUBSTITUTE(LEFT(TRIM(C373),FIND(" ",TRIM(C373)&amp;" ")-1),",","."),"."),LEFT(SUBSTITUTE(LEFT(TRIM(C373),FIND(" ",TRIM(C373)&amp;" ")-1),",","."),FIND("/",SUBSTITUTE(LEFT(TRIM(C373),FIND(" ",TRIM(C373)&amp;" ")-1),",","."))-1)/MID(SUBSTITUTE(LEFT(TRIM(C373),FIND(" ",TRIM(C373)&amp;" ")-1),",","."),FIND("/",SUBSTITUTE(LEFT(TRIM(C373),FIND(" ",TRIM(C373)&amp;" ")-1),",","."))+1,9))*12/52,IF(ISNUMBER(SEARCH("month",C373)),IFERROR(_xlfn.NUMBERVALUE(SUBSTITUTE(LEFT(TRIM(C373),FIND(" ",TRIM(C373)&amp;" ")-1),",","."),"."),LEFT(SUBSTITUTE(LEFT(TRIM(C373),FIND(" ",TRIM(C373)&amp;" ")-1),",","."),FIND("/",SUBSTITUTE(LEFT(TRIM(C373),FIND(" ",TRIM(C373)&amp;" ")-1),",","."))-1)/MID(SUBSTITUTE(LEFT(TRIM(C373),FIND(" ",TRIM(C373)&amp;" ")-1),",","."),FIND("/",SUBSTITUTE(LEFT(TRIM(C373),FIND(" ",TRIM(C373)&amp;" ")-1),",","."))+1,9)),IF(ISNUMBER(SEARCH("yea",C373)),IFERROR(_xlfn.NUMBERVALUE(SUBSTITUTE(LEFT(TRIM(C373),FIND(" ",TRIM(C373)&amp;" ")-1),",","."),"."),LEFT(SUBSTITUTE(LEFT(TRIM(C373),FIND(" ",TRIM(C373)&amp;" ")-1),",","."),FIND("/",SUBSTITUTE(LEFT(TRIM(C373),FIND(" ",TRIM(C373)&amp;" ")-1),",","."))-1)/MID(SUBSTITUTE(LEFT(TRIM(C373),FIND(" ",TRIM(C373)&amp;" ")-1),",","."),FIND("/",SUBSTITUTE(LEFT(TRIM(C373),FIND(" ",TRIM(C373)&amp;" ")-1),",","."))+1,9))*12,NA()))),0),6)*'Aturan &amp; Tarif'!$B$4,2)</f>
        <v>340.68</v>
      </c>
      <c r="K373" s="42" t="n">
        <f aca="false">'Aturan &amp; Tarif'!$B$5</f>
        <v>2050</v>
      </c>
      <c r="L373" s="35" t="n">
        <f aca="false">I373+J373+K373</f>
        <v>10340.68</v>
      </c>
      <c r="M373" s="44" t="s">
        <v>1140</v>
      </c>
    </row>
    <row r="374" customFormat="false" ht="60" hidden="false" customHeight="true" outlineLevel="0" collapsed="false">
      <c r="A374" s="39"/>
      <c r="B374" s="40" t="s">
        <v>559</v>
      </c>
      <c r="C374" s="41" t="s">
        <v>130</v>
      </c>
      <c r="D374" s="41" t="s">
        <v>108</v>
      </c>
      <c r="E374" s="42" t="n">
        <v>7950</v>
      </c>
      <c r="F374" s="42"/>
      <c r="G374" s="42"/>
      <c r="H374" s="43" t="n">
        <v>2</v>
      </c>
      <c r="I374" s="34" t="n">
        <f aca="false">E374*H374+N(F374)+N(G374)</f>
        <v>15900</v>
      </c>
      <c r="J374" s="42" t="n">
        <f aca="false">ROUND(IFERROR(ROUND(IF(OR(ISNUMBER(SEARCH("week",C374)),ISNUMBER(SEARCH("minggu",C374))),IFERROR(_xlfn.NUMBERVALUE(SUBSTITUTE(LEFT(TRIM(C374),FIND(" ",TRIM(C374)&amp;" ")-1),",","."),"."),LEFT(SUBSTITUTE(LEFT(TRIM(C374),FIND(" ",TRIM(C374)&amp;" ")-1),",","."),FIND("/",SUBSTITUTE(LEFT(TRIM(C374),FIND(" ",TRIM(C374)&amp;" ")-1),",","."))-1)/MID(SUBSTITUTE(LEFT(TRIM(C374),FIND(" ",TRIM(C374)&amp;" ")-1),",","."),FIND("/",SUBSTITUTE(LEFT(TRIM(C374),FIND(" ",TRIM(C374)&amp;" ")-1),",","."))+1,9))*12/52,IF(ISNUMBER(SEARCH("month",C374)),IFERROR(_xlfn.NUMBERVALUE(SUBSTITUTE(LEFT(TRIM(C374),FIND(" ",TRIM(C374)&amp;" ")-1),",","."),"."),LEFT(SUBSTITUTE(LEFT(TRIM(C374),FIND(" ",TRIM(C374)&amp;" ")-1),",","."),FIND("/",SUBSTITUTE(LEFT(TRIM(C374),FIND(" ",TRIM(C374)&amp;" ")-1),",","."))-1)/MID(SUBSTITUTE(LEFT(TRIM(C374),FIND(" ",TRIM(C374)&amp;" ")-1),",","."),FIND("/",SUBSTITUTE(LEFT(TRIM(C374),FIND(" ",TRIM(C374)&amp;" ")-1),",","."))+1,9)),IF(ISNUMBER(SEARCH("yea",C374)),IFERROR(_xlfn.NUMBERVALUE(SUBSTITUTE(LEFT(TRIM(C374),FIND(" ",TRIM(C374)&amp;" ")-1),",","."),"."),LEFT(SUBSTITUTE(LEFT(TRIM(C374),FIND(" ",TRIM(C374)&amp;" ")-1),",","."),FIND("/",SUBSTITUTE(LEFT(TRIM(C374),FIND(" ",TRIM(C374)&amp;" ")-1),",","."))-1)/MID(SUBSTITUTE(LEFT(TRIM(C374),FIND(" ",TRIM(C374)&amp;" ")-1),",","."),FIND("/",SUBSTITUTE(LEFT(TRIM(C374),FIND(" ",TRIM(C374)&amp;" ")-1),",","."))+1,9))*12,NA()))),0),12)*'Aturan &amp; Tarif'!$B$4,2)</f>
        <v>681.36</v>
      </c>
      <c r="K374" s="42" t="n">
        <f aca="false">'Aturan &amp; Tarif'!$B$5</f>
        <v>2050</v>
      </c>
      <c r="L374" s="35" t="n">
        <f aca="false">I374+J374+K374</f>
        <v>18631.36</v>
      </c>
      <c r="M374" s="44" t="s">
        <v>1141</v>
      </c>
    </row>
    <row r="375" customFormat="false" ht="60" hidden="false" customHeight="true" outlineLevel="0" collapsed="false">
      <c r="A375" s="39"/>
      <c r="B375" s="40" t="s">
        <v>283</v>
      </c>
      <c r="C375" s="41" t="s">
        <v>113</v>
      </c>
      <c r="D375" s="41" t="s">
        <v>108</v>
      </c>
      <c r="E375" s="42" t="n">
        <v>7950</v>
      </c>
      <c r="F375" s="42"/>
      <c r="G375" s="42"/>
      <c r="H375" s="43" t="n">
        <v>2</v>
      </c>
      <c r="I375" s="34" t="n">
        <f aca="false">E375*H375+N(F375)+N(G375)</f>
        <v>15900</v>
      </c>
      <c r="J375" s="42" t="n">
        <f aca="false">ROUND(IFERROR(ROUND(IF(OR(ISNUMBER(SEARCH("week",C375)),ISNUMBER(SEARCH("minggu",C375))),IFERROR(_xlfn.NUMBERVALUE(SUBSTITUTE(LEFT(TRIM(C375),FIND(" ",TRIM(C375)&amp;" ")-1),",","."),"."),LEFT(SUBSTITUTE(LEFT(TRIM(C375),FIND(" ",TRIM(C375)&amp;" ")-1),",","."),FIND("/",SUBSTITUTE(LEFT(TRIM(C375),FIND(" ",TRIM(C375)&amp;" ")-1),",","."))-1)/MID(SUBSTITUTE(LEFT(TRIM(C375),FIND(" ",TRIM(C375)&amp;" ")-1),",","."),FIND("/",SUBSTITUTE(LEFT(TRIM(C375),FIND(" ",TRIM(C375)&amp;" ")-1),",","."))+1,9))*12/52,IF(ISNUMBER(SEARCH("month",C375)),IFERROR(_xlfn.NUMBERVALUE(SUBSTITUTE(LEFT(TRIM(C375),FIND(" ",TRIM(C375)&amp;" ")-1),",","."),"."),LEFT(SUBSTITUTE(LEFT(TRIM(C375),FIND(" ",TRIM(C375)&amp;" ")-1),",","."),FIND("/",SUBSTITUTE(LEFT(TRIM(C375),FIND(" ",TRIM(C375)&amp;" ")-1),",","."))-1)/MID(SUBSTITUTE(LEFT(TRIM(C375),FIND(" ",TRIM(C375)&amp;" ")-1),",","."),FIND("/",SUBSTITUTE(LEFT(TRIM(C375),FIND(" ",TRIM(C375)&amp;" ")-1),",","."))+1,9)),IF(ISNUMBER(SEARCH("yea",C375)),IFERROR(_xlfn.NUMBERVALUE(SUBSTITUTE(LEFT(TRIM(C375),FIND(" ",TRIM(C375)&amp;" ")-1),",","."),"."),LEFT(SUBSTITUTE(LEFT(TRIM(C375),FIND(" ",TRIM(C375)&amp;" ")-1),",","."),FIND("/",SUBSTITUTE(LEFT(TRIM(C375),FIND(" ",TRIM(C375)&amp;" ")-1),",","."))-1)/MID(SUBSTITUTE(LEFT(TRIM(C375),FIND(" ",TRIM(C375)&amp;" ")-1),",","."),FIND("/",SUBSTITUTE(LEFT(TRIM(C375),FIND(" ",TRIM(C375)&amp;" ")-1),",","."))+1,9))*12,NA()))),0),18)*'Aturan &amp; Tarif'!$B$4,2)</f>
        <v>1022.04</v>
      </c>
      <c r="K375" s="42" t="n">
        <f aca="false">'Aturan &amp; Tarif'!$B$5</f>
        <v>2050</v>
      </c>
      <c r="L375" s="35" t="n">
        <f aca="false">I375+J375+K375</f>
        <v>18972.04</v>
      </c>
      <c r="M375" s="44" t="s">
        <v>1142</v>
      </c>
    </row>
    <row r="376" customFormat="false" ht="60" hidden="false" customHeight="true" outlineLevel="0" collapsed="false">
      <c r="A376" s="39"/>
      <c r="B376" s="40" t="s">
        <v>1143</v>
      </c>
      <c r="C376" s="41" t="s">
        <v>107</v>
      </c>
      <c r="D376" s="41" t="s">
        <v>108</v>
      </c>
      <c r="E376" s="42" t="n">
        <v>7950</v>
      </c>
      <c r="F376" s="42"/>
      <c r="G376" s="42"/>
      <c r="H376" s="43" t="n">
        <v>2</v>
      </c>
      <c r="I376" s="34" t="n">
        <f aca="false">E376*H376+N(F376)+N(G376)</f>
        <v>15900</v>
      </c>
      <c r="J376" s="42" t="n">
        <f aca="false">ROUND(IFERROR(ROUND(IF(OR(ISNUMBER(SEARCH("week",C376)),ISNUMBER(SEARCH("minggu",C376))),IFERROR(_xlfn.NUMBERVALUE(SUBSTITUTE(LEFT(TRIM(C376),FIND(" ",TRIM(C376)&amp;" ")-1),",","."),"."),LEFT(SUBSTITUTE(LEFT(TRIM(C376),FIND(" ",TRIM(C376)&amp;" ")-1),",","."),FIND("/",SUBSTITUTE(LEFT(TRIM(C376),FIND(" ",TRIM(C376)&amp;" ")-1),",","."))-1)/MID(SUBSTITUTE(LEFT(TRIM(C376),FIND(" ",TRIM(C376)&amp;" ")-1),",","."),FIND("/",SUBSTITUTE(LEFT(TRIM(C376),FIND(" ",TRIM(C376)&amp;" ")-1),",","."))+1,9))*12/52,IF(ISNUMBER(SEARCH("month",C376)),IFERROR(_xlfn.NUMBERVALUE(SUBSTITUTE(LEFT(TRIM(C376),FIND(" ",TRIM(C376)&amp;" ")-1),",","."),"."),LEFT(SUBSTITUTE(LEFT(TRIM(C376),FIND(" ",TRIM(C376)&amp;" ")-1),",","."),FIND("/",SUBSTITUTE(LEFT(TRIM(C376),FIND(" ",TRIM(C376)&amp;" ")-1),",","."))-1)/MID(SUBSTITUTE(LEFT(TRIM(C376),FIND(" ",TRIM(C376)&amp;" ")-1),",","."),FIND("/",SUBSTITUTE(LEFT(TRIM(C376),FIND(" ",TRIM(C376)&amp;" ")-1),",","."))+1,9)),IF(ISNUMBER(SEARCH("yea",C376)),IFERROR(_xlfn.NUMBERVALUE(SUBSTITUTE(LEFT(TRIM(C376),FIND(" ",TRIM(C376)&amp;" ")-1),",","."),"."),LEFT(SUBSTITUTE(LEFT(TRIM(C376),FIND(" ",TRIM(C376)&amp;" ")-1),",","."),FIND("/",SUBSTITUTE(LEFT(TRIM(C376),FIND(" ",TRIM(C376)&amp;" ")-1),",","."))-1)/MID(SUBSTITUTE(LEFT(TRIM(C376),FIND(" ",TRIM(C376)&amp;" ")-1),",","."),FIND("/",SUBSTITUTE(LEFT(TRIM(C376),FIND(" ",TRIM(C376)&amp;" ")-1),",","."))+1,9))*12,NA()))),0),24)*'Aturan &amp; Tarif'!$B$4,2)</f>
        <v>1362.72</v>
      </c>
      <c r="K376" s="42" t="n">
        <f aca="false">'Aturan &amp; Tarif'!$B$5</f>
        <v>2050</v>
      </c>
      <c r="L376" s="35" t="n">
        <f aca="false">I376+J376+K376</f>
        <v>19312.72</v>
      </c>
      <c r="M376" s="44" t="s">
        <v>1144</v>
      </c>
    </row>
    <row r="377" customFormat="false" ht="60" hidden="false" customHeight="true" outlineLevel="0" collapsed="false">
      <c r="A377" s="39"/>
      <c r="B377" s="40" t="s">
        <v>1057</v>
      </c>
      <c r="C377" s="41" t="s">
        <v>107</v>
      </c>
      <c r="D377" s="41" t="s">
        <v>108</v>
      </c>
      <c r="E377" s="42" t="n">
        <v>7950</v>
      </c>
      <c r="F377" s="42"/>
      <c r="G377" s="42"/>
      <c r="H377" s="43" t="n">
        <v>2</v>
      </c>
      <c r="I377" s="34" t="n">
        <f aca="false">E377*H377+N(F377)+N(G377)</f>
        <v>15900</v>
      </c>
      <c r="J377" s="42" t="n">
        <f aca="false">ROUND(IFERROR(ROUND(IF(OR(ISNUMBER(SEARCH("week",C377)),ISNUMBER(SEARCH("minggu",C377))),IFERROR(_xlfn.NUMBERVALUE(SUBSTITUTE(LEFT(TRIM(C377),FIND(" ",TRIM(C377)&amp;" ")-1),",","."),"."),LEFT(SUBSTITUTE(LEFT(TRIM(C377),FIND(" ",TRIM(C377)&amp;" ")-1),",","."),FIND("/",SUBSTITUTE(LEFT(TRIM(C377),FIND(" ",TRIM(C377)&amp;" ")-1),",","."))-1)/MID(SUBSTITUTE(LEFT(TRIM(C377),FIND(" ",TRIM(C377)&amp;" ")-1),",","."),FIND("/",SUBSTITUTE(LEFT(TRIM(C377),FIND(" ",TRIM(C377)&amp;" ")-1),",","."))+1,9))*12/52,IF(ISNUMBER(SEARCH("month",C377)),IFERROR(_xlfn.NUMBERVALUE(SUBSTITUTE(LEFT(TRIM(C377),FIND(" ",TRIM(C377)&amp;" ")-1),",","."),"."),LEFT(SUBSTITUTE(LEFT(TRIM(C377),FIND(" ",TRIM(C377)&amp;" ")-1),",","."),FIND("/",SUBSTITUTE(LEFT(TRIM(C377),FIND(" ",TRIM(C377)&amp;" ")-1),",","."))-1)/MID(SUBSTITUTE(LEFT(TRIM(C377),FIND(" ",TRIM(C377)&amp;" ")-1),",","."),FIND("/",SUBSTITUTE(LEFT(TRIM(C377),FIND(" ",TRIM(C377)&amp;" ")-1),",","."))+1,9)),IF(ISNUMBER(SEARCH("yea",C377)),IFERROR(_xlfn.NUMBERVALUE(SUBSTITUTE(LEFT(TRIM(C377),FIND(" ",TRIM(C377)&amp;" ")-1),",","."),"."),LEFT(SUBSTITUTE(LEFT(TRIM(C377),FIND(" ",TRIM(C377)&amp;" ")-1),",","."),FIND("/",SUBSTITUTE(LEFT(TRIM(C377),FIND(" ",TRIM(C377)&amp;" ")-1),",","."))-1)/MID(SUBSTITUTE(LEFT(TRIM(C377),FIND(" ",TRIM(C377)&amp;" ")-1),",","."),FIND("/",SUBSTITUTE(LEFT(TRIM(C377),FIND(" ",TRIM(C377)&amp;" ")-1),",","."))+1,9))*12,NA()))),0),24)*'Aturan &amp; Tarif'!$B$4,2)</f>
        <v>1362.72</v>
      </c>
      <c r="K377" s="42" t="n">
        <f aca="false">'Aturan &amp; Tarif'!$B$5</f>
        <v>2050</v>
      </c>
      <c r="L377" s="35" t="n">
        <f aca="false">I377+J377+K377</f>
        <v>19312.72</v>
      </c>
      <c r="M377" s="44" t="s">
        <v>1058</v>
      </c>
    </row>
    <row r="378" customFormat="false" ht="60" hidden="false" customHeight="true" outlineLevel="0" collapsed="false">
      <c r="A378" s="39"/>
      <c r="B378" s="40" t="s">
        <v>1077</v>
      </c>
      <c r="C378" s="41" t="s">
        <v>107</v>
      </c>
      <c r="D378" s="41" t="s">
        <v>108</v>
      </c>
      <c r="E378" s="42" t="n">
        <v>7950</v>
      </c>
      <c r="F378" s="42"/>
      <c r="G378" s="42"/>
      <c r="H378" s="43" t="n">
        <v>2</v>
      </c>
      <c r="I378" s="34" t="n">
        <f aca="false">E378*H378+N(F378)+N(G378)</f>
        <v>15900</v>
      </c>
      <c r="J378" s="42" t="n">
        <f aca="false">ROUND(IFERROR(ROUND(IF(OR(ISNUMBER(SEARCH("week",C378)),ISNUMBER(SEARCH("minggu",C378))),IFERROR(_xlfn.NUMBERVALUE(SUBSTITUTE(LEFT(TRIM(C378),FIND(" ",TRIM(C378)&amp;" ")-1),",","."),"."),LEFT(SUBSTITUTE(LEFT(TRIM(C378),FIND(" ",TRIM(C378)&amp;" ")-1),",","."),FIND("/",SUBSTITUTE(LEFT(TRIM(C378),FIND(" ",TRIM(C378)&amp;" ")-1),",","."))-1)/MID(SUBSTITUTE(LEFT(TRIM(C378),FIND(" ",TRIM(C378)&amp;" ")-1),",","."),FIND("/",SUBSTITUTE(LEFT(TRIM(C378),FIND(" ",TRIM(C378)&amp;" ")-1),",","."))+1,9))*12/52,IF(ISNUMBER(SEARCH("month",C378)),IFERROR(_xlfn.NUMBERVALUE(SUBSTITUTE(LEFT(TRIM(C378),FIND(" ",TRIM(C378)&amp;" ")-1),",","."),"."),LEFT(SUBSTITUTE(LEFT(TRIM(C378),FIND(" ",TRIM(C378)&amp;" ")-1),",","."),FIND("/",SUBSTITUTE(LEFT(TRIM(C378),FIND(" ",TRIM(C378)&amp;" ")-1),",","."))-1)/MID(SUBSTITUTE(LEFT(TRIM(C378),FIND(" ",TRIM(C378)&amp;" ")-1),",","."),FIND("/",SUBSTITUTE(LEFT(TRIM(C378),FIND(" ",TRIM(C378)&amp;" ")-1),",","."))+1,9)),IF(ISNUMBER(SEARCH("yea",C378)),IFERROR(_xlfn.NUMBERVALUE(SUBSTITUTE(LEFT(TRIM(C378),FIND(" ",TRIM(C378)&amp;" ")-1),",","."),"."),LEFT(SUBSTITUTE(LEFT(TRIM(C378),FIND(" ",TRIM(C378)&amp;" ")-1),",","."),FIND("/",SUBSTITUTE(LEFT(TRIM(C378),FIND(" ",TRIM(C378)&amp;" ")-1),",","."))-1)/MID(SUBSTITUTE(LEFT(TRIM(C378),FIND(" ",TRIM(C378)&amp;" ")-1),",","."),FIND("/",SUBSTITUTE(LEFT(TRIM(C378),FIND(" ",TRIM(C378)&amp;" ")-1),",","."))+1,9))*12,NA()))),0),24)*'Aturan &amp; Tarif'!$B$4,2)</f>
        <v>1362.72</v>
      </c>
      <c r="K378" s="42" t="n">
        <f aca="false">'Aturan &amp; Tarif'!$B$5</f>
        <v>2050</v>
      </c>
      <c r="L378" s="35" t="n">
        <f aca="false">I378+J378+K378</f>
        <v>19312.72</v>
      </c>
      <c r="M378" s="44" t="s">
        <v>1036</v>
      </c>
    </row>
    <row r="379" customFormat="false" ht="60" hidden="false" customHeight="true" outlineLevel="0" collapsed="false">
      <c r="A379" s="39"/>
      <c r="B379" s="40" t="s">
        <v>1145</v>
      </c>
      <c r="C379" s="41" t="s">
        <v>113</v>
      </c>
      <c r="D379" s="41" t="s">
        <v>108</v>
      </c>
      <c r="E379" s="42" t="n">
        <v>6563</v>
      </c>
      <c r="F379" s="42"/>
      <c r="G379" s="42"/>
      <c r="H379" s="43" t="n">
        <v>2</v>
      </c>
      <c r="I379" s="34" t="n">
        <f aca="false">E379*H379+N(F379)+N(G379)</f>
        <v>13126</v>
      </c>
      <c r="J379" s="42" t="n">
        <f aca="false">ROUND(IFERROR(ROUND(IF(OR(ISNUMBER(SEARCH("week",C379)),ISNUMBER(SEARCH("minggu",C379))),IFERROR(_xlfn.NUMBERVALUE(SUBSTITUTE(LEFT(TRIM(C379),FIND(" ",TRIM(C379)&amp;" ")-1),",","."),"."),LEFT(SUBSTITUTE(LEFT(TRIM(C379),FIND(" ",TRIM(C379)&amp;" ")-1),",","."),FIND("/",SUBSTITUTE(LEFT(TRIM(C379),FIND(" ",TRIM(C379)&amp;" ")-1),",","."))-1)/MID(SUBSTITUTE(LEFT(TRIM(C379),FIND(" ",TRIM(C379)&amp;" ")-1),",","."),FIND("/",SUBSTITUTE(LEFT(TRIM(C379),FIND(" ",TRIM(C379)&amp;" ")-1),",","."))+1,9))*12/52,IF(ISNUMBER(SEARCH("month",C379)),IFERROR(_xlfn.NUMBERVALUE(SUBSTITUTE(LEFT(TRIM(C379),FIND(" ",TRIM(C379)&amp;" ")-1),",","."),"."),LEFT(SUBSTITUTE(LEFT(TRIM(C379),FIND(" ",TRIM(C379)&amp;" ")-1),",","."),FIND("/",SUBSTITUTE(LEFT(TRIM(C379),FIND(" ",TRIM(C379)&amp;" ")-1),",","."))-1)/MID(SUBSTITUTE(LEFT(TRIM(C379),FIND(" ",TRIM(C379)&amp;" ")-1),",","."),FIND("/",SUBSTITUTE(LEFT(TRIM(C379),FIND(" ",TRIM(C379)&amp;" ")-1),",","."))+1,9)),IF(ISNUMBER(SEARCH("yea",C379)),IFERROR(_xlfn.NUMBERVALUE(SUBSTITUTE(LEFT(TRIM(C379),FIND(" ",TRIM(C379)&amp;" ")-1),",","."),"."),LEFT(SUBSTITUTE(LEFT(TRIM(C379),FIND(" ",TRIM(C379)&amp;" ")-1),",","."),FIND("/",SUBSTITUTE(LEFT(TRIM(C379),FIND(" ",TRIM(C379)&amp;" ")-1),",","."))-1)/MID(SUBSTITUTE(LEFT(TRIM(C379),FIND(" ",TRIM(C379)&amp;" ")-1),",","."),FIND("/",SUBSTITUTE(LEFT(TRIM(C379),FIND(" ",TRIM(C379)&amp;" ")-1),",","."))+1,9))*12,NA()))),0),18)*'Aturan &amp; Tarif'!$B$4,2)</f>
        <v>1022.04</v>
      </c>
      <c r="K379" s="42" t="n">
        <f aca="false">'Aturan &amp; Tarif'!$B$5</f>
        <v>2050</v>
      </c>
      <c r="L379" s="35" t="n">
        <f aca="false">I379+J379+K379</f>
        <v>16198.04</v>
      </c>
      <c r="M379" s="44" t="s">
        <v>1146</v>
      </c>
    </row>
    <row r="380" customFormat="false" ht="60" hidden="false" customHeight="true" outlineLevel="0" collapsed="false">
      <c r="A380" s="39"/>
      <c r="B380" s="40" t="s">
        <v>1147</v>
      </c>
      <c r="C380" s="41" t="s">
        <v>127</v>
      </c>
      <c r="D380" s="41" t="s">
        <v>108</v>
      </c>
      <c r="E380" s="42" t="n">
        <v>7900</v>
      </c>
      <c r="F380" s="42"/>
      <c r="G380" s="42"/>
      <c r="H380" s="43" t="n">
        <v>2</v>
      </c>
      <c r="I380" s="34" t="n">
        <f aca="false">E380*H380+N(F380)+N(G380)</f>
        <v>15800</v>
      </c>
      <c r="J380" s="42" t="n">
        <f aca="false">ROUND(IFERROR(ROUND(IF(OR(ISNUMBER(SEARCH("week",C380)),ISNUMBER(SEARCH("minggu",C380))),IFERROR(_xlfn.NUMBERVALUE(SUBSTITUTE(LEFT(TRIM(C380),FIND(" ",TRIM(C380)&amp;" ")-1),",","."),"."),LEFT(SUBSTITUTE(LEFT(TRIM(C380),FIND(" ",TRIM(C380)&amp;" ")-1),",","."),FIND("/",SUBSTITUTE(LEFT(TRIM(C380),FIND(" ",TRIM(C380)&amp;" ")-1),",","."))-1)/MID(SUBSTITUTE(LEFT(TRIM(C380),FIND(" ",TRIM(C380)&amp;" ")-1),",","."),FIND("/",SUBSTITUTE(LEFT(TRIM(C380),FIND(" ",TRIM(C380)&amp;" ")-1),",","."))+1,9))*12/52,IF(ISNUMBER(SEARCH("month",C380)),IFERROR(_xlfn.NUMBERVALUE(SUBSTITUTE(LEFT(TRIM(C380),FIND(" ",TRIM(C380)&amp;" ")-1),",","."),"."),LEFT(SUBSTITUTE(LEFT(TRIM(C380),FIND(" ",TRIM(C380)&amp;" ")-1),",","."),FIND("/",SUBSTITUTE(LEFT(TRIM(C380),FIND(" ",TRIM(C380)&amp;" ")-1),",","."))-1)/MID(SUBSTITUTE(LEFT(TRIM(C380),FIND(" ",TRIM(C380)&amp;" ")-1),",","."),FIND("/",SUBSTITUTE(LEFT(TRIM(C380),FIND(" ",TRIM(C380)&amp;" ")-1),",","."))+1,9)),IF(ISNUMBER(SEARCH("yea",C380)),IFERROR(_xlfn.NUMBERVALUE(SUBSTITUTE(LEFT(TRIM(C380),FIND(" ",TRIM(C380)&amp;" ")-1),",","."),"."),LEFT(SUBSTITUTE(LEFT(TRIM(C380),FIND(" ",TRIM(C380)&amp;" ")-1),",","."),FIND("/",SUBSTITUTE(LEFT(TRIM(C380),FIND(" ",TRIM(C380)&amp;" ")-1),",","."))-1)/MID(SUBSTITUTE(LEFT(TRIM(C380),FIND(" ",TRIM(C380)&amp;" ")-1),",","."),FIND("/",SUBSTITUTE(LEFT(TRIM(C380),FIND(" ",TRIM(C380)&amp;" ")-1),",","."))+1,9))*12,NA()))),0),36)*'Aturan &amp; Tarif'!$B$4,2)</f>
        <v>2044.08</v>
      </c>
      <c r="K380" s="42" t="n">
        <f aca="false">'Aturan &amp; Tarif'!$B$5</f>
        <v>2050</v>
      </c>
      <c r="L380" s="35" t="n">
        <f aca="false">I380+J380+K380</f>
        <v>19894.08</v>
      </c>
      <c r="M380" s="44" t="s">
        <v>1148</v>
      </c>
    </row>
    <row r="381" customFormat="false" ht="60" hidden="false" customHeight="true" outlineLevel="0" collapsed="false">
      <c r="A381" s="39"/>
      <c r="B381" s="40" t="s">
        <v>1040</v>
      </c>
      <c r="C381" s="41" t="s">
        <v>127</v>
      </c>
      <c r="D381" s="41" t="s">
        <v>108</v>
      </c>
      <c r="E381" s="42" t="n">
        <v>7900</v>
      </c>
      <c r="F381" s="42"/>
      <c r="G381" s="42"/>
      <c r="H381" s="43" t="n">
        <v>2</v>
      </c>
      <c r="I381" s="34" t="n">
        <f aca="false">E381*H381+N(F381)+N(G381)</f>
        <v>15800</v>
      </c>
      <c r="J381" s="42" t="n">
        <f aca="false">ROUND(IFERROR(ROUND(IF(OR(ISNUMBER(SEARCH("week",C381)),ISNUMBER(SEARCH("minggu",C381))),IFERROR(_xlfn.NUMBERVALUE(SUBSTITUTE(LEFT(TRIM(C381),FIND(" ",TRIM(C381)&amp;" ")-1),",","."),"."),LEFT(SUBSTITUTE(LEFT(TRIM(C381),FIND(" ",TRIM(C381)&amp;" ")-1),",","."),FIND("/",SUBSTITUTE(LEFT(TRIM(C381),FIND(" ",TRIM(C381)&amp;" ")-1),",","."))-1)/MID(SUBSTITUTE(LEFT(TRIM(C381),FIND(" ",TRIM(C381)&amp;" ")-1),",","."),FIND("/",SUBSTITUTE(LEFT(TRIM(C381),FIND(" ",TRIM(C381)&amp;" ")-1),",","."))+1,9))*12/52,IF(ISNUMBER(SEARCH("month",C381)),IFERROR(_xlfn.NUMBERVALUE(SUBSTITUTE(LEFT(TRIM(C381),FIND(" ",TRIM(C381)&amp;" ")-1),",","."),"."),LEFT(SUBSTITUTE(LEFT(TRIM(C381),FIND(" ",TRIM(C381)&amp;" ")-1),",","."),FIND("/",SUBSTITUTE(LEFT(TRIM(C381),FIND(" ",TRIM(C381)&amp;" ")-1),",","."))-1)/MID(SUBSTITUTE(LEFT(TRIM(C381),FIND(" ",TRIM(C381)&amp;" ")-1),",","."),FIND("/",SUBSTITUTE(LEFT(TRIM(C381),FIND(" ",TRIM(C381)&amp;" ")-1),",","."))+1,9)),IF(ISNUMBER(SEARCH("yea",C381)),IFERROR(_xlfn.NUMBERVALUE(SUBSTITUTE(LEFT(TRIM(C381),FIND(" ",TRIM(C381)&amp;" ")-1),",","."),"."),LEFT(SUBSTITUTE(LEFT(TRIM(C381),FIND(" ",TRIM(C381)&amp;" ")-1),",","."),FIND("/",SUBSTITUTE(LEFT(TRIM(C381),FIND(" ",TRIM(C381)&amp;" ")-1),",","."))-1)/MID(SUBSTITUTE(LEFT(TRIM(C381),FIND(" ",TRIM(C381)&amp;" ")-1),",","."),FIND("/",SUBSTITUTE(LEFT(TRIM(C381),FIND(" ",TRIM(C381)&amp;" ")-1),",","."))+1,9))*12,NA()))),0),36)*'Aturan &amp; Tarif'!$B$4,2)</f>
        <v>2044.08</v>
      </c>
      <c r="K381" s="42" t="n">
        <f aca="false">'Aturan &amp; Tarif'!$B$5</f>
        <v>2050</v>
      </c>
      <c r="L381" s="35" t="n">
        <f aca="false">I381+J381+K381</f>
        <v>19894.08</v>
      </c>
      <c r="M381" s="44" t="s">
        <v>1041</v>
      </c>
    </row>
    <row r="382" customFormat="false" ht="25.5" hidden="false" customHeight="true" outlineLevel="0" collapsed="false">
      <c r="A382" s="39"/>
      <c r="B382" s="40" t="s">
        <v>1149</v>
      </c>
      <c r="C382" s="41" t="s">
        <v>130</v>
      </c>
      <c r="D382" s="41" t="s">
        <v>108</v>
      </c>
      <c r="E382" s="42" t="n">
        <v>9372</v>
      </c>
      <c r="F382" s="42"/>
      <c r="G382" s="42"/>
      <c r="H382" s="43" t="n">
        <v>2</v>
      </c>
      <c r="I382" s="34" t="n">
        <f aca="false">E382*H382+N(F382)+N(G382)</f>
        <v>18744</v>
      </c>
      <c r="J382" s="42" t="n">
        <f aca="false">ROUND(IFERROR(ROUND(IF(OR(ISNUMBER(SEARCH("week",C382)),ISNUMBER(SEARCH("minggu",C382))),IFERROR(_xlfn.NUMBERVALUE(SUBSTITUTE(LEFT(TRIM(C382),FIND(" ",TRIM(C382)&amp;" ")-1),",","."),"."),LEFT(SUBSTITUTE(LEFT(TRIM(C382),FIND(" ",TRIM(C382)&amp;" ")-1),",","."),FIND("/",SUBSTITUTE(LEFT(TRIM(C382),FIND(" ",TRIM(C382)&amp;" ")-1),",","."))-1)/MID(SUBSTITUTE(LEFT(TRIM(C382),FIND(" ",TRIM(C382)&amp;" ")-1),",","."),FIND("/",SUBSTITUTE(LEFT(TRIM(C382),FIND(" ",TRIM(C382)&amp;" ")-1),",","."))+1,9))*12/52,IF(ISNUMBER(SEARCH("month",C382)),IFERROR(_xlfn.NUMBERVALUE(SUBSTITUTE(LEFT(TRIM(C382),FIND(" ",TRIM(C382)&amp;" ")-1),",","."),"."),LEFT(SUBSTITUTE(LEFT(TRIM(C382),FIND(" ",TRIM(C382)&amp;" ")-1),",","."),FIND("/",SUBSTITUTE(LEFT(TRIM(C382),FIND(" ",TRIM(C382)&amp;" ")-1),",","."))-1)/MID(SUBSTITUTE(LEFT(TRIM(C382),FIND(" ",TRIM(C382)&amp;" ")-1),",","."),FIND("/",SUBSTITUTE(LEFT(TRIM(C382),FIND(" ",TRIM(C382)&amp;" ")-1),",","."))+1,9)),IF(ISNUMBER(SEARCH("yea",C382)),IFERROR(_xlfn.NUMBERVALUE(SUBSTITUTE(LEFT(TRIM(C382),FIND(" ",TRIM(C382)&amp;" ")-1),",","."),"."),LEFT(SUBSTITUTE(LEFT(TRIM(C382),FIND(" ",TRIM(C382)&amp;" ")-1),",","."),FIND("/",SUBSTITUTE(LEFT(TRIM(C382),FIND(" ",TRIM(C382)&amp;" ")-1),",","."))-1)/MID(SUBSTITUTE(LEFT(TRIM(C382),FIND(" ",TRIM(C382)&amp;" ")-1),",","."),FIND("/",SUBSTITUTE(LEFT(TRIM(C382),FIND(" ",TRIM(C382)&amp;" ")-1),",","."))+1,9))*12,NA()))),0),12)*'Aturan &amp; Tarif'!$B$4,2)</f>
        <v>681.36</v>
      </c>
      <c r="K382" s="42" t="n">
        <f aca="false">'Aturan &amp; Tarif'!$B$5</f>
        <v>2050</v>
      </c>
      <c r="L382" s="35" t="n">
        <f aca="false">I382+J382+K382</f>
        <v>21475.36</v>
      </c>
      <c r="M382" s="45" t="s">
        <v>1150</v>
      </c>
    </row>
    <row r="383" customFormat="false" ht="60" hidden="false" customHeight="true" outlineLevel="0" collapsed="false">
      <c r="A383" s="39"/>
      <c r="B383" s="40" t="s">
        <v>1151</v>
      </c>
      <c r="C383" s="41" t="s">
        <v>344</v>
      </c>
      <c r="D383" s="41" t="s">
        <v>108</v>
      </c>
      <c r="E383" s="42" t="n">
        <v>3688</v>
      </c>
      <c r="F383" s="42"/>
      <c r="G383" s="42"/>
      <c r="H383" s="43" t="n">
        <v>2</v>
      </c>
      <c r="I383" s="34" t="n">
        <f aca="false">E383*H383+N(F383)+N(G383)</f>
        <v>7376</v>
      </c>
      <c r="J383" s="42" t="n">
        <f aca="false">ROUND(IFERROR(ROUND(IF(OR(ISNUMBER(SEARCH("week",C383)),ISNUMBER(SEARCH("minggu",C383))),IFERROR(_xlfn.NUMBERVALUE(SUBSTITUTE(LEFT(TRIM(C383),FIND(" ",TRIM(C383)&amp;" ")-1),",","."),"."),LEFT(SUBSTITUTE(LEFT(TRIM(C383),FIND(" ",TRIM(C383)&amp;" ")-1),",","."),FIND("/",SUBSTITUTE(LEFT(TRIM(C383),FIND(" ",TRIM(C383)&amp;" ")-1),",","."))-1)/MID(SUBSTITUTE(LEFT(TRIM(C383),FIND(" ",TRIM(C383)&amp;" ")-1),",","."),FIND("/",SUBSTITUTE(LEFT(TRIM(C383),FIND(" ",TRIM(C383)&amp;" ")-1),",","."))+1,9))*12/52,IF(ISNUMBER(SEARCH("month",C383)),IFERROR(_xlfn.NUMBERVALUE(SUBSTITUTE(LEFT(TRIM(C383),FIND(" ",TRIM(C383)&amp;" ")-1),",","."),"."),LEFT(SUBSTITUTE(LEFT(TRIM(C383),FIND(" ",TRIM(C383)&amp;" ")-1),",","."),FIND("/",SUBSTITUTE(LEFT(TRIM(C383),FIND(" ",TRIM(C383)&amp;" ")-1),",","."))-1)/MID(SUBSTITUTE(LEFT(TRIM(C383),FIND(" ",TRIM(C383)&amp;" ")-1),",","."),FIND("/",SUBSTITUTE(LEFT(TRIM(C383),FIND(" ",TRIM(C383)&amp;" ")-1),",","."))+1,9)),IF(ISNUMBER(SEARCH("yea",C383)),IFERROR(_xlfn.NUMBERVALUE(SUBSTITUTE(LEFT(TRIM(C383),FIND(" ",TRIM(C383)&amp;" ")-1),",","."),"."),LEFT(SUBSTITUTE(LEFT(TRIM(C383),FIND(" ",TRIM(C383)&amp;" ")-1),",","."),FIND("/",SUBSTITUTE(LEFT(TRIM(C383),FIND(" ",TRIM(C383)&amp;" ")-1),",","."))-1)/MID(SUBSTITUTE(LEFT(TRIM(C383),FIND(" ",TRIM(C383)&amp;" ")-1),",","."),FIND("/",SUBSTITUTE(LEFT(TRIM(C383),FIND(" ",TRIM(C383)&amp;" ")-1),",","."))+1,9))*12,NA()))),0),6)*'Aturan &amp; Tarif'!$B$4,2)</f>
        <v>340.68</v>
      </c>
      <c r="K383" s="42" t="n">
        <f aca="false">'Aturan &amp; Tarif'!$B$5</f>
        <v>2050</v>
      </c>
      <c r="L383" s="35" t="n">
        <f aca="false">I383+J383+K383</f>
        <v>9766.68</v>
      </c>
      <c r="M383" s="44" t="s">
        <v>1152</v>
      </c>
    </row>
    <row r="384" customFormat="false" ht="60" hidden="false" customHeight="true" outlineLevel="0" collapsed="false">
      <c r="A384" s="39"/>
      <c r="B384" s="40" t="s">
        <v>1153</v>
      </c>
      <c r="C384" s="41" t="s">
        <v>130</v>
      </c>
      <c r="D384" s="41" t="s">
        <v>108</v>
      </c>
      <c r="E384" s="42" t="n">
        <v>7375</v>
      </c>
      <c r="F384" s="42"/>
      <c r="G384" s="42"/>
      <c r="H384" s="43" t="n">
        <v>2</v>
      </c>
      <c r="I384" s="34" t="n">
        <f aca="false">E384*H384+N(F384)+N(G384)</f>
        <v>14750</v>
      </c>
      <c r="J384" s="42" t="n">
        <f aca="false">ROUND(IFERROR(ROUND(IF(OR(ISNUMBER(SEARCH("week",C384)),ISNUMBER(SEARCH("minggu",C384))),IFERROR(_xlfn.NUMBERVALUE(SUBSTITUTE(LEFT(TRIM(C384),FIND(" ",TRIM(C384)&amp;" ")-1),",","."),"."),LEFT(SUBSTITUTE(LEFT(TRIM(C384),FIND(" ",TRIM(C384)&amp;" ")-1),",","."),FIND("/",SUBSTITUTE(LEFT(TRIM(C384),FIND(" ",TRIM(C384)&amp;" ")-1),",","."))-1)/MID(SUBSTITUTE(LEFT(TRIM(C384),FIND(" ",TRIM(C384)&amp;" ")-1),",","."),FIND("/",SUBSTITUTE(LEFT(TRIM(C384),FIND(" ",TRIM(C384)&amp;" ")-1),",","."))+1,9))*12/52,IF(ISNUMBER(SEARCH("month",C384)),IFERROR(_xlfn.NUMBERVALUE(SUBSTITUTE(LEFT(TRIM(C384),FIND(" ",TRIM(C384)&amp;" ")-1),",","."),"."),LEFT(SUBSTITUTE(LEFT(TRIM(C384),FIND(" ",TRIM(C384)&amp;" ")-1),",","."),FIND("/",SUBSTITUTE(LEFT(TRIM(C384),FIND(" ",TRIM(C384)&amp;" ")-1),",","."))-1)/MID(SUBSTITUTE(LEFT(TRIM(C384),FIND(" ",TRIM(C384)&amp;" ")-1),",","."),FIND("/",SUBSTITUTE(LEFT(TRIM(C384),FIND(" ",TRIM(C384)&amp;" ")-1),",","."))+1,9)),IF(ISNUMBER(SEARCH("yea",C384)),IFERROR(_xlfn.NUMBERVALUE(SUBSTITUTE(LEFT(TRIM(C384),FIND(" ",TRIM(C384)&amp;" ")-1),",","."),"."),LEFT(SUBSTITUTE(LEFT(TRIM(C384),FIND(" ",TRIM(C384)&amp;" ")-1),",","."),FIND("/",SUBSTITUTE(LEFT(TRIM(C384),FIND(" ",TRIM(C384)&amp;" ")-1),",","."))-1)/MID(SUBSTITUTE(LEFT(TRIM(C384),FIND(" ",TRIM(C384)&amp;" ")-1),",","."),FIND("/",SUBSTITUTE(LEFT(TRIM(C384),FIND(" ",TRIM(C384)&amp;" ")-1),",","."))+1,9))*12,NA()))),0),12)*'Aturan &amp; Tarif'!$B$4,2)</f>
        <v>681.36</v>
      </c>
      <c r="K384" s="42" t="n">
        <f aca="false">'Aturan &amp; Tarif'!$B$5</f>
        <v>2050</v>
      </c>
      <c r="L384" s="35" t="n">
        <f aca="false">I384+J384+K384</f>
        <v>17481.36</v>
      </c>
      <c r="M384" s="44" t="s">
        <v>1154</v>
      </c>
    </row>
    <row r="385" customFormat="false" ht="60" hidden="false" customHeight="true" outlineLevel="0" collapsed="false">
      <c r="A385" s="39"/>
      <c r="B385" s="40" t="s">
        <v>1155</v>
      </c>
      <c r="C385" s="41" t="s">
        <v>107</v>
      </c>
      <c r="D385" s="41" t="s">
        <v>108</v>
      </c>
      <c r="E385" s="42" t="n">
        <v>7375</v>
      </c>
      <c r="F385" s="42"/>
      <c r="G385" s="42"/>
      <c r="H385" s="43" t="n">
        <v>2</v>
      </c>
      <c r="I385" s="34" t="n">
        <f aca="false">E385*H385+N(F385)+N(G385)</f>
        <v>14750</v>
      </c>
      <c r="J385" s="42" t="n">
        <f aca="false">ROUND(IFERROR(ROUND(IF(OR(ISNUMBER(SEARCH("week",C385)),ISNUMBER(SEARCH("minggu",C385))),IFERROR(_xlfn.NUMBERVALUE(SUBSTITUTE(LEFT(TRIM(C385),FIND(" ",TRIM(C385)&amp;" ")-1),",","."),"."),LEFT(SUBSTITUTE(LEFT(TRIM(C385),FIND(" ",TRIM(C385)&amp;" ")-1),",","."),FIND("/",SUBSTITUTE(LEFT(TRIM(C385),FIND(" ",TRIM(C385)&amp;" ")-1),",","."))-1)/MID(SUBSTITUTE(LEFT(TRIM(C385),FIND(" ",TRIM(C385)&amp;" ")-1),",","."),FIND("/",SUBSTITUTE(LEFT(TRIM(C385),FIND(" ",TRIM(C385)&amp;" ")-1),",","."))+1,9))*12/52,IF(ISNUMBER(SEARCH("month",C385)),IFERROR(_xlfn.NUMBERVALUE(SUBSTITUTE(LEFT(TRIM(C385),FIND(" ",TRIM(C385)&amp;" ")-1),",","."),"."),LEFT(SUBSTITUTE(LEFT(TRIM(C385),FIND(" ",TRIM(C385)&amp;" ")-1),",","."),FIND("/",SUBSTITUTE(LEFT(TRIM(C385),FIND(" ",TRIM(C385)&amp;" ")-1),",","."))-1)/MID(SUBSTITUTE(LEFT(TRIM(C385),FIND(" ",TRIM(C385)&amp;" ")-1),",","."),FIND("/",SUBSTITUTE(LEFT(TRIM(C385),FIND(" ",TRIM(C385)&amp;" ")-1),",","."))+1,9)),IF(ISNUMBER(SEARCH("yea",C385)),IFERROR(_xlfn.NUMBERVALUE(SUBSTITUTE(LEFT(TRIM(C385),FIND(" ",TRIM(C385)&amp;" ")-1),",","."),"."),LEFT(SUBSTITUTE(LEFT(TRIM(C385),FIND(" ",TRIM(C385)&amp;" ")-1),",","."),FIND("/",SUBSTITUTE(LEFT(TRIM(C385),FIND(" ",TRIM(C385)&amp;" ")-1),",","."))-1)/MID(SUBSTITUTE(LEFT(TRIM(C385),FIND(" ",TRIM(C385)&amp;" ")-1),",","."),FIND("/",SUBSTITUTE(LEFT(TRIM(C385),FIND(" ",TRIM(C385)&amp;" ")-1),",","."))+1,9))*12,NA()))),0),24)*'Aturan &amp; Tarif'!$B$4,2)</f>
        <v>1362.72</v>
      </c>
      <c r="K385" s="42" t="n">
        <f aca="false">'Aturan &amp; Tarif'!$B$5</f>
        <v>2050</v>
      </c>
      <c r="L385" s="35" t="n">
        <f aca="false">I385+J385+K385</f>
        <v>18162.72</v>
      </c>
      <c r="M385" s="44" t="s">
        <v>1156</v>
      </c>
    </row>
    <row r="386" customFormat="false" ht="60" hidden="false" customHeight="true" outlineLevel="0" collapsed="false">
      <c r="A386" s="39"/>
      <c r="B386" s="40" t="s">
        <v>407</v>
      </c>
      <c r="C386" s="41" t="s">
        <v>107</v>
      </c>
      <c r="D386" s="41" t="s">
        <v>108</v>
      </c>
      <c r="E386" s="42" t="n">
        <v>7375</v>
      </c>
      <c r="F386" s="42"/>
      <c r="G386" s="42"/>
      <c r="H386" s="43" t="n">
        <v>2</v>
      </c>
      <c r="I386" s="34" t="n">
        <f aca="false">E386*H386+N(F386)+N(G386)</f>
        <v>14750</v>
      </c>
      <c r="J386" s="42" t="n">
        <f aca="false">ROUND(IFERROR(ROUND(IF(OR(ISNUMBER(SEARCH("week",C386)),ISNUMBER(SEARCH("minggu",C386))),IFERROR(_xlfn.NUMBERVALUE(SUBSTITUTE(LEFT(TRIM(C386),FIND(" ",TRIM(C386)&amp;" ")-1),",","."),"."),LEFT(SUBSTITUTE(LEFT(TRIM(C386),FIND(" ",TRIM(C386)&amp;" ")-1),",","."),FIND("/",SUBSTITUTE(LEFT(TRIM(C386),FIND(" ",TRIM(C386)&amp;" ")-1),",","."))-1)/MID(SUBSTITUTE(LEFT(TRIM(C386),FIND(" ",TRIM(C386)&amp;" ")-1),",","."),FIND("/",SUBSTITUTE(LEFT(TRIM(C386),FIND(" ",TRIM(C386)&amp;" ")-1),",","."))+1,9))*12/52,IF(ISNUMBER(SEARCH("month",C386)),IFERROR(_xlfn.NUMBERVALUE(SUBSTITUTE(LEFT(TRIM(C386),FIND(" ",TRIM(C386)&amp;" ")-1),",","."),"."),LEFT(SUBSTITUTE(LEFT(TRIM(C386),FIND(" ",TRIM(C386)&amp;" ")-1),",","."),FIND("/",SUBSTITUTE(LEFT(TRIM(C386),FIND(" ",TRIM(C386)&amp;" ")-1),",","."))-1)/MID(SUBSTITUTE(LEFT(TRIM(C386),FIND(" ",TRIM(C386)&amp;" ")-1),",","."),FIND("/",SUBSTITUTE(LEFT(TRIM(C386),FIND(" ",TRIM(C386)&amp;" ")-1),",","."))+1,9)),IF(ISNUMBER(SEARCH("yea",C386)),IFERROR(_xlfn.NUMBERVALUE(SUBSTITUTE(LEFT(TRIM(C386),FIND(" ",TRIM(C386)&amp;" ")-1),",","."),"."),LEFT(SUBSTITUTE(LEFT(TRIM(C386),FIND(" ",TRIM(C386)&amp;" ")-1),",","."),FIND("/",SUBSTITUTE(LEFT(TRIM(C386),FIND(" ",TRIM(C386)&amp;" ")-1),",","."))-1)/MID(SUBSTITUTE(LEFT(TRIM(C386),FIND(" ",TRIM(C386)&amp;" ")-1),",","."),FIND("/",SUBSTITUTE(LEFT(TRIM(C386),FIND(" ",TRIM(C386)&amp;" ")-1),",","."))+1,9))*12,NA()))),0),24)*'Aturan &amp; Tarif'!$B$4,2)</f>
        <v>1362.72</v>
      </c>
      <c r="K386" s="42" t="n">
        <f aca="false">'Aturan &amp; Tarif'!$B$5</f>
        <v>2050</v>
      </c>
      <c r="L386" s="35" t="n">
        <f aca="false">I386+J386+K386</f>
        <v>18162.72</v>
      </c>
      <c r="M386" s="44" t="s">
        <v>1157</v>
      </c>
    </row>
    <row r="387" customFormat="false" ht="60" hidden="false" customHeight="true" outlineLevel="0" collapsed="false">
      <c r="A387" s="39"/>
      <c r="B387" s="40" t="s">
        <v>406</v>
      </c>
      <c r="C387" s="41" t="s">
        <v>127</v>
      </c>
      <c r="D387" s="41" t="s">
        <v>108</v>
      </c>
      <c r="E387" s="42" t="n">
        <v>7375</v>
      </c>
      <c r="F387" s="42"/>
      <c r="G387" s="42"/>
      <c r="H387" s="43" t="n">
        <v>2</v>
      </c>
      <c r="I387" s="34" t="n">
        <f aca="false">E387*H387+N(F387)+N(G387)</f>
        <v>14750</v>
      </c>
      <c r="J387" s="42" t="n">
        <f aca="false">ROUND(IFERROR(ROUND(IF(OR(ISNUMBER(SEARCH("week",C387)),ISNUMBER(SEARCH("minggu",C387))),IFERROR(_xlfn.NUMBERVALUE(SUBSTITUTE(LEFT(TRIM(C387),FIND(" ",TRIM(C387)&amp;" ")-1),",","."),"."),LEFT(SUBSTITUTE(LEFT(TRIM(C387),FIND(" ",TRIM(C387)&amp;" ")-1),",","."),FIND("/",SUBSTITUTE(LEFT(TRIM(C387),FIND(" ",TRIM(C387)&amp;" ")-1),",","."))-1)/MID(SUBSTITUTE(LEFT(TRIM(C387),FIND(" ",TRIM(C387)&amp;" ")-1),",","."),FIND("/",SUBSTITUTE(LEFT(TRIM(C387),FIND(" ",TRIM(C387)&amp;" ")-1),",","."))+1,9))*12/52,IF(ISNUMBER(SEARCH("month",C387)),IFERROR(_xlfn.NUMBERVALUE(SUBSTITUTE(LEFT(TRIM(C387),FIND(" ",TRIM(C387)&amp;" ")-1),",","."),"."),LEFT(SUBSTITUTE(LEFT(TRIM(C387),FIND(" ",TRIM(C387)&amp;" ")-1),",","."),FIND("/",SUBSTITUTE(LEFT(TRIM(C387),FIND(" ",TRIM(C387)&amp;" ")-1),",","."))-1)/MID(SUBSTITUTE(LEFT(TRIM(C387),FIND(" ",TRIM(C387)&amp;" ")-1),",","."),FIND("/",SUBSTITUTE(LEFT(TRIM(C387),FIND(" ",TRIM(C387)&amp;" ")-1),",","."))+1,9)),IF(ISNUMBER(SEARCH("yea",C387)),IFERROR(_xlfn.NUMBERVALUE(SUBSTITUTE(LEFT(TRIM(C387),FIND(" ",TRIM(C387)&amp;" ")-1),",","."),"."),LEFT(SUBSTITUTE(LEFT(TRIM(C387),FIND(" ",TRIM(C387)&amp;" ")-1),",","."),FIND("/",SUBSTITUTE(LEFT(TRIM(C387),FIND(" ",TRIM(C387)&amp;" ")-1),",","."))-1)/MID(SUBSTITUTE(LEFT(TRIM(C387),FIND(" ",TRIM(C387)&amp;" ")-1),",","."),FIND("/",SUBSTITUTE(LEFT(TRIM(C387),FIND(" ",TRIM(C387)&amp;" ")-1),",","."))+1,9))*12,NA()))),0),36)*'Aturan &amp; Tarif'!$B$4,2)</f>
        <v>2044.08</v>
      </c>
      <c r="K387" s="42" t="n">
        <f aca="false">'Aturan &amp; Tarif'!$B$5</f>
        <v>2050</v>
      </c>
      <c r="L387" s="35" t="n">
        <f aca="false">I387+J387+K387</f>
        <v>18844.08</v>
      </c>
      <c r="M387" s="44" t="s">
        <v>1158</v>
      </c>
    </row>
    <row r="388" customFormat="false" ht="60" hidden="false" customHeight="true" outlineLevel="0" collapsed="false">
      <c r="A388" s="39"/>
      <c r="B388" s="40" t="s">
        <v>1159</v>
      </c>
      <c r="C388" s="41" t="s">
        <v>127</v>
      </c>
      <c r="D388" s="41" t="s">
        <v>108</v>
      </c>
      <c r="E388" s="42" t="n">
        <v>7375</v>
      </c>
      <c r="F388" s="42"/>
      <c r="G388" s="42"/>
      <c r="H388" s="43" t="n">
        <v>2</v>
      </c>
      <c r="I388" s="34" t="n">
        <f aca="false">E388*H388+N(F388)+N(G388)</f>
        <v>14750</v>
      </c>
      <c r="J388" s="42" t="n">
        <f aca="false">ROUND(IFERROR(ROUND(IF(OR(ISNUMBER(SEARCH("week",C388)),ISNUMBER(SEARCH("minggu",C388))),IFERROR(_xlfn.NUMBERVALUE(SUBSTITUTE(LEFT(TRIM(C388),FIND(" ",TRIM(C388)&amp;" ")-1),",","."),"."),LEFT(SUBSTITUTE(LEFT(TRIM(C388),FIND(" ",TRIM(C388)&amp;" ")-1),",","."),FIND("/",SUBSTITUTE(LEFT(TRIM(C388),FIND(" ",TRIM(C388)&amp;" ")-1),",","."))-1)/MID(SUBSTITUTE(LEFT(TRIM(C388),FIND(" ",TRIM(C388)&amp;" ")-1),",","."),FIND("/",SUBSTITUTE(LEFT(TRIM(C388),FIND(" ",TRIM(C388)&amp;" ")-1),",","."))+1,9))*12/52,IF(ISNUMBER(SEARCH("month",C388)),IFERROR(_xlfn.NUMBERVALUE(SUBSTITUTE(LEFT(TRIM(C388),FIND(" ",TRIM(C388)&amp;" ")-1),",","."),"."),LEFT(SUBSTITUTE(LEFT(TRIM(C388),FIND(" ",TRIM(C388)&amp;" ")-1),",","."),FIND("/",SUBSTITUTE(LEFT(TRIM(C388),FIND(" ",TRIM(C388)&amp;" ")-1),",","."))-1)/MID(SUBSTITUTE(LEFT(TRIM(C388),FIND(" ",TRIM(C388)&amp;" ")-1),",","."),FIND("/",SUBSTITUTE(LEFT(TRIM(C388),FIND(" ",TRIM(C388)&amp;" ")-1),",","."))+1,9)),IF(ISNUMBER(SEARCH("yea",C388)),IFERROR(_xlfn.NUMBERVALUE(SUBSTITUTE(LEFT(TRIM(C388),FIND(" ",TRIM(C388)&amp;" ")-1),",","."),"."),LEFT(SUBSTITUTE(LEFT(TRIM(C388),FIND(" ",TRIM(C388)&amp;" ")-1),",","."),FIND("/",SUBSTITUTE(LEFT(TRIM(C388),FIND(" ",TRIM(C388)&amp;" ")-1),",","."))-1)/MID(SUBSTITUTE(LEFT(TRIM(C388),FIND(" ",TRIM(C388)&amp;" ")-1),",","."),FIND("/",SUBSTITUTE(LEFT(TRIM(C388),FIND(" ",TRIM(C388)&amp;" ")-1),",","."))+1,9))*12,NA()))),0),36)*'Aturan &amp; Tarif'!$B$4,2)</f>
        <v>2044.08</v>
      </c>
      <c r="K388" s="42" t="n">
        <f aca="false">'Aturan &amp; Tarif'!$B$5</f>
        <v>2050</v>
      </c>
      <c r="L388" s="35" t="n">
        <f aca="false">I388+J388+K388</f>
        <v>18844.08</v>
      </c>
      <c r="M388" s="44" t="s">
        <v>1160</v>
      </c>
    </row>
    <row r="389" customFormat="false" ht="14.25" hidden="false" customHeight="true" outlineLevel="0" collapsed="false">
      <c r="A389" s="39"/>
      <c r="B389" s="40" t="s">
        <v>1161</v>
      </c>
      <c r="C389" s="41" t="s">
        <v>127</v>
      </c>
      <c r="D389" s="41" t="s">
        <v>108</v>
      </c>
      <c r="E389" s="42" t="n">
        <v>7375</v>
      </c>
      <c r="F389" s="42"/>
      <c r="G389" s="42"/>
      <c r="H389" s="43" t="n">
        <v>2</v>
      </c>
      <c r="I389" s="34" t="n">
        <f aca="false">E389*H389+N(F389)+N(G389)</f>
        <v>14750</v>
      </c>
      <c r="J389" s="42" t="n">
        <f aca="false">ROUND(IFERROR(ROUND(IF(OR(ISNUMBER(SEARCH("week",C389)),ISNUMBER(SEARCH("minggu",C389))),IFERROR(_xlfn.NUMBERVALUE(SUBSTITUTE(LEFT(TRIM(C389),FIND(" ",TRIM(C389)&amp;" ")-1),",","."),"."),LEFT(SUBSTITUTE(LEFT(TRIM(C389),FIND(" ",TRIM(C389)&amp;" ")-1),",","."),FIND("/",SUBSTITUTE(LEFT(TRIM(C389),FIND(" ",TRIM(C389)&amp;" ")-1),",","."))-1)/MID(SUBSTITUTE(LEFT(TRIM(C389),FIND(" ",TRIM(C389)&amp;" ")-1),",","."),FIND("/",SUBSTITUTE(LEFT(TRIM(C389),FIND(" ",TRIM(C389)&amp;" ")-1),",","."))+1,9))*12/52,IF(ISNUMBER(SEARCH("month",C389)),IFERROR(_xlfn.NUMBERVALUE(SUBSTITUTE(LEFT(TRIM(C389),FIND(" ",TRIM(C389)&amp;" ")-1),",","."),"."),LEFT(SUBSTITUTE(LEFT(TRIM(C389),FIND(" ",TRIM(C389)&amp;" ")-1),",","."),FIND("/",SUBSTITUTE(LEFT(TRIM(C389),FIND(" ",TRIM(C389)&amp;" ")-1),",","."))-1)/MID(SUBSTITUTE(LEFT(TRIM(C389),FIND(" ",TRIM(C389)&amp;" ")-1),",","."),FIND("/",SUBSTITUTE(LEFT(TRIM(C389),FIND(" ",TRIM(C389)&amp;" ")-1),",","."))+1,9)),IF(ISNUMBER(SEARCH("yea",C389)),IFERROR(_xlfn.NUMBERVALUE(SUBSTITUTE(LEFT(TRIM(C389),FIND(" ",TRIM(C389)&amp;" ")-1),",","."),"."),LEFT(SUBSTITUTE(LEFT(TRIM(C389),FIND(" ",TRIM(C389)&amp;" ")-1),",","."),FIND("/",SUBSTITUTE(LEFT(TRIM(C389),FIND(" ",TRIM(C389)&amp;" ")-1),",","."))-1)/MID(SUBSTITUTE(LEFT(TRIM(C389),FIND(" ",TRIM(C389)&amp;" ")-1),",","."),FIND("/",SUBSTITUTE(LEFT(TRIM(C389),FIND(" ",TRIM(C389)&amp;" ")-1),",","."))+1,9))*12,NA()))),0),36)*'Aturan &amp; Tarif'!$B$4,2)</f>
        <v>2044.08</v>
      </c>
      <c r="K389" s="42" t="n">
        <f aca="false">'Aturan &amp; Tarif'!$B$5</f>
        <v>2050</v>
      </c>
      <c r="L389" s="35" t="n">
        <f aca="false">I389+J389+K389</f>
        <v>18844.08</v>
      </c>
      <c r="M389" s="45" t="s">
        <v>1162</v>
      </c>
    </row>
    <row r="391" customFormat="false" ht="12.75" hidden="false" customHeight="true" outlineLevel="0" collapsed="false">
      <c r="A391" s="38" t="s">
        <v>117</v>
      </c>
    </row>
    <row r="392" customFormat="false" ht="12.75" hidden="false" customHeight="true" outlineLevel="0" collapsed="false">
      <c r="A392" s="38" t="s">
        <v>118</v>
      </c>
    </row>
    <row r="393" customFormat="false" ht="12.75" hidden="false" customHeight="true" outlineLevel="0" collapsed="false">
      <c r="A393" s="38" t="s">
        <v>119</v>
      </c>
    </row>
    <row r="394" customFormat="false" ht="12.75" hidden="false" customHeight="true" outlineLevel="0" collapsed="false">
      <c r="A394" s="38" t="s">
        <v>120</v>
      </c>
    </row>
    <row r="395" customFormat="false" ht="12.75" hidden="false" customHeight="true" outlineLevel="0" collapsed="false">
      <c r="A395" s="38" t="s">
        <v>121</v>
      </c>
    </row>
    <row r="396" customFormat="false" ht="12.75" hidden="false" customHeight="true" outlineLevel="0" collapsed="false">
      <c r="A396" s="38" t="s">
        <v>3294</v>
      </c>
    </row>
    <row r="397" customFormat="false" ht="12.75" hidden="false" customHeight="true" outlineLevel="0" collapsed="false">
      <c r="A397" s="38" t="s">
        <v>1163</v>
      </c>
    </row>
    <row r="398" customFormat="false" ht="81.75" hidden="false" customHeight="true" outlineLevel="0" collapsed="false">
      <c r="A398" s="38" t="s">
        <v>3302</v>
      </c>
    </row>
  </sheetData>
  <autoFilter ref="A5:M389"/>
  <conditionalFormatting sqref="J6:J389">
    <cfRule type="expression" priority="2" aboveAverage="0" equalAverage="0" bottom="0" percent="0" rank="0" text="" dxfId="6">
      <formula>AND($E6&lt;&gt;"",OR(ISERROR(ROUND(IF(OR(ISNUMBER(SEARCH("week",C6)),ISNUMBER(SEARCH("minggu",C6))),IFERROR(_xlfn.NUMBERVALUE(SUBSTITUTE(LEFT(TRIM(C6),FIND("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")-1),",","."))+1,9))*12,NA()))),0)&lt;1,1),IFERROR(ROUND(IF(OR(ISNUMBER(SEARCH("week",C6)),ISNUMBER(SEARCH("minggu",C6))),IFERROR(_xlfn.NUMBERVALUE(SUBSTITUTE(LEFT(TRIM(C6),FIND("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")-1),",","."))+1,9))*12,NA()))),0)&gt;96,1)))</formula>
    </cfRule>
  </conditionalFormatting>
  <printOptions headings="false" gridLines="false" gridLinesSet="true" horizontalCentered="true" verticalCentered="false"/>
  <pageMargins left="0.3" right="0.3" top="0.5" bottom="0.5" header="0.2" footer="0.2"/>
  <pageSetup paperSize="9" scale="100" fitToWidth="1" fitToHeight="0" pageOrder="downThenOver" orientation="landscape" blackAndWhite="false" draft="false" cellComments="none" horizontalDpi="300" verticalDpi="300" copies="1"/>
  <headerFooter differentFirst="false" differentOddEven="false">
    <oddHeader>&amp;R&amp;8 ONSHORE - BRISBANE</oddHeader>
    <oddFooter>&amp;L&amp;8 TEG Pricelist - harga bisa berubah sewaktu-waktu&amp;R&amp;8 Halaman &amp;P dari &amp;N</oddFooter>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163"/>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2" min="2" style="1" width="55"/>
    <col collapsed="false" customWidth="true" hidden="false" outlineLevel="0" max="3" min="3" style="1" width="14"/>
    <col collapsed="false" customWidth="true" hidden="false" outlineLevel="0" max="4" min="4" style="1" width="11"/>
    <col collapsed="false" customWidth="true" hidden="false" outlineLevel="0" max="5" min="5" style="1" width="12"/>
    <col collapsed="false" customWidth="true" hidden="false" outlineLevel="0" max="8" min="6" style="1" width="11"/>
    <col collapsed="false" customWidth="true" hidden="false" outlineLevel="0" max="9" min="9" style="1" width="15"/>
    <col collapsed="false" customWidth="true" hidden="false" outlineLevel="0" max="10" min="10" style="1" width="12"/>
    <col collapsed="false" customWidth="true" hidden="false" outlineLevel="0" max="11" min="11" style="1" width="10"/>
    <col collapsed="false" customWidth="true" hidden="false" outlineLevel="0" max="12" min="12" style="1" width="15"/>
    <col collapsed="false" customWidth="true" hidden="false" outlineLevel="0" max="13" min="13" style="1" width="110"/>
    <col collapsed="false" customWidth="true" hidden="false" outlineLevel="0" max="44" min="14" style="1" width="9"/>
  </cols>
  <sheetData>
    <row r="1" customFormat="false" ht="17.25" hidden="false" customHeight="true" outlineLevel="0" collapsed="false">
      <c r="A1" s="14" t="s">
        <v>3456</v>
      </c>
    </row>
    <row r="2" customFormat="false" ht="15" hidden="false" customHeight="true" outlineLevel="0" collapsed="false">
      <c r="A2" s="25" t="s">
        <v>91</v>
      </c>
    </row>
    <row r="3" customFormat="false" ht="15" hidden="false" customHeight="true" outlineLevel="0" collapsed="false">
      <c r="A3" s="26" t="s">
        <v>3014</v>
      </c>
    </row>
    <row r="5" customFormat="false" ht="36" hidden="false" customHeight="true" outlineLevel="0" collapsed="false">
      <c r="A5" s="27" t="s">
        <v>93</v>
      </c>
      <c r="B5" s="27" t="s">
        <v>94</v>
      </c>
      <c r="C5" s="27" t="s">
        <v>95</v>
      </c>
      <c r="D5" s="27" t="s">
        <v>96</v>
      </c>
      <c r="E5" s="27" t="s">
        <v>97</v>
      </c>
      <c r="F5" s="27" t="s">
        <v>98</v>
      </c>
      <c r="G5" s="27" t="s">
        <v>99</v>
      </c>
      <c r="H5" s="27" t="s">
        <v>100</v>
      </c>
      <c r="I5" s="27" t="s">
        <v>101</v>
      </c>
      <c r="J5" s="27" t="s">
        <v>10</v>
      </c>
      <c r="K5" s="27" t="s">
        <v>102</v>
      </c>
      <c r="L5" s="27" t="s">
        <v>104</v>
      </c>
      <c r="M5" s="28" t="s">
        <v>14</v>
      </c>
    </row>
    <row r="6" customFormat="false" ht="48.75" hidden="false" customHeight="true" outlineLevel="0" collapsed="false">
      <c r="A6" s="29" t="s">
        <v>620</v>
      </c>
      <c r="B6" s="30" t="s">
        <v>621</v>
      </c>
      <c r="C6" s="31" t="s">
        <v>486</v>
      </c>
      <c r="D6" s="31" t="s">
        <v>108</v>
      </c>
      <c r="E6" s="32" t="n">
        <v>1350</v>
      </c>
      <c r="F6" s="32" t="n">
        <v>100</v>
      </c>
      <c r="G6" s="32" t="n">
        <v>200</v>
      </c>
      <c r="H6" s="33" t="n">
        <v>1</v>
      </c>
      <c r="I6" s="34" t="n">
        <f aca="false">E6*H6+N(F6)+N(G6)</f>
        <v>1650</v>
      </c>
      <c r="J6" s="32" t="n">
        <f aca="false">ROUND(IFERROR(ROUND(IF(OR(ISNUMBER(SEARCH("week",C6)),ISNUMBER(SEARCH("minggu",C6))),IFERROR(_xlfn.NUMBERVALUE(SUBSTITUTE(LEFT(TRIM(C6),FIND("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")-1),",","."))+1,9))*12,NA()))),0),12)*'Aturan &amp; Tarif'!$B$4,2)</f>
        <v>681.36</v>
      </c>
      <c r="K6" s="32" t="n">
        <f aca="false">'Aturan &amp; Tarif'!$B$5</f>
        <v>2050</v>
      </c>
      <c r="L6" s="35" t="n">
        <f aca="false">I6+J6+K6</f>
        <v>4381.36</v>
      </c>
      <c r="M6" s="37" t="s">
        <v>3047</v>
      </c>
    </row>
    <row r="7" customFormat="false" ht="25.5" hidden="false" customHeight="true" outlineLevel="0" collapsed="false">
      <c r="A7" s="29"/>
      <c r="B7" s="30" t="s">
        <v>623</v>
      </c>
      <c r="C7" s="31" t="s">
        <v>127</v>
      </c>
      <c r="D7" s="31" t="s">
        <v>108</v>
      </c>
      <c r="E7" s="32" t="n">
        <v>3375</v>
      </c>
      <c r="F7" s="32" t="n">
        <v>100</v>
      </c>
      <c r="G7" s="32" t="n">
        <v>200</v>
      </c>
      <c r="H7" s="33" t="n">
        <v>2</v>
      </c>
      <c r="I7" s="34" t="n">
        <f aca="false">E7*H7+N(F7)+N(G7)</f>
        <v>7050</v>
      </c>
      <c r="J7" s="32" t="n">
        <f aca="false">ROUND(IFERROR(ROUND(IF(OR(ISNUMBER(SEARCH("week",C7)),ISNUMBER(SEARCH("minggu",C7))),IFERROR(_xlfn.NUMBERVALUE(SUBSTITUTE(LEFT(TRIM(C7),FIND(" ",TRIM(C7)&amp;" ")-1),",","."),"."),LEFT(SUBSTITUTE(LEFT(TRIM(C7),FIND(" ",TRIM(C7)&amp;" ")-1),",","."),FIND("/",SUBSTITUTE(LEFT(TRIM(C7),FIND(" ",TRIM(C7)&amp;" ")-1),",","."))-1)/MID(SUBSTITUTE(LEFT(TRIM(C7),FIND(" ",TRIM(C7)&amp;" ")-1),",","."),FIND("/",SUBSTITUTE(LEFT(TRIM(C7),FIND(" ",TRIM(C7)&amp;" ")-1),",","."))+1,9))*12/52,IF(ISNUMBER(SEARCH("month",C7)),IFERROR(_xlfn.NUMBERVALUE(SUBSTITUTE(LEFT(TRIM(C7),FIND(" ",TRIM(C7)&amp;" ")-1),",","."),"."),LEFT(SUBSTITUTE(LEFT(TRIM(C7),FIND(" ",TRIM(C7)&amp;" ")-1),",","."),FIND("/",SUBSTITUTE(LEFT(TRIM(C7),FIND(" ",TRIM(C7)&amp;" ")-1),",","."))-1)/MID(SUBSTITUTE(LEFT(TRIM(C7),FIND(" ",TRIM(C7)&amp;" ")-1),",","."),FIND("/",SUBSTITUTE(LEFT(TRIM(C7),FIND(" ",TRIM(C7)&amp;" ")-1),",","."))+1,9)),IF(ISNUMBER(SEARCH("yea",C7)),IFERROR(_xlfn.NUMBERVALUE(SUBSTITUTE(LEFT(TRIM(C7),FIND(" ",TRIM(C7)&amp;" ")-1),",","."),"."),LEFT(SUBSTITUTE(LEFT(TRIM(C7),FIND(" ",TRIM(C7)&amp;" ")-1),",","."),FIND("/",SUBSTITUTE(LEFT(TRIM(C7),FIND(" ",TRIM(C7)&amp;" ")-1),",","."))-1)/MID(SUBSTITUTE(LEFT(TRIM(C7),FIND(" ",TRIM(C7)&amp;" ")-1),",","."),FIND("/",SUBSTITUTE(LEFT(TRIM(C7),FIND(" ",TRIM(C7)&amp;" ")-1),",","."))+1,9))*12,NA()))),0),36)*'Aturan &amp; Tarif'!$B$4,2)</f>
        <v>2044.08</v>
      </c>
      <c r="K7" s="32" t="n">
        <f aca="false">'Aturan &amp; Tarif'!$B$5</f>
        <v>2050</v>
      </c>
      <c r="L7" s="35" t="n">
        <f aca="false">I7+J7+K7</f>
        <v>11144.08</v>
      </c>
      <c r="M7" s="37" t="s">
        <v>624</v>
      </c>
    </row>
    <row r="8" customFormat="false" ht="14.25" hidden="false" customHeight="true" outlineLevel="0" collapsed="false">
      <c r="A8" s="29"/>
      <c r="B8" s="30" t="s">
        <v>625</v>
      </c>
      <c r="C8" s="31" t="s">
        <v>107</v>
      </c>
      <c r="D8" s="31" t="s">
        <v>108</v>
      </c>
      <c r="E8" s="32" t="n">
        <v>1350</v>
      </c>
      <c r="F8" s="32" t="n">
        <v>100</v>
      </c>
      <c r="G8" s="32" t="n">
        <v>200</v>
      </c>
      <c r="H8" s="33" t="n">
        <v>1</v>
      </c>
      <c r="I8" s="34" t="n">
        <f aca="false">E8*H8+N(F8)+N(G8)</f>
        <v>1650</v>
      </c>
      <c r="J8" s="32" t="n">
        <f aca="false">ROUND(IFERROR(ROUND(IF(OR(ISNUMBER(SEARCH("week",C8)),ISNUMBER(SEARCH("minggu",C8))),IFERROR(_xlfn.NUMBERVALUE(SUBSTITUTE(LEFT(TRIM(C8),FIND(" ",TRIM(C8)&amp;" ")-1),",","."),"."),LEFT(SUBSTITUTE(LEFT(TRIM(C8),FIND(" ",TRIM(C8)&amp;" ")-1),",","."),FIND("/",SUBSTITUTE(LEFT(TRIM(C8),FIND(" ",TRIM(C8)&amp;" ")-1),",","."))-1)/MID(SUBSTITUTE(LEFT(TRIM(C8),FIND(" ",TRIM(C8)&amp;" ")-1),",","."),FIND("/",SUBSTITUTE(LEFT(TRIM(C8),FIND(" ",TRIM(C8)&amp;" ")-1),",","."))+1,9))*12/52,IF(ISNUMBER(SEARCH("month",C8)),IFERROR(_xlfn.NUMBERVALUE(SUBSTITUTE(LEFT(TRIM(C8),FIND(" ",TRIM(C8)&amp;" ")-1),",","."),"."),LEFT(SUBSTITUTE(LEFT(TRIM(C8),FIND(" ",TRIM(C8)&amp;" ")-1),",","."),FIND("/",SUBSTITUTE(LEFT(TRIM(C8),FIND(" ",TRIM(C8)&amp;" ")-1),",","."))-1)/MID(SUBSTITUTE(LEFT(TRIM(C8),FIND(" ",TRIM(C8)&amp;" ")-1),",","."),FIND("/",SUBSTITUTE(LEFT(TRIM(C8),FIND(" ",TRIM(C8)&amp;" ")-1),",","."))+1,9)),IF(ISNUMBER(SEARCH("yea",C8)),IFERROR(_xlfn.NUMBERVALUE(SUBSTITUTE(LEFT(TRIM(C8),FIND(" ",TRIM(C8)&amp;" ")-1),",","."),"."),LEFT(SUBSTITUTE(LEFT(TRIM(C8),FIND(" ",TRIM(C8)&amp;" ")-1),",","."),FIND("/",SUBSTITUTE(LEFT(TRIM(C8),FIND(" ",TRIM(C8)&amp;" ")-1),",","."))-1)/MID(SUBSTITUTE(LEFT(TRIM(C8),FIND(" ",TRIM(C8)&amp;" ")-1),",","."),FIND("/",SUBSTITUTE(LEFT(TRIM(C8),FIND(" ",TRIM(C8)&amp;" ")-1),",","."))+1,9))*12,NA()))),0),24)*'Aturan &amp; Tarif'!$B$4,2)</f>
        <v>1362.72</v>
      </c>
      <c r="K8" s="32" t="n">
        <f aca="false">'Aturan &amp; Tarif'!$B$5</f>
        <v>2050</v>
      </c>
      <c r="L8" s="35" t="n">
        <f aca="false">I8+J8+K8</f>
        <v>5062.72</v>
      </c>
      <c r="M8" s="37" t="s">
        <v>3047</v>
      </c>
    </row>
    <row r="9" customFormat="false" ht="25.5" hidden="false" customHeight="true" outlineLevel="0" collapsed="false">
      <c r="A9" s="29"/>
      <c r="B9" s="30" t="s">
        <v>626</v>
      </c>
      <c r="C9" s="31" t="s">
        <v>127</v>
      </c>
      <c r="D9" s="31" t="s">
        <v>108</v>
      </c>
      <c r="E9" s="32" t="n">
        <v>5000</v>
      </c>
      <c r="F9" s="32" t="n">
        <v>120</v>
      </c>
      <c r="G9" s="32" t="n">
        <v>250</v>
      </c>
      <c r="H9" s="33" t="n">
        <v>2</v>
      </c>
      <c r="I9" s="34" t="n">
        <f aca="false">E9*H9+N(F9)+N(G9)</f>
        <v>10370</v>
      </c>
      <c r="J9" s="32" t="n">
        <f aca="false">ROUND(IFERROR(ROUND(IF(OR(ISNUMBER(SEARCH("week",C9)),ISNUMBER(SEARCH("minggu",C9))),IFERROR(_xlfn.NUMBERVALUE(SUBSTITUTE(LEFT(TRIM(C9),FIND(" ",TRIM(C9)&amp;" ")-1),",","."),"."),LEFT(SUBSTITUTE(LEFT(TRIM(C9),FIND(" ",TRIM(C9)&amp;" ")-1),",","."),FIND("/",SUBSTITUTE(LEFT(TRIM(C9),FIND(" ",TRIM(C9)&amp;" ")-1),",","."))-1)/MID(SUBSTITUTE(LEFT(TRIM(C9),FIND(" ",TRIM(C9)&amp;" ")-1),",","."),FIND("/",SUBSTITUTE(LEFT(TRIM(C9),FIND(" ",TRIM(C9)&amp;" ")-1),",","."))+1,9))*12/52,IF(ISNUMBER(SEARCH("month",C9)),IFERROR(_xlfn.NUMBERVALUE(SUBSTITUTE(LEFT(TRIM(C9),FIND(" ",TRIM(C9)&amp;" ")-1),",","."),"."),LEFT(SUBSTITUTE(LEFT(TRIM(C9),FIND(" ",TRIM(C9)&amp;" ")-1),",","."),FIND("/",SUBSTITUTE(LEFT(TRIM(C9),FIND(" ",TRIM(C9)&amp;" ")-1),",","."))-1)/MID(SUBSTITUTE(LEFT(TRIM(C9),FIND(" ",TRIM(C9)&amp;" ")-1),",","."),FIND("/",SUBSTITUTE(LEFT(TRIM(C9),FIND(" ",TRIM(C9)&amp;" ")-1),",","."))+1,9)),IF(ISNUMBER(SEARCH("yea",C9)),IFERROR(_xlfn.NUMBERVALUE(SUBSTITUTE(LEFT(TRIM(C9),FIND(" ",TRIM(C9)&amp;" ")-1),",","."),"."),LEFT(SUBSTITUTE(LEFT(TRIM(C9),FIND(" ",TRIM(C9)&amp;" ")-1),",","."),FIND("/",SUBSTITUTE(LEFT(TRIM(C9),FIND(" ",TRIM(C9)&amp;" ")-1),",","."))-1)/MID(SUBSTITUTE(LEFT(TRIM(C9),FIND(" ",TRIM(C9)&amp;" ")-1),",","."),FIND("/",SUBSTITUTE(LEFT(TRIM(C9),FIND(" ",TRIM(C9)&amp;" ")-1),",","."))+1,9))*12,NA()))),0),36)*'Aturan &amp; Tarif'!$B$4,2)</f>
        <v>2044.08</v>
      </c>
      <c r="K9" s="32" t="n">
        <f aca="false">'Aturan &amp; Tarif'!$B$5</f>
        <v>2050</v>
      </c>
      <c r="L9" s="35" t="n">
        <f aca="false">I9+J9+K9</f>
        <v>14464.08</v>
      </c>
      <c r="M9" s="37" t="s">
        <v>624</v>
      </c>
    </row>
    <row r="10" customFormat="false" ht="25.5" hidden="false" customHeight="true" outlineLevel="0" collapsed="false">
      <c r="A10" s="29"/>
      <c r="B10" s="30" t="s">
        <v>627</v>
      </c>
      <c r="C10" s="31" t="s">
        <v>107</v>
      </c>
      <c r="D10" s="31" t="s">
        <v>108</v>
      </c>
      <c r="E10" s="32" t="n">
        <v>5000</v>
      </c>
      <c r="F10" s="32" t="n">
        <v>120</v>
      </c>
      <c r="G10" s="32" t="n">
        <v>250</v>
      </c>
      <c r="H10" s="33" t="n">
        <v>2</v>
      </c>
      <c r="I10" s="34" t="n">
        <f aca="false">E10*H10+N(F10)+N(G10)</f>
        <v>10370</v>
      </c>
      <c r="J10" s="32" t="n">
        <f aca="false">ROUND(IFERROR(ROUND(IF(OR(ISNUMBER(SEARCH("week",C10)),ISNUMBER(SEARCH("minggu",C10))),IFERROR(_xlfn.NUMBERVALUE(SUBSTITUTE(LEFT(TRIM(C10),FIND(" ",TRIM(C10)&amp;" ")-1),",","."),"."),LEFT(SUBSTITUTE(LEFT(TRIM(C10),FIND(" ",TRIM(C10)&amp;" ")-1),",","."),FIND("/",SUBSTITUTE(LEFT(TRIM(C10),FIND(" ",TRIM(C10)&amp;" ")-1),",","."))-1)/MID(SUBSTITUTE(LEFT(TRIM(C10),FIND(" ",TRIM(C10)&amp;" ")-1),",","."),FIND("/",SUBSTITUTE(LEFT(TRIM(C10),FIND(" ",TRIM(C10)&amp;" ")-1),",","."))+1,9))*12/52,IF(ISNUMBER(SEARCH("month",C10)),IFERROR(_xlfn.NUMBERVALUE(SUBSTITUTE(LEFT(TRIM(C10),FIND(" ",TRIM(C10)&amp;" ")-1),",","."),"."),LEFT(SUBSTITUTE(LEFT(TRIM(C10),FIND(" ",TRIM(C10)&amp;" ")-1),",","."),FIND("/",SUBSTITUTE(LEFT(TRIM(C10),FIND(" ",TRIM(C10)&amp;" ")-1),",","."))-1)/MID(SUBSTITUTE(LEFT(TRIM(C10),FIND(" ",TRIM(C10)&amp;" ")-1),",","."),FIND("/",SUBSTITUTE(LEFT(TRIM(C10),FIND(" ",TRIM(C10)&amp;" ")-1),",","."))+1,9)),IF(ISNUMBER(SEARCH("yea",C10)),IFERROR(_xlfn.NUMBERVALUE(SUBSTITUTE(LEFT(TRIM(C10),FIND(" ",TRIM(C10)&amp;" ")-1),",","."),"."),LEFT(SUBSTITUTE(LEFT(TRIM(C10),FIND(" ",TRIM(C10)&amp;" ")-1),",","."),FIND("/",SUBSTITUTE(LEFT(TRIM(C10),FIND(" ",TRIM(C10)&amp;" ")-1),",","."))-1)/MID(SUBSTITUTE(LEFT(TRIM(C10),FIND(" ",TRIM(C10)&amp;" ")-1),",","."),FIND("/",SUBSTITUTE(LEFT(TRIM(C10),FIND(" ",TRIM(C10)&amp;" ")-1),",","."))+1,9))*12,NA()))),0),24)*'Aturan &amp; Tarif'!$B$4,2)</f>
        <v>1362.72</v>
      </c>
      <c r="K10" s="32" t="n">
        <f aca="false">'Aturan &amp; Tarif'!$B$5</f>
        <v>2050</v>
      </c>
      <c r="L10" s="35" t="n">
        <f aca="false">I10+J10+K10</f>
        <v>13782.72</v>
      </c>
      <c r="M10" s="37" t="s">
        <v>624</v>
      </c>
    </row>
    <row r="11" customFormat="false" ht="60" hidden="false" customHeight="true" outlineLevel="0" collapsed="false">
      <c r="A11" s="29"/>
      <c r="B11" s="30" t="s">
        <v>628</v>
      </c>
      <c r="C11" s="31" t="s">
        <v>629</v>
      </c>
      <c r="D11" s="31" t="s">
        <v>108</v>
      </c>
      <c r="E11" s="32" t="n">
        <v>2500</v>
      </c>
      <c r="F11" s="32" t="n">
        <v>100</v>
      </c>
      <c r="G11" s="32" t="n">
        <v>200</v>
      </c>
      <c r="H11" s="33" t="n">
        <v>1</v>
      </c>
      <c r="I11" s="34" t="n">
        <f aca="false">E11*H11+N(F11)+N(G11)</f>
        <v>2800</v>
      </c>
      <c r="J11" s="32" t="n">
        <f aca="false">ROUND(IFERROR(ROUND(IF(OR(ISNUMBER(SEARCH("week",C11)),ISNUMBER(SEARCH("minggu",C11))),IFERROR(_xlfn.NUMBERVALUE(SUBSTITUTE(LEFT(TRIM(C11),FIND(" ",TRIM(C11)&amp;" ")-1),",","."),"."),LEFT(SUBSTITUTE(LEFT(TRIM(C11),FIND(" ",TRIM(C11)&amp;" ")-1),",","."),FIND("/",SUBSTITUTE(LEFT(TRIM(C11),FIND(" ",TRIM(C11)&amp;" ")-1),",","."))-1)/MID(SUBSTITUTE(LEFT(TRIM(C11),FIND(" ",TRIM(C11)&amp;" ")-1),",","."),FIND("/",SUBSTITUTE(LEFT(TRIM(C11),FIND(" ",TRIM(C11)&amp;" ")-1),",","."))+1,9))*12/52,IF(ISNUMBER(SEARCH("month",C11)),IFERROR(_xlfn.NUMBERVALUE(SUBSTITUTE(LEFT(TRIM(C11),FIND(" ",TRIM(C11)&amp;" ")-1),",","."),"."),LEFT(SUBSTITUTE(LEFT(TRIM(C11),FIND(" ",TRIM(C11)&amp;" ")-1),",","."),FIND("/",SUBSTITUTE(LEFT(TRIM(C11),FIND(" ",TRIM(C11)&amp;" ")-1),",","."))-1)/MID(SUBSTITUTE(LEFT(TRIM(C11),FIND(" ",TRIM(C11)&amp;" ")-1),",","."),FIND("/",SUBSTITUTE(LEFT(TRIM(C11),FIND(" ",TRIM(C11)&amp;" ")-1),",","."))+1,9)),IF(ISNUMBER(SEARCH("yea",C11)),IFERROR(_xlfn.NUMBERVALUE(SUBSTITUTE(LEFT(TRIM(C11),FIND(" ",TRIM(C11)&amp;" ")-1),",","."),"."),LEFT(SUBSTITUTE(LEFT(TRIM(C11),FIND(" ",TRIM(C11)&amp;" ")-1),",","."),FIND("/",SUBSTITUTE(LEFT(TRIM(C11),FIND(" ",TRIM(C11)&amp;" ")-1),",","."))-1)/MID(SUBSTITUTE(LEFT(TRIM(C11),FIND(" ",TRIM(C11)&amp;" ")-1),",","."),FIND("/",SUBSTITUTE(LEFT(TRIM(C11),FIND(" ",TRIM(C11)&amp;" ")-1),",","."))+1,9))*12,NA()))),0),18)*'Aturan &amp; Tarif'!$B$4,2)</f>
        <v>1022.04</v>
      </c>
      <c r="K11" s="32" t="n">
        <f aca="false">'Aturan &amp; Tarif'!$B$5</f>
        <v>2050</v>
      </c>
      <c r="L11" s="35" t="n">
        <f aca="false">I11+J11+K11</f>
        <v>5872.04</v>
      </c>
      <c r="M11" s="36" t="s">
        <v>3457</v>
      </c>
    </row>
    <row r="12" customFormat="false" ht="37.5" hidden="false" customHeight="true" outlineLevel="0" collapsed="false">
      <c r="A12" s="29"/>
      <c r="B12" s="30" t="s">
        <v>631</v>
      </c>
      <c r="C12" s="31" t="s">
        <v>629</v>
      </c>
      <c r="D12" s="31" t="s">
        <v>108</v>
      </c>
      <c r="E12" s="32" t="n">
        <v>1500</v>
      </c>
      <c r="F12" s="32" t="n">
        <v>100</v>
      </c>
      <c r="G12" s="32" t="n">
        <v>200</v>
      </c>
      <c r="H12" s="33" t="n">
        <v>1</v>
      </c>
      <c r="I12" s="34" t="n">
        <f aca="false">E12*H12+N(F12)+N(G12)</f>
        <v>1800</v>
      </c>
      <c r="J12" s="32" t="n">
        <f aca="false">ROUND(IFERROR(ROUND(IF(OR(ISNUMBER(SEARCH("week",C12)),ISNUMBER(SEARCH("minggu",C12))),IFERROR(_xlfn.NUMBERVALUE(SUBSTITUTE(LEFT(TRIM(C12),FIND(" ",TRIM(C12)&amp;" ")-1),",","."),"."),LEFT(SUBSTITUTE(LEFT(TRIM(C12),FIND(" ",TRIM(C12)&amp;" ")-1),",","."),FIND("/",SUBSTITUTE(LEFT(TRIM(C12),FIND(" ",TRIM(C12)&amp;" ")-1),",","."))-1)/MID(SUBSTITUTE(LEFT(TRIM(C12),FIND(" ",TRIM(C12)&amp;" ")-1),",","."),FIND("/",SUBSTITUTE(LEFT(TRIM(C12),FIND(" ",TRIM(C12)&amp;" ")-1),",","."))+1,9))*12/52,IF(ISNUMBER(SEARCH("month",C12)),IFERROR(_xlfn.NUMBERVALUE(SUBSTITUTE(LEFT(TRIM(C12),FIND(" ",TRIM(C12)&amp;" ")-1),",","."),"."),LEFT(SUBSTITUTE(LEFT(TRIM(C12),FIND(" ",TRIM(C12)&amp;" ")-1),",","."),FIND("/",SUBSTITUTE(LEFT(TRIM(C12),FIND(" ",TRIM(C12)&amp;" ")-1),",","."))-1)/MID(SUBSTITUTE(LEFT(TRIM(C12),FIND(" ",TRIM(C12)&amp;" ")-1),",","."),FIND("/",SUBSTITUTE(LEFT(TRIM(C12),FIND(" ",TRIM(C12)&amp;" ")-1),",","."))+1,9)),IF(ISNUMBER(SEARCH("yea",C12)),IFERROR(_xlfn.NUMBERVALUE(SUBSTITUTE(LEFT(TRIM(C12),FIND(" ",TRIM(C12)&amp;" ")-1),",","."),"."),LEFT(SUBSTITUTE(LEFT(TRIM(C12),FIND(" ",TRIM(C12)&amp;" ")-1),",","."),FIND("/",SUBSTITUTE(LEFT(TRIM(C12),FIND(" ",TRIM(C12)&amp;" ")-1),",","."))-1)/MID(SUBSTITUTE(LEFT(TRIM(C12),FIND(" ",TRIM(C12)&amp;" ")-1),",","."),FIND("/",SUBSTITUTE(LEFT(TRIM(C12),FIND(" ",TRIM(C12)&amp;" ")-1),",","."))+1,9))*12,NA()))),0),18)*'Aturan &amp; Tarif'!$B$4,2)</f>
        <v>1022.04</v>
      </c>
      <c r="K12" s="32" t="n">
        <f aca="false">'Aturan &amp; Tarif'!$B$5</f>
        <v>2050</v>
      </c>
      <c r="L12" s="35" t="n">
        <f aca="false">I12+J12+K12</f>
        <v>4872.04</v>
      </c>
      <c r="M12" s="36" t="s">
        <v>3458</v>
      </c>
    </row>
    <row r="13" customFormat="false" ht="14.25" hidden="false" customHeight="true" outlineLevel="0" collapsed="false">
      <c r="A13" s="29"/>
      <c r="B13" s="30" t="s">
        <v>2770</v>
      </c>
      <c r="C13" s="31" t="s">
        <v>127</v>
      </c>
      <c r="D13" s="31" t="s">
        <v>108</v>
      </c>
      <c r="E13" s="32" t="n">
        <v>5000</v>
      </c>
      <c r="F13" s="32" t="n">
        <v>120</v>
      </c>
      <c r="G13" s="32" t="n">
        <v>250</v>
      </c>
      <c r="H13" s="33" t="n">
        <v>2</v>
      </c>
      <c r="I13" s="34" t="n">
        <f aca="false">E13*H13+N(F13)+N(G13)</f>
        <v>10370</v>
      </c>
      <c r="J13" s="32" t="n">
        <f aca="false">ROUND(IFERROR(ROUND(IF(OR(ISNUMBER(SEARCH("week",C13)),ISNUMBER(SEARCH("minggu",C13))),IFERROR(_xlfn.NUMBERVALUE(SUBSTITUTE(LEFT(TRIM(C13),FIND(" ",TRIM(C13)&amp;" ")-1),",","."),"."),LEFT(SUBSTITUTE(LEFT(TRIM(C13),FIND(" ",TRIM(C13)&amp;" ")-1),",","."),FIND("/",SUBSTITUTE(LEFT(TRIM(C13),FIND(" ",TRIM(C13)&amp;" ")-1),",","."))-1)/MID(SUBSTITUTE(LEFT(TRIM(C13),FIND(" ",TRIM(C13)&amp;" ")-1),",","."),FIND("/",SUBSTITUTE(LEFT(TRIM(C13),FIND(" ",TRIM(C13)&amp;" ")-1),",","."))+1,9))*12/52,IF(ISNUMBER(SEARCH("month",C13)),IFERROR(_xlfn.NUMBERVALUE(SUBSTITUTE(LEFT(TRIM(C13),FIND(" ",TRIM(C13)&amp;" ")-1),",","."),"."),LEFT(SUBSTITUTE(LEFT(TRIM(C13),FIND(" ",TRIM(C13)&amp;" ")-1),",","."),FIND("/",SUBSTITUTE(LEFT(TRIM(C13),FIND(" ",TRIM(C13)&amp;" ")-1),",","."))-1)/MID(SUBSTITUTE(LEFT(TRIM(C13),FIND(" ",TRIM(C13)&amp;" ")-1),",","."),FIND("/",SUBSTITUTE(LEFT(TRIM(C13),FIND(" ",TRIM(C13)&amp;" ")-1),",","."))+1,9)),IF(ISNUMBER(SEARCH("yea",C13)),IFERROR(_xlfn.NUMBERVALUE(SUBSTITUTE(LEFT(TRIM(C13),FIND(" ",TRIM(C13)&amp;" ")-1),",","."),"."),LEFT(SUBSTITUTE(LEFT(TRIM(C13),FIND(" ",TRIM(C13)&amp;" ")-1),",","."),FIND("/",SUBSTITUTE(LEFT(TRIM(C13),FIND(" ",TRIM(C13)&amp;" ")-1),",","."))-1)/MID(SUBSTITUTE(LEFT(TRIM(C13),FIND(" ",TRIM(C13)&amp;" ")-1),",","."),FIND("/",SUBSTITUTE(LEFT(TRIM(C13),FIND(" ",TRIM(C13)&amp;" ")-1),",","."))+1,9))*12,NA()))),0),36)*'Aturan &amp; Tarif'!$B$4,2)</f>
        <v>2044.08</v>
      </c>
      <c r="K13" s="32" t="n">
        <f aca="false">'Aturan &amp; Tarif'!$B$5</f>
        <v>2050</v>
      </c>
      <c r="L13" s="35" t="n">
        <f aca="false">I13+J13+K13</f>
        <v>14464.08</v>
      </c>
      <c r="M13" s="37" t="s">
        <v>624</v>
      </c>
    </row>
    <row r="14" customFormat="false" ht="37.5" hidden="false" customHeight="true" outlineLevel="0" collapsed="false">
      <c r="A14" s="39" t="s">
        <v>633</v>
      </c>
      <c r="B14" s="40" t="s">
        <v>1276</v>
      </c>
      <c r="C14" s="41" t="s">
        <v>127</v>
      </c>
      <c r="D14" s="41" t="s">
        <v>108</v>
      </c>
      <c r="E14" s="42" t="n">
        <v>3250</v>
      </c>
      <c r="F14" s="42"/>
      <c r="G14" s="42" t="n">
        <v>250</v>
      </c>
      <c r="H14" s="43" t="n">
        <v>2</v>
      </c>
      <c r="I14" s="34" t="n">
        <f aca="false">E14*H14+N(F14)+N(G14)</f>
        <v>6750</v>
      </c>
      <c r="J14" s="42" t="n">
        <f aca="false">ROUND(IFERROR(ROUND(IF(OR(ISNUMBER(SEARCH("week",C14)),ISNUMBER(SEARCH("minggu",C14))),IFERROR(_xlfn.NUMBERVALUE(SUBSTITUTE(LEFT(TRIM(C14),FIND(" ",TRIM(C14)&amp;" ")-1),",","."),"."),LEFT(SUBSTITUTE(LEFT(TRIM(C14),FIND(" ",TRIM(C14)&amp;" ")-1),",","."),FIND("/",SUBSTITUTE(LEFT(TRIM(C14),FIND(" ",TRIM(C14)&amp;" ")-1),",","."))-1)/MID(SUBSTITUTE(LEFT(TRIM(C14),FIND(" ",TRIM(C14)&amp;" ")-1),",","."),FIND("/",SUBSTITUTE(LEFT(TRIM(C14),FIND(" ",TRIM(C14)&amp;" ")-1),",","."))+1,9))*12/52,IF(ISNUMBER(SEARCH("month",C14)),IFERROR(_xlfn.NUMBERVALUE(SUBSTITUTE(LEFT(TRIM(C14),FIND(" ",TRIM(C14)&amp;" ")-1),",","."),"."),LEFT(SUBSTITUTE(LEFT(TRIM(C14),FIND(" ",TRIM(C14)&amp;" ")-1),",","."),FIND("/",SUBSTITUTE(LEFT(TRIM(C14),FIND(" ",TRIM(C14)&amp;" ")-1),",","."))-1)/MID(SUBSTITUTE(LEFT(TRIM(C14),FIND(" ",TRIM(C14)&amp;" ")-1),",","."),FIND("/",SUBSTITUTE(LEFT(TRIM(C14),FIND(" ",TRIM(C14)&amp;" ")-1),",","."))+1,9)),IF(ISNUMBER(SEARCH("yea",C14)),IFERROR(_xlfn.NUMBERVALUE(SUBSTITUTE(LEFT(TRIM(C14),FIND(" ",TRIM(C14)&amp;" ")-1),",","."),"."),LEFT(SUBSTITUTE(LEFT(TRIM(C14),FIND(" ",TRIM(C14)&amp;" ")-1),",","."),FIND("/",SUBSTITUTE(LEFT(TRIM(C14),FIND(" ",TRIM(C14)&amp;" ")-1),",","."))-1)/MID(SUBSTITUTE(LEFT(TRIM(C14),FIND(" ",TRIM(C14)&amp;" ")-1),",","."),FIND("/",SUBSTITUTE(LEFT(TRIM(C14),FIND(" ",TRIM(C14)&amp;" ")-1),",","."))+1,9))*12,NA()))),0),36)*'Aturan &amp; Tarif'!$B$4,2)</f>
        <v>2044.08</v>
      </c>
      <c r="K14" s="42" t="n">
        <f aca="false">'Aturan &amp; Tarif'!$B$5</f>
        <v>2050</v>
      </c>
      <c r="L14" s="35" t="n">
        <f aca="false">I14+J14+K14</f>
        <v>10844.08</v>
      </c>
      <c r="M14" s="45" t="s">
        <v>3053</v>
      </c>
    </row>
    <row r="15" customFormat="false" ht="14.25" hidden="false" customHeight="true" outlineLevel="0" collapsed="false">
      <c r="A15" s="39"/>
      <c r="B15" s="40" t="s">
        <v>321</v>
      </c>
      <c r="C15" s="41" t="s">
        <v>127</v>
      </c>
      <c r="D15" s="41" t="s">
        <v>108</v>
      </c>
      <c r="E15" s="42" t="n">
        <v>3250</v>
      </c>
      <c r="F15" s="42"/>
      <c r="G15" s="42" t="n">
        <v>250</v>
      </c>
      <c r="H15" s="43" t="n">
        <v>2</v>
      </c>
      <c r="I15" s="34" t="n">
        <f aca="false">E15*H15+N(F15)+N(G15)</f>
        <v>6750</v>
      </c>
      <c r="J15" s="42" t="n">
        <f aca="false">ROUND(IFERROR(ROUND(IF(OR(ISNUMBER(SEARCH("week",C15)),ISNUMBER(SEARCH("minggu",C15))),IFERROR(_xlfn.NUMBERVALUE(SUBSTITUTE(LEFT(TRIM(C15),FIND(" ",TRIM(C15)&amp;" ")-1),",","."),"."),LEFT(SUBSTITUTE(LEFT(TRIM(C15),FIND(" ",TRIM(C15)&amp;" ")-1),",","."),FIND("/",SUBSTITUTE(LEFT(TRIM(C15),FIND(" ",TRIM(C15)&amp;" ")-1),",","."))-1)/MID(SUBSTITUTE(LEFT(TRIM(C15),FIND(" ",TRIM(C15)&amp;" ")-1),",","."),FIND("/",SUBSTITUTE(LEFT(TRIM(C15),FIND(" ",TRIM(C15)&amp;" ")-1),",","."))+1,9))*12/52,IF(ISNUMBER(SEARCH("month",C15)),IFERROR(_xlfn.NUMBERVALUE(SUBSTITUTE(LEFT(TRIM(C15),FIND(" ",TRIM(C15)&amp;" ")-1),",","."),"."),LEFT(SUBSTITUTE(LEFT(TRIM(C15),FIND(" ",TRIM(C15)&amp;" ")-1),",","."),FIND("/",SUBSTITUTE(LEFT(TRIM(C15),FIND(" ",TRIM(C15)&amp;" ")-1),",","."))-1)/MID(SUBSTITUTE(LEFT(TRIM(C15),FIND(" ",TRIM(C15)&amp;" ")-1),",","."),FIND("/",SUBSTITUTE(LEFT(TRIM(C15),FIND(" ",TRIM(C15)&amp;" ")-1),",","."))+1,9)),IF(ISNUMBER(SEARCH("yea",C15)),IFERROR(_xlfn.NUMBERVALUE(SUBSTITUTE(LEFT(TRIM(C15),FIND(" ",TRIM(C15)&amp;" ")-1),",","."),"."),LEFT(SUBSTITUTE(LEFT(TRIM(C15),FIND(" ",TRIM(C15)&amp;" ")-1),",","."),FIND("/",SUBSTITUTE(LEFT(TRIM(C15),FIND(" ",TRIM(C15)&amp;" ")-1),",","."))-1)/MID(SUBSTITUTE(LEFT(TRIM(C15),FIND(" ",TRIM(C15)&amp;" ")-1),",","."),FIND("/",SUBSTITUTE(LEFT(TRIM(C15),FIND(" ",TRIM(C15)&amp;" ")-1),",","."))+1,9))*12,NA()))),0),36)*'Aturan &amp; Tarif'!$B$4,2)</f>
        <v>2044.08</v>
      </c>
      <c r="K15" s="42" t="n">
        <f aca="false">'Aturan &amp; Tarif'!$B$5</f>
        <v>2050</v>
      </c>
      <c r="L15" s="35" t="n">
        <f aca="false">I15+J15+K15</f>
        <v>10844.08</v>
      </c>
      <c r="M15" s="45" t="s">
        <v>3053</v>
      </c>
    </row>
    <row r="16" customFormat="false" ht="25.5" hidden="false" customHeight="true" outlineLevel="0" collapsed="false">
      <c r="A16" s="39"/>
      <c r="B16" s="40" t="s">
        <v>3054</v>
      </c>
      <c r="C16" s="41" t="s">
        <v>127</v>
      </c>
      <c r="D16" s="41" t="s">
        <v>108</v>
      </c>
      <c r="E16" s="42" t="n">
        <v>3250</v>
      </c>
      <c r="F16" s="42"/>
      <c r="G16" s="42" t="n">
        <v>250</v>
      </c>
      <c r="H16" s="43" t="n">
        <v>2</v>
      </c>
      <c r="I16" s="34" t="n">
        <f aca="false">E16*H16+N(F16)+N(G16)</f>
        <v>6750</v>
      </c>
      <c r="J16" s="42" t="n">
        <f aca="false">ROUND(IFERROR(ROUND(IF(OR(ISNUMBER(SEARCH("week",C16)),ISNUMBER(SEARCH("minggu",C16))),IFERROR(_xlfn.NUMBERVALUE(SUBSTITUTE(LEFT(TRIM(C16),FIND(" ",TRIM(C16)&amp;" ")-1),",","."),"."),LEFT(SUBSTITUTE(LEFT(TRIM(C16),FIND(" ",TRIM(C16)&amp;" ")-1),",","."),FIND("/",SUBSTITUTE(LEFT(TRIM(C16),FIND(" ",TRIM(C16)&amp;" ")-1),",","."))-1)/MID(SUBSTITUTE(LEFT(TRIM(C16),FIND(" ",TRIM(C16)&amp;" ")-1),",","."),FIND("/",SUBSTITUTE(LEFT(TRIM(C16),FIND(" ",TRIM(C16)&amp;" ")-1),",","."))+1,9))*12/52,IF(ISNUMBER(SEARCH("month",C16)),IFERROR(_xlfn.NUMBERVALUE(SUBSTITUTE(LEFT(TRIM(C16),FIND(" ",TRIM(C16)&amp;" ")-1),",","."),"."),LEFT(SUBSTITUTE(LEFT(TRIM(C16),FIND(" ",TRIM(C16)&amp;" ")-1),",","."),FIND("/",SUBSTITUTE(LEFT(TRIM(C16),FIND(" ",TRIM(C16)&amp;" ")-1),",","."))-1)/MID(SUBSTITUTE(LEFT(TRIM(C16),FIND(" ",TRIM(C16)&amp;" ")-1),",","."),FIND("/",SUBSTITUTE(LEFT(TRIM(C16),FIND(" ",TRIM(C16)&amp;" ")-1),",","."))+1,9)),IF(ISNUMBER(SEARCH("yea",C16)),IFERROR(_xlfn.NUMBERVALUE(SUBSTITUTE(LEFT(TRIM(C16),FIND(" ",TRIM(C16)&amp;" ")-1),",","."),"."),LEFT(SUBSTITUTE(LEFT(TRIM(C16),FIND(" ",TRIM(C16)&amp;" ")-1),",","."),FIND("/",SUBSTITUTE(LEFT(TRIM(C16),FIND(" ",TRIM(C16)&amp;" ")-1),",","."))-1)/MID(SUBSTITUTE(LEFT(TRIM(C16),FIND(" ",TRIM(C16)&amp;" ")-1),",","."),FIND("/",SUBSTITUTE(LEFT(TRIM(C16),FIND(" ",TRIM(C16)&amp;" ")-1),",","."))+1,9))*12,NA()))),0),36)*'Aturan &amp; Tarif'!$B$4,2)</f>
        <v>2044.08</v>
      </c>
      <c r="K16" s="42" t="n">
        <f aca="false">'Aturan &amp; Tarif'!$B$5</f>
        <v>2050</v>
      </c>
      <c r="L16" s="35" t="n">
        <f aca="false">I16+J16+K16</f>
        <v>10844.08</v>
      </c>
      <c r="M16" s="45" t="s">
        <v>3053</v>
      </c>
    </row>
    <row r="17" customFormat="false" ht="14.25" hidden="false" customHeight="true" outlineLevel="0" collapsed="false">
      <c r="A17" s="39"/>
      <c r="B17" s="40" t="s">
        <v>3055</v>
      </c>
      <c r="C17" s="41" t="s">
        <v>127</v>
      </c>
      <c r="D17" s="41" t="s">
        <v>108</v>
      </c>
      <c r="E17" s="42" t="n">
        <v>3250</v>
      </c>
      <c r="F17" s="42"/>
      <c r="G17" s="42" t="n">
        <v>250</v>
      </c>
      <c r="H17" s="43" t="n">
        <v>2</v>
      </c>
      <c r="I17" s="34" t="n">
        <f aca="false">E17*H17+N(F17)+N(G17)</f>
        <v>6750</v>
      </c>
      <c r="J17" s="42" t="n">
        <f aca="false">ROUND(IFERROR(ROUND(IF(OR(ISNUMBER(SEARCH("week",C17)),ISNUMBER(SEARCH("minggu",C17))),IFERROR(_xlfn.NUMBERVALUE(SUBSTITUTE(LEFT(TRIM(C17),FIND(" ",TRIM(C17)&amp;" ")-1),",","."),"."),LEFT(SUBSTITUTE(LEFT(TRIM(C17),FIND(" ",TRIM(C17)&amp;" ")-1),",","."),FIND("/",SUBSTITUTE(LEFT(TRIM(C17),FIND(" ",TRIM(C17)&amp;" ")-1),",","."))-1)/MID(SUBSTITUTE(LEFT(TRIM(C17),FIND(" ",TRIM(C17)&amp;" ")-1),",","."),FIND("/",SUBSTITUTE(LEFT(TRIM(C17),FIND(" ",TRIM(C17)&amp;" ")-1),",","."))+1,9))*12/52,IF(ISNUMBER(SEARCH("month",C17)),IFERROR(_xlfn.NUMBERVALUE(SUBSTITUTE(LEFT(TRIM(C17),FIND(" ",TRIM(C17)&amp;" ")-1),",","."),"."),LEFT(SUBSTITUTE(LEFT(TRIM(C17),FIND(" ",TRIM(C17)&amp;" ")-1),",","."),FIND("/",SUBSTITUTE(LEFT(TRIM(C17),FIND(" ",TRIM(C17)&amp;" ")-1),",","."))-1)/MID(SUBSTITUTE(LEFT(TRIM(C17),FIND(" ",TRIM(C17)&amp;" ")-1),",","."),FIND("/",SUBSTITUTE(LEFT(TRIM(C17),FIND(" ",TRIM(C17)&amp;" ")-1),",","."))+1,9)),IF(ISNUMBER(SEARCH("yea",C17)),IFERROR(_xlfn.NUMBERVALUE(SUBSTITUTE(LEFT(TRIM(C17),FIND(" ",TRIM(C17)&amp;" ")-1),",","."),"."),LEFT(SUBSTITUTE(LEFT(TRIM(C17),FIND(" ",TRIM(C17)&amp;" ")-1),",","."),FIND("/",SUBSTITUTE(LEFT(TRIM(C17),FIND(" ",TRIM(C17)&amp;" ")-1),",","."))-1)/MID(SUBSTITUTE(LEFT(TRIM(C17),FIND(" ",TRIM(C17)&amp;" ")-1),",","."),FIND("/",SUBSTITUTE(LEFT(TRIM(C17),FIND(" ",TRIM(C17)&amp;" ")-1),",","."))+1,9))*12,NA()))),0),36)*'Aturan &amp; Tarif'!$B$4,2)</f>
        <v>2044.08</v>
      </c>
      <c r="K17" s="42" t="n">
        <f aca="false">'Aturan &amp; Tarif'!$B$5</f>
        <v>2050</v>
      </c>
      <c r="L17" s="35" t="n">
        <f aca="false">I17+J17+K17</f>
        <v>10844.08</v>
      </c>
      <c r="M17" s="45" t="s">
        <v>3053</v>
      </c>
    </row>
    <row r="18" customFormat="false" ht="25.5" hidden="false" customHeight="true" outlineLevel="0" collapsed="false">
      <c r="A18" s="39"/>
      <c r="B18" s="40" t="s">
        <v>3056</v>
      </c>
      <c r="C18" s="41" t="s">
        <v>127</v>
      </c>
      <c r="D18" s="41" t="s">
        <v>108</v>
      </c>
      <c r="E18" s="42" t="n">
        <v>3250</v>
      </c>
      <c r="F18" s="42"/>
      <c r="G18" s="42" t="n">
        <v>250</v>
      </c>
      <c r="H18" s="43" t="n">
        <v>2</v>
      </c>
      <c r="I18" s="34" t="n">
        <f aca="false">E18*H18+N(F18)+N(G18)</f>
        <v>6750</v>
      </c>
      <c r="J18" s="42" t="n">
        <f aca="false">ROUND(IFERROR(ROUND(IF(OR(ISNUMBER(SEARCH("week",C18)),ISNUMBER(SEARCH("minggu",C18))),IFERROR(_xlfn.NUMBERVALUE(SUBSTITUTE(LEFT(TRIM(C18),FIND(" ",TRIM(C18)&amp;" ")-1),",","."),"."),LEFT(SUBSTITUTE(LEFT(TRIM(C18),FIND(" ",TRIM(C18)&amp;" ")-1),",","."),FIND("/",SUBSTITUTE(LEFT(TRIM(C18),FIND(" ",TRIM(C18)&amp;" ")-1),",","."))-1)/MID(SUBSTITUTE(LEFT(TRIM(C18),FIND(" ",TRIM(C18)&amp;" ")-1),",","."),FIND("/",SUBSTITUTE(LEFT(TRIM(C18),FIND(" ",TRIM(C18)&amp;" ")-1),",","."))+1,9))*12/52,IF(ISNUMBER(SEARCH("month",C18)),IFERROR(_xlfn.NUMBERVALUE(SUBSTITUTE(LEFT(TRIM(C18),FIND(" ",TRIM(C18)&amp;" ")-1),",","."),"."),LEFT(SUBSTITUTE(LEFT(TRIM(C18),FIND(" ",TRIM(C18)&amp;" ")-1),",","."),FIND("/",SUBSTITUTE(LEFT(TRIM(C18),FIND(" ",TRIM(C18)&amp;" ")-1),",","."))-1)/MID(SUBSTITUTE(LEFT(TRIM(C18),FIND(" ",TRIM(C18)&amp;" ")-1),",","."),FIND("/",SUBSTITUTE(LEFT(TRIM(C18),FIND(" ",TRIM(C18)&amp;" ")-1),",","."))+1,9)),IF(ISNUMBER(SEARCH("yea",C18)),IFERROR(_xlfn.NUMBERVALUE(SUBSTITUTE(LEFT(TRIM(C18),FIND(" ",TRIM(C18)&amp;" ")-1),",","."),"."),LEFT(SUBSTITUTE(LEFT(TRIM(C18),FIND(" ",TRIM(C18)&amp;" ")-1),",","."),FIND("/",SUBSTITUTE(LEFT(TRIM(C18),FIND(" ",TRIM(C18)&amp;" ")-1),",","."))-1)/MID(SUBSTITUTE(LEFT(TRIM(C18),FIND(" ",TRIM(C18)&amp;" ")-1),",","."),FIND("/",SUBSTITUTE(LEFT(TRIM(C18),FIND(" ",TRIM(C18)&amp;" ")-1),",","."))+1,9))*12,NA()))),0),36)*'Aturan &amp; Tarif'!$B$4,2)</f>
        <v>2044.08</v>
      </c>
      <c r="K18" s="42" t="n">
        <f aca="false">'Aturan &amp; Tarif'!$B$5</f>
        <v>2050</v>
      </c>
      <c r="L18" s="35" t="n">
        <f aca="false">I18+J18+K18</f>
        <v>10844.08</v>
      </c>
      <c r="M18" s="45" t="s">
        <v>3053</v>
      </c>
    </row>
    <row r="19" customFormat="false" ht="25.5" hidden="false" customHeight="true" outlineLevel="0" collapsed="false">
      <c r="A19" s="39"/>
      <c r="B19" s="40" t="s">
        <v>640</v>
      </c>
      <c r="C19" s="41" t="s">
        <v>107</v>
      </c>
      <c r="D19" s="41" t="s">
        <v>108</v>
      </c>
      <c r="E19" s="42" t="n">
        <v>4050</v>
      </c>
      <c r="F19" s="42"/>
      <c r="G19" s="42" t="n">
        <v>250</v>
      </c>
      <c r="H19" s="43" t="n">
        <v>2</v>
      </c>
      <c r="I19" s="34" t="n">
        <f aca="false">E19*H19+N(F19)+N(G19)</f>
        <v>8350</v>
      </c>
      <c r="J19" s="42" t="n">
        <f aca="false">ROUND(IFERROR(ROUND(IF(OR(ISNUMBER(SEARCH("week",C19)),ISNUMBER(SEARCH("minggu",C19))),IFERROR(_xlfn.NUMBERVALUE(SUBSTITUTE(LEFT(TRIM(C19),FIND(" ",TRIM(C19)&amp;" ")-1),",","."),"."),LEFT(SUBSTITUTE(LEFT(TRIM(C19),FIND(" ",TRIM(C19)&amp;" ")-1),",","."),FIND("/",SUBSTITUTE(LEFT(TRIM(C19),FIND(" ",TRIM(C19)&amp;" ")-1),",","."))-1)/MID(SUBSTITUTE(LEFT(TRIM(C19),FIND(" ",TRIM(C19)&amp;" ")-1),",","."),FIND("/",SUBSTITUTE(LEFT(TRIM(C19),FIND(" ",TRIM(C19)&amp;" ")-1),",","."))+1,9))*12/52,IF(ISNUMBER(SEARCH("month",C19)),IFERROR(_xlfn.NUMBERVALUE(SUBSTITUTE(LEFT(TRIM(C19),FIND(" ",TRIM(C19)&amp;" ")-1),",","."),"."),LEFT(SUBSTITUTE(LEFT(TRIM(C19),FIND(" ",TRIM(C19)&amp;" ")-1),",","."),FIND("/",SUBSTITUTE(LEFT(TRIM(C19),FIND(" ",TRIM(C19)&amp;" ")-1),",","."))-1)/MID(SUBSTITUTE(LEFT(TRIM(C19),FIND(" ",TRIM(C19)&amp;" ")-1),",","."),FIND("/",SUBSTITUTE(LEFT(TRIM(C19),FIND(" ",TRIM(C19)&amp;" ")-1),",","."))+1,9)),IF(ISNUMBER(SEARCH("yea",C19)),IFERROR(_xlfn.NUMBERVALUE(SUBSTITUTE(LEFT(TRIM(C19),FIND(" ",TRIM(C19)&amp;" ")-1),",","."),"."),LEFT(SUBSTITUTE(LEFT(TRIM(C19),FIND(" ",TRIM(C19)&amp;" ")-1),",","."),FIND("/",SUBSTITUTE(LEFT(TRIM(C19),FIND(" ",TRIM(C19)&amp;" ")-1),",","."))-1)/MID(SUBSTITUTE(LEFT(TRIM(C19),FIND(" ",TRIM(C19)&amp;" ")-1),",","."),FIND("/",SUBSTITUTE(LEFT(TRIM(C19),FIND(" ",TRIM(C19)&amp;" ")-1),",","."))+1,9))*12,NA()))),0),24)*'Aturan &amp; Tarif'!$B$4,2)</f>
        <v>1362.72</v>
      </c>
      <c r="K19" s="42" t="n">
        <f aca="false">'Aturan &amp; Tarif'!$B$5</f>
        <v>2050</v>
      </c>
      <c r="L19" s="35" t="n">
        <f aca="false">I19+J19+K19</f>
        <v>11762.72</v>
      </c>
      <c r="M19" s="45" t="s">
        <v>3053</v>
      </c>
    </row>
    <row r="20" customFormat="false" ht="37.5" hidden="false" customHeight="true" outlineLevel="0" collapsed="false">
      <c r="A20" s="39"/>
      <c r="B20" s="40" t="s">
        <v>642</v>
      </c>
      <c r="C20" s="41" t="s">
        <v>107</v>
      </c>
      <c r="D20" s="41" t="s">
        <v>108</v>
      </c>
      <c r="E20" s="42" t="n">
        <v>4050</v>
      </c>
      <c r="F20" s="42"/>
      <c r="G20" s="42" t="n">
        <v>250</v>
      </c>
      <c r="H20" s="43" t="n">
        <v>2</v>
      </c>
      <c r="I20" s="34" t="n">
        <f aca="false">E20*H20+N(F20)+N(G20)</f>
        <v>8350</v>
      </c>
      <c r="J20" s="42" t="n">
        <f aca="false">ROUND(IFERROR(ROUND(IF(OR(ISNUMBER(SEARCH("week",C20)),ISNUMBER(SEARCH("minggu",C20))),IFERROR(_xlfn.NUMBERVALUE(SUBSTITUTE(LEFT(TRIM(C20),FIND(" ",TRIM(C20)&amp;" ")-1),",","."),"."),LEFT(SUBSTITUTE(LEFT(TRIM(C20),FIND(" ",TRIM(C20)&amp;" ")-1),",","."),FIND("/",SUBSTITUTE(LEFT(TRIM(C20),FIND(" ",TRIM(C20)&amp;" ")-1),",","."))-1)/MID(SUBSTITUTE(LEFT(TRIM(C20),FIND(" ",TRIM(C20)&amp;" ")-1),",","."),FIND("/",SUBSTITUTE(LEFT(TRIM(C20),FIND(" ",TRIM(C20)&amp;" ")-1),",","."))+1,9))*12/52,IF(ISNUMBER(SEARCH("month",C20)),IFERROR(_xlfn.NUMBERVALUE(SUBSTITUTE(LEFT(TRIM(C20),FIND(" ",TRIM(C20)&amp;" ")-1),",","."),"."),LEFT(SUBSTITUTE(LEFT(TRIM(C20),FIND(" ",TRIM(C20)&amp;" ")-1),",","."),FIND("/",SUBSTITUTE(LEFT(TRIM(C20),FIND(" ",TRIM(C20)&amp;" ")-1),",","."))-1)/MID(SUBSTITUTE(LEFT(TRIM(C20),FIND(" ",TRIM(C20)&amp;" ")-1),",","."),FIND("/",SUBSTITUTE(LEFT(TRIM(C20),FIND(" ",TRIM(C20)&amp;" ")-1),",","."))+1,9)),IF(ISNUMBER(SEARCH("yea",C20)),IFERROR(_xlfn.NUMBERVALUE(SUBSTITUTE(LEFT(TRIM(C20),FIND(" ",TRIM(C20)&amp;" ")-1),",","."),"."),LEFT(SUBSTITUTE(LEFT(TRIM(C20),FIND(" ",TRIM(C20)&amp;" ")-1),",","."),FIND("/",SUBSTITUTE(LEFT(TRIM(C20),FIND(" ",TRIM(C20)&amp;" ")-1),",","."))-1)/MID(SUBSTITUTE(LEFT(TRIM(C20),FIND(" ",TRIM(C20)&amp;" ")-1),",","."),FIND("/",SUBSTITUTE(LEFT(TRIM(C20),FIND(" ",TRIM(C20)&amp;" ")-1),",","."))+1,9))*12,NA()))),0),24)*'Aturan &amp; Tarif'!$B$4,2)</f>
        <v>1362.72</v>
      </c>
      <c r="K20" s="42" t="n">
        <f aca="false">'Aturan &amp; Tarif'!$B$5</f>
        <v>2050</v>
      </c>
      <c r="L20" s="35" t="n">
        <f aca="false">I20+J20+K20</f>
        <v>11762.72</v>
      </c>
      <c r="M20" s="45" t="s">
        <v>3053</v>
      </c>
    </row>
    <row r="21" customFormat="false" ht="37.5" hidden="false" customHeight="true" outlineLevel="0" collapsed="false">
      <c r="A21" s="39"/>
      <c r="B21" s="40" t="s">
        <v>643</v>
      </c>
      <c r="C21" s="41" t="s">
        <v>107</v>
      </c>
      <c r="D21" s="41" t="s">
        <v>108</v>
      </c>
      <c r="E21" s="42" t="n">
        <v>4050</v>
      </c>
      <c r="F21" s="42"/>
      <c r="G21" s="42" t="n">
        <v>250</v>
      </c>
      <c r="H21" s="43" t="n">
        <v>2</v>
      </c>
      <c r="I21" s="34" t="n">
        <f aca="false">E21*H21+N(F21)+N(G21)</f>
        <v>8350</v>
      </c>
      <c r="J21" s="42" t="n">
        <f aca="false">ROUND(IFERROR(ROUND(IF(OR(ISNUMBER(SEARCH("week",C21)),ISNUMBER(SEARCH("minggu",C21))),IFERROR(_xlfn.NUMBERVALUE(SUBSTITUTE(LEFT(TRIM(C21),FIND(" ",TRIM(C21)&amp;" ")-1),",","."),"."),LEFT(SUBSTITUTE(LEFT(TRIM(C21),FIND(" ",TRIM(C21)&amp;" ")-1),",","."),FIND("/",SUBSTITUTE(LEFT(TRIM(C21),FIND(" ",TRIM(C21)&amp;" ")-1),",","."))-1)/MID(SUBSTITUTE(LEFT(TRIM(C21),FIND(" ",TRIM(C21)&amp;" ")-1),",","."),FIND("/",SUBSTITUTE(LEFT(TRIM(C21),FIND(" ",TRIM(C21)&amp;" ")-1),",","."))+1,9))*12/52,IF(ISNUMBER(SEARCH("month",C21)),IFERROR(_xlfn.NUMBERVALUE(SUBSTITUTE(LEFT(TRIM(C21),FIND(" ",TRIM(C21)&amp;" ")-1),",","."),"."),LEFT(SUBSTITUTE(LEFT(TRIM(C21),FIND(" ",TRIM(C21)&amp;" ")-1),",","."),FIND("/",SUBSTITUTE(LEFT(TRIM(C21),FIND(" ",TRIM(C21)&amp;" ")-1),",","."))-1)/MID(SUBSTITUTE(LEFT(TRIM(C21),FIND(" ",TRIM(C21)&amp;" ")-1),",","."),FIND("/",SUBSTITUTE(LEFT(TRIM(C21),FIND(" ",TRIM(C21)&amp;" ")-1),",","."))+1,9)),IF(ISNUMBER(SEARCH("yea",C21)),IFERROR(_xlfn.NUMBERVALUE(SUBSTITUTE(LEFT(TRIM(C21),FIND(" ",TRIM(C21)&amp;" ")-1),",","."),"."),LEFT(SUBSTITUTE(LEFT(TRIM(C21),FIND(" ",TRIM(C21)&amp;" ")-1),",","."),FIND("/",SUBSTITUTE(LEFT(TRIM(C21),FIND(" ",TRIM(C21)&amp;" ")-1),",","."))-1)/MID(SUBSTITUTE(LEFT(TRIM(C21),FIND(" ",TRIM(C21)&amp;" ")-1),",","."),FIND("/",SUBSTITUTE(LEFT(TRIM(C21),FIND(" ",TRIM(C21)&amp;" ")-1),",","."))+1,9))*12,NA()))),0),24)*'Aturan &amp; Tarif'!$B$4,2)</f>
        <v>1362.72</v>
      </c>
      <c r="K21" s="42" t="n">
        <f aca="false">'Aturan &amp; Tarif'!$B$5</f>
        <v>2050</v>
      </c>
      <c r="L21" s="35" t="n">
        <f aca="false">I21+J21+K21</f>
        <v>11762.72</v>
      </c>
      <c r="M21" s="45" t="s">
        <v>3053</v>
      </c>
    </row>
    <row r="22" customFormat="false" ht="37.5" hidden="false" customHeight="true" outlineLevel="0" collapsed="false">
      <c r="A22" s="39"/>
      <c r="B22" s="40" t="s">
        <v>644</v>
      </c>
      <c r="C22" s="41" t="s">
        <v>107</v>
      </c>
      <c r="D22" s="41" t="s">
        <v>108</v>
      </c>
      <c r="E22" s="42" t="n">
        <v>4050</v>
      </c>
      <c r="F22" s="42"/>
      <c r="G22" s="42" t="n">
        <v>250</v>
      </c>
      <c r="H22" s="43" t="n">
        <v>2</v>
      </c>
      <c r="I22" s="34" t="n">
        <f aca="false">E22*H22+N(F22)+N(G22)</f>
        <v>8350</v>
      </c>
      <c r="J22" s="42" t="n">
        <f aca="false">ROUND(IFERROR(ROUND(IF(OR(ISNUMBER(SEARCH("week",C22)),ISNUMBER(SEARCH("minggu",C22))),IFERROR(_xlfn.NUMBERVALUE(SUBSTITUTE(LEFT(TRIM(C22),FIND(" ",TRIM(C22)&amp;" ")-1),",","."),"."),LEFT(SUBSTITUTE(LEFT(TRIM(C22),FIND(" ",TRIM(C22)&amp;" ")-1),",","."),FIND("/",SUBSTITUTE(LEFT(TRIM(C22),FIND(" ",TRIM(C22)&amp;" ")-1),",","."))-1)/MID(SUBSTITUTE(LEFT(TRIM(C22),FIND(" ",TRIM(C22)&amp;" ")-1),",","."),FIND("/",SUBSTITUTE(LEFT(TRIM(C22),FIND(" ",TRIM(C22)&amp;" ")-1),",","."))+1,9))*12/52,IF(ISNUMBER(SEARCH("month",C22)),IFERROR(_xlfn.NUMBERVALUE(SUBSTITUTE(LEFT(TRIM(C22),FIND(" ",TRIM(C22)&amp;" ")-1),",","."),"."),LEFT(SUBSTITUTE(LEFT(TRIM(C22),FIND(" ",TRIM(C22)&amp;" ")-1),",","."),FIND("/",SUBSTITUTE(LEFT(TRIM(C22),FIND(" ",TRIM(C22)&amp;" ")-1),",","."))-1)/MID(SUBSTITUTE(LEFT(TRIM(C22),FIND(" ",TRIM(C22)&amp;" ")-1),",","."),FIND("/",SUBSTITUTE(LEFT(TRIM(C22),FIND(" ",TRIM(C22)&amp;" ")-1),",","."))+1,9)),IF(ISNUMBER(SEARCH("yea",C22)),IFERROR(_xlfn.NUMBERVALUE(SUBSTITUTE(LEFT(TRIM(C22),FIND(" ",TRIM(C22)&amp;" ")-1),",","."),"."),LEFT(SUBSTITUTE(LEFT(TRIM(C22),FIND(" ",TRIM(C22)&amp;" ")-1),",","."),FIND("/",SUBSTITUTE(LEFT(TRIM(C22),FIND(" ",TRIM(C22)&amp;" ")-1),",","."))-1)/MID(SUBSTITUTE(LEFT(TRIM(C22),FIND(" ",TRIM(C22)&amp;" ")-1),",","."),FIND("/",SUBSTITUTE(LEFT(TRIM(C22),FIND(" ",TRIM(C22)&amp;" ")-1),",","."))+1,9))*12,NA()))),0),24)*'Aturan &amp; Tarif'!$B$4,2)</f>
        <v>1362.72</v>
      </c>
      <c r="K22" s="42" t="n">
        <f aca="false">'Aturan &amp; Tarif'!$B$5</f>
        <v>2050</v>
      </c>
      <c r="L22" s="35" t="n">
        <f aca="false">I22+J22+K22</f>
        <v>11762.72</v>
      </c>
      <c r="M22" s="45" t="s">
        <v>3053</v>
      </c>
    </row>
    <row r="23" customFormat="false" ht="37.5" hidden="false" customHeight="true" outlineLevel="0" collapsed="false">
      <c r="A23" s="39"/>
      <c r="B23" s="40" t="s">
        <v>645</v>
      </c>
      <c r="C23" s="41" t="s">
        <v>107</v>
      </c>
      <c r="D23" s="41" t="s">
        <v>108</v>
      </c>
      <c r="E23" s="42" t="n">
        <v>4050</v>
      </c>
      <c r="F23" s="42"/>
      <c r="G23" s="42" t="n">
        <v>250</v>
      </c>
      <c r="H23" s="43" t="n">
        <v>2</v>
      </c>
      <c r="I23" s="34" t="n">
        <f aca="false">E23*H23+N(F23)+N(G23)</f>
        <v>8350</v>
      </c>
      <c r="J23" s="42" t="n">
        <f aca="false">ROUND(IFERROR(ROUND(IF(OR(ISNUMBER(SEARCH("week",C23)),ISNUMBER(SEARCH("minggu",C23))),IFERROR(_xlfn.NUMBERVALUE(SUBSTITUTE(LEFT(TRIM(C23),FIND(" ",TRIM(C23)&amp;" ")-1),",","."),"."),LEFT(SUBSTITUTE(LEFT(TRIM(C23),FIND(" ",TRIM(C23)&amp;" ")-1),",","."),FIND("/",SUBSTITUTE(LEFT(TRIM(C23),FIND(" ",TRIM(C23)&amp;" ")-1),",","."))-1)/MID(SUBSTITUTE(LEFT(TRIM(C23),FIND(" ",TRIM(C23)&amp;" ")-1),",","."),FIND("/",SUBSTITUTE(LEFT(TRIM(C23),FIND(" ",TRIM(C23)&amp;" ")-1),",","."))+1,9))*12/52,IF(ISNUMBER(SEARCH("month",C23)),IFERROR(_xlfn.NUMBERVALUE(SUBSTITUTE(LEFT(TRIM(C23),FIND(" ",TRIM(C23)&amp;" ")-1),",","."),"."),LEFT(SUBSTITUTE(LEFT(TRIM(C23),FIND(" ",TRIM(C23)&amp;" ")-1),",","."),FIND("/",SUBSTITUTE(LEFT(TRIM(C23),FIND(" ",TRIM(C23)&amp;" ")-1),",","."))-1)/MID(SUBSTITUTE(LEFT(TRIM(C23),FIND(" ",TRIM(C23)&amp;" ")-1),",","."),FIND("/",SUBSTITUTE(LEFT(TRIM(C23),FIND(" ",TRIM(C23)&amp;" ")-1),",","."))+1,9)),IF(ISNUMBER(SEARCH("yea",C23)),IFERROR(_xlfn.NUMBERVALUE(SUBSTITUTE(LEFT(TRIM(C23),FIND(" ",TRIM(C23)&amp;" ")-1),",","."),"."),LEFT(SUBSTITUTE(LEFT(TRIM(C23),FIND(" ",TRIM(C23)&amp;" ")-1),",","."),FIND("/",SUBSTITUTE(LEFT(TRIM(C23),FIND(" ",TRIM(C23)&amp;" ")-1),",","."))-1)/MID(SUBSTITUTE(LEFT(TRIM(C23),FIND(" ",TRIM(C23)&amp;" ")-1),",","."),FIND("/",SUBSTITUTE(LEFT(TRIM(C23),FIND(" ",TRIM(C23)&amp;" ")-1),",","."))+1,9))*12,NA()))),0),24)*'Aturan &amp; Tarif'!$B$4,2)</f>
        <v>1362.72</v>
      </c>
      <c r="K23" s="42" t="n">
        <f aca="false">'Aturan &amp; Tarif'!$B$5</f>
        <v>2050</v>
      </c>
      <c r="L23" s="35" t="n">
        <f aca="false">I23+J23+K23</f>
        <v>11762.72</v>
      </c>
      <c r="M23" s="45" t="s">
        <v>3053</v>
      </c>
    </row>
    <row r="24" customFormat="false" ht="14.25" hidden="false" customHeight="true" outlineLevel="0" collapsed="false">
      <c r="A24" s="39"/>
      <c r="B24" s="40" t="s">
        <v>646</v>
      </c>
      <c r="C24" s="41" t="s">
        <v>130</v>
      </c>
      <c r="D24" s="41" t="s">
        <v>108</v>
      </c>
      <c r="E24" s="42" t="n">
        <v>4050</v>
      </c>
      <c r="F24" s="42"/>
      <c r="G24" s="42" t="n">
        <v>250</v>
      </c>
      <c r="H24" s="43" t="n">
        <v>2</v>
      </c>
      <c r="I24" s="34" t="n">
        <f aca="false">E24*H24+N(F24)+N(G24)</f>
        <v>8350</v>
      </c>
      <c r="J24" s="42" t="n">
        <f aca="false">ROUND(IFERROR(ROUND(IF(OR(ISNUMBER(SEARCH("week",C24)),ISNUMBER(SEARCH("minggu",C24))),IFERROR(_xlfn.NUMBERVALUE(SUBSTITUTE(LEFT(TRIM(C24),FIND(" ",TRIM(C24)&amp;" ")-1),",","."),"."),LEFT(SUBSTITUTE(LEFT(TRIM(C24),FIND(" ",TRIM(C24)&amp;" ")-1),",","."),FIND("/",SUBSTITUTE(LEFT(TRIM(C24),FIND(" ",TRIM(C24)&amp;" ")-1),",","."))-1)/MID(SUBSTITUTE(LEFT(TRIM(C24),FIND(" ",TRIM(C24)&amp;" ")-1),",","."),FIND("/",SUBSTITUTE(LEFT(TRIM(C24),FIND(" ",TRIM(C24)&amp;" ")-1),",","."))+1,9))*12/52,IF(ISNUMBER(SEARCH("month",C24)),IFERROR(_xlfn.NUMBERVALUE(SUBSTITUTE(LEFT(TRIM(C24),FIND(" ",TRIM(C24)&amp;" ")-1),",","."),"."),LEFT(SUBSTITUTE(LEFT(TRIM(C24),FIND(" ",TRIM(C24)&amp;" ")-1),",","."),FIND("/",SUBSTITUTE(LEFT(TRIM(C24),FIND(" ",TRIM(C24)&amp;" ")-1),",","."))-1)/MID(SUBSTITUTE(LEFT(TRIM(C24),FIND(" ",TRIM(C24)&amp;" ")-1),",","."),FIND("/",SUBSTITUTE(LEFT(TRIM(C24),FIND(" ",TRIM(C24)&amp;" ")-1),",","."))+1,9)),IF(ISNUMBER(SEARCH("yea",C24)),IFERROR(_xlfn.NUMBERVALUE(SUBSTITUTE(LEFT(TRIM(C24),FIND(" ",TRIM(C24)&amp;" ")-1),",","."),"."),LEFT(SUBSTITUTE(LEFT(TRIM(C24),FIND(" ",TRIM(C24)&amp;" ")-1),",","."),FIND("/",SUBSTITUTE(LEFT(TRIM(C24),FIND(" ",TRIM(C24)&amp;" ")-1),",","."))-1)/MID(SUBSTITUTE(LEFT(TRIM(C24),FIND(" ",TRIM(C24)&amp;" ")-1),",","."),FIND("/",SUBSTITUTE(LEFT(TRIM(C24),FIND(" ",TRIM(C24)&amp;" ")-1),",","."))+1,9))*12,NA()))),0),12)*'Aturan &amp; Tarif'!$B$4,2)</f>
        <v>681.36</v>
      </c>
      <c r="K24" s="42" t="n">
        <f aca="false">'Aturan &amp; Tarif'!$B$5</f>
        <v>2050</v>
      </c>
      <c r="L24" s="35" t="n">
        <f aca="false">I24+J24+K24</f>
        <v>11081.36</v>
      </c>
      <c r="M24" s="45" t="s">
        <v>3053</v>
      </c>
    </row>
    <row r="25" customFormat="false" ht="14.25" hidden="false" customHeight="true" outlineLevel="0" collapsed="false">
      <c r="A25" s="39"/>
      <c r="B25" s="40" t="s">
        <v>647</v>
      </c>
      <c r="C25" s="41" t="s">
        <v>648</v>
      </c>
      <c r="D25" s="41" t="s">
        <v>108</v>
      </c>
      <c r="E25" s="42" t="n">
        <v>2700</v>
      </c>
      <c r="F25" s="42"/>
      <c r="G25" s="42" t="n">
        <v>250</v>
      </c>
      <c r="H25" s="43" t="n">
        <v>2</v>
      </c>
      <c r="I25" s="34" t="n">
        <f aca="false">E25*H25+N(F25)+N(G25)</f>
        <v>5650</v>
      </c>
      <c r="J25" s="42" t="n">
        <f aca="false">ROUND(IFERROR(ROUND(IF(OR(ISNUMBER(SEARCH("week",C25)),ISNUMBER(SEARCH("minggu",C25))),IFERROR(_xlfn.NUMBERVALUE(SUBSTITUTE(LEFT(TRIM(C25),FIND(" ",TRIM(C25)&amp;" ")-1),",","."),"."),LEFT(SUBSTITUTE(LEFT(TRIM(C25),FIND(" ",TRIM(C25)&amp;" ")-1),",","."),FIND("/",SUBSTITUTE(LEFT(TRIM(C25),FIND(" ",TRIM(C25)&amp;" ")-1),",","."))-1)/MID(SUBSTITUTE(LEFT(TRIM(C25),FIND(" ",TRIM(C25)&amp;" ")-1),",","."),FIND("/",SUBSTITUTE(LEFT(TRIM(C25),FIND(" ",TRIM(C25)&amp;" ")-1),",","."))+1,9))*12/52,IF(ISNUMBER(SEARCH("month",C25)),IFERROR(_xlfn.NUMBERVALUE(SUBSTITUTE(LEFT(TRIM(C25),FIND(" ",TRIM(C25)&amp;" ")-1),",","."),"."),LEFT(SUBSTITUTE(LEFT(TRIM(C25),FIND(" ",TRIM(C25)&amp;" ")-1),",","."),FIND("/",SUBSTITUTE(LEFT(TRIM(C25),FIND(" ",TRIM(C25)&amp;" ")-1),",","."))-1)/MID(SUBSTITUTE(LEFT(TRIM(C25),FIND(" ",TRIM(C25)&amp;" ")-1),",","."),FIND("/",SUBSTITUTE(LEFT(TRIM(C25),FIND(" ",TRIM(C25)&amp;" ")-1),",","."))+1,9)),IF(ISNUMBER(SEARCH("yea",C25)),IFERROR(_xlfn.NUMBERVALUE(SUBSTITUTE(LEFT(TRIM(C25),FIND(" ",TRIM(C25)&amp;" ")-1),",","."),"."),LEFT(SUBSTITUTE(LEFT(TRIM(C25),FIND(" ",TRIM(C25)&amp;" ")-1),",","."),FIND("/",SUBSTITUTE(LEFT(TRIM(C25),FIND(" ",TRIM(C25)&amp;" ")-1),",","."))-1)/MID(SUBSTITUTE(LEFT(TRIM(C25),FIND(" ",TRIM(C25)&amp;" ")-1),",","."),FIND("/",SUBSTITUTE(LEFT(TRIM(C25),FIND(" ",TRIM(C25)&amp;" ")-1),",","."))+1,9))*12,NA()))),0),8)*'Aturan &amp; Tarif'!$B$4,2)</f>
        <v>454.24</v>
      </c>
      <c r="K25" s="42" t="n">
        <f aca="false">'Aturan &amp; Tarif'!$B$5</f>
        <v>2050</v>
      </c>
      <c r="L25" s="35" t="n">
        <f aca="false">I25+J25+K25</f>
        <v>8154.24</v>
      </c>
      <c r="M25" s="45" t="s">
        <v>3053</v>
      </c>
    </row>
    <row r="26" customFormat="false" ht="25.5" hidden="false" customHeight="true" outlineLevel="0" collapsed="false">
      <c r="A26" s="39"/>
      <c r="B26" s="40" t="s">
        <v>649</v>
      </c>
      <c r="C26" s="41" t="s">
        <v>130</v>
      </c>
      <c r="D26" s="41" t="s">
        <v>108</v>
      </c>
      <c r="E26" s="42" t="n">
        <v>4050</v>
      </c>
      <c r="F26" s="42"/>
      <c r="G26" s="42" t="n">
        <v>250</v>
      </c>
      <c r="H26" s="43" t="n">
        <v>2</v>
      </c>
      <c r="I26" s="34" t="n">
        <f aca="false">E26*H26+N(F26)+N(G26)</f>
        <v>8350</v>
      </c>
      <c r="J26" s="42" t="n">
        <f aca="false">ROUND(IFERROR(ROUND(IF(OR(ISNUMBER(SEARCH("week",C26)),ISNUMBER(SEARCH("minggu",C26))),IFERROR(_xlfn.NUMBERVALUE(SUBSTITUTE(LEFT(TRIM(C26),FIND(" ",TRIM(C26)&amp;" ")-1),",","."),"."),LEFT(SUBSTITUTE(LEFT(TRIM(C26),FIND(" ",TRIM(C26)&amp;" ")-1),",","."),FIND("/",SUBSTITUTE(LEFT(TRIM(C26),FIND(" ",TRIM(C26)&amp;" ")-1),",","."))-1)/MID(SUBSTITUTE(LEFT(TRIM(C26),FIND(" ",TRIM(C26)&amp;" ")-1),",","."),FIND("/",SUBSTITUTE(LEFT(TRIM(C26),FIND(" ",TRIM(C26)&amp;" ")-1),",","."))+1,9))*12/52,IF(ISNUMBER(SEARCH("month",C26)),IFERROR(_xlfn.NUMBERVALUE(SUBSTITUTE(LEFT(TRIM(C26),FIND(" ",TRIM(C26)&amp;" ")-1),",","."),"."),LEFT(SUBSTITUTE(LEFT(TRIM(C26),FIND(" ",TRIM(C26)&amp;" ")-1),",","."),FIND("/",SUBSTITUTE(LEFT(TRIM(C26),FIND(" ",TRIM(C26)&amp;" ")-1),",","."))-1)/MID(SUBSTITUTE(LEFT(TRIM(C26),FIND(" ",TRIM(C26)&amp;" ")-1),",","."),FIND("/",SUBSTITUTE(LEFT(TRIM(C26),FIND(" ",TRIM(C26)&amp;" ")-1),",","."))+1,9)),IF(ISNUMBER(SEARCH("yea",C26)),IFERROR(_xlfn.NUMBERVALUE(SUBSTITUTE(LEFT(TRIM(C26),FIND(" ",TRIM(C26)&amp;" ")-1),",","."),"."),LEFT(SUBSTITUTE(LEFT(TRIM(C26),FIND(" ",TRIM(C26)&amp;" ")-1),",","."),FIND("/",SUBSTITUTE(LEFT(TRIM(C26),FIND(" ",TRIM(C26)&amp;" ")-1),",","."))-1)/MID(SUBSTITUTE(LEFT(TRIM(C26),FIND(" ",TRIM(C26)&amp;" ")-1),",","."),FIND("/",SUBSTITUTE(LEFT(TRIM(C26),FIND(" ",TRIM(C26)&amp;" ")-1),",","."))+1,9))*12,NA()))),0),12)*'Aturan &amp; Tarif'!$B$4,2)</f>
        <v>681.36</v>
      </c>
      <c r="K26" s="42" t="n">
        <f aca="false">'Aturan &amp; Tarif'!$B$5</f>
        <v>2050</v>
      </c>
      <c r="L26" s="35" t="n">
        <f aca="false">I26+J26+K26</f>
        <v>11081.36</v>
      </c>
      <c r="M26" s="45" t="s">
        <v>3053</v>
      </c>
    </row>
    <row r="27" customFormat="false" ht="25.5" hidden="false" customHeight="true" outlineLevel="0" collapsed="false">
      <c r="A27" s="39"/>
      <c r="B27" s="40" t="s">
        <v>650</v>
      </c>
      <c r="C27" s="41" t="s">
        <v>648</v>
      </c>
      <c r="D27" s="41" t="s">
        <v>108</v>
      </c>
      <c r="E27" s="42" t="n">
        <v>2700</v>
      </c>
      <c r="F27" s="42"/>
      <c r="G27" s="42" t="n">
        <v>250</v>
      </c>
      <c r="H27" s="43" t="n">
        <v>2</v>
      </c>
      <c r="I27" s="34" t="n">
        <f aca="false">E27*H27+N(F27)+N(G27)</f>
        <v>5650</v>
      </c>
      <c r="J27" s="42" t="n">
        <f aca="false">ROUND(IFERROR(ROUND(IF(OR(ISNUMBER(SEARCH("week",C27)),ISNUMBER(SEARCH("minggu",C27))),IFERROR(_xlfn.NUMBERVALUE(SUBSTITUTE(LEFT(TRIM(C27),FIND(" ",TRIM(C27)&amp;" ")-1),",","."),"."),LEFT(SUBSTITUTE(LEFT(TRIM(C27),FIND(" ",TRIM(C27)&amp;" ")-1),",","."),FIND("/",SUBSTITUTE(LEFT(TRIM(C27),FIND(" ",TRIM(C27)&amp;" ")-1),",","."))-1)/MID(SUBSTITUTE(LEFT(TRIM(C27),FIND(" ",TRIM(C27)&amp;" ")-1),",","."),FIND("/",SUBSTITUTE(LEFT(TRIM(C27),FIND(" ",TRIM(C27)&amp;" ")-1),",","."))+1,9))*12/52,IF(ISNUMBER(SEARCH("month",C27)),IFERROR(_xlfn.NUMBERVALUE(SUBSTITUTE(LEFT(TRIM(C27),FIND(" ",TRIM(C27)&amp;" ")-1),",","."),"."),LEFT(SUBSTITUTE(LEFT(TRIM(C27),FIND(" ",TRIM(C27)&amp;" ")-1),",","."),FIND("/",SUBSTITUTE(LEFT(TRIM(C27),FIND(" ",TRIM(C27)&amp;" ")-1),",","."))-1)/MID(SUBSTITUTE(LEFT(TRIM(C27),FIND(" ",TRIM(C27)&amp;" ")-1),",","."),FIND("/",SUBSTITUTE(LEFT(TRIM(C27),FIND(" ",TRIM(C27)&amp;" ")-1),",","."))+1,9)),IF(ISNUMBER(SEARCH("yea",C27)),IFERROR(_xlfn.NUMBERVALUE(SUBSTITUTE(LEFT(TRIM(C27),FIND(" ",TRIM(C27)&amp;" ")-1),",","."),"."),LEFT(SUBSTITUTE(LEFT(TRIM(C27),FIND(" ",TRIM(C27)&amp;" ")-1),",","."),FIND("/",SUBSTITUTE(LEFT(TRIM(C27),FIND(" ",TRIM(C27)&amp;" ")-1),",","."))-1)/MID(SUBSTITUTE(LEFT(TRIM(C27),FIND(" ",TRIM(C27)&amp;" ")-1),",","."),FIND("/",SUBSTITUTE(LEFT(TRIM(C27),FIND(" ",TRIM(C27)&amp;" ")-1),",","."))+1,9))*12,NA()))),0),8)*'Aturan &amp; Tarif'!$B$4,2)</f>
        <v>454.24</v>
      </c>
      <c r="K27" s="42" t="n">
        <f aca="false">'Aturan &amp; Tarif'!$B$5</f>
        <v>2050</v>
      </c>
      <c r="L27" s="35" t="n">
        <f aca="false">I27+J27+K27</f>
        <v>8154.24</v>
      </c>
      <c r="M27" s="45" t="s">
        <v>3053</v>
      </c>
    </row>
    <row r="28" customFormat="false" ht="37.5" hidden="false" customHeight="true" outlineLevel="0" collapsed="false">
      <c r="A28" s="29" t="s">
        <v>651</v>
      </c>
      <c r="B28" s="30" t="s">
        <v>652</v>
      </c>
      <c r="C28" s="31" t="s">
        <v>107</v>
      </c>
      <c r="D28" s="31" t="s">
        <v>108</v>
      </c>
      <c r="E28" s="32" t="n">
        <v>1565</v>
      </c>
      <c r="F28" s="32" t="n">
        <v>600</v>
      </c>
      <c r="G28" s="32" t="n">
        <v>250</v>
      </c>
      <c r="H28" s="33" t="n">
        <v>1</v>
      </c>
      <c r="I28" s="34" t="n">
        <f aca="false">E28*H28+N(F28)+N(G28)</f>
        <v>2415</v>
      </c>
      <c r="J28" s="32" t="n">
        <f aca="false">ROUND(IFERROR(ROUND(IF(OR(ISNUMBER(SEARCH("week",C28)),ISNUMBER(SEARCH("minggu",C28))),IFERROR(_xlfn.NUMBERVALUE(SUBSTITUTE(LEFT(TRIM(C28),FIND(" ",TRIM(C28)&amp;" ")-1),",","."),"."),LEFT(SUBSTITUTE(LEFT(TRIM(C28),FIND(" ",TRIM(C28)&amp;" ")-1),",","."),FIND("/",SUBSTITUTE(LEFT(TRIM(C28),FIND(" ",TRIM(C28)&amp;" ")-1),",","."))-1)/MID(SUBSTITUTE(LEFT(TRIM(C28),FIND(" ",TRIM(C28)&amp;" ")-1),",","."),FIND("/",SUBSTITUTE(LEFT(TRIM(C28),FIND(" ",TRIM(C28)&amp;" ")-1),",","."))+1,9))*12/52,IF(ISNUMBER(SEARCH("month",C28)),IFERROR(_xlfn.NUMBERVALUE(SUBSTITUTE(LEFT(TRIM(C28),FIND(" ",TRIM(C28)&amp;" ")-1),",","."),"."),LEFT(SUBSTITUTE(LEFT(TRIM(C28),FIND(" ",TRIM(C28)&amp;" ")-1),",","."),FIND("/",SUBSTITUTE(LEFT(TRIM(C28),FIND(" ",TRIM(C28)&amp;" ")-1),",","."))-1)/MID(SUBSTITUTE(LEFT(TRIM(C28),FIND(" ",TRIM(C28)&amp;" ")-1),",","."),FIND("/",SUBSTITUTE(LEFT(TRIM(C28),FIND(" ",TRIM(C28)&amp;" ")-1),",","."))+1,9)),IF(ISNUMBER(SEARCH("yea",C28)),IFERROR(_xlfn.NUMBERVALUE(SUBSTITUTE(LEFT(TRIM(C28),FIND(" ",TRIM(C28)&amp;" ")-1),",","."),"."),LEFT(SUBSTITUTE(LEFT(TRIM(C28),FIND(" ",TRIM(C28)&amp;" ")-1),",","."),FIND("/",SUBSTITUTE(LEFT(TRIM(C28),FIND(" ",TRIM(C28)&amp;" ")-1),",","."))-1)/MID(SUBSTITUTE(LEFT(TRIM(C28),FIND(" ",TRIM(C28)&amp;" ")-1),",","."),FIND("/",SUBSTITUTE(LEFT(TRIM(C28),FIND(" ",TRIM(C28)&amp;" ")-1),",","."))+1,9))*12,NA()))),0),24)*'Aturan &amp; Tarif'!$B$4,2)</f>
        <v>1362.72</v>
      </c>
      <c r="K28" s="32" t="n">
        <f aca="false">'Aturan &amp; Tarif'!$B$5</f>
        <v>2050</v>
      </c>
      <c r="L28" s="35" t="n">
        <f aca="false">I28+J28+K28</f>
        <v>5827.72</v>
      </c>
      <c r="M28" s="37" t="s">
        <v>653</v>
      </c>
    </row>
    <row r="29" customFormat="false" ht="25.5" hidden="false" customHeight="true" outlineLevel="0" collapsed="false">
      <c r="A29" s="29"/>
      <c r="B29" s="30" t="s">
        <v>654</v>
      </c>
      <c r="C29" s="31" t="s">
        <v>107</v>
      </c>
      <c r="D29" s="31" t="s">
        <v>108</v>
      </c>
      <c r="E29" s="32" t="n">
        <v>1565</v>
      </c>
      <c r="F29" s="32" t="n">
        <v>600</v>
      </c>
      <c r="G29" s="32" t="n">
        <v>250</v>
      </c>
      <c r="H29" s="33" t="n">
        <v>1</v>
      </c>
      <c r="I29" s="34" t="n">
        <f aca="false">E29*H29+N(F29)+N(G29)</f>
        <v>2415</v>
      </c>
      <c r="J29" s="32" t="n">
        <f aca="false">ROUND(IFERROR(ROUND(IF(OR(ISNUMBER(SEARCH("week",C29)),ISNUMBER(SEARCH("minggu",C29))),IFERROR(_xlfn.NUMBERVALUE(SUBSTITUTE(LEFT(TRIM(C29),FIND(" ",TRIM(C29)&amp;" ")-1),",","."),"."),LEFT(SUBSTITUTE(LEFT(TRIM(C29),FIND(" ",TRIM(C29)&amp;" ")-1),",","."),FIND("/",SUBSTITUTE(LEFT(TRIM(C29),FIND(" ",TRIM(C29)&amp;" ")-1),",","."))-1)/MID(SUBSTITUTE(LEFT(TRIM(C29),FIND(" ",TRIM(C29)&amp;" ")-1),",","."),FIND("/",SUBSTITUTE(LEFT(TRIM(C29),FIND(" ",TRIM(C29)&amp;" ")-1),",","."))+1,9))*12/52,IF(ISNUMBER(SEARCH("month",C29)),IFERROR(_xlfn.NUMBERVALUE(SUBSTITUTE(LEFT(TRIM(C29),FIND(" ",TRIM(C29)&amp;" ")-1),",","."),"."),LEFT(SUBSTITUTE(LEFT(TRIM(C29),FIND(" ",TRIM(C29)&amp;" ")-1),",","."),FIND("/",SUBSTITUTE(LEFT(TRIM(C29),FIND(" ",TRIM(C29)&amp;" ")-1),",","."))-1)/MID(SUBSTITUTE(LEFT(TRIM(C29),FIND(" ",TRIM(C29)&amp;" ")-1),",","."),FIND("/",SUBSTITUTE(LEFT(TRIM(C29),FIND(" ",TRIM(C29)&amp;" ")-1),",","."))+1,9)),IF(ISNUMBER(SEARCH("yea",C29)),IFERROR(_xlfn.NUMBERVALUE(SUBSTITUTE(LEFT(TRIM(C29),FIND(" ",TRIM(C29)&amp;" ")-1),",","."),"."),LEFT(SUBSTITUTE(LEFT(TRIM(C29),FIND(" ",TRIM(C29)&amp;" ")-1),",","."),FIND("/",SUBSTITUTE(LEFT(TRIM(C29),FIND(" ",TRIM(C29)&amp;" ")-1),",","."))-1)/MID(SUBSTITUTE(LEFT(TRIM(C29),FIND(" ",TRIM(C29)&amp;" ")-1),",","."),FIND("/",SUBSTITUTE(LEFT(TRIM(C29),FIND(" ",TRIM(C29)&amp;" ")-1),",","."))+1,9))*12,NA()))),0),24)*'Aturan &amp; Tarif'!$B$4,2)</f>
        <v>1362.72</v>
      </c>
      <c r="K29" s="32" t="n">
        <f aca="false">'Aturan &amp; Tarif'!$B$5</f>
        <v>2050</v>
      </c>
      <c r="L29" s="35" t="n">
        <f aca="false">I29+J29+K29</f>
        <v>5827.72</v>
      </c>
      <c r="M29" s="37" t="s">
        <v>653</v>
      </c>
    </row>
    <row r="30" customFormat="false" ht="48.75" hidden="false" customHeight="true" outlineLevel="0" collapsed="false">
      <c r="A30" s="29"/>
      <c r="B30" s="30" t="s">
        <v>1904</v>
      </c>
      <c r="C30" s="31" t="s">
        <v>127</v>
      </c>
      <c r="D30" s="31" t="s">
        <v>108</v>
      </c>
      <c r="E30" s="32" t="n">
        <v>1670</v>
      </c>
      <c r="F30" s="32" t="n">
        <v>1200</v>
      </c>
      <c r="G30" s="32" t="n">
        <v>250</v>
      </c>
      <c r="H30" s="33" t="n">
        <v>1</v>
      </c>
      <c r="I30" s="34" t="n">
        <f aca="false">E30*H30+N(F30)+N(G30)</f>
        <v>3120</v>
      </c>
      <c r="J30" s="32" t="n">
        <f aca="false">ROUND(IFERROR(ROUND(IF(OR(ISNUMBER(SEARCH("week",C30)),ISNUMBER(SEARCH("minggu",C30))),IFERROR(_xlfn.NUMBERVALUE(SUBSTITUTE(LEFT(TRIM(C30),FIND(" ",TRIM(C30)&amp;" ")-1),",","."),"."),LEFT(SUBSTITUTE(LEFT(TRIM(C30),FIND(" ",TRIM(C30)&amp;" ")-1),",","."),FIND("/",SUBSTITUTE(LEFT(TRIM(C30),FIND(" ",TRIM(C30)&amp;" ")-1),",","."))-1)/MID(SUBSTITUTE(LEFT(TRIM(C30),FIND(" ",TRIM(C30)&amp;" ")-1),",","."),FIND("/",SUBSTITUTE(LEFT(TRIM(C30),FIND(" ",TRIM(C30)&amp;" ")-1),",","."))+1,9))*12/52,IF(ISNUMBER(SEARCH("month",C30)),IFERROR(_xlfn.NUMBERVALUE(SUBSTITUTE(LEFT(TRIM(C30),FIND(" ",TRIM(C30)&amp;" ")-1),",","."),"."),LEFT(SUBSTITUTE(LEFT(TRIM(C30),FIND(" ",TRIM(C30)&amp;" ")-1),",","."),FIND("/",SUBSTITUTE(LEFT(TRIM(C30),FIND(" ",TRIM(C30)&amp;" ")-1),",","."))-1)/MID(SUBSTITUTE(LEFT(TRIM(C30),FIND(" ",TRIM(C30)&amp;" ")-1),",","."),FIND("/",SUBSTITUTE(LEFT(TRIM(C30),FIND(" ",TRIM(C30)&amp;" ")-1),",","."))+1,9)),IF(ISNUMBER(SEARCH("yea",C30)),IFERROR(_xlfn.NUMBERVALUE(SUBSTITUTE(LEFT(TRIM(C30),FIND(" ",TRIM(C30)&amp;" ")-1),",","."),"."),LEFT(SUBSTITUTE(LEFT(TRIM(C30),FIND(" ",TRIM(C30)&amp;" ")-1),",","."),FIND("/",SUBSTITUTE(LEFT(TRIM(C30),FIND(" ",TRIM(C30)&amp;" ")-1),",","."))-1)/MID(SUBSTITUTE(LEFT(TRIM(C30),FIND(" ",TRIM(C30)&amp;" ")-1),",","."),FIND("/",SUBSTITUTE(LEFT(TRIM(C30),FIND(" ",TRIM(C30)&amp;" ")-1),",","."))+1,9))*12,NA()))),0),36)*'Aturan &amp; Tarif'!$B$4,2)</f>
        <v>2044.08</v>
      </c>
      <c r="K30" s="32" t="n">
        <f aca="false">'Aturan &amp; Tarif'!$B$5</f>
        <v>2050</v>
      </c>
      <c r="L30" s="35" t="n">
        <f aca="false">I30+J30+K30</f>
        <v>7214.08</v>
      </c>
      <c r="M30" s="36" t="s">
        <v>1905</v>
      </c>
    </row>
    <row r="31" customFormat="false" ht="48.75" hidden="false" customHeight="true" outlineLevel="0" collapsed="false">
      <c r="A31" s="29"/>
      <c r="B31" s="30" t="s">
        <v>1906</v>
      </c>
      <c r="C31" s="31" t="s">
        <v>127</v>
      </c>
      <c r="D31" s="31" t="s">
        <v>108</v>
      </c>
      <c r="E31" s="32" t="n">
        <v>1670</v>
      </c>
      <c r="F31" s="32" t="n">
        <v>1200</v>
      </c>
      <c r="G31" s="32" t="n">
        <v>250</v>
      </c>
      <c r="H31" s="33" t="n">
        <v>1</v>
      </c>
      <c r="I31" s="34" t="n">
        <f aca="false">E31*H31+N(F31)+N(G31)</f>
        <v>3120</v>
      </c>
      <c r="J31" s="32" t="n">
        <f aca="false">ROUND(IFERROR(ROUND(IF(OR(ISNUMBER(SEARCH("week",C31)),ISNUMBER(SEARCH("minggu",C31))),IFERROR(_xlfn.NUMBERVALUE(SUBSTITUTE(LEFT(TRIM(C31),FIND(" ",TRIM(C31)&amp;" ")-1),",","."),"."),LEFT(SUBSTITUTE(LEFT(TRIM(C31),FIND(" ",TRIM(C31)&amp;" ")-1),",","."),FIND("/",SUBSTITUTE(LEFT(TRIM(C31),FIND(" ",TRIM(C31)&amp;" ")-1),",","."))-1)/MID(SUBSTITUTE(LEFT(TRIM(C31),FIND(" ",TRIM(C31)&amp;" ")-1),",","."),FIND("/",SUBSTITUTE(LEFT(TRIM(C31),FIND(" ",TRIM(C31)&amp;" ")-1),",","."))+1,9))*12/52,IF(ISNUMBER(SEARCH("month",C31)),IFERROR(_xlfn.NUMBERVALUE(SUBSTITUTE(LEFT(TRIM(C31),FIND(" ",TRIM(C31)&amp;" ")-1),",","."),"."),LEFT(SUBSTITUTE(LEFT(TRIM(C31),FIND(" ",TRIM(C31)&amp;" ")-1),",","."),FIND("/",SUBSTITUTE(LEFT(TRIM(C31),FIND(" ",TRIM(C31)&amp;" ")-1),",","."))-1)/MID(SUBSTITUTE(LEFT(TRIM(C31),FIND(" ",TRIM(C31)&amp;" ")-1),",","."),FIND("/",SUBSTITUTE(LEFT(TRIM(C31),FIND(" ",TRIM(C31)&amp;" ")-1),",","."))+1,9)),IF(ISNUMBER(SEARCH("yea",C31)),IFERROR(_xlfn.NUMBERVALUE(SUBSTITUTE(LEFT(TRIM(C31),FIND(" ",TRIM(C31)&amp;" ")-1),",","."),"."),LEFT(SUBSTITUTE(LEFT(TRIM(C31),FIND(" ",TRIM(C31)&amp;" ")-1),",","."),FIND("/",SUBSTITUTE(LEFT(TRIM(C31),FIND(" ",TRIM(C31)&amp;" ")-1),",","."))-1)/MID(SUBSTITUTE(LEFT(TRIM(C31),FIND(" ",TRIM(C31)&amp;" ")-1),",","."),FIND("/",SUBSTITUTE(LEFT(TRIM(C31),FIND(" ",TRIM(C31)&amp;" ")-1),",","."))+1,9))*12,NA()))),0),36)*'Aturan &amp; Tarif'!$B$4,2)</f>
        <v>2044.08</v>
      </c>
      <c r="K31" s="32" t="n">
        <f aca="false">'Aturan &amp; Tarif'!$B$5</f>
        <v>2050</v>
      </c>
      <c r="L31" s="35" t="n">
        <f aca="false">I31+J31+K31</f>
        <v>7214.08</v>
      </c>
      <c r="M31" s="36" t="s">
        <v>1905</v>
      </c>
    </row>
    <row r="32" customFormat="false" ht="25.5" hidden="false" customHeight="true" outlineLevel="0" collapsed="false">
      <c r="A32" s="29"/>
      <c r="B32" s="30" t="s">
        <v>655</v>
      </c>
      <c r="C32" s="31" t="s">
        <v>107</v>
      </c>
      <c r="D32" s="31" t="s">
        <v>108</v>
      </c>
      <c r="E32" s="32" t="n">
        <v>2575</v>
      </c>
      <c r="F32" s="32" t="n">
        <v>1800</v>
      </c>
      <c r="G32" s="32" t="n">
        <v>250</v>
      </c>
      <c r="H32" s="33" t="n">
        <v>1</v>
      </c>
      <c r="I32" s="34" t="n">
        <f aca="false">E32*H32+N(F32)+N(G32)</f>
        <v>4625</v>
      </c>
      <c r="J32" s="32" t="n">
        <f aca="false">ROUND(IFERROR(ROUND(IF(OR(ISNUMBER(SEARCH("week",C32)),ISNUMBER(SEARCH("minggu",C32))),IFERROR(_xlfn.NUMBERVALUE(SUBSTITUTE(LEFT(TRIM(C32),FIND(" ",TRIM(C32)&amp;" ")-1),",","."),"."),LEFT(SUBSTITUTE(LEFT(TRIM(C32),FIND(" ",TRIM(C32)&amp;" ")-1),",","."),FIND("/",SUBSTITUTE(LEFT(TRIM(C32),FIND(" ",TRIM(C32)&amp;" ")-1),",","."))-1)/MID(SUBSTITUTE(LEFT(TRIM(C32),FIND(" ",TRIM(C32)&amp;" ")-1),",","."),FIND("/",SUBSTITUTE(LEFT(TRIM(C32),FIND(" ",TRIM(C32)&amp;" ")-1),",","."))+1,9))*12/52,IF(ISNUMBER(SEARCH("month",C32)),IFERROR(_xlfn.NUMBERVALUE(SUBSTITUTE(LEFT(TRIM(C32),FIND(" ",TRIM(C32)&amp;" ")-1),",","."),"."),LEFT(SUBSTITUTE(LEFT(TRIM(C32),FIND(" ",TRIM(C32)&amp;" ")-1),",","."),FIND("/",SUBSTITUTE(LEFT(TRIM(C32),FIND(" ",TRIM(C32)&amp;" ")-1),",","."))-1)/MID(SUBSTITUTE(LEFT(TRIM(C32),FIND(" ",TRIM(C32)&amp;" ")-1),",","."),FIND("/",SUBSTITUTE(LEFT(TRIM(C32),FIND(" ",TRIM(C32)&amp;" ")-1),",","."))+1,9)),IF(ISNUMBER(SEARCH("yea",C32)),IFERROR(_xlfn.NUMBERVALUE(SUBSTITUTE(LEFT(TRIM(C32),FIND(" ",TRIM(C32)&amp;" ")-1),",","."),"."),LEFT(SUBSTITUTE(LEFT(TRIM(C32),FIND(" ",TRIM(C32)&amp;" ")-1),",","."),FIND("/",SUBSTITUTE(LEFT(TRIM(C32),FIND(" ",TRIM(C32)&amp;" ")-1),",","."))-1)/MID(SUBSTITUTE(LEFT(TRIM(C32),FIND(" ",TRIM(C32)&amp;" ")-1),",","."),FIND("/",SUBSTITUTE(LEFT(TRIM(C32),FIND(" ",TRIM(C32)&amp;" ")-1),",","."))+1,9))*12,NA()))),0),24)*'Aturan &amp; Tarif'!$B$4,2)</f>
        <v>1362.72</v>
      </c>
      <c r="K32" s="32" t="n">
        <f aca="false">'Aturan &amp; Tarif'!$B$5</f>
        <v>2050</v>
      </c>
      <c r="L32" s="35" t="n">
        <f aca="false">I32+J32+K32</f>
        <v>8037.72</v>
      </c>
      <c r="M32" s="37" t="s">
        <v>134</v>
      </c>
    </row>
    <row r="33" customFormat="false" ht="37.5" hidden="false" customHeight="true" outlineLevel="0" collapsed="false">
      <c r="A33" s="29"/>
      <c r="B33" s="30" t="s">
        <v>656</v>
      </c>
      <c r="C33" s="31" t="s">
        <v>138</v>
      </c>
      <c r="D33" s="31" t="s">
        <v>108</v>
      </c>
      <c r="E33" s="32" t="n">
        <v>2750</v>
      </c>
      <c r="F33" s="32" t="n">
        <v>2400</v>
      </c>
      <c r="G33" s="32" t="n">
        <v>250</v>
      </c>
      <c r="H33" s="33" t="n">
        <v>1</v>
      </c>
      <c r="I33" s="34" t="n">
        <f aca="false">E33*H33+N(F33)+N(G33)</f>
        <v>5400</v>
      </c>
      <c r="J33" s="32" t="n">
        <f aca="false">ROUND(IFERROR(ROUND(IF(OR(ISNUMBER(SEARCH("week",C33)),ISNUMBER(SEARCH("minggu",C33))),IFERROR(_xlfn.NUMBERVALUE(SUBSTITUTE(LEFT(TRIM(C33),FIND(" ",TRIM(C33)&amp;" ")-1),",","."),"."),LEFT(SUBSTITUTE(LEFT(TRIM(C33),FIND(" ",TRIM(C33)&amp;" ")-1),",","."),FIND("/",SUBSTITUTE(LEFT(TRIM(C33),FIND(" ",TRIM(C33)&amp;" ")-1),",","."))-1)/MID(SUBSTITUTE(LEFT(TRIM(C33),FIND(" ",TRIM(C33)&amp;" ")-1),",","."),FIND("/",SUBSTITUTE(LEFT(TRIM(C33),FIND(" ",TRIM(C33)&amp;" ")-1),",","."))+1,9))*12/52,IF(ISNUMBER(SEARCH("month",C33)),IFERROR(_xlfn.NUMBERVALUE(SUBSTITUTE(LEFT(TRIM(C33),FIND(" ",TRIM(C33)&amp;" ")-1),",","."),"."),LEFT(SUBSTITUTE(LEFT(TRIM(C33),FIND(" ",TRIM(C33)&amp;" ")-1),",","."),FIND("/",SUBSTITUTE(LEFT(TRIM(C33),FIND(" ",TRIM(C33)&amp;" ")-1),",","."))-1)/MID(SUBSTITUTE(LEFT(TRIM(C33),FIND(" ",TRIM(C33)&amp;" ")-1),",","."),FIND("/",SUBSTITUTE(LEFT(TRIM(C33),FIND(" ",TRIM(C33)&amp;" ")-1),",","."))+1,9)),IF(ISNUMBER(SEARCH("yea",C33)),IFERROR(_xlfn.NUMBERVALUE(SUBSTITUTE(LEFT(TRIM(C33),FIND(" ",TRIM(C33)&amp;" ")-1),",","."),"."),LEFT(SUBSTITUTE(LEFT(TRIM(C33),FIND(" ",TRIM(C33)&amp;" ")-1),",","."),FIND("/",SUBSTITUTE(LEFT(TRIM(C33),FIND(" ",TRIM(C33)&amp;" ")-1),",","."))-1)/MID(SUBSTITUTE(LEFT(TRIM(C33),FIND(" ",TRIM(C33)&amp;" ")-1),",","."),FIND("/",SUBSTITUTE(LEFT(TRIM(C33),FIND(" ",TRIM(C33)&amp;" ")-1),",","."))+1,9))*12,NA()))),0),30)*'Aturan &amp; Tarif'!$B$4,2)</f>
        <v>1703.4</v>
      </c>
      <c r="K33" s="32" t="n">
        <f aca="false">'Aturan &amp; Tarif'!$B$5</f>
        <v>2050</v>
      </c>
      <c r="L33" s="35" t="n">
        <f aca="false">I33+J33+K33</f>
        <v>9153.4</v>
      </c>
      <c r="M33" s="37" t="s">
        <v>134</v>
      </c>
    </row>
    <row r="34" customFormat="false" ht="25.5" hidden="false" customHeight="true" outlineLevel="0" collapsed="false">
      <c r="A34" s="29"/>
      <c r="B34" s="30" t="s">
        <v>657</v>
      </c>
      <c r="C34" s="31" t="s">
        <v>107</v>
      </c>
      <c r="D34" s="31" t="s">
        <v>108</v>
      </c>
      <c r="E34" s="32" t="n">
        <v>2575</v>
      </c>
      <c r="F34" s="32" t="n">
        <v>1800</v>
      </c>
      <c r="G34" s="32" t="n">
        <v>250</v>
      </c>
      <c r="H34" s="33" t="n">
        <v>1</v>
      </c>
      <c r="I34" s="34" t="n">
        <f aca="false">E34*H34+N(F34)+N(G34)</f>
        <v>4625</v>
      </c>
      <c r="J34" s="32" t="n">
        <f aca="false">ROUND(IFERROR(ROUND(IF(OR(ISNUMBER(SEARCH("week",C34)),ISNUMBER(SEARCH("minggu",C34))),IFERROR(_xlfn.NUMBERVALUE(SUBSTITUTE(LEFT(TRIM(C34),FIND(" ",TRIM(C34)&amp;" ")-1),",","."),"."),LEFT(SUBSTITUTE(LEFT(TRIM(C34),FIND(" ",TRIM(C34)&amp;" ")-1),",","."),FIND("/",SUBSTITUTE(LEFT(TRIM(C34),FIND(" ",TRIM(C34)&amp;" ")-1),",","."))-1)/MID(SUBSTITUTE(LEFT(TRIM(C34),FIND(" ",TRIM(C34)&amp;" ")-1),",","."),FIND("/",SUBSTITUTE(LEFT(TRIM(C34),FIND(" ",TRIM(C34)&amp;" ")-1),",","."))+1,9))*12/52,IF(ISNUMBER(SEARCH("month",C34)),IFERROR(_xlfn.NUMBERVALUE(SUBSTITUTE(LEFT(TRIM(C34),FIND(" ",TRIM(C34)&amp;" ")-1),",","."),"."),LEFT(SUBSTITUTE(LEFT(TRIM(C34),FIND(" ",TRIM(C34)&amp;" ")-1),",","."),FIND("/",SUBSTITUTE(LEFT(TRIM(C34),FIND(" ",TRIM(C34)&amp;" ")-1),",","."))-1)/MID(SUBSTITUTE(LEFT(TRIM(C34),FIND(" ",TRIM(C34)&amp;" ")-1),",","."),FIND("/",SUBSTITUTE(LEFT(TRIM(C34),FIND(" ",TRIM(C34)&amp;" ")-1),",","."))+1,9)),IF(ISNUMBER(SEARCH("yea",C34)),IFERROR(_xlfn.NUMBERVALUE(SUBSTITUTE(LEFT(TRIM(C34),FIND(" ",TRIM(C34)&amp;" ")-1),",","."),"."),LEFT(SUBSTITUTE(LEFT(TRIM(C34),FIND(" ",TRIM(C34)&amp;" ")-1),",","."),FIND("/",SUBSTITUTE(LEFT(TRIM(C34),FIND(" ",TRIM(C34)&amp;" ")-1),",","."))-1)/MID(SUBSTITUTE(LEFT(TRIM(C34),FIND(" ",TRIM(C34)&amp;" ")-1),",","."),FIND("/",SUBSTITUTE(LEFT(TRIM(C34),FIND(" ",TRIM(C34)&amp;" ")-1),",","."))+1,9))*12,NA()))),0),24)*'Aturan &amp; Tarif'!$B$4,2)</f>
        <v>1362.72</v>
      </c>
      <c r="K34" s="32" t="n">
        <f aca="false">'Aturan &amp; Tarif'!$B$5</f>
        <v>2050</v>
      </c>
      <c r="L34" s="35" t="n">
        <f aca="false">I34+J34+K34</f>
        <v>8037.72</v>
      </c>
      <c r="M34" s="37" t="s">
        <v>134</v>
      </c>
    </row>
    <row r="35" customFormat="false" ht="25.5" hidden="false" customHeight="true" outlineLevel="0" collapsed="false">
      <c r="A35" s="29"/>
      <c r="B35" s="30" t="s">
        <v>909</v>
      </c>
      <c r="C35" s="31" t="s">
        <v>138</v>
      </c>
      <c r="D35" s="31" t="s">
        <v>108</v>
      </c>
      <c r="E35" s="32" t="n">
        <v>2350</v>
      </c>
      <c r="F35" s="32" t="n">
        <v>2500</v>
      </c>
      <c r="G35" s="32" t="n">
        <v>250</v>
      </c>
      <c r="H35" s="33" t="n">
        <v>1</v>
      </c>
      <c r="I35" s="34" t="n">
        <f aca="false">E35*H35+N(F35)+N(G35)</f>
        <v>5100</v>
      </c>
      <c r="J35" s="32" t="n">
        <f aca="false">ROUND(IFERROR(ROUND(IF(OR(ISNUMBER(SEARCH("week",C35)),ISNUMBER(SEARCH("minggu",C35))),IFERROR(_xlfn.NUMBERVALUE(SUBSTITUTE(LEFT(TRIM(C35),FIND(" ",TRIM(C35)&amp;" ")-1),",","."),"."),LEFT(SUBSTITUTE(LEFT(TRIM(C35),FIND(" ",TRIM(C35)&amp;" ")-1),",","."),FIND("/",SUBSTITUTE(LEFT(TRIM(C35),FIND(" ",TRIM(C35)&amp;" ")-1),",","."))-1)/MID(SUBSTITUTE(LEFT(TRIM(C35),FIND(" ",TRIM(C35)&amp;" ")-1),",","."),FIND("/",SUBSTITUTE(LEFT(TRIM(C35),FIND(" ",TRIM(C35)&amp;" ")-1),",","."))+1,9))*12/52,IF(ISNUMBER(SEARCH("month",C35)),IFERROR(_xlfn.NUMBERVALUE(SUBSTITUTE(LEFT(TRIM(C35),FIND(" ",TRIM(C35)&amp;" ")-1),",","."),"."),LEFT(SUBSTITUTE(LEFT(TRIM(C35),FIND(" ",TRIM(C35)&amp;" ")-1),",","."),FIND("/",SUBSTITUTE(LEFT(TRIM(C35),FIND(" ",TRIM(C35)&amp;" ")-1),",","."))-1)/MID(SUBSTITUTE(LEFT(TRIM(C35),FIND(" ",TRIM(C35)&amp;" ")-1),",","."),FIND("/",SUBSTITUTE(LEFT(TRIM(C35),FIND(" ",TRIM(C35)&amp;" ")-1),",","."))+1,9)),IF(ISNUMBER(SEARCH("yea",C35)),IFERROR(_xlfn.NUMBERVALUE(SUBSTITUTE(LEFT(TRIM(C35),FIND(" ",TRIM(C35)&amp;" ")-1),",","."),"."),LEFT(SUBSTITUTE(LEFT(TRIM(C35),FIND(" ",TRIM(C35)&amp;" ")-1),",","."),FIND("/",SUBSTITUTE(LEFT(TRIM(C35),FIND(" ",TRIM(C35)&amp;" ")-1),",","."))-1)/MID(SUBSTITUTE(LEFT(TRIM(C35),FIND(" ",TRIM(C35)&amp;" ")-1),",","."),FIND("/",SUBSTITUTE(LEFT(TRIM(C35),FIND(" ",TRIM(C35)&amp;" ")-1),",","."))+1,9))*12,NA()))),0),30)*'Aturan &amp; Tarif'!$B$4,2)</f>
        <v>1703.4</v>
      </c>
      <c r="K35" s="32" t="n">
        <f aca="false">'Aturan &amp; Tarif'!$B$5</f>
        <v>2050</v>
      </c>
      <c r="L35" s="35" t="n">
        <f aca="false">I35+J35+K35</f>
        <v>8853.4</v>
      </c>
      <c r="M35" s="37" t="s">
        <v>134</v>
      </c>
    </row>
    <row r="36" customFormat="false" ht="37.5" hidden="false" customHeight="true" outlineLevel="0" collapsed="false">
      <c r="A36" s="39" t="s">
        <v>659</v>
      </c>
      <c r="B36" s="40" t="s">
        <v>660</v>
      </c>
      <c r="C36" s="41" t="s">
        <v>661</v>
      </c>
      <c r="D36" s="41" t="s">
        <v>108</v>
      </c>
      <c r="E36" s="42" t="n">
        <v>3100</v>
      </c>
      <c r="F36" s="42"/>
      <c r="G36" s="42"/>
      <c r="H36" s="43" t="n">
        <v>1</v>
      </c>
      <c r="I36" s="34" t="n">
        <f aca="false">E36*H36+N(F36)+N(G36)</f>
        <v>3100</v>
      </c>
      <c r="J36" s="42" t="n">
        <f aca="false">ROUND(IFERROR(ROUND(IF(OR(ISNUMBER(SEARCH("week",C36)),ISNUMBER(SEARCH("minggu",C36))),IFERROR(_xlfn.NUMBERVALUE(SUBSTITUTE(LEFT(TRIM(C36),FIND(" ",TRIM(C36)&amp;" ")-1),",","."),"."),LEFT(SUBSTITUTE(LEFT(TRIM(C36),FIND(" ",TRIM(C36)&amp;" ")-1),",","."),FIND("/",SUBSTITUTE(LEFT(TRIM(C36),FIND(" ",TRIM(C36)&amp;" ")-1),",","."))-1)/MID(SUBSTITUTE(LEFT(TRIM(C36),FIND(" ",TRIM(C36)&amp;" ")-1),",","."),FIND("/",SUBSTITUTE(LEFT(TRIM(C36),FIND(" ",TRIM(C36)&amp;" ")-1),",","."))+1,9))*12/52,IF(ISNUMBER(SEARCH("month",C36)),IFERROR(_xlfn.NUMBERVALUE(SUBSTITUTE(LEFT(TRIM(C36),FIND(" ",TRIM(C36)&amp;" ")-1),",","."),"."),LEFT(SUBSTITUTE(LEFT(TRIM(C36),FIND(" ",TRIM(C36)&amp;" ")-1),",","."),FIND("/",SUBSTITUTE(LEFT(TRIM(C36),FIND(" ",TRIM(C36)&amp;" ")-1),",","."))-1)/MID(SUBSTITUTE(LEFT(TRIM(C36),FIND(" ",TRIM(C36)&amp;" ")-1),",","."),FIND("/",SUBSTITUTE(LEFT(TRIM(C36),FIND(" ",TRIM(C36)&amp;" ")-1),",","."))+1,9)),IF(ISNUMBER(SEARCH("yea",C36)),IFERROR(_xlfn.NUMBERVALUE(SUBSTITUTE(LEFT(TRIM(C36),FIND(" ",TRIM(C36)&amp;" ")-1),",","."),"."),LEFT(SUBSTITUTE(LEFT(TRIM(C36),FIND(" ",TRIM(C36)&amp;" ")-1),",","."),FIND("/",SUBSTITUTE(LEFT(TRIM(C36),FIND(" ",TRIM(C36)&amp;" ")-1),",","."))-1)/MID(SUBSTITUTE(LEFT(TRIM(C36),FIND(" ",TRIM(C36)&amp;" ")-1),",","."),FIND("/",SUBSTITUTE(LEFT(TRIM(C36),FIND(" ",TRIM(C36)&amp;" ")-1),",","."))+1,9))*12,NA()))),0),21)*'Aturan &amp; Tarif'!$B$4,2)</f>
        <v>1192.38</v>
      </c>
      <c r="K36" s="42" t="n">
        <f aca="false">'Aturan &amp; Tarif'!$B$5</f>
        <v>2050</v>
      </c>
      <c r="L36" s="35" t="n">
        <f aca="false">I36+J36+K36</f>
        <v>6342.38</v>
      </c>
      <c r="M36" s="44" t="s">
        <v>662</v>
      </c>
    </row>
    <row r="37" customFormat="false" ht="37.5" hidden="false" customHeight="true" outlineLevel="0" collapsed="false">
      <c r="A37" s="39"/>
      <c r="B37" s="40" t="s">
        <v>663</v>
      </c>
      <c r="C37" s="41" t="s">
        <v>661</v>
      </c>
      <c r="D37" s="41" t="s">
        <v>108</v>
      </c>
      <c r="E37" s="42" t="n">
        <v>2800</v>
      </c>
      <c r="F37" s="42"/>
      <c r="G37" s="42"/>
      <c r="H37" s="43" t="n">
        <v>1</v>
      </c>
      <c r="I37" s="34" t="n">
        <f aca="false">E37*H37+N(F37)+N(G37)</f>
        <v>2800</v>
      </c>
      <c r="J37" s="42" t="n">
        <f aca="false">ROUND(IFERROR(ROUND(IF(OR(ISNUMBER(SEARCH("week",C37)),ISNUMBER(SEARCH("minggu",C37))),IFERROR(_xlfn.NUMBERVALUE(SUBSTITUTE(LEFT(TRIM(C37),FIND(" ",TRIM(C37)&amp;" ")-1),",","."),"."),LEFT(SUBSTITUTE(LEFT(TRIM(C37),FIND(" ",TRIM(C37)&amp;" ")-1),",","."),FIND("/",SUBSTITUTE(LEFT(TRIM(C37),FIND(" ",TRIM(C37)&amp;" ")-1),",","."))-1)/MID(SUBSTITUTE(LEFT(TRIM(C37),FIND(" ",TRIM(C37)&amp;" ")-1),",","."),FIND("/",SUBSTITUTE(LEFT(TRIM(C37),FIND(" ",TRIM(C37)&amp;" ")-1),",","."))+1,9))*12/52,IF(ISNUMBER(SEARCH("month",C37)),IFERROR(_xlfn.NUMBERVALUE(SUBSTITUTE(LEFT(TRIM(C37),FIND(" ",TRIM(C37)&amp;" ")-1),",","."),"."),LEFT(SUBSTITUTE(LEFT(TRIM(C37),FIND(" ",TRIM(C37)&amp;" ")-1),",","."),FIND("/",SUBSTITUTE(LEFT(TRIM(C37),FIND(" ",TRIM(C37)&amp;" ")-1),",","."))-1)/MID(SUBSTITUTE(LEFT(TRIM(C37),FIND(" ",TRIM(C37)&amp;" ")-1),",","."),FIND("/",SUBSTITUTE(LEFT(TRIM(C37),FIND(" ",TRIM(C37)&amp;" ")-1),",","."))+1,9)),IF(ISNUMBER(SEARCH("yea",C37)),IFERROR(_xlfn.NUMBERVALUE(SUBSTITUTE(LEFT(TRIM(C37),FIND(" ",TRIM(C37)&amp;" ")-1),",","."),"."),LEFT(SUBSTITUTE(LEFT(TRIM(C37),FIND(" ",TRIM(C37)&amp;" ")-1),",","."),FIND("/",SUBSTITUTE(LEFT(TRIM(C37),FIND(" ",TRIM(C37)&amp;" ")-1),",","."))-1)/MID(SUBSTITUTE(LEFT(TRIM(C37),FIND(" ",TRIM(C37)&amp;" ")-1),",","."),FIND("/",SUBSTITUTE(LEFT(TRIM(C37),FIND(" ",TRIM(C37)&amp;" ")-1),",","."))+1,9))*12,NA()))),0),21)*'Aturan &amp; Tarif'!$B$4,2)</f>
        <v>1192.38</v>
      </c>
      <c r="K37" s="42" t="n">
        <f aca="false">'Aturan &amp; Tarif'!$B$5</f>
        <v>2050</v>
      </c>
      <c r="L37" s="35" t="n">
        <f aca="false">I37+J37+K37</f>
        <v>6042.38</v>
      </c>
      <c r="M37" s="44" t="s">
        <v>662</v>
      </c>
    </row>
    <row r="38" customFormat="false" ht="37.5" hidden="false" customHeight="true" outlineLevel="0" collapsed="false">
      <c r="A38" s="29" t="s">
        <v>664</v>
      </c>
      <c r="B38" s="30" t="s">
        <v>665</v>
      </c>
      <c r="C38" s="31" t="s">
        <v>107</v>
      </c>
      <c r="D38" s="31" t="s">
        <v>108</v>
      </c>
      <c r="E38" s="32" t="n">
        <v>2500</v>
      </c>
      <c r="F38" s="32" t="n">
        <v>750</v>
      </c>
      <c r="G38" s="32" t="n">
        <v>250</v>
      </c>
      <c r="H38" s="33" t="n">
        <v>1</v>
      </c>
      <c r="I38" s="34" t="n">
        <f aca="false">E38*H38+N(F38)+N(G38)</f>
        <v>3500</v>
      </c>
      <c r="J38" s="32" t="n">
        <f aca="false">ROUND(IFERROR(ROUND(IF(OR(ISNUMBER(SEARCH("week",C38)),ISNUMBER(SEARCH("minggu",C38))),IFERROR(_xlfn.NUMBERVALUE(SUBSTITUTE(LEFT(TRIM(C38),FIND(" ",TRIM(C38)&amp;" ")-1),",","."),"."),LEFT(SUBSTITUTE(LEFT(TRIM(C38),FIND(" ",TRIM(C38)&amp;" ")-1),",","."),FIND("/",SUBSTITUTE(LEFT(TRIM(C38),FIND(" ",TRIM(C38)&amp;" ")-1),",","."))-1)/MID(SUBSTITUTE(LEFT(TRIM(C38),FIND(" ",TRIM(C38)&amp;" ")-1),",","."),FIND("/",SUBSTITUTE(LEFT(TRIM(C38),FIND(" ",TRIM(C38)&amp;" ")-1),",","."))+1,9))*12/52,IF(ISNUMBER(SEARCH("month",C38)),IFERROR(_xlfn.NUMBERVALUE(SUBSTITUTE(LEFT(TRIM(C38),FIND(" ",TRIM(C38)&amp;" ")-1),",","."),"."),LEFT(SUBSTITUTE(LEFT(TRIM(C38),FIND(" ",TRIM(C38)&amp;" ")-1),",","."),FIND("/",SUBSTITUTE(LEFT(TRIM(C38),FIND(" ",TRIM(C38)&amp;" ")-1),",","."))-1)/MID(SUBSTITUTE(LEFT(TRIM(C38),FIND(" ",TRIM(C38)&amp;" ")-1),",","."),FIND("/",SUBSTITUTE(LEFT(TRIM(C38),FIND(" ",TRIM(C38)&amp;" ")-1),",","."))+1,9)),IF(ISNUMBER(SEARCH("yea",C38)),IFERROR(_xlfn.NUMBERVALUE(SUBSTITUTE(LEFT(TRIM(C38),FIND(" ",TRIM(C38)&amp;" ")-1),",","."),"."),LEFT(SUBSTITUTE(LEFT(TRIM(C38),FIND(" ",TRIM(C38)&amp;" ")-1),",","."),FIND("/",SUBSTITUTE(LEFT(TRIM(C38),FIND(" ",TRIM(C38)&amp;" ")-1),",","."))-1)/MID(SUBSTITUTE(LEFT(TRIM(C38),FIND(" ",TRIM(C38)&amp;" ")-1),",","."),FIND("/",SUBSTITUTE(LEFT(TRIM(C38),FIND(" ",TRIM(C38)&amp;" ")-1),",","."))+1,9))*12,NA()))),0),24)*'Aturan &amp; Tarif'!$B$4,2)</f>
        <v>1362.72</v>
      </c>
      <c r="K38" s="32" t="n">
        <f aca="false">'Aturan &amp; Tarif'!$B$5</f>
        <v>2050</v>
      </c>
      <c r="L38" s="35" t="n">
        <f aca="false">I38+J38+K38</f>
        <v>6912.72</v>
      </c>
      <c r="M38" s="37" t="s">
        <v>134</v>
      </c>
    </row>
    <row r="39" customFormat="false" ht="14.25" hidden="false" customHeight="true" outlineLevel="0" collapsed="false">
      <c r="A39" s="29"/>
      <c r="B39" s="30" t="s">
        <v>666</v>
      </c>
      <c r="C39" s="31" t="s">
        <v>107</v>
      </c>
      <c r="D39" s="31" t="s">
        <v>108</v>
      </c>
      <c r="E39" s="32" t="n">
        <v>2500</v>
      </c>
      <c r="F39" s="32" t="n">
        <v>750</v>
      </c>
      <c r="G39" s="32" t="n">
        <v>250</v>
      </c>
      <c r="H39" s="33" t="n">
        <v>1</v>
      </c>
      <c r="I39" s="34" t="n">
        <f aca="false">E39*H39+N(F39)+N(G39)</f>
        <v>3500</v>
      </c>
      <c r="J39" s="32" t="n">
        <f aca="false">ROUND(IFERROR(ROUND(IF(OR(ISNUMBER(SEARCH("week",C39)),ISNUMBER(SEARCH("minggu",C39))),IFERROR(_xlfn.NUMBERVALUE(SUBSTITUTE(LEFT(TRIM(C39),FIND(" ",TRIM(C39)&amp;" ")-1),",","."),"."),LEFT(SUBSTITUTE(LEFT(TRIM(C39),FIND(" ",TRIM(C39)&amp;" ")-1),",","."),FIND("/",SUBSTITUTE(LEFT(TRIM(C39),FIND(" ",TRIM(C39)&amp;" ")-1),",","."))-1)/MID(SUBSTITUTE(LEFT(TRIM(C39),FIND(" ",TRIM(C39)&amp;" ")-1),",","."),FIND("/",SUBSTITUTE(LEFT(TRIM(C39),FIND(" ",TRIM(C39)&amp;" ")-1),",","."))+1,9))*12/52,IF(ISNUMBER(SEARCH("month",C39)),IFERROR(_xlfn.NUMBERVALUE(SUBSTITUTE(LEFT(TRIM(C39),FIND(" ",TRIM(C39)&amp;" ")-1),",","."),"."),LEFT(SUBSTITUTE(LEFT(TRIM(C39),FIND(" ",TRIM(C39)&amp;" ")-1),",","."),FIND("/",SUBSTITUTE(LEFT(TRIM(C39),FIND(" ",TRIM(C39)&amp;" ")-1),",","."))-1)/MID(SUBSTITUTE(LEFT(TRIM(C39),FIND(" ",TRIM(C39)&amp;" ")-1),",","."),FIND("/",SUBSTITUTE(LEFT(TRIM(C39),FIND(" ",TRIM(C39)&amp;" ")-1),",","."))+1,9)),IF(ISNUMBER(SEARCH("yea",C39)),IFERROR(_xlfn.NUMBERVALUE(SUBSTITUTE(LEFT(TRIM(C39),FIND(" ",TRIM(C39)&amp;" ")-1),",","."),"."),LEFT(SUBSTITUTE(LEFT(TRIM(C39),FIND(" ",TRIM(C39)&amp;" ")-1),",","."),FIND("/",SUBSTITUTE(LEFT(TRIM(C39),FIND(" ",TRIM(C39)&amp;" ")-1),",","."))-1)/MID(SUBSTITUTE(LEFT(TRIM(C39),FIND(" ",TRIM(C39)&amp;" ")-1),",","."),FIND("/",SUBSTITUTE(LEFT(TRIM(C39),FIND(" ",TRIM(C39)&amp;" ")-1),",","."))+1,9))*12,NA()))),0),24)*'Aturan &amp; Tarif'!$B$4,2)</f>
        <v>1362.72</v>
      </c>
      <c r="K39" s="32" t="n">
        <f aca="false">'Aturan &amp; Tarif'!$B$5</f>
        <v>2050</v>
      </c>
      <c r="L39" s="35" t="n">
        <f aca="false">I39+J39+K39</f>
        <v>6912.72</v>
      </c>
      <c r="M39" s="37" t="s">
        <v>134</v>
      </c>
    </row>
    <row r="40" customFormat="false" ht="37.5" hidden="false" customHeight="true" outlineLevel="0" collapsed="false">
      <c r="A40" s="29"/>
      <c r="B40" s="30" t="s">
        <v>470</v>
      </c>
      <c r="C40" s="31" t="s">
        <v>107</v>
      </c>
      <c r="D40" s="31" t="s">
        <v>108</v>
      </c>
      <c r="E40" s="32" t="n">
        <v>2625</v>
      </c>
      <c r="F40" s="32" t="n">
        <v>1000</v>
      </c>
      <c r="G40" s="32" t="n">
        <v>250</v>
      </c>
      <c r="H40" s="33" t="n">
        <v>1</v>
      </c>
      <c r="I40" s="34" t="n">
        <f aca="false">E40*H40+N(F40)+N(G40)</f>
        <v>3875</v>
      </c>
      <c r="J40" s="32" t="n">
        <f aca="false">ROUND(IFERROR(ROUND(IF(OR(ISNUMBER(SEARCH("week",C40)),ISNUMBER(SEARCH("minggu",C40))),IFERROR(_xlfn.NUMBERVALUE(SUBSTITUTE(LEFT(TRIM(C40),FIND(" ",TRIM(C40)&amp;" ")-1),",","."),"."),LEFT(SUBSTITUTE(LEFT(TRIM(C40),FIND(" ",TRIM(C40)&amp;" ")-1),",","."),FIND("/",SUBSTITUTE(LEFT(TRIM(C40),FIND(" ",TRIM(C40)&amp;" ")-1),",","."))-1)/MID(SUBSTITUTE(LEFT(TRIM(C40),FIND(" ",TRIM(C40)&amp;" ")-1),",","."),FIND("/",SUBSTITUTE(LEFT(TRIM(C40),FIND(" ",TRIM(C40)&amp;" ")-1),",","."))+1,9))*12/52,IF(ISNUMBER(SEARCH("month",C40)),IFERROR(_xlfn.NUMBERVALUE(SUBSTITUTE(LEFT(TRIM(C40),FIND(" ",TRIM(C40)&amp;" ")-1),",","."),"."),LEFT(SUBSTITUTE(LEFT(TRIM(C40),FIND(" ",TRIM(C40)&amp;" ")-1),",","."),FIND("/",SUBSTITUTE(LEFT(TRIM(C40),FIND(" ",TRIM(C40)&amp;" ")-1),",","."))-1)/MID(SUBSTITUTE(LEFT(TRIM(C40),FIND(" ",TRIM(C40)&amp;" ")-1),",","."),FIND("/",SUBSTITUTE(LEFT(TRIM(C40),FIND(" ",TRIM(C40)&amp;" ")-1),",","."))+1,9)),IF(ISNUMBER(SEARCH("yea",C40)),IFERROR(_xlfn.NUMBERVALUE(SUBSTITUTE(LEFT(TRIM(C40),FIND(" ",TRIM(C40)&amp;" ")-1),",","."),"."),LEFT(SUBSTITUTE(LEFT(TRIM(C40),FIND(" ",TRIM(C40)&amp;" ")-1),",","."),FIND("/",SUBSTITUTE(LEFT(TRIM(C40),FIND(" ",TRIM(C40)&amp;" ")-1),",","."))-1)/MID(SUBSTITUTE(LEFT(TRIM(C40),FIND(" ",TRIM(C40)&amp;" ")-1),",","."),FIND("/",SUBSTITUTE(LEFT(TRIM(C40),FIND(" ",TRIM(C40)&amp;" ")-1),",","."))+1,9))*12,NA()))),0),24)*'Aturan &amp; Tarif'!$B$4,2)</f>
        <v>1362.72</v>
      </c>
      <c r="K40" s="32" t="n">
        <f aca="false">'Aturan &amp; Tarif'!$B$5</f>
        <v>2050</v>
      </c>
      <c r="L40" s="35" t="n">
        <f aca="false">I40+J40+K40</f>
        <v>7287.72</v>
      </c>
      <c r="M40" s="37" t="s">
        <v>134</v>
      </c>
    </row>
    <row r="41" customFormat="false" ht="37.5" hidden="false" customHeight="true" outlineLevel="0" collapsed="false">
      <c r="A41" s="29"/>
      <c r="B41" s="30" t="s">
        <v>667</v>
      </c>
      <c r="C41" s="31" t="s">
        <v>138</v>
      </c>
      <c r="D41" s="31" t="s">
        <v>108</v>
      </c>
      <c r="E41" s="32" t="n">
        <v>2700</v>
      </c>
      <c r="F41" s="32" t="n">
        <v>1000</v>
      </c>
      <c r="G41" s="32" t="n">
        <v>250</v>
      </c>
      <c r="H41" s="33" t="n">
        <v>1</v>
      </c>
      <c r="I41" s="34" t="n">
        <f aca="false">E41*H41+N(F41)+N(G41)</f>
        <v>3950</v>
      </c>
      <c r="J41" s="32" t="n">
        <f aca="false">ROUND(IFERROR(ROUND(IF(OR(ISNUMBER(SEARCH("week",C41)),ISNUMBER(SEARCH("minggu",C41))),IFERROR(_xlfn.NUMBERVALUE(SUBSTITUTE(LEFT(TRIM(C41),FIND(" ",TRIM(C41)&amp;" ")-1),",","."),"."),LEFT(SUBSTITUTE(LEFT(TRIM(C41),FIND(" ",TRIM(C41)&amp;" ")-1),",","."),FIND("/",SUBSTITUTE(LEFT(TRIM(C41),FIND(" ",TRIM(C41)&amp;" ")-1),",","."))-1)/MID(SUBSTITUTE(LEFT(TRIM(C41),FIND(" ",TRIM(C41)&amp;" ")-1),",","."),FIND("/",SUBSTITUTE(LEFT(TRIM(C41),FIND(" ",TRIM(C41)&amp;" ")-1),",","."))+1,9))*12/52,IF(ISNUMBER(SEARCH("month",C41)),IFERROR(_xlfn.NUMBERVALUE(SUBSTITUTE(LEFT(TRIM(C41),FIND(" ",TRIM(C41)&amp;" ")-1),",","."),"."),LEFT(SUBSTITUTE(LEFT(TRIM(C41),FIND(" ",TRIM(C41)&amp;" ")-1),",","."),FIND("/",SUBSTITUTE(LEFT(TRIM(C41),FIND(" ",TRIM(C41)&amp;" ")-1),",","."))-1)/MID(SUBSTITUTE(LEFT(TRIM(C41),FIND(" ",TRIM(C41)&amp;" ")-1),",","."),FIND("/",SUBSTITUTE(LEFT(TRIM(C41),FIND(" ",TRIM(C41)&amp;" ")-1),",","."))+1,9)),IF(ISNUMBER(SEARCH("yea",C41)),IFERROR(_xlfn.NUMBERVALUE(SUBSTITUTE(LEFT(TRIM(C41),FIND(" ",TRIM(C41)&amp;" ")-1),",","."),"."),LEFT(SUBSTITUTE(LEFT(TRIM(C41),FIND(" ",TRIM(C41)&amp;" ")-1),",","."),FIND("/",SUBSTITUTE(LEFT(TRIM(C41),FIND(" ",TRIM(C41)&amp;" ")-1),",","."))-1)/MID(SUBSTITUTE(LEFT(TRIM(C41),FIND(" ",TRIM(C41)&amp;" ")-1),",","."),FIND("/",SUBSTITUTE(LEFT(TRIM(C41),FIND(" ",TRIM(C41)&amp;" ")-1),",","."))+1,9))*12,NA()))),0),30)*'Aturan &amp; Tarif'!$B$4,2)</f>
        <v>1703.4</v>
      </c>
      <c r="K41" s="32" t="n">
        <f aca="false">'Aturan &amp; Tarif'!$B$5</f>
        <v>2050</v>
      </c>
      <c r="L41" s="35" t="n">
        <f aca="false">I41+J41+K41</f>
        <v>7703.4</v>
      </c>
      <c r="M41" s="37" t="s">
        <v>134</v>
      </c>
    </row>
    <row r="42" customFormat="false" ht="14.25" hidden="false" customHeight="true" outlineLevel="0" collapsed="false">
      <c r="A42" s="29"/>
      <c r="B42" s="30" t="s">
        <v>668</v>
      </c>
      <c r="C42" s="31" t="s">
        <v>107</v>
      </c>
      <c r="D42" s="31" t="s">
        <v>108</v>
      </c>
      <c r="E42" s="32" t="n">
        <v>3250</v>
      </c>
      <c r="F42" s="32" t="n">
        <v>1750</v>
      </c>
      <c r="G42" s="32" t="n">
        <v>250</v>
      </c>
      <c r="H42" s="33" t="n">
        <v>1</v>
      </c>
      <c r="I42" s="34" t="n">
        <f aca="false">E42*H42+N(F42)+N(G42)</f>
        <v>5250</v>
      </c>
      <c r="J42" s="32" t="n">
        <f aca="false">ROUND(IFERROR(ROUND(IF(OR(ISNUMBER(SEARCH("week",C42)),ISNUMBER(SEARCH("minggu",C42))),IFERROR(_xlfn.NUMBERVALUE(SUBSTITUTE(LEFT(TRIM(C42),FIND(" ",TRIM(C42)&amp;" ")-1),",","."),"."),LEFT(SUBSTITUTE(LEFT(TRIM(C42),FIND(" ",TRIM(C42)&amp;" ")-1),",","."),FIND("/",SUBSTITUTE(LEFT(TRIM(C42),FIND(" ",TRIM(C42)&amp;" ")-1),",","."))-1)/MID(SUBSTITUTE(LEFT(TRIM(C42),FIND(" ",TRIM(C42)&amp;" ")-1),",","."),FIND("/",SUBSTITUTE(LEFT(TRIM(C42),FIND(" ",TRIM(C42)&amp;" ")-1),",","."))+1,9))*12/52,IF(ISNUMBER(SEARCH("month",C42)),IFERROR(_xlfn.NUMBERVALUE(SUBSTITUTE(LEFT(TRIM(C42),FIND(" ",TRIM(C42)&amp;" ")-1),",","."),"."),LEFT(SUBSTITUTE(LEFT(TRIM(C42),FIND(" ",TRIM(C42)&amp;" ")-1),",","."),FIND("/",SUBSTITUTE(LEFT(TRIM(C42),FIND(" ",TRIM(C42)&amp;" ")-1),",","."))-1)/MID(SUBSTITUTE(LEFT(TRIM(C42),FIND(" ",TRIM(C42)&amp;" ")-1),",","."),FIND("/",SUBSTITUTE(LEFT(TRIM(C42),FIND(" ",TRIM(C42)&amp;" ")-1),",","."))+1,9)),IF(ISNUMBER(SEARCH("yea",C42)),IFERROR(_xlfn.NUMBERVALUE(SUBSTITUTE(LEFT(TRIM(C42),FIND(" ",TRIM(C42)&amp;" ")-1),",","."),"."),LEFT(SUBSTITUTE(LEFT(TRIM(C42),FIND(" ",TRIM(C42)&amp;" ")-1),",","."),FIND("/",SUBSTITUTE(LEFT(TRIM(C42),FIND(" ",TRIM(C42)&amp;" ")-1),",","."))-1)/MID(SUBSTITUTE(LEFT(TRIM(C42),FIND(" ",TRIM(C42)&amp;" ")-1),",","."),FIND("/",SUBSTITUTE(LEFT(TRIM(C42),FIND(" ",TRIM(C42)&amp;" ")-1),",","."))+1,9))*12,NA()))),0),24)*'Aturan &amp; Tarif'!$B$4,2)</f>
        <v>1362.72</v>
      </c>
      <c r="K42" s="32" t="n">
        <f aca="false">'Aturan &amp; Tarif'!$B$5</f>
        <v>2050</v>
      </c>
      <c r="L42" s="35" t="n">
        <f aca="false">I42+J42+K42</f>
        <v>8662.72</v>
      </c>
      <c r="M42" s="37" t="s">
        <v>134</v>
      </c>
    </row>
    <row r="43" customFormat="false" ht="14.25" hidden="false" customHeight="true" outlineLevel="0" collapsed="false">
      <c r="A43" s="29"/>
      <c r="B43" s="30" t="s">
        <v>594</v>
      </c>
      <c r="C43" s="31" t="s">
        <v>130</v>
      </c>
      <c r="D43" s="31" t="s">
        <v>108</v>
      </c>
      <c r="E43" s="32" t="n">
        <v>3500</v>
      </c>
      <c r="F43" s="32" t="n">
        <v>1500</v>
      </c>
      <c r="G43" s="32" t="n">
        <v>250</v>
      </c>
      <c r="H43" s="33" t="n">
        <v>1</v>
      </c>
      <c r="I43" s="34" t="n">
        <f aca="false">E43*H43+N(F43)+N(G43)</f>
        <v>5250</v>
      </c>
      <c r="J43" s="32" t="n">
        <f aca="false">ROUND(IFERROR(ROUND(IF(OR(ISNUMBER(SEARCH("week",C43)),ISNUMBER(SEARCH("minggu",C43))),IFERROR(_xlfn.NUMBERVALUE(SUBSTITUTE(LEFT(TRIM(C43),FIND(" ",TRIM(C43)&amp;" ")-1),",","."),"."),LEFT(SUBSTITUTE(LEFT(TRIM(C43),FIND(" ",TRIM(C43)&amp;" ")-1),",","."),FIND("/",SUBSTITUTE(LEFT(TRIM(C43),FIND(" ",TRIM(C43)&amp;" ")-1),",","."))-1)/MID(SUBSTITUTE(LEFT(TRIM(C43),FIND(" ",TRIM(C43)&amp;" ")-1),",","."),FIND("/",SUBSTITUTE(LEFT(TRIM(C43),FIND(" ",TRIM(C43)&amp;" ")-1),",","."))+1,9))*12/52,IF(ISNUMBER(SEARCH("month",C43)),IFERROR(_xlfn.NUMBERVALUE(SUBSTITUTE(LEFT(TRIM(C43),FIND(" ",TRIM(C43)&amp;" ")-1),",","."),"."),LEFT(SUBSTITUTE(LEFT(TRIM(C43),FIND(" ",TRIM(C43)&amp;" ")-1),",","."),FIND("/",SUBSTITUTE(LEFT(TRIM(C43),FIND(" ",TRIM(C43)&amp;" ")-1),",","."))-1)/MID(SUBSTITUTE(LEFT(TRIM(C43),FIND(" ",TRIM(C43)&amp;" ")-1),",","."),FIND("/",SUBSTITUTE(LEFT(TRIM(C43),FIND(" ",TRIM(C43)&amp;" ")-1),",","."))+1,9)),IF(ISNUMBER(SEARCH("yea",C43)),IFERROR(_xlfn.NUMBERVALUE(SUBSTITUTE(LEFT(TRIM(C43),FIND(" ",TRIM(C43)&amp;" ")-1),",","."),"."),LEFT(SUBSTITUTE(LEFT(TRIM(C43),FIND(" ",TRIM(C43)&amp;" ")-1),",","."),FIND("/",SUBSTITUTE(LEFT(TRIM(C43),FIND(" ",TRIM(C43)&amp;" ")-1),",","."))-1)/MID(SUBSTITUTE(LEFT(TRIM(C43),FIND(" ",TRIM(C43)&amp;" ")-1),",","."),FIND("/",SUBSTITUTE(LEFT(TRIM(C43),FIND(" ",TRIM(C43)&amp;" ")-1),",","."))+1,9))*12,NA()))),0),12)*'Aturan &amp; Tarif'!$B$4,2)</f>
        <v>681.36</v>
      </c>
      <c r="K43" s="32" t="n">
        <f aca="false">'Aturan &amp; Tarif'!$B$5</f>
        <v>2050</v>
      </c>
      <c r="L43" s="35" t="n">
        <f aca="false">I43+J43+K43</f>
        <v>7981.36</v>
      </c>
      <c r="M43" s="37" t="s">
        <v>134</v>
      </c>
    </row>
    <row r="44" customFormat="false" ht="83.25" hidden="false" customHeight="true" outlineLevel="0" collapsed="false">
      <c r="A44" s="29" t="s">
        <v>443</v>
      </c>
      <c r="B44" s="30" t="s">
        <v>444</v>
      </c>
      <c r="C44" s="31" t="s">
        <v>107</v>
      </c>
      <c r="D44" s="31" t="s">
        <v>108</v>
      </c>
      <c r="E44" s="32" t="n">
        <v>8500</v>
      </c>
      <c r="F44" s="32" t="n">
        <v>400</v>
      </c>
      <c r="G44" s="32" t="n">
        <v>350</v>
      </c>
      <c r="H44" s="33" t="n">
        <v>2</v>
      </c>
      <c r="I44" s="34" t="n">
        <f aca="false">E44*H44+N(F44)+N(G44)</f>
        <v>17750</v>
      </c>
      <c r="J44" s="32" t="n">
        <f aca="false">ROUND(IFERROR(ROUND(IF(OR(ISNUMBER(SEARCH("week",C44)),ISNUMBER(SEARCH("minggu",C44))),IFERROR(_xlfn.NUMBERVALUE(SUBSTITUTE(LEFT(TRIM(C44),FIND(" ",TRIM(C44)&amp;" ")-1),",","."),"."),LEFT(SUBSTITUTE(LEFT(TRIM(C44),FIND(" ",TRIM(C44)&amp;" ")-1),",","."),FIND("/",SUBSTITUTE(LEFT(TRIM(C44),FIND(" ",TRIM(C44)&amp;" ")-1),",","."))-1)/MID(SUBSTITUTE(LEFT(TRIM(C44),FIND(" ",TRIM(C44)&amp;" ")-1),",","."),FIND("/",SUBSTITUTE(LEFT(TRIM(C44),FIND(" ",TRIM(C44)&amp;" ")-1),",","."))+1,9))*12/52,IF(ISNUMBER(SEARCH("month",C44)),IFERROR(_xlfn.NUMBERVALUE(SUBSTITUTE(LEFT(TRIM(C44),FIND(" ",TRIM(C44)&amp;" ")-1),",","."),"."),LEFT(SUBSTITUTE(LEFT(TRIM(C44),FIND(" ",TRIM(C44)&amp;" ")-1),",","."),FIND("/",SUBSTITUTE(LEFT(TRIM(C44),FIND(" ",TRIM(C44)&amp;" ")-1),",","."))-1)/MID(SUBSTITUTE(LEFT(TRIM(C44),FIND(" ",TRIM(C44)&amp;" ")-1),",","."),FIND("/",SUBSTITUTE(LEFT(TRIM(C44),FIND(" ",TRIM(C44)&amp;" ")-1),",","."))+1,9)),IF(ISNUMBER(SEARCH("yea",C44)),IFERROR(_xlfn.NUMBERVALUE(SUBSTITUTE(LEFT(TRIM(C44),FIND(" ",TRIM(C44)&amp;" ")-1),",","."),"."),LEFT(SUBSTITUTE(LEFT(TRIM(C44),FIND(" ",TRIM(C44)&amp;" ")-1),",","."),FIND("/",SUBSTITUTE(LEFT(TRIM(C44),FIND(" ",TRIM(C44)&amp;" ")-1),",","."))-1)/MID(SUBSTITUTE(LEFT(TRIM(C44),FIND(" ",TRIM(C44)&amp;" ")-1),",","."),FIND("/",SUBSTITUTE(LEFT(TRIM(C44),FIND(" ",TRIM(C44)&amp;" ")-1),",","."))+1,9))*12,NA()))),0),24)*'Aturan &amp; Tarif'!$B$4,2)</f>
        <v>1362.72</v>
      </c>
      <c r="K44" s="32" t="n">
        <f aca="false">'Aturan &amp; Tarif'!$B$5</f>
        <v>2050</v>
      </c>
      <c r="L44" s="35" t="n">
        <f aca="false">I44+J44+K44</f>
        <v>21162.72</v>
      </c>
      <c r="M44" s="36" t="s">
        <v>445</v>
      </c>
    </row>
    <row r="45" customFormat="false" ht="60" hidden="false" customHeight="true" outlineLevel="0" collapsed="false">
      <c r="A45" s="29"/>
      <c r="B45" s="30" t="s">
        <v>446</v>
      </c>
      <c r="C45" s="31" t="s">
        <v>107</v>
      </c>
      <c r="D45" s="31" t="s">
        <v>108</v>
      </c>
      <c r="E45" s="32" t="n">
        <v>8500</v>
      </c>
      <c r="F45" s="32" t="n">
        <v>400</v>
      </c>
      <c r="G45" s="32" t="n">
        <v>350</v>
      </c>
      <c r="H45" s="33" t="n">
        <v>2</v>
      </c>
      <c r="I45" s="34" t="n">
        <f aca="false">E45*H45+N(F45)+N(G45)</f>
        <v>17750</v>
      </c>
      <c r="J45" s="32" t="n">
        <f aca="false">ROUND(IFERROR(ROUND(IF(OR(ISNUMBER(SEARCH("week",C45)),ISNUMBER(SEARCH("minggu",C45))),IFERROR(_xlfn.NUMBERVALUE(SUBSTITUTE(LEFT(TRIM(C45),FIND(" ",TRIM(C45)&amp;" ")-1),",","."),"."),LEFT(SUBSTITUTE(LEFT(TRIM(C45),FIND(" ",TRIM(C45)&amp;" ")-1),",","."),FIND("/",SUBSTITUTE(LEFT(TRIM(C45),FIND(" ",TRIM(C45)&amp;" ")-1),",","."))-1)/MID(SUBSTITUTE(LEFT(TRIM(C45),FIND(" ",TRIM(C45)&amp;" ")-1),",","."),FIND("/",SUBSTITUTE(LEFT(TRIM(C45),FIND(" ",TRIM(C45)&amp;" ")-1),",","."))+1,9))*12/52,IF(ISNUMBER(SEARCH("month",C45)),IFERROR(_xlfn.NUMBERVALUE(SUBSTITUTE(LEFT(TRIM(C45),FIND(" ",TRIM(C45)&amp;" ")-1),",","."),"."),LEFT(SUBSTITUTE(LEFT(TRIM(C45),FIND(" ",TRIM(C45)&amp;" ")-1),",","."),FIND("/",SUBSTITUTE(LEFT(TRIM(C45),FIND(" ",TRIM(C45)&amp;" ")-1),",","."))-1)/MID(SUBSTITUTE(LEFT(TRIM(C45),FIND(" ",TRIM(C45)&amp;" ")-1),",","."),FIND("/",SUBSTITUTE(LEFT(TRIM(C45),FIND(" ",TRIM(C45)&amp;" ")-1),",","."))+1,9)),IF(ISNUMBER(SEARCH("yea",C45)),IFERROR(_xlfn.NUMBERVALUE(SUBSTITUTE(LEFT(TRIM(C45),FIND(" ",TRIM(C45)&amp;" ")-1),",","."),"."),LEFT(SUBSTITUTE(LEFT(TRIM(C45),FIND(" ",TRIM(C45)&amp;" ")-1),",","."),FIND("/",SUBSTITUTE(LEFT(TRIM(C45),FIND(" ",TRIM(C45)&amp;" ")-1),",","."))-1)/MID(SUBSTITUTE(LEFT(TRIM(C45),FIND(" ",TRIM(C45)&amp;" ")-1),",","."),FIND("/",SUBSTITUTE(LEFT(TRIM(C45),FIND(" ",TRIM(C45)&amp;" ")-1),",","."))+1,9))*12,NA()))),0),24)*'Aturan &amp; Tarif'!$B$4,2)</f>
        <v>1362.72</v>
      </c>
      <c r="K45" s="32" t="n">
        <f aca="false">'Aturan &amp; Tarif'!$B$5</f>
        <v>2050</v>
      </c>
      <c r="L45" s="35" t="n">
        <f aca="false">I45+J45+K45</f>
        <v>21162.72</v>
      </c>
      <c r="M45" s="36" t="s">
        <v>445</v>
      </c>
    </row>
    <row r="46" customFormat="false" ht="60" hidden="false" customHeight="true" outlineLevel="0" collapsed="false">
      <c r="A46" s="29"/>
      <c r="B46" s="30" t="s">
        <v>447</v>
      </c>
      <c r="C46" s="31" t="s">
        <v>107</v>
      </c>
      <c r="D46" s="31" t="s">
        <v>108</v>
      </c>
      <c r="E46" s="32" t="n">
        <v>8500</v>
      </c>
      <c r="F46" s="32" t="n">
        <v>400</v>
      </c>
      <c r="G46" s="32" t="n">
        <v>350</v>
      </c>
      <c r="H46" s="33" t="n">
        <v>2</v>
      </c>
      <c r="I46" s="34" t="n">
        <f aca="false">E46*H46+N(F46)+N(G46)</f>
        <v>17750</v>
      </c>
      <c r="J46" s="32" t="n">
        <f aca="false">ROUND(IFERROR(ROUND(IF(OR(ISNUMBER(SEARCH("week",C46)),ISNUMBER(SEARCH("minggu",C46))),IFERROR(_xlfn.NUMBERVALUE(SUBSTITUTE(LEFT(TRIM(C46),FIND(" ",TRIM(C46)&amp;" ")-1),",","."),"."),LEFT(SUBSTITUTE(LEFT(TRIM(C46),FIND(" ",TRIM(C46)&amp;" ")-1),",","."),FIND("/",SUBSTITUTE(LEFT(TRIM(C46),FIND(" ",TRIM(C46)&amp;" ")-1),",","."))-1)/MID(SUBSTITUTE(LEFT(TRIM(C46),FIND(" ",TRIM(C46)&amp;" ")-1),",","."),FIND("/",SUBSTITUTE(LEFT(TRIM(C46),FIND(" ",TRIM(C46)&amp;" ")-1),",","."))+1,9))*12/52,IF(ISNUMBER(SEARCH("month",C46)),IFERROR(_xlfn.NUMBERVALUE(SUBSTITUTE(LEFT(TRIM(C46),FIND(" ",TRIM(C46)&amp;" ")-1),",","."),"."),LEFT(SUBSTITUTE(LEFT(TRIM(C46),FIND(" ",TRIM(C46)&amp;" ")-1),",","."),FIND("/",SUBSTITUTE(LEFT(TRIM(C46),FIND(" ",TRIM(C46)&amp;" ")-1),",","."))-1)/MID(SUBSTITUTE(LEFT(TRIM(C46),FIND(" ",TRIM(C46)&amp;" ")-1),",","."),FIND("/",SUBSTITUTE(LEFT(TRIM(C46),FIND(" ",TRIM(C46)&amp;" ")-1),",","."))+1,9)),IF(ISNUMBER(SEARCH("yea",C46)),IFERROR(_xlfn.NUMBERVALUE(SUBSTITUTE(LEFT(TRIM(C46),FIND(" ",TRIM(C46)&amp;" ")-1),",","."),"."),LEFT(SUBSTITUTE(LEFT(TRIM(C46),FIND(" ",TRIM(C46)&amp;" ")-1),",","."),FIND("/",SUBSTITUTE(LEFT(TRIM(C46),FIND(" ",TRIM(C46)&amp;" ")-1),",","."))-1)/MID(SUBSTITUTE(LEFT(TRIM(C46),FIND(" ",TRIM(C46)&amp;" ")-1),",","."),FIND("/",SUBSTITUTE(LEFT(TRIM(C46),FIND(" ",TRIM(C46)&amp;" ")-1),",","."))+1,9))*12,NA()))),0),24)*'Aturan &amp; Tarif'!$B$4,2)</f>
        <v>1362.72</v>
      </c>
      <c r="K46" s="32" t="n">
        <f aca="false">'Aturan &amp; Tarif'!$B$5</f>
        <v>2050</v>
      </c>
      <c r="L46" s="35" t="n">
        <f aca="false">I46+J46+K46</f>
        <v>21162.72</v>
      </c>
      <c r="M46" s="36" t="s">
        <v>445</v>
      </c>
    </row>
    <row r="47" customFormat="false" ht="60" hidden="false" customHeight="true" outlineLevel="0" collapsed="false">
      <c r="A47" s="29"/>
      <c r="B47" s="30" t="s">
        <v>448</v>
      </c>
      <c r="C47" s="31" t="s">
        <v>130</v>
      </c>
      <c r="D47" s="31" t="s">
        <v>108</v>
      </c>
      <c r="E47" s="32" t="n">
        <v>6250</v>
      </c>
      <c r="F47" s="32" t="n">
        <v>400</v>
      </c>
      <c r="G47" s="32" t="n">
        <v>350</v>
      </c>
      <c r="H47" s="33" t="n">
        <v>2</v>
      </c>
      <c r="I47" s="34" t="n">
        <f aca="false">E47*H47+N(F47)+N(G47)</f>
        <v>13250</v>
      </c>
      <c r="J47" s="32" t="n">
        <f aca="false">ROUND(IFERROR(ROUND(IF(OR(ISNUMBER(SEARCH("week",C47)),ISNUMBER(SEARCH("minggu",C47))),IFERROR(_xlfn.NUMBERVALUE(SUBSTITUTE(LEFT(TRIM(C47),FIND(" ",TRIM(C47)&amp;" ")-1),",","."),"."),LEFT(SUBSTITUTE(LEFT(TRIM(C47),FIND(" ",TRIM(C47)&amp;" ")-1),",","."),FIND("/",SUBSTITUTE(LEFT(TRIM(C47),FIND(" ",TRIM(C47)&amp;" ")-1),",","."))-1)/MID(SUBSTITUTE(LEFT(TRIM(C47),FIND(" ",TRIM(C47)&amp;" ")-1),",","."),FIND("/",SUBSTITUTE(LEFT(TRIM(C47),FIND(" ",TRIM(C47)&amp;" ")-1),",","."))+1,9))*12/52,IF(ISNUMBER(SEARCH("month",C47)),IFERROR(_xlfn.NUMBERVALUE(SUBSTITUTE(LEFT(TRIM(C47),FIND(" ",TRIM(C47)&amp;" ")-1),",","."),"."),LEFT(SUBSTITUTE(LEFT(TRIM(C47),FIND(" ",TRIM(C47)&amp;" ")-1),",","."),FIND("/",SUBSTITUTE(LEFT(TRIM(C47),FIND(" ",TRIM(C47)&amp;" ")-1),",","."))-1)/MID(SUBSTITUTE(LEFT(TRIM(C47),FIND(" ",TRIM(C47)&amp;" ")-1),",","."),FIND("/",SUBSTITUTE(LEFT(TRIM(C47),FIND(" ",TRIM(C47)&amp;" ")-1),",","."))+1,9)),IF(ISNUMBER(SEARCH("yea",C47)),IFERROR(_xlfn.NUMBERVALUE(SUBSTITUTE(LEFT(TRIM(C47),FIND(" ",TRIM(C47)&amp;" ")-1),",","."),"."),LEFT(SUBSTITUTE(LEFT(TRIM(C47),FIND(" ",TRIM(C47)&amp;" ")-1),",","."),FIND("/",SUBSTITUTE(LEFT(TRIM(C47),FIND(" ",TRIM(C47)&amp;" ")-1),",","."))-1)/MID(SUBSTITUTE(LEFT(TRIM(C47),FIND(" ",TRIM(C47)&amp;" ")-1),",","."),FIND("/",SUBSTITUTE(LEFT(TRIM(C47),FIND(" ",TRIM(C47)&amp;" ")-1),",","."))+1,9))*12,NA()))),0),12)*'Aturan &amp; Tarif'!$B$4,2)</f>
        <v>681.36</v>
      </c>
      <c r="K47" s="32" t="n">
        <f aca="false">'Aturan &amp; Tarif'!$B$5</f>
        <v>2050</v>
      </c>
      <c r="L47" s="35" t="n">
        <f aca="false">I47+J47+K47</f>
        <v>15981.36</v>
      </c>
      <c r="M47" s="36" t="s">
        <v>449</v>
      </c>
    </row>
    <row r="48" customFormat="false" ht="25.5" hidden="false" customHeight="true" outlineLevel="0" collapsed="false">
      <c r="A48" s="29"/>
      <c r="B48" s="30" t="s">
        <v>450</v>
      </c>
      <c r="C48" s="31" t="s">
        <v>107</v>
      </c>
      <c r="D48" s="31" t="s">
        <v>108</v>
      </c>
      <c r="E48" s="32" t="n">
        <v>6250</v>
      </c>
      <c r="F48" s="32" t="n">
        <v>400</v>
      </c>
      <c r="G48" s="32" t="n">
        <v>350</v>
      </c>
      <c r="H48" s="33" t="n">
        <v>2</v>
      </c>
      <c r="I48" s="34" t="n">
        <f aca="false">E48*H48+N(F48)+N(G48)</f>
        <v>13250</v>
      </c>
      <c r="J48" s="32" t="n">
        <f aca="false">ROUND(IFERROR(ROUND(IF(OR(ISNUMBER(SEARCH("week",C48)),ISNUMBER(SEARCH("minggu",C48))),IFERROR(_xlfn.NUMBERVALUE(SUBSTITUTE(LEFT(TRIM(C48),FIND(" ",TRIM(C48)&amp;" ")-1),",","."),"."),LEFT(SUBSTITUTE(LEFT(TRIM(C48),FIND(" ",TRIM(C48)&amp;" ")-1),",","."),FIND("/",SUBSTITUTE(LEFT(TRIM(C48),FIND(" ",TRIM(C48)&amp;" ")-1),",","."))-1)/MID(SUBSTITUTE(LEFT(TRIM(C48),FIND(" ",TRIM(C48)&amp;" ")-1),",","."),FIND("/",SUBSTITUTE(LEFT(TRIM(C48),FIND(" ",TRIM(C48)&amp;" ")-1),",","."))+1,9))*12/52,IF(ISNUMBER(SEARCH("month",C48)),IFERROR(_xlfn.NUMBERVALUE(SUBSTITUTE(LEFT(TRIM(C48),FIND(" ",TRIM(C48)&amp;" ")-1),",","."),"."),LEFT(SUBSTITUTE(LEFT(TRIM(C48),FIND(" ",TRIM(C48)&amp;" ")-1),",","."),FIND("/",SUBSTITUTE(LEFT(TRIM(C48),FIND(" ",TRIM(C48)&amp;" ")-1),",","."))-1)/MID(SUBSTITUTE(LEFT(TRIM(C48),FIND(" ",TRIM(C48)&amp;" ")-1),",","."),FIND("/",SUBSTITUTE(LEFT(TRIM(C48),FIND(" ",TRIM(C48)&amp;" ")-1),",","."))+1,9)),IF(ISNUMBER(SEARCH("yea",C48)),IFERROR(_xlfn.NUMBERVALUE(SUBSTITUTE(LEFT(TRIM(C48),FIND(" ",TRIM(C48)&amp;" ")-1),",","."),"."),LEFT(SUBSTITUTE(LEFT(TRIM(C48),FIND(" ",TRIM(C48)&amp;" ")-1),",","."),FIND("/",SUBSTITUTE(LEFT(TRIM(C48),FIND(" ",TRIM(C48)&amp;" ")-1),",","."))-1)/MID(SUBSTITUTE(LEFT(TRIM(C48),FIND(" ",TRIM(C48)&amp;" ")-1),",","."),FIND("/",SUBSTITUTE(LEFT(TRIM(C48),FIND(" ",TRIM(C48)&amp;" ")-1),",","."))+1,9))*12,NA()))),0),24)*'Aturan &amp; Tarif'!$B$4,2)</f>
        <v>1362.72</v>
      </c>
      <c r="K48" s="32" t="n">
        <f aca="false">'Aturan &amp; Tarif'!$B$5</f>
        <v>2050</v>
      </c>
      <c r="L48" s="35" t="n">
        <f aca="false">I48+J48+K48</f>
        <v>16662.72</v>
      </c>
      <c r="M48" s="37" t="s">
        <v>451</v>
      </c>
    </row>
    <row r="49" customFormat="false" ht="60" hidden="false" customHeight="true" outlineLevel="0" collapsed="false">
      <c r="A49" s="29"/>
      <c r="B49" s="30" t="s">
        <v>452</v>
      </c>
      <c r="C49" s="31" t="s">
        <v>191</v>
      </c>
      <c r="D49" s="31" t="s">
        <v>108</v>
      </c>
      <c r="E49" s="32" t="n">
        <v>5000</v>
      </c>
      <c r="F49" s="32" t="n">
        <v>400</v>
      </c>
      <c r="G49" s="32" t="n">
        <v>350</v>
      </c>
      <c r="H49" s="33" t="n">
        <v>2</v>
      </c>
      <c r="I49" s="34" t="n">
        <f aca="false">E49*H49+N(F49)+N(G49)</f>
        <v>10750</v>
      </c>
      <c r="J49" s="32" t="n">
        <f aca="false">ROUND(IFERROR(ROUND(IF(OR(ISNUMBER(SEARCH("week",C49)),ISNUMBER(SEARCH("minggu",C49))),IFERROR(_xlfn.NUMBERVALUE(SUBSTITUTE(LEFT(TRIM(C49),FIND(" ",TRIM(C49)&amp;" ")-1),",","."),"."),LEFT(SUBSTITUTE(LEFT(TRIM(C49),FIND(" ",TRIM(C49)&amp;" ")-1),",","."),FIND("/",SUBSTITUTE(LEFT(TRIM(C49),FIND(" ",TRIM(C49)&amp;" ")-1),",","."))-1)/MID(SUBSTITUTE(LEFT(TRIM(C49),FIND(" ",TRIM(C49)&amp;" ")-1),",","."),FIND("/",SUBSTITUTE(LEFT(TRIM(C49),FIND(" ",TRIM(C49)&amp;" ")-1),",","."))+1,9))*12/52,IF(ISNUMBER(SEARCH("month",C49)),IFERROR(_xlfn.NUMBERVALUE(SUBSTITUTE(LEFT(TRIM(C49),FIND(" ",TRIM(C49)&amp;" ")-1),",","."),"."),LEFT(SUBSTITUTE(LEFT(TRIM(C49),FIND(" ",TRIM(C49)&amp;" ")-1),",","."),FIND("/",SUBSTITUTE(LEFT(TRIM(C49),FIND(" ",TRIM(C49)&amp;" ")-1),",","."))-1)/MID(SUBSTITUTE(LEFT(TRIM(C49),FIND(" ",TRIM(C49)&amp;" ")-1),",","."),FIND("/",SUBSTITUTE(LEFT(TRIM(C49),FIND(" ",TRIM(C49)&amp;" ")-1),",","."))+1,9)),IF(ISNUMBER(SEARCH("yea",C49)),IFERROR(_xlfn.NUMBERVALUE(SUBSTITUTE(LEFT(TRIM(C49),FIND(" ",TRIM(C49)&amp;" ")-1),",","."),"."),LEFT(SUBSTITUTE(LEFT(TRIM(C49),FIND(" ",TRIM(C49)&amp;" ")-1),",","."),FIND("/",SUBSTITUTE(LEFT(TRIM(C49),FIND(" ",TRIM(C49)&amp;" ")-1),",","."))-1)/MID(SUBSTITUTE(LEFT(TRIM(C49),FIND(" ",TRIM(C49)&amp;" ")-1),",","."),FIND("/",SUBSTITUTE(LEFT(TRIM(C49),FIND(" ",TRIM(C49)&amp;" ")-1),",","."))+1,9))*12,NA()))),0),48)*'Aturan &amp; Tarif'!$B$4,2)</f>
        <v>2725.44</v>
      </c>
      <c r="K49" s="32" t="n">
        <f aca="false">'Aturan &amp; Tarif'!$B$5</f>
        <v>2050</v>
      </c>
      <c r="L49" s="35" t="n">
        <f aca="false">I49+J49+K49</f>
        <v>15525.44</v>
      </c>
      <c r="M49" s="36" t="s">
        <v>453</v>
      </c>
    </row>
    <row r="50" customFormat="false" ht="37.5" hidden="false" customHeight="true" outlineLevel="0" collapsed="false">
      <c r="A50" s="29"/>
      <c r="B50" s="30" t="s">
        <v>349</v>
      </c>
      <c r="C50" s="31" t="s">
        <v>107</v>
      </c>
      <c r="D50" s="31" t="s">
        <v>108</v>
      </c>
      <c r="E50" s="32" t="n">
        <v>4400</v>
      </c>
      <c r="F50" s="32" t="n">
        <v>400</v>
      </c>
      <c r="G50" s="32" t="n">
        <v>350</v>
      </c>
      <c r="H50" s="33" t="n">
        <v>2</v>
      </c>
      <c r="I50" s="34" t="n">
        <f aca="false">E50*H50+N(F50)+N(G50)</f>
        <v>9550</v>
      </c>
      <c r="J50" s="32" t="n">
        <f aca="false">ROUND(IFERROR(ROUND(IF(OR(ISNUMBER(SEARCH("week",C50)),ISNUMBER(SEARCH("minggu",C50))),IFERROR(_xlfn.NUMBERVALUE(SUBSTITUTE(LEFT(TRIM(C50),FIND(" ",TRIM(C50)&amp;" ")-1),",","."),"."),LEFT(SUBSTITUTE(LEFT(TRIM(C50),FIND(" ",TRIM(C50)&amp;" ")-1),",","."),FIND("/",SUBSTITUTE(LEFT(TRIM(C50),FIND(" ",TRIM(C50)&amp;" ")-1),",","."))-1)/MID(SUBSTITUTE(LEFT(TRIM(C50),FIND(" ",TRIM(C50)&amp;" ")-1),",","."),FIND("/",SUBSTITUTE(LEFT(TRIM(C50),FIND(" ",TRIM(C50)&amp;" ")-1),",","."))+1,9))*12/52,IF(ISNUMBER(SEARCH("month",C50)),IFERROR(_xlfn.NUMBERVALUE(SUBSTITUTE(LEFT(TRIM(C50),FIND(" ",TRIM(C50)&amp;" ")-1),",","."),"."),LEFT(SUBSTITUTE(LEFT(TRIM(C50),FIND(" ",TRIM(C50)&amp;" ")-1),",","."),FIND("/",SUBSTITUTE(LEFT(TRIM(C50),FIND(" ",TRIM(C50)&amp;" ")-1),",","."))-1)/MID(SUBSTITUTE(LEFT(TRIM(C50),FIND(" ",TRIM(C50)&amp;" ")-1),",","."),FIND("/",SUBSTITUTE(LEFT(TRIM(C50),FIND(" ",TRIM(C50)&amp;" ")-1),",","."))+1,9)),IF(ISNUMBER(SEARCH("yea",C50)),IFERROR(_xlfn.NUMBERVALUE(SUBSTITUTE(LEFT(TRIM(C50),FIND(" ",TRIM(C50)&amp;" ")-1),",","."),"."),LEFT(SUBSTITUTE(LEFT(TRIM(C50),FIND(" ",TRIM(C50)&amp;" ")-1),",","."),FIND("/",SUBSTITUTE(LEFT(TRIM(C50),FIND(" ",TRIM(C50)&amp;" ")-1),",","."))-1)/MID(SUBSTITUTE(LEFT(TRIM(C50),FIND(" ",TRIM(C50)&amp;" ")-1),",","."),FIND("/",SUBSTITUTE(LEFT(TRIM(C50),FIND(" ",TRIM(C50)&amp;" ")-1),",","."))+1,9))*12,NA()))),0),24)*'Aturan &amp; Tarif'!$B$4,2)</f>
        <v>1362.72</v>
      </c>
      <c r="K50" s="32" t="n">
        <f aca="false">'Aturan &amp; Tarif'!$B$5</f>
        <v>2050</v>
      </c>
      <c r="L50" s="35" t="n">
        <f aca="false">I50+J50+K50</f>
        <v>12962.72</v>
      </c>
      <c r="M50" s="36" t="s">
        <v>670</v>
      </c>
    </row>
    <row r="51" customFormat="false" ht="37.5" hidden="false" customHeight="true" outlineLevel="0" collapsed="false">
      <c r="A51" s="29"/>
      <c r="B51" s="30" t="s">
        <v>348</v>
      </c>
      <c r="C51" s="31" t="s">
        <v>113</v>
      </c>
      <c r="D51" s="31" t="s">
        <v>108</v>
      </c>
      <c r="E51" s="32" t="n">
        <v>4400</v>
      </c>
      <c r="F51" s="32" t="n">
        <v>400</v>
      </c>
      <c r="G51" s="32" t="n">
        <v>350</v>
      </c>
      <c r="H51" s="33" t="n">
        <v>2</v>
      </c>
      <c r="I51" s="34" t="n">
        <f aca="false">E51*H51+N(F51)+N(G51)</f>
        <v>9550</v>
      </c>
      <c r="J51" s="32" t="n">
        <f aca="false">ROUND(IFERROR(ROUND(IF(OR(ISNUMBER(SEARCH("week",C51)),ISNUMBER(SEARCH("minggu",C51))),IFERROR(_xlfn.NUMBERVALUE(SUBSTITUTE(LEFT(TRIM(C51),FIND(" ",TRIM(C51)&amp;" ")-1),",","."),"."),LEFT(SUBSTITUTE(LEFT(TRIM(C51),FIND(" ",TRIM(C51)&amp;" ")-1),",","."),FIND("/",SUBSTITUTE(LEFT(TRIM(C51),FIND(" ",TRIM(C51)&amp;" ")-1),",","."))-1)/MID(SUBSTITUTE(LEFT(TRIM(C51),FIND(" ",TRIM(C51)&amp;" ")-1),",","."),FIND("/",SUBSTITUTE(LEFT(TRIM(C51),FIND(" ",TRIM(C51)&amp;" ")-1),",","."))+1,9))*12/52,IF(ISNUMBER(SEARCH("month",C51)),IFERROR(_xlfn.NUMBERVALUE(SUBSTITUTE(LEFT(TRIM(C51),FIND(" ",TRIM(C51)&amp;" ")-1),",","."),"."),LEFT(SUBSTITUTE(LEFT(TRIM(C51),FIND(" ",TRIM(C51)&amp;" ")-1),",","."),FIND("/",SUBSTITUTE(LEFT(TRIM(C51),FIND(" ",TRIM(C51)&amp;" ")-1),",","."))-1)/MID(SUBSTITUTE(LEFT(TRIM(C51),FIND(" ",TRIM(C51)&amp;" ")-1),",","."),FIND("/",SUBSTITUTE(LEFT(TRIM(C51),FIND(" ",TRIM(C51)&amp;" ")-1),",","."))+1,9)),IF(ISNUMBER(SEARCH("yea",C51)),IFERROR(_xlfn.NUMBERVALUE(SUBSTITUTE(LEFT(TRIM(C51),FIND(" ",TRIM(C51)&amp;" ")-1),",","."),"."),LEFT(SUBSTITUTE(LEFT(TRIM(C51),FIND(" ",TRIM(C51)&amp;" ")-1),",","."),FIND("/",SUBSTITUTE(LEFT(TRIM(C51),FIND(" ",TRIM(C51)&amp;" ")-1),",","."))-1)/MID(SUBSTITUTE(LEFT(TRIM(C51),FIND(" ",TRIM(C51)&amp;" ")-1),",","."),FIND("/",SUBSTITUTE(LEFT(TRIM(C51),FIND(" ",TRIM(C51)&amp;" ")-1),",","."))+1,9))*12,NA()))),0),18)*'Aturan &amp; Tarif'!$B$4,2)</f>
        <v>1022.04</v>
      </c>
      <c r="K51" s="32" t="n">
        <f aca="false">'Aturan &amp; Tarif'!$B$5</f>
        <v>2050</v>
      </c>
      <c r="L51" s="35" t="n">
        <f aca="false">I51+J51+K51</f>
        <v>12622.04</v>
      </c>
      <c r="M51" s="36" t="s">
        <v>671</v>
      </c>
    </row>
    <row r="52" customFormat="false" ht="37.5" hidden="false" customHeight="true" outlineLevel="0" collapsed="false">
      <c r="A52" s="29"/>
      <c r="B52" s="30" t="s">
        <v>460</v>
      </c>
      <c r="C52" s="31" t="s">
        <v>107</v>
      </c>
      <c r="D52" s="31" t="s">
        <v>108</v>
      </c>
      <c r="E52" s="32" t="n">
        <v>4400</v>
      </c>
      <c r="F52" s="32" t="n">
        <v>400</v>
      </c>
      <c r="G52" s="32" t="n">
        <v>350</v>
      </c>
      <c r="H52" s="33" t="n">
        <v>2</v>
      </c>
      <c r="I52" s="34" t="n">
        <f aca="false">E52*H52+N(F52)+N(G52)</f>
        <v>9550</v>
      </c>
      <c r="J52" s="32" t="n">
        <f aca="false">ROUND(IFERROR(ROUND(IF(OR(ISNUMBER(SEARCH("week",C52)),ISNUMBER(SEARCH("minggu",C52))),IFERROR(_xlfn.NUMBERVALUE(SUBSTITUTE(LEFT(TRIM(C52),FIND(" ",TRIM(C52)&amp;" ")-1),",","."),"."),LEFT(SUBSTITUTE(LEFT(TRIM(C52),FIND(" ",TRIM(C52)&amp;" ")-1),",","."),FIND("/",SUBSTITUTE(LEFT(TRIM(C52),FIND(" ",TRIM(C52)&amp;" ")-1),",","."))-1)/MID(SUBSTITUTE(LEFT(TRIM(C52),FIND(" ",TRIM(C52)&amp;" ")-1),",","."),FIND("/",SUBSTITUTE(LEFT(TRIM(C52),FIND(" ",TRIM(C52)&amp;" ")-1),",","."))+1,9))*12/52,IF(ISNUMBER(SEARCH("month",C52)),IFERROR(_xlfn.NUMBERVALUE(SUBSTITUTE(LEFT(TRIM(C52),FIND(" ",TRIM(C52)&amp;" ")-1),",","."),"."),LEFT(SUBSTITUTE(LEFT(TRIM(C52),FIND(" ",TRIM(C52)&amp;" ")-1),",","."),FIND("/",SUBSTITUTE(LEFT(TRIM(C52),FIND(" ",TRIM(C52)&amp;" ")-1),",","."))-1)/MID(SUBSTITUTE(LEFT(TRIM(C52),FIND(" ",TRIM(C52)&amp;" ")-1),",","."),FIND("/",SUBSTITUTE(LEFT(TRIM(C52),FIND(" ",TRIM(C52)&amp;" ")-1),",","."))+1,9)),IF(ISNUMBER(SEARCH("yea",C52)),IFERROR(_xlfn.NUMBERVALUE(SUBSTITUTE(LEFT(TRIM(C52),FIND(" ",TRIM(C52)&amp;" ")-1),",","."),"."),LEFT(SUBSTITUTE(LEFT(TRIM(C52),FIND(" ",TRIM(C52)&amp;" ")-1),",","."),FIND("/",SUBSTITUTE(LEFT(TRIM(C52),FIND(" ",TRIM(C52)&amp;" ")-1),",","."))-1)/MID(SUBSTITUTE(LEFT(TRIM(C52),FIND(" ",TRIM(C52)&amp;" ")-1),",","."),FIND("/",SUBSTITUTE(LEFT(TRIM(C52),FIND(" ",TRIM(C52)&amp;" ")-1),",","."))+1,9))*12,NA()))),0),24)*'Aturan &amp; Tarif'!$B$4,2)</f>
        <v>1362.72</v>
      </c>
      <c r="K52" s="32" t="n">
        <f aca="false">'Aturan &amp; Tarif'!$B$5</f>
        <v>2050</v>
      </c>
      <c r="L52" s="35" t="n">
        <f aca="false">I52+J52+K52</f>
        <v>12962.72</v>
      </c>
      <c r="M52" s="36" t="s">
        <v>671</v>
      </c>
    </row>
    <row r="53" customFormat="false" ht="48.75" hidden="false" customHeight="true" outlineLevel="0" collapsed="false">
      <c r="A53" s="39" t="s">
        <v>672</v>
      </c>
      <c r="B53" s="40" t="s">
        <v>471</v>
      </c>
      <c r="C53" s="41" t="s">
        <v>113</v>
      </c>
      <c r="D53" s="41" t="s">
        <v>108</v>
      </c>
      <c r="E53" s="42" t="n">
        <v>2167</v>
      </c>
      <c r="F53" s="42" t="n">
        <v>2000</v>
      </c>
      <c r="G53" s="42" t="n">
        <v>250</v>
      </c>
      <c r="H53" s="43" t="n">
        <v>1</v>
      </c>
      <c r="I53" s="34" t="n">
        <f aca="false">E53*H53+N(F53)+N(G53)</f>
        <v>4417</v>
      </c>
      <c r="J53" s="42" t="n">
        <f aca="false">ROUND(IFERROR(ROUND(IF(OR(ISNUMBER(SEARCH("week",C53)),ISNUMBER(SEARCH("minggu",C53))),IFERROR(_xlfn.NUMBERVALUE(SUBSTITUTE(LEFT(TRIM(C53),FIND(" ",TRIM(C53)&amp;" ")-1),",","."),"."),LEFT(SUBSTITUTE(LEFT(TRIM(C53),FIND(" ",TRIM(C53)&amp;" ")-1),",","."),FIND("/",SUBSTITUTE(LEFT(TRIM(C53),FIND(" ",TRIM(C53)&amp;" ")-1),",","."))-1)/MID(SUBSTITUTE(LEFT(TRIM(C53),FIND(" ",TRIM(C53)&amp;" ")-1),",","."),FIND("/",SUBSTITUTE(LEFT(TRIM(C53),FIND(" ",TRIM(C53)&amp;" ")-1),",","."))+1,9))*12/52,IF(ISNUMBER(SEARCH("month",C53)),IFERROR(_xlfn.NUMBERVALUE(SUBSTITUTE(LEFT(TRIM(C53),FIND(" ",TRIM(C53)&amp;" ")-1),",","."),"."),LEFT(SUBSTITUTE(LEFT(TRIM(C53),FIND(" ",TRIM(C53)&amp;" ")-1),",","."),FIND("/",SUBSTITUTE(LEFT(TRIM(C53),FIND(" ",TRIM(C53)&amp;" ")-1),",","."))-1)/MID(SUBSTITUTE(LEFT(TRIM(C53),FIND(" ",TRIM(C53)&amp;" ")-1),",","."),FIND("/",SUBSTITUTE(LEFT(TRIM(C53),FIND(" ",TRIM(C53)&amp;" ")-1),",","."))+1,9)),IF(ISNUMBER(SEARCH("yea",C53)),IFERROR(_xlfn.NUMBERVALUE(SUBSTITUTE(LEFT(TRIM(C53),FIND(" ",TRIM(C53)&amp;" ")-1),",","."),"."),LEFT(SUBSTITUTE(LEFT(TRIM(C53),FIND(" ",TRIM(C53)&amp;" ")-1),",","."),FIND("/",SUBSTITUTE(LEFT(TRIM(C53),FIND(" ",TRIM(C53)&amp;" ")-1),",","."))-1)/MID(SUBSTITUTE(LEFT(TRIM(C53),FIND(" ",TRIM(C53)&amp;" ")-1),",","."),FIND("/",SUBSTITUTE(LEFT(TRIM(C53),FIND(" ",TRIM(C53)&amp;" ")-1),",","."))+1,9))*12,NA()))),0),18)*'Aturan &amp; Tarif'!$B$4,2)</f>
        <v>1022.04</v>
      </c>
      <c r="K53" s="42" t="n">
        <f aca="false">'Aturan &amp; Tarif'!$B$5</f>
        <v>2050</v>
      </c>
      <c r="L53" s="35" t="n">
        <f aca="false">I53+J53+K53</f>
        <v>7489.04</v>
      </c>
      <c r="M53" s="45" t="s">
        <v>134</v>
      </c>
    </row>
    <row r="54" customFormat="false" ht="14.25" hidden="false" customHeight="true" outlineLevel="0" collapsed="false">
      <c r="A54" s="39"/>
      <c r="B54" s="40" t="s">
        <v>673</v>
      </c>
      <c r="C54" s="41" t="s">
        <v>113</v>
      </c>
      <c r="D54" s="41" t="s">
        <v>108</v>
      </c>
      <c r="E54" s="42" t="n">
        <v>2083</v>
      </c>
      <c r="F54" s="42" t="n">
        <v>2000</v>
      </c>
      <c r="G54" s="42" t="n">
        <v>250</v>
      </c>
      <c r="H54" s="43" t="n">
        <v>1</v>
      </c>
      <c r="I54" s="34" t="n">
        <f aca="false">E54*H54+N(F54)+N(G54)</f>
        <v>4333</v>
      </c>
      <c r="J54" s="42" t="n">
        <f aca="false">ROUND(IFERROR(ROUND(IF(OR(ISNUMBER(SEARCH("week",C54)),ISNUMBER(SEARCH("minggu",C54))),IFERROR(_xlfn.NUMBERVALUE(SUBSTITUTE(LEFT(TRIM(C54),FIND(" ",TRIM(C54)&amp;" ")-1),",","."),"."),LEFT(SUBSTITUTE(LEFT(TRIM(C54),FIND(" ",TRIM(C54)&amp;" ")-1),",","."),FIND("/",SUBSTITUTE(LEFT(TRIM(C54),FIND(" ",TRIM(C54)&amp;" ")-1),",","."))-1)/MID(SUBSTITUTE(LEFT(TRIM(C54),FIND(" ",TRIM(C54)&amp;" ")-1),",","."),FIND("/",SUBSTITUTE(LEFT(TRIM(C54),FIND(" ",TRIM(C54)&amp;" ")-1),",","."))+1,9))*12/52,IF(ISNUMBER(SEARCH("month",C54)),IFERROR(_xlfn.NUMBERVALUE(SUBSTITUTE(LEFT(TRIM(C54),FIND(" ",TRIM(C54)&amp;" ")-1),",","."),"."),LEFT(SUBSTITUTE(LEFT(TRIM(C54),FIND(" ",TRIM(C54)&amp;" ")-1),",","."),FIND("/",SUBSTITUTE(LEFT(TRIM(C54),FIND(" ",TRIM(C54)&amp;" ")-1),",","."))-1)/MID(SUBSTITUTE(LEFT(TRIM(C54),FIND(" ",TRIM(C54)&amp;" ")-1),",","."),FIND("/",SUBSTITUTE(LEFT(TRIM(C54),FIND(" ",TRIM(C54)&amp;" ")-1),",","."))+1,9)),IF(ISNUMBER(SEARCH("yea",C54)),IFERROR(_xlfn.NUMBERVALUE(SUBSTITUTE(LEFT(TRIM(C54),FIND(" ",TRIM(C54)&amp;" ")-1),",","."),"."),LEFT(SUBSTITUTE(LEFT(TRIM(C54),FIND(" ",TRIM(C54)&amp;" ")-1),",","."),FIND("/",SUBSTITUTE(LEFT(TRIM(C54),FIND(" ",TRIM(C54)&amp;" ")-1),",","."))-1)/MID(SUBSTITUTE(LEFT(TRIM(C54),FIND(" ",TRIM(C54)&amp;" ")-1),",","."),FIND("/",SUBSTITUTE(LEFT(TRIM(C54),FIND(" ",TRIM(C54)&amp;" ")-1),",","."))+1,9))*12,NA()))),0),18)*'Aturan &amp; Tarif'!$B$4,2)</f>
        <v>1022.04</v>
      </c>
      <c r="K54" s="42" t="n">
        <f aca="false">'Aturan &amp; Tarif'!$B$5</f>
        <v>2050</v>
      </c>
      <c r="L54" s="35" t="n">
        <f aca="false">I54+J54+K54</f>
        <v>7405.04</v>
      </c>
      <c r="M54" s="45" t="s">
        <v>134</v>
      </c>
    </row>
    <row r="55" customFormat="false" ht="14.25" hidden="false" customHeight="true" outlineLevel="0" collapsed="false">
      <c r="A55" s="39"/>
      <c r="B55" s="40" t="s">
        <v>674</v>
      </c>
      <c r="C55" s="41" t="s">
        <v>107</v>
      </c>
      <c r="D55" s="41" t="s">
        <v>108</v>
      </c>
      <c r="E55" s="42" t="n">
        <v>2544</v>
      </c>
      <c r="F55" s="42" t="n">
        <v>2500</v>
      </c>
      <c r="G55" s="42" t="n">
        <v>250</v>
      </c>
      <c r="H55" s="43" t="n">
        <v>1</v>
      </c>
      <c r="I55" s="34" t="n">
        <f aca="false">E55*H55+N(F55)+N(G55)</f>
        <v>5294</v>
      </c>
      <c r="J55" s="42" t="n">
        <f aca="false">ROUND(IFERROR(ROUND(IF(OR(ISNUMBER(SEARCH("week",C55)),ISNUMBER(SEARCH("minggu",C55))),IFERROR(_xlfn.NUMBERVALUE(SUBSTITUTE(LEFT(TRIM(C55),FIND(" ",TRIM(C55)&amp;" ")-1),",","."),"."),LEFT(SUBSTITUTE(LEFT(TRIM(C55),FIND(" ",TRIM(C55)&amp;" ")-1),",","."),FIND("/",SUBSTITUTE(LEFT(TRIM(C55),FIND(" ",TRIM(C55)&amp;" ")-1),",","."))-1)/MID(SUBSTITUTE(LEFT(TRIM(C55),FIND(" ",TRIM(C55)&amp;" ")-1),",","."),FIND("/",SUBSTITUTE(LEFT(TRIM(C55),FIND(" ",TRIM(C55)&amp;" ")-1),",","."))+1,9))*12/52,IF(ISNUMBER(SEARCH("month",C55)),IFERROR(_xlfn.NUMBERVALUE(SUBSTITUTE(LEFT(TRIM(C55),FIND(" ",TRIM(C55)&amp;" ")-1),",","."),"."),LEFT(SUBSTITUTE(LEFT(TRIM(C55),FIND(" ",TRIM(C55)&amp;" ")-1),",","."),FIND("/",SUBSTITUTE(LEFT(TRIM(C55),FIND(" ",TRIM(C55)&amp;" ")-1),",","."))-1)/MID(SUBSTITUTE(LEFT(TRIM(C55),FIND(" ",TRIM(C55)&amp;" ")-1),",","."),FIND("/",SUBSTITUTE(LEFT(TRIM(C55),FIND(" ",TRIM(C55)&amp;" ")-1),",","."))+1,9)),IF(ISNUMBER(SEARCH("yea",C55)),IFERROR(_xlfn.NUMBERVALUE(SUBSTITUTE(LEFT(TRIM(C55),FIND(" ",TRIM(C55)&amp;" ")-1),",","."),"."),LEFT(SUBSTITUTE(LEFT(TRIM(C55),FIND(" ",TRIM(C55)&amp;" ")-1),",","."),FIND("/",SUBSTITUTE(LEFT(TRIM(C55),FIND(" ",TRIM(C55)&amp;" ")-1),",","."))-1)/MID(SUBSTITUTE(LEFT(TRIM(C55),FIND(" ",TRIM(C55)&amp;" ")-1),",","."),FIND("/",SUBSTITUTE(LEFT(TRIM(C55),FIND(" ",TRIM(C55)&amp;" ")-1),",","."))+1,9))*12,NA()))),0),24)*'Aturan &amp; Tarif'!$B$4,2)</f>
        <v>1362.72</v>
      </c>
      <c r="K55" s="42" t="n">
        <f aca="false">'Aturan &amp; Tarif'!$B$5</f>
        <v>2050</v>
      </c>
      <c r="L55" s="35" t="n">
        <f aca="false">I55+J55+K55</f>
        <v>8706.72</v>
      </c>
      <c r="M55" s="45" t="s">
        <v>134</v>
      </c>
    </row>
    <row r="56" customFormat="false" ht="14.25" hidden="false" customHeight="true" outlineLevel="0" collapsed="false">
      <c r="A56" s="39"/>
      <c r="B56" s="40" t="s">
        <v>675</v>
      </c>
      <c r="C56" s="41" t="s">
        <v>107</v>
      </c>
      <c r="D56" s="41" t="s">
        <v>108</v>
      </c>
      <c r="E56" s="42" t="n">
        <v>2563</v>
      </c>
      <c r="F56" s="42" t="n">
        <v>1000</v>
      </c>
      <c r="G56" s="42" t="n">
        <v>250</v>
      </c>
      <c r="H56" s="43" t="n">
        <v>1</v>
      </c>
      <c r="I56" s="34" t="n">
        <f aca="false">E56*H56+N(F56)+N(G56)</f>
        <v>3813</v>
      </c>
      <c r="J56" s="42" t="n">
        <f aca="false">ROUND(IFERROR(ROUND(IF(OR(ISNUMBER(SEARCH("week",C56)),ISNUMBER(SEARCH("minggu",C56))),IFERROR(_xlfn.NUMBERVALUE(SUBSTITUTE(LEFT(TRIM(C56),FIND(" ",TRIM(C56)&amp;" ")-1),",","."),"."),LEFT(SUBSTITUTE(LEFT(TRIM(C56),FIND(" ",TRIM(C56)&amp;" ")-1),",","."),FIND("/",SUBSTITUTE(LEFT(TRIM(C56),FIND(" ",TRIM(C56)&amp;" ")-1),",","."))-1)/MID(SUBSTITUTE(LEFT(TRIM(C56),FIND(" ",TRIM(C56)&amp;" ")-1),",","."),FIND("/",SUBSTITUTE(LEFT(TRIM(C56),FIND(" ",TRIM(C56)&amp;" ")-1),",","."))+1,9))*12/52,IF(ISNUMBER(SEARCH("month",C56)),IFERROR(_xlfn.NUMBERVALUE(SUBSTITUTE(LEFT(TRIM(C56),FIND(" ",TRIM(C56)&amp;" ")-1),",","."),"."),LEFT(SUBSTITUTE(LEFT(TRIM(C56),FIND(" ",TRIM(C56)&amp;" ")-1),",","."),FIND("/",SUBSTITUTE(LEFT(TRIM(C56),FIND(" ",TRIM(C56)&amp;" ")-1),",","."))-1)/MID(SUBSTITUTE(LEFT(TRIM(C56),FIND(" ",TRIM(C56)&amp;" ")-1),",","."),FIND("/",SUBSTITUTE(LEFT(TRIM(C56),FIND(" ",TRIM(C56)&amp;" ")-1),",","."))+1,9)),IF(ISNUMBER(SEARCH("yea",C56)),IFERROR(_xlfn.NUMBERVALUE(SUBSTITUTE(LEFT(TRIM(C56),FIND(" ",TRIM(C56)&amp;" ")-1),",","."),"."),LEFT(SUBSTITUTE(LEFT(TRIM(C56),FIND(" ",TRIM(C56)&amp;" ")-1),",","."),FIND("/",SUBSTITUTE(LEFT(TRIM(C56),FIND(" ",TRIM(C56)&amp;" ")-1),",","."))-1)/MID(SUBSTITUTE(LEFT(TRIM(C56),FIND(" ",TRIM(C56)&amp;" ")-1),",","."),FIND("/",SUBSTITUTE(LEFT(TRIM(C56),FIND(" ",TRIM(C56)&amp;" ")-1),",","."))+1,9))*12,NA()))),0),24)*'Aturan &amp; Tarif'!$B$4,2)</f>
        <v>1362.72</v>
      </c>
      <c r="K56" s="42" t="n">
        <f aca="false">'Aturan &amp; Tarif'!$B$5</f>
        <v>2050</v>
      </c>
      <c r="L56" s="35" t="n">
        <f aca="false">I56+J56+K56</f>
        <v>7225.72</v>
      </c>
      <c r="M56" s="45" t="s">
        <v>134</v>
      </c>
    </row>
    <row r="57" customFormat="false" ht="14.25" hidden="false" customHeight="true" outlineLevel="0" collapsed="false">
      <c r="A57" s="39"/>
      <c r="B57" s="40" t="s">
        <v>676</v>
      </c>
      <c r="C57" s="41" t="s">
        <v>107</v>
      </c>
      <c r="D57" s="41" t="s">
        <v>108</v>
      </c>
      <c r="E57" s="42" t="n">
        <v>2688</v>
      </c>
      <c r="F57" s="42" t="n">
        <v>1000</v>
      </c>
      <c r="G57" s="42" t="n">
        <v>250</v>
      </c>
      <c r="H57" s="43" t="n">
        <v>1</v>
      </c>
      <c r="I57" s="34" t="n">
        <f aca="false">E57*H57+N(F57)+N(G57)</f>
        <v>3938</v>
      </c>
      <c r="J57" s="42" t="n">
        <f aca="false">ROUND(IFERROR(ROUND(IF(OR(ISNUMBER(SEARCH("week",C57)),ISNUMBER(SEARCH("minggu",C57))),IFERROR(_xlfn.NUMBERVALUE(SUBSTITUTE(LEFT(TRIM(C57),FIND(" ",TRIM(C57)&amp;" ")-1),",","."),"."),LEFT(SUBSTITUTE(LEFT(TRIM(C57),FIND(" ",TRIM(C57)&amp;" ")-1),",","."),FIND("/",SUBSTITUTE(LEFT(TRIM(C57),FIND(" ",TRIM(C57)&amp;" ")-1),",","."))-1)/MID(SUBSTITUTE(LEFT(TRIM(C57),FIND(" ",TRIM(C57)&amp;" ")-1),",","."),FIND("/",SUBSTITUTE(LEFT(TRIM(C57),FIND(" ",TRIM(C57)&amp;" ")-1),",","."))+1,9))*12/52,IF(ISNUMBER(SEARCH("month",C57)),IFERROR(_xlfn.NUMBERVALUE(SUBSTITUTE(LEFT(TRIM(C57),FIND(" ",TRIM(C57)&amp;" ")-1),",","."),"."),LEFT(SUBSTITUTE(LEFT(TRIM(C57),FIND(" ",TRIM(C57)&amp;" ")-1),",","."),FIND("/",SUBSTITUTE(LEFT(TRIM(C57),FIND(" ",TRIM(C57)&amp;" ")-1),",","."))-1)/MID(SUBSTITUTE(LEFT(TRIM(C57),FIND(" ",TRIM(C57)&amp;" ")-1),",","."),FIND("/",SUBSTITUTE(LEFT(TRIM(C57),FIND(" ",TRIM(C57)&amp;" ")-1),",","."))+1,9)),IF(ISNUMBER(SEARCH("yea",C57)),IFERROR(_xlfn.NUMBERVALUE(SUBSTITUTE(LEFT(TRIM(C57),FIND(" ",TRIM(C57)&amp;" ")-1),",","."),"."),LEFT(SUBSTITUTE(LEFT(TRIM(C57),FIND(" ",TRIM(C57)&amp;" ")-1),",","."),FIND("/",SUBSTITUTE(LEFT(TRIM(C57),FIND(" ",TRIM(C57)&amp;" ")-1),",","."))-1)/MID(SUBSTITUTE(LEFT(TRIM(C57),FIND(" ",TRIM(C57)&amp;" ")-1),",","."),FIND("/",SUBSTITUTE(LEFT(TRIM(C57),FIND(" ",TRIM(C57)&amp;" ")-1),",","."))+1,9))*12,NA()))),0),24)*'Aturan &amp; Tarif'!$B$4,2)</f>
        <v>1362.72</v>
      </c>
      <c r="K57" s="42" t="n">
        <f aca="false">'Aturan &amp; Tarif'!$B$5</f>
        <v>2050</v>
      </c>
      <c r="L57" s="35" t="n">
        <f aca="false">I57+J57+K57</f>
        <v>7350.72</v>
      </c>
      <c r="M57" s="45" t="s">
        <v>134</v>
      </c>
    </row>
    <row r="58" customFormat="false" ht="25.5" hidden="false" customHeight="true" outlineLevel="0" collapsed="false">
      <c r="A58" s="39"/>
      <c r="B58" s="40" t="s">
        <v>677</v>
      </c>
      <c r="C58" s="41" t="s">
        <v>138</v>
      </c>
      <c r="D58" s="41" t="s">
        <v>108</v>
      </c>
      <c r="E58" s="42" t="n">
        <v>2167</v>
      </c>
      <c r="F58" s="42" t="n">
        <v>2000</v>
      </c>
      <c r="G58" s="42" t="n">
        <v>250</v>
      </c>
      <c r="H58" s="43" t="n">
        <v>1</v>
      </c>
      <c r="I58" s="34" t="n">
        <f aca="false">E58*H58+N(F58)+N(G58)</f>
        <v>4417</v>
      </c>
      <c r="J58" s="42" t="n">
        <f aca="false">ROUND(IFERROR(ROUND(IF(OR(ISNUMBER(SEARCH("week",C58)),ISNUMBER(SEARCH("minggu",C58))),IFERROR(_xlfn.NUMBERVALUE(SUBSTITUTE(LEFT(TRIM(C58),FIND(" ",TRIM(C58)&amp;" ")-1),",","."),"."),LEFT(SUBSTITUTE(LEFT(TRIM(C58),FIND(" ",TRIM(C58)&amp;" ")-1),",","."),FIND("/",SUBSTITUTE(LEFT(TRIM(C58),FIND(" ",TRIM(C58)&amp;" ")-1),",","."))-1)/MID(SUBSTITUTE(LEFT(TRIM(C58),FIND(" ",TRIM(C58)&amp;" ")-1),",","."),FIND("/",SUBSTITUTE(LEFT(TRIM(C58),FIND(" ",TRIM(C58)&amp;" ")-1),",","."))+1,9))*12/52,IF(ISNUMBER(SEARCH("month",C58)),IFERROR(_xlfn.NUMBERVALUE(SUBSTITUTE(LEFT(TRIM(C58),FIND(" ",TRIM(C58)&amp;" ")-1),",","."),"."),LEFT(SUBSTITUTE(LEFT(TRIM(C58),FIND(" ",TRIM(C58)&amp;" ")-1),",","."),FIND("/",SUBSTITUTE(LEFT(TRIM(C58),FIND(" ",TRIM(C58)&amp;" ")-1),",","."))-1)/MID(SUBSTITUTE(LEFT(TRIM(C58),FIND(" ",TRIM(C58)&amp;" ")-1),",","."),FIND("/",SUBSTITUTE(LEFT(TRIM(C58),FIND(" ",TRIM(C58)&amp;" ")-1),",","."))+1,9)),IF(ISNUMBER(SEARCH("yea",C58)),IFERROR(_xlfn.NUMBERVALUE(SUBSTITUTE(LEFT(TRIM(C58),FIND(" ",TRIM(C58)&amp;" ")-1),",","."),"."),LEFT(SUBSTITUTE(LEFT(TRIM(C58),FIND(" ",TRIM(C58)&amp;" ")-1),",","."),FIND("/",SUBSTITUTE(LEFT(TRIM(C58),FIND(" ",TRIM(C58)&amp;" ")-1),",","."))-1)/MID(SUBSTITUTE(LEFT(TRIM(C58),FIND(" ",TRIM(C58)&amp;" ")-1),",","."),FIND("/",SUBSTITUTE(LEFT(TRIM(C58),FIND(" ",TRIM(C58)&amp;" ")-1),",","."))+1,9))*12,NA()))),0),30)*'Aturan &amp; Tarif'!$B$4,2)</f>
        <v>1703.4</v>
      </c>
      <c r="K58" s="42" t="n">
        <f aca="false">'Aturan &amp; Tarif'!$B$5</f>
        <v>2050</v>
      </c>
      <c r="L58" s="35" t="n">
        <f aca="false">I58+J58+K58</f>
        <v>8170.4</v>
      </c>
      <c r="M58" s="44" t="s">
        <v>131</v>
      </c>
    </row>
    <row r="59" customFormat="false" ht="37.5" hidden="false" customHeight="true" outlineLevel="0" collapsed="false">
      <c r="A59" s="39"/>
      <c r="B59" s="40" t="s">
        <v>678</v>
      </c>
      <c r="C59" s="41" t="s">
        <v>138</v>
      </c>
      <c r="D59" s="41" t="s">
        <v>108</v>
      </c>
      <c r="E59" s="42" t="n">
        <v>2083</v>
      </c>
      <c r="F59" s="42" t="n">
        <v>2000</v>
      </c>
      <c r="G59" s="42" t="n">
        <v>250</v>
      </c>
      <c r="H59" s="43" t="n">
        <v>1</v>
      </c>
      <c r="I59" s="34" t="n">
        <f aca="false">E59*H59+N(F59)+N(G59)</f>
        <v>4333</v>
      </c>
      <c r="J59" s="42" t="n">
        <f aca="false">ROUND(IFERROR(ROUND(IF(OR(ISNUMBER(SEARCH("week",C59)),ISNUMBER(SEARCH("minggu",C59))),IFERROR(_xlfn.NUMBERVALUE(SUBSTITUTE(LEFT(TRIM(C59),FIND(" ",TRIM(C59)&amp;" ")-1),",","."),"."),LEFT(SUBSTITUTE(LEFT(TRIM(C59),FIND(" ",TRIM(C59)&amp;" ")-1),",","."),FIND("/",SUBSTITUTE(LEFT(TRIM(C59),FIND(" ",TRIM(C59)&amp;" ")-1),",","."))-1)/MID(SUBSTITUTE(LEFT(TRIM(C59),FIND(" ",TRIM(C59)&amp;" ")-1),",","."),FIND("/",SUBSTITUTE(LEFT(TRIM(C59),FIND(" ",TRIM(C59)&amp;" ")-1),",","."))+1,9))*12/52,IF(ISNUMBER(SEARCH("month",C59)),IFERROR(_xlfn.NUMBERVALUE(SUBSTITUTE(LEFT(TRIM(C59),FIND(" ",TRIM(C59)&amp;" ")-1),",","."),"."),LEFT(SUBSTITUTE(LEFT(TRIM(C59),FIND(" ",TRIM(C59)&amp;" ")-1),",","."),FIND("/",SUBSTITUTE(LEFT(TRIM(C59),FIND(" ",TRIM(C59)&amp;" ")-1),",","."))-1)/MID(SUBSTITUTE(LEFT(TRIM(C59),FIND(" ",TRIM(C59)&amp;" ")-1),",","."),FIND("/",SUBSTITUTE(LEFT(TRIM(C59),FIND(" ",TRIM(C59)&amp;" ")-1),",","."))+1,9)),IF(ISNUMBER(SEARCH("yea",C59)),IFERROR(_xlfn.NUMBERVALUE(SUBSTITUTE(LEFT(TRIM(C59),FIND(" ",TRIM(C59)&amp;" ")-1),",","."),"."),LEFT(SUBSTITUTE(LEFT(TRIM(C59),FIND(" ",TRIM(C59)&amp;" ")-1),",","."),FIND("/",SUBSTITUTE(LEFT(TRIM(C59),FIND(" ",TRIM(C59)&amp;" ")-1),",","."))-1)/MID(SUBSTITUTE(LEFT(TRIM(C59),FIND(" ",TRIM(C59)&amp;" ")-1),",","."),FIND("/",SUBSTITUTE(LEFT(TRIM(C59),FIND(" ",TRIM(C59)&amp;" ")-1),",","."))+1,9))*12,NA()))),0),30)*'Aturan &amp; Tarif'!$B$4,2)</f>
        <v>1703.4</v>
      </c>
      <c r="K59" s="42" t="n">
        <f aca="false">'Aturan &amp; Tarif'!$B$5</f>
        <v>2050</v>
      </c>
      <c r="L59" s="35" t="n">
        <f aca="false">I59+J59+K59</f>
        <v>8086.4</v>
      </c>
      <c r="M59" s="44" t="s">
        <v>131</v>
      </c>
    </row>
    <row r="60" customFormat="false" ht="37.5" hidden="false" customHeight="true" outlineLevel="0" collapsed="false">
      <c r="A60" s="39"/>
      <c r="B60" s="40" t="s">
        <v>679</v>
      </c>
      <c r="C60" s="41" t="s">
        <v>138</v>
      </c>
      <c r="D60" s="41" t="s">
        <v>108</v>
      </c>
      <c r="E60" s="42" t="n">
        <v>2167</v>
      </c>
      <c r="F60" s="42" t="n">
        <v>2000</v>
      </c>
      <c r="G60" s="42" t="n">
        <v>250</v>
      </c>
      <c r="H60" s="43" t="n">
        <v>1</v>
      </c>
      <c r="I60" s="34" t="n">
        <f aca="false">E60*H60+N(F60)+N(G60)</f>
        <v>4417</v>
      </c>
      <c r="J60" s="42" t="n">
        <f aca="false">ROUND(IFERROR(ROUND(IF(OR(ISNUMBER(SEARCH("week",C60)),ISNUMBER(SEARCH("minggu",C60))),IFERROR(_xlfn.NUMBERVALUE(SUBSTITUTE(LEFT(TRIM(C60),FIND(" ",TRIM(C60)&amp;" ")-1),",","."),"."),LEFT(SUBSTITUTE(LEFT(TRIM(C60),FIND(" ",TRIM(C60)&amp;" ")-1),",","."),FIND("/",SUBSTITUTE(LEFT(TRIM(C60),FIND(" ",TRIM(C60)&amp;" ")-1),",","."))-1)/MID(SUBSTITUTE(LEFT(TRIM(C60),FIND(" ",TRIM(C60)&amp;" ")-1),",","."),FIND("/",SUBSTITUTE(LEFT(TRIM(C60),FIND(" ",TRIM(C60)&amp;" ")-1),",","."))+1,9))*12/52,IF(ISNUMBER(SEARCH("month",C60)),IFERROR(_xlfn.NUMBERVALUE(SUBSTITUTE(LEFT(TRIM(C60),FIND(" ",TRIM(C60)&amp;" ")-1),",","."),"."),LEFT(SUBSTITUTE(LEFT(TRIM(C60),FIND(" ",TRIM(C60)&amp;" ")-1),",","."),FIND("/",SUBSTITUTE(LEFT(TRIM(C60),FIND(" ",TRIM(C60)&amp;" ")-1),",","."))-1)/MID(SUBSTITUTE(LEFT(TRIM(C60),FIND(" ",TRIM(C60)&amp;" ")-1),",","."),FIND("/",SUBSTITUTE(LEFT(TRIM(C60),FIND(" ",TRIM(C60)&amp;" ")-1),",","."))+1,9)),IF(ISNUMBER(SEARCH("yea",C60)),IFERROR(_xlfn.NUMBERVALUE(SUBSTITUTE(LEFT(TRIM(C60),FIND(" ",TRIM(C60)&amp;" ")-1),",","."),"."),LEFT(SUBSTITUTE(LEFT(TRIM(C60),FIND(" ",TRIM(C60)&amp;" ")-1),",","."),FIND("/",SUBSTITUTE(LEFT(TRIM(C60),FIND(" ",TRIM(C60)&amp;" ")-1),",","."))-1)/MID(SUBSTITUTE(LEFT(TRIM(C60),FIND(" ",TRIM(C60)&amp;" ")-1),",","."),FIND("/",SUBSTITUTE(LEFT(TRIM(C60),FIND(" ",TRIM(C60)&amp;" ")-1),",","."))+1,9))*12,NA()))),0),30)*'Aturan &amp; Tarif'!$B$4,2)</f>
        <v>1703.4</v>
      </c>
      <c r="K60" s="42" t="n">
        <f aca="false">'Aturan &amp; Tarif'!$B$5</f>
        <v>2050</v>
      </c>
      <c r="L60" s="35" t="n">
        <f aca="false">I60+J60+K60</f>
        <v>8170.4</v>
      </c>
      <c r="M60" s="44" t="s">
        <v>131</v>
      </c>
    </row>
    <row r="61" customFormat="false" ht="37.5" hidden="false" customHeight="true" outlineLevel="0" collapsed="false">
      <c r="A61" s="39"/>
      <c r="B61" s="40" t="s">
        <v>680</v>
      </c>
      <c r="C61" s="41" t="s">
        <v>138</v>
      </c>
      <c r="D61" s="41" t="s">
        <v>108</v>
      </c>
      <c r="E61" s="42" t="n">
        <v>2083</v>
      </c>
      <c r="F61" s="42" t="n">
        <v>2000</v>
      </c>
      <c r="G61" s="42" t="n">
        <v>250</v>
      </c>
      <c r="H61" s="43" t="n">
        <v>1</v>
      </c>
      <c r="I61" s="34" t="n">
        <f aca="false">E61*H61+N(F61)+N(G61)</f>
        <v>4333</v>
      </c>
      <c r="J61" s="42" t="n">
        <f aca="false">ROUND(IFERROR(ROUND(IF(OR(ISNUMBER(SEARCH("week",C61)),ISNUMBER(SEARCH("minggu",C61))),IFERROR(_xlfn.NUMBERVALUE(SUBSTITUTE(LEFT(TRIM(C61),FIND(" ",TRIM(C61)&amp;" ")-1),",","."),"."),LEFT(SUBSTITUTE(LEFT(TRIM(C61),FIND(" ",TRIM(C61)&amp;" ")-1),",","."),FIND("/",SUBSTITUTE(LEFT(TRIM(C61),FIND(" ",TRIM(C61)&amp;" ")-1),",","."))-1)/MID(SUBSTITUTE(LEFT(TRIM(C61),FIND(" ",TRIM(C61)&amp;" ")-1),",","."),FIND("/",SUBSTITUTE(LEFT(TRIM(C61),FIND(" ",TRIM(C61)&amp;" ")-1),",","."))+1,9))*12/52,IF(ISNUMBER(SEARCH("month",C61)),IFERROR(_xlfn.NUMBERVALUE(SUBSTITUTE(LEFT(TRIM(C61),FIND(" ",TRIM(C61)&amp;" ")-1),",","."),"."),LEFT(SUBSTITUTE(LEFT(TRIM(C61),FIND(" ",TRIM(C61)&amp;" ")-1),",","."),FIND("/",SUBSTITUTE(LEFT(TRIM(C61),FIND(" ",TRIM(C61)&amp;" ")-1),",","."))-1)/MID(SUBSTITUTE(LEFT(TRIM(C61),FIND(" ",TRIM(C61)&amp;" ")-1),",","."),FIND("/",SUBSTITUTE(LEFT(TRIM(C61),FIND(" ",TRIM(C61)&amp;" ")-1),",","."))+1,9)),IF(ISNUMBER(SEARCH("yea",C61)),IFERROR(_xlfn.NUMBERVALUE(SUBSTITUTE(LEFT(TRIM(C61),FIND(" ",TRIM(C61)&amp;" ")-1),",","."),"."),LEFT(SUBSTITUTE(LEFT(TRIM(C61),FIND(" ",TRIM(C61)&amp;" ")-1),",","."),FIND("/",SUBSTITUTE(LEFT(TRIM(C61),FIND(" ",TRIM(C61)&amp;" ")-1),",","."))-1)/MID(SUBSTITUTE(LEFT(TRIM(C61),FIND(" ",TRIM(C61)&amp;" ")-1),",","."),FIND("/",SUBSTITUTE(LEFT(TRIM(C61),FIND(" ",TRIM(C61)&amp;" ")-1),",","."))+1,9))*12,NA()))),0),30)*'Aturan &amp; Tarif'!$B$4,2)</f>
        <v>1703.4</v>
      </c>
      <c r="K61" s="42" t="n">
        <f aca="false">'Aturan &amp; Tarif'!$B$5</f>
        <v>2050</v>
      </c>
      <c r="L61" s="35" t="n">
        <f aca="false">I61+J61+K61</f>
        <v>8086.4</v>
      </c>
      <c r="M61" s="44" t="s">
        <v>131</v>
      </c>
    </row>
    <row r="62" customFormat="false" ht="48.75" hidden="false" customHeight="true" outlineLevel="0" collapsed="false">
      <c r="A62" s="39" t="s">
        <v>681</v>
      </c>
      <c r="B62" s="40" t="s">
        <v>474</v>
      </c>
      <c r="C62" s="41" t="s">
        <v>107</v>
      </c>
      <c r="D62" s="41" t="s">
        <v>108</v>
      </c>
      <c r="E62" s="42" t="n">
        <v>3450</v>
      </c>
      <c r="F62" s="42" t="n">
        <v>1300</v>
      </c>
      <c r="G62" s="42" t="n">
        <v>300</v>
      </c>
      <c r="H62" s="43" t="n">
        <v>1</v>
      </c>
      <c r="I62" s="34" t="n">
        <f aca="false">E62*H62+N(F62)+N(G62)</f>
        <v>5050</v>
      </c>
      <c r="J62" s="42" t="n">
        <f aca="false">ROUND(IFERROR(ROUND(IF(OR(ISNUMBER(SEARCH("week",C62)),ISNUMBER(SEARCH("minggu",C62))),IFERROR(_xlfn.NUMBERVALUE(SUBSTITUTE(LEFT(TRIM(C62),FIND(" ",TRIM(C62)&amp;" ")-1),",","."),"."),LEFT(SUBSTITUTE(LEFT(TRIM(C62),FIND(" ",TRIM(C62)&amp;" ")-1),",","."),FIND("/",SUBSTITUTE(LEFT(TRIM(C62),FIND(" ",TRIM(C62)&amp;" ")-1),",","."))-1)/MID(SUBSTITUTE(LEFT(TRIM(C62),FIND(" ",TRIM(C62)&amp;" ")-1),",","."),FIND("/",SUBSTITUTE(LEFT(TRIM(C62),FIND(" ",TRIM(C62)&amp;" ")-1),",","."))+1,9))*12/52,IF(ISNUMBER(SEARCH("month",C62)),IFERROR(_xlfn.NUMBERVALUE(SUBSTITUTE(LEFT(TRIM(C62),FIND(" ",TRIM(C62)&amp;" ")-1),",","."),"."),LEFT(SUBSTITUTE(LEFT(TRIM(C62),FIND(" ",TRIM(C62)&amp;" ")-1),",","."),FIND("/",SUBSTITUTE(LEFT(TRIM(C62),FIND(" ",TRIM(C62)&amp;" ")-1),",","."))-1)/MID(SUBSTITUTE(LEFT(TRIM(C62),FIND(" ",TRIM(C62)&amp;" ")-1),",","."),FIND("/",SUBSTITUTE(LEFT(TRIM(C62),FIND(" ",TRIM(C62)&amp;" ")-1),",","."))+1,9)),IF(ISNUMBER(SEARCH("yea",C62)),IFERROR(_xlfn.NUMBERVALUE(SUBSTITUTE(LEFT(TRIM(C62),FIND(" ",TRIM(C62)&amp;" ")-1),",","."),"."),LEFT(SUBSTITUTE(LEFT(TRIM(C62),FIND(" ",TRIM(C62)&amp;" ")-1),",","."),FIND("/",SUBSTITUTE(LEFT(TRIM(C62),FIND(" ",TRIM(C62)&amp;" ")-1),",","."))-1)/MID(SUBSTITUTE(LEFT(TRIM(C62),FIND(" ",TRIM(C62)&amp;" ")-1),",","."),FIND("/",SUBSTITUTE(LEFT(TRIM(C62),FIND(" ",TRIM(C62)&amp;" ")-1),",","."))+1,9))*12,NA()))),0),24)*'Aturan &amp; Tarif'!$B$4,2)</f>
        <v>1362.72</v>
      </c>
      <c r="K62" s="42" t="n">
        <f aca="false">'Aturan &amp; Tarif'!$B$5</f>
        <v>2050</v>
      </c>
      <c r="L62" s="35" t="n">
        <f aca="false">I62+J62+K62</f>
        <v>8462.72</v>
      </c>
      <c r="M62" s="45" t="s">
        <v>134</v>
      </c>
    </row>
    <row r="63" customFormat="false" ht="37.5" hidden="false" customHeight="true" outlineLevel="0" collapsed="false">
      <c r="A63" s="39"/>
      <c r="B63" s="40" t="s">
        <v>682</v>
      </c>
      <c r="C63" s="41" t="s">
        <v>138</v>
      </c>
      <c r="D63" s="41" t="s">
        <v>108</v>
      </c>
      <c r="E63" s="42" t="n">
        <v>3450</v>
      </c>
      <c r="F63" s="42" t="n">
        <v>1300</v>
      </c>
      <c r="G63" s="42" t="n">
        <v>300</v>
      </c>
      <c r="H63" s="43" t="n">
        <v>1</v>
      </c>
      <c r="I63" s="34" t="n">
        <f aca="false">E63*H63+N(F63)+N(G63)</f>
        <v>5050</v>
      </c>
      <c r="J63" s="42" t="n">
        <f aca="false">ROUND(IFERROR(ROUND(IF(OR(ISNUMBER(SEARCH("week",C63)),ISNUMBER(SEARCH("minggu",C63))),IFERROR(_xlfn.NUMBERVALUE(SUBSTITUTE(LEFT(TRIM(C63),FIND(" ",TRIM(C63)&amp;" ")-1),",","."),"."),LEFT(SUBSTITUTE(LEFT(TRIM(C63),FIND(" ",TRIM(C63)&amp;" ")-1),",","."),FIND("/",SUBSTITUTE(LEFT(TRIM(C63),FIND(" ",TRIM(C63)&amp;" ")-1),",","."))-1)/MID(SUBSTITUTE(LEFT(TRIM(C63),FIND(" ",TRIM(C63)&amp;" ")-1),",","."),FIND("/",SUBSTITUTE(LEFT(TRIM(C63),FIND(" ",TRIM(C63)&amp;" ")-1),",","."))+1,9))*12/52,IF(ISNUMBER(SEARCH("month",C63)),IFERROR(_xlfn.NUMBERVALUE(SUBSTITUTE(LEFT(TRIM(C63),FIND(" ",TRIM(C63)&amp;" ")-1),",","."),"."),LEFT(SUBSTITUTE(LEFT(TRIM(C63),FIND(" ",TRIM(C63)&amp;" ")-1),",","."),FIND("/",SUBSTITUTE(LEFT(TRIM(C63),FIND(" ",TRIM(C63)&amp;" ")-1),",","."))-1)/MID(SUBSTITUTE(LEFT(TRIM(C63),FIND(" ",TRIM(C63)&amp;" ")-1),",","."),FIND("/",SUBSTITUTE(LEFT(TRIM(C63),FIND(" ",TRIM(C63)&amp;" ")-1),",","."))+1,9)),IF(ISNUMBER(SEARCH("yea",C63)),IFERROR(_xlfn.NUMBERVALUE(SUBSTITUTE(LEFT(TRIM(C63),FIND(" ",TRIM(C63)&amp;" ")-1),",","."),"."),LEFT(SUBSTITUTE(LEFT(TRIM(C63),FIND(" ",TRIM(C63)&amp;" ")-1),",","."),FIND("/",SUBSTITUTE(LEFT(TRIM(C63),FIND(" ",TRIM(C63)&amp;" ")-1),",","."))-1)/MID(SUBSTITUTE(LEFT(TRIM(C63),FIND(" ",TRIM(C63)&amp;" ")-1),",","."),FIND("/",SUBSTITUTE(LEFT(TRIM(C63),FIND(" ",TRIM(C63)&amp;" ")-1),",","."))+1,9))*12,NA()))),0),30)*'Aturan &amp; Tarif'!$B$4,2)</f>
        <v>1703.4</v>
      </c>
      <c r="K63" s="42" t="n">
        <f aca="false">'Aturan &amp; Tarif'!$B$5</f>
        <v>2050</v>
      </c>
      <c r="L63" s="35" t="n">
        <f aca="false">I63+J63+K63</f>
        <v>8803.4</v>
      </c>
      <c r="M63" s="45" t="s">
        <v>134</v>
      </c>
    </row>
    <row r="64" customFormat="false" ht="25.5" hidden="false" customHeight="true" outlineLevel="0" collapsed="false">
      <c r="A64" s="39"/>
      <c r="B64" s="40" t="s">
        <v>683</v>
      </c>
      <c r="C64" s="41" t="s">
        <v>107</v>
      </c>
      <c r="D64" s="41" t="s">
        <v>108</v>
      </c>
      <c r="E64" s="42" t="n">
        <v>3450</v>
      </c>
      <c r="F64" s="42" t="n">
        <v>1300</v>
      </c>
      <c r="G64" s="42" t="n">
        <v>300</v>
      </c>
      <c r="H64" s="43" t="n">
        <v>1</v>
      </c>
      <c r="I64" s="34" t="n">
        <f aca="false">E64*H64+N(F64)+N(G64)</f>
        <v>5050</v>
      </c>
      <c r="J64" s="42" t="n">
        <f aca="false">ROUND(IFERROR(ROUND(IF(OR(ISNUMBER(SEARCH("week",C64)),ISNUMBER(SEARCH("minggu",C64))),IFERROR(_xlfn.NUMBERVALUE(SUBSTITUTE(LEFT(TRIM(C64),FIND(" ",TRIM(C64)&amp;" ")-1),",","."),"."),LEFT(SUBSTITUTE(LEFT(TRIM(C64),FIND(" ",TRIM(C64)&amp;" ")-1),",","."),FIND("/",SUBSTITUTE(LEFT(TRIM(C64),FIND(" ",TRIM(C64)&amp;" ")-1),",","."))-1)/MID(SUBSTITUTE(LEFT(TRIM(C64),FIND(" ",TRIM(C64)&amp;" ")-1),",","."),FIND("/",SUBSTITUTE(LEFT(TRIM(C64),FIND(" ",TRIM(C64)&amp;" ")-1),",","."))+1,9))*12/52,IF(ISNUMBER(SEARCH("month",C64)),IFERROR(_xlfn.NUMBERVALUE(SUBSTITUTE(LEFT(TRIM(C64),FIND(" ",TRIM(C64)&amp;" ")-1),",","."),"."),LEFT(SUBSTITUTE(LEFT(TRIM(C64),FIND(" ",TRIM(C64)&amp;" ")-1),",","."),FIND("/",SUBSTITUTE(LEFT(TRIM(C64),FIND(" ",TRIM(C64)&amp;" ")-1),",","."))-1)/MID(SUBSTITUTE(LEFT(TRIM(C64),FIND(" ",TRIM(C64)&amp;" ")-1),",","."),FIND("/",SUBSTITUTE(LEFT(TRIM(C64),FIND(" ",TRIM(C64)&amp;" ")-1),",","."))+1,9)),IF(ISNUMBER(SEARCH("yea",C64)),IFERROR(_xlfn.NUMBERVALUE(SUBSTITUTE(LEFT(TRIM(C64),FIND(" ",TRIM(C64)&amp;" ")-1),",","."),"."),LEFT(SUBSTITUTE(LEFT(TRIM(C64),FIND(" ",TRIM(C64)&amp;" ")-1),",","."),FIND("/",SUBSTITUTE(LEFT(TRIM(C64),FIND(" ",TRIM(C64)&amp;" ")-1),",","."))-1)/MID(SUBSTITUTE(LEFT(TRIM(C64),FIND(" ",TRIM(C64)&amp;" ")-1),",","."),FIND("/",SUBSTITUTE(LEFT(TRIM(C64),FIND(" ",TRIM(C64)&amp;" ")-1),",","."))+1,9))*12,NA()))),0),24)*'Aturan &amp; Tarif'!$B$4,2)</f>
        <v>1362.72</v>
      </c>
      <c r="K64" s="42" t="n">
        <f aca="false">'Aturan &amp; Tarif'!$B$5</f>
        <v>2050</v>
      </c>
      <c r="L64" s="35" t="n">
        <f aca="false">I64+J64+K64</f>
        <v>8462.72</v>
      </c>
      <c r="M64" s="45" t="s">
        <v>134</v>
      </c>
    </row>
    <row r="65" customFormat="false" ht="25.5" hidden="false" customHeight="true" outlineLevel="0" collapsed="false">
      <c r="A65" s="39"/>
      <c r="B65" s="40" t="s">
        <v>684</v>
      </c>
      <c r="C65" s="41" t="s">
        <v>138</v>
      </c>
      <c r="D65" s="41" t="s">
        <v>108</v>
      </c>
      <c r="E65" s="42" t="n">
        <v>3450</v>
      </c>
      <c r="F65" s="42" t="n">
        <v>1300</v>
      </c>
      <c r="G65" s="42" t="n">
        <v>300</v>
      </c>
      <c r="H65" s="43" t="n">
        <v>1</v>
      </c>
      <c r="I65" s="34" t="n">
        <f aca="false">E65*H65+N(F65)+N(G65)</f>
        <v>5050</v>
      </c>
      <c r="J65" s="42" t="n">
        <f aca="false">ROUND(IFERROR(ROUND(IF(OR(ISNUMBER(SEARCH("week",C65)),ISNUMBER(SEARCH("minggu",C65))),IFERROR(_xlfn.NUMBERVALUE(SUBSTITUTE(LEFT(TRIM(C65),FIND(" ",TRIM(C65)&amp;" ")-1),",","."),"."),LEFT(SUBSTITUTE(LEFT(TRIM(C65),FIND(" ",TRIM(C65)&amp;" ")-1),",","."),FIND("/",SUBSTITUTE(LEFT(TRIM(C65),FIND(" ",TRIM(C65)&amp;" ")-1),",","."))-1)/MID(SUBSTITUTE(LEFT(TRIM(C65),FIND(" ",TRIM(C65)&amp;" ")-1),",","."),FIND("/",SUBSTITUTE(LEFT(TRIM(C65),FIND(" ",TRIM(C65)&amp;" ")-1),",","."))+1,9))*12/52,IF(ISNUMBER(SEARCH("month",C65)),IFERROR(_xlfn.NUMBERVALUE(SUBSTITUTE(LEFT(TRIM(C65),FIND(" ",TRIM(C65)&amp;" ")-1),",","."),"."),LEFT(SUBSTITUTE(LEFT(TRIM(C65),FIND(" ",TRIM(C65)&amp;" ")-1),",","."),FIND("/",SUBSTITUTE(LEFT(TRIM(C65),FIND(" ",TRIM(C65)&amp;" ")-1),",","."))-1)/MID(SUBSTITUTE(LEFT(TRIM(C65),FIND(" ",TRIM(C65)&amp;" ")-1),",","."),FIND("/",SUBSTITUTE(LEFT(TRIM(C65),FIND(" ",TRIM(C65)&amp;" ")-1),",","."))+1,9)),IF(ISNUMBER(SEARCH("yea",C65)),IFERROR(_xlfn.NUMBERVALUE(SUBSTITUTE(LEFT(TRIM(C65),FIND(" ",TRIM(C65)&amp;" ")-1),",","."),"."),LEFT(SUBSTITUTE(LEFT(TRIM(C65),FIND(" ",TRIM(C65)&amp;" ")-1),",","."),FIND("/",SUBSTITUTE(LEFT(TRIM(C65),FIND(" ",TRIM(C65)&amp;" ")-1),",","."))-1)/MID(SUBSTITUTE(LEFT(TRIM(C65),FIND(" ",TRIM(C65)&amp;" ")-1),",","."),FIND("/",SUBSTITUTE(LEFT(TRIM(C65),FIND(" ",TRIM(C65)&amp;" ")-1),",","."))+1,9))*12,NA()))),0),30)*'Aturan &amp; Tarif'!$B$4,2)</f>
        <v>1703.4</v>
      </c>
      <c r="K65" s="42" t="n">
        <f aca="false">'Aturan &amp; Tarif'!$B$5</f>
        <v>2050</v>
      </c>
      <c r="L65" s="35" t="n">
        <f aca="false">I65+J65+K65</f>
        <v>8803.4</v>
      </c>
      <c r="M65" s="45" t="s">
        <v>134</v>
      </c>
    </row>
    <row r="66" customFormat="false" ht="25.5" hidden="false" customHeight="true" outlineLevel="0" collapsed="false">
      <c r="A66" s="39"/>
      <c r="B66" s="40" t="s">
        <v>685</v>
      </c>
      <c r="C66" s="41" t="s">
        <v>107</v>
      </c>
      <c r="D66" s="41" t="s">
        <v>108</v>
      </c>
      <c r="E66" s="42" t="n">
        <v>3120</v>
      </c>
      <c r="F66" s="42" t="n">
        <v>1350</v>
      </c>
      <c r="G66" s="42" t="n">
        <v>300</v>
      </c>
      <c r="H66" s="43" t="n">
        <v>1</v>
      </c>
      <c r="I66" s="34" t="n">
        <f aca="false">E66*H66+N(F66)+N(G66)</f>
        <v>4770</v>
      </c>
      <c r="J66" s="42" t="n">
        <f aca="false">ROUND(IFERROR(ROUND(IF(OR(ISNUMBER(SEARCH("week",C66)),ISNUMBER(SEARCH("minggu",C66))),IFERROR(_xlfn.NUMBERVALUE(SUBSTITUTE(LEFT(TRIM(C66),FIND(" ",TRIM(C66)&amp;" ")-1),",","."),"."),LEFT(SUBSTITUTE(LEFT(TRIM(C66),FIND(" ",TRIM(C66)&amp;" ")-1),",","."),FIND("/",SUBSTITUTE(LEFT(TRIM(C66),FIND(" ",TRIM(C66)&amp;" ")-1),",","."))-1)/MID(SUBSTITUTE(LEFT(TRIM(C66),FIND(" ",TRIM(C66)&amp;" ")-1),",","."),FIND("/",SUBSTITUTE(LEFT(TRIM(C66),FIND(" ",TRIM(C66)&amp;" ")-1),",","."))+1,9))*12/52,IF(ISNUMBER(SEARCH("month",C66)),IFERROR(_xlfn.NUMBERVALUE(SUBSTITUTE(LEFT(TRIM(C66),FIND(" ",TRIM(C66)&amp;" ")-1),",","."),"."),LEFT(SUBSTITUTE(LEFT(TRIM(C66),FIND(" ",TRIM(C66)&amp;" ")-1),",","."),FIND("/",SUBSTITUTE(LEFT(TRIM(C66),FIND(" ",TRIM(C66)&amp;" ")-1),",","."))-1)/MID(SUBSTITUTE(LEFT(TRIM(C66),FIND(" ",TRIM(C66)&amp;" ")-1),",","."),FIND("/",SUBSTITUTE(LEFT(TRIM(C66),FIND(" ",TRIM(C66)&amp;" ")-1),",","."))+1,9)),IF(ISNUMBER(SEARCH("yea",C66)),IFERROR(_xlfn.NUMBERVALUE(SUBSTITUTE(LEFT(TRIM(C66),FIND(" ",TRIM(C66)&amp;" ")-1),",","."),"."),LEFT(SUBSTITUTE(LEFT(TRIM(C66),FIND(" ",TRIM(C66)&amp;" ")-1),",","."),FIND("/",SUBSTITUTE(LEFT(TRIM(C66),FIND(" ",TRIM(C66)&amp;" ")-1),",","."))-1)/MID(SUBSTITUTE(LEFT(TRIM(C66),FIND(" ",TRIM(C66)&amp;" ")-1),",","."),FIND("/",SUBSTITUTE(LEFT(TRIM(C66),FIND(" ",TRIM(C66)&amp;" ")-1),",","."))+1,9))*12,NA()))),0),24)*'Aturan &amp; Tarif'!$B$4,2)</f>
        <v>1362.72</v>
      </c>
      <c r="K66" s="42" t="n">
        <f aca="false">'Aturan &amp; Tarif'!$B$5</f>
        <v>2050</v>
      </c>
      <c r="L66" s="35" t="n">
        <f aca="false">I66+J66+K66</f>
        <v>8182.72</v>
      </c>
      <c r="M66" s="45" t="s">
        <v>134</v>
      </c>
    </row>
    <row r="67" customFormat="false" ht="25.5" hidden="false" customHeight="true" outlineLevel="0" collapsed="false">
      <c r="A67" s="39"/>
      <c r="B67" s="40" t="s">
        <v>686</v>
      </c>
      <c r="C67" s="41" t="s">
        <v>138</v>
      </c>
      <c r="D67" s="41" t="s">
        <v>108</v>
      </c>
      <c r="E67" s="42" t="n">
        <v>3195</v>
      </c>
      <c r="F67" s="42" t="n">
        <v>1350</v>
      </c>
      <c r="G67" s="42" t="n">
        <v>300</v>
      </c>
      <c r="H67" s="43" t="n">
        <v>1</v>
      </c>
      <c r="I67" s="34" t="n">
        <f aca="false">E67*H67+N(F67)+N(G67)</f>
        <v>4845</v>
      </c>
      <c r="J67" s="42" t="n">
        <f aca="false">ROUND(IFERROR(ROUND(IF(OR(ISNUMBER(SEARCH("week",C67)),ISNUMBER(SEARCH("minggu",C67))),IFERROR(_xlfn.NUMBERVALUE(SUBSTITUTE(LEFT(TRIM(C67),FIND(" ",TRIM(C67)&amp;" ")-1),",","."),"."),LEFT(SUBSTITUTE(LEFT(TRIM(C67),FIND(" ",TRIM(C67)&amp;" ")-1),",","."),FIND("/",SUBSTITUTE(LEFT(TRIM(C67),FIND(" ",TRIM(C67)&amp;" ")-1),",","."))-1)/MID(SUBSTITUTE(LEFT(TRIM(C67),FIND(" ",TRIM(C67)&amp;" ")-1),",","."),FIND("/",SUBSTITUTE(LEFT(TRIM(C67),FIND(" ",TRIM(C67)&amp;" ")-1),",","."))+1,9))*12/52,IF(ISNUMBER(SEARCH("month",C67)),IFERROR(_xlfn.NUMBERVALUE(SUBSTITUTE(LEFT(TRIM(C67),FIND(" ",TRIM(C67)&amp;" ")-1),",","."),"."),LEFT(SUBSTITUTE(LEFT(TRIM(C67),FIND(" ",TRIM(C67)&amp;" ")-1),",","."),FIND("/",SUBSTITUTE(LEFT(TRIM(C67),FIND(" ",TRIM(C67)&amp;" ")-1),",","."))-1)/MID(SUBSTITUTE(LEFT(TRIM(C67),FIND(" ",TRIM(C67)&amp;" ")-1),",","."),FIND("/",SUBSTITUTE(LEFT(TRIM(C67),FIND(" ",TRIM(C67)&amp;" ")-1),",","."))+1,9)),IF(ISNUMBER(SEARCH("yea",C67)),IFERROR(_xlfn.NUMBERVALUE(SUBSTITUTE(LEFT(TRIM(C67),FIND(" ",TRIM(C67)&amp;" ")-1),",","."),"."),LEFT(SUBSTITUTE(LEFT(TRIM(C67),FIND(" ",TRIM(C67)&amp;" ")-1),",","."),FIND("/",SUBSTITUTE(LEFT(TRIM(C67),FIND(" ",TRIM(C67)&amp;" ")-1),",","."))-1)/MID(SUBSTITUTE(LEFT(TRIM(C67),FIND(" ",TRIM(C67)&amp;" ")-1),",","."),FIND("/",SUBSTITUTE(LEFT(TRIM(C67),FIND(" ",TRIM(C67)&amp;" ")-1),",","."))+1,9))*12,NA()))),0),30)*'Aturan &amp; Tarif'!$B$4,2)</f>
        <v>1703.4</v>
      </c>
      <c r="K67" s="42" t="n">
        <f aca="false">'Aturan &amp; Tarif'!$B$5</f>
        <v>2050</v>
      </c>
      <c r="L67" s="35" t="n">
        <f aca="false">I67+J67+K67</f>
        <v>8598.4</v>
      </c>
      <c r="M67" s="45" t="s">
        <v>134</v>
      </c>
    </row>
    <row r="68" customFormat="false" ht="72" hidden="false" customHeight="true" outlineLevel="0" collapsed="false">
      <c r="A68" s="39"/>
      <c r="B68" s="40" t="s">
        <v>465</v>
      </c>
      <c r="C68" s="41" t="s">
        <v>107</v>
      </c>
      <c r="D68" s="41" t="s">
        <v>108</v>
      </c>
      <c r="E68" s="42" t="n">
        <v>2580</v>
      </c>
      <c r="F68" s="42" t="n">
        <v>1000</v>
      </c>
      <c r="G68" s="42" t="n">
        <v>300</v>
      </c>
      <c r="H68" s="43" t="n">
        <v>1</v>
      </c>
      <c r="I68" s="34" t="n">
        <f aca="false">E68*H68+N(F68)+N(G68)</f>
        <v>3880</v>
      </c>
      <c r="J68" s="42" t="n">
        <f aca="false">ROUND(IFERROR(ROUND(IF(OR(ISNUMBER(SEARCH("week",C68)),ISNUMBER(SEARCH("minggu",C68))),IFERROR(_xlfn.NUMBERVALUE(SUBSTITUTE(LEFT(TRIM(C68),FIND(" ",TRIM(C68)&amp;" ")-1),",","."),"."),LEFT(SUBSTITUTE(LEFT(TRIM(C68),FIND(" ",TRIM(C68)&amp;" ")-1),",","."),FIND("/",SUBSTITUTE(LEFT(TRIM(C68),FIND(" ",TRIM(C68)&amp;" ")-1),",","."))-1)/MID(SUBSTITUTE(LEFT(TRIM(C68),FIND(" ",TRIM(C68)&amp;" ")-1),",","."),FIND("/",SUBSTITUTE(LEFT(TRIM(C68),FIND(" ",TRIM(C68)&amp;" ")-1),",","."))+1,9))*12/52,IF(ISNUMBER(SEARCH("month",C68)),IFERROR(_xlfn.NUMBERVALUE(SUBSTITUTE(LEFT(TRIM(C68),FIND(" ",TRIM(C68)&amp;" ")-1),",","."),"."),LEFT(SUBSTITUTE(LEFT(TRIM(C68),FIND(" ",TRIM(C68)&amp;" ")-1),",","."),FIND("/",SUBSTITUTE(LEFT(TRIM(C68),FIND(" ",TRIM(C68)&amp;" ")-1),",","."))-1)/MID(SUBSTITUTE(LEFT(TRIM(C68),FIND(" ",TRIM(C68)&amp;" ")-1),",","."),FIND("/",SUBSTITUTE(LEFT(TRIM(C68),FIND(" ",TRIM(C68)&amp;" ")-1),",","."))+1,9)),IF(ISNUMBER(SEARCH("yea",C68)),IFERROR(_xlfn.NUMBERVALUE(SUBSTITUTE(LEFT(TRIM(C68),FIND(" ",TRIM(C68)&amp;" ")-1),",","."),"."),LEFT(SUBSTITUTE(LEFT(TRIM(C68),FIND(" ",TRIM(C68)&amp;" ")-1),",","."),FIND("/",SUBSTITUTE(LEFT(TRIM(C68),FIND(" ",TRIM(C68)&amp;" ")-1),",","."))-1)/MID(SUBSTITUTE(LEFT(TRIM(C68),FIND(" ",TRIM(C68)&amp;" ")-1),",","."),FIND("/",SUBSTITUTE(LEFT(TRIM(C68),FIND(" ",TRIM(C68)&amp;" ")-1),",","."))+1,9))*12,NA()))),0),24)*'Aturan &amp; Tarif'!$B$4,2)</f>
        <v>1362.72</v>
      </c>
      <c r="K68" s="42" t="n">
        <f aca="false">'Aturan &amp; Tarif'!$B$5</f>
        <v>2050</v>
      </c>
      <c r="L68" s="35" t="n">
        <f aca="false">I68+J68+K68</f>
        <v>7292.72</v>
      </c>
      <c r="M68" s="44" t="s">
        <v>687</v>
      </c>
    </row>
    <row r="69" customFormat="false" ht="14.25" hidden="false" customHeight="true" outlineLevel="0" collapsed="false">
      <c r="A69" s="39"/>
      <c r="B69" s="40" t="s">
        <v>688</v>
      </c>
      <c r="C69" s="41" t="s">
        <v>107</v>
      </c>
      <c r="D69" s="41" t="s">
        <v>108</v>
      </c>
      <c r="E69" s="42" t="n">
        <v>3350</v>
      </c>
      <c r="F69" s="42" t="n">
        <v>1500</v>
      </c>
      <c r="G69" s="42" t="n">
        <v>300</v>
      </c>
      <c r="H69" s="43" t="n">
        <v>1</v>
      </c>
      <c r="I69" s="34" t="n">
        <f aca="false">E69*H69+N(F69)+N(G69)</f>
        <v>5150</v>
      </c>
      <c r="J69" s="42" t="n">
        <f aca="false">ROUND(IFERROR(ROUND(IF(OR(ISNUMBER(SEARCH("week",C69)),ISNUMBER(SEARCH("minggu",C69))),IFERROR(_xlfn.NUMBERVALUE(SUBSTITUTE(LEFT(TRIM(C69),FIND(" ",TRIM(C69)&amp;" ")-1),",","."),"."),LEFT(SUBSTITUTE(LEFT(TRIM(C69),FIND(" ",TRIM(C69)&amp;" ")-1),",","."),FIND("/",SUBSTITUTE(LEFT(TRIM(C69),FIND(" ",TRIM(C69)&amp;" ")-1),",","."))-1)/MID(SUBSTITUTE(LEFT(TRIM(C69),FIND(" ",TRIM(C69)&amp;" ")-1),",","."),FIND("/",SUBSTITUTE(LEFT(TRIM(C69),FIND(" ",TRIM(C69)&amp;" ")-1),",","."))+1,9))*12/52,IF(ISNUMBER(SEARCH("month",C69)),IFERROR(_xlfn.NUMBERVALUE(SUBSTITUTE(LEFT(TRIM(C69),FIND(" ",TRIM(C69)&amp;" ")-1),",","."),"."),LEFT(SUBSTITUTE(LEFT(TRIM(C69),FIND(" ",TRIM(C69)&amp;" ")-1),",","."),FIND("/",SUBSTITUTE(LEFT(TRIM(C69),FIND(" ",TRIM(C69)&amp;" ")-1),",","."))-1)/MID(SUBSTITUTE(LEFT(TRIM(C69),FIND(" ",TRIM(C69)&amp;" ")-1),",","."),FIND("/",SUBSTITUTE(LEFT(TRIM(C69),FIND(" ",TRIM(C69)&amp;" ")-1),",","."))+1,9)),IF(ISNUMBER(SEARCH("yea",C69)),IFERROR(_xlfn.NUMBERVALUE(SUBSTITUTE(LEFT(TRIM(C69),FIND(" ",TRIM(C69)&amp;" ")-1),",","."),"."),LEFT(SUBSTITUTE(LEFT(TRIM(C69),FIND(" ",TRIM(C69)&amp;" ")-1),",","."),FIND("/",SUBSTITUTE(LEFT(TRIM(C69),FIND(" ",TRIM(C69)&amp;" ")-1),",","."))-1)/MID(SUBSTITUTE(LEFT(TRIM(C69),FIND(" ",TRIM(C69)&amp;" ")-1),",","."),FIND("/",SUBSTITUTE(LEFT(TRIM(C69),FIND(" ",TRIM(C69)&amp;" ")-1),",","."))+1,9))*12,NA()))),0),24)*'Aturan &amp; Tarif'!$B$4,2)</f>
        <v>1362.72</v>
      </c>
      <c r="K69" s="42" t="n">
        <f aca="false">'Aturan &amp; Tarif'!$B$5</f>
        <v>2050</v>
      </c>
      <c r="L69" s="35" t="n">
        <f aca="false">I69+J69+K69</f>
        <v>8562.72</v>
      </c>
      <c r="M69" s="45" t="s">
        <v>134</v>
      </c>
    </row>
    <row r="70" customFormat="false" ht="25.5" hidden="false" customHeight="true" outlineLevel="0" collapsed="false">
      <c r="A70" s="39"/>
      <c r="B70" s="40" t="s">
        <v>689</v>
      </c>
      <c r="C70" s="41" t="s">
        <v>107</v>
      </c>
      <c r="D70" s="41" t="s">
        <v>108</v>
      </c>
      <c r="E70" s="42" t="n">
        <v>3375</v>
      </c>
      <c r="F70" s="42" t="n">
        <v>1350</v>
      </c>
      <c r="G70" s="42" t="n">
        <v>300</v>
      </c>
      <c r="H70" s="43" t="n">
        <v>1</v>
      </c>
      <c r="I70" s="34" t="n">
        <f aca="false">E70*H70+N(F70)+N(G70)</f>
        <v>5025</v>
      </c>
      <c r="J70" s="42" t="n">
        <f aca="false">ROUND(IFERROR(ROUND(IF(OR(ISNUMBER(SEARCH("week",C70)),ISNUMBER(SEARCH("minggu",C70))),IFERROR(_xlfn.NUMBERVALUE(SUBSTITUTE(LEFT(TRIM(C70),FIND(" ",TRIM(C70)&amp;" ")-1),",","."),"."),LEFT(SUBSTITUTE(LEFT(TRIM(C70),FIND(" ",TRIM(C70)&amp;" ")-1),",","."),FIND("/",SUBSTITUTE(LEFT(TRIM(C70),FIND(" ",TRIM(C70)&amp;" ")-1),",","."))-1)/MID(SUBSTITUTE(LEFT(TRIM(C70),FIND(" ",TRIM(C70)&amp;" ")-1),",","."),FIND("/",SUBSTITUTE(LEFT(TRIM(C70),FIND(" ",TRIM(C70)&amp;" ")-1),",","."))+1,9))*12/52,IF(ISNUMBER(SEARCH("month",C70)),IFERROR(_xlfn.NUMBERVALUE(SUBSTITUTE(LEFT(TRIM(C70),FIND(" ",TRIM(C70)&amp;" ")-1),",","."),"."),LEFT(SUBSTITUTE(LEFT(TRIM(C70),FIND(" ",TRIM(C70)&amp;" ")-1),",","."),FIND("/",SUBSTITUTE(LEFT(TRIM(C70),FIND(" ",TRIM(C70)&amp;" ")-1),",","."))-1)/MID(SUBSTITUTE(LEFT(TRIM(C70),FIND(" ",TRIM(C70)&amp;" ")-1),",","."),FIND("/",SUBSTITUTE(LEFT(TRIM(C70),FIND(" ",TRIM(C70)&amp;" ")-1),",","."))+1,9)),IF(ISNUMBER(SEARCH("yea",C70)),IFERROR(_xlfn.NUMBERVALUE(SUBSTITUTE(LEFT(TRIM(C70),FIND(" ",TRIM(C70)&amp;" ")-1),",","."),"."),LEFT(SUBSTITUTE(LEFT(TRIM(C70),FIND(" ",TRIM(C70)&amp;" ")-1),",","."),FIND("/",SUBSTITUTE(LEFT(TRIM(C70),FIND(" ",TRIM(C70)&amp;" ")-1),",","."))-1)/MID(SUBSTITUTE(LEFT(TRIM(C70),FIND(" ",TRIM(C70)&amp;" ")-1),",","."),FIND("/",SUBSTITUTE(LEFT(TRIM(C70),FIND(" ",TRIM(C70)&amp;" ")-1),",","."))+1,9))*12,NA()))),0),24)*'Aturan &amp; Tarif'!$B$4,2)</f>
        <v>1362.72</v>
      </c>
      <c r="K70" s="42" t="n">
        <f aca="false">'Aturan &amp; Tarif'!$B$5</f>
        <v>2050</v>
      </c>
      <c r="L70" s="35" t="n">
        <f aca="false">I70+J70+K70</f>
        <v>8437.72</v>
      </c>
      <c r="M70" s="45" t="s">
        <v>134</v>
      </c>
    </row>
    <row r="71" customFormat="false" ht="37.5" hidden="false" customHeight="true" outlineLevel="0" collapsed="false">
      <c r="A71" s="39"/>
      <c r="B71" s="40" t="s">
        <v>690</v>
      </c>
      <c r="C71" s="41" t="s">
        <v>191</v>
      </c>
      <c r="D71" s="41" t="s">
        <v>108</v>
      </c>
      <c r="E71" s="42" t="n">
        <v>3375</v>
      </c>
      <c r="F71" s="42" t="n">
        <v>1350</v>
      </c>
      <c r="G71" s="42" t="n">
        <v>300</v>
      </c>
      <c r="H71" s="43" t="n">
        <v>1</v>
      </c>
      <c r="I71" s="34" t="n">
        <f aca="false">E71*H71+N(F71)+N(G71)</f>
        <v>5025</v>
      </c>
      <c r="J71" s="42" t="n">
        <f aca="false">ROUND(IFERROR(ROUND(IF(OR(ISNUMBER(SEARCH("week",C71)),ISNUMBER(SEARCH("minggu",C71))),IFERROR(_xlfn.NUMBERVALUE(SUBSTITUTE(LEFT(TRIM(C71),FIND(" ",TRIM(C71)&amp;" ")-1),",","."),"."),LEFT(SUBSTITUTE(LEFT(TRIM(C71),FIND(" ",TRIM(C71)&amp;" ")-1),",","."),FIND("/",SUBSTITUTE(LEFT(TRIM(C71),FIND(" ",TRIM(C71)&amp;" ")-1),",","."))-1)/MID(SUBSTITUTE(LEFT(TRIM(C71),FIND(" ",TRIM(C71)&amp;" ")-1),",","."),FIND("/",SUBSTITUTE(LEFT(TRIM(C71),FIND(" ",TRIM(C71)&amp;" ")-1),",","."))+1,9))*12/52,IF(ISNUMBER(SEARCH("month",C71)),IFERROR(_xlfn.NUMBERVALUE(SUBSTITUTE(LEFT(TRIM(C71),FIND(" ",TRIM(C71)&amp;" ")-1),",","."),"."),LEFT(SUBSTITUTE(LEFT(TRIM(C71),FIND(" ",TRIM(C71)&amp;" ")-1),",","."),FIND("/",SUBSTITUTE(LEFT(TRIM(C71),FIND(" ",TRIM(C71)&amp;" ")-1),",","."))-1)/MID(SUBSTITUTE(LEFT(TRIM(C71),FIND(" ",TRIM(C71)&amp;" ")-1),",","."),FIND("/",SUBSTITUTE(LEFT(TRIM(C71),FIND(" ",TRIM(C71)&amp;" ")-1),",","."))+1,9)),IF(ISNUMBER(SEARCH("yea",C71)),IFERROR(_xlfn.NUMBERVALUE(SUBSTITUTE(LEFT(TRIM(C71),FIND(" ",TRIM(C71)&amp;" ")-1),",","."),"."),LEFT(SUBSTITUTE(LEFT(TRIM(C71),FIND(" ",TRIM(C71)&amp;" ")-1),",","."),FIND("/",SUBSTITUTE(LEFT(TRIM(C71),FIND(" ",TRIM(C71)&amp;" ")-1),",","."))-1)/MID(SUBSTITUTE(LEFT(TRIM(C71),FIND(" ",TRIM(C71)&amp;" ")-1),",","."),FIND("/",SUBSTITUTE(LEFT(TRIM(C71),FIND(" ",TRIM(C71)&amp;" ")-1),",","."))+1,9))*12,NA()))),0),48)*'Aturan &amp; Tarif'!$B$4,2)</f>
        <v>2725.44</v>
      </c>
      <c r="K71" s="42" t="n">
        <f aca="false">'Aturan &amp; Tarif'!$B$5</f>
        <v>2050</v>
      </c>
      <c r="L71" s="35" t="n">
        <f aca="false">I71+J71+K71</f>
        <v>9800.44</v>
      </c>
      <c r="M71" s="45" t="s">
        <v>134</v>
      </c>
    </row>
    <row r="72" customFormat="false" ht="14.25" hidden="false" customHeight="true" outlineLevel="0" collapsed="false">
      <c r="A72" s="39"/>
      <c r="B72" s="40" t="s">
        <v>691</v>
      </c>
      <c r="C72" s="41" t="s">
        <v>138</v>
      </c>
      <c r="D72" s="41" t="s">
        <v>108</v>
      </c>
      <c r="E72" s="42" t="n">
        <v>3100</v>
      </c>
      <c r="F72" s="42" t="n">
        <v>1500</v>
      </c>
      <c r="G72" s="42" t="n">
        <v>300</v>
      </c>
      <c r="H72" s="43" t="n">
        <v>1</v>
      </c>
      <c r="I72" s="34" t="n">
        <f aca="false">E72*H72+N(F72)+N(G72)</f>
        <v>4900</v>
      </c>
      <c r="J72" s="42" t="n">
        <f aca="false">ROUND(IFERROR(ROUND(IF(OR(ISNUMBER(SEARCH("week",C72)),ISNUMBER(SEARCH("minggu",C72))),IFERROR(_xlfn.NUMBERVALUE(SUBSTITUTE(LEFT(TRIM(C72),FIND(" ",TRIM(C72)&amp;" ")-1),",","."),"."),LEFT(SUBSTITUTE(LEFT(TRIM(C72),FIND(" ",TRIM(C72)&amp;" ")-1),",","."),FIND("/",SUBSTITUTE(LEFT(TRIM(C72),FIND(" ",TRIM(C72)&amp;" ")-1),",","."))-1)/MID(SUBSTITUTE(LEFT(TRIM(C72),FIND(" ",TRIM(C72)&amp;" ")-1),",","."),FIND("/",SUBSTITUTE(LEFT(TRIM(C72),FIND(" ",TRIM(C72)&amp;" ")-1),",","."))+1,9))*12/52,IF(ISNUMBER(SEARCH("month",C72)),IFERROR(_xlfn.NUMBERVALUE(SUBSTITUTE(LEFT(TRIM(C72),FIND(" ",TRIM(C72)&amp;" ")-1),",","."),"."),LEFT(SUBSTITUTE(LEFT(TRIM(C72),FIND(" ",TRIM(C72)&amp;" ")-1),",","."),FIND("/",SUBSTITUTE(LEFT(TRIM(C72),FIND(" ",TRIM(C72)&amp;" ")-1),",","."))-1)/MID(SUBSTITUTE(LEFT(TRIM(C72),FIND(" ",TRIM(C72)&amp;" ")-1),",","."),FIND("/",SUBSTITUTE(LEFT(TRIM(C72),FIND(" ",TRIM(C72)&amp;" ")-1),",","."))+1,9)),IF(ISNUMBER(SEARCH("yea",C72)),IFERROR(_xlfn.NUMBERVALUE(SUBSTITUTE(LEFT(TRIM(C72),FIND(" ",TRIM(C72)&amp;" ")-1),",","."),"."),LEFT(SUBSTITUTE(LEFT(TRIM(C72),FIND(" ",TRIM(C72)&amp;" ")-1),",","."),FIND("/",SUBSTITUTE(LEFT(TRIM(C72),FIND(" ",TRIM(C72)&amp;" ")-1),",","."))-1)/MID(SUBSTITUTE(LEFT(TRIM(C72),FIND(" ",TRIM(C72)&amp;" ")-1),",","."),FIND("/",SUBSTITUTE(LEFT(TRIM(C72),FIND(" ",TRIM(C72)&amp;" ")-1),",","."))+1,9))*12,NA()))),0),30)*'Aturan &amp; Tarif'!$B$4,2)</f>
        <v>1703.4</v>
      </c>
      <c r="K72" s="42" t="n">
        <f aca="false">'Aturan &amp; Tarif'!$B$5</f>
        <v>2050</v>
      </c>
      <c r="L72" s="35" t="n">
        <f aca="false">I72+J72+K72</f>
        <v>8653.4</v>
      </c>
      <c r="M72" s="45" t="s">
        <v>134</v>
      </c>
    </row>
    <row r="73" customFormat="false" ht="25.5" hidden="false" customHeight="true" outlineLevel="0" collapsed="false">
      <c r="A73" s="39"/>
      <c r="B73" s="40" t="s">
        <v>692</v>
      </c>
      <c r="C73" s="41" t="s">
        <v>127</v>
      </c>
      <c r="D73" s="41" t="s">
        <v>108</v>
      </c>
      <c r="E73" s="42" t="n">
        <v>3100</v>
      </c>
      <c r="F73" s="42" t="n">
        <v>1500</v>
      </c>
      <c r="G73" s="42" t="n">
        <v>300</v>
      </c>
      <c r="H73" s="43" t="n">
        <v>1</v>
      </c>
      <c r="I73" s="34" t="n">
        <f aca="false">E73*H73+N(F73)+N(G73)</f>
        <v>4900</v>
      </c>
      <c r="J73" s="42" t="n">
        <f aca="false">ROUND(IFERROR(ROUND(IF(OR(ISNUMBER(SEARCH("week",C73)),ISNUMBER(SEARCH("minggu",C73))),IFERROR(_xlfn.NUMBERVALUE(SUBSTITUTE(LEFT(TRIM(C73),FIND(" ",TRIM(C73)&amp;" ")-1),",","."),"."),LEFT(SUBSTITUTE(LEFT(TRIM(C73),FIND(" ",TRIM(C73)&amp;" ")-1),",","."),FIND("/",SUBSTITUTE(LEFT(TRIM(C73),FIND(" ",TRIM(C73)&amp;" ")-1),",","."))-1)/MID(SUBSTITUTE(LEFT(TRIM(C73),FIND(" ",TRIM(C73)&amp;" ")-1),",","."),FIND("/",SUBSTITUTE(LEFT(TRIM(C73),FIND(" ",TRIM(C73)&amp;" ")-1),",","."))+1,9))*12/52,IF(ISNUMBER(SEARCH("month",C73)),IFERROR(_xlfn.NUMBERVALUE(SUBSTITUTE(LEFT(TRIM(C73),FIND(" ",TRIM(C73)&amp;" ")-1),",","."),"."),LEFT(SUBSTITUTE(LEFT(TRIM(C73),FIND(" ",TRIM(C73)&amp;" ")-1),",","."),FIND("/",SUBSTITUTE(LEFT(TRIM(C73),FIND(" ",TRIM(C73)&amp;" ")-1),",","."))-1)/MID(SUBSTITUTE(LEFT(TRIM(C73),FIND(" ",TRIM(C73)&amp;" ")-1),",","."),FIND("/",SUBSTITUTE(LEFT(TRIM(C73),FIND(" ",TRIM(C73)&amp;" ")-1),",","."))+1,9)),IF(ISNUMBER(SEARCH("yea",C73)),IFERROR(_xlfn.NUMBERVALUE(SUBSTITUTE(LEFT(TRIM(C73),FIND(" ",TRIM(C73)&amp;" ")-1),",","."),"."),LEFT(SUBSTITUTE(LEFT(TRIM(C73),FIND(" ",TRIM(C73)&amp;" ")-1),",","."),FIND("/",SUBSTITUTE(LEFT(TRIM(C73),FIND(" ",TRIM(C73)&amp;" ")-1),",","."))-1)/MID(SUBSTITUTE(LEFT(TRIM(C73),FIND(" ",TRIM(C73)&amp;" ")-1),",","."),FIND("/",SUBSTITUTE(LEFT(TRIM(C73),FIND(" ",TRIM(C73)&amp;" ")-1),",","."))+1,9))*12,NA()))),0),36)*'Aturan &amp; Tarif'!$B$4,2)</f>
        <v>2044.08</v>
      </c>
      <c r="K73" s="42" t="n">
        <f aca="false">'Aturan &amp; Tarif'!$B$5</f>
        <v>2050</v>
      </c>
      <c r="L73" s="35" t="n">
        <f aca="false">I73+J73+K73</f>
        <v>8994.08</v>
      </c>
      <c r="M73" s="45" t="s">
        <v>134</v>
      </c>
    </row>
    <row r="74" customFormat="false" ht="14.25" hidden="false" customHeight="true" outlineLevel="0" collapsed="false">
      <c r="A74" s="39"/>
      <c r="B74" s="40" t="s">
        <v>616</v>
      </c>
      <c r="C74" s="41" t="s">
        <v>107</v>
      </c>
      <c r="D74" s="41" t="s">
        <v>108</v>
      </c>
      <c r="E74" s="42" t="n">
        <v>3450</v>
      </c>
      <c r="F74" s="42" t="n">
        <v>2700</v>
      </c>
      <c r="G74" s="42" t="n">
        <v>300</v>
      </c>
      <c r="H74" s="43" t="n">
        <v>1</v>
      </c>
      <c r="I74" s="34" t="n">
        <f aca="false">E74*H74+N(F74)+N(G74)</f>
        <v>6450</v>
      </c>
      <c r="J74" s="42" t="n">
        <f aca="false">ROUND(IFERROR(ROUND(IF(OR(ISNUMBER(SEARCH("week",C74)),ISNUMBER(SEARCH("minggu",C74))),IFERROR(_xlfn.NUMBERVALUE(SUBSTITUTE(LEFT(TRIM(C74),FIND(" ",TRIM(C74)&amp;" ")-1),",","."),"."),LEFT(SUBSTITUTE(LEFT(TRIM(C74),FIND(" ",TRIM(C74)&amp;" ")-1),",","."),FIND("/",SUBSTITUTE(LEFT(TRIM(C74),FIND(" ",TRIM(C74)&amp;" ")-1),",","."))-1)/MID(SUBSTITUTE(LEFT(TRIM(C74),FIND(" ",TRIM(C74)&amp;" ")-1),",","."),FIND("/",SUBSTITUTE(LEFT(TRIM(C74),FIND(" ",TRIM(C74)&amp;" ")-1),",","."))+1,9))*12/52,IF(ISNUMBER(SEARCH("month",C74)),IFERROR(_xlfn.NUMBERVALUE(SUBSTITUTE(LEFT(TRIM(C74),FIND(" ",TRIM(C74)&amp;" ")-1),",","."),"."),LEFT(SUBSTITUTE(LEFT(TRIM(C74),FIND(" ",TRIM(C74)&amp;" ")-1),",","."),FIND("/",SUBSTITUTE(LEFT(TRIM(C74),FIND(" ",TRIM(C74)&amp;" ")-1),",","."))-1)/MID(SUBSTITUTE(LEFT(TRIM(C74),FIND(" ",TRIM(C74)&amp;" ")-1),",","."),FIND("/",SUBSTITUTE(LEFT(TRIM(C74),FIND(" ",TRIM(C74)&amp;" ")-1),",","."))+1,9)),IF(ISNUMBER(SEARCH("yea",C74)),IFERROR(_xlfn.NUMBERVALUE(SUBSTITUTE(LEFT(TRIM(C74),FIND(" ",TRIM(C74)&amp;" ")-1),",","."),"."),LEFT(SUBSTITUTE(LEFT(TRIM(C74),FIND(" ",TRIM(C74)&amp;" ")-1),",","."),FIND("/",SUBSTITUTE(LEFT(TRIM(C74),FIND(" ",TRIM(C74)&amp;" ")-1),",","."))-1)/MID(SUBSTITUTE(LEFT(TRIM(C74),FIND(" ",TRIM(C74)&amp;" ")-1),",","."),FIND("/",SUBSTITUTE(LEFT(TRIM(C74),FIND(" ",TRIM(C74)&amp;" ")-1),",","."))+1,9))*12,NA()))),0),24)*'Aturan &amp; Tarif'!$B$4,2)</f>
        <v>1362.72</v>
      </c>
      <c r="K74" s="42" t="n">
        <f aca="false">'Aturan &amp; Tarif'!$B$5</f>
        <v>2050</v>
      </c>
      <c r="L74" s="35" t="n">
        <f aca="false">I74+J74+K74</f>
        <v>9862.72</v>
      </c>
      <c r="M74" s="45" t="s">
        <v>134</v>
      </c>
    </row>
    <row r="75" customFormat="false" ht="14.25" hidden="false" customHeight="true" outlineLevel="0" collapsed="false">
      <c r="A75" s="39"/>
      <c r="B75" s="40" t="s">
        <v>471</v>
      </c>
      <c r="C75" s="41" t="s">
        <v>113</v>
      </c>
      <c r="D75" s="41" t="s">
        <v>108</v>
      </c>
      <c r="E75" s="42" t="n">
        <v>3250</v>
      </c>
      <c r="F75" s="42" t="n">
        <v>1350</v>
      </c>
      <c r="G75" s="42"/>
      <c r="H75" s="43" t="n">
        <v>1</v>
      </c>
      <c r="I75" s="34" t="n">
        <f aca="false">E75*H75+N(F75)+N(G75)</f>
        <v>4600</v>
      </c>
      <c r="J75" s="42" t="n">
        <f aca="false">ROUND(IFERROR(ROUND(IF(OR(ISNUMBER(SEARCH("week",C75)),ISNUMBER(SEARCH("minggu",C75))),IFERROR(_xlfn.NUMBERVALUE(SUBSTITUTE(LEFT(TRIM(C75),FIND(" ",TRIM(C75)&amp;" ")-1),",","."),"."),LEFT(SUBSTITUTE(LEFT(TRIM(C75),FIND(" ",TRIM(C75)&amp;" ")-1),",","."),FIND("/",SUBSTITUTE(LEFT(TRIM(C75),FIND(" ",TRIM(C75)&amp;" ")-1),",","."))-1)/MID(SUBSTITUTE(LEFT(TRIM(C75),FIND(" ",TRIM(C75)&amp;" ")-1),",","."),FIND("/",SUBSTITUTE(LEFT(TRIM(C75),FIND(" ",TRIM(C75)&amp;" ")-1),",","."))+1,9))*12/52,IF(ISNUMBER(SEARCH("month",C75)),IFERROR(_xlfn.NUMBERVALUE(SUBSTITUTE(LEFT(TRIM(C75),FIND(" ",TRIM(C75)&amp;" ")-1),",","."),"."),LEFT(SUBSTITUTE(LEFT(TRIM(C75),FIND(" ",TRIM(C75)&amp;" ")-1),",","."),FIND("/",SUBSTITUTE(LEFT(TRIM(C75),FIND(" ",TRIM(C75)&amp;" ")-1),",","."))-1)/MID(SUBSTITUTE(LEFT(TRIM(C75),FIND(" ",TRIM(C75)&amp;" ")-1),",","."),FIND("/",SUBSTITUTE(LEFT(TRIM(C75),FIND(" ",TRIM(C75)&amp;" ")-1),",","."))+1,9)),IF(ISNUMBER(SEARCH("yea",C75)),IFERROR(_xlfn.NUMBERVALUE(SUBSTITUTE(LEFT(TRIM(C75),FIND(" ",TRIM(C75)&amp;" ")-1),",","."),"."),LEFT(SUBSTITUTE(LEFT(TRIM(C75),FIND(" ",TRIM(C75)&amp;" ")-1),",","."),FIND("/",SUBSTITUTE(LEFT(TRIM(C75),FIND(" ",TRIM(C75)&amp;" ")-1),",","."))-1)/MID(SUBSTITUTE(LEFT(TRIM(C75),FIND(" ",TRIM(C75)&amp;" ")-1),",","."),FIND("/",SUBSTITUTE(LEFT(TRIM(C75),FIND(" ",TRIM(C75)&amp;" ")-1),",","."))+1,9))*12,NA()))),0),18)*'Aturan &amp; Tarif'!$B$4,2)</f>
        <v>1022.04</v>
      </c>
      <c r="K75" s="42" t="n">
        <f aca="false">'Aturan &amp; Tarif'!$B$5</f>
        <v>2050</v>
      </c>
      <c r="L75" s="35" t="n">
        <f aca="false">I75+J75+K75</f>
        <v>7672.04</v>
      </c>
      <c r="M75" s="45" t="s">
        <v>693</v>
      </c>
    </row>
    <row r="76" customFormat="false" ht="14.25" hidden="false" customHeight="true" outlineLevel="0" collapsed="false">
      <c r="A76" s="39"/>
      <c r="B76" s="40" t="s">
        <v>694</v>
      </c>
      <c r="C76" s="41" t="s">
        <v>130</v>
      </c>
      <c r="D76" s="41" t="s">
        <v>108</v>
      </c>
      <c r="E76" s="42" t="n">
        <v>3375</v>
      </c>
      <c r="F76" s="42" t="n">
        <v>1350</v>
      </c>
      <c r="G76" s="42"/>
      <c r="H76" s="43" t="n">
        <v>1</v>
      </c>
      <c r="I76" s="34" t="n">
        <f aca="false">E76*H76+N(F76)+N(G76)</f>
        <v>4725</v>
      </c>
      <c r="J76" s="42" t="n">
        <f aca="false">ROUND(IFERROR(ROUND(IF(OR(ISNUMBER(SEARCH("week",C76)),ISNUMBER(SEARCH("minggu",C76))),IFERROR(_xlfn.NUMBERVALUE(SUBSTITUTE(LEFT(TRIM(C76),FIND(" ",TRIM(C76)&amp;" ")-1),",","."),"."),LEFT(SUBSTITUTE(LEFT(TRIM(C76),FIND(" ",TRIM(C76)&amp;" ")-1),",","."),FIND("/",SUBSTITUTE(LEFT(TRIM(C76),FIND(" ",TRIM(C76)&amp;" ")-1),",","."))-1)/MID(SUBSTITUTE(LEFT(TRIM(C76),FIND(" ",TRIM(C76)&amp;" ")-1),",","."),FIND("/",SUBSTITUTE(LEFT(TRIM(C76),FIND(" ",TRIM(C76)&amp;" ")-1),",","."))+1,9))*12/52,IF(ISNUMBER(SEARCH("month",C76)),IFERROR(_xlfn.NUMBERVALUE(SUBSTITUTE(LEFT(TRIM(C76),FIND(" ",TRIM(C76)&amp;" ")-1),",","."),"."),LEFT(SUBSTITUTE(LEFT(TRIM(C76),FIND(" ",TRIM(C76)&amp;" ")-1),",","."),FIND("/",SUBSTITUTE(LEFT(TRIM(C76),FIND(" ",TRIM(C76)&amp;" ")-1),",","."))-1)/MID(SUBSTITUTE(LEFT(TRIM(C76),FIND(" ",TRIM(C76)&amp;" ")-1),",","."),FIND("/",SUBSTITUTE(LEFT(TRIM(C76),FIND(" ",TRIM(C76)&amp;" ")-1),",","."))+1,9)),IF(ISNUMBER(SEARCH("yea",C76)),IFERROR(_xlfn.NUMBERVALUE(SUBSTITUTE(LEFT(TRIM(C76),FIND(" ",TRIM(C76)&amp;" ")-1),",","."),"."),LEFT(SUBSTITUTE(LEFT(TRIM(C76),FIND(" ",TRIM(C76)&amp;" ")-1),",","."),FIND("/",SUBSTITUTE(LEFT(TRIM(C76),FIND(" ",TRIM(C76)&amp;" ")-1),",","."))-1)/MID(SUBSTITUTE(LEFT(TRIM(C76),FIND(" ",TRIM(C76)&amp;" ")-1),",","."),FIND("/",SUBSTITUTE(LEFT(TRIM(C76),FIND(" ",TRIM(C76)&amp;" ")-1),",","."))+1,9))*12,NA()))),0),12)*'Aturan &amp; Tarif'!$B$4,2)</f>
        <v>681.36</v>
      </c>
      <c r="K76" s="42" t="n">
        <f aca="false">'Aturan &amp; Tarif'!$B$5</f>
        <v>2050</v>
      </c>
      <c r="L76" s="35" t="n">
        <f aca="false">I76+J76+K76</f>
        <v>7456.36</v>
      </c>
      <c r="M76" s="45" t="s">
        <v>695</v>
      </c>
    </row>
    <row r="77" customFormat="false" ht="37.5" hidden="false" customHeight="true" outlineLevel="0" collapsed="false">
      <c r="A77" s="39" t="s">
        <v>696</v>
      </c>
      <c r="B77" s="40" t="s">
        <v>697</v>
      </c>
      <c r="C77" s="41" t="s">
        <v>107</v>
      </c>
      <c r="D77" s="41" t="s">
        <v>108</v>
      </c>
      <c r="E77" s="42" t="n">
        <v>1250</v>
      </c>
      <c r="F77" s="42" t="n">
        <v>120</v>
      </c>
      <c r="G77" s="42" t="n">
        <v>250</v>
      </c>
      <c r="H77" s="43" t="n">
        <v>1</v>
      </c>
      <c r="I77" s="34" t="n">
        <f aca="false">E77*H77+N(F77)+N(G77)</f>
        <v>1620</v>
      </c>
      <c r="J77" s="42" t="n">
        <f aca="false">ROUND(IFERROR(ROUND(IF(OR(ISNUMBER(SEARCH("week",C77)),ISNUMBER(SEARCH("minggu",C77))),IFERROR(_xlfn.NUMBERVALUE(SUBSTITUTE(LEFT(TRIM(C77),FIND(" ",TRIM(C77)&amp;" ")-1),",","."),"."),LEFT(SUBSTITUTE(LEFT(TRIM(C77),FIND(" ",TRIM(C77)&amp;" ")-1),",","."),FIND("/",SUBSTITUTE(LEFT(TRIM(C77),FIND(" ",TRIM(C77)&amp;" ")-1),",","."))-1)/MID(SUBSTITUTE(LEFT(TRIM(C77),FIND(" ",TRIM(C77)&amp;" ")-1),",","."),FIND("/",SUBSTITUTE(LEFT(TRIM(C77),FIND(" ",TRIM(C77)&amp;" ")-1),",","."))+1,9))*12/52,IF(ISNUMBER(SEARCH("month",C77)),IFERROR(_xlfn.NUMBERVALUE(SUBSTITUTE(LEFT(TRIM(C77),FIND(" ",TRIM(C77)&amp;" ")-1),",","."),"."),LEFT(SUBSTITUTE(LEFT(TRIM(C77),FIND(" ",TRIM(C77)&amp;" ")-1),",","."),FIND("/",SUBSTITUTE(LEFT(TRIM(C77),FIND(" ",TRIM(C77)&amp;" ")-1),",","."))-1)/MID(SUBSTITUTE(LEFT(TRIM(C77),FIND(" ",TRIM(C77)&amp;" ")-1),",","."),FIND("/",SUBSTITUTE(LEFT(TRIM(C77),FIND(" ",TRIM(C77)&amp;" ")-1),",","."))+1,9)),IF(ISNUMBER(SEARCH("yea",C77)),IFERROR(_xlfn.NUMBERVALUE(SUBSTITUTE(LEFT(TRIM(C77),FIND(" ",TRIM(C77)&amp;" ")-1),",","."),"."),LEFT(SUBSTITUTE(LEFT(TRIM(C77),FIND(" ",TRIM(C77)&amp;" ")-1),",","."),FIND("/",SUBSTITUTE(LEFT(TRIM(C77),FIND(" ",TRIM(C77)&amp;" ")-1),",","."))-1)/MID(SUBSTITUTE(LEFT(TRIM(C77),FIND(" ",TRIM(C77)&amp;" ")-1),",","."),FIND("/",SUBSTITUTE(LEFT(TRIM(C77),FIND(" ",TRIM(C77)&amp;" ")-1),",","."))+1,9))*12,NA()))),0),24)*'Aturan &amp; Tarif'!$B$4,2)</f>
        <v>1362.72</v>
      </c>
      <c r="K77" s="42" t="n">
        <f aca="false">'Aturan &amp; Tarif'!$B$5</f>
        <v>2050</v>
      </c>
      <c r="L77" s="35" t="n">
        <f aca="false">I77+J77+K77</f>
        <v>5032.72</v>
      </c>
      <c r="M77" s="45" t="s">
        <v>698</v>
      </c>
    </row>
    <row r="78" customFormat="false" ht="48.75" hidden="false" customHeight="true" outlineLevel="0" collapsed="false">
      <c r="A78" s="39"/>
      <c r="B78" s="40" t="s">
        <v>699</v>
      </c>
      <c r="C78" s="41" t="s">
        <v>136</v>
      </c>
      <c r="D78" s="41" t="s">
        <v>108</v>
      </c>
      <c r="E78" s="42" t="n">
        <v>1250</v>
      </c>
      <c r="F78" s="42" t="n">
        <v>120</v>
      </c>
      <c r="G78" s="42" t="n">
        <v>250</v>
      </c>
      <c r="H78" s="43" t="n">
        <v>1</v>
      </c>
      <c r="I78" s="34" t="n">
        <f aca="false">E78*H78+N(F78)+N(G78)</f>
        <v>1620</v>
      </c>
      <c r="J78" s="42" t="n">
        <f aca="false">ROUND(IFERROR(ROUND(IF(OR(ISNUMBER(SEARCH("week",C78)),ISNUMBER(SEARCH("minggu",C78))),IFERROR(_xlfn.NUMBERVALUE(SUBSTITUTE(LEFT(TRIM(C78),FIND(" ",TRIM(C78)&amp;" ")-1),",","."),"."),LEFT(SUBSTITUTE(LEFT(TRIM(C78),FIND(" ",TRIM(C78)&amp;" ")-1),",","."),FIND("/",SUBSTITUTE(LEFT(TRIM(C78),FIND(" ",TRIM(C78)&amp;" ")-1),",","."))-1)/MID(SUBSTITUTE(LEFT(TRIM(C78),FIND(" ",TRIM(C78)&amp;" ")-1),",","."),FIND("/",SUBSTITUTE(LEFT(TRIM(C78),FIND(" ",TRIM(C78)&amp;" ")-1),",","."))+1,9))*12/52,IF(ISNUMBER(SEARCH("month",C78)),IFERROR(_xlfn.NUMBERVALUE(SUBSTITUTE(LEFT(TRIM(C78),FIND(" ",TRIM(C78)&amp;" ")-1),",","."),"."),LEFT(SUBSTITUTE(LEFT(TRIM(C78),FIND(" ",TRIM(C78)&amp;" ")-1),",","."),FIND("/",SUBSTITUTE(LEFT(TRIM(C78),FIND(" ",TRIM(C78)&amp;" ")-1),",","."))-1)/MID(SUBSTITUTE(LEFT(TRIM(C78),FIND(" ",TRIM(C78)&amp;" ")-1),",","."),FIND("/",SUBSTITUTE(LEFT(TRIM(C78),FIND(" ",TRIM(C78)&amp;" ")-1),",","."))+1,9)),IF(ISNUMBER(SEARCH("yea",C78)),IFERROR(_xlfn.NUMBERVALUE(SUBSTITUTE(LEFT(TRIM(C78),FIND(" ",TRIM(C78)&amp;" ")-1),",","."),"."),LEFT(SUBSTITUTE(LEFT(TRIM(C78),FIND(" ",TRIM(C78)&amp;" ")-1),",","."),FIND("/",SUBSTITUTE(LEFT(TRIM(C78),FIND(" ",TRIM(C78)&amp;" ")-1),",","."))-1)/MID(SUBSTITUTE(LEFT(TRIM(C78),FIND(" ",TRIM(C78)&amp;" ")-1),",","."),FIND("/",SUBSTITUTE(LEFT(TRIM(C78),FIND(" ",TRIM(C78)&amp;" ")-1),",","."))+1,9))*12,NA()))),0),42)*'Aturan &amp; Tarif'!$B$4,2)</f>
        <v>2384.76</v>
      </c>
      <c r="K78" s="42" t="n">
        <f aca="false">'Aturan &amp; Tarif'!$B$5</f>
        <v>2050</v>
      </c>
      <c r="L78" s="35" t="n">
        <f aca="false">I78+J78+K78</f>
        <v>6054.76</v>
      </c>
      <c r="M78" s="44" t="s">
        <v>700</v>
      </c>
    </row>
    <row r="79" customFormat="false" ht="14.25" hidden="false" customHeight="true" outlineLevel="0" collapsed="false">
      <c r="A79" s="39"/>
      <c r="B79" s="40" t="s">
        <v>701</v>
      </c>
      <c r="C79" s="41" t="s">
        <v>107</v>
      </c>
      <c r="D79" s="41" t="s">
        <v>108</v>
      </c>
      <c r="E79" s="42" t="n">
        <v>1250</v>
      </c>
      <c r="F79" s="42" t="n">
        <v>120</v>
      </c>
      <c r="G79" s="42" t="n">
        <v>250</v>
      </c>
      <c r="H79" s="43" t="n">
        <v>1</v>
      </c>
      <c r="I79" s="34" t="n">
        <f aca="false">E79*H79+N(F79)+N(G79)</f>
        <v>1620</v>
      </c>
      <c r="J79" s="42" t="n">
        <f aca="false">ROUND(IFERROR(ROUND(IF(OR(ISNUMBER(SEARCH("week",C79)),ISNUMBER(SEARCH("minggu",C79))),IFERROR(_xlfn.NUMBERVALUE(SUBSTITUTE(LEFT(TRIM(C79),FIND(" ",TRIM(C79)&amp;" ")-1),",","."),"."),LEFT(SUBSTITUTE(LEFT(TRIM(C79),FIND(" ",TRIM(C79)&amp;" ")-1),",","."),FIND("/",SUBSTITUTE(LEFT(TRIM(C79),FIND(" ",TRIM(C79)&amp;" ")-1),",","."))-1)/MID(SUBSTITUTE(LEFT(TRIM(C79),FIND(" ",TRIM(C79)&amp;" ")-1),",","."),FIND("/",SUBSTITUTE(LEFT(TRIM(C79),FIND(" ",TRIM(C79)&amp;" ")-1),",","."))+1,9))*12/52,IF(ISNUMBER(SEARCH("month",C79)),IFERROR(_xlfn.NUMBERVALUE(SUBSTITUTE(LEFT(TRIM(C79),FIND(" ",TRIM(C79)&amp;" ")-1),",","."),"."),LEFT(SUBSTITUTE(LEFT(TRIM(C79),FIND(" ",TRIM(C79)&amp;" ")-1),",","."),FIND("/",SUBSTITUTE(LEFT(TRIM(C79),FIND(" ",TRIM(C79)&amp;" ")-1),",","."))-1)/MID(SUBSTITUTE(LEFT(TRIM(C79),FIND(" ",TRIM(C79)&amp;" ")-1),",","."),FIND("/",SUBSTITUTE(LEFT(TRIM(C79),FIND(" ",TRIM(C79)&amp;" ")-1),",","."))+1,9)),IF(ISNUMBER(SEARCH("yea",C79)),IFERROR(_xlfn.NUMBERVALUE(SUBSTITUTE(LEFT(TRIM(C79),FIND(" ",TRIM(C79)&amp;" ")-1),",","."),"."),LEFT(SUBSTITUTE(LEFT(TRIM(C79),FIND(" ",TRIM(C79)&amp;" ")-1),",","."),FIND("/",SUBSTITUTE(LEFT(TRIM(C79),FIND(" ",TRIM(C79)&amp;" ")-1),",","."))-1)/MID(SUBSTITUTE(LEFT(TRIM(C79),FIND(" ",TRIM(C79)&amp;" ")-1),",","."),FIND("/",SUBSTITUTE(LEFT(TRIM(C79),FIND(" ",TRIM(C79)&amp;" ")-1),",","."))+1,9))*12,NA()))),0),24)*'Aturan &amp; Tarif'!$B$4,2)</f>
        <v>1362.72</v>
      </c>
      <c r="K79" s="42" t="n">
        <f aca="false">'Aturan &amp; Tarif'!$B$5</f>
        <v>2050</v>
      </c>
      <c r="L79" s="35" t="n">
        <f aca="false">I79+J79+K79</f>
        <v>5032.72</v>
      </c>
      <c r="M79" s="45" t="s">
        <v>702</v>
      </c>
    </row>
    <row r="80" customFormat="false" ht="37.5" hidden="false" customHeight="true" outlineLevel="0" collapsed="false">
      <c r="A80" s="39"/>
      <c r="B80" s="40" t="s">
        <v>703</v>
      </c>
      <c r="C80" s="41" t="s">
        <v>136</v>
      </c>
      <c r="D80" s="41" t="s">
        <v>108</v>
      </c>
      <c r="E80" s="42" t="n">
        <v>1250</v>
      </c>
      <c r="F80" s="42" t="n">
        <v>120</v>
      </c>
      <c r="G80" s="42" t="n">
        <v>250</v>
      </c>
      <c r="H80" s="43" t="n">
        <v>1</v>
      </c>
      <c r="I80" s="34" t="n">
        <f aca="false">E80*H80+N(F80)+N(G80)</f>
        <v>1620</v>
      </c>
      <c r="J80" s="42" t="n">
        <f aca="false">ROUND(IFERROR(ROUND(IF(OR(ISNUMBER(SEARCH("week",C80)),ISNUMBER(SEARCH("minggu",C80))),IFERROR(_xlfn.NUMBERVALUE(SUBSTITUTE(LEFT(TRIM(C80),FIND(" ",TRIM(C80)&amp;" ")-1),",","."),"."),LEFT(SUBSTITUTE(LEFT(TRIM(C80),FIND(" ",TRIM(C80)&amp;" ")-1),",","."),FIND("/",SUBSTITUTE(LEFT(TRIM(C80),FIND(" ",TRIM(C80)&amp;" ")-1),",","."))-1)/MID(SUBSTITUTE(LEFT(TRIM(C80),FIND(" ",TRIM(C80)&amp;" ")-1),",","."),FIND("/",SUBSTITUTE(LEFT(TRIM(C80),FIND(" ",TRIM(C80)&amp;" ")-1),",","."))+1,9))*12/52,IF(ISNUMBER(SEARCH("month",C80)),IFERROR(_xlfn.NUMBERVALUE(SUBSTITUTE(LEFT(TRIM(C80),FIND(" ",TRIM(C80)&amp;" ")-1),",","."),"."),LEFT(SUBSTITUTE(LEFT(TRIM(C80),FIND(" ",TRIM(C80)&amp;" ")-1),",","."),FIND("/",SUBSTITUTE(LEFT(TRIM(C80),FIND(" ",TRIM(C80)&amp;" ")-1),",","."))-1)/MID(SUBSTITUTE(LEFT(TRIM(C80),FIND(" ",TRIM(C80)&amp;" ")-1),",","."),FIND("/",SUBSTITUTE(LEFT(TRIM(C80),FIND(" ",TRIM(C80)&amp;" ")-1),",","."))+1,9)),IF(ISNUMBER(SEARCH("yea",C80)),IFERROR(_xlfn.NUMBERVALUE(SUBSTITUTE(LEFT(TRIM(C80),FIND(" ",TRIM(C80)&amp;" ")-1),",","."),"."),LEFT(SUBSTITUTE(LEFT(TRIM(C80),FIND(" ",TRIM(C80)&amp;" ")-1),",","."),FIND("/",SUBSTITUTE(LEFT(TRIM(C80),FIND(" ",TRIM(C80)&amp;" ")-1),",","."))-1)/MID(SUBSTITUTE(LEFT(TRIM(C80),FIND(" ",TRIM(C80)&amp;" ")-1),",","."),FIND("/",SUBSTITUTE(LEFT(TRIM(C80),FIND(" ",TRIM(C80)&amp;" ")-1),",","."))+1,9))*12,NA()))),0),42)*'Aturan &amp; Tarif'!$B$4,2)</f>
        <v>2384.76</v>
      </c>
      <c r="K80" s="42" t="n">
        <f aca="false">'Aturan &amp; Tarif'!$B$5</f>
        <v>2050</v>
      </c>
      <c r="L80" s="35" t="n">
        <f aca="false">I80+J80+K80</f>
        <v>6054.76</v>
      </c>
      <c r="M80" s="44" t="s">
        <v>704</v>
      </c>
    </row>
    <row r="81" customFormat="false" ht="14.25" hidden="false" customHeight="true" outlineLevel="0" collapsed="false">
      <c r="A81" s="39"/>
      <c r="B81" s="40" t="s">
        <v>705</v>
      </c>
      <c r="C81" s="41" t="s">
        <v>706</v>
      </c>
      <c r="D81" s="41" t="s">
        <v>108</v>
      </c>
      <c r="E81" s="42" t="n">
        <v>1250</v>
      </c>
      <c r="F81" s="42" t="n">
        <v>120</v>
      </c>
      <c r="G81" s="42" t="n">
        <v>260</v>
      </c>
      <c r="H81" s="43" t="n">
        <v>1</v>
      </c>
      <c r="I81" s="34" t="n">
        <f aca="false">E81*H81+N(F81)+N(G81)</f>
        <v>1630</v>
      </c>
      <c r="J81" s="42" t="n">
        <f aca="false">ROUND(IFERROR(ROUND(IF(OR(ISNUMBER(SEARCH("week",C81)),ISNUMBER(SEARCH("minggu",C81))),IFERROR(_xlfn.NUMBERVALUE(SUBSTITUTE(LEFT(TRIM(C81),FIND(" ",TRIM(C81)&amp;" ")-1),",","."),"."),LEFT(SUBSTITUTE(LEFT(TRIM(C81),FIND(" ",TRIM(C81)&amp;" ")-1),",","."),FIND("/",SUBSTITUTE(LEFT(TRIM(C81),FIND(" ",TRIM(C81)&amp;" ")-1),",","."))-1)/MID(SUBSTITUTE(LEFT(TRIM(C81),FIND(" ",TRIM(C81)&amp;" ")-1),",","."),FIND("/",SUBSTITUTE(LEFT(TRIM(C81),FIND(" ",TRIM(C81)&amp;" ")-1),",","."))+1,9))*12/52,IF(ISNUMBER(SEARCH("month",C81)),IFERROR(_xlfn.NUMBERVALUE(SUBSTITUTE(LEFT(TRIM(C81),FIND(" ",TRIM(C81)&amp;" ")-1),",","."),"."),LEFT(SUBSTITUTE(LEFT(TRIM(C81),FIND(" ",TRIM(C81)&amp;" ")-1),",","."),FIND("/",SUBSTITUTE(LEFT(TRIM(C81),FIND(" ",TRIM(C81)&amp;" ")-1),",","."))-1)/MID(SUBSTITUTE(LEFT(TRIM(C81),FIND(" ",TRIM(C81)&amp;" ")-1),",","."),FIND("/",SUBSTITUTE(LEFT(TRIM(C81),FIND(" ",TRIM(C81)&amp;" ")-1),",","."))+1,9)),IF(ISNUMBER(SEARCH("yea",C81)),IFERROR(_xlfn.NUMBERVALUE(SUBSTITUTE(LEFT(TRIM(C81),FIND(" ",TRIM(C81)&amp;" ")-1),",","."),"."),LEFT(SUBSTITUTE(LEFT(TRIM(C81),FIND(" ",TRIM(C81)&amp;" ")-1),",","."),FIND("/",SUBSTITUTE(LEFT(TRIM(C81),FIND(" ",TRIM(C81)&amp;" ")-1),",","."))-1)/MID(SUBSTITUTE(LEFT(TRIM(C81),FIND(" ",TRIM(C81)&amp;" ")-1),",","."),FIND("/",SUBSTITUTE(LEFT(TRIM(C81),FIND(" ",TRIM(C81)&amp;" ")-1),",","."))+1,9))*12,NA()))),0),22)*'Aturan &amp; Tarif'!$B$4,2)</f>
        <v>1249.16</v>
      </c>
      <c r="K81" s="42" t="n">
        <f aca="false">'Aturan &amp; Tarif'!$B$5</f>
        <v>2050</v>
      </c>
      <c r="L81" s="35" t="n">
        <f aca="false">I81+J81+K81</f>
        <v>4929.16</v>
      </c>
      <c r="M81" s="45" t="s">
        <v>707</v>
      </c>
    </row>
    <row r="82" customFormat="false" ht="37.5" hidden="false" customHeight="true" outlineLevel="0" collapsed="false">
      <c r="A82" s="39"/>
      <c r="B82" s="40" t="s">
        <v>708</v>
      </c>
      <c r="C82" s="41" t="s">
        <v>709</v>
      </c>
      <c r="D82" s="41" t="s">
        <v>108</v>
      </c>
      <c r="E82" s="42" t="n">
        <v>1250</v>
      </c>
      <c r="F82" s="42" t="n">
        <v>120</v>
      </c>
      <c r="G82" s="42" t="n">
        <v>260</v>
      </c>
      <c r="H82" s="43" t="n">
        <v>1</v>
      </c>
      <c r="I82" s="34" t="n">
        <f aca="false">E82*H82+N(F82)+N(G82)</f>
        <v>1630</v>
      </c>
      <c r="J82" s="42" t="n">
        <f aca="false">ROUND(IFERROR(ROUND(IF(OR(ISNUMBER(SEARCH("week",C82)),ISNUMBER(SEARCH("minggu",C82))),IFERROR(_xlfn.NUMBERVALUE(SUBSTITUTE(LEFT(TRIM(C82),FIND(" ",TRIM(C82)&amp;" ")-1),",","."),"."),LEFT(SUBSTITUTE(LEFT(TRIM(C82),FIND(" ",TRIM(C82)&amp;" ")-1),",","."),FIND("/",SUBSTITUTE(LEFT(TRIM(C82),FIND(" ",TRIM(C82)&amp;" ")-1),",","."))-1)/MID(SUBSTITUTE(LEFT(TRIM(C82),FIND(" ",TRIM(C82)&amp;" ")-1),",","."),FIND("/",SUBSTITUTE(LEFT(TRIM(C82),FIND(" ",TRIM(C82)&amp;" ")-1),",","."))+1,9))*12/52,IF(ISNUMBER(SEARCH("month",C82)),IFERROR(_xlfn.NUMBERVALUE(SUBSTITUTE(LEFT(TRIM(C82),FIND(" ",TRIM(C82)&amp;" ")-1),",","."),"."),LEFT(SUBSTITUTE(LEFT(TRIM(C82),FIND(" ",TRIM(C82)&amp;" ")-1),",","."),FIND("/",SUBSTITUTE(LEFT(TRIM(C82),FIND(" ",TRIM(C82)&amp;" ")-1),",","."))-1)/MID(SUBSTITUTE(LEFT(TRIM(C82),FIND(" ",TRIM(C82)&amp;" ")-1),",","."),FIND("/",SUBSTITUTE(LEFT(TRIM(C82),FIND(" ",TRIM(C82)&amp;" ")-1),",","."))+1,9)),IF(ISNUMBER(SEARCH("yea",C82)),IFERROR(_xlfn.NUMBERVALUE(SUBSTITUTE(LEFT(TRIM(C82),FIND(" ",TRIM(C82)&amp;" ")-1),",","."),"."),LEFT(SUBSTITUTE(LEFT(TRIM(C82),FIND(" ",TRIM(C82)&amp;" ")-1),",","."),FIND("/",SUBSTITUTE(LEFT(TRIM(C82),FIND(" ",TRIM(C82)&amp;" ")-1),",","."))-1)/MID(SUBSTITUTE(LEFT(TRIM(C82),FIND(" ",TRIM(C82)&amp;" ")-1),",","."),FIND("/",SUBSTITUTE(LEFT(TRIM(C82),FIND(" ",TRIM(C82)&amp;" ")-1),",","."))+1,9))*12,NA()))),0),40)*'Aturan &amp; Tarif'!$B$4,2)</f>
        <v>2271.2</v>
      </c>
      <c r="K82" s="42" t="n">
        <f aca="false">'Aturan &amp; Tarif'!$B$5</f>
        <v>2050</v>
      </c>
      <c r="L82" s="35" t="n">
        <f aca="false">I82+J82+K82</f>
        <v>5951.2</v>
      </c>
      <c r="M82" s="44" t="s">
        <v>710</v>
      </c>
    </row>
    <row r="83" customFormat="false" ht="25.5" hidden="false" customHeight="true" outlineLevel="0" collapsed="false">
      <c r="A83" s="39"/>
      <c r="B83" s="40" t="s">
        <v>711</v>
      </c>
      <c r="C83" s="41" t="s">
        <v>712</v>
      </c>
      <c r="D83" s="41" t="s">
        <v>108</v>
      </c>
      <c r="E83" s="42" t="n">
        <v>1600</v>
      </c>
      <c r="F83" s="42" t="n">
        <v>500</v>
      </c>
      <c r="G83" s="42" t="n">
        <v>260</v>
      </c>
      <c r="H83" s="43" t="n">
        <v>1</v>
      </c>
      <c r="I83" s="34" t="n">
        <f aca="false">E83*H83+N(F83)+N(G83)</f>
        <v>2360</v>
      </c>
      <c r="J83" s="42" t="n">
        <f aca="false">ROUND(IFERROR(ROUND(IF(OR(ISNUMBER(SEARCH("week",C83)),ISNUMBER(SEARCH("minggu",C83))),IFERROR(_xlfn.NUMBERVALUE(SUBSTITUTE(LEFT(TRIM(C83),FIND(" ",TRIM(C83)&amp;" ")-1),",","."),"."),LEFT(SUBSTITUTE(LEFT(TRIM(C83),FIND(" ",TRIM(C83)&amp;" ")-1),",","."),FIND("/",SUBSTITUTE(LEFT(TRIM(C83),FIND(" ",TRIM(C83)&amp;" ")-1),",","."))-1)/MID(SUBSTITUTE(LEFT(TRIM(C83),FIND(" ",TRIM(C83)&amp;" ")-1),",","."),FIND("/",SUBSTITUTE(LEFT(TRIM(C83),FIND(" ",TRIM(C83)&amp;" ")-1),",","."))+1,9))*12/52,IF(ISNUMBER(SEARCH("month",C83)),IFERROR(_xlfn.NUMBERVALUE(SUBSTITUTE(LEFT(TRIM(C83),FIND(" ",TRIM(C83)&amp;" ")-1),",","."),"."),LEFT(SUBSTITUTE(LEFT(TRIM(C83),FIND(" ",TRIM(C83)&amp;" ")-1),",","."),FIND("/",SUBSTITUTE(LEFT(TRIM(C83),FIND(" ",TRIM(C83)&amp;" ")-1),",","."))-1)/MID(SUBSTITUTE(LEFT(TRIM(C83),FIND(" ",TRIM(C83)&amp;" ")-1),",","."),FIND("/",SUBSTITUTE(LEFT(TRIM(C83),FIND(" ",TRIM(C83)&amp;" ")-1),",","."))+1,9)),IF(ISNUMBER(SEARCH("yea",C83)),IFERROR(_xlfn.NUMBERVALUE(SUBSTITUTE(LEFT(TRIM(C83),FIND(" ",TRIM(C83)&amp;" ")-1),",","."),"."),LEFT(SUBSTITUTE(LEFT(TRIM(C83),FIND(" ",TRIM(C83)&amp;" ")-1),",","."),FIND("/",SUBSTITUTE(LEFT(TRIM(C83),FIND(" ",TRIM(C83)&amp;" ")-1),",","."))-1)/MID(SUBSTITUTE(LEFT(TRIM(C83),FIND(" ",TRIM(C83)&amp;" ")-1),",","."),FIND("/",SUBSTITUTE(LEFT(TRIM(C83),FIND(" ",TRIM(C83)&amp;" ")-1),",","."))+1,9))*12,NA()))),0),30)*'Aturan &amp; Tarif'!$B$4,2)</f>
        <v>1703.4</v>
      </c>
      <c r="K83" s="42" t="n">
        <f aca="false">'Aturan &amp; Tarif'!$B$5</f>
        <v>2050</v>
      </c>
      <c r="L83" s="35" t="n">
        <f aca="false">I83+J83+K83</f>
        <v>6113.4</v>
      </c>
      <c r="M83" s="45" t="s">
        <v>713</v>
      </c>
    </row>
    <row r="84" customFormat="false" ht="37.5" hidden="false" customHeight="true" outlineLevel="0" collapsed="false">
      <c r="A84" s="39"/>
      <c r="B84" s="40" t="s">
        <v>714</v>
      </c>
      <c r="C84" s="41" t="s">
        <v>715</v>
      </c>
      <c r="D84" s="41" t="s">
        <v>108</v>
      </c>
      <c r="E84" s="42" t="n">
        <v>1950</v>
      </c>
      <c r="F84" s="42" t="n">
        <v>1700</v>
      </c>
      <c r="G84" s="42" t="n">
        <v>260</v>
      </c>
      <c r="H84" s="43" t="n">
        <v>1</v>
      </c>
      <c r="I84" s="34" t="n">
        <f aca="false">E84*H84+N(F84)+N(G84)</f>
        <v>3910</v>
      </c>
      <c r="J84" s="42" t="n">
        <f aca="false">ROUND(IFERROR(ROUND(IF(OR(ISNUMBER(SEARCH("week",C84)),ISNUMBER(SEARCH("minggu",C84))),IFERROR(_xlfn.NUMBERVALUE(SUBSTITUTE(LEFT(TRIM(C84),FIND(" ",TRIM(C84)&amp;" ")-1),",","."),"."),LEFT(SUBSTITUTE(LEFT(TRIM(C84),FIND(" ",TRIM(C84)&amp;" ")-1),",","."),FIND("/",SUBSTITUTE(LEFT(TRIM(C84),FIND(" ",TRIM(C84)&amp;" ")-1),",","."))-1)/MID(SUBSTITUTE(LEFT(TRIM(C84),FIND(" ",TRIM(C84)&amp;" ")-1),",","."),FIND("/",SUBSTITUTE(LEFT(TRIM(C84),FIND(" ",TRIM(C84)&amp;" ")-1),",","."))+1,9))*12/52,IF(ISNUMBER(SEARCH("month",C84)),IFERROR(_xlfn.NUMBERVALUE(SUBSTITUTE(LEFT(TRIM(C84),FIND(" ",TRIM(C84)&amp;" ")-1),",","."),"."),LEFT(SUBSTITUTE(LEFT(TRIM(C84),FIND(" ",TRIM(C84)&amp;" ")-1),",","."),FIND("/",SUBSTITUTE(LEFT(TRIM(C84),FIND(" ",TRIM(C84)&amp;" ")-1),",","."))-1)/MID(SUBSTITUTE(LEFT(TRIM(C84),FIND(" ",TRIM(C84)&amp;" ")-1),",","."),FIND("/",SUBSTITUTE(LEFT(TRIM(C84),FIND(" ",TRIM(C84)&amp;" ")-1),",","."))+1,9)),IF(ISNUMBER(SEARCH("yea",C84)),IFERROR(_xlfn.NUMBERVALUE(SUBSTITUTE(LEFT(TRIM(C84),FIND(" ",TRIM(C84)&amp;" ")-1),",","."),"."),LEFT(SUBSTITUTE(LEFT(TRIM(C84),FIND(" ",TRIM(C84)&amp;" ")-1),",","."),FIND("/",SUBSTITUTE(LEFT(TRIM(C84),FIND(" ",TRIM(C84)&amp;" ")-1),",","."))-1)/MID(SUBSTITUTE(LEFT(TRIM(C84),FIND(" ",TRIM(C84)&amp;" ")-1),",","."),FIND("/",SUBSTITUTE(LEFT(TRIM(C84),FIND(" ",TRIM(C84)&amp;" ")-1),",","."))+1,9))*12,NA()))),0),25)*'Aturan &amp; Tarif'!$B$4,2)</f>
        <v>1419.5</v>
      </c>
      <c r="K84" s="42" t="n">
        <f aca="false">'Aturan &amp; Tarif'!$B$5</f>
        <v>2050</v>
      </c>
      <c r="L84" s="35" t="n">
        <f aca="false">I84+J84+K84</f>
        <v>7379.5</v>
      </c>
      <c r="M84" s="45" t="s">
        <v>716</v>
      </c>
    </row>
    <row r="85" customFormat="false" ht="37.5" hidden="false" customHeight="true" outlineLevel="0" collapsed="false">
      <c r="A85" s="39"/>
      <c r="B85" s="40" t="s">
        <v>717</v>
      </c>
      <c r="C85" s="41" t="s">
        <v>718</v>
      </c>
      <c r="D85" s="41" t="s">
        <v>108</v>
      </c>
      <c r="E85" s="42" t="n">
        <v>1950</v>
      </c>
      <c r="F85" s="42" t="n">
        <v>1700</v>
      </c>
      <c r="G85" s="42" t="n">
        <v>260</v>
      </c>
      <c r="H85" s="43" t="n">
        <v>1</v>
      </c>
      <c r="I85" s="34" t="n">
        <f aca="false">E85*H85+N(F85)+N(G85)</f>
        <v>3910</v>
      </c>
      <c r="J85" s="42" t="n">
        <f aca="false">ROUND(IFERROR(ROUND(IF(OR(ISNUMBER(SEARCH("week",C85)),ISNUMBER(SEARCH("minggu",C85))),IFERROR(_xlfn.NUMBERVALUE(SUBSTITUTE(LEFT(TRIM(C85),FIND(" ",TRIM(C85)&amp;" ")-1),",","."),"."),LEFT(SUBSTITUTE(LEFT(TRIM(C85),FIND(" ",TRIM(C85)&amp;" ")-1),",","."),FIND("/",SUBSTITUTE(LEFT(TRIM(C85),FIND(" ",TRIM(C85)&amp;" ")-1),",","."))-1)/MID(SUBSTITUTE(LEFT(TRIM(C85),FIND(" ",TRIM(C85)&amp;" ")-1),",","."),FIND("/",SUBSTITUTE(LEFT(TRIM(C85),FIND(" ",TRIM(C85)&amp;" ")-1),",","."))+1,9))*12/52,IF(ISNUMBER(SEARCH("month",C85)),IFERROR(_xlfn.NUMBERVALUE(SUBSTITUTE(LEFT(TRIM(C85),FIND(" ",TRIM(C85)&amp;" ")-1),",","."),"."),LEFT(SUBSTITUTE(LEFT(TRIM(C85),FIND(" ",TRIM(C85)&amp;" ")-1),",","."),FIND("/",SUBSTITUTE(LEFT(TRIM(C85),FIND(" ",TRIM(C85)&amp;" ")-1),",","."))-1)/MID(SUBSTITUTE(LEFT(TRIM(C85),FIND(" ",TRIM(C85)&amp;" ")-1),",","."),FIND("/",SUBSTITUTE(LEFT(TRIM(C85),FIND(" ",TRIM(C85)&amp;" ")-1),",","."))+1,9)),IF(ISNUMBER(SEARCH("yea",C85)),IFERROR(_xlfn.NUMBERVALUE(SUBSTITUTE(LEFT(TRIM(C85),FIND(" ",TRIM(C85)&amp;" ")-1),",","."),"."),LEFT(SUBSTITUTE(LEFT(TRIM(C85),FIND(" ",TRIM(C85)&amp;" ")-1),",","."),FIND("/",SUBSTITUTE(LEFT(TRIM(C85),FIND(" ",TRIM(C85)&amp;" ")-1),",","."))-1)/MID(SUBSTITUTE(LEFT(TRIM(C85),FIND(" ",TRIM(C85)&amp;" ")-1),",","."),FIND("/",SUBSTITUTE(LEFT(TRIM(C85),FIND(" ",TRIM(C85)&amp;" ")-1),",","."))+1,9))*12,NA()))),0),33)*'Aturan &amp; Tarif'!$B$4,2)</f>
        <v>1873.74</v>
      </c>
      <c r="K85" s="42" t="n">
        <f aca="false">'Aturan &amp; Tarif'!$B$5</f>
        <v>2050</v>
      </c>
      <c r="L85" s="35" t="n">
        <f aca="false">I85+J85+K85</f>
        <v>7833.74</v>
      </c>
      <c r="M85" s="45" t="s">
        <v>719</v>
      </c>
    </row>
    <row r="86" customFormat="false" ht="25.5" hidden="false" customHeight="true" outlineLevel="0" collapsed="false">
      <c r="A86" s="39"/>
      <c r="B86" s="40" t="s">
        <v>720</v>
      </c>
      <c r="C86" s="41" t="s">
        <v>721</v>
      </c>
      <c r="D86" s="41" t="s">
        <v>108</v>
      </c>
      <c r="E86" s="42" t="n">
        <v>1600</v>
      </c>
      <c r="F86" s="42" t="n">
        <v>500</v>
      </c>
      <c r="G86" s="42" t="n">
        <v>260</v>
      </c>
      <c r="H86" s="43" t="n">
        <v>1</v>
      </c>
      <c r="I86" s="34" t="n">
        <f aca="false">E86*H86+N(F86)+N(G86)</f>
        <v>2360</v>
      </c>
      <c r="J86" s="42" t="n">
        <f aca="false">ROUND(IFERROR(ROUND(IF(OR(ISNUMBER(SEARCH("week",C86)),ISNUMBER(SEARCH("minggu",C86))),IFERROR(_xlfn.NUMBERVALUE(SUBSTITUTE(LEFT(TRIM(C86),FIND(" ",TRIM(C86)&amp;" ")-1),",","."),"."),LEFT(SUBSTITUTE(LEFT(TRIM(C86),FIND(" ",TRIM(C86)&amp;" ")-1),",","."),FIND("/",SUBSTITUTE(LEFT(TRIM(C86),FIND(" ",TRIM(C86)&amp;" ")-1),",","."))-1)/MID(SUBSTITUTE(LEFT(TRIM(C86),FIND(" ",TRIM(C86)&amp;" ")-1),",","."),FIND("/",SUBSTITUTE(LEFT(TRIM(C86),FIND(" ",TRIM(C86)&amp;" ")-1),",","."))+1,9))*12/52,IF(ISNUMBER(SEARCH("month",C86)),IFERROR(_xlfn.NUMBERVALUE(SUBSTITUTE(LEFT(TRIM(C86),FIND(" ",TRIM(C86)&amp;" ")-1),",","."),"."),LEFT(SUBSTITUTE(LEFT(TRIM(C86),FIND(" ",TRIM(C86)&amp;" ")-1),",","."),FIND("/",SUBSTITUTE(LEFT(TRIM(C86),FIND(" ",TRIM(C86)&amp;" ")-1),",","."))-1)/MID(SUBSTITUTE(LEFT(TRIM(C86),FIND(" ",TRIM(C86)&amp;" ")-1),",","."),FIND("/",SUBSTITUTE(LEFT(TRIM(C86),FIND(" ",TRIM(C86)&amp;" ")-1),",","."))+1,9)),IF(ISNUMBER(SEARCH("yea",C86)),IFERROR(_xlfn.NUMBERVALUE(SUBSTITUTE(LEFT(TRIM(C86),FIND(" ",TRIM(C86)&amp;" ")-1),",","."),"."),LEFT(SUBSTITUTE(LEFT(TRIM(C86),FIND(" ",TRIM(C86)&amp;" ")-1),",","."),FIND("/",SUBSTITUTE(LEFT(TRIM(C86),FIND(" ",TRIM(C86)&amp;" ")-1),",","."))-1)/MID(SUBSTITUTE(LEFT(TRIM(C86),FIND(" ",TRIM(C86)&amp;" ")-1),",","."),FIND("/",SUBSTITUTE(LEFT(TRIM(C86),FIND(" ",TRIM(C86)&amp;" ")-1),",","."))+1,9))*12,NA()))),0),19)*'Aturan &amp; Tarif'!$B$4,2)</f>
        <v>1078.82</v>
      </c>
      <c r="K86" s="42" t="n">
        <f aca="false">'Aturan &amp; Tarif'!$B$5</f>
        <v>2050</v>
      </c>
      <c r="L86" s="35" t="n">
        <f aca="false">I86+J86+K86</f>
        <v>5488.82</v>
      </c>
      <c r="M86" s="45" t="s">
        <v>722</v>
      </c>
    </row>
    <row r="87" customFormat="false" ht="48.75" hidden="false" customHeight="true" outlineLevel="0" collapsed="false">
      <c r="A87" s="39"/>
      <c r="B87" s="40" t="s">
        <v>3459</v>
      </c>
      <c r="C87" s="41" t="s">
        <v>724</v>
      </c>
      <c r="D87" s="41" t="s">
        <v>108</v>
      </c>
      <c r="E87" s="42" t="n">
        <v>1600</v>
      </c>
      <c r="F87" s="42" t="n">
        <v>500</v>
      </c>
      <c r="G87" s="42" t="n">
        <v>260</v>
      </c>
      <c r="H87" s="43" t="n">
        <v>1</v>
      </c>
      <c r="I87" s="34" t="n">
        <f aca="false">E87*H87+N(F87)+N(G87)</f>
        <v>2360</v>
      </c>
      <c r="J87" s="42" t="n">
        <f aca="false">ROUND(IFERROR(ROUND(IF(OR(ISNUMBER(SEARCH("week",C87)),ISNUMBER(SEARCH("minggu",C87))),IFERROR(_xlfn.NUMBERVALUE(SUBSTITUTE(LEFT(TRIM(C87),FIND(" ",TRIM(C87)&amp;" ")-1),",","."),"."),LEFT(SUBSTITUTE(LEFT(TRIM(C87),FIND(" ",TRIM(C87)&amp;" ")-1),",","."),FIND("/",SUBSTITUTE(LEFT(TRIM(C87),FIND(" ",TRIM(C87)&amp;" ")-1),",","."))-1)/MID(SUBSTITUTE(LEFT(TRIM(C87),FIND(" ",TRIM(C87)&amp;" ")-1),",","."),FIND("/",SUBSTITUTE(LEFT(TRIM(C87),FIND(" ",TRIM(C87)&amp;" ")-1),",","."))+1,9))*12/52,IF(ISNUMBER(SEARCH("month",C87)),IFERROR(_xlfn.NUMBERVALUE(SUBSTITUTE(LEFT(TRIM(C87),FIND(" ",TRIM(C87)&amp;" ")-1),",","."),"."),LEFT(SUBSTITUTE(LEFT(TRIM(C87),FIND(" ",TRIM(C87)&amp;" ")-1),",","."),FIND("/",SUBSTITUTE(LEFT(TRIM(C87),FIND(" ",TRIM(C87)&amp;" ")-1),",","."))-1)/MID(SUBSTITUTE(LEFT(TRIM(C87),FIND(" ",TRIM(C87)&amp;" ")-1),",","."),FIND("/",SUBSTITUTE(LEFT(TRIM(C87),FIND(" ",TRIM(C87)&amp;" ")-1),",","."))+1,9)),IF(ISNUMBER(SEARCH("yea",C87)),IFERROR(_xlfn.NUMBERVALUE(SUBSTITUTE(LEFT(TRIM(C87),FIND(" ",TRIM(C87)&amp;" ")-1),",","."),"."),LEFT(SUBSTITUTE(LEFT(TRIM(C87),FIND(" ",TRIM(C87)&amp;" ")-1),",","."),FIND("/",SUBSTITUTE(LEFT(TRIM(C87),FIND(" ",TRIM(C87)&amp;" ")-1),",","."))-1)/MID(SUBSTITUTE(LEFT(TRIM(C87),FIND(" ",TRIM(C87)&amp;" ")-1),",","."),FIND("/",SUBSTITUTE(LEFT(TRIM(C87),FIND(" ",TRIM(C87)&amp;" ")-1),",","."))+1,9))*12,NA()))),0),37)*'Aturan &amp; Tarif'!$B$4,2)</f>
        <v>2100.86</v>
      </c>
      <c r="K87" s="42" t="n">
        <f aca="false">'Aturan &amp; Tarif'!$B$5</f>
        <v>2050</v>
      </c>
      <c r="L87" s="35" t="n">
        <f aca="false">I87+J87+K87</f>
        <v>6510.86</v>
      </c>
      <c r="M87" s="45" t="s">
        <v>3460</v>
      </c>
    </row>
    <row r="88" customFormat="false" ht="37.5" hidden="false" customHeight="true" outlineLevel="0" collapsed="false">
      <c r="A88" s="39"/>
      <c r="B88" s="40" t="s">
        <v>932</v>
      </c>
      <c r="C88" s="41" t="s">
        <v>107</v>
      </c>
      <c r="D88" s="41" t="s">
        <v>108</v>
      </c>
      <c r="E88" s="42" t="n">
        <v>1350</v>
      </c>
      <c r="F88" s="42" t="n">
        <v>500</v>
      </c>
      <c r="G88" s="42" t="n">
        <v>250</v>
      </c>
      <c r="H88" s="43" t="n">
        <v>1</v>
      </c>
      <c r="I88" s="34" t="n">
        <f aca="false">E88*H88+N(F88)+N(G88)</f>
        <v>2100</v>
      </c>
      <c r="J88" s="42" t="n">
        <f aca="false">ROUND(IFERROR(ROUND(IF(OR(ISNUMBER(SEARCH("week",C88)),ISNUMBER(SEARCH("minggu",C88))),IFERROR(_xlfn.NUMBERVALUE(SUBSTITUTE(LEFT(TRIM(C88),FIND(" ",TRIM(C88)&amp;" ")-1),",","."),"."),LEFT(SUBSTITUTE(LEFT(TRIM(C88),FIND(" ",TRIM(C88)&amp;" ")-1),",","."),FIND("/",SUBSTITUTE(LEFT(TRIM(C88),FIND(" ",TRIM(C88)&amp;" ")-1),",","."))-1)/MID(SUBSTITUTE(LEFT(TRIM(C88),FIND(" ",TRIM(C88)&amp;" ")-1),",","."),FIND("/",SUBSTITUTE(LEFT(TRIM(C88),FIND(" ",TRIM(C88)&amp;" ")-1),",","."))+1,9))*12/52,IF(ISNUMBER(SEARCH("month",C88)),IFERROR(_xlfn.NUMBERVALUE(SUBSTITUTE(LEFT(TRIM(C88),FIND(" ",TRIM(C88)&amp;" ")-1),",","."),"."),LEFT(SUBSTITUTE(LEFT(TRIM(C88),FIND(" ",TRIM(C88)&amp;" ")-1),",","."),FIND("/",SUBSTITUTE(LEFT(TRIM(C88),FIND(" ",TRIM(C88)&amp;" ")-1),",","."))-1)/MID(SUBSTITUTE(LEFT(TRIM(C88),FIND(" ",TRIM(C88)&amp;" ")-1),",","."),FIND("/",SUBSTITUTE(LEFT(TRIM(C88),FIND(" ",TRIM(C88)&amp;" ")-1),",","."))+1,9)),IF(ISNUMBER(SEARCH("yea",C88)),IFERROR(_xlfn.NUMBERVALUE(SUBSTITUTE(LEFT(TRIM(C88),FIND(" ",TRIM(C88)&amp;" ")-1),",","."),"."),LEFT(SUBSTITUTE(LEFT(TRIM(C88),FIND(" ",TRIM(C88)&amp;" ")-1),",","."),FIND("/",SUBSTITUTE(LEFT(TRIM(C88),FIND(" ",TRIM(C88)&amp;" ")-1),",","."))-1)/MID(SUBSTITUTE(LEFT(TRIM(C88),FIND(" ",TRIM(C88)&amp;" ")-1),",","."),FIND("/",SUBSTITUTE(LEFT(TRIM(C88),FIND(" ",TRIM(C88)&amp;" ")-1),",","."))+1,9))*12,NA()))),0),24)*'Aturan &amp; Tarif'!$B$4,2)</f>
        <v>1362.72</v>
      </c>
      <c r="K88" s="42" t="n">
        <f aca="false">'Aturan &amp; Tarif'!$B$5</f>
        <v>2050</v>
      </c>
      <c r="L88" s="35" t="n">
        <f aca="false">I88+J88+K88</f>
        <v>5512.72</v>
      </c>
      <c r="M88" s="44" t="s">
        <v>1633</v>
      </c>
    </row>
    <row r="89" customFormat="false" ht="60" hidden="false" customHeight="true" outlineLevel="0" collapsed="false">
      <c r="A89" s="47" t="s">
        <v>726</v>
      </c>
      <c r="B89" s="40" t="s">
        <v>727</v>
      </c>
      <c r="C89" s="41" t="s">
        <v>127</v>
      </c>
      <c r="D89" s="41" t="s">
        <v>108</v>
      </c>
      <c r="E89" s="42" t="n">
        <v>4025</v>
      </c>
      <c r="F89" s="42" t="n">
        <v>200</v>
      </c>
      <c r="G89" s="42" t="n">
        <v>250</v>
      </c>
      <c r="H89" s="43" t="n">
        <v>2</v>
      </c>
      <c r="I89" s="34" t="n">
        <f aca="false">E89*H89+N(F89)+N(G89)</f>
        <v>8500</v>
      </c>
      <c r="J89" s="42" t="n">
        <f aca="false">ROUND(IFERROR(ROUND(IF(OR(ISNUMBER(SEARCH("week",C89)),ISNUMBER(SEARCH("minggu",C89))),IFERROR(_xlfn.NUMBERVALUE(SUBSTITUTE(LEFT(TRIM(C89),FIND(" ",TRIM(C89)&amp;" ")-1),",","."),"."),LEFT(SUBSTITUTE(LEFT(TRIM(C89),FIND(" ",TRIM(C89)&amp;" ")-1),",","."),FIND("/",SUBSTITUTE(LEFT(TRIM(C89),FIND(" ",TRIM(C89)&amp;" ")-1),",","."))-1)/MID(SUBSTITUTE(LEFT(TRIM(C89),FIND(" ",TRIM(C89)&amp;" ")-1),",","."),FIND("/",SUBSTITUTE(LEFT(TRIM(C89),FIND(" ",TRIM(C89)&amp;" ")-1),",","."))+1,9))*12/52,IF(ISNUMBER(SEARCH("month",C89)),IFERROR(_xlfn.NUMBERVALUE(SUBSTITUTE(LEFT(TRIM(C89),FIND(" ",TRIM(C89)&amp;" ")-1),",","."),"."),LEFT(SUBSTITUTE(LEFT(TRIM(C89),FIND(" ",TRIM(C89)&amp;" ")-1),",","."),FIND("/",SUBSTITUTE(LEFT(TRIM(C89),FIND(" ",TRIM(C89)&amp;" ")-1),",","."))-1)/MID(SUBSTITUTE(LEFT(TRIM(C89),FIND(" ",TRIM(C89)&amp;" ")-1),",","."),FIND("/",SUBSTITUTE(LEFT(TRIM(C89),FIND(" ",TRIM(C89)&amp;" ")-1),",","."))+1,9)),IF(ISNUMBER(SEARCH("yea",C89)),IFERROR(_xlfn.NUMBERVALUE(SUBSTITUTE(LEFT(TRIM(C89),FIND(" ",TRIM(C89)&amp;" ")-1),",","."),"."),LEFT(SUBSTITUTE(LEFT(TRIM(C89),FIND(" ",TRIM(C89)&amp;" ")-1),",","."),FIND("/",SUBSTITUTE(LEFT(TRIM(C89),FIND(" ",TRIM(C89)&amp;" ")-1),",","."))-1)/MID(SUBSTITUTE(LEFT(TRIM(C89),FIND(" ",TRIM(C89)&amp;" ")-1),",","."),FIND("/",SUBSTITUTE(LEFT(TRIM(C89),FIND(" ",TRIM(C89)&amp;" ")-1),",","."))+1,9))*12,NA()))),0),36)*'Aturan &amp; Tarif'!$B$4,2)</f>
        <v>2044.08</v>
      </c>
      <c r="K89" s="42" t="n">
        <f aca="false">'Aturan &amp; Tarif'!$B$5</f>
        <v>2050</v>
      </c>
      <c r="L89" s="35" t="n">
        <f aca="false">I89+J89+K89</f>
        <v>12594.08</v>
      </c>
      <c r="M89" s="44" t="s">
        <v>728</v>
      </c>
    </row>
    <row r="90" customFormat="false" ht="60" hidden="false" customHeight="true" outlineLevel="0" collapsed="false">
      <c r="A90" s="39"/>
      <c r="B90" s="40" t="s">
        <v>729</v>
      </c>
      <c r="C90" s="41" t="s">
        <v>127</v>
      </c>
      <c r="D90" s="41" t="s">
        <v>108</v>
      </c>
      <c r="E90" s="42" t="n">
        <v>4025</v>
      </c>
      <c r="F90" s="42" t="n">
        <v>200</v>
      </c>
      <c r="G90" s="42" t="n">
        <v>250</v>
      </c>
      <c r="H90" s="43" t="n">
        <v>2</v>
      </c>
      <c r="I90" s="34" t="n">
        <f aca="false">E90*H90+N(F90)+N(G90)</f>
        <v>8500</v>
      </c>
      <c r="J90" s="42" t="n">
        <f aca="false">ROUND(IFERROR(ROUND(IF(OR(ISNUMBER(SEARCH("week",C90)),ISNUMBER(SEARCH("minggu",C90))),IFERROR(_xlfn.NUMBERVALUE(SUBSTITUTE(LEFT(TRIM(C90),FIND(" ",TRIM(C90)&amp;" ")-1),",","."),"."),LEFT(SUBSTITUTE(LEFT(TRIM(C90),FIND(" ",TRIM(C90)&amp;" ")-1),",","."),FIND("/",SUBSTITUTE(LEFT(TRIM(C90),FIND(" ",TRIM(C90)&amp;" ")-1),",","."))-1)/MID(SUBSTITUTE(LEFT(TRIM(C90),FIND(" ",TRIM(C90)&amp;" ")-1),",","."),FIND("/",SUBSTITUTE(LEFT(TRIM(C90),FIND(" ",TRIM(C90)&amp;" ")-1),",","."))+1,9))*12/52,IF(ISNUMBER(SEARCH("month",C90)),IFERROR(_xlfn.NUMBERVALUE(SUBSTITUTE(LEFT(TRIM(C90),FIND(" ",TRIM(C90)&amp;" ")-1),",","."),"."),LEFT(SUBSTITUTE(LEFT(TRIM(C90),FIND(" ",TRIM(C90)&amp;" ")-1),",","."),FIND("/",SUBSTITUTE(LEFT(TRIM(C90),FIND(" ",TRIM(C90)&amp;" ")-1),",","."))-1)/MID(SUBSTITUTE(LEFT(TRIM(C90),FIND(" ",TRIM(C90)&amp;" ")-1),",","."),FIND("/",SUBSTITUTE(LEFT(TRIM(C90),FIND(" ",TRIM(C90)&amp;" ")-1),",","."))+1,9)),IF(ISNUMBER(SEARCH("yea",C90)),IFERROR(_xlfn.NUMBERVALUE(SUBSTITUTE(LEFT(TRIM(C90),FIND(" ",TRIM(C90)&amp;" ")-1),",","."),"."),LEFT(SUBSTITUTE(LEFT(TRIM(C90),FIND(" ",TRIM(C90)&amp;" ")-1),",","."),FIND("/",SUBSTITUTE(LEFT(TRIM(C90),FIND(" ",TRIM(C90)&amp;" ")-1),",","."))-1)/MID(SUBSTITUTE(LEFT(TRIM(C90),FIND(" ",TRIM(C90)&amp;" ")-1),",","."),FIND("/",SUBSTITUTE(LEFT(TRIM(C90),FIND(" ",TRIM(C90)&amp;" ")-1),",","."))+1,9))*12,NA()))),0),36)*'Aturan &amp; Tarif'!$B$4,2)</f>
        <v>2044.08</v>
      </c>
      <c r="K90" s="42" t="n">
        <f aca="false">'Aturan &amp; Tarif'!$B$5</f>
        <v>2050</v>
      </c>
      <c r="L90" s="35" t="n">
        <f aca="false">I90+J90+K90</f>
        <v>12594.08</v>
      </c>
      <c r="M90" s="44" t="s">
        <v>728</v>
      </c>
    </row>
    <row r="91" customFormat="false" ht="60" hidden="false" customHeight="true" outlineLevel="0" collapsed="false">
      <c r="A91" s="39"/>
      <c r="B91" s="40" t="s">
        <v>730</v>
      </c>
      <c r="C91" s="41" t="s">
        <v>127</v>
      </c>
      <c r="D91" s="41" t="s">
        <v>108</v>
      </c>
      <c r="E91" s="42" t="n">
        <v>4025</v>
      </c>
      <c r="F91" s="42" t="n">
        <v>200</v>
      </c>
      <c r="G91" s="42" t="n">
        <v>250</v>
      </c>
      <c r="H91" s="43" t="n">
        <v>2</v>
      </c>
      <c r="I91" s="34" t="n">
        <f aca="false">E91*H91+N(F91)+N(G91)</f>
        <v>8500</v>
      </c>
      <c r="J91" s="42" t="n">
        <f aca="false">ROUND(IFERROR(ROUND(IF(OR(ISNUMBER(SEARCH("week",C91)),ISNUMBER(SEARCH("minggu",C91))),IFERROR(_xlfn.NUMBERVALUE(SUBSTITUTE(LEFT(TRIM(C91),FIND(" ",TRIM(C91)&amp;" ")-1),",","."),"."),LEFT(SUBSTITUTE(LEFT(TRIM(C91),FIND(" ",TRIM(C91)&amp;" ")-1),",","."),FIND("/",SUBSTITUTE(LEFT(TRIM(C91),FIND(" ",TRIM(C91)&amp;" ")-1),",","."))-1)/MID(SUBSTITUTE(LEFT(TRIM(C91),FIND(" ",TRIM(C91)&amp;" ")-1),",","."),FIND("/",SUBSTITUTE(LEFT(TRIM(C91),FIND(" ",TRIM(C91)&amp;" ")-1),",","."))+1,9))*12/52,IF(ISNUMBER(SEARCH("month",C91)),IFERROR(_xlfn.NUMBERVALUE(SUBSTITUTE(LEFT(TRIM(C91),FIND(" ",TRIM(C91)&amp;" ")-1),",","."),"."),LEFT(SUBSTITUTE(LEFT(TRIM(C91),FIND(" ",TRIM(C91)&amp;" ")-1),",","."),FIND("/",SUBSTITUTE(LEFT(TRIM(C91),FIND(" ",TRIM(C91)&amp;" ")-1),",","."))-1)/MID(SUBSTITUTE(LEFT(TRIM(C91),FIND(" ",TRIM(C91)&amp;" ")-1),",","."),FIND("/",SUBSTITUTE(LEFT(TRIM(C91),FIND(" ",TRIM(C91)&amp;" ")-1),",","."))+1,9)),IF(ISNUMBER(SEARCH("yea",C91)),IFERROR(_xlfn.NUMBERVALUE(SUBSTITUTE(LEFT(TRIM(C91),FIND(" ",TRIM(C91)&amp;" ")-1),",","."),"."),LEFT(SUBSTITUTE(LEFT(TRIM(C91),FIND(" ",TRIM(C91)&amp;" ")-1),",","."),FIND("/",SUBSTITUTE(LEFT(TRIM(C91),FIND(" ",TRIM(C91)&amp;" ")-1),",","."))-1)/MID(SUBSTITUTE(LEFT(TRIM(C91),FIND(" ",TRIM(C91)&amp;" ")-1),",","."),FIND("/",SUBSTITUTE(LEFT(TRIM(C91),FIND(" ",TRIM(C91)&amp;" ")-1),",","."))+1,9))*12,NA()))),0),36)*'Aturan &amp; Tarif'!$B$4,2)</f>
        <v>2044.08</v>
      </c>
      <c r="K91" s="42" t="n">
        <f aca="false">'Aturan &amp; Tarif'!$B$5</f>
        <v>2050</v>
      </c>
      <c r="L91" s="35" t="n">
        <f aca="false">I91+J91+K91</f>
        <v>12594.08</v>
      </c>
      <c r="M91" s="44" t="s">
        <v>728</v>
      </c>
    </row>
    <row r="92" customFormat="false" ht="60" hidden="false" customHeight="true" outlineLevel="0" collapsed="false">
      <c r="A92" s="39" t="s">
        <v>731</v>
      </c>
      <c r="B92" s="40" t="s">
        <v>732</v>
      </c>
      <c r="C92" s="41" t="s">
        <v>130</v>
      </c>
      <c r="D92" s="41" t="s">
        <v>108</v>
      </c>
      <c r="E92" s="42" t="n">
        <v>3750</v>
      </c>
      <c r="F92" s="42" t="n">
        <v>50</v>
      </c>
      <c r="G92" s="42" t="n">
        <v>250</v>
      </c>
      <c r="H92" s="43" t="n">
        <v>1</v>
      </c>
      <c r="I92" s="34" t="n">
        <f aca="false">E92*H92+N(F92)+N(G92)</f>
        <v>4050</v>
      </c>
      <c r="J92" s="42" t="n">
        <f aca="false">ROUND(IFERROR(ROUND(IF(OR(ISNUMBER(SEARCH("week",C92)),ISNUMBER(SEARCH("minggu",C92))),IFERROR(_xlfn.NUMBERVALUE(SUBSTITUTE(LEFT(TRIM(C92),FIND(" ",TRIM(C92)&amp;" ")-1),",","."),"."),LEFT(SUBSTITUTE(LEFT(TRIM(C92),FIND(" ",TRIM(C92)&amp;" ")-1),",","."),FIND("/",SUBSTITUTE(LEFT(TRIM(C92),FIND(" ",TRIM(C92)&amp;" ")-1),",","."))-1)/MID(SUBSTITUTE(LEFT(TRIM(C92),FIND(" ",TRIM(C92)&amp;" ")-1),",","."),FIND("/",SUBSTITUTE(LEFT(TRIM(C92),FIND(" ",TRIM(C92)&amp;" ")-1),",","."))+1,9))*12/52,IF(ISNUMBER(SEARCH("month",C92)),IFERROR(_xlfn.NUMBERVALUE(SUBSTITUTE(LEFT(TRIM(C92),FIND(" ",TRIM(C92)&amp;" ")-1),",","."),"."),LEFT(SUBSTITUTE(LEFT(TRIM(C92),FIND(" ",TRIM(C92)&amp;" ")-1),",","."),FIND("/",SUBSTITUTE(LEFT(TRIM(C92),FIND(" ",TRIM(C92)&amp;" ")-1),",","."))-1)/MID(SUBSTITUTE(LEFT(TRIM(C92),FIND(" ",TRIM(C92)&amp;" ")-1),",","."),FIND("/",SUBSTITUTE(LEFT(TRIM(C92),FIND(" ",TRIM(C92)&amp;" ")-1),",","."))+1,9)),IF(ISNUMBER(SEARCH("yea",C92)),IFERROR(_xlfn.NUMBERVALUE(SUBSTITUTE(LEFT(TRIM(C92),FIND(" ",TRIM(C92)&amp;" ")-1),",","."),"."),LEFT(SUBSTITUTE(LEFT(TRIM(C92),FIND(" ",TRIM(C92)&amp;" ")-1),",","."),FIND("/",SUBSTITUTE(LEFT(TRIM(C92),FIND(" ",TRIM(C92)&amp;" ")-1),",","."))-1)/MID(SUBSTITUTE(LEFT(TRIM(C92),FIND(" ",TRIM(C92)&amp;" ")-1),",","."),FIND("/",SUBSTITUTE(LEFT(TRIM(C92),FIND(" ",TRIM(C92)&amp;" ")-1),",","."))+1,9))*12,NA()))),0),12)*'Aturan &amp; Tarif'!$B$4,2)</f>
        <v>681.36</v>
      </c>
      <c r="K92" s="42" t="n">
        <f aca="false">'Aturan &amp; Tarif'!$B$5</f>
        <v>2050</v>
      </c>
      <c r="L92" s="35" t="n">
        <f aca="false">I92+J92+K92</f>
        <v>6781.36</v>
      </c>
      <c r="M92" s="45" t="s">
        <v>134</v>
      </c>
    </row>
    <row r="93" customFormat="false" ht="14.25" hidden="false" customHeight="true" outlineLevel="0" collapsed="false">
      <c r="A93" s="39"/>
      <c r="B93" s="40" t="s">
        <v>594</v>
      </c>
      <c r="C93" s="41" t="s">
        <v>130</v>
      </c>
      <c r="D93" s="41" t="s">
        <v>108</v>
      </c>
      <c r="E93" s="42" t="n">
        <v>3750</v>
      </c>
      <c r="F93" s="42" t="n">
        <v>50</v>
      </c>
      <c r="G93" s="42" t="n">
        <v>250</v>
      </c>
      <c r="H93" s="43" t="n">
        <v>1</v>
      </c>
      <c r="I93" s="34" t="n">
        <f aca="false">E93*H93+N(F93)+N(G93)</f>
        <v>4050</v>
      </c>
      <c r="J93" s="42" t="n">
        <f aca="false">ROUND(IFERROR(ROUND(IF(OR(ISNUMBER(SEARCH("week",C93)),ISNUMBER(SEARCH("minggu",C93))),IFERROR(_xlfn.NUMBERVALUE(SUBSTITUTE(LEFT(TRIM(C93),FIND(" ",TRIM(C93)&amp;" ")-1),",","."),"."),LEFT(SUBSTITUTE(LEFT(TRIM(C93),FIND(" ",TRIM(C93)&amp;" ")-1),",","."),FIND("/",SUBSTITUTE(LEFT(TRIM(C93),FIND(" ",TRIM(C93)&amp;" ")-1),",","."))-1)/MID(SUBSTITUTE(LEFT(TRIM(C93),FIND(" ",TRIM(C93)&amp;" ")-1),",","."),FIND("/",SUBSTITUTE(LEFT(TRIM(C93),FIND(" ",TRIM(C93)&amp;" ")-1),",","."))+1,9))*12/52,IF(ISNUMBER(SEARCH("month",C93)),IFERROR(_xlfn.NUMBERVALUE(SUBSTITUTE(LEFT(TRIM(C93),FIND(" ",TRIM(C93)&amp;" ")-1),",","."),"."),LEFT(SUBSTITUTE(LEFT(TRIM(C93),FIND(" ",TRIM(C93)&amp;" ")-1),",","."),FIND("/",SUBSTITUTE(LEFT(TRIM(C93),FIND(" ",TRIM(C93)&amp;" ")-1),",","."))-1)/MID(SUBSTITUTE(LEFT(TRIM(C93),FIND(" ",TRIM(C93)&amp;" ")-1),",","."),FIND("/",SUBSTITUTE(LEFT(TRIM(C93),FIND(" ",TRIM(C93)&amp;" ")-1),",","."))+1,9)),IF(ISNUMBER(SEARCH("yea",C93)),IFERROR(_xlfn.NUMBERVALUE(SUBSTITUTE(LEFT(TRIM(C93),FIND(" ",TRIM(C93)&amp;" ")-1),",","."),"."),LEFT(SUBSTITUTE(LEFT(TRIM(C93),FIND(" ",TRIM(C93)&amp;" ")-1),",","."),FIND("/",SUBSTITUTE(LEFT(TRIM(C93),FIND(" ",TRIM(C93)&amp;" ")-1),",","."))-1)/MID(SUBSTITUTE(LEFT(TRIM(C93),FIND(" ",TRIM(C93)&amp;" ")-1),",","."),FIND("/",SUBSTITUTE(LEFT(TRIM(C93),FIND(" ",TRIM(C93)&amp;" ")-1),",","."))+1,9))*12,NA()))),0),12)*'Aturan &amp; Tarif'!$B$4,2)</f>
        <v>681.36</v>
      </c>
      <c r="K93" s="42" t="n">
        <f aca="false">'Aturan &amp; Tarif'!$B$5</f>
        <v>2050</v>
      </c>
      <c r="L93" s="35" t="n">
        <f aca="false">I93+J93+K93</f>
        <v>6781.36</v>
      </c>
      <c r="M93" s="45" t="s">
        <v>134</v>
      </c>
    </row>
    <row r="94" customFormat="false" ht="14.25" hidden="false" customHeight="true" outlineLevel="0" collapsed="false">
      <c r="A94" s="39"/>
      <c r="B94" s="40" t="s">
        <v>733</v>
      </c>
      <c r="C94" s="41" t="s">
        <v>734</v>
      </c>
      <c r="D94" s="41" t="s">
        <v>108</v>
      </c>
      <c r="E94" s="42" t="n">
        <v>6000</v>
      </c>
      <c r="F94" s="42" t="n">
        <v>50</v>
      </c>
      <c r="G94" s="42" t="n">
        <v>250</v>
      </c>
      <c r="H94" s="43" t="n">
        <v>1</v>
      </c>
      <c r="I94" s="34" t="n">
        <f aca="false">E94*H94+N(F94)+N(G94)</f>
        <v>6300</v>
      </c>
      <c r="J94" s="42" t="n">
        <f aca="false">ROUND(IFERROR(ROUND(IF(OR(ISNUMBER(SEARCH("week",C94)),ISNUMBER(SEARCH("minggu",C94))),IFERROR(_xlfn.NUMBERVALUE(SUBSTITUTE(LEFT(TRIM(C94),FIND(" ",TRIM(C94)&amp;" ")-1),",","."),"."),LEFT(SUBSTITUTE(LEFT(TRIM(C94),FIND(" ",TRIM(C94)&amp;" ")-1),",","."),FIND("/",SUBSTITUTE(LEFT(TRIM(C94),FIND(" ",TRIM(C94)&amp;" ")-1),",","."))-1)/MID(SUBSTITUTE(LEFT(TRIM(C94),FIND(" ",TRIM(C94)&amp;" ")-1),",","."),FIND("/",SUBSTITUTE(LEFT(TRIM(C94),FIND(" ",TRIM(C94)&amp;" ")-1),",","."))+1,9))*12/52,IF(ISNUMBER(SEARCH("month",C94)),IFERROR(_xlfn.NUMBERVALUE(SUBSTITUTE(LEFT(TRIM(C94),FIND(" ",TRIM(C94)&amp;" ")-1),",","."),"."),LEFT(SUBSTITUTE(LEFT(TRIM(C94),FIND(" ",TRIM(C94)&amp;" ")-1),",","."),FIND("/",SUBSTITUTE(LEFT(TRIM(C94),FIND(" ",TRIM(C94)&amp;" ")-1),",","."))-1)/MID(SUBSTITUTE(LEFT(TRIM(C94),FIND(" ",TRIM(C94)&amp;" ")-1),",","."),FIND("/",SUBSTITUTE(LEFT(TRIM(C94),FIND(" ",TRIM(C94)&amp;" ")-1),",","."))+1,9)),IF(ISNUMBER(SEARCH("yea",C94)),IFERROR(_xlfn.NUMBERVALUE(SUBSTITUTE(LEFT(TRIM(C94),FIND(" ",TRIM(C94)&amp;" ")-1),",","."),"."),LEFT(SUBSTITUTE(LEFT(TRIM(C94),FIND(" ",TRIM(C94)&amp;" ")-1),",","."),FIND("/",SUBSTITUTE(LEFT(TRIM(C94),FIND(" ",TRIM(C94)&amp;" ")-1),",","."))-1)/MID(SUBSTITUTE(LEFT(TRIM(C94),FIND(" ",TRIM(C94)&amp;" ")-1),",","."),FIND("/",SUBSTITUTE(LEFT(TRIM(C94),FIND(" ",TRIM(C94)&amp;" ")-1),",","."))+1,9))*12,NA()))),0),6)*'Aturan &amp; Tarif'!$B$4,2)</f>
        <v>340.68</v>
      </c>
      <c r="K94" s="42" t="n">
        <f aca="false">'Aturan &amp; Tarif'!$B$5</f>
        <v>2050</v>
      </c>
      <c r="L94" s="35" t="n">
        <f aca="false">I94+J94+K94</f>
        <v>8690.68</v>
      </c>
      <c r="M94" s="45" t="s">
        <v>134</v>
      </c>
    </row>
    <row r="95" customFormat="false" ht="37.5" hidden="false" customHeight="true" outlineLevel="0" collapsed="false">
      <c r="A95" s="29" t="s">
        <v>735</v>
      </c>
      <c r="B95" s="30" t="s">
        <v>967</v>
      </c>
      <c r="C95" s="31" t="s">
        <v>130</v>
      </c>
      <c r="D95" s="31" t="s">
        <v>737</v>
      </c>
      <c r="E95" s="32" t="n">
        <v>11520</v>
      </c>
      <c r="F95" s="32" t="n">
        <v>0</v>
      </c>
      <c r="G95" s="32" t="n">
        <v>300</v>
      </c>
      <c r="H95" s="33" t="n">
        <v>1</v>
      </c>
      <c r="I95" s="34" t="n">
        <f aca="false">E95*H95+N(F95)+N(G95)</f>
        <v>11820</v>
      </c>
      <c r="J95" s="32" t="n">
        <f aca="false">ROUND(IFERROR(ROUND(IF(OR(ISNUMBER(SEARCH("week",C95)),ISNUMBER(SEARCH("minggu",C95))),IFERROR(_xlfn.NUMBERVALUE(SUBSTITUTE(LEFT(TRIM(C95),FIND(" ",TRIM(C95)&amp;" ")-1),",","."),"."),LEFT(SUBSTITUTE(LEFT(TRIM(C95),FIND(" ",TRIM(C95)&amp;" ")-1),",","."),FIND("/",SUBSTITUTE(LEFT(TRIM(C95),FIND(" ",TRIM(C95)&amp;" ")-1),",","."))-1)/MID(SUBSTITUTE(LEFT(TRIM(C95),FIND(" ",TRIM(C95)&amp;" ")-1),",","."),FIND("/",SUBSTITUTE(LEFT(TRIM(C95),FIND(" ",TRIM(C95)&amp;" ")-1),",","."))+1,9))*12/52,IF(ISNUMBER(SEARCH("month",C95)),IFERROR(_xlfn.NUMBERVALUE(SUBSTITUTE(LEFT(TRIM(C95),FIND(" ",TRIM(C95)&amp;" ")-1),",","."),"."),LEFT(SUBSTITUTE(LEFT(TRIM(C95),FIND(" ",TRIM(C95)&amp;" ")-1),",","."),FIND("/",SUBSTITUTE(LEFT(TRIM(C95),FIND(" ",TRIM(C95)&amp;" ")-1),",","."))-1)/MID(SUBSTITUTE(LEFT(TRIM(C95),FIND(" ",TRIM(C95)&amp;" ")-1),",","."),FIND("/",SUBSTITUTE(LEFT(TRIM(C95),FIND(" ",TRIM(C95)&amp;" ")-1),",","."))+1,9)),IF(ISNUMBER(SEARCH("yea",C95)),IFERROR(_xlfn.NUMBERVALUE(SUBSTITUTE(LEFT(TRIM(C95),FIND(" ",TRIM(C95)&amp;" ")-1),",","."),"."),LEFT(SUBSTITUTE(LEFT(TRIM(C95),FIND(" ",TRIM(C95)&amp;" ")-1),",","."),FIND("/",SUBSTITUTE(LEFT(TRIM(C95),FIND(" ",TRIM(C95)&amp;" ")-1),",","."))-1)/MID(SUBSTITUTE(LEFT(TRIM(C95),FIND(" ",TRIM(C95)&amp;" ")-1),",","."),FIND("/",SUBSTITUTE(LEFT(TRIM(C95),FIND(" ",TRIM(C95)&amp;" ")-1),",","."))+1,9))*12,NA()))),0),12)*'Aturan &amp; Tarif'!$B$4,2)</f>
        <v>681.36</v>
      </c>
      <c r="K95" s="32" t="n">
        <f aca="false">'Aturan &amp; Tarif'!$B$5</f>
        <v>2050</v>
      </c>
      <c r="L95" s="35" t="n">
        <f aca="false">I95+J95+K95</f>
        <v>14551.36</v>
      </c>
      <c r="M95" s="37" t="s">
        <v>738</v>
      </c>
    </row>
    <row r="96" customFormat="false" ht="25.5" hidden="false" customHeight="true" outlineLevel="0" collapsed="false">
      <c r="A96" s="29"/>
      <c r="B96" s="30" t="s">
        <v>968</v>
      </c>
      <c r="C96" s="31" t="s">
        <v>127</v>
      </c>
      <c r="D96" s="31" t="s">
        <v>737</v>
      </c>
      <c r="E96" s="32" t="n">
        <v>11520</v>
      </c>
      <c r="F96" s="32" t="n">
        <v>0</v>
      </c>
      <c r="G96" s="32" t="n">
        <v>300</v>
      </c>
      <c r="H96" s="33" t="n">
        <v>1</v>
      </c>
      <c r="I96" s="34" t="n">
        <f aca="false">E96*H96+N(F96)+N(G96)</f>
        <v>11820</v>
      </c>
      <c r="J96" s="32" t="n">
        <f aca="false">ROUND(IFERROR(ROUND(IF(OR(ISNUMBER(SEARCH("week",C96)),ISNUMBER(SEARCH("minggu",C96))),IFERROR(_xlfn.NUMBERVALUE(SUBSTITUTE(LEFT(TRIM(C96),FIND(" ",TRIM(C96)&amp;" ")-1),",","."),"."),LEFT(SUBSTITUTE(LEFT(TRIM(C96),FIND(" ",TRIM(C96)&amp;" ")-1),",","."),FIND("/",SUBSTITUTE(LEFT(TRIM(C96),FIND(" ",TRIM(C96)&amp;" ")-1),",","."))-1)/MID(SUBSTITUTE(LEFT(TRIM(C96),FIND(" ",TRIM(C96)&amp;" ")-1),",","."),FIND("/",SUBSTITUTE(LEFT(TRIM(C96),FIND(" ",TRIM(C96)&amp;" ")-1),",","."))+1,9))*12/52,IF(ISNUMBER(SEARCH("month",C96)),IFERROR(_xlfn.NUMBERVALUE(SUBSTITUTE(LEFT(TRIM(C96),FIND(" ",TRIM(C96)&amp;" ")-1),",","."),"."),LEFT(SUBSTITUTE(LEFT(TRIM(C96),FIND(" ",TRIM(C96)&amp;" ")-1),",","."),FIND("/",SUBSTITUTE(LEFT(TRIM(C96),FIND(" ",TRIM(C96)&amp;" ")-1),",","."))-1)/MID(SUBSTITUTE(LEFT(TRIM(C96),FIND(" ",TRIM(C96)&amp;" ")-1),",","."),FIND("/",SUBSTITUTE(LEFT(TRIM(C96),FIND(" ",TRIM(C96)&amp;" ")-1),",","."))+1,9)),IF(ISNUMBER(SEARCH("yea",C96)),IFERROR(_xlfn.NUMBERVALUE(SUBSTITUTE(LEFT(TRIM(C96),FIND(" ",TRIM(C96)&amp;" ")-1),",","."),"."),LEFT(SUBSTITUTE(LEFT(TRIM(C96),FIND(" ",TRIM(C96)&amp;" ")-1),",","."),FIND("/",SUBSTITUTE(LEFT(TRIM(C96),FIND(" ",TRIM(C96)&amp;" ")-1),",","."))-1)/MID(SUBSTITUTE(LEFT(TRIM(C96),FIND(" ",TRIM(C96)&amp;" ")-1),",","."),FIND("/",SUBSTITUTE(LEFT(TRIM(C96),FIND(" ",TRIM(C96)&amp;" ")-1),",","."))+1,9))*12,NA()))),0),36)*'Aturan &amp; Tarif'!$B$4,2)</f>
        <v>2044.08</v>
      </c>
      <c r="K96" s="32" t="n">
        <f aca="false">'Aturan &amp; Tarif'!$B$5</f>
        <v>2050</v>
      </c>
      <c r="L96" s="35" t="n">
        <f aca="false">I96+J96+K96</f>
        <v>15914.08</v>
      </c>
      <c r="M96" s="37" t="s">
        <v>738</v>
      </c>
    </row>
    <row r="97" customFormat="false" ht="25.5" hidden="false" customHeight="true" outlineLevel="0" collapsed="false">
      <c r="A97" s="29"/>
      <c r="B97" s="30" t="s">
        <v>969</v>
      </c>
      <c r="C97" s="31" t="s">
        <v>344</v>
      </c>
      <c r="D97" s="31" t="s">
        <v>737</v>
      </c>
      <c r="E97" s="32" t="n">
        <v>19640</v>
      </c>
      <c r="F97" s="32" t="n">
        <v>0</v>
      </c>
      <c r="G97" s="32" t="n">
        <v>300</v>
      </c>
      <c r="H97" s="33" t="n">
        <v>1</v>
      </c>
      <c r="I97" s="34" t="n">
        <f aca="false">E97*H97+N(F97)+N(G97)</f>
        <v>19940</v>
      </c>
      <c r="J97" s="32" t="n">
        <f aca="false">ROUND(IFERROR(ROUND(IF(OR(ISNUMBER(SEARCH("week",C97)),ISNUMBER(SEARCH("minggu",C97))),IFERROR(_xlfn.NUMBERVALUE(SUBSTITUTE(LEFT(TRIM(C97),FIND(" ",TRIM(C97)&amp;" ")-1),",","."),"."),LEFT(SUBSTITUTE(LEFT(TRIM(C97),FIND(" ",TRIM(C97)&amp;" ")-1),",","."),FIND("/",SUBSTITUTE(LEFT(TRIM(C97),FIND(" ",TRIM(C97)&amp;" ")-1),",","."))-1)/MID(SUBSTITUTE(LEFT(TRIM(C97),FIND(" ",TRIM(C97)&amp;" ")-1),",","."),FIND("/",SUBSTITUTE(LEFT(TRIM(C97),FIND(" ",TRIM(C97)&amp;" ")-1),",","."))+1,9))*12/52,IF(ISNUMBER(SEARCH("month",C97)),IFERROR(_xlfn.NUMBERVALUE(SUBSTITUTE(LEFT(TRIM(C97),FIND(" ",TRIM(C97)&amp;" ")-1),",","."),"."),LEFT(SUBSTITUTE(LEFT(TRIM(C97),FIND(" ",TRIM(C97)&amp;" ")-1),",","."),FIND("/",SUBSTITUTE(LEFT(TRIM(C97),FIND(" ",TRIM(C97)&amp;" ")-1),",","."))-1)/MID(SUBSTITUTE(LEFT(TRIM(C97),FIND(" ",TRIM(C97)&amp;" ")-1),",","."),FIND("/",SUBSTITUTE(LEFT(TRIM(C97),FIND(" ",TRIM(C97)&amp;" ")-1),",","."))+1,9)),IF(ISNUMBER(SEARCH("yea",C97)),IFERROR(_xlfn.NUMBERVALUE(SUBSTITUTE(LEFT(TRIM(C97),FIND(" ",TRIM(C97)&amp;" ")-1),",","."),"."),LEFT(SUBSTITUTE(LEFT(TRIM(C97),FIND(" ",TRIM(C97)&amp;" ")-1),",","."),FIND("/",SUBSTITUTE(LEFT(TRIM(C97),FIND(" ",TRIM(C97)&amp;" ")-1),",","."))-1)/MID(SUBSTITUTE(LEFT(TRIM(C97),FIND(" ",TRIM(C97)&amp;" ")-1),",","."),FIND("/",SUBSTITUTE(LEFT(TRIM(C97),FIND(" ",TRIM(C97)&amp;" ")-1),",","."))+1,9))*12,NA()))),0),6)*'Aturan &amp; Tarif'!$B$4,2)</f>
        <v>340.68</v>
      </c>
      <c r="K97" s="32" t="n">
        <f aca="false">'Aturan &amp; Tarif'!$B$5</f>
        <v>2050</v>
      </c>
      <c r="L97" s="35" t="n">
        <f aca="false">I97+J97+K97</f>
        <v>22330.68</v>
      </c>
      <c r="M97" s="37" t="s">
        <v>738</v>
      </c>
    </row>
    <row r="98" customFormat="false" ht="25.5" hidden="false" customHeight="true" outlineLevel="0" collapsed="false">
      <c r="A98" s="29"/>
      <c r="B98" s="30" t="s">
        <v>970</v>
      </c>
      <c r="C98" s="31" t="s">
        <v>130</v>
      </c>
      <c r="D98" s="31" t="s">
        <v>737</v>
      </c>
      <c r="E98" s="32" t="n">
        <v>19640</v>
      </c>
      <c r="F98" s="32" t="n">
        <v>0</v>
      </c>
      <c r="G98" s="32" t="n">
        <v>300</v>
      </c>
      <c r="H98" s="33" t="n">
        <v>1</v>
      </c>
      <c r="I98" s="34" t="n">
        <f aca="false">E98*H98+N(F98)+N(G98)</f>
        <v>19940</v>
      </c>
      <c r="J98" s="32" t="n">
        <f aca="false">ROUND(IFERROR(ROUND(IF(OR(ISNUMBER(SEARCH("week",C98)),ISNUMBER(SEARCH("minggu",C98))),IFERROR(_xlfn.NUMBERVALUE(SUBSTITUTE(LEFT(TRIM(C98),FIND(" ",TRIM(C98)&amp;" ")-1),",","."),"."),LEFT(SUBSTITUTE(LEFT(TRIM(C98),FIND(" ",TRIM(C98)&amp;" ")-1),",","."),FIND("/",SUBSTITUTE(LEFT(TRIM(C98),FIND(" ",TRIM(C98)&amp;" ")-1),",","."))-1)/MID(SUBSTITUTE(LEFT(TRIM(C98),FIND(" ",TRIM(C98)&amp;" ")-1),",","."),FIND("/",SUBSTITUTE(LEFT(TRIM(C98),FIND(" ",TRIM(C98)&amp;" ")-1),",","."))+1,9))*12/52,IF(ISNUMBER(SEARCH("month",C98)),IFERROR(_xlfn.NUMBERVALUE(SUBSTITUTE(LEFT(TRIM(C98),FIND(" ",TRIM(C98)&amp;" ")-1),",","."),"."),LEFT(SUBSTITUTE(LEFT(TRIM(C98),FIND(" ",TRIM(C98)&amp;" ")-1),",","."),FIND("/",SUBSTITUTE(LEFT(TRIM(C98),FIND(" ",TRIM(C98)&amp;" ")-1),",","."))-1)/MID(SUBSTITUTE(LEFT(TRIM(C98),FIND(" ",TRIM(C98)&amp;" ")-1),",","."),FIND("/",SUBSTITUTE(LEFT(TRIM(C98),FIND(" ",TRIM(C98)&amp;" ")-1),",","."))+1,9)),IF(ISNUMBER(SEARCH("yea",C98)),IFERROR(_xlfn.NUMBERVALUE(SUBSTITUTE(LEFT(TRIM(C98),FIND(" ",TRIM(C98)&amp;" ")-1),",","."),"."),LEFT(SUBSTITUTE(LEFT(TRIM(C98),FIND(" ",TRIM(C98)&amp;" ")-1),",","."),FIND("/",SUBSTITUTE(LEFT(TRIM(C98),FIND(" ",TRIM(C98)&amp;" ")-1),",","."))-1)/MID(SUBSTITUTE(LEFT(TRIM(C98),FIND(" ",TRIM(C98)&amp;" ")-1),",","."),FIND("/",SUBSTITUTE(LEFT(TRIM(C98),FIND(" ",TRIM(C98)&amp;" ")-1),",","."))+1,9))*12,NA()))),0),12)*'Aturan &amp; Tarif'!$B$4,2)</f>
        <v>681.36</v>
      </c>
      <c r="K98" s="32" t="n">
        <f aca="false">'Aturan &amp; Tarif'!$B$5</f>
        <v>2050</v>
      </c>
      <c r="L98" s="35" t="n">
        <f aca="false">I98+J98+K98</f>
        <v>22671.36</v>
      </c>
      <c r="M98" s="37" t="s">
        <v>742</v>
      </c>
    </row>
    <row r="99" customFormat="false" ht="25.5" hidden="false" customHeight="true" outlineLevel="0" collapsed="false">
      <c r="A99" s="29"/>
      <c r="B99" s="30" t="s">
        <v>971</v>
      </c>
      <c r="C99" s="31" t="s">
        <v>113</v>
      </c>
      <c r="D99" s="31" t="s">
        <v>737</v>
      </c>
      <c r="E99" s="32" t="n">
        <v>19640</v>
      </c>
      <c r="F99" s="32" t="n">
        <v>0</v>
      </c>
      <c r="G99" s="32" t="n">
        <v>300</v>
      </c>
      <c r="H99" s="33" t="n">
        <v>1</v>
      </c>
      <c r="I99" s="34" t="n">
        <f aca="false">E99*H99+N(F99)+N(G99)</f>
        <v>19940</v>
      </c>
      <c r="J99" s="32" t="n">
        <f aca="false">ROUND(IFERROR(ROUND(IF(OR(ISNUMBER(SEARCH("week",C99)),ISNUMBER(SEARCH("minggu",C99))),IFERROR(_xlfn.NUMBERVALUE(SUBSTITUTE(LEFT(TRIM(C99),FIND(" ",TRIM(C99)&amp;" ")-1),",","."),"."),LEFT(SUBSTITUTE(LEFT(TRIM(C99),FIND(" ",TRIM(C99)&amp;" ")-1),",","."),FIND("/",SUBSTITUTE(LEFT(TRIM(C99),FIND(" ",TRIM(C99)&amp;" ")-1),",","."))-1)/MID(SUBSTITUTE(LEFT(TRIM(C99),FIND(" ",TRIM(C99)&amp;" ")-1),",","."),FIND("/",SUBSTITUTE(LEFT(TRIM(C99),FIND(" ",TRIM(C99)&amp;" ")-1),",","."))+1,9))*12/52,IF(ISNUMBER(SEARCH("month",C99)),IFERROR(_xlfn.NUMBERVALUE(SUBSTITUTE(LEFT(TRIM(C99),FIND(" ",TRIM(C99)&amp;" ")-1),",","."),"."),LEFT(SUBSTITUTE(LEFT(TRIM(C99),FIND(" ",TRIM(C99)&amp;" ")-1),",","."),FIND("/",SUBSTITUTE(LEFT(TRIM(C99),FIND(" ",TRIM(C99)&amp;" ")-1),",","."))-1)/MID(SUBSTITUTE(LEFT(TRIM(C99),FIND(" ",TRIM(C99)&amp;" ")-1),",","."),FIND("/",SUBSTITUTE(LEFT(TRIM(C99),FIND(" ",TRIM(C99)&amp;" ")-1),",","."))+1,9)),IF(ISNUMBER(SEARCH("yea",C99)),IFERROR(_xlfn.NUMBERVALUE(SUBSTITUTE(LEFT(TRIM(C99),FIND(" ",TRIM(C99)&amp;" ")-1),",","."),"."),LEFT(SUBSTITUTE(LEFT(TRIM(C99),FIND(" ",TRIM(C99)&amp;" ")-1),",","."),FIND("/",SUBSTITUTE(LEFT(TRIM(C99),FIND(" ",TRIM(C99)&amp;" ")-1),",","."))-1)/MID(SUBSTITUTE(LEFT(TRIM(C99),FIND(" ",TRIM(C99)&amp;" ")-1),",","."),FIND("/",SUBSTITUTE(LEFT(TRIM(C99),FIND(" ",TRIM(C99)&amp;" ")-1),",","."))+1,9))*12,NA()))),0),18)*'Aturan &amp; Tarif'!$B$4,2)</f>
        <v>1022.04</v>
      </c>
      <c r="K99" s="32" t="n">
        <f aca="false">'Aturan &amp; Tarif'!$B$5</f>
        <v>2050</v>
      </c>
      <c r="L99" s="35" t="n">
        <f aca="false">I99+J99+K99</f>
        <v>23012.04</v>
      </c>
      <c r="M99" s="37" t="s">
        <v>744</v>
      </c>
    </row>
    <row r="100" customFormat="false" ht="25.5" hidden="false" customHeight="true" outlineLevel="0" collapsed="false">
      <c r="A100" s="29"/>
      <c r="B100" s="30" t="s">
        <v>972</v>
      </c>
      <c r="C100" s="31" t="s">
        <v>344</v>
      </c>
      <c r="D100" s="31" t="s">
        <v>737</v>
      </c>
      <c r="E100" s="32" t="n">
        <v>13600</v>
      </c>
      <c r="F100" s="32" t="n">
        <v>0</v>
      </c>
      <c r="G100" s="32" t="n">
        <v>300</v>
      </c>
      <c r="H100" s="33" t="n">
        <v>1</v>
      </c>
      <c r="I100" s="34" t="n">
        <f aca="false">E100*H100+N(F100)+N(G100)</f>
        <v>13900</v>
      </c>
      <c r="J100" s="32" t="n">
        <f aca="false">ROUND(IFERROR(ROUND(IF(OR(ISNUMBER(SEARCH("week",C100)),ISNUMBER(SEARCH("minggu",C100))),IFERROR(_xlfn.NUMBERVALUE(SUBSTITUTE(LEFT(TRIM(C100),FIND(" ",TRIM(C100)&amp;" ")-1),",","."),"."),LEFT(SUBSTITUTE(LEFT(TRIM(C100),FIND(" ",TRIM(C100)&amp;" ")-1),",","."),FIND("/",SUBSTITUTE(LEFT(TRIM(C100),FIND(" ",TRIM(C100)&amp;" ")-1),",","."))-1)/MID(SUBSTITUTE(LEFT(TRIM(C100),FIND(" ",TRIM(C100)&amp;" ")-1),",","."),FIND("/",SUBSTITUTE(LEFT(TRIM(C100),FIND(" ",TRIM(C100)&amp;" ")-1),",","."))+1,9))*12/52,IF(ISNUMBER(SEARCH("month",C100)),IFERROR(_xlfn.NUMBERVALUE(SUBSTITUTE(LEFT(TRIM(C100),FIND(" ",TRIM(C100)&amp;" ")-1),",","."),"."),LEFT(SUBSTITUTE(LEFT(TRIM(C100),FIND(" ",TRIM(C100)&amp;" ")-1),",","."),FIND("/",SUBSTITUTE(LEFT(TRIM(C100),FIND(" ",TRIM(C100)&amp;" ")-1),",","."))-1)/MID(SUBSTITUTE(LEFT(TRIM(C100),FIND(" ",TRIM(C100)&amp;" ")-1),",","."),FIND("/",SUBSTITUTE(LEFT(TRIM(C100),FIND(" ",TRIM(C100)&amp;" ")-1),",","."))+1,9)),IF(ISNUMBER(SEARCH("yea",C100)),IFERROR(_xlfn.NUMBERVALUE(SUBSTITUTE(LEFT(TRIM(C100),FIND(" ",TRIM(C100)&amp;" ")-1),",","."),"."),LEFT(SUBSTITUTE(LEFT(TRIM(C100),FIND(" ",TRIM(C100)&amp;" ")-1),",","."),FIND("/",SUBSTITUTE(LEFT(TRIM(C100),FIND(" ",TRIM(C100)&amp;" ")-1),",","."))-1)/MID(SUBSTITUTE(LEFT(TRIM(C100),FIND(" ",TRIM(C100)&amp;" ")-1),",","."),FIND("/",SUBSTITUTE(LEFT(TRIM(C100),FIND(" ",TRIM(C100)&amp;" ")-1),",","."))+1,9))*12,NA()))),0),6)*'Aturan &amp; Tarif'!$B$4,2)</f>
        <v>340.68</v>
      </c>
      <c r="K100" s="32" t="n">
        <f aca="false">'Aturan &amp; Tarif'!$B$5</f>
        <v>2050</v>
      </c>
      <c r="L100" s="35" t="n">
        <f aca="false">I100+J100+K100</f>
        <v>16290.68</v>
      </c>
      <c r="M100" s="37" t="s">
        <v>738</v>
      </c>
    </row>
    <row r="101" customFormat="false" ht="25.5" hidden="false" customHeight="true" outlineLevel="0" collapsed="false">
      <c r="A101" s="29"/>
      <c r="B101" s="30" t="s">
        <v>973</v>
      </c>
      <c r="C101" s="31" t="s">
        <v>107</v>
      </c>
      <c r="D101" s="31" t="s">
        <v>737</v>
      </c>
      <c r="E101" s="32" t="n">
        <v>13600</v>
      </c>
      <c r="F101" s="32" t="n">
        <v>0</v>
      </c>
      <c r="G101" s="32" t="n">
        <v>300</v>
      </c>
      <c r="H101" s="33" t="n">
        <v>1</v>
      </c>
      <c r="I101" s="34" t="n">
        <f aca="false">E101*H101+N(F101)+N(G101)</f>
        <v>13900</v>
      </c>
      <c r="J101" s="32" t="n">
        <f aca="false">ROUND(IFERROR(ROUND(IF(OR(ISNUMBER(SEARCH("week",C101)),ISNUMBER(SEARCH("minggu",C101))),IFERROR(_xlfn.NUMBERVALUE(SUBSTITUTE(LEFT(TRIM(C101),FIND(" ",TRIM(C101)&amp;" ")-1),",","."),"."),LEFT(SUBSTITUTE(LEFT(TRIM(C101),FIND(" ",TRIM(C101)&amp;" ")-1),",","."),FIND("/",SUBSTITUTE(LEFT(TRIM(C101),FIND(" ",TRIM(C101)&amp;" ")-1),",","."))-1)/MID(SUBSTITUTE(LEFT(TRIM(C101),FIND(" ",TRIM(C101)&amp;" ")-1),",","."),FIND("/",SUBSTITUTE(LEFT(TRIM(C101),FIND(" ",TRIM(C101)&amp;" ")-1),",","."))+1,9))*12/52,IF(ISNUMBER(SEARCH("month",C101)),IFERROR(_xlfn.NUMBERVALUE(SUBSTITUTE(LEFT(TRIM(C101),FIND(" ",TRIM(C101)&amp;" ")-1),",","."),"."),LEFT(SUBSTITUTE(LEFT(TRIM(C101),FIND(" ",TRIM(C101)&amp;" ")-1),",","."),FIND("/",SUBSTITUTE(LEFT(TRIM(C101),FIND(" ",TRIM(C101)&amp;" ")-1),",","."))-1)/MID(SUBSTITUTE(LEFT(TRIM(C101),FIND(" ",TRIM(C101)&amp;" ")-1),",","."),FIND("/",SUBSTITUTE(LEFT(TRIM(C101),FIND(" ",TRIM(C101)&amp;" ")-1),",","."))+1,9)),IF(ISNUMBER(SEARCH("yea",C101)),IFERROR(_xlfn.NUMBERVALUE(SUBSTITUTE(LEFT(TRIM(C101),FIND(" ",TRIM(C101)&amp;" ")-1),",","."),"."),LEFT(SUBSTITUTE(LEFT(TRIM(C101),FIND(" ",TRIM(C101)&amp;" ")-1),",","."),FIND("/",SUBSTITUTE(LEFT(TRIM(C101),FIND(" ",TRIM(C101)&amp;" ")-1),",","."))-1)/MID(SUBSTITUTE(LEFT(TRIM(C101),FIND(" ",TRIM(C101)&amp;" ")-1),",","."),FIND("/",SUBSTITUTE(LEFT(TRIM(C101),FIND(" ",TRIM(C101)&amp;" ")-1),",","."))+1,9))*12,NA()))),0),24)*'Aturan &amp; Tarif'!$B$4,2)</f>
        <v>1362.72</v>
      </c>
      <c r="K101" s="32" t="n">
        <f aca="false">'Aturan &amp; Tarif'!$B$5</f>
        <v>2050</v>
      </c>
      <c r="L101" s="35" t="n">
        <f aca="false">I101+J101+K101</f>
        <v>17312.72</v>
      </c>
      <c r="M101" s="37" t="s">
        <v>738</v>
      </c>
    </row>
    <row r="102" customFormat="false" ht="25.5" hidden="false" customHeight="true" outlineLevel="0" collapsed="false">
      <c r="A102" s="29"/>
      <c r="B102" s="30" t="s">
        <v>974</v>
      </c>
      <c r="C102" s="31" t="s">
        <v>113</v>
      </c>
      <c r="D102" s="31" t="s">
        <v>737</v>
      </c>
      <c r="E102" s="32" t="n">
        <v>13600</v>
      </c>
      <c r="F102" s="32" t="n">
        <v>0</v>
      </c>
      <c r="G102" s="32" t="n">
        <v>300</v>
      </c>
      <c r="H102" s="33" t="n">
        <v>1</v>
      </c>
      <c r="I102" s="34" t="n">
        <f aca="false">E102*H102+N(F102)+N(G102)</f>
        <v>13900</v>
      </c>
      <c r="J102" s="32" t="n">
        <f aca="false">ROUND(IFERROR(ROUND(IF(OR(ISNUMBER(SEARCH("week",C102)),ISNUMBER(SEARCH("minggu",C102))),IFERROR(_xlfn.NUMBERVALUE(SUBSTITUTE(LEFT(TRIM(C102),FIND(" ",TRIM(C102)&amp;" ")-1),",","."),"."),LEFT(SUBSTITUTE(LEFT(TRIM(C102),FIND(" ",TRIM(C102)&amp;" ")-1),",","."),FIND("/",SUBSTITUTE(LEFT(TRIM(C102),FIND(" ",TRIM(C102)&amp;" ")-1),",","."))-1)/MID(SUBSTITUTE(LEFT(TRIM(C102),FIND(" ",TRIM(C102)&amp;" ")-1),",","."),FIND("/",SUBSTITUTE(LEFT(TRIM(C102),FIND(" ",TRIM(C102)&amp;" ")-1),",","."))+1,9))*12/52,IF(ISNUMBER(SEARCH("month",C102)),IFERROR(_xlfn.NUMBERVALUE(SUBSTITUTE(LEFT(TRIM(C102),FIND(" ",TRIM(C102)&amp;" ")-1),",","."),"."),LEFT(SUBSTITUTE(LEFT(TRIM(C102),FIND(" ",TRIM(C102)&amp;" ")-1),",","."),FIND("/",SUBSTITUTE(LEFT(TRIM(C102),FIND(" ",TRIM(C102)&amp;" ")-1),",","."))-1)/MID(SUBSTITUTE(LEFT(TRIM(C102),FIND(" ",TRIM(C102)&amp;" ")-1),",","."),FIND("/",SUBSTITUTE(LEFT(TRIM(C102),FIND(" ",TRIM(C102)&amp;" ")-1),",","."))+1,9)),IF(ISNUMBER(SEARCH("yea",C102)),IFERROR(_xlfn.NUMBERVALUE(SUBSTITUTE(LEFT(TRIM(C102),FIND(" ",TRIM(C102)&amp;" ")-1),",","."),"."),LEFT(SUBSTITUTE(LEFT(TRIM(C102),FIND(" ",TRIM(C102)&amp;" ")-1),",","."),FIND("/",SUBSTITUTE(LEFT(TRIM(C102),FIND(" ",TRIM(C102)&amp;" ")-1),",","."))-1)/MID(SUBSTITUTE(LEFT(TRIM(C102),FIND(" ",TRIM(C102)&amp;" ")-1),",","."),FIND("/",SUBSTITUTE(LEFT(TRIM(C102),FIND(" ",TRIM(C102)&amp;" ")-1),",","."))+1,9))*12,NA()))),0),18)*'Aturan &amp; Tarif'!$B$4,2)</f>
        <v>1022.04</v>
      </c>
      <c r="K102" s="32" t="n">
        <f aca="false">'Aturan &amp; Tarif'!$B$5</f>
        <v>2050</v>
      </c>
      <c r="L102" s="35" t="n">
        <f aca="false">I102+J102+K102</f>
        <v>16972.04</v>
      </c>
      <c r="M102" s="37" t="s">
        <v>738</v>
      </c>
    </row>
    <row r="103" customFormat="false" ht="25.5" hidden="false" customHeight="true" outlineLevel="0" collapsed="false">
      <c r="A103" s="29"/>
      <c r="B103" s="30" t="s">
        <v>975</v>
      </c>
      <c r="C103" s="31" t="s">
        <v>113</v>
      </c>
      <c r="D103" s="31" t="s">
        <v>737</v>
      </c>
      <c r="E103" s="32" t="n">
        <v>13600</v>
      </c>
      <c r="F103" s="32" t="n">
        <v>0</v>
      </c>
      <c r="G103" s="32" t="n">
        <v>300</v>
      </c>
      <c r="H103" s="33" t="n">
        <v>1</v>
      </c>
      <c r="I103" s="34" t="n">
        <f aca="false">E103*H103+N(F103)+N(G103)</f>
        <v>13900</v>
      </c>
      <c r="J103" s="32" t="n">
        <f aca="false">ROUND(IFERROR(ROUND(IF(OR(ISNUMBER(SEARCH("week",C103)),ISNUMBER(SEARCH("minggu",C103))),IFERROR(_xlfn.NUMBERVALUE(SUBSTITUTE(LEFT(TRIM(C103),FIND(" ",TRIM(C103)&amp;" ")-1),",","."),"."),LEFT(SUBSTITUTE(LEFT(TRIM(C103),FIND(" ",TRIM(C103)&amp;" ")-1),",","."),FIND("/",SUBSTITUTE(LEFT(TRIM(C103),FIND(" ",TRIM(C103)&amp;" ")-1),",","."))-1)/MID(SUBSTITUTE(LEFT(TRIM(C103),FIND(" ",TRIM(C103)&amp;" ")-1),",","."),FIND("/",SUBSTITUTE(LEFT(TRIM(C103),FIND(" ",TRIM(C103)&amp;" ")-1),",","."))+1,9))*12/52,IF(ISNUMBER(SEARCH("month",C103)),IFERROR(_xlfn.NUMBERVALUE(SUBSTITUTE(LEFT(TRIM(C103),FIND(" ",TRIM(C103)&amp;" ")-1),",","."),"."),LEFT(SUBSTITUTE(LEFT(TRIM(C103),FIND(" ",TRIM(C103)&amp;" ")-1),",","."),FIND("/",SUBSTITUTE(LEFT(TRIM(C103),FIND(" ",TRIM(C103)&amp;" ")-1),",","."))-1)/MID(SUBSTITUTE(LEFT(TRIM(C103),FIND(" ",TRIM(C103)&amp;" ")-1),",","."),FIND("/",SUBSTITUTE(LEFT(TRIM(C103),FIND(" ",TRIM(C103)&amp;" ")-1),",","."))+1,9)),IF(ISNUMBER(SEARCH("yea",C103)),IFERROR(_xlfn.NUMBERVALUE(SUBSTITUTE(LEFT(TRIM(C103),FIND(" ",TRIM(C103)&amp;" ")-1),",","."),"."),LEFT(SUBSTITUTE(LEFT(TRIM(C103),FIND(" ",TRIM(C103)&amp;" ")-1),",","."),FIND("/",SUBSTITUTE(LEFT(TRIM(C103),FIND(" ",TRIM(C103)&amp;" ")-1),",","."))-1)/MID(SUBSTITUTE(LEFT(TRIM(C103),FIND(" ",TRIM(C103)&amp;" ")-1),",","."),FIND("/",SUBSTITUTE(LEFT(TRIM(C103),FIND(" ",TRIM(C103)&amp;" ")-1),",","."))+1,9))*12,NA()))),0),18)*'Aturan &amp; Tarif'!$B$4,2)</f>
        <v>1022.04</v>
      </c>
      <c r="K103" s="32" t="n">
        <f aca="false">'Aturan &amp; Tarif'!$B$5</f>
        <v>2050</v>
      </c>
      <c r="L103" s="35" t="n">
        <f aca="false">I103+J103+K103</f>
        <v>16972.04</v>
      </c>
      <c r="M103" s="37" t="s">
        <v>738</v>
      </c>
    </row>
    <row r="104" customFormat="false" ht="25.5" hidden="false" customHeight="true" outlineLevel="0" collapsed="false">
      <c r="A104" s="29"/>
      <c r="B104" s="30" t="s">
        <v>976</v>
      </c>
      <c r="C104" s="31" t="s">
        <v>107</v>
      </c>
      <c r="D104" s="31" t="s">
        <v>737</v>
      </c>
      <c r="E104" s="32" t="n">
        <v>13600</v>
      </c>
      <c r="F104" s="32" t="n">
        <v>0</v>
      </c>
      <c r="G104" s="32" t="n">
        <v>300</v>
      </c>
      <c r="H104" s="33" t="n">
        <v>1</v>
      </c>
      <c r="I104" s="34" t="n">
        <f aca="false">E104*H104+N(F104)+N(G104)</f>
        <v>13900</v>
      </c>
      <c r="J104" s="32" t="n">
        <f aca="false">ROUND(IFERROR(ROUND(IF(OR(ISNUMBER(SEARCH("week",C104)),ISNUMBER(SEARCH("minggu",C104))),IFERROR(_xlfn.NUMBERVALUE(SUBSTITUTE(LEFT(TRIM(C104),FIND(" ",TRIM(C104)&amp;" ")-1),",","."),"."),LEFT(SUBSTITUTE(LEFT(TRIM(C104),FIND(" ",TRIM(C104)&amp;" ")-1),",","."),FIND("/",SUBSTITUTE(LEFT(TRIM(C104),FIND(" ",TRIM(C104)&amp;" ")-1),",","."))-1)/MID(SUBSTITUTE(LEFT(TRIM(C104),FIND(" ",TRIM(C104)&amp;" ")-1),",","."),FIND("/",SUBSTITUTE(LEFT(TRIM(C104),FIND(" ",TRIM(C104)&amp;" ")-1),",","."))+1,9))*12/52,IF(ISNUMBER(SEARCH("month",C104)),IFERROR(_xlfn.NUMBERVALUE(SUBSTITUTE(LEFT(TRIM(C104),FIND(" ",TRIM(C104)&amp;" ")-1),",","."),"."),LEFT(SUBSTITUTE(LEFT(TRIM(C104),FIND(" ",TRIM(C104)&amp;" ")-1),",","."),FIND("/",SUBSTITUTE(LEFT(TRIM(C104),FIND(" ",TRIM(C104)&amp;" ")-1),",","."))-1)/MID(SUBSTITUTE(LEFT(TRIM(C104),FIND(" ",TRIM(C104)&amp;" ")-1),",","."),FIND("/",SUBSTITUTE(LEFT(TRIM(C104),FIND(" ",TRIM(C104)&amp;" ")-1),",","."))+1,9)),IF(ISNUMBER(SEARCH("yea",C104)),IFERROR(_xlfn.NUMBERVALUE(SUBSTITUTE(LEFT(TRIM(C104),FIND(" ",TRIM(C104)&amp;" ")-1),",","."),"."),LEFT(SUBSTITUTE(LEFT(TRIM(C104),FIND(" ",TRIM(C104)&amp;" ")-1),",","."),FIND("/",SUBSTITUTE(LEFT(TRIM(C104),FIND(" ",TRIM(C104)&amp;" ")-1),",","."))-1)/MID(SUBSTITUTE(LEFT(TRIM(C104),FIND(" ",TRIM(C104)&amp;" ")-1),",","."),FIND("/",SUBSTITUTE(LEFT(TRIM(C104),FIND(" ",TRIM(C104)&amp;" ")-1),",","."))+1,9))*12,NA()))),0),24)*'Aturan &amp; Tarif'!$B$4,2)</f>
        <v>1362.72</v>
      </c>
      <c r="K104" s="32" t="n">
        <f aca="false">'Aturan &amp; Tarif'!$B$5</f>
        <v>2050</v>
      </c>
      <c r="L104" s="35" t="n">
        <f aca="false">I104+J104+K104</f>
        <v>17312.72</v>
      </c>
      <c r="M104" s="37" t="s">
        <v>738</v>
      </c>
    </row>
    <row r="105" customFormat="false" ht="25.5" hidden="false" customHeight="true" outlineLevel="0" collapsed="false">
      <c r="A105" s="29"/>
      <c r="B105" s="30" t="s">
        <v>2852</v>
      </c>
      <c r="C105" s="31" t="s">
        <v>138</v>
      </c>
      <c r="D105" s="31" t="s">
        <v>737</v>
      </c>
      <c r="E105" s="32" t="n">
        <v>13600</v>
      </c>
      <c r="F105" s="32" t="n">
        <v>0</v>
      </c>
      <c r="G105" s="32" t="n">
        <v>300</v>
      </c>
      <c r="H105" s="33" t="n">
        <v>1</v>
      </c>
      <c r="I105" s="34" t="n">
        <f aca="false">E105*H105+N(F105)+N(G105)</f>
        <v>13900</v>
      </c>
      <c r="J105" s="32" t="n">
        <f aca="false">ROUND(IFERROR(ROUND(IF(OR(ISNUMBER(SEARCH("week",C105)),ISNUMBER(SEARCH("minggu",C105))),IFERROR(_xlfn.NUMBERVALUE(SUBSTITUTE(LEFT(TRIM(C105),FIND(" ",TRIM(C105)&amp;" ")-1),",","."),"."),LEFT(SUBSTITUTE(LEFT(TRIM(C105),FIND(" ",TRIM(C105)&amp;" ")-1),",","."),FIND("/",SUBSTITUTE(LEFT(TRIM(C105),FIND(" ",TRIM(C105)&amp;" ")-1),",","."))-1)/MID(SUBSTITUTE(LEFT(TRIM(C105),FIND(" ",TRIM(C105)&amp;" ")-1),",","."),FIND("/",SUBSTITUTE(LEFT(TRIM(C105),FIND(" ",TRIM(C105)&amp;" ")-1),",","."))+1,9))*12/52,IF(ISNUMBER(SEARCH("month",C105)),IFERROR(_xlfn.NUMBERVALUE(SUBSTITUTE(LEFT(TRIM(C105),FIND(" ",TRIM(C105)&amp;" ")-1),",","."),"."),LEFT(SUBSTITUTE(LEFT(TRIM(C105),FIND(" ",TRIM(C105)&amp;" ")-1),",","."),FIND("/",SUBSTITUTE(LEFT(TRIM(C105),FIND(" ",TRIM(C105)&amp;" ")-1),",","."))-1)/MID(SUBSTITUTE(LEFT(TRIM(C105),FIND(" ",TRIM(C105)&amp;" ")-1),",","."),FIND("/",SUBSTITUTE(LEFT(TRIM(C105),FIND(" ",TRIM(C105)&amp;" ")-1),",","."))+1,9)),IF(ISNUMBER(SEARCH("yea",C105)),IFERROR(_xlfn.NUMBERVALUE(SUBSTITUTE(LEFT(TRIM(C105),FIND(" ",TRIM(C105)&amp;" ")-1),",","."),"."),LEFT(SUBSTITUTE(LEFT(TRIM(C105),FIND(" ",TRIM(C105)&amp;" ")-1),",","."),FIND("/",SUBSTITUTE(LEFT(TRIM(C105),FIND(" ",TRIM(C105)&amp;" ")-1),",","."))-1)/MID(SUBSTITUTE(LEFT(TRIM(C105),FIND(" ",TRIM(C105)&amp;" ")-1),",","."),FIND("/",SUBSTITUTE(LEFT(TRIM(C105),FIND(" ",TRIM(C105)&amp;" ")-1),",","."))+1,9))*12,NA()))),0),30)*'Aturan &amp; Tarif'!$B$4,2)</f>
        <v>1703.4</v>
      </c>
      <c r="K105" s="32" t="n">
        <f aca="false">'Aturan &amp; Tarif'!$B$5</f>
        <v>2050</v>
      </c>
      <c r="L105" s="35" t="n">
        <f aca="false">I105+J105+K105</f>
        <v>17653.4</v>
      </c>
      <c r="M105" s="37" t="s">
        <v>738</v>
      </c>
    </row>
    <row r="106" customFormat="false" ht="25.5" hidden="false" customHeight="true" outlineLevel="0" collapsed="false">
      <c r="A106" s="29"/>
      <c r="B106" s="30" t="s">
        <v>978</v>
      </c>
      <c r="C106" s="31" t="s">
        <v>344</v>
      </c>
      <c r="D106" s="31" t="s">
        <v>737</v>
      </c>
      <c r="E106" s="32" t="n">
        <v>14560</v>
      </c>
      <c r="F106" s="32" t="n">
        <v>0</v>
      </c>
      <c r="G106" s="32" t="n">
        <v>300</v>
      </c>
      <c r="H106" s="33" t="n">
        <v>1</v>
      </c>
      <c r="I106" s="34" t="n">
        <f aca="false">E106*H106+N(F106)+N(G106)</f>
        <v>14860</v>
      </c>
      <c r="J106" s="32" t="n">
        <f aca="false">ROUND(IFERROR(ROUND(IF(OR(ISNUMBER(SEARCH("week",C106)),ISNUMBER(SEARCH("minggu",C106))),IFERROR(_xlfn.NUMBERVALUE(SUBSTITUTE(LEFT(TRIM(C106),FIND(" ",TRIM(C106)&amp;" ")-1),",","."),"."),LEFT(SUBSTITUTE(LEFT(TRIM(C106),FIND(" ",TRIM(C106)&amp;" ")-1),",","."),FIND("/",SUBSTITUTE(LEFT(TRIM(C106),FIND(" ",TRIM(C106)&amp;" ")-1),",","."))-1)/MID(SUBSTITUTE(LEFT(TRIM(C106),FIND(" ",TRIM(C106)&amp;" ")-1),",","."),FIND("/",SUBSTITUTE(LEFT(TRIM(C106),FIND(" ",TRIM(C106)&amp;" ")-1),",","."))+1,9))*12/52,IF(ISNUMBER(SEARCH("month",C106)),IFERROR(_xlfn.NUMBERVALUE(SUBSTITUTE(LEFT(TRIM(C106),FIND(" ",TRIM(C106)&amp;" ")-1),",","."),"."),LEFT(SUBSTITUTE(LEFT(TRIM(C106),FIND(" ",TRIM(C106)&amp;" ")-1),",","."),FIND("/",SUBSTITUTE(LEFT(TRIM(C106),FIND(" ",TRIM(C106)&amp;" ")-1),",","."))-1)/MID(SUBSTITUTE(LEFT(TRIM(C106),FIND(" ",TRIM(C106)&amp;" ")-1),",","."),FIND("/",SUBSTITUTE(LEFT(TRIM(C106),FIND(" ",TRIM(C106)&amp;" ")-1),",","."))+1,9)),IF(ISNUMBER(SEARCH("yea",C106)),IFERROR(_xlfn.NUMBERVALUE(SUBSTITUTE(LEFT(TRIM(C106),FIND(" ",TRIM(C106)&amp;" ")-1),",","."),"."),LEFT(SUBSTITUTE(LEFT(TRIM(C106),FIND(" ",TRIM(C106)&amp;" ")-1),",","."),FIND("/",SUBSTITUTE(LEFT(TRIM(C106),FIND(" ",TRIM(C106)&amp;" ")-1),",","."))-1)/MID(SUBSTITUTE(LEFT(TRIM(C106),FIND(" ",TRIM(C106)&amp;" ")-1),",","."),FIND("/",SUBSTITUTE(LEFT(TRIM(C106),FIND(" ",TRIM(C106)&amp;" ")-1),",","."))+1,9))*12,NA()))),0),6)*'Aturan &amp; Tarif'!$B$4,2)</f>
        <v>340.68</v>
      </c>
      <c r="K106" s="32" t="n">
        <f aca="false">'Aturan &amp; Tarif'!$B$5</f>
        <v>2050</v>
      </c>
      <c r="L106" s="35" t="n">
        <f aca="false">I106+J106+K106</f>
        <v>17250.68</v>
      </c>
      <c r="M106" s="37" t="s">
        <v>738</v>
      </c>
    </row>
    <row r="107" customFormat="false" ht="25.5" hidden="false" customHeight="true" outlineLevel="0" collapsed="false">
      <c r="A107" s="29"/>
      <c r="B107" s="30" t="s">
        <v>979</v>
      </c>
      <c r="C107" s="31" t="s">
        <v>130</v>
      </c>
      <c r="D107" s="31" t="s">
        <v>737</v>
      </c>
      <c r="E107" s="32" t="n">
        <v>14560</v>
      </c>
      <c r="F107" s="32" t="n">
        <v>0</v>
      </c>
      <c r="G107" s="32" t="n">
        <v>300</v>
      </c>
      <c r="H107" s="33" t="n">
        <v>1</v>
      </c>
      <c r="I107" s="34" t="n">
        <f aca="false">E107*H107+N(F107)+N(G107)</f>
        <v>14860</v>
      </c>
      <c r="J107" s="32" t="n">
        <f aca="false">ROUND(IFERROR(ROUND(IF(OR(ISNUMBER(SEARCH("week",C107)),ISNUMBER(SEARCH("minggu",C107))),IFERROR(_xlfn.NUMBERVALUE(SUBSTITUTE(LEFT(TRIM(C107),FIND(" ",TRIM(C107)&amp;" ")-1),",","."),"."),LEFT(SUBSTITUTE(LEFT(TRIM(C107),FIND(" ",TRIM(C107)&amp;" ")-1),",","."),FIND("/",SUBSTITUTE(LEFT(TRIM(C107),FIND(" ",TRIM(C107)&amp;" ")-1),",","."))-1)/MID(SUBSTITUTE(LEFT(TRIM(C107),FIND(" ",TRIM(C107)&amp;" ")-1),",","."),FIND("/",SUBSTITUTE(LEFT(TRIM(C107),FIND(" ",TRIM(C107)&amp;" ")-1),",","."))+1,9))*12/52,IF(ISNUMBER(SEARCH("month",C107)),IFERROR(_xlfn.NUMBERVALUE(SUBSTITUTE(LEFT(TRIM(C107),FIND(" ",TRIM(C107)&amp;" ")-1),",","."),"."),LEFT(SUBSTITUTE(LEFT(TRIM(C107),FIND(" ",TRIM(C107)&amp;" ")-1),",","."),FIND("/",SUBSTITUTE(LEFT(TRIM(C107),FIND(" ",TRIM(C107)&amp;" ")-1),",","."))-1)/MID(SUBSTITUTE(LEFT(TRIM(C107),FIND(" ",TRIM(C107)&amp;" ")-1),",","."),FIND("/",SUBSTITUTE(LEFT(TRIM(C107),FIND(" ",TRIM(C107)&amp;" ")-1),",","."))+1,9)),IF(ISNUMBER(SEARCH("yea",C107)),IFERROR(_xlfn.NUMBERVALUE(SUBSTITUTE(LEFT(TRIM(C107),FIND(" ",TRIM(C107)&amp;" ")-1),",","."),"."),LEFT(SUBSTITUTE(LEFT(TRIM(C107),FIND(" ",TRIM(C107)&amp;" ")-1),",","."),FIND("/",SUBSTITUTE(LEFT(TRIM(C107),FIND(" ",TRIM(C107)&amp;" ")-1),",","."))-1)/MID(SUBSTITUTE(LEFT(TRIM(C107),FIND(" ",TRIM(C107)&amp;" ")-1),",","."),FIND("/",SUBSTITUTE(LEFT(TRIM(C107),FIND(" ",TRIM(C107)&amp;" ")-1),",","."))+1,9))*12,NA()))),0),12)*'Aturan &amp; Tarif'!$B$4,2)</f>
        <v>681.36</v>
      </c>
      <c r="K107" s="32" t="n">
        <f aca="false">'Aturan &amp; Tarif'!$B$5</f>
        <v>2050</v>
      </c>
      <c r="L107" s="35" t="n">
        <f aca="false">I107+J107+K107</f>
        <v>17591.36</v>
      </c>
      <c r="M107" s="37" t="s">
        <v>738</v>
      </c>
    </row>
    <row r="108" customFormat="false" ht="14.25" hidden="false" customHeight="true" outlineLevel="0" collapsed="false">
      <c r="A108" s="29"/>
      <c r="B108" s="30" t="s">
        <v>980</v>
      </c>
      <c r="C108" s="31" t="s">
        <v>113</v>
      </c>
      <c r="D108" s="31" t="s">
        <v>737</v>
      </c>
      <c r="E108" s="32" t="n">
        <v>14560</v>
      </c>
      <c r="F108" s="32" t="n">
        <v>0</v>
      </c>
      <c r="G108" s="32" t="n">
        <v>300</v>
      </c>
      <c r="H108" s="33" t="n">
        <v>1</v>
      </c>
      <c r="I108" s="34" t="n">
        <f aca="false">E108*H108+N(F108)+N(G108)</f>
        <v>14860</v>
      </c>
      <c r="J108" s="32" t="n">
        <f aca="false">ROUND(IFERROR(ROUND(IF(OR(ISNUMBER(SEARCH("week",C108)),ISNUMBER(SEARCH("minggu",C108))),IFERROR(_xlfn.NUMBERVALUE(SUBSTITUTE(LEFT(TRIM(C108),FIND(" ",TRIM(C108)&amp;" ")-1),",","."),"."),LEFT(SUBSTITUTE(LEFT(TRIM(C108),FIND(" ",TRIM(C108)&amp;" ")-1),",","."),FIND("/",SUBSTITUTE(LEFT(TRIM(C108),FIND(" ",TRIM(C108)&amp;" ")-1),",","."))-1)/MID(SUBSTITUTE(LEFT(TRIM(C108),FIND(" ",TRIM(C108)&amp;" ")-1),",","."),FIND("/",SUBSTITUTE(LEFT(TRIM(C108),FIND(" ",TRIM(C108)&amp;" ")-1),",","."))+1,9))*12/52,IF(ISNUMBER(SEARCH("month",C108)),IFERROR(_xlfn.NUMBERVALUE(SUBSTITUTE(LEFT(TRIM(C108),FIND(" ",TRIM(C108)&amp;" ")-1),",","."),"."),LEFT(SUBSTITUTE(LEFT(TRIM(C108),FIND(" ",TRIM(C108)&amp;" ")-1),",","."),FIND("/",SUBSTITUTE(LEFT(TRIM(C108),FIND(" ",TRIM(C108)&amp;" ")-1),",","."))-1)/MID(SUBSTITUTE(LEFT(TRIM(C108),FIND(" ",TRIM(C108)&amp;" ")-1),",","."),FIND("/",SUBSTITUTE(LEFT(TRIM(C108),FIND(" ",TRIM(C108)&amp;" ")-1),",","."))+1,9)),IF(ISNUMBER(SEARCH("yea",C108)),IFERROR(_xlfn.NUMBERVALUE(SUBSTITUTE(LEFT(TRIM(C108),FIND(" ",TRIM(C108)&amp;" ")-1),",","."),"."),LEFT(SUBSTITUTE(LEFT(TRIM(C108),FIND(" ",TRIM(C108)&amp;" ")-1),",","."),FIND("/",SUBSTITUTE(LEFT(TRIM(C108),FIND(" ",TRIM(C108)&amp;" ")-1),",","."))-1)/MID(SUBSTITUTE(LEFT(TRIM(C108),FIND(" ",TRIM(C108)&amp;" ")-1),",","."),FIND("/",SUBSTITUTE(LEFT(TRIM(C108),FIND(" ",TRIM(C108)&amp;" ")-1),",","."))+1,9))*12,NA()))),0),18)*'Aturan &amp; Tarif'!$B$4,2)</f>
        <v>1022.04</v>
      </c>
      <c r="K108" s="32" t="n">
        <f aca="false">'Aturan &amp; Tarif'!$B$5</f>
        <v>2050</v>
      </c>
      <c r="L108" s="35" t="n">
        <f aca="false">I108+J108+K108</f>
        <v>17932.04</v>
      </c>
      <c r="M108" s="37" t="s">
        <v>738</v>
      </c>
    </row>
    <row r="109" customFormat="false" ht="25.5" hidden="false" customHeight="true" outlineLevel="0" collapsed="false">
      <c r="A109" s="29"/>
      <c r="B109" s="30" t="s">
        <v>981</v>
      </c>
      <c r="C109" s="31" t="s">
        <v>107</v>
      </c>
      <c r="D109" s="31" t="s">
        <v>737</v>
      </c>
      <c r="E109" s="32" t="n">
        <v>14560</v>
      </c>
      <c r="F109" s="32" t="n">
        <v>0</v>
      </c>
      <c r="G109" s="32" t="n">
        <v>300</v>
      </c>
      <c r="H109" s="33" t="n">
        <v>1</v>
      </c>
      <c r="I109" s="34" t="n">
        <f aca="false">E109*H109+N(F109)+N(G109)</f>
        <v>14860</v>
      </c>
      <c r="J109" s="32" t="n">
        <f aca="false">ROUND(IFERROR(ROUND(IF(OR(ISNUMBER(SEARCH("week",C109)),ISNUMBER(SEARCH("minggu",C109))),IFERROR(_xlfn.NUMBERVALUE(SUBSTITUTE(LEFT(TRIM(C109),FIND(" ",TRIM(C109)&amp;" ")-1),",","."),"."),LEFT(SUBSTITUTE(LEFT(TRIM(C109),FIND(" ",TRIM(C109)&amp;" ")-1),",","."),FIND("/",SUBSTITUTE(LEFT(TRIM(C109),FIND(" ",TRIM(C109)&amp;" ")-1),",","."))-1)/MID(SUBSTITUTE(LEFT(TRIM(C109),FIND(" ",TRIM(C109)&amp;" ")-1),",","."),FIND("/",SUBSTITUTE(LEFT(TRIM(C109),FIND(" ",TRIM(C109)&amp;" ")-1),",","."))+1,9))*12/52,IF(ISNUMBER(SEARCH("month",C109)),IFERROR(_xlfn.NUMBERVALUE(SUBSTITUTE(LEFT(TRIM(C109),FIND(" ",TRIM(C109)&amp;" ")-1),",","."),"."),LEFT(SUBSTITUTE(LEFT(TRIM(C109),FIND(" ",TRIM(C109)&amp;" ")-1),",","."),FIND("/",SUBSTITUTE(LEFT(TRIM(C109),FIND(" ",TRIM(C109)&amp;" ")-1),",","."))-1)/MID(SUBSTITUTE(LEFT(TRIM(C109),FIND(" ",TRIM(C109)&amp;" ")-1),",","."),FIND("/",SUBSTITUTE(LEFT(TRIM(C109),FIND(" ",TRIM(C109)&amp;" ")-1),",","."))+1,9)),IF(ISNUMBER(SEARCH("yea",C109)),IFERROR(_xlfn.NUMBERVALUE(SUBSTITUTE(LEFT(TRIM(C109),FIND(" ",TRIM(C109)&amp;" ")-1),",","."),"."),LEFT(SUBSTITUTE(LEFT(TRIM(C109),FIND(" ",TRIM(C109)&amp;" ")-1),",","."),FIND("/",SUBSTITUTE(LEFT(TRIM(C109),FIND(" ",TRIM(C109)&amp;" ")-1),",","."))-1)/MID(SUBSTITUTE(LEFT(TRIM(C109),FIND(" ",TRIM(C109)&amp;" ")-1),",","."),FIND("/",SUBSTITUTE(LEFT(TRIM(C109),FIND(" ",TRIM(C109)&amp;" ")-1),",","."))+1,9))*12,NA()))),0),24)*'Aturan &amp; Tarif'!$B$4,2)</f>
        <v>1362.72</v>
      </c>
      <c r="K109" s="32" t="n">
        <f aca="false">'Aturan &amp; Tarif'!$B$5</f>
        <v>2050</v>
      </c>
      <c r="L109" s="35" t="n">
        <f aca="false">I109+J109+K109</f>
        <v>18272.72</v>
      </c>
      <c r="M109" s="37" t="s">
        <v>738</v>
      </c>
    </row>
    <row r="110" customFormat="false" ht="48.75" hidden="false" customHeight="true" outlineLevel="0" collapsed="false">
      <c r="A110" s="29" t="s">
        <v>755</v>
      </c>
      <c r="B110" s="30" t="s">
        <v>756</v>
      </c>
      <c r="C110" s="31" t="s">
        <v>107</v>
      </c>
      <c r="D110" s="31" t="s">
        <v>108</v>
      </c>
      <c r="E110" s="32" t="n">
        <v>2500</v>
      </c>
      <c r="F110" s="32" t="n">
        <v>2500</v>
      </c>
      <c r="G110" s="32" t="n">
        <v>250</v>
      </c>
      <c r="H110" s="33" t="n">
        <v>1</v>
      </c>
      <c r="I110" s="34" t="n">
        <f aca="false">E110*H110+N(F110)+N(G110)</f>
        <v>5250</v>
      </c>
      <c r="J110" s="32" t="n">
        <f aca="false">ROUND(IFERROR(ROUND(IF(OR(ISNUMBER(SEARCH("week",C110)),ISNUMBER(SEARCH("minggu",C110))),IFERROR(_xlfn.NUMBERVALUE(SUBSTITUTE(LEFT(TRIM(C110),FIND(" ",TRIM(C110)&amp;" ")-1),",","."),"."),LEFT(SUBSTITUTE(LEFT(TRIM(C110),FIND(" ",TRIM(C110)&amp;" ")-1),",","."),FIND("/",SUBSTITUTE(LEFT(TRIM(C110),FIND(" ",TRIM(C110)&amp;" ")-1),",","."))-1)/MID(SUBSTITUTE(LEFT(TRIM(C110),FIND(" ",TRIM(C110)&amp;" ")-1),",","."),FIND("/",SUBSTITUTE(LEFT(TRIM(C110),FIND(" ",TRIM(C110)&amp;" ")-1),",","."))+1,9))*12/52,IF(ISNUMBER(SEARCH("month",C110)),IFERROR(_xlfn.NUMBERVALUE(SUBSTITUTE(LEFT(TRIM(C110),FIND(" ",TRIM(C110)&amp;" ")-1),",","."),"."),LEFT(SUBSTITUTE(LEFT(TRIM(C110),FIND(" ",TRIM(C110)&amp;" ")-1),",","."),FIND("/",SUBSTITUTE(LEFT(TRIM(C110),FIND(" ",TRIM(C110)&amp;" ")-1),",","."))-1)/MID(SUBSTITUTE(LEFT(TRIM(C110),FIND(" ",TRIM(C110)&amp;" ")-1),",","."),FIND("/",SUBSTITUTE(LEFT(TRIM(C110),FIND(" ",TRIM(C110)&amp;" ")-1),",","."))+1,9)),IF(ISNUMBER(SEARCH("yea",C110)),IFERROR(_xlfn.NUMBERVALUE(SUBSTITUTE(LEFT(TRIM(C110),FIND(" ",TRIM(C110)&amp;" ")-1),",","."),"."),LEFT(SUBSTITUTE(LEFT(TRIM(C110),FIND(" ",TRIM(C110)&amp;" ")-1),",","."),FIND("/",SUBSTITUTE(LEFT(TRIM(C110),FIND(" ",TRIM(C110)&amp;" ")-1),",","."))-1)/MID(SUBSTITUTE(LEFT(TRIM(C110),FIND(" ",TRIM(C110)&amp;" ")-1),",","."),FIND("/",SUBSTITUTE(LEFT(TRIM(C110),FIND(" ",TRIM(C110)&amp;" ")-1),",","."))+1,9))*12,NA()))),0),24)*'Aturan &amp; Tarif'!$B$4,2)</f>
        <v>1362.72</v>
      </c>
      <c r="K110" s="32" t="n">
        <f aca="false">'Aturan &amp; Tarif'!$B$5</f>
        <v>2050</v>
      </c>
      <c r="L110" s="35" t="n">
        <f aca="false">I110+J110+K110</f>
        <v>8662.72</v>
      </c>
      <c r="M110" s="36" t="s">
        <v>757</v>
      </c>
    </row>
    <row r="111" customFormat="false" ht="37.5" hidden="false" customHeight="true" outlineLevel="0" collapsed="false">
      <c r="A111" s="29"/>
      <c r="B111" s="30" t="s">
        <v>3461</v>
      </c>
      <c r="C111" s="31" t="s">
        <v>107</v>
      </c>
      <c r="D111" s="31" t="s">
        <v>108</v>
      </c>
      <c r="E111" s="32" t="n">
        <v>2500</v>
      </c>
      <c r="F111" s="32" t="n">
        <v>2500</v>
      </c>
      <c r="G111" s="32" t="n">
        <v>250</v>
      </c>
      <c r="H111" s="33" t="n">
        <v>1</v>
      </c>
      <c r="I111" s="34" t="n">
        <f aca="false">E111*H111+N(F111)+N(G111)</f>
        <v>5250</v>
      </c>
      <c r="J111" s="32" t="n">
        <f aca="false">ROUND(IFERROR(ROUND(IF(OR(ISNUMBER(SEARCH("week",C111)),ISNUMBER(SEARCH("minggu",C111))),IFERROR(_xlfn.NUMBERVALUE(SUBSTITUTE(LEFT(TRIM(C111),FIND(" ",TRIM(C111)&amp;" ")-1),",","."),"."),LEFT(SUBSTITUTE(LEFT(TRIM(C111),FIND(" ",TRIM(C111)&amp;" ")-1),",","."),FIND("/",SUBSTITUTE(LEFT(TRIM(C111),FIND(" ",TRIM(C111)&amp;" ")-1),",","."))-1)/MID(SUBSTITUTE(LEFT(TRIM(C111),FIND(" ",TRIM(C111)&amp;" ")-1),",","."),FIND("/",SUBSTITUTE(LEFT(TRIM(C111),FIND(" ",TRIM(C111)&amp;" ")-1),",","."))+1,9))*12/52,IF(ISNUMBER(SEARCH("month",C111)),IFERROR(_xlfn.NUMBERVALUE(SUBSTITUTE(LEFT(TRIM(C111),FIND(" ",TRIM(C111)&amp;" ")-1),",","."),"."),LEFT(SUBSTITUTE(LEFT(TRIM(C111),FIND(" ",TRIM(C111)&amp;" ")-1),",","."),FIND("/",SUBSTITUTE(LEFT(TRIM(C111),FIND(" ",TRIM(C111)&amp;" ")-1),",","."))-1)/MID(SUBSTITUTE(LEFT(TRIM(C111),FIND(" ",TRIM(C111)&amp;" ")-1),",","."),FIND("/",SUBSTITUTE(LEFT(TRIM(C111),FIND(" ",TRIM(C111)&amp;" ")-1),",","."))+1,9)),IF(ISNUMBER(SEARCH("yea",C111)),IFERROR(_xlfn.NUMBERVALUE(SUBSTITUTE(LEFT(TRIM(C111),FIND(" ",TRIM(C111)&amp;" ")-1),",","."),"."),LEFT(SUBSTITUTE(LEFT(TRIM(C111),FIND(" ",TRIM(C111)&amp;" ")-1),",","."),FIND("/",SUBSTITUTE(LEFT(TRIM(C111),FIND(" ",TRIM(C111)&amp;" ")-1),",","."))-1)/MID(SUBSTITUTE(LEFT(TRIM(C111),FIND(" ",TRIM(C111)&amp;" ")-1),",","."),FIND("/",SUBSTITUTE(LEFT(TRIM(C111),FIND(" ",TRIM(C111)&amp;" ")-1),",","."))+1,9))*12,NA()))),0),24)*'Aturan &amp; Tarif'!$B$4,2)</f>
        <v>1362.72</v>
      </c>
      <c r="K111" s="32" t="n">
        <f aca="false">'Aturan &amp; Tarif'!$B$5</f>
        <v>2050</v>
      </c>
      <c r="L111" s="35" t="n">
        <f aca="false">I111+J111+K111</f>
        <v>8662.72</v>
      </c>
      <c r="M111" s="36" t="s">
        <v>3462</v>
      </c>
    </row>
    <row r="112" customFormat="false" ht="25.5" hidden="false" customHeight="true" outlineLevel="0" collapsed="false">
      <c r="A112" s="29"/>
      <c r="B112" s="30" t="s">
        <v>3463</v>
      </c>
      <c r="C112" s="31" t="s">
        <v>113</v>
      </c>
      <c r="D112" s="31" t="s">
        <v>108</v>
      </c>
      <c r="E112" s="32" t="n">
        <v>2500</v>
      </c>
      <c r="F112" s="32" t="n">
        <v>2500</v>
      </c>
      <c r="G112" s="32" t="n">
        <v>250</v>
      </c>
      <c r="H112" s="33" t="n">
        <v>1</v>
      </c>
      <c r="I112" s="34" t="n">
        <f aca="false">E112*H112+N(F112)+N(G112)</f>
        <v>5250</v>
      </c>
      <c r="J112" s="32" t="n">
        <f aca="false">ROUND(IFERROR(ROUND(IF(OR(ISNUMBER(SEARCH("week",C112)),ISNUMBER(SEARCH("minggu",C112))),IFERROR(_xlfn.NUMBERVALUE(SUBSTITUTE(LEFT(TRIM(C112),FIND(" ",TRIM(C112)&amp;" ")-1),",","."),"."),LEFT(SUBSTITUTE(LEFT(TRIM(C112),FIND(" ",TRIM(C112)&amp;" ")-1),",","."),FIND("/",SUBSTITUTE(LEFT(TRIM(C112),FIND(" ",TRIM(C112)&amp;" ")-1),",","."))-1)/MID(SUBSTITUTE(LEFT(TRIM(C112),FIND(" ",TRIM(C112)&amp;" ")-1),",","."),FIND("/",SUBSTITUTE(LEFT(TRIM(C112),FIND(" ",TRIM(C112)&amp;" ")-1),",","."))+1,9))*12/52,IF(ISNUMBER(SEARCH("month",C112)),IFERROR(_xlfn.NUMBERVALUE(SUBSTITUTE(LEFT(TRIM(C112),FIND(" ",TRIM(C112)&amp;" ")-1),",","."),"."),LEFT(SUBSTITUTE(LEFT(TRIM(C112),FIND(" ",TRIM(C112)&amp;" ")-1),",","."),FIND("/",SUBSTITUTE(LEFT(TRIM(C112),FIND(" ",TRIM(C112)&amp;" ")-1),",","."))-1)/MID(SUBSTITUTE(LEFT(TRIM(C112),FIND(" ",TRIM(C112)&amp;" ")-1),",","."),FIND("/",SUBSTITUTE(LEFT(TRIM(C112),FIND(" ",TRIM(C112)&amp;" ")-1),",","."))+1,9)),IF(ISNUMBER(SEARCH("yea",C112)),IFERROR(_xlfn.NUMBERVALUE(SUBSTITUTE(LEFT(TRIM(C112),FIND(" ",TRIM(C112)&amp;" ")-1),",","."),"."),LEFT(SUBSTITUTE(LEFT(TRIM(C112),FIND(" ",TRIM(C112)&amp;" ")-1),",","."),FIND("/",SUBSTITUTE(LEFT(TRIM(C112),FIND(" ",TRIM(C112)&amp;" ")-1),",","."))-1)/MID(SUBSTITUTE(LEFT(TRIM(C112),FIND(" ",TRIM(C112)&amp;" ")-1),",","."),FIND("/",SUBSTITUTE(LEFT(TRIM(C112),FIND(" ",TRIM(C112)&amp;" ")-1),",","."))+1,9))*12,NA()))),0),18)*'Aturan &amp; Tarif'!$B$4,2)</f>
        <v>1022.04</v>
      </c>
      <c r="K112" s="32" t="n">
        <f aca="false">'Aturan &amp; Tarif'!$B$5</f>
        <v>2050</v>
      </c>
      <c r="L112" s="35" t="n">
        <f aca="false">I112+J112+K112</f>
        <v>8322.04</v>
      </c>
      <c r="M112" s="36" t="s">
        <v>3462</v>
      </c>
    </row>
    <row r="113" customFormat="false" ht="48.75" hidden="false" customHeight="true" outlineLevel="0" collapsed="false">
      <c r="A113" s="29"/>
      <c r="B113" s="30" t="s">
        <v>760</v>
      </c>
      <c r="C113" s="31" t="s">
        <v>107</v>
      </c>
      <c r="D113" s="31" t="s">
        <v>108</v>
      </c>
      <c r="E113" s="32" t="n">
        <v>2500</v>
      </c>
      <c r="F113" s="32" t="n">
        <v>2500</v>
      </c>
      <c r="G113" s="32" t="n">
        <v>250</v>
      </c>
      <c r="H113" s="33" t="n">
        <v>1</v>
      </c>
      <c r="I113" s="34" t="n">
        <f aca="false">E113*H113+N(F113)+N(G113)</f>
        <v>5250</v>
      </c>
      <c r="J113" s="32" t="n">
        <f aca="false">ROUND(IFERROR(ROUND(IF(OR(ISNUMBER(SEARCH("week",C113)),ISNUMBER(SEARCH("minggu",C113))),IFERROR(_xlfn.NUMBERVALUE(SUBSTITUTE(LEFT(TRIM(C113),FIND(" ",TRIM(C113)&amp;" ")-1),",","."),"."),LEFT(SUBSTITUTE(LEFT(TRIM(C113),FIND(" ",TRIM(C113)&amp;" ")-1),",","."),FIND("/",SUBSTITUTE(LEFT(TRIM(C113),FIND(" ",TRIM(C113)&amp;" ")-1),",","."))-1)/MID(SUBSTITUTE(LEFT(TRIM(C113),FIND(" ",TRIM(C113)&amp;" ")-1),",","."),FIND("/",SUBSTITUTE(LEFT(TRIM(C113),FIND(" ",TRIM(C113)&amp;" ")-1),",","."))+1,9))*12/52,IF(ISNUMBER(SEARCH("month",C113)),IFERROR(_xlfn.NUMBERVALUE(SUBSTITUTE(LEFT(TRIM(C113),FIND(" ",TRIM(C113)&amp;" ")-1),",","."),"."),LEFT(SUBSTITUTE(LEFT(TRIM(C113),FIND(" ",TRIM(C113)&amp;" ")-1),",","."),FIND("/",SUBSTITUTE(LEFT(TRIM(C113),FIND(" ",TRIM(C113)&amp;" ")-1),",","."))-1)/MID(SUBSTITUTE(LEFT(TRIM(C113),FIND(" ",TRIM(C113)&amp;" ")-1),",","."),FIND("/",SUBSTITUTE(LEFT(TRIM(C113),FIND(" ",TRIM(C113)&amp;" ")-1),",","."))+1,9)),IF(ISNUMBER(SEARCH("yea",C113)),IFERROR(_xlfn.NUMBERVALUE(SUBSTITUTE(LEFT(TRIM(C113),FIND(" ",TRIM(C113)&amp;" ")-1),",","."),"."),LEFT(SUBSTITUTE(LEFT(TRIM(C113),FIND(" ",TRIM(C113)&amp;" ")-1),",","."),FIND("/",SUBSTITUTE(LEFT(TRIM(C113),FIND(" ",TRIM(C113)&amp;" ")-1),",","."))-1)/MID(SUBSTITUTE(LEFT(TRIM(C113),FIND(" ",TRIM(C113)&amp;" ")-1),",","."),FIND("/",SUBSTITUTE(LEFT(TRIM(C113),FIND(" ",TRIM(C113)&amp;" ")-1),",","."))+1,9))*12,NA()))),0),24)*'Aturan &amp; Tarif'!$B$4,2)</f>
        <v>1362.72</v>
      </c>
      <c r="K113" s="32" t="n">
        <f aca="false">'Aturan &amp; Tarif'!$B$5</f>
        <v>2050</v>
      </c>
      <c r="L113" s="35" t="n">
        <f aca="false">I113+J113+K113</f>
        <v>8662.72</v>
      </c>
      <c r="M113" s="36" t="s">
        <v>761</v>
      </c>
    </row>
    <row r="114" customFormat="false" ht="72" hidden="false" customHeight="true" outlineLevel="0" collapsed="false">
      <c r="A114" s="29"/>
      <c r="B114" s="30" t="s">
        <v>3464</v>
      </c>
      <c r="C114" s="31" t="s">
        <v>107</v>
      </c>
      <c r="D114" s="31" t="s">
        <v>108</v>
      </c>
      <c r="E114" s="32" t="n">
        <v>2500</v>
      </c>
      <c r="F114" s="32" t="n">
        <v>2500</v>
      </c>
      <c r="G114" s="32" t="n">
        <v>250</v>
      </c>
      <c r="H114" s="33" t="n">
        <v>1</v>
      </c>
      <c r="I114" s="34" t="n">
        <f aca="false">E114*H114+N(F114)+N(G114)</f>
        <v>5250</v>
      </c>
      <c r="J114" s="32" t="n">
        <f aca="false">ROUND(IFERROR(ROUND(IF(OR(ISNUMBER(SEARCH("week",C114)),ISNUMBER(SEARCH("minggu",C114))),IFERROR(_xlfn.NUMBERVALUE(SUBSTITUTE(LEFT(TRIM(C114),FIND(" ",TRIM(C114)&amp;" ")-1),",","."),"."),LEFT(SUBSTITUTE(LEFT(TRIM(C114),FIND(" ",TRIM(C114)&amp;" ")-1),",","."),FIND("/",SUBSTITUTE(LEFT(TRIM(C114),FIND(" ",TRIM(C114)&amp;" ")-1),",","."))-1)/MID(SUBSTITUTE(LEFT(TRIM(C114),FIND(" ",TRIM(C114)&amp;" ")-1),",","."),FIND("/",SUBSTITUTE(LEFT(TRIM(C114),FIND(" ",TRIM(C114)&amp;" ")-1),",","."))+1,9))*12/52,IF(ISNUMBER(SEARCH("month",C114)),IFERROR(_xlfn.NUMBERVALUE(SUBSTITUTE(LEFT(TRIM(C114),FIND(" ",TRIM(C114)&amp;" ")-1),",","."),"."),LEFT(SUBSTITUTE(LEFT(TRIM(C114),FIND(" ",TRIM(C114)&amp;" ")-1),",","."),FIND("/",SUBSTITUTE(LEFT(TRIM(C114),FIND(" ",TRIM(C114)&amp;" ")-1),",","."))-1)/MID(SUBSTITUTE(LEFT(TRIM(C114),FIND(" ",TRIM(C114)&amp;" ")-1),",","."),FIND("/",SUBSTITUTE(LEFT(TRIM(C114),FIND(" ",TRIM(C114)&amp;" ")-1),",","."))+1,9)),IF(ISNUMBER(SEARCH("yea",C114)),IFERROR(_xlfn.NUMBERVALUE(SUBSTITUTE(LEFT(TRIM(C114),FIND(" ",TRIM(C114)&amp;" ")-1),",","."),"."),LEFT(SUBSTITUTE(LEFT(TRIM(C114),FIND(" ",TRIM(C114)&amp;" ")-1),",","."),FIND("/",SUBSTITUTE(LEFT(TRIM(C114),FIND(" ",TRIM(C114)&amp;" ")-1),",","."))-1)/MID(SUBSTITUTE(LEFT(TRIM(C114),FIND(" ",TRIM(C114)&amp;" ")-1),",","."),FIND("/",SUBSTITUTE(LEFT(TRIM(C114),FIND(" ",TRIM(C114)&amp;" ")-1),",","."))+1,9))*12,NA()))),0),24)*'Aturan &amp; Tarif'!$B$4,2)</f>
        <v>1362.72</v>
      </c>
      <c r="K114" s="32" t="n">
        <f aca="false">'Aturan &amp; Tarif'!$B$5</f>
        <v>2050</v>
      </c>
      <c r="L114" s="35" t="n">
        <f aca="false">I114+J114+K114</f>
        <v>8662.72</v>
      </c>
      <c r="M114" s="36" t="s">
        <v>3465</v>
      </c>
    </row>
    <row r="115" customFormat="false" ht="14.25" hidden="false" customHeight="true" outlineLevel="0" collapsed="false">
      <c r="A115" s="29"/>
      <c r="B115" s="30" t="s">
        <v>763</v>
      </c>
      <c r="C115" s="31" t="s">
        <v>130</v>
      </c>
      <c r="D115" s="31" t="s">
        <v>108</v>
      </c>
      <c r="E115" s="32" t="n">
        <v>2500</v>
      </c>
      <c r="F115" s="32" t="n">
        <v>1500</v>
      </c>
      <c r="G115" s="32" t="n">
        <v>250</v>
      </c>
      <c r="H115" s="33" t="n">
        <v>1</v>
      </c>
      <c r="I115" s="34" t="n">
        <f aca="false">E115*H115+N(F115)+N(G115)</f>
        <v>4250</v>
      </c>
      <c r="J115" s="32" t="n">
        <f aca="false">ROUND(IFERROR(ROUND(IF(OR(ISNUMBER(SEARCH("week",C115)),ISNUMBER(SEARCH("minggu",C115))),IFERROR(_xlfn.NUMBERVALUE(SUBSTITUTE(LEFT(TRIM(C115),FIND(" ",TRIM(C115)&amp;" ")-1),",","."),"."),LEFT(SUBSTITUTE(LEFT(TRIM(C115),FIND(" ",TRIM(C115)&amp;" ")-1),",","."),FIND("/",SUBSTITUTE(LEFT(TRIM(C115),FIND(" ",TRIM(C115)&amp;" ")-1),",","."))-1)/MID(SUBSTITUTE(LEFT(TRIM(C115),FIND(" ",TRIM(C115)&amp;" ")-1),",","."),FIND("/",SUBSTITUTE(LEFT(TRIM(C115),FIND(" ",TRIM(C115)&amp;" ")-1),",","."))+1,9))*12/52,IF(ISNUMBER(SEARCH("month",C115)),IFERROR(_xlfn.NUMBERVALUE(SUBSTITUTE(LEFT(TRIM(C115),FIND(" ",TRIM(C115)&amp;" ")-1),",","."),"."),LEFT(SUBSTITUTE(LEFT(TRIM(C115),FIND(" ",TRIM(C115)&amp;" ")-1),",","."),FIND("/",SUBSTITUTE(LEFT(TRIM(C115),FIND(" ",TRIM(C115)&amp;" ")-1),",","."))-1)/MID(SUBSTITUTE(LEFT(TRIM(C115),FIND(" ",TRIM(C115)&amp;" ")-1),",","."),FIND("/",SUBSTITUTE(LEFT(TRIM(C115),FIND(" ",TRIM(C115)&amp;" ")-1),",","."))+1,9)),IF(ISNUMBER(SEARCH("yea",C115)),IFERROR(_xlfn.NUMBERVALUE(SUBSTITUTE(LEFT(TRIM(C115),FIND(" ",TRIM(C115)&amp;" ")-1),",","."),"."),LEFT(SUBSTITUTE(LEFT(TRIM(C115),FIND(" ",TRIM(C115)&amp;" ")-1),",","."),FIND("/",SUBSTITUTE(LEFT(TRIM(C115),FIND(" ",TRIM(C115)&amp;" ")-1),",","."))-1)/MID(SUBSTITUTE(LEFT(TRIM(C115),FIND(" ",TRIM(C115)&amp;" ")-1),",","."),FIND("/",SUBSTITUTE(LEFT(TRIM(C115),FIND(" ",TRIM(C115)&amp;" ")-1),",","."))+1,9))*12,NA()))),0),12)*'Aturan &amp; Tarif'!$B$4,2)</f>
        <v>681.36</v>
      </c>
      <c r="K115" s="32" t="n">
        <f aca="false">'Aturan &amp; Tarif'!$B$5</f>
        <v>2050</v>
      </c>
      <c r="L115" s="35" t="n">
        <f aca="false">I115+J115+K115</f>
        <v>6981.36</v>
      </c>
      <c r="M115" s="37" t="s">
        <v>764</v>
      </c>
    </row>
    <row r="116" customFormat="false" ht="60" hidden="false" customHeight="true" outlineLevel="0" collapsed="false">
      <c r="A116" s="29"/>
      <c r="B116" s="30" t="s">
        <v>765</v>
      </c>
      <c r="C116" s="31" t="s">
        <v>107</v>
      </c>
      <c r="D116" s="31" t="s">
        <v>108</v>
      </c>
      <c r="E116" s="32" t="n">
        <v>3000</v>
      </c>
      <c r="F116" s="32" t="n">
        <v>2000</v>
      </c>
      <c r="G116" s="32" t="n">
        <v>250</v>
      </c>
      <c r="H116" s="33" t="n">
        <v>1</v>
      </c>
      <c r="I116" s="34" t="n">
        <f aca="false">E116*H116+N(F116)+N(G116)</f>
        <v>5250</v>
      </c>
      <c r="J116" s="32" t="n">
        <f aca="false">ROUND(IFERROR(ROUND(IF(OR(ISNUMBER(SEARCH("week",C116)),ISNUMBER(SEARCH("minggu",C116))),IFERROR(_xlfn.NUMBERVALUE(SUBSTITUTE(LEFT(TRIM(C116),FIND(" ",TRIM(C116)&amp;" ")-1),",","."),"."),LEFT(SUBSTITUTE(LEFT(TRIM(C116),FIND(" ",TRIM(C116)&amp;" ")-1),",","."),FIND("/",SUBSTITUTE(LEFT(TRIM(C116),FIND(" ",TRIM(C116)&amp;" ")-1),",","."))-1)/MID(SUBSTITUTE(LEFT(TRIM(C116),FIND(" ",TRIM(C116)&amp;" ")-1),",","."),FIND("/",SUBSTITUTE(LEFT(TRIM(C116),FIND(" ",TRIM(C116)&amp;" ")-1),",","."))+1,9))*12/52,IF(ISNUMBER(SEARCH("month",C116)),IFERROR(_xlfn.NUMBERVALUE(SUBSTITUTE(LEFT(TRIM(C116),FIND(" ",TRIM(C116)&amp;" ")-1),",","."),"."),LEFT(SUBSTITUTE(LEFT(TRIM(C116),FIND(" ",TRIM(C116)&amp;" ")-1),",","."),FIND("/",SUBSTITUTE(LEFT(TRIM(C116),FIND(" ",TRIM(C116)&amp;" ")-1),",","."))-1)/MID(SUBSTITUTE(LEFT(TRIM(C116),FIND(" ",TRIM(C116)&amp;" ")-1),",","."),FIND("/",SUBSTITUTE(LEFT(TRIM(C116),FIND(" ",TRIM(C116)&amp;" ")-1),",","."))+1,9)),IF(ISNUMBER(SEARCH("yea",C116)),IFERROR(_xlfn.NUMBERVALUE(SUBSTITUTE(LEFT(TRIM(C116),FIND(" ",TRIM(C116)&amp;" ")-1),",","."),"."),LEFT(SUBSTITUTE(LEFT(TRIM(C116),FIND(" ",TRIM(C116)&amp;" ")-1),",","."),FIND("/",SUBSTITUTE(LEFT(TRIM(C116),FIND(" ",TRIM(C116)&amp;" ")-1),",","."))-1)/MID(SUBSTITUTE(LEFT(TRIM(C116),FIND(" ",TRIM(C116)&amp;" ")-1),",","."),FIND("/",SUBSTITUTE(LEFT(TRIM(C116),FIND(" ",TRIM(C116)&amp;" ")-1),",","."))+1,9))*12,NA()))),0),24)*'Aturan &amp; Tarif'!$B$4,2)</f>
        <v>1362.72</v>
      </c>
      <c r="K116" s="32" t="n">
        <f aca="false">'Aturan &amp; Tarif'!$B$5</f>
        <v>2050</v>
      </c>
      <c r="L116" s="35" t="n">
        <f aca="false">I116+J116+K116</f>
        <v>8662.72</v>
      </c>
      <c r="M116" s="36" t="s">
        <v>766</v>
      </c>
    </row>
    <row r="117" customFormat="false" ht="60" hidden="false" customHeight="true" outlineLevel="0" collapsed="false">
      <c r="A117" s="29"/>
      <c r="B117" s="30" t="s">
        <v>767</v>
      </c>
      <c r="C117" s="31" t="s">
        <v>113</v>
      </c>
      <c r="D117" s="31" t="s">
        <v>108</v>
      </c>
      <c r="E117" s="32" t="n">
        <v>3167</v>
      </c>
      <c r="F117" s="32" t="n">
        <v>1000</v>
      </c>
      <c r="G117" s="32" t="n">
        <v>250</v>
      </c>
      <c r="H117" s="33" t="n">
        <v>1</v>
      </c>
      <c r="I117" s="34" t="n">
        <f aca="false">E117*H117+N(F117)+N(G117)</f>
        <v>4417</v>
      </c>
      <c r="J117" s="32" t="n">
        <f aca="false">ROUND(IFERROR(ROUND(IF(OR(ISNUMBER(SEARCH("week",C117)),ISNUMBER(SEARCH("minggu",C117))),IFERROR(_xlfn.NUMBERVALUE(SUBSTITUTE(LEFT(TRIM(C117),FIND(" ",TRIM(C117)&amp;" ")-1),",","."),"."),LEFT(SUBSTITUTE(LEFT(TRIM(C117),FIND(" ",TRIM(C117)&amp;" ")-1),",","."),FIND("/",SUBSTITUTE(LEFT(TRIM(C117),FIND(" ",TRIM(C117)&amp;" ")-1),",","."))-1)/MID(SUBSTITUTE(LEFT(TRIM(C117),FIND(" ",TRIM(C117)&amp;" ")-1),",","."),FIND("/",SUBSTITUTE(LEFT(TRIM(C117),FIND(" ",TRIM(C117)&amp;" ")-1),",","."))+1,9))*12/52,IF(ISNUMBER(SEARCH("month",C117)),IFERROR(_xlfn.NUMBERVALUE(SUBSTITUTE(LEFT(TRIM(C117),FIND(" ",TRIM(C117)&amp;" ")-1),",","."),"."),LEFT(SUBSTITUTE(LEFT(TRIM(C117),FIND(" ",TRIM(C117)&amp;" ")-1),",","."),FIND("/",SUBSTITUTE(LEFT(TRIM(C117),FIND(" ",TRIM(C117)&amp;" ")-1),",","."))-1)/MID(SUBSTITUTE(LEFT(TRIM(C117),FIND(" ",TRIM(C117)&amp;" ")-1),",","."),FIND("/",SUBSTITUTE(LEFT(TRIM(C117),FIND(" ",TRIM(C117)&amp;" ")-1),",","."))+1,9)),IF(ISNUMBER(SEARCH("yea",C117)),IFERROR(_xlfn.NUMBERVALUE(SUBSTITUTE(LEFT(TRIM(C117),FIND(" ",TRIM(C117)&amp;" ")-1),",","."),"."),LEFT(SUBSTITUTE(LEFT(TRIM(C117),FIND(" ",TRIM(C117)&amp;" ")-1),",","."),FIND("/",SUBSTITUTE(LEFT(TRIM(C117),FIND(" ",TRIM(C117)&amp;" ")-1),",","."))-1)/MID(SUBSTITUTE(LEFT(TRIM(C117),FIND(" ",TRIM(C117)&amp;" ")-1),",","."),FIND("/",SUBSTITUTE(LEFT(TRIM(C117),FIND(" ",TRIM(C117)&amp;" ")-1),",","."))+1,9))*12,NA()))),0),18)*'Aturan &amp; Tarif'!$B$4,2)</f>
        <v>1022.04</v>
      </c>
      <c r="K117" s="32" t="n">
        <f aca="false">'Aturan &amp; Tarif'!$B$5</f>
        <v>2050</v>
      </c>
      <c r="L117" s="35" t="n">
        <f aca="false">I117+J117+K117</f>
        <v>7489.04</v>
      </c>
      <c r="M117" s="36" t="s">
        <v>768</v>
      </c>
    </row>
    <row r="118" customFormat="false" ht="37.5" hidden="false" customHeight="true" outlineLevel="0" collapsed="false">
      <c r="A118" s="29"/>
      <c r="B118" s="30" t="s">
        <v>769</v>
      </c>
      <c r="C118" s="31" t="s">
        <v>107</v>
      </c>
      <c r="D118" s="31" t="s">
        <v>108</v>
      </c>
      <c r="E118" s="32" t="n">
        <v>3167</v>
      </c>
      <c r="F118" s="32" t="n">
        <v>1500</v>
      </c>
      <c r="G118" s="32" t="n">
        <v>250</v>
      </c>
      <c r="H118" s="33" t="n">
        <v>1</v>
      </c>
      <c r="I118" s="34" t="n">
        <f aca="false">E118*H118+N(F118)+N(G118)</f>
        <v>4917</v>
      </c>
      <c r="J118" s="32" t="n">
        <f aca="false">ROUND(IFERROR(ROUND(IF(OR(ISNUMBER(SEARCH("week",C118)),ISNUMBER(SEARCH("minggu",C118))),IFERROR(_xlfn.NUMBERVALUE(SUBSTITUTE(LEFT(TRIM(C118),FIND(" ",TRIM(C118)&amp;" ")-1),",","."),"."),LEFT(SUBSTITUTE(LEFT(TRIM(C118),FIND(" ",TRIM(C118)&amp;" ")-1),",","."),FIND("/",SUBSTITUTE(LEFT(TRIM(C118),FIND(" ",TRIM(C118)&amp;" ")-1),",","."))-1)/MID(SUBSTITUTE(LEFT(TRIM(C118),FIND(" ",TRIM(C118)&amp;" ")-1),",","."),FIND("/",SUBSTITUTE(LEFT(TRIM(C118),FIND(" ",TRIM(C118)&amp;" ")-1),",","."))+1,9))*12/52,IF(ISNUMBER(SEARCH("month",C118)),IFERROR(_xlfn.NUMBERVALUE(SUBSTITUTE(LEFT(TRIM(C118),FIND(" ",TRIM(C118)&amp;" ")-1),",","."),"."),LEFT(SUBSTITUTE(LEFT(TRIM(C118),FIND(" ",TRIM(C118)&amp;" ")-1),",","."),FIND("/",SUBSTITUTE(LEFT(TRIM(C118),FIND(" ",TRIM(C118)&amp;" ")-1),",","."))-1)/MID(SUBSTITUTE(LEFT(TRIM(C118),FIND(" ",TRIM(C118)&amp;" ")-1),",","."),FIND("/",SUBSTITUTE(LEFT(TRIM(C118),FIND(" ",TRIM(C118)&amp;" ")-1),",","."))+1,9)),IF(ISNUMBER(SEARCH("yea",C118)),IFERROR(_xlfn.NUMBERVALUE(SUBSTITUTE(LEFT(TRIM(C118),FIND(" ",TRIM(C118)&amp;" ")-1),",","."),"."),LEFT(SUBSTITUTE(LEFT(TRIM(C118),FIND(" ",TRIM(C118)&amp;" ")-1),",","."),FIND("/",SUBSTITUTE(LEFT(TRIM(C118),FIND(" ",TRIM(C118)&amp;" ")-1),",","."))-1)/MID(SUBSTITUTE(LEFT(TRIM(C118),FIND(" ",TRIM(C118)&amp;" ")-1),",","."),FIND("/",SUBSTITUTE(LEFT(TRIM(C118),FIND(" ",TRIM(C118)&amp;" ")-1),",","."))+1,9))*12,NA()))),0),24)*'Aturan &amp; Tarif'!$B$4,2)</f>
        <v>1362.72</v>
      </c>
      <c r="K118" s="32" t="n">
        <f aca="false">'Aturan &amp; Tarif'!$B$5</f>
        <v>2050</v>
      </c>
      <c r="L118" s="35" t="n">
        <f aca="false">I118+J118+K118</f>
        <v>8329.72</v>
      </c>
      <c r="M118" s="36" t="s">
        <v>770</v>
      </c>
    </row>
    <row r="119" customFormat="false" ht="25.5" hidden="false" customHeight="true" outlineLevel="0" collapsed="false">
      <c r="A119" s="29"/>
      <c r="B119" s="30" t="s">
        <v>771</v>
      </c>
      <c r="C119" s="31" t="s">
        <v>107</v>
      </c>
      <c r="D119" s="31" t="s">
        <v>108</v>
      </c>
      <c r="E119" s="32" t="n">
        <v>2500</v>
      </c>
      <c r="F119" s="32" t="n">
        <v>1400</v>
      </c>
      <c r="G119" s="32" t="n">
        <v>250</v>
      </c>
      <c r="H119" s="33" t="n">
        <v>1</v>
      </c>
      <c r="I119" s="34" t="n">
        <f aca="false">E119*H119+N(F119)+N(G119)</f>
        <v>4150</v>
      </c>
      <c r="J119" s="32" t="n">
        <f aca="false">ROUND(IFERROR(ROUND(IF(OR(ISNUMBER(SEARCH("week",C119)),ISNUMBER(SEARCH("minggu",C119))),IFERROR(_xlfn.NUMBERVALUE(SUBSTITUTE(LEFT(TRIM(C119),FIND(" ",TRIM(C119)&amp;" ")-1),",","."),"."),LEFT(SUBSTITUTE(LEFT(TRIM(C119),FIND(" ",TRIM(C119)&amp;" ")-1),",","."),FIND("/",SUBSTITUTE(LEFT(TRIM(C119),FIND(" ",TRIM(C119)&amp;" ")-1),",","."))-1)/MID(SUBSTITUTE(LEFT(TRIM(C119),FIND(" ",TRIM(C119)&amp;" ")-1),",","."),FIND("/",SUBSTITUTE(LEFT(TRIM(C119),FIND(" ",TRIM(C119)&amp;" ")-1),",","."))+1,9))*12/52,IF(ISNUMBER(SEARCH("month",C119)),IFERROR(_xlfn.NUMBERVALUE(SUBSTITUTE(LEFT(TRIM(C119),FIND(" ",TRIM(C119)&amp;" ")-1),",","."),"."),LEFT(SUBSTITUTE(LEFT(TRIM(C119),FIND(" ",TRIM(C119)&amp;" ")-1),",","."),FIND("/",SUBSTITUTE(LEFT(TRIM(C119),FIND(" ",TRIM(C119)&amp;" ")-1),",","."))-1)/MID(SUBSTITUTE(LEFT(TRIM(C119),FIND(" ",TRIM(C119)&amp;" ")-1),",","."),FIND("/",SUBSTITUTE(LEFT(TRIM(C119),FIND(" ",TRIM(C119)&amp;" ")-1),",","."))+1,9)),IF(ISNUMBER(SEARCH("yea",C119)),IFERROR(_xlfn.NUMBERVALUE(SUBSTITUTE(LEFT(TRIM(C119),FIND(" ",TRIM(C119)&amp;" ")-1),",","."),"."),LEFT(SUBSTITUTE(LEFT(TRIM(C119),FIND(" ",TRIM(C119)&amp;" ")-1),",","."),FIND("/",SUBSTITUTE(LEFT(TRIM(C119),FIND(" ",TRIM(C119)&amp;" ")-1),",","."))-1)/MID(SUBSTITUTE(LEFT(TRIM(C119),FIND(" ",TRIM(C119)&amp;" ")-1),",","."),FIND("/",SUBSTITUTE(LEFT(TRIM(C119),FIND(" ",TRIM(C119)&amp;" ")-1),",","."))+1,9))*12,NA()))),0),24)*'Aturan &amp; Tarif'!$B$4,2)</f>
        <v>1362.72</v>
      </c>
      <c r="K119" s="32" t="n">
        <f aca="false">'Aturan &amp; Tarif'!$B$5</f>
        <v>2050</v>
      </c>
      <c r="L119" s="35" t="n">
        <f aca="false">I119+J119+K119</f>
        <v>7562.72</v>
      </c>
      <c r="M119" s="36" t="s">
        <v>757</v>
      </c>
    </row>
    <row r="120" customFormat="false" ht="37.5" hidden="false" customHeight="true" outlineLevel="0" collapsed="false">
      <c r="A120" s="29"/>
      <c r="B120" s="30" t="s">
        <v>772</v>
      </c>
      <c r="C120" s="31" t="s">
        <v>138</v>
      </c>
      <c r="D120" s="31" t="s">
        <v>108</v>
      </c>
      <c r="E120" s="32" t="n">
        <v>2500</v>
      </c>
      <c r="F120" s="32" t="n">
        <v>1400</v>
      </c>
      <c r="G120" s="32" t="n">
        <v>250</v>
      </c>
      <c r="H120" s="33" t="n">
        <v>1</v>
      </c>
      <c r="I120" s="34" t="n">
        <f aca="false">E120*H120+N(F120)+N(G120)</f>
        <v>4150</v>
      </c>
      <c r="J120" s="32" t="n">
        <f aca="false">ROUND(IFERROR(ROUND(IF(OR(ISNUMBER(SEARCH("week",C120)),ISNUMBER(SEARCH("minggu",C120))),IFERROR(_xlfn.NUMBERVALUE(SUBSTITUTE(LEFT(TRIM(C120),FIND(" ",TRIM(C120)&amp;" ")-1),",","."),"."),LEFT(SUBSTITUTE(LEFT(TRIM(C120),FIND(" ",TRIM(C120)&amp;" ")-1),",","."),FIND("/",SUBSTITUTE(LEFT(TRIM(C120),FIND(" ",TRIM(C120)&amp;" ")-1),",","."))-1)/MID(SUBSTITUTE(LEFT(TRIM(C120),FIND(" ",TRIM(C120)&amp;" ")-1),",","."),FIND("/",SUBSTITUTE(LEFT(TRIM(C120),FIND(" ",TRIM(C120)&amp;" ")-1),",","."))+1,9))*12/52,IF(ISNUMBER(SEARCH("month",C120)),IFERROR(_xlfn.NUMBERVALUE(SUBSTITUTE(LEFT(TRIM(C120),FIND(" ",TRIM(C120)&amp;" ")-1),",","."),"."),LEFT(SUBSTITUTE(LEFT(TRIM(C120),FIND(" ",TRIM(C120)&amp;" ")-1),",","."),FIND("/",SUBSTITUTE(LEFT(TRIM(C120),FIND(" ",TRIM(C120)&amp;" ")-1),",","."))-1)/MID(SUBSTITUTE(LEFT(TRIM(C120),FIND(" ",TRIM(C120)&amp;" ")-1),",","."),FIND("/",SUBSTITUTE(LEFT(TRIM(C120),FIND(" ",TRIM(C120)&amp;" ")-1),",","."))+1,9)),IF(ISNUMBER(SEARCH("yea",C120)),IFERROR(_xlfn.NUMBERVALUE(SUBSTITUTE(LEFT(TRIM(C120),FIND(" ",TRIM(C120)&amp;" ")-1),",","."),"."),LEFT(SUBSTITUTE(LEFT(TRIM(C120),FIND(" ",TRIM(C120)&amp;" ")-1),",","."),FIND("/",SUBSTITUTE(LEFT(TRIM(C120),FIND(" ",TRIM(C120)&amp;" ")-1),",","."))-1)/MID(SUBSTITUTE(LEFT(TRIM(C120),FIND(" ",TRIM(C120)&amp;" ")-1),",","."),FIND("/",SUBSTITUTE(LEFT(TRIM(C120),FIND(" ",TRIM(C120)&amp;" ")-1),",","."))+1,9))*12,NA()))),0),30)*'Aturan &amp; Tarif'!$B$4,2)</f>
        <v>1703.4</v>
      </c>
      <c r="K120" s="32" t="n">
        <f aca="false">'Aturan &amp; Tarif'!$B$5</f>
        <v>2050</v>
      </c>
      <c r="L120" s="35" t="n">
        <f aca="false">I120+J120+K120</f>
        <v>7903.4</v>
      </c>
      <c r="M120" s="36" t="s">
        <v>761</v>
      </c>
    </row>
    <row r="121" customFormat="false" ht="14.25" hidden="false" customHeight="true" outlineLevel="0" collapsed="false">
      <c r="A121" s="29"/>
      <c r="B121" s="30" t="s">
        <v>773</v>
      </c>
      <c r="C121" s="31" t="s">
        <v>130</v>
      </c>
      <c r="D121" s="31" t="s">
        <v>108</v>
      </c>
      <c r="E121" s="32" t="n">
        <v>1625</v>
      </c>
      <c r="F121" s="32" t="n">
        <v>500</v>
      </c>
      <c r="G121" s="32" t="n">
        <v>250</v>
      </c>
      <c r="H121" s="33" t="n">
        <v>1</v>
      </c>
      <c r="I121" s="34" t="n">
        <f aca="false">E121*H121+N(F121)+N(G121)</f>
        <v>2375</v>
      </c>
      <c r="J121" s="32" t="n">
        <f aca="false">ROUND(IFERROR(ROUND(IF(OR(ISNUMBER(SEARCH("week",C121)),ISNUMBER(SEARCH("minggu",C121))),IFERROR(_xlfn.NUMBERVALUE(SUBSTITUTE(LEFT(TRIM(C121),FIND(" ",TRIM(C121)&amp;" ")-1),",","."),"."),LEFT(SUBSTITUTE(LEFT(TRIM(C121),FIND(" ",TRIM(C121)&amp;" ")-1),",","."),FIND("/",SUBSTITUTE(LEFT(TRIM(C121),FIND(" ",TRIM(C121)&amp;" ")-1),",","."))-1)/MID(SUBSTITUTE(LEFT(TRIM(C121),FIND(" ",TRIM(C121)&amp;" ")-1),",","."),FIND("/",SUBSTITUTE(LEFT(TRIM(C121),FIND(" ",TRIM(C121)&amp;" ")-1),",","."))+1,9))*12/52,IF(ISNUMBER(SEARCH("month",C121)),IFERROR(_xlfn.NUMBERVALUE(SUBSTITUTE(LEFT(TRIM(C121),FIND(" ",TRIM(C121)&amp;" ")-1),",","."),"."),LEFT(SUBSTITUTE(LEFT(TRIM(C121),FIND(" ",TRIM(C121)&amp;" ")-1),",","."),FIND("/",SUBSTITUTE(LEFT(TRIM(C121),FIND(" ",TRIM(C121)&amp;" ")-1),",","."))-1)/MID(SUBSTITUTE(LEFT(TRIM(C121),FIND(" ",TRIM(C121)&amp;" ")-1),",","."),FIND("/",SUBSTITUTE(LEFT(TRIM(C121),FIND(" ",TRIM(C121)&amp;" ")-1),",","."))+1,9)),IF(ISNUMBER(SEARCH("yea",C121)),IFERROR(_xlfn.NUMBERVALUE(SUBSTITUTE(LEFT(TRIM(C121),FIND(" ",TRIM(C121)&amp;" ")-1),",","."),"."),LEFT(SUBSTITUTE(LEFT(TRIM(C121),FIND(" ",TRIM(C121)&amp;" ")-1),",","."),FIND("/",SUBSTITUTE(LEFT(TRIM(C121),FIND(" ",TRIM(C121)&amp;" ")-1),",","."))-1)/MID(SUBSTITUTE(LEFT(TRIM(C121),FIND(" ",TRIM(C121)&amp;" ")-1),",","."),FIND("/",SUBSTITUTE(LEFT(TRIM(C121),FIND(" ",TRIM(C121)&amp;" ")-1),",","."))+1,9))*12,NA()))),0),12)*'Aturan &amp; Tarif'!$B$4,2)</f>
        <v>681.36</v>
      </c>
      <c r="K121" s="32" t="n">
        <f aca="false">'Aturan &amp; Tarif'!$B$5</f>
        <v>2050</v>
      </c>
      <c r="L121" s="35" t="n">
        <f aca="false">I121+J121+K121</f>
        <v>5106.36</v>
      </c>
      <c r="M121" s="37" t="s">
        <v>764</v>
      </c>
    </row>
    <row r="122" customFormat="false" ht="60" hidden="false" customHeight="true" outlineLevel="0" collapsed="false">
      <c r="A122" s="29"/>
      <c r="B122" s="30" t="s">
        <v>774</v>
      </c>
      <c r="C122" s="31" t="s">
        <v>159</v>
      </c>
      <c r="D122" s="31" t="s">
        <v>108</v>
      </c>
      <c r="E122" s="32" t="n">
        <v>2000</v>
      </c>
      <c r="F122" s="32" t="n">
        <v>250</v>
      </c>
      <c r="G122" s="32" t="n">
        <v>250</v>
      </c>
      <c r="H122" s="33" t="n">
        <v>1</v>
      </c>
      <c r="I122" s="34" t="n">
        <f aca="false">E122*H122+N(F122)+N(G122)</f>
        <v>2500</v>
      </c>
      <c r="J122" s="32" t="n">
        <f aca="false">ROUND(IFERROR(ROUND(IF(OR(ISNUMBER(SEARCH("week",C122)),ISNUMBER(SEARCH("minggu",C122))),IFERROR(_xlfn.NUMBERVALUE(SUBSTITUTE(LEFT(TRIM(C122),FIND(" ",TRIM(C122)&amp;" ")-1),",","."),"."),LEFT(SUBSTITUTE(LEFT(TRIM(C122),FIND(" ",TRIM(C122)&amp;" ")-1),",","."),FIND("/",SUBSTITUTE(LEFT(TRIM(C122),FIND(" ",TRIM(C122)&amp;" ")-1),",","."))-1)/MID(SUBSTITUTE(LEFT(TRIM(C122),FIND(" ",TRIM(C122)&amp;" ")-1),",","."),FIND("/",SUBSTITUTE(LEFT(TRIM(C122),FIND(" ",TRIM(C122)&amp;" ")-1),",","."))+1,9))*12/52,IF(ISNUMBER(SEARCH("month",C122)),IFERROR(_xlfn.NUMBERVALUE(SUBSTITUTE(LEFT(TRIM(C122),FIND(" ",TRIM(C122)&amp;" ")-1),",","."),"."),LEFT(SUBSTITUTE(LEFT(TRIM(C122),FIND(" ",TRIM(C122)&amp;" ")-1),",","."),FIND("/",SUBSTITUTE(LEFT(TRIM(C122),FIND(" ",TRIM(C122)&amp;" ")-1),",","."))-1)/MID(SUBSTITUTE(LEFT(TRIM(C122),FIND(" ",TRIM(C122)&amp;" ")-1),",","."),FIND("/",SUBSTITUTE(LEFT(TRIM(C122),FIND(" ",TRIM(C122)&amp;" ")-1),",","."))+1,9)),IF(ISNUMBER(SEARCH("yea",C122)),IFERROR(_xlfn.NUMBERVALUE(SUBSTITUTE(LEFT(TRIM(C122),FIND(" ",TRIM(C122)&amp;" ")-1),",","."),"."),LEFT(SUBSTITUTE(LEFT(TRIM(C122),FIND(" ",TRIM(C122)&amp;" ")-1),",","."),FIND("/",SUBSTITUTE(LEFT(TRIM(C122),FIND(" ",TRIM(C122)&amp;" ")-1),",","."))-1)/MID(SUBSTITUTE(LEFT(TRIM(C122),FIND(" ",TRIM(C122)&amp;" ")-1),",","."),FIND("/",SUBSTITUTE(LEFT(TRIM(C122),FIND(" ",TRIM(C122)&amp;" ")-1),",","."))+1,9))*12,NA()))),0),6)*'Aturan &amp; Tarif'!$B$4,2)</f>
        <v>340.68</v>
      </c>
      <c r="K122" s="32" t="n">
        <f aca="false">'Aturan &amp; Tarif'!$B$5</f>
        <v>2050</v>
      </c>
      <c r="L122" s="35" t="n">
        <f aca="false">I122+J122+K122</f>
        <v>4890.68</v>
      </c>
      <c r="M122" s="36" t="s">
        <v>775</v>
      </c>
    </row>
    <row r="123" customFormat="false" ht="60" hidden="false" customHeight="true" outlineLevel="0" collapsed="false">
      <c r="A123" s="29"/>
      <c r="B123" s="30" t="s">
        <v>776</v>
      </c>
      <c r="C123" s="31" t="s">
        <v>130</v>
      </c>
      <c r="D123" s="31" t="s">
        <v>108</v>
      </c>
      <c r="E123" s="32" t="n">
        <v>1375</v>
      </c>
      <c r="F123" s="32" t="n">
        <v>500</v>
      </c>
      <c r="G123" s="32" t="n">
        <v>250</v>
      </c>
      <c r="H123" s="33" t="n">
        <v>1</v>
      </c>
      <c r="I123" s="34" t="n">
        <f aca="false">E123*H123+N(F123)+N(G123)</f>
        <v>2125</v>
      </c>
      <c r="J123" s="32" t="n">
        <f aca="false">ROUND(IFERROR(ROUND(IF(OR(ISNUMBER(SEARCH("week",C123)),ISNUMBER(SEARCH("minggu",C123))),IFERROR(_xlfn.NUMBERVALUE(SUBSTITUTE(LEFT(TRIM(C123),FIND(" ",TRIM(C123)&amp;" ")-1),",","."),"."),LEFT(SUBSTITUTE(LEFT(TRIM(C123),FIND(" ",TRIM(C123)&amp;" ")-1),",","."),FIND("/",SUBSTITUTE(LEFT(TRIM(C123),FIND(" ",TRIM(C123)&amp;" ")-1),",","."))-1)/MID(SUBSTITUTE(LEFT(TRIM(C123),FIND(" ",TRIM(C123)&amp;" ")-1),",","."),FIND("/",SUBSTITUTE(LEFT(TRIM(C123),FIND(" ",TRIM(C123)&amp;" ")-1),",","."))+1,9))*12/52,IF(ISNUMBER(SEARCH("month",C123)),IFERROR(_xlfn.NUMBERVALUE(SUBSTITUTE(LEFT(TRIM(C123),FIND(" ",TRIM(C123)&amp;" ")-1),",","."),"."),LEFT(SUBSTITUTE(LEFT(TRIM(C123),FIND(" ",TRIM(C123)&amp;" ")-1),",","."),FIND("/",SUBSTITUTE(LEFT(TRIM(C123),FIND(" ",TRIM(C123)&amp;" ")-1),",","."))-1)/MID(SUBSTITUTE(LEFT(TRIM(C123),FIND(" ",TRIM(C123)&amp;" ")-1),",","."),FIND("/",SUBSTITUTE(LEFT(TRIM(C123),FIND(" ",TRIM(C123)&amp;" ")-1),",","."))+1,9)),IF(ISNUMBER(SEARCH("yea",C123)),IFERROR(_xlfn.NUMBERVALUE(SUBSTITUTE(LEFT(TRIM(C123),FIND(" ",TRIM(C123)&amp;" ")-1),",","."),"."),LEFT(SUBSTITUTE(LEFT(TRIM(C123),FIND(" ",TRIM(C123)&amp;" ")-1),",","."),FIND("/",SUBSTITUTE(LEFT(TRIM(C123),FIND(" ",TRIM(C123)&amp;" ")-1),",","."))-1)/MID(SUBSTITUTE(LEFT(TRIM(C123),FIND(" ",TRIM(C123)&amp;" ")-1),",","."),FIND("/",SUBSTITUTE(LEFT(TRIM(C123),FIND(" ",TRIM(C123)&amp;" ")-1),",","."))+1,9))*12,NA()))),0),12)*'Aturan &amp; Tarif'!$B$4,2)</f>
        <v>681.36</v>
      </c>
      <c r="K123" s="32" t="n">
        <f aca="false">'Aturan &amp; Tarif'!$B$5</f>
        <v>2050</v>
      </c>
      <c r="L123" s="35" t="n">
        <f aca="false">I123+J123+K123</f>
        <v>4856.36</v>
      </c>
      <c r="M123" s="36" t="s">
        <v>777</v>
      </c>
    </row>
    <row r="124" customFormat="false" ht="48.75" hidden="false" customHeight="true" outlineLevel="0" collapsed="false">
      <c r="A124" s="29" t="s">
        <v>778</v>
      </c>
      <c r="B124" s="30" t="s">
        <v>779</v>
      </c>
      <c r="C124" s="31" t="s">
        <v>107</v>
      </c>
      <c r="D124" s="31" t="s">
        <v>108</v>
      </c>
      <c r="E124" s="32" t="n">
        <v>2625</v>
      </c>
      <c r="F124" s="32" t="n">
        <v>1500</v>
      </c>
      <c r="G124" s="32" t="n">
        <v>250</v>
      </c>
      <c r="H124" s="33" t="n">
        <v>2</v>
      </c>
      <c r="I124" s="34" t="n">
        <f aca="false">E124*H124+N(F124)+N(G124)</f>
        <v>7000</v>
      </c>
      <c r="J124" s="32" t="n">
        <f aca="false">ROUND(IFERROR(ROUND(IF(OR(ISNUMBER(SEARCH("week",C124)),ISNUMBER(SEARCH("minggu",C124))),IFERROR(_xlfn.NUMBERVALUE(SUBSTITUTE(LEFT(TRIM(C124),FIND(" ",TRIM(C124)&amp;" ")-1),",","."),"."),LEFT(SUBSTITUTE(LEFT(TRIM(C124),FIND(" ",TRIM(C124)&amp;" ")-1),",","."),FIND("/",SUBSTITUTE(LEFT(TRIM(C124),FIND(" ",TRIM(C124)&amp;" ")-1),",","."))-1)/MID(SUBSTITUTE(LEFT(TRIM(C124),FIND(" ",TRIM(C124)&amp;" ")-1),",","."),FIND("/",SUBSTITUTE(LEFT(TRIM(C124),FIND(" ",TRIM(C124)&amp;" ")-1),",","."))+1,9))*12/52,IF(ISNUMBER(SEARCH("month",C124)),IFERROR(_xlfn.NUMBERVALUE(SUBSTITUTE(LEFT(TRIM(C124),FIND(" ",TRIM(C124)&amp;" ")-1),",","."),"."),LEFT(SUBSTITUTE(LEFT(TRIM(C124),FIND(" ",TRIM(C124)&amp;" ")-1),",","."),FIND("/",SUBSTITUTE(LEFT(TRIM(C124),FIND(" ",TRIM(C124)&amp;" ")-1),",","."))-1)/MID(SUBSTITUTE(LEFT(TRIM(C124),FIND(" ",TRIM(C124)&amp;" ")-1),",","."),FIND("/",SUBSTITUTE(LEFT(TRIM(C124),FIND(" ",TRIM(C124)&amp;" ")-1),",","."))+1,9)),IF(ISNUMBER(SEARCH("yea",C124)),IFERROR(_xlfn.NUMBERVALUE(SUBSTITUTE(LEFT(TRIM(C124),FIND(" ",TRIM(C124)&amp;" ")-1),",","."),"."),LEFT(SUBSTITUTE(LEFT(TRIM(C124),FIND(" ",TRIM(C124)&amp;" ")-1),",","."),FIND("/",SUBSTITUTE(LEFT(TRIM(C124),FIND(" ",TRIM(C124)&amp;" ")-1),",","."))-1)/MID(SUBSTITUTE(LEFT(TRIM(C124),FIND(" ",TRIM(C124)&amp;" ")-1),",","."),FIND("/",SUBSTITUTE(LEFT(TRIM(C124),FIND(" ",TRIM(C124)&amp;" ")-1),",","."))+1,9))*12,NA()))),0),24)*'Aturan &amp; Tarif'!$B$4,2)</f>
        <v>1362.72</v>
      </c>
      <c r="K124" s="32" t="n">
        <f aca="false">'Aturan &amp; Tarif'!$B$5</f>
        <v>2050</v>
      </c>
      <c r="L124" s="35" t="n">
        <f aca="false">I124+J124+K124</f>
        <v>10412.72</v>
      </c>
      <c r="M124" s="36" t="s">
        <v>780</v>
      </c>
    </row>
    <row r="125" customFormat="false" ht="48.75" hidden="false" customHeight="true" outlineLevel="0" collapsed="false">
      <c r="A125" s="29"/>
      <c r="B125" s="30" t="s">
        <v>781</v>
      </c>
      <c r="C125" s="31" t="s">
        <v>138</v>
      </c>
      <c r="D125" s="31" t="s">
        <v>108</v>
      </c>
      <c r="E125" s="32" t="n">
        <v>2625</v>
      </c>
      <c r="F125" s="32" t="n">
        <v>1500</v>
      </c>
      <c r="G125" s="32" t="n">
        <v>250</v>
      </c>
      <c r="H125" s="33" t="n">
        <v>2</v>
      </c>
      <c r="I125" s="34" t="n">
        <f aca="false">E125*H125+N(F125)+N(G125)</f>
        <v>7000</v>
      </c>
      <c r="J125" s="32" t="n">
        <f aca="false">ROUND(IFERROR(ROUND(IF(OR(ISNUMBER(SEARCH("week",C125)),ISNUMBER(SEARCH("minggu",C125))),IFERROR(_xlfn.NUMBERVALUE(SUBSTITUTE(LEFT(TRIM(C125),FIND(" ",TRIM(C125)&amp;" ")-1),",","."),"."),LEFT(SUBSTITUTE(LEFT(TRIM(C125),FIND(" ",TRIM(C125)&amp;" ")-1),",","."),FIND("/",SUBSTITUTE(LEFT(TRIM(C125),FIND(" ",TRIM(C125)&amp;" ")-1),",","."))-1)/MID(SUBSTITUTE(LEFT(TRIM(C125),FIND(" ",TRIM(C125)&amp;" ")-1),",","."),FIND("/",SUBSTITUTE(LEFT(TRIM(C125),FIND(" ",TRIM(C125)&amp;" ")-1),",","."))+1,9))*12/52,IF(ISNUMBER(SEARCH("month",C125)),IFERROR(_xlfn.NUMBERVALUE(SUBSTITUTE(LEFT(TRIM(C125),FIND(" ",TRIM(C125)&amp;" ")-1),",","."),"."),LEFT(SUBSTITUTE(LEFT(TRIM(C125),FIND(" ",TRIM(C125)&amp;" ")-1),",","."),FIND("/",SUBSTITUTE(LEFT(TRIM(C125),FIND(" ",TRIM(C125)&amp;" ")-1),",","."))-1)/MID(SUBSTITUTE(LEFT(TRIM(C125),FIND(" ",TRIM(C125)&amp;" ")-1),",","."),FIND("/",SUBSTITUTE(LEFT(TRIM(C125),FIND(" ",TRIM(C125)&amp;" ")-1),",","."))+1,9)),IF(ISNUMBER(SEARCH("yea",C125)),IFERROR(_xlfn.NUMBERVALUE(SUBSTITUTE(LEFT(TRIM(C125),FIND(" ",TRIM(C125)&amp;" ")-1),",","."),"."),LEFT(SUBSTITUTE(LEFT(TRIM(C125),FIND(" ",TRIM(C125)&amp;" ")-1),",","."),FIND("/",SUBSTITUTE(LEFT(TRIM(C125),FIND(" ",TRIM(C125)&amp;" ")-1),",","."))-1)/MID(SUBSTITUTE(LEFT(TRIM(C125),FIND(" ",TRIM(C125)&amp;" ")-1),",","."),FIND("/",SUBSTITUTE(LEFT(TRIM(C125),FIND(" ",TRIM(C125)&amp;" ")-1),",","."))+1,9))*12,NA()))),0),30)*'Aturan &amp; Tarif'!$B$4,2)</f>
        <v>1703.4</v>
      </c>
      <c r="K125" s="32" t="n">
        <f aca="false">'Aturan &amp; Tarif'!$B$5</f>
        <v>2050</v>
      </c>
      <c r="L125" s="35" t="n">
        <f aca="false">I125+J125+K125</f>
        <v>10753.4</v>
      </c>
      <c r="M125" s="36" t="s">
        <v>782</v>
      </c>
    </row>
    <row r="126" customFormat="false" ht="25.5" hidden="false" customHeight="true" outlineLevel="0" collapsed="false">
      <c r="A126" s="29"/>
      <c r="B126" s="30" t="s">
        <v>783</v>
      </c>
      <c r="C126" s="31" t="s">
        <v>107</v>
      </c>
      <c r="D126" s="31" t="s">
        <v>108</v>
      </c>
      <c r="E126" s="32" t="n">
        <v>2600</v>
      </c>
      <c r="F126" s="32" t="n">
        <v>600</v>
      </c>
      <c r="G126" s="32" t="n">
        <v>250</v>
      </c>
      <c r="H126" s="33" t="n">
        <v>2</v>
      </c>
      <c r="I126" s="34" t="n">
        <f aca="false">E126*H126+N(F126)+N(G126)</f>
        <v>6050</v>
      </c>
      <c r="J126" s="32" t="n">
        <f aca="false">ROUND(IFERROR(ROUND(IF(OR(ISNUMBER(SEARCH("week",C126)),ISNUMBER(SEARCH("minggu",C126))),IFERROR(_xlfn.NUMBERVALUE(SUBSTITUTE(LEFT(TRIM(C126),FIND(" ",TRIM(C126)&amp;" ")-1),",","."),"."),LEFT(SUBSTITUTE(LEFT(TRIM(C126),FIND(" ",TRIM(C126)&amp;" ")-1),",","."),FIND("/",SUBSTITUTE(LEFT(TRIM(C126),FIND(" ",TRIM(C126)&amp;" ")-1),",","."))-1)/MID(SUBSTITUTE(LEFT(TRIM(C126),FIND(" ",TRIM(C126)&amp;" ")-1),",","."),FIND("/",SUBSTITUTE(LEFT(TRIM(C126),FIND(" ",TRIM(C126)&amp;" ")-1),",","."))+1,9))*12/52,IF(ISNUMBER(SEARCH("month",C126)),IFERROR(_xlfn.NUMBERVALUE(SUBSTITUTE(LEFT(TRIM(C126),FIND(" ",TRIM(C126)&amp;" ")-1),",","."),"."),LEFT(SUBSTITUTE(LEFT(TRIM(C126),FIND(" ",TRIM(C126)&amp;" ")-1),",","."),FIND("/",SUBSTITUTE(LEFT(TRIM(C126),FIND(" ",TRIM(C126)&amp;" ")-1),",","."))-1)/MID(SUBSTITUTE(LEFT(TRIM(C126),FIND(" ",TRIM(C126)&amp;" ")-1),",","."),FIND("/",SUBSTITUTE(LEFT(TRIM(C126),FIND(" ",TRIM(C126)&amp;" ")-1),",","."))+1,9)),IF(ISNUMBER(SEARCH("yea",C126)),IFERROR(_xlfn.NUMBERVALUE(SUBSTITUTE(LEFT(TRIM(C126),FIND(" ",TRIM(C126)&amp;" ")-1),",","."),"."),LEFT(SUBSTITUTE(LEFT(TRIM(C126),FIND(" ",TRIM(C126)&amp;" ")-1),",","."),FIND("/",SUBSTITUTE(LEFT(TRIM(C126),FIND(" ",TRIM(C126)&amp;" ")-1),",","."))-1)/MID(SUBSTITUTE(LEFT(TRIM(C126),FIND(" ",TRIM(C126)&amp;" ")-1),",","."),FIND("/",SUBSTITUTE(LEFT(TRIM(C126),FIND(" ",TRIM(C126)&amp;" ")-1),",","."))+1,9))*12,NA()))),0),24)*'Aturan &amp; Tarif'!$B$4,2)</f>
        <v>1362.72</v>
      </c>
      <c r="K126" s="32" t="n">
        <f aca="false">'Aturan &amp; Tarif'!$B$5</f>
        <v>2050</v>
      </c>
      <c r="L126" s="35" t="n">
        <f aca="false">I126+J126+K126</f>
        <v>9462.72</v>
      </c>
      <c r="M126" s="37" t="s">
        <v>784</v>
      </c>
    </row>
    <row r="127" customFormat="false" ht="37.5" hidden="false" customHeight="true" outlineLevel="0" collapsed="false">
      <c r="A127" s="29"/>
      <c r="B127" s="30" t="s">
        <v>785</v>
      </c>
      <c r="C127" s="31" t="s">
        <v>127</v>
      </c>
      <c r="D127" s="31" t="s">
        <v>108</v>
      </c>
      <c r="E127" s="32" t="n">
        <v>2625</v>
      </c>
      <c r="F127" s="32" t="n">
        <v>600</v>
      </c>
      <c r="G127" s="32" t="n">
        <v>250</v>
      </c>
      <c r="H127" s="33" t="n">
        <v>2</v>
      </c>
      <c r="I127" s="34" t="n">
        <f aca="false">E127*H127+N(F127)+N(G127)</f>
        <v>6100</v>
      </c>
      <c r="J127" s="32" t="n">
        <f aca="false">ROUND(IFERROR(ROUND(IF(OR(ISNUMBER(SEARCH("week",C127)),ISNUMBER(SEARCH("minggu",C127))),IFERROR(_xlfn.NUMBERVALUE(SUBSTITUTE(LEFT(TRIM(C127),FIND(" ",TRIM(C127)&amp;" ")-1),",","."),"."),LEFT(SUBSTITUTE(LEFT(TRIM(C127),FIND(" ",TRIM(C127)&amp;" ")-1),",","."),FIND("/",SUBSTITUTE(LEFT(TRIM(C127),FIND(" ",TRIM(C127)&amp;" ")-1),",","."))-1)/MID(SUBSTITUTE(LEFT(TRIM(C127),FIND(" ",TRIM(C127)&amp;" ")-1),",","."),FIND("/",SUBSTITUTE(LEFT(TRIM(C127),FIND(" ",TRIM(C127)&amp;" ")-1),",","."))+1,9))*12/52,IF(ISNUMBER(SEARCH("month",C127)),IFERROR(_xlfn.NUMBERVALUE(SUBSTITUTE(LEFT(TRIM(C127),FIND(" ",TRIM(C127)&amp;" ")-1),",","."),"."),LEFT(SUBSTITUTE(LEFT(TRIM(C127),FIND(" ",TRIM(C127)&amp;" ")-1),",","."),FIND("/",SUBSTITUTE(LEFT(TRIM(C127),FIND(" ",TRIM(C127)&amp;" ")-1),",","."))-1)/MID(SUBSTITUTE(LEFT(TRIM(C127),FIND(" ",TRIM(C127)&amp;" ")-1),",","."),FIND("/",SUBSTITUTE(LEFT(TRIM(C127),FIND(" ",TRIM(C127)&amp;" ")-1),",","."))+1,9)),IF(ISNUMBER(SEARCH("yea",C127)),IFERROR(_xlfn.NUMBERVALUE(SUBSTITUTE(LEFT(TRIM(C127),FIND(" ",TRIM(C127)&amp;" ")-1),",","."),"."),LEFT(SUBSTITUTE(LEFT(TRIM(C127),FIND(" ",TRIM(C127)&amp;" ")-1),",","."),FIND("/",SUBSTITUTE(LEFT(TRIM(C127),FIND(" ",TRIM(C127)&amp;" ")-1),",","."))-1)/MID(SUBSTITUTE(LEFT(TRIM(C127),FIND(" ",TRIM(C127)&amp;" ")-1),",","."),FIND("/",SUBSTITUTE(LEFT(TRIM(C127),FIND(" ",TRIM(C127)&amp;" ")-1),",","."))+1,9))*12,NA()))),0),36)*'Aturan &amp; Tarif'!$B$4,2)</f>
        <v>2044.08</v>
      </c>
      <c r="K127" s="32" t="n">
        <f aca="false">'Aturan &amp; Tarif'!$B$5</f>
        <v>2050</v>
      </c>
      <c r="L127" s="35" t="n">
        <f aca="false">I127+J127+K127</f>
        <v>10194.08</v>
      </c>
      <c r="M127" s="37" t="s">
        <v>786</v>
      </c>
    </row>
    <row r="128" customFormat="false" ht="25.5" hidden="false" customHeight="true" outlineLevel="0" collapsed="false">
      <c r="A128" s="29"/>
      <c r="B128" s="30" t="s">
        <v>787</v>
      </c>
      <c r="C128" s="31" t="s">
        <v>107</v>
      </c>
      <c r="D128" s="31" t="s">
        <v>108</v>
      </c>
      <c r="E128" s="32" t="n">
        <v>2600</v>
      </c>
      <c r="F128" s="32" t="n">
        <v>600</v>
      </c>
      <c r="G128" s="32" t="n">
        <v>250</v>
      </c>
      <c r="H128" s="33" t="n">
        <v>2</v>
      </c>
      <c r="I128" s="34" t="n">
        <f aca="false">E128*H128+N(F128)+N(G128)</f>
        <v>6050</v>
      </c>
      <c r="J128" s="32" t="n">
        <f aca="false">ROUND(IFERROR(ROUND(IF(OR(ISNUMBER(SEARCH("week",C128)),ISNUMBER(SEARCH("minggu",C128))),IFERROR(_xlfn.NUMBERVALUE(SUBSTITUTE(LEFT(TRIM(C128),FIND(" ",TRIM(C128)&amp;" ")-1),",","."),"."),LEFT(SUBSTITUTE(LEFT(TRIM(C128),FIND(" ",TRIM(C128)&amp;" ")-1),",","."),FIND("/",SUBSTITUTE(LEFT(TRIM(C128),FIND(" ",TRIM(C128)&amp;" ")-1),",","."))-1)/MID(SUBSTITUTE(LEFT(TRIM(C128),FIND(" ",TRIM(C128)&amp;" ")-1),",","."),FIND("/",SUBSTITUTE(LEFT(TRIM(C128),FIND(" ",TRIM(C128)&amp;" ")-1),",","."))+1,9))*12/52,IF(ISNUMBER(SEARCH("month",C128)),IFERROR(_xlfn.NUMBERVALUE(SUBSTITUTE(LEFT(TRIM(C128),FIND(" ",TRIM(C128)&amp;" ")-1),",","."),"."),LEFT(SUBSTITUTE(LEFT(TRIM(C128),FIND(" ",TRIM(C128)&amp;" ")-1),",","."),FIND("/",SUBSTITUTE(LEFT(TRIM(C128),FIND(" ",TRIM(C128)&amp;" ")-1),",","."))-1)/MID(SUBSTITUTE(LEFT(TRIM(C128),FIND(" ",TRIM(C128)&amp;" ")-1),",","."),FIND("/",SUBSTITUTE(LEFT(TRIM(C128),FIND(" ",TRIM(C128)&amp;" ")-1),",","."))+1,9)),IF(ISNUMBER(SEARCH("yea",C128)),IFERROR(_xlfn.NUMBERVALUE(SUBSTITUTE(LEFT(TRIM(C128),FIND(" ",TRIM(C128)&amp;" ")-1),",","."),"."),LEFT(SUBSTITUTE(LEFT(TRIM(C128),FIND(" ",TRIM(C128)&amp;" ")-1),",","."),FIND("/",SUBSTITUTE(LEFT(TRIM(C128),FIND(" ",TRIM(C128)&amp;" ")-1),",","."))-1)/MID(SUBSTITUTE(LEFT(TRIM(C128),FIND(" ",TRIM(C128)&amp;" ")-1),",","."),FIND("/",SUBSTITUTE(LEFT(TRIM(C128),FIND(" ",TRIM(C128)&amp;" ")-1),",","."))+1,9))*12,NA()))),0),24)*'Aturan &amp; Tarif'!$B$4,2)</f>
        <v>1362.72</v>
      </c>
      <c r="K128" s="32" t="n">
        <f aca="false">'Aturan &amp; Tarif'!$B$5</f>
        <v>2050</v>
      </c>
      <c r="L128" s="35" t="n">
        <f aca="false">I128+J128+K128</f>
        <v>9462.72</v>
      </c>
      <c r="M128" s="37" t="s">
        <v>788</v>
      </c>
    </row>
    <row r="129" customFormat="false" ht="25.5" hidden="false" customHeight="true" outlineLevel="0" collapsed="false">
      <c r="A129" s="29"/>
      <c r="B129" s="30" t="s">
        <v>789</v>
      </c>
      <c r="C129" s="31" t="s">
        <v>127</v>
      </c>
      <c r="D129" s="31" t="s">
        <v>108</v>
      </c>
      <c r="E129" s="32" t="n">
        <v>2625</v>
      </c>
      <c r="F129" s="32" t="n">
        <v>600</v>
      </c>
      <c r="G129" s="32" t="n">
        <v>250</v>
      </c>
      <c r="H129" s="33" t="n">
        <v>2</v>
      </c>
      <c r="I129" s="34" t="n">
        <f aca="false">E129*H129+N(F129)+N(G129)</f>
        <v>6100</v>
      </c>
      <c r="J129" s="32" t="n">
        <f aca="false">ROUND(IFERROR(ROUND(IF(OR(ISNUMBER(SEARCH("week",C129)),ISNUMBER(SEARCH("minggu",C129))),IFERROR(_xlfn.NUMBERVALUE(SUBSTITUTE(LEFT(TRIM(C129),FIND(" ",TRIM(C129)&amp;" ")-1),",","."),"."),LEFT(SUBSTITUTE(LEFT(TRIM(C129),FIND(" ",TRIM(C129)&amp;" ")-1),",","."),FIND("/",SUBSTITUTE(LEFT(TRIM(C129),FIND(" ",TRIM(C129)&amp;" ")-1),",","."))-1)/MID(SUBSTITUTE(LEFT(TRIM(C129),FIND(" ",TRIM(C129)&amp;" ")-1),",","."),FIND("/",SUBSTITUTE(LEFT(TRIM(C129),FIND(" ",TRIM(C129)&amp;" ")-1),",","."))+1,9))*12/52,IF(ISNUMBER(SEARCH("month",C129)),IFERROR(_xlfn.NUMBERVALUE(SUBSTITUTE(LEFT(TRIM(C129),FIND(" ",TRIM(C129)&amp;" ")-1),",","."),"."),LEFT(SUBSTITUTE(LEFT(TRIM(C129),FIND(" ",TRIM(C129)&amp;" ")-1),",","."),FIND("/",SUBSTITUTE(LEFT(TRIM(C129),FIND(" ",TRIM(C129)&amp;" ")-1),",","."))-1)/MID(SUBSTITUTE(LEFT(TRIM(C129),FIND(" ",TRIM(C129)&amp;" ")-1),",","."),FIND("/",SUBSTITUTE(LEFT(TRIM(C129),FIND(" ",TRIM(C129)&amp;" ")-1),",","."))+1,9)),IF(ISNUMBER(SEARCH("yea",C129)),IFERROR(_xlfn.NUMBERVALUE(SUBSTITUTE(LEFT(TRIM(C129),FIND(" ",TRIM(C129)&amp;" ")-1),",","."),"."),LEFT(SUBSTITUTE(LEFT(TRIM(C129),FIND(" ",TRIM(C129)&amp;" ")-1),",","."),FIND("/",SUBSTITUTE(LEFT(TRIM(C129),FIND(" ",TRIM(C129)&amp;" ")-1),",","."))-1)/MID(SUBSTITUTE(LEFT(TRIM(C129),FIND(" ",TRIM(C129)&amp;" ")-1),",","."),FIND("/",SUBSTITUTE(LEFT(TRIM(C129),FIND(" ",TRIM(C129)&amp;" ")-1),",","."))+1,9))*12,NA()))),0),36)*'Aturan &amp; Tarif'!$B$4,2)</f>
        <v>2044.08</v>
      </c>
      <c r="K129" s="32" t="n">
        <f aca="false">'Aturan &amp; Tarif'!$B$5</f>
        <v>2050</v>
      </c>
      <c r="L129" s="35" t="n">
        <f aca="false">I129+J129+K129</f>
        <v>10194.08</v>
      </c>
      <c r="M129" s="37" t="s">
        <v>786</v>
      </c>
    </row>
    <row r="130" customFormat="false" ht="14.25" hidden="false" customHeight="true" outlineLevel="0" collapsed="false">
      <c r="A130" s="29"/>
      <c r="B130" s="30" t="s">
        <v>790</v>
      </c>
      <c r="C130" s="31" t="s">
        <v>107</v>
      </c>
      <c r="D130" s="31" t="s">
        <v>108</v>
      </c>
      <c r="E130" s="32" t="n">
        <v>2815</v>
      </c>
      <c r="F130" s="32" t="n">
        <v>1500</v>
      </c>
      <c r="G130" s="32" t="n">
        <v>250</v>
      </c>
      <c r="H130" s="33" t="n">
        <v>2</v>
      </c>
      <c r="I130" s="34" t="n">
        <f aca="false">E130*H130+N(F130)+N(G130)</f>
        <v>7380</v>
      </c>
      <c r="J130" s="32" t="n">
        <f aca="false">ROUND(IFERROR(ROUND(IF(OR(ISNUMBER(SEARCH("week",C130)),ISNUMBER(SEARCH("minggu",C130))),IFERROR(_xlfn.NUMBERVALUE(SUBSTITUTE(LEFT(TRIM(C130),FIND(" ",TRIM(C130)&amp;" ")-1),",","."),"."),LEFT(SUBSTITUTE(LEFT(TRIM(C130),FIND(" ",TRIM(C130)&amp;" ")-1),",","."),FIND("/",SUBSTITUTE(LEFT(TRIM(C130),FIND(" ",TRIM(C130)&amp;" ")-1),",","."))-1)/MID(SUBSTITUTE(LEFT(TRIM(C130),FIND(" ",TRIM(C130)&amp;" ")-1),",","."),FIND("/",SUBSTITUTE(LEFT(TRIM(C130),FIND(" ",TRIM(C130)&amp;" ")-1),",","."))+1,9))*12/52,IF(ISNUMBER(SEARCH("month",C130)),IFERROR(_xlfn.NUMBERVALUE(SUBSTITUTE(LEFT(TRIM(C130),FIND(" ",TRIM(C130)&amp;" ")-1),",","."),"."),LEFT(SUBSTITUTE(LEFT(TRIM(C130),FIND(" ",TRIM(C130)&amp;" ")-1),",","."),FIND("/",SUBSTITUTE(LEFT(TRIM(C130),FIND(" ",TRIM(C130)&amp;" ")-1),",","."))-1)/MID(SUBSTITUTE(LEFT(TRIM(C130),FIND(" ",TRIM(C130)&amp;" ")-1),",","."),FIND("/",SUBSTITUTE(LEFT(TRIM(C130),FIND(" ",TRIM(C130)&amp;" ")-1),",","."))+1,9)),IF(ISNUMBER(SEARCH("yea",C130)),IFERROR(_xlfn.NUMBERVALUE(SUBSTITUTE(LEFT(TRIM(C130),FIND(" ",TRIM(C130)&amp;" ")-1),",","."),"."),LEFT(SUBSTITUTE(LEFT(TRIM(C130),FIND(" ",TRIM(C130)&amp;" ")-1),",","."),FIND("/",SUBSTITUTE(LEFT(TRIM(C130),FIND(" ",TRIM(C130)&amp;" ")-1),",","."))-1)/MID(SUBSTITUTE(LEFT(TRIM(C130),FIND(" ",TRIM(C130)&amp;" ")-1),",","."),FIND("/",SUBSTITUTE(LEFT(TRIM(C130),FIND(" ",TRIM(C130)&amp;" ")-1),",","."))+1,9))*12,NA()))),0),24)*'Aturan &amp; Tarif'!$B$4,2)</f>
        <v>1362.72</v>
      </c>
      <c r="K130" s="32" t="n">
        <f aca="false">'Aturan &amp; Tarif'!$B$5</f>
        <v>2050</v>
      </c>
      <c r="L130" s="35" t="n">
        <f aca="false">I130+J130+K130</f>
        <v>10792.72</v>
      </c>
      <c r="M130" s="37" t="s">
        <v>791</v>
      </c>
    </row>
    <row r="131" customFormat="false" ht="25.5" hidden="false" customHeight="true" outlineLevel="0" collapsed="false">
      <c r="A131" s="29"/>
      <c r="B131" s="30" t="s">
        <v>3466</v>
      </c>
      <c r="C131" s="31" t="s">
        <v>107</v>
      </c>
      <c r="D131" s="31" t="s">
        <v>108</v>
      </c>
      <c r="E131" s="32" t="n">
        <v>2200</v>
      </c>
      <c r="F131" s="32" t="n">
        <v>450</v>
      </c>
      <c r="G131" s="32" t="n">
        <v>250</v>
      </c>
      <c r="H131" s="33" t="n">
        <v>2</v>
      </c>
      <c r="I131" s="34" t="n">
        <f aca="false">E131*H131+N(F131)+N(G131)</f>
        <v>5100</v>
      </c>
      <c r="J131" s="32" t="n">
        <f aca="false">ROUND(IFERROR(ROUND(IF(OR(ISNUMBER(SEARCH("week",C131)),ISNUMBER(SEARCH("minggu",C131))),IFERROR(_xlfn.NUMBERVALUE(SUBSTITUTE(LEFT(TRIM(C131),FIND(" ",TRIM(C131)&amp;" ")-1),",","."),"."),LEFT(SUBSTITUTE(LEFT(TRIM(C131),FIND(" ",TRIM(C131)&amp;" ")-1),",","."),FIND("/",SUBSTITUTE(LEFT(TRIM(C131),FIND(" ",TRIM(C131)&amp;" ")-1),",","."))-1)/MID(SUBSTITUTE(LEFT(TRIM(C131),FIND(" ",TRIM(C131)&amp;" ")-1),",","."),FIND("/",SUBSTITUTE(LEFT(TRIM(C131),FIND(" ",TRIM(C131)&amp;" ")-1),",","."))+1,9))*12/52,IF(ISNUMBER(SEARCH("month",C131)),IFERROR(_xlfn.NUMBERVALUE(SUBSTITUTE(LEFT(TRIM(C131),FIND(" ",TRIM(C131)&amp;" ")-1),",","."),"."),LEFT(SUBSTITUTE(LEFT(TRIM(C131),FIND(" ",TRIM(C131)&amp;" ")-1),",","."),FIND("/",SUBSTITUTE(LEFT(TRIM(C131),FIND(" ",TRIM(C131)&amp;" ")-1),",","."))-1)/MID(SUBSTITUTE(LEFT(TRIM(C131),FIND(" ",TRIM(C131)&amp;" ")-1),",","."),FIND("/",SUBSTITUTE(LEFT(TRIM(C131),FIND(" ",TRIM(C131)&amp;" ")-1),",","."))+1,9)),IF(ISNUMBER(SEARCH("yea",C131)),IFERROR(_xlfn.NUMBERVALUE(SUBSTITUTE(LEFT(TRIM(C131),FIND(" ",TRIM(C131)&amp;" ")-1),",","."),"."),LEFT(SUBSTITUTE(LEFT(TRIM(C131),FIND(" ",TRIM(C131)&amp;" ")-1),",","."),FIND("/",SUBSTITUTE(LEFT(TRIM(C131),FIND(" ",TRIM(C131)&amp;" ")-1),",","."))-1)/MID(SUBSTITUTE(LEFT(TRIM(C131),FIND(" ",TRIM(C131)&amp;" ")-1),",","."),FIND("/",SUBSTITUTE(LEFT(TRIM(C131),FIND(" ",TRIM(C131)&amp;" ")-1),",","."))+1,9))*12,NA()))),0),24)*'Aturan &amp; Tarif'!$B$4,2)</f>
        <v>1362.72</v>
      </c>
      <c r="K131" s="32" t="n">
        <f aca="false">'Aturan &amp; Tarif'!$B$5</f>
        <v>2050</v>
      </c>
      <c r="L131" s="35" t="n">
        <f aca="false">I131+J131+K131</f>
        <v>8512.72</v>
      </c>
      <c r="M131" s="36" t="s">
        <v>3467</v>
      </c>
    </row>
    <row r="132" customFormat="false" ht="37.5" hidden="false" customHeight="true" outlineLevel="0" collapsed="false">
      <c r="A132" s="29"/>
      <c r="B132" s="30" t="s">
        <v>794</v>
      </c>
      <c r="C132" s="31" t="s">
        <v>107</v>
      </c>
      <c r="D132" s="31" t="s">
        <v>108</v>
      </c>
      <c r="E132" s="32" t="n">
        <v>2450</v>
      </c>
      <c r="F132" s="32" t="n">
        <v>450</v>
      </c>
      <c r="G132" s="32" t="n">
        <v>250</v>
      </c>
      <c r="H132" s="33" t="n">
        <v>2</v>
      </c>
      <c r="I132" s="34" t="n">
        <f aca="false">E132*H132+N(F132)+N(G132)</f>
        <v>5600</v>
      </c>
      <c r="J132" s="32" t="n">
        <f aca="false">ROUND(IFERROR(ROUND(IF(OR(ISNUMBER(SEARCH("week",C132)),ISNUMBER(SEARCH("minggu",C132))),IFERROR(_xlfn.NUMBERVALUE(SUBSTITUTE(LEFT(TRIM(C132),FIND(" ",TRIM(C132)&amp;" ")-1),",","."),"."),LEFT(SUBSTITUTE(LEFT(TRIM(C132),FIND(" ",TRIM(C132)&amp;" ")-1),",","."),FIND("/",SUBSTITUTE(LEFT(TRIM(C132),FIND(" ",TRIM(C132)&amp;" ")-1),",","."))-1)/MID(SUBSTITUTE(LEFT(TRIM(C132),FIND(" ",TRIM(C132)&amp;" ")-1),",","."),FIND("/",SUBSTITUTE(LEFT(TRIM(C132),FIND(" ",TRIM(C132)&amp;" ")-1),",","."))+1,9))*12/52,IF(ISNUMBER(SEARCH("month",C132)),IFERROR(_xlfn.NUMBERVALUE(SUBSTITUTE(LEFT(TRIM(C132),FIND(" ",TRIM(C132)&amp;" ")-1),",","."),"."),LEFT(SUBSTITUTE(LEFT(TRIM(C132),FIND(" ",TRIM(C132)&amp;" ")-1),",","."),FIND("/",SUBSTITUTE(LEFT(TRIM(C132),FIND(" ",TRIM(C132)&amp;" ")-1),",","."))-1)/MID(SUBSTITUTE(LEFT(TRIM(C132),FIND(" ",TRIM(C132)&amp;" ")-1),",","."),FIND("/",SUBSTITUTE(LEFT(TRIM(C132),FIND(" ",TRIM(C132)&amp;" ")-1),",","."))+1,9)),IF(ISNUMBER(SEARCH("yea",C132)),IFERROR(_xlfn.NUMBERVALUE(SUBSTITUTE(LEFT(TRIM(C132),FIND(" ",TRIM(C132)&amp;" ")-1),",","."),"."),LEFT(SUBSTITUTE(LEFT(TRIM(C132),FIND(" ",TRIM(C132)&amp;" ")-1),",","."),FIND("/",SUBSTITUTE(LEFT(TRIM(C132),FIND(" ",TRIM(C132)&amp;" ")-1),",","."))-1)/MID(SUBSTITUTE(LEFT(TRIM(C132),FIND(" ",TRIM(C132)&amp;" ")-1),",","."),FIND("/",SUBSTITUTE(LEFT(TRIM(C132),FIND(" ",TRIM(C132)&amp;" ")-1),",","."))+1,9))*12,NA()))),0),24)*'Aturan &amp; Tarif'!$B$4,2)</f>
        <v>1362.72</v>
      </c>
      <c r="K132" s="32" t="n">
        <f aca="false">'Aturan &amp; Tarif'!$B$5</f>
        <v>2050</v>
      </c>
      <c r="L132" s="35" t="n">
        <f aca="false">I132+J132+K132</f>
        <v>9012.72</v>
      </c>
      <c r="M132" s="36" t="s">
        <v>795</v>
      </c>
    </row>
    <row r="133" customFormat="false" ht="48.75" hidden="false" customHeight="true" outlineLevel="0" collapsed="false">
      <c r="A133" s="29" t="s">
        <v>796</v>
      </c>
      <c r="B133" s="30" t="s">
        <v>106</v>
      </c>
      <c r="C133" s="31" t="s">
        <v>107</v>
      </c>
      <c r="D133" s="31" t="s">
        <v>108</v>
      </c>
      <c r="E133" s="32" t="n">
        <v>2100</v>
      </c>
      <c r="F133" s="32" t="n">
        <v>2000</v>
      </c>
      <c r="G133" s="32" t="n">
        <v>500</v>
      </c>
      <c r="H133" s="33" t="n">
        <v>1</v>
      </c>
      <c r="I133" s="34" t="n">
        <f aca="false">E133*H133+N(F133)+N(G133)</f>
        <v>4600</v>
      </c>
      <c r="J133" s="32" t="n">
        <f aca="false">ROUND(IFERROR(ROUND(IF(OR(ISNUMBER(SEARCH("week",C133)),ISNUMBER(SEARCH("minggu",C133))),IFERROR(_xlfn.NUMBERVALUE(SUBSTITUTE(LEFT(TRIM(C133),FIND(" ",TRIM(C133)&amp;" ")-1),",","."),"."),LEFT(SUBSTITUTE(LEFT(TRIM(C133),FIND(" ",TRIM(C133)&amp;" ")-1),",","."),FIND("/",SUBSTITUTE(LEFT(TRIM(C133),FIND(" ",TRIM(C133)&amp;" ")-1),",","."))-1)/MID(SUBSTITUTE(LEFT(TRIM(C133),FIND(" ",TRIM(C133)&amp;" ")-1),",","."),FIND("/",SUBSTITUTE(LEFT(TRIM(C133),FIND(" ",TRIM(C133)&amp;" ")-1),",","."))+1,9))*12/52,IF(ISNUMBER(SEARCH("month",C133)),IFERROR(_xlfn.NUMBERVALUE(SUBSTITUTE(LEFT(TRIM(C133),FIND(" ",TRIM(C133)&amp;" ")-1),",","."),"."),LEFT(SUBSTITUTE(LEFT(TRIM(C133),FIND(" ",TRIM(C133)&amp;" ")-1),",","."),FIND("/",SUBSTITUTE(LEFT(TRIM(C133),FIND(" ",TRIM(C133)&amp;" ")-1),",","."))-1)/MID(SUBSTITUTE(LEFT(TRIM(C133),FIND(" ",TRIM(C133)&amp;" ")-1),",","."),FIND("/",SUBSTITUTE(LEFT(TRIM(C133),FIND(" ",TRIM(C133)&amp;" ")-1),",","."))+1,9)),IF(ISNUMBER(SEARCH("yea",C133)),IFERROR(_xlfn.NUMBERVALUE(SUBSTITUTE(LEFT(TRIM(C133),FIND(" ",TRIM(C133)&amp;" ")-1),",","."),"."),LEFT(SUBSTITUTE(LEFT(TRIM(C133),FIND(" ",TRIM(C133)&amp;" ")-1),",","."),FIND("/",SUBSTITUTE(LEFT(TRIM(C133),FIND(" ",TRIM(C133)&amp;" ")-1),",","."))-1)/MID(SUBSTITUTE(LEFT(TRIM(C133),FIND(" ",TRIM(C133)&amp;" ")-1),",","."),FIND("/",SUBSTITUTE(LEFT(TRIM(C133),FIND(" ",TRIM(C133)&amp;" ")-1),",","."))+1,9))*12,NA()))),0),24)*'Aturan &amp; Tarif'!$B$4,2)</f>
        <v>1362.72</v>
      </c>
      <c r="K133" s="32" t="n">
        <f aca="false">'Aturan &amp; Tarif'!$B$5</f>
        <v>2050</v>
      </c>
      <c r="L133" s="35" t="n">
        <f aca="false">I133+J133+K133</f>
        <v>8012.72</v>
      </c>
      <c r="M133" s="36" t="s">
        <v>797</v>
      </c>
    </row>
    <row r="134" customFormat="false" ht="14.25" hidden="false" customHeight="true" outlineLevel="0" collapsed="false">
      <c r="A134" s="29"/>
      <c r="B134" s="30" t="s">
        <v>110</v>
      </c>
      <c r="C134" s="31" t="s">
        <v>107</v>
      </c>
      <c r="D134" s="31" t="s">
        <v>108</v>
      </c>
      <c r="E134" s="32" t="n">
        <v>2100</v>
      </c>
      <c r="F134" s="32" t="n">
        <v>1500</v>
      </c>
      <c r="G134" s="32" t="n">
        <v>500</v>
      </c>
      <c r="H134" s="33" t="n">
        <v>1</v>
      </c>
      <c r="I134" s="34" t="n">
        <f aca="false">E134*H134+N(F134)+N(G134)</f>
        <v>4100</v>
      </c>
      <c r="J134" s="32" t="n">
        <f aca="false">ROUND(IFERROR(ROUND(IF(OR(ISNUMBER(SEARCH("week",C134)),ISNUMBER(SEARCH("minggu",C134))),IFERROR(_xlfn.NUMBERVALUE(SUBSTITUTE(LEFT(TRIM(C134),FIND(" ",TRIM(C134)&amp;" ")-1),",","."),"."),LEFT(SUBSTITUTE(LEFT(TRIM(C134),FIND(" ",TRIM(C134)&amp;" ")-1),",","."),FIND("/",SUBSTITUTE(LEFT(TRIM(C134),FIND(" ",TRIM(C134)&amp;" ")-1),",","."))-1)/MID(SUBSTITUTE(LEFT(TRIM(C134),FIND(" ",TRIM(C134)&amp;" ")-1),",","."),FIND("/",SUBSTITUTE(LEFT(TRIM(C134),FIND(" ",TRIM(C134)&amp;" ")-1),",","."))+1,9))*12/52,IF(ISNUMBER(SEARCH("month",C134)),IFERROR(_xlfn.NUMBERVALUE(SUBSTITUTE(LEFT(TRIM(C134),FIND(" ",TRIM(C134)&amp;" ")-1),",","."),"."),LEFT(SUBSTITUTE(LEFT(TRIM(C134),FIND(" ",TRIM(C134)&amp;" ")-1),",","."),FIND("/",SUBSTITUTE(LEFT(TRIM(C134),FIND(" ",TRIM(C134)&amp;" ")-1),",","."))-1)/MID(SUBSTITUTE(LEFT(TRIM(C134),FIND(" ",TRIM(C134)&amp;" ")-1),",","."),FIND("/",SUBSTITUTE(LEFT(TRIM(C134),FIND(" ",TRIM(C134)&amp;" ")-1),",","."))+1,9)),IF(ISNUMBER(SEARCH("yea",C134)),IFERROR(_xlfn.NUMBERVALUE(SUBSTITUTE(LEFT(TRIM(C134),FIND(" ",TRIM(C134)&amp;" ")-1),",","."),"."),LEFT(SUBSTITUTE(LEFT(TRIM(C134),FIND(" ",TRIM(C134)&amp;" ")-1),",","."),FIND("/",SUBSTITUTE(LEFT(TRIM(C134),FIND(" ",TRIM(C134)&amp;" ")-1),",","."))-1)/MID(SUBSTITUTE(LEFT(TRIM(C134),FIND(" ",TRIM(C134)&amp;" ")-1),",","."),FIND("/",SUBSTITUTE(LEFT(TRIM(C134),FIND(" ",TRIM(C134)&amp;" ")-1),",","."))+1,9))*12,NA()))),0),24)*'Aturan &amp; Tarif'!$B$4,2)</f>
        <v>1362.72</v>
      </c>
      <c r="K134" s="32" t="n">
        <f aca="false">'Aturan &amp; Tarif'!$B$5</f>
        <v>2050</v>
      </c>
      <c r="L134" s="35" t="n">
        <f aca="false">I134+J134+K134</f>
        <v>7512.72</v>
      </c>
      <c r="M134" s="37" t="s">
        <v>3468</v>
      </c>
    </row>
    <row r="135" customFormat="false" ht="37.5" hidden="false" customHeight="true" outlineLevel="0" collapsed="false">
      <c r="A135" s="29"/>
      <c r="B135" s="30" t="s">
        <v>112</v>
      </c>
      <c r="C135" s="31" t="s">
        <v>113</v>
      </c>
      <c r="D135" s="31" t="s">
        <v>108</v>
      </c>
      <c r="E135" s="32" t="n">
        <v>2200</v>
      </c>
      <c r="F135" s="32" t="n">
        <v>3500</v>
      </c>
      <c r="G135" s="32" t="n">
        <v>200</v>
      </c>
      <c r="H135" s="33" t="n">
        <v>1</v>
      </c>
      <c r="I135" s="34" t="n">
        <f aca="false">E135*H135+N(F135)+N(G135)</f>
        <v>5900</v>
      </c>
      <c r="J135" s="32" t="n">
        <f aca="false">ROUND(IFERROR(ROUND(IF(OR(ISNUMBER(SEARCH("week",C135)),ISNUMBER(SEARCH("minggu",C135))),IFERROR(_xlfn.NUMBERVALUE(SUBSTITUTE(LEFT(TRIM(C135),FIND(" ",TRIM(C135)&amp;" ")-1),",","."),"."),LEFT(SUBSTITUTE(LEFT(TRIM(C135),FIND(" ",TRIM(C135)&amp;" ")-1),",","."),FIND("/",SUBSTITUTE(LEFT(TRIM(C135),FIND(" ",TRIM(C135)&amp;" ")-1),",","."))-1)/MID(SUBSTITUTE(LEFT(TRIM(C135),FIND(" ",TRIM(C135)&amp;" ")-1),",","."),FIND("/",SUBSTITUTE(LEFT(TRIM(C135),FIND(" ",TRIM(C135)&amp;" ")-1),",","."))+1,9))*12/52,IF(ISNUMBER(SEARCH("month",C135)),IFERROR(_xlfn.NUMBERVALUE(SUBSTITUTE(LEFT(TRIM(C135),FIND(" ",TRIM(C135)&amp;" ")-1),",","."),"."),LEFT(SUBSTITUTE(LEFT(TRIM(C135),FIND(" ",TRIM(C135)&amp;" ")-1),",","."),FIND("/",SUBSTITUTE(LEFT(TRIM(C135),FIND(" ",TRIM(C135)&amp;" ")-1),",","."))-1)/MID(SUBSTITUTE(LEFT(TRIM(C135),FIND(" ",TRIM(C135)&amp;" ")-1),",","."),FIND("/",SUBSTITUTE(LEFT(TRIM(C135),FIND(" ",TRIM(C135)&amp;" ")-1),",","."))+1,9)),IF(ISNUMBER(SEARCH("yea",C135)),IFERROR(_xlfn.NUMBERVALUE(SUBSTITUTE(LEFT(TRIM(C135),FIND(" ",TRIM(C135)&amp;" ")-1),",","."),"."),LEFT(SUBSTITUTE(LEFT(TRIM(C135),FIND(" ",TRIM(C135)&amp;" ")-1),",","."),FIND("/",SUBSTITUTE(LEFT(TRIM(C135),FIND(" ",TRIM(C135)&amp;" ")-1),",","."))-1)/MID(SUBSTITUTE(LEFT(TRIM(C135),FIND(" ",TRIM(C135)&amp;" ")-1),",","."),FIND("/",SUBSTITUTE(LEFT(TRIM(C135),FIND(" ",TRIM(C135)&amp;" ")-1),",","."))+1,9))*12,NA()))),0),18)*'Aturan &amp; Tarif'!$B$4,2)</f>
        <v>1022.04</v>
      </c>
      <c r="K135" s="32" t="n">
        <f aca="false">'Aturan &amp; Tarif'!$B$5</f>
        <v>2050</v>
      </c>
      <c r="L135" s="35" t="n">
        <f aca="false">I135+J135+K135</f>
        <v>8972.04</v>
      </c>
      <c r="M135" s="36" t="s">
        <v>3469</v>
      </c>
    </row>
    <row r="136" customFormat="false" ht="37.5" hidden="false" customHeight="true" outlineLevel="0" collapsed="false">
      <c r="A136" s="29"/>
      <c r="B136" s="30" t="s">
        <v>115</v>
      </c>
      <c r="C136" s="31" t="s">
        <v>107</v>
      </c>
      <c r="D136" s="31" t="s">
        <v>108</v>
      </c>
      <c r="E136" s="32" t="n">
        <v>2100</v>
      </c>
      <c r="F136" s="32" t="n">
        <v>3000</v>
      </c>
      <c r="G136" s="32" t="n">
        <v>500</v>
      </c>
      <c r="H136" s="33" t="n">
        <v>1</v>
      </c>
      <c r="I136" s="34" t="n">
        <f aca="false">E136*H136+N(F136)+N(G136)</f>
        <v>5600</v>
      </c>
      <c r="J136" s="32" t="n">
        <f aca="false">ROUND(IFERROR(ROUND(IF(OR(ISNUMBER(SEARCH("week",C136)),ISNUMBER(SEARCH("minggu",C136))),IFERROR(_xlfn.NUMBERVALUE(SUBSTITUTE(LEFT(TRIM(C136),FIND(" ",TRIM(C136)&amp;" ")-1),",","."),"."),LEFT(SUBSTITUTE(LEFT(TRIM(C136),FIND(" ",TRIM(C136)&amp;" ")-1),",","."),FIND("/",SUBSTITUTE(LEFT(TRIM(C136),FIND(" ",TRIM(C136)&amp;" ")-1),",","."))-1)/MID(SUBSTITUTE(LEFT(TRIM(C136),FIND(" ",TRIM(C136)&amp;" ")-1),",","."),FIND("/",SUBSTITUTE(LEFT(TRIM(C136),FIND(" ",TRIM(C136)&amp;" ")-1),",","."))+1,9))*12/52,IF(ISNUMBER(SEARCH("month",C136)),IFERROR(_xlfn.NUMBERVALUE(SUBSTITUTE(LEFT(TRIM(C136),FIND(" ",TRIM(C136)&amp;" ")-1),",","."),"."),LEFT(SUBSTITUTE(LEFT(TRIM(C136),FIND(" ",TRIM(C136)&amp;" ")-1),",","."),FIND("/",SUBSTITUTE(LEFT(TRIM(C136),FIND(" ",TRIM(C136)&amp;" ")-1),",","."))-1)/MID(SUBSTITUTE(LEFT(TRIM(C136),FIND(" ",TRIM(C136)&amp;" ")-1),",","."),FIND("/",SUBSTITUTE(LEFT(TRIM(C136),FIND(" ",TRIM(C136)&amp;" ")-1),",","."))+1,9)),IF(ISNUMBER(SEARCH("yea",C136)),IFERROR(_xlfn.NUMBERVALUE(SUBSTITUTE(LEFT(TRIM(C136),FIND(" ",TRIM(C136)&amp;" ")-1),",","."),"."),LEFT(SUBSTITUTE(LEFT(TRIM(C136),FIND(" ",TRIM(C136)&amp;" ")-1),",","."),FIND("/",SUBSTITUTE(LEFT(TRIM(C136),FIND(" ",TRIM(C136)&amp;" ")-1),",","."))-1)/MID(SUBSTITUTE(LEFT(TRIM(C136),FIND(" ",TRIM(C136)&amp;" ")-1),",","."),FIND("/",SUBSTITUTE(LEFT(TRIM(C136),FIND(" ",TRIM(C136)&amp;" ")-1),",","."))+1,9))*12,NA()))),0),24)*'Aturan &amp; Tarif'!$B$4,2)</f>
        <v>1362.72</v>
      </c>
      <c r="K136" s="32" t="n">
        <f aca="false">'Aturan &amp; Tarif'!$B$5</f>
        <v>2050</v>
      </c>
      <c r="L136" s="35" t="n">
        <f aca="false">I136+J136+K136</f>
        <v>9012.72</v>
      </c>
      <c r="M136" s="36" t="s">
        <v>3470</v>
      </c>
    </row>
    <row r="137" customFormat="false" ht="15" hidden="false" customHeight="true" outlineLevel="0" collapsed="false">
      <c r="A137" s="39" t="s">
        <v>801</v>
      </c>
      <c r="B137" s="40" t="s">
        <v>802</v>
      </c>
      <c r="C137" s="41" t="s">
        <v>127</v>
      </c>
      <c r="D137" s="48" t="s">
        <v>439</v>
      </c>
      <c r="E137" s="49" t="n">
        <v>7520</v>
      </c>
      <c r="F137" s="42"/>
      <c r="G137" s="42"/>
      <c r="H137" s="50" t="n">
        <v>1</v>
      </c>
      <c r="I137" s="34" t="n">
        <f aca="false">E137*H137+N(F137)+N(G137)</f>
        <v>7520</v>
      </c>
      <c r="J137" s="42" t="n">
        <f aca="false">ROUND(IFERROR(ROUND(IF(OR(ISNUMBER(SEARCH("week",C137)),ISNUMBER(SEARCH("minggu",C137))),IFERROR(_xlfn.NUMBERVALUE(SUBSTITUTE(LEFT(TRIM(C137),FIND(" ",TRIM(C137)&amp;" ")-1),",","."),"."),LEFT(SUBSTITUTE(LEFT(TRIM(C137),FIND(" ",TRIM(C137)&amp;" ")-1),",","."),FIND("/",SUBSTITUTE(LEFT(TRIM(C137),FIND(" ",TRIM(C137)&amp;" ")-1),",","."))-1)/MID(SUBSTITUTE(LEFT(TRIM(C137),FIND(" ",TRIM(C137)&amp;" ")-1),",","."),FIND("/",SUBSTITUTE(LEFT(TRIM(C137),FIND(" ",TRIM(C137)&amp;" ")-1),",","."))+1,9))*12/52,IF(ISNUMBER(SEARCH("month",C137)),IFERROR(_xlfn.NUMBERVALUE(SUBSTITUTE(LEFT(TRIM(C137),FIND(" ",TRIM(C137)&amp;" ")-1),",","."),"."),LEFT(SUBSTITUTE(LEFT(TRIM(C137),FIND(" ",TRIM(C137)&amp;" ")-1),",","."),FIND("/",SUBSTITUTE(LEFT(TRIM(C137),FIND(" ",TRIM(C137)&amp;" ")-1),",","."))-1)/MID(SUBSTITUTE(LEFT(TRIM(C137),FIND(" ",TRIM(C137)&amp;" ")-1),",","."),FIND("/",SUBSTITUTE(LEFT(TRIM(C137),FIND(" ",TRIM(C137)&amp;" ")-1),",","."))+1,9)),IF(ISNUMBER(SEARCH("yea",C137)),IFERROR(_xlfn.NUMBERVALUE(SUBSTITUTE(LEFT(TRIM(C137),FIND(" ",TRIM(C137)&amp;" ")-1),",","."),"."),LEFT(SUBSTITUTE(LEFT(TRIM(C137),FIND(" ",TRIM(C137)&amp;" ")-1),",","."),FIND("/",SUBSTITUTE(LEFT(TRIM(C137),FIND(" ",TRIM(C137)&amp;" ")-1),",","."))-1)/MID(SUBSTITUTE(LEFT(TRIM(C137),FIND(" ",TRIM(C137)&amp;" ")-1),",","."),FIND("/",SUBSTITUTE(LEFT(TRIM(C137),FIND(" ",TRIM(C137)&amp;" ")-1),",","."))+1,9))*12,NA()))),0),36)*'Aturan &amp; Tarif'!$B$4,2)</f>
        <v>2044.08</v>
      </c>
      <c r="K137" s="42" t="n">
        <f aca="false">'Aturan &amp; Tarif'!$B$5</f>
        <v>2050</v>
      </c>
      <c r="L137" s="35" t="n">
        <f aca="false">I137+J137+K137</f>
        <v>11614.08</v>
      </c>
      <c r="M137" s="44" t="s">
        <v>803</v>
      </c>
    </row>
    <row r="138" customFormat="false" ht="12.75" hidden="false" customHeight="true" outlineLevel="0" collapsed="false">
      <c r="A138" s="39"/>
      <c r="B138" s="40" t="s">
        <v>804</v>
      </c>
      <c r="C138" s="41" t="s">
        <v>127</v>
      </c>
      <c r="D138" s="48" t="s">
        <v>439</v>
      </c>
      <c r="E138" s="49" t="n">
        <v>7520</v>
      </c>
      <c r="F138" s="42"/>
      <c r="G138" s="42"/>
      <c r="H138" s="50" t="n">
        <v>1</v>
      </c>
      <c r="I138" s="34" t="n">
        <f aca="false">E138*H138+N(F138)+N(G138)</f>
        <v>7520</v>
      </c>
      <c r="J138" s="42" t="n">
        <f aca="false">ROUND(IFERROR(ROUND(IF(OR(ISNUMBER(SEARCH("week",C138)),ISNUMBER(SEARCH("minggu",C138))),IFERROR(_xlfn.NUMBERVALUE(SUBSTITUTE(LEFT(TRIM(C138),FIND(" ",TRIM(C138)&amp;" ")-1),",","."),"."),LEFT(SUBSTITUTE(LEFT(TRIM(C138),FIND(" ",TRIM(C138)&amp;" ")-1),",","."),FIND("/",SUBSTITUTE(LEFT(TRIM(C138),FIND(" ",TRIM(C138)&amp;" ")-1),",","."))-1)/MID(SUBSTITUTE(LEFT(TRIM(C138),FIND(" ",TRIM(C138)&amp;" ")-1),",","."),FIND("/",SUBSTITUTE(LEFT(TRIM(C138),FIND(" ",TRIM(C138)&amp;" ")-1),",","."))+1,9))*12/52,IF(ISNUMBER(SEARCH("month",C138)),IFERROR(_xlfn.NUMBERVALUE(SUBSTITUTE(LEFT(TRIM(C138),FIND(" ",TRIM(C138)&amp;" ")-1),",","."),"."),LEFT(SUBSTITUTE(LEFT(TRIM(C138),FIND(" ",TRIM(C138)&amp;" ")-1),",","."),FIND("/",SUBSTITUTE(LEFT(TRIM(C138),FIND(" ",TRIM(C138)&amp;" ")-1),",","."))-1)/MID(SUBSTITUTE(LEFT(TRIM(C138),FIND(" ",TRIM(C138)&amp;" ")-1),",","."),FIND("/",SUBSTITUTE(LEFT(TRIM(C138),FIND(" ",TRIM(C138)&amp;" ")-1),",","."))+1,9)),IF(ISNUMBER(SEARCH("yea",C138)),IFERROR(_xlfn.NUMBERVALUE(SUBSTITUTE(LEFT(TRIM(C138),FIND(" ",TRIM(C138)&amp;" ")-1),",","."),"."),LEFT(SUBSTITUTE(LEFT(TRIM(C138),FIND(" ",TRIM(C138)&amp;" ")-1),",","."),FIND("/",SUBSTITUTE(LEFT(TRIM(C138),FIND(" ",TRIM(C138)&amp;" ")-1),",","."))-1)/MID(SUBSTITUTE(LEFT(TRIM(C138),FIND(" ",TRIM(C138)&amp;" ")-1),",","."),FIND("/",SUBSTITUTE(LEFT(TRIM(C138),FIND(" ",TRIM(C138)&amp;" ")-1),",","."))+1,9))*12,NA()))),0),36)*'Aturan &amp; Tarif'!$B$4,2)</f>
        <v>2044.08</v>
      </c>
      <c r="K138" s="42" t="n">
        <f aca="false">'Aturan &amp; Tarif'!$B$5</f>
        <v>2050</v>
      </c>
      <c r="L138" s="35" t="n">
        <f aca="false">I138+J138+K138</f>
        <v>11614.08</v>
      </c>
      <c r="M138" s="44" t="s">
        <v>803</v>
      </c>
    </row>
    <row r="139" customFormat="false" ht="37.5" hidden="false" customHeight="true" outlineLevel="0" collapsed="false">
      <c r="A139" s="39" t="s">
        <v>805</v>
      </c>
      <c r="B139" s="40" t="s">
        <v>148</v>
      </c>
      <c r="C139" s="41" t="s">
        <v>107</v>
      </c>
      <c r="D139" s="41" t="s">
        <v>108</v>
      </c>
      <c r="E139" s="42" t="n">
        <v>2350</v>
      </c>
      <c r="F139" s="42" t="n">
        <v>1200</v>
      </c>
      <c r="G139" s="42" t="n">
        <v>200</v>
      </c>
      <c r="H139" s="43" t="n">
        <v>1</v>
      </c>
      <c r="I139" s="34" t="n">
        <f aca="false">E139*H139+N(F139)+N(G139)</f>
        <v>3750</v>
      </c>
      <c r="J139" s="42" t="n">
        <f aca="false">ROUND(IFERROR(ROUND(IF(OR(ISNUMBER(SEARCH("week",C139)),ISNUMBER(SEARCH("minggu",C139))),IFERROR(_xlfn.NUMBERVALUE(SUBSTITUTE(LEFT(TRIM(C139),FIND(" ",TRIM(C139)&amp;" ")-1),",","."),"."),LEFT(SUBSTITUTE(LEFT(TRIM(C139),FIND(" ",TRIM(C139)&amp;" ")-1),",","."),FIND("/",SUBSTITUTE(LEFT(TRIM(C139),FIND(" ",TRIM(C139)&amp;" ")-1),",","."))-1)/MID(SUBSTITUTE(LEFT(TRIM(C139),FIND(" ",TRIM(C139)&amp;" ")-1),",","."),FIND("/",SUBSTITUTE(LEFT(TRIM(C139),FIND(" ",TRIM(C139)&amp;" ")-1),",","."))+1,9))*12/52,IF(ISNUMBER(SEARCH("month",C139)),IFERROR(_xlfn.NUMBERVALUE(SUBSTITUTE(LEFT(TRIM(C139),FIND(" ",TRIM(C139)&amp;" ")-1),",","."),"."),LEFT(SUBSTITUTE(LEFT(TRIM(C139),FIND(" ",TRIM(C139)&amp;" ")-1),",","."),FIND("/",SUBSTITUTE(LEFT(TRIM(C139),FIND(" ",TRIM(C139)&amp;" ")-1),",","."))-1)/MID(SUBSTITUTE(LEFT(TRIM(C139),FIND(" ",TRIM(C139)&amp;" ")-1),",","."),FIND("/",SUBSTITUTE(LEFT(TRIM(C139),FIND(" ",TRIM(C139)&amp;" ")-1),",","."))+1,9)),IF(ISNUMBER(SEARCH("yea",C139)),IFERROR(_xlfn.NUMBERVALUE(SUBSTITUTE(LEFT(TRIM(C139),FIND(" ",TRIM(C139)&amp;" ")-1),",","."),"."),LEFT(SUBSTITUTE(LEFT(TRIM(C139),FIND(" ",TRIM(C139)&amp;" ")-1),",","."),FIND("/",SUBSTITUTE(LEFT(TRIM(C139),FIND(" ",TRIM(C139)&amp;" ")-1),",","."))-1)/MID(SUBSTITUTE(LEFT(TRIM(C139),FIND(" ",TRIM(C139)&amp;" ")-1),",","."),FIND("/",SUBSTITUTE(LEFT(TRIM(C139),FIND(" ",TRIM(C139)&amp;" ")-1),",","."))+1,9))*12,NA()))),0),24)*'Aturan &amp; Tarif'!$B$4,2)</f>
        <v>1362.72</v>
      </c>
      <c r="K139" s="42" t="n">
        <f aca="false">'Aturan &amp; Tarif'!$B$5</f>
        <v>2050</v>
      </c>
      <c r="L139" s="35" t="n">
        <f aca="false">I139+J139+K139</f>
        <v>7162.72</v>
      </c>
      <c r="M139" s="45" t="s">
        <v>134</v>
      </c>
    </row>
    <row r="140" customFormat="false" ht="25.5" hidden="false" customHeight="true" outlineLevel="0" collapsed="false">
      <c r="A140" s="39"/>
      <c r="B140" s="40" t="s">
        <v>806</v>
      </c>
      <c r="C140" s="41" t="s">
        <v>127</v>
      </c>
      <c r="D140" s="41" t="s">
        <v>108</v>
      </c>
      <c r="E140" s="42" t="n">
        <v>2350</v>
      </c>
      <c r="F140" s="42" t="n">
        <v>1200</v>
      </c>
      <c r="G140" s="42" t="n">
        <v>200</v>
      </c>
      <c r="H140" s="43" t="n">
        <v>1</v>
      </c>
      <c r="I140" s="34" t="n">
        <f aca="false">E140*H140+N(F140)+N(G140)</f>
        <v>3750</v>
      </c>
      <c r="J140" s="42" t="n">
        <f aca="false">ROUND(IFERROR(ROUND(IF(OR(ISNUMBER(SEARCH("week",C140)),ISNUMBER(SEARCH("minggu",C140))),IFERROR(_xlfn.NUMBERVALUE(SUBSTITUTE(LEFT(TRIM(C140),FIND(" ",TRIM(C140)&amp;" ")-1),",","."),"."),LEFT(SUBSTITUTE(LEFT(TRIM(C140),FIND(" ",TRIM(C140)&amp;" ")-1),",","."),FIND("/",SUBSTITUTE(LEFT(TRIM(C140),FIND(" ",TRIM(C140)&amp;" ")-1),",","."))-1)/MID(SUBSTITUTE(LEFT(TRIM(C140),FIND(" ",TRIM(C140)&amp;" ")-1),",","."),FIND("/",SUBSTITUTE(LEFT(TRIM(C140),FIND(" ",TRIM(C140)&amp;" ")-1),",","."))+1,9))*12/52,IF(ISNUMBER(SEARCH("month",C140)),IFERROR(_xlfn.NUMBERVALUE(SUBSTITUTE(LEFT(TRIM(C140),FIND(" ",TRIM(C140)&amp;" ")-1),",","."),"."),LEFT(SUBSTITUTE(LEFT(TRIM(C140),FIND(" ",TRIM(C140)&amp;" ")-1),",","."),FIND("/",SUBSTITUTE(LEFT(TRIM(C140),FIND(" ",TRIM(C140)&amp;" ")-1),",","."))-1)/MID(SUBSTITUTE(LEFT(TRIM(C140),FIND(" ",TRIM(C140)&amp;" ")-1),",","."),FIND("/",SUBSTITUTE(LEFT(TRIM(C140),FIND(" ",TRIM(C140)&amp;" ")-1),",","."))+1,9)),IF(ISNUMBER(SEARCH("yea",C140)),IFERROR(_xlfn.NUMBERVALUE(SUBSTITUTE(LEFT(TRIM(C140),FIND(" ",TRIM(C140)&amp;" ")-1),",","."),"."),LEFT(SUBSTITUTE(LEFT(TRIM(C140),FIND(" ",TRIM(C140)&amp;" ")-1),",","."),FIND("/",SUBSTITUTE(LEFT(TRIM(C140),FIND(" ",TRIM(C140)&amp;" ")-1),",","."))-1)/MID(SUBSTITUTE(LEFT(TRIM(C140),FIND(" ",TRIM(C140)&amp;" ")-1),",","."),FIND("/",SUBSTITUTE(LEFT(TRIM(C140),FIND(" ",TRIM(C140)&amp;" ")-1),",","."))+1,9))*12,NA()))),0),36)*'Aturan &amp; Tarif'!$B$4,2)</f>
        <v>2044.08</v>
      </c>
      <c r="K140" s="42" t="n">
        <f aca="false">'Aturan &amp; Tarif'!$B$5</f>
        <v>2050</v>
      </c>
      <c r="L140" s="35" t="n">
        <f aca="false">I140+J140+K140</f>
        <v>7844.08</v>
      </c>
      <c r="M140" s="45" t="s">
        <v>134</v>
      </c>
    </row>
    <row r="141" customFormat="false" ht="14.25" hidden="false" customHeight="true" outlineLevel="0" collapsed="false">
      <c r="A141" s="39"/>
      <c r="B141" s="40" t="s">
        <v>126</v>
      </c>
      <c r="C141" s="41" t="s">
        <v>138</v>
      </c>
      <c r="D141" s="41" t="s">
        <v>108</v>
      </c>
      <c r="E141" s="42" t="n">
        <v>1980</v>
      </c>
      <c r="F141" s="42" t="n">
        <v>800</v>
      </c>
      <c r="G141" s="42" t="n">
        <v>200</v>
      </c>
      <c r="H141" s="43" t="n">
        <v>1</v>
      </c>
      <c r="I141" s="34" t="n">
        <f aca="false">E141*H141+N(F141)+N(G141)</f>
        <v>2980</v>
      </c>
      <c r="J141" s="42" t="n">
        <f aca="false">ROUND(IFERROR(ROUND(IF(OR(ISNUMBER(SEARCH("week",C141)),ISNUMBER(SEARCH("minggu",C141))),IFERROR(_xlfn.NUMBERVALUE(SUBSTITUTE(LEFT(TRIM(C141),FIND(" ",TRIM(C141)&amp;" ")-1),",","."),"."),LEFT(SUBSTITUTE(LEFT(TRIM(C141),FIND(" ",TRIM(C141)&amp;" ")-1),",","."),FIND("/",SUBSTITUTE(LEFT(TRIM(C141),FIND(" ",TRIM(C141)&amp;" ")-1),",","."))-1)/MID(SUBSTITUTE(LEFT(TRIM(C141),FIND(" ",TRIM(C141)&amp;" ")-1),",","."),FIND("/",SUBSTITUTE(LEFT(TRIM(C141),FIND(" ",TRIM(C141)&amp;" ")-1),",","."))+1,9))*12/52,IF(ISNUMBER(SEARCH("month",C141)),IFERROR(_xlfn.NUMBERVALUE(SUBSTITUTE(LEFT(TRIM(C141),FIND(" ",TRIM(C141)&amp;" ")-1),",","."),"."),LEFT(SUBSTITUTE(LEFT(TRIM(C141),FIND(" ",TRIM(C141)&amp;" ")-1),",","."),FIND("/",SUBSTITUTE(LEFT(TRIM(C141),FIND(" ",TRIM(C141)&amp;" ")-1),",","."))-1)/MID(SUBSTITUTE(LEFT(TRIM(C141),FIND(" ",TRIM(C141)&amp;" ")-1),",","."),FIND("/",SUBSTITUTE(LEFT(TRIM(C141),FIND(" ",TRIM(C141)&amp;" ")-1),",","."))+1,9)),IF(ISNUMBER(SEARCH("yea",C141)),IFERROR(_xlfn.NUMBERVALUE(SUBSTITUTE(LEFT(TRIM(C141),FIND(" ",TRIM(C141)&amp;" ")-1),",","."),"."),LEFT(SUBSTITUTE(LEFT(TRIM(C141),FIND(" ",TRIM(C141)&amp;" ")-1),",","."),FIND("/",SUBSTITUTE(LEFT(TRIM(C141),FIND(" ",TRIM(C141)&amp;" ")-1),",","."))-1)/MID(SUBSTITUTE(LEFT(TRIM(C141),FIND(" ",TRIM(C141)&amp;" ")-1),",","."),FIND("/",SUBSTITUTE(LEFT(TRIM(C141),FIND(" ",TRIM(C141)&amp;" ")-1),",","."))+1,9))*12,NA()))),0),30)*'Aturan &amp; Tarif'!$B$4,2)</f>
        <v>1703.4</v>
      </c>
      <c r="K141" s="42" t="n">
        <f aca="false">'Aturan &amp; Tarif'!$B$5</f>
        <v>2050</v>
      </c>
      <c r="L141" s="35" t="n">
        <f aca="false">I141+J141+K141</f>
        <v>6733.4</v>
      </c>
      <c r="M141" s="45" t="s">
        <v>134</v>
      </c>
    </row>
    <row r="142" customFormat="false" ht="37.5" hidden="false" customHeight="true" outlineLevel="0" collapsed="false">
      <c r="A142" s="39"/>
      <c r="B142" s="40" t="s">
        <v>807</v>
      </c>
      <c r="C142" s="41" t="s">
        <v>138</v>
      </c>
      <c r="D142" s="41" t="s">
        <v>108</v>
      </c>
      <c r="E142" s="42" t="n">
        <v>2650</v>
      </c>
      <c r="F142" s="42" t="n">
        <v>1000</v>
      </c>
      <c r="G142" s="42" t="n">
        <v>200</v>
      </c>
      <c r="H142" s="43" t="n">
        <v>1</v>
      </c>
      <c r="I142" s="34" t="n">
        <f aca="false">E142*H142+N(F142)+N(G142)</f>
        <v>3850</v>
      </c>
      <c r="J142" s="42" t="n">
        <f aca="false">ROUND(IFERROR(ROUND(IF(OR(ISNUMBER(SEARCH("week",C142)),ISNUMBER(SEARCH("minggu",C142))),IFERROR(_xlfn.NUMBERVALUE(SUBSTITUTE(LEFT(TRIM(C142),FIND(" ",TRIM(C142)&amp;" ")-1),",","."),"."),LEFT(SUBSTITUTE(LEFT(TRIM(C142),FIND(" ",TRIM(C142)&amp;" ")-1),",","."),FIND("/",SUBSTITUTE(LEFT(TRIM(C142),FIND(" ",TRIM(C142)&amp;" ")-1),",","."))-1)/MID(SUBSTITUTE(LEFT(TRIM(C142),FIND(" ",TRIM(C142)&amp;" ")-1),",","."),FIND("/",SUBSTITUTE(LEFT(TRIM(C142),FIND(" ",TRIM(C142)&amp;" ")-1),",","."))+1,9))*12/52,IF(ISNUMBER(SEARCH("month",C142)),IFERROR(_xlfn.NUMBERVALUE(SUBSTITUTE(LEFT(TRIM(C142),FIND(" ",TRIM(C142)&amp;" ")-1),",","."),"."),LEFT(SUBSTITUTE(LEFT(TRIM(C142),FIND(" ",TRIM(C142)&amp;" ")-1),",","."),FIND("/",SUBSTITUTE(LEFT(TRIM(C142),FIND(" ",TRIM(C142)&amp;" ")-1),",","."))-1)/MID(SUBSTITUTE(LEFT(TRIM(C142),FIND(" ",TRIM(C142)&amp;" ")-1),",","."),FIND("/",SUBSTITUTE(LEFT(TRIM(C142),FIND(" ",TRIM(C142)&amp;" ")-1),",","."))+1,9)),IF(ISNUMBER(SEARCH("yea",C142)),IFERROR(_xlfn.NUMBERVALUE(SUBSTITUTE(LEFT(TRIM(C142),FIND(" ",TRIM(C142)&amp;" ")-1),",","."),"."),LEFT(SUBSTITUTE(LEFT(TRIM(C142),FIND(" ",TRIM(C142)&amp;" ")-1),",","."),FIND("/",SUBSTITUTE(LEFT(TRIM(C142),FIND(" ",TRIM(C142)&amp;" ")-1),",","."))-1)/MID(SUBSTITUTE(LEFT(TRIM(C142),FIND(" ",TRIM(C142)&amp;" ")-1),",","."),FIND("/",SUBSTITUTE(LEFT(TRIM(C142),FIND(" ",TRIM(C142)&amp;" ")-1),",","."))+1,9))*12,NA()))),0),30)*'Aturan &amp; Tarif'!$B$4,2)</f>
        <v>1703.4</v>
      </c>
      <c r="K142" s="42" t="n">
        <f aca="false">'Aturan &amp; Tarif'!$B$5</f>
        <v>2050</v>
      </c>
      <c r="L142" s="35" t="n">
        <f aca="false">I142+J142+K142</f>
        <v>7603.4</v>
      </c>
      <c r="M142" s="45" t="s">
        <v>134</v>
      </c>
    </row>
    <row r="143" customFormat="false" ht="37.5" hidden="false" customHeight="true" outlineLevel="0" collapsed="false">
      <c r="A143" s="39"/>
      <c r="B143" s="40" t="s">
        <v>808</v>
      </c>
      <c r="C143" s="41" t="s">
        <v>138</v>
      </c>
      <c r="D143" s="41" t="s">
        <v>108</v>
      </c>
      <c r="E143" s="42" t="n">
        <v>3650</v>
      </c>
      <c r="F143" s="42" t="n">
        <v>1000</v>
      </c>
      <c r="G143" s="42" t="n">
        <v>200</v>
      </c>
      <c r="H143" s="43" t="n">
        <v>1</v>
      </c>
      <c r="I143" s="34" t="n">
        <f aca="false">E143*H143+N(F143)+N(G143)</f>
        <v>4850</v>
      </c>
      <c r="J143" s="42" t="n">
        <f aca="false">ROUND(IFERROR(ROUND(IF(OR(ISNUMBER(SEARCH("week",C143)),ISNUMBER(SEARCH("minggu",C143))),IFERROR(_xlfn.NUMBERVALUE(SUBSTITUTE(LEFT(TRIM(C143),FIND(" ",TRIM(C143)&amp;" ")-1),",","."),"."),LEFT(SUBSTITUTE(LEFT(TRIM(C143),FIND(" ",TRIM(C143)&amp;" ")-1),",","."),FIND("/",SUBSTITUTE(LEFT(TRIM(C143),FIND(" ",TRIM(C143)&amp;" ")-1),",","."))-1)/MID(SUBSTITUTE(LEFT(TRIM(C143),FIND(" ",TRIM(C143)&amp;" ")-1),",","."),FIND("/",SUBSTITUTE(LEFT(TRIM(C143),FIND(" ",TRIM(C143)&amp;" ")-1),",","."))+1,9))*12/52,IF(ISNUMBER(SEARCH("month",C143)),IFERROR(_xlfn.NUMBERVALUE(SUBSTITUTE(LEFT(TRIM(C143),FIND(" ",TRIM(C143)&amp;" ")-1),",","."),"."),LEFT(SUBSTITUTE(LEFT(TRIM(C143),FIND(" ",TRIM(C143)&amp;" ")-1),",","."),FIND("/",SUBSTITUTE(LEFT(TRIM(C143),FIND(" ",TRIM(C143)&amp;" ")-1),",","."))-1)/MID(SUBSTITUTE(LEFT(TRIM(C143),FIND(" ",TRIM(C143)&amp;" ")-1),",","."),FIND("/",SUBSTITUTE(LEFT(TRIM(C143),FIND(" ",TRIM(C143)&amp;" ")-1),",","."))+1,9)),IF(ISNUMBER(SEARCH("yea",C143)),IFERROR(_xlfn.NUMBERVALUE(SUBSTITUTE(LEFT(TRIM(C143),FIND(" ",TRIM(C143)&amp;" ")-1),",","."),"."),LEFT(SUBSTITUTE(LEFT(TRIM(C143),FIND(" ",TRIM(C143)&amp;" ")-1),",","."),FIND("/",SUBSTITUTE(LEFT(TRIM(C143),FIND(" ",TRIM(C143)&amp;" ")-1),",","."))-1)/MID(SUBSTITUTE(LEFT(TRIM(C143),FIND(" ",TRIM(C143)&amp;" ")-1),",","."),FIND("/",SUBSTITUTE(LEFT(TRIM(C143),FIND(" ",TRIM(C143)&amp;" ")-1),",","."))+1,9))*12,NA()))),0),30)*'Aturan &amp; Tarif'!$B$4,2)</f>
        <v>1703.4</v>
      </c>
      <c r="K143" s="42" t="n">
        <f aca="false">'Aturan &amp; Tarif'!$B$5</f>
        <v>2050</v>
      </c>
      <c r="L143" s="35" t="n">
        <f aca="false">I143+J143+K143</f>
        <v>8603.4</v>
      </c>
      <c r="M143" s="45" t="s">
        <v>134</v>
      </c>
    </row>
    <row r="144" customFormat="false" ht="25.5" hidden="false" customHeight="true" outlineLevel="0" collapsed="false">
      <c r="A144" s="39"/>
      <c r="B144" s="40" t="s">
        <v>809</v>
      </c>
      <c r="C144" s="41" t="s">
        <v>127</v>
      </c>
      <c r="D144" s="41" t="s">
        <v>108</v>
      </c>
      <c r="E144" s="42" t="n">
        <v>2500</v>
      </c>
      <c r="F144" s="42" t="n">
        <v>4000</v>
      </c>
      <c r="G144" s="42" t="n">
        <v>200</v>
      </c>
      <c r="H144" s="43" t="n">
        <v>1</v>
      </c>
      <c r="I144" s="34" t="n">
        <f aca="false">E144*H144+N(F144)+N(G144)</f>
        <v>6700</v>
      </c>
      <c r="J144" s="42" t="n">
        <f aca="false">ROUND(IFERROR(ROUND(IF(OR(ISNUMBER(SEARCH("week",C144)),ISNUMBER(SEARCH("minggu",C144))),IFERROR(_xlfn.NUMBERVALUE(SUBSTITUTE(LEFT(TRIM(C144),FIND(" ",TRIM(C144)&amp;" ")-1),",","."),"."),LEFT(SUBSTITUTE(LEFT(TRIM(C144),FIND(" ",TRIM(C144)&amp;" ")-1),",","."),FIND("/",SUBSTITUTE(LEFT(TRIM(C144),FIND(" ",TRIM(C144)&amp;" ")-1),",","."))-1)/MID(SUBSTITUTE(LEFT(TRIM(C144),FIND(" ",TRIM(C144)&amp;" ")-1),",","."),FIND("/",SUBSTITUTE(LEFT(TRIM(C144),FIND(" ",TRIM(C144)&amp;" ")-1),",","."))+1,9))*12/52,IF(ISNUMBER(SEARCH("month",C144)),IFERROR(_xlfn.NUMBERVALUE(SUBSTITUTE(LEFT(TRIM(C144),FIND(" ",TRIM(C144)&amp;" ")-1),",","."),"."),LEFT(SUBSTITUTE(LEFT(TRIM(C144),FIND(" ",TRIM(C144)&amp;" ")-1),",","."),FIND("/",SUBSTITUTE(LEFT(TRIM(C144),FIND(" ",TRIM(C144)&amp;" ")-1),",","."))-1)/MID(SUBSTITUTE(LEFT(TRIM(C144),FIND(" ",TRIM(C144)&amp;" ")-1),",","."),FIND("/",SUBSTITUTE(LEFT(TRIM(C144),FIND(" ",TRIM(C144)&amp;" ")-1),",","."))+1,9)),IF(ISNUMBER(SEARCH("yea",C144)),IFERROR(_xlfn.NUMBERVALUE(SUBSTITUTE(LEFT(TRIM(C144),FIND(" ",TRIM(C144)&amp;" ")-1),",","."),"."),LEFT(SUBSTITUTE(LEFT(TRIM(C144),FIND(" ",TRIM(C144)&amp;" ")-1),",","."),FIND("/",SUBSTITUTE(LEFT(TRIM(C144),FIND(" ",TRIM(C144)&amp;" ")-1),",","."))-1)/MID(SUBSTITUTE(LEFT(TRIM(C144),FIND(" ",TRIM(C144)&amp;" ")-1),",","."),FIND("/",SUBSTITUTE(LEFT(TRIM(C144),FIND(" ",TRIM(C144)&amp;" ")-1),",","."))+1,9))*12,NA()))),0),36)*'Aturan &amp; Tarif'!$B$4,2)</f>
        <v>2044.08</v>
      </c>
      <c r="K144" s="42" t="n">
        <f aca="false">'Aturan &amp; Tarif'!$B$5</f>
        <v>2050</v>
      </c>
      <c r="L144" s="35" t="n">
        <f aca="false">I144+J144+K144</f>
        <v>10794.08</v>
      </c>
      <c r="M144" s="45" t="s">
        <v>134</v>
      </c>
    </row>
    <row r="145" customFormat="false" ht="25.5" hidden="false" customHeight="true" outlineLevel="0" collapsed="false">
      <c r="A145" s="39"/>
      <c r="B145" s="40" t="s">
        <v>810</v>
      </c>
      <c r="C145" s="41" t="s">
        <v>127</v>
      </c>
      <c r="D145" s="41" t="s">
        <v>108</v>
      </c>
      <c r="E145" s="42" t="n">
        <v>2500</v>
      </c>
      <c r="F145" s="42" t="n">
        <v>4000</v>
      </c>
      <c r="G145" s="42" t="n">
        <v>200</v>
      </c>
      <c r="H145" s="43" t="n">
        <v>1</v>
      </c>
      <c r="I145" s="34" t="n">
        <f aca="false">E145*H145+N(F145)+N(G145)</f>
        <v>6700</v>
      </c>
      <c r="J145" s="42" t="n">
        <f aca="false">ROUND(IFERROR(ROUND(IF(OR(ISNUMBER(SEARCH("week",C145)),ISNUMBER(SEARCH("minggu",C145))),IFERROR(_xlfn.NUMBERVALUE(SUBSTITUTE(LEFT(TRIM(C145),FIND(" ",TRIM(C145)&amp;" ")-1),",","."),"."),LEFT(SUBSTITUTE(LEFT(TRIM(C145),FIND(" ",TRIM(C145)&amp;" ")-1),",","."),FIND("/",SUBSTITUTE(LEFT(TRIM(C145),FIND(" ",TRIM(C145)&amp;" ")-1),",","."))-1)/MID(SUBSTITUTE(LEFT(TRIM(C145),FIND(" ",TRIM(C145)&amp;" ")-1),",","."),FIND("/",SUBSTITUTE(LEFT(TRIM(C145),FIND(" ",TRIM(C145)&amp;" ")-1),",","."))+1,9))*12/52,IF(ISNUMBER(SEARCH("month",C145)),IFERROR(_xlfn.NUMBERVALUE(SUBSTITUTE(LEFT(TRIM(C145),FIND(" ",TRIM(C145)&amp;" ")-1),",","."),"."),LEFT(SUBSTITUTE(LEFT(TRIM(C145),FIND(" ",TRIM(C145)&amp;" ")-1),",","."),FIND("/",SUBSTITUTE(LEFT(TRIM(C145),FIND(" ",TRIM(C145)&amp;" ")-1),",","."))-1)/MID(SUBSTITUTE(LEFT(TRIM(C145),FIND(" ",TRIM(C145)&amp;" ")-1),",","."),FIND("/",SUBSTITUTE(LEFT(TRIM(C145),FIND(" ",TRIM(C145)&amp;" ")-1),",","."))+1,9)),IF(ISNUMBER(SEARCH("yea",C145)),IFERROR(_xlfn.NUMBERVALUE(SUBSTITUTE(LEFT(TRIM(C145),FIND(" ",TRIM(C145)&amp;" ")-1),",","."),"."),LEFT(SUBSTITUTE(LEFT(TRIM(C145),FIND(" ",TRIM(C145)&amp;" ")-1),",","."),FIND("/",SUBSTITUTE(LEFT(TRIM(C145),FIND(" ",TRIM(C145)&amp;" ")-1),",","."))-1)/MID(SUBSTITUTE(LEFT(TRIM(C145),FIND(" ",TRIM(C145)&amp;" ")-1),",","."),FIND("/",SUBSTITUTE(LEFT(TRIM(C145),FIND(" ",TRIM(C145)&amp;" ")-1),",","."))+1,9))*12,NA()))),0),36)*'Aturan &amp; Tarif'!$B$4,2)</f>
        <v>2044.08</v>
      </c>
      <c r="K145" s="42" t="n">
        <f aca="false">'Aturan &amp; Tarif'!$B$5</f>
        <v>2050</v>
      </c>
      <c r="L145" s="35" t="n">
        <f aca="false">I145+J145+K145</f>
        <v>10794.08</v>
      </c>
      <c r="M145" s="45" t="s">
        <v>134</v>
      </c>
    </row>
    <row r="146" customFormat="false" ht="14.25" hidden="false" customHeight="true" outlineLevel="0" collapsed="false">
      <c r="A146" s="39"/>
      <c r="B146" s="40" t="s">
        <v>811</v>
      </c>
      <c r="C146" s="41" t="s">
        <v>107</v>
      </c>
      <c r="D146" s="41" t="s">
        <v>108</v>
      </c>
      <c r="E146" s="42" t="n">
        <v>2400</v>
      </c>
      <c r="F146" s="42" t="n">
        <v>2000</v>
      </c>
      <c r="G146" s="42" t="n">
        <v>200</v>
      </c>
      <c r="H146" s="43" t="n">
        <v>1</v>
      </c>
      <c r="I146" s="34" t="n">
        <f aca="false">E146*H146+N(F146)+N(G146)</f>
        <v>4600</v>
      </c>
      <c r="J146" s="42" t="n">
        <f aca="false">ROUND(IFERROR(ROUND(IF(OR(ISNUMBER(SEARCH("week",C146)),ISNUMBER(SEARCH("minggu",C146))),IFERROR(_xlfn.NUMBERVALUE(SUBSTITUTE(LEFT(TRIM(C146),FIND(" ",TRIM(C146)&amp;" ")-1),",","."),"."),LEFT(SUBSTITUTE(LEFT(TRIM(C146),FIND(" ",TRIM(C146)&amp;" ")-1),",","."),FIND("/",SUBSTITUTE(LEFT(TRIM(C146),FIND(" ",TRIM(C146)&amp;" ")-1),",","."))-1)/MID(SUBSTITUTE(LEFT(TRIM(C146),FIND(" ",TRIM(C146)&amp;" ")-1),",","."),FIND("/",SUBSTITUTE(LEFT(TRIM(C146),FIND(" ",TRIM(C146)&amp;" ")-1),",","."))+1,9))*12/52,IF(ISNUMBER(SEARCH("month",C146)),IFERROR(_xlfn.NUMBERVALUE(SUBSTITUTE(LEFT(TRIM(C146),FIND(" ",TRIM(C146)&amp;" ")-1),",","."),"."),LEFT(SUBSTITUTE(LEFT(TRIM(C146),FIND(" ",TRIM(C146)&amp;" ")-1),",","."),FIND("/",SUBSTITUTE(LEFT(TRIM(C146),FIND(" ",TRIM(C146)&amp;" ")-1),",","."))-1)/MID(SUBSTITUTE(LEFT(TRIM(C146),FIND(" ",TRIM(C146)&amp;" ")-1),",","."),FIND("/",SUBSTITUTE(LEFT(TRIM(C146),FIND(" ",TRIM(C146)&amp;" ")-1),",","."))+1,9)),IF(ISNUMBER(SEARCH("yea",C146)),IFERROR(_xlfn.NUMBERVALUE(SUBSTITUTE(LEFT(TRIM(C146),FIND(" ",TRIM(C146)&amp;" ")-1),",","."),"."),LEFT(SUBSTITUTE(LEFT(TRIM(C146),FIND(" ",TRIM(C146)&amp;" ")-1),",","."),FIND("/",SUBSTITUTE(LEFT(TRIM(C146),FIND(" ",TRIM(C146)&amp;" ")-1),",","."))-1)/MID(SUBSTITUTE(LEFT(TRIM(C146),FIND(" ",TRIM(C146)&amp;" ")-1),",","."),FIND("/",SUBSTITUTE(LEFT(TRIM(C146),FIND(" ",TRIM(C146)&amp;" ")-1),",","."))+1,9))*12,NA()))),0),24)*'Aturan &amp; Tarif'!$B$4,2)</f>
        <v>1362.72</v>
      </c>
      <c r="K146" s="42" t="n">
        <f aca="false">'Aturan &amp; Tarif'!$B$5</f>
        <v>2050</v>
      </c>
      <c r="L146" s="35" t="n">
        <f aca="false">I146+J146+K146</f>
        <v>8012.72</v>
      </c>
      <c r="M146" s="45" t="s">
        <v>134</v>
      </c>
    </row>
    <row r="147" customFormat="false" ht="25.5" hidden="false" customHeight="true" outlineLevel="0" collapsed="false">
      <c r="A147" s="39"/>
      <c r="B147" s="40" t="s">
        <v>812</v>
      </c>
      <c r="C147" s="41" t="s">
        <v>107</v>
      </c>
      <c r="D147" s="41" t="s">
        <v>108</v>
      </c>
      <c r="E147" s="42" t="n">
        <v>1875</v>
      </c>
      <c r="F147" s="42" t="n">
        <v>800</v>
      </c>
      <c r="G147" s="42" t="n">
        <v>200</v>
      </c>
      <c r="H147" s="43" t="n">
        <v>1</v>
      </c>
      <c r="I147" s="34" t="n">
        <f aca="false">E147*H147+N(F147)+N(G147)</f>
        <v>2875</v>
      </c>
      <c r="J147" s="42" t="n">
        <f aca="false">ROUND(IFERROR(ROUND(IF(OR(ISNUMBER(SEARCH("week",C147)),ISNUMBER(SEARCH("minggu",C147))),IFERROR(_xlfn.NUMBERVALUE(SUBSTITUTE(LEFT(TRIM(C147),FIND(" ",TRIM(C147)&amp;" ")-1),",","."),"."),LEFT(SUBSTITUTE(LEFT(TRIM(C147),FIND(" ",TRIM(C147)&amp;" ")-1),",","."),FIND("/",SUBSTITUTE(LEFT(TRIM(C147),FIND(" ",TRIM(C147)&amp;" ")-1),",","."))-1)/MID(SUBSTITUTE(LEFT(TRIM(C147),FIND(" ",TRIM(C147)&amp;" ")-1),",","."),FIND("/",SUBSTITUTE(LEFT(TRIM(C147),FIND(" ",TRIM(C147)&amp;" ")-1),",","."))+1,9))*12/52,IF(ISNUMBER(SEARCH("month",C147)),IFERROR(_xlfn.NUMBERVALUE(SUBSTITUTE(LEFT(TRIM(C147),FIND(" ",TRIM(C147)&amp;" ")-1),",","."),"."),LEFT(SUBSTITUTE(LEFT(TRIM(C147),FIND(" ",TRIM(C147)&amp;" ")-1),",","."),FIND("/",SUBSTITUTE(LEFT(TRIM(C147),FIND(" ",TRIM(C147)&amp;" ")-1),",","."))-1)/MID(SUBSTITUTE(LEFT(TRIM(C147),FIND(" ",TRIM(C147)&amp;" ")-1),",","."),FIND("/",SUBSTITUTE(LEFT(TRIM(C147),FIND(" ",TRIM(C147)&amp;" ")-1),",","."))+1,9)),IF(ISNUMBER(SEARCH("yea",C147)),IFERROR(_xlfn.NUMBERVALUE(SUBSTITUTE(LEFT(TRIM(C147),FIND(" ",TRIM(C147)&amp;" ")-1),",","."),"."),LEFT(SUBSTITUTE(LEFT(TRIM(C147),FIND(" ",TRIM(C147)&amp;" ")-1),",","."),FIND("/",SUBSTITUTE(LEFT(TRIM(C147),FIND(" ",TRIM(C147)&amp;" ")-1),",","."))-1)/MID(SUBSTITUTE(LEFT(TRIM(C147),FIND(" ",TRIM(C147)&amp;" ")-1),",","."),FIND("/",SUBSTITUTE(LEFT(TRIM(C147),FIND(" ",TRIM(C147)&amp;" ")-1),",","."))+1,9))*12,NA()))),0),24)*'Aturan &amp; Tarif'!$B$4,2)</f>
        <v>1362.72</v>
      </c>
      <c r="K147" s="42" t="n">
        <f aca="false">'Aturan &amp; Tarif'!$B$5</f>
        <v>2050</v>
      </c>
      <c r="L147" s="35" t="n">
        <f aca="false">I147+J147+K147</f>
        <v>6287.72</v>
      </c>
      <c r="M147" s="45" t="s">
        <v>134</v>
      </c>
    </row>
    <row r="148" customFormat="false" ht="25.5" hidden="false" customHeight="true" outlineLevel="0" collapsed="false">
      <c r="A148" s="39"/>
      <c r="B148" s="40" t="s">
        <v>1030</v>
      </c>
      <c r="C148" s="41" t="s">
        <v>107</v>
      </c>
      <c r="D148" s="41" t="s">
        <v>108</v>
      </c>
      <c r="E148" s="42" t="n">
        <v>2125</v>
      </c>
      <c r="F148" s="42" t="n">
        <v>1000</v>
      </c>
      <c r="G148" s="42" t="n">
        <v>200</v>
      </c>
      <c r="H148" s="43" t="n">
        <v>1</v>
      </c>
      <c r="I148" s="34" t="n">
        <f aca="false">E148*H148+N(F148)+N(G148)</f>
        <v>3325</v>
      </c>
      <c r="J148" s="42" t="n">
        <f aca="false">ROUND(IFERROR(ROUND(IF(OR(ISNUMBER(SEARCH("week",C148)),ISNUMBER(SEARCH("minggu",C148))),IFERROR(_xlfn.NUMBERVALUE(SUBSTITUTE(LEFT(TRIM(C148),FIND(" ",TRIM(C148)&amp;" ")-1),",","."),"."),LEFT(SUBSTITUTE(LEFT(TRIM(C148),FIND(" ",TRIM(C148)&amp;" ")-1),",","."),FIND("/",SUBSTITUTE(LEFT(TRIM(C148),FIND(" ",TRIM(C148)&amp;" ")-1),",","."))-1)/MID(SUBSTITUTE(LEFT(TRIM(C148),FIND(" ",TRIM(C148)&amp;" ")-1),",","."),FIND("/",SUBSTITUTE(LEFT(TRIM(C148),FIND(" ",TRIM(C148)&amp;" ")-1),",","."))+1,9))*12/52,IF(ISNUMBER(SEARCH("month",C148)),IFERROR(_xlfn.NUMBERVALUE(SUBSTITUTE(LEFT(TRIM(C148),FIND(" ",TRIM(C148)&amp;" ")-1),",","."),"."),LEFT(SUBSTITUTE(LEFT(TRIM(C148),FIND(" ",TRIM(C148)&amp;" ")-1),",","."),FIND("/",SUBSTITUTE(LEFT(TRIM(C148),FIND(" ",TRIM(C148)&amp;" ")-1),",","."))-1)/MID(SUBSTITUTE(LEFT(TRIM(C148),FIND(" ",TRIM(C148)&amp;" ")-1),",","."),FIND("/",SUBSTITUTE(LEFT(TRIM(C148),FIND(" ",TRIM(C148)&amp;" ")-1),",","."))+1,9)),IF(ISNUMBER(SEARCH("yea",C148)),IFERROR(_xlfn.NUMBERVALUE(SUBSTITUTE(LEFT(TRIM(C148),FIND(" ",TRIM(C148)&amp;" ")-1),",","."),"."),LEFT(SUBSTITUTE(LEFT(TRIM(C148),FIND(" ",TRIM(C148)&amp;" ")-1),",","."),FIND("/",SUBSTITUTE(LEFT(TRIM(C148),FIND(" ",TRIM(C148)&amp;" ")-1),",","."))-1)/MID(SUBSTITUTE(LEFT(TRIM(C148),FIND(" ",TRIM(C148)&amp;" ")-1),",","."),FIND("/",SUBSTITUTE(LEFT(TRIM(C148),FIND(" ",TRIM(C148)&amp;" ")-1),",","."))+1,9))*12,NA()))),0),24)*'Aturan &amp; Tarif'!$B$4,2)</f>
        <v>1362.72</v>
      </c>
      <c r="K148" s="42" t="n">
        <f aca="false">'Aturan &amp; Tarif'!$B$5</f>
        <v>2050</v>
      </c>
      <c r="L148" s="35" t="n">
        <f aca="false">I148+J148+K148</f>
        <v>6737.72</v>
      </c>
      <c r="M148" s="45" t="s">
        <v>134</v>
      </c>
    </row>
    <row r="149" customFormat="false" ht="48.75" hidden="false" customHeight="true" outlineLevel="0" collapsed="false">
      <c r="A149" s="29" t="s">
        <v>814</v>
      </c>
      <c r="B149" s="30" t="s">
        <v>815</v>
      </c>
      <c r="C149" s="31" t="s">
        <v>136</v>
      </c>
      <c r="D149" s="31" t="s">
        <v>108</v>
      </c>
      <c r="E149" s="32" t="n">
        <v>3000</v>
      </c>
      <c r="F149" s="32"/>
      <c r="G149" s="32"/>
      <c r="H149" s="33" t="n">
        <v>2</v>
      </c>
      <c r="I149" s="34" t="n">
        <f aca="false">E149*H149+N(F149)+N(G149)</f>
        <v>6000</v>
      </c>
      <c r="J149" s="32" t="n">
        <f aca="false">ROUND(IFERROR(ROUND(IF(OR(ISNUMBER(SEARCH("week",C149)),ISNUMBER(SEARCH("minggu",C149))),IFERROR(_xlfn.NUMBERVALUE(SUBSTITUTE(LEFT(TRIM(C149),FIND(" ",TRIM(C149)&amp;" ")-1),",","."),"."),LEFT(SUBSTITUTE(LEFT(TRIM(C149),FIND(" ",TRIM(C149)&amp;" ")-1),",","."),FIND("/",SUBSTITUTE(LEFT(TRIM(C149),FIND(" ",TRIM(C149)&amp;" ")-1),",","."))-1)/MID(SUBSTITUTE(LEFT(TRIM(C149),FIND(" ",TRIM(C149)&amp;" ")-1),",","."),FIND("/",SUBSTITUTE(LEFT(TRIM(C149),FIND(" ",TRIM(C149)&amp;" ")-1),",","."))+1,9))*12/52,IF(ISNUMBER(SEARCH("month",C149)),IFERROR(_xlfn.NUMBERVALUE(SUBSTITUTE(LEFT(TRIM(C149),FIND(" ",TRIM(C149)&amp;" ")-1),",","."),"."),LEFT(SUBSTITUTE(LEFT(TRIM(C149),FIND(" ",TRIM(C149)&amp;" ")-1),",","."),FIND("/",SUBSTITUTE(LEFT(TRIM(C149),FIND(" ",TRIM(C149)&amp;" ")-1),",","."))-1)/MID(SUBSTITUTE(LEFT(TRIM(C149),FIND(" ",TRIM(C149)&amp;" ")-1),",","."),FIND("/",SUBSTITUTE(LEFT(TRIM(C149),FIND(" ",TRIM(C149)&amp;" ")-1),",","."))+1,9)),IF(ISNUMBER(SEARCH("yea",C149)),IFERROR(_xlfn.NUMBERVALUE(SUBSTITUTE(LEFT(TRIM(C149),FIND(" ",TRIM(C149)&amp;" ")-1),",","."),"."),LEFT(SUBSTITUTE(LEFT(TRIM(C149),FIND(" ",TRIM(C149)&amp;" ")-1),",","."),FIND("/",SUBSTITUTE(LEFT(TRIM(C149),FIND(" ",TRIM(C149)&amp;" ")-1),",","."))-1)/MID(SUBSTITUTE(LEFT(TRIM(C149),FIND(" ",TRIM(C149)&amp;" ")-1),",","."),FIND("/",SUBSTITUTE(LEFT(TRIM(C149),FIND(" ",TRIM(C149)&amp;" ")-1),",","."))+1,9))*12,NA()))),0),42)*'Aturan &amp; Tarif'!$B$4,2)</f>
        <v>2384.76</v>
      </c>
      <c r="K149" s="32" t="n">
        <f aca="false">'Aturan &amp; Tarif'!$B$5</f>
        <v>2050</v>
      </c>
      <c r="L149" s="35" t="n">
        <f aca="false">I149+J149+K149</f>
        <v>10434.76</v>
      </c>
      <c r="M149" s="36" t="s">
        <v>816</v>
      </c>
    </row>
    <row r="150" customFormat="false" ht="48.75" hidden="false" customHeight="true" outlineLevel="0" collapsed="false">
      <c r="A150" s="39"/>
      <c r="B150" s="40" t="s">
        <v>817</v>
      </c>
      <c r="C150" s="41" t="s">
        <v>127</v>
      </c>
      <c r="D150" s="41" t="s">
        <v>108</v>
      </c>
      <c r="E150" s="42" t="n">
        <v>3230</v>
      </c>
      <c r="F150" s="42"/>
      <c r="G150" s="42"/>
      <c r="H150" s="43" t="n">
        <v>2</v>
      </c>
      <c r="I150" s="34" t="n">
        <f aca="false">E150*H150+N(F150)+N(G150)</f>
        <v>6460</v>
      </c>
      <c r="J150" s="42" t="n">
        <f aca="false">ROUND(IFERROR(ROUND(IF(OR(ISNUMBER(SEARCH("week",C150)),ISNUMBER(SEARCH("minggu",C150))),IFERROR(_xlfn.NUMBERVALUE(SUBSTITUTE(LEFT(TRIM(C150),FIND(" ",TRIM(C150)&amp;" ")-1),",","."),"."),LEFT(SUBSTITUTE(LEFT(TRIM(C150),FIND(" ",TRIM(C150)&amp;" ")-1),",","."),FIND("/",SUBSTITUTE(LEFT(TRIM(C150),FIND(" ",TRIM(C150)&amp;" ")-1),",","."))-1)/MID(SUBSTITUTE(LEFT(TRIM(C150),FIND(" ",TRIM(C150)&amp;" ")-1),",","."),FIND("/",SUBSTITUTE(LEFT(TRIM(C150),FIND(" ",TRIM(C150)&amp;" ")-1),",","."))+1,9))*12/52,IF(ISNUMBER(SEARCH("month",C150)),IFERROR(_xlfn.NUMBERVALUE(SUBSTITUTE(LEFT(TRIM(C150),FIND(" ",TRIM(C150)&amp;" ")-1),",","."),"."),LEFT(SUBSTITUTE(LEFT(TRIM(C150),FIND(" ",TRIM(C150)&amp;" ")-1),",","."),FIND("/",SUBSTITUTE(LEFT(TRIM(C150),FIND(" ",TRIM(C150)&amp;" ")-1),",","."))-1)/MID(SUBSTITUTE(LEFT(TRIM(C150),FIND(" ",TRIM(C150)&amp;" ")-1),",","."),FIND("/",SUBSTITUTE(LEFT(TRIM(C150),FIND(" ",TRIM(C150)&amp;" ")-1),",","."))+1,9)),IF(ISNUMBER(SEARCH("yea",C150)),IFERROR(_xlfn.NUMBERVALUE(SUBSTITUTE(LEFT(TRIM(C150),FIND(" ",TRIM(C150)&amp;" ")-1),",","."),"."),LEFT(SUBSTITUTE(LEFT(TRIM(C150),FIND(" ",TRIM(C150)&amp;" ")-1),",","."),FIND("/",SUBSTITUTE(LEFT(TRIM(C150),FIND(" ",TRIM(C150)&amp;" ")-1),",","."))-1)/MID(SUBSTITUTE(LEFT(TRIM(C150),FIND(" ",TRIM(C150)&amp;" ")-1),",","."),FIND("/",SUBSTITUTE(LEFT(TRIM(C150),FIND(" ",TRIM(C150)&amp;" ")-1),",","."))+1,9))*12,NA()))),0),36)*'Aturan &amp; Tarif'!$B$4,2)</f>
        <v>2044.08</v>
      </c>
      <c r="K150" s="42" t="n">
        <f aca="false">'Aturan &amp; Tarif'!$B$5</f>
        <v>2050</v>
      </c>
      <c r="L150" s="35" t="n">
        <f aca="false">I150+J150+K150</f>
        <v>10554.08</v>
      </c>
      <c r="M150" s="45" t="s">
        <v>3471</v>
      </c>
    </row>
    <row r="151" customFormat="false" ht="25.5" hidden="false" customHeight="true" outlineLevel="0" collapsed="false">
      <c r="A151" s="39"/>
      <c r="B151" s="40" t="s">
        <v>819</v>
      </c>
      <c r="C151" s="41" t="s">
        <v>820</v>
      </c>
      <c r="D151" s="48" t="s">
        <v>439</v>
      </c>
      <c r="E151" s="49" t="n">
        <v>6570</v>
      </c>
      <c r="F151" s="42" t="n">
        <v>354</v>
      </c>
      <c r="G151" s="42"/>
      <c r="H151" s="50" t="n">
        <v>1</v>
      </c>
      <c r="I151" s="34" t="n">
        <f aca="false">E151*H151+N(G151)</f>
        <v>6570</v>
      </c>
      <c r="J151" s="42" t="n">
        <f aca="false">ROUND(IFERROR(ROUND(IF(OR(ISNUMBER(SEARCH("week",C151)),ISNUMBER(SEARCH("minggu",C151))),IFERROR(_xlfn.NUMBERVALUE(SUBSTITUTE(LEFT(TRIM(C151),FIND(" ",TRIM(C151)&amp;" ")-1),",","."),"."),LEFT(SUBSTITUTE(LEFT(TRIM(C151),FIND(" ",TRIM(C151)&amp;" ")-1),",","."),FIND("/",SUBSTITUTE(LEFT(TRIM(C151),FIND(" ",TRIM(C151)&amp;" ")-1),",","."))-1)/MID(SUBSTITUTE(LEFT(TRIM(C151),FIND(" ",TRIM(C151)&amp;" ")-1),",","."),FIND("/",SUBSTITUTE(LEFT(TRIM(C151),FIND(" ",TRIM(C151)&amp;" ")-1),",","."))+1,9))*12/52,IF(ISNUMBER(SEARCH("month",C151)),IFERROR(_xlfn.NUMBERVALUE(SUBSTITUTE(LEFT(TRIM(C151),FIND(" ",TRIM(C151)&amp;" ")-1),",","."),"."),LEFT(SUBSTITUTE(LEFT(TRIM(C151),FIND(" ",TRIM(C151)&amp;" ")-1),",","."),FIND("/",SUBSTITUTE(LEFT(TRIM(C151),FIND(" ",TRIM(C151)&amp;" ")-1),",","."))-1)/MID(SUBSTITUTE(LEFT(TRIM(C151),FIND(" ",TRIM(C151)&amp;" ")-1),",","."),FIND("/",SUBSTITUTE(LEFT(TRIM(C151),FIND(" ",TRIM(C151)&amp;" ")-1),",","."))+1,9)),IF(ISNUMBER(SEARCH("yea",C151)),IFERROR(_xlfn.NUMBERVALUE(SUBSTITUTE(LEFT(TRIM(C151),FIND(" ",TRIM(C151)&amp;" ")-1),",","."),"."),LEFT(SUBSTITUTE(LEFT(TRIM(C151),FIND(" ",TRIM(C151)&amp;" ")-1),",","."),FIND("/",SUBSTITUTE(LEFT(TRIM(C151),FIND(" ",TRIM(C151)&amp;" ")-1),",","."))-1)/MID(SUBSTITUTE(LEFT(TRIM(C151),FIND(" ",TRIM(C151)&amp;" ")-1),",","."),FIND("/",SUBSTITUTE(LEFT(TRIM(C151),FIND(" ",TRIM(C151)&amp;" ")-1),",","."))+1,9))*12,NA()))),0),12)*'Aturan &amp; Tarif'!$B$4,2)</f>
        <v>681.36</v>
      </c>
      <c r="K151" s="42" t="n">
        <f aca="false">'Aturan &amp; Tarif'!$B$5</f>
        <v>2050</v>
      </c>
      <c r="L151" s="35" t="n">
        <f aca="false">I151+J151+K151</f>
        <v>9301.36</v>
      </c>
      <c r="M151" s="44" t="s">
        <v>821</v>
      </c>
    </row>
    <row r="152" customFormat="false" ht="60" hidden="false" customHeight="true" outlineLevel="0" collapsed="false">
      <c r="A152" s="39" t="s">
        <v>3472</v>
      </c>
      <c r="B152" s="40" t="s">
        <v>823</v>
      </c>
      <c r="C152" s="41" t="s">
        <v>127</v>
      </c>
      <c r="D152" s="41" t="s">
        <v>108</v>
      </c>
      <c r="E152" s="42" t="n">
        <v>4725</v>
      </c>
      <c r="F152" s="42"/>
      <c r="G152" s="42" t="n">
        <v>350</v>
      </c>
      <c r="H152" s="43" t="n">
        <v>2</v>
      </c>
      <c r="I152" s="34" t="n">
        <f aca="false">E152*H152+N(F152)+N(G152)</f>
        <v>9800</v>
      </c>
      <c r="J152" s="42" t="n">
        <f aca="false">ROUND(IFERROR(ROUND(IF(OR(ISNUMBER(SEARCH("week",C152)),ISNUMBER(SEARCH("minggu",C152))),IFERROR(_xlfn.NUMBERVALUE(SUBSTITUTE(LEFT(TRIM(C152),FIND(" ",TRIM(C152)&amp;" ")-1),",","."),"."),LEFT(SUBSTITUTE(LEFT(TRIM(C152),FIND(" ",TRIM(C152)&amp;" ")-1),",","."),FIND("/",SUBSTITUTE(LEFT(TRIM(C152),FIND(" ",TRIM(C152)&amp;" ")-1),",","."))-1)/MID(SUBSTITUTE(LEFT(TRIM(C152),FIND(" ",TRIM(C152)&amp;" ")-1),",","."),FIND("/",SUBSTITUTE(LEFT(TRIM(C152),FIND(" ",TRIM(C152)&amp;" ")-1),",","."))+1,9))*12/52,IF(ISNUMBER(SEARCH("month",C152)),IFERROR(_xlfn.NUMBERVALUE(SUBSTITUTE(LEFT(TRIM(C152),FIND(" ",TRIM(C152)&amp;" ")-1),",","."),"."),LEFT(SUBSTITUTE(LEFT(TRIM(C152),FIND(" ",TRIM(C152)&amp;" ")-1),",","."),FIND("/",SUBSTITUTE(LEFT(TRIM(C152),FIND(" ",TRIM(C152)&amp;" ")-1),",","."))-1)/MID(SUBSTITUTE(LEFT(TRIM(C152),FIND(" ",TRIM(C152)&amp;" ")-1),",","."),FIND("/",SUBSTITUTE(LEFT(TRIM(C152),FIND(" ",TRIM(C152)&amp;" ")-1),",","."))+1,9)),IF(ISNUMBER(SEARCH("yea",C152)),IFERROR(_xlfn.NUMBERVALUE(SUBSTITUTE(LEFT(TRIM(C152),FIND(" ",TRIM(C152)&amp;" ")-1),",","."),"."),LEFT(SUBSTITUTE(LEFT(TRIM(C152),FIND(" ",TRIM(C152)&amp;" ")-1),",","."),FIND("/",SUBSTITUTE(LEFT(TRIM(C152),FIND(" ",TRIM(C152)&amp;" ")-1),",","."))-1)/MID(SUBSTITUTE(LEFT(TRIM(C152),FIND(" ",TRIM(C152)&amp;" ")-1),",","."),FIND("/",SUBSTITUTE(LEFT(TRIM(C152),FIND(" ",TRIM(C152)&amp;" ")-1),",","."))+1,9))*12,NA()))),0),36)*'Aturan &amp; Tarif'!$B$4,2)</f>
        <v>2044.08</v>
      </c>
      <c r="K152" s="42" t="n">
        <f aca="false">'Aturan &amp; Tarif'!$B$5</f>
        <v>2050</v>
      </c>
      <c r="L152" s="35" t="n">
        <f aca="false">I152+J152+K152</f>
        <v>13894.08</v>
      </c>
      <c r="M152" s="44" t="s">
        <v>3473</v>
      </c>
    </row>
    <row r="153" customFormat="false" ht="60" hidden="false" customHeight="true" outlineLevel="0" collapsed="false">
      <c r="A153" s="39"/>
      <c r="B153" s="40" t="s">
        <v>825</v>
      </c>
      <c r="C153" s="41" t="s">
        <v>127</v>
      </c>
      <c r="D153" s="41" t="s">
        <v>108</v>
      </c>
      <c r="E153" s="42" t="n">
        <v>4725</v>
      </c>
      <c r="F153" s="42"/>
      <c r="G153" s="42" t="n">
        <v>350</v>
      </c>
      <c r="H153" s="43" t="n">
        <v>2</v>
      </c>
      <c r="I153" s="34" t="n">
        <f aca="false">E153*H153+N(F153)+N(G153)</f>
        <v>9800</v>
      </c>
      <c r="J153" s="42" t="n">
        <f aca="false">ROUND(IFERROR(ROUND(IF(OR(ISNUMBER(SEARCH("week",C153)),ISNUMBER(SEARCH("minggu",C153))),IFERROR(_xlfn.NUMBERVALUE(SUBSTITUTE(LEFT(TRIM(C153),FIND(" ",TRIM(C153)&amp;" ")-1),",","."),"."),LEFT(SUBSTITUTE(LEFT(TRIM(C153),FIND(" ",TRIM(C153)&amp;" ")-1),",","."),FIND("/",SUBSTITUTE(LEFT(TRIM(C153),FIND(" ",TRIM(C153)&amp;" ")-1),",","."))-1)/MID(SUBSTITUTE(LEFT(TRIM(C153),FIND(" ",TRIM(C153)&amp;" ")-1),",","."),FIND("/",SUBSTITUTE(LEFT(TRIM(C153),FIND(" ",TRIM(C153)&amp;" ")-1),",","."))+1,9))*12/52,IF(ISNUMBER(SEARCH("month",C153)),IFERROR(_xlfn.NUMBERVALUE(SUBSTITUTE(LEFT(TRIM(C153),FIND(" ",TRIM(C153)&amp;" ")-1),",","."),"."),LEFT(SUBSTITUTE(LEFT(TRIM(C153),FIND(" ",TRIM(C153)&amp;" ")-1),",","."),FIND("/",SUBSTITUTE(LEFT(TRIM(C153),FIND(" ",TRIM(C153)&amp;" ")-1),",","."))-1)/MID(SUBSTITUTE(LEFT(TRIM(C153),FIND(" ",TRIM(C153)&amp;" ")-1),",","."),FIND("/",SUBSTITUTE(LEFT(TRIM(C153),FIND(" ",TRIM(C153)&amp;" ")-1),",","."))+1,9)),IF(ISNUMBER(SEARCH("yea",C153)),IFERROR(_xlfn.NUMBERVALUE(SUBSTITUTE(LEFT(TRIM(C153),FIND(" ",TRIM(C153)&amp;" ")-1),",","."),"."),LEFT(SUBSTITUTE(LEFT(TRIM(C153),FIND(" ",TRIM(C153)&amp;" ")-1),",","."),FIND("/",SUBSTITUTE(LEFT(TRIM(C153),FIND(" ",TRIM(C153)&amp;" ")-1),",","."))-1)/MID(SUBSTITUTE(LEFT(TRIM(C153),FIND(" ",TRIM(C153)&amp;" ")-1),",","."),FIND("/",SUBSTITUTE(LEFT(TRIM(C153),FIND(" ",TRIM(C153)&amp;" ")-1),",","."))+1,9))*12,NA()))),0),36)*'Aturan &amp; Tarif'!$B$4,2)</f>
        <v>2044.08</v>
      </c>
      <c r="K153" s="42" t="n">
        <f aca="false">'Aturan &amp; Tarif'!$B$5</f>
        <v>2050</v>
      </c>
      <c r="L153" s="35" t="n">
        <f aca="false">I153+J153+K153</f>
        <v>13894.08</v>
      </c>
      <c r="M153" s="44" t="s">
        <v>3473</v>
      </c>
    </row>
    <row r="154" customFormat="false" ht="12.75" hidden="false" customHeight="true" outlineLevel="0" collapsed="false"/>
    <row r="155" customFormat="false" ht="12.75" hidden="false" customHeight="true" outlineLevel="0" collapsed="false">
      <c r="A155" s="38" t="s">
        <v>117</v>
      </c>
    </row>
    <row r="156" customFormat="false" ht="12.75" hidden="false" customHeight="true" outlineLevel="0" collapsed="false">
      <c r="A156" s="38" t="s">
        <v>118</v>
      </c>
    </row>
    <row r="157" customFormat="false" ht="12.75" hidden="false" customHeight="true" outlineLevel="0" collapsed="false">
      <c r="A157" s="38" t="s">
        <v>119</v>
      </c>
    </row>
    <row r="158" customFormat="false" ht="12.75" hidden="false" customHeight="true" outlineLevel="0" collapsed="false">
      <c r="A158" s="38" t="s">
        <v>120</v>
      </c>
    </row>
    <row r="159" customFormat="false" ht="12.75" hidden="false" customHeight="true" outlineLevel="0" collapsed="false">
      <c r="A159" s="38" t="s">
        <v>121</v>
      </c>
    </row>
    <row r="160" customFormat="false" ht="12.75" hidden="false" customHeight="true" outlineLevel="0" collapsed="false">
      <c r="A160" s="38" t="s">
        <v>3294</v>
      </c>
    </row>
    <row r="161" customFormat="false" ht="81.75" hidden="false" customHeight="true" outlineLevel="0" collapsed="false">
      <c r="A161" s="38" t="s">
        <v>122</v>
      </c>
    </row>
    <row r="162" customFormat="false" ht="18.75" hidden="false" customHeight="true" outlineLevel="0" collapsed="false">
      <c r="A162" s="38" t="s">
        <v>123</v>
      </c>
    </row>
    <row r="163" customFormat="false" ht="63.75" hidden="false" customHeight="true" outlineLevel="0" collapsed="false">
      <c r="A163" s="38" t="s">
        <v>3302</v>
      </c>
    </row>
  </sheetData>
  <autoFilter ref="A5:M153"/>
  <conditionalFormatting sqref="J6:J153">
    <cfRule type="expression" priority="2" aboveAverage="0" equalAverage="0" bottom="0" percent="0" rank="0" text="" dxfId="6">
      <formula>AND($E6&lt;&gt;"",OR(ISERROR(ROUND(IF(OR(ISNUMBER(SEARCH("week",C6)),ISNUMBER(SEARCH("minggu",C6))),IFERROR(_xlfn.NUMBERVALUE(SUBSTITUTE(LEFT(TRIM(C6),FIND("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")-1),",","."))+1,9))*12,NA()))),0)&lt;1,1),IFERROR(ROUND(IF(OR(ISNUMBER(SEARCH("week",C6)),ISNUMBER(SEARCH("minggu",C6))),IFERROR(_xlfn.NUMBERVALUE(SUBSTITUTE(LEFT(TRIM(C6),FIND("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")-1),",","."))+1,9))*12,NA()))),0)&gt;96,1)))</formula>
    </cfRule>
  </conditionalFormatting>
  <printOptions headings="false" gridLines="false" gridLinesSet="true" horizontalCentered="true" verticalCentered="false"/>
  <pageMargins left="0.3" right="0.3" top="0.5" bottom="0.5" header="0.2" footer="0.2"/>
  <pageSetup paperSize="9" scale="100" fitToWidth="1" fitToHeight="0" pageOrder="downThenOver" orientation="landscape" blackAndWhite="false" draft="false" cellComments="none" horizontalDpi="300" verticalDpi="300" copies="1"/>
  <headerFooter differentFirst="false" differentOddEven="false">
    <oddHeader>&amp;R&amp;8 ONSHORE - PERTH</oddHeader>
    <oddFooter>&amp;L&amp;8 TEG Pricelist - harga bisa berubah sewaktu-waktu&amp;R&amp;8 Halaman &amp;P dari &amp;N</oddFooter>
  </headerFooter>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16"/>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2" min="2" style="1" width="55"/>
    <col collapsed="false" customWidth="true" hidden="false" outlineLevel="0" max="3" min="3" style="1" width="14"/>
    <col collapsed="false" customWidth="true" hidden="false" outlineLevel="0" max="4" min="4" style="1" width="11"/>
    <col collapsed="false" customWidth="true" hidden="false" outlineLevel="0" max="5" min="5" style="1" width="12"/>
    <col collapsed="false" customWidth="true" hidden="false" outlineLevel="0" max="8" min="6" style="1" width="11"/>
    <col collapsed="false" customWidth="true" hidden="false" outlineLevel="0" max="9" min="9" style="1" width="15"/>
    <col collapsed="false" customWidth="true" hidden="false" outlineLevel="0" max="10" min="10" style="1" width="12"/>
    <col collapsed="false" customWidth="true" hidden="false" outlineLevel="0" max="11" min="11" style="1" width="10"/>
    <col collapsed="false" customWidth="true" hidden="false" outlineLevel="0" max="12" min="12" style="1" width="15"/>
    <col collapsed="false" customWidth="true" hidden="false" outlineLevel="0" max="13" min="13" style="1" width="110"/>
    <col collapsed="false" customWidth="true" hidden="false" outlineLevel="0" max="44" min="14" style="1" width="9"/>
  </cols>
  <sheetData>
    <row r="1" customFormat="false" ht="17.25" hidden="false" customHeight="true" outlineLevel="0" collapsed="false">
      <c r="A1" s="14" t="s">
        <v>3474</v>
      </c>
    </row>
    <row r="2" customFormat="false" ht="15" hidden="false" customHeight="true" outlineLevel="0" collapsed="false">
      <c r="A2" s="25" t="s">
        <v>91</v>
      </c>
    </row>
    <row r="3" customFormat="false" ht="15" hidden="false" customHeight="true" outlineLevel="0" collapsed="false">
      <c r="A3" s="26" t="s">
        <v>3014</v>
      </c>
    </row>
    <row r="5" customFormat="false" ht="36" hidden="false" customHeight="true" outlineLevel="0" collapsed="false">
      <c r="A5" s="27" t="s">
        <v>93</v>
      </c>
      <c r="B5" s="27" t="s">
        <v>94</v>
      </c>
      <c r="C5" s="27" t="s">
        <v>95</v>
      </c>
      <c r="D5" s="27" t="s">
        <v>96</v>
      </c>
      <c r="E5" s="27" t="s">
        <v>97</v>
      </c>
      <c r="F5" s="27" t="s">
        <v>98</v>
      </c>
      <c r="G5" s="27" t="s">
        <v>99</v>
      </c>
      <c r="H5" s="27" t="s">
        <v>100</v>
      </c>
      <c r="I5" s="27" t="s">
        <v>101</v>
      </c>
      <c r="J5" s="27" t="s">
        <v>10</v>
      </c>
      <c r="K5" s="27" t="s">
        <v>102</v>
      </c>
      <c r="L5" s="27" t="s">
        <v>104</v>
      </c>
      <c r="M5" s="28" t="s">
        <v>14</v>
      </c>
    </row>
    <row r="6" customFormat="false" ht="14.25" hidden="false" customHeight="true" outlineLevel="0" collapsed="false">
      <c r="A6" s="29" t="s">
        <v>484</v>
      </c>
      <c r="B6" s="30" t="s">
        <v>485</v>
      </c>
      <c r="C6" s="31" t="s">
        <v>486</v>
      </c>
      <c r="D6" s="31" t="s">
        <v>108</v>
      </c>
      <c r="E6" s="32" t="n">
        <v>4000</v>
      </c>
      <c r="F6" s="32" t="n">
        <v>100</v>
      </c>
      <c r="G6" s="32" t="n">
        <v>200</v>
      </c>
      <c r="H6" s="33" t="n">
        <v>1</v>
      </c>
      <c r="I6" s="34" t="n">
        <f aca="false">E6*H6+N(F6)+N(G6)</f>
        <v>4300</v>
      </c>
      <c r="J6" s="32" t="n">
        <f aca="false">ROUND(IFERROR(ROUND(IF(OR(ISNUMBER(SEARCH("week",C6)),ISNUMBER(SEARCH("minggu",C6))),IFERROR(_xlfn.NUMBERVALUE(SUBSTITUTE(LEFT(TRIM(C6),FIND("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")-1),",","."))+1,9))*12,NA()))),0),12)*'Aturan &amp; Tarif'!$B$4,2)</f>
        <v>681.36</v>
      </c>
      <c r="K6" s="32" t="n">
        <f aca="false">'Aturan &amp; Tarif'!$B$5</f>
        <v>2050</v>
      </c>
      <c r="L6" s="35" t="n">
        <f aca="false">I6+J6+K6</f>
        <v>7031.36</v>
      </c>
      <c r="M6" s="37" t="s">
        <v>3475</v>
      </c>
    </row>
    <row r="7" customFormat="false" ht="14.25" hidden="false" customHeight="true" outlineLevel="0" collapsed="false">
      <c r="A7" s="29"/>
      <c r="B7" s="30" t="s">
        <v>488</v>
      </c>
      <c r="C7" s="31" t="s">
        <v>486</v>
      </c>
      <c r="D7" s="31" t="s">
        <v>108</v>
      </c>
      <c r="E7" s="32" t="n">
        <v>4000</v>
      </c>
      <c r="F7" s="32" t="n">
        <v>100</v>
      </c>
      <c r="G7" s="32" t="n">
        <v>200</v>
      </c>
      <c r="H7" s="33" t="n">
        <v>1</v>
      </c>
      <c r="I7" s="34" t="n">
        <f aca="false">E7*H7+N(F7)+N(G7)</f>
        <v>4300</v>
      </c>
      <c r="J7" s="32" t="n">
        <f aca="false">ROUND(IFERROR(ROUND(IF(OR(ISNUMBER(SEARCH("week",C7)),ISNUMBER(SEARCH("minggu",C7))),IFERROR(_xlfn.NUMBERVALUE(SUBSTITUTE(LEFT(TRIM(C7),FIND(" ",TRIM(C7)&amp;" ")-1),",","."),"."),LEFT(SUBSTITUTE(LEFT(TRIM(C7),FIND(" ",TRIM(C7)&amp;" ")-1),",","."),FIND("/",SUBSTITUTE(LEFT(TRIM(C7),FIND(" ",TRIM(C7)&amp;" ")-1),",","."))-1)/MID(SUBSTITUTE(LEFT(TRIM(C7),FIND(" ",TRIM(C7)&amp;" ")-1),",","."),FIND("/",SUBSTITUTE(LEFT(TRIM(C7),FIND(" ",TRIM(C7)&amp;" ")-1),",","."))+1,9))*12/52,IF(ISNUMBER(SEARCH("month",C7)),IFERROR(_xlfn.NUMBERVALUE(SUBSTITUTE(LEFT(TRIM(C7),FIND(" ",TRIM(C7)&amp;" ")-1),",","."),"."),LEFT(SUBSTITUTE(LEFT(TRIM(C7),FIND(" ",TRIM(C7)&amp;" ")-1),",","."),FIND("/",SUBSTITUTE(LEFT(TRIM(C7),FIND(" ",TRIM(C7)&amp;" ")-1),",","."))-1)/MID(SUBSTITUTE(LEFT(TRIM(C7),FIND(" ",TRIM(C7)&amp;" ")-1),",","."),FIND("/",SUBSTITUTE(LEFT(TRIM(C7),FIND(" ",TRIM(C7)&amp;" ")-1),",","."))+1,9)),IF(ISNUMBER(SEARCH("yea",C7)),IFERROR(_xlfn.NUMBERVALUE(SUBSTITUTE(LEFT(TRIM(C7),FIND(" ",TRIM(C7)&amp;" ")-1),",","."),"."),LEFT(SUBSTITUTE(LEFT(TRIM(C7),FIND(" ",TRIM(C7)&amp;" ")-1),",","."),FIND("/",SUBSTITUTE(LEFT(TRIM(C7),FIND(" ",TRIM(C7)&amp;" ")-1),",","."))-1)/MID(SUBSTITUTE(LEFT(TRIM(C7),FIND(" ",TRIM(C7)&amp;" ")-1),",","."),FIND("/",SUBSTITUTE(LEFT(TRIM(C7),FIND(" ",TRIM(C7)&amp;" ")-1),",","."))+1,9))*12,NA()))),0),12)*'Aturan &amp; Tarif'!$B$4,2)</f>
        <v>681.36</v>
      </c>
      <c r="K7" s="32" t="n">
        <f aca="false">'Aturan &amp; Tarif'!$B$5</f>
        <v>2050</v>
      </c>
      <c r="L7" s="35" t="n">
        <f aca="false">I7+J7+K7</f>
        <v>7031.36</v>
      </c>
      <c r="M7" s="37" t="s">
        <v>3475</v>
      </c>
    </row>
    <row r="8" customFormat="false" ht="14.25" hidden="false" customHeight="true" outlineLevel="0" collapsed="false">
      <c r="A8" s="29"/>
      <c r="B8" s="30" t="s">
        <v>489</v>
      </c>
      <c r="C8" s="31" t="s">
        <v>107</v>
      </c>
      <c r="D8" s="31" t="s">
        <v>108</v>
      </c>
      <c r="E8" s="32" t="n">
        <v>4000</v>
      </c>
      <c r="F8" s="32" t="n">
        <v>100</v>
      </c>
      <c r="G8" s="32" t="n">
        <v>200</v>
      </c>
      <c r="H8" s="33" t="n">
        <v>1</v>
      </c>
      <c r="I8" s="34" t="n">
        <f aca="false">E8*H8+N(F8)+N(G8)</f>
        <v>4300</v>
      </c>
      <c r="J8" s="32" t="n">
        <f aca="false">ROUND(IFERROR(ROUND(IF(OR(ISNUMBER(SEARCH("week",C8)),ISNUMBER(SEARCH("minggu",C8))),IFERROR(_xlfn.NUMBERVALUE(SUBSTITUTE(LEFT(TRIM(C8),FIND(" ",TRIM(C8)&amp;" ")-1),",","."),"."),LEFT(SUBSTITUTE(LEFT(TRIM(C8),FIND(" ",TRIM(C8)&amp;" ")-1),",","."),FIND("/",SUBSTITUTE(LEFT(TRIM(C8),FIND(" ",TRIM(C8)&amp;" ")-1),",","."))-1)/MID(SUBSTITUTE(LEFT(TRIM(C8),FIND(" ",TRIM(C8)&amp;" ")-1),",","."),FIND("/",SUBSTITUTE(LEFT(TRIM(C8),FIND(" ",TRIM(C8)&amp;" ")-1),",","."))+1,9))*12/52,IF(ISNUMBER(SEARCH("month",C8)),IFERROR(_xlfn.NUMBERVALUE(SUBSTITUTE(LEFT(TRIM(C8),FIND(" ",TRIM(C8)&amp;" ")-1),",","."),"."),LEFT(SUBSTITUTE(LEFT(TRIM(C8),FIND(" ",TRIM(C8)&amp;" ")-1),",","."),FIND("/",SUBSTITUTE(LEFT(TRIM(C8),FIND(" ",TRIM(C8)&amp;" ")-1),",","."))-1)/MID(SUBSTITUTE(LEFT(TRIM(C8),FIND(" ",TRIM(C8)&amp;" ")-1),",","."),FIND("/",SUBSTITUTE(LEFT(TRIM(C8),FIND(" ",TRIM(C8)&amp;" ")-1),",","."))+1,9)),IF(ISNUMBER(SEARCH("yea",C8)),IFERROR(_xlfn.NUMBERVALUE(SUBSTITUTE(LEFT(TRIM(C8),FIND(" ",TRIM(C8)&amp;" ")-1),",","."),"."),LEFT(SUBSTITUTE(LEFT(TRIM(C8),FIND(" ",TRIM(C8)&amp;" ")-1),",","."),FIND("/",SUBSTITUTE(LEFT(TRIM(C8),FIND(" ",TRIM(C8)&amp;" ")-1),",","."))-1)/MID(SUBSTITUTE(LEFT(TRIM(C8),FIND(" ",TRIM(C8)&amp;" ")-1),",","."),FIND("/",SUBSTITUTE(LEFT(TRIM(C8),FIND(" ",TRIM(C8)&amp;" ")-1),",","."))+1,9))*12,NA()))),0),24)*'Aturan &amp; Tarif'!$B$4,2)</f>
        <v>1362.72</v>
      </c>
      <c r="K8" s="32" t="n">
        <f aca="false">'Aturan &amp; Tarif'!$B$5</f>
        <v>2050</v>
      </c>
      <c r="L8" s="35" t="n">
        <f aca="false">I8+J8+K8</f>
        <v>7712.72</v>
      </c>
      <c r="M8" s="37" t="s">
        <v>3476</v>
      </c>
    </row>
    <row r="10" customFormat="false" ht="12.75" hidden="false" customHeight="true" outlineLevel="0" collapsed="false">
      <c r="A10" s="38" t="s">
        <v>117</v>
      </c>
    </row>
    <row r="11" customFormat="false" ht="12.75" hidden="false" customHeight="true" outlineLevel="0" collapsed="false">
      <c r="A11" s="38" t="s">
        <v>118</v>
      </c>
    </row>
    <row r="12" customFormat="false" ht="12.75" hidden="false" customHeight="true" outlineLevel="0" collapsed="false">
      <c r="A12" s="38" t="s">
        <v>119</v>
      </c>
    </row>
    <row r="13" customFormat="false" ht="12.75" hidden="false" customHeight="true" outlineLevel="0" collapsed="false">
      <c r="A13" s="38" t="s">
        <v>120</v>
      </c>
    </row>
    <row r="14" customFormat="false" ht="12.75" hidden="false" customHeight="true" outlineLevel="0" collapsed="false">
      <c r="A14" s="38" t="s">
        <v>121</v>
      </c>
    </row>
    <row r="15" customFormat="false" ht="12.75" hidden="false" customHeight="true" outlineLevel="0" collapsed="false">
      <c r="A15" s="38" t="s">
        <v>3294</v>
      </c>
    </row>
    <row r="16" customFormat="false" ht="81.75" hidden="false" customHeight="true" outlineLevel="0" collapsed="false">
      <c r="A16" s="38" t="s">
        <v>3302</v>
      </c>
    </row>
  </sheetData>
  <autoFilter ref="A5:M8"/>
  <conditionalFormatting sqref="J6:J8">
    <cfRule type="expression" priority="2" aboveAverage="0" equalAverage="0" bottom="0" percent="0" rank="0" text="" dxfId="6">
      <formula>AND($E6&lt;&gt;"",OR(ISERROR(ROUND(IF(OR(ISNUMBER(SEARCH("week",C6)),ISNUMBER(SEARCH("minggu",C6))),IFERROR(_xlfn.NUMBERVALUE(SUBSTITUTE(LEFT(TRIM(C6),FIND("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")-1),",","."))+1,9))*12,NA()))),0)&lt;1,1),IFERROR(ROUND(IF(OR(ISNUMBER(SEARCH("week",C6)),ISNUMBER(SEARCH("minggu",C6))),IFERROR(_xlfn.NUMBERVALUE(SUBSTITUTE(LEFT(TRIM(C6),FIND("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")-1),",","."))+1,9))*12,NA()))),0)&gt;96,1)))</formula>
    </cfRule>
  </conditionalFormatting>
  <printOptions headings="false" gridLines="false" gridLinesSet="true" horizontalCentered="true" verticalCentered="false"/>
  <pageMargins left="0.3" right="0.3" top="0.5" bottom="0.5" header="0.2" footer="0.2"/>
  <pageSetup paperSize="9" scale="100" fitToWidth="1" fitToHeight="0" pageOrder="downThenOver" orientation="landscape" blackAndWhite="false" draft="false" cellComments="none" horizontalDpi="300" verticalDpi="300" copies="1"/>
  <headerFooter differentFirst="false" differentOddEven="false">
    <oddHeader>&amp;R&amp;8 ONSHORE - ARMIDALE</oddHeader>
    <oddFooter>&amp;L&amp;8 TEG Pricelist - harga bisa berubah sewaktu-waktu&amp;R&amp;8 Halaman &amp;P dari &amp;N</oddFooter>
  </headerFooter>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168"/>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2" min="2" style="1" width="55"/>
    <col collapsed="false" customWidth="true" hidden="false" outlineLevel="0" max="3" min="3" style="1" width="14"/>
    <col collapsed="false" customWidth="true" hidden="false" outlineLevel="0" max="4" min="4" style="1" width="11"/>
    <col collapsed="false" customWidth="true" hidden="false" outlineLevel="0" max="5" min="5" style="1" width="12"/>
    <col collapsed="false" customWidth="true" hidden="false" outlineLevel="0" max="8" min="6" style="1" width="11"/>
    <col collapsed="false" customWidth="true" hidden="false" outlineLevel="0" max="9" min="9" style="1" width="15"/>
    <col collapsed="false" customWidth="true" hidden="false" outlineLevel="0" max="10" min="10" style="1" width="12"/>
    <col collapsed="false" customWidth="true" hidden="false" outlineLevel="0" max="11" min="11" style="1" width="10"/>
    <col collapsed="false" customWidth="true" hidden="false" outlineLevel="0" max="12" min="12" style="1" width="15"/>
    <col collapsed="false" customWidth="true" hidden="false" outlineLevel="0" max="13" min="13" style="1" width="110"/>
    <col collapsed="false" customWidth="true" hidden="false" outlineLevel="0" max="44" min="14" style="1" width="9"/>
  </cols>
  <sheetData>
    <row r="1" customFormat="false" ht="17.25" hidden="false" customHeight="true" outlineLevel="0" collapsed="false">
      <c r="A1" s="14" t="s">
        <v>3477</v>
      </c>
    </row>
    <row r="2" customFormat="false" ht="15" hidden="false" customHeight="true" outlineLevel="0" collapsed="false">
      <c r="A2" s="25" t="s">
        <v>91</v>
      </c>
    </row>
    <row r="3" customFormat="false" ht="15" hidden="false" customHeight="true" outlineLevel="0" collapsed="false">
      <c r="A3" s="26" t="s">
        <v>3014</v>
      </c>
    </row>
    <row r="5" customFormat="false" ht="36" hidden="false" customHeight="true" outlineLevel="0" collapsed="false">
      <c r="A5" s="27" t="s">
        <v>93</v>
      </c>
      <c r="B5" s="27" t="s">
        <v>94</v>
      </c>
      <c r="C5" s="27" t="s">
        <v>95</v>
      </c>
      <c r="D5" s="27" t="s">
        <v>96</v>
      </c>
      <c r="E5" s="27" t="s">
        <v>97</v>
      </c>
      <c r="F5" s="27" t="s">
        <v>98</v>
      </c>
      <c r="G5" s="27" t="s">
        <v>99</v>
      </c>
      <c r="H5" s="27" t="s">
        <v>100</v>
      </c>
      <c r="I5" s="27" t="s">
        <v>101</v>
      </c>
      <c r="J5" s="27" t="s">
        <v>10</v>
      </c>
      <c r="K5" s="27" t="s">
        <v>102</v>
      </c>
      <c r="L5" s="27" t="s">
        <v>104</v>
      </c>
      <c r="M5" s="28" t="s">
        <v>14</v>
      </c>
    </row>
    <row r="6" customFormat="false" ht="60" hidden="false" customHeight="true" outlineLevel="0" collapsed="false">
      <c r="A6" s="29" t="s">
        <v>2808</v>
      </c>
      <c r="B6" s="30" t="s">
        <v>317</v>
      </c>
      <c r="C6" s="31" t="s">
        <v>127</v>
      </c>
      <c r="D6" s="31" t="s">
        <v>108</v>
      </c>
      <c r="E6" s="32" t="n">
        <v>8742</v>
      </c>
      <c r="F6" s="32"/>
      <c r="G6" s="32"/>
      <c r="H6" s="33" t="n">
        <v>2</v>
      </c>
      <c r="I6" s="34" t="n">
        <f aca="false">E6*H6+N(F6)+N(G6)</f>
        <v>17484</v>
      </c>
      <c r="J6" s="32" t="n">
        <f aca="false">ROUND(IFERROR(ROUND(IF(OR(ISNUMBER(SEARCH("week",C6)),ISNUMBER(SEARCH("minggu",C6))),IFERROR(_xlfn.NUMBERVALUE(SUBSTITUTE(LEFT(TRIM(C6),FIND("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")-1),",","."))+1,9))*12,NA()))),0),36)*'Aturan &amp; Tarif'!$B$4,2)</f>
        <v>2044.08</v>
      </c>
      <c r="K6" s="32" t="n">
        <f aca="false">'Aturan &amp; Tarif'!$B$5</f>
        <v>2050</v>
      </c>
      <c r="L6" s="35" t="n">
        <f aca="false">I6+J6+K6</f>
        <v>21578.08</v>
      </c>
      <c r="M6" s="37" t="s">
        <v>318</v>
      </c>
    </row>
    <row r="7" customFormat="false" ht="14.25" hidden="false" customHeight="true" outlineLevel="0" collapsed="false">
      <c r="A7" s="29"/>
      <c r="B7" s="30" t="s">
        <v>319</v>
      </c>
      <c r="C7" s="31" t="s">
        <v>191</v>
      </c>
      <c r="D7" s="31" t="s">
        <v>108</v>
      </c>
      <c r="E7" s="32" t="n">
        <v>8742</v>
      </c>
      <c r="F7" s="32"/>
      <c r="G7" s="32"/>
      <c r="H7" s="33" t="n">
        <v>2</v>
      </c>
      <c r="I7" s="34" t="n">
        <f aca="false">E7*H7+N(F7)+N(G7)</f>
        <v>17484</v>
      </c>
      <c r="J7" s="32" t="n">
        <f aca="false">ROUND(IFERROR(ROUND(IF(OR(ISNUMBER(SEARCH("week",C7)),ISNUMBER(SEARCH("minggu",C7))),IFERROR(_xlfn.NUMBERVALUE(SUBSTITUTE(LEFT(TRIM(C7),FIND(" ",TRIM(C7)&amp;" ")-1),",","."),"."),LEFT(SUBSTITUTE(LEFT(TRIM(C7),FIND(" ",TRIM(C7)&amp;" ")-1),",","."),FIND("/",SUBSTITUTE(LEFT(TRIM(C7),FIND(" ",TRIM(C7)&amp;" ")-1),",","."))-1)/MID(SUBSTITUTE(LEFT(TRIM(C7),FIND(" ",TRIM(C7)&amp;" ")-1),",","."),FIND("/",SUBSTITUTE(LEFT(TRIM(C7),FIND(" ",TRIM(C7)&amp;" ")-1),",","."))+1,9))*12/52,IF(ISNUMBER(SEARCH("month",C7)),IFERROR(_xlfn.NUMBERVALUE(SUBSTITUTE(LEFT(TRIM(C7),FIND(" ",TRIM(C7)&amp;" ")-1),",","."),"."),LEFT(SUBSTITUTE(LEFT(TRIM(C7),FIND(" ",TRIM(C7)&amp;" ")-1),",","."),FIND("/",SUBSTITUTE(LEFT(TRIM(C7),FIND(" ",TRIM(C7)&amp;" ")-1),",","."))-1)/MID(SUBSTITUTE(LEFT(TRIM(C7),FIND(" ",TRIM(C7)&amp;" ")-1),",","."),FIND("/",SUBSTITUTE(LEFT(TRIM(C7),FIND(" ",TRIM(C7)&amp;" ")-1),",","."))+1,9)),IF(ISNUMBER(SEARCH("yea",C7)),IFERROR(_xlfn.NUMBERVALUE(SUBSTITUTE(LEFT(TRIM(C7),FIND(" ",TRIM(C7)&amp;" ")-1),",","."),"."),LEFT(SUBSTITUTE(LEFT(TRIM(C7),FIND(" ",TRIM(C7)&amp;" ")-1),",","."),FIND("/",SUBSTITUTE(LEFT(TRIM(C7),FIND(" ",TRIM(C7)&amp;" ")-1),",","."))-1)/MID(SUBSTITUTE(LEFT(TRIM(C7),FIND(" ",TRIM(C7)&amp;" ")-1),",","."),FIND("/",SUBSTITUTE(LEFT(TRIM(C7),FIND(" ",TRIM(C7)&amp;" ")-1),",","."))+1,9))*12,NA()))),0),48)*'Aturan &amp; Tarif'!$B$4,2)</f>
        <v>2725.44</v>
      </c>
      <c r="K7" s="32" t="n">
        <f aca="false">'Aturan &amp; Tarif'!$B$5</f>
        <v>2050</v>
      </c>
      <c r="L7" s="35" t="n">
        <f aca="false">I7+J7+K7</f>
        <v>22259.44</v>
      </c>
      <c r="M7" s="37" t="s">
        <v>318</v>
      </c>
    </row>
    <row r="8" customFormat="false" ht="14.25" hidden="false" customHeight="true" outlineLevel="0" collapsed="false">
      <c r="A8" s="29"/>
      <c r="B8" s="30" t="s">
        <v>320</v>
      </c>
      <c r="C8" s="31" t="s">
        <v>245</v>
      </c>
      <c r="D8" s="31" t="s">
        <v>108</v>
      </c>
      <c r="E8" s="32" t="n">
        <v>9200</v>
      </c>
      <c r="F8" s="32"/>
      <c r="G8" s="32"/>
      <c r="H8" s="33" t="n">
        <v>2</v>
      </c>
      <c r="I8" s="34" t="n">
        <f aca="false">E8*H8+N(F8)+N(G8)</f>
        <v>18400</v>
      </c>
      <c r="J8" s="32" t="n">
        <f aca="false">ROUND(IFERROR(ROUND(IF(OR(ISNUMBER(SEARCH("week",C8)),ISNUMBER(SEARCH("minggu",C8))),IFERROR(_xlfn.NUMBERVALUE(SUBSTITUTE(LEFT(TRIM(C8),FIND(" ",TRIM(C8)&amp;" ")-1),",","."),"."),LEFT(SUBSTITUTE(LEFT(TRIM(C8),FIND(" ",TRIM(C8)&amp;" ")-1),",","."),FIND("/",SUBSTITUTE(LEFT(TRIM(C8),FIND(" ",TRIM(C8)&amp;" ")-1),",","."))-1)/MID(SUBSTITUTE(LEFT(TRIM(C8),FIND(" ",TRIM(C8)&amp;" ")-1),",","."),FIND("/",SUBSTITUTE(LEFT(TRIM(C8),FIND(" ",TRIM(C8)&amp;" ")-1),",","."))+1,9))*12/52,IF(ISNUMBER(SEARCH("month",C8)),IFERROR(_xlfn.NUMBERVALUE(SUBSTITUTE(LEFT(TRIM(C8),FIND(" ",TRIM(C8)&amp;" ")-1),",","."),"."),LEFT(SUBSTITUTE(LEFT(TRIM(C8),FIND(" ",TRIM(C8)&amp;" ")-1),",","."),FIND("/",SUBSTITUTE(LEFT(TRIM(C8),FIND(" ",TRIM(C8)&amp;" ")-1),",","."))-1)/MID(SUBSTITUTE(LEFT(TRIM(C8),FIND(" ",TRIM(C8)&amp;" ")-1),",","."),FIND("/",SUBSTITUTE(LEFT(TRIM(C8),FIND(" ",TRIM(C8)&amp;" ")-1),",","."))+1,9)),IF(ISNUMBER(SEARCH("yea",C8)),IFERROR(_xlfn.NUMBERVALUE(SUBSTITUTE(LEFT(TRIM(C8),FIND(" ",TRIM(C8)&amp;" ")-1),",","."),"."),LEFT(SUBSTITUTE(LEFT(TRIM(C8),FIND(" ",TRIM(C8)&amp;" ")-1),",","."),FIND("/",SUBSTITUTE(LEFT(TRIM(C8),FIND(" ",TRIM(C8)&amp;" ")-1),",","."))-1)/MID(SUBSTITUTE(LEFT(TRIM(C8),FIND(" ",TRIM(C8)&amp;" ")-1),",","."),FIND("/",SUBSTITUTE(LEFT(TRIM(C8),FIND(" ",TRIM(C8)&amp;" ")-1),",","."))+1,9))*12,NA()))),0),60)*'Aturan &amp; Tarif'!$B$4,2)</f>
        <v>3406.8</v>
      </c>
      <c r="K8" s="32" t="n">
        <f aca="false">'Aturan &amp; Tarif'!$B$5</f>
        <v>2050</v>
      </c>
      <c r="L8" s="35" t="n">
        <f aca="false">I8+J8+K8</f>
        <v>23856.8</v>
      </c>
      <c r="M8" s="37" t="s">
        <v>318</v>
      </c>
    </row>
    <row r="9" customFormat="false" ht="14.25" hidden="false" customHeight="true" outlineLevel="0" collapsed="false">
      <c r="A9" s="29"/>
      <c r="B9" s="30" t="s">
        <v>321</v>
      </c>
      <c r="C9" s="31" t="s">
        <v>127</v>
      </c>
      <c r="D9" s="31" t="s">
        <v>108</v>
      </c>
      <c r="E9" s="32" t="n">
        <v>8742</v>
      </c>
      <c r="F9" s="32"/>
      <c r="G9" s="32"/>
      <c r="H9" s="33" t="n">
        <v>2</v>
      </c>
      <c r="I9" s="34" t="n">
        <f aca="false">E9*H9+N(F9)+N(G9)</f>
        <v>17484</v>
      </c>
      <c r="J9" s="32" t="n">
        <f aca="false">ROUND(IFERROR(ROUND(IF(OR(ISNUMBER(SEARCH("week",C9)),ISNUMBER(SEARCH("minggu",C9))),IFERROR(_xlfn.NUMBERVALUE(SUBSTITUTE(LEFT(TRIM(C9),FIND(" ",TRIM(C9)&amp;" ")-1),",","."),"."),LEFT(SUBSTITUTE(LEFT(TRIM(C9),FIND(" ",TRIM(C9)&amp;" ")-1),",","."),FIND("/",SUBSTITUTE(LEFT(TRIM(C9),FIND(" ",TRIM(C9)&amp;" ")-1),",","."))-1)/MID(SUBSTITUTE(LEFT(TRIM(C9),FIND(" ",TRIM(C9)&amp;" ")-1),",","."),FIND("/",SUBSTITUTE(LEFT(TRIM(C9),FIND(" ",TRIM(C9)&amp;" ")-1),",","."))+1,9))*12/52,IF(ISNUMBER(SEARCH("month",C9)),IFERROR(_xlfn.NUMBERVALUE(SUBSTITUTE(LEFT(TRIM(C9),FIND(" ",TRIM(C9)&amp;" ")-1),",","."),"."),LEFT(SUBSTITUTE(LEFT(TRIM(C9),FIND(" ",TRIM(C9)&amp;" ")-1),",","."),FIND("/",SUBSTITUTE(LEFT(TRIM(C9),FIND(" ",TRIM(C9)&amp;" ")-1),",","."))-1)/MID(SUBSTITUTE(LEFT(TRIM(C9),FIND(" ",TRIM(C9)&amp;" ")-1),",","."),FIND("/",SUBSTITUTE(LEFT(TRIM(C9),FIND(" ",TRIM(C9)&amp;" ")-1),",","."))+1,9)),IF(ISNUMBER(SEARCH("yea",C9)),IFERROR(_xlfn.NUMBERVALUE(SUBSTITUTE(LEFT(TRIM(C9),FIND(" ",TRIM(C9)&amp;" ")-1),",","."),"."),LEFT(SUBSTITUTE(LEFT(TRIM(C9),FIND(" ",TRIM(C9)&amp;" ")-1),",","."),FIND("/",SUBSTITUTE(LEFT(TRIM(C9),FIND(" ",TRIM(C9)&amp;" ")-1),",","."))-1)/MID(SUBSTITUTE(LEFT(TRIM(C9),FIND(" ",TRIM(C9)&amp;" ")-1),",","."),FIND("/",SUBSTITUTE(LEFT(TRIM(C9),FIND(" ",TRIM(C9)&amp;" ")-1),",","."))+1,9))*12,NA()))),0),36)*'Aturan &amp; Tarif'!$B$4,2)</f>
        <v>2044.08</v>
      </c>
      <c r="K9" s="32" t="n">
        <f aca="false">'Aturan &amp; Tarif'!$B$5</f>
        <v>2050</v>
      </c>
      <c r="L9" s="35" t="n">
        <f aca="false">I9+J9+K9</f>
        <v>21578.08</v>
      </c>
      <c r="M9" s="37" t="s">
        <v>322</v>
      </c>
    </row>
    <row r="10" customFormat="false" ht="37.5" hidden="false" customHeight="true" outlineLevel="0" collapsed="false">
      <c r="A10" s="29"/>
      <c r="B10" s="30" t="s">
        <v>323</v>
      </c>
      <c r="C10" s="31" t="s">
        <v>245</v>
      </c>
      <c r="D10" s="31" t="s">
        <v>108</v>
      </c>
      <c r="E10" s="32" t="n">
        <v>8742</v>
      </c>
      <c r="F10" s="32"/>
      <c r="G10" s="32"/>
      <c r="H10" s="33" t="n">
        <v>2</v>
      </c>
      <c r="I10" s="34" t="n">
        <f aca="false">E10*H10+N(F10)+N(G10)</f>
        <v>17484</v>
      </c>
      <c r="J10" s="32" t="n">
        <f aca="false">ROUND(IFERROR(ROUND(IF(OR(ISNUMBER(SEARCH("week",C10)),ISNUMBER(SEARCH("minggu",C10))),IFERROR(_xlfn.NUMBERVALUE(SUBSTITUTE(LEFT(TRIM(C10),FIND(" ",TRIM(C10)&amp;" ")-1),",","."),"."),LEFT(SUBSTITUTE(LEFT(TRIM(C10),FIND(" ",TRIM(C10)&amp;" ")-1),",","."),FIND("/",SUBSTITUTE(LEFT(TRIM(C10),FIND(" ",TRIM(C10)&amp;" ")-1),",","."))-1)/MID(SUBSTITUTE(LEFT(TRIM(C10),FIND(" ",TRIM(C10)&amp;" ")-1),",","."),FIND("/",SUBSTITUTE(LEFT(TRIM(C10),FIND(" ",TRIM(C10)&amp;" ")-1),",","."))+1,9))*12/52,IF(ISNUMBER(SEARCH("month",C10)),IFERROR(_xlfn.NUMBERVALUE(SUBSTITUTE(LEFT(TRIM(C10),FIND(" ",TRIM(C10)&amp;" ")-1),",","."),"."),LEFT(SUBSTITUTE(LEFT(TRIM(C10),FIND(" ",TRIM(C10)&amp;" ")-1),",","."),FIND("/",SUBSTITUTE(LEFT(TRIM(C10),FIND(" ",TRIM(C10)&amp;" ")-1),",","."))-1)/MID(SUBSTITUTE(LEFT(TRIM(C10),FIND(" ",TRIM(C10)&amp;" ")-1),",","."),FIND("/",SUBSTITUTE(LEFT(TRIM(C10),FIND(" ",TRIM(C10)&amp;" ")-1),",","."))+1,9)),IF(ISNUMBER(SEARCH("yea",C10)),IFERROR(_xlfn.NUMBERVALUE(SUBSTITUTE(LEFT(TRIM(C10),FIND(" ",TRIM(C10)&amp;" ")-1),",","."),"."),LEFT(SUBSTITUTE(LEFT(TRIM(C10),FIND(" ",TRIM(C10)&amp;" ")-1),",","."),FIND("/",SUBSTITUTE(LEFT(TRIM(C10),FIND(" ",TRIM(C10)&amp;" ")-1),",","."))-1)/MID(SUBSTITUTE(LEFT(TRIM(C10),FIND(" ",TRIM(C10)&amp;" ")-1),",","."),FIND("/",SUBSTITUTE(LEFT(TRIM(C10),FIND(" ",TRIM(C10)&amp;" ")-1),",","."))+1,9))*12,NA()))),0),60)*'Aturan &amp; Tarif'!$B$4,2)</f>
        <v>3406.8</v>
      </c>
      <c r="K10" s="32" t="n">
        <f aca="false">'Aturan &amp; Tarif'!$B$5</f>
        <v>2050</v>
      </c>
      <c r="L10" s="35" t="n">
        <f aca="false">I10+J10+K10</f>
        <v>22940.8</v>
      </c>
      <c r="M10" s="36" t="s">
        <v>324</v>
      </c>
    </row>
    <row r="11" customFormat="false" ht="14.25" hidden="false" customHeight="true" outlineLevel="0" collapsed="false">
      <c r="A11" s="29"/>
      <c r="B11" s="30" t="s">
        <v>325</v>
      </c>
      <c r="C11" s="31" t="s">
        <v>127</v>
      </c>
      <c r="D11" s="31" t="s">
        <v>108</v>
      </c>
      <c r="E11" s="32" t="n">
        <v>8742</v>
      </c>
      <c r="F11" s="32"/>
      <c r="G11" s="32"/>
      <c r="H11" s="33" t="n">
        <v>2</v>
      </c>
      <c r="I11" s="34" t="n">
        <f aca="false">E11*H11+N(F11)+N(G11)</f>
        <v>17484</v>
      </c>
      <c r="J11" s="32" t="n">
        <f aca="false">ROUND(IFERROR(ROUND(IF(OR(ISNUMBER(SEARCH("week",C11)),ISNUMBER(SEARCH("minggu",C11))),IFERROR(_xlfn.NUMBERVALUE(SUBSTITUTE(LEFT(TRIM(C11),FIND(" ",TRIM(C11)&amp;" ")-1),",","."),"."),LEFT(SUBSTITUTE(LEFT(TRIM(C11),FIND(" ",TRIM(C11)&amp;" ")-1),",","."),FIND("/",SUBSTITUTE(LEFT(TRIM(C11),FIND(" ",TRIM(C11)&amp;" ")-1),",","."))-1)/MID(SUBSTITUTE(LEFT(TRIM(C11),FIND(" ",TRIM(C11)&amp;" ")-1),",","."),FIND("/",SUBSTITUTE(LEFT(TRIM(C11),FIND(" ",TRIM(C11)&amp;" ")-1),",","."))+1,9))*12/52,IF(ISNUMBER(SEARCH("month",C11)),IFERROR(_xlfn.NUMBERVALUE(SUBSTITUTE(LEFT(TRIM(C11),FIND(" ",TRIM(C11)&amp;" ")-1),",","."),"."),LEFT(SUBSTITUTE(LEFT(TRIM(C11),FIND(" ",TRIM(C11)&amp;" ")-1),",","."),FIND("/",SUBSTITUTE(LEFT(TRIM(C11),FIND(" ",TRIM(C11)&amp;" ")-1),",","."))-1)/MID(SUBSTITUTE(LEFT(TRIM(C11),FIND(" ",TRIM(C11)&amp;" ")-1),",","."),FIND("/",SUBSTITUTE(LEFT(TRIM(C11),FIND(" ",TRIM(C11)&amp;" ")-1),",","."))+1,9)),IF(ISNUMBER(SEARCH("yea",C11)),IFERROR(_xlfn.NUMBERVALUE(SUBSTITUTE(LEFT(TRIM(C11),FIND(" ",TRIM(C11)&amp;" ")-1),",","."),"."),LEFT(SUBSTITUTE(LEFT(TRIM(C11),FIND(" ",TRIM(C11)&amp;" ")-1),",","."),FIND("/",SUBSTITUTE(LEFT(TRIM(C11),FIND(" ",TRIM(C11)&amp;" ")-1),",","."))-1)/MID(SUBSTITUTE(LEFT(TRIM(C11),FIND(" ",TRIM(C11)&amp;" ")-1),",","."),FIND("/",SUBSTITUTE(LEFT(TRIM(C11),FIND(" ",TRIM(C11)&amp;" ")-1),",","."))+1,9))*12,NA()))),0),36)*'Aturan &amp; Tarif'!$B$4,2)</f>
        <v>2044.08</v>
      </c>
      <c r="K11" s="32" t="n">
        <f aca="false">'Aturan &amp; Tarif'!$B$5</f>
        <v>2050</v>
      </c>
      <c r="L11" s="35" t="n">
        <f aca="false">I11+J11+K11</f>
        <v>21578.08</v>
      </c>
      <c r="M11" s="37" t="s">
        <v>322</v>
      </c>
    </row>
    <row r="12" customFormat="false" ht="14.25" hidden="false" customHeight="true" outlineLevel="0" collapsed="false">
      <c r="A12" s="29"/>
      <c r="B12" s="30" t="s">
        <v>326</v>
      </c>
      <c r="C12" s="31" t="s">
        <v>245</v>
      </c>
      <c r="D12" s="31" t="s">
        <v>108</v>
      </c>
      <c r="E12" s="32" t="n">
        <v>9200</v>
      </c>
      <c r="F12" s="32"/>
      <c r="G12" s="32"/>
      <c r="H12" s="33" t="n">
        <v>2</v>
      </c>
      <c r="I12" s="34" t="n">
        <f aca="false">E12*H12+N(F12)+N(G12)</f>
        <v>18400</v>
      </c>
      <c r="J12" s="32" t="n">
        <f aca="false">ROUND(IFERROR(ROUND(IF(OR(ISNUMBER(SEARCH("week",C12)),ISNUMBER(SEARCH("minggu",C12))),IFERROR(_xlfn.NUMBERVALUE(SUBSTITUTE(LEFT(TRIM(C12),FIND(" ",TRIM(C12)&amp;" ")-1),",","."),"."),LEFT(SUBSTITUTE(LEFT(TRIM(C12),FIND(" ",TRIM(C12)&amp;" ")-1),",","."),FIND("/",SUBSTITUTE(LEFT(TRIM(C12),FIND(" ",TRIM(C12)&amp;" ")-1),",","."))-1)/MID(SUBSTITUTE(LEFT(TRIM(C12),FIND(" ",TRIM(C12)&amp;" ")-1),",","."),FIND("/",SUBSTITUTE(LEFT(TRIM(C12),FIND(" ",TRIM(C12)&amp;" ")-1),",","."))+1,9))*12/52,IF(ISNUMBER(SEARCH("month",C12)),IFERROR(_xlfn.NUMBERVALUE(SUBSTITUTE(LEFT(TRIM(C12),FIND(" ",TRIM(C12)&amp;" ")-1),",","."),"."),LEFT(SUBSTITUTE(LEFT(TRIM(C12),FIND(" ",TRIM(C12)&amp;" ")-1),",","."),FIND("/",SUBSTITUTE(LEFT(TRIM(C12),FIND(" ",TRIM(C12)&amp;" ")-1),",","."))-1)/MID(SUBSTITUTE(LEFT(TRIM(C12),FIND(" ",TRIM(C12)&amp;" ")-1),",","."),FIND("/",SUBSTITUTE(LEFT(TRIM(C12),FIND(" ",TRIM(C12)&amp;" ")-1),",","."))+1,9)),IF(ISNUMBER(SEARCH("yea",C12)),IFERROR(_xlfn.NUMBERVALUE(SUBSTITUTE(LEFT(TRIM(C12),FIND(" ",TRIM(C12)&amp;" ")-1),",","."),"."),LEFT(SUBSTITUTE(LEFT(TRIM(C12),FIND(" ",TRIM(C12)&amp;" ")-1),",","."),FIND("/",SUBSTITUTE(LEFT(TRIM(C12),FIND(" ",TRIM(C12)&amp;" ")-1),",","."))-1)/MID(SUBSTITUTE(LEFT(TRIM(C12),FIND(" ",TRIM(C12)&amp;" ")-1),",","."),FIND("/",SUBSTITUTE(LEFT(TRIM(C12),FIND(" ",TRIM(C12)&amp;" ")-1),",","."))+1,9))*12,NA()))),0),60)*'Aturan &amp; Tarif'!$B$4,2)</f>
        <v>3406.8</v>
      </c>
      <c r="K12" s="32" t="n">
        <f aca="false">'Aturan &amp; Tarif'!$B$5</f>
        <v>2050</v>
      </c>
      <c r="L12" s="35" t="n">
        <f aca="false">I12+J12+K12</f>
        <v>23856.8</v>
      </c>
      <c r="M12" s="37" t="s">
        <v>318</v>
      </c>
    </row>
    <row r="13" customFormat="false" ht="60" hidden="false" customHeight="true" outlineLevel="0" collapsed="false">
      <c r="A13" s="29"/>
      <c r="B13" s="30" t="s">
        <v>327</v>
      </c>
      <c r="C13" s="31" t="s">
        <v>127</v>
      </c>
      <c r="D13" s="31" t="s">
        <v>108</v>
      </c>
      <c r="E13" s="32" t="n">
        <v>9750</v>
      </c>
      <c r="F13" s="32"/>
      <c r="G13" s="32"/>
      <c r="H13" s="33" t="n">
        <v>2</v>
      </c>
      <c r="I13" s="34" t="n">
        <f aca="false">E13*H13+N(F13)+N(G13)</f>
        <v>19500</v>
      </c>
      <c r="J13" s="32" t="n">
        <f aca="false">ROUND(IFERROR(ROUND(IF(OR(ISNUMBER(SEARCH("week",C13)),ISNUMBER(SEARCH("minggu",C13))),IFERROR(_xlfn.NUMBERVALUE(SUBSTITUTE(LEFT(TRIM(C13),FIND(" ",TRIM(C13)&amp;" ")-1),",","."),"."),LEFT(SUBSTITUTE(LEFT(TRIM(C13),FIND(" ",TRIM(C13)&amp;" ")-1),",","."),FIND("/",SUBSTITUTE(LEFT(TRIM(C13),FIND(" ",TRIM(C13)&amp;" ")-1),",","."))-1)/MID(SUBSTITUTE(LEFT(TRIM(C13),FIND(" ",TRIM(C13)&amp;" ")-1),",","."),FIND("/",SUBSTITUTE(LEFT(TRIM(C13),FIND(" ",TRIM(C13)&amp;" ")-1),",","."))+1,9))*12/52,IF(ISNUMBER(SEARCH("month",C13)),IFERROR(_xlfn.NUMBERVALUE(SUBSTITUTE(LEFT(TRIM(C13),FIND(" ",TRIM(C13)&amp;" ")-1),",","."),"."),LEFT(SUBSTITUTE(LEFT(TRIM(C13),FIND(" ",TRIM(C13)&amp;" ")-1),",","."),FIND("/",SUBSTITUTE(LEFT(TRIM(C13),FIND(" ",TRIM(C13)&amp;" ")-1),",","."))-1)/MID(SUBSTITUTE(LEFT(TRIM(C13),FIND(" ",TRIM(C13)&amp;" ")-1),",","."),FIND("/",SUBSTITUTE(LEFT(TRIM(C13),FIND(" ",TRIM(C13)&amp;" ")-1),",","."))+1,9)),IF(ISNUMBER(SEARCH("yea",C13)),IFERROR(_xlfn.NUMBERVALUE(SUBSTITUTE(LEFT(TRIM(C13),FIND(" ",TRIM(C13)&amp;" ")-1),",","."),"."),LEFT(SUBSTITUTE(LEFT(TRIM(C13),FIND(" ",TRIM(C13)&amp;" ")-1),",","."),FIND("/",SUBSTITUTE(LEFT(TRIM(C13),FIND(" ",TRIM(C13)&amp;" ")-1),",","."))-1)/MID(SUBSTITUTE(LEFT(TRIM(C13),FIND(" ",TRIM(C13)&amp;" ")-1),",","."),FIND("/",SUBSTITUTE(LEFT(TRIM(C13),FIND(" ",TRIM(C13)&amp;" ")-1),",","."))+1,9))*12,NA()))),0),36)*'Aturan &amp; Tarif'!$B$4,2)</f>
        <v>2044.08</v>
      </c>
      <c r="K13" s="32" t="n">
        <f aca="false">'Aturan &amp; Tarif'!$B$5</f>
        <v>2050</v>
      </c>
      <c r="L13" s="35" t="n">
        <f aca="false">I13+J13+K13</f>
        <v>23594.08</v>
      </c>
      <c r="M13" s="36" t="s">
        <v>328</v>
      </c>
    </row>
    <row r="14" customFormat="false" ht="25.5" hidden="false" customHeight="true" outlineLevel="0" collapsed="false">
      <c r="A14" s="29"/>
      <c r="B14" s="30" t="s">
        <v>329</v>
      </c>
      <c r="C14" s="31" t="s">
        <v>191</v>
      </c>
      <c r="D14" s="31" t="s">
        <v>108</v>
      </c>
      <c r="E14" s="32" t="n">
        <v>9750</v>
      </c>
      <c r="F14" s="32"/>
      <c r="G14" s="32"/>
      <c r="H14" s="33" t="n">
        <v>2</v>
      </c>
      <c r="I14" s="34" t="n">
        <f aca="false">E14*H14+N(F14)+N(G14)</f>
        <v>19500</v>
      </c>
      <c r="J14" s="32" t="n">
        <f aca="false">ROUND(IFERROR(ROUND(IF(OR(ISNUMBER(SEARCH("week",C14)),ISNUMBER(SEARCH("minggu",C14))),IFERROR(_xlfn.NUMBERVALUE(SUBSTITUTE(LEFT(TRIM(C14),FIND(" ",TRIM(C14)&amp;" ")-1),",","."),"."),LEFT(SUBSTITUTE(LEFT(TRIM(C14),FIND(" ",TRIM(C14)&amp;" ")-1),",","."),FIND("/",SUBSTITUTE(LEFT(TRIM(C14),FIND(" ",TRIM(C14)&amp;" ")-1),",","."))-1)/MID(SUBSTITUTE(LEFT(TRIM(C14),FIND(" ",TRIM(C14)&amp;" ")-1),",","."),FIND("/",SUBSTITUTE(LEFT(TRIM(C14),FIND(" ",TRIM(C14)&amp;" ")-1),",","."))+1,9))*12/52,IF(ISNUMBER(SEARCH("month",C14)),IFERROR(_xlfn.NUMBERVALUE(SUBSTITUTE(LEFT(TRIM(C14),FIND(" ",TRIM(C14)&amp;" ")-1),",","."),"."),LEFT(SUBSTITUTE(LEFT(TRIM(C14),FIND(" ",TRIM(C14)&amp;" ")-1),",","."),FIND("/",SUBSTITUTE(LEFT(TRIM(C14),FIND(" ",TRIM(C14)&amp;" ")-1),",","."))-1)/MID(SUBSTITUTE(LEFT(TRIM(C14),FIND(" ",TRIM(C14)&amp;" ")-1),",","."),FIND("/",SUBSTITUTE(LEFT(TRIM(C14),FIND(" ",TRIM(C14)&amp;" ")-1),",","."))+1,9)),IF(ISNUMBER(SEARCH("yea",C14)),IFERROR(_xlfn.NUMBERVALUE(SUBSTITUTE(LEFT(TRIM(C14),FIND(" ",TRIM(C14)&amp;" ")-1),",","."),"."),LEFT(SUBSTITUTE(LEFT(TRIM(C14),FIND(" ",TRIM(C14)&amp;" ")-1),",","."),FIND("/",SUBSTITUTE(LEFT(TRIM(C14),FIND(" ",TRIM(C14)&amp;" ")-1),",","."))-1)/MID(SUBSTITUTE(LEFT(TRIM(C14),FIND(" ",TRIM(C14)&amp;" ")-1),",","."),FIND("/",SUBSTITUTE(LEFT(TRIM(C14),FIND(" ",TRIM(C14)&amp;" ")-1),",","."))+1,9))*12,NA()))),0),48)*'Aturan &amp; Tarif'!$B$4,2)</f>
        <v>2725.44</v>
      </c>
      <c r="K14" s="32" t="n">
        <f aca="false">'Aturan &amp; Tarif'!$B$5</f>
        <v>2050</v>
      </c>
      <c r="L14" s="35" t="n">
        <f aca="false">I14+J14+K14</f>
        <v>24275.44</v>
      </c>
      <c r="M14" s="37" t="s">
        <v>318</v>
      </c>
    </row>
    <row r="15" customFormat="false" ht="25.5" hidden="false" customHeight="true" outlineLevel="0" collapsed="false">
      <c r="A15" s="29"/>
      <c r="B15" s="30" t="s">
        <v>330</v>
      </c>
      <c r="C15" s="31" t="s">
        <v>127</v>
      </c>
      <c r="D15" s="31" t="s">
        <v>108</v>
      </c>
      <c r="E15" s="32" t="n">
        <v>9200</v>
      </c>
      <c r="F15" s="32"/>
      <c r="G15" s="32"/>
      <c r="H15" s="33" t="n">
        <v>2</v>
      </c>
      <c r="I15" s="34" t="n">
        <f aca="false">E15*H15+N(F15)+N(G15)</f>
        <v>18400</v>
      </c>
      <c r="J15" s="32" t="n">
        <f aca="false">ROUND(IFERROR(ROUND(IF(OR(ISNUMBER(SEARCH("week",C15)),ISNUMBER(SEARCH("minggu",C15))),IFERROR(_xlfn.NUMBERVALUE(SUBSTITUTE(LEFT(TRIM(C15),FIND(" ",TRIM(C15)&amp;" ")-1),",","."),"."),LEFT(SUBSTITUTE(LEFT(TRIM(C15),FIND(" ",TRIM(C15)&amp;" ")-1),",","."),FIND("/",SUBSTITUTE(LEFT(TRIM(C15),FIND(" ",TRIM(C15)&amp;" ")-1),",","."))-1)/MID(SUBSTITUTE(LEFT(TRIM(C15),FIND(" ",TRIM(C15)&amp;" ")-1),",","."),FIND("/",SUBSTITUTE(LEFT(TRIM(C15),FIND(" ",TRIM(C15)&amp;" ")-1),",","."))+1,9))*12/52,IF(ISNUMBER(SEARCH("month",C15)),IFERROR(_xlfn.NUMBERVALUE(SUBSTITUTE(LEFT(TRIM(C15),FIND(" ",TRIM(C15)&amp;" ")-1),",","."),"."),LEFT(SUBSTITUTE(LEFT(TRIM(C15),FIND(" ",TRIM(C15)&amp;" ")-1),",","."),FIND("/",SUBSTITUTE(LEFT(TRIM(C15),FIND(" ",TRIM(C15)&amp;" ")-1),",","."))-1)/MID(SUBSTITUTE(LEFT(TRIM(C15),FIND(" ",TRIM(C15)&amp;" ")-1),",","."),FIND("/",SUBSTITUTE(LEFT(TRIM(C15),FIND(" ",TRIM(C15)&amp;" ")-1),",","."))+1,9)),IF(ISNUMBER(SEARCH("yea",C15)),IFERROR(_xlfn.NUMBERVALUE(SUBSTITUTE(LEFT(TRIM(C15),FIND(" ",TRIM(C15)&amp;" ")-1),",","."),"."),LEFT(SUBSTITUTE(LEFT(TRIM(C15),FIND(" ",TRIM(C15)&amp;" ")-1),",","."),FIND("/",SUBSTITUTE(LEFT(TRIM(C15),FIND(" ",TRIM(C15)&amp;" ")-1),",","."))-1)/MID(SUBSTITUTE(LEFT(TRIM(C15),FIND(" ",TRIM(C15)&amp;" ")-1),",","."),FIND("/",SUBSTITUTE(LEFT(TRIM(C15),FIND(" ",TRIM(C15)&amp;" ")-1),",","."))+1,9))*12,NA()))),0),36)*'Aturan &amp; Tarif'!$B$4,2)</f>
        <v>2044.08</v>
      </c>
      <c r="K15" s="32" t="n">
        <f aca="false">'Aturan &amp; Tarif'!$B$5</f>
        <v>2050</v>
      </c>
      <c r="L15" s="35" t="n">
        <f aca="false">I15+J15+K15</f>
        <v>22494.08</v>
      </c>
      <c r="M15" s="37" t="s">
        <v>318</v>
      </c>
    </row>
    <row r="16" customFormat="false" ht="25.5" hidden="false" customHeight="true" outlineLevel="0" collapsed="false">
      <c r="A16" s="29"/>
      <c r="B16" s="30" t="s">
        <v>331</v>
      </c>
      <c r="C16" s="31" t="s">
        <v>245</v>
      </c>
      <c r="D16" s="31" t="s">
        <v>108</v>
      </c>
      <c r="E16" s="32" t="n">
        <v>9200</v>
      </c>
      <c r="F16" s="32"/>
      <c r="G16" s="32"/>
      <c r="H16" s="33" t="n">
        <v>2</v>
      </c>
      <c r="I16" s="34" t="n">
        <f aca="false">E16*H16+N(F16)+N(G16)</f>
        <v>18400</v>
      </c>
      <c r="J16" s="32" t="n">
        <f aca="false">ROUND(IFERROR(ROUND(IF(OR(ISNUMBER(SEARCH("week",C16)),ISNUMBER(SEARCH("minggu",C16))),IFERROR(_xlfn.NUMBERVALUE(SUBSTITUTE(LEFT(TRIM(C16),FIND(" ",TRIM(C16)&amp;" ")-1),",","."),"."),LEFT(SUBSTITUTE(LEFT(TRIM(C16),FIND(" ",TRIM(C16)&amp;" ")-1),",","."),FIND("/",SUBSTITUTE(LEFT(TRIM(C16),FIND(" ",TRIM(C16)&amp;" ")-1),",","."))-1)/MID(SUBSTITUTE(LEFT(TRIM(C16),FIND(" ",TRIM(C16)&amp;" ")-1),",","."),FIND("/",SUBSTITUTE(LEFT(TRIM(C16),FIND(" ",TRIM(C16)&amp;" ")-1),",","."))+1,9))*12/52,IF(ISNUMBER(SEARCH("month",C16)),IFERROR(_xlfn.NUMBERVALUE(SUBSTITUTE(LEFT(TRIM(C16),FIND(" ",TRIM(C16)&amp;" ")-1),",","."),"."),LEFT(SUBSTITUTE(LEFT(TRIM(C16),FIND(" ",TRIM(C16)&amp;" ")-1),",","."),FIND("/",SUBSTITUTE(LEFT(TRIM(C16),FIND(" ",TRIM(C16)&amp;" ")-1),",","."))-1)/MID(SUBSTITUTE(LEFT(TRIM(C16),FIND(" ",TRIM(C16)&amp;" ")-1),",","."),FIND("/",SUBSTITUTE(LEFT(TRIM(C16),FIND(" ",TRIM(C16)&amp;" ")-1),",","."))+1,9)),IF(ISNUMBER(SEARCH("yea",C16)),IFERROR(_xlfn.NUMBERVALUE(SUBSTITUTE(LEFT(TRIM(C16),FIND(" ",TRIM(C16)&amp;" ")-1),",","."),"."),LEFT(SUBSTITUTE(LEFT(TRIM(C16),FIND(" ",TRIM(C16)&amp;" ")-1),",","."),FIND("/",SUBSTITUTE(LEFT(TRIM(C16),FIND(" ",TRIM(C16)&amp;" ")-1),",","."))-1)/MID(SUBSTITUTE(LEFT(TRIM(C16),FIND(" ",TRIM(C16)&amp;" ")-1),",","."),FIND("/",SUBSTITUTE(LEFT(TRIM(C16),FIND(" ",TRIM(C16)&amp;" ")-1),",","."))+1,9))*12,NA()))),0),60)*'Aturan &amp; Tarif'!$B$4,2)</f>
        <v>3406.8</v>
      </c>
      <c r="K16" s="32" t="n">
        <f aca="false">'Aturan &amp; Tarif'!$B$5</f>
        <v>2050</v>
      </c>
      <c r="L16" s="35" t="n">
        <f aca="false">I16+J16+K16</f>
        <v>23856.8</v>
      </c>
      <c r="M16" s="37" t="s">
        <v>318</v>
      </c>
    </row>
    <row r="17" customFormat="false" ht="25.5" hidden="false" customHeight="true" outlineLevel="0" collapsed="false">
      <c r="A17" s="29"/>
      <c r="B17" s="30" t="s">
        <v>332</v>
      </c>
      <c r="C17" s="31" t="s">
        <v>245</v>
      </c>
      <c r="D17" s="31" t="s">
        <v>108</v>
      </c>
      <c r="E17" s="32" t="n">
        <v>9200</v>
      </c>
      <c r="F17" s="32"/>
      <c r="G17" s="32"/>
      <c r="H17" s="33" t="n">
        <v>2</v>
      </c>
      <c r="I17" s="34" t="n">
        <f aca="false">E17*H17+N(F17)+N(G17)</f>
        <v>18400</v>
      </c>
      <c r="J17" s="32" t="n">
        <f aca="false">ROUND(IFERROR(ROUND(IF(OR(ISNUMBER(SEARCH("week",C17)),ISNUMBER(SEARCH("minggu",C17))),IFERROR(_xlfn.NUMBERVALUE(SUBSTITUTE(LEFT(TRIM(C17),FIND(" ",TRIM(C17)&amp;" ")-1),",","."),"."),LEFT(SUBSTITUTE(LEFT(TRIM(C17),FIND(" ",TRIM(C17)&amp;" ")-1),",","."),FIND("/",SUBSTITUTE(LEFT(TRIM(C17),FIND(" ",TRIM(C17)&amp;" ")-1),",","."))-1)/MID(SUBSTITUTE(LEFT(TRIM(C17),FIND(" ",TRIM(C17)&amp;" ")-1),",","."),FIND("/",SUBSTITUTE(LEFT(TRIM(C17),FIND(" ",TRIM(C17)&amp;" ")-1),",","."))+1,9))*12/52,IF(ISNUMBER(SEARCH("month",C17)),IFERROR(_xlfn.NUMBERVALUE(SUBSTITUTE(LEFT(TRIM(C17),FIND(" ",TRIM(C17)&amp;" ")-1),",","."),"."),LEFT(SUBSTITUTE(LEFT(TRIM(C17),FIND(" ",TRIM(C17)&amp;" ")-1),",","."),FIND("/",SUBSTITUTE(LEFT(TRIM(C17),FIND(" ",TRIM(C17)&amp;" ")-1),",","."))-1)/MID(SUBSTITUTE(LEFT(TRIM(C17),FIND(" ",TRIM(C17)&amp;" ")-1),",","."),FIND("/",SUBSTITUTE(LEFT(TRIM(C17),FIND(" ",TRIM(C17)&amp;" ")-1),",","."))+1,9)),IF(ISNUMBER(SEARCH("yea",C17)),IFERROR(_xlfn.NUMBERVALUE(SUBSTITUTE(LEFT(TRIM(C17),FIND(" ",TRIM(C17)&amp;" ")-1),",","."),"."),LEFT(SUBSTITUTE(LEFT(TRIM(C17),FIND(" ",TRIM(C17)&amp;" ")-1),",","."),FIND("/",SUBSTITUTE(LEFT(TRIM(C17),FIND(" ",TRIM(C17)&amp;" ")-1),",","."))-1)/MID(SUBSTITUTE(LEFT(TRIM(C17),FIND(" ",TRIM(C17)&amp;" ")-1),",","."),FIND("/",SUBSTITUTE(LEFT(TRIM(C17),FIND(" ",TRIM(C17)&amp;" ")-1),",","."))+1,9))*12,NA()))),0),60)*'Aturan &amp; Tarif'!$B$4,2)</f>
        <v>3406.8</v>
      </c>
      <c r="K17" s="32" t="n">
        <f aca="false">'Aturan &amp; Tarif'!$B$5</f>
        <v>2050</v>
      </c>
      <c r="L17" s="35" t="n">
        <f aca="false">I17+J17+K17</f>
        <v>23856.8</v>
      </c>
      <c r="M17" s="37" t="s">
        <v>318</v>
      </c>
    </row>
    <row r="18" customFormat="false" ht="25.5" hidden="false" customHeight="true" outlineLevel="0" collapsed="false">
      <c r="A18" s="29"/>
      <c r="B18" s="30" t="s">
        <v>333</v>
      </c>
      <c r="C18" s="31" t="s">
        <v>191</v>
      </c>
      <c r="D18" s="31" t="s">
        <v>108</v>
      </c>
      <c r="E18" s="32" t="n">
        <v>9200</v>
      </c>
      <c r="F18" s="32"/>
      <c r="G18" s="32"/>
      <c r="H18" s="33" t="n">
        <v>2</v>
      </c>
      <c r="I18" s="34" t="n">
        <f aca="false">E18*H18+N(F18)+N(G18)</f>
        <v>18400</v>
      </c>
      <c r="J18" s="32" t="n">
        <f aca="false">ROUND(IFERROR(ROUND(IF(OR(ISNUMBER(SEARCH("week",C18)),ISNUMBER(SEARCH("minggu",C18))),IFERROR(_xlfn.NUMBERVALUE(SUBSTITUTE(LEFT(TRIM(C18),FIND(" ",TRIM(C18)&amp;" ")-1),",","."),"."),LEFT(SUBSTITUTE(LEFT(TRIM(C18),FIND(" ",TRIM(C18)&amp;" ")-1),",","."),FIND("/",SUBSTITUTE(LEFT(TRIM(C18),FIND(" ",TRIM(C18)&amp;" ")-1),",","."))-1)/MID(SUBSTITUTE(LEFT(TRIM(C18),FIND(" ",TRIM(C18)&amp;" ")-1),",","."),FIND("/",SUBSTITUTE(LEFT(TRIM(C18),FIND(" ",TRIM(C18)&amp;" ")-1),",","."))+1,9))*12/52,IF(ISNUMBER(SEARCH("month",C18)),IFERROR(_xlfn.NUMBERVALUE(SUBSTITUTE(LEFT(TRIM(C18),FIND(" ",TRIM(C18)&amp;" ")-1),",","."),"."),LEFT(SUBSTITUTE(LEFT(TRIM(C18),FIND(" ",TRIM(C18)&amp;" ")-1),",","."),FIND("/",SUBSTITUTE(LEFT(TRIM(C18),FIND(" ",TRIM(C18)&amp;" ")-1),",","."))-1)/MID(SUBSTITUTE(LEFT(TRIM(C18),FIND(" ",TRIM(C18)&amp;" ")-1),",","."),FIND("/",SUBSTITUTE(LEFT(TRIM(C18),FIND(" ",TRIM(C18)&amp;" ")-1),",","."))+1,9)),IF(ISNUMBER(SEARCH("yea",C18)),IFERROR(_xlfn.NUMBERVALUE(SUBSTITUTE(LEFT(TRIM(C18),FIND(" ",TRIM(C18)&amp;" ")-1),",","."),"."),LEFT(SUBSTITUTE(LEFT(TRIM(C18),FIND(" ",TRIM(C18)&amp;" ")-1),",","."),FIND("/",SUBSTITUTE(LEFT(TRIM(C18),FIND(" ",TRIM(C18)&amp;" ")-1),",","."))-1)/MID(SUBSTITUTE(LEFT(TRIM(C18),FIND(" ",TRIM(C18)&amp;" ")-1),",","."),FIND("/",SUBSTITUTE(LEFT(TRIM(C18),FIND(" ",TRIM(C18)&amp;" ")-1),",","."))+1,9))*12,NA()))),0),48)*'Aturan &amp; Tarif'!$B$4,2)</f>
        <v>2725.44</v>
      </c>
      <c r="K18" s="32" t="n">
        <f aca="false">'Aturan &amp; Tarif'!$B$5</f>
        <v>2050</v>
      </c>
      <c r="L18" s="35" t="n">
        <f aca="false">I18+J18+K18</f>
        <v>23175.44</v>
      </c>
      <c r="M18" s="37" t="s">
        <v>318</v>
      </c>
    </row>
    <row r="19" customFormat="false" ht="25.5" hidden="false" customHeight="true" outlineLevel="0" collapsed="false">
      <c r="A19" s="29"/>
      <c r="B19" s="30" t="s">
        <v>334</v>
      </c>
      <c r="C19" s="31" t="s">
        <v>245</v>
      </c>
      <c r="D19" s="31" t="s">
        <v>108</v>
      </c>
      <c r="E19" s="32" t="n">
        <v>9200</v>
      </c>
      <c r="F19" s="32"/>
      <c r="G19" s="32"/>
      <c r="H19" s="33" t="n">
        <v>2</v>
      </c>
      <c r="I19" s="34" t="n">
        <f aca="false">E19*H19+N(F19)+N(G19)</f>
        <v>18400</v>
      </c>
      <c r="J19" s="32" t="n">
        <f aca="false">ROUND(IFERROR(ROUND(IF(OR(ISNUMBER(SEARCH("week",C19)),ISNUMBER(SEARCH("minggu",C19))),IFERROR(_xlfn.NUMBERVALUE(SUBSTITUTE(LEFT(TRIM(C19),FIND(" ",TRIM(C19)&amp;" ")-1),",","."),"."),LEFT(SUBSTITUTE(LEFT(TRIM(C19),FIND(" ",TRIM(C19)&amp;" ")-1),",","."),FIND("/",SUBSTITUTE(LEFT(TRIM(C19),FIND(" ",TRIM(C19)&amp;" ")-1),",","."))-1)/MID(SUBSTITUTE(LEFT(TRIM(C19),FIND(" ",TRIM(C19)&amp;" ")-1),",","."),FIND("/",SUBSTITUTE(LEFT(TRIM(C19),FIND(" ",TRIM(C19)&amp;" ")-1),",","."))+1,9))*12/52,IF(ISNUMBER(SEARCH("month",C19)),IFERROR(_xlfn.NUMBERVALUE(SUBSTITUTE(LEFT(TRIM(C19),FIND(" ",TRIM(C19)&amp;" ")-1),",","."),"."),LEFT(SUBSTITUTE(LEFT(TRIM(C19),FIND(" ",TRIM(C19)&amp;" ")-1),",","."),FIND("/",SUBSTITUTE(LEFT(TRIM(C19),FIND(" ",TRIM(C19)&amp;" ")-1),",","."))-1)/MID(SUBSTITUTE(LEFT(TRIM(C19),FIND(" ",TRIM(C19)&amp;" ")-1),",","."),FIND("/",SUBSTITUTE(LEFT(TRIM(C19),FIND(" ",TRIM(C19)&amp;" ")-1),",","."))+1,9)),IF(ISNUMBER(SEARCH("yea",C19)),IFERROR(_xlfn.NUMBERVALUE(SUBSTITUTE(LEFT(TRIM(C19),FIND(" ",TRIM(C19)&amp;" ")-1),",","."),"."),LEFT(SUBSTITUTE(LEFT(TRIM(C19),FIND(" ",TRIM(C19)&amp;" ")-1),",","."),FIND("/",SUBSTITUTE(LEFT(TRIM(C19),FIND(" ",TRIM(C19)&amp;" ")-1),",","."))-1)/MID(SUBSTITUTE(LEFT(TRIM(C19),FIND(" ",TRIM(C19)&amp;" ")-1),",","."),FIND("/",SUBSTITUTE(LEFT(TRIM(C19),FIND(" ",TRIM(C19)&amp;" ")-1),",","."))+1,9))*12,NA()))),0),60)*'Aturan &amp; Tarif'!$B$4,2)</f>
        <v>3406.8</v>
      </c>
      <c r="K19" s="32" t="n">
        <f aca="false">'Aturan &amp; Tarif'!$B$5</f>
        <v>2050</v>
      </c>
      <c r="L19" s="35" t="n">
        <f aca="false">I19+J19+K19</f>
        <v>23856.8</v>
      </c>
      <c r="M19" s="37" t="s">
        <v>318</v>
      </c>
    </row>
    <row r="20" customFormat="false" ht="14.25" hidden="false" customHeight="true" outlineLevel="0" collapsed="false">
      <c r="A20" s="29"/>
      <c r="B20" s="30" t="s">
        <v>335</v>
      </c>
      <c r="C20" s="31" t="s">
        <v>127</v>
      </c>
      <c r="D20" s="31" t="s">
        <v>108</v>
      </c>
      <c r="E20" s="32" t="n">
        <v>8742</v>
      </c>
      <c r="F20" s="32"/>
      <c r="G20" s="32"/>
      <c r="H20" s="33" t="n">
        <v>2</v>
      </c>
      <c r="I20" s="34" t="n">
        <f aca="false">E20*H20+N(F20)+N(G20)</f>
        <v>17484</v>
      </c>
      <c r="J20" s="32" t="n">
        <f aca="false">ROUND(IFERROR(ROUND(IF(OR(ISNUMBER(SEARCH("week",C20)),ISNUMBER(SEARCH("minggu",C20))),IFERROR(_xlfn.NUMBERVALUE(SUBSTITUTE(LEFT(TRIM(C20),FIND(" ",TRIM(C20)&amp;" ")-1),",","."),"."),LEFT(SUBSTITUTE(LEFT(TRIM(C20),FIND(" ",TRIM(C20)&amp;" ")-1),",","."),FIND("/",SUBSTITUTE(LEFT(TRIM(C20),FIND(" ",TRIM(C20)&amp;" ")-1),",","."))-1)/MID(SUBSTITUTE(LEFT(TRIM(C20),FIND(" ",TRIM(C20)&amp;" ")-1),",","."),FIND("/",SUBSTITUTE(LEFT(TRIM(C20),FIND(" ",TRIM(C20)&amp;" ")-1),",","."))+1,9))*12/52,IF(ISNUMBER(SEARCH("month",C20)),IFERROR(_xlfn.NUMBERVALUE(SUBSTITUTE(LEFT(TRIM(C20),FIND(" ",TRIM(C20)&amp;" ")-1),",","."),"."),LEFT(SUBSTITUTE(LEFT(TRIM(C20),FIND(" ",TRIM(C20)&amp;" ")-1),",","."),FIND("/",SUBSTITUTE(LEFT(TRIM(C20),FIND(" ",TRIM(C20)&amp;" ")-1),",","."))-1)/MID(SUBSTITUTE(LEFT(TRIM(C20),FIND(" ",TRIM(C20)&amp;" ")-1),",","."),FIND("/",SUBSTITUTE(LEFT(TRIM(C20),FIND(" ",TRIM(C20)&amp;" ")-1),",","."))+1,9)),IF(ISNUMBER(SEARCH("yea",C20)),IFERROR(_xlfn.NUMBERVALUE(SUBSTITUTE(LEFT(TRIM(C20),FIND(" ",TRIM(C20)&amp;" ")-1),",","."),"."),LEFT(SUBSTITUTE(LEFT(TRIM(C20),FIND(" ",TRIM(C20)&amp;" ")-1),",","."),FIND("/",SUBSTITUTE(LEFT(TRIM(C20),FIND(" ",TRIM(C20)&amp;" ")-1),",","."))-1)/MID(SUBSTITUTE(LEFT(TRIM(C20),FIND(" ",TRIM(C20)&amp;" ")-1),",","."),FIND("/",SUBSTITUTE(LEFT(TRIM(C20),FIND(" ",TRIM(C20)&amp;" ")-1),",","."))+1,9))*12,NA()))),0),36)*'Aturan &amp; Tarif'!$B$4,2)</f>
        <v>2044.08</v>
      </c>
      <c r="K20" s="32" t="n">
        <f aca="false">'Aturan &amp; Tarif'!$B$5</f>
        <v>2050</v>
      </c>
      <c r="L20" s="35" t="n">
        <f aca="false">I20+J20+K20</f>
        <v>21578.08</v>
      </c>
      <c r="M20" s="37" t="s">
        <v>318</v>
      </c>
    </row>
    <row r="21" customFormat="false" ht="25.5" hidden="false" customHeight="true" outlineLevel="0" collapsed="false">
      <c r="A21" s="29"/>
      <c r="B21" s="30" t="s">
        <v>336</v>
      </c>
      <c r="C21" s="31" t="s">
        <v>191</v>
      </c>
      <c r="D21" s="31" t="s">
        <v>108</v>
      </c>
      <c r="E21" s="32" t="n">
        <v>8742</v>
      </c>
      <c r="F21" s="32"/>
      <c r="G21" s="32"/>
      <c r="H21" s="33" t="n">
        <v>2</v>
      </c>
      <c r="I21" s="34" t="n">
        <f aca="false">E21*H21+N(F21)+N(G21)</f>
        <v>17484</v>
      </c>
      <c r="J21" s="32" t="n">
        <f aca="false">ROUND(IFERROR(ROUND(IF(OR(ISNUMBER(SEARCH("week",C21)),ISNUMBER(SEARCH("minggu",C21))),IFERROR(_xlfn.NUMBERVALUE(SUBSTITUTE(LEFT(TRIM(C21),FIND(" ",TRIM(C21)&amp;" ")-1),",","."),"."),LEFT(SUBSTITUTE(LEFT(TRIM(C21),FIND(" ",TRIM(C21)&amp;" ")-1),",","."),FIND("/",SUBSTITUTE(LEFT(TRIM(C21),FIND(" ",TRIM(C21)&amp;" ")-1),",","."))-1)/MID(SUBSTITUTE(LEFT(TRIM(C21),FIND(" ",TRIM(C21)&amp;" ")-1),",","."),FIND("/",SUBSTITUTE(LEFT(TRIM(C21),FIND(" ",TRIM(C21)&amp;" ")-1),",","."))+1,9))*12/52,IF(ISNUMBER(SEARCH("month",C21)),IFERROR(_xlfn.NUMBERVALUE(SUBSTITUTE(LEFT(TRIM(C21),FIND(" ",TRIM(C21)&amp;" ")-1),",","."),"."),LEFT(SUBSTITUTE(LEFT(TRIM(C21),FIND(" ",TRIM(C21)&amp;" ")-1),",","."),FIND("/",SUBSTITUTE(LEFT(TRIM(C21),FIND(" ",TRIM(C21)&amp;" ")-1),",","."))-1)/MID(SUBSTITUTE(LEFT(TRIM(C21),FIND(" ",TRIM(C21)&amp;" ")-1),",","."),FIND("/",SUBSTITUTE(LEFT(TRIM(C21),FIND(" ",TRIM(C21)&amp;" ")-1),",","."))+1,9)),IF(ISNUMBER(SEARCH("yea",C21)),IFERROR(_xlfn.NUMBERVALUE(SUBSTITUTE(LEFT(TRIM(C21),FIND(" ",TRIM(C21)&amp;" ")-1),",","."),"."),LEFT(SUBSTITUTE(LEFT(TRIM(C21),FIND(" ",TRIM(C21)&amp;" ")-1),",","."),FIND("/",SUBSTITUTE(LEFT(TRIM(C21),FIND(" ",TRIM(C21)&amp;" ")-1),",","."))-1)/MID(SUBSTITUTE(LEFT(TRIM(C21),FIND(" ",TRIM(C21)&amp;" ")-1),",","."),FIND("/",SUBSTITUTE(LEFT(TRIM(C21),FIND(" ",TRIM(C21)&amp;" ")-1),",","."))+1,9))*12,NA()))),0),48)*'Aturan &amp; Tarif'!$B$4,2)</f>
        <v>2725.44</v>
      </c>
      <c r="K21" s="32" t="n">
        <f aca="false">'Aturan &amp; Tarif'!$B$5</f>
        <v>2050</v>
      </c>
      <c r="L21" s="35" t="n">
        <f aca="false">I21+J21+K21</f>
        <v>22259.44</v>
      </c>
      <c r="M21" s="37" t="s">
        <v>318</v>
      </c>
    </row>
    <row r="22" customFormat="false" ht="14.25" hidden="false" customHeight="true" outlineLevel="0" collapsed="false">
      <c r="A22" s="29"/>
      <c r="B22" s="30" t="s">
        <v>156</v>
      </c>
      <c r="C22" s="31" t="s">
        <v>191</v>
      </c>
      <c r="D22" s="31" t="s">
        <v>108</v>
      </c>
      <c r="E22" s="32" t="n">
        <v>9200</v>
      </c>
      <c r="F22" s="32"/>
      <c r="G22" s="32"/>
      <c r="H22" s="33" t="n">
        <v>2</v>
      </c>
      <c r="I22" s="34" t="n">
        <f aca="false">E22*H22+N(F22)+N(G22)</f>
        <v>18400</v>
      </c>
      <c r="J22" s="32" t="n">
        <f aca="false">ROUND(IFERROR(ROUND(IF(OR(ISNUMBER(SEARCH("week",C22)),ISNUMBER(SEARCH("minggu",C22))),IFERROR(_xlfn.NUMBERVALUE(SUBSTITUTE(LEFT(TRIM(C22),FIND(" ",TRIM(C22)&amp;" ")-1),",","."),"."),LEFT(SUBSTITUTE(LEFT(TRIM(C22),FIND(" ",TRIM(C22)&amp;" ")-1),",","."),FIND("/",SUBSTITUTE(LEFT(TRIM(C22),FIND(" ",TRIM(C22)&amp;" ")-1),",","."))-1)/MID(SUBSTITUTE(LEFT(TRIM(C22),FIND(" ",TRIM(C22)&amp;" ")-1),",","."),FIND("/",SUBSTITUTE(LEFT(TRIM(C22),FIND(" ",TRIM(C22)&amp;" ")-1),",","."))+1,9))*12/52,IF(ISNUMBER(SEARCH("month",C22)),IFERROR(_xlfn.NUMBERVALUE(SUBSTITUTE(LEFT(TRIM(C22),FIND(" ",TRIM(C22)&amp;" ")-1),",","."),"."),LEFT(SUBSTITUTE(LEFT(TRIM(C22),FIND(" ",TRIM(C22)&amp;" ")-1),",","."),FIND("/",SUBSTITUTE(LEFT(TRIM(C22),FIND(" ",TRIM(C22)&amp;" ")-1),",","."))-1)/MID(SUBSTITUTE(LEFT(TRIM(C22),FIND(" ",TRIM(C22)&amp;" ")-1),",","."),FIND("/",SUBSTITUTE(LEFT(TRIM(C22),FIND(" ",TRIM(C22)&amp;" ")-1),",","."))+1,9)),IF(ISNUMBER(SEARCH("yea",C22)),IFERROR(_xlfn.NUMBERVALUE(SUBSTITUTE(LEFT(TRIM(C22),FIND(" ",TRIM(C22)&amp;" ")-1),",","."),"."),LEFT(SUBSTITUTE(LEFT(TRIM(C22),FIND(" ",TRIM(C22)&amp;" ")-1),",","."),FIND("/",SUBSTITUTE(LEFT(TRIM(C22),FIND(" ",TRIM(C22)&amp;" ")-1),",","."))-1)/MID(SUBSTITUTE(LEFT(TRIM(C22),FIND(" ",TRIM(C22)&amp;" ")-1),",","."),FIND("/",SUBSTITUTE(LEFT(TRIM(C22),FIND(" ",TRIM(C22)&amp;" ")-1),",","."))+1,9))*12,NA()))),0),48)*'Aturan &amp; Tarif'!$B$4,2)</f>
        <v>2725.44</v>
      </c>
      <c r="K22" s="32" t="n">
        <f aca="false">'Aturan &amp; Tarif'!$B$5</f>
        <v>2050</v>
      </c>
      <c r="L22" s="35" t="n">
        <f aca="false">I22+J22+K22</f>
        <v>23175.44</v>
      </c>
      <c r="M22" s="37" t="s">
        <v>318</v>
      </c>
    </row>
    <row r="23" customFormat="false" ht="14.25" hidden="false" customHeight="true" outlineLevel="0" collapsed="false">
      <c r="A23" s="29"/>
      <c r="B23" s="30" t="s">
        <v>337</v>
      </c>
      <c r="C23" s="31" t="s">
        <v>127</v>
      </c>
      <c r="D23" s="31" t="s">
        <v>108</v>
      </c>
      <c r="E23" s="32" t="n">
        <v>9200</v>
      </c>
      <c r="F23" s="32"/>
      <c r="G23" s="32"/>
      <c r="H23" s="33" t="n">
        <v>2</v>
      </c>
      <c r="I23" s="34" t="n">
        <f aca="false">E23*H23+N(F23)+N(G23)</f>
        <v>18400</v>
      </c>
      <c r="J23" s="32" t="n">
        <f aca="false">ROUND(IFERROR(ROUND(IF(OR(ISNUMBER(SEARCH("week",C23)),ISNUMBER(SEARCH("minggu",C23))),IFERROR(_xlfn.NUMBERVALUE(SUBSTITUTE(LEFT(TRIM(C23),FIND(" ",TRIM(C23)&amp;" ")-1),",","."),"."),LEFT(SUBSTITUTE(LEFT(TRIM(C23),FIND(" ",TRIM(C23)&amp;" ")-1),",","."),FIND("/",SUBSTITUTE(LEFT(TRIM(C23),FIND(" ",TRIM(C23)&amp;" ")-1),",","."))-1)/MID(SUBSTITUTE(LEFT(TRIM(C23),FIND(" ",TRIM(C23)&amp;" ")-1),",","."),FIND("/",SUBSTITUTE(LEFT(TRIM(C23),FIND(" ",TRIM(C23)&amp;" ")-1),",","."))+1,9))*12/52,IF(ISNUMBER(SEARCH("month",C23)),IFERROR(_xlfn.NUMBERVALUE(SUBSTITUTE(LEFT(TRIM(C23),FIND(" ",TRIM(C23)&amp;" ")-1),",","."),"."),LEFT(SUBSTITUTE(LEFT(TRIM(C23),FIND(" ",TRIM(C23)&amp;" ")-1),",","."),FIND("/",SUBSTITUTE(LEFT(TRIM(C23),FIND(" ",TRIM(C23)&amp;" ")-1),",","."))-1)/MID(SUBSTITUTE(LEFT(TRIM(C23),FIND(" ",TRIM(C23)&amp;" ")-1),",","."),FIND("/",SUBSTITUTE(LEFT(TRIM(C23),FIND(" ",TRIM(C23)&amp;" ")-1),",","."))+1,9)),IF(ISNUMBER(SEARCH("yea",C23)),IFERROR(_xlfn.NUMBERVALUE(SUBSTITUTE(LEFT(TRIM(C23),FIND(" ",TRIM(C23)&amp;" ")-1),",","."),"."),LEFT(SUBSTITUTE(LEFT(TRIM(C23),FIND(" ",TRIM(C23)&amp;" ")-1),",","."),FIND("/",SUBSTITUTE(LEFT(TRIM(C23),FIND(" ",TRIM(C23)&amp;" ")-1),",","."))-1)/MID(SUBSTITUTE(LEFT(TRIM(C23),FIND(" ",TRIM(C23)&amp;" ")-1),",","."),FIND("/",SUBSTITUTE(LEFT(TRIM(C23),FIND(" ",TRIM(C23)&amp;" ")-1),",","."))+1,9))*12,NA()))),0),36)*'Aturan &amp; Tarif'!$B$4,2)</f>
        <v>2044.08</v>
      </c>
      <c r="K23" s="32" t="n">
        <f aca="false">'Aturan &amp; Tarif'!$B$5</f>
        <v>2050</v>
      </c>
      <c r="L23" s="35" t="n">
        <f aca="false">I23+J23+K23</f>
        <v>22494.08</v>
      </c>
      <c r="M23" s="37" t="s">
        <v>318</v>
      </c>
    </row>
    <row r="24" customFormat="false" ht="25.5" hidden="false" customHeight="true" outlineLevel="0" collapsed="false">
      <c r="A24" s="29"/>
      <c r="B24" s="30" t="s">
        <v>338</v>
      </c>
      <c r="C24" s="31" t="s">
        <v>191</v>
      </c>
      <c r="D24" s="31" t="s">
        <v>108</v>
      </c>
      <c r="E24" s="32" t="n">
        <v>9200</v>
      </c>
      <c r="F24" s="32"/>
      <c r="G24" s="32"/>
      <c r="H24" s="33" t="n">
        <v>2</v>
      </c>
      <c r="I24" s="34" t="n">
        <f aca="false">E24*H24+N(F24)+N(G24)</f>
        <v>18400</v>
      </c>
      <c r="J24" s="32" t="n">
        <f aca="false">ROUND(IFERROR(ROUND(IF(OR(ISNUMBER(SEARCH("week",C24)),ISNUMBER(SEARCH("minggu",C24))),IFERROR(_xlfn.NUMBERVALUE(SUBSTITUTE(LEFT(TRIM(C24),FIND(" ",TRIM(C24)&amp;" ")-1),",","."),"."),LEFT(SUBSTITUTE(LEFT(TRIM(C24),FIND(" ",TRIM(C24)&amp;" ")-1),",","."),FIND("/",SUBSTITUTE(LEFT(TRIM(C24),FIND(" ",TRIM(C24)&amp;" ")-1),",","."))-1)/MID(SUBSTITUTE(LEFT(TRIM(C24),FIND(" ",TRIM(C24)&amp;" ")-1),",","."),FIND("/",SUBSTITUTE(LEFT(TRIM(C24),FIND(" ",TRIM(C24)&amp;" ")-1),",","."))+1,9))*12/52,IF(ISNUMBER(SEARCH("month",C24)),IFERROR(_xlfn.NUMBERVALUE(SUBSTITUTE(LEFT(TRIM(C24),FIND(" ",TRIM(C24)&amp;" ")-1),",","."),"."),LEFT(SUBSTITUTE(LEFT(TRIM(C24),FIND(" ",TRIM(C24)&amp;" ")-1),",","."),FIND("/",SUBSTITUTE(LEFT(TRIM(C24),FIND(" ",TRIM(C24)&amp;" ")-1),",","."))-1)/MID(SUBSTITUTE(LEFT(TRIM(C24),FIND(" ",TRIM(C24)&amp;" ")-1),",","."),FIND("/",SUBSTITUTE(LEFT(TRIM(C24),FIND(" ",TRIM(C24)&amp;" ")-1),",","."))+1,9)),IF(ISNUMBER(SEARCH("yea",C24)),IFERROR(_xlfn.NUMBERVALUE(SUBSTITUTE(LEFT(TRIM(C24),FIND(" ",TRIM(C24)&amp;" ")-1),",","."),"."),LEFT(SUBSTITUTE(LEFT(TRIM(C24),FIND(" ",TRIM(C24)&amp;" ")-1),",","."),FIND("/",SUBSTITUTE(LEFT(TRIM(C24),FIND(" ",TRIM(C24)&amp;" ")-1),",","."))-1)/MID(SUBSTITUTE(LEFT(TRIM(C24),FIND(" ",TRIM(C24)&amp;" ")-1),",","."),FIND("/",SUBSTITUTE(LEFT(TRIM(C24),FIND(" ",TRIM(C24)&amp;" ")-1),",","."))+1,9))*12,NA()))),0),48)*'Aturan &amp; Tarif'!$B$4,2)</f>
        <v>2725.44</v>
      </c>
      <c r="K24" s="32" t="n">
        <f aca="false">'Aturan &amp; Tarif'!$B$5</f>
        <v>2050</v>
      </c>
      <c r="L24" s="35" t="n">
        <f aca="false">I24+J24+K24</f>
        <v>23175.44</v>
      </c>
      <c r="M24" s="37" t="s">
        <v>318</v>
      </c>
    </row>
    <row r="25" customFormat="false" ht="25.5" hidden="false" customHeight="true" outlineLevel="0" collapsed="false">
      <c r="A25" s="29"/>
      <c r="B25" s="30" t="s">
        <v>339</v>
      </c>
      <c r="C25" s="31" t="s">
        <v>191</v>
      </c>
      <c r="D25" s="31" t="s">
        <v>108</v>
      </c>
      <c r="E25" s="32" t="n">
        <v>9200</v>
      </c>
      <c r="F25" s="32"/>
      <c r="G25" s="32"/>
      <c r="H25" s="33" t="n">
        <v>2</v>
      </c>
      <c r="I25" s="34" t="n">
        <f aca="false">E25*H25+N(F25)+N(G25)</f>
        <v>18400</v>
      </c>
      <c r="J25" s="32" t="n">
        <f aca="false">ROUND(IFERROR(ROUND(IF(OR(ISNUMBER(SEARCH("week",C25)),ISNUMBER(SEARCH("minggu",C25))),IFERROR(_xlfn.NUMBERVALUE(SUBSTITUTE(LEFT(TRIM(C25),FIND(" ",TRIM(C25)&amp;" ")-1),",","."),"."),LEFT(SUBSTITUTE(LEFT(TRIM(C25),FIND(" ",TRIM(C25)&amp;" ")-1),",","."),FIND("/",SUBSTITUTE(LEFT(TRIM(C25),FIND(" ",TRIM(C25)&amp;" ")-1),",","."))-1)/MID(SUBSTITUTE(LEFT(TRIM(C25),FIND(" ",TRIM(C25)&amp;" ")-1),",","."),FIND("/",SUBSTITUTE(LEFT(TRIM(C25),FIND(" ",TRIM(C25)&amp;" ")-1),",","."))+1,9))*12/52,IF(ISNUMBER(SEARCH("month",C25)),IFERROR(_xlfn.NUMBERVALUE(SUBSTITUTE(LEFT(TRIM(C25),FIND(" ",TRIM(C25)&amp;" ")-1),",","."),"."),LEFT(SUBSTITUTE(LEFT(TRIM(C25),FIND(" ",TRIM(C25)&amp;" ")-1),",","."),FIND("/",SUBSTITUTE(LEFT(TRIM(C25),FIND(" ",TRIM(C25)&amp;" ")-1),",","."))-1)/MID(SUBSTITUTE(LEFT(TRIM(C25),FIND(" ",TRIM(C25)&amp;" ")-1),",","."),FIND("/",SUBSTITUTE(LEFT(TRIM(C25),FIND(" ",TRIM(C25)&amp;" ")-1),",","."))+1,9)),IF(ISNUMBER(SEARCH("yea",C25)),IFERROR(_xlfn.NUMBERVALUE(SUBSTITUTE(LEFT(TRIM(C25),FIND(" ",TRIM(C25)&amp;" ")-1),",","."),"."),LEFT(SUBSTITUTE(LEFT(TRIM(C25),FIND(" ",TRIM(C25)&amp;" ")-1),",","."),FIND("/",SUBSTITUTE(LEFT(TRIM(C25),FIND(" ",TRIM(C25)&amp;" ")-1),",","."))-1)/MID(SUBSTITUTE(LEFT(TRIM(C25),FIND(" ",TRIM(C25)&amp;" ")-1),",","."),FIND("/",SUBSTITUTE(LEFT(TRIM(C25),FIND(" ",TRIM(C25)&amp;" ")-1),",","."))+1,9))*12,NA()))),0),48)*'Aturan &amp; Tarif'!$B$4,2)</f>
        <v>2725.44</v>
      </c>
      <c r="K25" s="32" t="n">
        <f aca="false">'Aturan &amp; Tarif'!$B$5</f>
        <v>2050</v>
      </c>
      <c r="L25" s="35" t="n">
        <f aca="false">I25+J25+K25</f>
        <v>23175.44</v>
      </c>
      <c r="M25" s="37" t="s">
        <v>318</v>
      </c>
    </row>
    <row r="26" customFormat="false" ht="25.5" hidden="false" customHeight="true" outlineLevel="0" collapsed="false">
      <c r="A26" s="29"/>
      <c r="B26" s="30" t="s">
        <v>340</v>
      </c>
      <c r="C26" s="31" t="s">
        <v>191</v>
      </c>
      <c r="D26" s="31" t="s">
        <v>108</v>
      </c>
      <c r="E26" s="32" t="n">
        <v>8742</v>
      </c>
      <c r="F26" s="32"/>
      <c r="G26" s="32"/>
      <c r="H26" s="33" t="n">
        <v>2</v>
      </c>
      <c r="I26" s="34" t="n">
        <f aca="false">E26*H26+N(F26)+N(G26)</f>
        <v>17484</v>
      </c>
      <c r="J26" s="32" t="n">
        <f aca="false">ROUND(IFERROR(ROUND(IF(OR(ISNUMBER(SEARCH("week",C26)),ISNUMBER(SEARCH("minggu",C26))),IFERROR(_xlfn.NUMBERVALUE(SUBSTITUTE(LEFT(TRIM(C26),FIND(" ",TRIM(C26)&amp;" ")-1),",","."),"."),LEFT(SUBSTITUTE(LEFT(TRIM(C26),FIND(" ",TRIM(C26)&amp;" ")-1),",","."),FIND("/",SUBSTITUTE(LEFT(TRIM(C26),FIND(" ",TRIM(C26)&amp;" ")-1),",","."))-1)/MID(SUBSTITUTE(LEFT(TRIM(C26),FIND(" ",TRIM(C26)&amp;" ")-1),",","."),FIND("/",SUBSTITUTE(LEFT(TRIM(C26),FIND(" ",TRIM(C26)&amp;" ")-1),",","."))+1,9))*12/52,IF(ISNUMBER(SEARCH("month",C26)),IFERROR(_xlfn.NUMBERVALUE(SUBSTITUTE(LEFT(TRIM(C26),FIND(" ",TRIM(C26)&amp;" ")-1),",","."),"."),LEFT(SUBSTITUTE(LEFT(TRIM(C26),FIND(" ",TRIM(C26)&amp;" ")-1),",","."),FIND("/",SUBSTITUTE(LEFT(TRIM(C26),FIND(" ",TRIM(C26)&amp;" ")-1),",","."))-1)/MID(SUBSTITUTE(LEFT(TRIM(C26),FIND(" ",TRIM(C26)&amp;" ")-1),",","."),FIND("/",SUBSTITUTE(LEFT(TRIM(C26),FIND(" ",TRIM(C26)&amp;" ")-1),",","."))+1,9)),IF(ISNUMBER(SEARCH("yea",C26)),IFERROR(_xlfn.NUMBERVALUE(SUBSTITUTE(LEFT(TRIM(C26),FIND(" ",TRIM(C26)&amp;" ")-1),",","."),"."),LEFT(SUBSTITUTE(LEFT(TRIM(C26),FIND(" ",TRIM(C26)&amp;" ")-1),",","."),FIND("/",SUBSTITUTE(LEFT(TRIM(C26),FIND(" ",TRIM(C26)&amp;" ")-1),",","."))-1)/MID(SUBSTITUTE(LEFT(TRIM(C26),FIND(" ",TRIM(C26)&amp;" ")-1),",","."),FIND("/",SUBSTITUTE(LEFT(TRIM(C26),FIND(" ",TRIM(C26)&amp;" ")-1),",","."))+1,9))*12,NA()))),0),48)*'Aturan &amp; Tarif'!$B$4,2)</f>
        <v>2725.44</v>
      </c>
      <c r="K26" s="32" t="n">
        <f aca="false">'Aturan &amp; Tarif'!$B$5</f>
        <v>2050</v>
      </c>
      <c r="L26" s="35" t="n">
        <f aca="false">I26+J26+K26</f>
        <v>22259.44</v>
      </c>
      <c r="M26" s="37" t="s">
        <v>318</v>
      </c>
    </row>
    <row r="27" customFormat="false" ht="14.25" hidden="false" customHeight="true" outlineLevel="0" collapsed="false">
      <c r="A27" s="29"/>
      <c r="B27" s="30" t="s">
        <v>341</v>
      </c>
      <c r="C27" s="31" t="s">
        <v>245</v>
      </c>
      <c r="D27" s="31" t="s">
        <v>108</v>
      </c>
      <c r="E27" s="32" t="n">
        <v>9200</v>
      </c>
      <c r="F27" s="32"/>
      <c r="G27" s="32"/>
      <c r="H27" s="33" t="n">
        <v>2</v>
      </c>
      <c r="I27" s="34" t="n">
        <f aca="false">E27*H27+N(F27)+N(G27)</f>
        <v>18400</v>
      </c>
      <c r="J27" s="32" t="n">
        <f aca="false">ROUND(IFERROR(ROUND(IF(OR(ISNUMBER(SEARCH("week",C27)),ISNUMBER(SEARCH("minggu",C27))),IFERROR(_xlfn.NUMBERVALUE(SUBSTITUTE(LEFT(TRIM(C27),FIND(" ",TRIM(C27)&amp;" ")-1),",","."),"."),LEFT(SUBSTITUTE(LEFT(TRIM(C27),FIND(" ",TRIM(C27)&amp;" ")-1),",","."),FIND("/",SUBSTITUTE(LEFT(TRIM(C27),FIND(" ",TRIM(C27)&amp;" ")-1),",","."))-1)/MID(SUBSTITUTE(LEFT(TRIM(C27),FIND(" ",TRIM(C27)&amp;" ")-1),",","."),FIND("/",SUBSTITUTE(LEFT(TRIM(C27),FIND(" ",TRIM(C27)&amp;" ")-1),",","."))+1,9))*12/52,IF(ISNUMBER(SEARCH("month",C27)),IFERROR(_xlfn.NUMBERVALUE(SUBSTITUTE(LEFT(TRIM(C27),FIND(" ",TRIM(C27)&amp;" ")-1),",","."),"."),LEFT(SUBSTITUTE(LEFT(TRIM(C27),FIND(" ",TRIM(C27)&amp;" ")-1),",","."),FIND("/",SUBSTITUTE(LEFT(TRIM(C27),FIND(" ",TRIM(C27)&amp;" ")-1),",","."))-1)/MID(SUBSTITUTE(LEFT(TRIM(C27),FIND(" ",TRIM(C27)&amp;" ")-1),",","."),FIND("/",SUBSTITUTE(LEFT(TRIM(C27),FIND(" ",TRIM(C27)&amp;" ")-1),",","."))+1,9)),IF(ISNUMBER(SEARCH("yea",C27)),IFERROR(_xlfn.NUMBERVALUE(SUBSTITUTE(LEFT(TRIM(C27),FIND(" ",TRIM(C27)&amp;" ")-1),",","."),"."),LEFT(SUBSTITUTE(LEFT(TRIM(C27),FIND(" ",TRIM(C27)&amp;" ")-1),",","."),FIND("/",SUBSTITUTE(LEFT(TRIM(C27),FIND(" ",TRIM(C27)&amp;" ")-1),",","."))-1)/MID(SUBSTITUTE(LEFT(TRIM(C27),FIND(" ",TRIM(C27)&amp;" ")-1),",","."),FIND("/",SUBSTITUTE(LEFT(TRIM(C27),FIND(" ",TRIM(C27)&amp;" ")-1),",","."))+1,9))*12,NA()))),0),60)*'Aturan &amp; Tarif'!$B$4,2)</f>
        <v>3406.8</v>
      </c>
      <c r="K27" s="32" t="n">
        <f aca="false">'Aturan &amp; Tarif'!$B$5</f>
        <v>2050</v>
      </c>
      <c r="L27" s="35" t="n">
        <f aca="false">I27+J27+K27</f>
        <v>23856.8</v>
      </c>
      <c r="M27" s="37" t="s">
        <v>318</v>
      </c>
    </row>
    <row r="28" customFormat="false" ht="14.25" hidden="false" customHeight="true" outlineLevel="0" collapsed="false">
      <c r="A28" s="29"/>
      <c r="B28" s="30" t="s">
        <v>342</v>
      </c>
      <c r="C28" s="31" t="s">
        <v>245</v>
      </c>
      <c r="D28" s="31" t="s">
        <v>108</v>
      </c>
      <c r="E28" s="32" t="n">
        <v>9200</v>
      </c>
      <c r="F28" s="32"/>
      <c r="G28" s="32"/>
      <c r="H28" s="33" t="n">
        <v>2</v>
      </c>
      <c r="I28" s="34" t="n">
        <f aca="false">E28*H28+N(F28)+N(G28)</f>
        <v>18400</v>
      </c>
      <c r="J28" s="32" t="n">
        <f aca="false">ROUND(IFERROR(ROUND(IF(OR(ISNUMBER(SEARCH("week",C28)),ISNUMBER(SEARCH("minggu",C28))),IFERROR(_xlfn.NUMBERVALUE(SUBSTITUTE(LEFT(TRIM(C28),FIND(" ",TRIM(C28)&amp;" ")-1),",","."),"."),LEFT(SUBSTITUTE(LEFT(TRIM(C28),FIND(" ",TRIM(C28)&amp;" ")-1),",","."),FIND("/",SUBSTITUTE(LEFT(TRIM(C28),FIND(" ",TRIM(C28)&amp;" ")-1),",","."))-1)/MID(SUBSTITUTE(LEFT(TRIM(C28),FIND(" ",TRIM(C28)&amp;" ")-1),",","."),FIND("/",SUBSTITUTE(LEFT(TRIM(C28),FIND(" ",TRIM(C28)&amp;" ")-1),",","."))+1,9))*12/52,IF(ISNUMBER(SEARCH("month",C28)),IFERROR(_xlfn.NUMBERVALUE(SUBSTITUTE(LEFT(TRIM(C28),FIND(" ",TRIM(C28)&amp;" ")-1),",","."),"."),LEFT(SUBSTITUTE(LEFT(TRIM(C28),FIND(" ",TRIM(C28)&amp;" ")-1),",","."),FIND("/",SUBSTITUTE(LEFT(TRIM(C28),FIND(" ",TRIM(C28)&amp;" ")-1),",","."))-1)/MID(SUBSTITUTE(LEFT(TRIM(C28),FIND(" ",TRIM(C28)&amp;" ")-1),",","."),FIND("/",SUBSTITUTE(LEFT(TRIM(C28),FIND(" ",TRIM(C28)&amp;" ")-1),",","."))+1,9)),IF(ISNUMBER(SEARCH("yea",C28)),IFERROR(_xlfn.NUMBERVALUE(SUBSTITUTE(LEFT(TRIM(C28),FIND(" ",TRIM(C28)&amp;" ")-1),",","."),"."),LEFT(SUBSTITUTE(LEFT(TRIM(C28),FIND(" ",TRIM(C28)&amp;" ")-1),",","."),FIND("/",SUBSTITUTE(LEFT(TRIM(C28),FIND(" ",TRIM(C28)&amp;" ")-1),",","."))-1)/MID(SUBSTITUTE(LEFT(TRIM(C28),FIND(" ",TRIM(C28)&amp;" ")-1),",","."),FIND("/",SUBSTITUTE(LEFT(TRIM(C28),FIND(" ",TRIM(C28)&amp;" ")-1),",","."))+1,9))*12,NA()))),0),60)*'Aturan &amp; Tarif'!$B$4,2)</f>
        <v>3406.8</v>
      </c>
      <c r="K28" s="32" t="n">
        <f aca="false">'Aturan &amp; Tarif'!$B$5</f>
        <v>2050</v>
      </c>
      <c r="L28" s="35" t="n">
        <f aca="false">I28+J28+K28</f>
        <v>23856.8</v>
      </c>
      <c r="M28" s="37" t="s">
        <v>318</v>
      </c>
    </row>
    <row r="29" customFormat="false" ht="25.5" hidden="false" customHeight="true" outlineLevel="0" collapsed="false">
      <c r="A29" s="29"/>
      <c r="B29" s="30" t="s">
        <v>343</v>
      </c>
      <c r="C29" s="31" t="s">
        <v>344</v>
      </c>
      <c r="D29" s="31" t="s">
        <v>108</v>
      </c>
      <c r="E29" s="32" t="n">
        <v>4762</v>
      </c>
      <c r="F29" s="32"/>
      <c r="G29" s="32"/>
      <c r="H29" s="33" t="n">
        <v>2</v>
      </c>
      <c r="I29" s="34" t="n">
        <f aca="false">E29*H29+N(F29)+N(G29)</f>
        <v>9524</v>
      </c>
      <c r="J29" s="32" t="n">
        <f aca="false">ROUND(IFERROR(ROUND(IF(OR(ISNUMBER(SEARCH("week",C29)),ISNUMBER(SEARCH("minggu",C29))),IFERROR(_xlfn.NUMBERVALUE(SUBSTITUTE(LEFT(TRIM(C29),FIND(" ",TRIM(C29)&amp;" ")-1),",","."),"."),LEFT(SUBSTITUTE(LEFT(TRIM(C29),FIND(" ",TRIM(C29)&amp;" ")-1),",","."),FIND("/",SUBSTITUTE(LEFT(TRIM(C29),FIND(" ",TRIM(C29)&amp;" ")-1),",","."))-1)/MID(SUBSTITUTE(LEFT(TRIM(C29),FIND(" ",TRIM(C29)&amp;" ")-1),",","."),FIND("/",SUBSTITUTE(LEFT(TRIM(C29),FIND(" ",TRIM(C29)&amp;" ")-1),",","."))+1,9))*12/52,IF(ISNUMBER(SEARCH("month",C29)),IFERROR(_xlfn.NUMBERVALUE(SUBSTITUTE(LEFT(TRIM(C29),FIND(" ",TRIM(C29)&amp;" ")-1),",","."),"."),LEFT(SUBSTITUTE(LEFT(TRIM(C29),FIND(" ",TRIM(C29)&amp;" ")-1),",","."),FIND("/",SUBSTITUTE(LEFT(TRIM(C29),FIND(" ",TRIM(C29)&amp;" ")-1),",","."))-1)/MID(SUBSTITUTE(LEFT(TRIM(C29),FIND(" ",TRIM(C29)&amp;" ")-1),",","."),FIND("/",SUBSTITUTE(LEFT(TRIM(C29),FIND(" ",TRIM(C29)&amp;" ")-1),",","."))+1,9)),IF(ISNUMBER(SEARCH("yea",C29)),IFERROR(_xlfn.NUMBERVALUE(SUBSTITUTE(LEFT(TRIM(C29),FIND(" ",TRIM(C29)&amp;" ")-1),",","."),"."),LEFT(SUBSTITUTE(LEFT(TRIM(C29),FIND(" ",TRIM(C29)&amp;" ")-1),",","."),FIND("/",SUBSTITUTE(LEFT(TRIM(C29),FIND(" ",TRIM(C29)&amp;" ")-1),",","."))-1)/MID(SUBSTITUTE(LEFT(TRIM(C29),FIND(" ",TRIM(C29)&amp;" ")-1),",","."),FIND("/",SUBSTITUTE(LEFT(TRIM(C29),FIND(" ",TRIM(C29)&amp;" ")-1),",","."))+1,9))*12,NA()))),0),6)*'Aturan &amp; Tarif'!$B$4,2)</f>
        <v>340.68</v>
      </c>
      <c r="K29" s="32" t="n">
        <f aca="false">'Aturan &amp; Tarif'!$B$5</f>
        <v>2050</v>
      </c>
      <c r="L29" s="35" t="n">
        <f aca="false">I29+J29+K29</f>
        <v>11914.68</v>
      </c>
      <c r="M29" s="37" t="s">
        <v>345</v>
      </c>
    </row>
    <row r="30" customFormat="false" ht="25.5" hidden="false" customHeight="true" outlineLevel="0" collapsed="false">
      <c r="A30" s="29"/>
      <c r="B30" s="30" t="s">
        <v>346</v>
      </c>
      <c r="C30" s="31" t="s">
        <v>344</v>
      </c>
      <c r="D30" s="31" t="s">
        <v>108</v>
      </c>
      <c r="E30" s="32" t="n">
        <v>4762</v>
      </c>
      <c r="F30" s="32"/>
      <c r="G30" s="32"/>
      <c r="H30" s="33" t="n">
        <v>2</v>
      </c>
      <c r="I30" s="34" t="n">
        <f aca="false">E30*H30+N(F30)+N(G30)</f>
        <v>9524</v>
      </c>
      <c r="J30" s="32" t="n">
        <f aca="false">ROUND(IFERROR(ROUND(IF(OR(ISNUMBER(SEARCH("week",C30)),ISNUMBER(SEARCH("minggu",C30))),IFERROR(_xlfn.NUMBERVALUE(SUBSTITUTE(LEFT(TRIM(C30),FIND(" ",TRIM(C30)&amp;" ")-1),",","."),"."),LEFT(SUBSTITUTE(LEFT(TRIM(C30),FIND(" ",TRIM(C30)&amp;" ")-1),",","."),FIND("/",SUBSTITUTE(LEFT(TRIM(C30),FIND(" ",TRIM(C30)&amp;" ")-1),",","."))-1)/MID(SUBSTITUTE(LEFT(TRIM(C30),FIND(" ",TRIM(C30)&amp;" ")-1),",","."),FIND("/",SUBSTITUTE(LEFT(TRIM(C30),FIND(" ",TRIM(C30)&amp;" ")-1),",","."))+1,9))*12/52,IF(ISNUMBER(SEARCH("month",C30)),IFERROR(_xlfn.NUMBERVALUE(SUBSTITUTE(LEFT(TRIM(C30),FIND(" ",TRIM(C30)&amp;" ")-1),",","."),"."),LEFT(SUBSTITUTE(LEFT(TRIM(C30),FIND(" ",TRIM(C30)&amp;" ")-1),",","."),FIND("/",SUBSTITUTE(LEFT(TRIM(C30),FIND(" ",TRIM(C30)&amp;" ")-1),",","."))-1)/MID(SUBSTITUTE(LEFT(TRIM(C30),FIND(" ",TRIM(C30)&amp;" ")-1),",","."),FIND("/",SUBSTITUTE(LEFT(TRIM(C30),FIND(" ",TRIM(C30)&amp;" ")-1),",","."))+1,9)),IF(ISNUMBER(SEARCH("yea",C30)),IFERROR(_xlfn.NUMBERVALUE(SUBSTITUTE(LEFT(TRIM(C30),FIND(" ",TRIM(C30)&amp;" ")-1),",","."),"."),LEFT(SUBSTITUTE(LEFT(TRIM(C30),FIND(" ",TRIM(C30)&amp;" ")-1),",","."),FIND("/",SUBSTITUTE(LEFT(TRIM(C30),FIND(" ",TRIM(C30)&amp;" ")-1),",","."))-1)/MID(SUBSTITUTE(LEFT(TRIM(C30),FIND(" ",TRIM(C30)&amp;" ")-1),",","."),FIND("/",SUBSTITUTE(LEFT(TRIM(C30),FIND(" ",TRIM(C30)&amp;" ")-1),",","."))+1,9))*12,NA()))),0),6)*'Aturan &amp; Tarif'!$B$4,2)</f>
        <v>340.68</v>
      </c>
      <c r="K30" s="32" t="n">
        <f aca="false">'Aturan &amp; Tarif'!$B$5</f>
        <v>2050</v>
      </c>
      <c r="L30" s="35" t="n">
        <f aca="false">I30+J30+K30</f>
        <v>11914.68</v>
      </c>
      <c r="M30" s="37" t="s">
        <v>345</v>
      </c>
    </row>
    <row r="31" customFormat="false" ht="25.5" hidden="false" customHeight="true" outlineLevel="0" collapsed="false">
      <c r="A31" s="29"/>
      <c r="B31" s="30" t="s">
        <v>347</v>
      </c>
      <c r="C31" s="31" t="s">
        <v>344</v>
      </c>
      <c r="D31" s="31" t="s">
        <v>108</v>
      </c>
      <c r="E31" s="32" t="n">
        <v>4614</v>
      </c>
      <c r="F31" s="32"/>
      <c r="G31" s="32"/>
      <c r="H31" s="33" t="n">
        <v>2</v>
      </c>
      <c r="I31" s="34" t="n">
        <f aca="false">E31*H31+N(F31)+N(G31)</f>
        <v>9228</v>
      </c>
      <c r="J31" s="32" t="n">
        <f aca="false">ROUND(IFERROR(ROUND(IF(OR(ISNUMBER(SEARCH("week",C31)),ISNUMBER(SEARCH("minggu",C31))),IFERROR(_xlfn.NUMBERVALUE(SUBSTITUTE(LEFT(TRIM(C31),FIND(" ",TRIM(C31)&amp;" ")-1),",","."),"."),LEFT(SUBSTITUTE(LEFT(TRIM(C31),FIND(" ",TRIM(C31)&amp;" ")-1),",","."),FIND("/",SUBSTITUTE(LEFT(TRIM(C31),FIND(" ",TRIM(C31)&amp;" ")-1),",","."))-1)/MID(SUBSTITUTE(LEFT(TRIM(C31),FIND(" ",TRIM(C31)&amp;" ")-1),",","."),FIND("/",SUBSTITUTE(LEFT(TRIM(C31),FIND(" ",TRIM(C31)&amp;" ")-1),",","."))+1,9))*12/52,IF(ISNUMBER(SEARCH("month",C31)),IFERROR(_xlfn.NUMBERVALUE(SUBSTITUTE(LEFT(TRIM(C31),FIND(" ",TRIM(C31)&amp;" ")-1),",","."),"."),LEFT(SUBSTITUTE(LEFT(TRIM(C31),FIND(" ",TRIM(C31)&amp;" ")-1),",","."),FIND("/",SUBSTITUTE(LEFT(TRIM(C31),FIND(" ",TRIM(C31)&amp;" ")-1),",","."))-1)/MID(SUBSTITUTE(LEFT(TRIM(C31),FIND(" ",TRIM(C31)&amp;" ")-1),",","."),FIND("/",SUBSTITUTE(LEFT(TRIM(C31),FIND(" ",TRIM(C31)&amp;" ")-1),",","."))+1,9)),IF(ISNUMBER(SEARCH("yea",C31)),IFERROR(_xlfn.NUMBERVALUE(SUBSTITUTE(LEFT(TRIM(C31),FIND(" ",TRIM(C31)&amp;" ")-1),",","."),"."),LEFT(SUBSTITUTE(LEFT(TRIM(C31),FIND(" ",TRIM(C31)&amp;" ")-1),",","."),FIND("/",SUBSTITUTE(LEFT(TRIM(C31),FIND(" ",TRIM(C31)&amp;" ")-1),",","."))-1)/MID(SUBSTITUTE(LEFT(TRIM(C31),FIND(" ",TRIM(C31)&amp;" ")-1),",","."),FIND("/",SUBSTITUTE(LEFT(TRIM(C31),FIND(" ",TRIM(C31)&amp;" ")-1),",","."))+1,9))*12,NA()))),0),6)*'Aturan &amp; Tarif'!$B$4,2)</f>
        <v>340.68</v>
      </c>
      <c r="K31" s="32" t="n">
        <f aca="false">'Aturan &amp; Tarif'!$B$5</f>
        <v>2050</v>
      </c>
      <c r="L31" s="35" t="n">
        <f aca="false">I31+J31+K31</f>
        <v>11618.68</v>
      </c>
      <c r="M31" s="37" t="s">
        <v>345</v>
      </c>
    </row>
    <row r="32" customFormat="false" ht="14.25" hidden="false" customHeight="true" outlineLevel="0" collapsed="false">
      <c r="A32" s="29"/>
      <c r="B32" s="30" t="s">
        <v>348</v>
      </c>
      <c r="C32" s="31" t="s">
        <v>107</v>
      </c>
      <c r="D32" s="31" t="s">
        <v>108</v>
      </c>
      <c r="E32" s="32" t="n">
        <v>9524</v>
      </c>
      <c r="F32" s="32"/>
      <c r="G32" s="32"/>
      <c r="H32" s="33" t="n">
        <v>2</v>
      </c>
      <c r="I32" s="34" t="n">
        <f aca="false">E32*H32+N(F32)+N(G32)</f>
        <v>19048</v>
      </c>
      <c r="J32" s="32" t="n">
        <f aca="false">ROUND(IFERROR(ROUND(IF(OR(ISNUMBER(SEARCH("week",C32)),ISNUMBER(SEARCH("minggu",C32))),IFERROR(_xlfn.NUMBERVALUE(SUBSTITUTE(LEFT(TRIM(C32),FIND(" ",TRIM(C32)&amp;" ")-1),",","."),"."),LEFT(SUBSTITUTE(LEFT(TRIM(C32),FIND(" ",TRIM(C32)&amp;" ")-1),",","."),FIND("/",SUBSTITUTE(LEFT(TRIM(C32),FIND(" ",TRIM(C32)&amp;" ")-1),",","."))-1)/MID(SUBSTITUTE(LEFT(TRIM(C32),FIND(" ",TRIM(C32)&amp;" ")-1),",","."),FIND("/",SUBSTITUTE(LEFT(TRIM(C32),FIND(" ",TRIM(C32)&amp;" ")-1),",","."))+1,9))*12/52,IF(ISNUMBER(SEARCH("month",C32)),IFERROR(_xlfn.NUMBERVALUE(SUBSTITUTE(LEFT(TRIM(C32),FIND(" ",TRIM(C32)&amp;" ")-1),",","."),"."),LEFT(SUBSTITUTE(LEFT(TRIM(C32),FIND(" ",TRIM(C32)&amp;" ")-1),",","."),FIND("/",SUBSTITUTE(LEFT(TRIM(C32),FIND(" ",TRIM(C32)&amp;" ")-1),",","."))-1)/MID(SUBSTITUTE(LEFT(TRIM(C32),FIND(" ",TRIM(C32)&amp;" ")-1),",","."),FIND("/",SUBSTITUTE(LEFT(TRIM(C32),FIND(" ",TRIM(C32)&amp;" ")-1),",","."))+1,9)),IF(ISNUMBER(SEARCH("yea",C32)),IFERROR(_xlfn.NUMBERVALUE(SUBSTITUTE(LEFT(TRIM(C32),FIND(" ",TRIM(C32)&amp;" ")-1),",","."),"."),LEFT(SUBSTITUTE(LEFT(TRIM(C32),FIND(" ",TRIM(C32)&amp;" ")-1),",","."),FIND("/",SUBSTITUTE(LEFT(TRIM(C32),FIND(" ",TRIM(C32)&amp;" ")-1),",","."))-1)/MID(SUBSTITUTE(LEFT(TRIM(C32),FIND(" ",TRIM(C32)&amp;" ")-1),",","."),FIND("/",SUBSTITUTE(LEFT(TRIM(C32),FIND(" ",TRIM(C32)&amp;" ")-1),",","."))+1,9))*12,NA()))),0),24)*'Aturan &amp; Tarif'!$B$4,2)</f>
        <v>1362.72</v>
      </c>
      <c r="K32" s="32" t="n">
        <f aca="false">'Aturan &amp; Tarif'!$B$5</f>
        <v>2050</v>
      </c>
      <c r="L32" s="35" t="n">
        <f aca="false">I32+J32+K32</f>
        <v>22460.72</v>
      </c>
      <c r="M32" s="37" t="s">
        <v>318</v>
      </c>
    </row>
    <row r="33" customFormat="false" ht="14.25" hidden="false" customHeight="true" outlineLevel="0" collapsed="false">
      <c r="A33" s="29"/>
      <c r="B33" s="30" t="s">
        <v>349</v>
      </c>
      <c r="C33" s="31" t="s">
        <v>107</v>
      </c>
      <c r="D33" s="31" t="s">
        <v>108</v>
      </c>
      <c r="E33" s="32" t="n">
        <v>9524</v>
      </c>
      <c r="F33" s="32"/>
      <c r="G33" s="32"/>
      <c r="H33" s="33" t="n">
        <v>2</v>
      </c>
      <c r="I33" s="34" t="n">
        <f aca="false">E33*H33+N(F33)+N(G33)</f>
        <v>19048</v>
      </c>
      <c r="J33" s="32" t="n">
        <f aca="false">ROUND(IFERROR(ROUND(IF(OR(ISNUMBER(SEARCH("week",C33)),ISNUMBER(SEARCH("minggu",C33))),IFERROR(_xlfn.NUMBERVALUE(SUBSTITUTE(LEFT(TRIM(C33),FIND(" ",TRIM(C33)&amp;" ")-1),",","."),"."),LEFT(SUBSTITUTE(LEFT(TRIM(C33),FIND(" ",TRIM(C33)&amp;" ")-1),",","."),FIND("/",SUBSTITUTE(LEFT(TRIM(C33),FIND(" ",TRIM(C33)&amp;" ")-1),",","."))-1)/MID(SUBSTITUTE(LEFT(TRIM(C33),FIND(" ",TRIM(C33)&amp;" ")-1),",","."),FIND("/",SUBSTITUTE(LEFT(TRIM(C33),FIND(" ",TRIM(C33)&amp;" ")-1),",","."))+1,9))*12/52,IF(ISNUMBER(SEARCH("month",C33)),IFERROR(_xlfn.NUMBERVALUE(SUBSTITUTE(LEFT(TRIM(C33),FIND(" ",TRIM(C33)&amp;" ")-1),",","."),"."),LEFT(SUBSTITUTE(LEFT(TRIM(C33),FIND(" ",TRIM(C33)&amp;" ")-1),",","."),FIND("/",SUBSTITUTE(LEFT(TRIM(C33),FIND(" ",TRIM(C33)&amp;" ")-1),",","."))-1)/MID(SUBSTITUTE(LEFT(TRIM(C33),FIND(" ",TRIM(C33)&amp;" ")-1),",","."),FIND("/",SUBSTITUTE(LEFT(TRIM(C33),FIND(" ",TRIM(C33)&amp;" ")-1),",","."))+1,9)),IF(ISNUMBER(SEARCH("yea",C33)),IFERROR(_xlfn.NUMBERVALUE(SUBSTITUTE(LEFT(TRIM(C33),FIND(" ",TRIM(C33)&amp;" ")-1),",","."),"."),LEFT(SUBSTITUTE(LEFT(TRIM(C33),FIND(" ",TRIM(C33)&amp;" ")-1),",","."),FIND("/",SUBSTITUTE(LEFT(TRIM(C33),FIND(" ",TRIM(C33)&amp;" ")-1),",","."))-1)/MID(SUBSTITUTE(LEFT(TRIM(C33),FIND(" ",TRIM(C33)&amp;" ")-1),",","."),FIND("/",SUBSTITUTE(LEFT(TRIM(C33),FIND(" ",TRIM(C33)&amp;" ")-1),",","."))+1,9))*12,NA()))),0),24)*'Aturan &amp; Tarif'!$B$4,2)</f>
        <v>1362.72</v>
      </c>
      <c r="K33" s="32" t="n">
        <f aca="false">'Aturan &amp; Tarif'!$B$5</f>
        <v>2050</v>
      </c>
      <c r="L33" s="35" t="n">
        <f aca="false">I33+J33+K33</f>
        <v>22460.72</v>
      </c>
      <c r="M33" s="37" t="s">
        <v>318</v>
      </c>
    </row>
    <row r="34" customFormat="false" ht="14.25" hidden="false" customHeight="true" outlineLevel="0" collapsed="false">
      <c r="A34" s="29"/>
      <c r="B34" s="30" t="s">
        <v>167</v>
      </c>
      <c r="C34" s="31" t="s">
        <v>107</v>
      </c>
      <c r="D34" s="31" t="s">
        <v>108</v>
      </c>
      <c r="E34" s="32" t="n">
        <v>9524</v>
      </c>
      <c r="F34" s="32"/>
      <c r="G34" s="32"/>
      <c r="H34" s="33" t="n">
        <v>2</v>
      </c>
      <c r="I34" s="34" t="n">
        <f aca="false">E34*H34+N(F34)+N(G34)</f>
        <v>19048</v>
      </c>
      <c r="J34" s="32" t="n">
        <f aca="false">ROUND(IFERROR(ROUND(IF(OR(ISNUMBER(SEARCH("week",C34)),ISNUMBER(SEARCH("minggu",C34))),IFERROR(_xlfn.NUMBERVALUE(SUBSTITUTE(LEFT(TRIM(C34),FIND(" ",TRIM(C34)&amp;" ")-1),",","."),"."),LEFT(SUBSTITUTE(LEFT(TRIM(C34),FIND(" ",TRIM(C34)&amp;" ")-1),",","."),FIND("/",SUBSTITUTE(LEFT(TRIM(C34),FIND(" ",TRIM(C34)&amp;" ")-1),",","."))-1)/MID(SUBSTITUTE(LEFT(TRIM(C34),FIND(" ",TRIM(C34)&amp;" ")-1),",","."),FIND("/",SUBSTITUTE(LEFT(TRIM(C34),FIND(" ",TRIM(C34)&amp;" ")-1),",","."))+1,9))*12/52,IF(ISNUMBER(SEARCH("month",C34)),IFERROR(_xlfn.NUMBERVALUE(SUBSTITUTE(LEFT(TRIM(C34),FIND(" ",TRIM(C34)&amp;" ")-1),",","."),"."),LEFT(SUBSTITUTE(LEFT(TRIM(C34),FIND(" ",TRIM(C34)&amp;" ")-1),",","."),FIND("/",SUBSTITUTE(LEFT(TRIM(C34),FIND(" ",TRIM(C34)&amp;" ")-1),",","."))-1)/MID(SUBSTITUTE(LEFT(TRIM(C34),FIND(" ",TRIM(C34)&amp;" ")-1),",","."),FIND("/",SUBSTITUTE(LEFT(TRIM(C34),FIND(" ",TRIM(C34)&amp;" ")-1),",","."))+1,9)),IF(ISNUMBER(SEARCH("yea",C34)),IFERROR(_xlfn.NUMBERVALUE(SUBSTITUTE(LEFT(TRIM(C34),FIND(" ",TRIM(C34)&amp;" ")-1),",","."),"."),LEFT(SUBSTITUTE(LEFT(TRIM(C34),FIND(" ",TRIM(C34)&amp;" ")-1),",","."),FIND("/",SUBSTITUTE(LEFT(TRIM(C34),FIND(" ",TRIM(C34)&amp;" ")-1),",","."))-1)/MID(SUBSTITUTE(LEFT(TRIM(C34),FIND(" ",TRIM(C34)&amp;" ")-1),",","."),FIND("/",SUBSTITUTE(LEFT(TRIM(C34),FIND(" ",TRIM(C34)&amp;" ")-1),",","."))+1,9))*12,NA()))),0),24)*'Aturan &amp; Tarif'!$B$4,2)</f>
        <v>1362.72</v>
      </c>
      <c r="K34" s="32" t="n">
        <f aca="false">'Aturan &amp; Tarif'!$B$5</f>
        <v>2050</v>
      </c>
      <c r="L34" s="35" t="n">
        <f aca="false">I34+J34+K34</f>
        <v>22460.72</v>
      </c>
      <c r="M34" s="37" t="s">
        <v>318</v>
      </c>
    </row>
    <row r="35" customFormat="false" ht="14.25" hidden="false" customHeight="true" outlineLevel="0" collapsed="false">
      <c r="A35" s="29"/>
      <c r="B35" s="30" t="s">
        <v>236</v>
      </c>
      <c r="C35" s="31" t="s">
        <v>127</v>
      </c>
      <c r="D35" s="31" t="s">
        <v>108</v>
      </c>
      <c r="E35" s="32" t="n">
        <v>8906</v>
      </c>
      <c r="F35" s="32"/>
      <c r="G35" s="32"/>
      <c r="H35" s="33" t="n">
        <v>2</v>
      </c>
      <c r="I35" s="34" t="n">
        <f aca="false">E35*H35+N(F35)+N(G35)</f>
        <v>17812</v>
      </c>
      <c r="J35" s="32" t="n">
        <f aca="false">ROUND(IFERROR(ROUND(IF(OR(ISNUMBER(SEARCH("week",C35)),ISNUMBER(SEARCH("minggu",C35))),IFERROR(_xlfn.NUMBERVALUE(SUBSTITUTE(LEFT(TRIM(C35),FIND(" ",TRIM(C35)&amp;" ")-1),",","."),"."),LEFT(SUBSTITUTE(LEFT(TRIM(C35),FIND(" ",TRIM(C35)&amp;" ")-1),",","."),FIND("/",SUBSTITUTE(LEFT(TRIM(C35),FIND(" ",TRIM(C35)&amp;" ")-1),",","."))-1)/MID(SUBSTITUTE(LEFT(TRIM(C35),FIND(" ",TRIM(C35)&amp;" ")-1),",","."),FIND("/",SUBSTITUTE(LEFT(TRIM(C35),FIND(" ",TRIM(C35)&amp;" ")-1),",","."))+1,9))*12/52,IF(ISNUMBER(SEARCH("month",C35)),IFERROR(_xlfn.NUMBERVALUE(SUBSTITUTE(LEFT(TRIM(C35),FIND(" ",TRIM(C35)&amp;" ")-1),",","."),"."),LEFT(SUBSTITUTE(LEFT(TRIM(C35),FIND(" ",TRIM(C35)&amp;" ")-1),",","."),FIND("/",SUBSTITUTE(LEFT(TRIM(C35),FIND(" ",TRIM(C35)&amp;" ")-1),",","."))-1)/MID(SUBSTITUTE(LEFT(TRIM(C35),FIND(" ",TRIM(C35)&amp;" ")-1),",","."),FIND("/",SUBSTITUTE(LEFT(TRIM(C35),FIND(" ",TRIM(C35)&amp;" ")-1),",","."))+1,9)),IF(ISNUMBER(SEARCH("yea",C35)),IFERROR(_xlfn.NUMBERVALUE(SUBSTITUTE(LEFT(TRIM(C35),FIND(" ",TRIM(C35)&amp;" ")-1),",","."),"."),LEFT(SUBSTITUTE(LEFT(TRIM(C35),FIND(" ",TRIM(C35)&amp;" ")-1),",","."),FIND("/",SUBSTITUTE(LEFT(TRIM(C35),FIND(" ",TRIM(C35)&amp;" ")-1),",","."))-1)/MID(SUBSTITUTE(LEFT(TRIM(C35),FIND(" ",TRIM(C35)&amp;" ")-1),",","."),FIND("/",SUBSTITUTE(LEFT(TRIM(C35),FIND(" ",TRIM(C35)&amp;" ")-1),",","."))+1,9))*12,NA()))),0),36)*'Aturan &amp; Tarif'!$B$4,2)</f>
        <v>2044.08</v>
      </c>
      <c r="K35" s="32" t="n">
        <f aca="false">'Aturan &amp; Tarif'!$B$5</f>
        <v>2050</v>
      </c>
      <c r="L35" s="35" t="n">
        <f aca="false">I35+J35+K35</f>
        <v>21906.08</v>
      </c>
      <c r="M35" s="37" t="s">
        <v>318</v>
      </c>
    </row>
    <row r="36" customFormat="false" ht="25.5" hidden="false" customHeight="true" outlineLevel="0" collapsed="false">
      <c r="A36" s="29"/>
      <c r="B36" s="30" t="s">
        <v>350</v>
      </c>
      <c r="C36" s="31" t="s">
        <v>191</v>
      </c>
      <c r="D36" s="31" t="s">
        <v>108</v>
      </c>
      <c r="E36" s="32" t="n">
        <v>8906</v>
      </c>
      <c r="F36" s="32"/>
      <c r="G36" s="32"/>
      <c r="H36" s="33" t="n">
        <v>2</v>
      </c>
      <c r="I36" s="34" t="n">
        <f aca="false">E36*H36+N(F36)+N(G36)</f>
        <v>17812</v>
      </c>
      <c r="J36" s="32" t="n">
        <f aca="false">ROUND(IFERROR(ROUND(IF(OR(ISNUMBER(SEARCH("week",C36)),ISNUMBER(SEARCH("minggu",C36))),IFERROR(_xlfn.NUMBERVALUE(SUBSTITUTE(LEFT(TRIM(C36),FIND(" ",TRIM(C36)&amp;" ")-1),",","."),"."),LEFT(SUBSTITUTE(LEFT(TRIM(C36),FIND(" ",TRIM(C36)&amp;" ")-1),",","."),FIND("/",SUBSTITUTE(LEFT(TRIM(C36),FIND(" ",TRIM(C36)&amp;" ")-1),",","."))-1)/MID(SUBSTITUTE(LEFT(TRIM(C36),FIND(" ",TRIM(C36)&amp;" ")-1),",","."),FIND("/",SUBSTITUTE(LEFT(TRIM(C36),FIND(" ",TRIM(C36)&amp;" ")-1),",","."))+1,9))*12/52,IF(ISNUMBER(SEARCH("month",C36)),IFERROR(_xlfn.NUMBERVALUE(SUBSTITUTE(LEFT(TRIM(C36),FIND(" ",TRIM(C36)&amp;" ")-1),",","."),"."),LEFT(SUBSTITUTE(LEFT(TRIM(C36),FIND(" ",TRIM(C36)&amp;" ")-1),",","."),FIND("/",SUBSTITUTE(LEFT(TRIM(C36),FIND(" ",TRIM(C36)&amp;" ")-1),",","."))-1)/MID(SUBSTITUTE(LEFT(TRIM(C36),FIND(" ",TRIM(C36)&amp;" ")-1),",","."),FIND("/",SUBSTITUTE(LEFT(TRIM(C36),FIND(" ",TRIM(C36)&amp;" ")-1),",","."))+1,9)),IF(ISNUMBER(SEARCH("yea",C36)),IFERROR(_xlfn.NUMBERVALUE(SUBSTITUTE(LEFT(TRIM(C36),FIND(" ",TRIM(C36)&amp;" ")-1),",","."),"."),LEFT(SUBSTITUTE(LEFT(TRIM(C36),FIND(" ",TRIM(C36)&amp;" ")-1),",","."),FIND("/",SUBSTITUTE(LEFT(TRIM(C36),FIND(" ",TRIM(C36)&amp;" ")-1),",","."))-1)/MID(SUBSTITUTE(LEFT(TRIM(C36),FIND(" ",TRIM(C36)&amp;" ")-1),",","."),FIND("/",SUBSTITUTE(LEFT(TRIM(C36),FIND(" ",TRIM(C36)&amp;" ")-1),",","."))+1,9))*12,NA()))),0),48)*'Aturan &amp; Tarif'!$B$4,2)</f>
        <v>2725.44</v>
      </c>
      <c r="K36" s="32" t="n">
        <f aca="false">'Aturan &amp; Tarif'!$B$5</f>
        <v>2050</v>
      </c>
      <c r="L36" s="35" t="n">
        <f aca="false">I36+J36+K36</f>
        <v>22587.44</v>
      </c>
      <c r="M36" s="37" t="s">
        <v>318</v>
      </c>
    </row>
    <row r="37" customFormat="false" ht="25.5" hidden="false" customHeight="true" outlineLevel="0" collapsed="false">
      <c r="A37" s="29"/>
      <c r="B37" s="30" t="s">
        <v>351</v>
      </c>
      <c r="C37" s="31" t="s">
        <v>191</v>
      </c>
      <c r="D37" s="31" t="s">
        <v>108</v>
      </c>
      <c r="E37" s="32" t="n">
        <v>8906</v>
      </c>
      <c r="F37" s="32"/>
      <c r="G37" s="32"/>
      <c r="H37" s="33" t="n">
        <v>2</v>
      </c>
      <c r="I37" s="34" t="n">
        <f aca="false">E37*H37+N(F37)+N(G37)</f>
        <v>17812</v>
      </c>
      <c r="J37" s="32" t="n">
        <f aca="false">ROUND(IFERROR(ROUND(IF(OR(ISNUMBER(SEARCH("week",C37)),ISNUMBER(SEARCH("minggu",C37))),IFERROR(_xlfn.NUMBERVALUE(SUBSTITUTE(LEFT(TRIM(C37),FIND(" ",TRIM(C37)&amp;" ")-1),",","."),"."),LEFT(SUBSTITUTE(LEFT(TRIM(C37),FIND(" ",TRIM(C37)&amp;" ")-1),",","."),FIND("/",SUBSTITUTE(LEFT(TRIM(C37),FIND(" ",TRIM(C37)&amp;" ")-1),",","."))-1)/MID(SUBSTITUTE(LEFT(TRIM(C37),FIND(" ",TRIM(C37)&amp;" ")-1),",","."),FIND("/",SUBSTITUTE(LEFT(TRIM(C37),FIND(" ",TRIM(C37)&amp;" ")-1),",","."))+1,9))*12/52,IF(ISNUMBER(SEARCH("month",C37)),IFERROR(_xlfn.NUMBERVALUE(SUBSTITUTE(LEFT(TRIM(C37),FIND(" ",TRIM(C37)&amp;" ")-1),",","."),"."),LEFT(SUBSTITUTE(LEFT(TRIM(C37),FIND(" ",TRIM(C37)&amp;" ")-1),",","."),FIND("/",SUBSTITUTE(LEFT(TRIM(C37),FIND(" ",TRIM(C37)&amp;" ")-1),",","."))-1)/MID(SUBSTITUTE(LEFT(TRIM(C37),FIND(" ",TRIM(C37)&amp;" ")-1),",","."),FIND("/",SUBSTITUTE(LEFT(TRIM(C37),FIND(" ",TRIM(C37)&amp;" ")-1),",","."))+1,9)),IF(ISNUMBER(SEARCH("yea",C37)),IFERROR(_xlfn.NUMBERVALUE(SUBSTITUTE(LEFT(TRIM(C37),FIND(" ",TRIM(C37)&amp;" ")-1),",","."),"."),LEFT(SUBSTITUTE(LEFT(TRIM(C37),FIND(" ",TRIM(C37)&amp;" ")-1),",","."),FIND("/",SUBSTITUTE(LEFT(TRIM(C37),FIND(" ",TRIM(C37)&amp;" ")-1),",","."))-1)/MID(SUBSTITUTE(LEFT(TRIM(C37),FIND(" ",TRIM(C37)&amp;" ")-1),",","."),FIND("/",SUBSTITUTE(LEFT(TRIM(C37),FIND(" ",TRIM(C37)&amp;" ")-1),",","."))+1,9))*12,NA()))),0),48)*'Aturan &amp; Tarif'!$B$4,2)</f>
        <v>2725.44</v>
      </c>
      <c r="K37" s="32" t="n">
        <f aca="false">'Aturan &amp; Tarif'!$B$5</f>
        <v>2050</v>
      </c>
      <c r="L37" s="35" t="n">
        <f aca="false">I37+J37+K37</f>
        <v>22587.44</v>
      </c>
      <c r="M37" s="37" t="s">
        <v>318</v>
      </c>
    </row>
    <row r="38" customFormat="false" ht="25.5" hidden="false" customHeight="true" outlineLevel="0" collapsed="false">
      <c r="A38" s="29"/>
      <c r="B38" s="30" t="s">
        <v>352</v>
      </c>
      <c r="C38" s="31" t="s">
        <v>191</v>
      </c>
      <c r="D38" s="31" t="s">
        <v>108</v>
      </c>
      <c r="E38" s="32" t="n">
        <v>8906</v>
      </c>
      <c r="F38" s="32"/>
      <c r="G38" s="32"/>
      <c r="H38" s="33" t="n">
        <v>2</v>
      </c>
      <c r="I38" s="34" t="n">
        <f aca="false">E38*H38+N(F38)+N(G38)</f>
        <v>17812</v>
      </c>
      <c r="J38" s="32" t="n">
        <f aca="false">ROUND(IFERROR(ROUND(IF(OR(ISNUMBER(SEARCH("week",C38)),ISNUMBER(SEARCH("minggu",C38))),IFERROR(_xlfn.NUMBERVALUE(SUBSTITUTE(LEFT(TRIM(C38),FIND(" ",TRIM(C38)&amp;" ")-1),",","."),"."),LEFT(SUBSTITUTE(LEFT(TRIM(C38),FIND(" ",TRIM(C38)&amp;" ")-1),",","."),FIND("/",SUBSTITUTE(LEFT(TRIM(C38),FIND(" ",TRIM(C38)&amp;" ")-1),",","."))-1)/MID(SUBSTITUTE(LEFT(TRIM(C38),FIND(" ",TRIM(C38)&amp;" ")-1),",","."),FIND("/",SUBSTITUTE(LEFT(TRIM(C38),FIND(" ",TRIM(C38)&amp;" ")-1),",","."))+1,9))*12/52,IF(ISNUMBER(SEARCH("month",C38)),IFERROR(_xlfn.NUMBERVALUE(SUBSTITUTE(LEFT(TRIM(C38),FIND(" ",TRIM(C38)&amp;" ")-1),",","."),"."),LEFT(SUBSTITUTE(LEFT(TRIM(C38),FIND(" ",TRIM(C38)&amp;" ")-1),",","."),FIND("/",SUBSTITUTE(LEFT(TRIM(C38),FIND(" ",TRIM(C38)&amp;" ")-1),",","."))-1)/MID(SUBSTITUTE(LEFT(TRIM(C38),FIND(" ",TRIM(C38)&amp;" ")-1),",","."),FIND("/",SUBSTITUTE(LEFT(TRIM(C38),FIND(" ",TRIM(C38)&amp;" ")-1),",","."))+1,9)),IF(ISNUMBER(SEARCH("yea",C38)),IFERROR(_xlfn.NUMBERVALUE(SUBSTITUTE(LEFT(TRIM(C38),FIND(" ",TRIM(C38)&amp;" ")-1),",","."),"."),LEFT(SUBSTITUTE(LEFT(TRIM(C38),FIND(" ",TRIM(C38)&amp;" ")-1),",","."),FIND("/",SUBSTITUTE(LEFT(TRIM(C38),FIND(" ",TRIM(C38)&amp;" ")-1),",","."))-1)/MID(SUBSTITUTE(LEFT(TRIM(C38),FIND(" ",TRIM(C38)&amp;" ")-1),",","."),FIND("/",SUBSTITUTE(LEFT(TRIM(C38),FIND(" ",TRIM(C38)&amp;" ")-1),",","."))+1,9))*12,NA()))),0),48)*'Aturan &amp; Tarif'!$B$4,2)</f>
        <v>2725.44</v>
      </c>
      <c r="K38" s="32" t="n">
        <f aca="false">'Aturan &amp; Tarif'!$B$5</f>
        <v>2050</v>
      </c>
      <c r="L38" s="35" t="n">
        <f aca="false">I38+J38+K38</f>
        <v>22587.44</v>
      </c>
      <c r="M38" s="37" t="s">
        <v>318</v>
      </c>
    </row>
    <row r="39" customFormat="false" ht="25.5" hidden="false" customHeight="true" outlineLevel="0" collapsed="false">
      <c r="A39" s="29"/>
      <c r="B39" s="30" t="s">
        <v>353</v>
      </c>
      <c r="C39" s="31" t="s">
        <v>191</v>
      </c>
      <c r="D39" s="31" t="s">
        <v>108</v>
      </c>
      <c r="E39" s="32" t="n">
        <v>8906</v>
      </c>
      <c r="F39" s="32"/>
      <c r="G39" s="32"/>
      <c r="H39" s="33" t="n">
        <v>2</v>
      </c>
      <c r="I39" s="34" t="n">
        <f aca="false">E39*H39+N(F39)+N(G39)</f>
        <v>17812</v>
      </c>
      <c r="J39" s="32" t="n">
        <f aca="false">ROUND(IFERROR(ROUND(IF(OR(ISNUMBER(SEARCH("week",C39)),ISNUMBER(SEARCH("minggu",C39))),IFERROR(_xlfn.NUMBERVALUE(SUBSTITUTE(LEFT(TRIM(C39),FIND(" ",TRIM(C39)&amp;" ")-1),",","."),"."),LEFT(SUBSTITUTE(LEFT(TRIM(C39),FIND(" ",TRIM(C39)&amp;" ")-1),",","."),FIND("/",SUBSTITUTE(LEFT(TRIM(C39),FIND(" ",TRIM(C39)&amp;" ")-1),",","."))-1)/MID(SUBSTITUTE(LEFT(TRIM(C39),FIND(" ",TRIM(C39)&amp;" ")-1),",","."),FIND("/",SUBSTITUTE(LEFT(TRIM(C39),FIND(" ",TRIM(C39)&amp;" ")-1),",","."))+1,9))*12/52,IF(ISNUMBER(SEARCH("month",C39)),IFERROR(_xlfn.NUMBERVALUE(SUBSTITUTE(LEFT(TRIM(C39),FIND(" ",TRIM(C39)&amp;" ")-1),",","."),"."),LEFT(SUBSTITUTE(LEFT(TRIM(C39),FIND(" ",TRIM(C39)&amp;" ")-1),",","."),FIND("/",SUBSTITUTE(LEFT(TRIM(C39),FIND(" ",TRIM(C39)&amp;" ")-1),",","."))-1)/MID(SUBSTITUTE(LEFT(TRIM(C39),FIND(" ",TRIM(C39)&amp;" ")-1),",","."),FIND("/",SUBSTITUTE(LEFT(TRIM(C39),FIND(" ",TRIM(C39)&amp;" ")-1),",","."))+1,9)),IF(ISNUMBER(SEARCH("yea",C39)),IFERROR(_xlfn.NUMBERVALUE(SUBSTITUTE(LEFT(TRIM(C39),FIND(" ",TRIM(C39)&amp;" ")-1),",","."),"."),LEFT(SUBSTITUTE(LEFT(TRIM(C39),FIND(" ",TRIM(C39)&amp;" ")-1),",","."),FIND("/",SUBSTITUTE(LEFT(TRIM(C39),FIND(" ",TRIM(C39)&amp;" ")-1),",","."))-1)/MID(SUBSTITUTE(LEFT(TRIM(C39),FIND(" ",TRIM(C39)&amp;" ")-1),",","."),FIND("/",SUBSTITUTE(LEFT(TRIM(C39),FIND(" ",TRIM(C39)&amp;" ")-1),",","."))+1,9))*12,NA()))),0),48)*'Aturan &amp; Tarif'!$B$4,2)</f>
        <v>2725.44</v>
      </c>
      <c r="K39" s="32" t="n">
        <f aca="false">'Aturan &amp; Tarif'!$B$5</f>
        <v>2050</v>
      </c>
      <c r="L39" s="35" t="n">
        <f aca="false">I39+J39+K39</f>
        <v>22587.44</v>
      </c>
      <c r="M39" s="37" t="s">
        <v>318</v>
      </c>
    </row>
    <row r="40" customFormat="false" ht="25.5" hidden="false" customHeight="true" outlineLevel="0" collapsed="false">
      <c r="A40" s="29"/>
      <c r="B40" s="30" t="s">
        <v>354</v>
      </c>
      <c r="C40" s="31" t="s">
        <v>191</v>
      </c>
      <c r="D40" s="31" t="s">
        <v>108</v>
      </c>
      <c r="E40" s="32" t="n">
        <v>9706</v>
      </c>
      <c r="F40" s="32"/>
      <c r="G40" s="32"/>
      <c r="H40" s="33" t="n">
        <v>2</v>
      </c>
      <c r="I40" s="34" t="n">
        <f aca="false">E40*H40+N(F40)+N(G40)</f>
        <v>19412</v>
      </c>
      <c r="J40" s="32" t="n">
        <f aca="false">ROUND(IFERROR(ROUND(IF(OR(ISNUMBER(SEARCH("week",C40)),ISNUMBER(SEARCH("minggu",C40))),IFERROR(_xlfn.NUMBERVALUE(SUBSTITUTE(LEFT(TRIM(C40),FIND(" ",TRIM(C40)&amp;" ")-1),",","."),"."),LEFT(SUBSTITUTE(LEFT(TRIM(C40),FIND(" ",TRIM(C40)&amp;" ")-1),",","."),FIND("/",SUBSTITUTE(LEFT(TRIM(C40),FIND(" ",TRIM(C40)&amp;" ")-1),",","."))-1)/MID(SUBSTITUTE(LEFT(TRIM(C40),FIND(" ",TRIM(C40)&amp;" ")-1),",","."),FIND("/",SUBSTITUTE(LEFT(TRIM(C40),FIND(" ",TRIM(C40)&amp;" ")-1),",","."))+1,9))*12/52,IF(ISNUMBER(SEARCH("month",C40)),IFERROR(_xlfn.NUMBERVALUE(SUBSTITUTE(LEFT(TRIM(C40),FIND(" ",TRIM(C40)&amp;" ")-1),",","."),"."),LEFT(SUBSTITUTE(LEFT(TRIM(C40),FIND(" ",TRIM(C40)&amp;" ")-1),",","."),FIND("/",SUBSTITUTE(LEFT(TRIM(C40),FIND(" ",TRIM(C40)&amp;" ")-1),",","."))-1)/MID(SUBSTITUTE(LEFT(TRIM(C40),FIND(" ",TRIM(C40)&amp;" ")-1),",","."),FIND("/",SUBSTITUTE(LEFT(TRIM(C40),FIND(" ",TRIM(C40)&amp;" ")-1),",","."))+1,9)),IF(ISNUMBER(SEARCH("yea",C40)),IFERROR(_xlfn.NUMBERVALUE(SUBSTITUTE(LEFT(TRIM(C40),FIND(" ",TRIM(C40)&amp;" ")-1),",","."),"."),LEFT(SUBSTITUTE(LEFT(TRIM(C40),FIND(" ",TRIM(C40)&amp;" ")-1),",","."),FIND("/",SUBSTITUTE(LEFT(TRIM(C40),FIND(" ",TRIM(C40)&amp;" ")-1),",","."))-1)/MID(SUBSTITUTE(LEFT(TRIM(C40),FIND(" ",TRIM(C40)&amp;" ")-1),",","."),FIND("/",SUBSTITUTE(LEFT(TRIM(C40),FIND(" ",TRIM(C40)&amp;" ")-1),",","."))+1,9))*12,NA()))),0),48)*'Aturan &amp; Tarif'!$B$4,2)</f>
        <v>2725.44</v>
      </c>
      <c r="K40" s="32" t="n">
        <f aca="false">'Aturan &amp; Tarif'!$B$5</f>
        <v>2050</v>
      </c>
      <c r="L40" s="35" t="n">
        <f aca="false">I40+J40+K40</f>
        <v>24187.44</v>
      </c>
      <c r="M40" s="37" t="s">
        <v>318</v>
      </c>
    </row>
    <row r="41" customFormat="false" ht="14.25" hidden="false" customHeight="true" outlineLevel="0" collapsed="false">
      <c r="A41" s="29"/>
      <c r="B41" s="30" t="s">
        <v>355</v>
      </c>
      <c r="C41" s="31" t="s">
        <v>127</v>
      </c>
      <c r="D41" s="31" t="s">
        <v>108</v>
      </c>
      <c r="E41" s="32" t="n">
        <v>8906</v>
      </c>
      <c r="F41" s="32"/>
      <c r="G41" s="32"/>
      <c r="H41" s="33" t="n">
        <v>2</v>
      </c>
      <c r="I41" s="34" t="n">
        <f aca="false">E41*H41+N(F41)+N(G41)</f>
        <v>17812</v>
      </c>
      <c r="J41" s="32" t="n">
        <f aca="false">ROUND(IFERROR(ROUND(IF(OR(ISNUMBER(SEARCH("week",C41)),ISNUMBER(SEARCH("minggu",C41))),IFERROR(_xlfn.NUMBERVALUE(SUBSTITUTE(LEFT(TRIM(C41),FIND(" ",TRIM(C41)&amp;" ")-1),",","."),"."),LEFT(SUBSTITUTE(LEFT(TRIM(C41),FIND(" ",TRIM(C41)&amp;" ")-1),",","."),FIND("/",SUBSTITUTE(LEFT(TRIM(C41),FIND(" ",TRIM(C41)&amp;" ")-1),",","."))-1)/MID(SUBSTITUTE(LEFT(TRIM(C41),FIND(" ",TRIM(C41)&amp;" ")-1),",","."),FIND("/",SUBSTITUTE(LEFT(TRIM(C41),FIND(" ",TRIM(C41)&amp;" ")-1),",","."))+1,9))*12/52,IF(ISNUMBER(SEARCH("month",C41)),IFERROR(_xlfn.NUMBERVALUE(SUBSTITUTE(LEFT(TRIM(C41),FIND(" ",TRIM(C41)&amp;" ")-1),",","."),"."),LEFT(SUBSTITUTE(LEFT(TRIM(C41),FIND(" ",TRIM(C41)&amp;" ")-1),",","."),FIND("/",SUBSTITUTE(LEFT(TRIM(C41),FIND(" ",TRIM(C41)&amp;" ")-1),",","."))-1)/MID(SUBSTITUTE(LEFT(TRIM(C41),FIND(" ",TRIM(C41)&amp;" ")-1),",","."),FIND("/",SUBSTITUTE(LEFT(TRIM(C41),FIND(" ",TRIM(C41)&amp;" ")-1),",","."))+1,9)),IF(ISNUMBER(SEARCH("yea",C41)),IFERROR(_xlfn.NUMBERVALUE(SUBSTITUTE(LEFT(TRIM(C41),FIND(" ",TRIM(C41)&amp;" ")-1),",","."),"."),LEFT(SUBSTITUTE(LEFT(TRIM(C41),FIND(" ",TRIM(C41)&amp;" ")-1),",","."),FIND("/",SUBSTITUTE(LEFT(TRIM(C41),FIND(" ",TRIM(C41)&amp;" ")-1),",","."))-1)/MID(SUBSTITUTE(LEFT(TRIM(C41),FIND(" ",TRIM(C41)&amp;" ")-1),",","."),FIND("/",SUBSTITUTE(LEFT(TRIM(C41),FIND(" ",TRIM(C41)&amp;" ")-1),",","."))+1,9))*12,NA()))),0),36)*'Aturan &amp; Tarif'!$B$4,2)</f>
        <v>2044.08</v>
      </c>
      <c r="K41" s="32" t="n">
        <f aca="false">'Aturan &amp; Tarif'!$B$5</f>
        <v>2050</v>
      </c>
      <c r="L41" s="35" t="n">
        <f aca="false">I41+J41+K41</f>
        <v>21906.08</v>
      </c>
      <c r="M41" s="37" t="s">
        <v>318</v>
      </c>
    </row>
    <row r="42" customFormat="false" ht="25.5" hidden="false" customHeight="true" outlineLevel="0" collapsed="false">
      <c r="A42" s="29"/>
      <c r="B42" s="30" t="s">
        <v>356</v>
      </c>
      <c r="C42" s="31" t="s">
        <v>191</v>
      </c>
      <c r="D42" s="31" t="s">
        <v>108</v>
      </c>
      <c r="E42" s="32" t="n">
        <v>8906</v>
      </c>
      <c r="F42" s="32"/>
      <c r="G42" s="32"/>
      <c r="H42" s="33" t="n">
        <v>2</v>
      </c>
      <c r="I42" s="34" t="n">
        <f aca="false">E42*H42+N(F42)+N(G42)</f>
        <v>17812</v>
      </c>
      <c r="J42" s="32" t="n">
        <f aca="false">ROUND(IFERROR(ROUND(IF(OR(ISNUMBER(SEARCH("week",C42)),ISNUMBER(SEARCH("minggu",C42))),IFERROR(_xlfn.NUMBERVALUE(SUBSTITUTE(LEFT(TRIM(C42),FIND(" ",TRIM(C42)&amp;" ")-1),",","."),"."),LEFT(SUBSTITUTE(LEFT(TRIM(C42),FIND(" ",TRIM(C42)&amp;" ")-1),",","."),FIND("/",SUBSTITUTE(LEFT(TRIM(C42),FIND(" ",TRIM(C42)&amp;" ")-1),",","."))-1)/MID(SUBSTITUTE(LEFT(TRIM(C42),FIND(" ",TRIM(C42)&amp;" ")-1),",","."),FIND("/",SUBSTITUTE(LEFT(TRIM(C42),FIND(" ",TRIM(C42)&amp;" ")-1),",","."))+1,9))*12/52,IF(ISNUMBER(SEARCH("month",C42)),IFERROR(_xlfn.NUMBERVALUE(SUBSTITUTE(LEFT(TRIM(C42),FIND(" ",TRIM(C42)&amp;" ")-1),",","."),"."),LEFT(SUBSTITUTE(LEFT(TRIM(C42),FIND(" ",TRIM(C42)&amp;" ")-1),",","."),FIND("/",SUBSTITUTE(LEFT(TRIM(C42),FIND(" ",TRIM(C42)&amp;" ")-1),",","."))-1)/MID(SUBSTITUTE(LEFT(TRIM(C42),FIND(" ",TRIM(C42)&amp;" ")-1),",","."),FIND("/",SUBSTITUTE(LEFT(TRIM(C42),FIND(" ",TRIM(C42)&amp;" ")-1),",","."))+1,9)),IF(ISNUMBER(SEARCH("yea",C42)),IFERROR(_xlfn.NUMBERVALUE(SUBSTITUTE(LEFT(TRIM(C42),FIND(" ",TRIM(C42)&amp;" ")-1),",","."),"."),LEFT(SUBSTITUTE(LEFT(TRIM(C42),FIND(" ",TRIM(C42)&amp;" ")-1),",","."),FIND("/",SUBSTITUTE(LEFT(TRIM(C42),FIND(" ",TRIM(C42)&amp;" ")-1),",","."))-1)/MID(SUBSTITUTE(LEFT(TRIM(C42),FIND(" ",TRIM(C42)&amp;" ")-1),",","."),FIND("/",SUBSTITUTE(LEFT(TRIM(C42),FIND(" ",TRIM(C42)&amp;" ")-1),",","."))+1,9))*12,NA()))),0),48)*'Aturan &amp; Tarif'!$B$4,2)</f>
        <v>2725.44</v>
      </c>
      <c r="K42" s="32" t="n">
        <f aca="false">'Aturan &amp; Tarif'!$B$5</f>
        <v>2050</v>
      </c>
      <c r="L42" s="35" t="n">
        <f aca="false">I42+J42+K42</f>
        <v>22587.44</v>
      </c>
      <c r="M42" s="37" t="s">
        <v>318</v>
      </c>
    </row>
    <row r="43" customFormat="false" ht="14.25" hidden="false" customHeight="true" outlineLevel="0" collapsed="false">
      <c r="A43" s="29"/>
      <c r="B43" s="30" t="s">
        <v>357</v>
      </c>
      <c r="C43" s="31" t="s">
        <v>191</v>
      </c>
      <c r="D43" s="31" t="s">
        <v>108</v>
      </c>
      <c r="E43" s="32" t="n">
        <v>8906</v>
      </c>
      <c r="F43" s="32"/>
      <c r="G43" s="32"/>
      <c r="H43" s="33" t="n">
        <v>2</v>
      </c>
      <c r="I43" s="34" t="n">
        <f aca="false">E43*H43+N(F43)+N(G43)</f>
        <v>17812</v>
      </c>
      <c r="J43" s="32" t="n">
        <f aca="false">ROUND(IFERROR(ROUND(IF(OR(ISNUMBER(SEARCH("week",C43)),ISNUMBER(SEARCH("minggu",C43))),IFERROR(_xlfn.NUMBERVALUE(SUBSTITUTE(LEFT(TRIM(C43),FIND(" ",TRIM(C43)&amp;" ")-1),",","."),"."),LEFT(SUBSTITUTE(LEFT(TRIM(C43),FIND(" ",TRIM(C43)&amp;" ")-1),",","."),FIND("/",SUBSTITUTE(LEFT(TRIM(C43),FIND(" ",TRIM(C43)&amp;" ")-1),",","."))-1)/MID(SUBSTITUTE(LEFT(TRIM(C43),FIND(" ",TRIM(C43)&amp;" ")-1),",","."),FIND("/",SUBSTITUTE(LEFT(TRIM(C43),FIND(" ",TRIM(C43)&amp;" ")-1),",","."))+1,9))*12/52,IF(ISNUMBER(SEARCH("month",C43)),IFERROR(_xlfn.NUMBERVALUE(SUBSTITUTE(LEFT(TRIM(C43),FIND(" ",TRIM(C43)&amp;" ")-1),",","."),"."),LEFT(SUBSTITUTE(LEFT(TRIM(C43),FIND(" ",TRIM(C43)&amp;" ")-1),",","."),FIND("/",SUBSTITUTE(LEFT(TRIM(C43),FIND(" ",TRIM(C43)&amp;" ")-1),",","."))-1)/MID(SUBSTITUTE(LEFT(TRIM(C43),FIND(" ",TRIM(C43)&amp;" ")-1),",","."),FIND("/",SUBSTITUTE(LEFT(TRIM(C43),FIND(" ",TRIM(C43)&amp;" ")-1),",","."))+1,9)),IF(ISNUMBER(SEARCH("yea",C43)),IFERROR(_xlfn.NUMBERVALUE(SUBSTITUTE(LEFT(TRIM(C43),FIND(" ",TRIM(C43)&amp;" ")-1),",","."),"."),LEFT(SUBSTITUTE(LEFT(TRIM(C43),FIND(" ",TRIM(C43)&amp;" ")-1),",","."),FIND("/",SUBSTITUTE(LEFT(TRIM(C43),FIND(" ",TRIM(C43)&amp;" ")-1),",","."))-1)/MID(SUBSTITUTE(LEFT(TRIM(C43),FIND(" ",TRIM(C43)&amp;" ")-1),",","."),FIND("/",SUBSTITUTE(LEFT(TRIM(C43),FIND(" ",TRIM(C43)&amp;" ")-1),",","."))+1,9))*12,NA()))),0),48)*'Aturan &amp; Tarif'!$B$4,2)</f>
        <v>2725.44</v>
      </c>
      <c r="K43" s="32" t="n">
        <f aca="false">'Aturan &amp; Tarif'!$B$5</f>
        <v>2050</v>
      </c>
      <c r="L43" s="35" t="n">
        <f aca="false">I43+J43+K43</f>
        <v>22587.44</v>
      </c>
      <c r="M43" s="37" t="s">
        <v>318</v>
      </c>
    </row>
    <row r="44" customFormat="false" ht="25.5" hidden="false" customHeight="true" outlineLevel="0" collapsed="false">
      <c r="A44" s="29"/>
      <c r="B44" s="30" t="s">
        <v>358</v>
      </c>
      <c r="C44" s="31" t="s">
        <v>191</v>
      </c>
      <c r="D44" s="31" t="s">
        <v>108</v>
      </c>
      <c r="E44" s="32" t="n">
        <v>8906</v>
      </c>
      <c r="F44" s="32"/>
      <c r="G44" s="32"/>
      <c r="H44" s="33" t="n">
        <v>2</v>
      </c>
      <c r="I44" s="34" t="n">
        <f aca="false">E44*H44+N(F44)+N(G44)</f>
        <v>17812</v>
      </c>
      <c r="J44" s="32" t="n">
        <f aca="false">ROUND(IFERROR(ROUND(IF(OR(ISNUMBER(SEARCH("week",C44)),ISNUMBER(SEARCH("minggu",C44))),IFERROR(_xlfn.NUMBERVALUE(SUBSTITUTE(LEFT(TRIM(C44),FIND(" ",TRIM(C44)&amp;" ")-1),",","."),"."),LEFT(SUBSTITUTE(LEFT(TRIM(C44),FIND(" ",TRIM(C44)&amp;" ")-1),",","."),FIND("/",SUBSTITUTE(LEFT(TRIM(C44),FIND(" ",TRIM(C44)&amp;" ")-1),",","."))-1)/MID(SUBSTITUTE(LEFT(TRIM(C44),FIND(" ",TRIM(C44)&amp;" ")-1),",","."),FIND("/",SUBSTITUTE(LEFT(TRIM(C44),FIND(" ",TRIM(C44)&amp;" ")-1),",","."))+1,9))*12/52,IF(ISNUMBER(SEARCH("month",C44)),IFERROR(_xlfn.NUMBERVALUE(SUBSTITUTE(LEFT(TRIM(C44),FIND(" ",TRIM(C44)&amp;" ")-1),",","."),"."),LEFT(SUBSTITUTE(LEFT(TRIM(C44),FIND(" ",TRIM(C44)&amp;" ")-1),",","."),FIND("/",SUBSTITUTE(LEFT(TRIM(C44),FIND(" ",TRIM(C44)&amp;" ")-1),",","."))-1)/MID(SUBSTITUTE(LEFT(TRIM(C44),FIND(" ",TRIM(C44)&amp;" ")-1),",","."),FIND("/",SUBSTITUTE(LEFT(TRIM(C44),FIND(" ",TRIM(C44)&amp;" ")-1),",","."))+1,9)),IF(ISNUMBER(SEARCH("yea",C44)),IFERROR(_xlfn.NUMBERVALUE(SUBSTITUTE(LEFT(TRIM(C44),FIND(" ",TRIM(C44)&amp;" ")-1),",","."),"."),LEFT(SUBSTITUTE(LEFT(TRIM(C44),FIND(" ",TRIM(C44)&amp;" ")-1),",","."),FIND("/",SUBSTITUTE(LEFT(TRIM(C44),FIND(" ",TRIM(C44)&amp;" ")-1),",","."))-1)/MID(SUBSTITUTE(LEFT(TRIM(C44),FIND(" ",TRIM(C44)&amp;" ")-1),",","."),FIND("/",SUBSTITUTE(LEFT(TRIM(C44),FIND(" ",TRIM(C44)&amp;" ")-1),",","."))+1,9))*12,NA()))),0),48)*'Aturan &amp; Tarif'!$B$4,2)</f>
        <v>2725.44</v>
      </c>
      <c r="K44" s="32" t="n">
        <f aca="false">'Aturan &amp; Tarif'!$B$5</f>
        <v>2050</v>
      </c>
      <c r="L44" s="35" t="n">
        <f aca="false">I44+J44+K44</f>
        <v>22587.44</v>
      </c>
      <c r="M44" s="37" t="s">
        <v>318</v>
      </c>
    </row>
    <row r="45" customFormat="false" ht="14.25" hidden="false" customHeight="true" outlineLevel="0" collapsed="false">
      <c r="A45" s="29"/>
      <c r="B45" s="30" t="s">
        <v>237</v>
      </c>
      <c r="C45" s="31" t="s">
        <v>191</v>
      </c>
      <c r="D45" s="31" t="s">
        <v>108</v>
      </c>
      <c r="E45" s="32" t="n">
        <v>8906</v>
      </c>
      <c r="F45" s="32"/>
      <c r="G45" s="32"/>
      <c r="H45" s="33" t="n">
        <v>2</v>
      </c>
      <c r="I45" s="34" t="n">
        <f aca="false">E45*H45+N(F45)+N(G45)</f>
        <v>17812</v>
      </c>
      <c r="J45" s="32" t="n">
        <f aca="false">ROUND(IFERROR(ROUND(IF(OR(ISNUMBER(SEARCH("week",C45)),ISNUMBER(SEARCH("minggu",C45))),IFERROR(_xlfn.NUMBERVALUE(SUBSTITUTE(LEFT(TRIM(C45),FIND(" ",TRIM(C45)&amp;" ")-1),",","."),"."),LEFT(SUBSTITUTE(LEFT(TRIM(C45),FIND(" ",TRIM(C45)&amp;" ")-1),",","."),FIND("/",SUBSTITUTE(LEFT(TRIM(C45),FIND(" ",TRIM(C45)&amp;" ")-1),",","."))-1)/MID(SUBSTITUTE(LEFT(TRIM(C45),FIND(" ",TRIM(C45)&amp;" ")-1),",","."),FIND("/",SUBSTITUTE(LEFT(TRIM(C45),FIND(" ",TRIM(C45)&amp;" ")-1),",","."))+1,9))*12/52,IF(ISNUMBER(SEARCH("month",C45)),IFERROR(_xlfn.NUMBERVALUE(SUBSTITUTE(LEFT(TRIM(C45),FIND(" ",TRIM(C45)&amp;" ")-1),",","."),"."),LEFT(SUBSTITUTE(LEFT(TRIM(C45),FIND(" ",TRIM(C45)&amp;" ")-1),",","."),FIND("/",SUBSTITUTE(LEFT(TRIM(C45),FIND(" ",TRIM(C45)&amp;" ")-1),",","."))-1)/MID(SUBSTITUTE(LEFT(TRIM(C45),FIND(" ",TRIM(C45)&amp;" ")-1),",","."),FIND("/",SUBSTITUTE(LEFT(TRIM(C45),FIND(" ",TRIM(C45)&amp;" ")-1),",","."))+1,9)),IF(ISNUMBER(SEARCH("yea",C45)),IFERROR(_xlfn.NUMBERVALUE(SUBSTITUTE(LEFT(TRIM(C45),FIND(" ",TRIM(C45)&amp;" ")-1),",","."),"."),LEFT(SUBSTITUTE(LEFT(TRIM(C45),FIND(" ",TRIM(C45)&amp;" ")-1),",","."),FIND("/",SUBSTITUTE(LEFT(TRIM(C45),FIND(" ",TRIM(C45)&amp;" ")-1),",","."))-1)/MID(SUBSTITUTE(LEFT(TRIM(C45),FIND(" ",TRIM(C45)&amp;" ")-1),",","."),FIND("/",SUBSTITUTE(LEFT(TRIM(C45),FIND(" ",TRIM(C45)&amp;" ")-1),",","."))+1,9))*12,NA()))),0),48)*'Aturan &amp; Tarif'!$B$4,2)</f>
        <v>2725.44</v>
      </c>
      <c r="K45" s="32" t="n">
        <f aca="false">'Aturan &amp; Tarif'!$B$5</f>
        <v>2050</v>
      </c>
      <c r="L45" s="35" t="n">
        <f aca="false">I45+J45+K45</f>
        <v>22587.44</v>
      </c>
      <c r="M45" s="37" t="s">
        <v>318</v>
      </c>
    </row>
    <row r="46" customFormat="false" ht="25.5" hidden="false" customHeight="true" outlineLevel="0" collapsed="false">
      <c r="A46" s="29"/>
      <c r="B46" s="30" t="s">
        <v>359</v>
      </c>
      <c r="C46" s="31" t="s">
        <v>191</v>
      </c>
      <c r="D46" s="31" t="s">
        <v>108</v>
      </c>
      <c r="E46" s="32" t="n">
        <v>8906</v>
      </c>
      <c r="F46" s="32"/>
      <c r="G46" s="32"/>
      <c r="H46" s="33" t="n">
        <v>2</v>
      </c>
      <c r="I46" s="34" t="n">
        <f aca="false">E46*H46+N(F46)+N(G46)</f>
        <v>17812</v>
      </c>
      <c r="J46" s="32" t="n">
        <f aca="false">ROUND(IFERROR(ROUND(IF(OR(ISNUMBER(SEARCH("week",C46)),ISNUMBER(SEARCH("minggu",C46))),IFERROR(_xlfn.NUMBERVALUE(SUBSTITUTE(LEFT(TRIM(C46),FIND(" ",TRIM(C46)&amp;" ")-1),",","."),"."),LEFT(SUBSTITUTE(LEFT(TRIM(C46),FIND(" ",TRIM(C46)&amp;" ")-1),",","."),FIND("/",SUBSTITUTE(LEFT(TRIM(C46),FIND(" ",TRIM(C46)&amp;" ")-1),",","."))-1)/MID(SUBSTITUTE(LEFT(TRIM(C46),FIND(" ",TRIM(C46)&amp;" ")-1),",","."),FIND("/",SUBSTITUTE(LEFT(TRIM(C46),FIND(" ",TRIM(C46)&amp;" ")-1),",","."))+1,9))*12/52,IF(ISNUMBER(SEARCH("month",C46)),IFERROR(_xlfn.NUMBERVALUE(SUBSTITUTE(LEFT(TRIM(C46),FIND(" ",TRIM(C46)&amp;" ")-1),",","."),"."),LEFT(SUBSTITUTE(LEFT(TRIM(C46),FIND(" ",TRIM(C46)&amp;" ")-1),",","."),FIND("/",SUBSTITUTE(LEFT(TRIM(C46),FIND(" ",TRIM(C46)&amp;" ")-1),",","."))-1)/MID(SUBSTITUTE(LEFT(TRIM(C46),FIND(" ",TRIM(C46)&amp;" ")-1),",","."),FIND("/",SUBSTITUTE(LEFT(TRIM(C46),FIND(" ",TRIM(C46)&amp;" ")-1),",","."))+1,9)),IF(ISNUMBER(SEARCH("yea",C46)),IFERROR(_xlfn.NUMBERVALUE(SUBSTITUTE(LEFT(TRIM(C46),FIND(" ",TRIM(C46)&amp;" ")-1),",","."),"."),LEFT(SUBSTITUTE(LEFT(TRIM(C46),FIND(" ",TRIM(C46)&amp;" ")-1),",","."),FIND("/",SUBSTITUTE(LEFT(TRIM(C46),FIND(" ",TRIM(C46)&amp;" ")-1),",","."))-1)/MID(SUBSTITUTE(LEFT(TRIM(C46),FIND(" ",TRIM(C46)&amp;" ")-1),",","."),FIND("/",SUBSTITUTE(LEFT(TRIM(C46),FIND(" ",TRIM(C46)&amp;" ")-1),",","."))+1,9))*12,NA()))),0),48)*'Aturan &amp; Tarif'!$B$4,2)</f>
        <v>2725.44</v>
      </c>
      <c r="K46" s="32" t="n">
        <f aca="false">'Aturan &amp; Tarif'!$B$5</f>
        <v>2050</v>
      </c>
      <c r="L46" s="35" t="n">
        <f aca="false">I46+J46+K46</f>
        <v>22587.44</v>
      </c>
      <c r="M46" s="37" t="s">
        <v>318</v>
      </c>
    </row>
    <row r="47" customFormat="false" ht="14.25" hidden="false" customHeight="true" outlineLevel="0" collapsed="false">
      <c r="A47" s="29"/>
      <c r="B47" s="30" t="s">
        <v>360</v>
      </c>
      <c r="C47" s="31" t="s">
        <v>191</v>
      </c>
      <c r="D47" s="31" t="s">
        <v>108</v>
      </c>
      <c r="E47" s="32" t="n">
        <v>8906</v>
      </c>
      <c r="F47" s="32"/>
      <c r="G47" s="32"/>
      <c r="H47" s="33" t="n">
        <v>2</v>
      </c>
      <c r="I47" s="34" t="n">
        <f aca="false">E47*H47+N(F47)+N(G47)</f>
        <v>17812</v>
      </c>
      <c r="J47" s="32" t="n">
        <f aca="false">ROUND(IFERROR(ROUND(IF(OR(ISNUMBER(SEARCH("week",C47)),ISNUMBER(SEARCH("minggu",C47))),IFERROR(_xlfn.NUMBERVALUE(SUBSTITUTE(LEFT(TRIM(C47),FIND(" ",TRIM(C47)&amp;" ")-1),",","."),"."),LEFT(SUBSTITUTE(LEFT(TRIM(C47),FIND(" ",TRIM(C47)&amp;" ")-1),",","."),FIND("/",SUBSTITUTE(LEFT(TRIM(C47),FIND(" ",TRIM(C47)&amp;" ")-1),",","."))-1)/MID(SUBSTITUTE(LEFT(TRIM(C47),FIND(" ",TRIM(C47)&amp;" ")-1),",","."),FIND("/",SUBSTITUTE(LEFT(TRIM(C47),FIND(" ",TRIM(C47)&amp;" ")-1),",","."))+1,9))*12/52,IF(ISNUMBER(SEARCH("month",C47)),IFERROR(_xlfn.NUMBERVALUE(SUBSTITUTE(LEFT(TRIM(C47),FIND(" ",TRIM(C47)&amp;" ")-1),",","."),"."),LEFT(SUBSTITUTE(LEFT(TRIM(C47),FIND(" ",TRIM(C47)&amp;" ")-1),",","."),FIND("/",SUBSTITUTE(LEFT(TRIM(C47),FIND(" ",TRIM(C47)&amp;" ")-1),",","."))-1)/MID(SUBSTITUTE(LEFT(TRIM(C47),FIND(" ",TRIM(C47)&amp;" ")-1),",","."),FIND("/",SUBSTITUTE(LEFT(TRIM(C47),FIND(" ",TRIM(C47)&amp;" ")-1),",","."))+1,9)),IF(ISNUMBER(SEARCH("yea",C47)),IFERROR(_xlfn.NUMBERVALUE(SUBSTITUTE(LEFT(TRIM(C47),FIND(" ",TRIM(C47)&amp;" ")-1),",","."),"."),LEFT(SUBSTITUTE(LEFT(TRIM(C47),FIND(" ",TRIM(C47)&amp;" ")-1),",","."),FIND("/",SUBSTITUTE(LEFT(TRIM(C47),FIND(" ",TRIM(C47)&amp;" ")-1),",","."))-1)/MID(SUBSTITUTE(LEFT(TRIM(C47),FIND(" ",TRIM(C47)&amp;" ")-1),",","."),FIND("/",SUBSTITUTE(LEFT(TRIM(C47),FIND(" ",TRIM(C47)&amp;" ")-1),",","."))+1,9))*12,NA()))),0),48)*'Aturan &amp; Tarif'!$B$4,2)</f>
        <v>2725.44</v>
      </c>
      <c r="K47" s="32" t="n">
        <f aca="false">'Aturan &amp; Tarif'!$B$5</f>
        <v>2050</v>
      </c>
      <c r="L47" s="35" t="n">
        <f aca="false">I47+J47+K47</f>
        <v>22587.44</v>
      </c>
      <c r="M47" s="37" t="s">
        <v>318</v>
      </c>
    </row>
    <row r="48" customFormat="false" ht="25.5" hidden="false" customHeight="true" outlineLevel="0" collapsed="false">
      <c r="A48" s="29"/>
      <c r="B48" s="30" t="s">
        <v>361</v>
      </c>
      <c r="C48" s="31" t="s">
        <v>191</v>
      </c>
      <c r="D48" s="31" t="s">
        <v>108</v>
      </c>
      <c r="E48" s="32" t="n">
        <v>8906</v>
      </c>
      <c r="F48" s="32"/>
      <c r="G48" s="32"/>
      <c r="H48" s="33" t="n">
        <v>2</v>
      </c>
      <c r="I48" s="34" t="n">
        <f aca="false">E48*H48+N(F48)+N(G48)</f>
        <v>17812</v>
      </c>
      <c r="J48" s="32" t="n">
        <f aca="false">ROUND(IFERROR(ROUND(IF(OR(ISNUMBER(SEARCH("week",C48)),ISNUMBER(SEARCH("minggu",C48))),IFERROR(_xlfn.NUMBERVALUE(SUBSTITUTE(LEFT(TRIM(C48),FIND(" ",TRIM(C48)&amp;" ")-1),",","."),"."),LEFT(SUBSTITUTE(LEFT(TRIM(C48),FIND(" ",TRIM(C48)&amp;" ")-1),",","."),FIND("/",SUBSTITUTE(LEFT(TRIM(C48),FIND(" ",TRIM(C48)&amp;" ")-1),",","."))-1)/MID(SUBSTITUTE(LEFT(TRIM(C48),FIND(" ",TRIM(C48)&amp;" ")-1),",","."),FIND("/",SUBSTITUTE(LEFT(TRIM(C48),FIND(" ",TRIM(C48)&amp;" ")-1),",","."))+1,9))*12/52,IF(ISNUMBER(SEARCH("month",C48)),IFERROR(_xlfn.NUMBERVALUE(SUBSTITUTE(LEFT(TRIM(C48),FIND(" ",TRIM(C48)&amp;" ")-1),",","."),"."),LEFT(SUBSTITUTE(LEFT(TRIM(C48),FIND(" ",TRIM(C48)&amp;" ")-1),",","."),FIND("/",SUBSTITUTE(LEFT(TRIM(C48),FIND(" ",TRIM(C48)&amp;" ")-1),",","."))-1)/MID(SUBSTITUTE(LEFT(TRIM(C48),FIND(" ",TRIM(C48)&amp;" ")-1),",","."),FIND("/",SUBSTITUTE(LEFT(TRIM(C48),FIND(" ",TRIM(C48)&amp;" ")-1),",","."))+1,9)),IF(ISNUMBER(SEARCH("yea",C48)),IFERROR(_xlfn.NUMBERVALUE(SUBSTITUTE(LEFT(TRIM(C48),FIND(" ",TRIM(C48)&amp;" ")-1),",","."),"."),LEFT(SUBSTITUTE(LEFT(TRIM(C48),FIND(" ",TRIM(C48)&amp;" ")-1),",","."),FIND("/",SUBSTITUTE(LEFT(TRIM(C48),FIND(" ",TRIM(C48)&amp;" ")-1),",","."))-1)/MID(SUBSTITUTE(LEFT(TRIM(C48),FIND(" ",TRIM(C48)&amp;" ")-1),",","."),FIND("/",SUBSTITUTE(LEFT(TRIM(C48),FIND(" ",TRIM(C48)&amp;" ")-1),",","."))+1,9))*12,NA()))),0),48)*'Aturan &amp; Tarif'!$B$4,2)</f>
        <v>2725.44</v>
      </c>
      <c r="K48" s="32" t="n">
        <f aca="false">'Aturan &amp; Tarif'!$B$5</f>
        <v>2050</v>
      </c>
      <c r="L48" s="35" t="n">
        <f aca="false">I48+J48+K48</f>
        <v>22587.44</v>
      </c>
      <c r="M48" s="37" t="s">
        <v>318</v>
      </c>
    </row>
    <row r="49" customFormat="false" ht="37.5" hidden="false" customHeight="true" outlineLevel="0" collapsed="false">
      <c r="A49" s="29"/>
      <c r="B49" s="30" t="s">
        <v>362</v>
      </c>
      <c r="C49" s="31" t="s">
        <v>191</v>
      </c>
      <c r="D49" s="31" t="s">
        <v>108</v>
      </c>
      <c r="E49" s="32" t="n">
        <v>8906</v>
      </c>
      <c r="F49" s="32"/>
      <c r="G49" s="32"/>
      <c r="H49" s="33" t="n">
        <v>2</v>
      </c>
      <c r="I49" s="34" t="n">
        <f aca="false">E49*H49+N(F49)+N(G49)</f>
        <v>17812</v>
      </c>
      <c r="J49" s="32" t="n">
        <f aca="false">ROUND(IFERROR(ROUND(IF(OR(ISNUMBER(SEARCH("week",C49)),ISNUMBER(SEARCH("minggu",C49))),IFERROR(_xlfn.NUMBERVALUE(SUBSTITUTE(LEFT(TRIM(C49),FIND(" ",TRIM(C49)&amp;" ")-1),",","."),"."),LEFT(SUBSTITUTE(LEFT(TRIM(C49),FIND(" ",TRIM(C49)&amp;" ")-1),",","."),FIND("/",SUBSTITUTE(LEFT(TRIM(C49),FIND(" ",TRIM(C49)&amp;" ")-1),",","."))-1)/MID(SUBSTITUTE(LEFT(TRIM(C49),FIND(" ",TRIM(C49)&amp;" ")-1),",","."),FIND("/",SUBSTITUTE(LEFT(TRIM(C49),FIND(" ",TRIM(C49)&amp;" ")-1),",","."))+1,9))*12/52,IF(ISNUMBER(SEARCH("month",C49)),IFERROR(_xlfn.NUMBERVALUE(SUBSTITUTE(LEFT(TRIM(C49),FIND(" ",TRIM(C49)&amp;" ")-1),",","."),"."),LEFT(SUBSTITUTE(LEFT(TRIM(C49),FIND(" ",TRIM(C49)&amp;" ")-1),",","."),FIND("/",SUBSTITUTE(LEFT(TRIM(C49),FIND(" ",TRIM(C49)&amp;" ")-1),",","."))-1)/MID(SUBSTITUTE(LEFT(TRIM(C49),FIND(" ",TRIM(C49)&amp;" ")-1),",","."),FIND("/",SUBSTITUTE(LEFT(TRIM(C49),FIND(" ",TRIM(C49)&amp;" ")-1),",","."))+1,9)),IF(ISNUMBER(SEARCH("yea",C49)),IFERROR(_xlfn.NUMBERVALUE(SUBSTITUTE(LEFT(TRIM(C49),FIND(" ",TRIM(C49)&amp;" ")-1),",","."),"."),LEFT(SUBSTITUTE(LEFT(TRIM(C49),FIND(" ",TRIM(C49)&amp;" ")-1),",","."),FIND("/",SUBSTITUTE(LEFT(TRIM(C49),FIND(" ",TRIM(C49)&amp;" ")-1),",","."))-1)/MID(SUBSTITUTE(LEFT(TRIM(C49),FIND(" ",TRIM(C49)&amp;" ")-1),",","."),FIND("/",SUBSTITUTE(LEFT(TRIM(C49),FIND(" ",TRIM(C49)&amp;" ")-1),",","."))+1,9))*12,NA()))),0),48)*'Aturan &amp; Tarif'!$B$4,2)</f>
        <v>2725.44</v>
      </c>
      <c r="K49" s="32" t="n">
        <f aca="false">'Aturan &amp; Tarif'!$B$5</f>
        <v>2050</v>
      </c>
      <c r="L49" s="35" t="n">
        <f aca="false">I49+J49+K49</f>
        <v>22587.44</v>
      </c>
      <c r="M49" s="37" t="s">
        <v>318</v>
      </c>
    </row>
    <row r="50" customFormat="false" ht="25.5" hidden="false" customHeight="true" outlineLevel="0" collapsed="false">
      <c r="A50" s="29"/>
      <c r="B50" s="30" t="s">
        <v>363</v>
      </c>
      <c r="C50" s="31" t="s">
        <v>191</v>
      </c>
      <c r="D50" s="31" t="s">
        <v>108</v>
      </c>
      <c r="E50" s="32" t="n">
        <v>8906</v>
      </c>
      <c r="F50" s="32"/>
      <c r="G50" s="32"/>
      <c r="H50" s="33" t="n">
        <v>2</v>
      </c>
      <c r="I50" s="34" t="n">
        <f aca="false">E50*H50+N(F50)+N(G50)</f>
        <v>17812</v>
      </c>
      <c r="J50" s="32" t="n">
        <f aca="false">ROUND(IFERROR(ROUND(IF(OR(ISNUMBER(SEARCH("week",C50)),ISNUMBER(SEARCH("minggu",C50))),IFERROR(_xlfn.NUMBERVALUE(SUBSTITUTE(LEFT(TRIM(C50),FIND(" ",TRIM(C50)&amp;" ")-1),",","."),"."),LEFT(SUBSTITUTE(LEFT(TRIM(C50),FIND(" ",TRIM(C50)&amp;" ")-1),",","."),FIND("/",SUBSTITUTE(LEFT(TRIM(C50),FIND(" ",TRIM(C50)&amp;" ")-1),",","."))-1)/MID(SUBSTITUTE(LEFT(TRIM(C50),FIND(" ",TRIM(C50)&amp;" ")-1),",","."),FIND("/",SUBSTITUTE(LEFT(TRIM(C50),FIND(" ",TRIM(C50)&amp;" ")-1),",","."))+1,9))*12/52,IF(ISNUMBER(SEARCH("month",C50)),IFERROR(_xlfn.NUMBERVALUE(SUBSTITUTE(LEFT(TRIM(C50),FIND(" ",TRIM(C50)&amp;" ")-1),",","."),"."),LEFT(SUBSTITUTE(LEFT(TRIM(C50),FIND(" ",TRIM(C50)&amp;" ")-1),",","."),FIND("/",SUBSTITUTE(LEFT(TRIM(C50),FIND(" ",TRIM(C50)&amp;" ")-1),",","."))-1)/MID(SUBSTITUTE(LEFT(TRIM(C50),FIND(" ",TRIM(C50)&amp;" ")-1),",","."),FIND("/",SUBSTITUTE(LEFT(TRIM(C50),FIND(" ",TRIM(C50)&amp;" ")-1),",","."))+1,9)),IF(ISNUMBER(SEARCH("yea",C50)),IFERROR(_xlfn.NUMBERVALUE(SUBSTITUTE(LEFT(TRIM(C50),FIND(" ",TRIM(C50)&amp;" ")-1),",","."),"."),LEFT(SUBSTITUTE(LEFT(TRIM(C50),FIND(" ",TRIM(C50)&amp;" ")-1),",","."),FIND("/",SUBSTITUTE(LEFT(TRIM(C50),FIND(" ",TRIM(C50)&amp;" ")-1),",","."))-1)/MID(SUBSTITUTE(LEFT(TRIM(C50),FIND(" ",TRIM(C50)&amp;" ")-1),",","."),FIND("/",SUBSTITUTE(LEFT(TRIM(C50),FIND(" ",TRIM(C50)&amp;" ")-1),",","."))+1,9))*12,NA()))),0),48)*'Aturan &amp; Tarif'!$B$4,2)</f>
        <v>2725.44</v>
      </c>
      <c r="K50" s="32" t="n">
        <f aca="false">'Aturan &amp; Tarif'!$B$5</f>
        <v>2050</v>
      </c>
      <c r="L50" s="35" t="n">
        <f aca="false">I50+J50+K50</f>
        <v>22587.44</v>
      </c>
      <c r="M50" s="37" t="s">
        <v>318</v>
      </c>
    </row>
    <row r="51" customFormat="false" ht="25.5" hidden="false" customHeight="true" outlineLevel="0" collapsed="false">
      <c r="A51" s="29"/>
      <c r="B51" s="30" t="s">
        <v>364</v>
      </c>
      <c r="C51" s="31" t="s">
        <v>191</v>
      </c>
      <c r="D51" s="31" t="s">
        <v>108</v>
      </c>
      <c r="E51" s="32" t="n">
        <v>8906</v>
      </c>
      <c r="F51" s="32"/>
      <c r="G51" s="32"/>
      <c r="H51" s="33" t="n">
        <v>2</v>
      </c>
      <c r="I51" s="34" t="n">
        <f aca="false">E51*H51+N(F51)+N(G51)</f>
        <v>17812</v>
      </c>
      <c r="J51" s="32" t="n">
        <f aca="false">ROUND(IFERROR(ROUND(IF(OR(ISNUMBER(SEARCH("week",C51)),ISNUMBER(SEARCH("minggu",C51))),IFERROR(_xlfn.NUMBERVALUE(SUBSTITUTE(LEFT(TRIM(C51),FIND(" ",TRIM(C51)&amp;" ")-1),",","."),"."),LEFT(SUBSTITUTE(LEFT(TRIM(C51),FIND(" ",TRIM(C51)&amp;" ")-1),",","."),FIND("/",SUBSTITUTE(LEFT(TRIM(C51),FIND(" ",TRIM(C51)&amp;" ")-1),",","."))-1)/MID(SUBSTITUTE(LEFT(TRIM(C51),FIND(" ",TRIM(C51)&amp;" ")-1),",","."),FIND("/",SUBSTITUTE(LEFT(TRIM(C51),FIND(" ",TRIM(C51)&amp;" ")-1),",","."))+1,9))*12/52,IF(ISNUMBER(SEARCH("month",C51)),IFERROR(_xlfn.NUMBERVALUE(SUBSTITUTE(LEFT(TRIM(C51),FIND(" ",TRIM(C51)&amp;" ")-1),",","."),"."),LEFT(SUBSTITUTE(LEFT(TRIM(C51),FIND(" ",TRIM(C51)&amp;" ")-1),",","."),FIND("/",SUBSTITUTE(LEFT(TRIM(C51),FIND(" ",TRIM(C51)&amp;" ")-1),",","."))-1)/MID(SUBSTITUTE(LEFT(TRIM(C51),FIND(" ",TRIM(C51)&amp;" ")-1),",","."),FIND("/",SUBSTITUTE(LEFT(TRIM(C51),FIND(" ",TRIM(C51)&amp;" ")-1),",","."))+1,9)),IF(ISNUMBER(SEARCH("yea",C51)),IFERROR(_xlfn.NUMBERVALUE(SUBSTITUTE(LEFT(TRIM(C51),FIND(" ",TRIM(C51)&amp;" ")-1),",","."),"."),LEFT(SUBSTITUTE(LEFT(TRIM(C51),FIND(" ",TRIM(C51)&amp;" ")-1),",","."),FIND("/",SUBSTITUTE(LEFT(TRIM(C51),FIND(" ",TRIM(C51)&amp;" ")-1),",","."))-1)/MID(SUBSTITUTE(LEFT(TRIM(C51),FIND(" ",TRIM(C51)&amp;" ")-1),",","."),FIND("/",SUBSTITUTE(LEFT(TRIM(C51),FIND(" ",TRIM(C51)&amp;" ")-1),",","."))+1,9))*12,NA()))),0),48)*'Aturan &amp; Tarif'!$B$4,2)</f>
        <v>2725.44</v>
      </c>
      <c r="K51" s="32" t="n">
        <f aca="false">'Aturan &amp; Tarif'!$B$5</f>
        <v>2050</v>
      </c>
      <c r="L51" s="35" t="n">
        <f aca="false">I51+J51+K51</f>
        <v>22587.44</v>
      </c>
      <c r="M51" s="37" t="s">
        <v>318</v>
      </c>
    </row>
    <row r="52" customFormat="false" ht="25.5" hidden="false" customHeight="true" outlineLevel="0" collapsed="false">
      <c r="A52" s="29"/>
      <c r="B52" s="30" t="s">
        <v>365</v>
      </c>
      <c r="C52" s="31" t="s">
        <v>191</v>
      </c>
      <c r="D52" s="31" t="s">
        <v>108</v>
      </c>
      <c r="E52" s="32" t="n">
        <v>8906</v>
      </c>
      <c r="F52" s="32"/>
      <c r="G52" s="32"/>
      <c r="H52" s="33" t="n">
        <v>2</v>
      </c>
      <c r="I52" s="34" t="n">
        <f aca="false">E52*H52+N(F52)+N(G52)</f>
        <v>17812</v>
      </c>
      <c r="J52" s="32" t="n">
        <f aca="false">ROUND(IFERROR(ROUND(IF(OR(ISNUMBER(SEARCH("week",C52)),ISNUMBER(SEARCH("minggu",C52))),IFERROR(_xlfn.NUMBERVALUE(SUBSTITUTE(LEFT(TRIM(C52),FIND(" ",TRIM(C52)&amp;" ")-1),",","."),"."),LEFT(SUBSTITUTE(LEFT(TRIM(C52),FIND(" ",TRIM(C52)&amp;" ")-1),",","."),FIND("/",SUBSTITUTE(LEFT(TRIM(C52),FIND(" ",TRIM(C52)&amp;" ")-1),",","."))-1)/MID(SUBSTITUTE(LEFT(TRIM(C52),FIND(" ",TRIM(C52)&amp;" ")-1),",","."),FIND("/",SUBSTITUTE(LEFT(TRIM(C52),FIND(" ",TRIM(C52)&amp;" ")-1),",","."))+1,9))*12/52,IF(ISNUMBER(SEARCH("month",C52)),IFERROR(_xlfn.NUMBERVALUE(SUBSTITUTE(LEFT(TRIM(C52),FIND(" ",TRIM(C52)&amp;" ")-1),",","."),"."),LEFT(SUBSTITUTE(LEFT(TRIM(C52),FIND(" ",TRIM(C52)&amp;" ")-1),",","."),FIND("/",SUBSTITUTE(LEFT(TRIM(C52),FIND(" ",TRIM(C52)&amp;" ")-1),",","."))-1)/MID(SUBSTITUTE(LEFT(TRIM(C52),FIND(" ",TRIM(C52)&amp;" ")-1),",","."),FIND("/",SUBSTITUTE(LEFT(TRIM(C52),FIND(" ",TRIM(C52)&amp;" ")-1),",","."))+1,9)),IF(ISNUMBER(SEARCH("yea",C52)),IFERROR(_xlfn.NUMBERVALUE(SUBSTITUTE(LEFT(TRIM(C52),FIND(" ",TRIM(C52)&amp;" ")-1),",","."),"."),LEFT(SUBSTITUTE(LEFT(TRIM(C52),FIND(" ",TRIM(C52)&amp;" ")-1),",","."),FIND("/",SUBSTITUTE(LEFT(TRIM(C52),FIND(" ",TRIM(C52)&amp;" ")-1),",","."))-1)/MID(SUBSTITUTE(LEFT(TRIM(C52),FIND(" ",TRIM(C52)&amp;" ")-1),",","."),FIND("/",SUBSTITUTE(LEFT(TRIM(C52),FIND(" ",TRIM(C52)&amp;" ")-1),",","."))+1,9))*12,NA()))),0),48)*'Aturan &amp; Tarif'!$B$4,2)</f>
        <v>2725.44</v>
      </c>
      <c r="K52" s="32" t="n">
        <f aca="false">'Aturan &amp; Tarif'!$B$5</f>
        <v>2050</v>
      </c>
      <c r="L52" s="35" t="n">
        <f aca="false">I52+J52+K52</f>
        <v>22587.44</v>
      </c>
      <c r="M52" s="37" t="s">
        <v>318</v>
      </c>
    </row>
    <row r="53" customFormat="false" ht="25.5" hidden="false" customHeight="true" outlineLevel="0" collapsed="false">
      <c r="A53" s="29"/>
      <c r="B53" s="30" t="s">
        <v>366</v>
      </c>
      <c r="C53" s="31" t="s">
        <v>191</v>
      </c>
      <c r="D53" s="31" t="s">
        <v>108</v>
      </c>
      <c r="E53" s="32" t="n">
        <v>8906</v>
      </c>
      <c r="F53" s="32"/>
      <c r="G53" s="32"/>
      <c r="H53" s="33" t="n">
        <v>2</v>
      </c>
      <c r="I53" s="34" t="n">
        <f aca="false">E53*H53+N(F53)+N(G53)</f>
        <v>17812</v>
      </c>
      <c r="J53" s="32" t="n">
        <f aca="false">ROUND(IFERROR(ROUND(IF(OR(ISNUMBER(SEARCH("week",C53)),ISNUMBER(SEARCH("minggu",C53))),IFERROR(_xlfn.NUMBERVALUE(SUBSTITUTE(LEFT(TRIM(C53),FIND(" ",TRIM(C53)&amp;" ")-1),",","."),"."),LEFT(SUBSTITUTE(LEFT(TRIM(C53),FIND(" ",TRIM(C53)&amp;" ")-1),",","."),FIND("/",SUBSTITUTE(LEFT(TRIM(C53),FIND(" ",TRIM(C53)&amp;" ")-1),",","."))-1)/MID(SUBSTITUTE(LEFT(TRIM(C53),FIND(" ",TRIM(C53)&amp;" ")-1),",","."),FIND("/",SUBSTITUTE(LEFT(TRIM(C53),FIND(" ",TRIM(C53)&amp;" ")-1),",","."))+1,9))*12/52,IF(ISNUMBER(SEARCH("month",C53)),IFERROR(_xlfn.NUMBERVALUE(SUBSTITUTE(LEFT(TRIM(C53),FIND(" ",TRIM(C53)&amp;" ")-1),",","."),"."),LEFT(SUBSTITUTE(LEFT(TRIM(C53),FIND(" ",TRIM(C53)&amp;" ")-1),",","."),FIND("/",SUBSTITUTE(LEFT(TRIM(C53),FIND(" ",TRIM(C53)&amp;" ")-1),",","."))-1)/MID(SUBSTITUTE(LEFT(TRIM(C53),FIND(" ",TRIM(C53)&amp;" ")-1),",","."),FIND("/",SUBSTITUTE(LEFT(TRIM(C53),FIND(" ",TRIM(C53)&amp;" ")-1),",","."))+1,9)),IF(ISNUMBER(SEARCH("yea",C53)),IFERROR(_xlfn.NUMBERVALUE(SUBSTITUTE(LEFT(TRIM(C53),FIND(" ",TRIM(C53)&amp;" ")-1),",","."),"."),LEFT(SUBSTITUTE(LEFT(TRIM(C53),FIND(" ",TRIM(C53)&amp;" ")-1),",","."),FIND("/",SUBSTITUTE(LEFT(TRIM(C53),FIND(" ",TRIM(C53)&amp;" ")-1),",","."))-1)/MID(SUBSTITUTE(LEFT(TRIM(C53),FIND(" ",TRIM(C53)&amp;" ")-1),",","."),FIND("/",SUBSTITUTE(LEFT(TRIM(C53),FIND(" ",TRIM(C53)&amp;" ")-1),",","."))+1,9))*12,NA()))),0),48)*'Aturan &amp; Tarif'!$B$4,2)</f>
        <v>2725.44</v>
      </c>
      <c r="K53" s="32" t="n">
        <f aca="false">'Aturan &amp; Tarif'!$B$5</f>
        <v>2050</v>
      </c>
      <c r="L53" s="35" t="n">
        <f aca="false">I53+J53+K53</f>
        <v>22587.44</v>
      </c>
      <c r="M53" s="37" t="s">
        <v>318</v>
      </c>
    </row>
    <row r="54" customFormat="false" ht="14.25" hidden="false" customHeight="true" outlineLevel="0" collapsed="false">
      <c r="A54" s="29"/>
      <c r="B54" s="30" t="s">
        <v>367</v>
      </c>
      <c r="C54" s="31" t="s">
        <v>127</v>
      </c>
      <c r="D54" s="31" t="s">
        <v>108</v>
      </c>
      <c r="E54" s="32" t="n">
        <v>8906</v>
      </c>
      <c r="F54" s="32"/>
      <c r="G54" s="32"/>
      <c r="H54" s="33" t="n">
        <v>2</v>
      </c>
      <c r="I54" s="34" t="n">
        <f aca="false">E54*H54+N(F54)+N(G54)</f>
        <v>17812</v>
      </c>
      <c r="J54" s="32" t="n">
        <f aca="false">ROUND(IFERROR(ROUND(IF(OR(ISNUMBER(SEARCH("week",C54)),ISNUMBER(SEARCH("minggu",C54))),IFERROR(_xlfn.NUMBERVALUE(SUBSTITUTE(LEFT(TRIM(C54),FIND(" ",TRIM(C54)&amp;" ")-1),",","."),"."),LEFT(SUBSTITUTE(LEFT(TRIM(C54),FIND(" ",TRIM(C54)&amp;" ")-1),",","."),FIND("/",SUBSTITUTE(LEFT(TRIM(C54),FIND(" ",TRIM(C54)&amp;" ")-1),",","."))-1)/MID(SUBSTITUTE(LEFT(TRIM(C54),FIND(" ",TRIM(C54)&amp;" ")-1),",","."),FIND("/",SUBSTITUTE(LEFT(TRIM(C54),FIND(" ",TRIM(C54)&amp;" ")-1),",","."))+1,9))*12/52,IF(ISNUMBER(SEARCH("month",C54)),IFERROR(_xlfn.NUMBERVALUE(SUBSTITUTE(LEFT(TRIM(C54),FIND(" ",TRIM(C54)&amp;" ")-1),",","."),"."),LEFT(SUBSTITUTE(LEFT(TRIM(C54),FIND(" ",TRIM(C54)&amp;" ")-1),",","."),FIND("/",SUBSTITUTE(LEFT(TRIM(C54),FIND(" ",TRIM(C54)&amp;" ")-1),",","."))-1)/MID(SUBSTITUTE(LEFT(TRIM(C54),FIND(" ",TRIM(C54)&amp;" ")-1),",","."),FIND("/",SUBSTITUTE(LEFT(TRIM(C54),FIND(" ",TRIM(C54)&amp;" ")-1),",","."))+1,9)),IF(ISNUMBER(SEARCH("yea",C54)),IFERROR(_xlfn.NUMBERVALUE(SUBSTITUTE(LEFT(TRIM(C54),FIND(" ",TRIM(C54)&amp;" ")-1),",","."),"."),LEFT(SUBSTITUTE(LEFT(TRIM(C54),FIND(" ",TRIM(C54)&amp;" ")-1),",","."),FIND("/",SUBSTITUTE(LEFT(TRIM(C54),FIND(" ",TRIM(C54)&amp;" ")-1),",","."))-1)/MID(SUBSTITUTE(LEFT(TRIM(C54),FIND(" ",TRIM(C54)&amp;" ")-1),",","."),FIND("/",SUBSTITUTE(LEFT(TRIM(C54),FIND(" ",TRIM(C54)&amp;" ")-1),",","."))+1,9))*12,NA()))),0),36)*'Aturan &amp; Tarif'!$B$4,2)</f>
        <v>2044.08</v>
      </c>
      <c r="K54" s="32" t="n">
        <f aca="false">'Aturan &amp; Tarif'!$B$5</f>
        <v>2050</v>
      </c>
      <c r="L54" s="35" t="n">
        <f aca="false">I54+J54+K54</f>
        <v>21906.08</v>
      </c>
      <c r="M54" s="37" t="s">
        <v>318</v>
      </c>
    </row>
    <row r="55" customFormat="false" ht="25.5" hidden="false" customHeight="true" outlineLevel="0" collapsed="false">
      <c r="A55" s="29"/>
      <c r="B55" s="30" t="s">
        <v>368</v>
      </c>
      <c r="C55" s="31" t="s">
        <v>191</v>
      </c>
      <c r="D55" s="31" t="s">
        <v>108</v>
      </c>
      <c r="E55" s="32" t="n">
        <v>8906</v>
      </c>
      <c r="F55" s="32"/>
      <c r="G55" s="32"/>
      <c r="H55" s="33" t="n">
        <v>2</v>
      </c>
      <c r="I55" s="34" t="n">
        <f aca="false">E55*H55+N(F55)+N(G55)</f>
        <v>17812</v>
      </c>
      <c r="J55" s="32" t="n">
        <f aca="false">ROUND(IFERROR(ROUND(IF(OR(ISNUMBER(SEARCH("week",C55)),ISNUMBER(SEARCH("minggu",C55))),IFERROR(_xlfn.NUMBERVALUE(SUBSTITUTE(LEFT(TRIM(C55),FIND(" ",TRIM(C55)&amp;" ")-1),",","."),"."),LEFT(SUBSTITUTE(LEFT(TRIM(C55),FIND(" ",TRIM(C55)&amp;" ")-1),",","."),FIND("/",SUBSTITUTE(LEFT(TRIM(C55),FIND(" ",TRIM(C55)&amp;" ")-1),",","."))-1)/MID(SUBSTITUTE(LEFT(TRIM(C55),FIND(" ",TRIM(C55)&amp;" ")-1),",","."),FIND("/",SUBSTITUTE(LEFT(TRIM(C55),FIND(" ",TRIM(C55)&amp;" ")-1),",","."))+1,9))*12/52,IF(ISNUMBER(SEARCH("month",C55)),IFERROR(_xlfn.NUMBERVALUE(SUBSTITUTE(LEFT(TRIM(C55),FIND(" ",TRIM(C55)&amp;" ")-1),",","."),"."),LEFT(SUBSTITUTE(LEFT(TRIM(C55),FIND(" ",TRIM(C55)&amp;" ")-1),",","."),FIND("/",SUBSTITUTE(LEFT(TRIM(C55),FIND(" ",TRIM(C55)&amp;" ")-1),",","."))-1)/MID(SUBSTITUTE(LEFT(TRIM(C55),FIND(" ",TRIM(C55)&amp;" ")-1),",","."),FIND("/",SUBSTITUTE(LEFT(TRIM(C55),FIND(" ",TRIM(C55)&amp;" ")-1),",","."))+1,9)),IF(ISNUMBER(SEARCH("yea",C55)),IFERROR(_xlfn.NUMBERVALUE(SUBSTITUTE(LEFT(TRIM(C55),FIND(" ",TRIM(C55)&amp;" ")-1),",","."),"."),LEFT(SUBSTITUTE(LEFT(TRIM(C55),FIND(" ",TRIM(C55)&amp;" ")-1),",","."),FIND("/",SUBSTITUTE(LEFT(TRIM(C55),FIND(" ",TRIM(C55)&amp;" ")-1),",","."))-1)/MID(SUBSTITUTE(LEFT(TRIM(C55),FIND(" ",TRIM(C55)&amp;" ")-1),",","."),FIND("/",SUBSTITUTE(LEFT(TRIM(C55),FIND(" ",TRIM(C55)&amp;" ")-1),",","."))+1,9))*12,NA()))),0),48)*'Aturan &amp; Tarif'!$B$4,2)</f>
        <v>2725.44</v>
      </c>
      <c r="K55" s="32" t="n">
        <f aca="false">'Aturan &amp; Tarif'!$B$5</f>
        <v>2050</v>
      </c>
      <c r="L55" s="35" t="n">
        <f aca="false">I55+J55+K55</f>
        <v>22587.44</v>
      </c>
      <c r="M55" s="37" t="s">
        <v>318</v>
      </c>
    </row>
    <row r="56" customFormat="false" ht="25.5" hidden="false" customHeight="true" outlineLevel="0" collapsed="false">
      <c r="A56" s="29"/>
      <c r="B56" s="30" t="s">
        <v>369</v>
      </c>
      <c r="C56" s="31" t="s">
        <v>191</v>
      </c>
      <c r="D56" s="31" t="s">
        <v>108</v>
      </c>
      <c r="E56" s="32" t="n">
        <v>8906</v>
      </c>
      <c r="F56" s="32"/>
      <c r="G56" s="32"/>
      <c r="H56" s="33" t="n">
        <v>2</v>
      </c>
      <c r="I56" s="34" t="n">
        <f aca="false">E56*H56+N(F56)+N(G56)</f>
        <v>17812</v>
      </c>
      <c r="J56" s="32" t="n">
        <f aca="false">ROUND(IFERROR(ROUND(IF(OR(ISNUMBER(SEARCH("week",C56)),ISNUMBER(SEARCH("minggu",C56))),IFERROR(_xlfn.NUMBERVALUE(SUBSTITUTE(LEFT(TRIM(C56),FIND(" ",TRIM(C56)&amp;" ")-1),",","."),"."),LEFT(SUBSTITUTE(LEFT(TRIM(C56),FIND(" ",TRIM(C56)&amp;" ")-1),",","."),FIND("/",SUBSTITUTE(LEFT(TRIM(C56),FIND(" ",TRIM(C56)&amp;" ")-1),",","."))-1)/MID(SUBSTITUTE(LEFT(TRIM(C56),FIND(" ",TRIM(C56)&amp;" ")-1),",","."),FIND("/",SUBSTITUTE(LEFT(TRIM(C56),FIND(" ",TRIM(C56)&amp;" ")-1),",","."))+1,9))*12/52,IF(ISNUMBER(SEARCH("month",C56)),IFERROR(_xlfn.NUMBERVALUE(SUBSTITUTE(LEFT(TRIM(C56),FIND(" ",TRIM(C56)&amp;" ")-1),",","."),"."),LEFT(SUBSTITUTE(LEFT(TRIM(C56),FIND(" ",TRIM(C56)&amp;" ")-1),",","."),FIND("/",SUBSTITUTE(LEFT(TRIM(C56),FIND(" ",TRIM(C56)&amp;" ")-1),",","."))-1)/MID(SUBSTITUTE(LEFT(TRIM(C56),FIND(" ",TRIM(C56)&amp;" ")-1),",","."),FIND("/",SUBSTITUTE(LEFT(TRIM(C56),FIND(" ",TRIM(C56)&amp;" ")-1),",","."))+1,9)),IF(ISNUMBER(SEARCH("yea",C56)),IFERROR(_xlfn.NUMBERVALUE(SUBSTITUTE(LEFT(TRIM(C56),FIND(" ",TRIM(C56)&amp;" ")-1),",","."),"."),LEFT(SUBSTITUTE(LEFT(TRIM(C56),FIND(" ",TRIM(C56)&amp;" ")-1),",","."),FIND("/",SUBSTITUTE(LEFT(TRIM(C56),FIND(" ",TRIM(C56)&amp;" ")-1),",","."))-1)/MID(SUBSTITUTE(LEFT(TRIM(C56),FIND(" ",TRIM(C56)&amp;" ")-1),",","."),FIND("/",SUBSTITUTE(LEFT(TRIM(C56),FIND(" ",TRIM(C56)&amp;" ")-1),",","."))+1,9))*12,NA()))),0),48)*'Aturan &amp; Tarif'!$B$4,2)</f>
        <v>2725.44</v>
      </c>
      <c r="K56" s="32" t="n">
        <f aca="false">'Aturan &amp; Tarif'!$B$5</f>
        <v>2050</v>
      </c>
      <c r="L56" s="35" t="n">
        <f aca="false">I56+J56+K56</f>
        <v>22587.44</v>
      </c>
      <c r="M56" s="37" t="s">
        <v>318</v>
      </c>
    </row>
    <row r="57" customFormat="false" ht="25.5" hidden="false" customHeight="true" outlineLevel="0" collapsed="false">
      <c r="A57" s="29"/>
      <c r="B57" s="30" t="s">
        <v>370</v>
      </c>
      <c r="C57" s="31" t="s">
        <v>191</v>
      </c>
      <c r="D57" s="31" t="s">
        <v>108</v>
      </c>
      <c r="E57" s="32" t="n">
        <v>8906</v>
      </c>
      <c r="F57" s="32"/>
      <c r="G57" s="32"/>
      <c r="H57" s="33" t="n">
        <v>2</v>
      </c>
      <c r="I57" s="34" t="n">
        <f aca="false">E57*H57+N(F57)+N(G57)</f>
        <v>17812</v>
      </c>
      <c r="J57" s="32" t="n">
        <f aca="false">ROUND(IFERROR(ROUND(IF(OR(ISNUMBER(SEARCH("week",C57)),ISNUMBER(SEARCH("minggu",C57))),IFERROR(_xlfn.NUMBERVALUE(SUBSTITUTE(LEFT(TRIM(C57),FIND(" ",TRIM(C57)&amp;" ")-1),",","."),"."),LEFT(SUBSTITUTE(LEFT(TRIM(C57),FIND(" ",TRIM(C57)&amp;" ")-1),",","."),FIND("/",SUBSTITUTE(LEFT(TRIM(C57),FIND(" ",TRIM(C57)&amp;" ")-1),",","."))-1)/MID(SUBSTITUTE(LEFT(TRIM(C57),FIND(" ",TRIM(C57)&amp;" ")-1),",","."),FIND("/",SUBSTITUTE(LEFT(TRIM(C57),FIND(" ",TRIM(C57)&amp;" ")-1),",","."))+1,9))*12/52,IF(ISNUMBER(SEARCH("month",C57)),IFERROR(_xlfn.NUMBERVALUE(SUBSTITUTE(LEFT(TRIM(C57),FIND(" ",TRIM(C57)&amp;" ")-1),",","."),"."),LEFT(SUBSTITUTE(LEFT(TRIM(C57),FIND(" ",TRIM(C57)&amp;" ")-1),",","."),FIND("/",SUBSTITUTE(LEFT(TRIM(C57),FIND(" ",TRIM(C57)&amp;" ")-1),",","."))-1)/MID(SUBSTITUTE(LEFT(TRIM(C57),FIND(" ",TRIM(C57)&amp;" ")-1),",","."),FIND("/",SUBSTITUTE(LEFT(TRIM(C57),FIND(" ",TRIM(C57)&amp;" ")-1),",","."))+1,9)),IF(ISNUMBER(SEARCH("yea",C57)),IFERROR(_xlfn.NUMBERVALUE(SUBSTITUTE(LEFT(TRIM(C57),FIND(" ",TRIM(C57)&amp;" ")-1),",","."),"."),LEFT(SUBSTITUTE(LEFT(TRIM(C57),FIND(" ",TRIM(C57)&amp;" ")-1),",","."),FIND("/",SUBSTITUTE(LEFT(TRIM(C57),FIND(" ",TRIM(C57)&amp;" ")-1),",","."))-1)/MID(SUBSTITUTE(LEFT(TRIM(C57),FIND(" ",TRIM(C57)&amp;" ")-1),",","."),FIND("/",SUBSTITUTE(LEFT(TRIM(C57),FIND(" ",TRIM(C57)&amp;" ")-1),",","."))+1,9))*12,NA()))),0),48)*'Aturan &amp; Tarif'!$B$4,2)</f>
        <v>2725.44</v>
      </c>
      <c r="K57" s="32" t="n">
        <f aca="false">'Aturan &amp; Tarif'!$B$5</f>
        <v>2050</v>
      </c>
      <c r="L57" s="35" t="n">
        <f aca="false">I57+J57+K57</f>
        <v>22587.44</v>
      </c>
      <c r="M57" s="37" t="s">
        <v>318</v>
      </c>
    </row>
    <row r="58" customFormat="false" ht="14.25" hidden="false" customHeight="true" outlineLevel="0" collapsed="false">
      <c r="A58" s="29"/>
      <c r="B58" s="30" t="s">
        <v>371</v>
      </c>
      <c r="C58" s="31" t="s">
        <v>127</v>
      </c>
      <c r="D58" s="31" t="s">
        <v>108</v>
      </c>
      <c r="E58" s="32" t="n">
        <v>8906</v>
      </c>
      <c r="F58" s="32"/>
      <c r="G58" s="32"/>
      <c r="H58" s="33" t="n">
        <v>2</v>
      </c>
      <c r="I58" s="34" t="n">
        <f aca="false">E58*H58+N(F58)+N(G58)</f>
        <v>17812</v>
      </c>
      <c r="J58" s="32" t="n">
        <f aca="false">ROUND(IFERROR(ROUND(IF(OR(ISNUMBER(SEARCH("week",C58)),ISNUMBER(SEARCH("minggu",C58))),IFERROR(_xlfn.NUMBERVALUE(SUBSTITUTE(LEFT(TRIM(C58),FIND(" ",TRIM(C58)&amp;" ")-1),",","."),"."),LEFT(SUBSTITUTE(LEFT(TRIM(C58),FIND(" ",TRIM(C58)&amp;" ")-1),",","."),FIND("/",SUBSTITUTE(LEFT(TRIM(C58),FIND(" ",TRIM(C58)&amp;" ")-1),",","."))-1)/MID(SUBSTITUTE(LEFT(TRIM(C58),FIND(" ",TRIM(C58)&amp;" ")-1),",","."),FIND("/",SUBSTITUTE(LEFT(TRIM(C58),FIND(" ",TRIM(C58)&amp;" ")-1),",","."))+1,9))*12/52,IF(ISNUMBER(SEARCH("month",C58)),IFERROR(_xlfn.NUMBERVALUE(SUBSTITUTE(LEFT(TRIM(C58),FIND(" ",TRIM(C58)&amp;" ")-1),",","."),"."),LEFT(SUBSTITUTE(LEFT(TRIM(C58),FIND(" ",TRIM(C58)&amp;" ")-1),",","."),FIND("/",SUBSTITUTE(LEFT(TRIM(C58),FIND(" ",TRIM(C58)&amp;" ")-1),",","."))-1)/MID(SUBSTITUTE(LEFT(TRIM(C58),FIND(" ",TRIM(C58)&amp;" ")-1),",","."),FIND("/",SUBSTITUTE(LEFT(TRIM(C58),FIND(" ",TRIM(C58)&amp;" ")-1),",","."))+1,9)),IF(ISNUMBER(SEARCH("yea",C58)),IFERROR(_xlfn.NUMBERVALUE(SUBSTITUTE(LEFT(TRIM(C58),FIND(" ",TRIM(C58)&amp;" ")-1),",","."),"."),LEFT(SUBSTITUTE(LEFT(TRIM(C58),FIND(" ",TRIM(C58)&amp;" ")-1),",","."),FIND("/",SUBSTITUTE(LEFT(TRIM(C58),FIND(" ",TRIM(C58)&amp;" ")-1),",","."))-1)/MID(SUBSTITUTE(LEFT(TRIM(C58),FIND(" ",TRIM(C58)&amp;" ")-1),",","."),FIND("/",SUBSTITUTE(LEFT(TRIM(C58),FIND(" ",TRIM(C58)&amp;" ")-1),",","."))+1,9))*12,NA()))),0),36)*'Aturan &amp; Tarif'!$B$4,2)</f>
        <v>2044.08</v>
      </c>
      <c r="K58" s="32" t="n">
        <f aca="false">'Aturan &amp; Tarif'!$B$5</f>
        <v>2050</v>
      </c>
      <c r="L58" s="35" t="n">
        <f aca="false">I58+J58+K58</f>
        <v>21906.08</v>
      </c>
      <c r="M58" s="37" t="s">
        <v>318</v>
      </c>
    </row>
    <row r="59" customFormat="false" ht="14.25" hidden="false" customHeight="true" outlineLevel="0" collapsed="false">
      <c r="A59" s="29"/>
      <c r="B59" s="30" t="s">
        <v>372</v>
      </c>
      <c r="C59" s="31" t="s">
        <v>127</v>
      </c>
      <c r="D59" s="31" t="s">
        <v>108</v>
      </c>
      <c r="E59" s="32" t="n">
        <v>8906</v>
      </c>
      <c r="F59" s="32"/>
      <c r="G59" s="32"/>
      <c r="H59" s="33" t="n">
        <v>2</v>
      </c>
      <c r="I59" s="34" t="n">
        <f aca="false">E59*H59+N(F59)+N(G59)</f>
        <v>17812</v>
      </c>
      <c r="J59" s="32" t="n">
        <f aca="false">ROUND(IFERROR(ROUND(IF(OR(ISNUMBER(SEARCH("week",C59)),ISNUMBER(SEARCH("minggu",C59))),IFERROR(_xlfn.NUMBERVALUE(SUBSTITUTE(LEFT(TRIM(C59),FIND(" ",TRIM(C59)&amp;" ")-1),",","."),"."),LEFT(SUBSTITUTE(LEFT(TRIM(C59),FIND(" ",TRIM(C59)&amp;" ")-1),",","."),FIND("/",SUBSTITUTE(LEFT(TRIM(C59),FIND(" ",TRIM(C59)&amp;" ")-1),",","."))-1)/MID(SUBSTITUTE(LEFT(TRIM(C59),FIND(" ",TRIM(C59)&amp;" ")-1),",","."),FIND("/",SUBSTITUTE(LEFT(TRIM(C59),FIND(" ",TRIM(C59)&amp;" ")-1),",","."))+1,9))*12/52,IF(ISNUMBER(SEARCH("month",C59)),IFERROR(_xlfn.NUMBERVALUE(SUBSTITUTE(LEFT(TRIM(C59),FIND(" ",TRIM(C59)&amp;" ")-1),",","."),"."),LEFT(SUBSTITUTE(LEFT(TRIM(C59),FIND(" ",TRIM(C59)&amp;" ")-1),",","."),FIND("/",SUBSTITUTE(LEFT(TRIM(C59),FIND(" ",TRIM(C59)&amp;" ")-1),",","."))-1)/MID(SUBSTITUTE(LEFT(TRIM(C59),FIND(" ",TRIM(C59)&amp;" ")-1),",","."),FIND("/",SUBSTITUTE(LEFT(TRIM(C59),FIND(" ",TRIM(C59)&amp;" ")-1),",","."))+1,9)),IF(ISNUMBER(SEARCH("yea",C59)),IFERROR(_xlfn.NUMBERVALUE(SUBSTITUTE(LEFT(TRIM(C59),FIND(" ",TRIM(C59)&amp;" ")-1),",","."),"."),LEFT(SUBSTITUTE(LEFT(TRIM(C59),FIND(" ",TRIM(C59)&amp;" ")-1),",","."),FIND("/",SUBSTITUTE(LEFT(TRIM(C59),FIND(" ",TRIM(C59)&amp;" ")-1),",","."))-1)/MID(SUBSTITUTE(LEFT(TRIM(C59),FIND(" ",TRIM(C59)&amp;" ")-1),",","."),FIND("/",SUBSTITUTE(LEFT(TRIM(C59),FIND(" ",TRIM(C59)&amp;" ")-1),",","."))+1,9))*12,NA()))),0),36)*'Aturan &amp; Tarif'!$B$4,2)</f>
        <v>2044.08</v>
      </c>
      <c r="K59" s="32" t="n">
        <f aca="false">'Aturan &amp; Tarif'!$B$5</f>
        <v>2050</v>
      </c>
      <c r="L59" s="35" t="n">
        <f aca="false">I59+J59+K59</f>
        <v>21906.08</v>
      </c>
      <c r="M59" s="37" t="s">
        <v>318</v>
      </c>
    </row>
    <row r="60" customFormat="false" ht="14.25" hidden="false" customHeight="true" outlineLevel="0" collapsed="false">
      <c r="A60" s="29"/>
      <c r="B60" s="30" t="s">
        <v>373</v>
      </c>
      <c r="C60" s="31" t="s">
        <v>107</v>
      </c>
      <c r="D60" s="31" t="s">
        <v>108</v>
      </c>
      <c r="E60" s="32" t="n">
        <v>8906</v>
      </c>
      <c r="F60" s="32"/>
      <c r="G60" s="32"/>
      <c r="H60" s="33" t="n">
        <v>2</v>
      </c>
      <c r="I60" s="34" t="n">
        <f aca="false">E60*H60+N(F60)+N(G60)</f>
        <v>17812</v>
      </c>
      <c r="J60" s="32" t="n">
        <f aca="false">ROUND(IFERROR(ROUND(IF(OR(ISNUMBER(SEARCH("week",C60)),ISNUMBER(SEARCH("minggu",C60))),IFERROR(_xlfn.NUMBERVALUE(SUBSTITUTE(LEFT(TRIM(C60),FIND(" ",TRIM(C60)&amp;" ")-1),",","."),"."),LEFT(SUBSTITUTE(LEFT(TRIM(C60),FIND(" ",TRIM(C60)&amp;" ")-1),",","."),FIND("/",SUBSTITUTE(LEFT(TRIM(C60),FIND(" ",TRIM(C60)&amp;" ")-1),",","."))-1)/MID(SUBSTITUTE(LEFT(TRIM(C60),FIND(" ",TRIM(C60)&amp;" ")-1),",","."),FIND("/",SUBSTITUTE(LEFT(TRIM(C60),FIND(" ",TRIM(C60)&amp;" ")-1),",","."))+1,9))*12/52,IF(ISNUMBER(SEARCH("month",C60)),IFERROR(_xlfn.NUMBERVALUE(SUBSTITUTE(LEFT(TRIM(C60),FIND(" ",TRIM(C60)&amp;" ")-1),",","."),"."),LEFT(SUBSTITUTE(LEFT(TRIM(C60),FIND(" ",TRIM(C60)&amp;" ")-1),",","."),FIND("/",SUBSTITUTE(LEFT(TRIM(C60),FIND(" ",TRIM(C60)&amp;" ")-1),",","."))-1)/MID(SUBSTITUTE(LEFT(TRIM(C60),FIND(" ",TRIM(C60)&amp;" ")-1),",","."),FIND("/",SUBSTITUTE(LEFT(TRIM(C60),FIND(" ",TRIM(C60)&amp;" ")-1),",","."))+1,9)),IF(ISNUMBER(SEARCH("yea",C60)),IFERROR(_xlfn.NUMBERVALUE(SUBSTITUTE(LEFT(TRIM(C60),FIND(" ",TRIM(C60)&amp;" ")-1),",","."),"."),LEFT(SUBSTITUTE(LEFT(TRIM(C60),FIND(" ",TRIM(C60)&amp;" ")-1),",","."),FIND("/",SUBSTITUTE(LEFT(TRIM(C60),FIND(" ",TRIM(C60)&amp;" ")-1),",","."))-1)/MID(SUBSTITUTE(LEFT(TRIM(C60),FIND(" ",TRIM(C60)&amp;" ")-1),",","."),FIND("/",SUBSTITUTE(LEFT(TRIM(C60),FIND(" ",TRIM(C60)&amp;" ")-1),",","."))+1,9))*12,NA()))),0),24)*'Aturan &amp; Tarif'!$B$4,2)</f>
        <v>1362.72</v>
      </c>
      <c r="K60" s="32" t="n">
        <f aca="false">'Aturan &amp; Tarif'!$B$5</f>
        <v>2050</v>
      </c>
      <c r="L60" s="35" t="n">
        <f aca="false">I60+J60+K60</f>
        <v>21224.72</v>
      </c>
      <c r="M60" s="37" t="s">
        <v>318</v>
      </c>
    </row>
    <row r="61" customFormat="false" ht="25.5" hidden="false" customHeight="true" outlineLevel="0" collapsed="false">
      <c r="A61" s="29"/>
      <c r="B61" s="30" t="s">
        <v>374</v>
      </c>
      <c r="C61" s="31" t="s">
        <v>107</v>
      </c>
      <c r="D61" s="31" t="s">
        <v>108</v>
      </c>
      <c r="E61" s="32" t="n">
        <v>8906</v>
      </c>
      <c r="F61" s="32"/>
      <c r="G61" s="32"/>
      <c r="H61" s="33" t="n">
        <v>2</v>
      </c>
      <c r="I61" s="34" t="n">
        <f aca="false">E61*H61+N(F61)+N(G61)</f>
        <v>17812</v>
      </c>
      <c r="J61" s="32" t="n">
        <f aca="false">ROUND(IFERROR(ROUND(IF(OR(ISNUMBER(SEARCH("week",C61)),ISNUMBER(SEARCH("minggu",C61))),IFERROR(_xlfn.NUMBERVALUE(SUBSTITUTE(LEFT(TRIM(C61),FIND(" ",TRIM(C61)&amp;" ")-1),",","."),"."),LEFT(SUBSTITUTE(LEFT(TRIM(C61),FIND(" ",TRIM(C61)&amp;" ")-1),",","."),FIND("/",SUBSTITUTE(LEFT(TRIM(C61),FIND(" ",TRIM(C61)&amp;" ")-1),",","."))-1)/MID(SUBSTITUTE(LEFT(TRIM(C61),FIND(" ",TRIM(C61)&amp;" ")-1),",","."),FIND("/",SUBSTITUTE(LEFT(TRIM(C61),FIND(" ",TRIM(C61)&amp;" ")-1),",","."))+1,9))*12/52,IF(ISNUMBER(SEARCH("month",C61)),IFERROR(_xlfn.NUMBERVALUE(SUBSTITUTE(LEFT(TRIM(C61),FIND(" ",TRIM(C61)&amp;" ")-1),",","."),"."),LEFT(SUBSTITUTE(LEFT(TRIM(C61),FIND(" ",TRIM(C61)&amp;" ")-1),",","."),FIND("/",SUBSTITUTE(LEFT(TRIM(C61),FIND(" ",TRIM(C61)&amp;" ")-1),",","."))-1)/MID(SUBSTITUTE(LEFT(TRIM(C61),FIND(" ",TRIM(C61)&amp;" ")-1),",","."),FIND("/",SUBSTITUTE(LEFT(TRIM(C61),FIND(" ",TRIM(C61)&amp;" ")-1),",","."))+1,9)),IF(ISNUMBER(SEARCH("yea",C61)),IFERROR(_xlfn.NUMBERVALUE(SUBSTITUTE(LEFT(TRIM(C61),FIND(" ",TRIM(C61)&amp;" ")-1),",","."),"."),LEFT(SUBSTITUTE(LEFT(TRIM(C61),FIND(" ",TRIM(C61)&amp;" ")-1),",","."),FIND("/",SUBSTITUTE(LEFT(TRIM(C61),FIND(" ",TRIM(C61)&amp;" ")-1),",","."))-1)/MID(SUBSTITUTE(LEFT(TRIM(C61),FIND(" ",TRIM(C61)&amp;" ")-1),",","."),FIND("/",SUBSTITUTE(LEFT(TRIM(C61),FIND(" ",TRIM(C61)&amp;" ")-1),",","."))+1,9))*12,NA()))),0),24)*'Aturan &amp; Tarif'!$B$4,2)</f>
        <v>1362.72</v>
      </c>
      <c r="K61" s="32" t="n">
        <f aca="false">'Aturan &amp; Tarif'!$B$5</f>
        <v>2050</v>
      </c>
      <c r="L61" s="35" t="n">
        <f aca="false">I61+J61+K61</f>
        <v>21224.72</v>
      </c>
      <c r="M61" s="37" t="s">
        <v>318</v>
      </c>
    </row>
    <row r="62" customFormat="false" ht="25.5" hidden="false" customHeight="true" outlineLevel="0" collapsed="false">
      <c r="A62" s="29"/>
      <c r="B62" s="30" t="s">
        <v>375</v>
      </c>
      <c r="C62" s="31" t="s">
        <v>107</v>
      </c>
      <c r="D62" s="31" t="s">
        <v>108</v>
      </c>
      <c r="E62" s="32" t="n">
        <v>8906</v>
      </c>
      <c r="F62" s="32"/>
      <c r="G62" s="32"/>
      <c r="H62" s="33" t="n">
        <v>2</v>
      </c>
      <c r="I62" s="34" t="n">
        <f aca="false">E62*H62+N(F62)+N(G62)</f>
        <v>17812</v>
      </c>
      <c r="J62" s="32" t="n">
        <f aca="false">ROUND(IFERROR(ROUND(IF(OR(ISNUMBER(SEARCH("week",C62)),ISNUMBER(SEARCH("minggu",C62))),IFERROR(_xlfn.NUMBERVALUE(SUBSTITUTE(LEFT(TRIM(C62),FIND(" ",TRIM(C62)&amp;" ")-1),",","."),"."),LEFT(SUBSTITUTE(LEFT(TRIM(C62),FIND(" ",TRIM(C62)&amp;" ")-1),",","."),FIND("/",SUBSTITUTE(LEFT(TRIM(C62),FIND(" ",TRIM(C62)&amp;" ")-1),",","."))-1)/MID(SUBSTITUTE(LEFT(TRIM(C62),FIND(" ",TRIM(C62)&amp;" ")-1),",","."),FIND("/",SUBSTITUTE(LEFT(TRIM(C62),FIND(" ",TRIM(C62)&amp;" ")-1),",","."))+1,9))*12/52,IF(ISNUMBER(SEARCH("month",C62)),IFERROR(_xlfn.NUMBERVALUE(SUBSTITUTE(LEFT(TRIM(C62),FIND(" ",TRIM(C62)&amp;" ")-1),",","."),"."),LEFT(SUBSTITUTE(LEFT(TRIM(C62),FIND(" ",TRIM(C62)&amp;" ")-1),",","."),FIND("/",SUBSTITUTE(LEFT(TRIM(C62),FIND(" ",TRIM(C62)&amp;" ")-1),",","."))-1)/MID(SUBSTITUTE(LEFT(TRIM(C62),FIND(" ",TRIM(C62)&amp;" ")-1),",","."),FIND("/",SUBSTITUTE(LEFT(TRIM(C62),FIND(" ",TRIM(C62)&amp;" ")-1),",","."))+1,9)),IF(ISNUMBER(SEARCH("yea",C62)),IFERROR(_xlfn.NUMBERVALUE(SUBSTITUTE(LEFT(TRIM(C62),FIND(" ",TRIM(C62)&amp;" ")-1),",","."),"."),LEFT(SUBSTITUTE(LEFT(TRIM(C62),FIND(" ",TRIM(C62)&amp;" ")-1),",","."),FIND("/",SUBSTITUTE(LEFT(TRIM(C62),FIND(" ",TRIM(C62)&amp;" ")-1),",","."))-1)/MID(SUBSTITUTE(LEFT(TRIM(C62),FIND(" ",TRIM(C62)&amp;" ")-1),",","."),FIND("/",SUBSTITUTE(LEFT(TRIM(C62),FIND(" ",TRIM(C62)&amp;" ")-1),",","."))+1,9))*12,NA()))),0),24)*'Aturan &amp; Tarif'!$B$4,2)</f>
        <v>1362.72</v>
      </c>
      <c r="K62" s="32" t="n">
        <f aca="false">'Aturan &amp; Tarif'!$B$5</f>
        <v>2050</v>
      </c>
      <c r="L62" s="35" t="n">
        <f aca="false">I62+J62+K62</f>
        <v>21224.72</v>
      </c>
      <c r="M62" s="37" t="s">
        <v>318</v>
      </c>
    </row>
    <row r="63" customFormat="false" ht="14.25" hidden="false" customHeight="true" outlineLevel="0" collapsed="false">
      <c r="A63" s="29"/>
      <c r="B63" s="30" t="s">
        <v>376</v>
      </c>
      <c r="C63" s="31" t="s">
        <v>107</v>
      </c>
      <c r="D63" s="31" t="s">
        <v>108</v>
      </c>
      <c r="E63" s="32" t="n">
        <v>8906</v>
      </c>
      <c r="F63" s="32"/>
      <c r="G63" s="32"/>
      <c r="H63" s="33" t="n">
        <v>2</v>
      </c>
      <c r="I63" s="34" t="n">
        <f aca="false">E63*H63+N(F63)+N(G63)</f>
        <v>17812</v>
      </c>
      <c r="J63" s="32" t="n">
        <f aca="false">ROUND(IFERROR(ROUND(IF(OR(ISNUMBER(SEARCH("week",C63)),ISNUMBER(SEARCH("minggu",C63))),IFERROR(_xlfn.NUMBERVALUE(SUBSTITUTE(LEFT(TRIM(C63),FIND(" ",TRIM(C63)&amp;" ")-1),",","."),"."),LEFT(SUBSTITUTE(LEFT(TRIM(C63),FIND(" ",TRIM(C63)&amp;" ")-1),",","."),FIND("/",SUBSTITUTE(LEFT(TRIM(C63),FIND(" ",TRIM(C63)&amp;" ")-1),",","."))-1)/MID(SUBSTITUTE(LEFT(TRIM(C63),FIND(" ",TRIM(C63)&amp;" ")-1),",","."),FIND("/",SUBSTITUTE(LEFT(TRIM(C63),FIND(" ",TRIM(C63)&amp;" ")-1),",","."))+1,9))*12/52,IF(ISNUMBER(SEARCH("month",C63)),IFERROR(_xlfn.NUMBERVALUE(SUBSTITUTE(LEFT(TRIM(C63),FIND(" ",TRIM(C63)&amp;" ")-1),",","."),"."),LEFT(SUBSTITUTE(LEFT(TRIM(C63),FIND(" ",TRIM(C63)&amp;" ")-1),",","."),FIND("/",SUBSTITUTE(LEFT(TRIM(C63),FIND(" ",TRIM(C63)&amp;" ")-1),",","."))-1)/MID(SUBSTITUTE(LEFT(TRIM(C63),FIND(" ",TRIM(C63)&amp;" ")-1),",","."),FIND("/",SUBSTITUTE(LEFT(TRIM(C63),FIND(" ",TRIM(C63)&amp;" ")-1),",","."))+1,9)),IF(ISNUMBER(SEARCH("yea",C63)),IFERROR(_xlfn.NUMBERVALUE(SUBSTITUTE(LEFT(TRIM(C63),FIND(" ",TRIM(C63)&amp;" ")-1),",","."),"."),LEFT(SUBSTITUTE(LEFT(TRIM(C63),FIND(" ",TRIM(C63)&amp;" ")-1),",","."),FIND("/",SUBSTITUTE(LEFT(TRIM(C63),FIND(" ",TRIM(C63)&amp;" ")-1),",","."))-1)/MID(SUBSTITUTE(LEFT(TRIM(C63),FIND(" ",TRIM(C63)&amp;" ")-1),",","."),FIND("/",SUBSTITUTE(LEFT(TRIM(C63),FIND(" ",TRIM(C63)&amp;" ")-1),",","."))+1,9))*12,NA()))),0),24)*'Aturan &amp; Tarif'!$B$4,2)</f>
        <v>1362.72</v>
      </c>
      <c r="K63" s="32" t="n">
        <f aca="false">'Aturan &amp; Tarif'!$B$5</f>
        <v>2050</v>
      </c>
      <c r="L63" s="35" t="n">
        <f aca="false">I63+J63+K63</f>
        <v>21224.72</v>
      </c>
      <c r="M63" s="37" t="s">
        <v>318</v>
      </c>
    </row>
    <row r="64" customFormat="false" ht="14.25" hidden="false" customHeight="true" outlineLevel="0" collapsed="false">
      <c r="A64" s="29"/>
      <c r="B64" s="30" t="s">
        <v>377</v>
      </c>
      <c r="C64" s="31" t="s">
        <v>107</v>
      </c>
      <c r="D64" s="31" t="s">
        <v>108</v>
      </c>
      <c r="E64" s="32" t="n">
        <v>8906</v>
      </c>
      <c r="F64" s="32"/>
      <c r="G64" s="32"/>
      <c r="H64" s="33" t="n">
        <v>2</v>
      </c>
      <c r="I64" s="34" t="n">
        <f aca="false">E64*H64+N(F64)+N(G64)</f>
        <v>17812</v>
      </c>
      <c r="J64" s="32" t="n">
        <f aca="false">ROUND(IFERROR(ROUND(IF(OR(ISNUMBER(SEARCH("week",C64)),ISNUMBER(SEARCH("minggu",C64))),IFERROR(_xlfn.NUMBERVALUE(SUBSTITUTE(LEFT(TRIM(C64),FIND(" ",TRIM(C64)&amp;" ")-1),",","."),"."),LEFT(SUBSTITUTE(LEFT(TRIM(C64),FIND(" ",TRIM(C64)&amp;" ")-1),",","."),FIND("/",SUBSTITUTE(LEFT(TRIM(C64),FIND(" ",TRIM(C64)&amp;" ")-1),",","."))-1)/MID(SUBSTITUTE(LEFT(TRIM(C64),FIND(" ",TRIM(C64)&amp;" ")-1),",","."),FIND("/",SUBSTITUTE(LEFT(TRIM(C64),FIND(" ",TRIM(C64)&amp;" ")-1),",","."))+1,9))*12/52,IF(ISNUMBER(SEARCH("month",C64)),IFERROR(_xlfn.NUMBERVALUE(SUBSTITUTE(LEFT(TRIM(C64),FIND(" ",TRIM(C64)&amp;" ")-1),",","."),"."),LEFT(SUBSTITUTE(LEFT(TRIM(C64),FIND(" ",TRIM(C64)&amp;" ")-1),",","."),FIND("/",SUBSTITUTE(LEFT(TRIM(C64),FIND(" ",TRIM(C64)&amp;" ")-1),",","."))-1)/MID(SUBSTITUTE(LEFT(TRIM(C64),FIND(" ",TRIM(C64)&amp;" ")-1),",","."),FIND("/",SUBSTITUTE(LEFT(TRIM(C64),FIND(" ",TRIM(C64)&amp;" ")-1),",","."))+1,9)),IF(ISNUMBER(SEARCH("yea",C64)),IFERROR(_xlfn.NUMBERVALUE(SUBSTITUTE(LEFT(TRIM(C64),FIND(" ",TRIM(C64)&amp;" ")-1),",","."),"."),LEFT(SUBSTITUTE(LEFT(TRIM(C64),FIND(" ",TRIM(C64)&amp;" ")-1),",","."),FIND("/",SUBSTITUTE(LEFT(TRIM(C64),FIND(" ",TRIM(C64)&amp;" ")-1),",","."))-1)/MID(SUBSTITUTE(LEFT(TRIM(C64),FIND(" ",TRIM(C64)&amp;" ")-1),",","."),FIND("/",SUBSTITUTE(LEFT(TRIM(C64),FIND(" ",TRIM(C64)&amp;" ")-1),",","."))+1,9))*12,NA()))),0),24)*'Aturan &amp; Tarif'!$B$4,2)</f>
        <v>1362.72</v>
      </c>
      <c r="K64" s="32" t="n">
        <f aca="false">'Aturan &amp; Tarif'!$B$5</f>
        <v>2050</v>
      </c>
      <c r="L64" s="35" t="n">
        <f aca="false">I64+J64+K64</f>
        <v>21224.72</v>
      </c>
      <c r="M64" s="37" t="s">
        <v>318</v>
      </c>
    </row>
    <row r="65" customFormat="false" ht="25.5" hidden="false" customHeight="true" outlineLevel="0" collapsed="false">
      <c r="A65" s="29"/>
      <c r="B65" s="30" t="s">
        <v>378</v>
      </c>
      <c r="C65" s="31" t="s">
        <v>107</v>
      </c>
      <c r="D65" s="31" t="s">
        <v>108</v>
      </c>
      <c r="E65" s="32" t="n">
        <v>8906</v>
      </c>
      <c r="F65" s="32"/>
      <c r="G65" s="32"/>
      <c r="H65" s="33" t="n">
        <v>2</v>
      </c>
      <c r="I65" s="34" t="n">
        <f aca="false">E65*H65+N(F65)+N(G65)</f>
        <v>17812</v>
      </c>
      <c r="J65" s="32" t="n">
        <f aca="false">ROUND(IFERROR(ROUND(IF(OR(ISNUMBER(SEARCH("week",C65)),ISNUMBER(SEARCH("minggu",C65))),IFERROR(_xlfn.NUMBERVALUE(SUBSTITUTE(LEFT(TRIM(C65),FIND(" ",TRIM(C65)&amp;" ")-1),",","."),"."),LEFT(SUBSTITUTE(LEFT(TRIM(C65),FIND(" ",TRIM(C65)&amp;" ")-1),",","."),FIND("/",SUBSTITUTE(LEFT(TRIM(C65),FIND(" ",TRIM(C65)&amp;" ")-1),",","."))-1)/MID(SUBSTITUTE(LEFT(TRIM(C65),FIND(" ",TRIM(C65)&amp;" ")-1),",","."),FIND("/",SUBSTITUTE(LEFT(TRIM(C65),FIND(" ",TRIM(C65)&amp;" ")-1),",","."))+1,9))*12/52,IF(ISNUMBER(SEARCH("month",C65)),IFERROR(_xlfn.NUMBERVALUE(SUBSTITUTE(LEFT(TRIM(C65),FIND(" ",TRIM(C65)&amp;" ")-1),",","."),"."),LEFT(SUBSTITUTE(LEFT(TRIM(C65),FIND(" ",TRIM(C65)&amp;" ")-1),",","."),FIND("/",SUBSTITUTE(LEFT(TRIM(C65),FIND(" ",TRIM(C65)&amp;" ")-1),",","."))-1)/MID(SUBSTITUTE(LEFT(TRIM(C65),FIND(" ",TRIM(C65)&amp;" ")-1),",","."),FIND("/",SUBSTITUTE(LEFT(TRIM(C65),FIND(" ",TRIM(C65)&amp;" ")-1),",","."))+1,9)),IF(ISNUMBER(SEARCH("yea",C65)),IFERROR(_xlfn.NUMBERVALUE(SUBSTITUTE(LEFT(TRIM(C65),FIND(" ",TRIM(C65)&amp;" ")-1),",","."),"."),LEFT(SUBSTITUTE(LEFT(TRIM(C65),FIND(" ",TRIM(C65)&amp;" ")-1),",","."),FIND("/",SUBSTITUTE(LEFT(TRIM(C65),FIND(" ",TRIM(C65)&amp;" ")-1),",","."))-1)/MID(SUBSTITUTE(LEFT(TRIM(C65),FIND(" ",TRIM(C65)&amp;" ")-1),",","."),FIND("/",SUBSTITUTE(LEFT(TRIM(C65),FIND(" ",TRIM(C65)&amp;" ")-1),",","."))+1,9))*12,NA()))),0),24)*'Aturan &amp; Tarif'!$B$4,2)</f>
        <v>1362.72</v>
      </c>
      <c r="K65" s="32" t="n">
        <f aca="false">'Aturan &amp; Tarif'!$B$5</f>
        <v>2050</v>
      </c>
      <c r="L65" s="35" t="n">
        <f aca="false">I65+J65+K65</f>
        <v>21224.72</v>
      </c>
      <c r="M65" s="37" t="s">
        <v>318</v>
      </c>
    </row>
    <row r="66" customFormat="false" ht="14.25" hidden="false" customHeight="true" outlineLevel="0" collapsed="false">
      <c r="A66" s="29"/>
      <c r="B66" s="30" t="s">
        <v>379</v>
      </c>
      <c r="C66" s="31" t="s">
        <v>127</v>
      </c>
      <c r="D66" s="31" t="s">
        <v>108</v>
      </c>
      <c r="E66" s="32" t="n">
        <v>8098</v>
      </c>
      <c r="F66" s="32"/>
      <c r="G66" s="32"/>
      <c r="H66" s="33" t="n">
        <v>2</v>
      </c>
      <c r="I66" s="34" t="n">
        <f aca="false">E66*H66+N(F66)+N(G66)</f>
        <v>16196</v>
      </c>
      <c r="J66" s="32" t="n">
        <f aca="false">ROUND(IFERROR(ROUND(IF(OR(ISNUMBER(SEARCH("week",C66)),ISNUMBER(SEARCH("minggu",C66))),IFERROR(_xlfn.NUMBERVALUE(SUBSTITUTE(LEFT(TRIM(C66),FIND(" ",TRIM(C66)&amp;" ")-1),",","."),"."),LEFT(SUBSTITUTE(LEFT(TRIM(C66),FIND(" ",TRIM(C66)&amp;" ")-1),",","."),FIND("/",SUBSTITUTE(LEFT(TRIM(C66),FIND(" ",TRIM(C66)&amp;" ")-1),",","."))-1)/MID(SUBSTITUTE(LEFT(TRIM(C66),FIND(" ",TRIM(C66)&amp;" ")-1),",","."),FIND("/",SUBSTITUTE(LEFT(TRIM(C66),FIND(" ",TRIM(C66)&amp;" ")-1),",","."))+1,9))*12/52,IF(ISNUMBER(SEARCH("month",C66)),IFERROR(_xlfn.NUMBERVALUE(SUBSTITUTE(LEFT(TRIM(C66),FIND(" ",TRIM(C66)&amp;" ")-1),",","."),"."),LEFT(SUBSTITUTE(LEFT(TRIM(C66),FIND(" ",TRIM(C66)&amp;" ")-1),",","."),FIND("/",SUBSTITUTE(LEFT(TRIM(C66),FIND(" ",TRIM(C66)&amp;" ")-1),",","."))-1)/MID(SUBSTITUTE(LEFT(TRIM(C66),FIND(" ",TRIM(C66)&amp;" ")-1),",","."),FIND("/",SUBSTITUTE(LEFT(TRIM(C66),FIND(" ",TRIM(C66)&amp;" ")-1),",","."))+1,9)),IF(ISNUMBER(SEARCH("yea",C66)),IFERROR(_xlfn.NUMBERVALUE(SUBSTITUTE(LEFT(TRIM(C66),FIND(" ",TRIM(C66)&amp;" ")-1),",","."),"."),LEFT(SUBSTITUTE(LEFT(TRIM(C66),FIND(" ",TRIM(C66)&amp;" ")-1),",","."),FIND("/",SUBSTITUTE(LEFT(TRIM(C66),FIND(" ",TRIM(C66)&amp;" ")-1),",","."))-1)/MID(SUBSTITUTE(LEFT(TRIM(C66),FIND(" ",TRIM(C66)&amp;" ")-1),",","."),FIND("/",SUBSTITUTE(LEFT(TRIM(C66),FIND(" ",TRIM(C66)&amp;" ")-1),",","."))+1,9))*12,NA()))),0),36)*'Aturan &amp; Tarif'!$B$4,2)</f>
        <v>2044.08</v>
      </c>
      <c r="K66" s="32" t="n">
        <f aca="false">'Aturan &amp; Tarif'!$B$5</f>
        <v>2050</v>
      </c>
      <c r="L66" s="35" t="n">
        <f aca="false">I66+J66+K66</f>
        <v>20290.08</v>
      </c>
      <c r="M66" s="37" t="s">
        <v>318</v>
      </c>
    </row>
    <row r="67" customFormat="false" ht="25.5" hidden="false" customHeight="true" outlineLevel="0" collapsed="false">
      <c r="A67" s="29"/>
      <c r="B67" s="30" t="s">
        <v>380</v>
      </c>
      <c r="C67" s="31" t="s">
        <v>191</v>
      </c>
      <c r="D67" s="31" t="s">
        <v>108</v>
      </c>
      <c r="E67" s="32" t="n">
        <v>8906</v>
      </c>
      <c r="F67" s="32"/>
      <c r="G67" s="32"/>
      <c r="H67" s="33" t="n">
        <v>2</v>
      </c>
      <c r="I67" s="34" t="n">
        <f aca="false">E67*H67+N(F67)+N(G67)</f>
        <v>17812</v>
      </c>
      <c r="J67" s="32" t="n">
        <f aca="false">ROUND(IFERROR(ROUND(IF(OR(ISNUMBER(SEARCH("week",C67)),ISNUMBER(SEARCH("minggu",C67))),IFERROR(_xlfn.NUMBERVALUE(SUBSTITUTE(LEFT(TRIM(C67),FIND(" ",TRIM(C67)&amp;" ")-1),",","."),"."),LEFT(SUBSTITUTE(LEFT(TRIM(C67),FIND(" ",TRIM(C67)&amp;" ")-1),",","."),FIND("/",SUBSTITUTE(LEFT(TRIM(C67),FIND(" ",TRIM(C67)&amp;" ")-1),",","."))-1)/MID(SUBSTITUTE(LEFT(TRIM(C67),FIND(" ",TRIM(C67)&amp;" ")-1),",","."),FIND("/",SUBSTITUTE(LEFT(TRIM(C67),FIND(" ",TRIM(C67)&amp;" ")-1),",","."))+1,9))*12/52,IF(ISNUMBER(SEARCH("month",C67)),IFERROR(_xlfn.NUMBERVALUE(SUBSTITUTE(LEFT(TRIM(C67),FIND(" ",TRIM(C67)&amp;" ")-1),",","."),"."),LEFT(SUBSTITUTE(LEFT(TRIM(C67),FIND(" ",TRIM(C67)&amp;" ")-1),",","."),FIND("/",SUBSTITUTE(LEFT(TRIM(C67),FIND(" ",TRIM(C67)&amp;" ")-1),",","."))-1)/MID(SUBSTITUTE(LEFT(TRIM(C67),FIND(" ",TRIM(C67)&amp;" ")-1),",","."),FIND("/",SUBSTITUTE(LEFT(TRIM(C67),FIND(" ",TRIM(C67)&amp;" ")-1),",","."))+1,9)),IF(ISNUMBER(SEARCH("yea",C67)),IFERROR(_xlfn.NUMBERVALUE(SUBSTITUTE(LEFT(TRIM(C67),FIND(" ",TRIM(C67)&amp;" ")-1),",","."),"."),LEFT(SUBSTITUTE(LEFT(TRIM(C67),FIND(" ",TRIM(C67)&amp;" ")-1),",","."),FIND("/",SUBSTITUTE(LEFT(TRIM(C67),FIND(" ",TRIM(C67)&amp;" ")-1),",","."))-1)/MID(SUBSTITUTE(LEFT(TRIM(C67),FIND(" ",TRIM(C67)&amp;" ")-1),",","."),FIND("/",SUBSTITUTE(LEFT(TRIM(C67),FIND(" ",TRIM(C67)&amp;" ")-1),",","."))+1,9))*12,NA()))),0),48)*'Aturan &amp; Tarif'!$B$4,2)</f>
        <v>2725.44</v>
      </c>
      <c r="K67" s="32" t="n">
        <f aca="false">'Aturan &amp; Tarif'!$B$5</f>
        <v>2050</v>
      </c>
      <c r="L67" s="35" t="n">
        <f aca="false">I67+J67+K67</f>
        <v>22587.44</v>
      </c>
      <c r="M67" s="37" t="s">
        <v>318</v>
      </c>
    </row>
    <row r="68" customFormat="false" ht="14.25" hidden="false" customHeight="true" outlineLevel="0" collapsed="false">
      <c r="A68" s="29"/>
      <c r="B68" s="30" t="s">
        <v>381</v>
      </c>
      <c r="C68" s="31" t="s">
        <v>127</v>
      </c>
      <c r="D68" s="31" t="s">
        <v>108</v>
      </c>
      <c r="E68" s="32" t="n">
        <v>8098</v>
      </c>
      <c r="F68" s="32"/>
      <c r="G68" s="32"/>
      <c r="H68" s="33" t="n">
        <v>2</v>
      </c>
      <c r="I68" s="34" t="n">
        <f aca="false">E68*H68+N(F68)+N(G68)</f>
        <v>16196</v>
      </c>
      <c r="J68" s="32" t="n">
        <f aca="false">ROUND(IFERROR(ROUND(IF(OR(ISNUMBER(SEARCH("week",C68)),ISNUMBER(SEARCH("minggu",C68))),IFERROR(_xlfn.NUMBERVALUE(SUBSTITUTE(LEFT(TRIM(C68),FIND(" ",TRIM(C68)&amp;" ")-1),",","."),"."),LEFT(SUBSTITUTE(LEFT(TRIM(C68),FIND(" ",TRIM(C68)&amp;" ")-1),",","."),FIND("/",SUBSTITUTE(LEFT(TRIM(C68),FIND(" ",TRIM(C68)&amp;" ")-1),",","."))-1)/MID(SUBSTITUTE(LEFT(TRIM(C68),FIND(" ",TRIM(C68)&amp;" ")-1),",","."),FIND("/",SUBSTITUTE(LEFT(TRIM(C68),FIND(" ",TRIM(C68)&amp;" ")-1),",","."))+1,9))*12/52,IF(ISNUMBER(SEARCH("month",C68)),IFERROR(_xlfn.NUMBERVALUE(SUBSTITUTE(LEFT(TRIM(C68),FIND(" ",TRIM(C68)&amp;" ")-1),",","."),"."),LEFT(SUBSTITUTE(LEFT(TRIM(C68),FIND(" ",TRIM(C68)&amp;" ")-1),",","."),FIND("/",SUBSTITUTE(LEFT(TRIM(C68),FIND(" ",TRIM(C68)&amp;" ")-1),",","."))-1)/MID(SUBSTITUTE(LEFT(TRIM(C68),FIND(" ",TRIM(C68)&amp;" ")-1),",","."),FIND("/",SUBSTITUTE(LEFT(TRIM(C68),FIND(" ",TRIM(C68)&amp;" ")-1),",","."))+1,9)),IF(ISNUMBER(SEARCH("yea",C68)),IFERROR(_xlfn.NUMBERVALUE(SUBSTITUTE(LEFT(TRIM(C68),FIND(" ",TRIM(C68)&amp;" ")-1),",","."),"."),LEFT(SUBSTITUTE(LEFT(TRIM(C68),FIND(" ",TRIM(C68)&amp;" ")-1),",","."),FIND("/",SUBSTITUTE(LEFT(TRIM(C68),FIND(" ",TRIM(C68)&amp;" ")-1),",","."))-1)/MID(SUBSTITUTE(LEFT(TRIM(C68),FIND(" ",TRIM(C68)&amp;" ")-1),",","."),FIND("/",SUBSTITUTE(LEFT(TRIM(C68),FIND(" ",TRIM(C68)&amp;" ")-1),",","."))+1,9))*12,NA()))),0),36)*'Aturan &amp; Tarif'!$B$4,2)</f>
        <v>2044.08</v>
      </c>
      <c r="K68" s="32" t="n">
        <f aca="false">'Aturan &amp; Tarif'!$B$5</f>
        <v>2050</v>
      </c>
      <c r="L68" s="35" t="n">
        <f aca="false">I68+J68+K68</f>
        <v>20290.08</v>
      </c>
      <c r="M68" s="37" t="s">
        <v>318</v>
      </c>
    </row>
    <row r="69" customFormat="false" ht="25.5" hidden="false" customHeight="true" outlineLevel="0" collapsed="false">
      <c r="A69" s="29"/>
      <c r="B69" s="30" t="s">
        <v>382</v>
      </c>
      <c r="C69" s="31" t="s">
        <v>191</v>
      </c>
      <c r="D69" s="31" t="s">
        <v>108</v>
      </c>
      <c r="E69" s="32" t="n">
        <v>8098</v>
      </c>
      <c r="F69" s="32"/>
      <c r="G69" s="32"/>
      <c r="H69" s="33" t="n">
        <v>2</v>
      </c>
      <c r="I69" s="34" t="n">
        <f aca="false">E69*H69+N(F69)+N(G69)</f>
        <v>16196</v>
      </c>
      <c r="J69" s="32" t="n">
        <f aca="false">ROUND(IFERROR(ROUND(IF(OR(ISNUMBER(SEARCH("week",C69)),ISNUMBER(SEARCH("minggu",C69))),IFERROR(_xlfn.NUMBERVALUE(SUBSTITUTE(LEFT(TRIM(C69),FIND(" ",TRIM(C69)&amp;" ")-1),",","."),"."),LEFT(SUBSTITUTE(LEFT(TRIM(C69),FIND(" ",TRIM(C69)&amp;" ")-1),",","."),FIND("/",SUBSTITUTE(LEFT(TRIM(C69),FIND(" ",TRIM(C69)&amp;" ")-1),",","."))-1)/MID(SUBSTITUTE(LEFT(TRIM(C69),FIND(" ",TRIM(C69)&amp;" ")-1),",","."),FIND("/",SUBSTITUTE(LEFT(TRIM(C69),FIND(" ",TRIM(C69)&amp;" ")-1),",","."))+1,9))*12/52,IF(ISNUMBER(SEARCH("month",C69)),IFERROR(_xlfn.NUMBERVALUE(SUBSTITUTE(LEFT(TRIM(C69),FIND(" ",TRIM(C69)&amp;" ")-1),",","."),"."),LEFT(SUBSTITUTE(LEFT(TRIM(C69),FIND(" ",TRIM(C69)&amp;" ")-1),",","."),FIND("/",SUBSTITUTE(LEFT(TRIM(C69),FIND(" ",TRIM(C69)&amp;" ")-1),",","."))-1)/MID(SUBSTITUTE(LEFT(TRIM(C69),FIND(" ",TRIM(C69)&amp;" ")-1),",","."),FIND("/",SUBSTITUTE(LEFT(TRIM(C69),FIND(" ",TRIM(C69)&amp;" ")-1),",","."))+1,9)),IF(ISNUMBER(SEARCH("yea",C69)),IFERROR(_xlfn.NUMBERVALUE(SUBSTITUTE(LEFT(TRIM(C69),FIND(" ",TRIM(C69)&amp;" ")-1),",","."),"."),LEFT(SUBSTITUTE(LEFT(TRIM(C69),FIND(" ",TRIM(C69)&amp;" ")-1),",","."),FIND("/",SUBSTITUTE(LEFT(TRIM(C69),FIND(" ",TRIM(C69)&amp;" ")-1),",","."))-1)/MID(SUBSTITUTE(LEFT(TRIM(C69),FIND(" ",TRIM(C69)&amp;" ")-1),",","."),FIND("/",SUBSTITUTE(LEFT(TRIM(C69),FIND(" ",TRIM(C69)&amp;" ")-1),",","."))+1,9))*12,NA()))),0),48)*'Aturan &amp; Tarif'!$B$4,2)</f>
        <v>2725.44</v>
      </c>
      <c r="K69" s="32" t="n">
        <f aca="false">'Aturan &amp; Tarif'!$B$5</f>
        <v>2050</v>
      </c>
      <c r="L69" s="35" t="n">
        <f aca="false">I69+J69+K69</f>
        <v>20971.44</v>
      </c>
      <c r="M69" s="37" t="s">
        <v>318</v>
      </c>
    </row>
    <row r="70" customFormat="false" ht="25.5" hidden="false" customHeight="true" outlineLevel="0" collapsed="false">
      <c r="A70" s="29"/>
      <c r="B70" s="30" t="s">
        <v>383</v>
      </c>
      <c r="C70" s="31" t="s">
        <v>191</v>
      </c>
      <c r="D70" s="31" t="s">
        <v>108</v>
      </c>
      <c r="E70" s="32" t="n">
        <v>8906</v>
      </c>
      <c r="F70" s="32"/>
      <c r="G70" s="32"/>
      <c r="H70" s="33" t="n">
        <v>2</v>
      </c>
      <c r="I70" s="34" t="n">
        <f aca="false">E70*H70+N(F70)+N(G70)</f>
        <v>17812</v>
      </c>
      <c r="J70" s="32" t="n">
        <f aca="false">ROUND(IFERROR(ROUND(IF(OR(ISNUMBER(SEARCH("week",C70)),ISNUMBER(SEARCH("minggu",C70))),IFERROR(_xlfn.NUMBERVALUE(SUBSTITUTE(LEFT(TRIM(C70),FIND(" ",TRIM(C70)&amp;" ")-1),",","."),"."),LEFT(SUBSTITUTE(LEFT(TRIM(C70),FIND(" ",TRIM(C70)&amp;" ")-1),",","."),FIND("/",SUBSTITUTE(LEFT(TRIM(C70),FIND(" ",TRIM(C70)&amp;" ")-1),",","."))-1)/MID(SUBSTITUTE(LEFT(TRIM(C70),FIND(" ",TRIM(C70)&amp;" ")-1),",","."),FIND("/",SUBSTITUTE(LEFT(TRIM(C70),FIND(" ",TRIM(C70)&amp;" ")-1),",","."))+1,9))*12/52,IF(ISNUMBER(SEARCH("month",C70)),IFERROR(_xlfn.NUMBERVALUE(SUBSTITUTE(LEFT(TRIM(C70),FIND(" ",TRIM(C70)&amp;" ")-1),",","."),"."),LEFT(SUBSTITUTE(LEFT(TRIM(C70),FIND(" ",TRIM(C70)&amp;" ")-1),",","."),FIND("/",SUBSTITUTE(LEFT(TRIM(C70),FIND(" ",TRIM(C70)&amp;" ")-1),",","."))-1)/MID(SUBSTITUTE(LEFT(TRIM(C70),FIND(" ",TRIM(C70)&amp;" ")-1),",","."),FIND("/",SUBSTITUTE(LEFT(TRIM(C70),FIND(" ",TRIM(C70)&amp;" ")-1),",","."))+1,9)),IF(ISNUMBER(SEARCH("yea",C70)),IFERROR(_xlfn.NUMBERVALUE(SUBSTITUTE(LEFT(TRIM(C70),FIND(" ",TRIM(C70)&amp;" ")-1),",","."),"."),LEFT(SUBSTITUTE(LEFT(TRIM(C70),FIND(" ",TRIM(C70)&amp;" ")-1),",","."),FIND("/",SUBSTITUTE(LEFT(TRIM(C70),FIND(" ",TRIM(C70)&amp;" ")-1),",","."))-1)/MID(SUBSTITUTE(LEFT(TRIM(C70),FIND(" ",TRIM(C70)&amp;" ")-1),",","."),FIND("/",SUBSTITUTE(LEFT(TRIM(C70),FIND(" ",TRIM(C70)&amp;" ")-1),",","."))+1,9))*12,NA()))),0),48)*'Aturan &amp; Tarif'!$B$4,2)</f>
        <v>2725.44</v>
      </c>
      <c r="K70" s="32" t="n">
        <f aca="false">'Aturan &amp; Tarif'!$B$5</f>
        <v>2050</v>
      </c>
      <c r="L70" s="35" t="n">
        <f aca="false">I70+J70+K70</f>
        <v>22587.44</v>
      </c>
      <c r="M70" s="37" t="s">
        <v>318</v>
      </c>
    </row>
    <row r="71" customFormat="false" ht="14.25" hidden="false" customHeight="true" outlineLevel="0" collapsed="false">
      <c r="A71" s="29"/>
      <c r="B71" s="30" t="s">
        <v>265</v>
      </c>
      <c r="C71" s="31" t="s">
        <v>127</v>
      </c>
      <c r="D71" s="31" t="s">
        <v>108</v>
      </c>
      <c r="E71" s="32" t="n">
        <v>9820</v>
      </c>
      <c r="F71" s="32"/>
      <c r="G71" s="32"/>
      <c r="H71" s="33" t="n">
        <v>2</v>
      </c>
      <c r="I71" s="34" t="n">
        <f aca="false">E71*H71+N(F71)+N(G71)</f>
        <v>19640</v>
      </c>
      <c r="J71" s="32" t="n">
        <f aca="false">ROUND(IFERROR(ROUND(IF(OR(ISNUMBER(SEARCH("week",C71)),ISNUMBER(SEARCH("minggu",C71))),IFERROR(_xlfn.NUMBERVALUE(SUBSTITUTE(LEFT(TRIM(C71),FIND(" ",TRIM(C71)&amp;" ")-1),",","."),"."),LEFT(SUBSTITUTE(LEFT(TRIM(C71),FIND(" ",TRIM(C71)&amp;" ")-1),",","."),FIND("/",SUBSTITUTE(LEFT(TRIM(C71),FIND(" ",TRIM(C71)&amp;" ")-1),",","."))-1)/MID(SUBSTITUTE(LEFT(TRIM(C71),FIND(" ",TRIM(C71)&amp;" ")-1),",","."),FIND("/",SUBSTITUTE(LEFT(TRIM(C71),FIND(" ",TRIM(C71)&amp;" ")-1),",","."))+1,9))*12/52,IF(ISNUMBER(SEARCH("month",C71)),IFERROR(_xlfn.NUMBERVALUE(SUBSTITUTE(LEFT(TRIM(C71),FIND(" ",TRIM(C71)&amp;" ")-1),",","."),"."),LEFT(SUBSTITUTE(LEFT(TRIM(C71),FIND(" ",TRIM(C71)&amp;" ")-1),",","."),FIND("/",SUBSTITUTE(LEFT(TRIM(C71),FIND(" ",TRIM(C71)&amp;" ")-1),",","."))-1)/MID(SUBSTITUTE(LEFT(TRIM(C71),FIND(" ",TRIM(C71)&amp;" ")-1),",","."),FIND("/",SUBSTITUTE(LEFT(TRIM(C71),FIND(" ",TRIM(C71)&amp;" ")-1),",","."))+1,9)),IF(ISNUMBER(SEARCH("yea",C71)),IFERROR(_xlfn.NUMBERVALUE(SUBSTITUTE(LEFT(TRIM(C71),FIND(" ",TRIM(C71)&amp;" ")-1),",","."),"."),LEFT(SUBSTITUTE(LEFT(TRIM(C71),FIND(" ",TRIM(C71)&amp;" ")-1),",","."),FIND("/",SUBSTITUTE(LEFT(TRIM(C71),FIND(" ",TRIM(C71)&amp;" ")-1),",","."))-1)/MID(SUBSTITUTE(LEFT(TRIM(C71),FIND(" ",TRIM(C71)&amp;" ")-1),",","."),FIND("/",SUBSTITUTE(LEFT(TRIM(C71),FIND(" ",TRIM(C71)&amp;" ")-1),",","."))+1,9))*12,NA()))),0),36)*'Aturan &amp; Tarif'!$B$4,2)</f>
        <v>2044.08</v>
      </c>
      <c r="K71" s="32" t="n">
        <f aca="false">'Aturan &amp; Tarif'!$B$5</f>
        <v>2050</v>
      </c>
      <c r="L71" s="35" t="n">
        <f aca="false">I71+J71+K71</f>
        <v>23734.08</v>
      </c>
      <c r="M71" s="37" t="s">
        <v>318</v>
      </c>
    </row>
    <row r="72" customFormat="false" ht="14.25" hidden="false" customHeight="true" outlineLevel="0" collapsed="false">
      <c r="A72" s="29"/>
      <c r="B72" s="30" t="s">
        <v>384</v>
      </c>
      <c r="C72" s="31" t="s">
        <v>127</v>
      </c>
      <c r="D72" s="31" t="s">
        <v>108</v>
      </c>
      <c r="E72" s="32" t="n">
        <v>9820</v>
      </c>
      <c r="F72" s="32"/>
      <c r="G72" s="32"/>
      <c r="H72" s="33" t="n">
        <v>2</v>
      </c>
      <c r="I72" s="34" t="n">
        <f aca="false">E72*H72+N(F72)+N(G72)</f>
        <v>19640</v>
      </c>
      <c r="J72" s="32" t="n">
        <f aca="false">ROUND(IFERROR(ROUND(IF(OR(ISNUMBER(SEARCH("week",C72)),ISNUMBER(SEARCH("minggu",C72))),IFERROR(_xlfn.NUMBERVALUE(SUBSTITUTE(LEFT(TRIM(C72),FIND(" ",TRIM(C72)&amp;" ")-1),",","."),"."),LEFT(SUBSTITUTE(LEFT(TRIM(C72),FIND(" ",TRIM(C72)&amp;" ")-1),",","."),FIND("/",SUBSTITUTE(LEFT(TRIM(C72),FIND(" ",TRIM(C72)&amp;" ")-1),",","."))-1)/MID(SUBSTITUTE(LEFT(TRIM(C72),FIND(" ",TRIM(C72)&amp;" ")-1),",","."),FIND("/",SUBSTITUTE(LEFT(TRIM(C72),FIND(" ",TRIM(C72)&amp;" ")-1),",","."))+1,9))*12/52,IF(ISNUMBER(SEARCH("month",C72)),IFERROR(_xlfn.NUMBERVALUE(SUBSTITUTE(LEFT(TRIM(C72),FIND(" ",TRIM(C72)&amp;" ")-1),",","."),"."),LEFT(SUBSTITUTE(LEFT(TRIM(C72),FIND(" ",TRIM(C72)&amp;" ")-1),",","."),FIND("/",SUBSTITUTE(LEFT(TRIM(C72),FIND(" ",TRIM(C72)&amp;" ")-1),",","."))-1)/MID(SUBSTITUTE(LEFT(TRIM(C72),FIND(" ",TRIM(C72)&amp;" ")-1),",","."),FIND("/",SUBSTITUTE(LEFT(TRIM(C72),FIND(" ",TRIM(C72)&amp;" ")-1),",","."))+1,9)),IF(ISNUMBER(SEARCH("yea",C72)),IFERROR(_xlfn.NUMBERVALUE(SUBSTITUTE(LEFT(TRIM(C72),FIND(" ",TRIM(C72)&amp;" ")-1),",","."),"."),LEFT(SUBSTITUTE(LEFT(TRIM(C72),FIND(" ",TRIM(C72)&amp;" ")-1),",","."),FIND("/",SUBSTITUTE(LEFT(TRIM(C72),FIND(" ",TRIM(C72)&amp;" ")-1),",","."))-1)/MID(SUBSTITUTE(LEFT(TRIM(C72),FIND(" ",TRIM(C72)&amp;" ")-1),",","."),FIND("/",SUBSTITUTE(LEFT(TRIM(C72),FIND(" ",TRIM(C72)&amp;" ")-1),",","."))+1,9))*12,NA()))),0),36)*'Aturan &amp; Tarif'!$B$4,2)</f>
        <v>2044.08</v>
      </c>
      <c r="K72" s="32" t="n">
        <f aca="false">'Aturan &amp; Tarif'!$B$5</f>
        <v>2050</v>
      </c>
      <c r="L72" s="35" t="n">
        <f aca="false">I72+J72+K72</f>
        <v>23734.08</v>
      </c>
      <c r="M72" s="37" t="s">
        <v>318</v>
      </c>
    </row>
    <row r="73" customFormat="false" ht="14.25" hidden="false" customHeight="true" outlineLevel="0" collapsed="false">
      <c r="A73" s="29"/>
      <c r="B73" s="30" t="s">
        <v>385</v>
      </c>
      <c r="C73" s="31" t="s">
        <v>127</v>
      </c>
      <c r="D73" s="31" t="s">
        <v>108</v>
      </c>
      <c r="E73" s="32" t="n">
        <v>8098</v>
      </c>
      <c r="F73" s="32"/>
      <c r="G73" s="32"/>
      <c r="H73" s="33" t="n">
        <v>2</v>
      </c>
      <c r="I73" s="34" t="n">
        <f aca="false">E73*H73+N(F73)+N(G73)</f>
        <v>16196</v>
      </c>
      <c r="J73" s="32" t="n">
        <f aca="false">ROUND(IFERROR(ROUND(IF(OR(ISNUMBER(SEARCH("week",C73)),ISNUMBER(SEARCH("minggu",C73))),IFERROR(_xlfn.NUMBERVALUE(SUBSTITUTE(LEFT(TRIM(C73),FIND(" ",TRIM(C73)&amp;" ")-1),",","."),"."),LEFT(SUBSTITUTE(LEFT(TRIM(C73),FIND(" ",TRIM(C73)&amp;" ")-1),",","."),FIND("/",SUBSTITUTE(LEFT(TRIM(C73),FIND(" ",TRIM(C73)&amp;" ")-1),",","."))-1)/MID(SUBSTITUTE(LEFT(TRIM(C73),FIND(" ",TRIM(C73)&amp;" ")-1),",","."),FIND("/",SUBSTITUTE(LEFT(TRIM(C73),FIND(" ",TRIM(C73)&amp;" ")-1),",","."))+1,9))*12/52,IF(ISNUMBER(SEARCH("month",C73)),IFERROR(_xlfn.NUMBERVALUE(SUBSTITUTE(LEFT(TRIM(C73),FIND(" ",TRIM(C73)&amp;" ")-1),",","."),"."),LEFT(SUBSTITUTE(LEFT(TRIM(C73),FIND(" ",TRIM(C73)&amp;" ")-1),",","."),FIND("/",SUBSTITUTE(LEFT(TRIM(C73),FIND(" ",TRIM(C73)&amp;" ")-1),",","."))-1)/MID(SUBSTITUTE(LEFT(TRIM(C73),FIND(" ",TRIM(C73)&amp;" ")-1),",","."),FIND("/",SUBSTITUTE(LEFT(TRIM(C73),FIND(" ",TRIM(C73)&amp;" ")-1),",","."))+1,9)),IF(ISNUMBER(SEARCH("yea",C73)),IFERROR(_xlfn.NUMBERVALUE(SUBSTITUTE(LEFT(TRIM(C73),FIND(" ",TRIM(C73)&amp;" ")-1),",","."),"."),LEFT(SUBSTITUTE(LEFT(TRIM(C73),FIND(" ",TRIM(C73)&amp;" ")-1),",","."),FIND("/",SUBSTITUTE(LEFT(TRIM(C73),FIND(" ",TRIM(C73)&amp;" ")-1),",","."))-1)/MID(SUBSTITUTE(LEFT(TRIM(C73),FIND(" ",TRIM(C73)&amp;" ")-1),",","."),FIND("/",SUBSTITUTE(LEFT(TRIM(C73),FIND(" ",TRIM(C73)&amp;" ")-1),",","."))+1,9))*12,NA()))),0),36)*'Aturan &amp; Tarif'!$B$4,2)</f>
        <v>2044.08</v>
      </c>
      <c r="K73" s="32" t="n">
        <f aca="false">'Aturan &amp; Tarif'!$B$5</f>
        <v>2050</v>
      </c>
      <c r="L73" s="35" t="n">
        <f aca="false">I73+J73+K73</f>
        <v>20290.08</v>
      </c>
      <c r="M73" s="37" t="s">
        <v>318</v>
      </c>
    </row>
    <row r="74" customFormat="false" ht="14.25" hidden="false" customHeight="true" outlineLevel="0" collapsed="false">
      <c r="A74" s="29"/>
      <c r="B74" s="30" t="s">
        <v>386</v>
      </c>
      <c r="C74" s="31" t="s">
        <v>191</v>
      </c>
      <c r="D74" s="31" t="s">
        <v>108</v>
      </c>
      <c r="E74" s="32" t="n">
        <v>13136</v>
      </c>
      <c r="F74" s="32"/>
      <c r="G74" s="32"/>
      <c r="H74" s="33" t="n">
        <v>2</v>
      </c>
      <c r="I74" s="34" t="n">
        <f aca="false">E74*H74+N(F74)+N(G74)</f>
        <v>26272</v>
      </c>
      <c r="J74" s="32" t="n">
        <f aca="false">ROUND(IFERROR(ROUND(IF(OR(ISNUMBER(SEARCH("week",C74)),ISNUMBER(SEARCH("minggu",C74))),IFERROR(_xlfn.NUMBERVALUE(SUBSTITUTE(LEFT(TRIM(C74),FIND(" ",TRIM(C74)&amp;" ")-1),",","."),"."),LEFT(SUBSTITUTE(LEFT(TRIM(C74),FIND(" ",TRIM(C74)&amp;" ")-1),",","."),FIND("/",SUBSTITUTE(LEFT(TRIM(C74),FIND(" ",TRIM(C74)&amp;" ")-1),",","."))-1)/MID(SUBSTITUTE(LEFT(TRIM(C74),FIND(" ",TRIM(C74)&amp;" ")-1),",","."),FIND("/",SUBSTITUTE(LEFT(TRIM(C74),FIND(" ",TRIM(C74)&amp;" ")-1),",","."))+1,9))*12/52,IF(ISNUMBER(SEARCH("month",C74)),IFERROR(_xlfn.NUMBERVALUE(SUBSTITUTE(LEFT(TRIM(C74),FIND(" ",TRIM(C74)&amp;" ")-1),",","."),"."),LEFT(SUBSTITUTE(LEFT(TRIM(C74),FIND(" ",TRIM(C74)&amp;" ")-1),",","."),FIND("/",SUBSTITUTE(LEFT(TRIM(C74),FIND(" ",TRIM(C74)&amp;" ")-1),",","."))-1)/MID(SUBSTITUTE(LEFT(TRIM(C74),FIND(" ",TRIM(C74)&amp;" ")-1),",","."),FIND("/",SUBSTITUTE(LEFT(TRIM(C74),FIND(" ",TRIM(C74)&amp;" ")-1),",","."))+1,9)),IF(ISNUMBER(SEARCH("yea",C74)),IFERROR(_xlfn.NUMBERVALUE(SUBSTITUTE(LEFT(TRIM(C74),FIND(" ",TRIM(C74)&amp;" ")-1),",","."),"."),LEFT(SUBSTITUTE(LEFT(TRIM(C74),FIND(" ",TRIM(C74)&amp;" ")-1),",","."),FIND("/",SUBSTITUTE(LEFT(TRIM(C74),FIND(" ",TRIM(C74)&amp;" ")-1),",","."))-1)/MID(SUBSTITUTE(LEFT(TRIM(C74),FIND(" ",TRIM(C74)&amp;" ")-1),",","."),FIND("/",SUBSTITUTE(LEFT(TRIM(C74),FIND(" ",TRIM(C74)&amp;" ")-1),",","."))+1,9))*12,NA()))),0),48)*'Aturan &amp; Tarif'!$B$4,2)</f>
        <v>2725.44</v>
      </c>
      <c r="K74" s="32" t="n">
        <f aca="false">'Aturan &amp; Tarif'!$B$5</f>
        <v>2050</v>
      </c>
      <c r="L74" s="35" t="n">
        <f aca="false">I74+J74+K74</f>
        <v>31047.44</v>
      </c>
      <c r="M74" s="37" t="s">
        <v>318</v>
      </c>
    </row>
    <row r="75" customFormat="false" ht="72" hidden="false" customHeight="true" outlineLevel="0" collapsed="false">
      <c r="A75" s="29"/>
      <c r="B75" s="30" t="s">
        <v>387</v>
      </c>
      <c r="C75" s="31" t="s">
        <v>191</v>
      </c>
      <c r="D75" s="31" t="s">
        <v>108</v>
      </c>
      <c r="E75" s="32" t="n">
        <v>13136</v>
      </c>
      <c r="F75" s="32"/>
      <c r="G75" s="32"/>
      <c r="H75" s="33" t="n">
        <v>2</v>
      </c>
      <c r="I75" s="34" t="n">
        <f aca="false">E75*H75+N(F75)+N(G75)</f>
        <v>26272</v>
      </c>
      <c r="J75" s="32" t="n">
        <f aca="false">ROUND(IFERROR(ROUND(IF(OR(ISNUMBER(SEARCH("week",C75)),ISNUMBER(SEARCH("minggu",C75))),IFERROR(_xlfn.NUMBERVALUE(SUBSTITUTE(LEFT(TRIM(C75),FIND(" ",TRIM(C75)&amp;" ")-1),",","."),"."),LEFT(SUBSTITUTE(LEFT(TRIM(C75),FIND(" ",TRIM(C75)&amp;" ")-1),",","."),FIND("/",SUBSTITUTE(LEFT(TRIM(C75),FIND(" ",TRIM(C75)&amp;" ")-1),",","."))-1)/MID(SUBSTITUTE(LEFT(TRIM(C75),FIND(" ",TRIM(C75)&amp;" ")-1),",","."),FIND("/",SUBSTITUTE(LEFT(TRIM(C75),FIND(" ",TRIM(C75)&amp;" ")-1),",","."))+1,9))*12/52,IF(ISNUMBER(SEARCH("month",C75)),IFERROR(_xlfn.NUMBERVALUE(SUBSTITUTE(LEFT(TRIM(C75),FIND(" ",TRIM(C75)&amp;" ")-1),",","."),"."),LEFT(SUBSTITUTE(LEFT(TRIM(C75),FIND(" ",TRIM(C75)&amp;" ")-1),",","."),FIND("/",SUBSTITUTE(LEFT(TRIM(C75),FIND(" ",TRIM(C75)&amp;" ")-1),",","."))-1)/MID(SUBSTITUTE(LEFT(TRIM(C75),FIND(" ",TRIM(C75)&amp;" ")-1),",","."),FIND("/",SUBSTITUTE(LEFT(TRIM(C75),FIND(" ",TRIM(C75)&amp;" ")-1),",","."))+1,9)),IF(ISNUMBER(SEARCH("yea",C75)),IFERROR(_xlfn.NUMBERVALUE(SUBSTITUTE(LEFT(TRIM(C75),FIND(" ",TRIM(C75)&amp;" ")-1),",","."),"."),LEFT(SUBSTITUTE(LEFT(TRIM(C75),FIND(" ",TRIM(C75)&amp;" ")-1),",","."),FIND("/",SUBSTITUTE(LEFT(TRIM(C75),FIND(" ",TRIM(C75)&amp;" ")-1),",","."))-1)/MID(SUBSTITUTE(LEFT(TRIM(C75),FIND(" ",TRIM(C75)&amp;" ")-1),",","."),FIND("/",SUBSTITUTE(LEFT(TRIM(C75),FIND(" ",TRIM(C75)&amp;" ")-1),",","."))+1,9))*12,NA()))),0),48)*'Aturan &amp; Tarif'!$B$4,2)</f>
        <v>2725.44</v>
      </c>
      <c r="K75" s="32" t="n">
        <f aca="false">'Aturan &amp; Tarif'!$B$5</f>
        <v>2050</v>
      </c>
      <c r="L75" s="35" t="n">
        <f aca="false">I75+J75+K75</f>
        <v>31047.44</v>
      </c>
      <c r="M75" s="36" t="s">
        <v>388</v>
      </c>
    </row>
    <row r="76" customFormat="false" ht="25.5" hidden="false" customHeight="true" outlineLevel="0" collapsed="false">
      <c r="A76" s="29"/>
      <c r="B76" s="30" t="s">
        <v>389</v>
      </c>
      <c r="C76" s="31" t="s">
        <v>191</v>
      </c>
      <c r="D76" s="31" t="s">
        <v>108</v>
      </c>
      <c r="E76" s="32" t="n">
        <v>8098</v>
      </c>
      <c r="F76" s="32"/>
      <c r="G76" s="32"/>
      <c r="H76" s="33" t="n">
        <v>2</v>
      </c>
      <c r="I76" s="34" t="n">
        <f aca="false">E76*H76+N(F76)+N(G76)</f>
        <v>16196</v>
      </c>
      <c r="J76" s="32" t="n">
        <f aca="false">ROUND(IFERROR(ROUND(IF(OR(ISNUMBER(SEARCH("week",C76)),ISNUMBER(SEARCH("minggu",C76))),IFERROR(_xlfn.NUMBERVALUE(SUBSTITUTE(LEFT(TRIM(C76),FIND(" ",TRIM(C76)&amp;" ")-1),",","."),"."),LEFT(SUBSTITUTE(LEFT(TRIM(C76),FIND(" ",TRIM(C76)&amp;" ")-1),",","."),FIND("/",SUBSTITUTE(LEFT(TRIM(C76),FIND(" ",TRIM(C76)&amp;" ")-1),",","."))-1)/MID(SUBSTITUTE(LEFT(TRIM(C76),FIND(" ",TRIM(C76)&amp;" ")-1),",","."),FIND("/",SUBSTITUTE(LEFT(TRIM(C76),FIND(" ",TRIM(C76)&amp;" ")-1),",","."))+1,9))*12/52,IF(ISNUMBER(SEARCH("month",C76)),IFERROR(_xlfn.NUMBERVALUE(SUBSTITUTE(LEFT(TRIM(C76),FIND(" ",TRIM(C76)&amp;" ")-1),",","."),"."),LEFT(SUBSTITUTE(LEFT(TRIM(C76),FIND(" ",TRIM(C76)&amp;" ")-1),",","."),FIND("/",SUBSTITUTE(LEFT(TRIM(C76),FIND(" ",TRIM(C76)&amp;" ")-1),",","."))-1)/MID(SUBSTITUTE(LEFT(TRIM(C76),FIND(" ",TRIM(C76)&amp;" ")-1),",","."),FIND("/",SUBSTITUTE(LEFT(TRIM(C76),FIND(" ",TRIM(C76)&amp;" ")-1),",","."))+1,9)),IF(ISNUMBER(SEARCH("yea",C76)),IFERROR(_xlfn.NUMBERVALUE(SUBSTITUTE(LEFT(TRIM(C76),FIND(" ",TRIM(C76)&amp;" ")-1),",","."),"."),LEFT(SUBSTITUTE(LEFT(TRIM(C76),FIND(" ",TRIM(C76)&amp;" ")-1),",","."),FIND("/",SUBSTITUTE(LEFT(TRIM(C76),FIND(" ",TRIM(C76)&amp;" ")-1),",","."))-1)/MID(SUBSTITUTE(LEFT(TRIM(C76),FIND(" ",TRIM(C76)&amp;" ")-1),",","."),FIND("/",SUBSTITUTE(LEFT(TRIM(C76),FIND(" ",TRIM(C76)&amp;" ")-1),",","."))+1,9))*12,NA()))),0),48)*'Aturan &amp; Tarif'!$B$4,2)</f>
        <v>2725.44</v>
      </c>
      <c r="K76" s="32" t="n">
        <f aca="false">'Aturan &amp; Tarif'!$B$5</f>
        <v>2050</v>
      </c>
      <c r="L76" s="35" t="n">
        <f aca="false">I76+J76+K76</f>
        <v>20971.44</v>
      </c>
      <c r="M76" s="37" t="s">
        <v>318</v>
      </c>
    </row>
    <row r="77" customFormat="false" ht="37.5" hidden="false" customHeight="true" outlineLevel="0" collapsed="false">
      <c r="A77" s="29"/>
      <c r="B77" s="30" t="s">
        <v>390</v>
      </c>
      <c r="C77" s="31" t="s">
        <v>191</v>
      </c>
      <c r="D77" s="31" t="s">
        <v>108</v>
      </c>
      <c r="E77" s="32" t="n">
        <v>8098</v>
      </c>
      <c r="F77" s="32"/>
      <c r="G77" s="32"/>
      <c r="H77" s="33" t="n">
        <v>2</v>
      </c>
      <c r="I77" s="34" t="n">
        <f aca="false">E77*H77+N(F77)+N(G77)</f>
        <v>16196</v>
      </c>
      <c r="J77" s="32" t="n">
        <f aca="false">ROUND(IFERROR(ROUND(IF(OR(ISNUMBER(SEARCH("week",C77)),ISNUMBER(SEARCH("minggu",C77))),IFERROR(_xlfn.NUMBERVALUE(SUBSTITUTE(LEFT(TRIM(C77),FIND(" ",TRIM(C77)&amp;" ")-1),",","."),"."),LEFT(SUBSTITUTE(LEFT(TRIM(C77),FIND(" ",TRIM(C77)&amp;" ")-1),",","."),FIND("/",SUBSTITUTE(LEFT(TRIM(C77),FIND(" ",TRIM(C77)&amp;" ")-1),",","."))-1)/MID(SUBSTITUTE(LEFT(TRIM(C77),FIND(" ",TRIM(C77)&amp;" ")-1),",","."),FIND("/",SUBSTITUTE(LEFT(TRIM(C77),FIND(" ",TRIM(C77)&amp;" ")-1),",","."))+1,9))*12/52,IF(ISNUMBER(SEARCH("month",C77)),IFERROR(_xlfn.NUMBERVALUE(SUBSTITUTE(LEFT(TRIM(C77),FIND(" ",TRIM(C77)&amp;" ")-1),",","."),"."),LEFT(SUBSTITUTE(LEFT(TRIM(C77),FIND(" ",TRIM(C77)&amp;" ")-1),",","."),FIND("/",SUBSTITUTE(LEFT(TRIM(C77),FIND(" ",TRIM(C77)&amp;" ")-1),",","."))-1)/MID(SUBSTITUTE(LEFT(TRIM(C77),FIND(" ",TRIM(C77)&amp;" ")-1),",","."),FIND("/",SUBSTITUTE(LEFT(TRIM(C77),FIND(" ",TRIM(C77)&amp;" ")-1),",","."))+1,9)),IF(ISNUMBER(SEARCH("yea",C77)),IFERROR(_xlfn.NUMBERVALUE(SUBSTITUTE(LEFT(TRIM(C77),FIND(" ",TRIM(C77)&amp;" ")-1),",","."),"."),LEFT(SUBSTITUTE(LEFT(TRIM(C77),FIND(" ",TRIM(C77)&amp;" ")-1),",","."),FIND("/",SUBSTITUTE(LEFT(TRIM(C77),FIND(" ",TRIM(C77)&amp;" ")-1),",","."))-1)/MID(SUBSTITUTE(LEFT(TRIM(C77),FIND(" ",TRIM(C77)&amp;" ")-1),",","."),FIND("/",SUBSTITUTE(LEFT(TRIM(C77),FIND(" ",TRIM(C77)&amp;" ")-1),",","."))+1,9))*12,NA()))),0),48)*'Aturan &amp; Tarif'!$B$4,2)</f>
        <v>2725.44</v>
      </c>
      <c r="K77" s="32" t="n">
        <f aca="false">'Aturan &amp; Tarif'!$B$5</f>
        <v>2050</v>
      </c>
      <c r="L77" s="35" t="n">
        <f aca="false">I77+J77+K77</f>
        <v>20971.44</v>
      </c>
      <c r="M77" s="36" t="s">
        <v>391</v>
      </c>
    </row>
    <row r="78" customFormat="false" ht="37.5" hidden="false" customHeight="true" outlineLevel="0" collapsed="false">
      <c r="A78" s="29"/>
      <c r="B78" s="30" t="s">
        <v>392</v>
      </c>
      <c r="C78" s="31" t="s">
        <v>191</v>
      </c>
      <c r="D78" s="31" t="s">
        <v>108</v>
      </c>
      <c r="E78" s="32" t="n">
        <v>8098</v>
      </c>
      <c r="F78" s="32"/>
      <c r="G78" s="32"/>
      <c r="H78" s="33" t="n">
        <v>2</v>
      </c>
      <c r="I78" s="34" t="n">
        <f aca="false">E78*H78+N(F78)+N(G78)</f>
        <v>16196</v>
      </c>
      <c r="J78" s="32" t="n">
        <f aca="false">ROUND(IFERROR(ROUND(IF(OR(ISNUMBER(SEARCH("week",C78)),ISNUMBER(SEARCH("minggu",C78))),IFERROR(_xlfn.NUMBERVALUE(SUBSTITUTE(LEFT(TRIM(C78),FIND(" ",TRIM(C78)&amp;" ")-1),",","."),"."),LEFT(SUBSTITUTE(LEFT(TRIM(C78),FIND(" ",TRIM(C78)&amp;" ")-1),",","."),FIND("/",SUBSTITUTE(LEFT(TRIM(C78),FIND(" ",TRIM(C78)&amp;" ")-1),",","."))-1)/MID(SUBSTITUTE(LEFT(TRIM(C78),FIND(" ",TRIM(C78)&amp;" ")-1),",","."),FIND("/",SUBSTITUTE(LEFT(TRIM(C78),FIND(" ",TRIM(C78)&amp;" ")-1),",","."))+1,9))*12/52,IF(ISNUMBER(SEARCH("month",C78)),IFERROR(_xlfn.NUMBERVALUE(SUBSTITUTE(LEFT(TRIM(C78),FIND(" ",TRIM(C78)&amp;" ")-1),",","."),"."),LEFT(SUBSTITUTE(LEFT(TRIM(C78),FIND(" ",TRIM(C78)&amp;" ")-1),",","."),FIND("/",SUBSTITUTE(LEFT(TRIM(C78),FIND(" ",TRIM(C78)&amp;" ")-1),",","."))-1)/MID(SUBSTITUTE(LEFT(TRIM(C78),FIND(" ",TRIM(C78)&amp;" ")-1),",","."),FIND("/",SUBSTITUTE(LEFT(TRIM(C78),FIND(" ",TRIM(C78)&amp;" ")-1),",","."))+1,9)),IF(ISNUMBER(SEARCH("yea",C78)),IFERROR(_xlfn.NUMBERVALUE(SUBSTITUTE(LEFT(TRIM(C78),FIND(" ",TRIM(C78)&amp;" ")-1),",","."),"."),LEFT(SUBSTITUTE(LEFT(TRIM(C78),FIND(" ",TRIM(C78)&amp;" ")-1),",","."),FIND("/",SUBSTITUTE(LEFT(TRIM(C78),FIND(" ",TRIM(C78)&amp;" ")-1),",","."))-1)/MID(SUBSTITUTE(LEFT(TRIM(C78),FIND(" ",TRIM(C78)&amp;" ")-1),",","."),FIND("/",SUBSTITUTE(LEFT(TRIM(C78),FIND(" ",TRIM(C78)&amp;" ")-1),",","."))+1,9))*12,NA()))),0),48)*'Aturan &amp; Tarif'!$B$4,2)</f>
        <v>2725.44</v>
      </c>
      <c r="K78" s="32" t="n">
        <f aca="false">'Aturan &amp; Tarif'!$B$5</f>
        <v>2050</v>
      </c>
      <c r="L78" s="35" t="n">
        <f aca="false">I78+J78+K78</f>
        <v>20971.44</v>
      </c>
      <c r="M78" s="36" t="s">
        <v>391</v>
      </c>
    </row>
    <row r="79" customFormat="false" ht="25.5" hidden="false" customHeight="true" outlineLevel="0" collapsed="false">
      <c r="A79" s="29"/>
      <c r="B79" s="30" t="s">
        <v>393</v>
      </c>
      <c r="C79" s="31" t="s">
        <v>191</v>
      </c>
      <c r="D79" s="31" t="s">
        <v>108</v>
      </c>
      <c r="E79" s="32" t="n">
        <v>8098</v>
      </c>
      <c r="F79" s="32"/>
      <c r="G79" s="32"/>
      <c r="H79" s="33" t="n">
        <v>2</v>
      </c>
      <c r="I79" s="34" t="n">
        <f aca="false">E79*H79+N(F79)+N(G79)</f>
        <v>16196</v>
      </c>
      <c r="J79" s="32" t="n">
        <f aca="false">ROUND(IFERROR(ROUND(IF(OR(ISNUMBER(SEARCH("week",C79)),ISNUMBER(SEARCH("minggu",C79))),IFERROR(_xlfn.NUMBERVALUE(SUBSTITUTE(LEFT(TRIM(C79),FIND(" ",TRIM(C79)&amp;" ")-1),",","."),"."),LEFT(SUBSTITUTE(LEFT(TRIM(C79),FIND(" ",TRIM(C79)&amp;" ")-1),",","."),FIND("/",SUBSTITUTE(LEFT(TRIM(C79),FIND(" ",TRIM(C79)&amp;" ")-1),",","."))-1)/MID(SUBSTITUTE(LEFT(TRIM(C79),FIND(" ",TRIM(C79)&amp;" ")-1),",","."),FIND("/",SUBSTITUTE(LEFT(TRIM(C79),FIND(" ",TRIM(C79)&amp;" ")-1),",","."))+1,9))*12/52,IF(ISNUMBER(SEARCH("month",C79)),IFERROR(_xlfn.NUMBERVALUE(SUBSTITUTE(LEFT(TRIM(C79),FIND(" ",TRIM(C79)&amp;" ")-1),",","."),"."),LEFT(SUBSTITUTE(LEFT(TRIM(C79),FIND(" ",TRIM(C79)&amp;" ")-1),",","."),FIND("/",SUBSTITUTE(LEFT(TRIM(C79),FIND(" ",TRIM(C79)&amp;" ")-1),",","."))-1)/MID(SUBSTITUTE(LEFT(TRIM(C79),FIND(" ",TRIM(C79)&amp;" ")-1),",","."),FIND("/",SUBSTITUTE(LEFT(TRIM(C79),FIND(" ",TRIM(C79)&amp;" ")-1),",","."))+1,9)),IF(ISNUMBER(SEARCH("yea",C79)),IFERROR(_xlfn.NUMBERVALUE(SUBSTITUTE(LEFT(TRIM(C79),FIND(" ",TRIM(C79)&amp;" ")-1),",","."),"."),LEFT(SUBSTITUTE(LEFT(TRIM(C79),FIND(" ",TRIM(C79)&amp;" ")-1),",","."),FIND("/",SUBSTITUTE(LEFT(TRIM(C79),FIND(" ",TRIM(C79)&amp;" ")-1),",","."))-1)/MID(SUBSTITUTE(LEFT(TRIM(C79),FIND(" ",TRIM(C79)&amp;" ")-1),",","."),FIND("/",SUBSTITUTE(LEFT(TRIM(C79),FIND(" ",TRIM(C79)&amp;" ")-1),",","."))+1,9))*12,NA()))),0),48)*'Aturan &amp; Tarif'!$B$4,2)</f>
        <v>2725.44</v>
      </c>
      <c r="K79" s="32" t="n">
        <f aca="false">'Aturan &amp; Tarif'!$B$5</f>
        <v>2050</v>
      </c>
      <c r="L79" s="35" t="n">
        <f aca="false">I79+J79+K79</f>
        <v>20971.44</v>
      </c>
      <c r="M79" s="37" t="s">
        <v>322</v>
      </c>
    </row>
    <row r="80" customFormat="false" ht="25.5" hidden="false" customHeight="true" outlineLevel="0" collapsed="false">
      <c r="A80" s="29"/>
      <c r="B80" s="30" t="s">
        <v>394</v>
      </c>
      <c r="C80" s="31" t="s">
        <v>191</v>
      </c>
      <c r="D80" s="31" t="s">
        <v>108</v>
      </c>
      <c r="E80" s="32" t="n">
        <v>8098</v>
      </c>
      <c r="F80" s="32"/>
      <c r="G80" s="32"/>
      <c r="H80" s="33" t="n">
        <v>2</v>
      </c>
      <c r="I80" s="34" t="n">
        <f aca="false">E80*H80+N(F80)+N(G80)</f>
        <v>16196</v>
      </c>
      <c r="J80" s="32" t="n">
        <f aca="false">ROUND(IFERROR(ROUND(IF(OR(ISNUMBER(SEARCH("week",C80)),ISNUMBER(SEARCH("minggu",C80))),IFERROR(_xlfn.NUMBERVALUE(SUBSTITUTE(LEFT(TRIM(C80),FIND(" ",TRIM(C80)&amp;" ")-1),",","."),"."),LEFT(SUBSTITUTE(LEFT(TRIM(C80),FIND(" ",TRIM(C80)&amp;" ")-1),",","."),FIND("/",SUBSTITUTE(LEFT(TRIM(C80),FIND(" ",TRIM(C80)&amp;" ")-1),",","."))-1)/MID(SUBSTITUTE(LEFT(TRIM(C80),FIND(" ",TRIM(C80)&amp;" ")-1),",","."),FIND("/",SUBSTITUTE(LEFT(TRIM(C80),FIND(" ",TRIM(C80)&amp;" ")-1),",","."))+1,9))*12/52,IF(ISNUMBER(SEARCH("month",C80)),IFERROR(_xlfn.NUMBERVALUE(SUBSTITUTE(LEFT(TRIM(C80),FIND(" ",TRIM(C80)&amp;" ")-1),",","."),"."),LEFT(SUBSTITUTE(LEFT(TRIM(C80),FIND(" ",TRIM(C80)&amp;" ")-1),",","."),FIND("/",SUBSTITUTE(LEFT(TRIM(C80),FIND(" ",TRIM(C80)&amp;" ")-1),",","."))-1)/MID(SUBSTITUTE(LEFT(TRIM(C80),FIND(" ",TRIM(C80)&amp;" ")-1),",","."),FIND("/",SUBSTITUTE(LEFT(TRIM(C80),FIND(" ",TRIM(C80)&amp;" ")-1),",","."))+1,9)),IF(ISNUMBER(SEARCH("yea",C80)),IFERROR(_xlfn.NUMBERVALUE(SUBSTITUTE(LEFT(TRIM(C80),FIND(" ",TRIM(C80)&amp;" ")-1),",","."),"."),LEFT(SUBSTITUTE(LEFT(TRIM(C80),FIND(" ",TRIM(C80)&amp;" ")-1),",","."),FIND("/",SUBSTITUTE(LEFT(TRIM(C80),FIND(" ",TRIM(C80)&amp;" ")-1),",","."))-1)/MID(SUBSTITUTE(LEFT(TRIM(C80),FIND(" ",TRIM(C80)&amp;" ")-1),",","."),FIND("/",SUBSTITUTE(LEFT(TRIM(C80),FIND(" ",TRIM(C80)&amp;" ")-1),",","."))+1,9))*12,NA()))),0),48)*'Aturan &amp; Tarif'!$B$4,2)</f>
        <v>2725.44</v>
      </c>
      <c r="K80" s="32" t="n">
        <f aca="false">'Aturan &amp; Tarif'!$B$5</f>
        <v>2050</v>
      </c>
      <c r="L80" s="35" t="n">
        <f aca="false">I80+J80+K80</f>
        <v>20971.44</v>
      </c>
      <c r="M80" s="37" t="s">
        <v>322</v>
      </c>
    </row>
    <row r="81" customFormat="false" ht="25.5" hidden="false" customHeight="true" outlineLevel="0" collapsed="false">
      <c r="A81" s="29"/>
      <c r="B81" s="30" t="s">
        <v>387</v>
      </c>
      <c r="C81" s="31" t="s">
        <v>191</v>
      </c>
      <c r="D81" s="31" t="s">
        <v>108</v>
      </c>
      <c r="E81" s="32" t="n">
        <v>8098</v>
      </c>
      <c r="F81" s="32"/>
      <c r="G81" s="32"/>
      <c r="H81" s="33" t="n">
        <v>2</v>
      </c>
      <c r="I81" s="34" t="n">
        <f aca="false">E81*H81+N(F81)+N(G81)</f>
        <v>16196</v>
      </c>
      <c r="J81" s="32" t="n">
        <f aca="false">ROUND(IFERROR(ROUND(IF(OR(ISNUMBER(SEARCH("week",C81)),ISNUMBER(SEARCH("minggu",C81))),IFERROR(_xlfn.NUMBERVALUE(SUBSTITUTE(LEFT(TRIM(C81),FIND(" ",TRIM(C81)&amp;" ")-1),",","."),"."),LEFT(SUBSTITUTE(LEFT(TRIM(C81),FIND(" ",TRIM(C81)&amp;" ")-1),",","."),FIND("/",SUBSTITUTE(LEFT(TRIM(C81),FIND(" ",TRIM(C81)&amp;" ")-1),",","."))-1)/MID(SUBSTITUTE(LEFT(TRIM(C81),FIND(" ",TRIM(C81)&amp;" ")-1),",","."),FIND("/",SUBSTITUTE(LEFT(TRIM(C81),FIND(" ",TRIM(C81)&amp;" ")-1),",","."))+1,9))*12/52,IF(ISNUMBER(SEARCH("month",C81)),IFERROR(_xlfn.NUMBERVALUE(SUBSTITUTE(LEFT(TRIM(C81),FIND(" ",TRIM(C81)&amp;" ")-1),",","."),"."),LEFT(SUBSTITUTE(LEFT(TRIM(C81),FIND(" ",TRIM(C81)&amp;" ")-1),",","."),FIND("/",SUBSTITUTE(LEFT(TRIM(C81),FIND(" ",TRIM(C81)&amp;" ")-1),",","."))-1)/MID(SUBSTITUTE(LEFT(TRIM(C81),FIND(" ",TRIM(C81)&amp;" ")-1),",","."),FIND("/",SUBSTITUTE(LEFT(TRIM(C81),FIND(" ",TRIM(C81)&amp;" ")-1),",","."))+1,9)),IF(ISNUMBER(SEARCH("yea",C81)),IFERROR(_xlfn.NUMBERVALUE(SUBSTITUTE(LEFT(TRIM(C81),FIND(" ",TRIM(C81)&amp;" ")-1),",","."),"."),LEFT(SUBSTITUTE(LEFT(TRIM(C81),FIND(" ",TRIM(C81)&amp;" ")-1),",","."),FIND("/",SUBSTITUTE(LEFT(TRIM(C81),FIND(" ",TRIM(C81)&amp;" ")-1),",","."))-1)/MID(SUBSTITUTE(LEFT(TRIM(C81),FIND(" ",TRIM(C81)&amp;" ")-1),",","."),FIND("/",SUBSTITUTE(LEFT(TRIM(C81),FIND(" ",TRIM(C81)&amp;" ")-1),",","."))+1,9))*12,NA()))),0),48)*'Aturan &amp; Tarif'!$B$4,2)</f>
        <v>2725.44</v>
      </c>
      <c r="K81" s="32" t="n">
        <f aca="false">'Aturan &amp; Tarif'!$B$5</f>
        <v>2050</v>
      </c>
      <c r="L81" s="35" t="n">
        <f aca="false">I81+J81+K81</f>
        <v>20971.44</v>
      </c>
      <c r="M81" s="37" t="s">
        <v>322</v>
      </c>
    </row>
    <row r="82" customFormat="false" ht="14.25" hidden="false" customHeight="true" outlineLevel="0" collapsed="false">
      <c r="A82" s="29"/>
      <c r="B82" s="30" t="s">
        <v>395</v>
      </c>
      <c r="C82" s="31" t="s">
        <v>191</v>
      </c>
      <c r="D82" s="31" t="s">
        <v>108</v>
      </c>
      <c r="E82" s="32" t="n">
        <v>8098</v>
      </c>
      <c r="F82" s="32"/>
      <c r="G82" s="32"/>
      <c r="H82" s="33" t="n">
        <v>2</v>
      </c>
      <c r="I82" s="34" t="n">
        <f aca="false">E82*H82+N(F82)+N(G82)</f>
        <v>16196</v>
      </c>
      <c r="J82" s="32" t="n">
        <f aca="false">ROUND(IFERROR(ROUND(IF(OR(ISNUMBER(SEARCH("week",C82)),ISNUMBER(SEARCH("minggu",C82))),IFERROR(_xlfn.NUMBERVALUE(SUBSTITUTE(LEFT(TRIM(C82),FIND(" ",TRIM(C82)&amp;" ")-1),",","."),"."),LEFT(SUBSTITUTE(LEFT(TRIM(C82),FIND(" ",TRIM(C82)&amp;" ")-1),",","."),FIND("/",SUBSTITUTE(LEFT(TRIM(C82),FIND(" ",TRIM(C82)&amp;" ")-1),",","."))-1)/MID(SUBSTITUTE(LEFT(TRIM(C82),FIND(" ",TRIM(C82)&amp;" ")-1),",","."),FIND("/",SUBSTITUTE(LEFT(TRIM(C82),FIND(" ",TRIM(C82)&amp;" ")-1),",","."))+1,9))*12/52,IF(ISNUMBER(SEARCH("month",C82)),IFERROR(_xlfn.NUMBERVALUE(SUBSTITUTE(LEFT(TRIM(C82),FIND(" ",TRIM(C82)&amp;" ")-1),",","."),"."),LEFT(SUBSTITUTE(LEFT(TRIM(C82),FIND(" ",TRIM(C82)&amp;" ")-1),",","."),FIND("/",SUBSTITUTE(LEFT(TRIM(C82),FIND(" ",TRIM(C82)&amp;" ")-1),",","."))-1)/MID(SUBSTITUTE(LEFT(TRIM(C82),FIND(" ",TRIM(C82)&amp;" ")-1),",","."),FIND("/",SUBSTITUTE(LEFT(TRIM(C82),FIND(" ",TRIM(C82)&amp;" ")-1),",","."))+1,9)),IF(ISNUMBER(SEARCH("yea",C82)),IFERROR(_xlfn.NUMBERVALUE(SUBSTITUTE(LEFT(TRIM(C82),FIND(" ",TRIM(C82)&amp;" ")-1),",","."),"."),LEFT(SUBSTITUTE(LEFT(TRIM(C82),FIND(" ",TRIM(C82)&amp;" ")-1),",","."),FIND("/",SUBSTITUTE(LEFT(TRIM(C82),FIND(" ",TRIM(C82)&amp;" ")-1),",","."))-1)/MID(SUBSTITUTE(LEFT(TRIM(C82),FIND(" ",TRIM(C82)&amp;" ")-1),",","."),FIND("/",SUBSTITUTE(LEFT(TRIM(C82),FIND(" ",TRIM(C82)&amp;" ")-1),",","."))+1,9))*12,NA()))),0),48)*'Aturan &amp; Tarif'!$B$4,2)</f>
        <v>2725.44</v>
      </c>
      <c r="K82" s="32" t="n">
        <f aca="false">'Aturan &amp; Tarif'!$B$5</f>
        <v>2050</v>
      </c>
      <c r="L82" s="35" t="n">
        <f aca="false">I82+J82+K82</f>
        <v>20971.44</v>
      </c>
      <c r="M82" s="37" t="s">
        <v>322</v>
      </c>
    </row>
    <row r="83" customFormat="false" ht="14.25" hidden="false" customHeight="true" outlineLevel="0" collapsed="false">
      <c r="A83" s="29"/>
      <c r="B83" s="30" t="s">
        <v>396</v>
      </c>
      <c r="C83" s="31" t="s">
        <v>191</v>
      </c>
      <c r="D83" s="31" t="s">
        <v>108</v>
      </c>
      <c r="E83" s="32" t="n">
        <v>13136</v>
      </c>
      <c r="F83" s="32"/>
      <c r="G83" s="32"/>
      <c r="H83" s="33" t="n">
        <v>2</v>
      </c>
      <c r="I83" s="34" t="n">
        <f aca="false">E83*H83+N(F83)+N(G83)</f>
        <v>26272</v>
      </c>
      <c r="J83" s="32" t="n">
        <f aca="false">ROUND(IFERROR(ROUND(IF(OR(ISNUMBER(SEARCH("week",C83)),ISNUMBER(SEARCH("minggu",C83))),IFERROR(_xlfn.NUMBERVALUE(SUBSTITUTE(LEFT(TRIM(C83),FIND(" ",TRIM(C83)&amp;" ")-1),",","."),"."),LEFT(SUBSTITUTE(LEFT(TRIM(C83),FIND(" ",TRIM(C83)&amp;" ")-1),",","."),FIND("/",SUBSTITUTE(LEFT(TRIM(C83),FIND(" ",TRIM(C83)&amp;" ")-1),",","."))-1)/MID(SUBSTITUTE(LEFT(TRIM(C83),FIND(" ",TRIM(C83)&amp;" ")-1),",","."),FIND("/",SUBSTITUTE(LEFT(TRIM(C83),FIND(" ",TRIM(C83)&amp;" ")-1),",","."))+1,9))*12/52,IF(ISNUMBER(SEARCH("month",C83)),IFERROR(_xlfn.NUMBERVALUE(SUBSTITUTE(LEFT(TRIM(C83),FIND(" ",TRIM(C83)&amp;" ")-1),",","."),"."),LEFT(SUBSTITUTE(LEFT(TRIM(C83),FIND(" ",TRIM(C83)&amp;" ")-1),",","."),FIND("/",SUBSTITUTE(LEFT(TRIM(C83),FIND(" ",TRIM(C83)&amp;" ")-1),",","."))-1)/MID(SUBSTITUTE(LEFT(TRIM(C83),FIND(" ",TRIM(C83)&amp;" ")-1),",","."),FIND("/",SUBSTITUTE(LEFT(TRIM(C83),FIND(" ",TRIM(C83)&amp;" ")-1),",","."))+1,9)),IF(ISNUMBER(SEARCH("yea",C83)),IFERROR(_xlfn.NUMBERVALUE(SUBSTITUTE(LEFT(TRIM(C83),FIND(" ",TRIM(C83)&amp;" ")-1),",","."),"."),LEFT(SUBSTITUTE(LEFT(TRIM(C83),FIND(" ",TRIM(C83)&amp;" ")-1),",","."),FIND("/",SUBSTITUTE(LEFT(TRIM(C83),FIND(" ",TRIM(C83)&amp;" ")-1),",","."))-1)/MID(SUBSTITUTE(LEFT(TRIM(C83),FIND(" ",TRIM(C83)&amp;" ")-1),",","."),FIND("/",SUBSTITUTE(LEFT(TRIM(C83),FIND(" ",TRIM(C83)&amp;" ")-1),",","."))+1,9))*12,NA()))),0),48)*'Aturan &amp; Tarif'!$B$4,2)</f>
        <v>2725.44</v>
      </c>
      <c r="K83" s="32" t="n">
        <f aca="false">'Aturan &amp; Tarif'!$B$5</f>
        <v>2050</v>
      </c>
      <c r="L83" s="35" t="n">
        <f aca="false">I83+J83+K83</f>
        <v>31047.44</v>
      </c>
      <c r="M83" s="37" t="s">
        <v>318</v>
      </c>
    </row>
    <row r="84" customFormat="false" ht="14.25" hidden="false" customHeight="true" outlineLevel="0" collapsed="false">
      <c r="A84" s="29"/>
      <c r="B84" s="30" t="s">
        <v>397</v>
      </c>
      <c r="C84" s="31" t="s">
        <v>130</v>
      </c>
      <c r="D84" s="31" t="s">
        <v>108</v>
      </c>
      <c r="E84" s="32" t="n">
        <v>8018</v>
      </c>
      <c r="F84" s="32"/>
      <c r="G84" s="32"/>
      <c r="H84" s="33" t="n">
        <v>2</v>
      </c>
      <c r="I84" s="34" t="n">
        <f aca="false">E84*H84+N(F84)+N(G84)</f>
        <v>16036</v>
      </c>
      <c r="J84" s="32" t="n">
        <f aca="false">ROUND(IFERROR(ROUND(IF(OR(ISNUMBER(SEARCH("week",C84)),ISNUMBER(SEARCH("minggu",C84))),IFERROR(_xlfn.NUMBERVALUE(SUBSTITUTE(LEFT(TRIM(C84),FIND(" ",TRIM(C84)&amp;" ")-1),",","."),"."),LEFT(SUBSTITUTE(LEFT(TRIM(C84),FIND(" ",TRIM(C84)&amp;" ")-1),",","."),FIND("/",SUBSTITUTE(LEFT(TRIM(C84),FIND(" ",TRIM(C84)&amp;" ")-1),",","."))-1)/MID(SUBSTITUTE(LEFT(TRIM(C84),FIND(" ",TRIM(C84)&amp;" ")-1),",","."),FIND("/",SUBSTITUTE(LEFT(TRIM(C84),FIND(" ",TRIM(C84)&amp;" ")-1),",","."))+1,9))*12/52,IF(ISNUMBER(SEARCH("month",C84)),IFERROR(_xlfn.NUMBERVALUE(SUBSTITUTE(LEFT(TRIM(C84),FIND(" ",TRIM(C84)&amp;" ")-1),",","."),"."),LEFT(SUBSTITUTE(LEFT(TRIM(C84),FIND(" ",TRIM(C84)&amp;" ")-1),",","."),FIND("/",SUBSTITUTE(LEFT(TRIM(C84),FIND(" ",TRIM(C84)&amp;" ")-1),",","."))-1)/MID(SUBSTITUTE(LEFT(TRIM(C84),FIND(" ",TRIM(C84)&amp;" ")-1),",","."),FIND("/",SUBSTITUTE(LEFT(TRIM(C84),FIND(" ",TRIM(C84)&amp;" ")-1),",","."))+1,9)),IF(ISNUMBER(SEARCH("yea",C84)),IFERROR(_xlfn.NUMBERVALUE(SUBSTITUTE(LEFT(TRIM(C84),FIND(" ",TRIM(C84)&amp;" ")-1),",","."),"."),LEFT(SUBSTITUTE(LEFT(TRIM(C84),FIND(" ",TRIM(C84)&amp;" ")-1),",","."),FIND("/",SUBSTITUTE(LEFT(TRIM(C84),FIND(" ",TRIM(C84)&amp;" ")-1),",","."))-1)/MID(SUBSTITUTE(LEFT(TRIM(C84),FIND(" ",TRIM(C84)&amp;" ")-1),",","."),FIND("/",SUBSTITUTE(LEFT(TRIM(C84),FIND(" ",TRIM(C84)&amp;" ")-1),",","."))+1,9))*12,NA()))),0),12)*'Aturan &amp; Tarif'!$B$4,2)</f>
        <v>681.36</v>
      </c>
      <c r="K84" s="32" t="n">
        <f aca="false">'Aturan &amp; Tarif'!$B$5</f>
        <v>2050</v>
      </c>
      <c r="L84" s="35" t="n">
        <f aca="false">I84+J84+K84</f>
        <v>18767.36</v>
      </c>
      <c r="M84" s="37" t="s">
        <v>318</v>
      </c>
    </row>
    <row r="85" customFormat="false" ht="14.25" hidden="false" customHeight="true" outlineLevel="0" collapsed="false">
      <c r="A85" s="29"/>
      <c r="B85" s="30" t="s">
        <v>398</v>
      </c>
      <c r="C85" s="31" t="s">
        <v>107</v>
      </c>
      <c r="D85" s="31" t="s">
        <v>108</v>
      </c>
      <c r="E85" s="32" t="n">
        <v>8018</v>
      </c>
      <c r="F85" s="32"/>
      <c r="G85" s="32"/>
      <c r="H85" s="33" t="n">
        <v>2</v>
      </c>
      <c r="I85" s="34" t="n">
        <f aca="false">E85*H85+N(F85)+N(G85)</f>
        <v>16036</v>
      </c>
      <c r="J85" s="32" t="n">
        <f aca="false">ROUND(IFERROR(ROUND(IF(OR(ISNUMBER(SEARCH("week",C85)),ISNUMBER(SEARCH("minggu",C85))),IFERROR(_xlfn.NUMBERVALUE(SUBSTITUTE(LEFT(TRIM(C85),FIND(" ",TRIM(C85)&amp;" ")-1),",","."),"."),LEFT(SUBSTITUTE(LEFT(TRIM(C85),FIND(" ",TRIM(C85)&amp;" ")-1),",","."),FIND("/",SUBSTITUTE(LEFT(TRIM(C85),FIND(" ",TRIM(C85)&amp;" ")-1),",","."))-1)/MID(SUBSTITUTE(LEFT(TRIM(C85),FIND(" ",TRIM(C85)&amp;" ")-1),",","."),FIND("/",SUBSTITUTE(LEFT(TRIM(C85),FIND(" ",TRIM(C85)&amp;" ")-1),",","."))+1,9))*12/52,IF(ISNUMBER(SEARCH("month",C85)),IFERROR(_xlfn.NUMBERVALUE(SUBSTITUTE(LEFT(TRIM(C85),FIND(" ",TRIM(C85)&amp;" ")-1),",","."),"."),LEFT(SUBSTITUTE(LEFT(TRIM(C85),FIND(" ",TRIM(C85)&amp;" ")-1),",","."),FIND("/",SUBSTITUTE(LEFT(TRIM(C85),FIND(" ",TRIM(C85)&amp;" ")-1),",","."))-1)/MID(SUBSTITUTE(LEFT(TRIM(C85),FIND(" ",TRIM(C85)&amp;" ")-1),",","."),FIND("/",SUBSTITUTE(LEFT(TRIM(C85),FIND(" ",TRIM(C85)&amp;" ")-1),",","."))+1,9)),IF(ISNUMBER(SEARCH("yea",C85)),IFERROR(_xlfn.NUMBERVALUE(SUBSTITUTE(LEFT(TRIM(C85),FIND(" ",TRIM(C85)&amp;" ")-1),",","."),"."),LEFT(SUBSTITUTE(LEFT(TRIM(C85),FIND(" ",TRIM(C85)&amp;" ")-1),",","."),FIND("/",SUBSTITUTE(LEFT(TRIM(C85),FIND(" ",TRIM(C85)&amp;" ")-1),",","."))-1)/MID(SUBSTITUTE(LEFT(TRIM(C85),FIND(" ",TRIM(C85)&amp;" ")-1),",","."),FIND("/",SUBSTITUTE(LEFT(TRIM(C85),FIND(" ",TRIM(C85)&amp;" ")-1),",","."))+1,9))*12,NA()))),0),24)*'Aturan &amp; Tarif'!$B$4,2)</f>
        <v>1362.72</v>
      </c>
      <c r="K85" s="32" t="n">
        <f aca="false">'Aturan &amp; Tarif'!$B$5</f>
        <v>2050</v>
      </c>
      <c r="L85" s="35" t="n">
        <f aca="false">I85+J85+K85</f>
        <v>19448.72</v>
      </c>
      <c r="M85" s="37" t="s">
        <v>318</v>
      </c>
    </row>
    <row r="86" customFormat="false" ht="14.25" hidden="false" customHeight="true" outlineLevel="0" collapsed="false">
      <c r="A86" s="29"/>
      <c r="B86" s="30" t="s">
        <v>399</v>
      </c>
      <c r="C86" s="31" t="s">
        <v>107</v>
      </c>
      <c r="D86" s="31" t="s">
        <v>108</v>
      </c>
      <c r="E86" s="32" t="n">
        <v>11410</v>
      </c>
      <c r="F86" s="32"/>
      <c r="G86" s="32"/>
      <c r="H86" s="33" t="n">
        <v>2</v>
      </c>
      <c r="I86" s="34" t="n">
        <f aca="false">E86*H86+N(F86)+N(G86)</f>
        <v>22820</v>
      </c>
      <c r="J86" s="32" t="n">
        <f aca="false">ROUND(IFERROR(ROUND(IF(OR(ISNUMBER(SEARCH("week",C86)),ISNUMBER(SEARCH("minggu",C86))),IFERROR(_xlfn.NUMBERVALUE(SUBSTITUTE(LEFT(TRIM(C86),FIND(" ",TRIM(C86)&amp;" ")-1),",","."),"."),LEFT(SUBSTITUTE(LEFT(TRIM(C86),FIND(" ",TRIM(C86)&amp;" ")-1),",","."),FIND("/",SUBSTITUTE(LEFT(TRIM(C86),FIND(" ",TRIM(C86)&amp;" ")-1),",","."))-1)/MID(SUBSTITUTE(LEFT(TRIM(C86),FIND(" ",TRIM(C86)&amp;" ")-1),",","."),FIND("/",SUBSTITUTE(LEFT(TRIM(C86),FIND(" ",TRIM(C86)&amp;" ")-1),",","."))+1,9))*12/52,IF(ISNUMBER(SEARCH("month",C86)),IFERROR(_xlfn.NUMBERVALUE(SUBSTITUTE(LEFT(TRIM(C86),FIND(" ",TRIM(C86)&amp;" ")-1),",","."),"."),LEFT(SUBSTITUTE(LEFT(TRIM(C86),FIND(" ",TRIM(C86)&amp;" ")-1),",","."),FIND("/",SUBSTITUTE(LEFT(TRIM(C86),FIND(" ",TRIM(C86)&amp;" ")-1),",","."))-1)/MID(SUBSTITUTE(LEFT(TRIM(C86),FIND(" ",TRIM(C86)&amp;" ")-1),",","."),FIND("/",SUBSTITUTE(LEFT(TRIM(C86),FIND(" ",TRIM(C86)&amp;" ")-1),",","."))+1,9)),IF(ISNUMBER(SEARCH("yea",C86)),IFERROR(_xlfn.NUMBERVALUE(SUBSTITUTE(LEFT(TRIM(C86),FIND(" ",TRIM(C86)&amp;" ")-1),",","."),"."),LEFT(SUBSTITUTE(LEFT(TRIM(C86),FIND(" ",TRIM(C86)&amp;" ")-1),",","."),FIND("/",SUBSTITUTE(LEFT(TRIM(C86),FIND(" ",TRIM(C86)&amp;" ")-1),",","."))-1)/MID(SUBSTITUTE(LEFT(TRIM(C86),FIND(" ",TRIM(C86)&amp;" ")-1),",","."),FIND("/",SUBSTITUTE(LEFT(TRIM(C86),FIND(" ",TRIM(C86)&amp;" ")-1),",","."))+1,9))*12,NA()))),0),24)*'Aturan &amp; Tarif'!$B$4,2)</f>
        <v>1362.72</v>
      </c>
      <c r="K86" s="32" t="n">
        <f aca="false">'Aturan &amp; Tarif'!$B$5</f>
        <v>2050</v>
      </c>
      <c r="L86" s="35" t="n">
        <f aca="false">I86+J86+K86</f>
        <v>26232.72</v>
      </c>
      <c r="M86" s="37" t="s">
        <v>318</v>
      </c>
    </row>
    <row r="87" customFormat="false" ht="25.5" hidden="false" customHeight="true" outlineLevel="0" collapsed="false">
      <c r="A87" s="29"/>
      <c r="B87" s="30" t="s">
        <v>400</v>
      </c>
      <c r="C87" s="31" t="s">
        <v>107</v>
      </c>
      <c r="D87" s="31" t="s">
        <v>108</v>
      </c>
      <c r="E87" s="32" t="n">
        <v>8172</v>
      </c>
      <c r="F87" s="32"/>
      <c r="G87" s="32"/>
      <c r="H87" s="33" t="n">
        <v>2</v>
      </c>
      <c r="I87" s="34" t="n">
        <f aca="false">E87*H87+N(F87)+N(G87)</f>
        <v>16344</v>
      </c>
      <c r="J87" s="32" t="n">
        <f aca="false">ROUND(IFERROR(ROUND(IF(OR(ISNUMBER(SEARCH("week",C87)),ISNUMBER(SEARCH("minggu",C87))),IFERROR(_xlfn.NUMBERVALUE(SUBSTITUTE(LEFT(TRIM(C87),FIND(" ",TRIM(C87)&amp;" ")-1),",","."),"."),LEFT(SUBSTITUTE(LEFT(TRIM(C87),FIND(" ",TRIM(C87)&amp;" ")-1),",","."),FIND("/",SUBSTITUTE(LEFT(TRIM(C87),FIND(" ",TRIM(C87)&amp;" ")-1),",","."))-1)/MID(SUBSTITUTE(LEFT(TRIM(C87),FIND(" ",TRIM(C87)&amp;" ")-1),",","."),FIND("/",SUBSTITUTE(LEFT(TRIM(C87),FIND(" ",TRIM(C87)&amp;" ")-1),",","."))+1,9))*12/52,IF(ISNUMBER(SEARCH("month",C87)),IFERROR(_xlfn.NUMBERVALUE(SUBSTITUTE(LEFT(TRIM(C87),FIND(" ",TRIM(C87)&amp;" ")-1),",","."),"."),LEFT(SUBSTITUTE(LEFT(TRIM(C87),FIND(" ",TRIM(C87)&amp;" ")-1),",","."),FIND("/",SUBSTITUTE(LEFT(TRIM(C87),FIND(" ",TRIM(C87)&amp;" ")-1),",","."))-1)/MID(SUBSTITUTE(LEFT(TRIM(C87),FIND(" ",TRIM(C87)&amp;" ")-1),",","."),FIND("/",SUBSTITUTE(LEFT(TRIM(C87),FIND(" ",TRIM(C87)&amp;" ")-1),",","."))+1,9)),IF(ISNUMBER(SEARCH("yea",C87)),IFERROR(_xlfn.NUMBERVALUE(SUBSTITUTE(LEFT(TRIM(C87),FIND(" ",TRIM(C87)&amp;" ")-1),",","."),"."),LEFT(SUBSTITUTE(LEFT(TRIM(C87),FIND(" ",TRIM(C87)&amp;" ")-1),",","."),FIND("/",SUBSTITUTE(LEFT(TRIM(C87),FIND(" ",TRIM(C87)&amp;" ")-1),",","."))-1)/MID(SUBSTITUTE(LEFT(TRIM(C87),FIND(" ",TRIM(C87)&amp;" ")-1),",","."),FIND("/",SUBSTITUTE(LEFT(TRIM(C87),FIND(" ",TRIM(C87)&amp;" ")-1),",","."))+1,9))*12,NA()))),0),24)*'Aturan &amp; Tarif'!$B$4,2)</f>
        <v>1362.72</v>
      </c>
      <c r="K87" s="32" t="n">
        <f aca="false">'Aturan &amp; Tarif'!$B$5</f>
        <v>2050</v>
      </c>
      <c r="L87" s="35" t="n">
        <f aca="false">I87+J87+K87</f>
        <v>19756.72</v>
      </c>
      <c r="M87" s="37" t="s">
        <v>318</v>
      </c>
    </row>
    <row r="88" customFormat="false" ht="14.25" hidden="false" customHeight="true" outlineLevel="0" collapsed="false">
      <c r="A88" s="29"/>
      <c r="B88" s="30" t="s">
        <v>285</v>
      </c>
      <c r="C88" s="31" t="s">
        <v>107</v>
      </c>
      <c r="D88" s="31" t="s">
        <v>108</v>
      </c>
      <c r="E88" s="32" t="n">
        <v>9288</v>
      </c>
      <c r="F88" s="32"/>
      <c r="G88" s="32"/>
      <c r="H88" s="33" t="n">
        <v>2</v>
      </c>
      <c r="I88" s="34" t="n">
        <f aca="false">E88*H88+N(F88)+N(G88)</f>
        <v>18576</v>
      </c>
      <c r="J88" s="32" t="n">
        <f aca="false">ROUND(IFERROR(ROUND(IF(OR(ISNUMBER(SEARCH("week",C88)),ISNUMBER(SEARCH("minggu",C88))),IFERROR(_xlfn.NUMBERVALUE(SUBSTITUTE(LEFT(TRIM(C88),FIND(" ",TRIM(C88)&amp;" ")-1),",","."),"."),LEFT(SUBSTITUTE(LEFT(TRIM(C88),FIND(" ",TRIM(C88)&amp;" ")-1),",","."),FIND("/",SUBSTITUTE(LEFT(TRIM(C88),FIND(" ",TRIM(C88)&amp;" ")-1),",","."))-1)/MID(SUBSTITUTE(LEFT(TRIM(C88),FIND(" ",TRIM(C88)&amp;" ")-1),",","."),FIND("/",SUBSTITUTE(LEFT(TRIM(C88),FIND(" ",TRIM(C88)&amp;" ")-1),",","."))+1,9))*12/52,IF(ISNUMBER(SEARCH("month",C88)),IFERROR(_xlfn.NUMBERVALUE(SUBSTITUTE(LEFT(TRIM(C88),FIND(" ",TRIM(C88)&amp;" ")-1),",","."),"."),LEFT(SUBSTITUTE(LEFT(TRIM(C88),FIND(" ",TRIM(C88)&amp;" ")-1),",","."),FIND("/",SUBSTITUTE(LEFT(TRIM(C88),FIND(" ",TRIM(C88)&amp;" ")-1),",","."))-1)/MID(SUBSTITUTE(LEFT(TRIM(C88),FIND(" ",TRIM(C88)&amp;" ")-1),",","."),FIND("/",SUBSTITUTE(LEFT(TRIM(C88),FIND(" ",TRIM(C88)&amp;" ")-1),",","."))+1,9)),IF(ISNUMBER(SEARCH("yea",C88)),IFERROR(_xlfn.NUMBERVALUE(SUBSTITUTE(LEFT(TRIM(C88),FIND(" ",TRIM(C88)&amp;" ")-1),",","."),"."),LEFT(SUBSTITUTE(LEFT(TRIM(C88),FIND(" ",TRIM(C88)&amp;" ")-1),",","."),FIND("/",SUBSTITUTE(LEFT(TRIM(C88),FIND(" ",TRIM(C88)&amp;" ")-1),",","."))-1)/MID(SUBSTITUTE(LEFT(TRIM(C88),FIND(" ",TRIM(C88)&amp;" ")-1),",","."),FIND("/",SUBSTITUTE(LEFT(TRIM(C88),FIND(" ",TRIM(C88)&amp;" ")-1),",","."))+1,9))*12,NA()))),0),24)*'Aturan &amp; Tarif'!$B$4,2)</f>
        <v>1362.72</v>
      </c>
      <c r="K88" s="32" t="n">
        <f aca="false">'Aturan &amp; Tarif'!$B$5</f>
        <v>2050</v>
      </c>
      <c r="L88" s="35" t="n">
        <f aca="false">I88+J88+K88</f>
        <v>21988.72</v>
      </c>
      <c r="M88" s="37" t="s">
        <v>318</v>
      </c>
    </row>
    <row r="89" customFormat="false" ht="14.25" hidden="false" customHeight="true" outlineLevel="0" collapsed="false">
      <c r="A89" s="29"/>
      <c r="B89" s="30" t="s">
        <v>287</v>
      </c>
      <c r="C89" s="31" t="s">
        <v>107</v>
      </c>
      <c r="D89" s="31" t="s">
        <v>108</v>
      </c>
      <c r="E89" s="32" t="n">
        <v>9288</v>
      </c>
      <c r="F89" s="32"/>
      <c r="G89" s="32"/>
      <c r="H89" s="33" t="n">
        <v>2</v>
      </c>
      <c r="I89" s="34" t="n">
        <f aca="false">E89*H89+N(F89)+N(G89)</f>
        <v>18576</v>
      </c>
      <c r="J89" s="32" t="n">
        <f aca="false">ROUND(IFERROR(ROUND(IF(OR(ISNUMBER(SEARCH("week",C89)),ISNUMBER(SEARCH("minggu",C89))),IFERROR(_xlfn.NUMBERVALUE(SUBSTITUTE(LEFT(TRIM(C89),FIND(" ",TRIM(C89)&amp;" ")-1),",","."),"."),LEFT(SUBSTITUTE(LEFT(TRIM(C89),FIND(" ",TRIM(C89)&amp;" ")-1),",","."),FIND("/",SUBSTITUTE(LEFT(TRIM(C89),FIND(" ",TRIM(C89)&amp;" ")-1),",","."))-1)/MID(SUBSTITUTE(LEFT(TRIM(C89),FIND(" ",TRIM(C89)&amp;" ")-1),",","."),FIND("/",SUBSTITUTE(LEFT(TRIM(C89),FIND(" ",TRIM(C89)&amp;" ")-1),",","."))+1,9))*12/52,IF(ISNUMBER(SEARCH("month",C89)),IFERROR(_xlfn.NUMBERVALUE(SUBSTITUTE(LEFT(TRIM(C89),FIND(" ",TRIM(C89)&amp;" ")-1),",","."),"."),LEFT(SUBSTITUTE(LEFT(TRIM(C89),FIND(" ",TRIM(C89)&amp;" ")-1),",","."),FIND("/",SUBSTITUTE(LEFT(TRIM(C89),FIND(" ",TRIM(C89)&amp;" ")-1),",","."))-1)/MID(SUBSTITUTE(LEFT(TRIM(C89),FIND(" ",TRIM(C89)&amp;" ")-1),",","."),FIND("/",SUBSTITUTE(LEFT(TRIM(C89),FIND(" ",TRIM(C89)&amp;" ")-1),",","."))+1,9)),IF(ISNUMBER(SEARCH("yea",C89)),IFERROR(_xlfn.NUMBERVALUE(SUBSTITUTE(LEFT(TRIM(C89),FIND(" ",TRIM(C89)&amp;" ")-1),",","."),"."),LEFT(SUBSTITUTE(LEFT(TRIM(C89),FIND(" ",TRIM(C89)&amp;" ")-1),",","."),FIND("/",SUBSTITUTE(LEFT(TRIM(C89),FIND(" ",TRIM(C89)&amp;" ")-1),",","."))-1)/MID(SUBSTITUTE(LEFT(TRIM(C89),FIND(" ",TRIM(C89)&amp;" ")-1),",","."),FIND("/",SUBSTITUTE(LEFT(TRIM(C89),FIND(" ",TRIM(C89)&amp;" ")-1),",","."))+1,9))*12,NA()))),0),24)*'Aturan &amp; Tarif'!$B$4,2)</f>
        <v>1362.72</v>
      </c>
      <c r="K89" s="32" t="n">
        <f aca="false">'Aturan &amp; Tarif'!$B$5</f>
        <v>2050</v>
      </c>
      <c r="L89" s="35" t="n">
        <f aca="false">I89+J89+K89</f>
        <v>21988.72</v>
      </c>
      <c r="M89" s="37" t="s">
        <v>318</v>
      </c>
    </row>
    <row r="90" customFormat="false" ht="25.5" hidden="false" customHeight="true" outlineLevel="0" collapsed="false">
      <c r="A90" s="29"/>
      <c r="B90" s="30" t="s">
        <v>401</v>
      </c>
      <c r="C90" s="31" t="s">
        <v>107</v>
      </c>
      <c r="D90" s="31" t="s">
        <v>108</v>
      </c>
      <c r="E90" s="32" t="n">
        <v>9288</v>
      </c>
      <c r="F90" s="32"/>
      <c r="G90" s="32"/>
      <c r="H90" s="33" t="n">
        <v>2</v>
      </c>
      <c r="I90" s="34" t="n">
        <f aca="false">E90*H90+N(F90)+N(G90)</f>
        <v>18576</v>
      </c>
      <c r="J90" s="32" t="n">
        <f aca="false">ROUND(IFERROR(ROUND(IF(OR(ISNUMBER(SEARCH("week",C90)),ISNUMBER(SEARCH("minggu",C90))),IFERROR(_xlfn.NUMBERVALUE(SUBSTITUTE(LEFT(TRIM(C90),FIND(" ",TRIM(C90)&amp;" ")-1),",","."),"."),LEFT(SUBSTITUTE(LEFT(TRIM(C90),FIND(" ",TRIM(C90)&amp;" ")-1),",","."),FIND("/",SUBSTITUTE(LEFT(TRIM(C90),FIND(" ",TRIM(C90)&amp;" ")-1),",","."))-1)/MID(SUBSTITUTE(LEFT(TRIM(C90),FIND(" ",TRIM(C90)&amp;" ")-1),",","."),FIND("/",SUBSTITUTE(LEFT(TRIM(C90),FIND(" ",TRIM(C90)&amp;" ")-1),",","."))+1,9))*12/52,IF(ISNUMBER(SEARCH("month",C90)),IFERROR(_xlfn.NUMBERVALUE(SUBSTITUTE(LEFT(TRIM(C90),FIND(" ",TRIM(C90)&amp;" ")-1),",","."),"."),LEFT(SUBSTITUTE(LEFT(TRIM(C90),FIND(" ",TRIM(C90)&amp;" ")-1),",","."),FIND("/",SUBSTITUTE(LEFT(TRIM(C90),FIND(" ",TRIM(C90)&amp;" ")-1),",","."))-1)/MID(SUBSTITUTE(LEFT(TRIM(C90),FIND(" ",TRIM(C90)&amp;" ")-1),",","."),FIND("/",SUBSTITUTE(LEFT(TRIM(C90),FIND(" ",TRIM(C90)&amp;" ")-1),",","."))+1,9)),IF(ISNUMBER(SEARCH("yea",C90)),IFERROR(_xlfn.NUMBERVALUE(SUBSTITUTE(LEFT(TRIM(C90),FIND(" ",TRIM(C90)&amp;" ")-1),",","."),"."),LEFT(SUBSTITUTE(LEFT(TRIM(C90),FIND(" ",TRIM(C90)&amp;" ")-1),",","."),FIND("/",SUBSTITUTE(LEFT(TRIM(C90),FIND(" ",TRIM(C90)&amp;" ")-1),",","."))-1)/MID(SUBSTITUTE(LEFT(TRIM(C90),FIND(" ",TRIM(C90)&amp;" ")-1),",","."),FIND("/",SUBSTITUTE(LEFT(TRIM(C90),FIND(" ",TRIM(C90)&amp;" ")-1),",","."))+1,9))*12,NA()))),0),24)*'Aturan &amp; Tarif'!$B$4,2)</f>
        <v>1362.72</v>
      </c>
      <c r="K90" s="32" t="n">
        <f aca="false">'Aturan &amp; Tarif'!$B$5</f>
        <v>2050</v>
      </c>
      <c r="L90" s="35" t="n">
        <f aca="false">I90+J90+K90</f>
        <v>21988.72</v>
      </c>
      <c r="M90" s="37" t="s">
        <v>318</v>
      </c>
    </row>
    <row r="91" customFormat="false" ht="14.25" hidden="false" customHeight="true" outlineLevel="0" collapsed="false">
      <c r="A91" s="29"/>
      <c r="B91" s="30" t="s">
        <v>283</v>
      </c>
      <c r="C91" s="31" t="s">
        <v>107</v>
      </c>
      <c r="D91" s="31" t="s">
        <v>108</v>
      </c>
      <c r="E91" s="32" t="n">
        <v>8018</v>
      </c>
      <c r="F91" s="32"/>
      <c r="G91" s="32"/>
      <c r="H91" s="33" t="n">
        <v>2</v>
      </c>
      <c r="I91" s="34" t="n">
        <f aca="false">E91*H91+N(F91)+N(G91)</f>
        <v>16036</v>
      </c>
      <c r="J91" s="32" t="n">
        <f aca="false">ROUND(IFERROR(ROUND(IF(OR(ISNUMBER(SEARCH("week",C91)),ISNUMBER(SEARCH("minggu",C91))),IFERROR(_xlfn.NUMBERVALUE(SUBSTITUTE(LEFT(TRIM(C91),FIND(" ",TRIM(C91)&amp;" ")-1),",","."),"."),LEFT(SUBSTITUTE(LEFT(TRIM(C91),FIND(" ",TRIM(C91)&amp;" ")-1),",","."),FIND("/",SUBSTITUTE(LEFT(TRIM(C91),FIND(" ",TRIM(C91)&amp;" ")-1),",","."))-1)/MID(SUBSTITUTE(LEFT(TRIM(C91),FIND(" ",TRIM(C91)&amp;" ")-1),",","."),FIND("/",SUBSTITUTE(LEFT(TRIM(C91),FIND(" ",TRIM(C91)&amp;" ")-1),",","."))+1,9))*12/52,IF(ISNUMBER(SEARCH("month",C91)),IFERROR(_xlfn.NUMBERVALUE(SUBSTITUTE(LEFT(TRIM(C91),FIND(" ",TRIM(C91)&amp;" ")-1),",","."),"."),LEFT(SUBSTITUTE(LEFT(TRIM(C91),FIND(" ",TRIM(C91)&amp;" ")-1),",","."),FIND("/",SUBSTITUTE(LEFT(TRIM(C91),FIND(" ",TRIM(C91)&amp;" ")-1),",","."))-1)/MID(SUBSTITUTE(LEFT(TRIM(C91),FIND(" ",TRIM(C91)&amp;" ")-1),",","."),FIND("/",SUBSTITUTE(LEFT(TRIM(C91),FIND(" ",TRIM(C91)&amp;" ")-1),",","."))+1,9)),IF(ISNUMBER(SEARCH("yea",C91)),IFERROR(_xlfn.NUMBERVALUE(SUBSTITUTE(LEFT(TRIM(C91),FIND(" ",TRIM(C91)&amp;" ")-1),",","."),"."),LEFT(SUBSTITUTE(LEFT(TRIM(C91),FIND(" ",TRIM(C91)&amp;" ")-1),",","."),FIND("/",SUBSTITUTE(LEFT(TRIM(C91),FIND(" ",TRIM(C91)&amp;" ")-1),",","."))-1)/MID(SUBSTITUTE(LEFT(TRIM(C91),FIND(" ",TRIM(C91)&amp;" ")-1),",","."),FIND("/",SUBSTITUTE(LEFT(TRIM(C91),FIND(" ",TRIM(C91)&amp;" ")-1),",","."))+1,9))*12,NA()))),0),24)*'Aturan &amp; Tarif'!$B$4,2)</f>
        <v>1362.72</v>
      </c>
      <c r="K91" s="32" t="n">
        <f aca="false">'Aturan &amp; Tarif'!$B$5</f>
        <v>2050</v>
      </c>
      <c r="L91" s="35" t="n">
        <f aca="false">I91+J91+K91</f>
        <v>19448.72</v>
      </c>
      <c r="M91" s="37" t="s">
        <v>318</v>
      </c>
    </row>
    <row r="92" customFormat="false" ht="25.5" hidden="false" customHeight="true" outlineLevel="0" collapsed="false">
      <c r="A92" s="29"/>
      <c r="B92" s="30" t="s">
        <v>402</v>
      </c>
      <c r="C92" s="31" t="s">
        <v>107</v>
      </c>
      <c r="D92" s="31" t="s">
        <v>108</v>
      </c>
      <c r="E92" s="32" t="n">
        <v>8018</v>
      </c>
      <c r="F92" s="32"/>
      <c r="G92" s="32"/>
      <c r="H92" s="33" t="n">
        <v>2</v>
      </c>
      <c r="I92" s="34" t="n">
        <f aca="false">E92*H92+N(F92)+N(G92)</f>
        <v>16036</v>
      </c>
      <c r="J92" s="32" t="n">
        <f aca="false">ROUND(IFERROR(ROUND(IF(OR(ISNUMBER(SEARCH("week",C92)),ISNUMBER(SEARCH("minggu",C92))),IFERROR(_xlfn.NUMBERVALUE(SUBSTITUTE(LEFT(TRIM(C92),FIND(" ",TRIM(C92)&amp;" ")-1),",","."),"."),LEFT(SUBSTITUTE(LEFT(TRIM(C92),FIND(" ",TRIM(C92)&amp;" ")-1),",","."),FIND("/",SUBSTITUTE(LEFT(TRIM(C92),FIND(" ",TRIM(C92)&amp;" ")-1),",","."))-1)/MID(SUBSTITUTE(LEFT(TRIM(C92),FIND(" ",TRIM(C92)&amp;" ")-1),",","."),FIND("/",SUBSTITUTE(LEFT(TRIM(C92),FIND(" ",TRIM(C92)&amp;" ")-1),",","."))+1,9))*12/52,IF(ISNUMBER(SEARCH("month",C92)),IFERROR(_xlfn.NUMBERVALUE(SUBSTITUTE(LEFT(TRIM(C92),FIND(" ",TRIM(C92)&amp;" ")-1),",","."),"."),LEFT(SUBSTITUTE(LEFT(TRIM(C92),FIND(" ",TRIM(C92)&amp;" ")-1),",","."),FIND("/",SUBSTITUTE(LEFT(TRIM(C92),FIND(" ",TRIM(C92)&amp;" ")-1),",","."))-1)/MID(SUBSTITUTE(LEFT(TRIM(C92),FIND(" ",TRIM(C92)&amp;" ")-1),",","."),FIND("/",SUBSTITUTE(LEFT(TRIM(C92),FIND(" ",TRIM(C92)&amp;" ")-1),",","."))+1,9)),IF(ISNUMBER(SEARCH("yea",C92)),IFERROR(_xlfn.NUMBERVALUE(SUBSTITUTE(LEFT(TRIM(C92),FIND(" ",TRIM(C92)&amp;" ")-1),",","."),"."),LEFT(SUBSTITUTE(LEFT(TRIM(C92),FIND(" ",TRIM(C92)&amp;" ")-1),",","."),FIND("/",SUBSTITUTE(LEFT(TRIM(C92),FIND(" ",TRIM(C92)&amp;" ")-1),",","."))-1)/MID(SUBSTITUTE(LEFT(TRIM(C92),FIND(" ",TRIM(C92)&amp;" ")-1),",","."),FIND("/",SUBSTITUTE(LEFT(TRIM(C92),FIND(" ",TRIM(C92)&amp;" ")-1),",","."))+1,9))*12,NA()))),0),24)*'Aturan &amp; Tarif'!$B$4,2)</f>
        <v>1362.72</v>
      </c>
      <c r="K92" s="32" t="n">
        <f aca="false">'Aturan &amp; Tarif'!$B$5</f>
        <v>2050</v>
      </c>
      <c r="L92" s="35" t="n">
        <f aca="false">I92+J92+K92</f>
        <v>19448.72</v>
      </c>
      <c r="M92" s="37" t="s">
        <v>318</v>
      </c>
    </row>
    <row r="93" customFormat="false" ht="14.25" hidden="false" customHeight="true" outlineLevel="0" collapsed="false">
      <c r="A93" s="29"/>
      <c r="B93" s="30" t="s">
        <v>289</v>
      </c>
      <c r="C93" s="31" t="s">
        <v>107</v>
      </c>
      <c r="D93" s="31" t="s">
        <v>108</v>
      </c>
      <c r="E93" s="32" t="n">
        <v>8018</v>
      </c>
      <c r="F93" s="32"/>
      <c r="G93" s="32"/>
      <c r="H93" s="33" t="n">
        <v>2</v>
      </c>
      <c r="I93" s="34" t="n">
        <f aca="false">E93*H93+N(F93)+N(G93)</f>
        <v>16036</v>
      </c>
      <c r="J93" s="32" t="n">
        <f aca="false">ROUND(IFERROR(ROUND(IF(OR(ISNUMBER(SEARCH("week",C93)),ISNUMBER(SEARCH("minggu",C93))),IFERROR(_xlfn.NUMBERVALUE(SUBSTITUTE(LEFT(TRIM(C93),FIND(" ",TRIM(C93)&amp;" ")-1),",","."),"."),LEFT(SUBSTITUTE(LEFT(TRIM(C93),FIND(" ",TRIM(C93)&amp;" ")-1),",","."),FIND("/",SUBSTITUTE(LEFT(TRIM(C93),FIND(" ",TRIM(C93)&amp;" ")-1),",","."))-1)/MID(SUBSTITUTE(LEFT(TRIM(C93),FIND(" ",TRIM(C93)&amp;" ")-1),",","."),FIND("/",SUBSTITUTE(LEFT(TRIM(C93),FIND(" ",TRIM(C93)&amp;" ")-1),",","."))+1,9))*12/52,IF(ISNUMBER(SEARCH("month",C93)),IFERROR(_xlfn.NUMBERVALUE(SUBSTITUTE(LEFT(TRIM(C93),FIND(" ",TRIM(C93)&amp;" ")-1),",","."),"."),LEFT(SUBSTITUTE(LEFT(TRIM(C93),FIND(" ",TRIM(C93)&amp;" ")-1),",","."),FIND("/",SUBSTITUTE(LEFT(TRIM(C93),FIND(" ",TRIM(C93)&amp;" ")-1),",","."))-1)/MID(SUBSTITUTE(LEFT(TRIM(C93),FIND(" ",TRIM(C93)&amp;" ")-1),",","."),FIND("/",SUBSTITUTE(LEFT(TRIM(C93),FIND(" ",TRIM(C93)&amp;" ")-1),",","."))+1,9)),IF(ISNUMBER(SEARCH("yea",C93)),IFERROR(_xlfn.NUMBERVALUE(SUBSTITUTE(LEFT(TRIM(C93),FIND(" ",TRIM(C93)&amp;" ")-1),",","."),"."),LEFT(SUBSTITUTE(LEFT(TRIM(C93),FIND(" ",TRIM(C93)&amp;" ")-1),",","."),FIND("/",SUBSTITUTE(LEFT(TRIM(C93),FIND(" ",TRIM(C93)&amp;" ")-1),",","."))-1)/MID(SUBSTITUTE(LEFT(TRIM(C93),FIND(" ",TRIM(C93)&amp;" ")-1),",","."),FIND("/",SUBSTITUTE(LEFT(TRIM(C93),FIND(" ",TRIM(C93)&amp;" ")-1),",","."))+1,9))*12,NA()))),0),24)*'Aturan &amp; Tarif'!$B$4,2)</f>
        <v>1362.72</v>
      </c>
      <c r="K93" s="32" t="n">
        <f aca="false">'Aturan &amp; Tarif'!$B$5</f>
        <v>2050</v>
      </c>
      <c r="L93" s="35" t="n">
        <f aca="false">I93+J93+K93</f>
        <v>19448.72</v>
      </c>
      <c r="M93" s="37" t="s">
        <v>318</v>
      </c>
    </row>
    <row r="94" customFormat="false" ht="14.25" hidden="false" customHeight="true" outlineLevel="0" collapsed="false">
      <c r="A94" s="29"/>
      <c r="B94" s="30" t="s">
        <v>403</v>
      </c>
      <c r="C94" s="31" t="s">
        <v>127</v>
      </c>
      <c r="D94" s="31" t="s">
        <v>108</v>
      </c>
      <c r="E94" s="32" t="n">
        <v>7162</v>
      </c>
      <c r="F94" s="32"/>
      <c r="G94" s="32"/>
      <c r="H94" s="33" t="n">
        <v>2</v>
      </c>
      <c r="I94" s="34" t="n">
        <f aca="false">E94*H94+N(F94)+N(G94)</f>
        <v>14324</v>
      </c>
      <c r="J94" s="32" t="n">
        <f aca="false">ROUND(IFERROR(ROUND(IF(OR(ISNUMBER(SEARCH("week",C94)),ISNUMBER(SEARCH("minggu",C94))),IFERROR(_xlfn.NUMBERVALUE(SUBSTITUTE(LEFT(TRIM(C94),FIND(" ",TRIM(C94)&amp;" ")-1),",","."),"."),LEFT(SUBSTITUTE(LEFT(TRIM(C94),FIND(" ",TRIM(C94)&amp;" ")-1),",","."),FIND("/",SUBSTITUTE(LEFT(TRIM(C94),FIND(" ",TRIM(C94)&amp;" ")-1),",","."))-1)/MID(SUBSTITUTE(LEFT(TRIM(C94),FIND(" ",TRIM(C94)&amp;" ")-1),",","."),FIND("/",SUBSTITUTE(LEFT(TRIM(C94),FIND(" ",TRIM(C94)&amp;" ")-1),",","."))+1,9))*12/52,IF(ISNUMBER(SEARCH("month",C94)),IFERROR(_xlfn.NUMBERVALUE(SUBSTITUTE(LEFT(TRIM(C94),FIND(" ",TRIM(C94)&amp;" ")-1),",","."),"."),LEFT(SUBSTITUTE(LEFT(TRIM(C94),FIND(" ",TRIM(C94)&amp;" ")-1),",","."),FIND("/",SUBSTITUTE(LEFT(TRIM(C94),FIND(" ",TRIM(C94)&amp;" ")-1),",","."))-1)/MID(SUBSTITUTE(LEFT(TRIM(C94),FIND(" ",TRIM(C94)&amp;" ")-1),",","."),FIND("/",SUBSTITUTE(LEFT(TRIM(C94),FIND(" ",TRIM(C94)&amp;" ")-1),",","."))+1,9)),IF(ISNUMBER(SEARCH("yea",C94)),IFERROR(_xlfn.NUMBERVALUE(SUBSTITUTE(LEFT(TRIM(C94),FIND(" ",TRIM(C94)&amp;" ")-1),",","."),"."),LEFT(SUBSTITUTE(LEFT(TRIM(C94),FIND(" ",TRIM(C94)&amp;" ")-1),",","."),FIND("/",SUBSTITUTE(LEFT(TRIM(C94),FIND(" ",TRIM(C94)&amp;" ")-1),",","."))-1)/MID(SUBSTITUTE(LEFT(TRIM(C94),FIND(" ",TRIM(C94)&amp;" ")-1),",","."),FIND("/",SUBSTITUTE(LEFT(TRIM(C94),FIND(" ",TRIM(C94)&amp;" ")-1),",","."))+1,9))*12,NA()))),0),36)*'Aturan &amp; Tarif'!$B$4,2)</f>
        <v>2044.08</v>
      </c>
      <c r="K94" s="32" t="n">
        <f aca="false">'Aturan &amp; Tarif'!$B$5</f>
        <v>2050</v>
      </c>
      <c r="L94" s="35" t="n">
        <f aca="false">I94+J94+K94</f>
        <v>18418.08</v>
      </c>
      <c r="M94" s="37" t="s">
        <v>318</v>
      </c>
    </row>
    <row r="95" customFormat="false" ht="25.5" hidden="false" customHeight="true" outlineLevel="0" collapsed="false">
      <c r="A95" s="29"/>
      <c r="B95" s="30" t="s">
        <v>404</v>
      </c>
      <c r="C95" s="31" t="s">
        <v>191</v>
      </c>
      <c r="D95" s="31" t="s">
        <v>108</v>
      </c>
      <c r="E95" s="32" t="n">
        <v>7162</v>
      </c>
      <c r="F95" s="32"/>
      <c r="G95" s="32"/>
      <c r="H95" s="33" t="n">
        <v>2</v>
      </c>
      <c r="I95" s="34" t="n">
        <f aca="false">E95*H95+N(F95)+N(G95)</f>
        <v>14324</v>
      </c>
      <c r="J95" s="32" t="n">
        <f aca="false">ROUND(IFERROR(ROUND(IF(OR(ISNUMBER(SEARCH("week",C95)),ISNUMBER(SEARCH("minggu",C95))),IFERROR(_xlfn.NUMBERVALUE(SUBSTITUTE(LEFT(TRIM(C95),FIND(" ",TRIM(C95)&amp;" ")-1),",","."),"."),LEFT(SUBSTITUTE(LEFT(TRIM(C95),FIND(" ",TRIM(C95)&amp;" ")-1),",","."),FIND("/",SUBSTITUTE(LEFT(TRIM(C95),FIND(" ",TRIM(C95)&amp;" ")-1),",","."))-1)/MID(SUBSTITUTE(LEFT(TRIM(C95),FIND(" ",TRIM(C95)&amp;" ")-1),",","."),FIND("/",SUBSTITUTE(LEFT(TRIM(C95),FIND(" ",TRIM(C95)&amp;" ")-1),",","."))+1,9))*12/52,IF(ISNUMBER(SEARCH("month",C95)),IFERROR(_xlfn.NUMBERVALUE(SUBSTITUTE(LEFT(TRIM(C95),FIND(" ",TRIM(C95)&amp;" ")-1),",","."),"."),LEFT(SUBSTITUTE(LEFT(TRIM(C95),FIND(" ",TRIM(C95)&amp;" ")-1),",","."),FIND("/",SUBSTITUTE(LEFT(TRIM(C95),FIND(" ",TRIM(C95)&amp;" ")-1),",","."))-1)/MID(SUBSTITUTE(LEFT(TRIM(C95),FIND(" ",TRIM(C95)&amp;" ")-1),",","."),FIND("/",SUBSTITUTE(LEFT(TRIM(C95),FIND(" ",TRIM(C95)&amp;" ")-1),",","."))+1,9)),IF(ISNUMBER(SEARCH("yea",C95)),IFERROR(_xlfn.NUMBERVALUE(SUBSTITUTE(LEFT(TRIM(C95),FIND(" ",TRIM(C95)&amp;" ")-1),",","."),"."),LEFT(SUBSTITUTE(LEFT(TRIM(C95),FIND(" ",TRIM(C95)&amp;" ")-1),",","."),FIND("/",SUBSTITUTE(LEFT(TRIM(C95),FIND(" ",TRIM(C95)&amp;" ")-1),",","."))-1)/MID(SUBSTITUTE(LEFT(TRIM(C95),FIND(" ",TRIM(C95)&amp;" ")-1),",","."),FIND("/",SUBSTITUTE(LEFT(TRIM(C95),FIND(" ",TRIM(C95)&amp;" ")-1),",","."))+1,9))*12,NA()))),0),48)*'Aturan &amp; Tarif'!$B$4,2)</f>
        <v>2725.44</v>
      </c>
      <c r="K95" s="32" t="n">
        <f aca="false">'Aturan &amp; Tarif'!$B$5</f>
        <v>2050</v>
      </c>
      <c r="L95" s="35" t="n">
        <f aca="false">I95+J95+K95</f>
        <v>19099.44</v>
      </c>
      <c r="M95" s="37" t="s">
        <v>318</v>
      </c>
    </row>
    <row r="96" customFormat="false" ht="14.25" hidden="false" customHeight="true" outlineLevel="0" collapsed="false">
      <c r="A96" s="29"/>
      <c r="B96" s="30" t="s">
        <v>405</v>
      </c>
      <c r="C96" s="31" t="s">
        <v>127</v>
      </c>
      <c r="D96" s="31" t="s">
        <v>108</v>
      </c>
      <c r="E96" s="32" t="n">
        <v>8682</v>
      </c>
      <c r="F96" s="32"/>
      <c r="G96" s="32"/>
      <c r="H96" s="33" t="n">
        <v>2</v>
      </c>
      <c r="I96" s="34" t="n">
        <f aca="false">E96*H96+N(F96)+N(G96)</f>
        <v>17364</v>
      </c>
      <c r="J96" s="32" t="n">
        <f aca="false">ROUND(IFERROR(ROUND(IF(OR(ISNUMBER(SEARCH("week",C96)),ISNUMBER(SEARCH("minggu",C96))),IFERROR(_xlfn.NUMBERVALUE(SUBSTITUTE(LEFT(TRIM(C96),FIND(" ",TRIM(C96)&amp;" ")-1),",","."),"."),LEFT(SUBSTITUTE(LEFT(TRIM(C96),FIND(" ",TRIM(C96)&amp;" ")-1),",","."),FIND("/",SUBSTITUTE(LEFT(TRIM(C96),FIND(" ",TRIM(C96)&amp;" ")-1),",","."))-1)/MID(SUBSTITUTE(LEFT(TRIM(C96),FIND(" ",TRIM(C96)&amp;" ")-1),",","."),FIND("/",SUBSTITUTE(LEFT(TRIM(C96),FIND(" ",TRIM(C96)&amp;" ")-1),",","."))+1,9))*12/52,IF(ISNUMBER(SEARCH("month",C96)),IFERROR(_xlfn.NUMBERVALUE(SUBSTITUTE(LEFT(TRIM(C96),FIND(" ",TRIM(C96)&amp;" ")-1),",","."),"."),LEFT(SUBSTITUTE(LEFT(TRIM(C96),FIND(" ",TRIM(C96)&amp;" ")-1),",","."),FIND("/",SUBSTITUTE(LEFT(TRIM(C96),FIND(" ",TRIM(C96)&amp;" ")-1),",","."))-1)/MID(SUBSTITUTE(LEFT(TRIM(C96),FIND(" ",TRIM(C96)&amp;" ")-1),",","."),FIND("/",SUBSTITUTE(LEFT(TRIM(C96),FIND(" ",TRIM(C96)&amp;" ")-1),",","."))+1,9)),IF(ISNUMBER(SEARCH("yea",C96)),IFERROR(_xlfn.NUMBERVALUE(SUBSTITUTE(LEFT(TRIM(C96),FIND(" ",TRIM(C96)&amp;" ")-1),",","."),"."),LEFT(SUBSTITUTE(LEFT(TRIM(C96),FIND(" ",TRIM(C96)&amp;" ")-1),",","."),FIND("/",SUBSTITUTE(LEFT(TRIM(C96),FIND(" ",TRIM(C96)&amp;" ")-1),",","."))-1)/MID(SUBSTITUTE(LEFT(TRIM(C96),FIND(" ",TRIM(C96)&amp;" ")-1),",","."),FIND("/",SUBSTITUTE(LEFT(TRIM(C96),FIND(" ",TRIM(C96)&amp;" ")-1),",","."))+1,9))*12,NA()))),0),36)*'Aturan &amp; Tarif'!$B$4,2)</f>
        <v>2044.08</v>
      </c>
      <c r="K96" s="32" t="n">
        <f aca="false">'Aturan &amp; Tarif'!$B$5</f>
        <v>2050</v>
      </c>
      <c r="L96" s="35" t="n">
        <f aca="false">I96+J96+K96</f>
        <v>21458.08</v>
      </c>
      <c r="M96" s="37" t="s">
        <v>318</v>
      </c>
    </row>
    <row r="97" customFormat="false" ht="14.25" hidden="false" customHeight="true" outlineLevel="0" collapsed="false">
      <c r="A97" s="29"/>
      <c r="B97" s="30" t="s">
        <v>406</v>
      </c>
      <c r="C97" s="31" t="s">
        <v>191</v>
      </c>
      <c r="D97" s="31" t="s">
        <v>108</v>
      </c>
      <c r="E97" s="32" t="n">
        <v>8682</v>
      </c>
      <c r="F97" s="32"/>
      <c r="G97" s="32"/>
      <c r="H97" s="33" t="n">
        <v>2</v>
      </c>
      <c r="I97" s="34" t="n">
        <f aca="false">E97*H97+N(F97)+N(G97)</f>
        <v>17364</v>
      </c>
      <c r="J97" s="32" t="n">
        <f aca="false">ROUND(IFERROR(ROUND(IF(OR(ISNUMBER(SEARCH("week",C97)),ISNUMBER(SEARCH("minggu",C97))),IFERROR(_xlfn.NUMBERVALUE(SUBSTITUTE(LEFT(TRIM(C97),FIND(" ",TRIM(C97)&amp;" ")-1),",","."),"."),LEFT(SUBSTITUTE(LEFT(TRIM(C97),FIND(" ",TRIM(C97)&amp;" ")-1),",","."),FIND("/",SUBSTITUTE(LEFT(TRIM(C97),FIND(" ",TRIM(C97)&amp;" ")-1),",","."))-1)/MID(SUBSTITUTE(LEFT(TRIM(C97),FIND(" ",TRIM(C97)&amp;" ")-1),",","."),FIND("/",SUBSTITUTE(LEFT(TRIM(C97),FIND(" ",TRIM(C97)&amp;" ")-1),",","."))+1,9))*12/52,IF(ISNUMBER(SEARCH("month",C97)),IFERROR(_xlfn.NUMBERVALUE(SUBSTITUTE(LEFT(TRIM(C97),FIND(" ",TRIM(C97)&amp;" ")-1),",","."),"."),LEFT(SUBSTITUTE(LEFT(TRIM(C97),FIND(" ",TRIM(C97)&amp;" ")-1),",","."),FIND("/",SUBSTITUTE(LEFT(TRIM(C97),FIND(" ",TRIM(C97)&amp;" ")-1),",","."))-1)/MID(SUBSTITUTE(LEFT(TRIM(C97),FIND(" ",TRIM(C97)&amp;" ")-1),",","."),FIND("/",SUBSTITUTE(LEFT(TRIM(C97),FIND(" ",TRIM(C97)&amp;" ")-1),",","."))+1,9)),IF(ISNUMBER(SEARCH("yea",C97)),IFERROR(_xlfn.NUMBERVALUE(SUBSTITUTE(LEFT(TRIM(C97),FIND(" ",TRIM(C97)&amp;" ")-1),",","."),"."),LEFT(SUBSTITUTE(LEFT(TRIM(C97),FIND(" ",TRIM(C97)&amp;" ")-1),",","."),FIND("/",SUBSTITUTE(LEFT(TRIM(C97),FIND(" ",TRIM(C97)&amp;" ")-1),",","."))-1)/MID(SUBSTITUTE(LEFT(TRIM(C97),FIND(" ",TRIM(C97)&amp;" ")-1),",","."),FIND("/",SUBSTITUTE(LEFT(TRIM(C97),FIND(" ",TRIM(C97)&amp;" ")-1),",","."))+1,9))*12,NA()))),0),48)*'Aturan &amp; Tarif'!$B$4,2)</f>
        <v>2725.44</v>
      </c>
      <c r="K97" s="32" t="n">
        <f aca="false">'Aturan &amp; Tarif'!$B$5</f>
        <v>2050</v>
      </c>
      <c r="L97" s="35" t="n">
        <f aca="false">I97+J97+K97</f>
        <v>22139.44</v>
      </c>
      <c r="M97" s="37" t="s">
        <v>318</v>
      </c>
    </row>
    <row r="98" customFormat="false" ht="14.25" hidden="false" customHeight="true" outlineLevel="0" collapsed="false">
      <c r="A98" s="29"/>
      <c r="B98" s="30" t="s">
        <v>407</v>
      </c>
      <c r="C98" s="31" t="s">
        <v>107</v>
      </c>
      <c r="D98" s="31" t="s">
        <v>108</v>
      </c>
      <c r="E98" s="32" t="n">
        <v>8682</v>
      </c>
      <c r="F98" s="32"/>
      <c r="G98" s="32"/>
      <c r="H98" s="33" t="n">
        <v>2</v>
      </c>
      <c r="I98" s="34" t="n">
        <f aca="false">E98*H98+N(F98)+N(G98)</f>
        <v>17364</v>
      </c>
      <c r="J98" s="32" t="n">
        <f aca="false">ROUND(IFERROR(ROUND(IF(OR(ISNUMBER(SEARCH("week",C98)),ISNUMBER(SEARCH("minggu",C98))),IFERROR(_xlfn.NUMBERVALUE(SUBSTITUTE(LEFT(TRIM(C98),FIND(" ",TRIM(C98)&amp;" ")-1),",","."),"."),LEFT(SUBSTITUTE(LEFT(TRIM(C98),FIND(" ",TRIM(C98)&amp;" ")-1),",","."),FIND("/",SUBSTITUTE(LEFT(TRIM(C98),FIND(" ",TRIM(C98)&amp;" ")-1),",","."))-1)/MID(SUBSTITUTE(LEFT(TRIM(C98),FIND(" ",TRIM(C98)&amp;" ")-1),",","."),FIND("/",SUBSTITUTE(LEFT(TRIM(C98),FIND(" ",TRIM(C98)&amp;" ")-1),",","."))+1,9))*12/52,IF(ISNUMBER(SEARCH("month",C98)),IFERROR(_xlfn.NUMBERVALUE(SUBSTITUTE(LEFT(TRIM(C98),FIND(" ",TRIM(C98)&amp;" ")-1),",","."),"."),LEFT(SUBSTITUTE(LEFT(TRIM(C98),FIND(" ",TRIM(C98)&amp;" ")-1),",","."),FIND("/",SUBSTITUTE(LEFT(TRIM(C98),FIND(" ",TRIM(C98)&amp;" ")-1),",","."))-1)/MID(SUBSTITUTE(LEFT(TRIM(C98),FIND(" ",TRIM(C98)&amp;" ")-1),",","."),FIND("/",SUBSTITUTE(LEFT(TRIM(C98),FIND(" ",TRIM(C98)&amp;" ")-1),",","."))+1,9)),IF(ISNUMBER(SEARCH("yea",C98)),IFERROR(_xlfn.NUMBERVALUE(SUBSTITUTE(LEFT(TRIM(C98),FIND(" ",TRIM(C98)&amp;" ")-1),",","."),"."),LEFT(SUBSTITUTE(LEFT(TRIM(C98),FIND(" ",TRIM(C98)&amp;" ")-1),",","."),FIND("/",SUBSTITUTE(LEFT(TRIM(C98),FIND(" ",TRIM(C98)&amp;" ")-1),",","."))-1)/MID(SUBSTITUTE(LEFT(TRIM(C98),FIND(" ",TRIM(C98)&amp;" ")-1),",","."),FIND("/",SUBSTITUTE(LEFT(TRIM(C98),FIND(" ",TRIM(C98)&amp;" ")-1),",","."))+1,9))*12,NA()))),0),24)*'Aturan &amp; Tarif'!$B$4,2)</f>
        <v>1362.72</v>
      </c>
      <c r="K98" s="32" t="n">
        <f aca="false">'Aturan &amp; Tarif'!$B$5</f>
        <v>2050</v>
      </c>
      <c r="L98" s="35" t="n">
        <f aca="false">I98+J98+K98</f>
        <v>20776.72</v>
      </c>
      <c r="M98" s="37" t="s">
        <v>318</v>
      </c>
    </row>
    <row r="99" customFormat="false" ht="14.25" hidden="false" customHeight="true" outlineLevel="0" collapsed="false">
      <c r="A99" s="29"/>
      <c r="B99" s="30" t="s">
        <v>408</v>
      </c>
      <c r="C99" s="31" t="s">
        <v>130</v>
      </c>
      <c r="D99" s="31" t="s">
        <v>108</v>
      </c>
      <c r="E99" s="32" t="n">
        <v>7086</v>
      </c>
      <c r="F99" s="32"/>
      <c r="G99" s="32"/>
      <c r="H99" s="33" t="n">
        <v>2</v>
      </c>
      <c r="I99" s="34" t="n">
        <f aca="false">E99*H99+N(F99)+N(G99)</f>
        <v>14172</v>
      </c>
      <c r="J99" s="32" t="n">
        <f aca="false">ROUND(IFERROR(ROUND(IF(OR(ISNUMBER(SEARCH("week",C99)),ISNUMBER(SEARCH("minggu",C99))),IFERROR(_xlfn.NUMBERVALUE(SUBSTITUTE(LEFT(TRIM(C99),FIND(" ",TRIM(C99)&amp;" ")-1),",","."),"."),LEFT(SUBSTITUTE(LEFT(TRIM(C99),FIND(" ",TRIM(C99)&amp;" ")-1),",","."),FIND("/",SUBSTITUTE(LEFT(TRIM(C99),FIND(" ",TRIM(C99)&amp;" ")-1),",","."))-1)/MID(SUBSTITUTE(LEFT(TRIM(C99),FIND(" ",TRIM(C99)&amp;" ")-1),",","."),FIND("/",SUBSTITUTE(LEFT(TRIM(C99),FIND(" ",TRIM(C99)&amp;" ")-1),",","."))+1,9))*12/52,IF(ISNUMBER(SEARCH("month",C99)),IFERROR(_xlfn.NUMBERVALUE(SUBSTITUTE(LEFT(TRIM(C99),FIND(" ",TRIM(C99)&amp;" ")-1),",","."),"."),LEFT(SUBSTITUTE(LEFT(TRIM(C99),FIND(" ",TRIM(C99)&amp;" ")-1),",","."),FIND("/",SUBSTITUTE(LEFT(TRIM(C99),FIND(" ",TRIM(C99)&amp;" ")-1),",","."))-1)/MID(SUBSTITUTE(LEFT(TRIM(C99),FIND(" ",TRIM(C99)&amp;" ")-1),",","."),FIND("/",SUBSTITUTE(LEFT(TRIM(C99),FIND(" ",TRIM(C99)&amp;" ")-1),",","."))+1,9)),IF(ISNUMBER(SEARCH("yea",C99)),IFERROR(_xlfn.NUMBERVALUE(SUBSTITUTE(LEFT(TRIM(C99),FIND(" ",TRIM(C99)&amp;" ")-1),",","."),"."),LEFT(SUBSTITUTE(LEFT(TRIM(C99),FIND(" ",TRIM(C99)&amp;" ")-1),",","."),FIND("/",SUBSTITUTE(LEFT(TRIM(C99),FIND(" ",TRIM(C99)&amp;" ")-1),",","."))-1)/MID(SUBSTITUTE(LEFT(TRIM(C99),FIND(" ",TRIM(C99)&amp;" ")-1),",","."),FIND("/",SUBSTITUTE(LEFT(TRIM(C99),FIND(" ",TRIM(C99)&amp;" ")-1),",","."))+1,9))*12,NA()))),0),12)*'Aturan &amp; Tarif'!$B$4,2)</f>
        <v>681.36</v>
      </c>
      <c r="K99" s="32" t="n">
        <f aca="false">'Aturan &amp; Tarif'!$B$5</f>
        <v>2050</v>
      </c>
      <c r="L99" s="35" t="n">
        <f aca="false">I99+J99+K99</f>
        <v>16903.36</v>
      </c>
      <c r="M99" s="37" t="s">
        <v>318</v>
      </c>
    </row>
    <row r="100" customFormat="false" ht="14.25" hidden="false" customHeight="true" outlineLevel="0" collapsed="false">
      <c r="A100" s="29"/>
      <c r="B100" s="30" t="s">
        <v>409</v>
      </c>
      <c r="C100" s="31" t="s">
        <v>130</v>
      </c>
      <c r="D100" s="31" t="s">
        <v>108</v>
      </c>
      <c r="E100" s="32" t="n">
        <v>8058</v>
      </c>
      <c r="F100" s="32"/>
      <c r="G100" s="32"/>
      <c r="H100" s="33" t="n">
        <v>2</v>
      </c>
      <c r="I100" s="34" t="n">
        <f aca="false">E100*H100+N(F100)+N(G100)</f>
        <v>16116</v>
      </c>
      <c r="J100" s="32" t="n">
        <f aca="false">ROUND(IFERROR(ROUND(IF(OR(ISNUMBER(SEARCH("week",C100)),ISNUMBER(SEARCH("minggu",C100))),IFERROR(_xlfn.NUMBERVALUE(SUBSTITUTE(LEFT(TRIM(C100),FIND(" ",TRIM(C100)&amp;" ")-1),",","."),"."),LEFT(SUBSTITUTE(LEFT(TRIM(C100),FIND(" ",TRIM(C100)&amp;" ")-1),",","."),FIND("/",SUBSTITUTE(LEFT(TRIM(C100),FIND(" ",TRIM(C100)&amp;" ")-1),",","."))-1)/MID(SUBSTITUTE(LEFT(TRIM(C100),FIND(" ",TRIM(C100)&amp;" ")-1),",","."),FIND("/",SUBSTITUTE(LEFT(TRIM(C100),FIND(" ",TRIM(C100)&amp;" ")-1),",","."))+1,9))*12/52,IF(ISNUMBER(SEARCH("month",C100)),IFERROR(_xlfn.NUMBERVALUE(SUBSTITUTE(LEFT(TRIM(C100),FIND(" ",TRIM(C100)&amp;" ")-1),",","."),"."),LEFT(SUBSTITUTE(LEFT(TRIM(C100),FIND(" ",TRIM(C100)&amp;" ")-1),",","."),FIND("/",SUBSTITUTE(LEFT(TRIM(C100),FIND(" ",TRIM(C100)&amp;" ")-1),",","."))-1)/MID(SUBSTITUTE(LEFT(TRIM(C100),FIND(" ",TRIM(C100)&amp;" ")-1),",","."),FIND("/",SUBSTITUTE(LEFT(TRIM(C100),FIND(" ",TRIM(C100)&amp;" ")-1),",","."))+1,9)),IF(ISNUMBER(SEARCH("yea",C100)),IFERROR(_xlfn.NUMBERVALUE(SUBSTITUTE(LEFT(TRIM(C100),FIND(" ",TRIM(C100)&amp;" ")-1),",","."),"."),LEFT(SUBSTITUTE(LEFT(TRIM(C100),FIND(" ",TRIM(C100)&amp;" ")-1),",","."),FIND("/",SUBSTITUTE(LEFT(TRIM(C100),FIND(" ",TRIM(C100)&amp;" ")-1),",","."))-1)/MID(SUBSTITUTE(LEFT(TRIM(C100),FIND(" ",TRIM(C100)&amp;" ")-1),",","."),FIND("/",SUBSTITUTE(LEFT(TRIM(C100),FIND(" ",TRIM(C100)&amp;" ")-1),",","."))+1,9))*12,NA()))),0),12)*'Aturan &amp; Tarif'!$B$4,2)</f>
        <v>681.36</v>
      </c>
      <c r="K100" s="32" t="n">
        <f aca="false">'Aturan &amp; Tarif'!$B$5</f>
        <v>2050</v>
      </c>
      <c r="L100" s="35" t="n">
        <f aca="false">I100+J100+K100</f>
        <v>18847.36</v>
      </c>
      <c r="M100" s="37" t="s">
        <v>318</v>
      </c>
    </row>
    <row r="101" customFormat="false" ht="14.25" hidden="false" customHeight="true" outlineLevel="0" collapsed="false">
      <c r="A101" s="29"/>
      <c r="B101" s="30" t="s">
        <v>410</v>
      </c>
      <c r="C101" s="31" t="s">
        <v>130</v>
      </c>
      <c r="D101" s="31" t="s">
        <v>108</v>
      </c>
      <c r="E101" s="32" t="n">
        <v>8480</v>
      </c>
      <c r="F101" s="32"/>
      <c r="G101" s="32"/>
      <c r="H101" s="33" t="n">
        <v>2</v>
      </c>
      <c r="I101" s="34" t="n">
        <f aca="false">E101*H101+N(F101)+N(G101)</f>
        <v>16960</v>
      </c>
      <c r="J101" s="32" t="n">
        <f aca="false">ROUND(IFERROR(ROUND(IF(OR(ISNUMBER(SEARCH("week",C101)),ISNUMBER(SEARCH("minggu",C101))),IFERROR(_xlfn.NUMBERVALUE(SUBSTITUTE(LEFT(TRIM(C101),FIND(" ",TRIM(C101)&amp;" ")-1),",","."),"."),LEFT(SUBSTITUTE(LEFT(TRIM(C101),FIND(" ",TRIM(C101)&amp;" ")-1),",","."),FIND("/",SUBSTITUTE(LEFT(TRIM(C101),FIND(" ",TRIM(C101)&amp;" ")-1),",","."))-1)/MID(SUBSTITUTE(LEFT(TRIM(C101),FIND(" ",TRIM(C101)&amp;" ")-1),",","."),FIND("/",SUBSTITUTE(LEFT(TRIM(C101),FIND(" ",TRIM(C101)&amp;" ")-1),",","."))+1,9))*12/52,IF(ISNUMBER(SEARCH("month",C101)),IFERROR(_xlfn.NUMBERVALUE(SUBSTITUTE(LEFT(TRIM(C101),FIND(" ",TRIM(C101)&amp;" ")-1),",","."),"."),LEFT(SUBSTITUTE(LEFT(TRIM(C101),FIND(" ",TRIM(C101)&amp;" ")-1),",","."),FIND("/",SUBSTITUTE(LEFT(TRIM(C101),FIND(" ",TRIM(C101)&amp;" ")-1),",","."))-1)/MID(SUBSTITUTE(LEFT(TRIM(C101),FIND(" ",TRIM(C101)&amp;" ")-1),",","."),FIND("/",SUBSTITUTE(LEFT(TRIM(C101),FIND(" ",TRIM(C101)&amp;" ")-1),",","."))+1,9)),IF(ISNUMBER(SEARCH("yea",C101)),IFERROR(_xlfn.NUMBERVALUE(SUBSTITUTE(LEFT(TRIM(C101),FIND(" ",TRIM(C101)&amp;" ")-1),",","."),"."),LEFT(SUBSTITUTE(LEFT(TRIM(C101),FIND(" ",TRIM(C101)&amp;" ")-1),",","."),FIND("/",SUBSTITUTE(LEFT(TRIM(C101),FIND(" ",TRIM(C101)&amp;" ")-1),",","."))-1)/MID(SUBSTITUTE(LEFT(TRIM(C101),FIND(" ",TRIM(C101)&amp;" ")-1),",","."),FIND("/",SUBSTITUTE(LEFT(TRIM(C101),FIND(" ",TRIM(C101)&amp;" ")-1),",","."))+1,9))*12,NA()))),0),12)*'Aturan &amp; Tarif'!$B$4,2)</f>
        <v>681.36</v>
      </c>
      <c r="K101" s="32" t="n">
        <f aca="false">'Aturan &amp; Tarif'!$B$5</f>
        <v>2050</v>
      </c>
      <c r="L101" s="35" t="n">
        <f aca="false">I101+J101+K101</f>
        <v>19691.36</v>
      </c>
      <c r="M101" s="37" t="s">
        <v>318</v>
      </c>
    </row>
    <row r="102" customFormat="false" ht="25.5" hidden="false" customHeight="true" outlineLevel="0" collapsed="false">
      <c r="A102" s="29"/>
      <c r="B102" s="30" t="s">
        <v>411</v>
      </c>
      <c r="C102" s="31" t="s">
        <v>130</v>
      </c>
      <c r="D102" s="31" t="s">
        <v>108</v>
      </c>
      <c r="E102" s="32" t="n">
        <v>8906</v>
      </c>
      <c r="F102" s="32"/>
      <c r="G102" s="32"/>
      <c r="H102" s="33" t="n">
        <v>2</v>
      </c>
      <c r="I102" s="34" t="n">
        <f aca="false">E102*H102+N(F102)+N(G102)</f>
        <v>17812</v>
      </c>
      <c r="J102" s="32" t="n">
        <f aca="false">ROUND(IFERROR(ROUND(IF(OR(ISNUMBER(SEARCH("week",C102)),ISNUMBER(SEARCH("minggu",C102))),IFERROR(_xlfn.NUMBERVALUE(SUBSTITUTE(LEFT(TRIM(C102),FIND(" ",TRIM(C102)&amp;" ")-1),",","."),"."),LEFT(SUBSTITUTE(LEFT(TRIM(C102),FIND(" ",TRIM(C102)&amp;" ")-1),",","."),FIND("/",SUBSTITUTE(LEFT(TRIM(C102),FIND(" ",TRIM(C102)&amp;" ")-1),",","."))-1)/MID(SUBSTITUTE(LEFT(TRIM(C102),FIND(" ",TRIM(C102)&amp;" ")-1),",","."),FIND("/",SUBSTITUTE(LEFT(TRIM(C102),FIND(" ",TRIM(C102)&amp;" ")-1),",","."))+1,9))*12/52,IF(ISNUMBER(SEARCH("month",C102)),IFERROR(_xlfn.NUMBERVALUE(SUBSTITUTE(LEFT(TRIM(C102),FIND(" ",TRIM(C102)&amp;" ")-1),",","."),"."),LEFT(SUBSTITUTE(LEFT(TRIM(C102),FIND(" ",TRIM(C102)&amp;" ")-1),",","."),FIND("/",SUBSTITUTE(LEFT(TRIM(C102),FIND(" ",TRIM(C102)&amp;" ")-1),",","."))-1)/MID(SUBSTITUTE(LEFT(TRIM(C102),FIND(" ",TRIM(C102)&amp;" ")-1),",","."),FIND("/",SUBSTITUTE(LEFT(TRIM(C102),FIND(" ",TRIM(C102)&amp;" ")-1),",","."))+1,9)),IF(ISNUMBER(SEARCH("yea",C102)),IFERROR(_xlfn.NUMBERVALUE(SUBSTITUTE(LEFT(TRIM(C102),FIND(" ",TRIM(C102)&amp;" ")-1),",","."),"."),LEFT(SUBSTITUTE(LEFT(TRIM(C102),FIND(" ",TRIM(C102)&amp;" ")-1),",","."),FIND("/",SUBSTITUTE(LEFT(TRIM(C102),FIND(" ",TRIM(C102)&amp;" ")-1),",","."))-1)/MID(SUBSTITUTE(LEFT(TRIM(C102),FIND(" ",TRIM(C102)&amp;" ")-1),",","."),FIND("/",SUBSTITUTE(LEFT(TRIM(C102),FIND(" ",TRIM(C102)&amp;" ")-1),",","."))+1,9))*12,NA()))),0),12)*'Aturan &amp; Tarif'!$B$4,2)</f>
        <v>681.36</v>
      </c>
      <c r="K102" s="32" t="n">
        <f aca="false">'Aturan &amp; Tarif'!$B$5</f>
        <v>2050</v>
      </c>
      <c r="L102" s="35" t="n">
        <f aca="false">I102+J102+K102</f>
        <v>20543.36</v>
      </c>
      <c r="M102" s="37" t="s">
        <v>318</v>
      </c>
    </row>
    <row r="103" customFormat="false" ht="14.25" hidden="false" customHeight="true" outlineLevel="0" collapsed="false">
      <c r="A103" s="29"/>
      <c r="B103" s="30" t="s">
        <v>412</v>
      </c>
      <c r="C103" s="31" t="s">
        <v>130</v>
      </c>
      <c r="D103" s="31" t="s">
        <v>108</v>
      </c>
      <c r="E103" s="32" t="n">
        <v>7086</v>
      </c>
      <c r="F103" s="32"/>
      <c r="G103" s="32"/>
      <c r="H103" s="33" t="n">
        <v>2</v>
      </c>
      <c r="I103" s="34" t="n">
        <f aca="false">E103*H103+N(F103)+N(G103)</f>
        <v>14172</v>
      </c>
      <c r="J103" s="32" t="n">
        <f aca="false">ROUND(IFERROR(ROUND(IF(OR(ISNUMBER(SEARCH("week",C103)),ISNUMBER(SEARCH("minggu",C103))),IFERROR(_xlfn.NUMBERVALUE(SUBSTITUTE(LEFT(TRIM(C103),FIND(" ",TRIM(C103)&amp;" ")-1),",","."),"."),LEFT(SUBSTITUTE(LEFT(TRIM(C103),FIND(" ",TRIM(C103)&amp;" ")-1),",","."),FIND("/",SUBSTITUTE(LEFT(TRIM(C103),FIND(" ",TRIM(C103)&amp;" ")-1),",","."))-1)/MID(SUBSTITUTE(LEFT(TRIM(C103),FIND(" ",TRIM(C103)&amp;" ")-1),",","."),FIND("/",SUBSTITUTE(LEFT(TRIM(C103),FIND(" ",TRIM(C103)&amp;" ")-1),",","."))+1,9))*12/52,IF(ISNUMBER(SEARCH("month",C103)),IFERROR(_xlfn.NUMBERVALUE(SUBSTITUTE(LEFT(TRIM(C103),FIND(" ",TRIM(C103)&amp;" ")-1),",","."),"."),LEFT(SUBSTITUTE(LEFT(TRIM(C103),FIND(" ",TRIM(C103)&amp;" ")-1),",","."),FIND("/",SUBSTITUTE(LEFT(TRIM(C103),FIND(" ",TRIM(C103)&amp;" ")-1),",","."))-1)/MID(SUBSTITUTE(LEFT(TRIM(C103),FIND(" ",TRIM(C103)&amp;" ")-1),",","."),FIND("/",SUBSTITUTE(LEFT(TRIM(C103),FIND(" ",TRIM(C103)&amp;" ")-1),",","."))+1,9)),IF(ISNUMBER(SEARCH("yea",C103)),IFERROR(_xlfn.NUMBERVALUE(SUBSTITUTE(LEFT(TRIM(C103),FIND(" ",TRIM(C103)&amp;" ")-1),",","."),"."),LEFT(SUBSTITUTE(LEFT(TRIM(C103),FIND(" ",TRIM(C103)&amp;" ")-1),",","."),FIND("/",SUBSTITUTE(LEFT(TRIM(C103),FIND(" ",TRIM(C103)&amp;" ")-1),",","."))-1)/MID(SUBSTITUTE(LEFT(TRIM(C103),FIND(" ",TRIM(C103)&amp;" ")-1),",","."),FIND("/",SUBSTITUTE(LEFT(TRIM(C103),FIND(" ",TRIM(C103)&amp;" ")-1),",","."))+1,9))*12,NA()))),0),12)*'Aturan &amp; Tarif'!$B$4,2)</f>
        <v>681.36</v>
      </c>
      <c r="K103" s="32" t="n">
        <f aca="false">'Aturan &amp; Tarif'!$B$5</f>
        <v>2050</v>
      </c>
      <c r="L103" s="35" t="n">
        <f aca="false">I103+J103+K103</f>
        <v>16903.36</v>
      </c>
      <c r="M103" s="37" t="s">
        <v>318</v>
      </c>
    </row>
    <row r="104" customFormat="false" ht="14.25" hidden="false" customHeight="true" outlineLevel="0" collapsed="false">
      <c r="A104" s="29"/>
      <c r="B104" s="30" t="s">
        <v>413</v>
      </c>
      <c r="C104" s="31" t="s">
        <v>130</v>
      </c>
      <c r="D104" s="31" t="s">
        <v>108</v>
      </c>
      <c r="E104" s="32" t="n">
        <v>8058</v>
      </c>
      <c r="F104" s="32"/>
      <c r="G104" s="32"/>
      <c r="H104" s="33" t="n">
        <v>2</v>
      </c>
      <c r="I104" s="34" t="n">
        <f aca="false">E104*H104+N(F104)+N(G104)</f>
        <v>16116</v>
      </c>
      <c r="J104" s="32" t="n">
        <f aca="false">ROUND(IFERROR(ROUND(IF(OR(ISNUMBER(SEARCH("week",C104)),ISNUMBER(SEARCH("minggu",C104))),IFERROR(_xlfn.NUMBERVALUE(SUBSTITUTE(LEFT(TRIM(C104),FIND(" ",TRIM(C104)&amp;" ")-1),",","."),"."),LEFT(SUBSTITUTE(LEFT(TRIM(C104),FIND(" ",TRIM(C104)&amp;" ")-1),",","."),FIND("/",SUBSTITUTE(LEFT(TRIM(C104),FIND(" ",TRIM(C104)&amp;" ")-1),",","."))-1)/MID(SUBSTITUTE(LEFT(TRIM(C104),FIND(" ",TRIM(C104)&amp;" ")-1),",","."),FIND("/",SUBSTITUTE(LEFT(TRIM(C104),FIND(" ",TRIM(C104)&amp;" ")-1),",","."))+1,9))*12/52,IF(ISNUMBER(SEARCH("month",C104)),IFERROR(_xlfn.NUMBERVALUE(SUBSTITUTE(LEFT(TRIM(C104),FIND(" ",TRIM(C104)&amp;" ")-1),",","."),"."),LEFT(SUBSTITUTE(LEFT(TRIM(C104),FIND(" ",TRIM(C104)&amp;" ")-1),",","."),FIND("/",SUBSTITUTE(LEFT(TRIM(C104),FIND(" ",TRIM(C104)&amp;" ")-1),",","."))-1)/MID(SUBSTITUTE(LEFT(TRIM(C104),FIND(" ",TRIM(C104)&amp;" ")-1),",","."),FIND("/",SUBSTITUTE(LEFT(TRIM(C104),FIND(" ",TRIM(C104)&amp;" ")-1),",","."))+1,9)),IF(ISNUMBER(SEARCH("yea",C104)),IFERROR(_xlfn.NUMBERVALUE(SUBSTITUTE(LEFT(TRIM(C104),FIND(" ",TRIM(C104)&amp;" ")-1),",","."),"."),LEFT(SUBSTITUTE(LEFT(TRIM(C104),FIND(" ",TRIM(C104)&amp;" ")-1),",","."),FIND("/",SUBSTITUTE(LEFT(TRIM(C104),FIND(" ",TRIM(C104)&amp;" ")-1),",","."))-1)/MID(SUBSTITUTE(LEFT(TRIM(C104),FIND(" ",TRIM(C104)&amp;" ")-1),",","."),FIND("/",SUBSTITUTE(LEFT(TRIM(C104),FIND(" ",TRIM(C104)&amp;" ")-1),",","."))+1,9))*12,NA()))),0),12)*'Aturan &amp; Tarif'!$B$4,2)</f>
        <v>681.36</v>
      </c>
      <c r="K104" s="32" t="n">
        <f aca="false">'Aturan &amp; Tarif'!$B$5</f>
        <v>2050</v>
      </c>
      <c r="L104" s="35" t="n">
        <f aca="false">I104+J104+K104</f>
        <v>18847.36</v>
      </c>
      <c r="M104" s="37" t="s">
        <v>318</v>
      </c>
    </row>
    <row r="105" customFormat="false" ht="14.25" hidden="false" customHeight="true" outlineLevel="0" collapsed="false">
      <c r="A105" s="29"/>
      <c r="B105" s="30" t="s">
        <v>414</v>
      </c>
      <c r="C105" s="31" t="s">
        <v>130</v>
      </c>
      <c r="D105" s="31" t="s">
        <v>108</v>
      </c>
      <c r="E105" s="32" t="n">
        <v>8906</v>
      </c>
      <c r="F105" s="32"/>
      <c r="G105" s="32"/>
      <c r="H105" s="33" t="n">
        <v>2</v>
      </c>
      <c r="I105" s="34" t="n">
        <f aca="false">E105*H105+N(F105)+N(G105)</f>
        <v>17812</v>
      </c>
      <c r="J105" s="32" t="n">
        <f aca="false">ROUND(IFERROR(ROUND(IF(OR(ISNUMBER(SEARCH("week",C105)),ISNUMBER(SEARCH("minggu",C105))),IFERROR(_xlfn.NUMBERVALUE(SUBSTITUTE(LEFT(TRIM(C105),FIND(" ",TRIM(C105)&amp;" ")-1),",","."),"."),LEFT(SUBSTITUTE(LEFT(TRIM(C105),FIND(" ",TRIM(C105)&amp;" ")-1),",","."),FIND("/",SUBSTITUTE(LEFT(TRIM(C105),FIND(" ",TRIM(C105)&amp;" ")-1),",","."))-1)/MID(SUBSTITUTE(LEFT(TRIM(C105),FIND(" ",TRIM(C105)&amp;" ")-1),",","."),FIND("/",SUBSTITUTE(LEFT(TRIM(C105),FIND(" ",TRIM(C105)&amp;" ")-1),",","."))+1,9))*12/52,IF(ISNUMBER(SEARCH("month",C105)),IFERROR(_xlfn.NUMBERVALUE(SUBSTITUTE(LEFT(TRIM(C105),FIND(" ",TRIM(C105)&amp;" ")-1),",","."),"."),LEFT(SUBSTITUTE(LEFT(TRIM(C105),FIND(" ",TRIM(C105)&amp;" ")-1),",","."),FIND("/",SUBSTITUTE(LEFT(TRIM(C105),FIND(" ",TRIM(C105)&amp;" ")-1),",","."))-1)/MID(SUBSTITUTE(LEFT(TRIM(C105),FIND(" ",TRIM(C105)&amp;" ")-1),",","."),FIND("/",SUBSTITUTE(LEFT(TRIM(C105),FIND(" ",TRIM(C105)&amp;" ")-1),",","."))+1,9)),IF(ISNUMBER(SEARCH("yea",C105)),IFERROR(_xlfn.NUMBERVALUE(SUBSTITUTE(LEFT(TRIM(C105),FIND(" ",TRIM(C105)&amp;" ")-1),",","."),"."),LEFT(SUBSTITUTE(LEFT(TRIM(C105),FIND(" ",TRIM(C105)&amp;" ")-1),",","."),FIND("/",SUBSTITUTE(LEFT(TRIM(C105),FIND(" ",TRIM(C105)&amp;" ")-1),",","."))-1)/MID(SUBSTITUTE(LEFT(TRIM(C105),FIND(" ",TRIM(C105)&amp;" ")-1),",","."),FIND("/",SUBSTITUTE(LEFT(TRIM(C105),FIND(" ",TRIM(C105)&amp;" ")-1),",","."))+1,9))*12,NA()))),0),12)*'Aturan &amp; Tarif'!$B$4,2)</f>
        <v>681.36</v>
      </c>
      <c r="K105" s="32" t="n">
        <f aca="false">'Aturan &amp; Tarif'!$B$5</f>
        <v>2050</v>
      </c>
      <c r="L105" s="35" t="n">
        <f aca="false">I105+J105+K105</f>
        <v>20543.36</v>
      </c>
      <c r="M105" s="37" t="s">
        <v>318</v>
      </c>
    </row>
    <row r="106" customFormat="false" ht="14.25" hidden="false" customHeight="true" outlineLevel="0" collapsed="false">
      <c r="A106" s="29"/>
      <c r="B106" s="30" t="s">
        <v>415</v>
      </c>
      <c r="C106" s="31" t="s">
        <v>130</v>
      </c>
      <c r="D106" s="31" t="s">
        <v>108</v>
      </c>
      <c r="E106" s="32" t="n">
        <v>7086</v>
      </c>
      <c r="F106" s="32"/>
      <c r="G106" s="32"/>
      <c r="H106" s="33" t="n">
        <v>2</v>
      </c>
      <c r="I106" s="34" t="n">
        <f aca="false">E106*H106+N(F106)+N(G106)</f>
        <v>14172</v>
      </c>
      <c r="J106" s="32" t="n">
        <f aca="false">ROUND(IFERROR(ROUND(IF(OR(ISNUMBER(SEARCH("week",C106)),ISNUMBER(SEARCH("minggu",C106))),IFERROR(_xlfn.NUMBERVALUE(SUBSTITUTE(LEFT(TRIM(C106),FIND(" ",TRIM(C106)&amp;" ")-1),",","."),"."),LEFT(SUBSTITUTE(LEFT(TRIM(C106),FIND(" ",TRIM(C106)&amp;" ")-1),",","."),FIND("/",SUBSTITUTE(LEFT(TRIM(C106),FIND(" ",TRIM(C106)&amp;" ")-1),",","."))-1)/MID(SUBSTITUTE(LEFT(TRIM(C106),FIND(" ",TRIM(C106)&amp;" ")-1),",","."),FIND("/",SUBSTITUTE(LEFT(TRIM(C106),FIND(" ",TRIM(C106)&amp;" ")-1),",","."))+1,9))*12/52,IF(ISNUMBER(SEARCH("month",C106)),IFERROR(_xlfn.NUMBERVALUE(SUBSTITUTE(LEFT(TRIM(C106),FIND(" ",TRIM(C106)&amp;" ")-1),",","."),"."),LEFT(SUBSTITUTE(LEFT(TRIM(C106),FIND(" ",TRIM(C106)&amp;" ")-1),",","."),FIND("/",SUBSTITUTE(LEFT(TRIM(C106),FIND(" ",TRIM(C106)&amp;" ")-1),",","."))-1)/MID(SUBSTITUTE(LEFT(TRIM(C106),FIND(" ",TRIM(C106)&amp;" ")-1),",","."),FIND("/",SUBSTITUTE(LEFT(TRIM(C106),FIND(" ",TRIM(C106)&amp;" ")-1),",","."))+1,9)),IF(ISNUMBER(SEARCH("yea",C106)),IFERROR(_xlfn.NUMBERVALUE(SUBSTITUTE(LEFT(TRIM(C106),FIND(" ",TRIM(C106)&amp;" ")-1),",","."),"."),LEFT(SUBSTITUTE(LEFT(TRIM(C106),FIND(" ",TRIM(C106)&amp;" ")-1),",","."),FIND("/",SUBSTITUTE(LEFT(TRIM(C106),FIND(" ",TRIM(C106)&amp;" ")-1),",","."))-1)/MID(SUBSTITUTE(LEFT(TRIM(C106),FIND(" ",TRIM(C106)&amp;" ")-1),",","."),FIND("/",SUBSTITUTE(LEFT(TRIM(C106),FIND(" ",TRIM(C106)&amp;" ")-1),",","."))+1,9))*12,NA()))),0),12)*'Aturan &amp; Tarif'!$B$4,2)</f>
        <v>681.36</v>
      </c>
      <c r="K106" s="32" t="n">
        <f aca="false">'Aturan &amp; Tarif'!$B$5</f>
        <v>2050</v>
      </c>
      <c r="L106" s="35" t="n">
        <f aca="false">I106+J106+K106</f>
        <v>16903.36</v>
      </c>
      <c r="M106" s="37" t="s">
        <v>318</v>
      </c>
    </row>
    <row r="107" customFormat="false" ht="14.25" hidden="false" customHeight="true" outlineLevel="0" collapsed="false">
      <c r="A107" s="29"/>
      <c r="B107" s="30" t="s">
        <v>416</v>
      </c>
      <c r="C107" s="31" t="s">
        <v>130</v>
      </c>
      <c r="D107" s="31" t="s">
        <v>108</v>
      </c>
      <c r="E107" s="32" t="n">
        <v>8906</v>
      </c>
      <c r="F107" s="32"/>
      <c r="G107" s="32"/>
      <c r="H107" s="33" t="n">
        <v>2</v>
      </c>
      <c r="I107" s="34" t="n">
        <f aca="false">E107*H107+N(F107)+N(G107)</f>
        <v>17812</v>
      </c>
      <c r="J107" s="32" t="n">
        <f aca="false">ROUND(IFERROR(ROUND(IF(OR(ISNUMBER(SEARCH("week",C107)),ISNUMBER(SEARCH("minggu",C107))),IFERROR(_xlfn.NUMBERVALUE(SUBSTITUTE(LEFT(TRIM(C107),FIND(" ",TRIM(C107)&amp;" ")-1),",","."),"."),LEFT(SUBSTITUTE(LEFT(TRIM(C107),FIND(" ",TRIM(C107)&amp;" ")-1),",","."),FIND("/",SUBSTITUTE(LEFT(TRIM(C107),FIND(" ",TRIM(C107)&amp;" ")-1),",","."))-1)/MID(SUBSTITUTE(LEFT(TRIM(C107),FIND(" ",TRIM(C107)&amp;" ")-1),",","."),FIND("/",SUBSTITUTE(LEFT(TRIM(C107),FIND(" ",TRIM(C107)&amp;" ")-1),",","."))+1,9))*12/52,IF(ISNUMBER(SEARCH("month",C107)),IFERROR(_xlfn.NUMBERVALUE(SUBSTITUTE(LEFT(TRIM(C107),FIND(" ",TRIM(C107)&amp;" ")-1),",","."),"."),LEFT(SUBSTITUTE(LEFT(TRIM(C107),FIND(" ",TRIM(C107)&amp;" ")-1),",","."),FIND("/",SUBSTITUTE(LEFT(TRIM(C107),FIND(" ",TRIM(C107)&amp;" ")-1),",","."))-1)/MID(SUBSTITUTE(LEFT(TRIM(C107),FIND(" ",TRIM(C107)&amp;" ")-1),",","."),FIND("/",SUBSTITUTE(LEFT(TRIM(C107),FIND(" ",TRIM(C107)&amp;" ")-1),",","."))+1,9)),IF(ISNUMBER(SEARCH("yea",C107)),IFERROR(_xlfn.NUMBERVALUE(SUBSTITUTE(LEFT(TRIM(C107),FIND(" ",TRIM(C107)&amp;" ")-1),",","."),"."),LEFT(SUBSTITUTE(LEFT(TRIM(C107),FIND(" ",TRIM(C107)&amp;" ")-1),",","."),FIND("/",SUBSTITUTE(LEFT(TRIM(C107),FIND(" ",TRIM(C107)&amp;" ")-1),",","."))-1)/MID(SUBSTITUTE(LEFT(TRIM(C107),FIND(" ",TRIM(C107)&amp;" ")-1),",","."),FIND("/",SUBSTITUTE(LEFT(TRIM(C107),FIND(" ",TRIM(C107)&amp;" ")-1),",","."))+1,9))*12,NA()))),0),12)*'Aturan &amp; Tarif'!$B$4,2)</f>
        <v>681.36</v>
      </c>
      <c r="K107" s="32" t="n">
        <f aca="false">'Aturan &amp; Tarif'!$B$5</f>
        <v>2050</v>
      </c>
      <c r="L107" s="35" t="n">
        <f aca="false">I107+J107+K107</f>
        <v>20543.36</v>
      </c>
      <c r="M107" s="37" t="s">
        <v>318</v>
      </c>
    </row>
    <row r="108" customFormat="false" ht="14.25" hidden="false" customHeight="true" outlineLevel="0" collapsed="false">
      <c r="A108" s="29"/>
      <c r="B108" s="30" t="s">
        <v>417</v>
      </c>
      <c r="C108" s="31" t="s">
        <v>130</v>
      </c>
      <c r="D108" s="31" t="s">
        <v>108</v>
      </c>
      <c r="E108" s="32" t="n">
        <v>8906</v>
      </c>
      <c r="F108" s="32"/>
      <c r="G108" s="32"/>
      <c r="H108" s="33" t="n">
        <v>2</v>
      </c>
      <c r="I108" s="34" t="n">
        <f aca="false">E108*H108+N(F108)+N(G108)</f>
        <v>17812</v>
      </c>
      <c r="J108" s="32" t="n">
        <f aca="false">ROUND(IFERROR(ROUND(IF(OR(ISNUMBER(SEARCH("week",C108)),ISNUMBER(SEARCH("minggu",C108))),IFERROR(_xlfn.NUMBERVALUE(SUBSTITUTE(LEFT(TRIM(C108),FIND(" ",TRIM(C108)&amp;" ")-1),",","."),"."),LEFT(SUBSTITUTE(LEFT(TRIM(C108),FIND(" ",TRIM(C108)&amp;" ")-1),",","."),FIND("/",SUBSTITUTE(LEFT(TRIM(C108),FIND(" ",TRIM(C108)&amp;" ")-1),",","."))-1)/MID(SUBSTITUTE(LEFT(TRIM(C108),FIND(" ",TRIM(C108)&amp;" ")-1),",","."),FIND("/",SUBSTITUTE(LEFT(TRIM(C108),FIND(" ",TRIM(C108)&amp;" ")-1),",","."))+1,9))*12/52,IF(ISNUMBER(SEARCH("month",C108)),IFERROR(_xlfn.NUMBERVALUE(SUBSTITUTE(LEFT(TRIM(C108),FIND(" ",TRIM(C108)&amp;" ")-1),",","."),"."),LEFT(SUBSTITUTE(LEFT(TRIM(C108),FIND(" ",TRIM(C108)&amp;" ")-1),",","."),FIND("/",SUBSTITUTE(LEFT(TRIM(C108),FIND(" ",TRIM(C108)&amp;" ")-1),",","."))-1)/MID(SUBSTITUTE(LEFT(TRIM(C108),FIND(" ",TRIM(C108)&amp;" ")-1),",","."),FIND("/",SUBSTITUTE(LEFT(TRIM(C108),FIND(" ",TRIM(C108)&amp;" ")-1),",","."))+1,9)),IF(ISNUMBER(SEARCH("yea",C108)),IFERROR(_xlfn.NUMBERVALUE(SUBSTITUTE(LEFT(TRIM(C108),FIND(" ",TRIM(C108)&amp;" ")-1),",","."),"."),LEFT(SUBSTITUTE(LEFT(TRIM(C108),FIND(" ",TRIM(C108)&amp;" ")-1),",","."),FIND("/",SUBSTITUTE(LEFT(TRIM(C108),FIND(" ",TRIM(C108)&amp;" ")-1),",","."))-1)/MID(SUBSTITUTE(LEFT(TRIM(C108),FIND(" ",TRIM(C108)&amp;" ")-1),",","."),FIND("/",SUBSTITUTE(LEFT(TRIM(C108),FIND(" ",TRIM(C108)&amp;" ")-1),",","."))+1,9))*12,NA()))),0),12)*'Aturan &amp; Tarif'!$B$4,2)</f>
        <v>681.36</v>
      </c>
      <c r="K108" s="32" t="n">
        <f aca="false">'Aturan &amp; Tarif'!$B$5</f>
        <v>2050</v>
      </c>
      <c r="L108" s="35" t="n">
        <f aca="false">I108+J108+K108</f>
        <v>20543.36</v>
      </c>
      <c r="M108" s="37" t="s">
        <v>318</v>
      </c>
    </row>
    <row r="109" customFormat="false" ht="14.25" hidden="false" customHeight="true" outlineLevel="0" collapsed="false">
      <c r="A109" s="29"/>
      <c r="B109" s="30" t="s">
        <v>418</v>
      </c>
      <c r="C109" s="31" t="s">
        <v>130</v>
      </c>
      <c r="D109" s="31" t="s">
        <v>108</v>
      </c>
      <c r="E109" s="32" t="n">
        <v>5780</v>
      </c>
      <c r="F109" s="32"/>
      <c r="G109" s="32"/>
      <c r="H109" s="33" t="n">
        <v>2</v>
      </c>
      <c r="I109" s="34" t="n">
        <f aca="false">E109*H109+N(F109)+N(G109)</f>
        <v>11560</v>
      </c>
      <c r="J109" s="32" t="n">
        <f aca="false">ROUND(IFERROR(ROUND(IF(OR(ISNUMBER(SEARCH("week",C109)),ISNUMBER(SEARCH("minggu",C109))),IFERROR(_xlfn.NUMBERVALUE(SUBSTITUTE(LEFT(TRIM(C109),FIND(" ",TRIM(C109)&amp;" ")-1),",","."),"."),LEFT(SUBSTITUTE(LEFT(TRIM(C109),FIND(" ",TRIM(C109)&amp;" ")-1),",","."),FIND("/",SUBSTITUTE(LEFT(TRIM(C109),FIND(" ",TRIM(C109)&amp;" ")-1),",","."))-1)/MID(SUBSTITUTE(LEFT(TRIM(C109),FIND(" ",TRIM(C109)&amp;" ")-1),",","."),FIND("/",SUBSTITUTE(LEFT(TRIM(C109),FIND(" ",TRIM(C109)&amp;" ")-1),",","."))+1,9))*12/52,IF(ISNUMBER(SEARCH("month",C109)),IFERROR(_xlfn.NUMBERVALUE(SUBSTITUTE(LEFT(TRIM(C109),FIND(" ",TRIM(C109)&amp;" ")-1),",","."),"."),LEFT(SUBSTITUTE(LEFT(TRIM(C109),FIND(" ",TRIM(C109)&amp;" ")-1),",","."),FIND("/",SUBSTITUTE(LEFT(TRIM(C109),FIND(" ",TRIM(C109)&amp;" ")-1),",","."))-1)/MID(SUBSTITUTE(LEFT(TRIM(C109),FIND(" ",TRIM(C109)&amp;" ")-1),",","."),FIND("/",SUBSTITUTE(LEFT(TRIM(C109),FIND(" ",TRIM(C109)&amp;" ")-1),",","."))+1,9)),IF(ISNUMBER(SEARCH("yea",C109)),IFERROR(_xlfn.NUMBERVALUE(SUBSTITUTE(LEFT(TRIM(C109),FIND(" ",TRIM(C109)&amp;" ")-1),",","."),"."),LEFT(SUBSTITUTE(LEFT(TRIM(C109),FIND(" ",TRIM(C109)&amp;" ")-1),",","."),FIND("/",SUBSTITUTE(LEFT(TRIM(C109),FIND(" ",TRIM(C109)&amp;" ")-1),",","."))-1)/MID(SUBSTITUTE(LEFT(TRIM(C109),FIND(" ",TRIM(C109)&amp;" ")-1),",","."),FIND("/",SUBSTITUTE(LEFT(TRIM(C109),FIND(" ",TRIM(C109)&amp;" ")-1),",","."))+1,9))*12,NA()))),0),12)*'Aturan &amp; Tarif'!$B$4,2)</f>
        <v>681.36</v>
      </c>
      <c r="K109" s="32" t="n">
        <f aca="false">'Aturan &amp; Tarif'!$B$5</f>
        <v>2050</v>
      </c>
      <c r="L109" s="35" t="n">
        <f aca="false">I109+J109+K109</f>
        <v>14291.36</v>
      </c>
      <c r="M109" s="37" t="s">
        <v>318</v>
      </c>
    </row>
    <row r="110" customFormat="false" ht="25.5" hidden="false" customHeight="true" outlineLevel="0" collapsed="false">
      <c r="A110" s="29"/>
      <c r="B110" s="30" t="s">
        <v>419</v>
      </c>
      <c r="C110" s="31" t="s">
        <v>130</v>
      </c>
      <c r="D110" s="31" t="s">
        <v>108</v>
      </c>
      <c r="E110" s="32" t="n">
        <v>5000</v>
      </c>
      <c r="F110" s="32"/>
      <c r="G110" s="32"/>
      <c r="H110" s="33" t="n">
        <v>2</v>
      </c>
      <c r="I110" s="34" t="n">
        <f aca="false">E110*H110+N(F110)+N(G110)</f>
        <v>10000</v>
      </c>
      <c r="J110" s="32" t="n">
        <f aca="false">ROUND(IFERROR(ROUND(IF(OR(ISNUMBER(SEARCH("week",C110)),ISNUMBER(SEARCH("minggu",C110))),IFERROR(_xlfn.NUMBERVALUE(SUBSTITUTE(LEFT(TRIM(C110),FIND(" ",TRIM(C110)&amp;" ")-1),",","."),"."),LEFT(SUBSTITUTE(LEFT(TRIM(C110),FIND(" ",TRIM(C110)&amp;" ")-1),",","."),FIND("/",SUBSTITUTE(LEFT(TRIM(C110),FIND(" ",TRIM(C110)&amp;" ")-1),",","."))-1)/MID(SUBSTITUTE(LEFT(TRIM(C110),FIND(" ",TRIM(C110)&amp;" ")-1),",","."),FIND("/",SUBSTITUTE(LEFT(TRIM(C110),FIND(" ",TRIM(C110)&amp;" ")-1),",","."))+1,9))*12/52,IF(ISNUMBER(SEARCH("month",C110)),IFERROR(_xlfn.NUMBERVALUE(SUBSTITUTE(LEFT(TRIM(C110),FIND(" ",TRIM(C110)&amp;" ")-1),",","."),"."),LEFT(SUBSTITUTE(LEFT(TRIM(C110),FIND(" ",TRIM(C110)&amp;" ")-1),",","."),FIND("/",SUBSTITUTE(LEFT(TRIM(C110),FIND(" ",TRIM(C110)&amp;" ")-1),",","."))-1)/MID(SUBSTITUTE(LEFT(TRIM(C110),FIND(" ",TRIM(C110)&amp;" ")-1),",","."),FIND("/",SUBSTITUTE(LEFT(TRIM(C110),FIND(" ",TRIM(C110)&amp;" ")-1),",","."))+1,9)),IF(ISNUMBER(SEARCH("yea",C110)),IFERROR(_xlfn.NUMBERVALUE(SUBSTITUTE(LEFT(TRIM(C110),FIND(" ",TRIM(C110)&amp;" ")-1),",","."),"."),LEFT(SUBSTITUTE(LEFT(TRIM(C110),FIND(" ",TRIM(C110)&amp;" ")-1),",","."),FIND("/",SUBSTITUTE(LEFT(TRIM(C110),FIND(" ",TRIM(C110)&amp;" ")-1),",","."))-1)/MID(SUBSTITUTE(LEFT(TRIM(C110),FIND(" ",TRIM(C110)&amp;" ")-1),",","."),FIND("/",SUBSTITUTE(LEFT(TRIM(C110),FIND(" ",TRIM(C110)&amp;" ")-1),",","."))+1,9))*12,NA()))),0),12)*'Aturan &amp; Tarif'!$B$4,2)</f>
        <v>681.36</v>
      </c>
      <c r="K110" s="32" t="n">
        <f aca="false">'Aturan &amp; Tarif'!$B$5</f>
        <v>2050</v>
      </c>
      <c r="L110" s="35" t="n">
        <f aca="false">I110+J110+K110</f>
        <v>12731.36</v>
      </c>
      <c r="M110" s="37" t="s">
        <v>318</v>
      </c>
    </row>
    <row r="111" customFormat="false" ht="48.75" hidden="false" customHeight="true" outlineLevel="0" collapsed="false">
      <c r="A111" s="29" t="s">
        <v>3478</v>
      </c>
      <c r="B111" s="30" t="s">
        <v>1984</v>
      </c>
      <c r="C111" s="31" t="s">
        <v>127</v>
      </c>
      <c r="D111" s="31" t="s">
        <v>108</v>
      </c>
      <c r="E111" s="32" t="n">
        <v>1750</v>
      </c>
      <c r="F111" s="32" t="n">
        <v>100</v>
      </c>
      <c r="G111" s="32" t="n">
        <v>200</v>
      </c>
      <c r="H111" s="33" t="n">
        <v>2</v>
      </c>
      <c r="I111" s="34" t="n">
        <f aca="false">E111*H111+N(F111)+N(G111)</f>
        <v>3800</v>
      </c>
      <c r="J111" s="32" t="n">
        <f aca="false">ROUND(IFERROR(ROUND(IF(OR(ISNUMBER(SEARCH("week",C111)),ISNUMBER(SEARCH("minggu",C111))),IFERROR(_xlfn.NUMBERVALUE(SUBSTITUTE(LEFT(TRIM(C111),FIND(" ",TRIM(C111)&amp;" ")-1),",","."),"."),LEFT(SUBSTITUTE(LEFT(TRIM(C111),FIND(" ",TRIM(C111)&amp;" ")-1),",","."),FIND("/",SUBSTITUTE(LEFT(TRIM(C111),FIND(" ",TRIM(C111)&amp;" ")-1),",","."))-1)/MID(SUBSTITUTE(LEFT(TRIM(C111),FIND(" ",TRIM(C111)&amp;" ")-1),",","."),FIND("/",SUBSTITUTE(LEFT(TRIM(C111),FIND(" ",TRIM(C111)&amp;" ")-1),",","."))+1,9))*12/52,IF(ISNUMBER(SEARCH("month",C111)),IFERROR(_xlfn.NUMBERVALUE(SUBSTITUTE(LEFT(TRIM(C111),FIND(" ",TRIM(C111)&amp;" ")-1),",","."),"."),LEFT(SUBSTITUTE(LEFT(TRIM(C111),FIND(" ",TRIM(C111)&amp;" ")-1),",","."),FIND("/",SUBSTITUTE(LEFT(TRIM(C111),FIND(" ",TRIM(C111)&amp;" ")-1),",","."))-1)/MID(SUBSTITUTE(LEFT(TRIM(C111),FIND(" ",TRIM(C111)&amp;" ")-1),",","."),FIND("/",SUBSTITUTE(LEFT(TRIM(C111),FIND(" ",TRIM(C111)&amp;" ")-1),",","."))+1,9)),IF(ISNUMBER(SEARCH("yea",C111)),IFERROR(_xlfn.NUMBERVALUE(SUBSTITUTE(LEFT(TRIM(C111),FIND(" ",TRIM(C111)&amp;" ")-1),",","."),"."),LEFT(SUBSTITUTE(LEFT(TRIM(C111),FIND(" ",TRIM(C111)&amp;" ")-1),",","."),FIND("/",SUBSTITUTE(LEFT(TRIM(C111),FIND(" ",TRIM(C111)&amp;" ")-1),",","."))-1)/MID(SUBSTITUTE(LEFT(TRIM(C111),FIND(" ",TRIM(C111)&amp;" ")-1),",","."),FIND("/",SUBSTITUTE(LEFT(TRIM(C111),FIND(" ",TRIM(C111)&amp;" ")-1),",","."))+1,9))*12,NA()))),0),36)*'Aturan &amp; Tarif'!$B$4,2)</f>
        <v>2044.08</v>
      </c>
      <c r="K111" s="32" t="n">
        <f aca="false">'Aturan &amp; Tarif'!$B$5</f>
        <v>2050</v>
      </c>
      <c r="L111" s="35" t="n">
        <f aca="false">I111+J111+K111</f>
        <v>7894.08</v>
      </c>
      <c r="M111" s="36" t="s">
        <v>1985</v>
      </c>
    </row>
    <row r="112" customFormat="false" ht="14.25" hidden="false" customHeight="true" outlineLevel="0" collapsed="false">
      <c r="A112" s="29"/>
      <c r="B112" s="30" t="s">
        <v>1986</v>
      </c>
      <c r="C112" s="31" t="s">
        <v>1987</v>
      </c>
      <c r="D112" s="31" t="s">
        <v>108</v>
      </c>
      <c r="E112" s="32" t="n">
        <v>1750</v>
      </c>
      <c r="F112" s="32" t="n">
        <v>100</v>
      </c>
      <c r="G112" s="32" t="n">
        <v>200</v>
      </c>
      <c r="H112" s="33" t="n">
        <v>2</v>
      </c>
      <c r="I112" s="34" t="n">
        <f aca="false">E112*H112+N(F112)+N(G112)</f>
        <v>3800</v>
      </c>
      <c r="J112" s="32" t="n">
        <f aca="false">ROUND(IFERROR(ROUND(IF(OR(ISNUMBER(SEARCH("week",C112)),ISNUMBER(SEARCH("minggu",C112))),IFERROR(_xlfn.NUMBERVALUE(SUBSTITUTE(LEFT(TRIM(C112),FIND(" ",TRIM(C112)&amp;" ")-1),",","."),"."),LEFT(SUBSTITUTE(LEFT(TRIM(C112),FIND(" ",TRIM(C112)&amp;" ")-1),",","."),FIND("/",SUBSTITUTE(LEFT(TRIM(C112),FIND(" ",TRIM(C112)&amp;" ")-1),",","."))-1)/MID(SUBSTITUTE(LEFT(TRIM(C112),FIND(" ",TRIM(C112)&amp;" ")-1),",","."),FIND("/",SUBSTITUTE(LEFT(TRIM(C112),FIND(" ",TRIM(C112)&amp;" ")-1),",","."))+1,9))*12/52,IF(ISNUMBER(SEARCH("month",C112)),IFERROR(_xlfn.NUMBERVALUE(SUBSTITUTE(LEFT(TRIM(C112),FIND(" ",TRIM(C112)&amp;" ")-1),",","."),"."),LEFT(SUBSTITUTE(LEFT(TRIM(C112),FIND(" ",TRIM(C112)&amp;" ")-1),",","."),FIND("/",SUBSTITUTE(LEFT(TRIM(C112),FIND(" ",TRIM(C112)&amp;" ")-1),",","."))-1)/MID(SUBSTITUTE(LEFT(TRIM(C112),FIND(" ",TRIM(C112)&amp;" ")-1),",","."),FIND("/",SUBSTITUTE(LEFT(TRIM(C112),FIND(" ",TRIM(C112)&amp;" ")-1),",","."))+1,9)),IF(ISNUMBER(SEARCH("yea",C112)),IFERROR(_xlfn.NUMBERVALUE(SUBSTITUTE(LEFT(TRIM(C112),FIND(" ",TRIM(C112)&amp;" ")-1),",","."),"."),LEFT(SUBSTITUTE(LEFT(TRIM(C112),FIND(" ",TRIM(C112)&amp;" ")-1),",","."),FIND("/",SUBSTITUTE(LEFT(TRIM(C112),FIND(" ",TRIM(C112)&amp;" ")-1),",","."))-1)/MID(SUBSTITUTE(LEFT(TRIM(C112),FIND(" ",TRIM(C112)&amp;" ")-1),",","."),FIND("/",SUBSTITUTE(LEFT(TRIM(C112),FIND(" ",TRIM(C112)&amp;" ")-1),",","."))+1,9))*12,NA()))),0),42)*'Aturan &amp; Tarif'!$B$4,2)</f>
        <v>2384.76</v>
      </c>
      <c r="K112" s="32" t="n">
        <f aca="false">'Aturan &amp; Tarif'!$B$5</f>
        <v>2050</v>
      </c>
      <c r="L112" s="35" t="n">
        <f aca="false">I112+J112+K112</f>
        <v>8234.76</v>
      </c>
      <c r="M112" s="37" t="s">
        <v>1988</v>
      </c>
    </row>
    <row r="113" customFormat="false" ht="37.5" hidden="false" customHeight="true" outlineLevel="0" collapsed="false">
      <c r="A113" s="39" t="s">
        <v>420</v>
      </c>
      <c r="B113" s="40" t="s">
        <v>115</v>
      </c>
      <c r="C113" s="41" t="s">
        <v>107</v>
      </c>
      <c r="D113" s="41" t="s">
        <v>108</v>
      </c>
      <c r="E113" s="42" t="n">
        <v>2250</v>
      </c>
      <c r="F113" s="42" t="n">
        <v>250</v>
      </c>
      <c r="G113" s="42" t="n">
        <v>250</v>
      </c>
      <c r="H113" s="43" t="n">
        <v>2</v>
      </c>
      <c r="I113" s="34" t="n">
        <f aca="false">E113*H113+N(F113)*H113+N(G113)</f>
        <v>5250</v>
      </c>
      <c r="J113" s="42" t="n">
        <f aca="false">ROUND(IFERROR(ROUND(IF(OR(ISNUMBER(SEARCH("week",C113)),ISNUMBER(SEARCH("minggu",C113))),IFERROR(_xlfn.NUMBERVALUE(SUBSTITUTE(LEFT(TRIM(C113),FIND(" ",TRIM(C113)&amp;" ")-1),",","."),"."),LEFT(SUBSTITUTE(LEFT(TRIM(C113),FIND(" ",TRIM(C113)&amp;" ")-1),",","."),FIND("/",SUBSTITUTE(LEFT(TRIM(C113),FIND(" ",TRIM(C113)&amp;" ")-1),",","."))-1)/MID(SUBSTITUTE(LEFT(TRIM(C113),FIND(" ",TRIM(C113)&amp;" ")-1),",","."),FIND("/",SUBSTITUTE(LEFT(TRIM(C113),FIND(" ",TRIM(C113)&amp;" ")-1),",","."))+1,9))*12/52,IF(ISNUMBER(SEARCH("month",C113)),IFERROR(_xlfn.NUMBERVALUE(SUBSTITUTE(LEFT(TRIM(C113),FIND(" ",TRIM(C113)&amp;" ")-1),",","."),"."),LEFT(SUBSTITUTE(LEFT(TRIM(C113),FIND(" ",TRIM(C113)&amp;" ")-1),",","."),FIND("/",SUBSTITUTE(LEFT(TRIM(C113),FIND(" ",TRIM(C113)&amp;" ")-1),",","."))-1)/MID(SUBSTITUTE(LEFT(TRIM(C113),FIND(" ",TRIM(C113)&amp;" ")-1),",","."),FIND("/",SUBSTITUTE(LEFT(TRIM(C113),FIND(" ",TRIM(C113)&amp;" ")-1),",","."))+1,9)),IF(ISNUMBER(SEARCH("yea",C113)),IFERROR(_xlfn.NUMBERVALUE(SUBSTITUTE(LEFT(TRIM(C113),FIND(" ",TRIM(C113)&amp;" ")-1),",","."),"."),LEFT(SUBSTITUTE(LEFT(TRIM(C113),FIND(" ",TRIM(C113)&amp;" ")-1),",","."),FIND("/",SUBSTITUTE(LEFT(TRIM(C113),FIND(" ",TRIM(C113)&amp;" ")-1),",","."))-1)/MID(SUBSTITUTE(LEFT(TRIM(C113),FIND(" ",TRIM(C113)&amp;" ")-1),",","."),FIND("/",SUBSTITUTE(LEFT(TRIM(C113),FIND(" ",TRIM(C113)&amp;" ")-1),",","."))+1,9))*12,NA()))),0),24)*'Aturan &amp; Tarif'!$B$4,2)</f>
        <v>1362.72</v>
      </c>
      <c r="K113" s="42" t="n">
        <f aca="false">'Aturan &amp; Tarif'!$B$5</f>
        <v>2050</v>
      </c>
      <c r="L113" s="35" t="n">
        <f aca="false">I113+J113+K113</f>
        <v>8662.72</v>
      </c>
      <c r="M113" s="45" t="s">
        <v>3479</v>
      </c>
    </row>
    <row r="114" customFormat="false" ht="25.5" hidden="false" customHeight="true" outlineLevel="0" collapsed="false">
      <c r="A114" s="39"/>
      <c r="B114" s="40" t="s">
        <v>422</v>
      </c>
      <c r="C114" s="41" t="s">
        <v>113</v>
      </c>
      <c r="D114" s="41" t="s">
        <v>108</v>
      </c>
      <c r="E114" s="42" t="n">
        <v>3041</v>
      </c>
      <c r="F114" s="42" t="n">
        <v>375</v>
      </c>
      <c r="G114" s="42" t="n">
        <v>250</v>
      </c>
      <c r="H114" s="43" t="n">
        <v>2</v>
      </c>
      <c r="I114" s="34" t="n">
        <f aca="false">E114*H114+N(F114)*H114+N(G114)</f>
        <v>7082</v>
      </c>
      <c r="J114" s="42" t="n">
        <f aca="false">ROUND(IFERROR(ROUND(IF(OR(ISNUMBER(SEARCH("week",C114)),ISNUMBER(SEARCH("minggu",C114))),IFERROR(_xlfn.NUMBERVALUE(SUBSTITUTE(LEFT(TRIM(C114),FIND(" ",TRIM(C114)&amp;" ")-1),",","."),"."),LEFT(SUBSTITUTE(LEFT(TRIM(C114),FIND(" ",TRIM(C114)&amp;" ")-1),",","."),FIND("/",SUBSTITUTE(LEFT(TRIM(C114),FIND(" ",TRIM(C114)&amp;" ")-1),",","."))-1)/MID(SUBSTITUTE(LEFT(TRIM(C114),FIND(" ",TRIM(C114)&amp;" ")-1),",","."),FIND("/",SUBSTITUTE(LEFT(TRIM(C114),FIND(" ",TRIM(C114)&amp;" ")-1),",","."))+1,9))*12/52,IF(ISNUMBER(SEARCH("month",C114)),IFERROR(_xlfn.NUMBERVALUE(SUBSTITUTE(LEFT(TRIM(C114),FIND(" ",TRIM(C114)&amp;" ")-1),",","."),"."),LEFT(SUBSTITUTE(LEFT(TRIM(C114),FIND(" ",TRIM(C114)&amp;" ")-1),",","."),FIND("/",SUBSTITUTE(LEFT(TRIM(C114),FIND(" ",TRIM(C114)&amp;" ")-1),",","."))-1)/MID(SUBSTITUTE(LEFT(TRIM(C114),FIND(" ",TRIM(C114)&amp;" ")-1),",","."),FIND("/",SUBSTITUTE(LEFT(TRIM(C114),FIND(" ",TRIM(C114)&amp;" ")-1),",","."))+1,9)),IF(ISNUMBER(SEARCH("yea",C114)),IFERROR(_xlfn.NUMBERVALUE(SUBSTITUTE(LEFT(TRIM(C114),FIND(" ",TRIM(C114)&amp;" ")-1),",","."),"."),LEFT(SUBSTITUTE(LEFT(TRIM(C114),FIND(" ",TRIM(C114)&amp;" ")-1),",","."),FIND("/",SUBSTITUTE(LEFT(TRIM(C114),FIND(" ",TRIM(C114)&amp;" ")-1),",","."))-1)/MID(SUBSTITUTE(LEFT(TRIM(C114),FIND(" ",TRIM(C114)&amp;" ")-1),",","."),FIND("/",SUBSTITUTE(LEFT(TRIM(C114),FIND(" ",TRIM(C114)&amp;" ")-1),",","."))+1,9))*12,NA()))),0),18)*'Aturan &amp; Tarif'!$B$4,2)</f>
        <v>1022.04</v>
      </c>
      <c r="K114" s="42" t="n">
        <f aca="false">'Aturan &amp; Tarif'!$B$5</f>
        <v>2050</v>
      </c>
      <c r="L114" s="35" t="n">
        <f aca="false">I114+J114+K114</f>
        <v>10154.04</v>
      </c>
      <c r="M114" s="44" t="s">
        <v>3480</v>
      </c>
    </row>
    <row r="115" customFormat="false" ht="25.5" hidden="false" customHeight="true" outlineLevel="0" collapsed="false">
      <c r="A115" s="39"/>
      <c r="B115" s="40" t="s">
        <v>424</v>
      </c>
      <c r="C115" s="41" t="s">
        <v>107</v>
      </c>
      <c r="D115" s="41" t="s">
        <v>108</v>
      </c>
      <c r="E115" s="42" t="n">
        <v>3032</v>
      </c>
      <c r="F115" s="42" t="n">
        <v>375</v>
      </c>
      <c r="G115" s="42" t="n">
        <v>250</v>
      </c>
      <c r="H115" s="43" t="n">
        <v>2</v>
      </c>
      <c r="I115" s="34" t="n">
        <f aca="false">E115*H115+N(F115)*H115+N(G115)</f>
        <v>7064</v>
      </c>
      <c r="J115" s="42" t="n">
        <f aca="false">ROUND(IFERROR(ROUND(IF(OR(ISNUMBER(SEARCH("week",C115)),ISNUMBER(SEARCH("minggu",C115))),IFERROR(_xlfn.NUMBERVALUE(SUBSTITUTE(LEFT(TRIM(C115),FIND(" ",TRIM(C115)&amp;" ")-1),",","."),"."),LEFT(SUBSTITUTE(LEFT(TRIM(C115),FIND(" ",TRIM(C115)&amp;" ")-1),",","."),FIND("/",SUBSTITUTE(LEFT(TRIM(C115),FIND(" ",TRIM(C115)&amp;" ")-1),",","."))-1)/MID(SUBSTITUTE(LEFT(TRIM(C115),FIND(" ",TRIM(C115)&amp;" ")-1),",","."),FIND("/",SUBSTITUTE(LEFT(TRIM(C115),FIND(" ",TRIM(C115)&amp;" ")-1),",","."))+1,9))*12/52,IF(ISNUMBER(SEARCH("month",C115)),IFERROR(_xlfn.NUMBERVALUE(SUBSTITUTE(LEFT(TRIM(C115),FIND(" ",TRIM(C115)&amp;" ")-1),",","."),"."),LEFT(SUBSTITUTE(LEFT(TRIM(C115),FIND(" ",TRIM(C115)&amp;" ")-1),",","."),FIND("/",SUBSTITUTE(LEFT(TRIM(C115),FIND(" ",TRIM(C115)&amp;" ")-1),",","."))-1)/MID(SUBSTITUTE(LEFT(TRIM(C115),FIND(" ",TRIM(C115)&amp;" ")-1),",","."),FIND("/",SUBSTITUTE(LEFT(TRIM(C115),FIND(" ",TRIM(C115)&amp;" ")-1),",","."))+1,9)),IF(ISNUMBER(SEARCH("yea",C115)),IFERROR(_xlfn.NUMBERVALUE(SUBSTITUTE(LEFT(TRIM(C115),FIND(" ",TRIM(C115)&amp;" ")-1),",","."),"."),LEFT(SUBSTITUTE(LEFT(TRIM(C115),FIND(" ",TRIM(C115)&amp;" ")-1),",","."),FIND("/",SUBSTITUTE(LEFT(TRIM(C115),FIND(" ",TRIM(C115)&amp;" ")-1),",","."))-1)/MID(SUBSTITUTE(LEFT(TRIM(C115),FIND(" ",TRIM(C115)&amp;" ")-1),",","."),FIND("/",SUBSTITUTE(LEFT(TRIM(C115),FIND(" ",TRIM(C115)&amp;" ")-1),",","."))+1,9))*12,NA()))),0),24)*'Aturan &amp; Tarif'!$B$4,2)</f>
        <v>1362.72</v>
      </c>
      <c r="K115" s="42" t="n">
        <f aca="false">'Aturan &amp; Tarif'!$B$5</f>
        <v>2050</v>
      </c>
      <c r="L115" s="35" t="n">
        <f aca="false">I115+J115+K115</f>
        <v>10476.72</v>
      </c>
      <c r="M115" s="44" t="s">
        <v>3481</v>
      </c>
    </row>
    <row r="116" customFormat="false" ht="25.5" hidden="false" customHeight="true" outlineLevel="0" collapsed="false">
      <c r="A116" s="39"/>
      <c r="B116" s="40" t="s">
        <v>426</v>
      </c>
      <c r="C116" s="41" t="s">
        <v>127</v>
      </c>
      <c r="D116" s="41" t="s">
        <v>108</v>
      </c>
      <c r="E116" s="42" t="n">
        <v>2855</v>
      </c>
      <c r="F116" s="42" t="n">
        <v>375</v>
      </c>
      <c r="G116" s="42" t="n">
        <v>250</v>
      </c>
      <c r="H116" s="43" t="n">
        <v>2</v>
      </c>
      <c r="I116" s="34" t="n">
        <f aca="false">E116*H116+N(F116)*H116+N(G116)</f>
        <v>6710</v>
      </c>
      <c r="J116" s="42" t="n">
        <f aca="false">ROUND(IFERROR(ROUND(IF(OR(ISNUMBER(SEARCH("week",C116)),ISNUMBER(SEARCH("minggu",C116))),IFERROR(_xlfn.NUMBERVALUE(SUBSTITUTE(LEFT(TRIM(C116),FIND(" ",TRIM(C116)&amp;" ")-1),",","."),"."),LEFT(SUBSTITUTE(LEFT(TRIM(C116),FIND(" ",TRIM(C116)&amp;" ")-1),",","."),FIND("/",SUBSTITUTE(LEFT(TRIM(C116),FIND(" ",TRIM(C116)&amp;" ")-1),",","."))-1)/MID(SUBSTITUTE(LEFT(TRIM(C116),FIND(" ",TRIM(C116)&amp;" ")-1),",","."),FIND("/",SUBSTITUTE(LEFT(TRIM(C116),FIND(" ",TRIM(C116)&amp;" ")-1),",","."))+1,9))*12/52,IF(ISNUMBER(SEARCH("month",C116)),IFERROR(_xlfn.NUMBERVALUE(SUBSTITUTE(LEFT(TRIM(C116),FIND(" ",TRIM(C116)&amp;" ")-1),",","."),"."),LEFT(SUBSTITUTE(LEFT(TRIM(C116),FIND(" ",TRIM(C116)&amp;" ")-1),",","."),FIND("/",SUBSTITUTE(LEFT(TRIM(C116),FIND(" ",TRIM(C116)&amp;" ")-1),",","."))-1)/MID(SUBSTITUTE(LEFT(TRIM(C116),FIND(" ",TRIM(C116)&amp;" ")-1),",","."),FIND("/",SUBSTITUTE(LEFT(TRIM(C116),FIND(" ",TRIM(C116)&amp;" ")-1),",","."))+1,9)),IF(ISNUMBER(SEARCH("yea",C116)),IFERROR(_xlfn.NUMBERVALUE(SUBSTITUTE(LEFT(TRIM(C116),FIND(" ",TRIM(C116)&amp;" ")-1),",","."),"."),LEFT(SUBSTITUTE(LEFT(TRIM(C116),FIND(" ",TRIM(C116)&amp;" ")-1),",","."),FIND("/",SUBSTITUTE(LEFT(TRIM(C116),FIND(" ",TRIM(C116)&amp;" ")-1),",","."))-1)/MID(SUBSTITUTE(LEFT(TRIM(C116),FIND(" ",TRIM(C116)&amp;" ")-1),",","."),FIND("/",SUBSTITUTE(LEFT(TRIM(C116),FIND(" ",TRIM(C116)&amp;" ")-1),",","."))+1,9))*12,NA()))),0),36)*'Aturan &amp; Tarif'!$B$4,2)</f>
        <v>2044.08</v>
      </c>
      <c r="K116" s="42" t="n">
        <f aca="false">'Aturan &amp; Tarif'!$B$5</f>
        <v>2050</v>
      </c>
      <c r="L116" s="35" t="n">
        <f aca="false">I116+J116+K116</f>
        <v>10804.08</v>
      </c>
      <c r="M116" s="44" t="s">
        <v>3482</v>
      </c>
    </row>
    <row r="117" customFormat="false" ht="37.5" hidden="false" customHeight="true" outlineLevel="0" collapsed="false">
      <c r="A117" s="39"/>
      <c r="B117" s="40" t="s">
        <v>3483</v>
      </c>
      <c r="C117" s="41" t="s">
        <v>191</v>
      </c>
      <c r="D117" s="41" t="s">
        <v>108</v>
      </c>
      <c r="E117" s="42" t="n">
        <v>2704</v>
      </c>
      <c r="F117" s="42" t="n">
        <v>375</v>
      </c>
      <c r="G117" s="42" t="n">
        <v>250</v>
      </c>
      <c r="H117" s="43" t="n">
        <v>2</v>
      </c>
      <c r="I117" s="34" t="n">
        <f aca="false">E117*H117+N(F117)*H117+N(G117)</f>
        <v>6408</v>
      </c>
      <c r="J117" s="42" t="n">
        <f aca="false">ROUND(IFERROR(ROUND(IF(OR(ISNUMBER(SEARCH("week",C117)),ISNUMBER(SEARCH("minggu",C117))),IFERROR(_xlfn.NUMBERVALUE(SUBSTITUTE(LEFT(TRIM(C117),FIND(" ",TRIM(C117)&amp;" ")-1),",","."),"."),LEFT(SUBSTITUTE(LEFT(TRIM(C117),FIND(" ",TRIM(C117)&amp;" ")-1),",","."),FIND("/",SUBSTITUTE(LEFT(TRIM(C117),FIND(" ",TRIM(C117)&amp;" ")-1),",","."))-1)/MID(SUBSTITUTE(LEFT(TRIM(C117),FIND(" ",TRIM(C117)&amp;" ")-1),",","."),FIND("/",SUBSTITUTE(LEFT(TRIM(C117),FIND(" ",TRIM(C117)&amp;" ")-1),",","."))+1,9))*12/52,IF(ISNUMBER(SEARCH("month",C117)),IFERROR(_xlfn.NUMBERVALUE(SUBSTITUTE(LEFT(TRIM(C117),FIND(" ",TRIM(C117)&amp;" ")-1),",","."),"."),LEFT(SUBSTITUTE(LEFT(TRIM(C117),FIND(" ",TRIM(C117)&amp;" ")-1),",","."),FIND("/",SUBSTITUTE(LEFT(TRIM(C117),FIND(" ",TRIM(C117)&amp;" ")-1),",","."))-1)/MID(SUBSTITUTE(LEFT(TRIM(C117),FIND(" ",TRIM(C117)&amp;" ")-1),",","."),FIND("/",SUBSTITUTE(LEFT(TRIM(C117),FIND(" ",TRIM(C117)&amp;" ")-1),",","."))+1,9)),IF(ISNUMBER(SEARCH("yea",C117)),IFERROR(_xlfn.NUMBERVALUE(SUBSTITUTE(LEFT(TRIM(C117),FIND(" ",TRIM(C117)&amp;" ")-1),",","."),"."),LEFT(SUBSTITUTE(LEFT(TRIM(C117),FIND(" ",TRIM(C117)&amp;" ")-1),",","."),FIND("/",SUBSTITUTE(LEFT(TRIM(C117),FIND(" ",TRIM(C117)&amp;" ")-1),",","."))-1)/MID(SUBSTITUTE(LEFT(TRIM(C117),FIND(" ",TRIM(C117)&amp;" ")-1),",","."),FIND("/",SUBSTITUTE(LEFT(TRIM(C117),FIND(" ",TRIM(C117)&amp;" ")-1),",","."))+1,9))*12,NA()))),0),48)*'Aturan &amp; Tarif'!$B$4,2)</f>
        <v>2725.44</v>
      </c>
      <c r="K117" s="42" t="n">
        <f aca="false">'Aturan &amp; Tarif'!$B$5</f>
        <v>2050</v>
      </c>
      <c r="L117" s="35" t="n">
        <f aca="false">I117+J117+K117</f>
        <v>11183.44</v>
      </c>
      <c r="M117" s="44" t="s">
        <v>3484</v>
      </c>
    </row>
    <row r="118" customFormat="false" ht="25.5" hidden="false" customHeight="true" outlineLevel="0" collapsed="false">
      <c r="A118" s="39"/>
      <c r="B118" s="40" t="s">
        <v>428</v>
      </c>
      <c r="C118" s="41" t="s">
        <v>107</v>
      </c>
      <c r="D118" s="41" t="s">
        <v>108</v>
      </c>
      <c r="E118" s="42" t="n">
        <v>2500</v>
      </c>
      <c r="F118" s="42" t="n">
        <v>110</v>
      </c>
      <c r="G118" s="42" t="n">
        <v>250</v>
      </c>
      <c r="H118" s="43" t="n">
        <v>2</v>
      </c>
      <c r="I118" s="34" t="n">
        <f aca="false">E118*H118+N(F118)*H118+N(G118)</f>
        <v>5470</v>
      </c>
      <c r="J118" s="42" t="n">
        <f aca="false">ROUND(IFERROR(ROUND(IF(OR(ISNUMBER(SEARCH("week",C118)),ISNUMBER(SEARCH("minggu",C118))),IFERROR(_xlfn.NUMBERVALUE(SUBSTITUTE(LEFT(TRIM(C118),FIND(" ",TRIM(C118)&amp;" ")-1),",","."),"."),LEFT(SUBSTITUTE(LEFT(TRIM(C118),FIND(" ",TRIM(C118)&amp;" ")-1),",","."),FIND("/",SUBSTITUTE(LEFT(TRIM(C118),FIND(" ",TRIM(C118)&amp;" ")-1),",","."))-1)/MID(SUBSTITUTE(LEFT(TRIM(C118),FIND(" ",TRIM(C118)&amp;" ")-1),",","."),FIND("/",SUBSTITUTE(LEFT(TRIM(C118),FIND(" ",TRIM(C118)&amp;" ")-1),",","."))+1,9))*12/52,IF(ISNUMBER(SEARCH("month",C118)),IFERROR(_xlfn.NUMBERVALUE(SUBSTITUTE(LEFT(TRIM(C118),FIND(" ",TRIM(C118)&amp;" ")-1),",","."),"."),LEFT(SUBSTITUTE(LEFT(TRIM(C118),FIND(" ",TRIM(C118)&amp;" ")-1),",","."),FIND("/",SUBSTITUTE(LEFT(TRIM(C118),FIND(" ",TRIM(C118)&amp;" ")-1),",","."))-1)/MID(SUBSTITUTE(LEFT(TRIM(C118),FIND(" ",TRIM(C118)&amp;" ")-1),",","."),FIND("/",SUBSTITUTE(LEFT(TRIM(C118),FIND(" ",TRIM(C118)&amp;" ")-1),",","."))+1,9)),IF(ISNUMBER(SEARCH("yea",C118)),IFERROR(_xlfn.NUMBERVALUE(SUBSTITUTE(LEFT(TRIM(C118),FIND(" ",TRIM(C118)&amp;" ")-1),",","."),"."),LEFT(SUBSTITUTE(LEFT(TRIM(C118),FIND(" ",TRIM(C118)&amp;" ")-1),",","."),FIND("/",SUBSTITUTE(LEFT(TRIM(C118),FIND(" ",TRIM(C118)&amp;" ")-1),",","."))-1)/MID(SUBSTITUTE(LEFT(TRIM(C118),FIND(" ",TRIM(C118)&amp;" ")-1),",","."),FIND("/",SUBSTITUTE(LEFT(TRIM(C118),FIND(" ",TRIM(C118)&amp;" ")-1),",","."))+1,9))*12,NA()))),0),24)*'Aturan &amp; Tarif'!$B$4,2)</f>
        <v>1362.72</v>
      </c>
      <c r="K118" s="42" t="n">
        <f aca="false">'Aturan &amp; Tarif'!$B$5</f>
        <v>2050</v>
      </c>
      <c r="L118" s="35" t="n">
        <f aca="false">I118+J118+K118</f>
        <v>8882.72</v>
      </c>
      <c r="M118" s="44" t="s">
        <v>3485</v>
      </c>
    </row>
    <row r="119" customFormat="false" ht="25.5" hidden="false" customHeight="true" outlineLevel="0" collapsed="false">
      <c r="A119" s="39"/>
      <c r="B119" s="40" t="s">
        <v>430</v>
      </c>
      <c r="C119" s="41" t="s">
        <v>127</v>
      </c>
      <c r="D119" s="41" t="s">
        <v>108</v>
      </c>
      <c r="E119" s="42" t="n">
        <v>2084</v>
      </c>
      <c r="F119" s="42" t="n">
        <v>2000</v>
      </c>
      <c r="G119" s="42" t="n">
        <v>250</v>
      </c>
      <c r="H119" s="43" t="n">
        <v>2</v>
      </c>
      <c r="I119" s="34" t="n">
        <f aca="false">E119*H119+N(F119)+N(G119)</f>
        <v>6418</v>
      </c>
      <c r="J119" s="42" t="n">
        <f aca="false">ROUND(IFERROR(ROUND(IF(OR(ISNUMBER(SEARCH("week",C119)),ISNUMBER(SEARCH("minggu",C119))),IFERROR(_xlfn.NUMBERVALUE(SUBSTITUTE(LEFT(TRIM(C119),FIND(" ",TRIM(C119)&amp;" ")-1),",","."),"."),LEFT(SUBSTITUTE(LEFT(TRIM(C119),FIND(" ",TRIM(C119)&amp;" ")-1),",","."),FIND("/",SUBSTITUTE(LEFT(TRIM(C119),FIND(" ",TRIM(C119)&amp;" ")-1),",","."))-1)/MID(SUBSTITUTE(LEFT(TRIM(C119),FIND(" ",TRIM(C119)&amp;" ")-1),",","."),FIND("/",SUBSTITUTE(LEFT(TRIM(C119),FIND(" ",TRIM(C119)&amp;" ")-1),",","."))+1,9))*12/52,IF(ISNUMBER(SEARCH("month",C119)),IFERROR(_xlfn.NUMBERVALUE(SUBSTITUTE(LEFT(TRIM(C119),FIND(" ",TRIM(C119)&amp;" ")-1),",","."),"."),LEFT(SUBSTITUTE(LEFT(TRIM(C119),FIND(" ",TRIM(C119)&amp;" ")-1),",","."),FIND("/",SUBSTITUTE(LEFT(TRIM(C119),FIND(" ",TRIM(C119)&amp;" ")-1),",","."))-1)/MID(SUBSTITUTE(LEFT(TRIM(C119),FIND(" ",TRIM(C119)&amp;" ")-1),",","."),FIND("/",SUBSTITUTE(LEFT(TRIM(C119),FIND(" ",TRIM(C119)&amp;" ")-1),",","."))+1,9)),IF(ISNUMBER(SEARCH("yea",C119)),IFERROR(_xlfn.NUMBERVALUE(SUBSTITUTE(LEFT(TRIM(C119),FIND(" ",TRIM(C119)&amp;" ")-1),",","."),"."),LEFT(SUBSTITUTE(LEFT(TRIM(C119),FIND(" ",TRIM(C119)&amp;" ")-1),",","."),FIND("/",SUBSTITUTE(LEFT(TRIM(C119),FIND(" ",TRIM(C119)&amp;" ")-1),",","."))-1)/MID(SUBSTITUTE(LEFT(TRIM(C119),FIND(" ",TRIM(C119)&amp;" ")-1),",","."),FIND("/",SUBSTITUTE(LEFT(TRIM(C119),FIND(" ",TRIM(C119)&amp;" ")-1),",","."))+1,9))*12,NA()))),0),36)*'Aturan &amp; Tarif'!$B$4,2)</f>
        <v>2044.08</v>
      </c>
      <c r="K119" s="42" t="n">
        <f aca="false">'Aturan &amp; Tarif'!$B$5</f>
        <v>2050</v>
      </c>
      <c r="L119" s="35" t="n">
        <f aca="false">I119+J119+K119</f>
        <v>10512.08</v>
      </c>
      <c r="M119" s="45" t="s">
        <v>3486</v>
      </c>
    </row>
    <row r="120" customFormat="false" ht="25.5" hidden="false" customHeight="true" outlineLevel="0" collapsed="false">
      <c r="A120" s="39"/>
      <c r="B120" s="40" t="s">
        <v>432</v>
      </c>
      <c r="C120" s="41" t="s">
        <v>2172</v>
      </c>
      <c r="D120" s="41" t="s">
        <v>108</v>
      </c>
      <c r="E120" s="42" t="n">
        <v>1917</v>
      </c>
      <c r="F120" s="42" t="n">
        <v>2400</v>
      </c>
      <c r="G120" s="42" t="n">
        <v>250</v>
      </c>
      <c r="H120" s="43" t="n">
        <v>2</v>
      </c>
      <c r="I120" s="34" t="n">
        <f aca="false">E120*H120+N(F120)+N(G120)</f>
        <v>6484</v>
      </c>
      <c r="J120" s="42" t="n">
        <f aca="false">ROUND(IFERROR(ROUND(IF(OR(ISNUMBER(SEARCH("week",C120)),ISNUMBER(SEARCH("minggu",C120))),IFERROR(_xlfn.NUMBERVALUE(SUBSTITUTE(LEFT(TRIM(C120),FIND(" ",TRIM(C120)&amp;" ")-1),",","."),"."),LEFT(SUBSTITUTE(LEFT(TRIM(C120),FIND(" ",TRIM(C120)&amp;" ")-1),",","."),FIND("/",SUBSTITUTE(LEFT(TRIM(C120),FIND(" ",TRIM(C120)&amp;" ")-1),",","."))-1)/MID(SUBSTITUTE(LEFT(TRIM(C120),FIND(" ",TRIM(C120)&amp;" ")-1),",","."),FIND("/",SUBSTITUTE(LEFT(TRIM(C120),FIND(" ",TRIM(C120)&amp;" ")-1),",","."))+1,9))*12/52,IF(ISNUMBER(SEARCH("month",C120)),IFERROR(_xlfn.NUMBERVALUE(SUBSTITUTE(LEFT(TRIM(C120),FIND(" ",TRIM(C120)&amp;" ")-1),",","."),"."),LEFT(SUBSTITUTE(LEFT(TRIM(C120),FIND(" ",TRIM(C120)&amp;" ")-1),",","."),FIND("/",SUBSTITUTE(LEFT(TRIM(C120),FIND(" ",TRIM(C120)&amp;" ")-1),",","."))-1)/MID(SUBSTITUTE(LEFT(TRIM(C120),FIND(" ",TRIM(C120)&amp;" ")-1),",","."),FIND("/",SUBSTITUTE(LEFT(TRIM(C120),FIND(" ",TRIM(C120)&amp;" ")-1),",","."))+1,9)),IF(ISNUMBER(SEARCH("yea",C120)),IFERROR(_xlfn.NUMBERVALUE(SUBSTITUTE(LEFT(TRIM(C120),FIND(" ",TRIM(C120)&amp;" ")-1),",","."),"."),LEFT(SUBSTITUTE(LEFT(TRIM(C120),FIND(" ",TRIM(C120)&amp;" ")-1),",","."),FIND("/",SUBSTITUTE(LEFT(TRIM(C120),FIND(" ",TRIM(C120)&amp;" ")-1),",","."))-1)/MID(SUBSTITUTE(LEFT(TRIM(C120),FIND(" ",TRIM(C120)&amp;" ")-1),",","."),FIND("/",SUBSTITUTE(LEFT(TRIM(C120),FIND(" ",TRIM(C120)&amp;" ")-1),",","."))+1,9))*12,NA()))),0),36)*'Aturan &amp; Tarif'!$B$4,2)</f>
        <v>2044.08</v>
      </c>
      <c r="K120" s="42" t="n">
        <f aca="false">'Aturan &amp; Tarif'!$B$5</f>
        <v>2050</v>
      </c>
      <c r="L120" s="35" t="n">
        <f aca="false">I120+J120+K120</f>
        <v>10578.08</v>
      </c>
      <c r="M120" s="45" t="s">
        <v>3487</v>
      </c>
    </row>
    <row r="121" customFormat="false" ht="14.25" hidden="false" customHeight="true" outlineLevel="0" collapsed="false">
      <c r="A121" s="39"/>
      <c r="B121" s="40" t="s">
        <v>434</v>
      </c>
      <c r="C121" s="41" t="s">
        <v>107</v>
      </c>
      <c r="D121" s="41" t="s">
        <v>108</v>
      </c>
      <c r="E121" s="42" t="n">
        <v>1500</v>
      </c>
      <c r="F121" s="42" t="n">
        <v>600</v>
      </c>
      <c r="G121" s="42" t="n">
        <v>250</v>
      </c>
      <c r="H121" s="43" t="n">
        <v>2</v>
      </c>
      <c r="I121" s="34" t="n">
        <f aca="false">E121*H121+N(F121)+N(G121)</f>
        <v>3850</v>
      </c>
      <c r="J121" s="42" t="n">
        <f aca="false">ROUND(IFERROR(ROUND(IF(OR(ISNUMBER(SEARCH("week",C121)),ISNUMBER(SEARCH("minggu",C121))),IFERROR(_xlfn.NUMBERVALUE(SUBSTITUTE(LEFT(TRIM(C121),FIND(" ",TRIM(C121)&amp;" ")-1),",","."),"."),LEFT(SUBSTITUTE(LEFT(TRIM(C121),FIND(" ",TRIM(C121)&amp;" ")-1),",","."),FIND("/",SUBSTITUTE(LEFT(TRIM(C121),FIND(" ",TRIM(C121)&amp;" ")-1),",","."))-1)/MID(SUBSTITUTE(LEFT(TRIM(C121),FIND(" ",TRIM(C121)&amp;" ")-1),",","."),FIND("/",SUBSTITUTE(LEFT(TRIM(C121),FIND(" ",TRIM(C121)&amp;" ")-1),",","."))+1,9))*12/52,IF(ISNUMBER(SEARCH("month",C121)),IFERROR(_xlfn.NUMBERVALUE(SUBSTITUTE(LEFT(TRIM(C121),FIND(" ",TRIM(C121)&amp;" ")-1),",","."),"."),LEFT(SUBSTITUTE(LEFT(TRIM(C121),FIND(" ",TRIM(C121)&amp;" ")-1),",","."),FIND("/",SUBSTITUTE(LEFT(TRIM(C121),FIND(" ",TRIM(C121)&amp;" ")-1),",","."))-1)/MID(SUBSTITUTE(LEFT(TRIM(C121),FIND(" ",TRIM(C121)&amp;" ")-1),",","."),FIND("/",SUBSTITUTE(LEFT(TRIM(C121),FIND(" ",TRIM(C121)&amp;" ")-1),",","."))+1,9)),IF(ISNUMBER(SEARCH("yea",C121)),IFERROR(_xlfn.NUMBERVALUE(SUBSTITUTE(LEFT(TRIM(C121),FIND(" ",TRIM(C121)&amp;" ")-1),",","."),"."),LEFT(SUBSTITUTE(LEFT(TRIM(C121),FIND(" ",TRIM(C121)&amp;" ")-1),",","."),FIND("/",SUBSTITUTE(LEFT(TRIM(C121),FIND(" ",TRIM(C121)&amp;" ")-1),",","."))-1)/MID(SUBSTITUTE(LEFT(TRIM(C121),FIND(" ",TRIM(C121)&amp;" ")-1),",","."),FIND("/",SUBSTITUTE(LEFT(TRIM(C121),FIND(" ",TRIM(C121)&amp;" ")-1),",","."))+1,9))*12,NA()))),0),24)*'Aturan &amp; Tarif'!$B$4,2)</f>
        <v>1362.72</v>
      </c>
      <c r="K121" s="42" t="n">
        <f aca="false">'Aturan &amp; Tarif'!$B$5</f>
        <v>2050</v>
      </c>
      <c r="L121" s="35" t="n">
        <f aca="false">I121+J121+K121</f>
        <v>7262.72</v>
      </c>
      <c r="M121" s="45" t="s">
        <v>435</v>
      </c>
    </row>
    <row r="122" customFormat="false" ht="32.25" hidden="false" customHeight="true" outlineLevel="0" collapsed="false">
      <c r="A122" s="47" t="s">
        <v>437</v>
      </c>
      <c r="B122" s="40" t="s">
        <v>438</v>
      </c>
      <c r="C122" s="41" t="s">
        <v>127</v>
      </c>
      <c r="D122" s="41" t="s">
        <v>439</v>
      </c>
      <c r="E122" s="42" t="n">
        <v>12760</v>
      </c>
      <c r="F122" s="42"/>
      <c r="G122" s="42" t="n">
        <v>192</v>
      </c>
      <c r="H122" s="43" t="n">
        <v>1</v>
      </c>
      <c r="I122" s="34" t="n">
        <f aca="false">E122*H122+N(F122)+N(G122)</f>
        <v>12952</v>
      </c>
      <c r="J122" s="42" t="n">
        <f aca="false">ROUND(IFERROR(ROUND(IF(OR(ISNUMBER(SEARCH("week",C122)),ISNUMBER(SEARCH("minggu",C122))),IFERROR(_xlfn.NUMBERVALUE(SUBSTITUTE(LEFT(TRIM(C122),FIND(" ",TRIM(C122)&amp;" ")-1),",","."),"."),LEFT(SUBSTITUTE(LEFT(TRIM(C122),FIND(" ",TRIM(C122)&amp;" ")-1),",","."),FIND("/",SUBSTITUTE(LEFT(TRIM(C122),FIND(" ",TRIM(C122)&amp;" ")-1),",","."))-1)/MID(SUBSTITUTE(LEFT(TRIM(C122),FIND(" ",TRIM(C122)&amp;" ")-1),",","."),FIND("/",SUBSTITUTE(LEFT(TRIM(C122),FIND(" ",TRIM(C122)&amp;" ")-1),",","."))+1,9))*12/52,IF(ISNUMBER(SEARCH("month",C122)),IFERROR(_xlfn.NUMBERVALUE(SUBSTITUTE(LEFT(TRIM(C122),FIND(" ",TRIM(C122)&amp;" ")-1),",","."),"."),LEFT(SUBSTITUTE(LEFT(TRIM(C122),FIND(" ",TRIM(C122)&amp;" ")-1),",","."),FIND("/",SUBSTITUTE(LEFT(TRIM(C122),FIND(" ",TRIM(C122)&amp;" ")-1),",","."))-1)/MID(SUBSTITUTE(LEFT(TRIM(C122),FIND(" ",TRIM(C122)&amp;" ")-1),",","."),FIND("/",SUBSTITUTE(LEFT(TRIM(C122),FIND(" ",TRIM(C122)&amp;" ")-1),",","."))+1,9)),IF(ISNUMBER(SEARCH("yea",C122)),IFERROR(_xlfn.NUMBERVALUE(SUBSTITUTE(LEFT(TRIM(C122),FIND(" ",TRIM(C122)&amp;" ")-1),",","."),"."),LEFT(SUBSTITUTE(LEFT(TRIM(C122),FIND(" ",TRIM(C122)&amp;" ")-1),",","."),FIND("/",SUBSTITUTE(LEFT(TRIM(C122),FIND(" ",TRIM(C122)&amp;" ")-1),",","."))-1)/MID(SUBSTITUTE(LEFT(TRIM(C122),FIND(" ",TRIM(C122)&amp;" ")-1),",","."),FIND("/",SUBSTITUTE(LEFT(TRIM(C122),FIND(" ",TRIM(C122)&amp;" ")-1),",","."))+1,9))*12,NA()))),0),36)*'Aturan &amp; Tarif'!$B$4,2)</f>
        <v>2044.08</v>
      </c>
      <c r="K122" s="42" t="n">
        <f aca="false">'Aturan &amp; Tarif'!$B$5</f>
        <v>2050</v>
      </c>
      <c r="L122" s="35" t="n">
        <f aca="false">I122+J122+K122</f>
        <v>17046.08</v>
      </c>
      <c r="M122" s="51" t="s">
        <v>440</v>
      </c>
    </row>
    <row r="123" customFormat="false" ht="12.75" hidden="false" customHeight="true" outlineLevel="0" collapsed="false">
      <c r="A123" s="39"/>
      <c r="B123" s="40" t="s">
        <v>441</v>
      </c>
      <c r="C123" s="41" t="s">
        <v>113</v>
      </c>
      <c r="D123" s="41" t="s">
        <v>439</v>
      </c>
      <c r="E123" s="42" t="n">
        <v>12760</v>
      </c>
      <c r="F123" s="42"/>
      <c r="G123" s="42" t="n">
        <v>192</v>
      </c>
      <c r="H123" s="43" t="n">
        <v>1</v>
      </c>
      <c r="I123" s="34" t="n">
        <f aca="false">E123*H123+N(F123)+N(G123)</f>
        <v>12952</v>
      </c>
      <c r="J123" s="42" t="n">
        <f aca="false">ROUND(IFERROR(ROUND(IF(OR(ISNUMBER(SEARCH("week",C123)),ISNUMBER(SEARCH("minggu",C123))),IFERROR(_xlfn.NUMBERVALUE(SUBSTITUTE(LEFT(TRIM(C123),FIND(" ",TRIM(C123)&amp;" ")-1),",","."),"."),LEFT(SUBSTITUTE(LEFT(TRIM(C123),FIND(" ",TRIM(C123)&amp;" ")-1),",","."),FIND("/",SUBSTITUTE(LEFT(TRIM(C123),FIND(" ",TRIM(C123)&amp;" ")-1),",","."))-1)/MID(SUBSTITUTE(LEFT(TRIM(C123),FIND(" ",TRIM(C123)&amp;" ")-1),",","."),FIND("/",SUBSTITUTE(LEFT(TRIM(C123),FIND(" ",TRIM(C123)&amp;" ")-1),",","."))+1,9))*12/52,IF(ISNUMBER(SEARCH("month",C123)),IFERROR(_xlfn.NUMBERVALUE(SUBSTITUTE(LEFT(TRIM(C123),FIND(" ",TRIM(C123)&amp;" ")-1),",","."),"."),LEFT(SUBSTITUTE(LEFT(TRIM(C123),FIND(" ",TRIM(C123)&amp;" ")-1),",","."),FIND("/",SUBSTITUTE(LEFT(TRIM(C123),FIND(" ",TRIM(C123)&amp;" ")-1),",","."))-1)/MID(SUBSTITUTE(LEFT(TRIM(C123),FIND(" ",TRIM(C123)&amp;" ")-1),",","."),FIND("/",SUBSTITUTE(LEFT(TRIM(C123),FIND(" ",TRIM(C123)&amp;" ")-1),",","."))+1,9)),IF(ISNUMBER(SEARCH("yea",C123)),IFERROR(_xlfn.NUMBERVALUE(SUBSTITUTE(LEFT(TRIM(C123),FIND(" ",TRIM(C123)&amp;" ")-1),",","."),"."),LEFT(SUBSTITUTE(LEFT(TRIM(C123),FIND(" ",TRIM(C123)&amp;" ")-1),",","."),FIND("/",SUBSTITUTE(LEFT(TRIM(C123),FIND(" ",TRIM(C123)&amp;" ")-1),",","."))-1)/MID(SUBSTITUTE(LEFT(TRIM(C123),FIND(" ",TRIM(C123)&amp;" ")-1),",","."),FIND("/",SUBSTITUTE(LEFT(TRIM(C123),FIND(" ",TRIM(C123)&amp;" ")-1),",","."))+1,9))*12,NA()))),0),18)*'Aturan &amp; Tarif'!$B$4,2)</f>
        <v>1022.04</v>
      </c>
      <c r="K123" s="42" t="n">
        <f aca="false">'Aturan &amp; Tarif'!$B$5</f>
        <v>2050</v>
      </c>
      <c r="L123" s="35" t="n">
        <f aca="false">I123+J123+K123</f>
        <v>16024.04</v>
      </c>
      <c r="M123" s="51" t="s">
        <v>440</v>
      </c>
    </row>
    <row r="124" customFormat="false" ht="12.75" hidden="false" customHeight="true" outlineLevel="0" collapsed="false">
      <c r="A124" s="39"/>
      <c r="B124" s="40" t="s">
        <v>442</v>
      </c>
      <c r="C124" s="41" t="s">
        <v>113</v>
      </c>
      <c r="D124" s="41" t="s">
        <v>439</v>
      </c>
      <c r="E124" s="42" t="n">
        <v>12760</v>
      </c>
      <c r="F124" s="42"/>
      <c r="G124" s="42" t="n">
        <v>192</v>
      </c>
      <c r="H124" s="43" t="n">
        <v>1</v>
      </c>
      <c r="I124" s="34" t="n">
        <f aca="false">E124*H124+N(F124)+N(G124)</f>
        <v>12952</v>
      </c>
      <c r="J124" s="42" t="n">
        <f aca="false">ROUND(IFERROR(ROUND(IF(OR(ISNUMBER(SEARCH("week",C124)),ISNUMBER(SEARCH("minggu",C124))),IFERROR(_xlfn.NUMBERVALUE(SUBSTITUTE(LEFT(TRIM(C124),FIND(" ",TRIM(C124)&amp;" ")-1),",","."),"."),LEFT(SUBSTITUTE(LEFT(TRIM(C124),FIND(" ",TRIM(C124)&amp;" ")-1),",","."),FIND("/",SUBSTITUTE(LEFT(TRIM(C124),FIND(" ",TRIM(C124)&amp;" ")-1),",","."))-1)/MID(SUBSTITUTE(LEFT(TRIM(C124),FIND(" ",TRIM(C124)&amp;" ")-1),",","."),FIND("/",SUBSTITUTE(LEFT(TRIM(C124),FIND(" ",TRIM(C124)&amp;" ")-1),",","."))+1,9))*12/52,IF(ISNUMBER(SEARCH("month",C124)),IFERROR(_xlfn.NUMBERVALUE(SUBSTITUTE(LEFT(TRIM(C124),FIND(" ",TRIM(C124)&amp;" ")-1),",","."),"."),LEFT(SUBSTITUTE(LEFT(TRIM(C124),FIND(" ",TRIM(C124)&amp;" ")-1),",","."),FIND("/",SUBSTITUTE(LEFT(TRIM(C124),FIND(" ",TRIM(C124)&amp;" ")-1),",","."))-1)/MID(SUBSTITUTE(LEFT(TRIM(C124),FIND(" ",TRIM(C124)&amp;" ")-1),",","."),FIND("/",SUBSTITUTE(LEFT(TRIM(C124),FIND(" ",TRIM(C124)&amp;" ")-1),",","."))+1,9)),IF(ISNUMBER(SEARCH("yea",C124)),IFERROR(_xlfn.NUMBERVALUE(SUBSTITUTE(LEFT(TRIM(C124),FIND(" ",TRIM(C124)&amp;" ")-1),",","."),"."),LEFT(SUBSTITUTE(LEFT(TRIM(C124),FIND(" ",TRIM(C124)&amp;" ")-1),",","."),FIND("/",SUBSTITUTE(LEFT(TRIM(C124),FIND(" ",TRIM(C124)&amp;" ")-1),",","."))-1)/MID(SUBSTITUTE(LEFT(TRIM(C124),FIND(" ",TRIM(C124)&amp;" ")-1),",","."),FIND("/",SUBSTITUTE(LEFT(TRIM(C124),FIND(" ",TRIM(C124)&amp;" ")-1),",","."))+1,9))*12,NA()))),0),18)*'Aturan &amp; Tarif'!$B$4,2)</f>
        <v>1022.04</v>
      </c>
      <c r="K124" s="42" t="n">
        <f aca="false">'Aturan &amp; Tarif'!$B$5</f>
        <v>2050</v>
      </c>
      <c r="L124" s="35" t="n">
        <f aca="false">I124+J124+K124</f>
        <v>16024.04</v>
      </c>
      <c r="M124" s="51" t="s">
        <v>440</v>
      </c>
    </row>
    <row r="125" customFormat="false" ht="83.25" hidden="false" customHeight="true" outlineLevel="0" collapsed="false">
      <c r="A125" s="39" t="s">
        <v>443</v>
      </c>
      <c r="B125" s="40" t="s">
        <v>444</v>
      </c>
      <c r="C125" s="41" t="s">
        <v>107</v>
      </c>
      <c r="D125" s="41" t="s">
        <v>108</v>
      </c>
      <c r="E125" s="42" t="n">
        <v>7225</v>
      </c>
      <c r="F125" s="42" t="n">
        <v>400</v>
      </c>
      <c r="G125" s="42" t="n">
        <v>350</v>
      </c>
      <c r="H125" s="43" t="n">
        <v>2</v>
      </c>
      <c r="I125" s="34" t="n">
        <f aca="false">E125*H125+N(F125)+N(G125)</f>
        <v>15200</v>
      </c>
      <c r="J125" s="42" t="n">
        <f aca="false">ROUND(IFERROR(ROUND(IF(OR(ISNUMBER(SEARCH("week",C125)),ISNUMBER(SEARCH("minggu",C125))),IFERROR(_xlfn.NUMBERVALUE(SUBSTITUTE(LEFT(TRIM(C125),FIND(" ",TRIM(C125)&amp;" ")-1),",","."),"."),LEFT(SUBSTITUTE(LEFT(TRIM(C125),FIND(" ",TRIM(C125)&amp;" ")-1),",","."),FIND("/",SUBSTITUTE(LEFT(TRIM(C125),FIND(" ",TRIM(C125)&amp;" ")-1),",","."))-1)/MID(SUBSTITUTE(LEFT(TRIM(C125),FIND(" ",TRIM(C125)&amp;" ")-1),",","."),FIND("/",SUBSTITUTE(LEFT(TRIM(C125),FIND(" ",TRIM(C125)&amp;" ")-1),",","."))+1,9))*12/52,IF(ISNUMBER(SEARCH("month",C125)),IFERROR(_xlfn.NUMBERVALUE(SUBSTITUTE(LEFT(TRIM(C125),FIND(" ",TRIM(C125)&amp;" ")-1),",","."),"."),LEFT(SUBSTITUTE(LEFT(TRIM(C125),FIND(" ",TRIM(C125)&amp;" ")-1),",","."),FIND("/",SUBSTITUTE(LEFT(TRIM(C125),FIND(" ",TRIM(C125)&amp;" ")-1),",","."))-1)/MID(SUBSTITUTE(LEFT(TRIM(C125),FIND(" ",TRIM(C125)&amp;" ")-1),",","."),FIND("/",SUBSTITUTE(LEFT(TRIM(C125),FIND(" ",TRIM(C125)&amp;" ")-1),",","."))+1,9)),IF(ISNUMBER(SEARCH("yea",C125)),IFERROR(_xlfn.NUMBERVALUE(SUBSTITUTE(LEFT(TRIM(C125),FIND(" ",TRIM(C125)&amp;" ")-1),",","."),"."),LEFT(SUBSTITUTE(LEFT(TRIM(C125),FIND(" ",TRIM(C125)&amp;" ")-1),",","."),FIND("/",SUBSTITUTE(LEFT(TRIM(C125),FIND(" ",TRIM(C125)&amp;" ")-1),",","."))-1)/MID(SUBSTITUTE(LEFT(TRIM(C125),FIND(" ",TRIM(C125)&amp;" ")-1),",","."),FIND("/",SUBSTITUTE(LEFT(TRIM(C125),FIND(" ",TRIM(C125)&amp;" ")-1),",","."))+1,9))*12,NA()))),0),24)*'Aturan &amp; Tarif'!$B$4,2)</f>
        <v>1362.72</v>
      </c>
      <c r="K125" s="42" t="n">
        <f aca="false">'Aturan &amp; Tarif'!$B$5</f>
        <v>2050</v>
      </c>
      <c r="L125" s="35" t="n">
        <f aca="false">I125+J125+K125</f>
        <v>18612.72</v>
      </c>
      <c r="M125" s="44" t="s">
        <v>445</v>
      </c>
    </row>
    <row r="126" customFormat="false" ht="60" hidden="false" customHeight="true" outlineLevel="0" collapsed="false">
      <c r="A126" s="39"/>
      <c r="B126" s="40" t="s">
        <v>446</v>
      </c>
      <c r="C126" s="41" t="s">
        <v>107</v>
      </c>
      <c r="D126" s="41" t="s">
        <v>108</v>
      </c>
      <c r="E126" s="42" t="n">
        <v>7225</v>
      </c>
      <c r="F126" s="42" t="n">
        <v>400</v>
      </c>
      <c r="G126" s="42" t="n">
        <v>350</v>
      </c>
      <c r="H126" s="43" t="n">
        <v>2</v>
      </c>
      <c r="I126" s="34" t="n">
        <f aca="false">E126*H126+N(F126)+N(G126)</f>
        <v>15200</v>
      </c>
      <c r="J126" s="42" t="n">
        <f aca="false">ROUND(IFERROR(ROUND(IF(OR(ISNUMBER(SEARCH("week",C126)),ISNUMBER(SEARCH("minggu",C126))),IFERROR(_xlfn.NUMBERVALUE(SUBSTITUTE(LEFT(TRIM(C126),FIND(" ",TRIM(C126)&amp;" ")-1),",","."),"."),LEFT(SUBSTITUTE(LEFT(TRIM(C126),FIND(" ",TRIM(C126)&amp;" ")-1),",","."),FIND("/",SUBSTITUTE(LEFT(TRIM(C126),FIND(" ",TRIM(C126)&amp;" ")-1),",","."))-1)/MID(SUBSTITUTE(LEFT(TRIM(C126),FIND(" ",TRIM(C126)&amp;" ")-1),",","."),FIND("/",SUBSTITUTE(LEFT(TRIM(C126),FIND(" ",TRIM(C126)&amp;" ")-1),",","."))+1,9))*12/52,IF(ISNUMBER(SEARCH("month",C126)),IFERROR(_xlfn.NUMBERVALUE(SUBSTITUTE(LEFT(TRIM(C126),FIND(" ",TRIM(C126)&amp;" ")-1),",","."),"."),LEFT(SUBSTITUTE(LEFT(TRIM(C126),FIND(" ",TRIM(C126)&amp;" ")-1),",","."),FIND("/",SUBSTITUTE(LEFT(TRIM(C126),FIND(" ",TRIM(C126)&amp;" ")-1),",","."))-1)/MID(SUBSTITUTE(LEFT(TRIM(C126),FIND(" ",TRIM(C126)&amp;" ")-1),",","."),FIND("/",SUBSTITUTE(LEFT(TRIM(C126),FIND(" ",TRIM(C126)&amp;" ")-1),",","."))+1,9)),IF(ISNUMBER(SEARCH("yea",C126)),IFERROR(_xlfn.NUMBERVALUE(SUBSTITUTE(LEFT(TRIM(C126),FIND(" ",TRIM(C126)&amp;" ")-1),",","."),"."),LEFT(SUBSTITUTE(LEFT(TRIM(C126),FIND(" ",TRIM(C126)&amp;" ")-1),",","."),FIND("/",SUBSTITUTE(LEFT(TRIM(C126),FIND(" ",TRIM(C126)&amp;" ")-1),",","."))-1)/MID(SUBSTITUTE(LEFT(TRIM(C126),FIND(" ",TRIM(C126)&amp;" ")-1),",","."),FIND("/",SUBSTITUTE(LEFT(TRIM(C126),FIND(" ",TRIM(C126)&amp;" ")-1),",","."))+1,9))*12,NA()))),0),24)*'Aturan &amp; Tarif'!$B$4,2)</f>
        <v>1362.72</v>
      </c>
      <c r="K126" s="42" t="n">
        <f aca="false">'Aturan &amp; Tarif'!$B$5</f>
        <v>2050</v>
      </c>
      <c r="L126" s="35" t="n">
        <f aca="false">I126+J126+K126</f>
        <v>18612.72</v>
      </c>
      <c r="M126" s="44" t="s">
        <v>445</v>
      </c>
    </row>
    <row r="127" customFormat="false" ht="60" hidden="false" customHeight="true" outlineLevel="0" collapsed="false">
      <c r="A127" s="39"/>
      <c r="B127" s="40" t="s">
        <v>447</v>
      </c>
      <c r="C127" s="41" t="s">
        <v>107</v>
      </c>
      <c r="D127" s="41" t="s">
        <v>108</v>
      </c>
      <c r="E127" s="42" t="n">
        <v>7225</v>
      </c>
      <c r="F127" s="42" t="n">
        <v>400</v>
      </c>
      <c r="G127" s="42" t="n">
        <v>350</v>
      </c>
      <c r="H127" s="43" t="n">
        <v>2</v>
      </c>
      <c r="I127" s="34" t="n">
        <f aca="false">E127*H127+N(F127)+N(G127)</f>
        <v>15200</v>
      </c>
      <c r="J127" s="42" t="n">
        <f aca="false">ROUND(IFERROR(ROUND(IF(OR(ISNUMBER(SEARCH("week",C127)),ISNUMBER(SEARCH("minggu",C127))),IFERROR(_xlfn.NUMBERVALUE(SUBSTITUTE(LEFT(TRIM(C127),FIND(" ",TRIM(C127)&amp;" ")-1),",","."),"."),LEFT(SUBSTITUTE(LEFT(TRIM(C127),FIND(" ",TRIM(C127)&amp;" ")-1),",","."),FIND("/",SUBSTITUTE(LEFT(TRIM(C127),FIND(" ",TRIM(C127)&amp;" ")-1),",","."))-1)/MID(SUBSTITUTE(LEFT(TRIM(C127),FIND(" ",TRIM(C127)&amp;" ")-1),",","."),FIND("/",SUBSTITUTE(LEFT(TRIM(C127),FIND(" ",TRIM(C127)&amp;" ")-1),",","."))+1,9))*12/52,IF(ISNUMBER(SEARCH("month",C127)),IFERROR(_xlfn.NUMBERVALUE(SUBSTITUTE(LEFT(TRIM(C127),FIND(" ",TRIM(C127)&amp;" ")-1),",","."),"."),LEFT(SUBSTITUTE(LEFT(TRIM(C127),FIND(" ",TRIM(C127)&amp;" ")-1),",","."),FIND("/",SUBSTITUTE(LEFT(TRIM(C127),FIND(" ",TRIM(C127)&amp;" ")-1),",","."))-1)/MID(SUBSTITUTE(LEFT(TRIM(C127),FIND(" ",TRIM(C127)&amp;" ")-1),",","."),FIND("/",SUBSTITUTE(LEFT(TRIM(C127),FIND(" ",TRIM(C127)&amp;" ")-1),",","."))+1,9)),IF(ISNUMBER(SEARCH("yea",C127)),IFERROR(_xlfn.NUMBERVALUE(SUBSTITUTE(LEFT(TRIM(C127),FIND(" ",TRIM(C127)&amp;" ")-1),",","."),"."),LEFT(SUBSTITUTE(LEFT(TRIM(C127),FIND(" ",TRIM(C127)&amp;" ")-1),",","."),FIND("/",SUBSTITUTE(LEFT(TRIM(C127),FIND(" ",TRIM(C127)&amp;" ")-1),",","."))-1)/MID(SUBSTITUTE(LEFT(TRIM(C127),FIND(" ",TRIM(C127)&amp;" ")-1),",","."),FIND("/",SUBSTITUTE(LEFT(TRIM(C127),FIND(" ",TRIM(C127)&amp;" ")-1),",","."))+1,9))*12,NA()))),0),24)*'Aturan &amp; Tarif'!$B$4,2)</f>
        <v>1362.72</v>
      </c>
      <c r="K127" s="42" t="n">
        <f aca="false">'Aturan &amp; Tarif'!$B$5</f>
        <v>2050</v>
      </c>
      <c r="L127" s="35" t="n">
        <f aca="false">I127+J127+K127</f>
        <v>18612.72</v>
      </c>
      <c r="M127" s="44" t="s">
        <v>445</v>
      </c>
    </row>
    <row r="128" customFormat="false" ht="60" hidden="false" customHeight="true" outlineLevel="0" collapsed="false">
      <c r="A128" s="39"/>
      <c r="B128" s="40" t="s">
        <v>448</v>
      </c>
      <c r="C128" s="41" t="s">
        <v>130</v>
      </c>
      <c r="D128" s="41" t="s">
        <v>108</v>
      </c>
      <c r="E128" s="42" t="n">
        <v>6250</v>
      </c>
      <c r="F128" s="42" t="n">
        <v>400</v>
      </c>
      <c r="G128" s="42" t="n">
        <v>350</v>
      </c>
      <c r="H128" s="43" t="n">
        <v>2</v>
      </c>
      <c r="I128" s="34" t="n">
        <f aca="false">E128*H128+N(F128)+N(G128)</f>
        <v>13250</v>
      </c>
      <c r="J128" s="42" t="n">
        <f aca="false">ROUND(IFERROR(ROUND(IF(OR(ISNUMBER(SEARCH("week",C128)),ISNUMBER(SEARCH("minggu",C128))),IFERROR(_xlfn.NUMBERVALUE(SUBSTITUTE(LEFT(TRIM(C128),FIND(" ",TRIM(C128)&amp;" ")-1),",","."),"."),LEFT(SUBSTITUTE(LEFT(TRIM(C128),FIND(" ",TRIM(C128)&amp;" ")-1),",","."),FIND("/",SUBSTITUTE(LEFT(TRIM(C128),FIND(" ",TRIM(C128)&amp;" ")-1),",","."))-1)/MID(SUBSTITUTE(LEFT(TRIM(C128),FIND(" ",TRIM(C128)&amp;" ")-1),",","."),FIND("/",SUBSTITUTE(LEFT(TRIM(C128),FIND(" ",TRIM(C128)&amp;" ")-1),",","."))+1,9))*12/52,IF(ISNUMBER(SEARCH("month",C128)),IFERROR(_xlfn.NUMBERVALUE(SUBSTITUTE(LEFT(TRIM(C128),FIND(" ",TRIM(C128)&amp;" ")-1),",","."),"."),LEFT(SUBSTITUTE(LEFT(TRIM(C128),FIND(" ",TRIM(C128)&amp;" ")-1),",","."),FIND("/",SUBSTITUTE(LEFT(TRIM(C128),FIND(" ",TRIM(C128)&amp;" ")-1),",","."))-1)/MID(SUBSTITUTE(LEFT(TRIM(C128),FIND(" ",TRIM(C128)&amp;" ")-1),",","."),FIND("/",SUBSTITUTE(LEFT(TRIM(C128),FIND(" ",TRIM(C128)&amp;" ")-1),",","."))+1,9)),IF(ISNUMBER(SEARCH("yea",C128)),IFERROR(_xlfn.NUMBERVALUE(SUBSTITUTE(LEFT(TRIM(C128),FIND(" ",TRIM(C128)&amp;" ")-1),",","."),"."),LEFT(SUBSTITUTE(LEFT(TRIM(C128),FIND(" ",TRIM(C128)&amp;" ")-1),",","."),FIND("/",SUBSTITUTE(LEFT(TRIM(C128),FIND(" ",TRIM(C128)&amp;" ")-1),",","."))-1)/MID(SUBSTITUTE(LEFT(TRIM(C128),FIND(" ",TRIM(C128)&amp;" ")-1),",","."),FIND("/",SUBSTITUTE(LEFT(TRIM(C128),FIND(" ",TRIM(C128)&amp;" ")-1),",","."))+1,9))*12,NA()))),0),12)*'Aturan &amp; Tarif'!$B$4,2)</f>
        <v>681.36</v>
      </c>
      <c r="K128" s="42" t="n">
        <f aca="false">'Aturan &amp; Tarif'!$B$5</f>
        <v>2050</v>
      </c>
      <c r="L128" s="35" t="n">
        <f aca="false">I128+J128+K128</f>
        <v>15981.36</v>
      </c>
      <c r="M128" s="44" t="s">
        <v>449</v>
      </c>
    </row>
    <row r="129" customFormat="false" ht="25.5" hidden="false" customHeight="true" outlineLevel="0" collapsed="false">
      <c r="A129" s="39"/>
      <c r="B129" s="40" t="s">
        <v>450</v>
      </c>
      <c r="C129" s="41" t="s">
        <v>107</v>
      </c>
      <c r="D129" s="41" t="s">
        <v>108</v>
      </c>
      <c r="E129" s="42" t="n">
        <v>6250</v>
      </c>
      <c r="F129" s="42" t="n">
        <v>400</v>
      </c>
      <c r="G129" s="42" t="n">
        <v>350</v>
      </c>
      <c r="H129" s="43" t="n">
        <v>2</v>
      </c>
      <c r="I129" s="34" t="n">
        <f aca="false">E129*H129+N(F129)+N(G129)</f>
        <v>13250</v>
      </c>
      <c r="J129" s="42" t="n">
        <f aca="false">ROUND(IFERROR(ROUND(IF(OR(ISNUMBER(SEARCH("week",C129)),ISNUMBER(SEARCH("minggu",C129))),IFERROR(_xlfn.NUMBERVALUE(SUBSTITUTE(LEFT(TRIM(C129),FIND(" ",TRIM(C129)&amp;" ")-1),",","."),"."),LEFT(SUBSTITUTE(LEFT(TRIM(C129),FIND(" ",TRIM(C129)&amp;" ")-1),",","."),FIND("/",SUBSTITUTE(LEFT(TRIM(C129),FIND(" ",TRIM(C129)&amp;" ")-1),",","."))-1)/MID(SUBSTITUTE(LEFT(TRIM(C129),FIND(" ",TRIM(C129)&amp;" ")-1),",","."),FIND("/",SUBSTITUTE(LEFT(TRIM(C129),FIND(" ",TRIM(C129)&amp;" ")-1),",","."))+1,9))*12/52,IF(ISNUMBER(SEARCH("month",C129)),IFERROR(_xlfn.NUMBERVALUE(SUBSTITUTE(LEFT(TRIM(C129),FIND(" ",TRIM(C129)&amp;" ")-1),",","."),"."),LEFT(SUBSTITUTE(LEFT(TRIM(C129),FIND(" ",TRIM(C129)&amp;" ")-1),",","."),FIND("/",SUBSTITUTE(LEFT(TRIM(C129),FIND(" ",TRIM(C129)&amp;" ")-1),",","."))-1)/MID(SUBSTITUTE(LEFT(TRIM(C129),FIND(" ",TRIM(C129)&amp;" ")-1),",","."),FIND("/",SUBSTITUTE(LEFT(TRIM(C129),FIND(" ",TRIM(C129)&amp;" ")-1),",","."))+1,9)),IF(ISNUMBER(SEARCH("yea",C129)),IFERROR(_xlfn.NUMBERVALUE(SUBSTITUTE(LEFT(TRIM(C129),FIND(" ",TRIM(C129)&amp;" ")-1),",","."),"."),LEFT(SUBSTITUTE(LEFT(TRIM(C129),FIND(" ",TRIM(C129)&amp;" ")-1),",","."),FIND("/",SUBSTITUTE(LEFT(TRIM(C129),FIND(" ",TRIM(C129)&amp;" ")-1),",","."))-1)/MID(SUBSTITUTE(LEFT(TRIM(C129),FIND(" ",TRIM(C129)&amp;" ")-1),",","."),FIND("/",SUBSTITUTE(LEFT(TRIM(C129),FIND(" ",TRIM(C129)&amp;" ")-1),",","."))+1,9))*12,NA()))),0),24)*'Aturan &amp; Tarif'!$B$4,2)</f>
        <v>1362.72</v>
      </c>
      <c r="K129" s="42" t="n">
        <f aca="false">'Aturan &amp; Tarif'!$B$5</f>
        <v>2050</v>
      </c>
      <c r="L129" s="35" t="n">
        <f aca="false">I129+J129+K129</f>
        <v>16662.72</v>
      </c>
      <c r="M129" s="45" t="s">
        <v>451</v>
      </c>
    </row>
    <row r="130" customFormat="false" ht="60" hidden="false" customHeight="true" outlineLevel="0" collapsed="false">
      <c r="A130" s="39"/>
      <c r="B130" s="40" t="s">
        <v>452</v>
      </c>
      <c r="C130" s="41" t="s">
        <v>191</v>
      </c>
      <c r="D130" s="41" t="s">
        <v>108</v>
      </c>
      <c r="E130" s="42" t="n">
        <v>5000</v>
      </c>
      <c r="F130" s="42" t="n">
        <v>400</v>
      </c>
      <c r="G130" s="42" t="n">
        <v>350</v>
      </c>
      <c r="H130" s="43" t="n">
        <v>2</v>
      </c>
      <c r="I130" s="34" t="n">
        <f aca="false">E130*H130+N(F130)+N(G130)</f>
        <v>10750</v>
      </c>
      <c r="J130" s="42" t="n">
        <f aca="false">ROUND(IFERROR(ROUND(IF(OR(ISNUMBER(SEARCH("week",C130)),ISNUMBER(SEARCH("minggu",C130))),IFERROR(_xlfn.NUMBERVALUE(SUBSTITUTE(LEFT(TRIM(C130),FIND(" ",TRIM(C130)&amp;" ")-1),",","."),"."),LEFT(SUBSTITUTE(LEFT(TRIM(C130),FIND(" ",TRIM(C130)&amp;" ")-1),",","."),FIND("/",SUBSTITUTE(LEFT(TRIM(C130),FIND(" ",TRIM(C130)&amp;" ")-1),",","."))-1)/MID(SUBSTITUTE(LEFT(TRIM(C130),FIND(" ",TRIM(C130)&amp;" ")-1),",","."),FIND("/",SUBSTITUTE(LEFT(TRIM(C130),FIND(" ",TRIM(C130)&amp;" ")-1),",","."))+1,9))*12/52,IF(ISNUMBER(SEARCH("month",C130)),IFERROR(_xlfn.NUMBERVALUE(SUBSTITUTE(LEFT(TRIM(C130),FIND(" ",TRIM(C130)&amp;" ")-1),",","."),"."),LEFT(SUBSTITUTE(LEFT(TRIM(C130),FIND(" ",TRIM(C130)&amp;" ")-1),",","."),FIND("/",SUBSTITUTE(LEFT(TRIM(C130),FIND(" ",TRIM(C130)&amp;" ")-1),",","."))-1)/MID(SUBSTITUTE(LEFT(TRIM(C130),FIND(" ",TRIM(C130)&amp;" ")-1),",","."),FIND("/",SUBSTITUTE(LEFT(TRIM(C130),FIND(" ",TRIM(C130)&amp;" ")-1),",","."))+1,9)),IF(ISNUMBER(SEARCH("yea",C130)),IFERROR(_xlfn.NUMBERVALUE(SUBSTITUTE(LEFT(TRIM(C130),FIND(" ",TRIM(C130)&amp;" ")-1),",","."),"."),LEFT(SUBSTITUTE(LEFT(TRIM(C130),FIND(" ",TRIM(C130)&amp;" ")-1),",","."),FIND("/",SUBSTITUTE(LEFT(TRIM(C130),FIND(" ",TRIM(C130)&amp;" ")-1),",","."))-1)/MID(SUBSTITUTE(LEFT(TRIM(C130),FIND(" ",TRIM(C130)&amp;" ")-1),",","."),FIND("/",SUBSTITUTE(LEFT(TRIM(C130),FIND(" ",TRIM(C130)&amp;" ")-1),",","."))+1,9))*12,NA()))),0),48)*'Aturan &amp; Tarif'!$B$4,2)</f>
        <v>2725.44</v>
      </c>
      <c r="K130" s="42" t="n">
        <f aca="false">'Aturan &amp; Tarif'!$B$5</f>
        <v>2050</v>
      </c>
      <c r="L130" s="35" t="n">
        <f aca="false">I130+J130+K130</f>
        <v>15525.44</v>
      </c>
      <c r="M130" s="44" t="s">
        <v>453</v>
      </c>
    </row>
    <row r="131" customFormat="false" ht="37.5" hidden="false" customHeight="true" outlineLevel="0" collapsed="false">
      <c r="A131" s="39"/>
      <c r="B131" s="40" t="s">
        <v>167</v>
      </c>
      <c r="C131" s="41" t="s">
        <v>113</v>
      </c>
      <c r="D131" s="41" t="s">
        <v>108</v>
      </c>
      <c r="E131" s="42" t="n">
        <v>4500</v>
      </c>
      <c r="F131" s="42" t="n">
        <v>400</v>
      </c>
      <c r="G131" s="42" t="n">
        <v>350</v>
      </c>
      <c r="H131" s="43" t="n">
        <v>2</v>
      </c>
      <c r="I131" s="34" t="n">
        <f aca="false">E131*H131+N(F131)+N(G131)</f>
        <v>9750</v>
      </c>
      <c r="J131" s="42" t="n">
        <f aca="false">ROUND(IFERROR(ROUND(IF(OR(ISNUMBER(SEARCH("week",C131)),ISNUMBER(SEARCH("minggu",C131))),IFERROR(_xlfn.NUMBERVALUE(SUBSTITUTE(LEFT(TRIM(C131),FIND(" ",TRIM(C131)&amp;" ")-1),",","."),"."),LEFT(SUBSTITUTE(LEFT(TRIM(C131),FIND(" ",TRIM(C131)&amp;" ")-1),",","."),FIND("/",SUBSTITUTE(LEFT(TRIM(C131),FIND(" ",TRIM(C131)&amp;" ")-1),",","."))-1)/MID(SUBSTITUTE(LEFT(TRIM(C131),FIND(" ",TRIM(C131)&amp;" ")-1),",","."),FIND("/",SUBSTITUTE(LEFT(TRIM(C131),FIND(" ",TRIM(C131)&amp;" ")-1),",","."))+1,9))*12/52,IF(ISNUMBER(SEARCH("month",C131)),IFERROR(_xlfn.NUMBERVALUE(SUBSTITUTE(LEFT(TRIM(C131),FIND(" ",TRIM(C131)&amp;" ")-1),",","."),"."),LEFT(SUBSTITUTE(LEFT(TRIM(C131),FIND(" ",TRIM(C131)&amp;" ")-1),",","."),FIND("/",SUBSTITUTE(LEFT(TRIM(C131),FIND(" ",TRIM(C131)&amp;" ")-1),",","."))-1)/MID(SUBSTITUTE(LEFT(TRIM(C131),FIND(" ",TRIM(C131)&amp;" ")-1),",","."),FIND("/",SUBSTITUTE(LEFT(TRIM(C131),FIND(" ",TRIM(C131)&amp;" ")-1),",","."))+1,9)),IF(ISNUMBER(SEARCH("yea",C131)),IFERROR(_xlfn.NUMBERVALUE(SUBSTITUTE(LEFT(TRIM(C131),FIND(" ",TRIM(C131)&amp;" ")-1),",","."),"."),LEFT(SUBSTITUTE(LEFT(TRIM(C131),FIND(" ",TRIM(C131)&amp;" ")-1),",","."),FIND("/",SUBSTITUTE(LEFT(TRIM(C131),FIND(" ",TRIM(C131)&amp;" ")-1),",","."))-1)/MID(SUBSTITUTE(LEFT(TRIM(C131),FIND(" ",TRIM(C131)&amp;" ")-1),",","."),FIND("/",SUBSTITUTE(LEFT(TRIM(C131),FIND(" ",TRIM(C131)&amp;" ")-1),",","."))+1,9))*12,NA()))),0),18)*'Aturan &amp; Tarif'!$B$4,2)</f>
        <v>1022.04</v>
      </c>
      <c r="K131" s="42" t="n">
        <f aca="false">'Aturan &amp; Tarif'!$B$5</f>
        <v>2050</v>
      </c>
      <c r="L131" s="35" t="n">
        <f aca="false">I131+J131+K131</f>
        <v>12822.04</v>
      </c>
      <c r="M131" s="44" t="s">
        <v>454</v>
      </c>
    </row>
    <row r="132" customFormat="false" ht="37.5" hidden="false" customHeight="true" outlineLevel="0" collapsed="false">
      <c r="A132" s="39"/>
      <c r="B132" s="40" t="s">
        <v>455</v>
      </c>
      <c r="C132" s="41" t="s">
        <v>107</v>
      </c>
      <c r="D132" s="41" t="s">
        <v>108</v>
      </c>
      <c r="E132" s="42" t="n">
        <v>4500</v>
      </c>
      <c r="F132" s="42" t="n">
        <v>400</v>
      </c>
      <c r="G132" s="42" t="n">
        <v>350</v>
      </c>
      <c r="H132" s="43" t="n">
        <v>2</v>
      </c>
      <c r="I132" s="34" t="n">
        <f aca="false">E132*H132+N(F132)+N(G132)</f>
        <v>9750</v>
      </c>
      <c r="J132" s="42" t="n">
        <f aca="false">ROUND(IFERROR(ROUND(IF(OR(ISNUMBER(SEARCH("week",C132)),ISNUMBER(SEARCH("minggu",C132))),IFERROR(_xlfn.NUMBERVALUE(SUBSTITUTE(LEFT(TRIM(C132),FIND(" ",TRIM(C132)&amp;" ")-1),",","."),"."),LEFT(SUBSTITUTE(LEFT(TRIM(C132),FIND(" ",TRIM(C132)&amp;" ")-1),",","."),FIND("/",SUBSTITUTE(LEFT(TRIM(C132),FIND(" ",TRIM(C132)&amp;" ")-1),",","."))-1)/MID(SUBSTITUTE(LEFT(TRIM(C132),FIND(" ",TRIM(C132)&amp;" ")-1),",","."),FIND("/",SUBSTITUTE(LEFT(TRIM(C132),FIND(" ",TRIM(C132)&amp;" ")-1),",","."))+1,9))*12/52,IF(ISNUMBER(SEARCH("month",C132)),IFERROR(_xlfn.NUMBERVALUE(SUBSTITUTE(LEFT(TRIM(C132),FIND(" ",TRIM(C132)&amp;" ")-1),",","."),"."),LEFT(SUBSTITUTE(LEFT(TRIM(C132),FIND(" ",TRIM(C132)&amp;" ")-1),",","."),FIND("/",SUBSTITUTE(LEFT(TRIM(C132),FIND(" ",TRIM(C132)&amp;" ")-1),",","."))-1)/MID(SUBSTITUTE(LEFT(TRIM(C132),FIND(" ",TRIM(C132)&amp;" ")-1),",","."),FIND("/",SUBSTITUTE(LEFT(TRIM(C132),FIND(" ",TRIM(C132)&amp;" ")-1),",","."))+1,9)),IF(ISNUMBER(SEARCH("yea",C132)),IFERROR(_xlfn.NUMBERVALUE(SUBSTITUTE(LEFT(TRIM(C132),FIND(" ",TRIM(C132)&amp;" ")-1),",","."),"."),LEFT(SUBSTITUTE(LEFT(TRIM(C132),FIND(" ",TRIM(C132)&amp;" ")-1),",","."),FIND("/",SUBSTITUTE(LEFT(TRIM(C132),FIND(" ",TRIM(C132)&amp;" ")-1),",","."))-1)/MID(SUBSTITUTE(LEFT(TRIM(C132),FIND(" ",TRIM(C132)&amp;" ")-1),",","."),FIND("/",SUBSTITUTE(LEFT(TRIM(C132),FIND(" ",TRIM(C132)&amp;" ")-1),",","."))+1,9))*12,NA()))),0),24)*'Aturan &amp; Tarif'!$B$4,2)</f>
        <v>1362.72</v>
      </c>
      <c r="K132" s="42" t="n">
        <f aca="false">'Aturan &amp; Tarif'!$B$5</f>
        <v>2050</v>
      </c>
      <c r="L132" s="35" t="n">
        <f aca="false">I132+J132+K132</f>
        <v>13162.72</v>
      </c>
      <c r="M132" s="44" t="s">
        <v>454</v>
      </c>
    </row>
    <row r="133" customFormat="false" ht="37.5" hidden="false" customHeight="true" outlineLevel="0" collapsed="false">
      <c r="A133" s="39"/>
      <c r="B133" s="40" t="s">
        <v>456</v>
      </c>
      <c r="C133" s="41" t="s">
        <v>127</v>
      </c>
      <c r="D133" s="41" t="s">
        <v>108</v>
      </c>
      <c r="E133" s="42" t="n">
        <v>3600</v>
      </c>
      <c r="F133" s="42" t="n">
        <v>400</v>
      </c>
      <c r="G133" s="42" t="n">
        <v>350</v>
      </c>
      <c r="H133" s="43" t="n">
        <v>2</v>
      </c>
      <c r="I133" s="34" t="n">
        <f aca="false">E133*H133+N(F133)+N(G133)</f>
        <v>7950</v>
      </c>
      <c r="J133" s="42" t="n">
        <f aca="false">ROUND(IFERROR(ROUND(IF(OR(ISNUMBER(SEARCH("week",C133)),ISNUMBER(SEARCH("minggu",C133))),IFERROR(_xlfn.NUMBERVALUE(SUBSTITUTE(LEFT(TRIM(C133),FIND(" ",TRIM(C133)&amp;" ")-1),",","."),"."),LEFT(SUBSTITUTE(LEFT(TRIM(C133),FIND(" ",TRIM(C133)&amp;" ")-1),",","."),FIND("/",SUBSTITUTE(LEFT(TRIM(C133),FIND(" ",TRIM(C133)&amp;" ")-1),",","."))-1)/MID(SUBSTITUTE(LEFT(TRIM(C133),FIND(" ",TRIM(C133)&amp;" ")-1),",","."),FIND("/",SUBSTITUTE(LEFT(TRIM(C133),FIND(" ",TRIM(C133)&amp;" ")-1),",","."))+1,9))*12/52,IF(ISNUMBER(SEARCH("month",C133)),IFERROR(_xlfn.NUMBERVALUE(SUBSTITUTE(LEFT(TRIM(C133),FIND(" ",TRIM(C133)&amp;" ")-1),",","."),"."),LEFT(SUBSTITUTE(LEFT(TRIM(C133),FIND(" ",TRIM(C133)&amp;" ")-1),",","."),FIND("/",SUBSTITUTE(LEFT(TRIM(C133),FIND(" ",TRIM(C133)&amp;" ")-1),",","."))-1)/MID(SUBSTITUTE(LEFT(TRIM(C133),FIND(" ",TRIM(C133)&amp;" ")-1),",","."),FIND("/",SUBSTITUTE(LEFT(TRIM(C133),FIND(" ",TRIM(C133)&amp;" ")-1),",","."))+1,9)),IF(ISNUMBER(SEARCH("yea",C133)),IFERROR(_xlfn.NUMBERVALUE(SUBSTITUTE(LEFT(TRIM(C133),FIND(" ",TRIM(C133)&amp;" ")-1),",","."),"."),LEFT(SUBSTITUTE(LEFT(TRIM(C133),FIND(" ",TRIM(C133)&amp;" ")-1),",","."),FIND("/",SUBSTITUTE(LEFT(TRIM(C133),FIND(" ",TRIM(C133)&amp;" ")-1),",","."))-1)/MID(SUBSTITUTE(LEFT(TRIM(C133),FIND(" ",TRIM(C133)&amp;" ")-1),",","."),FIND("/",SUBSTITUTE(LEFT(TRIM(C133),FIND(" ",TRIM(C133)&amp;" ")-1),",","."))+1,9))*12,NA()))),0),36)*'Aturan &amp; Tarif'!$B$4,2)</f>
        <v>2044.08</v>
      </c>
      <c r="K133" s="42" t="n">
        <f aca="false">'Aturan &amp; Tarif'!$B$5</f>
        <v>2050</v>
      </c>
      <c r="L133" s="35" t="n">
        <f aca="false">I133+J133+K133</f>
        <v>12044.08</v>
      </c>
      <c r="M133" s="44" t="s">
        <v>457</v>
      </c>
    </row>
    <row r="134" customFormat="false" ht="37.5" hidden="false" customHeight="true" outlineLevel="0" collapsed="false">
      <c r="A134" s="39"/>
      <c r="B134" s="40" t="s">
        <v>349</v>
      </c>
      <c r="C134" s="41" t="s">
        <v>107</v>
      </c>
      <c r="D134" s="41" t="s">
        <v>108</v>
      </c>
      <c r="E134" s="42" t="n">
        <v>5225</v>
      </c>
      <c r="F134" s="42" t="n">
        <v>400</v>
      </c>
      <c r="G134" s="42" t="n">
        <v>350</v>
      </c>
      <c r="H134" s="43" t="n">
        <v>2</v>
      </c>
      <c r="I134" s="34" t="n">
        <f aca="false">E134*H134+N(F134)+N(G134)</f>
        <v>11200</v>
      </c>
      <c r="J134" s="42" t="n">
        <f aca="false">ROUND(IFERROR(ROUND(IF(OR(ISNUMBER(SEARCH("week",C134)),ISNUMBER(SEARCH("minggu",C134))),IFERROR(_xlfn.NUMBERVALUE(SUBSTITUTE(LEFT(TRIM(C134),FIND(" ",TRIM(C134)&amp;" ")-1),",","."),"."),LEFT(SUBSTITUTE(LEFT(TRIM(C134),FIND(" ",TRIM(C134)&amp;" ")-1),",","."),FIND("/",SUBSTITUTE(LEFT(TRIM(C134),FIND(" ",TRIM(C134)&amp;" ")-1),",","."))-1)/MID(SUBSTITUTE(LEFT(TRIM(C134),FIND(" ",TRIM(C134)&amp;" ")-1),",","."),FIND("/",SUBSTITUTE(LEFT(TRIM(C134),FIND(" ",TRIM(C134)&amp;" ")-1),",","."))+1,9))*12/52,IF(ISNUMBER(SEARCH("month",C134)),IFERROR(_xlfn.NUMBERVALUE(SUBSTITUTE(LEFT(TRIM(C134),FIND(" ",TRIM(C134)&amp;" ")-1),",","."),"."),LEFT(SUBSTITUTE(LEFT(TRIM(C134),FIND(" ",TRIM(C134)&amp;" ")-1),",","."),FIND("/",SUBSTITUTE(LEFT(TRIM(C134),FIND(" ",TRIM(C134)&amp;" ")-1),",","."))-1)/MID(SUBSTITUTE(LEFT(TRIM(C134),FIND(" ",TRIM(C134)&amp;" ")-1),",","."),FIND("/",SUBSTITUTE(LEFT(TRIM(C134),FIND(" ",TRIM(C134)&amp;" ")-1),",","."))+1,9)),IF(ISNUMBER(SEARCH("yea",C134)),IFERROR(_xlfn.NUMBERVALUE(SUBSTITUTE(LEFT(TRIM(C134),FIND(" ",TRIM(C134)&amp;" ")-1),",","."),"."),LEFT(SUBSTITUTE(LEFT(TRIM(C134),FIND(" ",TRIM(C134)&amp;" ")-1),",","."),FIND("/",SUBSTITUTE(LEFT(TRIM(C134),FIND(" ",TRIM(C134)&amp;" ")-1),",","."))-1)/MID(SUBSTITUTE(LEFT(TRIM(C134),FIND(" ",TRIM(C134)&amp;" ")-1),",","."),FIND("/",SUBSTITUTE(LEFT(TRIM(C134),FIND(" ",TRIM(C134)&amp;" ")-1),",","."))+1,9))*12,NA()))),0),24)*'Aturan &amp; Tarif'!$B$4,2)</f>
        <v>1362.72</v>
      </c>
      <c r="K134" s="42" t="n">
        <f aca="false">'Aturan &amp; Tarif'!$B$5</f>
        <v>2050</v>
      </c>
      <c r="L134" s="35" t="n">
        <f aca="false">I134+J134+K134</f>
        <v>14612.72</v>
      </c>
      <c r="M134" s="44" t="s">
        <v>458</v>
      </c>
    </row>
    <row r="135" customFormat="false" ht="37.5" hidden="false" customHeight="true" outlineLevel="0" collapsed="false">
      <c r="A135" s="39"/>
      <c r="B135" s="40" t="s">
        <v>335</v>
      </c>
      <c r="C135" s="41" t="s">
        <v>127</v>
      </c>
      <c r="D135" s="41" t="s">
        <v>108</v>
      </c>
      <c r="E135" s="42" t="n">
        <v>3825</v>
      </c>
      <c r="F135" s="42" t="n">
        <v>400</v>
      </c>
      <c r="G135" s="42" t="n">
        <v>350</v>
      </c>
      <c r="H135" s="43" t="n">
        <v>2</v>
      </c>
      <c r="I135" s="34" t="n">
        <f aca="false">E135*H135+N(F135)+N(G135)</f>
        <v>8400</v>
      </c>
      <c r="J135" s="42" t="n">
        <f aca="false">ROUND(IFERROR(ROUND(IF(OR(ISNUMBER(SEARCH("week",C135)),ISNUMBER(SEARCH("minggu",C135))),IFERROR(_xlfn.NUMBERVALUE(SUBSTITUTE(LEFT(TRIM(C135),FIND(" ",TRIM(C135)&amp;" ")-1),",","."),"."),LEFT(SUBSTITUTE(LEFT(TRIM(C135),FIND(" ",TRIM(C135)&amp;" ")-1),",","."),FIND("/",SUBSTITUTE(LEFT(TRIM(C135),FIND(" ",TRIM(C135)&amp;" ")-1),",","."))-1)/MID(SUBSTITUTE(LEFT(TRIM(C135),FIND(" ",TRIM(C135)&amp;" ")-1),",","."),FIND("/",SUBSTITUTE(LEFT(TRIM(C135),FIND(" ",TRIM(C135)&amp;" ")-1),",","."))+1,9))*12/52,IF(ISNUMBER(SEARCH("month",C135)),IFERROR(_xlfn.NUMBERVALUE(SUBSTITUTE(LEFT(TRIM(C135),FIND(" ",TRIM(C135)&amp;" ")-1),",","."),"."),LEFT(SUBSTITUTE(LEFT(TRIM(C135),FIND(" ",TRIM(C135)&amp;" ")-1),",","."),FIND("/",SUBSTITUTE(LEFT(TRIM(C135),FIND(" ",TRIM(C135)&amp;" ")-1),",","."))-1)/MID(SUBSTITUTE(LEFT(TRIM(C135),FIND(" ",TRIM(C135)&amp;" ")-1),",","."),FIND("/",SUBSTITUTE(LEFT(TRIM(C135),FIND(" ",TRIM(C135)&amp;" ")-1),",","."))+1,9)),IF(ISNUMBER(SEARCH("yea",C135)),IFERROR(_xlfn.NUMBERVALUE(SUBSTITUTE(LEFT(TRIM(C135),FIND(" ",TRIM(C135)&amp;" ")-1),",","."),"."),LEFT(SUBSTITUTE(LEFT(TRIM(C135),FIND(" ",TRIM(C135)&amp;" ")-1),",","."),FIND("/",SUBSTITUTE(LEFT(TRIM(C135),FIND(" ",TRIM(C135)&amp;" ")-1),",","."))-1)/MID(SUBSTITUTE(LEFT(TRIM(C135),FIND(" ",TRIM(C135)&amp;" ")-1),",","."),FIND("/",SUBSTITUTE(LEFT(TRIM(C135),FIND(" ",TRIM(C135)&amp;" ")-1),",","."))+1,9))*12,NA()))),0),36)*'Aturan &amp; Tarif'!$B$4,2)</f>
        <v>2044.08</v>
      </c>
      <c r="K135" s="42" t="n">
        <f aca="false">'Aturan &amp; Tarif'!$B$5</f>
        <v>2050</v>
      </c>
      <c r="L135" s="35" t="n">
        <f aca="false">I135+J135+K135</f>
        <v>12494.08</v>
      </c>
      <c r="M135" s="44" t="s">
        <v>459</v>
      </c>
    </row>
    <row r="136" customFormat="false" ht="37.5" hidden="false" customHeight="true" outlineLevel="0" collapsed="false">
      <c r="A136" s="39"/>
      <c r="B136" s="40" t="s">
        <v>348</v>
      </c>
      <c r="C136" s="41" t="s">
        <v>113</v>
      </c>
      <c r="D136" s="41" t="s">
        <v>108</v>
      </c>
      <c r="E136" s="42" t="n">
        <v>4500</v>
      </c>
      <c r="F136" s="42" t="n">
        <v>400</v>
      </c>
      <c r="G136" s="42" t="n">
        <v>350</v>
      </c>
      <c r="H136" s="43" t="n">
        <v>2</v>
      </c>
      <c r="I136" s="34" t="n">
        <f aca="false">E136*H136+N(F136)+N(G136)</f>
        <v>9750</v>
      </c>
      <c r="J136" s="42" t="n">
        <f aca="false">ROUND(IFERROR(ROUND(IF(OR(ISNUMBER(SEARCH("week",C136)),ISNUMBER(SEARCH("minggu",C136))),IFERROR(_xlfn.NUMBERVALUE(SUBSTITUTE(LEFT(TRIM(C136),FIND(" ",TRIM(C136)&amp;" ")-1),",","."),"."),LEFT(SUBSTITUTE(LEFT(TRIM(C136),FIND(" ",TRIM(C136)&amp;" ")-1),",","."),FIND("/",SUBSTITUTE(LEFT(TRIM(C136),FIND(" ",TRIM(C136)&amp;" ")-1),",","."))-1)/MID(SUBSTITUTE(LEFT(TRIM(C136),FIND(" ",TRIM(C136)&amp;" ")-1),",","."),FIND("/",SUBSTITUTE(LEFT(TRIM(C136),FIND(" ",TRIM(C136)&amp;" ")-1),",","."))+1,9))*12/52,IF(ISNUMBER(SEARCH("month",C136)),IFERROR(_xlfn.NUMBERVALUE(SUBSTITUTE(LEFT(TRIM(C136),FIND(" ",TRIM(C136)&amp;" ")-1),",","."),"."),LEFT(SUBSTITUTE(LEFT(TRIM(C136),FIND(" ",TRIM(C136)&amp;" ")-1),",","."),FIND("/",SUBSTITUTE(LEFT(TRIM(C136),FIND(" ",TRIM(C136)&amp;" ")-1),",","."))-1)/MID(SUBSTITUTE(LEFT(TRIM(C136),FIND(" ",TRIM(C136)&amp;" ")-1),",","."),FIND("/",SUBSTITUTE(LEFT(TRIM(C136),FIND(" ",TRIM(C136)&amp;" ")-1),",","."))+1,9)),IF(ISNUMBER(SEARCH("yea",C136)),IFERROR(_xlfn.NUMBERVALUE(SUBSTITUTE(LEFT(TRIM(C136),FIND(" ",TRIM(C136)&amp;" ")-1),",","."),"."),LEFT(SUBSTITUTE(LEFT(TRIM(C136),FIND(" ",TRIM(C136)&amp;" ")-1),",","."),FIND("/",SUBSTITUTE(LEFT(TRIM(C136),FIND(" ",TRIM(C136)&amp;" ")-1),",","."))-1)/MID(SUBSTITUTE(LEFT(TRIM(C136),FIND(" ",TRIM(C136)&amp;" ")-1),",","."),FIND("/",SUBSTITUTE(LEFT(TRIM(C136),FIND(" ",TRIM(C136)&amp;" ")-1),",","."))+1,9))*12,NA()))),0),18)*'Aturan &amp; Tarif'!$B$4,2)</f>
        <v>1022.04</v>
      </c>
      <c r="K136" s="42" t="n">
        <f aca="false">'Aturan &amp; Tarif'!$B$5</f>
        <v>2050</v>
      </c>
      <c r="L136" s="35" t="n">
        <f aca="false">I136+J136+K136</f>
        <v>12822.04</v>
      </c>
      <c r="M136" s="44" t="s">
        <v>454</v>
      </c>
    </row>
    <row r="137" customFormat="false" ht="37.5" hidden="false" customHeight="true" outlineLevel="0" collapsed="false">
      <c r="A137" s="39"/>
      <c r="B137" s="40" t="s">
        <v>460</v>
      </c>
      <c r="C137" s="41" t="s">
        <v>107</v>
      </c>
      <c r="D137" s="41" t="s">
        <v>108</v>
      </c>
      <c r="E137" s="42" t="n">
        <v>4500</v>
      </c>
      <c r="F137" s="42" t="n">
        <v>400</v>
      </c>
      <c r="G137" s="42" t="n">
        <v>350</v>
      </c>
      <c r="H137" s="43" t="n">
        <v>2</v>
      </c>
      <c r="I137" s="34" t="n">
        <f aca="false">E137*H137+N(F137)+N(G137)</f>
        <v>9750</v>
      </c>
      <c r="J137" s="42" t="n">
        <f aca="false">ROUND(IFERROR(ROUND(IF(OR(ISNUMBER(SEARCH("week",C137)),ISNUMBER(SEARCH("minggu",C137))),IFERROR(_xlfn.NUMBERVALUE(SUBSTITUTE(LEFT(TRIM(C137),FIND(" ",TRIM(C137)&amp;" ")-1),",","."),"."),LEFT(SUBSTITUTE(LEFT(TRIM(C137),FIND(" ",TRIM(C137)&amp;" ")-1),",","."),FIND("/",SUBSTITUTE(LEFT(TRIM(C137),FIND(" ",TRIM(C137)&amp;" ")-1),",","."))-1)/MID(SUBSTITUTE(LEFT(TRIM(C137),FIND(" ",TRIM(C137)&amp;" ")-1),",","."),FIND("/",SUBSTITUTE(LEFT(TRIM(C137),FIND(" ",TRIM(C137)&amp;" ")-1),",","."))+1,9))*12/52,IF(ISNUMBER(SEARCH("month",C137)),IFERROR(_xlfn.NUMBERVALUE(SUBSTITUTE(LEFT(TRIM(C137),FIND(" ",TRIM(C137)&amp;" ")-1),",","."),"."),LEFT(SUBSTITUTE(LEFT(TRIM(C137),FIND(" ",TRIM(C137)&amp;" ")-1),",","."),FIND("/",SUBSTITUTE(LEFT(TRIM(C137),FIND(" ",TRIM(C137)&amp;" ")-1),",","."))-1)/MID(SUBSTITUTE(LEFT(TRIM(C137),FIND(" ",TRIM(C137)&amp;" ")-1),",","."),FIND("/",SUBSTITUTE(LEFT(TRIM(C137),FIND(" ",TRIM(C137)&amp;" ")-1),",","."))+1,9)),IF(ISNUMBER(SEARCH("yea",C137)),IFERROR(_xlfn.NUMBERVALUE(SUBSTITUTE(LEFT(TRIM(C137),FIND(" ",TRIM(C137)&amp;" ")-1),",","."),"."),LEFT(SUBSTITUTE(LEFT(TRIM(C137),FIND(" ",TRIM(C137)&amp;" ")-1),",","."),FIND("/",SUBSTITUTE(LEFT(TRIM(C137),FIND(" ",TRIM(C137)&amp;" ")-1),",","."))-1)/MID(SUBSTITUTE(LEFT(TRIM(C137),FIND(" ",TRIM(C137)&amp;" ")-1),",","."),FIND("/",SUBSTITUTE(LEFT(TRIM(C137),FIND(" ",TRIM(C137)&amp;" ")-1),",","."))+1,9))*12,NA()))),0),24)*'Aturan &amp; Tarif'!$B$4,2)</f>
        <v>1362.72</v>
      </c>
      <c r="K137" s="42" t="n">
        <f aca="false">'Aturan &amp; Tarif'!$B$5</f>
        <v>2050</v>
      </c>
      <c r="L137" s="35" t="n">
        <f aca="false">I137+J137+K137</f>
        <v>13162.72</v>
      </c>
      <c r="M137" s="44" t="s">
        <v>454</v>
      </c>
    </row>
    <row r="138" customFormat="false" ht="37.5" hidden="false" customHeight="true" outlineLevel="0" collapsed="false">
      <c r="A138" s="39"/>
      <c r="B138" s="40" t="s">
        <v>321</v>
      </c>
      <c r="C138" s="41" t="s">
        <v>127</v>
      </c>
      <c r="D138" s="41" t="s">
        <v>108</v>
      </c>
      <c r="E138" s="42" t="n">
        <v>3825</v>
      </c>
      <c r="F138" s="42" t="n">
        <v>400</v>
      </c>
      <c r="G138" s="42" t="n">
        <v>350</v>
      </c>
      <c r="H138" s="43" t="n">
        <v>2</v>
      </c>
      <c r="I138" s="34" t="n">
        <f aca="false">E138*H138+N(F138)+N(G138)</f>
        <v>8400</v>
      </c>
      <c r="J138" s="42" t="n">
        <f aca="false">ROUND(IFERROR(ROUND(IF(OR(ISNUMBER(SEARCH("week",C138)),ISNUMBER(SEARCH("minggu",C138))),IFERROR(_xlfn.NUMBERVALUE(SUBSTITUTE(LEFT(TRIM(C138),FIND(" ",TRIM(C138)&amp;" ")-1),",","."),"."),LEFT(SUBSTITUTE(LEFT(TRIM(C138),FIND(" ",TRIM(C138)&amp;" ")-1),",","."),FIND("/",SUBSTITUTE(LEFT(TRIM(C138),FIND(" ",TRIM(C138)&amp;" ")-1),",","."))-1)/MID(SUBSTITUTE(LEFT(TRIM(C138),FIND(" ",TRIM(C138)&amp;" ")-1),",","."),FIND("/",SUBSTITUTE(LEFT(TRIM(C138),FIND(" ",TRIM(C138)&amp;" ")-1),",","."))+1,9))*12/52,IF(ISNUMBER(SEARCH("month",C138)),IFERROR(_xlfn.NUMBERVALUE(SUBSTITUTE(LEFT(TRIM(C138),FIND(" ",TRIM(C138)&amp;" ")-1),",","."),"."),LEFT(SUBSTITUTE(LEFT(TRIM(C138),FIND(" ",TRIM(C138)&amp;" ")-1),",","."),FIND("/",SUBSTITUTE(LEFT(TRIM(C138),FIND(" ",TRIM(C138)&amp;" ")-1),",","."))-1)/MID(SUBSTITUTE(LEFT(TRIM(C138),FIND(" ",TRIM(C138)&amp;" ")-1),",","."),FIND("/",SUBSTITUTE(LEFT(TRIM(C138),FIND(" ",TRIM(C138)&amp;" ")-1),",","."))+1,9)),IF(ISNUMBER(SEARCH("yea",C138)),IFERROR(_xlfn.NUMBERVALUE(SUBSTITUTE(LEFT(TRIM(C138),FIND(" ",TRIM(C138)&amp;" ")-1),",","."),"."),LEFT(SUBSTITUTE(LEFT(TRIM(C138),FIND(" ",TRIM(C138)&amp;" ")-1),",","."),FIND("/",SUBSTITUTE(LEFT(TRIM(C138),FIND(" ",TRIM(C138)&amp;" ")-1),",","."))-1)/MID(SUBSTITUTE(LEFT(TRIM(C138),FIND(" ",TRIM(C138)&amp;" ")-1),",","."),FIND("/",SUBSTITUTE(LEFT(TRIM(C138),FIND(" ",TRIM(C138)&amp;" ")-1),",","."))+1,9))*12,NA()))),0),36)*'Aturan &amp; Tarif'!$B$4,2)</f>
        <v>2044.08</v>
      </c>
      <c r="K138" s="42" t="n">
        <f aca="false">'Aturan &amp; Tarif'!$B$5</f>
        <v>2050</v>
      </c>
      <c r="L138" s="35" t="n">
        <f aca="false">I138+J138+K138</f>
        <v>12494.08</v>
      </c>
      <c r="M138" s="44" t="s">
        <v>459</v>
      </c>
    </row>
    <row r="139" customFormat="false" ht="60" hidden="false" customHeight="true" outlineLevel="0" collapsed="false">
      <c r="A139" s="39"/>
      <c r="B139" s="40" t="s">
        <v>343</v>
      </c>
      <c r="C139" s="41" t="s">
        <v>344</v>
      </c>
      <c r="D139" s="41" t="s">
        <v>108</v>
      </c>
      <c r="E139" s="42" t="n">
        <v>4500</v>
      </c>
      <c r="F139" s="42" t="n">
        <v>400</v>
      </c>
      <c r="G139" s="42" t="n">
        <v>350</v>
      </c>
      <c r="H139" s="43" t="n">
        <v>2</v>
      </c>
      <c r="I139" s="34" t="n">
        <f aca="false">E139*H139+N(F139)+N(G139)</f>
        <v>9750</v>
      </c>
      <c r="J139" s="42" t="n">
        <f aca="false">ROUND(IFERROR(ROUND(IF(OR(ISNUMBER(SEARCH("week",C139)),ISNUMBER(SEARCH("minggu",C139))),IFERROR(_xlfn.NUMBERVALUE(SUBSTITUTE(LEFT(TRIM(C139),FIND(" ",TRIM(C139)&amp;" ")-1),",","."),"."),LEFT(SUBSTITUTE(LEFT(TRIM(C139),FIND(" ",TRIM(C139)&amp;" ")-1),",","."),FIND("/",SUBSTITUTE(LEFT(TRIM(C139),FIND(" ",TRIM(C139)&amp;" ")-1),",","."))-1)/MID(SUBSTITUTE(LEFT(TRIM(C139),FIND(" ",TRIM(C139)&amp;" ")-1),",","."),FIND("/",SUBSTITUTE(LEFT(TRIM(C139),FIND(" ",TRIM(C139)&amp;" ")-1),",","."))+1,9))*12/52,IF(ISNUMBER(SEARCH("month",C139)),IFERROR(_xlfn.NUMBERVALUE(SUBSTITUTE(LEFT(TRIM(C139),FIND(" ",TRIM(C139)&amp;" ")-1),",","."),"."),LEFT(SUBSTITUTE(LEFT(TRIM(C139),FIND(" ",TRIM(C139)&amp;" ")-1),",","."),FIND("/",SUBSTITUTE(LEFT(TRIM(C139),FIND(" ",TRIM(C139)&amp;" ")-1),",","."))-1)/MID(SUBSTITUTE(LEFT(TRIM(C139),FIND(" ",TRIM(C139)&amp;" ")-1),",","."),FIND("/",SUBSTITUTE(LEFT(TRIM(C139),FIND(" ",TRIM(C139)&amp;" ")-1),",","."))+1,9)),IF(ISNUMBER(SEARCH("yea",C139)),IFERROR(_xlfn.NUMBERVALUE(SUBSTITUTE(LEFT(TRIM(C139),FIND(" ",TRIM(C139)&amp;" ")-1),",","."),"."),LEFT(SUBSTITUTE(LEFT(TRIM(C139),FIND(" ",TRIM(C139)&amp;" ")-1),",","."),FIND("/",SUBSTITUTE(LEFT(TRIM(C139),FIND(" ",TRIM(C139)&amp;" ")-1),",","."))-1)/MID(SUBSTITUTE(LEFT(TRIM(C139),FIND(" ",TRIM(C139)&amp;" ")-1),",","."),FIND("/",SUBSTITUTE(LEFT(TRIM(C139),FIND(" ",TRIM(C139)&amp;" ")-1),",","."))+1,9))*12,NA()))),0),6)*'Aturan &amp; Tarif'!$B$4,2)</f>
        <v>340.68</v>
      </c>
      <c r="K139" s="42" t="n">
        <f aca="false">'Aturan &amp; Tarif'!$B$5</f>
        <v>2050</v>
      </c>
      <c r="L139" s="35" t="n">
        <f aca="false">I139+J139+K139</f>
        <v>12140.68</v>
      </c>
      <c r="M139" s="44" t="s">
        <v>461</v>
      </c>
    </row>
    <row r="140" customFormat="false" ht="48.75" hidden="false" customHeight="true" outlineLevel="0" collapsed="false">
      <c r="A140" s="29" t="s">
        <v>462</v>
      </c>
      <c r="B140" s="30" t="s">
        <v>842</v>
      </c>
      <c r="C140" s="31" t="s">
        <v>107</v>
      </c>
      <c r="D140" s="31" t="s">
        <v>108</v>
      </c>
      <c r="E140" s="32" t="n">
        <v>1950</v>
      </c>
      <c r="F140" s="32" t="n">
        <v>1800</v>
      </c>
      <c r="G140" s="32" t="n">
        <v>250</v>
      </c>
      <c r="H140" s="33" t="n">
        <v>1</v>
      </c>
      <c r="I140" s="34" t="n">
        <f aca="false">E140*H140+N(F140)+N(G140)</f>
        <v>4000</v>
      </c>
      <c r="J140" s="32" t="n">
        <f aca="false">ROUND(IFERROR(ROUND(IF(OR(ISNUMBER(SEARCH("week",C140)),ISNUMBER(SEARCH("minggu",C140))),IFERROR(_xlfn.NUMBERVALUE(SUBSTITUTE(LEFT(TRIM(C140),FIND(" ",TRIM(C140)&amp;" ")-1),",","."),"."),LEFT(SUBSTITUTE(LEFT(TRIM(C140),FIND(" ",TRIM(C140)&amp;" ")-1),",","."),FIND("/",SUBSTITUTE(LEFT(TRIM(C140),FIND(" ",TRIM(C140)&amp;" ")-1),",","."))-1)/MID(SUBSTITUTE(LEFT(TRIM(C140),FIND(" ",TRIM(C140)&amp;" ")-1),",","."),FIND("/",SUBSTITUTE(LEFT(TRIM(C140),FIND(" ",TRIM(C140)&amp;" ")-1),",","."))+1,9))*12/52,IF(ISNUMBER(SEARCH("month",C140)),IFERROR(_xlfn.NUMBERVALUE(SUBSTITUTE(LEFT(TRIM(C140),FIND(" ",TRIM(C140)&amp;" ")-1),",","."),"."),LEFT(SUBSTITUTE(LEFT(TRIM(C140),FIND(" ",TRIM(C140)&amp;" ")-1),",","."),FIND("/",SUBSTITUTE(LEFT(TRIM(C140),FIND(" ",TRIM(C140)&amp;" ")-1),",","."))-1)/MID(SUBSTITUTE(LEFT(TRIM(C140),FIND(" ",TRIM(C140)&amp;" ")-1),",","."),FIND("/",SUBSTITUTE(LEFT(TRIM(C140),FIND(" ",TRIM(C140)&amp;" ")-1),",","."))+1,9)),IF(ISNUMBER(SEARCH("yea",C140)),IFERROR(_xlfn.NUMBERVALUE(SUBSTITUTE(LEFT(TRIM(C140),FIND(" ",TRIM(C140)&amp;" ")-1),",","."),"."),LEFT(SUBSTITUTE(LEFT(TRIM(C140),FIND(" ",TRIM(C140)&amp;" ")-1),",","."),FIND("/",SUBSTITUTE(LEFT(TRIM(C140),FIND(" ",TRIM(C140)&amp;" ")-1),",","."))-1)/MID(SUBSTITUTE(LEFT(TRIM(C140),FIND(" ",TRIM(C140)&amp;" ")-1),",","."),FIND("/",SUBSTITUTE(LEFT(TRIM(C140),FIND(" ",TRIM(C140)&amp;" ")-1),",","."))+1,9))*12,NA()))),0),24)*'Aturan &amp; Tarif'!$B$4,2)</f>
        <v>1362.72</v>
      </c>
      <c r="K140" s="32" t="n">
        <f aca="false">'Aturan &amp; Tarif'!$B$5</f>
        <v>2050</v>
      </c>
      <c r="L140" s="35" t="n">
        <f aca="false">I140+J140+K140</f>
        <v>7412.72</v>
      </c>
      <c r="M140" s="36" t="s">
        <v>464</v>
      </c>
    </row>
    <row r="141" customFormat="false" ht="25.5" hidden="false" customHeight="true" outlineLevel="0" collapsed="false">
      <c r="A141" s="29"/>
      <c r="B141" s="30" t="s">
        <v>465</v>
      </c>
      <c r="C141" s="31" t="s">
        <v>107</v>
      </c>
      <c r="D141" s="31" t="s">
        <v>108</v>
      </c>
      <c r="E141" s="32" t="n">
        <v>1450</v>
      </c>
      <c r="F141" s="32" t="n">
        <v>1000</v>
      </c>
      <c r="G141" s="32" t="n">
        <v>250</v>
      </c>
      <c r="H141" s="33" t="n">
        <v>1</v>
      </c>
      <c r="I141" s="34" t="n">
        <f aca="false">E141*H141+N(F141)+N(G141)</f>
        <v>2700</v>
      </c>
      <c r="J141" s="32" t="n">
        <f aca="false">ROUND(IFERROR(ROUND(IF(OR(ISNUMBER(SEARCH("week",C141)),ISNUMBER(SEARCH("minggu",C141))),IFERROR(_xlfn.NUMBERVALUE(SUBSTITUTE(LEFT(TRIM(C141),FIND(" ",TRIM(C141)&amp;" ")-1),",","."),"."),LEFT(SUBSTITUTE(LEFT(TRIM(C141),FIND(" ",TRIM(C141)&amp;" ")-1),",","."),FIND("/",SUBSTITUTE(LEFT(TRIM(C141),FIND(" ",TRIM(C141)&amp;" ")-1),",","."))-1)/MID(SUBSTITUTE(LEFT(TRIM(C141),FIND(" ",TRIM(C141)&amp;" ")-1),",","."),FIND("/",SUBSTITUTE(LEFT(TRIM(C141),FIND(" ",TRIM(C141)&amp;" ")-1),",","."))+1,9))*12/52,IF(ISNUMBER(SEARCH("month",C141)),IFERROR(_xlfn.NUMBERVALUE(SUBSTITUTE(LEFT(TRIM(C141),FIND(" ",TRIM(C141)&amp;" ")-1),",","."),"."),LEFT(SUBSTITUTE(LEFT(TRIM(C141),FIND(" ",TRIM(C141)&amp;" ")-1),",","."),FIND("/",SUBSTITUTE(LEFT(TRIM(C141),FIND(" ",TRIM(C141)&amp;" ")-1),",","."))-1)/MID(SUBSTITUTE(LEFT(TRIM(C141),FIND(" ",TRIM(C141)&amp;" ")-1),",","."),FIND("/",SUBSTITUTE(LEFT(TRIM(C141),FIND(" ",TRIM(C141)&amp;" ")-1),",","."))+1,9)),IF(ISNUMBER(SEARCH("yea",C141)),IFERROR(_xlfn.NUMBERVALUE(SUBSTITUTE(LEFT(TRIM(C141),FIND(" ",TRIM(C141)&amp;" ")-1),",","."),"."),LEFT(SUBSTITUTE(LEFT(TRIM(C141),FIND(" ",TRIM(C141)&amp;" ")-1),",","."),FIND("/",SUBSTITUTE(LEFT(TRIM(C141),FIND(" ",TRIM(C141)&amp;" ")-1),",","."))-1)/MID(SUBSTITUTE(LEFT(TRIM(C141),FIND(" ",TRIM(C141)&amp;" ")-1),",","."),FIND("/",SUBSTITUTE(LEFT(TRIM(C141),FIND(" ",TRIM(C141)&amp;" ")-1),",","."))+1,9))*12,NA()))),0),24)*'Aturan &amp; Tarif'!$B$4,2)</f>
        <v>1362.72</v>
      </c>
      <c r="K141" s="32" t="n">
        <f aca="false">'Aturan &amp; Tarif'!$B$5</f>
        <v>2050</v>
      </c>
      <c r="L141" s="35" t="n">
        <f aca="false">I141+J141+K141</f>
        <v>6112.72</v>
      </c>
      <c r="M141" s="37" t="s">
        <v>466</v>
      </c>
    </row>
    <row r="142" customFormat="false" ht="25.5" hidden="false" customHeight="true" outlineLevel="0" collapsed="false">
      <c r="A142" s="29"/>
      <c r="B142" s="30" t="s">
        <v>467</v>
      </c>
      <c r="C142" s="31" t="s">
        <v>107</v>
      </c>
      <c r="D142" s="31" t="s">
        <v>108</v>
      </c>
      <c r="E142" s="32" t="n">
        <v>1320</v>
      </c>
      <c r="F142" s="32" t="n">
        <v>1000</v>
      </c>
      <c r="G142" s="32" t="n">
        <v>250</v>
      </c>
      <c r="H142" s="33" t="n">
        <v>1</v>
      </c>
      <c r="I142" s="34" t="n">
        <f aca="false">E142*H142+N(F142)+N(G142)</f>
        <v>2570</v>
      </c>
      <c r="J142" s="32" t="n">
        <f aca="false">ROUND(IFERROR(ROUND(IF(OR(ISNUMBER(SEARCH("week",C142)),ISNUMBER(SEARCH("minggu",C142))),IFERROR(_xlfn.NUMBERVALUE(SUBSTITUTE(LEFT(TRIM(C142),FIND(" ",TRIM(C142)&amp;" ")-1),",","."),"."),LEFT(SUBSTITUTE(LEFT(TRIM(C142),FIND(" ",TRIM(C142)&amp;" ")-1),",","."),FIND("/",SUBSTITUTE(LEFT(TRIM(C142),FIND(" ",TRIM(C142)&amp;" ")-1),",","."))-1)/MID(SUBSTITUTE(LEFT(TRIM(C142),FIND(" ",TRIM(C142)&amp;" ")-1),",","."),FIND("/",SUBSTITUTE(LEFT(TRIM(C142),FIND(" ",TRIM(C142)&amp;" ")-1),",","."))+1,9))*12/52,IF(ISNUMBER(SEARCH("month",C142)),IFERROR(_xlfn.NUMBERVALUE(SUBSTITUTE(LEFT(TRIM(C142),FIND(" ",TRIM(C142)&amp;" ")-1),",","."),"."),LEFT(SUBSTITUTE(LEFT(TRIM(C142),FIND(" ",TRIM(C142)&amp;" ")-1),",","."),FIND("/",SUBSTITUTE(LEFT(TRIM(C142),FIND(" ",TRIM(C142)&amp;" ")-1),",","."))-1)/MID(SUBSTITUTE(LEFT(TRIM(C142),FIND(" ",TRIM(C142)&amp;" ")-1),",","."),FIND("/",SUBSTITUTE(LEFT(TRIM(C142),FIND(" ",TRIM(C142)&amp;" ")-1),",","."))+1,9)),IF(ISNUMBER(SEARCH("yea",C142)),IFERROR(_xlfn.NUMBERVALUE(SUBSTITUTE(LEFT(TRIM(C142),FIND(" ",TRIM(C142)&amp;" ")-1),",","."),"."),LEFT(SUBSTITUTE(LEFT(TRIM(C142),FIND(" ",TRIM(C142)&amp;" ")-1),",","."),FIND("/",SUBSTITUTE(LEFT(TRIM(C142),FIND(" ",TRIM(C142)&amp;" ")-1),",","."))-1)/MID(SUBSTITUTE(LEFT(TRIM(C142),FIND(" ",TRIM(C142)&amp;" ")-1),",","."),FIND("/",SUBSTITUTE(LEFT(TRIM(C142),FIND(" ",TRIM(C142)&amp;" ")-1),",","."))+1,9))*12,NA()))),0),24)*'Aturan &amp; Tarif'!$B$4,2)</f>
        <v>1362.72</v>
      </c>
      <c r="K142" s="32" t="n">
        <f aca="false">'Aturan &amp; Tarif'!$B$5</f>
        <v>2050</v>
      </c>
      <c r="L142" s="35" t="n">
        <f aca="false">I142+J142+K142</f>
        <v>5982.72</v>
      </c>
      <c r="M142" s="37" t="s">
        <v>466</v>
      </c>
    </row>
    <row r="143" customFormat="false" ht="37.5" hidden="false" customHeight="true" outlineLevel="0" collapsed="false">
      <c r="A143" s="29" t="s">
        <v>468</v>
      </c>
      <c r="B143" s="30" t="s">
        <v>3488</v>
      </c>
      <c r="C143" s="31" t="s">
        <v>2557</v>
      </c>
      <c r="D143" s="31" t="s">
        <v>108</v>
      </c>
      <c r="E143" s="32" t="n">
        <v>2750</v>
      </c>
      <c r="F143" s="32" t="n">
        <v>1000</v>
      </c>
      <c r="G143" s="32" t="n">
        <v>250</v>
      </c>
      <c r="H143" s="33" t="n">
        <v>1</v>
      </c>
      <c r="I143" s="34" t="n">
        <f aca="false">E143*H143+N(F143)+N(G143)</f>
        <v>4000</v>
      </c>
      <c r="J143" s="32" t="n">
        <f aca="false">ROUND(IFERROR(ROUND(IF(OR(ISNUMBER(SEARCH("week",C143)),ISNUMBER(SEARCH("minggu",C143))),IFERROR(_xlfn.NUMBERVALUE(SUBSTITUTE(LEFT(TRIM(C143),FIND(" ",TRIM(C143)&amp;" ")-1),",","."),"."),LEFT(SUBSTITUTE(LEFT(TRIM(C143),FIND(" ",TRIM(C143)&amp;" ")-1),",","."),FIND("/",SUBSTITUTE(LEFT(TRIM(C143),FIND(" ",TRIM(C143)&amp;" ")-1),",","."))-1)/MID(SUBSTITUTE(LEFT(TRIM(C143),FIND(" ",TRIM(C143)&amp;" ")-1),",","."),FIND("/",SUBSTITUTE(LEFT(TRIM(C143),FIND(" ",TRIM(C143)&amp;" ")-1),",","."))+1,9))*12/52,IF(ISNUMBER(SEARCH("month",C143)),IFERROR(_xlfn.NUMBERVALUE(SUBSTITUTE(LEFT(TRIM(C143),FIND(" ",TRIM(C143)&amp;" ")-1),",","."),"."),LEFT(SUBSTITUTE(LEFT(TRIM(C143),FIND(" ",TRIM(C143)&amp;" ")-1),",","."),FIND("/",SUBSTITUTE(LEFT(TRIM(C143),FIND(" ",TRIM(C143)&amp;" ")-1),",","."))-1)/MID(SUBSTITUTE(LEFT(TRIM(C143),FIND(" ",TRIM(C143)&amp;" ")-1),",","."),FIND("/",SUBSTITUTE(LEFT(TRIM(C143),FIND(" ",TRIM(C143)&amp;" ")-1),",","."))+1,9)),IF(ISNUMBER(SEARCH("yea",C143)),IFERROR(_xlfn.NUMBERVALUE(SUBSTITUTE(LEFT(TRIM(C143),FIND(" ",TRIM(C143)&amp;" ")-1),",","."),"."),LEFT(SUBSTITUTE(LEFT(TRIM(C143),FIND(" ",TRIM(C143)&amp;" ")-1),",","."),FIND("/",SUBSTITUTE(LEFT(TRIM(C143),FIND(" ",TRIM(C143)&amp;" ")-1),",","."))-1)/MID(SUBSTITUTE(LEFT(TRIM(C143),FIND(" ",TRIM(C143)&amp;" ")-1),",","."),FIND("/",SUBSTITUTE(LEFT(TRIM(C143),FIND(" ",TRIM(C143)&amp;" ")-1),",","."))+1,9))*12,NA()))),0),18)*'Aturan &amp; Tarif'!$B$4,2)</f>
        <v>1022.04</v>
      </c>
      <c r="K143" s="32" t="n">
        <f aca="false">'Aturan &amp; Tarif'!$B$5</f>
        <v>2050</v>
      </c>
      <c r="L143" s="35" t="n">
        <f aca="false">I143+J143+K143</f>
        <v>7072.04</v>
      </c>
      <c r="M143" s="37" t="s">
        <v>3489</v>
      </c>
    </row>
    <row r="144" customFormat="false" ht="14.25" hidden="false" customHeight="true" outlineLevel="0" collapsed="false">
      <c r="A144" s="29"/>
      <c r="B144" s="30" t="s">
        <v>2111</v>
      </c>
      <c r="C144" s="31" t="s">
        <v>107</v>
      </c>
      <c r="D144" s="31" t="s">
        <v>108</v>
      </c>
      <c r="E144" s="32" t="n">
        <v>2063</v>
      </c>
      <c r="F144" s="32" t="n">
        <v>1000</v>
      </c>
      <c r="G144" s="32" t="n">
        <v>250</v>
      </c>
      <c r="H144" s="33" t="n">
        <v>1</v>
      </c>
      <c r="I144" s="34" t="n">
        <f aca="false">E144*H144+N(F144)+N(G144)</f>
        <v>3313</v>
      </c>
      <c r="J144" s="32" t="n">
        <f aca="false">ROUND(IFERROR(ROUND(IF(OR(ISNUMBER(SEARCH("week",C144)),ISNUMBER(SEARCH("minggu",C144))),IFERROR(_xlfn.NUMBERVALUE(SUBSTITUTE(LEFT(TRIM(C144),FIND(" ",TRIM(C144)&amp;" ")-1),",","."),"."),LEFT(SUBSTITUTE(LEFT(TRIM(C144),FIND(" ",TRIM(C144)&amp;" ")-1),",","."),FIND("/",SUBSTITUTE(LEFT(TRIM(C144),FIND(" ",TRIM(C144)&amp;" ")-1),",","."))-1)/MID(SUBSTITUTE(LEFT(TRIM(C144),FIND(" ",TRIM(C144)&amp;" ")-1),",","."),FIND("/",SUBSTITUTE(LEFT(TRIM(C144),FIND(" ",TRIM(C144)&amp;" ")-1),",","."))+1,9))*12/52,IF(ISNUMBER(SEARCH("month",C144)),IFERROR(_xlfn.NUMBERVALUE(SUBSTITUTE(LEFT(TRIM(C144),FIND(" ",TRIM(C144)&amp;" ")-1),",","."),"."),LEFT(SUBSTITUTE(LEFT(TRIM(C144),FIND(" ",TRIM(C144)&amp;" ")-1),",","."),FIND("/",SUBSTITUTE(LEFT(TRIM(C144),FIND(" ",TRIM(C144)&amp;" ")-1),",","."))-1)/MID(SUBSTITUTE(LEFT(TRIM(C144),FIND(" ",TRIM(C144)&amp;" ")-1),",","."),FIND("/",SUBSTITUTE(LEFT(TRIM(C144),FIND(" ",TRIM(C144)&amp;" ")-1),",","."))+1,9)),IF(ISNUMBER(SEARCH("yea",C144)),IFERROR(_xlfn.NUMBERVALUE(SUBSTITUTE(LEFT(TRIM(C144),FIND(" ",TRIM(C144)&amp;" ")-1),",","."),"."),LEFT(SUBSTITUTE(LEFT(TRIM(C144),FIND(" ",TRIM(C144)&amp;" ")-1),",","."),FIND("/",SUBSTITUTE(LEFT(TRIM(C144),FIND(" ",TRIM(C144)&amp;" ")-1),",","."))-1)/MID(SUBSTITUTE(LEFT(TRIM(C144),FIND(" ",TRIM(C144)&amp;" ")-1),",","."),FIND("/",SUBSTITUTE(LEFT(TRIM(C144),FIND(" ",TRIM(C144)&amp;" ")-1),",","."))+1,9))*12,NA()))),0),24)*'Aturan &amp; Tarif'!$B$4,2)</f>
        <v>1362.72</v>
      </c>
      <c r="K144" s="32" t="n">
        <f aca="false">'Aturan &amp; Tarif'!$B$5</f>
        <v>2050</v>
      </c>
      <c r="L144" s="35" t="n">
        <f aca="false">I144+J144+K144</f>
        <v>6725.72</v>
      </c>
      <c r="M144" s="37" t="s">
        <v>3489</v>
      </c>
    </row>
    <row r="145" customFormat="false" ht="25.5" hidden="false" customHeight="true" outlineLevel="0" collapsed="false">
      <c r="A145" s="29"/>
      <c r="B145" s="30" t="s">
        <v>148</v>
      </c>
      <c r="C145" s="31" t="s">
        <v>107</v>
      </c>
      <c r="D145" s="31" t="s">
        <v>108</v>
      </c>
      <c r="E145" s="32" t="n">
        <v>2500</v>
      </c>
      <c r="F145" s="32" t="n">
        <v>1500</v>
      </c>
      <c r="G145" s="32" t="n">
        <v>250</v>
      </c>
      <c r="H145" s="33" t="n">
        <v>1</v>
      </c>
      <c r="I145" s="34" t="n">
        <f aca="false">E145*H145+N(F145)+N(G145)</f>
        <v>4250</v>
      </c>
      <c r="J145" s="32" t="n">
        <f aca="false">ROUND(IFERROR(ROUND(IF(OR(ISNUMBER(SEARCH("week",C145)),ISNUMBER(SEARCH("minggu",C145))),IFERROR(_xlfn.NUMBERVALUE(SUBSTITUTE(LEFT(TRIM(C145),FIND(" ",TRIM(C145)&amp;" ")-1),",","."),"."),LEFT(SUBSTITUTE(LEFT(TRIM(C145),FIND(" ",TRIM(C145)&amp;" ")-1),",","."),FIND("/",SUBSTITUTE(LEFT(TRIM(C145),FIND(" ",TRIM(C145)&amp;" ")-1),",","."))-1)/MID(SUBSTITUTE(LEFT(TRIM(C145),FIND(" ",TRIM(C145)&amp;" ")-1),",","."),FIND("/",SUBSTITUTE(LEFT(TRIM(C145),FIND(" ",TRIM(C145)&amp;" ")-1),",","."))+1,9))*12/52,IF(ISNUMBER(SEARCH("month",C145)),IFERROR(_xlfn.NUMBERVALUE(SUBSTITUTE(LEFT(TRIM(C145),FIND(" ",TRIM(C145)&amp;" ")-1),",","."),"."),LEFT(SUBSTITUTE(LEFT(TRIM(C145),FIND(" ",TRIM(C145)&amp;" ")-1),",","."),FIND("/",SUBSTITUTE(LEFT(TRIM(C145),FIND(" ",TRIM(C145)&amp;" ")-1),",","."))-1)/MID(SUBSTITUTE(LEFT(TRIM(C145),FIND(" ",TRIM(C145)&amp;" ")-1),",","."),FIND("/",SUBSTITUTE(LEFT(TRIM(C145),FIND(" ",TRIM(C145)&amp;" ")-1),",","."))+1,9)),IF(ISNUMBER(SEARCH("yea",C145)),IFERROR(_xlfn.NUMBERVALUE(SUBSTITUTE(LEFT(TRIM(C145),FIND(" ",TRIM(C145)&amp;" ")-1),",","."),"."),LEFT(SUBSTITUTE(LEFT(TRIM(C145),FIND(" ",TRIM(C145)&amp;" ")-1),",","."),FIND("/",SUBSTITUTE(LEFT(TRIM(C145),FIND(" ",TRIM(C145)&amp;" ")-1),",","."))-1)/MID(SUBSTITUTE(LEFT(TRIM(C145),FIND(" ",TRIM(C145)&amp;" ")-1),",","."),FIND("/",SUBSTITUTE(LEFT(TRIM(C145),FIND(" ",TRIM(C145)&amp;" ")-1),",","."))+1,9))*12,NA()))),0),24)*'Aturan &amp; Tarif'!$B$4,2)</f>
        <v>1362.72</v>
      </c>
      <c r="K145" s="32" t="n">
        <f aca="false">'Aturan &amp; Tarif'!$B$5</f>
        <v>2050</v>
      </c>
      <c r="L145" s="35" t="n">
        <f aca="false">I145+J145+K145</f>
        <v>7662.72</v>
      </c>
      <c r="M145" s="37" t="s">
        <v>3489</v>
      </c>
    </row>
    <row r="146" customFormat="false" ht="25.5" hidden="false" customHeight="true" outlineLevel="0" collapsed="false">
      <c r="A146" s="29"/>
      <c r="B146" s="30" t="s">
        <v>2874</v>
      </c>
      <c r="C146" s="31" t="s">
        <v>2557</v>
      </c>
      <c r="D146" s="31" t="s">
        <v>108</v>
      </c>
      <c r="E146" s="32" t="n">
        <v>3170</v>
      </c>
      <c r="F146" s="32" t="n">
        <v>550</v>
      </c>
      <c r="G146" s="32" t="n">
        <v>250</v>
      </c>
      <c r="H146" s="33" t="n">
        <v>1</v>
      </c>
      <c r="I146" s="34" t="n">
        <f aca="false">E146*H146+N(F146)+N(G146)</f>
        <v>3970</v>
      </c>
      <c r="J146" s="32" t="n">
        <f aca="false">ROUND(IFERROR(ROUND(IF(OR(ISNUMBER(SEARCH("week",C146)),ISNUMBER(SEARCH("minggu",C146))),IFERROR(_xlfn.NUMBERVALUE(SUBSTITUTE(LEFT(TRIM(C146),FIND(" ",TRIM(C146)&amp;" ")-1),",","."),"."),LEFT(SUBSTITUTE(LEFT(TRIM(C146),FIND(" ",TRIM(C146)&amp;" ")-1),",","."),FIND("/",SUBSTITUTE(LEFT(TRIM(C146),FIND(" ",TRIM(C146)&amp;" ")-1),",","."))-1)/MID(SUBSTITUTE(LEFT(TRIM(C146),FIND(" ",TRIM(C146)&amp;" ")-1),",","."),FIND("/",SUBSTITUTE(LEFT(TRIM(C146),FIND(" ",TRIM(C146)&amp;" ")-1),",","."))+1,9))*12/52,IF(ISNUMBER(SEARCH("month",C146)),IFERROR(_xlfn.NUMBERVALUE(SUBSTITUTE(LEFT(TRIM(C146),FIND(" ",TRIM(C146)&amp;" ")-1),",","."),"."),LEFT(SUBSTITUTE(LEFT(TRIM(C146),FIND(" ",TRIM(C146)&amp;" ")-1),",","."),FIND("/",SUBSTITUTE(LEFT(TRIM(C146),FIND(" ",TRIM(C146)&amp;" ")-1),",","."))-1)/MID(SUBSTITUTE(LEFT(TRIM(C146),FIND(" ",TRIM(C146)&amp;" ")-1),",","."),FIND("/",SUBSTITUTE(LEFT(TRIM(C146),FIND(" ",TRIM(C146)&amp;" ")-1),",","."))+1,9)),IF(ISNUMBER(SEARCH("yea",C146)),IFERROR(_xlfn.NUMBERVALUE(SUBSTITUTE(LEFT(TRIM(C146),FIND(" ",TRIM(C146)&amp;" ")-1),",","."),"."),LEFT(SUBSTITUTE(LEFT(TRIM(C146),FIND(" ",TRIM(C146)&amp;" ")-1),",","."),FIND("/",SUBSTITUTE(LEFT(TRIM(C146),FIND(" ",TRIM(C146)&amp;" ")-1),",","."))-1)/MID(SUBSTITUTE(LEFT(TRIM(C146),FIND(" ",TRIM(C146)&amp;" ")-1),",","."),FIND("/",SUBSTITUTE(LEFT(TRIM(C146),FIND(" ",TRIM(C146)&amp;" ")-1),",","."))+1,9))*12,NA()))),0),18)*'Aturan &amp; Tarif'!$B$4,2)</f>
        <v>1022.04</v>
      </c>
      <c r="K146" s="32" t="n">
        <f aca="false">'Aturan &amp; Tarif'!$B$5</f>
        <v>2050</v>
      </c>
      <c r="L146" s="35" t="n">
        <f aca="false">I146+J146+K146</f>
        <v>7042.04</v>
      </c>
      <c r="M146" s="37" t="s">
        <v>3489</v>
      </c>
    </row>
    <row r="147" customFormat="false" ht="25.5" hidden="false" customHeight="true" outlineLevel="0" collapsed="false">
      <c r="A147" s="29"/>
      <c r="B147" s="30" t="s">
        <v>3490</v>
      </c>
      <c r="C147" s="31" t="s">
        <v>3491</v>
      </c>
      <c r="D147" s="31" t="s">
        <v>108</v>
      </c>
      <c r="E147" s="32" t="n">
        <v>4250</v>
      </c>
      <c r="F147" s="32" t="n">
        <v>550</v>
      </c>
      <c r="G147" s="32" t="n">
        <v>250</v>
      </c>
      <c r="H147" s="33" t="n">
        <v>1</v>
      </c>
      <c r="I147" s="34" t="n">
        <f aca="false">E147*H147+N(F147)+N(G147)</f>
        <v>5050</v>
      </c>
      <c r="J147" s="32" t="n">
        <f aca="false">ROUND(IFERROR(ROUND(IF(OR(ISNUMBER(SEARCH("week",C147)),ISNUMBER(SEARCH("minggu",C147))),IFERROR(_xlfn.NUMBERVALUE(SUBSTITUTE(LEFT(TRIM(C147),FIND(" ",TRIM(C147)&amp;" ")-1),",","."),"."),LEFT(SUBSTITUTE(LEFT(TRIM(C147),FIND(" ",TRIM(C147)&amp;" ")-1),",","."),FIND("/",SUBSTITUTE(LEFT(TRIM(C147),FIND(" ",TRIM(C147)&amp;" ")-1),",","."))-1)/MID(SUBSTITUTE(LEFT(TRIM(C147),FIND(" ",TRIM(C147)&amp;" ")-1),",","."),FIND("/",SUBSTITUTE(LEFT(TRIM(C147),FIND(" ",TRIM(C147)&amp;" ")-1),",","."))+1,9))*12/52,IF(ISNUMBER(SEARCH("month",C147)),IFERROR(_xlfn.NUMBERVALUE(SUBSTITUTE(LEFT(TRIM(C147),FIND(" ",TRIM(C147)&amp;" ")-1),",","."),"."),LEFT(SUBSTITUTE(LEFT(TRIM(C147),FIND(" ",TRIM(C147)&amp;" ")-1),",","."),FIND("/",SUBSTITUTE(LEFT(TRIM(C147),FIND(" ",TRIM(C147)&amp;" ")-1),",","."))-1)/MID(SUBSTITUTE(LEFT(TRIM(C147),FIND(" ",TRIM(C147)&amp;" ")-1),",","."),FIND("/",SUBSTITUTE(LEFT(TRIM(C147),FIND(" ",TRIM(C147)&amp;" ")-1),",","."))+1,9)),IF(ISNUMBER(SEARCH("yea",C147)),IFERROR(_xlfn.NUMBERVALUE(SUBSTITUTE(LEFT(TRIM(C147),FIND(" ",TRIM(C147)&amp;" ")-1),",","."),"."),LEFT(SUBSTITUTE(LEFT(TRIM(C147),FIND(" ",TRIM(C147)&amp;" ")-1),",","."),FIND("/",SUBSTITUTE(LEFT(TRIM(C147),FIND(" ",TRIM(C147)&amp;" ")-1),",","."))-1)/MID(SUBSTITUTE(LEFT(TRIM(C147),FIND(" ",TRIM(C147)&amp;" ")-1),",","."),FIND("/",SUBSTITUTE(LEFT(TRIM(C147),FIND(" ",TRIM(C147)&amp;" ")-1),",","."))+1,9))*12,NA()))),0),6)*'Aturan &amp; Tarif'!$B$4,2)</f>
        <v>340.68</v>
      </c>
      <c r="K147" s="32" t="n">
        <f aca="false">'Aturan &amp; Tarif'!$B$5</f>
        <v>2050</v>
      </c>
      <c r="L147" s="35" t="n">
        <f aca="false">I147+J147+K147</f>
        <v>7440.68</v>
      </c>
      <c r="M147" s="37" t="s">
        <v>3489</v>
      </c>
    </row>
    <row r="148" customFormat="false" ht="37.5" hidden="false" customHeight="true" outlineLevel="0" collapsed="false">
      <c r="A148" s="29"/>
      <c r="B148" s="30" t="s">
        <v>470</v>
      </c>
      <c r="C148" s="31" t="s">
        <v>107</v>
      </c>
      <c r="D148" s="31" t="s">
        <v>108</v>
      </c>
      <c r="E148" s="32" t="n">
        <v>3125</v>
      </c>
      <c r="F148" s="32" t="n">
        <v>750</v>
      </c>
      <c r="G148" s="32" t="n">
        <v>250</v>
      </c>
      <c r="H148" s="33" t="n">
        <v>1</v>
      </c>
      <c r="I148" s="34" t="n">
        <f aca="false">E148*H148+N(F148)+N(G148)</f>
        <v>4125</v>
      </c>
      <c r="J148" s="32" t="n">
        <f aca="false">ROUND(IFERROR(ROUND(IF(OR(ISNUMBER(SEARCH("week",C148)),ISNUMBER(SEARCH("minggu",C148))),IFERROR(_xlfn.NUMBERVALUE(SUBSTITUTE(LEFT(TRIM(C148),FIND(" ",TRIM(C148)&amp;" ")-1),",","."),"."),LEFT(SUBSTITUTE(LEFT(TRIM(C148),FIND(" ",TRIM(C148)&amp;" ")-1),",","."),FIND("/",SUBSTITUTE(LEFT(TRIM(C148),FIND(" ",TRIM(C148)&amp;" ")-1),",","."))-1)/MID(SUBSTITUTE(LEFT(TRIM(C148),FIND(" ",TRIM(C148)&amp;" ")-1),",","."),FIND("/",SUBSTITUTE(LEFT(TRIM(C148),FIND(" ",TRIM(C148)&amp;" ")-1),",","."))+1,9))*12/52,IF(ISNUMBER(SEARCH("month",C148)),IFERROR(_xlfn.NUMBERVALUE(SUBSTITUTE(LEFT(TRIM(C148),FIND(" ",TRIM(C148)&amp;" ")-1),",","."),"."),LEFT(SUBSTITUTE(LEFT(TRIM(C148),FIND(" ",TRIM(C148)&amp;" ")-1),",","."),FIND("/",SUBSTITUTE(LEFT(TRIM(C148),FIND(" ",TRIM(C148)&amp;" ")-1),",","."))-1)/MID(SUBSTITUTE(LEFT(TRIM(C148),FIND(" ",TRIM(C148)&amp;" ")-1),",","."),FIND("/",SUBSTITUTE(LEFT(TRIM(C148),FIND(" ",TRIM(C148)&amp;" ")-1),",","."))+1,9)),IF(ISNUMBER(SEARCH("yea",C148)),IFERROR(_xlfn.NUMBERVALUE(SUBSTITUTE(LEFT(TRIM(C148),FIND(" ",TRIM(C148)&amp;" ")-1),",","."),"."),LEFT(SUBSTITUTE(LEFT(TRIM(C148),FIND(" ",TRIM(C148)&amp;" ")-1),",","."),FIND("/",SUBSTITUTE(LEFT(TRIM(C148),FIND(" ",TRIM(C148)&amp;" ")-1),",","."))-1)/MID(SUBSTITUTE(LEFT(TRIM(C148),FIND(" ",TRIM(C148)&amp;" ")-1),",","."),FIND("/",SUBSTITUTE(LEFT(TRIM(C148),FIND(" ",TRIM(C148)&amp;" ")-1),",","."))+1,9))*12,NA()))),0),24)*'Aturan &amp; Tarif'!$B$4,2)</f>
        <v>1362.72</v>
      </c>
      <c r="K148" s="32" t="n">
        <f aca="false">'Aturan &amp; Tarif'!$B$5</f>
        <v>2050</v>
      </c>
      <c r="L148" s="35" t="n">
        <f aca="false">I148+J148+K148</f>
        <v>7537.72</v>
      </c>
      <c r="M148" s="37" t="s">
        <v>3489</v>
      </c>
    </row>
    <row r="149" customFormat="false" ht="14.25" hidden="false" customHeight="true" outlineLevel="0" collapsed="false">
      <c r="A149" s="29"/>
      <c r="B149" s="30" t="s">
        <v>471</v>
      </c>
      <c r="C149" s="31" t="s">
        <v>107</v>
      </c>
      <c r="D149" s="31" t="s">
        <v>108</v>
      </c>
      <c r="E149" s="32" t="n">
        <v>2937.5</v>
      </c>
      <c r="F149" s="32" t="n">
        <v>2000</v>
      </c>
      <c r="G149" s="32" t="n">
        <v>250</v>
      </c>
      <c r="H149" s="33" t="n">
        <v>1</v>
      </c>
      <c r="I149" s="34" t="n">
        <f aca="false">E149*H149+N(F149)+N(G149)</f>
        <v>5187.5</v>
      </c>
      <c r="J149" s="32" t="n">
        <f aca="false">ROUND(IFERROR(ROUND(IF(OR(ISNUMBER(SEARCH("week",C149)),ISNUMBER(SEARCH("minggu",C149))),IFERROR(_xlfn.NUMBERVALUE(SUBSTITUTE(LEFT(TRIM(C149),FIND(" ",TRIM(C149)&amp;" ")-1),",","."),"."),LEFT(SUBSTITUTE(LEFT(TRIM(C149),FIND(" ",TRIM(C149)&amp;" ")-1),",","."),FIND("/",SUBSTITUTE(LEFT(TRIM(C149),FIND(" ",TRIM(C149)&amp;" ")-1),",","."))-1)/MID(SUBSTITUTE(LEFT(TRIM(C149),FIND(" ",TRIM(C149)&amp;" ")-1),",","."),FIND("/",SUBSTITUTE(LEFT(TRIM(C149),FIND(" ",TRIM(C149)&amp;" ")-1),",","."))+1,9))*12/52,IF(ISNUMBER(SEARCH("month",C149)),IFERROR(_xlfn.NUMBERVALUE(SUBSTITUTE(LEFT(TRIM(C149),FIND(" ",TRIM(C149)&amp;" ")-1),",","."),"."),LEFT(SUBSTITUTE(LEFT(TRIM(C149),FIND(" ",TRIM(C149)&amp;" ")-1),",","."),FIND("/",SUBSTITUTE(LEFT(TRIM(C149),FIND(" ",TRIM(C149)&amp;" ")-1),",","."))-1)/MID(SUBSTITUTE(LEFT(TRIM(C149),FIND(" ",TRIM(C149)&amp;" ")-1),",","."),FIND("/",SUBSTITUTE(LEFT(TRIM(C149),FIND(" ",TRIM(C149)&amp;" ")-1),",","."))+1,9)),IF(ISNUMBER(SEARCH("yea",C149)),IFERROR(_xlfn.NUMBERVALUE(SUBSTITUTE(LEFT(TRIM(C149),FIND(" ",TRIM(C149)&amp;" ")-1),",","."),"."),LEFT(SUBSTITUTE(LEFT(TRIM(C149),FIND(" ",TRIM(C149)&amp;" ")-1),",","."),FIND("/",SUBSTITUTE(LEFT(TRIM(C149),FIND(" ",TRIM(C149)&amp;" ")-1),",","."))-1)/MID(SUBSTITUTE(LEFT(TRIM(C149),FIND(" ",TRIM(C149)&amp;" ")-1),",","."),FIND("/",SUBSTITUTE(LEFT(TRIM(C149),FIND(" ",TRIM(C149)&amp;" ")-1),",","."))+1,9))*12,NA()))),0),24)*'Aturan &amp; Tarif'!$B$4,2)</f>
        <v>1362.72</v>
      </c>
      <c r="K149" s="32" t="n">
        <f aca="false">'Aturan &amp; Tarif'!$B$5</f>
        <v>2050</v>
      </c>
      <c r="L149" s="35" t="n">
        <f aca="false">I149+J149+K149</f>
        <v>8600.22</v>
      </c>
      <c r="M149" s="37" t="s">
        <v>3489</v>
      </c>
    </row>
    <row r="150" customFormat="false" ht="14.25" hidden="false" customHeight="true" outlineLevel="0" collapsed="false">
      <c r="A150" s="29"/>
      <c r="B150" s="30" t="s">
        <v>3492</v>
      </c>
      <c r="C150" s="31" t="s">
        <v>486</v>
      </c>
      <c r="D150" s="31" t="s">
        <v>108</v>
      </c>
      <c r="E150" s="32" t="n">
        <v>1625</v>
      </c>
      <c r="F150" s="32" t="n">
        <v>250</v>
      </c>
      <c r="G150" s="32" t="n">
        <v>250</v>
      </c>
      <c r="H150" s="33" t="n">
        <v>1</v>
      </c>
      <c r="I150" s="34" t="n">
        <f aca="false">E150*H150+N(F150)+N(G150)</f>
        <v>2125</v>
      </c>
      <c r="J150" s="32" t="n">
        <f aca="false">ROUND(IFERROR(ROUND(IF(OR(ISNUMBER(SEARCH("week",C150)),ISNUMBER(SEARCH("minggu",C150))),IFERROR(_xlfn.NUMBERVALUE(SUBSTITUTE(LEFT(TRIM(C150),FIND(" ",TRIM(C150)&amp;" ")-1),",","."),"."),LEFT(SUBSTITUTE(LEFT(TRIM(C150),FIND(" ",TRIM(C150)&amp;" ")-1),",","."),FIND("/",SUBSTITUTE(LEFT(TRIM(C150),FIND(" ",TRIM(C150)&amp;" ")-1),",","."))-1)/MID(SUBSTITUTE(LEFT(TRIM(C150),FIND(" ",TRIM(C150)&amp;" ")-1),",","."),FIND("/",SUBSTITUTE(LEFT(TRIM(C150),FIND(" ",TRIM(C150)&amp;" ")-1),",","."))+1,9))*12/52,IF(ISNUMBER(SEARCH("month",C150)),IFERROR(_xlfn.NUMBERVALUE(SUBSTITUTE(LEFT(TRIM(C150),FIND(" ",TRIM(C150)&amp;" ")-1),",","."),"."),LEFT(SUBSTITUTE(LEFT(TRIM(C150),FIND(" ",TRIM(C150)&amp;" ")-1),",","."),FIND("/",SUBSTITUTE(LEFT(TRIM(C150),FIND(" ",TRIM(C150)&amp;" ")-1),",","."))-1)/MID(SUBSTITUTE(LEFT(TRIM(C150),FIND(" ",TRIM(C150)&amp;" ")-1),",","."),FIND("/",SUBSTITUTE(LEFT(TRIM(C150),FIND(" ",TRIM(C150)&amp;" ")-1),",","."))+1,9)),IF(ISNUMBER(SEARCH("yea",C150)),IFERROR(_xlfn.NUMBERVALUE(SUBSTITUTE(LEFT(TRIM(C150),FIND(" ",TRIM(C150)&amp;" ")-1),",","."),"."),LEFT(SUBSTITUTE(LEFT(TRIM(C150),FIND(" ",TRIM(C150)&amp;" ")-1),",","."),FIND("/",SUBSTITUTE(LEFT(TRIM(C150),FIND(" ",TRIM(C150)&amp;" ")-1),",","."))-1)/MID(SUBSTITUTE(LEFT(TRIM(C150),FIND(" ",TRIM(C150)&amp;" ")-1),",","."),FIND("/",SUBSTITUTE(LEFT(TRIM(C150),FIND(" ",TRIM(C150)&amp;" ")-1),",","."))+1,9))*12,NA()))),0),12)*'Aturan &amp; Tarif'!$B$4,2)</f>
        <v>681.36</v>
      </c>
      <c r="K150" s="32" t="n">
        <f aca="false">'Aturan &amp; Tarif'!$B$5</f>
        <v>2050</v>
      </c>
      <c r="L150" s="35" t="n">
        <f aca="false">I150+J150+K150</f>
        <v>4856.36</v>
      </c>
      <c r="M150" s="37" t="s">
        <v>3489</v>
      </c>
    </row>
    <row r="151" customFormat="false" ht="14.25" hidden="false" customHeight="true" outlineLevel="0" collapsed="false">
      <c r="A151" s="29"/>
      <c r="B151" s="30" t="s">
        <v>3493</v>
      </c>
      <c r="C151" s="31" t="s">
        <v>486</v>
      </c>
      <c r="D151" s="31" t="s">
        <v>108</v>
      </c>
      <c r="E151" s="32" t="n">
        <v>1625</v>
      </c>
      <c r="F151" s="32" t="n">
        <v>250</v>
      </c>
      <c r="G151" s="32" t="n">
        <v>250</v>
      </c>
      <c r="H151" s="33" t="n">
        <v>1</v>
      </c>
      <c r="I151" s="34" t="n">
        <f aca="false">E151*H151+N(F151)+N(G151)</f>
        <v>2125</v>
      </c>
      <c r="J151" s="32" t="n">
        <f aca="false">ROUND(IFERROR(ROUND(IF(OR(ISNUMBER(SEARCH("week",C151)),ISNUMBER(SEARCH("minggu",C151))),IFERROR(_xlfn.NUMBERVALUE(SUBSTITUTE(LEFT(TRIM(C151),FIND(" ",TRIM(C151)&amp;" ")-1),",","."),"."),LEFT(SUBSTITUTE(LEFT(TRIM(C151),FIND(" ",TRIM(C151)&amp;" ")-1),",","."),FIND("/",SUBSTITUTE(LEFT(TRIM(C151),FIND(" ",TRIM(C151)&amp;" ")-1),",","."))-1)/MID(SUBSTITUTE(LEFT(TRIM(C151),FIND(" ",TRIM(C151)&amp;" ")-1),",","."),FIND("/",SUBSTITUTE(LEFT(TRIM(C151),FIND(" ",TRIM(C151)&amp;" ")-1),",","."))+1,9))*12/52,IF(ISNUMBER(SEARCH("month",C151)),IFERROR(_xlfn.NUMBERVALUE(SUBSTITUTE(LEFT(TRIM(C151),FIND(" ",TRIM(C151)&amp;" ")-1),",","."),"."),LEFT(SUBSTITUTE(LEFT(TRIM(C151),FIND(" ",TRIM(C151)&amp;" ")-1),",","."),FIND("/",SUBSTITUTE(LEFT(TRIM(C151),FIND(" ",TRIM(C151)&amp;" ")-1),",","."))-1)/MID(SUBSTITUTE(LEFT(TRIM(C151),FIND(" ",TRIM(C151)&amp;" ")-1),",","."),FIND("/",SUBSTITUTE(LEFT(TRIM(C151),FIND(" ",TRIM(C151)&amp;" ")-1),",","."))+1,9)),IF(ISNUMBER(SEARCH("yea",C151)),IFERROR(_xlfn.NUMBERVALUE(SUBSTITUTE(LEFT(TRIM(C151),FIND(" ",TRIM(C151)&amp;" ")-1),",","."),"."),LEFT(SUBSTITUTE(LEFT(TRIM(C151),FIND(" ",TRIM(C151)&amp;" ")-1),",","."),FIND("/",SUBSTITUTE(LEFT(TRIM(C151),FIND(" ",TRIM(C151)&amp;" ")-1),",","."))-1)/MID(SUBSTITUTE(LEFT(TRIM(C151),FIND(" ",TRIM(C151)&amp;" ")-1),",","."),FIND("/",SUBSTITUTE(LEFT(TRIM(C151),FIND(" ",TRIM(C151)&amp;" ")-1),",","."))+1,9))*12,NA()))),0),12)*'Aturan &amp; Tarif'!$B$4,2)</f>
        <v>681.36</v>
      </c>
      <c r="K151" s="32" t="n">
        <f aca="false">'Aturan &amp; Tarif'!$B$5</f>
        <v>2050</v>
      </c>
      <c r="L151" s="35" t="n">
        <f aca="false">I151+J151+K151</f>
        <v>4856.36</v>
      </c>
      <c r="M151" s="37" t="s">
        <v>3489</v>
      </c>
    </row>
    <row r="152" customFormat="false" ht="37.5" hidden="false" customHeight="true" outlineLevel="0" collapsed="false">
      <c r="A152" s="39" t="s">
        <v>472</v>
      </c>
      <c r="B152" s="40" t="s">
        <v>2864</v>
      </c>
      <c r="C152" s="41" t="s">
        <v>138</v>
      </c>
      <c r="D152" s="41" t="s">
        <v>108</v>
      </c>
      <c r="E152" s="42" t="n">
        <v>2300</v>
      </c>
      <c r="F152" s="42" t="n">
        <v>1000</v>
      </c>
      <c r="G152" s="42" t="n">
        <v>250</v>
      </c>
      <c r="H152" s="43" t="n">
        <v>1</v>
      </c>
      <c r="I152" s="34" t="n">
        <f aca="false">E152*H152+N(F152)+N(G152)</f>
        <v>3550</v>
      </c>
      <c r="J152" s="42" t="n">
        <f aca="false">ROUND(IFERROR(ROUND(IF(OR(ISNUMBER(SEARCH("week",C152)),ISNUMBER(SEARCH("minggu",C152))),IFERROR(_xlfn.NUMBERVALUE(SUBSTITUTE(LEFT(TRIM(C152),FIND(" ",TRIM(C152)&amp;" ")-1),",","."),"."),LEFT(SUBSTITUTE(LEFT(TRIM(C152),FIND(" ",TRIM(C152)&amp;" ")-1),",","."),FIND("/",SUBSTITUTE(LEFT(TRIM(C152),FIND(" ",TRIM(C152)&amp;" ")-1),",","."))-1)/MID(SUBSTITUTE(LEFT(TRIM(C152),FIND(" ",TRIM(C152)&amp;" ")-1),",","."),FIND("/",SUBSTITUTE(LEFT(TRIM(C152),FIND(" ",TRIM(C152)&amp;" ")-1),",","."))+1,9))*12/52,IF(ISNUMBER(SEARCH("month",C152)),IFERROR(_xlfn.NUMBERVALUE(SUBSTITUTE(LEFT(TRIM(C152),FIND(" ",TRIM(C152)&amp;" ")-1),",","."),"."),LEFT(SUBSTITUTE(LEFT(TRIM(C152),FIND(" ",TRIM(C152)&amp;" ")-1),",","."),FIND("/",SUBSTITUTE(LEFT(TRIM(C152),FIND(" ",TRIM(C152)&amp;" ")-1),",","."))-1)/MID(SUBSTITUTE(LEFT(TRIM(C152),FIND(" ",TRIM(C152)&amp;" ")-1),",","."),FIND("/",SUBSTITUTE(LEFT(TRIM(C152),FIND(" ",TRIM(C152)&amp;" ")-1),",","."))+1,9)),IF(ISNUMBER(SEARCH("yea",C152)),IFERROR(_xlfn.NUMBERVALUE(SUBSTITUTE(LEFT(TRIM(C152),FIND(" ",TRIM(C152)&amp;" ")-1),",","."),"."),LEFT(SUBSTITUTE(LEFT(TRIM(C152),FIND(" ",TRIM(C152)&amp;" ")-1),",","."),FIND("/",SUBSTITUTE(LEFT(TRIM(C152),FIND(" ",TRIM(C152)&amp;" ")-1),",","."))-1)/MID(SUBSTITUTE(LEFT(TRIM(C152),FIND(" ",TRIM(C152)&amp;" ")-1),",","."),FIND("/",SUBSTITUTE(LEFT(TRIM(C152),FIND(" ",TRIM(C152)&amp;" ")-1),",","."))+1,9))*12,NA()))),0),30)*'Aturan &amp; Tarif'!$B$4,2)</f>
        <v>1703.4</v>
      </c>
      <c r="K152" s="42" t="n">
        <f aca="false">'Aturan &amp; Tarif'!$B$5</f>
        <v>2050</v>
      </c>
      <c r="L152" s="35" t="n">
        <f aca="false">I152+J152+K152</f>
        <v>7303.4</v>
      </c>
      <c r="M152" s="45" t="s">
        <v>134</v>
      </c>
    </row>
    <row r="153" customFormat="false" ht="37.5" hidden="false" customHeight="true" outlineLevel="0" collapsed="false">
      <c r="A153" s="39"/>
      <c r="B153" s="40" t="s">
        <v>474</v>
      </c>
      <c r="C153" s="41" t="s">
        <v>107</v>
      </c>
      <c r="D153" s="41" t="s">
        <v>108</v>
      </c>
      <c r="E153" s="42" t="n">
        <v>2315</v>
      </c>
      <c r="F153" s="42" t="n">
        <v>1200</v>
      </c>
      <c r="G153" s="42" t="n">
        <v>500</v>
      </c>
      <c r="H153" s="43" t="n">
        <v>1</v>
      </c>
      <c r="I153" s="34" t="n">
        <f aca="false">E153*H153+N(F153)+N(G153)</f>
        <v>4015</v>
      </c>
      <c r="J153" s="42" t="n">
        <f aca="false">ROUND(IFERROR(ROUND(IF(OR(ISNUMBER(SEARCH("week",C153)),ISNUMBER(SEARCH("minggu",C153))),IFERROR(_xlfn.NUMBERVALUE(SUBSTITUTE(LEFT(TRIM(C153),FIND(" ",TRIM(C153)&amp;" ")-1),",","."),"."),LEFT(SUBSTITUTE(LEFT(TRIM(C153),FIND(" ",TRIM(C153)&amp;" ")-1),",","."),FIND("/",SUBSTITUTE(LEFT(TRIM(C153),FIND(" ",TRIM(C153)&amp;" ")-1),",","."))-1)/MID(SUBSTITUTE(LEFT(TRIM(C153),FIND(" ",TRIM(C153)&amp;" ")-1),",","."),FIND("/",SUBSTITUTE(LEFT(TRIM(C153),FIND(" ",TRIM(C153)&amp;" ")-1),",","."))+1,9))*12/52,IF(ISNUMBER(SEARCH("month",C153)),IFERROR(_xlfn.NUMBERVALUE(SUBSTITUTE(LEFT(TRIM(C153),FIND(" ",TRIM(C153)&amp;" ")-1),",","."),"."),LEFT(SUBSTITUTE(LEFT(TRIM(C153),FIND(" ",TRIM(C153)&amp;" ")-1),",","."),FIND("/",SUBSTITUTE(LEFT(TRIM(C153),FIND(" ",TRIM(C153)&amp;" ")-1),",","."))-1)/MID(SUBSTITUTE(LEFT(TRIM(C153),FIND(" ",TRIM(C153)&amp;" ")-1),",","."),FIND("/",SUBSTITUTE(LEFT(TRIM(C153),FIND(" ",TRIM(C153)&amp;" ")-1),",","."))+1,9)),IF(ISNUMBER(SEARCH("yea",C153)),IFERROR(_xlfn.NUMBERVALUE(SUBSTITUTE(LEFT(TRIM(C153),FIND(" ",TRIM(C153)&amp;" ")-1),",","."),"."),LEFT(SUBSTITUTE(LEFT(TRIM(C153),FIND(" ",TRIM(C153)&amp;" ")-1),",","."),FIND("/",SUBSTITUTE(LEFT(TRIM(C153),FIND(" ",TRIM(C153)&amp;" ")-1),",","."))-1)/MID(SUBSTITUTE(LEFT(TRIM(C153),FIND(" ",TRIM(C153)&amp;" ")-1),",","."),FIND("/",SUBSTITUTE(LEFT(TRIM(C153),FIND(" ",TRIM(C153)&amp;" ")-1),",","."))+1,9))*12,NA()))),0),24)*'Aturan &amp; Tarif'!$B$4,2)</f>
        <v>1362.72</v>
      </c>
      <c r="K153" s="42" t="n">
        <f aca="false">'Aturan &amp; Tarif'!$B$5</f>
        <v>2050</v>
      </c>
      <c r="L153" s="35" t="n">
        <f aca="false">I153+J153+K153</f>
        <v>7427.72</v>
      </c>
      <c r="M153" s="45" t="s">
        <v>134</v>
      </c>
    </row>
    <row r="154" customFormat="false" ht="25.5" hidden="false" customHeight="true" outlineLevel="0" collapsed="false">
      <c r="A154" s="39"/>
      <c r="B154" s="40" t="s">
        <v>475</v>
      </c>
      <c r="C154" s="41" t="s">
        <v>127</v>
      </c>
      <c r="D154" s="41" t="s">
        <v>108</v>
      </c>
      <c r="E154" s="42" t="n">
        <v>2000</v>
      </c>
      <c r="F154" s="42" t="n">
        <v>1100</v>
      </c>
      <c r="G154" s="42" t="n">
        <v>250</v>
      </c>
      <c r="H154" s="43" t="n">
        <v>1</v>
      </c>
      <c r="I154" s="34" t="n">
        <f aca="false">E154*H154+N(F154)+N(G154)</f>
        <v>3350</v>
      </c>
      <c r="J154" s="42" t="n">
        <f aca="false">ROUND(IFERROR(ROUND(IF(OR(ISNUMBER(SEARCH("week",C154)),ISNUMBER(SEARCH("minggu",C154))),IFERROR(_xlfn.NUMBERVALUE(SUBSTITUTE(LEFT(TRIM(C154),FIND(" ",TRIM(C154)&amp;" ")-1),",","."),"."),LEFT(SUBSTITUTE(LEFT(TRIM(C154),FIND(" ",TRIM(C154)&amp;" ")-1),",","."),FIND("/",SUBSTITUTE(LEFT(TRIM(C154),FIND(" ",TRIM(C154)&amp;" ")-1),",","."))-1)/MID(SUBSTITUTE(LEFT(TRIM(C154),FIND(" ",TRIM(C154)&amp;" ")-1),",","."),FIND("/",SUBSTITUTE(LEFT(TRIM(C154),FIND(" ",TRIM(C154)&amp;" ")-1),",","."))+1,9))*12/52,IF(ISNUMBER(SEARCH("month",C154)),IFERROR(_xlfn.NUMBERVALUE(SUBSTITUTE(LEFT(TRIM(C154),FIND(" ",TRIM(C154)&amp;" ")-1),",","."),"."),LEFT(SUBSTITUTE(LEFT(TRIM(C154),FIND(" ",TRIM(C154)&amp;" ")-1),",","."),FIND("/",SUBSTITUTE(LEFT(TRIM(C154),FIND(" ",TRIM(C154)&amp;" ")-1),",","."))-1)/MID(SUBSTITUTE(LEFT(TRIM(C154),FIND(" ",TRIM(C154)&amp;" ")-1),",","."),FIND("/",SUBSTITUTE(LEFT(TRIM(C154),FIND(" ",TRIM(C154)&amp;" ")-1),",","."))+1,9)),IF(ISNUMBER(SEARCH("yea",C154)),IFERROR(_xlfn.NUMBERVALUE(SUBSTITUTE(LEFT(TRIM(C154),FIND(" ",TRIM(C154)&amp;" ")-1),",","."),"."),LEFT(SUBSTITUTE(LEFT(TRIM(C154),FIND(" ",TRIM(C154)&amp;" ")-1),",","."),FIND("/",SUBSTITUTE(LEFT(TRIM(C154),FIND(" ",TRIM(C154)&amp;" ")-1),",","."))-1)/MID(SUBSTITUTE(LEFT(TRIM(C154),FIND(" ",TRIM(C154)&amp;" ")-1),",","."),FIND("/",SUBSTITUTE(LEFT(TRIM(C154),FIND(" ",TRIM(C154)&amp;" ")-1),",","."))+1,9))*12,NA()))),0),36)*'Aturan &amp; Tarif'!$B$4,2)</f>
        <v>2044.08</v>
      </c>
      <c r="K154" s="42" t="n">
        <f aca="false">'Aturan &amp; Tarif'!$B$5</f>
        <v>2050</v>
      </c>
      <c r="L154" s="35" t="n">
        <f aca="false">I154+J154+K154</f>
        <v>7444.08</v>
      </c>
      <c r="M154" s="45" t="s">
        <v>134</v>
      </c>
    </row>
    <row r="155" customFormat="false" ht="25.5" hidden="false" customHeight="true" outlineLevel="0" collapsed="false">
      <c r="A155" s="39"/>
      <c r="B155" s="40" t="s">
        <v>476</v>
      </c>
      <c r="C155" s="41" t="s">
        <v>107</v>
      </c>
      <c r="D155" s="41" t="s">
        <v>108</v>
      </c>
      <c r="E155" s="42" t="n">
        <v>1625</v>
      </c>
      <c r="F155" s="42" t="n">
        <v>200</v>
      </c>
      <c r="G155" s="42" t="n">
        <v>250</v>
      </c>
      <c r="H155" s="43" t="n">
        <v>1</v>
      </c>
      <c r="I155" s="34" t="n">
        <f aca="false">E155*H155+N(F155)+N(G155)</f>
        <v>2075</v>
      </c>
      <c r="J155" s="42" t="n">
        <f aca="false">ROUND(IFERROR(ROUND(IF(OR(ISNUMBER(SEARCH("week",C155)),ISNUMBER(SEARCH("minggu",C155))),IFERROR(_xlfn.NUMBERVALUE(SUBSTITUTE(LEFT(TRIM(C155),FIND(" ",TRIM(C155)&amp;" ")-1),",","."),"."),LEFT(SUBSTITUTE(LEFT(TRIM(C155),FIND(" ",TRIM(C155)&amp;" ")-1),",","."),FIND("/",SUBSTITUTE(LEFT(TRIM(C155),FIND(" ",TRIM(C155)&amp;" ")-1),",","."))-1)/MID(SUBSTITUTE(LEFT(TRIM(C155),FIND(" ",TRIM(C155)&amp;" ")-1),",","."),FIND("/",SUBSTITUTE(LEFT(TRIM(C155),FIND(" ",TRIM(C155)&amp;" ")-1),",","."))+1,9))*12/52,IF(ISNUMBER(SEARCH("month",C155)),IFERROR(_xlfn.NUMBERVALUE(SUBSTITUTE(LEFT(TRIM(C155),FIND(" ",TRIM(C155)&amp;" ")-1),",","."),"."),LEFT(SUBSTITUTE(LEFT(TRIM(C155),FIND(" ",TRIM(C155)&amp;" ")-1),",","."),FIND("/",SUBSTITUTE(LEFT(TRIM(C155),FIND(" ",TRIM(C155)&amp;" ")-1),",","."))-1)/MID(SUBSTITUTE(LEFT(TRIM(C155),FIND(" ",TRIM(C155)&amp;" ")-1),",","."),FIND("/",SUBSTITUTE(LEFT(TRIM(C155),FIND(" ",TRIM(C155)&amp;" ")-1),",","."))+1,9)),IF(ISNUMBER(SEARCH("yea",C155)),IFERROR(_xlfn.NUMBERVALUE(SUBSTITUTE(LEFT(TRIM(C155),FIND(" ",TRIM(C155)&amp;" ")-1),",","."),"."),LEFT(SUBSTITUTE(LEFT(TRIM(C155),FIND(" ",TRIM(C155)&amp;" ")-1),",","."),FIND("/",SUBSTITUTE(LEFT(TRIM(C155),FIND(" ",TRIM(C155)&amp;" ")-1),",","."))-1)/MID(SUBSTITUTE(LEFT(TRIM(C155),FIND(" ",TRIM(C155)&amp;" ")-1),",","."),FIND("/",SUBSTITUTE(LEFT(TRIM(C155),FIND(" ",TRIM(C155)&amp;" ")-1),",","."))+1,9))*12,NA()))),0),24)*'Aturan &amp; Tarif'!$B$4,2)</f>
        <v>1362.72</v>
      </c>
      <c r="K155" s="42" t="n">
        <f aca="false">'Aturan &amp; Tarif'!$B$5</f>
        <v>2050</v>
      </c>
      <c r="L155" s="35" t="n">
        <f aca="false">I155+J155+K155</f>
        <v>5487.72</v>
      </c>
      <c r="M155" s="45" t="s">
        <v>134</v>
      </c>
    </row>
    <row r="156" customFormat="false" ht="72" hidden="false" customHeight="true" outlineLevel="0" collapsed="false">
      <c r="A156" s="39" t="s">
        <v>477</v>
      </c>
      <c r="B156" s="40" t="s">
        <v>478</v>
      </c>
      <c r="C156" s="41" t="s">
        <v>130</v>
      </c>
      <c r="D156" s="41" t="s">
        <v>108</v>
      </c>
      <c r="E156" s="42" t="n">
        <v>2750</v>
      </c>
      <c r="F156" s="42" t="n">
        <v>250</v>
      </c>
      <c r="G156" s="42" t="n">
        <v>150</v>
      </c>
      <c r="H156" s="43" t="n">
        <v>1</v>
      </c>
      <c r="I156" s="34" t="n">
        <f aca="false">E156*H156+N(F156)+N(G156)</f>
        <v>3150</v>
      </c>
      <c r="J156" s="42" t="n">
        <f aca="false">ROUND(IFERROR(ROUND(IF(OR(ISNUMBER(SEARCH("week",C156)),ISNUMBER(SEARCH("minggu",C156))),IFERROR(_xlfn.NUMBERVALUE(SUBSTITUTE(LEFT(TRIM(C156),FIND(" ",TRIM(C156)&amp;" ")-1),",","."),"."),LEFT(SUBSTITUTE(LEFT(TRIM(C156),FIND(" ",TRIM(C156)&amp;" ")-1),",","."),FIND("/",SUBSTITUTE(LEFT(TRIM(C156),FIND(" ",TRIM(C156)&amp;" ")-1),",","."))-1)/MID(SUBSTITUTE(LEFT(TRIM(C156),FIND(" ",TRIM(C156)&amp;" ")-1),",","."),FIND("/",SUBSTITUTE(LEFT(TRIM(C156),FIND(" ",TRIM(C156)&amp;" ")-1),",","."))+1,9))*12/52,IF(ISNUMBER(SEARCH("month",C156)),IFERROR(_xlfn.NUMBERVALUE(SUBSTITUTE(LEFT(TRIM(C156),FIND(" ",TRIM(C156)&amp;" ")-1),",","."),"."),LEFT(SUBSTITUTE(LEFT(TRIM(C156),FIND(" ",TRIM(C156)&amp;" ")-1),",","."),FIND("/",SUBSTITUTE(LEFT(TRIM(C156),FIND(" ",TRIM(C156)&amp;" ")-1),",","."))-1)/MID(SUBSTITUTE(LEFT(TRIM(C156),FIND(" ",TRIM(C156)&amp;" ")-1),",","."),FIND("/",SUBSTITUTE(LEFT(TRIM(C156),FIND(" ",TRIM(C156)&amp;" ")-1),",","."))+1,9)),IF(ISNUMBER(SEARCH("yea",C156)),IFERROR(_xlfn.NUMBERVALUE(SUBSTITUTE(LEFT(TRIM(C156),FIND(" ",TRIM(C156)&amp;" ")-1),",","."),"."),LEFT(SUBSTITUTE(LEFT(TRIM(C156),FIND(" ",TRIM(C156)&amp;" ")-1),",","."),FIND("/",SUBSTITUTE(LEFT(TRIM(C156),FIND(" ",TRIM(C156)&amp;" ")-1),",","."))-1)/MID(SUBSTITUTE(LEFT(TRIM(C156),FIND(" ",TRIM(C156)&amp;" ")-1),",","."),FIND("/",SUBSTITUTE(LEFT(TRIM(C156),FIND(" ",TRIM(C156)&amp;" ")-1),",","."))+1,9))*12,NA()))),0),12)*'Aturan &amp; Tarif'!$B$4,2)</f>
        <v>681.36</v>
      </c>
      <c r="K156" s="42" t="n">
        <f aca="false">'Aturan &amp; Tarif'!$B$5</f>
        <v>2050</v>
      </c>
      <c r="L156" s="35" t="n">
        <f aca="false">I156+J156+K156</f>
        <v>5881.36</v>
      </c>
      <c r="M156" s="44" t="s">
        <v>479</v>
      </c>
    </row>
    <row r="157" customFormat="false" ht="14.25" hidden="false" customHeight="true" outlineLevel="0" collapsed="false">
      <c r="A157" s="39"/>
      <c r="B157" s="40" t="s">
        <v>480</v>
      </c>
      <c r="C157" s="41" t="s">
        <v>130</v>
      </c>
      <c r="D157" s="41" t="s">
        <v>108</v>
      </c>
      <c r="E157" s="42" t="n">
        <v>2750</v>
      </c>
      <c r="F157" s="42" t="n">
        <v>250</v>
      </c>
      <c r="G157" s="42" t="n">
        <v>150</v>
      </c>
      <c r="H157" s="43" t="n">
        <v>1</v>
      </c>
      <c r="I157" s="34" t="n">
        <f aca="false">E157*H157+N(F157)+N(G157)</f>
        <v>3150</v>
      </c>
      <c r="J157" s="42" t="n">
        <f aca="false">ROUND(IFERROR(ROUND(IF(OR(ISNUMBER(SEARCH("week",C157)),ISNUMBER(SEARCH("minggu",C157))),IFERROR(_xlfn.NUMBERVALUE(SUBSTITUTE(LEFT(TRIM(C157),FIND(" ",TRIM(C157)&amp;" ")-1),",","."),"."),LEFT(SUBSTITUTE(LEFT(TRIM(C157),FIND(" ",TRIM(C157)&amp;" ")-1),",","."),FIND("/",SUBSTITUTE(LEFT(TRIM(C157),FIND(" ",TRIM(C157)&amp;" ")-1),",","."))-1)/MID(SUBSTITUTE(LEFT(TRIM(C157),FIND(" ",TRIM(C157)&amp;" ")-1),",","."),FIND("/",SUBSTITUTE(LEFT(TRIM(C157),FIND(" ",TRIM(C157)&amp;" ")-1),",","."))+1,9))*12/52,IF(ISNUMBER(SEARCH("month",C157)),IFERROR(_xlfn.NUMBERVALUE(SUBSTITUTE(LEFT(TRIM(C157),FIND(" ",TRIM(C157)&amp;" ")-1),",","."),"."),LEFT(SUBSTITUTE(LEFT(TRIM(C157),FIND(" ",TRIM(C157)&amp;" ")-1),",","."),FIND("/",SUBSTITUTE(LEFT(TRIM(C157),FIND(" ",TRIM(C157)&amp;" ")-1),",","."))-1)/MID(SUBSTITUTE(LEFT(TRIM(C157),FIND(" ",TRIM(C157)&amp;" ")-1),",","."),FIND("/",SUBSTITUTE(LEFT(TRIM(C157),FIND(" ",TRIM(C157)&amp;" ")-1),",","."))+1,9)),IF(ISNUMBER(SEARCH("yea",C157)),IFERROR(_xlfn.NUMBERVALUE(SUBSTITUTE(LEFT(TRIM(C157),FIND(" ",TRIM(C157)&amp;" ")-1),",","."),"."),LEFT(SUBSTITUTE(LEFT(TRIM(C157),FIND(" ",TRIM(C157)&amp;" ")-1),",","."),FIND("/",SUBSTITUTE(LEFT(TRIM(C157),FIND(" ",TRIM(C157)&amp;" ")-1),",","."))-1)/MID(SUBSTITUTE(LEFT(TRIM(C157),FIND(" ",TRIM(C157)&amp;" ")-1),",","."),FIND("/",SUBSTITUTE(LEFT(TRIM(C157),FIND(" ",TRIM(C157)&amp;" ")-1),",","."))+1,9))*12,NA()))),0),12)*'Aturan &amp; Tarif'!$B$4,2)</f>
        <v>681.36</v>
      </c>
      <c r="K157" s="42" t="n">
        <f aca="false">'Aturan &amp; Tarif'!$B$5</f>
        <v>2050</v>
      </c>
      <c r="L157" s="35" t="n">
        <f aca="false">I157+J157+K157</f>
        <v>5881.36</v>
      </c>
      <c r="M157" s="45" t="s">
        <v>134</v>
      </c>
    </row>
    <row r="158" customFormat="false" ht="72" hidden="false" customHeight="true" outlineLevel="0" collapsed="false">
      <c r="A158" s="39"/>
      <c r="B158" s="40" t="s">
        <v>481</v>
      </c>
      <c r="C158" s="41" t="s">
        <v>191</v>
      </c>
      <c r="D158" s="41" t="s">
        <v>108</v>
      </c>
      <c r="E158" s="42" t="n">
        <v>2750</v>
      </c>
      <c r="F158" s="42" t="n">
        <v>250</v>
      </c>
      <c r="G158" s="42" t="n">
        <v>150</v>
      </c>
      <c r="H158" s="43" t="n">
        <v>1</v>
      </c>
      <c r="I158" s="34" t="n">
        <f aca="false">E158*H158+N(F158)+N(G158)</f>
        <v>3150</v>
      </c>
      <c r="J158" s="42" t="n">
        <f aca="false">ROUND(IFERROR(ROUND(IF(OR(ISNUMBER(SEARCH("week",C158)),ISNUMBER(SEARCH("minggu",C158))),IFERROR(_xlfn.NUMBERVALUE(SUBSTITUTE(LEFT(TRIM(C158),FIND(" ",TRIM(C158)&amp;" ")-1),",","."),"."),LEFT(SUBSTITUTE(LEFT(TRIM(C158),FIND(" ",TRIM(C158)&amp;" ")-1),",","."),FIND("/",SUBSTITUTE(LEFT(TRIM(C158),FIND(" ",TRIM(C158)&amp;" ")-1),",","."))-1)/MID(SUBSTITUTE(LEFT(TRIM(C158),FIND(" ",TRIM(C158)&amp;" ")-1),",","."),FIND("/",SUBSTITUTE(LEFT(TRIM(C158),FIND(" ",TRIM(C158)&amp;" ")-1),",","."))+1,9))*12/52,IF(ISNUMBER(SEARCH("month",C158)),IFERROR(_xlfn.NUMBERVALUE(SUBSTITUTE(LEFT(TRIM(C158),FIND(" ",TRIM(C158)&amp;" ")-1),",","."),"."),LEFT(SUBSTITUTE(LEFT(TRIM(C158),FIND(" ",TRIM(C158)&amp;" ")-1),",","."),FIND("/",SUBSTITUTE(LEFT(TRIM(C158),FIND(" ",TRIM(C158)&amp;" ")-1),",","."))-1)/MID(SUBSTITUTE(LEFT(TRIM(C158),FIND(" ",TRIM(C158)&amp;" ")-1),",","."),FIND("/",SUBSTITUTE(LEFT(TRIM(C158),FIND(" ",TRIM(C158)&amp;" ")-1),",","."))+1,9)),IF(ISNUMBER(SEARCH("yea",C158)),IFERROR(_xlfn.NUMBERVALUE(SUBSTITUTE(LEFT(TRIM(C158),FIND(" ",TRIM(C158)&amp;" ")-1),",","."),"."),LEFT(SUBSTITUTE(LEFT(TRIM(C158),FIND(" ",TRIM(C158)&amp;" ")-1),",","."),FIND("/",SUBSTITUTE(LEFT(TRIM(C158),FIND(" ",TRIM(C158)&amp;" ")-1),",","."))-1)/MID(SUBSTITUTE(LEFT(TRIM(C158),FIND(" ",TRIM(C158)&amp;" ")-1),",","."),FIND("/",SUBSTITUTE(LEFT(TRIM(C158),FIND(" ",TRIM(C158)&amp;" ")-1),",","."))+1,9))*12,NA()))),0),48)*'Aturan &amp; Tarif'!$B$4,2)</f>
        <v>2725.44</v>
      </c>
      <c r="K158" s="42" t="n">
        <f aca="false">'Aturan &amp; Tarif'!$B$5</f>
        <v>2050</v>
      </c>
      <c r="L158" s="35" t="n">
        <f aca="false">I158+J158+K158</f>
        <v>7925.44</v>
      </c>
      <c r="M158" s="44" t="s">
        <v>482</v>
      </c>
    </row>
    <row r="159" customFormat="false" ht="12.75" hidden="false" customHeight="true" outlineLevel="0" collapsed="false"/>
    <row r="160" customFormat="false" ht="12.75" hidden="false" customHeight="true" outlineLevel="0" collapsed="false">
      <c r="A160" s="38" t="s">
        <v>117</v>
      </c>
    </row>
    <row r="161" customFormat="false" ht="12.75" hidden="false" customHeight="true" outlineLevel="0" collapsed="false">
      <c r="A161" s="38" t="s">
        <v>118</v>
      </c>
    </row>
    <row r="162" customFormat="false" ht="12.75" hidden="false" customHeight="true" outlineLevel="0" collapsed="false">
      <c r="A162" s="38" t="s">
        <v>119</v>
      </c>
    </row>
    <row r="163" customFormat="false" ht="12.75" hidden="false" customHeight="true" outlineLevel="0" collapsed="false">
      <c r="A163" s="38" t="s">
        <v>120</v>
      </c>
    </row>
    <row r="164" customFormat="false" ht="12.75" hidden="false" customHeight="true" outlineLevel="0" collapsed="false">
      <c r="A164" s="38" t="s">
        <v>121</v>
      </c>
    </row>
    <row r="165" customFormat="false" ht="81.75" hidden="false" customHeight="true" outlineLevel="0" collapsed="false">
      <c r="A165" s="38" t="s">
        <v>3294</v>
      </c>
    </row>
    <row r="166" customFormat="false" ht="27.75" hidden="false" customHeight="true" outlineLevel="0" collapsed="false">
      <c r="A166" s="38" t="s">
        <v>122</v>
      </c>
    </row>
    <row r="167" customFormat="false" ht="18.75" hidden="false" customHeight="true" outlineLevel="0" collapsed="false">
      <c r="A167" s="38" t="s">
        <v>123</v>
      </c>
    </row>
    <row r="168" customFormat="false" ht="63.75" hidden="false" customHeight="true" outlineLevel="0" collapsed="false">
      <c r="A168" s="38" t="s">
        <v>3302</v>
      </c>
    </row>
  </sheetData>
  <autoFilter ref="A5:M158"/>
  <conditionalFormatting sqref="J6:J158">
    <cfRule type="expression" priority="2" aboveAverage="0" equalAverage="0" bottom="0" percent="0" rank="0" text="" dxfId="6">
      <formula>AND($E6&lt;&gt;"",OR(ISERROR(ROUND(IF(OR(ISNUMBER(SEARCH("week",C6)),ISNUMBER(SEARCH("minggu",C6))),IFERROR(_xlfn.NUMBERVALUE(SUBSTITUTE(LEFT(TRIM(C6),FIND("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")-1),",","."))+1,9))*12,NA()))),0)&lt;1,1),IFERROR(ROUND(IF(OR(ISNUMBER(SEARCH("week",C6)),ISNUMBER(SEARCH("minggu",C6))),IFERROR(_xlfn.NUMBERVALUE(SUBSTITUTE(LEFT(TRIM(C6),FIND("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")-1),",","."))+1,9))*12,NA()))),0)&gt;96,1)))</formula>
    </cfRule>
  </conditionalFormatting>
  <printOptions headings="false" gridLines="false" gridLinesSet="true" horizontalCentered="true" verticalCentered="false"/>
  <pageMargins left="0.3" right="0.3" top="0.5" bottom="0.5" header="0.2" footer="0.2"/>
  <pageSetup paperSize="9" scale="100" fitToWidth="1" fitToHeight="0" pageOrder="downThenOver" orientation="landscape" blackAndWhite="false" draft="false" cellComments="none" horizontalDpi="300" verticalDpi="300" copies="1"/>
  <headerFooter differentFirst="false" differentOddEven="false">
    <oddHeader>&amp;R&amp;8 ONSHORE - CANBERRA</oddHeader>
    <oddFooter>&amp;L&amp;8 TEG Pricelist - harga bisa berubah sewaktu-waktu&amp;R&amp;8 Halaman &amp;P dari &amp;N</oddFooter>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126"/>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2" min="2" style="1" width="55"/>
    <col collapsed="false" customWidth="true" hidden="false" outlineLevel="0" max="3" min="3" style="1" width="14"/>
    <col collapsed="false" customWidth="true" hidden="false" outlineLevel="0" max="4" min="4" style="1" width="11"/>
    <col collapsed="false" customWidth="true" hidden="false" outlineLevel="0" max="5" min="5" style="1" width="12"/>
    <col collapsed="false" customWidth="true" hidden="false" outlineLevel="0" max="8" min="6" style="1" width="11"/>
    <col collapsed="false" customWidth="true" hidden="false" outlineLevel="0" max="9" min="9" style="1" width="15"/>
    <col collapsed="false" customWidth="true" hidden="false" outlineLevel="0" max="10" min="10" style="1" width="12"/>
    <col collapsed="false" customWidth="true" hidden="false" outlineLevel="0" max="11" min="11" style="1" width="10"/>
    <col collapsed="false" customWidth="true" hidden="false" outlineLevel="0" max="12" min="12" style="1" width="15"/>
    <col collapsed="false" customWidth="true" hidden="false" outlineLevel="0" max="13" min="13" style="1" width="110"/>
    <col collapsed="false" customWidth="true" hidden="false" outlineLevel="0" max="44" min="14" style="1" width="9"/>
  </cols>
  <sheetData>
    <row r="1" customFormat="false" ht="17.25" hidden="false" customHeight="true" outlineLevel="0" collapsed="false">
      <c r="A1" s="14" t="s">
        <v>3494</v>
      </c>
    </row>
    <row r="2" customFormat="false" ht="15" hidden="false" customHeight="true" outlineLevel="0" collapsed="false">
      <c r="A2" s="25" t="s">
        <v>91</v>
      </c>
    </row>
    <row r="3" customFormat="false" ht="15" hidden="false" customHeight="true" outlineLevel="0" collapsed="false">
      <c r="A3" s="26" t="s">
        <v>3014</v>
      </c>
    </row>
    <row r="5" customFormat="false" ht="36" hidden="false" customHeight="true" outlineLevel="0" collapsed="false">
      <c r="A5" s="27" t="s">
        <v>93</v>
      </c>
      <c r="B5" s="27" t="s">
        <v>94</v>
      </c>
      <c r="C5" s="27" t="s">
        <v>95</v>
      </c>
      <c r="D5" s="27" t="s">
        <v>96</v>
      </c>
      <c r="E5" s="27" t="s">
        <v>97</v>
      </c>
      <c r="F5" s="27" t="s">
        <v>98</v>
      </c>
      <c r="G5" s="27" t="s">
        <v>99</v>
      </c>
      <c r="H5" s="27" t="s">
        <v>100</v>
      </c>
      <c r="I5" s="27" t="s">
        <v>101</v>
      </c>
      <c r="J5" s="27" t="s">
        <v>10</v>
      </c>
      <c r="K5" s="27" t="s">
        <v>102</v>
      </c>
      <c r="L5" s="27" t="s">
        <v>104</v>
      </c>
      <c r="M5" s="28" t="s">
        <v>14</v>
      </c>
    </row>
    <row r="6" customFormat="false" ht="72" hidden="false" customHeight="true" outlineLevel="0" collapsed="false">
      <c r="A6" s="39" t="s">
        <v>125</v>
      </c>
      <c r="B6" s="40" t="s">
        <v>126</v>
      </c>
      <c r="C6" s="41" t="s">
        <v>127</v>
      </c>
      <c r="D6" s="41" t="s">
        <v>108</v>
      </c>
      <c r="E6" s="42" t="n">
        <v>1750</v>
      </c>
      <c r="F6" s="42" t="n">
        <v>200</v>
      </c>
      <c r="G6" s="42" t="n">
        <v>200</v>
      </c>
      <c r="H6" s="43" t="n">
        <v>1</v>
      </c>
      <c r="I6" s="34" t="n">
        <f aca="false">E6*H6+N(F6)+N(G6)</f>
        <v>2150</v>
      </c>
      <c r="J6" s="42" t="n">
        <f aca="false">ROUND(IFERROR(ROUND(IF(OR(ISNUMBER(SEARCH("week",C6)),ISNUMBER(SEARCH("minggu",C6))),IFERROR(_xlfn.NUMBERVALUE(SUBSTITUTE(LEFT(TRIM(C6),FIND("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")-1),",","."))+1,9))*12,NA()))),0),36)*'Aturan &amp; Tarif'!$B$4,2)</f>
        <v>2044.08</v>
      </c>
      <c r="K6" s="42" t="n">
        <f aca="false">'Aturan &amp; Tarif'!$B$5</f>
        <v>2050</v>
      </c>
      <c r="L6" s="35" t="n">
        <f aca="false">I6+J6+K6</f>
        <v>6244.08</v>
      </c>
      <c r="M6" s="44" t="s">
        <v>128</v>
      </c>
    </row>
    <row r="7" customFormat="false" ht="37.5" hidden="false" customHeight="true" outlineLevel="0" collapsed="false">
      <c r="A7" s="39"/>
      <c r="B7" s="40" t="s">
        <v>3495</v>
      </c>
      <c r="C7" s="41" t="s">
        <v>130</v>
      </c>
      <c r="D7" s="41" t="s">
        <v>108</v>
      </c>
      <c r="E7" s="42" t="n">
        <v>3000</v>
      </c>
      <c r="F7" s="42" t="n">
        <v>300</v>
      </c>
      <c r="G7" s="42" t="n">
        <v>200</v>
      </c>
      <c r="H7" s="43" t="n">
        <v>1</v>
      </c>
      <c r="I7" s="34" t="n">
        <f aca="false">E7*H7+N(F7)+N(G7)</f>
        <v>3500</v>
      </c>
      <c r="J7" s="42" t="n">
        <f aca="false">ROUND(IFERROR(ROUND(IF(OR(ISNUMBER(SEARCH("week",C7)),ISNUMBER(SEARCH("minggu",C7))),IFERROR(_xlfn.NUMBERVALUE(SUBSTITUTE(LEFT(TRIM(C7),FIND(" ",TRIM(C7)&amp;" ")-1),",","."),"."),LEFT(SUBSTITUTE(LEFT(TRIM(C7),FIND(" ",TRIM(C7)&amp;" ")-1),",","."),FIND("/",SUBSTITUTE(LEFT(TRIM(C7),FIND(" ",TRIM(C7)&amp;" ")-1),",","."))-1)/MID(SUBSTITUTE(LEFT(TRIM(C7),FIND(" ",TRIM(C7)&amp;" ")-1),",","."),FIND("/",SUBSTITUTE(LEFT(TRIM(C7),FIND(" ",TRIM(C7)&amp;" ")-1),",","."))+1,9))*12/52,IF(ISNUMBER(SEARCH("month",C7)),IFERROR(_xlfn.NUMBERVALUE(SUBSTITUTE(LEFT(TRIM(C7),FIND(" ",TRIM(C7)&amp;" ")-1),",","."),"."),LEFT(SUBSTITUTE(LEFT(TRIM(C7),FIND(" ",TRIM(C7)&amp;" ")-1),",","."),FIND("/",SUBSTITUTE(LEFT(TRIM(C7),FIND(" ",TRIM(C7)&amp;" ")-1),",","."))-1)/MID(SUBSTITUTE(LEFT(TRIM(C7),FIND(" ",TRIM(C7)&amp;" ")-1),",","."),FIND("/",SUBSTITUTE(LEFT(TRIM(C7),FIND(" ",TRIM(C7)&amp;" ")-1),",","."))+1,9)),IF(ISNUMBER(SEARCH("yea",C7)),IFERROR(_xlfn.NUMBERVALUE(SUBSTITUTE(LEFT(TRIM(C7),FIND(" ",TRIM(C7)&amp;" ")-1),",","."),"."),LEFT(SUBSTITUTE(LEFT(TRIM(C7),FIND(" ",TRIM(C7)&amp;" ")-1),",","."),FIND("/",SUBSTITUTE(LEFT(TRIM(C7),FIND(" ",TRIM(C7)&amp;" ")-1),",","."))-1)/MID(SUBSTITUTE(LEFT(TRIM(C7),FIND(" ",TRIM(C7)&amp;" ")-1),",","."),FIND("/",SUBSTITUTE(LEFT(TRIM(C7),FIND(" ",TRIM(C7)&amp;" ")-1),",","."))+1,9))*12,NA()))),0),12)*'Aturan &amp; Tarif'!$B$4,2)</f>
        <v>681.36</v>
      </c>
      <c r="K7" s="42" t="n">
        <f aca="false">'Aturan &amp; Tarif'!$B$5</f>
        <v>2050</v>
      </c>
      <c r="L7" s="35" t="n">
        <f aca="false">I7+J7+K7</f>
        <v>6231.36</v>
      </c>
      <c r="M7" s="44" t="s">
        <v>131</v>
      </c>
    </row>
    <row r="8" customFormat="false" ht="37.5" hidden="false" customHeight="true" outlineLevel="0" collapsed="false">
      <c r="A8" s="29" t="s">
        <v>132</v>
      </c>
      <c r="B8" s="30" t="s">
        <v>133</v>
      </c>
      <c r="C8" s="31" t="s">
        <v>107</v>
      </c>
      <c r="D8" s="31" t="s">
        <v>108</v>
      </c>
      <c r="E8" s="32" t="n">
        <v>2950</v>
      </c>
      <c r="F8" s="32" t="n">
        <v>800</v>
      </c>
      <c r="G8" s="32" t="n">
        <v>250</v>
      </c>
      <c r="H8" s="33" t="n">
        <v>1</v>
      </c>
      <c r="I8" s="34" t="n">
        <f aca="false">E8*H8+N(F8)+N(G8)</f>
        <v>4000</v>
      </c>
      <c r="J8" s="32" t="n">
        <f aca="false">ROUND(IFERROR(ROUND(IF(OR(ISNUMBER(SEARCH("week",C8)),ISNUMBER(SEARCH("minggu",C8))),IFERROR(_xlfn.NUMBERVALUE(SUBSTITUTE(LEFT(TRIM(C8),FIND(" ",TRIM(C8)&amp;" ")-1),",","."),"."),LEFT(SUBSTITUTE(LEFT(TRIM(C8),FIND(" ",TRIM(C8)&amp;" ")-1),",","."),FIND("/",SUBSTITUTE(LEFT(TRIM(C8),FIND(" ",TRIM(C8)&amp;" ")-1),",","."))-1)/MID(SUBSTITUTE(LEFT(TRIM(C8),FIND(" ",TRIM(C8)&amp;" ")-1),",","."),FIND("/",SUBSTITUTE(LEFT(TRIM(C8),FIND(" ",TRIM(C8)&amp;" ")-1),",","."))+1,9))*12/52,IF(ISNUMBER(SEARCH("month",C8)),IFERROR(_xlfn.NUMBERVALUE(SUBSTITUTE(LEFT(TRIM(C8),FIND(" ",TRIM(C8)&amp;" ")-1),",","."),"."),LEFT(SUBSTITUTE(LEFT(TRIM(C8),FIND(" ",TRIM(C8)&amp;" ")-1),",","."),FIND("/",SUBSTITUTE(LEFT(TRIM(C8),FIND(" ",TRIM(C8)&amp;" ")-1),",","."))-1)/MID(SUBSTITUTE(LEFT(TRIM(C8),FIND(" ",TRIM(C8)&amp;" ")-1),",","."),FIND("/",SUBSTITUTE(LEFT(TRIM(C8),FIND(" ",TRIM(C8)&amp;" ")-1),",","."))+1,9)),IF(ISNUMBER(SEARCH("yea",C8)),IFERROR(_xlfn.NUMBERVALUE(SUBSTITUTE(LEFT(TRIM(C8),FIND(" ",TRIM(C8)&amp;" ")-1),",","."),"."),LEFT(SUBSTITUTE(LEFT(TRIM(C8),FIND(" ",TRIM(C8)&amp;" ")-1),",","."),FIND("/",SUBSTITUTE(LEFT(TRIM(C8),FIND(" ",TRIM(C8)&amp;" ")-1),",","."))-1)/MID(SUBSTITUTE(LEFT(TRIM(C8),FIND(" ",TRIM(C8)&amp;" ")-1),",","."),FIND("/",SUBSTITUTE(LEFT(TRIM(C8),FIND(" ",TRIM(C8)&amp;" ")-1),",","."))+1,9))*12,NA()))),0),24)*'Aturan &amp; Tarif'!$B$4,2)</f>
        <v>1362.72</v>
      </c>
      <c r="K8" s="32" t="n">
        <f aca="false">'Aturan &amp; Tarif'!$B$5</f>
        <v>2050</v>
      </c>
      <c r="L8" s="35" t="n">
        <f aca="false">I8+J8+K8</f>
        <v>7412.72</v>
      </c>
      <c r="M8" s="37" t="s">
        <v>134</v>
      </c>
    </row>
    <row r="9" customFormat="false" ht="37.5" hidden="false" customHeight="true" outlineLevel="0" collapsed="false">
      <c r="A9" s="29"/>
      <c r="B9" s="30" t="s">
        <v>135</v>
      </c>
      <c r="C9" s="31" t="s">
        <v>136</v>
      </c>
      <c r="D9" s="31" t="s">
        <v>108</v>
      </c>
      <c r="E9" s="32" t="n">
        <v>2700</v>
      </c>
      <c r="F9" s="32" t="n">
        <v>2000</v>
      </c>
      <c r="G9" s="32" t="n">
        <v>250</v>
      </c>
      <c r="H9" s="33" t="n">
        <v>1</v>
      </c>
      <c r="I9" s="34" t="n">
        <f aca="false">E9*H9+N(F9)+N(G9)</f>
        <v>4950</v>
      </c>
      <c r="J9" s="32" t="n">
        <f aca="false">ROUND(IFERROR(ROUND(IF(OR(ISNUMBER(SEARCH("week",C9)),ISNUMBER(SEARCH("minggu",C9))),IFERROR(_xlfn.NUMBERVALUE(SUBSTITUTE(LEFT(TRIM(C9),FIND(" ",TRIM(C9)&amp;" ")-1),",","."),"."),LEFT(SUBSTITUTE(LEFT(TRIM(C9),FIND(" ",TRIM(C9)&amp;" ")-1),",","."),FIND("/",SUBSTITUTE(LEFT(TRIM(C9),FIND(" ",TRIM(C9)&amp;" ")-1),",","."))-1)/MID(SUBSTITUTE(LEFT(TRIM(C9),FIND(" ",TRIM(C9)&amp;" ")-1),",","."),FIND("/",SUBSTITUTE(LEFT(TRIM(C9),FIND(" ",TRIM(C9)&amp;" ")-1),",","."))+1,9))*12/52,IF(ISNUMBER(SEARCH("month",C9)),IFERROR(_xlfn.NUMBERVALUE(SUBSTITUTE(LEFT(TRIM(C9),FIND(" ",TRIM(C9)&amp;" ")-1),",","."),"."),LEFT(SUBSTITUTE(LEFT(TRIM(C9),FIND(" ",TRIM(C9)&amp;" ")-1),",","."),FIND("/",SUBSTITUTE(LEFT(TRIM(C9),FIND(" ",TRIM(C9)&amp;" ")-1),",","."))-1)/MID(SUBSTITUTE(LEFT(TRIM(C9),FIND(" ",TRIM(C9)&amp;" ")-1),",","."),FIND("/",SUBSTITUTE(LEFT(TRIM(C9),FIND(" ",TRIM(C9)&amp;" ")-1),",","."))+1,9)),IF(ISNUMBER(SEARCH("yea",C9)),IFERROR(_xlfn.NUMBERVALUE(SUBSTITUTE(LEFT(TRIM(C9),FIND(" ",TRIM(C9)&amp;" ")-1),",","."),"."),LEFT(SUBSTITUTE(LEFT(TRIM(C9),FIND(" ",TRIM(C9)&amp;" ")-1),",","."),FIND("/",SUBSTITUTE(LEFT(TRIM(C9),FIND(" ",TRIM(C9)&amp;" ")-1),",","."))-1)/MID(SUBSTITUTE(LEFT(TRIM(C9),FIND(" ",TRIM(C9)&amp;" ")-1),",","."),FIND("/",SUBSTITUTE(LEFT(TRIM(C9),FIND(" ",TRIM(C9)&amp;" ")-1),",","."))+1,9))*12,NA()))),0),42)*'Aturan &amp; Tarif'!$B$4,2)</f>
        <v>2384.76</v>
      </c>
      <c r="K9" s="32" t="n">
        <f aca="false">'Aturan &amp; Tarif'!$B$5</f>
        <v>2050</v>
      </c>
      <c r="L9" s="35" t="n">
        <f aca="false">I9+J9+K9</f>
        <v>9384.76</v>
      </c>
      <c r="M9" s="37" t="s">
        <v>134</v>
      </c>
    </row>
    <row r="10" customFormat="false" ht="37.5" hidden="false" customHeight="true" outlineLevel="0" collapsed="false">
      <c r="A10" s="29"/>
      <c r="B10" s="30" t="s">
        <v>137</v>
      </c>
      <c r="C10" s="31" t="s">
        <v>138</v>
      </c>
      <c r="D10" s="31" t="s">
        <v>108</v>
      </c>
      <c r="E10" s="32" t="n">
        <v>2850</v>
      </c>
      <c r="F10" s="32" t="n">
        <v>2000</v>
      </c>
      <c r="G10" s="32" t="n">
        <v>250</v>
      </c>
      <c r="H10" s="33" t="n">
        <v>1</v>
      </c>
      <c r="I10" s="34" t="n">
        <f aca="false">E10*H10+N(F10)+N(G10)</f>
        <v>5100</v>
      </c>
      <c r="J10" s="32" t="n">
        <f aca="false">ROUND(IFERROR(ROUND(IF(OR(ISNUMBER(SEARCH("week",C10)),ISNUMBER(SEARCH("minggu",C10))),IFERROR(_xlfn.NUMBERVALUE(SUBSTITUTE(LEFT(TRIM(C10),FIND(" ",TRIM(C10)&amp;" ")-1),",","."),"."),LEFT(SUBSTITUTE(LEFT(TRIM(C10),FIND(" ",TRIM(C10)&amp;" ")-1),",","."),FIND("/",SUBSTITUTE(LEFT(TRIM(C10),FIND(" ",TRIM(C10)&amp;" ")-1),",","."))-1)/MID(SUBSTITUTE(LEFT(TRIM(C10),FIND(" ",TRIM(C10)&amp;" ")-1),",","."),FIND("/",SUBSTITUTE(LEFT(TRIM(C10),FIND(" ",TRIM(C10)&amp;" ")-1),",","."))+1,9))*12/52,IF(ISNUMBER(SEARCH("month",C10)),IFERROR(_xlfn.NUMBERVALUE(SUBSTITUTE(LEFT(TRIM(C10),FIND(" ",TRIM(C10)&amp;" ")-1),",","."),"."),LEFT(SUBSTITUTE(LEFT(TRIM(C10),FIND(" ",TRIM(C10)&amp;" ")-1),",","."),FIND("/",SUBSTITUTE(LEFT(TRIM(C10),FIND(" ",TRIM(C10)&amp;" ")-1),",","."))-1)/MID(SUBSTITUTE(LEFT(TRIM(C10),FIND(" ",TRIM(C10)&amp;" ")-1),",","."),FIND("/",SUBSTITUTE(LEFT(TRIM(C10),FIND(" ",TRIM(C10)&amp;" ")-1),",","."))+1,9)),IF(ISNUMBER(SEARCH("yea",C10)),IFERROR(_xlfn.NUMBERVALUE(SUBSTITUTE(LEFT(TRIM(C10),FIND(" ",TRIM(C10)&amp;" ")-1),",","."),"."),LEFT(SUBSTITUTE(LEFT(TRIM(C10),FIND(" ",TRIM(C10)&amp;" ")-1),",","."),FIND("/",SUBSTITUTE(LEFT(TRIM(C10),FIND(" ",TRIM(C10)&amp;" ")-1),",","."))-1)/MID(SUBSTITUTE(LEFT(TRIM(C10),FIND(" ",TRIM(C10)&amp;" ")-1),",","."),FIND("/",SUBSTITUTE(LEFT(TRIM(C10),FIND(" ",TRIM(C10)&amp;" ")-1),",","."))+1,9))*12,NA()))),0),30)*'Aturan &amp; Tarif'!$B$4,2)</f>
        <v>1703.4</v>
      </c>
      <c r="K10" s="32" t="n">
        <f aca="false">'Aturan &amp; Tarif'!$B$5</f>
        <v>2050</v>
      </c>
      <c r="L10" s="35" t="n">
        <f aca="false">I10+J10+K10</f>
        <v>8853.4</v>
      </c>
      <c r="M10" s="37" t="s">
        <v>134</v>
      </c>
    </row>
    <row r="11" customFormat="false" ht="25.5" hidden="false" customHeight="true" outlineLevel="0" collapsed="false">
      <c r="A11" s="29"/>
      <c r="B11" s="30" t="s">
        <v>139</v>
      </c>
      <c r="C11" s="31" t="s">
        <v>127</v>
      </c>
      <c r="D11" s="31" t="s">
        <v>108</v>
      </c>
      <c r="E11" s="32" t="n">
        <v>2600</v>
      </c>
      <c r="F11" s="32" t="n">
        <v>1600</v>
      </c>
      <c r="G11" s="32" t="n">
        <v>250</v>
      </c>
      <c r="H11" s="33" t="n">
        <v>1</v>
      </c>
      <c r="I11" s="34" t="n">
        <f aca="false">E11*H11+N(F11)+N(G11)</f>
        <v>4450</v>
      </c>
      <c r="J11" s="32" t="n">
        <f aca="false">ROUND(IFERROR(ROUND(IF(OR(ISNUMBER(SEARCH("week",C11)),ISNUMBER(SEARCH("minggu",C11))),IFERROR(_xlfn.NUMBERVALUE(SUBSTITUTE(LEFT(TRIM(C11),FIND(" ",TRIM(C11)&amp;" ")-1),",","."),"."),LEFT(SUBSTITUTE(LEFT(TRIM(C11),FIND(" ",TRIM(C11)&amp;" ")-1),",","."),FIND("/",SUBSTITUTE(LEFT(TRIM(C11),FIND(" ",TRIM(C11)&amp;" ")-1),",","."))-1)/MID(SUBSTITUTE(LEFT(TRIM(C11),FIND(" ",TRIM(C11)&amp;" ")-1),",","."),FIND("/",SUBSTITUTE(LEFT(TRIM(C11),FIND(" ",TRIM(C11)&amp;" ")-1),",","."))+1,9))*12/52,IF(ISNUMBER(SEARCH("month",C11)),IFERROR(_xlfn.NUMBERVALUE(SUBSTITUTE(LEFT(TRIM(C11),FIND(" ",TRIM(C11)&amp;" ")-1),",","."),"."),LEFT(SUBSTITUTE(LEFT(TRIM(C11),FIND(" ",TRIM(C11)&amp;" ")-1),",","."),FIND("/",SUBSTITUTE(LEFT(TRIM(C11),FIND(" ",TRIM(C11)&amp;" ")-1),",","."))-1)/MID(SUBSTITUTE(LEFT(TRIM(C11),FIND(" ",TRIM(C11)&amp;" ")-1),",","."),FIND("/",SUBSTITUTE(LEFT(TRIM(C11),FIND(" ",TRIM(C11)&amp;" ")-1),",","."))+1,9)),IF(ISNUMBER(SEARCH("yea",C11)),IFERROR(_xlfn.NUMBERVALUE(SUBSTITUTE(LEFT(TRIM(C11),FIND(" ",TRIM(C11)&amp;" ")-1),",","."),"."),LEFT(SUBSTITUTE(LEFT(TRIM(C11),FIND(" ",TRIM(C11)&amp;" ")-1),",","."),FIND("/",SUBSTITUTE(LEFT(TRIM(C11),FIND(" ",TRIM(C11)&amp;" ")-1),",","."))-1)/MID(SUBSTITUTE(LEFT(TRIM(C11),FIND(" ",TRIM(C11)&amp;" ")-1),",","."),FIND("/",SUBSTITUTE(LEFT(TRIM(C11),FIND(" ",TRIM(C11)&amp;" ")-1),",","."))+1,9))*12,NA()))),0),36)*'Aturan &amp; Tarif'!$B$4,2)</f>
        <v>2044.08</v>
      </c>
      <c r="K11" s="32" t="n">
        <f aca="false">'Aturan &amp; Tarif'!$B$5</f>
        <v>2050</v>
      </c>
      <c r="L11" s="35" t="n">
        <f aca="false">I11+J11+K11</f>
        <v>8544.08</v>
      </c>
      <c r="M11" s="37" t="s">
        <v>134</v>
      </c>
    </row>
    <row r="12" customFormat="false" ht="25.5" hidden="false" customHeight="true" outlineLevel="0" collapsed="false">
      <c r="A12" s="29"/>
      <c r="B12" s="30" t="s">
        <v>140</v>
      </c>
      <c r="C12" s="31" t="s">
        <v>107</v>
      </c>
      <c r="D12" s="31" t="s">
        <v>108</v>
      </c>
      <c r="E12" s="32" t="n">
        <v>2750</v>
      </c>
      <c r="F12" s="32" t="n">
        <v>1600</v>
      </c>
      <c r="G12" s="32" t="n">
        <v>250</v>
      </c>
      <c r="H12" s="33" t="n">
        <v>1</v>
      </c>
      <c r="I12" s="34" t="n">
        <f aca="false">E12*H12+N(F12)+N(G12)</f>
        <v>4600</v>
      </c>
      <c r="J12" s="32" t="n">
        <f aca="false">ROUND(IFERROR(ROUND(IF(OR(ISNUMBER(SEARCH("week",C12)),ISNUMBER(SEARCH("minggu",C12))),IFERROR(_xlfn.NUMBERVALUE(SUBSTITUTE(LEFT(TRIM(C12),FIND(" ",TRIM(C12)&amp;" ")-1),",","."),"."),LEFT(SUBSTITUTE(LEFT(TRIM(C12),FIND(" ",TRIM(C12)&amp;" ")-1),",","."),FIND("/",SUBSTITUTE(LEFT(TRIM(C12),FIND(" ",TRIM(C12)&amp;" ")-1),",","."))-1)/MID(SUBSTITUTE(LEFT(TRIM(C12),FIND(" ",TRIM(C12)&amp;" ")-1),",","."),FIND("/",SUBSTITUTE(LEFT(TRIM(C12),FIND(" ",TRIM(C12)&amp;" ")-1),",","."))+1,9))*12/52,IF(ISNUMBER(SEARCH("month",C12)),IFERROR(_xlfn.NUMBERVALUE(SUBSTITUTE(LEFT(TRIM(C12),FIND(" ",TRIM(C12)&amp;" ")-1),",","."),"."),LEFT(SUBSTITUTE(LEFT(TRIM(C12),FIND(" ",TRIM(C12)&amp;" ")-1),",","."),FIND("/",SUBSTITUTE(LEFT(TRIM(C12),FIND(" ",TRIM(C12)&amp;" ")-1),",","."))-1)/MID(SUBSTITUTE(LEFT(TRIM(C12),FIND(" ",TRIM(C12)&amp;" ")-1),",","."),FIND("/",SUBSTITUTE(LEFT(TRIM(C12),FIND(" ",TRIM(C12)&amp;" ")-1),",","."))+1,9)),IF(ISNUMBER(SEARCH("yea",C12)),IFERROR(_xlfn.NUMBERVALUE(SUBSTITUTE(LEFT(TRIM(C12),FIND(" ",TRIM(C12)&amp;" ")-1),",","."),"."),LEFT(SUBSTITUTE(LEFT(TRIM(C12),FIND(" ",TRIM(C12)&amp;" ")-1),",","."),FIND("/",SUBSTITUTE(LEFT(TRIM(C12),FIND(" ",TRIM(C12)&amp;" ")-1),",","."))-1)/MID(SUBSTITUTE(LEFT(TRIM(C12),FIND(" ",TRIM(C12)&amp;" ")-1),",","."),FIND("/",SUBSTITUTE(LEFT(TRIM(C12),FIND(" ",TRIM(C12)&amp;" ")-1),",","."))+1,9))*12,NA()))),0),24)*'Aturan &amp; Tarif'!$B$4,2)</f>
        <v>1362.72</v>
      </c>
      <c r="K12" s="32" t="n">
        <f aca="false">'Aturan &amp; Tarif'!$B$5</f>
        <v>2050</v>
      </c>
      <c r="L12" s="35" t="n">
        <f aca="false">I12+J12+K12</f>
        <v>8012.72</v>
      </c>
      <c r="M12" s="37" t="s">
        <v>134</v>
      </c>
    </row>
    <row r="13" customFormat="false" ht="25.5" hidden="false" customHeight="true" outlineLevel="0" collapsed="false">
      <c r="A13" s="29"/>
      <c r="B13" s="30" t="s">
        <v>141</v>
      </c>
      <c r="C13" s="31" t="s">
        <v>127</v>
      </c>
      <c r="D13" s="31" t="s">
        <v>108</v>
      </c>
      <c r="E13" s="32" t="n">
        <v>2500</v>
      </c>
      <c r="F13" s="32" t="n">
        <v>1700</v>
      </c>
      <c r="G13" s="32" t="n">
        <v>250</v>
      </c>
      <c r="H13" s="33" t="n">
        <v>1</v>
      </c>
      <c r="I13" s="34" t="n">
        <f aca="false">E13*H13+N(F13)+N(G13)</f>
        <v>4450</v>
      </c>
      <c r="J13" s="32" t="n">
        <f aca="false">ROUND(IFERROR(ROUND(IF(OR(ISNUMBER(SEARCH("week",C13)),ISNUMBER(SEARCH("minggu",C13))),IFERROR(_xlfn.NUMBERVALUE(SUBSTITUTE(LEFT(TRIM(C13),FIND(" ",TRIM(C13)&amp;" ")-1),",","."),"."),LEFT(SUBSTITUTE(LEFT(TRIM(C13),FIND(" ",TRIM(C13)&amp;" ")-1),",","."),FIND("/",SUBSTITUTE(LEFT(TRIM(C13),FIND(" ",TRIM(C13)&amp;" ")-1),",","."))-1)/MID(SUBSTITUTE(LEFT(TRIM(C13),FIND(" ",TRIM(C13)&amp;" ")-1),",","."),FIND("/",SUBSTITUTE(LEFT(TRIM(C13),FIND(" ",TRIM(C13)&amp;" ")-1),",","."))+1,9))*12/52,IF(ISNUMBER(SEARCH("month",C13)),IFERROR(_xlfn.NUMBERVALUE(SUBSTITUTE(LEFT(TRIM(C13),FIND(" ",TRIM(C13)&amp;" ")-1),",","."),"."),LEFT(SUBSTITUTE(LEFT(TRIM(C13),FIND(" ",TRIM(C13)&amp;" ")-1),",","."),FIND("/",SUBSTITUTE(LEFT(TRIM(C13),FIND(" ",TRIM(C13)&amp;" ")-1),",","."))-1)/MID(SUBSTITUTE(LEFT(TRIM(C13),FIND(" ",TRIM(C13)&amp;" ")-1),",","."),FIND("/",SUBSTITUTE(LEFT(TRIM(C13),FIND(" ",TRIM(C13)&amp;" ")-1),",","."))+1,9)),IF(ISNUMBER(SEARCH("yea",C13)),IFERROR(_xlfn.NUMBERVALUE(SUBSTITUTE(LEFT(TRIM(C13),FIND(" ",TRIM(C13)&amp;" ")-1),",","."),"."),LEFT(SUBSTITUTE(LEFT(TRIM(C13),FIND(" ",TRIM(C13)&amp;" ")-1),",","."),FIND("/",SUBSTITUTE(LEFT(TRIM(C13),FIND(" ",TRIM(C13)&amp;" ")-1),",","."))-1)/MID(SUBSTITUTE(LEFT(TRIM(C13),FIND(" ",TRIM(C13)&amp;" ")-1),",","."),FIND("/",SUBSTITUTE(LEFT(TRIM(C13),FIND(" ",TRIM(C13)&amp;" ")-1),",","."))+1,9))*12,NA()))),0),36)*'Aturan &amp; Tarif'!$B$4,2)</f>
        <v>2044.08</v>
      </c>
      <c r="K13" s="32" t="n">
        <f aca="false">'Aturan &amp; Tarif'!$B$5</f>
        <v>2050</v>
      </c>
      <c r="L13" s="35" t="n">
        <f aca="false">I13+J13+K13</f>
        <v>8544.08</v>
      </c>
      <c r="M13" s="37" t="s">
        <v>134</v>
      </c>
    </row>
    <row r="14" customFormat="false" ht="25.5" hidden="false" customHeight="true" outlineLevel="0" collapsed="false">
      <c r="A14" s="29"/>
      <c r="B14" s="30" t="s">
        <v>142</v>
      </c>
      <c r="C14" s="31" t="s">
        <v>107</v>
      </c>
      <c r="D14" s="31" t="s">
        <v>108</v>
      </c>
      <c r="E14" s="32" t="n">
        <v>2625</v>
      </c>
      <c r="F14" s="32" t="n">
        <v>1700</v>
      </c>
      <c r="G14" s="32" t="n">
        <v>250</v>
      </c>
      <c r="H14" s="33" t="n">
        <v>1</v>
      </c>
      <c r="I14" s="34" t="n">
        <f aca="false">E14*H14+N(F14)+N(G14)</f>
        <v>4575</v>
      </c>
      <c r="J14" s="32" t="n">
        <f aca="false">ROUND(IFERROR(ROUND(IF(OR(ISNUMBER(SEARCH("week",C14)),ISNUMBER(SEARCH("minggu",C14))),IFERROR(_xlfn.NUMBERVALUE(SUBSTITUTE(LEFT(TRIM(C14),FIND(" ",TRIM(C14)&amp;" ")-1),",","."),"."),LEFT(SUBSTITUTE(LEFT(TRIM(C14),FIND(" ",TRIM(C14)&amp;" ")-1),",","."),FIND("/",SUBSTITUTE(LEFT(TRIM(C14),FIND(" ",TRIM(C14)&amp;" ")-1),",","."))-1)/MID(SUBSTITUTE(LEFT(TRIM(C14),FIND(" ",TRIM(C14)&amp;" ")-1),",","."),FIND("/",SUBSTITUTE(LEFT(TRIM(C14),FIND(" ",TRIM(C14)&amp;" ")-1),",","."))+1,9))*12/52,IF(ISNUMBER(SEARCH("month",C14)),IFERROR(_xlfn.NUMBERVALUE(SUBSTITUTE(LEFT(TRIM(C14),FIND(" ",TRIM(C14)&amp;" ")-1),",","."),"."),LEFT(SUBSTITUTE(LEFT(TRIM(C14),FIND(" ",TRIM(C14)&amp;" ")-1),",","."),FIND("/",SUBSTITUTE(LEFT(TRIM(C14),FIND(" ",TRIM(C14)&amp;" ")-1),",","."))-1)/MID(SUBSTITUTE(LEFT(TRIM(C14),FIND(" ",TRIM(C14)&amp;" ")-1),",","."),FIND("/",SUBSTITUTE(LEFT(TRIM(C14),FIND(" ",TRIM(C14)&amp;" ")-1),",","."))+1,9)),IF(ISNUMBER(SEARCH("yea",C14)),IFERROR(_xlfn.NUMBERVALUE(SUBSTITUTE(LEFT(TRIM(C14),FIND(" ",TRIM(C14)&amp;" ")-1),",","."),"."),LEFT(SUBSTITUTE(LEFT(TRIM(C14),FIND(" ",TRIM(C14)&amp;" ")-1),",","."),FIND("/",SUBSTITUTE(LEFT(TRIM(C14),FIND(" ",TRIM(C14)&amp;" ")-1),",","."))-1)/MID(SUBSTITUTE(LEFT(TRIM(C14),FIND(" ",TRIM(C14)&amp;" ")-1),",","."),FIND("/",SUBSTITUTE(LEFT(TRIM(C14),FIND(" ",TRIM(C14)&amp;" ")-1),",","."))+1,9))*12,NA()))),0),24)*'Aturan &amp; Tarif'!$B$4,2)</f>
        <v>1362.72</v>
      </c>
      <c r="K14" s="32" t="n">
        <f aca="false">'Aturan &amp; Tarif'!$B$5</f>
        <v>2050</v>
      </c>
      <c r="L14" s="35" t="n">
        <f aca="false">I14+J14+K14</f>
        <v>7987.72</v>
      </c>
      <c r="M14" s="37" t="s">
        <v>134</v>
      </c>
    </row>
    <row r="15" customFormat="false" ht="25.5" hidden="false" customHeight="true" outlineLevel="0" collapsed="false">
      <c r="A15" s="29"/>
      <c r="B15" s="30" t="s">
        <v>143</v>
      </c>
      <c r="C15" s="31" t="s">
        <v>107</v>
      </c>
      <c r="D15" s="31" t="s">
        <v>108</v>
      </c>
      <c r="E15" s="32" t="n">
        <v>2625</v>
      </c>
      <c r="F15" s="32" t="n">
        <v>3000</v>
      </c>
      <c r="G15" s="32" t="n">
        <v>250</v>
      </c>
      <c r="H15" s="33" t="n">
        <v>1</v>
      </c>
      <c r="I15" s="34" t="n">
        <f aca="false">E15*H15+N(F15)+N(G15)</f>
        <v>5875</v>
      </c>
      <c r="J15" s="32" t="n">
        <f aca="false">ROUND(IFERROR(ROUND(IF(OR(ISNUMBER(SEARCH("week",C15)),ISNUMBER(SEARCH("minggu",C15))),IFERROR(_xlfn.NUMBERVALUE(SUBSTITUTE(LEFT(TRIM(C15),FIND(" ",TRIM(C15)&amp;" ")-1),",","."),"."),LEFT(SUBSTITUTE(LEFT(TRIM(C15),FIND(" ",TRIM(C15)&amp;" ")-1),",","."),FIND("/",SUBSTITUTE(LEFT(TRIM(C15),FIND(" ",TRIM(C15)&amp;" ")-1),",","."))-1)/MID(SUBSTITUTE(LEFT(TRIM(C15),FIND(" ",TRIM(C15)&amp;" ")-1),",","."),FIND("/",SUBSTITUTE(LEFT(TRIM(C15),FIND(" ",TRIM(C15)&amp;" ")-1),",","."))+1,9))*12/52,IF(ISNUMBER(SEARCH("month",C15)),IFERROR(_xlfn.NUMBERVALUE(SUBSTITUTE(LEFT(TRIM(C15),FIND(" ",TRIM(C15)&amp;" ")-1),",","."),"."),LEFT(SUBSTITUTE(LEFT(TRIM(C15),FIND(" ",TRIM(C15)&amp;" ")-1),",","."),FIND("/",SUBSTITUTE(LEFT(TRIM(C15),FIND(" ",TRIM(C15)&amp;" ")-1),",","."))-1)/MID(SUBSTITUTE(LEFT(TRIM(C15),FIND(" ",TRIM(C15)&amp;" ")-1),",","."),FIND("/",SUBSTITUTE(LEFT(TRIM(C15),FIND(" ",TRIM(C15)&amp;" ")-1),",","."))+1,9)),IF(ISNUMBER(SEARCH("yea",C15)),IFERROR(_xlfn.NUMBERVALUE(SUBSTITUTE(LEFT(TRIM(C15),FIND(" ",TRIM(C15)&amp;" ")-1),",","."),"."),LEFT(SUBSTITUTE(LEFT(TRIM(C15),FIND(" ",TRIM(C15)&amp;" ")-1),",","."),FIND("/",SUBSTITUTE(LEFT(TRIM(C15),FIND(" ",TRIM(C15)&amp;" ")-1),",","."))-1)/MID(SUBSTITUTE(LEFT(TRIM(C15),FIND(" ",TRIM(C15)&amp;" ")-1),",","."),FIND("/",SUBSTITUTE(LEFT(TRIM(C15),FIND(" ",TRIM(C15)&amp;" ")-1),",","."))+1,9))*12,NA()))),0),24)*'Aturan &amp; Tarif'!$B$4,2)</f>
        <v>1362.72</v>
      </c>
      <c r="K15" s="32" t="n">
        <f aca="false">'Aturan &amp; Tarif'!$B$5</f>
        <v>2050</v>
      </c>
      <c r="L15" s="35" t="n">
        <f aca="false">I15+J15+K15</f>
        <v>9287.72</v>
      </c>
      <c r="M15" s="37" t="s">
        <v>134</v>
      </c>
    </row>
    <row r="16" customFormat="false" ht="25.5" hidden="false" customHeight="true" outlineLevel="0" collapsed="false">
      <c r="A16" s="29"/>
      <c r="B16" s="30" t="s">
        <v>144</v>
      </c>
      <c r="C16" s="31" t="s">
        <v>107</v>
      </c>
      <c r="D16" s="31" t="s">
        <v>108</v>
      </c>
      <c r="E16" s="32" t="n">
        <v>2625</v>
      </c>
      <c r="F16" s="32" t="n">
        <v>3000</v>
      </c>
      <c r="G16" s="32" t="n">
        <v>250</v>
      </c>
      <c r="H16" s="33" t="n">
        <v>1</v>
      </c>
      <c r="I16" s="34" t="n">
        <f aca="false">E16*H16+N(F16)+N(G16)</f>
        <v>5875</v>
      </c>
      <c r="J16" s="32" t="n">
        <f aca="false">ROUND(IFERROR(ROUND(IF(OR(ISNUMBER(SEARCH("week",C16)),ISNUMBER(SEARCH("minggu",C16))),IFERROR(_xlfn.NUMBERVALUE(SUBSTITUTE(LEFT(TRIM(C16),FIND(" ",TRIM(C16)&amp;" ")-1),",","."),"."),LEFT(SUBSTITUTE(LEFT(TRIM(C16),FIND(" ",TRIM(C16)&amp;" ")-1),",","."),FIND("/",SUBSTITUTE(LEFT(TRIM(C16),FIND(" ",TRIM(C16)&amp;" ")-1),",","."))-1)/MID(SUBSTITUTE(LEFT(TRIM(C16),FIND(" ",TRIM(C16)&amp;" ")-1),",","."),FIND("/",SUBSTITUTE(LEFT(TRIM(C16),FIND(" ",TRIM(C16)&amp;" ")-1),",","."))+1,9))*12/52,IF(ISNUMBER(SEARCH("month",C16)),IFERROR(_xlfn.NUMBERVALUE(SUBSTITUTE(LEFT(TRIM(C16),FIND(" ",TRIM(C16)&amp;" ")-1),",","."),"."),LEFT(SUBSTITUTE(LEFT(TRIM(C16),FIND(" ",TRIM(C16)&amp;" ")-1),",","."),FIND("/",SUBSTITUTE(LEFT(TRIM(C16),FIND(" ",TRIM(C16)&amp;" ")-1),",","."))-1)/MID(SUBSTITUTE(LEFT(TRIM(C16),FIND(" ",TRIM(C16)&amp;" ")-1),",","."),FIND("/",SUBSTITUTE(LEFT(TRIM(C16),FIND(" ",TRIM(C16)&amp;" ")-1),",","."))+1,9)),IF(ISNUMBER(SEARCH("yea",C16)),IFERROR(_xlfn.NUMBERVALUE(SUBSTITUTE(LEFT(TRIM(C16),FIND(" ",TRIM(C16)&amp;" ")-1),",","."),"."),LEFT(SUBSTITUTE(LEFT(TRIM(C16),FIND(" ",TRIM(C16)&amp;" ")-1),",","."),FIND("/",SUBSTITUTE(LEFT(TRIM(C16),FIND(" ",TRIM(C16)&amp;" ")-1),",","."))-1)/MID(SUBSTITUTE(LEFT(TRIM(C16),FIND(" ",TRIM(C16)&amp;" ")-1),",","."),FIND("/",SUBSTITUTE(LEFT(TRIM(C16),FIND(" ",TRIM(C16)&amp;" ")-1),",","."))+1,9))*12,NA()))),0),24)*'Aturan &amp; Tarif'!$B$4,2)</f>
        <v>1362.72</v>
      </c>
      <c r="K16" s="32" t="n">
        <f aca="false">'Aturan &amp; Tarif'!$B$5</f>
        <v>2050</v>
      </c>
      <c r="L16" s="35" t="n">
        <f aca="false">I16+J16+K16</f>
        <v>9287.72</v>
      </c>
      <c r="M16" s="37" t="s">
        <v>134</v>
      </c>
    </row>
    <row r="17" customFormat="false" ht="25.5" hidden="false" customHeight="true" outlineLevel="0" collapsed="false">
      <c r="A17" s="29"/>
      <c r="B17" s="30" t="s">
        <v>145</v>
      </c>
      <c r="C17" s="31" t="s">
        <v>107</v>
      </c>
      <c r="D17" s="31" t="s">
        <v>108</v>
      </c>
      <c r="E17" s="32" t="n">
        <v>1820</v>
      </c>
      <c r="F17" s="32" t="n">
        <v>800</v>
      </c>
      <c r="G17" s="32" t="n">
        <v>250</v>
      </c>
      <c r="H17" s="33" t="n">
        <v>1</v>
      </c>
      <c r="I17" s="34" t="n">
        <f aca="false">E17*H17+N(F17)+N(G17)</f>
        <v>2870</v>
      </c>
      <c r="J17" s="32" t="n">
        <f aca="false">ROUND(IFERROR(ROUND(IF(OR(ISNUMBER(SEARCH("week",C17)),ISNUMBER(SEARCH("minggu",C17))),IFERROR(_xlfn.NUMBERVALUE(SUBSTITUTE(LEFT(TRIM(C17),FIND(" ",TRIM(C17)&amp;" ")-1),",","."),"."),LEFT(SUBSTITUTE(LEFT(TRIM(C17),FIND(" ",TRIM(C17)&amp;" ")-1),",","."),FIND("/",SUBSTITUTE(LEFT(TRIM(C17),FIND(" ",TRIM(C17)&amp;" ")-1),",","."))-1)/MID(SUBSTITUTE(LEFT(TRIM(C17),FIND(" ",TRIM(C17)&amp;" ")-1),",","."),FIND("/",SUBSTITUTE(LEFT(TRIM(C17),FIND(" ",TRIM(C17)&amp;" ")-1),",","."))+1,9))*12/52,IF(ISNUMBER(SEARCH("month",C17)),IFERROR(_xlfn.NUMBERVALUE(SUBSTITUTE(LEFT(TRIM(C17),FIND(" ",TRIM(C17)&amp;" ")-1),",","."),"."),LEFT(SUBSTITUTE(LEFT(TRIM(C17),FIND(" ",TRIM(C17)&amp;" ")-1),",","."),FIND("/",SUBSTITUTE(LEFT(TRIM(C17),FIND(" ",TRIM(C17)&amp;" ")-1),",","."))-1)/MID(SUBSTITUTE(LEFT(TRIM(C17),FIND(" ",TRIM(C17)&amp;" ")-1),",","."),FIND("/",SUBSTITUTE(LEFT(TRIM(C17),FIND(" ",TRIM(C17)&amp;" ")-1),",","."))+1,9)),IF(ISNUMBER(SEARCH("yea",C17)),IFERROR(_xlfn.NUMBERVALUE(SUBSTITUTE(LEFT(TRIM(C17),FIND(" ",TRIM(C17)&amp;" ")-1),",","."),"."),LEFT(SUBSTITUTE(LEFT(TRIM(C17),FIND(" ",TRIM(C17)&amp;" ")-1),",","."),FIND("/",SUBSTITUTE(LEFT(TRIM(C17),FIND(" ",TRIM(C17)&amp;" ")-1),",","."))-1)/MID(SUBSTITUTE(LEFT(TRIM(C17),FIND(" ",TRIM(C17)&amp;" ")-1),",","."),FIND("/",SUBSTITUTE(LEFT(TRIM(C17),FIND(" ",TRIM(C17)&amp;" ")-1),",","."))+1,9))*12,NA()))),0),24)*'Aturan &amp; Tarif'!$B$4,2)</f>
        <v>1362.72</v>
      </c>
      <c r="K17" s="32" t="n">
        <f aca="false">'Aturan &amp; Tarif'!$B$5</f>
        <v>2050</v>
      </c>
      <c r="L17" s="35" t="n">
        <f aca="false">I17+J17+K17</f>
        <v>6282.72</v>
      </c>
      <c r="M17" s="37" t="s">
        <v>134</v>
      </c>
    </row>
    <row r="18" customFormat="false" ht="25.5" hidden="false" customHeight="true" outlineLevel="0" collapsed="false">
      <c r="A18" s="29"/>
      <c r="B18" s="30" t="s">
        <v>146</v>
      </c>
      <c r="C18" s="31" t="s">
        <v>113</v>
      </c>
      <c r="D18" s="31" t="s">
        <v>108</v>
      </c>
      <c r="E18" s="32" t="n">
        <v>2700</v>
      </c>
      <c r="F18" s="32" t="n">
        <v>1500</v>
      </c>
      <c r="G18" s="32" t="n">
        <v>250</v>
      </c>
      <c r="H18" s="33" t="n">
        <v>1</v>
      </c>
      <c r="I18" s="34" t="n">
        <f aca="false">E18*H18+N(F18)+N(G18)</f>
        <v>4450</v>
      </c>
      <c r="J18" s="32" t="n">
        <f aca="false">ROUND(IFERROR(ROUND(IF(OR(ISNUMBER(SEARCH("week",C18)),ISNUMBER(SEARCH("minggu",C18))),IFERROR(_xlfn.NUMBERVALUE(SUBSTITUTE(LEFT(TRIM(C18),FIND(" ",TRIM(C18)&amp;" ")-1),",","."),"."),LEFT(SUBSTITUTE(LEFT(TRIM(C18),FIND(" ",TRIM(C18)&amp;" ")-1),",","."),FIND("/",SUBSTITUTE(LEFT(TRIM(C18),FIND(" ",TRIM(C18)&amp;" ")-1),",","."))-1)/MID(SUBSTITUTE(LEFT(TRIM(C18),FIND(" ",TRIM(C18)&amp;" ")-1),",","."),FIND("/",SUBSTITUTE(LEFT(TRIM(C18),FIND(" ",TRIM(C18)&amp;" ")-1),",","."))+1,9))*12/52,IF(ISNUMBER(SEARCH("month",C18)),IFERROR(_xlfn.NUMBERVALUE(SUBSTITUTE(LEFT(TRIM(C18),FIND(" ",TRIM(C18)&amp;" ")-1),",","."),"."),LEFT(SUBSTITUTE(LEFT(TRIM(C18),FIND(" ",TRIM(C18)&amp;" ")-1),",","."),FIND("/",SUBSTITUTE(LEFT(TRIM(C18),FIND(" ",TRIM(C18)&amp;" ")-1),",","."))-1)/MID(SUBSTITUTE(LEFT(TRIM(C18),FIND(" ",TRIM(C18)&amp;" ")-1),",","."),FIND("/",SUBSTITUTE(LEFT(TRIM(C18),FIND(" ",TRIM(C18)&amp;" ")-1),",","."))+1,9)),IF(ISNUMBER(SEARCH("yea",C18)),IFERROR(_xlfn.NUMBERVALUE(SUBSTITUTE(LEFT(TRIM(C18),FIND(" ",TRIM(C18)&amp;" ")-1),",","."),"."),LEFT(SUBSTITUTE(LEFT(TRIM(C18),FIND(" ",TRIM(C18)&amp;" ")-1),",","."),FIND("/",SUBSTITUTE(LEFT(TRIM(C18),FIND(" ",TRIM(C18)&amp;" ")-1),",","."))-1)/MID(SUBSTITUTE(LEFT(TRIM(C18),FIND(" ",TRIM(C18)&amp;" ")-1),",","."),FIND("/",SUBSTITUTE(LEFT(TRIM(C18),FIND(" ",TRIM(C18)&amp;" ")-1),",","."))+1,9))*12,NA()))),0),18)*'Aturan &amp; Tarif'!$B$4,2)</f>
        <v>1022.04</v>
      </c>
      <c r="K18" s="32" t="n">
        <f aca="false">'Aturan &amp; Tarif'!$B$5</f>
        <v>2050</v>
      </c>
      <c r="L18" s="35" t="n">
        <f aca="false">I18+J18+K18</f>
        <v>7522.04</v>
      </c>
      <c r="M18" s="37" t="s">
        <v>134</v>
      </c>
    </row>
    <row r="19" customFormat="false" ht="37.5" hidden="false" customHeight="true" outlineLevel="0" collapsed="false">
      <c r="A19" s="29"/>
      <c r="B19" s="30" t="s">
        <v>147</v>
      </c>
      <c r="C19" s="31" t="s">
        <v>107</v>
      </c>
      <c r="D19" s="31" t="s">
        <v>108</v>
      </c>
      <c r="E19" s="32" t="n">
        <v>2375</v>
      </c>
      <c r="F19" s="32" t="n">
        <v>1500</v>
      </c>
      <c r="G19" s="32" t="n">
        <v>250</v>
      </c>
      <c r="H19" s="33" t="n">
        <v>1</v>
      </c>
      <c r="I19" s="34" t="n">
        <f aca="false">E19*H19+N(F19)+N(G19)</f>
        <v>4125</v>
      </c>
      <c r="J19" s="32" t="n">
        <f aca="false">ROUND(IFERROR(ROUND(IF(OR(ISNUMBER(SEARCH("week",C19)),ISNUMBER(SEARCH("minggu",C19))),IFERROR(_xlfn.NUMBERVALUE(SUBSTITUTE(LEFT(TRIM(C19),FIND(" ",TRIM(C19)&amp;" ")-1),",","."),"."),LEFT(SUBSTITUTE(LEFT(TRIM(C19),FIND(" ",TRIM(C19)&amp;" ")-1),",","."),FIND("/",SUBSTITUTE(LEFT(TRIM(C19),FIND(" ",TRIM(C19)&amp;" ")-1),",","."))-1)/MID(SUBSTITUTE(LEFT(TRIM(C19),FIND(" ",TRIM(C19)&amp;" ")-1),",","."),FIND("/",SUBSTITUTE(LEFT(TRIM(C19),FIND(" ",TRIM(C19)&amp;" ")-1),",","."))+1,9))*12/52,IF(ISNUMBER(SEARCH("month",C19)),IFERROR(_xlfn.NUMBERVALUE(SUBSTITUTE(LEFT(TRIM(C19),FIND(" ",TRIM(C19)&amp;" ")-1),",","."),"."),LEFT(SUBSTITUTE(LEFT(TRIM(C19),FIND(" ",TRIM(C19)&amp;" ")-1),",","."),FIND("/",SUBSTITUTE(LEFT(TRIM(C19),FIND(" ",TRIM(C19)&amp;" ")-1),",","."))-1)/MID(SUBSTITUTE(LEFT(TRIM(C19),FIND(" ",TRIM(C19)&amp;" ")-1),",","."),FIND("/",SUBSTITUTE(LEFT(TRIM(C19),FIND(" ",TRIM(C19)&amp;" ")-1),",","."))+1,9)),IF(ISNUMBER(SEARCH("yea",C19)),IFERROR(_xlfn.NUMBERVALUE(SUBSTITUTE(LEFT(TRIM(C19),FIND(" ",TRIM(C19)&amp;" ")-1),",","."),"."),LEFT(SUBSTITUTE(LEFT(TRIM(C19),FIND(" ",TRIM(C19)&amp;" ")-1),",","."),FIND("/",SUBSTITUTE(LEFT(TRIM(C19),FIND(" ",TRIM(C19)&amp;" ")-1),",","."))-1)/MID(SUBSTITUTE(LEFT(TRIM(C19),FIND(" ",TRIM(C19)&amp;" ")-1),",","."),FIND("/",SUBSTITUTE(LEFT(TRIM(C19),FIND(" ",TRIM(C19)&amp;" ")-1),",","."))+1,9))*12,NA()))),0),24)*'Aturan &amp; Tarif'!$B$4,2)</f>
        <v>1362.72</v>
      </c>
      <c r="K19" s="32" t="n">
        <f aca="false">'Aturan &amp; Tarif'!$B$5</f>
        <v>2050</v>
      </c>
      <c r="L19" s="35" t="n">
        <f aca="false">I19+J19+K19</f>
        <v>7537.72</v>
      </c>
      <c r="M19" s="37" t="s">
        <v>134</v>
      </c>
    </row>
    <row r="20" customFormat="false" ht="25.5" hidden="false" customHeight="true" outlineLevel="0" collapsed="false">
      <c r="A20" s="29"/>
      <c r="B20" s="30" t="s">
        <v>148</v>
      </c>
      <c r="C20" s="31" t="s">
        <v>113</v>
      </c>
      <c r="D20" s="31" t="s">
        <v>108</v>
      </c>
      <c r="E20" s="32" t="n">
        <v>2850</v>
      </c>
      <c r="F20" s="32" t="n">
        <v>1500</v>
      </c>
      <c r="G20" s="32" t="n">
        <v>250</v>
      </c>
      <c r="H20" s="33" t="n">
        <v>1</v>
      </c>
      <c r="I20" s="34" t="n">
        <f aca="false">E20*H20+N(F20)+N(G20)</f>
        <v>4600</v>
      </c>
      <c r="J20" s="32" t="n">
        <f aca="false">ROUND(IFERROR(ROUND(IF(OR(ISNUMBER(SEARCH("week",C20)),ISNUMBER(SEARCH("minggu",C20))),IFERROR(_xlfn.NUMBERVALUE(SUBSTITUTE(LEFT(TRIM(C20),FIND(" ",TRIM(C20)&amp;" ")-1),",","."),"."),LEFT(SUBSTITUTE(LEFT(TRIM(C20),FIND(" ",TRIM(C20)&amp;" ")-1),",","."),FIND("/",SUBSTITUTE(LEFT(TRIM(C20),FIND(" ",TRIM(C20)&amp;" ")-1),",","."))-1)/MID(SUBSTITUTE(LEFT(TRIM(C20),FIND(" ",TRIM(C20)&amp;" ")-1),",","."),FIND("/",SUBSTITUTE(LEFT(TRIM(C20),FIND(" ",TRIM(C20)&amp;" ")-1),",","."))+1,9))*12/52,IF(ISNUMBER(SEARCH("month",C20)),IFERROR(_xlfn.NUMBERVALUE(SUBSTITUTE(LEFT(TRIM(C20),FIND(" ",TRIM(C20)&amp;" ")-1),",","."),"."),LEFT(SUBSTITUTE(LEFT(TRIM(C20),FIND(" ",TRIM(C20)&amp;" ")-1),",","."),FIND("/",SUBSTITUTE(LEFT(TRIM(C20),FIND(" ",TRIM(C20)&amp;" ")-1),",","."))-1)/MID(SUBSTITUTE(LEFT(TRIM(C20),FIND(" ",TRIM(C20)&amp;" ")-1),",","."),FIND("/",SUBSTITUTE(LEFT(TRIM(C20),FIND(" ",TRIM(C20)&amp;" ")-1),",","."))+1,9)),IF(ISNUMBER(SEARCH("yea",C20)),IFERROR(_xlfn.NUMBERVALUE(SUBSTITUTE(LEFT(TRIM(C20),FIND(" ",TRIM(C20)&amp;" ")-1),",","."),"."),LEFT(SUBSTITUTE(LEFT(TRIM(C20),FIND(" ",TRIM(C20)&amp;" ")-1),",","."),FIND("/",SUBSTITUTE(LEFT(TRIM(C20),FIND(" ",TRIM(C20)&amp;" ")-1),",","."))-1)/MID(SUBSTITUTE(LEFT(TRIM(C20),FIND(" ",TRIM(C20)&amp;" ")-1),",","."),FIND("/",SUBSTITUTE(LEFT(TRIM(C20),FIND(" ",TRIM(C20)&amp;" ")-1),",","."))+1,9))*12,NA()))),0),18)*'Aturan &amp; Tarif'!$B$4,2)</f>
        <v>1022.04</v>
      </c>
      <c r="K20" s="32" t="n">
        <f aca="false">'Aturan &amp; Tarif'!$B$5</f>
        <v>2050</v>
      </c>
      <c r="L20" s="35" t="n">
        <f aca="false">I20+J20+K20</f>
        <v>7672.04</v>
      </c>
      <c r="M20" s="37" t="s">
        <v>134</v>
      </c>
    </row>
    <row r="21" customFormat="false" ht="106.5" hidden="false" customHeight="true" outlineLevel="0" collapsed="false">
      <c r="A21" s="29" t="s">
        <v>149</v>
      </c>
      <c r="B21" s="30" t="s">
        <v>150</v>
      </c>
      <c r="C21" s="31" t="s">
        <v>130</v>
      </c>
      <c r="D21" s="31" t="s">
        <v>108</v>
      </c>
      <c r="E21" s="32" t="n">
        <v>9737.5</v>
      </c>
      <c r="F21" s="32"/>
      <c r="G21" s="32"/>
      <c r="H21" s="33" t="n">
        <v>2</v>
      </c>
      <c r="I21" s="34" t="n">
        <f aca="false">E21*H21+N(F21)+N(G21)</f>
        <v>19475</v>
      </c>
      <c r="J21" s="32" t="n">
        <f aca="false">ROUND(IFERROR(ROUND(IF(OR(ISNUMBER(SEARCH("week",C21)),ISNUMBER(SEARCH("minggu",C21))),IFERROR(_xlfn.NUMBERVALUE(SUBSTITUTE(LEFT(TRIM(C21),FIND(" ",TRIM(C21)&amp;" ")-1),",","."),"."),LEFT(SUBSTITUTE(LEFT(TRIM(C21),FIND(" ",TRIM(C21)&amp;" ")-1),",","."),FIND("/",SUBSTITUTE(LEFT(TRIM(C21),FIND(" ",TRIM(C21)&amp;" ")-1),",","."))-1)/MID(SUBSTITUTE(LEFT(TRIM(C21),FIND(" ",TRIM(C21)&amp;" ")-1),",","."),FIND("/",SUBSTITUTE(LEFT(TRIM(C21),FIND(" ",TRIM(C21)&amp;" ")-1),",","."))+1,9))*12/52,IF(ISNUMBER(SEARCH("month",C21)),IFERROR(_xlfn.NUMBERVALUE(SUBSTITUTE(LEFT(TRIM(C21),FIND(" ",TRIM(C21)&amp;" ")-1),",","."),"."),LEFT(SUBSTITUTE(LEFT(TRIM(C21),FIND(" ",TRIM(C21)&amp;" ")-1),",","."),FIND("/",SUBSTITUTE(LEFT(TRIM(C21),FIND(" ",TRIM(C21)&amp;" ")-1),",","."))-1)/MID(SUBSTITUTE(LEFT(TRIM(C21),FIND(" ",TRIM(C21)&amp;" ")-1),",","."),FIND("/",SUBSTITUTE(LEFT(TRIM(C21),FIND(" ",TRIM(C21)&amp;" ")-1),",","."))+1,9)),IF(ISNUMBER(SEARCH("yea",C21)),IFERROR(_xlfn.NUMBERVALUE(SUBSTITUTE(LEFT(TRIM(C21),FIND(" ",TRIM(C21)&amp;" ")-1),",","."),"."),LEFT(SUBSTITUTE(LEFT(TRIM(C21),FIND(" ",TRIM(C21)&amp;" ")-1),",","."),FIND("/",SUBSTITUTE(LEFT(TRIM(C21),FIND(" ",TRIM(C21)&amp;" ")-1),",","."))-1)/MID(SUBSTITUTE(LEFT(TRIM(C21),FIND(" ",TRIM(C21)&amp;" ")-1),",","."),FIND("/",SUBSTITUTE(LEFT(TRIM(C21),FIND(" ",TRIM(C21)&amp;" ")-1),",","."))+1,9))*12,NA()))),0),12)*'Aturan &amp; Tarif'!$B$4,2)</f>
        <v>681.36</v>
      </c>
      <c r="K21" s="32" t="n">
        <f aca="false">'Aturan &amp; Tarif'!$B$5</f>
        <v>2050</v>
      </c>
      <c r="L21" s="35" t="n">
        <f aca="false">I21+J21+K21</f>
        <v>22206.36</v>
      </c>
      <c r="M21" s="36" t="s">
        <v>151</v>
      </c>
    </row>
    <row r="22" customFormat="false" ht="106.5" hidden="false" customHeight="true" outlineLevel="0" collapsed="false">
      <c r="A22" s="29"/>
      <c r="B22" s="30" t="s">
        <v>152</v>
      </c>
      <c r="C22" s="31" t="s">
        <v>127</v>
      </c>
      <c r="D22" s="31" t="s">
        <v>108</v>
      </c>
      <c r="E22" s="32" t="n">
        <v>9737.5</v>
      </c>
      <c r="F22" s="32"/>
      <c r="G22" s="32"/>
      <c r="H22" s="33" t="n">
        <v>2</v>
      </c>
      <c r="I22" s="34" t="n">
        <f aca="false">E22*H22+N(F22)+N(G22)</f>
        <v>19475</v>
      </c>
      <c r="J22" s="32" t="n">
        <f aca="false">ROUND(IFERROR(ROUND(IF(OR(ISNUMBER(SEARCH("week",C22)),ISNUMBER(SEARCH("minggu",C22))),IFERROR(_xlfn.NUMBERVALUE(SUBSTITUTE(LEFT(TRIM(C22),FIND(" ",TRIM(C22)&amp;" ")-1),",","."),"."),LEFT(SUBSTITUTE(LEFT(TRIM(C22),FIND(" ",TRIM(C22)&amp;" ")-1),",","."),FIND("/",SUBSTITUTE(LEFT(TRIM(C22),FIND(" ",TRIM(C22)&amp;" ")-1),",","."))-1)/MID(SUBSTITUTE(LEFT(TRIM(C22),FIND(" ",TRIM(C22)&amp;" ")-1),",","."),FIND("/",SUBSTITUTE(LEFT(TRIM(C22),FIND(" ",TRIM(C22)&amp;" ")-1),",","."))+1,9))*12/52,IF(ISNUMBER(SEARCH("month",C22)),IFERROR(_xlfn.NUMBERVALUE(SUBSTITUTE(LEFT(TRIM(C22),FIND(" ",TRIM(C22)&amp;" ")-1),",","."),"."),LEFT(SUBSTITUTE(LEFT(TRIM(C22),FIND(" ",TRIM(C22)&amp;" ")-1),",","."),FIND("/",SUBSTITUTE(LEFT(TRIM(C22),FIND(" ",TRIM(C22)&amp;" ")-1),",","."))-1)/MID(SUBSTITUTE(LEFT(TRIM(C22),FIND(" ",TRIM(C22)&amp;" ")-1),",","."),FIND("/",SUBSTITUTE(LEFT(TRIM(C22),FIND(" ",TRIM(C22)&amp;" ")-1),",","."))+1,9)),IF(ISNUMBER(SEARCH("yea",C22)),IFERROR(_xlfn.NUMBERVALUE(SUBSTITUTE(LEFT(TRIM(C22),FIND(" ",TRIM(C22)&amp;" ")-1),",","."),"."),LEFT(SUBSTITUTE(LEFT(TRIM(C22),FIND(" ",TRIM(C22)&amp;" ")-1),",","."),FIND("/",SUBSTITUTE(LEFT(TRIM(C22),FIND(" ",TRIM(C22)&amp;" ")-1),",","."))-1)/MID(SUBSTITUTE(LEFT(TRIM(C22),FIND(" ",TRIM(C22)&amp;" ")-1),",","."),FIND("/",SUBSTITUTE(LEFT(TRIM(C22),FIND(" ",TRIM(C22)&amp;" ")-1),",","."))+1,9))*12,NA()))),0),36)*'Aturan &amp; Tarif'!$B$4,2)</f>
        <v>2044.08</v>
      </c>
      <c r="K22" s="32" t="n">
        <f aca="false">'Aturan &amp; Tarif'!$B$5</f>
        <v>2050</v>
      </c>
      <c r="L22" s="35" t="n">
        <f aca="false">I22+J22+K22</f>
        <v>23569.08</v>
      </c>
      <c r="M22" s="36" t="s">
        <v>153</v>
      </c>
    </row>
    <row r="23" customFormat="false" ht="106.5" hidden="false" customHeight="true" outlineLevel="0" collapsed="false">
      <c r="A23" s="29"/>
      <c r="B23" s="30" t="s">
        <v>154</v>
      </c>
      <c r="C23" s="31" t="s">
        <v>127</v>
      </c>
      <c r="D23" s="31" t="s">
        <v>108</v>
      </c>
      <c r="E23" s="32" t="n">
        <v>9612.5</v>
      </c>
      <c r="F23" s="32"/>
      <c r="G23" s="32"/>
      <c r="H23" s="33" t="n">
        <v>2</v>
      </c>
      <c r="I23" s="34" t="n">
        <f aca="false">E23*H23+N(F23)+N(G23)</f>
        <v>19225</v>
      </c>
      <c r="J23" s="32" t="n">
        <f aca="false">ROUND(IFERROR(ROUND(IF(OR(ISNUMBER(SEARCH("week",C23)),ISNUMBER(SEARCH("minggu",C23))),IFERROR(_xlfn.NUMBERVALUE(SUBSTITUTE(LEFT(TRIM(C23),FIND(" ",TRIM(C23)&amp;" ")-1),",","."),"."),LEFT(SUBSTITUTE(LEFT(TRIM(C23),FIND(" ",TRIM(C23)&amp;" ")-1),",","."),FIND("/",SUBSTITUTE(LEFT(TRIM(C23),FIND(" ",TRIM(C23)&amp;" ")-1),",","."))-1)/MID(SUBSTITUTE(LEFT(TRIM(C23),FIND(" ",TRIM(C23)&amp;" ")-1),",","."),FIND("/",SUBSTITUTE(LEFT(TRIM(C23),FIND(" ",TRIM(C23)&amp;" ")-1),",","."))+1,9))*12/52,IF(ISNUMBER(SEARCH("month",C23)),IFERROR(_xlfn.NUMBERVALUE(SUBSTITUTE(LEFT(TRIM(C23),FIND(" ",TRIM(C23)&amp;" ")-1),",","."),"."),LEFT(SUBSTITUTE(LEFT(TRIM(C23),FIND(" ",TRIM(C23)&amp;" ")-1),",","."),FIND("/",SUBSTITUTE(LEFT(TRIM(C23),FIND(" ",TRIM(C23)&amp;" ")-1),",","."))-1)/MID(SUBSTITUTE(LEFT(TRIM(C23),FIND(" ",TRIM(C23)&amp;" ")-1),",","."),FIND("/",SUBSTITUTE(LEFT(TRIM(C23),FIND(" ",TRIM(C23)&amp;" ")-1),",","."))+1,9)),IF(ISNUMBER(SEARCH("yea",C23)),IFERROR(_xlfn.NUMBERVALUE(SUBSTITUTE(LEFT(TRIM(C23),FIND(" ",TRIM(C23)&amp;" ")-1),",","."),"."),LEFT(SUBSTITUTE(LEFT(TRIM(C23),FIND(" ",TRIM(C23)&amp;" ")-1),",","."),FIND("/",SUBSTITUTE(LEFT(TRIM(C23),FIND(" ",TRIM(C23)&amp;" ")-1),",","."))-1)/MID(SUBSTITUTE(LEFT(TRIM(C23),FIND(" ",TRIM(C23)&amp;" ")-1),",","."),FIND("/",SUBSTITUTE(LEFT(TRIM(C23),FIND(" ",TRIM(C23)&amp;" ")-1),",","."))+1,9))*12,NA()))),0),36)*'Aturan &amp; Tarif'!$B$4,2)</f>
        <v>2044.08</v>
      </c>
      <c r="K23" s="32" t="n">
        <f aca="false">'Aturan &amp; Tarif'!$B$5</f>
        <v>2050</v>
      </c>
      <c r="L23" s="35" t="n">
        <f aca="false">I23+J23+K23</f>
        <v>23319.08</v>
      </c>
      <c r="M23" s="36" t="s">
        <v>155</v>
      </c>
    </row>
    <row r="24" customFormat="false" ht="106.5" hidden="false" customHeight="true" outlineLevel="0" collapsed="false">
      <c r="A24" s="29"/>
      <c r="B24" s="30" t="s">
        <v>156</v>
      </c>
      <c r="C24" s="31" t="s">
        <v>136</v>
      </c>
      <c r="D24" s="31" t="s">
        <v>108</v>
      </c>
      <c r="E24" s="32" t="n">
        <v>10237.5</v>
      </c>
      <c r="F24" s="32"/>
      <c r="G24" s="32"/>
      <c r="H24" s="33" t="n">
        <v>2</v>
      </c>
      <c r="I24" s="34" t="n">
        <f aca="false">E24*H24+N(F24)+N(G24)</f>
        <v>20475</v>
      </c>
      <c r="J24" s="32" t="n">
        <f aca="false">ROUND(IFERROR(ROUND(IF(OR(ISNUMBER(SEARCH("week",C24)),ISNUMBER(SEARCH("minggu",C24))),IFERROR(_xlfn.NUMBERVALUE(SUBSTITUTE(LEFT(TRIM(C24),FIND(" ",TRIM(C24)&amp;" ")-1),",","."),"."),LEFT(SUBSTITUTE(LEFT(TRIM(C24),FIND(" ",TRIM(C24)&amp;" ")-1),",","."),FIND("/",SUBSTITUTE(LEFT(TRIM(C24),FIND(" ",TRIM(C24)&amp;" ")-1),",","."))-1)/MID(SUBSTITUTE(LEFT(TRIM(C24),FIND(" ",TRIM(C24)&amp;" ")-1),",","."),FIND("/",SUBSTITUTE(LEFT(TRIM(C24),FIND(" ",TRIM(C24)&amp;" ")-1),",","."))+1,9))*12/52,IF(ISNUMBER(SEARCH("month",C24)),IFERROR(_xlfn.NUMBERVALUE(SUBSTITUTE(LEFT(TRIM(C24),FIND(" ",TRIM(C24)&amp;" ")-1),",","."),"."),LEFT(SUBSTITUTE(LEFT(TRIM(C24),FIND(" ",TRIM(C24)&amp;" ")-1),",","."),FIND("/",SUBSTITUTE(LEFT(TRIM(C24),FIND(" ",TRIM(C24)&amp;" ")-1),",","."))-1)/MID(SUBSTITUTE(LEFT(TRIM(C24),FIND(" ",TRIM(C24)&amp;" ")-1),",","."),FIND("/",SUBSTITUTE(LEFT(TRIM(C24),FIND(" ",TRIM(C24)&amp;" ")-1),",","."))+1,9)),IF(ISNUMBER(SEARCH("yea",C24)),IFERROR(_xlfn.NUMBERVALUE(SUBSTITUTE(LEFT(TRIM(C24),FIND(" ",TRIM(C24)&amp;" ")-1),",","."),"."),LEFT(SUBSTITUTE(LEFT(TRIM(C24),FIND(" ",TRIM(C24)&amp;" ")-1),",","."),FIND("/",SUBSTITUTE(LEFT(TRIM(C24),FIND(" ",TRIM(C24)&amp;" ")-1),",","."))-1)/MID(SUBSTITUTE(LEFT(TRIM(C24),FIND(" ",TRIM(C24)&amp;" ")-1),",","."),FIND("/",SUBSTITUTE(LEFT(TRIM(C24),FIND(" ",TRIM(C24)&amp;" ")-1),",","."))+1,9))*12,NA()))),0),42)*'Aturan &amp; Tarif'!$B$4,2)</f>
        <v>2384.76</v>
      </c>
      <c r="K24" s="32" t="n">
        <f aca="false">'Aturan &amp; Tarif'!$B$5</f>
        <v>2050</v>
      </c>
      <c r="L24" s="35" t="n">
        <f aca="false">I24+J24+K24</f>
        <v>24909.76</v>
      </c>
      <c r="M24" s="36" t="s">
        <v>157</v>
      </c>
    </row>
    <row r="25" customFormat="false" ht="106.5" hidden="false" customHeight="true" outlineLevel="0" collapsed="false">
      <c r="A25" s="29"/>
      <c r="B25" s="30" t="s">
        <v>158</v>
      </c>
      <c r="C25" s="31" t="s">
        <v>159</v>
      </c>
      <c r="D25" s="31" t="s">
        <v>108</v>
      </c>
      <c r="E25" s="32" t="n">
        <v>10812.5</v>
      </c>
      <c r="F25" s="32"/>
      <c r="G25" s="32"/>
      <c r="H25" s="33" t="n">
        <v>2</v>
      </c>
      <c r="I25" s="34" t="n">
        <f aca="false">E25*H25+N(F25)+N(G25)</f>
        <v>21625</v>
      </c>
      <c r="J25" s="32" t="n">
        <f aca="false">ROUND(IFERROR(ROUND(IF(OR(ISNUMBER(SEARCH("week",C25)),ISNUMBER(SEARCH("minggu",C25))),IFERROR(_xlfn.NUMBERVALUE(SUBSTITUTE(LEFT(TRIM(C25),FIND(" ",TRIM(C25)&amp;" ")-1),",","."),"."),LEFT(SUBSTITUTE(LEFT(TRIM(C25),FIND(" ",TRIM(C25)&amp;" ")-1),",","."),FIND("/",SUBSTITUTE(LEFT(TRIM(C25),FIND(" ",TRIM(C25)&amp;" ")-1),",","."))-1)/MID(SUBSTITUTE(LEFT(TRIM(C25),FIND(" ",TRIM(C25)&amp;" ")-1),",","."),FIND("/",SUBSTITUTE(LEFT(TRIM(C25),FIND(" ",TRIM(C25)&amp;" ")-1),",","."))+1,9))*12/52,IF(ISNUMBER(SEARCH("month",C25)),IFERROR(_xlfn.NUMBERVALUE(SUBSTITUTE(LEFT(TRIM(C25),FIND(" ",TRIM(C25)&amp;" ")-1),",","."),"."),LEFT(SUBSTITUTE(LEFT(TRIM(C25),FIND(" ",TRIM(C25)&amp;" ")-1),",","."),FIND("/",SUBSTITUTE(LEFT(TRIM(C25),FIND(" ",TRIM(C25)&amp;" ")-1),",","."))-1)/MID(SUBSTITUTE(LEFT(TRIM(C25),FIND(" ",TRIM(C25)&amp;" ")-1),",","."),FIND("/",SUBSTITUTE(LEFT(TRIM(C25),FIND(" ",TRIM(C25)&amp;" ")-1),",","."))+1,9)),IF(ISNUMBER(SEARCH("yea",C25)),IFERROR(_xlfn.NUMBERVALUE(SUBSTITUTE(LEFT(TRIM(C25),FIND(" ",TRIM(C25)&amp;" ")-1),",","."),"."),LEFT(SUBSTITUTE(LEFT(TRIM(C25),FIND(" ",TRIM(C25)&amp;" ")-1),",","."),FIND("/",SUBSTITUTE(LEFT(TRIM(C25),FIND(" ",TRIM(C25)&amp;" ")-1),",","."))-1)/MID(SUBSTITUTE(LEFT(TRIM(C25),FIND(" ",TRIM(C25)&amp;" ")-1),",","."),FIND("/",SUBSTITUTE(LEFT(TRIM(C25),FIND(" ",TRIM(C25)&amp;" ")-1),",","."))+1,9))*12,NA()))),0),6)*'Aturan &amp; Tarif'!$B$4,2)</f>
        <v>340.68</v>
      </c>
      <c r="K25" s="32" t="n">
        <f aca="false">'Aturan &amp; Tarif'!$B$5</f>
        <v>2050</v>
      </c>
      <c r="L25" s="35" t="n">
        <f aca="false">I25+J25+K25</f>
        <v>24015.68</v>
      </c>
      <c r="M25" s="36" t="s">
        <v>160</v>
      </c>
    </row>
    <row r="26" customFormat="false" ht="94.5" hidden="false" customHeight="true" outlineLevel="0" collapsed="false">
      <c r="A26" s="29"/>
      <c r="B26" s="30" t="s">
        <v>161</v>
      </c>
      <c r="C26" s="31" t="s">
        <v>159</v>
      </c>
      <c r="D26" s="31" t="s">
        <v>108</v>
      </c>
      <c r="E26" s="32" t="n">
        <v>6612.5</v>
      </c>
      <c r="F26" s="32"/>
      <c r="G26" s="32"/>
      <c r="H26" s="33" t="n">
        <v>2</v>
      </c>
      <c r="I26" s="34" t="n">
        <f aca="false">E26*H26+N(F26)+N(G26)</f>
        <v>13225</v>
      </c>
      <c r="J26" s="32" t="n">
        <f aca="false">ROUND(IFERROR(ROUND(IF(OR(ISNUMBER(SEARCH("week",C26)),ISNUMBER(SEARCH("minggu",C26))),IFERROR(_xlfn.NUMBERVALUE(SUBSTITUTE(LEFT(TRIM(C26),FIND(" ",TRIM(C26)&amp;" ")-1),",","."),"."),LEFT(SUBSTITUTE(LEFT(TRIM(C26),FIND(" ",TRIM(C26)&amp;" ")-1),",","."),FIND("/",SUBSTITUTE(LEFT(TRIM(C26),FIND(" ",TRIM(C26)&amp;" ")-1),",","."))-1)/MID(SUBSTITUTE(LEFT(TRIM(C26),FIND(" ",TRIM(C26)&amp;" ")-1),",","."),FIND("/",SUBSTITUTE(LEFT(TRIM(C26),FIND(" ",TRIM(C26)&amp;" ")-1),",","."))+1,9))*12/52,IF(ISNUMBER(SEARCH("month",C26)),IFERROR(_xlfn.NUMBERVALUE(SUBSTITUTE(LEFT(TRIM(C26),FIND(" ",TRIM(C26)&amp;" ")-1),",","."),"."),LEFT(SUBSTITUTE(LEFT(TRIM(C26),FIND(" ",TRIM(C26)&amp;" ")-1),",","."),FIND("/",SUBSTITUTE(LEFT(TRIM(C26),FIND(" ",TRIM(C26)&amp;" ")-1),",","."))-1)/MID(SUBSTITUTE(LEFT(TRIM(C26),FIND(" ",TRIM(C26)&amp;" ")-1),",","."),FIND("/",SUBSTITUTE(LEFT(TRIM(C26),FIND(" ",TRIM(C26)&amp;" ")-1),",","."))+1,9)),IF(ISNUMBER(SEARCH("yea",C26)),IFERROR(_xlfn.NUMBERVALUE(SUBSTITUTE(LEFT(TRIM(C26),FIND(" ",TRIM(C26)&amp;" ")-1),",","."),"."),LEFT(SUBSTITUTE(LEFT(TRIM(C26),FIND(" ",TRIM(C26)&amp;" ")-1),",","."),FIND("/",SUBSTITUTE(LEFT(TRIM(C26),FIND(" ",TRIM(C26)&amp;" ")-1),",","."))-1)/MID(SUBSTITUTE(LEFT(TRIM(C26),FIND(" ",TRIM(C26)&amp;" ")-1),",","."),FIND("/",SUBSTITUTE(LEFT(TRIM(C26),FIND(" ",TRIM(C26)&amp;" ")-1),",","."))+1,9))*12,NA()))),0),6)*'Aturan &amp; Tarif'!$B$4,2)</f>
        <v>340.68</v>
      </c>
      <c r="K26" s="32" t="n">
        <f aca="false">'Aturan &amp; Tarif'!$B$5</f>
        <v>2050</v>
      </c>
      <c r="L26" s="35" t="n">
        <f aca="false">I26+J26+K26</f>
        <v>15615.68</v>
      </c>
      <c r="M26" s="36" t="s">
        <v>162</v>
      </c>
    </row>
    <row r="27" customFormat="false" ht="106.5" hidden="false" customHeight="true" outlineLevel="0" collapsed="false">
      <c r="A27" s="29"/>
      <c r="B27" s="30" t="s">
        <v>163</v>
      </c>
      <c r="C27" s="31" t="s">
        <v>130</v>
      </c>
      <c r="D27" s="31" t="s">
        <v>108</v>
      </c>
      <c r="E27" s="32" t="n">
        <v>11062.5</v>
      </c>
      <c r="F27" s="32"/>
      <c r="G27" s="32"/>
      <c r="H27" s="33" t="n">
        <v>2</v>
      </c>
      <c r="I27" s="34" t="n">
        <f aca="false">E27*H27+N(F27)+N(G27)</f>
        <v>22125</v>
      </c>
      <c r="J27" s="32" t="n">
        <f aca="false">ROUND(IFERROR(ROUND(IF(OR(ISNUMBER(SEARCH("week",C27)),ISNUMBER(SEARCH("minggu",C27))),IFERROR(_xlfn.NUMBERVALUE(SUBSTITUTE(LEFT(TRIM(C27),FIND(" ",TRIM(C27)&amp;" ")-1),",","."),"."),LEFT(SUBSTITUTE(LEFT(TRIM(C27),FIND(" ",TRIM(C27)&amp;" ")-1),",","."),FIND("/",SUBSTITUTE(LEFT(TRIM(C27),FIND(" ",TRIM(C27)&amp;" ")-1),",","."))-1)/MID(SUBSTITUTE(LEFT(TRIM(C27),FIND(" ",TRIM(C27)&amp;" ")-1),",","."),FIND("/",SUBSTITUTE(LEFT(TRIM(C27),FIND(" ",TRIM(C27)&amp;" ")-1),",","."))+1,9))*12/52,IF(ISNUMBER(SEARCH("month",C27)),IFERROR(_xlfn.NUMBERVALUE(SUBSTITUTE(LEFT(TRIM(C27),FIND(" ",TRIM(C27)&amp;" ")-1),",","."),"."),LEFT(SUBSTITUTE(LEFT(TRIM(C27),FIND(" ",TRIM(C27)&amp;" ")-1),",","."),FIND("/",SUBSTITUTE(LEFT(TRIM(C27),FIND(" ",TRIM(C27)&amp;" ")-1),",","."))-1)/MID(SUBSTITUTE(LEFT(TRIM(C27),FIND(" ",TRIM(C27)&amp;" ")-1),",","."),FIND("/",SUBSTITUTE(LEFT(TRIM(C27),FIND(" ",TRIM(C27)&amp;" ")-1),",","."))+1,9)),IF(ISNUMBER(SEARCH("yea",C27)),IFERROR(_xlfn.NUMBERVALUE(SUBSTITUTE(LEFT(TRIM(C27),FIND(" ",TRIM(C27)&amp;" ")-1),",","."),"."),LEFT(SUBSTITUTE(LEFT(TRIM(C27),FIND(" ",TRIM(C27)&amp;" ")-1),",","."),FIND("/",SUBSTITUTE(LEFT(TRIM(C27),FIND(" ",TRIM(C27)&amp;" ")-1),",","."))-1)/MID(SUBSTITUTE(LEFT(TRIM(C27),FIND(" ",TRIM(C27)&amp;" ")-1),",","."),FIND("/",SUBSTITUTE(LEFT(TRIM(C27),FIND(" ",TRIM(C27)&amp;" ")-1),",","."))+1,9))*12,NA()))),0),12)*'Aturan &amp; Tarif'!$B$4,2)</f>
        <v>681.36</v>
      </c>
      <c r="K27" s="32" t="n">
        <f aca="false">'Aturan &amp; Tarif'!$B$5</f>
        <v>2050</v>
      </c>
      <c r="L27" s="35" t="n">
        <f aca="false">I27+J27+K27</f>
        <v>24856.36</v>
      </c>
      <c r="M27" s="36" t="s">
        <v>164</v>
      </c>
    </row>
    <row r="28" customFormat="false" ht="106.5" hidden="false" customHeight="true" outlineLevel="0" collapsed="false">
      <c r="A28" s="29"/>
      <c r="B28" s="30" t="s">
        <v>165</v>
      </c>
      <c r="C28" s="31" t="s">
        <v>107</v>
      </c>
      <c r="D28" s="31" t="s">
        <v>108</v>
      </c>
      <c r="E28" s="32" t="n">
        <v>8803.25</v>
      </c>
      <c r="F28" s="32"/>
      <c r="G28" s="32"/>
      <c r="H28" s="33" t="n">
        <v>2</v>
      </c>
      <c r="I28" s="34" t="n">
        <f aca="false">E28*H28+N(F28)+N(G28)</f>
        <v>17606.5</v>
      </c>
      <c r="J28" s="32" t="n">
        <f aca="false">ROUND(IFERROR(ROUND(IF(OR(ISNUMBER(SEARCH("week",C28)),ISNUMBER(SEARCH("minggu",C28))),IFERROR(_xlfn.NUMBERVALUE(SUBSTITUTE(LEFT(TRIM(C28),FIND(" ",TRIM(C28)&amp;" ")-1),",","."),"."),LEFT(SUBSTITUTE(LEFT(TRIM(C28),FIND(" ",TRIM(C28)&amp;" ")-1),",","."),FIND("/",SUBSTITUTE(LEFT(TRIM(C28),FIND(" ",TRIM(C28)&amp;" ")-1),",","."))-1)/MID(SUBSTITUTE(LEFT(TRIM(C28),FIND(" ",TRIM(C28)&amp;" ")-1),",","."),FIND("/",SUBSTITUTE(LEFT(TRIM(C28),FIND(" ",TRIM(C28)&amp;" ")-1),",","."))+1,9))*12/52,IF(ISNUMBER(SEARCH("month",C28)),IFERROR(_xlfn.NUMBERVALUE(SUBSTITUTE(LEFT(TRIM(C28),FIND(" ",TRIM(C28)&amp;" ")-1),",","."),"."),LEFT(SUBSTITUTE(LEFT(TRIM(C28),FIND(" ",TRIM(C28)&amp;" ")-1),",","."),FIND("/",SUBSTITUTE(LEFT(TRIM(C28),FIND(" ",TRIM(C28)&amp;" ")-1),",","."))-1)/MID(SUBSTITUTE(LEFT(TRIM(C28),FIND(" ",TRIM(C28)&amp;" ")-1),",","."),FIND("/",SUBSTITUTE(LEFT(TRIM(C28),FIND(" ",TRIM(C28)&amp;" ")-1),",","."))+1,9)),IF(ISNUMBER(SEARCH("yea",C28)),IFERROR(_xlfn.NUMBERVALUE(SUBSTITUTE(LEFT(TRIM(C28),FIND(" ",TRIM(C28)&amp;" ")-1),",","."),"."),LEFT(SUBSTITUTE(LEFT(TRIM(C28),FIND(" ",TRIM(C28)&amp;" ")-1),",","."),FIND("/",SUBSTITUTE(LEFT(TRIM(C28),FIND(" ",TRIM(C28)&amp;" ")-1),",","."))-1)/MID(SUBSTITUTE(LEFT(TRIM(C28),FIND(" ",TRIM(C28)&amp;" ")-1),",","."),FIND("/",SUBSTITUTE(LEFT(TRIM(C28),FIND(" ",TRIM(C28)&amp;" ")-1),",","."))+1,9))*12,NA()))),0),24)*'Aturan &amp; Tarif'!$B$4,2)</f>
        <v>1362.72</v>
      </c>
      <c r="K28" s="32" t="n">
        <f aca="false">'Aturan &amp; Tarif'!$B$5</f>
        <v>2050</v>
      </c>
      <c r="L28" s="35" t="n">
        <f aca="false">I28+J28+K28</f>
        <v>21019.22</v>
      </c>
      <c r="M28" s="36" t="s">
        <v>166</v>
      </c>
    </row>
    <row r="29" customFormat="false" ht="106.5" hidden="false" customHeight="true" outlineLevel="0" collapsed="false">
      <c r="A29" s="29"/>
      <c r="B29" s="30" t="s">
        <v>167</v>
      </c>
      <c r="C29" s="31" t="s">
        <v>107</v>
      </c>
      <c r="D29" s="31" t="s">
        <v>108</v>
      </c>
      <c r="E29" s="32" t="n">
        <v>9862.5</v>
      </c>
      <c r="F29" s="32"/>
      <c r="G29" s="32"/>
      <c r="H29" s="33" t="n">
        <v>2</v>
      </c>
      <c r="I29" s="34" t="n">
        <f aca="false">E29*H29+N(F29)+N(G29)</f>
        <v>19725</v>
      </c>
      <c r="J29" s="32" t="n">
        <f aca="false">ROUND(IFERROR(ROUND(IF(OR(ISNUMBER(SEARCH("week",C29)),ISNUMBER(SEARCH("minggu",C29))),IFERROR(_xlfn.NUMBERVALUE(SUBSTITUTE(LEFT(TRIM(C29),FIND(" ",TRIM(C29)&amp;" ")-1),",","."),"."),LEFT(SUBSTITUTE(LEFT(TRIM(C29),FIND(" ",TRIM(C29)&amp;" ")-1),",","."),FIND("/",SUBSTITUTE(LEFT(TRIM(C29),FIND(" ",TRIM(C29)&amp;" ")-1),",","."))-1)/MID(SUBSTITUTE(LEFT(TRIM(C29),FIND(" ",TRIM(C29)&amp;" ")-1),",","."),FIND("/",SUBSTITUTE(LEFT(TRIM(C29),FIND(" ",TRIM(C29)&amp;" ")-1),",","."))+1,9))*12/52,IF(ISNUMBER(SEARCH("month",C29)),IFERROR(_xlfn.NUMBERVALUE(SUBSTITUTE(LEFT(TRIM(C29),FIND(" ",TRIM(C29)&amp;" ")-1),",","."),"."),LEFT(SUBSTITUTE(LEFT(TRIM(C29),FIND(" ",TRIM(C29)&amp;" ")-1),",","."),FIND("/",SUBSTITUTE(LEFT(TRIM(C29),FIND(" ",TRIM(C29)&amp;" ")-1),",","."))-1)/MID(SUBSTITUTE(LEFT(TRIM(C29),FIND(" ",TRIM(C29)&amp;" ")-1),",","."),FIND("/",SUBSTITUTE(LEFT(TRIM(C29),FIND(" ",TRIM(C29)&amp;" ")-1),",","."))+1,9)),IF(ISNUMBER(SEARCH("yea",C29)),IFERROR(_xlfn.NUMBERVALUE(SUBSTITUTE(LEFT(TRIM(C29),FIND(" ",TRIM(C29)&amp;" ")-1),",","."),"."),LEFT(SUBSTITUTE(LEFT(TRIM(C29),FIND(" ",TRIM(C29)&amp;" ")-1),",","."),FIND("/",SUBSTITUTE(LEFT(TRIM(C29),FIND(" ",TRIM(C29)&amp;" ")-1),",","."))-1)/MID(SUBSTITUTE(LEFT(TRIM(C29),FIND(" ",TRIM(C29)&amp;" ")-1),",","."),FIND("/",SUBSTITUTE(LEFT(TRIM(C29),FIND(" ",TRIM(C29)&amp;" ")-1),",","."))+1,9))*12,NA()))),0),24)*'Aturan &amp; Tarif'!$B$4,2)</f>
        <v>1362.72</v>
      </c>
      <c r="K29" s="32" t="n">
        <f aca="false">'Aturan &amp; Tarif'!$B$5</f>
        <v>2050</v>
      </c>
      <c r="L29" s="35" t="n">
        <f aca="false">I29+J29+K29</f>
        <v>23137.72</v>
      </c>
      <c r="M29" s="36" t="s">
        <v>168</v>
      </c>
    </row>
    <row r="30" customFormat="false" ht="106.5" hidden="false" customHeight="true" outlineLevel="0" collapsed="false">
      <c r="A30" s="29"/>
      <c r="B30" s="30" t="s">
        <v>169</v>
      </c>
      <c r="C30" s="31" t="s">
        <v>130</v>
      </c>
      <c r="D30" s="31" t="s">
        <v>108</v>
      </c>
      <c r="E30" s="32" t="n">
        <v>10062.5</v>
      </c>
      <c r="F30" s="32"/>
      <c r="G30" s="32"/>
      <c r="H30" s="33" t="n">
        <v>2</v>
      </c>
      <c r="I30" s="34" t="n">
        <f aca="false">E30*H30+N(F30)+N(G30)</f>
        <v>20125</v>
      </c>
      <c r="J30" s="32" t="n">
        <f aca="false">ROUND(IFERROR(ROUND(IF(OR(ISNUMBER(SEARCH("week",C30)),ISNUMBER(SEARCH("minggu",C30))),IFERROR(_xlfn.NUMBERVALUE(SUBSTITUTE(LEFT(TRIM(C30),FIND(" ",TRIM(C30)&amp;" ")-1),",","."),"."),LEFT(SUBSTITUTE(LEFT(TRIM(C30),FIND(" ",TRIM(C30)&amp;" ")-1),",","."),FIND("/",SUBSTITUTE(LEFT(TRIM(C30),FIND(" ",TRIM(C30)&amp;" ")-1),",","."))-1)/MID(SUBSTITUTE(LEFT(TRIM(C30),FIND(" ",TRIM(C30)&amp;" ")-1),",","."),FIND("/",SUBSTITUTE(LEFT(TRIM(C30),FIND(" ",TRIM(C30)&amp;" ")-1),",","."))+1,9))*12/52,IF(ISNUMBER(SEARCH("month",C30)),IFERROR(_xlfn.NUMBERVALUE(SUBSTITUTE(LEFT(TRIM(C30),FIND(" ",TRIM(C30)&amp;" ")-1),",","."),"."),LEFT(SUBSTITUTE(LEFT(TRIM(C30),FIND(" ",TRIM(C30)&amp;" ")-1),",","."),FIND("/",SUBSTITUTE(LEFT(TRIM(C30),FIND(" ",TRIM(C30)&amp;" ")-1),",","."))-1)/MID(SUBSTITUTE(LEFT(TRIM(C30),FIND(" ",TRIM(C30)&amp;" ")-1),",","."),FIND("/",SUBSTITUTE(LEFT(TRIM(C30),FIND(" ",TRIM(C30)&amp;" ")-1),",","."))+1,9)),IF(ISNUMBER(SEARCH("yea",C30)),IFERROR(_xlfn.NUMBERVALUE(SUBSTITUTE(LEFT(TRIM(C30),FIND(" ",TRIM(C30)&amp;" ")-1),",","."),"."),LEFT(SUBSTITUTE(LEFT(TRIM(C30),FIND(" ",TRIM(C30)&amp;" ")-1),",","."),FIND("/",SUBSTITUTE(LEFT(TRIM(C30),FIND(" ",TRIM(C30)&amp;" ")-1),",","."))-1)/MID(SUBSTITUTE(LEFT(TRIM(C30),FIND(" ",TRIM(C30)&amp;" ")-1),",","."),FIND("/",SUBSTITUTE(LEFT(TRIM(C30),FIND(" ",TRIM(C30)&amp;" ")-1),",","."))+1,9))*12,NA()))),0),12)*'Aturan &amp; Tarif'!$B$4,2)</f>
        <v>681.36</v>
      </c>
      <c r="K30" s="32" t="n">
        <f aca="false">'Aturan &amp; Tarif'!$B$5</f>
        <v>2050</v>
      </c>
      <c r="L30" s="35" t="n">
        <f aca="false">I30+J30+K30</f>
        <v>22856.36</v>
      </c>
      <c r="M30" s="36" t="s">
        <v>170</v>
      </c>
    </row>
    <row r="31" customFormat="false" ht="106.5" hidden="false" customHeight="true" outlineLevel="0" collapsed="false">
      <c r="A31" s="29"/>
      <c r="B31" s="30" t="s">
        <v>171</v>
      </c>
      <c r="C31" s="31" t="s">
        <v>127</v>
      </c>
      <c r="D31" s="31" t="s">
        <v>108</v>
      </c>
      <c r="E31" s="32" t="n">
        <v>10487.5</v>
      </c>
      <c r="F31" s="32"/>
      <c r="G31" s="32"/>
      <c r="H31" s="33" t="n">
        <v>2</v>
      </c>
      <c r="I31" s="34" t="n">
        <f aca="false">E31*H31+N(F31)+N(G31)</f>
        <v>20975</v>
      </c>
      <c r="J31" s="32" t="n">
        <f aca="false">ROUND(IFERROR(ROUND(IF(OR(ISNUMBER(SEARCH("week",C31)),ISNUMBER(SEARCH("minggu",C31))),IFERROR(_xlfn.NUMBERVALUE(SUBSTITUTE(LEFT(TRIM(C31),FIND(" ",TRIM(C31)&amp;" ")-1),",","."),"."),LEFT(SUBSTITUTE(LEFT(TRIM(C31),FIND(" ",TRIM(C31)&amp;" ")-1),",","."),FIND("/",SUBSTITUTE(LEFT(TRIM(C31),FIND(" ",TRIM(C31)&amp;" ")-1),",","."))-1)/MID(SUBSTITUTE(LEFT(TRIM(C31),FIND(" ",TRIM(C31)&amp;" ")-1),",","."),FIND("/",SUBSTITUTE(LEFT(TRIM(C31),FIND(" ",TRIM(C31)&amp;" ")-1),",","."))+1,9))*12/52,IF(ISNUMBER(SEARCH("month",C31)),IFERROR(_xlfn.NUMBERVALUE(SUBSTITUTE(LEFT(TRIM(C31),FIND(" ",TRIM(C31)&amp;" ")-1),",","."),"."),LEFT(SUBSTITUTE(LEFT(TRIM(C31),FIND(" ",TRIM(C31)&amp;" ")-1),",","."),FIND("/",SUBSTITUTE(LEFT(TRIM(C31),FIND(" ",TRIM(C31)&amp;" ")-1),",","."))-1)/MID(SUBSTITUTE(LEFT(TRIM(C31),FIND(" ",TRIM(C31)&amp;" ")-1),",","."),FIND("/",SUBSTITUTE(LEFT(TRIM(C31),FIND(" ",TRIM(C31)&amp;" ")-1),",","."))+1,9)),IF(ISNUMBER(SEARCH("yea",C31)),IFERROR(_xlfn.NUMBERVALUE(SUBSTITUTE(LEFT(TRIM(C31),FIND(" ",TRIM(C31)&amp;" ")-1),",","."),"."),LEFT(SUBSTITUTE(LEFT(TRIM(C31),FIND(" ",TRIM(C31)&amp;" ")-1),",","."),FIND("/",SUBSTITUTE(LEFT(TRIM(C31),FIND(" ",TRIM(C31)&amp;" ")-1),",","."))-1)/MID(SUBSTITUTE(LEFT(TRIM(C31),FIND(" ",TRIM(C31)&amp;" ")-1),",","."),FIND("/",SUBSTITUTE(LEFT(TRIM(C31),FIND(" ",TRIM(C31)&amp;" ")-1),",","."))+1,9))*12,NA()))),0),36)*'Aturan &amp; Tarif'!$B$4,2)</f>
        <v>2044.08</v>
      </c>
      <c r="K31" s="32" t="n">
        <f aca="false">'Aturan &amp; Tarif'!$B$5</f>
        <v>2050</v>
      </c>
      <c r="L31" s="35" t="n">
        <f aca="false">I31+J31+K31</f>
        <v>25069.08</v>
      </c>
      <c r="M31" s="36" t="s">
        <v>172</v>
      </c>
    </row>
    <row r="32" customFormat="false" ht="106.5" hidden="false" customHeight="true" outlineLevel="0" collapsed="false">
      <c r="A32" s="29"/>
      <c r="B32" s="30" t="s">
        <v>173</v>
      </c>
      <c r="C32" s="31" t="s">
        <v>127</v>
      </c>
      <c r="D32" s="31" t="s">
        <v>108</v>
      </c>
      <c r="E32" s="32" t="n">
        <v>9862.5</v>
      </c>
      <c r="F32" s="32"/>
      <c r="G32" s="32"/>
      <c r="H32" s="33" t="n">
        <v>2</v>
      </c>
      <c r="I32" s="34" t="n">
        <f aca="false">E32*H32+N(F32)+N(G32)</f>
        <v>19725</v>
      </c>
      <c r="J32" s="32" t="n">
        <f aca="false">ROUND(IFERROR(ROUND(IF(OR(ISNUMBER(SEARCH("week",C32)),ISNUMBER(SEARCH("minggu",C32))),IFERROR(_xlfn.NUMBERVALUE(SUBSTITUTE(LEFT(TRIM(C32),FIND(" ",TRIM(C32)&amp;" ")-1),",","."),"."),LEFT(SUBSTITUTE(LEFT(TRIM(C32),FIND(" ",TRIM(C32)&amp;" ")-1),",","."),FIND("/",SUBSTITUTE(LEFT(TRIM(C32),FIND(" ",TRIM(C32)&amp;" ")-1),",","."))-1)/MID(SUBSTITUTE(LEFT(TRIM(C32),FIND(" ",TRIM(C32)&amp;" ")-1),",","."),FIND("/",SUBSTITUTE(LEFT(TRIM(C32),FIND(" ",TRIM(C32)&amp;" ")-1),",","."))+1,9))*12/52,IF(ISNUMBER(SEARCH("month",C32)),IFERROR(_xlfn.NUMBERVALUE(SUBSTITUTE(LEFT(TRIM(C32),FIND(" ",TRIM(C32)&amp;" ")-1),",","."),"."),LEFT(SUBSTITUTE(LEFT(TRIM(C32),FIND(" ",TRIM(C32)&amp;" ")-1),",","."),FIND("/",SUBSTITUTE(LEFT(TRIM(C32),FIND(" ",TRIM(C32)&amp;" ")-1),",","."))-1)/MID(SUBSTITUTE(LEFT(TRIM(C32),FIND(" ",TRIM(C32)&amp;" ")-1),",","."),FIND("/",SUBSTITUTE(LEFT(TRIM(C32),FIND(" ",TRIM(C32)&amp;" ")-1),",","."))+1,9)),IF(ISNUMBER(SEARCH("yea",C32)),IFERROR(_xlfn.NUMBERVALUE(SUBSTITUTE(LEFT(TRIM(C32),FIND(" ",TRIM(C32)&amp;" ")-1),",","."),"."),LEFT(SUBSTITUTE(LEFT(TRIM(C32),FIND(" ",TRIM(C32)&amp;" ")-1),",","."),FIND("/",SUBSTITUTE(LEFT(TRIM(C32),FIND(" ",TRIM(C32)&amp;" ")-1),",","."))-1)/MID(SUBSTITUTE(LEFT(TRIM(C32),FIND(" ",TRIM(C32)&amp;" ")-1),",","."),FIND("/",SUBSTITUTE(LEFT(TRIM(C32),FIND(" ",TRIM(C32)&amp;" ")-1),",","."))+1,9))*12,NA()))),0),36)*'Aturan &amp; Tarif'!$B$4,2)</f>
        <v>2044.08</v>
      </c>
      <c r="K32" s="32" t="n">
        <f aca="false">'Aturan &amp; Tarif'!$B$5</f>
        <v>2050</v>
      </c>
      <c r="L32" s="35" t="n">
        <f aca="false">I32+J32+K32</f>
        <v>23819.08</v>
      </c>
      <c r="M32" s="36" t="s">
        <v>174</v>
      </c>
    </row>
    <row r="33" customFormat="false" ht="106.5" hidden="false" customHeight="true" outlineLevel="0" collapsed="false">
      <c r="A33" s="29"/>
      <c r="B33" s="30" t="s">
        <v>175</v>
      </c>
      <c r="C33" s="31" t="s">
        <v>127</v>
      </c>
      <c r="D33" s="31" t="s">
        <v>108</v>
      </c>
      <c r="E33" s="32" t="n">
        <v>9562.5</v>
      </c>
      <c r="F33" s="32"/>
      <c r="G33" s="32"/>
      <c r="H33" s="33" t="n">
        <v>2</v>
      </c>
      <c r="I33" s="34" t="n">
        <f aca="false">E33*H33+N(F33)+N(G33)</f>
        <v>19125</v>
      </c>
      <c r="J33" s="32" t="n">
        <f aca="false">ROUND(IFERROR(ROUND(IF(OR(ISNUMBER(SEARCH("week",C33)),ISNUMBER(SEARCH("minggu",C33))),IFERROR(_xlfn.NUMBERVALUE(SUBSTITUTE(LEFT(TRIM(C33),FIND(" ",TRIM(C33)&amp;" ")-1),",","."),"."),LEFT(SUBSTITUTE(LEFT(TRIM(C33),FIND(" ",TRIM(C33)&amp;" ")-1),",","."),FIND("/",SUBSTITUTE(LEFT(TRIM(C33),FIND(" ",TRIM(C33)&amp;" ")-1),",","."))-1)/MID(SUBSTITUTE(LEFT(TRIM(C33),FIND(" ",TRIM(C33)&amp;" ")-1),",","."),FIND("/",SUBSTITUTE(LEFT(TRIM(C33),FIND(" ",TRIM(C33)&amp;" ")-1),",","."))+1,9))*12/52,IF(ISNUMBER(SEARCH("month",C33)),IFERROR(_xlfn.NUMBERVALUE(SUBSTITUTE(LEFT(TRIM(C33),FIND(" ",TRIM(C33)&amp;" ")-1),",","."),"."),LEFT(SUBSTITUTE(LEFT(TRIM(C33),FIND(" ",TRIM(C33)&amp;" ")-1),",","."),FIND("/",SUBSTITUTE(LEFT(TRIM(C33),FIND(" ",TRIM(C33)&amp;" ")-1),",","."))-1)/MID(SUBSTITUTE(LEFT(TRIM(C33),FIND(" ",TRIM(C33)&amp;" ")-1),",","."),FIND("/",SUBSTITUTE(LEFT(TRIM(C33),FIND(" ",TRIM(C33)&amp;" ")-1),",","."))+1,9)),IF(ISNUMBER(SEARCH("yea",C33)),IFERROR(_xlfn.NUMBERVALUE(SUBSTITUTE(LEFT(TRIM(C33),FIND(" ",TRIM(C33)&amp;" ")-1),",","."),"."),LEFT(SUBSTITUTE(LEFT(TRIM(C33),FIND(" ",TRIM(C33)&amp;" ")-1),",","."),FIND("/",SUBSTITUTE(LEFT(TRIM(C33),FIND(" ",TRIM(C33)&amp;" ")-1),",","."))-1)/MID(SUBSTITUTE(LEFT(TRIM(C33),FIND(" ",TRIM(C33)&amp;" ")-1),",","."),FIND("/",SUBSTITUTE(LEFT(TRIM(C33),FIND(" ",TRIM(C33)&amp;" ")-1),",","."))+1,9))*12,NA()))),0),36)*'Aturan &amp; Tarif'!$B$4,2)</f>
        <v>2044.08</v>
      </c>
      <c r="K33" s="32" t="n">
        <f aca="false">'Aturan &amp; Tarif'!$B$5</f>
        <v>2050</v>
      </c>
      <c r="L33" s="35" t="n">
        <f aca="false">I33+J33+K33</f>
        <v>23219.08</v>
      </c>
      <c r="M33" s="36" t="s">
        <v>176</v>
      </c>
    </row>
    <row r="34" customFormat="false" ht="106.5" hidden="false" customHeight="true" outlineLevel="0" collapsed="false">
      <c r="A34" s="29"/>
      <c r="B34" s="30" t="s">
        <v>177</v>
      </c>
      <c r="C34" s="31" t="s">
        <v>127</v>
      </c>
      <c r="D34" s="31" t="s">
        <v>108</v>
      </c>
      <c r="E34" s="32" t="n">
        <v>10062.5</v>
      </c>
      <c r="F34" s="32"/>
      <c r="G34" s="32"/>
      <c r="H34" s="33" t="n">
        <v>2</v>
      </c>
      <c r="I34" s="34" t="n">
        <f aca="false">E34*H34+N(F34)+N(G34)</f>
        <v>20125</v>
      </c>
      <c r="J34" s="32" t="n">
        <f aca="false">ROUND(IFERROR(ROUND(IF(OR(ISNUMBER(SEARCH("week",C34)),ISNUMBER(SEARCH("minggu",C34))),IFERROR(_xlfn.NUMBERVALUE(SUBSTITUTE(LEFT(TRIM(C34),FIND(" ",TRIM(C34)&amp;" ")-1),",","."),"."),LEFT(SUBSTITUTE(LEFT(TRIM(C34),FIND(" ",TRIM(C34)&amp;" ")-1),",","."),FIND("/",SUBSTITUTE(LEFT(TRIM(C34),FIND(" ",TRIM(C34)&amp;" ")-1),",","."))-1)/MID(SUBSTITUTE(LEFT(TRIM(C34),FIND(" ",TRIM(C34)&amp;" ")-1),",","."),FIND("/",SUBSTITUTE(LEFT(TRIM(C34),FIND(" ",TRIM(C34)&amp;" ")-1),",","."))+1,9))*12/52,IF(ISNUMBER(SEARCH("month",C34)),IFERROR(_xlfn.NUMBERVALUE(SUBSTITUTE(LEFT(TRIM(C34),FIND(" ",TRIM(C34)&amp;" ")-1),",","."),"."),LEFT(SUBSTITUTE(LEFT(TRIM(C34),FIND(" ",TRIM(C34)&amp;" ")-1),",","."),FIND("/",SUBSTITUTE(LEFT(TRIM(C34),FIND(" ",TRIM(C34)&amp;" ")-1),",","."))-1)/MID(SUBSTITUTE(LEFT(TRIM(C34),FIND(" ",TRIM(C34)&amp;" ")-1),",","."),FIND("/",SUBSTITUTE(LEFT(TRIM(C34),FIND(" ",TRIM(C34)&amp;" ")-1),",","."))+1,9)),IF(ISNUMBER(SEARCH("yea",C34)),IFERROR(_xlfn.NUMBERVALUE(SUBSTITUTE(LEFT(TRIM(C34),FIND(" ",TRIM(C34)&amp;" ")-1),",","."),"."),LEFT(SUBSTITUTE(LEFT(TRIM(C34),FIND(" ",TRIM(C34)&amp;" ")-1),",","."),FIND("/",SUBSTITUTE(LEFT(TRIM(C34),FIND(" ",TRIM(C34)&amp;" ")-1),",","."))-1)/MID(SUBSTITUTE(LEFT(TRIM(C34),FIND(" ",TRIM(C34)&amp;" ")-1),",","."),FIND("/",SUBSTITUTE(LEFT(TRIM(C34),FIND(" ",TRIM(C34)&amp;" ")-1),",","."))+1,9))*12,NA()))),0),36)*'Aturan &amp; Tarif'!$B$4,2)</f>
        <v>2044.08</v>
      </c>
      <c r="K34" s="32" t="n">
        <f aca="false">'Aturan &amp; Tarif'!$B$5</f>
        <v>2050</v>
      </c>
      <c r="L34" s="35" t="n">
        <f aca="false">I34+J34+K34</f>
        <v>24219.08</v>
      </c>
      <c r="M34" s="36" t="s">
        <v>178</v>
      </c>
    </row>
    <row r="35" customFormat="false" ht="106.5" hidden="false" customHeight="true" outlineLevel="0" collapsed="false">
      <c r="A35" s="29"/>
      <c r="B35" s="30" t="s">
        <v>179</v>
      </c>
      <c r="C35" s="31" t="s">
        <v>127</v>
      </c>
      <c r="D35" s="31" t="s">
        <v>108</v>
      </c>
      <c r="E35" s="32" t="n">
        <v>10062.5</v>
      </c>
      <c r="F35" s="32"/>
      <c r="G35" s="32"/>
      <c r="H35" s="33" t="n">
        <v>2</v>
      </c>
      <c r="I35" s="34" t="n">
        <f aca="false">E35*H35+N(F35)+N(G35)</f>
        <v>20125</v>
      </c>
      <c r="J35" s="32" t="n">
        <f aca="false">ROUND(IFERROR(ROUND(IF(OR(ISNUMBER(SEARCH("week",C35)),ISNUMBER(SEARCH("minggu",C35))),IFERROR(_xlfn.NUMBERVALUE(SUBSTITUTE(LEFT(TRIM(C35),FIND(" ",TRIM(C35)&amp;" ")-1),",","."),"."),LEFT(SUBSTITUTE(LEFT(TRIM(C35),FIND(" ",TRIM(C35)&amp;" ")-1),",","."),FIND("/",SUBSTITUTE(LEFT(TRIM(C35),FIND(" ",TRIM(C35)&amp;" ")-1),",","."))-1)/MID(SUBSTITUTE(LEFT(TRIM(C35),FIND(" ",TRIM(C35)&amp;" ")-1),",","."),FIND("/",SUBSTITUTE(LEFT(TRIM(C35),FIND(" ",TRIM(C35)&amp;" ")-1),",","."))+1,9))*12/52,IF(ISNUMBER(SEARCH("month",C35)),IFERROR(_xlfn.NUMBERVALUE(SUBSTITUTE(LEFT(TRIM(C35),FIND(" ",TRIM(C35)&amp;" ")-1),",","."),"."),LEFT(SUBSTITUTE(LEFT(TRIM(C35),FIND(" ",TRIM(C35)&amp;" ")-1),",","."),FIND("/",SUBSTITUTE(LEFT(TRIM(C35),FIND(" ",TRIM(C35)&amp;" ")-1),",","."))-1)/MID(SUBSTITUTE(LEFT(TRIM(C35),FIND(" ",TRIM(C35)&amp;" ")-1),",","."),FIND("/",SUBSTITUTE(LEFT(TRIM(C35),FIND(" ",TRIM(C35)&amp;" ")-1),",","."))+1,9)),IF(ISNUMBER(SEARCH("yea",C35)),IFERROR(_xlfn.NUMBERVALUE(SUBSTITUTE(LEFT(TRIM(C35),FIND(" ",TRIM(C35)&amp;" ")-1),",","."),"."),LEFT(SUBSTITUTE(LEFT(TRIM(C35),FIND(" ",TRIM(C35)&amp;" ")-1),",","."),FIND("/",SUBSTITUTE(LEFT(TRIM(C35),FIND(" ",TRIM(C35)&amp;" ")-1),",","."))-1)/MID(SUBSTITUTE(LEFT(TRIM(C35),FIND(" ",TRIM(C35)&amp;" ")-1),",","."),FIND("/",SUBSTITUTE(LEFT(TRIM(C35),FIND(" ",TRIM(C35)&amp;" ")-1),",","."))+1,9))*12,NA()))),0),36)*'Aturan &amp; Tarif'!$B$4,2)</f>
        <v>2044.08</v>
      </c>
      <c r="K35" s="32" t="n">
        <f aca="false">'Aturan &amp; Tarif'!$B$5</f>
        <v>2050</v>
      </c>
      <c r="L35" s="35" t="n">
        <f aca="false">I35+J35+K35</f>
        <v>24219.08</v>
      </c>
      <c r="M35" s="36" t="s">
        <v>180</v>
      </c>
    </row>
    <row r="36" customFormat="false" ht="106.5" hidden="false" customHeight="true" outlineLevel="0" collapsed="false">
      <c r="A36" s="29"/>
      <c r="B36" s="30" t="s">
        <v>181</v>
      </c>
      <c r="C36" s="31" t="s">
        <v>107</v>
      </c>
      <c r="D36" s="31" t="s">
        <v>108</v>
      </c>
      <c r="E36" s="32" t="n">
        <v>10987.5</v>
      </c>
      <c r="F36" s="32"/>
      <c r="G36" s="32"/>
      <c r="H36" s="33" t="n">
        <v>2</v>
      </c>
      <c r="I36" s="34" t="n">
        <f aca="false">E36*H36+N(F36)+N(G36)</f>
        <v>21975</v>
      </c>
      <c r="J36" s="32" t="n">
        <f aca="false">ROUND(IFERROR(ROUND(IF(OR(ISNUMBER(SEARCH("week",C36)),ISNUMBER(SEARCH("minggu",C36))),IFERROR(_xlfn.NUMBERVALUE(SUBSTITUTE(LEFT(TRIM(C36),FIND(" ",TRIM(C36)&amp;" ")-1),",","."),"."),LEFT(SUBSTITUTE(LEFT(TRIM(C36),FIND(" ",TRIM(C36)&amp;" ")-1),",","."),FIND("/",SUBSTITUTE(LEFT(TRIM(C36),FIND(" ",TRIM(C36)&amp;" ")-1),",","."))-1)/MID(SUBSTITUTE(LEFT(TRIM(C36),FIND(" ",TRIM(C36)&amp;" ")-1),",","."),FIND("/",SUBSTITUTE(LEFT(TRIM(C36),FIND(" ",TRIM(C36)&amp;" ")-1),",","."))+1,9))*12/52,IF(ISNUMBER(SEARCH("month",C36)),IFERROR(_xlfn.NUMBERVALUE(SUBSTITUTE(LEFT(TRIM(C36),FIND(" ",TRIM(C36)&amp;" ")-1),",","."),"."),LEFT(SUBSTITUTE(LEFT(TRIM(C36),FIND(" ",TRIM(C36)&amp;" ")-1),",","."),FIND("/",SUBSTITUTE(LEFT(TRIM(C36),FIND(" ",TRIM(C36)&amp;" ")-1),",","."))-1)/MID(SUBSTITUTE(LEFT(TRIM(C36),FIND(" ",TRIM(C36)&amp;" ")-1),",","."),FIND("/",SUBSTITUTE(LEFT(TRIM(C36),FIND(" ",TRIM(C36)&amp;" ")-1),",","."))+1,9)),IF(ISNUMBER(SEARCH("yea",C36)),IFERROR(_xlfn.NUMBERVALUE(SUBSTITUTE(LEFT(TRIM(C36),FIND(" ",TRIM(C36)&amp;" ")-1),",","."),"."),LEFT(SUBSTITUTE(LEFT(TRIM(C36),FIND(" ",TRIM(C36)&amp;" ")-1),",","."),FIND("/",SUBSTITUTE(LEFT(TRIM(C36),FIND(" ",TRIM(C36)&amp;" ")-1),",","."))-1)/MID(SUBSTITUTE(LEFT(TRIM(C36),FIND(" ",TRIM(C36)&amp;" ")-1),",","."),FIND("/",SUBSTITUTE(LEFT(TRIM(C36),FIND(" ",TRIM(C36)&amp;" ")-1),",","."))+1,9))*12,NA()))),0),24)*'Aturan &amp; Tarif'!$B$4,2)</f>
        <v>1362.72</v>
      </c>
      <c r="K36" s="32" t="n">
        <f aca="false">'Aturan &amp; Tarif'!$B$5</f>
        <v>2050</v>
      </c>
      <c r="L36" s="35" t="n">
        <f aca="false">I36+J36+K36</f>
        <v>25387.72</v>
      </c>
      <c r="M36" s="36" t="s">
        <v>182</v>
      </c>
    </row>
    <row r="37" customFormat="false" ht="106.5" hidden="false" customHeight="true" outlineLevel="0" collapsed="false">
      <c r="A37" s="29"/>
      <c r="B37" s="30" t="s">
        <v>183</v>
      </c>
      <c r="C37" s="31" t="s">
        <v>130</v>
      </c>
      <c r="D37" s="31" t="s">
        <v>108</v>
      </c>
      <c r="E37" s="32" t="n">
        <v>9487.5</v>
      </c>
      <c r="F37" s="32"/>
      <c r="G37" s="32"/>
      <c r="H37" s="33" t="n">
        <v>2</v>
      </c>
      <c r="I37" s="34" t="n">
        <f aca="false">E37*H37+N(F37)+N(G37)</f>
        <v>18975</v>
      </c>
      <c r="J37" s="32" t="n">
        <f aca="false">ROUND(IFERROR(ROUND(IF(OR(ISNUMBER(SEARCH("week",C37)),ISNUMBER(SEARCH("minggu",C37))),IFERROR(_xlfn.NUMBERVALUE(SUBSTITUTE(LEFT(TRIM(C37),FIND(" ",TRIM(C37)&amp;" ")-1),",","."),"."),LEFT(SUBSTITUTE(LEFT(TRIM(C37),FIND(" ",TRIM(C37)&amp;" ")-1),",","."),FIND("/",SUBSTITUTE(LEFT(TRIM(C37),FIND(" ",TRIM(C37)&amp;" ")-1),",","."))-1)/MID(SUBSTITUTE(LEFT(TRIM(C37),FIND(" ",TRIM(C37)&amp;" ")-1),",","."),FIND("/",SUBSTITUTE(LEFT(TRIM(C37),FIND(" ",TRIM(C37)&amp;" ")-1),",","."))+1,9))*12/52,IF(ISNUMBER(SEARCH("month",C37)),IFERROR(_xlfn.NUMBERVALUE(SUBSTITUTE(LEFT(TRIM(C37),FIND(" ",TRIM(C37)&amp;" ")-1),",","."),"."),LEFT(SUBSTITUTE(LEFT(TRIM(C37),FIND(" ",TRIM(C37)&amp;" ")-1),",","."),FIND("/",SUBSTITUTE(LEFT(TRIM(C37),FIND(" ",TRIM(C37)&amp;" ")-1),",","."))-1)/MID(SUBSTITUTE(LEFT(TRIM(C37),FIND(" ",TRIM(C37)&amp;" ")-1),",","."),FIND("/",SUBSTITUTE(LEFT(TRIM(C37),FIND(" ",TRIM(C37)&amp;" ")-1),",","."))+1,9)),IF(ISNUMBER(SEARCH("yea",C37)),IFERROR(_xlfn.NUMBERVALUE(SUBSTITUTE(LEFT(TRIM(C37),FIND(" ",TRIM(C37)&amp;" ")-1),",","."),"."),LEFT(SUBSTITUTE(LEFT(TRIM(C37),FIND(" ",TRIM(C37)&amp;" ")-1),",","."),FIND("/",SUBSTITUTE(LEFT(TRIM(C37),FIND(" ",TRIM(C37)&amp;" ")-1),",","."))-1)/MID(SUBSTITUTE(LEFT(TRIM(C37),FIND(" ",TRIM(C37)&amp;" ")-1),",","."),FIND("/",SUBSTITUTE(LEFT(TRIM(C37),FIND(" ",TRIM(C37)&amp;" ")-1),",","."))+1,9))*12,NA()))),0),12)*'Aturan &amp; Tarif'!$B$4,2)</f>
        <v>681.36</v>
      </c>
      <c r="K37" s="32" t="n">
        <f aca="false">'Aturan &amp; Tarif'!$B$5</f>
        <v>2050</v>
      </c>
      <c r="L37" s="35" t="n">
        <f aca="false">I37+J37+K37</f>
        <v>21706.36</v>
      </c>
      <c r="M37" s="36" t="s">
        <v>184</v>
      </c>
    </row>
    <row r="38" customFormat="false" ht="106.5" hidden="false" customHeight="true" outlineLevel="0" collapsed="false">
      <c r="A38" s="29"/>
      <c r="B38" s="30" t="s">
        <v>185</v>
      </c>
      <c r="C38" s="31" t="s">
        <v>127</v>
      </c>
      <c r="D38" s="31" t="s">
        <v>108</v>
      </c>
      <c r="E38" s="32" t="n">
        <v>6812.5</v>
      </c>
      <c r="F38" s="32"/>
      <c r="G38" s="32"/>
      <c r="H38" s="33" t="n">
        <v>2</v>
      </c>
      <c r="I38" s="34" t="n">
        <f aca="false">E38*H38+N(F38)+N(G38)</f>
        <v>13625</v>
      </c>
      <c r="J38" s="32" t="n">
        <f aca="false">ROUND(IFERROR(ROUND(IF(OR(ISNUMBER(SEARCH("week",C38)),ISNUMBER(SEARCH("minggu",C38))),IFERROR(_xlfn.NUMBERVALUE(SUBSTITUTE(LEFT(TRIM(C38),FIND(" ",TRIM(C38)&amp;" ")-1),",","."),"."),LEFT(SUBSTITUTE(LEFT(TRIM(C38),FIND(" ",TRIM(C38)&amp;" ")-1),",","."),FIND("/",SUBSTITUTE(LEFT(TRIM(C38),FIND(" ",TRIM(C38)&amp;" ")-1),",","."))-1)/MID(SUBSTITUTE(LEFT(TRIM(C38),FIND(" ",TRIM(C38)&amp;" ")-1),",","."),FIND("/",SUBSTITUTE(LEFT(TRIM(C38),FIND(" ",TRIM(C38)&amp;" ")-1),",","."))+1,9))*12/52,IF(ISNUMBER(SEARCH("month",C38)),IFERROR(_xlfn.NUMBERVALUE(SUBSTITUTE(LEFT(TRIM(C38),FIND(" ",TRIM(C38)&amp;" ")-1),",","."),"."),LEFT(SUBSTITUTE(LEFT(TRIM(C38),FIND(" ",TRIM(C38)&amp;" ")-1),",","."),FIND("/",SUBSTITUTE(LEFT(TRIM(C38),FIND(" ",TRIM(C38)&amp;" ")-1),",","."))-1)/MID(SUBSTITUTE(LEFT(TRIM(C38),FIND(" ",TRIM(C38)&amp;" ")-1),",","."),FIND("/",SUBSTITUTE(LEFT(TRIM(C38),FIND(" ",TRIM(C38)&amp;" ")-1),",","."))+1,9)),IF(ISNUMBER(SEARCH("yea",C38)),IFERROR(_xlfn.NUMBERVALUE(SUBSTITUTE(LEFT(TRIM(C38),FIND(" ",TRIM(C38)&amp;" ")-1),",","."),"."),LEFT(SUBSTITUTE(LEFT(TRIM(C38),FIND(" ",TRIM(C38)&amp;" ")-1),",","."),FIND("/",SUBSTITUTE(LEFT(TRIM(C38),FIND(" ",TRIM(C38)&amp;" ")-1),",","."))-1)/MID(SUBSTITUTE(LEFT(TRIM(C38),FIND(" ",TRIM(C38)&amp;" ")-1),",","."),FIND("/",SUBSTITUTE(LEFT(TRIM(C38),FIND(" ",TRIM(C38)&amp;" ")-1),",","."))+1,9))*12,NA()))),0),36)*'Aturan &amp; Tarif'!$B$4,2)</f>
        <v>2044.08</v>
      </c>
      <c r="K38" s="32" t="n">
        <f aca="false">'Aturan &amp; Tarif'!$B$5</f>
        <v>2050</v>
      </c>
      <c r="L38" s="35" t="n">
        <f aca="false">I38+J38+K38</f>
        <v>17719.08</v>
      </c>
      <c r="M38" s="36" t="s">
        <v>186</v>
      </c>
    </row>
    <row r="39" customFormat="false" ht="106.5" hidden="false" customHeight="true" outlineLevel="0" collapsed="false">
      <c r="A39" s="29"/>
      <c r="B39" s="30" t="s">
        <v>187</v>
      </c>
      <c r="C39" s="31" t="s">
        <v>136</v>
      </c>
      <c r="D39" s="31" t="s">
        <v>108</v>
      </c>
      <c r="E39" s="32" t="n">
        <v>7362.5</v>
      </c>
      <c r="F39" s="32"/>
      <c r="G39" s="32"/>
      <c r="H39" s="33" t="n">
        <v>2</v>
      </c>
      <c r="I39" s="34" t="n">
        <f aca="false">E39*H39+N(F39)+N(G39)</f>
        <v>14725</v>
      </c>
      <c r="J39" s="32" t="n">
        <f aca="false">ROUND(IFERROR(ROUND(IF(OR(ISNUMBER(SEARCH("week",C39)),ISNUMBER(SEARCH("minggu",C39))),IFERROR(_xlfn.NUMBERVALUE(SUBSTITUTE(LEFT(TRIM(C39),FIND(" ",TRIM(C39)&amp;" ")-1),",","."),"."),LEFT(SUBSTITUTE(LEFT(TRIM(C39),FIND(" ",TRIM(C39)&amp;" ")-1),",","."),FIND("/",SUBSTITUTE(LEFT(TRIM(C39),FIND(" ",TRIM(C39)&amp;" ")-1),",","."))-1)/MID(SUBSTITUTE(LEFT(TRIM(C39),FIND(" ",TRIM(C39)&amp;" ")-1),",","."),FIND("/",SUBSTITUTE(LEFT(TRIM(C39),FIND(" ",TRIM(C39)&amp;" ")-1),",","."))+1,9))*12/52,IF(ISNUMBER(SEARCH("month",C39)),IFERROR(_xlfn.NUMBERVALUE(SUBSTITUTE(LEFT(TRIM(C39),FIND(" ",TRIM(C39)&amp;" ")-1),",","."),"."),LEFT(SUBSTITUTE(LEFT(TRIM(C39),FIND(" ",TRIM(C39)&amp;" ")-1),",","."),FIND("/",SUBSTITUTE(LEFT(TRIM(C39),FIND(" ",TRIM(C39)&amp;" ")-1),",","."))-1)/MID(SUBSTITUTE(LEFT(TRIM(C39),FIND(" ",TRIM(C39)&amp;" ")-1),",","."),FIND("/",SUBSTITUTE(LEFT(TRIM(C39),FIND(" ",TRIM(C39)&amp;" ")-1),",","."))+1,9)),IF(ISNUMBER(SEARCH("yea",C39)),IFERROR(_xlfn.NUMBERVALUE(SUBSTITUTE(LEFT(TRIM(C39),FIND(" ",TRIM(C39)&amp;" ")-1),",","."),"."),LEFT(SUBSTITUTE(LEFT(TRIM(C39),FIND(" ",TRIM(C39)&amp;" ")-1),",","."),FIND("/",SUBSTITUTE(LEFT(TRIM(C39),FIND(" ",TRIM(C39)&amp;" ")-1),",","."))-1)/MID(SUBSTITUTE(LEFT(TRIM(C39),FIND(" ",TRIM(C39)&amp;" ")-1),",","."),FIND("/",SUBSTITUTE(LEFT(TRIM(C39),FIND(" ",TRIM(C39)&amp;" ")-1),",","."))+1,9))*12,NA()))),0),42)*'Aturan &amp; Tarif'!$B$4,2)</f>
        <v>2384.76</v>
      </c>
      <c r="K39" s="32" t="n">
        <f aca="false">'Aturan &amp; Tarif'!$B$5</f>
        <v>2050</v>
      </c>
      <c r="L39" s="35" t="n">
        <f aca="false">I39+J39+K39</f>
        <v>19159.76</v>
      </c>
      <c r="M39" s="36" t="s">
        <v>188</v>
      </c>
    </row>
    <row r="40" customFormat="false" ht="106.5" hidden="false" customHeight="true" outlineLevel="0" collapsed="false">
      <c r="A40" s="29"/>
      <c r="B40" s="30" t="s">
        <v>189</v>
      </c>
      <c r="C40" s="31" t="s">
        <v>107</v>
      </c>
      <c r="D40" s="31" t="s">
        <v>108</v>
      </c>
      <c r="E40" s="32" t="n">
        <v>9487.5</v>
      </c>
      <c r="F40" s="32"/>
      <c r="G40" s="32"/>
      <c r="H40" s="33" t="n">
        <v>2</v>
      </c>
      <c r="I40" s="34" t="n">
        <f aca="false">E40*H40+N(F40)+N(G40)</f>
        <v>18975</v>
      </c>
      <c r="J40" s="32" t="n">
        <f aca="false">ROUND(IFERROR(ROUND(IF(OR(ISNUMBER(SEARCH("week",C40)),ISNUMBER(SEARCH("minggu",C40))),IFERROR(_xlfn.NUMBERVALUE(SUBSTITUTE(LEFT(TRIM(C40),FIND(" ",TRIM(C40)&amp;" ")-1),",","."),"."),LEFT(SUBSTITUTE(LEFT(TRIM(C40),FIND(" ",TRIM(C40)&amp;" ")-1),",","."),FIND("/",SUBSTITUTE(LEFT(TRIM(C40),FIND(" ",TRIM(C40)&amp;" ")-1),",","."))-1)/MID(SUBSTITUTE(LEFT(TRIM(C40),FIND(" ",TRIM(C40)&amp;" ")-1),",","."),FIND("/",SUBSTITUTE(LEFT(TRIM(C40),FIND(" ",TRIM(C40)&amp;" ")-1),",","."))+1,9))*12/52,IF(ISNUMBER(SEARCH("month",C40)),IFERROR(_xlfn.NUMBERVALUE(SUBSTITUTE(LEFT(TRIM(C40),FIND(" ",TRIM(C40)&amp;" ")-1),",","."),"."),LEFT(SUBSTITUTE(LEFT(TRIM(C40),FIND(" ",TRIM(C40)&amp;" ")-1),",","."),FIND("/",SUBSTITUTE(LEFT(TRIM(C40),FIND(" ",TRIM(C40)&amp;" ")-1),",","."))-1)/MID(SUBSTITUTE(LEFT(TRIM(C40),FIND(" ",TRIM(C40)&amp;" ")-1),",","."),FIND("/",SUBSTITUTE(LEFT(TRIM(C40),FIND(" ",TRIM(C40)&amp;" ")-1),",","."))+1,9)),IF(ISNUMBER(SEARCH("yea",C40)),IFERROR(_xlfn.NUMBERVALUE(SUBSTITUTE(LEFT(TRIM(C40),FIND(" ",TRIM(C40)&amp;" ")-1),",","."),"."),LEFT(SUBSTITUTE(LEFT(TRIM(C40),FIND(" ",TRIM(C40)&amp;" ")-1),",","."),FIND("/",SUBSTITUTE(LEFT(TRIM(C40),FIND(" ",TRIM(C40)&amp;" ")-1),",","."))-1)/MID(SUBSTITUTE(LEFT(TRIM(C40),FIND(" ",TRIM(C40)&amp;" ")-1),",","."),FIND("/",SUBSTITUTE(LEFT(TRIM(C40),FIND(" ",TRIM(C40)&amp;" ")-1),",","."))+1,9))*12,NA()))),0),24)*'Aturan &amp; Tarif'!$B$4,2)</f>
        <v>1362.72</v>
      </c>
      <c r="K40" s="32" t="n">
        <f aca="false">'Aturan &amp; Tarif'!$B$5</f>
        <v>2050</v>
      </c>
      <c r="L40" s="35" t="n">
        <f aca="false">I40+J40+K40</f>
        <v>22387.72</v>
      </c>
      <c r="M40" s="36" t="s">
        <v>184</v>
      </c>
    </row>
    <row r="41" customFormat="false" ht="106.5" hidden="false" customHeight="true" outlineLevel="0" collapsed="false">
      <c r="A41" s="29"/>
      <c r="B41" s="30" t="s">
        <v>190</v>
      </c>
      <c r="C41" s="31" t="s">
        <v>191</v>
      </c>
      <c r="D41" s="31" t="s">
        <v>108</v>
      </c>
      <c r="E41" s="32" t="n">
        <v>11237.5</v>
      </c>
      <c r="F41" s="32"/>
      <c r="G41" s="32"/>
      <c r="H41" s="33" t="n">
        <v>2</v>
      </c>
      <c r="I41" s="34" t="n">
        <f aca="false">E41*H41+N(F41)+N(G41)</f>
        <v>22475</v>
      </c>
      <c r="J41" s="32" t="n">
        <f aca="false">ROUND(IFERROR(ROUND(IF(OR(ISNUMBER(SEARCH("week",C41)),ISNUMBER(SEARCH("minggu",C41))),IFERROR(_xlfn.NUMBERVALUE(SUBSTITUTE(LEFT(TRIM(C41),FIND(" ",TRIM(C41)&amp;" ")-1),",","."),"."),LEFT(SUBSTITUTE(LEFT(TRIM(C41),FIND(" ",TRIM(C41)&amp;" ")-1),",","."),FIND("/",SUBSTITUTE(LEFT(TRIM(C41),FIND(" ",TRIM(C41)&amp;" ")-1),",","."))-1)/MID(SUBSTITUTE(LEFT(TRIM(C41),FIND(" ",TRIM(C41)&amp;" ")-1),",","."),FIND("/",SUBSTITUTE(LEFT(TRIM(C41),FIND(" ",TRIM(C41)&amp;" ")-1),",","."))+1,9))*12/52,IF(ISNUMBER(SEARCH("month",C41)),IFERROR(_xlfn.NUMBERVALUE(SUBSTITUTE(LEFT(TRIM(C41),FIND(" ",TRIM(C41)&amp;" ")-1),",","."),"."),LEFT(SUBSTITUTE(LEFT(TRIM(C41),FIND(" ",TRIM(C41)&amp;" ")-1),",","."),FIND("/",SUBSTITUTE(LEFT(TRIM(C41),FIND(" ",TRIM(C41)&amp;" ")-1),",","."))-1)/MID(SUBSTITUTE(LEFT(TRIM(C41),FIND(" ",TRIM(C41)&amp;" ")-1),",","."),FIND("/",SUBSTITUTE(LEFT(TRIM(C41),FIND(" ",TRIM(C41)&amp;" ")-1),",","."))+1,9)),IF(ISNUMBER(SEARCH("yea",C41)),IFERROR(_xlfn.NUMBERVALUE(SUBSTITUTE(LEFT(TRIM(C41),FIND(" ",TRIM(C41)&amp;" ")-1),",","."),"."),LEFT(SUBSTITUTE(LEFT(TRIM(C41),FIND(" ",TRIM(C41)&amp;" ")-1),",","."),FIND("/",SUBSTITUTE(LEFT(TRIM(C41),FIND(" ",TRIM(C41)&amp;" ")-1),",","."))-1)/MID(SUBSTITUTE(LEFT(TRIM(C41),FIND(" ",TRIM(C41)&amp;" ")-1),",","."),FIND("/",SUBSTITUTE(LEFT(TRIM(C41),FIND(" ",TRIM(C41)&amp;" ")-1),",","."))+1,9))*12,NA()))),0),48)*'Aturan &amp; Tarif'!$B$4,2)</f>
        <v>2725.44</v>
      </c>
      <c r="K41" s="32" t="n">
        <f aca="false">'Aturan &amp; Tarif'!$B$5</f>
        <v>2050</v>
      </c>
      <c r="L41" s="35" t="n">
        <f aca="false">I41+J41+K41</f>
        <v>27250.44</v>
      </c>
      <c r="M41" s="36" t="s">
        <v>192</v>
      </c>
    </row>
    <row r="42" customFormat="false" ht="37.5" hidden="false" customHeight="true" outlineLevel="0" collapsed="false">
      <c r="A42" s="29"/>
      <c r="B42" s="30" t="s">
        <v>193</v>
      </c>
      <c r="C42" s="31" t="s">
        <v>127</v>
      </c>
      <c r="D42" s="31" t="s">
        <v>108</v>
      </c>
      <c r="E42" s="32" t="n">
        <v>11237.5</v>
      </c>
      <c r="F42" s="32"/>
      <c r="G42" s="32"/>
      <c r="H42" s="33" t="n">
        <v>2</v>
      </c>
      <c r="I42" s="34" t="n">
        <f aca="false">E42*H42+N(F42)+N(G42)</f>
        <v>22475</v>
      </c>
      <c r="J42" s="32" t="n">
        <f aca="false">ROUND(IFERROR(ROUND(IF(OR(ISNUMBER(SEARCH("week",C42)),ISNUMBER(SEARCH("minggu",C42))),IFERROR(_xlfn.NUMBERVALUE(SUBSTITUTE(LEFT(TRIM(C42),FIND(" ",TRIM(C42)&amp;" ")-1),",","."),"."),LEFT(SUBSTITUTE(LEFT(TRIM(C42),FIND(" ",TRIM(C42)&amp;" ")-1),",","."),FIND("/",SUBSTITUTE(LEFT(TRIM(C42),FIND(" ",TRIM(C42)&amp;" ")-1),",","."))-1)/MID(SUBSTITUTE(LEFT(TRIM(C42),FIND(" ",TRIM(C42)&amp;" ")-1),",","."),FIND("/",SUBSTITUTE(LEFT(TRIM(C42),FIND(" ",TRIM(C42)&amp;" ")-1),",","."))+1,9))*12/52,IF(ISNUMBER(SEARCH("month",C42)),IFERROR(_xlfn.NUMBERVALUE(SUBSTITUTE(LEFT(TRIM(C42),FIND(" ",TRIM(C42)&amp;" ")-1),",","."),"."),LEFT(SUBSTITUTE(LEFT(TRIM(C42),FIND(" ",TRIM(C42)&amp;" ")-1),",","."),FIND("/",SUBSTITUTE(LEFT(TRIM(C42),FIND(" ",TRIM(C42)&amp;" ")-1),",","."))-1)/MID(SUBSTITUTE(LEFT(TRIM(C42),FIND(" ",TRIM(C42)&amp;" ")-1),",","."),FIND("/",SUBSTITUTE(LEFT(TRIM(C42),FIND(" ",TRIM(C42)&amp;" ")-1),",","."))+1,9)),IF(ISNUMBER(SEARCH("yea",C42)),IFERROR(_xlfn.NUMBERVALUE(SUBSTITUTE(LEFT(TRIM(C42),FIND(" ",TRIM(C42)&amp;" ")-1),",","."),"."),LEFT(SUBSTITUTE(LEFT(TRIM(C42),FIND(" ",TRIM(C42)&amp;" ")-1),",","."),FIND("/",SUBSTITUTE(LEFT(TRIM(C42),FIND(" ",TRIM(C42)&amp;" ")-1),",","."))-1)/MID(SUBSTITUTE(LEFT(TRIM(C42),FIND(" ",TRIM(C42)&amp;" ")-1),",","."),FIND("/",SUBSTITUTE(LEFT(TRIM(C42),FIND(" ",TRIM(C42)&amp;" ")-1),",","."))+1,9))*12,NA()))),0),36)*'Aturan &amp; Tarif'!$B$4,2)</f>
        <v>2044.08</v>
      </c>
      <c r="K42" s="32" t="n">
        <f aca="false">'Aturan &amp; Tarif'!$B$5</f>
        <v>2050</v>
      </c>
      <c r="L42" s="35" t="n">
        <f aca="false">I42+J42+K42</f>
        <v>26569.08</v>
      </c>
      <c r="M42" s="36" t="s">
        <v>194</v>
      </c>
    </row>
    <row r="43" customFormat="false" ht="106.5" hidden="false" customHeight="true" outlineLevel="0" collapsed="false">
      <c r="A43" s="29"/>
      <c r="B43" s="30" t="s">
        <v>195</v>
      </c>
      <c r="C43" s="31" t="s">
        <v>191</v>
      </c>
      <c r="D43" s="31" t="s">
        <v>108</v>
      </c>
      <c r="E43" s="32" t="n">
        <v>6812.5</v>
      </c>
      <c r="F43" s="32"/>
      <c r="G43" s="32"/>
      <c r="H43" s="33" t="n">
        <v>2</v>
      </c>
      <c r="I43" s="34" t="n">
        <f aca="false">E43*H43+N(F43)+N(G43)</f>
        <v>13625</v>
      </c>
      <c r="J43" s="32" t="n">
        <f aca="false">ROUND(IFERROR(ROUND(IF(OR(ISNUMBER(SEARCH("week",C43)),ISNUMBER(SEARCH("minggu",C43))),IFERROR(_xlfn.NUMBERVALUE(SUBSTITUTE(LEFT(TRIM(C43),FIND(" ",TRIM(C43)&amp;" ")-1),",","."),"."),LEFT(SUBSTITUTE(LEFT(TRIM(C43),FIND(" ",TRIM(C43)&amp;" ")-1),",","."),FIND("/",SUBSTITUTE(LEFT(TRIM(C43),FIND(" ",TRIM(C43)&amp;" ")-1),",","."))-1)/MID(SUBSTITUTE(LEFT(TRIM(C43),FIND(" ",TRIM(C43)&amp;" ")-1),",","."),FIND("/",SUBSTITUTE(LEFT(TRIM(C43),FIND(" ",TRIM(C43)&amp;" ")-1),",","."))+1,9))*12/52,IF(ISNUMBER(SEARCH("month",C43)),IFERROR(_xlfn.NUMBERVALUE(SUBSTITUTE(LEFT(TRIM(C43),FIND(" ",TRIM(C43)&amp;" ")-1),",","."),"."),LEFT(SUBSTITUTE(LEFT(TRIM(C43),FIND(" ",TRIM(C43)&amp;" ")-1),",","."),FIND("/",SUBSTITUTE(LEFT(TRIM(C43),FIND(" ",TRIM(C43)&amp;" ")-1),",","."))-1)/MID(SUBSTITUTE(LEFT(TRIM(C43),FIND(" ",TRIM(C43)&amp;" ")-1),",","."),FIND("/",SUBSTITUTE(LEFT(TRIM(C43),FIND(" ",TRIM(C43)&amp;" ")-1),",","."))+1,9)),IF(ISNUMBER(SEARCH("yea",C43)),IFERROR(_xlfn.NUMBERVALUE(SUBSTITUTE(LEFT(TRIM(C43),FIND(" ",TRIM(C43)&amp;" ")-1),",","."),"."),LEFT(SUBSTITUTE(LEFT(TRIM(C43),FIND(" ",TRIM(C43)&amp;" ")-1),",","."),FIND("/",SUBSTITUTE(LEFT(TRIM(C43),FIND(" ",TRIM(C43)&amp;" ")-1),",","."))-1)/MID(SUBSTITUTE(LEFT(TRIM(C43),FIND(" ",TRIM(C43)&amp;" ")-1),",","."),FIND("/",SUBSTITUTE(LEFT(TRIM(C43),FIND(" ",TRIM(C43)&amp;" ")-1),",","."))+1,9))*12,NA()))),0),48)*'Aturan &amp; Tarif'!$B$4,2)</f>
        <v>2725.44</v>
      </c>
      <c r="K43" s="32" t="n">
        <f aca="false">'Aturan &amp; Tarif'!$B$5</f>
        <v>2050</v>
      </c>
      <c r="L43" s="35" t="n">
        <f aca="false">I43+J43+K43</f>
        <v>18400.44</v>
      </c>
      <c r="M43" s="36" t="s">
        <v>196</v>
      </c>
    </row>
    <row r="44" customFormat="false" ht="106.5" hidden="false" customHeight="true" outlineLevel="0" collapsed="false">
      <c r="A44" s="29"/>
      <c r="B44" s="30" t="s">
        <v>197</v>
      </c>
      <c r="C44" s="31" t="s">
        <v>191</v>
      </c>
      <c r="D44" s="31" t="s">
        <v>108</v>
      </c>
      <c r="E44" s="32" t="n">
        <v>7362.5</v>
      </c>
      <c r="F44" s="32"/>
      <c r="G44" s="32"/>
      <c r="H44" s="33" t="n">
        <v>2</v>
      </c>
      <c r="I44" s="34" t="n">
        <f aca="false">E44*H44+N(F44)+N(G44)</f>
        <v>14725</v>
      </c>
      <c r="J44" s="32" t="n">
        <f aca="false">ROUND(IFERROR(ROUND(IF(OR(ISNUMBER(SEARCH("week",C44)),ISNUMBER(SEARCH("minggu",C44))),IFERROR(_xlfn.NUMBERVALUE(SUBSTITUTE(LEFT(TRIM(C44),FIND(" ",TRIM(C44)&amp;" ")-1),",","."),"."),LEFT(SUBSTITUTE(LEFT(TRIM(C44),FIND(" ",TRIM(C44)&amp;" ")-1),",","."),FIND("/",SUBSTITUTE(LEFT(TRIM(C44),FIND(" ",TRIM(C44)&amp;" ")-1),",","."))-1)/MID(SUBSTITUTE(LEFT(TRIM(C44),FIND(" ",TRIM(C44)&amp;" ")-1),",","."),FIND("/",SUBSTITUTE(LEFT(TRIM(C44),FIND(" ",TRIM(C44)&amp;" ")-1),",","."))+1,9))*12/52,IF(ISNUMBER(SEARCH("month",C44)),IFERROR(_xlfn.NUMBERVALUE(SUBSTITUTE(LEFT(TRIM(C44),FIND(" ",TRIM(C44)&amp;" ")-1),",","."),"."),LEFT(SUBSTITUTE(LEFT(TRIM(C44),FIND(" ",TRIM(C44)&amp;" ")-1),",","."),FIND("/",SUBSTITUTE(LEFT(TRIM(C44),FIND(" ",TRIM(C44)&amp;" ")-1),",","."))-1)/MID(SUBSTITUTE(LEFT(TRIM(C44),FIND(" ",TRIM(C44)&amp;" ")-1),",","."),FIND("/",SUBSTITUTE(LEFT(TRIM(C44),FIND(" ",TRIM(C44)&amp;" ")-1),",","."))+1,9)),IF(ISNUMBER(SEARCH("yea",C44)),IFERROR(_xlfn.NUMBERVALUE(SUBSTITUTE(LEFT(TRIM(C44),FIND(" ",TRIM(C44)&amp;" ")-1),",","."),"."),LEFT(SUBSTITUTE(LEFT(TRIM(C44),FIND(" ",TRIM(C44)&amp;" ")-1),",","."),FIND("/",SUBSTITUTE(LEFT(TRIM(C44),FIND(" ",TRIM(C44)&amp;" ")-1),",","."))-1)/MID(SUBSTITUTE(LEFT(TRIM(C44),FIND(" ",TRIM(C44)&amp;" ")-1),",","."),FIND("/",SUBSTITUTE(LEFT(TRIM(C44),FIND(" ",TRIM(C44)&amp;" ")-1),",","."))+1,9))*12,NA()))),0),48)*'Aturan &amp; Tarif'!$B$4,2)</f>
        <v>2725.44</v>
      </c>
      <c r="K44" s="32" t="n">
        <f aca="false">'Aturan &amp; Tarif'!$B$5</f>
        <v>2050</v>
      </c>
      <c r="L44" s="35" t="n">
        <f aca="false">I44+J44+K44</f>
        <v>19500.44</v>
      </c>
      <c r="M44" s="36" t="s">
        <v>198</v>
      </c>
    </row>
    <row r="45" customFormat="false" ht="106.5" hidden="false" customHeight="true" outlineLevel="0" collapsed="false">
      <c r="A45" s="29"/>
      <c r="B45" s="30" t="s">
        <v>199</v>
      </c>
      <c r="C45" s="31" t="s">
        <v>127</v>
      </c>
      <c r="D45" s="31" t="s">
        <v>108</v>
      </c>
      <c r="E45" s="32" t="n">
        <v>9487.5</v>
      </c>
      <c r="F45" s="32"/>
      <c r="G45" s="32"/>
      <c r="H45" s="33" t="n">
        <v>2</v>
      </c>
      <c r="I45" s="34" t="n">
        <f aca="false">E45*H45+N(F45)+N(G45)</f>
        <v>18975</v>
      </c>
      <c r="J45" s="32" t="n">
        <f aca="false">ROUND(IFERROR(ROUND(IF(OR(ISNUMBER(SEARCH("week",C45)),ISNUMBER(SEARCH("minggu",C45))),IFERROR(_xlfn.NUMBERVALUE(SUBSTITUTE(LEFT(TRIM(C45),FIND(" ",TRIM(C45)&amp;" ")-1),",","."),"."),LEFT(SUBSTITUTE(LEFT(TRIM(C45),FIND(" ",TRIM(C45)&amp;" ")-1),",","."),FIND("/",SUBSTITUTE(LEFT(TRIM(C45),FIND(" ",TRIM(C45)&amp;" ")-1),",","."))-1)/MID(SUBSTITUTE(LEFT(TRIM(C45),FIND(" ",TRIM(C45)&amp;" ")-1),",","."),FIND("/",SUBSTITUTE(LEFT(TRIM(C45),FIND(" ",TRIM(C45)&amp;" ")-1),",","."))+1,9))*12/52,IF(ISNUMBER(SEARCH("month",C45)),IFERROR(_xlfn.NUMBERVALUE(SUBSTITUTE(LEFT(TRIM(C45),FIND(" ",TRIM(C45)&amp;" ")-1),",","."),"."),LEFT(SUBSTITUTE(LEFT(TRIM(C45),FIND(" ",TRIM(C45)&amp;" ")-1),",","."),FIND("/",SUBSTITUTE(LEFT(TRIM(C45),FIND(" ",TRIM(C45)&amp;" ")-1),",","."))-1)/MID(SUBSTITUTE(LEFT(TRIM(C45),FIND(" ",TRIM(C45)&amp;" ")-1),",","."),FIND("/",SUBSTITUTE(LEFT(TRIM(C45),FIND(" ",TRIM(C45)&amp;" ")-1),",","."))+1,9)),IF(ISNUMBER(SEARCH("yea",C45)),IFERROR(_xlfn.NUMBERVALUE(SUBSTITUTE(LEFT(TRIM(C45),FIND(" ",TRIM(C45)&amp;" ")-1),",","."),"."),LEFT(SUBSTITUTE(LEFT(TRIM(C45),FIND(" ",TRIM(C45)&amp;" ")-1),",","."),FIND("/",SUBSTITUTE(LEFT(TRIM(C45),FIND(" ",TRIM(C45)&amp;" ")-1),",","."))-1)/MID(SUBSTITUTE(LEFT(TRIM(C45),FIND(" ",TRIM(C45)&amp;" ")-1),",","."),FIND("/",SUBSTITUTE(LEFT(TRIM(C45),FIND(" ",TRIM(C45)&amp;" ")-1),",","."))+1,9))*12,NA()))),0),36)*'Aturan &amp; Tarif'!$B$4,2)</f>
        <v>2044.08</v>
      </c>
      <c r="K45" s="32" t="n">
        <f aca="false">'Aturan &amp; Tarif'!$B$5</f>
        <v>2050</v>
      </c>
      <c r="L45" s="35" t="n">
        <f aca="false">I45+J45+K45</f>
        <v>23069.08</v>
      </c>
      <c r="M45" s="36" t="s">
        <v>184</v>
      </c>
    </row>
    <row r="46" customFormat="false" ht="106.5" hidden="false" customHeight="true" outlineLevel="0" collapsed="false">
      <c r="A46" s="29"/>
      <c r="B46" s="30" t="s">
        <v>200</v>
      </c>
      <c r="C46" s="31" t="s">
        <v>127</v>
      </c>
      <c r="D46" s="31" t="s">
        <v>108</v>
      </c>
      <c r="E46" s="32" t="n">
        <v>12487.5</v>
      </c>
      <c r="F46" s="32"/>
      <c r="G46" s="32"/>
      <c r="H46" s="33" t="n">
        <v>2</v>
      </c>
      <c r="I46" s="34" t="n">
        <f aca="false">E46*H46+N(F46)+N(G46)</f>
        <v>24975</v>
      </c>
      <c r="J46" s="32" t="n">
        <f aca="false">ROUND(IFERROR(ROUND(IF(OR(ISNUMBER(SEARCH("week",C46)),ISNUMBER(SEARCH("minggu",C46))),IFERROR(_xlfn.NUMBERVALUE(SUBSTITUTE(LEFT(TRIM(C46),FIND(" ",TRIM(C46)&amp;" ")-1),",","."),"."),LEFT(SUBSTITUTE(LEFT(TRIM(C46),FIND(" ",TRIM(C46)&amp;" ")-1),",","."),FIND("/",SUBSTITUTE(LEFT(TRIM(C46),FIND(" ",TRIM(C46)&amp;" ")-1),",","."))-1)/MID(SUBSTITUTE(LEFT(TRIM(C46),FIND(" ",TRIM(C46)&amp;" ")-1),",","."),FIND("/",SUBSTITUTE(LEFT(TRIM(C46),FIND(" ",TRIM(C46)&amp;" ")-1),",","."))+1,9))*12/52,IF(ISNUMBER(SEARCH("month",C46)),IFERROR(_xlfn.NUMBERVALUE(SUBSTITUTE(LEFT(TRIM(C46),FIND(" ",TRIM(C46)&amp;" ")-1),",","."),"."),LEFT(SUBSTITUTE(LEFT(TRIM(C46),FIND(" ",TRIM(C46)&amp;" ")-1),",","."),FIND("/",SUBSTITUTE(LEFT(TRIM(C46),FIND(" ",TRIM(C46)&amp;" ")-1),",","."))-1)/MID(SUBSTITUTE(LEFT(TRIM(C46),FIND(" ",TRIM(C46)&amp;" ")-1),",","."),FIND("/",SUBSTITUTE(LEFT(TRIM(C46),FIND(" ",TRIM(C46)&amp;" ")-1),",","."))+1,9)),IF(ISNUMBER(SEARCH("yea",C46)),IFERROR(_xlfn.NUMBERVALUE(SUBSTITUTE(LEFT(TRIM(C46),FIND(" ",TRIM(C46)&amp;" ")-1),",","."),"."),LEFT(SUBSTITUTE(LEFT(TRIM(C46),FIND(" ",TRIM(C46)&amp;" ")-1),",","."),FIND("/",SUBSTITUTE(LEFT(TRIM(C46),FIND(" ",TRIM(C46)&amp;" ")-1),",","."))-1)/MID(SUBSTITUTE(LEFT(TRIM(C46),FIND(" ",TRIM(C46)&amp;" ")-1),",","."),FIND("/",SUBSTITUTE(LEFT(TRIM(C46),FIND(" ",TRIM(C46)&amp;" ")-1),",","."))+1,9))*12,NA()))),0),36)*'Aturan &amp; Tarif'!$B$4,2)</f>
        <v>2044.08</v>
      </c>
      <c r="K46" s="32" t="n">
        <f aca="false">'Aturan &amp; Tarif'!$B$5</f>
        <v>2050</v>
      </c>
      <c r="L46" s="35" t="n">
        <f aca="false">I46+J46+K46</f>
        <v>29069.08</v>
      </c>
      <c r="M46" s="36" t="s">
        <v>201</v>
      </c>
    </row>
    <row r="47" customFormat="false" ht="106.5" hidden="false" customHeight="true" outlineLevel="0" collapsed="false">
      <c r="A47" s="29"/>
      <c r="B47" s="30" t="s">
        <v>202</v>
      </c>
      <c r="C47" s="31" t="s">
        <v>127</v>
      </c>
      <c r="D47" s="31" t="s">
        <v>108</v>
      </c>
      <c r="E47" s="32" t="n">
        <v>10862.5</v>
      </c>
      <c r="F47" s="32"/>
      <c r="G47" s="32"/>
      <c r="H47" s="33" t="n">
        <v>2</v>
      </c>
      <c r="I47" s="34" t="n">
        <f aca="false">E47*H47+N(F47)+N(G47)</f>
        <v>21725</v>
      </c>
      <c r="J47" s="32" t="n">
        <f aca="false">ROUND(IFERROR(ROUND(IF(OR(ISNUMBER(SEARCH("week",C47)),ISNUMBER(SEARCH("minggu",C47))),IFERROR(_xlfn.NUMBERVALUE(SUBSTITUTE(LEFT(TRIM(C47),FIND(" ",TRIM(C47)&amp;" ")-1),",","."),"."),LEFT(SUBSTITUTE(LEFT(TRIM(C47),FIND(" ",TRIM(C47)&amp;" ")-1),",","."),FIND("/",SUBSTITUTE(LEFT(TRIM(C47),FIND(" ",TRIM(C47)&amp;" ")-1),",","."))-1)/MID(SUBSTITUTE(LEFT(TRIM(C47),FIND(" ",TRIM(C47)&amp;" ")-1),",","."),FIND("/",SUBSTITUTE(LEFT(TRIM(C47),FIND(" ",TRIM(C47)&amp;" ")-1),",","."))+1,9))*12/52,IF(ISNUMBER(SEARCH("month",C47)),IFERROR(_xlfn.NUMBERVALUE(SUBSTITUTE(LEFT(TRIM(C47),FIND(" ",TRIM(C47)&amp;" ")-1),",","."),"."),LEFT(SUBSTITUTE(LEFT(TRIM(C47),FIND(" ",TRIM(C47)&amp;" ")-1),",","."),FIND("/",SUBSTITUTE(LEFT(TRIM(C47),FIND(" ",TRIM(C47)&amp;" ")-1),",","."))-1)/MID(SUBSTITUTE(LEFT(TRIM(C47),FIND(" ",TRIM(C47)&amp;" ")-1),",","."),FIND("/",SUBSTITUTE(LEFT(TRIM(C47),FIND(" ",TRIM(C47)&amp;" ")-1),",","."))+1,9)),IF(ISNUMBER(SEARCH("yea",C47)),IFERROR(_xlfn.NUMBERVALUE(SUBSTITUTE(LEFT(TRIM(C47),FIND(" ",TRIM(C47)&amp;" ")-1),",","."),"."),LEFT(SUBSTITUTE(LEFT(TRIM(C47),FIND(" ",TRIM(C47)&amp;" ")-1),",","."),FIND("/",SUBSTITUTE(LEFT(TRIM(C47),FIND(" ",TRIM(C47)&amp;" ")-1),",","."))-1)/MID(SUBSTITUTE(LEFT(TRIM(C47),FIND(" ",TRIM(C47)&amp;" ")-1),",","."),FIND("/",SUBSTITUTE(LEFT(TRIM(C47),FIND(" ",TRIM(C47)&amp;" ")-1),",","."))+1,9))*12,NA()))),0),36)*'Aturan &amp; Tarif'!$B$4,2)</f>
        <v>2044.08</v>
      </c>
      <c r="K47" s="32" t="n">
        <f aca="false">'Aturan &amp; Tarif'!$B$5</f>
        <v>2050</v>
      </c>
      <c r="L47" s="35" t="n">
        <f aca="false">I47+J47+K47</f>
        <v>25819.08</v>
      </c>
      <c r="M47" s="36" t="s">
        <v>203</v>
      </c>
    </row>
    <row r="48" customFormat="false" ht="37.5" hidden="false" customHeight="true" outlineLevel="0" collapsed="false">
      <c r="A48" s="29"/>
      <c r="B48" s="30" t="s">
        <v>204</v>
      </c>
      <c r="C48" s="31" t="s">
        <v>130</v>
      </c>
      <c r="D48" s="31" t="s">
        <v>108</v>
      </c>
      <c r="E48" s="32" t="n">
        <v>9312.5</v>
      </c>
      <c r="F48" s="32"/>
      <c r="G48" s="32"/>
      <c r="H48" s="33" t="n">
        <v>2</v>
      </c>
      <c r="I48" s="34" t="n">
        <f aca="false">E48*H48+N(F48)+N(G48)</f>
        <v>18625</v>
      </c>
      <c r="J48" s="32" t="n">
        <f aca="false">ROUND(IFERROR(ROUND(IF(OR(ISNUMBER(SEARCH("week",C48)),ISNUMBER(SEARCH("minggu",C48))),IFERROR(_xlfn.NUMBERVALUE(SUBSTITUTE(LEFT(TRIM(C48),FIND(" ",TRIM(C48)&amp;" ")-1),",","."),"."),LEFT(SUBSTITUTE(LEFT(TRIM(C48),FIND(" ",TRIM(C48)&amp;" ")-1),",","."),FIND("/",SUBSTITUTE(LEFT(TRIM(C48),FIND(" ",TRIM(C48)&amp;" ")-1),",","."))-1)/MID(SUBSTITUTE(LEFT(TRIM(C48),FIND(" ",TRIM(C48)&amp;" ")-1),",","."),FIND("/",SUBSTITUTE(LEFT(TRIM(C48),FIND(" ",TRIM(C48)&amp;" ")-1),",","."))+1,9))*12/52,IF(ISNUMBER(SEARCH("month",C48)),IFERROR(_xlfn.NUMBERVALUE(SUBSTITUTE(LEFT(TRIM(C48),FIND(" ",TRIM(C48)&amp;" ")-1),",","."),"."),LEFT(SUBSTITUTE(LEFT(TRIM(C48),FIND(" ",TRIM(C48)&amp;" ")-1),",","."),FIND("/",SUBSTITUTE(LEFT(TRIM(C48),FIND(" ",TRIM(C48)&amp;" ")-1),",","."))-1)/MID(SUBSTITUTE(LEFT(TRIM(C48),FIND(" ",TRIM(C48)&amp;" ")-1),",","."),FIND("/",SUBSTITUTE(LEFT(TRIM(C48),FIND(" ",TRIM(C48)&amp;" ")-1),",","."))+1,9)),IF(ISNUMBER(SEARCH("yea",C48)),IFERROR(_xlfn.NUMBERVALUE(SUBSTITUTE(LEFT(TRIM(C48),FIND(" ",TRIM(C48)&amp;" ")-1),",","."),"."),LEFT(SUBSTITUTE(LEFT(TRIM(C48),FIND(" ",TRIM(C48)&amp;" ")-1),",","."),FIND("/",SUBSTITUTE(LEFT(TRIM(C48),FIND(" ",TRIM(C48)&amp;" ")-1),",","."))-1)/MID(SUBSTITUTE(LEFT(TRIM(C48),FIND(" ",TRIM(C48)&amp;" ")-1),",","."),FIND("/",SUBSTITUTE(LEFT(TRIM(C48),FIND(" ",TRIM(C48)&amp;" ")-1),",","."))+1,9))*12,NA()))),0),12)*'Aturan &amp; Tarif'!$B$4,2)</f>
        <v>681.36</v>
      </c>
      <c r="K48" s="32" t="n">
        <f aca="false">'Aturan &amp; Tarif'!$B$5</f>
        <v>2050</v>
      </c>
      <c r="L48" s="35" t="n">
        <f aca="false">I48+J48+K48</f>
        <v>21356.36</v>
      </c>
      <c r="M48" s="36" t="s">
        <v>194</v>
      </c>
    </row>
    <row r="49" customFormat="false" ht="37.5" hidden="false" customHeight="true" outlineLevel="0" collapsed="false">
      <c r="A49" s="29"/>
      <c r="B49" s="30" t="s">
        <v>205</v>
      </c>
      <c r="C49" s="31" t="s">
        <v>130</v>
      </c>
      <c r="D49" s="31" t="s">
        <v>108</v>
      </c>
      <c r="E49" s="32" t="n">
        <v>9562.5</v>
      </c>
      <c r="F49" s="32"/>
      <c r="G49" s="32"/>
      <c r="H49" s="33" t="n">
        <v>2</v>
      </c>
      <c r="I49" s="34" t="n">
        <f aca="false">E49*H49+N(F49)+N(G49)</f>
        <v>19125</v>
      </c>
      <c r="J49" s="32" t="n">
        <f aca="false">ROUND(IFERROR(ROUND(IF(OR(ISNUMBER(SEARCH("week",C49)),ISNUMBER(SEARCH("minggu",C49))),IFERROR(_xlfn.NUMBERVALUE(SUBSTITUTE(LEFT(TRIM(C49),FIND(" ",TRIM(C49)&amp;" ")-1),",","."),"."),LEFT(SUBSTITUTE(LEFT(TRIM(C49),FIND(" ",TRIM(C49)&amp;" ")-1),",","."),FIND("/",SUBSTITUTE(LEFT(TRIM(C49),FIND(" ",TRIM(C49)&amp;" ")-1),",","."))-1)/MID(SUBSTITUTE(LEFT(TRIM(C49),FIND(" ",TRIM(C49)&amp;" ")-1),",","."),FIND("/",SUBSTITUTE(LEFT(TRIM(C49),FIND(" ",TRIM(C49)&amp;" ")-1),",","."))+1,9))*12/52,IF(ISNUMBER(SEARCH("month",C49)),IFERROR(_xlfn.NUMBERVALUE(SUBSTITUTE(LEFT(TRIM(C49),FIND(" ",TRIM(C49)&amp;" ")-1),",","."),"."),LEFT(SUBSTITUTE(LEFT(TRIM(C49),FIND(" ",TRIM(C49)&amp;" ")-1),",","."),FIND("/",SUBSTITUTE(LEFT(TRIM(C49),FIND(" ",TRIM(C49)&amp;" ")-1),",","."))-1)/MID(SUBSTITUTE(LEFT(TRIM(C49),FIND(" ",TRIM(C49)&amp;" ")-1),",","."),FIND("/",SUBSTITUTE(LEFT(TRIM(C49),FIND(" ",TRIM(C49)&amp;" ")-1),",","."))+1,9)),IF(ISNUMBER(SEARCH("yea",C49)),IFERROR(_xlfn.NUMBERVALUE(SUBSTITUTE(LEFT(TRIM(C49),FIND(" ",TRIM(C49)&amp;" ")-1),",","."),"."),LEFT(SUBSTITUTE(LEFT(TRIM(C49),FIND(" ",TRIM(C49)&amp;" ")-1),",","."),FIND("/",SUBSTITUTE(LEFT(TRIM(C49),FIND(" ",TRIM(C49)&amp;" ")-1),",","."))-1)/MID(SUBSTITUTE(LEFT(TRIM(C49),FIND(" ",TRIM(C49)&amp;" ")-1),",","."),FIND("/",SUBSTITUTE(LEFT(TRIM(C49),FIND(" ",TRIM(C49)&amp;" ")-1),",","."))+1,9))*12,NA()))),0),12)*'Aturan &amp; Tarif'!$B$4,2)</f>
        <v>681.36</v>
      </c>
      <c r="K49" s="32" t="n">
        <f aca="false">'Aturan &amp; Tarif'!$B$5</f>
        <v>2050</v>
      </c>
      <c r="L49" s="35" t="n">
        <f aca="false">I49+J49+K49</f>
        <v>21856.36</v>
      </c>
      <c r="M49" s="36" t="s">
        <v>194</v>
      </c>
    </row>
    <row r="50" customFormat="false" ht="106.5" hidden="false" customHeight="true" outlineLevel="0" collapsed="false">
      <c r="A50" s="29"/>
      <c r="B50" s="30" t="s">
        <v>206</v>
      </c>
      <c r="C50" s="31" t="s">
        <v>159</v>
      </c>
      <c r="D50" s="31" t="s">
        <v>108</v>
      </c>
      <c r="E50" s="32" t="n">
        <v>9987.5</v>
      </c>
      <c r="F50" s="32"/>
      <c r="G50" s="32"/>
      <c r="H50" s="33" t="n">
        <v>2</v>
      </c>
      <c r="I50" s="34" t="n">
        <f aca="false">E50*H50+N(F50)+N(G50)</f>
        <v>19975</v>
      </c>
      <c r="J50" s="32" t="n">
        <f aca="false">ROUND(IFERROR(ROUND(IF(OR(ISNUMBER(SEARCH("week",C50)),ISNUMBER(SEARCH("minggu",C50))),IFERROR(_xlfn.NUMBERVALUE(SUBSTITUTE(LEFT(TRIM(C50),FIND(" ",TRIM(C50)&amp;" ")-1),",","."),"."),LEFT(SUBSTITUTE(LEFT(TRIM(C50),FIND(" ",TRIM(C50)&amp;" ")-1),",","."),FIND("/",SUBSTITUTE(LEFT(TRIM(C50),FIND(" ",TRIM(C50)&amp;" ")-1),",","."))-1)/MID(SUBSTITUTE(LEFT(TRIM(C50),FIND(" ",TRIM(C50)&amp;" ")-1),",","."),FIND("/",SUBSTITUTE(LEFT(TRIM(C50),FIND(" ",TRIM(C50)&amp;" ")-1),",","."))+1,9))*12/52,IF(ISNUMBER(SEARCH("month",C50)),IFERROR(_xlfn.NUMBERVALUE(SUBSTITUTE(LEFT(TRIM(C50),FIND(" ",TRIM(C50)&amp;" ")-1),",","."),"."),LEFT(SUBSTITUTE(LEFT(TRIM(C50),FIND(" ",TRIM(C50)&amp;" ")-1),",","."),FIND("/",SUBSTITUTE(LEFT(TRIM(C50),FIND(" ",TRIM(C50)&amp;" ")-1),",","."))-1)/MID(SUBSTITUTE(LEFT(TRIM(C50),FIND(" ",TRIM(C50)&amp;" ")-1),",","."),FIND("/",SUBSTITUTE(LEFT(TRIM(C50),FIND(" ",TRIM(C50)&amp;" ")-1),",","."))+1,9)),IF(ISNUMBER(SEARCH("yea",C50)),IFERROR(_xlfn.NUMBERVALUE(SUBSTITUTE(LEFT(TRIM(C50),FIND(" ",TRIM(C50)&amp;" ")-1),",","."),"."),LEFT(SUBSTITUTE(LEFT(TRIM(C50),FIND(" ",TRIM(C50)&amp;" ")-1),",","."),FIND("/",SUBSTITUTE(LEFT(TRIM(C50),FIND(" ",TRIM(C50)&amp;" ")-1),",","."))-1)/MID(SUBSTITUTE(LEFT(TRIM(C50),FIND(" ",TRIM(C50)&amp;" ")-1),",","."),FIND("/",SUBSTITUTE(LEFT(TRIM(C50),FIND(" ",TRIM(C50)&amp;" ")-1),",","."))+1,9))*12,NA()))),0),6)*'Aturan &amp; Tarif'!$B$4,2)</f>
        <v>340.68</v>
      </c>
      <c r="K50" s="32" t="n">
        <f aca="false">'Aturan &amp; Tarif'!$B$5</f>
        <v>2050</v>
      </c>
      <c r="L50" s="35" t="n">
        <f aca="false">I50+J50+K50</f>
        <v>22365.68</v>
      </c>
      <c r="M50" s="36" t="s">
        <v>207</v>
      </c>
    </row>
    <row r="51" customFormat="false" ht="106.5" hidden="false" customHeight="true" outlineLevel="0" collapsed="false">
      <c r="A51" s="29"/>
      <c r="B51" s="30" t="s">
        <v>208</v>
      </c>
      <c r="C51" s="31" t="s">
        <v>159</v>
      </c>
      <c r="D51" s="31" t="s">
        <v>108</v>
      </c>
      <c r="E51" s="32" t="n">
        <v>10062.5</v>
      </c>
      <c r="F51" s="32"/>
      <c r="G51" s="32"/>
      <c r="H51" s="33" t="n">
        <v>2</v>
      </c>
      <c r="I51" s="34" t="n">
        <f aca="false">E51*H51+N(F51)+N(G51)</f>
        <v>20125</v>
      </c>
      <c r="J51" s="32" t="n">
        <f aca="false">ROUND(IFERROR(ROUND(IF(OR(ISNUMBER(SEARCH("week",C51)),ISNUMBER(SEARCH("minggu",C51))),IFERROR(_xlfn.NUMBERVALUE(SUBSTITUTE(LEFT(TRIM(C51),FIND(" ",TRIM(C51)&amp;" ")-1),",","."),"."),LEFT(SUBSTITUTE(LEFT(TRIM(C51),FIND(" ",TRIM(C51)&amp;" ")-1),",","."),FIND("/",SUBSTITUTE(LEFT(TRIM(C51),FIND(" ",TRIM(C51)&amp;" ")-1),",","."))-1)/MID(SUBSTITUTE(LEFT(TRIM(C51),FIND(" ",TRIM(C51)&amp;" ")-1),",","."),FIND("/",SUBSTITUTE(LEFT(TRIM(C51),FIND(" ",TRIM(C51)&amp;" ")-1),",","."))+1,9))*12/52,IF(ISNUMBER(SEARCH("month",C51)),IFERROR(_xlfn.NUMBERVALUE(SUBSTITUTE(LEFT(TRIM(C51),FIND(" ",TRIM(C51)&amp;" ")-1),",","."),"."),LEFT(SUBSTITUTE(LEFT(TRIM(C51),FIND(" ",TRIM(C51)&amp;" ")-1),",","."),FIND("/",SUBSTITUTE(LEFT(TRIM(C51),FIND(" ",TRIM(C51)&amp;" ")-1),",","."))-1)/MID(SUBSTITUTE(LEFT(TRIM(C51),FIND(" ",TRIM(C51)&amp;" ")-1),",","."),FIND("/",SUBSTITUTE(LEFT(TRIM(C51),FIND(" ",TRIM(C51)&amp;" ")-1),",","."))+1,9)),IF(ISNUMBER(SEARCH("yea",C51)),IFERROR(_xlfn.NUMBERVALUE(SUBSTITUTE(LEFT(TRIM(C51),FIND(" ",TRIM(C51)&amp;" ")-1),",","."),"."),LEFT(SUBSTITUTE(LEFT(TRIM(C51),FIND(" ",TRIM(C51)&amp;" ")-1),",","."),FIND("/",SUBSTITUTE(LEFT(TRIM(C51),FIND(" ",TRIM(C51)&amp;" ")-1),",","."))-1)/MID(SUBSTITUTE(LEFT(TRIM(C51),FIND(" ",TRIM(C51)&amp;" ")-1),",","."),FIND("/",SUBSTITUTE(LEFT(TRIM(C51),FIND(" ",TRIM(C51)&amp;" ")-1),",","."))+1,9))*12,NA()))),0),6)*'Aturan &amp; Tarif'!$B$4,2)</f>
        <v>340.68</v>
      </c>
      <c r="K51" s="32" t="n">
        <f aca="false">'Aturan &amp; Tarif'!$B$5</f>
        <v>2050</v>
      </c>
      <c r="L51" s="35" t="n">
        <f aca="false">I51+J51+K51</f>
        <v>22515.68</v>
      </c>
      <c r="M51" s="36" t="s">
        <v>209</v>
      </c>
    </row>
    <row r="52" customFormat="false" ht="37.5" hidden="false" customHeight="true" outlineLevel="0" collapsed="false">
      <c r="A52" s="29"/>
      <c r="B52" s="30" t="s">
        <v>210</v>
      </c>
      <c r="C52" s="31" t="s">
        <v>159</v>
      </c>
      <c r="D52" s="31" t="s">
        <v>108</v>
      </c>
      <c r="E52" s="32" t="n">
        <v>10062.5</v>
      </c>
      <c r="F52" s="32"/>
      <c r="G52" s="32"/>
      <c r="H52" s="33" t="n">
        <v>2</v>
      </c>
      <c r="I52" s="34" t="n">
        <f aca="false">E52*H52+N(F52)+N(G52)</f>
        <v>20125</v>
      </c>
      <c r="J52" s="32" t="n">
        <f aca="false">ROUND(IFERROR(ROUND(IF(OR(ISNUMBER(SEARCH("week",C52)),ISNUMBER(SEARCH("minggu",C52))),IFERROR(_xlfn.NUMBERVALUE(SUBSTITUTE(LEFT(TRIM(C52),FIND(" ",TRIM(C52)&amp;" ")-1),",","."),"."),LEFT(SUBSTITUTE(LEFT(TRIM(C52),FIND(" ",TRIM(C52)&amp;" ")-1),",","."),FIND("/",SUBSTITUTE(LEFT(TRIM(C52),FIND(" ",TRIM(C52)&amp;" ")-1),",","."))-1)/MID(SUBSTITUTE(LEFT(TRIM(C52),FIND(" ",TRIM(C52)&amp;" ")-1),",","."),FIND("/",SUBSTITUTE(LEFT(TRIM(C52),FIND(" ",TRIM(C52)&amp;" ")-1),",","."))+1,9))*12/52,IF(ISNUMBER(SEARCH("month",C52)),IFERROR(_xlfn.NUMBERVALUE(SUBSTITUTE(LEFT(TRIM(C52),FIND(" ",TRIM(C52)&amp;" ")-1),",","."),"."),LEFT(SUBSTITUTE(LEFT(TRIM(C52),FIND(" ",TRIM(C52)&amp;" ")-1),",","."),FIND("/",SUBSTITUTE(LEFT(TRIM(C52),FIND(" ",TRIM(C52)&amp;" ")-1),",","."))-1)/MID(SUBSTITUTE(LEFT(TRIM(C52),FIND(" ",TRIM(C52)&amp;" ")-1),",","."),FIND("/",SUBSTITUTE(LEFT(TRIM(C52),FIND(" ",TRIM(C52)&amp;" ")-1),",","."))+1,9)),IF(ISNUMBER(SEARCH("yea",C52)),IFERROR(_xlfn.NUMBERVALUE(SUBSTITUTE(LEFT(TRIM(C52),FIND(" ",TRIM(C52)&amp;" ")-1),",","."),"."),LEFT(SUBSTITUTE(LEFT(TRIM(C52),FIND(" ",TRIM(C52)&amp;" ")-1),",","."),FIND("/",SUBSTITUTE(LEFT(TRIM(C52),FIND(" ",TRIM(C52)&amp;" ")-1),",","."))-1)/MID(SUBSTITUTE(LEFT(TRIM(C52),FIND(" ",TRIM(C52)&amp;" ")-1),",","."),FIND("/",SUBSTITUTE(LEFT(TRIM(C52),FIND(" ",TRIM(C52)&amp;" ")-1),",","."))+1,9))*12,NA()))),0),6)*'Aturan &amp; Tarif'!$B$4,2)</f>
        <v>340.68</v>
      </c>
      <c r="K52" s="32" t="n">
        <f aca="false">'Aturan &amp; Tarif'!$B$5</f>
        <v>2050</v>
      </c>
      <c r="L52" s="35" t="n">
        <f aca="false">I52+J52+K52</f>
        <v>22515.68</v>
      </c>
      <c r="M52" s="36" t="s">
        <v>194</v>
      </c>
    </row>
    <row r="53" customFormat="false" ht="37.5" hidden="false" customHeight="true" outlineLevel="0" collapsed="false">
      <c r="A53" s="29"/>
      <c r="B53" s="30" t="s">
        <v>211</v>
      </c>
      <c r="C53" s="31" t="s">
        <v>130</v>
      </c>
      <c r="D53" s="31" t="s">
        <v>108</v>
      </c>
      <c r="E53" s="32" t="n">
        <v>10062.5</v>
      </c>
      <c r="F53" s="32"/>
      <c r="G53" s="32"/>
      <c r="H53" s="33" t="n">
        <v>2</v>
      </c>
      <c r="I53" s="34" t="n">
        <f aca="false">E53*H53+N(F53)+N(G53)</f>
        <v>20125</v>
      </c>
      <c r="J53" s="32" t="n">
        <f aca="false">ROUND(IFERROR(ROUND(IF(OR(ISNUMBER(SEARCH("week",C53)),ISNUMBER(SEARCH("minggu",C53))),IFERROR(_xlfn.NUMBERVALUE(SUBSTITUTE(LEFT(TRIM(C53),FIND(" ",TRIM(C53)&amp;" ")-1),",","."),"."),LEFT(SUBSTITUTE(LEFT(TRIM(C53),FIND(" ",TRIM(C53)&amp;" ")-1),",","."),FIND("/",SUBSTITUTE(LEFT(TRIM(C53),FIND(" ",TRIM(C53)&amp;" ")-1),",","."))-1)/MID(SUBSTITUTE(LEFT(TRIM(C53),FIND(" ",TRIM(C53)&amp;" ")-1),",","."),FIND("/",SUBSTITUTE(LEFT(TRIM(C53),FIND(" ",TRIM(C53)&amp;" ")-1),",","."))+1,9))*12/52,IF(ISNUMBER(SEARCH("month",C53)),IFERROR(_xlfn.NUMBERVALUE(SUBSTITUTE(LEFT(TRIM(C53),FIND(" ",TRIM(C53)&amp;" ")-1),",","."),"."),LEFT(SUBSTITUTE(LEFT(TRIM(C53),FIND(" ",TRIM(C53)&amp;" ")-1),",","."),FIND("/",SUBSTITUTE(LEFT(TRIM(C53),FIND(" ",TRIM(C53)&amp;" ")-1),",","."))-1)/MID(SUBSTITUTE(LEFT(TRIM(C53),FIND(" ",TRIM(C53)&amp;" ")-1),",","."),FIND("/",SUBSTITUTE(LEFT(TRIM(C53),FIND(" ",TRIM(C53)&amp;" ")-1),",","."))+1,9)),IF(ISNUMBER(SEARCH("yea",C53)),IFERROR(_xlfn.NUMBERVALUE(SUBSTITUTE(LEFT(TRIM(C53),FIND(" ",TRIM(C53)&amp;" ")-1),",","."),"."),LEFT(SUBSTITUTE(LEFT(TRIM(C53),FIND(" ",TRIM(C53)&amp;" ")-1),",","."),FIND("/",SUBSTITUTE(LEFT(TRIM(C53),FIND(" ",TRIM(C53)&amp;" ")-1),",","."))-1)/MID(SUBSTITUTE(LEFT(TRIM(C53),FIND(" ",TRIM(C53)&amp;" ")-1),",","."),FIND("/",SUBSTITUTE(LEFT(TRIM(C53),FIND(" ",TRIM(C53)&amp;" ")-1),",","."))+1,9))*12,NA()))),0),12)*'Aturan &amp; Tarif'!$B$4,2)</f>
        <v>681.36</v>
      </c>
      <c r="K53" s="32" t="n">
        <f aca="false">'Aturan &amp; Tarif'!$B$5</f>
        <v>2050</v>
      </c>
      <c r="L53" s="35" t="n">
        <f aca="false">I53+J53+K53</f>
        <v>22856.36</v>
      </c>
      <c r="M53" s="36" t="s">
        <v>194</v>
      </c>
    </row>
    <row r="54" customFormat="false" ht="106.5" hidden="false" customHeight="true" outlineLevel="0" collapsed="false">
      <c r="A54" s="29"/>
      <c r="B54" s="30" t="s">
        <v>212</v>
      </c>
      <c r="C54" s="31" t="s">
        <v>130</v>
      </c>
      <c r="D54" s="31" t="s">
        <v>108</v>
      </c>
      <c r="E54" s="32" t="n">
        <v>9987.5</v>
      </c>
      <c r="F54" s="32"/>
      <c r="G54" s="32"/>
      <c r="H54" s="33" t="n">
        <v>2</v>
      </c>
      <c r="I54" s="34" t="n">
        <f aca="false">E54*H54+N(F54)+N(G54)</f>
        <v>19975</v>
      </c>
      <c r="J54" s="32" t="n">
        <f aca="false">ROUND(IFERROR(ROUND(IF(OR(ISNUMBER(SEARCH("week",C54)),ISNUMBER(SEARCH("minggu",C54))),IFERROR(_xlfn.NUMBERVALUE(SUBSTITUTE(LEFT(TRIM(C54),FIND(" ",TRIM(C54)&amp;" ")-1),",","."),"."),LEFT(SUBSTITUTE(LEFT(TRIM(C54),FIND(" ",TRIM(C54)&amp;" ")-1),",","."),FIND("/",SUBSTITUTE(LEFT(TRIM(C54),FIND(" ",TRIM(C54)&amp;" ")-1),",","."))-1)/MID(SUBSTITUTE(LEFT(TRIM(C54),FIND(" ",TRIM(C54)&amp;" ")-1),",","."),FIND("/",SUBSTITUTE(LEFT(TRIM(C54),FIND(" ",TRIM(C54)&amp;" ")-1),",","."))+1,9))*12/52,IF(ISNUMBER(SEARCH("month",C54)),IFERROR(_xlfn.NUMBERVALUE(SUBSTITUTE(LEFT(TRIM(C54),FIND(" ",TRIM(C54)&amp;" ")-1),",","."),"."),LEFT(SUBSTITUTE(LEFT(TRIM(C54),FIND(" ",TRIM(C54)&amp;" ")-1),",","."),FIND("/",SUBSTITUTE(LEFT(TRIM(C54),FIND(" ",TRIM(C54)&amp;" ")-1),",","."))-1)/MID(SUBSTITUTE(LEFT(TRIM(C54),FIND(" ",TRIM(C54)&amp;" ")-1),",","."),FIND("/",SUBSTITUTE(LEFT(TRIM(C54),FIND(" ",TRIM(C54)&amp;" ")-1),",","."))+1,9)),IF(ISNUMBER(SEARCH("yea",C54)),IFERROR(_xlfn.NUMBERVALUE(SUBSTITUTE(LEFT(TRIM(C54),FIND(" ",TRIM(C54)&amp;" ")-1),",","."),"."),LEFT(SUBSTITUTE(LEFT(TRIM(C54),FIND(" ",TRIM(C54)&amp;" ")-1),",","."),FIND("/",SUBSTITUTE(LEFT(TRIM(C54),FIND(" ",TRIM(C54)&amp;" ")-1),",","."))-1)/MID(SUBSTITUTE(LEFT(TRIM(C54),FIND(" ",TRIM(C54)&amp;" ")-1),",","."),FIND("/",SUBSTITUTE(LEFT(TRIM(C54),FIND(" ",TRIM(C54)&amp;" ")-1),",","."))+1,9))*12,NA()))),0),12)*'Aturan &amp; Tarif'!$B$4,2)</f>
        <v>681.36</v>
      </c>
      <c r="K54" s="32" t="n">
        <f aca="false">'Aturan &amp; Tarif'!$B$5</f>
        <v>2050</v>
      </c>
      <c r="L54" s="35" t="n">
        <f aca="false">I54+J54+K54</f>
        <v>22706.36</v>
      </c>
      <c r="M54" s="36" t="s">
        <v>213</v>
      </c>
    </row>
    <row r="55" customFormat="false" ht="106.5" hidden="false" customHeight="true" outlineLevel="0" collapsed="false">
      <c r="A55" s="29"/>
      <c r="B55" s="30" t="s">
        <v>214</v>
      </c>
      <c r="C55" s="31" t="s">
        <v>130</v>
      </c>
      <c r="D55" s="31" t="s">
        <v>108</v>
      </c>
      <c r="E55" s="32" t="n">
        <v>12737.5</v>
      </c>
      <c r="F55" s="32"/>
      <c r="G55" s="32"/>
      <c r="H55" s="33" t="n">
        <v>2</v>
      </c>
      <c r="I55" s="34" t="n">
        <f aca="false">E55*H55+N(F55)+N(G55)</f>
        <v>25475</v>
      </c>
      <c r="J55" s="32" t="n">
        <f aca="false">ROUND(IFERROR(ROUND(IF(OR(ISNUMBER(SEARCH("week",C55)),ISNUMBER(SEARCH("minggu",C55))),IFERROR(_xlfn.NUMBERVALUE(SUBSTITUTE(LEFT(TRIM(C55),FIND(" ",TRIM(C55)&amp;" ")-1),",","."),"."),LEFT(SUBSTITUTE(LEFT(TRIM(C55),FIND(" ",TRIM(C55)&amp;" ")-1),",","."),FIND("/",SUBSTITUTE(LEFT(TRIM(C55),FIND(" ",TRIM(C55)&amp;" ")-1),",","."))-1)/MID(SUBSTITUTE(LEFT(TRIM(C55),FIND(" ",TRIM(C55)&amp;" ")-1),",","."),FIND("/",SUBSTITUTE(LEFT(TRIM(C55),FIND(" ",TRIM(C55)&amp;" ")-1),",","."))+1,9))*12/52,IF(ISNUMBER(SEARCH("month",C55)),IFERROR(_xlfn.NUMBERVALUE(SUBSTITUTE(LEFT(TRIM(C55),FIND(" ",TRIM(C55)&amp;" ")-1),",","."),"."),LEFT(SUBSTITUTE(LEFT(TRIM(C55),FIND(" ",TRIM(C55)&amp;" ")-1),",","."),FIND("/",SUBSTITUTE(LEFT(TRIM(C55),FIND(" ",TRIM(C55)&amp;" ")-1),",","."))-1)/MID(SUBSTITUTE(LEFT(TRIM(C55),FIND(" ",TRIM(C55)&amp;" ")-1),",","."),FIND("/",SUBSTITUTE(LEFT(TRIM(C55),FIND(" ",TRIM(C55)&amp;" ")-1),",","."))+1,9)),IF(ISNUMBER(SEARCH("yea",C55)),IFERROR(_xlfn.NUMBERVALUE(SUBSTITUTE(LEFT(TRIM(C55),FIND(" ",TRIM(C55)&amp;" ")-1),",","."),"."),LEFT(SUBSTITUTE(LEFT(TRIM(C55),FIND(" ",TRIM(C55)&amp;" ")-1),",","."),FIND("/",SUBSTITUTE(LEFT(TRIM(C55),FIND(" ",TRIM(C55)&amp;" ")-1),",","."))-1)/MID(SUBSTITUTE(LEFT(TRIM(C55),FIND(" ",TRIM(C55)&amp;" ")-1),",","."),FIND("/",SUBSTITUTE(LEFT(TRIM(C55),FIND(" ",TRIM(C55)&amp;" ")-1),",","."))+1,9))*12,NA()))),0),12)*'Aturan &amp; Tarif'!$B$4,2)</f>
        <v>681.36</v>
      </c>
      <c r="K55" s="32" t="n">
        <f aca="false">'Aturan &amp; Tarif'!$B$5</f>
        <v>2050</v>
      </c>
      <c r="L55" s="35" t="n">
        <f aca="false">I55+J55+K55</f>
        <v>28206.36</v>
      </c>
      <c r="M55" s="36" t="s">
        <v>215</v>
      </c>
    </row>
    <row r="56" customFormat="false" ht="106.5" hidden="false" customHeight="true" outlineLevel="0" collapsed="false">
      <c r="A56" s="29"/>
      <c r="B56" s="30" t="s">
        <v>216</v>
      </c>
      <c r="C56" s="31" t="s">
        <v>130</v>
      </c>
      <c r="D56" s="31" t="s">
        <v>108</v>
      </c>
      <c r="E56" s="32" t="n">
        <v>10062.5</v>
      </c>
      <c r="F56" s="32"/>
      <c r="G56" s="32"/>
      <c r="H56" s="33" t="n">
        <v>2</v>
      </c>
      <c r="I56" s="34" t="n">
        <f aca="false">E56*H56+N(F56)+N(G56)</f>
        <v>20125</v>
      </c>
      <c r="J56" s="32" t="n">
        <f aca="false">ROUND(IFERROR(ROUND(IF(OR(ISNUMBER(SEARCH("week",C56)),ISNUMBER(SEARCH("minggu",C56))),IFERROR(_xlfn.NUMBERVALUE(SUBSTITUTE(LEFT(TRIM(C56),FIND(" ",TRIM(C56)&amp;" ")-1),",","."),"."),LEFT(SUBSTITUTE(LEFT(TRIM(C56),FIND(" ",TRIM(C56)&amp;" ")-1),",","."),FIND("/",SUBSTITUTE(LEFT(TRIM(C56),FIND(" ",TRIM(C56)&amp;" ")-1),",","."))-1)/MID(SUBSTITUTE(LEFT(TRIM(C56),FIND(" ",TRIM(C56)&amp;" ")-1),",","."),FIND("/",SUBSTITUTE(LEFT(TRIM(C56),FIND(" ",TRIM(C56)&amp;" ")-1),",","."))+1,9))*12/52,IF(ISNUMBER(SEARCH("month",C56)),IFERROR(_xlfn.NUMBERVALUE(SUBSTITUTE(LEFT(TRIM(C56),FIND(" ",TRIM(C56)&amp;" ")-1),",","."),"."),LEFT(SUBSTITUTE(LEFT(TRIM(C56),FIND(" ",TRIM(C56)&amp;" ")-1),",","."),FIND("/",SUBSTITUTE(LEFT(TRIM(C56),FIND(" ",TRIM(C56)&amp;" ")-1),",","."))-1)/MID(SUBSTITUTE(LEFT(TRIM(C56),FIND(" ",TRIM(C56)&amp;" ")-1),",","."),FIND("/",SUBSTITUTE(LEFT(TRIM(C56),FIND(" ",TRIM(C56)&amp;" ")-1),",","."))+1,9)),IF(ISNUMBER(SEARCH("yea",C56)),IFERROR(_xlfn.NUMBERVALUE(SUBSTITUTE(LEFT(TRIM(C56),FIND(" ",TRIM(C56)&amp;" ")-1),",","."),"."),LEFT(SUBSTITUTE(LEFT(TRIM(C56),FIND(" ",TRIM(C56)&amp;" ")-1),",","."),FIND("/",SUBSTITUTE(LEFT(TRIM(C56),FIND(" ",TRIM(C56)&amp;" ")-1),",","."))-1)/MID(SUBSTITUTE(LEFT(TRIM(C56),FIND(" ",TRIM(C56)&amp;" ")-1),",","."),FIND("/",SUBSTITUTE(LEFT(TRIM(C56),FIND(" ",TRIM(C56)&amp;" ")-1),",","."))+1,9))*12,NA()))),0),12)*'Aturan &amp; Tarif'!$B$4,2)</f>
        <v>681.36</v>
      </c>
      <c r="K56" s="32" t="n">
        <f aca="false">'Aturan &amp; Tarif'!$B$5</f>
        <v>2050</v>
      </c>
      <c r="L56" s="35" t="n">
        <f aca="false">I56+J56+K56</f>
        <v>22856.36</v>
      </c>
      <c r="M56" s="36" t="s">
        <v>217</v>
      </c>
    </row>
    <row r="57" customFormat="false" ht="106.5" hidden="false" customHeight="true" outlineLevel="0" collapsed="false">
      <c r="A57" s="29"/>
      <c r="B57" s="30" t="s">
        <v>218</v>
      </c>
      <c r="C57" s="31" t="s">
        <v>130</v>
      </c>
      <c r="D57" s="31" t="s">
        <v>108</v>
      </c>
      <c r="E57" s="32" t="n">
        <v>10362.5</v>
      </c>
      <c r="F57" s="32"/>
      <c r="G57" s="32"/>
      <c r="H57" s="33" t="n">
        <v>2</v>
      </c>
      <c r="I57" s="34" t="n">
        <f aca="false">E57*H57+N(F57)+N(G57)</f>
        <v>20725</v>
      </c>
      <c r="J57" s="32" t="n">
        <f aca="false">ROUND(IFERROR(ROUND(IF(OR(ISNUMBER(SEARCH("week",C57)),ISNUMBER(SEARCH("minggu",C57))),IFERROR(_xlfn.NUMBERVALUE(SUBSTITUTE(LEFT(TRIM(C57),FIND(" ",TRIM(C57)&amp;" ")-1),",","."),"."),LEFT(SUBSTITUTE(LEFT(TRIM(C57),FIND(" ",TRIM(C57)&amp;" ")-1),",","."),FIND("/",SUBSTITUTE(LEFT(TRIM(C57),FIND(" ",TRIM(C57)&amp;" ")-1),",","."))-1)/MID(SUBSTITUTE(LEFT(TRIM(C57),FIND(" ",TRIM(C57)&amp;" ")-1),",","."),FIND("/",SUBSTITUTE(LEFT(TRIM(C57),FIND(" ",TRIM(C57)&amp;" ")-1),",","."))+1,9))*12/52,IF(ISNUMBER(SEARCH("month",C57)),IFERROR(_xlfn.NUMBERVALUE(SUBSTITUTE(LEFT(TRIM(C57),FIND(" ",TRIM(C57)&amp;" ")-1),",","."),"."),LEFT(SUBSTITUTE(LEFT(TRIM(C57),FIND(" ",TRIM(C57)&amp;" ")-1),",","."),FIND("/",SUBSTITUTE(LEFT(TRIM(C57),FIND(" ",TRIM(C57)&amp;" ")-1),",","."))-1)/MID(SUBSTITUTE(LEFT(TRIM(C57),FIND(" ",TRIM(C57)&amp;" ")-1),",","."),FIND("/",SUBSTITUTE(LEFT(TRIM(C57),FIND(" ",TRIM(C57)&amp;" ")-1),",","."))+1,9)),IF(ISNUMBER(SEARCH("yea",C57)),IFERROR(_xlfn.NUMBERVALUE(SUBSTITUTE(LEFT(TRIM(C57),FIND(" ",TRIM(C57)&amp;" ")-1),",","."),"."),LEFT(SUBSTITUTE(LEFT(TRIM(C57),FIND(" ",TRIM(C57)&amp;" ")-1),",","."),FIND("/",SUBSTITUTE(LEFT(TRIM(C57),FIND(" ",TRIM(C57)&amp;" ")-1),",","."))-1)/MID(SUBSTITUTE(LEFT(TRIM(C57),FIND(" ",TRIM(C57)&amp;" ")-1),",","."),FIND("/",SUBSTITUTE(LEFT(TRIM(C57),FIND(" ",TRIM(C57)&amp;" ")-1),",","."))+1,9))*12,NA()))),0),12)*'Aturan &amp; Tarif'!$B$4,2)</f>
        <v>681.36</v>
      </c>
      <c r="K57" s="32" t="n">
        <f aca="false">'Aturan &amp; Tarif'!$B$5</f>
        <v>2050</v>
      </c>
      <c r="L57" s="35" t="n">
        <f aca="false">I57+J57+K57</f>
        <v>23456.36</v>
      </c>
      <c r="M57" s="36" t="s">
        <v>219</v>
      </c>
    </row>
    <row r="58" customFormat="false" ht="106.5" hidden="false" customHeight="true" outlineLevel="0" collapsed="false">
      <c r="A58" s="29"/>
      <c r="B58" s="30" t="s">
        <v>220</v>
      </c>
      <c r="C58" s="31" t="s">
        <v>107</v>
      </c>
      <c r="D58" s="31" t="s">
        <v>108</v>
      </c>
      <c r="E58" s="32" t="n">
        <v>9562.5</v>
      </c>
      <c r="F58" s="32"/>
      <c r="G58" s="32"/>
      <c r="H58" s="33" t="n">
        <v>2</v>
      </c>
      <c r="I58" s="34" t="n">
        <f aca="false">E58*H58+N(F58)+N(G58)</f>
        <v>19125</v>
      </c>
      <c r="J58" s="32" t="n">
        <f aca="false">ROUND(IFERROR(ROUND(IF(OR(ISNUMBER(SEARCH("week",C58)),ISNUMBER(SEARCH("minggu",C58))),IFERROR(_xlfn.NUMBERVALUE(SUBSTITUTE(LEFT(TRIM(C58),FIND(" ",TRIM(C58)&amp;" ")-1),",","."),"."),LEFT(SUBSTITUTE(LEFT(TRIM(C58),FIND(" ",TRIM(C58)&amp;" ")-1),",","."),FIND("/",SUBSTITUTE(LEFT(TRIM(C58),FIND(" ",TRIM(C58)&amp;" ")-1),",","."))-1)/MID(SUBSTITUTE(LEFT(TRIM(C58),FIND(" ",TRIM(C58)&amp;" ")-1),",","."),FIND("/",SUBSTITUTE(LEFT(TRIM(C58),FIND(" ",TRIM(C58)&amp;" ")-1),",","."))+1,9))*12/52,IF(ISNUMBER(SEARCH("month",C58)),IFERROR(_xlfn.NUMBERVALUE(SUBSTITUTE(LEFT(TRIM(C58),FIND(" ",TRIM(C58)&amp;" ")-1),",","."),"."),LEFT(SUBSTITUTE(LEFT(TRIM(C58),FIND(" ",TRIM(C58)&amp;" ")-1),",","."),FIND("/",SUBSTITUTE(LEFT(TRIM(C58),FIND(" ",TRIM(C58)&amp;" ")-1),",","."))-1)/MID(SUBSTITUTE(LEFT(TRIM(C58),FIND(" ",TRIM(C58)&amp;" ")-1),",","."),FIND("/",SUBSTITUTE(LEFT(TRIM(C58),FIND(" ",TRIM(C58)&amp;" ")-1),",","."))+1,9)),IF(ISNUMBER(SEARCH("yea",C58)),IFERROR(_xlfn.NUMBERVALUE(SUBSTITUTE(LEFT(TRIM(C58),FIND(" ",TRIM(C58)&amp;" ")-1),",","."),"."),LEFT(SUBSTITUTE(LEFT(TRIM(C58),FIND(" ",TRIM(C58)&amp;" ")-1),",","."),FIND("/",SUBSTITUTE(LEFT(TRIM(C58),FIND(" ",TRIM(C58)&amp;" ")-1),",","."))-1)/MID(SUBSTITUTE(LEFT(TRIM(C58),FIND(" ",TRIM(C58)&amp;" ")-1),",","."),FIND("/",SUBSTITUTE(LEFT(TRIM(C58),FIND(" ",TRIM(C58)&amp;" ")-1),",","."))+1,9))*12,NA()))),0),24)*'Aturan &amp; Tarif'!$B$4,2)</f>
        <v>1362.72</v>
      </c>
      <c r="K58" s="32" t="n">
        <f aca="false">'Aturan &amp; Tarif'!$B$5</f>
        <v>2050</v>
      </c>
      <c r="L58" s="35" t="n">
        <f aca="false">I58+J58+K58</f>
        <v>22537.72</v>
      </c>
      <c r="M58" s="36" t="s">
        <v>221</v>
      </c>
    </row>
    <row r="59" customFormat="false" ht="106.5" hidden="false" customHeight="true" outlineLevel="0" collapsed="false">
      <c r="A59" s="29"/>
      <c r="B59" s="30" t="s">
        <v>222</v>
      </c>
      <c r="C59" s="31" t="s">
        <v>107</v>
      </c>
      <c r="D59" s="31" t="s">
        <v>108</v>
      </c>
      <c r="E59" s="32" t="n">
        <v>10237.5</v>
      </c>
      <c r="F59" s="32"/>
      <c r="G59" s="32"/>
      <c r="H59" s="33" t="n">
        <v>2</v>
      </c>
      <c r="I59" s="34" t="n">
        <f aca="false">E59*H59+N(F59)+N(G59)</f>
        <v>20475</v>
      </c>
      <c r="J59" s="32" t="n">
        <f aca="false">ROUND(IFERROR(ROUND(IF(OR(ISNUMBER(SEARCH("week",C59)),ISNUMBER(SEARCH("minggu",C59))),IFERROR(_xlfn.NUMBERVALUE(SUBSTITUTE(LEFT(TRIM(C59),FIND(" ",TRIM(C59)&amp;" ")-1),",","."),"."),LEFT(SUBSTITUTE(LEFT(TRIM(C59),FIND(" ",TRIM(C59)&amp;" ")-1),",","."),FIND("/",SUBSTITUTE(LEFT(TRIM(C59),FIND(" ",TRIM(C59)&amp;" ")-1),",","."))-1)/MID(SUBSTITUTE(LEFT(TRIM(C59),FIND(" ",TRIM(C59)&amp;" ")-1),",","."),FIND("/",SUBSTITUTE(LEFT(TRIM(C59),FIND(" ",TRIM(C59)&amp;" ")-1),",","."))+1,9))*12/52,IF(ISNUMBER(SEARCH("month",C59)),IFERROR(_xlfn.NUMBERVALUE(SUBSTITUTE(LEFT(TRIM(C59),FIND(" ",TRIM(C59)&amp;" ")-1),",","."),"."),LEFT(SUBSTITUTE(LEFT(TRIM(C59),FIND(" ",TRIM(C59)&amp;" ")-1),",","."),FIND("/",SUBSTITUTE(LEFT(TRIM(C59),FIND(" ",TRIM(C59)&amp;" ")-1),",","."))-1)/MID(SUBSTITUTE(LEFT(TRIM(C59),FIND(" ",TRIM(C59)&amp;" ")-1),",","."),FIND("/",SUBSTITUTE(LEFT(TRIM(C59),FIND(" ",TRIM(C59)&amp;" ")-1),",","."))+1,9)),IF(ISNUMBER(SEARCH("yea",C59)),IFERROR(_xlfn.NUMBERVALUE(SUBSTITUTE(LEFT(TRIM(C59),FIND(" ",TRIM(C59)&amp;" ")-1),",","."),"."),LEFT(SUBSTITUTE(LEFT(TRIM(C59),FIND(" ",TRIM(C59)&amp;" ")-1),",","."),FIND("/",SUBSTITUTE(LEFT(TRIM(C59),FIND(" ",TRIM(C59)&amp;" ")-1),",","."))-1)/MID(SUBSTITUTE(LEFT(TRIM(C59),FIND(" ",TRIM(C59)&amp;" ")-1),",","."),FIND("/",SUBSTITUTE(LEFT(TRIM(C59),FIND(" ",TRIM(C59)&amp;" ")-1),",","."))+1,9))*12,NA()))),0),24)*'Aturan &amp; Tarif'!$B$4,2)</f>
        <v>1362.72</v>
      </c>
      <c r="K59" s="32" t="n">
        <f aca="false">'Aturan &amp; Tarif'!$B$5</f>
        <v>2050</v>
      </c>
      <c r="L59" s="35" t="n">
        <f aca="false">I59+J59+K59</f>
        <v>23887.72</v>
      </c>
      <c r="M59" s="36" t="s">
        <v>223</v>
      </c>
    </row>
    <row r="60" customFormat="false" ht="106.5" hidden="false" customHeight="true" outlineLevel="0" collapsed="false">
      <c r="A60" s="29"/>
      <c r="B60" s="30" t="s">
        <v>224</v>
      </c>
      <c r="C60" s="31" t="s">
        <v>107</v>
      </c>
      <c r="D60" s="31" t="s">
        <v>108</v>
      </c>
      <c r="E60" s="32" t="n">
        <v>11237.5</v>
      </c>
      <c r="F60" s="32"/>
      <c r="G60" s="32"/>
      <c r="H60" s="33" t="n">
        <v>2</v>
      </c>
      <c r="I60" s="34" t="n">
        <f aca="false">E60*H60+N(F60)+N(G60)</f>
        <v>22475</v>
      </c>
      <c r="J60" s="32" t="n">
        <f aca="false">ROUND(IFERROR(ROUND(IF(OR(ISNUMBER(SEARCH("week",C60)),ISNUMBER(SEARCH("minggu",C60))),IFERROR(_xlfn.NUMBERVALUE(SUBSTITUTE(LEFT(TRIM(C60),FIND(" ",TRIM(C60)&amp;" ")-1),",","."),"."),LEFT(SUBSTITUTE(LEFT(TRIM(C60),FIND(" ",TRIM(C60)&amp;" ")-1),",","."),FIND("/",SUBSTITUTE(LEFT(TRIM(C60),FIND(" ",TRIM(C60)&amp;" ")-1),",","."))-1)/MID(SUBSTITUTE(LEFT(TRIM(C60),FIND(" ",TRIM(C60)&amp;" ")-1),",","."),FIND("/",SUBSTITUTE(LEFT(TRIM(C60),FIND(" ",TRIM(C60)&amp;" ")-1),",","."))+1,9))*12/52,IF(ISNUMBER(SEARCH("month",C60)),IFERROR(_xlfn.NUMBERVALUE(SUBSTITUTE(LEFT(TRIM(C60),FIND(" ",TRIM(C60)&amp;" ")-1),",","."),"."),LEFT(SUBSTITUTE(LEFT(TRIM(C60),FIND(" ",TRIM(C60)&amp;" ")-1),",","."),FIND("/",SUBSTITUTE(LEFT(TRIM(C60),FIND(" ",TRIM(C60)&amp;" ")-1),",","."))-1)/MID(SUBSTITUTE(LEFT(TRIM(C60),FIND(" ",TRIM(C60)&amp;" ")-1),",","."),FIND("/",SUBSTITUTE(LEFT(TRIM(C60),FIND(" ",TRIM(C60)&amp;" ")-1),",","."))+1,9)),IF(ISNUMBER(SEARCH("yea",C60)),IFERROR(_xlfn.NUMBERVALUE(SUBSTITUTE(LEFT(TRIM(C60),FIND(" ",TRIM(C60)&amp;" ")-1),",","."),"."),LEFT(SUBSTITUTE(LEFT(TRIM(C60),FIND(" ",TRIM(C60)&amp;" ")-1),",","."),FIND("/",SUBSTITUTE(LEFT(TRIM(C60),FIND(" ",TRIM(C60)&amp;" ")-1),",","."))-1)/MID(SUBSTITUTE(LEFT(TRIM(C60),FIND(" ",TRIM(C60)&amp;" ")-1),",","."),FIND("/",SUBSTITUTE(LEFT(TRIM(C60),FIND(" ",TRIM(C60)&amp;" ")-1),",","."))+1,9))*12,NA()))),0),24)*'Aturan &amp; Tarif'!$B$4,2)</f>
        <v>1362.72</v>
      </c>
      <c r="K60" s="32" t="n">
        <f aca="false">'Aturan &amp; Tarif'!$B$5</f>
        <v>2050</v>
      </c>
      <c r="L60" s="35" t="n">
        <f aca="false">I60+J60+K60</f>
        <v>25887.72</v>
      </c>
      <c r="M60" s="36" t="s">
        <v>225</v>
      </c>
    </row>
    <row r="61" customFormat="false" ht="106.5" hidden="false" customHeight="true" outlineLevel="0" collapsed="false">
      <c r="A61" s="29"/>
      <c r="B61" s="30" t="s">
        <v>226</v>
      </c>
      <c r="C61" s="31" t="s">
        <v>107</v>
      </c>
      <c r="D61" s="31" t="s">
        <v>108</v>
      </c>
      <c r="E61" s="32" t="n">
        <v>9987.5</v>
      </c>
      <c r="F61" s="32"/>
      <c r="G61" s="32"/>
      <c r="H61" s="33" t="n">
        <v>2</v>
      </c>
      <c r="I61" s="34" t="n">
        <f aca="false">E61*H61+N(F61)+N(G61)</f>
        <v>19975</v>
      </c>
      <c r="J61" s="32" t="n">
        <f aca="false">ROUND(IFERROR(ROUND(IF(OR(ISNUMBER(SEARCH("week",C61)),ISNUMBER(SEARCH("minggu",C61))),IFERROR(_xlfn.NUMBERVALUE(SUBSTITUTE(LEFT(TRIM(C61),FIND(" ",TRIM(C61)&amp;" ")-1),",","."),"."),LEFT(SUBSTITUTE(LEFT(TRIM(C61),FIND(" ",TRIM(C61)&amp;" ")-1),",","."),FIND("/",SUBSTITUTE(LEFT(TRIM(C61),FIND(" ",TRIM(C61)&amp;" ")-1),",","."))-1)/MID(SUBSTITUTE(LEFT(TRIM(C61),FIND(" ",TRIM(C61)&amp;" ")-1),",","."),FIND("/",SUBSTITUTE(LEFT(TRIM(C61),FIND(" ",TRIM(C61)&amp;" ")-1),",","."))+1,9))*12/52,IF(ISNUMBER(SEARCH("month",C61)),IFERROR(_xlfn.NUMBERVALUE(SUBSTITUTE(LEFT(TRIM(C61),FIND(" ",TRIM(C61)&amp;" ")-1),",","."),"."),LEFT(SUBSTITUTE(LEFT(TRIM(C61),FIND(" ",TRIM(C61)&amp;" ")-1),",","."),FIND("/",SUBSTITUTE(LEFT(TRIM(C61),FIND(" ",TRIM(C61)&amp;" ")-1),",","."))-1)/MID(SUBSTITUTE(LEFT(TRIM(C61),FIND(" ",TRIM(C61)&amp;" ")-1),",","."),FIND("/",SUBSTITUTE(LEFT(TRIM(C61),FIND(" ",TRIM(C61)&amp;" ")-1),",","."))+1,9)),IF(ISNUMBER(SEARCH("yea",C61)),IFERROR(_xlfn.NUMBERVALUE(SUBSTITUTE(LEFT(TRIM(C61),FIND(" ",TRIM(C61)&amp;" ")-1),",","."),"."),LEFT(SUBSTITUTE(LEFT(TRIM(C61),FIND(" ",TRIM(C61)&amp;" ")-1),",","."),FIND("/",SUBSTITUTE(LEFT(TRIM(C61),FIND(" ",TRIM(C61)&amp;" ")-1),",","."))-1)/MID(SUBSTITUTE(LEFT(TRIM(C61),FIND(" ",TRIM(C61)&amp;" ")-1),",","."),FIND("/",SUBSTITUTE(LEFT(TRIM(C61),FIND(" ",TRIM(C61)&amp;" ")-1),",","."))+1,9))*12,NA()))),0),24)*'Aturan &amp; Tarif'!$B$4,2)</f>
        <v>1362.72</v>
      </c>
      <c r="K61" s="32" t="n">
        <f aca="false">'Aturan &amp; Tarif'!$B$5</f>
        <v>2050</v>
      </c>
      <c r="L61" s="35" t="n">
        <f aca="false">I61+J61+K61</f>
        <v>23387.72</v>
      </c>
      <c r="M61" s="36" t="s">
        <v>213</v>
      </c>
    </row>
    <row r="62" customFormat="false" ht="106.5" hidden="false" customHeight="true" outlineLevel="0" collapsed="false">
      <c r="A62" s="29"/>
      <c r="B62" s="30" t="s">
        <v>227</v>
      </c>
      <c r="C62" s="31" t="s">
        <v>107</v>
      </c>
      <c r="D62" s="31" t="s">
        <v>108</v>
      </c>
      <c r="E62" s="32" t="n">
        <v>12737.5</v>
      </c>
      <c r="F62" s="32"/>
      <c r="G62" s="32"/>
      <c r="H62" s="33" t="n">
        <v>2</v>
      </c>
      <c r="I62" s="34" t="n">
        <f aca="false">E62*H62+N(F62)+N(G62)</f>
        <v>25475</v>
      </c>
      <c r="J62" s="32" t="n">
        <f aca="false">ROUND(IFERROR(ROUND(IF(OR(ISNUMBER(SEARCH("week",C62)),ISNUMBER(SEARCH("minggu",C62))),IFERROR(_xlfn.NUMBERVALUE(SUBSTITUTE(LEFT(TRIM(C62),FIND(" ",TRIM(C62)&amp;" ")-1),",","."),"."),LEFT(SUBSTITUTE(LEFT(TRIM(C62),FIND(" ",TRIM(C62)&amp;" ")-1),",","."),FIND("/",SUBSTITUTE(LEFT(TRIM(C62),FIND(" ",TRIM(C62)&amp;" ")-1),",","."))-1)/MID(SUBSTITUTE(LEFT(TRIM(C62),FIND(" ",TRIM(C62)&amp;" ")-1),",","."),FIND("/",SUBSTITUTE(LEFT(TRIM(C62),FIND(" ",TRIM(C62)&amp;" ")-1),",","."))+1,9))*12/52,IF(ISNUMBER(SEARCH("month",C62)),IFERROR(_xlfn.NUMBERVALUE(SUBSTITUTE(LEFT(TRIM(C62),FIND(" ",TRIM(C62)&amp;" ")-1),",","."),"."),LEFT(SUBSTITUTE(LEFT(TRIM(C62),FIND(" ",TRIM(C62)&amp;" ")-1),",","."),FIND("/",SUBSTITUTE(LEFT(TRIM(C62),FIND(" ",TRIM(C62)&amp;" ")-1),",","."))-1)/MID(SUBSTITUTE(LEFT(TRIM(C62),FIND(" ",TRIM(C62)&amp;" ")-1),",","."),FIND("/",SUBSTITUTE(LEFT(TRIM(C62),FIND(" ",TRIM(C62)&amp;" ")-1),",","."))+1,9)),IF(ISNUMBER(SEARCH("yea",C62)),IFERROR(_xlfn.NUMBERVALUE(SUBSTITUTE(LEFT(TRIM(C62),FIND(" ",TRIM(C62)&amp;" ")-1),",","."),"."),LEFT(SUBSTITUTE(LEFT(TRIM(C62),FIND(" ",TRIM(C62)&amp;" ")-1),",","."),FIND("/",SUBSTITUTE(LEFT(TRIM(C62),FIND(" ",TRIM(C62)&amp;" ")-1),",","."))-1)/MID(SUBSTITUTE(LEFT(TRIM(C62),FIND(" ",TRIM(C62)&amp;" ")-1),",","."),FIND("/",SUBSTITUTE(LEFT(TRIM(C62),FIND(" ",TRIM(C62)&amp;" ")-1),",","."))+1,9))*12,NA()))),0),24)*'Aturan &amp; Tarif'!$B$4,2)</f>
        <v>1362.72</v>
      </c>
      <c r="K62" s="32" t="n">
        <f aca="false">'Aturan &amp; Tarif'!$B$5</f>
        <v>2050</v>
      </c>
      <c r="L62" s="35" t="n">
        <f aca="false">I62+J62+K62</f>
        <v>28887.72</v>
      </c>
      <c r="M62" s="36" t="s">
        <v>215</v>
      </c>
    </row>
    <row r="63" customFormat="false" ht="106.5" hidden="false" customHeight="true" outlineLevel="0" collapsed="false">
      <c r="A63" s="29"/>
      <c r="B63" s="30" t="s">
        <v>228</v>
      </c>
      <c r="C63" s="31" t="s">
        <v>107</v>
      </c>
      <c r="D63" s="31" t="s">
        <v>108</v>
      </c>
      <c r="E63" s="32" t="n">
        <v>10362.5</v>
      </c>
      <c r="F63" s="32"/>
      <c r="G63" s="32"/>
      <c r="H63" s="33" t="n">
        <v>2</v>
      </c>
      <c r="I63" s="34" t="n">
        <f aca="false">E63*H63+N(F63)+N(G63)</f>
        <v>20725</v>
      </c>
      <c r="J63" s="32" t="n">
        <f aca="false">ROUND(IFERROR(ROUND(IF(OR(ISNUMBER(SEARCH("week",C63)),ISNUMBER(SEARCH("minggu",C63))),IFERROR(_xlfn.NUMBERVALUE(SUBSTITUTE(LEFT(TRIM(C63),FIND(" ",TRIM(C63)&amp;" ")-1),",","."),"."),LEFT(SUBSTITUTE(LEFT(TRIM(C63),FIND(" ",TRIM(C63)&amp;" ")-1),",","."),FIND("/",SUBSTITUTE(LEFT(TRIM(C63),FIND(" ",TRIM(C63)&amp;" ")-1),",","."))-1)/MID(SUBSTITUTE(LEFT(TRIM(C63),FIND(" ",TRIM(C63)&amp;" ")-1),",","."),FIND("/",SUBSTITUTE(LEFT(TRIM(C63),FIND(" ",TRIM(C63)&amp;" ")-1),",","."))+1,9))*12/52,IF(ISNUMBER(SEARCH("month",C63)),IFERROR(_xlfn.NUMBERVALUE(SUBSTITUTE(LEFT(TRIM(C63),FIND(" ",TRIM(C63)&amp;" ")-1),",","."),"."),LEFT(SUBSTITUTE(LEFT(TRIM(C63),FIND(" ",TRIM(C63)&amp;" ")-1),",","."),FIND("/",SUBSTITUTE(LEFT(TRIM(C63),FIND(" ",TRIM(C63)&amp;" ")-1),",","."))-1)/MID(SUBSTITUTE(LEFT(TRIM(C63),FIND(" ",TRIM(C63)&amp;" ")-1),",","."),FIND("/",SUBSTITUTE(LEFT(TRIM(C63),FIND(" ",TRIM(C63)&amp;" ")-1),",","."))+1,9)),IF(ISNUMBER(SEARCH("yea",C63)),IFERROR(_xlfn.NUMBERVALUE(SUBSTITUTE(LEFT(TRIM(C63),FIND(" ",TRIM(C63)&amp;" ")-1),",","."),"."),LEFT(SUBSTITUTE(LEFT(TRIM(C63),FIND(" ",TRIM(C63)&amp;" ")-1),",","."),FIND("/",SUBSTITUTE(LEFT(TRIM(C63),FIND(" ",TRIM(C63)&amp;" ")-1),",","."))-1)/MID(SUBSTITUTE(LEFT(TRIM(C63),FIND(" ",TRIM(C63)&amp;" ")-1),",","."),FIND("/",SUBSTITUTE(LEFT(TRIM(C63),FIND(" ",TRIM(C63)&amp;" ")-1),",","."))+1,9))*12,NA()))),0),24)*'Aturan &amp; Tarif'!$B$4,2)</f>
        <v>1362.72</v>
      </c>
      <c r="K63" s="32" t="n">
        <f aca="false">'Aturan &amp; Tarif'!$B$5</f>
        <v>2050</v>
      </c>
      <c r="L63" s="35" t="n">
        <f aca="false">I63+J63+K63</f>
        <v>24137.72</v>
      </c>
      <c r="M63" s="36" t="s">
        <v>229</v>
      </c>
    </row>
    <row r="64" customFormat="false" ht="106.5" hidden="false" customHeight="true" outlineLevel="0" collapsed="false">
      <c r="A64" s="29"/>
      <c r="B64" s="30" t="s">
        <v>230</v>
      </c>
      <c r="C64" s="31" t="s">
        <v>107</v>
      </c>
      <c r="D64" s="31" t="s">
        <v>108</v>
      </c>
      <c r="E64" s="32" t="n">
        <v>10362.5</v>
      </c>
      <c r="F64" s="32"/>
      <c r="G64" s="32"/>
      <c r="H64" s="33" t="n">
        <v>2</v>
      </c>
      <c r="I64" s="34" t="n">
        <f aca="false">E64*H64+N(F64)+N(G64)</f>
        <v>20725</v>
      </c>
      <c r="J64" s="32" t="n">
        <f aca="false">ROUND(IFERROR(ROUND(IF(OR(ISNUMBER(SEARCH("week",C64)),ISNUMBER(SEARCH("minggu",C64))),IFERROR(_xlfn.NUMBERVALUE(SUBSTITUTE(LEFT(TRIM(C64),FIND(" ",TRIM(C64)&amp;" ")-1),",","."),"."),LEFT(SUBSTITUTE(LEFT(TRIM(C64),FIND(" ",TRIM(C64)&amp;" ")-1),",","."),FIND("/",SUBSTITUTE(LEFT(TRIM(C64),FIND(" ",TRIM(C64)&amp;" ")-1),",","."))-1)/MID(SUBSTITUTE(LEFT(TRIM(C64),FIND(" ",TRIM(C64)&amp;" ")-1),",","."),FIND("/",SUBSTITUTE(LEFT(TRIM(C64),FIND(" ",TRIM(C64)&amp;" ")-1),",","."))+1,9))*12/52,IF(ISNUMBER(SEARCH("month",C64)),IFERROR(_xlfn.NUMBERVALUE(SUBSTITUTE(LEFT(TRIM(C64),FIND(" ",TRIM(C64)&amp;" ")-1),",","."),"."),LEFT(SUBSTITUTE(LEFT(TRIM(C64),FIND(" ",TRIM(C64)&amp;" ")-1),",","."),FIND("/",SUBSTITUTE(LEFT(TRIM(C64),FIND(" ",TRIM(C64)&amp;" ")-1),",","."))-1)/MID(SUBSTITUTE(LEFT(TRIM(C64),FIND(" ",TRIM(C64)&amp;" ")-1),",","."),FIND("/",SUBSTITUTE(LEFT(TRIM(C64),FIND(" ",TRIM(C64)&amp;" ")-1),",","."))+1,9)),IF(ISNUMBER(SEARCH("yea",C64)),IFERROR(_xlfn.NUMBERVALUE(SUBSTITUTE(LEFT(TRIM(C64),FIND(" ",TRIM(C64)&amp;" ")-1),",","."),"."),LEFT(SUBSTITUTE(LEFT(TRIM(C64),FIND(" ",TRIM(C64)&amp;" ")-1),",","."),FIND("/",SUBSTITUTE(LEFT(TRIM(C64),FIND(" ",TRIM(C64)&amp;" ")-1),",","."))-1)/MID(SUBSTITUTE(LEFT(TRIM(C64),FIND(" ",TRIM(C64)&amp;" ")-1),",","."),FIND("/",SUBSTITUTE(LEFT(TRIM(C64),FIND(" ",TRIM(C64)&amp;" ")-1),",","."))+1,9))*12,NA()))),0),24)*'Aturan &amp; Tarif'!$B$4,2)</f>
        <v>1362.72</v>
      </c>
      <c r="K64" s="32" t="n">
        <f aca="false">'Aturan &amp; Tarif'!$B$5</f>
        <v>2050</v>
      </c>
      <c r="L64" s="35" t="n">
        <f aca="false">I64+J64+K64</f>
        <v>24137.72</v>
      </c>
      <c r="M64" s="36" t="s">
        <v>231</v>
      </c>
    </row>
    <row r="65" customFormat="false" ht="106.5" hidden="false" customHeight="true" outlineLevel="0" collapsed="false">
      <c r="A65" s="29"/>
      <c r="B65" s="30" t="s">
        <v>232</v>
      </c>
      <c r="C65" s="31" t="s">
        <v>130</v>
      </c>
      <c r="D65" s="31" t="s">
        <v>108</v>
      </c>
      <c r="E65" s="32" t="n">
        <v>10062.5</v>
      </c>
      <c r="F65" s="32"/>
      <c r="G65" s="32"/>
      <c r="H65" s="33" t="n">
        <v>2</v>
      </c>
      <c r="I65" s="34" t="n">
        <f aca="false">E65*H65+N(F65)+N(G65)</f>
        <v>20125</v>
      </c>
      <c r="J65" s="32" t="n">
        <f aca="false">ROUND(IFERROR(ROUND(IF(OR(ISNUMBER(SEARCH("week",C65)),ISNUMBER(SEARCH("minggu",C65))),IFERROR(_xlfn.NUMBERVALUE(SUBSTITUTE(LEFT(TRIM(C65),FIND(" ",TRIM(C65)&amp;" ")-1),",","."),"."),LEFT(SUBSTITUTE(LEFT(TRIM(C65),FIND(" ",TRIM(C65)&amp;" ")-1),",","."),FIND("/",SUBSTITUTE(LEFT(TRIM(C65),FIND(" ",TRIM(C65)&amp;" ")-1),",","."))-1)/MID(SUBSTITUTE(LEFT(TRIM(C65),FIND(" ",TRIM(C65)&amp;" ")-1),",","."),FIND("/",SUBSTITUTE(LEFT(TRIM(C65),FIND(" ",TRIM(C65)&amp;" ")-1),",","."))+1,9))*12/52,IF(ISNUMBER(SEARCH("month",C65)),IFERROR(_xlfn.NUMBERVALUE(SUBSTITUTE(LEFT(TRIM(C65),FIND(" ",TRIM(C65)&amp;" ")-1),",","."),"."),LEFT(SUBSTITUTE(LEFT(TRIM(C65),FIND(" ",TRIM(C65)&amp;" ")-1),",","."),FIND("/",SUBSTITUTE(LEFT(TRIM(C65),FIND(" ",TRIM(C65)&amp;" ")-1),",","."))-1)/MID(SUBSTITUTE(LEFT(TRIM(C65),FIND(" ",TRIM(C65)&amp;" ")-1),",","."),FIND("/",SUBSTITUTE(LEFT(TRIM(C65),FIND(" ",TRIM(C65)&amp;" ")-1),",","."))+1,9)),IF(ISNUMBER(SEARCH("yea",C65)),IFERROR(_xlfn.NUMBERVALUE(SUBSTITUTE(LEFT(TRIM(C65),FIND(" ",TRIM(C65)&amp;" ")-1),",","."),"."),LEFT(SUBSTITUTE(LEFT(TRIM(C65),FIND(" ",TRIM(C65)&amp;" ")-1),",","."),FIND("/",SUBSTITUTE(LEFT(TRIM(C65),FIND(" ",TRIM(C65)&amp;" ")-1),",","."))-1)/MID(SUBSTITUTE(LEFT(TRIM(C65),FIND(" ",TRIM(C65)&amp;" ")-1),",","."),FIND("/",SUBSTITUTE(LEFT(TRIM(C65),FIND(" ",TRIM(C65)&amp;" ")-1),",","."))+1,9))*12,NA()))),0),12)*'Aturan &amp; Tarif'!$B$4,2)</f>
        <v>681.36</v>
      </c>
      <c r="K65" s="32" t="n">
        <f aca="false">'Aturan &amp; Tarif'!$B$5</f>
        <v>2050</v>
      </c>
      <c r="L65" s="35" t="n">
        <f aca="false">I65+J65+K65</f>
        <v>22856.36</v>
      </c>
      <c r="M65" s="36" t="s">
        <v>233</v>
      </c>
    </row>
    <row r="66" customFormat="false" ht="106.5" hidden="false" customHeight="true" outlineLevel="0" collapsed="false">
      <c r="A66" s="29"/>
      <c r="B66" s="30" t="s">
        <v>234</v>
      </c>
      <c r="C66" s="31" t="s">
        <v>107</v>
      </c>
      <c r="D66" s="31" t="s">
        <v>108</v>
      </c>
      <c r="E66" s="32" t="n">
        <v>9312.5</v>
      </c>
      <c r="F66" s="32"/>
      <c r="G66" s="32"/>
      <c r="H66" s="33" t="n">
        <v>2</v>
      </c>
      <c r="I66" s="34" t="n">
        <f aca="false">E66*H66+N(F66)+N(G66)</f>
        <v>18625</v>
      </c>
      <c r="J66" s="32" t="n">
        <f aca="false">ROUND(IFERROR(ROUND(IF(OR(ISNUMBER(SEARCH("week",C66)),ISNUMBER(SEARCH("minggu",C66))),IFERROR(_xlfn.NUMBERVALUE(SUBSTITUTE(LEFT(TRIM(C66),FIND(" ",TRIM(C66)&amp;" ")-1),",","."),"."),LEFT(SUBSTITUTE(LEFT(TRIM(C66),FIND(" ",TRIM(C66)&amp;" ")-1),",","."),FIND("/",SUBSTITUTE(LEFT(TRIM(C66),FIND(" ",TRIM(C66)&amp;" ")-1),",","."))-1)/MID(SUBSTITUTE(LEFT(TRIM(C66),FIND(" ",TRIM(C66)&amp;" ")-1),",","."),FIND("/",SUBSTITUTE(LEFT(TRIM(C66),FIND(" ",TRIM(C66)&amp;" ")-1),",","."))+1,9))*12/52,IF(ISNUMBER(SEARCH("month",C66)),IFERROR(_xlfn.NUMBERVALUE(SUBSTITUTE(LEFT(TRIM(C66),FIND(" ",TRIM(C66)&amp;" ")-1),",","."),"."),LEFT(SUBSTITUTE(LEFT(TRIM(C66),FIND(" ",TRIM(C66)&amp;" ")-1),",","."),FIND("/",SUBSTITUTE(LEFT(TRIM(C66),FIND(" ",TRIM(C66)&amp;" ")-1),",","."))-1)/MID(SUBSTITUTE(LEFT(TRIM(C66),FIND(" ",TRIM(C66)&amp;" ")-1),",","."),FIND("/",SUBSTITUTE(LEFT(TRIM(C66),FIND(" ",TRIM(C66)&amp;" ")-1),",","."))+1,9)),IF(ISNUMBER(SEARCH("yea",C66)),IFERROR(_xlfn.NUMBERVALUE(SUBSTITUTE(LEFT(TRIM(C66),FIND(" ",TRIM(C66)&amp;" ")-1),",","."),"."),LEFT(SUBSTITUTE(LEFT(TRIM(C66),FIND(" ",TRIM(C66)&amp;" ")-1),",","."),FIND("/",SUBSTITUTE(LEFT(TRIM(C66),FIND(" ",TRIM(C66)&amp;" ")-1),",","."))-1)/MID(SUBSTITUTE(LEFT(TRIM(C66),FIND(" ",TRIM(C66)&amp;" ")-1),",","."),FIND("/",SUBSTITUTE(LEFT(TRIM(C66),FIND(" ",TRIM(C66)&amp;" ")-1),",","."))+1,9))*12,NA()))),0),24)*'Aturan &amp; Tarif'!$B$4,2)</f>
        <v>1362.72</v>
      </c>
      <c r="K66" s="32" t="n">
        <f aca="false">'Aturan &amp; Tarif'!$B$5</f>
        <v>2050</v>
      </c>
      <c r="L66" s="35" t="n">
        <f aca="false">I66+J66+K66</f>
        <v>22037.72</v>
      </c>
      <c r="M66" s="36" t="s">
        <v>235</v>
      </c>
    </row>
    <row r="67" customFormat="false" ht="106.5" hidden="false" customHeight="true" outlineLevel="0" collapsed="false">
      <c r="A67" s="29"/>
      <c r="B67" s="30" t="s">
        <v>236</v>
      </c>
      <c r="C67" s="31" t="s">
        <v>127</v>
      </c>
      <c r="D67" s="31" t="s">
        <v>108</v>
      </c>
      <c r="E67" s="32" t="n">
        <v>9312.5</v>
      </c>
      <c r="F67" s="32"/>
      <c r="G67" s="32"/>
      <c r="H67" s="33" t="n">
        <v>2</v>
      </c>
      <c r="I67" s="34" t="n">
        <f aca="false">E67*H67+N(F67)+N(G67)</f>
        <v>18625</v>
      </c>
      <c r="J67" s="32" t="n">
        <f aca="false">ROUND(IFERROR(ROUND(IF(OR(ISNUMBER(SEARCH("week",C67)),ISNUMBER(SEARCH("minggu",C67))),IFERROR(_xlfn.NUMBERVALUE(SUBSTITUTE(LEFT(TRIM(C67),FIND(" ",TRIM(C67)&amp;" ")-1),",","."),"."),LEFT(SUBSTITUTE(LEFT(TRIM(C67),FIND(" ",TRIM(C67)&amp;" ")-1),",","."),FIND("/",SUBSTITUTE(LEFT(TRIM(C67),FIND(" ",TRIM(C67)&amp;" ")-1),",","."))-1)/MID(SUBSTITUTE(LEFT(TRIM(C67),FIND(" ",TRIM(C67)&amp;" ")-1),",","."),FIND("/",SUBSTITUTE(LEFT(TRIM(C67),FIND(" ",TRIM(C67)&amp;" ")-1),",","."))+1,9))*12/52,IF(ISNUMBER(SEARCH("month",C67)),IFERROR(_xlfn.NUMBERVALUE(SUBSTITUTE(LEFT(TRIM(C67),FIND(" ",TRIM(C67)&amp;" ")-1),",","."),"."),LEFT(SUBSTITUTE(LEFT(TRIM(C67),FIND(" ",TRIM(C67)&amp;" ")-1),",","."),FIND("/",SUBSTITUTE(LEFT(TRIM(C67),FIND(" ",TRIM(C67)&amp;" ")-1),",","."))-1)/MID(SUBSTITUTE(LEFT(TRIM(C67),FIND(" ",TRIM(C67)&amp;" ")-1),",","."),FIND("/",SUBSTITUTE(LEFT(TRIM(C67),FIND(" ",TRIM(C67)&amp;" ")-1),",","."))+1,9)),IF(ISNUMBER(SEARCH("yea",C67)),IFERROR(_xlfn.NUMBERVALUE(SUBSTITUTE(LEFT(TRIM(C67),FIND(" ",TRIM(C67)&amp;" ")-1),",","."),"."),LEFT(SUBSTITUTE(LEFT(TRIM(C67),FIND(" ",TRIM(C67)&amp;" ")-1),",","."),FIND("/",SUBSTITUTE(LEFT(TRIM(C67),FIND(" ",TRIM(C67)&amp;" ")-1),",","."))-1)/MID(SUBSTITUTE(LEFT(TRIM(C67),FIND(" ",TRIM(C67)&amp;" ")-1),",","."),FIND("/",SUBSTITUTE(LEFT(TRIM(C67),FIND(" ",TRIM(C67)&amp;" ")-1),",","."))+1,9))*12,NA()))),0),36)*'Aturan &amp; Tarif'!$B$4,2)</f>
        <v>2044.08</v>
      </c>
      <c r="K67" s="32" t="n">
        <f aca="false">'Aturan &amp; Tarif'!$B$5</f>
        <v>2050</v>
      </c>
      <c r="L67" s="35" t="n">
        <f aca="false">I67+J67+K67</f>
        <v>22719.08</v>
      </c>
      <c r="M67" s="36" t="s">
        <v>235</v>
      </c>
    </row>
    <row r="68" customFormat="false" ht="106.5" hidden="false" customHeight="true" outlineLevel="0" collapsed="false">
      <c r="A68" s="29"/>
      <c r="B68" s="30" t="s">
        <v>237</v>
      </c>
      <c r="C68" s="31" t="s">
        <v>191</v>
      </c>
      <c r="D68" s="31" t="s">
        <v>108</v>
      </c>
      <c r="E68" s="32" t="n">
        <v>9562.5</v>
      </c>
      <c r="F68" s="32"/>
      <c r="G68" s="32"/>
      <c r="H68" s="33" t="n">
        <v>2</v>
      </c>
      <c r="I68" s="34" t="n">
        <f aca="false">E68*H68+N(F68)+N(G68)</f>
        <v>19125</v>
      </c>
      <c r="J68" s="32" t="n">
        <f aca="false">ROUND(IFERROR(ROUND(IF(OR(ISNUMBER(SEARCH("week",C68)),ISNUMBER(SEARCH("minggu",C68))),IFERROR(_xlfn.NUMBERVALUE(SUBSTITUTE(LEFT(TRIM(C68),FIND(" ",TRIM(C68)&amp;" ")-1),",","."),"."),LEFT(SUBSTITUTE(LEFT(TRIM(C68),FIND(" ",TRIM(C68)&amp;" ")-1),",","."),FIND("/",SUBSTITUTE(LEFT(TRIM(C68),FIND(" ",TRIM(C68)&amp;" ")-1),",","."))-1)/MID(SUBSTITUTE(LEFT(TRIM(C68),FIND(" ",TRIM(C68)&amp;" ")-1),",","."),FIND("/",SUBSTITUTE(LEFT(TRIM(C68),FIND(" ",TRIM(C68)&amp;" ")-1),",","."))+1,9))*12/52,IF(ISNUMBER(SEARCH("month",C68)),IFERROR(_xlfn.NUMBERVALUE(SUBSTITUTE(LEFT(TRIM(C68),FIND(" ",TRIM(C68)&amp;" ")-1),",","."),"."),LEFT(SUBSTITUTE(LEFT(TRIM(C68),FIND(" ",TRIM(C68)&amp;" ")-1),",","."),FIND("/",SUBSTITUTE(LEFT(TRIM(C68),FIND(" ",TRIM(C68)&amp;" ")-1),",","."))-1)/MID(SUBSTITUTE(LEFT(TRIM(C68),FIND(" ",TRIM(C68)&amp;" ")-1),",","."),FIND("/",SUBSTITUTE(LEFT(TRIM(C68),FIND(" ",TRIM(C68)&amp;" ")-1),",","."))+1,9)),IF(ISNUMBER(SEARCH("yea",C68)),IFERROR(_xlfn.NUMBERVALUE(SUBSTITUTE(LEFT(TRIM(C68),FIND(" ",TRIM(C68)&amp;" ")-1),",","."),"."),LEFT(SUBSTITUTE(LEFT(TRIM(C68),FIND(" ",TRIM(C68)&amp;" ")-1),",","."),FIND("/",SUBSTITUTE(LEFT(TRIM(C68),FIND(" ",TRIM(C68)&amp;" ")-1),",","."))-1)/MID(SUBSTITUTE(LEFT(TRIM(C68),FIND(" ",TRIM(C68)&amp;" ")-1),",","."),FIND("/",SUBSTITUTE(LEFT(TRIM(C68),FIND(" ",TRIM(C68)&amp;" ")-1),",","."))+1,9))*12,NA()))),0),48)*'Aturan &amp; Tarif'!$B$4,2)</f>
        <v>2725.44</v>
      </c>
      <c r="K68" s="32" t="n">
        <f aca="false">'Aturan &amp; Tarif'!$B$5</f>
        <v>2050</v>
      </c>
      <c r="L68" s="35" t="n">
        <f aca="false">I68+J68+K68</f>
        <v>23900.44</v>
      </c>
      <c r="M68" s="36" t="s">
        <v>238</v>
      </c>
    </row>
    <row r="69" customFormat="false" ht="106.5" hidden="false" customHeight="true" outlineLevel="0" collapsed="false">
      <c r="A69" s="29"/>
      <c r="B69" s="30" t="s">
        <v>239</v>
      </c>
      <c r="C69" s="31" t="s">
        <v>191</v>
      </c>
      <c r="D69" s="31" t="s">
        <v>108</v>
      </c>
      <c r="E69" s="32" t="n">
        <v>9562.5</v>
      </c>
      <c r="F69" s="32"/>
      <c r="G69" s="32"/>
      <c r="H69" s="33" t="n">
        <v>2</v>
      </c>
      <c r="I69" s="34" t="n">
        <f aca="false">E69*H69+N(F69)+N(G69)</f>
        <v>19125</v>
      </c>
      <c r="J69" s="32" t="n">
        <f aca="false">ROUND(IFERROR(ROUND(IF(OR(ISNUMBER(SEARCH("week",C69)),ISNUMBER(SEARCH("minggu",C69))),IFERROR(_xlfn.NUMBERVALUE(SUBSTITUTE(LEFT(TRIM(C69),FIND(" ",TRIM(C69)&amp;" ")-1),",","."),"."),LEFT(SUBSTITUTE(LEFT(TRIM(C69),FIND(" ",TRIM(C69)&amp;" ")-1),",","."),FIND("/",SUBSTITUTE(LEFT(TRIM(C69),FIND(" ",TRIM(C69)&amp;" ")-1),",","."))-1)/MID(SUBSTITUTE(LEFT(TRIM(C69),FIND(" ",TRIM(C69)&amp;" ")-1),",","."),FIND("/",SUBSTITUTE(LEFT(TRIM(C69),FIND(" ",TRIM(C69)&amp;" ")-1),",","."))+1,9))*12/52,IF(ISNUMBER(SEARCH("month",C69)),IFERROR(_xlfn.NUMBERVALUE(SUBSTITUTE(LEFT(TRIM(C69),FIND(" ",TRIM(C69)&amp;" ")-1),",","."),"."),LEFT(SUBSTITUTE(LEFT(TRIM(C69),FIND(" ",TRIM(C69)&amp;" ")-1),",","."),FIND("/",SUBSTITUTE(LEFT(TRIM(C69),FIND(" ",TRIM(C69)&amp;" ")-1),",","."))-1)/MID(SUBSTITUTE(LEFT(TRIM(C69),FIND(" ",TRIM(C69)&amp;" ")-1),",","."),FIND("/",SUBSTITUTE(LEFT(TRIM(C69),FIND(" ",TRIM(C69)&amp;" ")-1),",","."))+1,9)),IF(ISNUMBER(SEARCH("yea",C69)),IFERROR(_xlfn.NUMBERVALUE(SUBSTITUTE(LEFT(TRIM(C69),FIND(" ",TRIM(C69)&amp;" ")-1),",","."),"."),LEFT(SUBSTITUTE(LEFT(TRIM(C69),FIND(" ",TRIM(C69)&amp;" ")-1),",","."),FIND("/",SUBSTITUTE(LEFT(TRIM(C69),FIND(" ",TRIM(C69)&amp;" ")-1),",","."))-1)/MID(SUBSTITUTE(LEFT(TRIM(C69),FIND(" ",TRIM(C69)&amp;" ")-1),",","."),FIND("/",SUBSTITUTE(LEFT(TRIM(C69),FIND(" ",TRIM(C69)&amp;" ")-1),",","."))+1,9))*12,NA()))),0),48)*'Aturan &amp; Tarif'!$B$4,2)</f>
        <v>2725.44</v>
      </c>
      <c r="K69" s="32" t="n">
        <f aca="false">'Aturan &amp; Tarif'!$B$5</f>
        <v>2050</v>
      </c>
      <c r="L69" s="35" t="n">
        <f aca="false">I69+J69+K69</f>
        <v>23900.44</v>
      </c>
      <c r="M69" s="36" t="s">
        <v>238</v>
      </c>
    </row>
    <row r="70" customFormat="false" ht="106.5" hidden="false" customHeight="true" outlineLevel="0" collapsed="false">
      <c r="A70" s="29"/>
      <c r="B70" s="30" t="s">
        <v>240</v>
      </c>
      <c r="C70" s="31" t="s">
        <v>241</v>
      </c>
      <c r="D70" s="31" t="s">
        <v>108</v>
      </c>
      <c r="E70" s="32" t="n">
        <v>9562.5</v>
      </c>
      <c r="F70" s="32"/>
      <c r="G70" s="32"/>
      <c r="H70" s="33" t="n">
        <v>2</v>
      </c>
      <c r="I70" s="34" t="n">
        <f aca="false">E70*H70+N(F70)+N(G70)</f>
        <v>19125</v>
      </c>
      <c r="J70" s="32" t="n">
        <f aca="false">ROUND(IFERROR(ROUND(IF(OR(ISNUMBER(SEARCH("week",C70)),ISNUMBER(SEARCH("minggu",C70))),IFERROR(_xlfn.NUMBERVALUE(SUBSTITUTE(LEFT(TRIM(C70),FIND(" ",TRIM(C70)&amp;" ")-1),",","."),"."),LEFT(SUBSTITUTE(LEFT(TRIM(C70),FIND(" ",TRIM(C70)&amp;" ")-1),",","."),FIND("/",SUBSTITUTE(LEFT(TRIM(C70),FIND(" ",TRIM(C70)&amp;" ")-1),",","."))-1)/MID(SUBSTITUTE(LEFT(TRIM(C70),FIND(" ",TRIM(C70)&amp;" ")-1),",","."),FIND("/",SUBSTITUTE(LEFT(TRIM(C70),FIND(" ",TRIM(C70)&amp;" ")-1),",","."))+1,9))*12/52,IF(ISNUMBER(SEARCH("month",C70)),IFERROR(_xlfn.NUMBERVALUE(SUBSTITUTE(LEFT(TRIM(C70),FIND(" ",TRIM(C70)&amp;" ")-1),",","."),"."),LEFT(SUBSTITUTE(LEFT(TRIM(C70),FIND(" ",TRIM(C70)&amp;" ")-1),",","."),FIND("/",SUBSTITUTE(LEFT(TRIM(C70),FIND(" ",TRIM(C70)&amp;" ")-1),",","."))-1)/MID(SUBSTITUTE(LEFT(TRIM(C70),FIND(" ",TRIM(C70)&amp;" ")-1),",","."),FIND("/",SUBSTITUTE(LEFT(TRIM(C70),FIND(" ",TRIM(C70)&amp;" ")-1),",","."))+1,9)),IF(ISNUMBER(SEARCH("yea",C70)),IFERROR(_xlfn.NUMBERVALUE(SUBSTITUTE(LEFT(TRIM(C70),FIND(" ",TRIM(C70)&amp;" ")-1),",","."),"."),LEFT(SUBSTITUTE(LEFT(TRIM(C70),FIND(" ",TRIM(C70)&amp;" ")-1),",","."),FIND("/",SUBSTITUTE(LEFT(TRIM(C70),FIND(" ",TRIM(C70)&amp;" ")-1),",","."))-1)/MID(SUBSTITUTE(LEFT(TRIM(C70),FIND(" ",TRIM(C70)&amp;" ")-1),",","."),FIND("/",SUBSTITUTE(LEFT(TRIM(C70),FIND(" ",TRIM(C70)&amp;" ")-1),",","."))+1,9))*12,NA()))),0),24)*'Aturan &amp; Tarif'!$B$4,2)</f>
        <v>1362.72</v>
      </c>
      <c r="K70" s="32" t="n">
        <f aca="false">'Aturan &amp; Tarif'!$B$5</f>
        <v>2050</v>
      </c>
      <c r="L70" s="35" t="n">
        <f aca="false">I70+J70+K70</f>
        <v>22537.72</v>
      </c>
      <c r="M70" s="36" t="s">
        <v>221</v>
      </c>
    </row>
    <row r="71" customFormat="false" ht="106.5" hidden="false" customHeight="true" outlineLevel="0" collapsed="false">
      <c r="A71" s="29"/>
      <c r="B71" s="30" t="s">
        <v>242</v>
      </c>
      <c r="C71" s="31" t="s">
        <v>191</v>
      </c>
      <c r="D71" s="31" t="s">
        <v>108</v>
      </c>
      <c r="E71" s="32" t="n">
        <v>10987.5</v>
      </c>
      <c r="F71" s="32"/>
      <c r="G71" s="32"/>
      <c r="H71" s="33" t="n">
        <v>2</v>
      </c>
      <c r="I71" s="34" t="n">
        <f aca="false">E71*H71+N(F71)+N(G71)</f>
        <v>21975</v>
      </c>
      <c r="J71" s="32" t="n">
        <f aca="false">ROUND(IFERROR(ROUND(IF(OR(ISNUMBER(SEARCH("week",C71)),ISNUMBER(SEARCH("minggu",C71))),IFERROR(_xlfn.NUMBERVALUE(SUBSTITUTE(LEFT(TRIM(C71),FIND(" ",TRIM(C71)&amp;" ")-1),",","."),"."),LEFT(SUBSTITUTE(LEFT(TRIM(C71),FIND(" ",TRIM(C71)&amp;" ")-1),",","."),FIND("/",SUBSTITUTE(LEFT(TRIM(C71),FIND(" ",TRIM(C71)&amp;" ")-1),",","."))-1)/MID(SUBSTITUTE(LEFT(TRIM(C71),FIND(" ",TRIM(C71)&amp;" ")-1),",","."),FIND("/",SUBSTITUTE(LEFT(TRIM(C71),FIND(" ",TRIM(C71)&amp;" ")-1),",","."))+1,9))*12/52,IF(ISNUMBER(SEARCH("month",C71)),IFERROR(_xlfn.NUMBERVALUE(SUBSTITUTE(LEFT(TRIM(C71),FIND(" ",TRIM(C71)&amp;" ")-1),",","."),"."),LEFT(SUBSTITUTE(LEFT(TRIM(C71),FIND(" ",TRIM(C71)&amp;" ")-1),",","."),FIND("/",SUBSTITUTE(LEFT(TRIM(C71),FIND(" ",TRIM(C71)&amp;" ")-1),",","."))-1)/MID(SUBSTITUTE(LEFT(TRIM(C71),FIND(" ",TRIM(C71)&amp;" ")-1),",","."),FIND("/",SUBSTITUTE(LEFT(TRIM(C71),FIND(" ",TRIM(C71)&amp;" ")-1),",","."))+1,9)),IF(ISNUMBER(SEARCH("yea",C71)),IFERROR(_xlfn.NUMBERVALUE(SUBSTITUTE(LEFT(TRIM(C71),FIND(" ",TRIM(C71)&amp;" ")-1),",","."),"."),LEFT(SUBSTITUTE(LEFT(TRIM(C71),FIND(" ",TRIM(C71)&amp;" ")-1),",","."),FIND("/",SUBSTITUTE(LEFT(TRIM(C71),FIND(" ",TRIM(C71)&amp;" ")-1),",","."))-1)/MID(SUBSTITUTE(LEFT(TRIM(C71),FIND(" ",TRIM(C71)&amp;" ")-1),",","."),FIND("/",SUBSTITUTE(LEFT(TRIM(C71),FIND(" ",TRIM(C71)&amp;" ")-1),",","."))+1,9))*12,NA()))),0),48)*'Aturan &amp; Tarif'!$B$4,2)</f>
        <v>2725.44</v>
      </c>
      <c r="K71" s="32" t="n">
        <f aca="false">'Aturan &amp; Tarif'!$B$5</f>
        <v>2050</v>
      </c>
      <c r="L71" s="35" t="n">
        <f aca="false">I71+J71+K71</f>
        <v>26750.44</v>
      </c>
      <c r="M71" s="36" t="s">
        <v>243</v>
      </c>
    </row>
    <row r="72" customFormat="false" ht="106.5" hidden="false" customHeight="true" outlineLevel="0" collapsed="false">
      <c r="A72" s="29"/>
      <c r="B72" s="30" t="s">
        <v>244</v>
      </c>
      <c r="C72" s="31" t="s">
        <v>245</v>
      </c>
      <c r="D72" s="31" t="s">
        <v>108</v>
      </c>
      <c r="E72" s="32" t="n">
        <v>11237.5</v>
      </c>
      <c r="F72" s="32"/>
      <c r="G72" s="32"/>
      <c r="H72" s="33" t="n">
        <v>2</v>
      </c>
      <c r="I72" s="34" t="n">
        <f aca="false">E72*H72+N(F72)+N(G72)</f>
        <v>22475</v>
      </c>
      <c r="J72" s="32" t="n">
        <f aca="false">ROUND(IFERROR(ROUND(IF(OR(ISNUMBER(SEARCH("week",C72)),ISNUMBER(SEARCH("minggu",C72))),IFERROR(_xlfn.NUMBERVALUE(SUBSTITUTE(LEFT(TRIM(C72),FIND(" ",TRIM(C72)&amp;" ")-1),",","."),"."),LEFT(SUBSTITUTE(LEFT(TRIM(C72),FIND(" ",TRIM(C72)&amp;" ")-1),",","."),FIND("/",SUBSTITUTE(LEFT(TRIM(C72),FIND(" ",TRIM(C72)&amp;" ")-1),",","."))-1)/MID(SUBSTITUTE(LEFT(TRIM(C72),FIND(" ",TRIM(C72)&amp;" ")-1),",","."),FIND("/",SUBSTITUTE(LEFT(TRIM(C72),FIND(" ",TRIM(C72)&amp;" ")-1),",","."))+1,9))*12/52,IF(ISNUMBER(SEARCH("month",C72)),IFERROR(_xlfn.NUMBERVALUE(SUBSTITUTE(LEFT(TRIM(C72),FIND(" ",TRIM(C72)&amp;" ")-1),",","."),"."),LEFT(SUBSTITUTE(LEFT(TRIM(C72),FIND(" ",TRIM(C72)&amp;" ")-1),",","."),FIND("/",SUBSTITUTE(LEFT(TRIM(C72),FIND(" ",TRIM(C72)&amp;" ")-1),",","."))-1)/MID(SUBSTITUTE(LEFT(TRIM(C72),FIND(" ",TRIM(C72)&amp;" ")-1),",","."),FIND("/",SUBSTITUTE(LEFT(TRIM(C72),FIND(" ",TRIM(C72)&amp;" ")-1),",","."))+1,9)),IF(ISNUMBER(SEARCH("yea",C72)),IFERROR(_xlfn.NUMBERVALUE(SUBSTITUTE(LEFT(TRIM(C72),FIND(" ",TRIM(C72)&amp;" ")-1),",","."),"."),LEFT(SUBSTITUTE(LEFT(TRIM(C72),FIND(" ",TRIM(C72)&amp;" ")-1),",","."),FIND("/",SUBSTITUTE(LEFT(TRIM(C72),FIND(" ",TRIM(C72)&amp;" ")-1),",","."))-1)/MID(SUBSTITUTE(LEFT(TRIM(C72),FIND(" ",TRIM(C72)&amp;" ")-1),",","."),FIND("/",SUBSTITUTE(LEFT(TRIM(C72),FIND(" ",TRIM(C72)&amp;" ")-1),",","."))+1,9))*12,NA()))),0),60)*'Aturan &amp; Tarif'!$B$4,2)</f>
        <v>3406.8</v>
      </c>
      <c r="K72" s="32" t="n">
        <f aca="false">'Aturan &amp; Tarif'!$B$5</f>
        <v>2050</v>
      </c>
      <c r="L72" s="35" t="n">
        <f aca="false">I72+J72+K72</f>
        <v>27931.8</v>
      </c>
      <c r="M72" s="36" t="s">
        <v>246</v>
      </c>
    </row>
    <row r="73" customFormat="false" ht="106.5" hidden="false" customHeight="true" outlineLevel="0" collapsed="false">
      <c r="A73" s="29"/>
      <c r="B73" s="30" t="s">
        <v>247</v>
      </c>
      <c r="C73" s="31" t="s">
        <v>127</v>
      </c>
      <c r="D73" s="31" t="s">
        <v>108</v>
      </c>
      <c r="E73" s="32" t="n">
        <v>9987.5</v>
      </c>
      <c r="F73" s="32"/>
      <c r="G73" s="32"/>
      <c r="H73" s="33" t="n">
        <v>2</v>
      </c>
      <c r="I73" s="34" t="n">
        <f aca="false">E73*H73+N(F73)+N(G73)</f>
        <v>19975</v>
      </c>
      <c r="J73" s="32" t="n">
        <f aca="false">ROUND(IFERROR(ROUND(IF(OR(ISNUMBER(SEARCH("week",C73)),ISNUMBER(SEARCH("minggu",C73))),IFERROR(_xlfn.NUMBERVALUE(SUBSTITUTE(LEFT(TRIM(C73),FIND(" ",TRIM(C73)&amp;" ")-1),",","."),"."),LEFT(SUBSTITUTE(LEFT(TRIM(C73),FIND(" ",TRIM(C73)&amp;" ")-1),",","."),FIND("/",SUBSTITUTE(LEFT(TRIM(C73),FIND(" ",TRIM(C73)&amp;" ")-1),",","."))-1)/MID(SUBSTITUTE(LEFT(TRIM(C73),FIND(" ",TRIM(C73)&amp;" ")-1),",","."),FIND("/",SUBSTITUTE(LEFT(TRIM(C73),FIND(" ",TRIM(C73)&amp;" ")-1),",","."))+1,9))*12/52,IF(ISNUMBER(SEARCH("month",C73)),IFERROR(_xlfn.NUMBERVALUE(SUBSTITUTE(LEFT(TRIM(C73),FIND(" ",TRIM(C73)&amp;" ")-1),",","."),"."),LEFT(SUBSTITUTE(LEFT(TRIM(C73),FIND(" ",TRIM(C73)&amp;" ")-1),",","."),FIND("/",SUBSTITUTE(LEFT(TRIM(C73),FIND(" ",TRIM(C73)&amp;" ")-1),",","."))-1)/MID(SUBSTITUTE(LEFT(TRIM(C73),FIND(" ",TRIM(C73)&amp;" ")-1),",","."),FIND("/",SUBSTITUTE(LEFT(TRIM(C73),FIND(" ",TRIM(C73)&amp;" ")-1),",","."))+1,9)),IF(ISNUMBER(SEARCH("yea",C73)),IFERROR(_xlfn.NUMBERVALUE(SUBSTITUTE(LEFT(TRIM(C73),FIND(" ",TRIM(C73)&amp;" ")-1),",","."),"."),LEFT(SUBSTITUTE(LEFT(TRIM(C73),FIND(" ",TRIM(C73)&amp;" ")-1),",","."),FIND("/",SUBSTITUTE(LEFT(TRIM(C73),FIND(" ",TRIM(C73)&amp;" ")-1),",","."))-1)/MID(SUBSTITUTE(LEFT(TRIM(C73),FIND(" ",TRIM(C73)&amp;" ")-1),",","."),FIND("/",SUBSTITUTE(LEFT(TRIM(C73),FIND(" ",TRIM(C73)&amp;" ")-1),",","."))+1,9))*12,NA()))),0),36)*'Aturan &amp; Tarif'!$B$4,2)</f>
        <v>2044.08</v>
      </c>
      <c r="K73" s="32" t="n">
        <f aca="false">'Aturan &amp; Tarif'!$B$5</f>
        <v>2050</v>
      </c>
      <c r="L73" s="35" t="n">
        <f aca="false">I73+J73+K73</f>
        <v>24069.08</v>
      </c>
      <c r="M73" s="36" t="s">
        <v>248</v>
      </c>
    </row>
    <row r="74" customFormat="false" ht="106.5" hidden="false" customHeight="true" outlineLevel="0" collapsed="false">
      <c r="A74" s="29"/>
      <c r="B74" s="30" t="s">
        <v>249</v>
      </c>
      <c r="C74" s="31" t="s">
        <v>191</v>
      </c>
      <c r="D74" s="31" t="s">
        <v>108</v>
      </c>
      <c r="E74" s="32" t="n">
        <v>11987.5</v>
      </c>
      <c r="F74" s="32"/>
      <c r="G74" s="32"/>
      <c r="H74" s="33" t="n">
        <v>2</v>
      </c>
      <c r="I74" s="34" t="n">
        <f aca="false">E74*H74+N(F74)+N(G74)</f>
        <v>23975</v>
      </c>
      <c r="J74" s="32" t="n">
        <f aca="false">ROUND(IFERROR(ROUND(IF(OR(ISNUMBER(SEARCH("week",C74)),ISNUMBER(SEARCH("minggu",C74))),IFERROR(_xlfn.NUMBERVALUE(SUBSTITUTE(LEFT(TRIM(C74),FIND(" ",TRIM(C74)&amp;" ")-1),",","."),"."),LEFT(SUBSTITUTE(LEFT(TRIM(C74),FIND(" ",TRIM(C74)&amp;" ")-1),",","."),FIND("/",SUBSTITUTE(LEFT(TRIM(C74),FIND(" ",TRIM(C74)&amp;" ")-1),",","."))-1)/MID(SUBSTITUTE(LEFT(TRIM(C74),FIND(" ",TRIM(C74)&amp;" ")-1),",","."),FIND("/",SUBSTITUTE(LEFT(TRIM(C74),FIND(" ",TRIM(C74)&amp;" ")-1),",","."))+1,9))*12/52,IF(ISNUMBER(SEARCH("month",C74)),IFERROR(_xlfn.NUMBERVALUE(SUBSTITUTE(LEFT(TRIM(C74),FIND(" ",TRIM(C74)&amp;" ")-1),",","."),"."),LEFT(SUBSTITUTE(LEFT(TRIM(C74),FIND(" ",TRIM(C74)&amp;" ")-1),",","."),FIND("/",SUBSTITUTE(LEFT(TRIM(C74),FIND(" ",TRIM(C74)&amp;" ")-1),",","."))-1)/MID(SUBSTITUTE(LEFT(TRIM(C74),FIND(" ",TRIM(C74)&amp;" ")-1),",","."),FIND("/",SUBSTITUTE(LEFT(TRIM(C74),FIND(" ",TRIM(C74)&amp;" ")-1),",","."))+1,9)),IF(ISNUMBER(SEARCH("yea",C74)),IFERROR(_xlfn.NUMBERVALUE(SUBSTITUTE(LEFT(TRIM(C74),FIND(" ",TRIM(C74)&amp;" ")-1),",","."),"."),LEFT(SUBSTITUTE(LEFT(TRIM(C74),FIND(" ",TRIM(C74)&amp;" ")-1),",","."),FIND("/",SUBSTITUTE(LEFT(TRIM(C74),FIND(" ",TRIM(C74)&amp;" ")-1),",","."))-1)/MID(SUBSTITUTE(LEFT(TRIM(C74),FIND(" ",TRIM(C74)&amp;" ")-1),",","."),FIND("/",SUBSTITUTE(LEFT(TRIM(C74),FIND(" ",TRIM(C74)&amp;" ")-1),",","."))+1,9))*12,NA()))),0),48)*'Aturan &amp; Tarif'!$B$4,2)</f>
        <v>2725.44</v>
      </c>
      <c r="K74" s="32" t="n">
        <f aca="false">'Aturan &amp; Tarif'!$B$5</f>
        <v>2050</v>
      </c>
      <c r="L74" s="35" t="n">
        <f aca="false">I74+J74+K74</f>
        <v>28750.44</v>
      </c>
      <c r="M74" s="36" t="s">
        <v>250</v>
      </c>
    </row>
    <row r="75" customFormat="false" ht="106.5" hidden="false" customHeight="true" outlineLevel="0" collapsed="false">
      <c r="A75" s="29"/>
      <c r="B75" s="30" t="s">
        <v>251</v>
      </c>
      <c r="C75" s="31" t="s">
        <v>127</v>
      </c>
      <c r="D75" s="31" t="s">
        <v>108</v>
      </c>
      <c r="E75" s="32" t="n">
        <v>11237.5</v>
      </c>
      <c r="F75" s="32"/>
      <c r="G75" s="32"/>
      <c r="H75" s="33" t="n">
        <v>2</v>
      </c>
      <c r="I75" s="34" t="n">
        <f aca="false">E75*H75+N(F75)+N(G75)</f>
        <v>22475</v>
      </c>
      <c r="J75" s="32" t="n">
        <f aca="false">ROUND(IFERROR(ROUND(IF(OR(ISNUMBER(SEARCH("week",C75)),ISNUMBER(SEARCH("minggu",C75))),IFERROR(_xlfn.NUMBERVALUE(SUBSTITUTE(LEFT(TRIM(C75),FIND(" ",TRIM(C75)&amp;" ")-1),",","."),"."),LEFT(SUBSTITUTE(LEFT(TRIM(C75),FIND(" ",TRIM(C75)&amp;" ")-1),",","."),FIND("/",SUBSTITUTE(LEFT(TRIM(C75),FIND(" ",TRIM(C75)&amp;" ")-1),",","."))-1)/MID(SUBSTITUTE(LEFT(TRIM(C75),FIND(" ",TRIM(C75)&amp;" ")-1),",","."),FIND("/",SUBSTITUTE(LEFT(TRIM(C75),FIND(" ",TRIM(C75)&amp;" ")-1),",","."))+1,9))*12/52,IF(ISNUMBER(SEARCH("month",C75)),IFERROR(_xlfn.NUMBERVALUE(SUBSTITUTE(LEFT(TRIM(C75),FIND(" ",TRIM(C75)&amp;" ")-1),",","."),"."),LEFT(SUBSTITUTE(LEFT(TRIM(C75),FIND(" ",TRIM(C75)&amp;" ")-1),",","."),FIND("/",SUBSTITUTE(LEFT(TRIM(C75),FIND(" ",TRIM(C75)&amp;" ")-1),",","."))-1)/MID(SUBSTITUTE(LEFT(TRIM(C75),FIND(" ",TRIM(C75)&amp;" ")-1),",","."),FIND("/",SUBSTITUTE(LEFT(TRIM(C75),FIND(" ",TRIM(C75)&amp;" ")-1),",","."))+1,9)),IF(ISNUMBER(SEARCH("yea",C75)),IFERROR(_xlfn.NUMBERVALUE(SUBSTITUTE(LEFT(TRIM(C75),FIND(" ",TRIM(C75)&amp;" ")-1),",","."),"."),LEFT(SUBSTITUTE(LEFT(TRIM(C75),FIND(" ",TRIM(C75)&amp;" ")-1),",","."),FIND("/",SUBSTITUTE(LEFT(TRIM(C75),FIND(" ",TRIM(C75)&amp;" ")-1),",","."))-1)/MID(SUBSTITUTE(LEFT(TRIM(C75),FIND(" ",TRIM(C75)&amp;" ")-1),",","."),FIND("/",SUBSTITUTE(LEFT(TRIM(C75),FIND(" ",TRIM(C75)&amp;" ")-1),",","."))+1,9))*12,NA()))),0),36)*'Aturan &amp; Tarif'!$B$4,2)</f>
        <v>2044.08</v>
      </c>
      <c r="K75" s="32" t="n">
        <f aca="false">'Aturan &amp; Tarif'!$B$5</f>
        <v>2050</v>
      </c>
      <c r="L75" s="35" t="n">
        <f aca="false">I75+J75+K75</f>
        <v>26569.08</v>
      </c>
      <c r="M75" s="36" t="s">
        <v>225</v>
      </c>
    </row>
    <row r="76" customFormat="false" ht="106.5" hidden="false" customHeight="true" outlineLevel="0" collapsed="false">
      <c r="A76" s="29"/>
      <c r="B76" s="30" t="s">
        <v>252</v>
      </c>
      <c r="C76" s="31" t="s">
        <v>127</v>
      </c>
      <c r="D76" s="31" t="s">
        <v>108</v>
      </c>
      <c r="E76" s="32" t="n">
        <v>11237.5</v>
      </c>
      <c r="F76" s="32"/>
      <c r="G76" s="32"/>
      <c r="H76" s="33" t="n">
        <v>2</v>
      </c>
      <c r="I76" s="34" t="n">
        <f aca="false">E76*H76+N(F76)+N(G76)</f>
        <v>22475</v>
      </c>
      <c r="J76" s="32" t="n">
        <f aca="false">ROUND(IFERROR(ROUND(IF(OR(ISNUMBER(SEARCH("week",C76)),ISNUMBER(SEARCH("minggu",C76))),IFERROR(_xlfn.NUMBERVALUE(SUBSTITUTE(LEFT(TRIM(C76),FIND(" ",TRIM(C76)&amp;" ")-1),",","."),"."),LEFT(SUBSTITUTE(LEFT(TRIM(C76),FIND(" ",TRIM(C76)&amp;" ")-1),",","."),FIND("/",SUBSTITUTE(LEFT(TRIM(C76),FIND(" ",TRIM(C76)&amp;" ")-1),",","."))-1)/MID(SUBSTITUTE(LEFT(TRIM(C76),FIND(" ",TRIM(C76)&amp;" ")-1),",","."),FIND("/",SUBSTITUTE(LEFT(TRIM(C76),FIND(" ",TRIM(C76)&amp;" ")-1),",","."))+1,9))*12/52,IF(ISNUMBER(SEARCH("month",C76)),IFERROR(_xlfn.NUMBERVALUE(SUBSTITUTE(LEFT(TRIM(C76),FIND(" ",TRIM(C76)&amp;" ")-1),",","."),"."),LEFT(SUBSTITUTE(LEFT(TRIM(C76),FIND(" ",TRIM(C76)&amp;" ")-1),",","."),FIND("/",SUBSTITUTE(LEFT(TRIM(C76),FIND(" ",TRIM(C76)&amp;" ")-1),",","."))-1)/MID(SUBSTITUTE(LEFT(TRIM(C76),FIND(" ",TRIM(C76)&amp;" ")-1),",","."),FIND("/",SUBSTITUTE(LEFT(TRIM(C76),FIND(" ",TRIM(C76)&amp;" ")-1),",","."))+1,9)),IF(ISNUMBER(SEARCH("yea",C76)),IFERROR(_xlfn.NUMBERVALUE(SUBSTITUTE(LEFT(TRIM(C76),FIND(" ",TRIM(C76)&amp;" ")-1),",","."),"."),LEFT(SUBSTITUTE(LEFT(TRIM(C76),FIND(" ",TRIM(C76)&amp;" ")-1),",","."),FIND("/",SUBSTITUTE(LEFT(TRIM(C76),FIND(" ",TRIM(C76)&amp;" ")-1),",","."))-1)/MID(SUBSTITUTE(LEFT(TRIM(C76),FIND(" ",TRIM(C76)&amp;" ")-1),",","."),FIND("/",SUBSTITUTE(LEFT(TRIM(C76),FIND(" ",TRIM(C76)&amp;" ")-1),",","."))+1,9))*12,NA()))),0),36)*'Aturan &amp; Tarif'!$B$4,2)</f>
        <v>2044.08</v>
      </c>
      <c r="K76" s="32" t="n">
        <f aca="false">'Aturan &amp; Tarif'!$B$5</f>
        <v>2050</v>
      </c>
      <c r="L76" s="35" t="n">
        <f aca="false">I76+J76+K76</f>
        <v>26569.08</v>
      </c>
      <c r="M76" s="36" t="s">
        <v>225</v>
      </c>
    </row>
    <row r="77" customFormat="false" ht="106.5" hidden="false" customHeight="true" outlineLevel="0" collapsed="false">
      <c r="A77" s="29"/>
      <c r="B77" s="30" t="s">
        <v>253</v>
      </c>
      <c r="C77" s="31" t="s">
        <v>107</v>
      </c>
      <c r="D77" s="31" t="s">
        <v>108</v>
      </c>
      <c r="E77" s="32" t="n">
        <v>11237.5</v>
      </c>
      <c r="F77" s="32"/>
      <c r="G77" s="32"/>
      <c r="H77" s="33" t="n">
        <v>2</v>
      </c>
      <c r="I77" s="34" t="n">
        <f aca="false">E77*H77+N(F77)+N(G77)</f>
        <v>22475</v>
      </c>
      <c r="J77" s="32" t="n">
        <f aca="false">ROUND(IFERROR(ROUND(IF(OR(ISNUMBER(SEARCH("week",C77)),ISNUMBER(SEARCH("minggu",C77))),IFERROR(_xlfn.NUMBERVALUE(SUBSTITUTE(LEFT(TRIM(C77),FIND(" ",TRIM(C77)&amp;" ")-1),",","."),"."),LEFT(SUBSTITUTE(LEFT(TRIM(C77),FIND(" ",TRIM(C77)&amp;" ")-1),",","."),FIND("/",SUBSTITUTE(LEFT(TRIM(C77),FIND(" ",TRIM(C77)&amp;" ")-1),",","."))-1)/MID(SUBSTITUTE(LEFT(TRIM(C77),FIND(" ",TRIM(C77)&amp;" ")-1),",","."),FIND("/",SUBSTITUTE(LEFT(TRIM(C77),FIND(" ",TRIM(C77)&amp;" ")-1),",","."))+1,9))*12/52,IF(ISNUMBER(SEARCH("month",C77)),IFERROR(_xlfn.NUMBERVALUE(SUBSTITUTE(LEFT(TRIM(C77),FIND(" ",TRIM(C77)&amp;" ")-1),",","."),"."),LEFT(SUBSTITUTE(LEFT(TRIM(C77),FIND(" ",TRIM(C77)&amp;" ")-1),",","."),FIND("/",SUBSTITUTE(LEFT(TRIM(C77),FIND(" ",TRIM(C77)&amp;" ")-1),",","."))-1)/MID(SUBSTITUTE(LEFT(TRIM(C77),FIND(" ",TRIM(C77)&amp;" ")-1),",","."),FIND("/",SUBSTITUTE(LEFT(TRIM(C77),FIND(" ",TRIM(C77)&amp;" ")-1),",","."))+1,9)),IF(ISNUMBER(SEARCH("yea",C77)),IFERROR(_xlfn.NUMBERVALUE(SUBSTITUTE(LEFT(TRIM(C77),FIND(" ",TRIM(C77)&amp;" ")-1),",","."),"."),LEFT(SUBSTITUTE(LEFT(TRIM(C77),FIND(" ",TRIM(C77)&amp;" ")-1),",","."),FIND("/",SUBSTITUTE(LEFT(TRIM(C77),FIND(" ",TRIM(C77)&amp;" ")-1),",","."))-1)/MID(SUBSTITUTE(LEFT(TRIM(C77),FIND(" ",TRIM(C77)&amp;" ")-1),",","."),FIND("/",SUBSTITUTE(LEFT(TRIM(C77),FIND(" ",TRIM(C77)&amp;" ")-1),",","."))+1,9))*12,NA()))),0),24)*'Aturan &amp; Tarif'!$B$4,2)</f>
        <v>1362.72</v>
      </c>
      <c r="K77" s="32" t="n">
        <f aca="false">'Aturan &amp; Tarif'!$B$5</f>
        <v>2050</v>
      </c>
      <c r="L77" s="35" t="n">
        <f aca="false">I77+J77+K77</f>
        <v>25887.72</v>
      </c>
      <c r="M77" s="36" t="s">
        <v>225</v>
      </c>
    </row>
    <row r="78" customFormat="false" ht="106.5" hidden="false" customHeight="true" outlineLevel="0" collapsed="false">
      <c r="A78" s="29"/>
      <c r="B78" s="30" t="s">
        <v>254</v>
      </c>
      <c r="C78" s="31" t="s">
        <v>107</v>
      </c>
      <c r="D78" s="31" t="s">
        <v>108</v>
      </c>
      <c r="E78" s="32" t="n">
        <v>11112.5</v>
      </c>
      <c r="F78" s="32"/>
      <c r="G78" s="32"/>
      <c r="H78" s="33" t="n">
        <v>2</v>
      </c>
      <c r="I78" s="34" t="n">
        <f aca="false">E78*H78+N(F78)+N(G78)</f>
        <v>22225</v>
      </c>
      <c r="J78" s="32" t="n">
        <f aca="false">ROUND(IFERROR(ROUND(IF(OR(ISNUMBER(SEARCH("week",C78)),ISNUMBER(SEARCH("minggu",C78))),IFERROR(_xlfn.NUMBERVALUE(SUBSTITUTE(LEFT(TRIM(C78),FIND(" ",TRIM(C78)&amp;" ")-1),",","."),"."),LEFT(SUBSTITUTE(LEFT(TRIM(C78),FIND(" ",TRIM(C78)&amp;" ")-1),",","."),FIND("/",SUBSTITUTE(LEFT(TRIM(C78),FIND(" ",TRIM(C78)&amp;" ")-1),",","."))-1)/MID(SUBSTITUTE(LEFT(TRIM(C78),FIND(" ",TRIM(C78)&amp;" ")-1),",","."),FIND("/",SUBSTITUTE(LEFT(TRIM(C78),FIND(" ",TRIM(C78)&amp;" ")-1),",","."))+1,9))*12/52,IF(ISNUMBER(SEARCH("month",C78)),IFERROR(_xlfn.NUMBERVALUE(SUBSTITUTE(LEFT(TRIM(C78),FIND(" ",TRIM(C78)&amp;" ")-1),",","."),"."),LEFT(SUBSTITUTE(LEFT(TRIM(C78),FIND(" ",TRIM(C78)&amp;" ")-1),",","."),FIND("/",SUBSTITUTE(LEFT(TRIM(C78),FIND(" ",TRIM(C78)&amp;" ")-1),",","."))-1)/MID(SUBSTITUTE(LEFT(TRIM(C78),FIND(" ",TRIM(C78)&amp;" ")-1),",","."),FIND("/",SUBSTITUTE(LEFT(TRIM(C78),FIND(" ",TRIM(C78)&amp;" ")-1),",","."))+1,9)),IF(ISNUMBER(SEARCH("yea",C78)),IFERROR(_xlfn.NUMBERVALUE(SUBSTITUTE(LEFT(TRIM(C78),FIND(" ",TRIM(C78)&amp;" ")-1),",","."),"."),LEFT(SUBSTITUTE(LEFT(TRIM(C78),FIND(" ",TRIM(C78)&amp;" ")-1),",","."),FIND("/",SUBSTITUTE(LEFT(TRIM(C78),FIND(" ",TRIM(C78)&amp;" ")-1),",","."))-1)/MID(SUBSTITUTE(LEFT(TRIM(C78),FIND(" ",TRIM(C78)&amp;" ")-1),",","."),FIND("/",SUBSTITUTE(LEFT(TRIM(C78),FIND(" ",TRIM(C78)&amp;" ")-1),",","."))+1,9))*12,NA()))),0),24)*'Aturan &amp; Tarif'!$B$4,2)</f>
        <v>1362.72</v>
      </c>
      <c r="K78" s="32" t="n">
        <f aca="false">'Aturan &amp; Tarif'!$B$5</f>
        <v>2050</v>
      </c>
      <c r="L78" s="35" t="n">
        <f aca="false">I78+J78+K78</f>
        <v>25637.72</v>
      </c>
      <c r="M78" s="36" t="s">
        <v>255</v>
      </c>
    </row>
    <row r="79" customFormat="false" ht="37.5" hidden="false" customHeight="true" outlineLevel="0" collapsed="false">
      <c r="A79" s="29"/>
      <c r="B79" s="30" t="s">
        <v>256</v>
      </c>
      <c r="C79" s="31" t="s">
        <v>107</v>
      </c>
      <c r="D79" s="31" t="s">
        <v>108</v>
      </c>
      <c r="E79" s="32" t="n">
        <v>10062.5</v>
      </c>
      <c r="F79" s="32"/>
      <c r="G79" s="32"/>
      <c r="H79" s="33" t="n">
        <v>2</v>
      </c>
      <c r="I79" s="34" t="n">
        <f aca="false">E79*H79+N(F79)+N(G79)</f>
        <v>20125</v>
      </c>
      <c r="J79" s="32" t="n">
        <f aca="false">ROUND(IFERROR(ROUND(IF(OR(ISNUMBER(SEARCH("week",C79)),ISNUMBER(SEARCH("minggu",C79))),IFERROR(_xlfn.NUMBERVALUE(SUBSTITUTE(LEFT(TRIM(C79),FIND(" ",TRIM(C79)&amp;" ")-1),",","."),"."),LEFT(SUBSTITUTE(LEFT(TRIM(C79),FIND(" ",TRIM(C79)&amp;" ")-1),",","."),FIND("/",SUBSTITUTE(LEFT(TRIM(C79),FIND(" ",TRIM(C79)&amp;" ")-1),",","."))-1)/MID(SUBSTITUTE(LEFT(TRIM(C79),FIND(" ",TRIM(C79)&amp;" ")-1),",","."),FIND("/",SUBSTITUTE(LEFT(TRIM(C79),FIND(" ",TRIM(C79)&amp;" ")-1),",","."))+1,9))*12/52,IF(ISNUMBER(SEARCH("month",C79)),IFERROR(_xlfn.NUMBERVALUE(SUBSTITUTE(LEFT(TRIM(C79),FIND(" ",TRIM(C79)&amp;" ")-1),",","."),"."),LEFT(SUBSTITUTE(LEFT(TRIM(C79),FIND(" ",TRIM(C79)&amp;" ")-1),",","."),FIND("/",SUBSTITUTE(LEFT(TRIM(C79),FIND(" ",TRIM(C79)&amp;" ")-1),",","."))-1)/MID(SUBSTITUTE(LEFT(TRIM(C79),FIND(" ",TRIM(C79)&amp;" ")-1),",","."),FIND("/",SUBSTITUTE(LEFT(TRIM(C79),FIND(" ",TRIM(C79)&amp;" ")-1),",","."))+1,9)),IF(ISNUMBER(SEARCH("yea",C79)),IFERROR(_xlfn.NUMBERVALUE(SUBSTITUTE(LEFT(TRIM(C79),FIND(" ",TRIM(C79)&amp;" ")-1),",","."),"."),LEFT(SUBSTITUTE(LEFT(TRIM(C79),FIND(" ",TRIM(C79)&amp;" ")-1),",","."),FIND("/",SUBSTITUTE(LEFT(TRIM(C79),FIND(" ",TRIM(C79)&amp;" ")-1),",","."))-1)/MID(SUBSTITUTE(LEFT(TRIM(C79),FIND(" ",TRIM(C79)&amp;" ")-1),",","."),FIND("/",SUBSTITUTE(LEFT(TRIM(C79),FIND(" ",TRIM(C79)&amp;" ")-1),",","."))+1,9))*12,NA()))),0),24)*'Aturan &amp; Tarif'!$B$4,2)</f>
        <v>1362.72</v>
      </c>
      <c r="K79" s="32" t="n">
        <f aca="false">'Aturan &amp; Tarif'!$B$5</f>
        <v>2050</v>
      </c>
      <c r="L79" s="35" t="n">
        <f aca="false">I79+J79+K79</f>
        <v>23537.72</v>
      </c>
      <c r="M79" s="36" t="s">
        <v>194</v>
      </c>
    </row>
    <row r="80" customFormat="false" ht="106.5" hidden="false" customHeight="true" outlineLevel="0" collapsed="false">
      <c r="A80" s="29"/>
      <c r="B80" s="30" t="s">
        <v>257</v>
      </c>
      <c r="C80" s="31" t="s">
        <v>107</v>
      </c>
      <c r="D80" s="31" t="s">
        <v>108</v>
      </c>
      <c r="E80" s="32" t="n">
        <v>10487.5</v>
      </c>
      <c r="F80" s="32"/>
      <c r="G80" s="32"/>
      <c r="H80" s="33" t="n">
        <v>2</v>
      </c>
      <c r="I80" s="34" t="n">
        <f aca="false">E80*H80+N(F80)+N(G80)</f>
        <v>20975</v>
      </c>
      <c r="J80" s="32" t="n">
        <f aca="false">ROUND(IFERROR(ROUND(IF(OR(ISNUMBER(SEARCH("week",C80)),ISNUMBER(SEARCH("minggu",C80))),IFERROR(_xlfn.NUMBERVALUE(SUBSTITUTE(LEFT(TRIM(C80),FIND(" ",TRIM(C80)&amp;" ")-1),",","."),"."),LEFT(SUBSTITUTE(LEFT(TRIM(C80),FIND(" ",TRIM(C80)&amp;" ")-1),",","."),FIND("/",SUBSTITUTE(LEFT(TRIM(C80),FIND(" ",TRIM(C80)&amp;" ")-1),",","."))-1)/MID(SUBSTITUTE(LEFT(TRIM(C80),FIND(" ",TRIM(C80)&amp;" ")-1),",","."),FIND("/",SUBSTITUTE(LEFT(TRIM(C80),FIND(" ",TRIM(C80)&amp;" ")-1),",","."))+1,9))*12/52,IF(ISNUMBER(SEARCH("month",C80)),IFERROR(_xlfn.NUMBERVALUE(SUBSTITUTE(LEFT(TRIM(C80),FIND(" ",TRIM(C80)&amp;" ")-1),",","."),"."),LEFT(SUBSTITUTE(LEFT(TRIM(C80),FIND(" ",TRIM(C80)&amp;" ")-1),",","."),FIND("/",SUBSTITUTE(LEFT(TRIM(C80),FIND(" ",TRIM(C80)&amp;" ")-1),",","."))-1)/MID(SUBSTITUTE(LEFT(TRIM(C80),FIND(" ",TRIM(C80)&amp;" ")-1),",","."),FIND("/",SUBSTITUTE(LEFT(TRIM(C80),FIND(" ",TRIM(C80)&amp;" ")-1),",","."))+1,9)),IF(ISNUMBER(SEARCH("yea",C80)),IFERROR(_xlfn.NUMBERVALUE(SUBSTITUTE(LEFT(TRIM(C80),FIND(" ",TRIM(C80)&amp;" ")-1),",","."),"."),LEFT(SUBSTITUTE(LEFT(TRIM(C80),FIND(" ",TRIM(C80)&amp;" ")-1),",","."),FIND("/",SUBSTITUTE(LEFT(TRIM(C80),FIND(" ",TRIM(C80)&amp;" ")-1),",","."))-1)/MID(SUBSTITUTE(LEFT(TRIM(C80),FIND(" ",TRIM(C80)&amp;" ")-1),",","."),FIND("/",SUBSTITUTE(LEFT(TRIM(C80),FIND(" ",TRIM(C80)&amp;" ")-1),",","."))+1,9))*12,NA()))),0),24)*'Aturan &amp; Tarif'!$B$4,2)</f>
        <v>1362.72</v>
      </c>
      <c r="K80" s="32" t="n">
        <f aca="false">'Aturan &amp; Tarif'!$B$5</f>
        <v>2050</v>
      </c>
      <c r="L80" s="35" t="n">
        <f aca="false">I80+J80+K80</f>
        <v>24387.72</v>
      </c>
      <c r="M80" s="36" t="s">
        <v>258</v>
      </c>
    </row>
    <row r="81" customFormat="false" ht="106.5" hidden="false" customHeight="true" outlineLevel="0" collapsed="false">
      <c r="A81" s="29"/>
      <c r="B81" s="30" t="s">
        <v>259</v>
      </c>
      <c r="C81" s="31" t="s">
        <v>127</v>
      </c>
      <c r="D81" s="31" t="s">
        <v>108</v>
      </c>
      <c r="E81" s="32" t="n">
        <v>11237.5</v>
      </c>
      <c r="F81" s="32"/>
      <c r="G81" s="32"/>
      <c r="H81" s="33" t="n">
        <v>2</v>
      </c>
      <c r="I81" s="34" t="n">
        <f aca="false">E81*H81+N(F81)+N(G81)</f>
        <v>22475</v>
      </c>
      <c r="J81" s="32" t="n">
        <f aca="false">ROUND(IFERROR(ROUND(IF(OR(ISNUMBER(SEARCH("week",C81)),ISNUMBER(SEARCH("minggu",C81))),IFERROR(_xlfn.NUMBERVALUE(SUBSTITUTE(LEFT(TRIM(C81),FIND(" ",TRIM(C81)&amp;" ")-1),",","."),"."),LEFT(SUBSTITUTE(LEFT(TRIM(C81),FIND(" ",TRIM(C81)&amp;" ")-1),",","."),FIND("/",SUBSTITUTE(LEFT(TRIM(C81),FIND(" ",TRIM(C81)&amp;" ")-1),",","."))-1)/MID(SUBSTITUTE(LEFT(TRIM(C81),FIND(" ",TRIM(C81)&amp;" ")-1),",","."),FIND("/",SUBSTITUTE(LEFT(TRIM(C81),FIND(" ",TRIM(C81)&amp;" ")-1),",","."))+1,9))*12/52,IF(ISNUMBER(SEARCH("month",C81)),IFERROR(_xlfn.NUMBERVALUE(SUBSTITUTE(LEFT(TRIM(C81),FIND(" ",TRIM(C81)&amp;" ")-1),",","."),"."),LEFT(SUBSTITUTE(LEFT(TRIM(C81),FIND(" ",TRIM(C81)&amp;" ")-1),",","."),FIND("/",SUBSTITUTE(LEFT(TRIM(C81),FIND(" ",TRIM(C81)&amp;" ")-1),",","."))-1)/MID(SUBSTITUTE(LEFT(TRIM(C81),FIND(" ",TRIM(C81)&amp;" ")-1),",","."),FIND("/",SUBSTITUTE(LEFT(TRIM(C81),FIND(" ",TRIM(C81)&amp;" ")-1),",","."))+1,9)),IF(ISNUMBER(SEARCH("yea",C81)),IFERROR(_xlfn.NUMBERVALUE(SUBSTITUTE(LEFT(TRIM(C81),FIND(" ",TRIM(C81)&amp;" ")-1),",","."),"."),LEFT(SUBSTITUTE(LEFT(TRIM(C81),FIND(" ",TRIM(C81)&amp;" ")-1),",","."),FIND("/",SUBSTITUTE(LEFT(TRIM(C81),FIND(" ",TRIM(C81)&amp;" ")-1),",","."))-1)/MID(SUBSTITUTE(LEFT(TRIM(C81),FIND(" ",TRIM(C81)&amp;" ")-1),",","."),FIND("/",SUBSTITUTE(LEFT(TRIM(C81),FIND(" ",TRIM(C81)&amp;" ")-1),",","."))+1,9))*12,NA()))),0),36)*'Aturan &amp; Tarif'!$B$4,2)</f>
        <v>2044.08</v>
      </c>
      <c r="K81" s="32" t="n">
        <f aca="false">'Aturan &amp; Tarif'!$B$5</f>
        <v>2050</v>
      </c>
      <c r="L81" s="35" t="n">
        <f aca="false">I81+J81+K81</f>
        <v>26569.08</v>
      </c>
      <c r="M81" s="36" t="s">
        <v>260</v>
      </c>
    </row>
    <row r="82" customFormat="false" ht="106.5" hidden="false" customHeight="true" outlineLevel="0" collapsed="false">
      <c r="A82" s="29"/>
      <c r="B82" s="30" t="s">
        <v>261</v>
      </c>
      <c r="C82" s="31" t="s">
        <v>127</v>
      </c>
      <c r="D82" s="31" t="s">
        <v>108</v>
      </c>
      <c r="E82" s="32" t="n">
        <v>9987.5</v>
      </c>
      <c r="F82" s="32"/>
      <c r="G82" s="32"/>
      <c r="H82" s="33" t="n">
        <v>2</v>
      </c>
      <c r="I82" s="34" t="n">
        <f aca="false">E82*H82+N(F82)+N(G82)</f>
        <v>19975</v>
      </c>
      <c r="J82" s="32" t="n">
        <f aca="false">ROUND(IFERROR(ROUND(IF(OR(ISNUMBER(SEARCH("week",C82)),ISNUMBER(SEARCH("minggu",C82))),IFERROR(_xlfn.NUMBERVALUE(SUBSTITUTE(LEFT(TRIM(C82),FIND(" ",TRIM(C82)&amp;" ")-1),",","."),"."),LEFT(SUBSTITUTE(LEFT(TRIM(C82),FIND(" ",TRIM(C82)&amp;" ")-1),",","."),FIND("/",SUBSTITUTE(LEFT(TRIM(C82),FIND(" ",TRIM(C82)&amp;" ")-1),",","."))-1)/MID(SUBSTITUTE(LEFT(TRIM(C82),FIND(" ",TRIM(C82)&amp;" ")-1),",","."),FIND("/",SUBSTITUTE(LEFT(TRIM(C82),FIND(" ",TRIM(C82)&amp;" ")-1),",","."))+1,9))*12/52,IF(ISNUMBER(SEARCH("month",C82)),IFERROR(_xlfn.NUMBERVALUE(SUBSTITUTE(LEFT(TRIM(C82),FIND(" ",TRIM(C82)&amp;" ")-1),",","."),"."),LEFT(SUBSTITUTE(LEFT(TRIM(C82),FIND(" ",TRIM(C82)&amp;" ")-1),",","."),FIND("/",SUBSTITUTE(LEFT(TRIM(C82),FIND(" ",TRIM(C82)&amp;" ")-1),",","."))-1)/MID(SUBSTITUTE(LEFT(TRIM(C82),FIND(" ",TRIM(C82)&amp;" ")-1),",","."),FIND("/",SUBSTITUTE(LEFT(TRIM(C82),FIND(" ",TRIM(C82)&amp;" ")-1),",","."))+1,9)),IF(ISNUMBER(SEARCH("yea",C82)),IFERROR(_xlfn.NUMBERVALUE(SUBSTITUTE(LEFT(TRIM(C82),FIND(" ",TRIM(C82)&amp;" ")-1),",","."),"."),LEFT(SUBSTITUTE(LEFT(TRIM(C82),FIND(" ",TRIM(C82)&amp;" ")-1),",","."),FIND("/",SUBSTITUTE(LEFT(TRIM(C82),FIND(" ",TRIM(C82)&amp;" ")-1),",","."))-1)/MID(SUBSTITUTE(LEFT(TRIM(C82),FIND(" ",TRIM(C82)&amp;" ")-1),",","."),FIND("/",SUBSTITUTE(LEFT(TRIM(C82),FIND(" ",TRIM(C82)&amp;" ")-1),",","."))+1,9))*12,NA()))),0),36)*'Aturan &amp; Tarif'!$B$4,2)</f>
        <v>2044.08</v>
      </c>
      <c r="K82" s="32" t="n">
        <f aca="false">'Aturan &amp; Tarif'!$B$5</f>
        <v>2050</v>
      </c>
      <c r="L82" s="35" t="n">
        <f aca="false">I82+J82+K82</f>
        <v>24069.08</v>
      </c>
      <c r="M82" s="36" t="s">
        <v>262</v>
      </c>
    </row>
    <row r="83" customFormat="false" ht="94.5" hidden="false" customHeight="true" outlineLevel="0" collapsed="false">
      <c r="A83" s="29"/>
      <c r="B83" s="30" t="s">
        <v>263</v>
      </c>
      <c r="C83" s="31" t="s">
        <v>245</v>
      </c>
      <c r="D83" s="31" t="s">
        <v>108</v>
      </c>
      <c r="E83" s="32" t="n">
        <v>23237.5</v>
      </c>
      <c r="F83" s="32"/>
      <c r="G83" s="32"/>
      <c r="H83" s="33" t="n">
        <v>2</v>
      </c>
      <c r="I83" s="34" t="n">
        <f aca="false">E83*H83+N(F83)+N(G83)</f>
        <v>46475</v>
      </c>
      <c r="J83" s="32" t="n">
        <f aca="false">ROUND(IFERROR(ROUND(IF(OR(ISNUMBER(SEARCH("week",C83)),ISNUMBER(SEARCH("minggu",C83))),IFERROR(_xlfn.NUMBERVALUE(SUBSTITUTE(LEFT(TRIM(C83),FIND(" ",TRIM(C83)&amp;" ")-1),",","."),"."),LEFT(SUBSTITUTE(LEFT(TRIM(C83),FIND(" ",TRIM(C83)&amp;" ")-1),",","."),FIND("/",SUBSTITUTE(LEFT(TRIM(C83),FIND(" ",TRIM(C83)&amp;" ")-1),",","."))-1)/MID(SUBSTITUTE(LEFT(TRIM(C83),FIND(" ",TRIM(C83)&amp;" ")-1),",","."),FIND("/",SUBSTITUTE(LEFT(TRIM(C83),FIND(" ",TRIM(C83)&amp;" ")-1),",","."))+1,9))*12/52,IF(ISNUMBER(SEARCH("month",C83)),IFERROR(_xlfn.NUMBERVALUE(SUBSTITUTE(LEFT(TRIM(C83),FIND(" ",TRIM(C83)&amp;" ")-1),",","."),"."),LEFT(SUBSTITUTE(LEFT(TRIM(C83),FIND(" ",TRIM(C83)&amp;" ")-1),",","."),FIND("/",SUBSTITUTE(LEFT(TRIM(C83),FIND(" ",TRIM(C83)&amp;" ")-1),",","."))-1)/MID(SUBSTITUTE(LEFT(TRIM(C83),FIND(" ",TRIM(C83)&amp;" ")-1),",","."),FIND("/",SUBSTITUTE(LEFT(TRIM(C83),FIND(" ",TRIM(C83)&amp;" ")-1),",","."))+1,9)),IF(ISNUMBER(SEARCH("yea",C83)),IFERROR(_xlfn.NUMBERVALUE(SUBSTITUTE(LEFT(TRIM(C83),FIND(" ",TRIM(C83)&amp;" ")-1),",","."),"."),LEFT(SUBSTITUTE(LEFT(TRIM(C83),FIND(" ",TRIM(C83)&amp;" ")-1),",","."),FIND("/",SUBSTITUTE(LEFT(TRIM(C83),FIND(" ",TRIM(C83)&amp;" ")-1),",","."))-1)/MID(SUBSTITUTE(LEFT(TRIM(C83),FIND(" ",TRIM(C83)&amp;" ")-1),",","."),FIND("/",SUBSTITUTE(LEFT(TRIM(C83),FIND(" ",TRIM(C83)&amp;" ")-1),",","."))+1,9))*12,NA()))),0),60)*'Aturan &amp; Tarif'!$B$4,2)</f>
        <v>3406.8</v>
      </c>
      <c r="K83" s="32" t="n">
        <f aca="false">'Aturan &amp; Tarif'!$B$5</f>
        <v>2050</v>
      </c>
      <c r="L83" s="35" t="n">
        <f aca="false">I83+J83+K83</f>
        <v>51931.8</v>
      </c>
      <c r="M83" s="36" t="s">
        <v>264</v>
      </c>
    </row>
    <row r="84" customFormat="false" ht="106.5" hidden="false" customHeight="true" outlineLevel="0" collapsed="false">
      <c r="A84" s="29"/>
      <c r="B84" s="30" t="s">
        <v>265</v>
      </c>
      <c r="C84" s="31" t="s">
        <v>127</v>
      </c>
      <c r="D84" s="31" t="s">
        <v>108</v>
      </c>
      <c r="E84" s="32" t="n">
        <v>10737.5</v>
      </c>
      <c r="F84" s="32"/>
      <c r="G84" s="32"/>
      <c r="H84" s="33" t="n">
        <v>2</v>
      </c>
      <c r="I84" s="34" t="n">
        <f aca="false">E84*H84+N(F84)+N(G84)</f>
        <v>21475</v>
      </c>
      <c r="J84" s="32" t="n">
        <f aca="false">ROUND(IFERROR(ROUND(IF(OR(ISNUMBER(SEARCH("week",C84)),ISNUMBER(SEARCH("minggu",C84))),IFERROR(_xlfn.NUMBERVALUE(SUBSTITUTE(LEFT(TRIM(C84),FIND(" ",TRIM(C84)&amp;" ")-1),",","."),"."),LEFT(SUBSTITUTE(LEFT(TRIM(C84),FIND(" ",TRIM(C84)&amp;" ")-1),",","."),FIND("/",SUBSTITUTE(LEFT(TRIM(C84),FIND(" ",TRIM(C84)&amp;" ")-1),",","."))-1)/MID(SUBSTITUTE(LEFT(TRIM(C84),FIND(" ",TRIM(C84)&amp;" ")-1),",","."),FIND("/",SUBSTITUTE(LEFT(TRIM(C84),FIND(" ",TRIM(C84)&amp;" ")-1),",","."))+1,9))*12/52,IF(ISNUMBER(SEARCH("month",C84)),IFERROR(_xlfn.NUMBERVALUE(SUBSTITUTE(LEFT(TRIM(C84),FIND(" ",TRIM(C84)&amp;" ")-1),",","."),"."),LEFT(SUBSTITUTE(LEFT(TRIM(C84),FIND(" ",TRIM(C84)&amp;" ")-1),",","."),FIND("/",SUBSTITUTE(LEFT(TRIM(C84),FIND(" ",TRIM(C84)&amp;" ")-1),",","."))-1)/MID(SUBSTITUTE(LEFT(TRIM(C84),FIND(" ",TRIM(C84)&amp;" ")-1),",","."),FIND("/",SUBSTITUTE(LEFT(TRIM(C84),FIND(" ",TRIM(C84)&amp;" ")-1),",","."))+1,9)),IF(ISNUMBER(SEARCH("yea",C84)),IFERROR(_xlfn.NUMBERVALUE(SUBSTITUTE(LEFT(TRIM(C84),FIND(" ",TRIM(C84)&amp;" ")-1),",","."),"."),LEFT(SUBSTITUTE(LEFT(TRIM(C84),FIND(" ",TRIM(C84)&amp;" ")-1),",","."),FIND("/",SUBSTITUTE(LEFT(TRIM(C84),FIND(" ",TRIM(C84)&amp;" ")-1),",","."))-1)/MID(SUBSTITUTE(LEFT(TRIM(C84),FIND(" ",TRIM(C84)&amp;" ")-1),",","."),FIND("/",SUBSTITUTE(LEFT(TRIM(C84),FIND(" ",TRIM(C84)&amp;" ")-1),",","."))+1,9))*12,NA()))),0),36)*'Aturan &amp; Tarif'!$B$4,2)</f>
        <v>2044.08</v>
      </c>
      <c r="K84" s="32" t="n">
        <f aca="false">'Aturan &amp; Tarif'!$B$5</f>
        <v>2050</v>
      </c>
      <c r="L84" s="35" t="n">
        <f aca="false">I84+J84+K84</f>
        <v>25569.08</v>
      </c>
      <c r="M84" s="36" t="s">
        <v>266</v>
      </c>
    </row>
    <row r="85" customFormat="false" ht="60" hidden="false" customHeight="true" outlineLevel="0" collapsed="false">
      <c r="A85" s="29"/>
      <c r="B85" s="30" t="s">
        <v>267</v>
      </c>
      <c r="C85" s="31" t="s">
        <v>127</v>
      </c>
      <c r="D85" s="31" t="s">
        <v>108</v>
      </c>
      <c r="E85" s="32" t="n">
        <v>11487.5</v>
      </c>
      <c r="F85" s="32"/>
      <c r="G85" s="32"/>
      <c r="H85" s="33" t="n">
        <v>2</v>
      </c>
      <c r="I85" s="34" t="n">
        <f aca="false">E85*H85+N(F85)+N(G85)</f>
        <v>22975</v>
      </c>
      <c r="J85" s="32" t="n">
        <f aca="false">ROUND(IFERROR(ROUND(IF(OR(ISNUMBER(SEARCH("week",C85)),ISNUMBER(SEARCH("minggu",C85))),IFERROR(_xlfn.NUMBERVALUE(SUBSTITUTE(LEFT(TRIM(C85),FIND(" ",TRIM(C85)&amp;" ")-1),",","."),"."),LEFT(SUBSTITUTE(LEFT(TRIM(C85),FIND(" ",TRIM(C85)&amp;" ")-1),",","."),FIND("/",SUBSTITUTE(LEFT(TRIM(C85),FIND(" ",TRIM(C85)&amp;" ")-1),",","."))-1)/MID(SUBSTITUTE(LEFT(TRIM(C85),FIND(" ",TRIM(C85)&amp;" ")-1),",","."),FIND("/",SUBSTITUTE(LEFT(TRIM(C85),FIND(" ",TRIM(C85)&amp;" ")-1),",","."))+1,9))*12/52,IF(ISNUMBER(SEARCH("month",C85)),IFERROR(_xlfn.NUMBERVALUE(SUBSTITUTE(LEFT(TRIM(C85),FIND(" ",TRIM(C85)&amp;" ")-1),",","."),"."),LEFT(SUBSTITUTE(LEFT(TRIM(C85),FIND(" ",TRIM(C85)&amp;" ")-1),",","."),FIND("/",SUBSTITUTE(LEFT(TRIM(C85),FIND(" ",TRIM(C85)&amp;" ")-1),",","."))-1)/MID(SUBSTITUTE(LEFT(TRIM(C85),FIND(" ",TRIM(C85)&amp;" ")-1),",","."),FIND("/",SUBSTITUTE(LEFT(TRIM(C85),FIND(" ",TRIM(C85)&amp;" ")-1),",","."))+1,9)),IF(ISNUMBER(SEARCH("yea",C85)),IFERROR(_xlfn.NUMBERVALUE(SUBSTITUTE(LEFT(TRIM(C85),FIND(" ",TRIM(C85)&amp;" ")-1),",","."),"."),LEFT(SUBSTITUTE(LEFT(TRIM(C85),FIND(" ",TRIM(C85)&amp;" ")-1),",","."),FIND("/",SUBSTITUTE(LEFT(TRIM(C85),FIND(" ",TRIM(C85)&amp;" ")-1),",","."))-1)/MID(SUBSTITUTE(LEFT(TRIM(C85),FIND(" ",TRIM(C85)&amp;" ")-1),",","."),FIND("/",SUBSTITUTE(LEFT(TRIM(C85),FIND(" ",TRIM(C85)&amp;" ")-1),",","."))+1,9))*12,NA()))),0),36)*'Aturan &amp; Tarif'!$B$4,2)</f>
        <v>2044.08</v>
      </c>
      <c r="K85" s="32" t="n">
        <f aca="false">'Aturan &amp; Tarif'!$B$5</f>
        <v>2050</v>
      </c>
      <c r="L85" s="35" t="n">
        <f aca="false">I85+J85+K85</f>
        <v>27069.08</v>
      </c>
      <c r="M85" s="36" t="s">
        <v>268</v>
      </c>
    </row>
    <row r="86" customFormat="false" ht="106.5" hidden="false" customHeight="true" outlineLevel="0" collapsed="false">
      <c r="A86" s="29"/>
      <c r="B86" s="30" t="s">
        <v>269</v>
      </c>
      <c r="C86" s="31" t="s">
        <v>127</v>
      </c>
      <c r="D86" s="31" t="s">
        <v>108</v>
      </c>
      <c r="E86" s="32" t="n">
        <v>10487.5</v>
      </c>
      <c r="F86" s="32"/>
      <c r="G86" s="32"/>
      <c r="H86" s="33" t="n">
        <v>2</v>
      </c>
      <c r="I86" s="34" t="n">
        <f aca="false">E86*H86+N(F86)+N(G86)</f>
        <v>20975</v>
      </c>
      <c r="J86" s="32" t="n">
        <f aca="false">ROUND(IFERROR(ROUND(IF(OR(ISNUMBER(SEARCH("week",C86)),ISNUMBER(SEARCH("minggu",C86))),IFERROR(_xlfn.NUMBERVALUE(SUBSTITUTE(LEFT(TRIM(C86),FIND(" ",TRIM(C86)&amp;" ")-1),",","."),"."),LEFT(SUBSTITUTE(LEFT(TRIM(C86),FIND(" ",TRIM(C86)&amp;" ")-1),",","."),FIND("/",SUBSTITUTE(LEFT(TRIM(C86),FIND(" ",TRIM(C86)&amp;" ")-1),",","."))-1)/MID(SUBSTITUTE(LEFT(TRIM(C86),FIND(" ",TRIM(C86)&amp;" ")-1),",","."),FIND("/",SUBSTITUTE(LEFT(TRIM(C86),FIND(" ",TRIM(C86)&amp;" ")-1),",","."))+1,9))*12/52,IF(ISNUMBER(SEARCH("month",C86)),IFERROR(_xlfn.NUMBERVALUE(SUBSTITUTE(LEFT(TRIM(C86),FIND(" ",TRIM(C86)&amp;" ")-1),",","."),"."),LEFT(SUBSTITUTE(LEFT(TRIM(C86),FIND(" ",TRIM(C86)&amp;" ")-1),",","."),FIND("/",SUBSTITUTE(LEFT(TRIM(C86),FIND(" ",TRIM(C86)&amp;" ")-1),",","."))-1)/MID(SUBSTITUTE(LEFT(TRIM(C86),FIND(" ",TRIM(C86)&amp;" ")-1),",","."),FIND("/",SUBSTITUTE(LEFT(TRIM(C86),FIND(" ",TRIM(C86)&amp;" ")-1),",","."))+1,9)),IF(ISNUMBER(SEARCH("yea",C86)),IFERROR(_xlfn.NUMBERVALUE(SUBSTITUTE(LEFT(TRIM(C86),FIND(" ",TRIM(C86)&amp;" ")-1),",","."),"."),LEFT(SUBSTITUTE(LEFT(TRIM(C86),FIND(" ",TRIM(C86)&amp;" ")-1),",","."),FIND("/",SUBSTITUTE(LEFT(TRIM(C86),FIND(" ",TRIM(C86)&amp;" ")-1),",","."))-1)/MID(SUBSTITUTE(LEFT(TRIM(C86),FIND(" ",TRIM(C86)&amp;" ")-1),",","."),FIND("/",SUBSTITUTE(LEFT(TRIM(C86),FIND(" ",TRIM(C86)&amp;" ")-1),",","."))+1,9))*12,NA()))),0),36)*'Aturan &amp; Tarif'!$B$4,2)</f>
        <v>2044.08</v>
      </c>
      <c r="K86" s="32" t="n">
        <f aca="false">'Aturan &amp; Tarif'!$B$5</f>
        <v>2050</v>
      </c>
      <c r="L86" s="35" t="n">
        <f aca="false">I86+J86+K86</f>
        <v>25069.08</v>
      </c>
      <c r="M86" s="36" t="s">
        <v>270</v>
      </c>
    </row>
    <row r="87" customFormat="false" ht="106.5" hidden="false" customHeight="true" outlineLevel="0" collapsed="false">
      <c r="A87" s="29"/>
      <c r="B87" s="30" t="s">
        <v>271</v>
      </c>
      <c r="C87" s="31" t="s">
        <v>191</v>
      </c>
      <c r="D87" s="31" t="s">
        <v>108</v>
      </c>
      <c r="E87" s="32" t="n">
        <v>9737.5</v>
      </c>
      <c r="F87" s="32"/>
      <c r="G87" s="32"/>
      <c r="H87" s="33" t="n">
        <v>2</v>
      </c>
      <c r="I87" s="34" t="n">
        <f aca="false">E87*H87+N(F87)+N(G87)</f>
        <v>19475</v>
      </c>
      <c r="J87" s="32" t="n">
        <f aca="false">ROUND(IFERROR(ROUND(IF(OR(ISNUMBER(SEARCH("week",C87)),ISNUMBER(SEARCH("minggu",C87))),IFERROR(_xlfn.NUMBERVALUE(SUBSTITUTE(LEFT(TRIM(C87),FIND(" ",TRIM(C87)&amp;" ")-1),",","."),"."),LEFT(SUBSTITUTE(LEFT(TRIM(C87),FIND(" ",TRIM(C87)&amp;" ")-1),",","."),FIND("/",SUBSTITUTE(LEFT(TRIM(C87),FIND(" ",TRIM(C87)&amp;" ")-1),",","."))-1)/MID(SUBSTITUTE(LEFT(TRIM(C87),FIND(" ",TRIM(C87)&amp;" ")-1),",","."),FIND("/",SUBSTITUTE(LEFT(TRIM(C87),FIND(" ",TRIM(C87)&amp;" ")-1),",","."))+1,9))*12/52,IF(ISNUMBER(SEARCH("month",C87)),IFERROR(_xlfn.NUMBERVALUE(SUBSTITUTE(LEFT(TRIM(C87),FIND(" ",TRIM(C87)&amp;" ")-1),",","."),"."),LEFT(SUBSTITUTE(LEFT(TRIM(C87),FIND(" ",TRIM(C87)&amp;" ")-1),",","."),FIND("/",SUBSTITUTE(LEFT(TRIM(C87),FIND(" ",TRIM(C87)&amp;" ")-1),",","."))-1)/MID(SUBSTITUTE(LEFT(TRIM(C87),FIND(" ",TRIM(C87)&amp;" ")-1),",","."),FIND("/",SUBSTITUTE(LEFT(TRIM(C87),FIND(" ",TRIM(C87)&amp;" ")-1),",","."))+1,9)),IF(ISNUMBER(SEARCH("yea",C87)),IFERROR(_xlfn.NUMBERVALUE(SUBSTITUTE(LEFT(TRIM(C87),FIND(" ",TRIM(C87)&amp;" ")-1),",","."),"."),LEFT(SUBSTITUTE(LEFT(TRIM(C87),FIND(" ",TRIM(C87)&amp;" ")-1),",","."),FIND("/",SUBSTITUTE(LEFT(TRIM(C87),FIND(" ",TRIM(C87)&amp;" ")-1),",","."))-1)/MID(SUBSTITUTE(LEFT(TRIM(C87),FIND(" ",TRIM(C87)&amp;" ")-1),",","."),FIND("/",SUBSTITUTE(LEFT(TRIM(C87),FIND(" ",TRIM(C87)&amp;" ")-1),",","."))+1,9))*12,NA()))),0),48)*'Aturan &amp; Tarif'!$B$4,2)</f>
        <v>2725.44</v>
      </c>
      <c r="K87" s="32" t="n">
        <f aca="false">'Aturan &amp; Tarif'!$B$5</f>
        <v>2050</v>
      </c>
      <c r="L87" s="35" t="n">
        <f aca="false">I87+J87+K87</f>
        <v>24250.44</v>
      </c>
      <c r="M87" s="36" t="s">
        <v>272</v>
      </c>
    </row>
    <row r="88" customFormat="false" ht="106.5" hidden="false" customHeight="true" outlineLevel="0" collapsed="false">
      <c r="A88" s="29"/>
      <c r="B88" s="30" t="s">
        <v>273</v>
      </c>
      <c r="C88" s="31" t="s">
        <v>130</v>
      </c>
      <c r="D88" s="31" t="s">
        <v>108</v>
      </c>
      <c r="E88" s="32" t="n">
        <v>10237.5</v>
      </c>
      <c r="F88" s="32"/>
      <c r="G88" s="32"/>
      <c r="H88" s="33" t="n">
        <v>2</v>
      </c>
      <c r="I88" s="34" t="n">
        <f aca="false">E88*H88+N(F88)+N(G88)</f>
        <v>20475</v>
      </c>
      <c r="J88" s="32" t="n">
        <f aca="false">ROUND(IFERROR(ROUND(IF(OR(ISNUMBER(SEARCH("week",C88)),ISNUMBER(SEARCH("minggu",C88))),IFERROR(_xlfn.NUMBERVALUE(SUBSTITUTE(LEFT(TRIM(C88),FIND(" ",TRIM(C88)&amp;" ")-1),",","."),"."),LEFT(SUBSTITUTE(LEFT(TRIM(C88),FIND(" ",TRIM(C88)&amp;" ")-1),",","."),FIND("/",SUBSTITUTE(LEFT(TRIM(C88),FIND(" ",TRIM(C88)&amp;" ")-1),",","."))-1)/MID(SUBSTITUTE(LEFT(TRIM(C88),FIND(" ",TRIM(C88)&amp;" ")-1),",","."),FIND("/",SUBSTITUTE(LEFT(TRIM(C88),FIND(" ",TRIM(C88)&amp;" ")-1),",","."))+1,9))*12/52,IF(ISNUMBER(SEARCH("month",C88)),IFERROR(_xlfn.NUMBERVALUE(SUBSTITUTE(LEFT(TRIM(C88),FIND(" ",TRIM(C88)&amp;" ")-1),",","."),"."),LEFT(SUBSTITUTE(LEFT(TRIM(C88),FIND(" ",TRIM(C88)&amp;" ")-1),",","."),FIND("/",SUBSTITUTE(LEFT(TRIM(C88),FIND(" ",TRIM(C88)&amp;" ")-1),",","."))-1)/MID(SUBSTITUTE(LEFT(TRIM(C88),FIND(" ",TRIM(C88)&amp;" ")-1),",","."),FIND("/",SUBSTITUTE(LEFT(TRIM(C88),FIND(" ",TRIM(C88)&amp;" ")-1),",","."))+1,9)),IF(ISNUMBER(SEARCH("yea",C88)),IFERROR(_xlfn.NUMBERVALUE(SUBSTITUTE(LEFT(TRIM(C88),FIND(" ",TRIM(C88)&amp;" ")-1),",","."),"."),LEFT(SUBSTITUTE(LEFT(TRIM(C88),FIND(" ",TRIM(C88)&amp;" ")-1),",","."),FIND("/",SUBSTITUTE(LEFT(TRIM(C88),FIND(" ",TRIM(C88)&amp;" ")-1),",","."))-1)/MID(SUBSTITUTE(LEFT(TRIM(C88),FIND(" ",TRIM(C88)&amp;" ")-1),",","."),FIND("/",SUBSTITUTE(LEFT(TRIM(C88),FIND(" ",TRIM(C88)&amp;" ")-1),",","."))+1,9))*12,NA()))),0),12)*'Aturan &amp; Tarif'!$B$4,2)</f>
        <v>681.36</v>
      </c>
      <c r="K88" s="32" t="n">
        <f aca="false">'Aturan &amp; Tarif'!$B$5</f>
        <v>2050</v>
      </c>
      <c r="L88" s="35" t="n">
        <f aca="false">I88+J88+K88</f>
        <v>23206.36</v>
      </c>
      <c r="M88" s="36" t="s">
        <v>274</v>
      </c>
    </row>
    <row r="89" customFormat="false" ht="94.5" hidden="false" customHeight="true" outlineLevel="0" collapsed="false">
      <c r="A89" s="29"/>
      <c r="B89" s="30" t="s">
        <v>275</v>
      </c>
      <c r="C89" s="31" t="s">
        <v>107</v>
      </c>
      <c r="D89" s="31" t="s">
        <v>108</v>
      </c>
      <c r="E89" s="32" t="n">
        <v>12987.5</v>
      </c>
      <c r="F89" s="32"/>
      <c r="G89" s="32"/>
      <c r="H89" s="33" t="n">
        <v>2</v>
      </c>
      <c r="I89" s="34" t="n">
        <f aca="false">E89*H89+N(F89)+N(G89)</f>
        <v>25975</v>
      </c>
      <c r="J89" s="32" t="n">
        <f aca="false">ROUND(IFERROR(ROUND(IF(OR(ISNUMBER(SEARCH("week",C89)),ISNUMBER(SEARCH("minggu",C89))),IFERROR(_xlfn.NUMBERVALUE(SUBSTITUTE(LEFT(TRIM(C89),FIND(" ",TRIM(C89)&amp;" ")-1),",","."),"."),LEFT(SUBSTITUTE(LEFT(TRIM(C89),FIND(" ",TRIM(C89)&amp;" ")-1),",","."),FIND("/",SUBSTITUTE(LEFT(TRIM(C89),FIND(" ",TRIM(C89)&amp;" ")-1),",","."))-1)/MID(SUBSTITUTE(LEFT(TRIM(C89),FIND(" ",TRIM(C89)&amp;" ")-1),",","."),FIND("/",SUBSTITUTE(LEFT(TRIM(C89),FIND(" ",TRIM(C89)&amp;" ")-1),",","."))+1,9))*12/52,IF(ISNUMBER(SEARCH("month",C89)),IFERROR(_xlfn.NUMBERVALUE(SUBSTITUTE(LEFT(TRIM(C89),FIND(" ",TRIM(C89)&amp;" ")-1),",","."),"."),LEFT(SUBSTITUTE(LEFT(TRIM(C89),FIND(" ",TRIM(C89)&amp;" ")-1),",","."),FIND("/",SUBSTITUTE(LEFT(TRIM(C89),FIND(" ",TRIM(C89)&amp;" ")-1),",","."))-1)/MID(SUBSTITUTE(LEFT(TRIM(C89),FIND(" ",TRIM(C89)&amp;" ")-1),",","."),FIND("/",SUBSTITUTE(LEFT(TRIM(C89),FIND(" ",TRIM(C89)&amp;" ")-1),",","."))+1,9)),IF(ISNUMBER(SEARCH("yea",C89)),IFERROR(_xlfn.NUMBERVALUE(SUBSTITUTE(LEFT(TRIM(C89),FIND(" ",TRIM(C89)&amp;" ")-1),",","."),"."),LEFT(SUBSTITUTE(LEFT(TRIM(C89),FIND(" ",TRIM(C89)&amp;" ")-1),",","."),FIND("/",SUBSTITUTE(LEFT(TRIM(C89),FIND(" ",TRIM(C89)&amp;" ")-1),",","."))-1)/MID(SUBSTITUTE(LEFT(TRIM(C89),FIND(" ",TRIM(C89)&amp;" ")-1),",","."),FIND("/",SUBSTITUTE(LEFT(TRIM(C89),FIND(" ",TRIM(C89)&amp;" ")-1),",","."))+1,9))*12,NA()))),0),24)*'Aturan &amp; Tarif'!$B$4,2)</f>
        <v>1362.72</v>
      </c>
      <c r="K89" s="32" t="n">
        <f aca="false">'Aturan &amp; Tarif'!$B$5</f>
        <v>2050</v>
      </c>
      <c r="L89" s="35" t="n">
        <f aca="false">I89+J89+K89</f>
        <v>29387.72</v>
      </c>
      <c r="M89" s="36" t="s">
        <v>276</v>
      </c>
    </row>
    <row r="90" customFormat="false" ht="106.5" hidden="false" customHeight="true" outlineLevel="0" collapsed="false">
      <c r="A90" s="29"/>
      <c r="B90" s="30" t="s">
        <v>277</v>
      </c>
      <c r="C90" s="31" t="s">
        <v>107</v>
      </c>
      <c r="D90" s="31" t="s">
        <v>108</v>
      </c>
      <c r="E90" s="32" t="n">
        <v>11812.5</v>
      </c>
      <c r="F90" s="32"/>
      <c r="G90" s="32"/>
      <c r="H90" s="33" t="n">
        <v>2</v>
      </c>
      <c r="I90" s="34" t="n">
        <f aca="false">E90*H90+N(F90)+N(G90)</f>
        <v>23625</v>
      </c>
      <c r="J90" s="32" t="n">
        <f aca="false">ROUND(IFERROR(ROUND(IF(OR(ISNUMBER(SEARCH("week",C90)),ISNUMBER(SEARCH("minggu",C90))),IFERROR(_xlfn.NUMBERVALUE(SUBSTITUTE(LEFT(TRIM(C90),FIND(" ",TRIM(C90)&amp;" ")-1),",","."),"."),LEFT(SUBSTITUTE(LEFT(TRIM(C90),FIND(" ",TRIM(C90)&amp;" ")-1),",","."),FIND("/",SUBSTITUTE(LEFT(TRIM(C90),FIND(" ",TRIM(C90)&amp;" ")-1),",","."))-1)/MID(SUBSTITUTE(LEFT(TRIM(C90),FIND(" ",TRIM(C90)&amp;" ")-1),",","."),FIND("/",SUBSTITUTE(LEFT(TRIM(C90),FIND(" ",TRIM(C90)&amp;" ")-1),",","."))+1,9))*12/52,IF(ISNUMBER(SEARCH("month",C90)),IFERROR(_xlfn.NUMBERVALUE(SUBSTITUTE(LEFT(TRIM(C90),FIND(" ",TRIM(C90)&amp;" ")-1),",","."),"."),LEFT(SUBSTITUTE(LEFT(TRIM(C90),FIND(" ",TRIM(C90)&amp;" ")-1),",","."),FIND("/",SUBSTITUTE(LEFT(TRIM(C90),FIND(" ",TRIM(C90)&amp;" ")-1),",","."))-1)/MID(SUBSTITUTE(LEFT(TRIM(C90),FIND(" ",TRIM(C90)&amp;" ")-1),",","."),FIND("/",SUBSTITUTE(LEFT(TRIM(C90),FIND(" ",TRIM(C90)&amp;" ")-1),",","."))+1,9)),IF(ISNUMBER(SEARCH("yea",C90)),IFERROR(_xlfn.NUMBERVALUE(SUBSTITUTE(LEFT(TRIM(C90),FIND(" ",TRIM(C90)&amp;" ")-1),",","."),"."),LEFT(SUBSTITUTE(LEFT(TRIM(C90),FIND(" ",TRIM(C90)&amp;" ")-1),",","."),FIND("/",SUBSTITUTE(LEFT(TRIM(C90),FIND(" ",TRIM(C90)&amp;" ")-1),",","."))-1)/MID(SUBSTITUTE(LEFT(TRIM(C90),FIND(" ",TRIM(C90)&amp;" ")-1),",","."),FIND("/",SUBSTITUTE(LEFT(TRIM(C90),FIND(" ",TRIM(C90)&amp;" ")-1),",","."))+1,9))*12,NA()))),0),24)*'Aturan &amp; Tarif'!$B$4,2)</f>
        <v>1362.72</v>
      </c>
      <c r="K90" s="32" t="n">
        <f aca="false">'Aturan &amp; Tarif'!$B$5</f>
        <v>2050</v>
      </c>
      <c r="L90" s="35" t="n">
        <f aca="false">I90+J90+K90</f>
        <v>27037.72</v>
      </c>
      <c r="M90" s="36" t="s">
        <v>278</v>
      </c>
    </row>
    <row r="91" customFormat="false" ht="106.5" hidden="false" customHeight="true" outlineLevel="0" collapsed="false">
      <c r="A91" s="29"/>
      <c r="B91" s="30" t="s">
        <v>279</v>
      </c>
      <c r="C91" s="31" t="s">
        <v>107</v>
      </c>
      <c r="D91" s="31" t="s">
        <v>108</v>
      </c>
      <c r="E91" s="32" t="n">
        <v>10737.5</v>
      </c>
      <c r="F91" s="32"/>
      <c r="G91" s="32"/>
      <c r="H91" s="33" t="n">
        <v>2</v>
      </c>
      <c r="I91" s="34" t="n">
        <f aca="false">E91*H91+N(F91)+N(G91)</f>
        <v>21475</v>
      </c>
      <c r="J91" s="32" t="n">
        <f aca="false">ROUND(IFERROR(ROUND(IF(OR(ISNUMBER(SEARCH("week",C91)),ISNUMBER(SEARCH("minggu",C91))),IFERROR(_xlfn.NUMBERVALUE(SUBSTITUTE(LEFT(TRIM(C91),FIND(" ",TRIM(C91)&amp;" ")-1),",","."),"."),LEFT(SUBSTITUTE(LEFT(TRIM(C91),FIND(" ",TRIM(C91)&amp;" ")-1),",","."),FIND("/",SUBSTITUTE(LEFT(TRIM(C91),FIND(" ",TRIM(C91)&amp;" ")-1),",","."))-1)/MID(SUBSTITUTE(LEFT(TRIM(C91),FIND(" ",TRIM(C91)&amp;" ")-1),",","."),FIND("/",SUBSTITUTE(LEFT(TRIM(C91),FIND(" ",TRIM(C91)&amp;" ")-1),",","."))+1,9))*12/52,IF(ISNUMBER(SEARCH("month",C91)),IFERROR(_xlfn.NUMBERVALUE(SUBSTITUTE(LEFT(TRIM(C91),FIND(" ",TRIM(C91)&amp;" ")-1),",","."),"."),LEFT(SUBSTITUTE(LEFT(TRIM(C91),FIND(" ",TRIM(C91)&amp;" ")-1),",","."),FIND("/",SUBSTITUTE(LEFT(TRIM(C91),FIND(" ",TRIM(C91)&amp;" ")-1),",","."))-1)/MID(SUBSTITUTE(LEFT(TRIM(C91),FIND(" ",TRIM(C91)&amp;" ")-1),",","."),FIND("/",SUBSTITUTE(LEFT(TRIM(C91),FIND(" ",TRIM(C91)&amp;" ")-1),",","."))+1,9)),IF(ISNUMBER(SEARCH("yea",C91)),IFERROR(_xlfn.NUMBERVALUE(SUBSTITUTE(LEFT(TRIM(C91),FIND(" ",TRIM(C91)&amp;" ")-1),",","."),"."),LEFT(SUBSTITUTE(LEFT(TRIM(C91),FIND(" ",TRIM(C91)&amp;" ")-1),",","."),FIND("/",SUBSTITUTE(LEFT(TRIM(C91),FIND(" ",TRIM(C91)&amp;" ")-1),",","."))-1)/MID(SUBSTITUTE(LEFT(TRIM(C91),FIND(" ",TRIM(C91)&amp;" ")-1),",","."),FIND("/",SUBSTITUTE(LEFT(TRIM(C91),FIND(" ",TRIM(C91)&amp;" ")-1),",","."))+1,9))*12,NA()))),0),24)*'Aturan &amp; Tarif'!$B$4,2)</f>
        <v>1362.72</v>
      </c>
      <c r="K91" s="32" t="n">
        <f aca="false">'Aturan &amp; Tarif'!$B$5</f>
        <v>2050</v>
      </c>
      <c r="L91" s="35" t="n">
        <f aca="false">I91+J91+K91</f>
        <v>24887.72</v>
      </c>
      <c r="M91" s="36" t="s">
        <v>280</v>
      </c>
    </row>
    <row r="92" customFormat="false" ht="106.5" hidden="false" customHeight="true" outlineLevel="0" collapsed="false">
      <c r="A92" s="29"/>
      <c r="B92" s="30" t="s">
        <v>281</v>
      </c>
      <c r="C92" s="31" t="s">
        <v>107</v>
      </c>
      <c r="D92" s="31" t="s">
        <v>108</v>
      </c>
      <c r="E92" s="32" t="n">
        <v>12987.5</v>
      </c>
      <c r="F92" s="32"/>
      <c r="G92" s="32"/>
      <c r="H92" s="33" t="n">
        <v>2</v>
      </c>
      <c r="I92" s="34" t="n">
        <f aca="false">E92*H92+N(F92)+N(G92)</f>
        <v>25975</v>
      </c>
      <c r="J92" s="32" t="n">
        <f aca="false">ROUND(IFERROR(ROUND(IF(OR(ISNUMBER(SEARCH("week",C92)),ISNUMBER(SEARCH("minggu",C92))),IFERROR(_xlfn.NUMBERVALUE(SUBSTITUTE(LEFT(TRIM(C92),FIND(" ",TRIM(C92)&amp;" ")-1),",","."),"."),LEFT(SUBSTITUTE(LEFT(TRIM(C92),FIND(" ",TRIM(C92)&amp;" ")-1),",","."),FIND("/",SUBSTITUTE(LEFT(TRIM(C92),FIND(" ",TRIM(C92)&amp;" ")-1),",","."))-1)/MID(SUBSTITUTE(LEFT(TRIM(C92),FIND(" ",TRIM(C92)&amp;" ")-1),",","."),FIND("/",SUBSTITUTE(LEFT(TRIM(C92),FIND(" ",TRIM(C92)&amp;" ")-1),",","."))+1,9))*12/52,IF(ISNUMBER(SEARCH("month",C92)),IFERROR(_xlfn.NUMBERVALUE(SUBSTITUTE(LEFT(TRIM(C92),FIND(" ",TRIM(C92)&amp;" ")-1),",","."),"."),LEFT(SUBSTITUTE(LEFT(TRIM(C92),FIND(" ",TRIM(C92)&amp;" ")-1),",","."),FIND("/",SUBSTITUTE(LEFT(TRIM(C92),FIND(" ",TRIM(C92)&amp;" ")-1),",","."))-1)/MID(SUBSTITUTE(LEFT(TRIM(C92),FIND(" ",TRIM(C92)&amp;" ")-1),",","."),FIND("/",SUBSTITUTE(LEFT(TRIM(C92),FIND(" ",TRIM(C92)&amp;" ")-1),",","."))+1,9)),IF(ISNUMBER(SEARCH("yea",C92)),IFERROR(_xlfn.NUMBERVALUE(SUBSTITUTE(LEFT(TRIM(C92),FIND(" ",TRIM(C92)&amp;" ")-1),",","."),"."),LEFT(SUBSTITUTE(LEFT(TRIM(C92),FIND(" ",TRIM(C92)&amp;" ")-1),",","."),FIND("/",SUBSTITUTE(LEFT(TRIM(C92),FIND(" ",TRIM(C92)&amp;" ")-1),",","."))-1)/MID(SUBSTITUTE(LEFT(TRIM(C92),FIND(" ",TRIM(C92)&amp;" ")-1),",","."),FIND("/",SUBSTITUTE(LEFT(TRIM(C92),FIND(" ",TRIM(C92)&amp;" ")-1),",","."))+1,9))*12,NA()))),0),24)*'Aturan &amp; Tarif'!$B$4,2)</f>
        <v>1362.72</v>
      </c>
      <c r="K92" s="32" t="n">
        <f aca="false">'Aturan &amp; Tarif'!$B$5</f>
        <v>2050</v>
      </c>
      <c r="L92" s="35" t="n">
        <f aca="false">I92+J92+K92</f>
        <v>29387.72</v>
      </c>
      <c r="M92" s="36" t="s">
        <v>282</v>
      </c>
    </row>
    <row r="93" customFormat="false" ht="106.5" hidden="false" customHeight="true" outlineLevel="0" collapsed="false">
      <c r="A93" s="29"/>
      <c r="B93" s="30" t="s">
        <v>283</v>
      </c>
      <c r="C93" s="31" t="s">
        <v>107</v>
      </c>
      <c r="D93" s="31" t="s">
        <v>108</v>
      </c>
      <c r="E93" s="32" t="n">
        <v>10237.5</v>
      </c>
      <c r="F93" s="32"/>
      <c r="G93" s="32"/>
      <c r="H93" s="33" t="n">
        <v>2</v>
      </c>
      <c r="I93" s="34" t="n">
        <f aca="false">E93*H93+N(F93)+N(G93)</f>
        <v>20475</v>
      </c>
      <c r="J93" s="32" t="n">
        <f aca="false">ROUND(IFERROR(ROUND(IF(OR(ISNUMBER(SEARCH("week",C93)),ISNUMBER(SEARCH("minggu",C93))),IFERROR(_xlfn.NUMBERVALUE(SUBSTITUTE(LEFT(TRIM(C93),FIND(" ",TRIM(C93)&amp;" ")-1),",","."),"."),LEFT(SUBSTITUTE(LEFT(TRIM(C93),FIND(" ",TRIM(C93)&amp;" ")-1),",","."),FIND("/",SUBSTITUTE(LEFT(TRIM(C93),FIND(" ",TRIM(C93)&amp;" ")-1),",","."))-1)/MID(SUBSTITUTE(LEFT(TRIM(C93),FIND(" ",TRIM(C93)&amp;" ")-1),",","."),FIND("/",SUBSTITUTE(LEFT(TRIM(C93),FIND(" ",TRIM(C93)&amp;" ")-1),",","."))+1,9))*12/52,IF(ISNUMBER(SEARCH("month",C93)),IFERROR(_xlfn.NUMBERVALUE(SUBSTITUTE(LEFT(TRIM(C93),FIND(" ",TRIM(C93)&amp;" ")-1),",","."),"."),LEFT(SUBSTITUTE(LEFT(TRIM(C93),FIND(" ",TRIM(C93)&amp;" ")-1),",","."),FIND("/",SUBSTITUTE(LEFT(TRIM(C93),FIND(" ",TRIM(C93)&amp;" ")-1),",","."))-1)/MID(SUBSTITUTE(LEFT(TRIM(C93),FIND(" ",TRIM(C93)&amp;" ")-1),",","."),FIND("/",SUBSTITUTE(LEFT(TRIM(C93),FIND(" ",TRIM(C93)&amp;" ")-1),",","."))+1,9)),IF(ISNUMBER(SEARCH("yea",C93)),IFERROR(_xlfn.NUMBERVALUE(SUBSTITUTE(LEFT(TRIM(C93),FIND(" ",TRIM(C93)&amp;" ")-1),",","."),"."),LEFT(SUBSTITUTE(LEFT(TRIM(C93),FIND(" ",TRIM(C93)&amp;" ")-1),",","."),FIND("/",SUBSTITUTE(LEFT(TRIM(C93),FIND(" ",TRIM(C93)&amp;" ")-1),",","."))-1)/MID(SUBSTITUTE(LEFT(TRIM(C93),FIND(" ",TRIM(C93)&amp;" ")-1),",","."),FIND("/",SUBSTITUTE(LEFT(TRIM(C93),FIND(" ",TRIM(C93)&amp;" ")-1),",","."))+1,9))*12,NA()))),0),24)*'Aturan &amp; Tarif'!$B$4,2)</f>
        <v>1362.72</v>
      </c>
      <c r="K93" s="32" t="n">
        <f aca="false">'Aturan &amp; Tarif'!$B$5</f>
        <v>2050</v>
      </c>
      <c r="L93" s="35" t="n">
        <f aca="false">I93+J93+K93</f>
        <v>23887.72</v>
      </c>
      <c r="M93" s="36" t="s">
        <v>284</v>
      </c>
    </row>
    <row r="94" customFormat="false" ht="106.5" hidden="false" customHeight="true" outlineLevel="0" collapsed="false">
      <c r="A94" s="29"/>
      <c r="B94" s="30" t="s">
        <v>285</v>
      </c>
      <c r="C94" s="31" t="s">
        <v>107</v>
      </c>
      <c r="D94" s="31" t="s">
        <v>108</v>
      </c>
      <c r="E94" s="32" t="n">
        <v>12062.5</v>
      </c>
      <c r="F94" s="32"/>
      <c r="G94" s="32"/>
      <c r="H94" s="33" t="n">
        <v>2</v>
      </c>
      <c r="I94" s="34" t="n">
        <f aca="false">E94*H94+N(F94)+N(G94)</f>
        <v>24125</v>
      </c>
      <c r="J94" s="32" t="n">
        <f aca="false">ROUND(IFERROR(ROUND(IF(OR(ISNUMBER(SEARCH("week",C94)),ISNUMBER(SEARCH("minggu",C94))),IFERROR(_xlfn.NUMBERVALUE(SUBSTITUTE(LEFT(TRIM(C94),FIND(" ",TRIM(C94)&amp;" ")-1),",","."),"."),LEFT(SUBSTITUTE(LEFT(TRIM(C94),FIND(" ",TRIM(C94)&amp;" ")-1),",","."),FIND("/",SUBSTITUTE(LEFT(TRIM(C94),FIND(" ",TRIM(C94)&amp;" ")-1),",","."))-1)/MID(SUBSTITUTE(LEFT(TRIM(C94),FIND(" ",TRIM(C94)&amp;" ")-1),",","."),FIND("/",SUBSTITUTE(LEFT(TRIM(C94),FIND(" ",TRIM(C94)&amp;" ")-1),",","."))+1,9))*12/52,IF(ISNUMBER(SEARCH("month",C94)),IFERROR(_xlfn.NUMBERVALUE(SUBSTITUTE(LEFT(TRIM(C94),FIND(" ",TRIM(C94)&amp;" ")-1),",","."),"."),LEFT(SUBSTITUTE(LEFT(TRIM(C94),FIND(" ",TRIM(C94)&amp;" ")-1),",","."),FIND("/",SUBSTITUTE(LEFT(TRIM(C94),FIND(" ",TRIM(C94)&amp;" ")-1),",","."))-1)/MID(SUBSTITUTE(LEFT(TRIM(C94),FIND(" ",TRIM(C94)&amp;" ")-1),",","."),FIND("/",SUBSTITUTE(LEFT(TRIM(C94),FIND(" ",TRIM(C94)&amp;" ")-1),",","."))+1,9)),IF(ISNUMBER(SEARCH("yea",C94)),IFERROR(_xlfn.NUMBERVALUE(SUBSTITUTE(LEFT(TRIM(C94),FIND(" ",TRIM(C94)&amp;" ")-1),",","."),"."),LEFT(SUBSTITUTE(LEFT(TRIM(C94),FIND(" ",TRIM(C94)&amp;" ")-1),",","."),FIND("/",SUBSTITUTE(LEFT(TRIM(C94),FIND(" ",TRIM(C94)&amp;" ")-1),",","."))-1)/MID(SUBSTITUTE(LEFT(TRIM(C94),FIND(" ",TRIM(C94)&amp;" ")-1),",","."),FIND("/",SUBSTITUTE(LEFT(TRIM(C94),FIND(" ",TRIM(C94)&amp;" ")-1),",","."))+1,9))*12,NA()))),0),24)*'Aturan &amp; Tarif'!$B$4,2)</f>
        <v>1362.72</v>
      </c>
      <c r="K94" s="32" t="n">
        <f aca="false">'Aturan &amp; Tarif'!$B$5</f>
        <v>2050</v>
      </c>
      <c r="L94" s="35" t="n">
        <f aca="false">I94+J94+K94</f>
        <v>27537.72</v>
      </c>
      <c r="M94" s="36" t="s">
        <v>286</v>
      </c>
    </row>
    <row r="95" customFormat="false" ht="37.5" hidden="false" customHeight="true" outlineLevel="0" collapsed="false">
      <c r="A95" s="29"/>
      <c r="B95" s="30" t="s">
        <v>287</v>
      </c>
      <c r="C95" s="31" t="s">
        <v>130</v>
      </c>
      <c r="D95" s="31" t="s">
        <v>108</v>
      </c>
      <c r="E95" s="32" t="n">
        <v>10987.5</v>
      </c>
      <c r="F95" s="32"/>
      <c r="G95" s="32"/>
      <c r="H95" s="33" t="n">
        <v>2</v>
      </c>
      <c r="I95" s="34" t="n">
        <f aca="false">E95*H95+N(F95)+N(G95)</f>
        <v>21975</v>
      </c>
      <c r="J95" s="32" t="n">
        <f aca="false">ROUND(IFERROR(ROUND(IF(OR(ISNUMBER(SEARCH("week",C95)),ISNUMBER(SEARCH("minggu",C95))),IFERROR(_xlfn.NUMBERVALUE(SUBSTITUTE(LEFT(TRIM(C95),FIND(" ",TRIM(C95)&amp;" ")-1),",","."),"."),LEFT(SUBSTITUTE(LEFT(TRIM(C95),FIND(" ",TRIM(C95)&amp;" ")-1),",","."),FIND("/",SUBSTITUTE(LEFT(TRIM(C95),FIND(" ",TRIM(C95)&amp;" ")-1),",","."))-1)/MID(SUBSTITUTE(LEFT(TRIM(C95),FIND(" ",TRIM(C95)&amp;" ")-1),",","."),FIND("/",SUBSTITUTE(LEFT(TRIM(C95),FIND(" ",TRIM(C95)&amp;" ")-1),",","."))+1,9))*12/52,IF(ISNUMBER(SEARCH("month",C95)),IFERROR(_xlfn.NUMBERVALUE(SUBSTITUTE(LEFT(TRIM(C95),FIND(" ",TRIM(C95)&amp;" ")-1),",","."),"."),LEFT(SUBSTITUTE(LEFT(TRIM(C95),FIND(" ",TRIM(C95)&amp;" ")-1),",","."),FIND("/",SUBSTITUTE(LEFT(TRIM(C95),FIND(" ",TRIM(C95)&amp;" ")-1),",","."))-1)/MID(SUBSTITUTE(LEFT(TRIM(C95),FIND(" ",TRIM(C95)&amp;" ")-1),",","."),FIND("/",SUBSTITUTE(LEFT(TRIM(C95),FIND(" ",TRIM(C95)&amp;" ")-1),",","."))+1,9)),IF(ISNUMBER(SEARCH("yea",C95)),IFERROR(_xlfn.NUMBERVALUE(SUBSTITUTE(LEFT(TRIM(C95),FIND(" ",TRIM(C95)&amp;" ")-1),",","."),"."),LEFT(SUBSTITUTE(LEFT(TRIM(C95),FIND(" ",TRIM(C95)&amp;" ")-1),",","."),FIND("/",SUBSTITUTE(LEFT(TRIM(C95),FIND(" ",TRIM(C95)&amp;" ")-1),",","."))-1)/MID(SUBSTITUTE(LEFT(TRIM(C95),FIND(" ",TRIM(C95)&amp;" ")-1),",","."),FIND("/",SUBSTITUTE(LEFT(TRIM(C95),FIND(" ",TRIM(C95)&amp;" ")-1),",","."))+1,9))*12,NA()))),0),12)*'Aturan &amp; Tarif'!$B$4,2)</f>
        <v>681.36</v>
      </c>
      <c r="K95" s="32" t="n">
        <f aca="false">'Aturan &amp; Tarif'!$B$5</f>
        <v>2050</v>
      </c>
      <c r="L95" s="35" t="n">
        <f aca="false">I95+J95+K95</f>
        <v>24706.36</v>
      </c>
      <c r="M95" s="36" t="s">
        <v>194</v>
      </c>
    </row>
    <row r="96" customFormat="false" ht="106.5" hidden="false" customHeight="true" outlineLevel="0" collapsed="false">
      <c r="A96" s="29"/>
      <c r="B96" s="30" t="s">
        <v>288</v>
      </c>
      <c r="C96" s="31" t="s">
        <v>107</v>
      </c>
      <c r="D96" s="31" t="s">
        <v>108</v>
      </c>
      <c r="E96" s="32" t="n">
        <v>12987.5</v>
      </c>
      <c r="F96" s="32"/>
      <c r="G96" s="32"/>
      <c r="H96" s="33" t="n">
        <v>2</v>
      </c>
      <c r="I96" s="34" t="n">
        <f aca="false">E96*H96+N(F96)+N(G96)</f>
        <v>25975</v>
      </c>
      <c r="J96" s="32" t="n">
        <f aca="false">ROUND(IFERROR(ROUND(IF(OR(ISNUMBER(SEARCH("week",C96)),ISNUMBER(SEARCH("minggu",C96))),IFERROR(_xlfn.NUMBERVALUE(SUBSTITUTE(LEFT(TRIM(C96),FIND(" ",TRIM(C96)&amp;" ")-1),",","."),"."),LEFT(SUBSTITUTE(LEFT(TRIM(C96),FIND(" ",TRIM(C96)&amp;" ")-1),",","."),FIND("/",SUBSTITUTE(LEFT(TRIM(C96),FIND(" ",TRIM(C96)&amp;" ")-1),",","."))-1)/MID(SUBSTITUTE(LEFT(TRIM(C96),FIND(" ",TRIM(C96)&amp;" ")-1),",","."),FIND("/",SUBSTITUTE(LEFT(TRIM(C96),FIND(" ",TRIM(C96)&amp;" ")-1),",","."))+1,9))*12/52,IF(ISNUMBER(SEARCH("month",C96)),IFERROR(_xlfn.NUMBERVALUE(SUBSTITUTE(LEFT(TRIM(C96),FIND(" ",TRIM(C96)&amp;" ")-1),",","."),"."),LEFT(SUBSTITUTE(LEFT(TRIM(C96),FIND(" ",TRIM(C96)&amp;" ")-1),",","."),FIND("/",SUBSTITUTE(LEFT(TRIM(C96),FIND(" ",TRIM(C96)&amp;" ")-1),",","."))-1)/MID(SUBSTITUTE(LEFT(TRIM(C96),FIND(" ",TRIM(C96)&amp;" ")-1),",","."),FIND("/",SUBSTITUTE(LEFT(TRIM(C96),FIND(" ",TRIM(C96)&amp;" ")-1),",","."))+1,9)),IF(ISNUMBER(SEARCH("yea",C96)),IFERROR(_xlfn.NUMBERVALUE(SUBSTITUTE(LEFT(TRIM(C96),FIND(" ",TRIM(C96)&amp;" ")-1),",","."),"."),LEFT(SUBSTITUTE(LEFT(TRIM(C96),FIND(" ",TRIM(C96)&amp;" ")-1),",","."),FIND("/",SUBSTITUTE(LEFT(TRIM(C96),FIND(" ",TRIM(C96)&amp;" ")-1),",","."))-1)/MID(SUBSTITUTE(LEFT(TRIM(C96),FIND(" ",TRIM(C96)&amp;" ")-1),",","."),FIND("/",SUBSTITUTE(LEFT(TRIM(C96),FIND(" ",TRIM(C96)&amp;" ")-1),",","."))+1,9))*12,NA()))),0),24)*'Aturan &amp; Tarif'!$B$4,2)</f>
        <v>1362.72</v>
      </c>
      <c r="K96" s="32" t="n">
        <f aca="false">'Aturan &amp; Tarif'!$B$5</f>
        <v>2050</v>
      </c>
      <c r="L96" s="35" t="n">
        <f aca="false">I96+J96+K96</f>
        <v>29387.72</v>
      </c>
      <c r="M96" s="36" t="s">
        <v>282</v>
      </c>
    </row>
    <row r="97" customFormat="false" ht="106.5" hidden="false" customHeight="true" outlineLevel="0" collapsed="false">
      <c r="A97" s="29"/>
      <c r="B97" s="30" t="s">
        <v>289</v>
      </c>
      <c r="C97" s="31" t="s">
        <v>107</v>
      </c>
      <c r="D97" s="31" t="s">
        <v>108</v>
      </c>
      <c r="E97" s="32" t="n">
        <v>10237.5</v>
      </c>
      <c r="F97" s="32"/>
      <c r="G97" s="32"/>
      <c r="H97" s="33" t="n">
        <v>2</v>
      </c>
      <c r="I97" s="34" t="n">
        <f aca="false">E97*H97+N(F97)+N(G97)</f>
        <v>20475</v>
      </c>
      <c r="J97" s="32" t="n">
        <f aca="false">ROUND(IFERROR(ROUND(IF(OR(ISNUMBER(SEARCH("week",C97)),ISNUMBER(SEARCH("minggu",C97))),IFERROR(_xlfn.NUMBERVALUE(SUBSTITUTE(LEFT(TRIM(C97),FIND(" ",TRIM(C97)&amp;" ")-1),",","."),"."),LEFT(SUBSTITUTE(LEFT(TRIM(C97),FIND(" ",TRIM(C97)&amp;" ")-1),",","."),FIND("/",SUBSTITUTE(LEFT(TRIM(C97),FIND(" ",TRIM(C97)&amp;" ")-1),",","."))-1)/MID(SUBSTITUTE(LEFT(TRIM(C97),FIND(" ",TRIM(C97)&amp;" ")-1),",","."),FIND("/",SUBSTITUTE(LEFT(TRIM(C97),FIND(" ",TRIM(C97)&amp;" ")-1),",","."))+1,9))*12/52,IF(ISNUMBER(SEARCH("month",C97)),IFERROR(_xlfn.NUMBERVALUE(SUBSTITUTE(LEFT(TRIM(C97),FIND(" ",TRIM(C97)&amp;" ")-1),",","."),"."),LEFT(SUBSTITUTE(LEFT(TRIM(C97),FIND(" ",TRIM(C97)&amp;" ")-1),",","."),FIND("/",SUBSTITUTE(LEFT(TRIM(C97),FIND(" ",TRIM(C97)&amp;" ")-1),",","."))-1)/MID(SUBSTITUTE(LEFT(TRIM(C97),FIND(" ",TRIM(C97)&amp;" ")-1),",","."),FIND("/",SUBSTITUTE(LEFT(TRIM(C97),FIND(" ",TRIM(C97)&amp;" ")-1),",","."))+1,9)),IF(ISNUMBER(SEARCH("yea",C97)),IFERROR(_xlfn.NUMBERVALUE(SUBSTITUTE(LEFT(TRIM(C97),FIND(" ",TRIM(C97)&amp;" ")-1),",","."),"."),LEFT(SUBSTITUTE(LEFT(TRIM(C97),FIND(" ",TRIM(C97)&amp;" ")-1),",","."),FIND("/",SUBSTITUTE(LEFT(TRIM(C97),FIND(" ",TRIM(C97)&amp;" ")-1),",","."))-1)/MID(SUBSTITUTE(LEFT(TRIM(C97),FIND(" ",TRIM(C97)&amp;" ")-1),",","."),FIND("/",SUBSTITUTE(LEFT(TRIM(C97),FIND(" ",TRIM(C97)&amp;" ")-1),",","."))+1,9))*12,NA()))),0),24)*'Aturan &amp; Tarif'!$B$4,2)</f>
        <v>1362.72</v>
      </c>
      <c r="K97" s="32" t="n">
        <f aca="false">'Aturan &amp; Tarif'!$B$5</f>
        <v>2050</v>
      </c>
      <c r="L97" s="35" t="n">
        <f aca="false">I97+J97+K97</f>
        <v>23887.72</v>
      </c>
      <c r="M97" s="36" t="s">
        <v>290</v>
      </c>
    </row>
    <row r="98" customFormat="false" ht="106.5" hidden="false" customHeight="true" outlineLevel="0" collapsed="false">
      <c r="A98" s="29"/>
      <c r="B98" s="30" t="s">
        <v>291</v>
      </c>
      <c r="C98" s="31" t="s">
        <v>127</v>
      </c>
      <c r="D98" s="31" t="s">
        <v>108</v>
      </c>
      <c r="E98" s="32" t="n">
        <v>4737.5</v>
      </c>
      <c r="F98" s="32"/>
      <c r="G98" s="32"/>
      <c r="H98" s="33" t="n">
        <v>2</v>
      </c>
      <c r="I98" s="34" t="n">
        <f aca="false">E98*H98+N(F98)+N(G98)</f>
        <v>9475</v>
      </c>
      <c r="J98" s="32" t="n">
        <f aca="false">ROUND(IFERROR(ROUND(IF(OR(ISNUMBER(SEARCH("week",C98)),ISNUMBER(SEARCH("minggu",C98))),IFERROR(_xlfn.NUMBERVALUE(SUBSTITUTE(LEFT(TRIM(C98),FIND(" ",TRIM(C98)&amp;" ")-1),",","."),"."),LEFT(SUBSTITUTE(LEFT(TRIM(C98),FIND(" ",TRIM(C98)&amp;" ")-1),",","."),FIND("/",SUBSTITUTE(LEFT(TRIM(C98),FIND(" ",TRIM(C98)&amp;" ")-1),",","."))-1)/MID(SUBSTITUTE(LEFT(TRIM(C98),FIND(" ",TRIM(C98)&amp;" ")-1),",","."),FIND("/",SUBSTITUTE(LEFT(TRIM(C98),FIND(" ",TRIM(C98)&amp;" ")-1),",","."))+1,9))*12/52,IF(ISNUMBER(SEARCH("month",C98)),IFERROR(_xlfn.NUMBERVALUE(SUBSTITUTE(LEFT(TRIM(C98),FIND(" ",TRIM(C98)&amp;" ")-1),",","."),"."),LEFT(SUBSTITUTE(LEFT(TRIM(C98),FIND(" ",TRIM(C98)&amp;" ")-1),",","."),FIND("/",SUBSTITUTE(LEFT(TRIM(C98),FIND(" ",TRIM(C98)&amp;" ")-1),",","."))-1)/MID(SUBSTITUTE(LEFT(TRIM(C98),FIND(" ",TRIM(C98)&amp;" ")-1),",","."),FIND("/",SUBSTITUTE(LEFT(TRIM(C98),FIND(" ",TRIM(C98)&amp;" ")-1),",","."))+1,9)),IF(ISNUMBER(SEARCH("yea",C98)),IFERROR(_xlfn.NUMBERVALUE(SUBSTITUTE(LEFT(TRIM(C98),FIND(" ",TRIM(C98)&amp;" ")-1),",","."),"."),LEFT(SUBSTITUTE(LEFT(TRIM(C98),FIND(" ",TRIM(C98)&amp;" ")-1),",","."),FIND("/",SUBSTITUTE(LEFT(TRIM(C98),FIND(" ",TRIM(C98)&amp;" ")-1),",","."))-1)/MID(SUBSTITUTE(LEFT(TRIM(C98),FIND(" ",TRIM(C98)&amp;" ")-1),",","."),FIND("/",SUBSTITUTE(LEFT(TRIM(C98),FIND(" ",TRIM(C98)&amp;" ")-1),",","."))+1,9))*12,NA()))),0),36)*'Aturan &amp; Tarif'!$B$4,2)</f>
        <v>2044.08</v>
      </c>
      <c r="K98" s="32" t="n">
        <f aca="false">'Aturan &amp; Tarif'!$B$5</f>
        <v>2050</v>
      </c>
      <c r="L98" s="35" t="n">
        <f aca="false">I98+J98+K98</f>
        <v>13569.08</v>
      </c>
      <c r="M98" s="36" t="s">
        <v>292</v>
      </c>
    </row>
    <row r="99" customFormat="false" ht="106.5" hidden="false" customHeight="true" outlineLevel="0" collapsed="false">
      <c r="A99" s="29"/>
      <c r="B99" s="30" t="s">
        <v>293</v>
      </c>
      <c r="C99" s="31" t="s">
        <v>113</v>
      </c>
      <c r="D99" s="31" t="s">
        <v>108</v>
      </c>
      <c r="E99" s="32" t="n">
        <v>8862.5</v>
      </c>
      <c r="F99" s="32"/>
      <c r="G99" s="32"/>
      <c r="H99" s="33" t="n">
        <v>2</v>
      </c>
      <c r="I99" s="34" t="n">
        <f aca="false">E99*H99+N(F99)+N(G99)</f>
        <v>17725</v>
      </c>
      <c r="J99" s="32" t="n">
        <f aca="false">ROUND(IFERROR(ROUND(IF(OR(ISNUMBER(SEARCH("week",C99)),ISNUMBER(SEARCH("minggu",C99))),IFERROR(_xlfn.NUMBERVALUE(SUBSTITUTE(LEFT(TRIM(C99),FIND(" ",TRIM(C99)&amp;" ")-1),",","."),"."),LEFT(SUBSTITUTE(LEFT(TRIM(C99),FIND(" ",TRIM(C99)&amp;" ")-1),",","."),FIND("/",SUBSTITUTE(LEFT(TRIM(C99),FIND(" ",TRIM(C99)&amp;" ")-1),",","."))-1)/MID(SUBSTITUTE(LEFT(TRIM(C99),FIND(" ",TRIM(C99)&amp;" ")-1),",","."),FIND("/",SUBSTITUTE(LEFT(TRIM(C99),FIND(" ",TRIM(C99)&amp;" ")-1),",","."))+1,9))*12/52,IF(ISNUMBER(SEARCH("month",C99)),IFERROR(_xlfn.NUMBERVALUE(SUBSTITUTE(LEFT(TRIM(C99),FIND(" ",TRIM(C99)&amp;" ")-1),",","."),"."),LEFT(SUBSTITUTE(LEFT(TRIM(C99),FIND(" ",TRIM(C99)&amp;" ")-1),",","."),FIND("/",SUBSTITUTE(LEFT(TRIM(C99),FIND(" ",TRIM(C99)&amp;" ")-1),",","."))-1)/MID(SUBSTITUTE(LEFT(TRIM(C99),FIND(" ",TRIM(C99)&amp;" ")-1),",","."),FIND("/",SUBSTITUTE(LEFT(TRIM(C99),FIND(" ",TRIM(C99)&amp;" ")-1),",","."))+1,9)),IF(ISNUMBER(SEARCH("yea",C99)),IFERROR(_xlfn.NUMBERVALUE(SUBSTITUTE(LEFT(TRIM(C99),FIND(" ",TRIM(C99)&amp;" ")-1),",","."),"."),LEFT(SUBSTITUTE(LEFT(TRIM(C99),FIND(" ",TRIM(C99)&amp;" ")-1),",","."),FIND("/",SUBSTITUTE(LEFT(TRIM(C99),FIND(" ",TRIM(C99)&amp;" ")-1),",","."))-1)/MID(SUBSTITUTE(LEFT(TRIM(C99),FIND(" ",TRIM(C99)&amp;" ")-1),",","."),FIND("/",SUBSTITUTE(LEFT(TRIM(C99),FIND(" ",TRIM(C99)&amp;" ")-1),",","."))+1,9))*12,NA()))),0),18)*'Aturan &amp; Tarif'!$B$4,2)</f>
        <v>1022.04</v>
      </c>
      <c r="K99" s="32" t="n">
        <f aca="false">'Aturan &amp; Tarif'!$B$5</f>
        <v>2050</v>
      </c>
      <c r="L99" s="35" t="n">
        <f aca="false">I99+J99+K99</f>
        <v>20797.04</v>
      </c>
      <c r="M99" s="36" t="s">
        <v>294</v>
      </c>
    </row>
    <row r="100" customFormat="false" ht="106.5" hidden="false" customHeight="true" outlineLevel="0" collapsed="false">
      <c r="A100" s="29"/>
      <c r="B100" s="30" t="s">
        <v>295</v>
      </c>
      <c r="C100" s="31" t="s">
        <v>113</v>
      </c>
      <c r="D100" s="31" t="s">
        <v>108</v>
      </c>
      <c r="E100" s="32" t="n">
        <v>3812.5</v>
      </c>
      <c r="F100" s="32"/>
      <c r="G100" s="32"/>
      <c r="H100" s="33" t="n">
        <v>2</v>
      </c>
      <c r="I100" s="34" t="n">
        <f aca="false">E100*H100+N(F100)+N(G100)</f>
        <v>7625</v>
      </c>
      <c r="J100" s="32" t="n">
        <f aca="false">ROUND(IFERROR(ROUND(IF(OR(ISNUMBER(SEARCH("week",C100)),ISNUMBER(SEARCH("minggu",C100))),IFERROR(_xlfn.NUMBERVALUE(SUBSTITUTE(LEFT(TRIM(C100),FIND(" ",TRIM(C100)&amp;" ")-1),",","."),"."),LEFT(SUBSTITUTE(LEFT(TRIM(C100),FIND(" ",TRIM(C100)&amp;" ")-1),",","."),FIND("/",SUBSTITUTE(LEFT(TRIM(C100),FIND(" ",TRIM(C100)&amp;" ")-1),",","."))-1)/MID(SUBSTITUTE(LEFT(TRIM(C100),FIND(" ",TRIM(C100)&amp;" ")-1),",","."),FIND("/",SUBSTITUTE(LEFT(TRIM(C100),FIND(" ",TRIM(C100)&amp;" ")-1),",","."))+1,9))*12/52,IF(ISNUMBER(SEARCH("month",C100)),IFERROR(_xlfn.NUMBERVALUE(SUBSTITUTE(LEFT(TRIM(C100),FIND(" ",TRIM(C100)&amp;" ")-1),",","."),"."),LEFT(SUBSTITUTE(LEFT(TRIM(C100),FIND(" ",TRIM(C100)&amp;" ")-1),",","."),FIND("/",SUBSTITUTE(LEFT(TRIM(C100),FIND(" ",TRIM(C100)&amp;" ")-1),",","."))-1)/MID(SUBSTITUTE(LEFT(TRIM(C100),FIND(" ",TRIM(C100)&amp;" ")-1),",","."),FIND("/",SUBSTITUTE(LEFT(TRIM(C100),FIND(" ",TRIM(C100)&amp;" ")-1),",","."))+1,9)),IF(ISNUMBER(SEARCH("yea",C100)),IFERROR(_xlfn.NUMBERVALUE(SUBSTITUTE(LEFT(TRIM(C100),FIND(" ",TRIM(C100)&amp;" ")-1),",","."),"."),LEFT(SUBSTITUTE(LEFT(TRIM(C100),FIND(" ",TRIM(C100)&amp;" ")-1),",","."),FIND("/",SUBSTITUTE(LEFT(TRIM(C100),FIND(" ",TRIM(C100)&amp;" ")-1),",","."))-1)/MID(SUBSTITUTE(LEFT(TRIM(C100),FIND(" ",TRIM(C100)&amp;" ")-1),",","."),FIND("/",SUBSTITUTE(LEFT(TRIM(C100),FIND(" ",TRIM(C100)&amp;" ")-1),",","."))+1,9))*12,NA()))),0),18)*'Aturan &amp; Tarif'!$B$4,2)</f>
        <v>1022.04</v>
      </c>
      <c r="K100" s="32" t="n">
        <f aca="false">'Aturan &amp; Tarif'!$B$5</f>
        <v>2050</v>
      </c>
      <c r="L100" s="35" t="n">
        <f aca="false">I100+J100+K100</f>
        <v>10697.04</v>
      </c>
      <c r="M100" s="36" t="s">
        <v>296</v>
      </c>
    </row>
    <row r="101" customFormat="false" ht="60" hidden="false" customHeight="true" outlineLevel="0" collapsed="false">
      <c r="A101" s="29"/>
      <c r="B101" s="30" t="s">
        <v>297</v>
      </c>
      <c r="C101" s="31" t="s">
        <v>130</v>
      </c>
      <c r="D101" s="31" t="s">
        <v>108</v>
      </c>
      <c r="E101" s="32" t="n">
        <v>4737.5</v>
      </c>
      <c r="F101" s="32"/>
      <c r="G101" s="32"/>
      <c r="H101" s="33" t="n">
        <v>2</v>
      </c>
      <c r="I101" s="34" t="n">
        <f aca="false">E101*H101+N(F101)+N(G101)</f>
        <v>9475</v>
      </c>
      <c r="J101" s="32" t="n">
        <f aca="false">ROUND(IFERROR(ROUND(IF(OR(ISNUMBER(SEARCH("week",C101)),ISNUMBER(SEARCH("minggu",C101))),IFERROR(_xlfn.NUMBERVALUE(SUBSTITUTE(LEFT(TRIM(C101),FIND(" ",TRIM(C101)&amp;" ")-1),",","."),"."),LEFT(SUBSTITUTE(LEFT(TRIM(C101),FIND(" ",TRIM(C101)&amp;" ")-1),",","."),FIND("/",SUBSTITUTE(LEFT(TRIM(C101),FIND(" ",TRIM(C101)&amp;" ")-1),",","."))-1)/MID(SUBSTITUTE(LEFT(TRIM(C101),FIND(" ",TRIM(C101)&amp;" ")-1),",","."),FIND("/",SUBSTITUTE(LEFT(TRIM(C101),FIND(" ",TRIM(C101)&amp;" ")-1),",","."))+1,9))*12/52,IF(ISNUMBER(SEARCH("month",C101)),IFERROR(_xlfn.NUMBERVALUE(SUBSTITUTE(LEFT(TRIM(C101),FIND(" ",TRIM(C101)&amp;" ")-1),",","."),"."),LEFT(SUBSTITUTE(LEFT(TRIM(C101),FIND(" ",TRIM(C101)&amp;" ")-1),",","."),FIND("/",SUBSTITUTE(LEFT(TRIM(C101),FIND(" ",TRIM(C101)&amp;" ")-1),",","."))-1)/MID(SUBSTITUTE(LEFT(TRIM(C101),FIND(" ",TRIM(C101)&amp;" ")-1),",","."),FIND("/",SUBSTITUTE(LEFT(TRIM(C101),FIND(" ",TRIM(C101)&amp;" ")-1),",","."))+1,9)),IF(ISNUMBER(SEARCH("yea",C101)),IFERROR(_xlfn.NUMBERVALUE(SUBSTITUTE(LEFT(TRIM(C101),FIND(" ",TRIM(C101)&amp;" ")-1),",","."),"."),LEFT(SUBSTITUTE(LEFT(TRIM(C101),FIND(" ",TRIM(C101)&amp;" ")-1),",","."),FIND("/",SUBSTITUTE(LEFT(TRIM(C101),FIND(" ",TRIM(C101)&amp;" ")-1),",","."))-1)/MID(SUBSTITUTE(LEFT(TRIM(C101),FIND(" ",TRIM(C101)&amp;" ")-1),",","."),FIND("/",SUBSTITUTE(LEFT(TRIM(C101),FIND(" ",TRIM(C101)&amp;" ")-1),",","."))+1,9))*12,NA()))),0),12)*'Aturan &amp; Tarif'!$B$4,2)</f>
        <v>681.36</v>
      </c>
      <c r="K101" s="32" t="n">
        <f aca="false">'Aturan &amp; Tarif'!$B$5</f>
        <v>2050</v>
      </c>
      <c r="L101" s="35" t="n">
        <f aca="false">I101+J101+K101</f>
        <v>12206.36</v>
      </c>
      <c r="M101" s="36" t="s">
        <v>298</v>
      </c>
    </row>
    <row r="102" customFormat="false" ht="106.5" hidden="false" customHeight="true" outlineLevel="0" collapsed="false">
      <c r="A102" s="29"/>
      <c r="B102" s="30" t="s">
        <v>299</v>
      </c>
      <c r="C102" s="31" t="s">
        <v>159</v>
      </c>
      <c r="D102" s="31" t="s">
        <v>108</v>
      </c>
      <c r="E102" s="32" t="n">
        <v>8862.5</v>
      </c>
      <c r="F102" s="32"/>
      <c r="G102" s="32"/>
      <c r="H102" s="33" t="n">
        <v>2</v>
      </c>
      <c r="I102" s="34" t="n">
        <f aca="false">E102*H102+N(F102)+N(G102)</f>
        <v>17725</v>
      </c>
      <c r="J102" s="32" t="n">
        <f aca="false">ROUND(IFERROR(ROUND(IF(OR(ISNUMBER(SEARCH("week",C102)),ISNUMBER(SEARCH("minggu",C102))),IFERROR(_xlfn.NUMBERVALUE(SUBSTITUTE(LEFT(TRIM(C102),FIND(" ",TRIM(C102)&amp;" ")-1),",","."),"."),LEFT(SUBSTITUTE(LEFT(TRIM(C102),FIND(" ",TRIM(C102)&amp;" ")-1),",","."),FIND("/",SUBSTITUTE(LEFT(TRIM(C102),FIND(" ",TRIM(C102)&amp;" ")-1),",","."))-1)/MID(SUBSTITUTE(LEFT(TRIM(C102),FIND(" ",TRIM(C102)&amp;" ")-1),",","."),FIND("/",SUBSTITUTE(LEFT(TRIM(C102),FIND(" ",TRIM(C102)&amp;" ")-1),",","."))+1,9))*12/52,IF(ISNUMBER(SEARCH("month",C102)),IFERROR(_xlfn.NUMBERVALUE(SUBSTITUTE(LEFT(TRIM(C102),FIND(" ",TRIM(C102)&amp;" ")-1),",","."),"."),LEFT(SUBSTITUTE(LEFT(TRIM(C102),FIND(" ",TRIM(C102)&amp;" ")-1),",","."),FIND("/",SUBSTITUTE(LEFT(TRIM(C102),FIND(" ",TRIM(C102)&amp;" ")-1),",","."))-1)/MID(SUBSTITUTE(LEFT(TRIM(C102),FIND(" ",TRIM(C102)&amp;" ")-1),",","."),FIND("/",SUBSTITUTE(LEFT(TRIM(C102),FIND(" ",TRIM(C102)&amp;" ")-1),",","."))+1,9)),IF(ISNUMBER(SEARCH("yea",C102)),IFERROR(_xlfn.NUMBERVALUE(SUBSTITUTE(LEFT(TRIM(C102),FIND(" ",TRIM(C102)&amp;" ")-1),",","."),"."),LEFT(SUBSTITUTE(LEFT(TRIM(C102),FIND(" ",TRIM(C102)&amp;" ")-1),",","."),FIND("/",SUBSTITUTE(LEFT(TRIM(C102),FIND(" ",TRIM(C102)&amp;" ")-1),",","."))-1)/MID(SUBSTITUTE(LEFT(TRIM(C102),FIND(" ",TRIM(C102)&amp;" ")-1),",","."),FIND("/",SUBSTITUTE(LEFT(TRIM(C102),FIND(" ",TRIM(C102)&amp;" ")-1),",","."))+1,9))*12,NA()))),0),6)*'Aturan &amp; Tarif'!$B$4,2)</f>
        <v>340.68</v>
      </c>
      <c r="K102" s="32" t="n">
        <f aca="false">'Aturan &amp; Tarif'!$B$5</f>
        <v>2050</v>
      </c>
      <c r="L102" s="35" t="n">
        <f aca="false">I102+J102+K102</f>
        <v>20115.68</v>
      </c>
      <c r="M102" s="36" t="s">
        <v>300</v>
      </c>
    </row>
    <row r="103" customFormat="false" ht="106.5" hidden="false" customHeight="true" outlineLevel="0" collapsed="false">
      <c r="A103" s="29"/>
      <c r="B103" s="30" t="s">
        <v>301</v>
      </c>
      <c r="C103" s="31" t="s">
        <v>130</v>
      </c>
      <c r="D103" s="31" t="s">
        <v>108</v>
      </c>
      <c r="E103" s="32" t="n">
        <v>10487.5</v>
      </c>
      <c r="F103" s="32"/>
      <c r="G103" s="32"/>
      <c r="H103" s="33" t="n">
        <v>2</v>
      </c>
      <c r="I103" s="34" t="n">
        <f aca="false">E103*H103+N(F103)+N(G103)</f>
        <v>20975</v>
      </c>
      <c r="J103" s="32" t="n">
        <f aca="false">ROUND(IFERROR(ROUND(IF(OR(ISNUMBER(SEARCH("week",C103)),ISNUMBER(SEARCH("minggu",C103))),IFERROR(_xlfn.NUMBERVALUE(SUBSTITUTE(LEFT(TRIM(C103),FIND(" ",TRIM(C103)&amp;" ")-1),",","."),"."),LEFT(SUBSTITUTE(LEFT(TRIM(C103),FIND(" ",TRIM(C103)&amp;" ")-1),",","."),FIND("/",SUBSTITUTE(LEFT(TRIM(C103),FIND(" ",TRIM(C103)&amp;" ")-1),",","."))-1)/MID(SUBSTITUTE(LEFT(TRIM(C103),FIND(" ",TRIM(C103)&amp;" ")-1),",","."),FIND("/",SUBSTITUTE(LEFT(TRIM(C103),FIND(" ",TRIM(C103)&amp;" ")-1),",","."))+1,9))*12/52,IF(ISNUMBER(SEARCH("month",C103)),IFERROR(_xlfn.NUMBERVALUE(SUBSTITUTE(LEFT(TRIM(C103),FIND(" ",TRIM(C103)&amp;" ")-1),",","."),"."),LEFT(SUBSTITUTE(LEFT(TRIM(C103),FIND(" ",TRIM(C103)&amp;" ")-1),",","."),FIND("/",SUBSTITUTE(LEFT(TRIM(C103),FIND(" ",TRIM(C103)&amp;" ")-1),",","."))-1)/MID(SUBSTITUTE(LEFT(TRIM(C103),FIND(" ",TRIM(C103)&amp;" ")-1),",","."),FIND("/",SUBSTITUTE(LEFT(TRIM(C103),FIND(" ",TRIM(C103)&amp;" ")-1),",","."))+1,9)),IF(ISNUMBER(SEARCH("yea",C103)),IFERROR(_xlfn.NUMBERVALUE(SUBSTITUTE(LEFT(TRIM(C103),FIND(" ",TRIM(C103)&amp;" ")-1),",","."),"."),LEFT(SUBSTITUTE(LEFT(TRIM(C103),FIND(" ",TRIM(C103)&amp;" ")-1),",","."),FIND("/",SUBSTITUTE(LEFT(TRIM(C103),FIND(" ",TRIM(C103)&amp;" ")-1),",","."))-1)/MID(SUBSTITUTE(LEFT(TRIM(C103),FIND(" ",TRIM(C103)&amp;" ")-1),",","."),FIND("/",SUBSTITUTE(LEFT(TRIM(C103),FIND(" ",TRIM(C103)&amp;" ")-1),",","."))+1,9))*12,NA()))),0),12)*'Aturan &amp; Tarif'!$B$4,2)</f>
        <v>681.36</v>
      </c>
      <c r="K103" s="32" t="n">
        <f aca="false">'Aturan &amp; Tarif'!$B$5</f>
        <v>2050</v>
      </c>
      <c r="L103" s="35" t="n">
        <f aca="false">I103+J103+K103</f>
        <v>23706.36</v>
      </c>
      <c r="M103" s="36" t="s">
        <v>302</v>
      </c>
    </row>
    <row r="104" customFormat="false" ht="106.5" hidden="false" customHeight="true" outlineLevel="0" collapsed="false">
      <c r="A104" s="29"/>
      <c r="B104" s="30" t="s">
        <v>303</v>
      </c>
      <c r="C104" s="31" t="s">
        <v>159</v>
      </c>
      <c r="D104" s="31" t="s">
        <v>108</v>
      </c>
      <c r="E104" s="32" t="n">
        <v>3812.5</v>
      </c>
      <c r="F104" s="32"/>
      <c r="G104" s="32"/>
      <c r="H104" s="33" t="n">
        <v>2</v>
      </c>
      <c r="I104" s="34" t="n">
        <f aca="false">E104*H104+N(F104)+N(G104)</f>
        <v>7625</v>
      </c>
      <c r="J104" s="32" t="n">
        <f aca="false">ROUND(IFERROR(ROUND(IF(OR(ISNUMBER(SEARCH("week",C104)),ISNUMBER(SEARCH("minggu",C104))),IFERROR(_xlfn.NUMBERVALUE(SUBSTITUTE(LEFT(TRIM(C104),FIND(" ",TRIM(C104)&amp;" ")-1),",","."),"."),LEFT(SUBSTITUTE(LEFT(TRIM(C104),FIND(" ",TRIM(C104)&amp;" ")-1),",","."),FIND("/",SUBSTITUTE(LEFT(TRIM(C104),FIND(" ",TRIM(C104)&amp;" ")-1),",","."))-1)/MID(SUBSTITUTE(LEFT(TRIM(C104),FIND(" ",TRIM(C104)&amp;" ")-1),",","."),FIND("/",SUBSTITUTE(LEFT(TRIM(C104),FIND(" ",TRIM(C104)&amp;" ")-1),",","."))+1,9))*12/52,IF(ISNUMBER(SEARCH("month",C104)),IFERROR(_xlfn.NUMBERVALUE(SUBSTITUTE(LEFT(TRIM(C104),FIND(" ",TRIM(C104)&amp;" ")-1),",","."),"."),LEFT(SUBSTITUTE(LEFT(TRIM(C104),FIND(" ",TRIM(C104)&amp;" ")-1),",","."),FIND("/",SUBSTITUTE(LEFT(TRIM(C104),FIND(" ",TRIM(C104)&amp;" ")-1),",","."))-1)/MID(SUBSTITUTE(LEFT(TRIM(C104),FIND(" ",TRIM(C104)&amp;" ")-1),",","."),FIND("/",SUBSTITUTE(LEFT(TRIM(C104),FIND(" ",TRIM(C104)&amp;" ")-1),",","."))+1,9)),IF(ISNUMBER(SEARCH("yea",C104)),IFERROR(_xlfn.NUMBERVALUE(SUBSTITUTE(LEFT(TRIM(C104),FIND(" ",TRIM(C104)&amp;" ")-1),",","."),"."),LEFT(SUBSTITUTE(LEFT(TRIM(C104),FIND(" ",TRIM(C104)&amp;" ")-1),",","."),FIND("/",SUBSTITUTE(LEFT(TRIM(C104),FIND(" ",TRIM(C104)&amp;" ")-1),",","."))-1)/MID(SUBSTITUTE(LEFT(TRIM(C104),FIND(" ",TRIM(C104)&amp;" ")-1),",","."),FIND("/",SUBSTITUTE(LEFT(TRIM(C104),FIND(" ",TRIM(C104)&amp;" ")-1),",","."))+1,9))*12,NA()))),0),6)*'Aturan &amp; Tarif'!$B$4,2)</f>
        <v>340.68</v>
      </c>
      <c r="K104" s="32" t="n">
        <f aca="false">'Aturan &amp; Tarif'!$B$5</f>
        <v>2050</v>
      </c>
      <c r="L104" s="35" t="n">
        <f aca="false">I104+J104+K104</f>
        <v>10015.68</v>
      </c>
      <c r="M104" s="36" t="s">
        <v>304</v>
      </c>
    </row>
    <row r="105" customFormat="false" ht="37.5" hidden="false" customHeight="true" outlineLevel="0" collapsed="false">
      <c r="A105" s="29"/>
      <c r="B105" s="30" t="s">
        <v>305</v>
      </c>
      <c r="C105" s="31" t="s">
        <v>130</v>
      </c>
      <c r="D105" s="31" t="s">
        <v>108</v>
      </c>
      <c r="E105" s="32" t="n">
        <v>5118.75</v>
      </c>
      <c r="F105" s="32"/>
      <c r="G105" s="32"/>
      <c r="H105" s="33" t="n">
        <v>2</v>
      </c>
      <c r="I105" s="34" t="n">
        <f aca="false">E105*H105+N(F105)+N(G105)</f>
        <v>10237.5</v>
      </c>
      <c r="J105" s="32" t="n">
        <f aca="false">ROUND(IFERROR(ROUND(IF(OR(ISNUMBER(SEARCH("week",C105)),ISNUMBER(SEARCH("minggu",C105))),IFERROR(_xlfn.NUMBERVALUE(SUBSTITUTE(LEFT(TRIM(C105),FIND(" ",TRIM(C105)&amp;" ")-1),",","."),"."),LEFT(SUBSTITUTE(LEFT(TRIM(C105),FIND(" ",TRIM(C105)&amp;" ")-1),",","."),FIND("/",SUBSTITUTE(LEFT(TRIM(C105),FIND(" ",TRIM(C105)&amp;" ")-1),",","."))-1)/MID(SUBSTITUTE(LEFT(TRIM(C105),FIND(" ",TRIM(C105)&amp;" ")-1),",","."),FIND("/",SUBSTITUTE(LEFT(TRIM(C105),FIND(" ",TRIM(C105)&amp;" ")-1),",","."))+1,9))*12/52,IF(ISNUMBER(SEARCH("month",C105)),IFERROR(_xlfn.NUMBERVALUE(SUBSTITUTE(LEFT(TRIM(C105),FIND(" ",TRIM(C105)&amp;" ")-1),",","."),"."),LEFT(SUBSTITUTE(LEFT(TRIM(C105),FIND(" ",TRIM(C105)&amp;" ")-1),",","."),FIND("/",SUBSTITUTE(LEFT(TRIM(C105),FIND(" ",TRIM(C105)&amp;" ")-1),",","."))-1)/MID(SUBSTITUTE(LEFT(TRIM(C105),FIND(" ",TRIM(C105)&amp;" ")-1),",","."),FIND("/",SUBSTITUTE(LEFT(TRIM(C105),FIND(" ",TRIM(C105)&amp;" ")-1),",","."))+1,9)),IF(ISNUMBER(SEARCH("yea",C105)),IFERROR(_xlfn.NUMBERVALUE(SUBSTITUTE(LEFT(TRIM(C105),FIND(" ",TRIM(C105)&amp;" ")-1),",","."),"."),LEFT(SUBSTITUTE(LEFT(TRIM(C105),FIND(" ",TRIM(C105)&amp;" ")-1),",","."),FIND("/",SUBSTITUTE(LEFT(TRIM(C105),FIND(" ",TRIM(C105)&amp;" ")-1),",","."))-1)/MID(SUBSTITUTE(LEFT(TRIM(C105),FIND(" ",TRIM(C105)&amp;" ")-1),",","."),FIND("/",SUBSTITUTE(LEFT(TRIM(C105),FIND(" ",TRIM(C105)&amp;" ")-1),",","."))+1,9))*12,NA()))),0),12)*'Aturan &amp; Tarif'!$B$4,2)</f>
        <v>681.36</v>
      </c>
      <c r="K105" s="32" t="n">
        <f aca="false">'Aturan &amp; Tarif'!$B$5</f>
        <v>2050</v>
      </c>
      <c r="L105" s="35" t="n">
        <f aca="false">I105+J105+K105</f>
        <v>12968.86</v>
      </c>
      <c r="M105" s="36" t="s">
        <v>194</v>
      </c>
    </row>
    <row r="106" customFormat="false" ht="106.5" hidden="false" customHeight="true" outlineLevel="0" collapsed="false">
      <c r="A106" s="29"/>
      <c r="B106" s="30" t="s">
        <v>306</v>
      </c>
      <c r="C106" s="31" t="s">
        <v>130</v>
      </c>
      <c r="D106" s="31" t="s">
        <v>108</v>
      </c>
      <c r="E106" s="32" t="n">
        <v>4487.5</v>
      </c>
      <c r="F106" s="32"/>
      <c r="G106" s="32"/>
      <c r="H106" s="33" t="n">
        <v>2</v>
      </c>
      <c r="I106" s="34" t="n">
        <f aca="false">E106*H106+N(F106)+N(G106)</f>
        <v>8975</v>
      </c>
      <c r="J106" s="32" t="n">
        <f aca="false">ROUND(IFERROR(ROUND(IF(OR(ISNUMBER(SEARCH("week",C106)),ISNUMBER(SEARCH("minggu",C106))),IFERROR(_xlfn.NUMBERVALUE(SUBSTITUTE(LEFT(TRIM(C106),FIND(" ",TRIM(C106)&amp;" ")-1),",","."),"."),LEFT(SUBSTITUTE(LEFT(TRIM(C106),FIND(" ",TRIM(C106)&amp;" ")-1),",","."),FIND("/",SUBSTITUTE(LEFT(TRIM(C106),FIND(" ",TRIM(C106)&amp;" ")-1),",","."))-1)/MID(SUBSTITUTE(LEFT(TRIM(C106),FIND(" ",TRIM(C106)&amp;" ")-1),",","."),FIND("/",SUBSTITUTE(LEFT(TRIM(C106),FIND(" ",TRIM(C106)&amp;" ")-1),",","."))+1,9))*12/52,IF(ISNUMBER(SEARCH("month",C106)),IFERROR(_xlfn.NUMBERVALUE(SUBSTITUTE(LEFT(TRIM(C106),FIND(" ",TRIM(C106)&amp;" ")-1),",","."),"."),LEFT(SUBSTITUTE(LEFT(TRIM(C106),FIND(" ",TRIM(C106)&amp;" ")-1),",","."),FIND("/",SUBSTITUTE(LEFT(TRIM(C106),FIND(" ",TRIM(C106)&amp;" ")-1),",","."))-1)/MID(SUBSTITUTE(LEFT(TRIM(C106),FIND(" ",TRIM(C106)&amp;" ")-1),",","."),FIND("/",SUBSTITUTE(LEFT(TRIM(C106),FIND(" ",TRIM(C106)&amp;" ")-1),",","."))+1,9)),IF(ISNUMBER(SEARCH("yea",C106)),IFERROR(_xlfn.NUMBERVALUE(SUBSTITUTE(LEFT(TRIM(C106),FIND(" ",TRIM(C106)&amp;" ")-1),",","."),"."),LEFT(SUBSTITUTE(LEFT(TRIM(C106),FIND(" ",TRIM(C106)&amp;" ")-1),",","."),FIND("/",SUBSTITUTE(LEFT(TRIM(C106),FIND(" ",TRIM(C106)&amp;" ")-1),",","."))-1)/MID(SUBSTITUTE(LEFT(TRIM(C106),FIND(" ",TRIM(C106)&amp;" ")-1),",","."),FIND("/",SUBSTITUTE(LEFT(TRIM(C106),FIND(" ",TRIM(C106)&amp;" ")-1),",","."))+1,9))*12,NA()))),0),12)*'Aturan &amp; Tarif'!$B$4,2)</f>
        <v>681.36</v>
      </c>
      <c r="K106" s="32" t="n">
        <f aca="false">'Aturan &amp; Tarif'!$B$5</f>
        <v>2050</v>
      </c>
      <c r="L106" s="35" t="n">
        <f aca="false">I106+J106+K106</f>
        <v>11706.36</v>
      </c>
      <c r="M106" s="36" t="s">
        <v>307</v>
      </c>
    </row>
    <row r="107" customFormat="false" ht="60" hidden="false" customHeight="true" outlineLevel="0" collapsed="false">
      <c r="A107" s="29"/>
      <c r="B107" s="30" t="s">
        <v>308</v>
      </c>
      <c r="C107" s="31" t="s">
        <v>130</v>
      </c>
      <c r="D107" s="31" t="s">
        <v>108</v>
      </c>
      <c r="E107" s="32" t="n">
        <v>3812.5</v>
      </c>
      <c r="F107" s="32"/>
      <c r="G107" s="32"/>
      <c r="H107" s="33" t="n">
        <v>2</v>
      </c>
      <c r="I107" s="34" t="n">
        <f aca="false">E107*H107+N(F107)+N(G107)</f>
        <v>7625</v>
      </c>
      <c r="J107" s="32" t="n">
        <f aca="false">ROUND(IFERROR(ROUND(IF(OR(ISNUMBER(SEARCH("week",C107)),ISNUMBER(SEARCH("minggu",C107))),IFERROR(_xlfn.NUMBERVALUE(SUBSTITUTE(LEFT(TRIM(C107),FIND(" ",TRIM(C107)&amp;" ")-1),",","."),"."),LEFT(SUBSTITUTE(LEFT(TRIM(C107),FIND(" ",TRIM(C107)&amp;" ")-1),",","."),FIND("/",SUBSTITUTE(LEFT(TRIM(C107),FIND(" ",TRIM(C107)&amp;" ")-1),",","."))-1)/MID(SUBSTITUTE(LEFT(TRIM(C107),FIND(" ",TRIM(C107)&amp;" ")-1),",","."),FIND("/",SUBSTITUTE(LEFT(TRIM(C107),FIND(" ",TRIM(C107)&amp;" ")-1),",","."))+1,9))*12/52,IF(ISNUMBER(SEARCH("month",C107)),IFERROR(_xlfn.NUMBERVALUE(SUBSTITUTE(LEFT(TRIM(C107),FIND(" ",TRIM(C107)&amp;" ")-1),",","."),"."),LEFT(SUBSTITUTE(LEFT(TRIM(C107),FIND(" ",TRIM(C107)&amp;" ")-1),",","."),FIND("/",SUBSTITUTE(LEFT(TRIM(C107),FIND(" ",TRIM(C107)&amp;" ")-1),",","."))-1)/MID(SUBSTITUTE(LEFT(TRIM(C107),FIND(" ",TRIM(C107)&amp;" ")-1),",","."),FIND("/",SUBSTITUTE(LEFT(TRIM(C107),FIND(" ",TRIM(C107)&amp;" ")-1),",","."))+1,9)),IF(ISNUMBER(SEARCH("yea",C107)),IFERROR(_xlfn.NUMBERVALUE(SUBSTITUTE(LEFT(TRIM(C107),FIND(" ",TRIM(C107)&amp;" ")-1),",","."),"."),LEFT(SUBSTITUTE(LEFT(TRIM(C107),FIND(" ",TRIM(C107)&amp;" ")-1),",","."),FIND("/",SUBSTITUTE(LEFT(TRIM(C107),FIND(" ",TRIM(C107)&amp;" ")-1),",","."))-1)/MID(SUBSTITUTE(LEFT(TRIM(C107),FIND(" ",TRIM(C107)&amp;" ")-1),",","."),FIND("/",SUBSTITUTE(LEFT(TRIM(C107),FIND(" ",TRIM(C107)&amp;" ")-1),",","."))+1,9))*12,NA()))),0),12)*'Aturan &amp; Tarif'!$B$4,2)</f>
        <v>681.36</v>
      </c>
      <c r="K107" s="32" t="n">
        <f aca="false">'Aturan &amp; Tarif'!$B$5</f>
        <v>2050</v>
      </c>
      <c r="L107" s="35" t="n">
        <f aca="false">I107+J107+K107</f>
        <v>10356.36</v>
      </c>
      <c r="M107" s="36" t="s">
        <v>309</v>
      </c>
    </row>
    <row r="108" customFormat="false" ht="106.5" hidden="false" customHeight="true" outlineLevel="0" collapsed="false">
      <c r="A108" s="29"/>
      <c r="B108" s="30" t="s">
        <v>310</v>
      </c>
      <c r="C108" s="31" t="s">
        <v>107</v>
      </c>
      <c r="D108" s="31" t="s">
        <v>108</v>
      </c>
      <c r="E108" s="32" t="n">
        <v>4737.5</v>
      </c>
      <c r="F108" s="32"/>
      <c r="G108" s="32"/>
      <c r="H108" s="33" t="n">
        <v>2</v>
      </c>
      <c r="I108" s="34" t="n">
        <f aca="false">E108*H108+N(F108)+N(G108)</f>
        <v>9475</v>
      </c>
      <c r="J108" s="32" t="n">
        <f aca="false">ROUND(IFERROR(ROUND(IF(OR(ISNUMBER(SEARCH("week",C108)),ISNUMBER(SEARCH("minggu",C108))),IFERROR(_xlfn.NUMBERVALUE(SUBSTITUTE(LEFT(TRIM(C108),FIND(" ",TRIM(C108)&amp;" ")-1),",","."),"."),LEFT(SUBSTITUTE(LEFT(TRIM(C108),FIND(" ",TRIM(C108)&amp;" ")-1),",","."),FIND("/",SUBSTITUTE(LEFT(TRIM(C108),FIND(" ",TRIM(C108)&amp;" ")-1),",","."))-1)/MID(SUBSTITUTE(LEFT(TRIM(C108),FIND(" ",TRIM(C108)&amp;" ")-1),",","."),FIND("/",SUBSTITUTE(LEFT(TRIM(C108),FIND(" ",TRIM(C108)&amp;" ")-1),",","."))+1,9))*12/52,IF(ISNUMBER(SEARCH("month",C108)),IFERROR(_xlfn.NUMBERVALUE(SUBSTITUTE(LEFT(TRIM(C108),FIND(" ",TRIM(C108)&amp;" ")-1),",","."),"."),LEFT(SUBSTITUTE(LEFT(TRIM(C108),FIND(" ",TRIM(C108)&amp;" ")-1),",","."),FIND("/",SUBSTITUTE(LEFT(TRIM(C108),FIND(" ",TRIM(C108)&amp;" ")-1),",","."))-1)/MID(SUBSTITUTE(LEFT(TRIM(C108),FIND(" ",TRIM(C108)&amp;" ")-1),",","."),FIND("/",SUBSTITUTE(LEFT(TRIM(C108),FIND(" ",TRIM(C108)&amp;" ")-1),",","."))+1,9)),IF(ISNUMBER(SEARCH("yea",C108)),IFERROR(_xlfn.NUMBERVALUE(SUBSTITUTE(LEFT(TRIM(C108),FIND(" ",TRIM(C108)&amp;" ")-1),",","."),"."),LEFT(SUBSTITUTE(LEFT(TRIM(C108),FIND(" ",TRIM(C108)&amp;" ")-1),",","."),FIND("/",SUBSTITUTE(LEFT(TRIM(C108),FIND(" ",TRIM(C108)&amp;" ")-1),",","."))-1)/MID(SUBSTITUTE(LEFT(TRIM(C108),FIND(" ",TRIM(C108)&amp;" ")-1),",","."),FIND("/",SUBSTITUTE(LEFT(TRIM(C108),FIND(" ",TRIM(C108)&amp;" ")-1),",","."))+1,9))*12,NA()))),0),24)*'Aturan &amp; Tarif'!$B$4,2)</f>
        <v>1362.72</v>
      </c>
      <c r="K108" s="32" t="n">
        <f aca="false">'Aturan &amp; Tarif'!$B$5</f>
        <v>2050</v>
      </c>
      <c r="L108" s="35" t="n">
        <f aca="false">I108+J108+K108</f>
        <v>12887.72</v>
      </c>
      <c r="M108" s="36" t="s">
        <v>292</v>
      </c>
    </row>
    <row r="109" customFormat="false" ht="106.5" hidden="false" customHeight="true" outlineLevel="0" collapsed="false">
      <c r="A109" s="29"/>
      <c r="B109" s="30" t="s">
        <v>311</v>
      </c>
      <c r="C109" s="31" t="s">
        <v>130</v>
      </c>
      <c r="D109" s="31" t="s">
        <v>108</v>
      </c>
      <c r="E109" s="32" t="n">
        <v>8862.5</v>
      </c>
      <c r="F109" s="32"/>
      <c r="G109" s="32"/>
      <c r="H109" s="33" t="n">
        <v>2</v>
      </c>
      <c r="I109" s="34" t="n">
        <f aca="false">E109*H109+N(F109)+N(G109)</f>
        <v>17725</v>
      </c>
      <c r="J109" s="32" t="n">
        <f aca="false">ROUND(IFERROR(ROUND(IF(OR(ISNUMBER(SEARCH("week",C109)),ISNUMBER(SEARCH("minggu",C109))),IFERROR(_xlfn.NUMBERVALUE(SUBSTITUTE(LEFT(TRIM(C109),FIND(" ",TRIM(C109)&amp;" ")-1),",","."),"."),LEFT(SUBSTITUTE(LEFT(TRIM(C109),FIND(" ",TRIM(C109)&amp;" ")-1),",","."),FIND("/",SUBSTITUTE(LEFT(TRIM(C109),FIND(" ",TRIM(C109)&amp;" ")-1),",","."))-1)/MID(SUBSTITUTE(LEFT(TRIM(C109),FIND(" ",TRIM(C109)&amp;" ")-1),",","."),FIND("/",SUBSTITUTE(LEFT(TRIM(C109),FIND(" ",TRIM(C109)&amp;" ")-1),",","."))+1,9))*12/52,IF(ISNUMBER(SEARCH("month",C109)),IFERROR(_xlfn.NUMBERVALUE(SUBSTITUTE(LEFT(TRIM(C109),FIND(" ",TRIM(C109)&amp;" ")-1),",","."),"."),LEFT(SUBSTITUTE(LEFT(TRIM(C109),FIND(" ",TRIM(C109)&amp;" ")-1),",","."),FIND("/",SUBSTITUTE(LEFT(TRIM(C109),FIND(" ",TRIM(C109)&amp;" ")-1),",","."))-1)/MID(SUBSTITUTE(LEFT(TRIM(C109),FIND(" ",TRIM(C109)&amp;" ")-1),",","."),FIND("/",SUBSTITUTE(LEFT(TRIM(C109),FIND(" ",TRIM(C109)&amp;" ")-1),",","."))+1,9)),IF(ISNUMBER(SEARCH("yea",C109)),IFERROR(_xlfn.NUMBERVALUE(SUBSTITUTE(LEFT(TRIM(C109),FIND(" ",TRIM(C109)&amp;" ")-1),",","."),"."),LEFT(SUBSTITUTE(LEFT(TRIM(C109),FIND(" ",TRIM(C109)&amp;" ")-1),",","."),FIND("/",SUBSTITUTE(LEFT(TRIM(C109),FIND(" ",TRIM(C109)&amp;" ")-1),",","."))-1)/MID(SUBSTITUTE(LEFT(TRIM(C109),FIND(" ",TRIM(C109)&amp;" ")-1),",","."),FIND("/",SUBSTITUTE(LEFT(TRIM(C109),FIND(" ",TRIM(C109)&amp;" ")-1),",","."))+1,9))*12,NA()))),0),12)*'Aturan &amp; Tarif'!$B$4,2)</f>
        <v>681.36</v>
      </c>
      <c r="K109" s="32" t="n">
        <f aca="false">'Aturan &amp; Tarif'!$B$5</f>
        <v>2050</v>
      </c>
      <c r="L109" s="35" t="n">
        <f aca="false">I109+J109+K109</f>
        <v>20456.36</v>
      </c>
      <c r="M109" s="36" t="s">
        <v>294</v>
      </c>
    </row>
    <row r="110" customFormat="false" ht="106.5" hidden="false" customHeight="true" outlineLevel="0" collapsed="false">
      <c r="A110" s="29"/>
      <c r="B110" s="30" t="s">
        <v>312</v>
      </c>
      <c r="C110" s="31" t="s">
        <v>130</v>
      </c>
      <c r="D110" s="31" t="s">
        <v>108</v>
      </c>
      <c r="E110" s="32" t="n">
        <v>3812.5</v>
      </c>
      <c r="F110" s="32"/>
      <c r="G110" s="32"/>
      <c r="H110" s="33" t="n">
        <v>2</v>
      </c>
      <c r="I110" s="34" t="n">
        <f aca="false">E110*H110+N(F110)+N(G110)</f>
        <v>7625</v>
      </c>
      <c r="J110" s="32" t="n">
        <f aca="false">ROUND(IFERROR(ROUND(IF(OR(ISNUMBER(SEARCH("week",C110)),ISNUMBER(SEARCH("minggu",C110))),IFERROR(_xlfn.NUMBERVALUE(SUBSTITUTE(LEFT(TRIM(C110),FIND(" ",TRIM(C110)&amp;" ")-1),",","."),"."),LEFT(SUBSTITUTE(LEFT(TRIM(C110),FIND(" ",TRIM(C110)&amp;" ")-1),",","."),FIND("/",SUBSTITUTE(LEFT(TRIM(C110),FIND(" ",TRIM(C110)&amp;" ")-1),",","."))-1)/MID(SUBSTITUTE(LEFT(TRIM(C110),FIND(" ",TRIM(C110)&amp;" ")-1),",","."),FIND("/",SUBSTITUTE(LEFT(TRIM(C110),FIND(" ",TRIM(C110)&amp;" ")-1),",","."))+1,9))*12/52,IF(ISNUMBER(SEARCH("month",C110)),IFERROR(_xlfn.NUMBERVALUE(SUBSTITUTE(LEFT(TRIM(C110),FIND(" ",TRIM(C110)&amp;" ")-1),",","."),"."),LEFT(SUBSTITUTE(LEFT(TRIM(C110),FIND(" ",TRIM(C110)&amp;" ")-1),",","."),FIND("/",SUBSTITUTE(LEFT(TRIM(C110),FIND(" ",TRIM(C110)&amp;" ")-1),",","."))-1)/MID(SUBSTITUTE(LEFT(TRIM(C110),FIND(" ",TRIM(C110)&amp;" ")-1),",","."),FIND("/",SUBSTITUTE(LEFT(TRIM(C110),FIND(" ",TRIM(C110)&amp;" ")-1),",","."))+1,9)),IF(ISNUMBER(SEARCH("yea",C110)),IFERROR(_xlfn.NUMBERVALUE(SUBSTITUTE(LEFT(TRIM(C110),FIND(" ",TRIM(C110)&amp;" ")-1),",","."),"."),LEFT(SUBSTITUTE(LEFT(TRIM(C110),FIND(" ",TRIM(C110)&amp;" ")-1),",","."),FIND("/",SUBSTITUTE(LEFT(TRIM(C110),FIND(" ",TRIM(C110)&amp;" ")-1),",","."))-1)/MID(SUBSTITUTE(LEFT(TRIM(C110),FIND(" ",TRIM(C110)&amp;" ")-1),",","."),FIND("/",SUBSTITUTE(LEFT(TRIM(C110),FIND(" ",TRIM(C110)&amp;" ")-1),",","."))+1,9))*12,NA()))),0),12)*'Aturan &amp; Tarif'!$B$4,2)</f>
        <v>681.36</v>
      </c>
      <c r="K110" s="32" t="n">
        <f aca="false">'Aturan &amp; Tarif'!$B$5</f>
        <v>2050</v>
      </c>
      <c r="L110" s="35" t="n">
        <f aca="false">I110+J110+K110</f>
        <v>10356.36</v>
      </c>
      <c r="M110" s="36" t="s">
        <v>296</v>
      </c>
    </row>
    <row r="111" customFormat="false" ht="106.5" hidden="false" customHeight="true" outlineLevel="0" collapsed="false">
      <c r="A111" s="29"/>
      <c r="B111" s="30" t="s">
        <v>313</v>
      </c>
      <c r="C111" s="31" t="s">
        <v>130</v>
      </c>
      <c r="D111" s="31" t="s">
        <v>108</v>
      </c>
      <c r="E111" s="32" t="n">
        <v>10487.5</v>
      </c>
      <c r="F111" s="32"/>
      <c r="G111" s="32"/>
      <c r="H111" s="33" t="n">
        <v>2</v>
      </c>
      <c r="I111" s="34" t="n">
        <f aca="false">E111*H111+N(F111)+N(G111)</f>
        <v>20975</v>
      </c>
      <c r="J111" s="32" t="n">
        <f aca="false">ROUND(IFERROR(ROUND(IF(OR(ISNUMBER(SEARCH("week",C111)),ISNUMBER(SEARCH("minggu",C111))),IFERROR(_xlfn.NUMBERVALUE(SUBSTITUTE(LEFT(TRIM(C111),FIND(" ",TRIM(C111)&amp;" ")-1),",","."),"."),LEFT(SUBSTITUTE(LEFT(TRIM(C111),FIND(" ",TRIM(C111)&amp;" ")-1),",","."),FIND("/",SUBSTITUTE(LEFT(TRIM(C111),FIND(" ",TRIM(C111)&amp;" ")-1),",","."))-1)/MID(SUBSTITUTE(LEFT(TRIM(C111),FIND(" ",TRIM(C111)&amp;" ")-1),",","."),FIND("/",SUBSTITUTE(LEFT(TRIM(C111),FIND(" ",TRIM(C111)&amp;" ")-1),",","."))+1,9))*12/52,IF(ISNUMBER(SEARCH("month",C111)),IFERROR(_xlfn.NUMBERVALUE(SUBSTITUTE(LEFT(TRIM(C111),FIND(" ",TRIM(C111)&amp;" ")-1),",","."),"."),LEFT(SUBSTITUTE(LEFT(TRIM(C111),FIND(" ",TRIM(C111)&amp;" ")-1),",","."),FIND("/",SUBSTITUTE(LEFT(TRIM(C111),FIND(" ",TRIM(C111)&amp;" ")-1),",","."))-1)/MID(SUBSTITUTE(LEFT(TRIM(C111),FIND(" ",TRIM(C111)&amp;" ")-1),",","."),FIND("/",SUBSTITUTE(LEFT(TRIM(C111),FIND(" ",TRIM(C111)&amp;" ")-1),",","."))+1,9)),IF(ISNUMBER(SEARCH("yea",C111)),IFERROR(_xlfn.NUMBERVALUE(SUBSTITUTE(LEFT(TRIM(C111),FIND(" ",TRIM(C111)&amp;" ")-1),",","."),"."),LEFT(SUBSTITUTE(LEFT(TRIM(C111),FIND(" ",TRIM(C111)&amp;" ")-1),",","."),FIND("/",SUBSTITUTE(LEFT(TRIM(C111),FIND(" ",TRIM(C111)&amp;" ")-1),",","."))-1)/MID(SUBSTITUTE(LEFT(TRIM(C111),FIND(" ",TRIM(C111)&amp;" ")-1),",","."),FIND("/",SUBSTITUTE(LEFT(TRIM(C111),FIND(" ",TRIM(C111)&amp;" ")-1),",","."))+1,9))*12,NA()))),0),12)*'Aturan &amp; Tarif'!$B$4,2)</f>
        <v>681.36</v>
      </c>
      <c r="K111" s="32" t="n">
        <f aca="false">'Aturan &amp; Tarif'!$B$5</f>
        <v>2050</v>
      </c>
      <c r="L111" s="35" t="n">
        <f aca="false">I111+J111+K111</f>
        <v>23706.36</v>
      </c>
      <c r="M111" s="36" t="s">
        <v>314</v>
      </c>
    </row>
    <row r="113" customFormat="false" ht="12.75" hidden="false" customHeight="true" outlineLevel="0" collapsed="false">
      <c r="A113" s="38" t="s">
        <v>117</v>
      </c>
    </row>
    <row r="114" customFormat="false" ht="12.75" hidden="false" customHeight="true" outlineLevel="0" collapsed="false">
      <c r="A114" s="38" t="s">
        <v>118</v>
      </c>
    </row>
    <row r="115" customFormat="false" ht="12.75" hidden="false" customHeight="true" outlineLevel="0" collapsed="false">
      <c r="A115" s="38" t="s">
        <v>119</v>
      </c>
    </row>
    <row r="116" customFormat="false" ht="12.75" hidden="false" customHeight="true" outlineLevel="0" collapsed="false">
      <c r="A116" s="38" t="s">
        <v>120</v>
      </c>
    </row>
    <row r="117" customFormat="false" ht="12.75" hidden="false" customHeight="true" outlineLevel="0" collapsed="false">
      <c r="A117" s="38" t="s">
        <v>121</v>
      </c>
    </row>
    <row r="118" customFormat="false" ht="12.75" hidden="false" customHeight="true" outlineLevel="0" collapsed="false">
      <c r="A118" s="38" t="s">
        <v>3294</v>
      </c>
    </row>
    <row r="119" customFormat="false" ht="12.75" hidden="false" customHeight="true" outlineLevel="0" collapsed="false">
      <c r="A119" s="38" t="s">
        <v>3496</v>
      </c>
    </row>
    <row r="120" customFormat="false" ht="12.75" hidden="false" customHeight="true" outlineLevel="0" collapsed="false">
      <c r="A120" s="38" t="s">
        <v>3497</v>
      </c>
    </row>
    <row r="121" customFormat="false" ht="12.75" hidden="false" customHeight="true" outlineLevel="0" collapsed="false">
      <c r="A121" s="38" t="s">
        <v>3498</v>
      </c>
    </row>
    <row r="122" customFormat="false" ht="12.75" hidden="false" customHeight="true" outlineLevel="0" collapsed="false">
      <c r="A122" s="38" t="s">
        <v>3499</v>
      </c>
    </row>
    <row r="123" customFormat="false" ht="12.75" hidden="false" customHeight="true" outlineLevel="0" collapsed="false">
      <c r="A123" s="38" t="s">
        <v>3500</v>
      </c>
    </row>
    <row r="124" customFormat="false" ht="12.75" hidden="false" customHeight="true" outlineLevel="0" collapsed="false">
      <c r="A124" s="38" t="s">
        <v>3501</v>
      </c>
    </row>
    <row r="125" customFormat="false" ht="12.75" hidden="false" customHeight="true" outlineLevel="0" collapsed="false">
      <c r="A125" s="38" t="s">
        <v>3502</v>
      </c>
    </row>
    <row r="126" customFormat="false" ht="81.75" hidden="false" customHeight="true" outlineLevel="0" collapsed="false">
      <c r="A126" s="38" t="s">
        <v>3302</v>
      </c>
    </row>
  </sheetData>
  <autoFilter ref="A5:M111"/>
  <conditionalFormatting sqref="J6:J111">
    <cfRule type="expression" priority="2" aboveAverage="0" equalAverage="0" bottom="0" percent="0" rank="0" text="" dxfId="6">
      <formula>AND($E6&lt;&gt;"",OR(ISERROR(ROUND(IF(OR(ISNUMBER(SEARCH("week",C6)),ISNUMBER(SEARCH("minggu",C6))),IFERROR(_xlfn.NUMBERVALUE(SUBSTITUTE(LEFT(TRIM(C6),FIND("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")-1),",","."))+1,9))*12,NA()))),0)&lt;1,1),IFERROR(ROUND(IF(OR(ISNUMBER(SEARCH("week",C6)),ISNUMBER(SEARCH("minggu",C6))),IFERROR(_xlfn.NUMBERVALUE(SUBSTITUTE(LEFT(TRIM(C6),FIND("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")-1),",","."))+1,9))*12,NA()))),0)&gt;96,1)))</formula>
    </cfRule>
  </conditionalFormatting>
  <printOptions headings="false" gridLines="false" gridLinesSet="true" horizontalCentered="true" verticalCentered="false"/>
  <pageMargins left="0.3" right="0.3" top="0.5" bottom="0.5" header="0.2" footer="0.2"/>
  <pageSetup paperSize="9" scale="100" fitToWidth="1" fitToHeight="0" pageOrder="downThenOver" orientation="landscape" blackAndWhite="false" draft="false" cellComments="none" horizontalDpi="300" verticalDpi="300" copies="1"/>
  <headerFooter differentFirst="false" differentOddEven="false">
    <oddHeader>&amp;R&amp;8 ONSHORE - TASMANIA HOBART</oddHeader>
    <oddFooter>&amp;L&amp;8 TEG Pricelist - harga bisa berubah sewaktu-waktu&amp;R&amp;8 Halaman &amp;P dari &amp;N</oddFooter>
  </headerFooter>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157"/>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2" min="2" style="1" width="55"/>
    <col collapsed="false" customWidth="true" hidden="false" outlineLevel="0" max="3" min="3" style="1" width="14"/>
    <col collapsed="false" customWidth="true" hidden="false" outlineLevel="0" max="4" min="4" style="1" width="11"/>
    <col collapsed="false" customWidth="true" hidden="false" outlineLevel="0" max="5" min="5" style="1" width="12"/>
    <col collapsed="false" customWidth="true" hidden="false" outlineLevel="0" max="8" min="6" style="1" width="11"/>
    <col collapsed="false" customWidth="true" hidden="false" outlineLevel="0" max="9" min="9" style="1" width="15"/>
    <col collapsed="false" customWidth="true" hidden="false" outlineLevel="0" max="10" min="10" style="1" width="12"/>
    <col collapsed="false" customWidth="true" hidden="false" outlineLevel="0" max="11" min="11" style="1" width="10"/>
    <col collapsed="false" customWidth="true" hidden="false" outlineLevel="0" max="12" min="12" style="1" width="15"/>
    <col collapsed="false" customWidth="true" hidden="false" outlineLevel="0" max="13" min="13" style="1" width="110"/>
    <col collapsed="false" customWidth="true" hidden="false" outlineLevel="0" max="44" min="14" style="1" width="9"/>
  </cols>
  <sheetData>
    <row r="1" customFormat="false" ht="17.25" hidden="false" customHeight="true" outlineLevel="0" collapsed="false">
      <c r="A1" s="14" t="s">
        <v>3503</v>
      </c>
    </row>
    <row r="2" customFormat="false" ht="15" hidden="false" customHeight="true" outlineLevel="0" collapsed="false">
      <c r="A2" s="25" t="s">
        <v>91</v>
      </c>
    </row>
    <row r="3" customFormat="false" ht="15" hidden="false" customHeight="true" outlineLevel="0" collapsed="false">
      <c r="A3" s="26" t="s">
        <v>3014</v>
      </c>
    </row>
    <row r="5" customFormat="false" ht="36" hidden="false" customHeight="true" outlineLevel="0" collapsed="false">
      <c r="A5" s="27" t="s">
        <v>93</v>
      </c>
      <c r="B5" s="27" t="s">
        <v>94</v>
      </c>
      <c r="C5" s="27" t="s">
        <v>95</v>
      </c>
      <c r="D5" s="27" t="s">
        <v>96</v>
      </c>
      <c r="E5" s="27" t="s">
        <v>97</v>
      </c>
      <c r="F5" s="27" t="s">
        <v>98</v>
      </c>
      <c r="G5" s="27" t="s">
        <v>99</v>
      </c>
      <c r="H5" s="27" t="s">
        <v>100</v>
      </c>
      <c r="I5" s="27" t="s">
        <v>101</v>
      </c>
      <c r="J5" s="27" t="s">
        <v>10</v>
      </c>
      <c r="K5" s="27" t="s">
        <v>102</v>
      </c>
      <c r="L5" s="27" t="s">
        <v>104</v>
      </c>
      <c r="M5" s="28" t="s">
        <v>14</v>
      </c>
    </row>
    <row r="6" customFormat="false" ht="37.5" hidden="false" customHeight="true" outlineLevel="0" collapsed="false">
      <c r="A6" s="29" t="s">
        <v>492</v>
      </c>
      <c r="B6" s="30" t="s">
        <v>3069</v>
      </c>
      <c r="C6" s="31" t="s">
        <v>136</v>
      </c>
      <c r="D6" s="31" t="s">
        <v>108</v>
      </c>
      <c r="E6" s="32" t="n">
        <v>2333</v>
      </c>
      <c r="F6" s="32" t="n">
        <v>1500</v>
      </c>
      <c r="G6" s="32" t="n">
        <v>500</v>
      </c>
      <c r="H6" s="33" t="n">
        <v>1</v>
      </c>
      <c r="I6" s="34" t="n">
        <f aca="false">E6*H6+N(F6)+N(G6)</f>
        <v>4333</v>
      </c>
      <c r="J6" s="32" t="n">
        <f aca="false">ROUND(IFERROR(ROUND(IF(OR(ISNUMBER(SEARCH("week",C6)),ISNUMBER(SEARCH("minggu",C6))),IFERROR(_xlfn.NUMBERVALUE(SUBSTITUTE(LEFT(TRIM(C6),FIND("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")-1),",","."))+1,9))*12,NA()))),0),42)*'Aturan &amp; Tarif'!$B$4,2)</f>
        <v>2384.76</v>
      </c>
      <c r="K6" s="32" t="n">
        <f aca="false">'Aturan &amp; Tarif'!$B$5</f>
        <v>2050</v>
      </c>
      <c r="L6" s="35" t="n">
        <f aca="false">I6+J6+K6</f>
        <v>8767.76</v>
      </c>
      <c r="M6" s="36" t="s">
        <v>131</v>
      </c>
    </row>
    <row r="7" customFormat="false" ht="37.5" hidden="false" customHeight="true" outlineLevel="0" collapsed="false">
      <c r="A7" s="29"/>
      <c r="B7" s="30" t="s">
        <v>3070</v>
      </c>
      <c r="C7" s="31" t="s">
        <v>495</v>
      </c>
      <c r="D7" s="31" t="s">
        <v>108</v>
      </c>
      <c r="E7" s="32" t="n">
        <v>2333</v>
      </c>
      <c r="F7" s="32" t="n">
        <v>1500</v>
      </c>
      <c r="G7" s="32" t="n">
        <v>500</v>
      </c>
      <c r="H7" s="33" t="n">
        <v>1</v>
      </c>
      <c r="I7" s="34" t="n">
        <f aca="false">E7*H7+N(F7)+N(G7)</f>
        <v>4333</v>
      </c>
      <c r="J7" s="32" t="n">
        <f aca="false">ROUND(IFERROR(ROUND(IF(OR(ISNUMBER(SEARCH("week",C7)),ISNUMBER(SEARCH("minggu",C7))),IFERROR(_xlfn.NUMBERVALUE(SUBSTITUTE(LEFT(TRIM(C7),FIND(" ",TRIM(C7)&amp;" ")-1),",","."),"."),LEFT(SUBSTITUTE(LEFT(TRIM(C7),FIND(" ",TRIM(C7)&amp;" ")-1),",","."),FIND("/",SUBSTITUTE(LEFT(TRIM(C7),FIND(" ",TRIM(C7)&amp;" ")-1),",","."))-1)/MID(SUBSTITUTE(LEFT(TRIM(C7),FIND(" ",TRIM(C7)&amp;" ")-1),",","."),FIND("/",SUBSTITUTE(LEFT(TRIM(C7),FIND(" ",TRIM(C7)&amp;" ")-1),",","."))+1,9))*12/52,IF(ISNUMBER(SEARCH("month",C7)),IFERROR(_xlfn.NUMBERVALUE(SUBSTITUTE(LEFT(TRIM(C7),FIND(" ",TRIM(C7)&amp;" ")-1),",","."),"."),LEFT(SUBSTITUTE(LEFT(TRIM(C7),FIND(" ",TRIM(C7)&amp;" ")-1),",","."),FIND("/",SUBSTITUTE(LEFT(TRIM(C7),FIND(" ",TRIM(C7)&amp;" ")-1),",","."))-1)/MID(SUBSTITUTE(LEFT(TRIM(C7),FIND(" ",TRIM(C7)&amp;" ")-1),",","."),FIND("/",SUBSTITUTE(LEFT(TRIM(C7),FIND(" ",TRIM(C7)&amp;" ")-1),",","."))+1,9)),IF(ISNUMBER(SEARCH("yea",C7)),IFERROR(_xlfn.NUMBERVALUE(SUBSTITUTE(LEFT(TRIM(C7),FIND(" ",TRIM(C7)&amp;" ")-1),",","."),"."),LEFT(SUBSTITUTE(LEFT(TRIM(C7),FIND(" ",TRIM(C7)&amp;" ")-1),",","."),FIND("/",SUBSTITUTE(LEFT(TRIM(C7),FIND(" ",TRIM(C7)&amp;" ")-1),",","."))-1)/MID(SUBSTITUTE(LEFT(TRIM(C7),FIND(" ",TRIM(C7)&amp;" ")-1),",","."),FIND("/",SUBSTITUTE(LEFT(TRIM(C7),FIND(" ",TRIM(C7)&amp;" ")-1),",","."))+1,9))*12,NA()))),0),54)*'Aturan &amp; Tarif'!$B$4,2)</f>
        <v>3066.12</v>
      </c>
      <c r="K7" s="32" t="n">
        <f aca="false">'Aturan &amp; Tarif'!$B$5</f>
        <v>2050</v>
      </c>
      <c r="L7" s="35" t="n">
        <f aca="false">I7+J7+K7</f>
        <v>9449.12</v>
      </c>
      <c r="M7" s="36" t="s">
        <v>131</v>
      </c>
    </row>
    <row r="8" customFormat="false" ht="25.5" hidden="false" customHeight="true" outlineLevel="0" collapsed="false">
      <c r="A8" s="29"/>
      <c r="B8" s="30" t="s">
        <v>496</v>
      </c>
      <c r="C8" s="31" t="s">
        <v>107</v>
      </c>
      <c r="D8" s="31" t="s">
        <v>108</v>
      </c>
      <c r="E8" s="32" t="n">
        <v>1500</v>
      </c>
      <c r="F8" s="32" t="n">
        <v>500</v>
      </c>
      <c r="G8" s="32" t="n">
        <v>500</v>
      </c>
      <c r="H8" s="33" t="n">
        <v>1</v>
      </c>
      <c r="I8" s="34" t="n">
        <f aca="false">E8*H8+N(F8)+N(G8)</f>
        <v>2500</v>
      </c>
      <c r="J8" s="32" t="n">
        <f aca="false">ROUND(IFERROR(ROUND(IF(OR(ISNUMBER(SEARCH("week",C8)),ISNUMBER(SEARCH("minggu",C8))),IFERROR(_xlfn.NUMBERVALUE(SUBSTITUTE(LEFT(TRIM(C8),FIND(" ",TRIM(C8)&amp;" ")-1),",","."),"."),LEFT(SUBSTITUTE(LEFT(TRIM(C8),FIND(" ",TRIM(C8)&amp;" ")-1),",","."),FIND("/",SUBSTITUTE(LEFT(TRIM(C8),FIND(" ",TRIM(C8)&amp;" ")-1),",","."))-1)/MID(SUBSTITUTE(LEFT(TRIM(C8),FIND(" ",TRIM(C8)&amp;" ")-1),",","."),FIND("/",SUBSTITUTE(LEFT(TRIM(C8),FIND(" ",TRIM(C8)&amp;" ")-1),",","."))+1,9))*12/52,IF(ISNUMBER(SEARCH("month",C8)),IFERROR(_xlfn.NUMBERVALUE(SUBSTITUTE(LEFT(TRIM(C8),FIND(" ",TRIM(C8)&amp;" ")-1),",","."),"."),LEFT(SUBSTITUTE(LEFT(TRIM(C8),FIND(" ",TRIM(C8)&amp;" ")-1),",","."),FIND("/",SUBSTITUTE(LEFT(TRIM(C8),FIND(" ",TRIM(C8)&amp;" ")-1),",","."))-1)/MID(SUBSTITUTE(LEFT(TRIM(C8),FIND(" ",TRIM(C8)&amp;" ")-1),",","."),FIND("/",SUBSTITUTE(LEFT(TRIM(C8),FIND(" ",TRIM(C8)&amp;" ")-1),",","."))+1,9)),IF(ISNUMBER(SEARCH("yea",C8)),IFERROR(_xlfn.NUMBERVALUE(SUBSTITUTE(LEFT(TRIM(C8),FIND(" ",TRIM(C8)&amp;" ")-1),",","."),"."),LEFT(SUBSTITUTE(LEFT(TRIM(C8),FIND(" ",TRIM(C8)&amp;" ")-1),",","."),FIND("/",SUBSTITUTE(LEFT(TRIM(C8),FIND(" ",TRIM(C8)&amp;" ")-1),",","."))-1)/MID(SUBSTITUTE(LEFT(TRIM(C8),FIND(" ",TRIM(C8)&amp;" ")-1),",","."),FIND("/",SUBSTITUTE(LEFT(TRIM(C8),FIND(" ",TRIM(C8)&amp;" ")-1),",","."))+1,9))*12,NA()))),0),24)*'Aturan &amp; Tarif'!$B$4,2)</f>
        <v>1362.72</v>
      </c>
      <c r="K8" s="32" t="n">
        <f aca="false">'Aturan &amp; Tarif'!$B$5</f>
        <v>2050</v>
      </c>
      <c r="L8" s="35" t="n">
        <f aca="false">I8+J8+K8</f>
        <v>5912.72</v>
      </c>
      <c r="M8" s="37" t="s">
        <v>134</v>
      </c>
    </row>
    <row r="9" customFormat="false" ht="25.5" hidden="false" customHeight="true" outlineLevel="0" collapsed="false">
      <c r="A9" s="29"/>
      <c r="B9" s="30" t="s">
        <v>1993</v>
      </c>
      <c r="C9" s="31" t="s">
        <v>136</v>
      </c>
      <c r="D9" s="31" t="s">
        <v>108</v>
      </c>
      <c r="E9" s="32" t="n">
        <v>1500</v>
      </c>
      <c r="F9" s="32" t="n">
        <v>500</v>
      </c>
      <c r="G9" s="32" t="n">
        <v>500</v>
      </c>
      <c r="H9" s="33" t="n">
        <v>1</v>
      </c>
      <c r="I9" s="34" t="n">
        <f aca="false">E9*H9+N(F9)+N(G9)</f>
        <v>2500</v>
      </c>
      <c r="J9" s="32" t="n">
        <f aca="false">ROUND(IFERROR(ROUND(IF(OR(ISNUMBER(SEARCH("week",C9)),ISNUMBER(SEARCH("minggu",C9))),IFERROR(_xlfn.NUMBERVALUE(SUBSTITUTE(LEFT(TRIM(C9),FIND(" ",TRIM(C9)&amp;" ")-1),",","."),"."),LEFT(SUBSTITUTE(LEFT(TRIM(C9),FIND(" ",TRIM(C9)&amp;" ")-1),",","."),FIND("/",SUBSTITUTE(LEFT(TRIM(C9),FIND(" ",TRIM(C9)&amp;" ")-1),",","."))-1)/MID(SUBSTITUTE(LEFT(TRIM(C9),FIND(" ",TRIM(C9)&amp;" ")-1),",","."),FIND("/",SUBSTITUTE(LEFT(TRIM(C9),FIND(" ",TRIM(C9)&amp;" ")-1),",","."))+1,9))*12/52,IF(ISNUMBER(SEARCH("month",C9)),IFERROR(_xlfn.NUMBERVALUE(SUBSTITUTE(LEFT(TRIM(C9),FIND(" ",TRIM(C9)&amp;" ")-1),",","."),"."),LEFT(SUBSTITUTE(LEFT(TRIM(C9),FIND(" ",TRIM(C9)&amp;" ")-1),",","."),FIND("/",SUBSTITUTE(LEFT(TRIM(C9),FIND(" ",TRIM(C9)&amp;" ")-1),",","."))-1)/MID(SUBSTITUTE(LEFT(TRIM(C9),FIND(" ",TRIM(C9)&amp;" ")-1),",","."),FIND("/",SUBSTITUTE(LEFT(TRIM(C9),FIND(" ",TRIM(C9)&amp;" ")-1),",","."))+1,9)),IF(ISNUMBER(SEARCH("yea",C9)),IFERROR(_xlfn.NUMBERVALUE(SUBSTITUTE(LEFT(TRIM(C9),FIND(" ",TRIM(C9)&amp;" ")-1),",","."),"."),LEFT(SUBSTITUTE(LEFT(TRIM(C9),FIND(" ",TRIM(C9)&amp;" ")-1),",","."),FIND("/",SUBSTITUTE(LEFT(TRIM(C9),FIND(" ",TRIM(C9)&amp;" ")-1),",","."))-1)/MID(SUBSTITUTE(LEFT(TRIM(C9),FIND(" ",TRIM(C9)&amp;" ")-1),",","."),FIND("/",SUBSTITUTE(LEFT(TRIM(C9),FIND(" ",TRIM(C9)&amp;" ")-1),",","."))+1,9))*12,NA()))),0),42)*'Aturan &amp; Tarif'!$B$4,2)</f>
        <v>2384.76</v>
      </c>
      <c r="K9" s="32" t="n">
        <f aca="false">'Aturan &amp; Tarif'!$B$5</f>
        <v>2050</v>
      </c>
      <c r="L9" s="35" t="n">
        <f aca="false">I9+J9+K9</f>
        <v>6934.76</v>
      </c>
      <c r="M9" s="37" t="s">
        <v>134</v>
      </c>
    </row>
    <row r="10" customFormat="false" ht="37.5" hidden="false" customHeight="true" outlineLevel="0" collapsed="false">
      <c r="A10" s="29"/>
      <c r="B10" s="30" t="s">
        <v>498</v>
      </c>
      <c r="C10" s="31" t="s">
        <v>107</v>
      </c>
      <c r="D10" s="31" t="s">
        <v>108</v>
      </c>
      <c r="E10" s="32" t="n">
        <v>2250</v>
      </c>
      <c r="F10" s="32" t="n">
        <v>1000</v>
      </c>
      <c r="G10" s="32" t="n">
        <v>500</v>
      </c>
      <c r="H10" s="33" t="n">
        <v>1</v>
      </c>
      <c r="I10" s="34" t="n">
        <f aca="false">E10*H10+N(F10)+N(G10)</f>
        <v>3750</v>
      </c>
      <c r="J10" s="32" t="n">
        <f aca="false">ROUND(IFERROR(ROUND(IF(OR(ISNUMBER(SEARCH("week",C10)),ISNUMBER(SEARCH("minggu",C10))),IFERROR(_xlfn.NUMBERVALUE(SUBSTITUTE(LEFT(TRIM(C10),FIND(" ",TRIM(C10)&amp;" ")-1),",","."),"."),LEFT(SUBSTITUTE(LEFT(TRIM(C10),FIND(" ",TRIM(C10)&amp;" ")-1),",","."),FIND("/",SUBSTITUTE(LEFT(TRIM(C10),FIND(" ",TRIM(C10)&amp;" ")-1),",","."))-1)/MID(SUBSTITUTE(LEFT(TRIM(C10),FIND(" ",TRIM(C10)&amp;" ")-1),",","."),FIND("/",SUBSTITUTE(LEFT(TRIM(C10),FIND(" ",TRIM(C10)&amp;" ")-1),",","."))+1,9))*12/52,IF(ISNUMBER(SEARCH("month",C10)),IFERROR(_xlfn.NUMBERVALUE(SUBSTITUTE(LEFT(TRIM(C10),FIND(" ",TRIM(C10)&amp;" ")-1),",","."),"."),LEFT(SUBSTITUTE(LEFT(TRIM(C10),FIND(" ",TRIM(C10)&amp;" ")-1),",","."),FIND("/",SUBSTITUTE(LEFT(TRIM(C10),FIND(" ",TRIM(C10)&amp;" ")-1),",","."))-1)/MID(SUBSTITUTE(LEFT(TRIM(C10),FIND(" ",TRIM(C10)&amp;" ")-1),",","."),FIND("/",SUBSTITUTE(LEFT(TRIM(C10),FIND(" ",TRIM(C10)&amp;" ")-1),",","."))+1,9)),IF(ISNUMBER(SEARCH("yea",C10)),IFERROR(_xlfn.NUMBERVALUE(SUBSTITUTE(LEFT(TRIM(C10),FIND(" ",TRIM(C10)&amp;" ")-1),",","."),"."),LEFT(SUBSTITUTE(LEFT(TRIM(C10),FIND(" ",TRIM(C10)&amp;" ")-1),",","."),FIND("/",SUBSTITUTE(LEFT(TRIM(C10),FIND(" ",TRIM(C10)&amp;" ")-1),",","."))-1)/MID(SUBSTITUTE(LEFT(TRIM(C10),FIND(" ",TRIM(C10)&amp;" ")-1),",","."),FIND("/",SUBSTITUTE(LEFT(TRIM(C10),FIND(" ",TRIM(C10)&amp;" ")-1),",","."))+1,9))*12,NA()))),0),24)*'Aturan &amp; Tarif'!$B$4,2)</f>
        <v>1362.72</v>
      </c>
      <c r="K10" s="32" t="n">
        <f aca="false">'Aturan &amp; Tarif'!$B$5</f>
        <v>2050</v>
      </c>
      <c r="L10" s="35" t="n">
        <f aca="false">I10+J10+K10</f>
        <v>7162.72</v>
      </c>
      <c r="M10" s="37" t="s">
        <v>134</v>
      </c>
    </row>
    <row r="11" customFormat="false" ht="25.5" hidden="false" customHeight="true" outlineLevel="0" collapsed="false">
      <c r="A11" s="29"/>
      <c r="B11" s="30" t="s">
        <v>499</v>
      </c>
      <c r="C11" s="31" t="s">
        <v>107</v>
      </c>
      <c r="D11" s="31" t="s">
        <v>108</v>
      </c>
      <c r="E11" s="32" t="n">
        <v>2250</v>
      </c>
      <c r="F11" s="32" t="n">
        <v>1000</v>
      </c>
      <c r="G11" s="32" t="n">
        <v>500</v>
      </c>
      <c r="H11" s="33" t="n">
        <v>1</v>
      </c>
      <c r="I11" s="34" t="n">
        <f aca="false">E11*H11+N(F11)+N(G11)</f>
        <v>3750</v>
      </c>
      <c r="J11" s="32" t="n">
        <f aca="false">ROUND(IFERROR(ROUND(IF(OR(ISNUMBER(SEARCH("week",C11)),ISNUMBER(SEARCH("minggu",C11))),IFERROR(_xlfn.NUMBERVALUE(SUBSTITUTE(LEFT(TRIM(C11),FIND(" ",TRIM(C11)&amp;" ")-1),",","."),"."),LEFT(SUBSTITUTE(LEFT(TRIM(C11),FIND(" ",TRIM(C11)&amp;" ")-1),",","."),FIND("/",SUBSTITUTE(LEFT(TRIM(C11),FIND(" ",TRIM(C11)&amp;" ")-1),",","."))-1)/MID(SUBSTITUTE(LEFT(TRIM(C11),FIND(" ",TRIM(C11)&amp;" ")-1),",","."),FIND("/",SUBSTITUTE(LEFT(TRIM(C11),FIND(" ",TRIM(C11)&amp;" ")-1),",","."))+1,9))*12/52,IF(ISNUMBER(SEARCH("month",C11)),IFERROR(_xlfn.NUMBERVALUE(SUBSTITUTE(LEFT(TRIM(C11),FIND(" ",TRIM(C11)&amp;" ")-1),",","."),"."),LEFT(SUBSTITUTE(LEFT(TRIM(C11),FIND(" ",TRIM(C11)&amp;" ")-1),",","."),FIND("/",SUBSTITUTE(LEFT(TRIM(C11),FIND(" ",TRIM(C11)&amp;" ")-1),",","."))-1)/MID(SUBSTITUTE(LEFT(TRIM(C11),FIND(" ",TRIM(C11)&amp;" ")-1),",","."),FIND("/",SUBSTITUTE(LEFT(TRIM(C11),FIND(" ",TRIM(C11)&amp;" ")-1),",","."))+1,9)),IF(ISNUMBER(SEARCH("yea",C11)),IFERROR(_xlfn.NUMBERVALUE(SUBSTITUTE(LEFT(TRIM(C11),FIND(" ",TRIM(C11)&amp;" ")-1),",","."),"."),LEFT(SUBSTITUTE(LEFT(TRIM(C11),FIND(" ",TRIM(C11)&amp;" ")-1),",","."),FIND("/",SUBSTITUTE(LEFT(TRIM(C11),FIND(" ",TRIM(C11)&amp;" ")-1),",","."))-1)/MID(SUBSTITUTE(LEFT(TRIM(C11),FIND(" ",TRIM(C11)&amp;" ")-1),",","."),FIND("/",SUBSTITUTE(LEFT(TRIM(C11),FIND(" ",TRIM(C11)&amp;" ")-1),",","."))+1,9))*12,NA()))),0),24)*'Aturan &amp; Tarif'!$B$4,2)</f>
        <v>1362.72</v>
      </c>
      <c r="K11" s="32" t="n">
        <f aca="false">'Aturan &amp; Tarif'!$B$5</f>
        <v>2050</v>
      </c>
      <c r="L11" s="35" t="n">
        <f aca="false">I11+J11+K11</f>
        <v>7162.72</v>
      </c>
      <c r="M11" s="37" t="s">
        <v>134</v>
      </c>
    </row>
    <row r="12" customFormat="false" ht="25.5" hidden="false" customHeight="true" outlineLevel="0" collapsed="false">
      <c r="A12" s="29"/>
      <c r="B12" s="30" t="s">
        <v>500</v>
      </c>
      <c r="C12" s="31" t="s">
        <v>107</v>
      </c>
      <c r="D12" s="31" t="s">
        <v>108</v>
      </c>
      <c r="E12" s="32" t="n">
        <v>2250</v>
      </c>
      <c r="F12" s="32" t="n">
        <v>1000</v>
      </c>
      <c r="G12" s="32" t="n">
        <v>500</v>
      </c>
      <c r="H12" s="33" t="n">
        <v>1</v>
      </c>
      <c r="I12" s="34" t="n">
        <f aca="false">E12*H12+N(F12)+N(G12)</f>
        <v>3750</v>
      </c>
      <c r="J12" s="32" t="n">
        <f aca="false">ROUND(IFERROR(ROUND(IF(OR(ISNUMBER(SEARCH("week",C12)),ISNUMBER(SEARCH("minggu",C12))),IFERROR(_xlfn.NUMBERVALUE(SUBSTITUTE(LEFT(TRIM(C12),FIND(" ",TRIM(C12)&amp;" ")-1),",","."),"."),LEFT(SUBSTITUTE(LEFT(TRIM(C12),FIND(" ",TRIM(C12)&amp;" ")-1),",","."),FIND("/",SUBSTITUTE(LEFT(TRIM(C12),FIND(" ",TRIM(C12)&amp;" ")-1),",","."))-1)/MID(SUBSTITUTE(LEFT(TRIM(C12),FIND(" ",TRIM(C12)&amp;" ")-1),",","."),FIND("/",SUBSTITUTE(LEFT(TRIM(C12),FIND(" ",TRIM(C12)&amp;" ")-1),",","."))+1,9))*12/52,IF(ISNUMBER(SEARCH("month",C12)),IFERROR(_xlfn.NUMBERVALUE(SUBSTITUTE(LEFT(TRIM(C12),FIND(" ",TRIM(C12)&amp;" ")-1),",","."),"."),LEFT(SUBSTITUTE(LEFT(TRIM(C12),FIND(" ",TRIM(C12)&amp;" ")-1),",","."),FIND("/",SUBSTITUTE(LEFT(TRIM(C12),FIND(" ",TRIM(C12)&amp;" ")-1),",","."))-1)/MID(SUBSTITUTE(LEFT(TRIM(C12),FIND(" ",TRIM(C12)&amp;" ")-1),",","."),FIND("/",SUBSTITUTE(LEFT(TRIM(C12),FIND(" ",TRIM(C12)&amp;" ")-1),",","."))+1,9)),IF(ISNUMBER(SEARCH("yea",C12)),IFERROR(_xlfn.NUMBERVALUE(SUBSTITUTE(LEFT(TRIM(C12),FIND(" ",TRIM(C12)&amp;" ")-1),",","."),"."),LEFT(SUBSTITUTE(LEFT(TRIM(C12),FIND(" ",TRIM(C12)&amp;" ")-1),",","."),FIND("/",SUBSTITUTE(LEFT(TRIM(C12),FIND(" ",TRIM(C12)&amp;" ")-1),",","."))-1)/MID(SUBSTITUTE(LEFT(TRIM(C12),FIND(" ",TRIM(C12)&amp;" ")-1),",","."),FIND("/",SUBSTITUTE(LEFT(TRIM(C12),FIND(" ",TRIM(C12)&amp;" ")-1),",","."))+1,9))*12,NA()))),0),24)*'Aturan &amp; Tarif'!$B$4,2)</f>
        <v>1362.72</v>
      </c>
      <c r="K12" s="32" t="n">
        <f aca="false">'Aturan &amp; Tarif'!$B$5</f>
        <v>2050</v>
      </c>
      <c r="L12" s="35" t="n">
        <f aca="false">I12+J12+K12</f>
        <v>7162.72</v>
      </c>
      <c r="M12" s="37" t="s">
        <v>134</v>
      </c>
    </row>
    <row r="13" customFormat="false" ht="37.5" hidden="false" customHeight="true" outlineLevel="0" collapsed="false">
      <c r="A13" s="29"/>
      <c r="B13" s="30" t="s">
        <v>501</v>
      </c>
      <c r="C13" s="31" t="s">
        <v>107</v>
      </c>
      <c r="D13" s="31" t="s">
        <v>108</v>
      </c>
      <c r="E13" s="32" t="n">
        <v>2250</v>
      </c>
      <c r="F13" s="32" t="n">
        <v>1000</v>
      </c>
      <c r="G13" s="32" t="n">
        <v>500</v>
      </c>
      <c r="H13" s="33" t="n">
        <v>1</v>
      </c>
      <c r="I13" s="34" t="n">
        <f aca="false">E13*H13+N(F13)+N(G13)</f>
        <v>3750</v>
      </c>
      <c r="J13" s="32" t="n">
        <f aca="false">ROUND(IFERROR(ROUND(IF(OR(ISNUMBER(SEARCH("week",C13)),ISNUMBER(SEARCH("minggu",C13))),IFERROR(_xlfn.NUMBERVALUE(SUBSTITUTE(LEFT(TRIM(C13),FIND(" ",TRIM(C13)&amp;" ")-1),",","."),"."),LEFT(SUBSTITUTE(LEFT(TRIM(C13),FIND(" ",TRIM(C13)&amp;" ")-1),",","."),FIND("/",SUBSTITUTE(LEFT(TRIM(C13),FIND(" ",TRIM(C13)&amp;" ")-1),",","."))-1)/MID(SUBSTITUTE(LEFT(TRIM(C13),FIND(" ",TRIM(C13)&amp;" ")-1),",","."),FIND("/",SUBSTITUTE(LEFT(TRIM(C13),FIND(" ",TRIM(C13)&amp;" ")-1),",","."))+1,9))*12/52,IF(ISNUMBER(SEARCH("month",C13)),IFERROR(_xlfn.NUMBERVALUE(SUBSTITUTE(LEFT(TRIM(C13),FIND(" ",TRIM(C13)&amp;" ")-1),",","."),"."),LEFT(SUBSTITUTE(LEFT(TRIM(C13),FIND(" ",TRIM(C13)&amp;" ")-1),",","."),FIND("/",SUBSTITUTE(LEFT(TRIM(C13),FIND(" ",TRIM(C13)&amp;" ")-1),",","."))-1)/MID(SUBSTITUTE(LEFT(TRIM(C13),FIND(" ",TRIM(C13)&amp;" ")-1),",","."),FIND("/",SUBSTITUTE(LEFT(TRIM(C13),FIND(" ",TRIM(C13)&amp;" ")-1),",","."))+1,9)),IF(ISNUMBER(SEARCH("yea",C13)),IFERROR(_xlfn.NUMBERVALUE(SUBSTITUTE(LEFT(TRIM(C13),FIND(" ",TRIM(C13)&amp;" ")-1),",","."),"."),LEFT(SUBSTITUTE(LEFT(TRIM(C13),FIND(" ",TRIM(C13)&amp;" ")-1),",","."),FIND("/",SUBSTITUTE(LEFT(TRIM(C13),FIND(" ",TRIM(C13)&amp;" ")-1),",","."))-1)/MID(SUBSTITUTE(LEFT(TRIM(C13),FIND(" ",TRIM(C13)&amp;" ")-1),",","."),FIND("/",SUBSTITUTE(LEFT(TRIM(C13),FIND(" ",TRIM(C13)&amp;" ")-1),",","."))+1,9))*12,NA()))),0),24)*'Aturan &amp; Tarif'!$B$4,2)</f>
        <v>1362.72</v>
      </c>
      <c r="K13" s="32" t="n">
        <f aca="false">'Aturan &amp; Tarif'!$B$5</f>
        <v>2050</v>
      </c>
      <c r="L13" s="35" t="n">
        <f aca="false">I13+J13+K13</f>
        <v>7162.72</v>
      </c>
      <c r="M13" s="37" t="s">
        <v>134</v>
      </c>
    </row>
    <row r="14" customFormat="false" ht="14.25" hidden="false" customHeight="true" outlineLevel="0" collapsed="false">
      <c r="A14" s="29"/>
      <c r="B14" s="30" t="s">
        <v>502</v>
      </c>
      <c r="C14" s="31" t="s">
        <v>107</v>
      </c>
      <c r="D14" s="31" t="s">
        <v>108</v>
      </c>
      <c r="E14" s="32" t="n">
        <v>2000</v>
      </c>
      <c r="F14" s="32" t="n">
        <v>1500</v>
      </c>
      <c r="G14" s="32" t="n">
        <v>500</v>
      </c>
      <c r="H14" s="33" t="n">
        <v>1</v>
      </c>
      <c r="I14" s="34" t="n">
        <f aca="false">E14*H14+N(F14)+N(G14)</f>
        <v>4000</v>
      </c>
      <c r="J14" s="32" t="n">
        <f aca="false">ROUND(IFERROR(ROUND(IF(OR(ISNUMBER(SEARCH("week",C14)),ISNUMBER(SEARCH("minggu",C14))),IFERROR(_xlfn.NUMBERVALUE(SUBSTITUTE(LEFT(TRIM(C14),FIND(" ",TRIM(C14)&amp;" ")-1),",","."),"."),LEFT(SUBSTITUTE(LEFT(TRIM(C14),FIND(" ",TRIM(C14)&amp;" ")-1),",","."),FIND("/",SUBSTITUTE(LEFT(TRIM(C14),FIND(" ",TRIM(C14)&amp;" ")-1),",","."))-1)/MID(SUBSTITUTE(LEFT(TRIM(C14),FIND(" ",TRIM(C14)&amp;" ")-1),",","."),FIND("/",SUBSTITUTE(LEFT(TRIM(C14),FIND(" ",TRIM(C14)&amp;" ")-1),",","."))+1,9))*12/52,IF(ISNUMBER(SEARCH("month",C14)),IFERROR(_xlfn.NUMBERVALUE(SUBSTITUTE(LEFT(TRIM(C14),FIND(" ",TRIM(C14)&amp;" ")-1),",","."),"."),LEFT(SUBSTITUTE(LEFT(TRIM(C14),FIND(" ",TRIM(C14)&amp;" ")-1),",","."),FIND("/",SUBSTITUTE(LEFT(TRIM(C14),FIND(" ",TRIM(C14)&amp;" ")-1),",","."))-1)/MID(SUBSTITUTE(LEFT(TRIM(C14),FIND(" ",TRIM(C14)&amp;" ")-1),",","."),FIND("/",SUBSTITUTE(LEFT(TRIM(C14),FIND(" ",TRIM(C14)&amp;" ")-1),",","."))+1,9)),IF(ISNUMBER(SEARCH("yea",C14)),IFERROR(_xlfn.NUMBERVALUE(SUBSTITUTE(LEFT(TRIM(C14),FIND(" ",TRIM(C14)&amp;" ")-1),",","."),"."),LEFT(SUBSTITUTE(LEFT(TRIM(C14),FIND(" ",TRIM(C14)&amp;" ")-1),",","."),FIND("/",SUBSTITUTE(LEFT(TRIM(C14),FIND(" ",TRIM(C14)&amp;" ")-1),",","."))-1)/MID(SUBSTITUTE(LEFT(TRIM(C14),FIND(" ",TRIM(C14)&amp;" ")-1),",","."),FIND("/",SUBSTITUTE(LEFT(TRIM(C14),FIND(" ",TRIM(C14)&amp;" ")-1),",","."))+1,9))*12,NA()))),0),24)*'Aturan &amp; Tarif'!$B$4,2)</f>
        <v>1362.72</v>
      </c>
      <c r="K14" s="32" t="n">
        <f aca="false">'Aturan &amp; Tarif'!$B$5</f>
        <v>2050</v>
      </c>
      <c r="L14" s="35" t="n">
        <f aca="false">I14+J14+K14</f>
        <v>7412.72</v>
      </c>
      <c r="M14" s="37" t="s">
        <v>134</v>
      </c>
    </row>
    <row r="15" customFormat="false" ht="48.75" hidden="false" customHeight="true" outlineLevel="0" collapsed="false">
      <c r="A15" s="29" t="s">
        <v>3504</v>
      </c>
      <c r="B15" s="30" t="s">
        <v>504</v>
      </c>
      <c r="C15" s="31" t="s">
        <v>127</v>
      </c>
      <c r="D15" s="31" t="s">
        <v>439</v>
      </c>
      <c r="E15" s="32" t="n">
        <v>8000</v>
      </c>
      <c r="F15" s="32"/>
      <c r="G15" s="32" t="n">
        <f aca="false">250+250</f>
        <v>500</v>
      </c>
      <c r="H15" s="33" t="n">
        <v>1</v>
      </c>
      <c r="I15" s="34" t="n">
        <f aca="false">E15*H15+N(F15)+N(G15)</f>
        <v>8500</v>
      </c>
      <c r="J15" s="32" t="n">
        <f aca="false">ROUND(IFERROR(ROUND(IF(OR(ISNUMBER(SEARCH("week",C15)),ISNUMBER(SEARCH("minggu",C15))),IFERROR(_xlfn.NUMBERVALUE(SUBSTITUTE(LEFT(TRIM(C15),FIND(" ",TRIM(C15)&amp;" ")-1),",","."),"."),LEFT(SUBSTITUTE(LEFT(TRIM(C15),FIND(" ",TRIM(C15)&amp;" ")-1),",","."),FIND("/",SUBSTITUTE(LEFT(TRIM(C15),FIND(" ",TRIM(C15)&amp;" ")-1),",","."))-1)/MID(SUBSTITUTE(LEFT(TRIM(C15),FIND(" ",TRIM(C15)&amp;" ")-1),",","."),FIND("/",SUBSTITUTE(LEFT(TRIM(C15),FIND(" ",TRIM(C15)&amp;" ")-1),",","."))+1,9))*12/52,IF(ISNUMBER(SEARCH("month",C15)),IFERROR(_xlfn.NUMBERVALUE(SUBSTITUTE(LEFT(TRIM(C15),FIND(" ",TRIM(C15)&amp;" ")-1),",","."),"."),LEFT(SUBSTITUTE(LEFT(TRIM(C15),FIND(" ",TRIM(C15)&amp;" ")-1),",","."),FIND("/",SUBSTITUTE(LEFT(TRIM(C15),FIND(" ",TRIM(C15)&amp;" ")-1),",","."))-1)/MID(SUBSTITUTE(LEFT(TRIM(C15),FIND(" ",TRIM(C15)&amp;" ")-1),",","."),FIND("/",SUBSTITUTE(LEFT(TRIM(C15),FIND(" ",TRIM(C15)&amp;" ")-1),",","."))+1,9)),IF(ISNUMBER(SEARCH("yea",C15)),IFERROR(_xlfn.NUMBERVALUE(SUBSTITUTE(LEFT(TRIM(C15),FIND(" ",TRIM(C15)&amp;" ")-1),",","."),"."),LEFT(SUBSTITUTE(LEFT(TRIM(C15),FIND(" ",TRIM(C15)&amp;" ")-1),",","."),FIND("/",SUBSTITUTE(LEFT(TRIM(C15),FIND(" ",TRIM(C15)&amp;" ")-1),",","."))-1)/MID(SUBSTITUTE(LEFT(TRIM(C15),FIND(" ",TRIM(C15)&amp;" ")-1),",","."),FIND("/",SUBSTITUTE(LEFT(TRIM(C15),FIND(" ",TRIM(C15)&amp;" ")-1),",","."))+1,9))*12,NA()))),0),36)*'Aturan &amp; Tarif'!$B$4,2)</f>
        <v>2044.08</v>
      </c>
      <c r="K15" s="32" t="n">
        <f aca="false">'Aturan &amp; Tarif'!$B$5</f>
        <v>2050</v>
      </c>
      <c r="L15" s="35" t="n">
        <f aca="false">I15+J15+K15</f>
        <v>12594.08</v>
      </c>
      <c r="M15" s="36" t="s">
        <v>505</v>
      </c>
    </row>
    <row r="16" customFormat="false" ht="25.5" hidden="false" customHeight="true" outlineLevel="0" collapsed="false">
      <c r="A16" s="29"/>
      <c r="B16" s="30" t="s">
        <v>506</v>
      </c>
      <c r="C16" s="31" t="s">
        <v>127</v>
      </c>
      <c r="D16" s="31" t="s">
        <v>439</v>
      </c>
      <c r="E16" s="32" t="n">
        <v>8000</v>
      </c>
      <c r="F16" s="32"/>
      <c r="G16" s="32" t="n">
        <f aca="false">250+250</f>
        <v>500</v>
      </c>
      <c r="H16" s="33" t="n">
        <v>1</v>
      </c>
      <c r="I16" s="34" t="n">
        <f aca="false">E16*H16+N(F16)+N(G16)</f>
        <v>8500</v>
      </c>
      <c r="J16" s="32" t="n">
        <f aca="false">ROUND(IFERROR(ROUND(IF(OR(ISNUMBER(SEARCH("week",C16)),ISNUMBER(SEARCH("minggu",C16))),IFERROR(_xlfn.NUMBERVALUE(SUBSTITUTE(LEFT(TRIM(C16),FIND(" ",TRIM(C16)&amp;" ")-1),",","."),"."),LEFT(SUBSTITUTE(LEFT(TRIM(C16),FIND(" ",TRIM(C16)&amp;" ")-1),",","."),FIND("/",SUBSTITUTE(LEFT(TRIM(C16),FIND(" ",TRIM(C16)&amp;" ")-1),",","."))-1)/MID(SUBSTITUTE(LEFT(TRIM(C16),FIND(" ",TRIM(C16)&amp;" ")-1),",","."),FIND("/",SUBSTITUTE(LEFT(TRIM(C16),FIND(" ",TRIM(C16)&amp;" ")-1),",","."))+1,9))*12/52,IF(ISNUMBER(SEARCH("month",C16)),IFERROR(_xlfn.NUMBERVALUE(SUBSTITUTE(LEFT(TRIM(C16),FIND(" ",TRIM(C16)&amp;" ")-1),",","."),"."),LEFT(SUBSTITUTE(LEFT(TRIM(C16),FIND(" ",TRIM(C16)&amp;" ")-1),",","."),FIND("/",SUBSTITUTE(LEFT(TRIM(C16),FIND(" ",TRIM(C16)&amp;" ")-1),",","."))-1)/MID(SUBSTITUTE(LEFT(TRIM(C16),FIND(" ",TRIM(C16)&amp;" ")-1),",","."),FIND("/",SUBSTITUTE(LEFT(TRIM(C16),FIND(" ",TRIM(C16)&amp;" ")-1),",","."))+1,9)),IF(ISNUMBER(SEARCH("yea",C16)),IFERROR(_xlfn.NUMBERVALUE(SUBSTITUTE(LEFT(TRIM(C16),FIND(" ",TRIM(C16)&amp;" ")-1),",","."),"."),LEFT(SUBSTITUTE(LEFT(TRIM(C16),FIND(" ",TRIM(C16)&amp;" ")-1),",","."),FIND("/",SUBSTITUTE(LEFT(TRIM(C16),FIND(" ",TRIM(C16)&amp;" ")-1),",","."))-1)/MID(SUBSTITUTE(LEFT(TRIM(C16),FIND(" ",TRIM(C16)&amp;" ")-1),",","."),FIND("/",SUBSTITUTE(LEFT(TRIM(C16),FIND(" ",TRIM(C16)&amp;" ")-1),",","."))+1,9))*12,NA()))),0),36)*'Aturan &amp; Tarif'!$B$4,2)</f>
        <v>2044.08</v>
      </c>
      <c r="K16" s="32" t="n">
        <f aca="false">'Aturan &amp; Tarif'!$B$5</f>
        <v>2050</v>
      </c>
      <c r="L16" s="35" t="n">
        <f aca="false">I16+J16+K16</f>
        <v>12594.08</v>
      </c>
      <c r="M16" s="37" t="s">
        <v>507</v>
      </c>
    </row>
    <row r="17" customFormat="false" ht="14.25" hidden="false" customHeight="true" outlineLevel="0" collapsed="false">
      <c r="A17" s="29"/>
      <c r="B17" s="30" t="s">
        <v>508</v>
      </c>
      <c r="C17" s="31" t="s">
        <v>127</v>
      </c>
      <c r="D17" s="31" t="s">
        <v>439</v>
      </c>
      <c r="E17" s="32" t="n">
        <v>8000</v>
      </c>
      <c r="F17" s="32"/>
      <c r="G17" s="32" t="n">
        <f aca="false">250+250</f>
        <v>500</v>
      </c>
      <c r="H17" s="33" t="n">
        <v>1</v>
      </c>
      <c r="I17" s="34" t="n">
        <f aca="false">E17*H17+N(F17)+N(G17)</f>
        <v>8500</v>
      </c>
      <c r="J17" s="32" t="n">
        <f aca="false">ROUND(IFERROR(ROUND(IF(OR(ISNUMBER(SEARCH("week",C17)),ISNUMBER(SEARCH("minggu",C17))),IFERROR(_xlfn.NUMBERVALUE(SUBSTITUTE(LEFT(TRIM(C17),FIND(" ",TRIM(C17)&amp;" ")-1),",","."),"."),LEFT(SUBSTITUTE(LEFT(TRIM(C17),FIND(" ",TRIM(C17)&amp;" ")-1),",","."),FIND("/",SUBSTITUTE(LEFT(TRIM(C17),FIND(" ",TRIM(C17)&amp;" ")-1),",","."))-1)/MID(SUBSTITUTE(LEFT(TRIM(C17),FIND(" ",TRIM(C17)&amp;" ")-1),",","."),FIND("/",SUBSTITUTE(LEFT(TRIM(C17),FIND(" ",TRIM(C17)&amp;" ")-1),",","."))+1,9))*12/52,IF(ISNUMBER(SEARCH("month",C17)),IFERROR(_xlfn.NUMBERVALUE(SUBSTITUTE(LEFT(TRIM(C17),FIND(" ",TRIM(C17)&amp;" ")-1),",","."),"."),LEFT(SUBSTITUTE(LEFT(TRIM(C17),FIND(" ",TRIM(C17)&amp;" ")-1),",","."),FIND("/",SUBSTITUTE(LEFT(TRIM(C17),FIND(" ",TRIM(C17)&amp;" ")-1),",","."))-1)/MID(SUBSTITUTE(LEFT(TRIM(C17),FIND(" ",TRIM(C17)&amp;" ")-1),",","."),FIND("/",SUBSTITUTE(LEFT(TRIM(C17),FIND(" ",TRIM(C17)&amp;" ")-1),",","."))+1,9)),IF(ISNUMBER(SEARCH("yea",C17)),IFERROR(_xlfn.NUMBERVALUE(SUBSTITUTE(LEFT(TRIM(C17),FIND(" ",TRIM(C17)&amp;" ")-1),",","."),"."),LEFT(SUBSTITUTE(LEFT(TRIM(C17),FIND(" ",TRIM(C17)&amp;" ")-1),",","."),FIND("/",SUBSTITUTE(LEFT(TRIM(C17),FIND(" ",TRIM(C17)&amp;" ")-1),",","."))-1)/MID(SUBSTITUTE(LEFT(TRIM(C17),FIND(" ",TRIM(C17)&amp;" ")-1),",","."),FIND("/",SUBSTITUTE(LEFT(TRIM(C17),FIND(" ",TRIM(C17)&amp;" ")-1),",","."))+1,9))*12,NA()))),0),36)*'Aturan &amp; Tarif'!$B$4,2)</f>
        <v>2044.08</v>
      </c>
      <c r="K17" s="32" t="n">
        <f aca="false">'Aturan &amp; Tarif'!$B$5</f>
        <v>2050</v>
      </c>
      <c r="L17" s="35" t="n">
        <f aca="false">I17+J17+K17</f>
        <v>12594.08</v>
      </c>
      <c r="M17" s="37" t="s">
        <v>507</v>
      </c>
    </row>
    <row r="18" customFormat="false" ht="14.25" hidden="false" customHeight="true" outlineLevel="0" collapsed="false">
      <c r="A18" s="29"/>
      <c r="B18" s="30" t="s">
        <v>509</v>
      </c>
      <c r="C18" s="31" t="s">
        <v>127</v>
      </c>
      <c r="D18" s="31" t="s">
        <v>439</v>
      </c>
      <c r="E18" s="32" t="n">
        <v>8000</v>
      </c>
      <c r="F18" s="32"/>
      <c r="G18" s="32" t="n">
        <f aca="false">250+250</f>
        <v>500</v>
      </c>
      <c r="H18" s="33" t="n">
        <v>1</v>
      </c>
      <c r="I18" s="34" t="n">
        <f aca="false">E18*H18+N(F18)+N(G18)</f>
        <v>8500</v>
      </c>
      <c r="J18" s="32" t="n">
        <f aca="false">ROUND(IFERROR(ROUND(IF(OR(ISNUMBER(SEARCH("week",C18)),ISNUMBER(SEARCH("minggu",C18))),IFERROR(_xlfn.NUMBERVALUE(SUBSTITUTE(LEFT(TRIM(C18),FIND(" ",TRIM(C18)&amp;" ")-1),",","."),"."),LEFT(SUBSTITUTE(LEFT(TRIM(C18),FIND(" ",TRIM(C18)&amp;" ")-1),",","."),FIND("/",SUBSTITUTE(LEFT(TRIM(C18),FIND(" ",TRIM(C18)&amp;" ")-1),",","."))-1)/MID(SUBSTITUTE(LEFT(TRIM(C18),FIND(" ",TRIM(C18)&amp;" ")-1),",","."),FIND("/",SUBSTITUTE(LEFT(TRIM(C18),FIND(" ",TRIM(C18)&amp;" ")-1),",","."))+1,9))*12/52,IF(ISNUMBER(SEARCH("month",C18)),IFERROR(_xlfn.NUMBERVALUE(SUBSTITUTE(LEFT(TRIM(C18),FIND(" ",TRIM(C18)&amp;" ")-1),",","."),"."),LEFT(SUBSTITUTE(LEFT(TRIM(C18),FIND(" ",TRIM(C18)&amp;" ")-1),",","."),FIND("/",SUBSTITUTE(LEFT(TRIM(C18),FIND(" ",TRIM(C18)&amp;" ")-1),",","."))-1)/MID(SUBSTITUTE(LEFT(TRIM(C18),FIND(" ",TRIM(C18)&amp;" ")-1),",","."),FIND("/",SUBSTITUTE(LEFT(TRIM(C18),FIND(" ",TRIM(C18)&amp;" ")-1),",","."))+1,9)),IF(ISNUMBER(SEARCH("yea",C18)),IFERROR(_xlfn.NUMBERVALUE(SUBSTITUTE(LEFT(TRIM(C18),FIND(" ",TRIM(C18)&amp;" ")-1),",","."),"."),LEFT(SUBSTITUTE(LEFT(TRIM(C18),FIND(" ",TRIM(C18)&amp;" ")-1),",","."),FIND("/",SUBSTITUTE(LEFT(TRIM(C18),FIND(" ",TRIM(C18)&amp;" ")-1),",","."))-1)/MID(SUBSTITUTE(LEFT(TRIM(C18),FIND(" ",TRIM(C18)&amp;" ")-1),",","."),FIND("/",SUBSTITUTE(LEFT(TRIM(C18),FIND(" ",TRIM(C18)&amp;" ")-1),",","."))+1,9))*12,NA()))),0),36)*'Aturan &amp; Tarif'!$B$4,2)</f>
        <v>2044.08</v>
      </c>
      <c r="K18" s="32" t="n">
        <f aca="false">'Aturan &amp; Tarif'!$B$5</f>
        <v>2050</v>
      </c>
      <c r="L18" s="35" t="n">
        <f aca="false">I18+J18+K18</f>
        <v>12594.08</v>
      </c>
      <c r="M18" s="37" t="s">
        <v>507</v>
      </c>
    </row>
    <row r="19" customFormat="false" ht="14.25" hidden="false" customHeight="true" outlineLevel="0" collapsed="false">
      <c r="A19" s="29"/>
      <c r="B19" s="30" t="s">
        <v>510</v>
      </c>
      <c r="C19" s="31" t="s">
        <v>127</v>
      </c>
      <c r="D19" s="31" t="s">
        <v>439</v>
      </c>
      <c r="E19" s="32" t="n">
        <v>8000</v>
      </c>
      <c r="F19" s="32"/>
      <c r="G19" s="32" t="n">
        <f aca="false">250+250</f>
        <v>500</v>
      </c>
      <c r="H19" s="33" t="n">
        <v>1</v>
      </c>
      <c r="I19" s="34" t="n">
        <f aca="false">E19*H19+N(F19)+N(G19)</f>
        <v>8500</v>
      </c>
      <c r="J19" s="32" t="n">
        <f aca="false">ROUND(IFERROR(ROUND(IF(OR(ISNUMBER(SEARCH("week",C19)),ISNUMBER(SEARCH("minggu",C19))),IFERROR(_xlfn.NUMBERVALUE(SUBSTITUTE(LEFT(TRIM(C19),FIND(" ",TRIM(C19)&amp;" ")-1),",","."),"."),LEFT(SUBSTITUTE(LEFT(TRIM(C19),FIND(" ",TRIM(C19)&amp;" ")-1),",","."),FIND("/",SUBSTITUTE(LEFT(TRIM(C19),FIND(" ",TRIM(C19)&amp;" ")-1),",","."))-1)/MID(SUBSTITUTE(LEFT(TRIM(C19),FIND(" ",TRIM(C19)&amp;" ")-1),",","."),FIND("/",SUBSTITUTE(LEFT(TRIM(C19),FIND(" ",TRIM(C19)&amp;" ")-1),",","."))+1,9))*12/52,IF(ISNUMBER(SEARCH("month",C19)),IFERROR(_xlfn.NUMBERVALUE(SUBSTITUTE(LEFT(TRIM(C19),FIND(" ",TRIM(C19)&amp;" ")-1),",","."),"."),LEFT(SUBSTITUTE(LEFT(TRIM(C19),FIND(" ",TRIM(C19)&amp;" ")-1),",","."),FIND("/",SUBSTITUTE(LEFT(TRIM(C19),FIND(" ",TRIM(C19)&amp;" ")-1),",","."))-1)/MID(SUBSTITUTE(LEFT(TRIM(C19),FIND(" ",TRIM(C19)&amp;" ")-1),",","."),FIND("/",SUBSTITUTE(LEFT(TRIM(C19),FIND(" ",TRIM(C19)&amp;" ")-1),",","."))+1,9)),IF(ISNUMBER(SEARCH("yea",C19)),IFERROR(_xlfn.NUMBERVALUE(SUBSTITUTE(LEFT(TRIM(C19),FIND(" ",TRIM(C19)&amp;" ")-1),",","."),"."),LEFT(SUBSTITUTE(LEFT(TRIM(C19),FIND(" ",TRIM(C19)&amp;" ")-1),",","."),FIND("/",SUBSTITUTE(LEFT(TRIM(C19),FIND(" ",TRIM(C19)&amp;" ")-1),",","."))-1)/MID(SUBSTITUTE(LEFT(TRIM(C19),FIND(" ",TRIM(C19)&amp;" ")-1),",","."),FIND("/",SUBSTITUTE(LEFT(TRIM(C19),FIND(" ",TRIM(C19)&amp;" ")-1),",","."))+1,9))*12,NA()))),0),36)*'Aturan &amp; Tarif'!$B$4,2)</f>
        <v>2044.08</v>
      </c>
      <c r="K19" s="32" t="n">
        <f aca="false">'Aturan &amp; Tarif'!$B$5</f>
        <v>2050</v>
      </c>
      <c r="L19" s="35" t="n">
        <f aca="false">I19+J19+K19</f>
        <v>12594.08</v>
      </c>
      <c r="M19" s="37" t="s">
        <v>507</v>
      </c>
    </row>
    <row r="20" customFormat="false" ht="106.5" hidden="false" customHeight="true" outlineLevel="0" collapsed="false">
      <c r="A20" s="39" t="s">
        <v>511</v>
      </c>
      <c r="B20" s="40" t="s">
        <v>236</v>
      </c>
      <c r="C20" s="41" t="s">
        <v>127</v>
      </c>
      <c r="D20" s="41" t="s">
        <v>108</v>
      </c>
      <c r="E20" s="42" t="n">
        <v>7450</v>
      </c>
      <c r="F20" s="42"/>
      <c r="G20" s="42"/>
      <c r="H20" s="43" t="n">
        <v>2</v>
      </c>
      <c r="I20" s="34" t="n">
        <f aca="false">E20*H20+N(F20)+N(G20)</f>
        <v>14900</v>
      </c>
      <c r="J20" s="42" t="n">
        <f aca="false">ROUND(IFERROR(ROUND(IF(OR(ISNUMBER(SEARCH("week",C20)),ISNUMBER(SEARCH("minggu",C20))),IFERROR(_xlfn.NUMBERVALUE(SUBSTITUTE(LEFT(TRIM(C20),FIND(" ",TRIM(C20)&amp;" ")-1),",","."),"."),LEFT(SUBSTITUTE(LEFT(TRIM(C20),FIND(" ",TRIM(C20)&amp;" ")-1),",","."),FIND("/",SUBSTITUTE(LEFT(TRIM(C20),FIND(" ",TRIM(C20)&amp;" ")-1),",","."))-1)/MID(SUBSTITUTE(LEFT(TRIM(C20),FIND(" ",TRIM(C20)&amp;" ")-1),",","."),FIND("/",SUBSTITUTE(LEFT(TRIM(C20),FIND(" ",TRIM(C20)&amp;" ")-1),",","."))+1,9))*12/52,IF(ISNUMBER(SEARCH("month",C20)),IFERROR(_xlfn.NUMBERVALUE(SUBSTITUTE(LEFT(TRIM(C20),FIND(" ",TRIM(C20)&amp;" ")-1),",","."),"."),LEFT(SUBSTITUTE(LEFT(TRIM(C20),FIND(" ",TRIM(C20)&amp;" ")-1),",","."),FIND("/",SUBSTITUTE(LEFT(TRIM(C20),FIND(" ",TRIM(C20)&amp;" ")-1),",","."))-1)/MID(SUBSTITUTE(LEFT(TRIM(C20),FIND(" ",TRIM(C20)&amp;" ")-1),",","."),FIND("/",SUBSTITUTE(LEFT(TRIM(C20),FIND(" ",TRIM(C20)&amp;" ")-1),",","."))+1,9)),IF(ISNUMBER(SEARCH("yea",C20)),IFERROR(_xlfn.NUMBERVALUE(SUBSTITUTE(LEFT(TRIM(C20),FIND(" ",TRIM(C20)&amp;" ")-1),",","."),"."),LEFT(SUBSTITUTE(LEFT(TRIM(C20),FIND(" ",TRIM(C20)&amp;" ")-1),",","."),FIND("/",SUBSTITUTE(LEFT(TRIM(C20),FIND(" ",TRIM(C20)&amp;" ")-1),",","."))-1)/MID(SUBSTITUTE(LEFT(TRIM(C20),FIND(" ",TRIM(C20)&amp;" ")-1),",","."),FIND("/",SUBSTITUTE(LEFT(TRIM(C20),FIND(" ",TRIM(C20)&amp;" ")-1),",","."))+1,9))*12,NA()))),0),36)*'Aturan &amp; Tarif'!$B$4,2)</f>
        <v>2044.08</v>
      </c>
      <c r="K20" s="42" t="n">
        <f aca="false">'Aturan &amp; Tarif'!$B$5</f>
        <v>2050</v>
      </c>
      <c r="L20" s="35" t="n">
        <f aca="false">I20+J20+K20</f>
        <v>18994.08</v>
      </c>
      <c r="M20" s="45" t="s">
        <v>512</v>
      </c>
    </row>
    <row r="21" customFormat="false" ht="14.25" hidden="false" customHeight="true" outlineLevel="0" collapsed="false">
      <c r="A21" s="39"/>
      <c r="B21" s="40" t="s">
        <v>513</v>
      </c>
      <c r="C21" s="41" t="s">
        <v>130</v>
      </c>
      <c r="D21" s="41" t="s">
        <v>108</v>
      </c>
      <c r="E21" s="42" t="n">
        <v>7450</v>
      </c>
      <c r="F21" s="42"/>
      <c r="G21" s="42"/>
      <c r="H21" s="43" t="n">
        <v>2</v>
      </c>
      <c r="I21" s="34" t="n">
        <f aca="false">E21*H21+N(F21)+N(G21)</f>
        <v>14900</v>
      </c>
      <c r="J21" s="42" t="n">
        <f aca="false">ROUND(IFERROR(ROUND(IF(OR(ISNUMBER(SEARCH("week",C21)),ISNUMBER(SEARCH("minggu",C21))),IFERROR(_xlfn.NUMBERVALUE(SUBSTITUTE(LEFT(TRIM(C21),FIND(" ",TRIM(C21)&amp;" ")-1),",","."),"."),LEFT(SUBSTITUTE(LEFT(TRIM(C21),FIND(" ",TRIM(C21)&amp;" ")-1),",","."),FIND("/",SUBSTITUTE(LEFT(TRIM(C21),FIND(" ",TRIM(C21)&amp;" ")-1),",","."))-1)/MID(SUBSTITUTE(LEFT(TRIM(C21),FIND(" ",TRIM(C21)&amp;" ")-1),",","."),FIND("/",SUBSTITUTE(LEFT(TRIM(C21),FIND(" ",TRIM(C21)&amp;" ")-1),",","."))+1,9))*12/52,IF(ISNUMBER(SEARCH("month",C21)),IFERROR(_xlfn.NUMBERVALUE(SUBSTITUTE(LEFT(TRIM(C21),FIND(" ",TRIM(C21)&amp;" ")-1),",","."),"."),LEFT(SUBSTITUTE(LEFT(TRIM(C21),FIND(" ",TRIM(C21)&amp;" ")-1),",","."),FIND("/",SUBSTITUTE(LEFT(TRIM(C21),FIND(" ",TRIM(C21)&amp;" ")-1),",","."))-1)/MID(SUBSTITUTE(LEFT(TRIM(C21),FIND(" ",TRIM(C21)&amp;" ")-1),",","."),FIND("/",SUBSTITUTE(LEFT(TRIM(C21),FIND(" ",TRIM(C21)&amp;" ")-1),",","."))+1,9)),IF(ISNUMBER(SEARCH("yea",C21)),IFERROR(_xlfn.NUMBERVALUE(SUBSTITUTE(LEFT(TRIM(C21),FIND(" ",TRIM(C21)&amp;" ")-1),",","."),"."),LEFT(SUBSTITUTE(LEFT(TRIM(C21),FIND(" ",TRIM(C21)&amp;" ")-1),",","."),FIND("/",SUBSTITUTE(LEFT(TRIM(C21),FIND(" ",TRIM(C21)&amp;" ")-1),",","."))-1)/MID(SUBSTITUTE(LEFT(TRIM(C21),FIND(" ",TRIM(C21)&amp;" ")-1),",","."),FIND("/",SUBSTITUTE(LEFT(TRIM(C21),FIND(" ",TRIM(C21)&amp;" ")-1),",","."))+1,9))*12,NA()))),0),12)*'Aturan &amp; Tarif'!$B$4,2)</f>
        <v>681.36</v>
      </c>
      <c r="K21" s="42" t="n">
        <f aca="false">'Aturan &amp; Tarif'!$B$5</f>
        <v>2050</v>
      </c>
      <c r="L21" s="35" t="n">
        <f aca="false">I21+J21+K21</f>
        <v>17631.36</v>
      </c>
      <c r="M21" s="45" t="s">
        <v>512</v>
      </c>
    </row>
    <row r="22" customFormat="false" ht="14.25" hidden="false" customHeight="true" outlineLevel="0" collapsed="false">
      <c r="A22" s="39"/>
      <c r="B22" s="40" t="s">
        <v>514</v>
      </c>
      <c r="C22" s="41" t="s">
        <v>127</v>
      </c>
      <c r="D22" s="41" t="s">
        <v>108</v>
      </c>
      <c r="E22" s="42" t="n">
        <v>8008</v>
      </c>
      <c r="F22" s="42"/>
      <c r="G22" s="42"/>
      <c r="H22" s="43" t="n">
        <v>2</v>
      </c>
      <c r="I22" s="34" t="n">
        <f aca="false">E22*H22+N(F22)+N(G22)</f>
        <v>16016</v>
      </c>
      <c r="J22" s="42" t="n">
        <f aca="false">ROUND(IFERROR(ROUND(IF(OR(ISNUMBER(SEARCH("week",C22)),ISNUMBER(SEARCH("minggu",C22))),IFERROR(_xlfn.NUMBERVALUE(SUBSTITUTE(LEFT(TRIM(C22),FIND(" ",TRIM(C22)&amp;" ")-1),",","."),"."),LEFT(SUBSTITUTE(LEFT(TRIM(C22),FIND(" ",TRIM(C22)&amp;" ")-1),",","."),FIND("/",SUBSTITUTE(LEFT(TRIM(C22),FIND(" ",TRIM(C22)&amp;" ")-1),",","."))-1)/MID(SUBSTITUTE(LEFT(TRIM(C22),FIND(" ",TRIM(C22)&amp;" ")-1),",","."),FIND("/",SUBSTITUTE(LEFT(TRIM(C22),FIND(" ",TRIM(C22)&amp;" ")-1),",","."))+1,9))*12/52,IF(ISNUMBER(SEARCH("month",C22)),IFERROR(_xlfn.NUMBERVALUE(SUBSTITUTE(LEFT(TRIM(C22),FIND(" ",TRIM(C22)&amp;" ")-1),",","."),"."),LEFT(SUBSTITUTE(LEFT(TRIM(C22),FIND(" ",TRIM(C22)&amp;" ")-1),",","."),FIND("/",SUBSTITUTE(LEFT(TRIM(C22),FIND(" ",TRIM(C22)&amp;" ")-1),",","."))-1)/MID(SUBSTITUTE(LEFT(TRIM(C22),FIND(" ",TRIM(C22)&amp;" ")-1),",","."),FIND("/",SUBSTITUTE(LEFT(TRIM(C22),FIND(" ",TRIM(C22)&amp;" ")-1),",","."))+1,9)),IF(ISNUMBER(SEARCH("yea",C22)),IFERROR(_xlfn.NUMBERVALUE(SUBSTITUTE(LEFT(TRIM(C22),FIND(" ",TRIM(C22)&amp;" ")-1),",","."),"."),LEFT(SUBSTITUTE(LEFT(TRIM(C22),FIND(" ",TRIM(C22)&amp;" ")-1),",","."),FIND("/",SUBSTITUTE(LEFT(TRIM(C22),FIND(" ",TRIM(C22)&amp;" ")-1),",","."))-1)/MID(SUBSTITUTE(LEFT(TRIM(C22),FIND(" ",TRIM(C22)&amp;" ")-1),",","."),FIND("/",SUBSTITUTE(LEFT(TRIM(C22),FIND(" ",TRIM(C22)&amp;" ")-1),",","."))+1,9))*12,NA()))),0),36)*'Aturan &amp; Tarif'!$B$4,2)</f>
        <v>2044.08</v>
      </c>
      <c r="K22" s="42" t="n">
        <f aca="false">'Aturan &amp; Tarif'!$B$5</f>
        <v>2050</v>
      </c>
      <c r="L22" s="35" t="n">
        <f aca="false">I22+J22+K22</f>
        <v>20110.08</v>
      </c>
      <c r="M22" s="45" t="s">
        <v>512</v>
      </c>
    </row>
    <row r="23" customFormat="false" ht="14.25" hidden="false" customHeight="true" outlineLevel="0" collapsed="false">
      <c r="A23" s="39"/>
      <c r="B23" s="40" t="s">
        <v>355</v>
      </c>
      <c r="C23" s="41" t="s">
        <v>127</v>
      </c>
      <c r="D23" s="41" t="s">
        <v>108</v>
      </c>
      <c r="E23" s="42" t="n">
        <v>7526</v>
      </c>
      <c r="F23" s="42"/>
      <c r="G23" s="42"/>
      <c r="H23" s="43" t="n">
        <v>2</v>
      </c>
      <c r="I23" s="34" t="n">
        <f aca="false">E23*H23+N(F23)+N(G23)</f>
        <v>15052</v>
      </c>
      <c r="J23" s="42" t="n">
        <f aca="false">ROUND(IFERROR(ROUND(IF(OR(ISNUMBER(SEARCH("week",C23)),ISNUMBER(SEARCH("minggu",C23))),IFERROR(_xlfn.NUMBERVALUE(SUBSTITUTE(LEFT(TRIM(C23),FIND(" ",TRIM(C23)&amp;" ")-1),",","."),"."),LEFT(SUBSTITUTE(LEFT(TRIM(C23),FIND(" ",TRIM(C23)&amp;" ")-1),",","."),FIND("/",SUBSTITUTE(LEFT(TRIM(C23),FIND(" ",TRIM(C23)&amp;" ")-1),",","."))-1)/MID(SUBSTITUTE(LEFT(TRIM(C23),FIND(" ",TRIM(C23)&amp;" ")-1),",","."),FIND("/",SUBSTITUTE(LEFT(TRIM(C23),FIND(" ",TRIM(C23)&amp;" ")-1),",","."))+1,9))*12/52,IF(ISNUMBER(SEARCH("month",C23)),IFERROR(_xlfn.NUMBERVALUE(SUBSTITUTE(LEFT(TRIM(C23),FIND(" ",TRIM(C23)&amp;" ")-1),",","."),"."),LEFT(SUBSTITUTE(LEFT(TRIM(C23),FIND(" ",TRIM(C23)&amp;" ")-1),",","."),FIND("/",SUBSTITUTE(LEFT(TRIM(C23),FIND(" ",TRIM(C23)&amp;" ")-1),",","."))-1)/MID(SUBSTITUTE(LEFT(TRIM(C23),FIND(" ",TRIM(C23)&amp;" ")-1),",","."),FIND("/",SUBSTITUTE(LEFT(TRIM(C23),FIND(" ",TRIM(C23)&amp;" ")-1),",","."))+1,9)),IF(ISNUMBER(SEARCH("yea",C23)),IFERROR(_xlfn.NUMBERVALUE(SUBSTITUTE(LEFT(TRIM(C23),FIND(" ",TRIM(C23)&amp;" ")-1),",","."),"."),LEFT(SUBSTITUTE(LEFT(TRIM(C23),FIND(" ",TRIM(C23)&amp;" ")-1),",","."),FIND("/",SUBSTITUTE(LEFT(TRIM(C23),FIND(" ",TRIM(C23)&amp;" ")-1),",","."))-1)/MID(SUBSTITUTE(LEFT(TRIM(C23),FIND(" ",TRIM(C23)&amp;" ")-1),",","."),FIND("/",SUBSTITUTE(LEFT(TRIM(C23),FIND(" ",TRIM(C23)&amp;" ")-1),",","."))+1,9))*12,NA()))),0),36)*'Aturan &amp; Tarif'!$B$4,2)</f>
        <v>2044.08</v>
      </c>
      <c r="K23" s="42" t="n">
        <f aca="false">'Aturan &amp; Tarif'!$B$5</f>
        <v>2050</v>
      </c>
      <c r="L23" s="35" t="n">
        <f aca="false">I23+J23+K23</f>
        <v>19146.08</v>
      </c>
      <c r="M23" s="45" t="s">
        <v>512</v>
      </c>
    </row>
    <row r="24" customFormat="false" ht="14.25" hidden="false" customHeight="true" outlineLevel="0" collapsed="false">
      <c r="A24" s="39"/>
      <c r="B24" s="40" t="s">
        <v>181</v>
      </c>
      <c r="C24" s="41" t="s">
        <v>107</v>
      </c>
      <c r="D24" s="41" t="s">
        <v>108</v>
      </c>
      <c r="E24" s="42" t="n">
        <v>9418</v>
      </c>
      <c r="F24" s="42"/>
      <c r="G24" s="42"/>
      <c r="H24" s="43" t="n">
        <v>2</v>
      </c>
      <c r="I24" s="34" t="n">
        <f aca="false">E24*H24+N(F24)+N(G24)</f>
        <v>18836</v>
      </c>
      <c r="J24" s="42" t="n">
        <f aca="false">ROUND(IFERROR(ROUND(IF(OR(ISNUMBER(SEARCH("week",C24)),ISNUMBER(SEARCH("minggu",C24))),IFERROR(_xlfn.NUMBERVALUE(SUBSTITUTE(LEFT(TRIM(C24),FIND(" ",TRIM(C24)&amp;" ")-1),",","."),"."),LEFT(SUBSTITUTE(LEFT(TRIM(C24),FIND(" ",TRIM(C24)&amp;" ")-1),",","."),FIND("/",SUBSTITUTE(LEFT(TRIM(C24),FIND(" ",TRIM(C24)&amp;" ")-1),",","."))-1)/MID(SUBSTITUTE(LEFT(TRIM(C24),FIND(" ",TRIM(C24)&amp;" ")-1),",","."),FIND("/",SUBSTITUTE(LEFT(TRIM(C24),FIND(" ",TRIM(C24)&amp;" ")-1),",","."))+1,9))*12/52,IF(ISNUMBER(SEARCH("month",C24)),IFERROR(_xlfn.NUMBERVALUE(SUBSTITUTE(LEFT(TRIM(C24),FIND(" ",TRIM(C24)&amp;" ")-1),",","."),"."),LEFT(SUBSTITUTE(LEFT(TRIM(C24),FIND(" ",TRIM(C24)&amp;" ")-1),",","."),FIND("/",SUBSTITUTE(LEFT(TRIM(C24),FIND(" ",TRIM(C24)&amp;" ")-1),",","."))-1)/MID(SUBSTITUTE(LEFT(TRIM(C24),FIND(" ",TRIM(C24)&amp;" ")-1),",","."),FIND("/",SUBSTITUTE(LEFT(TRIM(C24),FIND(" ",TRIM(C24)&amp;" ")-1),",","."))+1,9)),IF(ISNUMBER(SEARCH("yea",C24)),IFERROR(_xlfn.NUMBERVALUE(SUBSTITUTE(LEFT(TRIM(C24),FIND(" ",TRIM(C24)&amp;" ")-1),",","."),"."),LEFT(SUBSTITUTE(LEFT(TRIM(C24),FIND(" ",TRIM(C24)&amp;" ")-1),",","."),FIND("/",SUBSTITUTE(LEFT(TRIM(C24),FIND(" ",TRIM(C24)&amp;" ")-1),",","."))-1)/MID(SUBSTITUTE(LEFT(TRIM(C24),FIND(" ",TRIM(C24)&amp;" ")-1),",","."),FIND("/",SUBSTITUTE(LEFT(TRIM(C24),FIND(" ",TRIM(C24)&amp;" ")-1),",","."))+1,9))*12,NA()))),0),24)*'Aturan &amp; Tarif'!$B$4,2)</f>
        <v>1362.72</v>
      </c>
      <c r="K24" s="42" t="n">
        <f aca="false">'Aturan &amp; Tarif'!$B$5</f>
        <v>2050</v>
      </c>
      <c r="L24" s="35" t="n">
        <f aca="false">I24+J24+K24</f>
        <v>22248.72</v>
      </c>
      <c r="M24" s="45" t="s">
        <v>512</v>
      </c>
    </row>
    <row r="25" customFormat="false" ht="14.25" hidden="false" customHeight="true" outlineLevel="0" collapsed="false">
      <c r="A25" s="39"/>
      <c r="B25" s="40" t="s">
        <v>515</v>
      </c>
      <c r="C25" s="41" t="s">
        <v>344</v>
      </c>
      <c r="D25" s="41" t="s">
        <v>108</v>
      </c>
      <c r="E25" s="42" t="n">
        <v>9418</v>
      </c>
      <c r="F25" s="42"/>
      <c r="G25" s="42"/>
      <c r="H25" s="43" t="n">
        <v>2</v>
      </c>
      <c r="I25" s="34" t="n">
        <f aca="false">E25*H25+N(F25)+N(G25)</f>
        <v>18836</v>
      </c>
      <c r="J25" s="42" t="n">
        <f aca="false">ROUND(IFERROR(ROUND(IF(OR(ISNUMBER(SEARCH("week",C25)),ISNUMBER(SEARCH("minggu",C25))),IFERROR(_xlfn.NUMBERVALUE(SUBSTITUTE(LEFT(TRIM(C25),FIND(" ",TRIM(C25)&amp;" ")-1),",","."),"."),LEFT(SUBSTITUTE(LEFT(TRIM(C25),FIND(" ",TRIM(C25)&amp;" ")-1),",","."),FIND("/",SUBSTITUTE(LEFT(TRIM(C25),FIND(" ",TRIM(C25)&amp;" ")-1),",","."))-1)/MID(SUBSTITUTE(LEFT(TRIM(C25),FIND(" ",TRIM(C25)&amp;" ")-1),",","."),FIND("/",SUBSTITUTE(LEFT(TRIM(C25),FIND(" ",TRIM(C25)&amp;" ")-1),",","."))+1,9))*12/52,IF(ISNUMBER(SEARCH("month",C25)),IFERROR(_xlfn.NUMBERVALUE(SUBSTITUTE(LEFT(TRIM(C25),FIND(" ",TRIM(C25)&amp;" ")-1),",","."),"."),LEFT(SUBSTITUTE(LEFT(TRIM(C25),FIND(" ",TRIM(C25)&amp;" ")-1),",","."),FIND("/",SUBSTITUTE(LEFT(TRIM(C25),FIND(" ",TRIM(C25)&amp;" ")-1),",","."))-1)/MID(SUBSTITUTE(LEFT(TRIM(C25),FIND(" ",TRIM(C25)&amp;" ")-1),",","."),FIND("/",SUBSTITUTE(LEFT(TRIM(C25),FIND(" ",TRIM(C25)&amp;" ")-1),",","."))+1,9)),IF(ISNUMBER(SEARCH("yea",C25)),IFERROR(_xlfn.NUMBERVALUE(SUBSTITUTE(LEFT(TRIM(C25),FIND(" ",TRIM(C25)&amp;" ")-1),",","."),"."),LEFT(SUBSTITUTE(LEFT(TRIM(C25),FIND(" ",TRIM(C25)&amp;" ")-1),",","."),FIND("/",SUBSTITUTE(LEFT(TRIM(C25),FIND(" ",TRIM(C25)&amp;" ")-1),",","."))-1)/MID(SUBSTITUTE(LEFT(TRIM(C25),FIND(" ",TRIM(C25)&amp;" ")-1),",","."),FIND("/",SUBSTITUTE(LEFT(TRIM(C25),FIND(" ",TRIM(C25)&amp;" ")-1),",","."))+1,9))*12,NA()))),0),6)*'Aturan &amp; Tarif'!$B$4,2)</f>
        <v>340.68</v>
      </c>
      <c r="K25" s="42" t="n">
        <f aca="false">'Aturan &amp; Tarif'!$B$5</f>
        <v>2050</v>
      </c>
      <c r="L25" s="35" t="n">
        <f aca="false">I25+J25+K25</f>
        <v>21226.68</v>
      </c>
      <c r="M25" s="45" t="s">
        <v>512</v>
      </c>
    </row>
    <row r="26" customFormat="false" ht="14.25" hidden="false" customHeight="true" outlineLevel="0" collapsed="false">
      <c r="A26" s="39"/>
      <c r="B26" s="40" t="s">
        <v>516</v>
      </c>
      <c r="C26" s="41" t="s">
        <v>191</v>
      </c>
      <c r="D26" s="41" t="s">
        <v>108</v>
      </c>
      <c r="E26" s="42" t="n">
        <v>7450</v>
      </c>
      <c r="F26" s="42"/>
      <c r="G26" s="42"/>
      <c r="H26" s="43" t="n">
        <v>2</v>
      </c>
      <c r="I26" s="34" t="n">
        <f aca="false">E26*H26+N(F26)+N(G26)</f>
        <v>14900</v>
      </c>
      <c r="J26" s="42" t="n">
        <f aca="false">ROUND(IFERROR(ROUND(IF(OR(ISNUMBER(SEARCH("week",C26)),ISNUMBER(SEARCH("minggu",C26))),IFERROR(_xlfn.NUMBERVALUE(SUBSTITUTE(LEFT(TRIM(C26),FIND(" ",TRIM(C26)&amp;" ")-1),",","."),"."),LEFT(SUBSTITUTE(LEFT(TRIM(C26),FIND(" ",TRIM(C26)&amp;" ")-1),",","."),FIND("/",SUBSTITUTE(LEFT(TRIM(C26),FIND(" ",TRIM(C26)&amp;" ")-1),",","."))-1)/MID(SUBSTITUTE(LEFT(TRIM(C26),FIND(" ",TRIM(C26)&amp;" ")-1),",","."),FIND("/",SUBSTITUTE(LEFT(TRIM(C26),FIND(" ",TRIM(C26)&amp;" ")-1),",","."))+1,9))*12/52,IF(ISNUMBER(SEARCH("month",C26)),IFERROR(_xlfn.NUMBERVALUE(SUBSTITUTE(LEFT(TRIM(C26),FIND(" ",TRIM(C26)&amp;" ")-1),",","."),"."),LEFT(SUBSTITUTE(LEFT(TRIM(C26),FIND(" ",TRIM(C26)&amp;" ")-1),",","."),FIND("/",SUBSTITUTE(LEFT(TRIM(C26),FIND(" ",TRIM(C26)&amp;" ")-1),",","."))-1)/MID(SUBSTITUTE(LEFT(TRIM(C26),FIND(" ",TRIM(C26)&amp;" ")-1),",","."),FIND("/",SUBSTITUTE(LEFT(TRIM(C26),FIND(" ",TRIM(C26)&amp;" ")-1),",","."))+1,9)),IF(ISNUMBER(SEARCH("yea",C26)),IFERROR(_xlfn.NUMBERVALUE(SUBSTITUTE(LEFT(TRIM(C26),FIND(" ",TRIM(C26)&amp;" ")-1),",","."),"."),LEFT(SUBSTITUTE(LEFT(TRIM(C26),FIND(" ",TRIM(C26)&amp;" ")-1),",","."),FIND("/",SUBSTITUTE(LEFT(TRIM(C26),FIND(" ",TRIM(C26)&amp;" ")-1),",","."))-1)/MID(SUBSTITUTE(LEFT(TRIM(C26),FIND(" ",TRIM(C26)&amp;" ")-1),",","."),FIND("/",SUBSTITUTE(LEFT(TRIM(C26),FIND(" ",TRIM(C26)&amp;" ")-1),",","."))+1,9))*12,NA()))),0),48)*'Aturan &amp; Tarif'!$B$4,2)</f>
        <v>2725.44</v>
      </c>
      <c r="K26" s="42" t="n">
        <f aca="false">'Aturan &amp; Tarif'!$B$5</f>
        <v>2050</v>
      </c>
      <c r="L26" s="35" t="n">
        <f aca="false">I26+J26+K26</f>
        <v>19675.44</v>
      </c>
      <c r="M26" s="45" t="s">
        <v>512</v>
      </c>
    </row>
    <row r="27" customFormat="false" ht="14.25" hidden="false" customHeight="true" outlineLevel="0" collapsed="false">
      <c r="A27" s="39"/>
      <c r="B27" s="40" t="s">
        <v>517</v>
      </c>
      <c r="C27" s="41" t="s">
        <v>107</v>
      </c>
      <c r="D27" s="41" t="s">
        <v>108</v>
      </c>
      <c r="E27" s="42" t="n">
        <v>9418</v>
      </c>
      <c r="F27" s="42"/>
      <c r="G27" s="42"/>
      <c r="H27" s="43" t="n">
        <v>2</v>
      </c>
      <c r="I27" s="34" t="n">
        <f aca="false">E27*H27+N(F27)+N(G27)</f>
        <v>18836</v>
      </c>
      <c r="J27" s="42" t="n">
        <f aca="false">ROUND(IFERROR(ROUND(IF(OR(ISNUMBER(SEARCH("week",C27)),ISNUMBER(SEARCH("minggu",C27))),IFERROR(_xlfn.NUMBERVALUE(SUBSTITUTE(LEFT(TRIM(C27),FIND(" ",TRIM(C27)&amp;" ")-1),",","."),"."),LEFT(SUBSTITUTE(LEFT(TRIM(C27),FIND(" ",TRIM(C27)&amp;" ")-1),",","."),FIND("/",SUBSTITUTE(LEFT(TRIM(C27),FIND(" ",TRIM(C27)&amp;" ")-1),",","."))-1)/MID(SUBSTITUTE(LEFT(TRIM(C27),FIND(" ",TRIM(C27)&amp;" ")-1),",","."),FIND("/",SUBSTITUTE(LEFT(TRIM(C27),FIND(" ",TRIM(C27)&amp;" ")-1),",","."))+1,9))*12/52,IF(ISNUMBER(SEARCH("month",C27)),IFERROR(_xlfn.NUMBERVALUE(SUBSTITUTE(LEFT(TRIM(C27),FIND(" ",TRIM(C27)&amp;" ")-1),",","."),"."),LEFT(SUBSTITUTE(LEFT(TRIM(C27),FIND(" ",TRIM(C27)&amp;" ")-1),",","."),FIND("/",SUBSTITUTE(LEFT(TRIM(C27),FIND(" ",TRIM(C27)&amp;" ")-1),",","."))-1)/MID(SUBSTITUTE(LEFT(TRIM(C27),FIND(" ",TRIM(C27)&amp;" ")-1),",","."),FIND("/",SUBSTITUTE(LEFT(TRIM(C27),FIND(" ",TRIM(C27)&amp;" ")-1),",","."))+1,9)),IF(ISNUMBER(SEARCH("yea",C27)),IFERROR(_xlfn.NUMBERVALUE(SUBSTITUTE(LEFT(TRIM(C27),FIND(" ",TRIM(C27)&amp;" ")-1),",","."),"."),LEFT(SUBSTITUTE(LEFT(TRIM(C27),FIND(" ",TRIM(C27)&amp;" ")-1),",","."),FIND("/",SUBSTITUTE(LEFT(TRIM(C27),FIND(" ",TRIM(C27)&amp;" ")-1),",","."))-1)/MID(SUBSTITUTE(LEFT(TRIM(C27),FIND(" ",TRIM(C27)&amp;" ")-1),",","."),FIND("/",SUBSTITUTE(LEFT(TRIM(C27),FIND(" ",TRIM(C27)&amp;" ")-1),",","."))+1,9))*12,NA()))),0),24)*'Aturan &amp; Tarif'!$B$4,2)</f>
        <v>1362.72</v>
      </c>
      <c r="K27" s="42" t="n">
        <f aca="false">'Aturan &amp; Tarif'!$B$5</f>
        <v>2050</v>
      </c>
      <c r="L27" s="35" t="n">
        <f aca="false">I27+J27+K27</f>
        <v>22248.72</v>
      </c>
      <c r="M27" s="45" t="s">
        <v>512</v>
      </c>
    </row>
    <row r="28" customFormat="false" ht="14.25" hidden="false" customHeight="true" outlineLevel="0" collapsed="false">
      <c r="A28" s="39"/>
      <c r="B28" s="40" t="s">
        <v>518</v>
      </c>
      <c r="C28" s="41" t="s">
        <v>107</v>
      </c>
      <c r="D28" s="41" t="s">
        <v>108</v>
      </c>
      <c r="E28" s="42" t="n">
        <v>9418</v>
      </c>
      <c r="F28" s="42"/>
      <c r="G28" s="42"/>
      <c r="H28" s="43" t="n">
        <v>2</v>
      </c>
      <c r="I28" s="34" t="n">
        <f aca="false">E28*H28+N(F28)+N(G28)</f>
        <v>18836</v>
      </c>
      <c r="J28" s="42" t="n">
        <f aca="false">ROUND(IFERROR(ROUND(IF(OR(ISNUMBER(SEARCH("week",C28)),ISNUMBER(SEARCH("minggu",C28))),IFERROR(_xlfn.NUMBERVALUE(SUBSTITUTE(LEFT(TRIM(C28),FIND(" ",TRIM(C28)&amp;" ")-1),",","."),"."),LEFT(SUBSTITUTE(LEFT(TRIM(C28),FIND(" ",TRIM(C28)&amp;" ")-1),",","."),FIND("/",SUBSTITUTE(LEFT(TRIM(C28),FIND(" ",TRIM(C28)&amp;" ")-1),",","."))-1)/MID(SUBSTITUTE(LEFT(TRIM(C28),FIND(" ",TRIM(C28)&amp;" ")-1),",","."),FIND("/",SUBSTITUTE(LEFT(TRIM(C28),FIND(" ",TRIM(C28)&amp;" ")-1),",","."))+1,9))*12/52,IF(ISNUMBER(SEARCH("month",C28)),IFERROR(_xlfn.NUMBERVALUE(SUBSTITUTE(LEFT(TRIM(C28),FIND(" ",TRIM(C28)&amp;" ")-1),",","."),"."),LEFT(SUBSTITUTE(LEFT(TRIM(C28),FIND(" ",TRIM(C28)&amp;" ")-1),",","."),FIND("/",SUBSTITUTE(LEFT(TRIM(C28),FIND(" ",TRIM(C28)&amp;" ")-1),",","."))-1)/MID(SUBSTITUTE(LEFT(TRIM(C28),FIND(" ",TRIM(C28)&amp;" ")-1),",","."),FIND("/",SUBSTITUTE(LEFT(TRIM(C28),FIND(" ",TRIM(C28)&amp;" ")-1),",","."))+1,9)),IF(ISNUMBER(SEARCH("yea",C28)),IFERROR(_xlfn.NUMBERVALUE(SUBSTITUTE(LEFT(TRIM(C28),FIND(" ",TRIM(C28)&amp;" ")-1),",","."),"."),LEFT(SUBSTITUTE(LEFT(TRIM(C28),FIND(" ",TRIM(C28)&amp;" ")-1),",","."),FIND("/",SUBSTITUTE(LEFT(TRIM(C28),FIND(" ",TRIM(C28)&amp;" ")-1),",","."))-1)/MID(SUBSTITUTE(LEFT(TRIM(C28),FIND(" ",TRIM(C28)&amp;" ")-1),",","."),FIND("/",SUBSTITUTE(LEFT(TRIM(C28),FIND(" ",TRIM(C28)&amp;" ")-1),",","."))+1,9))*12,NA()))),0),24)*'Aturan &amp; Tarif'!$B$4,2)</f>
        <v>1362.72</v>
      </c>
      <c r="K28" s="42" t="n">
        <f aca="false">'Aturan &amp; Tarif'!$B$5</f>
        <v>2050</v>
      </c>
      <c r="L28" s="35" t="n">
        <f aca="false">I28+J28+K28</f>
        <v>22248.72</v>
      </c>
      <c r="M28" s="45" t="s">
        <v>512</v>
      </c>
    </row>
    <row r="29" customFormat="false" ht="14.25" hidden="false" customHeight="true" outlineLevel="0" collapsed="false">
      <c r="A29" s="39"/>
      <c r="B29" s="40" t="s">
        <v>519</v>
      </c>
      <c r="C29" s="41" t="s">
        <v>107</v>
      </c>
      <c r="D29" s="41" t="s">
        <v>108</v>
      </c>
      <c r="E29" s="42" t="n">
        <v>7932</v>
      </c>
      <c r="F29" s="42"/>
      <c r="G29" s="42"/>
      <c r="H29" s="43" t="n">
        <v>2</v>
      </c>
      <c r="I29" s="34" t="n">
        <f aca="false">E29*H29+N(F29)+N(G29)</f>
        <v>15864</v>
      </c>
      <c r="J29" s="42" t="n">
        <f aca="false">ROUND(IFERROR(ROUND(IF(OR(ISNUMBER(SEARCH("week",C29)),ISNUMBER(SEARCH("minggu",C29))),IFERROR(_xlfn.NUMBERVALUE(SUBSTITUTE(LEFT(TRIM(C29),FIND(" ",TRIM(C29)&amp;" ")-1),",","."),"."),LEFT(SUBSTITUTE(LEFT(TRIM(C29),FIND(" ",TRIM(C29)&amp;" ")-1),",","."),FIND("/",SUBSTITUTE(LEFT(TRIM(C29),FIND(" ",TRIM(C29)&amp;" ")-1),",","."))-1)/MID(SUBSTITUTE(LEFT(TRIM(C29),FIND(" ",TRIM(C29)&amp;" ")-1),",","."),FIND("/",SUBSTITUTE(LEFT(TRIM(C29),FIND(" ",TRIM(C29)&amp;" ")-1),",","."))+1,9))*12/52,IF(ISNUMBER(SEARCH("month",C29)),IFERROR(_xlfn.NUMBERVALUE(SUBSTITUTE(LEFT(TRIM(C29),FIND(" ",TRIM(C29)&amp;" ")-1),",","."),"."),LEFT(SUBSTITUTE(LEFT(TRIM(C29),FIND(" ",TRIM(C29)&amp;" ")-1),",","."),FIND("/",SUBSTITUTE(LEFT(TRIM(C29),FIND(" ",TRIM(C29)&amp;" ")-1),",","."))-1)/MID(SUBSTITUTE(LEFT(TRIM(C29),FIND(" ",TRIM(C29)&amp;" ")-1),",","."),FIND("/",SUBSTITUTE(LEFT(TRIM(C29),FIND(" ",TRIM(C29)&amp;" ")-1),",","."))+1,9)),IF(ISNUMBER(SEARCH("yea",C29)),IFERROR(_xlfn.NUMBERVALUE(SUBSTITUTE(LEFT(TRIM(C29),FIND(" ",TRIM(C29)&amp;" ")-1),",","."),"."),LEFT(SUBSTITUTE(LEFT(TRIM(C29),FIND(" ",TRIM(C29)&amp;" ")-1),",","."),FIND("/",SUBSTITUTE(LEFT(TRIM(C29),FIND(" ",TRIM(C29)&amp;" ")-1),",","."))-1)/MID(SUBSTITUTE(LEFT(TRIM(C29),FIND(" ",TRIM(C29)&amp;" ")-1),",","."),FIND("/",SUBSTITUTE(LEFT(TRIM(C29),FIND(" ",TRIM(C29)&amp;" ")-1),",","."))+1,9))*12,NA()))),0),24)*'Aturan &amp; Tarif'!$B$4,2)</f>
        <v>1362.72</v>
      </c>
      <c r="K29" s="42" t="n">
        <f aca="false">'Aturan &amp; Tarif'!$B$5</f>
        <v>2050</v>
      </c>
      <c r="L29" s="35" t="n">
        <f aca="false">I29+J29+K29</f>
        <v>19276.72</v>
      </c>
      <c r="M29" s="45" t="s">
        <v>512</v>
      </c>
    </row>
    <row r="30" customFormat="false" ht="14.25" hidden="false" customHeight="true" outlineLevel="0" collapsed="false">
      <c r="A30" s="39"/>
      <c r="B30" s="40" t="s">
        <v>456</v>
      </c>
      <c r="C30" s="41" t="s">
        <v>127</v>
      </c>
      <c r="D30" s="41" t="s">
        <v>108</v>
      </c>
      <c r="E30" s="42" t="n">
        <v>7802</v>
      </c>
      <c r="F30" s="42"/>
      <c r="G30" s="42"/>
      <c r="H30" s="43" t="n">
        <v>2</v>
      </c>
      <c r="I30" s="34" t="n">
        <f aca="false">E30*H30+N(F30)+N(G30)</f>
        <v>15604</v>
      </c>
      <c r="J30" s="42" t="n">
        <f aca="false">ROUND(IFERROR(ROUND(IF(OR(ISNUMBER(SEARCH("week",C30)),ISNUMBER(SEARCH("minggu",C30))),IFERROR(_xlfn.NUMBERVALUE(SUBSTITUTE(LEFT(TRIM(C30),FIND(" ",TRIM(C30)&amp;" ")-1),",","."),"."),LEFT(SUBSTITUTE(LEFT(TRIM(C30),FIND(" ",TRIM(C30)&amp;" ")-1),",","."),FIND("/",SUBSTITUTE(LEFT(TRIM(C30),FIND(" ",TRIM(C30)&amp;" ")-1),",","."))-1)/MID(SUBSTITUTE(LEFT(TRIM(C30),FIND(" ",TRIM(C30)&amp;" ")-1),",","."),FIND("/",SUBSTITUTE(LEFT(TRIM(C30),FIND(" ",TRIM(C30)&amp;" ")-1),",","."))+1,9))*12/52,IF(ISNUMBER(SEARCH("month",C30)),IFERROR(_xlfn.NUMBERVALUE(SUBSTITUTE(LEFT(TRIM(C30),FIND(" ",TRIM(C30)&amp;" ")-1),",","."),"."),LEFT(SUBSTITUTE(LEFT(TRIM(C30),FIND(" ",TRIM(C30)&amp;" ")-1),",","."),FIND("/",SUBSTITUTE(LEFT(TRIM(C30),FIND(" ",TRIM(C30)&amp;" ")-1),",","."))-1)/MID(SUBSTITUTE(LEFT(TRIM(C30),FIND(" ",TRIM(C30)&amp;" ")-1),",","."),FIND("/",SUBSTITUTE(LEFT(TRIM(C30),FIND(" ",TRIM(C30)&amp;" ")-1),",","."))+1,9)),IF(ISNUMBER(SEARCH("yea",C30)),IFERROR(_xlfn.NUMBERVALUE(SUBSTITUTE(LEFT(TRIM(C30),FIND(" ",TRIM(C30)&amp;" ")-1),",","."),"."),LEFT(SUBSTITUTE(LEFT(TRIM(C30),FIND(" ",TRIM(C30)&amp;" ")-1),",","."),FIND("/",SUBSTITUTE(LEFT(TRIM(C30),FIND(" ",TRIM(C30)&amp;" ")-1),",","."))-1)/MID(SUBSTITUTE(LEFT(TRIM(C30),FIND(" ",TRIM(C30)&amp;" ")-1),",","."),FIND("/",SUBSTITUTE(LEFT(TRIM(C30),FIND(" ",TRIM(C30)&amp;" ")-1),",","."))+1,9))*12,NA()))),0),36)*'Aturan &amp; Tarif'!$B$4,2)</f>
        <v>2044.08</v>
      </c>
      <c r="K30" s="42" t="n">
        <f aca="false">'Aturan &amp; Tarif'!$B$5</f>
        <v>2050</v>
      </c>
      <c r="L30" s="35" t="n">
        <f aca="false">I30+J30+K30</f>
        <v>19698.08</v>
      </c>
      <c r="M30" s="45" t="s">
        <v>512</v>
      </c>
    </row>
    <row r="31" customFormat="false" ht="25.5" hidden="false" customHeight="true" outlineLevel="0" collapsed="false">
      <c r="A31" s="39"/>
      <c r="B31" s="40" t="s">
        <v>520</v>
      </c>
      <c r="C31" s="41" t="s">
        <v>191</v>
      </c>
      <c r="D31" s="41" t="s">
        <v>108</v>
      </c>
      <c r="E31" s="42" t="n">
        <v>7802</v>
      </c>
      <c r="F31" s="42"/>
      <c r="G31" s="42"/>
      <c r="H31" s="43" t="n">
        <v>2</v>
      </c>
      <c r="I31" s="34" t="n">
        <f aca="false">E31*H31+N(F31)+N(G31)</f>
        <v>15604</v>
      </c>
      <c r="J31" s="42" t="n">
        <f aca="false">ROUND(IFERROR(ROUND(IF(OR(ISNUMBER(SEARCH("week",C31)),ISNUMBER(SEARCH("minggu",C31))),IFERROR(_xlfn.NUMBERVALUE(SUBSTITUTE(LEFT(TRIM(C31),FIND(" ",TRIM(C31)&amp;" ")-1),",","."),"."),LEFT(SUBSTITUTE(LEFT(TRIM(C31),FIND(" ",TRIM(C31)&amp;" ")-1),",","."),FIND("/",SUBSTITUTE(LEFT(TRIM(C31),FIND(" ",TRIM(C31)&amp;" ")-1),",","."))-1)/MID(SUBSTITUTE(LEFT(TRIM(C31),FIND(" ",TRIM(C31)&amp;" ")-1),",","."),FIND("/",SUBSTITUTE(LEFT(TRIM(C31),FIND(" ",TRIM(C31)&amp;" ")-1),",","."))+1,9))*12/52,IF(ISNUMBER(SEARCH("month",C31)),IFERROR(_xlfn.NUMBERVALUE(SUBSTITUTE(LEFT(TRIM(C31),FIND(" ",TRIM(C31)&amp;" ")-1),",","."),"."),LEFT(SUBSTITUTE(LEFT(TRIM(C31),FIND(" ",TRIM(C31)&amp;" ")-1),",","."),FIND("/",SUBSTITUTE(LEFT(TRIM(C31),FIND(" ",TRIM(C31)&amp;" ")-1),",","."))-1)/MID(SUBSTITUTE(LEFT(TRIM(C31),FIND(" ",TRIM(C31)&amp;" ")-1),",","."),FIND("/",SUBSTITUTE(LEFT(TRIM(C31),FIND(" ",TRIM(C31)&amp;" ")-1),",","."))+1,9)),IF(ISNUMBER(SEARCH("yea",C31)),IFERROR(_xlfn.NUMBERVALUE(SUBSTITUTE(LEFT(TRIM(C31),FIND(" ",TRIM(C31)&amp;" ")-1),",","."),"."),LEFT(SUBSTITUTE(LEFT(TRIM(C31),FIND(" ",TRIM(C31)&amp;" ")-1),",","."),FIND("/",SUBSTITUTE(LEFT(TRIM(C31),FIND(" ",TRIM(C31)&amp;" ")-1),",","."))-1)/MID(SUBSTITUTE(LEFT(TRIM(C31),FIND(" ",TRIM(C31)&amp;" ")-1),",","."),FIND("/",SUBSTITUTE(LEFT(TRIM(C31),FIND(" ",TRIM(C31)&amp;" ")-1),",","."))+1,9))*12,NA()))),0),48)*'Aturan &amp; Tarif'!$B$4,2)</f>
        <v>2725.44</v>
      </c>
      <c r="K31" s="42" t="n">
        <f aca="false">'Aturan &amp; Tarif'!$B$5</f>
        <v>2050</v>
      </c>
      <c r="L31" s="35" t="n">
        <f aca="false">I31+J31+K31</f>
        <v>20379.44</v>
      </c>
      <c r="M31" s="45" t="s">
        <v>512</v>
      </c>
    </row>
    <row r="32" customFormat="false" ht="14.25" hidden="false" customHeight="true" outlineLevel="0" collapsed="false">
      <c r="A32" s="39"/>
      <c r="B32" s="40" t="s">
        <v>521</v>
      </c>
      <c r="C32" s="41" t="s">
        <v>130</v>
      </c>
      <c r="D32" s="41" t="s">
        <v>108</v>
      </c>
      <c r="E32" s="42" t="n">
        <v>7802</v>
      </c>
      <c r="F32" s="42"/>
      <c r="G32" s="42"/>
      <c r="H32" s="43" t="n">
        <v>2</v>
      </c>
      <c r="I32" s="34" t="n">
        <f aca="false">E32*H32+N(F32)+N(G32)</f>
        <v>15604</v>
      </c>
      <c r="J32" s="42" t="n">
        <f aca="false">ROUND(IFERROR(ROUND(IF(OR(ISNUMBER(SEARCH("week",C32)),ISNUMBER(SEARCH("minggu",C32))),IFERROR(_xlfn.NUMBERVALUE(SUBSTITUTE(LEFT(TRIM(C32),FIND(" ",TRIM(C32)&amp;" ")-1),",","."),"."),LEFT(SUBSTITUTE(LEFT(TRIM(C32),FIND(" ",TRIM(C32)&amp;" ")-1),",","."),FIND("/",SUBSTITUTE(LEFT(TRIM(C32),FIND(" ",TRIM(C32)&amp;" ")-1),",","."))-1)/MID(SUBSTITUTE(LEFT(TRIM(C32),FIND(" ",TRIM(C32)&amp;" ")-1),",","."),FIND("/",SUBSTITUTE(LEFT(TRIM(C32),FIND(" ",TRIM(C32)&amp;" ")-1),",","."))+1,9))*12/52,IF(ISNUMBER(SEARCH("month",C32)),IFERROR(_xlfn.NUMBERVALUE(SUBSTITUTE(LEFT(TRIM(C32),FIND(" ",TRIM(C32)&amp;" ")-1),",","."),"."),LEFT(SUBSTITUTE(LEFT(TRIM(C32),FIND(" ",TRIM(C32)&amp;" ")-1),",","."),FIND("/",SUBSTITUTE(LEFT(TRIM(C32),FIND(" ",TRIM(C32)&amp;" ")-1),",","."))-1)/MID(SUBSTITUTE(LEFT(TRIM(C32),FIND(" ",TRIM(C32)&amp;" ")-1),",","."),FIND("/",SUBSTITUTE(LEFT(TRIM(C32),FIND(" ",TRIM(C32)&amp;" ")-1),",","."))+1,9)),IF(ISNUMBER(SEARCH("yea",C32)),IFERROR(_xlfn.NUMBERVALUE(SUBSTITUTE(LEFT(TRIM(C32),FIND(" ",TRIM(C32)&amp;" ")-1),",","."),"."),LEFT(SUBSTITUTE(LEFT(TRIM(C32),FIND(" ",TRIM(C32)&amp;" ")-1),",","."),FIND("/",SUBSTITUTE(LEFT(TRIM(C32),FIND(" ",TRIM(C32)&amp;" ")-1),",","."))-1)/MID(SUBSTITUTE(LEFT(TRIM(C32),FIND(" ",TRIM(C32)&amp;" ")-1),",","."),FIND("/",SUBSTITUTE(LEFT(TRIM(C32),FIND(" ",TRIM(C32)&amp;" ")-1),",","."))+1,9))*12,NA()))),0),12)*'Aturan &amp; Tarif'!$B$4,2)</f>
        <v>681.36</v>
      </c>
      <c r="K32" s="42" t="n">
        <f aca="false">'Aturan &amp; Tarif'!$B$5</f>
        <v>2050</v>
      </c>
      <c r="L32" s="35" t="n">
        <f aca="false">I32+J32+K32</f>
        <v>18335.36</v>
      </c>
      <c r="M32" s="45" t="s">
        <v>512</v>
      </c>
    </row>
    <row r="33" customFormat="false" ht="14.25" hidden="false" customHeight="true" outlineLevel="0" collapsed="false">
      <c r="A33" s="39"/>
      <c r="B33" s="40" t="s">
        <v>522</v>
      </c>
      <c r="C33" s="41" t="s">
        <v>191</v>
      </c>
      <c r="D33" s="41" t="s">
        <v>108</v>
      </c>
      <c r="E33" s="42" t="n">
        <v>7802</v>
      </c>
      <c r="F33" s="42"/>
      <c r="G33" s="42"/>
      <c r="H33" s="43" t="n">
        <v>2</v>
      </c>
      <c r="I33" s="34" t="n">
        <f aca="false">E33*H33+N(F33)+N(G33)</f>
        <v>15604</v>
      </c>
      <c r="J33" s="42" t="n">
        <f aca="false">ROUND(IFERROR(ROUND(IF(OR(ISNUMBER(SEARCH("week",C33)),ISNUMBER(SEARCH("minggu",C33))),IFERROR(_xlfn.NUMBERVALUE(SUBSTITUTE(LEFT(TRIM(C33),FIND(" ",TRIM(C33)&amp;" ")-1),",","."),"."),LEFT(SUBSTITUTE(LEFT(TRIM(C33),FIND(" ",TRIM(C33)&amp;" ")-1),",","."),FIND("/",SUBSTITUTE(LEFT(TRIM(C33),FIND(" ",TRIM(C33)&amp;" ")-1),",","."))-1)/MID(SUBSTITUTE(LEFT(TRIM(C33),FIND(" ",TRIM(C33)&amp;" ")-1),",","."),FIND("/",SUBSTITUTE(LEFT(TRIM(C33),FIND(" ",TRIM(C33)&amp;" ")-1),",","."))+1,9))*12/52,IF(ISNUMBER(SEARCH("month",C33)),IFERROR(_xlfn.NUMBERVALUE(SUBSTITUTE(LEFT(TRIM(C33),FIND(" ",TRIM(C33)&amp;" ")-1),",","."),"."),LEFT(SUBSTITUTE(LEFT(TRIM(C33),FIND(" ",TRIM(C33)&amp;" ")-1),",","."),FIND("/",SUBSTITUTE(LEFT(TRIM(C33),FIND(" ",TRIM(C33)&amp;" ")-1),",","."))-1)/MID(SUBSTITUTE(LEFT(TRIM(C33),FIND(" ",TRIM(C33)&amp;" ")-1),",","."),FIND("/",SUBSTITUTE(LEFT(TRIM(C33),FIND(" ",TRIM(C33)&amp;" ")-1),",","."))+1,9)),IF(ISNUMBER(SEARCH("yea",C33)),IFERROR(_xlfn.NUMBERVALUE(SUBSTITUTE(LEFT(TRIM(C33),FIND(" ",TRIM(C33)&amp;" ")-1),",","."),"."),LEFT(SUBSTITUTE(LEFT(TRIM(C33),FIND(" ",TRIM(C33)&amp;" ")-1),",","."),FIND("/",SUBSTITUTE(LEFT(TRIM(C33),FIND(" ",TRIM(C33)&amp;" ")-1),",","."))-1)/MID(SUBSTITUTE(LEFT(TRIM(C33),FIND(" ",TRIM(C33)&amp;" ")-1),",","."),FIND("/",SUBSTITUTE(LEFT(TRIM(C33),FIND(" ",TRIM(C33)&amp;" ")-1),",","."))+1,9))*12,NA()))),0),48)*'Aturan &amp; Tarif'!$B$4,2)</f>
        <v>2725.44</v>
      </c>
      <c r="K33" s="42" t="n">
        <f aca="false">'Aturan &amp; Tarif'!$B$5</f>
        <v>2050</v>
      </c>
      <c r="L33" s="35" t="n">
        <f aca="false">I33+J33+K33</f>
        <v>20379.44</v>
      </c>
      <c r="M33" s="45" t="s">
        <v>512</v>
      </c>
    </row>
    <row r="34" customFormat="false" ht="14.25" hidden="false" customHeight="true" outlineLevel="0" collapsed="false">
      <c r="A34" s="39"/>
      <c r="B34" s="40" t="s">
        <v>523</v>
      </c>
      <c r="C34" s="41" t="s">
        <v>130</v>
      </c>
      <c r="D34" s="41" t="s">
        <v>108</v>
      </c>
      <c r="E34" s="42" t="n">
        <v>7932</v>
      </c>
      <c r="F34" s="42"/>
      <c r="G34" s="42"/>
      <c r="H34" s="43" t="n">
        <v>2</v>
      </c>
      <c r="I34" s="34" t="n">
        <f aca="false">E34*H34+N(F34)+N(G34)</f>
        <v>15864</v>
      </c>
      <c r="J34" s="42" t="n">
        <f aca="false">ROUND(IFERROR(ROUND(IF(OR(ISNUMBER(SEARCH("week",C34)),ISNUMBER(SEARCH("minggu",C34))),IFERROR(_xlfn.NUMBERVALUE(SUBSTITUTE(LEFT(TRIM(C34),FIND(" ",TRIM(C34)&amp;" ")-1),",","."),"."),LEFT(SUBSTITUTE(LEFT(TRIM(C34),FIND(" ",TRIM(C34)&amp;" ")-1),",","."),FIND("/",SUBSTITUTE(LEFT(TRIM(C34),FIND(" ",TRIM(C34)&amp;" ")-1),",","."))-1)/MID(SUBSTITUTE(LEFT(TRIM(C34),FIND(" ",TRIM(C34)&amp;" ")-1),",","."),FIND("/",SUBSTITUTE(LEFT(TRIM(C34),FIND(" ",TRIM(C34)&amp;" ")-1),",","."))+1,9))*12/52,IF(ISNUMBER(SEARCH("month",C34)),IFERROR(_xlfn.NUMBERVALUE(SUBSTITUTE(LEFT(TRIM(C34),FIND(" ",TRIM(C34)&amp;" ")-1),",","."),"."),LEFT(SUBSTITUTE(LEFT(TRIM(C34),FIND(" ",TRIM(C34)&amp;" ")-1),",","."),FIND("/",SUBSTITUTE(LEFT(TRIM(C34),FIND(" ",TRIM(C34)&amp;" ")-1),",","."))-1)/MID(SUBSTITUTE(LEFT(TRIM(C34),FIND(" ",TRIM(C34)&amp;" ")-1),",","."),FIND("/",SUBSTITUTE(LEFT(TRIM(C34),FIND(" ",TRIM(C34)&amp;" ")-1),",","."))+1,9)),IF(ISNUMBER(SEARCH("yea",C34)),IFERROR(_xlfn.NUMBERVALUE(SUBSTITUTE(LEFT(TRIM(C34),FIND(" ",TRIM(C34)&amp;" ")-1),",","."),"."),LEFT(SUBSTITUTE(LEFT(TRIM(C34),FIND(" ",TRIM(C34)&amp;" ")-1),",","."),FIND("/",SUBSTITUTE(LEFT(TRIM(C34),FIND(" ",TRIM(C34)&amp;" ")-1),",","."))-1)/MID(SUBSTITUTE(LEFT(TRIM(C34),FIND(" ",TRIM(C34)&amp;" ")-1),",","."),FIND("/",SUBSTITUTE(LEFT(TRIM(C34),FIND(" ",TRIM(C34)&amp;" ")-1),",","."))+1,9))*12,NA()))),0),12)*'Aturan &amp; Tarif'!$B$4,2)</f>
        <v>681.36</v>
      </c>
      <c r="K34" s="42" t="n">
        <f aca="false">'Aturan &amp; Tarif'!$B$5</f>
        <v>2050</v>
      </c>
      <c r="L34" s="35" t="n">
        <f aca="false">I34+J34+K34</f>
        <v>18595.36</v>
      </c>
      <c r="M34" s="45" t="s">
        <v>512</v>
      </c>
    </row>
    <row r="35" customFormat="false" ht="14.25" hidden="false" customHeight="true" outlineLevel="0" collapsed="false">
      <c r="A35" s="39"/>
      <c r="B35" s="40" t="s">
        <v>321</v>
      </c>
      <c r="C35" s="41" t="s">
        <v>127</v>
      </c>
      <c r="D35" s="41" t="s">
        <v>108</v>
      </c>
      <c r="E35" s="42" t="n">
        <v>7802</v>
      </c>
      <c r="F35" s="42"/>
      <c r="G35" s="42"/>
      <c r="H35" s="43" t="n">
        <v>2</v>
      </c>
      <c r="I35" s="34" t="n">
        <f aca="false">E35*H35+N(F35)+N(G35)</f>
        <v>15604</v>
      </c>
      <c r="J35" s="42" t="n">
        <f aca="false">ROUND(IFERROR(ROUND(IF(OR(ISNUMBER(SEARCH("week",C35)),ISNUMBER(SEARCH("minggu",C35))),IFERROR(_xlfn.NUMBERVALUE(SUBSTITUTE(LEFT(TRIM(C35),FIND(" ",TRIM(C35)&amp;" ")-1),",","."),"."),LEFT(SUBSTITUTE(LEFT(TRIM(C35),FIND(" ",TRIM(C35)&amp;" ")-1),",","."),FIND("/",SUBSTITUTE(LEFT(TRIM(C35),FIND(" ",TRIM(C35)&amp;" ")-1),",","."))-1)/MID(SUBSTITUTE(LEFT(TRIM(C35),FIND(" ",TRIM(C35)&amp;" ")-1),",","."),FIND("/",SUBSTITUTE(LEFT(TRIM(C35),FIND(" ",TRIM(C35)&amp;" ")-1),",","."))+1,9))*12/52,IF(ISNUMBER(SEARCH("month",C35)),IFERROR(_xlfn.NUMBERVALUE(SUBSTITUTE(LEFT(TRIM(C35),FIND(" ",TRIM(C35)&amp;" ")-1),",","."),"."),LEFT(SUBSTITUTE(LEFT(TRIM(C35),FIND(" ",TRIM(C35)&amp;" ")-1),",","."),FIND("/",SUBSTITUTE(LEFT(TRIM(C35),FIND(" ",TRIM(C35)&amp;" ")-1),",","."))-1)/MID(SUBSTITUTE(LEFT(TRIM(C35),FIND(" ",TRIM(C35)&amp;" ")-1),",","."),FIND("/",SUBSTITUTE(LEFT(TRIM(C35),FIND(" ",TRIM(C35)&amp;" ")-1),",","."))+1,9)),IF(ISNUMBER(SEARCH("yea",C35)),IFERROR(_xlfn.NUMBERVALUE(SUBSTITUTE(LEFT(TRIM(C35),FIND(" ",TRIM(C35)&amp;" ")-1),",","."),"."),LEFT(SUBSTITUTE(LEFT(TRIM(C35),FIND(" ",TRIM(C35)&amp;" ")-1),",","."),FIND("/",SUBSTITUTE(LEFT(TRIM(C35),FIND(" ",TRIM(C35)&amp;" ")-1),",","."))-1)/MID(SUBSTITUTE(LEFT(TRIM(C35),FIND(" ",TRIM(C35)&amp;" ")-1),",","."),FIND("/",SUBSTITUTE(LEFT(TRIM(C35),FIND(" ",TRIM(C35)&amp;" ")-1),",","."))+1,9))*12,NA()))),0),36)*'Aturan &amp; Tarif'!$B$4,2)</f>
        <v>2044.08</v>
      </c>
      <c r="K35" s="42" t="n">
        <f aca="false">'Aturan &amp; Tarif'!$B$5</f>
        <v>2050</v>
      </c>
      <c r="L35" s="35" t="n">
        <f aca="false">I35+J35+K35</f>
        <v>19698.08</v>
      </c>
      <c r="M35" s="45" t="s">
        <v>512</v>
      </c>
    </row>
    <row r="36" customFormat="false" ht="14.25" hidden="false" customHeight="true" outlineLevel="0" collapsed="false">
      <c r="A36" s="39"/>
      <c r="B36" s="40" t="s">
        <v>524</v>
      </c>
      <c r="C36" s="41" t="s">
        <v>127</v>
      </c>
      <c r="D36" s="41" t="s">
        <v>108</v>
      </c>
      <c r="E36" s="42" t="n">
        <v>7802</v>
      </c>
      <c r="F36" s="42"/>
      <c r="G36" s="42"/>
      <c r="H36" s="43" t="n">
        <v>2</v>
      </c>
      <c r="I36" s="34" t="n">
        <f aca="false">E36*H36+N(F36)+N(G36)</f>
        <v>15604</v>
      </c>
      <c r="J36" s="42" t="n">
        <f aca="false">ROUND(IFERROR(ROUND(IF(OR(ISNUMBER(SEARCH("week",C36)),ISNUMBER(SEARCH("minggu",C36))),IFERROR(_xlfn.NUMBERVALUE(SUBSTITUTE(LEFT(TRIM(C36),FIND(" ",TRIM(C36)&amp;" ")-1),",","."),"."),LEFT(SUBSTITUTE(LEFT(TRIM(C36),FIND(" ",TRIM(C36)&amp;" ")-1),",","."),FIND("/",SUBSTITUTE(LEFT(TRIM(C36),FIND(" ",TRIM(C36)&amp;" ")-1),",","."))-1)/MID(SUBSTITUTE(LEFT(TRIM(C36),FIND(" ",TRIM(C36)&amp;" ")-1),",","."),FIND("/",SUBSTITUTE(LEFT(TRIM(C36),FIND(" ",TRIM(C36)&amp;" ")-1),",","."))+1,9))*12/52,IF(ISNUMBER(SEARCH("month",C36)),IFERROR(_xlfn.NUMBERVALUE(SUBSTITUTE(LEFT(TRIM(C36),FIND(" ",TRIM(C36)&amp;" ")-1),",","."),"."),LEFT(SUBSTITUTE(LEFT(TRIM(C36),FIND(" ",TRIM(C36)&amp;" ")-1),",","."),FIND("/",SUBSTITUTE(LEFT(TRIM(C36),FIND(" ",TRIM(C36)&amp;" ")-1),",","."))-1)/MID(SUBSTITUTE(LEFT(TRIM(C36),FIND(" ",TRIM(C36)&amp;" ")-1),",","."),FIND("/",SUBSTITUTE(LEFT(TRIM(C36),FIND(" ",TRIM(C36)&amp;" ")-1),",","."))+1,9)),IF(ISNUMBER(SEARCH("yea",C36)),IFERROR(_xlfn.NUMBERVALUE(SUBSTITUTE(LEFT(TRIM(C36),FIND(" ",TRIM(C36)&amp;" ")-1),",","."),"."),LEFT(SUBSTITUTE(LEFT(TRIM(C36),FIND(" ",TRIM(C36)&amp;" ")-1),",","."),FIND("/",SUBSTITUTE(LEFT(TRIM(C36),FIND(" ",TRIM(C36)&amp;" ")-1),",","."))-1)/MID(SUBSTITUTE(LEFT(TRIM(C36),FIND(" ",TRIM(C36)&amp;" ")-1),",","."),FIND("/",SUBSTITUTE(LEFT(TRIM(C36),FIND(" ",TRIM(C36)&amp;" ")-1),",","."))+1,9))*12,NA()))),0),36)*'Aturan &amp; Tarif'!$B$4,2)</f>
        <v>2044.08</v>
      </c>
      <c r="K36" s="42" t="n">
        <f aca="false">'Aturan &amp; Tarif'!$B$5</f>
        <v>2050</v>
      </c>
      <c r="L36" s="35" t="n">
        <f aca="false">I36+J36+K36</f>
        <v>19698.08</v>
      </c>
      <c r="M36" s="45" t="s">
        <v>512</v>
      </c>
    </row>
    <row r="37" customFormat="false" ht="14.25" hidden="false" customHeight="true" outlineLevel="0" collapsed="false">
      <c r="A37" s="39"/>
      <c r="B37" s="40" t="s">
        <v>348</v>
      </c>
      <c r="C37" s="41" t="s">
        <v>113</v>
      </c>
      <c r="D37" s="41" t="s">
        <v>108</v>
      </c>
      <c r="E37" s="42" t="n">
        <v>9548</v>
      </c>
      <c r="F37" s="42"/>
      <c r="G37" s="42"/>
      <c r="H37" s="43" t="n">
        <v>2</v>
      </c>
      <c r="I37" s="34" t="n">
        <f aca="false">E37*H37+N(F37)+N(G37)</f>
        <v>19096</v>
      </c>
      <c r="J37" s="42" t="n">
        <f aca="false">ROUND(IFERROR(ROUND(IF(OR(ISNUMBER(SEARCH("week",C37)),ISNUMBER(SEARCH("minggu",C37))),IFERROR(_xlfn.NUMBERVALUE(SUBSTITUTE(LEFT(TRIM(C37),FIND(" ",TRIM(C37)&amp;" ")-1),",","."),"."),LEFT(SUBSTITUTE(LEFT(TRIM(C37),FIND(" ",TRIM(C37)&amp;" ")-1),",","."),FIND("/",SUBSTITUTE(LEFT(TRIM(C37),FIND(" ",TRIM(C37)&amp;" ")-1),",","."))-1)/MID(SUBSTITUTE(LEFT(TRIM(C37),FIND(" ",TRIM(C37)&amp;" ")-1),",","."),FIND("/",SUBSTITUTE(LEFT(TRIM(C37),FIND(" ",TRIM(C37)&amp;" ")-1),",","."))+1,9))*12/52,IF(ISNUMBER(SEARCH("month",C37)),IFERROR(_xlfn.NUMBERVALUE(SUBSTITUTE(LEFT(TRIM(C37),FIND(" ",TRIM(C37)&amp;" ")-1),",","."),"."),LEFT(SUBSTITUTE(LEFT(TRIM(C37),FIND(" ",TRIM(C37)&amp;" ")-1),",","."),FIND("/",SUBSTITUTE(LEFT(TRIM(C37),FIND(" ",TRIM(C37)&amp;" ")-1),",","."))-1)/MID(SUBSTITUTE(LEFT(TRIM(C37),FIND(" ",TRIM(C37)&amp;" ")-1),",","."),FIND("/",SUBSTITUTE(LEFT(TRIM(C37),FIND(" ",TRIM(C37)&amp;" ")-1),",","."))+1,9)),IF(ISNUMBER(SEARCH("yea",C37)),IFERROR(_xlfn.NUMBERVALUE(SUBSTITUTE(LEFT(TRIM(C37),FIND(" ",TRIM(C37)&amp;" ")-1),",","."),"."),LEFT(SUBSTITUTE(LEFT(TRIM(C37),FIND(" ",TRIM(C37)&amp;" ")-1),",","."),FIND("/",SUBSTITUTE(LEFT(TRIM(C37),FIND(" ",TRIM(C37)&amp;" ")-1),",","."))-1)/MID(SUBSTITUTE(LEFT(TRIM(C37),FIND(" ",TRIM(C37)&amp;" ")-1),",","."),FIND("/",SUBSTITUTE(LEFT(TRIM(C37),FIND(" ",TRIM(C37)&amp;" ")-1),",","."))+1,9))*12,NA()))),0),18)*'Aturan &amp; Tarif'!$B$4,2)</f>
        <v>1022.04</v>
      </c>
      <c r="K37" s="42" t="n">
        <f aca="false">'Aturan &amp; Tarif'!$B$5</f>
        <v>2050</v>
      </c>
      <c r="L37" s="35" t="n">
        <f aca="false">I37+J37+K37</f>
        <v>22168.04</v>
      </c>
      <c r="M37" s="45" t="s">
        <v>512</v>
      </c>
    </row>
    <row r="38" customFormat="false" ht="25.5" hidden="false" customHeight="true" outlineLevel="0" collapsed="false">
      <c r="A38" s="39"/>
      <c r="B38" s="40" t="s">
        <v>525</v>
      </c>
      <c r="C38" s="41" t="s">
        <v>107</v>
      </c>
      <c r="D38" s="41" t="s">
        <v>108</v>
      </c>
      <c r="E38" s="42" t="n">
        <v>9548</v>
      </c>
      <c r="F38" s="42"/>
      <c r="G38" s="42"/>
      <c r="H38" s="43" t="n">
        <v>2</v>
      </c>
      <c r="I38" s="34" t="n">
        <f aca="false">E38*H38+N(F38)+N(G38)</f>
        <v>19096</v>
      </c>
      <c r="J38" s="42" t="n">
        <f aca="false">ROUND(IFERROR(ROUND(IF(OR(ISNUMBER(SEARCH("week",C38)),ISNUMBER(SEARCH("minggu",C38))),IFERROR(_xlfn.NUMBERVALUE(SUBSTITUTE(LEFT(TRIM(C38),FIND(" ",TRIM(C38)&amp;" ")-1),",","."),"."),LEFT(SUBSTITUTE(LEFT(TRIM(C38),FIND(" ",TRIM(C38)&amp;" ")-1),",","."),FIND("/",SUBSTITUTE(LEFT(TRIM(C38),FIND(" ",TRIM(C38)&amp;" ")-1),",","."))-1)/MID(SUBSTITUTE(LEFT(TRIM(C38),FIND(" ",TRIM(C38)&amp;" ")-1),",","."),FIND("/",SUBSTITUTE(LEFT(TRIM(C38),FIND(" ",TRIM(C38)&amp;" ")-1),",","."))+1,9))*12/52,IF(ISNUMBER(SEARCH("month",C38)),IFERROR(_xlfn.NUMBERVALUE(SUBSTITUTE(LEFT(TRIM(C38),FIND(" ",TRIM(C38)&amp;" ")-1),",","."),"."),LEFT(SUBSTITUTE(LEFT(TRIM(C38),FIND(" ",TRIM(C38)&amp;" ")-1),",","."),FIND("/",SUBSTITUTE(LEFT(TRIM(C38),FIND(" ",TRIM(C38)&amp;" ")-1),",","."))-1)/MID(SUBSTITUTE(LEFT(TRIM(C38),FIND(" ",TRIM(C38)&amp;" ")-1),",","."),FIND("/",SUBSTITUTE(LEFT(TRIM(C38),FIND(" ",TRIM(C38)&amp;" ")-1),",","."))+1,9)),IF(ISNUMBER(SEARCH("yea",C38)),IFERROR(_xlfn.NUMBERVALUE(SUBSTITUTE(LEFT(TRIM(C38),FIND(" ",TRIM(C38)&amp;" ")-1),",","."),"."),LEFT(SUBSTITUTE(LEFT(TRIM(C38),FIND(" ",TRIM(C38)&amp;" ")-1),",","."),FIND("/",SUBSTITUTE(LEFT(TRIM(C38),FIND(" ",TRIM(C38)&amp;" ")-1),",","."))-1)/MID(SUBSTITUTE(LEFT(TRIM(C38),FIND(" ",TRIM(C38)&amp;" ")-1),",","."),FIND("/",SUBSTITUTE(LEFT(TRIM(C38),FIND(" ",TRIM(C38)&amp;" ")-1),",","."))+1,9))*12,NA()))),0),24)*'Aturan &amp; Tarif'!$B$4,2)</f>
        <v>1362.72</v>
      </c>
      <c r="K38" s="42" t="n">
        <f aca="false">'Aturan &amp; Tarif'!$B$5</f>
        <v>2050</v>
      </c>
      <c r="L38" s="35" t="n">
        <f aca="false">I38+J38+K38</f>
        <v>22508.72</v>
      </c>
      <c r="M38" s="45" t="s">
        <v>512</v>
      </c>
    </row>
    <row r="39" customFormat="false" ht="14.25" hidden="false" customHeight="true" outlineLevel="0" collapsed="false">
      <c r="A39" s="39"/>
      <c r="B39" s="40" t="s">
        <v>526</v>
      </c>
      <c r="C39" s="41" t="s">
        <v>344</v>
      </c>
      <c r="D39" s="41" t="s">
        <v>108</v>
      </c>
      <c r="E39" s="42" t="n">
        <v>9548</v>
      </c>
      <c r="F39" s="42"/>
      <c r="G39" s="42"/>
      <c r="H39" s="43" t="n">
        <v>2</v>
      </c>
      <c r="I39" s="34" t="n">
        <f aca="false">E39*H39+N(F39)+N(G39)</f>
        <v>19096</v>
      </c>
      <c r="J39" s="42" t="n">
        <f aca="false">ROUND(IFERROR(ROUND(IF(OR(ISNUMBER(SEARCH("week",C39)),ISNUMBER(SEARCH("minggu",C39))),IFERROR(_xlfn.NUMBERVALUE(SUBSTITUTE(LEFT(TRIM(C39),FIND(" ",TRIM(C39)&amp;" ")-1),",","."),"."),LEFT(SUBSTITUTE(LEFT(TRIM(C39),FIND(" ",TRIM(C39)&amp;" ")-1),",","."),FIND("/",SUBSTITUTE(LEFT(TRIM(C39),FIND(" ",TRIM(C39)&amp;" ")-1),",","."))-1)/MID(SUBSTITUTE(LEFT(TRIM(C39),FIND(" ",TRIM(C39)&amp;" ")-1),",","."),FIND("/",SUBSTITUTE(LEFT(TRIM(C39),FIND(" ",TRIM(C39)&amp;" ")-1),",","."))+1,9))*12/52,IF(ISNUMBER(SEARCH("month",C39)),IFERROR(_xlfn.NUMBERVALUE(SUBSTITUTE(LEFT(TRIM(C39),FIND(" ",TRIM(C39)&amp;" ")-1),",","."),"."),LEFT(SUBSTITUTE(LEFT(TRIM(C39),FIND(" ",TRIM(C39)&amp;" ")-1),",","."),FIND("/",SUBSTITUTE(LEFT(TRIM(C39),FIND(" ",TRIM(C39)&amp;" ")-1),",","."))-1)/MID(SUBSTITUTE(LEFT(TRIM(C39),FIND(" ",TRIM(C39)&amp;" ")-1),",","."),FIND("/",SUBSTITUTE(LEFT(TRIM(C39),FIND(" ",TRIM(C39)&amp;" ")-1),",","."))+1,9)),IF(ISNUMBER(SEARCH("yea",C39)),IFERROR(_xlfn.NUMBERVALUE(SUBSTITUTE(LEFT(TRIM(C39),FIND(" ",TRIM(C39)&amp;" ")-1),",","."),"."),LEFT(SUBSTITUTE(LEFT(TRIM(C39),FIND(" ",TRIM(C39)&amp;" ")-1),",","."),FIND("/",SUBSTITUTE(LEFT(TRIM(C39),FIND(" ",TRIM(C39)&amp;" ")-1),",","."))-1)/MID(SUBSTITUTE(LEFT(TRIM(C39),FIND(" ",TRIM(C39)&amp;" ")-1),",","."),FIND("/",SUBSTITUTE(LEFT(TRIM(C39),FIND(" ",TRIM(C39)&amp;" ")-1),",","."))+1,9))*12,NA()))),0),6)*'Aturan &amp; Tarif'!$B$4,2)</f>
        <v>340.68</v>
      </c>
      <c r="K39" s="42" t="n">
        <f aca="false">'Aturan &amp; Tarif'!$B$5</f>
        <v>2050</v>
      </c>
      <c r="L39" s="35" t="n">
        <f aca="false">I39+J39+K39</f>
        <v>21486.68</v>
      </c>
      <c r="M39" s="45" t="s">
        <v>512</v>
      </c>
    </row>
    <row r="40" customFormat="false" ht="14.25" hidden="false" customHeight="true" outlineLevel="0" collapsed="false">
      <c r="A40" s="39"/>
      <c r="B40" s="40" t="s">
        <v>167</v>
      </c>
      <c r="C40" s="41" t="s">
        <v>107</v>
      </c>
      <c r="D40" s="41" t="s">
        <v>108</v>
      </c>
      <c r="E40" s="42" t="n">
        <v>9548</v>
      </c>
      <c r="F40" s="42"/>
      <c r="G40" s="42"/>
      <c r="H40" s="43" t="n">
        <v>2</v>
      </c>
      <c r="I40" s="34" t="n">
        <f aca="false">E40*H40+N(F40)+N(G40)</f>
        <v>19096</v>
      </c>
      <c r="J40" s="42" t="n">
        <f aca="false">ROUND(IFERROR(ROUND(IF(OR(ISNUMBER(SEARCH("week",C40)),ISNUMBER(SEARCH("minggu",C40))),IFERROR(_xlfn.NUMBERVALUE(SUBSTITUTE(LEFT(TRIM(C40),FIND(" ",TRIM(C40)&amp;" ")-1),",","."),"."),LEFT(SUBSTITUTE(LEFT(TRIM(C40),FIND(" ",TRIM(C40)&amp;" ")-1),",","."),FIND("/",SUBSTITUTE(LEFT(TRIM(C40),FIND(" ",TRIM(C40)&amp;" ")-1),",","."))-1)/MID(SUBSTITUTE(LEFT(TRIM(C40),FIND(" ",TRIM(C40)&amp;" ")-1),",","."),FIND("/",SUBSTITUTE(LEFT(TRIM(C40),FIND(" ",TRIM(C40)&amp;" ")-1),",","."))+1,9))*12/52,IF(ISNUMBER(SEARCH("month",C40)),IFERROR(_xlfn.NUMBERVALUE(SUBSTITUTE(LEFT(TRIM(C40),FIND(" ",TRIM(C40)&amp;" ")-1),",","."),"."),LEFT(SUBSTITUTE(LEFT(TRIM(C40),FIND(" ",TRIM(C40)&amp;" ")-1),",","."),FIND("/",SUBSTITUTE(LEFT(TRIM(C40),FIND(" ",TRIM(C40)&amp;" ")-1),",","."))-1)/MID(SUBSTITUTE(LEFT(TRIM(C40),FIND(" ",TRIM(C40)&amp;" ")-1),",","."),FIND("/",SUBSTITUTE(LEFT(TRIM(C40),FIND(" ",TRIM(C40)&amp;" ")-1),",","."))+1,9)),IF(ISNUMBER(SEARCH("yea",C40)),IFERROR(_xlfn.NUMBERVALUE(SUBSTITUTE(LEFT(TRIM(C40),FIND(" ",TRIM(C40)&amp;" ")-1),",","."),"."),LEFT(SUBSTITUTE(LEFT(TRIM(C40),FIND(" ",TRIM(C40)&amp;" ")-1),",","."),FIND("/",SUBSTITUTE(LEFT(TRIM(C40),FIND(" ",TRIM(C40)&amp;" ")-1),",","."))-1)/MID(SUBSTITUTE(LEFT(TRIM(C40),FIND(" ",TRIM(C40)&amp;" ")-1),",","."),FIND("/",SUBSTITUTE(LEFT(TRIM(C40),FIND(" ",TRIM(C40)&amp;" ")-1),",","."))+1,9))*12,NA()))),0),24)*'Aturan &amp; Tarif'!$B$4,2)</f>
        <v>1362.72</v>
      </c>
      <c r="K40" s="42" t="n">
        <f aca="false">'Aturan &amp; Tarif'!$B$5</f>
        <v>2050</v>
      </c>
      <c r="L40" s="35" t="n">
        <f aca="false">I40+J40+K40</f>
        <v>22508.72</v>
      </c>
      <c r="M40" s="45" t="s">
        <v>512</v>
      </c>
    </row>
    <row r="41" customFormat="false" ht="25.5" hidden="false" customHeight="true" outlineLevel="0" collapsed="false">
      <c r="A41" s="39"/>
      <c r="B41" s="40" t="s">
        <v>527</v>
      </c>
      <c r="C41" s="41" t="s">
        <v>107</v>
      </c>
      <c r="D41" s="41" t="s">
        <v>108</v>
      </c>
      <c r="E41" s="42" t="n">
        <v>9548</v>
      </c>
      <c r="F41" s="42"/>
      <c r="G41" s="42"/>
      <c r="H41" s="43" t="n">
        <v>2</v>
      </c>
      <c r="I41" s="34" t="n">
        <f aca="false">E41*H41+N(F41)+N(G41)</f>
        <v>19096</v>
      </c>
      <c r="J41" s="42" t="n">
        <f aca="false">ROUND(IFERROR(ROUND(IF(OR(ISNUMBER(SEARCH("week",C41)),ISNUMBER(SEARCH("minggu",C41))),IFERROR(_xlfn.NUMBERVALUE(SUBSTITUTE(LEFT(TRIM(C41),FIND(" ",TRIM(C41)&amp;" ")-1),",","."),"."),LEFT(SUBSTITUTE(LEFT(TRIM(C41),FIND(" ",TRIM(C41)&amp;" ")-1),",","."),FIND("/",SUBSTITUTE(LEFT(TRIM(C41),FIND(" ",TRIM(C41)&amp;" ")-1),",","."))-1)/MID(SUBSTITUTE(LEFT(TRIM(C41),FIND(" ",TRIM(C41)&amp;" ")-1),",","."),FIND("/",SUBSTITUTE(LEFT(TRIM(C41),FIND(" ",TRIM(C41)&amp;" ")-1),",","."))+1,9))*12/52,IF(ISNUMBER(SEARCH("month",C41)),IFERROR(_xlfn.NUMBERVALUE(SUBSTITUTE(LEFT(TRIM(C41),FIND(" ",TRIM(C41)&amp;" ")-1),",","."),"."),LEFT(SUBSTITUTE(LEFT(TRIM(C41),FIND(" ",TRIM(C41)&amp;" ")-1),",","."),FIND("/",SUBSTITUTE(LEFT(TRIM(C41),FIND(" ",TRIM(C41)&amp;" ")-1),",","."))-1)/MID(SUBSTITUTE(LEFT(TRIM(C41),FIND(" ",TRIM(C41)&amp;" ")-1),",","."),FIND("/",SUBSTITUTE(LEFT(TRIM(C41),FIND(" ",TRIM(C41)&amp;" ")-1),",","."))+1,9)),IF(ISNUMBER(SEARCH("yea",C41)),IFERROR(_xlfn.NUMBERVALUE(SUBSTITUTE(LEFT(TRIM(C41),FIND(" ",TRIM(C41)&amp;" ")-1),",","."),"."),LEFT(SUBSTITUTE(LEFT(TRIM(C41),FIND(" ",TRIM(C41)&amp;" ")-1),",","."),FIND("/",SUBSTITUTE(LEFT(TRIM(C41),FIND(" ",TRIM(C41)&amp;" ")-1),",","."))-1)/MID(SUBSTITUTE(LEFT(TRIM(C41),FIND(" ",TRIM(C41)&amp;" ")-1),",","."),FIND("/",SUBSTITUTE(LEFT(TRIM(C41),FIND(" ",TRIM(C41)&amp;" ")-1),",","."))+1,9))*12,NA()))),0),24)*'Aturan &amp; Tarif'!$B$4,2)</f>
        <v>1362.72</v>
      </c>
      <c r="K41" s="42" t="n">
        <f aca="false">'Aturan &amp; Tarif'!$B$5</f>
        <v>2050</v>
      </c>
      <c r="L41" s="35" t="n">
        <f aca="false">I41+J41+K41</f>
        <v>22508.72</v>
      </c>
      <c r="M41" s="45" t="s">
        <v>512</v>
      </c>
    </row>
    <row r="42" customFormat="false" ht="14.25" hidden="false" customHeight="true" outlineLevel="0" collapsed="false">
      <c r="A42" s="39"/>
      <c r="B42" s="40" t="s">
        <v>528</v>
      </c>
      <c r="C42" s="41" t="s">
        <v>130</v>
      </c>
      <c r="D42" s="41" t="s">
        <v>108</v>
      </c>
      <c r="E42" s="42" t="n">
        <v>7802</v>
      </c>
      <c r="F42" s="42"/>
      <c r="G42" s="42"/>
      <c r="H42" s="43" t="n">
        <v>2</v>
      </c>
      <c r="I42" s="34" t="n">
        <f aca="false">E42*H42+N(F42)+N(G42)</f>
        <v>15604</v>
      </c>
      <c r="J42" s="42" t="n">
        <f aca="false">ROUND(IFERROR(ROUND(IF(OR(ISNUMBER(SEARCH("week",C42)),ISNUMBER(SEARCH("minggu",C42))),IFERROR(_xlfn.NUMBERVALUE(SUBSTITUTE(LEFT(TRIM(C42),FIND(" ",TRIM(C42)&amp;" ")-1),",","."),"."),LEFT(SUBSTITUTE(LEFT(TRIM(C42),FIND(" ",TRIM(C42)&amp;" ")-1),",","."),FIND("/",SUBSTITUTE(LEFT(TRIM(C42),FIND(" ",TRIM(C42)&amp;" ")-1),",","."))-1)/MID(SUBSTITUTE(LEFT(TRIM(C42),FIND(" ",TRIM(C42)&amp;" ")-1),",","."),FIND("/",SUBSTITUTE(LEFT(TRIM(C42),FIND(" ",TRIM(C42)&amp;" ")-1),",","."))+1,9))*12/52,IF(ISNUMBER(SEARCH("month",C42)),IFERROR(_xlfn.NUMBERVALUE(SUBSTITUTE(LEFT(TRIM(C42),FIND(" ",TRIM(C42)&amp;" ")-1),",","."),"."),LEFT(SUBSTITUTE(LEFT(TRIM(C42),FIND(" ",TRIM(C42)&amp;" ")-1),",","."),FIND("/",SUBSTITUTE(LEFT(TRIM(C42),FIND(" ",TRIM(C42)&amp;" ")-1),",","."))-1)/MID(SUBSTITUTE(LEFT(TRIM(C42),FIND(" ",TRIM(C42)&amp;" ")-1),",","."),FIND("/",SUBSTITUTE(LEFT(TRIM(C42),FIND(" ",TRIM(C42)&amp;" ")-1),",","."))+1,9)),IF(ISNUMBER(SEARCH("yea",C42)),IFERROR(_xlfn.NUMBERVALUE(SUBSTITUTE(LEFT(TRIM(C42),FIND(" ",TRIM(C42)&amp;" ")-1),",","."),"."),LEFT(SUBSTITUTE(LEFT(TRIM(C42),FIND(" ",TRIM(C42)&amp;" ")-1),",","."),FIND("/",SUBSTITUTE(LEFT(TRIM(C42),FIND(" ",TRIM(C42)&amp;" ")-1),",","."))-1)/MID(SUBSTITUTE(LEFT(TRIM(C42),FIND(" ",TRIM(C42)&amp;" ")-1),",","."),FIND("/",SUBSTITUTE(LEFT(TRIM(C42),FIND(" ",TRIM(C42)&amp;" ")-1),",","."))+1,9))*12,NA()))),0),12)*'Aturan &amp; Tarif'!$B$4,2)</f>
        <v>681.36</v>
      </c>
      <c r="K42" s="42" t="n">
        <f aca="false">'Aturan &amp; Tarif'!$B$5</f>
        <v>2050</v>
      </c>
      <c r="L42" s="35" t="n">
        <f aca="false">I42+J42+K42</f>
        <v>18335.36</v>
      </c>
      <c r="M42" s="45" t="s">
        <v>512</v>
      </c>
    </row>
    <row r="43" customFormat="false" ht="14.25" hidden="false" customHeight="true" outlineLevel="0" collapsed="false">
      <c r="A43" s="39"/>
      <c r="B43" s="40" t="s">
        <v>156</v>
      </c>
      <c r="C43" s="41" t="s">
        <v>127</v>
      </c>
      <c r="D43" s="41" t="s">
        <v>108</v>
      </c>
      <c r="E43" s="42" t="n">
        <v>7932</v>
      </c>
      <c r="F43" s="42"/>
      <c r="G43" s="42"/>
      <c r="H43" s="43" t="n">
        <v>2</v>
      </c>
      <c r="I43" s="34" t="n">
        <f aca="false">E43*H43+N(F43)+N(G43)</f>
        <v>15864</v>
      </c>
      <c r="J43" s="42" t="n">
        <f aca="false">ROUND(IFERROR(ROUND(IF(OR(ISNUMBER(SEARCH("week",C43)),ISNUMBER(SEARCH("minggu",C43))),IFERROR(_xlfn.NUMBERVALUE(SUBSTITUTE(LEFT(TRIM(C43),FIND(" ",TRIM(C43)&amp;" ")-1),",","."),"."),LEFT(SUBSTITUTE(LEFT(TRIM(C43),FIND(" ",TRIM(C43)&amp;" ")-1),",","."),FIND("/",SUBSTITUTE(LEFT(TRIM(C43),FIND(" ",TRIM(C43)&amp;" ")-1),",","."))-1)/MID(SUBSTITUTE(LEFT(TRIM(C43),FIND(" ",TRIM(C43)&amp;" ")-1),",","."),FIND("/",SUBSTITUTE(LEFT(TRIM(C43),FIND(" ",TRIM(C43)&amp;" ")-1),",","."))+1,9))*12/52,IF(ISNUMBER(SEARCH("month",C43)),IFERROR(_xlfn.NUMBERVALUE(SUBSTITUTE(LEFT(TRIM(C43),FIND(" ",TRIM(C43)&amp;" ")-1),",","."),"."),LEFT(SUBSTITUTE(LEFT(TRIM(C43),FIND(" ",TRIM(C43)&amp;" ")-1),",","."),FIND("/",SUBSTITUTE(LEFT(TRIM(C43),FIND(" ",TRIM(C43)&amp;" ")-1),",","."))-1)/MID(SUBSTITUTE(LEFT(TRIM(C43),FIND(" ",TRIM(C43)&amp;" ")-1),",","."),FIND("/",SUBSTITUTE(LEFT(TRIM(C43),FIND(" ",TRIM(C43)&amp;" ")-1),",","."))+1,9)),IF(ISNUMBER(SEARCH("yea",C43)),IFERROR(_xlfn.NUMBERVALUE(SUBSTITUTE(LEFT(TRIM(C43),FIND(" ",TRIM(C43)&amp;" ")-1),",","."),"."),LEFT(SUBSTITUTE(LEFT(TRIM(C43),FIND(" ",TRIM(C43)&amp;" ")-1),",","."),FIND("/",SUBSTITUTE(LEFT(TRIM(C43),FIND(" ",TRIM(C43)&amp;" ")-1),",","."))-1)/MID(SUBSTITUTE(LEFT(TRIM(C43),FIND(" ",TRIM(C43)&amp;" ")-1),",","."),FIND("/",SUBSTITUTE(LEFT(TRIM(C43),FIND(" ",TRIM(C43)&amp;" ")-1),",","."))+1,9))*12,NA()))),0),36)*'Aturan &amp; Tarif'!$B$4,2)</f>
        <v>2044.08</v>
      </c>
      <c r="K43" s="42" t="n">
        <f aca="false">'Aturan &amp; Tarif'!$B$5</f>
        <v>2050</v>
      </c>
      <c r="L43" s="35" t="n">
        <f aca="false">I43+J43+K43</f>
        <v>19958.08</v>
      </c>
      <c r="M43" s="45" t="s">
        <v>512</v>
      </c>
    </row>
    <row r="44" customFormat="false" ht="14.25" hidden="false" customHeight="true" outlineLevel="0" collapsed="false">
      <c r="A44" s="39"/>
      <c r="B44" s="40" t="s">
        <v>337</v>
      </c>
      <c r="C44" s="41" t="s">
        <v>127</v>
      </c>
      <c r="D44" s="41" t="s">
        <v>108</v>
      </c>
      <c r="E44" s="42" t="n">
        <v>7932</v>
      </c>
      <c r="F44" s="42"/>
      <c r="G44" s="42"/>
      <c r="H44" s="43" t="n">
        <v>2</v>
      </c>
      <c r="I44" s="34" t="n">
        <f aca="false">E44*H44+N(F44)+N(G44)</f>
        <v>15864</v>
      </c>
      <c r="J44" s="42" t="n">
        <f aca="false">ROUND(IFERROR(ROUND(IF(OR(ISNUMBER(SEARCH("week",C44)),ISNUMBER(SEARCH("minggu",C44))),IFERROR(_xlfn.NUMBERVALUE(SUBSTITUTE(LEFT(TRIM(C44),FIND(" ",TRIM(C44)&amp;" ")-1),",","."),"."),LEFT(SUBSTITUTE(LEFT(TRIM(C44),FIND(" ",TRIM(C44)&amp;" ")-1),",","."),FIND("/",SUBSTITUTE(LEFT(TRIM(C44),FIND(" ",TRIM(C44)&amp;" ")-1),",","."))-1)/MID(SUBSTITUTE(LEFT(TRIM(C44),FIND(" ",TRIM(C44)&amp;" ")-1),",","."),FIND("/",SUBSTITUTE(LEFT(TRIM(C44),FIND(" ",TRIM(C44)&amp;" ")-1),",","."))+1,9))*12/52,IF(ISNUMBER(SEARCH("month",C44)),IFERROR(_xlfn.NUMBERVALUE(SUBSTITUTE(LEFT(TRIM(C44),FIND(" ",TRIM(C44)&amp;" ")-1),",","."),"."),LEFT(SUBSTITUTE(LEFT(TRIM(C44),FIND(" ",TRIM(C44)&amp;" ")-1),",","."),FIND("/",SUBSTITUTE(LEFT(TRIM(C44),FIND(" ",TRIM(C44)&amp;" ")-1),",","."))-1)/MID(SUBSTITUTE(LEFT(TRIM(C44),FIND(" ",TRIM(C44)&amp;" ")-1),",","."),FIND("/",SUBSTITUTE(LEFT(TRIM(C44),FIND(" ",TRIM(C44)&amp;" ")-1),",","."))+1,9)),IF(ISNUMBER(SEARCH("yea",C44)),IFERROR(_xlfn.NUMBERVALUE(SUBSTITUTE(LEFT(TRIM(C44),FIND(" ",TRIM(C44)&amp;" ")-1),",","."),"."),LEFT(SUBSTITUTE(LEFT(TRIM(C44),FIND(" ",TRIM(C44)&amp;" ")-1),",","."),FIND("/",SUBSTITUTE(LEFT(TRIM(C44),FIND(" ",TRIM(C44)&amp;" ")-1),",","."))-1)/MID(SUBSTITUTE(LEFT(TRIM(C44),FIND(" ",TRIM(C44)&amp;" ")-1),",","."),FIND("/",SUBSTITUTE(LEFT(TRIM(C44),FIND(" ",TRIM(C44)&amp;" ")-1),",","."))+1,9))*12,NA()))),0),36)*'Aturan &amp; Tarif'!$B$4,2)</f>
        <v>2044.08</v>
      </c>
      <c r="K44" s="42" t="n">
        <f aca="false">'Aturan &amp; Tarif'!$B$5</f>
        <v>2050</v>
      </c>
      <c r="L44" s="35" t="n">
        <f aca="false">I44+J44+K44</f>
        <v>19958.08</v>
      </c>
      <c r="M44" s="45" t="s">
        <v>512</v>
      </c>
    </row>
    <row r="45" customFormat="false" ht="14.25" hidden="false" customHeight="true" outlineLevel="0" collapsed="false">
      <c r="A45" s="39"/>
      <c r="B45" s="40" t="s">
        <v>529</v>
      </c>
      <c r="C45" s="41" t="s">
        <v>127</v>
      </c>
      <c r="D45" s="41" t="s">
        <v>108</v>
      </c>
      <c r="E45" s="42" t="n">
        <v>7932</v>
      </c>
      <c r="F45" s="42"/>
      <c r="G45" s="42"/>
      <c r="H45" s="43" t="n">
        <v>2</v>
      </c>
      <c r="I45" s="34" t="n">
        <f aca="false">E45*H45+N(F45)+N(G45)</f>
        <v>15864</v>
      </c>
      <c r="J45" s="42" t="n">
        <f aca="false">ROUND(IFERROR(ROUND(IF(OR(ISNUMBER(SEARCH("week",C45)),ISNUMBER(SEARCH("minggu",C45))),IFERROR(_xlfn.NUMBERVALUE(SUBSTITUTE(LEFT(TRIM(C45),FIND(" ",TRIM(C45)&amp;" ")-1),",","."),"."),LEFT(SUBSTITUTE(LEFT(TRIM(C45),FIND(" ",TRIM(C45)&amp;" ")-1),",","."),FIND("/",SUBSTITUTE(LEFT(TRIM(C45),FIND(" ",TRIM(C45)&amp;" ")-1),",","."))-1)/MID(SUBSTITUTE(LEFT(TRIM(C45),FIND(" ",TRIM(C45)&amp;" ")-1),",","."),FIND("/",SUBSTITUTE(LEFT(TRIM(C45),FIND(" ",TRIM(C45)&amp;" ")-1),",","."))+1,9))*12/52,IF(ISNUMBER(SEARCH("month",C45)),IFERROR(_xlfn.NUMBERVALUE(SUBSTITUTE(LEFT(TRIM(C45),FIND(" ",TRIM(C45)&amp;" ")-1),",","."),"."),LEFT(SUBSTITUTE(LEFT(TRIM(C45),FIND(" ",TRIM(C45)&amp;" ")-1),",","."),FIND("/",SUBSTITUTE(LEFT(TRIM(C45),FIND(" ",TRIM(C45)&amp;" ")-1),",","."))-1)/MID(SUBSTITUTE(LEFT(TRIM(C45),FIND(" ",TRIM(C45)&amp;" ")-1),",","."),FIND("/",SUBSTITUTE(LEFT(TRIM(C45),FIND(" ",TRIM(C45)&amp;" ")-1),",","."))+1,9)),IF(ISNUMBER(SEARCH("yea",C45)),IFERROR(_xlfn.NUMBERVALUE(SUBSTITUTE(LEFT(TRIM(C45),FIND(" ",TRIM(C45)&amp;" ")-1),",","."),"."),LEFT(SUBSTITUTE(LEFT(TRIM(C45),FIND(" ",TRIM(C45)&amp;" ")-1),",","."),FIND("/",SUBSTITUTE(LEFT(TRIM(C45),FIND(" ",TRIM(C45)&amp;" ")-1),",","."))-1)/MID(SUBSTITUTE(LEFT(TRIM(C45),FIND(" ",TRIM(C45)&amp;" ")-1),",","."),FIND("/",SUBSTITUTE(LEFT(TRIM(C45),FIND(" ",TRIM(C45)&amp;" ")-1),",","."))+1,9))*12,NA()))),0),36)*'Aturan &amp; Tarif'!$B$4,2)</f>
        <v>2044.08</v>
      </c>
      <c r="K45" s="42" t="n">
        <f aca="false">'Aturan &amp; Tarif'!$B$5</f>
        <v>2050</v>
      </c>
      <c r="L45" s="35" t="n">
        <f aca="false">I45+J45+K45</f>
        <v>19958.08</v>
      </c>
      <c r="M45" s="45" t="s">
        <v>512</v>
      </c>
    </row>
    <row r="46" customFormat="false" ht="14.25" hidden="false" customHeight="true" outlineLevel="0" collapsed="false">
      <c r="A46" s="39"/>
      <c r="B46" s="40" t="s">
        <v>395</v>
      </c>
      <c r="C46" s="41" t="s">
        <v>191</v>
      </c>
      <c r="D46" s="41" t="s">
        <v>108</v>
      </c>
      <c r="E46" s="42" t="n">
        <v>7946</v>
      </c>
      <c r="F46" s="42"/>
      <c r="G46" s="42"/>
      <c r="H46" s="43" t="n">
        <v>2</v>
      </c>
      <c r="I46" s="34" t="n">
        <f aca="false">E46*H46+N(F46)+N(G46)</f>
        <v>15892</v>
      </c>
      <c r="J46" s="42" t="n">
        <f aca="false">ROUND(IFERROR(ROUND(IF(OR(ISNUMBER(SEARCH("week",C46)),ISNUMBER(SEARCH("minggu",C46))),IFERROR(_xlfn.NUMBERVALUE(SUBSTITUTE(LEFT(TRIM(C46),FIND(" ",TRIM(C46)&amp;" ")-1),",","."),"."),LEFT(SUBSTITUTE(LEFT(TRIM(C46),FIND(" ",TRIM(C46)&amp;" ")-1),",","."),FIND("/",SUBSTITUTE(LEFT(TRIM(C46),FIND(" ",TRIM(C46)&amp;" ")-1),",","."))-1)/MID(SUBSTITUTE(LEFT(TRIM(C46),FIND(" ",TRIM(C46)&amp;" ")-1),",","."),FIND("/",SUBSTITUTE(LEFT(TRIM(C46),FIND(" ",TRIM(C46)&amp;" ")-1),",","."))+1,9))*12/52,IF(ISNUMBER(SEARCH("month",C46)),IFERROR(_xlfn.NUMBERVALUE(SUBSTITUTE(LEFT(TRIM(C46),FIND(" ",TRIM(C46)&amp;" ")-1),",","."),"."),LEFT(SUBSTITUTE(LEFT(TRIM(C46),FIND(" ",TRIM(C46)&amp;" ")-1),",","."),FIND("/",SUBSTITUTE(LEFT(TRIM(C46),FIND(" ",TRIM(C46)&amp;" ")-1),",","."))-1)/MID(SUBSTITUTE(LEFT(TRIM(C46),FIND(" ",TRIM(C46)&amp;" ")-1),",","."),FIND("/",SUBSTITUTE(LEFT(TRIM(C46),FIND(" ",TRIM(C46)&amp;" ")-1),",","."))+1,9)),IF(ISNUMBER(SEARCH("yea",C46)),IFERROR(_xlfn.NUMBERVALUE(SUBSTITUTE(LEFT(TRIM(C46),FIND(" ",TRIM(C46)&amp;" ")-1),",","."),"."),LEFT(SUBSTITUTE(LEFT(TRIM(C46),FIND(" ",TRIM(C46)&amp;" ")-1),",","."),FIND("/",SUBSTITUTE(LEFT(TRIM(C46),FIND(" ",TRIM(C46)&amp;" ")-1),",","."))-1)/MID(SUBSTITUTE(LEFT(TRIM(C46),FIND(" ",TRIM(C46)&amp;" ")-1),",","."),FIND("/",SUBSTITUTE(LEFT(TRIM(C46),FIND(" ",TRIM(C46)&amp;" ")-1),",","."))+1,9))*12,NA()))),0),48)*'Aturan &amp; Tarif'!$B$4,2)</f>
        <v>2725.44</v>
      </c>
      <c r="K46" s="42" t="n">
        <f aca="false">'Aturan &amp; Tarif'!$B$5</f>
        <v>2050</v>
      </c>
      <c r="L46" s="35" t="n">
        <f aca="false">I46+J46+K46</f>
        <v>20667.44</v>
      </c>
      <c r="M46" s="45" t="s">
        <v>512</v>
      </c>
    </row>
    <row r="47" customFormat="false" ht="14.25" hidden="false" customHeight="true" outlineLevel="0" collapsed="false">
      <c r="A47" s="39"/>
      <c r="B47" s="40" t="s">
        <v>530</v>
      </c>
      <c r="C47" s="41" t="s">
        <v>130</v>
      </c>
      <c r="D47" s="41" t="s">
        <v>108</v>
      </c>
      <c r="E47" s="42" t="n">
        <v>7600</v>
      </c>
      <c r="F47" s="42"/>
      <c r="G47" s="42"/>
      <c r="H47" s="43" t="n">
        <v>2</v>
      </c>
      <c r="I47" s="34" t="n">
        <f aca="false">E47*H47+N(F47)+N(G47)</f>
        <v>15200</v>
      </c>
      <c r="J47" s="42" t="n">
        <f aca="false">ROUND(IFERROR(ROUND(IF(OR(ISNUMBER(SEARCH("week",C47)),ISNUMBER(SEARCH("minggu",C47))),IFERROR(_xlfn.NUMBERVALUE(SUBSTITUTE(LEFT(TRIM(C47),FIND(" ",TRIM(C47)&amp;" ")-1),",","."),"."),LEFT(SUBSTITUTE(LEFT(TRIM(C47),FIND(" ",TRIM(C47)&amp;" ")-1),",","."),FIND("/",SUBSTITUTE(LEFT(TRIM(C47),FIND(" ",TRIM(C47)&amp;" ")-1),",","."))-1)/MID(SUBSTITUTE(LEFT(TRIM(C47),FIND(" ",TRIM(C47)&amp;" ")-1),",","."),FIND("/",SUBSTITUTE(LEFT(TRIM(C47),FIND(" ",TRIM(C47)&amp;" ")-1),",","."))+1,9))*12/52,IF(ISNUMBER(SEARCH("month",C47)),IFERROR(_xlfn.NUMBERVALUE(SUBSTITUTE(LEFT(TRIM(C47),FIND(" ",TRIM(C47)&amp;" ")-1),",","."),"."),LEFT(SUBSTITUTE(LEFT(TRIM(C47),FIND(" ",TRIM(C47)&amp;" ")-1),",","."),FIND("/",SUBSTITUTE(LEFT(TRIM(C47),FIND(" ",TRIM(C47)&amp;" ")-1),",","."))-1)/MID(SUBSTITUTE(LEFT(TRIM(C47),FIND(" ",TRIM(C47)&amp;" ")-1),",","."),FIND("/",SUBSTITUTE(LEFT(TRIM(C47),FIND(" ",TRIM(C47)&amp;" ")-1),",","."))+1,9)),IF(ISNUMBER(SEARCH("yea",C47)),IFERROR(_xlfn.NUMBERVALUE(SUBSTITUTE(LEFT(TRIM(C47),FIND(" ",TRIM(C47)&amp;" ")-1),",","."),"."),LEFT(SUBSTITUTE(LEFT(TRIM(C47),FIND(" ",TRIM(C47)&amp;" ")-1),",","."),FIND("/",SUBSTITUTE(LEFT(TRIM(C47),FIND(" ",TRIM(C47)&amp;" ")-1),",","."))-1)/MID(SUBSTITUTE(LEFT(TRIM(C47),FIND(" ",TRIM(C47)&amp;" ")-1),",","."),FIND("/",SUBSTITUTE(LEFT(TRIM(C47),FIND(" ",TRIM(C47)&amp;" ")-1),",","."))+1,9))*12,NA()))),0),12)*'Aturan &amp; Tarif'!$B$4,2)</f>
        <v>681.36</v>
      </c>
      <c r="K47" s="42" t="n">
        <f aca="false">'Aturan &amp; Tarif'!$B$5</f>
        <v>2050</v>
      </c>
      <c r="L47" s="35" t="n">
        <f aca="false">I47+J47+K47</f>
        <v>17931.36</v>
      </c>
      <c r="M47" s="45" t="s">
        <v>512</v>
      </c>
    </row>
    <row r="48" customFormat="false" ht="25.5" hidden="false" customHeight="true" outlineLevel="0" collapsed="false">
      <c r="A48" s="39"/>
      <c r="B48" s="40" t="s">
        <v>531</v>
      </c>
      <c r="C48" s="41" t="s">
        <v>127</v>
      </c>
      <c r="D48" s="41" t="s">
        <v>108</v>
      </c>
      <c r="E48" s="42" t="n">
        <v>7450</v>
      </c>
      <c r="F48" s="42"/>
      <c r="G48" s="42"/>
      <c r="H48" s="43" t="n">
        <v>2</v>
      </c>
      <c r="I48" s="34" t="n">
        <f aca="false">E48*H48+N(F48)+N(G48)</f>
        <v>14900</v>
      </c>
      <c r="J48" s="42" t="n">
        <f aca="false">ROUND(IFERROR(ROUND(IF(OR(ISNUMBER(SEARCH("week",C48)),ISNUMBER(SEARCH("minggu",C48))),IFERROR(_xlfn.NUMBERVALUE(SUBSTITUTE(LEFT(TRIM(C48),FIND(" ",TRIM(C48)&amp;" ")-1),",","."),"."),LEFT(SUBSTITUTE(LEFT(TRIM(C48),FIND(" ",TRIM(C48)&amp;" ")-1),",","."),FIND("/",SUBSTITUTE(LEFT(TRIM(C48),FIND(" ",TRIM(C48)&amp;" ")-1),",","."))-1)/MID(SUBSTITUTE(LEFT(TRIM(C48),FIND(" ",TRIM(C48)&amp;" ")-1),",","."),FIND("/",SUBSTITUTE(LEFT(TRIM(C48),FIND(" ",TRIM(C48)&amp;" ")-1),",","."))+1,9))*12/52,IF(ISNUMBER(SEARCH("month",C48)),IFERROR(_xlfn.NUMBERVALUE(SUBSTITUTE(LEFT(TRIM(C48),FIND(" ",TRIM(C48)&amp;" ")-1),",","."),"."),LEFT(SUBSTITUTE(LEFT(TRIM(C48),FIND(" ",TRIM(C48)&amp;" ")-1),",","."),FIND("/",SUBSTITUTE(LEFT(TRIM(C48),FIND(" ",TRIM(C48)&amp;" ")-1),",","."))-1)/MID(SUBSTITUTE(LEFT(TRIM(C48),FIND(" ",TRIM(C48)&amp;" ")-1),",","."),FIND("/",SUBSTITUTE(LEFT(TRIM(C48),FIND(" ",TRIM(C48)&amp;" ")-1),",","."))+1,9)),IF(ISNUMBER(SEARCH("yea",C48)),IFERROR(_xlfn.NUMBERVALUE(SUBSTITUTE(LEFT(TRIM(C48),FIND(" ",TRIM(C48)&amp;" ")-1),",","."),"."),LEFT(SUBSTITUTE(LEFT(TRIM(C48),FIND(" ",TRIM(C48)&amp;" ")-1),",","."),FIND("/",SUBSTITUTE(LEFT(TRIM(C48),FIND(" ",TRIM(C48)&amp;" ")-1),",","."))-1)/MID(SUBSTITUTE(LEFT(TRIM(C48),FIND(" ",TRIM(C48)&amp;" ")-1),",","."),FIND("/",SUBSTITUTE(LEFT(TRIM(C48),FIND(" ",TRIM(C48)&amp;" ")-1),",","."))+1,9))*12,NA()))),0),36)*'Aturan &amp; Tarif'!$B$4,2)</f>
        <v>2044.08</v>
      </c>
      <c r="K48" s="42" t="n">
        <f aca="false">'Aturan &amp; Tarif'!$B$5</f>
        <v>2050</v>
      </c>
      <c r="L48" s="35" t="n">
        <f aca="false">I48+J48+K48</f>
        <v>18994.08</v>
      </c>
      <c r="M48" s="45" t="s">
        <v>512</v>
      </c>
    </row>
    <row r="49" customFormat="false" ht="25.5" hidden="false" customHeight="true" outlineLevel="0" collapsed="false">
      <c r="A49" s="39"/>
      <c r="B49" s="40" t="s">
        <v>532</v>
      </c>
      <c r="C49" s="41" t="s">
        <v>130</v>
      </c>
      <c r="D49" s="41" t="s">
        <v>108</v>
      </c>
      <c r="E49" s="42" t="n">
        <v>9120</v>
      </c>
      <c r="F49" s="42"/>
      <c r="G49" s="42"/>
      <c r="H49" s="43" t="n">
        <v>2</v>
      </c>
      <c r="I49" s="34" t="n">
        <f aca="false">E49*H49+N(F49)+N(G49)</f>
        <v>18240</v>
      </c>
      <c r="J49" s="42" t="n">
        <f aca="false">ROUND(IFERROR(ROUND(IF(OR(ISNUMBER(SEARCH("week",C49)),ISNUMBER(SEARCH("minggu",C49))),IFERROR(_xlfn.NUMBERVALUE(SUBSTITUTE(LEFT(TRIM(C49),FIND(" ",TRIM(C49)&amp;" ")-1),",","."),"."),LEFT(SUBSTITUTE(LEFT(TRIM(C49),FIND(" ",TRIM(C49)&amp;" ")-1),",","."),FIND("/",SUBSTITUTE(LEFT(TRIM(C49),FIND(" ",TRIM(C49)&amp;" ")-1),",","."))-1)/MID(SUBSTITUTE(LEFT(TRIM(C49),FIND(" ",TRIM(C49)&amp;" ")-1),",","."),FIND("/",SUBSTITUTE(LEFT(TRIM(C49),FIND(" ",TRIM(C49)&amp;" ")-1),",","."))+1,9))*12/52,IF(ISNUMBER(SEARCH("month",C49)),IFERROR(_xlfn.NUMBERVALUE(SUBSTITUTE(LEFT(TRIM(C49),FIND(" ",TRIM(C49)&amp;" ")-1),",","."),"."),LEFT(SUBSTITUTE(LEFT(TRIM(C49),FIND(" ",TRIM(C49)&amp;" ")-1),",","."),FIND("/",SUBSTITUTE(LEFT(TRIM(C49),FIND(" ",TRIM(C49)&amp;" ")-1),",","."))-1)/MID(SUBSTITUTE(LEFT(TRIM(C49),FIND(" ",TRIM(C49)&amp;" ")-1),",","."),FIND("/",SUBSTITUTE(LEFT(TRIM(C49),FIND(" ",TRIM(C49)&amp;" ")-1),",","."))+1,9)),IF(ISNUMBER(SEARCH("yea",C49)),IFERROR(_xlfn.NUMBERVALUE(SUBSTITUTE(LEFT(TRIM(C49),FIND(" ",TRIM(C49)&amp;" ")-1),",","."),"."),LEFT(SUBSTITUTE(LEFT(TRIM(C49),FIND(" ",TRIM(C49)&amp;" ")-1),",","."),FIND("/",SUBSTITUTE(LEFT(TRIM(C49),FIND(" ",TRIM(C49)&amp;" ")-1),",","."))-1)/MID(SUBSTITUTE(LEFT(TRIM(C49),FIND(" ",TRIM(C49)&amp;" ")-1),",","."),FIND("/",SUBSTITUTE(LEFT(TRIM(C49),FIND(" ",TRIM(C49)&amp;" ")-1),",","."))+1,9))*12,NA()))),0),12)*'Aturan &amp; Tarif'!$B$4,2)</f>
        <v>681.36</v>
      </c>
      <c r="K49" s="42" t="n">
        <f aca="false">'Aturan &amp; Tarif'!$B$5</f>
        <v>2050</v>
      </c>
      <c r="L49" s="35" t="n">
        <f aca="false">I49+J49+K49</f>
        <v>20971.36</v>
      </c>
      <c r="M49" s="45" t="s">
        <v>512</v>
      </c>
    </row>
    <row r="50" customFormat="false" ht="60" hidden="false" customHeight="true" outlineLevel="0" collapsed="false">
      <c r="A50" s="39"/>
      <c r="B50" s="40" t="s">
        <v>533</v>
      </c>
      <c r="C50" s="41" t="s">
        <v>107</v>
      </c>
      <c r="D50" s="41" t="s">
        <v>108</v>
      </c>
      <c r="E50" s="42" t="n">
        <v>9120</v>
      </c>
      <c r="F50" s="42"/>
      <c r="G50" s="42"/>
      <c r="H50" s="43" t="n">
        <v>2</v>
      </c>
      <c r="I50" s="34" t="n">
        <f aca="false">E50*H50+N(F50)+N(G50)</f>
        <v>18240</v>
      </c>
      <c r="J50" s="42" t="n">
        <f aca="false">ROUND(IFERROR(ROUND(IF(OR(ISNUMBER(SEARCH("week",C50)),ISNUMBER(SEARCH("minggu",C50))),IFERROR(_xlfn.NUMBERVALUE(SUBSTITUTE(LEFT(TRIM(C50),FIND(" ",TRIM(C50)&amp;" ")-1),",","."),"."),LEFT(SUBSTITUTE(LEFT(TRIM(C50),FIND(" ",TRIM(C50)&amp;" ")-1),",","."),FIND("/",SUBSTITUTE(LEFT(TRIM(C50),FIND(" ",TRIM(C50)&amp;" ")-1),",","."))-1)/MID(SUBSTITUTE(LEFT(TRIM(C50),FIND(" ",TRIM(C50)&amp;" ")-1),",","."),FIND("/",SUBSTITUTE(LEFT(TRIM(C50),FIND(" ",TRIM(C50)&amp;" ")-1),",","."))+1,9))*12/52,IF(ISNUMBER(SEARCH("month",C50)),IFERROR(_xlfn.NUMBERVALUE(SUBSTITUTE(LEFT(TRIM(C50),FIND(" ",TRIM(C50)&amp;" ")-1),",","."),"."),LEFT(SUBSTITUTE(LEFT(TRIM(C50),FIND(" ",TRIM(C50)&amp;" ")-1),",","."),FIND("/",SUBSTITUTE(LEFT(TRIM(C50),FIND(" ",TRIM(C50)&amp;" ")-1),",","."))-1)/MID(SUBSTITUTE(LEFT(TRIM(C50),FIND(" ",TRIM(C50)&amp;" ")-1),",","."),FIND("/",SUBSTITUTE(LEFT(TRIM(C50),FIND(" ",TRIM(C50)&amp;" ")-1),",","."))+1,9)),IF(ISNUMBER(SEARCH("yea",C50)),IFERROR(_xlfn.NUMBERVALUE(SUBSTITUTE(LEFT(TRIM(C50),FIND(" ",TRIM(C50)&amp;" ")-1),",","."),"."),LEFT(SUBSTITUTE(LEFT(TRIM(C50),FIND(" ",TRIM(C50)&amp;" ")-1),",","."),FIND("/",SUBSTITUTE(LEFT(TRIM(C50),FIND(" ",TRIM(C50)&amp;" ")-1),",","."))-1)/MID(SUBSTITUTE(LEFT(TRIM(C50),FIND(" ",TRIM(C50)&amp;" ")-1),",","."),FIND("/",SUBSTITUTE(LEFT(TRIM(C50),FIND(" ",TRIM(C50)&amp;" ")-1),",","."))+1,9))*12,NA()))),0),24)*'Aturan &amp; Tarif'!$B$4,2)</f>
        <v>1362.72</v>
      </c>
      <c r="K50" s="42" t="n">
        <f aca="false">'Aturan &amp; Tarif'!$B$5</f>
        <v>2050</v>
      </c>
      <c r="L50" s="35" t="n">
        <f aca="false">I50+J50+K50</f>
        <v>21652.72</v>
      </c>
      <c r="M50" s="44" t="s">
        <v>534</v>
      </c>
    </row>
    <row r="51" customFormat="false" ht="14.25" hidden="false" customHeight="true" outlineLevel="0" collapsed="false">
      <c r="A51" s="39"/>
      <c r="B51" s="40" t="s">
        <v>289</v>
      </c>
      <c r="C51" s="41" t="s">
        <v>107</v>
      </c>
      <c r="D51" s="41" t="s">
        <v>108</v>
      </c>
      <c r="E51" s="42" t="n">
        <v>9120</v>
      </c>
      <c r="F51" s="42"/>
      <c r="G51" s="42"/>
      <c r="H51" s="43" t="n">
        <v>2</v>
      </c>
      <c r="I51" s="34" t="n">
        <f aca="false">E51*H51+N(F51)+N(G51)</f>
        <v>18240</v>
      </c>
      <c r="J51" s="42" t="n">
        <f aca="false">ROUND(IFERROR(ROUND(IF(OR(ISNUMBER(SEARCH("week",C51)),ISNUMBER(SEARCH("minggu",C51))),IFERROR(_xlfn.NUMBERVALUE(SUBSTITUTE(LEFT(TRIM(C51),FIND(" ",TRIM(C51)&amp;" ")-1),",","."),"."),LEFT(SUBSTITUTE(LEFT(TRIM(C51),FIND(" ",TRIM(C51)&amp;" ")-1),",","."),FIND("/",SUBSTITUTE(LEFT(TRIM(C51),FIND(" ",TRIM(C51)&amp;" ")-1),",","."))-1)/MID(SUBSTITUTE(LEFT(TRIM(C51),FIND(" ",TRIM(C51)&amp;" ")-1),",","."),FIND("/",SUBSTITUTE(LEFT(TRIM(C51),FIND(" ",TRIM(C51)&amp;" ")-1),",","."))+1,9))*12/52,IF(ISNUMBER(SEARCH("month",C51)),IFERROR(_xlfn.NUMBERVALUE(SUBSTITUTE(LEFT(TRIM(C51),FIND(" ",TRIM(C51)&amp;" ")-1),",","."),"."),LEFT(SUBSTITUTE(LEFT(TRIM(C51),FIND(" ",TRIM(C51)&amp;" ")-1),",","."),FIND("/",SUBSTITUTE(LEFT(TRIM(C51),FIND(" ",TRIM(C51)&amp;" ")-1),",","."))-1)/MID(SUBSTITUTE(LEFT(TRIM(C51),FIND(" ",TRIM(C51)&amp;" ")-1),",","."),FIND("/",SUBSTITUTE(LEFT(TRIM(C51),FIND(" ",TRIM(C51)&amp;" ")-1),",","."))+1,9)),IF(ISNUMBER(SEARCH("yea",C51)),IFERROR(_xlfn.NUMBERVALUE(SUBSTITUTE(LEFT(TRIM(C51),FIND(" ",TRIM(C51)&amp;" ")-1),",","."),"."),LEFT(SUBSTITUTE(LEFT(TRIM(C51),FIND(" ",TRIM(C51)&amp;" ")-1),",","."),FIND("/",SUBSTITUTE(LEFT(TRIM(C51),FIND(" ",TRIM(C51)&amp;" ")-1),",","."))-1)/MID(SUBSTITUTE(LEFT(TRIM(C51),FIND(" ",TRIM(C51)&amp;" ")-1),",","."),FIND("/",SUBSTITUTE(LEFT(TRIM(C51),FIND(" ",TRIM(C51)&amp;" ")-1),",","."))+1,9))*12,NA()))),0),24)*'Aturan &amp; Tarif'!$B$4,2)</f>
        <v>1362.72</v>
      </c>
      <c r="K51" s="42" t="n">
        <f aca="false">'Aturan &amp; Tarif'!$B$5</f>
        <v>2050</v>
      </c>
      <c r="L51" s="35" t="n">
        <f aca="false">I51+J51+K51</f>
        <v>21652.72</v>
      </c>
      <c r="M51" s="45" t="s">
        <v>512</v>
      </c>
    </row>
    <row r="52" customFormat="false" ht="14.25" hidden="false" customHeight="true" outlineLevel="0" collapsed="false">
      <c r="A52" s="39"/>
      <c r="B52" s="40" t="s">
        <v>535</v>
      </c>
      <c r="C52" s="41" t="s">
        <v>191</v>
      </c>
      <c r="D52" s="41" t="s">
        <v>108</v>
      </c>
      <c r="E52" s="42" t="n">
        <v>7858</v>
      </c>
      <c r="F52" s="42"/>
      <c r="G52" s="42"/>
      <c r="H52" s="43" t="n">
        <v>2</v>
      </c>
      <c r="I52" s="34" t="n">
        <f aca="false">E52*H52+N(F52)+N(G52)</f>
        <v>15716</v>
      </c>
      <c r="J52" s="42" t="n">
        <f aca="false">ROUND(IFERROR(ROUND(IF(OR(ISNUMBER(SEARCH("week",C52)),ISNUMBER(SEARCH("minggu",C52))),IFERROR(_xlfn.NUMBERVALUE(SUBSTITUTE(LEFT(TRIM(C52),FIND(" ",TRIM(C52)&amp;" ")-1),",","."),"."),LEFT(SUBSTITUTE(LEFT(TRIM(C52),FIND(" ",TRIM(C52)&amp;" ")-1),",","."),FIND("/",SUBSTITUTE(LEFT(TRIM(C52),FIND(" ",TRIM(C52)&amp;" ")-1),",","."))-1)/MID(SUBSTITUTE(LEFT(TRIM(C52),FIND(" ",TRIM(C52)&amp;" ")-1),",","."),FIND("/",SUBSTITUTE(LEFT(TRIM(C52),FIND(" ",TRIM(C52)&amp;" ")-1),",","."))+1,9))*12/52,IF(ISNUMBER(SEARCH("month",C52)),IFERROR(_xlfn.NUMBERVALUE(SUBSTITUTE(LEFT(TRIM(C52),FIND(" ",TRIM(C52)&amp;" ")-1),",","."),"."),LEFT(SUBSTITUTE(LEFT(TRIM(C52),FIND(" ",TRIM(C52)&amp;" ")-1),",","."),FIND("/",SUBSTITUTE(LEFT(TRIM(C52),FIND(" ",TRIM(C52)&amp;" ")-1),",","."))-1)/MID(SUBSTITUTE(LEFT(TRIM(C52),FIND(" ",TRIM(C52)&amp;" ")-1),",","."),FIND("/",SUBSTITUTE(LEFT(TRIM(C52),FIND(" ",TRIM(C52)&amp;" ")-1),",","."))+1,9)),IF(ISNUMBER(SEARCH("yea",C52)),IFERROR(_xlfn.NUMBERVALUE(SUBSTITUTE(LEFT(TRIM(C52),FIND(" ",TRIM(C52)&amp;" ")-1),",","."),"."),LEFT(SUBSTITUTE(LEFT(TRIM(C52),FIND(" ",TRIM(C52)&amp;" ")-1),",","."),FIND("/",SUBSTITUTE(LEFT(TRIM(C52),FIND(" ",TRIM(C52)&amp;" ")-1),",","."))-1)/MID(SUBSTITUTE(LEFT(TRIM(C52),FIND(" ",TRIM(C52)&amp;" ")-1),",","."),FIND("/",SUBSTITUTE(LEFT(TRIM(C52),FIND(" ",TRIM(C52)&amp;" ")-1),",","."))+1,9))*12,NA()))),0),48)*'Aturan &amp; Tarif'!$B$4,2)</f>
        <v>2725.44</v>
      </c>
      <c r="K52" s="42" t="n">
        <f aca="false">'Aturan &amp; Tarif'!$B$5</f>
        <v>2050</v>
      </c>
      <c r="L52" s="35" t="n">
        <f aca="false">I52+J52+K52</f>
        <v>20491.44</v>
      </c>
      <c r="M52" s="45" t="s">
        <v>512</v>
      </c>
    </row>
    <row r="53" customFormat="false" ht="25.5" hidden="false" customHeight="true" outlineLevel="0" collapsed="false">
      <c r="A53" s="39"/>
      <c r="B53" s="40" t="s">
        <v>536</v>
      </c>
      <c r="C53" s="41" t="s">
        <v>191</v>
      </c>
      <c r="D53" s="41" t="s">
        <v>108</v>
      </c>
      <c r="E53" s="42" t="n">
        <v>7858</v>
      </c>
      <c r="F53" s="42"/>
      <c r="G53" s="42"/>
      <c r="H53" s="43" t="n">
        <v>2</v>
      </c>
      <c r="I53" s="34" t="n">
        <f aca="false">E53*H53+N(F53)+N(G53)</f>
        <v>15716</v>
      </c>
      <c r="J53" s="42" t="n">
        <f aca="false">ROUND(IFERROR(ROUND(IF(OR(ISNUMBER(SEARCH("week",C53)),ISNUMBER(SEARCH("minggu",C53))),IFERROR(_xlfn.NUMBERVALUE(SUBSTITUTE(LEFT(TRIM(C53),FIND(" ",TRIM(C53)&amp;" ")-1),",","."),"."),LEFT(SUBSTITUTE(LEFT(TRIM(C53),FIND(" ",TRIM(C53)&amp;" ")-1),",","."),FIND("/",SUBSTITUTE(LEFT(TRIM(C53),FIND(" ",TRIM(C53)&amp;" ")-1),",","."))-1)/MID(SUBSTITUTE(LEFT(TRIM(C53),FIND(" ",TRIM(C53)&amp;" ")-1),",","."),FIND("/",SUBSTITUTE(LEFT(TRIM(C53),FIND(" ",TRIM(C53)&amp;" ")-1),",","."))+1,9))*12/52,IF(ISNUMBER(SEARCH("month",C53)),IFERROR(_xlfn.NUMBERVALUE(SUBSTITUTE(LEFT(TRIM(C53),FIND(" ",TRIM(C53)&amp;" ")-1),",","."),"."),LEFT(SUBSTITUTE(LEFT(TRIM(C53),FIND(" ",TRIM(C53)&amp;" ")-1),",","."),FIND("/",SUBSTITUTE(LEFT(TRIM(C53),FIND(" ",TRIM(C53)&amp;" ")-1),",","."))-1)/MID(SUBSTITUTE(LEFT(TRIM(C53),FIND(" ",TRIM(C53)&amp;" ")-1),",","."),FIND("/",SUBSTITUTE(LEFT(TRIM(C53),FIND(" ",TRIM(C53)&amp;" ")-1),",","."))+1,9)),IF(ISNUMBER(SEARCH("yea",C53)),IFERROR(_xlfn.NUMBERVALUE(SUBSTITUTE(LEFT(TRIM(C53),FIND(" ",TRIM(C53)&amp;" ")-1),",","."),"."),LEFT(SUBSTITUTE(LEFT(TRIM(C53),FIND(" ",TRIM(C53)&amp;" ")-1),",","."),FIND("/",SUBSTITUTE(LEFT(TRIM(C53),FIND(" ",TRIM(C53)&amp;" ")-1),",","."))-1)/MID(SUBSTITUTE(LEFT(TRIM(C53),FIND(" ",TRIM(C53)&amp;" ")-1),",","."),FIND("/",SUBSTITUTE(LEFT(TRIM(C53),FIND(" ",TRIM(C53)&amp;" ")-1),",","."))+1,9))*12,NA()))),0),48)*'Aturan &amp; Tarif'!$B$4,2)</f>
        <v>2725.44</v>
      </c>
      <c r="K53" s="42" t="n">
        <f aca="false">'Aturan &amp; Tarif'!$B$5</f>
        <v>2050</v>
      </c>
      <c r="L53" s="35" t="n">
        <f aca="false">I53+J53+K53</f>
        <v>20491.44</v>
      </c>
      <c r="M53" s="45" t="s">
        <v>512</v>
      </c>
    </row>
    <row r="54" customFormat="false" ht="14.25" hidden="false" customHeight="true" outlineLevel="0" collapsed="false">
      <c r="A54" s="39"/>
      <c r="B54" s="40" t="s">
        <v>537</v>
      </c>
      <c r="C54" s="41" t="s">
        <v>191</v>
      </c>
      <c r="D54" s="41" t="s">
        <v>108</v>
      </c>
      <c r="E54" s="42" t="n">
        <v>7858</v>
      </c>
      <c r="F54" s="42"/>
      <c r="G54" s="42"/>
      <c r="H54" s="43" t="n">
        <v>2</v>
      </c>
      <c r="I54" s="34" t="n">
        <f aca="false">E54*H54+N(F54)+N(G54)</f>
        <v>15716</v>
      </c>
      <c r="J54" s="42" t="n">
        <f aca="false">ROUND(IFERROR(ROUND(IF(OR(ISNUMBER(SEARCH("week",C54)),ISNUMBER(SEARCH("minggu",C54))),IFERROR(_xlfn.NUMBERVALUE(SUBSTITUTE(LEFT(TRIM(C54),FIND(" ",TRIM(C54)&amp;" ")-1),",","."),"."),LEFT(SUBSTITUTE(LEFT(TRIM(C54),FIND(" ",TRIM(C54)&amp;" ")-1),",","."),FIND("/",SUBSTITUTE(LEFT(TRIM(C54),FIND(" ",TRIM(C54)&amp;" ")-1),",","."))-1)/MID(SUBSTITUTE(LEFT(TRIM(C54),FIND(" ",TRIM(C54)&amp;" ")-1),",","."),FIND("/",SUBSTITUTE(LEFT(TRIM(C54),FIND(" ",TRIM(C54)&amp;" ")-1),",","."))+1,9))*12/52,IF(ISNUMBER(SEARCH("month",C54)),IFERROR(_xlfn.NUMBERVALUE(SUBSTITUTE(LEFT(TRIM(C54),FIND(" ",TRIM(C54)&amp;" ")-1),",","."),"."),LEFT(SUBSTITUTE(LEFT(TRIM(C54),FIND(" ",TRIM(C54)&amp;" ")-1),",","."),FIND("/",SUBSTITUTE(LEFT(TRIM(C54),FIND(" ",TRIM(C54)&amp;" ")-1),",","."))-1)/MID(SUBSTITUTE(LEFT(TRIM(C54),FIND(" ",TRIM(C54)&amp;" ")-1),",","."),FIND("/",SUBSTITUTE(LEFT(TRIM(C54),FIND(" ",TRIM(C54)&amp;" ")-1),",","."))+1,9)),IF(ISNUMBER(SEARCH("yea",C54)),IFERROR(_xlfn.NUMBERVALUE(SUBSTITUTE(LEFT(TRIM(C54),FIND(" ",TRIM(C54)&amp;" ")-1),",","."),"."),LEFT(SUBSTITUTE(LEFT(TRIM(C54),FIND(" ",TRIM(C54)&amp;" ")-1),",","."),FIND("/",SUBSTITUTE(LEFT(TRIM(C54),FIND(" ",TRIM(C54)&amp;" ")-1),",","."))-1)/MID(SUBSTITUTE(LEFT(TRIM(C54),FIND(" ",TRIM(C54)&amp;" ")-1),",","."),FIND("/",SUBSTITUTE(LEFT(TRIM(C54),FIND(" ",TRIM(C54)&amp;" ")-1),",","."))+1,9))*12,NA()))),0),48)*'Aturan &amp; Tarif'!$B$4,2)</f>
        <v>2725.44</v>
      </c>
      <c r="K54" s="42" t="n">
        <f aca="false">'Aturan &amp; Tarif'!$B$5</f>
        <v>2050</v>
      </c>
      <c r="L54" s="35" t="n">
        <f aca="false">I54+J54+K54</f>
        <v>20491.44</v>
      </c>
      <c r="M54" s="45" t="s">
        <v>512</v>
      </c>
    </row>
    <row r="55" customFormat="false" ht="14.25" hidden="false" customHeight="true" outlineLevel="0" collapsed="false">
      <c r="A55" s="39"/>
      <c r="B55" s="40" t="s">
        <v>538</v>
      </c>
      <c r="C55" s="41" t="s">
        <v>191</v>
      </c>
      <c r="D55" s="41" t="s">
        <v>108</v>
      </c>
      <c r="E55" s="42" t="n">
        <v>7858</v>
      </c>
      <c r="F55" s="42"/>
      <c r="G55" s="42"/>
      <c r="H55" s="43" t="n">
        <v>2</v>
      </c>
      <c r="I55" s="34" t="n">
        <f aca="false">E55*H55+N(F55)+N(G55)</f>
        <v>15716</v>
      </c>
      <c r="J55" s="42" t="n">
        <f aca="false">ROUND(IFERROR(ROUND(IF(OR(ISNUMBER(SEARCH("week",C55)),ISNUMBER(SEARCH("minggu",C55))),IFERROR(_xlfn.NUMBERVALUE(SUBSTITUTE(LEFT(TRIM(C55),FIND(" ",TRIM(C55)&amp;" ")-1),",","."),"."),LEFT(SUBSTITUTE(LEFT(TRIM(C55),FIND(" ",TRIM(C55)&amp;" ")-1),",","."),FIND("/",SUBSTITUTE(LEFT(TRIM(C55),FIND(" ",TRIM(C55)&amp;" ")-1),",","."))-1)/MID(SUBSTITUTE(LEFT(TRIM(C55),FIND(" ",TRIM(C55)&amp;" ")-1),",","."),FIND("/",SUBSTITUTE(LEFT(TRIM(C55),FIND(" ",TRIM(C55)&amp;" ")-1),",","."))+1,9))*12/52,IF(ISNUMBER(SEARCH("month",C55)),IFERROR(_xlfn.NUMBERVALUE(SUBSTITUTE(LEFT(TRIM(C55),FIND(" ",TRIM(C55)&amp;" ")-1),",","."),"."),LEFT(SUBSTITUTE(LEFT(TRIM(C55),FIND(" ",TRIM(C55)&amp;" ")-1),",","."),FIND("/",SUBSTITUTE(LEFT(TRIM(C55),FIND(" ",TRIM(C55)&amp;" ")-1),",","."))-1)/MID(SUBSTITUTE(LEFT(TRIM(C55),FIND(" ",TRIM(C55)&amp;" ")-1),",","."),FIND("/",SUBSTITUTE(LEFT(TRIM(C55),FIND(" ",TRIM(C55)&amp;" ")-1),",","."))+1,9)),IF(ISNUMBER(SEARCH("yea",C55)),IFERROR(_xlfn.NUMBERVALUE(SUBSTITUTE(LEFT(TRIM(C55),FIND(" ",TRIM(C55)&amp;" ")-1),",","."),"."),LEFT(SUBSTITUTE(LEFT(TRIM(C55),FIND(" ",TRIM(C55)&amp;" ")-1),",","."),FIND("/",SUBSTITUTE(LEFT(TRIM(C55),FIND(" ",TRIM(C55)&amp;" ")-1),",","."))-1)/MID(SUBSTITUTE(LEFT(TRIM(C55),FIND(" ",TRIM(C55)&amp;" ")-1),",","."),FIND("/",SUBSTITUTE(LEFT(TRIM(C55),FIND(" ",TRIM(C55)&amp;" ")-1),",","."))+1,9))*12,NA()))),0),48)*'Aturan &amp; Tarif'!$B$4,2)</f>
        <v>2725.44</v>
      </c>
      <c r="K55" s="42" t="n">
        <f aca="false">'Aturan &amp; Tarif'!$B$5</f>
        <v>2050</v>
      </c>
      <c r="L55" s="35" t="n">
        <f aca="false">I55+J55+K55</f>
        <v>20491.44</v>
      </c>
      <c r="M55" s="45" t="s">
        <v>512</v>
      </c>
    </row>
    <row r="56" customFormat="false" ht="25.5" hidden="false" customHeight="true" outlineLevel="0" collapsed="false">
      <c r="A56" s="39"/>
      <c r="B56" s="40" t="s">
        <v>539</v>
      </c>
      <c r="C56" s="41" t="s">
        <v>495</v>
      </c>
      <c r="D56" s="41" t="s">
        <v>108</v>
      </c>
      <c r="E56" s="42" t="n">
        <v>7858</v>
      </c>
      <c r="F56" s="42"/>
      <c r="G56" s="42"/>
      <c r="H56" s="43" t="n">
        <v>2</v>
      </c>
      <c r="I56" s="34" t="n">
        <f aca="false">E56*H56+N(F56)+N(G56)</f>
        <v>15716</v>
      </c>
      <c r="J56" s="42" t="n">
        <f aca="false">ROUND(IFERROR(ROUND(IF(OR(ISNUMBER(SEARCH("week",C56)),ISNUMBER(SEARCH("minggu",C56))),IFERROR(_xlfn.NUMBERVALUE(SUBSTITUTE(LEFT(TRIM(C56),FIND(" ",TRIM(C56)&amp;" ")-1),",","."),"."),LEFT(SUBSTITUTE(LEFT(TRIM(C56),FIND(" ",TRIM(C56)&amp;" ")-1),",","."),FIND("/",SUBSTITUTE(LEFT(TRIM(C56),FIND(" ",TRIM(C56)&amp;" ")-1),",","."))-1)/MID(SUBSTITUTE(LEFT(TRIM(C56),FIND(" ",TRIM(C56)&amp;" ")-1),",","."),FIND("/",SUBSTITUTE(LEFT(TRIM(C56),FIND(" ",TRIM(C56)&amp;" ")-1),",","."))+1,9))*12/52,IF(ISNUMBER(SEARCH("month",C56)),IFERROR(_xlfn.NUMBERVALUE(SUBSTITUTE(LEFT(TRIM(C56),FIND(" ",TRIM(C56)&amp;" ")-1),",","."),"."),LEFT(SUBSTITUTE(LEFT(TRIM(C56),FIND(" ",TRIM(C56)&amp;" ")-1),",","."),FIND("/",SUBSTITUTE(LEFT(TRIM(C56),FIND(" ",TRIM(C56)&amp;" ")-1),",","."))-1)/MID(SUBSTITUTE(LEFT(TRIM(C56),FIND(" ",TRIM(C56)&amp;" ")-1),",","."),FIND("/",SUBSTITUTE(LEFT(TRIM(C56),FIND(" ",TRIM(C56)&amp;" ")-1),",","."))+1,9)),IF(ISNUMBER(SEARCH("yea",C56)),IFERROR(_xlfn.NUMBERVALUE(SUBSTITUTE(LEFT(TRIM(C56),FIND(" ",TRIM(C56)&amp;" ")-1),",","."),"."),LEFT(SUBSTITUTE(LEFT(TRIM(C56),FIND(" ",TRIM(C56)&amp;" ")-1),",","."),FIND("/",SUBSTITUTE(LEFT(TRIM(C56),FIND(" ",TRIM(C56)&amp;" ")-1),",","."))-1)/MID(SUBSTITUTE(LEFT(TRIM(C56),FIND(" ",TRIM(C56)&amp;" ")-1),",","."),FIND("/",SUBSTITUTE(LEFT(TRIM(C56),FIND(" ",TRIM(C56)&amp;" ")-1),",","."))+1,9))*12,NA()))),0),54)*'Aturan &amp; Tarif'!$B$4,2)</f>
        <v>3066.12</v>
      </c>
      <c r="K56" s="42" t="n">
        <f aca="false">'Aturan &amp; Tarif'!$B$5</f>
        <v>2050</v>
      </c>
      <c r="L56" s="35" t="n">
        <f aca="false">I56+J56+K56</f>
        <v>20832.12</v>
      </c>
      <c r="M56" s="45" t="s">
        <v>512</v>
      </c>
    </row>
    <row r="57" customFormat="false" ht="25.5" hidden="false" customHeight="true" outlineLevel="0" collapsed="false">
      <c r="A57" s="39"/>
      <c r="B57" s="40" t="s">
        <v>540</v>
      </c>
      <c r="C57" s="41" t="s">
        <v>344</v>
      </c>
      <c r="D57" s="41" t="s">
        <v>108</v>
      </c>
      <c r="E57" s="42" t="n">
        <v>8190</v>
      </c>
      <c r="F57" s="42"/>
      <c r="G57" s="42"/>
      <c r="H57" s="43" t="n">
        <v>2</v>
      </c>
      <c r="I57" s="34" t="n">
        <f aca="false">E57*H57+N(F57)+N(G57)</f>
        <v>16380</v>
      </c>
      <c r="J57" s="42" t="n">
        <f aca="false">ROUND(IFERROR(ROUND(IF(OR(ISNUMBER(SEARCH("week",C57)),ISNUMBER(SEARCH("minggu",C57))),IFERROR(_xlfn.NUMBERVALUE(SUBSTITUTE(LEFT(TRIM(C57),FIND(" ",TRIM(C57)&amp;" ")-1),",","."),"."),LEFT(SUBSTITUTE(LEFT(TRIM(C57),FIND(" ",TRIM(C57)&amp;" ")-1),",","."),FIND("/",SUBSTITUTE(LEFT(TRIM(C57),FIND(" ",TRIM(C57)&amp;" ")-1),",","."))-1)/MID(SUBSTITUTE(LEFT(TRIM(C57),FIND(" ",TRIM(C57)&amp;" ")-1),",","."),FIND("/",SUBSTITUTE(LEFT(TRIM(C57),FIND(" ",TRIM(C57)&amp;" ")-1),",","."))+1,9))*12/52,IF(ISNUMBER(SEARCH("month",C57)),IFERROR(_xlfn.NUMBERVALUE(SUBSTITUTE(LEFT(TRIM(C57),FIND(" ",TRIM(C57)&amp;" ")-1),",","."),"."),LEFT(SUBSTITUTE(LEFT(TRIM(C57),FIND(" ",TRIM(C57)&amp;" ")-1),",","."),FIND("/",SUBSTITUTE(LEFT(TRIM(C57),FIND(" ",TRIM(C57)&amp;" ")-1),",","."))-1)/MID(SUBSTITUTE(LEFT(TRIM(C57),FIND(" ",TRIM(C57)&amp;" ")-1),",","."),FIND("/",SUBSTITUTE(LEFT(TRIM(C57),FIND(" ",TRIM(C57)&amp;" ")-1),",","."))+1,9)),IF(ISNUMBER(SEARCH("yea",C57)),IFERROR(_xlfn.NUMBERVALUE(SUBSTITUTE(LEFT(TRIM(C57),FIND(" ",TRIM(C57)&amp;" ")-1),",","."),"."),LEFT(SUBSTITUTE(LEFT(TRIM(C57),FIND(" ",TRIM(C57)&amp;" ")-1),",","."),FIND("/",SUBSTITUTE(LEFT(TRIM(C57),FIND(" ",TRIM(C57)&amp;" ")-1),",","."))-1)/MID(SUBSTITUTE(LEFT(TRIM(C57),FIND(" ",TRIM(C57)&amp;" ")-1),",","."),FIND("/",SUBSTITUTE(LEFT(TRIM(C57),FIND(" ",TRIM(C57)&amp;" ")-1),",","."))+1,9))*12,NA()))),0),6)*'Aturan &amp; Tarif'!$B$4,2)</f>
        <v>340.68</v>
      </c>
      <c r="K57" s="42" t="n">
        <f aca="false">'Aturan &amp; Tarif'!$B$5</f>
        <v>2050</v>
      </c>
      <c r="L57" s="35" t="n">
        <f aca="false">I57+J57+K57</f>
        <v>18770.68</v>
      </c>
      <c r="M57" s="45" t="s">
        <v>512</v>
      </c>
    </row>
    <row r="58" customFormat="false" ht="25.5" hidden="false" customHeight="true" outlineLevel="0" collapsed="false">
      <c r="A58" s="39"/>
      <c r="B58" s="40" t="s">
        <v>541</v>
      </c>
      <c r="C58" s="41" t="s">
        <v>344</v>
      </c>
      <c r="D58" s="41" t="s">
        <v>108</v>
      </c>
      <c r="E58" s="42" t="n">
        <v>8190</v>
      </c>
      <c r="F58" s="42"/>
      <c r="G58" s="42"/>
      <c r="H58" s="43" t="n">
        <v>2</v>
      </c>
      <c r="I58" s="34" t="n">
        <f aca="false">E58*H58+N(F58)+N(G58)</f>
        <v>16380</v>
      </c>
      <c r="J58" s="42" t="n">
        <f aca="false">ROUND(IFERROR(ROUND(IF(OR(ISNUMBER(SEARCH("week",C58)),ISNUMBER(SEARCH("minggu",C58))),IFERROR(_xlfn.NUMBERVALUE(SUBSTITUTE(LEFT(TRIM(C58),FIND(" ",TRIM(C58)&amp;" ")-1),",","."),"."),LEFT(SUBSTITUTE(LEFT(TRIM(C58),FIND(" ",TRIM(C58)&amp;" ")-1),",","."),FIND("/",SUBSTITUTE(LEFT(TRIM(C58),FIND(" ",TRIM(C58)&amp;" ")-1),",","."))-1)/MID(SUBSTITUTE(LEFT(TRIM(C58),FIND(" ",TRIM(C58)&amp;" ")-1),",","."),FIND("/",SUBSTITUTE(LEFT(TRIM(C58),FIND(" ",TRIM(C58)&amp;" ")-1),",","."))+1,9))*12/52,IF(ISNUMBER(SEARCH("month",C58)),IFERROR(_xlfn.NUMBERVALUE(SUBSTITUTE(LEFT(TRIM(C58),FIND(" ",TRIM(C58)&amp;" ")-1),",","."),"."),LEFT(SUBSTITUTE(LEFT(TRIM(C58),FIND(" ",TRIM(C58)&amp;" ")-1),",","."),FIND("/",SUBSTITUTE(LEFT(TRIM(C58),FIND(" ",TRIM(C58)&amp;" ")-1),",","."))-1)/MID(SUBSTITUTE(LEFT(TRIM(C58),FIND(" ",TRIM(C58)&amp;" ")-1),",","."),FIND("/",SUBSTITUTE(LEFT(TRIM(C58),FIND(" ",TRIM(C58)&amp;" ")-1),",","."))+1,9)),IF(ISNUMBER(SEARCH("yea",C58)),IFERROR(_xlfn.NUMBERVALUE(SUBSTITUTE(LEFT(TRIM(C58),FIND(" ",TRIM(C58)&amp;" ")-1),",","."),"."),LEFT(SUBSTITUTE(LEFT(TRIM(C58),FIND(" ",TRIM(C58)&amp;" ")-1),",","."),FIND("/",SUBSTITUTE(LEFT(TRIM(C58),FIND(" ",TRIM(C58)&amp;" ")-1),",","."))-1)/MID(SUBSTITUTE(LEFT(TRIM(C58),FIND(" ",TRIM(C58)&amp;" ")-1),",","."),FIND("/",SUBSTITUTE(LEFT(TRIM(C58),FIND(" ",TRIM(C58)&amp;" ")-1),",","."))+1,9))*12,NA()))),0),6)*'Aturan &amp; Tarif'!$B$4,2)</f>
        <v>340.68</v>
      </c>
      <c r="K58" s="42" t="n">
        <f aca="false">'Aturan &amp; Tarif'!$B$5</f>
        <v>2050</v>
      </c>
      <c r="L58" s="35" t="n">
        <f aca="false">I58+J58+K58</f>
        <v>18770.68</v>
      </c>
      <c r="M58" s="45" t="s">
        <v>512</v>
      </c>
    </row>
    <row r="59" customFormat="false" ht="14.25" hidden="false" customHeight="true" outlineLevel="0" collapsed="false">
      <c r="A59" s="39"/>
      <c r="B59" s="40" t="s">
        <v>542</v>
      </c>
      <c r="C59" s="41" t="s">
        <v>130</v>
      </c>
      <c r="D59" s="41" t="s">
        <v>108</v>
      </c>
      <c r="E59" s="42" t="n">
        <v>9418</v>
      </c>
      <c r="F59" s="42"/>
      <c r="G59" s="42"/>
      <c r="H59" s="43" t="n">
        <v>2</v>
      </c>
      <c r="I59" s="34" t="n">
        <f aca="false">E59*H59+N(F59)+N(G59)</f>
        <v>18836</v>
      </c>
      <c r="J59" s="42" t="n">
        <f aca="false">ROUND(IFERROR(ROUND(IF(OR(ISNUMBER(SEARCH("week",C59)),ISNUMBER(SEARCH("minggu",C59))),IFERROR(_xlfn.NUMBERVALUE(SUBSTITUTE(LEFT(TRIM(C59),FIND(" ",TRIM(C59)&amp;" ")-1),",","."),"."),LEFT(SUBSTITUTE(LEFT(TRIM(C59),FIND(" ",TRIM(C59)&amp;" ")-1),",","."),FIND("/",SUBSTITUTE(LEFT(TRIM(C59),FIND(" ",TRIM(C59)&amp;" ")-1),",","."))-1)/MID(SUBSTITUTE(LEFT(TRIM(C59),FIND(" ",TRIM(C59)&amp;" ")-1),",","."),FIND("/",SUBSTITUTE(LEFT(TRIM(C59),FIND(" ",TRIM(C59)&amp;" ")-1),",","."))+1,9))*12/52,IF(ISNUMBER(SEARCH("month",C59)),IFERROR(_xlfn.NUMBERVALUE(SUBSTITUTE(LEFT(TRIM(C59),FIND(" ",TRIM(C59)&amp;" ")-1),",","."),"."),LEFT(SUBSTITUTE(LEFT(TRIM(C59),FIND(" ",TRIM(C59)&amp;" ")-1),",","."),FIND("/",SUBSTITUTE(LEFT(TRIM(C59),FIND(" ",TRIM(C59)&amp;" ")-1),",","."))-1)/MID(SUBSTITUTE(LEFT(TRIM(C59),FIND(" ",TRIM(C59)&amp;" ")-1),",","."),FIND("/",SUBSTITUTE(LEFT(TRIM(C59),FIND(" ",TRIM(C59)&amp;" ")-1),",","."))+1,9)),IF(ISNUMBER(SEARCH("yea",C59)),IFERROR(_xlfn.NUMBERVALUE(SUBSTITUTE(LEFT(TRIM(C59),FIND(" ",TRIM(C59)&amp;" ")-1),",","."),"."),LEFT(SUBSTITUTE(LEFT(TRIM(C59),FIND(" ",TRIM(C59)&amp;" ")-1),",","."),FIND("/",SUBSTITUTE(LEFT(TRIM(C59),FIND(" ",TRIM(C59)&amp;" ")-1),",","."))-1)/MID(SUBSTITUTE(LEFT(TRIM(C59),FIND(" ",TRIM(C59)&amp;" ")-1),",","."),FIND("/",SUBSTITUTE(LEFT(TRIM(C59),FIND(" ",TRIM(C59)&amp;" ")-1),",","."))+1,9))*12,NA()))),0),12)*'Aturan &amp; Tarif'!$B$4,2)</f>
        <v>681.36</v>
      </c>
      <c r="K59" s="42" t="n">
        <f aca="false">'Aturan &amp; Tarif'!$B$5</f>
        <v>2050</v>
      </c>
      <c r="L59" s="35" t="n">
        <f aca="false">I59+J59+K59</f>
        <v>21567.36</v>
      </c>
      <c r="M59" s="45" t="s">
        <v>512</v>
      </c>
    </row>
    <row r="60" customFormat="false" ht="14.25" hidden="false" customHeight="true" outlineLevel="0" collapsed="false">
      <c r="A60" s="39"/>
      <c r="B60" s="40" t="s">
        <v>543</v>
      </c>
      <c r="C60" s="41" t="s">
        <v>130</v>
      </c>
      <c r="D60" s="41" t="s">
        <v>108</v>
      </c>
      <c r="E60" s="42" t="n">
        <v>8190</v>
      </c>
      <c r="F60" s="42"/>
      <c r="G60" s="42"/>
      <c r="H60" s="43" t="n">
        <v>2</v>
      </c>
      <c r="I60" s="34" t="n">
        <f aca="false">E60*H60+N(F60)+N(G60)</f>
        <v>16380</v>
      </c>
      <c r="J60" s="42" t="n">
        <f aca="false">ROUND(IFERROR(ROUND(IF(OR(ISNUMBER(SEARCH("week",C60)),ISNUMBER(SEARCH("minggu",C60))),IFERROR(_xlfn.NUMBERVALUE(SUBSTITUTE(LEFT(TRIM(C60),FIND(" ",TRIM(C60)&amp;" ")-1),",","."),"."),LEFT(SUBSTITUTE(LEFT(TRIM(C60),FIND(" ",TRIM(C60)&amp;" ")-1),",","."),FIND("/",SUBSTITUTE(LEFT(TRIM(C60),FIND(" ",TRIM(C60)&amp;" ")-1),",","."))-1)/MID(SUBSTITUTE(LEFT(TRIM(C60),FIND(" ",TRIM(C60)&amp;" ")-1),",","."),FIND("/",SUBSTITUTE(LEFT(TRIM(C60),FIND(" ",TRIM(C60)&amp;" ")-1),",","."))+1,9))*12/52,IF(ISNUMBER(SEARCH("month",C60)),IFERROR(_xlfn.NUMBERVALUE(SUBSTITUTE(LEFT(TRIM(C60),FIND(" ",TRIM(C60)&amp;" ")-1),",","."),"."),LEFT(SUBSTITUTE(LEFT(TRIM(C60),FIND(" ",TRIM(C60)&amp;" ")-1),",","."),FIND("/",SUBSTITUTE(LEFT(TRIM(C60),FIND(" ",TRIM(C60)&amp;" ")-1),",","."))-1)/MID(SUBSTITUTE(LEFT(TRIM(C60),FIND(" ",TRIM(C60)&amp;" ")-1),",","."),FIND("/",SUBSTITUTE(LEFT(TRIM(C60),FIND(" ",TRIM(C60)&amp;" ")-1),",","."))+1,9)),IF(ISNUMBER(SEARCH("yea",C60)),IFERROR(_xlfn.NUMBERVALUE(SUBSTITUTE(LEFT(TRIM(C60),FIND(" ",TRIM(C60)&amp;" ")-1),",","."),"."),LEFT(SUBSTITUTE(LEFT(TRIM(C60),FIND(" ",TRIM(C60)&amp;" ")-1),",","."),FIND("/",SUBSTITUTE(LEFT(TRIM(C60),FIND(" ",TRIM(C60)&amp;" ")-1),",","."))-1)/MID(SUBSTITUTE(LEFT(TRIM(C60),FIND(" ",TRIM(C60)&amp;" ")-1),",","."),FIND("/",SUBSTITUTE(LEFT(TRIM(C60),FIND(" ",TRIM(C60)&amp;" ")-1),",","."))+1,9))*12,NA()))),0),12)*'Aturan &amp; Tarif'!$B$4,2)</f>
        <v>681.36</v>
      </c>
      <c r="K60" s="42" t="n">
        <f aca="false">'Aturan &amp; Tarif'!$B$5</f>
        <v>2050</v>
      </c>
      <c r="L60" s="35" t="n">
        <f aca="false">I60+J60+K60</f>
        <v>19111.36</v>
      </c>
      <c r="M60" s="45" t="s">
        <v>512</v>
      </c>
    </row>
    <row r="61" customFormat="false" ht="14.25" hidden="false" customHeight="true" outlineLevel="0" collapsed="false">
      <c r="A61" s="39"/>
      <c r="B61" s="40" t="s">
        <v>544</v>
      </c>
      <c r="C61" s="41" t="s">
        <v>113</v>
      </c>
      <c r="D61" s="41" t="s">
        <v>108</v>
      </c>
      <c r="E61" s="42" t="n">
        <v>9418</v>
      </c>
      <c r="F61" s="42"/>
      <c r="G61" s="42"/>
      <c r="H61" s="43" t="n">
        <v>2</v>
      </c>
      <c r="I61" s="34" t="n">
        <f aca="false">E61*H61+N(F61)+N(G61)</f>
        <v>18836</v>
      </c>
      <c r="J61" s="42" t="n">
        <f aca="false">ROUND(IFERROR(ROUND(IF(OR(ISNUMBER(SEARCH("week",C61)),ISNUMBER(SEARCH("minggu",C61))),IFERROR(_xlfn.NUMBERVALUE(SUBSTITUTE(LEFT(TRIM(C61),FIND(" ",TRIM(C61)&amp;" ")-1),",","."),"."),LEFT(SUBSTITUTE(LEFT(TRIM(C61),FIND(" ",TRIM(C61)&amp;" ")-1),",","."),FIND("/",SUBSTITUTE(LEFT(TRIM(C61),FIND(" ",TRIM(C61)&amp;" ")-1),",","."))-1)/MID(SUBSTITUTE(LEFT(TRIM(C61),FIND(" ",TRIM(C61)&amp;" ")-1),",","."),FIND("/",SUBSTITUTE(LEFT(TRIM(C61),FIND(" ",TRIM(C61)&amp;" ")-1),",","."))+1,9))*12/52,IF(ISNUMBER(SEARCH("month",C61)),IFERROR(_xlfn.NUMBERVALUE(SUBSTITUTE(LEFT(TRIM(C61),FIND(" ",TRIM(C61)&amp;" ")-1),",","."),"."),LEFT(SUBSTITUTE(LEFT(TRIM(C61),FIND(" ",TRIM(C61)&amp;" ")-1),",","."),FIND("/",SUBSTITUTE(LEFT(TRIM(C61),FIND(" ",TRIM(C61)&amp;" ")-1),",","."))-1)/MID(SUBSTITUTE(LEFT(TRIM(C61),FIND(" ",TRIM(C61)&amp;" ")-1),",","."),FIND("/",SUBSTITUTE(LEFT(TRIM(C61),FIND(" ",TRIM(C61)&amp;" ")-1),",","."))+1,9)),IF(ISNUMBER(SEARCH("yea",C61)),IFERROR(_xlfn.NUMBERVALUE(SUBSTITUTE(LEFT(TRIM(C61),FIND(" ",TRIM(C61)&amp;" ")-1),",","."),"."),LEFT(SUBSTITUTE(LEFT(TRIM(C61),FIND(" ",TRIM(C61)&amp;" ")-1),",","."),FIND("/",SUBSTITUTE(LEFT(TRIM(C61),FIND(" ",TRIM(C61)&amp;" ")-1),",","."))-1)/MID(SUBSTITUTE(LEFT(TRIM(C61),FIND(" ",TRIM(C61)&amp;" ")-1),",","."),FIND("/",SUBSTITUTE(LEFT(TRIM(C61),FIND(" ",TRIM(C61)&amp;" ")-1),",","."))+1,9))*12,NA()))),0),18)*'Aturan &amp; Tarif'!$B$4,2)</f>
        <v>1022.04</v>
      </c>
      <c r="K61" s="42" t="n">
        <f aca="false">'Aturan &amp; Tarif'!$B$5</f>
        <v>2050</v>
      </c>
      <c r="L61" s="35" t="n">
        <f aca="false">I61+J61+K61</f>
        <v>21908.04</v>
      </c>
      <c r="M61" s="45" t="s">
        <v>512</v>
      </c>
    </row>
    <row r="62" customFormat="false" ht="14.25" hidden="false" customHeight="true" outlineLevel="0" collapsed="false">
      <c r="A62" s="39"/>
      <c r="B62" s="40" t="s">
        <v>373</v>
      </c>
      <c r="C62" s="41" t="s">
        <v>107</v>
      </c>
      <c r="D62" s="41" t="s">
        <v>108</v>
      </c>
      <c r="E62" s="42" t="n">
        <v>8190</v>
      </c>
      <c r="F62" s="42"/>
      <c r="G62" s="42"/>
      <c r="H62" s="43" t="n">
        <v>2</v>
      </c>
      <c r="I62" s="34" t="n">
        <f aca="false">E62*H62+N(F62)+N(G62)</f>
        <v>16380</v>
      </c>
      <c r="J62" s="42" t="n">
        <f aca="false">ROUND(IFERROR(ROUND(IF(OR(ISNUMBER(SEARCH("week",C62)),ISNUMBER(SEARCH("minggu",C62))),IFERROR(_xlfn.NUMBERVALUE(SUBSTITUTE(LEFT(TRIM(C62),FIND(" ",TRIM(C62)&amp;" ")-1),",","."),"."),LEFT(SUBSTITUTE(LEFT(TRIM(C62),FIND(" ",TRIM(C62)&amp;" ")-1),",","."),FIND("/",SUBSTITUTE(LEFT(TRIM(C62),FIND(" ",TRIM(C62)&amp;" ")-1),",","."))-1)/MID(SUBSTITUTE(LEFT(TRIM(C62),FIND(" ",TRIM(C62)&amp;" ")-1),",","."),FIND("/",SUBSTITUTE(LEFT(TRIM(C62),FIND(" ",TRIM(C62)&amp;" ")-1),",","."))+1,9))*12/52,IF(ISNUMBER(SEARCH("month",C62)),IFERROR(_xlfn.NUMBERVALUE(SUBSTITUTE(LEFT(TRIM(C62),FIND(" ",TRIM(C62)&amp;" ")-1),",","."),"."),LEFT(SUBSTITUTE(LEFT(TRIM(C62),FIND(" ",TRIM(C62)&amp;" ")-1),",","."),FIND("/",SUBSTITUTE(LEFT(TRIM(C62),FIND(" ",TRIM(C62)&amp;" ")-1),",","."))-1)/MID(SUBSTITUTE(LEFT(TRIM(C62),FIND(" ",TRIM(C62)&amp;" ")-1),",","."),FIND("/",SUBSTITUTE(LEFT(TRIM(C62),FIND(" ",TRIM(C62)&amp;" ")-1),",","."))+1,9)),IF(ISNUMBER(SEARCH("yea",C62)),IFERROR(_xlfn.NUMBERVALUE(SUBSTITUTE(LEFT(TRIM(C62),FIND(" ",TRIM(C62)&amp;" ")-1),",","."),"."),LEFT(SUBSTITUTE(LEFT(TRIM(C62),FIND(" ",TRIM(C62)&amp;" ")-1),",","."),FIND("/",SUBSTITUTE(LEFT(TRIM(C62),FIND(" ",TRIM(C62)&amp;" ")-1),",","."))-1)/MID(SUBSTITUTE(LEFT(TRIM(C62),FIND(" ",TRIM(C62)&amp;" ")-1),",","."),FIND("/",SUBSTITUTE(LEFT(TRIM(C62),FIND(" ",TRIM(C62)&amp;" ")-1),",","."))+1,9))*12,NA()))),0),24)*'Aturan &amp; Tarif'!$B$4,2)</f>
        <v>1362.72</v>
      </c>
      <c r="K62" s="42" t="n">
        <f aca="false">'Aturan &amp; Tarif'!$B$5</f>
        <v>2050</v>
      </c>
      <c r="L62" s="35" t="n">
        <f aca="false">I62+J62+K62</f>
        <v>19792.72</v>
      </c>
      <c r="M62" s="45" t="s">
        <v>512</v>
      </c>
    </row>
    <row r="63" customFormat="false" ht="14.25" hidden="false" customHeight="true" outlineLevel="0" collapsed="false">
      <c r="A63" s="39"/>
      <c r="B63" s="40" t="s">
        <v>545</v>
      </c>
      <c r="C63" s="41" t="s">
        <v>107</v>
      </c>
      <c r="D63" s="41" t="s">
        <v>108</v>
      </c>
      <c r="E63" s="42" t="n">
        <v>8190</v>
      </c>
      <c r="F63" s="42"/>
      <c r="G63" s="42"/>
      <c r="H63" s="43" t="n">
        <v>2</v>
      </c>
      <c r="I63" s="34" t="n">
        <f aca="false">E63*H63+N(F63)+N(G63)</f>
        <v>16380</v>
      </c>
      <c r="J63" s="42" t="n">
        <f aca="false">ROUND(IFERROR(ROUND(IF(OR(ISNUMBER(SEARCH("week",C63)),ISNUMBER(SEARCH("minggu",C63))),IFERROR(_xlfn.NUMBERVALUE(SUBSTITUTE(LEFT(TRIM(C63),FIND(" ",TRIM(C63)&amp;" ")-1),",","."),"."),LEFT(SUBSTITUTE(LEFT(TRIM(C63),FIND(" ",TRIM(C63)&amp;" ")-1),",","."),FIND("/",SUBSTITUTE(LEFT(TRIM(C63),FIND(" ",TRIM(C63)&amp;" ")-1),",","."))-1)/MID(SUBSTITUTE(LEFT(TRIM(C63),FIND(" ",TRIM(C63)&amp;" ")-1),",","."),FIND("/",SUBSTITUTE(LEFT(TRIM(C63),FIND(" ",TRIM(C63)&amp;" ")-1),",","."))+1,9))*12/52,IF(ISNUMBER(SEARCH("month",C63)),IFERROR(_xlfn.NUMBERVALUE(SUBSTITUTE(LEFT(TRIM(C63),FIND(" ",TRIM(C63)&amp;" ")-1),",","."),"."),LEFT(SUBSTITUTE(LEFT(TRIM(C63),FIND(" ",TRIM(C63)&amp;" ")-1),",","."),FIND("/",SUBSTITUTE(LEFT(TRIM(C63),FIND(" ",TRIM(C63)&amp;" ")-1),",","."))-1)/MID(SUBSTITUTE(LEFT(TRIM(C63),FIND(" ",TRIM(C63)&amp;" ")-1),",","."),FIND("/",SUBSTITUTE(LEFT(TRIM(C63),FIND(" ",TRIM(C63)&amp;" ")-1),",","."))+1,9)),IF(ISNUMBER(SEARCH("yea",C63)),IFERROR(_xlfn.NUMBERVALUE(SUBSTITUTE(LEFT(TRIM(C63),FIND(" ",TRIM(C63)&amp;" ")-1),",","."),"."),LEFT(SUBSTITUTE(LEFT(TRIM(C63),FIND(" ",TRIM(C63)&amp;" ")-1),",","."),FIND("/",SUBSTITUTE(LEFT(TRIM(C63),FIND(" ",TRIM(C63)&amp;" ")-1),",","."))-1)/MID(SUBSTITUTE(LEFT(TRIM(C63),FIND(" ",TRIM(C63)&amp;" ")-1),",","."),FIND("/",SUBSTITUTE(LEFT(TRIM(C63),FIND(" ",TRIM(C63)&amp;" ")-1),",","."))+1,9))*12,NA()))),0),24)*'Aturan &amp; Tarif'!$B$4,2)</f>
        <v>1362.72</v>
      </c>
      <c r="K63" s="42" t="n">
        <f aca="false">'Aturan &amp; Tarif'!$B$5</f>
        <v>2050</v>
      </c>
      <c r="L63" s="35" t="n">
        <f aca="false">I63+J63+K63</f>
        <v>19792.72</v>
      </c>
      <c r="M63" s="45" t="s">
        <v>512</v>
      </c>
    </row>
    <row r="64" customFormat="false" ht="14.25" hidden="false" customHeight="true" outlineLevel="0" collapsed="false">
      <c r="A64" s="39"/>
      <c r="B64" s="40" t="s">
        <v>546</v>
      </c>
      <c r="C64" s="41" t="s">
        <v>107</v>
      </c>
      <c r="D64" s="41" t="s">
        <v>108</v>
      </c>
      <c r="E64" s="42" t="n">
        <v>8190</v>
      </c>
      <c r="F64" s="42"/>
      <c r="G64" s="42"/>
      <c r="H64" s="43" t="n">
        <v>2</v>
      </c>
      <c r="I64" s="34" t="n">
        <f aca="false">E64*H64+N(F64)+N(G64)</f>
        <v>16380</v>
      </c>
      <c r="J64" s="42" t="n">
        <f aca="false">ROUND(IFERROR(ROUND(IF(OR(ISNUMBER(SEARCH("week",C64)),ISNUMBER(SEARCH("minggu",C64))),IFERROR(_xlfn.NUMBERVALUE(SUBSTITUTE(LEFT(TRIM(C64),FIND(" ",TRIM(C64)&amp;" ")-1),",","."),"."),LEFT(SUBSTITUTE(LEFT(TRIM(C64),FIND(" ",TRIM(C64)&amp;" ")-1),",","."),FIND("/",SUBSTITUTE(LEFT(TRIM(C64),FIND(" ",TRIM(C64)&amp;" ")-1),",","."))-1)/MID(SUBSTITUTE(LEFT(TRIM(C64),FIND(" ",TRIM(C64)&amp;" ")-1),",","."),FIND("/",SUBSTITUTE(LEFT(TRIM(C64),FIND(" ",TRIM(C64)&amp;" ")-1),",","."))+1,9))*12/52,IF(ISNUMBER(SEARCH("month",C64)),IFERROR(_xlfn.NUMBERVALUE(SUBSTITUTE(LEFT(TRIM(C64),FIND(" ",TRIM(C64)&amp;" ")-1),",","."),"."),LEFT(SUBSTITUTE(LEFT(TRIM(C64),FIND(" ",TRIM(C64)&amp;" ")-1),",","."),FIND("/",SUBSTITUTE(LEFT(TRIM(C64),FIND(" ",TRIM(C64)&amp;" ")-1),",","."))-1)/MID(SUBSTITUTE(LEFT(TRIM(C64),FIND(" ",TRIM(C64)&amp;" ")-1),",","."),FIND("/",SUBSTITUTE(LEFT(TRIM(C64),FIND(" ",TRIM(C64)&amp;" ")-1),",","."))+1,9)),IF(ISNUMBER(SEARCH("yea",C64)),IFERROR(_xlfn.NUMBERVALUE(SUBSTITUTE(LEFT(TRIM(C64),FIND(" ",TRIM(C64)&amp;" ")-1),",","."),"."),LEFT(SUBSTITUTE(LEFT(TRIM(C64),FIND(" ",TRIM(C64)&amp;" ")-1),",","."),FIND("/",SUBSTITUTE(LEFT(TRIM(C64),FIND(" ",TRIM(C64)&amp;" ")-1),",","."))-1)/MID(SUBSTITUTE(LEFT(TRIM(C64),FIND(" ",TRIM(C64)&amp;" ")-1),",","."),FIND("/",SUBSTITUTE(LEFT(TRIM(C64),FIND(" ",TRIM(C64)&amp;" ")-1),",","."))+1,9))*12,NA()))),0),24)*'Aturan &amp; Tarif'!$B$4,2)</f>
        <v>1362.72</v>
      </c>
      <c r="K64" s="42" t="n">
        <f aca="false">'Aturan &amp; Tarif'!$B$5</f>
        <v>2050</v>
      </c>
      <c r="L64" s="35" t="n">
        <f aca="false">I64+J64+K64</f>
        <v>19792.72</v>
      </c>
      <c r="M64" s="45" t="s">
        <v>512</v>
      </c>
    </row>
    <row r="65" customFormat="false" ht="14.25" hidden="false" customHeight="true" outlineLevel="0" collapsed="false">
      <c r="A65" s="39"/>
      <c r="B65" s="40" t="s">
        <v>547</v>
      </c>
      <c r="C65" s="41" t="s">
        <v>107</v>
      </c>
      <c r="D65" s="41" t="s">
        <v>108</v>
      </c>
      <c r="E65" s="42" t="n">
        <v>8190</v>
      </c>
      <c r="F65" s="42"/>
      <c r="G65" s="42"/>
      <c r="H65" s="43" t="n">
        <v>2</v>
      </c>
      <c r="I65" s="34" t="n">
        <f aca="false">E65*H65+N(F65)+N(G65)</f>
        <v>16380</v>
      </c>
      <c r="J65" s="42" t="n">
        <f aca="false">ROUND(IFERROR(ROUND(IF(OR(ISNUMBER(SEARCH("week",C65)),ISNUMBER(SEARCH("minggu",C65))),IFERROR(_xlfn.NUMBERVALUE(SUBSTITUTE(LEFT(TRIM(C65),FIND(" ",TRIM(C65)&amp;" ")-1),",","."),"."),LEFT(SUBSTITUTE(LEFT(TRIM(C65),FIND(" ",TRIM(C65)&amp;" ")-1),",","."),FIND("/",SUBSTITUTE(LEFT(TRIM(C65),FIND(" ",TRIM(C65)&amp;" ")-1),",","."))-1)/MID(SUBSTITUTE(LEFT(TRIM(C65),FIND(" ",TRIM(C65)&amp;" ")-1),",","."),FIND("/",SUBSTITUTE(LEFT(TRIM(C65),FIND(" ",TRIM(C65)&amp;" ")-1),",","."))+1,9))*12/52,IF(ISNUMBER(SEARCH("month",C65)),IFERROR(_xlfn.NUMBERVALUE(SUBSTITUTE(LEFT(TRIM(C65),FIND(" ",TRIM(C65)&amp;" ")-1),",","."),"."),LEFT(SUBSTITUTE(LEFT(TRIM(C65),FIND(" ",TRIM(C65)&amp;" ")-1),",","."),FIND("/",SUBSTITUTE(LEFT(TRIM(C65),FIND(" ",TRIM(C65)&amp;" ")-1),",","."))-1)/MID(SUBSTITUTE(LEFT(TRIM(C65),FIND(" ",TRIM(C65)&amp;" ")-1),",","."),FIND("/",SUBSTITUTE(LEFT(TRIM(C65),FIND(" ",TRIM(C65)&amp;" ")-1),",","."))+1,9)),IF(ISNUMBER(SEARCH("yea",C65)),IFERROR(_xlfn.NUMBERVALUE(SUBSTITUTE(LEFT(TRIM(C65),FIND(" ",TRIM(C65)&amp;" ")-1),",","."),"."),LEFT(SUBSTITUTE(LEFT(TRIM(C65),FIND(" ",TRIM(C65)&amp;" ")-1),",","."),FIND("/",SUBSTITUTE(LEFT(TRIM(C65),FIND(" ",TRIM(C65)&amp;" ")-1),",","."))-1)/MID(SUBSTITUTE(LEFT(TRIM(C65),FIND(" ",TRIM(C65)&amp;" ")-1),",","."),FIND("/",SUBSTITUTE(LEFT(TRIM(C65),FIND(" ",TRIM(C65)&amp;" ")-1),",","."))+1,9))*12,NA()))),0),24)*'Aturan &amp; Tarif'!$B$4,2)</f>
        <v>1362.72</v>
      </c>
      <c r="K65" s="42" t="n">
        <f aca="false">'Aturan &amp; Tarif'!$B$5</f>
        <v>2050</v>
      </c>
      <c r="L65" s="35" t="n">
        <f aca="false">I65+J65+K65</f>
        <v>19792.72</v>
      </c>
      <c r="M65" s="45" t="s">
        <v>512</v>
      </c>
    </row>
    <row r="66" customFormat="false" ht="14.25" hidden="false" customHeight="true" outlineLevel="0" collapsed="false">
      <c r="A66" s="39"/>
      <c r="B66" s="40" t="s">
        <v>548</v>
      </c>
      <c r="C66" s="41" t="s">
        <v>107</v>
      </c>
      <c r="D66" s="41" t="s">
        <v>108</v>
      </c>
      <c r="E66" s="42" t="n">
        <v>8190</v>
      </c>
      <c r="F66" s="42"/>
      <c r="G66" s="42"/>
      <c r="H66" s="43" t="n">
        <v>2</v>
      </c>
      <c r="I66" s="34" t="n">
        <f aca="false">E66*H66+N(F66)+N(G66)</f>
        <v>16380</v>
      </c>
      <c r="J66" s="42" t="n">
        <f aca="false">ROUND(IFERROR(ROUND(IF(OR(ISNUMBER(SEARCH("week",C66)),ISNUMBER(SEARCH("minggu",C66))),IFERROR(_xlfn.NUMBERVALUE(SUBSTITUTE(LEFT(TRIM(C66),FIND(" ",TRIM(C66)&amp;" ")-1),",","."),"."),LEFT(SUBSTITUTE(LEFT(TRIM(C66),FIND(" ",TRIM(C66)&amp;" ")-1),",","."),FIND("/",SUBSTITUTE(LEFT(TRIM(C66),FIND(" ",TRIM(C66)&amp;" ")-1),",","."))-1)/MID(SUBSTITUTE(LEFT(TRIM(C66),FIND(" ",TRIM(C66)&amp;" ")-1),",","."),FIND("/",SUBSTITUTE(LEFT(TRIM(C66),FIND(" ",TRIM(C66)&amp;" ")-1),",","."))+1,9))*12/52,IF(ISNUMBER(SEARCH("month",C66)),IFERROR(_xlfn.NUMBERVALUE(SUBSTITUTE(LEFT(TRIM(C66),FIND(" ",TRIM(C66)&amp;" ")-1),",","."),"."),LEFT(SUBSTITUTE(LEFT(TRIM(C66),FIND(" ",TRIM(C66)&amp;" ")-1),",","."),FIND("/",SUBSTITUTE(LEFT(TRIM(C66),FIND(" ",TRIM(C66)&amp;" ")-1),",","."))-1)/MID(SUBSTITUTE(LEFT(TRIM(C66),FIND(" ",TRIM(C66)&amp;" ")-1),",","."),FIND("/",SUBSTITUTE(LEFT(TRIM(C66),FIND(" ",TRIM(C66)&amp;" ")-1),",","."))+1,9)),IF(ISNUMBER(SEARCH("yea",C66)),IFERROR(_xlfn.NUMBERVALUE(SUBSTITUTE(LEFT(TRIM(C66),FIND(" ",TRIM(C66)&amp;" ")-1),",","."),"."),LEFT(SUBSTITUTE(LEFT(TRIM(C66),FIND(" ",TRIM(C66)&amp;" ")-1),",","."),FIND("/",SUBSTITUTE(LEFT(TRIM(C66),FIND(" ",TRIM(C66)&amp;" ")-1),",","."))-1)/MID(SUBSTITUTE(LEFT(TRIM(C66),FIND(" ",TRIM(C66)&amp;" ")-1),",","."),FIND("/",SUBSTITUTE(LEFT(TRIM(C66),FIND(" ",TRIM(C66)&amp;" ")-1),",","."))+1,9))*12,NA()))),0),24)*'Aturan &amp; Tarif'!$B$4,2)</f>
        <v>1362.72</v>
      </c>
      <c r="K66" s="42" t="n">
        <f aca="false">'Aturan &amp; Tarif'!$B$5</f>
        <v>2050</v>
      </c>
      <c r="L66" s="35" t="n">
        <f aca="false">I66+J66+K66</f>
        <v>19792.72</v>
      </c>
      <c r="M66" s="45" t="s">
        <v>512</v>
      </c>
    </row>
    <row r="67" customFormat="false" ht="14.25" hidden="false" customHeight="true" outlineLevel="0" collapsed="false">
      <c r="A67" s="39"/>
      <c r="B67" s="40" t="s">
        <v>549</v>
      </c>
      <c r="C67" s="41" t="s">
        <v>130</v>
      </c>
      <c r="D67" s="41" t="s">
        <v>108</v>
      </c>
      <c r="E67" s="42" t="n">
        <v>9848</v>
      </c>
      <c r="F67" s="42"/>
      <c r="G67" s="42"/>
      <c r="H67" s="43" t="n">
        <v>2</v>
      </c>
      <c r="I67" s="34" t="n">
        <f aca="false">E67*H67+N(F67)+N(G67)</f>
        <v>19696</v>
      </c>
      <c r="J67" s="42" t="n">
        <f aca="false">ROUND(IFERROR(ROUND(IF(OR(ISNUMBER(SEARCH("week",C67)),ISNUMBER(SEARCH("minggu",C67))),IFERROR(_xlfn.NUMBERVALUE(SUBSTITUTE(LEFT(TRIM(C67),FIND(" ",TRIM(C67)&amp;" ")-1),",","."),"."),LEFT(SUBSTITUTE(LEFT(TRIM(C67),FIND(" ",TRIM(C67)&amp;" ")-1),",","."),FIND("/",SUBSTITUTE(LEFT(TRIM(C67),FIND(" ",TRIM(C67)&amp;" ")-1),",","."))-1)/MID(SUBSTITUTE(LEFT(TRIM(C67),FIND(" ",TRIM(C67)&amp;" ")-1),",","."),FIND("/",SUBSTITUTE(LEFT(TRIM(C67),FIND(" ",TRIM(C67)&amp;" ")-1),",","."))+1,9))*12/52,IF(ISNUMBER(SEARCH("month",C67)),IFERROR(_xlfn.NUMBERVALUE(SUBSTITUTE(LEFT(TRIM(C67),FIND(" ",TRIM(C67)&amp;" ")-1),",","."),"."),LEFT(SUBSTITUTE(LEFT(TRIM(C67),FIND(" ",TRIM(C67)&amp;" ")-1),",","."),FIND("/",SUBSTITUTE(LEFT(TRIM(C67),FIND(" ",TRIM(C67)&amp;" ")-1),",","."))-1)/MID(SUBSTITUTE(LEFT(TRIM(C67),FIND(" ",TRIM(C67)&amp;" ")-1),",","."),FIND("/",SUBSTITUTE(LEFT(TRIM(C67),FIND(" ",TRIM(C67)&amp;" ")-1),",","."))+1,9)),IF(ISNUMBER(SEARCH("yea",C67)),IFERROR(_xlfn.NUMBERVALUE(SUBSTITUTE(LEFT(TRIM(C67),FIND(" ",TRIM(C67)&amp;" ")-1),",","."),"."),LEFT(SUBSTITUTE(LEFT(TRIM(C67),FIND(" ",TRIM(C67)&amp;" ")-1),",","."),FIND("/",SUBSTITUTE(LEFT(TRIM(C67),FIND(" ",TRIM(C67)&amp;" ")-1),",","."))-1)/MID(SUBSTITUTE(LEFT(TRIM(C67),FIND(" ",TRIM(C67)&amp;" ")-1),",","."),FIND("/",SUBSTITUTE(LEFT(TRIM(C67),FIND(" ",TRIM(C67)&amp;" ")-1),",","."))+1,9))*12,NA()))),0),12)*'Aturan &amp; Tarif'!$B$4,2)</f>
        <v>681.36</v>
      </c>
      <c r="K67" s="42" t="n">
        <f aca="false">'Aturan &amp; Tarif'!$B$5</f>
        <v>2050</v>
      </c>
      <c r="L67" s="35" t="n">
        <f aca="false">I67+J67+K67</f>
        <v>22427.36</v>
      </c>
      <c r="M67" s="45" t="s">
        <v>512</v>
      </c>
    </row>
    <row r="68" customFormat="false" ht="14.25" hidden="false" customHeight="true" outlineLevel="0" collapsed="false">
      <c r="A68" s="39"/>
      <c r="B68" s="40" t="s">
        <v>550</v>
      </c>
      <c r="C68" s="41" t="s">
        <v>191</v>
      </c>
      <c r="D68" s="41" t="s">
        <v>108</v>
      </c>
      <c r="E68" s="42" t="n">
        <v>9848</v>
      </c>
      <c r="F68" s="42"/>
      <c r="G68" s="42"/>
      <c r="H68" s="43" t="n">
        <v>2</v>
      </c>
      <c r="I68" s="34" t="n">
        <f aca="false">E68*H68+N(F68)+N(G68)</f>
        <v>19696</v>
      </c>
      <c r="J68" s="42" t="n">
        <f aca="false">ROUND(IFERROR(ROUND(IF(OR(ISNUMBER(SEARCH("week",C68)),ISNUMBER(SEARCH("minggu",C68))),IFERROR(_xlfn.NUMBERVALUE(SUBSTITUTE(LEFT(TRIM(C68),FIND(" ",TRIM(C68)&amp;" ")-1),",","."),"."),LEFT(SUBSTITUTE(LEFT(TRIM(C68),FIND(" ",TRIM(C68)&amp;" ")-1),",","."),FIND("/",SUBSTITUTE(LEFT(TRIM(C68),FIND(" ",TRIM(C68)&amp;" ")-1),",","."))-1)/MID(SUBSTITUTE(LEFT(TRIM(C68),FIND(" ",TRIM(C68)&amp;" ")-1),",","."),FIND("/",SUBSTITUTE(LEFT(TRIM(C68),FIND(" ",TRIM(C68)&amp;" ")-1),",","."))+1,9))*12/52,IF(ISNUMBER(SEARCH("month",C68)),IFERROR(_xlfn.NUMBERVALUE(SUBSTITUTE(LEFT(TRIM(C68),FIND(" ",TRIM(C68)&amp;" ")-1),",","."),"."),LEFT(SUBSTITUTE(LEFT(TRIM(C68),FIND(" ",TRIM(C68)&amp;" ")-1),",","."),FIND("/",SUBSTITUTE(LEFT(TRIM(C68),FIND(" ",TRIM(C68)&amp;" ")-1),",","."))-1)/MID(SUBSTITUTE(LEFT(TRIM(C68),FIND(" ",TRIM(C68)&amp;" ")-1),",","."),FIND("/",SUBSTITUTE(LEFT(TRIM(C68),FIND(" ",TRIM(C68)&amp;" ")-1),",","."))+1,9)),IF(ISNUMBER(SEARCH("yea",C68)),IFERROR(_xlfn.NUMBERVALUE(SUBSTITUTE(LEFT(TRIM(C68),FIND(" ",TRIM(C68)&amp;" ")-1),",","."),"."),LEFT(SUBSTITUTE(LEFT(TRIM(C68),FIND(" ",TRIM(C68)&amp;" ")-1),",","."),FIND("/",SUBSTITUTE(LEFT(TRIM(C68),FIND(" ",TRIM(C68)&amp;" ")-1),",","."))-1)/MID(SUBSTITUTE(LEFT(TRIM(C68),FIND(" ",TRIM(C68)&amp;" ")-1),",","."),FIND("/",SUBSTITUTE(LEFT(TRIM(C68),FIND(" ",TRIM(C68)&amp;" ")-1),",","."))+1,9))*12,NA()))),0),48)*'Aturan &amp; Tarif'!$B$4,2)</f>
        <v>2725.44</v>
      </c>
      <c r="K68" s="42" t="n">
        <f aca="false">'Aturan &amp; Tarif'!$B$5</f>
        <v>2050</v>
      </c>
      <c r="L68" s="35" t="n">
        <f aca="false">I68+J68+K68</f>
        <v>24471.44</v>
      </c>
      <c r="M68" s="45" t="s">
        <v>512</v>
      </c>
    </row>
    <row r="69" customFormat="false" ht="14.25" hidden="false" customHeight="true" outlineLevel="0" collapsed="false">
      <c r="A69" s="39"/>
      <c r="B69" s="40" t="s">
        <v>551</v>
      </c>
      <c r="C69" s="41" t="s">
        <v>127</v>
      </c>
      <c r="D69" s="41" t="s">
        <v>108</v>
      </c>
      <c r="E69" s="42" t="n">
        <v>9848</v>
      </c>
      <c r="F69" s="42"/>
      <c r="G69" s="42"/>
      <c r="H69" s="43" t="n">
        <v>2</v>
      </c>
      <c r="I69" s="34" t="n">
        <f aca="false">E69*H69+N(F69)+N(G69)</f>
        <v>19696</v>
      </c>
      <c r="J69" s="42" t="n">
        <f aca="false">ROUND(IFERROR(ROUND(IF(OR(ISNUMBER(SEARCH("week",C69)),ISNUMBER(SEARCH("minggu",C69))),IFERROR(_xlfn.NUMBERVALUE(SUBSTITUTE(LEFT(TRIM(C69),FIND(" ",TRIM(C69)&amp;" ")-1),",","."),"."),LEFT(SUBSTITUTE(LEFT(TRIM(C69),FIND(" ",TRIM(C69)&amp;" ")-1),",","."),FIND("/",SUBSTITUTE(LEFT(TRIM(C69),FIND(" ",TRIM(C69)&amp;" ")-1),",","."))-1)/MID(SUBSTITUTE(LEFT(TRIM(C69),FIND(" ",TRIM(C69)&amp;" ")-1),",","."),FIND("/",SUBSTITUTE(LEFT(TRIM(C69),FIND(" ",TRIM(C69)&amp;" ")-1),",","."))+1,9))*12/52,IF(ISNUMBER(SEARCH("month",C69)),IFERROR(_xlfn.NUMBERVALUE(SUBSTITUTE(LEFT(TRIM(C69),FIND(" ",TRIM(C69)&amp;" ")-1),",","."),"."),LEFT(SUBSTITUTE(LEFT(TRIM(C69),FIND(" ",TRIM(C69)&amp;" ")-1),",","."),FIND("/",SUBSTITUTE(LEFT(TRIM(C69),FIND(" ",TRIM(C69)&amp;" ")-1),",","."))-1)/MID(SUBSTITUTE(LEFT(TRIM(C69),FIND(" ",TRIM(C69)&amp;" ")-1),",","."),FIND("/",SUBSTITUTE(LEFT(TRIM(C69),FIND(" ",TRIM(C69)&amp;" ")-1),",","."))+1,9)),IF(ISNUMBER(SEARCH("yea",C69)),IFERROR(_xlfn.NUMBERVALUE(SUBSTITUTE(LEFT(TRIM(C69),FIND(" ",TRIM(C69)&amp;" ")-1),",","."),"."),LEFT(SUBSTITUTE(LEFT(TRIM(C69),FIND(" ",TRIM(C69)&amp;" ")-1),",","."),FIND("/",SUBSTITUTE(LEFT(TRIM(C69),FIND(" ",TRIM(C69)&amp;" ")-1),",","."))-1)/MID(SUBSTITUTE(LEFT(TRIM(C69),FIND(" ",TRIM(C69)&amp;" ")-1),",","."),FIND("/",SUBSTITUTE(LEFT(TRIM(C69),FIND(" ",TRIM(C69)&amp;" ")-1),",","."))+1,9))*12,NA()))),0),36)*'Aturan &amp; Tarif'!$B$4,2)</f>
        <v>2044.08</v>
      </c>
      <c r="K69" s="42" t="n">
        <f aca="false">'Aturan &amp; Tarif'!$B$5</f>
        <v>2050</v>
      </c>
      <c r="L69" s="35" t="n">
        <f aca="false">I69+J69+K69</f>
        <v>23790.08</v>
      </c>
      <c r="M69" s="45" t="s">
        <v>512</v>
      </c>
    </row>
    <row r="70" customFormat="false" ht="25.5" hidden="false" customHeight="true" outlineLevel="0" collapsed="false">
      <c r="A70" s="39"/>
      <c r="B70" s="40" t="s">
        <v>552</v>
      </c>
      <c r="C70" s="41" t="s">
        <v>191</v>
      </c>
      <c r="D70" s="41" t="s">
        <v>108</v>
      </c>
      <c r="E70" s="42" t="n">
        <v>10202</v>
      </c>
      <c r="F70" s="42"/>
      <c r="G70" s="42"/>
      <c r="H70" s="43" t="n">
        <v>2</v>
      </c>
      <c r="I70" s="34" t="n">
        <f aca="false">E70*H70+N(F70)+N(G70)</f>
        <v>20404</v>
      </c>
      <c r="J70" s="42" t="n">
        <f aca="false">ROUND(IFERROR(ROUND(IF(OR(ISNUMBER(SEARCH("week",C70)),ISNUMBER(SEARCH("minggu",C70))),IFERROR(_xlfn.NUMBERVALUE(SUBSTITUTE(LEFT(TRIM(C70),FIND(" ",TRIM(C70)&amp;" ")-1),",","."),"."),LEFT(SUBSTITUTE(LEFT(TRIM(C70),FIND(" ",TRIM(C70)&amp;" ")-1),",","."),FIND("/",SUBSTITUTE(LEFT(TRIM(C70),FIND(" ",TRIM(C70)&amp;" ")-1),",","."))-1)/MID(SUBSTITUTE(LEFT(TRIM(C70),FIND(" ",TRIM(C70)&amp;" ")-1),",","."),FIND("/",SUBSTITUTE(LEFT(TRIM(C70),FIND(" ",TRIM(C70)&amp;" ")-1),",","."))+1,9))*12/52,IF(ISNUMBER(SEARCH("month",C70)),IFERROR(_xlfn.NUMBERVALUE(SUBSTITUTE(LEFT(TRIM(C70),FIND(" ",TRIM(C70)&amp;" ")-1),",","."),"."),LEFT(SUBSTITUTE(LEFT(TRIM(C70),FIND(" ",TRIM(C70)&amp;" ")-1),",","."),FIND("/",SUBSTITUTE(LEFT(TRIM(C70),FIND(" ",TRIM(C70)&amp;" ")-1),",","."))-1)/MID(SUBSTITUTE(LEFT(TRIM(C70),FIND(" ",TRIM(C70)&amp;" ")-1),",","."),FIND("/",SUBSTITUTE(LEFT(TRIM(C70),FIND(" ",TRIM(C70)&amp;" ")-1),",","."))+1,9)),IF(ISNUMBER(SEARCH("yea",C70)),IFERROR(_xlfn.NUMBERVALUE(SUBSTITUTE(LEFT(TRIM(C70),FIND(" ",TRIM(C70)&amp;" ")-1),",","."),"."),LEFT(SUBSTITUTE(LEFT(TRIM(C70),FIND(" ",TRIM(C70)&amp;" ")-1),",","."),FIND("/",SUBSTITUTE(LEFT(TRIM(C70),FIND(" ",TRIM(C70)&amp;" ")-1),",","."))-1)/MID(SUBSTITUTE(LEFT(TRIM(C70),FIND(" ",TRIM(C70)&amp;" ")-1),",","."),FIND("/",SUBSTITUTE(LEFT(TRIM(C70),FIND(" ",TRIM(C70)&amp;" ")-1),",","."))+1,9))*12,NA()))),0),48)*'Aturan &amp; Tarif'!$B$4,2)</f>
        <v>2725.44</v>
      </c>
      <c r="K70" s="42" t="n">
        <f aca="false">'Aturan &amp; Tarif'!$B$5</f>
        <v>2050</v>
      </c>
      <c r="L70" s="35" t="n">
        <f aca="false">I70+J70+K70</f>
        <v>25179.44</v>
      </c>
      <c r="M70" s="45" t="s">
        <v>512</v>
      </c>
    </row>
    <row r="71" customFormat="false" ht="14.25" hidden="false" customHeight="true" outlineLevel="0" collapsed="false">
      <c r="A71" s="39"/>
      <c r="B71" s="40" t="s">
        <v>553</v>
      </c>
      <c r="C71" s="41" t="s">
        <v>107</v>
      </c>
      <c r="D71" s="41" t="s">
        <v>108</v>
      </c>
      <c r="E71" s="42" t="n">
        <v>9848</v>
      </c>
      <c r="F71" s="42"/>
      <c r="G71" s="42"/>
      <c r="H71" s="43" t="n">
        <v>2</v>
      </c>
      <c r="I71" s="34" t="n">
        <f aca="false">E71*H71+N(F71)+N(G71)</f>
        <v>19696</v>
      </c>
      <c r="J71" s="42" t="n">
        <f aca="false">ROUND(IFERROR(ROUND(IF(OR(ISNUMBER(SEARCH("week",C71)),ISNUMBER(SEARCH("minggu",C71))),IFERROR(_xlfn.NUMBERVALUE(SUBSTITUTE(LEFT(TRIM(C71),FIND(" ",TRIM(C71)&amp;" ")-1),",","."),"."),LEFT(SUBSTITUTE(LEFT(TRIM(C71),FIND(" ",TRIM(C71)&amp;" ")-1),",","."),FIND("/",SUBSTITUTE(LEFT(TRIM(C71),FIND(" ",TRIM(C71)&amp;" ")-1),",","."))-1)/MID(SUBSTITUTE(LEFT(TRIM(C71),FIND(" ",TRIM(C71)&amp;" ")-1),",","."),FIND("/",SUBSTITUTE(LEFT(TRIM(C71),FIND(" ",TRIM(C71)&amp;" ")-1),",","."))+1,9))*12/52,IF(ISNUMBER(SEARCH("month",C71)),IFERROR(_xlfn.NUMBERVALUE(SUBSTITUTE(LEFT(TRIM(C71),FIND(" ",TRIM(C71)&amp;" ")-1),",","."),"."),LEFT(SUBSTITUTE(LEFT(TRIM(C71),FIND(" ",TRIM(C71)&amp;" ")-1),",","."),FIND("/",SUBSTITUTE(LEFT(TRIM(C71),FIND(" ",TRIM(C71)&amp;" ")-1),",","."))-1)/MID(SUBSTITUTE(LEFT(TRIM(C71),FIND(" ",TRIM(C71)&amp;" ")-1),",","."),FIND("/",SUBSTITUTE(LEFT(TRIM(C71),FIND(" ",TRIM(C71)&amp;" ")-1),",","."))+1,9)),IF(ISNUMBER(SEARCH("yea",C71)),IFERROR(_xlfn.NUMBERVALUE(SUBSTITUTE(LEFT(TRIM(C71),FIND(" ",TRIM(C71)&amp;" ")-1),",","."),"."),LEFT(SUBSTITUTE(LEFT(TRIM(C71),FIND(" ",TRIM(C71)&amp;" ")-1),",","."),FIND("/",SUBSTITUTE(LEFT(TRIM(C71),FIND(" ",TRIM(C71)&amp;" ")-1),",","."))-1)/MID(SUBSTITUTE(LEFT(TRIM(C71),FIND(" ",TRIM(C71)&amp;" ")-1),",","."),FIND("/",SUBSTITUTE(LEFT(TRIM(C71),FIND(" ",TRIM(C71)&amp;" ")-1),",","."))+1,9))*12,NA()))),0),24)*'Aturan &amp; Tarif'!$B$4,2)</f>
        <v>1362.72</v>
      </c>
      <c r="K71" s="42" t="n">
        <f aca="false">'Aturan &amp; Tarif'!$B$5</f>
        <v>2050</v>
      </c>
      <c r="L71" s="35" t="n">
        <f aca="false">I71+J71+K71</f>
        <v>23108.72</v>
      </c>
      <c r="M71" s="45" t="s">
        <v>512</v>
      </c>
    </row>
    <row r="72" customFormat="false" ht="14.25" hidden="false" customHeight="true" outlineLevel="0" collapsed="false">
      <c r="A72" s="39"/>
      <c r="B72" s="40" t="s">
        <v>554</v>
      </c>
      <c r="C72" s="41" t="s">
        <v>107</v>
      </c>
      <c r="D72" s="41" t="s">
        <v>108</v>
      </c>
      <c r="E72" s="42" t="n">
        <v>8714</v>
      </c>
      <c r="F72" s="42"/>
      <c r="G72" s="42"/>
      <c r="H72" s="43" t="n">
        <v>2</v>
      </c>
      <c r="I72" s="34" t="n">
        <f aca="false">E72*H72+N(F72)+N(G72)</f>
        <v>17428</v>
      </c>
      <c r="J72" s="42" t="n">
        <f aca="false">ROUND(IFERROR(ROUND(IF(OR(ISNUMBER(SEARCH("week",C72)),ISNUMBER(SEARCH("minggu",C72))),IFERROR(_xlfn.NUMBERVALUE(SUBSTITUTE(LEFT(TRIM(C72),FIND(" ",TRIM(C72)&amp;" ")-1),",","."),"."),LEFT(SUBSTITUTE(LEFT(TRIM(C72),FIND(" ",TRIM(C72)&amp;" ")-1),",","."),FIND("/",SUBSTITUTE(LEFT(TRIM(C72),FIND(" ",TRIM(C72)&amp;" ")-1),",","."))-1)/MID(SUBSTITUTE(LEFT(TRIM(C72),FIND(" ",TRIM(C72)&amp;" ")-1),",","."),FIND("/",SUBSTITUTE(LEFT(TRIM(C72),FIND(" ",TRIM(C72)&amp;" ")-1),",","."))+1,9))*12/52,IF(ISNUMBER(SEARCH("month",C72)),IFERROR(_xlfn.NUMBERVALUE(SUBSTITUTE(LEFT(TRIM(C72),FIND(" ",TRIM(C72)&amp;" ")-1),",","."),"."),LEFT(SUBSTITUTE(LEFT(TRIM(C72),FIND(" ",TRIM(C72)&amp;" ")-1),",","."),FIND("/",SUBSTITUTE(LEFT(TRIM(C72),FIND(" ",TRIM(C72)&amp;" ")-1),",","."))-1)/MID(SUBSTITUTE(LEFT(TRIM(C72),FIND(" ",TRIM(C72)&amp;" ")-1),",","."),FIND("/",SUBSTITUTE(LEFT(TRIM(C72),FIND(" ",TRIM(C72)&amp;" ")-1),",","."))+1,9)),IF(ISNUMBER(SEARCH("yea",C72)),IFERROR(_xlfn.NUMBERVALUE(SUBSTITUTE(LEFT(TRIM(C72),FIND(" ",TRIM(C72)&amp;" ")-1),",","."),"."),LEFT(SUBSTITUTE(LEFT(TRIM(C72),FIND(" ",TRIM(C72)&amp;" ")-1),",","."),FIND("/",SUBSTITUTE(LEFT(TRIM(C72),FIND(" ",TRIM(C72)&amp;" ")-1),",","."))-1)/MID(SUBSTITUTE(LEFT(TRIM(C72),FIND(" ",TRIM(C72)&amp;" ")-1),",","."),FIND("/",SUBSTITUTE(LEFT(TRIM(C72),FIND(" ",TRIM(C72)&amp;" ")-1),",","."))+1,9))*12,NA()))),0),24)*'Aturan &amp; Tarif'!$B$4,2)</f>
        <v>1362.72</v>
      </c>
      <c r="K72" s="42" t="n">
        <f aca="false">'Aturan &amp; Tarif'!$B$5</f>
        <v>2050</v>
      </c>
      <c r="L72" s="35" t="n">
        <f aca="false">I72+J72+K72</f>
        <v>20840.72</v>
      </c>
      <c r="M72" s="45" t="s">
        <v>512</v>
      </c>
    </row>
    <row r="73" customFormat="false" ht="14.25" hidden="false" customHeight="true" outlineLevel="0" collapsed="false">
      <c r="A73" s="39"/>
      <c r="B73" s="40" t="s">
        <v>555</v>
      </c>
      <c r="C73" s="41" t="s">
        <v>107</v>
      </c>
      <c r="D73" s="41" t="s">
        <v>108</v>
      </c>
      <c r="E73" s="42" t="n">
        <v>10388</v>
      </c>
      <c r="F73" s="42"/>
      <c r="G73" s="42"/>
      <c r="H73" s="43" t="n">
        <v>2</v>
      </c>
      <c r="I73" s="34" t="n">
        <f aca="false">E73*H73+N(F73)+N(G73)</f>
        <v>20776</v>
      </c>
      <c r="J73" s="42" t="n">
        <f aca="false">ROUND(IFERROR(ROUND(IF(OR(ISNUMBER(SEARCH("week",C73)),ISNUMBER(SEARCH("minggu",C73))),IFERROR(_xlfn.NUMBERVALUE(SUBSTITUTE(LEFT(TRIM(C73),FIND(" ",TRIM(C73)&amp;" ")-1),",","."),"."),LEFT(SUBSTITUTE(LEFT(TRIM(C73),FIND(" ",TRIM(C73)&amp;" ")-1),",","."),FIND("/",SUBSTITUTE(LEFT(TRIM(C73),FIND(" ",TRIM(C73)&amp;" ")-1),",","."))-1)/MID(SUBSTITUTE(LEFT(TRIM(C73),FIND(" ",TRIM(C73)&amp;" ")-1),",","."),FIND("/",SUBSTITUTE(LEFT(TRIM(C73),FIND(" ",TRIM(C73)&amp;" ")-1),",","."))+1,9))*12/52,IF(ISNUMBER(SEARCH("month",C73)),IFERROR(_xlfn.NUMBERVALUE(SUBSTITUTE(LEFT(TRIM(C73),FIND(" ",TRIM(C73)&amp;" ")-1),",","."),"."),LEFT(SUBSTITUTE(LEFT(TRIM(C73),FIND(" ",TRIM(C73)&amp;" ")-1),",","."),FIND("/",SUBSTITUTE(LEFT(TRIM(C73),FIND(" ",TRIM(C73)&amp;" ")-1),",","."))-1)/MID(SUBSTITUTE(LEFT(TRIM(C73),FIND(" ",TRIM(C73)&amp;" ")-1),",","."),FIND("/",SUBSTITUTE(LEFT(TRIM(C73),FIND(" ",TRIM(C73)&amp;" ")-1),",","."))+1,9)),IF(ISNUMBER(SEARCH("yea",C73)),IFERROR(_xlfn.NUMBERVALUE(SUBSTITUTE(LEFT(TRIM(C73),FIND(" ",TRIM(C73)&amp;" ")-1),",","."),"."),LEFT(SUBSTITUTE(LEFT(TRIM(C73),FIND(" ",TRIM(C73)&amp;" ")-1),",","."),FIND("/",SUBSTITUTE(LEFT(TRIM(C73),FIND(" ",TRIM(C73)&amp;" ")-1),",","."))-1)/MID(SUBSTITUTE(LEFT(TRIM(C73),FIND(" ",TRIM(C73)&amp;" ")-1),",","."),FIND("/",SUBSTITUTE(LEFT(TRIM(C73),FIND(" ",TRIM(C73)&amp;" ")-1),",","."))+1,9))*12,NA()))),0),24)*'Aturan &amp; Tarif'!$B$4,2)</f>
        <v>1362.72</v>
      </c>
      <c r="K73" s="42" t="n">
        <f aca="false">'Aturan &amp; Tarif'!$B$5</f>
        <v>2050</v>
      </c>
      <c r="L73" s="35" t="n">
        <f aca="false">I73+J73+K73</f>
        <v>24188.72</v>
      </c>
      <c r="M73" s="45" t="s">
        <v>512</v>
      </c>
    </row>
    <row r="74" customFormat="false" ht="14.25" hidden="false" customHeight="true" outlineLevel="0" collapsed="false">
      <c r="A74" s="39"/>
      <c r="B74" s="40" t="s">
        <v>556</v>
      </c>
      <c r="C74" s="41" t="s">
        <v>107</v>
      </c>
      <c r="D74" s="41" t="s">
        <v>108</v>
      </c>
      <c r="E74" s="42" t="n">
        <v>10202</v>
      </c>
      <c r="F74" s="42"/>
      <c r="G74" s="42"/>
      <c r="H74" s="43" t="n">
        <v>2</v>
      </c>
      <c r="I74" s="34" t="n">
        <f aca="false">E74*H74+N(F74)+N(G74)</f>
        <v>20404</v>
      </c>
      <c r="J74" s="42" t="n">
        <f aca="false">ROUND(IFERROR(ROUND(IF(OR(ISNUMBER(SEARCH("week",C74)),ISNUMBER(SEARCH("minggu",C74))),IFERROR(_xlfn.NUMBERVALUE(SUBSTITUTE(LEFT(TRIM(C74),FIND(" ",TRIM(C74)&amp;" ")-1),",","."),"."),LEFT(SUBSTITUTE(LEFT(TRIM(C74),FIND(" ",TRIM(C74)&amp;" ")-1),",","."),FIND("/",SUBSTITUTE(LEFT(TRIM(C74),FIND(" ",TRIM(C74)&amp;" ")-1),",","."))-1)/MID(SUBSTITUTE(LEFT(TRIM(C74),FIND(" ",TRIM(C74)&amp;" ")-1),",","."),FIND("/",SUBSTITUTE(LEFT(TRIM(C74),FIND(" ",TRIM(C74)&amp;" ")-1),",","."))+1,9))*12/52,IF(ISNUMBER(SEARCH("month",C74)),IFERROR(_xlfn.NUMBERVALUE(SUBSTITUTE(LEFT(TRIM(C74),FIND(" ",TRIM(C74)&amp;" ")-1),",","."),"."),LEFT(SUBSTITUTE(LEFT(TRIM(C74),FIND(" ",TRIM(C74)&amp;" ")-1),",","."),FIND("/",SUBSTITUTE(LEFT(TRIM(C74),FIND(" ",TRIM(C74)&amp;" ")-1),",","."))-1)/MID(SUBSTITUTE(LEFT(TRIM(C74),FIND(" ",TRIM(C74)&amp;" ")-1),",","."),FIND("/",SUBSTITUTE(LEFT(TRIM(C74),FIND(" ",TRIM(C74)&amp;" ")-1),",","."))+1,9)),IF(ISNUMBER(SEARCH("yea",C74)),IFERROR(_xlfn.NUMBERVALUE(SUBSTITUTE(LEFT(TRIM(C74),FIND(" ",TRIM(C74)&amp;" ")-1),",","."),"."),LEFT(SUBSTITUTE(LEFT(TRIM(C74),FIND(" ",TRIM(C74)&amp;" ")-1),",","."),FIND("/",SUBSTITUTE(LEFT(TRIM(C74),FIND(" ",TRIM(C74)&amp;" ")-1),",","."))-1)/MID(SUBSTITUTE(LEFT(TRIM(C74),FIND(" ",TRIM(C74)&amp;" ")-1),",","."),FIND("/",SUBSTITUTE(LEFT(TRIM(C74),FIND(" ",TRIM(C74)&amp;" ")-1),",","."))+1,9))*12,NA()))),0),24)*'Aturan &amp; Tarif'!$B$4,2)</f>
        <v>1362.72</v>
      </c>
      <c r="K74" s="42" t="n">
        <f aca="false">'Aturan &amp; Tarif'!$B$5</f>
        <v>2050</v>
      </c>
      <c r="L74" s="35" t="n">
        <f aca="false">I74+J74+K74</f>
        <v>23816.72</v>
      </c>
      <c r="M74" s="45" t="s">
        <v>512</v>
      </c>
    </row>
    <row r="75" customFormat="false" ht="14.25" hidden="false" customHeight="true" outlineLevel="0" collapsed="false">
      <c r="A75" s="39"/>
      <c r="B75" s="40" t="s">
        <v>557</v>
      </c>
      <c r="C75" s="41" t="s">
        <v>130</v>
      </c>
      <c r="D75" s="41" t="s">
        <v>108</v>
      </c>
      <c r="E75" s="42" t="n">
        <v>9120</v>
      </c>
      <c r="F75" s="42"/>
      <c r="G75" s="42"/>
      <c r="H75" s="43" t="n">
        <v>2</v>
      </c>
      <c r="I75" s="34" t="n">
        <f aca="false">E75*H75+N(F75)+N(G75)</f>
        <v>18240</v>
      </c>
      <c r="J75" s="42" t="n">
        <f aca="false">ROUND(IFERROR(ROUND(IF(OR(ISNUMBER(SEARCH("week",C75)),ISNUMBER(SEARCH("minggu",C75))),IFERROR(_xlfn.NUMBERVALUE(SUBSTITUTE(LEFT(TRIM(C75),FIND(" ",TRIM(C75)&amp;" ")-1),",","."),"."),LEFT(SUBSTITUTE(LEFT(TRIM(C75),FIND(" ",TRIM(C75)&amp;" ")-1),",","."),FIND("/",SUBSTITUTE(LEFT(TRIM(C75),FIND(" ",TRIM(C75)&amp;" ")-1),",","."))-1)/MID(SUBSTITUTE(LEFT(TRIM(C75),FIND(" ",TRIM(C75)&amp;" ")-1),",","."),FIND("/",SUBSTITUTE(LEFT(TRIM(C75),FIND(" ",TRIM(C75)&amp;" ")-1),",","."))+1,9))*12/52,IF(ISNUMBER(SEARCH("month",C75)),IFERROR(_xlfn.NUMBERVALUE(SUBSTITUTE(LEFT(TRIM(C75),FIND(" ",TRIM(C75)&amp;" ")-1),",","."),"."),LEFT(SUBSTITUTE(LEFT(TRIM(C75),FIND(" ",TRIM(C75)&amp;" ")-1),",","."),FIND("/",SUBSTITUTE(LEFT(TRIM(C75),FIND(" ",TRIM(C75)&amp;" ")-1),",","."))-1)/MID(SUBSTITUTE(LEFT(TRIM(C75),FIND(" ",TRIM(C75)&amp;" ")-1),",","."),FIND("/",SUBSTITUTE(LEFT(TRIM(C75),FIND(" ",TRIM(C75)&amp;" ")-1),",","."))+1,9)),IF(ISNUMBER(SEARCH("yea",C75)),IFERROR(_xlfn.NUMBERVALUE(SUBSTITUTE(LEFT(TRIM(C75),FIND(" ",TRIM(C75)&amp;" ")-1),",","."),"."),LEFT(SUBSTITUTE(LEFT(TRIM(C75),FIND(" ",TRIM(C75)&amp;" ")-1),",","."),FIND("/",SUBSTITUTE(LEFT(TRIM(C75),FIND(" ",TRIM(C75)&amp;" ")-1),",","."))-1)/MID(SUBSTITUTE(LEFT(TRIM(C75),FIND(" ",TRIM(C75)&amp;" ")-1),",","."),FIND("/",SUBSTITUTE(LEFT(TRIM(C75),FIND(" ",TRIM(C75)&amp;" ")-1),",","."))+1,9))*12,NA()))),0),12)*'Aturan &amp; Tarif'!$B$4,2)</f>
        <v>681.36</v>
      </c>
      <c r="K75" s="42" t="n">
        <f aca="false">'Aturan &amp; Tarif'!$B$5</f>
        <v>2050</v>
      </c>
      <c r="L75" s="35" t="n">
        <f aca="false">I75+J75+K75</f>
        <v>20971.36</v>
      </c>
      <c r="M75" s="45" t="s">
        <v>512</v>
      </c>
    </row>
    <row r="76" customFormat="false" ht="14.25" hidden="false" customHeight="true" outlineLevel="0" collapsed="false">
      <c r="A76" s="39"/>
      <c r="B76" s="40" t="s">
        <v>558</v>
      </c>
      <c r="C76" s="41" t="s">
        <v>130</v>
      </c>
      <c r="D76" s="41" t="s">
        <v>108</v>
      </c>
      <c r="E76" s="42" t="n">
        <v>8896</v>
      </c>
      <c r="F76" s="42"/>
      <c r="G76" s="42"/>
      <c r="H76" s="43" t="n">
        <v>2</v>
      </c>
      <c r="I76" s="34" t="n">
        <f aca="false">E76*H76+N(F76)+N(G76)</f>
        <v>17792</v>
      </c>
      <c r="J76" s="42" t="n">
        <f aca="false">ROUND(IFERROR(ROUND(IF(OR(ISNUMBER(SEARCH("week",C76)),ISNUMBER(SEARCH("minggu",C76))),IFERROR(_xlfn.NUMBERVALUE(SUBSTITUTE(LEFT(TRIM(C76),FIND(" ",TRIM(C76)&amp;" ")-1),",","."),"."),LEFT(SUBSTITUTE(LEFT(TRIM(C76),FIND(" ",TRIM(C76)&amp;" ")-1),",","."),FIND("/",SUBSTITUTE(LEFT(TRIM(C76),FIND(" ",TRIM(C76)&amp;" ")-1),",","."))-1)/MID(SUBSTITUTE(LEFT(TRIM(C76),FIND(" ",TRIM(C76)&amp;" ")-1),",","."),FIND("/",SUBSTITUTE(LEFT(TRIM(C76),FIND(" ",TRIM(C76)&amp;" ")-1),",","."))+1,9))*12/52,IF(ISNUMBER(SEARCH("month",C76)),IFERROR(_xlfn.NUMBERVALUE(SUBSTITUTE(LEFT(TRIM(C76),FIND(" ",TRIM(C76)&amp;" ")-1),",","."),"."),LEFT(SUBSTITUTE(LEFT(TRIM(C76),FIND(" ",TRIM(C76)&amp;" ")-1),",","."),FIND("/",SUBSTITUTE(LEFT(TRIM(C76),FIND(" ",TRIM(C76)&amp;" ")-1),",","."))-1)/MID(SUBSTITUTE(LEFT(TRIM(C76),FIND(" ",TRIM(C76)&amp;" ")-1),",","."),FIND("/",SUBSTITUTE(LEFT(TRIM(C76),FIND(" ",TRIM(C76)&amp;" ")-1),",","."))+1,9)),IF(ISNUMBER(SEARCH("yea",C76)),IFERROR(_xlfn.NUMBERVALUE(SUBSTITUTE(LEFT(TRIM(C76),FIND(" ",TRIM(C76)&amp;" ")-1),",","."),"."),LEFT(SUBSTITUTE(LEFT(TRIM(C76),FIND(" ",TRIM(C76)&amp;" ")-1),",","."),FIND("/",SUBSTITUTE(LEFT(TRIM(C76),FIND(" ",TRIM(C76)&amp;" ")-1),",","."))-1)/MID(SUBSTITUTE(LEFT(TRIM(C76),FIND(" ",TRIM(C76)&amp;" ")-1),",","."),FIND("/",SUBSTITUTE(LEFT(TRIM(C76),FIND(" ",TRIM(C76)&amp;" ")-1),",","."))+1,9))*12,NA()))),0),12)*'Aturan &amp; Tarif'!$B$4,2)</f>
        <v>681.36</v>
      </c>
      <c r="K76" s="42" t="n">
        <f aca="false">'Aturan &amp; Tarif'!$B$5</f>
        <v>2050</v>
      </c>
      <c r="L76" s="35" t="n">
        <f aca="false">I76+J76+K76</f>
        <v>20523.36</v>
      </c>
      <c r="M76" s="45" t="s">
        <v>512</v>
      </c>
    </row>
    <row r="77" customFormat="false" ht="14.25" hidden="false" customHeight="true" outlineLevel="0" collapsed="false">
      <c r="A77" s="39"/>
      <c r="B77" s="40" t="s">
        <v>559</v>
      </c>
      <c r="C77" s="41" t="s">
        <v>130</v>
      </c>
      <c r="D77" s="41" t="s">
        <v>108</v>
      </c>
      <c r="E77" s="42" t="n">
        <v>8684</v>
      </c>
      <c r="F77" s="42"/>
      <c r="G77" s="42"/>
      <c r="H77" s="43" t="n">
        <v>2</v>
      </c>
      <c r="I77" s="34" t="n">
        <f aca="false">E77*H77+N(F77)+N(G77)</f>
        <v>17368</v>
      </c>
      <c r="J77" s="42" t="n">
        <f aca="false">ROUND(IFERROR(ROUND(IF(OR(ISNUMBER(SEARCH("week",C77)),ISNUMBER(SEARCH("minggu",C77))),IFERROR(_xlfn.NUMBERVALUE(SUBSTITUTE(LEFT(TRIM(C77),FIND(" ",TRIM(C77)&amp;" ")-1),",","."),"."),LEFT(SUBSTITUTE(LEFT(TRIM(C77),FIND(" ",TRIM(C77)&amp;" ")-1),",","."),FIND("/",SUBSTITUTE(LEFT(TRIM(C77),FIND(" ",TRIM(C77)&amp;" ")-1),",","."))-1)/MID(SUBSTITUTE(LEFT(TRIM(C77),FIND(" ",TRIM(C77)&amp;" ")-1),",","."),FIND("/",SUBSTITUTE(LEFT(TRIM(C77),FIND(" ",TRIM(C77)&amp;" ")-1),",","."))+1,9))*12/52,IF(ISNUMBER(SEARCH("month",C77)),IFERROR(_xlfn.NUMBERVALUE(SUBSTITUTE(LEFT(TRIM(C77),FIND(" ",TRIM(C77)&amp;" ")-1),",","."),"."),LEFT(SUBSTITUTE(LEFT(TRIM(C77),FIND(" ",TRIM(C77)&amp;" ")-1),",","."),FIND("/",SUBSTITUTE(LEFT(TRIM(C77),FIND(" ",TRIM(C77)&amp;" ")-1),",","."))-1)/MID(SUBSTITUTE(LEFT(TRIM(C77),FIND(" ",TRIM(C77)&amp;" ")-1),",","."),FIND("/",SUBSTITUTE(LEFT(TRIM(C77),FIND(" ",TRIM(C77)&amp;" ")-1),",","."))+1,9)),IF(ISNUMBER(SEARCH("yea",C77)),IFERROR(_xlfn.NUMBERVALUE(SUBSTITUTE(LEFT(TRIM(C77),FIND(" ",TRIM(C77)&amp;" ")-1),",","."),"."),LEFT(SUBSTITUTE(LEFT(TRIM(C77),FIND(" ",TRIM(C77)&amp;" ")-1),",","."),FIND("/",SUBSTITUTE(LEFT(TRIM(C77),FIND(" ",TRIM(C77)&amp;" ")-1),",","."))-1)/MID(SUBSTITUTE(LEFT(TRIM(C77),FIND(" ",TRIM(C77)&amp;" ")-1),",","."),FIND("/",SUBSTITUTE(LEFT(TRIM(C77),FIND(" ",TRIM(C77)&amp;" ")-1),",","."))+1,9))*12,NA()))),0),12)*'Aturan &amp; Tarif'!$B$4,2)</f>
        <v>681.36</v>
      </c>
      <c r="K77" s="42" t="n">
        <f aca="false">'Aturan &amp; Tarif'!$B$5</f>
        <v>2050</v>
      </c>
      <c r="L77" s="35" t="n">
        <f aca="false">I77+J77+K77</f>
        <v>20099.36</v>
      </c>
      <c r="M77" s="45" t="s">
        <v>512</v>
      </c>
    </row>
    <row r="78" customFormat="false" ht="60" hidden="false" customHeight="true" outlineLevel="0" collapsed="false">
      <c r="A78" s="39"/>
      <c r="B78" s="40" t="s">
        <v>560</v>
      </c>
      <c r="C78" s="41" t="s">
        <v>344</v>
      </c>
      <c r="D78" s="41" t="s">
        <v>108</v>
      </c>
      <c r="E78" s="42" t="n">
        <v>8686</v>
      </c>
      <c r="F78" s="42"/>
      <c r="G78" s="42"/>
      <c r="H78" s="43" t="n">
        <v>2</v>
      </c>
      <c r="I78" s="34" t="n">
        <f aca="false">E78*H78+N(F78)+N(G78)</f>
        <v>17372</v>
      </c>
      <c r="J78" s="42" t="n">
        <f aca="false">ROUND(IFERROR(ROUND(IF(OR(ISNUMBER(SEARCH("week",C78)),ISNUMBER(SEARCH("minggu",C78))),IFERROR(_xlfn.NUMBERVALUE(SUBSTITUTE(LEFT(TRIM(C78),FIND(" ",TRIM(C78)&amp;" ")-1),",","."),"."),LEFT(SUBSTITUTE(LEFT(TRIM(C78),FIND(" ",TRIM(C78)&amp;" ")-1),",","."),FIND("/",SUBSTITUTE(LEFT(TRIM(C78),FIND(" ",TRIM(C78)&amp;" ")-1),",","."))-1)/MID(SUBSTITUTE(LEFT(TRIM(C78),FIND(" ",TRIM(C78)&amp;" ")-1),",","."),FIND("/",SUBSTITUTE(LEFT(TRIM(C78),FIND(" ",TRIM(C78)&amp;" ")-1),",","."))+1,9))*12/52,IF(ISNUMBER(SEARCH("month",C78)),IFERROR(_xlfn.NUMBERVALUE(SUBSTITUTE(LEFT(TRIM(C78),FIND(" ",TRIM(C78)&amp;" ")-1),",","."),"."),LEFT(SUBSTITUTE(LEFT(TRIM(C78),FIND(" ",TRIM(C78)&amp;" ")-1),",","."),FIND("/",SUBSTITUTE(LEFT(TRIM(C78),FIND(" ",TRIM(C78)&amp;" ")-1),",","."))-1)/MID(SUBSTITUTE(LEFT(TRIM(C78),FIND(" ",TRIM(C78)&amp;" ")-1),",","."),FIND("/",SUBSTITUTE(LEFT(TRIM(C78),FIND(" ",TRIM(C78)&amp;" ")-1),",","."))+1,9)),IF(ISNUMBER(SEARCH("yea",C78)),IFERROR(_xlfn.NUMBERVALUE(SUBSTITUTE(LEFT(TRIM(C78),FIND(" ",TRIM(C78)&amp;" ")-1),",","."),"."),LEFT(SUBSTITUTE(LEFT(TRIM(C78),FIND(" ",TRIM(C78)&amp;" ")-1),",","."),FIND("/",SUBSTITUTE(LEFT(TRIM(C78),FIND(" ",TRIM(C78)&amp;" ")-1),",","."))-1)/MID(SUBSTITUTE(LEFT(TRIM(C78),FIND(" ",TRIM(C78)&amp;" ")-1),",","."),FIND("/",SUBSTITUTE(LEFT(TRIM(C78),FIND(" ",TRIM(C78)&amp;" ")-1),",","."))+1,9))*12,NA()))),0),6)*'Aturan &amp; Tarif'!$B$4,2)</f>
        <v>340.68</v>
      </c>
      <c r="K78" s="42" t="n">
        <f aca="false">'Aturan &amp; Tarif'!$B$5</f>
        <v>2050</v>
      </c>
      <c r="L78" s="35" t="n">
        <f aca="false">I78+J78+K78</f>
        <v>19762.68</v>
      </c>
      <c r="M78" s="44" t="s">
        <v>561</v>
      </c>
    </row>
    <row r="79" customFormat="false" ht="14.25" hidden="false" customHeight="true" outlineLevel="0" collapsed="false">
      <c r="A79" s="39"/>
      <c r="B79" s="40" t="s">
        <v>562</v>
      </c>
      <c r="C79" s="41" t="s">
        <v>127</v>
      </c>
      <c r="D79" s="41" t="s">
        <v>108</v>
      </c>
      <c r="E79" s="42" t="n">
        <v>9512</v>
      </c>
      <c r="F79" s="42"/>
      <c r="G79" s="42"/>
      <c r="H79" s="43" t="n">
        <v>2</v>
      </c>
      <c r="I79" s="34" t="n">
        <f aca="false">E79*H79+N(F79)+N(G79)</f>
        <v>19024</v>
      </c>
      <c r="J79" s="42" t="n">
        <f aca="false">ROUND(IFERROR(ROUND(IF(OR(ISNUMBER(SEARCH("week",C79)),ISNUMBER(SEARCH("minggu",C79))),IFERROR(_xlfn.NUMBERVALUE(SUBSTITUTE(LEFT(TRIM(C79),FIND(" ",TRIM(C79)&amp;" ")-1),",","."),"."),LEFT(SUBSTITUTE(LEFT(TRIM(C79),FIND(" ",TRIM(C79)&amp;" ")-1),",","."),FIND("/",SUBSTITUTE(LEFT(TRIM(C79),FIND(" ",TRIM(C79)&amp;" ")-1),",","."))-1)/MID(SUBSTITUTE(LEFT(TRIM(C79),FIND(" ",TRIM(C79)&amp;" ")-1),",","."),FIND("/",SUBSTITUTE(LEFT(TRIM(C79),FIND(" ",TRIM(C79)&amp;" ")-1),",","."))+1,9))*12/52,IF(ISNUMBER(SEARCH("month",C79)),IFERROR(_xlfn.NUMBERVALUE(SUBSTITUTE(LEFT(TRIM(C79),FIND(" ",TRIM(C79)&amp;" ")-1),",","."),"."),LEFT(SUBSTITUTE(LEFT(TRIM(C79),FIND(" ",TRIM(C79)&amp;" ")-1),",","."),FIND("/",SUBSTITUTE(LEFT(TRIM(C79),FIND(" ",TRIM(C79)&amp;" ")-1),",","."))-1)/MID(SUBSTITUTE(LEFT(TRIM(C79),FIND(" ",TRIM(C79)&amp;" ")-1),",","."),FIND("/",SUBSTITUTE(LEFT(TRIM(C79),FIND(" ",TRIM(C79)&amp;" ")-1),",","."))+1,9)),IF(ISNUMBER(SEARCH("yea",C79)),IFERROR(_xlfn.NUMBERVALUE(SUBSTITUTE(LEFT(TRIM(C79),FIND(" ",TRIM(C79)&amp;" ")-1),",","."),"."),LEFT(SUBSTITUTE(LEFT(TRIM(C79),FIND(" ",TRIM(C79)&amp;" ")-1),",","."),FIND("/",SUBSTITUTE(LEFT(TRIM(C79),FIND(" ",TRIM(C79)&amp;" ")-1),",","."))-1)/MID(SUBSTITUTE(LEFT(TRIM(C79),FIND(" ",TRIM(C79)&amp;" ")-1),",","."),FIND("/",SUBSTITUTE(LEFT(TRIM(C79),FIND(" ",TRIM(C79)&amp;" ")-1),",","."))+1,9))*12,NA()))),0),36)*'Aturan &amp; Tarif'!$B$4,2)</f>
        <v>2044.08</v>
      </c>
      <c r="K79" s="42" t="n">
        <f aca="false">'Aturan &amp; Tarif'!$B$5</f>
        <v>2050</v>
      </c>
      <c r="L79" s="35" t="n">
        <f aca="false">I79+J79+K79</f>
        <v>23118.08</v>
      </c>
      <c r="M79" s="45" t="s">
        <v>512</v>
      </c>
    </row>
    <row r="80" customFormat="false" ht="14.25" hidden="false" customHeight="true" outlineLevel="0" collapsed="false">
      <c r="A80" s="39"/>
      <c r="B80" s="40" t="s">
        <v>251</v>
      </c>
      <c r="C80" s="41" t="s">
        <v>127</v>
      </c>
      <c r="D80" s="41" t="s">
        <v>108</v>
      </c>
      <c r="E80" s="42" t="n">
        <v>9512</v>
      </c>
      <c r="F80" s="42"/>
      <c r="G80" s="42"/>
      <c r="H80" s="43" t="n">
        <v>2</v>
      </c>
      <c r="I80" s="34" t="n">
        <f aca="false">E80*H80+N(F80)+N(G80)</f>
        <v>19024</v>
      </c>
      <c r="J80" s="42" t="n">
        <f aca="false">ROUND(IFERROR(ROUND(IF(OR(ISNUMBER(SEARCH("week",C80)),ISNUMBER(SEARCH("minggu",C80))),IFERROR(_xlfn.NUMBERVALUE(SUBSTITUTE(LEFT(TRIM(C80),FIND(" ",TRIM(C80)&amp;" ")-1),",","."),"."),LEFT(SUBSTITUTE(LEFT(TRIM(C80),FIND(" ",TRIM(C80)&amp;" ")-1),",","."),FIND("/",SUBSTITUTE(LEFT(TRIM(C80),FIND(" ",TRIM(C80)&amp;" ")-1),",","."))-1)/MID(SUBSTITUTE(LEFT(TRIM(C80),FIND(" ",TRIM(C80)&amp;" ")-1),",","."),FIND("/",SUBSTITUTE(LEFT(TRIM(C80),FIND(" ",TRIM(C80)&amp;" ")-1),",","."))+1,9))*12/52,IF(ISNUMBER(SEARCH("month",C80)),IFERROR(_xlfn.NUMBERVALUE(SUBSTITUTE(LEFT(TRIM(C80),FIND(" ",TRIM(C80)&amp;" ")-1),",","."),"."),LEFT(SUBSTITUTE(LEFT(TRIM(C80),FIND(" ",TRIM(C80)&amp;" ")-1),",","."),FIND("/",SUBSTITUTE(LEFT(TRIM(C80),FIND(" ",TRIM(C80)&amp;" ")-1),",","."))-1)/MID(SUBSTITUTE(LEFT(TRIM(C80),FIND(" ",TRIM(C80)&amp;" ")-1),",","."),FIND("/",SUBSTITUTE(LEFT(TRIM(C80),FIND(" ",TRIM(C80)&amp;" ")-1),",","."))+1,9)),IF(ISNUMBER(SEARCH("yea",C80)),IFERROR(_xlfn.NUMBERVALUE(SUBSTITUTE(LEFT(TRIM(C80),FIND(" ",TRIM(C80)&amp;" ")-1),",","."),"."),LEFT(SUBSTITUTE(LEFT(TRIM(C80),FIND(" ",TRIM(C80)&amp;" ")-1),",","."),FIND("/",SUBSTITUTE(LEFT(TRIM(C80),FIND(" ",TRIM(C80)&amp;" ")-1),",","."))-1)/MID(SUBSTITUTE(LEFT(TRIM(C80),FIND(" ",TRIM(C80)&amp;" ")-1),",","."),FIND("/",SUBSTITUTE(LEFT(TRIM(C80),FIND(" ",TRIM(C80)&amp;" ")-1),",","."))+1,9))*12,NA()))),0),36)*'Aturan &amp; Tarif'!$B$4,2)</f>
        <v>2044.08</v>
      </c>
      <c r="K80" s="42" t="n">
        <f aca="false">'Aturan &amp; Tarif'!$B$5</f>
        <v>2050</v>
      </c>
      <c r="L80" s="35" t="n">
        <f aca="false">I80+J80+K80</f>
        <v>23118.08</v>
      </c>
      <c r="M80" s="45" t="s">
        <v>512</v>
      </c>
    </row>
    <row r="81" customFormat="false" ht="14.25" hidden="false" customHeight="true" outlineLevel="0" collapsed="false">
      <c r="A81" s="39"/>
      <c r="B81" s="40" t="s">
        <v>563</v>
      </c>
      <c r="C81" s="41" t="s">
        <v>130</v>
      </c>
      <c r="D81" s="41" t="s">
        <v>108</v>
      </c>
      <c r="E81" s="42" t="n">
        <v>9512</v>
      </c>
      <c r="F81" s="42"/>
      <c r="G81" s="42"/>
      <c r="H81" s="43" t="n">
        <v>2</v>
      </c>
      <c r="I81" s="34" t="n">
        <f aca="false">E81*H81+N(F81)+N(G81)</f>
        <v>19024</v>
      </c>
      <c r="J81" s="42" t="n">
        <f aca="false">ROUND(IFERROR(ROUND(IF(OR(ISNUMBER(SEARCH("week",C81)),ISNUMBER(SEARCH("minggu",C81))),IFERROR(_xlfn.NUMBERVALUE(SUBSTITUTE(LEFT(TRIM(C81),FIND(" ",TRIM(C81)&amp;" ")-1),",","."),"."),LEFT(SUBSTITUTE(LEFT(TRIM(C81),FIND(" ",TRIM(C81)&amp;" ")-1),",","."),FIND("/",SUBSTITUTE(LEFT(TRIM(C81),FIND(" ",TRIM(C81)&amp;" ")-1),",","."))-1)/MID(SUBSTITUTE(LEFT(TRIM(C81),FIND(" ",TRIM(C81)&amp;" ")-1),",","."),FIND("/",SUBSTITUTE(LEFT(TRIM(C81),FIND(" ",TRIM(C81)&amp;" ")-1),",","."))+1,9))*12/52,IF(ISNUMBER(SEARCH("month",C81)),IFERROR(_xlfn.NUMBERVALUE(SUBSTITUTE(LEFT(TRIM(C81),FIND(" ",TRIM(C81)&amp;" ")-1),",","."),"."),LEFT(SUBSTITUTE(LEFT(TRIM(C81),FIND(" ",TRIM(C81)&amp;" ")-1),",","."),FIND("/",SUBSTITUTE(LEFT(TRIM(C81),FIND(" ",TRIM(C81)&amp;" ")-1),",","."))-1)/MID(SUBSTITUTE(LEFT(TRIM(C81),FIND(" ",TRIM(C81)&amp;" ")-1),",","."),FIND("/",SUBSTITUTE(LEFT(TRIM(C81),FIND(" ",TRIM(C81)&amp;" ")-1),",","."))+1,9)),IF(ISNUMBER(SEARCH("yea",C81)),IFERROR(_xlfn.NUMBERVALUE(SUBSTITUTE(LEFT(TRIM(C81),FIND(" ",TRIM(C81)&amp;" ")-1),",","."),"."),LEFT(SUBSTITUTE(LEFT(TRIM(C81),FIND(" ",TRIM(C81)&amp;" ")-1),",","."),FIND("/",SUBSTITUTE(LEFT(TRIM(C81),FIND(" ",TRIM(C81)&amp;" ")-1),",","."))-1)/MID(SUBSTITUTE(LEFT(TRIM(C81),FIND(" ",TRIM(C81)&amp;" ")-1),",","."),FIND("/",SUBSTITUTE(LEFT(TRIM(C81),FIND(" ",TRIM(C81)&amp;" ")-1),",","."))+1,9))*12,NA()))),0),12)*'Aturan &amp; Tarif'!$B$4,2)</f>
        <v>681.36</v>
      </c>
      <c r="K81" s="42" t="n">
        <f aca="false">'Aturan &amp; Tarif'!$B$5</f>
        <v>2050</v>
      </c>
      <c r="L81" s="35" t="n">
        <f aca="false">I81+J81+K81</f>
        <v>21755.36</v>
      </c>
      <c r="M81" s="45" t="s">
        <v>512</v>
      </c>
    </row>
    <row r="82" customFormat="false" ht="14.25" hidden="false" customHeight="true" outlineLevel="0" collapsed="false">
      <c r="A82" s="39"/>
      <c r="B82" s="40" t="s">
        <v>261</v>
      </c>
      <c r="C82" s="41" t="s">
        <v>127</v>
      </c>
      <c r="D82" s="41" t="s">
        <v>108</v>
      </c>
      <c r="E82" s="42" t="n">
        <v>8896</v>
      </c>
      <c r="F82" s="42"/>
      <c r="G82" s="42"/>
      <c r="H82" s="43" t="n">
        <v>2</v>
      </c>
      <c r="I82" s="34" t="n">
        <f aca="false">E82*H82+N(F82)+N(G82)</f>
        <v>17792</v>
      </c>
      <c r="J82" s="42" t="n">
        <f aca="false">ROUND(IFERROR(ROUND(IF(OR(ISNUMBER(SEARCH("week",C82)),ISNUMBER(SEARCH("minggu",C82))),IFERROR(_xlfn.NUMBERVALUE(SUBSTITUTE(LEFT(TRIM(C82),FIND(" ",TRIM(C82)&amp;" ")-1),",","."),"."),LEFT(SUBSTITUTE(LEFT(TRIM(C82),FIND(" ",TRIM(C82)&amp;" ")-1),",","."),FIND("/",SUBSTITUTE(LEFT(TRIM(C82),FIND(" ",TRIM(C82)&amp;" ")-1),",","."))-1)/MID(SUBSTITUTE(LEFT(TRIM(C82),FIND(" ",TRIM(C82)&amp;" ")-1),",","."),FIND("/",SUBSTITUTE(LEFT(TRIM(C82),FIND(" ",TRIM(C82)&amp;" ")-1),",","."))+1,9))*12/52,IF(ISNUMBER(SEARCH("month",C82)),IFERROR(_xlfn.NUMBERVALUE(SUBSTITUTE(LEFT(TRIM(C82),FIND(" ",TRIM(C82)&amp;" ")-1),",","."),"."),LEFT(SUBSTITUTE(LEFT(TRIM(C82),FIND(" ",TRIM(C82)&amp;" ")-1),",","."),FIND("/",SUBSTITUTE(LEFT(TRIM(C82),FIND(" ",TRIM(C82)&amp;" ")-1),",","."))-1)/MID(SUBSTITUTE(LEFT(TRIM(C82),FIND(" ",TRIM(C82)&amp;" ")-1),",","."),FIND("/",SUBSTITUTE(LEFT(TRIM(C82),FIND(" ",TRIM(C82)&amp;" ")-1),",","."))+1,9)),IF(ISNUMBER(SEARCH("yea",C82)),IFERROR(_xlfn.NUMBERVALUE(SUBSTITUTE(LEFT(TRIM(C82),FIND(" ",TRIM(C82)&amp;" ")-1),",","."),"."),LEFT(SUBSTITUTE(LEFT(TRIM(C82),FIND(" ",TRIM(C82)&amp;" ")-1),",","."),FIND("/",SUBSTITUTE(LEFT(TRIM(C82),FIND(" ",TRIM(C82)&amp;" ")-1),",","."))-1)/MID(SUBSTITUTE(LEFT(TRIM(C82),FIND(" ",TRIM(C82)&amp;" ")-1),",","."),FIND("/",SUBSTITUTE(LEFT(TRIM(C82),FIND(" ",TRIM(C82)&amp;" ")-1),",","."))+1,9))*12,NA()))),0),36)*'Aturan &amp; Tarif'!$B$4,2)</f>
        <v>2044.08</v>
      </c>
      <c r="K82" s="42" t="n">
        <f aca="false">'Aturan &amp; Tarif'!$B$5</f>
        <v>2050</v>
      </c>
      <c r="L82" s="35" t="n">
        <f aca="false">I82+J82+K82</f>
        <v>21886.08</v>
      </c>
      <c r="M82" s="45" t="s">
        <v>512</v>
      </c>
    </row>
    <row r="83" customFormat="false" ht="14.25" hidden="false" customHeight="true" outlineLevel="0" collapsed="false">
      <c r="A83" s="39"/>
      <c r="B83" s="40" t="s">
        <v>564</v>
      </c>
      <c r="C83" s="41" t="s">
        <v>127</v>
      </c>
      <c r="D83" s="41" t="s">
        <v>108</v>
      </c>
      <c r="E83" s="42" t="n">
        <v>8896</v>
      </c>
      <c r="F83" s="42"/>
      <c r="G83" s="42"/>
      <c r="H83" s="43" t="n">
        <v>2</v>
      </c>
      <c r="I83" s="34" t="n">
        <f aca="false">E83*H83+N(F83)+N(G83)</f>
        <v>17792</v>
      </c>
      <c r="J83" s="42" t="n">
        <f aca="false">ROUND(IFERROR(ROUND(IF(OR(ISNUMBER(SEARCH("week",C83)),ISNUMBER(SEARCH("minggu",C83))),IFERROR(_xlfn.NUMBERVALUE(SUBSTITUTE(LEFT(TRIM(C83),FIND(" ",TRIM(C83)&amp;" ")-1),",","."),"."),LEFT(SUBSTITUTE(LEFT(TRIM(C83),FIND(" ",TRIM(C83)&amp;" ")-1),",","."),FIND("/",SUBSTITUTE(LEFT(TRIM(C83),FIND(" ",TRIM(C83)&amp;" ")-1),",","."))-1)/MID(SUBSTITUTE(LEFT(TRIM(C83),FIND(" ",TRIM(C83)&amp;" ")-1),",","."),FIND("/",SUBSTITUTE(LEFT(TRIM(C83),FIND(" ",TRIM(C83)&amp;" ")-1),",","."))+1,9))*12/52,IF(ISNUMBER(SEARCH("month",C83)),IFERROR(_xlfn.NUMBERVALUE(SUBSTITUTE(LEFT(TRIM(C83),FIND(" ",TRIM(C83)&amp;" ")-1),",","."),"."),LEFT(SUBSTITUTE(LEFT(TRIM(C83),FIND(" ",TRIM(C83)&amp;" ")-1),",","."),FIND("/",SUBSTITUTE(LEFT(TRIM(C83),FIND(" ",TRIM(C83)&amp;" ")-1),",","."))-1)/MID(SUBSTITUTE(LEFT(TRIM(C83),FIND(" ",TRIM(C83)&amp;" ")-1),",","."),FIND("/",SUBSTITUTE(LEFT(TRIM(C83),FIND(" ",TRIM(C83)&amp;" ")-1),",","."))+1,9)),IF(ISNUMBER(SEARCH("yea",C83)),IFERROR(_xlfn.NUMBERVALUE(SUBSTITUTE(LEFT(TRIM(C83),FIND(" ",TRIM(C83)&amp;" ")-1),",","."),"."),LEFT(SUBSTITUTE(LEFT(TRIM(C83),FIND(" ",TRIM(C83)&amp;" ")-1),",","."),FIND("/",SUBSTITUTE(LEFT(TRIM(C83),FIND(" ",TRIM(C83)&amp;" ")-1),",","."))-1)/MID(SUBSTITUTE(LEFT(TRIM(C83),FIND(" ",TRIM(C83)&amp;" ")-1),",","."),FIND("/",SUBSTITUTE(LEFT(TRIM(C83),FIND(" ",TRIM(C83)&amp;" ")-1),",","."))+1,9))*12,NA()))),0),36)*'Aturan &amp; Tarif'!$B$4,2)</f>
        <v>2044.08</v>
      </c>
      <c r="K83" s="42" t="n">
        <f aca="false">'Aturan &amp; Tarif'!$B$5</f>
        <v>2050</v>
      </c>
      <c r="L83" s="35" t="n">
        <f aca="false">I83+J83+K83</f>
        <v>21886.08</v>
      </c>
      <c r="M83" s="45" t="s">
        <v>512</v>
      </c>
    </row>
    <row r="84" customFormat="false" ht="14.25" hidden="false" customHeight="true" outlineLevel="0" collapsed="false">
      <c r="A84" s="39"/>
      <c r="B84" s="40" t="s">
        <v>565</v>
      </c>
      <c r="C84" s="41" t="s">
        <v>127</v>
      </c>
      <c r="D84" s="41" t="s">
        <v>108</v>
      </c>
      <c r="E84" s="42" t="n">
        <v>7802</v>
      </c>
      <c r="F84" s="42"/>
      <c r="G84" s="42"/>
      <c r="H84" s="43" t="n">
        <v>2</v>
      </c>
      <c r="I84" s="34" t="n">
        <f aca="false">E84*H84+N(F84)+N(G84)</f>
        <v>15604</v>
      </c>
      <c r="J84" s="42" t="n">
        <f aca="false">ROUND(IFERROR(ROUND(IF(OR(ISNUMBER(SEARCH("week",C84)),ISNUMBER(SEARCH("minggu",C84))),IFERROR(_xlfn.NUMBERVALUE(SUBSTITUTE(LEFT(TRIM(C84),FIND(" ",TRIM(C84)&amp;" ")-1),",","."),"."),LEFT(SUBSTITUTE(LEFT(TRIM(C84),FIND(" ",TRIM(C84)&amp;" ")-1),",","."),FIND("/",SUBSTITUTE(LEFT(TRIM(C84),FIND(" ",TRIM(C84)&amp;" ")-1),",","."))-1)/MID(SUBSTITUTE(LEFT(TRIM(C84),FIND(" ",TRIM(C84)&amp;" ")-1),",","."),FIND("/",SUBSTITUTE(LEFT(TRIM(C84),FIND(" ",TRIM(C84)&amp;" ")-1),",","."))+1,9))*12/52,IF(ISNUMBER(SEARCH("month",C84)),IFERROR(_xlfn.NUMBERVALUE(SUBSTITUTE(LEFT(TRIM(C84),FIND(" ",TRIM(C84)&amp;" ")-1),",","."),"."),LEFT(SUBSTITUTE(LEFT(TRIM(C84),FIND(" ",TRIM(C84)&amp;" ")-1),",","."),FIND("/",SUBSTITUTE(LEFT(TRIM(C84),FIND(" ",TRIM(C84)&amp;" ")-1),",","."))-1)/MID(SUBSTITUTE(LEFT(TRIM(C84),FIND(" ",TRIM(C84)&amp;" ")-1),",","."),FIND("/",SUBSTITUTE(LEFT(TRIM(C84),FIND(" ",TRIM(C84)&amp;" ")-1),",","."))+1,9)),IF(ISNUMBER(SEARCH("yea",C84)),IFERROR(_xlfn.NUMBERVALUE(SUBSTITUTE(LEFT(TRIM(C84),FIND(" ",TRIM(C84)&amp;" ")-1),",","."),"."),LEFT(SUBSTITUTE(LEFT(TRIM(C84),FIND(" ",TRIM(C84)&amp;" ")-1),",","."),FIND("/",SUBSTITUTE(LEFT(TRIM(C84),FIND(" ",TRIM(C84)&amp;" ")-1),",","."))-1)/MID(SUBSTITUTE(LEFT(TRIM(C84),FIND(" ",TRIM(C84)&amp;" ")-1),",","."),FIND("/",SUBSTITUTE(LEFT(TRIM(C84),FIND(" ",TRIM(C84)&amp;" ")-1),",","."))+1,9))*12,NA()))),0),36)*'Aturan &amp; Tarif'!$B$4,2)</f>
        <v>2044.08</v>
      </c>
      <c r="K84" s="42" t="n">
        <f aca="false">'Aturan &amp; Tarif'!$B$5</f>
        <v>2050</v>
      </c>
      <c r="L84" s="35" t="n">
        <f aca="false">I84+J84+K84</f>
        <v>19698.08</v>
      </c>
      <c r="M84" s="45" t="s">
        <v>512</v>
      </c>
    </row>
    <row r="85" customFormat="false" ht="14.25" hidden="false" customHeight="true" outlineLevel="0" collapsed="false">
      <c r="A85" s="39"/>
      <c r="B85" s="40" t="s">
        <v>566</v>
      </c>
      <c r="C85" s="41" t="s">
        <v>107</v>
      </c>
      <c r="D85" s="41" t="s">
        <v>108</v>
      </c>
      <c r="E85" s="42" t="n">
        <v>9306</v>
      </c>
      <c r="F85" s="42"/>
      <c r="G85" s="42"/>
      <c r="H85" s="43" t="n">
        <v>2</v>
      </c>
      <c r="I85" s="34" t="n">
        <f aca="false">E85*H85+N(F85)+N(G85)</f>
        <v>18612</v>
      </c>
      <c r="J85" s="42" t="n">
        <f aca="false">ROUND(IFERROR(ROUND(IF(OR(ISNUMBER(SEARCH("week",C85)),ISNUMBER(SEARCH("minggu",C85))),IFERROR(_xlfn.NUMBERVALUE(SUBSTITUTE(LEFT(TRIM(C85),FIND(" ",TRIM(C85)&amp;" ")-1),",","."),"."),LEFT(SUBSTITUTE(LEFT(TRIM(C85),FIND(" ",TRIM(C85)&amp;" ")-1),",","."),FIND("/",SUBSTITUTE(LEFT(TRIM(C85),FIND(" ",TRIM(C85)&amp;" ")-1),",","."))-1)/MID(SUBSTITUTE(LEFT(TRIM(C85),FIND(" ",TRIM(C85)&amp;" ")-1),",","."),FIND("/",SUBSTITUTE(LEFT(TRIM(C85),FIND(" ",TRIM(C85)&amp;" ")-1),",","."))+1,9))*12/52,IF(ISNUMBER(SEARCH("month",C85)),IFERROR(_xlfn.NUMBERVALUE(SUBSTITUTE(LEFT(TRIM(C85),FIND(" ",TRIM(C85)&amp;" ")-1),",","."),"."),LEFT(SUBSTITUTE(LEFT(TRIM(C85),FIND(" ",TRIM(C85)&amp;" ")-1),",","."),FIND("/",SUBSTITUTE(LEFT(TRIM(C85),FIND(" ",TRIM(C85)&amp;" ")-1),",","."))-1)/MID(SUBSTITUTE(LEFT(TRIM(C85),FIND(" ",TRIM(C85)&amp;" ")-1),",","."),FIND("/",SUBSTITUTE(LEFT(TRIM(C85),FIND(" ",TRIM(C85)&amp;" ")-1),",","."))+1,9)),IF(ISNUMBER(SEARCH("yea",C85)),IFERROR(_xlfn.NUMBERVALUE(SUBSTITUTE(LEFT(TRIM(C85),FIND(" ",TRIM(C85)&amp;" ")-1),",","."),"."),LEFT(SUBSTITUTE(LEFT(TRIM(C85),FIND(" ",TRIM(C85)&amp;" ")-1),",","."),FIND("/",SUBSTITUTE(LEFT(TRIM(C85),FIND(" ",TRIM(C85)&amp;" ")-1),",","."))-1)/MID(SUBSTITUTE(LEFT(TRIM(C85),FIND(" ",TRIM(C85)&amp;" ")-1),",","."),FIND("/",SUBSTITUTE(LEFT(TRIM(C85),FIND(" ",TRIM(C85)&amp;" ")-1),",","."))+1,9))*12,NA()))),0),24)*'Aturan &amp; Tarif'!$B$4,2)</f>
        <v>1362.72</v>
      </c>
      <c r="K85" s="42" t="n">
        <f aca="false">'Aturan &amp; Tarif'!$B$5</f>
        <v>2050</v>
      </c>
      <c r="L85" s="35" t="n">
        <f aca="false">I85+J85+K85</f>
        <v>22024.72</v>
      </c>
      <c r="M85" s="45" t="s">
        <v>512</v>
      </c>
    </row>
    <row r="86" customFormat="false" ht="14.25" hidden="false" customHeight="true" outlineLevel="0" collapsed="false">
      <c r="A86" s="39"/>
      <c r="B86" s="40" t="s">
        <v>567</v>
      </c>
      <c r="C86" s="41" t="s">
        <v>107</v>
      </c>
      <c r="D86" s="41" t="s">
        <v>108</v>
      </c>
      <c r="E86" s="42" t="n">
        <v>9306</v>
      </c>
      <c r="F86" s="42"/>
      <c r="G86" s="42"/>
      <c r="H86" s="43" t="n">
        <v>2</v>
      </c>
      <c r="I86" s="34" t="n">
        <f aca="false">E86*H86+N(F86)+N(G86)</f>
        <v>18612</v>
      </c>
      <c r="J86" s="42" t="n">
        <f aca="false">ROUND(IFERROR(ROUND(IF(OR(ISNUMBER(SEARCH("week",C86)),ISNUMBER(SEARCH("minggu",C86))),IFERROR(_xlfn.NUMBERVALUE(SUBSTITUTE(LEFT(TRIM(C86),FIND(" ",TRIM(C86)&amp;" ")-1),",","."),"."),LEFT(SUBSTITUTE(LEFT(TRIM(C86),FIND(" ",TRIM(C86)&amp;" ")-1),",","."),FIND("/",SUBSTITUTE(LEFT(TRIM(C86),FIND(" ",TRIM(C86)&amp;" ")-1),",","."))-1)/MID(SUBSTITUTE(LEFT(TRIM(C86),FIND(" ",TRIM(C86)&amp;" ")-1),",","."),FIND("/",SUBSTITUTE(LEFT(TRIM(C86),FIND(" ",TRIM(C86)&amp;" ")-1),",","."))+1,9))*12/52,IF(ISNUMBER(SEARCH("month",C86)),IFERROR(_xlfn.NUMBERVALUE(SUBSTITUTE(LEFT(TRIM(C86),FIND(" ",TRIM(C86)&amp;" ")-1),",","."),"."),LEFT(SUBSTITUTE(LEFT(TRIM(C86),FIND(" ",TRIM(C86)&amp;" ")-1),",","."),FIND("/",SUBSTITUTE(LEFT(TRIM(C86),FIND(" ",TRIM(C86)&amp;" ")-1),",","."))-1)/MID(SUBSTITUTE(LEFT(TRIM(C86),FIND(" ",TRIM(C86)&amp;" ")-1),",","."),FIND("/",SUBSTITUTE(LEFT(TRIM(C86),FIND(" ",TRIM(C86)&amp;" ")-1),",","."))+1,9)),IF(ISNUMBER(SEARCH("yea",C86)),IFERROR(_xlfn.NUMBERVALUE(SUBSTITUTE(LEFT(TRIM(C86),FIND(" ",TRIM(C86)&amp;" ")-1),",","."),"."),LEFT(SUBSTITUTE(LEFT(TRIM(C86),FIND(" ",TRIM(C86)&amp;" ")-1),",","."),FIND("/",SUBSTITUTE(LEFT(TRIM(C86),FIND(" ",TRIM(C86)&amp;" ")-1),",","."))-1)/MID(SUBSTITUTE(LEFT(TRIM(C86),FIND(" ",TRIM(C86)&amp;" ")-1),",","."),FIND("/",SUBSTITUTE(LEFT(TRIM(C86),FIND(" ",TRIM(C86)&amp;" ")-1),",","."))+1,9))*12,NA()))),0),24)*'Aturan &amp; Tarif'!$B$4,2)</f>
        <v>1362.72</v>
      </c>
      <c r="K86" s="42" t="n">
        <f aca="false">'Aturan &amp; Tarif'!$B$5</f>
        <v>2050</v>
      </c>
      <c r="L86" s="35" t="n">
        <f aca="false">I86+J86+K86</f>
        <v>22024.72</v>
      </c>
      <c r="M86" s="45" t="s">
        <v>512</v>
      </c>
    </row>
    <row r="87" customFormat="false" ht="14.25" hidden="false" customHeight="true" outlineLevel="0" collapsed="false">
      <c r="A87" s="39"/>
      <c r="B87" s="40" t="s">
        <v>568</v>
      </c>
      <c r="C87" s="41" t="s">
        <v>113</v>
      </c>
      <c r="D87" s="41" t="s">
        <v>108</v>
      </c>
      <c r="E87" s="42" t="n">
        <v>8684</v>
      </c>
      <c r="F87" s="42"/>
      <c r="G87" s="42"/>
      <c r="H87" s="43" t="n">
        <v>2</v>
      </c>
      <c r="I87" s="34" t="n">
        <f aca="false">E87*H87+N(F87)+N(G87)</f>
        <v>17368</v>
      </c>
      <c r="J87" s="42" t="n">
        <f aca="false">ROUND(IFERROR(ROUND(IF(OR(ISNUMBER(SEARCH("week",C87)),ISNUMBER(SEARCH("minggu",C87))),IFERROR(_xlfn.NUMBERVALUE(SUBSTITUTE(LEFT(TRIM(C87),FIND(" ",TRIM(C87)&amp;" ")-1),",","."),"."),LEFT(SUBSTITUTE(LEFT(TRIM(C87),FIND(" ",TRIM(C87)&amp;" ")-1),",","."),FIND("/",SUBSTITUTE(LEFT(TRIM(C87),FIND(" ",TRIM(C87)&amp;" ")-1),",","."))-1)/MID(SUBSTITUTE(LEFT(TRIM(C87),FIND(" ",TRIM(C87)&amp;" ")-1),",","."),FIND("/",SUBSTITUTE(LEFT(TRIM(C87),FIND(" ",TRIM(C87)&amp;" ")-1),",","."))+1,9))*12/52,IF(ISNUMBER(SEARCH("month",C87)),IFERROR(_xlfn.NUMBERVALUE(SUBSTITUTE(LEFT(TRIM(C87),FIND(" ",TRIM(C87)&amp;" ")-1),",","."),"."),LEFT(SUBSTITUTE(LEFT(TRIM(C87),FIND(" ",TRIM(C87)&amp;" ")-1),",","."),FIND("/",SUBSTITUTE(LEFT(TRIM(C87),FIND(" ",TRIM(C87)&amp;" ")-1),",","."))-1)/MID(SUBSTITUTE(LEFT(TRIM(C87),FIND(" ",TRIM(C87)&amp;" ")-1),",","."),FIND("/",SUBSTITUTE(LEFT(TRIM(C87),FIND(" ",TRIM(C87)&amp;" ")-1),",","."))+1,9)),IF(ISNUMBER(SEARCH("yea",C87)),IFERROR(_xlfn.NUMBERVALUE(SUBSTITUTE(LEFT(TRIM(C87),FIND(" ",TRIM(C87)&amp;" ")-1),",","."),"."),LEFT(SUBSTITUTE(LEFT(TRIM(C87),FIND(" ",TRIM(C87)&amp;" ")-1),",","."),FIND("/",SUBSTITUTE(LEFT(TRIM(C87),FIND(" ",TRIM(C87)&amp;" ")-1),",","."))-1)/MID(SUBSTITUTE(LEFT(TRIM(C87),FIND(" ",TRIM(C87)&amp;" ")-1),",","."),FIND("/",SUBSTITUTE(LEFT(TRIM(C87),FIND(" ",TRIM(C87)&amp;" ")-1),",","."))+1,9))*12,NA()))),0),18)*'Aturan &amp; Tarif'!$B$4,2)</f>
        <v>1022.04</v>
      </c>
      <c r="K87" s="42" t="n">
        <f aca="false">'Aturan &amp; Tarif'!$B$5</f>
        <v>2050</v>
      </c>
      <c r="L87" s="35" t="n">
        <f aca="false">I87+J87+K87</f>
        <v>20440.04</v>
      </c>
      <c r="M87" s="45" t="s">
        <v>512</v>
      </c>
    </row>
    <row r="88" customFormat="false" ht="14.25" hidden="false" customHeight="true" outlineLevel="0" collapsed="false">
      <c r="A88" s="39"/>
      <c r="B88" s="40" t="s">
        <v>283</v>
      </c>
      <c r="C88" s="41" t="s">
        <v>113</v>
      </c>
      <c r="D88" s="41" t="s">
        <v>108</v>
      </c>
      <c r="E88" s="42" t="n">
        <v>8684</v>
      </c>
      <c r="F88" s="42"/>
      <c r="G88" s="42"/>
      <c r="H88" s="43" t="n">
        <v>2</v>
      </c>
      <c r="I88" s="34" t="n">
        <f aca="false">E88*H88+N(F88)+N(G88)</f>
        <v>17368</v>
      </c>
      <c r="J88" s="42" t="n">
        <f aca="false">ROUND(IFERROR(ROUND(IF(OR(ISNUMBER(SEARCH("week",C88)),ISNUMBER(SEARCH("minggu",C88))),IFERROR(_xlfn.NUMBERVALUE(SUBSTITUTE(LEFT(TRIM(C88),FIND(" ",TRIM(C88)&amp;" ")-1),",","."),"."),LEFT(SUBSTITUTE(LEFT(TRIM(C88),FIND(" ",TRIM(C88)&amp;" ")-1),",","."),FIND("/",SUBSTITUTE(LEFT(TRIM(C88),FIND(" ",TRIM(C88)&amp;" ")-1),",","."))-1)/MID(SUBSTITUTE(LEFT(TRIM(C88),FIND(" ",TRIM(C88)&amp;" ")-1),",","."),FIND("/",SUBSTITUTE(LEFT(TRIM(C88),FIND(" ",TRIM(C88)&amp;" ")-1),",","."))+1,9))*12/52,IF(ISNUMBER(SEARCH("month",C88)),IFERROR(_xlfn.NUMBERVALUE(SUBSTITUTE(LEFT(TRIM(C88),FIND(" ",TRIM(C88)&amp;" ")-1),",","."),"."),LEFT(SUBSTITUTE(LEFT(TRIM(C88),FIND(" ",TRIM(C88)&amp;" ")-1),",","."),FIND("/",SUBSTITUTE(LEFT(TRIM(C88),FIND(" ",TRIM(C88)&amp;" ")-1),",","."))-1)/MID(SUBSTITUTE(LEFT(TRIM(C88),FIND(" ",TRIM(C88)&amp;" ")-1),",","."),FIND("/",SUBSTITUTE(LEFT(TRIM(C88),FIND(" ",TRIM(C88)&amp;" ")-1),",","."))+1,9)),IF(ISNUMBER(SEARCH("yea",C88)),IFERROR(_xlfn.NUMBERVALUE(SUBSTITUTE(LEFT(TRIM(C88),FIND(" ",TRIM(C88)&amp;" ")-1),",","."),"."),LEFT(SUBSTITUTE(LEFT(TRIM(C88),FIND(" ",TRIM(C88)&amp;" ")-1),",","."),FIND("/",SUBSTITUTE(LEFT(TRIM(C88),FIND(" ",TRIM(C88)&amp;" ")-1),",","."))-1)/MID(SUBSTITUTE(LEFT(TRIM(C88),FIND(" ",TRIM(C88)&amp;" ")-1),",","."),FIND("/",SUBSTITUTE(LEFT(TRIM(C88),FIND(" ",TRIM(C88)&amp;" ")-1),",","."))+1,9))*12,NA()))),0),18)*'Aturan &amp; Tarif'!$B$4,2)</f>
        <v>1022.04</v>
      </c>
      <c r="K88" s="42" t="n">
        <f aca="false">'Aturan &amp; Tarif'!$B$5</f>
        <v>2050</v>
      </c>
      <c r="L88" s="35" t="n">
        <f aca="false">I88+J88+K88</f>
        <v>20440.04</v>
      </c>
      <c r="M88" s="45" t="s">
        <v>512</v>
      </c>
    </row>
    <row r="89" customFormat="false" ht="25.5" hidden="false" customHeight="true" outlineLevel="0" collapsed="false">
      <c r="A89" s="39"/>
      <c r="B89" s="40" t="s">
        <v>569</v>
      </c>
      <c r="C89" s="41" t="s">
        <v>107</v>
      </c>
      <c r="D89" s="41" t="s">
        <v>108</v>
      </c>
      <c r="E89" s="42" t="n">
        <v>8684</v>
      </c>
      <c r="F89" s="42"/>
      <c r="G89" s="42"/>
      <c r="H89" s="43" t="n">
        <v>2</v>
      </c>
      <c r="I89" s="34" t="n">
        <f aca="false">E89*H89+N(F89)+N(G89)</f>
        <v>17368</v>
      </c>
      <c r="J89" s="42" t="n">
        <f aca="false">ROUND(IFERROR(ROUND(IF(OR(ISNUMBER(SEARCH("week",C89)),ISNUMBER(SEARCH("minggu",C89))),IFERROR(_xlfn.NUMBERVALUE(SUBSTITUTE(LEFT(TRIM(C89),FIND(" ",TRIM(C89)&amp;" ")-1),",","."),"."),LEFT(SUBSTITUTE(LEFT(TRIM(C89),FIND(" ",TRIM(C89)&amp;" ")-1),",","."),FIND("/",SUBSTITUTE(LEFT(TRIM(C89),FIND(" ",TRIM(C89)&amp;" ")-1),",","."))-1)/MID(SUBSTITUTE(LEFT(TRIM(C89),FIND(" ",TRIM(C89)&amp;" ")-1),",","."),FIND("/",SUBSTITUTE(LEFT(TRIM(C89),FIND(" ",TRIM(C89)&amp;" ")-1),",","."))+1,9))*12/52,IF(ISNUMBER(SEARCH("month",C89)),IFERROR(_xlfn.NUMBERVALUE(SUBSTITUTE(LEFT(TRIM(C89),FIND(" ",TRIM(C89)&amp;" ")-1),",","."),"."),LEFT(SUBSTITUTE(LEFT(TRIM(C89),FIND(" ",TRIM(C89)&amp;" ")-1),",","."),FIND("/",SUBSTITUTE(LEFT(TRIM(C89),FIND(" ",TRIM(C89)&amp;" ")-1),",","."))-1)/MID(SUBSTITUTE(LEFT(TRIM(C89),FIND(" ",TRIM(C89)&amp;" ")-1),",","."),FIND("/",SUBSTITUTE(LEFT(TRIM(C89),FIND(" ",TRIM(C89)&amp;" ")-1),",","."))+1,9)),IF(ISNUMBER(SEARCH("yea",C89)),IFERROR(_xlfn.NUMBERVALUE(SUBSTITUTE(LEFT(TRIM(C89),FIND(" ",TRIM(C89)&amp;" ")-1),",","."),"."),LEFT(SUBSTITUTE(LEFT(TRIM(C89),FIND(" ",TRIM(C89)&amp;" ")-1),",","."),FIND("/",SUBSTITUTE(LEFT(TRIM(C89),FIND(" ",TRIM(C89)&amp;" ")-1),",","."))-1)/MID(SUBSTITUTE(LEFT(TRIM(C89),FIND(" ",TRIM(C89)&amp;" ")-1),",","."),FIND("/",SUBSTITUTE(LEFT(TRIM(C89),FIND(" ",TRIM(C89)&amp;" ")-1),",","."))+1,9))*12,NA()))),0),24)*'Aturan &amp; Tarif'!$B$4,2)</f>
        <v>1362.72</v>
      </c>
      <c r="K89" s="42" t="n">
        <f aca="false">'Aturan &amp; Tarif'!$B$5</f>
        <v>2050</v>
      </c>
      <c r="L89" s="35" t="n">
        <f aca="false">I89+J89+K89</f>
        <v>20780.72</v>
      </c>
      <c r="M89" s="45" t="s">
        <v>512</v>
      </c>
    </row>
    <row r="90" customFormat="false" ht="14.25" hidden="false" customHeight="true" outlineLevel="0" collapsed="false">
      <c r="A90" s="39"/>
      <c r="B90" s="40" t="s">
        <v>570</v>
      </c>
      <c r="C90" s="41" t="s">
        <v>130</v>
      </c>
      <c r="D90" s="41" t="s">
        <v>108</v>
      </c>
      <c r="E90" s="42" t="n">
        <v>8896</v>
      </c>
      <c r="F90" s="42"/>
      <c r="G90" s="42"/>
      <c r="H90" s="43" t="n">
        <v>2</v>
      </c>
      <c r="I90" s="34" t="n">
        <f aca="false">E90*H90+N(F90)+N(G90)</f>
        <v>17792</v>
      </c>
      <c r="J90" s="42" t="n">
        <f aca="false">ROUND(IFERROR(ROUND(IF(OR(ISNUMBER(SEARCH("week",C90)),ISNUMBER(SEARCH("minggu",C90))),IFERROR(_xlfn.NUMBERVALUE(SUBSTITUTE(LEFT(TRIM(C90),FIND(" ",TRIM(C90)&amp;" ")-1),",","."),"."),LEFT(SUBSTITUTE(LEFT(TRIM(C90),FIND(" ",TRIM(C90)&amp;" ")-1),",","."),FIND("/",SUBSTITUTE(LEFT(TRIM(C90),FIND(" ",TRIM(C90)&amp;" ")-1),",","."))-1)/MID(SUBSTITUTE(LEFT(TRIM(C90),FIND(" ",TRIM(C90)&amp;" ")-1),",","."),FIND("/",SUBSTITUTE(LEFT(TRIM(C90),FIND(" ",TRIM(C90)&amp;" ")-1),",","."))+1,9))*12/52,IF(ISNUMBER(SEARCH("month",C90)),IFERROR(_xlfn.NUMBERVALUE(SUBSTITUTE(LEFT(TRIM(C90),FIND(" ",TRIM(C90)&amp;" ")-1),",","."),"."),LEFT(SUBSTITUTE(LEFT(TRIM(C90),FIND(" ",TRIM(C90)&amp;" ")-1),",","."),FIND("/",SUBSTITUTE(LEFT(TRIM(C90),FIND(" ",TRIM(C90)&amp;" ")-1),",","."))-1)/MID(SUBSTITUTE(LEFT(TRIM(C90),FIND(" ",TRIM(C90)&amp;" ")-1),",","."),FIND("/",SUBSTITUTE(LEFT(TRIM(C90),FIND(" ",TRIM(C90)&amp;" ")-1),",","."))+1,9)),IF(ISNUMBER(SEARCH("yea",C90)),IFERROR(_xlfn.NUMBERVALUE(SUBSTITUTE(LEFT(TRIM(C90),FIND(" ",TRIM(C90)&amp;" ")-1),",","."),"."),LEFT(SUBSTITUTE(LEFT(TRIM(C90),FIND(" ",TRIM(C90)&amp;" ")-1),",","."),FIND("/",SUBSTITUTE(LEFT(TRIM(C90),FIND(" ",TRIM(C90)&amp;" ")-1),",","."))-1)/MID(SUBSTITUTE(LEFT(TRIM(C90),FIND(" ",TRIM(C90)&amp;" ")-1),",","."),FIND("/",SUBSTITUTE(LEFT(TRIM(C90),FIND(" ",TRIM(C90)&amp;" ")-1),",","."))+1,9))*12,NA()))),0),12)*'Aturan &amp; Tarif'!$B$4,2)</f>
        <v>681.36</v>
      </c>
      <c r="K90" s="42" t="n">
        <f aca="false">'Aturan &amp; Tarif'!$B$5</f>
        <v>2050</v>
      </c>
      <c r="L90" s="35" t="n">
        <f aca="false">I90+J90+K90</f>
        <v>20523.36</v>
      </c>
      <c r="M90" s="45" t="s">
        <v>512</v>
      </c>
    </row>
    <row r="91" customFormat="false" ht="14.25" hidden="false" customHeight="true" outlineLevel="0" collapsed="false">
      <c r="A91" s="39"/>
      <c r="B91" s="40" t="s">
        <v>379</v>
      </c>
      <c r="C91" s="41" t="s">
        <v>127</v>
      </c>
      <c r="D91" s="41" t="s">
        <v>108</v>
      </c>
      <c r="E91" s="42" t="n">
        <v>9120</v>
      </c>
      <c r="F91" s="42"/>
      <c r="G91" s="42"/>
      <c r="H91" s="43" t="n">
        <v>2</v>
      </c>
      <c r="I91" s="34" t="n">
        <f aca="false">E91*H91+N(F91)+N(G91)</f>
        <v>18240</v>
      </c>
      <c r="J91" s="42" t="n">
        <f aca="false">ROUND(IFERROR(ROUND(IF(OR(ISNUMBER(SEARCH("week",C91)),ISNUMBER(SEARCH("minggu",C91))),IFERROR(_xlfn.NUMBERVALUE(SUBSTITUTE(LEFT(TRIM(C91),FIND(" ",TRIM(C91)&amp;" ")-1),",","."),"."),LEFT(SUBSTITUTE(LEFT(TRIM(C91),FIND(" ",TRIM(C91)&amp;" ")-1),",","."),FIND("/",SUBSTITUTE(LEFT(TRIM(C91),FIND(" ",TRIM(C91)&amp;" ")-1),",","."))-1)/MID(SUBSTITUTE(LEFT(TRIM(C91),FIND(" ",TRIM(C91)&amp;" ")-1),",","."),FIND("/",SUBSTITUTE(LEFT(TRIM(C91),FIND(" ",TRIM(C91)&amp;" ")-1),",","."))+1,9))*12/52,IF(ISNUMBER(SEARCH("month",C91)),IFERROR(_xlfn.NUMBERVALUE(SUBSTITUTE(LEFT(TRIM(C91),FIND(" ",TRIM(C91)&amp;" ")-1),",","."),"."),LEFT(SUBSTITUTE(LEFT(TRIM(C91),FIND(" ",TRIM(C91)&amp;" ")-1),",","."),FIND("/",SUBSTITUTE(LEFT(TRIM(C91),FIND(" ",TRIM(C91)&amp;" ")-1),",","."))-1)/MID(SUBSTITUTE(LEFT(TRIM(C91),FIND(" ",TRIM(C91)&amp;" ")-1),",","."),FIND("/",SUBSTITUTE(LEFT(TRIM(C91),FIND(" ",TRIM(C91)&amp;" ")-1),",","."))+1,9)),IF(ISNUMBER(SEARCH("yea",C91)),IFERROR(_xlfn.NUMBERVALUE(SUBSTITUTE(LEFT(TRIM(C91),FIND(" ",TRIM(C91)&amp;" ")-1),",","."),"."),LEFT(SUBSTITUTE(LEFT(TRIM(C91),FIND(" ",TRIM(C91)&amp;" ")-1),",","."),FIND("/",SUBSTITUTE(LEFT(TRIM(C91),FIND(" ",TRIM(C91)&amp;" ")-1),",","."))-1)/MID(SUBSTITUTE(LEFT(TRIM(C91),FIND(" ",TRIM(C91)&amp;" ")-1),",","."),FIND("/",SUBSTITUTE(LEFT(TRIM(C91),FIND(" ",TRIM(C91)&amp;" ")-1),",","."))+1,9))*12,NA()))),0),36)*'Aturan &amp; Tarif'!$B$4,2)</f>
        <v>2044.08</v>
      </c>
      <c r="K91" s="42" t="n">
        <f aca="false">'Aturan &amp; Tarif'!$B$5</f>
        <v>2050</v>
      </c>
      <c r="L91" s="35" t="n">
        <f aca="false">I91+J91+K91</f>
        <v>22334.08</v>
      </c>
      <c r="M91" s="45" t="s">
        <v>512</v>
      </c>
    </row>
    <row r="92" customFormat="false" ht="25.5" hidden="false" customHeight="true" outlineLevel="0" collapsed="false">
      <c r="A92" s="39"/>
      <c r="B92" s="40" t="s">
        <v>571</v>
      </c>
      <c r="C92" s="41" t="s">
        <v>191</v>
      </c>
      <c r="D92" s="41" t="s">
        <v>108</v>
      </c>
      <c r="E92" s="42" t="n">
        <v>8896</v>
      </c>
      <c r="F92" s="42"/>
      <c r="G92" s="42"/>
      <c r="H92" s="43" t="n">
        <v>2</v>
      </c>
      <c r="I92" s="34" t="n">
        <f aca="false">E92*H92+N(F92)+N(G92)</f>
        <v>17792</v>
      </c>
      <c r="J92" s="42" t="n">
        <f aca="false">ROUND(IFERROR(ROUND(IF(OR(ISNUMBER(SEARCH("week",C92)),ISNUMBER(SEARCH("minggu",C92))),IFERROR(_xlfn.NUMBERVALUE(SUBSTITUTE(LEFT(TRIM(C92),FIND(" ",TRIM(C92)&amp;" ")-1),",","."),"."),LEFT(SUBSTITUTE(LEFT(TRIM(C92),FIND(" ",TRIM(C92)&amp;" ")-1),",","."),FIND("/",SUBSTITUTE(LEFT(TRIM(C92),FIND(" ",TRIM(C92)&amp;" ")-1),",","."))-1)/MID(SUBSTITUTE(LEFT(TRIM(C92),FIND(" ",TRIM(C92)&amp;" ")-1),",","."),FIND("/",SUBSTITUTE(LEFT(TRIM(C92),FIND(" ",TRIM(C92)&amp;" ")-1),",","."))+1,9))*12/52,IF(ISNUMBER(SEARCH("month",C92)),IFERROR(_xlfn.NUMBERVALUE(SUBSTITUTE(LEFT(TRIM(C92),FIND(" ",TRIM(C92)&amp;" ")-1),",","."),"."),LEFT(SUBSTITUTE(LEFT(TRIM(C92),FIND(" ",TRIM(C92)&amp;" ")-1),",","."),FIND("/",SUBSTITUTE(LEFT(TRIM(C92),FIND(" ",TRIM(C92)&amp;" ")-1),",","."))-1)/MID(SUBSTITUTE(LEFT(TRIM(C92),FIND(" ",TRIM(C92)&amp;" ")-1),",","."),FIND("/",SUBSTITUTE(LEFT(TRIM(C92),FIND(" ",TRIM(C92)&amp;" ")-1),",","."))+1,9)),IF(ISNUMBER(SEARCH("yea",C92)),IFERROR(_xlfn.NUMBERVALUE(SUBSTITUTE(LEFT(TRIM(C92),FIND(" ",TRIM(C92)&amp;" ")-1),",","."),"."),LEFT(SUBSTITUTE(LEFT(TRIM(C92),FIND(" ",TRIM(C92)&amp;" ")-1),",","."),FIND("/",SUBSTITUTE(LEFT(TRIM(C92),FIND(" ",TRIM(C92)&amp;" ")-1),",","."))-1)/MID(SUBSTITUTE(LEFT(TRIM(C92),FIND(" ",TRIM(C92)&amp;" ")-1),",","."),FIND("/",SUBSTITUTE(LEFT(TRIM(C92),FIND(" ",TRIM(C92)&amp;" ")-1),",","."))+1,9))*12,NA()))),0),48)*'Aturan &amp; Tarif'!$B$4,2)</f>
        <v>2725.44</v>
      </c>
      <c r="K92" s="42" t="n">
        <f aca="false">'Aturan &amp; Tarif'!$B$5</f>
        <v>2050</v>
      </c>
      <c r="L92" s="35" t="n">
        <f aca="false">I92+J92+K92</f>
        <v>22567.44</v>
      </c>
      <c r="M92" s="45" t="s">
        <v>512</v>
      </c>
    </row>
    <row r="93" customFormat="false" ht="25.5" hidden="false" customHeight="true" outlineLevel="0" collapsed="false">
      <c r="A93" s="39"/>
      <c r="B93" s="40" t="s">
        <v>572</v>
      </c>
      <c r="C93" s="41" t="s">
        <v>191</v>
      </c>
      <c r="D93" s="41" t="s">
        <v>108</v>
      </c>
      <c r="E93" s="42" t="n">
        <v>8896</v>
      </c>
      <c r="F93" s="42"/>
      <c r="G93" s="42"/>
      <c r="H93" s="43" t="n">
        <v>2</v>
      </c>
      <c r="I93" s="34" t="n">
        <f aca="false">E93*H93+N(F93)+N(G93)</f>
        <v>17792</v>
      </c>
      <c r="J93" s="42" t="n">
        <f aca="false">ROUND(IFERROR(ROUND(IF(OR(ISNUMBER(SEARCH("week",C93)),ISNUMBER(SEARCH("minggu",C93))),IFERROR(_xlfn.NUMBERVALUE(SUBSTITUTE(LEFT(TRIM(C93),FIND(" ",TRIM(C93)&amp;" ")-1),",","."),"."),LEFT(SUBSTITUTE(LEFT(TRIM(C93),FIND(" ",TRIM(C93)&amp;" ")-1),",","."),FIND("/",SUBSTITUTE(LEFT(TRIM(C93),FIND(" ",TRIM(C93)&amp;" ")-1),",","."))-1)/MID(SUBSTITUTE(LEFT(TRIM(C93),FIND(" ",TRIM(C93)&amp;" ")-1),",","."),FIND("/",SUBSTITUTE(LEFT(TRIM(C93),FIND(" ",TRIM(C93)&amp;" ")-1),",","."))+1,9))*12/52,IF(ISNUMBER(SEARCH("month",C93)),IFERROR(_xlfn.NUMBERVALUE(SUBSTITUTE(LEFT(TRIM(C93),FIND(" ",TRIM(C93)&amp;" ")-1),",","."),"."),LEFT(SUBSTITUTE(LEFT(TRIM(C93),FIND(" ",TRIM(C93)&amp;" ")-1),",","."),FIND("/",SUBSTITUTE(LEFT(TRIM(C93),FIND(" ",TRIM(C93)&amp;" ")-1),",","."))-1)/MID(SUBSTITUTE(LEFT(TRIM(C93),FIND(" ",TRIM(C93)&amp;" ")-1),",","."),FIND("/",SUBSTITUTE(LEFT(TRIM(C93),FIND(" ",TRIM(C93)&amp;" ")-1),",","."))+1,9)),IF(ISNUMBER(SEARCH("yea",C93)),IFERROR(_xlfn.NUMBERVALUE(SUBSTITUTE(LEFT(TRIM(C93),FIND(" ",TRIM(C93)&amp;" ")-1),",","."),"."),LEFT(SUBSTITUTE(LEFT(TRIM(C93),FIND(" ",TRIM(C93)&amp;" ")-1),",","."),FIND("/",SUBSTITUTE(LEFT(TRIM(C93),FIND(" ",TRIM(C93)&amp;" ")-1),",","."))-1)/MID(SUBSTITUTE(LEFT(TRIM(C93),FIND(" ",TRIM(C93)&amp;" ")-1),",","."),FIND("/",SUBSTITUTE(LEFT(TRIM(C93),FIND(" ",TRIM(C93)&amp;" ")-1),",","."))+1,9))*12,NA()))),0),48)*'Aturan &amp; Tarif'!$B$4,2)</f>
        <v>2725.44</v>
      </c>
      <c r="K93" s="42" t="n">
        <f aca="false">'Aturan &amp; Tarif'!$B$5</f>
        <v>2050</v>
      </c>
      <c r="L93" s="35" t="n">
        <f aca="false">I93+J93+K93</f>
        <v>22567.44</v>
      </c>
      <c r="M93" s="45" t="s">
        <v>512</v>
      </c>
    </row>
    <row r="94" customFormat="false" ht="25.5" hidden="false" customHeight="true" outlineLevel="0" collapsed="false">
      <c r="A94" s="39"/>
      <c r="B94" s="40" t="s">
        <v>573</v>
      </c>
      <c r="C94" s="41" t="s">
        <v>191</v>
      </c>
      <c r="D94" s="41" t="s">
        <v>108</v>
      </c>
      <c r="E94" s="42" t="n">
        <v>8896</v>
      </c>
      <c r="F94" s="42"/>
      <c r="G94" s="42"/>
      <c r="H94" s="43" t="n">
        <v>2</v>
      </c>
      <c r="I94" s="34" t="n">
        <f aca="false">E94*H94+N(F94)+N(G94)</f>
        <v>17792</v>
      </c>
      <c r="J94" s="42" t="n">
        <f aca="false">ROUND(IFERROR(ROUND(IF(OR(ISNUMBER(SEARCH("week",C94)),ISNUMBER(SEARCH("minggu",C94))),IFERROR(_xlfn.NUMBERVALUE(SUBSTITUTE(LEFT(TRIM(C94),FIND(" ",TRIM(C94)&amp;" ")-1),",","."),"."),LEFT(SUBSTITUTE(LEFT(TRIM(C94),FIND(" ",TRIM(C94)&amp;" ")-1),",","."),FIND("/",SUBSTITUTE(LEFT(TRIM(C94),FIND(" ",TRIM(C94)&amp;" ")-1),",","."))-1)/MID(SUBSTITUTE(LEFT(TRIM(C94),FIND(" ",TRIM(C94)&amp;" ")-1),",","."),FIND("/",SUBSTITUTE(LEFT(TRIM(C94),FIND(" ",TRIM(C94)&amp;" ")-1),",","."))+1,9))*12/52,IF(ISNUMBER(SEARCH("month",C94)),IFERROR(_xlfn.NUMBERVALUE(SUBSTITUTE(LEFT(TRIM(C94),FIND(" ",TRIM(C94)&amp;" ")-1),",","."),"."),LEFT(SUBSTITUTE(LEFT(TRIM(C94),FIND(" ",TRIM(C94)&amp;" ")-1),",","."),FIND("/",SUBSTITUTE(LEFT(TRIM(C94),FIND(" ",TRIM(C94)&amp;" ")-1),",","."))-1)/MID(SUBSTITUTE(LEFT(TRIM(C94),FIND(" ",TRIM(C94)&amp;" ")-1),",","."),FIND("/",SUBSTITUTE(LEFT(TRIM(C94),FIND(" ",TRIM(C94)&amp;" ")-1),",","."))+1,9)),IF(ISNUMBER(SEARCH("yea",C94)),IFERROR(_xlfn.NUMBERVALUE(SUBSTITUTE(LEFT(TRIM(C94),FIND(" ",TRIM(C94)&amp;" ")-1),",","."),"."),LEFT(SUBSTITUTE(LEFT(TRIM(C94),FIND(" ",TRIM(C94)&amp;" ")-1),",","."),FIND("/",SUBSTITUTE(LEFT(TRIM(C94),FIND(" ",TRIM(C94)&amp;" ")-1),",","."))-1)/MID(SUBSTITUTE(LEFT(TRIM(C94),FIND(" ",TRIM(C94)&amp;" ")-1),",","."),FIND("/",SUBSTITUTE(LEFT(TRIM(C94),FIND(" ",TRIM(C94)&amp;" ")-1),",","."))+1,9))*12,NA()))),0),48)*'Aturan &amp; Tarif'!$B$4,2)</f>
        <v>2725.44</v>
      </c>
      <c r="K94" s="42" t="n">
        <f aca="false">'Aturan &amp; Tarif'!$B$5</f>
        <v>2050</v>
      </c>
      <c r="L94" s="35" t="n">
        <f aca="false">I94+J94+K94</f>
        <v>22567.44</v>
      </c>
      <c r="M94" s="45" t="s">
        <v>512</v>
      </c>
    </row>
    <row r="95" customFormat="false" ht="25.5" hidden="false" customHeight="true" outlineLevel="0" collapsed="false">
      <c r="A95" s="39"/>
      <c r="B95" s="40" t="s">
        <v>574</v>
      </c>
      <c r="C95" s="41" t="s">
        <v>191</v>
      </c>
      <c r="D95" s="41" t="s">
        <v>108</v>
      </c>
      <c r="E95" s="42" t="n">
        <v>9120</v>
      </c>
      <c r="F95" s="42"/>
      <c r="G95" s="42"/>
      <c r="H95" s="43" t="n">
        <v>2</v>
      </c>
      <c r="I95" s="34" t="n">
        <f aca="false">E95*H95+N(F95)+N(G95)</f>
        <v>18240</v>
      </c>
      <c r="J95" s="42" t="n">
        <f aca="false">ROUND(IFERROR(ROUND(IF(OR(ISNUMBER(SEARCH("week",C95)),ISNUMBER(SEARCH("minggu",C95))),IFERROR(_xlfn.NUMBERVALUE(SUBSTITUTE(LEFT(TRIM(C95),FIND(" ",TRIM(C95)&amp;" ")-1),",","."),"."),LEFT(SUBSTITUTE(LEFT(TRIM(C95),FIND(" ",TRIM(C95)&amp;" ")-1),",","."),FIND("/",SUBSTITUTE(LEFT(TRIM(C95),FIND(" ",TRIM(C95)&amp;" ")-1),",","."))-1)/MID(SUBSTITUTE(LEFT(TRIM(C95),FIND(" ",TRIM(C95)&amp;" ")-1),",","."),FIND("/",SUBSTITUTE(LEFT(TRIM(C95),FIND(" ",TRIM(C95)&amp;" ")-1),",","."))+1,9))*12/52,IF(ISNUMBER(SEARCH("month",C95)),IFERROR(_xlfn.NUMBERVALUE(SUBSTITUTE(LEFT(TRIM(C95),FIND(" ",TRIM(C95)&amp;" ")-1),",","."),"."),LEFT(SUBSTITUTE(LEFT(TRIM(C95),FIND(" ",TRIM(C95)&amp;" ")-1),",","."),FIND("/",SUBSTITUTE(LEFT(TRIM(C95),FIND(" ",TRIM(C95)&amp;" ")-1),",","."))-1)/MID(SUBSTITUTE(LEFT(TRIM(C95),FIND(" ",TRIM(C95)&amp;" ")-1),",","."),FIND("/",SUBSTITUTE(LEFT(TRIM(C95),FIND(" ",TRIM(C95)&amp;" ")-1),",","."))+1,9)),IF(ISNUMBER(SEARCH("yea",C95)),IFERROR(_xlfn.NUMBERVALUE(SUBSTITUTE(LEFT(TRIM(C95),FIND(" ",TRIM(C95)&amp;" ")-1),",","."),"."),LEFT(SUBSTITUTE(LEFT(TRIM(C95),FIND(" ",TRIM(C95)&amp;" ")-1),",","."),FIND("/",SUBSTITUTE(LEFT(TRIM(C95),FIND(" ",TRIM(C95)&amp;" ")-1),",","."))-1)/MID(SUBSTITUTE(LEFT(TRIM(C95),FIND(" ",TRIM(C95)&amp;" ")-1),",","."),FIND("/",SUBSTITUTE(LEFT(TRIM(C95),FIND(" ",TRIM(C95)&amp;" ")-1),",","."))+1,9))*12,NA()))),0),48)*'Aturan &amp; Tarif'!$B$4,2)</f>
        <v>2725.44</v>
      </c>
      <c r="K95" s="42" t="n">
        <f aca="false">'Aturan &amp; Tarif'!$B$5</f>
        <v>2050</v>
      </c>
      <c r="L95" s="35" t="n">
        <f aca="false">I95+J95+K95</f>
        <v>23015.44</v>
      </c>
      <c r="M95" s="45" t="s">
        <v>512</v>
      </c>
    </row>
    <row r="96" customFormat="false" ht="14.25" hidden="false" customHeight="true" outlineLevel="0" collapsed="false">
      <c r="A96" s="39"/>
      <c r="B96" s="40" t="s">
        <v>575</v>
      </c>
      <c r="C96" s="41" t="s">
        <v>127</v>
      </c>
      <c r="D96" s="41" t="s">
        <v>108</v>
      </c>
      <c r="E96" s="42" t="n">
        <v>8896</v>
      </c>
      <c r="F96" s="42"/>
      <c r="G96" s="42"/>
      <c r="H96" s="43" t="n">
        <v>2</v>
      </c>
      <c r="I96" s="34" t="n">
        <f aca="false">E96*H96+N(F96)+N(G96)</f>
        <v>17792</v>
      </c>
      <c r="J96" s="42" t="n">
        <f aca="false">ROUND(IFERROR(ROUND(IF(OR(ISNUMBER(SEARCH("week",C96)),ISNUMBER(SEARCH("minggu",C96))),IFERROR(_xlfn.NUMBERVALUE(SUBSTITUTE(LEFT(TRIM(C96),FIND(" ",TRIM(C96)&amp;" ")-1),",","."),"."),LEFT(SUBSTITUTE(LEFT(TRIM(C96),FIND(" ",TRIM(C96)&amp;" ")-1),",","."),FIND("/",SUBSTITUTE(LEFT(TRIM(C96),FIND(" ",TRIM(C96)&amp;" ")-1),",","."))-1)/MID(SUBSTITUTE(LEFT(TRIM(C96),FIND(" ",TRIM(C96)&amp;" ")-1),",","."),FIND("/",SUBSTITUTE(LEFT(TRIM(C96),FIND(" ",TRIM(C96)&amp;" ")-1),",","."))+1,9))*12/52,IF(ISNUMBER(SEARCH("month",C96)),IFERROR(_xlfn.NUMBERVALUE(SUBSTITUTE(LEFT(TRIM(C96),FIND(" ",TRIM(C96)&amp;" ")-1),",","."),"."),LEFT(SUBSTITUTE(LEFT(TRIM(C96),FIND(" ",TRIM(C96)&amp;" ")-1),",","."),FIND("/",SUBSTITUTE(LEFT(TRIM(C96),FIND(" ",TRIM(C96)&amp;" ")-1),",","."))-1)/MID(SUBSTITUTE(LEFT(TRIM(C96),FIND(" ",TRIM(C96)&amp;" ")-1),",","."),FIND("/",SUBSTITUTE(LEFT(TRIM(C96),FIND(" ",TRIM(C96)&amp;" ")-1),",","."))+1,9)),IF(ISNUMBER(SEARCH("yea",C96)),IFERROR(_xlfn.NUMBERVALUE(SUBSTITUTE(LEFT(TRIM(C96),FIND(" ",TRIM(C96)&amp;" ")-1),",","."),"."),LEFT(SUBSTITUTE(LEFT(TRIM(C96),FIND(" ",TRIM(C96)&amp;" ")-1),",","."),FIND("/",SUBSTITUTE(LEFT(TRIM(C96),FIND(" ",TRIM(C96)&amp;" ")-1),",","."))-1)/MID(SUBSTITUTE(LEFT(TRIM(C96),FIND(" ",TRIM(C96)&amp;" ")-1),",","."),FIND("/",SUBSTITUTE(LEFT(TRIM(C96),FIND(" ",TRIM(C96)&amp;" ")-1),",","."))+1,9))*12,NA()))),0),36)*'Aturan &amp; Tarif'!$B$4,2)</f>
        <v>2044.08</v>
      </c>
      <c r="K96" s="42" t="n">
        <f aca="false">'Aturan &amp; Tarif'!$B$5</f>
        <v>2050</v>
      </c>
      <c r="L96" s="35" t="n">
        <f aca="false">I96+J96+K96</f>
        <v>21886.08</v>
      </c>
      <c r="M96" s="45" t="s">
        <v>512</v>
      </c>
    </row>
    <row r="97" customFormat="false" ht="14.25" hidden="false" customHeight="true" outlineLevel="0" collapsed="false">
      <c r="A97" s="39"/>
      <c r="B97" s="40" t="s">
        <v>576</v>
      </c>
      <c r="C97" s="41" t="s">
        <v>127</v>
      </c>
      <c r="D97" s="41" t="s">
        <v>108</v>
      </c>
      <c r="E97" s="42" t="n">
        <v>8896</v>
      </c>
      <c r="F97" s="42"/>
      <c r="G97" s="42"/>
      <c r="H97" s="43" t="n">
        <v>2</v>
      </c>
      <c r="I97" s="34" t="n">
        <f aca="false">E97*H97+N(F97)+N(G97)</f>
        <v>17792</v>
      </c>
      <c r="J97" s="42" t="n">
        <f aca="false">ROUND(IFERROR(ROUND(IF(OR(ISNUMBER(SEARCH("week",C97)),ISNUMBER(SEARCH("minggu",C97))),IFERROR(_xlfn.NUMBERVALUE(SUBSTITUTE(LEFT(TRIM(C97),FIND(" ",TRIM(C97)&amp;" ")-1),",","."),"."),LEFT(SUBSTITUTE(LEFT(TRIM(C97),FIND(" ",TRIM(C97)&amp;" ")-1),",","."),FIND("/",SUBSTITUTE(LEFT(TRIM(C97),FIND(" ",TRIM(C97)&amp;" ")-1),",","."))-1)/MID(SUBSTITUTE(LEFT(TRIM(C97),FIND(" ",TRIM(C97)&amp;" ")-1),",","."),FIND("/",SUBSTITUTE(LEFT(TRIM(C97),FIND(" ",TRIM(C97)&amp;" ")-1),",","."))+1,9))*12/52,IF(ISNUMBER(SEARCH("month",C97)),IFERROR(_xlfn.NUMBERVALUE(SUBSTITUTE(LEFT(TRIM(C97),FIND(" ",TRIM(C97)&amp;" ")-1),",","."),"."),LEFT(SUBSTITUTE(LEFT(TRIM(C97),FIND(" ",TRIM(C97)&amp;" ")-1),",","."),FIND("/",SUBSTITUTE(LEFT(TRIM(C97),FIND(" ",TRIM(C97)&amp;" ")-1),",","."))-1)/MID(SUBSTITUTE(LEFT(TRIM(C97),FIND(" ",TRIM(C97)&amp;" ")-1),",","."),FIND("/",SUBSTITUTE(LEFT(TRIM(C97),FIND(" ",TRIM(C97)&amp;" ")-1),",","."))+1,9)),IF(ISNUMBER(SEARCH("yea",C97)),IFERROR(_xlfn.NUMBERVALUE(SUBSTITUTE(LEFT(TRIM(C97),FIND(" ",TRIM(C97)&amp;" ")-1),",","."),"."),LEFT(SUBSTITUTE(LEFT(TRIM(C97),FIND(" ",TRIM(C97)&amp;" ")-1),",","."),FIND("/",SUBSTITUTE(LEFT(TRIM(C97),FIND(" ",TRIM(C97)&amp;" ")-1),",","."))-1)/MID(SUBSTITUTE(LEFT(TRIM(C97),FIND(" ",TRIM(C97)&amp;" ")-1),",","."),FIND("/",SUBSTITUTE(LEFT(TRIM(C97),FIND(" ",TRIM(C97)&amp;" ")-1),",","."))+1,9))*12,NA()))),0),36)*'Aturan &amp; Tarif'!$B$4,2)</f>
        <v>2044.08</v>
      </c>
      <c r="K97" s="42" t="n">
        <f aca="false">'Aturan &amp; Tarif'!$B$5</f>
        <v>2050</v>
      </c>
      <c r="L97" s="35" t="n">
        <f aca="false">I97+J97+K97</f>
        <v>21886.08</v>
      </c>
      <c r="M97" s="45" t="s">
        <v>512</v>
      </c>
    </row>
    <row r="98" customFormat="false" ht="14.25" hidden="false" customHeight="true" outlineLevel="0" collapsed="false">
      <c r="A98" s="39"/>
      <c r="B98" s="40" t="s">
        <v>577</v>
      </c>
      <c r="C98" s="41" t="s">
        <v>127</v>
      </c>
      <c r="D98" s="41" t="s">
        <v>108</v>
      </c>
      <c r="E98" s="42" t="n">
        <v>8896</v>
      </c>
      <c r="F98" s="42"/>
      <c r="G98" s="42"/>
      <c r="H98" s="43" t="n">
        <v>2</v>
      </c>
      <c r="I98" s="34" t="n">
        <f aca="false">E98*H98+N(F98)+N(G98)</f>
        <v>17792</v>
      </c>
      <c r="J98" s="42" t="n">
        <f aca="false">ROUND(IFERROR(ROUND(IF(OR(ISNUMBER(SEARCH("week",C98)),ISNUMBER(SEARCH("minggu",C98))),IFERROR(_xlfn.NUMBERVALUE(SUBSTITUTE(LEFT(TRIM(C98),FIND(" ",TRIM(C98)&amp;" ")-1),",","."),"."),LEFT(SUBSTITUTE(LEFT(TRIM(C98),FIND(" ",TRIM(C98)&amp;" ")-1),",","."),FIND("/",SUBSTITUTE(LEFT(TRIM(C98),FIND(" ",TRIM(C98)&amp;" ")-1),",","."))-1)/MID(SUBSTITUTE(LEFT(TRIM(C98),FIND(" ",TRIM(C98)&amp;" ")-1),",","."),FIND("/",SUBSTITUTE(LEFT(TRIM(C98),FIND(" ",TRIM(C98)&amp;" ")-1),",","."))+1,9))*12/52,IF(ISNUMBER(SEARCH("month",C98)),IFERROR(_xlfn.NUMBERVALUE(SUBSTITUTE(LEFT(TRIM(C98),FIND(" ",TRIM(C98)&amp;" ")-1),",","."),"."),LEFT(SUBSTITUTE(LEFT(TRIM(C98),FIND(" ",TRIM(C98)&amp;" ")-1),",","."),FIND("/",SUBSTITUTE(LEFT(TRIM(C98),FIND(" ",TRIM(C98)&amp;" ")-1),",","."))-1)/MID(SUBSTITUTE(LEFT(TRIM(C98),FIND(" ",TRIM(C98)&amp;" ")-1),",","."),FIND("/",SUBSTITUTE(LEFT(TRIM(C98),FIND(" ",TRIM(C98)&amp;" ")-1),",","."))+1,9)),IF(ISNUMBER(SEARCH("yea",C98)),IFERROR(_xlfn.NUMBERVALUE(SUBSTITUTE(LEFT(TRIM(C98),FIND(" ",TRIM(C98)&amp;" ")-1),",","."),"."),LEFT(SUBSTITUTE(LEFT(TRIM(C98),FIND(" ",TRIM(C98)&amp;" ")-1),",","."),FIND("/",SUBSTITUTE(LEFT(TRIM(C98),FIND(" ",TRIM(C98)&amp;" ")-1),",","."))-1)/MID(SUBSTITUTE(LEFT(TRIM(C98),FIND(" ",TRIM(C98)&amp;" ")-1),",","."),FIND("/",SUBSTITUTE(LEFT(TRIM(C98),FIND(" ",TRIM(C98)&amp;" ")-1),",","."))+1,9))*12,NA()))),0),36)*'Aturan &amp; Tarif'!$B$4,2)</f>
        <v>2044.08</v>
      </c>
      <c r="K98" s="42" t="n">
        <f aca="false">'Aturan &amp; Tarif'!$B$5</f>
        <v>2050</v>
      </c>
      <c r="L98" s="35" t="n">
        <f aca="false">I98+J98+K98</f>
        <v>21886.08</v>
      </c>
      <c r="M98" s="45" t="s">
        <v>512</v>
      </c>
    </row>
    <row r="99" customFormat="false" ht="14.25" hidden="false" customHeight="true" outlineLevel="0" collapsed="false">
      <c r="A99" s="39"/>
      <c r="B99" s="40" t="s">
        <v>578</v>
      </c>
      <c r="C99" s="41" t="s">
        <v>127</v>
      </c>
      <c r="D99" s="41" t="s">
        <v>108</v>
      </c>
      <c r="E99" s="42" t="n">
        <v>8896</v>
      </c>
      <c r="F99" s="42"/>
      <c r="G99" s="42"/>
      <c r="H99" s="43" t="n">
        <v>2</v>
      </c>
      <c r="I99" s="34" t="n">
        <f aca="false">E99*H99+N(F99)+N(G99)</f>
        <v>17792</v>
      </c>
      <c r="J99" s="42" t="n">
        <f aca="false">ROUND(IFERROR(ROUND(IF(OR(ISNUMBER(SEARCH("week",C99)),ISNUMBER(SEARCH("minggu",C99))),IFERROR(_xlfn.NUMBERVALUE(SUBSTITUTE(LEFT(TRIM(C99),FIND(" ",TRIM(C99)&amp;" ")-1),",","."),"."),LEFT(SUBSTITUTE(LEFT(TRIM(C99),FIND(" ",TRIM(C99)&amp;" ")-1),",","."),FIND("/",SUBSTITUTE(LEFT(TRIM(C99),FIND(" ",TRIM(C99)&amp;" ")-1),",","."))-1)/MID(SUBSTITUTE(LEFT(TRIM(C99),FIND(" ",TRIM(C99)&amp;" ")-1),",","."),FIND("/",SUBSTITUTE(LEFT(TRIM(C99),FIND(" ",TRIM(C99)&amp;" ")-1),",","."))+1,9))*12/52,IF(ISNUMBER(SEARCH("month",C99)),IFERROR(_xlfn.NUMBERVALUE(SUBSTITUTE(LEFT(TRIM(C99),FIND(" ",TRIM(C99)&amp;" ")-1),",","."),"."),LEFT(SUBSTITUTE(LEFT(TRIM(C99),FIND(" ",TRIM(C99)&amp;" ")-1),",","."),FIND("/",SUBSTITUTE(LEFT(TRIM(C99),FIND(" ",TRIM(C99)&amp;" ")-1),",","."))-1)/MID(SUBSTITUTE(LEFT(TRIM(C99),FIND(" ",TRIM(C99)&amp;" ")-1),",","."),FIND("/",SUBSTITUTE(LEFT(TRIM(C99),FIND(" ",TRIM(C99)&amp;" ")-1),",","."))+1,9)),IF(ISNUMBER(SEARCH("yea",C99)),IFERROR(_xlfn.NUMBERVALUE(SUBSTITUTE(LEFT(TRIM(C99),FIND(" ",TRIM(C99)&amp;" ")-1),",","."),"."),LEFT(SUBSTITUTE(LEFT(TRIM(C99),FIND(" ",TRIM(C99)&amp;" ")-1),",","."),FIND("/",SUBSTITUTE(LEFT(TRIM(C99),FIND(" ",TRIM(C99)&amp;" ")-1),",","."))-1)/MID(SUBSTITUTE(LEFT(TRIM(C99),FIND(" ",TRIM(C99)&amp;" ")-1),",","."),FIND("/",SUBSTITUTE(LEFT(TRIM(C99),FIND(" ",TRIM(C99)&amp;" ")-1),",","."))+1,9))*12,NA()))),0),36)*'Aturan &amp; Tarif'!$B$4,2)</f>
        <v>2044.08</v>
      </c>
      <c r="K99" s="42" t="n">
        <f aca="false">'Aturan &amp; Tarif'!$B$5</f>
        <v>2050</v>
      </c>
      <c r="L99" s="35" t="n">
        <f aca="false">I99+J99+K99</f>
        <v>21886.08</v>
      </c>
      <c r="M99" s="45" t="s">
        <v>512</v>
      </c>
    </row>
    <row r="100" customFormat="false" ht="25.5" hidden="false" customHeight="true" outlineLevel="0" collapsed="false">
      <c r="A100" s="39"/>
      <c r="B100" s="40" t="s">
        <v>579</v>
      </c>
      <c r="C100" s="41" t="s">
        <v>344</v>
      </c>
      <c r="D100" s="41" t="s">
        <v>108</v>
      </c>
      <c r="E100" s="42" t="n">
        <v>8684</v>
      </c>
      <c r="F100" s="42"/>
      <c r="G100" s="42"/>
      <c r="H100" s="43" t="n">
        <v>2</v>
      </c>
      <c r="I100" s="34" t="n">
        <f aca="false">E100*H100+N(F100)+N(G100)</f>
        <v>17368</v>
      </c>
      <c r="J100" s="42" t="n">
        <f aca="false">ROUND(IFERROR(ROUND(IF(OR(ISNUMBER(SEARCH("week",C100)),ISNUMBER(SEARCH("minggu",C100))),IFERROR(_xlfn.NUMBERVALUE(SUBSTITUTE(LEFT(TRIM(C100),FIND(" ",TRIM(C100)&amp;" ")-1),",","."),"."),LEFT(SUBSTITUTE(LEFT(TRIM(C100),FIND(" ",TRIM(C100)&amp;" ")-1),",","."),FIND("/",SUBSTITUTE(LEFT(TRIM(C100),FIND(" ",TRIM(C100)&amp;" ")-1),",","."))-1)/MID(SUBSTITUTE(LEFT(TRIM(C100),FIND(" ",TRIM(C100)&amp;" ")-1),",","."),FIND("/",SUBSTITUTE(LEFT(TRIM(C100),FIND(" ",TRIM(C100)&amp;" ")-1),",","."))+1,9))*12/52,IF(ISNUMBER(SEARCH("month",C100)),IFERROR(_xlfn.NUMBERVALUE(SUBSTITUTE(LEFT(TRIM(C100),FIND(" ",TRIM(C100)&amp;" ")-1),",","."),"."),LEFT(SUBSTITUTE(LEFT(TRIM(C100),FIND(" ",TRIM(C100)&amp;" ")-1),",","."),FIND("/",SUBSTITUTE(LEFT(TRIM(C100),FIND(" ",TRIM(C100)&amp;" ")-1),",","."))-1)/MID(SUBSTITUTE(LEFT(TRIM(C100),FIND(" ",TRIM(C100)&amp;" ")-1),",","."),FIND("/",SUBSTITUTE(LEFT(TRIM(C100),FIND(" ",TRIM(C100)&amp;" ")-1),",","."))+1,9)),IF(ISNUMBER(SEARCH("yea",C100)),IFERROR(_xlfn.NUMBERVALUE(SUBSTITUTE(LEFT(TRIM(C100),FIND(" ",TRIM(C100)&amp;" ")-1),",","."),"."),LEFT(SUBSTITUTE(LEFT(TRIM(C100),FIND(" ",TRIM(C100)&amp;" ")-1),",","."),FIND("/",SUBSTITUTE(LEFT(TRIM(C100),FIND(" ",TRIM(C100)&amp;" ")-1),",","."))-1)/MID(SUBSTITUTE(LEFT(TRIM(C100),FIND(" ",TRIM(C100)&amp;" ")-1),",","."),FIND("/",SUBSTITUTE(LEFT(TRIM(C100),FIND(" ",TRIM(C100)&amp;" ")-1),",","."))+1,9))*12,NA()))),0),6)*'Aturan &amp; Tarif'!$B$4,2)</f>
        <v>340.68</v>
      </c>
      <c r="K100" s="42" t="n">
        <f aca="false">'Aturan &amp; Tarif'!$B$5</f>
        <v>2050</v>
      </c>
      <c r="L100" s="35" t="n">
        <f aca="false">I100+J100+K100</f>
        <v>19758.68</v>
      </c>
      <c r="M100" s="45" t="s">
        <v>580</v>
      </c>
    </row>
    <row r="101" customFormat="false" ht="14.25" hidden="false" customHeight="true" outlineLevel="0" collapsed="false">
      <c r="A101" s="39"/>
      <c r="B101" s="40" t="s">
        <v>581</v>
      </c>
      <c r="C101" s="41" t="s">
        <v>130</v>
      </c>
      <c r="D101" s="41" t="s">
        <v>108</v>
      </c>
      <c r="E101" s="42" t="n">
        <v>8684</v>
      </c>
      <c r="F101" s="42"/>
      <c r="G101" s="42"/>
      <c r="H101" s="43" t="n">
        <v>2</v>
      </c>
      <c r="I101" s="34" t="n">
        <f aca="false">E101*H101+N(F101)+N(G101)</f>
        <v>17368</v>
      </c>
      <c r="J101" s="42" t="n">
        <f aca="false">ROUND(IFERROR(ROUND(IF(OR(ISNUMBER(SEARCH("week",C101)),ISNUMBER(SEARCH("minggu",C101))),IFERROR(_xlfn.NUMBERVALUE(SUBSTITUTE(LEFT(TRIM(C101),FIND(" ",TRIM(C101)&amp;" ")-1),",","."),"."),LEFT(SUBSTITUTE(LEFT(TRIM(C101),FIND(" ",TRIM(C101)&amp;" ")-1),",","."),FIND("/",SUBSTITUTE(LEFT(TRIM(C101),FIND(" ",TRIM(C101)&amp;" ")-1),",","."))-1)/MID(SUBSTITUTE(LEFT(TRIM(C101),FIND(" ",TRIM(C101)&amp;" ")-1),",","."),FIND("/",SUBSTITUTE(LEFT(TRIM(C101),FIND(" ",TRIM(C101)&amp;" ")-1),",","."))+1,9))*12/52,IF(ISNUMBER(SEARCH("month",C101)),IFERROR(_xlfn.NUMBERVALUE(SUBSTITUTE(LEFT(TRIM(C101),FIND(" ",TRIM(C101)&amp;" ")-1),",","."),"."),LEFT(SUBSTITUTE(LEFT(TRIM(C101),FIND(" ",TRIM(C101)&amp;" ")-1),",","."),FIND("/",SUBSTITUTE(LEFT(TRIM(C101),FIND(" ",TRIM(C101)&amp;" ")-1),",","."))-1)/MID(SUBSTITUTE(LEFT(TRIM(C101),FIND(" ",TRIM(C101)&amp;" ")-1),",","."),FIND("/",SUBSTITUTE(LEFT(TRIM(C101),FIND(" ",TRIM(C101)&amp;" ")-1),",","."))+1,9)),IF(ISNUMBER(SEARCH("yea",C101)),IFERROR(_xlfn.NUMBERVALUE(SUBSTITUTE(LEFT(TRIM(C101),FIND(" ",TRIM(C101)&amp;" ")-1),",","."),"."),LEFT(SUBSTITUTE(LEFT(TRIM(C101),FIND(" ",TRIM(C101)&amp;" ")-1),",","."),FIND("/",SUBSTITUTE(LEFT(TRIM(C101),FIND(" ",TRIM(C101)&amp;" ")-1),",","."))-1)/MID(SUBSTITUTE(LEFT(TRIM(C101),FIND(" ",TRIM(C101)&amp;" ")-1),",","."),FIND("/",SUBSTITUTE(LEFT(TRIM(C101),FIND(" ",TRIM(C101)&amp;" ")-1),",","."))+1,9))*12,NA()))),0),12)*'Aturan &amp; Tarif'!$B$4,2)</f>
        <v>681.36</v>
      </c>
      <c r="K101" s="42" t="n">
        <f aca="false">'Aturan &amp; Tarif'!$B$5</f>
        <v>2050</v>
      </c>
      <c r="L101" s="35" t="n">
        <f aca="false">I101+J101+K101</f>
        <v>20099.36</v>
      </c>
      <c r="M101" s="45" t="s">
        <v>512</v>
      </c>
    </row>
    <row r="102" customFormat="false" ht="25.5" hidden="false" customHeight="true" outlineLevel="0" collapsed="false">
      <c r="A102" s="39"/>
      <c r="B102" s="40" t="s">
        <v>582</v>
      </c>
      <c r="C102" s="41" t="s">
        <v>130</v>
      </c>
      <c r="D102" s="41" t="s">
        <v>108</v>
      </c>
      <c r="E102" s="42" t="n">
        <v>9418</v>
      </c>
      <c r="F102" s="42"/>
      <c r="G102" s="42"/>
      <c r="H102" s="43" t="n">
        <v>2</v>
      </c>
      <c r="I102" s="34" t="n">
        <f aca="false">E102*H102+N(F102)+N(G102)</f>
        <v>18836</v>
      </c>
      <c r="J102" s="42" t="n">
        <f aca="false">ROUND(IFERROR(ROUND(IF(OR(ISNUMBER(SEARCH("week",C102)),ISNUMBER(SEARCH("minggu",C102))),IFERROR(_xlfn.NUMBERVALUE(SUBSTITUTE(LEFT(TRIM(C102),FIND(" ",TRIM(C102)&amp;" ")-1),",","."),"."),LEFT(SUBSTITUTE(LEFT(TRIM(C102),FIND(" ",TRIM(C102)&amp;" ")-1),",","."),FIND("/",SUBSTITUTE(LEFT(TRIM(C102),FIND(" ",TRIM(C102)&amp;" ")-1),",","."))-1)/MID(SUBSTITUTE(LEFT(TRIM(C102),FIND(" ",TRIM(C102)&amp;" ")-1),",","."),FIND("/",SUBSTITUTE(LEFT(TRIM(C102),FIND(" ",TRIM(C102)&amp;" ")-1),",","."))+1,9))*12/52,IF(ISNUMBER(SEARCH("month",C102)),IFERROR(_xlfn.NUMBERVALUE(SUBSTITUTE(LEFT(TRIM(C102),FIND(" ",TRIM(C102)&amp;" ")-1),",","."),"."),LEFT(SUBSTITUTE(LEFT(TRIM(C102),FIND(" ",TRIM(C102)&amp;" ")-1),",","."),FIND("/",SUBSTITUTE(LEFT(TRIM(C102),FIND(" ",TRIM(C102)&amp;" ")-1),",","."))-1)/MID(SUBSTITUTE(LEFT(TRIM(C102),FIND(" ",TRIM(C102)&amp;" ")-1),",","."),FIND("/",SUBSTITUTE(LEFT(TRIM(C102),FIND(" ",TRIM(C102)&amp;" ")-1),",","."))+1,9)),IF(ISNUMBER(SEARCH("yea",C102)),IFERROR(_xlfn.NUMBERVALUE(SUBSTITUTE(LEFT(TRIM(C102),FIND(" ",TRIM(C102)&amp;" ")-1),",","."),"."),LEFT(SUBSTITUTE(LEFT(TRIM(C102),FIND(" ",TRIM(C102)&amp;" ")-1),",","."),FIND("/",SUBSTITUTE(LEFT(TRIM(C102),FIND(" ",TRIM(C102)&amp;" ")-1),",","."))-1)/MID(SUBSTITUTE(LEFT(TRIM(C102),FIND(" ",TRIM(C102)&amp;" ")-1),",","."),FIND("/",SUBSTITUTE(LEFT(TRIM(C102),FIND(" ",TRIM(C102)&amp;" ")-1),",","."))+1,9))*12,NA()))),0),12)*'Aturan &amp; Tarif'!$B$4,2)</f>
        <v>681.36</v>
      </c>
      <c r="K102" s="42" t="n">
        <f aca="false">'Aturan &amp; Tarif'!$B$5</f>
        <v>2050</v>
      </c>
      <c r="L102" s="35" t="n">
        <f aca="false">I102+J102+K102</f>
        <v>21567.36</v>
      </c>
      <c r="M102" s="45" t="s">
        <v>512</v>
      </c>
    </row>
    <row r="103" customFormat="false" ht="14.25" hidden="false" customHeight="true" outlineLevel="0" collapsed="false">
      <c r="A103" s="39"/>
      <c r="B103" s="40" t="s">
        <v>583</v>
      </c>
      <c r="C103" s="41" t="s">
        <v>107</v>
      </c>
      <c r="D103" s="41" t="s">
        <v>108</v>
      </c>
      <c r="E103" s="42" t="n">
        <v>8684</v>
      </c>
      <c r="F103" s="42"/>
      <c r="G103" s="42"/>
      <c r="H103" s="43" t="n">
        <v>2</v>
      </c>
      <c r="I103" s="34" t="n">
        <f aca="false">E103*H103+N(F103)+N(G103)</f>
        <v>17368</v>
      </c>
      <c r="J103" s="42" t="n">
        <f aca="false">ROUND(IFERROR(ROUND(IF(OR(ISNUMBER(SEARCH("week",C103)),ISNUMBER(SEARCH("minggu",C103))),IFERROR(_xlfn.NUMBERVALUE(SUBSTITUTE(LEFT(TRIM(C103),FIND(" ",TRIM(C103)&amp;" ")-1),",","."),"."),LEFT(SUBSTITUTE(LEFT(TRIM(C103),FIND(" ",TRIM(C103)&amp;" ")-1),",","."),FIND("/",SUBSTITUTE(LEFT(TRIM(C103),FIND(" ",TRIM(C103)&amp;" ")-1),",","."))-1)/MID(SUBSTITUTE(LEFT(TRIM(C103),FIND(" ",TRIM(C103)&amp;" ")-1),",","."),FIND("/",SUBSTITUTE(LEFT(TRIM(C103),FIND(" ",TRIM(C103)&amp;" ")-1),",","."))+1,9))*12/52,IF(ISNUMBER(SEARCH("month",C103)),IFERROR(_xlfn.NUMBERVALUE(SUBSTITUTE(LEFT(TRIM(C103),FIND(" ",TRIM(C103)&amp;" ")-1),",","."),"."),LEFT(SUBSTITUTE(LEFT(TRIM(C103),FIND(" ",TRIM(C103)&amp;" ")-1),",","."),FIND("/",SUBSTITUTE(LEFT(TRIM(C103),FIND(" ",TRIM(C103)&amp;" ")-1),",","."))-1)/MID(SUBSTITUTE(LEFT(TRIM(C103),FIND(" ",TRIM(C103)&amp;" ")-1),",","."),FIND("/",SUBSTITUTE(LEFT(TRIM(C103),FIND(" ",TRIM(C103)&amp;" ")-1),",","."))+1,9)),IF(ISNUMBER(SEARCH("yea",C103)),IFERROR(_xlfn.NUMBERVALUE(SUBSTITUTE(LEFT(TRIM(C103),FIND(" ",TRIM(C103)&amp;" ")-1),",","."),"."),LEFT(SUBSTITUTE(LEFT(TRIM(C103),FIND(" ",TRIM(C103)&amp;" ")-1),",","."),FIND("/",SUBSTITUTE(LEFT(TRIM(C103),FIND(" ",TRIM(C103)&amp;" ")-1),",","."))-1)/MID(SUBSTITUTE(LEFT(TRIM(C103),FIND(" ",TRIM(C103)&amp;" ")-1),",","."),FIND("/",SUBSTITUTE(LEFT(TRIM(C103),FIND(" ",TRIM(C103)&amp;" ")-1),",","."))+1,9))*12,NA()))),0),24)*'Aturan &amp; Tarif'!$B$4,2)</f>
        <v>1362.72</v>
      </c>
      <c r="K103" s="42" t="n">
        <f aca="false">'Aturan &amp; Tarif'!$B$5</f>
        <v>2050</v>
      </c>
      <c r="L103" s="35" t="n">
        <f aca="false">I103+J103+K103</f>
        <v>20780.72</v>
      </c>
      <c r="M103" s="45" t="s">
        <v>512</v>
      </c>
    </row>
    <row r="104" customFormat="false" ht="14.25" hidden="false" customHeight="true" outlineLevel="0" collapsed="false">
      <c r="A104" s="39"/>
      <c r="B104" s="40" t="s">
        <v>584</v>
      </c>
      <c r="C104" s="41" t="s">
        <v>107</v>
      </c>
      <c r="D104" s="41" t="s">
        <v>108</v>
      </c>
      <c r="E104" s="42" t="n">
        <v>8684</v>
      </c>
      <c r="F104" s="42"/>
      <c r="G104" s="42"/>
      <c r="H104" s="43" t="n">
        <v>2</v>
      </c>
      <c r="I104" s="34" t="n">
        <f aca="false">E104*H104+N(F104)+N(G104)</f>
        <v>17368</v>
      </c>
      <c r="J104" s="42" t="n">
        <f aca="false">ROUND(IFERROR(ROUND(IF(OR(ISNUMBER(SEARCH("week",C104)),ISNUMBER(SEARCH("minggu",C104))),IFERROR(_xlfn.NUMBERVALUE(SUBSTITUTE(LEFT(TRIM(C104),FIND(" ",TRIM(C104)&amp;" ")-1),",","."),"."),LEFT(SUBSTITUTE(LEFT(TRIM(C104),FIND(" ",TRIM(C104)&amp;" ")-1),",","."),FIND("/",SUBSTITUTE(LEFT(TRIM(C104),FIND(" ",TRIM(C104)&amp;" ")-1),",","."))-1)/MID(SUBSTITUTE(LEFT(TRIM(C104),FIND(" ",TRIM(C104)&amp;" ")-1),",","."),FIND("/",SUBSTITUTE(LEFT(TRIM(C104),FIND(" ",TRIM(C104)&amp;" ")-1),",","."))+1,9))*12/52,IF(ISNUMBER(SEARCH("month",C104)),IFERROR(_xlfn.NUMBERVALUE(SUBSTITUTE(LEFT(TRIM(C104),FIND(" ",TRIM(C104)&amp;" ")-1),",","."),"."),LEFT(SUBSTITUTE(LEFT(TRIM(C104),FIND(" ",TRIM(C104)&amp;" ")-1),",","."),FIND("/",SUBSTITUTE(LEFT(TRIM(C104),FIND(" ",TRIM(C104)&amp;" ")-1),",","."))-1)/MID(SUBSTITUTE(LEFT(TRIM(C104),FIND(" ",TRIM(C104)&amp;" ")-1),",","."),FIND("/",SUBSTITUTE(LEFT(TRIM(C104),FIND(" ",TRIM(C104)&amp;" ")-1),",","."))+1,9)),IF(ISNUMBER(SEARCH("yea",C104)),IFERROR(_xlfn.NUMBERVALUE(SUBSTITUTE(LEFT(TRIM(C104),FIND(" ",TRIM(C104)&amp;" ")-1),",","."),"."),LEFT(SUBSTITUTE(LEFT(TRIM(C104),FIND(" ",TRIM(C104)&amp;" ")-1),",","."),FIND("/",SUBSTITUTE(LEFT(TRIM(C104),FIND(" ",TRIM(C104)&amp;" ")-1),",","."))-1)/MID(SUBSTITUTE(LEFT(TRIM(C104),FIND(" ",TRIM(C104)&amp;" ")-1),",","."),FIND("/",SUBSTITUTE(LEFT(TRIM(C104),FIND(" ",TRIM(C104)&amp;" ")-1),",","."))+1,9))*12,NA()))),0),24)*'Aturan &amp; Tarif'!$B$4,2)</f>
        <v>1362.72</v>
      </c>
      <c r="K104" s="42" t="n">
        <f aca="false">'Aturan &amp; Tarif'!$B$5</f>
        <v>2050</v>
      </c>
      <c r="L104" s="35" t="n">
        <f aca="false">I104+J104+K104</f>
        <v>20780.72</v>
      </c>
      <c r="M104" s="45" t="s">
        <v>512</v>
      </c>
    </row>
    <row r="105" customFormat="false" ht="14.25" hidden="false" customHeight="true" outlineLevel="0" collapsed="false">
      <c r="A105" s="39"/>
      <c r="B105" s="40" t="s">
        <v>585</v>
      </c>
      <c r="C105" s="41" t="s">
        <v>107</v>
      </c>
      <c r="D105" s="41" t="s">
        <v>108</v>
      </c>
      <c r="E105" s="42" t="n">
        <v>10196</v>
      </c>
      <c r="F105" s="42"/>
      <c r="G105" s="42"/>
      <c r="H105" s="43" t="n">
        <v>2</v>
      </c>
      <c r="I105" s="34" t="n">
        <f aca="false">E105*H105+N(F105)+N(G105)</f>
        <v>20392</v>
      </c>
      <c r="J105" s="42" t="n">
        <f aca="false">ROUND(IFERROR(ROUND(IF(OR(ISNUMBER(SEARCH("week",C105)),ISNUMBER(SEARCH("minggu",C105))),IFERROR(_xlfn.NUMBERVALUE(SUBSTITUTE(LEFT(TRIM(C105),FIND(" ",TRIM(C105)&amp;" ")-1),",","."),"."),LEFT(SUBSTITUTE(LEFT(TRIM(C105),FIND(" ",TRIM(C105)&amp;" ")-1),",","."),FIND("/",SUBSTITUTE(LEFT(TRIM(C105),FIND(" ",TRIM(C105)&amp;" ")-1),",","."))-1)/MID(SUBSTITUTE(LEFT(TRIM(C105),FIND(" ",TRIM(C105)&amp;" ")-1),",","."),FIND("/",SUBSTITUTE(LEFT(TRIM(C105),FIND(" ",TRIM(C105)&amp;" ")-1),",","."))+1,9))*12/52,IF(ISNUMBER(SEARCH("month",C105)),IFERROR(_xlfn.NUMBERVALUE(SUBSTITUTE(LEFT(TRIM(C105),FIND(" ",TRIM(C105)&amp;" ")-1),",","."),"."),LEFT(SUBSTITUTE(LEFT(TRIM(C105),FIND(" ",TRIM(C105)&amp;" ")-1),",","."),FIND("/",SUBSTITUTE(LEFT(TRIM(C105),FIND(" ",TRIM(C105)&amp;" ")-1),",","."))-1)/MID(SUBSTITUTE(LEFT(TRIM(C105),FIND(" ",TRIM(C105)&amp;" ")-1),",","."),FIND("/",SUBSTITUTE(LEFT(TRIM(C105),FIND(" ",TRIM(C105)&amp;" ")-1),",","."))+1,9)),IF(ISNUMBER(SEARCH("yea",C105)),IFERROR(_xlfn.NUMBERVALUE(SUBSTITUTE(LEFT(TRIM(C105),FIND(" ",TRIM(C105)&amp;" ")-1),",","."),"."),LEFT(SUBSTITUTE(LEFT(TRIM(C105),FIND(" ",TRIM(C105)&amp;" ")-1),",","."),FIND("/",SUBSTITUTE(LEFT(TRIM(C105),FIND(" ",TRIM(C105)&amp;" ")-1),",","."))-1)/MID(SUBSTITUTE(LEFT(TRIM(C105),FIND(" ",TRIM(C105)&amp;" ")-1),",","."),FIND("/",SUBSTITUTE(LEFT(TRIM(C105),FIND(" ",TRIM(C105)&amp;" ")-1),",","."))+1,9))*12,NA()))),0),24)*'Aturan &amp; Tarif'!$B$4,2)</f>
        <v>1362.72</v>
      </c>
      <c r="K105" s="42" t="n">
        <f aca="false">'Aturan &amp; Tarif'!$B$5</f>
        <v>2050</v>
      </c>
      <c r="L105" s="35" t="n">
        <f aca="false">I105+J105+K105</f>
        <v>23804.72</v>
      </c>
      <c r="M105" s="45" t="s">
        <v>512</v>
      </c>
    </row>
    <row r="106" customFormat="false" ht="14.25" hidden="false" customHeight="true" outlineLevel="0" collapsed="false">
      <c r="A106" s="39"/>
      <c r="B106" s="40" t="s">
        <v>275</v>
      </c>
      <c r="C106" s="41" t="s">
        <v>107</v>
      </c>
      <c r="D106" s="41" t="s">
        <v>108</v>
      </c>
      <c r="E106" s="42" t="n">
        <v>8684</v>
      </c>
      <c r="F106" s="42"/>
      <c r="G106" s="42"/>
      <c r="H106" s="43" t="n">
        <v>2</v>
      </c>
      <c r="I106" s="34" t="n">
        <f aca="false">E106*H106+N(F106)+N(G106)</f>
        <v>17368</v>
      </c>
      <c r="J106" s="42" t="n">
        <f aca="false">ROUND(IFERROR(ROUND(IF(OR(ISNUMBER(SEARCH("week",C106)),ISNUMBER(SEARCH("minggu",C106))),IFERROR(_xlfn.NUMBERVALUE(SUBSTITUTE(LEFT(TRIM(C106),FIND(" ",TRIM(C106)&amp;" ")-1),",","."),"."),LEFT(SUBSTITUTE(LEFT(TRIM(C106),FIND(" ",TRIM(C106)&amp;" ")-1),",","."),FIND("/",SUBSTITUTE(LEFT(TRIM(C106),FIND(" ",TRIM(C106)&amp;" ")-1),",","."))-1)/MID(SUBSTITUTE(LEFT(TRIM(C106),FIND(" ",TRIM(C106)&amp;" ")-1),",","."),FIND("/",SUBSTITUTE(LEFT(TRIM(C106),FIND(" ",TRIM(C106)&amp;" ")-1),",","."))+1,9))*12/52,IF(ISNUMBER(SEARCH("month",C106)),IFERROR(_xlfn.NUMBERVALUE(SUBSTITUTE(LEFT(TRIM(C106),FIND(" ",TRIM(C106)&amp;" ")-1),",","."),"."),LEFT(SUBSTITUTE(LEFT(TRIM(C106),FIND(" ",TRIM(C106)&amp;" ")-1),",","."),FIND("/",SUBSTITUTE(LEFT(TRIM(C106),FIND(" ",TRIM(C106)&amp;" ")-1),",","."))-1)/MID(SUBSTITUTE(LEFT(TRIM(C106),FIND(" ",TRIM(C106)&amp;" ")-1),",","."),FIND("/",SUBSTITUTE(LEFT(TRIM(C106),FIND(" ",TRIM(C106)&amp;" ")-1),",","."))+1,9)),IF(ISNUMBER(SEARCH("yea",C106)),IFERROR(_xlfn.NUMBERVALUE(SUBSTITUTE(LEFT(TRIM(C106),FIND(" ",TRIM(C106)&amp;" ")-1),",","."),"."),LEFT(SUBSTITUTE(LEFT(TRIM(C106),FIND(" ",TRIM(C106)&amp;" ")-1),",","."),FIND("/",SUBSTITUTE(LEFT(TRIM(C106),FIND(" ",TRIM(C106)&amp;" ")-1),",","."))-1)/MID(SUBSTITUTE(LEFT(TRIM(C106),FIND(" ",TRIM(C106)&amp;" ")-1),",","."),FIND("/",SUBSTITUTE(LEFT(TRIM(C106),FIND(" ",TRIM(C106)&amp;" ")-1),",","."))+1,9))*12,NA()))),0),24)*'Aturan &amp; Tarif'!$B$4,2)</f>
        <v>1362.72</v>
      </c>
      <c r="K106" s="42" t="n">
        <f aca="false">'Aturan &amp; Tarif'!$B$5</f>
        <v>2050</v>
      </c>
      <c r="L106" s="35" t="n">
        <f aca="false">I106+J106+K106</f>
        <v>20780.72</v>
      </c>
      <c r="M106" s="45" t="s">
        <v>512</v>
      </c>
    </row>
    <row r="107" customFormat="false" ht="14.25" hidden="false" customHeight="true" outlineLevel="0" collapsed="false">
      <c r="A107" s="39"/>
      <c r="B107" s="40" t="s">
        <v>288</v>
      </c>
      <c r="C107" s="41" t="s">
        <v>107</v>
      </c>
      <c r="D107" s="41" t="s">
        <v>108</v>
      </c>
      <c r="E107" s="42" t="n">
        <v>8684</v>
      </c>
      <c r="F107" s="42"/>
      <c r="G107" s="42"/>
      <c r="H107" s="43" t="n">
        <v>2</v>
      </c>
      <c r="I107" s="34" t="n">
        <f aca="false">E107*H107+N(F107)+N(G107)</f>
        <v>17368</v>
      </c>
      <c r="J107" s="42" t="n">
        <f aca="false">ROUND(IFERROR(ROUND(IF(OR(ISNUMBER(SEARCH("week",C107)),ISNUMBER(SEARCH("minggu",C107))),IFERROR(_xlfn.NUMBERVALUE(SUBSTITUTE(LEFT(TRIM(C107),FIND(" ",TRIM(C107)&amp;" ")-1),",","."),"."),LEFT(SUBSTITUTE(LEFT(TRIM(C107),FIND(" ",TRIM(C107)&amp;" ")-1),",","."),FIND("/",SUBSTITUTE(LEFT(TRIM(C107),FIND(" ",TRIM(C107)&amp;" ")-1),",","."))-1)/MID(SUBSTITUTE(LEFT(TRIM(C107),FIND(" ",TRIM(C107)&amp;" ")-1),",","."),FIND("/",SUBSTITUTE(LEFT(TRIM(C107),FIND(" ",TRIM(C107)&amp;" ")-1),",","."))+1,9))*12/52,IF(ISNUMBER(SEARCH("month",C107)),IFERROR(_xlfn.NUMBERVALUE(SUBSTITUTE(LEFT(TRIM(C107),FIND(" ",TRIM(C107)&amp;" ")-1),",","."),"."),LEFT(SUBSTITUTE(LEFT(TRIM(C107),FIND(" ",TRIM(C107)&amp;" ")-1),",","."),FIND("/",SUBSTITUTE(LEFT(TRIM(C107),FIND(" ",TRIM(C107)&amp;" ")-1),",","."))-1)/MID(SUBSTITUTE(LEFT(TRIM(C107),FIND(" ",TRIM(C107)&amp;" ")-1),",","."),FIND("/",SUBSTITUTE(LEFT(TRIM(C107),FIND(" ",TRIM(C107)&amp;" ")-1),",","."))+1,9)),IF(ISNUMBER(SEARCH("yea",C107)),IFERROR(_xlfn.NUMBERVALUE(SUBSTITUTE(LEFT(TRIM(C107),FIND(" ",TRIM(C107)&amp;" ")-1),",","."),"."),LEFT(SUBSTITUTE(LEFT(TRIM(C107),FIND(" ",TRIM(C107)&amp;" ")-1),",","."),FIND("/",SUBSTITUTE(LEFT(TRIM(C107),FIND(" ",TRIM(C107)&amp;" ")-1),",","."))-1)/MID(SUBSTITUTE(LEFT(TRIM(C107),FIND(" ",TRIM(C107)&amp;" ")-1),",","."),FIND("/",SUBSTITUTE(LEFT(TRIM(C107),FIND(" ",TRIM(C107)&amp;" ")-1),",","."))+1,9))*12,NA()))),0),24)*'Aturan &amp; Tarif'!$B$4,2)</f>
        <v>1362.72</v>
      </c>
      <c r="K107" s="42" t="n">
        <f aca="false">'Aturan &amp; Tarif'!$B$5</f>
        <v>2050</v>
      </c>
      <c r="L107" s="35" t="n">
        <f aca="false">I107+J107+K107</f>
        <v>20780.72</v>
      </c>
      <c r="M107" s="45" t="s">
        <v>512</v>
      </c>
    </row>
    <row r="108" customFormat="false" ht="14.25" hidden="false" customHeight="true" outlineLevel="0" collapsed="false">
      <c r="A108" s="39"/>
      <c r="B108" s="40" t="s">
        <v>586</v>
      </c>
      <c r="C108" s="41" t="s">
        <v>107</v>
      </c>
      <c r="D108" s="41" t="s">
        <v>108</v>
      </c>
      <c r="E108" s="42" t="n">
        <v>13028</v>
      </c>
      <c r="F108" s="42"/>
      <c r="G108" s="42"/>
      <c r="H108" s="43" t="n">
        <v>2</v>
      </c>
      <c r="I108" s="34" t="n">
        <f aca="false">E108*H108+N(F108)+N(G108)</f>
        <v>26056</v>
      </c>
      <c r="J108" s="42" t="n">
        <f aca="false">ROUND(IFERROR(ROUND(IF(OR(ISNUMBER(SEARCH("week",C108)),ISNUMBER(SEARCH("minggu",C108))),IFERROR(_xlfn.NUMBERVALUE(SUBSTITUTE(LEFT(TRIM(C108),FIND(" ",TRIM(C108)&amp;" ")-1),",","."),"."),LEFT(SUBSTITUTE(LEFT(TRIM(C108),FIND(" ",TRIM(C108)&amp;" ")-1),",","."),FIND("/",SUBSTITUTE(LEFT(TRIM(C108),FIND(" ",TRIM(C108)&amp;" ")-1),",","."))-1)/MID(SUBSTITUTE(LEFT(TRIM(C108),FIND(" ",TRIM(C108)&amp;" ")-1),",","."),FIND("/",SUBSTITUTE(LEFT(TRIM(C108),FIND(" ",TRIM(C108)&amp;" ")-1),",","."))+1,9))*12/52,IF(ISNUMBER(SEARCH("month",C108)),IFERROR(_xlfn.NUMBERVALUE(SUBSTITUTE(LEFT(TRIM(C108),FIND(" ",TRIM(C108)&amp;" ")-1),",","."),"."),LEFT(SUBSTITUTE(LEFT(TRIM(C108),FIND(" ",TRIM(C108)&amp;" ")-1),",","."),FIND("/",SUBSTITUTE(LEFT(TRIM(C108),FIND(" ",TRIM(C108)&amp;" ")-1),",","."))-1)/MID(SUBSTITUTE(LEFT(TRIM(C108),FIND(" ",TRIM(C108)&amp;" ")-1),",","."),FIND("/",SUBSTITUTE(LEFT(TRIM(C108),FIND(" ",TRIM(C108)&amp;" ")-1),",","."))+1,9)),IF(ISNUMBER(SEARCH("yea",C108)),IFERROR(_xlfn.NUMBERVALUE(SUBSTITUTE(LEFT(TRIM(C108),FIND(" ",TRIM(C108)&amp;" ")-1),",","."),"."),LEFT(SUBSTITUTE(LEFT(TRIM(C108),FIND(" ",TRIM(C108)&amp;" ")-1),",","."),FIND("/",SUBSTITUTE(LEFT(TRIM(C108),FIND(" ",TRIM(C108)&amp;" ")-1),",","."))-1)/MID(SUBSTITUTE(LEFT(TRIM(C108),FIND(" ",TRIM(C108)&amp;" ")-1),",","."),FIND("/",SUBSTITUTE(LEFT(TRIM(C108),FIND(" ",TRIM(C108)&amp;" ")-1),",","."))+1,9))*12,NA()))),0),24)*'Aturan &amp; Tarif'!$B$4,2)</f>
        <v>1362.72</v>
      </c>
      <c r="K108" s="42" t="n">
        <f aca="false">'Aturan &amp; Tarif'!$B$5</f>
        <v>2050</v>
      </c>
      <c r="L108" s="35" t="n">
        <f aca="false">I108+J108+K108</f>
        <v>29468.72</v>
      </c>
      <c r="M108" s="45" t="s">
        <v>512</v>
      </c>
    </row>
    <row r="109" customFormat="false" ht="14.25" hidden="false" customHeight="true" outlineLevel="0" collapsed="false">
      <c r="A109" s="39"/>
      <c r="B109" s="40" t="s">
        <v>587</v>
      </c>
      <c r="C109" s="41" t="s">
        <v>127</v>
      </c>
      <c r="D109" s="41" t="s">
        <v>108</v>
      </c>
      <c r="E109" s="42" t="n">
        <v>9508</v>
      </c>
      <c r="F109" s="42"/>
      <c r="G109" s="42"/>
      <c r="H109" s="43" t="n">
        <v>2</v>
      </c>
      <c r="I109" s="34" t="n">
        <f aca="false">E109*H109+N(F109)+N(G109)</f>
        <v>19016</v>
      </c>
      <c r="J109" s="42" t="n">
        <f aca="false">ROUND(IFERROR(ROUND(IF(OR(ISNUMBER(SEARCH("week",C109)),ISNUMBER(SEARCH("minggu",C109))),IFERROR(_xlfn.NUMBERVALUE(SUBSTITUTE(LEFT(TRIM(C109),FIND(" ",TRIM(C109)&amp;" ")-1),",","."),"."),LEFT(SUBSTITUTE(LEFT(TRIM(C109),FIND(" ",TRIM(C109)&amp;" ")-1),",","."),FIND("/",SUBSTITUTE(LEFT(TRIM(C109),FIND(" ",TRIM(C109)&amp;" ")-1),",","."))-1)/MID(SUBSTITUTE(LEFT(TRIM(C109),FIND(" ",TRIM(C109)&amp;" ")-1),",","."),FIND("/",SUBSTITUTE(LEFT(TRIM(C109),FIND(" ",TRIM(C109)&amp;" ")-1),",","."))+1,9))*12/52,IF(ISNUMBER(SEARCH("month",C109)),IFERROR(_xlfn.NUMBERVALUE(SUBSTITUTE(LEFT(TRIM(C109),FIND(" ",TRIM(C109)&amp;" ")-1),",","."),"."),LEFT(SUBSTITUTE(LEFT(TRIM(C109),FIND(" ",TRIM(C109)&amp;" ")-1),",","."),FIND("/",SUBSTITUTE(LEFT(TRIM(C109),FIND(" ",TRIM(C109)&amp;" ")-1),",","."))-1)/MID(SUBSTITUTE(LEFT(TRIM(C109),FIND(" ",TRIM(C109)&amp;" ")-1),",","."),FIND("/",SUBSTITUTE(LEFT(TRIM(C109),FIND(" ",TRIM(C109)&amp;" ")-1),",","."))+1,9)),IF(ISNUMBER(SEARCH("yea",C109)),IFERROR(_xlfn.NUMBERVALUE(SUBSTITUTE(LEFT(TRIM(C109),FIND(" ",TRIM(C109)&amp;" ")-1),",","."),"."),LEFT(SUBSTITUTE(LEFT(TRIM(C109),FIND(" ",TRIM(C109)&amp;" ")-1),",","."),FIND("/",SUBSTITUTE(LEFT(TRIM(C109),FIND(" ",TRIM(C109)&amp;" ")-1),",","."))-1)/MID(SUBSTITUTE(LEFT(TRIM(C109),FIND(" ",TRIM(C109)&amp;" ")-1),",","."),FIND("/",SUBSTITUTE(LEFT(TRIM(C109),FIND(" ",TRIM(C109)&amp;" ")-1),",","."))+1,9))*12,NA()))),0),36)*'Aturan &amp; Tarif'!$B$4,2)</f>
        <v>2044.08</v>
      </c>
      <c r="K109" s="42" t="n">
        <f aca="false">'Aturan &amp; Tarif'!$B$5</f>
        <v>2050</v>
      </c>
      <c r="L109" s="35" t="n">
        <f aca="false">I109+J109+K109</f>
        <v>23110.08</v>
      </c>
      <c r="M109" s="45" t="s">
        <v>512</v>
      </c>
    </row>
    <row r="110" customFormat="false" ht="14.25" hidden="false" customHeight="true" outlineLevel="0" collapsed="false">
      <c r="A110" s="39"/>
      <c r="B110" s="40" t="s">
        <v>265</v>
      </c>
      <c r="C110" s="41" t="s">
        <v>127</v>
      </c>
      <c r="D110" s="41" t="s">
        <v>108</v>
      </c>
      <c r="E110" s="42" t="n">
        <v>9680</v>
      </c>
      <c r="F110" s="42"/>
      <c r="G110" s="42"/>
      <c r="H110" s="43" t="n">
        <v>2</v>
      </c>
      <c r="I110" s="34" t="n">
        <f aca="false">E110*H110+N(F110)+N(G110)</f>
        <v>19360</v>
      </c>
      <c r="J110" s="42" t="n">
        <f aca="false">ROUND(IFERROR(ROUND(IF(OR(ISNUMBER(SEARCH("week",C110)),ISNUMBER(SEARCH("minggu",C110))),IFERROR(_xlfn.NUMBERVALUE(SUBSTITUTE(LEFT(TRIM(C110),FIND(" ",TRIM(C110)&amp;" ")-1),",","."),"."),LEFT(SUBSTITUTE(LEFT(TRIM(C110),FIND(" ",TRIM(C110)&amp;" ")-1),",","."),FIND("/",SUBSTITUTE(LEFT(TRIM(C110),FIND(" ",TRIM(C110)&amp;" ")-1),",","."))-1)/MID(SUBSTITUTE(LEFT(TRIM(C110),FIND(" ",TRIM(C110)&amp;" ")-1),",","."),FIND("/",SUBSTITUTE(LEFT(TRIM(C110),FIND(" ",TRIM(C110)&amp;" ")-1),",","."))+1,9))*12/52,IF(ISNUMBER(SEARCH("month",C110)),IFERROR(_xlfn.NUMBERVALUE(SUBSTITUTE(LEFT(TRIM(C110),FIND(" ",TRIM(C110)&amp;" ")-1),",","."),"."),LEFT(SUBSTITUTE(LEFT(TRIM(C110),FIND(" ",TRIM(C110)&amp;" ")-1),",","."),FIND("/",SUBSTITUTE(LEFT(TRIM(C110),FIND(" ",TRIM(C110)&amp;" ")-1),",","."))-1)/MID(SUBSTITUTE(LEFT(TRIM(C110),FIND(" ",TRIM(C110)&amp;" ")-1),",","."),FIND("/",SUBSTITUTE(LEFT(TRIM(C110),FIND(" ",TRIM(C110)&amp;" ")-1),",","."))+1,9)),IF(ISNUMBER(SEARCH("yea",C110)),IFERROR(_xlfn.NUMBERVALUE(SUBSTITUTE(LEFT(TRIM(C110),FIND(" ",TRIM(C110)&amp;" ")-1),",","."),"."),LEFT(SUBSTITUTE(LEFT(TRIM(C110),FIND(" ",TRIM(C110)&amp;" ")-1),",","."),FIND("/",SUBSTITUTE(LEFT(TRIM(C110),FIND(" ",TRIM(C110)&amp;" ")-1),",","."))-1)/MID(SUBSTITUTE(LEFT(TRIM(C110),FIND(" ",TRIM(C110)&amp;" ")-1),",","."),FIND("/",SUBSTITUTE(LEFT(TRIM(C110),FIND(" ",TRIM(C110)&amp;" ")-1),",","."))+1,9))*12,NA()))),0),36)*'Aturan &amp; Tarif'!$B$4,2)</f>
        <v>2044.08</v>
      </c>
      <c r="K110" s="42" t="n">
        <f aca="false">'Aturan &amp; Tarif'!$B$5</f>
        <v>2050</v>
      </c>
      <c r="L110" s="35" t="n">
        <f aca="false">I110+J110+K110</f>
        <v>23454.08</v>
      </c>
      <c r="M110" s="45" t="s">
        <v>512</v>
      </c>
    </row>
    <row r="111" customFormat="false" ht="25.5" hidden="false" customHeight="true" outlineLevel="0" collapsed="false">
      <c r="A111" s="39"/>
      <c r="B111" s="40" t="s">
        <v>588</v>
      </c>
      <c r="C111" s="41" t="s">
        <v>107</v>
      </c>
      <c r="D111" s="41" t="s">
        <v>108</v>
      </c>
      <c r="E111" s="42" t="n">
        <v>10104</v>
      </c>
      <c r="F111" s="42"/>
      <c r="G111" s="42"/>
      <c r="H111" s="43" t="n">
        <v>2</v>
      </c>
      <c r="I111" s="34" t="n">
        <f aca="false">E111*H111+N(F111)+N(G111)</f>
        <v>20208</v>
      </c>
      <c r="J111" s="42" t="n">
        <f aca="false">ROUND(IFERROR(ROUND(IF(OR(ISNUMBER(SEARCH("week",C111)),ISNUMBER(SEARCH("minggu",C111))),IFERROR(_xlfn.NUMBERVALUE(SUBSTITUTE(LEFT(TRIM(C111),FIND(" ",TRIM(C111)&amp;" ")-1),",","."),"."),LEFT(SUBSTITUTE(LEFT(TRIM(C111),FIND(" ",TRIM(C111)&amp;" ")-1),",","."),FIND("/",SUBSTITUTE(LEFT(TRIM(C111),FIND(" ",TRIM(C111)&amp;" ")-1),",","."))-1)/MID(SUBSTITUTE(LEFT(TRIM(C111),FIND(" ",TRIM(C111)&amp;" ")-1),",","."),FIND("/",SUBSTITUTE(LEFT(TRIM(C111),FIND(" ",TRIM(C111)&amp;" ")-1),",","."))+1,9))*12/52,IF(ISNUMBER(SEARCH("month",C111)),IFERROR(_xlfn.NUMBERVALUE(SUBSTITUTE(LEFT(TRIM(C111),FIND(" ",TRIM(C111)&amp;" ")-1),",","."),"."),LEFT(SUBSTITUTE(LEFT(TRIM(C111),FIND(" ",TRIM(C111)&amp;" ")-1),",","."),FIND("/",SUBSTITUTE(LEFT(TRIM(C111),FIND(" ",TRIM(C111)&amp;" ")-1),",","."))-1)/MID(SUBSTITUTE(LEFT(TRIM(C111),FIND(" ",TRIM(C111)&amp;" ")-1),",","."),FIND("/",SUBSTITUTE(LEFT(TRIM(C111),FIND(" ",TRIM(C111)&amp;" ")-1),",","."))+1,9)),IF(ISNUMBER(SEARCH("yea",C111)),IFERROR(_xlfn.NUMBERVALUE(SUBSTITUTE(LEFT(TRIM(C111),FIND(" ",TRIM(C111)&amp;" ")-1),",","."),"."),LEFT(SUBSTITUTE(LEFT(TRIM(C111),FIND(" ",TRIM(C111)&amp;" ")-1),",","."),FIND("/",SUBSTITUTE(LEFT(TRIM(C111),FIND(" ",TRIM(C111)&amp;" ")-1),",","."))-1)/MID(SUBSTITUTE(LEFT(TRIM(C111),FIND(" ",TRIM(C111)&amp;" ")-1),",","."),FIND("/",SUBSTITUTE(LEFT(TRIM(C111),FIND(" ",TRIM(C111)&amp;" ")-1),",","."))+1,9))*12,NA()))),0),24)*'Aturan &amp; Tarif'!$B$4,2)</f>
        <v>1362.72</v>
      </c>
      <c r="K111" s="42" t="n">
        <f aca="false">'Aturan &amp; Tarif'!$B$5</f>
        <v>2050</v>
      </c>
      <c r="L111" s="35" t="n">
        <f aca="false">I111+J111+K111</f>
        <v>23620.72</v>
      </c>
      <c r="M111" s="45" t="s">
        <v>512</v>
      </c>
    </row>
    <row r="112" customFormat="false" ht="14.25" hidden="false" customHeight="true" outlineLevel="0" collapsed="false">
      <c r="A112" s="39"/>
      <c r="B112" s="40" t="s">
        <v>589</v>
      </c>
      <c r="C112" s="41" t="s">
        <v>130</v>
      </c>
      <c r="D112" s="41" t="s">
        <v>108</v>
      </c>
      <c r="E112" s="42" t="n">
        <v>8302</v>
      </c>
      <c r="F112" s="42"/>
      <c r="G112" s="42"/>
      <c r="H112" s="43" t="n">
        <v>2</v>
      </c>
      <c r="I112" s="34" t="n">
        <f aca="false">E112*H112+N(F112)+N(G112)</f>
        <v>16604</v>
      </c>
      <c r="J112" s="42" t="n">
        <f aca="false">ROUND(IFERROR(ROUND(IF(OR(ISNUMBER(SEARCH("week",C112)),ISNUMBER(SEARCH("minggu",C112))),IFERROR(_xlfn.NUMBERVALUE(SUBSTITUTE(LEFT(TRIM(C112),FIND(" ",TRIM(C112)&amp;" ")-1),",","."),"."),LEFT(SUBSTITUTE(LEFT(TRIM(C112),FIND(" ",TRIM(C112)&amp;" ")-1),",","."),FIND("/",SUBSTITUTE(LEFT(TRIM(C112),FIND(" ",TRIM(C112)&amp;" ")-1),",","."))-1)/MID(SUBSTITUTE(LEFT(TRIM(C112),FIND(" ",TRIM(C112)&amp;" ")-1),",","."),FIND("/",SUBSTITUTE(LEFT(TRIM(C112),FIND(" ",TRIM(C112)&amp;" ")-1),",","."))+1,9))*12/52,IF(ISNUMBER(SEARCH("month",C112)),IFERROR(_xlfn.NUMBERVALUE(SUBSTITUTE(LEFT(TRIM(C112),FIND(" ",TRIM(C112)&amp;" ")-1),",","."),"."),LEFT(SUBSTITUTE(LEFT(TRIM(C112),FIND(" ",TRIM(C112)&amp;" ")-1),",","."),FIND("/",SUBSTITUTE(LEFT(TRIM(C112),FIND(" ",TRIM(C112)&amp;" ")-1),",","."))-1)/MID(SUBSTITUTE(LEFT(TRIM(C112),FIND(" ",TRIM(C112)&amp;" ")-1),",","."),FIND("/",SUBSTITUTE(LEFT(TRIM(C112),FIND(" ",TRIM(C112)&amp;" ")-1),",","."))+1,9)),IF(ISNUMBER(SEARCH("yea",C112)),IFERROR(_xlfn.NUMBERVALUE(SUBSTITUTE(LEFT(TRIM(C112),FIND(" ",TRIM(C112)&amp;" ")-1),",","."),"."),LEFT(SUBSTITUTE(LEFT(TRIM(C112),FIND(" ",TRIM(C112)&amp;" ")-1),",","."),FIND("/",SUBSTITUTE(LEFT(TRIM(C112),FIND(" ",TRIM(C112)&amp;" ")-1),",","."))-1)/MID(SUBSTITUTE(LEFT(TRIM(C112),FIND(" ",TRIM(C112)&amp;" ")-1),",","."),FIND("/",SUBSTITUTE(LEFT(TRIM(C112),FIND(" ",TRIM(C112)&amp;" ")-1),",","."))+1,9))*12,NA()))),0),12)*'Aturan &amp; Tarif'!$B$4,2)</f>
        <v>681.36</v>
      </c>
      <c r="K112" s="42" t="n">
        <f aca="false">'Aturan &amp; Tarif'!$B$5</f>
        <v>2050</v>
      </c>
      <c r="L112" s="35" t="n">
        <f aca="false">I112+J112+K112</f>
        <v>19335.36</v>
      </c>
      <c r="M112" s="45" t="s">
        <v>512</v>
      </c>
    </row>
    <row r="113" customFormat="false" ht="14.25" hidden="false" customHeight="true" outlineLevel="0" collapsed="false">
      <c r="A113" s="39"/>
      <c r="B113" s="40" t="s">
        <v>590</v>
      </c>
      <c r="C113" s="41" t="s">
        <v>130</v>
      </c>
      <c r="D113" s="41" t="s">
        <v>108</v>
      </c>
      <c r="E113" s="42" t="n">
        <v>8302</v>
      </c>
      <c r="F113" s="42"/>
      <c r="G113" s="42"/>
      <c r="H113" s="43" t="n">
        <v>2</v>
      </c>
      <c r="I113" s="34" t="n">
        <f aca="false">E113*H113+N(F113)+N(G113)</f>
        <v>16604</v>
      </c>
      <c r="J113" s="42" t="n">
        <f aca="false">ROUND(IFERROR(ROUND(IF(OR(ISNUMBER(SEARCH("week",C113)),ISNUMBER(SEARCH("minggu",C113))),IFERROR(_xlfn.NUMBERVALUE(SUBSTITUTE(LEFT(TRIM(C113),FIND(" ",TRIM(C113)&amp;" ")-1),",","."),"."),LEFT(SUBSTITUTE(LEFT(TRIM(C113),FIND(" ",TRIM(C113)&amp;" ")-1),",","."),FIND("/",SUBSTITUTE(LEFT(TRIM(C113),FIND(" ",TRIM(C113)&amp;" ")-1),",","."))-1)/MID(SUBSTITUTE(LEFT(TRIM(C113),FIND(" ",TRIM(C113)&amp;" ")-1),",","."),FIND("/",SUBSTITUTE(LEFT(TRIM(C113),FIND(" ",TRIM(C113)&amp;" ")-1),",","."))+1,9))*12/52,IF(ISNUMBER(SEARCH("month",C113)),IFERROR(_xlfn.NUMBERVALUE(SUBSTITUTE(LEFT(TRIM(C113),FIND(" ",TRIM(C113)&amp;" ")-1),",","."),"."),LEFT(SUBSTITUTE(LEFT(TRIM(C113),FIND(" ",TRIM(C113)&amp;" ")-1),",","."),FIND("/",SUBSTITUTE(LEFT(TRIM(C113),FIND(" ",TRIM(C113)&amp;" ")-1),",","."))-1)/MID(SUBSTITUTE(LEFT(TRIM(C113),FIND(" ",TRIM(C113)&amp;" ")-1),",","."),FIND("/",SUBSTITUTE(LEFT(TRIM(C113),FIND(" ",TRIM(C113)&amp;" ")-1),",","."))+1,9)),IF(ISNUMBER(SEARCH("yea",C113)),IFERROR(_xlfn.NUMBERVALUE(SUBSTITUTE(LEFT(TRIM(C113),FIND(" ",TRIM(C113)&amp;" ")-1),",","."),"."),LEFT(SUBSTITUTE(LEFT(TRIM(C113),FIND(" ",TRIM(C113)&amp;" ")-1),",","."),FIND("/",SUBSTITUTE(LEFT(TRIM(C113),FIND(" ",TRIM(C113)&amp;" ")-1),",","."))-1)/MID(SUBSTITUTE(LEFT(TRIM(C113),FIND(" ",TRIM(C113)&amp;" ")-1),",","."),FIND("/",SUBSTITUTE(LEFT(TRIM(C113),FIND(" ",TRIM(C113)&amp;" ")-1),",","."))+1,9))*12,NA()))),0),12)*'Aturan &amp; Tarif'!$B$4,2)</f>
        <v>681.36</v>
      </c>
      <c r="K113" s="42" t="n">
        <f aca="false">'Aturan &amp; Tarif'!$B$5</f>
        <v>2050</v>
      </c>
      <c r="L113" s="35" t="n">
        <f aca="false">I113+J113+K113</f>
        <v>19335.36</v>
      </c>
      <c r="M113" s="45" t="s">
        <v>512</v>
      </c>
    </row>
    <row r="114" customFormat="false" ht="14.25" hidden="false" customHeight="true" outlineLevel="0" collapsed="false">
      <c r="A114" s="39"/>
      <c r="B114" s="40" t="s">
        <v>269</v>
      </c>
      <c r="C114" s="41" t="s">
        <v>127</v>
      </c>
      <c r="D114" s="41" t="s">
        <v>108</v>
      </c>
      <c r="E114" s="42" t="n">
        <v>8302</v>
      </c>
      <c r="F114" s="42"/>
      <c r="G114" s="42"/>
      <c r="H114" s="43" t="n">
        <v>2</v>
      </c>
      <c r="I114" s="34" t="n">
        <f aca="false">E114*H114+N(F114)+N(G114)</f>
        <v>16604</v>
      </c>
      <c r="J114" s="42" t="n">
        <f aca="false">ROUND(IFERROR(ROUND(IF(OR(ISNUMBER(SEARCH("week",C114)),ISNUMBER(SEARCH("minggu",C114))),IFERROR(_xlfn.NUMBERVALUE(SUBSTITUTE(LEFT(TRIM(C114),FIND(" ",TRIM(C114)&amp;" ")-1),",","."),"."),LEFT(SUBSTITUTE(LEFT(TRIM(C114),FIND(" ",TRIM(C114)&amp;" ")-1),",","."),FIND("/",SUBSTITUTE(LEFT(TRIM(C114),FIND(" ",TRIM(C114)&amp;" ")-1),",","."))-1)/MID(SUBSTITUTE(LEFT(TRIM(C114),FIND(" ",TRIM(C114)&amp;" ")-1),",","."),FIND("/",SUBSTITUTE(LEFT(TRIM(C114),FIND(" ",TRIM(C114)&amp;" ")-1),",","."))+1,9))*12/52,IF(ISNUMBER(SEARCH("month",C114)),IFERROR(_xlfn.NUMBERVALUE(SUBSTITUTE(LEFT(TRIM(C114),FIND(" ",TRIM(C114)&amp;" ")-1),",","."),"."),LEFT(SUBSTITUTE(LEFT(TRIM(C114),FIND(" ",TRIM(C114)&amp;" ")-1),",","."),FIND("/",SUBSTITUTE(LEFT(TRIM(C114),FIND(" ",TRIM(C114)&amp;" ")-1),",","."))-1)/MID(SUBSTITUTE(LEFT(TRIM(C114),FIND(" ",TRIM(C114)&amp;" ")-1),",","."),FIND("/",SUBSTITUTE(LEFT(TRIM(C114),FIND(" ",TRIM(C114)&amp;" ")-1),",","."))+1,9)),IF(ISNUMBER(SEARCH("yea",C114)),IFERROR(_xlfn.NUMBERVALUE(SUBSTITUTE(LEFT(TRIM(C114),FIND(" ",TRIM(C114)&amp;" ")-1),",","."),"."),LEFT(SUBSTITUTE(LEFT(TRIM(C114),FIND(" ",TRIM(C114)&amp;" ")-1),",","."),FIND("/",SUBSTITUTE(LEFT(TRIM(C114),FIND(" ",TRIM(C114)&amp;" ")-1),",","."))-1)/MID(SUBSTITUTE(LEFT(TRIM(C114),FIND(" ",TRIM(C114)&amp;" ")-1),",","."),FIND("/",SUBSTITUTE(LEFT(TRIM(C114),FIND(" ",TRIM(C114)&amp;" ")-1),",","."))+1,9))*12,NA()))),0),36)*'Aturan &amp; Tarif'!$B$4,2)</f>
        <v>2044.08</v>
      </c>
      <c r="K114" s="42" t="n">
        <f aca="false">'Aturan &amp; Tarif'!$B$5</f>
        <v>2050</v>
      </c>
      <c r="L114" s="35" t="n">
        <f aca="false">I114+J114+K114</f>
        <v>20698.08</v>
      </c>
      <c r="M114" s="45" t="s">
        <v>512</v>
      </c>
    </row>
    <row r="115" customFormat="false" ht="25.5" hidden="false" customHeight="true" outlineLevel="0" collapsed="false">
      <c r="A115" s="39"/>
      <c r="B115" s="40" t="s">
        <v>591</v>
      </c>
      <c r="C115" s="41" t="s">
        <v>130</v>
      </c>
      <c r="D115" s="41" t="s">
        <v>108</v>
      </c>
      <c r="E115" s="42" t="n">
        <v>8302</v>
      </c>
      <c r="F115" s="42"/>
      <c r="G115" s="42"/>
      <c r="H115" s="43" t="n">
        <v>2</v>
      </c>
      <c r="I115" s="34" t="n">
        <f aca="false">E115*H115+N(F115)+N(G115)</f>
        <v>16604</v>
      </c>
      <c r="J115" s="42" t="n">
        <f aca="false">ROUND(IFERROR(ROUND(IF(OR(ISNUMBER(SEARCH("week",C115)),ISNUMBER(SEARCH("minggu",C115))),IFERROR(_xlfn.NUMBERVALUE(SUBSTITUTE(LEFT(TRIM(C115),FIND(" ",TRIM(C115)&amp;" ")-1),",","."),"."),LEFT(SUBSTITUTE(LEFT(TRIM(C115),FIND(" ",TRIM(C115)&amp;" ")-1),",","."),FIND("/",SUBSTITUTE(LEFT(TRIM(C115),FIND(" ",TRIM(C115)&amp;" ")-1),",","."))-1)/MID(SUBSTITUTE(LEFT(TRIM(C115),FIND(" ",TRIM(C115)&amp;" ")-1),",","."),FIND("/",SUBSTITUTE(LEFT(TRIM(C115),FIND(" ",TRIM(C115)&amp;" ")-1),",","."))+1,9))*12/52,IF(ISNUMBER(SEARCH("month",C115)),IFERROR(_xlfn.NUMBERVALUE(SUBSTITUTE(LEFT(TRIM(C115),FIND(" ",TRIM(C115)&amp;" ")-1),",","."),"."),LEFT(SUBSTITUTE(LEFT(TRIM(C115),FIND(" ",TRIM(C115)&amp;" ")-1),",","."),FIND("/",SUBSTITUTE(LEFT(TRIM(C115),FIND(" ",TRIM(C115)&amp;" ")-1),",","."))-1)/MID(SUBSTITUTE(LEFT(TRIM(C115),FIND(" ",TRIM(C115)&amp;" ")-1),",","."),FIND("/",SUBSTITUTE(LEFT(TRIM(C115),FIND(" ",TRIM(C115)&amp;" ")-1),",","."))+1,9)),IF(ISNUMBER(SEARCH("yea",C115)),IFERROR(_xlfn.NUMBERVALUE(SUBSTITUTE(LEFT(TRIM(C115),FIND(" ",TRIM(C115)&amp;" ")-1),",","."),"."),LEFT(SUBSTITUTE(LEFT(TRIM(C115),FIND(" ",TRIM(C115)&amp;" ")-1),",","."),FIND("/",SUBSTITUTE(LEFT(TRIM(C115),FIND(" ",TRIM(C115)&amp;" ")-1),",","."))-1)/MID(SUBSTITUTE(LEFT(TRIM(C115),FIND(" ",TRIM(C115)&amp;" ")-1),",","."),FIND("/",SUBSTITUTE(LEFT(TRIM(C115),FIND(" ",TRIM(C115)&amp;" ")-1),",","."))+1,9))*12,NA()))),0),12)*'Aturan &amp; Tarif'!$B$4,2)</f>
        <v>681.36</v>
      </c>
      <c r="K115" s="42" t="n">
        <f aca="false">'Aturan &amp; Tarif'!$B$5</f>
        <v>2050</v>
      </c>
      <c r="L115" s="35" t="n">
        <f aca="false">I115+J115+K115</f>
        <v>19335.36</v>
      </c>
      <c r="M115" s="45" t="s">
        <v>512</v>
      </c>
    </row>
    <row r="116" customFormat="false" ht="14.25" hidden="false" customHeight="true" outlineLevel="0" collapsed="false">
      <c r="A116" s="39"/>
      <c r="B116" s="40" t="s">
        <v>592</v>
      </c>
      <c r="C116" s="41" t="s">
        <v>130</v>
      </c>
      <c r="D116" s="41" t="s">
        <v>108</v>
      </c>
      <c r="E116" s="42" t="n">
        <v>8302</v>
      </c>
      <c r="F116" s="42"/>
      <c r="G116" s="42"/>
      <c r="H116" s="43" t="n">
        <v>2</v>
      </c>
      <c r="I116" s="34" t="n">
        <f aca="false">E116*H116+N(F116)+N(G116)</f>
        <v>16604</v>
      </c>
      <c r="J116" s="42" t="n">
        <f aca="false">ROUND(IFERROR(ROUND(IF(OR(ISNUMBER(SEARCH("week",C116)),ISNUMBER(SEARCH("minggu",C116))),IFERROR(_xlfn.NUMBERVALUE(SUBSTITUTE(LEFT(TRIM(C116),FIND(" ",TRIM(C116)&amp;" ")-1),",","."),"."),LEFT(SUBSTITUTE(LEFT(TRIM(C116),FIND(" ",TRIM(C116)&amp;" ")-1),",","."),FIND("/",SUBSTITUTE(LEFT(TRIM(C116),FIND(" ",TRIM(C116)&amp;" ")-1),",","."))-1)/MID(SUBSTITUTE(LEFT(TRIM(C116),FIND(" ",TRIM(C116)&amp;" ")-1),",","."),FIND("/",SUBSTITUTE(LEFT(TRIM(C116),FIND(" ",TRIM(C116)&amp;" ")-1),",","."))+1,9))*12/52,IF(ISNUMBER(SEARCH("month",C116)),IFERROR(_xlfn.NUMBERVALUE(SUBSTITUTE(LEFT(TRIM(C116),FIND(" ",TRIM(C116)&amp;" ")-1),",","."),"."),LEFT(SUBSTITUTE(LEFT(TRIM(C116),FIND(" ",TRIM(C116)&amp;" ")-1),",","."),FIND("/",SUBSTITUTE(LEFT(TRIM(C116),FIND(" ",TRIM(C116)&amp;" ")-1),",","."))-1)/MID(SUBSTITUTE(LEFT(TRIM(C116),FIND(" ",TRIM(C116)&amp;" ")-1),",","."),FIND("/",SUBSTITUTE(LEFT(TRIM(C116),FIND(" ",TRIM(C116)&amp;" ")-1),",","."))+1,9)),IF(ISNUMBER(SEARCH("yea",C116)),IFERROR(_xlfn.NUMBERVALUE(SUBSTITUTE(LEFT(TRIM(C116),FIND(" ",TRIM(C116)&amp;" ")-1),",","."),"."),LEFT(SUBSTITUTE(LEFT(TRIM(C116),FIND(" ",TRIM(C116)&amp;" ")-1),",","."),FIND("/",SUBSTITUTE(LEFT(TRIM(C116),FIND(" ",TRIM(C116)&amp;" ")-1),",","."))-1)/MID(SUBSTITUTE(LEFT(TRIM(C116),FIND(" ",TRIM(C116)&amp;" ")-1),",","."),FIND("/",SUBSTITUTE(LEFT(TRIM(C116),FIND(" ",TRIM(C116)&amp;" ")-1),",","."))+1,9))*12,NA()))),0),12)*'Aturan &amp; Tarif'!$B$4,2)</f>
        <v>681.36</v>
      </c>
      <c r="K116" s="42" t="n">
        <f aca="false">'Aturan &amp; Tarif'!$B$5</f>
        <v>2050</v>
      </c>
      <c r="L116" s="35" t="n">
        <f aca="false">I116+J116+K116</f>
        <v>19335.36</v>
      </c>
      <c r="M116" s="45" t="s">
        <v>512</v>
      </c>
    </row>
    <row r="117" customFormat="false" ht="14.25" hidden="false" customHeight="true" outlineLevel="0" collapsed="false">
      <c r="A117" s="39"/>
      <c r="B117" s="40" t="s">
        <v>593</v>
      </c>
      <c r="C117" s="41" t="s">
        <v>130</v>
      </c>
      <c r="D117" s="41" t="s">
        <v>108</v>
      </c>
      <c r="E117" s="42" t="n">
        <v>7802</v>
      </c>
      <c r="F117" s="42"/>
      <c r="G117" s="42"/>
      <c r="H117" s="43" t="n">
        <v>2</v>
      </c>
      <c r="I117" s="34" t="n">
        <f aca="false">E117*H117+N(F117)+N(G117)</f>
        <v>15604</v>
      </c>
      <c r="J117" s="42" t="n">
        <f aca="false">ROUND(IFERROR(ROUND(IF(OR(ISNUMBER(SEARCH("week",C117)),ISNUMBER(SEARCH("minggu",C117))),IFERROR(_xlfn.NUMBERVALUE(SUBSTITUTE(LEFT(TRIM(C117),FIND(" ",TRIM(C117)&amp;" ")-1),",","."),"."),LEFT(SUBSTITUTE(LEFT(TRIM(C117),FIND(" ",TRIM(C117)&amp;" ")-1),",","."),FIND("/",SUBSTITUTE(LEFT(TRIM(C117),FIND(" ",TRIM(C117)&amp;" ")-1),",","."))-1)/MID(SUBSTITUTE(LEFT(TRIM(C117),FIND(" ",TRIM(C117)&amp;" ")-1),",","."),FIND("/",SUBSTITUTE(LEFT(TRIM(C117),FIND(" ",TRIM(C117)&amp;" ")-1),",","."))+1,9))*12/52,IF(ISNUMBER(SEARCH("month",C117)),IFERROR(_xlfn.NUMBERVALUE(SUBSTITUTE(LEFT(TRIM(C117),FIND(" ",TRIM(C117)&amp;" ")-1),",","."),"."),LEFT(SUBSTITUTE(LEFT(TRIM(C117),FIND(" ",TRIM(C117)&amp;" ")-1),",","."),FIND("/",SUBSTITUTE(LEFT(TRIM(C117),FIND(" ",TRIM(C117)&amp;" ")-1),",","."))-1)/MID(SUBSTITUTE(LEFT(TRIM(C117),FIND(" ",TRIM(C117)&amp;" ")-1),",","."),FIND("/",SUBSTITUTE(LEFT(TRIM(C117),FIND(" ",TRIM(C117)&amp;" ")-1),",","."))+1,9)),IF(ISNUMBER(SEARCH("yea",C117)),IFERROR(_xlfn.NUMBERVALUE(SUBSTITUTE(LEFT(TRIM(C117),FIND(" ",TRIM(C117)&amp;" ")-1),",","."),"."),LEFT(SUBSTITUTE(LEFT(TRIM(C117),FIND(" ",TRIM(C117)&amp;" ")-1),",","."),FIND("/",SUBSTITUTE(LEFT(TRIM(C117),FIND(" ",TRIM(C117)&amp;" ")-1),",","."))-1)/MID(SUBSTITUTE(LEFT(TRIM(C117),FIND(" ",TRIM(C117)&amp;" ")-1),",","."),FIND("/",SUBSTITUTE(LEFT(TRIM(C117),FIND(" ",TRIM(C117)&amp;" ")-1),",","."))+1,9))*12,NA()))),0),12)*'Aturan &amp; Tarif'!$B$4,2)</f>
        <v>681.36</v>
      </c>
      <c r="K117" s="42" t="n">
        <f aca="false">'Aturan &amp; Tarif'!$B$5</f>
        <v>2050</v>
      </c>
      <c r="L117" s="35" t="n">
        <f aca="false">I117+J117+K117</f>
        <v>18335.36</v>
      </c>
      <c r="M117" s="45" t="s">
        <v>512</v>
      </c>
    </row>
    <row r="118" customFormat="false" ht="14.25" hidden="false" customHeight="true" outlineLevel="0" collapsed="false">
      <c r="A118" s="39"/>
      <c r="B118" s="40" t="s">
        <v>594</v>
      </c>
      <c r="C118" s="41" t="s">
        <v>130</v>
      </c>
      <c r="D118" s="41" t="s">
        <v>108</v>
      </c>
      <c r="E118" s="42" t="n">
        <v>8568</v>
      </c>
      <c r="F118" s="42"/>
      <c r="G118" s="42"/>
      <c r="H118" s="43" t="n">
        <v>2</v>
      </c>
      <c r="I118" s="34" t="n">
        <f aca="false">E118*H118+N(F118)+N(G118)</f>
        <v>17136</v>
      </c>
      <c r="J118" s="42" t="n">
        <f aca="false">ROUND(IFERROR(ROUND(IF(OR(ISNUMBER(SEARCH("week",C118)),ISNUMBER(SEARCH("minggu",C118))),IFERROR(_xlfn.NUMBERVALUE(SUBSTITUTE(LEFT(TRIM(C118),FIND(" ",TRIM(C118)&amp;" ")-1),",","."),"."),LEFT(SUBSTITUTE(LEFT(TRIM(C118),FIND(" ",TRIM(C118)&amp;" ")-1),",","."),FIND("/",SUBSTITUTE(LEFT(TRIM(C118),FIND(" ",TRIM(C118)&amp;" ")-1),",","."))-1)/MID(SUBSTITUTE(LEFT(TRIM(C118),FIND(" ",TRIM(C118)&amp;" ")-1),",","."),FIND("/",SUBSTITUTE(LEFT(TRIM(C118),FIND(" ",TRIM(C118)&amp;" ")-1),",","."))+1,9))*12/52,IF(ISNUMBER(SEARCH("month",C118)),IFERROR(_xlfn.NUMBERVALUE(SUBSTITUTE(LEFT(TRIM(C118),FIND(" ",TRIM(C118)&amp;" ")-1),",","."),"."),LEFT(SUBSTITUTE(LEFT(TRIM(C118),FIND(" ",TRIM(C118)&amp;" ")-1),",","."),FIND("/",SUBSTITUTE(LEFT(TRIM(C118),FIND(" ",TRIM(C118)&amp;" ")-1),",","."))-1)/MID(SUBSTITUTE(LEFT(TRIM(C118),FIND(" ",TRIM(C118)&amp;" ")-1),",","."),FIND("/",SUBSTITUTE(LEFT(TRIM(C118),FIND(" ",TRIM(C118)&amp;" ")-1),",","."))+1,9)),IF(ISNUMBER(SEARCH("yea",C118)),IFERROR(_xlfn.NUMBERVALUE(SUBSTITUTE(LEFT(TRIM(C118),FIND(" ",TRIM(C118)&amp;" ")-1),",","."),"."),LEFT(SUBSTITUTE(LEFT(TRIM(C118),FIND(" ",TRIM(C118)&amp;" ")-1),",","."),FIND("/",SUBSTITUTE(LEFT(TRIM(C118),FIND(" ",TRIM(C118)&amp;" ")-1),",","."))-1)/MID(SUBSTITUTE(LEFT(TRIM(C118),FIND(" ",TRIM(C118)&amp;" ")-1),",","."),FIND("/",SUBSTITUTE(LEFT(TRIM(C118),FIND(" ",TRIM(C118)&amp;" ")-1),",","."))+1,9))*12,NA()))),0),12)*'Aturan &amp; Tarif'!$B$4,2)</f>
        <v>681.36</v>
      </c>
      <c r="K118" s="42" t="n">
        <f aca="false">'Aturan &amp; Tarif'!$B$5</f>
        <v>2050</v>
      </c>
      <c r="L118" s="35" t="n">
        <f aca="false">I118+J118+K118</f>
        <v>19867.36</v>
      </c>
      <c r="M118" s="45" t="s">
        <v>512</v>
      </c>
    </row>
    <row r="119" customFormat="false" ht="25.5" hidden="false" customHeight="true" outlineLevel="0" collapsed="false">
      <c r="A119" s="39"/>
      <c r="B119" s="40" t="s">
        <v>595</v>
      </c>
      <c r="C119" s="41" t="s">
        <v>107</v>
      </c>
      <c r="D119" s="41" t="s">
        <v>108</v>
      </c>
      <c r="E119" s="42" t="n">
        <v>8714</v>
      </c>
      <c r="F119" s="42"/>
      <c r="G119" s="42"/>
      <c r="H119" s="43" t="n">
        <v>2</v>
      </c>
      <c r="I119" s="34" t="n">
        <f aca="false">E119*H119+N(F119)+N(G119)</f>
        <v>17428</v>
      </c>
      <c r="J119" s="42" t="n">
        <f aca="false">ROUND(IFERROR(ROUND(IF(OR(ISNUMBER(SEARCH("week",C119)),ISNUMBER(SEARCH("minggu",C119))),IFERROR(_xlfn.NUMBERVALUE(SUBSTITUTE(LEFT(TRIM(C119),FIND(" ",TRIM(C119)&amp;" ")-1),",","."),"."),LEFT(SUBSTITUTE(LEFT(TRIM(C119),FIND(" ",TRIM(C119)&amp;" ")-1),",","."),FIND("/",SUBSTITUTE(LEFT(TRIM(C119),FIND(" ",TRIM(C119)&amp;" ")-1),",","."))-1)/MID(SUBSTITUTE(LEFT(TRIM(C119),FIND(" ",TRIM(C119)&amp;" ")-1),",","."),FIND("/",SUBSTITUTE(LEFT(TRIM(C119),FIND(" ",TRIM(C119)&amp;" ")-1),",","."))+1,9))*12/52,IF(ISNUMBER(SEARCH("month",C119)),IFERROR(_xlfn.NUMBERVALUE(SUBSTITUTE(LEFT(TRIM(C119),FIND(" ",TRIM(C119)&amp;" ")-1),",","."),"."),LEFT(SUBSTITUTE(LEFT(TRIM(C119),FIND(" ",TRIM(C119)&amp;" ")-1),",","."),FIND("/",SUBSTITUTE(LEFT(TRIM(C119),FIND(" ",TRIM(C119)&amp;" ")-1),",","."))-1)/MID(SUBSTITUTE(LEFT(TRIM(C119),FIND(" ",TRIM(C119)&amp;" ")-1),",","."),FIND("/",SUBSTITUTE(LEFT(TRIM(C119),FIND(" ",TRIM(C119)&amp;" ")-1),",","."))+1,9)),IF(ISNUMBER(SEARCH("yea",C119)),IFERROR(_xlfn.NUMBERVALUE(SUBSTITUTE(LEFT(TRIM(C119),FIND(" ",TRIM(C119)&amp;" ")-1),",","."),"."),LEFT(SUBSTITUTE(LEFT(TRIM(C119),FIND(" ",TRIM(C119)&amp;" ")-1),",","."),FIND("/",SUBSTITUTE(LEFT(TRIM(C119),FIND(" ",TRIM(C119)&amp;" ")-1),",","."))-1)/MID(SUBSTITUTE(LEFT(TRIM(C119),FIND(" ",TRIM(C119)&amp;" ")-1),",","."),FIND("/",SUBSTITUTE(LEFT(TRIM(C119),FIND(" ",TRIM(C119)&amp;" ")-1),",","."))+1,9))*12,NA()))),0),24)*'Aturan &amp; Tarif'!$B$4,2)</f>
        <v>1362.72</v>
      </c>
      <c r="K119" s="42" t="n">
        <f aca="false">'Aturan &amp; Tarif'!$B$5</f>
        <v>2050</v>
      </c>
      <c r="L119" s="35" t="n">
        <f aca="false">I119+J119+K119</f>
        <v>20840.72</v>
      </c>
      <c r="M119" s="45" t="s">
        <v>512</v>
      </c>
    </row>
    <row r="120" customFormat="false" ht="14.25" hidden="false" customHeight="true" outlineLevel="0" collapsed="false">
      <c r="A120" s="39"/>
      <c r="B120" s="40" t="s">
        <v>327</v>
      </c>
      <c r="C120" s="41" t="s">
        <v>127</v>
      </c>
      <c r="D120" s="41" t="s">
        <v>108</v>
      </c>
      <c r="E120" s="42" t="n">
        <v>8714</v>
      </c>
      <c r="F120" s="42"/>
      <c r="G120" s="42"/>
      <c r="H120" s="43" t="n">
        <v>2</v>
      </c>
      <c r="I120" s="34" t="n">
        <f aca="false">E120*H120+N(F120)+N(G120)</f>
        <v>17428</v>
      </c>
      <c r="J120" s="42" t="n">
        <f aca="false">ROUND(IFERROR(ROUND(IF(OR(ISNUMBER(SEARCH("week",C120)),ISNUMBER(SEARCH("minggu",C120))),IFERROR(_xlfn.NUMBERVALUE(SUBSTITUTE(LEFT(TRIM(C120),FIND(" ",TRIM(C120)&amp;" ")-1),",","."),"."),LEFT(SUBSTITUTE(LEFT(TRIM(C120),FIND(" ",TRIM(C120)&amp;" ")-1),",","."),FIND("/",SUBSTITUTE(LEFT(TRIM(C120),FIND(" ",TRIM(C120)&amp;" ")-1),",","."))-1)/MID(SUBSTITUTE(LEFT(TRIM(C120),FIND(" ",TRIM(C120)&amp;" ")-1),",","."),FIND("/",SUBSTITUTE(LEFT(TRIM(C120),FIND(" ",TRIM(C120)&amp;" ")-1),",","."))+1,9))*12/52,IF(ISNUMBER(SEARCH("month",C120)),IFERROR(_xlfn.NUMBERVALUE(SUBSTITUTE(LEFT(TRIM(C120),FIND(" ",TRIM(C120)&amp;" ")-1),",","."),"."),LEFT(SUBSTITUTE(LEFT(TRIM(C120),FIND(" ",TRIM(C120)&amp;" ")-1),",","."),FIND("/",SUBSTITUTE(LEFT(TRIM(C120),FIND(" ",TRIM(C120)&amp;" ")-1),",","."))-1)/MID(SUBSTITUTE(LEFT(TRIM(C120),FIND(" ",TRIM(C120)&amp;" ")-1),",","."),FIND("/",SUBSTITUTE(LEFT(TRIM(C120),FIND(" ",TRIM(C120)&amp;" ")-1),",","."))+1,9)),IF(ISNUMBER(SEARCH("yea",C120)),IFERROR(_xlfn.NUMBERVALUE(SUBSTITUTE(LEFT(TRIM(C120),FIND(" ",TRIM(C120)&amp;" ")-1),",","."),"."),LEFT(SUBSTITUTE(LEFT(TRIM(C120),FIND(" ",TRIM(C120)&amp;" ")-1),",","."),FIND("/",SUBSTITUTE(LEFT(TRIM(C120),FIND(" ",TRIM(C120)&amp;" ")-1),",","."))-1)/MID(SUBSTITUTE(LEFT(TRIM(C120),FIND(" ",TRIM(C120)&amp;" ")-1),",","."),FIND("/",SUBSTITUTE(LEFT(TRIM(C120),FIND(" ",TRIM(C120)&amp;" ")-1),",","."))+1,9))*12,NA()))),0),36)*'Aturan &amp; Tarif'!$B$4,2)</f>
        <v>2044.08</v>
      </c>
      <c r="K120" s="42" t="n">
        <f aca="false">'Aturan &amp; Tarif'!$B$5</f>
        <v>2050</v>
      </c>
      <c r="L120" s="35" t="n">
        <f aca="false">I120+J120+K120</f>
        <v>21522.08</v>
      </c>
      <c r="M120" s="45" t="s">
        <v>512</v>
      </c>
    </row>
    <row r="121" customFormat="false" ht="14.25" hidden="false" customHeight="true" outlineLevel="0" collapsed="false">
      <c r="A121" s="39"/>
      <c r="B121" s="40" t="s">
        <v>335</v>
      </c>
      <c r="C121" s="41" t="s">
        <v>127</v>
      </c>
      <c r="D121" s="41" t="s">
        <v>108</v>
      </c>
      <c r="E121" s="42" t="n">
        <v>8714</v>
      </c>
      <c r="F121" s="42"/>
      <c r="G121" s="42"/>
      <c r="H121" s="43" t="n">
        <v>2</v>
      </c>
      <c r="I121" s="34" t="n">
        <f aca="false">E121*H121+N(F121)+N(G121)</f>
        <v>17428</v>
      </c>
      <c r="J121" s="42" t="n">
        <f aca="false">ROUND(IFERROR(ROUND(IF(OR(ISNUMBER(SEARCH("week",C121)),ISNUMBER(SEARCH("minggu",C121))),IFERROR(_xlfn.NUMBERVALUE(SUBSTITUTE(LEFT(TRIM(C121),FIND(" ",TRIM(C121)&amp;" ")-1),",","."),"."),LEFT(SUBSTITUTE(LEFT(TRIM(C121),FIND(" ",TRIM(C121)&amp;" ")-1),",","."),FIND("/",SUBSTITUTE(LEFT(TRIM(C121),FIND(" ",TRIM(C121)&amp;" ")-1),",","."))-1)/MID(SUBSTITUTE(LEFT(TRIM(C121),FIND(" ",TRIM(C121)&amp;" ")-1),",","."),FIND("/",SUBSTITUTE(LEFT(TRIM(C121),FIND(" ",TRIM(C121)&amp;" ")-1),",","."))+1,9))*12/52,IF(ISNUMBER(SEARCH("month",C121)),IFERROR(_xlfn.NUMBERVALUE(SUBSTITUTE(LEFT(TRIM(C121),FIND(" ",TRIM(C121)&amp;" ")-1),",","."),"."),LEFT(SUBSTITUTE(LEFT(TRIM(C121),FIND(" ",TRIM(C121)&amp;" ")-1),",","."),FIND("/",SUBSTITUTE(LEFT(TRIM(C121),FIND(" ",TRIM(C121)&amp;" ")-1),",","."))-1)/MID(SUBSTITUTE(LEFT(TRIM(C121),FIND(" ",TRIM(C121)&amp;" ")-1),",","."),FIND("/",SUBSTITUTE(LEFT(TRIM(C121),FIND(" ",TRIM(C121)&amp;" ")-1),",","."))+1,9)),IF(ISNUMBER(SEARCH("yea",C121)),IFERROR(_xlfn.NUMBERVALUE(SUBSTITUTE(LEFT(TRIM(C121),FIND(" ",TRIM(C121)&amp;" ")-1),",","."),"."),LEFT(SUBSTITUTE(LEFT(TRIM(C121),FIND(" ",TRIM(C121)&amp;" ")-1),",","."),FIND("/",SUBSTITUTE(LEFT(TRIM(C121),FIND(" ",TRIM(C121)&amp;" ")-1),",","."))-1)/MID(SUBSTITUTE(LEFT(TRIM(C121),FIND(" ",TRIM(C121)&amp;" ")-1),",","."),FIND("/",SUBSTITUTE(LEFT(TRIM(C121),FIND(" ",TRIM(C121)&amp;" ")-1),",","."))+1,9))*12,NA()))),0),36)*'Aturan &amp; Tarif'!$B$4,2)</f>
        <v>2044.08</v>
      </c>
      <c r="K121" s="42" t="n">
        <f aca="false">'Aturan &amp; Tarif'!$B$5</f>
        <v>2050</v>
      </c>
      <c r="L121" s="35" t="n">
        <f aca="false">I121+J121+K121</f>
        <v>21522.08</v>
      </c>
      <c r="M121" s="45" t="s">
        <v>512</v>
      </c>
    </row>
    <row r="122" customFormat="false" ht="14.25" hidden="false" customHeight="true" outlineLevel="0" collapsed="false">
      <c r="A122" s="39"/>
      <c r="B122" s="40" t="s">
        <v>596</v>
      </c>
      <c r="C122" s="41" t="s">
        <v>191</v>
      </c>
      <c r="D122" s="41" t="s">
        <v>108</v>
      </c>
      <c r="E122" s="42" t="n">
        <v>9848</v>
      </c>
      <c r="F122" s="42"/>
      <c r="G122" s="42"/>
      <c r="H122" s="43" t="n">
        <v>2</v>
      </c>
      <c r="I122" s="34" t="n">
        <f aca="false">E122*H122+N(F122)+N(G122)</f>
        <v>19696</v>
      </c>
      <c r="J122" s="42" t="n">
        <f aca="false">ROUND(IFERROR(ROUND(IF(OR(ISNUMBER(SEARCH("week",C122)),ISNUMBER(SEARCH("minggu",C122))),IFERROR(_xlfn.NUMBERVALUE(SUBSTITUTE(LEFT(TRIM(C122),FIND(" ",TRIM(C122)&amp;" ")-1),",","."),"."),LEFT(SUBSTITUTE(LEFT(TRIM(C122),FIND(" ",TRIM(C122)&amp;" ")-1),",","."),FIND("/",SUBSTITUTE(LEFT(TRIM(C122),FIND(" ",TRIM(C122)&amp;" ")-1),",","."))-1)/MID(SUBSTITUTE(LEFT(TRIM(C122),FIND(" ",TRIM(C122)&amp;" ")-1),",","."),FIND("/",SUBSTITUTE(LEFT(TRIM(C122),FIND(" ",TRIM(C122)&amp;" ")-1),",","."))+1,9))*12/52,IF(ISNUMBER(SEARCH("month",C122)),IFERROR(_xlfn.NUMBERVALUE(SUBSTITUTE(LEFT(TRIM(C122),FIND(" ",TRIM(C122)&amp;" ")-1),",","."),"."),LEFT(SUBSTITUTE(LEFT(TRIM(C122),FIND(" ",TRIM(C122)&amp;" ")-1),",","."),FIND("/",SUBSTITUTE(LEFT(TRIM(C122),FIND(" ",TRIM(C122)&amp;" ")-1),",","."))-1)/MID(SUBSTITUTE(LEFT(TRIM(C122),FIND(" ",TRIM(C122)&amp;" ")-1),",","."),FIND("/",SUBSTITUTE(LEFT(TRIM(C122),FIND(" ",TRIM(C122)&amp;" ")-1),",","."))+1,9)),IF(ISNUMBER(SEARCH("yea",C122)),IFERROR(_xlfn.NUMBERVALUE(SUBSTITUTE(LEFT(TRIM(C122),FIND(" ",TRIM(C122)&amp;" ")-1),",","."),"."),LEFT(SUBSTITUTE(LEFT(TRIM(C122),FIND(" ",TRIM(C122)&amp;" ")-1),",","."),FIND("/",SUBSTITUTE(LEFT(TRIM(C122),FIND(" ",TRIM(C122)&amp;" ")-1),",","."))-1)/MID(SUBSTITUTE(LEFT(TRIM(C122),FIND(" ",TRIM(C122)&amp;" ")-1),",","."),FIND("/",SUBSTITUTE(LEFT(TRIM(C122),FIND(" ",TRIM(C122)&amp;" ")-1),",","."))+1,9))*12,NA()))),0),48)*'Aturan &amp; Tarif'!$B$4,2)</f>
        <v>2725.44</v>
      </c>
      <c r="K122" s="42" t="n">
        <f aca="false">'Aturan &amp; Tarif'!$B$5</f>
        <v>2050</v>
      </c>
      <c r="L122" s="35" t="n">
        <f aca="false">I122+J122+K122</f>
        <v>24471.44</v>
      </c>
      <c r="M122" s="45" t="s">
        <v>512</v>
      </c>
    </row>
    <row r="123" customFormat="false" ht="14.25" hidden="false" customHeight="true" outlineLevel="0" collapsed="false">
      <c r="A123" s="39"/>
      <c r="B123" s="40" t="s">
        <v>597</v>
      </c>
      <c r="C123" s="41" t="s">
        <v>107</v>
      </c>
      <c r="D123" s="41" t="s">
        <v>108</v>
      </c>
      <c r="E123" s="42" t="n">
        <v>9110</v>
      </c>
      <c r="F123" s="42"/>
      <c r="G123" s="42"/>
      <c r="H123" s="43" t="n">
        <v>2</v>
      </c>
      <c r="I123" s="34" t="n">
        <f aca="false">E123*H123+N(F123)+N(G123)</f>
        <v>18220</v>
      </c>
      <c r="J123" s="42" t="n">
        <f aca="false">ROUND(IFERROR(ROUND(IF(OR(ISNUMBER(SEARCH("week",C123)),ISNUMBER(SEARCH("minggu",C123))),IFERROR(_xlfn.NUMBERVALUE(SUBSTITUTE(LEFT(TRIM(C123),FIND(" ",TRIM(C123)&amp;" ")-1),",","."),"."),LEFT(SUBSTITUTE(LEFT(TRIM(C123),FIND(" ",TRIM(C123)&amp;" ")-1),",","."),FIND("/",SUBSTITUTE(LEFT(TRIM(C123),FIND(" ",TRIM(C123)&amp;" ")-1),",","."))-1)/MID(SUBSTITUTE(LEFT(TRIM(C123),FIND(" ",TRIM(C123)&amp;" ")-1),",","."),FIND("/",SUBSTITUTE(LEFT(TRIM(C123),FIND(" ",TRIM(C123)&amp;" ")-1),",","."))+1,9))*12/52,IF(ISNUMBER(SEARCH("month",C123)),IFERROR(_xlfn.NUMBERVALUE(SUBSTITUTE(LEFT(TRIM(C123),FIND(" ",TRIM(C123)&amp;" ")-1),",","."),"."),LEFT(SUBSTITUTE(LEFT(TRIM(C123),FIND(" ",TRIM(C123)&amp;" ")-1),",","."),FIND("/",SUBSTITUTE(LEFT(TRIM(C123),FIND(" ",TRIM(C123)&amp;" ")-1),",","."))-1)/MID(SUBSTITUTE(LEFT(TRIM(C123),FIND(" ",TRIM(C123)&amp;" ")-1),",","."),FIND("/",SUBSTITUTE(LEFT(TRIM(C123),FIND(" ",TRIM(C123)&amp;" ")-1),",","."))+1,9)),IF(ISNUMBER(SEARCH("yea",C123)),IFERROR(_xlfn.NUMBERVALUE(SUBSTITUTE(LEFT(TRIM(C123),FIND(" ",TRIM(C123)&amp;" ")-1),",","."),"."),LEFT(SUBSTITUTE(LEFT(TRIM(C123),FIND(" ",TRIM(C123)&amp;" ")-1),",","."),FIND("/",SUBSTITUTE(LEFT(TRIM(C123),FIND(" ",TRIM(C123)&amp;" ")-1),",","."))-1)/MID(SUBSTITUTE(LEFT(TRIM(C123),FIND(" ",TRIM(C123)&amp;" ")-1),",","."),FIND("/",SUBSTITUTE(LEFT(TRIM(C123),FIND(" ",TRIM(C123)&amp;" ")-1),",","."))+1,9))*12,NA()))),0),24)*'Aturan &amp; Tarif'!$B$4,2)</f>
        <v>1362.72</v>
      </c>
      <c r="K123" s="42" t="n">
        <f aca="false">'Aturan &amp; Tarif'!$B$5</f>
        <v>2050</v>
      </c>
      <c r="L123" s="35" t="n">
        <f aca="false">I123+J123+K123</f>
        <v>21632.72</v>
      </c>
      <c r="M123" s="45" t="s">
        <v>512</v>
      </c>
    </row>
    <row r="124" customFormat="false" ht="25.5" hidden="false" customHeight="true" outlineLevel="0" collapsed="false">
      <c r="A124" s="39"/>
      <c r="B124" s="40" t="s">
        <v>2011</v>
      </c>
      <c r="C124" s="41" t="s">
        <v>107</v>
      </c>
      <c r="D124" s="41" t="s">
        <v>108</v>
      </c>
      <c r="E124" s="42" t="n">
        <v>9110</v>
      </c>
      <c r="F124" s="42"/>
      <c r="G124" s="42"/>
      <c r="H124" s="43" t="n">
        <v>2</v>
      </c>
      <c r="I124" s="34" t="n">
        <f aca="false">E124*H124+N(F124)+N(G124)</f>
        <v>18220</v>
      </c>
      <c r="J124" s="42" t="n">
        <f aca="false">ROUND(IFERROR(ROUND(IF(OR(ISNUMBER(SEARCH("week",C124)),ISNUMBER(SEARCH("minggu",C124))),IFERROR(_xlfn.NUMBERVALUE(SUBSTITUTE(LEFT(TRIM(C124),FIND(" ",TRIM(C124)&amp;" ")-1),",","."),"."),LEFT(SUBSTITUTE(LEFT(TRIM(C124),FIND(" ",TRIM(C124)&amp;" ")-1),",","."),FIND("/",SUBSTITUTE(LEFT(TRIM(C124),FIND(" ",TRIM(C124)&amp;" ")-1),",","."))-1)/MID(SUBSTITUTE(LEFT(TRIM(C124),FIND(" ",TRIM(C124)&amp;" ")-1),",","."),FIND("/",SUBSTITUTE(LEFT(TRIM(C124),FIND(" ",TRIM(C124)&amp;" ")-1),",","."))+1,9))*12/52,IF(ISNUMBER(SEARCH("month",C124)),IFERROR(_xlfn.NUMBERVALUE(SUBSTITUTE(LEFT(TRIM(C124),FIND(" ",TRIM(C124)&amp;" ")-1),",","."),"."),LEFT(SUBSTITUTE(LEFT(TRIM(C124),FIND(" ",TRIM(C124)&amp;" ")-1),",","."),FIND("/",SUBSTITUTE(LEFT(TRIM(C124),FIND(" ",TRIM(C124)&amp;" ")-1),",","."))-1)/MID(SUBSTITUTE(LEFT(TRIM(C124),FIND(" ",TRIM(C124)&amp;" ")-1),",","."),FIND("/",SUBSTITUTE(LEFT(TRIM(C124),FIND(" ",TRIM(C124)&amp;" ")-1),",","."))+1,9)),IF(ISNUMBER(SEARCH("yea",C124)),IFERROR(_xlfn.NUMBERVALUE(SUBSTITUTE(LEFT(TRIM(C124),FIND(" ",TRIM(C124)&amp;" ")-1),",","."),"."),LEFT(SUBSTITUTE(LEFT(TRIM(C124),FIND(" ",TRIM(C124)&amp;" ")-1),",","."),FIND("/",SUBSTITUTE(LEFT(TRIM(C124),FIND(" ",TRIM(C124)&amp;" ")-1),",","."))-1)/MID(SUBSTITUTE(LEFT(TRIM(C124),FIND(" ",TRIM(C124)&amp;" ")-1),",","."),FIND("/",SUBSTITUTE(LEFT(TRIM(C124),FIND(" ",TRIM(C124)&amp;" ")-1),",","."))+1,9))*12,NA()))),0),24)*'Aturan &amp; Tarif'!$B$4,2)</f>
        <v>1362.72</v>
      </c>
      <c r="K124" s="42" t="n">
        <f aca="false">'Aturan &amp; Tarif'!$B$5</f>
        <v>2050</v>
      </c>
      <c r="L124" s="35" t="n">
        <f aca="false">I124+J124+K124</f>
        <v>21632.72</v>
      </c>
      <c r="M124" s="45" t="s">
        <v>512</v>
      </c>
    </row>
    <row r="125" customFormat="false" ht="25.5" hidden="false" customHeight="true" outlineLevel="0" collapsed="false">
      <c r="A125" s="39"/>
      <c r="B125" s="40" t="s">
        <v>1504</v>
      </c>
      <c r="C125" s="41" t="s">
        <v>107</v>
      </c>
      <c r="D125" s="41" t="s">
        <v>108</v>
      </c>
      <c r="E125" s="42" t="n">
        <v>9110</v>
      </c>
      <c r="F125" s="42"/>
      <c r="G125" s="42"/>
      <c r="H125" s="43" t="n">
        <v>2</v>
      </c>
      <c r="I125" s="34" t="n">
        <f aca="false">E125*H125+N(F125)+N(G125)</f>
        <v>18220</v>
      </c>
      <c r="J125" s="42" t="n">
        <f aca="false">ROUND(IFERROR(ROUND(IF(OR(ISNUMBER(SEARCH("week",C125)),ISNUMBER(SEARCH("minggu",C125))),IFERROR(_xlfn.NUMBERVALUE(SUBSTITUTE(LEFT(TRIM(C125),FIND(" ",TRIM(C125)&amp;" ")-1),",","."),"."),LEFT(SUBSTITUTE(LEFT(TRIM(C125),FIND(" ",TRIM(C125)&amp;" ")-1),",","."),FIND("/",SUBSTITUTE(LEFT(TRIM(C125),FIND(" ",TRIM(C125)&amp;" ")-1),",","."))-1)/MID(SUBSTITUTE(LEFT(TRIM(C125),FIND(" ",TRIM(C125)&amp;" ")-1),",","."),FIND("/",SUBSTITUTE(LEFT(TRIM(C125),FIND(" ",TRIM(C125)&amp;" ")-1),",","."))+1,9))*12/52,IF(ISNUMBER(SEARCH("month",C125)),IFERROR(_xlfn.NUMBERVALUE(SUBSTITUTE(LEFT(TRIM(C125),FIND(" ",TRIM(C125)&amp;" ")-1),",","."),"."),LEFT(SUBSTITUTE(LEFT(TRIM(C125),FIND(" ",TRIM(C125)&amp;" ")-1),",","."),FIND("/",SUBSTITUTE(LEFT(TRIM(C125),FIND(" ",TRIM(C125)&amp;" ")-1),",","."))-1)/MID(SUBSTITUTE(LEFT(TRIM(C125),FIND(" ",TRIM(C125)&amp;" ")-1),",","."),FIND("/",SUBSTITUTE(LEFT(TRIM(C125),FIND(" ",TRIM(C125)&amp;" ")-1),",","."))+1,9)),IF(ISNUMBER(SEARCH("yea",C125)),IFERROR(_xlfn.NUMBERVALUE(SUBSTITUTE(LEFT(TRIM(C125),FIND(" ",TRIM(C125)&amp;" ")-1),",","."),"."),LEFT(SUBSTITUTE(LEFT(TRIM(C125),FIND(" ",TRIM(C125)&amp;" ")-1),",","."),FIND("/",SUBSTITUTE(LEFT(TRIM(C125),FIND(" ",TRIM(C125)&amp;" ")-1),",","."))-1)/MID(SUBSTITUTE(LEFT(TRIM(C125),FIND(" ",TRIM(C125)&amp;" ")-1),",","."),FIND("/",SUBSTITUTE(LEFT(TRIM(C125),FIND(" ",TRIM(C125)&amp;" ")-1),",","."))+1,9))*12,NA()))),0),24)*'Aturan &amp; Tarif'!$B$4,2)</f>
        <v>1362.72</v>
      </c>
      <c r="K125" s="42" t="n">
        <f aca="false">'Aturan &amp; Tarif'!$B$5</f>
        <v>2050</v>
      </c>
      <c r="L125" s="35" t="n">
        <f aca="false">I125+J125+K125</f>
        <v>21632.72</v>
      </c>
      <c r="M125" s="45" t="s">
        <v>512</v>
      </c>
    </row>
    <row r="126" customFormat="false" ht="25.5" hidden="false" customHeight="true" outlineLevel="0" collapsed="false">
      <c r="A126" s="39"/>
      <c r="B126" s="40" t="s">
        <v>3505</v>
      </c>
      <c r="C126" s="41" t="s">
        <v>107</v>
      </c>
      <c r="D126" s="41" t="s">
        <v>108</v>
      </c>
      <c r="E126" s="42" t="n">
        <v>9110</v>
      </c>
      <c r="F126" s="42"/>
      <c r="G126" s="42"/>
      <c r="H126" s="43" t="n">
        <v>2</v>
      </c>
      <c r="I126" s="34" t="n">
        <f aca="false">E126*H126+N(F126)+N(G126)</f>
        <v>18220</v>
      </c>
      <c r="J126" s="42" t="n">
        <f aca="false">ROUND(IFERROR(ROUND(IF(OR(ISNUMBER(SEARCH("week",C126)),ISNUMBER(SEARCH("minggu",C126))),IFERROR(_xlfn.NUMBERVALUE(SUBSTITUTE(LEFT(TRIM(C126),FIND(" ",TRIM(C126)&amp;" ")-1),",","."),"."),LEFT(SUBSTITUTE(LEFT(TRIM(C126),FIND(" ",TRIM(C126)&amp;" ")-1),",","."),FIND("/",SUBSTITUTE(LEFT(TRIM(C126),FIND(" ",TRIM(C126)&amp;" ")-1),",","."))-1)/MID(SUBSTITUTE(LEFT(TRIM(C126),FIND(" ",TRIM(C126)&amp;" ")-1),",","."),FIND("/",SUBSTITUTE(LEFT(TRIM(C126),FIND(" ",TRIM(C126)&amp;" ")-1),",","."))+1,9))*12/52,IF(ISNUMBER(SEARCH("month",C126)),IFERROR(_xlfn.NUMBERVALUE(SUBSTITUTE(LEFT(TRIM(C126),FIND(" ",TRIM(C126)&amp;" ")-1),",","."),"."),LEFT(SUBSTITUTE(LEFT(TRIM(C126),FIND(" ",TRIM(C126)&amp;" ")-1),",","."),FIND("/",SUBSTITUTE(LEFT(TRIM(C126),FIND(" ",TRIM(C126)&amp;" ")-1),",","."))-1)/MID(SUBSTITUTE(LEFT(TRIM(C126),FIND(" ",TRIM(C126)&amp;" ")-1),",","."),FIND("/",SUBSTITUTE(LEFT(TRIM(C126),FIND(" ",TRIM(C126)&amp;" ")-1),",","."))+1,9)),IF(ISNUMBER(SEARCH("yea",C126)),IFERROR(_xlfn.NUMBERVALUE(SUBSTITUTE(LEFT(TRIM(C126),FIND(" ",TRIM(C126)&amp;" ")-1),",","."),"."),LEFT(SUBSTITUTE(LEFT(TRIM(C126),FIND(" ",TRIM(C126)&amp;" ")-1),",","."),FIND("/",SUBSTITUTE(LEFT(TRIM(C126),FIND(" ",TRIM(C126)&amp;" ")-1),",","."))-1)/MID(SUBSTITUTE(LEFT(TRIM(C126),FIND(" ",TRIM(C126)&amp;" ")-1),",","."),FIND("/",SUBSTITUTE(LEFT(TRIM(C126),FIND(" ",TRIM(C126)&amp;" ")-1),",","."))+1,9))*12,NA()))),0),24)*'Aturan &amp; Tarif'!$B$4,2)</f>
        <v>1362.72</v>
      </c>
      <c r="K126" s="42" t="n">
        <f aca="false">'Aturan &amp; Tarif'!$B$5</f>
        <v>2050</v>
      </c>
      <c r="L126" s="35" t="n">
        <f aca="false">I126+J126+K126</f>
        <v>21632.72</v>
      </c>
      <c r="M126" s="45" t="s">
        <v>512</v>
      </c>
    </row>
    <row r="127" customFormat="false" ht="25.5" hidden="false" customHeight="true" outlineLevel="0" collapsed="false">
      <c r="A127" s="39"/>
      <c r="B127" s="40" t="s">
        <v>2013</v>
      </c>
      <c r="C127" s="41" t="s">
        <v>107</v>
      </c>
      <c r="D127" s="41" t="s">
        <v>108</v>
      </c>
      <c r="E127" s="42" t="n">
        <v>9110</v>
      </c>
      <c r="F127" s="42"/>
      <c r="G127" s="42"/>
      <c r="H127" s="43" t="n">
        <v>2</v>
      </c>
      <c r="I127" s="34" t="n">
        <f aca="false">E127*H127+N(F127)+N(G127)</f>
        <v>18220</v>
      </c>
      <c r="J127" s="42" t="n">
        <f aca="false">ROUND(IFERROR(ROUND(IF(OR(ISNUMBER(SEARCH("week",C127)),ISNUMBER(SEARCH("minggu",C127))),IFERROR(_xlfn.NUMBERVALUE(SUBSTITUTE(LEFT(TRIM(C127),FIND(" ",TRIM(C127)&amp;" ")-1),",","."),"."),LEFT(SUBSTITUTE(LEFT(TRIM(C127),FIND(" ",TRIM(C127)&amp;" ")-1),",","."),FIND("/",SUBSTITUTE(LEFT(TRIM(C127),FIND(" ",TRIM(C127)&amp;" ")-1),",","."))-1)/MID(SUBSTITUTE(LEFT(TRIM(C127),FIND(" ",TRIM(C127)&amp;" ")-1),",","."),FIND("/",SUBSTITUTE(LEFT(TRIM(C127),FIND(" ",TRIM(C127)&amp;" ")-1),",","."))+1,9))*12/52,IF(ISNUMBER(SEARCH("month",C127)),IFERROR(_xlfn.NUMBERVALUE(SUBSTITUTE(LEFT(TRIM(C127),FIND(" ",TRIM(C127)&amp;" ")-1),",","."),"."),LEFT(SUBSTITUTE(LEFT(TRIM(C127),FIND(" ",TRIM(C127)&amp;" ")-1),",","."),FIND("/",SUBSTITUTE(LEFT(TRIM(C127),FIND(" ",TRIM(C127)&amp;" ")-1),",","."))-1)/MID(SUBSTITUTE(LEFT(TRIM(C127),FIND(" ",TRIM(C127)&amp;" ")-1),",","."),FIND("/",SUBSTITUTE(LEFT(TRIM(C127),FIND(" ",TRIM(C127)&amp;" ")-1),",","."))+1,9)),IF(ISNUMBER(SEARCH("yea",C127)),IFERROR(_xlfn.NUMBERVALUE(SUBSTITUTE(LEFT(TRIM(C127),FIND(" ",TRIM(C127)&amp;" ")-1),",","."),"."),LEFT(SUBSTITUTE(LEFT(TRIM(C127),FIND(" ",TRIM(C127)&amp;" ")-1),",","."),FIND("/",SUBSTITUTE(LEFT(TRIM(C127),FIND(" ",TRIM(C127)&amp;" ")-1),",","."))-1)/MID(SUBSTITUTE(LEFT(TRIM(C127),FIND(" ",TRIM(C127)&amp;" ")-1),",","."),FIND("/",SUBSTITUTE(LEFT(TRIM(C127),FIND(" ",TRIM(C127)&amp;" ")-1),",","."))+1,9))*12,NA()))),0),24)*'Aturan &amp; Tarif'!$B$4,2)</f>
        <v>1362.72</v>
      </c>
      <c r="K127" s="42" t="n">
        <f aca="false">'Aturan &amp; Tarif'!$B$5</f>
        <v>2050</v>
      </c>
      <c r="L127" s="35" t="n">
        <f aca="false">I127+J127+K127</f>
        <v>21632.72</v>
      </c>
      <c r="M127" s="45" t="s">
        <v>512</v>
      </c>
    </row>
    <row r="128" customFormat="false" ht="37.5" hidden="false" customHeight="true" outlineLevel="0" collapsed="false">
      <c r="A128" s="39"/>
      <c r="B128" s="40" t="s">
        <v>602</v>
      </c>
      <c r="C128" s="41" t="s">
        <v>344</v>
      </c>
      <c r="D128" s="41" t="s">
        <v>108</v>
      </c>
      <c r="E128" s="42" t="n">
        <v>8427</v>
      </c>
      <c r="F128" s="42"/>
      <c r="G128" s="42"/>
      <c r="H128" s="43" t="n">
        <v>2</v>
      </c>
      <c r="I128" s="34" t="n">
        <f aca="false">E128*H128+N(F128)+N(G128)</f>
        <v>16854</v>
      </c>
      <c r="J128" s="42" t="n">
        <f aca="false">ROUND(IFERROR(ROUND(IF(OR(ISNUMBER(SEARCH("week",C128)),ISNUMBER(SEARCH("minggu",C128))),IFERROR(_xlfn.NUMBERVALUE(SUBSTITUTE(LEFT(TRIM(C128),FIND(" ",TRIM(C128)&amp;" ")-1),",","."),"."),LEFT(SUBSTITUTE(LEFT(TRIM(C128),FIND(" ",TRIM(C128)&amp;" ")-1),",","."),FIND("/",SUBSTITUTE(LEFT(TRIM(C128),FIND(" ",TRIM(C128)&amp;" ")-1),",","."))-1)/MID(SUBSTITUTE(LEFT(TRIM(C128),FIND(" ",TRIM(C128)&amp;" ")-1),",","."),FIND("/",SUBSTITUTE(LEFT(TRIM(C128),FIND(" ",TRIM(C128)&amp;" ")-1),",","."))+1,9))*12/52,IF(ISNUMBER(SEARCH("month",C128)),IFERROR(_xlfn.NUMBERVALUE(SUBSTITUTE(LEFT(TRIM(C128),FIND(" ",TRIM(C128)&amp;" ")-1),",","."),"."),LEFT(SUBSTITUTE(LEFT(TRIM(C128),FIND(" ",TRIM(C128)&amp;" ")-1),",","."),FIND("/",SUBSTITUTE(LEFT(TRIM(C128),FIND(" ",TRIM(C128)&amp;" ")-1),",","."))-1)/MID(SUBSTITUTE(LEFT(TRIM(C128),FIND(" ",TRIM(C128)&amp;" ")-1),",","."),FIND("/",SUBSTITUTE(LEFT(TRIM(C128),FIND(" ",TRIM(C128)&amp;" ")-1),",","."))+1,9)),IF(ISNUMBER(SEARCH("yea",C128)),IFERROR(_xlfn.NUMBERVALUE(SUBSTITUTE(LEFT(TRIM(C128),FIND(" ",TRIM(C128)&amp;" ")-1),",","."),"."),LEFT(SUBSTITUTE(LEFT(TRIM(C128),FIND(" ",TRIM(C128)&amp;" ")-1),",","."),FIND("/",SUBSTITUTE(LEFT(TRIM(C128),FIND(" ",TRIM(C128)&amp;" ")-1),",","."))-1)/MID(SUBSTITUTE(LEFT(TRIM(C128),FIND(" ",TRIM(C128)&amp;" ")-1),",","."),FIND("/",SUBSTITUTE(LEFT(TRIM(C128),FIND(" ",TRIM(C128)&amp;" ")-1),",","."))+1,9))*12,NA()))),0),6)*'Aturan &amp; Tarif'!$B$4,2)</f>
        <v>340.68</v>
      </c>
      <c r="K128" s="42" t="n">
        <f aca="false">'Aturan &amp; Tarif'!$B$5</f>
        <v>2050</v>
      </c>
      <c r="L128" s="35" t="n">
        <f aca="false">I128+J128+K128</f>
        <v>19244.68</v>
      </c>
      <c r="M128" s="44" t="s">
        <v>603</v>
      </c>
    </row>
    <row r="129" customFormat="false" ht="37.5" hidden="false" customHeight="true" outlineLevel="0" collapsed="false">
      <c r="A129" s="39"/>
      <c r="B129" s="40" t="s">
        <v>604</v>
      </c>
      <c r="C129" s="41" t="s">
        <v>191</v>
      </c>
      <c r="D129" s="41" t="s">
        <v>108</v>
      </c>
      <c r="E129" s="42" t="n">
        <v>8427</v>
      </c>
      <c r="F129" s="42"/>
      <c r="G129" s="42"/>
      <c r="H129" s="43" t="n">
        <v>2</v>
      </c>
      <c r="I129" s="34" t="n">
        <f aca="false">E129*H129+N(F129)+N(G129)</f>
        <v>16854</v>
      </c>
      <c r="J129" s="42" t="n">
        <f aca="false">ROUND(IFERROR(ROUND(IF(OR(ISNUMBER(SEARCH("week",C129)),ISNUMBER(SEARCH("minggu",C129))),IFERROR(_xlfn.NUMBERVALUE(SUBSTITUTE(LEFT(TRIM(C129),FIND(" ",TRIM(C129)&amp;" ")-1),",","."),"."),LEFT(SUBSTITUTE(LEFT(TRIM(C129),FIND(" ",TRIM(C129)&amp;" ")-1),",","."),FIND("/",SUBSTITUTE(LEFT(TRIM(C129),FIND(" ",TRIM(C129)&amp;" ")-1),",","."))-1)/MID(SUBSTITUTE(LEFT(TRIM(C129),FIND(" ",TRIM(C129)&amp;" ")-1),",","."),FIND("/",SUBSTITUTE(LEFT(TRIM(C129),FIND(" ",TRIM(C129)&amp;" ")-1),",","."))+1,9))*12/52,IF(ISNUMBER(SEARCH("month",C129)),IFERROR(_xlfn.NUMBERVALUE(SUBSTITUTE(LEFT(TRIM(C129),FIND(" ",TRIM(C129)&amp;" ")-1),",","."),"."),LEFT(SUBSTITUTE(LEFT(TRIM(C129),FIND(" ",TRIM(C129)&amp;" ")-1),",","."),FIND("/",SUBSTITUTE(LEFT(TRIM(C129),FIND(" ",TRIM(C129)&amp;" ")-1),",","."))-1)/MID(SUBSTITUTE(LEFT(TRIM(C129),FIND(" ",TRIM(C129)&amp;" ")-1),",","."),FIND("/",SUBSTITUTE(LEFT(TRIM(C129),FIND(" ",TRIM(C129)&amp;" ")-1),",","."))+1,9)),IF(ISNUMBER(SEARCH("yea",C129)),IFERROR(_xlfn.NUMBERVALUE(SUBSTITUTE(LEFT(TRIM(C129),FIND(" ",TRIM(C129)&amp;" ")-1),",","."),"."),LEFT(SUBSTITUTE(LEFT(TRIM(C129),FIND(" ",TRIM(C129)&amp;" ")-1),",","."),FIND("/",SUBSTITUTE(LEFT(TRIM(C129),FIND(" ",TRIM(C129)&amp;" ")-1),",","."))-1)/MID(SUBSTITUTE(LEFT(TRIM(C129),FIND(" ",TRIM(C129)&amp;" ")-1),",","."),FIND("/",SUBSTITUTE(LEFT(TRIM(C129),FIND(" ",TRIM(C129)&amp;" ")-1),",","."))+1,9))*12,NA()))),0),48)*'Aturan &amp; Tarif'!$B$4,2)</f>
        <v>2725.44</v>
      </c>
      <c r="K129" s="42" t="n">
        <f aca="false">'Aturan &amp; Tarif'!$B$5</f>
        <v>2050</v>
      </c>
      <c r="L129" s="35" t="n">
        <f aca="false">I129+J129+K129</f>
        <v>21629.44</v>
      </c>
      <c r="M129" s="44" t="s">
        <v>605</v>
      </c>
    </row>
    <row r="130" customFormat="false" ht="37.5" hidden="false" customHeight="true" outlineLevel="0" collapsed="false">
      <c r="A130" s="39"/>
      <c r="B130" s="40" t="s">
        <v>606</v>
      </c>
      <c r="C130" s="41" t="s">
        <v>191</v>
      </c>
      <c r="D130" s="41" t="s">
        <v>108</v>
      </c>
      <c r="E130" s="42" t="n">
        <v>7784</v>
      </c>
      <c r="F130" s="42"/>
      <c r="G130" s="42"/>
      <c r="H130" s="43" t="n">
        <v>2</v>
      </c>
      <c r="I130" s="34" t="n">
        <f aca="false">E130*H130+N(F130)+N(G130)</f>
        <v>15568</v>
      </c>
      <c r="J130" s="42" t="n">
        <f aca="false">ROUND(IFERROR(ROUND(IF(OR(ISNUMBER(SEARCH("week",C130)),ISNUMBER(SEARCH("minggu",C130))),IFERROR(_xlfn.NUMBERVALUE(SUBSTITUTE(LEFT(TRIM(C130),FIND(" ",TRIM(C130)&amp;" ")-1),",","."),"."),LEFT(SUBSTITUTE(LEFT(TRIM(C130),FIND(" ",TRIM(C130)&amp;" ")-1),",","."),FIND("/",SUBSTITUTE(LEFT(TRIM(C130),FIND(" ",TRIM(C130)&amp;" ")-1),",","."))-1)/MID(SUBSTITUTE(LEFT(TRIM(C130),FIND(" ",TRIM(C130)&amp;" ")-1),",","."),FIND("/",SUBSTITUTE(LEFT(TRIM(C130),FIND(" ",TRIM(C130)&amp;" ")-1),",","."))+1,9))*12/52,IF(ISNUMBER(SEARCH("month",C130)),IFERROR(_xlfn.NUMBERVALUE(SUBSTITUTE(LEFT(TRIM(C130),FIND(" ",TRIM(C130)&amp;" ")-1),",","."),"."),LEFT(SUBSTITUTE(LEFT(TRIM(C130),FIND(" ",TRIM(C130)&amp;" ")-1),",","."),FIND("/",SUBSTITUTE(LEFT(TRIM(C130),FIND(" ",TRIM(C130)&amp;" ")-1),",","."))-1)/MID(SUBSTITUTE(LEFT(TRIM(C130),FIND(" ",TRIM(C130)&amp;" ")-1),",","."),FIND("/",SUBSTITUTE(LEFT(TRIM(C130),FIND(" ",TRIM(C130)&amp;" ")-1),",","."))+1,9)),IF(ISNUMBER(SEARCH("yea",C130)),IFERROR(_xlfn.NUMBERVALUE(SUBSTITUTE(LEFT(TRIM(C130),FIND(" ",TRIM(C130)&amp;" ")-1),",","."),"."),LEFT(SUBSTITUTE(LEFT(TRIM(C130),FIND(" ",TRIM(C130)&amp;" ")-1),",","."),FIND("/",SUBSTITUTE(LEFT(TRIM(C130),FIND(" ",TRIM(C130)&amp;" ")-1),",","."))-1)/MID(SUBSTITUTE(LEFT(TRIM(C130),FIND(" ",TRIM(C130)&amp;" ")-1),",","."),FIND("/",SUBSTITUTE(LEFT(TRIM(C130),FIND(" ",TRIM(C130)&amp;" ")-1),",","."))+1,9))*12,NA()))),0),48)*'Aturan &amp; Tarif'!$B$4,2)</f>
        <v>2725.44</v>
      </c>
      <c r="K130" s="42" t="n">
        <f aca="false">'Aturan &amp; Tarif'!$B$5</f>
        <v>2050</v>
      </c>
      <c r="L130" s="35" t="n">
        <f aca="false">I130+J130+K130</f>
        <v>20343.44</v>
      </c>
      <c r="M130" s="44" t="s">
        <v>607</v>
      </c>
    </row>
    <row r="131" customFormat="false" ht="37.5" hidden="false" customHeight="true" outlineLevel="0" collapsed="false">
      <c r="A131" s="39"/>
      <c r="B131" s="40" t="s">
        <v>608</v>
      </c>
      <c r="C131" s="41" t="s">
        <v>107</v>
      </c>
      <c r="D131" s="41" t="s">
        <v>108</v>
      </c>
      <c r="E131" s="42" t="n">
        <v>8427</v>
      </c>
      <c r="F131" s="42"/>
      <c r="G131" s="42"/>
      <c r="H131" s="43" t="n">
        <v>2</v>
      </c>
      <c r="I131" s="34" t="n">
        <f aca="false">E131*H131+N(F131)+N(G131)</f>
        <v>16854</v>
      </c>
      <c r="J131" s="42" t="n">
        <f aca="false">ROUND(IFERROR(ROUND(IF(OR(ISNUMBER(SEARCH("week",C131)),ISNUMBER(SEARCH("minggu",C131))),IFERROR(_xlfn.NUMBERVALUE(SUBSTITUTE(LEFT(TRIM(C131),FIND(" ",TRIM(C131)&amp;" ")-1),",","."),"."),LEFT(SUBSTITUTE(LEFT(TRIM(C131),FIND(" ",TRIM(C131)&amp;" ")-1),",","."),FIND("/",SUBSTITUTE(LEFT(TRIM(C131),FIND(" ",TRIM(C131)&amp;" ")-1),",","."))-1)/MID(SUBSTITUTE(LEFT(TRIM(C131),FIND(" ",TRIM(C131)&amp;" ")-1),",","."),FIND("/",SUBSTITUTE(LEFT(TRIM(C131),FIND(" ",TRIM(C131)&amp;" ")-1),",","."))+1,9))*12/52,IF(ISNUMBER(SEARCH("month",C131)),IFERROR(_xlfn.NUMBERVALUE(SUBSTITUTE(LEFT(TRIM(C131),FIND(" ",TRIM(C131)&amp;" ")-1),",","."),"."),LEFT(SUBSTITUTE(LEFT(TRIM(C131),FIND(" ",TRIM(C131)&amp;" ")-1),",","."),FIND("/",SUBSTITUTE(LEFT(TRIM(C131),FIND(" ",TRIM(C131)&amp;" ")-1),",","."))-1)/MID(SUBSTITUTE(LEFT(TRIM(C131),FIND(" ",TRIM(C131)&amp;" ")-1),",","."),FIND("/",SUBSTITUTE(LEFT(TRIM(C131),FIND(" ",TRIM(C131)&amp;" ")-1),",","."))+1,9)),IF(ISNUMBER(SEARCH("yea",C131)),IFERROR(_xlfn.NUMBERVALUE(SUBSTITUTE(LEFT(TRIM(C131),FIND(" ",TRIM(C131)&amp;" ")-1),",","."),"."),LEFT(SUBSTITUTE(LEFT(TRIM(C131),FIND(" ",TRIM(C131)&amp;" ")-1),",","."),FIND("/",SUBSTITUTE(LEFT(TRIM(C131),FIND(" ",TRIM(C131)&amp;" ")-1),",","."))-1)/MID(SUBSTITUTE(LEFT(TRIM(C131),FIND(" ",TRIM(C131)&amp;" ")-1),",","."),FIND("/",SUBSTITUTE(LEFT(TRIM(C131),FIND(" ",TRIM(C131)&amp;" ")-1),",","."))+1,9))*12,NA()))),0),24)*'Aturan &amp; Tarif'!$B$4,2)</f>
        <v>1362.72</v>
      </c>
      <c r="K131" s="42" t="n">
        <f aca="false">'Aturan &amp; Tarif'!$B$5</f>
        <v>2050</v>
      </c>
      <c r="L131" s="35" t="n">
        <f aca="false">I131+J131+K131</f>
        <v>20266.72</v>
      </c>
      <c r="M131" s="44" t="s">
        <v>605</v>
      </c>
    </row>
    <row r="132" customFormat="false" ht="37.5" hidden="false" customHeight="true" outlineLevel="0" collapsed="false">
      <c r="A132" s="39"/>
      <c r="B132" s="40" t="s">
        <v>609</v>
      </c>
      <c r="C132" s="41" t="s">
        <v>107</v>
      </c>
      <c r="D132" s="41" t="s">
        <v>108</v>
      </c>
      <c r="E132" s="42" t="n">
        <v>7784</v>
      </c>
      <c r="F132" s="42"/>
      <c r="G132" s="42"/>
      <c r="H132" s="43" t="n">
        <v>2</v>
      </c>
      <c r="I132" s="34" t="n">
        <f aca="false">E132*H132+N(F132)+N(G132)</f>
        <v>15568</v>
      </c>
      <c r="J132" s="42" t="n">
        <f aca="false">ROUND(IFERROR(ROUND(IF(OR(ISNUMBER(SEARCH("week",C132)),ISNUMBER(SEARCH("minggu",C132))),IFERROR(_xlfn.NUMBERVALUE(SUBSTITUTE(LEFT(TRIM(C132),FIND(" ",TRIM(C132)&amp;" ")-1),",","."),"."),LEFT(SUBSTITUTE(LEFT(TRIM(C132),FIND(" ",TRIM(C132)&amp;" ")-1),",","."),FIND("/",SUBSTITUTE(LEFT(TRIM(C132),FIND(" ",TRIM(C132)&amp;" ")-1),",","."))-1)/MID(SUBSTITUTE(LEFT(TRIM(C132),FIND(" ",TRIM(C132)&amp;" ")-1),",","."),FIND("/",SUBSTITUTE(LEFT(TRIM(C132),FIND(" ",TRIM(C132)&amp;" ")-1),",","."))+1,9))*12/52,IF(ISNUMBER(SEARCH("month",C132)),IFERROR(_xlfn.NUMBERVALUE(SUBSTITUTE(LEFT(TRIM(C132),FIND(" ",TRIM(C132)&amp;" ")-1),",","."),"."),LEFT(SUBSTITUTE(LEFT(TRIM(C132),FIND(" ",TRIM(C132)&amp;" ")-1),",","."),FIND("/",SUBSTITUTE(LEFT(TRIM(C132),FIND(" ",TRIM(C132)&amp;" ")-1),",","."))-1)/MID(SUBSTITUTE(LEFT(TRIM(C132),FIND(" ",TRIM(C132)&amp;" ")-1),",","."),FIND("/",SUBSTITUTE(LEFT(TRIM(C132),FIND(" ",TRIM(C132)&amp;" ")-1),",","."))+1,9)),IF(ISNUMBER(SEARCH("yea",C132)),IFERROR(_xlfn.NUMBERVALUE(SUBSTITUTE(LEFT(TRIM(C132),FIND(" ",TRIM(C132)&amp;" ")-1),",","."),"."),LEFT(SUBSTITUTE(LEFT(TRIM(C132),FIND(" ",TRIM(C132)&amp;" ")-1),",","."),FIND("/",SUBSTITUTE(LEFT(TRIM(C132),FIND(" ",TRIM(C132)&amp;" ")-1),",","."))-1)/MID(SUBSTITUTE(LEFT(TRIM(C132),FIND(" ",TRIM(C132)&amp;" ")-1),",","."),FIND("/",SUBSTITUTE(LEFT(TRIM(C132),FIND(" ",TRIM(C132)&amp;" ")-1),",","."))+1,9))*12,NA()))),0),24)*'Aturan &amp; Tarif'!$B$4,2)</f>
        <v>1362.72</v>
      </c>
      <c r="K132" s="42" t="n">
        <f aca="false">'Aturan &amp; Tarif'!$B$5</f>
        <v>2050</v>
      </c>
      <c r="L132" s="35" t="n">
        <f aca="false">I132+J132+K132</f>
        <v>18980.72</v>
      </c>
      <c r="M132" s="44" t="s">
        <v>607</v>
      </c>
    </row>
    <row r="133" customFormat="false" ht="25.5" hidden="false" customHeight="true" outlineLevel="0" collapsed="false">
      <c r="A133" s="39"/>
      <c r="B133" s="40" t="s">
        <v>610</v>
      </c>
      <c r="C133" s="41" t="s">
        <v>344</v>
      </c>
      <c r="D133" s="41" t="s">
        <v>108</v>
      </c>
      <c r="E133" s="42" t="n">
        <v>7948</v>
      </c>
      <c r="F133" s="42"/>
      <c r="G133" s="42"/>
      <c r="H133" s="43" t="n">
        <v>2</v>
      </c>
      <c r="I133" s="34" t="n">
        <f aca="false">E133*H133+N(F133)+N(G133)</f>
        <v>15896</v>
      </c>
      <c r="J133" s="42" t="n">
        <f aca="false">ROUND(IFERROR(ROUND(IF(OR(ISNUMBER(SEARCH("week",C133)),ISNUMBER(SEARCH("minggu",C133))),IFERROR(_xlfn.NUMBERVALUE(SUBSTITUTE(LEFT(TRIM(C133),FIND(" ",TRIM(C133)&amp;" ")-1),",","."),"."),LEFT(SUBSTITUTE(LEFT(TRIM(C133),FIND(" ",TRIM(C133)&amp;" ")-1),",","."),FIND("/",SUBSTITUTE(LEFT(TRIM(C133),FIND(" ",TRIM(C133)&amp;" ")-1),",","."))-1)/MID(SUBSTITUTE(LEFT(TRIM(C133),FIND(" ",TRIM(C133)&amp;" ")-1),",","."),FIND("/",SUBSTITUTE(LEFT(TRIM(C133),FIND(" ",TRIM(C133)&amp;" ")-1),",","."))+1,9))*12/52,IF(ISNUMBER(SEARCH("month",C133)),IFERROR(_xlfn.NUMBERVALUE(SUBSTITUTE(LEFT(TRIM(C133),FIND(" ",TRIM(C133)&amp;" ")-1),",","."),"."),LEFT(SUBSTITUTE(LEFT(TRIM(C133),FIND(" ",TRIM(C133)&amp;" ")-1),",","."),FIND("/",SUBSTITUTE(LEFT(TRIM(C133),FIND(" ",TRIM(C133)&amp;" ")-1),",","."))-1)/MID(SUBSTITUTE(LEFT(TRIM(C133),FIND(" ",TRIM(C133)&amp;" ")-1),",","."),FIND("/",SUBSTITUTE(LEFT(TRIM(C133),FIND(" ",TRIM(C133)&amp;" ")-1),",","."))+1,9)),IF(ISNUMBER(SEARCH("yea",C133)),IFERROR(_xlfn.NUMBERVALUE(SUBSTITUTE(LEFT(TRIM(C133),FIND(" ",TRIM(C133)&amp;" ")-1),",","."),"."),LEFT(SUBSTITUTE(LEFT(TRIM(C133),FIND(" ",TRIM(C133)&amp;" ")-1),",","."),FIND("/",SUBSTITUTE(LEFT(TRIM(C133),FIND(" ",TRIM(C133)&amp;" ")-1),",","."))-1)/MID(SUBSTITUTE(LEFT(TRIM(C133),FIND(" ",TRIM(C133)&amp;" ")-1),",","."),FIND("/",SUBSTITUTE(LEFT(TRIM(C133),FIND(" ",TRIM(C133)&amp;" ")-1),",","."))+1,9))*12,NA()))),0),6)*'Aturan &amp; Tarif'!$B$4,2)</f>
        <v>340.68</v>
      </c>
      <c r="K133" s="42" t="n">
        <f aca="false">'Aturan &amp; Tarif'!$B$5</f>
        <v>2050</v>
      </c>
      <c r="L133" s="35" t="n">
        <f aca="false">I133+J133+K133</f>
        <v>18286.68</v>
      </c>
      <c r="M133" s="45" t="s">
        <v>611</v>
      </c>
    </row>
    <row r="134" customFormat="false" ht="14.25" hidden="false" customHeight="true" outlineLevel="0" collapsed="false">
      <c r="A134" s="39"/>
      <c r="B134" s="40" t="s">
        <v>612</v>
      </c>
      <c r="C134" s="41" t="s">
        <v>344</v>
      </c>
      <c r="D134" s="41" t="s">
        <v>108</v>
      </c>
      <c r="E134" s="42" t="n">
        <v>4350</v>
      </c>
      <c r="F134" s="42"/>
      <c r="G134" s="42"/>
      <c r="H134" s="43" t="n">
        <v>2</v>
      </c>
      <c r="I134" s="34" t="n">
        <f aca="false">E134*H134+N(F134)+N(G134)</f>
        <v>8700</v>
      </c>
      <c r="J134" s="42" t="n">
        <f aca="false">ROUND(IFERROR(ROUND(IF(OR(ISNUMBER(SEARCH("week",C134)),ISNUMBER(SEARCH("minggu",C134))),IFERROR(_xlfn.NUMBERVALUE(SUBSTITUTE(LEFT(TRIM(C134),FIND(" ",TRIM(C134)&amp;" ")-1),",","."),"."),LEFT(SUBSTITUTE(LEFT(TRIM(C134),FIND(" ",TRIM(C134)&amp;" ")-1),",","."),FIND("/",SUBSTITUTE(LEFT(TRIM(C134),FIND(" ",TRIM(C134)&amp;" ")-1),",","."))-1)/MID(SUBSTITUTE(LEFT(TRIM(C134),FIND(" ",TRIM(C134)&amp;" ")-1),",","."),FIND("/",SUBSTITUTE(LEFT(TRIM(C134),FIND(" ",TRIM(C134)&amp;" ")-1),",","."))+1,9))*12/52,IF(ISNUMBER(SEARCH("month",C134)),IFERROR(_xlfn.NUMBERVALUE(SUBSTITUTE(LEFT(TRIM(C134),FIND(" ",TRIM(C134)&amp;" ")-1),",","."),"."),LEFT(SUBSTITUTE(LEFT(TRIM(C134),FIND(" ",TRIM(C134)&amp;" ")-1),",","."),FIND("/",SUBSTITUTE(LEFT(TRIM(C134),FIND(" ",TRIM(C134)&amp;" ")-1),",","."))-1)/MID(SUBSTITUTE(LEFT(TRIM(C134),FIND(" ",TRIM(C134)&amp;" ")-1),",","."),FIND("/",SUBSTITUTE(LEFT(TRIM(C134),FIND(" ",TRIM(C134)&amp;" ")-1),",","."))+1,9)),IF(ISNUMBER(SEARCH("yea",C134)),IFERROR(_xlfn.NUMBERVALUE(SUBSTITUTE(LEFT(TRIM(C134),FIND(" ",TRIM(C134)&amp;" ")-1),",","."),"."),LEFT(SUBSTITUTE(LEFT(TRIM(C134),FIND(" ",TRIM(C134)&amp;" ")-1),",","."),FIND("/",SUBSTITUTE(LEFT(TRIM(C134),FIND(" ",TRIM(C134)&amp;" ")-1),",","."))-1)/MID(SUBSTITUTE(LEFT(TRIM(C134),FIND(" ",TRIM(C134)&amp;" ")-1),",","."),FIND("/",SUBSTITUTE(LEFT(TRIM(C134),FIND(" ",TRIM(C134)&amp;" ")-1),",","."))+1,9))*12,NA()))),0),6)*'Aturan &amp; Tarif'!$B$4,2)</f>
        <v>340.68</v>
      </c>
      <c r="K134" s="42" t="n">
        <f aca="false">'Aturan &amp; Tarif'!$B$5</f>
        <v>2050</v>
      </c>
      <c r="L134" s="35" t="n">
        <f aca="false">I134+J134+K134</f>
        <v>11090.68</v>
      </c>
      <c r="M134" s="45" t="s">
        <v>512</v>
      </c>
    </row>
    <row r="135" customFormat="false" ht="14.25" hidden="false" customHeight="true" outlineLevel="0" collapsed="false">
      <c r="A135" s="39"/>
      <c r="B135" s="40" t="s">
        <v>613</v>
      </c>
      <c r="C135" s="41" t="s">
        <v>130</v>
      </c>
      <c r="D135" s="41" t="s">
        <v>108</v>
      </c>
      <c r="E135" s="42" t="n">
        <v>4350</v>
      </c>
      <c r="F135" s="42"/>
      <c r="G135" s="42"/>
      <c r="H135" s="43" t="n">
        <v>2</v>
      </c>
      <c r="I135" s="34" t="n">
        <f aca="false">E135*H135+N(F135)+N(G135)</f>
        <v>8700</v>
      </c>
      <c r="J135" s="42" t="n">
        <f aca="false">ROUND(IFERROR(ROUND(IF(OR(ISNUMBER(SEARCH("week",C135)),ISNUMBER(SEARCH("minggu",C135))),IFERROR(_xlfn.NUMBERVALUE(SUBSTITUTE(LEFT(TRIM(C135),FIND(" ",TRIM(C135)&amp;" ")-1),",","."),"."),LEFT(SUBSTITUTE(LEFT(TRIM(C135),FIND(" ",TRIM(C135)&amp;" ")-1),",","."),FIND("/",SUBSTITUTE(LEFT(TRIM(C135),FIND(" ",TRIM(C135)&amp;" ")-1),",","."))-1)/MID(SUBSTITUTE(LEFT(TRIM(C135),FIND(" ",TRIM(C135)&amp;" ")-1),",","."),FIND("/",SUBSTITUTE(LEFT(TRIM(C135),FIND(" ",TRIM(C135)&amp;" ")-1),",","."))+1,9))*12/52,IF(ISNUMBER(SEARCH("month",C135)),IFERROR(_xlfn.NUMBERVALUE(SUBSTITUTE(LEFT(TRIM(C135),FIND(" ",TRIM(C135)&amp;" ")-1),",","."),"."),LEFT(SUBSTITUTE(LEFT(TRIM(C135),FIND(" ",TRIM(C135)&amp;" ")-1),",","."),FIND("/",SUBSTITUTE(LEFT(TRIM(C135),FIND(" ",TRIM(C135)&amp;" ")-1),",","."))-1)/MID(SUBSTITUTE(LEFT(TRIM(C135),FIND(" ",TRIM(C135)&amp;" ")-1),",","."),FIND("/",SUBSTITUTE(LEFT(TRIM(C135),FIND(" ",TRIM(C135)&amp;" ")-1),",","."))+1,9)),IF(ISNUMBER(SEARCH("yea",C135)),IFERROR(_xlfn.NUMBERVALUE(SUBSTITUTE(LEFT(TRIM(C135),FIND(" ",TRIM(C135)&amp;" ")-1),",","."),"."),LEFT(SUBSTITUTE(LEFT(TRIM(C135),FIND(" ",TRIM(C135)&amp;" ")-1),",","."),FIND("/",SUBSTITUTE(LEFT(TRIM(C135),FIND(" ",TRIM(C135)&amp;" ")-1),",","."))-1)/MID(SUBSTITUTE(LEFT(TRIM(C135),FIND(" ",TRIM(C135)&amp;" ")-1),",","."),FIND("/",SUBSTITUTE(LEFT(TRIM(C135),FIND(" ",TRIM(C135)&amp;" ")-1),",","."))+1,9))*12,NA()))),0),12)*'Aturan &amp; Tarif'!$B$4,2)</f>
        <v>681.36</v>
      </c>
      <c r="K135" s="42" t="n">
        <f aca="false">'Aturan &amp; Tarif'!$B$5</f>
        <v>2050</v>
      </c>
      <c r="L135" s="35" t="n">
        <f aca="false">I135+J135+K135</f>
        <v>11431.36</v>
      </c>
      <c r="M135" s="45" t="s">
        <v>512</v>
      </c>
    </row>
    <row r="136" customFormat="false" ht="14.25" hidden="false" customHeight="true" outlineLevel="0" collapsed="false">
      <c r="A136" s="39"/>
      <c r="B136" s="40" t="s">
        <v>3506</v>
      </c>
      <c r="C136" s="41" t="s">
        <v>107</v>
      </c>
      <c r="D136" s="41" t="s">
        <v>108</v>
      </c>
      <c r="E136" s="42" t="n">
        <v>7802</v>
      </c>
      <c r="F136" s="42"/>
      <c r="G136" s="42"/>
      <c r="H136" s="43" t="n">
        <v>2</v>
      </c>
      <c r="I136" s="34" t="n">
        <f aca="false">E136*H136+N(F136)+N(G136)</f>
        <v>15604</v>
      </c>
      <c r="J136" s="42" t="n">
        <f aca="false">ROUND(IFERROR(ROUND(IF(OR(ISNUMBER(SEARCH("week",C136)),ISNUMBER(SEARCH("minggu",C136))),IFERROR(_xlfn.NUMBERVALUE(SUBSTITUTE(LEFT(TRIM(C136),FIND(" ",TRIM(C136)&amp;" ")-1),",","."),"."),LEFT(SUBSTITUTE(LEFT(TRIM(C136),FIND(" ",TRIM(C136)&amp;" ")-1),",","."),FIND("/",SUBSTITUTE(LEFT(TRIM(C136),FIND(" ",TRIM(C136)&amp;" ")-1),",","."))-1)/MID(SUBSTITUTE(LEFT(TRIM(C136),FIND(" ",TRIM(C136)&amp;" ")-1),",","."),FIND("/",SUBSTITUTE(LEFT(TRIM(C136),FIND(" ",TRIM(C136)&amp;" ")-1),",","."))+1,9))*12/52,IF(ISNUMBER(SEARCH("month",C136)),IFERROR(_xlfn.NUMBERVALUE(SUBSTITUTE(LEFT(TRIM(C136),FIND(" ",TRIM(C136)&amp;" ")-1),",","."),"."),LEFT(SUBSTITUTE(LEFT(TRIM(C136),FIND(" ",TRIM(C136)&amp;" ")-1),",","."),FIND("/",SUBSTITUTE(LEFT(TRIM(C136),FIND(" ",TRIM(C136)&amp;" ")-1),",","."))-1)/MID(SUBSTITUTE(LEFT(TRIM(C136),FIND(" ",TRIM(C136)&amp;" ")-1),",","."),FIND("/",SUBSTITUTE(LEFT(TRIM(C136),FIND(" ",TRIM(C136)&amp;" ")-1),",","."))+1,9)),IF(ISNUMBER(SEARCH("yea",C136)),IFERROR(_xlfn.NUMBERVALUE(SUBSTITUTE(LEFT(TRIM(C136),FIND(" ",TRIM(C136)&amp;" ")-1),",","."),"."),LEFT(SUBSTITUTE(LEFT(TRIM(C136),FIND(" ",TRIM(C136)&amp;" ")-1),",","."),FIND("/",SUBSTITUTE(LEFT(TRIM(C136),FIND(" ",TRIM(C136)&amp;" ")-1),",","."))-1)/MID(SUBSTITUTE(LEFT(TRIM(C136),FIND(" ",TRIM(C136)&amp;" ")-1),",","."),FIND("/",SUBSTITUTE(LEFT(TRIM(C136),FIND(" ",TRIM(C136)&amp;" ")-1),",","."))+1,9))*12,NA()))),0),24)*'Aturan &amp; Tarif'!$B$4,2)</f>
        <v>1362.72</v>
      </c>
      <c r="K136" s="42" t="n">
        <f aca="false">'Aturan &amp; Tarif'!$B$5</f>
        <v>2050</v>
      </c>
      <c r="L136" s="35" t="n">
        <f aca="false">I136+J136+K136</f>
        <v>19016.72</v>
      </c>
      <c r="M136" s="45" t="s">
        <v>512</v>
      </c>
    </row>
    <row r="137" customFormat="false" ht="14.25" hidden="false" customHeight="true" outlineLevel="0" collapsed="false">
      <c r="A137" s="39"/>
      <c r="B137" s="40" t="s">
        <v>3507</v>
      </c>
      <c r="C137" s="41" t="s">
        <v>127</v>
      </c>
      <c r="D137" s="41" t="s">
        <v>108</v>
      </c>
      <c r="E137" s="42" t="n">
        <v>7858</v>
      </c>
      <c r="F137" s="42"/>
      <c r="G137" s="42"/>
      <c r="H137" s="43" t="n">
        <v>2</v>
      </c>
      <c r="I137" s="34" t="n">
        <f aca="false">E137*H137+N(F137)+N(G137)</f>
        <v>15716</v>
      </c>
      <c r="J137" s="42" t="n">
        <f aca="false">ROUND(IFERROR(ROUND(IF(OR(ISNUMBER(SEARCH("week",C137)),ISNUMBER(SEARCH("minggu",C137))),IFERROR(_xlfn.NUMBERVALUE(SUBSTITUTE(LEFT(TRIM(C137),FIND(" ",TRIM(C137)&amp;" ")-1),",","."),"."),LEFT(SUBSTITUTE(LEFT(TRIM(C137),FIND(" ",TRIM(C137)&amp;" ")-1),",","."),FIND("/",SUBSTITUTE(LEFT(TRIM(C137),FIND(" ",TRIM(C137)&amp;" ")-1),",","."))-1)/MID(SUBSTITUTE(LEFT(TRIM(C137),FIND(" ",TRIM(C137)&amp;" ")-1),",","."),FIND("/",SUBSTITUTE(LEFT(TRIM(C137),FIND(" ",TRIM(C137)&amp;" ")-1),",","."))+1,9))*12/52,IF(ISNUMBER(SEARCH("month",C137)),IFERROR(_xlfn.NUMBERVALUE(SUBSTITUTE(LEFT(TRIM(C137),FIND(" ",TRIM(C137)&amp;" ")-1),",","."),"."),LEFT(SUBSTITUTE(LEFT(TRIM(C137),FIND(" ",TRIM(C137)&amp;" ")-1),",","."),FIND("/",SUBSTITUTE(LEFT(TRIM(C137),FIND(" ",TRIM(C137)&amp;" ")-1),",","."))-1)/MID(SUBSTITUTE(LEFT(TRIM(C137),FIND(" ",TRIM(C137)&amp;" ")-1),",","."),FIND("/",SUBSTITUTE(LEFT(TRIM(C137),FIND(" ",TRIM(C137)&amp;" ")-1),",","."))+1,9)),IF(ISNUMBER(SEARCH("yea",C137)),IFERROR(_xlfn.NUMBERVALUE(SUBSTITUTE(LEFT(TRIM(C137),FIND(" ",TRIM(C137)&amp;" ")-1),",","."),"."),LEFT(SUBSTITUTE(LEFT(TRIM(C137),FIND(" ",TRIM(C137)&amp;" ")-1),",","."),FIND("/",SUBSTITUTE(LEFT(TRIM(C137),FIND(" ",TRIM(C137)&amp;" ")-1),",","."))-1)/MID(SUBSTITUTE(LEFT(TRIM(C137),FIND(" ",TRIM(C137)&amp;" ")-1),",","."),FIND("/",SUBSTITUTE(LEFT(TRIM(C137),FIND(" ",TRIM(C137)&amp;" ")-1),",","."))+1,9))*12,NA()))),0),36)*'Aturan &amp; Tarif'!$B$4,2)</f>
        <v>2044.08</v>
      </c>
      <c r="K137" s="42" t="n">
        <f aca="false">'Aturan &amp; Tarif'!$B$5</f>
        <v>2050</v>
      </c>
      <c r="L137" s="35" t="n">
        <f aca="false">I137+J137+K137</f>
        <v>19810.08</v>
      </c>
      <c r="M137" s="45" t="s">
        <v>512</v>
      </c>
    </row>
    <row r="138" customFormat="false" ht="14.25" hidden="false" customHeight="true" outlineLevel="0" collapsed="false">
      <c r="A138" s="39"/>
      <c r="B138" s="40" t="s">
        <v>570</v>
      </c>
      <c r="C138" s="41" t="s">
        <v>130</v>
      </c>
      <c r="D138" s="41" t="s">
        <v>108</v>
      </c>
      <c r="E138" s="42" t="n">
        <v>8896</v>
      </c>
      <c r="F138" s="42"/>
      <c r="G138" s="42"/>
      <c r="H138" s="43" t="n">
        <v>2</v>
      </c>
      <c r="I138" s="34" t="n">
        <f aca="false">E138*H138+N(F138)+N(G138)</f>
        <v>17792</v>
      </c>
      <c r="J138" s="42" t="n">
        <f aca="false">ROUND(IFERROR(ROUND(IF(OR(ISNUMBER(SEARCH("week",C138)),ISNUMBER(SEARCH("minggu",C138))),IFERROR(_xlfn.NUMBERVALUE(SUBSTITUTE(LEFT(TRIM(C138),FIND(" ",TRIM(C138)&amp;" ")-1),",","."),"."),LEFT(SUBSTITUTE(LEFT(TRIM(C138),FIND(" ",TRIM(C138)&amp;" ")-1),",","."),FIND("/",SUBSTITUTE(LEFT(TRIM(C138),FIND(" ",TRIM(C138)&amp;" ")-1),",","."))-1)/MID(SUBSTITUTE(LEFT(TRIM(C138),FIND(" ",TRIM(C138)&amp;" ")-1),",","."),FIND("/",SUBSTITUTE(LEFT(TRIM(C138),FIND(" ",TRIM(C138)&amp;" ")-1),",","."))+1,9))*12/52,IF(ISNUMBER(SEARCH("month",C138)),IFERROR(_xlfn.NUMBERVALUE(SUBSTITUTE(LEFT(TRIM(C138),FIND(" ",TRIM(C138)&amp;" ")-1),",","."),"."),LEFT(SUBSTITUTE(LEFT(TRIM(C138),FIND(" ",TRIM(C138)&amp;" ")-1),",","."),FIND("/",SUBSTITUTE(LEFT(TRIM(C138),FIND(" ",TRIM(C138)&amp;" ")-1),",","."))-1)/MID(SUBSTITUTE(LEFT(TRIM(C138),FIND(" ",TRIM(C138)&amp;" ")-1),",","."),FIND("/",SUBSTITUTE(LEFT(TRIM(C138),FIND(" ",TRIM(C138)&amp;" ")-1),",","."))+1,9)),IF(ISNUMBER(SEARCH("yea",C138)),IFERROR(_xlfn.NUMBERVALUE(SUBSTITUTE(LEFT(TRIM(C138),FIND(" ",TRIM(C138)&amp;" ")-1),",","."),"."),LEFT(SUBSTITUTE(LEFT(TRIM(C138),FIND(" ",TRIM(C138)&amp;" ")-1),",","."),FIND("/",SUBSTITUTE(LEFT(TRIM(C138),FIND(" ",TRIM(C138)&amp;" ")-1),",","."))-1)/MID(SUBSTITUTE(LEFT(TRIM(C138),FIND(" ",TRIM(C138)&amp;" ")-1),",","."),FIND("/",SUBSTITUTE(LEFT(TRIM(C138),FIND(" ",TRIM(C138)&amp;" ")-1),",","."))+1,9))*12,NA()))),0),12)*'Aturan &amp; Tarif'!$B$4,2)</f>
        <v>681.36</v>
      </c>
      <c r="K138" s="42" t="n">
        <f aca="false">'Aturan &amp; Tarif'!$B$5</f>
        <v>2050</v>
      </c>
      <c r="L138" s="35" t="n">
        <f aca="false">I138+J138+K138</f>
        <v>20523.36</v>
      </c>
      <c r="M138" s="45" t="s">
        <v>512</v>
      </c>
    </row>
    <row r="139" customFormat="false" ht="14.25" hidden="false" customHeight="true" outlineLevel="0" collapsed="false">
      <c r="A139" s="39"/>
      <c r="B139" s="40" t="s">
        <v>3508</v>
      </c>
      <c r="C139" s="41" t="s">
        <v>130</v>
      </c>
      <c r="D139" s="41" t="s">
        <v>108</v>
      </c>
      <c r="E139" s="42" t="n">
        <v>8896</v>
      </c>
      <c r="F139" s="42"/>
      <c r="G139" s="42"/>
      <c r="H139" s="43" t="n">
        <v>2</v>
      </c>
      <c r="I139" s="34" t="n">
        <f aca="false">E139*H139+N(F139)+N(G139)</f>
        <v>17792</v>
      </c>
      <c r="J139" s="42" t="n">
        <f aca="false">ROUND(IFERROR(ROUND(IF(OR(ISNUMBER(SEARCH("week",C139)),ISNUMBER(SEARCH("minggu",C139))),IFERROR(_xlfn.NUMBERVALUE(SUBSTITUTE(LEFT(TRIM(C139),FIND(" ",TRIM(C139)&amp;" ")-1),",","."),"."),LEFT(SUBSTITUTE(LEFT(TRIM(C139),FIND(" ",TRIM(C139)&amp;" ")-1),",","."),FIND("/",SUBSTITUTE(LEFT(TRIM(C139),FIND(" ",TRIM(C139)&amp;" ")-1),",","."))-1)/MID(SUBSTITUTE(LEFT(TRIM(C139),FIND(" ",TRIM(C139)&amp;" ")-1),",","."),FIND("/",SUBSTITUTE(LEFT(TRIM(C139),FIND(" ",TRIM(C139)&amp;" ")-1),",","."))+1,9))*12/52,IF(ISNUMBER(SEARCH("month",C139)),IFERROR(_xlfn.NUMBERVALUE(SUBSTITUTE(LEFT(TRIM(C139),FIND(" ",TRIM(C139)&amp;" ")-1),",","."),"."),LEFT(SUBSTITUTE(LEFT(TRIM(C139),FIND(" ",TRIM(C139)&amp;" ")-1),",","."),FIND("/",SUBSTITUTE(LEFT(TRIM(C139),FIND(" ",TRIM(C139)&amp;" ")-1),",","."))-1)/MID(SUBSTITUTE(LEFT(TRIM(C139),FIND(" ",TRIM(C139)&amp;" ")-1),",","."),FIND("/",SUBSTITUTE(LEFT(TRIM(C139),FIND(" ",TRIM(C139)&amp;" ")-1),",","."))+1,9)),IF(ISNUMBER(SEARCH("yea",C139)),IFERROR(_xlfn.NUMBERVALUE(SUBSTITUTE(LEFT(TRIM(C139),FIND(" ",TRIM(C139)&amp;" ")-1),",","."),"."),LEFT(SUBSTITUTE(LEFT(TRIM(C139),FIND(" ",TRIM(C139)&amp;" ")-1),",","."),FIND("/",SUBSTITUTE(LEFT(TRIM(C139),FIND(" ",TRIM(C139)&amp;" ")-1),",","."))-1)/MID(SUBSTITUTE(LEFT(TRIM(C139),FIND(" ",TRIM(C139)&amp;" ")-1),",","."),FIND("/",SUBSTITUTE(LEFT(TRIM(C139),FIND(" ",TRIM(C139)&amp;" ")-1),",","."))+1,9))*12,NA()))),0),12)*'Aturan &amp; Tarif'!$B$4,2)</f>
        <v>681.36</v>
      </c>
      <c r="K139" s="42" t="n">
        <f aca="false">'Aturan &amp; Tarif'!$B$5</f>
        <v>2050</v>
      </c>
      <c r="L139" s="35" t="n">
        <f aca="false">I139+J139+K139</f>
        <v>20523.36</v>
      </c>
      <c r="M139" s="45" t="s">
        <v>512</v>
      </c>
    </row>
    <row r="140" customFormat="false" ht="14.25" hidden="false" customHeight="true" outlineLevel="0" collapsed="false">
      <c r="A140" s="39"/>
      <c r="B140" s="40" t="s">
        <v>530</v>
      </c>
      <c r="C140" s="41" t="s">
        <v>130</v>
      </c>
      <c r="D140" s="41" t="s">
        <v>108</v>
      </c>
      <c r="E140" s="42" t="n">
        <v>7600</v>
      </c>
      <c r="F140" s="42"/>
      <c r="G140" s="42"/>
      <c r="H140" s="43" t="n">
        <v>2</v>
      </c>
      <c r="I140" s="34" t="n">
        <f aca="false">E140*H140+N(F140)+N(G140)</f>
        <v>15200</v>
      </c>
      <c r="J140" s="42" t="n">
        <f aca="false">ROUND(IFERROR(ROUND(IF(OR(ISNUMBER(SEARCH("week",C140)),ISNUMBER(SEARCH("minggu",C140))),IFERROR(_xlfn.NUMBERVALUE(SUBSTITUTE(LEFT(TRIM(C140),FIND(" ",TRIM(C140)&amp;" ")-1),",","."),"."),LEFT(SUBSTITUTE(LEFT(TRIM(C140),FIND(" ",TRIM(C140)&amp;" ")-1),",","."),FIND("/",SUBSTITUTE(LEFT(TRIM(C140),FIND(" ",TRIM(C140)&amp;" ")-1),",","."))-1)/MID(SUBSTITUTE(LEFT(TRIM(C140),FIND(" ",TRIM(C140)&amp;" ")-1),",","."),FIND("/",SUBSTITUTE(LEFT(TRIM(C140),FIND(" ",TRIM(C140)&amp;" ")-1),",","."))+1,9))*12/52,IF(ISNUMBER(SEARCH("month",C140)),IFERROR(_xlfn.NUMBERVALUE(SUBSTITUTE(LEFT(TRIM(C140),FIND(" ",TRIM(C140)&amp;" ")-1),",","."),"."),LEFT(SUBSTITUTE(LEFT(TRIM(C140),FIND(" ",TRIM(C140)&amp;" ")-1),",","."),FIND("/",SUBSTITUTE(LEFT(TRIM(C140),FIND(" ",TRIM(C140)&amp;" ")-1),",","."))-1)/MID(SUBSTITUTE(LEFT(TRIM(C140),FIND(" ",TRIM(C140)&amp;" ")-1),",","."),FIND("/",SUBSTITUTE(LEFT(TRIM(C140),FIND(" ",TRIM(C140)&amp;" ")-1),",","."))+1,9)),IF(ISNUMBER(SEARCH("yea",C140)),IFERROR(_xlfn.NUMBERVALUE(SUBSTITUTE(LEFT(TRIM(C140),FIND(" ",TRIM(C140)&amp;" ")-1),",","."),"."),LEFT(SUBSTITUTE(LEFT(TRIM(C140),FIND(" ",TRIM(C140)&amp;" ")-1),",","."),FIND("/",SUBSTITUTE(LEFT(TRIM(C140),FIND(" ",TRIM(C140)&amp;" ")-1),",","."))-1)/MID(SUBSTITUTE(LEFT(TRIM(C140),FIND(" ",TRIM(C140)&amp;" ")-1),",","."),FIND("/",SUBSTITUTE(LEFT(TRIM(C140),FIND(" ",TRIM(C140)&amp;" ")-1),",","."))+1,9))*12,NA()))),0),12)*'Aturan &amp; Tarif'!$B$4,2)</f>
        <v>681.36</v>
      </c>
      <c r="K140" s="42" t="n">
        <f aca="false">'Aturan &amp; Tarif'!$B$5</f>
        <v>2050</v>
      </c>
      <c r="L140" s="35" t="n">
        <f aca="false">I140+J140+K140</f>
        <v>17931.36</v>
      </c>
      <c r="M140" s="45" t="s">
        <v>512</v>
      </c>
    </row>
    <row r="141" customFormat="false" ht="14.25" hidden="false" customHeight="true" outlineLevel="0" collapsed="false">
      <c r="A141" s="39"/>
      <c r="B141" s="40" t="s">
        <v>3509</v>
      </c>
      <c r="C141" s="41" t="s">
        <v>130</v>
      </c>
      <c r="D141" s="41" t="s">
        <v>108</v>
      </c>
      <c r="E141" s="42" t="n">
        <v>7802</v>
      </c>
      <c r="F141" s="42"/>
      <c r="G141" s="42"/>
      <c r="H141" s="43" t="n">
        <v>2</v>
      </c>
      <c r="I141" s="34" t="n">
        <f aca="false">E141*H141+N(F141)+N(G141)</f>
        <v>15604</v>
      </c>
      <c r="J141" s="42" t="n">
        <f aca="false">ROUND(IFERROR(ROUND(IF(OR(ISNUMBER(SEARCH("week",C141)),ISNUMBER(SEARCH("minggu",C141))),IFERROR(_xlfn.NUMBERVALUE(SUBSTITUTE(LEFT(TRIM(C141),FIND(" ",TRIM(C141)&amp;" ")-1),",","."),"."),LEFT(SUBSTITUTE(LEFT(TRIM(C141),FIND(" ",TRIM(C141)&amp;" ")-1),",","."),FIND("/",SUBSTITUTE(LEFT(TRIM(C141),FIND(" ",TRIM(C141)&amp;" ")-1),",","."))-1)/MID(SUBSTITUTE(LEFT(TRIM(C141),FIND(" ",TRIM(C141)&amp;" ")-1),",","."),FIND("/",SUBSTITUTE(LEFT(TRIM(C141),FIND(" ",TRIM(C141)&amp;" ")-1),",","."))+1,9))*12/52,IF(ISNUMBER(SEARCH("month",C141)),IFERROR(_xlfn.NUMBERVALUE(SUBSTITUTE(LEFT(TRIM(C141),FIND(" ",TRIM(C141)&amp;" ")-1),",","."),"."),LEFT(SUBSTITUTE(LEFT(TRIM(C141),FIND(" ",TRIM(C141)&amp;" ")-1),",","."),FIND("/",SUBSTITUTE(LEFT(TRIM(C141),FIND(" ",TRIM(C141)&amp;" ")-1),",","."))-1)/MID(SUBSTITUTE(LEFT(TRIM(C141),FIND(" ",TRIM(C141)&amp;" ")-1),",","."),FIND("/",SUBSTITUTE(LEFT(TRIM(C141),FIND(" ",TRIM(C141)&amp;" ")-1),",","."))+1,9)),IF(ISNUMBER(SEARCH("yea",C141)),IFERROR(_xlfn.NUMBERVALUE(SUBSTITUTE(LEFT(TRIM(C141),FIND(" ",TRIM(C141)&amp;" ")-1),",","."),"."),LEFT(SUBSTITUTE(LEFT(TRIM(C141),FIND(" ",TRIM(C141)&amp;" ")-1),",","."),FIND("/",SUBSTITUTE(LEFT(TRIM(C141),FIND(" ",TRIM(C141)&amp;" ")-1),",","."))-1)/MID(SUBSTITUTE(LEFT(TRIM(C141),FIND(" ",TRIM(C141)&amp;" ")-1),",","."),FIND("/",SUBSTITUTE(LEFT(TRIM(C141),FIND(" ",TRIM(C141)&amp;" ")-1),",","."))+1,9))*12,NA()))),0),12)*'Aturan &amp; Tarif'!$B$4,2)</f>
        <v>681.36</v>
      </c>
      <c r="K141" s="42" t="n">
        <f aca="false">'Aturan &amp; Tarif'!$B$5</f>
        <v>2050</v>
      </c>
      <c r="L141" s="35" t="n">
        <f aca="false">I141+J141+K141</f>
        <v>18335.36</v>
      </c>
      <c r="M141" s="45" t="s">
        <v>512</v>
      </c>
    </row>
    <row r="142" customFormat="false" ht="83.25" hidden="false" customHeight="true" outlineLevel="0" collapsed="false">
      <c r="A142" s="39"/>
      <c r="B142" s="40" t="s">
        <v>560</v>
      </c>
      <c r="C142" s="41" t="s">
        <v>344</v>
      </c>
      <c r="D142" s="41" t="s">
        <v>108</v>
      </c>
      <c r="E142" s="42" t="n">
        <v>4343</v>
      </c>
      <c r="F142" s="42"/>
      <c r="G142" s="42"/>
      <c r="H142" s="43" t="n">
        <v>2</v>
      </c>
      <c r="I142" s="34" t="n">
        <f aca="false">E142*H142+N(F142)+N(G142)</f>
        <v>8686</v>
      </c>
      <c r="J142" s="42" t="n">
        <f aca="false">ROUND(IFERROR(ROUND(IF(OR(ISNUMBER(SEARCH("week",C142)),ISNUMBER(SEARCH("minggu",C142))),IFERROR(_xlfn.NUMBERVALUE(SUBSTITUTE(LEFT(TRIM(C142),FIND(" ",TRIM(C142)&amp;" ")-1),",","."),"."),LEFT(SUBSTITUTE(LEFT(TRIM(C142),FIND(" ",TRIM(C142)&amp;" ")-1),",","."),FIND("/",SUBSTITUTE(LEFT(TRIM(C142),FIND(" ",TRIM(C142)&amp;" ")-1),",","."))-1)/MID(SUBSTITUTE(LEFT(TRIM(C142),FIND(" ",TRIM(C142)&amp;" ")-1),",","."),FIND("/",SUBSTITUTE(LEFT(TRIM(C142),FIND(" ",TRIM(C142)&amp;" ")-1),",","."))+1,9))*12/52,IF(ISNUMBER(SEARCH("month",C142)),IFERROR(_xlfn.NUMBERVALUE(SUBSTITUTE(LEFT(TRIM(C142),FIND(" ",TRIM(C142)&amp;" ")-1),",","."),"."),LEFT(SUBSTITUTE(LEFT(TRIM(C142),FIND(" ",TRIM(C142)&amp;" ")-1),",","."),FIND("/",SUBSTITUTE(LEFT(TRIM(C142),FIND(" ",TRIM(C142)&amp;" ")-1),",","."))-1)/MID(SUBSTITUTE(LEFT(TRIM(C142),FIND(" ",TRIM(C142)&amp;" ")-1),",","."),FIND("/",SUBSTITUTE(LEFT(TRIM(C142),FIND(" ",TRIM(C142)&amp;" ")-1),",","."))+1,9)),IF(ISNUMBER(SEARCH("yea",C142)),IFERROR(_xlfn.NUMBERVALUE(SUBSTITUTE(LEFT(TRIM(C142),FIND(" ",TRIM(C142)&amp;" ")-1),",","."),"."),LEFT(SUBSTITUTE(LEFT(TRIM(C142),FIND(" ",TRIM(C142)&amp;" ")-1),",","."),FIND("/",SUBSTITUTE(LEFT(TRIM(C142),FIND(" ",TRIM(C142)&amp;" ")-1),",","."))-1)/MID(SUBSTITUTE(LEFT(TRIM(C142),FIND(" ",TRIM(C142)&amp;" ")-1),",","."),FIND("/",SUBSTITUTE(LEFT(TRIM(C142),FIND(" ",TRIM(C142)&amp;" ")-1),",","."))+1,9))*12,NA()))),0),6)*'Aturan &amp; Tarif'!$B$4,2)</f>
        <v>340.68</v>
      </c>
      <c r="K142" s="42" t="n">
        <f aca="false">'Aturan &amp; Tarif'!$B$5</f>
        <v>2050</v>
      </c>
      <c r="L142" s="35" t="n">
        <f aca="false">I142+J142+K142</f>
        <v>11076.68</v>
      </c>
      <c r="M142" s="44" t="s">
        <v>3510</v>
      </c>
    </row>
    <row r="143" customFormat="false" ht="14.25" hidden="false" customHeight="true" outlineLevel="0" collapsed="false">
      <c r="A143" s="39"/>
      <c r="B143" s="40" t="s">
        <v>2994</v>
      </c>
      <c r="C143" s="41" t="s">
        <v>130</v>
      </c>
      <c r="D143" s="41" t="s">
        <v>108</v>
      </c>
      <c r="E143" s="42" t="n">
        <v>4355</v>
      </c>
      <c r="F143" s="42"/>
      <c r="G143" s="42"/>
      <c r="H143" s="43" t="n">
        <v>2</v>
      </c>
      <c r="I143" s="34" t="n">
        <f aca="false">E143*H143+N(F143)+N(G143)</f>
        <v>8710</v>
      </c>
      <c r="J143" s="42" t="n">
        <f aca="false">ROUND(IFERROR(ROUND(IF(OR(ISNUMBER(SEARCH("week",C143)),ISNUMBER(SEARCH("minggu",C143))),IFERROR(_xlfn.NUMBERVALUE(SUBSTITUTE(LEFT(TRIM(C143),FIND(" ",TRIM(C143)&amp;" ")-1),",","."),"."),LEFT(SUBSTITUTE(LEFT(TRIM(C143),FIND(" ",TRIM(C143)&amp;" ")-1),",","."),FIND("/",SUBSTITUTE(LEFT(TRIM(C143),FIND(" ",TRIM(C143)&amp;" ")-1),",","."))-1)/MID(SUBSTITUTE(LEFT(TRIM(C143),FIND(" ",TRIM(C143)&amp;" ")-1),",","."),FIND("/",SUBSTITUTE(LEFT(TRIM(C143),FIND(" ",TRIM(C143)&amp;" ")-1),",","."))+1,9))*12/52,IF(ISNUMBER(SEARCH("month",C143)),IFERROR(_xlfn.NUMBERVALUE(SUBSTITUTE(LEFT(TRIM(C143),FIND(" ",TRIM(C143)&amp;" ")-1),",","."),"."),LEFT(SUBSTITUTE(LEFT(TRIM(C143),FIND(" ",TRIM(C143)&amp;" ")-1),",","."),FIND("/",SUBSTITUTE(LEFT(TRIM(C143),FIND(" ",TRIM(C143)&amp;" ")-1),",","."))-1)/MID(SUBSTITUTE(LEFT(TRIM(C143),FIND(" ",TRIM(C143)&amp;" ")-1),",","."),FIND("/",SUBSTITUTE(LEFT(TRIM(C143),FIND(" ",TRIM(C143)&amp;" ")-1),",","."))+1,9)),IF(ISNUMBER(SEARCH("yea",C143)),IFERROR(_xlfn.NUMBERVALUE(SUBSTITUTE(LEFT(TRIM(C143),FIND(" ",TRIM(C143)&amp;" ")-1),",","."),"."),LEFT(SUBSTITUTE(LEFT(TRIM(C143),FIND(" ",TRIM(C143)&amp;" ")-1),",","."),FIND("/",SUBSTITUTE(LEFT(TRIM(C143),FIND(" ",TRIM(C143)&amp;" ")-1),",","."))-1)/MID(SUBSTITUTE(LEFT(TRIM(C143),FIND(" ",TRIM(C143)&amp;" ")-1),",","."),FIND("/",SUBSTITUTE(LEFT(TRIM(C143),FIND(" ",TRIM(C143)&amp;" ")-1),",","."))+1,9))*12,NA()))),0),12)*'Aturan &amp; Tarif'!$B$4,2)</f>
        <v>681.36</v>
      </c>
      <c r="K143" s="42" t="n">
        <f aca="false">'Aturan &amp; Tarif'!$B$5</f>
        <v>2050</v>
      </c>
      <c r="L143" s="35" t="n">
        <f aca="false">I143+J143+K143</f>
        <v>11441.36</v>
      </c>
      <c r="M143" s="45" t="s">
        <v>3511</v>
      </c>
    </row>
    <row r="144" customFormat="false" ht="14.25" hidden="false" customHeight="true" outlineLevel="0" collapsed="false">
      <c r="A144" s="39"/>
      <c r="B144" s="40" t="s">
        <v>3512</v>
      </c>
      <c r="C144" s="41" t="s">
        <v>130</v>
      </c>
      <c r="D144" s="41" t="s">
        <v>108</v>
      </c>
      <c r="E144" s="42" t="n">
        <v>4355</v>
      </c>
      <c r="F144" s="42"/>
      <c r="G144" s="42"/>
      <c r="H144" s="43" t="n">
        <v>2</v>
      </c>
      <c r="I144" s="34" t="n">
        <f aca="false">E144*H144+N(F144)+N(G144)</f>
        <v>8710</v>
      </c>
      <c r="J144" s="42" t="n">
        <f aca="false">ROUND(IFERROR(ROUND(IF(OR(ISNUMBER(SEARCH("week",C144)),ISNUMBER(SEARCH("minggu",C144))),IFERROR(_xlfn.NUMBERVALUE(SUBSTITUTE(LEFT(TRIM(C144),FIND(" ",TRIM(C144)&amp;" ")-1),",","."),"."),LEFT(SUBSTITUTE(LEFT(TRIM(C144),FIND(" ",TRIM(C144)&amp;" ")-1),",","."),FIND("/",SUBSTITUTE(LEFT(TRIM(C144),FIND(" ",TRIM(C144)&amp;" ")-1),",","."))-1)/MID(SUBSTITUTE(LEFT(TRIM(C144),FIND(" ",TRIM(C144)&amp;" ")-1),",","."),FIND("/",SUBSTITUTE(LEFT(TRIM(C144),FIND(" ",TRIM(C144)&amp;" ")-1),",","."))+1,9))*12/52,IF(ISNUMBER(SEARCH("month",C144)),IFERROR(_xlfn.NUMBERVALUE(SUBSTITUTE(LEFT(TRIM(C144),FIND(" ",TRIM(C144)&amp;" ")-1),",","."),"."),LEFT(SUBSTITUTE(LEFT(TRIM(C144),FIND(" ",TRIM(C144)&amp;" ")-1),",","."),FIND("/",SUBSTITUTE(LEFT(TRIM(C144),FIND(" ",TRIM(C144)&amp;" ")-1),",","."))-1)/MID(SUBSTITUTE(LEFT(TRIM(C144),FIND(" ",TRIM(C144)&amp;" ")-1),",","."),FIND("/",SUBSTITUTE(LEFT(TRIM(C144),FIND(" ",TRIM(C144)&amp;" ")-1),",","."))+1,9)),IF(ISNUMBER(SEARCH("yea",C144)),IFERROR(_xlfn.NUMBERVALUE(SUBSTITUTE(LEFT(TRIM(C144),FIND(" ",TRIM(C144)&amp;" ")-1),",","."),"."),LEFT(SUBSTITUTE(LEFT(TRIM(C144),FIND(" ",TRIM(C144)&amp;" ")-1),",","."),FIND("/",SUBSTITUTE(LEFT(TRIM(C144),FIND(" ",TRIM(C144)&amp;" ")-1),",","."))-1)/MID(SUBSTITUTE(LEFT(TRIM(C144),FIND(" ",TRIM(C144)&amp;" ")-1),",","."),FIND("/",SUBSTITUTE(LEFT(TRIM(C144),FIND(" ",TRIM(C144)&amp;" ")-1),",","."))+1,9))*12,NA()))),0),12)*'Aturan &amp; Tarif'!$B$4,2)</f>
        <v>681.36</v>
      </c>
      <c r="K144" s="42" t="n">
        <f aca="false">'Aturan &amp; Tarif'!$B$5</f>
        <v>2050</v>
      </c>
      <c r="L144" s="35" t="n">
        <f aca="false">I144+J144+K144</f>
        <v>11441.36</v>
      </c>
      <c r="M144" s="45" t="s">
        <v>3511</v>
      </c>
    </row>
    <row r="145" customFormat="false" ht="14.25" hidden="false" customHeight="true" outlineLevel="0" collapsed="false">
      <c r="A145" s="39"/>
      <c r="B145" s="40" t="s">
        <v>2111</v>
      </c>
      <c r="C145" s="41" t="s">
        <v>130</v>
      </c>
      <c r="D145" s="41" t="s">
        <v>108</v>
      </c>
      <c r="E145" s="42" t="n">
        <v>4355</v>
      </c>
      <c r="F145" s="42"/>
      <c r="G145" s="42"/>
      <c r="H145" s="43" t="n">
        <v>2</v>
      </c>
      <c r="I145" s="34" t="n">
        <f aca="false">E145*H145+N(F145)+N(G145)</f>
        <v>8710</v>
      </c>
      <c r="J145" s="42" t="n">
        <f aca="false">ROUND(IFERROR(ROUND(IF(OR(ISNUMBER(SEARCH("week",C145)),ISNUMBER(SEARCH("minggu",C145))),IFERROR(_xlfn.NUMBERVALUE(SUBSTITUTE(LEFT(TRIM(C145),FIND(" ",TRIM(C145)&amp;" ")-1),",","."),"."),LEFT(SUBSTITUTE(LEFT(TRIM(C145),FIND(" ",TRIM(C145)&amp;" ")-1),",","."),FIND("/",SUBSTITUTE(LEFT(TRIM(C145),FIND(" ",TRIM(C145)&amp;" ")-1),",","."))-1)/MID(SUBSTITUTE(LEFT(TRIM(C145),FIND(" ",TRIM(C145)&amp;" ")-1),",","."),FIND("/",SUBSTITUTE(LEFT(TRIM(C145),FIND(" ",TRIM(C145)&amp;" ")-1),",","."))+1,9))*12/52,IF(ISNUMBER(SEARCH("month",C145)),IFERROR(_xlfn.NUMBERVALUE(SUBSTITUTE(LEFT(TRIM(C145),FIND(" ",TRIM(C145)&amp;" ")-1),",","."),"."),LEFT(SUBSTITUTE(LEFT(TRIM(C145),FIND(" ",TRIM(C145)&amp;" ")-1),",","."),FIND("/",SUBSTITUTE(LEFT(TRIM(C145),FIND(" ",TRIM(C145)&amp;" ")-1),",","."))-1)/MID(SUBSTITUTE(LEFT(TRIM(C145),FIND(" ",TRIM(C145)&amp;" ")-1),",","."),FIND("/",SUBSTITUTE(LEFT(TRIM(C145),FIND(" ",TRIM(C145)&amp;" ")-1),",","."))+1,9)),IF(ISNUMBER(SEARCH("yea",C145)),IFERROR(_xlfn.NUMBERVALUE(SUBSTITUTE(LEFT(TRIM(C145),FIND(" ",TRIM(C145)&amp;" ")-1),",","."),"."),LEFT(SUBSTITUTE(LEFT(TRIM(C145),FIND(" ",TRIM(C145)&amp;" ")-1),",","."),FIND("/",SUBSTITUTE(LEFT(TRIM(C145),FIND(" ",TRIM(C145)&amp;" ")-1),",","."))-1)/MID(SUBSTITUTE(LEFT(TRIM(C145),FIND(" ",TRIM(C145)&amp;" ")-1),",","."),FIND("/",SUBSTITUTE(LEFT(TRIM(C145),FIND(" ",TRIM(C145)&amp;" ")-1),",","."))+1,9))*12,NA()))),0),12)*'Aturan &amp; Tarif'!$B$4,2)</f>
        <v>681.36</v>
      </c>
      <c r="K145" s="42" t="n">
        <f aca="false">'Aturan &amp; Tarif'!$B$5</f>
        <v>2050</v>
      </c>
      <c r="L145" s="35" t="n">
        <f aca="false">I145+J145+K145</f>
        <v>11441.36</v>
      </c>
      <c r="M145" s="45" t="s">
        <v>3511</v>
      </c>
    </row>
    <row r="146" customFormat="false" ht="48.75" hidden="false" customHeight="true" outlineLevel="0" collapsed="false">
      <c r="A146" s="39" t="s">
        <v>614</v>
      </c>
      <c r="B146" s="40" t="s">
        <v>465</v>
      </c>
      <c r="C146" s="41" t="s">
        <v>107</v>
      </c>
      <c r="D146" s="41" t="s">
        <v>108</v>
      </c>
      <c r="E146" s="42" t="n">
        <v>2700</v>
      </c>
      <c r="F146" s="42" t="n">
        <v>500</v>
      </c>
      <c r="G146" s="42" t="n">
        <v>250</v>
      </c>
      <c r="H146" s="43" t="n">
        <v>1</v>
      </c>
      <c r="I146" s="34" t="n">
        <f aca="false">E146*H146+N(F146)+N(G146)</f>
        <v>3450</v>
      </c>
      <c r="J146" s="42" t="n">
        <f aca="false">ROUND(IFERROR(ROUND(IF(OR(ISNUMBER(SEARCH("week",C146)),ISNUMBER(SEARCH("minggu",C146))),IFERROR(_xlfn.NUMBERVALUE(SUBSTITUTE(LEFT(TRIM(C146),FIND(" ",TRIM(C146)&amp;" ")-1),",","."),"."),LEFT(SUBSTITUTE(LEFT(TRIM(C146),FIND(" ",TRIM(C146)&amp;" ")-1),",","."),FIND("/",SUBSTITUTE(LEFT(TRIM(C146),FIND(" ",TRIM(C146)&amp;" ")-1),",","."))-1)/MID(SUBSTITUTE(LEFT(TRIM(C146),FIND(" ",TRIM(C146)&amp;" ")-1),",","."),FIND("/",SUBSTITUTE(LEFT(TRIM(C146),FIND(" ",TRIM(C146)&amp;" ")-1),",","."))+1,9))*12/52,IF(ISNUMBER(SEARCH("month",C146)),IFERROR(_xlfn.NUMBERVALUE(SUBSTITUTE(LEFT(TRIM(C146),FIND(" ",TRIM(C146)&amp;" ")-1),",","."),"."),LEFT(SUBSTITUTE(LEFT(TRIM(C146),FIND(" ",TRIM(C146)&amp;" ")-1),",","."),FIND("/",SUBSTITUTE(LEFT(TRIM(C146),FIND(" ",TRIM(C146)&amp;" ")-1),",","."))-1)/MID(SUBSTITUTE(LEFT(TRIM(C146),FIND(" ",TRIM(C146)&amp;" ")-1),",","."),FIND("/",SUBSTITUTE(LEFT(TRIM(C146),FIND(" ",TRIM(C146)&amp;" ")-1),",","."))+1,9)),IF(ISNUMBER(SEARCH("yea",C146)),IFERROR(_xlfn.NUMBERVALUE(SUBSTITUTE(LEFT(TRIM(C146),FIND(" ",TRIM(C146)&amp;" ")-1),",","."),"."),LEFT(SUBSTITUTE(LEFT(TRIM(C146),FIND(" ",TRIM(C146)&amp;" ")-1),",","."),FIND("/",SUBSTITUTE(LEFT(TRIM(C146),FIND(" ",TRIM(C146)&amp;" ")-1),",","."))-1)/MID(SUBSTITUTE(LEFT(TRIM(C146),FIND(" ",TRIM(C146)&amp;" ")-1),",","."),FIND("/",SUBSTITUTE(LEFT(TRIM(C146),FIND(" ",TRIM(C146)&amp;" ")-1),",","."))+1,9))*12,NA()))),0),24)*'Aturan &amp; Tarif'!$B$4,2)</f>
        <v>1362.72</v>
      </c>
      <c r="K146" s="42" t="n">
        <f aca="false">'Aturan &amp; Tarif'!$B$5</f>
        <v>2050</v>
      </c>
      <c r="L146" s="35" t="n">
        <f aca="false">I146+J146+K146</f>
        <v>6862.72</v>
      </c>
      <c r="M146" s="45" t="s">
        <v>615</v>
      </c>
    </row>
    <row r="147" customFormat="false" ht="25.5" hidden="false" customHeight="true" outlineLevel="0" collapsed="false">
      <c r="A147" s="39"/>
      <c r="B147" s="40" t="s">
        <v>475</v>
      </c>
      <c r="C147" s="41" t="s">
        <v>138</v>
      </c>
      <c r="D147" s="41" t="s">
        <v>108</v>
      </c>
      <c r="E147" s="42" t="n">
        <v>3000</v>
      </c>
      <c r="F147" s="42" t="n">
        <v>750</v>
      </c>
      <c r="G147" s="42" t="n">
        <v>250</v>
      </c>
      <c r="H147" s="43" t="n">
        <v>1</v>
      </c>
      <c r="I147" s="34" t="n">
        <f aca="false">E147*H147+N(F147)+N(G147)</f>
        <v>4000</v>
      </c>
      <c r="J147" s="42" t="n">
        <f aca="false">ROUND(IFERROR(ROUND(IF(OR(ISNUMBER(SEARCH("week",C147)),ISNUMBER(SEARCH("minggu",C147))),IFERROR(_xlfn.NUMBERVALUE(SUBSTITUTE(LEFT(TRIM(C147),FIND(" ",TRIM(C147)&amp;" ")-1),",","."),"."),LEFT(SUBSTITUTE(LEFT(TRIM(C147),FIND(" ",TRIM(C147)&amp;" ")-1),",","."),FIND("/",SUBSTITUTE(LEFT(TRIM(C147),FIND(" ",TRIM(C147)&amp;" ")-1),",","."))-1)/MID(SUBSTITUTE(LEFT(TRIM(C147),FIND(" ",TRIM(C147)&amp;" ")-1),",","."),FIND("/",SUBSTITUTE(LEFT(TRIM(C147),FIND(" ",TRIM(C147)&amp;" ")-1),",","."))+1,9))*12/52,IF(ISNUMBER(SEARCH("month",C147)),IFERROR(_xlfn.NUMBERVALUE(SUBSTITUTE(LEFT(TRIM(C147),FIND(" ",TRIM(C147)&amp;" ")-1),",","."),"."),LEFT(SUBSTITUTE(LEFT(TRIM(C147),FIND(" ",TRIM(C147)&amp;" ")-1),",","."),FIND("/",SUBSTITUTE(LEFT(TRIM(C147),FIND(" ",TRIM(C147)&amp;" ")-1),",","."))-1)/MID(SUBSTITUTE(LEFT(TRIM(C147),FIND(" ",TRIM(C147)&amp;" ")-1),",","."),FIND("/",SUBSTITUTE(LEFT(TRIM(C147),FIND(" ",TRIM(C147)&amp;" ")-1),",","."))+1,9)),IF(ISNUMBER(SEARCH("yea",C147)),IFERROR(_xlfn.NUMBERVALUE(SUBSTITUTE(LEFT(TRIM(C147),FIND(" ",TRIM(C147)&amp;" ")-1),",","."),"."),LEFT(SUBSTITUTE(LEFT(TRIM(C147),FIND(" ",TRIM(C147)&amp;" ")-1),",","."),FIND("/",SUBSTITUTE(LEFT(TRIM(C147),FIND(" ",TRIM(C147)&amp;" ")-1),",","."))-1)/MID(SUBSTITUTE(LEFT(TRIM(C147),FIND(" ",TRIM(C147)&amp;" ")-1),",","."),FIND("/",SUBSTITUTE(LEFT(TRIM(C147),FIND(" ",TRIM(C147)&amp;" ")-1),",","."))+1,9))*12,NA()))),0),30)*'Aturan &amp; Tarif'!$B$4,2)</f>
        <v>1703.4</v>
      </c>
      <c r="K147" s="42" t="n">
        <f aca="false">'Aturan &amp; Tarif'!$B$5</f>
        <v>2050</v>
      </c>
      <c r="L147" s="35" t="n">
        <f aca="false">I147+J147+K147</f>
        <v>7753.4</v>
      </c>
      <c r="M147" s="45" t="s">
        <v>615</v>
      </c>
    </row>
    <row r="148" customFormat="false" ht="14.25" hidden="false" customHeight="true" outlineLevel="0" collapsed="false">
      <c r="A148" s="39"/>
      <c r="B148" s="40" t="s">
        <v>616</v>
      </c>
      <c r="C148" s="41" t="s">
        <v>107</v>
      </c>
      <c r="D148" s="41" t="s">
        <v>108</v>
      </c>
      <c r="E148" s="42" t="n">
        <v>3125</v>
      </c>
      <c r="F148" s="42" t="n">
        <v>2000</v>
      </c>
      <c r="G148" s="42" t="n">
        <v>250</v>
      </c>
      <c r="H148" s="43" t="n">
        <v>1</v>
      </c>
      <c r="I148" s="34" t="n">
        <f aca="false">E148*H148+N(F148)+N(G148)</f>
        <v>5375</v>
      </c>
      <c r="J148" s="42" t="n">
        <f aca="false">ROUND(IFERROR(ROUND(IF(OR(ISNUMBER(SEARCH("week",C148)),ISNUMBER(SEARCH("minggu",C148))),IFERROR(_xlfn.NUMBERVALUE(SUBSTITUTE(LEFT(TRIM(C148),FIND(" ",TRIM(C148)&amp;" ")-1),",","."),"."),LEFT(SUBSTITUTE(LEFT(TRIM(C148),FIND(" ",TRIM(C148)&amp;" ")-1),",","."),FIND("/",SUBSTITUTE(LEFT(TRIM(C148),FIND(" ",TRIM(C148)&amp;" ")-1),",","."))-1)/MID(SUBSTITUTE(LEFT(TRIM(C148),FIND(" ",TRIM(C148)&amp;" ")-1),",","."),FIND("/",SUBSTITUTE(LEFT(TRIM(C148),FIND(" ",TRIM(C148)&amp;" ")-1),",","."))+1,9))*12/52,IF(ISNUMBER(SEARCH("month",C148)),IFERROR(_xlfn.NUMBERVALUE(SUBSTITUTE(LEFT(TRIM(C148),FIND(" ",TRIM(C148)&amp;" ")-1),",","."),"."),LEFT(SUBSTITUTE(LEFT(TRIM(C148),FIND(" ",TRIM(C148)&amp;" ")-1),",","."),FIND("/",SUBSTITUTE(LEFT(TRIM(C148),FIND(" ",TRIM(C148)&amp;" ")-1),",","."))-1)/MID(SUBSTITUTE(LEFT(TRIM(C148),FIND(" ",TRIM(C148)&amp;" ")-1),",","."),FIND("/",SUBSTITUTE(LEFT(TRIM(C148),FIND(" ",TRIM(C148)&amp;" ")-1),",","."))+1,9)),IF(ISNUMBER(SEARCH("yea",C148)),IFERROR(_xlfn.NUMBERVALUE(SUBSTITUTE(LEFT(TRIM(C148),FIND(" ",TRIM(C148)&amp;" ")-1),",","."),"."),LEFT(SUBSTITUTE(LEFT(TRIM(C148),FIND(" ",TRIM(C148)&amp;" ")-1),",","."),FIND("/",SUBSTITUTE(LEFT(TRIM(C148),FIND(" ",TRIM(C148)&amp;" ")-1),",","."))-1)/MID(SUBSTITUTE(LEFT(TRIM(C148),FIND(" ",TRIM(C148)&amp;" ")-1),",","."),FIND("/",SUBSTITUTE(LEFT(TRIM(C148),FIND(" ",TRIM(C148)&amp;" ")-1),",","."))+1,9))*12,NA()))),0),24)*'Aturan &amp; Tarif'!$B$4,2)</f>
        <v>1362.72</v>
      </c>
      <c r="K148" s="42" t="n">
        <f aca="false">'Aturan &amp; Tarif'!$B$5</f>
        <v>2050</v>
      </c>
      <c r="L148" s="35" t="n">
        <f aca="false">I148+J148+K148</f>
        <v>8787.72</v>
      </c>
      <c r="M148" s="45" t="s">
        <v>617</v>
      </c>
    </row>
    <row r="149" customFormat="false" ht="25.5" hidden="false" customHeight="true" outlineLevel="0" collapsed="false">
      <c r="A149" s="39"/>
      <c r="B149" s="40" t="s">
        <v>618</v>
      </c>
      <c r="C149" s="41" t="s">
        <v>138</v>
      </c>
      <c r="D149" s="41" t="s">
        <v>108</v>
      </c>
      <c r="E149" s="42" t="n">
        <v>4300</v>
      </c>
      <c r="F149" s="42" t="n">
        <v>2000</v>
      </c>
      <c r="G149" s="42" t="n">
        <v>250</v>
      </c>
      <c r="H149" s="43" t="n">
        <v>1</v>
      </c>
      <c r="I149" s="34" t="n">
        <f aca="false">E149*H149+N(F149)+N(G149)</f>
        <v>6550</v>
      </c>
      <c r="J149" s="42" t="n">
        <f aca="false">ROUND(IFERROR(ROUND(IF(OR(ISNUMBER(SEARCH("week",C149)),ISNUMBER(SEARCH("minggu",C149))),IFERROR(_xlfn.NUMBERVALUE(SUBSTITUTE(LEFT(TRIM(C149),FIND(" ",TRIM(C149)&amp;" ")-1),",","."),"."),LEFT(SUBSTITUTE(LEFT(TRIM(C149),FIND(" ",TRIM(C149)&amp;" ")-1),",","."),FIND("/",SUBSTITUTE(LEFT(TRIM(C149),FIND(" ",TRIM(C149)&amp;" ")-1),",","."))-1)/MID(SUBSTITUTE(LEFT(TRIM(C149),FIND(" ",TRIM(C149)&amp;" ")-1),",","."),FIND("/",SUBSTITUTE(LEFT(TRIM(C149),FIND(" ",TRIM(C149)&amp;" ")-1),",","."))+1,9))*12/52,IF(ISNUMBER(SEARCH("month",C149)),IFERROR(_xlfn.NUMBERVALUE(SUBSTITUTE(LEFT(TRIM(C149),FIND(" ",TRIM(C149)&amp;" ")-1),",","."),"."),LEFT(SUBSTITUTE(LEFT(TRIM(C149),FIND(" ",TRIM(C149)&amp;" ")-1),",","."),FIND("/",SUBSTITUTE(LEFT(TRIM(C149),FIND(" ",TRIM(C149)&amp;" ")-1),",","."))-1)/MID(SUBSTITUTE(LEFT(TRIM(C149),FIND(" ",TRIM(C149)&amp;" ")-1),",","."),FIND("/",SUBSTITUTE(LEFT(TRIM(C149),FIND(" ",TRIM(C149)&amp;" ")-1),",","."))+1,9)),IF(ISNUMBER(SEARCH("yea",C149)),IFERROR(_xlfn.NUMBERVALUE(SUBSTITUTE(LEFT(TRIM(C149),FIND(" ",TRIM(C149)&amp;" ")-1),",","."),"."),LEFT(SUBSTITUTE(LEFT(TRIM(C149),FIND(" ",TRIM(C149)&amp;" ")-1),",","."),FIND("/",SUBSTITUTE(LEFT(TRIM(C149),FIND(" ",TRIM(C149)&amp;" ")-1),",","."))-1)/MID(SUBSTITUTE(LEFT(TRIM(C149),FIND(" ",TRIM(C149)&amp;" ")-1),",","."),FIND("/",SUBSTITUTE(LEFT(TRIM(C149),FIND(" ",TRIM(C149)&amp;" ")-1),",","."))+1,9))*12,NA()))),0),30)*'Aturan &amp; Tarif'!$B$4,2)</f>
        <v>1703.4</v>
      </c>
      <c r="K149" s="42" t="n">
        <f aca="false">'Aturan &amp; Tarif'!$B$5</f>
        <v>2050</v>
      </c>
      <c r="L149" s="35" t="n">
        <f aca="false">I149+J149+K149</f>
        <v>10303.4</v>
      </c>
      <c r="M149" s="45" t="s">
        <v>615</v>
      </c>
    </row>
    <row r="151" customFormat="false" ht="12.75" hidden="false" customHeight="true" outlineLevel="0" collapsed="false">
      <c r="A151" s="38" t="s">
        <v>117</v>
      </c>
    </row>
    <row r="152" customFormat="false" ht="12.75" hidden="false" customHeight="true" outlineLevel="0" collapsed="false">
      <c r="A152" s="38" t="s">
        <v>118</v>
      </c>
    </row>
    <row r="153" customFormat="false" ht="12.75" hidden="false" customHeight="true" outlineLevel="0" collapsed="false">
      <c r="A153" s="38" t="s">
        <v>119</v>
      </c>
    </row>
    <row r="154" customFormat="false" ht="12.75" hidden="false" customHeight="true" outlineLevel="0" collapsed="false">
      <c r="A154" s="38" t="s">
        <v>120</v>
      </c>
    </row>
    <row r="155" customFormat="false" ht="12.75" hidden="false" customHeight="true" outlineLevel="0" collapsed="false">
      <c r="A155" s="38" t="s">
        <v>121</v>
      </c>
    </row>
    <row r="156" customFormat="false" ht="12.75" hidden="false" customHeight="true" outlineLevel="0" collapsed="false">
      <c r="A156" s="38" t="s">
        <v>3294</v>
      </c>
    </row>
    <row r="157" customFormat="false" ht="81.75" hidden="false" customHeight="true" outlineLevel="0" collapsed="false">
      <c r="A157" s="38" t="s">
        <v>3302</v>
      </c>
    </row>
  </sheetData>
  <autoFilter ref="A5:M149"/>
  <conditionalFormatting sqref="J6:J149">
    <cfRule type="expression" priority="2" aboveAverage="0" equalAverage="0" bottom="0" percent="0" rank="0" text="" dxfId="6">
      <formula>AND($E6&lt;&gt;"",OR(ISERROR(ROUND(IF(OR(ISNUMBER(SEARCH("week",C6)),ISNUMBER(SEARCH("minggu",C6))),IFERROR(_xlfn.NUMBERVALUE(SUBSTITUTE(LEFT(TRIM(C6),FIND("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")-1),",","."))+1,9))*12,NA()))),0)&lt;1,1),IFERROR(ROUND(IF(OR(ISNUMBER(SEARCH("week",C6)),ISNUMBER(SEARCH("minggu",C6))),IFERROR(_xlfn.NUMBERVALUE(SUBSTITUTE(LEFT(TRIM(C6),FIND("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")-1),",","."))+1,9))*12,NA()))),0)&gt;96,1)))</formula>
    </cfRule>
  </conditionalFormatting>
  <printOptions headings="false" gridLines="false" gridLinesSet="true" horizontalCentered="true" verticalCentered="false"/>
  <pageMargins left="0.3" right="0.3" top="0.5" bottom="0.5" header="0.2" footer="0.2"/>
  <pageSetup paperSize="9" scale="100" fitToWidth="1" fitToHeight="0" pageOrder="downThenOver" orientation="landscape" blackAndWhite="false" draft="false" cellComments="none" horizontalDpi="300" verticalDpi="300" copies="1"/>
  <headerFooter differentFirst="false" differentOddEven="false">
    <oddHeader>&amp;R&amp;8 ONSHORE - DARWIN (NT)</oddHeader>
    <oddFooter>&amp;L&amp;8 TEG Pricelist - harga bisa berubah sewaktu-waktu&amp;R&amp;8 Halaman &amp;P dari &amp;N</oddFooter>
  </headerFooter>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19"/>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2" min="2" style="1" width="55"/>
    <col collapsed="false" customWidth="true" hidden="false" outlineLevel="0" max="3" min="3" style="1" width="14"/>
    <col collapsed="false" customWidth="true" hidden="false" outlineLevel="0" max="4" min="4" style="1" width="11"/>
    <col collapsed="false" customWidth="true" hidden="false" outlineLevel="0" max="5" min="5" style="1" width="12"/>
    <col collapsed="false" customWidth="true" hidden="false" outlineLevel="0" max="8" min="6" style="1" width="11"/>
    <col collapsed="false" customWidth="true" hidden="false" outlineLevel="0" max="9" min="9" style="1" width="15"/>
    <col collapsed="false" customWidth="true" hidden="false" outlineLevel="0" max="10" min="10" style="1" width="12"/>
    <col collapsed="false" customWidth="true" hidden="false" outlineLevel="0" max="11" min="11" style="1" width="10"/>
    <col collapsed="false" customWidth="true" hidden="false" outlineLevel="0" max="12" min="12" style="1" width="15"/>
    <col collapsed="false" customWidth="true" hidden="false" outlineLevel="0" max="13" min="13" style="1" width="110"/>
    <col collapsed="false" customWidth="true" hidden="false" outlineLevel="0" max="44" min="14" style="1" width="9"/>
  </cols>
  <sheetData>
    <row r="1" customFormat="false" ht="17.25" hidden="false" customHeight="true" outlineLevel="0" collapsed="false">
      <c r="A1" s="14" t="s">
        <v>3513</v>
      </c>
    </row>
    <row r="2" customFormat="false" ht="15" hidden="false" customHeight="true" outlineLevel="0" collapsed="false">
      <c r="A2" s="25" t="s">
        <v>91</v>
      </c>
    </row>
    <row r="3" customFormat="false" ht="15" hidden="false" customHeight="true" outlineLevel="0" collapsed="false">
      <c r="A3" s="26" t="s">
        <v>3014</v>
      </c>
    </row>
    <row r="5" customFormat="false" ht="36" hidden="false" customHeight="true" outlineLevel="0" collapsed="false">
      <c r="A5" s="27" t="s">
        <v>93</v>
      </c>
      <c r="B5" s="27" t="s">
        <v>94</v>
      </c>
      <c r="C5" s="27" t="s">
        <v>95</v>
      </c>
      <c r="D5" s="27" t="s">
        <v>96</v>
      </c>
      <c r="E5" s="27" t="s">
        <v>97</v>
      </c>
      <c r="F5" s="27" t="s">
        <v>98</v>
      </c>
      <c r="G5" s="27" t="s">
        <v>99</v>
      </c>
      <c r="H5" s="27" t="s">
        <v>100</v>
      </c>
      <c r="I5" s="27" t="s">
        <v>101</v>
      </c>
      <c r="J5" s="27" t="s">
        <v>10</v>
      </c>
      <c r="K5" s="27" t="s">
        <v>102</v>
      </c>
      <c r="L5" s="27" t="s">
        <v>104</v>
      </c>
      <c r="M5" s="28" t="s">
        <v>14</v>
      </c>
    </row>
    <row r="6" customFormat="false" ht="48.75" hidden="false" customHeight="true" outlineLevel="0" collapsed="false">
      <c r="A6" s="29" t="s">
        <v>105</v>
      </c>
      <c r="B6" s="30" t="s">
        <v>106</v>
      </c>
      <c r="C6" s="31" t="s">
        <v>107</v>
      </c>
      <c r="D6" s="31" t="s">
        <v>108</v>
      </c>
      <c r="E6" s="32" t="n">
        <v>2100</v>
      </c>
      <c r="F6" s="32" t="n">
        <v>2000</v>
      </c>
      <c r="G6" s="32" t="n">
        <v>500</v>
      </c>
      <c r="H6" s="33" t="n">
        <v>1</v>
      </c>
      <c r="I6" s="34" t="n">
        <f aca="false">E6*H6+N(F6)+N(G6)</f>
        <v>4600</v>
      </c>
      <c r="J6" s="32" t="n">
        <f aca="false">ROUND(IFERROR(ROUND(IF(OR(ISNUMBER(SEARCH("week",C6)),ISNUMBER(SEARCH("minggu",C6))),IFERROR(_xlfn.NUMBERVALUE(SUBSTITUTE(LEFT(TRIM(C6),FIND("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")-1),",","."))+1,9))*12,NA()))),0),24)*'Aturan &amp; Tarif'!$B$4,2)</f>
        <v>1362.72</v>
      </c>
      <c r="K6" s="32" t="n">
        <f aca="false">'Aturan &amp; Tarif'!$B$5</f>
        <v>2050</v>
      </c>
      <c r="L6" s="35" t="n">
        <f aca="false">I6+J6+K6</f>
        <v>8012.72</v>
      </c>
      <c r="M6" s="36" t="s">
        <v>109</v>
      </c>
    </row>
    <row r="7" customFormat="false" ht="14.25" hidden="false" customHeight="true" outlineLevel="0" collapsed="false">
      <c r="A7" s="29"/>
      <c r="B7" s="30" t="s">
        <v>110</v>
      </c>
      <c r="C7" s="31" t="s">
        <v>107</v>
      </c>
      <c r="D7" s="31" t="s">
        <v>108</v>
      </c>
      <c r="E7" s="32" t="n">
        <v>2100</v>
      </c>
      <c r="F7" s="32" t="n">
        <v>1500</v>
      </c>
      <c r="G7" s="32" t="n">
        <v>500</v>
      </c>
      <c r="H7" s="33" t="n">
        <v>1</v>
      </c>
      <c r="I7" s="34" t="n">
        <f aca="false">E7*H7+N(F7)+N(G7)</f>
        <v>4100</v>
      </c>
      <c r="J7" s="32" t="n">
        <f aca="false">ROUND(IFERROR(ROUND(IF(OR(ISNUMBER(SEARCH("week",C7)),ISNUMBER(SEARCH("minggu",C7))),IFERROR(_xlfn.NUMBERVALUE(SUBSTITUTE(LEFT(TRIM(C7),FIND(" ",TRIM(C7)&amp;" ")-1),",","."),"."),LEFT(SUBSTITUTE(LEFT(TRIM(C7),FIND(" ",TRIM(C7)&amp;" ")-1),",","."),FIND("/",SUBSTITUTE(LEFT(TRIM(C7),FIND(" ",TRIM(C7)&amp;" ")-1),",","."))-1)/MID(SUBSTITUTE(LEFT(TRIM(C7),FIND(" ",TRIM(C7)&amp;" ")-1),",","."),FIND("/",SUBSTITUTE(LEFT(TRIM(C7),FIND(" ",TRIM(C7)&amp;" ")-1),",","."))+1,9))*12/52,IF(ISNUMBER(SEARCH("month",C7)),IFERROR(_xlfn.NUMBERVALUE(SUBSTITUTE(LEFT(TRIM(C7),FIND(" ",TRIM(C7)&amp;" ")-1),",","."),"."),LEFT(SUBSTITUTE(LEFT(TRIM(C7),FIND(" ",TRIM(C7)&amp;" ")-1),",","."),FIND("/",SUBSTITUTE(LEFT(TRIM(C7),FIND(" ",TRIM(C7)&amp;" ")-1),",","."))-1)/MID(SUBSTITUTE(LEFT(TRIM(C7),FIND(" ",TRIM(C7)&amp;" ")-1),",","."),FIND("/",SUBSTITUTE(LEFT(TRIM(C7),FIND(" ",TRIM(C7)&amp;" ")-1),",","."))+1,9)),IF(ISNUMBER(SEARCH("yea",C7)),IFERROR(_xlfn.NUMBERVALUE(SUBSTITUTE(LEFT(TRIM(C7),FIND(" ",TRIM(C7)&amp;" ")-1),",","."),"."),LEFT(SUBSTITUTE(LEFT(TRIM(C7),FIND(" ",TRIM(C7)&amp;" ")-1),",","."),FIND("/",SUBSTITUTE(LEFT(TRIM(C7),FIND(" ",TRIM(C7)&amp;" ")-1),",","."))-1)/MID(SUBSTITUTE(LEFT(TRIM(C7),FIND(" ",TRIM(C7)&amp;" ")-1),",","."),FIND("/",SUBSTITUTE(LEFT(TRIM(C7),FIND(" ",TRIM(C7)&amp;" ")-1),",","."))+1,9))*12,NA()))),0),24)*'Aturan &amp; Tarif'!$B$4,2)</f>
        <v>1362.72</v>
      </c>
      <c r="K7" s="32" t="n">
        <f aca="false">'Aturan &amp; Tarif'!$B$5</f>
        <v>2050</v>
      </c>
      <c r="L7" s="35" t="n">
        <f aca="false">I7+J7+K7</f>
        <v>7512.72</v>
      </c>
      <c r="M7" s="37" t="s">
        <v>3514</v>
      </c>
    </row>
    <row r="8" customFormat="false" ht="37.5" hidden="false" customHeight="true" outlineLevel="0" collapsed="false">
      <c r="A8" s="29"/>
      <c r="B8" s="30" t="s">
        <v>112</v>
      </c>
      <c r="C8" s="31" t="s">
        <v>113</v>
      </c>
      <c r="D8" s="31" t="s">
        <v>108</v>
      </c>
      <c r="E8" s="32" t="n">
        <v>2200</v>
      </c>
      <c r="F8" s="32" t="n">
        <v>3500</v>
      </c>
      <c r="G8" s="32" t="n">
        <v>200</v>
      </c>
      <c r="H8" s="33" t="n">
        <v>1</v>
      </c>
      <c r="I8" s="34" t="n">
        <f aca="false">E8*H8+N(F8)+N(G8)</f>
        <v>5900</v>
      </c>
      <c r="J8" s="32" t="n">
        <f aca="false">ROUND(IFERROR(ROUND(IF(OR(ISNUMBER(SEARCH("week",C8)),ISNUMBER(SEARCH("minggu",C8))),IFERROR(_xlfn.NUMBERVALUE(SUBSTITUTE(LEFT(TRIM(C8),FIND(" ",TRIM(C8)&amp;" ")-1),",","."),"."),LEFT(SUBSTITUTE(LEFT(TRIM(C8),FIND(" ",TRIM(C8)&amp;" ")-1),",","."),FIND("/",SUBSTITUTE(LEFT(TRIM(C8),FIND(" ",TRIM(C8)&amp;" ")-1),",","."))-1)/MID(SUBSTITUTE(LEFT(TRIM(C8),FIND(" ",TRIM(C8)&amp;" ")-1),",","."),FIND("/",SUBSTITUTE(LEFT(TRIM(C8),FIND(" ",TRIM(C8)&amp;" ")-1),",","."))+1,9))*12/52,IF(ISNUMBER(SEARCH("month",C8)),IFERROR(_xlfn.NUMBERVALUE(SUBSTITUTE(LEFT(TRIM(C8),FIND(" ",TRIM(C8)&amp;" ")-1),",","."),"."),LEFT(SUBSTITUTE(LEFT(TRIM(C8),FIND(" ",TRIM(C8)&amp;" ")-1),",","."),FIND("/",SUBSTITUTE(LEFT(TRIM(C8),FIND(" ",TRIM(C8)&amp;" ")-1),",","."))-1)/MID(SUBSTITUTE(LEFT(TRIM(C8),FIND(" ",TRIM(C8)&amp;" ")-1),",","."),FIND("/",SUBSTITUTE(LEFT(TRIM(C8),FIND(" ",TRIM(C8)&amp;" ")-1),",","."))+1,9)),IF(ISNUMBER(SEARCH("yea",C8)),IFERROR(_xlfn.NUMBERVALUE(SUBSTITUTE(LEFT(TRIM(C8),FIND(" ",TRIM(C8)&amp;" ")-1),",","."),"."),LEFT(SUBSTITUTE(LEFT(TRIM(C8),FIND(" ",TRIM(C8)&amp;" ")-1),",","."),FIND("/",SUBSTITUTE(LEFT(TRIM(C8),FIND(" ",TRIM(C8)&amp;" ")-1),",","."))-1)/MID(SUBSTITUTE(LEFT(TRIM(C8),FIND(" ",TRIM(C8)&amp;" ")-1),",","."),FIND("/",SUBSTITUTE(LEFT(TRIM(C8),FIND(" ",TRIM(C8)&amp;" ")-1),",","."))+1,9))*12,NA()))),0),18)*'Aturan &amp; Tarif'!$B$4,2)</f>
        <v>1022.04</v>
      </c>
      <c r="K8" s="32" t="n">
        <f aca="false">'Aturan &amp; Tarif'!$B$5</f>
        <v>2050</v>
      </c>
      <c r="L8" s="35" t="n">
        <f aca="false">I8+J8+K8</f>
        <v>8972.04</v>
      </c>
      <c r="M8" s="36" t="s">
        <v>3515</v>
      </c>
    </row>
    <row r="9" customFormat="false" ht="37.5" hidden="false" customHeight="true" outlineLevel="0" collapsed="false">
      <c r="A9" s="29"/>
      <c r="B9" s="30" t="s">
        <v>115</v>
      </c>
      <c r="C9" s="31" t="s">
        <v>107</v>
      </c>
      <c r="D9" s="31" t="s">
        <v>108</v>
      </c>
      <c r="E9" s="32" t="n">
        <v>2100</v>
      </c>
      <c r="F9" s="32" t="n">
        <v>3000</v>
      </c>
      <c r="G9" s="32" t="n">
        <v>500</v>
      </c>
      <c r="H9" s="33" t="n">
        <v>1</v>
      </c>
      <c r="I9" s="34" t="n">
        <f aca="false">E9*H9+N(F9)+N(G9)</f>
        <v>5600</v>
      </c>
      <c r="J9" s="32" t="n">
        <f aca="false">ROUND(IFERROR(ROUND(IF(OR(ISNUMBER(SEARCH("week",C9)),ISNUMBER(SEARCH("minggu",C9))),IFERROR(_xlfn.NUMBERVALUE(SUBSTITUTE(LEFT(TRIM(C9),FIND(" ",TRIM(C9)&amp;" ")-1),",","."),"."),LEFT(SUBSTITUTE(LEFT(TRIM(C9),FIND(" ",TRIM(C9)&amp;" ")-1),",","."),FIND("/",SUBSTITUTE(LEFT(TRIM(C9),FIND(" ",TRIM(C9)&amp;" ")-1),",","."))-1)/MID(SUBSTITUTE(LEFT(TRIM(C9),FIND(" ",TRIM(C9)&amp;" ")-1),",","."),FIND("/",SUBSTITUTE(LEFT(TRIM(C9),FIND(" ",TRIM(C9)&amp;" ")-1),",","."))+1,9))*12/52,IF(ISNUMBER(SEARCH("month",C9)),IFERROR(_xlfn.NUMBERVALUE(SUBSTITUTE(LEFT(TRIM(C9),FIND(" ",TRIM(C9)&amp;" ")-1),",","."),"."),LEFT(SUBSTITUTE(LEFT(TRIM(C9),FIND(" ",TRIM(C9)&amp;" ")-1),",","."),FIND("/",SUBSTITUTE(LEFT(TRIM(C9),FIND(" ",TRIM(C9)&amp;" ")-1),",","."))-1)/MID(SUBSTITUTE(LEFT(TRIM(C9),FIND(" ",TRIM(C9)&amp;" ")-1),",","."),FIND("/",SUBSTITUTE(LEFT(TRIM(C9),FIND(" ",TRIM(C9)&amp;" ")-1),",","."))+1,9)),IF(ISNUMBER(SEARCH("yea",C9)),IFERROR(_xlfn.NUMBERVALUE(SUBSTITUTE(LEFT(TRIM(C9),FIND(" ",TRIM(C9)&amp;" ")-1),",","."),"."),LEFT(SUBSTITUTE(LEFT(TRIM(C9),FIND(" ",TRIM(C9)&amp;" ")-1),",","."),FIND("/",SUBSTITUTE(LEFT(TRIM(C9),FIND(" ",TRIM(C9)&amp;" ")-1),",","."))-1)/MID(SUBSTITUTE(LEFT(TRIM(C9),FIND(" ",TRIM(C9)&amp;" ")-1),",","."),FIND("/",SUBSTITUTE(LEFT(TRIM(C9),FIND(" ",TRIM(C9)&amp;" ")-1),",","."))+1,9))*12,NA()))),0),24)*'Aturan &amp; Tarif'!$B$4,2)</f>
        <v>1362.72</v>
      </c>
      <c r="K9" s="32" t="n">
        <f aca="false">'Aturan &amp; Tarif'!$B$5</f>
        <v>2050</v>
      </c>
      <c r="L9" s="35" t="n">
        <f aca="false">I9+J9+K9</f>
        <v>9012.72</v>
      </c>
      <c r="M9" s="36" t="s">
        <v>3516</v>
      </c>
    </row>
    <row r="11" customFormat="false" ht="12.75" hidden="false" customHeight="true" outlineLevel="0" collapsed="false">
      <c r="A11" s="38" t="s">
        <v>117</v>
      </c>
    </row>
    <row r="12" customFormat="false" ht="12.75" hidden="false" customHeight="true" outlineLevel="0" collapsed="false">
      <c r="A12" s="38" t="s">
        <v>118</v>
      </c>
    </row>
    <row r="13" customFormat="false" ht="12.75" hidden="false" customHeight="true" outlineLevel="0" collapsed="false">
      <c r="A13" s="38" t="s">
        <v>119</v>
      </c>
    </row>
    <row r="14" customFormat="false" ht="12.75" hidden="false" customHeight="true" outlineLevel="0" collapsed="false">
      <c r="A14" s="38" t="s">
        <v>120</v>
      </c>
    </row>
    <row r="15" customFormat="false" ht="12.75" hidden="false" customHeight="true" outlineLevel="0" collapsed="false">
      <c r="A15" s="38" t="s">
        <v>121</v>
      </c>
    </row>
    <row r="16" customFormat="false" ht="12.75" hidden="false" customHeight="true" outlineLevel="0" collapsed="false">
      <c r="A16" s="38" t="s">
        <v>3294</v>
      </c>
    </row>
    <row r="17" customFormat="false" ht="12.75" hidden="false" customHeight="true" outlineLevel="0" collapsed="false">
      <c r="A17" s="38" t="s">
        <v>122</v>
      </c>
    </row>
    <row r="18" customFormat="false" ht="12.75" hidden="false" customHeight="true" outlineLevel="0" collapsed="false">
      <c r="A18" s="38" t="s">
        <v>123</v>
      </c>
    </row>
    <row r="19" customFormat="false" ht="81.75" hidden="false" customHeight="true" outlineLevel="0" collapsed="false">
      <c r="A19" s="38" t="s">
        <v>3302</v>
      </c>
    </row>
  </sheetData>
  <autoFilter ref="A5:M9"/>
  <conditionalFormatting sqref="J6:J9">
    <cfRule type="expression" priority="2" aboveAverage="0" equalAverage="0" bottom="0" percent="0" rank="0" text="" dxfId="6">
      <formula>AND($E6&lt;&gt;"",OR(ISERROR(ROUND(IF(OR(ISNUMBER(SEARCH("week",C6)),ISNUMBER(SEARCH("minggu",C6))),IFERROR(_xlfn.NUMBERVALUE(SUBSTITUTE(LEFT(TRIM(C6),FIND("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")-1),",","."))+1,9))*12,NA()))),0)&lt;1,1),IFERROR(ROUND(IF(OR(ISNUMBER(SEARCH("week",C6)),ISNUMBER(SEARCH("minggu",C6))),IFERROR(_xlfn.NUMBERVALUE(SUBSTITUTE(LEFT(TRIM(C6),FIND(" ",TRIM(C6)&amp;" ")-1),",","."),"."),LEFT(SUBSTITUTE(LEFT(TRIM(C6),FIND(" ",TRIM(C6)&amp;" ")-1),",","."),FIND("/",SUBSTITUTE(LEFT(TRIM(C6),FIND(" ",TRIM(C6)&amp;" ")-1),",","."))-1)/MID(SUBSTITUTE(LEFT(TRIM(C6),FIND(" ",TRIM(C6)&amp;" ")-1),",","."),FIND("/",SUBSTITUTE(LEFT(TRIM(C6),FIND(" ",TRIM(C6)&amp;" ")-1),",","."))+1,9))*12/52,IF(ISNUMBER(SEARCH("month",C6)),IFERROR(_xlfn.NUMBERVALUE(SUBSTITUTE(LEFT(TRIM(C6),FIND(" ",TRIM(C6)&amp;" ")-1),",","."),"."),LEFT(SUBSTITUTE(LEFT(TRIM(C6),FIND(" ",TRIM(C6)&amp;" ")-1),",","."),FIND("/",SUBSTITUTE(LEFT(TRIM(C6),FIND(" ",TRIM(C6)&amp;" ")-1),",","."))-1)/MID(SUBSTITUTE(LEFT(TRIM(C6),FIND(" ",TRIM(C6)&amp;" ")-1),",","."),FIND("/",SUBSTITUTE(LEFT(TRIM(C6),FIND(" ",TRIM(C6)&amp;" ")-1),",","."))+1,9)),IF(ISNUMBER(SEARCH("yea",C6)),IFERROR(_xlfn.NUMBERVALUE(SUBSTITUTE(LEFT(TRIM(C6),FIND(" ",TRIM(C6)&amp;" ")-1),",","."),"."),LEFT(SUBSTITUTE(LEFT(TRIM(C6),FIND(" ",TRIM(C6)&amp;" ")-1),",","."),FIND("/",SUBSTITUTE(LEFT(TRIM(C6),FIND(" ",TRIM(C6)&amp;" ")-1),",","."))-1)/MID(SUBSTITUTE(LEFT(TRIM(C6),FIND(" ",TRIM(C6)&amp;" ")-1),",","."),FIND("/",SUBSTITUTE(LEFT(TRIM(C6),FIND(" ",TRIM(C6)&amp;" ")-1),",","."))+1,9))*12,NA()))),0)&gt;96,1)))</formula>
    </cfRule>
  </conditionalFormatting>
  <printOptions headings="false" gridLines="false" gridLinesSet="true" horizontalCentered="true" verticalCentered="false"/>
  <pageMargins left="0.3" right="0.3" top="0.5" bottom="0.5" header="0.2" footer="0.2"/>
  <pageSetup paperSize="9" scale="100" fitToWidth="1" fitToHeight="0" pageOrder="downThenOver" orientation="landscape" blackAndWhite="false" draft="false" cellComments="none" horizontalDpi="300" verticalDpi="300" copies="1"/>
  <headerFooter differentFirst="false" differentOddEven="false">
    <oddHeader>&amp;R&amp;8 ONSHORE - GOSFORD</oddHeader>
    <oddFooter>&amp;L&amp;8 TEG Pricelist - harga bisa berubah sewaktu-waktu&amp;R&amp;8 Halaman &amp;P dari &amp;N</oddFooter>
  </headerFooter>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11"/>
    <col collapsed="false" customWidth="true" hidden="false" outlineLevel="0" max="3" min="3" style="1" width="34"/>
    <col collapsed="false" customWidth="true" hidden="false" outlineLevel="0" max="4" min="4" style="1" width="30"/>
    <col collapsed="false" customWidth="true" hidden="false" outlineLevel="0" max="6" min="5" style="1" width="12"/>
    <col collapsed="false" customWidth="true" hidden="false" outlineLevel="0" max="8" min="7" style="1" width="11"/>
    <col collapsed="false" customWidth="true" hidden="false" outlineLevel="0" max="9" min="9" style="1" width="30"/>
    <col collapsed="false" customWidth="true" hidden="false" outlineLevel="0" max="10" min="10" style="1" width="16"/>
    <col collapsed="false" customWidth="true" hidden="false" outlineLevel="0" max="11" min="11" style="1" width="12"/>
    <col collapsed="false" customWidth="true" hidden="false" outlineLevel="0" max="13" min="12" style="1" width="16"/>
    <col collapsed="false" customWidth="true" hidden="false" outlineLevel="0" max="14" min="14" style="1" width="70"/>
  </cols>
  <sheetData>
    <row r="1" customFormat="false" ht="17.25" hidden="false" customHeight="true" outlineLevel="0" collapsed="false">
      <c r="A1" s="53" t="s">
        <v>3517</v>
      </c>
      <c r="B1" s="53"/>
      <c r="C1" s="53"/>
      <c r="D1" s="53"/>
      <c r="E1" s="53"/>
      <c r="F1" s="53"/>
      <c r="G1" s="53"/>
      <c r="H1" s="53"/>
      <c r="I1" s="53"/>
    </row>
    <row r="2" customFormat="false" ht="15" hidden="false" customHeight="true" outlineLevel="0" collapsed="false">
      <c r="A2" s="54" t="s">
        <v>3518</v>
      </c>
      <c r="B2" s="54"/>
      <c r="C2" s="54"/>
      <c r="D2" s="54"/>
      <c r="E2" s="54"/>
      <c r="F2" s="54"/>
      <c r="G2" s="54"/>
      <c r="H2" s="54"/>
      <c r="I2" s="54"/>
    </row>
    <row r="4" customFormat="false" ht="36" hidden="false" customHeight="true" outlineLevel="0" collapsed="false">
      <c r="A4" s="27" t="s">
        <v>3519</v>
      </c>
      <c r="B4" s="27" t="s">
        <v>3520</v>
      </c>
      <c r="C4" s="27" t="s">
        <v>3521</v>
      </c>
      <c r="D4" s="27" t="s">
        <v>3522</v>
      </c>
      <c r="E4" s="27" t="s">
        <v>3523</v>
      </c>
      <c r="F4" s="27" t="s">
        <v>3524</v>
      </c>
      <c r="G4" s="27" t="s">
        <v>3525</v>
      </c>
      <c r="H4" s="27" t="s">
        <v>99</v>
      </c>
      <c r="I4" s="27" t="s">
        <v>3526</v>
      </c>
      <c r="J4" s="28" t="s">
        <v>3527</v>
      </c>
      <c r="K4" s="28" t="s">
        <v>3528</v>
      </c>
      <c r="L4" s="28" t="s">
        <v>3529</v>
      </c>
      <c r="M4" s="28" t="s">
        <v>3530</v>
      </c>
      <c r="N4" s="28" t="s">
        <v>3531</v>
      </c>
    </row>
    <row r="5" customFormat="false" ht="25.5" hidden="false" customHeight="true" outlineLevel="0" collapsed="false">
      <c r="A5" s="29" t="s">
        <v>3532</v>
      </c>
      <c r="B5" s="30" t="s">
        <v>3533</v>
      </c>
      <c r="C5" s="30" t="s">
        <v>3534</v>
      </c>
      <c r="D5" s="30" t="s">
        <v>3535</v>
      </c>
      <c r="E5" s="55"/>
      <c r="F5" s="32" t="n">
        <v>200</v>
      </c>
      <c r="G5" s="32" t="n">
        <v>20</v>
      </c>
      <c r="H5" s="32" t="n">
        <v>200</v>
      </c>
      <c r="I5" s="29"/>
      <c r="J5" s="3" t="n">
        <v>10</v>
      </c>
      <c r="K5" s="3"/>
      <c r="L5" s="56" t="n">
        <f aca="false">IF(N(E5)&gt;0,N(E5)*J5+N(G5)+IF(K5&lt;&gt;"",K5,N(H5)),IF(N(F5)&gt;0,N(F5)*J5+N(G5)+IF(K5&lt;&gt;"",K5,N(H5)),"Tuition offshore &amp; onshore tidak tercatat"))</f>
        <v>2220</v>
      </c>
      <c r="M5" s="56" t="n">
        <f aca="false">IF(N(F5)&gt;0,N(F5)*J5+N(G5)+N(H5),IF(N(E5)&gt;0,N(E5)*J5+N(G5)+N(H5),"Tuition offshore &amp; onshore tidak tercatat"))</f>
        <v>2220</v>
      </c>
      <c r="N5" s="3" t="s">
        <v>3536</v>
      </c>
    </row>
    <row r="6" customFormat="false" ht="37.5" hidden="false" customHeight="true" outlineLevel="0" collapsed="false">
      <c r="A6" s="29" t="s">
        <v>3537</v>
      </c>
      <c r="B6" s="30" t="s">
        <v>3538</v>
      </c>
      <c r="C6" s="30" t="s">
        <v>3539</v>
      </c>
      <c r="D6" s="30" t="s">
        <v>3540</v>
      </c>
      <c r="E6" s="32" t="n">
        <v>230</v>
      </c>
      <c r="F6" s="32" t="n">
        <v>200</v>
      </c>
      <c r="G6" s="32" t="n">
        <v>15</v>
      </c>
      <c r="H6" s="32" t="n">
        <v>200</v>
      </c>
      <c r="I6" s="30" t="s">
        <v>3541</v>
      </c>
      <c r="J6" s="3" t="n">
        <v>6</v>
      </c>
      <c r="K6" s="3" t="n">
        <v>300</v>
      </c>
      <c r="L6" s="56" t="n">
        <f aca="false">IF(N(E6)&gt;0,N(E6)*J6+N(G6)*J6+IF(K6&lt;&gt;"",K6,N(H6)),IF(N(F6)&gt;0,N(F6)*J6+N(G6)*J6+IF(K6&lt;&gt;"",K6,N(H6)),"Tuition offshore &amp; onshore tidak tercatat"))</f>
        <v>1770</v>
      </c>
      <c r="M6" s="56" t="n">
        <f aca="false">IF(N(F6)&gt;0,N(F6)*J6+N(G6)*J6+N(H6),IF(N(E6)&gt;0,N(E6)*J6+N(G6)*J6+N(H6),"Tuition offshore &amp; onshore tidak tercatat"))</f>
        <v>1490</v>
      </c>
      <c r="N6" s="3" t="s">
        <v>3542</v>
      </c>
    </row>
    <row r="7" customFormat="false" ht="25.5" hidden="false" customHeight="true" outlineLevel="0" collapsed="false">
      <c r="A7" s="29" t="s">
        <v>3543</v>
      </c>
      <c r="B7" s="30" t="s">
        <v>3544</v>
      </c>
      <c r="C7" s="30" t="s">
        <v>3545</v>
      </c>
      <c r="D7" s="30" t="s">
        <v>3546</v>
      </c>
      <c r="E7" s="32" t="n">
        <v>250</v>
      </c>
      <c r="F7" s="32" t="n">
        <v>200</v>
      </c>
      <c r="G7" s="32" t="n">
        <v>10</v>
      </c>
      <c r="H7" s="32" t="n">
        <v>200</v>
      </c>
      <c r="I7" s="29"/>
      <c r="J7" s="3" t="n">
        <v>10</v>
      </c>
      <c r="K7" s="3"/>
      <c r="L7" s="56" t="n">
        <f aca="false">IF(N(E7)&gt;0,N(E7)*J7+N(G7)*J7+IF(K7&lt;&gt;"",K7,N(H7)),IF(N(F7)&gt;0,N(F7)*J7+N(G7)*J7+IF(K7&lt;&gt;"",K7,N(H7)),"Tuition offshore &amp; onshore tidak tercatat"))</f>
        <v>2800</v>
      </c>
      <c r="M7" s="56" t="n">
        <f aca="false">IF(N(F7)&gt;0,N(F7)*J7+N(G7)*J7+N(H7),IF(N(E7)&gt;0,N(E7)*J7+N(G7)*J7+N(H7),"Tuition offshore &amp; onshore tidak tercatat"))</f>
        <v>2300</v>
      </c>
      <c r="N7" s="3" t="s">
        <v>3547</v>
      </c>
    </row>
    <row r="8" customFormat="false" ht="48.75" hidden="false" customHeight="true" outlineLevel="0" collapsed="false">
      <c r="A8" s="39" t="s">
        <v>3548</v>
      </c>
      <c r="B8" s="40" t="s">
        <v>3549</v>
      </c>
      <c r="C8" s="40" t="s">
        <v>3550</v>
      </c>
      <c r="D8" s="40" t="s">
        <v>3551</v>
      </c>
      <c r="E8" s="42" t="n">
        <v>190</v>
      </c>
      <c r="F8" s="42" t="n">
        <v>190</v>
      </c>
      <c r="G8" s="42" t="n">
        <v>10</v>
      </c>
      <c r="H8" s="42" t="n">
        <v>250</v>
      </c>
      <c r="I8" s="39"/>
      <c r="J8" s="3" t="n">
        <v>12</v>
      </c>
      <c r="K8" s="3"/>
      <c r="L8" s="56" t="n">
        <f aca="false">IF(N(E8)&gt;0,N(E8)*J8+N(G8)*J8+IF(K8&lt;&gt;"",K8,N(H8)),IF(N(F8)&gt;0,N(F8)*J8+N(G8)*J8+IF(K8&lt;&gt;"",K8,N(H8)),"Tuition offshore &amp; onshore tidak tercatat"))</f>
        <v>2650</v>
      </c>
      <c r="M8" s="56" t="n">
        <f aca="false">IF(N(F8)&gt;0,N(F8)*J8+N(G8)*J8+N(H8),IF(N(E8)&gt;0,N(E8)*J8+N(G8)*J8+N(H8),"Tuition offshore &amp; onshore tidak tercatat"))</f>
        <v>2650</v>
      </c>
      <c r="N8" s="3" t="s">
        <v>3552</v>
      </c>
    </row>
    <row r="9" customFormat="false" ht="37.5" hidden="false" customHeight="true" outlineLevel="0" collapsed="false">
      <c r="A9" s="39" t="s">
        <v>3553</v>
      </c>
      <c r="B9" s="40" t="s">
        <v>3554</v>
      </c>
      <c r="C9" s="40" t="s">
        <v>3555</v>
      </c>
      <c r="D9" s="40" t="s">
        <v>3556</v>
      </c>
      <c r="E9" s="42" t="n">
        <v>205</v>
      </c>
      <c r="F9" s="42" t="n">
        <v>190</v>
      </c>
      <c r="G9" s="42" t="n">
        <v>10</v>
      </c>
      <c r="H9" s="42" t="n">
        <v>250</v>
      </c>
      <c r="I9" s="40" t="s">
        <v>3557</v>
      </c>
      <c r="J9" s="3" t="n">
        <v>16</v>
      </c>
      <c r="K9" s="3"/>
      <c r="L9" s="56" t="n">
        <f aca="false">IF(N(E9)&gt;0,N(E9)*J9+N(G9)*J9+IF(K9&lt;&gt;"",K9,N(H9)),IF(N(F9)&gt;0,N(F9)*J9+N(G9)*J9+IF(K9&lt;&gt;"",K9,N(H9)),"Tuition offshore &amp; onshore tidak tercatat"))</f>
        <v>3690</v>
      </c>
      <c r="M9" s="56" t="n">
        <f aca="false">IF(N(F9)&gt;0,N(F9)*J9+N(G9)*J9+N(H9),IF(N(E9)&gt;0,N(E9)*J9+N(G9)*J9+N(H9),"Tuition offshore &amp; onshore tidak tercatat"))</f>
        <v>3450</v>
      </c>
      <c r="N9" s="3" t="s">
        <v>3558</v>
      </c>
    </row>
    <row r="10" customFormat="false" ht="48.75" hidden="false" customHeight="true" outlineLevel="0" collapsed="false">
      <c r="A10" s="29" t="s">
        <v>3553</v>
      </c>
      <c r="B10" s="30" t="s">
        <v>3559</v>
      </c>
      <c r="C10" s="30" t="s">
        <v>3560</v>
      </c>
      <c r="D10" s="30" t="s">
        <v>3546</v>
      </c>
      <c r="E10" s="32" t="n">
        <v>300</v>
      </c>
      <c r="F10" s="32" t="n">
        <v>220</v>
      </c>
      <c r="G10" s="32" t="n">
        <v>80</v>
      </c>
      <c r="H10" s="32" t="n">
        <v>200</v>
      </c>
      <c r="I10" s="30" t="s">
        <v>3561</v>
      </c>
      <c r="J10" s="3" t="n">
        <v>10</v>
      </c>
      <c r="K10" s="3"/>
      <c r="L10" s="56" t="n">
        <f aca="false">IF(N(E10)&gt;0,N(E10)*J10+N(G10)*J10+IF(K10&lt;&gt;"",K10,N(H10)),IF(N(F10)&gt;0,N(F10)*J10+N(G10)*J10+IF(K10&lt;&gt;"",K10,N(H10)),"Tuition offshore &amp; onshore tidak tercatat"))</f>
        <v>4000</v>
      </c>
      <c r="M10" s="56" t="n">
        <f aca="false">IF(N(F10)&gt;0,N(F10)*J10+N(G10)*J10+N(H10),IF(N(E10)&gt;0,N(E10)*J10+N(G10)*J10+N(H10),"Tuition offshore &amp; onshore tidak tercatat"))</f>
        <v>3200</v>
      </c>
      <c r="N10" s="3" t="s">
        <v>3547</v>
      </c>
    </row>
    <row r="11" customFormat="false" ht="25.5" hidden="false" customHeight="true" outlineLevel="0" collapsed="false">
      <c r="A11" s="39" t="s">
        <v>3562</v>
      </c>
      <c r="B11" s="40" t="s">
        <v>3563</v>
      </c>
      <c r="C11" s="40" t="s">
        <v>3564</v>
      </c>
      <c r="D11" s="40" t="s">
        <v>3546</v>
      </c>
      <c r="E11" s="42" t="n">
        <v>250</v>
      </c>
      <c r="F11" s="42" t="n">
        <v>0</v>
      </c>
      <c r="G11" s="42" t="n">
        <v>20</v>
      </c>
      <c r="H11" s="42" t="n">
        <v>100</v>
      </c>
      <c r="I11" s="39"/>
      <c r="J11" s="3" t="n">
        <v>10</v>
      </c>
      <c r="K11" s="3"/>
      <c r="L11" s="56" t="n">
        <f aca="false">IF(N(E11)&gt;0,N(E11)*J11+N(G11)*J11+IF(K11&lt;&gt;"",K11,N(H11)),IF(N(F11)&gt;0,N(F11)*J11+N(G11)*J11+IF(K11&lt;&gt;"",K11,N(H11)),"Tuition offshore &amp; onshore tidak tercatat"))</f>
        <v>2800</v>
      </c>
      <c r="M11" s="56" t="n">
        <f aca="false">IF(N(F11)&gt;0,N(F11)*J11+N(G11)*J11+N(H11),IF(N(E11)&gt;0,N(E11)*J11+N(G11)*J11+N(H11),"Tuition offshore &amp; onshore tidak tercatat"))</f>
        <v>2800</v>
      </c>
      <c r="N11" s="3" t="s">
        <v>3565</v>
      </c>
    </row>
    <row r="12" customFormat="false" ht="48.75" hidden="false" customHeight="true" outlineLevel="0" collapsed="false">
      <c r="A12" s="39" t="s">
        <v>3566</v>
      </c>
      <c r="B12" s="40" t="s">
        <v>3544</v>
      </c>
      <c r="C12" s="40" t="s">
        <v>3567</v>
      </c>
      <c r="D12" s="40" t="s">
        <v>3546</v>
      </c>
      <c r="E12" s="42" t="n">
        <v>220</v>
      </c>
      <c r="F12" s="42" t="n">
        <v>199</v>
      </c>
      <c r="G12" s="42" t="n">
        <v>10</v>
      </c>
      <c r="H12" s="42" t="n">
        <v>200</v>
      </c>
      <c r="I12" s="40" t="s">
        <v>3568</v>
      </c>
      <c r="J12" s="3" t="n">
        <v>10</v>
      </c>
      <c r="K12" s="3"/>
      <c r="L12" s="56" t="n">
        <f aca="false">IF(N(E12)&gt;0,N(E12)*J12+N(G12)*J12+IF(K12&lt;&gt;"",K12,N(H12)),IF(N(F12)&gt;0,N(F12)*J12+N(G12)*J12+IF(K12&lt;&gt;"",K12,N(H12)),"Tuition offshore &amp; onshore tidak tercatat"))</f>
        <v>2500</v>
      </c>
      <c r="M12" s="56" t="n">
        <f aca="false">IF(N(F12)&gt;0,N(F12)*J12+N(G12)*J12+N(H12),IF(N(E12)&gt;0,N(E12)*J12+N(G12)*J12+N(H12),"Tuition offshore &amp; onshore tidak tercatat"))</f>
        <v>2290</v>
      </c>
      <c r="N12" s="3" t="s">
        <v>3547</v>
      </c>
    </row>
    <row r="13" customFormat="false" ht="25.5" hidden="false" customHeight="true" outlineLevel="0" collapsed="false">
      <c r="A13" s="39" t="s">
        <v>3569</v>
      </c>
      <c r="B13" s="40" t="s">
        <v>3544</v>
      </c>
      <c r="C13" s="40" t="s">
        <v>3570</v>
      </c>
      <c r="D13" s="40" t="s">
        <v>3571</v>
      </c>
      <c r="E13" s="42" t="n">
        <v>220</v>
      </c>
      <c r="F13" s="42" t="n">
        <v>200</v>
      </c>
      <c r="G13" s="42" t="n">
        <v>10</v>
      </c>
      <c r="H13" s="42" t="n">
        <v>250</v>
      </c>
      <c r="I13" s="39"/>
      <c r="J13" s="3" t="n">
        <v>10</v>
      </c>
      <c r="K13" s="3"/>
      <c r="L13" s="56" t="n">
        <f aca="false">IF(N(E13)&gt;0,N(E13)*J13+N(G13)*J13+IF(K13&lt;&gt;"",K13,N(H13)),IF(N(F13)&gt;0,N(F13)*J13+N(G13)*J13+IF(K13&lt;&gt;"",K13,N(H13)),"Tuition offshore &amp; onshore tidak tercatat"))</f>
        <v>2550</v>
      </c>
      <c r="M13" s="56" t="n">
        <f aca="false">IF(N(F13)&gt;0,N(F13)*J13+N(G13)*J13+N(H13),IF(N(E13)&gt;0,N(E13)*J13+N(G13)*J13+N(H13),"Tuition offshore &amp; onshore tidak tercatat"))</f>
        <v>2350</v>
      </c>
      <c r="N13" s="3" t="s">
        <v>3572</v>
      </c>
    </row>
    <row r="14" customFormat="false" ht="25.5" hidden="false" customHeight="true" outlineLevel="0" collapsed="false">
      <c r="A14" s="29" t="s">
        <v>3569</v>
      </c>
      <c r="B14" s="30" t="s">
        <v>3573</v>
      </c>
      <c r="C14" s="30" t="s">
        <v>3574</v>
      </c>
      <c r="D14" s="30" t="s">
        <v>3571</v>
      </c>
      <c r="E14" s="32" t="n">
        <v>300</v>
      </c>
      <c r="F14" s="32" t="n">
        <v>300</v>
      </c>
      <c r="G14" s="32" t="n">
        <v>35</v>
      </c>
      <c r="H14" s="32" t="n">
        <v>250</v>
      </c>
      <c r="I14" s="30" t="s">
        <v>3575</v>
      </c>
      <c r="J14" s="3" t="n">
        <v>10</v>
      </c>
      <c r="K14" s="3" t="n">
        <v>350</v>
      </c>
      <c r="L14" s="56" t="n">
        <f aca="false">IF(N(E14)&gt;0,N(E14)*J14+N(G14)*J14+IF(K14&lt;&gt;"",K14,N(H14)),IF(N(F14)&gt;0,N(F14)*J14+N(G14)*J14+IF(K14&lt;&gt;"",K14,N(H14)),"Tuition offshore &amp; onshore tidak tercatat"))</f>
        <v>3700</v>
      </c>
      <c r="M14" s="56" t="n">
        <f aca="false">IF(N(F14)&gt;0,N(F14)*J14+N(G14)*J14+N(H14),IF(N(E14)&gt;0,N(E14)*J14+N(G14)*J14+N(H14),"Tuition offshore &amp; onshore tidak tercatat"))</f>
        <v>3600</v>
      </c>
      <c r="N14" s="3" t="s">
        <v>3576</v>
      </c>
    </row>
    <row r="15" customFormat="false" ht="25.5" hidden="false" customHeight="true" outlineLevel="0" collapsed="false">
      <c r="A15" s="39" t="s">
        <v>3577</v>
      </c>
      <c r="B15" s="40" t="s">
        <v>3563</v>
      </c>
      <c r="C15" s="40" t="s">
        <v>3578</v>
      </c>
      <c r="D15" s="40" t="s">
        <v>3579</v>
      </c>
      <c r="E15" s="42" t="n">
        <v>230</v>
      </c>
      <c r="F15" s="42" t="n">
        <v>230</v>
      </c>
      <c r="G15" s="42" t="n">
        <v>15</v>
      </c>
      <c r="H15" s="42" t="n">
        <v>250</v>
      </c>
      <c r="I15" s="40" t="s">
        <v>3580</v>
      </c>
      <c r="J15" s="3" t="n">
        <v>5</v>
      </c>
      <c r="K15" s="3"/>
      <c r="L15" s="56" t="n">
        <f aca="false">IF(N(E15)&gt;0,N(E15)*J15+N(G15)*J15+IF(K15&lt;&gt;"",K15,N(H15)),IF(N(F15)&gt;0,N(F15)*J15+N(G15)*J15+IF(K15&lt;&gt;"",K15,N(H15)),"Tuition offshore &amp; onshore tidak tercatat"))</f>
        <v>1475</v>
      </c>
      <c r="M15" s="56" t="n">
        <f aca="false">IF(N(F15)&gt;0,N(F15)*J15+N(G15)*J15+N(H15),IF(N(E15)&gt;0,N(E15)*J15+N(G15)*J15+N(H15),"Tuition offshore &amp; onshore tidak tercatat"))</f>
        <v>1475</v>
      </c>
      <c r="N15" s="3" t="s">
        <v>3581</v>
      </c>
    </row>
    <row r="16" customFormat="false" ht="48.75" hidden="false" customHeight="true" outlineLevel="0" collapsed="false">
      <c r="A16" s="39" t="s">
        <v>3582</v>
      </c>
      <c r="B16" s="40" t="s">
        <v>3583</v>
      </c>
      <c r="C16" s="40" t="s">
        <v>3584</v>
      </c>
      <c r="D16" s="40" t="s">
        <v>3546</v>
      </c>
      <c r="E16" s="42" t="n">
        <v>375</v>
      </c>
      <c r="F16" s="42" t="n">
        <v>375</v>
      </c>
      <c r="G16" s="57"/>
      <c r="H16" s="57"/>
      <c r="I16" s="39"/>
      <c r="J16" s="3" t="n">
        <v>10</v>
      </c>
      <c r="K16" s="3"/>
      <c r="L16" s="56" t="n">
        <f aca="false">IF(N(E16)&gt;0,N(E16)*J16+N(G16)*J16+IF(K16&lt;&gt;"",K16,N(H16)),IF(N(F16)&gt;0,N(F16)*J16+N(G16)*J16+IF(K16&lt;&gt;"",K16,N(H16)),"Tuition offshore &amp; onshore tidak tercatat"))</f>
        <v>3750</v>
      </c>
      <c r="M16" s="56" t="n">
        <f aca="false">IF(N(F16)&gt;0,N(F16)*J16+N(G16)*J16+N(H16),IF(N(E16)&gt;0,N(E16)*J16+N(G16)*J16+N(H16),"Tuition offshore &amp; onshore tidak tercatat"))</f>
        <v>3750</v>
      </c>
      <c r="N16" s="3" t="s">
        <v>3585</v>
      </c>
    </row>
    <row r="17" customFormat="false" ht="25.5" hidden="false" customHeight="true" outlineLevel="0" collapsed="false">
      <c r="A17" s="29" t="s">
        <v>3586</v>
      </c>
      <c r="B17" s="30" t="s">
        <v>3533</v>
      </c>
      <c r="C17" s="30" t="s">
        <v>3587</v>
      </c>
      <c r="D17" s="30" t="s">
        <v>3588</v>
      </c>
      <c r="E17" s="32" t="n">
        <v>210</v>
      </c>
      <c r="F17" s="32" t="n">
        <v>210</v>
      </c>
      <c r="G17" s="32" t="n">
        <v>120</v>
      </c>
      <c r="H17" s="32" t="n">
        <v>250</v>
      </c>
      <c r="I17" s="29"/>
      <c r="J17" s="3" t="n">
        <v>10</v>
      </c>
      <c r="K17" s="3"/>
      <c r="L17" s="56" t="n">
        <f aca="false">IF(N(E17)&gt;0,N(E17)*J17+N(G17)+IF(K17&lt;&gt;"",K17,N(H17)),IF(N(F17)&gt;0,N(F17)*J17+N(G17)+IF(K17&lt;&gt;"",K17,N(H17)),"Tuition offshore &amp; onshore tidak tercatat"))</f>
        <v>2470</v>
      </c>
      <c r="M17" s="56" t="n">
        <f aca="false">IF(N(F17)&gt;0,N(F17)*J17+N(G17)+N(H17),IF(N(E17)&gt;0,N(E17)*J17+N(G17)+N(H17),"Tuition offshore &amp; onshore tidak tercatat"))</f>
        <v>2470</v>
      </c>
      <c r="N17" s="3" t="s">
        <v>3589</v>
      </c>
    </row>
    <row r="18" customFormat="false" ht="106.5" hidden="false" customHeight="true" outlineLevel="0" collapsed="false">
      <c r="A18" s="29" t="s">
        <v>3590</v>
      </c>
      <c r="B18" s="30" t="s">
        <v>3591</v>
      </c>
      <c r="C18" s="30" t="s">
        <v>3592</v>
      </c>
      <c r="D18" s="29"/>
      <c r="E18" s="32" t="n">
        <v>210</v>
      </c>
      <c r="F18" s="32" t="n">
        <v>210</v>
      </c>
      <c r="G18" s="55"/>
      <c r="H18" s="32" t="n">
        <v>350</v>
      </c>
      <c r="I18" s="29"/>
      <c r="J18" s="3" t="n">
        <v>10</v>
      </c>
      <c r="K18" s="3"/>
      <c r="L18" s="56" t="n">
        <f aca="false">IF(N(E18)&gt;0,N(E18)*J18+N(G18)*J18+IF(K18&lt;&gt;"",K18,N(H18)),IF(N(F18)&gt;0,N(F18)*J18+N(G18)*J18+IF(K18&lt;&gt;"",K18,N(H18)),"Tuition offshore &amp; onshore tidak tercatat"))</f>
        <v>2450</v>
      </c>
      <c r="M18" s="56" t="n">
        <f aca="false">IF(N(F18)&gt;0,N(F18)*J18+N(G18)*J18+N(H18),IF(N(E18)&gt;0,N(E18)*J18+N(G18)*J18+N(H18),"Tuition offshore &amp; onshore tidak tercatat"))</f>
        <v>2450</v>
      </c>
      <c r="N18" s="3" t="s">
        <v>3593</v>
      </c>
    </row>
    <row r="19" customFormat="false" ht="25.5" hidden="false" customHeight="true" outlineLevel="0" collapsed="false">
      <c r="A19" s="29" t="s">
        <v>3594</v>
      </c>
      <c r="B19" s="30" t="s">
        <v>3544</v>
      </c>
      <c r="C19" s="30" t="s">
        <v>3595</v>
      </c>
      <c r="D19" s="30" t="s">
        <v>3596</v>
      </c>
      <c r="E19" s="32" t="n">
        <v>200</v>
      </c>
      <c r="F19" s="32" t="n">
        <v>158.33</v>
      </c>
      <c r="G19" s="32" t="n">
        <v>400</v>
      </c>
      <c r="H19" s="32" t="n">
        <v>200</v>
      </c>
      <c r="I19" s="29"/>
      <c r="J19" s="3" t="n">
        <v>24</v>
      </c>
      <c r="K19" s="3"/>
      <c r="L19" s="56" t="n">
        <f aca="false">IF(N(E19)&gt;0,N(E19)*J19+N(G19)+IF(K19&lt;&gt;"",K19,N(H19)),IF(N(F19)&gt;0,N(F19)*J19+N(G19)+IF(K19&lt;&gt;"",K19,N(H19)),"Tuition offshore &amp; onshore tidak tercatat"))</f>
        <v>5400</v>
      </c>
      <c r="M19" s="56" t="n">
        <f aca="false">IF(N(F19)&gt;0,N(F19)*J19+N(G19)+N(H19),IF(N(E19)&gt;0,N(E19)*J19+N(G19)+N(H19),"Tuition offshore &amp; onshore tidak tercatat"))</f>
        <v>4399.92</v>
      </c>
      <c r="N19" s="3" t="s">
        <v>3597</v>
      </c>
    </row>
    <row r="20" customFormat="false" ht="94.5" hidden="false" customHeight="true" outlineLevel="0" collapsed="false">
      <c r="A20" s="29" t="s">
        <v>3598</v>
      </c>
      <c r="B20" s="30" t="s">
        <v>3599</v>
      </c>
      <c r="C20" s="30" t="s">
        <v>3600</v>
      </c>
      <c r="D20" s="30" t="s">
        <v>3546</v>
      </c>
      <c r="E20" s="32" t="n">
        <v>200</v>
      </c>
      <c r="F20" s="32" t="n">
        <v>180</v>
      </c>
      <c r="G20" s="32" t="n">
        <v>10</v>
      </c>
      <c r="H20" s="32" t="n">
        <v>250</v>
      </c>
      <c r="I20" s="29"/>
      <c r="J20" s="3" t="n">
        <v>10</v>
      </c>
      <c r="K20" s="3"/>
      <c r="L20" s="56" t="n">
        <f aca="false">IF(N(E20)&gt;0,N(E20)*J20+N(G20)*J20+IF(K20&lt;&gt;"",K20,N(H20)),IF(N(F20)&gt;0,N(F20)*J20+N(G20)*J20+IF(K20&lt;&gt;"",K20,N(H20)),"Tuition offshore &amp; onshore tidak tercatat"))</f>
        <v>2350</v>
      </c>
      <c r="M20" s="56" t="n">
        <f aca="false">IF(N(F20)&gt;0,N(F20)*J20+N(G20)*J20+N(H20),IF(N(E20)&gt;0,N(E20)*J20+N(G20)*J20+N(H20),"Tuition offshore &amp; onshore tidak tercatat"))</f>
        <v>2150</v>
      </c>
      <c r="N20" s="3" t="s">
        <v>3547</v>
      </c>
    </row>
    <row r="21" customFormat="false" ht="25.5" hidden="false" customHeight="true" outlineLevel="0" collapsed="false">
      <c r="A21" s="29" t="s">
        <v>3601</v>
      </c>
      <c r="B21" s="30" t="s">
        <v>3533</v>
      </c>
      <c r="C21" s="30" t="s">
        <v>3602</v>
      </c>
      <c r="D21" s="30" t="s">
        <v>3603</v>
      </c>
      <c r="E21" s="32" t="n">
        <v>200</v>
      </c>
      <c r="F21" s="32" t="n">
        <v>200</v>
      </c>
      <c r="G21" s="32" t="n">
        <v>99</v>
      </c>
      <c r="H21" s="32" t="n">
        <v>250</v>
      </c>
      <c r="I21" s="30" t="s">
        <v>3604</v>
      </c>
      <c r="J21" s="3" t="n">
        <v>10</v>
      </c>
      <c r="K21" s="3"/>
      <c r="L21" s="56" t="n">
        <f aca="false">IF(N(E21)&gt;0,N(E21)*J21+N(G21)+IF(K21&lt;&gt;"",K21,N(H21)),IF(N(F21)&gt;0,N(F21)*J21+N(G21)+IF(K21&lt;&gt;"",K21,N(H21)),"Tuition offshore &amp; onshore tidak tercatat"))</f>
        <v>2349</v>
      </c>
      <c r="M21" s="56" t="n">
        <f aca="false">IF(N(F21)&gt;0,N(F21)*J21+N(G21)+N(H21),IF(N(E21)&gt;0,N(E21)*J21+N(G21)+N(H21),"Tuition offshore &amp; onshore tidak tercatat"))</f>
        <v>2349</v>
      </c>
      <c r="N21" s="3" t="s">
        <v>3605</v>
      </c>
    </row>
    <row r="22" customFormat="false" ht="25.5" hidden="false" customHeight="true" outlineLevel="0" collapsed="false">
      <c r="A22" s="39" t="s">
        <v>3606</v>
      </c>
      <c r="B22" s="40" t="s">
        <v>3544</v>
      </c>
      <c r="C22" s="40" t="s">
        <v>3607</v>
      </c>
      <c r="D22" s="40" t="s">
        <v>3546</v>
      </c>
      <c r="E22" s="42" t="n">
        <v>190</v>
      </c>
      <c r="F22" s="42" t="n">
        <v>190</v>
      </c>
      <c r="G22" s="42" t="n">
        <v>10</v>
      </c>
      <c r="H22" s="42" t="n">
        <v>250</v>
      </c>
      <c r="I22" s="39"/>
      <c r="J22" s="3" t="n">
        <v>10</v>
      </c>
      <c r="K22" s="3"/>
      <c r="L22" s="56" t="n">
        <f aca="false">IF(N(E22)&gt;0,N(E22)*J22+N(G22)*J22+IF(K22&lt;&gt;"",K22,N(H22)),IF(N(F22)&gt;0,N(F22)*J22+N(G22)*J22+IF(K22&lt;&gt;"",K22,N(H22)),"Tuition offshore &amp; onshore tidak tercatat"))</f>
        <v>2250</v>
      </c>
      <c r="M22" s="56" t="n">
        <f aca="false">IF(N(F22)&gt;0,N(F22)*J22+N(G22)*J22+N(H22),IF(N(E22)&gt;0,N(E22)*J22+N(G22)*J22+N(H22),"Tuition offshore &amp; onshore tidak tercatat"))</f>
        <v>2250</v>
      </c>
      <c r="N22" s="3" t="s">
        <v>3547</v>
      </c>
    </row>
    <row r="23" customFormat="false" ht="25.5" hidden="false" customHeight="true" outlineLevel="0" collapsed="false">
      <c r="A23" s="39" t="s">
        <v>3608</v>
      </c>
      <c r="B23" s="40" t="s">
        <v>3533</v>
      </c>
      <c r="C23" s="40" t="s">
        <v>3609</v>
      </c>
      <c r="D23" s="39"/>
      <c r="E23" s="42" t="n">
        <v>260</v>
      </c>
      <c r="F23" s="42" t="n">
        <v>220</v>
      </c>
      <c r="G23" s="42" t="n">
        <v>15</v>
      </c>
      <c r="H23" s="42" t="n">
        <v>500</v>
      </c>
      <c r="I23" s="39"/>
      <c r="J23" s="3" t="n">
        <v>10</v>
      </c>
      <c r="K23" s="3"/>
      <c r="L23" s="56" t="n">
        <f aca="false">IF(N(E23)&gt;0,N(E23)*J23+N(G23)*J23+IF(K23&lt;&gt;"",K23,N(H23)),IF(N(F23)&gt;0,N(F23)*J23+N(G23)*J23+IF(K23&lt;&gt;"",K23,N(H23)),"Tuition offshore &amp; onshore tidak tercatat"))</f>
        <v>3250</v>
      </c>
      <c r="M23" s="56" t="n">
        <f aca="false">IF(N(F23)&gt;0,N(F23)*J23+N(G23)*J23+N(H23),IF(N(E23)&gt;0,N(E23)*J23+N(G23)*J23+N(H23),"Tuition offshore &amp; onshore tidak tercatat"))</f>
        <v>2850</v>
      </c>
      <c r="N23" s="3" t="s">
        <v>3572</v>
      </c>
    </row>
    <row r="24" customFormat="false" ht="37.5" hidden="false" customHeight="true" outlineLevel="0" collapsed="false">
      <c r="A24" s="29" t="s">
        <v>3610</v>
      </c>
      <c r="B24" s="30" t="s">
        <v>3573</v>
      </c>
      <c r="C24" s="30" t="s">
        <v>3611</v>
      </c>
      <c r="D24" s="30" t="s">
        <v>3612</v>
      </c>
      <c r="E24" s="32" t="n">
        <v>260</v>
      </c>
      <c r="F24" s="32" t="n">
        <v>260</v>
      </c>
      <c r="G24" s="32" t="n">
        <v>25</v>
      </c>
      <c r="H24" s="32" t="n">
        <v>0</v>
      </c>
      <c r="I24" s="29"/>
      <c r="J24" s="3" t="n">
        <v>12</v>
      </c>
      <c r="K24" s="3"/>
      <c r="L24" s="56" t="n">
        <f aca="false">IF(N(E24)&gt;0,N(E24)*J24+N(G24)+IF(K24&lt;&gt;"",K24,N(H24)),IF(N(F24)&gt;0,N(F24)*J24+N(G24)+IF(K24&lt;&gt;"",K24,N(H24)),"Tuition offshore &amp; onshore tidak tercatat"))</f>
        <v>3145</v>
      </c>
      <c r="M24" s="56" t="n">
        <f aca="false">IF(N(F24)&gt;0,N(F24)*J24+N(G24)+N(H24),IF(N(E24)&gt;0,N(E24)*J24+N(G24)+N(H24),"Tuition offshore &amp; onshore tidak tercatat"))</f>
        <v>3145</v>
      </c>
      <c r="N24" s="3" t="s">
        <v>3613</v>
      </c>
    </row>
    <row r="25" customFormat="false" ht="37.5" hidden="false" customHeight="true" outlineLevel="0" collapsed="false">
      <c r="A25" s="39" t="s">
        <v>3614</v>
      </c>
      <c r="B25" s="40" t="s">
        <v>3615</v>
      </c>
      <c r="C25" s="40" t="s">
        <v>3616</v>
      </c>
      <c r="D25" s="39"/>
      <c r="E25" s="42" t="n">
        <v>270</v>
      </c>
      <c r="F25" s="42" t="n">
        <v>270</v>
      </c>
      <c r="G25" s="42" t="n">
        <v>15</v>
      </c>
      <c r="H25" s="42" t="n">
        <v>250</v>
      </c>
      <c r="I25" s="39"/>
      <c r="J25" s="3" t="n">
        <v>10</v>
      </c>
      <c r="K25" s="3"/>
      <c r="L25" s="56" t="n">
        <f aca="false">IF(N(E25)&gt;0,N(E25)*J25+N(G25)*J25+IF(K25&lt;&gt;"",K25,N(H25)),IF(N(F25)&gt;0,N(F25)*J25+N(G25)*J25+IF(K25&lt;&gt;"",K25,N(H25)),"Tuition offshore &amp; onshore tidak tercatat"))</f>
        <v>3100</v>
      </c>
      <c r="M25" s="56" t="n">
        <f aca="false">IF(N(F25)&gt;0,N(F25)*J25+N(G25)*J25+N(H25),IF(N(E25)&gt;0,N(E25)*J25+N(G25)*J25+N(H25),"Tuition offshore &amp; onshore tidak tercatat"))</f>
        <v>3100</v>
      </c>
      <c r="N25" s="3" t="s">
        <v>3572</v>
      </c>
    </row>
    <row r="26" customFormat="false" ht="25.5" hidden="false" customHeight="true" outlineLevel="0" collapsed="false">
      <c r="A26" s="39"/>
      <c r="B26" s="40" t="s">
        <v>3617</v>
      </c>
      <c r="C26" s="39"/>
      <c r="D26" s="39"/>
      <c r="E26" s="42" t="n">
        <v>240</v>
      </c>
      <c r="F26" s="42" t="n">
        <v>240</v>
      </c>
      <c r="G26" s="42" t="n">
        <v>15</v>
      </c>
      <c r="H26" s="42" t="n">
        <v>250</v>
      </c>
      <c r="I26" s="39"/>
      <c r="J26" s="3" t="n">
        <v>10</v>
      </c>
      <c r="K26" s="3"/>
      <c r="L26" s="56" t="n">
        <f aca="false">IF(N(E26)&gt;0,N(E26)*J26+N(G26)*J26+IF(K26&lt;&gt;"",K26,N(H26)),IF(N(F26)&gt;0,N(F26)*J26+N(G26)*J26+IF(K26&lt;&gt;"",K26,N(H26)),"Tuition offshore &amp; onshore tidak tercatat"))</f>
        <v>2800</v>
      </c>
      <c r="M26" s="56" t="n">
        <f aca="false">IF(N(F26)&gt;0,N(F26)*J26+N(G26)*J26+N(H26),IF(N(E26)&gt;0,N(E26)*J26+N(G26)*J26+N(H26),"Tuition offshore &amp; onshore tidak tercatat"))</f>
        <v>2800</v>
      </c>
      <c r="N26" s="3" t="s">
        <v>3572</v>
      </c>
    </row>
    <row r="27" customFormat="false" ht="25.5" hidden="false" customHeight="true" outlineLevel="0" collapsed="false">
      <c r="A27" s="29" t="s">
        <v>3618</v>
      </c>
      <c r="B27" s="30" t="s">
        <v>3533</v>
      </c>
      <c r="C27" s="30" t="s">
        <v>3619</v>
      </c>
      <c r="D27" s="30" t="s">
        <v>3579</v>
      </c>
      <c r="E27" s="32" t="n">
        <v>250</v>
      </c>
      <c r="F27" s="32" t="n">
        <v>220</v>
      </c>
      <c r="G27" s="32" t="n">
        <v>5</v>
      </c>
      <c r="H27" s="32" t="n">
        <v>200</v>
      </c>
      <c r="I27" s="29"/>
      <c r="J27" s="3" t="n">
        <v>5</v>
      </c>
      <c r="K27" s="3"/>
      <c r="L27" s="56" t="n">
        <f aca="false">IF(N(E27)&gt;0,N(E27)*J27+N(G27)*J27+IF(K27&lt;&gt;"",K27,N(H27)),IF(N(F27)&gt;0,N(F27)*J27+N(G27)*J27+IF(K27&lt;&gt;"",K27,N(H27)),"Tuition offshore &amp; onshore tidak tercatat"))</f>
        <v>1475</v>
      </c>
      <c r="M27" s="56" t="n">
        <f aca="false">IF(N(F27)&gt;0,N(F27)*J27+N(G27)*J27+N(H27),IF(N(E27)&gt;0,N(E27)*J27+N(G27)*J27+N(H27),"Tuition offshore &amp; onshore tidak tercatat"))</f>
        <v>1325</v>
      </c>
      <c r="N27" s="3" t="s">
        <v>3581</v>
      </c>
    </row>
    <row r="28" customFormat="false" ht="14.25" hidden="false" customHeight="true" outlineLevel="0" collapsed="false">
      <c r="A28" s="39" t="s">
        <v>3620</v>
      </c>
      <c r="B28" s="40" t="s">
        <v>3533</v>
      </c>
      <c r="C28" s="40" t="s">
        <v>3621</v>
      </c>
      <c r="D28" s="40" t="s">
        <v>3546</v>
      </c>
      <c r="E28" s="42" t="n">
        <v>350</v>
      </c>
      <c r="F28" s="42" t="n">
        <v>350</v>
      </c>
      <c r="G28" s="42" t="n">
        <v>10</v>
      </c>
      <c r="H28" s="42" t="n">
        <v>250</v>
      </c>
      <c r="I28" s="39"/>
      <c r="J28" s="3" t="n">
        <v>10</v>
      </c>
      <c r="K28" s="3"/>
      <c r="L28" s="56" t="n">
        <f aca="false">IF(N(E28)&gt;0,N(E28)*J28+N(G28)*J28+IF(K28&lt;&gt;"",K28,N(H28)),IF(N(F28)&gt;0,N(F28)*J28+N(G28)*J28+IF(K28&lt;&gt;"",K28,N(H28)),"Tuition offshore &amp; onshore tidak tercatat"))</f>
        <v>3850</v>
      </c>
      <c r="M28" s="56" t="n">
        <f aca="false">IF(N(F28)&gt;0,N(F28)*J28+N(G28)*J28+N(H28),IF(N(E28)&gt;0,N(E28)*J28+N(G28)*J28+N(H28),"Tuition offshore &amp; onshore tidak tercatat"))</f>
        <v>3850</v>
      </c>
      <c r="N28" s="3" t="s">
        <v>3547</v>
      </c>
    </row>
    <row r="29" customFormat="false" ht="25.5" hidden="false" customHeight="true" outlineLevel="0" collapsed="false">
      <c r="A29" s="39" t="s">
        <v>3622</v>
      </c>
      <c r="B29" s="40" t="s">
        <v>3623</v>
      </c>
      <c r="C29" s="40" t="s">
        <v>3624</v>
      </c>
      <c r="D29" s="40" t="s">
        <v>3625</v>
      </c>
      <c r="E29" s="42" t="n">
        <v>200</v>
      </c>
      <c r="F29" s="42" t="n">
        <v>200</v>
      </c>
      <c r="G29" s="42" t="n">
        <v>20</v>
      </c>
      <c r="H29" s="42" t="n">
        <v>250</v>
      </c>
      <c r="I29" s="39"/>
      <c r="J29" s="3" t="n">
        <v>16</v>
      </c>
      <c r="K29" s="3"/>
      <c r="L29" s="56" t="n">
        <f aca="false">IF(N(E29)&gt;0,N(E29)*J29+N(G29)*J29+IF(K29&lt;&gt;"",K29,N(H29)),IF(N(F29)&gt;0,N(F29)*J29+N(G29)*J29+IF(K29&lt;&gt;"",K29,N(H29)),"Tuition offshore &amp; onshore tidak tercatat"))</f>
        <v>3770</v>
      </c>
      <c r="M29" s="56" t="n">
        <f aca="false">IF(N(F29)&gt;0,N(F29)*4+N(G29)*4+N(H29),IF(N(E29)&gt;0,N(E29)*4+N(G29)*4+N(H29),"Tuition offshore &amp; onshore tidak tercatat"))</f>
        <v>1130</v>
      </c>
      <c r="N29" s="3" t="s">
        <v>3626</v>
      </c>
    </row>
    <row r="30" customFormat="false" ht="25.5" hidden="false" customHeight="true" outlineLevel="0" collapsed="false">
      <c r="A30" s="29" t="s">
        <v>3627</v>
      </c>
      <c r="B30" s="30" t="s">
        <v>3628</v>
      </c>
      <c r="C30" s="30" t="s">
        <v>3629</v>
      </c>
      <c r="D30" s="30" t="s">
        <v>3612</v>
      </c>
      <c r="E30" s="32" t="n">
        <v>230</v>
      </c>
      <c r="F30" s="32" t="n">
        <v>230</v>
      </c>
      <c r="G30" s="32" t="n">
        <v>100</v>
      </c>
      <c r="H30" s="32" t="n">
        <v>250</v>
      </c>
      <c r="I30" s="29"/>
      <c r="J30" s="3" t="n">
        <v>12</v>
      </c>
      <c r="K30" s="3"/>
      <c r="L30" s="56" t="n">
        <f aca="false">IF(N(E30)&gt;0,N(E30)*J30+N(G30)+IF(K30&lt;&gt;"",K30,N(H30)),IF(N(F30)&gt;0,N(F30)*J30+N(G30)+IF(K30&lt;&gt;"",K30,N(H30)),"Tuition offshore &amp; onshore tidak tercatat"))</f>
        <v>3110</v>
      </c>
      <c r="M30" s="56" t="n">
        <f aca="false">IF(N(F30)&gt;0,N(F30)*J30+N(G30)+N(H30),IF(N(E30)&gt;0,N(E30)*J30+N(G30)+N(H30),"Tuition offshore &amp; onshore tidak tercatat"))</f>
        <v>3110</v>
      </c>
      <c r="N30" s="3" t="s">
        <v>3613</v>
      </c>
    </row>
    <row r="31" customFormat="false" ht="25.5" hidden="false" customHeight="true" outlineLevel="0" collapsed="false">
      <c r="A31" s="39" t="s">
        <v>3630</v>
      </c>
      <c r="B31" s="40" t="s">
        <v>3533</v>
      </c>
      <c r="C31" s="40" t="s">
        <v>3631</v>
      </c>
      <c r="D31" s="39"/>
      <c r="E31" s="42" t="n">
        <v>185</v>
      </c>
      <c r="F31" s="42" t="n">
        <v>185</v>
      </c>
      <c r="G31" s="42" t="n">
        <v>100</v>
      </c>
      <c r="H31" s="42" t="n">
        <v>200</v>
      </c>
      <c r="I31" s="39"/>
      <c r="J31" s="3" t="n">
        <v>10</v>
      </c>
      <c r="K31" s="3"/>
      <c r="L31" s="56" t="n">
        <f aca="false">IF(N(E31)&gt;0,N(E31)*J31+N(G31)*J31+IF(K31&lt;&gt;"",K31,N(H31)),IF(N(F31)&gt;0,N(F31)*J31+N(G31)*J31+IF(K31&lt;&gt;"",K31,N(H31)),"Tuition offshore &amp; onshore tidak tercatat"))</f>
        <v>3050</v>
      </c>
      <c r="M31" s="56" t="n">
        <f aca="false">IF(N(F31)&gt;0,N(F31)*J31+N(G31)*J31+N(H31),IF(N(E31)&gt;0,N(E31)*J31+N(G31)*J31+N(H31),"Tuition offshore &amp; onshore tidak tercatat"))</f>
        <v>3050</v>
      </c>
      <c r="N31" s="3" t="s">
        <v>3572</v>
      </c>
    </row>
    <row r="32" customFormat="false" ht="25.5" hidden="false" customHeight="true" outlineLevel="0" collapsed="false">
      <c r="A32" s="39" t="s">
        <v>3632</v>
      </c>
      <c r="B32" s="40" t="s">
        <v>3533</v>
      </c>
      <c r="C32" s="40" t="s">
        <v>3633</v>
      </c>
      <c r="D32" s="40" t="s">
        <v>3546</v>
      </c>
      <c r="E32" s="42" t="n">
        <v>220</v>
      </c>
      <c r="F32" s="42" t="n">
        <v>180</v>
      </c>
      <c r="G32" s="42" t="n">
        <v>0</v>
      </c>
      <c r="H32" s="42" t="n">
        <v>200</v>
      </c>
      <c r="I32" s="39"/>
      <c r="J32" s="3" t="n">
        <v>10</v>
      </c>
      <c r="K32" s="3"/>
      <c r="L32" s="56" t="n">
        <f aca="false">IF(N(E32)&gt;0,N(E32)*J32+N(G32)*J32+IF(K32&lt;&gt;"",K32,N(H32)),IF(N(F32)&gt;0,N(F32)*J32+N(G32)*J32+IF(K32&lt;&gt;"",K32,N(H32)),"Tuition offshore &amp; onshore tidak tercatat"))</f>
        <v>2400</v>
      </c>
      <c r="M32" s="56" t="n">
        <f aca="false">IF(N(F32)&gt;0,N(F32)*J32+N(G32)*J32+N(H32),IF(N(E32)&gt;0,N(E32)*J32+N(G32)*J32+N(H32),"Tuition offshore &amp; onshore tidak tercatat"))</f>
        <v>2000</v>
      </c>
      <c r="N32" s="3" t="s">
        <v>3547</v>
      </c>
    </row>
    <row r="33" customFormat="false" ht="25.5" hidden="false" customHeight="true" outlineLevel="0" collapsed="false">
      <c r="A33" s="39" t="s">
        <v>3634</v>
      </c>
      <c r="B33" s="40" t="s">
        <v>3544</v>
      </c>
      <c r="C33" s="40" t="s">
        <v>3635</v>
      </c>
      <c r="D33" s="39"/>
      <c r="E33" s="42" t="n">
        <v>210</v>
      </c>
      <c r="F33" s="42" t="n">
        <v>170</v>
      </c>
      <c r="G33" s="57"/>
      <c r="H33" s="42" t="n">
        <v>300</v>
      </c>
      <c r="I33" s="39"/>
      <c r="J33" s="3" t="n">
        <v>10</v>
      </c>
      <c r="K33" s="3"/>
      <c r="L33" s="56" t="n">
        <f aca="false">IF(N(E33)&gt;0,N(E33)*J33+N(G33)*J33+IF(K33&lt;&gt;"",K33,N(H33)),IF(N(F33)&gt;0,N(F33)*J33+N(G33)*J33+IF(K33&lt;&gt;"",K33,N(H33)),"Tuition offshore &amp; onshore tidak tercatat"))</f>
        <v>2400</v>
      </c>
      <c r="M33" s="56" t="n">
        <f aca="false">IF(N(F33)&gt;0,N(F33)*J33+N(G33)*J33+N(H33),IF(N(E33)&gt;0,N(E33)*J33+N(G33)*J33+N(H33),"Tuition offshore &amp; onshore tidak tercatat"))</f>
        <v>2000</v>
      </c>
      <c r="N33" s="3" t="s">
        <v>3593</v>
      </c>
    </row>
    <row r="34" customFormat="false" ht="25.5" hidden="false" customHeight="true" outlineLevel="0" collapsed="false">
      <c r="A34" s="29" t="s">
        <v>3636</v>
      </c>
      <c r="B34" s="30" t="s">
        <v>3544</v>
      </c>
      <c r="C34" s="30" t="s">
        <v>3635</v>
      </c>
      <c r="D34" s="30" t="s">
        <v>3546</v>
      </c>
      <c r="E34" s="32" t="n">
        <v>210</v>
      </c>
      <c r="F34" s="32" t="n">
        <v>210</v>
      </c>
      <c r="G34" s="32" t="n">
        <v>12</v>
      </c>
      <c r="H34" s="32" t="n">
        <v>500</v>
      </c>
      <c r="I34" s="29"/>
      <c r="J34" s="3" t="n">
        <v>10</v>
      </c>
      <c r="K34" s="3"/>
      <c r="L34" s="56" t="n">
        <f aca="false">IF(N(E34)&gt;0,N(E34)*J34+N(G34)*J34+IF(K34&lt;&gt;"",K34,N(H34)),IF(N(F34)&gt;0,N(F34)*J34+N(G34)*J34+IF(K34&lt;&gt;"",K34,N(H34)),"Tuition offshore &amp; onshore tidak tercatat"))</f>
        <v>2720</v>
      </c>
      <c r="M34" s="56" t="n">
        <f aca="false">IF(N(F34)&gt;0,N(F34)*J34+N(G34)*J34+N(H34),IF(N(E34)&gt;0,N(E34)*J34+N(G34)*J34+N(H34),"Tuition offshore &amp; onshore tidak tercatat"))</f>
        <v>2720</v>
      </c>
      <c r="N34" s="3" t="s">
        <v>3547</v>
      </c>
    </row>
    <row r="35" customFormat="false" ht="60" hidden="false" customHeight="true" outlineLevel="0" collapsed="false">
      <c r="A35" s="29" t="s">
        <v>3637</v>
      </c>
      <c r="B35" s="30" t="s">
        <v>3638</v>
      </c>
      <c r="C35" s="30" t="s">
        <v>3639</v>
      </c>
      <c r="D35" s="30" t="s">
        <v>3640</v>
      </c>
      <c r="E35" s="32" t="n">
        <v>230</v>
      </c>
      <c r="F35" s="32" t="n">
        <v>270</v>
      </c>
      <c r="G35" s="32" t="n">
        <v>18</v>
      </c>
      <c r="H35" s="32" t="n">
        <v>275</v>
      </c>
      <c r="I35" s="29"/>
      <c r="J35" s="3" t="n">
        <v>4</v>
      </c>
      <c r="K35" s="3"/>
      <c r="L35" s="56" t="n">
        <f aca="false">IF(N(E35)&gt;0,N(E35)*J35+N(G35)*J35+IF(K35&lt;&gt;"",K35,N(H35)),IF(N(F35)&gt;0,N(F35)*J35+N(G35)*J35+IF(K35&lt;&gt;"",K35,N(H35)),"Tuition offshore &amp; onshore tidak tercatat"))</f>
        <v>1267</v>
      </c>
      <c r="M35" s="56" t="n">
        <f aca="false">IF(N(F35)&gt;0,N(F35)*J35+N(G35)*J35+N(H35),IF(N(E35)&gt;0,N(E35)*J35+N(G35)*J35+N(H35),"Tuition offshore &amp; onshore tidak tercatat"))</f>
        <v>1427</v>
      </c>
      <c r="N35" s="3" t="s">
        <v>3641</v>
      </c>
    </row>
    <row r="36" customFormat="false" ht="48.75" hidden="false" customHeight="true" outlineLevel="0" collapsed="false">
      <c r="A36" s="39" t="s">
        <v>3642</v>
      </c>
      <c r="B36" s="40" t="s">
        <v>3643</v>
      </c>
      <c r="C36" s="40" t="s">
        <v>3644</v>
      </c>
      <c r="D36" s="39"/>
      <c r="E36" s="42" t="n">
        <v>0</v>
      </c>
      <c r="F36" s="42" t="n">
        <v>165</v>
      </c>
      <c r="G36" s="42" t="n">
        <v>10</v>
      </c>
      <c r="H36" s="42" t="n">
        <v>300</v>
      </c>
      <c r="I36" s="39"/>
      <c r="J36" s="3" t="n">
        <v>10</v>
      </c>
      <c r="K36" s="3"/>
      <c r="L36" s="56" t="n">
        <f aca="false">IF(N(E36)&gt;0,N(E36)*J36+N(G36)*J36+IF(K36&lt;&gt;"",K36,N(H36)),IF(N(F36)&gt;0,N(F36)*J36+N(G36)*J36+IF(K36&lt;&gt;"",K36,N(H36)),"Tuition offshore &amp; onshore tidak tercatat"))</f>
        <v>2050</v>
      </c>
      <c r="M36" s="56" t="n">
        <f aca="false">IF(N(F36)&gt;0,N(F36)*J36+N(G36)*J36+N(H36),IF(N(E36)&gt;0,N(E36)*J36+N(G36)*J36+N(H36),"Tuition offshore &amp; onshore tidak tercatat"))</f>
        <v>2050</v>
      </c>
      <c r="N36" s="3" t="s">
        <v>3645</v>
      </c>
    </row>
    <row r="37" customFormat="false" ht="37.5" hidden="false" customHeight="true" outlineLevel="0" collapsed="false">
      <c r="A37" s="29" t="s">
        <v>3646</v>
      </c>
      <c r="B37" s="30" t="s">
        <v>3647</v>
      </c>
      <c r="C37" s="30" t="s">
        <v>3648</v>
      </c>
      <c r="D37" s="30" t="s">
        <v>3579</v>
      </c>
      <c r="E37" s="32" t="n">
        <v>180</v>
      </c>
      <c r="F37" s="32" t="n">
        <v>175</v>
      </c>
      <c r="G37" s="32" t="n">
        <v>10</v>
      </c>
      <c r="H37" s="32" t="n">
        <v>200</v>
      </c>
      <c r="I37" s="29"/>
      <c r="J37" s="3" t="n">
        <v>5</v>
      </c>
      <c r="K37" s="3"/>
      <c r="L37" s="56" t="n">
        <f aca="false">IF(N(E37)&gt;0,N(E37)*J37+N(G37)*J37+IF(K37&lt;&gt;"",K37,N(H37)),IF(N(F37)&gt;0,N(F37)*J37+N(G37)*J37+IF(K37&lt;&gt;"",K37,N(H37)),"Tuition offshore &amp; onshore tidak tercatat"))</f>
        <v>1150</v>
      </c>
      <c r="M37" s="56" t="n">
        <f aca="false">IF(N(F37)&gt;0,N(F37)*J37+N(G37)*J37+N(H37),IF(N(E37)&gt;0,N(E37)*J37+N(G37)*J37+N(H37),"Tuition offshore &amp; onshore tidak tercatat"))</f>
        <v>1125</v>
      </c>
      <c r="N37" s="3" t="s">
        <v>3581</v>
      </c>
    </row>
    <row r="38" customFormat="false" ht="25.5" hidden="false" customHeight="true" outlineLevel="0" collapsed="false">
      <c r="A38" s="29" t="s">
        <v>3649</v>
      </c>
      <c r="B38" s="30" t="s">
        <v>3533</v>
      </c>
      <c r="C38" s="30" t="s">
        <v>3621</v>
      </c>
      <c r="D38" s="30" t="s">
        <v>3546</v>
      </c>
      <c r="E38" s="32" t="n">
        <v>250</v>
      </c>
      <c r="F38" s="32" t="n">
        <v>250</v>
      </c>
      <c r="G38" s="32" t="n">
        <v>10</v>
      </c>
      <c r="H38" s="32" t="n">
        <v>250</v>
      </c>
      <c r="I38" s="29"/>
      <c r="J38" s="3" t="n">
        <v>10</v>
      </c>
      <c r="K38" s="3"/>
      <c r="L38" s="56" t="n">
        <f aca="false">IF(N(E38)&gt;0,N(E38)*J38+N(G38)*J38+IF(K38&lt;&gt;"",K38,N(H38)),IF(N(F38)&gt;0,N(F38)*J38+N(G38)*J38+IF(K38&lt;&gt;"",K38,N(H38)),"Tuition offshore &amp; onshore tidak tercatat"))</f>
        <v>2850</v>
      </c>
      <c r="M38" s="56" t="n">
        <f aca="false">IF(N(F38)&gt;0,N(F38)*J38+N(G38)*J38+N(H38),IF(N(E38)&gt;0,N(E38)*J38+N(G38)*J38+N(H38),"Tuition offshore &amp; onshore tidak tercatat"))</f>
        <v>2850</v>
      </c>
      <c r="N38" s="3" t="s">
        <v>3547</v>
      </c>
    </row>
    <row r="39" customFormat="false" ht="14.25" hidden="false" customHeight="true" outlineLevel="0" collapsed="false">
      <c r="A39" s="39" t="s">
        <v>3650</v>
      </c>
      <c r="B39" s="40" t="s">
        <v>3533</v>
      </c>
      <c r="C39" s="40" t="s">
        <v>3651</v>
      </c>
      <c r="D39" s="40" t="s">
        <v>3546</v>
      </c>
      <c r="E39" s="42" t="n">
        <v>180</v>
      </c>
      <c r="F39" s="42" t="n">
        <v>180</v>
      </c>
      <c r="G39" s="42" t="n">
        <v>60</v>
      </c>
      <c r="H39" s="42" t="n">
        <v>250</v>
      </c>
      <c r="I39" s="39"/>
      <c r="J39" s="3" t="n">
        <v>10</v>
      </c>
      <c r="K39" s="3"/>
      <c r="L39" s="56" t="n">
        <f aca="false">IF(N(E39)&gt;0,N(E39)*J39+N(G39)*J39+IF(K39&lt;&gt;"",K39,N(H39)),IF(N(F39)&gt;0,N(F39)*J39+N(G39)*J39+IF(K39&lt;&gt;"",K39,N(H39)),"Tuition offshore &amp; onshore tidak tercatat"))</f>
        <v>2650</v>
      </c>
      <c r="M39" s="56" t="n">
        <f aca="false">IF(N(F39)&gt;0,N(F39)*J39+N(G39)*J39+N(H39),IF(N(E39)&gt;0,N(E39)*J39+N(G39)*J39+N(H39),"Tuition offshore &amp; onshore tidak tercatat"))</f>
        <v>2650</v>
      </c>
      <c r="N39" s="3" t="s">
        <v>3547</v>
      </c>
    </row>
    <row r="40" customFormat="false" ht="25.5" hidden="false" customHeight="true" outlineLevel="0" collapsed="false">
      <c r="A40" s="39" t="s">
        <v>3652</v>
      </c>
      <c r="B40" s="40" t="s">
        <v>3533</v>
      </c>
      <c r="C40" s="40" t="s">
        <v>3653</v>
      </c>
      <c r="D40" s="40" t="s">
        <v>3612</v>
      </c>
      <c r="E40" s="42" t="n">
        <v>180</v>
      </c>
      <c r="F40" s="42" t="n">
        <v>180</v>
      </c>
      <c r="G40" s="42" t="n">
        <v>200</v>
      </c>
      <c r="H40" s="42" t="n">
        <v>100</v>
      </c>
      <c r="I40" s="39"/>
      <c r="J40" s="3" t="n">
        <v>12</v>
      </c>
      <c r="K40" s="3"/>
      <c r="L40" s="56" t="n">
        <f aca="false">IF(N(E40)&gt;0,N(E40)*J40+N(G40)+IF(K40&lt;&gt;"",K40,N(H40)),IF(N(F40)&gt;0,N(F40)*J40+N(G40)+IF(K40&lt;&gt;"",K40,N(H40)),"Tuition offshore &amp; onshore tidak tercatat"))</f>
        <v>2460</v>
      </c>
      <c r="M40" s="56" t="n">
        <f aca="false">IF(N(F40)&gt;0,N(F40)*J40+N(G40)+N(H40),IF(N(E40)&gt;0,N(E40)*J40+N(G40)+N(H40),"Tuition offshore &amp; onshore tidak tercatat"))</f>
        <v>2460</v>
      </c>
      <c r="N40" s="3" t="s">
        <v>3613</v>
      </c>
    </row>
    <row r="41" customFormat="false" ht="37.5" hidden="false" customHeight="true" outlineLevel="0" collapsed="false">
      <c r="A41" s="29" t="s">
        <v>3654</v>
      </c>
      <c r="B41" s="30" t="s">
        <v>3533</v>
      </c>
      <c r="C41" s="30" t="s">
        <v>3655</v>
      </c>
      <c r="D41" s="30" t="s">
        <v>3546</v>
      </c>
      <c r="E41" s="32" t="n">
        <v>340</v>
      </c>
      <c r="F41" s="32" t="n">
        <v>340</v>
      </c>
      <c r="G41" s="55"/>
      <c r="H41" s="32" t="n">
        <v>250</v>
      </c>
      <c r="I41" s="30" t="s">
        <v>3656</v>
      </c>
      <c r="J41" s="3" t="n">
        <v>10</v>
      </c>
      <c r="K41" s="3"/>
      <c r="L41" s="56" t="n">
        <f aca="false">IF(N(E41)&gt;0,N(E41)*J41+N(G41)*J41+IF(K41&lt;&gt;"",K41,N(H41)),IF(N(F41)&gt;0,N(F41)*J41+N(G41)*J41+IF(K41&lt;&gt;"",K41,N(H41)),"Tuition offshore &amp; onshore tidak tercatat"))</f>
        <v>3650</v>
      </c>
      <c r="M41" s="56" t="n">
        <f aca="false">IF(N(F41)&gt;0,N(F41)*J41+N(G41)*J41+N(H41),IF(N(E41)&gt;0,N(E41)*J41+N(G41)*J41+N(H41),"Tuition offshore &amp; onshore tidak tercatat"))</f>
        <v>3650</v>
      </c>
      <c r="N41" s="3" t="s">
        <v>3657</v>
      </c>
    </row>
    <row r="42" customFormat="false" ht="175.5" hidden="false" customHeight="true" outlineLevel="0" collapsed="false">
      <c r="A42" s="29" t="s">
        <v>3658</v>
      </c>
      <c r="B42" s="30" t="s">
        <v>3659</v>
      </c>
      <c r="C42" s="30" t="s">
        <v>3660</v>
      </c>
      <c r="D42" s="30" t="s">
        <v>3546</v>
      </c>
      <c r="E42" s="32" t="n">
        <v>325</v>
      </c>
      <c r="F42" s="32" t="n">
        <v>325</v>
      </c>
      <c r="G42" s="55"/>
      <c r="H42" s="55"/>
      <c r="I42" s="29" t="s">
        <v>3661</v>
      </c>
      <c r="J42" s="3" t="n">
        <v>10</v>
      </c>
      <c r="K42" s="3"/>
      <c r="L42" s="56" t="n">
        <f aca="false">IF(N(E42)&gt;0,N(E42)*J42+N(G42)*J42+IF(K42&lt;&gt;"",K42,N(H42)),IF(N(F42)&gt;0,N(F42)*J42+N(G42)*J42+IF(K42&lt;&gt;"",K42,N(H42)),"Tuition offshore &amp; onshore tidak tercatat"))</f>
        <v>3250</v>
      </c>
      <c r="M42" s="56" t="n">
        <f aca="false">IF(N(F42)&gt;0,N(F42)*J42+N(G42)*J42+N(H42),IF(N(E42)&gt;0,N(E42)*J42+N(G42)*J42+N(H42),"Tuition offshore &amp; onshore tidak tercatat"))</f>
        <v>3250</v>
      </c>
      <c r="N42" s="3" t="s">
        <v>3585</v>
      </c>
    </row>
    <row r="43" customFormat="false" ht="37.5" hidden="false" customHeight="true" outlineLevel="0" collapsed="false">
      <c r="A43" s="29" t="s">
        <v>3662</v>
      </c>
      <c r="B43" s="30" t="s">
        <v>3663</v>
      </c>
      <c r="C43" s="30" t="s">
        <v>3664</v>
      </c>
      <c r="D43" s="30" t="s">
        <v>3612</v>
      </c>
      <c r="E43" s="32" t="n">
        <v>200</v>
      </c>
      <c r="F43" s="32" t="n">
        <v>180</v>
      </c>
      <c r="G43" s="32" t="n">
        <v>150</v>
      </c>
      <c r="H43" s="32" t="n">
        <v>300</v>
      </c>
      <c r="I43" s="30" t="s">
        <v>3665</v>
      </c>
      <c r="J43" s="3" t="n">
        <v>12</v>
      </c>
      <c r="K43" s="3" t="n">
        <v>500</v>
      </c>
      <c r="L43" s="56" t="n">
        <f aca="false">IF(N(E43)&gt;0,N(E43)*J43+N(G43)+IF(K43&lt;&gt;"",K43,N(H43)),IF(N(F43)&gt;0,N(F43)*J43+N(G43)+IF(K43&lt;&gt;"",K43,N(H43)),"Tuition offshore &amp; onshore tidak tercatat"))</f>
        <v>3050</v>
      </c>
      <c r="M43" s="56" t="n">
        <f aca="false">IF(N(F43)&gt;0,N(F43)*J43+N(G43)+N(H43),IF(N(E43)&gt;0,N(E43)*J43+N(G43)+N(H43),"Tuition offshore &amp; onshore tidak tercatat"))</f>
        <v>2610</v>
      </c>
      <c r="N43" s="3" t="s">
        <v>3666</v>
      </c>
    </row>
    <row r="44" customFormat="false" ht="25.5" hidden="false" customHeight="true" outlineLevel="0" collapsed="false">
      <c r="A44" s="39" t="s">
        <v>3667</v>
      </c>
      <c r="B44" s="40" t="s">
        <v>3533</v>
      </c>
      <c r="C44" s="40" t="s">
        <v>3668</v>
      </c>
      <c r="D44" s="40" t="s">
        <v>3546</v>
      </c>
      <c r="E44" s="42" t="n">
        <v>200</v>
      </c>
      <c r="F44" s="42" t="n">
        <v>200</v>
      </c>
      <c r="G44" s="42" t="n">
        <v>10</v>
      </c>
      <c r="H44" s="42" t="n">
        <v>250</v>
      </c>
      <c r="I44" s="39"/>
      <c r="J44" s="3" t="n">
        <v>10</v>
      </c>
      <c r="K44" s="3"/>
      <c r="L44" s="56" t="n">
        <f aca="false">IF(N(E44)&gt;0,N(E44)*J44+N(G44)*J44+IF(K44&lt;&gt;"",K44,N(H44)),IF(N(F44)&gt;0,N(F44)*J44+N(G44)*J44+IF(K44&lt;&gt;"",K44,N(H44)),"Tuition offshore &amp; onshore tidak tercatat"))</f>
        <v>2350</v>
      </c>
      <c r="M44" s="56" t="n">
        <f aca="false">IF(N(F44)&gt;0,N(F44)*J44+N(G44)*J44+N(H44),IF(N(E44)&gt;0,N(E44)*J44+N(G44)*J44+N(H44),"Tuition offshore &amp; onshore tidak tercatat"))</f>
        <v>2350</v>
      </c>
      <c r="N44" s="3" t="s">
        <v>3547</v>
      </c>
    </row>
    <row r="45" customFormat="false" ht="83.25" hidden="false" customHeight="true" outlineLevel="0" collapsed="false">
      <c r="A45" s="29" t="s">
        <v>3669</v>
      </c>
      <c r="B45" s="30" t="s">
        <v>3670</v>
      </c>
      <c r="C45" s="30" t="s">
        <v>3671</v>
      </c>
      <c r="D45" s="30" t="s">
        <v>3546</v>
      </c>
      <c r="E45" s="32" t="n">
        <v>420</v>
      </c>
      <c r="F45" s="32" t="n">
        <v>420</v>
      </c>
      <c r="G45" s="32" t="n">
        <v>10</v>
      </c>
      <c r="H45" s="32" t="n">
        <v>210</v>
      </c>
      <c r="I45" s="29"/>
      <c r="J45" s="3" t="n">
        <v>10</v>
      </c>
      <c r="K45" s="3"/>
      <c r="L45" s="56" t="n">
        <f aca="false">IF(N(E45)&gt;0,N(E45)*J45+N(G45)*J45+IF(K45&lt;&gt;"",K45,N(H45)),IF(N(F45)&gt;0,N(F45)*J45+N(G45)*J45+IF(K45&lt;&gt;"",K45,N(H45)),"Tuition offshore &amp; onshore tidak tercatat"))</f>
        <v>4510</v>
      </c>
      <c r="M45" s="56" t="n">
        <f aca="false">IF(N(F45)&gt;0,N(F45)*J45+N(G45)*J45+N(H45),IF(N(E45)&gt;0,N(E45)*J45+N(G45)*J45+N(H45),"Tuition offshore &amp; onshore tidak tercatat"))</f>
        <v>4510</v>
      </c>
      <c r="N45" s="3" t="s">
        <v>3547</v>
      </c>
    </row>
    <row r="46" customFormat="false" ht="48.75" hidden="false" customHeight="true" outlineLevel="0" collapsed="false">
      <c r="A46" s="39" t="s">
        <v>3672</v>
      </c>
      <c r="B46" s="40" t="s">
        <v>3673</v>
      </c>
      <c r="C46" s="40" t="s">
        <v>3674</v>
      </c>
      <c r="D46" s="40" t="s">
        <v>3546</v>
      </c>
      <c r="E46" s="42" t="n">
        <v>200</v>
      </c>
      <c r="F46" s="42" t="n">
        <v>200</v>
      </c>
      <c r="G46" s="42" t="n">
        <v>10</v>
      </c>
      <c r="H46" s="42" t="n">
        <v>250</v>
      </c>
      <c r="I46" s="39"/>
      <c r="J46" s="3" t="n">
        <v>10</v>
      </c>
      <c r="K46" s="3"/>
      <c r="L46" s="56" t="n">
        <f aca="false">IF(N(E46)&gt;0,N(E46)*J46+N(G46)*J46+IF(K46&lt;&gt;"",K46,N(H46)),IF(N(F46)&gt;0,N(F46)*J46+N(G46)*J46+IF(K46&lt;&gt;"",K46,N(H46)),"Tuition offshore &amp; onshore tidak tercatat"))</f>
        <v>2350</v>
      </c>
      <c r="M46" s="56" t="n">
        <f aca="false">IF(N(F46)&gt;0,N(F46)*J46+N(G46)*J46+N(H46),IF(N(E46)&gt;0,N(E46)*J46+N(G46)*J46+N(H46),"Tuition offshore &amp; onshore tidak tercatat"))</f>
        <v>2350</v>
      </c>
      <c r="N46" s="3" t="s">
        <v>3547</v>
      </c>
    </row>
    <row r="47" customFormat="false" ht="25.5" hidden="false" customHeight="true" outlineLevel="0" collapsed="false">
      <c r="A47" s="39" t="s">
        <v>3675</v>
      </c>
      <c r="B47" s="40" t="s">
        <v>3533</v>
      </c>
      <c r="C47" s="40" t="s">
        <v>3676</v>
      </c>
      <c r="D47" s="40" t="s">
        <v>3677</v>
      </c>
      <c r="E47" s="42" t="n">
        <v>210</v>
      </c>
      <c r="F47" s="42" t="n">
        <v>210</v>
      </c>
      <c r="G47" s="42" t="n">
        <v>120</v>
      </c>
      <c r="H47" s="42" t="n">
        <v>250</v>
      </c>
      <c r="I47" s="39"/>
      <c r="J47" s="3" t="n">
        <v>12</v>
      </c>
      <c r="K47" s="3"/>
      <c r="L47" s="56" t="n">
        <f aca="false">IF(N(E47)&gt;0,N(E47)*J47+N(G47)+IF(K47&lt;&gt;"",K47,N(H47)),IF(N(F47)&gt;0,N(F47)*J47+N(G47)+IF(K47&lt;&gt;"",K47,N(H47)),"Tuition offshore &amp; onshore tidak tercatat"))</f>
        <v>2890</v>
      </c>
      <c r="M47" s="56" t="n">
        <f aca="false">IF(N(F47)&gt;0,N(F47)*J47+N(G47)+N(H47),IF(N(E47)&gt;0,N(E47)*J47+N(G47)+N(H47),"Tuition offshore &amp; onshore tidak tercatat"))</f>
        <v>2890</v>
      </c>
      <c r="N47" s="3" t="s">
        <v>3678</v>
      </c>
    </row>
    <row r="48" customFormat="false" ht="25.5" hidden="false" customHeight="true" outlineLevel="0" collapsed="false">
      <c r="A48" s="39" t="s">
        <v>3679</v>
      </c>
      <c r="B48" s="40" t="s">
        <v>3544</v>
      </c>
      <c r="C48" s="40" t="s">
        <v>3680</v>
      </c>
      <c r="D48" s="40" t="s">
        <v>3681</v>
      </c>
      <c r="E48" s="42" t="n">
        <v>230</v>
      </c>
      <c r="F48" s="42" t="n">
        <v>220</v>
      </c>
      <c r="G48" s="42" t="n">
        <v>100</v>
      </c>
      <c r="H48" s="42" t="n">
        <v>250</v>
      </c>
      <c r="I48" s="39"/>
      <c r="J48" s="3" t="n">
        <v>12</v>
      </c>
      <c r="K48" s="3"/>
      <c r="L48" s="56" t="n">
        <f aca="false">IF(N(E48)&gt;0,N(E48)*J48+N(G48)+IF(K48&lt;&gt;"",K48,N(H48)),IF(N(F48)&gt;0,N(F48)*J48+N(G48)+IF(K48&lt;&gt;"",K48,N(H48)),"Tuition offshore &amp; onshore tidak tercatat"))</f>
        <v>3110</v>
      </c>
      <c r="M48" s="56" t="n">
        <f aca="false">IF(N(F48)&gt;0,N(F48)*J48+N(G48)+N(H48),IF(N(E48)&gt;0,N(E48)*J48+N(G48)+N(H48),"Tuition offshore &amp; onshore tidak tercatat"))</f>
        <v>2990</v>
      </c>
      <c r="N48" s="3" t="s">
        <v>3682</v>
      </c>
    </row>
    <row r="49" customFormat="false" ht="25.5" hidden="false" customHeight="true" outlineLevel="0" collapsed="false">
      <c r="A49" s="29" t="s">
        <v>3683</v>
      </c>
      <c r="B49" s="30" t="s">
        <v>3533</v>
      </c>
      <c r="C49" s="30" t="s">
        <v>3684</v>
      </c>
      <c r="D49" s="30" t="s">
        <v>3551</v>
      </c>
      <c r="E49" s="32" t="n">
        <v>240</v>
      </c>
      <c r="F49" s="32" t="n">
        <v>180</v>
      </c>
      <c r="G49" s="32" t="n">
        <v>15</v>
      </c>
      <c r="H49" s="32" t="n">
        <v>250</v>
      </c>
      <c r="I49" s="29"/>
      <c r="J49" s="3" t="n">
        <v>12</v>
      </c>
      <c r="K49" s="3"/>
      <c r="L49" s="56" t="n">
        <f aca="false">IF(N(E49)&gt;0,N(E49)*J49+N(G49)*J49+IF(K49&lt;&gt;"",K49,N(H49)),IF(N(F49)&gt;0,N(F49)*J49+N(G49)*J49+IF(K49&lt;&gt;"",K49,N(H49)),"Tuition offshore &amp; onshore tidak tercatat"))</f>
        <v>3310</v>
      </c>
      <c r="M49" s="56" t="n">
        <f aca="false">IF(N(F49)&gt;0,N(F49)*J49+N(G49)*J49+N(H49),IF(N(E49)&gt;0,N(E49)*J49+N(G49)*J49+N(H49),"Tuition offshore &amp; onshore tidak tercatat"))</f>
        <v>2590</v>
      </c>
      <c r="N49" s="3" t="s">
        <v>3552</v>
      </c>
    </row>
    <row r="50" customFormat="false" ht="37.5" hidden="false" customHeight="true" outlineLevel="0" collapsed="false">
      <c r="A50" s="29" t="s">
        <v>3685</v>
      </c>
      <c r="B50" s="29"/>
      <c r="C50" s="29"/>
      <c r="D50" s="29"/>
      <c r="E50" s="55"/>
      <c r="F50" s="55"/>
      <c r="G50" s="55"/>
      <c r="H50" s="55"/>
      <c r="I50" s="29"/>
    </row>
  </sheetData>
  <mergeCells count="2">
    <mergeCell ref="A1:I1"/>
    <mergeCell ref="A2:I2"/>
  </mergeCells>
  <printOptions headings="false" gridLines="false" gridLinesSet="true" horizontalCentered="true" verticalCentered="false"/>
  <pageMargins left="0.3" right="0.3" top="0.5" bottom="0.5" header="0.511811023622047" footer="0.2"/>
  <pageSetup paperSize="9" scale="100" fitToWidth="1" fitToHeight="0" pageOrder="downThenOver" orientation="landscape" blackAndWhite="false" draft="false" cellComments="none" horizontalDpi="300" verticalDpi="300" copies="1"/>
  <headerFooter differentFirst="false" differentOddEven="false">
    <oddHeader/>
    <oddFooter>&amp;R&amp;8 Halaman &amp;P dari &amp;N</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185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28"/>
    <col collapsed="false" customWidth="true" hidden="false" outlineLevel="0" max="3" min="3" style="0" width="20"/>
    <col collapsed="false" customWidth="true" hidden="false" outlineLevel="0" max="4" min="4" style="0" width="40"/>
    <col collapsed="false" customWidth="true" hidden="false" outlineLevel="0" max="5" min="5" style="0" width="16"/>
    <col collapsed="false" customWidth="true" hidden="false" outlineLevel="0" max="6" min="6" style="0" width="11"/>
    <col collapsed="false" customWidth="true" hidden="false" outlineLevel="0" max="7" min="7" style="0" width="13"/>
    <col collapsed="false" customWidth="true" hidden="false" outlineLevel="0" max="8" min="8" style="0" width="12"/>
    <col collapsed="false" customWidth="true" hidden="false" outlineLevel="0" max="9" min="9" style="0" width="40"/>
    <col collapsed="false" customWidth="true" hidden="true" outlineLevel="0" max="13" min="10" style="0" width="13"/>
  </cols>
  <sheetData>
    <row r="1" customFormat="false" ht="17.35" hidden="false" customHeight="false" outlineLevel="0" collapsed="false">
      <c r="A1" s="58" t="s">
        <v>3686</v>
      </c>
    </row>
    <row r="2" customFormat="false" ht="31.5" hidden="false" customHeight="true" outlineLevel="0" collapsed="false">
      <c r="A2" s="59" t="s">
        <v>3687</v>
      </c>
      <c r="B2" s="59"/>
      <c r="C2" s="59"/>
      <c r="D2" s="59"/>
      <c r="E2" s="59"/>
      <c r="F2" s="59"/>
      <c r="G2" s="59"/>
      <c r="H2" s="59"/>
      <c r="I2" s="59"/>
    </row>
    <row r="3" customFormat="false" ht="43.5" hidden="false" customHeight="true" outlineLevel="0" collapsed="false">
      <c r="A3" s="59" t="s">
        <v>3688</v>
      </c>
      <c r="B3" s="59"/>
      <c r="C3" s="59"/>
      <c r="D3" s="59"/>
      <c r="E3" s="59"/>
      <c r="F3" s="59"/>
      <c r="G3" s="59"/>
      <c r="H3" s="59"/>
      <c r="I3" s="59"/>
    </row>
    <row r="4" customFormat="false" ht="15" hidden="false" customHeight="false" outlineLevel="0" collapsed="false">
      <c r="A4" s="3"/>
    </row>
    <row r="5" customFormat="false" ht="55.2" hidden="false" customHeight="false" outlineLevel="0" collapsed="false">
      <c r="A5" s="60" t="s">
        <v>3520</v>
      </c>
      <c r="B5" s="60" t="s">
        <v>3689</v>
      </c>
      <c r="C5" s="60" t="s">
        <v>3690</v>
      </c>
      <c r="D5" s="60" t="s">
        <v>3519</v>
      </c>
      <c r="E5" s="60" t="s">
        <v>95</v>
      </c>
      <c r="F5" s="60" t="s">
        <v>96</v>
      </c>
      <c r="G5" s="60" t="s">
        <v>3691</v>
      </c>
      <c r="H5" s="60" t="s">
        <v>3692</v>
      </c>
      <c r="I5" s="60" t="s">
        <v>27</v>
      </c>
      <c r="J5" s="0" t="s">
        <v>3693</v>
      </c>
      <c r="K5" s="0" t="s">
        <v>3694</v>
      </c>
      <c r="L5" s="0" t="s">
        <v>3695</v>
      </c>
      <c r="M5" s="0" t="s">
        <v>3696</v>
      </c>
    </row>
    <row r="6" customFormat="false" ht="15" hidden="false" customHeight="false" outlineLevel="0" collapsed="false">
      <c r="A6" s="61" t="s">
        <v>3697</v>
      </c>
      <c r="B6" s="62"/>
      <c r="C6" s="62"/>
      <c r="D6" s="62"/>
      <c r="E6" s="62"/>
      <c r="F6" s="62"/>
      <c r="G6" s="62"/>
      <c r="H6" s="62"/>
      <c r="I6" s="62"/>
    </row>
    <row r="7" customFormat="false" ht="15" hidden="false" customHeight="false" outlineLevel="0" collapsed="false">
      <c r="A7" s="63" t="s">
        <v>3659</v>
      </c>
      <c r="B7" s="64" t="s">
        <v>3698</v>
      </c>
      <c r="C7" s="63" t="s">
        <v>40</v>
      </c>
      <c r="D7" s="64" t="str">
        <f aca="false">TRIM(LEFT('Offshore - Adelaide'!A399,FIND(CHAR(10),'Offshore - Adelaide'!A399&amp;CHAR(10))-1))</f>
        <v>Australian Ideal College (AIC)</v>
      </c>
      <c r="E7" s="63" t="str">
        <f aca="false">'Offshore - Adelaide'!C403&amp;""</f>
        <v>1,5 years</v>
      </c>
      <c r="F7" s="63" t="str">
        <f aca="false">IF('Offshore - Adelaide'!D403="","Belum tercatat",'Offshore - Adelaide'!D403)</f>
        <v>Term</v>
      </c>
      <c r="G7" s="65" t="n">
        <f aca="false">IF('Offshore - Adelaide'!E403="","-",'Offshore - Adelaide'!E403)</f>
        <v>1500</v>
      </c>
      <c r="H7" s="63" t="n">
        <f aca="false">IF(ISNUMBER(K7),COUNTIFS($J$6:$J$1854,J7,$K$6:$K$1854,"&lt;"&amp;K7)+1,"-")</f>
        <v>1</v>
      </c>
      <c r="I7" s="64" t="str">
        <f aca="false">IF('Offshore - Adelaide'!E403="","Harga belum tersedia - hubungi konsultan TEG",IF(M7=2,"Saat ini tidak menerima pendaftaran siswa internasional baru",IF(M7=1,"Harga perlu dikonfirmasi ke sekolah"&amp;IF(""="","","; "&amp;""),"")))</f>
        <v/>
      </c>
      <c r="J7" s="0" t="s">
        <v>3699</v>
      </c>
      <c r="K7" s="0" t="n">
        <f aca="false">IF(M7=2,"",IF(ISNUMBER(SEARCH("rata-rata:",'Offshore - Adelaide'!N403)),VALUE(MID('Offshore - Adelaide'!N403,SEARCH("rata-rata:",'Offshore - Adelaide'!N403)+11,FIND(";",'Offshore - Adelaide'!N403&amp;";",SEARCH("rata-rata:",'Offshore - Adelaide'!N403))-SEARCH("rata-rata:",'Offshore - Adelaide'!N403)-11)),IF('Offshore - Adelaide'!D403="Semester",'Offshore - Adelaide'!E403*2,IF('Offshore - Adelaide'!D403="Trimester",'Offshore - Adelaide'!E403*3,IF('Offshore - Adelaide'!D403="Term",'Offshore - Adelaide'!E403*4,IF('Offshore - Adelaide'!D403="Unit",'Offshore - Adelaide'!E403*8,""))))))</f>
        <v>6000</v>
      </c>
      <c r="L7" s="0" t="n">
        <f aca="false">IF(AND(ISNUMBER('Offshore - Adelaide'!E403),ISNUMBER(K7),ISNUMBER('Offshore - Adelaide'!F403),ISNUMBER('Offshore - Adelaide'!G403),OR('Offshore - Adelaide'!F403&lt;&gt;0,ISNUMBER(SEARCH("Material 0 terverifikasi",'Offshore - Adelaide'!N403))),OR('Offshore - Adelaide'!G403&lt;&gt;0,ISNUMBER(SEARCH("Enrolment 0 terverifikasi",'Offshore - Adelaide'!N403)))),1,0)</f>
        <v>1</v>
      </c>
      <c r="M7" s="0" t="n">
        <f aca="false">IF(OR('Offshore - Adelaide'!E403="",ISNUMBER(SEARCH("BSB80120",'Offshore - Adelaide'!B403&amp;'Offshore - Adelaide'!N403)),ISNUMBER(SEARCH("Management (Learning)",'Offshore - Adelaide'!B403))),2,IF(ISNUMBER(SEARCH("CEK:",'Offshore - Adelaide'!N403)),1,0))</f>
        <v>0</v>
      </c>
    </row>
    <row r="8" customFormat="false" ht="15" hidden="false" customHeight="false" outlineLevel="0" collapsed="false">
      <c r="A8" s="61" t="s">
        <v>3700</v>
      </c>
      <c r="B8" s="62"/>
      <c r="C8" s="62"/>
      <c r="D8" s="62"/>
      <c r="E8" s="62"/>
      <c r="F8" s="62"/>
      <c r="G8" s="62"/>
      <c r="H8" s="62"/>
      <c r="I8" s="62"/>
    </row>
    <row r="9" customFormat="false" ht="15" hidden="false" customHeight="false" outlineLevel="0" collapsed="false">
      <c r="A9" s="63" t="s">
        <v>3659</v>
      </c>
      <c r="B9" s="64" t="s">
        <v>3698</v>
      </c>
      <c r="C9" s="63" t="s">
        <v>41</v>
      </c>
      <c r="D9" s="64" t="str">
        <f aca="false">TRIM(LEFT('Offshore - Adelaide'!A399,FIND(CHAR(10),'Offshore - Adelaide'!A399&amp;CHAR(10))-1))</f>
        <v>Australian Ideal College (AIC)</v>
      </c>
      <c r="E9" s="63" t="str">
        <f aca="false">'Offshore - Adelaide'!C404&amp;""</f>
        <v>2,5 years</v>
      </c>
      <c r="F9" s="63" t="str">
        <f aca="false">IF('Offshore - Adelaide'!D404="","Belum tercatat",'Offshore - Adelaide'!D404)</f>
        <v>Term</v>
      </c>
      <c r="G9" s="65" t="n">
        <f aca="false">IF('Offshore - Adelaide'!E404="","-",'Offshore - Adelaide'!E404)</f>
        <v>1500</v>
      </c>
      <c r="H9" s="63" t="n">
        <f aca="false">IF(ISNUMBER(K9),COUNTIFS($J$6:$J$1854,J9,$K$6:$K$1854,"&lt;"&amp;K9)+1,"-")</f>
        <v>1</v>
      </c>
      <c r="I9" s="64" t="str">
        <f aca="false">IF('Offshore - Adelaide'!E404="","Harga belum tersedia - hubungi konsultan TEG",IF(M9=2,"Saat ini tidak menerima pendaftaran siswa internasional baru",IF(M9=1,"Harga perlu dikonfirmasi ke sekolah"&amp;IF(""="","","; "&amp;""),"")))</f>
        <v/>
      </c>
      <c r="J9" s="0" t="s">
        <v>3701</v>
      </c>
      <c r="K9" s="0" t="n">
        <f aca="false">IF(M9=2,"",IF(ISNUMBER(SEARCH("rata-rata:",'Offshore - Adelaide'!N404)),VALUE(MID('Offshore - Adelaide'!N404,SEARCH("rata-rata:",'Offshore - Adelaide'!N404)+11,FIND(";",'Offshore - Adelaide'!N404&amp;";",SEARCH("rata-rata:",'Offshore - Adelaide'!N404))-SEARCH("rata-rata:",'Offshore - Adelaide'!N404)-11)),IF('Offshore - Adelaide'!D404="Semester",'Offshore - Adelaide'!E404*2,IF('Offshore - Adelaide'!D404="Trimester",'Offshore - Adelaide'!E404*3,IF('Offshore - Adelaide'!D404="Term",'Offshore - Adelaide'!E404*4,IF('Offshore - Adelaide'!D404="Unit",'Offshore - Adelaide'!E404*8,""))))))</f>
        <v>6000</v>
      </c>
      <c r="L9" s="0" t="n">
        <f aca="false">IF(AND(ISNUMBER('Offshore - Adelaide'!E404),ISNUMBER(K9),ISNUMBER('Offshore - Adelaide'!F404),ISNUMBER('Offshore - Adelaide'!G404),OR('Offshore - Adelaide'!F404&lt;&gt;0,ISNUMBER(SEARCH("Material 0 terverifikasi",'Offshore - Adelaide'!N404))),OR('Offshore - Adelaide'!G404&lt;&gt;0,ISNUMBER(SEARCH("Enrolment 0 terverifikasi",'Offshore - Adelaide'!N404)))),1,0)</f>
        <v>1</v>
      </c>
      <c r="M9" s="0" t="n">
        <f aca="false">IF(OR('Offshore - Adelaide'!E404="",ISNUMBER(SEARCH("BSB80120",'Offshore - Adelaide'!B404&amp;'Offshore - Adelaide'!N404)),ISNUMBER(SEARCH("Management (Learning)",'Offshore - Adelaide'!B404))),2,IF(ISNUMBER(SEARCH("CEK:",'Offshore - Adelaide'!N404)),1,0))</f>
        <v>0</v>
      </c>
    </row>
    <row r="10" customFormat="false" ht="15" hidden="false" customHeight="false" outlineLevel="0" collapsed="false">
      <c r="A10" s="61" t="s">
        <v>3702</v>
      </c>
      <c r="B10" s="62"/>
      <c r="C10" s="62"/>
      <c r="D10" s="62"/>
      <c r="E10" s="62"/>
      <c r="F10" s="62"/>
      <c r="G10" s="62"/>
      <c r="H10" s="62"/>
      <c r="I10" s="62"/>
    </row>
    <row r="11" customFormat="false" ht="15" hidden="false" customHeight="false" outlineLevel="0" collapsed="false">
      <c r="A11" s="63" t="s">
        <v>3659</v>
      </c>
      <c r="B11" s="64" t="s">
        <v>3698</v>
      </c>
      <c r="C11" s="63" t="s">
        <v>42</v>
      </c>
      <c r="D11" s="64" t="str">
        <f aca="false">TRIM(LEFT('Offshore - Adelaide'!A399,FIND(CHAR(10),'Offshore - Adelaide'!A399&amp;CHAR(10))-1))</f>
        <v>Australian Ideal College (AIC)</v>
      </c>
      <c r="E11" s="63" t="str">
        <f aca="false">'Offshore - Adelaide'!C406&amp;""</f>
        <v>1 year</v>
      </c>
      <c r="F11" s="63" t="str">
        <f aca="false">IF('Offshore - Adelaide'!D406="","Belum tercatat",'Offshore - Adelaide'!D406)</f>
        <v>Term</v>
      </c>
      <c r="G11" s="65" t="n">
        <f aca="false">IF('Offshore - Adelaide'!E406="","-",'Offshore - Adelaide'!E406)</f>
        <v>1500</v>
      </c>
      <c r="H11" s="63" t="n">
        <f aca="false">IF(ISNUMBER(K11),COUNTIFS($J$6:$J$1854,J11,$K$6:$K$1854,"&lt;"&amp;K11)+1,"-")</f>
        <v>1</v>
      </c>
      <c r="I11" s="64" t="str">
        <f aca="false">IF('Offshore - Adelaide'!E406="","Harga belum tersedia - hubungi konsultan TEG",IF(M11=2,"Saat ini tidak menerima pendaftaran siswa internasional baru",IF(M11=1,"Harga perlu dikonfirmasi ke sekolah"&amp;IF(""="","","; "&amp;""),"")))</f>
        <v/>
      </c>
      <c r="J11" s="0" t="s">
        <v>3703</v>
      </c>
      <c r="K11" s="0" t="n">
        <f aca="false">IF(M11=2,"",IF(ISNUMBER(SEARCH("rata-rata:",'Offshore - Adelaide'!N406)),VALUE(MID('Offshore - Adelaide'!N406,SEARCH("rata-rata:",'Offshore - Adelaide'!N406)+11,FIND(";",'Offshore - Adelaide'!N406&amp;";",SEARCH("rata-rata:",'Offshore - Adelaide'!N406))-SEARCH("rata-rata:",'Offshore - Adelaide'!N406)-11)),IF('Offshore - Adelaide'!D406="Semester",'Offshore - Adelaide'!E406*2,IF('Offshore - Adelaide'!D406="Trimester",'Offshore - Adelaide'!E406*3,IF('Offshore - Adelaide'!D406="Term",'Offshore - Adelaide'!E406*4,IF('Offshore - Adelaide'!D406="Unit",'Offshore - Adelaide'!E406*8,""))))))</f>
        <v>6000</v>
      </c>
      <c r="L11" s="0" t="n">
        <f aca="false">IF(AND(ISNUMBER('Offshore - Adelaide'!E406),ISNUMBER(K11),ISNUMBER('Offshore - Adelaide'!F406),ISNUMBER('Offshore - Adelaide'!G406),OR('Offshore - Adelaide'!F406&lt;&gt;0,ISNUMBER(SEARCH("Material 0 terverifikasi",'Offshore - Adelaide'!N406))),OR('Offshore - Adelaide'!G406&lt;&gt;0,ISNUMBER(SEARCH("Enrolment 0 terverifikasi",'Offshore - Adelaide'!N406)))),1,0)</f>
        <v>1</v>
      </c>
      <c r="M11" s="0" t="n">
        <f aca="false">IF(OR('Offshore - Adelaide'!E406="",ISNUMBER(SEARCH("BSB80120",'Offshore - Adelaide'!B406&amp;'Offshore - Adelaide'!N406)),ISNUMBER(SEARCH("Management (Learning)",'Offshore - Adelaide'!B406))),2,IF(ISNUMBER(SEARCH("CEK:",'Offshore - Adelaide'!N406)),1,0))</f>
        <v>0</v>
      </c>
    </row>
    <row r="12" customFormat="false" ht="15" hidden="false" customHeight="false" outlineLevel="0" collapsed="false">
      <c r="A12" s="61" t="s">
        <v>3704</v>
      </c>
      <c r="B12" s="62"/>
      <c r="C12" s="62"/>
      <c r="D12" s="62"/>
      <c r="E12" s="62"/>
      <c r="F12" s="62"/>
      <c r="G12" s="62"/>
      <c r="H12" s="62"/>
      <c r="I12" s="62"/>
    </row>
    <row r="13" customFormat="false" ht="15" hidden="false" customHeight="false" outlineLevel="0" collapsed="false">
      <c r="A13" s="63" t="s">
        <v>3659</v>
      </c>
      <c r="B13" s="64" t="s">
        <v>3698</v>
      </c>
      <c r="C13" s="63" t="s">
        <v>43</v>
      </c>
      <c r="D13" s="64" t="str">
        <f aca="false">TRIM(LEFT('Offshore - Adelaide'!A13,FIND(CHAR(10),'Offshore - Adelaide'!A13&amp;CHAR(10))-1))</f>
        <v>Adelaide University</v>
      </c>
      <c r="E13" s="63" t="str">
        <f aca="false">'Offshore - Adelaide'!C20&amp;""</f>
        <v>3 years</v>
      </c>
      <c r="F13" s="63" t="str">
        <f aca="false">IF('Offshore - Adelaide'!D20="","Belum tercatat",'Offshore - Adelaide'!D20)</f>
        <v>Term</v>
      </c>
      <c r="G13" s="65" t="n">
        <f aca="false">IF('Offshore - Adelaide'!E20="","-",'Offshore - Adelaide'!E20)</f>
        <v>11275</v>
      </c>
      <c r="H13" s="63" t="n">
        <f aca="false">IF(ISNUMBER(K13),COUNTIFS($J$6:$J$1854,J13,$K$6:$K$1854,"&lt;"&amp;K13)+1,"-")</f>
        <v>1</v>
      </c>
      <c r="I13" s="64" t="str">
        <f aca="false">IF('Offshore - Adelaide'!E20="","Harga belum tersedia - hubungi konsultan TEG",IF(M13=2,"Saat ini tidak menerima pendaftaran siswa internasional baru",IF(M13=1,"Harga perlu dikonfirmasi ke sekolah"&amp;IF(""="","","; "&amp;""),"")))</f>
        <v/>
      </c>
      <c r="J13" s="0" t="s">
        <v>3705</v>
      </c>
      <c r="K13" s="0" t="n">
        <f aca="false">IF(M13=2,"",IF(ISNUMBER(SEARCH("rata-rata:",'Offshore - Adelaide'!N20)),VALUE(MID('Offshore - Adelaide'!N20,SEARCH("rata-rata:",'Offshore - Adelaide'!N20)+11,FIND(";",'Offshore - Adelaide'!N20&amp;";",SEARCH("rata-rata:",'Offshore - Adelaide'!N20))-SEARCH("rata-rata:",'Offshore - Adelaide'!N20)-11)),IF('Offshore - Adelaide'!D20="Semester",'Offshore - Adelaide'!E20*2,IF('Offshore - Adelaide'!D20="Trimester",'Offshore - Adelaide'!E20*3,IF('Offshore - Adelaide'!D20="Term",'Offshore - Adelaide'!E20*4,IF('Offshore - Adelaide'!D20="Unit",'Offshore - Adelaide'!E20*8,""))))))</f>
        <v>45100</v>
      </c>
      <c r="L13" s="0" t="n">
        <f aca="false">IF(AND(ISNUMBER('Offshore - Adelaide'!E20),ISNUMBER(K13),ISNUMBER('Offshore - Adelaide'!F20),ISNUMBER('Offshore - Adelaide'!G20),OR('Offshore - Adelaide'!F20&lt;&gt;0,ISNUMBER(SEARCH("Material 0 terverifikasi",'Offshore - Adelaide'!N20))),OR('Offshore - Adelaide'!G20&lt;&gt;0,ISNUMBER(SEARCH("Enrolment 0 terverifikasi",'Offshore - Adelaide'!N20)))),1,0)</f>
        <v>0</v>
      </c>
      <c r="M13" s="0" t="n">
        <f aca="false">IF(OR('Offshore - Adelaide'!E20="",ISNUMBER(SEARCH("BSB80120",'Offshore - Adelaide'!B20&amp;'Offshore - Adelaide'!N20)),ISNUMBER(SEARCH("Management (Learning)",'Offshore - Adelaide'!B20))),2,IF(ISNUMBER(SEARCH("CEK:",'Offshore - Adelaide'!N20)),1,0))</f>
        <v>0</v>
      </c>
    </row>
    <row r="14" customFormat="false" ht="15" hidden="false" customHeight="false" outlineLevel="0" collapsed="false">
      <c r="A14" s="61" t="s">
        <v>3706</v>
      </c>
      <c r="B14" s="62"/>
      <c r="C14" s="62"/>
      <c r="D14" s="62"/>
      <c r="E14" s="62"/>
      <c r="F14" s="62"/>
      <c r="G14" s="62"/>
      <c r="H14" s="62"/>
      <c r="I14" s="62"/>
    </row>
    <row r="15" customFormat="false" ht="15" hidden="false" customHeight="false" outlineLevel="0" collapsed="false">
      <c r="A15" s="63" t="s">
        <v>3659</v>
      </c>
      <c r="B15" s="64" t="s">
        <v>3698</v>
      </c>
      <c r="C15" s="63" t="s">
        <v>3707</v>
      </c>
      <c r="D15" s="64" t="str">
        <f aca="false">TRIM(LEFT('Offshore - Adelaide'!A441,FIND(CHAR(10),'Offshore - Adelaide'!A441&amp;CHAR(10))-1))</f>
        <v>Kaplan Business School</v>
      </c>
      <c r="E15" s="63" t="str">
        <f aca="false">'Offshore - Adelaide'!C446&amp;""</f>
        <v>0,5 year</v>
      </c>
      <c r="F15" s="63" t="str">
        <f aca="false">IF('Offshore - Adelaide'!D446="","Belum tercatat",'Offshore - Adelaide'!D446)</f>
        <v>Trimester</v>
      </c>
      <c r="G15" s="65" t="n">
        <f aca="false">IF('Offshore - Adelaide'!E446="","-",'Offshore - Adelaide'!E446)</f>
        <v>13600</v>
      </c>
      <c r="H15" s="63" t="n">
        <f aca="false">IF(ISNUMBER(K15),COUNTIFS($J$6:$J$1854,J15,$K$6:$K$1854,"&lt;"&amp;K15)+1,"-")</f>
        <v>1</v>
      </c>
      <c r="I15" s="64" t="str">
        <f aca="false">IF('Offshore - Adelaide'!E446="","Harga belum tersedia - hubungi konsultan TEG",IF(M15=2,"Saat ini tidak menerima pendaftaran siswa internasional baru",IF(M15=1,"Harga perlu dikonfirmasi ke sekolah"&amp;IF(""="","","; "&amp;""),"")))</f>
        <v>Harga perlu dikonfirmasi ke sekolah</v>
      </c>
      <c r="J15" s="0" t="s">
        <v>3708</v>
      </c>
      <c r="K15" s="0" t="n">
        <f aca="false">IF(M15=2,"",IF(ISNUMBER(SEARCH("rata-rata:",'Offshore - Adelaide'!N446)),VALUE(MID('Offshore - Adelaide'!N446,SEARCH("rata-rata:",'Offshore - Adelaide'!N446)+11,FIND(";",'Offshore - Adelaide'!N446&amp;";",SEARCH("rata-rata:",'Offshore - Adelaide'!N446))-SEARCH("rata-rata:",'Offshore - Adelaide'!N446)-11)),IF('Offshore - Adelaide'!D446="Semester",'Offshore - Adelaide'!E446*2,IF('Offshore - Adelaide'!D446="Trimester",'Offshore - Adelaide'!E446*3,IF('Offshore - Adelaide'!D446="Term",'Offshore - Adelaide'!E446*4,IF('Offshore - Adelaide'!D446="Unit",'Offshore - Adelaide'!E446*8,""))))))</f>
        <v>40800</v>
      </c>
      <c r="L15" s="0" t="n">
        <f aca="false">IF(AND(ISNUMBER('Offshore - Adelaide'!E446),ISNUMBER(K15),ISNUMBER('Offshore - Adelaide'!F446),ISNUMBER('Offshore - Adelaide'!G446),OR('Offshore - Adelaide'!F446&lt;&gt;0,ISNUMBER(SEARCH("Material 0 terverifikasi",'Offshore - Adelaide'!N446))),OR('Offshore - Adelaide'!G446&lt;&gt;0,ISNUMBER(SEARCH("Enrolment 0 terverifikasi",'Offshore - Adelaide'!N446)))),1,0)</f>
        <v>1</v>
      </c>
      <c r="M15" s="0" t="n">
        <f aca="false">IF(OR('Offshore - Adelaide'!E446="",ISNUMBER(SEARCH("BSB80120",'Offshore - Adelaide'!B446&amp;'Offshore - Adelaide'!N446)),ISNUMBER(SEARCH("Management (Learning)",'Offshore - Adelaide'!B446))),2,IF(ISNUMBER(SEARCH("CEK:",'Offshore - Adelaide'!N446)),1,0))</f>
        <v>1</v>
      </c>
    </row>
    <row r="16" customFormat="false" ht="15" hidden="false" customHeight="false" outlineLevel="0" collapsed="false">
      <c r="A16" s="61" t="s">
        <v>3709</v>
      </c>
      <c r="B16" s="62"/>
      <c r="C16" s="62"/>
      <c r="D16" s="62"/>
      <c r="E16" s="62"/>
      <c r="F16" s="62"/>
      <c r="G16" s="62"/>
      <c r="H16" s="62"/>
      <c r="I16" s="62"/>
    </row>
    <row r="17" customFormat="false" ht="15" hidden="false" customHeight="false" outlineLevel="0" collapsed="false">
      <c r="A17" s="63" t="s">
        <v>3659</v>
      </c>
      <c r="B17" s="64" t="s">
        <v>3698</v>
      </c>
      <c r="C17" s="63" t="s">
        <v>46</v>
      </c>
      <c r="D17" s="64" t="str">
        <f aca="false">TRIM(LEFT('Offshore - Adelaide'!A441,FIND(CHAR(10),'Offshore - Adelaide'!A441&amp;CHAR(10))-1))</f>
        <v>Kaplan Business School</v>
      </c>
      <c r="E17" s="63" t="str">
        <f aca="false">'Offshore - Adelaide'!C447&amp;""</f>
        <v>2 years</v>
      </c>
      <c r="F17" s="63" t="str">
        <f aca="false">IF('Offshore - Adelaide'!D447="","Belum tercatat",'Offshore - Adelaide'!D447)</f>
        <v>Trimester</v>
      </c>
      <c r="G17" s="65" t="n">
        <f aca="false">IF('Offshore - Adelaide'!E447="","-",'Offshore - Adelaide'!E447)</f>
        <v>13600</v>
      </c>
      <c r="H17" s="63" t="n">
        <f aca="false">IF(ISNUMBER(K17),COUNTIFS($J$6:$J$1854,J17,$K$6:$K$1854,"&lt;"&amp;K17)+1,"-")</f>
        <v>1</v>
      </c>
      <c r="I17" s="64" t="str">
        <f aca="false">IF('Offshore - Adelaide'!E447="","Harga belum tersedia - hubungi konsultan TEG",IF(M17=2,"Saat ini tidak menerima pendaftaran siswa internasional baru",IF(M17=1,"Harga perlu dikonfirmasi ke sekolah"&amp;IF(""="","","; "&amp;""),"")))</f>
        <v>Harga perlu dikonfirmasi ke sekolah</v>
      </c>
      <c r="J17" s="0" t="s">
        <v>3710</v>
      </c>
      <c r="K17" s="0" t="n">
        <f aca="false">IF(M17=2,"",IF(ISNUMBER(SEARCH("rata-rata:",'Offshore - Adelaide'!N447)),VALUE(MID('Offshore - Adelaide'!N447,SEARCH("rata-rata:",'Offshore - Adelaide'!N447)+11,FIND(";",'Offshore - Adelaide'!N447&amp;";",SEARCH("rata-rata:",'Offshore - Adelaide'!N447))-SEARCH("rata-rata:",'Offshore - Adelaide'!N447)-11)),IF('Offshore - Adelaide'!D447="Semester",'Offshore - Adelaide'!E447*2,IF('Offshore - Adelaide'!D447="Trimester",'Offshore - Adelaide'!E447*3,IF('Offshore - Adelaide'!D447="Term",'Offshore - Adelaide'!E447*4,IF('Offshore - Adelaide'!D447="Unit",'Offshore - Adelaide'!E447*8,""))))))</f>
        <v>40800</v>
      </c>
      <c r="L17" s="0" t="n">
        <f aca="false">IF(AND(ISNUMBER('Offshore - Adelaide'!E447),ISNUMBER(K17),ISNUMBER('Offshore - Adelaide'!F447),ISNUMBER('Offshore - Adelaide'!G447),OR('Offshore - Adelaide'!F447&lt;&gt;0,ISNUMBER(SEARCH("Material 0 terverifikasi",'Offshore - Adelaide'!N447))),OR('Offshore - Adelaide'!G447&lt;&gt;0,ISNUMBER(SEARCH("Enrolment 0 terverifikasi",'Offshore - Adelaide'!N447)))),1,0)</f>
        <v>1</v>
      </c>
      <c r="M17" s="0" t="n">
        <f aca="false">IF(OR('Offshore - Adelaide'!E447="",ISNUMBER(SEARCH("BSB80120",'Offshore - Adelaide'!B447&amp;'Offshore - Adelaide'!N447)),ISNUMBER(SEARCH("Management (Learning)",'Offshore - Adelaide'!B447))),2,IF(ISNUMBER(SEARCH("CEK:",'Offshore - Adelaide'!N447)),1,0))</f>
        <v>1</v>
      </c>
    </row>
    <row r="18" customFormat="false" ht="15" hidden="false" customHeight="false" outlineLevel="0" collapsed="false">
      <c r="A18" s="63" t="s">
        <v>3659</v>
      </c>
      <c r="B18" s="64" t="s">
        <v>3698</v>
      </c>
      <c r="C18" s="63" t="s">
        <v>46</v>
      </c>
      <c r="D18" s="64" t="str">
        <f aca="false">TRIM(LEFT('Offshore - Adelaide'!A13,FIND(CHAR(10),'Offshore - Adelaide'!A13&amp;CHAR(10))-1))</f>
        <v>Adelaide University</v>
      </c>
      <c r="E18" s="63" t="str">
        <f aca="false">'Offshore - Adelaide'!C297&amp;""</f>
        <v>2 years</v>
      </c>
      <c r="F18" s="63" t="str">
        <f aca="false">IF('Offshore - Adelaide'!D297="","Belum tercatat",'Offshore - Adelaide'!D297)</f>
        <v>Term</v>
      </c>
      <c r="G18" s="65" t="n">
        <f aca="false">IF('Offshore - Adelaide'!E297="","-",'Offshore - Adelaide'!E297)</f>
        <v>13125</v>
      </c>
      <c r="H18" s="63" t="n">
        <f aca="false">IF(ISNUMBER(K18),COUNTIFS($J$6:$J$1854,J18,$K$6:$K$1854,"&lt;"&amp;K18)+1,"-")</f>
        <v>2</v>
      </c>
      <c r="I18" s="64" t="str">
        <f aca="false">IF('Offshore - Adelaide'!E297="","Harga belum tersedia - hubungi konsultan TEG",IF(M18=2,"Saat ini tidak menerima pendaftaran siswa internasional baru",IF(M18=1,"Harga perlu dikonfirmasi ke sekolah"&amp;IF(""="","","; "&amp;""),"")))</f>
        <v/>
      </c>
      <c r="J18" s="0" t="s">
        <v>3710</v>
      </c>
      <c r="K18" s="0" t="n">
        <f aca="false">IF(M18=2,"",IF(ISNUMBER(SEARCH("rata-rata:",'Offshore - Adelaide'!N297)),VALUE(MID('Offshore - Adelaide'!N297,SEARCH("rata-rata:",'Offshore - Adelaide'!N297)+11,FIND(";",'Offshore - Adelaide'!N297&amp;";",SEARCH("rata-rata:",'Offshore - Adelaide'!N297))-SEARCH("rata-rata:",'Offshore - Adelaide'!N297)-11)),IF('Offshore - Adelaide'!D297="Semester",'Offshore - Adelaide'!E297*2,IF('Offshore - Adelaide'!D297="Trimester",'Offshore - Adelaide'!E297*3,IF('Offshore - Adelaide'!D297="Term",'Offshore - Adelaide'!E297*4,IF('Offshore - Adelaide'!D297="Unit",'Offshore - Adelaide'!E297*8,""))))))</f>
        <v>52500</v>
      </c>
      <c r="L18" s="0" t="n">
        <f aca="false">IF(AND(ISNUMBER('Offshore - Adelaide'!E297),ISNUMBER(K18),ISNUMBER('Offshore - Adelaide'!F297),ISNUMBER('Offshore - Adelaide'!G297),OR('Offshore - Adelaide'!F297&lt;&gt;0,ISNUMBER(SEARCH("Material 0 terverifikasi",'Offshore - Adelaide'!N297))),OR('Offshore - Adelaide'!G297&lt;&gt;0,ISNUMBER(SEARCH("Enrolment 0 terverifikasi",'Offshore - Adelaide'!N297)))),1,0)</f>
        <v>0</v>
      </c>
      <c r="M18" s="0" t="n">
        <f aca="false">IF(OR('Offshore - Adelaide'!E297="",ISNUMBER(SEARCH("BSB80120",'Offshore - Adelaide'!B297&amp;'Offshore - Adelaide'!N297)),ISNUMBER(SEARCH("Management (Learning)",'Offshore - Adelaide'!B297))),2,IF(ISNUMBER(SEARCH("CEK:",'Offshore - Adelaide'!N297)),1,0))</f>
        <v>0</v>
      </c>
    </row>
    <row r="19" customFormat="false" ht="15" hidden="false" customHeight="false" outlineLevel="0" collapsed="false">
      <c r="A19" s="61" t="s">
        <v>3711</v>
      </c>
      <c r="B19" s="62"/>
      <c r="C19" s="62"/>
      <c r="D19" s="62"/>
      <c r="E19" s="62"/>
      <c r="F19" s="62"/>
      <c r="G19" s="62"/>
      <c r="H19" s="62"/>
      <c r="I19" s="62"/>
    </row>
    <row r="20" customFormat="false" ht="15" hidden="false" customHeight="false" outlineLevel="0" collapsed="false">
      <c r="A20" s="63" t="s">
        <v>3563</v>
      </c>
      <c r="B20" s="64" t="s">
        <v>3698</v>
      </c>
      <c r="C20" s="63" t="s">
        <v>43</v>
      </c>
      <c r="D20" s="64" t="str">
        <f aca="false">TRIM(LEFT('Offshore - Brisbane'!A50,FIND(CHAR(10),'Offshore - Brisbane'!A50&amp;CHAR(10))-1))</f>
        <v>Australian Business Institute (ABI)</v>
      </c>
      <c r="E20" s="63" t="str">
        <f aca="false">'Offshore - Brisbane'!C50&amp;""</f>
        <v>3 years</v>
      </c>
      <c r="F20" s="63" t="str">
        <f aca="false">IF('Offshore - Brisbane'!D50="","Belum tercatat",'Offshore - Brisbane'!D50)</f>
        <v>Term</v>
      </c>
      <c r="G20" s="65" t="n">
        <f aca="false">IF('Offshore - Brisbane'!E50="","-",'Offshore - Brisbane'!E50)</f>
        <v>3000</v>
      </c>
      <c r="H20" s="63" t="n">
        <f aca="false">IF(ISNUMBER(K20),COUNTIFS($J$6:$J$1854,J20,$K$6:$K$1854,"&lt;"&amp;K20)+1,"-")</f>
        <v>1</v>
      </c>
      <c r="I20" s="64" t="str">
        <f aca="false">IF('Offshore - Brisbane'!E50="","Harga belum tersedia - hubungi konsultan TEG",IF(M20=2,"Saat ini tidak menerima pendaftaran siswa internasional baru",IF(M20=1,"Harga perlu dikonfirmasi ke sekolah"&amp;IF(""="","","; "&amp;""),"")))</f>
        <v/>
      </c>
      <c r="J20" s="0" t="s">
        <v>3712</v>
      </c>
      <c r="K20" s="0" t="n">
        <f aca="false">IF(M20=2,"",IF(ISNUMBER(SEARCH("rata-rata:",'Offshore - Brisbane'!N50)),VALUE(MID('Offshore - Brisbane'!N50,SEARCH("rata-rata:",'Offshore - Brisbane'!N50)+11,FIND(";",'Offshore - Brisbane'!N50&amp;";",SEARCH("rata-rata:",'Offshore - Brisbane'!N50))-SEARCH("rata-rata:",'Offshore - Brisbane'!N50)-11)),IF('Offshore - Brisbane'!D50="Semester",'Offshore - Brisbane'!E50*2,IF('Offshore - Brisbane'!D50="Trimester",'Offshore - Brisbane'!E50*3,IF('Offshore - Brisbane'!D50="Term",'Offshore - Brisbane'!E50*4,IF('Offshore - Brisbane'!D50="Unit",'Offshore - Brisbane'!E50*8,""))))))</f>
        <v>12000</v>
      </c>
      <c r="L20" s="0" t="n">
        <f aca="false">IF(AND(ISNUMBER('Offshore - Brisbane'!E50),ISNUMBER(K20),ISNUMBER('Offshore - Brisbane'!F50),ISNUMBER('Offshore - Brisbane'!G50),OR('Offshore - Brisbane'!F50&lt;&gt;0,ISNUMBER(SEARCH("Material 0 terverifikasi",'Offshore - Brisbane'!N50))),OR('Offshore - Brisbane'!G50&lt;&gt;0,ISNUMBER(SEARCH("Enrolment 0 terverifikasi",'Offshore - Brisbane'!N50)))),1,0)</f>
        <v>0</v>
      </c>
      <c r="M20" s="0" t="n">
        <f aca="false">IF(OR('Offshore - Brisbane'!E50="",ISNUMBER(SEARCH("BSB80120",'Offshore - Brisbane'!B50&amp;'Offshore - Brisbane'!N50)),ISNUMBER(SEARCH("Management (Learning)",'Offshore - Brisbane'!B50))),2,IF(ISNUMBER(SEARCH("CEK:",'Offshore - Brisbane'!N50)),1,0))</f>
        <v>0</v>
      </c>
    </row>
    <row r="21" customFormat="false" ht="15" hidden="false" customHeight="false" outlineLevel="0" collapsed="false">
      <c r="A21" s="63" t="s">
        <v>3563</v>
      </c>
      <c r="B21" s="64" t="s">
        <v>3698</v>
      </c>
      <c r="C21" s="63" t="s">
        <v>43</v>
      </c>
      <c r="D21" s="64" t="str">
        <f aca="false">TRIM(LEFT('Offshore - Brisbane'!A53,FIND(CHAR(10),'Offshore - Brisbane'!A53&amp;CHAR(10))-1))</f>
        <v>Australian Catholic University (ACU)</v>
      </c>
      <c r="E21" s="63" t="str">
        <f aca="false">'Offshore - Brisbane'!C53&amp;""</f>
        <v>3 years</v>
      </c>
      <c r="F21" s="63" t="str">
        <f aca="false">IF('Offshore - Brisbane'!D53="","Belum tercatat",'Offshore - Brisbane'!D53)</f>
        <v>Term</v>
      </c>
      <c r="G21" s="65" t="n">
        <f aca="false">IF('Offshore - Brisbane'!E53="","-",'Offshore - Brisbane'!E53)</f>
        <v>8742</v>
      </c>
      <c r="H21" s="63" t="n">
        <f aca="false">IF(ISNUMBER(K21),COUNTIFS($J$6:$J$1854,J21,$K$6:$K$1854,"&lt;"&amp;K21)+1,"-")</f>
        <v>2</v>
      </c>
      <c r="I21" s="64" t="str">
        <f aca="false">IF('Offshore - Brisbane'!E53="","Harga belum tersedia - hubungi konsultan TEG",IF(M21=2,"Saat ini tidak menerima pendaftaran siswa internasional baru",IF(M21=1,"Harga perlu dikonfirmasi ke sekolah"&amp;IF(""="","","; "&amp;""),"")))</f>
        <v/>
      </c>
      <c r="J21" s="0" t="s">
        <v>3712</v>
      </c>
      <c r="K21" s="0" t="n">
        <f aca="false">IF(M21=2,"",IF(ISNUMBER(SEARCH("rata-rata:",'Offshore - Brisbane'!N53)),VALUE(MID('Offshore - Brisbane'!N53,SEARCH("rata-rata:",'Offshore - Brisbane'!N53)+11,FIND(";",'Offshore - Brisbane'!N53&amp;";",SEARCH("rata-rata:",'Offshore - Brisbane'!N53))-SEARCH("rata-rata:",'Offshore - Brisbane'!N53)-11)),IF('Offshore - Brisbane'!D53="Semester",'Offshore - Brisbane'!E53*2,IF('Offshore - Brisbane'!D53="Trimester",'Offshore - Brisbane'!E53*3,IF('Offshore - Brisbane'!D53="Term",'Offshore - Brisbane'!E53*4,IF('Offshore - Brisbane'!D53="Unit",'Offshore - Brisbane'!E53*8,""))))))</f>
        <v>34968</v>
      </c>
      <c r="L21" s="0" t="n">
        <f aca="false">IF(AND(ISNUMBER('Offshore - Brisbane'!E53),ISNUMBER(K21),ISNUMBER('Offshore - Brisbane'!F53),ISNUMBER('Offshore - Brisbane'!G53),OR('Offshore - Brisbane'!F53&lt;&gt;0,ISNUMBER(SEARCH("Material 0 terverifikasi",'Offshore - Brisbane'!N53))),OR('Offshore - Brisbane'!G53&lt;&gt;0,ISNUMBER(SEARCH("Enrolment 0 terverifikasi",'Offshore - Brisbane'!N53)))),1,0)</f>
        <v>0</v>
      </c>
      <c r="M21" s="0" t="n">
        <f aca="false">IF(OR('Offshore - Brisbane'!E53="",ISNUMBER(SEARCH("BSB80120",'Offshore - Brisbane'!B53&amp;'Offshore - Brisbane'!N53)),ISNUMBER(SEARCH("Management (Learning)",'Offshore - Brisbane'!B53))),2,IF(ISNUMBER(SEARCH("CEK:",'Offshore - Brisbane'!N53)),1,0))</f>
        <v>0</v>
      </c>
    </row>
    <row r="22" customFormat="false" ht="15" hidden="false" customHeight="false" outlineLevel="0" collapsed="false">
      <c r="A22" s="61" t="s">
        <v>3713</v>
      </c>
      <c r="B22" s="62"/>
      <c r="C22" s="62"/>
      <c r="D22" s="62"/>
      <c r="E22" s="62"/>
      <c r="F22" s="62"/>
      <c r="G22" s="62"/>
      <c r="H22" s="62"/>
      <c r="I22" s="62"/>
    </row>
    <row r="23" customFormat="false" ht="15" hidden="false" customHeight="false" outlineLevel="0" collapsed="false">
      <c r="A23" s="63" t="s">
        <v>3563</v>
      </c>
      <c r="B23" s="64" t="s">
        <v>3698</v>
      </c>
      <c r="C23" s="63" t="s">
        <v>3707</v>
      </c>
      <c r="D23" s="64" t="str">
        <f aca="false">TRIM(LEFT('Offshore - Brisbane'!A250,FIND(CHAR(10),'Offshore - Brisbane'!A250&amp;CHAR(10))-1))</f>
        <v>Kaplan Business School</v>
      </c>
      <c r="E23" s="63" t="str">
        <f aca="false">'Offshore - Brisbane'!C255&amp;""</f>
        <v>0,5 year</v>
      </c>
      <c r="F23" s="63" t="str">
        <f aca="false">IF('Offshore - Brisbane'!D255="","Belum tercatat",'Offshore - Brisbane'!D255)</f>
        <v>Trimester</v>
      </c>
      <c r="G23" s="65" t="n">
        <f aca="false">IF('Offshore - Brisbane'!E255="","-",'Offshore - Brisbane'!E255)</f>
        <v>13600</v>
      </c>
      <c r="H23" s="63" t="n">
        <f aca="false">IF(ISNUMBER(K23),COUNTIFS($J$6:$J$1854,J23,$K$6:$K$1854,"&lt;"&amp;K23)+1,"-")</f>
        <v>1</v>
      </c>
      <c r="I23" s="64" t="str">
        <f aca="false">IF('Offshore - Brisbane'!E255="","Harga belum tersedia - hubungi konsultan TEG",IF(M23=2,"Saat ini tidak menerima pendaftaran siswa internasional baru",IF(M23=1,"Harga perlu dikonfirmasi ke sekolah"&amp;IF(""="","","; "&amp;""),"")))</f>
        <v>Harga perlu dikonfirmasi ke sekolah</v>
      </c>
      <c r="J23" s="0" t="s">
        <v>3714</v>
      </c>
      <c r="K23" s="0" t="n">
        <f aca="false">IF(M23=2,"",IF(ISNUMBER(SEARCH("rata-rata:",'Offshore - Brisbane'!N255)),VALUE(MID('Offshore - Brisbane'!N255,SEARCH("rata-rata:",'Offshore - Brisbane'!N255)+11,FIND(";",'Offshore - Brisbane'!N255&amp;";",SEARCH("rata-rata:",'Offshore - Brisbane'!N255))-SEARCH("rata-rata:",'Offshore - Brisbane'!N255)-11)),IF('Offshore - Brisbane'!D255="Semester",'Offshore - Brisbane'!E255*2,IF('Offshore - Brisbane'!D255="Trimester",'Offshore - Brisbane'!E255*3,IF('Offshore - Brisbane'!D255="Term",'Offshore - Brisbane'!E255*4,IF('Offshore - Brisbane'!D255="Unit",'Offshore - Brisbane'!E255*8,""))))))</f>
        <v>40800</v>
      </c>
      <c r="L23" s="0" t="n">
        <f aca="false">IF(AND(ISNUMBER('Offshore - Brisbane'!E255),ISNUMBER(K23),ISNUMBER('Offshore - Brisbane'!F255),ISNUMBER('Offshore - Brisbane'!G255),OR('Offshore - Brisbane'!F255&lt;&gt;0,ISNUMBER(SEARCH("Material 0 terverifikasi",'Offshore - Brisbane'!N255))),OR('Offshore - Brisbane'!G255&lt;&gt;0,ISNUMBER(SEARCH("Enrolment 0 terverifikasi",'Offshore - Brisbane'!N255)))),1,0)</f>
        <v>1</v>
      </c>
      <c r="M23" s="0" t="n">
        <f aca="false">IF(OR('Offshore - Brisbane'!E255="",ISNUMBER(SEARCH("BSB80120",'Offshore - Brisbane'!B255&amp;'Offshore - Brisbane'!N255)),ISNUMBER(SEARCH("Management (Learning)",'Offshore - Brisbane'!B255))),2,IF(ISNUMBER(SEARCH("CEK:",'Offshore - Brisbane'!N255)),1,0))</f>
        <v>1</v>
      </c>
    </row>
    <row r="24" customFormat="false" ht="15" hidden="false" customHeight="false" outlineLevel="0" collapsed="false">
      <c r="A24" s="61" t="s">
        <v>3715</v>
      </c>
      <c r="B24" s="62"/>
      <c r="C24" s="62"/>
      <c r="D24" s="62"/>
      <c r="E24" s="62"/>
      <c r="F24" s="62"/>
      <c r="G24" s="62"/>
      <c r="H24" s="62"/>
      <c r="I24" s="62"/>
    </row>
    <row r="25" customFormat="false" ht="15" hidden="false" customHeight="false" outlineLevel="0" collapsed="false">
      <c r="A25" s="63" t="s">
        <v>3563</v>
      </c>
      <c r="B25" s="64" t="s">
        <v>3698</v>
      </c>
      <c r="C25" s="63" t="s">
        <v>46</v>
      </c>
      <c r="D25" s="64" t="str">
        <f aca="false">TRIM(LEFT('Offshore - Brisbane'!A8,FIND(CHAR(10),'Offshore - Brisbane'!A8&amp;CHAR(10))-1))</f>
        <v>AIBI Higher Education</v>
      </c>
      <c r="E25" s="63" t="str">
        <f aca="false">'Offshore - Brisbane'!C16&amp;""</f>
        <v>2 years</v>
      </c>
      <c r="F25" s="63" t="str">
        <f aca="false">IF('Offshore - Brisbane'!D16="","Belum tercatat",'Offshore - Brisbane'!D16)</f>
        <v>Term</v>
      </c>
      <c r="G25" s="65" t="n">
        <f aca="false">IF('Offshore - Brisbane'!E16="","-",'Offshore - Brisbane'!E16)</f>
        <v>4050</v>
      </c>
      <c r="H25" s="63" t="n">
        <f aca="false">IF(ISNUMBER(K25),COUNTIFS($J$6:$J$1854,J25,$K$6:$K$1854,"&lt;"&amp;K25)+1,"-")</f>
        <v>1</v>
      </c>
      <c r="I25" s="64" t="str">
        <f aca="false">IF('Offshore - Brisbane'!E16="","Harga belum tersedia - hubungi konsultan TEG",IF(M25=2,"Saat ini tidak menerima pendaftaran siswa internasional baru",IF(M25=1,"Harga perlu dikonfirmasi ke sekolah"&amp;IF(""="","","; "&amp;""),"")))</f>
        <v>Harga perlu dikonfirmasi ke sekolah</v>
      </c>
      <c r="J25" s="0" t="s">
        <v>3716</v>
      </c>
      <c r="K25" s="0" t="n">
        <f aca="false">IF(M25=2,"",IF(ISNUMBER(SEARCH("rata-rata:",'Offshore - Brisbane'!N16)),VALUE(MID('Offshore - Brisbane'!N16,SEARCH("rata-rata:",'Offshore - Brisbane'!N16)+11,FIND(";",'Offshore - Brisbane'!N16&amp;";",SEARCH("rata-rata:",'Offshore - Brisbane'!N16))-SEARCH("rata-rata:",'Offshore - Brisbane'!N16)-11)),IF('Offshore - Brisbane'!D16="Semester",'Offshore - Brisbane'!E16*2,IF('Offshore - Brisbane'!D16="Trimester",'Offshore - Brisbane'!E16*3,IF('Offshore - Brisbane'!D16="Term",'Offshore - Brisbane'!E16*4,IF('Offshore - Brisbane'!D16="Unit",'Offshore - Brisbane'!E16*8,""))))))</f>
        <v>16200</v>
      </c>
      <c r="L25" s="0" t="n">
        <f aca="false">IF(AND(ISNUMBER('Offshore - Brisbane'!E16),ISNUMBER(K25),ISNUMBER('Offshore - Brisbane'!F16),ISNUMBER('Offshore - Brisbane'!G16),OR('Offshore - Brisbane'!F16&lt;&gt;0,ISNUMBER(SEARCH("Material 0 terverifikasi",'Offshore - Brisbane'!N16))),OR('Offshore - Brisbane'!G16&lt;&gt;0,ISNUMBER(SEARCH("Enrolment 0 terverifikasi",'Offshore - Brisbane'!N16)))),1,0)</f>
        <v>0</v>
      </c>
      <c r="M25" s="0" t="n">
        <f aca="false">IF(OR('Offshore - Brisbane'!E16="",ISNUMBER(SEARCH("BSB80120",'Offshore - Brisbane'!B16&amp;'Offshore - Brisbane'!N16)),ISNUMBER(SEARCH("Management (Learning)",'Offshore - Brisbane'!B16))),2,IF(ISNUMBER(SEARCH("CEK:",'Offshore - Brisbane'!N16)),1,0))</f>
        <v>1</v>
      </c>
    </row>
    <row r="26" customFormat="false" ht="15" hidden="false" customHeight="false" outlineLevel="0" collapsed="false">
      <c r="A26" s="63" t="s">
        <v>3563</v>
      </c>
      <c r="B26" s="64" t="s">
        <v>3698</v>
      </c>
      <c r="C26" s="63" t="s">
        <v>46</v>
      </c>
      <c r="D26" s="64" t="str">
        <f aca="false">TRIM(LEFT('Offshore - Brisbane'!A53,FIND(CHAR(10),'Offshore - Brisbane'!A53&amp;CHAR(10))-1))</f>
        <v>Australian Catholic University (ACU)</v>
      </c>
      <c r="E26" s="63" t="str">
        <f aca="false">'Offshore - Brisbane'!C81&amp;""</f>
        <v>2 years</v>
      </c>
      <c r="F26" s="63" t="str">
        <f aca="false">IF('Offshore - Brisbane'!D81="","Belum tercatat",'Offshore - Brisbane'!D81)</f>
        <v>Term</v>
      </c>
      <c r="G26" s="65" t="n">
        <f aca="false">IF('Offshore - Brisbane'!E81="","-",'Offshore - Brisbane'!E81)</f>
        <v>9524</v>
      </c>
      <c r="H26" s="63" t="n">
        <f aca="false">IF(ISNUMBER(K26),COUNTIFS($J$6:$J$1854,J26,$K$6:$K$1854,"&lt;"&amp;K26)+1,"-")</f>
        <v>2</v>
      </c>
      <c r="I26" s="64" t="str">
        <f aca="false">IF('Offshore - Brisbane'!E81="","Harga belum tersedia - hubungi konsultan TEG",IF(M26=2,"Saat ini tidak menerima pendaftaran siswa internasional baru",IF(M26=1,"Harga perlu dikonfirmasi ke sekolah"&amp;IF(""="","","; "&amp;""),"")))</f>
        <v/>
      </c>
      <c r="J26" s="0" t="s">
        <v>3716</v>
      </c>
      <c r="K26" s="0" t="n">
        <f aca="false">IF(M26=2,"",IF(ISNUMBER(SEARCH("rata-rata:",'Offshore - Brisbane'!N81)),VALUE(MID('Offshore - Brisbane'!N81,SEARCH("rata-rata:",'Offshore - Brisbane'!N81)+11,FIND(";",'Offshore - Brisbane'!N81&amp;";",SEARCH("rata-rata:",'Offshore - Brisbane'!N81))-SEARCH("rata-rata:",'Offshore - Brisbane'!N81)-11)),IF('Offshore - Brisbane'!D81="Semester",'Offshore - Brisbane'!E81*2,IF('Offshore - Brisbane'!D81="Trimester",'Offshore - Brisbane'!E81*3,IF('Offshore - Brisbane'!D81="Term",'Offshore - Brisbane'!E81*4,IF('Offshore - Brisbane'!D81="Unit",'Offshore - Brisbane'!E81*8,""))))))</f>
        <v>38096</v>
      </c>
      <c r="L26" s="0" t="n">
        <f aca="false">IF(AND(ISNUMBER('Offshore - Brisbane'!E81),ISNUMBER(K26),ISNUMBER('Offshore - Brisbane'!F81),ISNUMBER('Offshore - Brisbane'!G81),OR('Offshore - Brisbane'!F81&lt;&gt;0,ISNUMBER(SEARCH("Material 0 terverifikasi",'Offshore - Brisbane'!N81))),OR('Offshore - Brisbane'!G81&lt;&gt;0,ISNUMBER(SEARCH("Enrolment 0 terverifikasi",'Offshore - Brisbane'!N81)))),1,0)</f>
        <v>0</v>
      </c>
      <c r="M26" s="0" t="n">
        <f aca="false">IF(OR('Offshore - Brisbane'!E81="",ISNUMBER(SEARCH("BSB80120",'Offshore - Brisbane'!B81&amp;'Offshore - Brisbane'!N81)),ISNUMBER(SEARCH("Management (Learning)",'Offshore - Brisbane'!B81))),2,IF(ISNUMBER(SEARCH("CEK:",'Offshore - Brisbane'!N81)),1,0))</f>
        <v>0</v>
      </c>
    </row>
    <row r="27" customFormat="false" ht="15" hidden="false" customHeight="false" outlineLevel="0" collapsed="false">
      <c r="A27" s="63" t="s">
        <v>3563</v>
      </c>
      <c r="B27" s="64" t="s">
        <v>3698</v>
      </c>
      <c r="C27" s="63" t="s">
        <v>46</v>
      </c>
      <c r="D27" s="64" t="str">
        <f aca="false">TRIM(LEFT('Offshore - Brisbane'!A250,FIND(CHAR(10),'Offshore - Brisbane'!A250&amp;CHAR(10))-1))</f>
        <v>Kaplan Business School</v>
      </c>
      <c r="E27" s="63" t="str">
        <f aca="false">'Offshore - Brisbane'!C256&amp;""</f>
        <v>2 years</v>
      </c>
      <c r="F27" s="63" t="str">
        <f aca="false">IF('Offshore - Brisbane'!D256="","Belum tercatat",'Offshore - Brisbane'!D256)</f>
        <v>Trimester</v>
      </c>
      <c r="G27" s="65" t="n">
        <f aca="false">IF('Offshore - Brisbane'!E256="","-",'Offshore - Brisbane'!E256)</f>
        <v>13600</v>
      </c>
      <c r="H27" s="63" t="n">
        <f aca="false">IF(ISNUMBER(K27),COUNTIFS($J$6:$J$1854,J27,$K$6:$K$1854,"&lt;"&amp;K27)+1,"-")</f>
        <v>3</v>
      </c>
      <c r="I27" s="64" t="str">
        <f aca="false">IF('Offshore - Brisbane'!E256="","Harga belum tersedia - hubungi konsultan TEG",IF(M27=2,"Saat ini tidak menerima pendaftaran siswa internasional baru",IF(M27=1,"Harga perlu dikonfirmasi ke sekolah"&amp;IF(""="","","; "&amp;""),"")))</f>
        <v>Harga perlu dikonfirmasi ke sekolah</v>
      </c>
      <c r="J27" s="0" t="s">
        <v>3716</v>
      </c>
      <c r="K27" s="0" t="n">
        <f aca="false">IF(M27=2,"",IF(ISNUMBER(SEARCH("rata-rata:",'Offshore - Brisbane'!N256)),VALUE(MID('Offshore - Brisbane'!N256,SEARCH("rata-rata:",'Offshore - Brisbane'!N256)+11,FIND(";",'Offshore - Brisbane'!N256&amp;";",SEARCH("rata-rata:",'Offshore - Brisbane'!N256))-SEARCH("rata-rata:",'Offshore - Brisbane'!N256)-11)),IF('Offshore - Brisbane'!D256="Semester",'Offshore - Brisbane'!E256*2,IF('Offshore - Brisbane'!D256="Trimester",'Offshore - Brisbane'!E256*3,IF('Offshore - Brisbane'!D256="Term",'Offshore - Brisbane'!E256*4,IF('Offshore - Brisbane'!D256="Unit",'Offshore - Brisbane'!E256*8,""))))))</f>
        <v>40800</v>
      </c>
      <c r="L27" s="0" t="n">
        <f aca="false">IF(AND(ISNUMBER('Offshore - Brisbane'!E256),ISNUMBER(K27),ISNUMBER('Offshore - Brisbane'!F256),ISNUMBER('Offshore - Brisbane'!G256),OR('Offshore - Brisbane'!F256&lt;&gt;0,ISNUMBER(SEARCH("Material 0 terverifikasi",'Offshore - Brisbane'!N256))),OR('Offshore - Brisbane'!G256&lt;&gt;0,ISNUMBER(SEARCH("Enrolment 0 terverifikasi",'Offshore - Brisbane'!N256)))),1,0)</f>
        <v>1</v>
      </c>
      <c r="M27" s="0" t="n">
        <f aca="false">IF(OR('Offshore - Brisbane'!E256="",ISNUMBER(SEARCH("BSB80120",'Offshore - Brisbane'!B256&amp;'Offshore - Brisbane'!N256)),ISNUMBER(SEARCH("Management (Learning)",'Offshore - Brisbane'!B256))),2,IF(ISNUMBER(SEARCH("CEK:",'Offshore - Brisbane'!N256)),1,0))</f>
        <v>1</v>
      </c>
    </row>
    <row r="28" customFormat="false" ht="15" hidden="false" customHeight="false" outlineLevel="0" collapsed="false">
      <c r="A28" s="61" t="s">
        <v>3717</v>
      </c>
      <c r="B28" s="62"/>
      <c r="C28" s="62"/>
      <c r="D28" s="62"/>
      <c r="E28" s="62"/>
      <c r="F28" s="62"/>
      <c r="G28" s="62"/>
      <c r="H28" s="62"/>
      <c r="I28" s="62"/>
    </row>
    <row r="29" customFormat="false" ht="15" hidden="false" customHeight="false" outlineLevel="0" collapsed="false">
      <c r="A29" s="63" t="s">
        <v>3718</v>
      </c>
      <c r="B29" s="64" t="s">
        <v>3698</v>
      </c>
      <c r="C29" s="63" t="s">
        <v>43</v>
      </c>
      <c r="D29" s="64" t="str">
        <f aca="false">TRIM(LEFT('Offshore - Canberra'!A123,FIND(CHAR(10),'Offshore - Canberra'!A123&amp;CHAR(10))-1))</f>
        <v>CIHE Australia</v>
      </c>
      <c r="E29" s="63" t="str">
        <f aca="false">'Offshore - Canberra'!C131&amp;""</f>
        <v>3 years</v>
      </c>
      <c r="F29" s="63" t="str">
        <f aca="false">IF('Offshore - Canberra'!D131="","Belum tercatat",'Offshore - Canberra'!D131)</f>
        <v>Term</v>
      </c>
      <c r="G29" s="65" t="n">
        <f aca="false">IF('Offshore - Canberra'!E131="","-",'Offshore - Canberra'!E131)</f>
        <v>3600</v>
      </c>
      <c r="H29" s="63" t="n">
        <f aca="false">IF(ISNUMBER(K29),COUNTIFS($J$6:$J$1854,J29,$K$6:$K$1854,"&lt;"&amp;K29)+1,"-")</f>
        <v>1</v>
      </c>
      <c r="I29" s="64" t="str">
        <f aca="false">IF('Offshore - Canberra'!E131="","Harga belum tersedia - hubungi konsultan TEG",IF(M29=2,"Saat ini tidak menerima pendaftaran siswa internasional baru",IF(M29=1,"Harga perlu dikonfirmasi ke sekolah"&amp;IF(""="","","; "&amp;""),"")))</f>
        <v>Harga perlu dikonfirmasi ke sekolah</v>
      </c>
      <c r="J29" s="0" t="s">
        <v>3719</v>
      </c>
      <c r="K29" s="0" t="n">
        <f aca="false">IF(M29=2,"",IF(ISNUMBER(SEARCH("rata-rata:",'Offshore - Canberra'!N131)),VALUE(MID('Offshore - Canberra'!N131,SEARCH("rata-rata:",'Offshore - Canberra'!N131)+11,FIND(";",'Offshore - Canberra'!N131&amp;";",SEARCH("rata-rata:",'Offshore - Canberra'!N131))-SEARCH("rata-rata:",'Offshore - Canberra'!N131)-11)),IF('Offshore - Canberra'!D131="Semester",'Offshore - Canberra'!E131*2,IF('Offshore - Canberra'!D131="Trimester",'Offshore - Canberra'!E131*3,IF('Offshore - Canberra'!D131="Term",'Offshore - Canberra'!E131*4,IF('Offshore - Canberra'!D131="Unit",'Offshore - Canberra'!E131*8,""))))))</f>
        <v>14400</v>
      </c>
      <c r="L29" s="0" t="n">
        <f aca="false">IF(AND(ISNUMBER('Offshore - Canberra'!E131),ISNUMBER(K29),ISNUMBER('Offshore - Canberra'!F131),ISNUMBER('Offshore - Canberra'!G131),OR('Offshore - Canberra'!F131&lt;&gt;0,ISNUMBER(SEARCH("Material 0 terverifikasi",'Offshore - Canberra'!N131))),OR('Offshore - Canberra'!G131&lt;&gt;0,ISNUMBER(SEARCH("Enrolment 0 terverifikasi",'Offshore - Canberra'!N131)))),1,0)</f>
        <v>1</v>
      </c>
      <c r="M29" s="0" t="n">
        <f aca="false">IF(OR('Offshore - Canberra'!E131="",ISNUMBER(SEARCH("BSB80120",'Offshore - Canberra'!B131&amp;'Offshore - Canberra'!N131)),ISNUMBER(SEARCH("Management (Learning)",'Offshore - Canberra'!B131))),2,IF(ISNUMBER(SEARCH("CEK:",'Offshore - Canberra'!N131)),1,0))</f>
        <v>1</v>
      </c>
    </row>
    <row r="30" customFormat="false" ht="15" hidden="false" customHeight="false" outlineLevel="0" collapsed="false">
      <c r="A30" s="63" t="s">
        <v>3718</v>
      </c>
      <c r="B30" s="64" t="s">
        <v>3698</v>
      </c>
      <c r="C30" s="63" t="s">
        <v>43</v>
      </c>
      <c r="D30" s="64" t="str">
        <f aca="false">TRIM(LEFT('Offshore - Canberra'!A6,FIND(CHAR(10),'Offshore - Canberra'!A6&amp;CHAR(10))-1))</f>
        <v>Australian Catholic University (ACU)</v>
      </c>
      <c r="E30" s="63" t="str">
        <f aca="false">'Offshore - Canberra'!C6&amp;""</f>
        <v>3 years</v>
      </c>
      <c r="F30" s="63" t="str">
        <f aca="false">IF('Offshore - Canberra'!D6="","Belum tercatat",'Offshore - Canberra'!D6)</f>
        <v>Term</v>
      </c>
      <c r="G30" s="65" t="n">
        <f aca="false">IF('Offshore - Canberra'!E6="","-",'Offshore - Canberra'!E6)</f>
        <v>8742</v>
      </c>
      <c r="H30" s="63" t="n">
        <f aca="false">IF(ISNUMBER(K30),COUNTIFS($J$6:$J$1854,J30,$K$6:$K$1854,"&lt;"&amp;K30)+1,"-")</f>
        <v>2</v>
      </c>
      <c r="I30" s="64" t="str">
        <f aca="false">IF('Offshore - Canberra'!E6="","Harga belum tersedia - hubungi konsultan TEG",IF(M30=2,"Saat ini tidak menerima pendaftaran siswa internasional baru",IF(M30=1,"Harga perlu dikonfirmasi ke sekolah"&amp;IF(""="","","; "&amp;""),"")))</f>
        <v/>
      </c>
      <c r="J30" s="0" t="s">
        <v>3719</v>
      </c>
      <c r="K30" s="0" t="n">
        <f aca="false">IF(M30=2,"",IF(ISNUMBER(SEARCH("rata-rata:",'Offshore - Canberra'!N6)),VALUE(MID('Offshore - Canberra'!N6,SEARCH("rata-rata:",'Offshore - Canberra'!N6)+11,FIND(";",'Offshore - Canberra'!N6&amp;";",SEARCH("rata-rata:",'Offshore - Canberra'!N6))-SEARCH("rata-rata:",'Offshore - Canberra'!N6)-11)),IF('Offshore - Canberra'!D6="Semester",'Offshore - Canberra'!E6*2,IF('Offshore - Canberra'!D6="Trimester",'Offshore - Canberra'!E6*3,IF('Offshore - Canberra'!D6="Term",'Offshore - Canberra'!E6*4,IF('Offshore - Canberra'!D6="Unit",'Offshore - Canberra'!E6*8,""))))))</f>
        <v>34968</v>
      </c>
      <c r="L30" s="0" t="n">
        <f aca="false">IF(AND(ISNUMBER('Offshore - Canberra'!E6),ISNUMBER(K30),ISNUMBER('Offshore - Canberra'!F6),ISNUMBER('Offshore - Canberra'!G6),OR('Offshore - Canberra'!F6&lt;&gt;0,ISNUMBER(SEARCH("Material 0 terverifikasi",'Offshore - Canberra'!N6))),OR('Offshore - Canberra'!G6&lt;&gt;0,ISNUMBER(SEARCH("Enrolment 0 terverifikasi",'Offshore - Canberra'!N6)))),1,0)</f>
        <v>0</v>
      </c>
      <c r="M30" s="0" t="n">
        <f aca="false">IF(OR('Offshore - Canberra'!E6="",ISNUMBER(SEARCH("BSB80120",'Offshore - Canberra'!B6&amp;'Offshore - Canberra'!N6)),ISNUMBER(SEARCH("Management (Learning)",'Offshore - Canberra'!B6))),2,IF(ISNUMBER(SEARCH("CEK:",'Offshore - Canberra'!N6)),1,0))</f>
        <v>0</v>
      </c>
    </row>
    <row r="31" customFormat="false" ht="15" hidden="false" customHeight="false" outlineLevel="0" collapsed="false">
      <c r="A31" s="61" t="s">
        <v>3720</v>
      </c>
      <c r="B31" s="62"/>
      <c r="C31" s="62"/>
      <c r="D31" s="62"/>
      <c r="E31" s="62"/>
      <c r="F31" s="62"/>
      <c r="G31" s="62"/>
      <c r="H31" s="62"/>
      <c r="I31" s="62"/>
    </row>
    <row r="32" customFormat="false" ht="15" hidden="false" customHeight="false" outlineLevel="0" collapsed="false">
      <c r="A32" s="63" t="s">
        <v>3718</v>
      </c>
      <c r="B32" s="64" t="s">
        <v>3698</v>
      </c>
      <c r="C32" s="63" t="s">
        <v>46</v>
      </c>
      <c r="D32" s="64" t="str">
        <f aca="false">TRIM(LEFT('Offshore - Canberra'!A123,FIND(CHAR(10),'Offshore - Canberra'!A123&amp;CHAR(10))-1))</f>
        <v>CIHE Australia</v>
      </c>
      <c r="E32" s="63" t="str">
        <f aca="false">'Offshore - Canberra'!C129&amp;""</f>
        <v>1,5 years</v>
      </c>
      <c r="F32" s="63" t="str">
        <f aca="false">IF('Offshore - Canberra'!D129="","Belum tercatat",'Offshore - Canberra'!D129)</f>
        <v>Term</v>
      </c>
      <c r="G32" s="65" t="n">
        <f aca="false">IF('Offshore - Canberra'!E129="","-",'Offshore - Canberra'!E129)</f>
        <v>4500</v>
      </c>
      <c r="H32" s="63" t="n">
        <f aca="false">IF(ISNUMBER(K32),COUNTIFS($J$6:$J$1854,J32,$K$6:$K$1854,"&lt;"&amp;K32)+1,"-")</f>
        <v>1</v>
      </c>
      <c r="I32" s="64" t="str">
        <f aca="false">IF('Offshore - Canberra'!E129="","Harga belum tersedia - hubungi konsultan TEG",IF(M32=2,"Saat ini tidak menerima pendaftaran siswa internasional baru",IF(M32=1,"Harga perlu dikonfirmasi ke sekolah"&amp;IF(""="","","; "&amp;""),"")))</f>
        <v>Harga perlu dikonfirmasi ke sekolah</v>
      </c>
      <c r="J32" s="0" t="s">
        <v>3721</v>
      </c>
      <c r="K32" s="0" t="n">
        <f aca="false">IF(M32=2,"",IF(ISNUMBER(SEARCH("rata-rata:",'Offshore - Canberra'!N129)),VALUE(MID('Offshore - Canberra'!N129,SEARCH("rata-rata:",'Offshore - Canberra'!N129)+11,FIND(";",'Offshore - Canberra'!N129&amp;";",SEARCH("rata-rata:",'Offshore - Canberra'!N129))-SEARCH("rata-rata:",'Offshore - Canberra'!N129)-11)),IF('Offshore - Canberra'!D129="Semester",'Offshore - Canberra'!E129*2,IF('Offshore - Canberra'!D129="Trimester",'Offshore - Canberra'!E129*3,IF('Offshore - Canberra'!D129="Term",'Offshore - Canberra'!E129*4,IF('Offshore - Canberra'!D129="Unit",'Offshore - Canberra'!E129*8,""))))))</f>
        <v>18000</v>
      </c>
      <c r="L32" s="0" t="n">
        <f aca="false">IF(AND(ISNUMBER('Offshore - Canberra'!E129),ISNUMBER(K32),ISNUMBER('Offshore - Canberra'!F129),ISNUMBER('Offshore - Canberra'!G129),OR('Offshore - Canberra'!F129&lt;&gt;0,ISNUMBER(SEARCH("Material 0 terverifikasi",'Offshore - Canberra'!N129))),OR('Offshore - Canberra'!G129&lt;&gt;0,ISNUMBER(SEARCH("Enrolment 0 terverifikasi",'Offshore - Canberra'!N129)))),1,0)</f>
        <v>1</v>
      </c>
      <c r="M32" s="0" t="n">
        <f aca="false">IF(OR('Offshore - Canberra'!E129="",ISNUMBER(SEARCH("BSB80120",'Offshore - Canberra'!B129&amp;'Offshore - Canberra'!N129)),ISNUMBER(SEARCH("Management (Learning)",'Offshore - Canberra'!B129))),2,IF(ISNUMBER(SEARCH("CEK:",'Offshore - Canberra'!N129)),1,0))</f>
        <v>1</v>
      </c>
    </row>
    <row r="33" customFormat="false" ht="15" hidden="false" customHeight="false" outlineLevel="0" collapsed="false">
      <c r="A33" s="63" t="s">
        <v>3718</v>
      </c>
      <c r="B33" s="64" t="s">
        <v>3698</v>
      </c>
      <c r="C33" s="63" t="s">
        <v>46</v>
      </c>
      <c r="D33" s="64" t="str">
        <f aca="false">TRIM(LEFT('Offshore - Canberra'!A6,FIND(CHAR(10),'Offshore - Canberra'!A6&amp;CHAR(10))-1))</f>
        <v>Australian Catholic University (ACU)</v>
      </c>
      <c r="E33" s="63" t="str">
        <f aca="false">'Offshore - Canberra'!C34&amp;""</f>
        <v>2 years</v>
      </c>
      <c r="F33" s="63" t="str">
        <f aca="false">IF('Offshore - Canberra'!D34="","Belum tercatat",'Offshore - Canberra'!D34)</f>
        <v>Term</v>
      </c>
      <c r="G33" s="65" t="n">
        <f aca="false">IF('Offshore - Canberra'!E34="","-",'Offshore - Canberra'!E34)</f>
        <v>9524</v>
      </c>
      <c r="H33" s="63" t="n">
        <f aca="false">IF(ISNUMBER(K33),COUNTIFS($J$6:$J$1854,J33,$K$6:$K$1854,"&lt;"&amp;K33)+1,"-")</f>
        <v>2</v>
      </c>
      <c r="I33" s="64" t="str">
        <f aca="false">IF('Offshore - Canberra'!E34="","Harga belum tersedia - hubungi konsultan TEG",IF(M33=2,"Saat ini tidak menerima pendaftaran siswa internasional baru",IF(M33=1,"Harga perlu dikonfirmasi ke sekolah"&amp;IF(""="","","; "&amp;""),"")))</f>
        <v/>
      </c>
      <c r="J33" s="0" t="s">
        <v>3721</v>
      </c>
      <c r="K33" s="0" t="n">
        <f aca="false">IF(M33=2,"",IF(ISNUMBER(SEARCH("rata-rata:",'Offshore - Canberra'!N34)),VALUE(MID('Offshore - Canberra'!N34,SEARCH("rata-rata:",'Offshore - Canberra'!N34)+11,FIND(";",'Offshore - Canberra'!N34&amp;";",SEARCH("rata-rata:",'Offshore - Canberra'!N34))-SEARCH("rata-rata:",'Offshore - Canberra'!N34)-11)),IF('Offshore - Canberra'!D34="Semester",'Offshore - Canberra'!E34*2,IF('Offshore - Canberra'!D34="Trimester",'Offshore - Canberra'!E34*3,IF('Offshore - Canberra'!D34="Term",'Offshore - Canberra'!E34*4,IF('Offshore - Canberra'!D34="Unit",'Offshore - Canberra'!E34*8,""))))))</f>
        <v>38096</v>
      </c>
      <c r="L33" s="0" t="n">
        <f aca="false">IF(AND(ISNUMBER('Offshore - Canberra'!E34),ISNUMBER(K33),ISNUMBER('Offshore - Canberra'!F34),ISNUMBER('Offshore - Canberra'!G34),OR('Offshore - Canberra'!F34&lt;&gt;0,ISNUMBER(SEARCH("Material 0 terverifikasi",'Offshore - Canberra'!N34))),OR('Offshore - Canberra'!G34&lt;&gt;0,ISNUMBER(SEARCH("Enrolment 0 terverifikasi",'Offshore - Canberra'!N34)))),1,0)</f>
        <v>0</v>
      </c>
      <c r="M33" s="0" t="n">
        <f aca="false">IF(OR('Offshore - Canberra'!E34="",ISNUMBER(SEARCH("BSB80120",'Offshore - Canberra'!B34&amp;'Offshore - Canberra'!N34)),ISNUMBER(SEARCH("Management (Learning)",'Offshore - Canberra'!B34))),2,IF(ISNUMBER(SEARCH("CEK:",'Offshore - Canberra'!N34)),1,0))</f>
        <v>0</v>
      </c>
    </row>
    <row r="34" customFormat="false" ht="15" hidden="false" customHeight="false" outlineLevel="0" collapsed="false">
      <c r="A34" s="61" t="s">
        <v>3722</v>
      </c>
      <c r="B34" s="62"/>
      <c r="C34" s="62"/>
      <c r="D34" s="62"/>
      <c r="E34" s="62"/>
      <c r="F34" s="62"/>
      <c r="G34" s="62"/>
      <c r="H34" s="62"/>
      <c r="I34" s="62"/>
    </row>
    <row r="35" customFormat="false" ht="15" hidden="false" customHeight="false" outlineLevel="0" collapsed="false">
      <c r="A35" s="63" t="s">
        <v>3583</v>
      </c>
      <c r="B35" s="64" t="s">
        <v>3698</v>
      </c>
      <c r="C35" s="63" t="s">
        <v>43</v>
      </c>
      <c r="D35" s="64" t="str">
        <f aca="false">TRIM(LEFT('Offshore - Darwin'!A20,FIND(CHAR(10),'Offshore - Darwin'!A20&amp;CHAR(10))-1))</f>
        <v>Charles Darwin University (CDU)</v>
      </c>
      <c r="E35" s="63" t="str">
        <f aca="false">'Offshore - Darwin'!C30&amp;""</f>
        <v>3 years</v>
      </c>
      <c r="F35" s="63" t="str">
        <f aca="false">IF('Offshore - Darwin'!D30="","Belum tercatat",'Offshore - Darwin'!D30)</f>
        <v>Term</v>
      </c>
      <c r="G35" s="65" t="n">
        <f aca="false">IF('Offshore - Darwin'!E30="","-",'Offshore - Darwin'!E30)</f>
        <v>7802</v>
      </c>
      <c r="H35" s="63" t="n">
        <f aca="false">IF(ISNUMBER(K35),COUNTIFS($J$6:$J$1854,J35,$K$6:$K$1854,"&lt;"&amp;K35)+1,"-")</f>
        <v>1</v>
      </c>
      <c r="I35" s="64" t="str">
        <f aca="false">IF('Offshore - Darwin'!E30="","Harga belum tersedia - hubungi konsultan TEG",IF(M35=2,"Saat ini tidak menerima pendaftaran siswa internasional baru",IF(M35=1,"Harga perlu dikonfirmasi ke sekolah"&amp;IF(""="","","; "&amp;""),"")))</f>
        <v/>
      </c>
      <c r="J35" s="0" t="s">
        <v>3723</v>
      </c>
      <c r="K35" s="0" t="n">
        <f aca="false">IF(M35=2,"",IF(ISNUMBER(SEARCH("rata-rata:",'Offshore - Darwin'!N30)),VALUE(MID('Offshore - Darwin'!N30,SEARCH("rata-rata:",'Offshore - Darwin'!N30)+11,FIND(";",'Offshore - Darwin'!N30&amp;";",SEARCH("rata-rata:",'Offshore - Darwin'!N30))-SEARCH("rata-rata:",'Offshore - Darwin'!N30)-11)),IF('Offshore - Darwin'!D30="Semester",'Offshore - Darwin'!E30*2,IF('Offshore - Darwin'!D30="Trimester",'Offshore - Darwin'!E30*3,IF('Offshore - Darwin'!D30="Term",'Offshore - Darwin'!E30*4,IF('Offshore - Darwin'!D30="Unit",'Offshore - Darwin'!E30*8,""))))))</f>
        <v>31208</v>
      </c>
      <c r="L35" s="0" t="n">
        <f aca="false">IF(AND(ISNUMBER('Offshore - Darwin'!E30),ISNUMBER(K35),ISNUMBER('Offshore - Darwin'!F30),ISNUMBER('Offshore - Darwin'!G30),OR('Offshore - Darwin'!F30&lt;&gt;0,ISNUMBER(SEARCH("Material 0 terverifikasi",'Offshore - Darwin'!N30))),OR('Offshore - Darwin'!G30&lt;&gt;0,ISNUMBER(SEARCH("Enrolment 0 terverifikasi",'Offshore - Darwin'!N30)))),1,0)</f>
        <v>0</v>
      </c>
      <c r="M35" s="0" t="n">
        <f aca="false">IF(OR('Offshore - Darwin'!E30="",ISNUMBER(SEARCH("BSB80120",'Offshore - Darwin'!B30&amp;'Offshore - Darwin'!N30)),ISNUMBER(SEARCH("Management (Learning)",'Offshore - Darwin'!B30))),2,IF(ISNUMBER(SEARCH("CEK:",'Offshore - Darwin'!N30)),1,0))</f>
        <v>0</v>
      </c>
    </row>
    <row r="36" customFormat="false" ht="15" hidden="false" customHeight="false" outlineLevel="0" collapsed="false">
      <c r="A36" s="61" t="s">
        <v>3724</v>
      </c>
      <c r="B36" s="62"/>
      <c r="C36" s="62"/>
      <c r="D36" s="62"/>
      <c r="E36" s="62"/>
      <c r="F36" s="62"/>
      <c r="G36" s="62"/>
      <c r="H36" s="62"/>
      <c r="I36" s="62"/>
    </row>
    <row r="37" customFormat="false" ht="15" hidden="false" customHeight="false" outlineLevel="0" collapsed="false">
      <c r="A37" s="63" t="s">
        <v>3583</v>
      </c>
      <c r="B37" s="64" t="s">
        <v>3698</v>
      </c>
      <c r="C37" s="63" t="s">
        <v>46</v>
      </c>
      <c r="D37" s="64" t="str">
        <f aca="false">TRIM(LEFT('Offshore - Darwin'!A20,FIND(CHAR(10),'Offshore - Darwin'!A20&amp;CHAR(10))-1))</f>
        <v>Charles Darwin University (CDU)</v>
      </c>
      <c r="E37" s="63" t="str">
        <f aca="false">'Offshore - Darwin'!C40&amp;""</f>
        <v>2 years</v>
      </c>
      <c r="F37" s="63" t="str">
        <f aca="false">IF('Offshore - Darwin'!D40="","Belum tercatat",'Offshore - Darwin'!D40)</f>
        <v>Term</v>
      </c>
      <c r="G37" s="65" t="n">
        <f aca="false">IF('Offshore - Darwin'!E40="","-",'Offshore - Darwin'!E40)</f>
        <v>9548</v>
      </c>
      <c r="H37" s="63" t="n">
        <f aca="false">IF(ISNUMBER(K37),COUNTIFS($J$6:$J$1854,J37,$K$6:$K$1854,"&lt;"&amp;K37)+1,"-")</f>
        <v>1</v>
      </c>
      <c r="I37" s="64" t="str">
        <f aca="false">IF('Offshore - Darwin'!E40="","Harga belum tersedia - hubungi konsultan TEG",IF(M37=2,"Saat ini tidak menerima pendaftaran siswa internasional baru",IF(M37=1,"Harga perlu dikonfirmasi ke sekolah"&amp;IF(""="","","; "&amp;""),"")))</f>
        <v/>
      </c>
      <c r="J37" s="0" t="s">
        <v>3725</v>
      </c>
      <c r="K37" s="0" t="n">
        <f aca="false">IF(M37=2,"",IF(ISNUMBER(SEARCH("rata-rata:",'Offshore - Darwin'!N40)),VALUE(MID('Offshore - Darwin'!N40,SEARCH("rata-rata:",'Offshore - Darwin'!N40)+11,FIND(";",'Offshore - Darwin'!N40&amp;";",SEARCH("rata-rata:",'Offshore - Darwin'!N40))-SEARCH("rata-rata:",'Offshore - Darwin'!N40)-11)),IF('Offshore - Darwin'!D40="Semester",'Offshore - Darwin'!E40*2,IF('Offshore - Darwin'!D40="Trimester",'Offshore - Darwin'!E40*3,IF('Offshore - Darwin'!D40="Term",'Offshore - Darwin'!E40*4,IF('Offshore - Darwin'!D40="Unit",'Offshore - Darwin'!E40*8,""))))))</f>
        <v>38192</v>
      </c>
      <c r="L37" s="0" t="n">
        <f aca="false">IF(AND(ISNUMBER('Offshore - Darwin'!E40),ISNUMBER(K37),ISNUMBER('Offshore - Darwin'!F40),ISNUMBER('Offshore - Darwin'!G40),OR('Offshore - Darwin'!F40&lt;&gt;0,ISNUMBER(SEARCH("Material 0 terverifikasi",'Offshore - Darwin'!N40))),OR('Offshore - Darwin'!G40&lt;&gt;0,ISNUMBER(SEARCH("Enrolment 0 terverifikasi",'Offshore - Darwin'!N40)))),1,0)</f>
        <v>0</v>
      </c>
      <c r="M37" s="0" t="n">
        <f aca="false">IF(OR('Offshore - Darwin'!E40="",ISNUMBER(SEARCH("BSB80120",'Offshore - Darwin'!B40&amp;'Offshore - Darwin'!N40)),ISNUMBER(SEARCH("Management (Learning)",'Offshore - Darwin'!B40))),2,IF(ISNUMBER(SEARCH("CEK:",'Offshore - Darwin'!N40)),1,0))</f>
        <v>0</v>
      </c>
    </row>
    <row r="38" customFormat="false" ht="15" hidden="false" customHeight="false" outlineLevel="0" collapsed="false">
      <c r="A38" s="61" t="s">
        <v>3726</v>
      </c>
      <c r="B38" s="62"/>
      <c r="C38" s="62"/>
      <c r="D38" s="62"/>
      <c r="E38" s="62"/>
      <c r="F38" s="62"/>
      <c r="G38" s="62"/>
      <c r="H38" s="62"/>
      <c r="I38" s="62"/>
    </row>
    <row r="39" customFormat="false" ht="28.35" hidden="false" customHeight="false" outlineLevel="0" collapsed="false">
      <c r="A39" s="63" t="s">
        <v>3544</v>
      </c>
      <c r="B39" s="64" t="s">
        <v>3698</v>
      </c>
      <c r="C39" s="63" t="s">
        <v>41</v>
      </c>
      <c r="D39" s="64" t="str">
        <f aca="false">TRIM(LEFT('Offshore - Melbourne'!A435,FIND(CHAR(10),'Offshore - Melbourne'!A435&amp;CHAR(10))-1))</f>
        <v>TKL College (Training for Knowledge and Livelihood)</v>
      </c>
      <c r="E39" s="63" t="str">
        <f aca="false">'Offshore - Melbourne'!C435&amp;""</f>
        <v>2,5 years</v>
      </c>
      <c r="F39" s="63" t="str">
        <f aca="false">IF('Offshore - Melbourne'!D435="","Belum tercatat",'Offshore - Melbourne'!D435)</f>
        <v>Term</v>
      </c>
      <c r="G39" s="65" t="n">
        <f aca="false">IF('Offshore - Melbourne'!E435="","-",'Offshore - Melbourne'!E435)</f>
        <v>1500</v>
      </c>
      <c r="H39" s="63" t="n">
        <f aca="false">IF(ISNUMBER(K39),COUNTIFS($J$6:$J$1854,J39,$K$6:$K$1854,"&lt;"&amp;K39)+1,"-")</f>
        <v>1</v>
      </c>
      <c r="I39" s="64" t="str">
        <f aca="false">IF('Offshore - Melbourne'!E435="","Harga belum tersedia - hubungi konsultan TEG",IF(M39=2,"Saat ini tidak menerima pendaftaran siswa internasional baru",IF(M39=1,"Program perlu dikonfirmasi ketersediaannya"&amp;IF(""="","","; "&amp;""),"")))</f>
        <v>Program perlu dikonfirmasi ketersediaannya</v>
      </c>
      <c r="J39" s="0" t="s">
        <v>3727</v>
      </c>
      <c r="K39" s="0" t="n">
        <f aca="false">IF(M39=2,"",IF(ISNUMBER(SEARCH("rata-rata:",'Offshore - Melbourne'!N435)),VALUE(MID('Offshore - Melbourne'!N435,SEARCH("rata-rata:",'Offshore - Melbourne'!N435)+11,FIND(";",'Offshore - Melbourne'!N435&amp;";",SEARCH("rata-rata:",'Offshore - Melbourne'!N435))-SEARCH("rata-rata:",'Offshore - Melbourne'!N435)-11)),IF('Offshore - Melbourne'!D435="Semester",'Offshore - Melbourne'!E435*2,IF('Offshore - Melbourne'!D435="Trimester",'Offshore - Melbourne'!E435*3,IF('Offshore - Melbourne'!D435="Term",'Offshore - Melbourne'!E435*4,IF('Offshore - Melbourne'!D435="Unit",'Offshore - Melbourne'!E435*8,""))))))</f>
        <v>6000</v>
      </c>
      <c r="L39" s="0" t="n">
        <f aca="false">IF(AND(ISNUMBER('Offshore - Melbourne'!E435),ISNUMBER(K39),ISNUMBER('Offshore - Melbourne'!F435),ISNUMBER('Offshore - Melbourne'!G435),OR('Offshore - Melbourne'!F435&lt;&gt;0,ISNUMBER(SEARCH("Material 0 terverifikasi",'Offshore - Melbourne'!N435))),OR('Offshore - Melbourne'!G435&lt;&gt;0,ISNUMBER(SEARCH("Enrolment 0 terverifikasi",'Offshore - Melbourne'!N435)))),1,0)</f>
        <v>1</v>
      </c>
      <c r="M39" s="0" t="n">
        <f aca="false">IF(OR('Offshore - Melbourne'!E435="",ISNUMBER(SEARCH("BSB80120",'Offshore - Melbourne'!B435&amp;'Offshore - Melbourne'!N435)),ISNUMBER(SEARCH("Management (Learning)",'Offshore - Melbourne'!B435))),2,IF(ISNUMBER(SEARCH("CEK:",'Offshore - Melbourne'!N435)),1,0))</f>
        <v>1</v>
      </c>
    </row>
    <row r="40" customFormat="false" ht="28.35" hidden="false" customHeight="false" outlineLevel="0" collapsed="false">
      <c r="A40" s="63" t="s">
        <v>3544</v>
      </c>
      <c r="B40" s="64" t="s">
        <v>3698</v>
      </c>
      <c r="C40" s="63" t="s">
        <v>41</v>
      </c>
      <c r="D40" s="64" t="str">
        <f aca="false">TRIM(LEFT('Offshore - Melbourne'!A389,FIND(CHAR(10),'Offshore - Melbourne'!A389&amp;CHAR(10))-1))</f>
        <v>Sacred Heart International College (SHIC)</v>
      </c>
      <c r="E40" s="63" t="str">
        <f aca="false">'Offshore - Melbourne'!C390&amp;""</f>
        <v>2 years</v>
      </c>
      <c r="F40" s="63" t="str">
        <f aca="false">IF('Offshore - Melbourne'!D390="","Belum tercatat",'Offshore - Melbourne'!D390)</f>
        <v>Term</v>
      </c>
      <c r="G40" s="65" t="n">
        <f aca="false">IF('Offshore - Melbourne'!E390="","-",'Offshore - Melbourne'!E390)</f>
        <v>2375</v>
      </c>
      <c r="H40" s="63" t="n">
        <f aca="false">IF(ISNUMBER(K40),COUNTIFS($J$6:$J$1854,J40,$K$6:$K$1854,"&lt;"&amp;K40)+1,"-")</f>
        <v>2</v>
      </c>
      <c r="I40" s="64" t="str">
        <f aca="false">IF('Offshore - Melbourne'!E390="","Harga belum tersedia - hubungi konsultan TEG",IF(M40=2,"Saat ini tidak menerima pendaftaran siswa internasional baru",IF(M40=1,"Harga promo sudah berakhir - konfirmasi harga terbaru"&amp;IF(""="","","; "&amp;""),"")))</f>
        <v>Harga promo sudah berakhir - konfirmasi harga terbaru</v>
      </c>
      <c r="J40" s="0" t="s">
        <v>3727</v>
      </c>
      <c r="K40" s="0" t="n">
        <f aca="false">IF(M40=2,"",IF(ISNUMBER(SEARCH("rata-rata:",'Offshore - Melbourne'!N390)),VALUE(MID('Offshore - Melbourne'!N390,SEARCH("rata-rata:",'Offshore - Melbourne'!N390)+11,FIND(";",'Offshore - Melbourne'!N390&amp;";",SEARCH("rata-rata:",'Offshore - Melbourne'!N390))-SEARCH("rata-rata:",'Offshore - Melbourne'!N390)-11)),IF('Offshore - Melbourne'!D390="Semester",'Offshore - Melbourne'!E390*2,IF('Offshore - Melbourne'!D390="Trimester",'Offshore - Melbourne'!E390*3,IF('Offshore - Melbourne'!D390="Term",'Offshore - Melbourne'!E390*4,IF('Offshore - Melbourne'!D390="Unit",'Offshore - Melbourne'!E390*8,""))))))</f>
        <v>9500</v>
      </c>
      <c r="L40" s="0" t="n">
        <f aca="false">IF(AND(ISNUMBER('Offshore - Melbourne'!E390),ISNUMBER(K40),ISNUMBER('Offshore - Melbourne'!F390),ISNUMBER('Offshore - Melbourne'!G390),OR('Offshore - Melbourne'!F390&lt;&gt;0,ISNUMBER(SEARCH("Material 0 terverifikasi",'Offshore - Melbourne'!N390))),OR('Offshore - Melbourne'!G390&lt;&gt;0,ISNUMBER(SEARCH("Enrolment 0 terverifikasi",'Offshore - Melbourne'!N390)))),1,0)</f>
        <v>0</v>
      </c>
      <c r="M40" s="0" t="n">
        <f aca="false">IF(OR('Offshore - Melbourne'!E390="",ISNUMBER(SEARCH("BSB80120",'Offshore - Melbourne'!B390&amp;'Offshore - Melbourne'!N390)),ISNUMBER(SEARCH("Management (Learning)",'Offshore - Melbourne'!B390))),2,IF(ISNUMBER(SEARCH("CEK:",'Offshore - Melbourne'!N390)),1,0))</f>
        <v>1</v>
      </c>
    </row>
    <row r="41" customFormat="false" ht="15" hidden="false" customHeight="false" outlineLevel="0" collapsed="false">
      <c r="A41" s="61" t="s">
        <v>3728</v>
      </c>
      <c r="B41" s="62"/>
      <c r="C41" s="62"/>
      <c r="D41" s="62"/>
      <c r="E41" s="62"/>
      <c r="F41" s="62"/>
      <c r="G41" s="62"/>
      <c r="H41" s="62"/>
      <c r="I41" s="62"/>
    </row>
    <row r="42" customFormat="false" ht="55.2" hidden="false" customHeight="false" outlineLevel="0" collapsed="false">
      <c r="A42" s="63" t="s">
        <v>3544</v>
      </c>
      <c r="B42" s="64" t="s">
        <v>3698</v>
      </c>
      <c r="C42" s="63" t="s">
        <v>43</v>
      </c>
      <c r="D42" s="64" t="str">
        <f aca="false">TRIM(LEFT('Offshore - Melbourne'!A43,FIND(CHAR(10),'Offshore - Melbourne'!A43&amp;CHAR(10))-1))</f>
        <v>AIH Higher Education (Australian Institute of Higher Education)</v>
      </c>
      <c r="E42" s="63" t="str">
        <f aca="false">'Offshore - Melbourne'!C43&amp;""</f>
        <v>3 years</v>
      </c>
      <c r="F42" s="63" t="str">
        <f aca="false">IF('Offshore - Melbourne'!D43="","Belum tercatat",'Offshore - Melbourne'!D43)</f>
        <v>Unit</v>
      </c>
      <c r="G42" s="65" t="n">
        <f aca="false">IF('Offshore - Melbourne'!E43="","-",'Offshore - Melbourne'!E43)</f>
        <v>1470</v>
      </c>
      <c r="H42" s="63" t="n">
        <f aca="false">IF(ISNUMBER(K42),COUNTIFS($J$6:$J$1854,J42,$K$6:$K$1854,"&lt;"&amp;K42)+1,"-")</f>
        <v>1</v>
      </c>
      <c r="I42" s="64" t="str">
        <f aca="false">IF('Offshore - Melbourne'!E43="","Harga belum tersedia - hubungi konsultan TEG",IF(M42=2,"Saat ini tidak menerima pendaftaran siswa internasional baru",IF(M42=1,"Harga perlu dikonfirmasi ke sekolah"&amp;IF("Harga promo s.d. 31/12/2026; Harga dihitung per unit; total tergantung jumlah unit yang diambil; Sudah termasuk beasiswa 30% (syarat berlaku)"="","","; "&amp;"Harga promo s.d. 31/12/2026; Harga dihitung per unit; total tergantung jumlah unit yang diambil; Sudah termasuk beasiswa 30% (syarat berlaku)"),"Harga promo s.d. 31/12/2026; Harga dihitung per unit; total tergantung jumlah unit yang diambil; Sudah termasuk beasiswa 30% (syarat berlaku)")))</f>
        <v>Harga promo s.d. 31/12/2026; Harga dihitung per unit; total tergantung jumlah unit yang diambil; Sudah termasuk beasiswa 30% (syarat berlaku)</v>
      </c>
      <c r="J42" s="0" t="s">
        <v>3729</v>
      </c>
      <c r="K42" s="0" t="n">
        <f aca="false">IF(M42=2,"",IF(ISNUMBER(SEARCH("rata-rata:",'Offshore - Melbourne'!N43)),VALUE(MID('Offshore - Melbourne'!N43,SEARCH("rata-rata:",'Offshore - Melbourne'!N43)+11,FIND(";",'Offshore - Melbourne'!N43&amp;";",SEARCH("rata-rata:",'Offshore - Melbourne'!N43))-SEARCH("rata-rata:",'Offshore - Melbourne'!N43)-11)),IF('Offshore - Melbourne'!D43="Semester",'Offshore - Melbourne'!E43*2,IF('Offshore - Melbourne'!D43="Trimester",'Offshore - Melbourne'!E43*3,IF('Offshore - Melbourne'!D43="Term",'Offshore - Melbourne'!E43*4,IF('Offshore - Melbourne'!D43="Unit",'Offshore - Melbourne'!E43*8,""))))))</f>
        <v>11760</v>
      </c>
      <c r="L42" s="0" t="n">
        <f aca="false">IF(AND(ISNUMBER('Offshore - Melbourne'!E43),ISNUMBER(K42),ISNUMBER('Offshore - Melbourne'!F43),ISNUMBER('Offshore - Melbourne'!G43),OR('Offshore - Melbourne'!F43&lt;&gt;0,ISNUMBER(SEARCH("Material 0 terverifikasi",'Offshore - Melbourne'!N43))),OR('Offshore - Melbourne'!G43&lt;&gt;0,ISNUMBER(SEARCH("Enrolment 0 terverifikasi",'Offshore - Melbourne'!N43)))),1,0)</f>
        <v>1</v>
      </c>
      <c r="M42" s="0" t="n">
        <f aca="false">IF(OR('Offshore - Melbourne'!E43="",ISNUMBER(SEARCH("BSB80120",'Offshore - Melbourne'!B43&amp;'Offshore - Melbourne'!N43)),ISNUMBER(SEARCH("Management (Learning)",'Offshore - Melbourne'!B43))),2,IF(ISNUMBER(SEARCH("CEK:",'Offshore - Melbourne'!N43)),1,0))</f>
        <v>0</v>
      </c>
    </row>
    <row r="43" customFormat="false" ht="28.35" hidden="false" customHeight="false" outlineLevel="0" collapsed="false">
      <c r="A43" s="63" t="s">
        <v>3544</v>
      </c>
      <c r="B43" s="64" t="s">
        <v>3698</v>
      </c>
      <c r="C43" s="63" t="s">
        <v>43</v>
      </c>
      <c r="D43" s="64" t="str">
        <f aca="false">TRIM(LEFT('Offshore - Melbourne'!A351,FIND(CHAR(10),'Offshore - Melbourne'!A351&amp;CHAR(10))-1))</f>
        <v>National Academy of Professional Studies (NAPS)</v>
      </c>
      <c r="E43" s="63" t="str">
        <f aca="false">'Offshore - Melbourne'!C353&amp;""</f>
        <v>3 years</v>
      </c>
      <c r="F43" s="63" t="str">
        <f aca="false">IF('Offshore - Melbourne'!D353="","Belum tercatat",'Offshore - Melbourne'!D353)</f>
        <v>Term</v>
      </c>
      <c r="G43" s="65" t="n">
        <f aca="false">IF('Offshore - Melbourne'!E353="","-",'Offshore - Melbourne'!E353)</f>
        <v>4000</v>
      </c>
      <c r="H43" s="63" t="n">
        <f aca="false">IF(ISNUMBER(K43),COUNTIFS($J$6:$J$1854,J43,$K$6:$K$1854,"&lt;"&amp;K43)+1,"-")</f>
        <v>2</v>
      </c>
      <c r="I43" s="64" t="str">
        <f aca="false">IF('Offshore - Melbourne'!E353="","Harga belum tersedia - hubungi konsultan TEG",IF(M43=2,"Saat ini tidak menerima pendaftaran siswa internasional baru",IF(M43=1,"Harga perlu dikonfirmasi ke sekolah"&amp;IF(""="","","; "&amp;""),"")))</f>
        <v>Harga perlu dikonfirmasi ke sekolah</v>
      </c>
      <c r="J43" s="0" t="s">
        <v>3729</v>
      </c>
      <c r="K43" s="0" t="n">
        <f aca="false">IF(M43=2,"",IF(ISNUMBER(SEARCH("rata-rata:",'Offshore - Melbourne'!N353)),VALUE(MID('Offshore - Melbourne'!N353,SEARCH("rata-rata:",'Offshore - Melbourne'!N353)+11,FIND(";",'Offshore - Melbourne'!N353&amp;";",SEARCH("rata-rata:",'Offshore - Melbourne'!N353))-SEARCH("rata-rata:",'Offshore - Melbourne'!N353)-11)),IF('Offshore - Melbourne'!D353="Semester",'Offshore - Melbourne'!E353*2,IF('Offshore - Melbourne'!D353="Trimester",'Offshore - Melbourne'!E353*3,IF('Offshore - Melbourne'!D353="Term",'Offshore - Melbourne'!E353*4,IF('Offshore - Melbourne'!D353="Unit",'Offshore - Melbourne'!E353*8,""))))))</f>
        <v>16000</v>
      </c>
      <c r="L43" s="0" t="n">
        <f aca="false">IF(AND(ISNUMBER('Offshore - Melbourne'!E353),ISNUMBER(K43),ISNUMBER('Offshore - Melbourne'!F353),ISNUMBER('Offshore - Melbourne'!G353),OR('Offshore - Melbourne'!F353&lt;&gt;0,ISNUMBER(SEARCH("Material 0 terverifikasi",'Offshore - Melbourne'!N353))),OR('Offshore - Melbourne'!G353&lt;&gt;0,ISNUMBER(SEARCH("Enrolment 0 terverifikasi",'Offshore - Melbourne'!N353)))),1,0)</f>
        <v>1</v>
      </c>
      <c r="M43" s="0" t="n">
        <f aca="false">IF(OR('Offshore - Melbourne'!E353="",ISNUMBER(SEARCH("BSB80120",'Offshore - Melbourne'!B353&amp;'Offshore - Melbourne'!N353)),ISNUMBER(SEARCH("Management (Learning)",'Offshore - Melbourne'!B353))),2,IF(ISNUMBER(SEARCH("CEK:",'Offshore - Melbourne'!N353)),1,0))</f>
        <v>1</v>
      </c>
    </row>
    <row r="44" customFormat="false" ht="15" hidden="false" customHeight="false" outlineLevel="0" collapsed="false">
      <c r="A44" s="63" t="s">
        <v>3544</v>
      </c>
      <c r="B44" s="64" t="s">
        <v>3698</v>
      </c>
      <c r="C44" s="63" t="s">
        <v>43</v>
      </c>
      <c r="D44" s="64" t="str">
        <f aca="false">TRIM(LEFT('Offshore - Melbourne'!A305,FIND(CHAR(10),'Offshore - Melbourne'!A305&amp;CHAR(10))-1))</f>
        <v>Kent Institute Australia</v>
      </c>
      <c r="E44" s="63" t="str">
        <f aca="false">'Offshore - Melbourne'!C314&amp;""</f>
        <v>3 years</v>
      </c>
      <c r="F44" s="63" t="str">
        <f aca="false">IF('Offshore - Melbourne'!D314="","Belum tercatat",'Offshore - Melbourne'!D314)</f>
        <v>Trimester</v>
      </c>
      <c r="G44" s="65" t="n">
        <f aca="false">IF('Offshore - Melbourne'!E314="","-",'Offshore - Melbourne'!E314)</f>
        <v>8240</v>
      </c>
      <c r="H44" s="63" t="n">
        <f aca="false">IF(ISNUMBER(K44),COUNTIFS($J$6:$J$1854,J44,$K$6:$K$1854,"&lt;"&amp;K44)+1,"-")</f>
        <v>3</v>
      </c>
      <c r="I44" s="64" t="str">
        <f aca="false">IF('Offshore - Melbourne'!E314="","Harga belum tersedia - hubungi konsultan TEG",IF(M44=2,"Saat ini tidak menerima pendaftaran siswa internasional baru",IF(M44=1,"Harga perlu dikonfirmasi ke sekolah"&amp;IF(""="","","; "&amp;""),"")))</f>
        <v>Harga perlu dikonfirmasi ke sekolah</v>
      </c>
      <c r="J44" s="0" t="s">
        <v>3729</v>
      </c>
      <c r="K44" s="0" t="n">
        <f aca="false">IF(M44=2,"",IF(ISNUMBER(SEARCH("rata-rata:",'Offshore - Melbourne'!N314)),VALUE(MID('Offshore - Melbourne'!N314,SEARCH("rata-rata:",'Offshore - Melbourne'!N314)+11,FIND(";",'Offshore - Melbourne'!N314&amp;";",SEARCH("rata-rata:",'Offshore - Melbourne'!N314))-SEARCH("rata-rata:",'Offshore - Melbourne'!N314)-11)),IF('Offshore - Melbourne'!D314="Semester",'Offshore - Melbourne'!E314*2,IF('Offshore - Melbourne'!D314="Trimester",'Offshore - Melbourne'!E314*3,IF('Offshore - Melbourne'!D314="Term",'Offshore - Melbourne'!E314*4,IF('Offshore - Melbourne'!D314="Unit",'Offshore - Melbourne'!E314*8,""))))))</f>
        <v>24720</v>
      </c>
      <c r="L44" s="0" t="n">
        <f aca="false">IF(AND(ISNUMBER('Offshore - Melbourne'!E314),ISNUMBER(K44),ISNUMBER('Offshore - Melbourne'!F314),ISNUMBER('Offshore - Melbourne'!G314),OR('Offshore - Melbourne'!F314&lt;&gt;0,ISNUMBER(SEARCH("Material 0 terverifikasi",'Offshore - Melbourne'!N314))),OR('Offshore - Melbourne'!G314&lt;&gt;0,ISNUMBER(SEARCH("Enrolment 0 terverifikasi",'Offshore - Melbourne'!N314)))),1,0)</f>
        <v>0</v>
      </c>
      <c r="M44" s="0" t="n">
        <f aca="false">IF(OR('Offshore - Melbourne'!E314="",ISNUMBER(SEARCH("BSB80120",'Offshore - Melbourne'!B314&amp;'Offshore - Melbourne'!N314)),ISNUMBER(SEARCH("Management (Learning)",'Offshore - Melbourne'!B314))),2,IF(ISNUMBER(SEARCH("CEK:",'Offshore - Melbourne'!N314)),1,0))</f>
        <v>1</v>
      </c>
    </row>
    <row r="45" customFormat="false" ht="15" hidden="false" customHeight="false" outlineLevel="0" collapsed="false">
      <c r="A45" s="63" t="s">
        <v>3544</v>
      </c>
      <c r="B45" s="64" t="s">
        <v>3698</v>
      </c>
      <c r="C45" s="63" t="s">
        <v>43</v>
      </c>
      <c r="D45" s="64" t="str">
        <f aca="false">TRIM(LEFT('Offshore - Melbourne'!A95,FIND(CHAR(10),'Offshore - Melbourne'!A95&amp;CHAR(10))-1))</f>
        <v>Australian Catholic University (ACU)</v>
      </c>
      <c r="E45" s="63" t="str">
        <f aca="false">'Offshore - Melbourne'!C95&amp;""</f>
        <v>3 years</v>
      </c>
      <c r="F45" s="63" t="str">
        <f aca="false">IF('Offshore - Melbourne'!D95="","Belum tercatat",'Offshore - Melbourne'!D95)</f>
        <v>Term</v>
      </c>
      <c r="G45" s="65" t="n">
        <f aca="false">IF('Offshore - Melbourne'!E95="","-",'Offshore - Melbourne'!E95)</f>
        <v>8742</v>
      </c>
      <c r="H45" s="63" t="n">
        <f aca="false">IF(ISNUMBER(K45),COUNTIFS($J$6:$J$1854,J45,$K$6:$K$1854,"&lt;"&amp;K45)+1,"-")</f>
        <v>4</v>
      </c>
      <c r="I45" s="64" t="str">
        <f aca="false">IF('Offshore - Melbourne'!E95="","Harga belum tersedia - hubungi konsultan TEG",IF(M45=2,"Saat ini tidak menerima pendaftaran siswa internasional baru",IF(M45=1,"Harga perlu dikonfirmasi ke sekolah"&amp;IF(""="","","; "&amp;""),"")))</f>
        <v/>
      </c>
      <c r="J45" s="0" t="s">
        <v>3729</v>
      </c>
      <c r="K45" s="0" t="n">
        <f aca="false">IF(M45=2,"",IF(ISNUMBER(SEARCH("rata-rata:",'Offshore - Melbourne'!N95)),VALUE(MID('Offshore - Melbourne'!N95,SEARCH("rata-rata:",'Offshore - Melbourne'!N95)+11,FIND(";",'Offshore - Melbourne'!N95&amp;";",SEARCH("rata-rata:",'Offshore - Melbourne'!N95))-SEARCH("rata-rata:",'Offshore - Melbourne'!N95)-11)),IF('Offshore - Melbourne'!D95="Semester",'Offshore - Melbourne'!E95*2,IF('Offshore - Melbourne'!D95="Trimester",'Offshore - Melbourne'!E95*3,IF('Offshore - Melbourne'!D95="Term",'Offshore - Melbourne'!E95*4,IF('Offshore - Melbourne'!D95="Unit",'Offshore - Melbourne'!E95*8,""))))))</f>
        <v>34968</v>
      </c>
      <c r="L45" s="0" t="n">
        <f aca="false">IF(AND(ISNUMBER('Offshore - Melbourne'!E95),ISNUMBER(K45),ISNUMBER('Offshore - Melbourne'!F95),ISNUMBER('Offshore - Melbourne'!G95),OR('Offshore - Melbourne'!F95&lt;&gt;0,ISNUMBER(SEARCH("Material 0 terverifikasi",'Offshore - Melbourne'!N95))),OR('Offshore - Melbourne'!G95&lt;&gt;0,ISNUMBER(SEARCH("Enrolment 0 terverifikasi",'Offshore - Melbourne'!N95)))),1,0)</f>
        <v>0</v>
      </c>
      <c r="M45" s="0" t="n">
        <f aca="false">IF(OR('Offshore - Melbourne'!E95="",ISNUMBER(SEARCH("BSB80120",'Offshore - Melbourne'!B95&amp;'Offshore - Melbourne'!N95)),ISNUMBER(SEARCH("Management (Learning)",'Offshore - Melbourne'!B95))),2,IF(ISNUMBER(SEARCH("CEK:",'Offshore - Melbourne'!N95)),1,0))</f>
        <v>0</v>
      </c>
    </row>
    <row r="46" customFormat="false" ht="15" hidden="false" customHeight="false" outlineLevel="0" collapsed="false">
      <c r="A46" s="61" t="s">
        <v>3730</v>
      </c>
      <c r="B46" s="62"/>
      <c r="C46" s="62"/>
      <c r="D46" s="62"/>
      <c r="E46" s="62"/>
      <c r="F46" s="62"/>
      <c r="G46" s="62"/>
      <c r="H46" s="62"/>
      <c r="I46" s="62"/>
    </row>
    <row r="47" customFormat="false" ht="15" hidden="false" customHeight="false" outlineLevel="0" collapsed="false">
      <c r="A47" s="63" t="s">
        <v>3544</v>
      </c>
      <c r="B47" s="64" t="s">
        <v>3698</v>
      </c>
      <c r="C47" s="63" t="s">
        <v>3707</v>
      </c>
      <c r="D47" s="64" t="str">
        <f aca="false">TRIM(LEFT('Offshore - Melbourne'!A426,FIND(CHAR(10),'Offshore - Melbourne'!A426&amp;CHAR(10))-1))</f>
        <v>The Institute of International Studies (TIIS)</v>
      </c>
      <c r="E47" s="63" t="str">
        <f aca="false">'Offshore - Melbourne'!C428&amp;""</f>
        <v>0,5 years</v>
      </c>
      <c r="F47" s="63" t="str">
        <f aca="false">IF('Offshore - Melbourne'!D428="","Belum tercatat",'Offshore - Melbourne'!D428)</f>
        <v>Term</v>
      </c>
      <c r="G47" s="65" t="n">
        <f aca="false">IF('Offshore - Melbourne'!E428="","-",'Offshore - Melbourne'!E428)</f>
        <v>4500</v>
      </c>
      <c r="H47" s="63" t="n">
        <f aca="false">IF(ISNUMBER(K47),COUNTIFS($J$6:$J$1854,J47,$K$6:$K$1854,"&lt;"&amp;K47)+1,"-")</f>
        <v>1</v>
      </c>
      <c r="I47" s="64" t="str">
        <f aca="false">IF('Offshore - Melbourne'!E428="","Harga belum tersedia - hubungi konsultan TEG",IF(M47=2,"Saat ini tidak menerima pendaftaran siswa internasional baru",IF(M47=1,"Harga perlu dikonfirmasi ke sekolah"&amp;IF(""="","","; "&amp;""),"")))</f>
        <v/>
      </c>
      <c r="J47" s="0" t="s">
        <v>3731</v>
      </c>
      <c r="K47" s="0" t="n">
        <f aca="false">IF(M47=2,"",IF(ISNUMBER(SEARCH("rata-rata:",'Offshore - Melbourne'!N428)),VALUE(MID('Offshore - Melbourne'!N428,SEARCH("rata-rata:",'Offshore - Melbourne'!N428)+11,FIND(";",'Offshore - Melbourne'!N428&amp;";",SEARCH("rata-rata:",'Offshore - Melbourne'!N428))-SEARCH("rata-rata:",'Offshore - Melbourne'!N428)-11)),IF('Offshore - Melbourne'!D428="Semester",'Offshore - Melbourne'!E428*2,IF('Offshore - Melbourne'!D428="Trimester",'Offshore - Melbourne'!E428*3,IF('Offshore - Melbourne'!D428="Term",'Offshore - Melbourne'!E428*4,IF('Offshore - Melbourne'!D428="Unit",'Offshore - Melbourne'!E428*8,""))))))</f>
        <v>18000</v>
      </c>
      <c r="L47" s="0" t="n">
        <f aca="false">IF(AND(ISNUMBER('Offshore - Melbourne'!E428),ISNUMBER(K47),ISNUMBER('Offshore - Melbourne'!F428),ISNUMBER('Offshore - Melbourne'!G428),OR('Offshore - Melbourne'!F428&lt;&gt;0,ISNUMBER(SEARCH("Material 0 terverifikasi",'Offshore - Melbourne'!N428))),OR('Offshore - Melbourne'!G428&lt;&gt;0,ISNUMBER(SEARCH("Enrolment 0 terverifikasi",'Offshore - Melbourne'!N428)))),1,0)</f>
        <v>0</v>
      </c>
      <c r="M47" s="0" t="n">
        <f aca="false">IF(OR('Offshore - Melbourne'!E428="",ISNUMBER(SEARCH("BSB80120",'Offshore - Melbourne'!B428&amp;'Offshore - Melbourne'!N428)),ISNUMBER(SEARCH("Management (Learning)",'Offshore - Melbourne'!B428))),2,IF(ISNUMBER(SEARCH("CEK:",'Offshore - Melbourne'!N428)),1,0))</f>
        <v>0</v>
      </c>
    </row>
    <row r="48" customFormat="false" ht="15" hidden="false" customHeight="false" outlineLevel="0" collapsed="false">
      <c r="A48" s="63" t="s">
        <v>3544</v>
      </c>
      <c r="B48" s="64" t="s">
        <v>3698</v>
      </c>
      <c r="C48" s="63" t="s">
        <v>3707</v>
      </c>
      <c r="D48" s="64" t="str">
        <f aca="false">TRIM(LEFT('Offshore - Melbourne'!A290,FIND(CHAR(10),'Offshore - Melbourne'!A290&amp;CHAR(10))-1))</f>
        <v>Kaplan Business School</v>
      </c>
      <c r="E48" s="63" t="str">
        <f aca="false">'Offshore - Melbourne'!C295&amp;""</f>
        <v>0,5 year</v>
      </c>
      <c r="F48" s="63" t="str">
        <f aca="false">IF('Offshore - Melbourne'!D295="","Belum tercatat",'Offshore - Melbourne'!D295)</f>
        <v>Trimester</v>
      </c>
      <c r="G48" s="65" t="n">
        <f aca="false">IF('Offshore - Melbourne'!E295="","-",'Offshore - Melbourne'!E295)</f>
        <v>13600</v>
      </c>
      <c r="H48" s="63" t="n">
        <f aca="false">IF(ISNUMBER(K48),COUNTIFS($J$6:$J$1854,J48,$K$6:$K$1854,"&lt;"&amp;K48)+1,"-")</f>
        <v>2</v>
      </c>
      <c r="I48" s="64" t="str">
        <f aca="false">IF('Offshore - Melbourne'!E295="","Harga belum tersedia - hubungi konsultan TEG",IF(M48=2,"Saat ini tidak menerima pendaftaran siswa internasional baru",IF(M48=1,"Harga perlu dikonfirmasi ke sekolah"&amp;IF(""="","","; "&amp;""),"")))</f>
        <v>Harga perlu dikonfirmasi ke sekolah</v>
      </c>
      <c r="J48" s="0" t="s">
        <v>3731</v>
      </c>
      <c r="K48" s="0" t="n">
        <f aca="false">IF(M48=2,"",IF(ISNUMBER(SEARCH("rata-rata:",'Offshore - Melbourne'!N295)),VALUE(MID('Offshore - Melbourne'!N295,SEARCH("rata-rata:",'Offshore - Melbourne'!N295)+11,FIND(";",'Offshore - Melbourne'!N295&amp;";",SEARCH("rata-rata:",'Offshore - Melbourne'!N295))-SEARCH("rata-rata:",'Offshore - Melbourne'!N295)-11)),IF('Offshore - Melbourne'!D295="Semester",'Offshore - Melbourne'!E295*2,IF('Offshore - Melbourne'!D295="Trimester",'Offshore - Melbourne'!E295*3,IF('Offshore - Melbourne'!D295="Term",'Offshore - Melbourne'!E295*4,IF('Offshore - Melbourne'!D295="Unit",'Offshore - Melbourne'!E295*8,""))))))</f>
        <v>40800</v>
      </c>
      <c r="L48" s="0" t="n">
        <f aca="false">IF(AND(ISNUMBER('Offshore - Melbourne'!E295),ISNUMBER(K48),ISNUMBER('Offshore - Melbourne'!F295),ISNUMBER('Offshore - Melbourne'!G295),OR('Offshore - Melbourne'!F295&lt;&gt;0,ISNUMBER(SEARCH("Material 0 terverifikasi",'Offshore - Melbourne'!N295))),OR('Offshore - Melbourne'!G295&lt;&gt;0,ISNUMBER(SEARCH("Enrolment 0 terverifikasi",'Offshore - Melbourne'!N295)))),1,0)</f>
        <v>1</v>
      </c>
      <c r="M48" s="0" t="n">
        <f aca="false">IF(OR('Offshore - Melbourne'!E295="",ISNUMBER(SEARCH("BSB80120",'Offshore - Melbourne'!B295&amp;'Offshore - Melbourne'!N295)),ISNUMBER(SEARCH("Management (Learning)",'Offshore - Melbourne'!B295))),2,IF(ISNUMBER(SEARCH("CEK:",'Offshore - Melbourne'!N295)),1,0))</f>
        <v>1</v>
      </c>
    </row>
    <row r="49" customFormat="false" ht="15" hidden="false" customHeight="false" outlineLevel="0" collapsed="false">
      <c r="A49" s="61" t="s">
        <v>3732</v>
      </c>
      <c r="B49" s="62"/>
      <c r="C49" s="62"/>
      <c r="D49" s="62"/>
      <c r="E49" s="62"/>
      <c r="F49" s="62"/>
      <c r="G49" s="62"/>
      <c r="H49" s="62"/>
      <c r="I49" s="62"/>
    </row>
    <row r="50" customFormat="false" ht="15" hidden="false" customHeight="false" outlineLevel="0" collapsed="false">
      <c r="A50" s="63" t="s">
        <v>3544</v>
      </c>
      <c r="B50" s="64" t="s">
        <v>3698</v>
      </c>
      <c r="C50" s="63" t="s">
        <v>46</v>
      </c>
      <c r="D50" s="64" t="str">
        <f aca="false">TRIM(LEFT('Offshore - Melbourne'!A29,FIND(CHAR(10),'Offshore - Melbourne'!A29&amp;CHAR(10))-1))</f>
        <v>AIBI Higher Education</v>
      </c>
      <c r="E50" s="63" t="str">
        <f aca="false">'Offshore - Melbourne'!C37&amp;""</f>
        <v>2 years</v>
      </c>
      <c r="F50" s="63" t="str">
        <f aca="false">IF('Offshore - Melbourne'!D37="","Belum tercatat",'Offshore - Melbourne'!D37)</f>
        <v>Term</v>
      </c>
      <c r="G50" s="65" t="n">
        <f aca="false">IF('Offshore - Melbourne'!E37="","-",'Offshore - Melbourne'!E37)</f>
        <v>4050</v>
      </c>
      <c r="H50" s="63" t="n">
        <f aca="false">IF(ISNUMBER(K50),COUNTIFS($J$6:$J$1854,J50,$K$6:$K$1854,"&lt;"&amp;K50)+1,"-")</f>
        <v>1</v>
      </c>
      <c r="I50" s="64" t="str">
        <f aca="false">IF('Offshore - Melbourne'!E37="","Harga belum tersedia - hubungi konsultan TEG",IF(M50=2,"Saat ini tidak menerima pendaftaran siswa internasional baru",IF(M50=1,"Harga perlu dikonfirmasi ke sekolah"&amp;IF(""="","","; "&amp;""),"")))</f>
        <v>Harga perlu dikonfirmasi ke sekolah</v>
      </c>
      <c r="J50" s="0" t="s">
        <v>3733</v>
      </c>
      <c r="K50" s="0" t="n">
        <f aca="false">IF(M50=2,"",IF(ISNUMBER(SEARCH("rata-rata:",'Offshore - Melbourne'!N37)),VALUE(MID('Offshore - Melbourne'!N37,SEARCH("rata-rata:",'Offshore - Melbourne'!N37)+11,FIND(";",'Offshore - Melbourne'!N37&amp;";",SEARCH("rata-rata:",'Offshore - Melbourne'!N37))-SEARCH("rata-rata:",'Offshore - Melbourne'!N37)-11)),IF('Offshore - Melbourne'!D37="Semester",'Offshore - Melbourne'!E37*2,IF('Offshore - Melbourne'!D37="Trimester",'Offshore - Melbourne'!E37*3,IF('Offshore - Melbourne'!D37="Term",'Offshore - Melbourne'!E37*4,IF('Offshore - Melbourne'!D37="Unit",'Offshore - Melbourne'!E37*8,""))))))</f>
        <v>16200</v>
      </c>
      <c r="L50" s="0" t="n">
        <f aca="false">IF(AND(ISNUMBER('Offshore - Melbourne'!E37),ISNUMBER(K50),ISNUMBER('Offshore - Melbourne'!F37),ISNUMBER('Offshore - Melbourne'!G37),OR('Offshore - Melbourne'!F37&lt;&gt;0,ISNUMBER(SEARCH("Material 0 terverifikasi",'Offshore - Melbourne'!N37))),OR('Offshore - Melbourne'!G37&lt;&gt;0,ISNUMBER(SEARCH("Enrolment 0 terverifikasi",'Offshore - Melbourne'!N37)))),1,0)</f>
        <v>0</v>
      </c>
      <c r="M50" s="0" t="n">
        <f aca="false">IF(OR('Offshore - Melbourne'!E37="",ISNUMBER(SEARCH("BSB80120",'Offshore - Melbourne'!B37&amp;'Offshore - Melbourne'!N37)),ISNUMBER(SEARCH("Management (Learning)",'Offshore - Melbourne'!B37))),2,IF(ISNUMBER(SEARCH("CEK:",'Offshore - Melbourne'!N37)),1,0))</f>
        <v>1</v>
      </c>
    </row>
    <row r="51" customFormat="false" ht="28.35" hidden="false" customHeight="false" outlineLevel="0" collapsed="false">
      <c r="A51" s="63" t="s">
        <v>3544</v>
      </c>
      <c r="B51" s="64" t="s">
        <v>3698</v>
      </c>
      <c r="C51" s="63" t="s">
        <v>46</v>
      </c>
      <c r="D51" s="64" t="str">
        <f aca="false">TRIM(LEFT('Offshore - Melbourne'!A351,FIND(CHAR(10),'Offshore - Melbourne'!A351&amp;CHAR(10))-1))</f>
        <v>National Academy of Professional Studies (NAPS)</v>
      </c>
      <c r="E51" s="63" t="str">
        <f aca="false">'Offshore - Melbourne'!C354&amp;""</f>
        <v>2 years</v>
      </c>
      <c r="F51" s="63" t="str">
        <f aca="false">IF('Offshore - Melbourne'!D354="","Belum tercatat",'Offshore - Melbourne'!D354)</f>
        <v>Term</v>
      </c>
      <c r="G51" s="65" t="n">
        <f aca="false">IF('Offshore - Melbourne'!E354="","-",'Offshore - Melbourne'!E354)</f>
        <v>4250</v>
      </c>
      <c r="H51" s="63" t="n">
        <f aca="false">IF(ISNUMBER(K51),COUNTIFS($J$6:$J$1854,J51,$K$6:$K$1854,"&lt;"&amp;K51)+1,"-")</f>
        <v>2</v>
      </c>
      <c r="I51" s="64" t="str">
        <f aca="false">IF('Offshore - Melbourne'!E354="","Harga belum tersedia - hubungi konsultan TEG",IF(M51=2,"Saat ini tidak menerima pendaftaran siswa internasional baru",IF(M51=1,"Harga perlu dikonfirmasi ke sekolah"&amp;IF(""="","","; "&amp;""),"")))</f>
        <v>Harga perlu dikonfirmasi ke sekolah</v>
      </c>
      <c r="J51" s="0" t="s">
        <v>3733</v>
      </c>
      <c r="K51" s="0" t="n">
        <f aca="false">IF(M51=2,"",IF(ISNUMBER(SEARCH("rata-rata:",'Offshore - Melbourne'!N354)),VALUE(MID('Offshore - Melbourne'!N354,SEARCH("rata-rata:",'Offshore - Melbourne'!N354)+11,FIND(";",'Offshore - Melbourne'!N354&amp;";",SEARCH("rata-rata:",'Offshore - Melbourne'!N354))-SEARCH("rata-rata:",'Offshore - Melbourne'!N354)-11)),IF('Offshore - Melbourne'!D354="Semester",'Offshore - Melbourne'!E354*2,IF('Offshore - Melbourne'!D354="Trimester",'Offshore - Melbourne'!E354*3,IF('Offshore - Melbourne'!D354="Term",'Offshore - Melbourne'!E354*4,IF('Offshore - Melbourne'!D354="Unit",'Offshore - Melbourne'!E354*8,""))))))</f>
        <v>17000</v>
      </c>
      <c r="L51" s="0" t="n">
        <f aca="false">IF(AND(ISNUMBER('Offshore - Melbourne'!E354),ISNUMBER(K51),ISNUMBER('Offshore - Melbourne'!F354),ISNUMBER('Offshore - Melbourne'!G354),OR('Offshore - Melbourne'!F354&lt;&gt;0,ISNUMBER(SEARCH("Material 0 terverifikasi",'Offshore - Melbourne'!N354))),OR('Offshore - Melbourne'!G354&lt;&gt;0,ISNUMBER(SEARCH("Enrolment 0 terverifikasi",'Offshore - Melbourne'!N354)))),1,0)</f>
        <v>1</v>
      </c>
      <c r="M51" s="0" t="n">
        <f aca="false">IF(OR('Offshore - Melbourne'!E354="",ISNUMBER(SEARCH("BSB80120",'Offshore - Melbourne'!B354&amp;'Offshore - Melbourne'!N354)),ISNUMBER(SEARCH("Management (Learning)",'Offshore - Melbourne'!B354))),2,IF(ISNUMBER(SEARCH("CEK:",'Offshore - Melbourne'!N354)),1,0))</f>
        <v>1</v>
      </c>
    </row>
    <row r="52" customFormat="false" ht="15" hidden="false" customHeight="false" outlineLevel="0" collapsed="false">
      <c r="A52" s="63" t="s">
        <v>3544</v>
      </c>
      <c r="B52" s="64" t="s">
        <v>3698</v>
      </c>
      <c r="C52" s="63" t="s">
        <v>46</v>
      </c>
      <c r="D52" s="64" t="str">
        <f aca="false">TRIM(LEFT('Offshore - Melbourne'!A426,FIND(CHAR(10),'Offshore - Melbourne'!A426&amp;CHAR(10))-1))</f>
        <v>The Institute of International Studies (TIIS)</v>
      </c>
      <c r="E52" s="63" t="str">
        <f aca="false">'Offshore - Melbourne'!C431&amp;""</f>
        <v>1,5 years</v>
      </c>
      <c r="F52" s="63" t="str">
        <f aca="false">IF('Offshore - Melbourne'!D431="","Belum tercatat",'Offshore - Melbourne'!D431)</f>
        <v>Term</v>
      </c>
      <c r="G52" s="65" t="n">
        <f aca="false">IF('Offshore - Melbourne'!E431="","-",'Offshore - Melbourne'!E431)</f>
        <v>4500</v>
      </c>
      <c r="H52" s="63" t="n">
        <f aca="false">IF(ISNUMBER(K52),COUNTIFS($J$6:$J$1854,J52,$K$6:$K$1854,"&lt;"&amp;K52)+1,"-")</f>
        <v>3</v>
      </c>
      <c r="I52" s="64" t="str">
        <f aca="false">IF('Offshore - Melbourne'!E431="","Harga belum tersedia - hubungi konsultan TEG",IF(M52=2,"Saat ini tidak menerima pendaftaran siswa internasional baru",IF(M52=1,"Harga perlu dikonfirmasi ke sekolah"&amp;IF(""="","","; "&amp;""),"")))</f>
        <v/>
      </c>
      <c r="J52" s="0" t="s">
        <v>3733</v>
      </c>
      <c r="K52" s="0" t="n">
        <f aca="false">IF(M52=2,"",IF(ISNUMBER(SEARCH("rata-rata:",'Offshore - Melbourne'!N431)),VALUE(MID('Offshore - Melbourne'!N431,SEARCH("rata-rata:",'Offshore - Melbourne'!N431)+11,FIND(";",'Offshore - Melbourne'!N431&amp;";",SEARCH("rata-rata:",'Offshore - Melbourne'!N431))-SEARCH("rata-rata:",'Offshore - Melbourne'!N431)-11)),IF('Offshore - Melbourne'!D431="Semester",'Offshore - Melbourne'!E431*2,IF('Offshore - Melbourne'!D431="Trimester",'Offshore - Melbourne'!E431*3,IF('Offshore - Melbourne'!D431="Term",'Offshore - Melbourne'!E431*4,IF('Offshore - Melbourne'!D431="Unit",'Offshore - Melbourne'!E431*8,""))))))</f>
        <v>18000</v>
      </c>
      <c r="L52" s="0" t="n">
        <f aca="false">IF(AND(ISNUMBER('Offshore - Melbourne'!E431),ISNUMBER(K52),ISNUMBER('Offshore - Melbourne'!F431),ISNUMBER('Offshore - Melbourne'!G431),OR('Offshore - Melbourne'!F431&lt;&gt;0,ISNUMBER(SEARCH("Material 0 terverifikasi",'Offshore - Melbourne'!N431))),OR('Offshore - Melbourne'!G431&lt;&gt;0,ISNUMBER(SEARCH("Enrolment 0 terverifikasi",'Offshore - Melbourne'!N431)))),1,0)</f>
        <v>0</v>
      </c>
      <c r="M52" s="0" t="n">
        <f aca="false">IF(OR('Offshore - Melbourne'!E431="",ISNUMBER(SEARCH("BSB80120",'Offshore - Melbourne'!B431&amp;'Offshore - Melbourne'!N431)),ISNUMBER(SEARCH("Management (Learning)",'Offshore - Melbourne'!B431))),2,IF(ISNUMBER(SEARCH("CEK:",'Offshore - Melbourne'!N431)),1,0))</f>
        <v>0</v>
      </c>
    </row>
    <row r="53" customFormat="false" ht="15" hidden="false" customHeight="false" outlineLevel="0" collapsed="false">
      <c r="A53" s="63" t="s">
        <v>3544</v>
      </c>
      <c r="B53" s="64" t="s">
        <v>3698</v>
      </c>
      <c r="C53" s="63" t="s">
        <v>46</v>
      </c>
      <c r="D53" s="64" t="str">
        <f aca="false">TRIM(LEFT('Offshore - Melbourne'!A374,FIND(CHAR(10),'Offshore - Melbourne'!A374&amp;CHAR(10))-1))</f>
        <v>Ozford Institute of Higher Education</v>
      </c>
      <c r="E53" s="63" t="str">
        <f aca="false">'Offshore - Melbourne'!C377&amp;""</f>
        <v>2 years</v>
      </c>
      <c r="F53" s="63" t="str">
        <f aca="false">IF('Offshore - Melbourne'!D377="","Belum tercatat",'Offshore - Melbourne'!D377)</f>
        <v>Term</v>
      </c>
      <c r="G53" s="65" t="n">
        <f aca="false">IF('Offshore - Melbourne'!E377="","-",'Offshore - Melbourne'!E377)</f>
        <v>4650</v>
      </c>
      <c r="H53" s="63" t="n">
        <f aca="false">IF(ISNUMBER(K53),COUNTIFS($J$6:$J$1854,J53,$K$6:$K$1854,"&lt;"&amp;K53)+1,"-")</f>
        <v>4</v>
      </c>
      <c r="I53" s="64" t="str">
        <f aca="false">IF('Offshore - Melbourne'!E377="","Harga belum tersedia - hubungi konsultan TEG",IF(M53=2,"Saat ini tidak menerima pendaftaran siswa internasional baru",IF(M53=1,"Harga perlu dikonfirmasi ke sekolah"&amp;IF(""="","","; "&amp;""),"")))</f>
        <v>Harga perlu dikonfirmasi ke sekolah</v>
      </c>
      <c r="J53" s="0" t="s">
        <v>3733</v>
      </c>
      <c r="K53" s="0" t="n">
        <f aca="false">IF(M53=2,"",IF(ISNUMBER(SEARCH("rata-rata:",'Offshore - Melbourne'!N377)),VALUE(MID('Offshore - Melbourne'!N377,SEARCH("rata-rata:",'Offshore - Melbourne'!N377)+11,FIND(";",'Offshore - Melbourne'!N377&amp;";",SEARCH("rata-rata:",'Offshore - Melbourne'!N377))-SEARCH("rata-rata:",'Offshore - Melbourne'!N377)-11)),IF('Offshore - Melbourne'!D377="Semester",'Offshore - Melbourne'!E377*2,IF('Offshore - Melbourne'!D377="Trimester",'Offshore - Melbourne'!E377*3,IF('Offshore - Melbourne'!D377="Term",'Offshore - Melbourne'!E377*4,IF('Offshore - Melbourne'!D377="Unit",'Offshore - Melbourne'!E377*8,""))))))</f>
        <v>18600</v>
      </c>
      <c r="L53" s="0" t="n">
        <f aca="false">IF(AND(ISNUMBER('Offshore - Melbourne'!E377),ISNUMBER(K53),ISNUMBER('Offshore - Melbourne'!F377),ISNUMBER('Offshore - Melbourne'!G377),OR('Offshore - Melbourne'!F377&lt;&gt;0,ISNUMBER(SEARCH("Material 0 terverifikasi",'Offshore - Melbourne'!N377))),OR('Offshore - Melbourne'!G377&lt;&gt;0,ISNUMBER(SEARCH("Enrolment 0 terverifikasi",'Offshore - Melbourne'!N377)))),1,0)</f>
        <v>1</v>
      </c>
      <c r="M53" s="0" t="n">
        <f aca="false">IF(OR('Offshore - Melbourne'!E377="",ISNUMBER(SEARCH("BSB80120",'Offshore - Melbourne'!B377&amp;'Offshore - Melbourne'!N377)),ISNUMBER(SEARCH("Management (Learning)",'Offshore - Melbourne'!B377))),2,IF(ISNUMBER(SEARCH("CEK:",'Offshore - Melbourne'!N377)),1,0))</f>
        <v>1</v>
      </c>
    </row>
    <row r="54" customFormat="false" ht="15" hidden="false" customHeight="false" outlineLevel="0" collapsed="false">
      <c r="A54" s="63" t="s">
        <v>3544</v>
      </c>
      <c r="B54" s="64" t="s">
        <v>3698</v>
      </c>
      <c r="C54" s="63" t="s">
        <v>46</v>
      </c>
      <c r="D54" s="64" t="str">
        <f aca="false">TRIM(LEFT('Offshore - Melbourne'!A443,FIND(CHAR(10),'Offshore - Melbourne'!A443&amp;CHAR(10))-1))</f>
        <v>Torrens University Australia</v>
      </c>
      <c r="E54" s="63" t="str">
        <f aca="false">'Offshore - Melbourne'!C454&amp;""</f>
        <v>1,5 years</v>
      </c>
      <c r="F54" s="63" t="str">
        <f aca="false">IF('Offshore - Melbourne'!D454="","Belum tercatat",'Offshore - Melbourne'!D454)</f>
        <v>Term</v>
      </c>
      <c r="G54" s="65" t="n">
        <f aca="false">IF('Offshore - Melbourne'!E454="","-",'Offshore - Melbourne'!E454)</f>
        <v>9000</v>
      </c>
      <c r="H54" s="63" t="n">
        <f aca="false">IF(ISNUMBER(K54),COUNTIFS($J$6:$J$1854,J54,$K$6:$K$1854,"&lt;"&amp;K54)+1,"-")</f>
        <v>5</v>
      </c>
      <c r="I54" s="64" t="str">
        <f aca="false">IF('Offshore - Melbourne'!E454="","Harga belum tersedia - hubungi konsultan TEG",IF(M54=2,"Saat ini tidak menerima pendaftaran siswa internasional baru",IF(M54=1,"Harga perlu dikonfirmasi ke sekolah"&amp;IF(""="","","; "&amp;""),"")))</f>
        <v/>
      </c>
      <c r="J54" s="0" t="s">
        <v>3733</v>
      </c>
      <c r="K54" s="0" t="n">
        <f aca="false">IF(M54=2,"",IF(ISNUMBER(SEARCH("rata-rata:",'Offshore - Melbourne'!N454)),VALUE(MID('Offshore - Melbourne'!N454,SEARCH("rata-rata:",'Offshore - Melbourne'!N454)+11,FIND(";",'Offshore - Melbourne'!N454&amp;";",SEARCH("rata-rata:",'Offshore - Melbourne'!N454))-SEARCH("rata-rata:",'Offshore - Melbourne'!N454)-11)),IF('Offshore - Melbourne'!D454="Semester",'Offshore - Melbourne'!E454*2,IF('Offshore - Melbourne'!D454="Trimester",'Offshore - Melbourne'!E454*3,IF('Offshore - Melbourne'!D454="Term",'Offshore - Melbourne'!E454*4,IF('Offshore - Melbourne'!D454="Unit",'Offshore - Melbourne'!E454*8,""))))))</f>
        <v>36000</v>
      </c>
      <c r="L54" s="0" t="n">
        <f aca="false">IF(AND(ISNUMBER('Offshore - Melbourne'!E454),ISNUMBER(K54),ISNUMBER('Offshore - Melbourne'!F454),ISNUMBER('Offshore - Melbourne'!G454),OR('Offshore - Melbourne'!F454&lt;&gt;0,ISNUMBER(SEARCH("Material 0 terverifikasi",'Offshore - Melbourne'!N454))),OR('Offshore - Melbourne'!G454&lt;&gt;0,ISNUMBER(SEARCH("Enrolment 0 terverifikasi",'Offshore - Melbourne'!N454)))),1,0)</f>
        <v>0</v>
      </c>
      <c r="M54" s="0" t="n">
        <f aca="false">IF(OR('Offshore - Melbourne'!E454="",ISNUMBER(SEARCH("BSB80120",'Offshore - Melbourne'!B454&amp;'Offshore - Melbourne'!N454)),ISNUMBER(SEARCH("Management (Learning)",'Offshore - Melbourne'!B454))),2,IF(ISNUMBER(SEARCH("CEK:",'Offshore - Melbourne'!N454)),1,0))</f>
        <v>0</v>
      </c>
    </row>
    <row r="55" customFormat="false" ht="15" hidden="false" customHeight="false" outlineLevel="0" collapsed="false">
      <c r="A55" s="63" t="s">
        <v>3544</v>
      </c>
      <c r="B55" s="64" t="s">
        <v>3698</v>
      </c>
      <c r="C55" s="63" t="s">
        <v>46</v>
      </c>
      <c r="D55" s="64" t="str">
        <f aca="false">TRIM(LEFT('Offshore - Melbourne'!A95,FIND(CHAR(10),'Offshore - Melbourne'!A95&amp;CHAR(10))-1))</f>
        <v>Australian Catholic University (ACU)</v>
      </c>
      <c r="E55" s="63" t="str">
        <f aca="false">'Offshore - Melbourne'!C123&amp;""</f>
        <v>2 years</v>
      </c>
      <c r="F55" s="63" t="str">
        <f aca="false">IF('Offshore - Melbourne'!D123="","Belum tercatat",'Offshore - Melbourne'!D123)</f>
        <v>Term</v>
      </c>
      <c r="G55" s="65" t="n">
        <f aca="false">IF('Offshore - Melbourne'!E123="","-",'Offshore - Melbourne'!E123)</f>
        <v>9524</v>
      </c>
      <c r="H55" s="63" t="n">
        <f aca="false">IF(ISNUMBER(K55),COUNTIFS($J$6:$J$1854,J55,$K$6:$K$1854,"&lt;"&amp;K55)+1,"-")</f>
        <v>6</v>
      </c>
      <c r="I55" s="64" t="str">
        <f aca="false">IF('Offshore - Melbourne'!E123="","Harga belum tersedia - hubungi konsultan TEG",IF(M55=2,"Saat ini tidak menerima pendaftaran siswa internasional baru",IF(M55=1,"Harga perlu dikonfirmasi ke sekolah"&amp;IF(""="","","; "&amp;""),"")))</f>
        <v/>
      </c>
      <c r="J55" s="0" t="s">
        <v>3733</v>
      </c>
      <c r="K55" s="0" t="n">
        <f aca="false">IF(M55=2,"",IF(ISNUMBER(SEARCH("rata-rata:",'Offshore - Melbourne'!N123)),VALUE(MID('Offshore - Melbourne'!N123,SEARCH("rata-rata:",'Offshore - Melbourne'!N123)+11,FIND(";",'Offshore - Melbourne'!N123&amp;";",SEARCH("rata-rata:",'Offshore - Melbourne'!N123))-SEARCH("rata-rata:",'Offshore - Melbourne'!N123)-11)),IF('Offshore - Melbourne'!D123="Semester",'Offshore - Melbourne'!E123*2,IF('Offshore - Melbourne'!D123="Trimester",'Offshore - Melbourne'!E123*3,IF('Offshore - Melbourne'!D123="Term",'Offshore - Melbourne'!E123*4,IF('Offshore - Melbourne'!D123="Unit",'Offshore - Melbourne'!E123*8,""))))))</f>
        <v>38096</v>
      </c>
      <c r="L55" s="0" t="n">
        <f aca="false">IF(AND(ISNUMBER('Offshore - Melbourne'!E123),ISNUMBER(K55),ISNUMBER('Offshore - Melbourne'!F123),ISNUMBER('Offshore - Melbourne'!G123),OR('Offshore - Melbourne'!F123&lt;&gt;0,ISNUMBER(SEARCH("Material 0 terverifikasi",'Offshore - Melbourne'!N123))),OR('Offshore - Melbourne'!G123&lt;&gt;0,ISNUMBER(SEARCH("Enrolment 0 terverifikasi",'Offshore - Melbourne'!N123)))),1,0)</f>
        <v>0</v>
      </c>
      <c r="M55" s="0" t="n">
        <f aca="false">IF(OR('Offshore - Melbourne'!E123="",ISNUMBER(SEARCH("BSB80120",'Offshore - Melbourne'!B123&amp;'Offshore - Melbourne'!N123)),ISNUMBER(SEARCH("Management (Learning)",'Offshore - Melbourne'!B123))),2,IF(ISNUMBER(SEARCH("CEK:",'Offshore - Melbourne'!N123)),1,0))</f>
        <v>0</v>
      </c>
    </row>
    <row r="56" customFormat="false" ht="15" hidden="false" customHeight="false" outlineLevel="0" collapsed="false">
      <c r="A56" s="63" t="s">
        <v>3544</v>
      </c>
      <c r="B56" s="64" t="s">
        <v>3698</v>
      </c>
      <c r="C56" s="63" t="s">
        <v>46</v>
      </c>
      <c r="D56" s="64" t="str">
        <f aca="false">TRIM(LEFT('Offshore - Melbourne'!A290,FIND(CHAR(10),'Offshore - Melbourne'!A290&amp;CHAR(10))-1))</f>
        <v>Kaplan Business School</v>
      </c>
      <c r="E56" s="63" t="str">
        <f aca="false">'Offshore - Melbourne'!C296&amp;""</f>
        <v>2 years</v>
      </c>
      <c r="F56" s="63" t="str">
        <f aca="false">IF('Offshore - Melbourne'!D296="","Belum tercatat",'Offshore - Melbourne'!D296)</f>
        <v>Trimester</v>
      </c>
      <c r="G56" s="65" t="n">
        <f aca="false">IF('Offshore - Melbourne'!E296="","-",'Offshore - Melbourne'!E296)</f>
        <v>13600</v>
      </c>
      <c r="H56" s="63" t="n">
        <f aca="false">IF(ISNUMBER(K56),COUNTIFS($J$6:$J$1854,J56,$K$6:$K$1854,"&lt;"&amp;K56)+1,"-")</f>
        <v>7</v>
      </c>
      <c r="I56" s="64" t="str">
        <f aca="false">IF('Offshore - Melbourne'!E296="","Harga belum tersedia - hubungi konsultan TEG",IF(M56=2,"Saat ini tidak menerima pendaftaran siswa internasional baru",IF(M56=1,"Harga perlu dikonfirmasi ke sekolah"&amp;IF(""="","","; "&amp;""),"")))</f>
        <v>Harga perlu dikonfirmasi ke sekolah</v>
      </c>
      <c r="J56" s="0" t="s">
        <v>3733</v>
      </c>
      <c r="K56" s="0" t="n">
        <f aca="false">IF(M56=2,"",IF(ISNUMBER(SEARCH("rata-rata:",'Offshore - Melbourne'!N296)),VALUE(MID('Offshore - Melbourne'!N296,SEARCH("rata-rata:",'Offshore - Melbourne'!N296)+11,FIND(";",'Offshore - Melbourne'!N296&amp;";",SEARCH("rata-rata:",'Offshore - Melbourne'!N296))-SEARCH("rata-rata:",'Offshore - Melbourne'!N296)-11)),IF('Offshore - Melbourne'!D296="Semester",'Offshore - Melbourne'!E296*2,IF('Offshore - Melbourne'!D296="Trimester",'Offshore - Melbourne'!E296*3,IF('Offshore - Melbourne'!D296="Term",'Offshore - Melbourne'!E296*4,IF('Offshore - Melbourne'!D296="Unit",'Offshore - Melbourne'!E296*8,""))))))</f>
        <v>40800</v>
      </c>
      <c r="L56" s="0" t="n">
        <f aca="false">IF(AND(ISNUMBER('Offshore - Melbourne'!E296),ISNUMBER(K56),ISNUMBER('Offshore - Melbourne'!F296),ISNUMBER('Offshore - Melbourne'!G296),OR('Offshore - Melbourne'!F296&lt;&gt;0,ISNUMBER(SEARCH("Material 0 terverifikasi",'Offshore - Melbourne'!N296))),OR('Offshore - Melbourne'!G296&lt;&gt;0,ISNUMBER(SEARCH("Enrolment 0 terverifikasi",'Offshore - Melbourne'!N296)))),1,0)</f>
        <v>1</v>
      </c>
      <c r="M56" s="0" t="n">
        <f aca="false">IF(OR('Offshore - Melbourne'!E296="",ISNUMBER(SEARCH("BSB80120",'Offshore - Melbourne'!B296&amp;'Offshore - Melbourne'!N296)),ISNUMBER(SEARCH("Management (Learning)",'Offshore - Melbourne'!B296))),2,IF(ISNUMBER(SEARCH("CEK:",'Offshore - Melbourne'!N296)),1,0))</f>
        <v>1</v>
      </c>
    </row>
    <row r="57" customFormat="false" ht="15" hidden="false" customHeight="false" outlineLevel="0" collapsed="false">
      <c r="A57" s="61" t="s">
        <v>3734</v>
      </c>
      <c r="B57" s="62"/>
      <c r="C57" s="62"/>
      <c r="D57" s="62"/>
      <c r="E57" s="62"/>
      <c r="F57" s="62"/>
      <c r="G57" s="62"/>
      <c r="H57" s="62"/>
      <c r="I57" s="62"/>
    </row>
    <row r="58" customFormat="false" ht="15" hidden="false" customHeight="false" outlineLevel="0" collapsed="false">
      <c r="A58" s="63" t="s">
        <v>3573</v>
      </c>
      <c r="B58" s="64" t="s">
        <v>3698</v>
      </c>
      <c r="C58" s="63" t="s">
        <v>41</v>
      </c>
      <c r="D58" s="64" t="str">
        <f aca="false">TRIM(LEFT('Offshore - Perth'!A145,FIND(CHAR(10),'Offshore - Perth'!A145&amp;CHAR(10))-1))</f>
        <v>TAFE International Western Australia (TIWA)</v>
      </c>
      <c r="E58" s="63" t="str">
        <f aca="false">'Offshore - Perth'!C147&amp;""</f>
        <v>1 year (2 semester)</v>
      </c>
      <c r="F58" s="63" t="str">
        <f aca="false">IF('Offshore - Perth'!D147="","Belum tercatat",'Offshore - Perth'!D147)</f>
        <v>Semester</v>
      </c>
      <c r="G58" s="65" t="n">
        <f aca="false">IF('Offshore - Perth'!E147="","-",'Offshore - Perth'!E147)</f>
        <v>6570</v>
      </c>
      <c r="H58" s="63" t="n">
        <f aca="false">IF(ISNUMBER(K58),COUNTIFS($J$6:$J$1854,J58,$K$6:$K$1854,"&lt;"&amp;K58)+1,"-")</f>
        <v>1</v>
      </c>
      <c r="I58" s="64" t="str">
        <f aca="false">IF('Offshore - Perth'!E147="","Harga belum tersedia - hubungi konsultan TEG",IF(M58=2,"Saat ini tidak menerima pendaftaran siswa internasional baru",IF(M58=1,"Harga perlu dikonfirmasi ke sekolah"&amp;IF(""="","","; "&amp;""),"")))</f>
        <v>Harga perlu dikonfirmasi ke sekolah</v>
      </c>
      <c r="J58" s="0" t="s">
        <v>3735</v>
      </c>
      <c r="K58" s="0" t="n">
        <f aca="false">IF(M58=2,"",IF(ISNUMBER(SEARCH("rata-rata:",'Offshore - Perth'!N147)),VALUE(MID('Offshore - Perth'!N147,SEARCH("rata-rata:",'Offshore - Perth'!N147)+11,FIND(";",'Offshore - Perth'!N147&amp;";",SEARCH("rata-rata:",'Offshore - Perth'!N147))-SEARCH("rata-rata:",'Offshore - Perth'!N147)-11)),IF('Offshore - Perth'!D147="Semester",'Offshore - Perth'!E147*2,IF('Offshore - Perth'!D147="Trimester",'Offshore - Perth'!E147*3,IF('Offshore - Perth'!D147="Term",'Offshore - Perth'!E147*4,IF('Offshore - Perth'!D147="Unit",'Offshore - Perth'!E147*8,""))))))</f>
        <v>13140</v>
      </c>
      <c r="L58" s="0" t="n">
        <f aca="false">IF(AND(ISNUMBER('Offshore - Perth'!E147),ISNUMBER(K58),ISNUMBER('Offshore - Perth'!F147),ISNUMBER('Offshore - Perth'!G147),OR('Offshore - Perth'!F147&lt;&gt;0,ISNUMBER(SEARCH("Material 0 terverifikasi",'Offshore - Perth'!N147))),OR('Offshore - Perth'!G147&lt;&gt;0,ISNUMBER(SEARCH("Enrolment 0 terverifikasi",'Offshore - Perth'!N147)))),1,0)</f>
        <v>0</v>
      </c>
      <c r="M58" s="0" t="n">
        <f aca="false">IF(OR('Offshore - Perth'!E147="",ISNUMBER(SEARCH("BSB80120",'Offshore - Perth'!B147&amp;'Offshore - Perth'!N147)),ISNUMBER(SEARCH("Management (Learning)",'Offshore - Perth'!B147))),2,IF(ISNUMBER(SEARCH("CEK:",'Offshore - Perth'!N147)),1,0))</f>
        <v>1</v>
      </c>
    </row>
    <row r="59" customFormat="false" ht="15" hidden="false" customHeight="false" outlineLevel="0" collapsed="false">
      <c r="A59" s="61" t="s">
        <v>3736</v>
      </c>
      <c r="B59" s="62"/>
      <c r="C59" s="62"/>
      <c r="D59" s="62"/>
      <c r="E59" s="62"/>
      <c r="F59" s="62"/>
      <c r="G59" s="62"/>
      <c r="H59" s="62"/>
      <c r="I59" s="62"/>
    </row>
    <row r="60" customFormat="false" ht="15" hidden="false" customHeight="false" outlineLevel="0" collapsed="false">
      <c r="A60" s="63" t="s">
        <v>3573</v>
      </c>
      <c r="B60" s="64" t="s">
        <v>3698</v>
      </c>
      <c r="C60" s="63" t="s">
        <v>3707</v>
      </c>
      <c r="D60" s="64" t="str">
        <f aca="false">TRIM(LEFT('Offshore - Perth'!A91,FIND(CHAR(10),'Offshore - Perth'!A91&amp;CHAR(10))-1))</f>
        <v>Kaplan Business School</v>
      </c>
      <c r="E60" s="63" t="str">
        <f aca="false">'Offshore - Perth'!C96&amp;""</f>
        <v>0,5 year</v>
      </c>
      <c r="F60" s="63" t="str">
        <f aca="false">IF('Offshore - Perth'!D96="","Belum tercatat",'Offshore - Perth'!D96)</f>
        <v>Trimester</v>
      </c>
      <c r="G60" s="65" t="n">
        <f aca="false">IF('Offshore - Perth'!E96="","-",'Offshore - Perth'!E96)</f>
        <v>13600</v>
      </c>
      <c r="H60" s="63" t="n">
        <f aca="false">IF(ISNUMBER(K60),COUNTIFS($J$6:$J$1854,J60,$K$6:$K$1854,"&lt;"&amp;K60)+1,"-")</f>
        <v>1</v>
      </c>
      <c r="I60" s="64" t="str">
        <f aca="false">IF('Offshore - Perth'!E96="","Harga belum tersedia - hubungi konsultan TEG",IF(M60=2,"Saat ini tidak menerima pendaftaran siswa internasional baru",IF(M60=1,"Harga perlu dikonfirmasi ke sekolah"&amp;IF(""="","","; "&amp;""),"")))</f>
        <v>Harga perlu dikonfirmasi ke sekolah</v>
      </c>
      <c r="J60" s="0" t="s">
        <v>3737</v>
      </c>
      <c r="K60" s="0" t="n">
        <f aca="false">IF(M60=2,"",IF(ISNUMBER(SEARCH("rata-rata:",'Offshore - Perth'!N96)),VALUE(MID('Offshore - Perth'!N96,SEARCH("rata-rata:",'Offshore - Perth'!N96)+11,FIND(";",'Offshore - Perth'!N96&amp;";",SEARCH("rata-rata:",'Offshore - Perth'!N96))-SEARCH("rata-rata:",'Offshore - Perth'!N96)-11)),IF('Offshore - Perth'!D96="Semester",'Offshore - Perth'!E96*2,IF('Offshore - Perth'!D96="Trimester",'Offshore - Perth'!E96*3,IF('Offshore - Perth'!D96="Term",'Offshore - Perth'!E96*4,IF('Offshore - Perth'!D96="Unit",'Offshore - Perth'!E96*8,""))))))</f>
        <v>40800</v>
      </c>
      <c r="L60" s="0" t="n">
        <f aca="false">IF(AND(ISNUMBER('Offshore - Perth'!E96),ISNUMBER(K60),ISNUMBER('Offshore - Perth'!F96),ISNUMBER('Offshore - Perth'!G96),OR('Offshore - Perth'!F96&lt;&gt;0,ISNUMBER(SEARCH("Material 0 terverifikasi",'Offshore - Perth'!N96))),OR('Offshore - Perth'!G96&lt;&gt;0,ISNUMBER(SEARCH("Enrolment 0 terverifikasi",'Offshore - Perth'!N96)))),1,0)</f>
        <v>1</v>
      </c>
      <c r="M60" s="0" t="n">
        <f aca="false">IF(OR('Offshore - Perth'!E96="",ISNUMBER(SEARCH("BSB80120",'Offshore - Perth'!B96&amp;'Offshore - Perth'!N96)),ISNUMBER(SEARCH("Management (Learning)",'Offshore - Perth'!B96))),2,IF(ISNUMBER(SEARCH("CEK:",'Offshore - Perth'!N96)),1,0))</f>
        <v>1</v>
      </c>
    </row>
    <row r="61" customFormat="false" ht="15" hidden="false" customHeight="false" outlineLevel="0" collapsed="false">
      <c r="A61" s="61" t="s">
        <v>3738</v>
      </c>
      <c r="B61" s="62"/>
      <c r="C61" s="62"/>
      <c r="D61" s="62"/>
      <c r="E61" s="62"/>
      <c r="F61" s="62"/>
      <c r="G61" s="62"/>
      <c r="H61" s="62"/>
      <c r="I61" s="62"/>
    </row>
    <row r="62" customFormat="false" ht="15" hidden="false" customHeight="false" outlineLevel="0" collapsed="false">
      <c r="A62" s="63" t="s">
        <v>3573</v>
      </c>
      <c r="B62" s="64" t="s">
        <v>3698</v>
      </c>
      <c r="C62" s="63" t="s">
        <v>46</v>
      </c>
      <c r="D62" s="64" t="str">
        <f aca="false">TRIM(LEFT('Offshore - Perth'!A13,FIND(CHAR(10),'Offshore - Perth'!A13&amp;CHAR(10))-1))</f>
        <v>AIBI Higher Education</v>
      </c>
      <c r="E62" s="63" t="str">
        <f aca="false">'Offshore - Perth'!C21&amp;""</f>
        <v>2 years</v>
      </c>
      <c r="F62" s="63" t="str">
        <f aca="false">IF('Offshore - Perth'!D21="","Belum tercatat",'Offshore - Perth'!D21)</f>
        <v>Term</v>
      </c>
      <c r="G62" s="65" t="n">
        <f aca="false">IF('Offshore - Perth'!E21="","-",'Offshore - Perth'!E21)</f>
        <v>4050</v>
      </c>
      <c r="H62" s="63" t="n">
        <f aca="false">IF(ISNUMBER(K62),COUNTIFS($J$6:$J$1854,J62,$K$6:$K$1854,"&lt;"&amp;K62)+1,"-")</f>
        <v>1</v>
      </c>
      <c r="I62" s="64" t="str">
        <f aca="false">IF('Offshore - Perth'!E21="","Harga belum tersedia - hubungi konsultan TEG",IF(M62=2,"Saat ini tidak menerima pendaftaran siswa internasional baru",IF(M62=1,"Harga perlu dikonfirmasi ke sekolah"&amp;IF(""="","","; "&amp;""),"")))</f>
        <v>Harga perlu dikonfirmasi ke sekolah</v>
      </c>
      <c r="J62" s="0" t="s">
        <v>3739</v>
      </c>
      <c r="K62" s="0" t="n">
        <f aca="false">IF(M62=2,"",IF(ISNUMBER(SEARCH("rata-rata:",'Offshore - Perth'!N21)),VALUE(MID('Offshore - Perth'!N21,SEARCH("rata-rata:",'Offshore - Perth'!N21)+11,FIND(";",'Offshore - Perth'!N21&amp;";",SEARCH("rata-rata:",'Offshore - Perth'!N21))-SEARCH("rata-rata:",'Offshore - Perth'!N21)-11)),IF('Offshore - Perth'!D21="Semester",'Offshore - Perth'!E21*2,IF('Offshore - Perth'!D21="Trimester",'Offshore - Perth'!E21*3,IF('Offshore - Perth'!D21="Term",'Offshore - Perth'!E21*4,IF('Offshore - Perth'!D21="Unit",'Offshore - Perth'!E21*8,""))))))</f>
        <v>16200</v>
      </c>
      <c r="L62" s="0" t="n">
        <f aca="false">IF(AND(ISNUMBER('Offshore - Perth'!E21),ISNUMBER(K62),ISNUMBER('Offshore - Perth'!F21),ISNUMBER('Offshore - Perth'!G21),OR('Offshore - Perth'!F21&lt;&gt;0,ISNUMBER(SEARCH("Material 0 terverifikasi",'Offshore - Perth'!N21))),OR('Offshore - Perth'!G21&lt;&gt;0,ISNUMBER(SEARCH("Enrolment 0 terverifikasi",'Offshore - Perth'!N21)))),1,0)</f>
        <v>0</v>
      </c>
      <c r="M62" s="0" t="n">
        <f aca="false">IF(OR('Offshore - Perth'!E21="",ISNUMBER(SEARCH("BSB80120",'Offshore - Perth'!B21&amp;'Offshore - Perth'!N21)),ISNUMBER(SEARCH("Management (Learning)",'Offshore - Perth'!B21))),2,IF(ISNUMBER(SEARCH("CEK:",'Offshore - Perth'!N21)),1,0))</f>
        <v>1</v>
      </c>
    </row>
    <row r="63" customFormat="false" ht="15" hidden="false" customHeight="false" outlineLevel="0" collapsed="false">
      <c r="A63" s="63" t="s">
        <v>3573</v>
      </c>
      <c r="B63" s="64" t="s">
        <v>3698</v>
      </c>
      <c r="C63" s="63" t="s">
        <v>46</v>
      </c>
      <c r="D63" s="64" t="str">
        <f aca="false">TRIM(LEFT('Offshore - Perth'!A41,FIND(CHAR(10),'Offshore - Perth'!A41&amp;CHAR(10))-1))</f>
        <v>CIHE Australia</v>
      </c>
      <c r="E63" s="63" t="str">
        <f aca="false">'Offshore - Perth'!C42&amp;""</f>
        <v>2 years</v>
      </c>
      <c r="F63" s="63" t="str">
        <f aca="false">IF('Offshore - Perth'!D42="","Belum tercatat",'Offshore - Perth'!D42)</f>
        <v>Term</v>
      </c>
      <c r="G63" s="65" t="n">
        <f aca="false">IF('Offshore - Perth'!E42="","-",'Offshore - Perth'!E42)</f>
        <v>8500</v>
      </c>
      <c r="H63" s="63" t="n">
        <f aca="false">IF(ISNUMBER(K63),COUNTIFS($J$6:$J$1854,J63,$K$6:$K$1854,"&lt;"&amp;K63)+1,"-")</f>
        <v>2</v>
      </c>
      <c r="I63" s="64" t="str">
        <f aca="false">IF('Offshore - Perth'!E42="","Harga belum tersedia - hubungi konsultan TEG",IF(M63=2,"Saat ini tidak menerima pendaftaran siswa internasional baru",IF(M63=1,"Harga perlu dikonfirmasi ke sekolah"&amp;IF(""="","","; "&amp;""),"")))</f>
        <v>Harga perlu dikonfirmasi ke sekolah</v>
      </c>
      <c r="J63" s="0" t="s">
        <v>3739</v>
      </c>
      <c r="K63" s="0" t="n">
        <f aca="false">IF(M63=2,"",IF(ISNUMBER(SEARCH("rata-rata:",'Offshore - Perth'!N42)),VALUE(MID('Offshore - Perth'!N42,SEARCH("rata-rata:",'Offshore - Perth'!N42)+11,FIND(";",'Offshore - Perth'!N42&amp;";",SEARCH("rata-rata:",'Offshore - Perth'!N42))-SEARCH("rata-rata:",'Offshore - Perth'!N42)-11)),IF('Offshore - Perth'!D42="Semester",'Offshore - Perth'!E42*2,IF('Offshore - Perth'!D42="Trimester",'Offshore - Perth'!E42*3,IF('Offshore - Perth'!D42="Term",'Offshore - Perth'!E42*4,IF('Offshore - Perth'!D42="Unit",'Offshore - Perth'!E42*8,""))))))</f>
        <v>34000</v>
      </c>
      <c r="L63" s="0" t="n">
        <f aca="false">IF(AND(ISNUMBER('Offshore - Perth'!E42),ISNUMBER(K63),ISNUMBER('Offshore - Perth'!F42),ISNUMBER('Offshore - Perth'!G42),OR('Offshore - Perth'!F42&lt;&gt;0,ISNUMBER(SEARCH("Material 0 terverifikasi",'Offshore - Perth'!N42))),OR('Offshore - Perth'!G42&lt;&gt;0,ISNUMBER(SEARCH("Enrolment 0 terverifikasi",'Offshore - Perth'!N42)))),1,0)</f>
        <v>1</v>
      </c>
      <c r="M63" s="0" t="n">
        <f aca="false">IF(OR('Offshore - Perth'!E42="",ISNUMBER(SEARCH("BSB80120",'Offshore - Perth'!B42&amp;'Offshore - Perth'!N42)),ISNUMBER(SEARCH("Management (Learning)",'Offshore - Perth'!B42))),2,IF(ISNUMBER(SEARCH("CEK:",'Offshore - Perth'!N42)),1,0))</f>
        <v>1</v>
      </c>
    </row>
    <row r="64" customFormat="false" ht="15" hidden="false" customHeight="false" outlineLevel="0" collapsed="false">
      <c r="A64" s="63" t="s">
        <v>3573</v>
      </c>
      <c r="B64" s="64" t="s">
        <v>3698</v>
      </c>
      <c r="C64" s="63" t="s">
        <v>46</v>
      </c>
      <c r="D64" s="64" t="str">
        <f aca="false">TRIM(LEFT('Offshore - Perth'!A91,FIND(CHAR(10),'Offshore - Perth'!A91&amp;CHAR(10))-1))</f>
        <v>Kaplan Business School</v>
      </c>
      <c r="E64" s="63" t="str">
        <f aca="false">'Offshore - Perth'!C97&amp;""</f>
        <v>2 years</v>
      </c>
      <c r="F64" s="63" t="str">
        <f aca="false">IF('Offshore - Perth'!D97="","Belum tercatat",'Offshore - Perth'!D97)</f>
        <v>Trimester</v>
      </c>
      <c r="G64" s="65" t="n">
        <f aca="false">IF('Offshore - Perth'!E97="","-",'Offshore - Perth'!E97)</f>
        <v>13600</v>
      </c>
      <c r="H64" s="63" t="n">
        <f aca="false">IF(ISNUMBER(K64),COUNTIFS($J$6:$J$1854,J64,$K$6:$K$1854,"&lt;"&amp;K64)+1,"-")</f>
        <v>3</v>
      </c>
      <c r="I64" s="64" t="str">
        <f aca="false">IF('Offshore - Perth'!E97="","Harga belum tersedia - hubungi konsultan TEG",IF(M64=2,"Saat ini tidak menerima pendaftaran siswa internasional baru",IF(M64=1,"Harga perlu dikonfirmasi ke sekolah"&amp;IF(""="","","; "&amp;""),"")))</f>
        <v>Harga perlu dikonfirmasi ke sekolah</v>
      </c>
      <c r="J64" s="0" t="s">
        <v>3739</v>
      </c>
      <c r="K64" s="0" t="n">
        <f aca="false">IF(M64=2,"",IF(ISNUMBER(SEARCH("rata-rata:",'Offshore - Perth'!N97)),VALUE(MID('Offshore - Perth'!N97,SEARCH("rata-rata:",'Offshore - Perth'!N97)+11,FIND(";",'Offshore - Perth'!N97&amp;";",SEARCH("rata-rata:",'Offshore - Perth'!N97))-SEARCH("rata-rata:",'Offshore - Perth'!N97)-11)),IF('Offshore - Perth'!D97="Semester",'Offshore - Perth'!E97*2,IF('Offshore - Perth'!D97="Trimester",'Offshore - Perth'!E97*3,IF('Offshore - Perth'!D97="Term",'Offshore - Perth'!E97*4,IF('Offshore - Perth'!D97="Unit",'Offshore - Perth'!E97*8,""))))))</f>
        <v>40800</v>
      </c>
      <c r="L64" s="0" t="n">
        <f aca="false">IF(AND(ISNUMBER('Offshore - Perth'!E97),ISNUMBER(K64),ISNUMBER('Offshore - Perth'!F97),ISNUMBER('Offshore - Perth'!G97),OR('Offshore - Perth'!F97&lt;&gt;0,ISNUMBER(SEARCH("Material 0 terverifikasi",'Offshore - Perth'!N97))),OR('Offshore - Perth'!G97&lt;&gt;0,ISNUMBER(SEARCH("Enrolment 0 terverifikasi",'Offshore - Perth'!N97)))),1,0)</f>
        <v>1</v>
      </c>
      <c r="M64" s="0" t="n">
        <f aca="false">IF(OR('Offshore - Perth'!E97="",ISNUMBER(SEARCH("BSB80120",'Offshore - Perth'!B97&amp;'Offshore - Perth'!N97)),ISNUMBER(SEARCH("Management (Learning)",'Offshore - Perth'!B97))),2,IF(ISNUMBER(SEARCH("CEK:",'Offshore - Perth'!N97)),1,0))</f>
        <v>1</v>
      </c>
    </row>
    <row r="65" customFormat="false" ht="15" hidden="false" customHeight="false" outlineLevel="0" collapsed="false">
      <c r="A65" s="61" t="s">
        <v>3740</v>
      </c>
      <c r="B65" s="62"/>
      <c r="C65" s="62"/>
      <c r="D65" s="62"/>
      <c r="E65" s="62"/>
      <c r="F65" s="62"/>
      <c r="G65" s="62"/>
      <c r="H65" s="62"/>
      <c r="I65" s="62"/>
    </row>
    <row r="66" customFormat="false" ht="15" hidden="false" customHeight="false" outlineLevel="0" collapsed="false">
      <c r="A66" s="63" t="s">
        <v>3533</v>
      </c>
      <c r="B66" s="64" t="s">
        <v>3698</v>
      </c>
      <c r="C66" s="63" t="s">
        <v>40</v>
      </c>
      <c r="D66" s="64" t="str">
        <f aca="false">TRIM(LEFT('Offshore - Sydney'!A296,FIND(CHAR(10),'Offshore - Sydney'!A296&amp;CHAR(10))-1))</f>
        <v>Australian Ideal College (AIC)</v>
      </c>
      <c r="E66" s="63" t="str">
        <f aca="false">'Offshore - Sydney'!C300&amp;""</f>
        <v>1,5 years</v>
      </c>
      <c r="F66" s="63" t="str">
        <f aca="false">IF('Offshore - Sydney'!D300="","Belum tercatat",'Offshore - Sydney'!D300)</f>
        <v>Term</v>
      </c>
      <c r="G66" s="65" t="n">
        <f aca="false">IF('Offshore - Sydney'!E300="","-",'Offshore - Sydney'!E300)</f>
        <v>1500</v>
      </c>
      <c r="H66" s="63" t="n">
        <f aca="false">IF(ISNUMBER(K66),COUNTIFS($J$6:$J$1854,J66,$K$6:$K$1854,"&lt;"&amp;K66)+1,"-")</f>
        <v>1</v>
      </c>
      <c r="I66" s="64" t="str">
        <f aca="false">IF('Offshore - Sydney'!E300="","Harga belum tersedia - hubungi konsultan TEG",IF(M66=2,"Saat ini tidak menerima pendaftaran siswa internasional baru",IF(M66=1,"Harga perlu dikonfirmasi ke sekolah"&amp;IF(""="","","; "&amp;""),"")))</f>
        <v/>
      </c>
      <c r="J66" s="0" t="s">
        <v>3741</v>
      </c>
      <c r="K66" s="0" t="n">
        <f aca="false">IF(M66=2,"",IF(ISNUMBER(SEARCH("rata-rata:",'Offshore - Sydney'!N300)),VALUE(MID('Offshore - Sydney'!N300,SEARCH("rata-rata:",'Offshore - Sydney'!N300)+11,FIND(";",'Offshore - Sydney'!N300&amp;";",SEARCH("rata-rata:",'Offshore - Sydney'!N300))-SEARCH("rata-rata:",'Offshore - Sydney'!N300)-11)),IF('Offshore - Sydney'!D300="Semester",'Offshore - Sydney'!E300*2,IF('Offshore - Sydney'!D300="Trimester",'Offshore - Sydney'!E300*3,IF('Offshore - Sydney'!D300="Term",'Offshore - Sydney'!E300*4,IF('Offshore - Sydney'!D300="Unit",'Offshore - Sydney'!E300*8,""))))))</f>
        <v>6000</v>
      </c>
      <c r="L66" s="0" t="n">
        <f aca="false">IF(AND(ISNUMBER('Offshore - Sydney'!E300),ISNUMBER(K66),ISNUMBER('Offshore - Sydney'!F300),ISNUMBER('Offshore - Sydney'!G300),OR('Offshore - Sydney'!F300&lt;&gt;0,ISNUMBER(SEARCH("Material 0 terverifikasi",'Offshore - Sydney'!N300))),OR('Offshore - Sydney'!G300&lt;&gt;0,ISNUMBER(SEARCH("Enrolment 0 terverifikasi",'Offshore - Sydney'!N300)))),1,0)</f>
        <v>1</v>
      </c>
      <c r="M66" s="0" t="n">
        <f aca="false">IF(OR('Offshore - Sydney'!E300="",ISNUMBER(SEARCH("BSB80120",'Offshore - Sydney'!B300&amp;'Offshore - Sydney'!N300)),ISNUMBER(SEARCH("Management (Learning)",'Offshore - Sydney'!B300))),2,IF(ISNUMBER(SEARCH("CEK:",'Offshore - Sydney'!N300)),1,0))</f>
        <v>0</v>
      </c>
    </row>
    <row r="67" customFormat="false" ht="15" hidden="false" customHeight="false" outlineLevel="0" collapsed="false">
      <c r="A67" s="61" t="s">
        <v>3742</v>
      </c>
      <c r="B67" s="62"/>
      <c r="C67" s="62"/>
      <c r="D67" s="62"/>
      <c r="E67" s="62"/>
      <c r="F67" s="62"/>
      <c r="G67" s="62"/>
      <c r="H67" s="62"/>
      <c r="I67" s="62"/>
    </row>
    <row r="68" customFormat="false" ht="15" hidden="false" customHeight="false" outlineLevel="0" collapsed="false">
      <c r="A68" s="63" t="s">
        <v>3533</v>
      </c>
      <c r="B68" s="64" t="s">
        <v>3698</v>
      </c>
      <c r="C68" s="63" t="s">
        <v>41</v>
      </c>
      <c r="D68" s="64" t="str">
        <f aca="false">TRIM(LEFT('Offshore - Sydney'!A296,FIND(CHAR(10),'Offshore - Sydney'!A296&amp;CHAR(10))-1))</f>
        <v>Australian Ideal College (AIC)</v>
      </c>
      <c r="E68" s="63" t="str">
        <f aca="false">'Offshore - Sydney'!C301&amp;""</f>
        <v>2,5 years</v>
      </c>
      <c r="F68" s="63" t="str">
        <f aca="false">IF('Offshore - Sydney'!D301="","Belum tercatat",'Offshore - Sydney'!D301)</f>
        <v>Term</v>
      </c>
      <c r="G68" s="65" t="n">
        <f aca="false">IF('Offshore - Sydney'!E301="","-",'Offshore - Sydney'!E301)</f>
        <v>1500</v>
      </c>
      <c r="H68" s="63" t="n">
        <f aca="false">IF(ISNUMBER(K68),COUNTIFS($J$6:$J$1854,J68,$K$6:$K$1854,"&lt;"&amp;K68)+1,"-")</f>
        <v>1</v>
      </c>
      <c r="I68" s="64" t="str">
        <f aca="false">IF('Offshore - Sydney'!E301="","Harga belum tersedia - hubungi konsultan TEG",IF(M68=2,"Saat ini tidak menerima pendaftaran siswa internasional baru",IF(M68=1,"Harga perlu dikonfirmasi ke sekolah"&amp;IF(""="","","; "&amp;""),"")))</f>
        <v/>
      </c>
      <c r="J68" s="0" t="s">
        <v>3743</v>
      </c>
      <c r="K68" s="0" t="n">
        <f aca="false">IF(M68=2,"",IF(ISNUMBER(SEARCH("rata-rata:",'Offshore - Sydney'!N301)),VALUE(MID('Offshore - Sydney'!N301,SEARCH("rata-rata:",'Offshore - Sydney'!N301)+11,FIND(";",'Offshore - Sydney'!N301&amp;";",SEARCH("rata-rata:",'Offshore - Sydney'!N301))-SEARCH("rata-rata:",'Offshore - Sydney'!N301)-11)),IF('Offshore - Sydney'!D301="Semester",'Offshore - Sydney'!E301*2,IF('Offshore - Sydney'!D301="Trimester",'Offshore - Sydney'!E301*3,IF('Offshore - Sydney'!D301="Term",'Offshore - Sydney'!E301*4,IF('Offshore - Sydney'!D301="Unit",'Offshore - Sydney'!E301*8,""))))))</f>
        <v>6000</v>
      </c>
      <c r="L68" s="0" t="n">
        <f aca="false">IF(AND(ISNUMBER('Offshore - Sydney'!E301),ISNUMBER(K68),ISNUMBER('Offshore - Sydney'!F301),ISNUMBER('Offshore - Sydney'!G301),OR('Offshore - Sydney'!F301&lt;&gt;0,ISNUMBER(SEARCH("Material 0 terverifikasi",'Offshore - Sydney'!N301))),OR('Offshore - Sydney'!G301&lt;&gt;0,ISNUMBER(SEARCH("Enrolment 0 terverifikasi",'Offshore - Sydney'!N301)))),1,0)</f>
        <v>1</v>
      </c>
      <c r="M68" s="0" t="n">
        <f aca="false">IF(OR('Offshore - Sydney'!E301="",ISNUMBER(SEARCH("BSB80120",'Offshore - Sydney'!B301&amp;'Offshore - Sydney'!N301)),ISNUMBER(SEARCH("Management (Learning)",'Offshore - Sydney'!B301))),2,IF(ISNUMBER(SEARCH("CEK:",'Offshore - Sydney'!N301)),1,0))</f>
        <v>0</v>
      </c>
    </row>
    <row r="69" customFormat="false" ht="15" hidden="false" customHeight="false" outlineLevel="0" collapsed="false">
      <c r="A69" s="63" t="s">
        <v>3533</v>
      </c>
      <c r="B69" s="64" t="s">
        <v>3698</v>
      </c>
      <c r="C69" s="63" t="s">
        <v>41</v>
      </c>
      <c r="D69" s="64" t="str">
        <f aca="false">TRIM(LEFT('Offshore - Sydney'!A599,FIND(CHAR(10),'Offshore - Sydney'!A599&amp;CHAR(10))-1))</f>
        <v>New Cambridge College Sydney (NCCS)</v>
      </c>
      <c r="E69" s="63" t="str">
        <f aca="false">'Offshore - Sydney'!C605&amp;""</f>
        <v>3 years</v>
      </c>
      <c r="F69" s="63" t="str">
        <f aca="false">IF('Offshore - Sydney'!D605="","Belum tercatat",'Offshore - Sydney'!D605)</f>
        <v>Term</v>
      </c>
      <c r="G69" s="65" t="n">
        <f aca="false">IF('Offshore - Sydney'!E605="","-",'Offshore - Sydney'!E605)</f>
        <v>1500</v>
      </c>
      <c r="H69" s="63" t="n">
        <f aca="false">IF(ISNUMBER(K69),COUNTIFS($J$6:$J$1854,J69,$K$6:$K$1854,"&lt;"&amp;K69)+1,"-")</f>
        <v>1</v>
      </c>
      <c r="I69" s="64" t="str">
        <f aca="false">IF('Offshore - Sydney'!E605="","Harga belum tersedia - hubungi konsultan TEG",IF(M69=2,"Saat ini tidak menerima pendaftaran siswa internasional baru",IF(M69=1,"Program perlu dikonfirmasi ketersediaannya"&amp;IF(""="","","; "&amp;""),"")))</f>
        <v>Program perlu dikonfirmasi ketersediaannya</v>
      </c>
      <c r="J69" s="0" t="s">
        <v>3743</v>
      </c>
      <c r="K69" s="0" t="n">
        <f aca="false">IF(M69=2,"",IF(ISNUMBER(SEARCH("rata-rata:",'Offshore - Sydney'!N605)),VALUE(MID('Offshore - Sydney'!N605,SEARCH("rata-rata:",'Offshore - Sydney'!N605)+11,FIND(";",'Offshore - Sydney'!N605&amp;";",SEARCH("rata-rata:",'Offshore - Sydney'!N605))-SEARCH("rata-rata:",'Offshore - Sydney'!N605)-11)),IF('Offshore - Sydney'!D605="Semester",'Offshore - Sydney'!E605*2,IF('Offshore - Sydney'!D605="Trimester",'Offshore - Sydney'!E605*3,IF('Offshore - Sydney'!D605="Term",'Offshore - Sydney'!E605*4,IF('Offshore - Sydney'!D605="Unit",'Offshore - Sydney'!E605*8,""))))))</f>
        <v>6000</v>
      </c>
      <c r="L69" s="0" t="n">
        <f aca="false">IF(AND(ISNUMBER('Offshore - Sydney'!E605),ISNUMBER(K69),ISNUMBER('Offshore - Sydney'!F605),ISNUMBER('Offshore - Sydney'!G605),OR('Offshore - Sydney'!F605&lt;&gt;0,ISNUMBER(SEARCH("Material 0 terverifikasi",'Offshore - Sydney'!N605))),OR('Offshore - Sydney'!G605&lt;&gt;0,ISNUMBER(SEARCH("Enrolment 0 terverifikasi",'Offshore - Sydney'!N605)))),1,0)</f>
        <v>1</v>
      </c>
      <c r="M69" s="0" t="n">
        <f aca="false">IF(OR('Offshore - Sydney'!E605="",ISNUMBER(SEARCH("BSB80120",'Offshore - Sydney'!B605&amp;'Offshore - Sydney'!N605)),ISNUMBER(SEARCH("Management (Learning)",'Offshore - Sydney'!B605))),2,IF(ISNUMBER(SEARCH("CEK:",'Offshore - Sydney'!N605)),1,0))</f>
        <v>1</v>
      </c>
    </row>
    <row r="70" customFormat="false" ht="15" hidden="false" customHeight="false" outlineLevel="0" collapsed="false">
      <c r="A70" s="63" t="s">
        <v>3533</v>
      </c>
      <c r="B70" s="64" t="s">
        <v>3698</v>
      </c>
      <c r="C70" s="63" t="s">
        <v>41</v>
      </c>
      <c r="D70" s="64" t="str">
        <f aca="false">TRIM(LEFT('Offshore - Sydney'!A673,FIND(CHAR(10),'Offshore - Sydney'!A673&amp;CHAR(10))-1))</f>
        <v>Rosewood International College</v>
      </c>
      <c r="E70" s="63" t="str">
        <f aca="false">'Offshore - Sydney'!C673&amp;""</f>
        <v>2 years</v>
      </c>
      <c r="F70" s="63" t="str">
        <f aca="false">IF('Offshore - Sydney'!D673="","Belum tercatat",'Offshore - Sydney'!D673)</f>
        <v>Term</v>
      </c>
      <c r="G70" s="65" t="n">
        <f aca="false">IF('Offshore - Sydney'!E673="","-",'Offshore - Sydney'!E673)</f>
        <v>1500</v>
      </c>
      <c r="H70" s="63" t="n">
        <f aca="false">IF(ISNUMBER(K70),COUNTIFS($J$6:$J$1854,J70,$K$6:$K$1854,"&lt;"&amp;K70)+1,"-")</f>
        <v>1</v>
      </c>
      <c r="I70" s="64" t="str">
        <f aca="false">IF('Offshore - Sydney'!E673="","Harga belum tersedia - hubungi konsultan TEG",IF(M70=2,"Saat ini tidak menerima pendaftaran siswa internasional baru",IF(M70=1,"Harga perlu dikonfirmasi ke sekolah"&amp;IF(""="","","; "&amp;""),"")))</f>
        <v/>
      </c>
      <c r="J70" s="0" t="s">
        <v>3743</v>
      </c>
      <c r="K70" s="0" t="n">
        <f aca="false">IF(M70=2,"",IF(ISNUMBER(SEARCH("rata-rata:",'Offshore - Sydney'!N673)),VALUE(MID('Offshore - Sydney'!N673,SEARCH("rata-rata:",'Offshore - Sydney'!N673)+11,FIND(";",'Offshore - Sydney'!N673&amp;";",SEARCH("rata-rata:",'Offshore - Sydney'!N673))-SEARCH("rata-rata:",'Offshore - Sydney'!N673)-11)),IF('Offshore - Sydney'!D673="Semester",'Offshore - Sydney'!E673*2,IF('Offshore - Sydney'!D673="Trimester",'Offshore - Sydney'!E673*3,IF('Offshore - Sydney'!D673="Term",'Offshore - Sydney'!E673*4,IF('Offshore - Sydney'!D673="Unit",'Offshore - Sydney'!E673*8,""))))))</f>
        <v>6000</v>
      </c>
      <c r="L70" s="0" t="n">
        <f aca="false">IF(AND(ISNUMBER('Offshore - Sydney'!E673),ISNUMBER(K70),ISNUMBER('Offshore - Sydney'!F673),ISNUMBER('Offshore - Sydney'!G673),OR('Offshore - Sydney'!F673&lt;&gt;0,ISNUMBER(SEARCH("Material 0 terverifikasi",'Offshore - Sydney'!N673))),OR('Offshore - Sydney'!G673&lt;&gt;0,ISNUMBER(SEARCH("Enrolment 0 terverifikasi",'Offshore - Sydney'!N673)))),1,0)</f>
        <v>1</v>
      </c>
      <c r="M70" s="0" t="n">
        <f aca="false">IF(OR('Offshore - Sydney'!E673="",ISNUMBER(SEARCH("BSB80120",'Offshore - Sydney'!B673&amp;'Offshore - Sydney'!N673)),ISNUMBER(SEARCH("Management (Learning)",'Offshore - Sydney'!B673))),2,IF(ISNUMBER(SEARCH("CEK:",'Offshore - Sydney'!N673)),1,0))</f>
        <v>0</v>
      </c>
    </row>
    <row r="71" customFormat="false" ht="28.35" hidden="false" customHeight="false" outlineLevel="0" collapsed="false">
      <c r="A71" s="63" t="s">
        <v>3533</v>
      </c>
      <c r="B71" s="64" t="s">
        <v>3698</v>
      </c>
      <c r="C71" s="63" t="s">
        <v>41</v>
      </c>
      <c r="D71" s="64" t="str">
        <f aca="false">TRIM(LEFT('Offshore - Sydney'!A807,FIND(CHAR(10),'Offshore - Sydney'!A807&amp;CHAR(10))-1))</f>
        <v>TKL College (Training for Knowledge and Livelihood)</v>
      </c>
      <c r="E71" s="63" t="str">
        <f aca="false">'Offshore - Sydney'!C807&amp;""</f>
        <v>2,5 years</v>
      </c>
      <c r="F71" s="63" t="str">
        <f aca="false">IF('Offshore - Sydney'!D807="","Belum tercatat",'Offshore - Sydney'!D807)</f>
        <v>Term</v>
      </c>
      <c r="G71" s="65" t="n">
        <f aca="false">IF('Offshore - Sydney'!E807="","-",'Offshore - Sydney'!E807)</f>
        <v>1500</v>
      </c>
      <c r="H71" s="63" t="n">
        <f aca="false">IF(ISNUMBER(K71),COUNTIFS($J$6:$J$1854,J71,$K$6:$K$1854,"&lt;"&amp;K71)+1,"-")</f>
        <v>1</v>
      </c>
      <c r="I71" s="64" t="str">
        <f aca="false">IF('Offshore - Sydney'!E807="","Harga belum tersedia - hubungi konsultan TEG",IF(M71=2,"Saat ini tidak menerima pendaftaran siswa internasional baru",IF(M71=1,"Harga perlu dikonfirmasi ke sekolah"&amp;IF(""="","","; "&amp;""),"")))</f>
        <v/>
      </c>
      <c r="J71" s="0" t="s">
        <v>3743</v>
      </c>
      <c r="K71" s="0" t="n">
        <f aca="false">IF(M71=2,"",IF(ISNUMBER(SEARCH("rata-rata:",'Offshore - Sydney'!N807)),VALUE(MID('Offshore - Sydney'!N807,SEARCH("rata-rata:",'Offshore - Sydney'!N807)+11,FIND(";",'Offshore - Sydney'!N807&amp;";",SEARCH("rata-rata:",'Offshore - Sydney'!N807))-SEARCH("rata-rata:",'Offshore - Sydney'!N807)-11)),IF('Offshore - Sydney'!D807="Semester",'Offshore - Sydney'!E807*2,IF('Offshore - Sydney'!D807="Trimester",'Offshore - Sydney'!E807*3,IF('Offshore - Sydney'!D807="Term",'Offshore - Sydney'!E807*4,IF('Offshore - Sydney'!D807="Unit",'Offshore - Sydney'!E807*8,""))))))</f>
        <v>6000</v>
      </c>
      <c r="L71" s="0" t="n">
        <f aca="false">IF(AND(ISNUMBER('Offshore - Sydney'!E807),ISNUMBER(K71),ISNUMBER('Offshore - Sydney'!F807),ISNUMBER('Offshore - Sydney'!G807),OR('Offshore - Sydney'!F807&lt;&gt;0,ISNUMBER(SEARCH("Material 0 terverifikasi",'Offshore - Sydney'!N807))),OR('Offshore - Sydney'!G807&lt;&gt;0,ISNUMBER(SEARCH("Enrolment 0 terverifikasi",'Offshore - Sydney'!N807)))),1,0)</f>
        <v>1</v>
      </c>
      <c r="M71" s="0" t="n">
        <f aca="false">IF(OR('Offshore - Sydney'!E807="",ISNUMBER(SEARCH("BSB80120",'Offshore - Sydney'!B807&amp;'Offshore - Sydney'!N807)),ISNUMBER(SEARCH("Management (Learning)",'Offshore - Sydney'!B807))),2,IF(ISNUMBER(SEARCH("CEK:",'Offshore - Sydney'!N807)),1,0))</f>
        <v>0</v>
      </c>
    </row>
    <row r="72" customFormat="false" ht="15" hidden="false" customHeight="false" outlineLevel="0" collapsed="false">
      <c r="A72" s="63" t="s">
        <v>3533</v>
      </c>
      <c r="B72" s="64" t="s">
        <v>3698</v>
      </c>
      <c r="C72" s="63" t="s">
        <v>41</v>
      </c>
      <c r="D72" s="64" t="str">
        <f aca="false">TRIM(LEFT('Offshore - Sydney'!A1151,FIND(CHAR(10),'Offshore - Sydney'!A1151&amp;CHAR(10))-1))</f>
        <v>York Business Institute</v>
      </c>
      <c r="E72" s="63" t="str">
        <f aca="false">'Offshore - Sydney'!C1154&amp;""</f>
        <v>2,5 years</v>
      </c>
      <c r="F72" s="63" t="str">
        <f aca="false">IF('Offshore - Sydney'!D1154="","Belum tercatat",'Offshore - Sydney'!D1154)</f>
        <v>Term</v>
      </c>
      <c r="G72" s="65" t="n">
        <f aca="false">IF('Offshore - Sydney'!E1154="","-",'Offshore - Sydney'!E1154)</f>
        <v>1500</v>
      </c>
      <c r="H72" s="63" t="n">
        <f aca="false">IF(ISNUMBER(K72),COUNTIFS($J$6:$J$1854,J72,$K$6:$K$1854,"&lt;"&amp;K72)+1,"-")</f>
        <v>1</v>
      </c>
      <c r="I72" s="64" t="str">
        <f aca="false">IF('Offshore - Sydney'!E1154="","Harga belum tersedia - hubungi konsultan TEG",IF(M72=2,"Saat ini tidak menerima pendaftaran siswa internasional baru",IF(M72=1,"Harga perlu dikonfirmasi ke sekolah"&amp;IF(""="","","; "&amp;""),"")))</f>
        <v>Harga perlu dikonfirmasi ke sekolah</v>
      </c>
      <c r="J72" s="0" t="s">
        <v>3743</v>
      </c>
      <c r="K72" s="0" t="n">
        <f aca="false">IF(M72=2,"",IF(ISNUMBER(SEARCH("rata-rata:",'Offshore - Sydney'!N1154)),VALUE(MID('Offshore - Sydney'!N1154,SEARCH("rata-rata:",'Offshore - Sydney'!N1154)+11,FIND(";",'Offshore - Sydney'!N1154&amp;";",SEARCH("rata-rata:",'Offshore - Sydney'!N1154))-SEARCH("rata-rata:",'Offshore - Sydney'!N1154)-11)),IF('Offshore - Sydney'!D1154="Semester",'Offshore - Sydney'!E1154*2,IF('Offshore - Sydney'!D1154="Trimester",'Offshore - Sydney'!E1154*3,IF('Offshore - Sydney'!D1154="Term",'Offshore - Sydney'!E1154*4,IF('Offshore - Sydney'!D1154="Unit",'Offshore - Sydney'!E1154*8,""))))))</f>
        <v>6000</v>
      </c>
      <c r="L72" s="0" t="n">
        <f aca="false">IF(AND(ISNUMBER('Offshore - Sydney'!E1154),ISNUMBER(K72),ISNUMBER('Offshore - Sydney'!F1154),ISNUMBER('Offshore - Sydney'!G1154),OR('Offshore - Sydney'!F1154&lt;&gt;0,ISNUMBER(SEARCH("Material 0 terverifikasi",'Offshore - Sydney'!N1154))),OR('Offshore - Sydney'!G1154&lt;&gt;0,ISNUMBER(SEARCH("Enrolment 0 terverifikasi",'Offshore - Sydney'!N1154)))),1,0)</f>
        <v>1</v>
      </c>
      <c r="M72" s="0" t="n">
        <f aca="false">IF(OR('Offshore - Sydney'!E1154="",ISNUMBER(SEARCH("BSB80120",'Offshore - Sydney'!B1154&amp;'Offshore - Sydney'!N1154)),ISNUMBER(SEARCH("Management (Learning)",'Offshore - Sydney'!B1154))),2,IF(ISNUMBER(SEARCH("CEK:",'Offshore - Sydney'!N1154)),1,0))</f>
        <v>1</v>
      </c>
    </row>
    <row r="73" customFormat="false" ht="28.35" hidden="false" customHeight="false" outlineLevel="0" collapsed="false">
      <c r="A73" s="63" t="s">
        <v>3533</v>
      </c>
      <c r="B73" s="64" t="s">
        <v>3698</v>
      </c>
      <c r="C73" s="63" t="s">
        <v>41</v>
      </c>
      <c r="D73" s="64" t="str">
        <f aca="false">TRIM(LEFT('Offshore - Sydney'!A282,FIND(CHAR(10),'Offshore - Sydney'!A282&amp;CHAR(10))-1))</f>
        <v>Australian Harbour International College (AHIC)</v>
      </c>
      <c r="E73" s="63" t="str">
        <f aca="false">'Offshore - Sydney'!C285&amp;""</f>
        <v>2,5 years</v>
      </c>
      <c r="F73" s="63" t="str">
        <f aca="false">IF('Offshore - Sydney'!D285="","Belum tercatat",'Offshore - Sydney'!D285)</f>
        <v>Term</v>
      </c>
      <c r="G73" s="65" t="n">
        <f aca="false">IF('Offshore - Sydney'!E285="","-",'Offshore - Sydney'!E285)</f>
        <v>2250</v>
      </c>
      <c r="H73" s="63" t="n">
        <f aca="false">IF(ISNUMBER(K73),COUNTIFS($J$6:$J$1854,J73,$K$6:$K$1854,"&lt;"&amp;K73)+1,"-")</f>
        <v>6</v>
      </c>
      <c r="I73" s="64" t="str">
        <f aca="false">IF('Offshore - Sydney'!E285="","Harga belum tersedia - hubungi konsultan TEG",IF(M73=2,"Saat ini tidak menerima pendaftaran siswa internasional baru",IF(M73=1,"Harga perlu dikonfirmasi ke sekolah"&amp;IF(""="","","; "&amp;""),"")))</f>
        <v/>
      </c>
      <c r="J73" s="0" t="s">
        <v>3743</v>
      </c>
      <c r="K73" s="0" t="n">
        <f aca="false">IF(M73=2,"",IF(ISNUMBER(SEARCH("rata-rata:",'Offshore - Sydney'!N285)),VALUE(MID('Offshore - Sydney'!N285,SEARCH("rata-rata:",'Offshore - Sydney'!N285)+11,FIND(";",'Offshore - Sydney'!N285&amp;";",SEARCH("rata-rata:",'Offshore - Sydney'!N285))-SEARCH("rata-rata:",'Offshore - Sydney'!N285)-11)),IF('Offshore - Sydney'!D285="Semester",'Offshore - Sydney'!E285*2,IF('Offshore - Sydney'!D285="Trimester",'Offshore - Sydney'!E285*3,IF('Offshore - Sydney'!D285="Term",'Offshore - Sydney'!E285*4,IF('Offshore - Sydney'!D285="Unit",'Offshore - Sydney'!E285*8,""))))))</f>
        <v>9000</v>
      </c>
      <c r="L73" s="0" t="n">
        <f aca="false">IF(AND(ISNUMBER('Offshore - Sydney'!E285),ISNUMBER(K73),ISNUMBER('Offshore - Sydney'!F285),ISNUMBER('Offshore - Sydney'!G285),OR('Offshore - Sydney'!F285&lt;&gt;0,ISNUMBER(SEARCH("Material 0 terverifikasi",'Offshore - Sydney'!N285))),OR('Offshore - Sydney'!G285&lt;&gt;0,ISNUMBER(SEARCH("Enrolment 0 terverifikasi",'Offshore - Sydney'!N285)))),1,0)</f>
        <v>1</v>
      </c>
      <c r="M73" s="0" t="n">
        <f aca="false">IF(OR('Offshore - Sydney'!E285="",ISNUMBER(SEARCH("BSB80120",'Offshore - Sydney'!B285&amp;'Offshore - Sydney'!N285)),ISNUMBER(SEARCH("Management (Learning)",'Offshore - Sydney'!B285))),2,IF(ISNUMBER(SEARCH("CEK:",'Offshore - Sydney'!N285)),1,0))</f>
        <v>0</v>
      </c>
    </row>
    <row r="74" customFormat="false" ht="15" hidden="false" customHeight="false" outlineLevel="0" collapsed="false">
      <c r="A74" s="63" t="s">
        <v>3533</v>
      </c>
      <c r="B74" s="64" t="s">
        <v>3698</v>
      </c>
      <c r="C74" s="63" t="s">
        <v>41</v>
      </c>
      <c r="D74" s="64" t="str">
        <f aca="false">TRIM(LEFT('Offshore - Sydney'!A968,FIND(CHAR(10),'Offshore - Sydney'!A968&amp;CHAR(10))-1))</f>
        <v>Western Sydney College (WSC)</v>
      </c>
      <c r="E74" s="63" t="str">
        <f aca="false">'Offshore - Sydney'!C974&amp;""</f>
        <v>3 years</v>
      </c>
      <c r="F74" s="63" t="str">
        <f aca="false">IF('Offshore - Sydney'!D974="","Belum tercatat",'Offshore - Sydney'!D974)</f>
        <v>Term</v>
      </c>
      <c r="G74" s="65" t="n">
        <f aca="false">IF('Offshore - Sydney'!E974="","-",'Offshore - Sydney'!E974)</f>
        <v>3250</v>
      </c>
      <c r="H74" s="63" t="n">
        <f aca="false">IF(ISNUMBER(K74),COUNTIFS($J$6:$J$1854,J74,$K$6:$K$1854,"&lt;"&amp;K74)+1,"-")</f>
        <v>7</v>
      </c>
      <c r="I74" s="64" t="str">
        <f aca="false">IF('Offshore - Sydney'!E974="","Harga belum tersedia - hubungi konsultan TEG",IF(M74=2,"Saat ini tidak menerima pendaftaran siswa internasional baru",IF(M74=1,"Harga perlu dikonfirmasi ke sekolah"&amp;IF(""="","","; "&amp;""),"")))</f>
        <v/>
      </c>
      <c r="J74" s="0" t="s">
        <v>3743</v>
      </c>
      <c r="K74" s="0" t="n">
        <f aca="false">IF(M74=2,"",IF(ISNUMBER(SEARCH("rata-rata:",'Offshore - Sydney'!N974)),VALUE(MID('Offshore - Sydney'!N974,SEARCH("rata-rata:",'Offshore - Sydney'!N974)+11,FIND(";",'Offshore - Sydney'!N974&amp;";",SEARCH("rata-rata:",'Offshore - Sydney'!N974))-SEARCH("rata-rata:",'Offshore - Sydney'!N974)-11)),IF('Offshore - Sydney'!D974="Semester",'Offshore - Sydney'!E974*2,IF('Offshore - Sydney'!D974="Trimester",'Offshore - Sydney'!E974*3,IF('Offshore - Sydney'!D974="Term",'Offshore - Sydney'!E974*4,IF('Offshore - Sydney'!D974="Unit",'Offshore - Sydney'!E974*8,""))))))</f>
        <v>13000</v>
      </c>
      <c r="L74" s="0" t="n">
        <f aca="false">IF(AND(ISNUMBER('Offshore - Sydney'!E974),ISNUMBER(K74),ISNUMBER('Offshore - Sydney'!F974),ISNUMBER('Offshore - Sydney'!G974),OR('Offshore - Sydney'!F974&lt;&gt;0,ISNUMBER(SEARCH("Material 0 terverifikasi",'Offshore - Sydney'!N974))),OR('Offshore - Sydney'!G974&lt;&gt;0,ISNUMBER(SEARCH("Enrolment 0 terverifikasi",'Offshore - Sydney'!N974)))),1,0)</f>
        <v>1</v>
      </c>
      <c r="M74" s="0" t="n">
        <f aca="false">IF(OR('Offshore - Sydney'!E974="",ISNUMBER(SEARCH("BSB80120",'Offshore - Sydney'!B974&amp;'Offshore - Sydney'!N974)),ISNUMBER(SEARCH("Management (Learning)",'Offshore - Sydney'!B974))),2,IF(ISNUMBER(SEARCH("CEK:",'Offshore - Sydney'!N974)),1,0))</f>
        <v>0</v>
      </c>
    </row>
    <row r="75" customFormat="false" ht="15" hidden="false" customHeight="false" outlineLevel="0" collapsed="false">
      <c r="A75" s="61" t="s">
        <v>3744</v>
      </c>
      <c r="B75" s="62"/>
      <c r="C75" s="62"/>
      <c r="D75" s="62"/>
      <c r="E75" s="62"/>
      <c r="F75" s="62"/>
      <c r="G75" s="62"/>
      <c r="H75" s="62"/>
      <c r="I75" s="62"/>
    </row>
    <row r="76" customFormat="false" ht="15" hidden="false" customHeight="false" outlineLevel="0" collapsed="false">
      <c r="A76" s="63" t="s">
        <v>3533</v>
      </c>
      <c r="B76" s="64" t="s">
        <v>3698</v>
      </c>
      <c r="C76" s="63" t="s">
        <v>42</v>
      </c>
      <c r="D76" s="64" t="str">
        <f aca="false">TRIM(LEFT('Offshore - Sydney'!A296,FIND(CHAR(10),'Offshore - Sydney'!A296&amp;CHAR(10))-1))</f>
        <v>Australian Ideal College (AIC)</v>
      </c>
      <c r="E76" s="63" t="str">
        <f aca="false">'Offshore - Sydney'!C303&amp;""</f>
        <v>1 year</v>
      </c>
      <c r="F76" s="63" t="str">
        <f aca="false">IF('Offshore - Sydney'!D303="","Belum tercatat",'Offshore - Sydney'!D303)</f>
        <v>Term</v>
      </c>
      <c r="G76" s="65" t="n">
        <f aca="false">IF('Offshore - Sydney'!E303="","-",'Offshore - Sydney'!E303)</f>
        <v>1500</v>
      </c>
      <c r="H76" s="63" t="n">
        <f aca="false">IF(ISNUMBER(K76),COUNTIFS($J$6:$J$1854,J76,$K$6:$K$1854,"&lt;"&amp;K76)+1,"-")</f>
        <v>1</v>
      </c>
      <c r="I76" s="64" t="str">
        <f aca="false">IF('Offshore - Sydney'!E303="","Harga belum tersedia - hubungi konsultan TEG",IF(M76=2,"Saat ini tidak menerima pendaftaran siswa internasional baru",IF(M76=1,"Harga perlu dikonfirmasi ke sekolah"&amp;IF(""="","","; "&amp;""),"")))</f>
        <v/>
      </c>
      <c r="J76" s="0" t="s">
        <v>3745</v>
      </c>
      <c r="K76" s="0" t="n">
        <f aca="false">IF(M76=2,"",IF(ISNUMBER(SEARCH("rata-rata:",'Offshore - Sydney'!N303)),VALUE(MID('Offshore - Sydney'!N303,SEARCH("rata-rata:",'Offshore - Sydney'!N303)+11,FIND(";",'Offshore - Sydney'!N303&amp;";",SEARCH("rata-rata:",'Offshore - Sydney'!N303))-SEARCH("rata-rata:",'Offshore - Sydney'!N303)-11)),IF('Offshore - Sydney'!D303="Semester",'Offshore - Sydney'!E303*2,IF('Offshore - Sydney'!D303="Trimester",'Offshore - Sydney'!E303*3,IF('Offshore - Sydney'!D303="Term",'Offshore - Sydney'!E303*4,IF('Offshore - Sydney'!D303="Unit",'Offshore - Sydney'!E303*8,""))))))</f>
        <v>6000</v>
      </c>
      <c r="L76" s="0" t="n">
        <f aca="false">IF(AND(ISNUMBER('Offshore - Sydney'!E303),ISNUMBER(K76),ISNUMBER('Offshore - Sydney'!F303),ISNUMBER('Offshore - Sydney'!G303),OR('Offshore - Sydney'!F303&lt;&gt;0,ISNUMBER(SEARCH("Material 0 terverifikasi",'Offshore - Sydney'!N303))),OR('Offshore - Sydney'!G303&lt;&gt;0,ISNUMBER(SEARCH("Enrolment 0 terverifikasi",'Offshore - Sydney'!N303)))),1,0)</f>
        <v>1</v>
      </c>
      <c r="M76" s="0" t="n">
        <f aca="false">IF(OR('Offshore - Sydney'!E303="",ISNUMBER(SEARCH("BSB80120",'Offshore - Sydney'!B303&amp;'Offshore - Sydney'!N303)),ISNUMBER(SEARCH("Management (Learning)",'Offshore - Sydney'!B303))),2,IF(ISNUMBER(SEARCH("CEK:",'Offshore - Sydney'!N303)),1,0))</f>
        <v>0</v>
      </c>
    </row>
    <row r="77" customFormat="false" ht="15" hidden="false" customHeight="false" outlineLevel="0" collapsed="false">
      <c r="A77" s="63" t="s">
        <v>3533</v>
      </c>
      <c r="B77" s="64" t="s">
        <v>3698</v>
      </c>
      <c r="C77" s="63" t="s">
        <v>42</v>
      </c>
      <c r="D77" s="64" t="str">
        <f aca="false">TRIM(LEFT('Offshore - Sydney'!A599,FIND(CHAR(10),'Offshore - Sydney'!A599&amp;CHAR(10))-1))</f>
        <v>New Cambridge College Sydney (NCCS)</v>
      </c>
      <c r="E77" s="63" t="str">
        <f aca="false">'Offshore - Sydney'!C606&amp;""</f>
        <v>5 years</v>
      </c>
      <c r="F77" s="63" t="str">
        <f aca="false">IF('Offshore - Sydney'!D606="","Belum tercatat",'Offshore - Sydney'!D606)</f>
        <v>Term</v>
      </c>
      <c r="G77" s="65" t="n">
        <f aca="false">IF('Offshore - Sydney'!E606="","-",'Offshore - Sydney'!E606)</f>
        <v>1500</v>
      </c>
      <c r="H77" s="63" t="n">
        <f aca="false">IF(ISNUMBER(K77),COUNTIFS($J$6:$J$1854,J77,$K$6:$K$1854,"&lt;"&amp;K77)+1,"-")</f>
        <v>1</v>
      </c>
      <c r="I77" s="64" t="str">
        <f aca="false">IF('Offshore - Sydney'!E606="","Harga belum tersedia - hubungi konsultan TEG",IF(M77=2,"Saat ini tidak menerima pendaftaran siswa internasional baru",IF(M77=1,"Program perlu dikonfirmasi ketersediaannya"&amp;IF(""="","","; "&amp;""),"")))</f>
        <v>Program perlu dikonfirmasi ketersediaannya</v>
      </c>
      <c r="J77" s="0" t="s">
        <v>3745</v>
      </c>
      <c r="K77" s="0" t="n">
        <f aca="false">IF(M77=2,"",IF(ISNUMBER(SEARCH("rata-rata:",'Offshore - Sydney'!N606)),VALUE(MID('Offshore - Sydney'!N606,SEARCH("rata-rata:",'Offshore - Sydney'!N606)+11,FIND(";",'Offshore - Sydney'!N606&amp;";",SEARCH("rata-rata:",'Offshore - Sydney'!N606))-SEARCH("rata-rata:",'Offshore - Sydney'!N606)-11)),IF('Offshore - Sydney'!D606="Semester",'Offshore - Sydney'!E606*2,IF('Offshore - Sydney'!D606="Trimester",'Offshore - Sydney'!E606*3,IF('Offshore - Sydney'!D606="Term",'Offshore - Sydney'!E606*4,IF('Offshore - Sydney'!D606="Unit",'Offshore - Sydney'!E606*8,""))))))</f>
        <v>6000</v>
      </c>
      <c r="L77" s="0" t="n">
        <f aca="false">IF(AND(ISNUMBER('Offshore - Sydney'!E606),ISNUMBER(K77),ISNUMBER('Offshore - Sydney'!F606),ISNUMBER('Offshore - Sydney'!G606),OR('Offshore - Sydney'!F606&lt;&gt;0,ISNUMBER(SEARCH("Material 0 terverifikasi",'Offshore - Sydney'!N606))),OR('Offshore - Sydney'!G606&lt;&gt;0,ISNUMBER(SEARCH("Enrolment 0 terverifikasi",'Offshore - Sydney'!N606)))),1,0)</f>
        <v>1</v>
      </c>
      <c r="M77" s="0" t="n">
        <f aca="false">IF(OR('Offshore - Sydney'!E606="",ISNUMBER(SEARCH("BSB80120",'Offshore - Sydney'!B606&amp;'Offshore - Sydney'!N606)),ISNUMBER(SEARCH("Management (Learning)",'Offshore - Sydney'!B606))),2,IF(ISNUMBER(SEARCH("CEK:",'Offshore - Sydney'!N606)),1,0))</f>
        <v>1</v>
      </c>
    </row>
    <row r="78" customFormat="false" ht="15" hidden="false" customHeight="false" outlineLevel="0" collapsed="false">
      <c r="A78" s="63" t="s">
        <v>3533</v>
      </c>
      <c r="B78" s="64" t="s">
        <v>3698</v>
      </c>
      <c r="C78" s="63" t="s">
        <v>42</v>
      </c>
      <c r="D78" s="64" t="str">
        <f aca="false">TRIM(LEFT('Offshore - Sydney'!A673,FIND(CHAR(10),'Offshore - Sydney'!A673&amp;CHAR(10))-1))</f>
        <v>Rosewood International College</v>
      </c>
      <c r="E78" s="63" t="str">
        <f aca="false">'Offshore - Sydney'!C674&amp;""</f>
        <v>3,5 years</v>
      </c>
      <c r="F78" s="63" t="str">
        <f aca="false">IF('Offshore - Sydney'!D674="","Belum tercatat",'Offshore - Sydney'!D674)</f>
        <v>Term</v>
      </c>
      <c r="G78" s="65" t="n">
        <f aca="false">IF('Offshore - Sydney'!E674="","-",'Offshore - Sydney'!E674)</f>
        <v>1500</v>
      </c>
      <c r="H78" s="63" t="n">
        <f aca="false">IF(ISNUMBER(K78),COUNTIFS($J$6:$J$1854,J78,$K$6:$K$1854,"&lt;"&amp;K78)+1,"-")</f>
        <v>1</v>
      </c>
      <c r="I78" s="64" t="str">
        <f aca="false">IF('Offshore - Sydney'!E674="","Harga belum tersedia - hubungi konsultan TEG",IF(M78=2,"Saat ini tidak menerima pendaftaran siswa internasional baru",IF(M78=1,"Harga perlu dikonfirmasi ke sekolah"&amp;IF(""="","","; "&amp;""),"")))</f>
        <v/>
      </c>
      <c r="J78" s="0" t="s">
        <v>3745</v>
      </c>
      <c r="K78" s="0" t="n">
        <f aca="false">IF(M78=2,"",IF(ISNUMBER(SEARCH("rata-rata:",'Offshore - Sydney'!N674)),VALUE(MID('Offshore - Sydney'!N674,SEARCH("rata-rata:",'Offshore - Sydney'!N674)+11,FIND(";",'Offshore - Sydney'!N674&amp;";",SEARCH("rata-rata:",'Offshore - Sydney'!N674))-SEARCH("rata-rata:",'Offshore - Sydney'!N674)-11)),IF('Offshore - Sydney'!D674="Semester",'Offshore - Sydney'!E674*2,IF('Offshore - Sydney'!D674="Trimester",'Offshore - Sydney'!E674*3,IF('Offshore - Sydney'!D674="Term",'Offshore - Sydney'!E674*4,IF('Offshore - Sydney'!D674="Unit",'Offshore - Sydney'!E674*8,""))))))</f>
        <v>6000</v>
      </c>
      <c r="L78" s="0" t="n">
        <f aca="false">IF(AND(ISNUMBER('Offshore - Sydney'!E674),ISNUMBER(K78),ISNUMBER('Offshore - Sydney'!F674),ISNUMBER('Offshore - Sydney'!G674),OR('Offshore - Sydney'!F674&lt;&gt;0,ISNUMBER(SEARCH("Material 0 terverifikasi",'Offshore - Sydney'!N674))),OR('Offshore - Sydney'!G674&lt;&gt;0,ISNUMBER(SEARCH("Enrolment 0 terverifikasi",'Offshore - Sydney'!N674)))),1,0)</f>
        <v>1</v>
      </c>
      <c r="M78" s="0" t="n">
        <f aca="false">IF(OR('Offshore - Sydney'!E674="",ISNUMBER(SEARCH("BSB80120",'Offshore - Sydney'!B674&amp;'Offshore - Sydney'!N674)),ISNUMBER(SEARCH("Management (Learning)",'Offshore - Sydney'!B674))),2,IF(ISNUMBER(SEARCH("CEK:",'Offshore - Sydney'!N674)),1,0))</f>
        <v>0</v>
      </c>
    </row>
    <row r="79" customFormat="false" ht="15" hidden="false" customHeight="false" outlineLevel="0" collapsed="false">
      <c r="A79" s="63" t="s">
        <v>3533</v>
      </c>
      <c r="B79" s="64" t="s">
        <v>3698</v>
      </c>
      <c r="C79" s="63" t="s">
        <v>42</v>
      </c>
      <c r="D79" s="64" t="str">
        <f aca="false">TRIM(LEFT('Offshore - Sydney'!A1151,FIND(CHAR(10),'Offshore - Sydney'!A1151&amp;CHAR(10))-1))</f>
        <v>York Business Institute</v>
      </c>
      <c r="E79" s="63" t="str">
        <f aca="false">'Offshore - Sydney'!C1155&amp;""</f>
        <v>3,5 years</v>
      </c>
      <c r="F79" s="63" t="str">
        <f aca="false">IF('Offshore - Sydney'!D1155="","Belum tercatat",'Offshore - Sydney'!D1155)</f>
        <v>Term</v>
      </c>
      <c r="G79" s="65" t="n">
        <f aca="false">IF('Offshore - Sydney'!E1155="","-",'Offshore - Sydney'!E1155)</f>
        <v>1500</v>
      </c>
      <c r="H79" s="63" t="n">
        <f aca="false">IF(ISNUMBER(K79),COUNTIFS($J$6:$J$1854,J79,$K$6:$K$1854,"&lt;"&amp;K79)+1,"-")</f>
        <v>1</v>
      </c>
      <c r="I79" s="64" t="str">
        <f aca="false">IF('Offshore - Sydney'!E1155="","Harga belum tersedia - hubungi konsultan TEG",IF(M79=2,"Saat ini tidak menerima pendaftaran siswa internasional baru",IF(M79=1,"Harga perlu dikonfirmasi ke sekolah"&amp;IF(""="","","; "&amp;""),"")))</f>
        <v>Harga perlu dikonfirmasi ke sekolah</v>
      </c>
      <c r="J79" s="0" t="s">
        <v>3745</v>
      </c>
      <c r="K79" s="0" t="n">
        <f aca="false">IF(M79=2,"",IF(ISNUMBER(SEARCH("rata-rata:",'Offshore - Sydney'!N1155)),VALUE(MID('Offshore - Sydney'!N1155,SEARCH("rata-rata:",'Offshore - Sydney'!N1155)+11,FIND(";",'Offshore - Sydney'!N1155&amp;";",SEARCH("rata-rata:",'Offshore - Sydney'!N1155))-SEARCH("rata-rata:",'Offshore - Sydney'!N1155)-11)),IF('Offshore - Sydney'!D1155="Semester",'Offshore - Sydney'!E1155*2,IF('Offshore - Sydney'!D1155="Trimester",'Offshore - Sydney'!E1155*3,IF('Offshore - Sydney'!D1155="Term",'Offshore - Sydney'!E1155*4,IF('Offshore - Sydney'!D1155="Unit",'Offshore - Sydney'!E1155*8,""))))))</f>
        <v>6000</v>
      </c>
      <c r="L79" s="0" t="n">
        <f aca="false">IF(AND(ISNUMBER('Offshore - Sydney'!E1155),ISNUMBER(K79),ISNUMBER('Offshore - Sydney'!F1155),ISNUMBER('Offshore - Sydney'!G1155),OR('Offshore - Sydney'!F1155&lt;&gt;0,ISNUMBER(SEARCH("Material 0 terverifikasi",'Offshore - Sydney'!N1155))),OR('Offshore - Sydney'!G1155&lt;&gt;0,ISNUMBER(SEARCH("Enrolment 0 terverifikasi",'Offshore - Sydney'!N1155)))),1,0)</f>
        <v>1</v>
      </c>
      <c r="M79" s="0" t="n">
        <f aca="false">IF(OR('Offshore - Sydney'!E1155="",ISNUMBER(SEARCH("BSB80120",'Offshore - Sydney'!B1155&amp;'Offshore - Sydney'!N1155)),ISNUMBER(SEARCH("Management (Learning)",'Offshore - Sydney'!B1155))),2,IF(ISNUMBER(SEARCH("CEK:",'Offshore - Sydney'!N1155)),1,0))</f>
        <v>1</v>
      </c>
    </row>
    <row r="80" customFormat="false" ht="28.35" hidden="false" customHeight="false" outlineLevel="0" collapsed="false">
      <c r="A80" s="63" t="s">
        <v>3533</v>
      </c>
      <c r="B80" s="64" t="s">
        <v>3698</v>
      </c>
      <c r="C80" s="63" t="s">
        <v>42</v>
      </c>
      <c r="D80" s="64" t="str">
        <f aca="false">TRIM(LEFT('Offshore - Sydney'!A282,FIND(CHAR(10),'Offshore - Sydney'!A282&amp;CHAR(10))-1))</f>
        <v>Australian Harbour International College (AHIC)</v>
      </c>
      <c r="E80" s="63" t="str">
        <f aca="false">'Offshore - Sydney'!C286&amp;""</f>
        <v>3 years</v>
      </c>
      <c r="F80" s="63" t="str">
        <f aca="false">IF('Offshore - Sydney'!D286="","Belum tercatat",'Offshore - Sydney'!D286)</f>
        <v>Term</v>
      </c>
      <c r="G80" s="65" t="n">
        <f aca="false">IF('Offshore - Sydney'!E286="","-",'Offshore - Sydney'!E286)</f>
        <v>2250</v>
      </c>
      <c r="H80" s="63" t="n">
        <f aca="false">IF(ISNUMBER(K80),COUNTIFS($J$6:$J$1854,J80,$K$6:$K$1854,"&lt;"&amp;K80)+1,"-")</f>
        <v>5</v>
      </c>
      <c r="I80" s="64" t="str">
        <f aca="false">IF('Offshore - Sydney'!E286="","Harga belum tersedia - hubungi konsultan TEG",IF(M80=2,"Saat ini tidak menerima pendaftaran siswa internasional baru",IF(M80=1,"Harga perlu dikonfirmasi ke sekolah"&amp;IF(""="","","; "&amp;""),"")))</f>
        <v/>
      </c>
      <c r="J80" s="0" t="s">
        <v>3745</v>
      </c>
      <c r="K80" s="0" t="n">
        <f aca="false">IF(M80=2,"",IF(ISNUMBER(SEARCH("rata-rata:",'Offshore - Sydney'!N286)),VALUE(MID('Offshore - Sydney'!N286,SEARCH("rata-rata:",'Offshore - Sydney'!N286)+11,FIND(";",'Offshore - Sydney'!N286&amp;";",SEARCH("rata-rata:",'Offshore - Sydney'!N286))-SEARCH("rata-rata:",'Offshore - Sydney'!N286)-11)),IF('Offshore - Sydney'!D286="Semester",'Offshore - Sydney'!E286*2,IF('Offshore - Sydney'!D286="Trimester",'Offshore - Sydney'!E286*3,IF('Offshore - Sydney'!D286="Term",'Offshore - Sydney'!E286*4,IF('Offshore - Sydney'!D286="Unit",'Offshore - Sydney'!E286*8,""))))))</f>
        <v>9000</v>
      </c>
      <c r="L80" s="0" t="n">
        <f aca="false">IF(AND(ISNUMBER('Offshore - Sydney'!E286),ISNUMBER(K80),ISNUMBER('Offshore - Sydney'!F286),ISNUMBER('Offshore - Sydney'!G286),OR('Offshore - Sydney'!F286&lt;&gt;0,ISNUMBER(SEARCH("Material 0 terverifikasi",'Offshore - Sydney'!N286))),OR('Offshore - Sydney'!G286&lt;&gt;0,ISNUMBER(SEARCH("Enrolment 0 terverifikasi",'Offshore - Sydney'!N286)))),1,0)</f>
        <v>1</v>
      </c>
      <c r="M80" s="0" t="n">
        <f aca="false">IF(OR('Offshore - Sydney'!E286="",ISNUMBER(SEARCH("BSB80120",'Offshore - Sydney'!B286&amp;'Offshore - Sydney'!N286)),ISNUMBER(SEARCH("Management (Learning)",'Offshore - Sydney'!B286))),2,IF(ISNUMBER(SEARCH("CEK:",'Offshore - Sydney'!N286)),1,0))</f>
        <v>0</v>
      </c>
    </row>
    <row r="81" customFormat="false" ht="15" hidden="false" customHeight="false" outlineLevel="0" collapsed="false">
      <c r="A81" s="63" t="s">
        <v>3533</v>
      </c>
      <c r="B81" s="64" t="s">
        <v>3698</v>
      </c>
      <c r="C81" s="63" t="s">
        <v>42</v>
      </c>
      <c r="D81" s="64" t="str">
        <f aca="false">TRIM(LEFT('Offshore - Sydney'!A968,FIND(CHAR(10),'Offshore - Sydney'!A968&amp;CHAR(10))-1))</f>
        <v>Western Sydney College (WSC)</v>
      </c>
      <c r="E81" s="63" t="str">
        <f aca="false">'Offshore - Sydney'!C975&amp;""</f>
        <v>3.5 years</v>
      </c>
      <c r="F81" s="63" t="str">
        <f aca="false">IF('Offshore - Sydney'!D975="","Belum tercatat",'Offshore - Sydney'!D975)</f>
        <v>Term</v>
      </c>
      <c r="G81" s="65" t="n">
        <f aca="false">IF('Offshore - Sydney'!E975="","-",'Offshore - Sydney'!E975)</f>
        <v>3250</v>
      </c>
      <c r="H81" s="63" t="n">
        <f aca="false">IF(ISNUMBER(K81),COUNTIFS($J$6:$J$1854,J81,$K$6:$K$1854,"&lt;"&amp;K81)+1,"-")</f>
        <v>6</v>
      </c>
      <c r="I81" s="64" t="str">
        <f aca="false">IF('Offshore - Sydney'!E975="","Harga belum tersedia - hubungi konsultan TEG",IF(M81=2,"Saat ini tidak menerima pendaftaran siswa internasional baru",IF(M81=1,"Harga perlu dikonfirmasi ke sekolah"&amp;IF(""="","","; "&amp;""),"")))</f>
        <v/>
      </c>
      <c r="J81" s="0" t="s">
        <v>3745</v>
      </c>
      <c r="K81" s="0" t="n">
        <f aca="false">IF(M81=2,"",IF(ISNUMBER(SEARCH("rata-rata:",'Offshore - Sydney'!N975)),VALUE(MID('Offshore - Sydney'!N975,SEARCH("rata-rata:",'Offshore - Sydney'!N975)+11,FIND(";",'Offshore - Sydney'!N975&amp;";",SEARCH("rata-rata:",'Offshore - Sydney'!N975))-SEARCH("rata-rata:",'Offshore - Sydney'!N975)-11)),IF('Offshore - Sydney'!D975="Semester",'Offshore - Sydney'!E975*2,IF('Offshore - Sydney'!D975="Trimester",'Offshore - Sydney'!E975*3,IF('Offshore - Sydney'!D975="Term",'Offshore - Sydney'!E975*4,IF('Offshore - Sydney'!D975="Unit",'Offshore - Sydney'!E975*8,""))))))</f>
        <v>13000</v>
      </c>
      <c r="L81" s="0" t="n">
        <f aca="false">IF(AND(ISNUMBER('Offshore - Sydney'!E975),ISNUMBER(K81),ISNUMBER('Offshore - Sydney'!F975),ISNUMBER('Offshore - Sydney'!G975),OR('Offshore - Sydney'!F975&lt;&gt;0,ISNUMBER(SEARCH("Material 0 terverifikasi",'Offshore - Sydney'!N975))),OR('Offshore - Sydney'!G975&lt;&gt;0,ISNUMBER(SEARCH("Enrolment 0 terverifikasi",'Offshore - Sydney'!N975)))),1,0)</f>
        <v>1</v>
      </c>
      <c r="M81" s="0" t="n">
        <f aca="false">IF(OR('Offshore - Sydney'!E975="",ISNUMBER(SEARCH("BSB80120",'Offshore - Sydney'!B975&amp;'Offshore - Sydney'!N975)),ISNUMBER(SEARCH("Management (Learning)",'Offshore - Sydney'!B975))),2,IF(ISNUMBER(SEARCH("CEK:",'Offshore - Sydney'!N975)),1,0))</f>
        <v>0</v>
      </c>
    </row>
    <row r="82" customFormat="false" ht="15" hidden="false" customHeight="false" outlineLevel="0" collapsed="false">
      <c r="A82" s="61" t="s">
        <v>3746</v>
      </c>
      <c r="B82" s="62"/>
      <c r="C82" s="62"/>
      <c r="D82" s="62"/>
      <c r="E82" s="62"/>
      <c r="F82" s="62"/>
      <c r="G82" s="62"/>
      <c r="H82" s="62"/>
      <c r="I82" s="62"/>
    </row>
    <row r="83" customFormat="false" ht="55.2" hidden="false" customHeight="false" outlineLevel="0" collapsed="false">
      <c r="A83" s="63" t="s">
        <v>3533</v>
      </c>
      <c r="B83" s="64" t="s">
        <v>3698</v>
      </c>
      <c r="C83" s="63" t="s">
        <v>43</v>
      </c>
      <c r="D83" s="64" t="str">
        <f aca="false">TRIM(LEFT('Offshore - Sydney'!A78,FIND(CHAR(10),'Offshore - Sydney'!A78&amp;CHAR(10))-1))</f>
        <v>AIH Higher Education (Australian Institute of Higher Education)</v>
      </c>
      <c r="E83" s="63" t="str">
        <f aca="false">'Offshore - Sydney'!C78&amp;""</f>
        <v>3 years</v>
      </c>
      <c r="F83" s="63" t="str">
        <f aca="false">IF('Offshore - Sydney'!D78="","Belum tercatat",'Offshore - Sydney'!D78)</f>
        <v>Unit</v>
      </c>
      <c r="G83" s="65" t="n">
        <f aca="false">IF('Offshore - Sydney'!E78="","-",'Offshore - Sydney'!E78)</f>
        <v>1470</v>
      </c>
      <c r="H83" s="63" t="n">
        <f aca="false">IF(ISNUMBER(K83),COUNTIFS($J$6:$J$1854,J83,$K$6:$K$1854,"&lt;"&amp;K83)+1,"-")</f>
        <v>1</v>
      </c>
      <c r="I83" s="64" t="str">
        <f aca="false">IF('Offshore - Sydney'!E78="","Harga belum tersedia - hubungi konsultan TEG",IF(M83=2,"Saat ini tidak menerima pendaftaran siswa internasional baru",IF(M83=1,"Harga perlu dikonfirmasi ke sekolah"&amp;IF("Harga promo s.d. 31/12/2026; Harga dihitung per unit; total tergantung jumlah unit yang diambil; Sudah termasuk beasiswa 30% (syarat berlaku)"="","","; "&amp;"Harga promo s.d. 31/12/2026; Harga dihitung per unit; total tergantung jumlah unit yang diambil; Sudah termasuk beasiswa 30% (syarat berlaku)"),"Harga promo s.d. 31/12/2026; Harga dihitung per unit; total tergantung jumlah unit yang diambil; Sudah termasuk beasiswa 30% (syarat berlaku)")))</f>
        <v>Harga promo s.d. 31/12/2026; Harga dihitung per unit; total tergantung jumlah unit yang diambil; Sudah termasuk beasiswa 30% (syarat berlaku)</v>
      </c>
      <c r="J83" s="0" t="s">
        <v>3747</v>
      </c>
      <c r="K83" s="0" t="n">
        <f aca="false">IF(M83=2,"",IF(ISNUMBER(SEARCH("rata-rata:",'Offshore - Sydney'!N78)),VALUE(MID('Offshore - Sydney'!N78,SEARCH("rata-rata:",'Offshore - Sydney'!N78)+11,FIND(";",'Offshore - Sydney'!N78&amp;";",SEARCH("rata-rata:",'Offshore - Sydney'!N78))-SEARCH("rata-rata:",'Offshore - Sydney'!N78)-11)),IF('Offshore - Sydney'!D78="Semester",'Offshore - Sydney'!E78*2,IF('Offshore - Sydney'!D78="Trimester",'Offshore - Sydney'!E78*3,IF('Offshore - Sydney'!D78="Term",'Offshore - Sydney'!E78*4,IF('Offshore - Sydney'!D78="Unit",'Offshore - Sydney'!E78*8,""))))))</f>
        <v>11760</v>
      </c>
      <c r="L83" s="0" t="n">
        <f aca="false">IF(AND(ISNUMBER('Offshore - Sydney'!E78),ISNUMBER(K83),ISNUMBER('Offshore - Sydney'!F78),ISNUMBER('Offshore - Sydney'!G78),OR('Offshore - Sydney'!F78&lt;&gt;0,ISNUMBER(SEARCH("Material 0 terverifikasi",'Offshore - Sydney'!N78))),OR('Offshore - Sydney'!G78&lt;&gt;0,ISNUMBER(SEARCH("Enrolment 0 terverifikasi",'Offshore - Sydney'!N78)))),1,0)</f>
        <v>1</v>
      </c>
      <c r="M83" s="0" t="n">
        <f aca="false">IF(OR('Offshore - Sydney'!E78="",ISNUMBER(SEARCH("BSB80120",'Offshore - Sydney'!B78&amp;'Offshore - Sydney'!N78)),ISNUMBER(SEARCH("Management (Learning)",'Offshore - Sydney'!B78))),2,IF(ISNUMBER(SEARCH("CEK:",'Offshore - Sydney'!N78)),1,0))</f>
        <v>0</v>
      </c>
    </row>
    <row r="84" customFormat="false" ht="15" hidden="false" customHeight="false" outlineLevel="0" collapsed="false">
      <c r="A84" s="63" t="s">
        <v>3533</v>
      </c>
      <c r="B84" s="64" t="s">
        <v>3698</v>
      </c>
      <c r="C84" s="63" t="s">
        <v>43</v>
      </c>
      <c r="D84" s="64" t="str">
        <f aca="false">TRIM(LEFT('Offshore - Sydney'!A153,FIND(CHAR(10),'Offshore - Sydney'!A153&amp;CHAR(10))-1))</f>
        <v>Australian Business Institute (ABI)</v>
      </c>
      <c r="E84" s="63" t="str">
        <f aca="false">'Offshore - Sydney'!C153&amp;""</f>
        <v>3 years</v>
      </c>
      <c r="F84" s="63" t="str">
        <f aca="false">IF('Offshore - Sydney'!D153="","Belum tercatat",'Offshore - Sydney'!D153)</f>
        <v>Term</v>
      </c>
      <c r="G84" s="65" t="n">
        <f aca="false">IF('Offshore - Sydney'!E153="","-",'Offshore - Sydney'!E153)</f>
        <v>3000</v>
      </c>
      <c r="H84" s="63" t="n">
        <f aca="false">IF(ISNUMBER(K84),COUNTIFS($J$6:$J$1854,J84,$K$6:$K$1854,"&lt;"&amp;K84)+1,"-")</f>
        <v>2</v>
      </c>
      <c r="I84" s="64" t="str">
        <f aca="false">IF('Offshore - Sydney'!E153="","Harga belum tersedia - hubungi konsultan TEG",IF(M84=2,"Saat ini tidak menerima pendaftaran siswa internasional baru",IF(M84=1,"Harga perlu dikonfirmasi ke sekolah"&amp;IF(""="","","; "&amp;""),"")))</f>
        <v/>
      </c>
      <c r="J84" s="0" t="s">
        <v>3747</v>
      </c>
      <c r="K84" s="0" t="n">
        <f aca="false">IF(M84=2,"",IF(ISNUMBER(SEARCH("rata-rata:",'Offshore - Sydney'!N153)),VALUE(MID('Offshore - Sydney'!N153,SEARCH("rata-rata:",'Offshore - Sydney'!N153)+11,FIND(";",'Offshore - Sydney'!N153&amp;";",SEARCH("rata-rata:",'Offshore - Sydney'!N153))-SEARCH("rata-rata:",'Offshore - Sydney'!N153)-11)),IF('Offshore - Sydney'!D153="Semester",'Offshore - Sydney'!E153*2,IF('Offshore - Sydney'!D153="Trimester",'Offshore - Sydney'!E153*3,IF('Offshore - Sydney'!D153="Term",'Offshore - Sydney'!E153*4,IF('Offshore - Sydney'!D153="Unit",'Offshore - Sydney'!E153*8,""))))))</f>
        <v>12000</v>
      </c>
      <c r="L84" s="0" t="n">
        <f aca="false">IF(AND(ISNUMBER('Offshore - Sydney'!E153),ISNUMBER(K84),ISNUMBER('Offshore - Sydney'!F153),ISNUMBER('Offshore - Sydney'!G153),OR('Offshore - Sydney'!F153&lt;&gt;0,ISNUMBER(SEARCH("Material 0 terverifikasi",'Offshore - Sydney'!N153))),OR('Offshore - Sydney'!G153&lt;&gt;0,ISNUMBER(SEARCH("Enrolment 0 terverifikasi",'Offshore - Sydney'!N153)))),1,0)</f>
        <v>0</v>
      </c>
      <c r="M84" s="0" t="n">
        <f aca="false">IF(OR('Offshore - Sydney'!E153="",ISNUMBER(SEARCH("BSB80120",'Offshore - Sydney'!B153&amp;'Offshore - Sydney'!N153)),ISNUMBER(SEARCH("Management (Learning)",'Offshore - Sydney'!B153))),2,IF(ISNUMBER(SEARCH("CEK:",'Offshore - Sydney'!N153)),1,0))</f>
        <v>0</v>
      </c>
    </row>
    <row r="85" customFormat="false" ht="15" hidden="false" customHeight="false" outlineLevel="0" collapsed="false">
      <c r="A85" s="63" t="s">
        <v>3533</v>
      </c>
      <c r="B85" s="64" t="s">
        <v>3698</v>
      </c>
      <c r="C85" s="63" t="s">
        <v>43</v>
      </c>
      <c r="D85" s="64" t="str">
        <f aca="false">TRIM(LEFT('Offshore - Sydney'!A382,FIND(CHAR(10),'Offshore - Sydney'!A382&amp;CHAR(10))-1))</f>
        <v>CIHE Australia</v>
      </c>
      <c r="E85" s="63" t="str">
        <f aca="false">'Offshore - Sydney'!C390&amp;""</f>
        <v>3 years</v>
      </c>
      <c r="F85" s="63" t="str">
        <f aca="false">IF('Offshore - Sydney'!D390="","Belum tercatat",'Offshore - Sydney'!D390)</f>
        <v>Term</v>
      </c>
      <c r="G85" s="65" t="n">
        <f aca="false">IF('Offshore - Sydney'!E390="","-",'Offshore - Sydney'!E390)</f>
        <v>3375</v>
      </c>
      <c r="H85" s="63" t="n">
        <f aca="false">IF(ISNUMBER(K85),COUNTIFS($J$6:$J$1854,J85,$K$6:$K$1854,"&lt;"&amp;K85)+1,"-")</f>
        <v>3</v>
      </c>
      <c r="I85" s="64" t="str">
        <f aca="false">IF('Offshore - Sydney'!E390="","Harga belum tersedia - hubungi konsultan TEG",IF(M85=2,"Saat ini tidak menerima pendaftaran siswa internasional baru",IF(M85=1,"Harga perlu dikonfirmasi ke sekolah"&amp;IF(""="","","; "&amp;""),"")))</f>
        <v>Harga perlu dikonfirmasi ke sekolah</v>
      </c>
      <c r="J85" s="0" t="s">
        <v>3747</v>
      </c>
      <c r="K85" s="0" t="n">
        <f aca="false">IF(M85=2,"",IF(ISNUMBER(SEARCH("rata-rata:",'Offshore - Sydney'!N390)),VALUE(MID('Offshore - Sydney'!N390,SEARCH("rata-rata:",'Offshore - Sydney'!N390)+11,FIND(";",'Offshore - Sydney'!N390&amp;";",SEARCH("rata-rata:",'Offshore - Sydney'!N390))-SEARCH("rata-rata:",'Offshore - Sydney'!N390)-11)),IF('Offshore - Sydney'!D390="Semester",'Offshore - Sydney'!E390*2,IF('Offshore - Sydney'!D390="Trimester",'Offshore - Sydney'!E390*3,IF('Offshore - Sydney'!D390="Term",'Offshore - Sydney'!E390*4,IF('Offshore - Sydney'!D390="Unit",'Offshore - Sydney'!E390*8,""))))))</f>
        <v>13500</v>
      </c>
      <c r="L85" s="0" t="n">
        <f aca="false">IF(AND(ISNUMBER('Offshore - Sydney'!E390),ISNUMBER(K85),ISNUMBER('Offshore - Sydney'!F390),ISNUMBER('Offshore - Sydney'!G390),OR('Offshore - Sydney'!F390&lt;&gt;0,ISNUMBER(SEARCH("Material 0 terverifikasi",'Offshore - Sydney'!N390))),OR('Offshore - Sydney'!G390&lt;&gt;0,ISNUMBER(SEARCH("Enrolment 0 terverifikasi",'Offshore - Sydney'!N390)))),1,0)</f>
        <v>1</v>
      </c>
      <c r="M85" s="0" t="n">
        <f aca="false">IF(OR('Offshore - Sydney'!E390="",ISNUMBER(SEARCH("BSB80120",'Offshore - Sydney'!B390&amp;'Offshore - Sydney'!N390)),ISNUMBER(SEARCH("Management (Learning)",'Offshore - Sydney'!B390))),2,IF(ISNUMBER(SEARCH("CEK:",'Offshore - Sydney'!N390)),1,0))</f>
        <v>1</v>
      </c>
    </row>
    <row r="86" customFormat="false" ht="28.35" hidden="false" customHeight="false" outlineLevel="0" collapsed="false">
      <c r="A86" s="63" t="s">
        <v>3533</v>
      </c>
      <c r="B86" s="64" t="s">
        <v>3698</v>
      </c>
      <c r="C86" s="63" t="s">
        <v>43</v>
      </c>
      <c r="D86" s="64" t="str">
        <f aca="false">TRIM(LEFT('Offshore - Sydney'!A590,FIND(CHAR(10),'Offshore - Sydney'!A590&amp;CHAR(10))-1))</f>
        <v>National Academy of Professional Studies (NAPS)</v>
      </c>
      <c r="E86" s="63" t="str">
        <f aca="false">'Offshore - Sydney'!C592&amp;""</f>
        <v>3 years</v>
      </c>
      <c r="F86" s="63" t="str">
        <f aca="false">IF('Offshore - Sydney'!D592="","Belum tercatat",'Offshore - Sydney'!D592)</f>
        <v>Term</v>
      </c>
      <c r="G86" s="65" t="n">
        <f aca="false">IF('Offshore - Sydney'!E592="","-",'Offshore - Sydney'!E592)</f>
        <v>4000</v>
      </c>
      <c r="H86" s="63" t="n">
        <f aca="false">IF(ISNUMBER(K86),COUNTIFS($J$6:$J$1854,J86,$K$6:$K$1854,"&lt;"&amp;K86)+1,"-")</f>
        <v>4</v>
      </c>
      <c r="I86" s="64" t="str">
        <f aca="false">IF('Offshore - Sydney'!E592="","Harga belum tersedia - hubungi konsultan TEG",IF(M86=2,"Saat ini tidak menerima pendaftaran siswa internasional baru",IF(M86=1,"Harga perlu dikonfirmasi ke sekolah"&amp;IF(""="","","; "&amp;""),"")))</f>
        <v>Harga perlu dikonfirmasi ke sekolah</v>
      </c>
      <c r="J86" s="0" t="s">
        <v>3747</v>
      </c>
      <c r="K86" s="0" t="n">
        <f aca="false">IF(M86=2,"",IF(ISNUMBER(SEARCH("rata-rata:",'Offshore - Sydney'!N592)),VALUE(MID('Offshore - Sydney'!N592,SEARCH("rata-rata:",'Offshore - Sydney'!N592)+11,FIND(";",'Offshore - Sydney'!N592&amp;";",SEARCH("rata-rata:",'Offshore - Sydney'!N592))-SEARCH("rata-rata:",'Offshore - Sydney'!N592)-11)),IF('Offshore - Sydney'!D592="Semester",'Offshore - Sydney'!E592*2,IF('Offshore - Sydney'!D592="Trimester",'Offshore - Sydney'!E592*3,IF('Offshore - Sydney'!D592="Term",'Offshore - Sydney'!E592*4,IF('Offshore - Sydney'!D592="Unit",'Offshore - Sydney'!E592*8,""))))))</f>
        <v>16000</v>
      </c>
      <c r="L86" s="0" t="n">
        <f aca="false">IF(AND(ISNUMBER('Offshore - Sydney'!E592),ISNUMBER(K86),ISNUMBER('Offshore - Sydney'!F592),ISNUMBER('Offshore - Sydney'!G592),OR('Offshore - Sydney'!F592&lt;&gt;0,ISNUMBER(SEARCH("Material 0 terverifikasi",'Offshore - Sydney'!N592))),OR('Offshore - Sydney'!G592&lt;&gt;0,ISNUMBER(SEARCH("Enrolment 0 terverifikasi",'Offshore - Sydney'!N592)))),1,0)</f>
        <v>1</v>
      </c>
      <c r="M86" s="0" t="n">
        <f aca="false">IF(OR('Offshore - Sydney'!E592="",ISNUMBER(SEARCH("BSB80120",'Offshore - Sydney'!B592&amp;'Offshore - Sydney'!N592)),ISNUMBER(SEARCH("Management (Learning)",'Offshore - Sydney'!B592))),2,IF(ISNUMBER(SEARCH("CEK:",'Offshore - Sydney'!N592)),1,0))</f>
        <v>1</v>
      </c>
    </row>
    <row r="87" customFormat="false" ht="15" hidden="false" customHeight="false" outlineLevel="0" collapsed="false">
      <c r="A87" s="63" t="s">
        <v>3533</v>
      </c>
      <c r="B87" s="64" t="s">
        <v>3698</v>
      </c>
      <c r="C87" s="63" t="s">
        <v>43</v>
      </c>
      <c r="D87" s="64" t="str">
        <f aca="false">TRIM(LEFT('Offshore - Sydney'!A700,FIND(CHAR(10),'Offshore - Sydney'!A700&amp;CHAR(10))-1))</f>
        <v>Sydney Institute of Higher Education (SIHE)</v>
      </c>
      <c r="E87" s="63" t="str">
        <f aca="false">'Offshore - Sydney'!C702&amp;""</f>
        <v>3 years</v>
      </c>
      <c r="F87" s="63" t="str">
        <f aca="false">IF('Offshore - Sydney'!D702="","Belum tercatat",'Offshore - Sydney'!D702)</f>
        <v>Trimester</v>
      </c>
      <c r="G87" s="65" t="n">
        <f aca="false">IF('Offshore - Sydney'!E702="","-",'Offshore - Sydney'!E702)</f>
        <v>5513</v>
      </c>
      <c r="H87" s="63" t="n">
        <f aca="false">IF(ISNUMBER(K87),COUNTIFS($J$6:$J$1854,J87,$K$6:$K$1854,"&lt;"&amp;K87)+1,"-")</f>
        <v>5</v>
      </c>
      <c r="I87" s="64" t="str">
        <f aca="false">IF('Offshore - Sydney'!E702="","Harga belum tersedia - hubungi konsultan TEG",IF(M87=2,"Saat ini tidak menerima pendaftaran siswa internasional baru",IF(M87=1,"Harga perlu dikonfirmasi ke sekolah"&amp;IF(""="","","; "&amp;""),"")))</f>
        <v>Harga perlu dikonfirmasi ke sekolah</v>
      </c>
      <c r="J87" s="0" t="s">
        <v>3747</v>
      </c>
      <c r="K87" s="0" t="n">
        <f aca="false">IF(M87=2,"",IF(ISNUMBER(SEARCH("rata-rata:",'Offshore - Sydney'!N702)),VALUE(MID('Offshore - Sydney'!N702,SEARCH("rata-rata:",'Offshore - Sydney'!N702)+11,FIND(";",'Offshore - Sydney'!N702&amp;";",SEARCH("rata-rata:",'Offshore - Sydney'!N702))-SEARCH("rata-rata:",'Offshore - Sydney'!N702)-11)),IF('Offshore - Sydney'!D702="Semester",'Offshore - Sydney'!E702*2,IF('Offshore - Sydney'!D702="Trimester",'Offshore - Sydney'!E702*3,IF('Offshore - Sydney'!D702="Term",'Offshore - Sydney'!E702*4,IF('Offshore - Sydney'!D702="Unit",'Offshore - Sydney'!E702*8,""))))))</f>
        <v>16539</v>
      </c>
      <c r="L87" s="0" t="n">
        <f aca="false">IF(AND(ISNUMBER('Offshore - Sydney'!E702),ISNUMBER(K87),ISNUMBER('Offshore - Sydney'!F702),ISNUMBER('Offshore - Sydney'!G702),OR('Offshore - Sydney'!F702&lt;&gt;0,ISNUMBER(SEARCH("Material 0 terverifikasi",'Offshore - Sydney'!N702))),OR('Offshore - Sydney'!G702&lt;&gt;0,ISNUMBER(SEARCH("Enrolment 0 terverifikasi",'Offshore - Sydney'!N702)))),1,0)</f>
        <v>0</v>
      </c>
      <c r="M87" s="0" t="n">
        <f aca="false">IF(OR('Offshore - Sydney'!E702="",ISNUMBER(SEARCH("BSB80120",'Offshore - Sydney'!B702&amp;'Offshore - Sydney'!N702)),ISNUMBER(SEARCH("Management (Learning)",'Offshore - Sydney'!B702))),2,IF(ISNUMBER(SEARCH("CEK:",'Offshore - Sydney'!N702)),1,0))</f>
        <v>1</v>
      </c>
    </row>
    <row r="88" customFormat="false" ht="15" hidden="false" customHeight="false" outlineLevel="0" collapsed="false">
      <c r="A88" s="63" t="s">
        <v>3533</v>
      </c>
      <c r="B88" s="64" t="s">
        <v>3698</v>
      </c>
      <c r="C88" s="63" t="s">
        <v>43</v>
      </c>
      <c r="D88" s="64" t="str">
        <f aca="false">TRIM(LEFT('Offshore - Sydney'!A721,FIND(CHAR(10),'Offshore - Sydney'!A721&amp;CHAR(10))-1))</f>
        <v>TAFE NSW</v>
      </c>
      <c r="E88" s="63" t="str">
        <f aca="false">'Offshore - Sydney'!C726&amp;""</f>
        <v>3 years</v>
      </c>
      <c r="F88" s="63" t="str">
        <f aca="false">IF('Offshore - Sydney'!D726="","Belum tercatat",'Offshore - Sydney'!D726)</f>
        <v>Term</v>
      </c>
      <c r="G88" s="65" t="n">
        <f aca="false">IF('Offshore - Sydney'!E726="","-",'Offshore - Sydney'!E726)</f>
        <v>4340</v>
      </c>
      <c r="H88" s="63" t="n">
        <f aca="false">IF(ISNUMBER(K88),COUNTIFS($J$6:$J$1854,J88,$K$6:$K$1854,"&lt;"&amp;K88)+1,"-")</f>
        <v>6</v>
      </c>
      <c r="I88" s="64" t="str">
        <f aca="false">IF('Offshore - Sydney'!E726="","Harga belum tersedia - hubungi konsultan TEG",IF(M88=2,"Saat ini tidak menerima pendaftaran siswa internasional baru",IF(M88=1,"Harga perlu dikonfirmasi ke sekolah"&amp;IF(""="","","; "&amp;""),"")))</f>
        <v/>
      </c>
      <c r="J88" s="0" t="s">
        <v>3747</v>
      </c>
      <c r="K88" s="0" t="n">
        <f aca="false">IF(M88=2,"",IF(ISNUMBER(SEARCH("rata-rata:",'Offshore - Sydney'!N726)),VALUE(MID('Offshore - Sydney'!N726,SEARCH("rata-rata:",'Offshore - Sydney'!N726)+11,FIND(";",'Offshore - Sydney'!N726&amp;";",SEARCH("rata-rata:",'Offshore - Sydney'!N726))-SEARCH("rata-rata:",'Offshore - Sydney'!N726)-11)),IF('Offshore - Sydney'!D726="Semester",'Offshore - Sydney'!E726*2,IF('Offshore - Sydney'!D726="Trimester",'Offshore - Sydney'!E726*3,IF('Offshore - Sydney'!D726="Term",'Offshore - Sydney'!E726*4,IF('Offshore - Sydney'!D726="Unit",'Offshore - Sydney'!E726*8,""))))))</f>
        <v>17360</v>
      </c>
      <c r="L88" s="0" t="n">
        <f aca="false">IF(AND(ISNUMBER('Offshore - Sydney'!E726),ISNUMBER(K88),ISNUMBER('Offshore - Sydney'!F726),ISNUMBER('Offshore - Sydney'!G726),OR('Offshore - Sydney'!F726&lt;&gt;0,ISNUMBER(SEARCH("Material 0 terverifikasi",'Offshore - Sydney'!N726))),OR('Offshore - Sydney'!G726&lt;&gt;0,ISNUMBER(SEARCH("Enrolment 0 terverifikasi",'Offshore - Sydney'!N726)))),1,0)</f>
        <v>0</v>
      </c>
      <c r="M88" s="0" t="n">
        <f aca="false">IF(OR('Offshore - Sydney'!E726="",ISNUMBER(SEARCH("BSB80120",'Offshore - Sydney'!B726&amp;'Offshore - Sydney'!N726)),ISNUMBER(SEARCH("Management (Learning)",'Offshore - Sydney'!B726))),2,IF(ISNUMBER(SEARCH("CEK:",'Offshore - Sydney'!N726)),1,0))</f>
        <v>0</v>
      </c>
    </row>
    <row r="89" customFormat="false" ht="15" hidden="false" customHeight="false" outlineLevel="0" collapsed="false">
      <c r="A89" s="63" t="s">
        <v>3533</v>
      </c>
      <c r="B89" s="64" t="s">
        <v>3698</v>
      </c>
      <c r="C89" s="63" t="s">
        <v>43</v>
      </c>
      <c r="D89" s="64" t="str">
        <f aca="false">TRIM(LEFT('Offshore - Sydney'!A512,FIND(CHAR(10),'Offshore - Sydney'!A512&amp;CHAR(10))-1))</f>
        <v>Kent Institute Australia</v>
      </c>
      <c r="E89" s="63" t="str">
        <f aca="false">'Offshore - Sydney'!C521&amp;""</f>
        <v>3 years</v>
      </c>
      <c r="F89" s="63" t="str">
        <f aca="false">IF('Offshore - Sydney'!D521="","Belum tercatat",'Offshore - Sydney'!D521)</f>
        <v>Trimester</v>
      </c>
      <c r="G89" s="65" t="n">
        <f aca="false">IF('Offshore - Sydney'!E521="","-",'Offshore - Sydney'!E521)</f>
        <v>8240</v>
      </c>
      <c r="H89" s="63" t="n">
        <f aca="false">IF(ISNUMBER(K89),COUNTIFS($J$6:$J$1854,J89,$K$6:$K$1854,"&lt;"&amp;K89)+1,"-")</f>
        <v>7</v>
      </c>
      <c r="I89" s="64" t="str">
        <f aca="false">IF('Offshore - Sydney'!E521="","Harga belum tersedia - hubungi konsultan TEG",IF(M89=2,"Saat ini tidak menerima pendaftaran siswa internasional baru",IF(M89=1,"Harga perlu dikonfirmasi ke sekolah"&amp;IF(""="","","; "&amp;""),"")))</f>
        <v>Harga perlu dikonfirmasi ke sekolah</v>
      </c>
      <c r="J89" s="0" t="s">
        <v>3747</v>
      </c>
      <c r="K89" s="0" t="n">
        <f aca="false">IF(M89=2,"",IF(ISNUMBER(SEARCH("rata-rata:",'Offshore - Sydney'!N521)),VALUE(MID('Offshore - Sydney'!N521,SEARCH("rata-rata:",'Offshore - Sydney'!N521)+11,FIND(";",'Offshore - Sydney'!N521&amp;";",SEARCH("rata-rata:",'Offshore - Sydney'!N521))-SEARCH("rata-rata:",'Offshore - Sydney'!N521)-11)),IF('Offshore - Sydney'!D521="Semester",'Offshore - Sydney'!E521*2,IF('Offshore - Sydney'!D521="Trimester",'Offshore - Sydney'!E521*3,IF('Offshore - Sydney'!D521="Term",'Offshore - Sydney'!E521*4,IF('Offshore - Sydney'!D521="Unit",'Offshore - Sydney'!E521*8,""))))))</f>
        <v>24720</v>
      </c>
      <c r="L89" s="0" t="n">
        <f aca="false">IF(AND(ISNUMBER('Offshore - Sydney'!E521),ISNUMBER(K89),ISNUMBER('Offshore - Sydney'!F521),ISNUMBER('Offshore - Sydney'!G521),OR('Offshore - Sydney'!F521&lt;&gt;0,ISNUMBER(SEARCH("Material 0 terverifikasi",'Offshore - Sydney'!N521))),OR('Offshore - Sydney'!G521&lt;&gt;0,ISNUMBER(SEARCH("Enrolment 0 terverifikasi",'Offshore - Sydney'!N521)))),1,0)</f>
        <v>0</v>
      </c>
      <c r="M89" s="0" t="n">
        <f aca="false">IF(OR('Offshore - Sydney'!E521="",ISNUMBER(SEARCH("BSB80120",'Offshore - Sydney'!B521&amp;'Offshore - Sydney'!N521)),ISNUMBER(SEARCH("Management (Learning)",'Offshore - Sydney'!B521))),2,IF(ISNUMBER(SEARCH("CEK:",'Offshore - Sydney'!N521)),1,0))</f>
        <v>1</v>
      </c>
    </row>
    <row r="90" customFormat="false" ht="15" hidden="false" customHeight="false" outlineLevel="0" collapsed="false">
      <c r="A90" s="63" t="s">
        <v>3533</v>
      </c>
      <c r="B90" s="64" t="s">
        <v>3698</v>
      </c>
      <c r="C90" s="63" t="s">
        <v>43</v>
      </c>
      <c r="D90" s="64" t="str">
        <f aca="false">TRIM(LEFT('Offshore - Sydney'!A156,FIND(CHAR(10),'Offshore - Sydney'!A156&amp;CHAR(10))-1))</f>
        <v>Australian Catholic University (ACU)</v>
      </c>
      <c r="E90" s="63" t="str">
        <f aca="false">'Offshore - Sydney'!C156&amp;""</f>
        <v>3 years</v>
      </c>
      <c r="F90" s="63" t="str">
        <f aca="false">IF('Offshore - Sydney'!D156="","Belum tercatat",'Offshore - Sydney'!D156)</f>
        <v>Term</v>
      </c>
      <c r="G90" s="65" t="n">
        <f aca="false">IF('Offshore - Sydney'!E156="","-",'Offshore - Sydney'!E156)</f>
        <v>8742</v>
      </c>
      <c r="H90" s="63" t="n">
        <f aca="false">IF(ISNUMBER(K90),COUNTIFS($J$6:$J$1854,J90,$K$6:$K$1854,"&lt;"&amp;K90)+1,"-")</f>
        <v>8</v>
      </c>
      <c r="I90" s="64" t="str">
        <f aca="false">IF('Offshore - Sydney'!E156="","Harga belum tersedia - hubungi konsultan TEG",IF(M90=2,"Saat ini tidak menerima pendaftaran siswa internasional baru",IF(M90=1,"Harga perlu dikonfirmasi ke sekolah"&amp;IF(""="","","; "&amp;""),"")))</f>
        <v/>
      </c>
      <c r="J90" s="0" t="s">
        <v>3747</v>
      </c>
      <c r="K90" s="0" t="n">
        <f aca="false">IF(M90=2,"",IF(ISNUMBER(SEARCH("rata-rata:",'Offshore - Sydney'!N156)),VALUE(MID('Offshore - Sydney'!N156,SEARCH("rata-rata:",'Offshore - Sydney'!N156)+11,FIND(";",'Offshore - Sydney'!N156&amp;";",SEARCH("rata-rata:",'Offshore - Sydney'!N156))-SEARCH("rata-rata:",'Offshore - Sydney'!N156)-11)),IF('Offshore - Sydney'!D156="Semester",'Offshore - Sydney'!E156*2,IF('Offshore - Sydney'!D156="Trimester",'Offshore - Sydney'!E156*3,IF('Offshore - Sydney'!D156="Term",'Offshore - Sydney'!E156*4,IF('Offshore - Sydney'!D156="Unit",'Offshore - Sydney'!E156*8,""))))))</f>
        <v>34968</v>
      </c>
      <c r="L90" s="0" t="n">
        <f aca="false">IF(AND(ISNUMBER('Offshore - Sydney'!E156),ISNUMBER(K90),ISNUMBER('Offshore - Sydney'!F156),ISNUMBER('Offshore - Sydney'!G156),OR('Offshore - Sydney'!F156&lt;&gt;0,ISNUMBER(SEARCH("Material 0 terverifikasi",'Offshore - Sydney'!N156))),OR('Offshore - Sydney'!G156&lt;&gt;0,ISNUMBER(SEARCH("Enrolment 0 terverifikasi",'Offshore - Sydney'!N156)))),1,0)</f>
        <v>0</v>
      </c>
      <c r="M90" s="0" t="n">
        <f aca="false">IF(OR('Offshore - Sydney'!E156="",ISNUMBER(SEARCH("BSB80120",'Offshore - Sydney'!B156&amp;'Offshore - Sydney'!N156)),ISNUMBER(SEARCH("Management (Learning)",'Offshore - Sydney'!B156))),2,IF(ISNUMBER(SEARCH("CEK:",'Offshore - Sydney'!N156)),1,0))</f>
        <v>0</v>
      </c>
    </row>
    <row r="91" customFormat="false" ht="15" hidden="false" customHeight="false" outlineLevel="0" collapsed="false">
      <c r="A91" s="63" t="s">
        <v>3533</v>
      </c>
      <c r="B91" s="64" t="s">
        <v>3698</v>
      </c>
      <c r="C91" s="63" t="s">
        <v>43</v>
      </c>
      <c r="D91" s="64" t="str">
        <f aca="false">TRIM(LEFT('Offshore - Sydney'!A982,FIND(CHAR(10),'Offshore - Sydney'!A982&amp;CHAR(10))-1))</f>
        <v>Western Sydney University</v>
      </c>
      <c r="E91" s="63" t="str">
        <f aca="false">'Offshore - Sydney'!C989&amp;""</f>
        <v>3 years</v>
      </c>
      <c r="F91" s="63" t="str">
        <f aca="false">IF('Offshore - Sydney'!D989="","Belum tercatat",'Offshore - Sydney'!D989)</f>
        <v>Term</v>
      </c>
      <c r="G91" s="65" t="n">
        <f aca="false">IF('Offshore - Sydney'!E989="","-",'Offshore - Sydney'!E989)</f>
        <v>8967</v>
      </c>
      <c r="H91" s="63" t="n">
        <f aca="false">IF(ISNUMBER(K91),COUNTIFS($J$6:$J$1854,J91,$K$6:$K$1854,"&lt;"&amp;K91)+1,"-")</f>
        <v>9</v>
      </c>
      <c r="I91" s="64" t="str">
        <f aca="false">IF('Offshore - Sydney'!E989="","Harga belum tersedia - hubungi konsultan TEG",IF(M91=2,"Saat ini tidak menerima pendaftaran siswa internasional baru",IF(M91=1,"Harga perlu dikonfirmasi ke sekolah"&amp;IF(""="","","; "&amp;""),"")))</f>
        <v/>
      </c>
      <c r="J91" s="0" t="s">
        <v>3747</v>
      </c>
      <c r="K91" s="0" t="n">
        <f aca="false">IF(M91=2,"",IF(ISNUMBER(SEARCH("rata-rata:",'Offshore - Sydney'!N989)),VALUE(MID('Offshore - Sydney'!N989,SEARCH("rata-rata:",'Offshore - Sydney'!N989)+11,FIND(";",'Offshore - Sydney'!N989&amp;";",SEARCH("rata-rata:",'Offshore - Sydney'!N989))-SEARCH("rata-rata:",'Offshore - Sydney'!N989)-11)),IF('Offshore - Sydney'!D989="Semester",'Offshore - Sydney'!E989*2,IF('Offshore - Sydney'!D989="Trimester",'Offshore - Sydney'!E989*3,IF('Offshore - Sydney'!D989="Term",'Offshore - Sydney'!E989*4,IF('Offshore - Sydney'!D989="Unit",'Offshore - Sydney'!E989*8,""))))))</f>
        <v>35868</v>
      </c>
      <c r="L91" s="0" t="n">
        <f aca="false">IF(AND(ISNUMBER('Offshore - Sydney'!E989),ISNUMBER(K91),ISNUMBER('Offshore - Sydney'!F989),ISNUMBER('Offshore - Sydney'!G989),OR('Offshore - Sydney'!F989&lt;&gt;0,ISNUMBER(SEARCH("Material 0 terverifikasi",'Offshore - Sydney'!N989))),OR('Offshore - Sydney'!G989&lt;&gt;0,ISNUMBER(SEARCH("Enrolment 0 terverifikasi",'Offshore - Sydney'!N989)))),1,0)</f>
        <v>0</v>
      </c>
      <c r="M91" s="0" t="n">
        <f aca="false">IF(OR('Offshore - Sydney'!E989="",ISNUMBER(SEARCH("BSB80120",'Offshore - Sydney'!B989&amp;'Offshore - Sydney'!N989)),ISNUMBER(SEARCH("Management (Learning)",'Offshore - Sydney'!B989))),2,IF(ISNUMBER(SEARCH("CEK:",'Offshore - Sydney'!N989)),1,0))</f>
        <v>0</v>
      </c>
    </row>
    <row r="92" customFormat="false" ht="15" hidden="false" customHeight="false" outlineLevel="0" collapsed="false">
      <c r="A92" s="61" t="s">
        <v>3748</v>
      </c>
      <c r="B92" s="62"/>
      <c r="C92" s="62"/>
      <c r="D92" s="62"/>
      <c r="E92" s="62"/>
      <c r="F92" s="62"/>
      <c r="G92" s="62"/>
      <c r="H92" s="62"/>
      <c r="I92" s="62"/>
    </row>
    <row r="93" customFormat="false" ht="15" hidden="false" customHeight="false" outlineLevel="0" collapsed="false">
      <c r="A93" s="63" t="s">
        <v>3533</v>
      </c>
      <c r="B93" s="64" t="s">
        <v>3698</v>
      </c>
      <c r="C93" s="63" t="s">
        <v>3707</v>
      </c>
      <c r="D93" s="64" t="str">
        <f aca="false">TRIM(LEFT('Offshore - Sydney'!A791,FIND(CHAR(10),'Offshore - Sydney'!A791&amp;CHAR(10))-1))</f>
        <v>The Institute of International Studies (TIIS)</v>
      </c>
      <c r="E93" s="63" t="str">
        <f aca="false">'Offshore - Sydney'!C793&amp;""</f>
        <v>0,5 years</v>
      </c>
      <c r="F93" s="63" t="str">
        <f aca="false">IF('Offshore - Sydney'!D793="","Belum tercatat",'Offshore - Sydney'!D793)</f>
        <v>Term</v>
      </c>
      <c r="G93" s="65" t="n">
        <f aca="false">IF('Offshore - Sydney'!E793="","-",'Offshore - Sydney'!E793)</f>
        <v>4500</v>
      </c>
      <c r="H93" s="63" t="n">
        <f aca="false">IF(ISNUMBER(K93),COUNTIFS($J$6:$J$1854,J93,$K$6:$K$1854,"&lt;"&amp;K93)+1,"-")</f>
        <v>1</v>
      </c>
      <c r="I93" s="64" t="str">
        <f aca="false">IF('Offshore - Sydney'!E793="","Harga belum tersedia - hubungi konsultan TEG",IF(M93=2,"Saat ini tidak menerima pendaftaran siswa internasional baru",IF(M93=1,"Harga perlu dikonfirmasi ke sekolah"&amp;IF(""="","","; "&amp;""),"")))</f>
        <v/>
      </c>
      <c r="J93" s="0" t="s">
        <v>3749</v>
      </c>
      <c r="K93" s="0" t="n">
        <f aca="false">IF(M93=2,"",IF(ISNUMBER(SEARCH("rata-rata:",'Offshore - Sydney'!N793)),VALUE(MID('Offshore - Sydney'!N793,SEARCH("rata-rata:",'Offshore - Sydney'!N793)+11,FIND(";",'Offshore - Sydney'!N793&amp;";",SEARCH("rata-rata:",'Offshore - Sydney'!N793))-SEARCH("rata-rata:",'Offshore - Sydney'!N793)-11)),IF('Offshore - Sydney'!D793="Semester",'Offshore - Sydney'!E793*2,IF('Offshore - Sydney'!D793="Trimester",'Offshore - Sydney'!E793*3,IF('Offshore - Sydney'!D793="Term",'Offshore - Sydney'!E793*4,IF('Offshore - Sydney'!D793="Unit",'Offshore - Sydney'!E793*8,""))))))</f>
        <v>18000</v>
      </c>
      <c r="L93" s="0" t="n">
        <f aca="false">IF(AND(ISNUMBER('Offshore - Sydney'!E793),ISNUMBER(K93),ISNUMBER('Offshore - Sydney'!F793),ISNUMBER('Offshore - Sydney'!G793),OR('Offshore - Sydney'!F793&lt;&gt;0,ISNUMBER(SEARCH("Material 0 terverifikasi",'Offshore - Sydney'!N793))),OR('Offshore - Sydney'!G793&lt;&gt;0,ISNUMBER(SEARCH("Enrolment 0 terverifikasi",'Offshore - Sydney'!N793)))),1,0)</f>
        <v>0</v>
      </c>
      <c r="M93" s="0" t="n">
        <f aca="false">IF(OR('Offshore - Sydney'!E793="",ISNUMBER(SEARCH("BSB80120",'Offshore - Sydney'!B793&amp;'Offshore - Sydney'!N793)),ISNUMBER(SEARCH("Management (Learning)",'Offshore - Sydney'!B793))),2,IF(ISNUMBER(SEARCH("CEK:",'Offshore - Sydney'!N793)),1,0))</f>
        <v>0</v>
      </c>
    </row>
    <row r="94" customFormat="false" ht="15" hidden="false" customHeight="false" outlineLevel="0" collapsed="false">
      <c r="A94" s="63" t="s">
        <v>3533</v>
      </c>
      <c r="B94" s="64" t="s">
        <v>3698</v>
      </c>
      <c r="C94" s="63" t="s">
        <v>3707</v>
      </c>
      <c r="D94" s="64" t="str">
        <f aca="false">TRIM(LEFT('Offshore - Sydney'!A982,FIND(CHAR(10),'Offshore - Sydney'!A982&amp;CHAR(10))-1))</f>
        <v>Western Sydney University</v>
      </c>
      <c r="E94" s="63" t="str">
        <f aca="false">'Offshore - Sydney'!C1077&amp;""</f>
        <v>0,5 year</v>
      </c>
      <c r="F94" s="63" t="str">
        <f aca="false">IF('Offshore - Sydney'!D1077="","Belum tercatat",'Offshore - Sydney'!D1077)</f>
        <v>Term</v>
      </c>
      <c r="G94" s="65" t="n">
        <f aca="false">IF('Offshore - Sydney'!E1077="","-",'Offshore - Sydney'!E1077)</f>
        <v>4918</v>
      </c>
      <c r="H94" s="63" t="n">
        <f aca="false">IF(ISNUMBER(K94),COUNTIFS($J$6:$J$1854,J94,$K$6:$K$1854,"&lt;"&amp;K94)+1,"-")</f>
        <v>2</v>
      </c>
      <c r="I94" s="64" t="str">
        <f aca="false">IF('Offshore - Sydney'!E1077="","Harga belum tersedia - hubungi konsultan TEG",IF(M94=2,"Saat ini tidak menerima pendaftaran siswa internasional baru",IF(M94=1,"Harga perlu dikonfirmasi ke sekolah"&amp;IF(""="","","; "&amp;""),"")))</f>
        <v/>
      </c>
      <c r="J94" s="0" t="s">
        <v>3749</v>
      </c>
      <c r="K94" s="0" t="n">
        <f aca="false">IF(M94=2,"",IF(ISNUMBER(SEARCH("rata-rata:",'Offshore - Sydney'!N1077)),VALUE(MID('Offshore - Sydney'!N1077,SEARCH("rata-rata:",'Offshore - Sydney'!N1077)+11,FIND(";",'Offshore - Sydney'!N1077&amp;";",SEARCH("rata-rata:",'Offshore - Sydney'!N1077))-SEARCH("rata-rata:",'Offshore - Sydney'!N1077)-11)),IF('Offshore - Sydney'!D1077="Semester",'Offshore - Sydney'!E1077*2,IF('Offshore - Sydney'!D1077="Trimester",'Offshore - Sydney'!E1077*3,IF('Offshore - Sydney'!D1077="Term",'Offshore - Sydney'!E1077*4,IF('Offshore - Sydney'!D1077="Unit",'Offshore - Sydney'!E1077*8,""))))))</f>
        <v>19672</v>
      </c>
      <c r="L94" s="0" t="n">
        <f aca="false">IF(AND(ISNUMBER('Offshore - Sydney'!E1077),ISNUMBER(K94),ISNUMBER('Offshore - Sydney'!F1077),ISNUMBER('Offshore - Sydney'!G1077),OR('Offshore - Sydney'!F1077&lt;&gt;0,ISNUMBER(SEARCH("Material 0 terverifikasi",'Offshore - Sydney'!N1077))),OR('Offshore - Sydney'!G1077&lt;&gt;0,ISNUMBER(SEARCH("Enrolment 0 terverifikasi",'Offshore - Sydney'!N1077)))),1,0)</f>
        <v>0</v>
      </c>
      <c r="M94" s="0" t="n">
        <f aca="false">IF(OR('Offshore - Sydney'!E1077="",ISNUMBER(SEARCH("BSB80120",'Offshore - Sydney'!B1077&amp;'Offshore - Sydney'!N1077)),ISNUMBER(SEARCH("Management (Learning)",'Offshore - Sydney'!B1077))),2,IF(ISNUMBER(SEARCH("CEK:",'Offshore - Sydney'!N1077)),1,0))</f>
        <v>0</v>
      </c>
    </row>
    <row r="95" customFormat="false" ht="15" hidden="false" customHeight="false" outlineLevel="0" collapsed="false">
      <c r="A95" s="63" t="s">
        <v>3533</v>
      </c>
      <c r="B95" s="64" t="s">
        <v>3698</v>
      </c>
      <c r="C95" s="63" t="s">
        <v>3707</v>
      </c>
      <c r="D95" s="64" t="str">
        <f aca="false">TRIM(LEFT('Offshore - Sydney'!A497,FIND(CHAR(10),'Offshore - Sydney'!A497&amp;CHAR(10))-1))</f>
        <v>Kaplan Business School</v>
      </c>
      <c r="E95" s="63" t="str">
        <f aca="false">'Offshore - Sydney'!C502&amp;""</f>
        <v>0,5 year</v>
      </c>
      <c r="F95" s="63" t="str">
        <f aca="false">IF('Offshore - Sydney'!D502="","Belum tercatat",'Offshore - Sydney'!D502)</f>
        <v>Trimester</v>
      </c>
      <c r="G95" s="65" t="n">
        <f aca="false">IF('Offshore - Sydney'!E502="","-",'Offshore - Sydney'!E502)</f>
        <v>13600</v>
      </c>
      <c r="H95" s="63" t="n">
        <f aca="false">IF(ISNUMBER(K95),COUNTIFS($J$6:$J$1854,J95,$K$6:$K$1854,"&lt;"&amp;K95)+1,"-")</f>
        <v>3</v>
      </c>
      <c r="I95" s="64" t="str">
        <f aca="false">IF('Offshore - Sydney'!E502="","Harga belum tersedia - hubungi konsultan TEG",IF(M95=2,"Saat ini tidak menerima pendaftaran siswa internasional baru",IF(M95=1,"Harga perlu dikonfirmasi ke sekolah"&amp;IF(""="","","; "&amp;""),"")))</f>
        <v>Harga perlu dikonfirmasi ke sekolah</v>
      </c>
      <c r="J95" s="0" t="s">
        <v>3749</v>
      </c>
      <c r="K95" s="0" t="n">
        <f aca="false">IF(M95=2,"",IF(ISNUMBER(SEARCH("rata-rata:",'Offshore - Sydney'!N502)),VALUE(MID('Offshore - Sydney'!N502,SEARCH("rata-rata:",'Offshore - Sydney'!N502)+11,FIND(";",'Offshore - Sydney'!N502&amp;";",SEARCH("rata-rata:",'Offshore - Sydney'!N502))-SEARCH("rata-rata:",'Offshore - Sydney'!N502)-11)),IF('Offshore - Sydney'!D502="Semester",'Offshore - Sydney'!E502*2,IF('Offshore - Sydney'!D502="Trimester",'Offshore - Sydney'!E502*3,IF('Offshore - Sydney'!D502="Term",'Offshore - Sydney'!E502*4,IF('Offshore - Sydney'!D502="Unit",'Offshore - Sydney'!E502*8,""))))))</f>
        <v>40800</v>
      </c>
      <c r="L95" s="0" t="n">
        <f aca="false">IF(AND(ISNUMBER('Offshore - Sydney'!E502),ISNUMBER(K95),ISNUMBER('Offshore - Sydney'!F502),ISNUMBER('Offshore - Sydney'!G502),OR('Offshore - Sydney'!F502&lt;&gt;0,ISNUMBER(SEARCH("Material 0 terverifikasi",'Offshore - Sydney'!N502))),OR('Offshore - Sydney'!G502&lt;&gt;0,ISNUMBER(SEARCH("Enrolment 0 terverifikasi",'Offshore - Sydney'!N502)))),1,0)</f>
        <v>1</v>
      </c>
      <c r="M95" s="0" t="n">
        <f aca="false">IF(OR('Offshore - Sydney'!E502="",ISNUMBER(SEARCH("BSB80120",'Offshore - Sydney'!B502&amp;'Offshore - Sydney'!N502)),ISNUMBER(SEARCH("Management (Learning)",'Offshore - Sydney'!B502))),2,IF(ISNUMBER(SEARCH("CEK:",'Offshore - Sydney'!N502)),1,0))</f>
        <v>1</v>
      </c>
    </row>
    <row r="96" customFormat="false" ht="15" hidden="false" customHeight="false" outlineLevel="0" collapsed="false">
      <c r="A96" s="61" t="s">
        <v>3750</v>
      </c>
      <c r="B96" s="62"/>
      <c r="C96" s="62"/>
      <c r="D96" s="62"/>
      <c r="E96" s="62"/>
      <c r="F96" s="62"/>
      <c r="G96" s="62"/>
      <c r="H96" s="62"/>
      <c r="I96" s="62"/>
    </row>
    <row r="97" customFormat="false" ht="15" hidden="false" customHeight="false" outlineLevel="0" collapsed="false">
      <c r="A97" s="63" t="s">
        <v>3533</v>
      </c>
      <c r="B97" s="64" t="s">
        <v>3698</v>
      </c>
      <c r="C97" s="63" t="s">
        <v>46</v>
      </c>
      <c r="D97" s="64" t="str">
        <f aca="false">TRIM(LEFT('Offshore - Sydney'!A382,FIND(CHAR(10),'Offshore - Sydney'!A382&amp;CHAR(10))-1))</f>
        <v>CIHE Australia</v>
      </c>
      <c r="E97" s="63" t="str">
        <f aca="false">'Offshore - Sydney'!C388&amp;""</f>
        <v>1,5 years</v>
      </c>
      <c r="F97" s="63" t="str">
        <f aca="false">IF('Offshore - Sydney'!D388="","Belum tercatat",'Offshore - Sydney'!D388)</f>
        <v>Term</v>
      </c>
      <c r="G97" s="65" t="n">
        <f aca="false">IF('Offshore - Sydney'!E388="","-",'Offshore - Sydney'!E388)</f>
        <v>3850</v>
      </c>
      <c r="H97" s="63" t="n">
        <f aca="false">IF(ISNUMBER(K97),COUNTIFS($J$6:$J$1854,J97,$K$6:$K$1854,"&lt;"&amp;K97)+1,"-")</f>
        <v>1</v>
      </c>
      <c r="I97" s="64" t="str">
        <f aca="false">IF('Offshore - Sydney'!E388="","Harga belum tersedia - hubungi konsultan TEG",IF(M97=2,"Saat ini tidak menerima pendaftaran siswa internasional baru",IF(M97=1,"Harga perlu dikonfirmasi ke sekolah"&amp;IF(""="","","; "&amp;""),"")))</f>
        <v>Harga perlu dikonfirmasi ke sekolah</v>
      </c>
      <c r="J97" s="0" t="s">
        <v>3751</v>
      </c>
      <c r="K97" s="0" t="n">
        <f aca="false">IF(M97=2,"",IF(ISNUMBER(SEARCH("rata-rata:",'Offshore - Sydney'!N388)),VALUE(MID('Offshore - Sydney'!N388,SEARCH("rata-rata:",'Offshore - Sydney'!N388)+11,FIND(";",'Offshore - Sydney'!N388&amp;";",SEARCH("rata-rata:",'Offshore - Sydney'!N388))-SEARCH("rata-rata:",'Offshore - Sydney'!N388)-11)),IF('Offshore - Sydney'!D388="Semester",'Offshore - Sydney'!E388*2,IF('Offshore - Sydney'!D388="Trimester",'Offshore - Sydney'!E388*3,IF('Offshore - Sydney'!D388="Term",'Offshore - Sydney'!E388*4,IF('Offshore - Sydney'!D388="Unit",'Offshore - Sydney'!E388*8,""))))))</f>
        <v>15400</v>
      </c>
      <c r="L97" s="0" t="n">
        <f aca="false">IF(AND(ISNUMBER('Offshore - Sydney'!E388),ISNUMBER(K97),ISNUMBER('Offshore - Sydney'!F388),ISNUMBER('Offshore - Sydney'!G388),OR('Offshore - Sydney'!F388&lt;&gt;0,ISNUMBER(SEARCH("Material 0 terverifikasi",'Offshore - Sydney'!N388))),OR('Offshore - Sydney'!G388&lt;&gt;0,ISNUMBER(SEARCH("Enrolment 0 terverifikasi",'Offshore - Sydney'!N388)))),1,0)</f>
        <v>1</v>
      </c>
      <c r="M97" s="0" t="n">
        <f aca="false">IF(OR('Offshore - Sydney'!E388="",ISNUMBER(SEARCH("BSB80120",'Offshore - Sydney'!B388&amp;'Offshore - Sydney'!N388)),ISNUMBER(SEARCH("Management (Learning)",'Offshore - Sydney'!B388))),2,IF(ISNUMBER(SEARCH("CEK:",'Offshore - Sydney'!N388)),1,0))</f>
        <v>1</v>
      </c>
    </row>
    <row r="98" customFormat="false" ht="15" hidden="false" customHeight="false" outlineLevel="0" collapsed="false">
      <c r="A98" s="63" t="s">
        <v>3533</v>
      </c>
      <c r="B98" s="64" t="s">
        <v>3698</v>
      </c>
      <c r="C98" s="63" t="s">
        <v>46</v>
      </c>
      <c r="D98" s="64" t="str">
        <f aca="false">TRIM(LEFT('Offshore - Sydney'!A64,FIND(CHAR(10),'Offshore - Sydney'!A64&amp;CHAR(10))-1))</f>
        <v>AIBI Higher Education</v>
      </c>
      <c r="E98" s="63" t="str">
        <f aca="false">'Offshore - Sydney'!C72&amp;""</f>
        <v>2 years</v>
      </c>
      <c r="F98" s="63" t="str">
        <f aca="false">IF('Offshore - Sydney'!D72="","Belum tercatat",'Offshore - Sydney'!D72)</f>
        <v>Term</v>
      </c>
      <c r="G98" s="65" t="n">
        <f aca="false">IF('Offshore - Sydney'!E72="","-",'Offshore - Sydney'!E72)</f>
        <v>4050</v>
      </c>
      <c r="H98" s="63" t="n">
        <f aca="false">IF(ISNUMBER(K98),COUNTIFS($J$6:$J$1854,J98,$K$6:$K$1854,"&lt;"&amp;K98)+1,"-")</f>
        <v>2</v>
      </c>
      <c r="I98" s="64" t="str">
        <f aca="false">IF('Offshore - Sydney'!E72="","Harga belum tersedia - hubungi konsultan TEG",IF(M98=2,"Saat ini tidak menerima pendaftaran siswa internasional baru",IF(M98=1,"Harga perlu dikonfirmasi ke sekolah"&amp;IF(""="","","; "&amp;""),"")))</f>
        <v>Harga perlu dikonfirmasi ke sekolah</v>
      </c>
      <c r="J98" s="0" t="s">
        <v>3751</v>
      </c>
      <c r="K98" s="0" t="n">
        <f aca="false">IF(M98=2,"",IF(ISNUMBER(SEARCH("rata-rata:",'Offshore - Sydney'!N72)),VALUE(MID('Offshore - Sydney'!N72,SEARCH("rata-rata:",'Offshore - Sydney'!N72)+11,FIND(";",'Offshore - Sydney'!N72&amp;";",SEARCH("rata-rata:",'Offshore - Sydney'!N72))-SEARCH("rata-rata:",'Offshore - Sydney'!N72)-11)),IF('Offshore - Sydney'!D72="Semester",'Offshore - Sydney'!E72*2,IF('Offshore - Sydney'!D72="Trimester",'Offshore - Sydney'!E72*3,IF('Offshore - Sydney'!D72="Term",'Offshore - Sydney'!E72*4,IF('Offshore - Sydney'!D72="Unit",'Offshore - Sydney'!E72*8,""))))))</f>
        <v>16200</v>
      </c>
      <c r="L98" s="0" t="n">
        <f aca="false">IF(AND(ISNUMBER('Offshore - Sydney'!E72),ISNUMBER(K98),ISNUMBER('Offshore - Sydney'!F72),ISNUMBER('Offshore - Sydney'!G72),OR('Offshore - Sydney'!F72&lt;&gt;0,ISNUMBER(SEARCH("Material 0 terverifikasi",'Offshore - Sydney'!N72))),OR('Offshore - Sydney'!G72&lt;&gt;0,ISNUMBER(SEARCH("Enrolment 0 terverifikasi",'Offshore - Sydney'!N72)))),1,0)</f>
        <v>0</v>
      </c>
      <c r="M98" s="0" t="n">
        <f aca="false">IF(OR('Offshore - Sydney'!E72="",ISNUMBER(SEARCH("BSB80120",'Offshore - Sydney'!B72&amp;'Offshore - Sydney'!N72)),ISNUMBER(SEARCH("Management (Learning)",'Offshore - Sydney'!B72))),2,IF(ISNUMBER(SEARCH("CEK:",'Offshore - Sydney'!N72)),1,0))</f>
        <v>1</v>
      </c>
    </row>
    <row r="99" customFormat="false" ht="28.35" hidden="false" customHeight="false" outlineLevel="0" collapsed="false">
      <c r="A99" s="63" t="s">
        <v>3533</v>
      </c>
      <c r="B99" s="64" t="s">
        <v>3698</v>
      </c>
      <c r="C99" s="63" t="s">
        <v>46</v>
      </c>
      <c r="D99" s="64" t="str">
        <f aca="false">TRIM(LEFT('Offshore - Sydney'!A590,FIND(CHAR(10),'Offshore - Sydney'!A590&amp;CHAR(10))-1))</f>
        <v>National Academy of Professional Studies (NAPS)</v>
      </c>
      <c r="E99" s="63" t="str">
        <f aca="false">'Offshore - Sydney'!C593&amp;""</f>
        <v>2 years</v>
      </c>
      <c r="F99" s="63" t="str">
        <f aca="false">IF('Offshore - Sydney'!D593="","Belum tercatat",'Offshore - Sydney'!D593)</f>
        <v>Term</v>
      </c>
      <c r="G99" s="65" t="n">
        <f aca="false">IF('Offshore - Sydney'!E593="","-",'Offshore - Sydney'!E593)</f>
        <v>4250</v>
      </c>
      <c r="H99" s="63" t="n">
        <f aca="false">IF(ISNUMBER(K99),COUNTIFS($J$6:$J$1854,J99,$K$6:$K$1854,"&lt;"&amp;K99)+1,"-")</f>
        <v>3</v>
      </c>
      <c r="I99" s="64" t="str">
        <f aca="false">IF('Offshore - Sydney'!E593="","Harga belum tersedia - hubungi konsultan TEG",IF(M99=2,"Saat ini tidak menerima pendaftaran siswa internasional baru",IF(M99=1,"Harga perlu dikonfirmasi ke sekolah"&amp;IF(""="","","; "&amp;""),"")))</f>
        <v>Harga perlu dikonfirmasi ke sekolah</v>
      </c>
      <c r="J99" s="0" t="s">
        <v>3751</v>
      </c>
      <c r="K99" s="0" t="n">
        <f aca="false">IF(M99=2,"",IF(ISNUMBER(SEARCH("rata-rata:",'Offshore - Sydney'!N593)),VALUE(MID('Offshore - Sydney'!N593,SEARCH("rata-rata:",'Offshore - Sydney'!N593)+11,FIND(";",'Offshore - Sydney'!N593&amp;";",SEARCH("rata-rata:",'Offshore - Sydney'!N593))-SEARCH("rata-rata:",'Offshore - Sydney'!N593)-11)),IF('Offshore - Sydney'!D593="Semester",'Offshore - Sydney'!E593*2,IF('Offshore - Sydney'!D593="Trimester",'Offshore - Sydney'!E593*3,IF('Offshore - Sydney'!D593="Term",'Offshore - Sydney'!E593*4,IF('Offshore - Sydney'!D593="Unit",'Offshore - Sydney'!E593*8,""))))))</f>
        <v>17000</v>
      </c>
      <c r="L99" s="0" t="n">
        <f aca="false">IF(AND(ISNUMBER('Offshore - Sydney'!E593),ISNUMBER(K99),ISNUMBER('Offshore - Sydney'!F593),ISNUMBER('Offshore - Sydney'!G593),OR('Offshore - Sydney'!F593&lt;&gt;0,ISNUMBER(SEARCH("Material 0 terverifikasi",'Offshore - Sydney'!N593))),OR('Offshore - Sydney'!G593&lt;&gt;0,ISNUMBER(SEARCH("Enrolment 0 terverifikasi",'Offshore - Sydney'!N593)))),1,0)</f>
        <v>1</v>
      </c>
      <c r="M99" s="0" t="n">
        <f aca="false">IF(OR('Offshore - Sydney'!E593="",ISNUMBER(SEARCH("BSB80120",'Offshore - Sydney'!B593&amp;'Offshore - Sydney'!N593)),ISNUMBER(SEARCH("Management (Learning)",'Offshore - Sydney'!B593))),2,IF(ISNUMBER(SEARCH("CEK:",'Offshore - Sydney'!N593)),1,0))</f>
        <v>1</v>
      </c>
    </row>
    <row r="100" customFormat="false" ht="15" hidden="false" customHeight="false" outlineLevel="0" collapsed="false">
      <c r="A100" s="63" t="s">
        <v>3533</v>
      </c>
      <c r="B100" s="64" t="s">
        <v>3698</v>
      </c>
      <c r="C100" s="63" t="s">
        <v>46</v>
      </c>
      <c r="D100" s="64" t="str">
        <f aca="false">TRIM(LEFT('Offshore - Sydney'!A791,FIND(CHAR(10),'Offshore - Sydney'!A791&amp;CHAR(10))-1))</f>
        <v>The Institute of International Studies (TIIS)</v>
      </c>
      <c r="E100" s="63" t="str">
        <f aca="false">'Offshore - Sydney'!C796&amp;""</f>
        <v>1,5 years</v>
      </c>
      <c r="F100" s="63" t="str">
        <f aca="false">IF('Offshore - Sydney'!D796="","Belum tercatat",'Offshore - Sydney'!D796)</f>
        <v>Term</v>
      </c>
      <c r="G100" s="65" t="n">
        <f aca="false">IF('Offshore - Sydney'!E796="","-",'Offshore - Sydney'!E796)</f>
        <v>4500</v>
      </c>
      <c r="H100" s="63" t="n">
        <f aca="false">IF(ISNUMBER(K100),COUNTIFS($J$6:$J$1854,J100,$K$6:$K$1854,"&lt;"&amp;K100)+1,"-")</f>
        <v>4</v>
      </c>
      <c r="I100" s="64" t="str">
        <f aca="false">IF('Offshore - Sydney'!E796="","Harga belum tersedia - hubungi konsultan TEG",IF(M100=2,"Saat ini tidak menerima pendaftaran siswa internasional baru",IF(M100=1,"Harga perlu dikonfirmasi ke sekolah"&amp;IF(""="","","; "&amp;""),"")))</f>
        <v/>
      </c>
      <c r="J100" s="0" t="s">
        <v>3751</v>
      </c>
      <c r="K100" s="0" t="n">
        <f aca="false">IF(M100=2,"",IF(ISNUMBER(SEARCH("rata-rata:",'Offshore - Sydney'!N796)),VALUE(MID('Offshore - Sydney'!N796,SEARCH("rata-rata:",'Offshore - Sydney'!N796)+11,FIND(";",'Offshore - Sydney'!N796&amp;";",SEARCH("rata-rata:",'Offshore - Sydney'!N796))-SEARCH("rata-rata:",'Offshore - Sydney'!N796)-11)),IF('Offshore - Sydney'!D796="Semester",'Offshore - Sydney'!E796*2,IF('Offshore - Sydney'!D796="Trimester",'Offshore - Sydney'!E796*3,IF('Offshore - Sydney'!D796="Term",'Offshore - Sydney'!E796*4,IF('Offshore - Sydney'!D796="Unit",'Offshore - Sydney'!E796*8,""))))))</f>
        <v>18000</v>
      </c>
      <c r="L100" s="0" t="n">
        <f aca="false">IF(AND(ISNUMBER('Offshore - Sydney'!E796),ISNUMBER(K100),ISNUMBER('Offshore - Sydney'!F796),ISNUMBER('Offshore - Sydney'!G796),OR('Offshore - Sydney'!F796&lt;&gt;0,ISNUMBER(SEARCH("Material 0 terverifikasi",'Offshore - Sydney'!N796))),OR('Offshore - Sydney'!G796&lt;&gt;0,ISNUMBER(SEARCH("Enrolment 0 terverifikasi",'Offshore - Sydney'!N796)))),1,0)</f>
        <v>0</v>
      </c>
      <c r="M100" s="0" t="n">
        <f aca="false">IF(OR('Offshore - Sydney'!E796="",ISNUMBER(SEARCH("BSB80120",'Offshore - Sydney'!B796&amp;'Offshore - Sydney'!N796)),ISNUMBER(SEARCH("Management (Learning)",'Offshore - Sydney'!B796))),2,IF(ISNUMBER(SEARCH("CEK:",'Offshore - Sydney'!N796)),1,0))</f>
        <v>0</v>
      </c>
    </row>
    <row r="101" customFormat="false" ht="15" hidden="false" customHeight="false" outlineLevel="0" collapsed="false">
      <c r="A101" s="63" t="s">
        <v>3533</v>
      </c>
      <c r="B101" s="64" t="s">
        <v>3698</v>
      </c>
      <c r="C101" s="63" t="s">
        <v>46</v>
      </c>
      <c r="D101" s="64" t="str">
        <f aca="false">TRIM(LEFT('Offshore - Sydney'!A814,FIND(CHAR(10),'Offshore - Sydney'!A814&amp;CHAR(10))-1))</f>
        <v>Torrens University Australia</v>
      </c>
      <c r="E101" s="63" t="str">
        <f aca="false">'Offshore - Sydney'!C825&amp;""</f>
        <v>1,5 years</v>
      </c>
      <c r="F101" s="63" t="str">
        <f aca="false">IF('Offshore - Sydney'!D825="","Belum tercatat",'Offshore - Sydney'!D825)</f>
        <v>Term</v>
      </c>
      <c r="G101" s="65" t="n">
        <f aca="false">IF('Offshore - Sydney'!E825="","-",'Offshore - Sydney'!E825)</f>
        <v>9000</v>
      </c>
      <c r="H101" s="63" t="n">
        <f aca="false">IF(ISNUMBER(K101),COUNTIFS($J$6:$J$1854,J101,$K$6:$K$1854,"&lt;"&amp;K101)+1,"-")</f>
        <v>5</v>
      </c>
      <c r="I101" s="64" t="str">
        <f aca="false">IF('Offshore - Sydney'!E825="","Harga belum tersedia - hubungi konsultan TEG",IF(M101=2,"Saat ini tidak menerima pendaftaran siswa internasional baru",IF(M101=1,"Harga perlu dikonfirmasi ke sekolah"&amp;IF(""="","","; "&amp;""),"")))</f>
        <v/>
      </c>
      <c r="J101" s="0" t="s">
        <v>3751</v>
      </c>
      <c r="K101" s="0" t="n">
        <f aca="false">IF(M101=2,"",IF(ISNUMBER(SEARCH("rata-rata:",'Offshore - Sydney'!N825)),VALUE(MID('Offshore - Sydney'!N825,SEARCH("rata-rata:",'Offshore - Sydney'!N825)+11,FIND(";",'Offshore - Sydney'!N825&amp;";",SEARCH("rata-rata:",'Offshore - Sydney'!N825))-SEARCH("rata-rata:",'Offshore - Sydney'!N825)-11)),IF('Offshore - Sydney'!D825="Semester",'Offshore - Sydney'!E825*2,IF('Offshore - Sydney'!D825="Trimester",'Offshore - Sydney'!E825*3,IF('Offshore - Sydney'!D825="Term",'Offshore - Sydney'!E825*4,IF('Offshore - Sydney'!D825="Unit",'Offshore - Sydney'!E825*8,""))))))</f>
        <v>36000</v>
      </c>
      <c r="L101" s="0" t="n">
        <f aca="false">IF(AND(ISNUMBER('Offshore - Sydney'!E825),ISNUMBER(K101),ISNUMBER('Offshore - Sydney'!F825),ISNUMBER('Offshore - Sydney'!G825),OR('Offshore - Sydney'!F825&lt;&gt;0,ISNUMBER(SEARCH("Material 0 terverifikasi",'Offshore - Sydney'!N825))),OR('Offshore - Sydney'!G825&lt;&gt;0,ISNUMBER(SEARCH("Enrolment 0 terverifikasi",'Offshore - Sydney'!N825)))),1,0)</f>
        <v>0</v>
      </c>
      <c r="M101" s="0" t="n">
        <f aca="false">IF(OR('Offshore - Sydney'!E825="",ISNUMBER(SEARCH("BSB80120",'Offshore - Sydney'!B825&amp;'Offshore - Sydney'!N825)),ISNUMBER(SEARCH("Management (Learning)",'Offshore - Sydney'!B825))),2,IF(ISNUMBER(SEARCH("CEK:",'Offshore - Sydney'!N825)),1,0))</f>
        <v>0</v>
      </c>
    </row>
    <row r="102" customFormat="false" ht="15" hidden="false" customHeight="false" outlineLevel="0" collapsed="false">
      <c r="A102" s="63" t="s">
        <v>3533</v>
      </c>
      <c r="B102" s="64" t="s">
        <v>3698</v>
      </c>
      <c r="C102" s="63" t="s">
        <v>46</v>
      </c>
      <c r="D102" s="64" t="str">
        <f aca="false">TRIM(LEFT('Offshore - Sydney'!A156,FIND(CHAR(10),'Offshore - Sydney'!A156&amp;CHAR(10))-1))</f>
        <v>Australian Catholic University (ACU)</v>
      </c>
      <c r="E102" s="63" t="str">
        <f aca="false">'Offshore - Sydney'!C184&amp;""</f>
        <v>2 years</v>
      </c>
      <c r="F102" s="63" t="str">
        <f aca="false">IF('Offshore - Sydney'!D184="","Belum tercatat",'Offshore - Sydney'!D184)</f>
        <v>Term</v>
      </c>
      <c r="G102" s="65" t="n">
        <f aca="false">IF('Offshore - Sydney'!E184="","-",'Offshore - Sydney'!E184)</f>
        <v>9524</v>
      </c>
      <c r="H102" s="63" t="n">
        <f aca="false">IF(ISNUMBER(K102),COUNTIFS($J$6:$J$1854,J102,$K$6:$K$1854,"&lt;"&amp;K102)+1,"-")</f>
        <v>6</v>
      </c>
      <c r="I102" s="64" t="str">
        <f aca="false">IF('Offshore - Sydney'!E184="","Harga belum tersedia - hubungi konsultan TEG",IF(M102=2,"Saat ini tidak menerima pendaftaran siswa internasional baru",IF(M102=1,"Harga perlu dikonfirmasi ke sekolah"&amp;IF(""="","","; "&amp;""),"")))</f>
        <v/>
      </c>
      <c r="J102" s="0" t="s">
        <v>3751</v>
      </c>
      <c r="K102" s="0" t="n">
        <f aca="false">IF(M102=2,"",IF(ISNUMBER(SEARCH("rata-rata:",'Offshore - Sydney'!N184)),VALUE(MID('Offshore - Sydney'!N184,SEARCH("rata-rata:",'Offshore - Sydney'!N184)+11,FIND(";",'Offshore - Sydney'!N184&amp;";",SEARCH("rata-rata:",'Offshore - Sydney'!N184))-SEARCH("rata-rata:",'Offshore - Sydney'!N184)-11)),IF('Offshore - Sydney'!D184="Semester",'Offshore - Sydney'!E184*2,IF('Offshore - Sydney'!D184="Trimester",'Offshore - Sydney'!E184*3,IF('Offshore - Sydney'!D184="Term",'Offshore - Sydney'!E184*4,IF('Offshore - Sydney'!D184="Unit",'Offshore - Sydney'!E184*8,""))))))</f>
        <v>38096</v>
      </c>
      <c r="L102" s="0" t="n">
        <f aca="false">IF(AND(ISNUMBER('Offshore - Sydney'!E184),ISNUMBER(K102),ISNUMBER('Offshore - Sydney'!F184),ISNUMBER('Offshore - Sydney'!G184),OR('Offshore - Sydney'!F184&lt;&gt;0,ISNUMBER(SEARCH("Material 0 terverifikasi",'Offshore - Sydney'!N184))),OR('Offshore - Sydney'!G184&lt;&gt;0,ISNUMBER(SEARCH("Enrolment 0 terverifikasi",'Offshore - Sydney'!N184)))),1,0)</f>
        <v>0</v>
      </c>
      <c r="M102" s="0" t="n">
        <f aca="false">IF(OR('Offshore - Sydney'!E184="",ISNUMBER(SEARCH("BSB80120",'Offshore - Sydney'!B184&amp;'Offshore - Sydney'!N184)),ISNUMBER(SEARCH("Management (Learning)",'Offshore - Sydney'!B184))),2,IF(ISNUMBER(SEARCH("CEK:",'Offshore - Sydney'!N184)),1,0))</f>
        <v>0</v>
      </c>
    </row>
    <row r="103" customFormat="false" ht="15" hidden="false" customHeight="false" outlineLevel="0" collapsed="false">
      <c r="A103" s="63" t="s">
        <v>3533</v>
      </c>
      <c r="B103" s="64" t="s">
        <v>3698</v>
      </c>
      <c r="C103" s="63" t="s">
        <v>46</v>
      </c>
      <c r="D103" s="64" t="str">
        <f aca="false">TRIM(LEFT('Offshore - Sydney'!A354,FIND(CHAR(10),'Offshore - Sydney'!A354&amp;CHAR(10))-1))</f>
        <v>Charles Darwin University (CDU)</v>
      </c>
      <c r="E103" s="63" t="str">
        <f aca="false">'Offshore - Sydney'!C357&amp;""</f>
        <v>2 years</v>
      </c>
      <c r="F103" s="63" t="str">
        <f aca="false">IF('Offshore - Sydney'!D357="","Belum tercatat",'Offshore - Sydney'!D357)</f>
        <v>Term</v>
      </c>
      <c r="G103" s="65" t="n">
        <f aca="false">IF('Offshore - Sydney'!E357="","-",'Offshore - Sydney'!E357)</f>
        <v>9548</v>
      </c>
      <c r="H103" s="63" t="n">
        <f aca="false">IF(ISNUMBER(K103),COUNTIFS($J$6:$J$1854,J103,$K$6:$K$1854,"&lt;"&amp;K103)+1,"-")</f>
        <v>7</v>
      </c>
      <c r="I103" s="64" t="str">
        <f aca="false">IF('Offshore - Sydney'!E357="","Harga belum tersedia - hubungi konsultan TEG",IF(M103=2,"Saat ini tidak menerima pendaftaran siswa internasional baru",IF(M103=1,"Harga perlu dikonfirmasi ke sekolah"&amp;IF(""="","","; "&amp;""),"")))</f>
        <v/>
      </c>
      <c r="J103" s="0" t="s">
        <v>3751</v>
      </c>
      <c r="K103" s="0" t="n">
        <f aca="false">IF(M103=2,"",IF(ISNUMBER(SEARCH("rata-rata:",'Offshore - Sydney'!N357)),VALUE(MID('Offshore - Sydney'!N357,SEARCH("rata-rata:",'Offshore - Sydney'!N357)+11,FIND(";",'Offshore - Sydney'!N357&amp;";",SEARCH("rata-rata:",'Offshore - Sydney'!N357))-SEARCH("rata-rata:",'Offshore - Sydney'!N357)-11)),IF('Offshore - Sydney'!D357="Semester",'Offshore - Sydney'!E357*2,IF('Offshore - Sydney'!D357="Trimester",'Offshore - Sydney'!E357*3,IF('Offshore - Sydney'!D357="Term",'Offshore - Sydney'!E357*4,IF('Offshore - Sydney'!D357="Unit",'Offshore - Sydney'!E357*8,""))))))</f>
        <v>38192</v>
      </c>
      <c r="L103" s="0" t="n">
        <f aca="false">IF(AND(ISNUMBER('Offshore - Sydney'!E357),ISNUMBER(K103),ISNUMBER('Offshore - Sydney'!F357),ISNUMBER('Offshore - Sydney'!G357),OR('Offshore - Sydney'!F357&lt;&gt;0,ISNUMBER(SEARCH("Material 0 terverifikasi",'Offshore - Sydney'!N357))),OR('Offshore - Sydney'!G357&lt;&gt;0,ISNUMBER(SEARCH("Enrolment 0 terverifikasi",'Offshore - Sydney'!N357)))),1,0)</f>
        <v>0</v>
      </c>
      <c r="M103" s="0" t="n">
        <f aca="false">IF(OR('Offshore - Sydney'!E357="",ISNUMBER(SEARCH("BSB80120",'Offshore - Sydney'!B357&amp;'Offshore - Sydney'!N357)),ISNUMBER(SEARCH("Management (Learning)",'Offshore - Sydney'!B357))),2,IF(ISNUMBER(SEARCH("CEK:",'Offshore - Sydney'!N357)),1,0))</f>
        <v>0</v>
      </c>
    </row>
    <row r="104" customFormat="false" ht="15" hidden="false" customHeight="false" outlineLevel="0" collapsed="false">
      <c r="A104" s="63" t="s">
        <v>3533</v>
      </c>
      <c r="B104" s="64" t="s">
        <v>3698</v>
      </c>
      <c r="C104" s="63" t="s">
        <v>46</v>
      </c>
      <c r="D104" s="64" t="str">
        <f aca="false">TRIM(LEFT('Offshore - Sydney'!A982,FIND(CHAR(10),'Offshore - Sydney'!A982&amp;CHAR(10))-1))</f>
        <v>Western Sydney University</v>
      </c>
      <c r="E104" s="63" t="str">
        <f aca="false">'Offshore - Sydney'!C1076&amp;""</f>
        <v>2 years</v>
      </c>
      <c r="F104" s="63" t="str">
        <f aca="false">IF('Offshore - Sydney'!D1076="","Belum tercatat",'Offshore - Sydney'!D1076)</f>
        <v>Term</v>
      </c>
      <c r="G104" s="65" t="n">
        <f aca="false">IF('Offshore - Sydney'!E1076="","-",'Offshore - Sydney'!E1076)</f>
        <v>9835</v>
      </c>
      <c r="H104" s="63" t="n">
        <f aca="false">IF(ISNUMBER(K104),COUNTIFS($J$6:$J$1854,J104,$K$6:$K$1854,"&lt;"&amp;K104)+1,"-")</f>
        <v>8</v>
      </c>
      <c r="I104" s="64" t="str">
        <f aca="false">IF('Offshore - Sydney'!E1076="","Harga belum tersedia - hubungi konsultan TEG",IF(M104=2,"Saat ini tidak menerima pendaftaran siswa internasional baru",IF(M104=1,"Harga perlu dikonfirmasi ke sekolah"&amp;IF(""="","","; "&amp;""),"")))</f>
        <v/>
      </c>
      <c r="J104" s="0" t="s">
        <v>3751</v>
      </c>
      <c r="K104" s="0" t="n">
        <f aca="false">IF(M104=2,"",IF(ISNUMBER(SEARCH("rata-rata:",'Offshore - Sydney'!N1076)),VALUE(MID('Offshore - Sydney'!N1076,SEARCH("rata-rata:",'Offshore - Sydney'!N1076)+11,FIND(";",'Offshore - Sydney'!N1076&amp;";",SEARCH("rata-rata:",'Offshore - Sydney'!N1076))-SEARCH("rata-rata:",'Offshore - Sydney'!N1076)-11)),IF('Offshore - Sydney'!D1076="Semester",'Offshore - Sydney'!E1076*2,IF('Offshore - Sydney'!D1076="Trimester",'Offshore - Sydney'!E1076*3,IF('Offshore - Sydney'!D1076="Term",'Offshore - Sydney'!E1076*4,IF('Offshore - Sydney'!D1076="Unit",'Offshore - Sydney'!E1076*8,""))))))</f>
        <v>39340</v>
      </c>
      <c r="L104" s="0" t="n">
        <f aca="false">IF(AND(ISNUMBER('Offshore - Sydney'!E1076),ISNUMBER(K104),ISNUMBER('Offshore - Sydney'!F1076),ISNUMBER('Offshore - Sydney'!G1076),OR('Offshore - Sydney'!F1076&lt;&gt;0,ISNUMBER(SEARCH("Material 0 terverifikasi",'Offshore - Sydney'!N1076))),OR('Offshore - Sydney'!G1076&lt;&gt;0,ISNUMBER(SEARCH("Enrolment 0 terverifikasi",'Offshore - Sydney'!N1076)))),1,0)</f>
        <v>0</v>
      </c>
      <c r="M104" s="0" t="n">
        <f aca="false">IF(OR('Offshore - Sydney'!E1076="",ISNUMBER(SEARCH("BSB80120",'Offshore - Sydney'!B1076&amp;'Offshore - Sydney'!N1076)),ISNUMBER(SEARCH("Management (Learning)",'Offshore - Sydney'!B1076))),2,IF(ISNUMBER(SEARCH("CEK:",'Offshore - Sydney'!N1076)),1,0))</f>
        <v>0</v>
      </c>
    </row>
    <row r="105" customFormat="false" ht="15" hidden="false" customHeight="false" outlineLevel="0" collapsed="false">
      <c r="A105" s="63" t="s">
        <v>3533</v>
      </c>
      <c r="B105" s="64" t="s">
        <v>3698</v>
      </c>
      <c r="C105" s="63" t="s">
        <v>46</v>
      </c>
      <c r="D105" s="64" t="str">
        <f aca="false">TRIM(LEFT('Offshore - Sydney'!A497,FIND(CHAR(10),'Offshore - Sydney'!A497&amp;CHAR(10))-1))</f>
        <v>Kaplan Business School</v>
      </c>
      <c r="E105" s="63" t="str">
        <f aca="false">'Offshore - Sydney'!C503&amp;""</f>
        <v>2 years</v>
      </c>
      <c r="F105" s="63" t="str">
        <f aca="false">IF('Offshore - Sydney'!D503="","Belum tercatat",'Offshore - Sydney'!D503)</f>
        <v>Trimester</v>
      </c>
      <c r="G105" s="65" t="n">
        <f aca="false">IF('Offshore - Sydney'!E503="","-",'Offshore - Sydney'!E503)</f>
        <v>13600</v>
      </c>
      <c r="H105" s="63" t="n">
        <f aca="false">IF(ISNUMBER(K105),COUNTIFS($J$6:$J$1854,J105,$K$6:$K$1854,"&lt;"&amp;K105)+1,"-")</f>
        <v>9</v>
      </c>
      <c r="I105" s="64" t="str">
        <f aca="false">IF('Offshore - Sydney'!E503="","Harga belum tersedia - hubungi konsultan TEG",IF(M105=2,"Saat ini tidak menerima pendaftaran siswa internasional baru",IF(M105=1,"Harga perlu dikonfirmasi ke sekolah"&amp;IF(""="","","; "&amp;""),"")))</f>
        <v>Harga perlu dikonfirmasi ke sekolah</v>
      </c>
      <c r="J105" s="0" t="s">
        <v>3751</v>
      </c>
      <c r="K105" s="0" t="n">
        <f aca="false">IF(M105=2,"",IF(ISNUMBER(SEARCH("rata-rata:",'Offshore - Sydney'!N503)),VALUE(MID('Offshore - Sydney'!N503,SEARCH("rata-rata:",'Offshore - Sydney'!N503)+11,FIND(";",'Offshore - Sydney'!N503&amp;";",SEARCH("rata-rata:",'Offshore - Sydney'!N503))-SEARCH("rata-rata:",'Offshore - Sydney'!N503)-11)),IF('Offshore - Sydney'!D503="Semester",'Offshore - Sydney'!E503*2,IF('Offshore - Sydney'!D503="Trimester",'Offshore - Sydney'!E503*3,IF('Offshore - Sydney'!D503="Term",'Offshore - Sydney'!E503*4,IF('Offshore - Sydney'!D503="Unit",'Offshore - Sydney'!E503*8,""))))))</f>
        <v>40800</v>
      </c>
      <c r="L105" s="0" t="n">
        <f aca="false">IF(AND(ISNUMBER('Offshore - Sydney'!E503),ISNUMBER(K105),ISNUMBER('Offshore - Sydney'!F503),ISNUMBER('Offshore - Sydney'!G503),OR('Offshore - Sydney'!F503&lt;&gt;0,ISNUMBER(SEARCH("Material 0 terverifikasi",'Offshore - Sydney'!N503))),OR('Offshore - Sydney'!G503&lt;&gt;0,ISNUMBER(SEARCH("Enrolment 0 terverifikasi",'Offshore - Sydney'!N503)))),1,0)</f>
        <v>1</v>
      </c>
      <c r="M105" s="0" t="n">
        <f aca="false">IF(OR('Offshore - Sydney'!E503="",ISNUMBER(SEARCH("BSB80120",'Offshore - Sydney'!B503&amp;'Offshore - Sydney'!N503)),ISNUMBER(SEARCH("Management (Learning)",'Offshore - Sydney'!B503))),2,IF(ISNUMBER(SEARCH("CEK:",'Offshore - Sydney'!N503)),1,0))</f>
        <v>1</v>
      </c>
    </row>
    <row r="106" customFormat="false" ht="15" hidden="false" customHeight="false" outlineLevel="0" collapsed="false">
      <c r="A106" s="61" t="s">
        <v>3752</v>
      </c>
      <c r="B106" s="62"/>
      <c r="C106" s="62"/>
      <c r="D106" s="62"/>
      <c r="E106" s="62"/>
      <c r="F106" s="62"/>
      <c r="G106" s="62"/>
      <c r="H106" s="62"/>
      <c r="I106" s="62"/>
    </row>
    <row r="107" customFormat="false" ht="15" hidden="false" customHeight="false" outlineLevel="0" collapsed="false">
      <c r="A107" s="63" t="s">
        <v>3753</v>
      </c>
      <c r="B107" s="64" t="s">
        <v>3698</v>
      </c>
      <c r="C107" s="63" t="s">
        <v>3707</v>
      </c>
      <c r="D107" s="64" t="str">
        <f aca="false">TRIM(LEFT('Offshore - Tasmania Hobart'!A21,FIND(CHAR(10),'Offshore - Tasmania Hobart'!A21&amp;CHAR(10))-1))</f>
        <v>University of Tasmania (UTAS)</v>
      </c>
      <c r="E107" s="63" t="str">
        <f aca="false">'Offshore - Tasmania Hobart'!C25&amp;""</f>
        <v>0,5 years</v>
      </c>
      <c r="F107" s="63" t="str">
        <f aca="false">IF('Offshore - Tasmania Hobart'!D25="","Belum tercatat",'Offshore - Tasmania Hobart'!D25)</f>
        <v>Term</v>
      </c>
      <c r="G107" s="65" t="n">
        <f aca="false">IF('Offshore - Tasmania Hobart'!E25="","-",'Offshore - Tasmania Hobart'!E25)</f>
        <v>10812.5</v>
      </c>
      <c r="H107" s="63" t="n">
        <f aca="false">IF(ISNUMBER(K107),COUNTIFS($J$6:$J$1854,J107,$K$6:$K$1854,"&lt;"&amp;K107)+1,"-")</f>
        <v>1</v>
      </c>
      <c r="I107" s="64" t="str">
        <f aca="false">IF('Offshore - Tasmania Hobart'!E25="","Harga belum tersedia - hubungi konsultan TEG",IF(M107=2,"Saat ini tidak menerima pendaftaran siswa internasional baru",IF(M107=1,"Harga perlu dikonfirmasi ke sekolah"&amp;IF(""="","","; "&amp;""),"")))</f>
        <v>Harga perlu dikonfirmasi ke sekolah</v>
      </c>
      <c r="J107" s="0" t="s">
        <v>3754</v>
      </c>
      <c r="K107" s="0" t="n">
        <f aca="false">IF(M107=2,"",IF(ISNUMBER(SEARCH("rata-rata:",'Offshore - Tasmania Hobart'!N25)),VALUE(MID('Offshore - Tasmania Hobart'!N25,SEARCH("rata-rata:",'Offshore - Tasmania Hobart'!N25)+11,FIND(";",'Offshore - Tasmania Hobart'!N25&amp;";",SEARCH("rata-rata:",'Offshore - Tasmania Hobart'!N25))-SEARCH("rata-rata:",'Offshore - Tasmania Hobart'!N25)-11)),IF('Offshore - Tasmania Hobart'!D25="Semester",'Offshore - Tasmania Hobart'!E25*2,IF('Offshore - Tasmania Hobart'!D25="Trimester",'Offshore - Tasmania Hobart'!E25*3,IF('Offshore - Tasmania Hobart'!D25="Term",'Offshore - Tasmania Hobart'!E25*4,IF('Offshore - Tasmania Hobart'!D25="Unit",'Offshore - Tasmania Hobart'!E25*8,""))))))</f>
        <v>43250</v>
      </c>
      <c r="L107" s="0" t="n">
        <f aca="false">IF(AND(ISNUMBER('Offshore - Tasmania Hobart'!E25),ISNUMBER(K107),ISNUMBER('Offshore - Tasmania Hobart'!F25),ISNUMBER('Offshore - Tasmania Hobart'!G25),OR('Offshore - Tasmania Hobart'!F25&lt;&gt;0,ISNUMBER(SEARCH("Material 0 terverifikasi",'Offshore - Tasmania Hobart'!N25))),OR('Offshore - Tasmania Hobart'!G25&lt;&gt;0,ISNUMBER(SEARCH("Enrolment 0 terverifikasi",'Offshore - Tasmania Hobart'!N25)))),1,0)</f>
        <v>0</v>
      </c>
      <c r="M107" s="0" t="n">
        <f aca="false">IF(OR('Offshore - Tasmania Hobart'!E25="",ISNUMBER(SEARCH("BSB80120",'Offshore - Tasmania Hobart'!B25&amp;'Offshore - Tasmania Hobart'!N25)),ISNUMBER(SEARCH("Management (Learning)",'Offshore - Tasmania Hobart'!B25))),2,IF(ISNUMBER(SEARCH("CEK:",'Offshore - Tasmania Hobart'!N25)),1,0))</f>
        <v>1</v>
      </c>
    </row>
    <row r="108" customFormat="false" ht="15" hidden="false" customHeight="false" outlineLevel="0" collapsed="false">
      <c r="A108" s="61" t="s">
        <v>3755</v>
      </c>
      <c r="B108" s="62"/>
      <c r="C108" s="62"/>
      <c r="D108" s="62"/>
      <c r="E108" s="62"/>
      <c r="F108" s="62"/>
      <c r="G108" s="62"/>
      <c r="H108" s="62"/>
      <c r="I108" s="62"/>
    </row>
    <row r="109" customFormat="false" ht="15" hidden="false" customHeight="false" outlineLevel="0" collapsed="false">
      <c r="A109" s="63" t="s">
        <v>3753</v>
      </c>
      <c r="B109" s="64" t="s">
        <v>3698</v>
      </c>
      <c r="C109" s="63" t="s">
        <v>46</v>
      </c>
      <c r="D109" s="64" t="str">
        <f aca="false">TRIM(LEFT('Offshore - Tasmania Hobart'!A21,FIND(CHAR(10),'Offshore - Tasmania Hobart'!A21&amp;CHAR(10))-1))</f>
        <v>University of Tasmania (UTAS)</v>
      </c>
      <c r="E109" s="63" t="str">
        <f aca="false">'Offshore - Tasmania Hobart'!C29&amp;""</f>
        <v>2 years</v>
      </c>
      <c r="F109" s="63" t="str">
        <f aca="false">IF('Offshore - Tasmania Hobart'!D29="","Belum tercatat",'Offshore - Tasmania Hobart'!D29)</f>
        <v>Term</v>
      </c>
      <c r="G109" s="65" t="n">
        <f aca="false">IF('Offshore - Tasmania Hobart'!E29="","-",'Offshore - Tasmania Hobart'!E29)</f>
        <v>9862.5</v>
      </c>
      <c r="H109" s="63" t="n">
        <f aca="false">IF(ISNUMBER(K109),COUNTIFS($J$6:$J$1854,J109,$K$6:$K$1854,"&lt;"&amp;K109)+1,"-")</f>
        <v>1</v>
      </c>
      <c r="I109" s="64" t="str">
        <f aca="false">IF('Offshore - Tasmania Hobart'!E29="","Harga belum tersedia - hubungi konsultan TEG",IF(M109=2,"Saat ini tidak menerima pendaftaran siswa internasional baru",IF(M109=1,"Harga perlu dikonfirmasi ke sekolah"&amp;IF(""="","","; "&amp;""),"")))</f>
        <v/>
      </c>
      <c r="J109" s="0" t="s">
        <v>3756</v>
      </c>
      <c r="K109" s="0" t="n">
        <f aca="false">IF(M109=2,"",IF(ISNUMBER(SEARCH("rata-rata:",'Offshore - Tasmania Hobart'!N29)),VALUE(MID('Offshore - Tasmania Hobart'!N29,SEARCH("rata-rata:",'Offshore - Tasmania Hobart'!N29)+11,FIND(";",'Offshore - Tasmania Hobart'!N29&amp;";",SEARCH("rata-rata:",'Offshore - Tasmania Hobart'!N29))-SEARCH("rata-rata:",'Offshore - Tasmania Hobart'!N29)-11)),IF('Offshore - Tasmania Hobart'!D29="Semester",'Offshore - Tasmania Hobart'!E29*2,IF('Offshore - Tasmania Hobart'!D29="Trimester",'Offshore - Tasmania Hobart'!E29*3,IF('Offshore - Tasmania Hobart'!D29="Term",'Offshore - Tasmania Hobart'!E29*4,IF('Offshore - Tasmania Hobart'!D29="Unit",'Offshore - Tasmania Hobart'!E29*8,""))))))</f>
        <v>39450</v>
      </c>
      <c r="L109" s="0" t="n">
        <f aca="false">IF(AND(ISNUMBER('Offshore - Tasmania Hobart'!E29),ISNUMBER(K109),ISNUMBER('Offshore - Tasmania Hobart'!F29),ISNUMBER('Offshore - Tasmania Hobart'!G29),OR('Offshore - Tasmania Hobart'!F29&lt;&gt;0,ISNUMBER(SEARCH("Material 0 terverifikasi",'Offshore - Tasmania Hobart'!N29))),OR('Offshore - Tasmania Hobart'!G29&lt;&gt;0,ISNUMBER(SEARCH("Enrolment 0 terverifikasi",'Offshore - Tasmania Hobart'!N29)))),1,0)</f>
        <v>0</v>
      </c>
      <c r="M109" s="0" t="n">
        <f aca="false">IF(OR('Offshore - Tasmania Hobart'!E29="",ISNUMBER(SEARCH("BSB80120",'Offshore - Tasmania Hobart'!B29&amp;'Offshore - Tasmania Hobart'!N29)),ISNUMBER(SEARCH("Management (Learning)",'Offshore - Tasmania Hobart'!B29))),2,IF(ISNUMBER(SEARCH("CEK:",'Offshore - Tasmania Hobart'!N29)),1,0))</f>
        <v>0</v>
      </c>
    </row>
    <row r="110" customFormat="false" ht="15" hidden="false" customHeight="false" outlineLevel="0" collapsed="false">
      <c r="A110" s="61" t="s">
        <v>3757</v>
      </c>
      <c r="B110" s="62"/>
      <c r="C110" s="62"/>
      <c r="D110" s="62"/>
      <c r="E110" s="62"/>
      <c r="F110" s="62"/>
      <c r="G110" s="62"/>
      <c r="H110" s="62"/>
      <c r="I110" s="62"/>
    </row>
    <row r="111" customFormat="false" ht="15" hidden="false" customHeight="false" outlineLevel="0" collapsed="false">
      <c r="A111" s="63" t="s">
        <v>3659</v>
      </c>
      <c r="B111" s="64" t="s">
        <v>3758</v>
      </c>
      <c r="C111" s="63" t="s">
        <v>39</v>
      </c>
      <c r="D111" s="64" t="str">
        <f aca="false">TRIM(LEFT('Offshore - Adelaide'!A484,FIND(CHAR(10),'Offshore - Adelaide'!A484&amp;CHAR(10))-1))</f>
        <v>TAFE SA</v>
      </c>
      <c r="E111" s="63" t="str">
        <f aca="false">'Offshore - Adelaide'!C538&amp;""</f>
        <v>1 year</v>
      </c>
      <c r="F111" s="63" t="str">
        <f aca="false">IF('Offshore - Adelaide'!D538="","Belum tercatat",'Offshore - Adelaide'!D538)</f>
        <v>Semester</v>
      </c>
      <c r="G111" s="65" t="n">
        <f aca="false">IF('Offshore - Adelaide'!E538="","-",'Offshore - Adelaide'!E538)</f>
        <v>5942</v>
      </c>
      <c r="H111" s="63" t="n">
        <f aca="false">IF(ISNUMBER(K111),COUNTIFS($J$6:$J$1854,J111,$K$6:$K$1854,"&lt;"&amp;K111)+1,"-")</f>
        <v>1</v>
      </c>
      <c r="I111" s="64" t="str">
        <f aca="false">IF('Offshore - Adelaide'!E538="","Harga belum tersedia - hubungi konsultan TEG",IF(M111=2,"Saat ini tidak menerima pendaftaran siswa internasional baru",IF(M111=1,"Harga perlu dikonfirmasi ke sekolah"&amp;IF(""="","","; "&amp;""),"")))</f>
        <v/>
      </c>
      <c r="J111" s="0" t="s">
        <v>3759</v>
      </c>
      <c r="K111" s="0" t="n">
        <f aca="false">IF(M111=2,"",IF(ISNUMBER(SEARCH("rata-rata:",'Offshore - Adelaide'!N538)),VALUE(MID('Offshore - Adelaide'!N538,SEARCH("rata-rata:",'Offshore - Adelaide'!N538)+11,FIND(";",'Offshore - Adelaide'!N538&amp;";",SEARCH("rata-rata:",'Offshore - Adelaide'!N538))-SEARCH("rata-rata:",'Offshore - Adelaide'!N538)-11)),IF('Offshore - Adelaide'!D538="Semester",'Offshore - Adelaide'!E538*2,IF('Offshore - Adelaide'!D538="Trimester",'Offshore - Adelaide'!E538*3,IF('Offshore - Adelaide'!D538="Term",'Offshore - Adelaide'!E538*4,IF('Offshore - Adelaide'!D538="Unit",'Offshore - Adelaide'!E538*8,""))))))</f>
        <v>11884</v>
      </c>
      <c r="L111" s="0" t="n">
        <f aca="false">IF(AND(ISNUMBER('Offshore - Adelaide'!E538),ISNUMBER(K111),ISNUMBER('Offshore - Adelaide'!F538),ISNUMBER('Offshore - Adelaide'!G538),OR('Offshore - Adelaide'!F538&lt;&gt;0,ISNUMBER(SEARCH("Material 0 terverifikasi",'Offshore - Adelaide'!N538))),OR('Offshore - Adelaide'!G538&lt;&gt;0,ISNUMBER(SEARCH("Enrolment 0 terverifikasi",'Offshore - Adelaide'!N538)))),1,0)</f>
        <v>0</v>
      </c>
      <c r="M111" s="0" t="n">
        <f aca="false">IF(OR('Offshore - Adelaide'!E538="",ISNUMBER(SEARCH("BSB80120",'Offshore - Adelaide'!B538&amp;'Offshore - Adelaide'!N538)),ISNUMBER(SEARCH("Management (Learning)",'Offshore - Adelaide'!B538))),2,IF(ISNUMBER(SEARCH("CEK:",'Offshore - Adelaide'!N538)),1,0))</f>
        <v>0</v>
      </c>
    </row>
    <row r="112" customFormat="false" ht="15" hidden="false" customHeight="false" outlineLevel="0" collapsed="false">
      <c r="A112" s="61" t="s">
        <v>3760</v>
      </c>
      <c r="B112" s="62"/>
      <c r="C112" s="62"/>
      <c r="D112" s="62"/>
      <c r="E112" s="62"/>
      <c r="F112" s="62"/>
      <c r="G112" s="62"/>
      <c r="H112" s="62"/>
      <c r="I112" s="62"/>
    </row>
    <row r="113" customFormat="false" ht="15" hidden="false" customHeight="false" outlineLevel="0" collapsed="false">
      <c r="A113" s="63" t="s">
        <v>3659</v>
      </c>
      <c r="B113" s="64" t="s">
        <v>3758</v>
      </c>
      <c r="C113" s="63" t="s">
        <v>41</v>
      </c>
      <c r="D113" s="64" t="str">
        <f aca="false">TRIM(LEFT('Offshore - Adelaide'!A484,FIND(CHAR(10),'Offshore - Adelaide'!A484&amp;CHAR(10))-1))</f>
        <v>TAFE SA</v>
      </c>
      <c r="E113" s="63" t="str">
        <f aca="false">'Offshore - Adelaide'!C541&amp;""</f>
        <v>1,5 years</v>
      </c>
      <c r="F113" s="63" t="str">
        <f aca="false">IF('Offshore - Adelaide'!D541="","Belum tercatat",'Offshore - Adelaide'!D541)</f>
        <v>Term</v>
      </c>
      <c r="G113" s="65" t="n">
        <f aca="false">IF('Offshore - Adelaide'!E541="","-",'Offshore - Adelaide'!E541)</f>
        <v>5921.25</v>
      </c>
      <c r="H113" s="63" t="n">
        <f aca="false">IF(ISNUMBER(K113),COUNTIFS($J$6:$J$1854,J113,$K$6:$K$1854,"&lt;"&amp;K113)+1,"-")</f>
        <v>1</v>
      </c>
      <c r="I113" s="64" t="str">
        <f aca="false">IF('Offshore - Adelaide'!E541="","Harga belum tersedia - hubungi konsultan TEG",IF(M113=2,"Saat ini tidak menerima pendaftaran siswa internasional baru",IF(M113=1,"Harga perlu dikonfirmasi ke sekolah"&amp;IF(""="","","; "&amp;""),"")))</f>
        <v>Harga perlu dikonfirmasi ke sekolah</v>
      </c>
      <c r="J113" s="0" t="s">
        <v>3761</v>
      </c>
      <c r="K113" s="0" t="n">
        <f aca="false">IF(M113=2,"",IF(ISNUMBER(SEARCH("rata-rata:",'Offshore - Adelaide'!N541)),VALUE(MID('Offshore - Adelaide'!N541,SEARCH("rata-rata:",'Offshore - Adelaide'!N541)+11,FIND(";",'Offshore - Adelaide'!N541&amp;";",SEARCH("rata-rata:",'Offshore - Adelaide'!N541))-SEARCH("rata-rata:",'Offshore - Adelaide'!N541)-11)),IF('Offshore - Adelaide'!D541="Semester",'Offshore - Adelaide'!E541*2,IF('Offshore - Adelaide'!D541="Trimester",'Offshore - Adelaide'!E541*3,IF('Offshore - Adelaide'!D541="Term",'Offshore - Adelaide'!E541*4,IF('Offshore - Adelaide'!D541="Unit",'Offshore - Adelaide'!E541*8,""))))))</f>
        <v>23685</v>
      </c>
      <c r="L113" s="0" t="n">
        <f aca="false">IF(AND(ISNUMBER('Offshore - Adelaide'!E541),ISNUMBER(K113),ISNUMBER('Offshore - Adelaide'!F541),ISNUMBER('Offshore - Adelaide'!G541),OR('Offshore - Adelaide'!F541&lt;&gt;0,ISNUMBER(SEARCH("Material 0 terverifikasi",'Offshore - Adelaide'!N541))),OR('Offshore - Adelaide'!G541&lt;&gt;0,ISNUMBER(SEARCH("Enrolment 0 terverifikasi",'Offshore - Adelaide'!N541)))),1,0)</f>
        <v>0</v>
      </c>
      <c r="M113" s="0" t="n">
        <f aca="false">IF(OR('Offshore - Adelaide'!E541="",ISNUMBER(SEARCH("BSB80120",'Offshore - Adelaide'!B541&amp;'Offshore - Adelaide'!N541)),ISNUMBER(SEARCH("Management (Learning)",'Offshore - Adelaide'!B541))),2,IF(ISNUMBER(SEARCH("CEK:",'Offshore - Adelaide'!N541)),1,0))</f>
        <v>1</v>
      </c>
    </row>
    <row r="114" customFormat="false" ht="15" hidden="false" customHeight="false" outlineLevel="0" collapsed="false">
      <c r="A114" s="61" t="s">
        <v>3762</v>
      </c>
      <c r="B114" s="62"/>
      <c r="C114" s="62"/>
      <c r="D114" s="62"/>
      <c r="E114" s="62"/>
      <c r="F114" s="62"/>
      <c r="G114" s="62"/>
      <c r="H114" s="62"/>
      <c r="I114" s="62"/>
    </row>
    <row r="115" customFormat="false" ht="15" hidden="false" customHeight="false" outlineLevel="0" collapsed="false">
      <c r="A115" s="63" t="s">
        <v>3659</v>
      </c>
      <c r="B115" s="64" t="s">
        <v>3758</v>
      </c>
      <c r="C115" s="63" t="s">
        <v>43</v>
      </c>
      <c r="D115" s="64" t="str">
        <f aca="false">TRIM(LEFT('Offshore - Adelaide'!A13,FIND(CHAR(10),'Offshore - Adelaide'!A13&amp;CHAR(10))-1))</f>
        <v>Adelaide University</v>
      </c>
      <c r="E115" s="63" t="str">
        <f aca="false">'Offshore - Adelaide'!C22&amp;""</f>
        <v>3 years</v>
      </c>
      <c r="F115" s="63" t="str">
        <f aca="false">IF('Offshore - Adelaide'!D22="","Belum tercatat",'Offshore - Adelaide'!D22)</f>
        <v>Term</v>
      </c>
      <c r="G115" s="65" t="n">
        <f aca="false">IF('Offshore - Adelaide'!E22="","-",'Offshore - Adelaide'!E22)</f>
        <v>13850</v>
      </c>
      <c r="H115" s="63" t="n">
        <f aca="false">IF(ISNUMBER(K115),COUNTIFS($J$6:$J$1854,J115,$K$6:$K$1854,"&lt;"&amp;K115)+1,"-")</f>
        <v>1</v>
      </c>
      <c r="I115" s="64" t="str">
        <f aca="false">IF('Offshore - Adelaide'!E22="","Harga belum tersedia - hubungi konsultan TEG",IF(M115=2,"Saat ini tidak menerima pendaftaran siswa internasional baru",IF(M115=1,"Harga perlu dikonfirmasi ke sekolah"&amp;IF(""="","","; "&amp;""),"")))</f>
        <v/>
      </c>
      <c r="J115" s="0" t="s">
        <v>3763</v>
      </c>
      <c r="K115" s="0" t="n">
        <f aca="false">IF(M115=2,"",IF(ISNUMBER(SEARCH("rata-rata:",'Offshore - Adelaide'!N22)),VALUE(MID('Offshore - Adelaide'!N22,SEARCH("rata-rata:",'Offshore - Adelaide'!N22)+11,FIND(";",'Offshore - Adelaide'!N22&amp;";",SEARCH("rata-rata:",'Offshore - Adelaide'!N22))-SEARCH("rata-rata:",'Offshore - Adelaide'!N22)-11)),IF('Offshore - Adelaide'!D22="Semester",'Offshore - Adelaide'!E22*2,IF('Offshore - Adelaide'!D22="Trimester",'Offshore - Adelaide'!E22*3,IF('Offshore - Adelaide'!D22="Term",'Offshore - Adelaide'!E22*4,IF('Offshore - Adelaide'!D22="Unit",'Offshore - Adelaide'!E22*8,""))))))</f>
        <v>55400</v>
      </c>
      <c r="L115" s="0" t="n">
        <f aca="false">IF(AND(ISNUMBER('Offshore - Adelaide'!E22),ISNUMBER(K115),ISNUMBER('Offshore - Adelaide'!F22),ISNUMBER('Offshore - Adelaide'!G22),OR('Offshore - Adelaide'!F22&lt;&gt;0,ISNUMBER(SEARCH("Material 0 terverifikasi",'Offshore - Adelaide'!N22))),OR('Offshore - Adelaide'!G22&lt;&gt;0,ISNUMBER(SEARCH("Enrolment 0 terverifikasi",'Offshore - Adelaide'!N22)))),1,0)</f>
        <v>0</v>
      </c>
      <c r="M115" s="0" t="n">
        <f aca="false">IF(OR('Offshore - Adelaide'!E22="",ISNUMBER(SEARCH("BSB80120",'Offshore - Adelaide'!B22&amp;'Offshore - Adelaide'!N22)),ISNUMBER(SEARCH("Management (Learning)",'Offshore - Adelaide'!B22))),2,IF(ISNUMBER(SEARCH("CEK:",'Offshore - Adelaide'!N22)),1,0))</f>
        <v>0</v>
      </c>
    </row>
    <row r="116" customFormat="false" ht="15" hidden="false" customHeight="false" outlineLevel="0" collapsed="false">
      <c r="A116" s="61" t="s">
        <v>3764</v>
      </c>
      <c r="B116" s="62"/>
      <c r="C116" s="62"/>
      <c r="D116" s="62"/>
      <c r="E116" s="62"/>
      <c r="F116" s="62"/>
      <c r="G116" s="62"/>
      <c r="H116" s="62"/>
      <c r="I116" s="62"/>
    </row>
    <row r="117" customFormat="false" ht="15" hidden="false" customHeight="false" outlineLevel="0" collapsed="false">
      <c r="A117" s="63" t="s">
        <v>3659</v>
      </c>
      <c r="B117" s="64" t="s">
        <v>3758</v>
      </c>
      <c r="C117" s="63" t="s">
        <v>46</v>
      </c>
      <c r="D117" s="64" t="str">
        <f aca="false">TRIM(LEFT('Offshore - Adelaide'!A13,FIND(CHAR(10),'Offshore - Adelaide'!A13&amp;CHAR(10))-1))</f>
        <v>Adelaide University</v>
      </c>
      <c r="E117" s="63" t="str">
        <f aca="false">'Offshore - Adelaide'!C291&amp;""</f>
        <v>2 years</v>
      </c>
      <c r="F117" s="63" t="str">
        <f aca="false">IF('Offshore - Adelaide'!D291="","Belum tercatat",'Offshore - Adelaide'!D291)</f>
        <v>Term</v>
      </c>
      <c r="G117" s="65" t="n">
        <f aca="false">IF('Offshore - Adelaide'!E291="","-",'Offshore - Adelaide'!E291)</f>
        <v>13125</v>
      </c>
      <c r="H117" s="63" t="n">
        <f aca="false">IF(ISNUMBER(K117),COUNTIFS($J$6:$J$1854,J117,$K$6:$K$1854,"&lt;"&amp;K117)+1,"-")</f>
        <v>1</v>
      </c>
      <c r="I117" s="64" t="str">
        <f aca="false">IF('Offshore - Adelaide'!E291="","Harga belum tersedia - hubungi konsultan TEG",IF(M117=2,"Saat ini tidak menerima pendaftaran siswa internasional baru",IF(M117=1,"Harga perlu dikonfirmasi ke sekolah"&amp;IF(""="","","; "&amp;""),"")))</f>
        <v/>
      </c>
      <c r="J117" s="0" t="s">
        <v>3765</v>
      </c>
      <c r="K117" s="0" t="n">
        <f aca="false">IF(M117=2,"",IF(ISNUMBER(SEARCH("rata-rata:",'Offshore - Adelaide'!N291)),VALUE(MID('Offshore - Adelaide'!N291,SEARCH("rata-rata:",'Offshore - Adelaide'!N291)+11,FIND(";",'Offshore - Adelaide'!N291&amp;";",SEARCH("rata-rata:",'Offshore - Adelaide'!N291))-SEARCH("rata-rata:",'Offshore - Adelaide'!N291)-11)),IF('Offshore - Adelaide'!D291="Semester",'Offshore - Adelaide'!E291*2,IF('Offshore - Adelaide'!D291="Trimester",'Offshore - Adelaide'!E291*3,IF('Offshore - Adelaide'!D291="Term",'Offshore - Adelaide'!E291*4,IF('Offshore - Adelaide'!D291="Unit",'Offshore - Adelaide'!E291*8,""))))))</f>
        <v>52500</v>
      </c>
      <c r="L117" s="0" t="n">
        <f aca="false">IF(AND(ISNUMBER('Offshore - Adelaide'!E291),ISNUMBER(K117),ISNUMBER('Offshore - Adelaide'!F291),ISNUMBER('Offshore - Adelaide'!G291),OR('Offshore - Adelaide'!F291&lt;&gt;0,ISNUMBER(SEARCH("Material 0 terverifikasi",'Offshore - Adelaide'!N291))),OR('Offshore - Adelaide'!G291&lt;&gt;0,ISNUMBER(SEARCH("Enrolment 0 terverifikasi",'Offshore - Adelaide'!N291)))),1,0)</f>
        <v>0</v>
      </c>
      <c r="M117" s="0" t="n">
        <f aca="false">IF(OR('Offshore - Adelaide'!E291="",ISNUMBER(SEARCH("BSB80120",'Offshore - Adelaide'!B291&amp;'Offshore - Adelaide'!N291)),ISNUMBER(SEARCH("Management (Learning)",'Offshore - Adelaide'!B291))),2,IF(ISNUMBER(SEARCH("CEK:",'Offshore - Adelaide'!N291)),1,0))</f>
        <v>0</v>
      </c>
    </row>
    <row r="118" customFormat="false" ht="15" hidden="false" customHeight="false" outlineLevel="0" collapsed="false">
      <c r="A118" s="61" t="s">
        <v>3766</v>
      </c>
      <c r="B118" s="62"/>
      <c r="C118" s="62"/>
      <c r="D118" s="62"/>
      <c r="E118" s="62"/>
      <c r="F118" s="62"/>
      <c r="G118" s="62"/>
      <c r="H118" s="62"/>
      <c r="I118" s="62"/>
    </row>
    <row r="119" customFormat="false" ht="15" hidden="false" customHeight="false" outlineLevel="0" collapsed="false">
      <c r="A119" s="63" t="s">
        <v>3767</v>
      </c>
      <c r="B119" s="64" t="s">
        <v>3758</v>
      </c>
      <c r="C119" s="63" t="s">
        <v>41</v>
      </c>
      <c r="D119" s="64" t="str">
        <f aca="false">TRIM(LEFT('Offshore - Armidale'!A6,FIND(CHAR(10),'Offshore - Armidale'!A6&amp;CHAR(10))-1))</f>
        <v>Academies Australasia</v>
      </c>
      <c r="E119" s="63" t="str">
        <f aca="false">'Offshore - Armidale'!C6&amp;""</f>
        <v>1 years</v>
      </c>
      <c r="F119" s="63" t="str">
        <f aca="false">IF('Offshore - Armidale'!D6="","Belum tercatat",'Offshore - Armidale'!D6)</f>
        <v>Term</v>
      </c>
      <c r="G119" s="65" t="n">
        <f aca="false">IF('Offshore - Armidale'!E6="","-",'Offshore - Armidale'!E6)</f>
        <v>4000</v>
      </c>
      <c r="H119" s="63" t="n">
        <f aca="false">IF(ISNUMBER(K119),COUNTIFS($J$6:$J$1854,J119,$K$6:$K$1854,"&lt;"&amp;K119)+1,"-")</f>
        <v>1</v>
      </c>
      <c r="I119" s="64" t="str">
        <f aca="false">IF('Offshore - Armidale'!E6="","Harga belum tersedia - hubungi konsultan TEG",IF(M119=2,"Saat ini tidak menerima pendaftaran siswa internasional baru",IF(M119=1,"Program perlu dikonfirmasi ketersediaannya"&amp;IF(""="","","; "&amp;""),"")))</f>
        <v>Program perlu dikonfirmasi ketersediaannya</v>
      </c>
      <c r="J119" s="0" t="s">
        <v>3768</v>
      </c>
      <c r="K119" s="0" t="n">
        <f aca="false">IF(M119=2,"",IF(ISNUMBER(SEARCH("rata-rata:",'Offshore - Armidale'!N6)),VALUE(MID('Offshore - Armidale'!N6,SEARCH("rata-rata:",'Offshore - Armidale'!N6)+11,FIND(";",'Offshore - Armidale'!N6&amp;";",SEARCH("rata-rata:",'Offshore - Armidale'!N6))-SEARCH("rata-rata:",'Offshore - Armidale'!N6)-11)),IF('Offshore - Armidale'!D6="Semester",'Offshore - Armidale'!E6*2,IF('Offshore - Armidale'!D6="Trimester",'Offshore - Armidale'!E6*3,IF('Offshore - Armidale'!D6="Term",'Offshore - Armidale'!E6*4,IF('Offshore - Armidale'!D6="Unit",'Offshore - Armidale'!E6*8,""))))))</f>
        <v>16000</v>
      </c>
      <c r="L119" s="0" t="n">
        <f aca="false">IF(AND(ISNUMBER('Offshore - Armidale'!E6),ISNUMBER(K119),ISNUMBER('Offshore - Armidale'!F6),ISNUMBER('Offshore - Armidale'!G6),OR('Offshore - Armidale'!F6&lt;&gt;0,ISNUMBER(SEARCH("Material 0 terverifikasi",'Offshore - Armidale'!N6))),OR('Offshore - Armidale'!G6&lt;&gt;0,ISNUMBER(SEARCH("Enrolment 0 terverifikasi",'Offshore - Armidale'!N6)))),1,0)</f>
        <v>1</v>
      </c>
      <c r="M119" s="0" t="n">
        <f aca="false">IF(OR('Offshore - Armidale'!E6="",ISNUMBER(SEARCH("BSB80120",'Offshore - Armidale'!B6&amp;'Offshore - Armidale'!N6)),ISNUMBER(SEARCH("Management (Learning)",'Offshore - Armidale'!B6))),2,IF(ISNUMBER(SEARCH("CEK:",'Offshore - Armidale'!N6)),1,0))</f>
        <v>1</v>
      </c>
    </row>
    <row r="120" customFormat="false" ht="15" hidden="false" customHeight="false" outlineLevel="0" collapsed="false">
      <c r="A120" s="61" t="s">
        <v>3769</v>
      </c>
      <c r="B120" s="62"/>
      <c r="C120" s="62"/>
      <c r="D120" s="62"/>
      <c r="E120" s="62"/>
      <c r="F120" s="62"/>
      <c r="G120" s="62"/>
      <c r="H120" s="62"/>
      <c r="I120" s="62"/>
    </row>
    <row r="121" customFormat="false" ht="15" hidden="false" customHeight="false" outlineLevel="0" collapsed="false">
      <c r="A121" s="63" t="s">
        <v>3767</v>
      </c>
      <c r="B121" s="64" t="s">
        <v>3758</v>
      </c>
      <c r="C121" s="63" t="s">
        <v>42</v>
      </c>
      <c r="D121" s="64" t="str">
        <f aca="false">TRIM(LEFT('Offshore - Armidale'!A6,FIND(CHAR(10),'Offshore - Armidale'!A6&amp;CHAR(10))-1))</f>
        <v>Academies Australasia</v>
      </c>
      <c r="E121" s="63" t="str">
        <f aca="false">'Offshore - Armidale'!C7&amp;""</f>
        <v>1 years</v>
      </c>
      <c r="F121" s="63" t="str">
        <f aca="false">IF('Offshore - Armidale'!D7="","Belum tercatat",'Offshore - Armidale'!D7)</f>
        <v>Term</v>
      </c>
      <c r="G121" s="65" t="n">
        <f aca="false">IF('Offshore - Armidale'!E7="","-",'Offshore - Armidale'!E7)</f>
        <v>4000</v>
      </c>
      <c r="H121" s="63" t="n">
        <f aca="false">IF(ISNUMBER(K121),COUNTIFS($J$6:$J$1854,J121,$K$6:$K$1854,"&lt;"&amp;K121)+1,"-")</f>
        <v>1</v>
      </c>
      <c r="I121" s="64" t="str">
        <f aca="false">IF('Offshore - Armidale'!E7="","Harga belum tersedia - hubungi konsultan TEG",IF(M121=2,"Saat ini tidak menerima pendaftaran siswa internasional baru",IF(M121=1,"Program perlu dikonfirmasi ketersediaannya"&amp;IF(""="","","; "&amp;""),"")))</f>
        <v>Program perlu dikonfirmasi ketersediaannya</v>
      </c>
      <c r="J121" s="0" t="s">
        <v>3770</v>
      </c>
      <c r="K121" s="0" t="n">
        <f aca="false">IF(M121=2,"",IF(ISNUMBER(SEARCH("rata-rata:",'Offshore - Armidale'!N7)),VALUE(MID('Offshore - Armidale'!N7,SEARCH("rata-rata:",'Offshore - Armidale'!N7)+11,FIND(";",'Offshore - Armidale'!N7&amp;";",SEARCH("rata-rata:",'Offshore - Armidale'!N7))-SEARCH("rata-rata:",'Offshore - Armidale'!N7)-11)),IF('Offshore - Armidale'!D7="Semester",'Offshore - Armidale'!E7*2,IF('Offshore - Armidale'!D7="Trimester",'Offshore - Armidale'!E7*3,IF('Offshore - Armidale'!D7="Term",'Offshore - Armidale'!E7*4,IF('Offshore - Armidale'!D7="Unit",'Offshore - Armidale'!E7*8,""))))))</f>
        <v>16000</v>
      </c>
      <c r="L121" s="0" t="n">
        <f aca="false">IF(AND(ISNUMBER('Offshore - Armidale'!E7),ISNUMBER(K121),ISNUMBER('Offshore - Armidale'!F7),ISNUMBER('Offshore - Armidale'!G7),OR('Offshore - Armidale'!F7&lt;&gt;0,ISNUMBER(SEARCH("Material 0 terverifikasi",'Offshore - Armidale'!N7))),OR('Offshore - Armidale'!G7&lt;&gt;0,ISNUMBER(SEARCH("Enrolment 0 terverifikasi",'Offshore - Armidale'!N7)))),1,0)</f>
        <v>1</v>
      </c>
      <c r="M121" s="0" t="n">
        <f aca="false">IF(OR('Offshore - Armidale'!E7="",ISNUMBER(SEARCH("BSB80120",'Offshore - Armidale'!B7&amp;'Offshore - Armidale'!N7)),ISNUMBER(SEARCH("Management (Learning)",'Offshore - Armidale'!B7))),2,IF(ISNUMBER(SEARCH("CEK:",'Offshore - Armidale'!N7)),1,0))</f>
        <v>1</v>
      </c>
    </row>
    <row r="122" customFormat="false" ht="15" hidden="false" customHeight="false" outlineLevel="0" collapsed="false">
      <c r="A122" s="61" t="s">
        <v>3771</v>
      </c>
      <c r="B122" s="62"/>
      <c r="C122" s="62"/>
      <c r="D122" s="62"/>
      <c r="E122" s="62"/>
      <c r="F122" s="62"/>
      <c r="G122" s="62"/>
      <c r="H122" s="62"/>
      <c r="I122" s="62"/>
    </row>
    <row r="123" customFormat="false" ht="15" hidden="false" customHeight="false" outlineLevel="0" collapsed="false">
      <c r="A123" s="63" t="s">
        <v>3563</v>
      </c>
      <c r="B123" s="64" t="s">
        <v>3758</v>
      </c>
      <c r="C123" s="63" t="s">
        <v>43</v>
      </c>
      <c r="D123" s="64" t="str">
        <f aca="false">TRIM(LEFT('Offshore - Brisbane'!A46,FIND(CHAR(10),'Offshore - Brisbane'!A46&amp;CHAR(10))-1))</f>
        <v>Australian Agribusiness Institute</v>
      </c>
      <c r="E123" s="63" t="str">
        <f aca="false">'Offshore - Brisbane'!C46&amp;""</f>
        <v>3 years</v>
      </c>
      <c r="F123" s="63" t="str">
        <f aca="false">IF('Offshore - Brisbane'!D46="","Belum tercatat",'Offshore - Brisbane'!D46)</f>
        <v>Term</v>
      </c>
      <c r="G123" s="65" t="n">
        <f aca="false">IF('Offshore - Brisbane'!E46="","-",'Offshore - Brisbane'!E46)</f>
        <v>3000</v>
      </c>
      <c r="H123" s="63" t="n">
        <f aca="false">IF(ISNUMBER(K123),COUNTIFS($J$6:$J$1854,J123,$K$6:$K$1854,"&lt;"&amp;K123)+1,"-")</f>
        <v>1</v>
      </c>
      <c r="I123" s="64" t="str">
        <f aca="false">IF('Offshore - Brisbane'!E46="","Harga belum tersedia - hubungi konsultan TEG",IF(M123=2,"Saat ini tidak menerima pendaftaran siswa internasional baru",IF(M123=1,"Harga perlu dikonfirmasi ke sekolah"&amp;IF(""="","","; "&amp;""),"")))</f>
        <v>Harga perlu dikonfirmasi ke sekolah</v>
      </c>
      <c r="J123" s="0" t="s">
        <v>3772</v>
      </c>
      <c r="K123" s="0" t="n">
        <f aca="false">IF(M123=2,"",IF(ISNUMBER(SEARCH("rata-rata:",'Offshore - Brisbane'!N46)),VALUE(MID('Offshore - Brisbane'!N46,SEARCH("rata-rata:",'Offshore - Brisbane'!N46)+11,FIND(";",'Offshore - Brisbane'!N46&amp;";",SEARCH("rata-rata:",'Offshore - Brisbane'!N46))-SEARCH("rata-rata:",'Offshore - Brisbane'!N46)-11)),IF('Offshore - Brisbane'!D46="Semester",'Offshore - Brisbane'!E46*2,IF('Offshore - Brisbane'!D46="Trimester",'Offshore - Brisbane'!E46*3,IF('Offshore - Brisbane'!D46="Term",'Offshore - Brisbane'!E46*4,IF('Offshore - Brisbane'!D46="Unit",'Offshore - Brisbane'!E46*8,""))))))</f>
        <v>12000</v>
      </c>
      <c r="L123" s="0" t="n">
        <f aca="false">IF(AND(ISNUMBER('Offshore - Brisbane'!E46),ISNUMBER(K123),ISNUMBER('Offshore - Brisbane'!F46),ISNUMBER('Offshore - Brisbane'!G46),OR('Offshore - Brisbane'!F46&lt;&gt;0,ISNUMBER(SEARCH("Material 0 terverifikasi",'Offshore - Brisbane'!N46))),OR('Offshore - Brisbane'!G46&lt;&gt;0,ISNUMBER(SEARCH("Enrolment 0 terverifikasi",'Offshore - Brisbane'!N46)))),1,0)</f>
        <v>0</v>
      </c>
      <c r="M123" s="0" t="n">
        <f aca="false">IF(OR('Offshore - Brisbane'!E46="",ISNUMBER(SEARCH("BSB80120",'Offshore - Brisbane'!B46&amp;'Offshore - Brisbane'!N46)),ISNUMBER(SEARCH("Management (Learning)",'Offshore - Brisbane'!B46))),2,IF(ISNUMBER(SEARCH("CEK:",'Offshore - Brisbane'!N46)),1,0))</f>
        <v>1</v>
      </c>
    </row>
    <row r="124" customFormat="false" ht="15" hidden="false" customHeight="false" outlineLevel="0" collapsed="false">
      <c r="A124" s="61" t="s">
        <v>3773</v>
      </c>
      <c r="B124" s="62"/>
      <c r="C124" s="62"/>
      <c r="D124" s="62"/>
      <c r="E124" s="62"/>
      <c r="F124" s="62"/>
      <c r="G124" s="62"/>
      <c r="H124" s="62"/>
      <c r="I124" s="62"/>
    </row>
    <row r="125" customFormat="false" ht="15" hidden="false" customHeight="false" outlineLevel="0" collapsed="false">
      <c r="A125" s="63" t="s">
        <v>3563</v>
      </c>
      <c r="B125" s="64" t="s">
        <v>3758</v>
      </c>
      <c r="C125" s="63" t="s">
        <v>3707</v>
      </c>
      <c r="D125" s="64" t="str">
        <f aca="false">TRIM(LEFT('Offshore - Brisbane'!A46,FIND(CHAR(10),'Offshore - Brisbane'!A46&amp;CHAR(10))-1))</f>
        <v>Australian Agribusiness Institute</v>
      </c>
      <c r="E125" s="63" t="str">
        <f aca="false">'Offshore - Brisbane'!C47&amp;""</f>
        <v>1 year</v>
      </c>
      <c r="F125" s="63" t="str">
        <f aca="false">IF('Offshore - Brisbane'!D47="","Belum tercatat",'Offshore - Brisbane'!D47)</f>
        <v>Term</v>
      </c>
      <c r="G125" s="65" t="n">
        <f aca="false">IF('Offshore - Brisbane'!E47="","-",'Offshore - Brisbane'!E47)</f>
        <v>4000</v>
      </c>
      <c r="H125" s="63" t="n">
        <f aca="false">IF(ISNUMBER(K125),COUNTIFS($J$6:$J$1854,J125,$K$6:$K$1854,"&lt;"&amp;K125)+1,"-")</f>
        <v>1</v>
      </c>
      <c r="I125" s="64" t="str">
        <f aca="false">IF('Offshore - Brisbane'!E47="","Harga belum tersedia - hubungi konsultan TEG",IF(M125=2,"Saat ini tidak menerima pendaftaran siswa internasional baru",IF(M125=1,"Harga perlu dikonfirmasi ke sekolah"&amp;IF(""="","","; "&amp;""),"")))</f>
        <v>Harga perlu dikonfirmasi ke sekolah</v>
      </c>
      <c r="J125" s="0" t="s">
        <v>3774</v>
      </c>
      <c r="K125" s="0" t="n">
        <f aca="false">IF(M125=2,"",IF(ISNUMBER(SEARCH("rata-rata:",'Offshore - Brisbane'!N47)),VALUE(MID('Offshore - Brisbane'!N47,SEARCH("rata-rata:",'Offshore - Brisbane'!N47)+11,FIND(";",'Offshore - Brisbane'!N47&amp;";",SEARCH("rata-rata:",'Offshore - Brisbane'!N47))-SEARCH("rata-rata:",'Offshore - Brisbane'!N47)-11)),IF('Offshore - Brisbane'!D47="Semester",'Offshore - Brisbane'!E47*2,IF('Offshore - Brisbane'!D47="Trimester",'Offshore - Brisbane'!E47*3,IF('Offshore - Brisbane'!D47="Term",'Offshore - Brisbane'!E47*4,IF('Offshore - Brisbane'!D47="Unit",'Offshore - Brisbane'!E47*8,""))))))</f>
        <v>16000</v>
      </c>
      <c r="L125" s="0" t="n">
        <f aca="false">IF(AND(ISNUMBER('Offshore - Brisbane'!E47),ISNUMBER(K125),ISNUMBER('Offshore - Brisbane'!F47),ISNUMBER('Offshore - Brisbane'!G47),OR('Offshore - Brisbane'!F47&lt;&gt;0,ISNUMBER(SEARCH("Material 0 terverifikasi",'Offshore - Brisbane'!N47))),OR('Offshore - Brisbane'!G47&lt;&gt;0,ISNUMBER(SEARCH("Enrolment 0 terverifikasi",'Offshore - Brisbane'!N47)))),1,0)</f>
        <v>0</v>
      </c>
      <c r="M125" s="0" t="n">
        <f aca="false">IF(OR('Offshore - Brisbane'!E47="",ISNUMBER(SEARCH("BSB80120",'Offshore - Brisbane'!B47&amp;'Offshore - Brisbane'!N47)),ISNUMBER(SEARCH("Management (Learning)",'Offshore - Brisbane'!B47))),2,IF(ISNUMBER(SEARCH("CEK:",'Offshore - Brisbane'!N47)),1,0))</f>
        <v>1</v>
      </c>
    </row>
    <row r="126" customFormat="false" ht="15" hidden="false" customHeight="false" outlineLevel="0" collapsed="false">
      <c r="A126" s="61" t="s">
        <v>3775</v>
      </c>
      <c r="B126" s="62"/>
      <c r="C126" s="62"/>
      <c r="D126" s="62"/>
      <c r="E126" s="62"/>
      <c r="F126" s="62"/>
      <c r="G126" s="62"/>
      <c r="H126" s="62"/>
      <c r="I126" s="62"/>
    </row>
    <row r="127" customFormat="false" ht="15" hidden="false" customHeight="false" outlineLevel="0" collapsed="false">
      <c r="A127" s="63" t="s">
        <v>3563</v>
      </c>
      <c r="B127" s="64" t="s">
        <v>3758</v>
      </c>
      <c r="C127" s="63" t="s">
        <v>46</v>
      </c>
      <c r="D127" s="64" t="str">
        <f aca="false">TRIM(LEFT('Offshore - Brisbane'!A46,FIND(CHAR(10),'Offshore - Brisbane'!A46&amp;CHAR(10))-1))</f>
        <v>Australian Agribusiness Institute</v>
      </c>
      <c r="E127" s="63" t="str">
        <f aca="false">'Offshore - Brisbane'!C49&amp;""</f>
        <v>2 years</v>
      </c>
      <c r="F127" s="63" t="str">
        <f aca="false">IF('Offshore - Brisbane'!D49="","Belum tercatat",'Offshore - Brisbane'!D49)</f>
        <v>Term</v>
      </c>
      <c r="G127" s="65" t="n">
        <f aca="false">IF('Offshore - Brisbane'!E49="","-",'Offshore - Brisbane'!E49)</f>
        <v>4000</v>
      </c>
      <c r="H127" s="63" t="n">
        <f aca="false">IF(ISNUMBER(K127),COUNTIFS($J$6:$J$1854,J127,$K$6:$K$1854,"&lt;"&amp;K127)+1,"-")</f>
        <v>1</v>
      </c>
      <c r="I127" s="64" t="str">
        <f aca="false">IF('Offshore - Brisbane'!E49="","Harga belum tersedia - hubungi konsultan TEG",IF(M127=2,"Saat ini tidak menerima pendaftaran siswa internasional baru",IF(M127=1,"Harga perlu dikonfirmasi ke sekolah"&amp;IF(""="","","; "&amp;""),"")))</f>
        <v>Harga perlu dikonfirmasi ke sekolah</v>
      </c>
      <c r="J127" s="0" t="s">
        <v>3776</v>
      </c>
      <c r="K127" s="0" t="n">
        <f aca="false">IF(M127=2,"",IF(ISNUMBER(SEARCH("rata-rata:",'Offshore - Brisbane'!N49)),VALUE(MID('Offshore - Brisbane'!N49,SEARCH("rata-rata:",'Offshore - Brisbane'!N49)+11,FIND(";",'Offshore - Brisbane'!N49&amp;";",SEARCH("rata-rata:",'Offshore - Brisbane'!N49))-SEARCH("rata-rata:",'Offshore - Brisbane'!N49)-11)),IF('Offshore - Brisbane'!D49="Semester",'Offshore - Brisbane'!E49*2,IF('Offshore - Brisbane'!D49="Trimester",'Offshore - Brisbane'!E49*3,IF('Offshore - Brisbane'!D49="Term",'Offshore - Brisbane'!E49*4,IF('Offshore - Brisbane'!D49="Unit",'Offshore - Brisbane'!E49*8,""))))))</f>
        <v>16000</v>
      </c>
      <c r="L127" s="0" t="n">
        <f aca="false">IF(AND(ISNUMBER('Offshore - Brisbane'!E49),ISNUMBER(K127),ISNUMBER('Offshore - Brisbane'!F49),ISNUMBER('Offshore - Brisbane'!G49),OR('Offshore - Brisbane'!F49&lt;&gt;0,ISNUMBER(SEARCH("Material 0 terverifikasi",'Offshore - Brisbane'!N49))),OR('Offshore - Brisbane'!G49&lt;&gt;0,ISNUMBER(SEARCH("Enrolment 0 terverifikasi",'Offshore - Brisbane'!N49)))),1,0)</f>
        <v>0</v>
      </c>
      <c r="M127" s="0" t="n">
        <f aca="false">IF(OR('Offshore - Brisbane'!E49="",ISNUMBER(SEARCH("BSB80120",'Offshore - Brisbane'!B49&amp;'Offshore - Brisbane'!N49)),ISNUMBER(SEARCH("Management (Learning)",'Offshore - Brisbane'!B49))),2,IF(ISNUMBER(SEARCH("CEK:",'Offshore - Brisbane'!N49)),1,0))</f>
        <v>1</v>
      </c>
    </row>
    <row r="128" customFormat="false" ht="15" hidden="false" customHeight="false" outlineLevel="0" collapsed="false">
      <c r="A128" s="61" t="s">
        <v>3777</v>
      </c>
      <c r="B128" s="62"/>
      <c r="C128" s="62"/>
      <c r="D128" s="62"/>
      <c r="E128" s="62"/>
      <c r="F128" s="62"/>
      <c r="G128" s="62"/>
      <c r="H128" s="62"/>
      <c r="I128" s="62"/>
    </row>
    <row r="129" customFormat="false" ht="15" hidden="false" customHeight="false" outlineLevel="0" collapsed="false">
      <c r="A129" s="63" t="s">
        <v>3533</v>
      </c>
      <c r="B129" s="64" t="s">
        <v>3758</v>
      </c>
      <c r="C129" s="63" t="s">
        <v>39</v>
      </c>
      <c r="D129" s="64" t="str">
        <f aca="false">TRIM(LEFT('Offshore - Sydney'!A721,FIND(CHAR(10),'Offshore - Sydney'!A721&amp;CHAR(10))-1))</f>
        <v>TAFE NSW</v>
      </c>
      <c r="E129" s="63" t="str">
        <f aca="false">'Offshore - Sydney'!C788&amp;""</f>
        <v>1 year</v>
      </c>
      <c r="F129" s="63" t="str">
        <f aca="false">IF('Offshore - Sydney'!D788="","Belum tercatat",'Offshore - Sydney'!D788)</f>
        <v>Term</v>
      </c>
      <c r="G129" s="65" t="n">
        <f aca="false">IF('Offshore - Sydney'!E788="","-",'Offshore - Sydney'!E788)</f>
        <v>4163</v>
      </c>
      <c r="H129" s="63" t="n">
        <f aca="false">IF(ISNUMBER(K129),COUNTIFS($J$6:$J$1854,J129,$K$6:$K$1854,"&lt;"&amp;K129)+1,"-")</f>
        <v>1</v>
      </c>
      <c r="I129" s="64" t="str">
        <f aca="false">IF('Offshore - Sydney'!E788="","Harga belum tersedia - hubungi konsultan TEG",IF(M129=2,"Saat ini tidak menerima pendaftaran siswa internasional baru",IF(M129=1,"Harga perlu dikonfirmasi ke sekolah"&amp;IF(""="","","; "&amp;""),"")))</f>
        <v/>
      </c>
      <c r="J129" s="0" t="s">
        <v>3778</v>
      </c>
      <c r="K129" s="0" t="n">
        <f aca="false">IF(M129=2,"",IF(ISNUMBER(SEARCH("rata-rata:",'Offshore - Sydney'!N788)),VALUE(MID('Offshore - Sydney'!N788,SEARCH("rata-rata:",'Offshore - Sydney'!N788)+11,FIND(";",'Offshore - Sydney'!N788&amp;";",SEARCH("rata-rata:",'Offshore - Sydney'!N788))-SEARCH("rata-rata:",'Offshore - Sydney'!N788)-11)),IF('Offshore - Sydney'!D788="Semester",'Offshore - Sydney'!E788*2,IF('Offshore - Sydney'!D788="Trimester",'Offshore - Sydney'!E788*3,IF('Offshore - Sydney'!D788="Term",'Offshore - Sydney'!E788*4,IF('Offshore - Sydney'!D788="Unit",'Offshore - Sydney'!E788*8,""))))))</f>
        <v>16652</v>
      </c>
      <c r="L129" s="0" t="n">
        <f aca="false">IF(AND(ISNUMBER('Offshore - Sydney'!E788),ISNUMBER(K129),ISNUMBER('Offshore - Sydney'!F788),ISNUMBER('Offshore - Sydney'!G788),OR('Offshore - Sydney'!F788&lt;&gt;0,ISNUMBER(SEARCH("Material 0 terverifikasi",'Offshore - Sydney'!N788))),OR('Offshore - Sydney'!G788&lt;&gt;0,ISNUMBER(SEARCH("Enrolment 0 terverifikasi",'Offshore - Sydney'!N788)))),1,0)</f>
        <v>0</v>
      </c>
      <c r="M129" s="0" t="n">
        <f aca="false">IF(OR('Offshore - Sydney'!E788="",ISNUMBER(SEARCH("BSB80120",'Offshore - Sydney'!B788&amp;'Offshore - Sydney'!N788)),ISNUMBER(SEARCH("Management (Learning)",'Offshore - Sydney'!B788))),2,IF(ISNUMBER(SEARCH("CEK:",'Offshore - Sydney'!N788)),1,0))</f>
        <v>0</v>
      </c>
    </row>
    <row r="130" customFormat="false" ht="15" hidden="false" customHeight="false" outlineLevel="0" collapsed="false">
      <c r="A130" s="61" t="s">
        <v>3779</v>
      </c>
      <c r="B130" s="62"/>
      <c r="C130" s="62"/>
      <c r="D130" s="62"/>
      <c r="E130" s="62"/>
      <c r="F130" s="62"/>
      <c r="G130" s="62"/>
      <c r="H130" s="62"/>
      <c r="I130" s="62"/>
    </row>
    <row r="131" customFormat="false" ht="15" hidden="false" customHeight="false" outlineLevel="0" collapsed="false">
      <c r="A131" s="63" t="s">
        <v>3533</v>
      </c>
      <c r="B131" s="64" t="s">
        <v>3758</v>
      </c>
      <c r="C131" s="63" t="s">
        <v>41</v>
      </c>
      <c r="D131" s="64" t="str">
        <f aca="false">TRIM(LEFT('Offshore - Sydney'!A721,FIND(CHAR(10),'Offshore - Sydney'!A721&amp;CHAR(10))-1))</f>
        <v>TAFE NSW</v>
      </c>
      <c r="E131" s="63" t="str">
        <f aca="false">'Offshore - Sydney'!C759&amp;""</f>
        <v>2.5 years</v>
      </c>
      <c r="F131" s="63" t="str">
        <f aca="false">IF('Offshore - Sydney'!D759="","Belum tercatat",'Offshore - Sydney'!D759)</f>
        <v>Term</v>
      </c>
      <c r="G131" s="65" t="n">
        <f aca="false">IF('Offshore - Sydney'!E759="","-",'Offshore - Sydney'!E759)</f>
        <v>3738</v>
      </c>
      <c r="H131" s="63" t="n">
        <f aca="false">IF(ISNUMBER(K131),COUNTIFS($J$6:$J$1854,J131,$K$6:$K$1854,"&lt;"&amp;K131)+1,"-")</f>
        <v>1</v>
      </c>
      <c r="I131" s="64" t="str">
        <f aca="false">IF('Offshore - Sydney'!E759="","Harga belum tersedia - hubungi konsultan TEG",IF(M131=2,"Saat ini tidak menerima pendaftaran siswa internasional baru",IF(M131=1,"Harga perlu dikonfirmasi ke sekolah"&amp;IF(""="","","; "&amp;""),"")))</f>
        <v/>
      </c>
      <c r="J131" s="0" t="s">
        <v>3780</v>
      </c>
      <c r="K131" s="0" t="n">
        <f aca="false">IF(M131=2,"",IF(ISNUMBER(SEARCH("rata-rata:",'Offshore - Sydney'!N759)),VALUE(MID('Offshore - Sydney'!N759,SEARCH("rata-rata:",'Offshore - Sydney'!N759)+11,FIND(";",'Offshore - Sydney'!N759&amp;";",SEARCH("rata-rata:",'Offshore - Sydney'!N759))-SEARCH("rata-rata:",'Offshore - Sydney'!N759)-11)),IF('Offshore - Sydney'!D759="Semester",'Offshore - Sydney'!E759*2,IF('Offshore - Sydney'!D759="Trimester",'Offshore - Sydney'!E759*3,IF('Offshore - Sydney'!D759="Term",'Offshore - Sydney'!E759*4,IF('Offshore - Sydney'!D759="Unit",'Offshore - Sydney'!E759*8,""))))))</f>
        <v>14952</v>
      </c>
      <c r="L131" s="0" t="n">
        <f aca="false">IF(AND(ISNUMBER('Offshore - Sydney'!E759),ISNUMBER(K131),ISNUMBER('Offshore - Sydney'!F759),ISNUMBER('Offshore - Sydney'!G759),OR('Offshore - Sydney'!F759&lt;&gt;0,ISNUMBER(SEARCH("Material 0 terverifikasi",'Offshore - Sydney'!N759))),OR('Offshore - Sydney'!G759&lt;&gt;0,ISNUMBER(SEARCH("Enrolment 0 terverifikasi",'Offshore - Sydney'!N759)))),1,0)</f>
        <v>0</v>
      </c>
      <c r="M131" s="0" t="n">
        <f aca="false">IF(OR('Offshore - Sydney'!E759="",ISNUMBER(SEARCH("BSB80120",'Offshore - Sydney'!B759&amp;'Offshore - Sydney'!N759)),ISNUMBER(SEARCH("Management (Learning)",'Offshore - Sydney'!B759))),2,IF(ISNUMBER(SEARCH("CEK:",'Offshore - Sydney'!N759)),1,0))</f>
        <v>0</v>
      </c>
    </row>
    <row r="132" customFormat="false" ht="15" hidden="false" customHeight="false" outlineLevel="0" collapsed="false">
      <c r="A132" s="61" t="s">
        <v>3781</v>
      </c>
      <c r="B132" s="62"/>
      <c r="C132" s="62"/>
      <c r="D132" s="62"/>
      <c r="E132" s="62"/>
      <c r="F132" s="62"/>
      <c r="G132" s="62"/>
      <c r="H132" s="62"/>
      <c r="I132" s="62"/>
    </row>
    <row r="133" customFormat="false" ht="15" hidden="false" customHeight="false" outlineLevel="0" collapsed="false">
      <c r="A133" s="63" t="s">
        <v>3533</v>
      </c>
      <c r="B133" s="64" t="s">
        <v>3758</v>
      </c>
      <c r="C133" s="63" t="s">
        <v>43</v>
      </c>
      <c r="D133" s="64" t="str">
        <f aca="false">TRIM(LEFT('Offshore - Sydney'!A149,FIND(CHAR(10),'Offshore - Sydney'!A149&amp;CHAR(10))-1))</f>
        <v>Australian Agribusiness Institute</v>
      </c>
      <c r="E133" s="63" t="str">
        <f aca="false">'Offshore - Sydney'!C149&amp;""</f>
        <v>3 years</v>
      </c>
      <c r="F133" s="63" t="str">
        <f aca="false">IF('Offshore - Sydney'!D149="","Belum tercatat",'Offshore - Sydney'!D149)</f>
        <v>Term</v>
      </c>
      <c r="G133" s="65" t="n">
        <f aca="false">IF('Offshore - Sydney'!E149="","-",'Offshore - Sydney'!E149)</f>
        <v>3000</v>
      </c>
      <c r="H133" s="63" t="n">
        <f aca="false">IF(ISNUMBER(K133),COUNTIFS($J$6:$J$1854,J133,$K$6:$K$1854,"&lt;"&amp;K133)+1,"-")</f>
        <v>1</v>
      </c>
      <c r="I133" s="64" t="str">
        <f aca="false">IF('Offshore - Sydney'!E149="","Harga belum tersedia - hubungi konsultan TEG",IF(M133=2,"Saat ini tidak menerima pendaftaran siswa internasional baru",IF(M133=1,"Harga perlu dikonfirmasi ke sekolah"&amp;IF(""="","","; "&amp;""),"")))</f>
        <v>Harga perlu dikonfirmasi ke sekolah</v>
      </c>
      <c r="J133" s="0" t="s">
        <v>3782</v>
      </c>
      <c r="K133" s="0" t="n">
        <f aca="false">IF(M133=2,"",IF(ISNUMBER(SEARCH("rata-rata:",'Offshore - Sydney'!N149)),VALUE(MID('Offshore - Sydney'!N149,SEARCH("rata-rata:",'Offshore - Sydney'!N149)+11,FIND(";",'Offshore - Sydney'!N149&amp;";",SEARCH("rata-rata:",'Offshore - Sydney'!N149))-SEARCH("rata-rata:",'Offshore - Sydney'!N149)-11)),IF('Offshore - Sydney'!D149="Semester",'Offshore - Sydney'!E149*2,IF('Offshore - Sydney'!D149="Trimester",'Offshore - Sydney'!E149*3,IF('Offshore - Sydney'!D149="Term",'Offshore - Sydney'!E149*4,IF('Offshore - Sydney'!D149="Unit",'Offshore - Sydney'!E149*8,""))))))</f>
        <v>12000</v>
      </c>
      <c r="L133" s="0" t="n">
        <f aca="false">IF(AND(ISNUMBER('Offshore - Sydney'!E149),ISNUMBER(K133),ISNUMBER('Offshore - Sydney'!F149),ISNUMBER('Offshore - Sydney'!G149),OR('Offshore - Sydney'!F149&lt;&gt;0,ISNUMBER(SEARCH("Material 0 terverifikasi",'Offshore - Sydney'!N149))),OR('Offshore - Sydney'!G149&lt;&gt;0,ISNUMBER(SEARCH("Enrolment 0 terverifikasi",'Offshore - Sydney'!N149)))),1,0)</f>
        <v>0</v>
      </c>
      <c r="M133" s="0" t="n">
        <f aca="false">IF(OR('Offshore - Sydney'!E149="",ISNUMBER(SEARCH("BSB80120",'Offshore - Sydney'!B149&amp;'Offshore - Sydney'!N149)),ISNUMBER(SEARCH("Management (Learning)",'Offshore - Sydney'!B149))),2,IF(ISNUMBER(SEARCH("CEK:",'Offshore - Sydney'!N149)),1,0))</f>
        <v>1</v>
      </c>
    </row>
    <row r="134" customFormat="false" ht="15" hidden="false" customHeight="false" outlineLevel="0" collapsed="false">
      <c r="A134" s="61" t="s">
        <v>3783</v>
      </c>
      <c r="B134" s="62"/>
      <c r="C134" s="62"/>
      <c r="D134" s="62"/>
      <c r="E134" s="62"/>
      <c r="F134" s="62"/>
      <c r="G134" s="62"/>
      <c r="H134" s="62"/>
      <c r="I134" s="62"/>
    </row>
    <row r="135" customFormat="false" ht="15" hidden="false" customHeight="false" outlineLevel="0" collapsed="false">
      <c r="A135" s="63" t="s">
        <v>3533</v>
      </c>
      <c r="B135" s="64" t="s">
        <v>3758</v>
      </c>
      <c r="C135" s="63" t="s">
        <v>3707</v>
      </c>
      <c r="D135" s="64" t="str">
        <f aca="false">TRIM(LEFT('Offshore - Sydney'!A149,FIND(CHAR(10),'Offshore - Sydney'!A149&amp;CHAR(10))-1))</f>
        <v>Australian Agribusiness Institute</v>
      </c>
      <c r="E135" s="63" t="str">
        <f aca="false">'Offshore - Sydney'!C150&amp;""</f>
        <v>1 year</v>
      </c>
      <c r="F135" s="63" t="str">
        <f aca="false">IF('Offshore - Sydney'!D150="","Belum tercatat",'Offshore - Sydney'!D150)</f>
        <v>Term</v>
      </c>
      <c r="G135" s="65" t="n">
        <f aca="false">IF('Offshore - Sydney'!E150="","-",'Offshore - Sydney'!E150)</f>
        <v>3500</v>
      </c>
      <c r="H135" s="63" t="n">
        <f aca="false">IF(ISNUMBER(K135),COUNTIFS($J$6:$J$1854,J135,$K$6:$K$1854,"&lt;"&amp;K135)+1,"-")</f>
        <v>1</v>
      </c>
      <c r="I135" s="64" t="str">
        <f aca="false">IF('Offshore - Sydney'!E150="","Harga belum tersedia - hubungi konsultan TEG",IF(M135=2,"Saat ini tidak menerima pendaftaran siswa internasional baru",IF(M135=1,"Harga perlu dikonfirmasi ke sekolah"&amp;IF(""="","","; "&amp;""),"")))</f>
        <v>Harga perlu dikonfirmasi ke sekolah</v>
      </c>
      <c r="J135" s="0" t="s">
        <v>3784</v>
      </c>
      <c r="K135" s="0" t="n">
        <f aca="false">IF(M135=2,"",IF(ISNUMBER(SEARCH("rata-rata:",'Offshore - Sydney'!N150)),VALUE(MID('Offshore - Sydney'!N150,SEARCH("rata-rata:",'Offshore - Sydney'!N150)+11,FIND(";",'Offshore - Sydney'!N150&amp;";",SEARCH("rata-rata:",'Offshore - Sydney'!N150))-SEARCH("rata-rata:",'Offshore - Sydney'!N150)-11)),IF('Offshore - Sydney'!D150="Semester",'Offshore - Sydney'!E150*2,IF('Offshore - Sydney'!D150="Trimester",'Offshore - Sydney'!E150*3,IF('Offshore - Sydney'!D150="Term",'Offshore - Sydney'!E150*4,IF('Offshore - Sydney'!D150="Unit",'Offshore - Sydney'!E150*8,""))))))</f>
        <v>14000</v>
      </c>
      <c r="L135" s="0" t="n">
        <f aca="false">IF(AND(ISNUMBER('Offshore - Sydney'!E150),ISNUMBER(K135),ISNUMBER('Offshore - Sydney'!F150),ISNUMBER('Offshore - Sydney'!G150),OR('Offshore - Sydney'!F150&lt;&gt;0,ISNUMBER(SEARCH("Material 0 terverifikasi",'Offshore - Sydney'!N150))),OR('Offshore - Sydney'!G150&lt;&gt;0,ISNUMBER(SEARCH("Enrolment 0 terverifikasi",'Offshore - Sydney'!N150)))),1,0)</f>
        <v>0</v>
      </c>
      <c r="M135" s="0" t="n">
        <f aca="false">IF(OR('Offshore - Sydney'!E150="",ISNUMBER(SEARCH("BSB80120",'Offshore - Sydney'!B150&amp;'Offshore - Sydney'!N150)),ISNUMBER(SEARCH("Management (Learning)",'Offshore - Sydney'!B150))),2,IF(ISNUMBER(SEARCH("CEK:",'Offshore - Sydney'!N150)),1,0))</f>
        <v>1</v>
      </c>
    </row>
    <row r="136" customFormat="false" ht="15" hidden="false" customHeight="false" outlineLevel="0" collapsed="false">
      <c r="A136" s="61" t="s">
        <v>3785</v>
      </c>
      <c r="B136" s="62"/>
      <c r="C136" s="62"/>
      <c r="D136" s="62"/>
      <c r="E136" s="62"/>
      <c r="F136" s="62"/>
      <c r="G136" s="62"/>
      <c r="H136" s="62"/>
      <c r="I136" s="62"/>
    </row>
    <row r="137" customFormat="false" ht="15" hidden="false" customHeight="false" outlineLevel="0" collapsed="false">
      <c r="A137" s="63" t="s">
        <v>3533</v>
      </c>
      <c r="B137" s="64" t="s">
        <v>3758</v>
      </c>
      <c r="C137" s="63" t="s">
        <v>46</v>
      </c>
      <c r="D137" s="64" t="str">
        <f aca="false">TRIM(LEFT('Offshore - Sydney'!A149,FIND(CHAR(10),'Offshore - Sydney'!A149&amp;CHAR(10))-1))</f>
        <v>Australian Agribusiness Institute</v>
      </c>
      <c r="E137" s="63" t="str">
        <f aca="false">'Offshore - Sydney'!C152&amp;""</f>
        <v>2 years</v>
      </c>
      <c r="F137" s="63" t="str">
        <f aca="false">IF('Offshore - Sydney'!D152="","Belum tercatat",'Offshore - Sydney'!D152)</f>
        <v>Term</v>
      </c>
      <c r="G137" s="65" t="n">
        <f aca="false">IF('Offshore - Sydney'!E152="","-",'Offshore - Sydney'!E152)</f>
        <v>3500</v>
      </c>
      <c r="H137" s="63" t="n">
        <f aca="false">IF(ISNUMBER(K137),COUNTIFS($J$6:$J$1854,J137,$K$6:$K$1854,"&lt;"&amp;K137)+1,"-")</f>
        <v>1</v>
      </c>
      <c r="I137" s="64" t="str">
        <f aca="false">IF('Offshore - Sydney'!E152="","Harga belum tersedia - hubungi konsultan TEG",IF(M137=2,"Saat ini tidak menerima pendaftaran siswa internasional baru",IF(M137=1,"Harga perlu dikonfirmasi ke sekolah"&amp;IF(""="","","; "&amp;""),"")))</f>
        <v>Harga perlu dikonfirmasi ke sekolah</v>
      </c>
      <c r="J137" s="0" t="s">
        <v>3786</v>
      </c>
      <c r="K137" s="0" t="n">
        <f aca="false">IF(M137=2,"",IF(ISNUMBER(SEARCH("rata-rata:",'Offshore - Sydney'!N152)),VALUE(MID('Offshore - Sydney'!N152,SEARCH("rata-rata:",'Offshore - Sydney'!N152)+11,FIND(";",'Offshore - Sydney'!N152&amp;";",SEARCH("rata-rata:",'Offshore - Sydney'!N152))-SEARCH("rata-rata:",'Offshore - Sydney'!N152)-11)),IF('Offshore - Sydney'!D152="Semester",'Offshore - Sydney'!E152*2,IF('Offshore - Sydney'!D152="Trimester",'Offshore - Sydney'!E152*3,IF('Offshore - Sydney'!D152="Term",'Offshore - Sydney'!E152*4,IF('Offshore - Sydney'!D152="Unit",'Offshore - Sydney'!E152*8,""))))))</f>
        <v>14000</v>
      </c>
      <c r="L137" s="0" t="n">
        <f aca="false">IF(AND(ISNUMBER('Offshore - Sydney'!E152),ISNUMBER(K137),ISNUMBER('Offshore - Sydney'!F152),ISNUMBER('Offshore - Sydney'!G152),OR('Offshore - Sydney'!F152&lt;&gt;0,ISNUMBER(SEARCH("Material 0 terverifikasi",'Offshore - Sydney'!N152))),OR('Offshore - Sydney'!G152&lt;&gt;0,ISNUMBER(SEARCH("Enrolment 0 terverifikasi",'Offshore - Sydney'!N152)))),1,0)</f>
        <v>0</v>
      </c>
      <c r="M137" s="0" t="n">
        <f aca="false">IF(OR('Offshore - Sydney'!E152="",ISNUMBER(SEARCH("BSB80120",'Offshore - Sydney'!B152&amp;'Offshore - Sydney'!N152)),ISNUMBER(SEARCH("Management (Learning)",'Offshore - Sydney'!B152))),2,IF(ISNUMBER(SEARCH("CEK:",'Offshore - Sydney'!N152)),1,0))</f>
        <v>1</v>
      </c>
    </row>
    <row r="138" customFormat="false" ht="15" hidden="false" customHeight="false" outlineLevel="0" collapsed="false">
      <c r="A138" s="61" t="s">
        <v>3787</v>
      </c>
      <c r="B138" s="62"/>
      <c r="C138" s="62"/>
      <c r="D138" s="62"/>
      <c r="E138" s="62"/>
      <c r="F138" s="62"/>
      <c r="G138" s="62"/>
      <c r="H138" s="62"/>
      <c r="I138" s="62"/>
    </row>
    <row r="139" customFormat="false" ht="15" hidden="false" customHeight="false" outlineLevel="0" collapsed="false">
      <c r="A139" s="63" t="s">
        <v>3753</v>
      </c>
      <c r="B139" s="64" t="s">
        <v>3758</v>
      </c>
      <c r="C139" s="63" t="s">
        <v>43</v>
      </c>
      <c r="D139" s="64" t="str">
        <f aca="false">TRIM(LEFT('Offshore - Tasmania Hobart'!A21,FIND(CHAR(10),'Offshore - Tasmania Hobart'!A21&amp;CHAR(10))-1))</f>
        <v>University of Tasmania (UTAS)</v>
      </c>
      <c r="E139" s="63" t="str">
        <f aca="false">'Offshore - Tasmania Hobart'!C42&amp;""</f>
        <v>3 years</v>
      </c>
      <c r="F139" s="63" t="str">
        <f aca="false">IF('Offshore - Tasmania Hobart'!D42="","Belum tercatat",'Offshore - Tasmania Hobart'!D42)</f>
        <v>Term</v>
      </c>
      <c r="G139" s="65" t="n">
        <f aca="false">IF('Offshore - Tasmania Hobart'!E42="","-",'Offshore - Tasmania Hobart'!E42)</f>
        <v>11237.5</v>
      </c>
      <c r="H139" s="63" t="n">
        <f aca="false">IF(ISNUMBER(K139),COUNTIFS($J$6:$J$1854,J139,$K$6:$K$1854,"&lt;"&amp;K139)+1,"-")</f>
        <v>1</v>
      </c>
      <c r="I139" s="64" t="str">
        <f aca="false">IF('Offshore - Tasmania Hobart'!E42="","Harga belum tersedia - hubungi konsultan TEG",IF(M139=2,"Saat ini tidak menerima pendaftaran siswa internasional baru",IF(M139=1,"Harga perlu dikonfirmasi ke sekolah"&amp;IF(""="","","; "&amp;""),"")))</f>
        <v/>
      </c>
      <c r="J139" s="0" t="s">
        <v>3788</v>
      </c>
      <c r="K139" s="0" t="n">
        <f aca="false">IF(M139=2,"",IF(ISNUMBER(SEARCH("rata-rata:",'Offshore - Tasmania Hobart'!N42)),VALUE(MID('Offshore - Tasmania Hobart'!N42,SEARCH("rata-rata:",'Offshore - Tasmania Hobart'!N42)+11,FIND(";",'Offshore - Tasmania Hobart'!N42&amp;";",SEARCH("rata-rata:",'Offshore - Tasmania Hobart'!N42))-SEARCH("rata-rata:",'Offshore - Tasmania Hobart'!N42)-11)),IF('Offshore - Tasmania Hobart'!D42="Semester",'Offshore - Tasmania Hobart'!E42*2,IF('Offshore - Tasmania Hobart'!D42="Trimester",'Offshore - Tasmania Hobart'!E42*3,IF('Offshore - Tasmania Hobart'!D42="Term",'Offshore - Tasmania Hobart'!E42*4,IF('Offshore - Tasmania Hobart'!D42="Unit",'Offshore - Tasmania Hobart'!E42*8,""))))))</f>
        <v>44950</v>
      </c>
      <c r="L139" s="0" t="n">
        <f aca="false">IF(AND(ISNUMBER('Offshore - Tasmania Hobart'!E42),ISNUMBER(K139),ISNUMBER('Offshore - Tasmania Hobart'!F42),ISNUMBER('Offshore - Tasmania Hobart'!G42),OR('Offshore - Tasmania Hobart'!F42&lt;&gt;0,ISNUMBER(SEARCH("Material 0 terverifikasi",'Offshore - Tasmania Hobart'!N42))),OR('Offshore - Tasmania Hobart'!G42&lt;&gt;0,ISNUMBER(SEARCH("Enrolment 0 terverifikasi",'Offshore - Tasmania Hobart'!N42)))),1,0)</f>
        <v>0</v>
      </c>
      <c r="M139" s="0" t="n">
        <f aca="false">IF(OR('Offshore - Tasmania Hobart'!E42="",ISNUMBER(SEARCH("BSB80120",'Offshore - Tasmania Hobart'!B42&amp;'Offshore - Tasmania Hobart'!N42)),ISNUMBER(SEARCH("Management (Learning)",'Offshore - Tasmania Hobart'!B42))),2,IF(ISNUMBER(SEARCH("CEK:",'Offshore - Tasmania Hobart'!N42)),1,0))</f>
        <v>0</v>
      </c>
    </row>
    <row r="140" customFormat="false" ht="15" hidden="false" customHeight="false" outlineLevel="0" collapsed="false">
      <c r="A140" s="61" t="s">
        <v>3789</v>
      </c>
      <c r="B140" s="62"/>
      <c r="C140" s="62"/>
      <c r="D140" s="62"/>
      <c r="E140" s="62"/>
      <c r="F140" s="62"/>
      <c r="G140" s="62"/>
      <c r="H140" s="62"/>
      <c r="I140" s="62"/>
    </row>
    <row r="141" customFormat="false" ht="15" hidden="false" customHeight="false" outlineLevel="0" collapsed="false">
      <c r="A141" s="63" t="s">
        <v>3753</v>
      </c>
      <c r="B141" s="64" t="s">
        <v>3758</v>
      </c>
      <c r="C141" s="63" t="s">
        <v>46</v>
      </c>
      <c r="D141" s="64" t="str">
        <f aca="false">TRIM(LEFT('Offshore - Tasmania Hobart'!A21,FIND(CHAR(10),'Offshore - Tasmania Hobart'!A21&amp;CHAR(10))-1))</f>
        <v>University of Tasmania (UTAS)</v>
      </c>
      <c r="E141" s="63" t="str">
        <f aca="false">'Offshore - Tasmania Hobart'!C58&amp;""</f>
        <v>2 years</v>
      </c>
      <c r="F141" s="63" t="str">
        <f aca="false">IF('Offshore - Tasmania Hobart'!D58="","Belum tercatat",'Offshore - Tasmania Hobart'!D58)</f>
        <v>Term</v>
      </c>
      <c r="G141" s="65" t="n">
        <f aca="false">IF('Offshore - Tasmania Hobart'!E58="","-",'Offshore - Tasmania Hobart'!E58)</f>
        <v>9562.5</v>
      </c>
      <c r="H141" s="63" t="n">
        <f aca="false">IF(ISNUMBER(K141),COUNTIFS($J$6:$J$1854,J141,$K$6:$K$1854,"&lt;"&amp;K141)+1,"-")</f>
        <v>1</v>
      </c>
      <c r="I141" s="64" t="str">
        <f aca="false">IF('Offshore - Tasmania Hobart'!E58="","Harga belum tersedia - hubungi konsultan TEG",IF(M141=2,"Saat ini tidak menerima pendaftaran siswa internasional baru",IF(M141=1,"Harga perlu dikonfirmasi ke sekolah"&amp;IF(""="","","; "&amp;""),"")))</f>
        <v>Harga perlu dikonfirmasi ke sekolah</v>
      </c>
      <c r="J141" s="0" t="s">
        <v>3790</v>
      </c>
      <c r="K141" s="0" t="n">
        <f aca="false">IF(M141=2,"",IF(ISNUMBER(SEARCH("rata-rata:",'Offshore - Tasmania Hobart'!N58)),VALUE(MID('Offshore - Tasmania Hobart'!N58,SEARCH("rata-rata:",'Offshore - Tasmania Hobart'!N58)+11,FIND(";",'Offshore - Tasmania Hobart'!N58&amp;";",SEARCH("rata-rata:",'Offshore - Tasmania Hobart'!N58))-SEARCH("rata-rata:",'Offshore - Tasmania Hobart'!N58)-11)),IF('Offshore - Tasmania Hobart'!D58="Semester",'Offshore - Tasmania Hobart'!E58*2,IF('Offshore - Tasmania Hobart'!D58="Trimester",'Offshore - Tasmania Hobart'!E58*3,IF('Offshore - Tasmania Hobart'!D58="Term",'Offshore - Tasmania Hobart'!E58*4,IF('Offshore - Tasmania Hobart'!D58="Unit",'Offshore - Tasmania Hobart'!E58*8,""))))))</f>
        <v>38250</v>
      </c>
      <c r="L141" s="0" t="n">
        <f aca="false">IF(AND(ISNUMBER('Offshore - Tasmania Hobart'!E58),ISNUMBER(K141),ISNUMBER('Offshore - Tasmania Hobart'!F58),ISNUMBER('Offshore - Tasmania Hobart'!G58),OR('Offshore - Tasmania Hobart'!F58&lt;&gt;0,ISNUMBER(SEARCH("Material 0 terverifikasi",'Offshore - Tasmania Hobart'!N58))),OR('Offshore - Tasmania Hobart'!G58&lt;&gt;0,ISNUMBER(SEARCH("Enrolment 0 terverifikasi",'Offshore - Tasmania Hobart'!N58)))),1,0)</f>
        <v>0</v>
      </c>
      <c r="M141" s="0" t="n">
        <f aca="false">IF(OR('Offshore - Tasmania Hobart'!E58="",ISNUMBER(SEARCH("BSB80120",'Offshore - Tasmania Hobart'!B58&amp;'Offshore - Tasmania Hobart'!N58)),ISNUMBER(SEARCH("Management (Learning)",'Offshore - Tasmania Hobart'!B58))),2,IF(ISNUMBER(SEARCH("CEK:",'Offshore - Tasmania Hobart'!N58)),1,0))</f>
        <v>1</v>
      </c>
    </row>
    <row r="142" customFormat="false" ht="15" hidden="false" customHeight="false" outlineLevel="0" collapsed="false">
      <c r="A142" s="61" t="s">
        <v>3791</v>
      </c>
      <c r="B142" s="62"/>
      <c r="C142" s="62"/>
      <c r="D142" s="62"/>
      <c r="E142" s="62"/>
      <c r="F142" s="62"/>
      <c r="G142" s="62"/>
      <c r="H142" s="62"/>
      <c r="I142" s="62"/>
    </row>
    <row r="143" customFormat="false" ht="15" hidden="false" customHeight="false" outlineLevel="0" collapsed="false">
      <c r="A143" s="63" t="s">
        <v>3659</v>
      </c>
      <c r="B143" s="64" t="s">
        <v>3792</v>
      </c>
      <c r="C143" s="63" t="s">
        <v>40</v>
      </c>
      <c r="D143" s="64" t="str">
        <f aca="false">TRIM(LEFT('Offshore - Adelaide'!A471,FIND(CHAR(10),'Offshore - Adelaide'!A471&amp;CHAR(10))-1))</f>
        <v>Signet Institute of Australia</v>
      </c>
      <c r="E143" s="63" t="str">
        <f aca="false">'Offshore - Adelaide'!C473&amp;""</f>
        <v>2 years</v>
      </c>
      <c r="F143" s="63" t="str">
        <f aca="false">IF('Offshore - Adelaide'!D473="","Belum tercatat",'Offshore - Adelaide'!D473)</f>
        <v>Term</v>
      </c>
      <c r="G143" s="65" t="n">
        <f aca="false">IF('Offshore - Adelaide'!E473="","-",'Offshore - Adelaide'!E473)</f>
        <v>2750</v>
      </c>
      <c r="H143" s="63" t="n">
        <f aca="false">IF(ISNUMBER(K143),COUNTIFS($J$6:$J$1854,J143,$K$6:$K$1854,"&lt;"&amp;K143)+1,"-")</f>
        <v>1</v>
      </c>
      <c r="I143" s="64" t="str">
        <f aca="false">IF('Offshore - Adelaide'!E473="","Harga belum tersedia - hubungi konsultan TEG",IF(M143=2,"Saat ini tidak menerima pendaftaran siswa internasional baru",IF(M143=1,"Harga perlu dikonfirmasi ke sekolah"&amp;IF(""="","","; "&amp;""),"")))</f>
        <v/>
      </c>
      <c r="J143" s="0" t="s">
        <v>3793</v>
      </c>
      <c r="K143" s="0" t="n">
        <f aca="false">IF(M143=2,"",IF(ISNUMBER(SEARCH("rata-rata:",'Offshore - Adelaide'!N473)),VALUE(MID('Offshore - Adelaide'!N473,SEARCH("rata-rata:",'Offshore - Adelaide'!N473)+11,FIND(";",'Offshore - Adelaide'!N473&amp;";",SEARCH("rata-rata:",'Offshore - Adelaide'!N473))-SEARCH("rata-rata:",'Offshore - Adelaide'!N473)-11)),IF('Offshore - Adelaide'!D473="Semester",'Offshore - Adelaide'!E473*2,IF('Offshore - Adelaide'!D473="Trimester",'Offshore - Adelaide'!E473*3,IF('Offshore - Adelaide'!D473="Term",'Offshore - Adelaide'!E473*4,IF('Offshore - Adelaide'!D473="Unit",'Offshore - Adelaide'!E473*8,""))))))</f>
        <v>11000</v>
      </c>
      <c r="L143" s="0" t="n">
        <f aca="false">IF(AND(ISNUMBER('Offshore - Adelaide'!E473),ISNUMBER(K143),ISNUMBER('Offshore - Adelaide'!F473),ISNUMBER('Offshore - Adelaide'!G473),OR('Offshore - Adelaide'!F473&lt;&gt;0,ISNUMBER(SEARCH("Material 0 terverifikasi",'Offshore - Adelaide'!N473))),OR('Offshore - Adelaide'!G473&lt;&gt;0,ISNUMBER(SEARCH("Enrolment 0 terverifikasi",'Offshore - Adelaide'!N473)))),1,0)</f>
        <v>0</v>
      </c>
      <c r="M143" s="0" t="n">
        <f aca="false">IF(OR('Offshore - Adelaide'!E473="",ISNUMBER(SEARCH("BSB80120",'Offshore - Adelaide'!B473&amp;'Offshore - Adelaide'!N473)),ISNUMBER(SEARCH("Management (Learning)",'Offshore - Adelaide'!B473))),2,IF(ISNUMBER(SEARCH("CEK:",'Offshore - Adelaide'!N473)),1,0))</f>
        <v>0</v>
      </c>
    </row>
    <row r="144" customFormat="false" ht="15" hidden="false" customHeight="false" outlineLevel="0" collapsed="false">
      <c r="A144" s="63" t="s">
        <v>3659</v>
      </c>
      <c r="B144" s="64" t="s">
        <v>3792</v>
      </c>
      <c r="C144" s="63" t="s">
        <v>40</v>
      </c>
      <c r="D144" s="64" t="str">
        <f aca="false">TRIM(LEFT('Offshore - Adelaide'!A379,FIND(CHAR(10),'Offshore - Adelaide'!A379&amp;CHAR(10))-1))</f>
        <v>Alliance College</v>
      </c>
      <c r="E144" s="63" t="str">
        <f aca="false">'Offshore - Adelaide'!C385&amp;""</f>
        <v>2 years</v>
      </c>
      <c r="F144" s="63" t="str">
        <f aca="false">IF('Offshore - Adelaide'!D385="","Belum tercatat",'Offshore - Adelaide'!D385)</f>
        <v>Term</v>
      </c>
      <c r="G144" s="65" t="n">
        <f aca="false">IF('Offshore - Adelaide'!E385="","-",'Offshore - Adelaide'!E385)</f>
        <v>3600</v>
      </c>
      <c r="H144" s="63" t="n">
        <f aca="false">IF(ISNUMBER(K144),COUNTIFS($J$6:$J$1854,J144,$K$6:$K$1854,"&lt;"&amp;K144)+1,"-")</f>
        <v>2</v>
      </c>
      <c r="I144" s="64" t="str">
        <f aca="false">IF('Offshore - Adelaide'!E385="","Harga belum tersedia - hubungi konsultan TEG",IF(M144=2,"Saat ini tidak menerima pendaftaran siswa internasional baru",IF(M144=1,"Harga perlu dikonfirmasi ke sekolah"&amp;IF(""="","","; "&amp;""),"")))</f>
        <v/>
      </c>
      <c r="J144" s="0" t="s">
        <v>3793</v>
      </c>
      <c r="K144" s="0" t="n">
        <f aca="false">IF(M144=2,"",IF(ISNUMBER(SEARCH("rata-rata:",'Offshore - Adelaide'!N385)),VALUE(MID('Offshore - Adelaide'!N385,SEARCH("rata-rata:",'Offshore - Adelaide'!N385)+11,FIND(";",'Offshore - Adelaide'!N385&amp;";",SEARCH("rata-rata:",'Offshore - Adelaide'!N385))-SEARCH("rata-rata:",'Offshore - Adelaide'!N385)-11)),IF('Offshore - Adelaide'!D385="Semester",'Offshore - Adelaide'!E385*2,IF('Offshore - Adelaide'!D385="Trimester",'Offshore - Adelaide'!E385*3,IF('Offshore - Adelaide'!D385="Term",'Offshore - Adelaide'!E385*4,IF('Offshore - Adelaide'!D385="Unit",'Offshore - Adelaide'!E385*8,""))))))</f>
        <v>14400</v>
      </c>
      <c r="L144" s="0" t="n">
        <f aca="false">IF(AND(ISNUMBER('Offshore - Adelaide'!E385),ISNUMBER(K144),ISNUMBER('Offshore - Adelaide'!F385),ISNUMBER('Offshore - Adelaide'!G385),OR('Offshore - Adelaide'!F385&lt;&gt;0,ISNUMBER(SEARCH("Material 0 terverifikasi",'Offshore - Adelaide'!N385))),OR('Offshore - Adelaide'!G385&lt;&gt;0,ISNUMBER(SEARCH("Enrolment 0 terverifikasi",'Offshore - Adelaide'!N385)))),1,0)</f>
        <v>1</v>
      </c>
      <c r="M144" s="0" t="n">
        <f aca="false">IF(OR('Offshore - Adelaide'!E385="",ISNUMBER(SEARCH("BSB80120",'Offshore - Adelaide'!B385&amp;'Offshore - Adelaide'!N385)),ISNUMBER(SEARCH("Management (Learning)",'Offshore - Adelaide'!B385))),2,IF(ISNUMBER(SEARCH("CEK:",'Offshore - Adelaide'!N385)),1,0))</f>
        <v>0</v>
      </c>
    </row>
    <row r="145" customFormat="false" ht="15" hidden="false" customHeight="false" outlineLevel="0" collapsed="false">
      <c r="A145" s="61" t="s">
        <v>3794</v>
      </c>
      <c r="B145" s="62"/>
      <c r="C145" s="62"/>
      <c r="D145" s="62"/>
      <c r="E145" s="62"/>
      <c r="F145" s="62"/>
      <c r="G145" s="62"/>
      <c r="H145" s="62"/>
      <c r="I145" s="62"/>
    </row>
    <row r="146" customFormat="false" ht="15" hidden="false" customHeight="false" outlineLevel="0" collapsed="false">
      <c r="A146" s="63" t="s">
        <v>3659</v>
      </c>
      <c r="B146" s="64" t="s">
        <v>3792</v>
      </c>
      <c r="C146" s="63" t="s">
        <v>41</v>
      </c>
      <c r="D146" s="64" t="str">
        <f aca="false">TRIM(LEFT('Offshore - Adelaide'!A379,FIND(CHAR(10),'Offshore - Adelaide'!A379&amp;CHAR(10))-1))</f>
        <v>Alliance College</v>
      </c>
      <c r="E146" s="63" t="str">
        <f aca="false">'Offshore - Adelaide'!C386&amp;""</f>
        <v>2,5 years</v>
      </c>
      <c r="F146" s="63" t="str">
        <f aca="false">IF('Offshore - Adelaide'!D386="","Belum tercatat",'Offshore - Adelaide'!D386)</f>
        <v>Term</v>
      </c>
      <c r="G146" s="65" t="n">
        <f aca="false">IF('Offshore - Adelaide'!E386="","-",'Offshore - Adelaide'!E386)</f>
        <v>3480</v>
      </c>
      <c r="H146" s="63" t="n">
        <f aca="false">IF(ISNUMBER(K146),COUNTIFS($J$6:$J$1854,J146,$K$6:$K$1854,"&lt;"&amp;K146)+1,"-")</f>
        <v>1</v>
      </c>
      <c r="I146" s="64" t="str">
        <f aca="false">IF('Offshore - Adelaide'!E386="","Harga belum tersedia - hubungi konsultan TEG",IF(M146=2,"Saat ini tidak menerima pendaftaran siswa internasional baru",IF(M146=1,"Harga perlu dikonfirmasi ke sekolah"&amp;IF(""="","","; "&amp;""),"")))</f>
        <v/>
      </c>
      <c r="J146" s="0" t="s">
        <v>3795</v>
      </c>
      <c r="K146" s="0" t="n">
        <f aca="false">IF(M146=2,"",IF(ISNUMBER(SEARCH("rata-rata:",'Offshore - Adelaide'!N386)),VALUE(MID('Offshore - Adelaide'!N386,SEARCH("rata-rata:",'Offshore - Adelaide'!N386)+11,FIND(";",'Offshore - Adelaide'!N386&amp;";",SEARCH("rata-rata:",'Offshore - Adelaide'!N386))-SEARCH("rata-rata:",'Offshore - Adelaide'!N386)-11)),IF('Offshore - Adelaide'!D386="Semester",'Offshore - Adelaide'!E386*2,IF('Offshore - Adelaide'!D386="Trimester",'Offshore - Adelaide'!E386*3,IF('Offshore - Adelaide'!D386="Term",'Offshore - Adelaide'!E386*4,IF('Offshore - Adelaide'!D386="Unit",'Offshore - Adelaide'!E386*8,""))))))</f>
        <v>13920</v>
      </c>
      <c r="L146" s="0" t="n">
        <f aca="false">IF(AND(ISNUMBER('Offshore - Adelaide'!E386),ISNUMBER(K146),ISNUMBER('Offshore - Adelaide'!F386),ISNUMBER('Offshore - Adelaide'!G386),OR('Offshore - Adelaide'!F386&lt;&gt;0,ISNUMBER(SEARCH("Material 0 terverifikasi",'Offshore - Adelaide'!N386))),OR('Offshore - Adelaide'!G386&lt;&gt;0,ISNUMBER(SEARCH("Enrolment 0 terverifikasi",'Offshore - Adelaide'!N386)))),1,0)</f>
        <v>1</v>
      </c>
      <c r="M146" s="0" t="n">
        <f aca="false">IF(OR('Offshore - Adelaide'!E386="",ISNUMBER(SEARCH("BSB80120",'Offshore - Adelaide'!B386&amp;'Offshore - Adelaide'!N386)),ISNUMBER(SEARCH("Management (Learning)",'Offshore - Adelaide'!B386))),2,IF(ISNUMBER(SEARCH("CEK:",'Offshore - Adelaide'!N386)),1,0))</f>
        <v>0</v>
      </c>
    </row>
    <row r="147" customFormat="false" ht="15" hidden="false" customHeight="false" outlineLevel="0" collapsed="false">
      <c r="A147" s="61" t="s">
        <v>3796</v>
      </c>
      <c r="B147" s="62"/>
      <c r="C147" s="62"/>
      <c r="D147" s="62"/>
      <c r="E147" s="62"/>
      <c r="F147" s="62"/>
      <c r="G147" s="62"/>
      <c r="H147" s="62"/>
      <c r="I147" s="62"/>
    </row>
    <row r="148" customFormat="false" ht="15" hidden="false" customHeight="false" outlineLevel="0" collapsed="false">
      <c r="A148" s="63" t="s">
        <v>3563</v>
      </c>
      <c r="B148" s="64" t="s">
        <v>3792</v>
      </c>
      <c r="C148" s="63" t="s">
        <v>39</v>
      </c>
      <c r="D148" s="64" t="str">
        <f aca="false">TRIM(LEFT('Offshore - Brisbane'!A279,FIND(CHAR(10),'Offshore - Brisbane'!A279&amp;CHAR(10))-1))</f>
        <v>Oceania College of Technology</v>
      </c>
      <c r="E148" s="63" t="str">
        <f aca="false">'Offshore - Brisbane'!C289&amp;""</f>
        <v>2 years</v>
      </c>
      <c r="F148" s="63" t="str">
        <f aca="false">IF('Offshore - Brisbane'!D289="","Belum tercatat",'Offshore - Brisbane'!D289)</f>
        <v>Term</v>
      </c>
      <c r="G148" s="65" t="n">
        <f aca="false">IF('Offshore - Brisbane'!E289="","-",'Offshore - Brisbane'!E289)</f>
        <v>2666</v>
      </c>
      <c r="H148" s="63" t="n">
        <f aca="false">IF(ISNUMBER(K148),COUNTIFS($J$6:$J$1854,J148,$K$6:$K$1854,"&lt;"&amp;K148)+1,"-")</f>
        <v>1</v>
      </c>
      <c r="I148" s="64" t="str">
        <f aca="false">IF('Offshore - Brisbane'!E289="","Harga belum tersedia - hubungi konsultan TEG",IF(M148=2,"Saat ini tidak menerima pendaftaran siswa internasional baru",IF(M148=1,"Program perlu dikonfirmasi ketersediaannya"&amp;IF(""="","","; "&amp;""),"")))</f>
        <v>Program perlu dikonfirmasi ketersediaannya</v>
      </c>
      <c r="J148" s="0" t="s">
        <v>3797</v>
      </c>
      <c r="K148" s="0" t="n">
        <f aca="false">IF(M148=2,"",IF(ISNUMBER(SEARCH("rata-rata:",'Offshore - Brisbane'!N289)),VALUE(MID('Offshore - Brisbane'!N289,SEARCH("rata-rata:",'Offshore - Brisbane'!N289)+11,FIND(";",'Offshore - Brisbane'!N289&amp;";",SEARCH("rata-rata:",'Offshore - Brisbane'!N289))-SEARCH("rata-rata:",'Offshore - Brisbane'!N289)-11)),IF('Offshore - Brisbane'!D289="Semester",'Offshore - Brisbane'!E289*2,IF('Offshore - Brisbane'!D289="Trimester",'Offshore - Brisbane'!E289*3,IF('Offshore - Brisbane'!D289="Term",'Offshore - Brisbane'!E289*4,IF('Offshore - Brisbane'!D289="Unit",'Offshore - Brisbane'!E289*8,""))))))</f>
        <v>10664</v>
      </c>
      <c r="L148" s="0" t="n">
        <f aca="false">IF(AND(ISNUMBER('Offshore - Brisbane'!E289),ISNUMBER(K148),ISNUMBER('Offshore - Brisbane'!F289),ISNUMBER('Offshore - Brisbane'!G289),OR('Offshore - Brisbane'!F289&lt;&gt;0,ISNUMBER(SEARCH("Material 0 terverifikasi",'Offshore - Brisbane'!N289))),OR('Offshore - Brisbane'!G289&lt;&gt;0,ISNUMBER(SEARCH("Enrolment 0 terverifikasi",'Offshore - Brisbane'!N289)))),1,0)</f>
        <v>1</v>
      </c>
      <c r="M148" s="0" t="n">
        <f aca="false">IF(OR('Offshore - Brisbane'!E289="",ISNUMBER(SEARCH("BSB80120",'Offshore - Brisbane'!B289&amp;'Offshore - Brisbane'!N289)),ISNUMBER(SEARCH("Management (Learning)",'Offshore - Brisbane'!B289))),2,IF(ISNUMBER(SEARCH("CEK:",'Offshore - Brisbane'!N289)),1,0))</f>
        <v>1</v>
      </c>
    </row>
    <row r="149" customFormat="false" ht="15" hidden="false" customHeight="false" outlineLevel="0" collapsed="false">
      <c r="A149" s="61" t="s">
        <v>3798</v>
      </c>
      <c r="B149" s="62"/>
      <c r="C149" s="62"/>
      <c r="D149" s="62"/>
      <c r="E149" s="62"/>
      <c r="F149" s="62"/>
      <c r="G149" s="62"/>
      <c r="H149" s="62"/>
      <c r="I149" s="62"/>
    </row>
    <row r="150" customFormat="false" ht="15" hidden="false" customHeight="false" outlineLevel="0" collapsed="false">
      <c r="A150" s="63" t="s">
        <v>3563</v>
      </c>
      <c r="B150" s="64" t="s">
        <v>3792</v>
      </c>
      <c r="C150" s="63" t="s">
        <v>40</v>
      </c>
      <c r="D150" s="64" t="str">
        <f aca="false">TRIM(LEFT('Offshore - Brisbane'!A169,FIND(CHAR(10),'Offshore - Brisbane'!A169&amp;CHAR(10))-1))</f>
        <v>Cambridge College</v>
      </c>
      <c r="E150" s="63" t="str">
        <f aca="false">'Offshore - Brisbane'!C170&amp;""</f>
        <v>2 years</v>
      </c>
      <c r="F150" s="63" t="str">
        <f aca="false">IF('Offshore - Brisbane'!D170="","Belum tercatat",'Offshore - Brisbane'!D170)</f>
        <v>Term</v>
      </c>
      <c r="G150" s="65" t="n">
        <f aca="false">IF('Offshore - Brisbane'!E170="","-",'Offshore - Brisbane'!E170)</f>
        <v>2500</v>
      </c>
      <c r="H150" s="63" t="n">
        <f aca="false">IF(ISNUMBER(K150),COUNTIFS($J$6:$J$1854,J150,$K$6:$K$1854,"&lt;"&amp;K150)+1,"-")</f>
        <v>1</v>
      </c>
      <c r="I150" s="64" t="str">
        <f aca="false">IF('Offshore - Brisbane'!E170="","Harga belum tersedia - hubungi konsultan TEG",IF(M150=2,"Saat ini tidak menerima pendaftaran siswa internasional baru",IF(M150=1,"Program perlu dikonfirmasi ketersediaannya"&amp;IF(""="","","; "&amp;""),"")))</f>
        <v>Program perlu dikonfirmasi ketersediaannya</v>
      </c>
      <c r="J150" s="0" t="s">
        <v>3799</v>
      </c>
      <c r="K150" s="0" t="n">
        <f aca="false">IF(M150=2,"",IF(ISNUMBER(SEARCH("rata-rata:",'Offshore - Brisbane'!N170)),VALUE(MID('Offshore - Brisbane'!N170,SEARCH("rata-rata:",'Offshore - Brisbane'!N170)+11,FIND(";",'Offshore - Brisbane'!N170&amp;";",SEARCH("rata-rata:",'Offshore - Brisbane'!N170))-SEARCH("rata-rata:",'Offshore - Brisbane'!N170)-11)),IF('Offshore - Brisbane'!D170="Semester",'Offshore - Brisbane'!E170*2,IF('Offshore - Brisbane'!D170="Trimester",'Offshore - Brisbane'!E170*3,IF('Offshore - Brisbane'!D170="Term",'Offshore - Brisbane'!E170*4,IF('Offshore - Brisbane'!D170="Unit",'Offshore - Brisbane'!E170*8,""))))))</f>
        <v>10000</v>
      </c>
      <c r="L150" s="0" t="n">
        <f aca="false">IF(AND(ISNUMBER('Offshore - Brisbane'!E170),ISNUMBER(K150),ISNUMBER('Offshore - Brisbane'!F170),ISNUMBER('Offshore - Brisbane'!G170),OR('Offshore - Brisbane'!F170&lt;&gt;0,ISNUMBER(SEARCH("Material 0 terverifikasi",'Offshore - Brisbane'!N170))),OR('Offshore - Brisbane'!G170&lt;&gt;0,ISNUMBER(SEARCH("Enrolment 0 terverifikasi",'Offshore - Brisbane'!N170)))),1,0)</f>
        <v>1</v>
      </c>
      <c r="M150" s="0" t="n">
        <f aca="false">IF(OR('Offshore - Brisbane'!E170="",ISNUMBER(SEARCH("BSB80120",'Offshore - Brisbane'!B170&amp;'Offshore - Brisbane'!N170)),ISNUMBER(SEARCH("Management (Learning)",'Offshore - Brisbane'!B170))),2,IF(ISNUMBER(SEARCH("CEK:",'Offshore - Brisbane'!N170)),1,0))</f>
        <v>1</v>
      </c>
    </row>
    <row r="151" customFormat="false" ht="15" hidden="false" customHeight="false" outlineLevel="0" collapsed="false">
      <c r="A151" s="63" t="s">
        <v>3563</v>
      </c>
      <c r="B151" s="64" t="s">
        <v>3792</v>
      </c>
      <c r="C151" s="63" t="s">
        <v>40</v>
      </c>
      <c r="D151" s="64" t="str">
        <f aca="false">TRIM(LEFT('Offshore - Brisbane'!A279,FIND(CHAR(10),'Offshore - Brisbane'!A279&amp;CHAR(10))-1))</f>
        <v>Oceania College of Technology</v>
      </c>
      <c r="E151" s="63" t="str">
        <f aca="false">'Offshore - Brisbane'!C287&amp;""</f>
        <v>2 years</v>
      </c>
      <c r="F151" s="63" t="str">
        <f aca="false">IF('Offshore - Brisbane'!D287="","Belum tercatat",'Offshore - Brisbane'!D287)</f>
        <v>Term</v>
      </c>
      <c r="G151" s="65" t="n">
        <f aca="false">IF('Offshore - Brisbane'!E287="","-",'Offshore - Brisbane'!E287)</f>
        <v>2666</v>
      </c>
      <c r="H151" s="63" t="n">
        <f aca="false">IF(ISNUMBER(K151),COUNTIFS($J$6:$J$1854,J151,$K$6:$K$1854,"&lt;"&amp;K151)+1,"-")</f>
        <v>2</v>
      </c>
      <c r="I151" s="64" t="str">
        <f aca="false">IF('Offshore - Brisbane'!E287="","Harga belum tersedia - hubungi konsultan TEG",IF(M151=2,"Saat ini tidak menerima pendaftaran siswa internasional baru",IF(M151=1,"Program perlu dikonfirmasi ketersediaannya"&amp;IF(""="","","; "&amp;""),"")))</f>
        <v>Program perlu dikonfirmasi ketersediaannya</v>
      </c>
      <c r="J151" s="0" t="s">
        <v>3799</v>
      </c>
      <c r="K151" s="0" t="n">
        <f aca="false">IF(M151=2,"",IF(ISNUMBER(SEARCH("rata-rata:",'Offshore - Brisbane'!N287)),VALUE(MID('Offshore - Brisbane'!N287,SEARCH("rata-rata:",'Offshore - Brisbane'!N287)+11,FIND(";",'Offshore - Brisbane'!N287&amp;";",SEARCH("rata-rata:",'Offshore - Brisbane'!N287))-SEARCH("rata-rata:",'Offshore - Brisbane'!N287)-11)),IF('Offshore - Brisbane'!D287="Semester",'Offshore - Brisbane'!E287*2,IF('Offshore - Brisbane'!D287="Trimester",'Offshore - Brisbane'!E287*3,IF('Offshore - Brisbane'!D287="Term",'Offshore - Brisbane'!E287*4,IF('Offshore - Brisbane'!D287="Unit",'Offshore - Brisbane'!E287*8,""))))))</f>
        <v>10664</v>
      </c>
      <c r="L151" s="0" t="n">
        <f aca="false">IF(AND(ISNUMBER('Offshore - Brisbane'!E287),ISNUMBER(K151),ISNUMBER('Offshore - Brisbane'!F287),ISNUMBER('Offshore - Brisbane'!G287),OR('Offshore - Brisbane'!F287&lt;&gt;0,ISNUMBER(SEARCH("Material 0 terverifikasi",'Offshore - Brisbane'!N287))),OR('Offshore - Brisbane'!G287&lt;&gt;0,ISNUMBER(SEARCH("Enrolment 0 terverifikasi",'Offshore - Brisbane'!N287)))),1,0)</f>
        <v>1</v>
      </c>
      <c r="M151" s="0" t="n">
        <f aca="false">IF(OR('Offshore - Brisbane'!E287="",ISNUMBER(SEARCH("BSB80120",'Offshore - Brisbane'!B287&amp;'Offshore - Brisbane'!N287)),ISNUMBER(SEARCH("Management (Learning)",'Offshore - Brisbane'!B287))),2,IF(ISNUMBER(SEARCH("CEK:",'Offshore - Brisbane'!N287)),1,0))</f>
        <v>1</v>
      </c>
    </row>
    <row r="152" customFormat="false" ht="15" hidden="false" customHeight="false" outlineLevel="0" collapsed="false">
      <c r="A152" s="63" t="s">
        <v>3563</v>
      </c>
      <c r="B152" s="64" t="s">
        <v>3792</v>
      </c>
      <c r="C152" s="63" t="s">
        <v>40</v>
      </c>
      <c r="D152" s="64" t="str">
        <f aca="false">TRIM(LEFT('Offshore - Brisbane'!A26,FIND(CHAR(10),'Offshore - Brisbane'!A26&amp;CHAR(10))-1))</f>
        <v>American College</v>
      </c>
      <c r="E152" s="63" t="str">
        <f aca="false">'Offshore - Brisbane'!C27&amp;""</f>
        <v>2,5 years</v>
      </c>
      <c r="F152" s="63" t="str">
        <f aca="false">IF('Offshore - Brisbane'!D27="","Belum tercatat",'Offshore - Brisbane'!D27)</f>
        <v>Term</v>
      </c>
      <c r="G152" s="65" t="n">
        <f aca="false">IF('Offshore - Brisbane'!E27="","-",'Offshore - Brisbane'!E27)</f>
        <v>2860</v>
      </c>
      <c r="H152" s="63" t="n">
        <f aca="false">IF(ISNUMBER(K152),COUNTIFS($J$6:$J$1854,J152,$K$6:$K$1854,"&lt;"&amp;K152)+1,"-")</f>
        <v>3</v>
      </c>
      <c r="I152" s="64" t="str">
        <f aca="false">IF('Offshore - Brisbane'!E27="","Harga belum tersedia - hubungi konsultan TEG",IF(M152=2,"Saat ini tidak menerima pendaftaran siswa internasional baru",IF(M152=1,"Harga perlu dikonfirmasi ke sekolah"&amp;IF(""="","","; "&amp;""),"")))</f>
        <v/>
      </c>
      <c r="J152" s="0" t="s">
        <v>3799</v>
      </c>
      <c r="K152" s="0" t="n">
        <f aca="false">IF(M152=2,"",IF(ISNUMBER(SEARCH("rata-rata:",'Offshore - Brisbane'!N27)),VALUE(MID('Offshore - Brisbane'!N27,SEARCH("rata-rata:",'Offshore - Brisbane'!N27)+11,FIND(";",'Offshore - Brisbane'!N27&amp;";",SEARCH("rata-rata:",'Offshore - Brisbane'!N27))-SEARCH("rata-rata:",'Offshore - Brisbane'!N27)-11)),IF('Offshore - Brisbane'!D27="Semester",'Offshore - Brisbane'!E27*2,IF('Offshore - Brisbane'!D27="Trimester",'Offshore - Brisbane'!E27*3,IF('Offshore - Brisbane'!D27="Term",'Offshore - Brisbane'!E27*4,IF('Offshore - Brisbane'!D27="Unit",'Offshore - Brisbane'!E27*8,""))))))</f>
        <v>11440</v>
      </c>
      <c r="L152" s="0" t="n">
        <f aca="false">IF(AND(ISNUMBER('Offshore - Brisbane'!E27),ISNUMBER(K152),ISNUMBER('Offshore - Brisbane'!F27),ISNUMBER('Offshore - Brisbane'!G27),OR('Offshore - Brisbane'!F27&lt;&gt;0,ISNUMBER(SEARCH("Material 0 terverifikasi",'Offshore - Brisbane'!N27))),OR('Offshore - Brisbane'!G27&lt;&gt;0,ISNUMBER(SEARCH("Enrolment 0 terverifikasi",'Offshore - Brisbane'!N27)))),1,0)</f>
        <v>1</v>
      </c>
      <c r="M152" s="0" t="n">
        <f aca="false">IF(OR('Offshore - Brisbane'!E27="",ISNUMBER(SEARCH("BSB80120",'Offshore - Brisbane'!B27&amp;'Offshore - Brisbane'!N27)),ISNUMBER(SEARCH("Management (Learning)",'Offshore - Brisbane'!B27))),2,IF(ISNUMBER(SEARCH("CEK:",'Offshore - Brisbane'!N27)),1,0))</f>
        <v>0</v>
      </c>
    </row>
    <row r="153" customFormat="false" ht="15" hidden="false" customHeight="false" outlineLevel="0" collapsed="false">
      <c r="A153" s="63" t="s">
        <v>3563</v>
      </c>
      <c r="B153" s="64" t="s">
        <v>3792</v>
      </c>
      <c r="C153" s="63" t="s">
        <v>40</v>
      </c>
      <c r="D153" s="64" t="str">
        <f aca="false">TRIM(LEFT('Offshore - Brisbane'!A158,FIND(CHAR(10),'Offshore - Brisbane'!A158&amp;CHAR(10))-1))</f>
        <v>Australian Global Institute (AGI)</v>
      </c>
      <c r="E153" s="63" t="str">
        <f aca="false">'Offshore - Brisbane'!C159&amp;""</f>
        <v>2,5 years</v>
      </c>
      <c r="F153" s="63" t="str">
        <f aca="false">IF('Offshore - Brisbane'!D159="","Belum tercatat",'Offshore - Brisbane'!D159)</f>
        <v>Term</v>
      </c>
      <c r="G153" s="65" t="n">
        <f aca="false">IF('Offshore - Brisbane'!E159="","-",'Offshore - Brisbane'!E159)</f>
        <v>3500</v>
      </c>
      <c r="H153" s="63" t="n">
        <f aca="false">IF(ISNUMBER(K153),COUNTIFS($J$6:$J$1854,J153,$K$6:$K$1854,"&lt;"&amp;K153)+1,"-")</f>
        <v>4</v>
      </c>
      <c r="I153" s="64" t="str">
        <f aca="false">IF('Offshore - Brisbane'!E159="","Harga belum tersedia - hubungi konsultan TEG",IF(M153=2,"Saat ini tidak menerima pendaftaran siswa internasional baru",IF(M153=1,"Harga perlu dikonfirmasi ke sekolah"&amp;IF(""="","","; "&amp;""),"")))</f>
        <v/>
      </c>
      <c r="J153" s="0" t="s">
        <v>3799</v>
      </c>
      <c r="K153" s="0" t="n">
        <f aca="false">IF(M153=2,"",IF(ISNUMBER(SEARCH("rata-rata:",'Offshore - Brisbane'!N159)),VALUE(MID('Offshore - Brisbane'!N159,SEARCH("rata-rata:",'Offshore - Brisbane'!N159)+11,FIND(";",'Offshore - Brisbane'!N159&amp;";",SEARCH("rata-rata:",'Offshore - Brisbane'!N159))-SEARCH("rata-rata:",'Offshore - Brisbane'!N159)-11)),IF('Offshore - Brisbane'!D159="Semester",'Offshore - Brisbane'!E159*2,IF('Offshore - Brisbane'!D159="Trimester",'Offshore - Brisbane'!E159*3,IF('Offshore - Brisbane'!D159="Term",'Offshore - Brisbane'!E159*4,IF('Offshore - Brisbane'!D159="Unit",'Offshore - Brisbane'!E159*8,""))))))</f>
        <v>14000</v>
      </c>
      <c r="L153" s="0" t="n">
        <f aca="false">IF(AND(ISNUMBER('Offshore - Brisbane'!E159),ISNUMBER(K153),ISNUMBER('Offshore - Brisbane'!F159),ISNUMBER('Offshore - Brisbane'!G159),OR('Offshore - Brisbane'!F159&lt;&gt;0,ISNUMBER(SEARCH("Material 0 terverifikasi",'Offshore - Brisbane'!N159))),OR('Offshore - Brisbane'!G159&lt;&gt;0,ISNUMBER(SEARCH("Enrolment 0 terverifikasi",'Offshore - Brisbane'!N159)))),1,0)</f>
        <v>1</v>
      </c>
      <c r="M153" s="0" t="n">
        <f aca="false">IF(OR('Offshore - Brisbane'!E159="",ISNUMBER(SEARCH("BSB80120",'Offshore - Brisbane'!B159&amp;'Offshore - Brisbane'!N159)),ISNUMBER(SEARCH("Management (Learning)",'Offshore - Brisbane'!B159))),2,IF(ISNUMBER(SEARCH("CEK:",'Offshore - Brisbane'!N159)),1,0))</f>
        <v>0</v>
      </c>
    </row>
    <row r="154" customFormat="false" ht="15" hidden="false" customHeight="false" outlineLevel="0" collapsed="false">
      <c r="A154" s="61" t="s">
        <v>3800</v>
      </c>
      <c r="B154" s="62"/>
      <c r="C154" s="62"/>
      <c r="D154" s="62"/>
      <c r="E154" s="62"/>
      <c r="F154" s="62"/>
      <c r="G154" s="62"/>
      <c r="H154" s="62"/>
      <c r="I154" s="62"/>
    </row>
    <row r="155" customFormat="false" ht="15" hidden="false" customHeight="false" outlineLevel="0" collapsed="false">
      <c r="A155" s="63" t="s">
        <v>3563</v>
      </c>
      <c r="B155" s="64" t="s">
        <v>3792</v>
      </c>
      <c r="C155" s="63" t="s">
        <v>41</v>
      </c>
      <c r="D155" s="64" t="str">
        <f aca="false">TRIM(LEFT('Offshore - Brisbane'!A169,FIND(CHAR(10),'Offshore - Brisbane'!A169&amp;CHAR(10))-1))</f>
        <v>Cambridge College</v>
      </c>
      <c r="E155" s="63" t="str">
        <f aca="false">'Offshore - Brisbane'!C171&amp;""</f>
        <v>3 years</v>
      </c>
      <c r="F155" s="63" t="str">
        <f aca="false">IF('Offshore - Brisbane'!D171="","Belum tercatat",'Offshore - Brisbane'!D171)</f>
        <v>Term</v>
      </c>
      <c r="G155" s="65" t="n">
        <f aca="false">IF('Offshore - Brisbane'!E171="","-",'Offshore - Brisbane'!E171)</f>
        <v>2400</v>
      </c>
      <c r="H155" s="63" t="n">
        <f aca="false">IF(ISNUMBER(K155),COUNTIFS($J$6:$J$1854,J155,$K$6:$K$1854,"&lt;"&amp;K155)+1,"-")</f>
        <v>1</v>
      </c>
      <c r="I155" s="64" t="str">
        <f aca="false">IF('Offshore - Brisbane'!E171="","Harga belum tersedia - hubungi konsultan TEG",IF(M155=2,"Saat ini tidak menerima pendaftaran siswa internasional baru",IF(M155=1,"Program perlu dikonfirmasi ketersediaannya"&amp;IF(""="","","; "&amp;""),"")))</f>
        <v>Program perlu dikonfirmasi ketersediaannya</v>
      </c>
      <c r="J155" s="0" t="s">
        <v>3801</v>
      </c>
      <c r="K155" s="0" t="n">
        <f aca="false">IF(M155=2,"",IF(ISNUMBER(SEARCH("rata-rata:",'Offshore - Brisbane'!N171)),VALUE(MID('Offshore - Brisbane'!N171,SEARCH("rata-rata:",'Offshore - Brisbane'!N171)+11,FIND(";",'Offshore - Brisbane'!N171&amp;";",SEARCH("rata-rata:",'Offshore - Brisbane'!N171))-SEARCH("rata-rata:",'Offshore - Brisbane'!N171)-11)),IF('Offshore - Brisbane'!D171="Semester",'Offshore - Brisbane'!E171*2,IF('Offshore - Brisbane'!D171="Trimester",'Offshore - Brisbane'!E171*3,IF('Offshore - Brisbane'!D171="Term",'Offshore - Brisbane'!E171*4,IF('Offshore - Brisbane'!D171="Unit",'Offshore - Brisbane'!E171*8,""))))))</f>
        <v>9600</v>
      </c>
      <c r="L155" s="0" t="n">
        <f aca="false">IF(AND(ISNUMBER('Offshore - Brisbane'!E171),ISNUMBER(K155),ISNUMBER('Offshore - Brisbane'!F171),ISNUMBER('Offshore - Brisbane'!G171),OR('Offshore - Brisbane'!F171&lt;&gt;0,ISNUMBER(SEARCH("Material 0 terverifikasi",'Offshore - Brisbane'!N171))),OR('Offshore - Brisbane'!G171&lt;&gt;0,ISNUMBER(SEARCH("Enrolment 0 terverifikasi",'Offshore - Brisbane'!N171)))),1,0)</f>
        <v>1</v>
      </c>
      <c r="M155" s="0" t="n">
        <f aca="false">IF(OR('Offshore - Brisbane'!E171="",ISNUMBER(SEARCH("BSB80120",'Offshore - Brisbane'!B171&amp;'Offshore - Brisbane'!N171)),ISNUMBER(SEARCH("Management (Learning)",'Offshore - Brisbane'!B171))),2,IF(ISNUMBER(SEARCH("CEK:",'Offshore - Brisbane'!N171)),1,0))</f>
        <v>1</v>
      </c>
    </row>
    <row r="156" customFormat="false" ht="15" hidden="false" customHeight="false" outlineLevel="0" collapsed="false">
      <c r="A156" s="63" t="s">
        <v>3563</v>
      </c>
      <c r="B156" s="64" t="s">
        <v>3792</v>
      </c>
      <c r="C156" s="63" t="s">
        <v>41</v>
      </c>
      <c r="D156" s="64" t="str">
        <f aca="false">TRIM(LEFT('Offshore - Brisbane'!A279,FIND(CHAR(10),'Offshore - Brisbane'!A279&amp;CHAR(10))-1))</f>
        <v>Oceania College of Technology</v>
      </c>
      <c r="E156" s="63" t="str">
        <f aca="false">'Offshore - Brisbane'!C288&amp;""</f>
        <v>3 years</v>
      </c>
      <c r="F156" s="63" t="str">
        <f aca="false">IF('Offshore - Brisbane'!D288="","Belum tercatat",'Offshore - Brisbane'!D288)</f>
        <v>Term</v>
      </c>
      <c r="G156" s="65" t="n">
        <f aca="false">IF('Offshore - Brisbane'!E288="","-",'Offshore - Brisbane'!E288)</f>
        <v>2666</v>
      </c>
      <c r="H156" s="63" t="n">
        <f aca="false">IF(ISNUMBER(K156),COUNTIFS($J$6:$J$1854,J156,$K$6:$K$1854,"&lt;"&amp;K156)+1,"-")</f>
        <v>2</v>
      </c>
      <c r="I156" s="64" t="str">
        <f aca="false">IF('Offshore - Brisbane'!E288="","Harga belum tersedia - hubungi konsultan TEG",IF(M156=2,"Saat ini tidak menerima pendaftaran siswa internasional baru",IF(M156=1,"Program perlu dikonfirmasi ketersediaannya"&amp;IF(""="","","; "&amp;""),"")))</f>
        <v>Program perlu dikonfirmasi ketersediaannya</v>
      </c>
      <c r="J156" s="0" t="s">
        <v>3801</v>
      </c>
      <c r="K156" s="0" t="n">
        <f aca="false">IF(M156=2,"",IF(ISNUMBER(SEARCH("rata-rata:",'Offshore - Brisbane'!N288)),VALUE(MID('Offshore - Brisbane'!N288,SEARCH("rata-rata:",'Offshore - Brisbane'!N288)+11,FIND(";",'Offshore - Brisbane'!N288&amp;";",SEARCH("rata-rata:",'Offshore - Brisbane'!N288))-SEARCH("rata-rata:",'Offshore - Brisbane'!N288)-11)),IF('Offshore - Brisbane'!D288="Semester",'Offshore - Brisbane'!E288*2,IF('Offshore - Brisbane'!D288="Trimester",'Offshore - Brisbane'!E288*3,IF('Offshore - Brisbane'!D288="Term",'Offshore - Brisbane'!E288*4,IF('Offshore - Brisbane'!D288="Unit",'Offshore - Brisbane'!E288*8,""))))))</f>
        <v>10664</v>
      </c>
      <c r="L156" s="0" t="n">
        <f aca="false">IF(AND(ISNUMBER('Offshore - Brisbane'!E288),ISNUMBER(K156),ISNUMBER('Offshore - Brisbane'!F288),ISNUMBER('Offshore - Brisbane'!G288),OR('Offshore - Brisbane'!F288&lt;&gt;0,ISNUMBER(SEARCH("Material 0 terverifikasi",'Offshore - Brisbane'!N288))),OR('Offshore - Brisbane'!G288&lt;&gt;0,ISNUMBER(SEARCH("Enrolment 0 terverifikasi",'Offshore - Brisbane'!N288)))),1,0)</f>
        <v>1</v>
      </c>
      <c r="M156" s="0" t="n">
        <f aca="false">IF(OR('Offshore - Brisbane'!E288="",ISNUMBER(SEARCH("BSB80120",'Offshore - Brisbane'!B288&amp;'Offshore - Brisbane'!N288)),ISNUMBER(SEARCH("Management (Learning)",'Offshore - Brisbane'!B288))),2,IF(ISNUMBER(SEARCH("CEK:",'Offshore - Brisbane'!N288)),1,0))</f>
        <v>1</v>
      </c>
    </row>
    <row r="157" customFormat="false" ht="15" hidden="false" customHeight="false" outlineLevel="0" collapsed="false">
      <c r="A157" s="63" t="s">
        <v>3563</v>
      </c>
      <c r="B157" s="64" t="s">
        <v>3792</v>
      </c>
      <c r="C157" s="63" t="s">
        <v>41</v>
      </c>
      <c r="D157" s="64" t="str">
        <f aca="false">TRIM(LEFT('Offshore - Brisbane'!A26,FIND(CHAR(10),'Offshore - Brisbane'!A26&amp;CHAR(10))-1))</f>
        <v>American College</v>
      </c>
      <c r="E157" s="63" t="str">
        <f aca="false">'Offshore - Brisbane'!C28&amp;""</f>
        <v>3 years</v>
      </c>
      <c r="F157" s="63" t="str">
        <f aca="false">IF('Offshore - Brisbane'!D28="","Belum tercatat",'Offshore - Brisbane'!D28)</f>
        <v>Term</v>
      </c>
      <c r="G157" s="65" t="n">
        <f aca="false">IF('Offshore - Brisbane'!E28="","-",'Offshore - Brisbane'!E28)</f>
        <v>2860</v>
      </c>
      <c r="H157" s="63" t="n">
        <f aca="false">IF(ISNUMBER(K157),COUNTIFS($J$6:$J$1854,J157,$K$6:$K$1854,"&lt;"&amp;K157)+1,"-")</f>
        <v>3</v>
      </c>
      <c r="I157" s="64" t="str">
        <f aca="false">IF('Offshore - Brisbane'!E28="","Harga belum tersedia - hubungi konsultan TEG",IF(M157=2,"Saat ini tidak menerima pendaftaran siswa internasional baru",IF(M157=1,"Harga perlu dikonfirmasi ke sekolah"&amp;IF(""="","","; "&amp;""),"")))</f>
        <v/>
      </c>
      <c r="J157" s="0" t="s">
        <v>3801</v>
      </c>
      <c r="K157" s="0" t="n">
        <f aca="false">IF(M157=2,"",IF(ISNUMBER(SEARCH("rata-rata:",'Offshore - Brisbane'!N28)),VALUE(MID('Offshore - Brisbane'!N28,SEARCH("rata-rata:",'Offshore - Brisbane'!N28)+11,FIND(";",'Offshore - Brisbane'!N28&amp;";",SEARCH("rata-rata:",'Offshore - Brisbane'!N28))-SEARCH("rata-rata:",'Offshore - Brisbane'!N28)-11)),IF('Offshore - Brisbane'!D28="Semester",'Offshore - Brisbane'!E28*2,IF('Offshore - Brisbane'!D28="Trimester",'Offshore - Brisbane'!E28*3,IF('Offshore - Brisbane'!D28="Term",'Offshore - Brisbane'!E28*4,IF('Offshore - Brisbane'!D28="Unit",'Offshore - Brisbane'!E28*8,""))))))</f>
        <v>11440</v>
      </c>
      <c r="L157" s="0" t="n">
        <f aca="false">IF(AND(ISNUMBER('Offshore - Brisbane'!E28),ISNUMBER(K157),ISNUMBER('Offshore - Brisbane'!F28),ISNUMBER('Offshore - Brisbane'!G28),OR('Offshore - Brisbane'!F28&lt;&gt;0,ISNUMBER(SEARCH("Material 0 terverifikasi",'Offshore - Brisbane'!N28))),OR('Offshore - Brisbane'!G28&lt;&gt;0,ISNUMBER(SEARCH("Enrolment 0 terverifikasi",'Offshore - Brisbane'!N28)))),1,0)</f>
        <v>1</v>
      </c>
      <c r="M157" s="0" t="n">
        <f aca="false">IF(OR('Offshore - Brisbane'!E28="",ISNUMBER(SEARCH("BSB80120",'Offshore - Brisbane'!B28&amp;'Offshore - Brisbane'!N28)),ISNUMBER(SEARCH("Management (Learning)",'Offshore - Brisbane'!B28))),2,IF(ISNUMBER(SEARCH("CEK:",'Offshore - Brisbane'!N28)),1,0))</f>
        <v>0</v>
      </c>
    </row>
    <row r="158" customFormat="false" ht="15" hidden="false" customHeight="false" outlineLevel="0" collapsed="false">
      <c r="A158" s="63" t="s">
        <v>3563</v>
      </c>
      <c r="B158" s="64" t="s">
        <v>3792</v>
      </c>
      <c r="C158" s="63" t="s">
        <v>41</v>
      </c>
      <c r="D158" s="64" t="str">
        <f aca="false">TRIM(LEFT('Offshore - Brisbane'!A297,FIND(CHAR(10),'Offshore - Brisbane'!A297&amp;CHAR(10))-1))</f>
        <v>Skills Institute Australia</v>
      </c>
      <c r="E158" s="63" t="str">
        <f aca="false">'Offshore - Brisbane'!C300&amp;""</f>
        <v>2,5 years</v>
      </c>
      <c r="F158" s="63" t="str">
        <f aca="false">IF('Offshore - Brisbane'!D300="","Belum tercatat",'Offshore - Brisbane'!D300)</f>
        <v>Term</v>
      </c>
      <c r="G158" s="65" t="n">
        <f aca="false">IF('Offshore - Brisbane'!E300="","-",'Offshore - Brisbane'!E300)</f>
        <v>3650</v>
      </c>
      <c r="H158" s="63" t="n">
        <f aca="false">IF(ISNUMBER(K158),COUNTIFS($J$6:$J$1854,J158,$K$6:$K$1854,"&lt;"&amp;K158)+1,"-")</f>
        <v>4</v>
      </c>
      <c r="I158" s="64" t="str">
        <f aca="false">IF('Offshore - Brisbane'!E300="","Harga belum tersedia - hubungi konsultan TEG",IF(M158=2,"Saat ini tidak menerima pendaftaran siswa internasional baru",IF(M158=1,"Harga perlu dikonfirmasi ke sekolah"&amp;IF(""="","","; "&amp;""),"")))</f>
        <v/>
      </c>
      <c r="J158" s="0" t="s">
        <v>3801</v>
      </c>
      <c r="K158" s="0" t="n">
        <f aca="false">IF(M158=2,"",IF(ISNUMBER(SEARCH("rata-rata:",'Offshore - Brisbane'!N300)),VALUE(MID('Offshore - Brisbane'!N300,SEARCH("rata-rata:",'Offshore - Brisbane'!N300)+11,FIND(";",'Offshore - Brisbane'!N300&amp;";",SEARCH("rata-rata:",'Offshore - Brisbane'!N300))-SEARCH("rata-rata:",'Offshore - Brisbane'!N300)-11)),IF('Offshore - Brisbane'!D300="Semester",'Offshore - Brisbane'!E300*2,IF('Offshore - Brisbane'!D300="Trimester",'Offshore - Brisbane'!E300*3,IF('Offshore - Brisbane'!D300="Term",'Offshore - Brisbane'!E300*4,IF('Offshore - Brisbane'!D300="Unit",'Offshore - Brisbane'!E300*8,""))))))</f>
        <v>14600</v>
      </c>
      <c r="L158" s="0" t="n">
        <f aca="false">IF(AND(ISNUMBER('Offshore - Brisbane'!E300),ISNUMBER(K158),ISNUMBER('Offshore - Brisbane'!F300),ISNUMBER('Offshore - Brisbane'!G300),OR('Offshore - Brisbane'!F300&lt;&gt;0,ISNUMBER(SEARCH("Material 0 terverifikasi",'Offshore - Brisbane'!N300))),OR('Offshore - Brisbane'!G300&lt;&gt;0,ISNUMBER(SEARCH("Enrolment 0 terverifikasi",'Offshore - Brisbane'!N300)))),1,0)</f>
        <v>1</v>
      </c>
      <c r="M158" s="0" t="n">
        <f aca="false">IF(OR('Offshore - Brisbane'!E300="",ISNUMBER(SEARCH("BSB80120",'Offshore - Brisbane'!B300&amp;'Offshore - Brisbane'!N300)),ISNUMBER(SEARCH("Management (Learning)",'Offshore - Brisbane'!B300))),2,IF(ISNUMBER(SEARCH("CEK:",'Offshore - Brisbane'!N300)),1,0))</f>
        <v>0</v>
      </c>
    </row>
    <row r="159" customFormat="false" ht="15" hidden="false" customHeight="false" outlineLevel="0" collapsed="false">
      <c r="A159" s="61" t="s">
        <v>3802</v>
      </c>
      <c r="B159" s="62"/>
      <c r="C159" s="62"/>
      <c r="D159" s="62"/>
      <c r="E159" s="62"/>
      <c r="F159" s="62"/>
      <c r="G159" s="62"/>
      <c r="H159" s="62"/>
      <c r="I159" s="62"/>
    </row>
    <row r="160" customFormat="false" ht="15" hidden="false" customHeight="false" outlineLevel="0" collapsed="false">
      <c r="A160" s="63" t="s">
        <v>3718</v>
      </c>
      <c r="B160" s="64" t="s">
        <v>3792</v>
      </c>
      <c r="C160" s="63" t="s">
        <v>40</v>
      </c>
      <c r="D160" s="64" t="str">
        <f aca="false">TRIM(LEFT('Offshore - Canberra'!A141,FIND(CHAR(10),'Offshore - Canberra'!A141&amp;CHAR(10))-1))</f>
        <v>Mid City College</v>
      </c>
      <c r="E160" s="63" t="str">
        <f aca="false">'Offshore - Canberra'!C142&amp;""</f>
        <v>2 years</v>
      </c>
      <c r="F160" s="63" t="str">
        <f aca="false">IF('Offshore - Canberra'!D142="","Belum tercatat",'Offshore - Canberra'!D142)</f>
        <v>Term</v>
      </c>
      <c r="G160" s="65" t="n">
        <f aca="false">IF('Offshore - Canberra'!E142="","-",'Offshore - Canberra'!E142)</f>
        <v>4375</v>
      </c>
      <c r="H160" s="63" t="n">
        <f aca="false">IF(ISNUMBER(K160),COUNTIFS($J$6:$J$1854,J160,$K$6:$K$1854,"&lt;"&amp;K160)+1,"-")</f>
        <v>1</v>
      </c>
      <c r="I160" s="64" t="str">
        <f aca="false">IF('Offshore - Canberra'!E142="","Harga belum tersedia - hubungi konsultan TEG",IF(M160=2,"Saat ini tidak menerima pendaftaran siswa internasional baru",IF(M160=1,"Harga perlu dikonfirmasi ke sekolah"&amp;IF(""="","","; "&amp;""),"")))</f>
        <v/>
      </c>
      <c r="J160" s="0" t="s">
        <v>3803</v>
      </c>
      <c r="K160" s="0" t="n">
        <f aca="false">IF(M160=2,"",IF(ISNUMBER(SEARCH("rata-rata:",'Offshore - Canberra'!N142)),VALUE(MID('Offshore - Canberra'!N142,SEARCH("rata-rata:",'Offshore - Canberra'!N142)+11,FIND(";",'Offshore - Canberra'!N142&amp;";",SEARCH("rata-rata:",'Offshore - Canberra'!N142))-SEARCH("rata-rata:",'Offshore - Canberra'!N142)-11)),IF('Offshore - Canberra'!D142="Semester",'Offshore - Canberra'!E142*2,IF('Offshore - Canberra'!D142="Trimester",'Offshore - Canberra'!E142*3,IF('Offshore - Canberra'!D142="Term",'Offshore - Canberra'!E142*4,IF('Offshore - Canberra'!D142="Unit",'Offshore - Canberra'!E142*8,""))))))</f>
        <v>17500</v>
      </c>
      <c r="L160" s="0" t="n">
        <f aca="false">IF(AND(ISNUMBER('Offshore - Canberra'!E142),ISNUMBER(K160),ISNUMBER('Offshore - Canberra'!F142),ISNUMBER('Offshore - Canberra'!G142),OR('Offshore - Canberra'!F142&lt;&gt;0,ISNUMBER(SEARCH("Material 0 terverifikasi",'Offshore - Canberra'!N142))),OR('Offshore - Canberra'!G142&lt;&gt;0,ISNUMBER(SEARCH("Enrolment 0 terverifikasi",'Offshore - Canberra'!N142)))),1,0)</f>
        <v>1</v>
      </c>
      <c r="M160" s="0" t="n">
        <f aca="false">IF(OR('Offshore - Canberra'!E142="",ISNUMBER(SEARCH("BSB80120",'Offshore - Canberra'!B142&amp;'Offshore - Canberra'!N142)),ISNUMBER(SEARCH("Management (Learning)",'Offshore - Canberra'!B142))),2,IF(ISNUMBER(SEARCH("CEK:",'Offshore - Canberra'!N142)),1,0))</f>
        <v>0</v>
      </c>
    </row>
    <row r="161" customFormat="false" ht="15" hidden="false" customHeight="false" outlineLevel="0" collapsed="false">
      <c r="A161" s="61" t="s">
        <v>3804</v>
      </c>
      <c r="B161" s="62"/>
      <c r="C161" s="62"/>
      <c r="D161" s="62"/>
      <c r="E161" s="62"/>
      <c r="F161" s="62"/>
      <c r="G161" s="62"/>
      <c r="H161" s="62"/>
      <c r="I161" s="62"/>
    </row>
    <row r="162" customFormat="false" ht="15" hidden="false" customHeight="false" outlineLevel="0" collapsed="false">
      <c r="A162" s="63" t="s">
        <v>3544</v>
      </c>
      <c r="B162" s="64" t="s">
        <v>3792</v>
      </c>
      <c r="C162" s="63" t="s">
        <v>39</v>
      </c>
      <c r="D162" s="64" t="str">
        <f aca="false">TRIM(LEFT('Offshore - Melbourne'!A345,FIND(CHAR(10),'Offshore - Melbourne'!A345&amp;CHAR(10))-1))</f>
        <v>Menzies Institute of Technology</v>
      </c>
      <c r="E162" s="63" t="str">
        <f aca="false">'Offshore - Melbourne'!C348&amp;""</f>
        <v>56 minggu</v>
      </c>
      <c r="F162" s="63" t="str">
        <f aca="false">IF('Offshore - Melbourne'!D348="","Belum tercatat",'Offshore - Melbourne'!D348)</f>
        <v>Term</v>
      </c>
      <c r="G162" s="65" t="n">
        <f aca="false">IF('Offshore - Melbourne'!E348="","-",'Offshore - Melbourne'!E348)</f>
        <v>4450</v>
      </c>
      <c r="H162" s="63" t="n">
        <f aca="false">IF(ISNUMBER(K162),COUNTIFS($J$6:$J$1854,J162,$K$6:$K$1854,"&lt;"&amp;K162)+1,"-")</f>
        <v>1</v>
      </c>
      <c r="I162" s="64" t="str">
        <f aca="false">IF('Offshore - Melbourne'!E348="","Harga belum tersedia - hubungi konsultan TEG",IF(M162=2,"Saat ini tidak menerima pendaftaran siswa internasional baru",IF(M162=1,"Harga perlu dikonfirmasi ke sekolah"&amp;IF(""="","","; "&amp;""),"")))</f>
        <v>Harga perlu dikonfirmasi ke sekolah</v>
      </c>
      <c r="J162" s="0" t="s">
        <v>3805</v>
      </c>
      <c r="K162" s="0" t="n">
        <f aca="false">IF(M162=2,"",IF(ISNUMBER(SEARCH("rata-rata:",'Offshore - Melbourne'!N348)),VALUE(MID('Offshore - Melbourne'!N348,SEARCH("rata-rata:",'Offshore - Melbourne'!N348)+11,FIND(";",'Offshore - Melbourne'!N348&amp;";",SEARCH("rata-rata:",'Offshore - Melbourne'!N348))-SEARCH("rata-rata:",'Offshore - Melbourne'!N348)-11)),IF('Offshore - Melbourne'!D348="Semester",'Offshore - Melbourne'!E348*2,IF('Offshore - Melbourne'!D348="Trimester",'Offshore - Melbourne'!E348*3,IF('Offshore - Melbourne'!D348="Term",'Offshore - Melbourne'!E348*4,IF('Offshore - Melbourne'!D348="Unit",'Offshore - Melbourne'!E348*8,""))))))</f>
        <v>17800</v>
      </c>
      <c r="L162" s="0" t="n">
        <f aca="false">IF(AND(ISNUMBER('Offshore - Melbourne'!E348),ISNUMBER(K162),ISNUMBER('Offshore - Melbourne'!F348),ISNUMBER('Offshore - Melbourne'!G348),OR('Offshore - Melbourne'!F348&lt;&gt;0,ISNUMBER(SEARCH("Material 0 terverifikasi",'Offshore - Melbourne'!N348))),OR('Offshore - Melbourne'!G348&lt;&gt;0,ISNUMBER(SEARCH("Enrolment 0 terverifikasi",'Offshore - Melbourne'!N348)))),1,0)</f>
        <v>1</v>
      </c>
      <c r="M162" s="0" t="n">
        <f aca="false">IF(OR('Offshore - Melbourne'!E348="",ISNUMBER(SEARCH("BSB80120",'Offshore - Melbourne'!B348&amp;'Offshore - Melbourne'!N348)),ISNUMBER(SEARCH("Management (Learning)",'Offshore - Melbourne'!B348))),2,IF(ISNUMBER(SEARCH("CEK:",'Offshore - Melbourne'!N348)),1,0))</f>
        <v>1</v>
      </c>
    </row>
    <row r="163" customFormat="false" ht="15" hidden="false" customHeight="false" outlineLevel="0" collapsed="false">
      <c r="A163" s="61" t="s">
        <v>3806</v>
      </c>
      <c r="B163" s="62"/>
      <c r="C163" s="62"/>
      <c r="D163" s="62"/>
      <c r="E163" s="62"/>
      <c r="F163" s="62"/>
      <c r="G163" s="62"/>
      <c r="H163" s="62"/>
      <c r="I163" s="62"/>
    </row>
    <row r="164" customFormat="false" ht="15" hidden="false" customHeight="false" outlineLevel="0" collapsed="false">
      <c r="A164" s="63" t="s">
        <v>3544</v>
      </c>
      <c r="B164" s="64" t="s">
        <v>3792</v>
      </c>
      <c r="C164" s="63" t="s">
        <v>40</v>
      </c>
      <c r="D164" s="64" t="str">
        <f aca="false">TRIM(LEFT('Offshore - Melbourne'!A387,FIND(CHAR(10),'Offshore - Melbourne'!A387&amp;CHAR(10))-1))</f>
        <v>Pax Institute of Education</v>
      </c>
      <c r="E164" s="63" t="str">
        <f aca="false">'Offshore - Melbourne'!C388&amp;""</f>
        <v>2 years</v>
      </c>
      <c r="F164" s="63" t="str">
        <f aca="false">IF('Offshore - Melbourne'!D388="","Belum tercatat",'Offshore - Melbourne'!D388)</f>
        <v>Term</v>
      </c>
      <c r="G164" s="65" t="n">
        <f aca="false">IF('Offshore - Melbourne'!E388="","-",'Offshore - Melbourne'!E388)</f>
        <v>2375</v>
      </c>
      <c r="H164" s="63" t="n">
        <f aca="false">IF(ISNUMBER(K164),COUNTIFS($J$6:$J$1854,J164,$K$6:$K$1854,"&lt;"&amp;K164)+1,"-")</f>
        <v>1</v>
      </c>
      <c r="I164" s="64" t="str">
        <f aca="false">IF('Offshore - Melbourne'!E388="","Harga belum tersedia - hubungi konsultan TEG",IF(M164=2,"Saat ini tidak menerima pendaftaran siswa internasional baru",IF(M164=1,"Harga perlu dikonfirmasi ke sekolah"&amp;IF(""="","","; "&amp;""),"")))</f>
        <v/>
      </c>
      <c r="J164" s="0" t="s">
        <v>3807</v>
      </c>
      <c r="K164" s="0" t="n">
        <f aca="false">IF(M164=2,"",IF(ISNUMBER(SEARCH("rata-rata:",'Offshore - Melbourne'!N388)),VALUE(MID('Offshore - Melbourne'!N388,SEARCH("rata-rata:",'Offshore - Melbourne'!N388)+11,FIND(";",'Offshore - Melbourne'!N388&amp;";",SEARCH("rata-rata:",'Offshore - Melbourne'!N388))-SEARCH("rata-rata:",'Offshore - Melbourne'!N388)-11)),IF('Offshore - Melbourne'!D388="Semester",'Offshore - Melbourne'!E388*2,IF('Offshore - Melbourne'!D388="Trimester",'Offshore - Melbourne'!E388*3,IF('Offshore - Melbourne'!D388="Term",'Offshore - Melbourne'!E388*4,IF('Offshore - Melbourne'!D388="Unit",'Offshore - Melbourne'!E388*8,""))))))</f>
        <v>9500</v>
      </c>
      <c r="L164" s="0" t="n">
        <f aca="false">IF(AND(ISNUMBER('Offshore - Melbourne'!E388),ISNUMBER(K164),ISNUMBER('Offshore - Melbourne'!F388),ISNUMBER('Offshore - Melbourne'!G388),OR('Offshore - Melbourne'!F388&lt;&gt;0,ISNUMBER(SEARCH("Material 0 terverifikasi",'Offshore - Melbourne'!N388))),OR('Offshore - Melbourne'!G388&lt;&gt;0,ISNUMBER(SEARCH("Enrolment 0 terverifikasi",'Offshore - Melbourne'!N388)))),1,0)</f>
        <v>1</v>
      </c>
      <c r="M164" s="0" t="n">
        <f aca="false">IF(OR('Offshore - Melbourne'!E388="",ISNUMBER(SEARCH("BSB80120",'Offshore - Melbourne'!B388&amp;'Offshore - Melbourne'!N388)),ISNUMBER(SEARCH("Management (Learning)",'Offshore - Melbourne'!B388))),2,IF(ISNUMBER(SEARCH("CEK:",'Offshore - Melbourne'!N388)),1,0))</f>
        <v>0</v>
      </c>
    </row>
    <row r="165" customFormat="false" ht="15" hidden="false" customHeight="false" outlineLevel="0" collapsed="false">
      <c r="A165" s="63" t="s">
        <v>3544</v>
      </c>
      <c r="B165" s="64" t="s">
        <v>3792</v>
      </c>
      <c r="C165" s="63" t="s">
        <v>40</v>
      </c>
      <c r="D165" s="64" t="str">
        <f aca="false">TRIM(LEFT('Offshore - Melbourne'!A382,FIND(CHAR(10),'Offshore - Melbourne'!A382&amp;CHAR(10))-1))</f>
        <v>Paragon Polytechnic</v>
      </c>
      <c r="E165" s="63" t="str">
        <f aca="false">'Offshore - Melbourne'!C385&amp;""</f>
        <v>2 years</v>
      </c>
      <c r="F165" s="63" t="str">
        <f aca="false">IF('Offshore - Melbourne'!D385="","Belum tercatat",'Offshore - Melbourne'!D385)</f>
        <v>Term</v>
      </c>
      <c r="G165" s="65" t="n">
        <f aca="false">IF('Offshore - Melbourne'!E385="","-",'Offshore - Melbourne'!E385)</f>
        <v>2700</v>
      </c>
      <c r="H165" s="63" t="n">
        <f aca="false">IF(ISNUMBER(K165),COUNTIFS($J$6:$J$1854,J165,$K$6:$K$1854,"&lt;"&amp;K165)+1,"-")</f>
        <v>2</v>
      </c>
      <c r="I165" s="64" t="str">
        <f aca="false">IF('Offshore - Melbourne'!E385="","Harga belum tersedia - hubungi konsultan TEG",IF(M165=2,"Saat ini tidak menerima pendaftaran siswa internasional baru",IF(M165=1,"Harga perlu dikonfirmasi ke sekolah"&amp;IF(""="","","; "&amp;""),"")))</f>
        <v/>
      </c>
      <c r="J165" s="0" t="s">
        <v>3807</v>
      </c>
      <c r="K165" s="0" t="n">
        <f aca="false">IF(M165=2,"",IF(ISNUMBER(SEARCH("rata-rata:",'Offshore - Melbourne'!N385)),VALUE(MID('Offshore - Melbourne'!N385,SEARCH("rata-rata:",'Offshore - Melbourne'!N385)+11,FIND(";",'Offshore - Melbourne'!N385&amp;";",SEARCH("rata-rata:",'Offshore - Melbourne'!N385))-SEARCH("rata-rata:",'Offshore - Melbourne'!N385)-11)),IF('Offshore - Melbourne'!D385="Semester",'Offshore - Melbourne'!E385*2,IF('Offshore - Melbourne'!D385="Trimester",'Offshore - Melbourne'!E385*3,IF('Offshore - Melbourne'!D385="Term",'Offshore - Melbourne'!E385*4,IF('Offshore - Melbourne'!D385="Unit",'Offshore - Melbourne'!E385*8,""))))))</f>
        <v>10800</v>
      </c>
      <c r="L165" s="0" t="n">
        <f aca="false">IF(AND(ISNUMBER('Offshore - Melbourne'!E385),ISNUMBER(K165),ISNUMBER('Offshore - Melbourne'!F385),ISNUMBER('Offshore - Melbourne'!G385),OR('Offshore - Melbourne'!F385&lt;&gt;0,ISNUMBER(SEARCH("Material 0 terverifikasi",'Offshore - Melbourne'!N385))),OR('Offshore - Melbourne'!G385&lt;&gt;0,ISNUMBER(SEARCH("Enrolment 0 terverifikasi",'Offshore - Melbourne'!N385)))),1,0)</f>
        <v>1</v>
      </c>
      <c r="M165" s="0" t="n">
        <f aca="false">IF(OR('Offshore - Melbourne'!E385="",ISNUMBER(SEARCH("BSB80120",'Offshore - Melbourne'!B385&amp;'Offshore - Melbourne'!N385)),ISNUMBER(SEARCH("Management (Learning)",'Offshore - Melbourne'!B385))),2,IF(ISNUMBER(SEARCH("CEK:",'Offshore - Melbourne'!N385)),1,0))</f>
        <v>0</v>
      </c>
    </row>
    <row r="166" customFormat="false" ht="15" hidden="false" customHeight="false" outlineLevel="0" collapsed="false">
      <c r="A166" s="63" t="s">
        <v>3544</v>
      </c>
      <c r="B166" s="64" t="s">
        <v>3792</v>
      </c>
      <c r="C166" s="63" t="s">
        <v>40</v>
      </c>
      <c r="D166" s="64" t="str">
        <f aca="false">TRIM(LEFT('Offshore - Melbourne'!A228,FIND(CHAR(10),'Offshore - Melbourne'!A228&amp;CHAR(10))-1))</f>
        <v>Baxter Institute</v>
      </c>
      <c r="E166" s="63" t="str">
        <f aca="false">'Offshore - Melbourne'!C228&amp;""</f>
        <v>2 years</v>
      </c>
      <c r="F166" s="63" t="str">
        <f aca="false">IF('Offshore - Melbourne'!D228="","Belum tercatat",'Offshore - Melbourne'!D228)</f>
        <v>Term</v>
      </c>
      <c r="G166" s="65" t="n">
        <f aca="false">IF('Offshore - Melbourne'!E228="","-",'Offshore - Melbourne'!E228)</f>
        <v>2740</v>
      </c>
      <c r="H166" s="63" t="n">
        <f aca="false">IF(ISNUMBER(K166),COUNTIFS($J$6:$J$1854,J166,$K$6:$K$1854,"&lt;"&amp;K166)+1,"-")</f>
        <v>3</v>
      </c>
      <c r="I166" s="64" t="str">
        <f aca="false">IF('Offshore - Melbourne'!E228="","Harga belum tersedia - hubungi konsultan TEG",IF(M166=2,"Saat ini tidak menerima pendaftaran siswa internasional baru",IF(M166=1,"Harga perlu dikonfirmasi ke sekolah"&amp;IF(""="","","; "&amp;""),"")))</f>
        <v/>
      </c>
      <c r="J166" s="0" t="s">
        <v>3807</v>
      </c>
      <c r="K166" s="0" t="n">
        <f aca="false">IF(M166=2,"",IF(ISNUMBER(SEARCH("rata-rata:",'Offshore - Melbourne'!N228)),VALUE(MID('Offshore - Melbourne'!N228,SEARCH("rata-rata:",'Offshore - Melbourne'!N228)+11,FIND(";",'Offshore - Melbourne'!N228&amp;";",SEARCH("rata-rata:",'Offshore - Melbourne'!N228))-SEARCH("rata-rata:",'Offshore - Melbourne'!N228)-11)),IF('Offshore - Melbourne'!D228="Semester",'Offshore - Melbourne'!E228*2,IF('Offshore - Melbourne'!D228="Trimester",'Offshore - Melbourne'!E228*3,IF('Offshore - Melbourne'!D228="Term",'Offshore - Melbourne'!E228*4,IF('Offshore - Melbourne'!D228="Unit",'Offshore - Melbourne'!E228*8,""))))))</f>
        <v>10960</v>
      </c>
      <c r="L166" s="0" t="n">
        <f aca="false">IF(AND(ISNUMBER('Offshore - Melbourne'!E228),ISNUMBER(K166),ISNUMBER('Offshore - Melbourne'!F228),ISNUMBER('Offshore - Melbourne'!G228),OR('Offshore - Melbourne'!F228&lt;&gt;0,ISNUMBER(SEARCH("Material 0 terverifikasi",'Offshore - Melbourne'!N228))),OR('Offshore - Melbourne'!G228&lt;&gt;0,ISNUMBER(SEARCH("Enrolment 0 terverifikasi",'Offshore - Melbourne'!N228)))),1,0)</f>
        <v>1</v>
      </c>
      <c r="M166" s="0" t="n">
        <f aca="false">IF(OR('Offshore - Melbourne'!E228="",ISNUMBER(SEARCH("BSB80120",'Offshore - Melbourne'!B228&amp;'Offshore - Melbourne'!N228)),ISNUMBER(SEARCH("Management (Learning)",'Offshore - Melbourne'!B228))),2,IF(ISNUMBER(SEARCH("CEK:",'Offshore - Melbourne'!N228)),1,0))</f>
        <v>0</v>
      </c>
    </row>
    <row r="167" customFormat="false" ht="15" hidden="false" customHeight="false" outlineLevel="0" collapsed="false">
      <c r="A167" s="63" t="s">
        <v>3544</v>
      </c>
      <c r="B167" s="64" t="s">
        <v>3792</v>
      </c>
      <c r="C167" s="63" t="s">
        <v>40</v>
      </c>
      <c r="D167" s="64" t="str">
        <f aca="false">TRIM(LEFT('Offshore - Melbourne'!A398,FIND(CHAR(10),'Offshore - Melbourne'!A398&amp;CHAR(10))-1))</f>
        <v>Signet Institute of Australia</v>
      </c>
      <c r="E167" s="63" t="str">
        <f aca="false">'Offshore - Melbourne'!C400&amp;""</f>
        <v>2 years</v>
      </c>
      <c r="F167" s="63" t="str">
        <f aca="false">IF('Offshore - Melbourne'!D400="","Belum tercatat",'Offshore - Melbourne'!D400)</f>
        <v>Term</v>
      </c>
      <c r="G167" s="65" t="n">
        <f aca="false">IF('Offshore - Melbourne'!E400="","-",'Offshore - Melbourne'!E400)</f>
        <v>2750</v>
      </c>
      <c r="H167" s="63" t="n">
        <f aca="false">IF(ISNUMBER(K167),COUNTIFS($J$6:$J$1854,J167,$K$6:$K$1854,"&lt;"&amp;K167)+1,"-")</f>
        <v>4</v>
      </c>
      <c r="I167" s="64" t="str">
        <f aca="false">IF('Offshore - Melbourne'!E400="","Harga belum tersedia - hubungi konsultan TEG",IF(M167=2,"Saat ini tidak menerima pendaftaran siswa internasional baru",IF(M167=1,"Harga perlu dikonfirmasi ke sekolah"&amp;IF(""="","","; "&amp;""),"")))</f>
        <v/>
      </c>
      <c r="J167" s="0" t="s">
        <v>3807</v>
      </c>
      <c r="K167" s="0" t="n">
        <f aca="false">IF(M167=2,"",IF(ISNUMBER(SEARCH("rata-rata:",'Offshore - Melbourne'!N400)),VALUE(MID('Offshore - Melbourne'!N400,SEARCH("rata-rata:",'Offshore - Melbourne'!N400)+11,FIND(";",'Offshore - Melbourne'!N400&amp;";",SEARCH("rata-rata:",'Offshore - Melbourne'!N400))-SEARCH("rata-rata:",'Offshore - Melbourne'!N400)-11)),IF('Offshore - Melbourne'!D400="Semester",'Offshore - Melbourne'!E400*2,IF('Offshore - Melbourne'!D400="Trimester",'Offshore - Melbourne'!E400*3,IF('Offshore - Melbourne'!D400="Term",'Offshore - Melbourne'!E400*4,IF('Offshore - Melbourne'!D400="Unit",'Offshore - Melbourne'!E400*8,""))))))</f>
        <v>11000</v>
      </c>
      <c r="L167" s="0" t="n">
        <f aca="false">IF(AND(ISNUMBER('Offshore - Melbourne'!E400),ISNUMBER(K167),ISNUMBER('Offshore - Melbourne'!F400),ISNUMBER('Offshore - Melbourne'!G400),OR('Offshore - Melbourne'!F400&lt;&gt;0,ISNUMBER(SEARCH("Material 0 terverifikasi",'Offshore - Melbourne'!N400))),OR('Offshore - Melbourne'!G400&lt;&gt;0,ISNUMBER(SEARCH("Enrolment 0 terverifikasi",'Offshore - Melbourne'!N400)))),1,0)</f>
        <v>0</v>
      </c>
      <c r="M167" s="0" t="n">
        <f aca="false">IF(OR('Offshore - Melbourne'!E400="",ISNUMBER(SEARCH("BSB80120",'Offshore - Melbourne'!B400&amp;'Offshore - Melbourne'!N400)),ISNUMBER(SEARCH("Management (Learning)",'Offshore - Melbourne'!B400))),2,IF(ISNUMBER(SEARCH("CEK:",'Offshore - Melbourne'!N400)),1,0))</f>
        <v>0</v>
      </c>
    </row>
    <row r="168" customFormat="false" ht="15" hidden="false" customHeight="false" outlineLevel="0" collapsed="false">
      <c r="A168" s="63" t="s">
        <v>3544</v>
      </c>
      <c r="B168" s="64" t="s">
        <v>3792</v>
      </c>
      <c r="C168" s="63" t="s">
        <v>40</v>
      </c>
      <c r="D168" s="64" t="str">
        <f aca="false">TRIM(LEFT('Offshore - Melbourne'!A345,FIND(CHAR(10),'Offshore - Melbourne'!A345&amp;CHAR(10))-1))</f>
        <v>Menzies Institute of Technology</v>
      </c>
      <c r="E168" s="63" t="str">
        <f aca="false">'Offshore - Melbourne'!C349&amp;""</f>
        <v>1,5 years</v>
      </c>
      <c r="F168" s="63" t="str">
        <f aca="false">IF('Offshore - Melbourne'!D349="","Belum tercatat",'Offshore - Melbourne'!D349)</f>
        <v>Term</v>
      </c>
      <c r="G168" s="65" t="n">
        <f aca="false">IF('Offshore - Melbourne'!E349="","-",'Offshore - Melbourne'!E349)</f>
        <v>4450</v>
      </c>
      <c r="H168" s="63" t="n">
        <f aca="false">IF(ISNUMBER(K168),COUNTIFS($J$6:$J$1854,J168,$K$6:$K$1854,"&lt;"&amp;K168)+1,"-")</f>
        <v>5</v>
      </c>
      <c r="I168" s="64" t="str">
        <f aca="false">IF('Offshore - Melbourne'!E349="","Harga belum tersedia - hubungi konsultan TEG",IF(M168=2,"Saat ini tidak menerima pendaftaran siswa internasional baru",IF(M168=1,"Harga perlu dikonfirmasi ke sekolah"&amp;IF(""="","","; "&amp;""),"")))</f>
        <v>Harga perlu dikonfirmasi ke sekolah</v>
      </c>
      <c r="J168" s="0" t="s">
        <v>3807</v>
      </c>
      <c r="K168" s="0" t="n">
        <f aca="false">IF(M168=2,"",IF(ISNUMBER(SEARCH("rata-rata:",'Offshore - Melbourne'!N349)),VALUE(MID('Offshore - Melbourne'!N349,SEARCH("rata-rata:",'Offshore - Melbourne'!N349)+11,FIND(";",'Offshore - Melbourne'!N349&amp;";",SEARCH("rata-rata:",'Offshore - Melbourne'!N349))-SEARCH("rata-rata:",'Offshore - Melbourne'!N349)-11)),IF('Offshore - Melbourne'!D349="Semester",'Offshore - Melbourne'!E349*2,IF('Offshore - Melbourne'!D349="Trimester",'Offshore - Melbourne'!E349*3,IF('Offshore - Melbourne'!D349="Term",'Offshore - Melbourne'!E349*4,IF('Offshore - Melbourne'!D349="Unit",'Offshore - Melbourne'!E349*8,""))))))</f>
        <v>17800</v>
      </c>
      <c r="L168" s="0" t="n">
        <f aca="false">IF(AND(ISNUMBER('Offshore - Melbourne'!E349),ISNUMBER(K168),ISNUMBER('Offshore - Melbourne'!F349),ISNUMBER('Offshore - Melbourne'!G349),OR('Offshore - Melbourne'!F349&lt;&gt;0,ISNUMBER(SEARCH("Material 0 terverifikasi",'Offshore - Melbourne'!N349))),OR('Offshore - Melbourne'!G349&lt;&gt;0,ISNUMBER(SEARCH("Enrolment 0 terverifikasi",'Offshore - Melbourne'!N349)))),1,0)</f>
        <v>1</v>
      </c>
      <c r="M168" s="0" t="n">
        <f aca="false">IF(OR('Offshore - Melbourne'!E349="",ISNUMBER(SEARCH("BSB80120",'Offshore - Melbourne'!B349&amp;'Offshore - Melbourne'!N349)),ISNUMBER(SEARCH("Management (Learning)",'Offshore - Melbourne'!B349))),2,IF(ISNUMBER(SEARCH("CEK:",'Offshore - Melbourne'!N349)),1,0))</f>
        <v>1</v>
      </c>
    </row>
    <row r="169" customFormat="false" ht="15" hidden="false" customHeight="false" outlineLevel="0" collapsed="false">
      <c r="A169" s="61" t="s">
        <v>3808</v>
      </c>
      <c r="B169" s="62"/>
      <c r="C169" s="62"/>
      <c r="D169" s="62"/>
      <c r="E169" s="62"/>
      <c r="F169" s="62"/>
      <c r="G169" s="62"/>
      <c r="H169" s="62"/>
      <c r="I169" s="62"/>
    </row>
    <row r="170" customFormat="false" ht="15" hidden="false" customHeight="false" outlineLevel="0" collapsed="false">
      <c r="A170" s="63" t="s">
        <v>3544</v>
      </c>
      <c r="B170" s="64" t="s">
        <v>3792</v>
      </c>
      <c r="C170" s="63" t="s">
        <v>41</v>
      </c>
      <c r="D170" s="64" t="str">
        <f aca="false">TRIM(LEFT('Offshore - Melbourne'!A228,FIND(CHAR(10),'Offshore - Melbourne'!A228&amp;CHAR(10))-1))</f>
        <v>Baxter Institute</v>
      </c>
      <c r="E170" s="63" t="str">
        <f aca="false">'Offshore - Melbourne'!C229&amp;""</f>
        <v>2,5 years</v>
      </c>
      <c r="F170" s="63" t="str">
        <f aca="false">IF('Offshore - Melbourne'!D229="","Belum tercatat",'Offshore - Melbourne'!D229)</f>
        <v>Term</v>
      </c>
      <c r="G170" s="65" t="n">
        <f aca="false">IF('Offshore - Melbourne'!E229="","-",'Offshore - Melbourne'!E229)</f>
        <v>2700</v>
      </c>
      <c r="H170" s="63" t="n">
        <f aca="false">IF(ISNUMBER(K170),COUNTIFS($J$6:$J$1854,J170,$K$6:$K$1854,"&lt;"&amp;K170)+1,"-")</f>
        <v>1</v>
      </c>
      <c r="I170" s="64" t="str">
        <f aca="false">IF('Offshore - Melbourne'!E229="","Harga belum tersedia - hubungi konsultan TEG",IF(M170=2,"Saat ini tidak menerima pendaftaran siswa internasional baru",IF(M170=1,"Harga perlu dikonfirmasi ke sekolah"&amp;IF(""="","","; "&amp;""),"")))</f>
        <v/>
      </c>
      <c r="J170" s="0" t="s">
        <v>3809</v>
      </c>
      <c r="K170" s="0" t="n">
        <f aca="false">IF(M170=2,"",IF(ISNUMBER(SEARCH("rata-rata:",'Offshore - Melbourne'!N229)),VALUE(MID('Offshore - Melbourne'!N229,SEARCH("rata-rata:",'Offshore - Melbourne'!N229)+11,FIND(";",'Offshore - Melbourne'!N229&amp;";",SEARCH("rata-rata:",'Offshore - Melbourne'!N229))-SEARCH("rata-rata:",'Offshore - Melbourne'!N229)-11)),IF('Offshore - Melbourne'!D229="Semester",'Offshore - Melbourne'!E229*2,IF('Offshore - Melbourne'!D229="Trimester",'Offshore - Melbourne'!E229*3,IF('Offshore - Melbourne'!D229="Term",'Offshore - Melbourne'!E229*4,IF('Offshore - Melbourne'!D229="Unit",'Offshore - Melbourne'!E229*8,""))))))</f>
        <v>10800</v>
      </c>
      <c r="L170" s="0" t="n">
        <f aca="false">IF(AND(ISNUMBER('Offshore - Melbourne'!E229),ISNUMBER(K170),ISNUMBER('Offshore - Melbourne'!F229),ISNUMBER('Offshore - Melbourne'!G229),OR('Offshore - Melbourne'!F229&lt;&gt;0,ISNUMBER(SEARCH("Material 0 terverifikasi",'Offshore - Melbourne'!N229))),OR('Offshore - Melbourne'!G229&lt;&gt;0,ISNUMBER(SEARCH("Enrolment 0 terverifikasi",'Offshore - Melbourne'!N229)))),1,0)</f>
        <v>1</v>
      </c>
      <c r="M170" s="0" t="n">
        <f aca="false">IF(OR('Offshore - Melbourne'!E229="",ISNUMBER(SEARCH("BSB80120",'Offshore - Melbourne'!B229&amp;'Offshore - Melbourne'!N229)),ISNUMBER(SEARCH("Management (Learning)",'Offshore - Melbourne'!B229))),2,IF(ISNUMBER(SEARCH("CEK:",'Offshore - Melbourne'!N229)),1,0))</f>
        <v>0</v>
      </c>
    </row>
    <row r="171" customFormat="false" ht="15" hidden="false" customHeight="false" outlineLevel="0" collapsed="false">
      <c r="A171" s="63" t="s">
        <v>3544</v>
      </c>
      <c r="B171" s="64" t="s">
        <v>3792</v>
      </c>
      <c r="C171" s="63" t="s">
        <v>41</v>
      </c>
      <c r="D171" s="64" t="str">
        <f aca="false">TRIM(LEFT('Offshore - Melbourne'!A382,FIND(CHAR(10),'Offshore - Melbourne'!A382&amp;CHAR(10))-1))</f>
        <v>Paragon Polytechnic</v>
      </c>
      <c r="E171" s="63" t="str">
        <f aca="false">'Offshore - Melbourne'!C386&amp;""</f>
        <v>3 years</v>
      </c>
      <c r="F171" s="63" t="str">
        <f aca="false">IF('Offshore - Melbourne'!D386="","Belum tercatat",'Offshore - Melbourne'!D386)</f>
        <v>Term</v>
      </c>
      <c r="G171" s="65" t="n">
        <f aca="false">IF('Offshore - Melbourne'!E386="","-",'Offshore - Melbourne'!E386)</f>
        <v>2700</v>
      </c>
      <c r="H171" s="63" t="n">
        <f aca="false">IF(ISNUMBER(K171),COUNTIFS($J$6:$J$1854,J171,$K$6:$K$1854,"&lt;"&amp;K171)+1,"-")</f>
        <v>1</v>
      </c>
      <c r="I171" s="64" t="str">
        <f aca="false">IF('Offshore - Melbourne'!E386="","Harga belum tersedia - hubungi konsultan TEG",IF(M171=2,"Saat ini tidak menerima pendaftaran siswa internasional baru",IF(M171=1,"Harga perlu dikonfirmasi ke sekolah"&amp;IF(""="","","; "&amp;""),"")))</f>
        <v/>
      </c>
      <c r="J171" s="0" t="s">
        <v>3809</v>
      </c>
      <c r="K171" s="0" t="n">
        <f aca="false">IF(M171=2,"",IF(ISNUMBER(SEARCH("rata-rata:",'Offshore - Melbourne'!N386)),VALUE(MID('Offshore - Melbourne'!N386,SEARCH("rata-rata:",'Offshore - Melbourne'!N386)+11,FIND(";",'Offshore - Melbourne'!N386&amp;";",SEARCH("rata-rata:",'Offshore - Melbourne'!N386))-SEARCH("rata-rata:",'Offshore - Melbourne'!N386)-11)),IF('Offshore - Melbourne'!D386="Semester",'Offshore - Melbourne'!E386*2,IF('Offshore - Melbourne'!D386="Trimester",'Offshore - Melbourne'!E386*3,IF('Offshore - Melbourne'!D386="Term",'Offshore - Melbourne'!E386*4,IF('Offshore - Melbourne'!D386="Unit",'Offshore - Melbourne'!E386*8,""))))))</f>
        <v>10800</v>
      </c>
      <c r="L171" s="0" t="n">
        <f aca="false">IF(AND(ISNUMBER('Offshore - Melbourne'!E386),ISNUMBER(K171),ISNUMBER('Offshore - Melbourne'!F386),ISNUMBER('Offshore - Melbourne'!G386),OR('Offshore - Melbourne'!F386&lt;&gt;0,ISNUMBER(SEARCH("Material 0 terverifikasi",'Offshore - Melbourne'!N386))),OR('Offshore - Melbourne'!G386&lt;&gt;0,ISNUMBER(SEARCH("Enrolment 0 terverifikasi",'Offshore - Melbourne'!N386)))),1,0)</f>
        <v>1</v>
      </c>
      <c r="M171" s="0" t="n">
        <f aca="false">IF(OR('Offshore - Melbourne'!E386="",ISNUMBER(SEARCH("BSB80120",'Offshore - Melbourne'!B386&amp;'Offshore - Melbourne'!N386)),ISNUMBER(SEARCH("Management (Learning)",'Offshore - Melbourne'!B386))),2,IF(ISNUMBER(SEARCH("CEK:",'Offshore - Melbourne'!N386)),1,0))</f>
        <v>0</v>
      </c>
    </row>
    <row r="172" customFormat="false" ht="15" hidden="false" customHeight="false" outlineLevel="0" collapsed="false">
      <c r="A172" s="63" t="s">
        <v>3544</v>
      </c>
      <c r="B172" s="64" t="s">
        <v>3792</v>
      </c>
      <c r="C172" s="63" t="s">
        <v>41</v>
      </c>
      <c r="D172" s="64" t="str">
        <f aca="false">TRIM(LEFT('Offshore - Melbourne'!A206,FIND(CHAR(10),'Offshore - Melbourne'!A206&amp;CHAR(10))-1))</f>
        <v>Australian Sovereign College (AuSC)</v>
      </c>
      <c r="E172" s="63" t="str">
        <f aca="false">'Offshore - Melbourne'!C219&amp;""</f>
        <v>2 years</v>
      </c>
      <c r="F172" s="63" t="str">
        <f aca="false">IF('Offshore - Melbourne'!D219="","Belum tercatat",'Offshore - Melbourne'!D219)</f>
        <v>Term</v>
      </c>
      <c r="G172" s="65" t="n">
        <f aca="false">IF('Offshore - Melbourne'!E219="","-",'Offshore - Melbourne'!E219)</f>
        <v>2850</v>
      </c>
      <c r="H172" s="63" t="n">
        <f aca="false">IF(ISNUMBER(K172),COUNTIFS($J$6:$J$1854,J172,$K$6:$K$1854,"&lt;"&amp;K172)+1,"-")</f>
        <v>3</v>
      </c>
      <c r="I172" s="64" t="str">
        <f aca="false">IF('Offshore - Melbourne'!E219="","Harga belum tersedia - hubungi konsultan TEG",IF(M172=2,"Saat ini tidak menerima pendaftaran siswa internasional baru",IF(M172=1,"Harga perlu dikonfirmasi ke sekolah"&amp;IF(""="","","; "&amp;""),"")))</f>
        <v/>
      </c>
      <c r="J172" s="0" t="s">
        <v>3809</v>
      </c>
      <c r="K172" s="0" t="n">
        <f aca="false">IF(M172=2,"",IF(ISNUMBER(SEARCH("rata-rata:",'Offshore - Melbourne'!N219)),VALUE(MID('Offshore - Melbourne'!N219,SEARCH("rata-rata:",'Offshore - Melbourne'!N219)+11,FIND(";",'Offshore - Melbourne'!N219&amp;";",SEARCH("rata-rata:",'Offshore - Melbourne'!N219))-SEARCH("rata-rata:",'Offshore - Melbourne'!N219)-11)),IF('Offshore - Melbourne'!D219="Semester",'Offshore - Melbourne'!E219*2,IF('Offshore - Melbourne'!D219="Trimester",'Offshore - Melbourne'!E219*3,IF('Offshore - Melbourne'!D219="Term",'Offshore - Melbourne'!E219*4,IF('Offshore - Melbourne'!D219="Unit",'Offshore - Melbourne'!E219*8,""))))))</f>
        <v>11400</v>
      </c>
      <c r="L172" s="0" t="n">
        <f aca="false">IF(AND(ISNUMBER('Offshore - Melbourne'!E219),ISNUMBER(K172),ISNUMBER('Offshore - Melbourne'!F219),ISNUMBER('Offshore - Melbourne'!G219),OR('Offshore - Melbourne'!F219&lt;&gt;0,ISNUMBER(SEARCH("Material 0 terverifikasi",'Offshore - Melbourne'!N219))),OR('Offshore - Melbourne'!G219&lt;&gt;0,ISNUMBER(SEARCH("Enrolment 0 terverifikasi",'Offshore - Melbourne'!N219)))),1,0)</f>
        <v>1</v>
      </c>
      <c r="M172" s="0" t="n">
        <f aca="false">IF(OR('Offshore - Melbourne'!E219="",ISNUMBER(SEARCH("BSB80120",'Offshore - Melbourne'!B219&amp;'Offshore - Melbourne'!N219)),ISNUMBER(SEARCH("Management (Learning)",'Offshore - Melbourne'!B219))),2,IF(ISNUMBER(SEARCH("CEK:",'Offshore - Melbourne'!N219)),1,0))</f>
        <v>0</v>
      </c>
    </row>
    <row r="173" customFormat="false" ht="15" hidden="false" customHeight="false" outlineLevel="0" collapsed="false">
      <c r="A173" s="63" t="s">
        <v>3544</v>
      </c>
      <c r="B173" s="64" t="s">
        <v>3792</v>
      </c>
      <c r="C173" s="63" t="s">
        <v>41</v>
      </c>
      <c r="D173" s="64" t="str">
        <f aca="false">TRIM(LEFT('Offshore - Melbourne'!A345,FIND(CHAR(10),'Offshore - Melbourne'!A345&amp;CHAR(10))-1))</f>
        <v>Menzies Institute of Technology</v>
      </c>
      <c r="E173" s="63" t="str">
        <f aca="false">'Offshore - Melbourne'!C350&amp;""</f>
        <v>2 years</v>
      </c>
      <c r="F173" s="63" t="str">
        <f aca="false">IF('Offshore - Melbourne'!D350="","Belum tercatat",'Offshore - Melbourne'!D350)</f>
        <v>Term</v>
      </c>
      <c r="G173" s="65" t="n">
        <f aca="false">IF('Offshore - Melbourne'!E350="","-",'Offshore - Melbourne'!E350)</f>
        <v>4450</v>
      </c>
      <c r="H173" s="63" t="n">
        <f aca="false">IF(ISNUMBER(K173),COUNTIFS($J$6:$J$1854,J173,$K$6:$K$1854,"&lt;"&amp;K173)+1,"-")</f>
        <v>4</v>
      </c>
      <c r="I173" s="64" t="str">
        <f aca="false">IF('Offshore - Melbourne'!E350="","Harga belum tersedia - hubungi konsultan TEG",IF(M173=2,"Saat ini tidak menerima pendaftaran siswa internasional baru",IF(M173=1,"Harga perlu dikonfirmasi ke sekolah"&amp;IF(""="","","; "&amp;""),"")))</f>
        <v/>
      </c>
      <c r="J173" s="0" t="s">
        <v>3809</v>
      </c>
      <c r="K173" s="0" t="n">
        <f aca="false">IF(M173=2,"",IF(ISNUMBER(SEARCH("rata-rata:",'Offshore - Melbourne'!N350)),VALUE(MID('Offshore - Melbourne'!N350,SEARCH("rata-rata:",'Offshore - Melbourne'!N350)+11,FIND(";",'Offshore - Melbourne'!N350&amp;";",SEARCH("rata-rata:",'Offshore - Melbourne'!N350))-SEARCH("rata-rata:",'Offshore - Melbourne'!N350)-11)),IF('Offshore - Melbourne'!D350="Semester",'Offshore - Melbourne'!E350*2,IF('Offshore - Melbourne'!D350="Trimester",'Offshore - Melbourne'!E350*3,IF('Offshore - Melbourne'!D350="Term",'Offshore - Melbourne'!E350*4,IF('Offshore - Melbourne'!D350="Unit",'Offshore - Melbourne'!E350*8,""))))))</f>
        <v>17800</v>
      </c>
      <c r="L173" s="0" t="n">
        <f aca="false">IF(AND(ISNUMBER('Offshore - Melbourne'!E350),ISNUMBER(K173),ISNUMBER('Offshore - Melbourne'!F350),ISNUMBER('Offshore - Melbourne'!G350),OR('Offshore - Melbourne'!F350&lt;&gt;0,ISNUMBER(SEARCH("Material 0 terverifikasi",'Offshore - Melbourne'!N350))),OR('Offshore - Melbourne'!G350&lt;&gt;0,ISNUMBER(SEARCH("Enrolment 0 terverifikasi",'Offshore - Melbourne'!N350)))),1,0)</f>
        <v>1</v>
      </c>
      <c r="M173" s="0" t="n">
        <f aca="false">IF(OR('Offshore - Melbourne'!E350="",ISNUMBER(SEARCH("BSB80120",'Offshore - Melbourne'!B350&amp;'Offshore - Melbourne'!N350)),ISNUMBER(SEARCH("Management (Learning)",'Offshore - Melbourne'!B350))),2,IF(ISNUMBER(SEARCH("CEK:",'Offshore - Melbourne'!N350)),1,0))</f>
        <v>0</v>
      </c>
    </row>
    <row r="174" customFormat="false" ht="15" hidden="false" customHeight="false" outlineLevel="0" collapsed="false">
      <c r="A174" s="61" t="s">
        <v>3810</v>
      </c>
      <c r="B174" s="62"/>
      <c r="C174" s="62"/>
      <c r="D174" s="62"/>
      <c r="E174" s="62"/>
      <c r="F174" s="62"/>
      <c r="G174" s="62"/>
      <c r="H174" s="62"/>
      <c r="I174" s="62"/>
    </row>
    <row r="175" customFormat="false" ht="15" hidden="false" customHeight="false" outlineLevel="0" collapsed="false">
      <c r="A175" s="63" t="s">
        <v>3573</v>
      </c>
      <c r="B175" s="64" t="s">
        <v>3792</v>
      </c>
      <c r="C175" s="63" t="s">
        <v>40</v>
      </c>
      <c r="D175" s="64" t="str">
        <f aca="false">TRIM(LEFT('Offshore - Perth'!A35,FIND(CHAR(10),'Offshore - Perth'!A35&amp;CHAR(10))-1))</f>
        <v>Baxter Institute</v>
      </c>
      <c r="E175" s="63" t="str">
        <f aca="false">'Offshore - Perth'!C37&amp;""</f>
        <v>2 years</v>
      </c>
      <c r="F175" s="63" t="str">
        <f aca="false">IF('Offshore - Perth'!D37="","Belum tercatat",'Offshore - Perth'!D37)</f>
        <v>Term</v>
      </c>
      <c r="G175" s="65" t="n">
        <f aca="false">IF('Offshore - Perth'!E37="","-",'Offshore - Perth'!E37)</f>
        <v>2625</v>
      </c>
      <c r="H175" s="63" t="n">
        <f aca="false">IF(ISNUMBER(K175),COUNTIFS($J$6:$J$1854,J175,$K$6:$K$1854,"&lt;"&amp;K175)+1,"-")</f>
        <v>1</v>
      </c>
      <c r="I175" s="64" t="str">
        <f aca="false">IF('Offshore - Perth'!E37="","Harga belum tersedia - hubungi konsultan TEG",IF(M175=2,"Saat ini tidak menerima pendaftaran siswa internasional baru",IF(M175=1,"Harga perlu dikonfirmasi ke sekolah"&amp;IF(""="","","; "&amp;""),"")))</f>
        <v/>
      </c>
      <c r="J175" s="0" t="s">
        <v>3811</v>
      </c>
      <c r="K175" s="0" t="n">
        <f aca="false">IF(M175=2,"",IF(ISNUMBER(SEARCH("rata-rata:",'Offshore - Perth'!N37)),VALUE(MID('Offshore - Perth'!N37,SEARCH("rata-rata:",'Offshore - Perth'!N37)+11,FIND(";",'Offshore - Perth'!N37&amp;";",SEARCH("rata-rata:",'Offshore - Perth'!N37))-SEARCH("rata-rata:",'Offshore - Perth'!N37)-11)),IF('Offshore - Perth'!D37="Semester",'Offshore - Perth'!E37*2,IF('Offshore - Perth'!D37="Trimester",'Offshore - Perth'!E37*3,IF('Offshore - Perth'!D37="Term",'Offshore - Perth'!E37*4,IF('Offshore - Perth'!D37="Unit",'Offshore - Perth'!E37*8,""))))))</f>
        <v>10500</v>
      </c>
      <c r="L175" s="0" t="n">
        <f aca="false">IF(AND(ISNUMBER('Offshore - Perth'!E37),ISNUMBER(K175),ISNUMBER('Offshore - Perth'!F37),ISNUMBER('Offshore - Perth'!G37),OR('Offshore - Perth'!F37&lt;&gt;0,ISNUMBER(SEARCH("Material 0 terverifikasi",'Offshore - Perth'!N37))),OR('Offshore - Perth'!G37&lt;&gt;0,ISNUMBER(SEARCH("Enrolment 0 terverifikasi",'Offshore - Perth'!N37)))),1,0)</f>
        <v>1</v>
      </c>
      <c r="M175" s="0" t="n">
        <f aca="false">IF(OR('Offshore - Perth'!E37="",ISNUMBER(SEARCH("BSB80120",'Offshore - Perth'!B37&amp;'Offshore - Perth'!N37)),ISNUMBER(SEARCH("Management (Learning)",'Offshore - Perth'!B37))),2,IF(ISNUMBER(SEARCH("CEK:",'Offshore - Perth'!N37)),1,0))</f>
        <v>0</v>
      </c>
    </row>
    <row r="176" customFormat="false" ht="15" hidden="false" customHeight="false" outlineLevel="0" collapsed="false">
      <c r="A176" s="63" t="s">
        <v>3573</v>
      </c>
      <c r="B176" s="64" t="s">
        <v>3792</v>
      </c>
      <c r="C176" s="63" t="s">
        <v>40</v>
      </c>
      <c r="D176" s="64" t="str">
        <f aca="false">TRIM(LEFT('Offshore - Perth'!A27,FIND(CHAR(10),'Offshore - Perth'!A27&amp;CHAR(10))-1))</f>
        <v>Apeiro Institute</v>
      </c>
      <c r="E176" s="63" t="str">
        <f aca="false">'Offshore - Perth'!C29&amp;""</f>
        <v>2 years</v>
      </c>
      <c r="F176" s="63" t="str">
        <f aca="false">IF('Offshore - Perth'!D29="","Belum tercatat",'Offshore - Perth'!D29)</f>
        <v>Term</v>
      </c>
      <c r="G176" s="65" t="n">
        <f aca="false">IF('Offshore - Perth'!E29="","-",'Offshore - Perth'!E29)</f>
        <v>3900</v>
      </c>
      <c r="H176" s="63" t="n">
        <f aca="false">IF(ISNUMBER(K176),COUNTIFS($J$6:$J$1854,J176,$K$6:$K$1854,"&lt;"&amp;K176)+1,"-")</f>
        <v>2</v>
      </c>
      <c r="I176" s="64" t="str">
        <f aca="false">IF('Offshore - Perth'!E29="","Harga belum tersedia - hubungi konsultan TEG",IF(M176=2,"Saat ini tidak menerima pendaftaran siswa internasional baru",IF(M176=1,"Harga perlu dikonfirmasi ke sekolah"&amp;IF(""="","","; "&amp;""),"")))</f>
        <v/>
      </c>
      <c r="J176" s="0" t="s">
        <v>3811</v>
      </c>
      <c r="K176" s="0" t="n">
        <f aca="false">IF(M176=2,"",IF(ISNUMBER(SEARCH("rata-rata:",'Offshore - Perth'!N29)),VALUE(MID('Offshore - Perth'!N29,SEARCH("rata-rata:",'Offshore - Perth'!N29)+11,FIND(";",'Offshore - Perth'!N29&amp;";",SEARCH("rata-rata:",'Offshore - Perth'!N29))-SEARCH("rata-rata:",'Offshore - Perth'!N29)-11)),IF('Offshore - Perth'!D29="Semester",'Offshore - Perth'!E29*2,IF('Offshore - Perth'!D29="Trimester",'Offshore - Perth'!E29*3,IF('Offshore - Perth'!D29="Term",'Offshore - Perth'!E29*4,IF('Offshore - Perth'!D29="Unit",'Offshore - Perth'!E29*8,""))))))</f>
        <v>15600</v>
      </c>
      <c r="L176" s="0" t="n">
        <f aca="false">IF(AND(ISNUMBER('Offshore - Perth'!E29),ISNUMBER(K176),ISNUMBER('Offshore - Perth'!F29),ISNUMBER('Offshore - Perth'!G29),OR('Offshore - Perth'!F29&lt;&gt;0,ISNUMBER(SEARCH("Material 0 terverifikasi",'Offshore - Perth'!N29))),OR('Offshore - Perth'!G29&lt;&gt;0,ISNUMBER(SEARCH("Enrolment 0 terverifikasi",'Offshore - Perth'!N29)))),1,0)</f>
        <v>1</v>
      </c>
      <c r="M176" s="0" t="n">
        <f aca="false">IF(OR('Offshore - Perth'!E29="",ISNUMBER(SEARCH("BSB80120",'Offshore - Perth'!B29&amp;'Offshore - Perth'!N29)),ISNUMBER(SEARCH("Management (Learning)",'Offshore - Perth'!B29))),2,IF(ISNUMBER(SEARCH("CEK:",'Offshore - Perth'!N29)),1,0))</f>
        <v>0</v>
      </c>
    </row>
    <row r="177" customFormat="false" ht="15" hidden="false" customHeight="false" outlineLevel="0" collapsed="false">
      <c r="A177" s="61" t="s">
        <v>3812</v>
      </c>
      <c r="B177" s="62"/>
      <c r="C177" s="62"/>
      <c r="D177" s="62"/>
      <c r="E177" s="62"/>
      <c r="F177" s="62"/>
      <c r="G177" s="62"/>
      <c r="H177" s="62"/>
      <c r="I177" s="62"/>
    </row>
    <row r="178" customFormat="false" ht="15" hidden="false" customHeight="false" outlineLevel="0" collapsed="false">
      <c r="A178" s="63" t="s">
        <v>3573</v>
      </c>
      <c r="B178" s="64" t="s">
        <v>3792</v>
      </c>
      <c r="C178" s="63" t="s">
        <v>41</v>
      </c>
      <c r="D178" s="64" t="str">
        <f aca="false">TRIM(LEFT('Offshore - Perth'!A35,FIND(CHAR(10),'Offshore - Perth'!A35&amp;CHAR(10))-1))</f>
        <v>Baxter Institute</v>
      </c>
      <c r="E178" s="63" t="str">
        <f aca="false">'Offshore - Perth'!C38&amp;""</f>
        <v>2,5 years</v>
      </c>
      <c r="F178" s="63" t="str">
        <f aca="false">IF('Offshore - Perth'!D38="","Belum tercatat",'Offshore - Perth'!D38)</f>
        <v>Term</v>
      </c>
      <c r="G178" s="65" t="n">
        <f aca="false">IF('Offshore - Perth'!E38="","-",'Offshore - Perth'!E38)</f>
        <v>2700</v>
      </c>
      <c r="H178" s="63" t="n">
        <f aca="false">IF(ISNUMBER(K178),COUNTIFS($J$6:$J$1854,J178,$K$6:$K$1854,"&lt;"&amp;K178)+1,"-")</f>
        <v>1</v>
      </c>
      <c r="I178" s="64" t="str">
        <f aca="false">IF('Offshore - Perth'!E38="","Harga belum tersedia - hubungi konsultan TEG",IF(M178=2,"Saat ini tidak menerima pendaftaran siswa internasional baru",IF(M178=1,"Harga perlu dikonfirmasi ke sekolah"&amp;IF(""="","","; "&amp;""),"")))</f>
        <v/>
      </c>
      <c r="J178" s="0" t="s">
        <v>3813</v>
      </c>
      <c r="K178" s="0" t="n">
        <f aca="false">IF(M178=2,"",IF(ISNUMBER(SEARCH("rata-rata:",'Offshore - Perth'!N38)),VALUE(MID('Offshore - Perth'!N38,SEARCH("rata-rata:",'Offshore - Perth'!N38)+11,FIND(";",'Offshore - Perth'!N38&amp;";",SEARCH("rata-rata:",'Offshore - Perth'!N38))-SEARCH("rata-rata:",'Offshore - Perth'!N38)-11)),IF('Offshore - Perth'!D38="Semester",'Offshore - Perth'!E38*2,IF('Offshore - Perth'!D38="Trimester",'Offshore - Perth'!E38*3,IF('Offshore - Perth'!D38="Term",'Offshore - Perth'!E38*4,IF('Offshore - Perth'!D38="Unit",'Offshore - Perth'!E38*8,""))))))</f>
        <v>10800</v>
      </c>
      <c r="L178" s="0" t="n">
        <f aca="false">IF(AND(ISNUMBER('Offshore - Perth'!E38),ISNUMBER(K178),ISNUMBER('Offshore - Perth'!F38),ISNUMBER('Offshore - Perth'!G38),OR('Offshore - Perth'!F38&lt;&gt;0,ISNUMBER(SEARCH("Material 0 terverifikasi",'Offshore - Perth'!N38))),OR('Offshore - Perth'!G38&lt;&gt;0,ISNUMBER(SEARCH("Enrolment 0 terverifikasi",'Offshore - Perth'!N38)))),1,0)</f>
        <v>1</v>
      </c>
      <c r="M178" s="0" t="n">
        <f aca="false">IF(OR('Offshore - Perth'!E38="",ISNUMBER(SEARCH("BSB80120",'Offshore - Perth'!B38&amp;'Offshore - Perth'!N38)),ISNUMBER(SEARCH("Management (Learning)",'Offshore - Perth'!B38))),2,IF(ISNUMBER(SEARCH("CEK:",'Offshore - Perth'!N38)),1,0))</f>
        <v>0</v>
      </c>
    </row>
    <row r="179" customFormat="false" ht="15" hidden="false" customHeight="false" outlineLevel="0" collapsed="false">
      <c r="A179" s="63" t="s">
        <v>3573</v>
      </c>
      <c r="B179" s="64" t="s">
        <v>3792</v>
      </c>
      <c r="C179" s="63" t="s">
        <v>41</v>
      </c>
      <c r="D179" s="64" t="str">
        <f aca="false">TRIM(LEFT('Offshore - Perth'!A135,FIND(CHAR(10),'Offshore - Perth'!A135&amp;CHAR(10))-1))</f>
        <v>Skills Institute Australia</v>
      </c>
      <c r="E179" s="63" t="str">
        <f aca="false">'Offshore - Perth'!C138&amp;""</f>
        <v>2,5 years</v>
      </c>
      <c r="F179" s="63" t="str">
        <f aca="false">IF('Offshore - Perth'!D138="","Belum tercatat",'Offshore - Perth'!D138)</f>
        <v>Term</v>
      </c>
      <c r="G179" s="65" t="n">
        <f aca="false">IF('Offshore - Perth'!E138="","-",'Offshore - Perth'!E138)</f>
        <v>3650</v>
      </c>
      <c r="H179" s="63" t="n">
        <f aca="false">IF(ISNUMBER(K179),COUNTIFS($J$6:$J$1854,J179,$K$6:$K$1854,"&lt;"&amp;K179)+1,"-")</f>
        <v>2</v>
      </c>
      <c r="I179" s="64" t="str">
        <f aca="false">IF('Offshore - Perth'!E138="","Harga belum tersedia - hubungi konsultan TEG",IF(M179=2,"Saat ini tidak menerima pendaftaran siswa internasional baru",IF(M179=1,"Harga perlu dikonfirmasi ke sekolah"&amp;IF(""="","","; "&amp;""),"")))</f>
        <v/>
      </c>
      <c r="J179" s="0" t="s">
        <v>3813</v>
      </c>
      <c r="K179" s="0" t="n">
        <f aca="false">IF(M179=2,"",IF(ISNUMBER(SEARCH("rata-rata:",'Offshore - Perth'!N138)),VALUE(MID('Offshore - Perth'!N138,SEARCH("rata-rata:",'Offshore - Perth'!N138)+11,FIND(";",'Offshore - Perth'!N138&amp;";",SEARCH("rata-rata:",'Offshore - Perth'!N138))-SEARCH("rata-rata:",'Offshore - Perth'!N138)-11)),IF('Offshore - Perth'!D138="Semester",'Offshore - Perth'!E138*2,IF('Offshore - Perth'!D138="Trimester",'Offshore - Perth'!E138*3,IF('Offshore - Perth'!D138="Term",'Offshore - Perth'!E138*4,IF('Offshore - Perth'!D138="Unit",'Offshore - Perth'!E138*8,""))))))</f>
        <v>14600</v>
      </c>
      <c r="L179" s="0" t="n">
        <f aca="false">IF(AND(ISNUMBER('Offshore - Perth'!E138),ISNUMBER(K179),ISNUMBER('Offshore - Perth'!F138),ISNUMBER('Offshore - Perth'!G138),OR('Offshore - Perth'!F138&lt;&gt;0,ISNUMBER(SEARCH("Material 0 terverifikasi",'Offshore - Perth'!N138))),OR('Offshore - Perth'!G138&lt;&gt;0,ISNUMBER(SEARCH("Enrolment 0 terverifikasi",'Offshore - Perth'!N138)))),1,0)</f>
        <v>1</v>
      </c>
      <c r="M179" s="0" t="n">
        <f aca="false">IF(OR('Offshore - Perth'!E138="",ISNUMBER(SEARCH("BSB80120",'Offshore - Perth'!B138&amp;'Offshore - Perth'!N138)),ISNUMBER(SEARCH("Management (Learning)",'Offshore - Perth'!B138))),2,IF(ISNUMBER(SEARCH("CEK:",'Offshore - Perth'!N138)),1,0))</f>
        <v>0</v>
      </c>
    </row>
    <row r="180" customFormat="false" ht="15" hidden="false" customHeight="false" outlineLevel="0" collapsed="false">
      <c r="A180" s="63" t="s">
        <v>3573</v>
      </c>
      <c r="B180" s="64" t="s">
        <v>3792</v>
      </c>
      <c r="C180" s="63" t="s">
        <v>41</v>
      </c>
      <c r="D180" s="64" t="str">
        <f aca="false">TRIM(LEFT('Offshore - Perth'!A27,FIND(CHAR(10),'Offshore - Perth'!A27&amp;CHAR(10))-1))</f>
        <v>Apeiro Institute</v>
      </c>
      <c r="E180" s="63" t="str">
        <f aca="false">'Offshore - Perth'!C30&amp;""</f>
        <v>2,5 years</v>
      </c>
      <c r="F180" s="63" t="str">
        <f aca="false">IF('Offshore - Perth'!D30="","Belum tercatat",'Offshore - Perth'!D30)</f>
        <v>Term</v>
      </c>
      <c r="G180" s="65" t="n">
        <f aca="false">IF('Offshore - Perth'!E30="","-",'Offshore - Perth'!E30)</f>
        <v>3900</v>
      </c>
      <c r="H180" s="63" t="n">
        <f aca="false">IF(ISNUMBER(K180),COUNTIFS($J$6:$J$1854,J180,$K$6:$K$1854,"&lt;"&amp;K180)+1,"-")</f>
        <v>3</v>
      </c>
      <c r="I180" s="64" t="str">
        <f aca="false">IF('Offshore - Perth'!E30="","Harga belum tersedia - hubungi konsultan TEG",IF(M180=2,"Saat ini tidak menerima pendaftaran siswa internasional baru",IF(M180=1,"Harga perlu dikonfirmasi ke sekolah"&amp;IF(""="","","; "&amp;""),"")))</f>
        <v/>
      </c>
      <c r="J180" s="0" t="s">
        <v>3813</v>
      </c>
      <c r="K180" s="0" t="n">
        <f aca="false">IF(M180=2,"",IF(ISNUMBER(SEARCH("rata-rata:",'Offshore - Perth'!N30)),VALUE(MID('Offshore - Perth'!N30,SEARCH("rata-rata:",'Offshore - Perth'!N30)+11,FIND(";",'Offshore - Perth'!N30&amp;";",SEARCH("rata-rata:",'Offshore - Perth'!N30))-SEARCH("rata-rata:",'Offshore - Perth'!N30)-11)),IF('Offshore - Perth'!D30="Semester",'Offshore - Perth'!E30*2,IF('Offshore - Perth'!D30="Trimester",'Offshore - Perth'!E30*3,IF('Offshore - Perth'!D30="Term",'Offshore - Perth'!E30*4,IF('Offshore - Perth'!D30="Unit",'Offshore - Perth'!E30*8,""))))))</f>
        <v>15600</v>
      </c>
      <c r="L180" s="0" t="n">
        <f aca="false">IF(AND(ISNUMBER('Offshore - Perth'!E30),ISNUMBER(K180),ISNUMBER('Offshore - Perth'!F30),ISNUMBER('Offshore - Perth'!G30),OR('Offshore - Perth'!F30&lt;&gt;0,ISNUMBER(SEARCH("Material 0 terverifikasi",'Offshore - Perth'!N30))),OR('Offshore - Perth'!G30&lt;&gt;0,ISNUMBER(SEARCH("Enrolment 0 terverifikasi",'Offshore - Perth'!N30)))),1,0)</f>
        <v>1</v>
      </c>
      <c r="M180" s="0" t="n">
        <f aca="false">IF(OR('Offshore - Perth'!E30="",ISNUMBER(SEARCH("BSB80120",'Offshore - Perth'!B30&amp;'Offshore - Perth'!N30)),ISNUMBER(SEARCH("Management (Learning)",'Offshore - Perth'!B30))),2,IF(ISNUMBER(SEARCH("CEK:",'Offshore - Perth'!N30)),1,0))</f>
        <v>0</v>
      </c>
    </row>
    <row r="181" customFormat="false" ht="15" hidden="false" customHeight="false" outlineLevel="0" collapsed="false">
      <c r="A181" s="61" t="s">
        <v>3814</v>
      </c>
      <c r="B181" s="62"/>
      <c r="C181" s="62"/>
      <c r="D181" s="62"/>
      <c r="E181" s="62"/>
      <c r="F181" s="62"/>
      <c r="G181" s="62"/>
      <c r="H181" s="62"/>
      <c r="I181" s="62"/>
    </row>
    <row r="182" customFormat="false" ht="15" hidden="false" customHeight="false" outlineLevel="0" collapsed="false">
      <c r="A182" s="63" t="s">
        <v>3533</v>
      </c>
      <c r="B182" s="64" t="s">
        <v>3792</v>
      </c>
      <c r="C182" s="63" t="s">
        <v>39</v>
      </c>
      <c r="D182" s="64" t="str">
        <f aca="false">TRIM(LEFT('Offshore - Sydney'!A648,FIND(CHAR(10),'Offshore - Sydney'!A648&amp;CHAR(10))-1))</f>
        <v>Oceania College of Technology</v>
      </c>
      <c r="E182" s="63" t="str">
        <f aca="false">'Offshore - Sydney'!C658&amp;""</f>
        <v>2 years</v>
      </c>
      <c r="F182" s="63" t="str">
        <f aca="false">IF('Offshore - Sydney'!D658="","Belum tercatat",'Offshore - Sydney'!D658)</f>
        <v>Term</v>
      </c>
      <c r="G182" s="65" t="n">
        <f aca="false">IF('Offshore - Sydney'!E658="","-",'Offshore - Sydney'!E658)</f>
        <v>2666</v>
      </c>
      <c r="H182" s="63" t="n">
        <f aca="false">IF(ISNUMBER(K182),COUNTIFS($J$6:$J$1854,J182,$K$6:$K$1854,"&lt;"&amp;K182)+1,"-")</f>
        <v>1</v>
      </c>
      <c r="I182" s="64" t="str">
        <f aca="false">IF('Offshore - Sydney'!E658="","Harga belum tersedia - hubungi konsultan TEG",IF(M182=2,"Saat ini tidak menerima pendaftaran siswa internasional baru",IF(M182=1,"Harga perlu dikonfirmasi ke sekolah"&amp;IF(""="","","; "&amp;""),"")))</f>
        <v/>
      </c>
      <c r="J182" s="0" t="s">
        <v>3815</v>
      </c>
      <c r="K182" s="0" t="n">
        <f aca="false">IF(M182=2,"",IF(ISNUMBER(SEARCH("rata-rata:",'Offshore - Sydney'!N658)),VALUE(MID('Offshore - Sydney'!N658,SEARCH("rata-rata:",'Offshore - Sydney'!N658)+11,FIND(";",'Offshore - Sydney'!N658&amp;";",SEARCH("rata-rata:",'Offshore - Sydney'!N658))-SEARCH("rata-rata:",'Offshore - Sydney'!N658)-11)),IF('Offshore - Sydney'!D658="Semester",'Offshore - Sydney'!E658*2,IF('Offshore - Sydney'!D658="Trimester",'Offshore - Sydney'!E658*3,IF('Offshore - Sydney'!D658="Term",'Offshore - Sydney'!E658*4,IF('Offshore - Sydney'!D658="Unit",'Offshore - Sydney'!E658*8,""))))))</f>
        <v>10664</v>
      </c>
      <c r="L182" s="0" t="n">
        <f aca="false">IF(AND(ISNUMBER('Offshore - Sydney'!E658),ISNUMBER(K182),ISNUMBER('Offshore - Sydney'!F658),ISNUMBER('Offshore - Sydney'!G658),OR('Offshore - Sydney'!F658&lt;&gt;0,ISNUMBER(SEARCH("Material 0 terverifikasi",'Offshore - Sydney'!N658))),OR('Offshore - Sydney'!G658&lt;&gt;0,ISNUMBER(SEARCH("Enrolment 0 terverifikasi",'Offshore - Sydney'!N658)))),1,0)</f>
        <v>1</v>
      </c>
      <c r="M182" s="0" t="n">
        <f aca="false">IF(OR('Offshore - Sydney'!E658="",ISNUMBER(SEARCH("BSB80120",'Offshore - Sydney'!B658&amp;'Offshore - Sydney'!N658)),ISNUMBER(SEARCH("Management (Learning)",'Offshore - Sydney'!B658))),2,IF(ISNUMBER(SEARCH("CEK:",'Offshore - Sydney'!N658)),1,0))</f>
        <v>0</v>
      </c>
    </row>
    <row r="183" customFormat="false" ht="28.35" hidden="false" customHeight="false" outlineLevel="0" collapsed="false">
      <c r="A183" s="63" t="s">
        <v>3533</v>
      </c>
      <c r="B183" s="64" t="s">
        <v>3792</v>
      </c>
      <c r="C183" s="63" t="s">
        <v>39</v>
      </c>
      <c r="D183" s="64" t="str">
        <f aca="false">TRIM(LEFT('Offshore - Sydney'!A695,FIND(CHAR(10),'Offshore - Sydney'!A695&amp;CHAR(10))-1))</f>
        <v>Sydney College of Professional Education (SCPE)</v>
      </c>
      <c r="E183" s="63" t="str">
        <f aca="false">'Offshore - Sydney'!C699&amp;""</f>
        <v>2 years</v>
      </c>
      <c r="F183" s="63" t="str">
        <f aca="false">IF('Offshore - Sydney'!D699="","Belum tercatat",'Offshore - Sydney'!D699)</f>
        <v>Term</v>
      </c>
      <c r="G183" s="65" t="n">
        <f aca="false">IF('Offshore - Sydney'!E699="","-",'Offshore - Sydney'!E699)</f>
        <v>3500</v>
      </c>
      <c r="H183" s="63" t="n">
        <f aca="false">IF(ISNUMBER(K183),COUNTIFS($J$6:$J$1854,J183,$K$6:$K$1854,"&lt;"&amp;K183)+1,"-")</f>
        <v>2</v>
      </c>
      <c r="I183" s="64" t="str">
        <f aca="false">IF('Offshore - Sydney'!E699="","Harga belum tersedia - hubungi konsultan TEG",IF(M183=2,"Saat ini tidak menerima pendaftaran siswa internasional baru",IF(M183=1,"Harga perlu dikonfirmasi ke sekolah"&amp;IF(""="","","; "&amp;""),"")))</f>
        <v>Harga perlu dikonfirmasi ke sekolah</v>
      </c>
      <c r="J183" s="0" t="s">
        <v>3815</v>
      </c>
      <c r="K183" s="0" t="n">
        <f aca="false">IF(M183=2,"",IF(ISNUMBER(SEARCH("rata-rata:",'Offshore - Sydney'!N699)),VALUE(MID('Offshore - Sydney'!N699,SEARCH("rata-rata:",'Offshore - Sydney'!N699)+11,FIND(";",'Offshore - Sydney'!N699&amp;";",SEARCH("rata-rata:",'Offshore - Sydney'!N699))-SEARCH("rata-rata:",'Offshore - Sydney'!N699)-11)),IF('Offshore - Sydney'!D699="Semester",'Offshore - Sydney'!E699*2,IF('Offshore - Sydney'!D699="Trimester",'Offshore - Sydney'!E699*3,IF('Offshore - Sydney'!D699="Term",'Offshore - Sydney'!E699*4,IF('Offshore - Sydney'!D699="Unit",'Offshore - Sydney'!E699*8,""))))))</f>
        <v>14000</v>
      </c>
      <c r="L183" s="0" t="n">
        <f aca="false">IF(AND(ISNUMBER('Offshore - Sydney'!E699),ISNUMBER(K183),ISNUMBER('Offshore - Sydney'!F699),ISNUMBER('Offshore - Sydney'!G699),OR('Offshore - Sydney'!F699&lt;&gt;0,ISNUMBER(SEARCH("Material 0 terverifikasi",'Offshore - Sydney'!N699))),OR('Offshore - Sydney'!G699&lt;&gt;0,ISNUMBER(SEARCH("Enrolment 0 terverifikasi",'Offshore - Sydney'!N699)))),1,0)</f>
        <v>1</v>
      </c>
      <c r="M183" s="0" t="n">
        <f aca="false">IF(OR('Offshore - Sydney'!E699="",ISNUMBER(SEARCH("BSB80120",'Offshore - Sydney'!B699&amp;'Offshore - Sydney'!N699)),ISNUMBER(SEARCH("Management (Learning)",'Offshore - Sydney'!B699))),2,IF(ISNUMBER(SEARCH("CEK:",'Offshore - Sydney'!N699)),1,0))</f>
        <v>1</v>
      </c>
    </row>
    <row r="184" customFormat="false" ht="15" hidden="false" customHeight="false" outlineLevel="0" collapsed="false">
      <c r="A184" s="61" t="s">
        <v>3816</v>
      </c>
      <c r="B184" s="62"/>
      <c r="C184" s="62"/>
      <c r="D184" s="62"/>
      <c r="E184" s="62"/>
      <c r="F184" s="62"/>
      <c r="G184" s="62"/>
      <c r="H184" s="62"/>
      <c r="I184" s="62"/>
    </row>
    <row r="185" customFormat="false" ht="15" hidden="false" customHeight="false" outlineLevel="0" collapsed="false">
      <c r="A185" s="63" t="s">
        <v>3533</v>
      </c>
      <c r="B185" s="64" t="s">
        <v>3792</v>
      </c>
      <c r="C185" s="63" t="s">
        <v>40</v>
      </c>
      <c r="D185" s="64" t="str">
        <f aca="false">TRIM(LEFT('Offshore - Sydney'!A430,FIND(CHAR(10),'Offshore - Sydney'!A430&amp;CHAR(10))-1))</f>
        <v>George Brown College</v>
      </c>
      <c r="E185" s="63" t="str">
        <f aca="false">'Offshore - Sydney'!C441&amp;""</f>
        <v>2 years</v>
      </c>
      <c r="F185" s="63" t="str">
        <f aca="false">IF('Offshore - Sydney'!D441="","Belum tercatat",'Offshore - Sydney'!D441)</f>
        <v>Term</v>
      </c>
      <c r="G185" s="65" t="n">
        <f aca="false">IF('Offshore - Sydney'!E441="","-",'Offshore - Sydney'!E441)</f>
        <v>2000</v>
      </c>
      <c r="H185" s="63" t="n">
        <f aca="false">IF(ISNUMBER(K185),COUNTIFS($J$6:$J$1854,J185,$K$6:$K$1854,"&lt;"&amp;K185)+1,"-")</f>
        <v>1</v>
      </c>
      <c r="I185" s="64" t="str">
        <f aca="false">IF('Offshore - Sydney'!E441="","Harga belum tersedia - hubungi konsultan TEG",IF(M185=2,"Saat ini tidak menerima pendaftaran siswa internasional baru",IF(M185=1,"Harga perlu dikonfirmasi ke sekolah"&amp;IF(""="","","; "&amp;""),"")))</f>
        <v/>
      </c>
      <c r="J185" s="0" t="s">
        <v>3817</v>
      </c>
      <c r="K185" s="0" t="n">
        <f aca="false">IF(M185=2,"",IF(ISNUMBER(SEARCH("rata-rata:",'Offshore - Sydney'!N441)),VALUE(MID('Offshore - Sydney'!N441,SEARCH("rata-rata:",'Offshore - Sydney'!N441)+11,FIND(";",'Offshore - Sydney'!N441&amp;";",SEARCH("rata-rata:",'Offshore - Sydney'!N441))-SEARCH("rata-rata:",'Offshore - Sydney'!N441)-11)),IF('Offshore - Sydney'!D441="Semester",'Offshore - Sydney'!E441*2,IF('Offshore - Sydney'!D441="Trimester",'Offshore - Sydney'!E441*3,IF('Offshore - Sydney'!D441="Term",'Offshore - Sydney'!E441*4,IF('Offshore - Sydney'!D441="Unit",'Offshore - Sydney'!E441*8,""))))))</f>
        <v>8000</v>
      </c>
      <c r="L185" s="0" t="n">
        <f aca="false">IF(AND(ISNUMBER('Offshore - Sydney'!E441),ISNUMBER(K185),ISNUMBER('Offshore - Sydney'!F441),ISNUMBER('Offshore - Sydney'!G441),OR('Offshore - Sydney'!F441&lt;&gt;0,ISNUMBER(SEARCH("Material 0 terverifikasi",'Offshore - Sydney'!N441))),OR('Offshore - Sydney'!G441&lt;&gt;0,ISNUMBER(SEARCH("Enrolment 0 terverifikasi",'Offshore - Sydney'!N441)))),1,0)</f>
        <v>1</v>
      </c>
      <c r="M185" s="0" t="n">
        <f aca="false">IF(OR('Offshore - Sydney'!E441="",ISNUMBER(SEARCH("BSB80120",'Offshore - Sydney'!B441&amp;'Offshore - Sydney'!N441)),ISNUMBER(SEARCH("Management (Learning)",'Offshore - Sydney'!B441))),2,IF(ISNUMBER(SEARCH("CEK:",'Offshore - Sydney'!N441)),1,0))</f>
        <v>0</v>
      </c>
    </row>
    <row r="186" customFormat="false" ht="15" hidden="false" customHeight="false" outlineLevel="0" collapsed="false">
      <c r="A186" s="63" t="s">
        <v>3533</v>
      </c>
      <c r="B186" s="64" t="s">
        <v>3792</v>
      </c>
      <c r="C186" s="63" t="s">
        <v>40</v>
      </c>
      <c r="D186" s="64" t="str">
        <f aca="false">TRIM(LEFT('Offshore - Sydney'!A648,FIND(CHAR(10),'Offshore - Sydney'!A648&amp;CHAR(10))-1))</f>
        <v>Oceania College of Technology</v>
      </c>
      <c r="E186" s="63" t="str">
        <f aca="false">'Offshore - Sydney'!C656&amp;""</f>
        <v>2 years</v>
      </c>
      <c r="F186" s="63" t="str">
        <f aca="false">IF('Offshore - Sydney'!D656="","Belum tercatat",'Offshore - Sydney'!D656)</f>
        <v>Term</v>
      </c>
      <c r="G186" s="65" t="n">
        <f aca="false">IF('Offshore - Sydney'!E656="","-",'Offshore - Sydney'!E656)</f>
        <v>2666</v>
      </c>
      <c r="H186" s="63" t="n">
        <f aca="false">IF(ISNUMBER(K186),COUNTIFS($J$6:$J$1854,J186,$K$6:$K$1854,"&lt;"&amp;K186)+1,"-")</f>
        <v>2</v>
      </c>
      <c r="I186" s="64" t="str">
        <f aca="false">IF('Offshore - Sydney'!E656="","Harga belum tersedia - hubungi konsultan TEG",IF(M186=2,"Saat ini tidak menerima pendaftaran siswa internasional baru",IF(M186=1,"Harga perlu dikonfirmasi ke sekolah"&amp;IF(""="","","; "&amp;""),"")))</f>
        <v/>
      </c>
      <c r="J186" s="0" t="s">
        <v>3817</v>
      </c>
      <c r="K186" s="0" t="n">
        <f aca="false">IF(M186=2,"",IF(ISNUMBER(SEARCH("rata-rata:",'Offshore - Sydney'!N656)),VALUE(MID('Offshore - Sydney'!N656,SEARCH("rata-rata:",'Offshore - Sydney'!N656)+11,FIND(";",'Offshore - Sydney'!N656&amp;";",SEARCH("rata-rata:",'Offshore - Sydney'!N656))-SEARCH("rata-rata:",'Offshore - Sydney'!N656)-11)),IF('Offshore - Sydney'!D656="Semester",'Offshore - Sydney'!E656*2,IF('Offshore - Sydney'!D656="Trimester",'Offshore - Sydney'!E656*3,IF('Offshore - Sydney'!D656="Term",'Offshore - Sydney'!E656*4,IF('Offshore - Sydney'!D656="Unit",'Offshore - Sydney'!E656*8,""))))))</f>
        <v>10664</v>
      </c>
      <c r="L186" s="0" t="n">
        <f aca="false">IF(AND(ISNUMBER('Offshore - Sydney'!E656),ISNUMBER(K186),ISNUMBER('Offshore - Sydney'!F656),ISNUMBER('Offshore - Sydney'!G656),OR('Offshore - Sydney'!F656&lt;&gt;0,ISNUMBER(SEARCH("Material 0 terverifikasi",'Offshore - Sydney'!N656))),OR('Offshore - Sydney'!G656&lt;&gt;0,ISNUMBER(SEARCH("Enrolment 0 terverifikasi",'Offshore - Sydney'!N656)))),1,0)</f>
        <v>1</v>
      </c>
      <c r="M186" s="0" t="n">
        <f aca="false">IF(OR('Offshore - Sydney'!E656="",ISNUMBER(SEARCH("BSB80120",'Offshore - Sydney'!B656&amp;'Offshore - Sydney'!N656)),ISNUMBER(SEARCH("Management (Learning)",'Offshore - Sydney'!B656))),2,IF(ISNUMBER(SEARCH("CEK:",'Offshore - Sydney'!N656)),1,0))</f>
        <v>0</v>
      </c>
    </row>
    <row r="187" customFormat="false" ht="15" hidden="false" customHeight="false" outlineLevel="0" collapsed="false">
      <c r="A187" s="63" t="s">
        <v>3533</v>
      </c>
      <c r="B187" s="64" t="s">
        <v>3792</v>
      </c>
      <c r="C187" s="63" t="s">
        <v>40</v>
      </c>
      <c r="D187" s="64" t="str">
        <f aca="false">TRIM(LEFT('Offshore - Sydney'!A677,FIND(CHAR(10),'Offshore - Sydney'!A677&amp;CHAR(10))-1))</f>
        <v>Signet Institute of Australia</v>
      </c>
      <c r="E187" s="63" t="str">
        <f aca="false">'Offshore - Sydney'!C679&amp;""</f>
        <v>2 years</v>
      </c>
      <c r="F187" s="63" t="str">
        <f aca="false">IF('Offshore - Sydney'!D679="","Belum tercatat",'Offshore - Sydney'!D679)</f>
        <v>Term</v>
      </c>
      <c r="G187" s="65" t="n">
        <f aca="false">IF('Offshore - Sydney'!E679="","-",'Offshore - Sydney'!E679)</f>
        <v>2750</v>
      </c>
      <c r="H187" s="63" t="n">
        <f aca="false">IF(ISNUMBER(K187),COUNTIFS($J$6:$J$1854,J187,$K$6:$K$1854,"&lt;"&amp;K187)+1,"-")</f>
        <v>3</v>
      </c>
      <c r="I187" s="64" t="str">
        <f aca="false">IF('Offshore - Sydney'!E679="","Harga belum tersedia - hubungi konsultan TEG",IF(M187=2,"Saat ini tidak menerima pendaftaran siswa internasional baru",IF(M187=1,"Harga perlu dikonfirmasi ke sekolah"&amp;IF(""="","","; "&amp;""),"")))</f>
        <v/>
      </c>
      <c r="J187" s="0" t="s">
        <v>3817</v>
      </c>
      <c r="K187" s="0" t="n">
        <f aca="false">IF(M187=2,"",IF(ISNUMBER(SEARCH("rata-rata:",'Offshore - Sydney'!N679)),VALUE(MID('Offshore - Sydney'!N679,SEARCH("rata-rata:",'Offshore - Sydney'!N679)+11,FIND(";",'Offshore - Sydney'!N679&amp;";",SEARCH("rata-rata:",'Offshore - Sydney'!N679))-SEARCH("rata-rata:",'Offshore - Sydney'!N679)-11)),IF('Offshore - Sydney'!D679="Semester",'Offshore - Sydney'!E679*2,IF('Offshore - Sydney'!D679="Trimester",'Offshore - Sydney'!E679*3,IF('Offshore - Sydney'!D679="Term",'Offshore - Sydney'!E679*4,IF('Offshore - Sydney'!D679="Unit",'Offshore - Sydney'!E679*8,""))))))</f>
        <v>11000</v>
      </c>
      <c r="L187" s="0" t="n">
        <f aca="false">IF(AND(ISNUMBER('Offshore - Sydney'!E679),ISNUMBER(K187),ISNUMBER('Offshore - Sydney'!F679),ISNUMBER('Offshore - Sydney'!G679),OR('Offshore - Sydney'!F679&lt;&gt;0,ISNUMBER(SEARCH("Material 0 terverifikasi",'Offshore - Sydney'!N679))),OR('Offshore - Sydney'!G679&lt;&gt;0,ISNUMBER(SEARCH("Enrolment 0 terverifikasi",'Offshore - Sydney'!N679)))),1,0)</f>
        <v>0</v>
      </c>
      <c r="M187" s="0" t="n">
        <f aca="false">IF(OR('Offshore - Sydney'!E679="",ISNUMBER(SEARCH("BSB80120",'Offshore - Sydney'!B679&amp;'Offshore - Sydney'!N679)),ISNUMBER(SEARCH("Management (Learning)",'Offshore - Sydney'!B679))),2,IF(ISNUMBER(SEARCH("CEK:",'Offshore - Sydney'!N679)),1,0))</f>
        <v>0</v>
      </c>
    </row>
    <row r="188" customFormat="false" ht="15" hidden="false" customHeight="false" outlineLevel="0" collapsed="false">
      <c r="A188" s="63" t="s">
        <v>3533</v>
      </c>
      <c r="B188" s="64" t="s">
        <v>3792</v>
      </c>
      <c r="C188" s="63" t="s">
        <v>40</v>
      </c>
      <c r="D188" s="64" t="str">
        <f aca="false">TRIM(LEFT('Offshore - Sydney'!A123,FIND(CHAR(10),'Offshore - Sydney'!A123&amp;CHAR(10))-1))</f>
        <v>Apeiro Institute</v>
      </c>
      <c r="E188" s="63" t="str">
        <f aca="false">'Offshore - Sydney'!C127&amp;""</f>
        <v>2 years</v>
      </c>
      <c r="F188" s="63" t="str">
        <f aca="false">IF('Offshore - Sydney'!D127="","Belum tercatat",'Offshore - Sydney'!D127)</f>
        <v>Term</v>
      </c>
      <c r="G188" s="65" t="n">
        <f aca="false">IF('Offshore - Sydney'!E127="","-",'Offshore - Sydney'!E127)</f>
        <v>3900</v>
      </c>
      <c r="H188" s="63" t="n">
        <f aca="false">IF(ISNUMBER(K188),COUNTIFS($J$6:$J$1854,J188,$K$6:$K$1854,"&lt;"&amp;K188)+1,"-")</f>
        <v>4</v>
      </c>
      <c r="I188" s="64" t="str">
        <f aca="false">IF('Offshore - Sydney'!E127="","Harga belum tersedia - hubungi konsultan TEG",IF(M188=2,"Saat ini tidak menerima pendaftaran siswa internasional baru",IF(M188=1,"Harga perlu dikonfirmasi ke sekolah"&amp;IF(""="","","; "&amp;""),"")))</f>
        <v/>
      </c>
      <c r="J188" s="0" t="s">
        <v>3817</v>
      </c>
      <c r="K188" s="0" t="n">
        <f aca="false">IF(M188=2,"",IF(ISNUMBER(SEARCH("rata-rata:",'Offshore - Sydney'!N127)),VALUE(MID('Offshore - Sydney'!N127,SEARCH("rata-rata:",'Offshore - Sydney'!N127)+11,FIND(";",'Offshore - Sydney'!N127&amp;";",SEARCH("rata-rata:",'Offshore - Sydney'!N127))-SEARCH("rata-rata:",'Offshore - Sydney'!N127)-11)),IF('Offshore - Sydney'!D127="Semester",'Offshore - Sydney'!E127*2,IF('Offshore - Sydney'!D127="Trimester",'Offshore - Sydney'!E127*3,IF('Offshore - Sydney'!D127="Term",'Offshore - Sydney'!E127*4,IF('Offshore - Sydney'!D127="Unit",'Offshore - Sydney'!E127*8,""))))))</f>
        <v>15600</v>
      </c>
      <c r="L188" s="0" t="n">
        <f aca="false">IF(AND(ISNUMBER('Offshore - Sydney'!E127),ISNUMBER(K188),ISNUMBER('Offshore - Sydney'!F127),ISNUMBER('Offshore - Sydney'!G127),OR('Offshore - Sydney'!F127&lt;&gt;0,ISNUMBER(SEARCH("Material 0 terverifikasi",'Offshore - Sydney'!N127))),OR('Offshore - Sydney'!G127&lt;&gt;0,ISNUMBER(SEARCH("Enrolment 0 terverifikasi",'Offshore - Sydney'!N127)))),1,0)</f>
        <v>1</v>
      </c>
      <c r="M188" s="0" t="n">
        <f aca="false">IF(OR('Offshore - Sydney'!E127="",ISNUMBER(SEARCH("BSB80120",'Offshore - Sydney'!B127&amp;'Offshore - Sydney'!N127)),ISNUMBER(SEARCH("Management (Learning)",'Offshore - Sydney'!B127))),2,IF(ISNUMBER(SEARCH("CEK:",'Offshore - Sydney'!N127)),1,0))</f>
        <v>0</v>
      </c>
    </row>
    <row r="189" customFormat="false" ht="15" hidden="false" customHeight="false" outlineLevel="0" collapsed="false">
      <c r="A189" s="61" t="s">
        <v>3818</v>
      </c>
      <c r="B189" s="62"/>
      <c r="C189" s="62"/>
      <c r="D189" s="62"/>
      <c r="E189" s="62"/>
      <c r="F189" s="62"/>
      <c r="G189" s="62"/>
      <c r="H189" s="62"/>
      <c r="I189" s="62"/>
    </row>
    <row r="190" customFormat="false" ht="15" hidden="false" customHeight="false" outlineLevel="0" collapsed="false">
      <c r="A190" s="63" t="s">
        <v>3533</v>
      </c>
      <c r="B190" s="64" t="s">
        <v>3792</v>
      </c>
      <c r="C190" s="63" t="s">
        <v>41</v>
      </c>
      <c r="D190" s="64" t="str">
        <f aca="false">TRIM(LEFT('Offshore - Sydney'!A430,FIND(CHAR(10),'Offshore - Sydney'!A430&amp;CHAR(10))-1))</f>
        <v>George Brown College</v>
      </c>
      <c r="E190" s="63" t="str">
        <f aca="false">'Offshore - Sydney'!C442&amp;""</f>
        <v>3 years</v>
      </c>
      <c r="F190" s="63" t="str">
        <f aca="false">IF('Offshore - Sydney'!D442="","Belum tercatat",'Offshore - Sydney'!D442)</f>
        <v>Term</v>
      </c>
      <c r="G190" s="65" t="n">
        <f aca="false">IF('Offshore - Sydney'!E442="","-",'Offshore - Sydney'!E442)</f>
        <v>2000</v>
      </c>
      <c r="H190" s="63" t="n">
        <f aca="false">IF(ISNUMBER(K190),COUNTIFS($J$6:$J$1854,J190,$K$6:$K$1854,"&lt;"&amp;K190)+1,"-")</f>
        <v>1</v>
      </c>
      <c r="I190" s="64" t="str">
        <f aca="false">IF('Offshore - Sydney'!E442="","Harga belum tersedia - hubungi konsultan TEG",IF(M190=2,"Saat ini tidak menerima pendaftaran siswa internasional baru",IF(M190=1,"Harga perlu dikonfirmasi ke sekolah"&amp;IF(""="","","; "&amp;""),"")))</f>
        <v/>
      </c>
      <c r="J190" s="0" t="s">
        <v>3819</v>
      </c>
      <c r="K190" s="0" t="n">
        <f aca="false">IF(M190=2,"",IF(ISNUMBER(SEARCH("rata-rata:",'Offshore - Sydney'!N442)),VALUE(MID('Offshore - Sydney'!N442,SEARCH("rata-rata:",'Offshore - Sydney'!N442)+11,FIND(";",'Offshore - Sydney'!N442&amp;";",SEARCH("rata-rata:",'Offshore - Sydney'!N442))-SEARCH("rata-rata:",'Offshore - Sydney'!N442)-11)),IF('Offshore - Sydney'!D442="Semester",'Offshore - Sydney'!E442*2,IF('Offshore - Sydney'!D442="Trimester",'Offshore - Sydney'!E442*3,IF('Offshore - Sydney'!D442="Term",'Offshore - Sydney'!E442*4,IF('Offshore - Sydney'!D442="Unit",'Offshore - Sydney'!E442*8,""))))))</f>
        <v>8000</v>
      </c>
      <c r="L190" s="0" t="n">
        <f aca="false">IF(AND(ISNUMBER('Offshore - Sydney'!E442),ISNUMBER(K190),ISNUMBER('Offshore - Sydney'!F442),ISNUMBER('Offshore - Sydney'!G442),OR('Offshore - Sydney'!F442&lt;&gt;0,ISNUMBER(SEARCH("Material 0 terverifikasi",'Offshore - Sydney'!N442))),OR('Offshore - Sydney'!G442&lt;&gt;0,ISNUMBER(SEARCH("Enrolment 0 terverifikasi",'Offshore - Sydney'!N442)))),1,0)</f>
        <v>1</v>
      </c>
      <c r="M190" s="0" t="n">
        <f aca="false">IF(OR('Offshore - Sydney'!E442="",ISNUMBER(SEARCH("BSB80120",'Offshore - Sydney'!B442&amp;'Offshore - Sydney'!N442)),ISNUMBER(SEARCH("Management (Learning)",'Offshore - Sydney'!B442))),2,IF(ISNUMBER(SEARCH("CEK:",'Offshore - Sydney'!N442)),1,0))</f>
        <v>0</v>
      </c>
    </row>
    <row r="191" customFormat="false" ht="15" hidden="false" customHeight="false" outlineLevel="0" collapsed="false">
      <c r="A191" s="63" t="s">
        <v>3533</v>
      </c>
      <c r="B191" s="64" t="s">
        <v>3792</v>
      </c>
      <c r="C191" s="63" t="s">
        <v>41</v>
      </c>
      <c r="D191" s="64" t="str">
        <f aca="false">TRIM(LEFT('Offshore - Sydney'!A615,FIND(CHAR(10),'Offshore - Sydney'!A615&amp;CHAR(10))-1))</f>
        <v>Novus College</v>
      </c>
      <c r="E191" s="63" t="str">
        <f aca="false">'Offshore - Sydney'!C624&amp;""</f>
        <v>4 years</v>
      </c>
      <c r="F191" s="63" t="str">
        <f aca="false">IF('Offshore - Sydney'!D624="","Belum tercatat",'Offshore - Sydney'!D624)</f>
        <v>Term</v>
      </c>
      <c r="G191" s="65" t="n">
        <f aca="false">IF('Offshore - Sydney'!E624="","-",'Offshore - Sydney'!E624)</f>
        <v>2000</v>
      </c>
      <c r="H191" s="63" t="n">
        <f aca="false">IF(ISNUMBER(K191),COUNTIFS($J$6:$J$1854,J191,$K$6:$K$1854,"&lt;"&amp;K191)+1,"-")</f>
        <v>1</v>
      </c>
      <c r="I191" s="64" t="str">
        <f aca="false">IF('Offshore - Sydney'!E624="","Harga belum tersedia - hubungi konsultan TEG",IF(M191=2,"Saat ini tidak menerima pendaftaran siswa internasional baru",IF(M191=1,"Program perlu dikonfirmasi ketersediaannya"&amp;IF(""="","","; "&amp;""),"")))</f>
        <v>Program perlu dikonfirmasi ketersediaannya</v>
      </c>
      <c r="J191" s="0" t="s">
        <v>3819</v>
      </c>
      <c r="K191" s="0" t="n">
        <f aca="false">IF(M191=2,"",IF(ISNUMBER(SEARCH("rata-rata:",'Offshore - Sydney'!N624)),VALUE(MID('Offshore - Sydney'!N624,SEARCH("rata-rata:",'Offshore - Sydney'!N624)+11,FIND(";",'Offshore - Sydney'!N624&amp;";",SEARCH("rata-rata:",'Offshore - Sydney'!N624))-SEARCH("rata-rata:",'Offshore - Sydney'!N624)-11)),IF('Offshore - Sydney'!D624="Semester",'Offshore - Sydney'!E624*2,IF('Offshore - Sydney'!D624="Trimester",'Offshore - Sydney'!E624*3,IF('Offshore - Sydney'!D624="Term",'Offshore - Sydney'!E624*4,IF('Offshore - Sydney'!D624="Unit",'Offshore - Sydney'!E624*8,""))))))</f>
        <v>8000</v>
      </c>
      <c r="L191" s="0" t="n">
        <f aca="false">IF(AND(ISNUMBER('Offshore - Sydney'!E624),ISNUMBER(K191),ISNUMBER('Offshore - Sydney'!F624),ISNUMBER('Offshore - Sydney'!G624),OR('Offshore - Sydney'!F624&lt;&gt;0,ISNUMBER(SEARCH("Material 0 terverifikasi",'Offshore - Sydney'!N624))),OR('Offshore - Sydney'!G624&lt;&gt;0,ISNUMBER(SEARCH("Enrolment 0 terverifikasi",'Offshore - Sydney'!N624)))),1,0)</f>
        <v>1</v>
      </c>
      <c r="M191" s="0" t="n">
        <f aca="false">IF(OR('Offshore - Sydney'!E624="",ISNUMBER(SEARCH("BSB80120",'Offshore - Sydney'!B624&amp;'Offshore - Sydney'!N624)),ISNUMBER(SEARCH("Management (Learning)",'Offshore - Sydney'!B624))),2,IF(ISNUMBER(SEARCH("CEK:",'Offshore - Sydney'!N624)),1,0))</f>
        <v>1</v>
      </c>
    </row>
    <row r="192" customFormat="false" ht="15" hidden="false" customHeight="false" outlineLevel="0" collapsed="false">
      <c r="A192" s="63" t="s">
        <v>3533</v>
      </c>
      <c r="B192" s="64" t="s">
        <v>3792</v>
      </c>
      <c r="C192" s="63" t="s">
        <v>41</v>
      </c>
      <c r="D192" s="64" t="str">
        <f aca="false">TRIM(LEFT('Offshore - Sydney'!A94,FIND(CHAR(10),'Offshore - Sydney'!A94&amp;CHAR(10))-1))</f>
        <v>Albury College</v>
      </c>
      <c r="E192" s="63" t="str">
        <f aca="false">'Offshore - Sydney'!C100&amp;""</f>
        <v>2 years</v>
      </c>
      <c r="F192" s="63" t="str">
        <f aca="false">IF('Offshore - Sydney'!D100="","Belum tercatat",'Offshore - Sydney'!D100)</f>
        <v>Term</v>
      </c>
      <c r="G192" s="65" t="n">
        <f aca="false">IF('Offshore - Sydney'!E100="","-",'Offshore - Sydney'!E100)</f>
        <v>2400</v>
      </c>
      <c r="H192" s="63" t="n">
        <f aca="false">IF(ISNUMBER(K192),COUNTIFS($J$6:$J$1854,J192,$K$6:$K$1854,"&lt;"&amp;K192)+1,"-")</f>
        <v>3</v>
      </c>
      <c r="I192" s="64" t="str">
        <f aca="false">IF('Offshore - Sydney'!E100="","Harga belum tersedia - hubungi konsultan TEG",IF(M192=2,"Saat ini tidak menerima pendaftaran siswa internasional baru",IF(M192=1,"Harga perlu dikonfirmasi ke sekolah"&amp;IF(""="","","; "&amp;""),"")))</f>
        <v/>
      </c>
      <c r="J192" s="0" t="s">
        <v>3819</v>
      </c>
      <c r="K192" s="0" t="n">
        <f aca="false">IF(M192=2,"",IF(ISNUMBER(SEARCH("rata-rata:",'Offshore - Sydney'!N100)),VALUE(MID('Offshore - Sydney'!N100,SEARCH("rata-rata:",'Offshore - Sydney'!N100)+11,FIND(";",'Offshore - Sydney'!N100&amp;";",SEARCH("rata-rata:",'Offshore - Sydney'!N100))-SEARCH("rata-rata:",'Offshore - Sydney'!N100)-11)),IF('Offshore - Sydney'!D100="Semester",'Offshore - Sydney'!E100*2,IF('Offshore - Sydney'!D100="Trimester",'Offshore - Sydney'!E100*3,IF('Offshore - Sydney'!D100="Term",'Offshore - Sydney'!E100*4,IF('Offshore - Sydney'!D100="Unit",'Offshore - Sydney'!E100*8,""))))))</f>
        <v>9600</v>
      </c>
      <c r="L192" s="0" t="n">
        <f aca="false">IF(AND(ISNUMBER('Offshore - Sydney'!E100),ISNUMBER(K192),ISNUMBER('Offshore - Sydney'!F100),ISNUMBER('Offshore - Sydney'!G100),OR('Offshore - Sydney'!F100&lt;&gt;0,ISNUMBER(SEARCH("Material 0 terverifikasi",'Offshore - Sydney'!N100))),OR('Offshore - Sydney'!G100&lt;&gt;0,ISNUMBER(SEARCH("Enrolment 0 terverifikasi",'Offshore - Sydney'!N100)))),1,0)</f>
        <v>1</v>
      </c>
      <c r="M192" s="0" t="n">
        <f aca="false">IF(OR('Offshore - Sydney'!E100="",ISNUMBER(SEARCH("BSB80120",'Offshore - Sydney'!B100&amp;'Offshore - Sydney'!N100)),ISNUMBER(SEARCH("Management (Learning)",'Offshore - Sydney'!B100))),2,IF(ISNUMBER(SEARCH("CEK:",'Offshore - Sydney'!N100)),1,0))</f>
        <v>0</v>
      </c>
    </row>
    <row r="193" customFormat="false" ht="15" hidden="false" customHeight="false" outlineLevel="0" collapsed="false">
      <c r="A193" s="63" t="s">
        <v>3533</v>
      </c>
      <c r="B193" s="64" t="s">
        <v>3792</v>
      </c>
      <c r="C193" s="63" t="s">
        <v>41</v>
      </c>
      <c r="D193" s="64" t="str">
        <f aca="false">TRIM(LEFT('Offshore - Sydney'!A648,FIND(CHAR(10),'Offshore - Sydney'!A648&amp;CHAR(10))-1))</f>
        <v>Oceania College of Technology</v>
      </c>
      <c r="E193" s="63" t="str">
        <f aca="false">'Offshore - Sydney'!C657&amp;""</f>
        <v>3 years</v>
      </c>
      <c r="F193" s="63" t="str">
        <f aca="false">IF('Offshore - Sydney'!D657="","Belum tercatat",'Offshore - Sydney'!D657)</f>
        <v>Term</v>
      </c>
      <c r="G193" s="65" t="n">
        <f aca="false">IF('Offshore - Sydney'!E657="","-",'Offshore - Sydney'!E657)</f>
        <v>2666</v>
      </c>
      <c r="H193" s="63" t="n">
        <f aca="false">IF(ISNUMBER(K193),COUNTIFS($J$6:$J$1854,J193,$K$6:$K$1854,"&lt;"&amp;K193)+1,"-")</f>
        <v>4</v>
      </c>
      <c r="I193" s="64" t="str">
        <f aca="false">IF('Offshore - Sydney'!E657="","Harga belum tersedia - hubungi konsultan TEG",IF(M193=2,"Saat ini tidak menerima pendaftaran siswa internasional baru",IF(M193=1,"Harga perlu dikonfirmasi ke sekolah"&amp;IF(""="","","; "&amp;""),"")))</f>
        <v/>
      </c>
      <c r="J193" s="0" t="s">
        <v>3819</v>
      </c>
      <c r="K193" s="0" t="n">
        <f aca="false">IF(M193=2,"",IF(ISNUMBER(SEARCH("rata-rata:",'Offshore - Sydney'!N657)),VALUE(MID('Offshore - Sydney'!N657,SEARCH("rata-rata:",'Offshore - Sydney'!N657)+11,FIND(";",'Offshore - Sydney'!N657&amp;";",SEARCH("rata-rata:",'Offshore - Sydney'!N657))-SEARCH("rata-rata:",'Offshore - Sydney'!N657)-11)),IF('Offshore - Sydney'!D657="Semester",'Offshore - Sydney'!E657*2,IF('Offshore - Sydney'!D657="Trimester",'Offshore - Sydney'!E657*3,IF('Offshore - Sydney'!D657="Term",'Offshore - Sydney'!E657*4,IF('Offshore - Sydney'!D657="Unit",'Offshore - Sydney'!E657*8,""))))))</f>
        <v>10664</v>
      </c>
      <c r="L193" s="0" t="n">
        <f aca="false">IF(AND(ISNUMBER('Offshore - Sydney'!E657),ISNUMBER(K193),ISNUMBER('Offshore - Sydney'!F657),ISNUMBER('Offshore - Sydney'!G657),OR('Offshore - Sydney'!F657&lt;&gt;0,ISNUMBER(SEARCH("Material 0 terverifikasi",'Offshore - Sydney'!N657))),OR('Offshore - Sydney'!G657&lt;&gt;0,ISNUMBER(SEARCH("Enrolment 0 terverifikasi",'Offshore - Sydney'!N657)))),1,0)</f>
        <v>1</v>
      </c>
      <c r="M193" s="0" t="n">
        <f aca="false">IF(OR('Offshore - Sydney'!E657="",ISNUMBER(SEARCH("BSB80120",'Offshore - Sydney'!B657&amp;'Offshore - Sydney'!N657)),ISNUMBER(SEARCH("Management (Learning)",'Offshore - Sydney'!B657))),2,IF(ISNUMBER(SEARCH("CEK:",'Offshore - Sydney'!N657)),1,0))</f>
        <v>0</v>
      </c>
    </row>
    <row r="194" customFormat="false" ht="15" hidden="false" customHeight="false" outlineLevel="0" collapsed="false">
      <c r="A194" s="63" t="s">
        <v>3533</v>
      </c>
      <c r="B194" s="64" t="s">
        <v>3792</v>
      </c>
      <c r="C194" s="63" t="s">
        <v>41</v>
      </c>
      <c r="D194" s="64" t="str">
        <f aca="false">TRIM(LEFT('Offshore - Sydney'!A123,FIND(CHAR(10),'Offshore - Sydney'!A123&amp;CHAR(10))-1))</f>
        <v>Apeiro Institute</v>
      </c>
      <c r="E194" s="63" t="str">
        <f aca="false">'Offshore - Sydney'!C128&amp;""</f>
        <v>2,5 years</v>
      </c>
      <c r="F194" s="63" t="str">
        <f aca="false">IF('Offshore - Sydney'!D128="","Belum tercatat",'Offshore - Sydney'!D128)</f>
        <v>Term</v>
      </c>
      <c r="G194" s="65" t="n">
        <f aca="false">IF('Offshore - Sydney'!E128="","-",'Offshore - Sydney'!E128)</f>
        <v>3900</v>
      </c>
      <c r="H194" s="63" t="n">
        <f aca="false">IF(ISNUMBER(K194),COUNTIFS($J$6:$J$1854,J194,$K$6:$K$1854,"&lt;"&amp;K194)+1,"-")</f>
        <v>5</v>
      </c>
      <c r="I194" s="64" t="str">
        <f aca="false">IF('Offshore - Sydney'!E128="","Harga belum tersedia - hubungi konsultan TEG",IF(M194=2,"Saat ini tidak menerima pendaftaran siswa internasional baru",IF(M194=1,"Harga perlu dikonfirmasi ke sekolah"&amp;IF(""="","","; "&amp;""),"")))</f>
        <v/>
      </c>
      <c r="J194" s="0" t="s">
        <v>3819</v>
      </c>
      <c r="K194" s="0" t="n">
        <f aca="false">IF(M194=2,"",IF(ISNUMBER(SEARCH("rata-rata:",'Offshore - Sydney'!N128)),VALUE(MID('Offshore - Sydney'!N128,SEARCH("rata-rata:",'Offshore - Sydney'!N128)+11,FIND(";",'Offshore - Sydney'!N128&amp;";",SEARCH("rata-rata:",'Offshore - Sydney'!N128))-SEARCH("rata-rata:",'Offshore - Sydney'!N128)-11)),IF('Offshore - Sydney'!D128="Semester",'Offshore - Sydney'!E128*2,IF('Offshore - Sydney'!D128="Trimester",'Offshore - Sydney'!E128*3,IF('Offshore - Sydney'!D128="Term",'Offshore - Sydney'!E128*4,IF('Offshore - Sydney'!D128="Unit",'Offshore - Sydney'!E128*8,""))))))</f>
        <v>15600</v>
      </c>
      <c r="L194" s="0" t="n">
        <f aca="false">IF(AND(ISNUMBER('Offshore - Sydney'!E128),ISNUMBER(K194),ISNUMBER('Offshore - Sydney'!F128),ISNUMBER('Offshore - Sydney'!G128),OR('Offshore - Sydney'!F128&lt;&gt;0,ISNUMBER(SEARCH("Material 0 terverifikasi",'Offshore - Sydney'!N128))),OR('Offshore - Sydney'!G128&lt;&gt;0,ISNUMBER(SEARCH("Enrolment 0 terverifikasi",'Offshore - Sydney'!N128)))),1,0)</f>
        <v>1</v>
      </c>
      <c r="M194" s="0" t="n">
        <f aca="false">IF(OR('Offshore - Sydney'!E128="",ISNUMBER(SEARCH("BSB80120",'Offshore - Sydney'!B128&amp;'Offshore - Sydney'!N128)),ISNUMBER(SEARCH("Management (Learning)",'Offshore - Sydney'!B128))),2,IF(ISNUMBER(SEARCH("CEK:",'Offshore - Sydney'!N128)),1,0))</f>
        <v>0</v>
      </c>
    </row>
    <row r="195" customFormat="false" ht="15" hidden="false" customHeight="false" outlineLevel="0" collapsed="false">
      <c r="A195" s="61" t="s">
        <v>3820</v>
      </c>
      <c r="B195" s="62"/>
      <c r="C195" s="62"/>
      <c r="D195" s="62"/>
      <c r="E195" s="62"/>
      <c r="F195" s="62"/>
      <c r="G195" s="62"/>
      <c r="H195" s="62"/>
      <c r="I195" s="62"/>
    </row>
    <row r="196" customFormat="false" ht="15" hidden="false" customHeight="false" outlineLevel="0" collapsed="false">
      <c r="A196" s="63" t="s">
        <v>3533</v>
      </c>
      <c r="B196" s="64" t="s">
        <v>3792</v>
      </c>
      <c r="C196" s="63" t="s">
        <v>3821</v>
      </c>
      <c r="D196" s="64" t="str">
        <f aca="false">TRIM(LEFT('Offshore - Sydney'!A721,FIND(CHAR(10),'Offshore - Sydney'!A721&amp;CHAR(10))-1))</f>
        <v>TAFE NSW</v>
      </c>
      <c r="E196" s="63" t="str">
        <f aca="false">'Offshore - Sydney'!C771&amp;""</f>
        <v>1 year</v>
      </c>
      <c r="F196" s="63" t="str">
        <f aca="false">IF('Offshore - Sydney'!D771="","Belum tercatat",'Offshore - Sydney'!D771)</f>
        <v>Term</v>
      </c>
      <c r="G196" s="65" t="n">
        <f aca="false">IF('Offshore - Sydney'!E771="","-",'Offshore - Sydney'!E771)</f>
        <v>6944</v>
      </c>
      <c r="H196" s="63" t="n">
        <f aca="false">IF(ISNUMBER(K196),COUNTIFS($J$6:$J$1854,J196,$K$6:$K$1854,"&lt;"&amp;K196)+1,"-")</f>
        <v>1</v>
      </c>
      <c r="I196" s="64" t="str">
        <f aca="false">IF('Offshore - Sydney'!E771="","Harga belum tersedia - hubungi konsultan TEG",IF(M196=2,"Saat ini tidak menerima pendaftaran siswa internasional baru",IF(M196=1,"Harga perlu dikonfirmasi ke sekolah"&amp;IF(""="","","; "&amp;""),"")))</f>
        <v/>
      </c>
      <c r="J196" s="0" t="s">
        <v>3822</v>
      </c>
      <c r="K196" s="0" t="n">
        <f aca="false">IF(M196=2,"",IF(ISNUMBER(SEARCH("rata-rata:",'Offshore - Sydney'!N771)),VALUE(MID('Offshore - Sydney'!N771,SEARCH("rata-rata:",'Offshore - Sydney'!N771)+11,FIND(";",'Offshore - Sydney'!N771&amp;";",SEARCH("rata-rata:",'Offshore - Sydney'!N771))-SEARCH("rata-rata:",'Offshore - Sydney'!N771)-11)),IF('Offshore - Sydney'!D771="Semester",'Offshore - Sydney'!E771*2,IF('Offshore - Sydney'!D771="Trimester",'Offshore - Sydney'!E771*3,IF('Offshore - Sydney'!D771="Term",'Offshore - Sydney'!E771*4,IF('Offshore - Sydney'!D771="Unit",'Offshore - Sydney'!E771*8,""))))))</f>
        <v>27776</v>
      </c>
      <c r="L196" s="0" t="n">
        <f aca="false">IF(AND(ISNUMBER('Offshore - Sydney'!E771),ISNUMBER(K196),ISNUMBER('Offshore - Sydney'!F771),ISNUMBER('Offshore - Sydney'!G771),OR('Offshore - Sydney'!F771&lt;&gt;0,ISNUMBER(SEARCH("Material 0 terverifikasi",'Offshore - Sydney'!N771))),OR('Offshore - Sydney'!G771&lt;&gt;0,ISNUMBER(SEARCH("Enrolment 0 terverifikasi",'Offshore - Sydney'!N771)))),1,0)</f>
        <v>0</v>
      </c>
      <c r="M196" s="0" t="n">
        <f aca="false">IF(OR('Offshore - Sydney'!E771="",ISNUMBER(SEARCH("BSB80120",'Offshore - Sydney'!B771&amp;'Offshore - Sydney'!N771)),ISNUMBER(SEARCH("Management (Learning)",'Offshore - Sydney'!B771))),2,IF(ISNUMBER(SEARCH("CEK:",'Offshore - Sydney'!N771)),1,0))</f>
        <v>0</v>
      </c>
    </row>
    <row r="197" customFormat="false" ht="15" hidden="false" customHeight="false" outlineLevel="0" collapsed="false">
      <c r="A197" s="61" t="s">
        <v>3823</v>
      </c>
      <c r="B197" s="62"/>
      <c r="C197" s="62"/>
      <c r="D197" s="62"/>
      <c r="E197" s="62"/>
      <c r="F197" s="62"/>
      <c r="G197" s="62"/>
      <c r="H197" s="62"/>
      <c r="I197" s="62"/>
    </row>
    <row r="198" customFormat="false" ht="15" hidden="false" customHeight="false" outlineLevel="0" collapsed="false">
      <c r="A198" s="63" t="s">
        <v>3659</v>
      </c>
      <c r="B198" s="64" t="s">
        <v>3824</v>
      </c>
      <c r="C198" s="63" t="s">
        <v>39</v>
      </c>
      <c r="D198" s="64" t="str">
        <f aca="false">TRIM(LEFT('Offshore - Adelaide'!A484,FIND(CHAR(10),'Offshore - Adelaide'!A484&amp;CHAR(10))-1))</f>
        <v>TAFE SA</v>
      </c>
      <c r="E198" s="63" t="str">
        <f aca="false">'Offshore - Adelaide'!C505&amp;""</f>
        <v>1 year</v>
      </c>
      <c r="F198" s="63" t="str">
        <f aca="false">IF('Offshore - Adelaide'!D505="","Belum tercatat",'Offshore - Adelaide'!D505)</f>
        <v>Semester</v>
      </c>
      <c r="G198" s="65" t="n">
        <f aca="false">IF('Offshore - Adelaide'!E505="","-",'Offshore - Adelaide'!E505)</f>
        <v>9722</v>
      </c>
      <c r="H198" s="63" t="n">
        <f aca="false">IF(ISNUMBER(K198),COUNTIFS($J$6:$J$1854,J198,$K$6:$K$1854,"&lt;"&amp;K198)+1,"-")</f>
        <v>1</v>
      </c>
      <c r="I198" s="64" t="str">
        <f aca="false">IF('Offshore - Adelaide'!E505="","Harga belum tersedia - hubungi konsultan TEG",IF(M198=2,"Saat ini tidak menerima pendaftaran siswa internasional baru",IF(M198=1,"Harga perlu dikonfirmasi ke sekolah"&amp;IF(""="","","; "&amp;""),"")))</f>
        <v/>
      </c>
      <c r="J198" s="0" t="s">
        <v>3825</v>
      </c>
      <c r="K198" s="0" t="n">
        <f aca="false">IF(M198=2,"",IF(ISNUMBER(SEARCH("rata-rata:",'Offshore - Adelaide'!N505)),VALUE(MID('Offshore - Adelaide'!N505,SEARCH("rata-rata:",'Offshore - Adelaide'!N505)+11,FIND(";",'Offshore - Adelaide'!N505&amp;";",SEARCH("rata-rata:",'Offshore - Adelaide'!N505))-SEARCH("rata-rata:",'Offshore - Adelaide'!N505)-11)),IF('Offshore - Adelaide'!D505="Semester",'Offshore - Adelaide'!E505*2,IF('Offshore - Adelaide'!D505="Trimester",'Offshore - Adelaide'!E505*3,IF('Offshore - Adelaide'!D505="Term",'Offshore - Adelaide'!E505*4,IF('Offshore - Adelaide'!D505="Unit",'Offshore - Adelaide'!E505*8,""))))))</f>
        <v>19444</v>
      </c>
      <c r="L198" s="0" t="n">
        <f aca="false">IF(AND(ISNUMBER('Offshore - Adelaide'!E505),ISNUMBER(K198),ISNUMBER('Offshore - Adelaide'!F505),ISNUMBER('Offshore - Adelaide'!G505),OR('Offshore - Adelaide'!F505&lt;&gt;0,ISNUMBER(SEARCH("Material 0 terverifikasi",'Offshore - Adelaide'!N505))),OR('Offshore - Adelaide'!G505&lt;&gt;0,ISNUMBER(SEARCH("Enrolment 0 terverifikasi",'Offshore - Adelaide'!N505)))),1,0)</f>
        <v>0</v>
      </c>
      <c r="M198" s="0" t="n">
        <f aca="false">IF(OR('Offshore - Adelaide'!E505="",ISNUMBER(SEARCH("BSB80120",'Offshore - Adelaide'!B505&amp;'Offshore - Adelaide'!N505)),ISNUMBER(SEARCH("Management (Learning)",'Offshore - Adelaide'!B505))),2,IF(ISNUMBER(SEARCH("CEK:",'Offshore - Adelaide'!N505)),1,0))</f>
        <v>0</v>
      </c>
    </row>
    <row r="199" customFormat="false" ht="15" hidden="false" customHeight="false" outlineLevel="0" collapsed="false">
      <c r="A199" s="61" t="s">
        <v>3826</v>
      </c>
      <c r="B199" s="62"/>
      <c r="C199" s="62"/>
      <c r="D199" s="62"/>
      <c r="E199" s="62"/>
      <c r="F199" s="62"/>
      <c r="G199" s="62"/>
      <c r="H199" s="62"/>
      <c r="I199" s="62"/>
    </row>
    <row r="200" customFormat="false" ht="15" hidden="false" customHeight="false" outlineLevel="0" collapsed="false">
      <c r="A200" s="63" t="s">
        <v>3563</v>
      </c>
      <c r="B200" s="64" t="s">
        <v>3824</v>
      </c>
      <c r="C200" s="63" t="s">
        <v>41</v>
      </c>
      <c r="D200" s="64" t="str">
        <f aca="false">TRIM(LEFT('Offshore - Brisbane'!A6,FIND(CHAR(10),'Offshore - Brisbane'!A6&amp;CHAR(10))-1))</f>
        <v>Academies Australasia</v>
      </c>
      <c r="E200" s="63" t="str">
        <f aca="false">'Offshore - Brisbane'!C7&amp;""</f>
        <v>3 years</v>
      </c>
      <c r="F200" s="63" t="str">
        <f aca="false">IF('Offshore - Brisbane'!D7="","Belum tercatat",'Offshore - Brisbane'!D7)</f>
        <v>Term</v>
      </c>
      <c r="G200" s="65" t="n">
        <f aca="false">IF('Offshore - Brisbane'!E7="","-",'Offshore - Brisbane'!E7)</f>
        <v>2500</v>
      </c>
      <c r="H200" s="63" t="n">
        <f aca="false">IF(ISNUMBER(K200),COUNTIFS($J$6:$J$1854,J200,$K$6:$K$1854,"&lt;"&amp;K200)+1,"-")</f>
        <v>1</v>
      </c>
      <c r="I200" s="64" t="str">
        <f aca="false">IF('Offshore - Brisbane'!E7="","Harga belum tersedia - hubungi konsultan TEG",IF(M200=2,"Saat ini tidak menerima pendaftaran siswa internasional baru",IF(M200=1,"Harga perlu dikonfirmasi ke sekolah"&amp;IF(""="","","; "&amp;""),"")))</f>
        <v/>
      </c>
      <c r="J200" s="0" t="s">
        <v>3827</v>
      </c>
      <c r="K200" s="0" t="n">
        <f aca="false">IF(M200=2,"",IF(ISNUMBER(SEARCH("rata-rata:",'Offshore - Brisbane'!N7)),VALUE(MID('Offshore - Brisbane'!N7,SEARCH("rata-rata:",'Offshore - Brisbane'!N7)+11,FIND(";",'Offshore - Brisbane'!N7&amp;";",SEARCH("rata-rata:",'Offshore - Brisbane'!N7))-SEARCH("rata-rata:",'Offshore - Brisbane'!N7)-11)),IF('Offshore - Brisbane'!D7="Semester",'Offshore - Brisbane'!E7*2,IF('Offshore - Brisbane'!D7="Trimester",'Offshore - Brisbane'!E7*3,IF('Offshore - Brisbane'!D7="Term",'Offshore - Brisbane'!E7*4,IF('Offshore - Brisbane'!D7="Unit",'Offshore - Brisbane'!E7*8,""))))))</f>
        <v>10000</v>
      </c>
      <c r="L200" s="0" t="n">
        <f aca="false">IF(AND(ISNUMBER('Offshore - Brisbane'!E7),ISNUMBER(K200),ISNUMBER('Offshore - Brisbane'!F7),ISNUMBER('Offshore - Brisbane'!G7),OR('Offshore - Brisbane'!F7&lt;&gt;0,ISNUMBER(SEARCH("Material 0 terverifikasi",'Offshore - Brisbane'!N7))),OR('Offshore - Brisbane'!G7&lt;&gt;0,ISNUMBER(SEARCH("Enrolment 0 terverifikasi",'Offshore - Brisbane'!N7)))),1,0)</f>
        <v>1</v>
      </c>
      <c r="M200" s="0" t="n">
        <f aca="false">IF(OR('Offshore - Brisbane'!E7="",ISNUMBER(SEARCH("BSB80120",'Offshore - Brisbane'!B7&amp;'Offshore - Brisbane'!N7)),ISNUMBER(SEARCH("Management (Learning)",'Offshore - Brisbane'!B7))),2,IF(ISNUMBER(SEARCH("CEK:",'Offshore - Brisbane'!N7)),1,0))</f>
        <v>0</v>
      </c>
    </row>
    <row r="201" customFormat="false" ht="15" hidden="false" customHeight="false" outlineLevel="0" collapsed="false">
      <c r="A201" s="63" t="s">
        <v>3563</v>
      </c>
      <c r="B201" s="64" t="s">
        <v>3824</v>
      </c>
      <c r="C201" s="63" t="s">
        <v>41</v>
      </c>
      <c r="D201" s="64" t="str">
        <f aca="false">TRIM(LEFT('Offshore - Brisbane'!A308,FIND(CHAR(10),'Offshore - Brisbane'!A308&amp;CHAR(10))-1))</f>
        <v>Torrens University Australia</v>
      </c>
      <c r="E201" s="63" t="str">
        <f aca="false">'Offshore - Brisbane'!C364&amp;""</f>
        <v>1 year</v>
      </c>
      <c r="F201" s="63" t="str">
        <f aca="false">IF('Offshore - Brisbane'!D364="","Belum tercatat",'Offshore - Brisbane'!D364)</f>
        <v>Term</v>
      </c>
      <c r="G201" s="65" t="n">
        <f aca="false">IF('Offshore - Brisbane'!E364="","-",'Offshore - Brisbane'!E364)</f>
        <v>7332.5</v>
      </c>
      <c r="H201" s="63" t="n">
        <f aca="false">IF(ISNUMBER(K201),COUNTIFS($J$6:$J$1854,J201,$K$6:$K$1854,"&lt;"&amp;K201)+1,"-")</f>
        <v>2</v>
      </c>
      <c r="I201" s="64" t="str">
        <f aca="false">IF('Offshore - Brisbane'!E364="","Harga belum tersedia - hubungi konsultan TEG",IF(M201=2,"Saat ini tidak menerima pendaftaran siswa internasional baru",IF(M201=1,"Harga perlu dikonfirmasi ke sekolah"&amp;IF(""="","","; "&amp;""),"")))</f>
        <v/>
      </c>
      <c r="J201" s="0" t="s">
        <v>3827</v>
      </c>
      <c r="K201" s="0" t="n">
        <f aca="false">IF(M201=2,"",IF(ISNUMBER(SEARCH("rata-rata:",'Offshore - Brisbane'!N364)),VALUE(MID('Offshore - Brisbane'!N364,SEARCH("rata-rata:",'Offshore - Brisbane'!N364)+11,FIND(";",'Offshore - Brisbane'!N364&amp;";",SEARCH("rata-rata:",'Offshore - Brisbane'!N364))-SEARCH("rata-rata:",'Offshore - Brisbane'!N364)-11)),IF('Offshore - Brisbane'!D364="Semester",'Offshore - Brisbane'!E364*2,IF('Offshore - Brisbane'!D364="Trimester",'Offshore - Brisbane'!E364*3,IF('Offshore - Brisbane'!D364="Term",'Offshore - Brisbane'!E364*4,IF('Offshore - Brisbane'!D364="Unit",'Offshore - Brisbane'!E364*8,""))))))</f>
        <v>29330</v>
      </c>
      <c r="L201" s="0" t="n">
        <f aca="false">IF(AND(ISNUMBER('Offshore - Brisbane'!E364),ISNUMBER(K201),ISNUMBER('Offshore - Brisbane'!F364),ISNUMBER('Offshore - Brisbane'!G364),OR('Offshore - Brisbane'!F364&lt;&gt;0,ISNUMBER(SEARCH("Material 0 terverifikasi",'Offshore - Brisbane'!N364))),OR('Offshore - Brisbane'!G364&lt;&gt;0,ISNUMBER(SEARCH("Enrolment 0 terverifikasi",'Offshore - Brisbane'!N364)))),1,0)</f>
        <v>0</v>
      </c>
      <c r="M201" s="0" t="n">
        <f aca="false">IF(OR('Offshore - Brisbane'!E364="",ISNUMBER(SEARCH("BSB80120",'Offshore - Brisbane'!B364&amp;'Offshore - Brisbane'!N364)),ISNUMBER(SEARCH("Management (Learning)",'Offshore - Brisbane'!B364))),2,IF(ISNUMBER(SEARCH("CEK:",'Offshore - Brisbane'!N364)),1,0))</f>
        <v>0</v>
      </c>
    </row>
    <row r="202" customFormat="false" ht="15" hidden="false" customHeight="false" outlineLevel="0" collapsed="false">
      <c r="A202" s="61" t="s">
        <v>3828</v>
      </c>
      <c r="B202" s="62"/>
      <c r="C202" s="62"/>
      <c r="D202" s="62"/>
      <c r="E202" s="62"/>
      <c r="F202" s="62"/>
      <c r="G202" s="62"/>
      <c r="H202" s="62"/>
      <c r="I202" s="62"/>
    </row>
    <row r="203" customFormat="false" ht="15" hidden="false" customHeight="false" outlineLevel="0" collapsed="false">
      <c r="A203" s="63" t="s">
        <v>3544</v>
      </c>
      <c r="B203" s="64" t="s">
        <v>3824</v>
      </c>
      <c r="C203" s="63" t="s">
        <v>41</v>
      </c>
      <c r="D203" s="64" t="str">
        <f aca="false">TRIM(LEFT('Offshore - Melbourne'!A417,FIND(CHAR(10),'Offshore - Melbourne'!A417&amp;CHAR(10))-1))</f>
        <v>The Centre of Excellence</v>
      </c>
      <c r="E203" s="63" t="str">
        <f aca="false">'Offshore - Melbourne'!C422&amp;""</f>
        <v>2 years</v>
      </c>
      <c r="F203" s="63" t="str">
        <f aca="false">IF('Offshore - Melbourne'!D422="","Belum tercatat",'Offshore - Melbourne'!D422)</f>
        <v>Term</v>
      </c>
      <c r="G203" s="65" t="n">
        <f aca="false">IF('Offshore - Melbourne'!E422="","-",'Offshore - Melbourne'!E422)</f>
        <v>2625</v>
      </c>
      <c r="H203" s="63" t="n">
        <f aca="false">IF(ISNUMBER(K203),COUNTIFS($J$6:$J$1854,J203,$K$6:$K$1854,"&lt;"&amp;K203)+1,"-")</f>
        <v>1</v>
      </c>
      <c r="I203" s="64" t="str">
        <f aca="false">IF('Offshore - Melbourne'!E422="","Harga belum tersedia - hubungi konsultan TEG",IF(M203=2,"Saat ini tidak menerima pendaftaran siswa internasional baru",IF(M203=1,"Harga perlu dikonfirmasi ke sekolah"&amp;IF(""="","","; "&amp;""),"")))</f>
        <v/>
      </c>
      <c r="J203" s="0" t="s">
        <v>3829</v>
      </c>
      <c r="K203" s="0" t="n">
        <f aca="false">IF(M203=2,"",IF(ISNUMBER(SEARCH("rata-rata:",'Offshore - Melbourne'!N422)),VALUE(MID('Offshore - Melbourne'!N422,SEARCH("rata-rata:",'Offshore - Melbourne'!N422)+11,FIND(";",'Offshore - Melbourne'!N422&amp;";",SEARCH("rata-rata:",'Offshore - Melbourne'!N422))-SEARCH("rata-rata:",'Offshore - Melbourne'!N422)-11)),IF('Offshore - Melbourne'!D422="Semester",'Offshore - Melbourne'!E422*2,IF('Offshore - Melbourne'!D422="Trimester",'Offshore - Melbourne'!E422*3,IF('Offshore - Melbourne'!D422="Term",'Offshore - Melbourne'!E422*4,IF('Offshore - Melbourne'!D422="Unit",'Offshore - Melbourne'!E422*8,""))))))</f>
        <v>10500</v>
      </c>
      <c r="L203" s="0" t="n">
        <f aca="false">IF(AND(ISNUMBER('Offshore - Melbourne'!E422),ISNUMBER(K203),ISNUMBER('Offshore - Melbourne'!F422),ISNUMBER('Offshore - Melbourne'!G422),OR('Offshore - Melbourne'!F422&lt;&gt;0,ISNUMBER(SEARCH("Material 0 terverifikasi",'Offshore - Melbourne'!N422))),OR('Offshore - Melbourne'!G422&lt;&gt;0,ISNUMBER(SEARCH("Enrolment 0 terverifikasi",'Offshore - Melbourne'!N422)))),1,0)</f>
        <v>1</v>
      </c>
      <c r="M203" s="0" t="n">
        <f aca="false">IF(OR('Offshore - Melbourne'!E422="",ISNUMBER(SEARCH("BSB80120",'Offshore - Melbourne'!B422&amp;'Offshore - Melbourne'!N422)),ISNUMBER(SEARCH("Management (Learning)",'Offshore - Melbourne'!B422))),2,IF(ISNUMBER(SEARCH("CEK:",'Offshore - Melbourne'!N422)),1,0))</f>
        <v>0</v>
      </c>
    </row>
    <row r="204" customFormat="false" ht="15" hidden="false" customHeight="false" outlineLevel="0" collapsed="false">
      <c r="A204" s="61" t="s">
        <v>3830</v>
      </c>
      <c r="B204" s="62"/>
      <c r="C204" s="62"/>
      <c r="D204" s="62"/>
      <c r="E204" s="62"/>
      <c r="F204" s="62"/>
      <c r="G204" s="62"/>
      <c r="H204" s="62"/>
      <c r="I204" s="62"/>
    </row>
    <row r="205" customFormat="false" ht="15" hidden="false" customHeight="false" outlineLevel="0" collapsed="false">
      <c r="A205" s="63" t="s">
        <v>3533</v>
      </c>
      <c r="B205" s="64" t="s">
        <v>3824</v>
      </c>
      <c r="C205" s="63" t="s">
        <v>41</v>
      </c>
      <c r="D205" s="64" t="str">
        <f aca="false">TRIM(LEFT('Offshore - Sydney'!A430,FIND(CHAR(10),'Offshore - Sydney'!A430&amp;CHAR(10))-1))</f>
        <v>George Brown College</v>
      </c>
      <c r="E205" s="63" t="str">
        <f aca="false">'Offshore - Sydney'!C439&amp;""</f>
        <v>2 years</v>
      </c>
      <c r="F205" s="63" t="str">
        <f aca="false">IF('Offshore - Sydney'!D439="","Belum tercatat",'Offshore - Sydney'!D439)</f>
        <v>Term</v>
      </c>
      <c r="G205" s="65" t="n">
        <f aca="false">IF('Offshore - Sydney'!E439="","-",'Offshore - Sydney'!E439)</f>
        <v>2000</v>
      </c>
      <c r="H205" s="63" t="n">
        <f aca="false">IF(ISNUMBER(K205),COUNTIFS($J$6:$J$1854,J205,$K$6:$K$1854,"&lt;"&amp;K205)+1,"-")</f>
        <v>1</v>
      </c>
      <c r="I205" s="64" t="str">
        <f aca="false">IF('Offshore - Sydney'!E439="","Harga belum tersedia - hubungi konsultan TEG",IF(M205=2,"Saat ini tidak menerima pendaftaran siswa internasional baru",IF(M205=1,"Harga perlu dikonfirmasi ke sekolah"&amp;IF(""="","","; "&amp;""),"")))</f>
        <v/>
      </c>
      <c r="J205" s="0" t="s">
        <v>3831</v>
      </c>
      <c r="K205" s="0" t="n">
        <f aca="false">IF(M205=2,"",IF(ISNUMBER(SEARCH("rata-rata:",'Offshore - Sydney'!N439)),VALUE(MID('Offshore - Sydney'!N439,SEARCH("rata-rata:",'Offshore - Sydney'!N439)+11,FIND(";",'Offshore - Sydney'!N439&amp;";",SEARCH("rata-rata:",'Offshore - Sydney'!N439))-SEARCH("rata-rata:",'Offshore - Sydney'!N439)-11)),IF('Offshore - Sydney'!D439="Semester",'Offshore - Sydney'!E439*2,IF('Offshore - Sydney'!D439="Trimester",'Offshore - Sydney'!E439*3,IF('Offshore - Sydney'!D439="Term",'Offshore - Sydney'!E439*4,IF('Offshore - Sydney'!D439="Unit",'Offshore - Sydney'!E439*8,""))))))</f>
        <v>8000</v>
      </c>
      <c r="L205" s="0" t="n">
        <f aca="false">IF(AND(ISNUMBER('Offshore - Sydney'!E439),ISNUMBER(K205),ISNUMBER('Offshore - Sydney'!F439),ISNUMBER('Offshore - Sydney'!G439),OR('Offshore - Sydney'!F439&lt;&gt;0,ISNUMBER(SEARCH("Material 0 terverifikasi",'Offshore - Sydney'!N439))),OR('Offshore - Sydney'!G439&lt;&gt;0,ISNUMBER(SEARCH("Enrolment 0 terverifikasi",'Offshore - Sydney'!N439)))),1,0)</f>
        <v>1</v>
      </c>
      <c r="M205" s="0" t="n">
        <f aca="false">IF(OR('Offshore - Sydney'!E439="",ISNUMBER(SEARCH("BSB80120",'Offshore - Sydney'!B439&amp;'Offshore - Sydney'!N439)),ISNUMBER(SEARCH("Management (Learning)",'Offshore - Sydney'!B439))),2,IF(ISNUMBER(SEARCH("CEK:",'Offshore - Sydney'!N439)),1,0))</f>
        <v>0</v>
      </c>
    </row>
    <row r="206" customFormat="false" ht="15" hidden="false" customHeight="false" outlineLevel="0" collapsed="false">
      <c r="A206" s="63" t="s">
        <v>3533</v>
      </c>
      <c r="B206" s="64" t="s">
        <v>3824</v>
      </c>
      <c r="C206" s="63" t="s">
        <v>41</v>
      </c>
      <c r="D206" s="64" t="str">
        <f aca="false">TRIM(LEFT('Offshore - Sydney'!A721,FIND(CHAR(10),'Offshore - Sydney'!A721&amp;CHAR(10))-1))</f>
        <v>TAFE NSW</v>
      </c>
      <c r="E206" s="63" t="str">
        <f aca="false">'Offshore - Sydney'!C752&amp;""</f>
        <v>2 years</v>
      </c>
      <c r="F206" s="63" t="str">
        <f aca="false">IF('Offshore - Sydney'!D752="","Belum tercatat",'Offshore - Sydney'!D752)</f>
        <v>Term</v>
      </c>
      <c r="G206" s="65" t="n">
        <f aca="false">IF('Offshore - Sydney'!E752="","-",'Offshore - Sydney'!E752)</f>
        <v>4357</v>
      </c>
      <c r="H206" s="63" t="n">
        <f aca="false">IF(ISNUMBER(K206),COUNTIFS($J$6:$J$1854,J206,$K$6:$K$1854,"&lt;"&amp;K206)+1,"-")</f>
        <v>2</v>
      </c>
      <c r="I206" s="64" t="str">
        <f aca="false">IF('Offshore - Sydney'!E752="","Harga belum tersedia - hubungi konsultan TEG",IF(M206=2,"Saat ini tidak menerima pendaftaran siswa internasional baru",IF(M206=1,"Harga perlu dikonfirmasi ke sekolah"&amp;IF(""="","","; "&amp;""),"")))</f>
        <v/>
      </c>
      <c r="J206" s="0" t="s">
        <v>3831</v>
      </c>
      <c r="K206" s="0" t="n">
        <f aca="false">IF(M206=2,"",IF(ISNUMBER(SEARCH("rata-rata:",'Offshore - Sydney'!N752)),VALUE(MID('Offshore - Sydney'!N752,SEARCH("rata-rata:",'Offshore - Sydney'!N752)+11,FIND(";",'Offshore - Sydney'!N752&amp;";",SEARCH("rata-rata:",'Offshore - Sydney'!N752))-SEARCH("rata-rata:",'Offshore - Sydney'!N752)-11)),IF('Offshore - Sydney'!D752="Semester",'Offshore - Sydney'!E752*2,IF('Offshore - Sydney'!D752="Trimester",'Offshore - Sydney'!E752*3,IF('Offshore - Sydney'!D752="Term",'Offshore - Sydney'!E752*4,IF('Offshore - Sydney'!D752="Unit",'Offshore - Sydney'!E752*8,""))))))</f>
        <v>17428</v>
      </c>
      <c r="L206" s="0" t="n">
        <f aca="false">IF(AND(ISNUMBER('Offshore - Sydney'!E752),ISNUMBER(K206),ISNUMBER('Offshore - Sydney'!F752),ISNUMBER('Offshore - Sydney'!G752),OR('Offshore - Sydney'!F752&lt;&gt;0,ISNUMBER(SEARCH("Material 0 terverifikasi",'Offshore - Sydney'!N752))),OR('Offshore - Sydney'!G752&lt;&gt;0,ISNUMBER(SEARCH("Enrolment 0 terverifikasi",'Offshore - Sydney'!N752)))),1,0)</f>
        <v>0</v>
      </c>
      <c r="M206" s="0" t="n">
        <f aca="false">IF(OR('Offshore - Sydney'!E752="",ISNUMBER(SEARCH("BSB80120",'Offshore - Sydney'!B752&amp;'Offshore - Sydney'!N752)),ISNUMBER(SEARCH("Management (Learning)",'Offshore - Sydney'!B752))),2,IF(ISNUMBER(SEARCH("CEK:",'Offshore - Sydney'!N752)),1,0))</f>
        <v>0</v>
      </c>
    </row>
    <row r="207" customFormat="false" ht="15" hidden="false" customHeight="false" outlineLevel="0" collapsed="false">
      <c r="A207" s="61" t="s">
        <v>3832</v>
      </c>
      <c r="B207" s="62"/>
      <c r="C207" s="62"/>
      <c r="D207" s="62"/>
      <c r="E207" s="62"/>
      <c r="F207" s="62"/>
      <c r="G207" s="62"/>
      <c r="H207" s="62"/>
      <c r="I207" s="62"/>
    </row>
    <row r="208" customFormat="false" ht="15" hidden="false" customHeight="false" outlineLevel="0" collapsed="false">
      <c r="A208" s="63" t="s">
        <v>3659</v>
      </c>
      <c r="B208" s="64" t="s">
        <v>3833</v>
      </c>
      <c r="C208" s="63" t="s">
        <v>40</v>
      </c>
      <c r="D208" s="64" t="str">
        <f aca="false">TRIM(LEFT('Offshore - Adelaide'!A399,FIND(CHAR(10),'Offshore - Adelaide'!A399&amp;CHAR(10))-1))</f>
        <v>Australian Ideal College (AIC)</v>
      </c>
      <c r="E208" s="63" t="str">
        <f aca="false">'Offshore - Adelaide'!C399&amp;""</f>
        <v>1,5 years</v>
      </c>
      <c r="F208" s="63" t="str">
        <f aca="false">IF('Offshore - Adelaide'!D399="","Belum tercatat",'Offshore - Adelaide'!D399)</f>
        <v>Term</v>
      </c>
      <c r="G208" s="65" t="n">
        <f aca="false">IF('Offshore - Adelaide'!E399="","-",'Offshore - Adelaide'!E399)</f>
        <v>1500</v>
      </c>
      <c r="H208" s="63" t="n">
        <f aca="false">IF(ISNUMBER(K208),COUNTIFS($J$6:$J$1854,J208,$K$6:$K$1854,"&lt;"&amp;K208)+1,"-")</f>
        <v>1</v>
      </c>
      <c r="I208" s="64" t="str">
        <f aca="false">IF('Offshore - Adelaide'!E399="","Harga belum tersedia - hubungi konsultan TEG",IF(M208=2,"Saat ini tidak menerima pendaftaran siswa internasional baru",IF(M208=1,"Harga perlu dikonfirmasi ke sekolah"&amp;IF(""="","","; "&amp;""),"")))</f>
        <v>Harga perlu dikonfirmasi ke sekolah</v>
      </c>
      <c r="J208" s="0" t="s">
        <v>3834</v>
      </c>
      <c r="K208" s="0" t="n">
        <f aca="false">IF(M208=2,"",IF(ISNUMBER(SEARCH("rata-rata:",'Offshore - Adelaide'!N399)),VALUE(MID('Offshore - Adelaide'!N399,SEARCH("rata-rata:",'Offshore - Adelaide'!N399)+11,FIND(";",'Offshore - Adelaide'!N399&amp;";",SEARCH("rata-rata:",'Offshore - Adelaide'!N399))-SEARCH("rata-rata:",'Offshore - Adelaide'!N399)-11)),IF('Offshore - Adelaide'!D399="Semester",'Offshore - Adelaide'!E399*2,IF('Offshore - Adelaide'!D399="Trimester",'Offshore - Adelaide'!E399*3,IF('Offshore - Adelaide'!D399="Term",'Offshore - Adelaide'!E399*4,IF('Offshore - Adelaide'!D399="Unit",'Offshore - Adelaide'!E399*8,""))))))</f>
        <v>6000</v>
      </c>
      <c r="L208" s="0" t="n">
        <f aca="false">IF(AND(ISNUMBER('Offshore - Adelaide'!E399),ISNUMBER(K208),ISNUMBER('Offshore - Adelaide'!F399),ISNUMBER('Offshore - Adelaide'!G399),OR('Offshore - Adelaide'!F399&lt;&gt;0,ISNUMBER(SEARCH("Material 0 terverifikasi",'Offshore - Adelaide'!N399))),OR('Offshore - Adelaide'!G399&lt;&gt;0,ISNUMBER(SEARCH("Enrolment 0 terverifikasi",'Offshore - Adelaide'!N399)))),1,0)</f>
        <v>1</v>
      </c>
      <c r="M208" s="0" t="n">
        <f aca="false">IF(OR('Offshore - Adelaide'!E399="",ISNUMBER(SEARCH("BSB80120",'Offshore - Adelaide'!B399&amp;'Offshore - Adelaide'!N399)),ISNUMBER(SEARCH("Management (Learning)",'Offshore - Adelaide'!B399))),2,IF(ISNUMBER(SEARCH("CEK:",'Offshore - Adelaide'!N399)),1,0))</f>
        <v>1</v>
      </c>
    </row>
    <row r="209" customFormat="false" ht="15" hidden="false" customHeight="false" outlineLevel="0" collapsed="false">
      <c r="A209" s="61" t="s">
        <v>3835</v>
      </c>
      <c r="B209" s="62"/>
      <c r="C209" s="62"/>
      <c r="D209" s="62"/>
      <c r="E209" s="62"/>
      <c r="F209" s="62"/>
      <c r="G209" s="62"/>
      <c r="H209" s="62"/>
      <c r="I209" s="62"/>
    </row>
    <row r="210" customFormat="false" ht="15" hidden="false" customHeight="false" outlineLevel="0" collapsed="false">
      <c r="A210" s="63" t="s">
        <v>3659</v>
      </c>
      <c r="B210" s="64" t="s">
        <v>3833</v>
      </c>
      <c r="C210" s="63" t="s">
        <v>41</v>
      </c>
      <c r="D210" s="64" t="str">
        <f aca="false">TRIM(LEFT('Offshore - Adelaide'!A431,FIND(CHAR(10),'Offshore - Adelaide'!A431&amp;CHAR(10))-1))</f>
        <v>Greenwich College</v>
      </c>
      <c r="E210" s="63" t="str">
        <f aca="false">'Offshore - Adelaide'!C431&amp;""</f>
        <v>1 years</v>
      </c>
      <c r="F210" s="63" t="str">
        <f aca="false">IF('Offshore - Adelaide'!D431="","Belum tercatat",'Offshore - Adelaide'!D431)</f>
        <v>Term</v>
      </c>
      <c r="G210" s="65" t="n">
        <f aca="false">IF('Offshore - Adelaide'!E431="","-",'Offshore - Adelaide'!E431)</f>
        <v>1250</v>
      </c>
      <c r="H210" s="63" t="n">
        <f aca="false">IF(ISNUMBER(K210),COUNTIFS($J$6:$J$1854,J210,$K$6:$K$1854,"&lt;"&amp;K210)+1,"-")</f>
        <v>1</v>
      </c>
      <c r="I210" s="64" t="str">
        <f aca="false">IF('Offshore - Adelaide'!E431="","Harga belum tersedia - hubungi konsultan TEG",IF(M210=2,"Saat ini tidak menerima pendaftaran siswa internasional baru",IF(M210=1,"Harga perlu dikonfirmasi ke sekolah"&amp;IF(""="","","; "&amp;""),"")))</f>
        <v/>
      </c>
      <c r="J210" s="0" t="s">
        <v>3836</v>
      </c>
      <c r="K210" s="0" t="n">
        <f aca="false">IF(M210=2,"",IF(ISNUMBER(SEARCH("rata-rata:",'Offshore - Adelaide'!N431)),VALUE(MID('Offshore - Adelaide'!N431,SEARCH("rata-rata:",'Offshore - Adelaide'!N431)+11,FIND(";",'Offshore - Adelaide'!N431&amp;";",SEARCH("rata-rata:",'Offshore - Adelaide'!N431))-SEARCH("rata-rata:",'Offshore - Adelaide'!N431)-11)),IF('Offshore - Adelaide'!D431="Semester",'Offshore - Adelaide'!E431*2,IF('Offshore - Adelaide'!D431="Trimester",'Offshore - Adelaide'!E431*3,IF('Offshore - Adelaide'!D431="Term",'Offshore - Adelaide'!E431*4,IF('Offshore - Adelaide'!D431="Unit",'Offshore - Adelaide'!E431*8,""))))))</f>
        <v>5000</v>
      </c>
      <c r="L210" s="0" t="n">
        <f aca="false">IF(AND(ISNUMBER('Offshore - Adelaide'!E431),ISNUMBER(K210),ISNUMBER('Offshore - Adelaide'!F431),ISNUMBER('Offshore - Adelaide'!G431),OR('Offshore - Adelaide'!F431&lt;&gt;0,ISNUMBER(SEARCH("Material 0 terverifikasi",'Offshore - Adelaide'!N431))),OR('Offshore - Adelaide'!G431&lt;&gt;0,ISNUMBER(SEARCH("Enrolment 0 terverifikasi",'Offshore - Adelaide'!N431)))),1,0)</f>
        <v>1</v>
      </c>
      <c r="M210" s="0" t="n">
        <f aca="false">IF(OR('Offshore - Adelaide'!E431="",ISNUMBER(SEARCH("BSB80120",'Offshore - Adelaide'!B431&amp;'Offshore - Adelaide'!N431)),ISNUMBER(SEARCH("Management (Learning)",'Offshore - Adelaide'!B431))),2,IF(ISNUMBER(SEARCH("CEK:",'Offshore - Adelaide'!N431)),1,0))</f>
        <v>0</v>
      </c>
    </row>
    <row r="211" customFormat="false" ht="15" hidden="false" customHeight="false" outlineLevel="0" collapsed="false">
      <c r="A211" s="63" t="s">
        <v>3659</v>
      </c>
      <c r="B211" s="64" t="s">
        <v>3833</v>
      </c>
      <c r="C211" s="63" t="s">
        <v>41</v>
      </c>
      <c r="D211" s="64" t="str">
        <f aca="false">TRIM(LEFT('Offshore - Adelaide'!A399,FIND(CHAR(10),'Offshore - Adelaide'!A399&amp;CHAR(10))-1))</f>
        <v>Australian Ideal College (AIC)</v>
      </c>
      <c r="E211" s="63" t="str">
        <f aca="false">'Offshore - Adelaide'!C400&amp;""</f>
        <v>2,5 years</v>
      </c>
      <c r="F211" s="63" t="str">
        <f aca="false">IF('Offshore - Adelaide'!D400="","Belum tercatat",'Offshore - Adelaide'!D400)</f>
        <v>Term</v>
      </c>
      <c r="G211" s="65" t="n">
        <f aca="false">IF('Offshore - Adelaide'!E400="","-",'Offshore - Adelaide'!E400)</f>
        <v>1500</v>
      </c>
      <c r="H211" s="63" t="n">
        <f aca="false">IF(ISNUMBER(K211),COUNTIFS($J$6:$J$1854,J211,$K$6:$K$1854,"&lt;"&amp;K211)+1,"-")</f>
        <v>2</v>
      </c>
      <c r="I211" s="64" t="str">
        <f aca="false">IF('Offshore - Adelaide'!E400="","Harga belum tersedia - hubungi konsultan TEG",IF(M211=2,"Saat ini tidak menerima pendaftaran siswa internasional baru",IF(M211=1,"Harga perlu dikonfirmasi ke sekolah"&amp;IF(""="","","; "&amp;""),"")))</f>
        <v/>
      </c>
      <c r="J211" s="0" t="s">
        <v>3836</v>
      </c>
      <c r="K211" s="0" t="n">
        <f aca="false">IF(M211=2,"",IF(ISNUMBER(SEARCH("rata-rata:",'Offshore - Adelaide'!N400)),VALUE(MID('Offshore - Adelaide'!N400,SEARCH("rata-rata:",'Offshore - Adelaide'!N400)+11,FIND(";",'Offshore - Adelaide'!N400&amp;";",SEARCH("rata-rata:",'Offshore - Adelaide'!N400))-SEARCH("rata-rata:",'Offshore - Adelaide'!N400)-11)),IF('Offshore - Adelaide'!D400="Semester",'Offshore - Adelaide'!E400*2,IF('Offshore - Adelaide'!D400="Trimester",'Offshore - Adelaide'!E400*3,IF('Offshore - Adelaide'!D400="Term",'Offshore - Adelaide'!E400*4,IF('Offshore - Adelaide'!D400="Unit",'Offshore - Adelaide'!E400*8,""))))))</f>
        <v>6000</v>
      </c>
      <c r="L211" s="0" t="n">
        <f aca="false">IF(AND(ISNUMBER('Offshore - Adelaide'!E400),ISNUMBER(K211),ISNUMBER('Offshore - Adelaide'!F400),ISNUMBER('Offshore - Adelaide'!G400),OR('Offshore - Adelaide'!F400&lt;&gt;0,ISNUMBER(SEARCH("Material 0 terverifikasi",'Offshore - Adelaide'!N400))),OR('Offshore - Adelaide'!G400&lt;&gt;0,ISNUMBER(SEARCH("Enrolment 0 terverifikasi",'Offshore - Adelaide'!N400)))),1,0)</f>
        <v>1</v>
      </c>
      <c r="M211" s="0" t="n">
        <f aca="false">IF(OR('Offshore - Adelaide'!E400="",ISNUMBER(SEARCH("BSB80120",'Offshore - Adelaide'!B400&amp;'Offshore - Adelaide'!N400)),ISNUMBER(SEARCH("Management (Learning)",'Offshore - Adelaide'!B400))),2,IF(ISNUMBER(SEARCH("CEK:",'Offshore - Adelaide'!N400)),1,0))</f>
        <v>0</v>
      </c>
    </row>
    <row r="212" customFormat="false" ht="15" hidden="false" customHeight="false" outlineLevel="0" collapsed="false">
      <c r="A212" s="63" t="s">
        <v>3659</v>
      </c>
      <c r="B212" s="64" t="s">
        <v>3833</v>
      </c>
      <c r="C212" s="63" t="s">
        <v>41</v>
      </c>
      <c r="D212" s="64" t="str">
        <f aca="false">TRIM(LEFT('Offshore - Adelaide'!A484,FIND(CHAR(10),'Offshore - Adelaide'!A484&amp;CHAR(10))-1))</f>
        <v>TAFE SA</v>
      </c>
      <c r="E212" s="63" t="str">
        <f aca="false">'Offshore - Adelaide'!C496&amp;""</f>
        <v>1 year</v>
      </c>
      <c r="F212" s="63" t="str">
        <f aca="false">IF('Offshore - Adelaide'!D496="","Belum tercatat",'Offshore - Adelaide'!D496)</f>
        <v>Semester</v>
      </c>
      <c r="G212" s="65" t="n">
        <f aca="false">IF('Offshore - Adelaide'!E496="","-",'Offshore - Adelaide'!E496)</f>
        <v>8135</v>
      </c>
      <c r="H212" s="63" t="n">
        <f aca="false">IF(ISNUMBER(K212),COUNTIFS($J$6:$J$1854,J212,$K$6:$K$1854,"&lt;"&amp;K212)+1,"-")</f>
        <v>3</v>
      </c>
      <c r="I212" s="64" t="str">
        <f aca="false">IF('Offshore - Adelaide'!E496="","Harga belum tersedia - hubungi konsultan TEG",IF(M212=2,"Saat ini tidak menerima pendaftaran siswa internasional baru",IF(M212=1,"Harga perlu dikonfirmasi ke sekolah"&amp;IF(""="","","; "&amp;""),"")))</f>
        <v/>
      </c>
      <c r="J212" s="0" t="s">
        <v>3836</v>
      </c>
      <c r="K212" s="0" t="n">
        <f aca="false">IF(M212=2,"",IF(ISNUMBER(SEARCH("rata-rata:",'Offshore - Adelaide'!N496)),VALUE(MID('Offshore - Adelaide'!N496,SEARCH("rata-rata:",'Offshore - Adelaide'!N496)+11,FIND(";",'Offshore - Adelaide'!N496&amp;";",SEARCH("rata-rata:",'Offshore - Adelaide'!N496))-SEARCH("rata-rata:",'Offshore - Adelaide'!N496)-11)),IF('Offshore - Adelaide'!D496="Semester",'Offshore - Adelaide'!E496*2,IF('Offshore - Adelaide'!D496="Trimester",'Offshore - Adelaide'!E496*3,IF('Offshore - Adelaide'!D496="Term",'Offshore - Adelaide'!E496*4,IF('Offshore - Adelaide'!D496="Unit",'Offshore - Adelaide'!E496*8,""))))))</f>
        <v>16270</v>
      </c>
      <c r="L212" s="0" t="n">
        <f aca="false">IF(AND(ISNUMBER('Offshore - Adelaide'!E496),ISNUMBER(K212),ISNUMBER('Offshore - Adelaide'!F496),ISNUMBER('Offshore - Adelaide'!G496),OR('Offshore - Adelaide'!F496&lt;&gt;0,ISNUMBER(SEARCH("Material 0 terverifikasi",'Offshore - Adelaide'!N496))),OR('Offshore - Adelaide'!G496&lt;&gt;0,ISNUMBER(SEARCH("Enrolment 0 terverifikasi",'Offshore - Adelaide'!N496)))),1,0)</f>
        <v>0</v>
      </c>
      <c r="M212" s="0" t="n">
        <f aca="false">IF(OR('Offshore - Adelaide'!E496="",ISNUMBER(SEARCH("BSB80120",'Offshore - Adelaide'!B496&amp;'Offshore - Adelaide'!N496)),ISNUMBER(SEARCH("Management (Learning)",'Offshore - Adelaide'!B496))),2,IF(ISNUMBER(SEARCH("CEK:",'Offshore - Adelaide'!N496)),1,0))</f>
        <v>0</v>
      </c>
    </row>
    <row r="213" customFormat="false" ht="15" hidden="false" customHeight="false" outlineLevel="0" collapsed="false">
      <c r="A213" s="63" t="s">
        <v>3659</v>
      </c>
      <c r="B213" s="64" t="s">
        <v>3833</v>
      </c>
      <c r="C213" s="63" t="s">
        <v>41</v>
      </c>
      <c r="D213" s="64" t="str">
        <f aca="false">TRIM(LEFT('Offshore - Adelaide'!A545,FIND(CHAR(10),'Offshore - Adelaide'!A545&amp;CHAR(10))-1))</f>
        <v>Torrens University Australia</v>
      </c>
      <c r="E213" s="63" t="str">
        <f aca="false">'Offshore - Adelaide'!C545&amp;""</f>
        <v>1 year</v>
      </c>
      <c r="F213" s="63" t="str">
        <f aca="false">IF('Offshore - Adelaide'!D545="","Belum tercatat",'Offshore - Adelaide'!D545)</f>
        <v>Term</v>
      </c>
      <c r="G213" s="65" t="n">
        <f aca="false">IF('Offshore - Adelaide'!E545="","-",'Offshore - Adelaide'!E545)</f>
        <v>7900</v>
      </c>
      <c r="H213" s="63" t="n">
        <f aca="false">IF(ISNUMBER(K213),COUNTIFS($J$6:$J$1854,J213,$K$6:$K$1854,"&lt;"&amp;K213)+1,"-")</f>
        <v>4</v>
      </c>
      <c r="I213" s="64" t="str">
        <f aca="false">IF('Offshore - Adelaide'!E545="","Harga belum tersedia - hubungi konsultan TEG",IF(M213=2,"Saat ini tidak menerima pendaftaran siswa internasional baru",IF(M213=1,"Harga perlu dikonfirmasi ke sekolah"&amp;IF(""="","","; "&amp;""),"")))</f>
        <v/>
      </c>
      <c r="J213" s="0" t="s">
        <v>3836</v>
      </c>
      <c r="K213" s="0" t="n">
        <f aca="false">IF(M213=2,"",IF(ISNUMBER(SEARCH("rata-rata:",'Offshore - Adelaide'!N545)),VALUE(MID('Offshore - Adelaide'!N545,SEARCH("rata-rata:",'Offshore - Adelaide'!N545)+11,FIND(";",'Offshore - Adelaide'!N545&amp;";",SEARCH("rata-rata:",'Offshore - Adelaide'!N545))-SEARCH("rata-rata:",'Offshore - Adelaide'!N545)-11)),IF('Offshore - Adelaide'!D545="Semester",'Offshore - Adelaide'!E545*2,IF('Offshore - Adelaide'!D545="Trimester",'Offshore - Adelaide'!E545*3,IF('Offshore - Adelaide'!D545="Term",'Offshore - Adelaide'!E545*4,IF('Offshore - Adelaide'!D545="Unit",'Offshore - Adelaide'!E545*8,""))))))</f>
        <v>31600</v>
      </c>
      <c r="L213" s="0" t="n">
        <f aca="false">IF(AND(ISNUMBER('Offshore - Adelaide'!E545),ISNUMBER(K213),ISNUMBER('Offshore - Adelaide'!F545),ISNUMBER('Offshore - Adelaide'!G545),OR('Offshore - Adelaide'!F545&lt;&gt;0,ISNUMBER(SEARCH("Material 0 terverifikasi",'Offshore - Adelaide'!N545))),OR('Offshore - Adelaide'!G545&lt;&gt;0,ISNUMBER(SEARCH("Enrolment 0 terverifikasi",'Offshore - Adelaide'!N545)))),1,0)</f>
        <v>0</v>
      </c>
      <c r="M213" s="0" t="n">
        <f aca="false">IF(OR('Offshore - Adelaide'!E545="",ISNUMBER(SEARCH("BSB80120",'Offshore - Adelaide'!B545&amp;'Offshore - Adelaide'!N545)),ISNUMBER(SEARCH("Management (Learning)",'Offshore - Adelaide'!B545))),2,IF(ISNUMBER(SEARCH("CEK:",'Offshore - Adelaide'!N545)),1,0))</f>
        <v>0</v>
      </c>
    </row>
    <row r="214" customFormat="false" ht="15" hidden="false" customHeight="false" outlineLevel="0" collapsed="false">
      <c r="A214" s="63" t="s">
        <v>3659</v>
      </c>
      <c r="B214" s="64" t="s">
        <v>3833</v>
      </c>
      <c r="C214" s="63" t="s">
        <v>41</v>
      </c>
      <c r="D214" s="64" t="str">
        <f aca="false">TRIM(LEFT('Offshore - Adelaide'!A441,FIND(CHAR(10),'Offshore - Adelaide'!A441&amp;CHAR(10))-1))</f>
        <v>Kaplan Business School</v>
      </c>
      <c r="E214" s="63" t="str">
        <f aca="false">'Offshore - Adelaide'!C441&amp;""</f>
        <v>1 year</v>
      </c>
      <c r="F214" s="63" t="str">
        <f aca="false">IF('Offshore - Adelaide'!D441="","Belum tercatat",'Offshore - Adelaide'!D441)</f>
        <v>Trimester</v>
      </c>
      <c r="G214" s="65" t="n">
        <f aca="false">IF('Offshore - Adelaide'!E441="","-",'Offshore - Adelaide'!E441)</f>
        <v>11520</v>
      </c>
      <c r="H214" s="63" t="n">
        <f aca="false">IF(ISNUMBER(K214),COUNTIFS($J$6:$J$1854,J214,$K$6:$K$1854,"&lt;"&amp;K214)+1,"-")</f>
        <v>5</v>
      </c>
      <c r="I214" s="64" t="str">
        <f aca="false">IF('Offshore - Adelaide'!E441="","Harga belum tersedia - hubungi konsultan TEG",IF(M214=2,"Saat ini tidak menerima pendaftaran siswa internasional baru",IF(M214=1,"Harga perlu dikonfirmasi ke sekolah"&amp;IF(""="","","; "&amp;""),"")))</f>
        <v>Harga perlu dikonfirmasi ke sekolah</v>
      </c>
      <c r="J214" s="0" t="s">
        <v>3836</v>
      </c>
      <c r="K214" s="0" t="n">
        <f aca="false">IF(M214=2,"",IF(ISNUMBER(SEARCH("rata-rata:",'Offshore - Adelaide'!N441)),VALUE(MID('Offshore - Adelaide'!N441,SEARCH("rata-rata:",'Offshore - Adelaide'!N441)+11,FIND(";",'Offshore - Adelaide'!N441&amp;";",SEARCH("rata-rata:",'Offshore - Adelaide'!N441))-SEARCH("rata-rata:",'Offshore - Adelaide'!N441)-11)),IF('Offshore - Adelaide'!D441="Semester",'Offshore - Adelaide'!E441*2,IF('Offshore - Adelaide'!D441="Trimester",'Offshore - Adelaide'!E441*3,IF('Offshore - Adelaide'!D441="Term",'Offshore - Adelaide'!E441*4,IF('Offshore - Adelaide'!D441="Unit",'Offshore - Adelaide'!E441*8,""))))))</f>
        <v>34560</v>
      </c>
      <c r="L214" s="0" t="n">
        <f aca="false">IF(AND(ISNUMBER('Offshore - Adelaide'!E441),ISNUMBER(K214),ISNUMBER('Offshore - Adelaide'!F441),ISNUMBER('Offshore - Adelaide'!G441),OR('Offshore - Adelaide'!F441&lt;&gt;0,ISNUMBER(SEARCH("Material 0 terverifikasi",'Offshore - Adelaide'!N441))),OR('Offshore - Adelaide'!G441&lt;&gt;0,ISNUMBER(SEARCH("Enrolment 0 terverifikasi",'Offshore - Adelaide'!N441)))),1,0)</f>
        <v>1</v>
      </c>
      <c r="M214" s="0" t="n">
        <f aca="false">IF(OR('Offshore - Adelaide'!E441="",ISNUMBER(SEARCH("BSB80120",'Offshore - Adelaide'!B441&amp;'Offshore - Adelaide'!N441)),ISNUMBER(SEARCH("Management (Learning)",'Offshore - Adelaide'!B441))),2,IF(ISNUMBER(SEARCH("CEK:",'Offshore - Adelaide'!N441)),1,0))</f>
        <v>1</v>
      </c>
    </row>
    <row r="215" customFormat="false" ht="15" hidden="false" customHeight="false" outlineLevel="0" collapsed="false">
      <c r="A215" s="61" t="s">
        <v>3837</v>
      </c>
      <c r="B215" s="62"/>
      <c r="C215" s="62"/>
      <c r="D215" s="62"/>
      <c r="E215" s="62"/>
      <c r="F215" s="62"/>
      <c r="G215" s="62"/>
      <c r="H215" s="62"/>
      <c r="I215" s="62"/>
    </row>
    <row r="216" customFormat="false" ht="15" hidden="false" customHeight="false" outlineLevel="0" collapsed="false">
      <c r="A216" s="63" t="s">
        <v>3659</v>
      </c>
      <c r="B216" s="64" t="s">
        <v>3833</v>
      </c>
      <c r="C216" s="63" t="s">
        <v>42</v>
      </c>
      <c r="D216" s="64" t="str">
        <f aca="false">TRIM(LEFT('Offshore - Adelaide'!A431,FIND(CHAR(10),'Offshore - Adelaide'!A431&amp;CHAR(10))-1))</f>
        <v>Greenwich College</v>
      </c>
      <c r="E216" s="63" t="str">
        <f aca="false">'Offshore - Adelaide'!C432&amp;""</f>
        <v>120 weeks</v>
      </c>
      <c r="F216" s="63" t="str">
        <f aca="false">IF('Offshore - Adelaide'!D432="","Belum tercatat",'Offshore - Adelaide'!D432)</f>
        <v>Term</v>
      </c>
      <c r="G216" s="65" t="n">
        <f aca="false">IF('Offshore - Adelaide'!E432="","-",'Offshore - Adelaide'!E432)</f>
        <v>1250</v>
      </c>
      <c r="H216" s="63" t="n">
        <f aca="false">IF(ISNUMBER(K216),COUNTIFS($J$6:$J$1854,J216,$K$6:$K$1854,"&lt;"&amp;K216)+1,"-")</f>
        <v>1</v>
      </c>
      <c r="I216" s="64" t="str">
        <f aca="false">IF('Offshore - Adelaide'!E432="","Harga belum tersedia - hubungi konsultan TEG",IF(M216=2,"Saat ini tidak menerima pendaftaran siswa internasional baru",IF(M216=1,"Harga perlu dikonfirmasi ke sekolah"&amp;IF(""="","","; "&amp;""),"")))</f>
        <v/>
      </c>
      <c r="J216" s="0" t="s">
        <v>3838</v>
      </c>
      <c r="K216" s="0" t="n">
        <f aca="false">IF(M216=2,"",IF(ISNUMBER(SEARCH("rata-rata:",'Offshore - Adelaide'!N432)),VALUE(MID('Offshore - Adelaide'!N432,SEARCH("rata-rata:",'Offshore - Adelaide'!N432)+11,FIND(";",'Offshore - Adelaide'!N432&amp;";",SEARCH("rata-rata:",'Offshore - Adelaide'!N432))-SEARCH("rata-rata:",'Offshore - Adelaide'!N432)-11)),IF('Offshore - Adelaide'!D432="Semester",'Offshore - Adelaide'!E432*2,IF('Offshore - Adelaide'!D432="Trimester",'Offshore - Adelaide'!E432*3,IF('Offshore - Adelaide'!D432="Term",'Offshore - Adelaide'!E432*4,IF('Offshore - Adelaide'!D432="Unit",'Offshore - Adelaide'!E432*8,""))))))</f>
        <v>5000</v>
      </c>
      <c r="L216" s="0" t="n">
        <f aca="false">IF(AND(ISNUMBER('Offshore - Adelaide'!E432),ISNUMBER(K216),ISNUMBER('Offshore - Adelaide'!F432),ISNUMBER('Offshore - Adelaide'!G432),OR('Offshore - Adelaide'!F432&lt;&gt;0,ISNUMBER(SEARCH("Material 0 terverifikasi",'Offshore - Adelaide'!N432))),OR('Offshore - Adelaide'!G432&lt;&gt;0,ISNUMBER(SEARCH("Enrolment 0 terverifikasi",'Offshore - Adelaide'!N432)))),1,0)</f>
        <v>1</v>
      </c>
      <c r="M216" s="0" t="n">
        <f aca="false">IF(OR('Offshore - Adelaide'!E432="",ISNUMBER(SEARCH("BSB80120",'Offshore - Adelaide'!B432&amp;'Offshore - Adelaide'!N432)),ISNUMBER(SEARCH("Management (Learning)",'Offshore - Adelaide'!B432))),2,IF(ISNUMBER(SEARCH("CEK:",'Offshore - Adelaide'!N432)),1,0))</f>
        <v>0</v>
      </c>
    </row>
    <row r="217" customFormat="false" ht="15" hidden="false" customHeight="false" outlineLevel="0" collapsed="false">
      <c r="A217" s="63" t="s">
        <v>3659</v>
      </c>
      <c r="B217" s="64" t="s">
        <v>3833</v>
      </c>
      <c r="C217" s="63" t="s">
        <v>42</v>
      </c>
      <c r="D217" s="64" t="str">
        <f aca="false">TRIM(LEFT('Offshore - Adelaide'!A6,FIND(CHAR(10),'Offshore - Adelaide'!A6&amp;CHAR(10))-1))</f>
        <v>Abbey College Australia</v>
      </c>
      <c r="E217" s="63" t="str">
        <f aca="false">'Offshore - Adelaide'!C8&amp;""</f>
        <v>2,5 years</v>
      </c>
      <c r="F217" s="63" t="str">
        <f aca="false">IF('Offshore - Adelaide'!D8="","Belum tercatat",'Offshore - Adelaide'!D8)</f>
        <v>Term</v>
      </c>
      <c r="G217" s="65" t="n">
        <f aca="false">IF('Offshore - Adelaide'!E8="","-",'Offshore - Adelaide'!E8)</f>
        <v>1500</v>
      </c>
      <c r="H217" s="63" t="n">
        <f aca="false">IF(ISNUMBER(K217),COUNTIFS($J$6:$J$1854,J217,$K$6:$K$1854,"&lt;"&amp;K217)+1,"-")</f>
        <v>2</v>
      </c>
      <c r="I217" s="64" t="str">
        <f aca="false">IF('Offshore - Adelaide'!E8="","Harga belum tersedia - hubungi konsultan TEG",IF(M217=2,"Saat ini tidak menerima pendaftaran siswa internasional baru",IF(M217=1,"Harga perlu dikonfirmasi ke sekolah"&amp;IF(""="","","; "&amp;""),"")))</f>
        <v/>
      </c>
      <c r="J217" s="0" t="s">
        <v>3838</v>
      </c>
      <c r="K217" s="0" t="n">
        <f aca="false">IF(M217=2,"",IF(ISNUMBER(SEARCH("rata-rata:",'Offshore - Adelaide'!N8)),VALUE(MID('Offshore - Adelaide'!N8,SEARCH("rata-rata:",'Offshore - Adelaide'!N8)+11,FIND(";",'Offshore - Adelaide'!N8&amp;";",SEARCH("rata-rata:",'Offshore - Adelaide'!N8))-SEARCH("rata-rata:",'Offshore - Adelaide'!N8)-11)),IF('Offshore - Adelaide'!D8="Semester",'Offshore - Adelaide'!E8*2,IF('Offshore - Adelaide'!D8="Trimester",'Offshore - Adelaide'!E8*3,IF('Offshore - Adelaide'!D8="Term",'Offshore - Adelaide'!E8*4,IF('Offshore - Adelaide'!D8="Unit",'Offshore - Adelaide'!E8*8,""))))))</f>
        <v>6000</v>
      </c>
      <c r="L217" s="0" t="n">
        <f aca="false">IF(AND(ISNUMBER('Offshore - Adelaide'!E8),ISNUMBER(K217),ISNUMBER('Offshore - Adelaide'!F8),ISNUMBER('Offshore - Adelaide'!G8),OR('Offshore - Adelaide'!F8&lt;&gt;0,ISNUMBER(SEARCH("Material 0 terverifikasi",'Offshore - Adelaide'!N8))),OR('Offshore - Adelaide'!G8&lt;&gt;0,ISNUMBER(SEARCH("Enrolment 0 terverifikasi",'Offshore - Adelaide'!N8)))),1,0)</f>
        <v>1</v>
      </c>
      <c r="M217" s="0" t="n">
        <f aca="false">IF(OR('Offshore - Adelaide'!E8="",ISNUMBER(SEARCH("BSB80120",'Offshore - Adelaide'!B8&amp;'Offshore - Adelaide'!N8)),ISNUMBER(SEARCH("Management (Learning)",'Offshore - Adelaide'!B8))),2,IF(ISNUMBER(SEARCH("CEK:",'Offshore - Adelaide'!N8)),1,0))</f>
        <v>0</v>
      </c>
    </row>
    <row r="218" customFormat="false" ht="15" hidden="false" customHeight="false" outlineLevel="0" collapsed="false">
      <c r="A218" s="63" t="s">
        <v>3659</v>
      </c>
      <c r="B218" s="64" t="s">
        <v>3833</v>
      </c>
      <c r="C218" s="63" t="s">
        <v>42</v>
      </c>
      <c r="D218" s="64" t="str">
        <f aca="false">TRIM(LEFT('Offshore - Adelaide'!A399,FIND(CHAR(10),'Offshore - Adelaide'!A399&amp;CHAR(10))-1))</f>
        <v>Australian Ideal College (AIC)</v>
      </c>
      <c r="E218" s="63" t="str">
        <f aca="false">'Offshore - Adelaide'!C402&amp;""</f>
        <v>1,5 years</v>
      </c>
      <c r="F218" s="63" t="str">
        <f aca="false">IF('Offshore - Adelaide'!D402="","Belum tercatat",'Offshore - Adelaide'!D402)</f>
        <v>Term</v>
      </c>
      <c r="G218" s="65" t="n">
        <f aca="false">IF('Offshore - Adelaide'!E402="","-",'Offshore - Adelaide'!E402)</f>
        <v>1500</v>
      </c>
      <c r="H218" s="63" t="n">
        <f aca="false">IF(ISNUMBER(K218),COUNTIFS($J$6:$J$1854,J218,$K$6:$K$1854,"&lt;"&amp;K218)+1,"-")</f>
        <v>2</v>
      </c>
      <c r="I218" s="64" t="str">
        <f aca="false">IF('Offshore - Adelaide'!E402="","Harga belum tersedia - hubungi konsultan TEG",IF(M218=2,"Saat ini tidak menerima pendaftaran siswa internasional baru",IF(M218=1,"Harga perlu dikonfirmasi ke sekolah"&amp;IF(""="","","; "&amp;""),"")))</f>
        <v/>
      </c>
      <c r="J218" s="0" t="s">
        <v>3838</v>
      </c>
      <c r="K218" s="0" t="n">
        <f aca="false">IF(M218=2,"",IF(ISNUMBER(SEARCH("rata-rata:",'Offshore - Adelaide'!N402)),VALUE(MID('Offshore - Adelaide'!N402,SEARCH("rata-rata:",'Offshore - Adelaide'!N402)+11,FIND(";",'Offshore - Adelaide'!N402&amp;";",SEARCH("rata-rata:",'Offshore - Adelaide'!N402))-SEARCH("rata-rata:",'Offshore - Adelaide'!N402)-11)),IF('Offshore - Adelaide'!D402="Semester",'Offshore - Adelaide'!E402*2,IF('Offshore - Adelaide'!D402="Trimester",'Offshore - Adelaide'!E402*3,IF('Offshore - Adelaide'!D402="Term",'Offshore - Adelaide'!E402*4,IF('Offshore - Adelaide'!D402="Unit",'Offshore - Adelaide'!E402*8,""))))))</f>
        <v>6000</v>
      </c>
      <c r="L218" s="0" t="n">
        <f aca="false">IF(AND(ISNUMBER('Offshore - Adelaide'!E402),ISNUMBER(K218),ISNUMBER('Offshore - Adelaide'!F402),ISNUMBER('Offshore - Adelaide'!G402),OR('Offshore - Adelaide'!F402&lt;&gt;0,ISNUMBER(SEARCH("Material 0 terverifikasi",'Offshore - Adelaide'!N402))),OR('Offshore - Adelaide'!G402&lt;&gt;0,ISNUMBER(SEARCH("Enrolment 0 terverifikasi",'Offshore - Adelaide'!N402)))),1,0)</f>
        <v>1</v>
      </c>
      <c r="M218" s="0" t="n">
        <f aca="false">IF(OR('Offshore - Adelaide'!E402="",ISNUMBER(SEARCH("BSB80120",'Offshore - Adelaide'!B402&amp;'Offshore - Adelaide'!N402)),ISNUMBER(SEARCH("Management (Learning)",'Offshore - Adelaide'!B402))),2,IF(ISNUMBER(SEARCH("CEK:",'Offshore - Adelaide'!N402)),1,0))</f>
        <v>0</v>
      </c>
    </row>
    <row r="219" customFormat="false" ht="15" hidden="false" customHeight="false" outlineLevel="0" collapsed="false">
      <c r="A219" s="63" t="s">
        <v>3659</v>
      </c>
      <c r="B219" s="64" t="s">
        <v>3833</v>
      </c>
      <c r="C219" s="63" t="s">
        <v>42</v>
      </c>
      <c r="D219" s="64" t="str">
        <f aca="false">TRIM(LEFT('Offshore - Adelaide'!A379,FIND(CHAR(10),'Offshore - Adelaide'!A379&amp;CHAR(10))-1))</f>
        <v>Alliance College</v>
      </c>
      <c r="E219" s="63" t="str">
        <f aca="false">'Offshore - Adelaide'!C394&amp;""</f>
        <v>2 years</v>
      </c>
      <c r="F219" s="63" t="str">
        <f aca="false">IF('Offshore - Adelaide'!D394="","Belum tercatat",'Offshore - Adelaide'!D394)</f>
        <v>Term</v>
      </c>
      <c r="G219" s="65" t="n">
        <f aca="false">IF('Offshore - Adelaide'!E394="","-",'Offshore - Adelaide'!E394)</f>
        <v>1540</v>
      </c>
      <c r="H219" s="63" t="n">
        <f aca="false">IF(ISNUMBER(K219),COUNTIFS($J$6:$J$1854,J219,$K$6:$K$1854,"&lt;"&amp;K219)+1,"-")</f>
        <v>4</v>
      </c>
      <c r="I219" s="64" t="str">
        <f aca="false">IF('Offshore - Adelaide'!E394="","Harga belum tersedia - hubungi konsultan TEG",IF(M219=2,"Saat ini tidak menerima pendaftaran siswa internasional baru",IF(M219=1,"Harga perlu dikonfirmasi ke sekolah"&amp;IF(""="","","; "&amp;""),"")))</f>
        <v/>
      </c>
      <c r="J219" s="0" t="s">
        <v>3838</v>
      </c>
      <c r="K219" s="0" t="n">
        <f aca="false">IF(M219=2,"",IF(ISNUMBER(SEARCH("rata-rata:",'Offshore - Adelaide'!N394)),VALUE(MID('Offshore - Adelaide'!N394,SEARCH("rata-rata:",'Offshore - Adelaide'!N394)+11,FIND(";",'Offshore - Adelaide'!N394&amp;";",SEARCH("rata-rata:",'Offshore - Adelaide'!N394))-SEARCH("rata-rata:",'Offshore - Adelaide'!N394)-11)),IF('Offshore - Adelaide'!D394="Semester",'Offshore - Adelaide'!E394*2,IF('Offshore - Adelaide'!D394="Trimester",'Offshore - Adelaide'!E394*3,IF('Offshore - Adelaide'!D394="Term",'Offshore - Adelaide'!E394*4,IF('Offshore - Adelaide'!D394="Unit",'Offshore - Adelaide'!E394*8,""))))))</f>
        <v>6160</v>
      </c>
      <c r="L219" s="0" t="n">
        <f aca="false">IF(AND(ISNUMBER('Offshore - Adelaide'!E394),ISNUMBER(K219),ISNUMBER('Offshore - Adelaide'!F394),ISNUMBER('Offshore - Adelaide'!G394),OR('Offshore - Adelaide'!F394&lt;&gt;0,ISNUMBER(SEARCH("Material 0 terverifikasi",'Offshore - Adelaide'!N394))),OR('Offshore - Adelaide'!G394&lt;&gt;0,ISNUMBER(SEARCH("Enrolment 0 terverifikasi",'Offshore - Adelaide'!N394)))),1,0)</f>
        <v>0</v>
      </c>
      <c r="M219" s="0" t="n">
        <f aca="false">IF(OR('Offshore - Adelaide'!E394="",ISNUMBER(SEARCH("BSB80120",'Offshore - Adelaide'!B394&amp;'Offshore - Adelaide'!N394)),ISNUMBER(SEARCH("Management (Learning)",'Offshore - Adelaide'!B394))),2,IF(ISNUMBER(SEARCH("CEK:",'Offshore - Adelaide'!N394)),1,0))</f>
        <v>0</v>
      </c>
    </row>
    <row r="220" customFormat="false" ht="15" hidden="false" customHeight="false" outlineLevel="0" collapsed="false">
      <c r="A220" s="63" t="s">
        <v>3659</v>
      </c>
      <c r="B220" s="64" t="s">
        <v>3833</v>
      </c>
      <c r="C220" s="63" t="s">
        <v>42</v>
      </c>
      <c r="D220" s="64" t="str">
        <f aca="false">TRIM(LEFT('Offshore - Adelaide'!A471,FIND(CHAR(10),'Offshore - Adelaide'!A471&amp;CHAR(10))-1))</f>
        <v>Signet Institute of Australia</v>
      </c>
      <c r="E220" s="63" t="str">
        <f aca="false">'Offshore - Adelaide'!C472&amp;""</f>
        <v>2 years</v>
      </c>
      <c r="F220" s="63" t="str">
        <f aca="false">IF('Offshore - Adelaide'!D472="","Belum tercatat",'Offshore - Adelaide'!D472)</f>
        <v>Term</v>
      </c>
      <c r="G220" s="65" t="n">
        <f aca="false">IF('Offshore - Adelaide'!E472="","-",'Offshore - Adelaide'!E472)</f>
        <v>1875</v>
      </c>
      <c r="H220" s="63" t="n">
        <f aca="false">IF(ISNUMBER(K220),COUNTIFS($J$6:$J$1854,J220,$K$6:$K$1854,"&lt;"&amp;K220)+1,"-")</f>
        <v>5</v>
      </c>
      <c r="I220" s="64" t="str">
        <f aca="false">IF('Offshore - Adelaide'!E472="","Harga belum tersedia - hubungi konsultan TEG",IF(M220=2,"Saat ini tidak menerima pendaftaran siswa internasional baru",IF(M220=1,"Harga perlu dikonfirmasi ke sekolah"&amp;IF(""="","","; "&amp;""),"")))</f>
        <v>Harga perlu dikonfirmasi ke sekolah</v>
      </c>
      <c r="J220" s="0" t="s">
        <v>3838</v>
      </c>
      <c r="K220" s="0" t="n">
        <f aca="false">IF(M220=2,"",IF(ISNUMBER(SEARCH("rata-rata:",'Offshore - Adelaide'!N472)),VALUE(MID('Offshore - Adelaide'!N472,SEARCH("rata-rata:",'Offshore - Adelaide'!N472)+11,FIND(";",'Offshore - Adelaide'!N472&amp;";",SEARCH("rata-rata:",'Offshore - Adelaide'!N472))-SEARCH("rata-rata:",'Offshore - Adelaide'!N472)-11)),IF('Offshore - Adelaide'!D472="Semester",'Offshore - Adelaide'!E472*2,IF('Offshore - Adelaide'!D472="Trimester",'Offshore - Adelaide'!E472*3,IF('Offshore - Adelaide'!D472="Term",'Offshore - Adelaide'!E472*4,IF('Offshore - Adelaide'!D472="Unit",'Offshore - Adelaide'!E472*8,""))))))</f>
        <v>7500</v>
      </c>
      <c r="L220" s="0" t="n">
        <f aca="false">IF(AND(ISNUMBER('Offshore - Adelaide'!E472),ISNUMBER(K220),ISNUMBER('Offshore - Adelaide'!F472),ISNUMBER('Offshore - Adelaide'!G472),OR('Offshore - Adelaide'!F472&lt;&gt;0,ISNUMBER(SEARCH("Material 0 terverifikasi",'Offshore - Adelaide'!N472))),OR('Offshore - Adelaide'!G472&lt;&gt;0,ISNUMBER(SEARCH("Enrolment 0 terverifikasi",'Offshore - Adelaide'!N472)))),1,0)</f>
        <v>1</v>
      </c>
      <c r="M220" s="0" t="n">
        <f aca="false">IF(OR('Offshore - Adelaide'!E472="",ISNUMBER(SEARCH("BSB80120",'Offshore - Adelaide'!B472&amp;'Offshore - Adelaide'!N472)),ISNUMBER(SEARCH("Management (Learning)",'Offshore - Adelaide'!B472))),2,IF(ISNUMBER(SEARCH("CEK:",'Offshore - Adelaide'!N472)),1,0))</f>
        <v>1</v>
      </c>
    </row>
    <row r="221" customFormat="false" ht="28.35" hidden="false" customHeight="false" outlineLevel="0" collapsed="false">
      <c r="A221" s="63" t="s">
        <v>3659</v>
      </c>
      <c r="B221" s="64" t="s">
        <v>3833</v>
      </c>
      <c r="C221" s="63" t="s">
        <v>42</v>
      </c>
      <c r="D221" s="64" t="str">
        <f aca="false">TRIM(LEFT('Offshore - Adelaide'!A374,FIND(CHAR(10),'Offshore - Adelaide'!A374&amp;CHAR(10))-1))</f>
        <v>Albright Institute of Business and Language (AIBL)</v>
      </c>
      <c r="E221" s="63" t="str">
        <f aca="false">'Offshore - Adelaide'!C374&amp;""</f>
        <v>2 years</v>
      </c>
      <c r="F221" s="63" t="str">
        <f aca="false">IF('Offshore - Adelaide'!D374="","Belum tercatat",'Offshore - Adelaide'!D374)</f>
        <v>Term</v>
      </c>
      <c r="G221" s="65" t="n">
        <f aca="false">IF('Offshore - Adelaide'!E374="","-",'Offshore - Adelaide'!E374)</f>
        <v>2000</v>
      </c>
      <c r="H221" s="63" t="n">
        <f aca="false">IF(ISNUMBER(K221),COUNTIFS($J$6:$J$1854,J221,$K$6:$K$1854,"&lt;"&amp;K221)+1,"-")</f>
        <v>6</v>
      </c>
      <c r="I221" s="64" t="str">
        <f aca="false">IF('Offshore - Adelaide'!E374="","Harga belum tersedia - hubungi konsultan TEG",IF(M221=2,"Saat ini tidak menerima pendaftaran siswa internasional baru",IF(M221=1,"Harga perlu dikonfirmasi ke sekolah"&amp;IF(""="","","; "&amp;""),"")))</f>
        <v/>
      </c>
      <c r="J221" s="0" t="s">
        <v>3838</v>
      </c>
      <c r="K221" s="0" t="n">
        <f aca="false">IF(M221=2,"",IF(ISNUMBER(SEARCH("rata-rata:",'Offshore - Adelaide'!N374)),VALUE(MID('Offshore - Adelaide'!N374,SEARCH("rata-rata:",'Offshore - Adelaide'!N374)+11,FIND(";",'Offshore - Adelaide'!N374&amp;";",SEARCH("rata-rata:",'Offshore - Adelaide'!N374))-SEARCH("rata-rata:",'Offshore - Adelaide'!N374)-11)),IF('Offshore - Adelaide'!D374="Semester",'Offshore - Adelaide'!E374*2,IF('Offshore - Adelaide'!D374="Trimester",'Offshore - Adelaide'!E374*3,IF('Offshore - Adelaide'!D374="Term",'Offshore - Adelaide'!E374*4,IF('Offshore - Adelaide'!D374="Unit",'Offshore - Adelaide'!E374*8,""))))))</f>
        <v>8000</v>
      </c>
      <c r="L221" s="0" t="n">
        <f aca="false">IF(AND(ISNUMBER('Offshore - Adelaide'!E374),ISNUMBER(K221),ISNUMBER('Offshore - Adelaide'!F374),ISNUMBER('Offshore - Adelaide'!G374),OR('Offshore - Adelaide'!F374&lt;&gt;0,ISNUMBER(SEARCH("Material 0 terverifikasi",'Offshore - Adelaide'!N374))),OR('Offshore - Adelaide'!G374&lt;&gt;0,ISNUMBER(SEARCH("Enrolment 0 terverifikasi",'Offshore - Adelaide'!N374)))),1,0)</f>
        <v>1</v>
      </c>
      <c r="M221" s="0" t="n">
        <f aca="false">IF(OR('Offshore - Adelaide'!E374="",ISNUMBER(SEARCH("BSB80120",'Offshore - Adelaide'!B374&amp;'Offshore - Adelaide'!N374)),ISNUMBER(SEARCH("Management (Learning)",'Offshore - Adelaide'!B374))),2,IF(ISNUMBER(SEARCH("CEK:",'Offshore - Adelaide'!N374)),1,0))</f>
        <v>0</v>
      </c>
    </row>
    <row r="222" customFormat="false" ht="15" hidden="false" customHeight="false" outlineLevel="0" collapsed="false">
      <c r="A222" s="63" t="s">
        <v>3659</v>
      </c>
      <c r="B222" s="64" t="s">
        <v>3833</v>
      </c>
      <c r="C222" s="63" t="s">
        <v>42</v>
      </c>
      <c r="D222" s="64" t="str">
        <f aca="false">TRIM(LEFT('Offshore - Adelaide'!A542,FIND(CHAR(10),'Offshore - Adelaide'!A542&amp;CHAR(10))-1))</f>
        <v>The Centre of Excellence</v>
      </c>
      <c r="E222" s="63" t="str">
        <f aca="false">'Offshore - Adelaide'!C544&amp;""</f>
        <v>2 years</v>
      </c>
      <c r="F222" s="63" t="str">
        <f aca="false">IF('Offshore - Adelaide'!D544="","Belum tercatat",'Offshore - Adelaide'!D544)</f>
        <v>Term</v>
      </c>
      <c r="G222" s="65" t="n">
        <f aca="false">IF('Offshore - Adelaide'!E544="","-",'Offshore - Adelaide'!E544)</f>
        <v>2125</v>
      </c>
      <c r="H222" s="63" t="n">
        <f aca="false">IF(ISNUMBER(K222),COUNTIFS($J$6:$J$1854,J222,$K$6:$K$1854,"&lt;"&amp;K222)+1,"-")</f>
        <v>7</v>
      </c>
      <c r="I222" s="64" t="str">
        <f aca="false">IF('Offshore - Adelaide'!E544="","Harga belum tersedia - hubungi konsultan TEG",IF(M222=2,"Saat ini tidak menerima pendaftaran siswa internasional baru",IF(M222=1,"Harga perlu dikonfirmasi ke sekolah"&amp;IF(""="","","; "&amp;""),"")))</f>
        <v/>
      </c>
      <c r="J222" s="0" t="s">
        <v>3838</v>
      </c>
      <c r="K222" s="0" t="n">
        <f aca="false">IF(M222=2,"",IF(ISNUMBER(SEARCH("rata-rata:",'Offshore - Adelaide'!N544)),VALUE(MID('Offshore - Adelaide'!N544,SEARCH("rata-rata:",'Offshore - Adelaide'!N544)+11,FIND(";",'Offshore - Adelaide'!N544&amp;";",SEARCH("rata-rata:",'Offshore - Adelaide'!N544))-SEARCH("rata-rata:",'Offshore - Adelaide'!N544)-11)),IF('Offshore - Adelaide'!D544="Semester",'Offshore - Adelaide'!E544*2,IF('Offshore - Adelaide'!D544="Trimester",'Offshore - Adelaide'!E544*3,IF('Offshore - Adelaide'!D544="Term",'Offshore - Adelaide'!E544*4,IF('Offshore - Adelaide'!D544="Unit",'Offshore - Adelaide'!E544*8,""))))))</f>
        <v>8500</v>
      </c>
      <c r="L222" s="0" t="n">
        <f aca="false">IF(AND(ISNUMBER('Offshore - Adelaide'!E544),ISNUMBER(K222),ISNUMBER('Offshore - Adelaide'!F544),ISNUMBER('Offshore - Adelaide'!G544),OR('Offshore - Adelaide'!F544&lt;&gt;0,ISNUMBER(SEARCH("Material 0 terverifikasi",'Offshore - Adelaide'!N544))),OR('Offshore - Adelaide'!G544&lt;&gt;0,ISNUMBER(SEARCH("Enrolment 0 terverifikasi",'Offshore - Adelaide'!N544)))),1,0)</f>
        <v>1</v>
      </c>
      <c r="M222" s="0" t="n">
        <f aca="false">IF(OR('Offshore - Adelaide'!E544="",ISNUMBER(SEARCH("BSB80120",'Offshore - Adelaide'!B544&amp;'Offshore - Adelaide'!N544)),ISNUMBER(SEARCH("Management (Learning)",'Offshore - Adelaide'!B544))),2,IF(ISNUMBER(SEARCH("CEK:",'Offshore - Adelaide'!N544)),1,0))</f>
        <v>0</v>
      </c>
    </row>
    <row r="223" customFormat="false" ht="15" hidden="false" customHeight="false" outlineLevel="0" collapsed="false">
      <c r="A223" s="63" t="s">
        <v>3659</v>
      </c>
      <c r="B223" s="64" t="s">
        <v>3833</v>
      </c>
      <c r="C223" s="63" t="s">
        <v>42</v>
      </c>
      <c r="D223" s="64" t="str">
        <f aca="false">TRIM(LEFT('Offshore - Adelaide'!A480,FIND(CHAR(10),'Offshore - Adelaide'!A480&amp;CHAR(10))-1))</f>
        <v>Sydney City College of Management</v>
      </c>
      <c r="E223" s="63" t="str">
        <f aca="false">'Offshore - Adelaide'!C480&amp;""</f>
        <v>2 years</v>
      </c>
      <c r="F223" s="63" t="str">
        <f aca="false">IF('Offshore - Adelaide'!D480="","Belum tercatat",'Offshore - Adelaide'!D480)</f>
        <v>Term</v>
      </c>
      <c r="G223" s="65" t="n">
        <f aca="false">IF('Offshore - Adelaide'!E480="","-",'Offshore - Adelaide'!E480)</f>
        <v>2700</v>
      </c>
      <c r="H223" s="63" t="n">
        <f aca="false">IF(ISNUMBER(K223),COUNTIFS($J$6:$J$1854,J223,$K$6:$K$1854,"&lt;"&amp;K223)+1,"-")</f>
        <v>8</v>
      </c>
      <c r="I223" s="64" t="str">
        <f aca="false">IF('Offshore - Adelaide'!E480="","Harga belum tersedia - hubungi konsultan TEG",IF(M223=2,"Saat ini tidak menerima pendaftaran siswa internasional baru",IF(M223=1,"Harga perlu dikonfirmasi ke sekolah"&amp;IF(""="","","; "&amp;""),"")))</f>
        <v/>
      </c>
      <c r="J223" s="0" t="s">
        <v>3838</v>
      </c>
      <c r="K223" s="0" t="n">
        <f aca="false">IF(M223=2,"",IF(ISNUMBER(SEARCH("rata-rata:",'Offshore - Adelaide'!N480)),VALUE(MID('Offshore - Adelaide'!N480,SEARCH("rata-rata:",'Offshore - Adelaide'!N480)+11,FIND(";",'Offshore - Adelaide'!N480&amp;";",SEARCH("rata-rata:",'Offshore - Adelaide'!N480))-SEARCH("rata-rata:",'Offshore - Adelaide'!N480)-11)),IF('Offshore - Adelaide'!D480="Semester",'Offshore - Adelaide'!E480*2,IF('Offshore - Adelaide'!D480="Trimester",'Offshore - Adelaide'!E480*3,IF('Offshore - Adelaide'!D480="Term",'Offshore - Adelaide'!E480*4,IF('Offshore - Adelaide'!D480="Unit",'Offshore - Adelaide'!E480*8,""))))))</f>
        <v>10800</v>
      </c>
      <c r="L223" s="0" t="n">
        <f aca="false">IF(AND(ISNUMBER('Offshore - Adelaide'!E480),ISNUMBER(K223),ISNUMBER('Offshore - Adelaide'!F480),ISNUMBER('Offshore - Adelaide'!G480),OR('Offshore - Adelaide'!F480&lt;&gt;0,ISNUMBER(SEARCH("Material 0 terverifikasi",'Offshore - Adelaide'!N480))),OR('Offshore - Adelaide'!G480&lt;&gt;0,ISNUMBER(SEARCH("Enrolment 0 terverifikasi",'Offshore - Adelaide'!N480)))),1,0)</f>
        <v>1</v>
      </c>
      <c r="M223" s="0" t="n">
        <f aca="false">IF(OR('Offshore - Adelaide'!E480="",ISNUMBER(SEARCH("BSB80120",'Offshore - Adelaide'!B480&amp;'Offshore - Adelaide'!N480)),ISNUMBER(SEARCH("Management (Learning)",'Offshore - Adelaide'!B480))),2,IF(ISNUMBER(SEARCH("CEK:",'Offshore - Adelaide'!N480)),1,0))</f>
        <v>0</v>
      </c>
    </row>
    <row r="224" customFormat="false" ht="15" hidden="false" customHeight="false" outlineLevel="0" collapsed="false">
      <c r="A224" s="61" t="s">
        <v>3839</v>
      </c>
      <c r="B224" s="62"/>
      <c r="C224" s="62"/>
      <c r="D224" s="62"/>
      <c r="E224" s="62"/>
      <c r="F224" s="62"/>
      <c r="G224" s="62"/>
      <c r="H224" s="62"/>
      <c r="I224" s="62"/>
    </row>
    <row r="225" customFormat="false" ht="15" hidden="false" customHeight="false" outlineLevel="0" collapsed="false">
      <c r="A225" s="63" t="s">
        <v>3659</v>
      </c>
      <c r="B225" s="64" t="s">
        <v>3833</v>
      </c>
      <c r="C225" s="63" t="s">
        <v>43</v>
      </c>
      <c r="D225" s="64" t="str">
        <f aca="false">TRIM(LEFT('Offshore - Adelaide'!A545,FIND(CHAR(10),'Offshore - Adelaide'!A545&amp;CHAR(10))-1))</f>
        <v>Torrens University Australia</v>
      </c>
      <c r="E225" s="63" t="str">
        <f aca="false">'Offshore - Adelaide'!C546&amp;""</f>
        <v>3 years</v>
      </c>
      <c r="F225" s="63" t="str">
        <f aca="false">IF('Offshore - Adelaide'!D546="","Belum tercatat",'Offshore - Adelaide'!D546)</f>
        <v>Term</v>
      </c>
      <c r="G225" s="65" t="n">
        <f aca="false">IF('Offshore - Adelaide'!E546="","-",'Offshore - Adelaide'!E546)</f>
        <v>7900</v>
      </c>
      <c r="H225" s="63" t="n">
        <f aca="false">IF(ISNUMBER(K225),COUNTIFS($J$6:$J$1854,J225,$K$6:$K$1854,"&lt;"&amp;K225)+1,"-")</f>
        <v>1</v>
      </c>
      <c r="I225" s="64" t="str">
        <f aca="false">IF('Offshore - Adelaide'!E546="","Harga belum tersedia - hubungi konsultan TEG",IF(M225=2,"Saat ini tidak menerima pendaftaran siswa internasional baru",IF(M225=1,"Harga perlu dikonfirmasi ke sekolah"&amp;IF(""="","","; "&amp;""),"")))</f>
        <v/>
      </c>
      <c r="J225" s="0" t="s">
        <v>3840</v>
      </c>
      <c r="K225" s="0" t="n">
        <f aca="false">IF(M225=2,"",IF(ISNUMBER(SEARCH("rata-rata:",'Offshore - Adelaide'!N546)),VALUE(MID('Offshore - Adelaide'!N546,SEARCH("rata-rata:",'Offshore - Adelaide'!N546)+11,FIND(";",'Offshore - Adelaide'!N546&amp;";",SEARCH("rata-rata:",'Offshore - Adelaide'!N546))-SEARCH("rata-rata:",'Offshore - Adelaide'!N546)-11)),IF('Offshore - Adelaide'!D546="Semester",'Offshore - Adelaide'!E546*2,IF('Offshore - Adelaide'!D546="Trimester",'Offshore - Adelaide'!E546*3,IF('Offshore - Adelaide'!D546="Term",'Offshore - Adelaide'!E546*4,IF('Offshore - Adelaide'!D546="Unit",'Offshore - Adelaide'!E546*8,""))))))</f>
        <v>31600</v>
      </c>
      <c r="L225" s="0" t="n">
        <f aca="false">IF(AND(ISNUMBER('Offshore - Adelaide'!E546),ISNUMBER(K225),ISNUMBER('Offshore - Adelaide'!F546),ISNUMBER('Offshore - Adelaide'!G546),OR('Offshore - Adelaide'!F546&lt;&gt;0,ISNUMBER(SEARCH("Material 0 terverifikasi",'Offshore - Adelaide'!N546))),OR('Offshore - Adelaide'!G546&lt;&gt;0,ISNUMBER(SEARCH("Enrolment 0 terverifikasi",'Offshore - Adelaide'!N546)))),1,0)</f>
        <v>0</v>
      </c>
      <c r="M225" s="0" t="n">
        <f aca="false">IF(OR('Offshore - Adelaide'!E546="",ISNUMBER(SEARCH("BSB80120",'Offshore - Adelaide'!B546&amp;'Offshore - Adelaide'!N546)),ISNUMBER(SEARCH("Management (Learning)",'Offshore - Adelaide'!B546))),2,IF(ISNUMBER(SEARCH("CEK:",'Offshore - Adelaide'!N546)),1,0))</f>
        <v>0</v>
      </c>
    </row>
    <row r="226" customFormat="false" ht="15" hidden="false" customHeight="false" outlineLevel="0" collapsed="false">
      <c r="A226" s="63" t="s">
        <v>3659</v>
      </c>
      <c r="B226" s="64" t="s">
        <v>3833</v>
      </c>
      <c r="C226" s="63" t="s">
        <v>43</v>
      </c>
      <c r="D226" s="64" t="str">
        <f aca="false">TRIM(LEFT('Offshore - Adelaide'!A441,FIND(CHAR(10),'Offshore - Adelaide'!A441&amp;CHAR(10))-1))</f>
        <v>Kaplan Business School</v>
      </c>
      <c r="E226" s="63" t="str">
        <f aca="false">'Offshore - Adelaide'!C442&amp;""</f>
        <v>3 years</v>
      </c>
      <c r="F226" s="63" t="str">
        <f aca="false">IF('Offshore - Adelaide'!D442="","Belum tercatat",'Offshore - Adelaide'!D442)</f>
        <v>Trimester</v>
      </c>
      <c r="G226" s="65" t="n">
        <f aca="false">IF('Offshore - Adelaide'!E442="","-",'Offshore - Adelaide'!E442)</f>
        <v>11520</v>
      </c>
      <c r="H226" s="63" t="n">
        <f aca="false">IF(ISNUMBER(K226),COUNTIFS($J$6:$J$1854,J226,$K$6:$K$1854,"&lt;"&amp;K226)+1,"-")</f>
        <v>2</v>
      </c>
      <c r="I226" s="64" t="str">
        <f aca="false">IF('Offshore - Adelaide'!E442="","Harga belum tersedia - hubungi konsultan TEG",IF(M226=2,"Saat ini tidak menerima pendaftaran siswa internasional baru",IF(M226=1,"Harga perlu dikonfirmasi ke sekolah"&amp;IF(""="","","; "&amp;""),"")))</f>
        <v>Harga perlu dikonfirmasi ke sekolah</v>
      </c>
      <c r="J226" s="0" t="s">
        <v>3840</v>
      </c>
      <c r="K226" s="0" t="n">
        <f aca="false">IF(M226=2,"",IF(ISNUMBER(SEARCH("rata-rata:",'Offshore - Adelaide'!N442)),VALUE(MID('Offshore - Adelaide'!N442,SEARCH("rata-rata:",'Offshore - Adelaide'!N442)+11,FIND(";",'Offshore - Adelaide'!N442&amp;";",SEARCH("rata-rata:",'Offshore - Adelaide'!N442))-SEARCH("rata-rata:",'Offshore - Adelaide'!N442)-11)),IF('Offshore - Adelaide'!D442="Semester",'Offshore - Adelaide'!E442*2,IF('Offshore - Adelaide'!D442="Trimester",'Offshore - Adelaide'!E442*3,IF('Offshore - Adelaide'!D442="Term",'Offshore - Adelaide'!E442*4,IF('Offshore - Adelaide'!D442="Unit",'Offshore - Adelaide'!E442*8,""))))))</f>
        <v>34560</v>
      </c>
      <c r="L226" s="0" t="n">
        <f aca="false">IF(AND(ISNUMBER('Offshore - Adelaide'!E442),ISNUMBER(K226),ISNUMBER('Offshore - Adelaide'!F442),ISNUMBER('Offshore - Adelaide'!G442),OR('Offshore - Adelaide'!F442&lt;&gt;0,ISNUMBER(SEARCH("Material 0 terverifikasi",'Offshore - Adelaide'!N442))),OR('Offshore - Adelaide'!G442&lt;&gt;0,ISNUMBER(SEARCH("Enrolment 0 terverifikasi",'Offshore - Adelaide'!N442)))),1,0)</f>
        <v>1</v>
      </c>
      <c r="M226" s="0" t="n">
        <f aca="false">IF(OR('Offshore - Adelaide'!E442="",ISNUMBER(SEARCH("BSB80120",'Offshore - Adelaide'!B442&amp;'Offshore - Adelaide'!N442)),ISNUMBER(SEARCH("Management (Learning)",'Offshore - Adelaide'!B442))),2,IF(ISNUMBER(SEARCH("CEK:",'Offshore - Adelaide'!N442)),1,0))</f>
        <v>1</v>
      </c>
    </row>
    <row r="227" customFormat="false" ht="15" hidden="false" customHeight="false" outlineLevel="0" collapsed="false">
      <c r="A227" s="63" t="s">
        <v>3659</v>
      </c>
      <c r="B227" s="64" t="s">
        <v>3833</v>
      </c>
      <c r="C227" s="63" t="s">
        <v>43</v>
      </c>
      <c r="D227" s="64" t="str">
        <f aca="false">TRIM(LEFT('Offshore - Adelaide'!A13,FIND(CHAR(10),'Offshore - Adelaide'!A13&amp;CHAR(10))-1))</f>
        <v>Adelaide University</v>
      </c>
      <c r="E227" s="63" t="str">
        <f aca="false">'Offshore - Adelaide'!C140&amp;""</f>
        <v>3 years</v>
      </c>
      <c r="F227" s="63" t="str">
        <f aca="false">IF('Offshore - Adelaide'!D140="","Belum tercatat",'Offshore - Adelaide'!D140)</f>
        <v>Term</v>
      </c>
      <c r="G227" s="65" t="n">
        <f aca="false">IF('Offshore - Adelaide'!E140="","-",'Offshore - Adelaide'!E140)</f>
        <v>10850</v>
      </c>
      <c r="H227" s="63" t="n">
        <f aca="false">IF(ISNUMBER(K227),COUNTIFS($J$6:$J$1854,J227,$K$6:$K$1854,"&lt;"&amp;K227)+1,"-")</f>
        <v>3</v>
      </c>
      <c r="I227" s="64" t="str">
        <f aca="false">IF('Offshore - Adelaide'!E140="","Harga belum tersedia - hubungi konsultan TEG",IF(M227=2,"Saat ini tidak menerima pendaftaran siswa internasional baru",IF(M227=1,"Harga perlu dikonfirmasi ke sekolah"&amp;IF(""="","","; "&amp;""),"")))</f>
        <v/>
      </c>
      <c r="J227" s="0" t="s">
        <v>3840</v>
      </c>
      <c r="K227" s="0" t="n">
        <f aca="false">IF(M227=2,"",IF(ISNUMBER(SEARCH("rata-rata:",'Offshore - Adelaide'!N140)),VALUE(MID('Offshore - Adelaide'!N140,SEARCH("rata-rata:",'Offshore - Adelaide'!N140)+11,FIND(";",'Offshore - Adelaide'!N140&amp;";",SEARCH("rata-rata:",'Offshore - Adelaide'!N140))-SEARCH("rata-rata:",'Offshore - Adelaide'!N140)-11)),IF('Offshore - Adelaide'!D140="Semester",'Offshore - Adelaide'!E140*2,IF('Offshore - Adelaide'!D140="Trimester",'Offshore - Adelaide'!E140*3,IF('Offshore - Adelaide'!D140="Term",'Offshore - Adelaide'!E140*4,IF('Offshore - Adelaide'!D140="Unit",'Offshore - Adelaide'!E140*8,""))))))</f>
        <v>43400</v>
      </c>
      <c r="L227" s="0" t="n">
        <f aca="false">IF(AND(ISNUMBER('Offshore - Adelaide'!E140),ISNUMBER(K227),ISNUMBER('Offshore - Adelaide'!F140),ISNUMBER('Offshore - Adelaide'!G140),OR('Offshore - Adelaide'!F140&lt;&gt;0,ISNUMBER(SEARCH("Material 0 terverifikasi",'Offshore - Adelaide'!N140))),OR('Offshore - Adelaide'!G140&lt;&gt;0,ISNUMBER(SEARCH("Enrolment 0 terverifikasi",'Offshore - Adelaide'!N140)))),1,0)</f>
        <v>0</v>
      </c>
      <c r="M227" s="0" t="n">
        <f aca="false">IF(OR('Offshore - Adelaide'!E140="",ISNUMBER(SEARCH("BSB80120",'Offshore - Adelaide'!B140&amp;'Offshore - Adelaide'!N140)),ISNUMBER(SEARCH("Management (Learning)",'Offshore - Adelaide'!B140))),2,IF(ISNUMBER(SEARCH("CEK:",'Offshore - Adelaide'!N140)),1,0))</f>
        <v>0</v>
      </c>
    </row>
    <row r="228" customFormat="false" ht="15" hidden="false" customHeight="false" outlineLevel="0" collapsed="false">
      <c r="A228" s="61" t="s">
        <v>3841</v>
      </c>
      <c r="B228" s="62"/>
      <c r="C228" s="62"/>
      <c r="D228" s="62"/>
      <c r="E228" s="62"/>
      <c r="F228" s="62"/>
      <c r="G228" s="62"/>
      <c r="H228" s="62"/>
      <c r="I228" s="62"/>
    </row>
    <row r="229" customFormat="false" ht="28.35" hidden="false" customHeight="false" outlineLevel="0" collapsed="false">
      <c r="A229" s="63" t="s">
        <v>3659</v>
      </c>
      <c r="B229" s="64" t="s">
        <v>3833</v>
      </c>
      <c r="C229" s="63" t="s">
        <v>3707</v>
      </c>
      <c r="D229" s="64" t="str">
        <f aca="false">TRIM(LEFT('Offshore - Adelaide'!A421,FIND(CHAR(10),'Offshore - Adelaide'!A421&amp;CHAR(10))-1))</f>
        <v>Australian Institute of Advanced Technologies (AIAT)</v>
      </c>
      <c r="E229" s="63" t="str">
        <f aca="false">'Offshore - Adelaide'!C422&amp;""</f>
        <v>0,5 year</v>
      </c>
      <c r="F229" s="63" t="str">
        <f aca="false">IF('Offshore - Adelaide'!D422="","Belum tercatat",'Offshore - Adelaide'!D422)</f>
        <v>Term</v>
      </c>
      <c r="G229" s="65" t="n">
        <f aca="false">IF('Offshore - Adelaide'!E422="","-",'Offshore - Adelaide'!E422)</f>
        <v>3500</v>
      </c>
      <c r="H229" s="63" t="n">
        <f aca="false">IF(ISNUMBER(K229),COUNTIFS($J$6:$J$1854,J229,$K$6:$K$1854,"&lt;"&amp;K229)+1,"-")</f>
        <v>1</v>
      </c>
      <c r="I229" s="64" t="str">
        <f aca="false">IF('Offshore - Adelaide'!E422="","Harga belum tersedia - hubungi konsultan TEG",IF(M229=2,"Saat ini tidak menerima pendaftaran siswa internasional baru",IF(M229=1,"Harga perlu dikonfirmasi ke sekolah"&amp;IF(""="","","; "&amp;""),"")))</f>
        <v>Harga perlu dikonfirmasi ke sekolah</v>
      </c>
      <c r="J229" s="0" t="s">
        <v>3842</v>
      </c>
      <c r="K229" s="0" t="n">
        <f aca="false">IF(M229=2,"",IF(ISNUMBER(SEARCH("rata-rata:",'Offshore - Adelaide'!N422)),VALUE(MID('Offshore - Adelaide'!N422,SEARCH("rata-rata:",'Offshore - Adelaide'!N422)+11,FIND(";",'Offshore - Adelaide'!N422&amp;";",SEARCH("rata-rata:",'Offshore - Adelaide'!N422))-SEARCH("rata-rata:",'Offshore - Adelaide'!N422)-11)),IF('Offshore - Adelaide'!D422="Semester",'Offshore - Adelaide'!E422*2,IF('Offshore - Adelaide'!D422="Trimester",'Offshore - Adelaide'!E422*3,IF('Offshore - Adelaide'!D422="Term",'Offshore - Adelaide'!E422*4,IF('Offshore - Adelaide'!D422="Unit",'Offshore - Adelaide'!E422*8,""))))))</f>
        <v>14000</v>
      </c>
      <c r="L229" s="0" t="n">
        <f aca="false">IF(AND(ISNUMBER('Offshore - Adelaide'!E422),ISNUMBER(K229),ISNUMBER('Offshore - Adelaide'!F422),ISNUMBER('Offshore - Adelaide'!G422),OR('Offshore - Adelaide'!F422&lt;&gt;0,ISNUMBER(SEARCH("Material 0 terverifikasi",'Offshore - Adelaide'!N422))),OR('Offshore - Adelaide'!G422&lt;&gt;0,ISNUMBER(SEARCH("Enrolment 0 terverifikasi",'Offshore - Adelaide'!N422)))),1,0)</f>
        <v>0</v>
      </c>
      <c r="M229" s="0" t="n">
        <f aca="false">IF(OR('Offshore - Adelaide'!E422="",ISNUMBER(SEARCH("BSB80120",'Offshore - Adelaide'!B422&amp;'Offshore - Adelaide'!N422)),ISNUMBER(SEARCH("Management (Learning)",'Offshore - Adelaide'!B422))),2,IF(ISNUMBER(SEARCH("CEK:",'Offshore - Adelaide'!N422)),1,0))</f>
        <v>1</v>
      </c>
    </row>
    <row r="230" customFormat="false" ht="15" hidden="false" customHeight="false" outlineLevel="0" collapsed="false">
      <c r="A230" s="63" t="s">
        <v>3659</v>
      </c>
      <c r="B230" s="64" t="s">
        <v>3833</v>
      </c>
      <c r="C230" s="63" t="s">
        <v>3707</v>
      </c>
      <c r="D230" s="64" t="str">
        <f aca="false">TRIM(LEFT('Offshore - Adelaide'!A545,FIND(CHAR(10),'Offshore - Adelaide'!A545&amp;CHAR(10))-1))</f>
        <v>Torrens University Australia</v>
      </c>
      <c r="E230" s="63" t="str">
        <f aca="false">'Offshore - Adelaide'!C554&amp;""</f>
        <v>0,5 year</v>
      </c>
      <c r="F230" s="63" t="str">
        <f aca="false">IF('Offshore - Adelaide'!D554="","Belum tercatat",'Offshore - Adelaide'!D554)</f>
        <v>Term</v>
      </c>
      <c r="G230" s="65" t="n">
        <f aca="false">IF('Offshore - Adelaide'!E554="","-",'Offshore - Adelaide'!E554)</f>
        <v>4500</v>
      </c>
      <c r="H230" s="63" t="n">
        <f aca="false">IF(ISNUMBER(K230),COUNTIFS($J$6:$J$1854,J230,$K$6:$K$1854,"&lt;"&amp;K230)+1,"-")</f>
        <v>2</v>
      </c>
      <c r="I230" s="64" t="str">
        <f aca="false">IF('Offshore - Adelaide'!E554="","Harga belum tersedia - hubungi konsultan TEG",IF(M230=2,"Saat ini tidak menerima pendaftaran siswa internasional baru",IF(M230=1,"Harga perlu dikonfirmasi ke sekolah"&amp;IF(""="","","; "&amp;""),"")))</f>
        <v/>
      </c>
      <c r="J230" s="0" t="s">
        <v>3842</v>
      </c>
      <c r="K230" s="0" t="n">
        <f aca="false">IF(M230=2,"",IF(ISNUMBER(SEARCH("rata-rata:",'Offshore - Adelaide'!N554)),VALUE(MID('Offshore - Adelaide'!N554,SEARCH("rata-rata:",'Offshore - Adelaide'!N554)+11,FIND(";",'Offshore - Adelaide'!N554&amp;";",SEARCH("rata-rata:",'Offshore - Adelaide'!N554))-SEARCH("rata-rata:",'Offshore - Adelaide'!N554)-11)),IF('Offshore - Adelaide'!D554="Semester",'Offshore - Adelaide'!E554*2,IF('Offshore - Adelaide'!D554="Trimester",'Offshore - Adelaide'!E554*3,IF('Offshore - Adelaide'!D554="Term",'Offshore - Adelaide'!E554*4,IF('Offshore - Adelaide'!D554="Unit",'Offshore - Adelaide'!E554*8,""))))))</f>
        <v>18000</v>
      </c>
      <c r="L230" s="0" t="n">
        <f aca="false">IF(AND(ISNUMBER('Offshore - Adelaide'!E554),ISNUMBER(K230),ISNUMBER('Offshore - Adelaide'!F554),ISNUMBER('Offshore - Adelaide'!G554),OR('Offshore - Adelaide'!F554&lt;&gt;0,ISNUMBER(SEARCH("Material 0 terverifikasi",'Offshore - Adelaide'!N554))),OR('Offshore - Adelaide'!G554&lt;&gt;0,ISNUMBER(SEARCH("Enrolment 0 terverifikasi",'Offshore - Adelaide'!N554)))),1,0)</f>
        <v>0</v>
      </c>
      <c r="M230" s="0" t="n">
        <f aca="false">IF(OR('Offshore - Adelaide'!E554="",ISNUMBER(SEARCH("BSB80120",'Offshore - Adelaide'!B554&amp;'Offshore - Adelaide'!N554)),ISNUMBER(SEARCH("Management (Learning)",'Offshore - Adelaide'!B554))),2,IF(ISNUMBER(SEARCH("CEK:",'Offshore - Adelaide'!N554)),1,0))</f>
        <v>0</v>
      </c>
    </row>
    <row r="231" customFormat="false" ht="15" hidden="false" customHeight="false" outlineLevel="0" collapsed="false">
      <c r="A231" s="63" t="s">
        <v>3659</v>
      </c>
      <c r="B231" s="64" t="s">
        <v>3833</v>
      </c>
      <c r="C231" s="63" t="s">
        <v>3707</v>
      </c>
      <c r="D231" s="64" t="str">
        <f aca="false">TRIM(LEFT('Offshore - Adelaide'!A441,FIND(CHAR(10),'Offshore - Adelaide'!A441&amp;CHAR(10))-1))</f>
        <v>Kaplan Business School</v>
      </c>
      <c r="E231" s="63" t="str">
        <f aca="false">'Offshore - Adelaide'!C443&amp;""</f>
        <v>0,5 year</v>
      </c>
      <c r="F231" s="63" t="str">
        <f aca="false">IF('Offshore - Adelaide'!D443="","Belum tercatat",'Offshore - Adelaide'!D443)</f>
        <v>Trimester</v>
      </c>
      <c r="G231" s="65" t="n">
        <f aca="false">IF('Offshore - Adelaide'!E443="","-",'Offshore - Adelaide'!E443)</f>
        <v>19640</v>
      </c>
      <c r="H231" s="63" t="n">
        <f aca="false">IF(ISNUMBER(K231),COUNTIFS($J$6:$J$1854,J231,$K$6:$K$1854,"&lt;"&amp;K231)+1,"-")</f>
        <v>3</v>
      </c>
      <c r="I231" s="64" t="str">
        <f aca="false">IF('Offshore - Adelaide'!E443="","Harga belum tersedia - hubungi konsultan TEG",IF(M231=2,"Saat ini tidak menerima pendaftaran siswa internasional baru",IF(M231=1,"Harga perlu dikonfirmasi ke sekolah"&amp;IF(""="","","; "&amp;""),"")))</f>
        <v>Harga perlu dikonfirmasi ke sekolah</v>
      </c>
      <c r="J231" s="0" t="s">
        <v>3842</v>
      </c>
      <c r="K231" s="0" t="n">
        <f aca="false">IF(M231=2,"",IF(ISNUMBER(SEARCH("rata-rata:",'Offshore - Adelaide'!N443)),VALUE(MID('Offshore - Adelaide'!N443,SEARCH("rata-rata:",'Offshore - Adelaide'!N443)+11,FIND(";",'Offshore - Adelaide'!N443&amp;";",SEARCH("rata-rata:",'Offshore - Adelaide'!N443))-SEARCH("rata-rata:",'Offshore - Adelaide'!N443)-11)),IF('Offshore - Adelaide'!D443="Semester",'Offshore - Adelaide'!E443*2,IF('Offshore - Adelaide'!D443="Trimester",'Offshore - Adelaide'!E443*3,IF('Offshore - Adelaide'!D443="Term",'Offshore - Adelaide'!E443*4,IF('Offshore - Adelaide'!D443="Unit",'Offshore - Adelaide'!E443*8,""))))))</f>
        <v>58920</v>
      </c>
      <c r="L231" s="0" t="n">
        <f aca="false">IF(AND(ISNUMBER('Offshore - Adelaide'!E443),ISNUMBER(K231),ISNUMBER('Offshore - Adelaide'!F443),ISNUMBER('Offshore - Adelaide'!G443),OR('Offshore - Adelaide'!F443&lt;&gt;0,ISNUMBER(SEARCH("Material 0 terverifikasi",'Offshore - Adelaide'!N443))),OR('Offshore - Adelaide'!G443&lt;&gt;0,ISNUMBER(SEARCH("Enrolment 0 terverifikasi",'Offshore - Adelaide'!N443)))),1,0)</f>
        <v>1</v>
      </c>
      <c r="M231" s="0" t="n">
        <f aca="false">IF(OR('Offshore - Adelaide'!E443="",ISNUMBER(SEARCH("BSB80120",'Offshore - Adelaide'!B443&amp;'Offshore - Adelaide'!N443)),ISNUMBER(SEARCH("Management (Learning)",'Offshore - Adelaide'!B443))),2,IF(ISNUMBER(SEARCH("CEK:",'Offshore - Adelaide'!N443)),1,0))</f>
        <v>1</v>
      </c>
    </row>
    <row r="232" customFormat="false" ht="15" hidden="false" customHeight="false" outlineLevel="0" collapsed="false">
      <c r="A232" s="61" t="s">
        <v>3843</v>
      </c>
      <c r="B232" s="62"/>
      <c r="C232" s="62"/>
      <c r="D232" s="62"/>
      <c r="E232" s="62"/>
      <c r="F232" s="62"/>
      <c r="G232" s="62"/>
      <c r="H232" s="62"/>
      <c r="I232" s="62"/>
    </row>
    <row r="233" customFormat="false" ht="28.35" hidden="false" customHeight="false" outlineLevel="0" collapsed="false">
      <c r="A233" s="63" t="s">
        <v>3659</v>
      </c>
      <c r="B233" s="64" t="s">
        <v>3833</v>
      </c>
      <c r="C233" s="63" t="s">
        <v>46</v>
      </c>
      <c r="D233" s="64" t="str">
        <f aca="false">TRIM(LEFT('Offshore - Adelaide'!A416,FIND(CHAR(10),'Offshore - Adelaide'!A416&amp;CHAR(10))-1))</f>
        <v>Australian Institute of Advanced Technologies (AIAT)</v>
      </c>
      <c r="E233" s="63" t="str">
        <f aca="false">'Offshore - Adelaide'!C416&amp;""</f>
        <v>2 years</v>
      </c>
      <c r="F233" s="63" t="str">
        <f aca="false">IF('Offshore - Adelaide'!D416="","Belum tercatat",'Offshore - Adelaide'!D416)</f>
        <v>Term</v>
      </c>
      <c r="G233" s="65" t="n">
        <f aca="false">IF('Offshore - Adelaide'!E416="","-",'Offshore - Adelaide'!E416)</f>
        <v>3750</v>
      </c>
      <c r="H233" s="63" t="n">
        <f aca="false">IF(ISNUMBER(K233),COUNTIFS($J$6:$J$1854,J233,$K$6:$K$1854,"&lt;"&amp;K233)+1,"-")</f>
        <v>1</v>
      </c>
      <c r="I233" s="64" t="str">
        <f aca="false">IF('Offshore - Adelaide'!E416="","Harga belum tersedia - hubungi konsultan TEG",IF(M233=2,"Saat ini tidak menerima pendaftaran siswa internasional baru",IF(M233=1,"Harga perlu dikonfirmasi ke sekolah"&amp;IF(""="","","; "&amp;""),"")))</f>
        <v/>
      </c>
      <c r="J233" s="0" t="s">
        <v>3844</v>
      </c>
      <c r="K233" s="0" t="n">
        <f aca="false">IF(M233=2,"",IF(ISNUMBER(SEARCH("rata-rata:",'Offshore - Adelaide'!N416)),VALUE(MID('Offshore - Adelaide'!N416,SEARCH("rata-rata:",'Offshore - Adelaide'!N416)+11,FIND(";",'Offshore - Adelaide'!N416&amp;";",SEARCH("rata-rata:",'Offshore - Adelaide'!N416))-SEARCH("rata-rata:",'Offshore - Adelaide'!N416)-11)),IF('Offshore - Adelaide'!D416="Semester",'Offshore - Adelaide'!E416*2,IF('Offshore - Adelaide'!D416="Trimester",'Offshore - Adelaide'!E416*3,IF('Offshore - Adelaide'!D416="Term",'Offshore - Adelaide'!E416*4,IF('Offshore - Adelaide'!D416="Unit",'Offshore - Adelaide'!E416*8,""))))))</f>
        <v>15000</v>
      </c>
      <c r="L233" s="0" t="n">
        <f aca="false">IF(AND(ISNUMBER('Offshore - Adelaide'!E416),ISNUMBER(K233),ISNUMBER('Offshore - Adelaide'!F416),ISNUMBER('Offshore - Adelaide'!G416),OR('Offshore - Adelaide'!F416&lt;&gt;0,ISNUMBER(SEARCH("Material 0 terverifikasi",'Offshore - Adelaide'!N416))),OR('Offshore - Adelaide'!G416&lt;&gt;0,ISNUMBER(SEARCH("Enrolment 0 terverifikasi",'Offshore - Adelaide'!N416)))),1,0)</f>
        <v>0</v>
      </c>
      <c r="M233" s="0" t="n">
        <f aca="false">IF(OR('Offshore - Adelaide'!E416="",ISNUMBER(SEARCH("BSB80120",'Offshore - Adelaide'!B416&amp;'Offshore - Adelaide'!N416)),ISNUMBER(SEARCH("Management (Learning)",'Offshore - Adelaide'!B416))),2,IF(ISNUMBER(SEARCH("CEK:",'Offshore - Adelaide'!N416)),1,0))</f>
        <v>0</v>
      </c>
    </row>
    <row r="234" customFormat="false" ht="15" hidden="false" customHeight="false" outlineLevel="0" collapsed="false">
      <c r="A234" s="63" t="s">
        <v>3659</v>
      </c>
      <c r="B234" s="64" t="s">
        <v>3833</v>
      </c>
      <c r="C234" s="63" t="s">
        <v>46</v>
      </c>
      <c r="D234" s="64" t="str">
        <f aca="false">TRIM(LEFT('Offshore - Adelaide'!A545,FIND(CHAR(10),'Offshore - Adelaide'!A545&amp;CHAR(10))-1))</f>
        <v>Torrens University Australia</v>
      </c>
      <c r="E234" s="63" t="str">
        <f aca="false">'Offshore - Adelaide'!C556&amp;""</f>
        <v>1,5 years</v>
      </c>
      <c r="F234" s="63" t="str">
        <f aca="false">IF('Offshore - Adelaide'!D556="","Belum tercatat",'Offshore - Adelaide'!D556)</f>
        <v>Term</v>
      </c>
      <c r="G234" s="65" t="n">
        <f aca="false">IF('Offshore - Adelaide'!E556="","-",'Offshore - Adelaide'!E556)</f>
        <v>9000</v>
      </c>
      <c r="H234" s="63" t="n">
        <f aca="false">IF(ISNUMBER(K234),COUNTIFS($J$6:$J$1854,J234,$K$6:$K$1854,"&lt;"&amp;K234)+1,"-")</f>
        <v>2</v>
      </c>
      <c r="I234" s="64" t="str">
        <f aca="false">IF('Offshore - Adelaide'!E556="","Harga belum tersedia - hubungi konsultan TEG",IF(M234=2,"Saat ini tidak menerima pendaftaran siswa internasional baru",IF(M234=1,"Harga perlu dikonfirmasi ke sekolah"&amp;IF(""="","","; "&amp;""),"")))</f>
        <v/>
      </c>
      <c r="J234" s="0" t="s">
        <v>3844</v>
      </c>
      <c r="K234" s="0" t="n">
        <f aca="false">IF(M234=2,"",IF(ISNUMBER(SEARCH("rata-rata:",'Offshore - Adelaide'!N556)),VALUE(MID('Offshore - Adelaide'!N556,SEARCH("rata-rata:",'Offshore - Adelaide'!N556)+11,FIND(";",'Offshore - Adelaide'!N556&amp;";",SEARCH("rata-rata:",'Offshore - Adelaide'!N556))-SEARCH("rata-rata:",'Offshore - Adelaide'!N556)-11)),IF('Offshore - Adelaide'!D556="Semester",'Offshore - Adelaide'!E556*2,IF('Offshore - Adelaide'!D556="Trimester",'Offshore - Adelaide'!E556*3,IF('Offshore - Adelaide'!D556="Term",'Offshore - Adelaide'!E556*4,IF('Offshore - Adelaide'!D556="Unit",'Offshore - Adelaide'!E556*8,""))))))</f>
        <v>36000</v>
      </c>
      <c r="L234" s="0" t="n">
        <f aca="false">IF(AND(ISNUMBER('Offshore - Adelaide'!E556),ISNUMBER(K234),ISNUMBER('Offshore - Adelaide'!F556),ISNUMBER('Offshore - Adelaide'!G556),OR('Offshore - Adelaide'!F556&lt;&gt;0,ISNUMBER(SEARCH("Material 0 terverifikasi",'Offshore - Adelaide'!N556))),OR('Offshore - Adelaide'!G556&lt;&gt;0,ISNUMBER(SEARCH("Enrolment 0 terverifikasi",'Offshore - Adelaide'!N556)))),1,0)</f>
        <v>0</v>
      </c>
      <c r="M234" s="0" t="n">
        <f aca="false">IF(OR('Offshore - Adelaide'!E556="",ISNUMBER(SEARCH("BSB80120",'Offshore - Adelaide'!B556&amp;'Offshore - Adelaide'!N556)),ISNUMBER(SEARCH("Management (Learning)",'Offshore - Adelaide'!B556))),2,IF(ISNUMBER(SEARCH("CEK:",'Offshore - Adelaide'!N556)),1,0))</f>
        <v>0</v>
      </c>
    </row>
    <row r="235" customFormat="false" ht="15" hidden="false" customHeight="false" outlineLevel="0" collapsed="false">
      <c r="A235" s="63" t="s">
        <v>3659</v>
      </c>
      <c r="B235" s="64" t="s">
        <v>3833</v>
      </c>
      <c r="C235" s="63" t="s">
        <v>46</v>
      </c>
      <c r="D235" s="64" t="str">
        <f aca="false">TRIM(LEFT('Offshore - Adelaide'!A13,FIND(CHAR(10),'Offshore - Adelaide'!A13&amp;CHAR(10))-1))</f>
        <v>Adelaide University</v>
      </c>
      <c r="E235" s="63" t="str">
        <f aca="false">'Offshore - Adelaide'!C331&amp;""</f>
        <v>2 years</v>
      </c>
      <c r="F235" s="63" t="str">
        <f aca="false">IF('Offshore - Adelaide'!D331="","Belum tercatat",'Offshore - Adelaide'!D331)</f>
        <v>Term</v>
      </c>
      <c r="G235" s="65" t="n">
        <f aca="false">IF('Offshore - Adelaide'!E331="","-",'Offshore - Adelaide'!E331)</f>
        <v>11950</v>
      </c>
      <c r="H235" s="63" t="n">
        <f aca="false">IF(ISNUMBER(K235),COUNTIFS($J$6:$J$1854,J235,$K$6:$K$1854,"&lt;"&amp;K235)+1,"-")</f>
        <v>3</v>
      </c>
      <c r="I235" s="64" t="str">
        <f aca="false">IF('Offshore - Adelaide'!E331="","Harga belum tersedia - hubungi konsultan TEG",IF(M235=2,"Saat ini tidak menerima pendaftaran siswa internasional baru",IF(M235=1,"Harga perlu dikonfirmasi ke sekolah"&amp;IF(""="","","; "&amp;""),"")))</f>
        <v/>
      </c>
      <c r="J235" s="0" t="s">
        <v>3844</v>
      </c>
      <c r="K235" s="0" t="n">
        <f aca="false">IF(M235=2,"",IF(ISNUMBER(SEARCH("rata-rata:",'Offshore - Adelaide'!N331)),VALUE(MID('Offshore - Adelaide'!N331,SEARCH("rata-rata:",'Offshore - Adelaide'!N331)+11,FIND(";",'Offshore - Adelaide'!N331&amp;";",SEARCH("rata-rata:",'Offshore - Adelaide'!N331))-SEARCH("rata-rata:",'Offshore - Adelaide'!N331)-11)),IF('Offshore - Adelaide'!D331="Semester",'Offshore - Adelaide'!E331*2,IF('Offshore - Adelaide'!D331="Trimester",'Offshore - Adelaide'!E331*3,IF('Offshore - Adelaide'!D331="Term",'Offshore - Adelaide'!E331*4,IF('Offshore - Adelaide'!D331="Unit",'Offshore - Adelaide'!E331*8,""))))))</f>
        <v>47800</v>
      </c>
      <c r="L235" s="0" t="n">
        <f aca="false">IF(AND(ISNUMBER('Offshore - Adelaide'!E331),ISNUMBER(K235),ISNUMBER('Offshore - Adelaide'!F331),ISNUMBER('Offshore - Adelaide'!G331),OR('Offshore - Adelaide'!F331&lt;&gt;0,ISNUMBER(SEARCH("Material 0 terverifikasi",'Offshore - Adelaide'!N331))),OR('Offshore - Adelaide'!G331&lt;&gt;0,ISNUMBER(SEARCH("Enrolment 0 terverifikasi",'Offshore - Adelaide'!N331)))),1,0)</f>
        <v>0</v>
      </c>
      <c r="M235" s="0" t="n">
        <f aca="false">IF(OR('Offshore - Adelaide'!E331="",ISNUMBER(SEARCH("BSB80120",'Offshore - Adelaide'!B331&amp;'Offshore - Adelaide'!N331)),ISNUMBER(SEARCH("Management (Learning)",'Offshore - Adelaide'!B331))),2,IF(ISNUMBER(SEARCH("CEK:",'Offshore - Adelaide'!N331)),1,0))</f>
        <v>0</v>
      </c>
    </row>
    <row r="236" customFormat="false" ht="15" hidden="false" customHeight="false" outlineLevel="0" collapsed="false">
      <c r="A236" s="63" t="s">
        <v>3659</v>
      </c>
      <c r="B236" s="64" t="s">
        <v>3833</v>
      </c>
      <c r="C236" s="63" t="s">
        <v>46</v>
      </c>
      <c r="D236" s="64" t="str">
        <f aca="false">TRIM(LEFT('Offshore - Adelaide'!A441,FIND(CHAR(10),'Offshore - Adelaide'!A441&amp;CHAR(10))-1))</f>
        <v>Kaplan Business School</v>
      </c>
      <c r="E236" s="63" t="str">
        <f aca="false">'Offshore - Adelaide'!C445&amp;""</f>
        <v>1,5 years</v>
      </c>
      <c r="F236" s="63" t="str">
        <f aca="false">IF('Offshore - Adelaide'!D445="","Belum tercatat",'Offshore - Adelaide'!D445)</f>
        <v>Trimester</v>
      </c>
      <c r="G236" s="65" t="n">
        <f aca="false">IF('Offshore - Adelaide'!E445="","-",'Offshore - Adelaide'!E445)</f>
        <v>19640</v>
      </c>
      <c r="H236" s="63" t="n">
        <f aca="false">IF(ISNUMBER(K236),COUNTIFS($J$6:$J$1854,J236,$K$6:$K$1854,"&lt;"&amp;K236)+1,"-")</f>
        <v>4</v>
      </c>
      <c r="I236" s="64" t="str">
        <f aca="false">IF('Offshore - Adelaide'!E445="","Harga belum tersedia - hubungi konsultan TEG",IF(M236=2,"Saat ini tidak menerima pendaftaran siswa internasional baru",IF(M236=1,"Harga perlu dikonfirmasi ke sekolah"&amp;IF(""="","","; "&amp;""),"")))</f>
        <v>Harga perlu dikonfirmasi ke sekolah</v>
      </c>
      <c r="J236" s="0" t="s">
        <v>3844</v>
      </c>
      <c r="K236" s="0" t="n">
        <f aca="false">IF(M236=2,"",IF(ISNUMBER(SEARCH("rata-rata:",'Offshore - Adelaide'!N445)),VALUE(MID('Offshore - Adelaide'!N445,SEARCH("rata-rata:",'Offshore - Adelaide'!N445)+11,FIND(";",'Offshore - Adelaide'!N445&amp;";",SEARCH("rata-rata:",'Offshore - Adelaide'!N445))-SEARCH("rata-rata:",'Offshore - Adelaide'!N445)-11)),IF('Offshore - Adelaide'!D445="Semester",'Offshore - Adelaide'!E445*2,IF('Offshore - Adelaide'!D445="Trimester",'Offshore - Adelaide'!E445*3,IF('Offshore - Adelaide'!D445="Term",'Offshore - Adelaide'!E445*4,IF('Offshore - Adelaide'!D445="Unit",'Offshore - Adelaide'!E445*8,""))))))</f>
        <v>58920</v>
      </c>
      <c r="L236" s="0" t="n">
        <f aca="false">IF(AND(ISNUMBER('Offshore - Adelaide'!E445),ISNUMBER(K236),ISNUMBER('Offshore - Adelaide'!F445),ISNUMBER('Offshore - Adelaide'!G445),OR('Offshore - Adelaide'!F445&lt;&gt;0,ISNUMBER(SEARCH("Material 0 terverifikasi",'Offshore - Adelaide'!N445))),OR('Offshore - Adelaide'!G445&lt;&gt;0,ISNUMBER(SEARCH("Enrolment 0 terverifikasi",'Offshore - Adelaide'!N445)))),1,0)</f>
        <v>1</v>
      </c>
      <c r="M236" s="0" t="n">
        <f aca="false">IF(OR('Offshore - Adelaide'!E445="",ISNUMBER(SEARCH("BSB80120",'Offshore - Adelaide'!B445&amp;'Offshore - Adelaide'!N445)),ISNUMBER(SEARCH("Management (Learning)",'Offshore - Adelaide'!B445))),2,IF(ISNUMBER(SEARCH("CEK:",'Offshore - Adelaide'!N445)),1,0))</f>
        <v>1</v>
      </c>
    </row>
    <row r="237" customFormat="false" ht="15" hidden="false" customHeight="false" outlineLevel="0" collapsed="false">
      <c r="A237" s="61" t="s">
        <v>3845</v>
      </c>
      <c r="B237" s="62"/>
      <c r="C237" s="62"/>
      <c r="D237" s="62"/>
      <c r="E237" s="62"/>
      <c r="F237" s="62"/>
      <c r="G237" s="62"/>
      <c r="H237" s="62"/>
      <c r="I237" s="62"/>
    </row>
    <row r="238" customFormat="false" ht="15" hidden="false" customHeight="false" outlineLevel="0" collapsed="false">
      <c r="A238" s="63" t="s">
        <v>3563</v>
      </c>
      <c r="B238" s="64" t="s">
        <v>3833</v>
      </c>
      <c r="C238" s="63" t="s">
        <v>41</v>
      </c>
      <c r="D238" s="64" t="str">
        <f aca="false">TRIM(LEFT('Offshore - Brisbane'!A205,FIND(CHAR(10),'Offshore - Brisbane'!A205&amp;CHAR(10))-1))</f>
        <v>Greenwich College</v>
      </c>
      <c r="E238" s="63" t="str">
        <f aca="false">'Offshore - Brisbane'!C209&amp;""</f>
        <v>96 weeks</v>
      </c>
      <c r="F238" s="63" t="str">
        <f aca="false">IF('Offshore - Brisbane'!D209="","Belum tercatat",'Offshore - Brisbane'!D209)</f>
        <v>Term</v>
      </c>
      <c r="G238" s="65" t="n">
        <f aca="false">IF('Offshore - Brisbane'!E209="","-",'Offshore - Brisbane'!E209)</f>
        <v>1250</v>
      </c>
      <c r="H238" s="63" t="n">
        <f aca="false">IF(ISNUMBER(K238),COUNTIFS($J$6:$J$1854,J238,$K$6:$K$1854,"&lt;"&amp;K238)+1,"-")</f>
        <v>1</v>
      </c>
      <c r="I238" s="64" t="str">
        <f aca="false">IF('Offshore - Brisbane'!E209="","Harga belum tersedia - hubungi konsultan TEG",IF(M238=2,"Saat ini tidak menerima pendaftaran siswa internasional baru",IF(M238=1,"Harga perlu dikonfirmasi ke sekolah"&amp;IF(""="","","; "&amp;""),"")))</f>
        <v/>
      </c>
      <c r="J238" s="0" t="s">
        <v>3846</v>
      </c>
      <c r="K238" s="0" t="n">
        <f aca="false">IF(M238=2,"",IF(ISNUMBER(SEARCH("rata-rata:",'Offshore - Brisbane'!N209)),VALUE(MID('Offshore - Brisbane'!N209,SEARCH("rata-rata:",'Offshore - Brisbane'!N209)+11,FIND(";",'Offshore - Brisbane'!N209&amp;";",SEARCH("rata-rata:",'Offshore - Brisbane'!N209))-SEARCH("rata-rata:",'Offshore - Brisbane'!N209)-11)),IF('Offshore - Brisbane'!D209="Semester",'Offshore - Brisbane'!E209*2,IF('Offshore - Brisbane'!D209="Trimester",'Offshore - Brisbane'!E209*3,IF('Offshore - Brisbane'!D209="Term",'Offshore - Brisbane'!E209*4,IF('Offshore - Brisbane'!D209="Unit",'Offshore - Brisbane'!E209*8,""))))))</f>
        <v>5000</v>
      </c>
      <c r="L238" s="0" t="n">
        <f aca="false">IF(AND(ISNUMBER('Offshore - Brisbane'!E209),ISNUMBER(K238),ISNUMBER('Offshore - Brisbane'!F209),ISNUMBER('Offshore - Brisbane'!G209),OR('Offshore - Brisbane'!F209&lt;&gt;0,ISNUMBER(SEARCH("Material 0 terverifikasi",'Offshore - Brisbane'!N209))),OR('Offshore - Brisbane'!G209&lt;&gt;0,ISNUMBER(SEARCH("Enrolment 0 terverifikasi",'Offshore - Brisbane'!N209)))),1,0)</f>
        <v>1</v>
      </c>
      <c r="M238" s="0" t="n">
        <f aca="false">IF(OR('Offshore - Brisbane'!E209="",ISNUMBER(SEARCH("BSB80120",'Offshore - Brisbane'!B209&amp;'Offshore - Brisbane'!N209)),ISNUMBER(SEARCH("Management (Learning)",'Offshore - Brisbane'!B209))),2,IF(ISNUMBER(SEARCH("CEK:",'Offshore - Brisbane'!N209)),1,0))</f>
        <v>0</v>
      </c>
    </row>
    <row r="239" customFormat="false" ht="15" hidden="false" customHeight="false" outlineLevel="0" collapsed="false">
      <c r="A239" s="63" t="s">
        <v>3563</v>
      </c>
      <c r="B239" s="64" t="s">
        <v>3833</v>
      </c>
      <c r="C239" s="63" t="s">
        <v>41</v>
      </c>
      <c r="D239" s="64" t="str">
        <f aca="false">TRIM(LEFT('Offshore - Brisbane'!A182,FIND(CHAR(10),'Offshore - Brisbane'!A182&amp;CHAR(10))-1))</f>
        <v>ECA College</v>
      </c>
      <c r="E239" s="63" t="str">
        <f aca="false">'Offshore - Brisbane'!C183&amp;""</f>
        <v>2 years</v>
      </c>
      <c r="F239" s="63" t="str">
        <f aca="false">IF('Offshore - Brisbane'!D183="","Belum tercatat",'Offshore - Brisbane'!D183)</f>
        <v>Term</v>
      </c>
      <c r="G239" s="65" t="n">
        <f aca="false">IF('Offshore - Brisbane'!E183="","-",'Offshore - Brisbane'!E183)</f>
        <v>1500</v>
      </c>
      <c r="H239" s="63" t="n">
        <f aca="false">IF(ISNUMBER(K239),COUNTIFS($J$6:$J$1854,J239,$K$6:$K$1854,"&lt;"&amp;K239)+1,"-")</f>
        <v>2</v>
      </c>
      <c r="I239" s="64" t="str">
        <f aca="false">IF('Offshore - Brisbane'!E183="","Harga belum tersedia - hubungi konsultan TEG",IF(M239=2,"Saat ini tidak menerima pendaftaran siswa internasional baru",IF(M239=1,"Harga perlu dikonfirmasi ke sekolah"&amp;IF(""="","","; "&amp;""),"")))</f>
        <v/>
      </c>
      <c r="J239" s="0" t="s">
        <v>3846</v>
      </c>
      <c r="K239" s="0" t="n">
        <f aca="false">IF(M239=2,"",IF(ISNUMBER(SEARCH("rata-rata:",'Offshore - Brisbane'!N183)),VALUE(MID('Offshore - Brisbane'!N183,SEARCH("rata-rata:",'Offshore - Brisbane'!N183)+11,FIND(";",'Offshore - Brisbane'!N183&amp;";",SEARCH("rata-rata:",'Offshore - Brisbane'!N183))-SEARCH("rata-rata:",'Offshore - Brisbane'!N183)-11)),IF('Offshore - Brisbane'!D183="Semester",'Offshore - Brisbane'!E183*2,IF('Offshore - Brisbane'!D183="Trimester",'Offshore - Brisbane'!E183*3,IF('Offshore - Brisbane'!D183="Term",'Offshore - Brisbane'!E183*4,IF('Offshore - Brisbane'!D183="Unit",'Offshore - Brisbane'!E183*8,""))))))</f>
        <v>6000</v>
      </c>
      <c r="L239" s="0" t="n">
        <f aca="false">IF(AND(ISNUMBER('Offshore - Brisbane'!E183),ISNUMBER(K239),ISNUMBER('Offshore - Brisbane'!F183),ISNUMBER('Offshore - Brisbane'!G183),OR('Offshore - Brisbane'!F183&lt;&gt;0,ISNUMBER(SEARCH("Material 0 terverifikasi",'Offshore - Brisbane'!N183))),OR('Offshore - Brisbane'!G183&lt;&gt;0,ISNUMBER(SEARCH("Enrolment 0 terverifikasi",'Offshore - Brisbane'!N183)))),1,0)</f>
        <v>0</v>
      </c>
      <c r="M239" s="0" t="n">
        <f aca="false">IF(OR('Offshore - Brisbane'!E183="",ISNUMBER(SEARCH("BSB80120",'Offshore - Brisbane'!B183&amp;'Offshore - Brisbane'!N183)),ISNUMBER(SEARCH("Management (Learning)",'Offshore - Brisbane'!B183))),2,IF(ISNUMBER(SEARCH("CEK:",'Offshore - Brisbane'!N183)),1,0))</f>
        <v>0</v>
      </c>
    </row>
    <row r="240" customFormat="false" ht="15" hidden="false" customHeight="false" outlineLevel="0" collapsed="false">
      <c r="A240" s="63" t="s">
        <v>3563</v>
      </c>
      <c r="B240" s="64" t="s">
        <v>3833</v>
      </c>
      <c r="C240" s="63" t="s">
        <v>41</v>
      </c>
      <c r="D240" s="64" t="str">
        <f aca="false">TRIM(LEFT('Offshore - Brisbane'!A245,FIND(CHAR(10),'Offshore - Brisbane'!A245&amp;CHAR(10))-1))</f>
        <v>Imperial Institute of Sydney (IIS)</v>
      </c>
      <c r="E240" s="63" t="str">
        <f aca="false">'Offshore - Brisbane'!C249&amp;""</f>
        <v>1 year</v>
      </c>
      <c r="F240" s="63" t="str">
        <f aca="false">IF('Offshore - Brisbane'!D249="","Belum tercatat",'Offshore - Brisbane'!D249)</f>
        <v>Term</v>
      </c>
      <c r="G240" s="65" t="n">
        <f aca="false">IF('Offshore - Brisbane'!E249="","-",'Offshore - Brisbane'!E249)</f>
        <v>1500</v>
      </c>
      <c r="H240" s="63" t="n">
        <f aca="false">IF(ISNUMBER(K240),COUNTIFS($J$6:$J$1854,J240,$K$6:$K$1854,"&lt;"&amp;K240)+1,"-")</f>
        <v>2</v>
      </c>
      <c r="I240" s="64" t="str">
        <f aca="false">IF('Offshore - Brisbane'!E249="","Harga belum tersedia - hubungi konsultan TEG",IF(M240=2,"Saat ini tidak menerima pendaftaran siswa internasional baru",IF(M240=1,"Program perlu dikonfirmasi ketersediaannya"&amp;IF(""="","","; "&amp;""),"")))</f>
        <v>Program perlu dikonfirmasi ketersediaannya</v>
      </c>
      <c r="J240" s="0" t="s">
        <v>3846</v>
      </c>
      <c r="K240" s="0" t="n">
        <f aca="false">IF(M240=2,"",IF(ISNUMBER(SEARCH("rata-rata:",'Offshore - Brisbane'!N249)),VALUE(MID('Offshore - Brisbane'!N249,SEARCH("rata-rata:",'Offshore - Brisbane'!N249)+11,FIND(";",'Offshore - Brisbane'!N249&amp;";",SEARCH("rata-rata:",'Offshore - Brisbane'!N249))-SEARCH("rata-rata:",'Offshore - Brisbane'!N249)-11)),IF('Offshore - Brisbane'!D249="Semester",'Offshore - Brisbane'!E249*2,IF('Offshore - Brisbane'!D249="Trimester",'Offshore - Brisbane'!E249*3,IF('Offshore - Brisbane'!D249="Term",'Offshore - Brisbane'!E249*4,IF('Offshore - Brisbane'!D249="Unit",'Offshore - Brisbane'!E249*8,""))))))</f>
        <v>6000</v>
      </c>
      <c r="L240" s="0" t="n">
        <f aca="false">IF(AND(ISNUMBER('Offshore - Brisbane'!E249),ISNUMBER(K240),ISNUMBER('Offshore - Brisbane'!F249),ISNUMBER('Offshore - Brisbane'!G249),OR('Offshore - Brisbane'!F249&lt;&gt;0,ISNUMBER(SEARCH("Material 0 terverifikasi",'Offshore - Brisbane'!N249))),OR('Offshore - Brisbane'!G249&lt;&gt;0,ISNUMBER(SEARCH("Enrolment 0 terverifikasi",'Offshore - Brisbane'!N249)))),1,0)</f>
        <v>0</v>
      </c>
      <c r="M240" s="0" t="n">
        <f aca="false">IF(OR('Offshore - Brisbane'!E249="",ISNUMBER(SEARCH("BSB80120",'Offshore - Brisbane'!B249&amp;'Offshore - Brisbane'!N249)),ISNUMBER(SEARCH("Management (Learning)",'Offshore - Brisbane'!B249))),2,IF(ISNUMBER(SEARCH("CEK:",'Offshore - Brisbane'!N249)),1,0))</f>
        <v>1</v>
      </c>
    </row>
    <row r="241" customFormat="false" ht="15" hidden="false" customHeight="false" outlineLevel="0" collapsed="false">
      <c r="A241" s="63" t="s">
        <v>3563</v>
      </c>
      <c r="B241" s="64" t="s">
        <v>3833</v>
      </c>
      <c r="C241" s="63" t="s">
        <v>41</v>
      </c>
      <c r="D241" s="64" t="str">
        <f aca="false">TRIM(LEFT('Offshore - Brisbane'!A291,FIND(CHAR(10),'Offshore - Brisbane'!A291&amp;CHAR(10))-1))</f>
        <v>Shafston International College</v>
      </c>
      <c r="E241" s="63" t="str">
        <f aca="false">'Offshore - Brisbane'!C295&amp;""</f>
        <v>2 years</v>
      </c>
      <c r="F241" s="63" t="str">
        <f aca="false">IF('Offshore - Brisbane'!D295="","Belum tercatat",'Offshore - Brisbane'!D295)</f>
        <v>Term</v>
      </c>
      <c r="G241" s="65" t="n">
        <f aca="false">IF('Offshore - Brisbane'!E295="","-",'Offshore - Brisbane'!E295)</f>
        <v>1625</v>
      </c>
      <c r="H241" s="63" t="n">
        <f aca="false">IF(ISNUMBER(K241),COUNTIFS($J$6:$J$1854,J241,$K$6:$K$1854,"&lt;"&amp;K241)+1,"-")</f>
        <v>4</v>
      </c>
      <c r="I241" s="64" t="str">
        <f aca="false">IF('Offshore - Brisbane'!E295="","Harga belum tersedia - hubungi konsultan TEG",IF(M241=2,"Saat ini tidak menerima pendaftaran siswa internasional baru",IF(M241=1,"Harga perlu dikonfirmasi ke sekolah"&amp;IF(""="","","; "&amp;""),"")))</f>
        <v/>
      </c>
      <c r="J241" s="0" t="s">
        <v>3846</v>
      </c>
      <c r="K241" s="0" t="n">
        <f aca="false">IF(M241=2,"",IF(ISNUMBER(SEARCH("rata-rata:",'Offshore - Brisbane'!N295)),VALUE(MID('Offshore - Brisbane'!N295,SEARCH("rata-rata:",'Offshore - Brisbane'!N295)+11,FIND(";",'Offshore - Brisbane'!N295&amp;";",SEARCH("rata-rata:",'Offshore - Brisbane'!N295))-SEARCH("rata-rata:",'Offshore - Brisbane'!N295)-11)),IF('Offshore - Brisbane'!D295="Semester",'Offshore - Brisbane'!E295*2,IF('Offshore - Brisbane'!D295="Trimester",'Offshore - Brisbane'!E295*3,IF('Offshore - Brisbane'!D295="Term",'Offshore - Brisbane'!E295*4,IF('Offshore - Brisbane'!D295="Unit",'Offshore - Brisbane'!E295*8,""))))))</f>
        <v>6500</v>
      </c>
      <c r="L241" s="0" t="n">
        <f aca="false">IF(AND(ISNUMBER('Offshore - Brisbane'!E295),ISNUMBER(K241),ISNUMBER('Offshore - Brisbane'!F295),ISNUMBER('Offshore - Brisbane'!G295),OR('Offshore - Brisbane'!F295&lt;&gt;0,ISNUMBER(SEARCH("Material 0 terverifikasi",'Offshore - Brisbane'!N295))),OR('Offshore - Brisbane'!G295&lt;&gt;0,ISNUMBER(SEARCH("Enrolment 0 terverifikasi",'Offshore - Brisbane'!N295)))),1,0)</f>
        <v>1</v>
      </c>
      <c r="M241" s="0" t="n">
        <f aca="false">IF(OR('Offshore - Brisbane'!E295="",ISNUMBER(SEARCH("BSB80120",'Offshore - Brisbane'!B295&amp;'Offshore - Brisbane'!N295)),ISNUMBER(SEARCH("Management (Learning)",'Offshore - Brisbane'!B295))),2,IF(ISNUMBER(SEARCH("CEK:",'Offshore - Brisbane'!N295)),1,0))</f>
        <v>0</v>
      </c>
    </row>
    <row r="242" customFormat="false" ht="15" hidden="false" customHeight="false" outlineLevel="0" collapsed="false">
      <c r="A242" s="63" t="s">
        <v>3563</v>
      </c>
      <c r="B242" s="64" t="s">
        <v>3833</v>
      </c>
      <c r="C242" s="63" t="s">
        <v>41</v>
      </c>
      <c r="D242" s="64" t="str">
        <f aca="false">TRIM(LEFT('Offshore - Brisbane'!A237,FIND(CHAR(10),'Offshore - Brisbane'!A237&amp;CHAR(10))-1))</f>
        <v>Hospitality Training Academy (HTA)</v>
      </c>
      <c r="E242" s="63" t="str">
        <f aca="false">'Offshore - Brisbane'!C239&amp;""</f>
        <v>1,5 years</v>
      </c>
      <c r="F242" s="63" t="str">
        <f aca="false">IF('Offshore - Brisbane'!D239="","Belum tercatat",'Offshore - Brisbane'!D239)</f>
        <v>Term</v>
      </c>
      <c r="G242" s="65" t="n">
        <f aca="false">IF('Offshore - Brisbane'!E239="","-",'Offshore - Brisbane'!E239)</f>
        <v>1785</v>
      </c>
      <c r="H242" s="63" t="n">
        <f aca="false">IF(ISNUMBER(K242),COUNTIFS($J$6:$J$1854,J242,$K$6:$K$1854,"&lt;"&amp;K242)+1,"-")</f>
        <v>5</v>
      </c>
      <c r="I242" s="64" t="str">
        <f aca="false">IF('Offshore - Brisbane'!E239="","Harga belum tersedia - hubungi konsultan TEG",IF(M242=2,"Saat ini tidak menerima pendaftaran siswa internasional baru",IF(M242=1,"Harga perlu dikonfirmasi ke sekolah"&amp;IF(""="","","; "&amp;""),"")))</f>
        <v/>
      </c>
      <c r="J242" s="0" t="s">
        <v>3846</v>
      </c>
      <c r="K242" s="0" t="n">
        <f aca="false">IF(M242=2,"",IF(ISNUMBER(SEARCH("rata-rata:",'Offshore - Brisbane'!N239)),VALUE(MID('Offshore - Brisbane'!N239,SEARCH("rata-rata:",'Offshore - Brisbane'!N239)+11,FIND(";",'Offshore - Brisbane'!N239&amp;";",SEARCH("rata-rata:",'Offshore - Brisbane'!N239))-SEARCH("rata-rata:",'Offshore - Brisbane'!N239)-11)),IF('Offshore - Brisbane'!D239="Semester",'Offshore - Brisbane'!E239*2,IF('Offshore - Brisbane'!D239="Trimester",'Offshore - Brisbane'!E239*3,IF('Offshore - Brisbane'!D239="Term",'Offshore - Brisbane'!E239*4,IF('Offshore - Brisbane'!D239="Unit",'Offshore - Brisbane'!E239*8,""))))))</f>
        <v>7140</v>
      </c>
      <c r="L242" s="0" t="n">
        <f aca="false">IF(AND(ISNUMBER('Offshore - Brisbane'!E239),ISNUMBER(K242),ISNUMBER('Offshore - Brisbane'!F239),ISNUMBER('Offshore - Brisbane'!G239),OR('Offshore - Brisbane'!F239&lt;&gt;0,ISNUMBER(SEARCH("Material 0 terverifikasi",'Offshore - Brisbane'!N239))),OR('Offshore - Brisbane'!G239&lt;&gt;0,ISNUMBER(SEARCH("Enrolment 0 terverifikasi",'Offshore - Brisbane'!N239)))),1,0)</f>
        <v>0</v>
      </c>
      <c r="M242" s="0" t="n">
        <f aca="false">IF(OR('Offshore - Brisbane'!E239="",ISNUMBER(SEARCH("BSB80120",'Offshore - Brisbane'!B239&amp;'Offshore - Brisbane'!N239)),ISNUMBER(SEARCH("Management (Learning)",'Offshore - Brisbane'!B239))),2,IF(ISNUMBER(SEARCH("CEK:",'Offshore - Brisbane'!N239)),1,0))</f>
        <v>0</v>
      </c>
    </row>
    <row r="243" customFormat="false" ht="15" hidden="false" customHeight="false" outlineLevel="0" collapsed="false">
      <c r="A243" s="63" t="s">
        <v>3563</v>
      </c>
      <c r="B243" s="64" t="s">
        <v>3833</v>
      </c>
      <c r="C243" s="63" t="s">
        <v>41</v>
      </c>
      <c r="D243" s="64" t="str">
        <f aca="false">TRIM(LEFT('Offshore - Brisbane'!A33,FIND(CHAR(10),'Offshore - Brisbane'!A33&amp;CHAR(10))-1))</f>
        <v>Asia Pacific International College (APIC)</v>
      </c>
      <c r="E243" s="63" t="str">
        <f aca="false">'Offshore - Brisbane'!C35&amp;""</f>
        <v>1 year</v>
      </c>
      <c r="F243" s="63" t="str">
        <f aca="false">IF('Offshore - Brisbane'!D35="","Belum tercatat",'Offshore - Brisbane'!D35)</f>
        <v>Trimester</v>
      </c>
      <c r="G243" s="65" t="n">
        <f aca="false">IF('Offshore - Brisbane'!E35="","-",'Offshore - Brisbane'!E35)</f>
        <v>3000</v>
      </c>
      <c r="H243" s="63" t="n">
        <f aca="false">IF(ISNUMBER(K243),COUNTIFS($J$6:$J$1854,J243,$K$6:$K$1854,"&lt;"&amp;K243)+1,"-")</f>
        <v>6</v>
      </c>
      <c r="I243" s="64" t="str">
        <f aca="false">IF('Offshore - Brisbane'!E35="","Harga belum tersedia - hubungi konsultan TEG",IF(M243=2,"Saat ini tidak menerima pendaftaran siswa internasional baru",IF(M243=1,"Harga perlu dikonfirmasi ke sekolah"&amp;IF(""="","","; "&amp;""),"")))</f>
        <v>Harga perlu dikonfirmasi ke sekolah</v>
      </c>
      <c r="J243" s="0" t="s">
        <v>3846</v>
      </c>
      <c r="K243" s="0" t="n">
        <f aca="false">IF(M243=2,"",IF(ISNUMBER(SEARCH("rata-rata:",'Offshore - Brisbane'!N35)),VALUE(MID('Offshore - Brisbane'!N35,SEARCH("rata-rata:",'Offshore - Brisbane'!N35)+11,FIND(";",'Offshore - Brisbane'!N35&amp;";",SEARCH("rata-rata:",'Offshore - Brisbane'!N35))-SEARCH("rata-rata:",'Offshore - Brisbane'!N35)-11)),IF('Offshore - Brisbane'!D35="Semester",'Offshore - Brisbane'!E35*2,IF('Offshore - Brisbane'!D35="Trimester",'Offshore - Brisbane'!E35*3,IF('Offshore - Brisbane'!D35="Term",'Offshore - Brisbane'!E35*4,IF('Offshore - Brisbane'!D35="Unit",'Offshore - Brisbane'!E35*8,""))))))</f>
        <v>9000</v>
      </c>
      <c r="L243" s="0" t="n">
        <f aca="false">IF(AND(ISNUMBER('Offshore - Brisbane'!E35),ISNUMBER(K243),ISNUMBER('Offshore - Brisbane'!F35),ISNUMBER('Offshore - Brisbane'!G35),OR('Offshore - Brisbane'!F35&lt;&gt;0,ISNUMBER(SEARCH("Material 0 terverifikasi",'Offshore - Brisbane'!N35))),OR('Offshore - Brisbane'!G35&lt;&gt;0,ISNUMBER(SEARCH("Enrolment 0 terverifikasi",'Offshore - Brisbane'!N35)))),1,0)</f>
        <v>0</v>
      </c>
      <c r="M243" s="0" t="n">
        <f aca="false">IF(OR('Offshore - Brisbane'!E35="",ISNUMBER(SEARCH("BSB80120",'Offshore - Brisbane'!B35&amp;'Offshore - Brisbane'!N35)),ISNUMBER(SEARCH("Management (Learning)",'Offshore - Brisbane'!B35))),2,IF(ISNUMBER(SEARCH("CEK:",'Offshore - Brisbane'!N35)),1,0))</f>
        <v>1</v>
      </c>
    </row>
    <row r="244" customFormat="false" ht="15" hidden="false" customHeight="false" outlineLevel="0" collapsed="false">
      <c r="A244" s="63" t="s">
        <v>3563</v>
      </c>
      <c r="B244" s="64" t="s">
        <v>3833</v>
      </c>
      <c r="C244" s="63" t="s">
        <v>41</v>
      </c>
      <c r="D244" s="64" t="str">
        <f aca="false">TRIM(LEFT('Offshore - Brisbane'!A161,FIND(CHAR(10),'Offshore - Brisbane'!A161&amp;CHAR(10))-1))</f>
        <v>Australian Skills Management Institute (ASMI)</v>
      </c>
      <c r="E244" s="63" t="str">
        <f aca="false">'Offshore - Brisbane'!C164&amp;""</f>
        <v>1,7 years</v>
      </c>
      <c r="F244" s="63" t="str">
        <f aca="false">IF('Offshore - Brisbane'!D164="","Belum tercatat",'Offshore - Brisbane'!D164)</f>
        <v>Term</v>
      </c>
      <c r="G244" s="65" t="n">
        <f aca="false">IF('Offshore - Brisbane'!E164="","-",'Offshore - Brisbane'!E164)</f>
        <v>2375</v>
      </c>
      <c r="H244" s="63" t="n">
        <f aca="false">IF(ISNUMBER(K244),COUNTIFS($J$6:$J$1854,J244,$K$6:$K$1854,"&lt;"&amp;K244)+1,"-")</f>
        <v>7</v>
      </c>
      <c r="I244" s="64" t="str">
        <f aca="false">IF('Offshore - Brisbane'!E164="","Harga belum tersedia - hubungi konsultan TEG",IF(M244=2,"Saat ini tidak menerima pendaftaran siswa internasional baru",IF(M244=1,"Harga perlu dikonfirmasi ke sekolah"&amp;IF(""="","","; "&amp;""),"")))</f>
        <v/>
      </c>
      <c r="J244" s="0" t="s">
        <v>3846</v>
      </c>
      <c r="K244" s="0" t="n">
        <f aca="false">IF(M244=2,"",IF(ISNUMBER(SEARCH("rata-rata:",'Offshore - Brisbane'!N164)),VALUE(MID('Offshore - Brisbane'!N164,SEARCH("rata-rata:",'Offshore - Brisbane'!N164)+11,FIND(";",'Offshore - Brisbane'!N164&amp;";",SEARCH("rata-rata:",'Offshore - Brisbane'!N164))-SEARCH("rata-rata:",'Offshore - Brisbane'!N164)-11)),IF('Offshore - Brisbane'!D164="Semester",'Offshore - Brisbane'!E164*2,IF('Offshore - Brisbane'!D164="Trimester",'Offshore - Brisbane'!E164*3,IF('Offshore - Brisbane'!D164="Term",'Offshore - Brisbane'!E164*4,IF('Offshore - Brisbane'!D164="Unit",'Offshore - Brisbane'!E164*8,""))))))</f>
        <v>9500</v>
      </c>
      <c r="L244" s="0" t="n">
        <f aca="false">IF(AND(ISNUMBER('Offshore - Brisbane'!E164),ISNUMBER(K244),ISNUMBER('Offshore - Brisbane'!F164),ISNUMBER('Offshore - Brisbane'!G164),OR('Offshore - Brisbane'!F164&lt;&gt;0,ISNUMBER(SEARCH("Material 0 terverifikasi",'Offshore - Brisbane'!N164))),OR('Offshore - Brisbane'!G164&lt;&gt;0,ISNUMBER(SEARCH("Enrolment 0 terverifikasi",'Offshore - Brisbane'!N164)))),1,0)</f>
        <v>1</v>
      </c>
      <c r="M244" s="0" t="n">
        <f aca="false">IF(OR('Offshore - Brisbane'!E164="",ISNUMBER(SEARCH("BSB80120",'Offshore - Brisbane'!B164&amp;'Offshore - Brisbane'!N164)),ISNUMBER(SEARCH("Management (Learning)",'Offshore - Brisbane'!B164))),2,IF(ISNUMBER(SEARCH("CEK:",'Offshore - Brisbane'!N164)),1,0))</f>
        <v>0</v>
      </c>
    </row>
    <row r="245" customFormat="false" ht="15" hidden="false" customHeight="false" outlineLevel="0" collapsed="false">
      <c r="A245" s="63" t="s">
        <v>3563</v>
      </c>
      <c r="B245" s="64" t="s">
        <v>3833</v>
      </c>
      <c r="C245" s="63" t="s">
        <v>41</v>
      </c>
      <c r="D245" s="64" t="str">
        <f aca="false">TRIM(LEFT('Offshore - Brisbane'!A200,FIND(CHAR(10),'Offshore - Brisbane'!A200&amp;CHAR(10))-1))</f>
        <v>Federation Academy</v>
      </c>
      <c r="E245" s="63" t="str">
        <f aca="false">'Offshore - Brisbane'!C203&amp;""</f>
        <v>2,5 years</v>
      </c>
      <c r="F245" s="63" t="str">
        <f aca="false">IF('Offshore - Brisbane'!D203="","Belum tercatat",'Offshore - Brisbane'!D203)</f>
        <v>Term</v>
      </c>
      <c r="G245" s="65" t="n">
        <f aca="false">IF('Offshore - Brisbane'!E203="","-",'Offshore - Brisbane'!E203)</f>
        <v>3650</v>
      </c>
      <c r="H245" s="63" t="n">
        <f aca="false">IF(ISNUMBER(K245),COUNTIFS($J$6:$J$1854,J245,$K$6:$K$1854,"&lt;"&amp;K245)+1,"-")</f>
        <v>8</v>
      </c>
      <c r="I245" s="64" t="str">
        <f aca="false">IF('Offshore - Brisbane'!E203="","Harga belum tersedia - hubungi konsultan TEG",IF(M245=2,"Saat ini tidak menerima pendaftaran siswa internasional baru",IF(M245=1,"Harga perlu dikonfirmasi ke sekolah"&amp;IF(""="","","; "&amp;""),"")))</f>
        <v/>
      </c>
      <c r="J245" s="0" t="s">
        <v>3846</v>
      </c>
      <c r="K245" s="0" t="n">
        <f aca="false">IF(M245=2,"",IF(ISNUMBER(SEARCH("rata-rata:",'Offshore - Brisbane'!N203)),VALUE(MID('Offshore - Brisbane'!N203,SEARCH("rata-rata:",'Offshore - Brisbane'!N203)+11,FIND(";",'Offshore - Brisbane'!N203&amp;";",SEARCH("rata-rata:",'Offshore - Brisbane'!N203))-SEARCH("rata-rata:",'Offshore - Brisbane'!N203)-11)),IF('Offshore - Brisbane'!D203="Semester",'Offshore - Brisbane'!E203*2,IF('Offshore - Brisbane'!D203="Trimester",'Offshore - Brisbane'!E203*3,IF('Offshore - Brisbane'!D203="Term",'Offshore - Brisbane'!E203*4,IF('Offshore - Brisbane'!D203="Unit",'Offshore - Brisbane'!E203*8,""))))))</f>
        <v>14600</v>
      </c>
      <c r="L245" s="0" t="n">
        <f aca="false">IF(AND(ISNUMBER('Offshore - Brisbane'!E203),ISNUMBER(K245),ISNUMBER('Offshore - Brisbane'!F203),ISNUMBER('Offshore - Brisbane'!G203),OR('Offshore - Brisbane'!F203&lt;&gt;0,ISNUMBER(SEARCH("Material 0 terverifikasi",'Offshore - Brisbane'!N203))),OR('Offshore - Brisbane'!G203&lt;&gt;0,ISNUMBER(SEARCH("Enrolment 0 terverifikasi",'Offshore - Brisbane'!N203)))),1,0)</f>
        <v>1</v>
      </c>
      <c r="M245" s="0" t="n">
        <f aca="false">IF(OR('Offshore - Brisbane'!E203="",ISNUMBER(SEARCH("BSB80120",'Offshore - Brisbane'!B203&amp;'Offshore - Brisbane'!N203)),ISNUMBER(SEARCH("Management (Learning)",'Offshore - Brisbane'!B203))),2,IF(ISNUMBER(SEARCH("CEK:",'Offshore - Brisbane'!N203)),1,0))</f>
        <v>0</v>
      </c>
    </row>
    <row r="246" customFormat="false" ht="15" hidden="false" customHeight="false" outlineLevel="0" collapsed="false">
      <c r="A246" s="63" t="s">
        <v>3563</v>
      </c>
      <c r="B246" s="64" t="s">
        <v>3833</v>
      </c>
      <c r="C246" s="63" t="s">
        <v>41</v>
      </c>
      <c r="D246" s="64" t="str">
        <f aca="false">TRIM(LEFT('Offshore - Brisbane'!A308,FIND(CHAR(10),'Offshore - Brisbane'!A308&amp;CHAR(10))-1))</f>
        <v>Torrens University Australia</v>
      </c>
      <c r="E246" s="63" t="str">
        <f aca="false">'Offshore - Brisbane'!C308&amp;""</f>
        <v>1 year</v>
      </c>
      <c r="F246" s="63" t="str">
        <f aca="false">IF('Offshore - Brisbane'!D308="","Belum tercatat",'Offshore - Brisbane'!D308)</f>
        <v>Term</v>
      </c>
      <c r="G246" s="65" t="n">
        <f aca="false">IF('Offshore - Brisbane'!E308="","-",'Offshore - Brisbane'!E308)</f>
        <v>7900</v>
      </c>
      <c r="H246" s="63" t="n">
        <f aca="false">IF(ISNUMBER(K246),COUNTIFS($J$6:$J$1854,J246,$K$6:$K$1854,"&lt;"&amp;K246)+1,"-")</f>
        <v>9</v>
      </c>
      <c r="I246" s="64" t="str">
        <f aca="false">IF('Offshore - Brisbane'!E308="","Harga belum tersedia - hubungi konsultan TEG",IF(M246=2,"Saat ini tidak menerima pendaftaran siswa internasional baru",IF(M246=1,"Harga perlu dikonfirmasi ke sekolah"&amp;IF(""="","","; "&amp;""),"")))</f>
        <v/>
      </c>
      <c r="J246" s="0" t="s">
        <v>3846</v>
      </c>
      <c r="K246" s="0" t="n">
        <f aca="false">IF(M246=2,"",IF(ISNUMBER(SEARCH("rata-rata:",'Offshore - Brisbane'!N308)),VALUE(MID('Offshore - Brisbane'!N308,SEARCH("rata-rata:",'Offshore - Brisbane'!N308)+11,FIND(";",'Offshore - Brisbane'!N308&amp;";",SEARCH("rata-rata:",'Offshore - Brisbane'!N308))-SEARCH("rata-rata:",'Offshore - Brisbane'!N308)-11)),IF('Offshore - Brisbane'!D308="Semester",'Offshore - Brisbane'!E308*2,IF('Offshore - Brisbane'!D308="Trimester",'Offshore - Brisbane'!E308*3,IF('Offshore - Brisbane'!D308="Term",'Offshore - Brisbane'!E308*4,IF('Offshore - Brisbane'!D308="Unit",'Offshore - Brisbane'!E308*8,""))))))</f>
        <v>31600</v>
      </c>
      <c r="L246" s="0" t="n">
        <f aca="false">IF(AND(ISNUMBER('Offshore - Brisbane'!E308),ISNUMBER(K246),ISNUMBER('Offshore - Brisbane'!F308),ISNUMBER('Offshore - Brisbane'!G308),OR('Offshore - Brisbane'!F308&lt;&gt;0,ISNUMBER(SEARCH("Material 0 terverifikasi",'Offshore - Brisbane'!N308))),OR('Offshore - Brisbane'!G308&lt;&gt;0,ISNUMBER(SEARCH("Enrolment 0 terverifikasi",'Offshore - Brisbane'!N308)))),1,0)</f>
        <v>0</v>
      </c>
      <c r="M246" s="0" t="n">
        <f aca="false">IF(OR('Offshore - Brisbane'!E308="",ISNUMBER(SEARCH("BSB80120",'Offshore - Brisbane'!B308&amp;'Offshore - Brisbane'!N308)),ISNUMBER(SEARCH("Management (Learning)",'Offshore - Brisbane'!B308))),2,IF(ISNUMBER(SEARCH("CEK:",'Offshore - Brisbane'!N308)),1,0))</f>
        <v>0</v>
      </c>
    </row>
    <row r="247" customFormat="false" ht="15" hidden="false" customHeight="false" outlineLevel="0" collapsed="false">
      <c r="A247" s="63" t="s">
        <v>3563</v>
      </c>
      <c r="B247" s="64" t="s">
        <v>3833</v>
      </c>
      <c r="C247" s="63" t="s">
        <v>41</v>
      </c>
      <c r="D247" s="64" t="str">
        <f aca="false">TRIM(LEFT('Offshore - Brisbane'!A53,FIND(CHAR(10),'Offshore - Brisbane'!A53&amp;CHAR(10))-1))</f>
        <v>Australian Catholic University (ACU)</v>
      </c>
      <c r="E247" s="63" t="str">
        <f aca="false">'Offshore - Brisbane'!C147&amp;""</f>
        <v>1 year</v>
      </c>
      <c r="F247" s="63" t="str">
        <f aca="false">IF('Offshore - Brisbane'!D147="","Belum tercatat",'Offshore - Brisbane'!D147)</f>
        <v>Term</v>
      </c>
      <c r="G247" s="65" t="n">
        <f aca="false">IF('Offshore - Brisbane'!E147="","-",'Offshore - Brisbane'!E147)</f>
        <v>8058</v>
      </c>
      <c r="H247" s="63" t="n">
        <f aca="false">IF(ISNUMBER(K247),COUNTIFS($J$6:$J$1854,J247,$K$6:$K$1854,"&lt;"&amp;K247)+1,"-")</f>
        <v>10</v>
      </c>
      <c r="I247" s="64" t="str">
        <f aca="false">IF('Offshore - Brisbane'!E147="","Harga belum tersedia - hubungi konsultan TEG",IF(M247=2,"Saat ini tidak menerima pendaftaran siswa internasional baru",IF(M247=1,"Harga perlu dikonfirmasi ke sekolah"&amp;IF(""="","","; "&amp;""),"")))</f>
        <v/>
      </c>
      <c r="J247" s="0" t="s">
        <v>3846</v>
      </c>
      <c r="K247" s="0" t="n">
        <f aca="false">IF(M247=2,"",IF(ISNUMBER(SEARCH("rata-rata:",'Offshore - Brisbane'!N147)),VALUE(MID('Offshore - Brisbane'!N147,SEARCH("rata-rata:",'Offshore - Brisbane'!N147)+11,FIND(";",'Offshore - Brisbane'!N147&amp;";",SEARCH("rata-rata:",'Offshore - Brisbane'!N147))-SEARCH("rata-rata:",'Offshore - Brisbane'!N147)-11)),IF('Offshore - Brisbane'!D147="Semester",'Offshore - Brisbane'!E147*2,IF('Offshore - Brisbane'!D147="Trimester",'Offshore - Brisbane'!E147*3,IF('Offshore - Brisbane'!D147="Term",'Offshore - Brisbane'!E147*4,IF('Offshore - Brisbane'!D147="Unit",'Offshore - Brisbane'!E147*8,""))))))</f>
        <v>32232</v>
      </c>
      <c r="L247" s="0" t="n">
        <f aca="false">IF(AND(ISNUMBER('Offshore - Brisbane'!E147),ISNUMBER(K247),ISNUMBER('Offshore - Brisbane'!F147),ISNUMBER('Offshore - Brisbane'!G147),OR('Offshore - Brisbane'!F147&lt;&gt;0,ISNUMBER(SEARCH("Material 0 terverifikasi",'Offshore - Brisbane'!N147))),OR('Offshore - Brisbane'!G147&lt;&gt;0,ISNUMBER(SEARCH("Enrolment 0 terverifikasi",'Offshore - Brisbane'!N147)))),1,0)</f>
        <v>0</v>
      </c>
      <c r="M247" s="0" t="n">
        <f aca="false">IF(OR('Offshore - Brisbane'!E147="",ISNUMBER(SEARCH("BSB80120",'Offshore - Brisbane'!B147&amp;'Offshore - Brisbane'!N147)),ISNUMBER(SEARCH("Management (Learning)",'Offshore - Brisbane'!B147))),2,IF(ISNUMBER(SEARCH("CEK:",'Offshore - Brisbane'!N147)),1,0))</f>
        <v>0</v>
      </c>
    </row>
    <row r="248" customFormat="false" ht="15" hidden="false" customHeight="false" outlineLevel="0" collapsed="false">
      <c r="A248" s="63" t="s">
        <v>3563</v>
      </c>
      <c r="B248" s="64" t="s">
        <v>3833</v>
      </c>
      <c r="C248" s="63" t="s">
        <v>41</v>
      </c>
      <c r="D248" s="64" t="str">
        <f aca="false">TRIM(LEFT('Offshore - Brisbane'!A250,FIND(CHAR(10),'Offshore - Brisbane'!A250&amp;CHAR(10))-1))</f>
        <v>Kaplan Business School</v>
      </c>
      <c r="E248" s="63" t="str">
        <f aca="false">'Offshore - Brisbane'!C250&amp;""</f>
        <v>1 year</v>
      </c>
      <c r="F248" s="63" t="str">
        <f aca="false">IF('Offshore - Brisbane'!D250="","Belum tercatat",'Offshore - Brisbane'!D250)</f>
        <v>Trimester</v>
      </c>
      <c r="G248" s="65" t="n">
        <f aca="false">IF('Offshore - Brisbane'!E250="","-",'Offshore - Brisbane'!E250)</f>
        <v>11520</v>
      </c>
      <c r="H248" s="63" t="n">
        <f aca="false">IF(ISNUMBER(K248),COUNTIFS($J$6:$J$1854,J248,$K$6:$K$1854,"&lt;"&amp;K248)+1,"-")</f>
        <v>11</v>
      </c>
      <c r="I248" s="64" t="str">
        <f aca="false">IF('Offshore - Brisbane'!E250="","Harga belum tersedia - hubungi konsultan TEG",IF(M248=2,"Saat ini tidak menerima pendaftaran siswa internasional baru",IF(M248=1,"Harga perlu dikonfirmasi ke sekolah"&amp;IF(""="","","; "&amp;""),"")))</f>
        <v>Harga perlu dikonfirmasi ke sekolah</v>
      </c>
      <c r="J248" s="0" t="s">
        <v>3846</v>
      </c>
      <c r="K248" s="0" t="n">
        <f aca="false">IF(M248=2,"",IF(ISNUMBER(SEARCH("rata-rata:",'Offshore - Brisbane'!N250)),VALUE(MID('Offshore - Brisbane'!N250,SEARCH("rata-rata:",'Offshore - Brisbane'!N250)+11,FIND(";",'Offshore - Brisbane'!N250&amp;";",SEARCH("rata-rata:",'Offshore - Brisbane'!N250))-SEARCH("rata-rata:",'Offshore - Brisbane'!N250)-11)),IF('Offshore - Brisbane'!D250="Semester",'Offshore - Brisbane'!E250*2,IF('Offshore - Brisbane'!D250="Trimester",'Offshore - Brisbane'!E250*3,IF('Offshore - Brisbane'!D250="Term",'Offshore - Brisbane'!E250*4,IF('Offshore - Brisbane'!D250="Unit",'Offshore - Brisbane'!E250*8,""))))))</f>
        <v>34560</v>
      </c>
      <c r="L248" s="0" t="n">
        <f aca="false">IF(AND(ISNUMBER('Offshore - Brisbane'!E250),ISNUMBER(K248),ISNUMBER('Offshore - Brisbane'!F250),ISNUMBER('Offshore - Brisbane'!G250),OR('Offshore - Brisbane'!F250&lt;&gt;0,ISNUMBER(SEARCH("Material 0 terverifikasi",'Offshore - Brisbane'!N250))),OR('Offshore - Brisbane'!G250&lt;&gt;0,ISNUMBER(SEARCH("Enrolment 0 terverifikasi",'Offshore - Brisbane'!N250)))),1,0)</f>
        <v>1</v>
      </c>
      <c r="M248" s="0" t="n">
        <f aca="false">IF(OR('Offshore - Brisbane'!E250="",ISNUMBER(SEARCH("BSB80120",'Offshore - Brisbane'!B250&amp;'Offshore - Brisbane'!N250)),ISNUMBER(SEARCH("Management (Learning)",'Offshore - Brisbane'!B250))),2,IF(ISNUMBER(SEARCH("CEK:",'Offshore - Brisbane'!N250)),1,0))</f>
        <v>1</v>
      </c>
    </row>
    <row r="249" customFormat="false" ht="15" hidden="false" customHeight="false" outlineLevel="0" collapsed="false">
      <c r="A249" s="61" t="s">
        <v>3847</v>
      </c>
      <c r="B249" s="62"/>
      <c r="C249" s="62"/>
      <c r="D249" s="62"/>
      <c r="E249" s="62"/>
      <c r="F249" s="62"/>
      <c r="G249" s="62"/>
      <c r="H249" s="62"/>
      <c r="I249" s="62"/>
    </row>
    <row r="250" customFormat="false" ht="15" hidden="false" customHeight="false" outlineLevel="0" collapsed="false">
      <c r="A250" s="63" t="s">
        <v>3563</v>
      </c>
      <c r="B250" s="64" t="s">
        <v>3833</v>
      </c>
      <c r="C250" s="63" t="s">
        <v>42</v>
      </c>
      <c r="D250" s="64" t="str">
        <f aca="false">TRIM(LEFT('Offshore - Brisbane'!A205,FIND(CHAR(10),'Offshore - Brisbane'!A205&amp;CHAR(10))-1))</f>
        <v>Greenwich College</v>
      </c>
      <c r="E250" s="63" t="str">
        <f aca="false">'Offshore - Brisbane'!C210&amp;""</f>
        <v>172 weeks</v>
      </c>
      <c r="F250" s="63" t="str">
        <f aca="false">IF('Offshore - Brisbane'!D210="","Belum tercatat",'Offshore - Brisbane'!D210)</f>
        <v>Term</v>
      </c>
      <c r="G250" s="65" t="n">
        <f aca="false">IF('Offshore - Brisbane'!E210="","-",'Offshore - Brisbane'!E210)</f>
        <v>1250</v>
      </c>
      <c r="H250" s="63" t="n">
        <f aca="false">IF(ISNUMBER(K250),COUNTIFS($J$6:$J$1854,J250,$K$6:$K$1854,"&lt;"&amp;K250)+1,"-")</f>
        <v>1</v>
      </c>
      <c r="I250" s="64" t="str">
        <f aca="false">IF('Offshore - Brisbane'!E210="","Harga belum tersedia - hubungi konsultan TEG",IF(M250=2,"Saat ini tidak menerima pendaftaran siswa internasional baru",IF(M250=1,"Harga perlu dikonfirmasi ke sekolah"&amp;IF(""="","","; "&amp;""),"")))</f>
        <v/>
      </c>
      <c r="J250" s="0" t="s">
        <v>3848</v>
      </c>
      <c r="K250" s="0" t="n">
        <f aca="false">IF(M250=2,"",IF(ISNUMBER(SEARCH("rata-rata:",'Offshore - Brisbane'!N210)),VALUE(MID('Offshore - Brisbane'!N210,SEARCH("rata-rata:",'Offshore - Brisbane'!N210)+11,FIND(";",'Offshore - Brisbane'!N210&amp;";",SEARCH("rata-rata:",'Offshore - Brisbane'!N210))-SEARCH("rata-rata:",'Offshore - Brisbane'!N210)-11)),IF('Offshore - Brisbane'!D210="Semester",'Offshore - Brisbane'!E210*2,IF('Offshore - Brisbane'!D210="Trimester",'Offshore - Brisbane'!E210*3,IF('Offshore - Brisbane'!D210="Term",'Offshore - Brisbane'!E210*4,IF('Offshore - Brisbane'!D210="Unit",'Offshore - Brisbane'!E210*8,""))))))</f>
        <v>5000</v>
      </c>
      <c r="L250" s="0" t="n">
        <f aca="false">IF(AND(ISNUMBER('Offshore - Brisbane'!E210),ISNUMBER(K250),ISNUMBER('Offshore - Brisbane'!F210),ISNUMBER('Offshore - Brisbane'!G210),OR('Offshore - Brisbane'!F210&lt;&gt;0,ISNUMBER(SEARCH("Material 0 terverifikasi",'Offshore - Brisbane'!N210))),OR('Offshore - Brisbane'!G210&lt;&gt;0,ISNUMBER(SEARCH("Enrolment 0 terverifikasi",'Offshore - Brisbane'!N210)))),1,0)</f>
        <v>1</v>
      </c>
      <c r="M250" s="0" t="n">
        <f aca="false">IF(OR('Offshore - Brisbane'!E210="",ISNUMBER(SEARCH("BSB80120",'Offshore - Brisbane'!B210&amp;'Offshore - Brisbane'!N210)),ISNUMBER(SEARCH("Management (Learning)",'Offshore - Brisbane'!B210))),2,IF(ISNUMBER(SEARCH("CEK:",'Offshore - Brisbane'!N210)),1,0))</f>
        <v>0</v>
      </c>
    </row>
    <row r="251" customFormat="false" ht="15" hidden="false" customHeight="false" outlineLevel="0" collapsed="false">
      <c r="A251" s="63" t="s">
        <v>3563</v>
      </c>
      <c r="B251" s="64" t="s">
        <v>3833</v>
      </c>
      <c r="C251" s="63" t="s">
        <v>42</v>
      </c>
      <c r="D251" s="64" t="str">
        <f aca="false">TRIM(LEFT('Offshore - Brisbane'!A182,FIND(CHAR(10),'Offshore - Brisbane'!A182&amp;CHAR(10))-1))</f>
        <v>ECA College</v>
      </c>
      <c r="E251" s="63" t="str">
        <f aca="false">'Offshore - Brisbane'!C184&amp;""</f>
        <v>3 years</v>
      </c>
      <c r="F251" s="63" t="str">
        <f aca="false">IF('Offshore - Brisbane'!D184="","Belum tercatat",'Offshore - Brisbane'!D184)</f>
        <v>Term</v>
      </c>
      <c r="G251" s="65" t="n">
        <f aca="false">IF('Offshore - Brisbane'!E184="","-",'Offshore - Brisbane'!E184)</f>
        <v>1500</v>
      </c>
      <c r="H251" s="63" t="n">
        <f aca="false">IF(ISNUMBER(K251),COUNTIFS($J$6:$J$1854,J251,$K$6:$K$1854,"&lt;"&amp;K251)+1,"-")</f>
        <v>2</v>
      </c>
      <c r="I251" s="64" t="str">
        <f aca="false">IF('Offshore - Brisbane'!E184="","Harga belum tersedia - hubungi konsultan TEG",IF(M251=2,"Saat ini tidak menerima pendaftaran siswa internasional baru",IF(M251=1,"Harga perlu dikonfirmasi ke sekolah"&amp;IF(""="","","; "&amp;""),"")))</f>
        <v/>
      </c>
      <c r="J251" s="0" t="s">
        <v>3848</v>
      </c>
      <c r="K251" s="0" t="n">
        <f aca="false">IF(M251=2,"",IF(ISNUMBER(SEARCH("rata-rata:",'Offshore - Brisbane'!N184)),VALUE(MID('Offshore - Brisbane'!N184,SEARCH("rata-rata:",'Offshore - Brisbane'!N184)+11,FIND(";",'Offshore - Brisbane'!N184&amp;";",SEARCH("rata-rata:",'Offshore - Brisbane'!N184))-SEARCH("rata-rata:",'Offshore - Brisbane'!N184)-11)),IF('Offshore - Brisbane'!D184="Semester",'Offshore - Brisbane'!E184*2,IF('Offshore - Brisbane'!D184="Trimester",'Offshore - Brisbane'!E184*3,IF('Offshore - Brisbane'!D184="Term",'Offshore - Brisbane'!E184*4,IF('Offshore - Brisbane'!D184="Unit",'Offshore - Brisbane'!E184*8,""))))))</f>
        <v>6000</v>
      </c>
      <c r="L251" s="0" t="n">
        <f aca="false">IF(AND(ISNUMBER('Offshore - Brisbane'!E184),ISNUMBER(K251),ISNUMBER('Offshore - Brisbane'!F184),ISNUMBER('Offshore - Brisbane'!G184),OR('Offshore - Brisbane'!F184&lt;&gt;0,ISNUMBER(SEARCH("Material 0 terverifikasi",'Offshore - Brisbane'!N184))),OR('Offshore - Brisbane'!G184&lt;&gt;0,ISNUMBER(SEARCH("Enrolment 0 terverifikasi",'Offshore - Brisbane'!N184)))),1,0)</f>
        <v>0</v>
      </c>
      <c r="M251" s="0" t="n">
        <f aca="false">IF(OR('Offshore - Brisbane'!E184="",ISNUMBER(SEARCH("BSB80120",'Offshore - Brisbane'!B184&amp;'Offshore - Brisbane'!N184)),ISNUMBER(SEARCH("Management (Learning)",'Offshore - Brisbane'!B184))),2,IF(ISNUMBER(SEARCH("CEK:",'Offshore - Brisbane'!N184)),1,0))</f>
        <v>0</v>
      </c>
    </row>
    <row r="252" customFormat="false" ht="15" hidden="false" customHeight="false" outlineLevel="0" collapsed="false">
      <c r="A252" s="63" t="s">
        <v>3563</v>
      </c>
      <c r="B252" s="64" t="s">
        <v>3833</v>
      </c>
      <c r="C252" s="63" t="s">
        <v>42</v>
      </c>
      <c r="D252" s="64" t="str">
        <f aca="false">TRIM(LEFT('Offshore - Brisbane'!A277,FIND(CHAR(10),'Offshore - Brisbane'!A277&amp;CHAR(10))-1))</f>
        <v>Million Brown's College (MBC)</v>
      </c>
      <c r="E252" s="63" t="str">
        <f aca="false">'Offshore - Brisbane'!C278&amp;""</f>
        <v>2,5 years</v>
      </c>
      <c r="F252" s="63" t="str">
        <f aca="false">IF('Offshore - Brisbane'!D278="","Belum tercatat",'Offshore - Brisbane'!D278)</f>
        <v>Term</v>
      </c>
      <c r="G252" s="65" t="n">
        <f aca="false">IF('Offshore - Brisbane'!E278="","-",'Offshore - Brisbane'!E278)</f>
        <v>1625</v>
      </c>
      <c r="H252" s="63" t="n">
        <f aca="false">IF(ISNUMBER(K252),COUNTIFS($J$6:$J$1854,J252,$K$6:$K$1854,"&lt;"&amp;K252)+1,"-")</f>
        <v>3</v>
      </c>
      <c r="I252" s="64" t="str">
        <f aca="false">IF('Offshore - Brisbane'!E278="","Harga belum tersedia - hubungi konsultan TEG",IF(M252=2,"Saat ini tidak menerima pendaftaran siswa internasional baru",IF(M252=1,"Harga perlu dikonfirmasi ke sekolah"&amp;IF(""="","","; "&amp;""),"")))</f>
        <v>Harga perlu dikonfirmasi ke sekolah</v>
      </c>
      <c r="J252" s="0" t="s">
        <v>3848</v>
      </c>
      <c r="K252" s="0" t="n">
        <f aca="false">IF(M252=2,"",IF(ISNUMBER(SEARCH("rata-rata:",'Offshore - Brisbane'!N278)),VALUE(MID('Offshore - Brisbane'!N278,SEARCH("rata-rata:",'Offshore - Brisbane'!N278)+11,FIND(";",'Offshore - Brisbane'!N278&amp;";",SEARCH("rata-rata:",'Offshore - Brisbane'!N278))-SEARCH("rata-rata:",'Offshore - Brisbane'!N278)-11)),IF('Offshore - Brisbane'!D278="Semester",'Offshore - Brisbane'!E278*2,IF('Offshore - Brisbane'!D278="Trimester",'Offshore - Brisbane'!E278*3,IF('Offshore - Brisbane'!D278="Term",'Offshore - Brisbane'!E278*4,IF('Offshore - Brisbane'!D278="Unit",'Offshore - Brisbane'!E278*8,""))))))</f>
        <v>6500</v>
      </c>
      <c r="L252" s="0" t="n">
        <f aca="false">IF(AND(ISNUMBER('Offshore - Brisbane'!E278),ISNUMBER(K252),ISNUMBER('Offshore - Brisbane'!F278),ISNUMBER('Offshore - Brisbane'!G278),OR('Offshore - Brisbane'!F278&lt;&gt;0,ISNUMBER(SEARCH("Material 0 terverifikasi",'Offshore - Brisbane'!N278))),OR('Offshore - Brisbane'!G278&lt;&gt;0,ISNUMBER(SEARCH("Enrolment 0 terverifikasi",'Offshore - Brisbane'!N278)))),1,0)</f>
        <v>1</v>
      </c>
      <c r="M252" s="0" t="n">
        <f aca="false">IF(OR('Offshore - Brisbane'!E278="",ISNUMBER(SEARCH("BSB80120",'Offshore - Brisbane'!B278&amp;'Offshore - Brisbane'!N278)),ISNUMBER(SEARCH("Management (Learning)",'Offshore - Brisbane'!B278))),2,IF(ISNUMBER(SEARCH("CEK:",'Offshore - Brisbane'!N278)),1,0))</f>
        <v>1</v>
      </c>
    </row>
    <row r="253" customFormat="false" ht="28.35" hidden="false" customHeight="false" outlineLevel="0" collapsed="false">
      <c r="A253" s="63" t="s">
        <v>3563</v>
      </c>
      <c r="B253" s="64" t="s">
        <v>3833</v>
      </c>
      <c r="C253" s="63" t="s">
        <v>42</v>
      </c>
      <c r="D253" s="64" t="str">
        <f aca="false">TRIM(LEFT('Offshore - Brisbane'!A22,FIND(CHAR(10),'Offshore - Brisbane'!A22&amp;CHAR(10))-1))</f>
        <v>Albright Institute of Business and Language (AIBL)</v>
      </c>
      <c r="E253" s="63" t="str">
        <f aca="false">'Offshore - Brisbane'!C22&amp;""</f>
        <v>2 years</v>
      </c>
      <c r="F253" s="63" t="str">
        <f aca="false">IF('Offshore - Brisbane'!D22="","Belum tercatat",'Offshore - Brisbane'!D22)</f>
        <v>Term</v>
      </c>
      <c r="G253" s="65" t="n">
        <f aca="false">IF('Offshore - Brisbane'!E22="","-",'Offshore - Brisbane'!E22)</f>
        <v>2000</v>
      </c>
      <c r="H253" s="63" t="n">
        <f aca="false">IF(ISNUMBER(K253),COUNTIFS($J$6:$J$1854,J253,$K$6:$K$1854,"&lt;"&amp;K253)+1,"-")</f>
        <v>4</v>
      </c>
      <c r="I253" s="64" t="str">
        <f aca="false">IF('Offshore - Brisbane'!E22="","Harga belum tersedia - hubungi konsultan TEG",IF(M253=2,"Saat ini tidak menerima pendaftaran siswa internasional baru",IF(M253=1,"Harga perlu dikonfirmasi ke sekolah"&amp;IF(""="","","; "&amp;""),"")))</f>
        <v/>
      </c>
      <c r="J253" s="0" t="s">
        <v>3848</v>
      </c>
      <c r="K253" s="0" t="n">
        <f aca="false">IF(M253=2,"",IF(ISNUMBER(SEARCH("rata-rata:",'Offshore - Brisbane'!N22)),VALUE(MID('Offshore - Brisbane'!N22,SEARCH("rata-rata:",'Offshore - Brisbane'!N22)+11,FIND(";",'Offshore - Brisbane'!N22&amp;";",SEARCH("rata-rata:",'Offshore - Brisbane'!N22))-SEARCH("rata-rata:",'Offshore - Brisbane'!N22)-11)),IF('Offshore - Brisbane'!D22="Semester",'Offshore - Brisbane'!E22*2,IF('Offshore - Brisbane'!D22="Trimester",'Offshore - Brisbane'!E22*3,IF('Offshore - Brisbane'!D22="Term",'Offshore - Brisbane'!E22*4,IF('Offshore - Brisbane'!D22="Unit",'Offshore - Brisbane'!E22*8,""))))))</f>
        <v>8000</v>
      </c>
      <c r="L253" s="0" t="n">
        <f aca="false">IF(AND(ISNUMBER('Offshore - Brisbane'!E22),ISNUMBER(K253),ISNUMBER('Offshore - Brisbane'!F22),ISNUMBER('Offshore - Brisbane'!G22),OR('Offshore - Brisbane'!F22&lt;&gt;0,ISNUMBER(SEARCH("Material 0 terverifikasi",'Offshore - Brisbane'!N22))),OR('Offshore - Brisbane'!G22&lt;&gt;0,ISNUMBER(SEARCH("Enrolment 0 terverifikasi",'Offshore - Brisbane'!N22)))),1,0)</f>
        <v>1</v>
      </c>
      <c r="M253" s="0" t="n">
        <f aca="false">IF(OR('Offshore - Brisbane'!E22="",ISNUMBER(SEARCH("BSB80120",'Offshore - Brisbane'!B22&amp;'Offshore - Brisbane'!N22)),ISNUMBER(SEARCH("Management (Learning)",'Offshore - Brisbane'!B22))),2,IF(ISNUMBER(SEARCH("CEK:",'Offshore - Brisbane'!N22)),1,0))</f>
        <v>0</v>
      </c>
    </row>
    <row r="254" customFormat="false" ht="15" hidden="false" customHeight="false" outlineLevel="0" collapsed="false">
      <c r="A254" s="63" t="s">
        <v>3563</v>
      </c>
      <c r="B254" s="64" t="s">
        <v>3833</v>
      </c>
      <c r="C254" s="63" t="s">
        <v>42</v>
      </c>
      <c r="D254" s="64" t="str">
        <f aca="false">TRIM(LEFT('Offshore - Brisbane'!A245,FIND(CHAR(10),'Offshore - Brisbane'!A245&amp;CHAR(10))-1))</f>
        <v>Imperial Institute of Sydney (IIS)</v>
      </c>
      <c r="E254" s="63" t="str">
        <f aca="false">'Offshore - Brisbane'!C248&amp;""</f>
        <v>3 years</v>
      </c>
      <c r="F254" s="63" t="str">
        <f aca="false">IF('Offshore - Brisbane'!D248="","Belum tercatat",'Offshore - Brisbane'!D248)</f>
        <v>Term</v>
      </c>
      <c r="G254" s="65" t="n">
        <f aca="false">IF('Offshore - Brisbane'!E248="","-",'Offshore - Brisbane'!E248)</f>
        <v>2000</v>
      </c>
      <c r="H254" s="63" t="n">
        <f aca="false">IF(ISNUMBER(K254),COUNTIFS($J$6:$J$1854,J254,$K$6:$K$1854,"&lt;"&amp;K254)+1,"-")</f>
        <v>4</v>
      </c>
      <c r="I254" s="64" t="str">
        <f aca="false">IF('Offshore - Brisbane'!E248="","Harga belum tersedia - hubungi konsultan TEG",IF(M254=2,"Saat ini tidak menerima pendaftaran siswa internasional baru",IF(M254=1,"Program perlu dikonfirmasi ketersediaannya"&amp;IF(""="","","; "&amp;""),"")))</f>
        <v>Program perlu dikonfirmasi ketersediaannya</v>
      </c>
      <c r="J254" s="0" t="s">
        <v>3848</v>
      </c>
      <c r="K254" s="0" t="n">
        <f aca="false">IF(M254=2,"",IF(ISNUMBER(SEARCH("rata-rata:",'Offshore - Brisbane'!N248)),VALUE(MID('Offshore - Brisbane'!N248,SEARCH("rata-rata:",'Offshore - Brisbane'!N248)+11,FIND(";",'Offshore - Brisbane'!N248&amp;";",SEARCH("rata-rata:",'Offshore - Brisbane'!N248))-SEARCH("rata-rata:",'Offshore - Brisbane'!N248)-11)),IF('Offshore - Brisbane'!D248="Semester",'Offshore - Brisbane'!E248*2,IF('Offshore - Brisbane'!D248="Trimester",'Offshore - Brisbane'!E248*3,IF('Offshore - Brisbane'!D248="Term",'Offshore - Brisbane'!E248*4,IF('Offshore - Brisbane'!D248="Unit",'Offshore - Brisbane'!E248*8,""))))))</f>
        <v>8000</v>
      </c>
      <c r="L254" s="0" t="n">
        <f aca="false">IF(AND(ISNUMBER('Offshore - Brisbane'!E248),ISNUMBER(K254),ISNUMBER('Offshore - Brisbane'!F248),ISNUMBER('Offshore - Brisbane'!G248),OR('Offshore - Brisbane'!F248&lt;&gt;0,ISNUMBER(SEARCH("Material 0 terverifikasi",'Offshore - Brisbane'!N248))),OR('Offshore - Brisbane'!G248&lt;&gt;0,ISNUMBER(SEARCH("Enrolment 0 terverifikasi",'Offshore - Brisbane'!N248)))),1,0)</f>
        <v>0</v>
      </c>
      <c r="M254" s="0" t="n">
        <f aca="false">IF(OR('Offshore - Brisbane'!E248="",ISNUMBER(SEARCH("BSB80120",'Offshore - Brisbane'!B248&amp;'Offshore - Brisbane'!N248)),ISNUMBER(SEARCH("Management (Learning)",'Offshore - Brisbane'!B248))),2,IF(ISNUMBER(SEARCH("CEK:",'Offshore - Brisbane'!N248)),1,0))</f>
        <v>1</v>
      </c>
    </row>
    <row r="255" customFormat="false" ht="15" hidden="false" customHeight="false" outlineLevel="0" collapsed="false">
      <c r="A255" s="63" t="s">
        <v>3563</v>
      </c>
      <c r="B255" s="64" t="s">
        <v>3833</v>
      </c>
      <c r="C255" s="63" t="s">
        <v>42</v>
      </c>
      <c r="D255" s="64" t="str">
        <f aca="false">TRIM(LEFT('Offshore - Brisbane'!A169,FIND(CHAR(10),'Offshore - Brisbane'!A169&amp;CHAR(10))-1))</f>
        <v>Cambridge College</v>
      </c>
      <c r="E255" s="63" t="str">
        <f aca="false">'Offshore - Brisbane'!C172&amp;""</f>
        <v>2 years</v>
      </c>
      <c r="F255" s="63" t="str">
        <f aca="false">IF('Offshore - Brisbane'!D172="","Belum tercatat",'Offshore - Brisbane'!D172)</f>
        <v>Term</v>
      </c>
      <c r="G255" s="65" t="n">
        <f aca="false">IF('Offshore - Brisbane'!E172="","-",'Offshore - Brisbane'!E172)</f>
        <v>2250</v>
      </c>
      <c r="H255" s="63" t="n">
        <f aca="false">IF(ISNUMBER(K255),COUNTIFS($J$6:$J$1854,J255,$K$6:$K$1854,"&lt;"&amp;K255)+1,"-")</f>
        <v>6</v>
      </c>
      <c r="I255" s="64" t="str">
        <f aca="false">IF('Offshore - Brisbane'!E172="","Harga belum tersedia - hubungi konsultan TEG",IF(M255=2,"Saat ini tidak menerima pendaftaran siswa internasional baru",IF(M255=1,"Program perlu dikonfirmasi ketersediaannya"&amp;IF(""="","","; "&amp;""),"")))</f>
        <v>Program perlu dikonfirmasi ketersediaannya</v>
      </c>
      <c r="J255" s="0" t="s">
        <v>3848</v>
      </c>
      <c r="K255" s="0" t="n">
        <f aca="false">IF(M255=2,"",IF(ISNUMBER(SEARCH("rata-rata:",'Offshore - Brisbane'!N172)),VALUE(MID('Offshore - Brisbane'!N172,SEARCH("rata-rata:",'Offshore - Brisbane'!N172)+11,FIND(";",'Offshore - Brisbane'!N172&amp;";",SEARCH("rata-rata:",'Offshore - Brisbane'!N172))-SEARCH("rata-rata:",'Offshore - Brisbane'!N172)-11)),IF('Offshore - Brisbane'!D172="Semester",'Offshore - Brisbane'!E172*2,IF('Offshore - Brisbane'!D172="Trimester",'Offshore - Brisbane'!E172*3,IF('Offshore - Brisbane'!D172="Term",'Offshore - Brisbane'!E172*4,IF('Offshore - Brisbane'!D172="Unit",'Offshore - Brisbane'!E172*8,""))))))</f>
        <v>9000</v>
      </c>
      <c r="L255" s="0" t="n">
        <f aca="false">IF(AND(ISNUMBER('Offshore - Brisbane'!E172),ISNUMBER(K255),ISNUMBER('Offshore - Brisbane'!F172),ISNUMBER('Offshore - Brisbane'!G172),OR('Offshore - Brisbane'!F172&lt;&gt;0,ISNUMBER(SEARCH("Material 0 terverifikasi",'Offshore - Brisbane'!N172))),OR('Offshore - Brisbane'!G172&lt;&gt;0,ISNUMBER(SEARCH("Enrolment 0 terverifikasi",'Offshore - Brisbane'!N172)))),1,0)</f>
        <v>1</v>
      </c>
      <c r="M255" s="0" t="n">
        <f aca="false">IF(OR('Offshore - Brisbane'!E172="",ISNUMBER(SEARCH("BSB80120",'Offshore - Brisbane'!B172&amp;'Offshore - Brisbane'!N172)),ISNUMBER(SEARCH("Management (Learning)",'Offshore - Brisbane'!B172))),2,IF(ISNUMBER(SEARCH("CEK:",'Offshore - Brisbane'!N172)),1,0))</f>
        <v>1</v>
      </c>
    </row>
    <row r="256" customFormat="false" ht="15" hidden="false" customHeight="false" outlineLevel="0" collapsed="false">
      <c r="A256" s="63" t="s">
        <v>3563</v>
      </c>
      <c r="B256" s="64" t="s">
        <v>3833</v>
      </c>
      <c r="C256" s="63" t="s">
        <v>42</v>
      </c>
      <c r="D256" s="64" t="str">
        <f aca="false">TRIM(LEFT('Offshore - Brisbane'!A161,FIND(CHAR(10),'Offshore - Brisbane'!A161&amp;CHAR(10))-1))</f>
        <v>Australian Skills Management Institute (ASMI)</v>
      </c>
      <c r="E256" s="63" t="str">
        <f aca="false">'Offshore - Brisbane'!C165&amp;""</f>
        <v>2 years</v>
      </c>
      <c r="F256" s="63" t="str">
        <f aca="false">IF('Offshore - Brisbane'!D165="","Belum tercatat",'Offshore - Brisbane'!D165)</f>
        <v>Term</v>
      </c>
      <c r="G256" s="65" t="n">
        <f aca="false">IF('Offshore - Brisbane'!E165="","-",'Offshore - Brisbane'!E165)</f>
        <v>2300</v>
      </c>
      <c r="H256" s="63" t="n">
        <f aca="false">IF(ISNUMBER(K256),COUNTIFS($J$6:$J$1854,J256,$K$6:$K$1854,"&lt;"&amp;K256)+1,"-")</f>
        <v>7</v>
      </c>
      <c r="I256" s="64" t="str">
        <f aca="false">IF('Offshore - Brisbane'!E165="","Harga belum tersedia - hubungi konsultan TEG",IF(M256=2,"Saat ini tidak menerima pendaftaran siswa internasional baru",IF(M256=1,"Harga perlu dikonfirmasi ke sekolah"&amp;IF(""="","","; "&amp;""),"")))</f>
        <v/>
      </c>
      <c r="J256" s="0" t="s">
        <v>3848</v>
      </c>
      <c r="K256" s="0" t="n">
        <f aca="false">IF(M256=2,"",IF(ISNUMBER(SEARCH("rata-rata:",'Offshore - Brisbane'!N165)),VALUE(MID('Offshore - Brisbane'!N165,SEARCH("rata-rata:",'Offshore - Brisbane'!N165)+11,FIND(";",'Offshore - Brisbane'!N165&amp;";",SEARCH("rata-rata:",'Offshore - Brisbane'!N165))-SEARCH("rata-rata:",'Offshore - Brisbane'!N165)-11)),IF('Offshore - Brisbane'!D165="Semester",'Offshore - Brisbane'!E165*2,IF('Offshore - Brisbane'!D165="Trimester",'Offshore - Brisbane'!E165*3,IF('Offshore - Brisbane'!D165="Term",'Offshore - Brisbane'!E165*4,IF('Offshore - Brisbane'!D165="Unit",'Offshore - Brisbane'!E165*8,""))))))</f>
        <v>9200</v>
      </c>
      <c r="L256" s="0" t="n">
        <f aca="false">IF(AND(ISNUMBER('Offshore - Brisbane'!E165),ISNUMBER(K256),ISNUMBER('Offshore - Brisbane'!F165),ISNUMBER('Offshore - Brisbane'!G165),OR('Offshore - Brisbane'!F165&lt;&gt;0,ISNUMBER(SEARCH("Material 0 terverifikasi",'Offshore - Brisbane'!N165))),OR('Offshore - Brisbane'!G165&lt;&gt;0,ISNUMBER(SEARCH("Enrolment 0 terverifikasi",'Offshore - Brisbane'!N165)))),1,0)</f>
        <v>1</v>
      </c>
      <c r="M256" s="0" t="n">
        <f aca="false">IF(OR('Offshore - Brisbane'!E165="",ISNUMBER(SEARCH("BSB80120",'Offshore - Brisbane'!B165&amp;'Offshore - Brisbane'!N165)),ISNUMBER(SEARCH("Management (Learning)",'Offshore - Brisbane'!B165))),2,IF(ISNUMBER(SEARCH("CEK:",'Offshore - Brisbane'!N165)),1,0))</f>
        <v>0</v>
      </c>
    </row>
    <row r="257" customFormat="false" ht="15" hidden="false" customHeight="false" outlineLevel="0" collapsed="false">
      <c r="A257" s="63" t="s">
        <v>3563</v>
      </c>
      <c r="B257" s="64" t="s">
        <v>3833</v>
      </c>
      <c r="C257" s="63" t="s">
        <v>42</v>
      </c>
      <c r="D257" s="64" t="str">
        <f aca="false">TRIM(LEFT('Offshore - Brisbane'!A26,FIND(CHAR(10),'Offshore - Brisbane'!A26&amp;CHAR(10))-1))</f>
        <v>American College</v>
      </c>
      <c r="E257" s="63" t="str">
        <f aca="false">'Offshore - Brisbane'!C26&amp;""</f>
        <v>3 years</v>
      </c>
      <c r="F257" s="63" t="str">
        <f aca="false">IF('Offshore - Brisbane'!D26="","Belum tercatat",'Offshore - Brisbane'!D26)</f>
        <v>Term</v>
      </c>
      <c r="G257" s="65" t="n">
        <f aca="false">IF('Offshore - Brisbane'!E26="","-",'Offshore - Brisbane'!E26)</f>
        <v>2350</v>
      </c>
      <c r="H257" s="63" t="n">
        <f aca="false">IF(ISNUMBER(K257),COUNTIFS($J$6:$J$1854,J257,$K$6:$K$1854,"&lt;"&amp;K257)+1,"-")</f>
        <v>8</v>
      </c>
      <c r="I257" s="64" t="str">
        <f aca="false">IF('Offshore - Brisbane'!E26="","Harga belum tersedia - hubungi konsultan TEG",IF(M257=2,"Saat ini tidak menerima pendaftaran siswa internasional baru",IF(M257=1,"Harga perlu dikonfirmasi ke sekolah"&amp;IF(""="","","; "&amp;""),"")))</f>
        <v/>
      </c>
      <c r="J257" s="0" t="s">
        <v>3848</v>
      </c>
      <c r="K257" s="0" t="n">
        <f aca="false">IF(M257=2,"",IF(ISNUMBER(SEARCH("rata-rata:",'Offshore - Brisbane'!N26)),VALUE(MID('Offshore - Brisbane'!N26,SEARCH("rata-rata:",'Offshore - Brisbane'!N26)+11,FIND(";",'Offshore - Brisbane'!N26&amp;";",SEARCH("rata-rata:",'Offshore - Brisbane'!N26))-SEARCH("rata-rata:",'Offshore - Brisbane'!N26)-11)),IF('Offshore - Brisbane'!D26="Semester",'Offshore - Brisbane'!E26*2,IF('Offshore - Brisbane'!D26="Trimester",'Offshore - Brisbane'!E26*3,IF('Offshore - Brisbane'!D26="Term",'Offshore - Brisbane'!E26*4,IF('Offshore - Brisbane'!D26="Unit",'Offshore - Brisbane'!E26*8,""))))))</f>
        <v>9400</v>
      </c>
      <c r="L257" s="0" t="n">
        <f aca="false">IF(AND(ISNUMBER('Offshore - Brisbane'!E26),ISNUMBER(K257),ISNUMBER('Offshore - Brisbane'!F26),ISNUMBER('Offshore - Brisbane'!G26),OR('Offshore - Brisbane'!F26&lt;&gt;0,ISNUMBER(SEARCH("Material 0 terverifikasi",'Offshore - Brisbane'!N26))),OR('Offshore - Brisbane'!G26&lt;&gt;0,ISNUMBER(SEARCH("Enrolment 0 terverifikasi",'Offshore - Brisbane'!N26)))),1,0)</f>
        <v>1</v>
      </c>
      <c r="M257" s="0" t="n">
        <f aca="false">IF(OR('Offshore - Brisbane'!E26="",ISNUMBER(SEARCH("BSB80120",'Offshore - Brisbane'!B26&amp;'Offshore - Brisbane'!N26)),ISNUMBER(SEARCH("Management (Learning)",'Offshore - Brisbane'!B26))),2,IF(ISNUMBER(SEARCH("CEK:",'Offshore - Brisbane'!N26)),1,0))</f>
        <v>0</v>
      </c>
    </row>
    <row r="258" customFormat="false" ht="15" hidden="false" customHeight="false" outlineLevel="0" collapsed="false">
      <c r="A258" s="63" t="s">
        <v>3563</v>
      </c>
      <c r="B258" s="64" t="s">
        <v>3833</v>
      </c>
      <c r="C258" s="63" t="s">
        <v>42</v>
      </c>
      <c r="D258" s="64" t="str">
        <f aca="false">TRIM(LEFT('Offshore - Brisbane'!A297,FIND(CHAR(10),'Offshore - Brisbane'!A297&amp;CHAR(10))-1))</f>
        <v>Skills Institute Australia</v>
      </c>
      <c r="E258" s="63" t="str">
        <f aca="false">'Offshore - Brisbane'!C306&amp;""</f>
        <v>2 years</v>
      </c>
      <c r="F258" s="63" t="str">
        <f aca="false">IF('Offshore - Brisbane'!D306="","Belum tercatat",'Offshore - Brisbane'!D306)</f>
        <v>Term</v>
      </c>
      <c r="G258" s="65" t="n">
        <f aca="false">IF('Offshore - Brisbane'!E306="","-",'Offshore - Brisbane'!E306)</f>
        <v>2600</v>
      </c>
      <c r="H258" s="63" t="n">
        <f aca="false">IF(ISNUMBER(K258),COUNTIFS($J$6:$J$1854,J258,$K$6:$K$1854,"&lt;"&amp;K258)+1,"-")</f>
        <v>9</v>
      </c>
      <c r="I258" s="64" t="str">
        <f aca="false">IF('Offshore - Brisbane'!E306="","Harga belum tersedia - hubungi konsultan TEG",IF(M258=2,"Saat ini tidak menerima pendaftaran siswa internasional baru",IF(M258=1,"Harga perlu dikonfirmasi ke sekolah"&amp;IF(""="","","; "&amp;""),"")))</f>
        <v/>
      </c>
      <c r="J258" s="0" t="s">
        <v>3848</v>
      </c>
      <c r="K258" s="0" t="n">
        <f aca="false">IF(M258=2,"",IF(ISNUMBER(SEARCH("rata-rata:",'Offshore - Brisbane'!N306)),VALUE(MID('Offshore - Brisbane'!N306,SEARCH("rata-rata:",'Offshore - Brisbane'!N306)+11,FIND(";",'Offshore - Brisbane'!N306&amp;";",SEARCH("rata-rata:",'Offshore - Brisbane'!N306))-SEARCH("rata-rata:",'Offshore - Brisbane'!N306)-11)),IF('Offshore - Brisbane'!D306="Semester",'Offshore - Brisbane'!E306*2,IF('Offshore - Brisbane'!D306="Trimester",'Offshore - Brisbane'!E306*3,IF('Offshore - Brisbane'!D306="Term",'Offshore - Brisbane'!E306*4,IF('Offshore - Brisbane'!D306="Unit",'Offshore - Brisbane'!E306*8,""))))))</f>
        <v>10400</v>
      </c>
      <c r="L258" s="0" t="n">
        <f aca="false">IF(AND(ISNUMBER('Offshore - Brisbane'!E306),ISNUMBER(K258),ISNUMBER('Offshore - Brisbane'!F306),ISNUMBER('Offshore - Brisbane'!G306),OR('Offshore - Brisbane'!F306&lt;&gt;0,ISNUMBER(SEARCH("Material 0 terverifikasi",'Offshore - Brisbane'!N306))),OR('Offshore - Brisbane'!G306&lt;&gt;0,ISNUMBER(SEARCH("Enrolment 0 terverifikasi",'Offshore - Brisbane'!N306)))),1,0)</f>
        <v>1</v>
      </c>
      <c r="M258" s="0" t="n">
        <f aca="false">IF(OR('Offshore - Brisbane'!E306="",ISNUMBER(SEARCH("BSB80120",'Offshore - Brisbane'!B306&amp;'Offshore - Brisbane'!N306)),ISNUMBER(SEARCH("Management (Learning)",'Offshore - Brisbane'!B306))),2,IF(ISNUMBER(SEARCH("CEK:",'Offshore - Brisbane'!N306)),1,0))</f>
        <v>0</v>
      </c>
    </row>
    <row r="259" customFormat="false" ht="15" hidden="false" customHeight="false" outlineLevel="0" collapsed="false">
      <c r="A259" s="61" t="s">
        <v>3849</v>
      </c>
      <c r="B259" s="62"/>
      <c r="C259" s="62"/>
      <c r="D259" s="62"/>
      <c r="E259" s="62"/>
      <c r="F259" s="62"/>
      <c r="G259" s="62"/>
      <c r="H259" s="62"/>
      <c r="I259" s="62"/>
    </row>
    <row r="260" customFormat="false" ht="15" hidden="false" customHeight="false" outlineLevel="0" collapsed="false">
      <c r="A260" s="63" t="s">
        <v>3563</v>
      </c>
      <c r="B260" s="64" t="s">
        <v>3833</v>
      </c>
      <c r="C260" s="63" t="s">
        <v>43</v>
      </c>
      <c r="D260" s="64" t="str">
        <f aca="false">TRIM(LEFT('Offshore - Brisbane'!A33,FIND(CHAR(10),'Offshore - Brisbane'!A33&amp;CHAR(10))-1))</f>
        <v>Asia Pacific International College (APIC)</v>
      </c>
      <c r="E260" s="63" t="str">
        <f aca="false">'Offshore - Brisbane'!C36&amp;""</f>
        <v>3 years</v>
      </c>
      <c r="F260" s="63" t="str">
        <f aca="false">IF('Offshore - Brisbane'!D36="","Belum tercatat",'Offshore - Brisbane'!D36)</f>
        <v>Trimester</v>
      </c>
      <c r="G260" s="65" t="n">
        <f aca="false">IF('Offshore - Brisbane'!E36="","-",'Offshore - Brisbane'!E36)</f>
        <v>4500</v>
      </c>
      <c r="H260" s="63" t="n">
        <f aca="false">IF(ISNUMBER(K260),COUNTIFS($J$6:$J$1854,J260,$K$6:$K$1854,"&lt;"&amp;K260)+1,"-")</f>
        <v>1</v>
      </c>
      <c r="I260" s="64" t="str">
        <f aca="false">IF('Offshore - Brisbane'!E36="","Harga belum tersedia - hubungi konsultan TEG",IF(M260=2,"Saat ini tidak menerima pendaftaran siswa internasional baru",IF(M260=1,"Harga perlu dikonfirmasi ke sekolah"&amp;IF("Harga promo s.d. 31/12/2026"="","","; "&amp;"Harga promo s.d. 31/12/2026"),"Harga promo s.d. 31/12/2026")))</f>
        <v>Harga promo s.d. 31/12/2026</v>
      </c>
      <c r="J260" s="0" t="s">
        <v>3850</v>
      </c>
      <c r="K260" s="0" t="n">
        <f aca="false">IF(M260=2,"",IF(ISNUMBER(SEARCH("rata-rata:",'Offshore - Brisbane'!N36)),VALUE(MID('Offshore - Brisbane'!N36,SEARCH("rata-rata:",'Offshore - Brisbane'!N36)+11,FIND(";",'Offshore - Brisbane'!N36&amp;";",SEARCH("rata-rata:",'Offshore - Brisbane'!N36))-SEARCH("rata-rata:",'Offshore - Brisbane'!N36)-11)),IF('Offshore - Brisbane'!D36="Semester",'Offshore - Brisbane'!E36*2,IF('Offshore - Brisbane'!D36="Trimester",'Offshore - Brisbane'!E36*3,IF('Offshore - Brisbane'!D36="Term",'Offshore - Brisbane'!E36*4,IF('Offshore - Brisbane'!D36="Unit",'Offshore - Brisbane'!E36*8,""))))))</f>
        <v>13500</v>
      </c>
      <c r="L260" s="0" t="n">
        <f aca="false">IF(AND(ISNUMBER('Offshore - Brisbane'!E36),ISNUMBER(K260),ISNUMBER('Offshore - Brisbane'!F36),ISNUMBER('Offshore - Brisbane'!G36),OR('Offshore - Brisbane'!F36&lt;&gt;0,ISNUMBER(SEARCH("Material 0 terverifikasi",'Offshore - Brisbane'!N36))),OR('Offshore - Brisbane'!G36&lt;&gt;0,ISNUMBER(SEARCH("Enrolment 0 terverifikasi",'Offshore - Brisbane'!N36)))),1,0)</f>
        <v>0</v>
      </c>
      <c r="M260" s="0" t="n">
        <f aca="false">IF(OR('Offshore - Brisbane'!E36="",ISNUMBER(SEARCH("BSB80120",'Offshore - Brisbane'!B36&amp;'Offshore - Brisbane'!N36)),ISNUMBER(SEARCH("Management (Learning)",'Offshore - Brisbane'!B36))),2,IF(ISNUMBER(SEARCH("CEK:",'Offshore - Brisbane'!N36)),1,0))</f>
        <v>0</v>
      </c>
    </row>
    <row r="261" customFormat="false" ht="15" hidden="false" customHeight="false" outlineLevel="0" collapsed="false">
      <c r="A261" s="63" t="s">
        <v>3563</v>
      </c>
      <c r="B261" s="64" t="s">
        <v>3833</v>
      </c>
      <c r="C261" s="63" t="s">
        <v>43</v>
      </c>
      <c r="D261" s="64" t="str">
        <f aca="false">TRIM(LEFT('Offshore - Brisbane'!A8,FIND(CHAR(10),'Offshore - Brisbane'!A8&amp;CHAR(10))-1))</f>
        <v>AIBI Higher Education</v>
      </c>
      <c r="E261" s="63" t="str">
        <f aca="false">'Offshore - Brisbane'!C9&amp;""</f>
        <v>3 years</v>
      </c>
      <c r="F261" s="63" t="str">
        <f aca="false">IF('Offshore - Brisbane'!D9="","Belum tercatat",'Offshore - Brisbane'!D9)</f>
        <v>Term</v>
      </c>
      <c r="G261" s="65" t="n">
        <f aca="false">IF('Offshore - Brisbane'!E9="","-",'Offshore - Brisbane'!E9)</f>
        <v>4995</v>
      </c>
      <c r="H261" s="63" t="n">
        <f aca="false">IF(ISNUMBER(K261),COUNTIFS($J$6:$J$1854,J261,$K$6:$K$1854,"&lt;"&amp;K261)+1,"-")</f>
        <v>2</v>
      </c>
      <c r="I261" s="64" t="str">
        <f aca="false">IF('Offshore - Brisbane'!E9="","Harga belum tersedia - hubungi konsultan TEG",IF(M261=2,"Saat ini tidak menerima pendaftaran siswa internasional baru",IF(M261=1,"Harga perlu dikonfirmasi ke sekolah"&amp;IF(""="","","; "&amp;""),"")))</f>
        <v>Harga perlu dikonfirmasi ke sekolah</v>
      </c>
      <c r="J261" s="0" t="s">
        <v>3850</v>
      </c>
      <c r="K261" s="0" t="n">
        <f aca="false">IF(M261=2,"",IF(ISNUMBER(SEARCH("rata-rata:",'Offshore - Brisbane'!N9)),VALUE(MID('Offshore - Brisbane'!N9,SEARCH("rata-rata:",'Offshore - Brisbane'!N9)+11,FIND(";",'Offshore - Brisbane'!N9&amp;";",SEARCH("rata-rata:",'Offshore - Brisbane'!N9))-SEARCH("rata-rata:",'Offshore - Brisbane'!N9)-11)),IF('Offshore - Brisbane'!D9="Semester",'Offshore - Brisbane'!E9*2,IF('Offshore - Brisbane'!D9="Trimester",'Offshore - Brisbane'!E9*3,IF('Offshore - Brisbane'!D9="Term",'Offshore - Brisbane'!E9*4,IF('Offshore - Brisbane'!D9="Unit",'Offshore - Brisbane'!E9*8,""))))))</f>
        <v>19980</v>
      </c>
      <c r="L261" s="0" t="n">
        <f aca="false">IF(AND(ISNUMBER('Offshore - Brisbane'!E9),ISNUMBER(K261),ISNUMBER('Offshore - Brisbane'!F9),ISNUMBER('Offshore - Brisbane'!G9),OR('Offshore - Brisbane'!F9&lt;&gt;0,ISNUMBER(SEARCH("Material 0 terverifikasi",'Offshore - Brisbane'!N9))),OR('Offshore - Brisbane'!G9&lt;&gt;0,ISNUMBER(SEARCH("Enrolment 0 terverifikasi",'Offshore - Brisbane'!N9)))),1,0)</f>
        <v>0</v>
      </c>
      <c r="M261" s="0" t="n">
        <f aca="false">IF(OR('Offshore - Brisbane'!E9="",ISNUMBER(SEARCH("BSB80120",'Offshore - Brisbane'!B9&amp;'Offshore - Brisbane'!N9)),ISNUMBER(SEARCH("Management (Learning)",'Offshore - Brisbane'!B9))),2,IF(ISNUMBER(SEARCH("CEK:",'Offshore - Brisbane'!N9)),1,0))</f>
        <v>1</v>
      </c>
    </row>
    <row r="262" customFormat="false" ht="15" hidden="false" customHeight="false" outlineLevel="0" collapsed="false">
      <c r="A262" s="63" t="s">
        <v>3563</v>
      </c>
      <c r="B262" s="64" t="s">
        <v>3833</v>
      </c>
      <c r="C262" s="63" t="s">
        <v>43</v>
      </c>
      <c r="D262" s="64" t="str">
        <f aca="false">TRIM(LEFT('Offshore - Brisbane'!A308,FIND(CHAR(10),'Offshore - Brisbane'!A308&amp;CHAR(10))-1))</f>
        <v>Torrens University Australia</v>
      </c>
      <c r="E262" s="63" t="str">
        <f aca="false">'Offshore - Brisbane'!C309&amp;""</f>
        <v>3 years</v>
      </c>
      <c r="F262" s="63" t="str">
        <f aca="false">IF('Offshore - Brisbane'!D309="","Belum tercatat",'Offshore - Brisbane'!D309)</f>
        <v>Term</v>
      </c>
      <c r="G262" s="65" t="n">
        <f aca="false">IF('Offshore - Brisbane'!E309="","-",'Offshore - Brisbane'!E309)</f>
        <v>7900</v>
      </c>
      <c r="H262" s="63" t="n">
        <f aca="false">IF(ISNUMBER(K262),COUNTIFS($J$6:$J$1854,J262,$K$6:$K$1854,"&lt;"&amp;K262)+1,"-")</f>
        <v>3</v>
      </c>
      <c r="I262" s="64" t="str">
        <f aca="false">IF('Offshore - Brisbane'!E309="","Harga belum tersedia - hubungi konsultan TEG",IF(M262=2,"Saat ini tidak menerima pendaftaran siswa internasional baru",IF(M262=1,"Harga perlu dikonfirmasi ke sekolah"&amp;IF(""="","","; "&amp;""),"")))</f>
        <v/>
      </c>
      <c r="J262" s="0" t="s">
        <v>3850</v>
      </c>
      <c r="K262" s="0" t="n">
        <f aca="false">IF(M262=2,"",IF(ISNUMBER(SEARCH("rata-rata:",'Offshore - Brisbane'!N309)),VALUE(MID('Offshore - Brisbane'!N309,SEARCH("rata-rata:",'Offshore - Brisbane'!N309)+11,FIND(";",'Offshore - Brisbane'!N309&amp;";",SEARCH("rata-rata:",'Offshore - Brisbane'!N309))-SEARCH("rata-rata:",'Offshore - Brisbane'!N309)-11)),IF('Offshore - Brisbane'!D309="Semester",'Offshore - Brisbane'!E309*2,IF('Offshore - Brisbane'!D309="Trimester",'Offshore - Brisbane'!E309*3,IF('Offshore - Brisbane'!D309="Term",'Offshore - Brisbane'!E309*4,IF('Offshore - Brisbane'!D309="Unit",'Offshore - Brisbane'!E309*8,""))))))</f>
        <v>31600</v>
      </c>
      <c r="L262" s="0" t="n">
        <f aca="false">IF(AND(ISNUMBER('Offshore - Brisbane'!E309),ISNUMBER(K262),ISNUMBER('Offshore - Brisbane'!F309),ISNUMBER('Offshore - Brisbane'!G309),OR('Offshore - Brisbane'!F309&lt;&gt;0,ISNUMBER(SEARCH("Material 0 terverifikasi",'Offshore - Brisbane'!N309))),OR('Offshore - Brisbane'!G309&lt;&gt;0,ISNUMBER(SEARCH("Enrolment 0 terverifikasi",'Offshore - Brisbane'!N309)))),1,0)</f>
        <v>0</v>
      </c>
      <c r="M262" s="0" t="n">
        <f aca="false">IF(OR('Offshore - Brisbane'!E309="",ISNUMBER(SEARCH("BSB80120",'Offshore - Brisbane'!B309&amp;'Offshore - Brisbane'!N309)),ISNUMBER(SEARCH("Management (Learning)",'Offshore - Brisbane'!B309))),2,IF(ISNUMBER(SEARCH("CEK:",'Offshore - Brisbane'!N309)),1,0))</f>
        <v>0</v>
      </c>
    </row>
    <row r="263" customFormat="false" ht="15" hidden="false" customHeight="false" outlineLevel="0" collapsed="false">
      <c r="A263" s="63" t="s">
        <v>3563</v>
      </c>
      <c r="B263" s="64" t="s">
        <v>3833</v>
      </c>
      <c r="C263" s="63" t="s">
        <v>43</v>
      </c>
      <c r="D263" s="64" t="str">
        <f aca="false">TRIM(LEFT('Offshore - Brisbane'!A250,FIND(CHAR(10),'Offshore - Brisbane'!A250&amp;CHAR(10))-1))</f>
        <v>Kaplan Business School</v>
      </c>
      <c r="E263" s="63" t="str">
        <f aca="false">'Offshore - Brisbane'!C251&amp;""</f>
        <v>3 years</v>
      </c>
      <c r="F263" s="63" t="str">
        <f aca="false">IF('Offshore - Brisbane'!D251="","Belum tercatat",'Offshore - Brisbane'!D251)</f>
        <v>Trimester</v>
      </c>
      <c r="G263" s="65" t="n">
        <f aca="false">IF('Offshore - Brisbane'!E251="","-",'Offshore - Brisbane'!E251)</f>
        <v>11520</v>
      </c>
      <c r="H263" s="63" t="n">
        <f aca="false">IF(ISNUMBER(K263),COUNTIFS($J$6:$J$1854,J263,$K$6:$K$1854,"&lt;"&amp;K263)+1,"-")</f>
        <v>4</v>
      </c>
      <c r="I263" s="64" t="str">
        <f aca="false">IF('Offshore - Brisbane'!E251="","Harga belum tersedia - hubungi konsultan TEG",IF(M263=2,"Saat ini tidak menerima pendaftaran siswa internasional baru",IF(M263=1,"Harga perlu dikonfirmasi ke sekolah"&amp;IF(""="","","; "&amp;""),"")))</f>
        <v>Harga perlu dikonfirmasi ke sekolah</v>
      </c>
      <c r="J263" s="0" t="s">
        <v>3850</v>
      </c>
      <c r="K263" s="0" t="n">
        <f aca="false">IF(M263=2,"",IF(ISNUMBER(SEARCH("rata-rata:",'Offshore - Brisbane'!N251)),VALUE(MID('Offshore - Brisbane'!N251,SEARCH("rata-rata:",'Offshore - Brisbane'!N251)+11,FIND(";",'Offshore - Brisbane'!N251&amp;";",SEARCH("rata-rata:",'Offshore - Brisbane'!N251))-SEARCH("rata-rata:",'Offshore - Brisbane'!N251)-11)),IF('Offshore - Brisbane'!D251="Semester",'Offshore - Brisbane'!E251*2,IF('Offshore - Brisbane'!D251="Trimester",'Offshore - Brisbane'!E251*3,IF('Offshore - Brisbane'!D251="Term",'Offshore - Brisbane'!E251*4,IF('Offshore - Brisbane'!D251="Unit",'Offshore - Brisbane'!E251*8,""))))))</f>
        <v>34560</v>
      </c>
      <c r="L263" s="0" t="n">
        <f aca="false">IF(AND(ISNUMBER('Offshore - Brisbane'!E251),ISNUMBER(K263),ISNUMBER('Offshore - Brisbane'!F251),ISNUMBER('Offshore - Brisbane'!G251),OR('Offshore - Brisbane'!F251&lt;&gt;0,ISNUMBER(SEARCH("Material 0 terverifikasi",'Offshore - Brisbane'!N251))),OR('Offshore - Brisbane'!G251&lt;&gt;0,ISNUMBER(SEARCH("Enrolment 0 terverifikasi",'Offshore - Brisbane'!N251)))),1,0)</f>
        <v>1</v>
      </c>
      <c r="M263" s="0" t="n">
        <f aca="false">IF(OR('Offshore - Brisbane'!E251="",ISNUMBER(SEARCH("BSB80120",'Offshore - Brisbane'!B251&amp;'Offshore - Brisbane'!N251)),ISNUMBER(SEARCH("Management (Learning)",'Offshore - Brisbane'!B251))),2,IF(ISNUMBER(SEARCH("CEK:",'Offshore - Brisbane'!N251)),1,0))</f>
        <v>1</v>
      </c>
    </row>
    <row r="264" customFormat="false" ht="15" hidden="false" customHeight="false" outlineLevel="0" collapsed="false">
      <c r="A264" s="63" t="s">
        <v>3563</v>
      </c>
      <c r="B264" s="64" t="s">
        <v>3833</v>
      </c>
      <c r="C264" s="63" t="s">
        <v>43</v>
      </c>
      <c r="D264" s="64" t="str">
        <f aca="false">TRIM(LEFT('Offshore - Brisbane'!A53,FIND(CHAR(10),'Offshore - Brisbane'!A53&amp;CHAR(10))-1))</f>
        <v>Australian Catholic University (ACU)</v>
      </c>
      <c r="E264" s="63" t="str">
        <f aca="false">'Offshore - Brisbane'!C54&amp;""</f>
        <v>4 years</v>
      </c>
      <c r="F264" s="63" t="str">
        <f aca="false">IF('Offshore - Brisbane'!D54="","Belum tercatat",'Offshore - Brisbane'!D54)</f>
        <v>Term</v>
      </c>
      <c r="G264" s="65" t="n">
        <f aca="false">IF('Offshore - Brisbane'!E54="","-",'Offshore - Brisbane'!E54)</f>
        <v>8742</v>
      </c>
      <c r="H264" s="63" t="n">
        <f aca="false">IF(ISNUMBER(K264),COUNTIFS($J$6:$J$1854,J264,$K$6:$K$1854,"&lt;"&amp;K264)+1,"-")</f>
        <v>5</v>
      </c>
      <c r="I264" s="64" t="str">
        <f aca="false">IF('Offshore - Brisbane'!E54="","Harga belum tersedia - hubungi konsultan TEG",IF(M264=2,"Saat ini tidak menerima pendaftaran siswa internasional baru",IF(M264=1,"Harga perlu dikonfirmasi ke sekolah"&amp;IF(""="","","; "&amp;""),"")))</f>
        <v/>
      </c>
      <c r="J264" s="0" t="s">
        <v>3850</v>
      </c>
      <c r="K264" s="0" t="n">
        <f aca="false">IF(M264=2,"",IF(ISNUMBER(SEARCH("rata-rata:",'Offshore - Brisbane'!N54)),VALUE(MID('Offshore - Brisbane'!N54,SEARCH("rata-rata:",'Offshore - Brisbane'!N54)+11,FIND(";",'Offshore - Brisbane'!N54&amp;";",SEARCH("rata-rata:",'Offshore - Brisbane'!N54))-SEARCH("rata-rata:",'Offshore - Brisbane'!N54)-11)),IF('Offshore - Brisbane'!D54="Semester",'Offshore - Brisbane'!E54*2,IF('Offshore - Brisbane'!D54="Trimester",'Offshore - Brisbane'!E54*3,IF('Offshore - Brisbane'!D54="Term",'Offshore - Brisbane'!E54*4,IF('Offshore - Brisbane'!D54="Unit",'Offshore - Brisbane'!E54*8,""))))))</f>
        <v>34968</v>
      </c>
      <c r="L264" s="0" t="n">
        <f aca="false">IF(AND(ISNUMBER('Offshore - Brisbane'!E54),ISNUMBER(K264),ISNUMBER('Offshore - Brisbane'!F54),ISNUMBER('Offshore - Brisbane'!G54),OR('Offshore - Brisbane'!F54&lt;&gt;0,ISNUMBER(SEARCH("Material 0 terverifikasi",'Offshore - Brisbane'!N54))),OR('Offshore - Brisbane'!G54&lt;&gt;0,ISNUMBER(SEARCH("Enrolment 0 terverifikasi",'Offshore - Brisbane'!N54)))),1,0)</f>
        <v>0</v>
      </c>
      <c r="M264" s="0" t="n">
        <f aca="false">IF(OR('Offshore - Brisbane'!E54="",ISNUMBER(SEARCH("BSB80120",'Offshore - Brisbane'!B54&amp;'Offshore - Brisbane'!N54)),ISNUMBER(SEARCH("Management (Learning)",'Offshore - Brisbane'!B54))),2,IF(ISNUMBER(SEARCH("CEK:",'Offshore - Brisbane'!N54)),1,0))</f>
        <v>0</v>
      </c>
    </row>
    <row r="265" customFormat="false" ht="15" hidden="false" customHeight="false" outlineLevel="0" collapsed="false">
      <c r="A265" s="61" t="s">
        <v>3851</v>
      </c>
      <c r="B265" s="62"/>
      <c r="C265" s="62"/>
      <c r="D265" s="62"/>
      <c r="E265" s="62"/>
      <c r="F265" s="62"/>
      <c r="G265" s="62"/>
      <c r="H265" s="62"/>
      <c r="I265" s="62"/>
    </row>
    <row r="266" customFormat="false" ht="15" hidden="false" customHeight="false" outlineLevel="0" collapsed="false">
      <c r="A266" s="63" t="s">
        <v>3563</v>
      </c>
      <c r="B266" s="64" t="s">
        <v>3833</v>
      </c>
      <c r="C266" s="63" t="s">
        <v>3707</v>
      </c>
      <c r="D266" s="64" t="str">
        <f aca="false">TRIM(LEFT('Offshore - Brisbane'!A237,FIND(CHAR(10),'Offshore - Brisbane'!A237&amp;CHAR(10))-1))</f>
        <v>Hospitality Training Academy (HTA)</v>
      </c>
      <c r="E266" s="63" t="str">
        <f aca="false">'Offshore - Brisbane'!C241&amp;""</f>
        <v>2 years</v>
      </c>
      <c r="F266" s="63" t="str">
        <f aca="false">IF('Offshore - Brisbane'!D241="","Belum tercatat",'Offshore - Brisbane'!D241)</f>
        <v>Term</v>
      </c>
      <c r="G266" s="65" t="n">
        <f aca="false">IF('Offshore - Brisbane'!E241="","-",'Offshore - Brisbane'!E241)</f>
        <v>2250</v>
      </c>
      <c r="H266" s="63" t="n">
        <f aca="false">IF(ISNUMBER(K266),COUNTIFS($J$6:$J$1854,J266,$K$6:$K$1854,"&lt;"&amp;K266)+1,"-")</f>
        <v>1</v>
      </c>
      <c r="I266" s="64" t="str">
        <f aca="false">IF('Offshore - Brisbane'!E241="","Harga belum tersedia - hubungi konsultan TEG",IF(M266=2,"Saat ini tidak menerima pendaftaran siswa internasional baru",IF(M266=1,"Harga perlu dikonfirmasi ke sekolah"&amp;IF(""="","","; "&amp;""),"")))</f>
        <v/>
      </c>
      <c r="J266" s="0" t="s">
        <v>3852</v>
      </c>
      <c r="K266" s="0" t="n">
        <f aca="false">IF(M266=2,"",IF(ISNUMBER(SEARCH("rata-rata:",'Offshore - Brisbane'!N241)),VALUE(MID('Offshore - Brisbane'!N241,SEARCH("rata-rata:",'Offshore - Brisbane'!N241)+11,FIND(";",'Offshore - Brisbane'!N241&amp;";",SEARCH("rata-rata:",'Offshore - Brisbane'!N241))-SEARCH("rata-rata:",'Offshore - Brisbane'!N241)-11)),IF('Offshore - Brisbane'!D241="Semester",'Offshore - Brisbane'!E241*2,IF('Offshore - Brisbane'!D241="Trimester",'Offshore - Brisbane'!E241*3,IF('Offshore - Brisbane'!D241="Term",'Offshore - Brisbane'!E241*4,IF('Offshore - Brisbane'!D241="Unit",'Offshore - Brisbane'!E241*8,""))))))</f>
        <v>9000</v>
      </c>
      <c r="L266" s="0" t="n">
        <f aca="false">IF(AND(ISNUMBER('Offshore - Brisbane'!E241),ISNUMBER(K266),ISNUMBER('Offshore - Brisbane'!F241),ISNUMBER('Offshore - Brisbane'!G241),OR('Offshore - Brisbane'!F241&lt;&gt;0,ISNUMBER(SEARCH("Material 0 terverifikasi",'Offshore - Brisbane'!N241))),OR('Offshore - Brisbane'!G241&lt;&gt;0,ISNUMBER(SEARCH("Enrolment 0 terverifikasi",'Offshore - Brisbane'!N241)))),1,0)</f>
        <v>1</v>
      </c>
      <c r="M266" s="0" t="n">
        <f aca="false">IF(OR('Offshore - Brisbane'!E241="",ISNUMBER(SEARCH("BSB80120",'Offshore - Brisbane'!B241&amp;'Offshore - Brisbane'!N241)),ISNUMBER(SEARCH("Management (Learning)",'Offshore - Brisbane'!B241))),2,IF(ISNUMBER(SEARCH("CEK:",'Offshore - Brisbane'!N241)),1,0))</f>
        <v>0</v>
      </c>
    </row>
    <row r="267" customFormat="false" ht="15" hidden="false" customHeight="false" outlineLevel="0" collapsed="false">
      <c r="A267" s="63" t="s">
        <v>3563</v>
      </c>
      <c r="B267" s="64" t="s">
        <v>3833</v>
      </c>
      <c r="C267" s="63" t="s">
        <v>3707</v>
      </c>
      <c r="D267" s="64" t="str">
        <f aca="false">TRIM(LEFT('Offshore - Brisbane'!A8,FIND(CHAR(10),'Offshore - Brisbane'!A8&amp;CHAR(10))-1))</f>
        <v>AIBI Higher Education</v>
      </c>
      <c r="E267" s="63" t="str">
        <f aca="false">'Offshore - Brisbane'!C19&amp;""</f>
        <v>8 months</v>
      </c>
      <c r="F267" s="63" t="str">
        <f aca="false">IF('Offshore - Brisbane'!D19="","Belum tercatat",'Offshore - Brisbane'!D19)</f>
        <v>Term</v>
      </c>
      <c r="G267" s="65" t="n">
        <f aca="false">IF('Offshore - Brisbane'!E19="","-",'Offshore - Brisbane'!E19)</f>
        <v>2700</v>
      </c>
      <c r="H267" s="63" t="n">
        <f aca="false">IF(ISNUMBER(K267),COUNTIFS($J$6:$J$1854,J267,$K$6:$K$1854,"&lt;"&amp;K267)+1,"-")</f>
        <v>2</v>
      </c>
      <c r="I267" s="64" t="str">
        <f aca="false">IF('Offshore - Brisbane'!E19="","Harga belum tersedia - hubungi konsultan TEG",IF(M267=2,"Saat ini tidak menerima pendaftaran siswa internasional baru",IF(M267=1,"Harga perlu dikonfirmasi ke sekolah"&amp;IF(""="","","; "&amp;""),"")))</f>
        <v>Harga perlu dikonfirmasi ke sekolah</v>
      </c>
      <c r="J267" s="0" t="s">
        <v>3852</v>
      </c>
      <c r="K267" s="0" t="n">
        <f aca="false">IF(M267=2,"",IF(ISNUMBER(SEARCH("rata-rata:",'Offshore - Brisbane'!N19)),VALUE(MID('Offshore - Brisbane'!N19,SEARCH("rata-rata:",'Offshore - Brisbane'!N19)+11,FIND(";",'Offshore - Brisbane'!N19&amp;";",SEARCH("rata-rata:",'Offshore - Brisbane'!N19))-SEARCH("rata-rata:",'Offshore - Brisbane'!N19)-11)),IF('Offshore - Brisbane'!D19="Semester",'Offshore - Brisbane'!E19*2,IF('Offshore - Brisbane'!D19="Trimester",'Offshore - Brisbane'!E19*3,IF('Offshore - Brisbane'!D19="Term",'Offshore - Brisbane'!E19*4,IF('Offshore - Brisbane'!D19="Unit",'Offshore - Brisbane'!E19*8,""))))))</f>
        <v>10800</v>
      </c>
      <c r="L267" s="0" t="n">
        <f aca="false">IF(AND(ISNUMBER('Offshore - Brisbane'!E19),ISNUMBER(K267),ISNUMBER('Offshore - Brisbane'!F19),ISNUMBER('Offshore - Brisbane'!G19),OR('Offshore - Brisbane'!F19&lt;&gt;0,ISNUMBER(SEARCH("Material 0 terverifikasi",'Offshore - Brisbane'!N19))),OR('Offshore - Brisbane'!G19&lt;&gt;0,ISNUMBER(SEARCH("Enrolment 0 terverifikasi",'Offshore - Brisbane'!N19)))),1,0)</f>
        <v>0</v>
      </c>
      <c r="M267" s="0" t="n">
        <f aca="false">IF(OR('Offshore - Brisbane'!E19="",ISNUMBER(SEARCH("BSB80120",'Offshore - Brisbane'!B19&amp;'Offshore - Brisbane'!N19)),ISNUMBER(SEARCH("Management (Learning)",'Offshore - Brisbane'!B19))),2,IF(ISNUMBER(SEARCH("CEK:",'Offshore - Brisbane'!N19)),1,0))</f>
        <v>1</v>
      </c>
    </row>
    <row r="268" customFormat="false" ht="15" hidden="false" customHeight="false" outlineLevel="0" collapsed="false">
      <c r="A268" s="63" t="s">
        <v>3563</v>
      </c>
      <c r="B268" s="64" t="s">
        <v>3833</v>
      </c>
      <c r="C268" s="63" t="s">
        <v>3707</v>
      </c>
      <c r="D268" s="64" t="str">
        <f aca="false">TRIM(LEFT('Offshore - Brisbane'!A50,FIND(CHAR(10),'Offshore - Brisbane'!A50&amp;CHAR(10))-1))</f>
        <v>Australian Business Institute (ABI)</v>
      </c>
      <c r="E268" s="63" t="str">
        <f aca="false">'Offshore - Brisbane'!C51&amp;""</f>
        <v>1 year</v>
      </c>
      <c r="F268" s="63" t="str">
        <f aca="false">IF('Offshore - Brisbane'!D51="","Belum tercatat",'Offshore - Brisbane'!D51)</f>
        <v>Term</v>
      </c>
      <c r="G268" s="65" t="n">
        <f aca="false">IF('Offshore - Brisbane'!E51="","-",'Offshore - Brisbane'!E51)</f>
        <v>4000</v>
      </c>
      <c r="H268" s="63" t="n">
        <f aca="false">IF(ISNUMBER(K268),COUNTIFS($J$6:$J$1854,J268,$K$6:$K$1854,"&lt;"&amp;K268)+1,"-")</f>
        <v>3</v>
      </c>
      <c r="I268" s="64" t="str">
        <f aca="false">IF('Offshore - Brisbane'!E51="","Harga belum tersedia - hubungi konsultan TEG",IF(M268=2,"Saat ini tidak menerima pendaftaran siswa internasional baru",IF(M268=1,"Harga perlu dikonfirmasi ke sekolah"&amp;IF(""="","","; "&amp;""),"")))</f>
        <v/>
      </c>
      <c r="J268" s="0" t="s">
        <v>3852</v>
      </c>
      <c r="K268" s="0" t="n">
        <f aca="false">IF(M268=2,"",IF(ISNUMBER(SEARCH("rata-rata:",'Offshore - Brisbane'!N51)),VALUE(MID('Offshore - Brisbane'!N51,SEARCH("rata-rata:",'Offshore - Brisbane'!N51)+11,FIND(";",'Offshore - Brisbane'!N51&amp;";",SEARCH("rata-rata:",'Offshore - Brisbane'!N51))-SEARCH("rata-rata:",'Offshore - Brisbane'!N51)-11)),IF('Offshore - Brisbane'!D51="Semester",'Offshore - Brisbane'!E51*2,IF('Offshore - Brisbane'!D51="Trimester",'Offshore - Brisbane'!E51*3,IF('Offshore - Brisbane'!D51="Term",'Offshore - Brisbane'!E51*4,IF('Offshore - Brisbane'!D51="Unit",'Offshore - Brisbane'!E51*8,""))))))</f>
        <v>16000</v>
      </c>
      <c r="L268" s="0" t="n">
        <f aca="false">IF(AND(ISNUMBER('Offshore - Brisbane'!E51),ISNUMBER(K268),ISNUMBER('Offshore - Brisbane'!F51),ISNUMBER('Offshore - Brisbane'!G51),OR('Offshore - Brisbane'!F51&lt;&gt;0,ISNUMBER(SEARCH("Material 0 terverifikasi",'Offshore - Brisbane'!N51))),OR('Offshore - Brisbane'!G51&lt;&gt;0,ISNUMBER(SEARCH("Enrolment 0 terverifikasi",'Offshore - Brisbane'!N51)))),1,0)</f>
        <v>0</v>
      </c>
      <c r="M268" s="0" t="n">
        <f aca="false">IF(OR('Offshore - Brisbane'!E51="",ISNUMBER(SEARCH("BSB80120",'Offshore - Brisbane'!B51&amp;'Offshore - Brisbane'!N51)),ISNUMBER(SEARCH("Management (Learning)",'Offshore - Brisbane'!B51))),2,IF(ISNUMBER(SEARCH("CEK:",'Offshore - Brisbane'!N51)),1,0))</f>
        <v>0</v>
      </c>
    </row>
    <row r="269" customFormat="false" ht="15" hidden="false" customHeight="false" outlineLevel="0" collapsed="false">
      <c r="A269" s="63" t="s">
        <v>3563</v>
      </c>
      <c r="B269" s="64" t="s">
        <v>3833</v>
      </c>
      <c r="C269" s="63" t="s">
        <v>3707</v>
      </c>
      <c r="D269" s="64" t="str">
        <f aca="false">TRIM(LEFT('Offshore - Brisbane'!A308,FIND(CHAR(10),'Offshore - Brisbane'!A308&amp;CHAR(10))-1))</f>
        <v>Torrens University Australia</v>
      </c>
      <c r="E269" s="63" t="str">
        <f aca="false">'Offshore - Brisbane'!C317&amp;""</f>
        <v>0,5 year</v>
      </c>
      <c r="F269" s="63" t="str">
        <f aca="false">IF('Offshore - Brisbane'!D317="","Belum tercatat",'Offshore - Brisbane'!D317)</f>
        <v>Term</v>
      </c>
      <c r="G269" s="65" t="n">
        <f aca="false">IF('Offshore - Brisbane'!E317="","-",'Offshore - Brisbane'!E317)</f>
        <v>4500</v>
      </c>
      <c r="H269" s="63" t="n">
        <f aca="false">IF(ISNUMBER(K269),COUNTIFS($J$6:$J$1854,J269,$K$6:$K$1854,"&lt;"&amp;K269)+1,"-")</f>
        <v>4</v>
      </c>
      <c r="I269" s="64" t="str">
        <f aca="false">IF('Offshore - Brisbane'!E317="","Harga belum tersedia - hubungi konsultan TEG",IF(M269=2,"Saat ini tidak menerima pendaftaran siswa internasional baru",IF(M269=1,"Harga perlu dikonfirmasi ke sekolah"&amp;IF(""="","","; "&amp;""),"")))</f>
        <v/>
      </c>
      <c r="J269" s="0" t="s">
        <v>3852</v>
      </c>
      <c r="K269" s="0" t="n">
        <f aca="false">IF(M269=2,"",IF(ISNUMBER(SEARCH("rata-rata:",'Offshore - Brisbane'!N317)),VALUE(MID('Offshore - Brisbane'!N317,SEARCH("rata-rata:",'Offshore - Brisbane'!N317)+11,FIND(";",'Offshore - Brisbane'!N317&amp;";",SEARCH("rata-rata:",'Offshore - Brisbane'!N317))-SEARCH("rata-rata:",'Offshore - Brisbane'!N317)-11)),IF('Offshore - Brisbane'!D317="Semester",'Offshore - Brisbane'!E317*2,IF('Offshore - Brisbane'!D317="Trimester",'Offshore - Brisbane'!E317*3,IF('Offshore - Brisbane'!D317="Term",'Offshore - Brisbane'!E317*4,IF('Offshore - Brisbane'!D317="Unit",'Offshore - Brisbane'!E317*8,""))))))</f>
        <v>18000</v>
      </c>
      <c r="L269" s="0" t="n">
        <f aca="false">IF(AND(ISNUMBER('Offshore - Brisbane'!E317),ISNUMBER(K269),ISNUMBER('Offshore - Brisbane'!F317),ISNUMBER('Offshore - Brisbane'!G317),OR('Offshore - Brisbane'!F317&lt;&gt;0,ISNUMBER(SEARCH("Material 0 terverifikasi",'Offshore - Brisbane'!N317))),OR('Offshore - Brisbane'!G317&lt;&gt;0,ISNUMBER(SEARCH("Enrolment 0 terverifikasi",'Offshore - Brisbane'!N317)))),1,0)</f>
        <v>0</v>
      </c>
      <c r="M269" s="0" t="n">
        <f aca="false">IF(OR('Offshore - Brisbane'!E317="",ISNUMBER(SEARCH("BSB80120",'Offshore - Brisbane'!B317&amp;'Offshore - Brisbane'!N317)),ISNUMBER(SEARCH("Management (Learning)",'Offshore - Brisbane'!B317))),2,IF(ISNUMBER(SEARCH("CEK:",'Offshore - Brisbane'!N317)),1,0))</f>
        <v>0</v>
      </c>
    </row>
    <row r="270" customFormat="false" ht="15" hidden="false" customHeight="false" outlineLevel="0" collapsed="false">
      <c r="A270" s="63" t="s">
        <v>3563</v>
      </c>
      <c r="B270" s="64" t="s">
        <v>3833</v>
      </c>
      <c r="C270" s="63" t="s">
        <v>3707</v>
      </c>
      <c r="D270" s="64" t="str">
        <f aca="false">TRIM(LEFT('Offshore - Brisbane'!A53,FIND(CHAR(10),'Offshore - Brisbane'!A53&amp;CHAR(10))-1))</f>
        <v>Australian Catholic University (ACU)</v>
      </c>
      <c r="E270" s="63" t="str">
        <f aca="false">'Offshore - Brisbane'!C78&amp;""</f>
        <v>0,5 year</v>
      </c>
      <c r="F270" s="63" t="str">
        <f aca="false">IF('Offshore - Brisbane'!D78="","Belum tercatat",'Offshore - Brisbane'!D78)</f>
        <v>Term</v>
      </c>
      <c r="G270" s="65" t="n">
        <f aca="false">IF('Offshore - Brisbane'!E78="","-",'Offshore - Brisbane'!E78)</f>
        <v>4614</v>
      </c>
      <c r="H270" s="63" t="n">
        <f aca="false">IF(ISNUMBER(K270),COUNTIFS($J$6:$J$1854,J270,$K$6:$K$1854,"&lt;"&amp;K270)+1,"-")</f>
        <v>5</v>
      </c>
      <c r="I270" s="64" t="str">
        <f aca="false">IF('Offshore - Brisbane'!E78="","Harga belum tersedia - hubungi konsultan TEG",IF(M270=2,"Saat ini tidak menerima pendaftaran siswa internasional baru",IF(M270=1,"Harga perlu dikonfirmasi ke sekolah"&amp;IF(""="","","; "&amp;""),"")))</f>
        <v>Harga perlu dikonfirmasi ke sekolah</v>
      </c>
      <c r="J270" s="0" t="s">
        <v>3852</v>
      </c>
      <c r="K270" s="0" t="n">
        <f aca="false">IF(M270=2,"",IF(ISNUMBER(SEARCH("rata-rata:",'Offshore - Brisbane'!N78)),VALUE(MID('Offshore - Brisbane'!N78,SEARCH("rata-rata:",'Offshore - Brisbane'!N78)+11,FIND(";",'Offshore - Brisbane'!N78&amp;";",SEARCH("rata-rata:",'Offshore - Brisbane'!N78))-SEARCH("rata-rata:",'Offshore - Brisbane'!N78)-11)),IF('Offshore - Brisbane'!D78="Semester",'Offshore - Brisbane'!E78*2,IF('Offshore - Brisbane'!D78="Trimester",'Offshore - Brisbane'!E78*3,IF('Offshore - Brisbane'!D78="Term",'Offshore - Brisbane'!E78*4,IF('Offshore - Brisbane'!D78="Unit",'Offshore - Brisbane'!E78*8,""))))))</f>
        <v>18456</v>
      </c>
      <c r="L270" s="0" t="n">
        <f aca="false">IF(AND(ISNUMBER('Offshore - Brisbane'!E78),ISNUMBER(K270),ISNUMBER('Offshore - Brisbane'!F78),ISNUMBER('Offshore - Brisbane'!G78),OR('Offshore - Brisbane'!F78&lt;&gt;0,ISNUMBER(SEARCH("Material 0 terverifikasi",'Offshore - Brisbane'!N78))),OR('Offshore - Brisbane'!G78&lt;&gt;0,ISNUMBER(SEARCH("Enrolment 0 terverifikasi",'Offshore - Brisbane'!N78)))),1,0)</f>
        <v>0</v>
      </c>
      <c r="M270" s="0" t="n">
        <f aca="false">IF(OR('Offshore - Brisbane'!E78="",ISNUMBER(SEARCH("BSB80120",'Offshore - Brisbane'!B78&amp;'Offshore - Brisbane'!N78)),ISNUMBER(SEARCH("Management (Learning)",'Offshore - Brisbane'!B78))),2,IF(ISNUMBER(SEARCH("CEK:",'Offshore - Brisbane'!N78)),1,0))</f>
        <v>1</v>
      </c>
    </row>
    <row r="271" customFormat="false" ht="15" hidden="false" customHeight="false" outlineLevel="0" collapsed="false">
      <c r="A271" s="63" t="s">
        <v>3563</v>
      </c>
      <c r="B271" s="64" t="s">
        <v>3833</v>
      </c>
      <c r="C271" s="63" t="s">
        <v>3707</v>
      </c>
      <c r="D271" s="64" t="str">
        <f aca="false">TRIM(LEFT('Offshore - Brisbane'!A33,FIND(CHAR(10),'Offshore - Brisbane'!A33&amp;CHAR(10))-1))</f>
        <v>Asia Pacific International College (APIC)</v>
      </c>
      <c r="E271" s="63" t="str">
        <f aca="false">'Offshore - Brisbane'!C38&amp;""</f>
        <v>0,75 year</v>
      </c>
      <c r="F271" s="63" t="str">
        <f aca="false">IF('Offshore - Brisbane'!D38="","Belum tercatat",'Offshore - Brisbane'!D38)</f>
        <v>Trimester</v>
      </c>
      <c r="G271" s="65" t="n">
        <f aca="false">IF('Offshore - Brisbane'!E38="","-",'Offshore - Brisbane'!E38)</f>
        <v>7800</v>
      </c>
      <c r="H271" s="63" t="n">
        <f aca="false">IF(ISNUMBER(K271),COUNTIFS($J$6:$J$1854,J271,$K$6:$K$1854,"&lt;"&amp;K271)+1,"-")</f>
        <v>6</v>
      </c>
      <c r="I271" s="64" t="str">
        <f aca="false">IF('Offshore - Brisbane'!E38="","Harga belum tersedia - hubungi konsultan TEG",IF(M271=2,"Saat ini tidak menerima pendaftaran siswa internasional baru",IF(M271=1,"Harga perlu dikonfirmasi ke sekolah"&amp;IF(""="","","; "&amp;""),"")))</f>
        <v>Harga perlu dikonfirmasi ke sekolah</v>
      </c>
      <c r="J271" s="0" t="s">
        <v>3852</v>
      </c>
      <c r="K271" s="0" t="n">
        <f aca="false">IF(M271=2,"",IF(ISNUMBER(SEARCH("rata-rata:",'Offshore - Brisbane'!N38)),VALUE(MID('Offshore - Brisbane'!N38,SEARCH("rata-rata:",'Offshore - Brisbane'!N38)+11,FIND(";",'Offshore - Brisbane'!N38&amp;";",SEARCH("rata-rata:",'Offshore - Brisbane'!N38))-SEARCH("rata-rata:",'Offshore - Brisbane'!N38)-11)),IF('Offshore - Brisbane'!D38="Semester",'Offshore - Brisbane'!E38*2,IF('Offshore - Brisbane'!D38="Trimester",'Offshore - Brisbane'!E38*3,IF('Offshore - Brisbane'!D38="Term",'Offshore - Brisbane'!E38*4,IF('Offshore - Brisbane'!D38="Unit",'Offshore - Brisbane'!E38*8,""))))))</f>
        <v>23400</v>
      </c>
      <c r="L271" s="0" t="n">
        <f aca="false">IF(AND(ISNUMBER('Offshore - Brisbane'!E38),ISNUMBER(K271),ISNUMBER('Offshore - Brisbane'!F38),ISNUMBER('Offshore - Brisbane'!G38),OR('Offshore - Brisbane'!F38&lt;&gt;0,ISNUMBER(SEARCH("Material 0 terverifikasi",'Offshore - Brisbane'!N38))),OR('Offshore - Brisbane'!G38&lt;&gt;0,ISNUMBER(SEARCH("Enrolment 0 terverifikasi",'Offshore - Brisbane'!N38)))),1,0)</f>
        <v>0</v>
      </c>
      <c r="M271" s="0" t="n">
        <f aca="false">IF(OR('Offshore - Brisbane'!E38="",ISNUMBER(SEARCH("BSB80120",'Offshore - Brisbane'!B38&amp;'Offshore - Brisbane'!N38)),ISNUMBER(SEARCH("Management (Learning)",'Offshore - Brisbane'!B38))),2,IF(ISNUMBER(SEARCH("CEK:",'Offshore - Brisbane'!N38)),1,0))</f>
        <v>1</v>
      </c>
    </row>
    <row r="272" customFormat="false" ht="15" hidden="false" customHeight="false" outlineLevel="0" collapsed="false">
      <c r="A272" s="63" t="s">
        <v>3563</v>
      </c>
      <c r="B272" s="64" t="s">
        <v>3833</v>
      </c>
      <c r="C272" s="63" t="s">
        <v>3707</v>
      </c>
      <c r="D272" s="64" t="str">
        <f aca="false">TRIM(LEFT('Offshore - Brisbane'!A250,FIND(CHAR(10),'Offshore - Brisbane'!A250&amp;CHAR(10))-1))</f>
        <v>Kaplan Business School</v>
      </c>
      <c r="E272" s="63" t="str">
        <f aca="false">'Offshore - Brisbane'!C252&amp;""</f>
        <v>0,5 year</v>
      </c>
      <c r="F272" s="63" t="str">
        <f aca="false">IF('Offshore - Brisbane'!D252="","Belum tercatat",'Offshore - Brisbane'!D252)</f>
        <v>Trimester</v>
      </c>
      <c r="G272" s="65" t="n">
        <f aca="false">IF('Offshore - Brisbane'!E252="","-",'Offshore - Brisbane'!E252)</f>
        <v>19640</v>
      </c>
      <c r="H272" s="63" t="n">
        <f aca="false">IF(ISNUMBER(K272),COUNTIFS($J$6:$J$1854,J272,$K$6:$K$1854,"&lt;"&amp;K272)+1,"-")</f>
        <v>7</v>
      </c>
      <c r="I272" s="64" t="str">
        <f aca="false">IF('Offshore - Brisbane'!E252="","Harga belum tersedia - hubungi konsultan TEG",IF(M272=2,"Saat ini tidak menerima pendaftaran siswa internasional baru",IF(M272=1,"Harga perlu dikonfirmasi ke sekolah"&amp;IF(""="","","; "&amp;""),"")))</f>
        <v>Harga perlu dikonfirmasi ke sekolah</v>
      </c>
      <c r="J272" s="0" t="s">
        <v>3852</v>
      </c>
      <c r="K272" s="0" t="n">
        <f aca="false">IF(M272=2,"",IF(ISNUMBER(SEARCH("rata-rata:",'Offshore - Brisbane'!N252)),VALUE(MID('Offshore - Brisbane'!N252,SEARCH("rata-rata:",'Offshore - Brisbane'!N252)+11,FIND(";",'Offshore - Brisbane'!N252&amp;";",SEARCH("rata-rata:",'Offshore - Brisbane'!N252))-SEARCH("rata-rata:",'Offshore - Brisbane'!N252)-11)),IF('Offshore - Brisbane'!D252="Semester",'Offshore - Brisbane'!E252*2,IF('Offshore - Brisbane'!D252="Trimester",'Offshore - Brisbane'!E252*3,IF('Offshore - Brisbane'!D252="Term",'Offshore - Brisbane'!E252*4,IF('Offshore - Brisbane'!D252="Unit",'Offshore - Brisbane'!E252*8,""))))))</f>
        <v>58920</v>
      </c>
      <c r="L272" s="0" t="n">
        <f aca="false">IF(AND(ISNUMBER('Offshore - Brisbane'!E252),ISNUMBER(K272),ISNUMBER('Offshore - Brisbane'!F252),ISNUMBER('Offshore - Brisbane'!G252),OR('Offshore - Brisbane'!F252&lt;&gt;0,ISNUMBER(SEARCH("Material 0 terverifikasi",'Offshore - Brisbane'!N252))),OR('Offshore - Brisbane'!G252&lt;&gt;0,ISNUMBER(SEARCH("Enrolment 0 terverifikasi",'Offshore - Brisbane'!N252)))),1,0)</f>
        <v>1</v>
      </c>
      <c r="M272" s="0" t="n">
        <f aca="false">IF(OR('Offshore - Brisbane'!E252="",ISNUMBER(SEARCH("BSB80120",'Offshore - Brisbane'!B252&amp;'Offshore - Brisbane'!N252)),ISNUMBER(SEARCH("Management (Learning)",'Offshore - Brisbane'!B252))),2,IF(ISNUMBER(SEARCH("CEK:",'Offshore - Brisbane'!N252)),1,0))</f>
        <v>1</v>
      </c>
    </row>
    <row r="273" customFormat="false" ht="15" hidden="false" customHeight="false" outlineLevel="0" collapsed="false">
      <c r="A273" s="61" t="s">
        <v>3853</v>
      </c>
      <c r="B273" s="62"/>
      <c r="C273" s="62"/>
      <c r="D273" s="62"/>
      <c r="E273" s="62"/>
      <c r="F273" s="62"/>
      <c r="G273" s="62"/>
      <c r="H273" s="62"/>
      <c r="I273" s="62"/>
    </row>
    <row r="274" customFormat="false" ht="15" hidden="false" customHeight="false" outlineLevel="0" collapsed="false">
      <c r="A274" s="63" t="s">
        <v>3563</v>
      </c>
      <c r="B274" s="64" t="s">
        <v>3833</v>
      </c>
      <c r="C274" s="63" t="s">
        <v>46</v>
      </c>
      <c r="D274" s="64" t="str">
        <f aca="false">TRIM(LEFT('Offshore - Brisbane'!A46,FIND(CHAR(10),'Offshore - Brisbane'!A46&amp;CHAR(10))-1))</f>
        <v>Australian Agribusiness Institute</v>
      </c>
      <c r="E274" s="63" t="str">
        <f aca="false">'Offshore - Brisbane'!C48&amp;""</f>
        <v>2 years</v>
      </c>
      <c r="F274" s="63" t="str">
        <f aca="false">IF('Offshore - Brisbane'!D48="","Belum tercatat",'Offshore - Brisbane'!D48)</f>
        <v>Term</v>
      </c>
      <c r="G274" s="65" t="n">
        <f aca="false">IF('Offshore - Brisbane'!E48="","-",'Offshore - Brisbane'!E48)</f>
        <v>4000</v>
      </c>
      <c r="H274" s="63" t="n">
        <f aca="false">IF(ISNUMBER(K274),COUNTIFS($J$6:$J$1854,J274,$K$6:$K$1854,"&lt;"&amp;K274)+1,"-")</f>
        <v>1</v>
      </c>
      <c r="I274" s="64" t="str">
        <f aca="false">IF('Offshore - Brisbane'!E48="","Harga belum tersedia - hubungi konsultan TEG",IF(M274=2,"Saat ini tidak menerima pendaftaran siswa internasional baru",IF(M274=1,"Harga perlu dikonfirmasi ke sekolah"&amp;IF(""="","","; "&amp;""),"")))</f>
        <v>Harga perlu dikonfirmasi ke sekolah</v>
      </c>
      <c r="J274" s="0" t="s">
        <v>3854</v>
      </c>
      <c r="K274" s="0" t="n">
        <f aca="false">IF(M274=2,"",IF(ISNUMBER(SEARCH("rata-rata:",'Offshore - Brisbane'!N48)),VALUE(MID('Offshore - Brisbane'!N48,SEARCH("rata-rata:",'Offshore - Brisbane'!N48)+11,FIND(";",'Offshore - Brisbane'!N48&amp;";",SEARCH("rata-rata:",'Offshore - Brisbane'!N48))-SEARCH("rata-rata:",'Offshore - Brisbane'!N48)-11)),IF('Offshore - Brisbane'!D48="Semester",'Offshore - Brisbane'!E48*2,IF('Offshore - Brisbane'!D48="Trimester",'Offshore - Brisbane'!E48*3,IF('Offshore - Brisbane'!D48="Term",'Offshore - Brisbane'!E48*4,IF('Offshore - Brisbane'!D48="Unit",'Offshore - Brisbane'!E48*8,""))))))</f>
        <v>16000</v>
      </c>
      <c r="L274" s="0" t="n">
        <f aca="false">IF(AND(ISNUMBER('Offshore - Brisbane'!E48),ISNUMBER(K274),ISNUMBER('Offshore - Brisbane'!F48),ISNUMBER('Offshore - Brisbane'!G48),OR('Offshore - Brisbane'!F48&lt;&gt;0,ISNUMBER(SEARCH("Material 0 terverifikasi",'Offshore - Brisbane'!N48))),OR('Offshore - Brisbane'!G48&lt;&gt;0,ISNUMBER(SEARCH("Enrolment 0 terverifikasi",'Offshore - Brisbane'!N48)))),1,0)</f>
        <v>0</v>
      </c>
      <c r="M274" s="0" t="n">
        <f aca="false">IF(OR('Offshore - Brisbane'!E48="",ISNUMBER(SEARCH("BSB80120",'Offshore - Brisbane'!B48&amp;'Offshore - Brisbane'!N48)),ISNUMBER(SEARCH("Management (Learning)",'Offshore - Brisbane'!B48))),2,IF(ISNUMBER(SEARCH("CEK:",'Offshore - Brisbane'!N48)),1,0))</f>
        <v>1</v>
      </c>
    </row>
    <row r="275" customFormat="false" ht="15" hidden="false" customHeight="false" outlineLevel="0" collapsed="false">
      <c r="A275" s="63" t="s">
        <v>3563</v>
      </c>
      <c r="B275" s="64" t="s">
        <v>3833</v>
      </c>
      <c r="C275" s="63" t="s">
        <v>46</v>
      </c>
      <c r="D275" s="64" t="str">
        <f aca="false">TRIM(LEFT('Offshore - Brisbane'!A50,FIND(CHAR(10),'Offshore - Brisbane'!A50&amp;CHAR(10))-1))</f>
        <v>Australian Business Institute (ABI)</v>
      </c>
      <c r="E275" s="63" t="str">
        <f aca="false">'Offshore - Brisbane'!C52&amp;""</f>
        <v>2 years</v>
      </c>
      <c r="F275" s="63" t="str">
        <f aca="false">IF('Offshore - Brisbane'!D52="","Belum tercatat",'Offshore - Brisbane'!D52)</f>
        <v>Term</v>
      </c>
      <c r="G275" s="65" t="n">
        <f aca="false">IF('Offshore - Brisbane'!E52="","-",'Offshore - Brisbane'!E52)</f>
        <v>4000</v>
      </c>
      <c r="H275" s="63" t="n">
        <f aca="false">IF(ISNUMBER(K275),COUNTIFS($J$6:$J$1854,J275,$K$6:$K$1854,"&lt;"&amp;K275)+1,"-")</f>
        <v>1</v>
      </c>
      <c r="I275" s="64" t="str">
        <f aca="false">IF('Offshore - Brisbane'!E52="","Harga belum tersedia - hubungi konsultan TEG",IF(M275=2,"Saat ini tidak menerima pendaftaran siswa internasional baru",IF(M275=1,"Harga perlu dikonfirmasi ke sekolah"&amp;IF(""="","","; "&amp;""),"")))</f>
        <v/>
      </c>
      <c r="J275" s="0" t="s">
        <v>3854</v>
      </c>
      <c r="K275" s="0" t="n">
        <f aca="false">IF(M275=2,"",IF(ISNUMBER(SEARCH("rata-rata:",'Offshore - Brisbane'!N52)),VALUE(MID('Offshore - Brisbane'!N52,SEARCH("rata-rata:",'Offshore - Brisbane'!N52)+11,FIND(";",'Offshore - Brisbane'!N52&amp;";",SEARCH("rata-rata:",'Offshore - Brisbane'!N52))-SEARCH("rata-rata:",'Offshore - Brisbane'!N52)-11)),IF('Offshore - Brisbane'!D52="Semester",'Offshore - Brisbane'!E52*2,IF('Offshore - Brisbane'!D52="Trimester",'Offshore - Brisbane'!E52*3,IF('Offshore - Brisbane'!D52="Term",'Offshore - Brisbane'!E52*4,IF('Offshore - Brisbane'!D52="Unit",'Offshore - Brisbane'!E52*8,""))))))</f>
        <v>16000</v>
      </c>
      <c r="L275" s="0" t="n">
        <f aca="false">IF(AND(ISNUMBER('Offshore - Brisbane'!E52),ISNUMBER(K275),ISNUMBER('Offshore - Brisbane'!F52),ISNUMBER('Offshore - Brisbane'!G52),OR('Offshore - Brisbane'!F52&lt;&gt;0,ISNUMBER(SEARCH("Material 0 terverifikasi",'Offshore - Brisbane'!N52))),OR('Offshore - Brisbane'!G52&lt;&gt;0,ISNUMBER(SEARCH("Enrolment 0 terverifikasi",'Offshore - Brisbane'!N52)))),1,0)</f>
        <v>0</v>
      </c>
      <c r="M275" s="0" t="n">
        <f aca="false">IF(OR('Offshore - Brisbane'!E52="",ISNUMBER(SEARCH("BSB80120",'Offshore - Brisbane'!B52&amp;'Offshore - Brisbane'!N52)),ISNUMBER(SEARCH("Management (Learning)",'Offshore - Brisbane'!B52))),2,IF(ISNUMBER(SEARCH("CEK:",'Offshore - Brisbane'!N52)),1,0))</f>
        <v>0</v>
      </c>
    </row>
    <row r="276" customFormat="false" ht="15" hidden="false" customHeight="false" outlineLevel="0" collapsed="false">
      <c r="A276" s="63" t="s">
        <v>3563</v>
      </c>
      <c r="B276" s="64" t="s">
        <v>3833</v>
      </c>
      <c r="C276" s="63" t="s">
        <v>46</v>
      </c>
      <c r="D276" s="64" t="str">
        <f aca="false">TRIM(LEFT('Offshore - Brisbane'!A8,FIND(CHAR(10),'Offshore - Brisbane'!A8&amp;CHAR(10))-1))</f>
        <v>AIBI Higher Education</v>
      </c>
      <c r="E276" s="63" t="str">
        <f aca="false">'Offshore - Brisbane'!C13&amp;""</f>
        <v>2 years</v>
      </c>
      <c r="F276" s="63" t="str">
        <f aca="false">IF('Offshore - Brisbane'!D13="","Belum tercatat",'Offshore - Brisbane'!D13)</f>
        <v>Term</v>
      </c>
      <c r="G276" s="65" t="n">
        <f aca="false">IF('Offshore - Brisbane'!E13="","-",'Offshore - Brisbane'!E13)</f>
        <v>4050</v>
      </c>
      <c r="H276" s="63" t="n">
        <f aca="false">IF(ISNUMBER(K276),COUNTIFS($J$6:$J$1854,J276,$K$6:$K$1854,"&lt;"&amp;K276)+1,"-")</f>
        <v>3</v>
      </c>
      <c r="I276" s="64" t="str">
        <f aca="false">IF('Offshore - Brisbane'!E13="","Harga belum tersedia - hubungi konsultan TEG",IF(M276=2,"Saat ini tidak menerima pendaftaran siswa internasional baru",IF(M276=1,"Harga perlu dikonfirmasi ke sekolah"&amp;IF(""="","","; "&amp;""),"")))</f>
        <v>Harga perlu dikonfirmasi ke sekolah</v>
      </c>
      <c r="J276" s="0" t="s">
        <v>3854</v>
      </c>
      <c r="K276" s="0" t="n">
        <f aca="false">IF(M276=2,"",IF(ISNUMBER(SEARCH("rata-rata:",'Offshore - Brisbane'!N13)),VALUE(MID('Offshore - Brisbane'!N13,SEARCH("rata-rata:",'Offshore - Brisbane'!N13)+11,FIND(";",'Offshore - Brisbane'!N13&amp;";",SEARCH("rata-rata:",'Offshore - Brisbane'!N13))-SEARCH("rata-rata:",'Offshore - Brisbane'!N13)-11)),IF('Offshore - Brisbane'!D13="Semester",'Offshore - Brisbane'!E13*2,IF('Offshore - Brisbane'!D13="Trimester",'Offshore - Brisbane'!E13*3,IF('Offshore - Brisbane'!D13="Term",'Offshore - Brisbane'!E13*4,IF('Offshore - Brisbane'!D13="Unit",'Offshore - Brisbane'!E13*8,""))))))</f>
        <v>16200</v>
      </c>
      <c r="L276" s="0" t="n">
        <f aca="false">IF(AND(ISNUMBER('Offshore - Brisbane'!E13),ISNUMBER(K276),ISNUMBER('Offshore - Brisbane'!F13),ISNUMBER('Offshore - Brisbane'!G13),OR('Offshore - Brisbane'!F13&lt;&gt;0,ISNUMBER(SEARCH("Material 0 terverifikasi",'Offshore - Brisbane'!N13))),OR('Offshore - Brisbane'!G13&lt;&gt;0,ISNUMBER(SEARCH("Enrolment 0 terverifikasi",'Offshore - Brisbane'!N13)))),1,0)</f>
        <v>0</v>
      </c>
      <c r="M276" s="0" t="n">
        <f aca="false">IF(OR('Offshore - Brisbane'!E13="",ISNUMBER(SEARCH("BSB80120",'Offshore - Brisbane'!B13&amp;'Offshore - Brisbane'!N13)),ISNUMBER(SEARCH("Management (Learning)",'Offshore - Brisbane'!B13))),2,IF(ISNUMBER(SEARCH("CEK:",'Offshore - Brisbane'!N13)),1,0))</f>
        <v>1</v>
      </c>
    </row>
    <row r="277" customFormat="false" ht="15" hidden="false" customHeight="false" outlineLevel="0" collapsed="false">
      <c r="A277" s="63" t="s">
        <v>3563</v>
      </c>
      <c r="B277" s="64" t="s">
        <v>3833</v>
      </c>
      <c r="C277" s="63" t="s">
        <v>46</v>
      </c>
      <c r="D277" s="64" t="str">
        <f aca="false">TRIM(LEFT('Offshore - Brisbane'!A33,FIND(CHAR(10),'Offshore - Brisbane'!A33&amp;CHAR(10))-1))</f>
        <v>Asia Pacific International College (APIC)</v>
      </c>
      <c r="E277" s="63" t="str">
        <f aca="false">'Offshore - Brisbane'!C40&amp;""</f>
        <v>2 years</v>
      </c>
      <c r="F277" s="63" t="str">
        <f aca="false">IF('Offshore - Brisbane'!D40="","Belum tercatat",'Offshore - Brisbane'!D40)</f>
        <v>Trimester</v>
      </c>
      <c r="G277" s="65" t="n">
        <f aca="false">IF('Offshore - Brisbane'!E40="","-",'Offshore - Brisbane'!E40)</f>
        <v>7800</v>
      </c>
      <c r="H277" s="63" t="n">
        <f aca="false">IF(ISNUMBER(K277),COUNTIFS($J$6:$J$1854,J277,$K$6:$K$1854,"&lt;"&amp;K277)+1,"-")</f>
        <v>4</v>
      </c>
      <c r="I277" s="64" t="str">
        <f aca="false">IF('Offshore - Brisbane'!E40="","Harga belum tersedia - hubungi konsultan TEG",IF(M277=2,"Saat ini tidak menerima pendaftaran siswa internasional baru",IF(M277=1,"Harga perlu dikonfirmasi ke sekolah"&amp;IF("Harga promo s.d. 31/12/2026"="","","; "&amp;"Harga promo s.d. 31/12/2026"),"Harga promo s.d. 31/12/2026")))</f>
        <v>Harga promo s.d. 31/12/2026</v>
      </c>
      <c r="J277" s="0" t="s">
        <v>3854</v>
      </c>
      <c r="K277" s="0" t="n">
        <f aca="false">IF(M277=2,"",IF(ISNUMBER(SEARCH("rata-rata:",'Offshore - Brisbane'!N40)),VALUE(MID('Offshore - Brisbane'!N40,SEARCH("rata-rata:",'Offshore - Brisbane'!N40)+11,FIND(";",'Offshore - Brisbane'!N40&amp;";",SEARCH("rata-rata:",'Offshore - Brisbane'!N40))-SEARCH("rata-rata:",'Offshore - Brisbane'!N40)-11)),IF('Offshore - Brisbane'!D40="Semester",'Offshore - Brisbane'!E40*2,IF('Offshore - Brisbane'!D40="Trimester",'Offshore - Brisbane'!E40*3,IF('Offshore - Brisbane'!D40="Term",'Offshore - Brisbane'!E40*4,IF('Offshore - Brisbane'!D40="Unit",'Offshore - Brisbane'!E40*8,""))))))</f>
        <v>23400</v>
      </c>
      <c r="L277" s="0" t="n">
        <f aca="false">IF(AND(ISNUMBER('Offshore - Brisbane'!E40),ISNUMBER(K277),ISNUMBER('Offshore - Brisbane'!F40),ISNUMBER('Offshore - Brisbane'!G40),OR('Offshore - Brisbane'!F40&lt;&gt;0,ISNUMBER(SEARCH("Material 0 terverifikasi",'Offshore - Brisbane'!N40))),OR('Offshore - Brisbane'!G40&lt;&gt;0,ISNUMBER(SEARCH("Enrolment 0 terverifikasi",'Offshore - Brisbane'!N40)))),1,0)</f>
        <v>0</v>
      </c>
      <c r="M277" s="0" t="n">
        <f aca="false">IF(OR('Offshore - Brisbane'!E40="",ISNUMBER(SEARCH("BSB80120",'Offshore - Brisbane'!B40&amp;'Offshore - Brisbane'!N40)),ISNUMBER(SEARCH("Management (Learning)",'Offshore - Brisbane'!B40))),2,IF(ISNUMBER(SEARCH("CEK:",'Offshore - Brisbane'!N40)),1,0))</f>
        <v>0</v>
      </c>
    </row>
    <row r="278" customFormat="false" ht="15" hidden="false" customHeight="false" outlineLevel="0" collapsed="false">
      <c r="A278" s="63" t="s">
        <v>3563</v>
      </c>
      <c r="B278" s="64" t="s">
        <v>3833</v>
      </c>
      <c r="C278" s="63" t="s">
        <v>46</v>
      </c>
      <c r="D278" s="64" t="str">
        <f aca="false">TRIM(LEFT('Offshore - Brisbane'!A308,FIND(CHAR(10),'Offshore - Brisbane'!A308&amp;CHAR(10))-1))</f>
        <v>Torrens University Australia</v>
      </c>
      <c r="E278" s="63" t="str">
        <f aca="false">'Offshore - Brisbane'!C319&amp;""</f>
        <v>1,5 years</v>
      </c>
      <c r="F278" s="63" t="str">
        <f aca="false">IF('Offshore - Brisbane'!D319="","Belum tercatat",'Offshore - Brisbane'!D319)</f>
        <v>Term</v>
      </c>
      <c r="G278" s="65" t="n">
        <f aca="false">IF('Offshore - Brisbane'!E319="","-",'Offshore - Brisbane'!E319)</f>
        <v>9000</v>
      </c>
      <c r="H278" s="63" t="n">
        <f aca="false">IF(ISNUMBER(K278),COUNTIFS($J$6:$J$1854,J278,$K$6:$K$1854,"&lt;"&amp;K278)+1,"-")</f>
        <v>5</v>
      </c>
      <c r="I278" s="64" t="str">
        <f aca="false">IF('Offshore - Brisbane'!E319="","Harga belum tersedia - hubungi konsultan TEG",IF(M278=2,"Saat ini tidak menerima pendaftaran siswa internasional baru",IF(M278=1,"Harga perlu dikonfirmasi ke sekolah"&amp;IF(""="","","; "&amp;""),"")))</f>
        <v/>
      </c>
      <c r="J278" s="0" t="s">
        <v>3854</v>
      </c>
      <c r="K278" s="0" t="n">
        <f aca="false">IF(M278=2,"",IF(ISNUMBER(SEARCH("rata-rata:",'Offshore - Brisbane'!N319)),VALUE(MID('Offshore - Brisbane'!N319,SEARCH("rata-rata:",'Offshore - Brisbane'!N319)+11,FIND(";",'Offshore - Brisbane'!N319&amp;";",SEARCH("rata-rata:",'Offshore - Brisbane'!N319))-SEARCH("rata-rata:",'Offshore - Brisbane'!N319)-11)),IF('Offshore - Brisbane'!D319="Semester",'Offshore - Brisbane'!E319*2,IF('Offshore - Brisbane'!D319="Trimester",'Offshore - Brisbane'!E319*3,IF('Offshore - Brisbane'!D319="Term",'Offshore - Brisbane'!E319*4,IF('Offshore - Brisbane'!D319="Unit",'Offshore - Brisbane'!E319*8,""))))))</f>
        <v>36000</v>
      </c>
      <c r="L278" s="0" t="n">
        <f aca="false">IF(AND(ISNUMBER('Offshore - Brisbane'!E319),ISNUMBER(K278),ISNUMBER('Offshore - Brisbane'!F319),ISNUMBER('Offshore - Brisbane'!G319),OR('Offshore - Brisbane'!F319&lt;&gt;0,ISNUMBER(SEARCH("Material 0 terverifikasi",'Offshore - Brisbane'!N319))),OR('Offshore - Brisbane'!G319&lt;&gt;0,ISNUMBER(SEARCH("Enrolment 0 terverifikasi",'Offshore - Brisbane'!N319)))),1,0)</f>
        <v>0</v>
      </c>
      <c r="M278" s="0" t="n">
        <f aca="false">IF(OR('Offshore - Brisbane'!E319="",ISNUMBER(SEARCH("BSB80120",'Offshore - Brisbane'!B319&amp;'Offshore - Brisbane'!N319)),ISNUMBER(SEARCH("Management (Learning)",'Offshore - Brisbane'!B319))),2,IF(ISNUMBER(SEARCH("CEK:",'Offshore - Brisbane'!N319)),1,0))</f>
        <v>0</v>
      </c>
    </row>
    <row r="279" customFormat="false" ht="15" hidden="false" customHeight="false" outlineLevel="0" collapsed="false">
      <c r="A279" s="63" t="s">
        <v>3563</v>
      </c>
      <c r="B279" s="64" t="s">
        <v>3833</v>
      </c>
      <c r="C279" s="63" t="s">
        <v>46</v>
      </c>
      <c r="D279" s="64" t="str">
        <f aca="false">TRIM(LEFT('Offshore - Brisbane'!A53,FIND(CHAR(10),'Offshore - Brisbane'!A53&amp;CHAR(10))-1))</f>
        <v>Australian Catholic University (ACU)</v>
      </c>
      <c r="E279" s="63" t="str">
        <f aca="false">'Offshore - Brisbane'!C79&amp;""</f>
        <v>2 years</v>
      </c>
      <c r="F279" s="63" t="str">
        <f aca="false">IF('Offshore - Brisbane'!D79="","Belum tercatat",'Offshore - Brisbane'!D79)</f>
        <v>Term</v>
      </c>
      <c r="G279" s="65" t="n">
        <f aca="false">IF('Offshore - Brisbane'!E79="","-",'Offshore - Brisbane'!E79)</f>
        <v>9524</v>
      </c>
      <c r="H279" s="63" t="n">
        <f aca="false">IF(ISNUMBER(K279),COUNTIFS($J$6:$J$1854,J279,$K$6:$K$1854,"&lt;"&amp;K279)+1,"-")</f>
        <v>6</v>
      </c>
      <c r="I279" s="64" t="str">
        <f aca="false">IF('Offshore - Brisbane'!E79="","Harga belum tersedia - hubungi konsultan TEG",IF(M279=2,"Saat ini tidak menerima pendaftaran siswa internasional baru",IF(M279=1,"Harga perlu dikonfirmasi ke sekolah"&amp;IF(""="","","; "&amp;""),"")))</f>
        <v/>
      </c>
      <c r="J279" s="0" t="s">
        <v>3854</v>
      </c>
      <c r="K279" s="0" t="n">
        <f aca="false">IF(M279=2,"",IF(ISNUMBER(SEARCH("rata-rata:",'Offshore - Brisbane'!N79)),VALUE(MID('Offshore - Brisbane'!N79,SEARCH("rata-rata:",'Offshore - Brisbane'!N79)+11,FIND(";",'Offshore - Brisbane'!N79&amp;";",SEARCH("rata-rata:",'Offshore - Brisbane'!N79))-SEARCH("rata-rata:",'Offshore - Brisbane'!N79)-11)),IF('Offshore - Brisbane'!D79="Semester",'Offshore - Brisbane'!E79*2,IF('Offshore - Brisbane'!D79="Trimester",'Offshore - Brisbane'!E79*3,IF('Offshore - Brisbane'!D79="Term",'Offshore - Brisbane'!E79*4,IF('Offshore - Brisbane'!D79="Unit",'Offshore - Brisbane'!E79*8,""))))))</f>
        <v>38096</v>
      </c>
      <c r="L279" s="0" t="n">
        <f aca="false">IF(AND(ISNUMBER('Offshore - Brisbane'!E79),ISNUMBER(K279),ISNUMBER('Offshore - Brisbane'!F79),ISNUMBER('Offshore - Brisbane'!G79),OR('Offshore - Brisbane'!F79&lt;&gt;0,ISNUMBER(SEARCH("Material 0 terverifikasi",'Offshore - Brisbane'!N79))),OR('Offshore - Brisbane'!G79&lt;&gt;0,ISNUMBER(SEARCH("Enrolment 0 terverifikasi",'Offshore - Brisbane'!N79)))),1,0)</f>
        <v>0</v>
      </c>
      <c r="M279" s="0" t="n">
        <f aca="false">IF(OR('Offshore - Brisbane'!E79="",ISNUMBER(SEARCH("BSB80120",'Offshore - Brisbane'!B79&amp;'Offshore - Brisbane'!N79)),ISNUMBER(SEARCH("Management (Learning)",'Offshore - Brisbane'!B79))),2,IF(ISNUMBER(SEARCH("CEK:",'Offshore - Brisbane'!N79)),1,0))</f>
        <v>0</v>
      </c>
    </row>
    <row r="280" customFormat="false" ht="15" hidden="false" customHeight="false" outlineLevel="0" collapsed="false">
      <c r="A280" s="63" t="s">
        <v>3563</v>
      </c>
      <c r="B280" s="64" t="s">
        <v>3833</v>
      </c>
      <c r="C280" s="63" t="s">
        <v>46</v>
      </c>
      <c r="D280" s="64" t="str">
        <f aca="false">TRIM(LEFT('Offshore - Brisbane'!A250,FIND(CHAR(10),'Offshore - Brisbane'!A250&amp;CHAR(10))-1))</f>
        <v>Kaplan Business School</v>
      </c>
      <c r="E280" s="63" t="str">
        <f aca="false">'Offshore - Brisbane'!C254&amp;""</f>
        <v>1,5 years</v>
      </c>
      <c r="F280" s="63" t="str">
        <f aca="false">IF('Offshore - Brisbane'!D254="","Belum tercatat",'Offshore - Brisbane'!D254)</f>
        <v>Trimester</v>
      </c>
      <c r="G280" s="65" t="n">
        <f aca="false">IF('Offshore - Brisbane'!E254="","-",'Offshore - Brisbane'!E254)</f>
        <v>19640</v>
      </c>
      <c r="H280" s="63" t="n">
        <f aca="false">IF(ISNUMBER(K280),COUNTIFS($J$6:$J$1854,J280,$K$6:$K$1854,"&lt;"&amp;K280)+1,"-")</f>
        <v>7</v>
      </c>
      <c r="I280" s="64" t="str">
        <f aca="false">IF('Offshore - Brisbane'!E254="","Harga belum tersedia - hubungi konsultan TEG",IF(M280=2,"Saat ini tidak menerima pendaftaran siswa internasional baru",IF(M280=1,"Harga perlu dikonfirmasi ke sekolah"&amp;IF(""="","","; "&amp;""),"")))</f>
        <v>Harga perlu dikonfirmasi ke sekolah</v>
      </c>
      <c r="J280" s="0" t="s">
        <v>3854</v>
      </c>
      <c r="K280" s="0" t="n">
        <f aca="false">IF(M280=2,"",IF(ISNUMBER(SEARCH("rata-rata:",'Offshore - Brisbane'!N254)),VALUE(MID('Offshore - Brisbane'!N254,SEARCH("rata-rata:",'Offshore - Brisbane'!N254)+11,FIND(";",'Offshore - Brisbane'!N254&amp;";",SEARCH("rata-rata:",'Offshore - Brisbane'!N254))-SEARCH("rata-rata:",'Offshore - Brisbane'!N254)-11)),IF('Offshore - Brisbane'!D254="Semester",'Offshore - Brisbane'!E254*2,IF('Offshore - Brisbane'!D254="Trimester",'Offshore - Brisbane'!E254*3,IF('Offshore - Brisbane'!D254="Term",'Offshore - Brisbane'!E254*4,IF('Offshore - Brisbane'!D254="Unit",'Offshore - Brisbane'!E254*8,""))))))</f>
        <v>58920</v>
      </c>
      <c r="L280" s="0" t="n">
        <f aca="false">IF(AND(ISNUMBER('Offshore - Brisbane'!E254),ISNUMBER(K280),ISNUMBER('Offshore - Brisbane'!F254),ISNUMBER('Offshore - Brisbane'!G254),OR('Offshore - Brisbane'!F254&lt;&gt;0,ISNUMBER(SEARCH("Material 0 terverifikasi",'Offshore - Brisbane'!N254))),OR('Offshore - Brisbane'!G254&lt;&gt;0,ISNUMBER(SEARCH("Enrolment 0 terverifikasi",'Offshore - Brisbane'!N254)))),1,0)</f>
        <v>1</v>
      </c>
      <c r="M280" s="0" t="n">
        <f aca="false">IF(OR('Offshore - Brisbane'!E254="",ISNUMBER(SEARCH("BSB80120",'Offshore - Brisbane'!B254&amp;'Offshore - Brisbane'!N254)),ISNUMBER(SEARCH("Management (Learning)",'Offshore - Brisbane'!B254))),2,IF(ISNUMBER(SEARCH("CEK:",'Offshore - Brisbane'!N254)),1,0))</f>
        <v>1</v>
      </c>
    </row>
    <row r="281" customFormat="false" ht="15" hidden="false" customHeight="false" outlineLevel="0" collapsed="false">
      <c r="A281" s="61" t="s">
        <v>3855</v>
      </c>
      <c r="B281" s="62"/>
      <c r="C281" s="62"/>
      <c r="D281" s="62"/>
      <c r="E281" s="62"/>
      <c r="F281" s="62"/>
      <c r="G281" s="62"/>
      <c r="H281" s="62"/>
      <c r="I281" s="62"/>
    </row>
    <row r="282" customFormat="false" ht="15" hidden="false" customHeight="false" outlineLevel="0" collapsed="false">
      <c r="A282" s="63" t="s">
        <v>3718</v>
      </c>
      <c r="B282" s="64" t="s">
        <v>3833</v>
      </c>
      <c r="C282" s="63" t="s">
        <v>41</v>
      </c>
      <c r="D282" s="64" t="str">
        <f aca="false">TRIM(LEFT('Offshore - Canberra'!A6,FIND(CHAR(10),'Offshore - Canberra'!A6&amp;CHAR(10))-1))</f>
        <v>Australian Catholic University (ACU)</v>
      </c>
      <c r="E282" s="63" t="str">
        <f aca="false">'Offshore - Canberra'!C100&amp;""</f>
        <v>1 year</v>
      </c>
      <c r="F282" s="63" t="str">
        <f aca="false">IF('Offshore - Canberra'!D100="","Belum tercatat",'Offshore - Canberra'!D100)</f>
        <v>Term</v>
      </c>
      <c r="G282" s="65" t="n">
        <f aca="false">IF('Offshore - Canberra'!E100="","-",'Offshore - Canberra'!E100)</f>
        <v>8058</v>
      </c>
      <c r="H282" s="63" t="n">
        <f aca="false">IF(ISNUMBER(K282),COUNTIFS($J$6:$J$1854,J282,$K$6:$K$1854,"&lt;"&amp;K282)+1,"-")</f>
        <v>1</v>
      </c>
      <c r="I282" s="64" t="str">
        <f aca="false">IF('Offshore - Canberra'!E100="","Harga belum tersedia - hubungi konsultan TEG",IF(M282=2,"Saat ini tidak menerima pendaftaran siswa internasional baru",IF(M282=1,"Harga perlu dikonfirmasi ke sekolah"&amp;IF(""="","","; "&amp;""),"")))</f>
        <v/>
      </c>
      <c r="J282" s="0" t="s">
        <v>3856</v>
      </c>
      <c r="K282" s="0" t="n">
        <f aca="false">IF(M282=2,"",IF(ISNUMBER(SEARCH("rata-rata:",'Offshore - Canberra'!N100)),VALUE(MID('Offshore - Canberra'!N100,SEARCH("rata-rata:",'Offshore - Canberra'!N100)+11,FIND(";",'Offshore - Canberra'!N100&amp;";",SEARCH("rata-rata:",'Offshore - Canberra'!N100))-SEARCH("rata-rata:",'Offshore - Canberra'!N100)-11)),IF('Offshore - Canberra'!D100="Semester",'Offshore - Canberra'!E100*2,IF('Offshore - Canberra'!D100="Trimester",'Offshore - Canberra'!E100*3,IF('Offshore - Canberra'!D100="Term",'Offshore - Canberra'!E100*4,IF('Offshore - Canberra'!D100="Unit",'Offshore - Canberra'!E100*8,""))))))</f>
        <v>32232</v>
      </c>
      <c r="L282" s="0" t="n">
        <f aca="false">IF(AND(ISNUMBER('Offshore - Canberra'!E100),ISNUMBER(K282),ISNUMBER('Offshore - Canberra'!F100),ISNUMBER('Offshore - Canberra'!G100),OR('Offshore - Canberra'!F100&lt;&gt;0,ISNUMBER(SEARCH("Material 0 terverifikasi",'Offshore - Canberra'!N100))),OR('Offshore - Canberra'!G100&lt;&gt;0,ISNUMBER(SEARCH("Enrolment 0 terverifikasi",'Offshore - Canberra'!N100)))),1,0)</f>
        <v>0</v>
      </c>
      <c r="M282" s="0" t="n">
        <f aca="false">IF(OR('Offshore - Canberra'!E100="",ISNUMBER(SEARCH("BSB80120",'Offshore - Canberra'!B100&amp;'Offshore - Canberra'!N100)),ISNUMBER(SEARCH("Management (Learning)",'Offshore - Canberra'!B100))),2,IF(ISNUMBER(SEARCH("CEK:",'Offshore - Canberra'!N100)),1,0))</f>
        <v>0</v>
      </c>
    </row>
    <row r="283" customFormat="false" ht="15" hidden="false" customHeight="false" outlineLevel="0" collapsed="false">
      <c r="A283" s="61" t="s">
        <v>3857</v>
      </c>
      <c r="B283" s="62"/>
      <c r="C283" s="62"/>
      <c r="D283" s="62"/>
      <c r="E283" s="62"/>
      <c r="F283" s="62"/>
      <c r="G283" s="62"/>
      <c r="H283" s="62"/>
      <c r="I283" s="62"/>
    </row>
    <row r="284" customFormat="false" ht="28.35" hidden="false" customHeight="false" outlineLevel="0" collapsed="false">
      <c r="A284" s="63" t="s">
        <v>3718</v>
      </c>
      <c r="B284" s="64" t="s">
        <v>3833</v>
      </c>
      <c r="C284" s="63" t="s">
        <v>42</v>
      </c>
      <c r="D284" s="64" t="str">
        <f aca="false">TRIM(LEFT('Offshore - Canberra'!A138,FIND(CHAR(10),'Offshore - Canberra'!A138&amp;CHAR(10))-1))</f>
        <v>Institute of Vision and Business &amp; Technology (IVBT)</v>
      </c>
      <c r="E284" s="63" t="str">
        <f aca="false">'Offshore - Canberra'!C140&amp;""</f>
        <v>2 years</v>
      </c>
      <c r="F284" s="63" t="str">
        <f aca="false">IF('Offshore - Canberra'!D140="","Belum tercatat",'Offshore - Canberra'!D140)</f>
        <v>Term</v>
      </c>
      <c r="G284" s="65" t="n">
        <f aca="false">IF('Offshore - Canberra'!E140="","-",'Offshore - Canberra'!E140)</f>
        <v>1320</v>
      </c>
      <c r="H284" s="63" t="n">
        <f aca="false">IF(ISNUMBER(K284),COUNTIFS($J$6:$J$1854,J284,$K$6:$K$1854,"&lt;"&amp;K284)+1,"-")</f>
        <v>1</v>
      </c>
      <c r="I284" s="64" t="str">
        <f aca="false">IF('Offshore - Canberra'!E140="","Harga belum tersedia - hubungi konsultan TEG",IF(M284=2,"Saat ini tidak menerima pendaftaran siswa internasional baru",IF(M284=1,"Harga perlu dikonfirmasi ke sekolah"&amp;IF(""="","","; "&amp;""),"")))</f>
        <v>Harga perlu dikonfirmasi ke sekolah</v>
      </c>
      <c r="J284" s="0" t="s">
        <v>3858</v>
      </c>
      <c r="K284" s="0" t="n">
        <f aca="false">IF(M284=2,"",IF(ISNUMBER(SEARCH("rata-rata:",'Offshore - Canberra'!N140)),VALUE(MID('Offshore - Canberra'!N140,SEARCH("rata-rata:",'Offshore - Canberra'!N140)+11,FIND(";",'Offshore - Canberra'!N140&amp;";",SEARCH("rata-rata:",'Offshore - Canberra'!N140))-SEARCH("rata-rata:",'Offshore - Canberra'!N140)-11)),IF('Offshore - Canberra'!D140="Semester",'Offshore - Canberra'!E140*2,IF('Offshore - Canberra'!D140="Trimester",'Offshore - Canberra'!E140*3,IF('Offshore - Canberra'!D140="Term",'Offshore - Canberra'!E140*4,IF('Offshore - Canberra'!D140="Unit",'Offshore - Canberra'!E140*8,""))))))</f>
        <v>5280</v>
      </c>
      <c r="L284" s="0" t="n">
        <f aca="false">IF(AND(ISNUMBER('Offshore - Canberra'!E140),ISNUMBER(K284),ISNUMBER('Offshore - Canberra'!F140),ISNUMBER('Offshore - Canberra'!G140),OR('Offshore - Canberra'!F140&lt;&gt;0,ISNUMBER(SEARCH("Material 0 terverifikasi",'Offshore - Canberra'!N140))),OR('Offshore - Canberra'!G140&lt;&gt;0,ISNUMBER(SEARCH("Enrolment 0 terverifikasi",'Offshore - Canberra'!N140)))),1,0)</f>
        <v>1</v>
      </c>
      <c r="M284" s="0" t="n">
        <f aca="false">IF(OR('Offshore - Canberra'!E140="",ISNUMBER(SEARCH("BSB80120",'Offshore - Canberra'!B140&amp;'Offshore - Canberra'!N140)),ISNUMBER(SEARCH("Management (Learning)",'Offshore - Canberra'!B140))),2,IF(ISNUMBER(SEARCH("CEK:",'Offshore - Canberra'!N140)),1,0))</f>
        <v>1</v>
      </c>
    </row>
    <row r="285" customFormat="false" ht="15" hidden="false" customHeight="false" outlineLevel="0" collapsed="false">
      <c r="A285" s="63" t="s">
        <v>3718</v>
      </c>
      <c r="B285" s="64" t="s">
        <v>3833</v>
      </c>
      <c r="C285" s="63" t="s">
        <v>42</v>
      </c>
      <c r="D285" s="64" t="str">
        <f aca="false">TRIM(LEFT('Offshore - Canberra'!A111,FIND(CHAR(10),'Offshore - Canberra'!A111&amp;CHAR(10))-1))</f>
        <v>Capital College</v>
      </c>
      <c r="E285" s="63" t="str">
        <f aca="false">'Offshore - Canberra'!C118&amp;""</f>
        <v>2 years</v>
      </c>
      <c r="F285" s="63" t="str">
        <f aca="false">IF('Offshore - Canberra'!D118="","Belum tercatat",'Offshore - Canberra'!D118)</f>
        <v>Term</v>
      </c>
      <c r="G285" s="65" t="n">
        <f aca="false">IF('Offshore - Canberra'!E118="","-",'Offshore - Canberra'!E118)</f>
        <v>1875</v>
      </c>
      <c r="H285" s="63" t="n">
        <f aca="false">IF(ISNUMBER(K285),COUNTIFS($J$6:$J$1854,J285,$K$6:$K$1854,"&lt;"&amp;K285)+1,"-")</f>
        <v>2</v>
      </c>
      <c r="I285" s="64" t="str">
        <f aca="false">IF('Offshore - Canberra'!E118="","Harga belum tersedia - hubungi konsultan TEG",IF(M285=2,"Saat ini tidak menerima pendaftaran siswa internasional baru",IF(M285=1,"Harga perlu dikonfirmasi ke sekolah"&amp;IF(""="","","; "&amp;""),"")))</f>
        <v/>
      </c>
      <c r="J285" s="0" t="s">
        <v>3858</v>
      </c>
      <c r="K285" s="0" t="n">
        <f aca="false">IF(M285=2,"",IF(ISNUMBER(SEARCH("rata-rata:",'Offshore - Canberra'!N118)),VALUE(MID('Offshore - Canberra'!N118,SEARCH("rata-rata:",'Offshore - Canberra'!N118)+11,FIND(";",'Offshore - Canberra'!N118&amp;";",SEARCH("rata-rata:",'Offshore - Canberra'!N118))-SEARCH("rata-rata:",'Offshore - Canberra'!N118)-11)),IF('Offshore - Canberra'!D118="Semester",'Offshore - Canberra'!E118*2,IF('Offshore - Canberra'!D118="Trimester",'Offshore - Canberra'!E118*3,IF('Offshore - Canberra'!D118="Term",'Offshore - Canberra'!E118*4,IF('Offshore - Canberra'!D118="Unit",'Offshore - Canberra'!E118*8,""))))))</f>
        <v>7500</v>
      </c>
      <c r="L285" s="0" t="n">
        <f aca="false">IF(AND(ISNUMBER('Offshore - Canberra'!E118),ISNUMBER(K285),ISNUMBER('Offshore - Canberra'!F118),ISNUMBER('Offshore - Canberra'!G118),OR('Offshore - Canberra'!F118&lt;&gt;0,ISNUMBER(SEARCH("Material 0 terverifikasi",'Offshore - Canberra'!N118))),OR('Offshore - Canberra'!G118&lt;&gt;0,ISNUMBER(SEARCH("Enrolment 0 terverifikasi",'Offshore - Canberra'!N118)))),1,0)</f>
        <v>1</v>
      </c>
      <c r="M285" s="0" t="n">
        <f aca="false">IF(OR('Offshore - Canberra'!E118="",ISNUMBER(SEARCH("BSB80120",'Offshore - Canberra'!B118&amp;'Offshore - Canberra'!N118)),ISNUMBER(SEARCH("Management (Learning)",'Offshore - Canberra'!B118))),2,IF(ISNUMBER(SEARCH("CEK:",'Offshore - Canberra'!N118)),1,0))</f>
        <v>0</v>
      </c>
    </row>
    <row r="286" customFormat="false" ht="15" hidden="false" customHeight="false" outlineLevel="0" collapsed="false">
      <c r="A286" s="63" t="s">
        <v>3718</v>
      </c>
      <c r="B286" s="64" t="s">
        <v>3833</v>
      </c>
      <c r="C286" s="63" t="s">
        <v>42</v>
      </c>
      <c r="D286" s="64" t="str">
        <f aca="false">TRIM(LEFT('Offshore - Canberra'!A144,FIND(CHAR(10),'Offshore - Canberra'!A144&amp;CHAR(10))-1))</f>
        <v>Opulence College</v>
      </c>
      <c r="E286" s="63" t="str">
        <f aca="false">'Offshore - Canberra'!C147&amp;""</f>
        <v>2 years</v>
      </c>
      <c r="F286" s="63" t="str">
        <f aca="false">IF('Offshore - Canberra'!D147="","Belum tercatat",'Offshore - Canberra'!D147)</f>
        <v>Term</v>
      </c>
      <c r="G286" s="65" t="n">
        <f aca="false">IF('Offshore - Canberra'!E147="","-",'Offshore - Canberra'!E147)</f>
        <v>2000</v>
      </c>
      <c r="H286" s="63" t="n">
        <f aca="false">IF(ISNUMBER(K286),COUNTIFS($J$6:$J$1854,J286,$K$6:$K$1854,"&lt;"&amp;K286)+1,"-")</f>
        <v>3</v>
      </c>
      <c r="I286" s="64" t="str">
        <f aca="false">IF('Offshore - Canberra'!E147="","Harga belum tersedia - hubungi konsultan TEG",IF(M286=2,"Saat ini tidak menerima pendaftaran siswa internasional baru",IF(M286=1,"Harga perlu dikonfirmasi ke sekolah"&amp;IF(""="","","; "&amp;""),"")))</f>
        <v/>
      </c>
      <c r="J286" s="0" t="s">
        <v>3858</v>
      </c>
      <c r="K286" s="0" t="n">
        <f aca="false">IF(M286=2,"",IF(ISNUMBER(SEARCH("rata-rata:",'Offshore - Canberra'!N147)),VALUE(MID('Offshore - Canberra'!N147,SEARCH("rata-rata:",'Offshore - Canberra'!N147)+11,FIND(";",'Offshore - Canberra'!N147&amp;";",SEARCH("rata-rata:",'Offshore - Canberra'!N147))-SEARCH("rata-rata:",'Offshore - Canberra'!N147)-11)),IF('Offshore - Canberra'!D147="Semester",'Offshore - Canberra'!E147*2,IF('Offshore - Canberra'!D147="Trimester",'Offshore - Canberra'!E147*3,IF('Offshore - Canberra'!D147="Term",'Offshore - Canberra'!E147*4,IF('Offshore - Canberra'!D147="Unit",'Offshore - Canberra'!E147*8,""))))))</f>
        <v>8000</v>
      </c>
      <c r="L286" s="0" t="n">
        <f aca="false">IF(AND(ISNUMBER('Offshore - Canberra'!E147),ISNUMBER(K286),ISNUMBER('Offshore - Canberra'!F147),ISNUMBER('Offshore - Canberra'!G147),OR('Offshore - Canberra'!F147&lt;&gt;0,ISNUMBER(SEARCH("Material 0 terverifikasi",'Offshore - Canberra'!N147))),OR('Offshore - Canberra'!G147&lt;&gt;0,ISNUMBER(SEARCH("Enrolment 0 terverifikasi",'Offshore - Canberra'!N147)))),1,0)</f>
        <v>1</v>
      </c>
      <c r="M286" s="0" t="n">
        <f aca="false">IF(OR('Offshore - Canberra'!E147="",ISNUMBER(SEARCH("BSB80120",'Offshore - Canberra'!B147&amp;'Offshore - Canberra'!N147)),ISNUMBER(SEARCH("Management (Learning)",'Offshore - Canberra'!B147))),2,IF(ISNUMBER(SEARCH("CEK:",'Offshore - Canberra'!N147)),1,0))</f>
        <v>0</v>
      </c>
    </row>
    <row r="287" customFormat="false" ht="15" hidden="false" customHeight="false" outlineLevel="0" collapsed="false">
      <c r="A287" s="61" t="s">
        <v>3859</v>
      </c>
      <c r="B287" s="62"/>
      <c r="C287" s="62"/>
      <c r="D287" s="62"/>
      <c r="E287" s="62"/>
      <c r="F287" s="62"/>
      <c r="G287" s="62"/>
      <c r="H287" s="62"/>
      <c r="I287" s="62"/>
    </row>
    <row r="288" customFormat="false" ht="15" hidden="false" customHeight="false" outlineLevel="0" collapsed="false">
      <c r="A288" s="63" t="s">
        <v>3718</v>
      </c>
      <c r="B288" s="64" t="s">
        <v>3833</v>
      </c>
      <c r="C288" s="63" t="s">
        <v>43</v>
      </c>
      <c r="D288" s="64" t="str">
        <f aca="false">TRIM(LEFT('Offshore - Canberra'!A123,FIND(CHAR(10),'Offshore - Canberra'!A123&amp;CHAR(10))-1))</f>
        <v>CIHE Australia</v>
      </c>
      <c r="E288" s="63" t="str">
        <f aca="false">'Offshore - Canberra'!C136&amp;""</f>
        <v>3 years</v>
      </c>
      <c r="F288" s="63" t="str">
        <f aca="false">IF('Offshore - Canberra'!D136="","Belum tercatat",'Offshore - Canberra'!D136)</f>
        <v>Term</v>
      </c>
      <c r="G288" s="65" t="n">
        <f aca="false">IF('Offshore - Canberra'!E136="","-",'Offshore - Canberra'!E136)</f>
        <v>3825</v>
      </c>
      <c r="H288" s="63" t="n">
        <f aca="false">IF(ISNUMBER(K288),COUNTIFS($J$6:$J$1854,J288,$K$6:$K$1854,"&lt;"&amp;K288)+1,"-")</f>
        <v>1</v>
      </c>
      <c r="I288" s="64" t="str">
        <f aca="false">IF('Offshore - Canberra'!E136="","Harga belum tersedia - hubungi konsultan TEG",IF(M288=2,"Saat ini tidak menerima pendaftaran siswa internasional baru",IF(M288=1,"Harga perlu dikonfirmasi ke sekolah"&amp;IF(""="","","; "&amp;""),"")))</f>
        <v>Harga perlu dikonfirmasi ke sekolah</v>
      </c>
      <c r="J288" s="0" t="s">
        <v>3860</v>
      </c>
      <c r="K288" s="0" t="n">
        <f aca="false">IF(M288=2,"",IF(ISNUMBER(SEARCH("rata-rata:",'Offshore - Canberra'!N136)),VALUE(MID('Offshore - Canberra'!N136,SEARCH("rata-rata:",'Offshore - Canberra'!N136)+11,FIND(";",'Offshore - Canberra'!N136&amp;";",SEARCH("rata-rata:",'Offshore - Canberra'!N136))-SEARCH("rata-rata:",'Offshore - Canberra'!N136)-11)),IF('Offshore - Canberra'!D136="Semester",'Offshore - Canberra'!E136*2,IF('Offshore - Canberra'!D136="Trimester",'Offshore - Canberra'!E136*3,IF('Offshore - Canberra'!D136="Term",'Offshore - Canberra'!E136*4,IF('Offshore - Canberra'!D136="Unit",'Offshore - Canberra'!E136*8,""))))))</f>
        <v>15300</v>
      </c>
      <c r="L288" s="0" t="n">
        <f aca="false">IF(AND(ISNUMBER('Offshore - Canberra'!E136),ISNUMBER(K288),ISNUMBER('Offshore - Canberra'!F136),ISNUMBER('Offshore - Canberra'!G136),OR('Offshore - Canberra'!F136&lt;&gt;0,ISNUMBER(SEARCH("Material 0 terverifikasi",'Offshore - Canberra'!N136))),OR('Offshore - Canberra'!G136&lt;&gt;0,ISNUMBER(SEARCH("Enrolment 0 terverifikasi",'Offshore - Canberra'!N136)))),1,0)</f>
        <v>1</v>
      </c>
      <c r="M288" s="0" t="n">
        <f aca="false">IF(OR('Offshore - Canberra'!E136="",ISNUMBER(SEARCH("BSB80120",'Offshore - Canberra'!B136&amp;'Offshore - Canberra'!N136)),ISNUMBER(SEARCH("Management (Learning)",'Offshore - Canberra'!B136))),2,IF(ISNUMBER(SEARCH("CEK:",'Offshore - Canberra'!N136)),1,0))</f>
        <v>1</v>
      </c>
    </row>
    <row r="289" customFormat="false" ht="15" hidden="false" customHeight="false" outlineLevel="0" collapsed="false">
      <c r="A289" s="63" t="s">
        <v>3718</v>
      </c>
      <c r="B289" s="64" t="s">
        <v>3833</v>
      </c>
      <c r="C289" s="63" t="s">
        <v>43</v>
      </c>
      <c r="D289" s="64" t="str">
        <f aca="false">TRIM(LEFT('Offshore - Canberra'!A6,FIND(CHAR(10),'Offshore - Canberra'!A6&amp;CHAR(10))-1))</f>
        <v>Australian Catholic University (ACU)</v>
      </c>
      <c r="E289" s="63" t="str">
        <f aca="false">'Offshore - Canberra'!C7&amp;""</f>
        <v>4 years</v>
      </c>
      <c r="F289" s="63" t="str">
        <f aca="false">IF('Offshore - Canberra'!D7="","Belum tercatat",'Offshore - Canberra'!D7)</f>
        <v>Term</v>
      </c>
      <c r="G289" s="65" t="n">
        <f aca="false">IF('Offshore - Canberra'!E7="","-",'Offshore - Canberra'!E7)</f>
        <v>8742</v>
      </c>
      <c r="H289" s="63" t="n">
        <f aca="false">IF(ISNUMBER(K289),COUNTIFS($J$6:$J$1854,J289,$K$6:$K$1854,"&lt;"&amp;K289)+1,"-")</f>
        <v>2</v>
      </c>
      <c r="I289" s="64" t="str">
        <f aca="false">IF('Offshore - Canberra'!E7="","Harga belum tersedia - hubungi konsultan TEG",IF(M289=2,"Saat ini tidak menerima pendaftaran siswa internasional baru",IF(M289=1,"Harga perlu dikonfirmasi ke sekolah"&amp;IF(""="","","; "&amp;""),"")))</f>
        <v/>
      </c>
      <c r="J289" s="0" t="s">
        <v>3860</v>
      </c>
      <c r="K289" s="0" t="n">
        <f aca="false">IF(M289=2,"",IF(ISNUMBER(SEARCH("rata-rata:",'Offshore - Canberra'!N7)),VALUE(MID('Offshore - Canberra'!N7,SEARCH("rata-rata:",'Offshore - Canberra'!N7)+11,FIND(";",'Offshore - Canberra'!N7&amp;";",SEARCH("rata-rata:",'Offshore - Canberra'!N7))-SEARCH("rata-rata:",'Offshore - Canberra'!N7)-11)),IF('Offshore - Canberra'!D7="Semester",'Offshore - Canberra'!E7*2,IF('Offshore - Canberra'!D7="Trimester",'Offshore - Canberra'!E7*3,IF('Offshore - Canberra'!D7="Term",'Offshore - Canberra'!E7*4,IF('Offshore - Canberra'!D7="Unit",'Offshore - Canberra'!E7*8,""))))))</f>
        <v>34968</v>
      </c>
      <c r="L289" s="0" t="n">
        <f aca="false">IF(AND(ISNUMBER('Offshore - Canberra'!E7),ISNUMBER(K289),ISNUMBER('Offshore - Canberra'!F7),ISNUMBER('Offshore - Canberra'!G7),OR('Offshore - Canberra'!F7&lt;&gt;0,ISNUMBER(SEARCH("Material 0 terverifikasi",'Offshore - Canberra'!N7))),OR('Offshore - Canberra'!G7&lt;&gt;0,ISNUMBER(SEARCH("Enrolment 0 terverifikasi",'Offshore - Canberra'!N7)))),1,0)</f>
        <v>0</v>
      </c>
      <c r="M289" s="0" t="n">
        <f aca="false">IF(OR('Offshore - Canberra'!E7="",ISNUMBER(SEARCH("BSB80120",'Offshore - Canberra'!B7&amp;'Offshore - Canberra'!N7)),ISNUMBER(SEARCH("Management (Learning)",'Offshore - Canberra'!B7))),2,IF(ISNUMBER(SEARCH("CEK:",'Offshore - Canberra'!N7)),1,0))</f>
        <v>0</v>
      </c>
    </row>
    <row r="290" customFormat="false" ht="15" hidden="false" customHeight="false" outlineLevel="0" collapsed="false">
      <c r="A290" s="61" t="s">
        <v>3861</v>
      </c>
      <c r="B290" s="62"/>
      <c r="C290" s="62"/>
      <c r="D290" s="62"/>
      <c r="E290" s="62"/>
      <c r="F290" s="62"/>
      <c r="G290" s="62"/>
      <c r="H290" s="62"/>
      <c r="I290" s="62"/>
    </row>
    <row r="291" customFormat="false" ht="15" hidden="false" customHeight="false" outlineLevel="0" collapsed="false">
      <c r="A291" s="63" t="s">
        <v>3718</v>
      </c>
      <c r="B291" s="64" t="s">
        <v>3833</v>
      </c>
      <c r="C291" s="63" t="s">
        <v>3707</v>
      </c>
      <c r="D291" s="64" t="str">
        <f aca="false">TRIM(LEFT('Offshore - Canberra'!A111,FIND(CHAR(10),'Offshore - Canberra'!A111&amp;CHAR(10))-1))</f>
        <v>Capital College</v>
      </c>
      <c r="E291" s="63" t="str">
        <f aca="false">'Offshore - Canberra'!C119&amp;""</f>
        <v>3 years</v>
      </c>
      <c r="F291" s="63" t="str">
        <f aca="false">IF('Offshore - Canberra'!D119="","Belum tercatat",'Offshore - Canberra'!D119)</f>
        <v>Term</v>
      </c>
      <c r="G291" s="65" t="n">
        <f aca="false">IF('Offshore - Canberra'!E119="","-",'Offshore - Canberra'!E119)</f>
        <v>2170</v>
      </c>
      <c r="H291" s="63" t="n">
        <f aca="false">IF(ISNUMBER(K291),COUNTIFS($J$6:$J$1854,J291,$K$6:$K$1854,"&lt;"&amp;K291)+1,"-")</f>
        <v>1</v>
      </c>
      <c r="I291" s="64" t="str">
        <f aca="false">IF('Offshore - Canberra'!E119="","Harga belum tersedia - hubungi konsultan TEG",IF(M291=2,"Saat ini tidak menerima pendaftaran siswa internasional baru",IF(M291=1,"Harga perlu dikonfirmasi ke sekolah"&amp;IF(""="","","; "&amp;""),"")))</f>
        <v/>
      </c>
      <c r="J291" s="0" t="s">
        <v>3862</v>
      </c>
      <c r="K291" s="0" t="n">
        <f aca="false">IF(M291=2,"",IF(ISNUMBER(SEARCH("rata-rata:",'Offshore - Canberra'!N119)),VALUE(MID('Offshore - Canberra'!N119,SEARCH("rata-rata:",'Offshore - Canberra'!N119)+11,FIND(";",'Offshore - Canberra'!N119&amp;";",SEARCH("rata-rata:",'Offshore - Canberra'!N119))-SEARCH("rata-rata:",'Offshore - Canberra'!N119)-11)),IF('Offshore - Canberra'!D119="Semester",'Offshore - Canberra'!E119*2,IF('Offshore - Canberra'!D119="Trimester",'Offshore - Canberra'!E119*3,IF('Offshore - Canberra'!D119="Term",'Offshore - Canberra'!E119*4,IF('Offshore - Canberra'!D119="Unit",'Offshore - Canberra'!E119*8,""))))))</f>
        <v>8680</v>
      </c>
      <c r="L291" s="0" t="n">
        <f aca="false">IF(AND(ISNUMBER('Offshore - Canberra'!E119),ISNUMBER(K291),ISNUMBER('Offshore - Canberra'!F119),ISNUMBER('Offshore - Canberra'!G119),OR('Offshore - Canberra'!F119&lt;&gt;0,ISNUMBER(SEARCH("Material 0 terverifikasi",'Offshore - Canberra'!N119))),OR('Offshore - Canberra'!G119&lt;&gt;0,ISNUMBER(SEARCH("Enrolment 0 terverifikasi",'Offshore - Canberra'!N119)))),1,0)</f>
        <v>1</v>
      </c>
      <c r="M291" s="0" t="n">
        <f aca="false">IF(OR('Offshore - Canberra'!E119="",ISNUMBER(SEARCH("BSB80120",'Offshore - Canberra'!B119&amp;'Offshore - Canberra'!N119)),ISNUMBER(SEARCH("Management (Learning)",'Offshore - Canberra'!B119))),2,IF(ISNUMBER(SEARCH("CEK:",'Offshore - Canberra'!N119)),1,0))</f>
        <v>0</v>
      </c>
    </row>
    <row r="292" customFormat="false" ht="15" hidden="false" customHeight="false" outlineLevel="0" collapsed="false">
      <c r="A292" s="63" t="s">
        <v>3718</v>
      </c>
      <c r="B292" s="64" t="s">
        <v>3833</v>
      </c>
      <c r="C292" s="63" t="s">
        <v>3707</v>
      </c>
      <c r="D292" s="64" t="str">
        <f aca="false">TRIM(LEFT('Offshore - Canberra'!A123,FIND(CHAR(10),'Offshore - Canberra'!A123&amp;CHAR(10))-1))</f>
        <v>CIHE Australia</v>
      </c>
      <c r="E292" s="63" t="str">
        <f aca="false">'Offshore - Canberra'!C137&amp;""</f>
        <v>0,5 year</v>
      </c>
      <c r="F292" s="63" t="str">
        <f aca="false">IF('Offshore - Canberra'!D137="","Belum tercatat",'Offshore - Canberra'!D137)</f>
        <v>Term</v>
      </c>
      <c r="G292" s="65" t="n">
        <f aca="false">IF('Offshore - Canberra'!E137="","-",'Offshore - Canberra'!E137)</f>
        <v>4500</v>
      </c>
      <c r="H292" s="63" t="n">
        <f aca="false">IF(ISNUMBER(K292),COUNTIFS($J$6:$J$1854,J292,$K$6:$K$1854,"&lt;"&amp;K292)+1,"-")</f>
        <v>2</v>
      </c>
      <c r="I292" s="64" t="str">
        <f aca="false">IF('Offshore - Canberra'!E137="","Harga belum tersedia - hubungi konsultan TEG",IF(M292=2,"Saat ini tidak menerima pendaftaran siswa internasional baru",IF(M292=1,"Harga perlu dikonfirmasi ke sekolah"&amp;IF(""="","","; "&amp;""),"")))</f>
        <v>Harga perlu dikonfirmasi ke sekolah</v>
      </c>
      <c r="J292" s="0" t="s">
        <v>3862</v>
      </c>
      <c r="K292" s="0" t="n">
        <f aca="false">IF(M292=2,"",IF(ISNUMBER(SEARCH("rata-rata:",'Offshore - Canberra'!N137)),VALUE(MID('Offshore - Canberra'!N137,SEARCH("rata-rata:",'Offshore - Canberra'!N137)+11,FIND(";",'Offshore - Canberra'!N137&amp;";",SEARCH("rata-rata:",'Offshore - Canberra'!N137))-SEARCH("rata-rata:",'Offshore - Canberra'!N137)-11)),IF('Offshore - Canberra'!D137="Semester",'Offshore - Canberra'!E137*2,IF('Offshore - Canberra'!D137="Trimester",'Offshore - Canberra'!E137*3,IF('Offshore - Canberra'!D137="Term",'Offshore - Canberra'!E137*4,IF('Offshore - Canberra'!D137="Unit",'Offshore - Canberra'!E137*8,""))))))</f>
        <v>18000</v>
      </c>
      <c r="L292" s="0" t="n">
        <f aca="false">IF(AND(ISNUMBER('Offshore - Canberra'!E137),ISNUMBER(K292),ISNUMBER('Offshore - Canberra'!F137),ISNUMBER('Offshore - Canberra'!G137),OR('Offshore - Canberra'!F137&lt;&gt;0,ISNUMBER(SEARCH("Material 0 terverifikasi",'Offshore - Canberra'!N137))),OR('Offshore - Canberra'!G137&lt;&gt;0,ISNUMBER(SEARCH("Enrolment 0 terverifikasi",'Offshore - Canberra'!N137)))),1,0)</f>
        <v>1</v>
      </c>
      <c r="M292" s="0" t="n">
        <f aca="false">IF(OR('Offshore - Canberra'!E137="",ISNUMBER(SEARCH("BSB80120",'Offshore - Canberra'!B137&amp;'Offshore - Canberra'!N137)),ISNUMBER(SEARCH("Management (Learning)",'Offshore - Canberra'!B137))),2,IF(ISNUMBER(SEARCH("CEK:",'Offshore - Canberra'!N137)),1,0))</f>
        <v>1</v>
      </c>
    </row>
    <row r="293" customFormat="false" ht="15" hidden="false" customHeight="false" outlineLevel="0" collapsed="false">
      <c r="A293" s="63" t="s">
        <v>3718</v>
      </c>
      <c r="B293" s="64" t="s">
        <v>3833</v>
      </c>
      <c r="C293" s="63" t="s">
        <v>3707</v>
      </c>
      <c r="D293" s="64" t="str">
        <f aca="false">TRIM(LEFT('Offshore - Canberra'!A6,FIND(CHAR(10),'Offshore - Canberra'!A6&amp;CHAR(10))-1))</f>
        <v>Australian Catholic University (ACU)</v>
      </c>
      <c r="E293" s="63" t="str">
        <f aca="false">'Offshore - Canberra'!C31&amp;""</f>
        <v>0,5 year</v>
      </c>
      <c r="F293" s="63" t="str">
        <f aca="false">IF('Offshore - Canberra'!D31="","Belum tercatat",'Offshore - Canberra'!D31)</f>
        <v>Term</v>
      </c>
      <c r="G293" s="65" t="n">
        <f aca="false">IF('Offshore - Canberra'!E31="","-",'Offshore - Canberra'!E31)</f>
        <v>4614</v>
      </c>
      <c r="H293" s="63" t="n">
        <f aca="false">IF(ISNUMBER(K293),COUNTIFS($J$6:$J$1854,J293,$K$6:$K$1854,"&lt;"&amp;K293)+1,"-")</f>
        <v>3</v>
      </c>
      <c r="I293" s="64" t="str">
        <f aca="false">IF('Offshore - Canberra'!E31="","Harga belum tersedia - hubungi konsultan TEG",IF(M293=2,"Saat ini tidak menerima pendaftaran siswa internasional baru",IF(M293=1,"Harga perlu dikonfirmasi ke sekolah"&amp;IF(""="","","; "&amp;""),"")))</f>
        <v>Harga perlu dikonfirmasi ke sekolah</v>
      </c>
      <c r="J293" s="0" t="s">
        <v>3862</v>
      </c>
      <c r="K293" s="0" t="n">
        <f aca="false">IF(M293=2,"",IF(ISNUMBER(SEARCH("rata-rata:",'Offshore - Canberra'!N31)),VALUE(MID('Offshore - Canberra'!N31,SEARCH("rata-rata:",'Offshore - Canberra'!N31)+11,FIND(";",'Offshore - Canberra'!N31&amp;";",SEARCH("rata-rata:",'Offshore - Canberra'!N31))-SEARCH("rata-rata:",'Offshore - Canberra'!N31)-11)),IF('Offshore - Canberra'!D31="Semester",'Offshore - Canberra'!E31*2,IF('Offshore - Canberra'!D31="Trimester",'Offshore - Canberra'!E31*3,IF('Offshore - Canberra'!D31="Term",'Offshore - Canberra'!E31*4,IF('Offshore - Canberra'!D31="Unit",'Offshore - Canberra'!E31*8,""))))))</f>
        <v>18456</v>
      </c>
      <c r="L293" s="0" t="n">
        <f aca="false">IF(AND(ISNUMBER('Offshore - Canberra'!E31),ISNUMBER(K293),ISNUMBER('Offshore - Canberra'!F31),ISNUMBER('Offshore - Canberra'!G31),OR('Offshore - Canberra'!F31&lt;&gt;0,ISNUMBER(SEARCH("Material 0 terverifikasi",'Offshore - Canberra'!N31))),OR('Offshore - Canberra'!G31&lt;&gt;0,ISNUMBER(SEARCH("Enrolment 0 terverifikasi",'Offshore - Canberra'!N31)))),1,0)</f>
        <v>0</v>
      </c>
      <c r="M293" s="0" t="n">
        <f aca="false">IF(OR('Offshore - Canberra'!E31="",ISNUMBER(SEARCH("BSB80120",'Offshore - Canberra'!B31&amp;'Offshore - Canberra'!N31)),ISNUMBER(SEARCH("Management (Learning)",'Offshore - Canberra'!B31))),2,IF(ISNUMBER(SEARCH("CEK:",'Offshore - Canberra'!N31)),1,0))</f>
        <v>1</v>
      </c>
    </row>
    <row r="294" customFormat="false" ht="15" hidden="false" customHeight="false" outlineLevel="0" collapsed="false">
      <c r="A294" s="61" t="s">
        <v>3863</v>
      </c>
      <c r="B294" s="62"/>
      <c r="C294" s="62"/>
      <c r="D294" s="62"/>
      <c r="E294" s="62"/>
      <c r="F294" s="62"/>
      <c r="G294" s="62"/>
      <c r="H294" s="62"/>
      <c r="I294" s="62"/>
    </row>
    <row r="295" customFormat="false" ht="15" hidden="false" customHeight="false" outlineLevel="0" collapsed="false">
      <c r="A295" s="63" t="s">
        <v>3718</v>
      </c>
      <c r="B295" s="64" t="s">
        <v>3833</v>
      </c>
      <c r="C295" s="63" t="s">
        <v>46</v>
      </c>
      <c r="D295" s="64" t="str">
        <f aca="false">TRIM(LEFT('Offshore - Canberra'!A123,FIND(CHAR(10),'Offshore - Canberra'!A123&amp;CHAR(10))-1))</f>
        <v>CIHE Australia</v>
      </c>
      <c r="E295" s="63" t="str">
        <f aca="false">'Offshore - Canberra'!C134&amp;""</f>
        <v>1,5 years</v>
      </c>
      <c r="F295" s="63" t="str">
        <f aca="false">IF('Offshore - Canberra'!D134="","Belum tercatat",'Offshore - Canberra'!D134)</f>
        <v>Term</v>
      </c>
      <c r="G295" s="65" t="n">
        <f aca="false">IF('Offshore - Canberra'!E134="","-",'Offshore - Canberra'!E134)</f>
        <v>4500</v>
      </c>
      <c r="H295" s="63" t="n">
        <f aca="false">IF(ISNUMBER(K295),COUNTIFS($J$6:$J$1854,J295,$K$6:$K$1854,"&lt;"&amp;K295)+1,"-")</f>
        <v>1</v>
      </c>
      <c r="I295" s="64" t="str">
        <f aca="false">IF('Offshore - Canberra'!E134="","Harga belum tersedia - hubungi konsultan TEG",IF(M295=2,"Saat ini tidak menerima pendaftaran siswa internasional baru",IF(M295=1,"Harga perlu dikonfirmasi ke sekolah"&amp;IF(""="","","; "&amp;""),"")))</f>
        <v>Harga perlu dikonfirmasi ke sekolah</v>
      </c>
      <c r="J295" s="0" t="s">
        <v>3864</v>
      </c>
      <c r="K295" s="0" t="n">
        <f aca="false">IF(M295=2,"",IF(ISNUMBER(SEARCH("rata-rata:",'Offshore - Canberra'!N134)),VALUE(MID('Offshore - Canberra'!N134,SEARCH("rata-rata:",'Offshore - Canberra'!N134)+11,FIND(";",'Offshore - Canberra'!N134&amp;";",SEARCH("rata-rata:",'Offshore - Canberra'!N134))-SEARCH("rata-rata:",'Offshore - Canberra'!N134)-11)),IF('Offshore - Canberra'!D134="Semester",'Offshore - Canberra'!E134*2,IF('Offshore - Canberra'!D134="Trimester",'Offshore - Canberra'!E134*3,IF('Offshore - Canberra'!D134="Term",'Offshore - Canberra'!E134*4,IF('Offshore - Canberra'!D134="Unit",'Offshore - Canberra'!E134*8,""))))))</f>
        <v>18000</v>
      </c>
      <c r="L295" s="0" t="n">
        <f aca="false">IF(AND(ISNUMBER('Offshore - Canberra'!E134),ISNUMBER(K295),ISNUMBER('Offshore - Canberra'!F134),ISNUMBER('Offshore - Canberra'!G134),OR('Offshore - Canberra'!F134&lt;&gt;0,ISNUMBER(SEARCH("Material 0 terverifikasi",'Offshore - Canberra'!N134))),OR('Offshore - Canberra'!G134&lt;&gt;0,ISNUMBER(SEARCH("Enrolment 0 terverifikasi",'Offshore - Canberra'!N134)))),1,0)</f>
        <v>1</v>
      </c>
      <c r="M295" s="0" t="n">
        <f aca="false">IF(OR('Offshore - Canberra'!E134="",ISNUMBER(SEARCH("BSB80120",'Offshore - Canberra'!B134&amp;'Offshore - Canberra'!N134)),ISNUMBER(SEARCH("Management (Learning)",'Offshore - Canberra'!B134))),2,IF(ISNUMBER(SEARCH("CEK:",'Offshore - Canberra'!N134)),1,0))</f>
        <v>1</v>
      </c>
    </row>
    <row r="296" customFormat="false" ht="15" hidden="false" customHeight="false" outlineLevel="0" collapsed="false">
      <c r="A296" s="63" t="s">
        <v>3718</v>
      </c>
      <c r="B296" s="64" t="s">
        <v>3833</v>
      </c>
      <c r="C296" s="63" t="s">
        <v>46</v>
      </c>
      <c r="D296" s="64" t="str">
        <f aca="false">TRIM(LEFT('Offshore - Canberra'!A6,FIND(CHAR(10),'Offshore - Canberra'!A6&amp;CHAR(10))-1))</f>
        <v>Australian Catholic University (ACU)</v>
      </c>
      <c r="E296" s="63" t="str">
        <f aca="false">'Offshore - Canberra'!C32&amp;""</f>
        <v>2 years</v>
      </c>
      <c r="F296" s="63" t="str">
        <f aca="false">IF('Offshore - Canberra'!D32="","Belum tercatat",'Offshore - Canberra'!D32)</f>
        <v>Term</v>
      </c>
      <c r="G296" s="65" t="n">
        <f aca="false">IF('Offshore - Canberra'!E32="","-",'Offshore - Canberra'!E32)</f>
        <v>9524</v>
      </c>
      <c r="H296" s="63" t="n">
        <f aca="false">IF(ISNUMBER(K296),COUNTIFS($J$6:$J$1854,J296,$K$6:$K$1854,"&lt;"&amp;K296)+1,"-")</f>
        <v>2</v>
      </c>
      <c r="I296" s="64" t="str">
        <f aca="false">IF('Offshore - Canberra'!E32="","Harga belum tersedia - hubungi konsultan TEG",IF(M296=2,"Saat ini tidak menerima pendaftaran siswa internasional baru",IF(M296=1,"Harga perlu dikonfirmasi ke sekolah"&amp;IF(""="","","; "&amp;""),"")))</f>
        <v/>
      </c>
      <c r="J296" s="0" t="s">
        <v>3864</v>
      </c>
      <c r="K296" s="0" t="n">
        <f aca="false">IF(M296=2,"",IF(ISNUMBER(SEARCH("rata-rata:",'Offshore - Canberra'!N32)),VALUE(MID('Offshore - Canberra'!N32,SEARCH("rata-rata:",'Offshore - Canberra'!N32)+11,FIND(";",'Offshore - Canberra'!N32&amp;";",SEARCH("rata-rata:",'Offshore - Canberra'!N32))-SEARCH("rata-rata:",'Offshore - Canberra'!N32)-11)),IF('Offshore - Canberra'!D32="Semester",'Offshore - Canberra'!E32*2,IF('Offshore - Canberra'!D32="Trimester",'Offshore - Canberra'!E32*3,IF('Offshore - Canberra'!D32="Term",'Offshore - Canberra'!E32*4,IF('Offshore - Canberra'!D32="Unit",'Offshore - Canberra'!E32*8,""))))))</f>
        <v>38096</v>
      </c>
      <c r="L296" s="0" t="n">
        <f aca="false">IF(AND(ISNUMBER('Offshore - Canberra'!E32),ISNUMBER(K296),ISNUMBER('Offshore - Canberra'!F32),ISNUMBER('Offshore - Canberra'!G32),OR('Offshore - Canberra'!F32&lt;&gt;0,ISNUMBER(SEARCH("Material 0 terverifikasi",'Offshore - Canberra'!N32))),OR('Offshore - Canberra'!G32&lt;&gt;0,ISNUMBER(SEARCH("Enrolment 0 terverifikasi",'Offshore - Canberra'!N32)))),1,0)</f>
        <v>0</v>
      </c>
      <c r="M296" s="0" t="n">
        <f aca="false">IF(OR('Offshore - Canberra'!E32="",ISNUMBER(SEARCH("BSB80120",'Offshore - Canberra'!B32&amp;'Offshore - Canberra'!N32)),ISNUMBER(SEARCH("Management (Learning)",'Offshore - Canberra'!B32))),2,IF(ISNUMBER(SEARCH("CEK:",'Offshore - Canberra'!N32)),1,0))</f>
        <v>0</v>
      </c>
    </row>
    <row r="297" customFormat="false" ht="15" hidden="false" customHeight="false" outlineLevel="0" collapsed="false">
      <c r="A297" s="61" t="s">
        <v>3865</v>
      </c>
      <c r="B297" s="62"/>
      <c r="C297" s="62"/>
      <c r="D297" s="62"/>
      <c r="E297" s="62"/>
      <c r="F297" s="62"/>
      <c r="G297" s="62"/>
      <c r="H297" s="62"/>
      <c r="I297" s="62"/>
    </row>
    <row r="298" customFormat="false" ht="15" hidden="false" customHeight="false" outlineLevel="0" collapsed="false">
      <c r="A298" s="63" t="s">
        <v>3583</v>
      </c>
      <c r="B298" s="64" t="s">
        <v>3833</v>
      </c>
      <c r="C298" s="63" t="s">
        <v>41</v>
      </c>
      <c r="D298" s="64" t="str">
        <f aca="false">TRIM(LEFT('Offshore - Darwin'!A6,FIND(CHAR(10),'Offshore - Darwin'!A6&amp;CHAR(10))-1))</f>
        <v>Alice Springs College of Australia (ASCA)</v>
      </c>
      <c r="E298" s="63" t="str">
        <f aca="false">'Offshore - Darwin'!C8&amp;""</f>
        <v>2 years</v>
      </c>
      <c r="F298" s="63" t="str">
        <f aca="false">IF('Offshore - Darwin'!D8="","Belum tercatat",'Offshore - Darwin'!D8)</f>
        <v>Term</v>
      </c>
      <c r="G298" s="65" t="n">
        <f aca="false">IF('Offshore - Darwin'!E8="","-",'Offshore - Darwin'!E8)</f>
        <v>2500</v>
      </c>
      <c r="H298" s="63" t="n">
        <f aca="false">IF(ISNUMBER(K298),COUNTIFS($J$6:$J$1854,J298,$K$6:$K$1854,"&lt;"&amp;K298)+1,"-")</f>
        <v>1</v>
      </c>
      <c r="I298" s="64" t="str">
        <f aca="false">IF('Offshore - Darwin'!E8="","Harga belum tersedia - hubungi konsultan TEG",IF(M298=2,"Saat ini tidak menerima pendaftaran siswa internasional baru",IF(M298=1,"Harga perlu dikonfirmasi ke sekolah"&amp;IF(""="","","; "&amp;""),"")))</f>
        <v/>
      </c>
      <c r="J298" s="0" t="s">
        <v>3866</v>
      </c>
      <c r="K298" s="0" t="n">
        <f aca="false">IF(M298=2,"",IF(ISNUMBER(SEARCH("rata-rata:",'Offshore - Darwin'!N8)),VALUE(MID('Offshore - Darwin'!N8,SEARCH("rata-rata:",'Offshore - Darwin'!N8)+11,FIND(";",'Offshore - Darwin'!N8&amp;";",SEARCH("rata-rata:",'Offshore - Darwin'!N8))-SEARCH("rata-rata:",'Offshore - Darwin'!N8)-11)),IF('Offshore - Darwin'!D8="Semester",'Offshore - Darwin'!E8*2,IF('Offshore - Darwin'!D8="Trimester",'Offshore - Darwin'!E8*3,IF('Offshore - Darwin'!D8="Term",'Offshore - Darwin'!E8*4,IF('Offshore - Darwin'!D8="Unit",'Offshore - Darwin'!E8*8,""))))))</f>
        <v>10000</v>
      </c>
      <c r="L298" s="0" t="n">
        <f aca="false">IF(AND(ISNUMBER('Offshore - Darwin'!E8),ISNUMBER(K298),ISNUMBER('Offshore - Darwin'!F8),ISNUMBER('Offshore - Darwin'!G8),OR('Offshore - Darwin'!F8&lt;&gt;0,ISNUMBER(SEARCH("Material 0 terverifikasi",'Offshore - Darwin'!N8))),OR('Offshore - Darwin'!G8&lt;&gt;0,ISNUMBER(SEARCH("Enrolment 0 terverifikasi",'Offshore - Darwin'!N8)))),1,0)</f>
        <v>1</v>
      </c>
      <c r="M298" s="0" t="n">
        <f aca="false">IF(OR('Offshore - Darwin'!E8="",ISNUMBER(SEARCH("BSB80120",'Offshore - Darwin'!B8&amp;'Offshore - Darwin'!N8)),ISNUMBER(SEARCH("Management (Learning)",'Offshore - Darwin'!B8))),2,IF(ISNUMBER(SEARCH("CEK:",'Offshore - Darwin'!N8)),1,0))</f>
        <v>0</v>
      </c>
    </row>
    <row r="299" customFormat="false" ht="15" hidden="false" customHeight="false" outlineLevel="0" collapsed="false">
      <c r="A299" s="63" t="s">
        <v>3583</v>
      </c>
      <c r="B299" s="64" t="s">
        <v>3833</v>
      </c>
      <c r="C299" s="63" t="s">
        <v>41</v>
      </c>
      <c r="D299" s="64" t="str">
        <f aca="false">TRIM(LEFT('Offshore - Darwin'!A20,FIND(CHAR(10),'Offshore - Darwin'!A20&amp;CHAR(10))-1))</f>
        <v>Charles Darwin University (CDU)</v>
      </c>
      <c r="E299" s="63" t="str">
        <f aca="false">'Offshore - Darwin'!C32&amp;""</f>
        <v>1 year</v>
      </c>
      <c r="F299" s="63" t="str">
        <f aca="false">IF('Offshore - Darwin'!D32="","Belum tercatat",'Offshore - Darwin'!D32)</f>
        <v>Term</v>
      </c>
      <c r="G299" s="65" t="n">
        <f aca="false">IF('Offshore - Darwin'!E32="","-",'Offshore - Darwin'!E32)</f>
        <v>7802</v>
      </c>
      <c r="H299" s="63" t="n">
        <f aca="false">IF(ISNUMBER(K299),COUNTIFS($J$6:$J$1854,J299,$K$6:$K$1854,"&lt;"&amp;K299)+1,"-")</f>
        <v>2</v>
      </c>
      <c r="I299" s="64" t="str">
        <f aca="false">IF('Offshore - Darwin'!E32="","Harga belum tersedia - hubungi konsultan TEG",IF(M299=2,"Saat ini tidak menerima pendaftaran siswa internasional baru",IF(M299=1,"Harga perlu dikonfirmasi ke sekolah"&amp;IF(""="","","; "&amp;""),"")))</f>
        <v/>
      </c>
      <c r="J299" s="0" t="s">
        <v>3866</v>
      </c>
      <c r="K299" s="0" t="n">
        <f aca="false">IF(M299=2,"",IF(ISNUMBER(SEARCH("rata-rata:",'Offshore - Darwin'!N32)),VALUE(MID('Offshore - Darwin'!N32,SEARCH("rata-rata:",'Offshore - Darwin'!N32)+11,FIND(";",'Offshore - Darwin'!N32&amp;";",SEARCH("rata-rata:",'Offshore - Darwin'!N32))-SEARCH("rata-rata:",'Offshore - Darwin'!N32)-11)),IF('Offshore - Darwin'!D32="Semester",'Offshore - Darwin'!E32*2,IF('Offshore - Darwin'!D32="Trimester",'Offshore - Darwin'!E32*3,IF('Offshore - Darwin'!D32="Term",'Offshore - Darwin'!E32*4,IF('Offshore - Darwin'!D32="Unit",'Offshore - Darwin'!E32*8,""))))))</f>
        <v>31208</v>
      </c>
      <c r="L299" s="0" t="n">
        <f aca="false">IF(AND(ISNUMBER('Offshore - Darwin'!E32),ISNUMBER(K299),ISNUMBER('Offshore - Darwin'!F32),ISNUMBER('Offshore - Darwin'!G32),OR('Offshore - Darwin'!F32&lt;&gt;0,ISNUMBER(SEARCH("Material 0 terverifikasi",'Offshore - Darwin'!N32))),OR('Offshore - Darwin'!G32&lt;&gt;0,ISNUMBER(SEARCH("Enrolment 0 terverifikasi",'Offshore - Darwin'!N32)))),1,0)</f>
        <v>0</v>
      </c>
      <c r="M299" s="0" t="n">
        <f aca="false">IF(OR('Offshore - Darwin'!E32="",ISNUMBER(SEARCH("BSB80120",'Offshore - Darwin'!B32&amp;'Offshore - Darwin'!N32)),ISNUMBER(SEARCH("Management (Learning)",'Offshore - Darwin'!B32))),2,IF(ISNUMBER(SEARCH("CEK:",'Offshore - Darwin'!N32)),1,0))</f>
        <v>0</v>
      </c>
    </row>
    <row r="300" customFormat="false" ht="15" hidden="false" customHeight="false" outlineLevel="0" collapsed="false">
      <c r="A300" s="61" t="s">
        <v>3867</v>
      </c>
      <c r="B300" s="62"/>
      <c r="C300" s="62"/>
      <c r="D300" s="62"/>
      <c r="E300" s="62"/>
      <c r="F300" s="62"/>
      <c r="G300" s="62"/>
      <c r="H300" s="62"/>
      <c r="I300" s="62"/>
    </row>
    <row r="301" customFormat="false" ht="15" hidden="false" customHeight="false" outlineLevel="0" collapsed="false">
      <c r="A301" s="63" t="s">
        <v>3583</v>
      </c>
      <c r="B301" s="64" t="s">
        <v>3833</v>
      </c>
      <c r="C301" s="63" t="s">
        <v>42</v>
      </c>
      <c r="D301" s="64" t="str">
        <f aca="false">TRIM(LEFT('Offshore - Darwin'!A6,FIND(CHAR(10),'Offshore - Darwin'!A6&amp;CHAR(10))-1))</f>
        <v>Alice Springs College of Australia (ASCA)</v>
      </c>
      <c r="E301" s="63" t="str">
        <f aca="false">'Offshore - Darwin'!C9&amp;""</f>
        <v>3,5 years</v>
      </c>
      <c r="F301" s="63" t="str">
        <f aca="false">IF('Offshore - Darwin'!D9="","Belum tercatat",'Offshore - Darwin'!D9)</f>
        <v>Term</v>
      </c>
      <c r="G301" s="65" t="n">
        <f aca="false">IF('Offshore - Darwin'!E9="","-",'Offshore - Darwin'!E9)</f>
        <v>2500</v>
      </c>
      <c r="H301" s="63" t="n">
        <f aca="false">IF(ISNUMBER(K301),COUNTIFS($J$6:$J$1854,J301,$K$6:$K$1854,"&lt;"&amp;K301)+1,"-")</f>
        <v>1</v>
      </c>
      <c r="I301" s="64" t="str">
        <f aca="false">IF('Offshore - Darwin'!E9="","Harga belum tersedia - hubungi konsultan TEG",IF(M301=2,"Saat ini tidak menerima pendaftaran siswa internasional baru",IF(M301=1,"Harga perlu dikonfirmasi ke sekolah"&amp;IF(""="","","; "&amp;""),"")))</f>
        <v/>
      </c>
      <c r="J301" s="0" t="s">
        <v>3868</v>
      </c>
      <c r="K301" s="0" t="n">
        <f aca="false">IF(M301=2,"",IF(ISNUMBER(SEARCH("rata-rata:",'Offshore - Darwin'!N9)),VALUE(MID('Offshore - Darwin'!N9,SEARCH("rata-rata:",'Offshore - Darwin'!N9)+11,FIND(";",'Offshore - Darwin'!N9&amp;";",SEARCH("rata-rata:",'Offshore - Darwin'!N9))-SEARCH("rata-rata:",'Offshore - Darwin'!N9)-11)),IF('Offshore - Darwin'!D9="Semester",'Offshore - Darwin'!E9*2,IF('Offshore - Darwin'!D9="Trimester",'Offshore - Darwin'!E9*3,IF('Offshore - Darwin'!D9="Term",'Offshore - Darwin'!E9*4,IF('Offshore - Darwin'!D9="Unit",'Offshore - Darwin'!E9*8,""))))))</f>
        <v>10000</v>
      </c>
      <c r="L301" s="0" t="n">
        <f aca="false">IF(AND(ISNUMBER('Offshore - Darwin'!E9),ISNUMBER(K301),ISNUMBER('Offshore - Darwin'!F9),ISNUMBER('Offshore - Darwin'!G9),OR('Offshore - Darwin'!F9&lt;&gt;0,ISNUMBER(SEARCH("Material 0 terverifikasi",'Offshore - Darwin'!N9))),OR('Offshore - Darwin'!G9&lt;&gt;0,ISNUMBER(SEARCH("Enrolment 0 terverifikasi",'Offshore - Darwin'!N9)))),1,0)</f>
        <v>1</v>
      </c>
      <c r="M301" s="0" t="n">
        <f aca="false">IF(OR('Offshore - Darwin'!E9="",ISNUMBER(SEARCH("BSB80120",'Offshore - Darwin'!B9&amp;'Offshore - Darwin'!N9)),ISNUMBER(SEARCH("Management (Learning)",'Offshore - Darwin'!B9))),2,IF(ISNUMBER(SEARCH("CEK:",'Offshore - Darwin'!N9)),1,0))</f>
        <v>0</v>
      </c>
    </row>
    <row r="302" customFormat="false" ht="15" hidden="false" customHeight="false" outlineLevel="0" collapsed="false">
      <c r="A302" s="63" t="s">
        <v>3583</v>
      </c>
      <c r="B302" s="64" t="s">
        <v>3833</v>
      </c>
      <c r="C302" s="63" t="s">
        <v>42</v>
      </c>
      <c r="D302" s="64" t="str">
        <f aca="false">TRIM(LEFT('Offshore - Darwin'!A136,FIND(CHAR(10),'Offshore - Darwin'!A136&amp;CHAR(10))-1))</f>
        <v>Sydney City College of Management</v>
      </c>
      <c r="E302" s="63" t="str">
        <f aca="false">'Offshore - Darwin'!C136&amp;""</f>
        <v>2 years</v>
      </c>
      <c r="F302" s="63" t="str">
        <f aca="false">IF('Offshore - Darwin'!D136="","Belum tercatat",'Offshore - Darwin'!D136)</f>
        <v>Term</v>
      </c>
      <c r="G302" s="65" t="n">
        <f aca="false">IF('Offshore - Darwin'!E136="","-",'Offshore - Darwin'!E136)</f>
        <v>2700</v>
      </c>
      <c r="H302" s="63" t="n">
        <f aca="false">IF(ISNUMBER(K302),COUNTIFS($J$6:$J$1854,J302,$K$6:$K$1854,"&lt;"&amp;K302)+1,"-")</f>
        <v>2</v>
      </c>
      <c r="I302" s="64" t="str">
        <f aca="false">IF('Offshore - Darwin'!E136="","Harga belum tersedia - hubungi konsultan TEG",IF(M302=2,"Saat ini tidak menerima pendaftaran siswa internasional baru",IF(M302=1,"Harga perlu dikonfirmasi ke sekolah"&amp;IF(""="","","; "&amp;""),"")))</f>
        <v/>
      </c>
      <c r="J302" s="0" t="s">
        <v>3868</v>
      </c>
      <c r="K302" s="0" t="n">
        <f aca="false">IF(M302=2,"",IF(ISNUMBER(SEARCH("rata-rata:",'Offshore - Darwin'!N136)),VALUE(MID('Offshore - Darwin'!N136,SEARCH("rata-rata:",'Offshore - Darwin'!N136)+11,FIND(";",'Offshore - Darwin'!N136&amp;";",SEARCH("rata-rata:",'Offshore - Darwin'!N136))-SEARCH("rata-rata:",'Offshore - Darwin'!N136)-11)),IF('Offshore - Darwin'!D136="Semester",'Offshore - Darwin'!E136*2,IF('Offshore - Darwin'!D136="Trimester",'Offshore - Darwin'!E136*3,IF('Offshore - Darwin'!D136="Term",'Offshore - Darwin'!E136*4,IF('Offshore - Darwin'!D136="Unit",'Offshore - Darwin'!E136*8,""))))))</f>
        <v>10800</v>
      </c>
      <c r="L302" s="0" t="n">
        <f aca="false">IF(AND(ISNUMBER('Offshore - Darwin'!E136),ISNUMBER(K302),ISNUMBER('Offshore - Darwin'!F136),ISNUMBER('Offshore - Darwin'!G136),OR('Offshore - Darwin'!F136&lt;&gt;0,ISNUMBER(SEARCH("Material 0 terverifikasi",'Offshore - Darwin'!N136))),OR('Offshore - Darwin'!G136&lt;&gt;0,ISNUMBER(SEARCH("Enrolment 0 terverifikasi",'Offshore - Darwin'!N136)))),1,0)</f>
        <v>1</v>
      </c>
      <c r="M302" s="0" t="n">
        <f aca="false">IF(OR('Offshore - Darwin'!E136="",ISNUMBER(SEARCH("BSB80120",'Offshore - Darwin'!B136&amp;'Offshore - Darwin'!N136)),ISNUMBER(SEARCH("Management (Learning)",'Offshore - Darwin'!B136))),2,IF(ISNUMBER(SEARCH("CEK:",'Offshore - Darwin'!N136)),1,0))</f>
        <v>0</v>
      </c>
    </row>
    <row r="303" customFormat="false" ht="15" hidden="false" customHeight="false" outlineLevel="0" collapsed="false">
      <c r="A303" s="61" t="s">
        <v>3869</v>
      </c>
      <c r="B303" s="62"/>
      <c r="C303" s="62"/>
      <c r="D303" s="62"/>
      <c r="E303" s="62"/>
      <c r="F303" s="62"/>
      <c r="G303" s="62"/>
      <c r="H303" s="62"/>
      <c r="I303" s="62"/>
    </row>
    <row r="304" customFormat="false" ht="15" hidden="false" customHeight="false" outlineLevel="0" collapsed="false">
      <c r="A304" s="63" t="s">
        <v>3583</v>
      </c>
      <c r="B304" s="64" t="s">
        <v>3833</v>
      </c>
      <c r="C304" s="63" t="s">
        <v>43</v>
      </c>
      <c r="D304" s="64" t="str">
        <f aca="false">TRIM(LEFT('Offshore - Darwin'!A15,FIND(CHAR(10),'Offshore - Darwin'!A15&amp;CHAR(10))-1))</f>
        <v>Canterbury Institute of Management (CIM)</v>
      </c>
      <c r="E304" s="63" t="str">
        <f aca="false">'Offshore - Darwin'!C15&amp;""</f>
        <v>3 years</v>
      </c>
      <c r="F304" s="63" t="str">
        <f aca="false">IF('Offshore - Darwin'!D15="","Belum tercatat",'Offshore - Darwin'!D15)</f>
        <v>Semester</v>
      </c>
      <c r="G304" s="65" t="n">
        <f aca="false">IF('Offshore - Darwin'!E15="","-",'Offshore - Darwin'!E15)</f>
        <v>8000</v>
      </c>
      <c r="H304" s="63" t="n">
        <f aca="false">IF(ISNUMBER(K304),COUNTIFS($J$6:$J$1854,J304,$K$6:$K$1854,"&lt;"&amp;K304)+1,"-")</f>
        <v>1</v>
      </c>
      <c r="I304" s="64" t="str">
        <f aca="false">IF('Offshore - Darwin'!E15="","Harga belum tersedia - hubungi konsultan TEG",IF(M304=2,"Saat ini tidak menerima pendaftaran siswa internasional baru",IF(M304=1,"Harga perlu dikonfirmasi ke sekolah"&amp;IF(""="","","; "&amp;""),"")))</f>
        <v>Harga perlu dikonfirmasi ke sekolah</v>
      </c>
      <c r="J304" s="0" t="s">
        <v>3870</v>
      </c>
      <c r="K304" s="0" t="n">
        <f aca="false">IF(M304=2,"",IF(ISNUMBER(SEARCH("rata-rata:",'Offshore - Darwin'!N15)),VALUE(MID('Offshore - Darwin'!N15,SEARCH("rata-rata:",'Offshore - Darwin'!N15)+11,FIND(";",'Offshore - Darwin'!N15&amp;";",SEARCH("rata-rata:",'Offshore - Darwin'!N15))-SEARCH("rata-rata:",'Offshore - Darwin'!N15)-11)),IF('Offshore - Darwin'!D15="Semester",'Offshore - Darwin'!E15*2,IF('Offshore - Darwin'!D15="Trimester",'Offshore - Darwin'!E15*3,IF('Offshore - Darwin'!D15="Term",'Offshore - Darwin'!E15*4,IF('Offshore - Darwin'!D15="Unit",'Offshore - Darwin'!E15*8,""))))))</f>
        <v>16000</v>
      </c>
      <c r="L304" s="0" t="n">
        <f aca="false">IF(AND(ISNUMBER('Offshore - Darwin'!E15),ISNUMBER(K304),ISNUMBER('Offshore - Darwin'!F15),ISNUMBER('Offshore - Darwin'!G15),OR('Offshore - Darwin'!F15&lt;&gt;0,ISNUMBER(SEARCH("Material 0 terverifikasi",'Offshore - Darwin'!N15))),OR('Offshore - Darwin'!G15&lt;&gt;0,ISNUMBER(SEARCH("Enrolment 0 terverifikasi",'Offshore - Darwin'!N15)))),1,0)</f>
        <v>0</v>
      </c>
      <c r="M304" s="0" t="n">
        <f aca="false">IF(OR('Offshore - Darwin'!E15="",ISNUMBER(SEARCH("BSB80120",'Offshore - Darwin'!B15&amp;'Offshore - Darwin'!N15)),ISNUMBER(SEARCH("Management (Learning)",'Offshore - Darwin'!B15))),2,IF(ISNUMBER(SEARCH("CEK:",'Offshore - Darwin'!N15)),1,0))</f>
        <v>1</v>
      </c>
    </row>
    <row r="305" customFormat="false" ht="15" hidden="false" customHeight="false" outlineLevel="0" collapsed="false">
      <c r="A305" s="63" t="s">
        <v>3583</v>
      </c>
      <c r="B305" s="64" t="s">
        <v>3833</v>
      </c>
      <c r="C305" s="63" t="s">
        <v>43</v>
      </c>
      <c r="D305" s="64" t="str">
        <f aca="false">TRIM(LEFT('Offshore - Darwin'!A20,FIND(CHAR(10),'Offshore - Darwin'!A20&amp;CHAR(10))-1))</f>
        <v>Charles Darwin University (CDU)</v>
      </c>
      <c r="E305" s="63" t="str">
        <f aca="false">'Offshore - Darwin'!C35&amp;""</f>
        <v>3 years</v>
      </c>
      <c r="F305" s="63" t="str">
        <f aca="false">IF('Offshore - Darwin'!D35="","Belum tercatat",'Offshore - Darwin'!D35)</f>
        <v>Term</v>
      </c>
      <c r="G305" s="65" t="n">
        <f aca="false">IF('Offshore - Darwin'!E35="","-",'Offshore - Darwin'!E35)</f>
        <v>7802</v>
      </c>
      <c r="H305" s="63" t="n">
        <f aca="false">IF(ISNUMBER(K305),COUNTIFS($J$6:$J$1854,J305,$K$6:$K$1854,"&lt;"&amp;K305)+1,"-")</f>
        <v>2</v>
      </c>
      <c r="I305" s="64" t="str">
        <f aca="false">IF('Offshore - Darwin'!E35="","Harga belum tersedia - hubungi konsultan TEG",IF(M305=2,"Saat ini tidak menerima pendaftaran siswa internasional baru",IF(M305=1,"Harga perlu dikonfirmasi ke sekolah"&amp;IF(""="","","; "&amp;""),"")))</f>
        <v/>
      </c>
      <c r="J305" s="0" t="s">
        <v>3870</v>
      </c>
      <c r="K305" s="0" t="n">
        <f aca="false">IF(M305=2,"",IF(ISNUMBER(SEARCH("rata-rata:",'Offshore - Darwin'!N35)),VALUE(MID('Offshore - Darwin'!N35,SEARCH("rata-rata:",'Offshore - Darwin'!N35)+11,FIND(";",'Offshore - Darwin'!N35&amp;";",SEARCH("rata-rata:",'Offshore - Darwin'!N35))-SEARCH("rata-rata:",'Offshore - Darwin'!N35)-11)),IF('Offshore - Darwin'!D35="Semester",'Offshore - Darwin'!E35*2,IF('Offshore - Darwin'!D35="Trimester",'Offshore - Darwin'!E35*3,IF('Offshore - Darwin'!D35="Term",'Offshore - Darwin'!E35*4,IF('Offshore - Darwin'!D35="Unit",'Offshore - Darwin'!E35*8,""))))))</f>
        <v>31208</v>
      </c>
      <c r="L305" s="0" t="n">
        <f aca="false">IF(AND(ISNUMBER('Offshore - Darwin'!E35),ISNUMBER(K305),ISNUMBER('Offshore - Darwin'!F35),ISNUMBER('Offshore - Darwin'!G35),OR('Offshore - Darwin'!F35&lt;&gt;0,ISNUMBER(SEARCH("Material 0 terverifikasi",'Offshore - Darwin'!N35))),OR('Offshore - Darwin'!G35&lt;&gt;0,ISNUMBER(SEARCH("Enrolment 0 terverifikasi",'Offshore - Darwin'!N35)))),1,0)</f>
        <v>0</v>
      </c>
      <c r="M305" s="0" t="n">
        <f aca="false">IF(OR('Offshore - Darwin'!E35="",ISNUMBER(SEARCH("BSB80120",'Offshore - Darwin'!B35&amp;'Offshore - Darwin'!N35)),ISNUMBER(SEARCH("Management (Learning)",'Offshore - Darwin'!B35))),2,IF(ISNUMBER(SEARCH("CEK:",'Offshore - Darwin'!N35)),1,0))</f>
        <v>0</v>
      </c>
    </row>
    <row r="306" customFormat="false" ht="15" hidden="false" customHeight="false" outlineLevel="0" collapsed="false">
      <c r="A306" s="61" t="s">
        <v>3871</v>
      </c>
      <c r="B306" s="62"/>
      <c r="C306" s="62"/>
      <c r="D306" s="62"/>
      <c r="E306" s="62"/>
      <c r="F306" s="62"/>
      <c r="G306" s="62"/>
      <c r="H306" s="62"/>
      <c r="I306" s="62"/>
    </row>
    <row r="307" customFormat="false" ht="15" hidden="false" customHeight="false" outlineLevel="0" collapsed="false">
      <c r="A307" s="63" t="s">
        <v>3583</v>
      </c>
      <c r="B307" s="64" t="s">
        <v>3833</v>
      </c>
      <c r="C307" s="63" t="s">
        <v>3707</v>
      </c>
      <c r="D307" s="64" t="str">
        <f aca="false">TRIM(LEFT('Offshore - Darwin'!A20,FIND(CHAR(10),'Offshore - Darwin'!A20&amp;CHAR(10))-1))</f>
        <v>Charles Darwin University (CDU)</v>
      </c>
      <c r="E307" s="63" t="str">
        <f aca="false">'Offshore - Darwin'!C49&amp;""</f>
        <v>1 year</v>
      </c>
      <c r="F307" s="63" t="str">
        <f aca="false">IF('Offshore - Darwin'!D49="","Belum tercatat",'Offshore - Darwin'!D49)</f>
        <v>Term</v>
      </c>
      <c r="G307" s="65" t="n">
        <f aca="false">IF('Offshore - Darwin'!E49="","-",'Offshore - Darwin'!E49)</f>
        <v>9120</v>
      </c>
      <c r="H307" s="63" t="n">
        <f aca="false">IF(ISNUMBER(K307),COUNTIFS($J$6:$J$1854,J307,$K$6:$K$1854,"&lt;"&amp;K307)+1,"-")</f>
        <v>1</v>
      </c>
      <c r="I307" s="64" t="str">
        <f aca="false">IF('Offshore - Darwin'!E49="","Harga belum tersedia - hubungi konsultan TEG",IF(M307=2,"Saat ini tidak menerima pendaftaran siswa internasional baru",IF(M307=1,"Harga perlu dikonfirmasi ke sekolah"&amp;IF(""="","","; "&amp;""),"")))</f>
        <v/>
      </c>
      <c r="J307" s="0" t="s">
        <v>3872</v>
      </c>
      <c r="K307" s="0" t="n">
        <f aca="false">IF(M307=2,"",IF(ISNUMBER(SEARCH("rata-rata:",'Offshore - Darwin'!N49)),VALUE(MID('Offshore - Darwin'!N49,SEARCH("rata-rata:",'Offshore - Darwin'!N49)+11,FIND(";",'Offshore - Darwin'!N49&amp;";",SEARCH("rata-rata:",'Offshore - Darwin'!N49))-SEARCH("rata-rata:",'Offshore - Darwin'!N49)-11)),IF('Offshore - Darwin'!D49="Semester",'Offshore - Darwin'!E49*2,IF('Offshore - Darwin'!D49="Trimester",'Offshore - Darwin'!E49*3,IF('Offshore - Darwin'!D49="Term",'Offshore - Darwin'!E49*4,IF('Offshore - Darwin'!D49="Unit",'Offshore - Darwin'!E49*8,""))))))</f>
        <v>36480</v>
      </c>
      <c r="L307" s="0" t="n">
        <f aca="false">IF(AND(ISNUMBER('Offshore - Darwin'!E49),ISNUMBER(K307),ISNUMBER('Offshore - Darwin'!F49),ISNUMBER('Offshore - Darwin'!G49),OR('Offshore - Darwin'!F49&lt;&gt;0,ISNUMBER(SEARCH("Material 0 terverifikasi",'Offshore - Darwin'!N49))),OR('Offshore - Darwin'!G49&lt;&gt;0,ISNUMBER(SEARCH("Enrolment 0 terverifikasi",'Offshore - Darwin'!N49)))),1,0)</f>
        <v>0</v>
      </c>
      <c r="M307" s="0" t="n">
        <f aca="false">IF(OR('Offshore - Darwin'!E49="",ISNUMBER(SEARCH("BSB80120",'Offshore - Darwin'!B49&amp;'Offshore - Darwin'!N49)),ISNUMBER(SEARCH("Management (Learning)",'Offshore - Darwin'!B49))),2,IF(ISNUMBER(SEARCH("CEK:",'Offshore - Darwin'!N49)),1,0))</f>
        <v>0</v>
      </c>
    </row>
    <row r="308" customFormat="false" ht="15" hidden="false" customHeight="false" outlineLevel="0" collapsed="false">
      <c r="A308" s="61" t="s">
        <v>3873</v>
      </c>
      <c r="B308" s="62"/>
      <c r="C308" s="62"/>
      <c r="D308" s="62"/>
      <c r="E308" s="62"/>
      <c r="F308" s="62"/>
      <c r="G308" s="62"/>
      <c r="H308" s="62"/>
      <c r="I308" s="62"/>
    </row>
    <row r="309" customFormat="false" ht="15" hidden="false" customHeight="false" outlineLevel="0" collapsed="false">
      <c r="A309" s="63" t="s">
        <v>3583</v>
      </c>
      <c r="B309" s="64" t="s">
        <v>3833</v>
      </c>
      <c r="C309" s="63" t="s">
        <v>46</v>
      </c>
      <c r="D309" s="64" t="str">
        <f aca="false">TRIM(LEFT('Offshore - Darwin'!A20,FIND(CHAR(10),'Offshore - Darwin'!A20&amp;CHAR(10))-1))</f>
        <v>Charles Darwin University (CDU)</v>
      </c>
      <c r="E309" s="63" t="str">
        <f aca="false">'Offshore - Darwin'!C133&amp;""</f>
        <v>0,5 year</v>
      </c>
      <c r="F309" s="63" t="str">
        <f aca="false">IF('Offshore - Darwin'!D133="","Belum tercatat",'Offshore - Darwin'!D133)</f>
        <v>Term</v>
      </c>
      <c r="G309" s="65" t="n">
        <f aca="false">IF('Offshore - Darwin'!E133="","-",'Offshore - Darwin'!E133)</f>
        <v>7948</v>
      </c>
      <c r="H309" s="63" t="n">
        <f aca="false">IF(ISNUMBER(K309),COUNTIFS($J$6:$J$1854,J309,$K$6:$K$1854,"&lt;"&amp;K309)+1,"-")</f>
        <v>1</v>
      </c>
      <c r="I309" s="64" t="str">
        <f aca="false">IF('Offshore - Darwin'!E133="","Harga belum tersedia - hubungi konsultan TEG",IF(M309=2,"Saat ini tidak menerima pendaftaran siswa internasional baru",IF(M309=1,"Harga perlu dikonfirmasi ke sekolah"&amp;IF(""="","","; "&amp;""),"")))</f>
        <v/>
      </c>
      <c r="J309" s="0" t="s">
        <v>3874</v>
      </c>
      <c r="K309" s="0" t="n">
        <f aca="false">IF(M309=2,"",IF(ISNUMBER(SEARCH("rata-rata:",'Offshore - Darwin'!N133)),VALUE(MID('Offshore - Darwin'!N133,SEARCH("rata-rata:",'Offshore - Darwin'!N133)+11,FIND(";",'Offshore - Darwin'!N133&amp;";",SEARCH("rata-rata:",'Offshore - Darwin'!N133))-SEARCH("rata-rata:",'Offshore - Darwin'!N133)-11)),IF('Offshore - Darwin'!D133="Semester",'Offshore - Darwin'!E133*2,IF('Offshore - Darwin'!D133="Trimester",'Offshore - Darwin'!E133*3,IF('Offshore - Darwin'!D133="Term",'Offshore - Darwin'!E133*4,IF('Offshore - Darwin'!D133="Unit",'Offshore - Darwin'!E133*8,""))))))</f>
        <v>31792</v>
      </c>
      <c r="L309" s="0" t="n">
        <f aca="false">IF(AND(ISNUMBER('Offshore - Darwin'!E133),ISNUMBER(K309),ISNUMBER('Offshore - Darwin'!F133),ISNUMBER('Offshore - Darwin'!G133),OR('Offshore - Darwin'!F133&lt;&gt;0,ISNUMBER(SEARCH("Material 0 terverifikasi",'Offshore - Darwin'!N133))),OR('Offshore - Darwin'!G133&lt;&gt;0,ISNUMBER(SEARCH("Enrolment 0 terverifikasi",'Offshore - Darwin'!N133)))),1,0)</f>
        <v>0</v>
      </c>
      <c r="M309" s="0" t="n">
        <f aca="false">IF(OR('Offshore - Darwin'!E133="",ISNUMBER(SEARCH("BSB80120",'Offshore - Darwin'!B133&amp;'Offshore - Darwin'!N133)),ISNUMBER(SEARCH("Management (Learning)",'Offshore - Darwin'!B133))),2,IF(ISNUMBER(SEARCH("CEK:",'Offshore - Darwin'!N133)),1,0))</f>
        <v>0</v>
      </c>
    </row>
    <row r="310" customFormat="false" ht="15" hidden="false" customHeight="false" outlineLevel="0" collapsed="false">
      <c r="A310" s="61" t="s">
        <v>3875</v>
      </c>
      <c r="B310" s="62"/>
      <c r="C310" s="62"/>
      <c r="D310" s="62"/>
      <c r="E310" s="62"/>
      <c r="F310" s="62"/>
      <c r="G310" s="62"/>
      <c r="H310" s="62"/>
      <c r="I310" s="62"/>
    </row>
    <row r="311" customFormat="false" ht="15" hidden="false" customHeight="false" outlineLevel="0" collapsed="false">
      <c r="A311" s="63" t="s">
        <v>3583</v>
      </c>
      <c r="B311" s="64" t="s">
        <v>3833</v>
      </c>
      <c r="C311" s="63" t="s">
        <v>3821</v>
      </c>
      <c r="D311" s="64" t="str">
        <f aca="false">TRIM(LEFT('Offshore - Darwin'!A20,FIND(CHAR(10),'Offshore - Darwin'!A20&amp;CHAR(10))-1))</f>
        <v>Charles Darwin University (CDU)</v>
      </c>
      <c r="E311" s="63" t="str">
        <f aca="false">'Offshore - Darwin'!C134&amp;""</f>
        <v>0,5 year</v>
      </c>
      <c r="F311" s="63" t="str">
        <f aca="false">IF('Offshore - Darwin'!D134="","Belum tercatat",'Offshore - Darwin'!D134)</f>
        <v>Term</v>
      </c>
      <c r="G311" s="65" t="n">
        <f aca="false">IF('Offshore - Darwin'!E134="","-",'Offshore - Darwin'!E134)</f>
        <v>4350</v>
      </c>
      <c r="H311" s="63" t="n">
        <f aca="false">IF(ISNUMBER(K311),COUNTIFS($J$6:$J$1854,J311,$K$6:$K$1854,"&lt;"&amp;K311)+1,"-")</f>
        <v>1</v>
      </c>
      <c r="I311" s="64" t="str">
        <f aca="false">IF('Offshore - Darwin'!E134="","Harga belum tersedia - hubungi konsultan TEG",IF(M311=2,"Saat ini tidak menerima pendaftaran siswa internasional baru",IF(M311=1,"Harga perlu dikonfirmasi ke sekolah"&amp;IF(""="","","; "&amp;""),"")))</f>
        <v/>
      </c>
      <c r="J311" s="0" t="s">
        <v>3876</v>
      </c>
      <c r="K311" s="0" t="n">
        <f aca="false">IF(M311=2,"",IF(ISNUMBER(SEARCH("rata-rata:",'Offshore - Darwin'!N134)),VALUE(MID('Offshore - Darwin'!N134,SEARCH("rata-rata:",'Offshore - Darwin'!N134)+11,FIND(";",'Offshore - Darwin'!N134&amp;";",SEARCH("rata-rata:",'Offshore - Darwin'!N134))-SEARCH("rata-rata:",'Offshore - Darwin'!N134)-11)),IF('Offshore - Darwin'!D134="Semester",'Offshore - Darwin'!E134*2,IF('Offshore - Darwin'!D134="Trimester",'Offshore - Darwin'!E134*3,IF('Offshore - Darwin'!D134="Term",'Offshore - Darwin'!E134*4,IF('Offshore - Darwin'!D134="Unit",'Offshore - Darwin'!E134*8,""))))))</f>
        <v>17400</v>
      </c>
      <c r="L311" s="0" t="n">
        <f aca="false">IF(AND(ISNUMBER('Offshore - Darwin'!E134),ISNUMBER(K311),ISNUMBER('Offshore - Darwin'!F134),ISNUMBER('Offshore - Darwin'!G134),OR('Offshore - Darwin'!F134&lt;&gt;0,ISNUMBER(SEARCH("Material 0 terverifikasi",'Offshore - Darwin'!N134))),OR('Offshore - Darwin'!G134&lt;&gt;0,ISNUMBER(SEARCH("Enrolment 0 terverifikasi",'Offshore - Darwin'!N134)))),1,0)</f>
        <v>0</v>
      </c>
      <c r="M311" s="0" t="n">
        <f aca="false">IF(OR('Offshore - Darwin'!E134="",ISNUMBER(SEARCH("BSB80120",'Offshore - Darwin'!B134&amp;'Offshore - Darwin'!N134)),ISNUMBER(SEARCH("Management (Learning)",'Offshore - Darwin'!B134))),2,IF(ISNUMBER(SEARCH("CEK:",'Offshore - Darwin'!N134)),1,0))</f>
        <v>0</v>
      </c>
    </row>
    <row r="312" customFormat="false" ht="15" hidden="false" customHeight="false" outlineLevel="0" collapsed="false">
      <c r="A312" s="61" t="s">
        <v>3877</v>
      </c>
      <c r="B312" s="62"/>
      <c r="C312" s="62"/>
      <c r="D312" s="62"/>
      <c r="E312" s="62"/>
      <c r="F312" s="62"/>
      <c r="G312" s="62"/>
      <c r="H312" s="62"/>
      <c r="I312" s="62"/>
    </row>
    <row r="313" customFormat="false" ht="15" hidden="false" customHeight="false" outlineLevel="0" collapsed="false">
      <c r="A313" s="63" t="s">
        <v>3878</v>
      </c>
      <c r="B313" s="64" t="s">
        <v>3833</v>
      </c>
      <c r="C313" s="63" t="s">
        <v>41</v>
      </c>
      <c r="D313" s="64" t="str">
        <f aca="false">TRIM(LEFT('Offshore - Gosford'!A6,FIND(CHAR(10),'Offshore - Gosford'!A6&amp;CHAR(10))-1))</f>
        <v>Novus College</v>
      </c>
      <c r="E313" s="63" t="str">
        <f aca="false">'Offshore - Gosford'!C6&amp;""</f>
        <v>2 years</v>
      </c>
      <c r="F313" s="63" t="str">
        <f aca="false">IF('Offshore - Gosford'!D6="","Belum tercatat",'Offshore - Gosford'!D6)</f>
        <v>Term</v>
      </c>
      <c r="G313" s="65" t="n">
        <f aca="false">IF('Offshore - Gosford'!E6="","-",'Offshore - Gosford'!E6)</f>
        <v>2500</v>
      </c>
      <c r="H313" s="63" t="n">
        <f aca="false">IF(ISNUMBER(K313),COUNTIFS($J$6:$J$1854,J313,$K$6:$K$1854,"&lt;"&amp;K313)+1,"-")</f>
        <v>1</v>
      </c>
      <c r="I313" s="64" t="str">
        <f aca="false">IF('Offshore - Gosford'!E6="","Harga belum tersedia - hubungi konsultan TEG",IF(M313=2,"Saat ini tidak menerima pendaftaran siswa internasional baru",IF(M313=1,"Program perlu dikonfirmasi ketersediaannya"&amp;IF(""="","","; "&amp;""),"")))</f>
        <v>Program perlu dikonfirmasi ketersediaannya</v>
      </c>
      <c r="J313" s="0" t="s">
        <v>3879</v>
      </c>
      <c r="K313" s="0" t="n">
        <f aca="false">IF(M313=2,"",IF(ISNUMBER(SEARCH("rata-rata:",'Offshore - Gosford'!N6)),VALUE(MID('Offshore - Gosford'!N6,SEARCH("rata-rata:",'Offshore - Gosford'!N6)+11,FIND(";",'Offshore - Gosford'!N6&amp;";",SEARCH("rata-rata:",'Offshore - Gosford'!N6))-SEARCH("rata-rata:",'Offshore - Gosford'!N6)-11)),IF('Offshore - Gosford'!D6="Semester",'Offshore - Gosford'!E6*2,IF('Offshore - Gosford'!D6="Trimester",'Offshore - Gosford'!E6*3,IF('Offshore - Gosford'!D6="Term",'Offshore - Gosford'!E6*4,IF('Offshore - Gosford'!D6="Unit",'Offshore - Gosford'!E6*8,""))))))</f>
        <v>10000</v>
      </c>
      <c r="L313" s="0" t="n">
        <f aca="false">IF(AND(ISNUMBER('Offshore - Gosford'!E6),ISNUMBER(K313),ISNUMBER('Offshore - Gosford'!F6),ISNUMBER('Offshore - Gosford'!G6),OR('Offshore - Gosford'!F6&lt;&gt;0,ISNUMBER(SEARCH("Material 0 terverifikasi",'Offshore - Gosford'!N6))),OR('Offshore - Gosford'!G6&lt;&gt;0,ISNUMBER(SEARCH("Enrolment 0 terverifikasi",'Offshore - Gosford'!N6)))),1,0)</f>
        <v>1</v>
      </c>
      <c r="M313" s="0" t="n">
        <f aca="false">IF(OR('Offshore - Gosford'!E6="",ISNUMBER(SEARCH("BSB80120",'Offshore - Gosford'!B6&amp;'Offshore - Gosford'!N6)),ISNUMBER(SEARCH("Management (Learning)",'Offshore - Gosford'!B6))),2,IF(ISNUMBER(SEARCH("CEK:",'Offshore - Gosford'!N6)),1,0))</f>
        <v>1</v>
      </c>
    </row>
    <row r="314" customFormat="false" ht="15" hidden="false" customHeight="false" outlineLevel="0" collapsed="false">
      <c r="A314" s="61" t="s">
        <v>3880</v>
      </c>
      <c r="B314" s="62"/>
      <c r="C314" s="62"/>
      <c r="D314" s="62"/>
      <c r="E314" s="62"/>
      <c r="F314" s="62"/>
      <c r="G314" s="62"/>
      <c r="H314" s="62"/>
      <c r="I314" s="62"/>
    </row>
    <row r="315" customFormat="false" ht="15" hidden="false" customHeight="false" outlineLevel="0" collapsed="false">
      <c r="A315" s="63" t="s">
        <v>3878</v>
      </c>
      <c r="B315" s="64" t="s">
        <v>3833</v>
      </c>
      <c r="C315" s="63" t="s">
        <v>42</v>
      </c>
      <c r="D315" s="64" t="str">
        <f aca="false">TRIM(LEFT('Offshore - Gosford'!A6,FIND(CHAR(10),'Offshore - Gosford'!A6&amp;CHAR(10))-1))</f>
        <v>Novus College</v>
      </c>
      <c r="E315" s="63" t="str">
        <f aca="false">'Offshore - Gosford'!C7&amp;""</f>
        <v>2 years</v>
      </c>
      <c r="F315" s="63" t="str">
        <f aca="false">IF('Offshore - Gosford'!D7="","Belum tercatat",'Offshore - Gosford'!D7)</f>
        <v>Term</v>
      </c>
      <c r="G315" s="65" t="n">
        <f aca="false">IF('Offshore - Gosford'!E7="","-",'Offshore - Gosford'!E7)</f>
        <v>2300</v>
      </c>
      <c r="H315" s="63" t="n">
        <f aca="false">IF(ISNUMBER(K315),COUNTIFS($J$6:$J$1854,J315,$K$6:$K$1854,"&lt;"&amp;K315)+1,"-")</f>
        <v>1</v>
      </c>
      <c r="I315" s="64" t="str">
        <f aca="false">IF('Offshore - Gosford'!E7="","Harga belum tersedia - hubungi konsultan TEG",IF(M315=2,"Saat ini tidak menerima pendaftaran siswa internasional baru",IF(M315=1,"Program perlu dikonfirmasi ketersediaannya"&amp;IF(""="","","; "&amp;""),"")))</f>
        <v>Program perlu dikonfirmasi ketersediaannya</v>
      </c>
      <c r="J315" s="0" t="s">
        <v>3881</v>
      </c>
      <c r="K315" s="0" t="n">
        <f aca="false">IF(M315=2,"",IF(ISNUMBER(SEARCH("rata-rata:",'Offshore - Gosford'!N7)),VALUE(MID('Offshore - Gosford'!N7,SEARCH("rata-rata:",'Offshore - Gosford'!N7)+11,FIND(";",'Offshore - Gosford'!N7&amp;";",SEARCH("rata-rata:",'Offshore - Gosford'!N7))-SEARCH("rata-rata:",'Offshore - Gosford'!N7)-11)),IF('Offshore - Gosford'!D7="Semester",'Offshore - Gosford'!E7*2,IF('Offshore - Gosford'!D7="Trimester",'Offshore - Gosford'!E7*3,IF('Offshore - Gosford'!D7="Term",'Offshore - Gosford'!E7*4,IF('Offshore - Gosford'!D7="Unit",'Offshore - Gosford'!E7*8,""))))))</f>
        <v>9200</v>
      </c>
      <c r="L315" s="0" t="n">
        <f aca="false">IF(AND(ISNUMBER('Offshore - Gosford'!E7),ISNUMBER(K315),ISNUMBER('Offshore - Gosford'!F7),ISNUMBER('Offshore - Gosford'!G7),OR('Offshore - Gosford'!F7&lt;&gt;0,ISNUMBER(SEARCH("Material 0 terverifikasi",'Offshore - Gosford'!N7))),OR('Offshore - Gosford'!G7&lt;&gt;0,ISNUMBER(SEARCH("Enrolment 0 terverifikasi",'Offshore - Gosford'!N7)))),1,0)</f>
        <v>1</v>
      </c>
      <c r="M315" s="0" t="n">
        <f aca="false">IF(OR('Offshore - Gosford'!E7="",ISNUMBER(SEARCH("BSB80120",'Offshore - Gosford'!B7&amp;'Offshore - Gosford'!N7)),ISNUMBER(SEARCH("Management (Learning)",'Offshore - Gosford'!B7))),2,IF(ISNUMBER(SEARCH("CEK:",'Offshore - Gosford'!N7)),1,0))</f>
        <v>1</v>
      </c>
    </row>
    <row r="316" customFormat="false" ht="15" hidden="false" customHeight="false" outlineLevel="0" collapsed="false">
      <c r="A316" s="61" t="s">
        <v>3882</v>
      </c>
      <c r="B316" s="62"/>
      <c r="C316" s="62"/>
      <c r="D316" s="62"/>
      <c r="E316" s="62"/>
      <c r="F316" s="62"/>
      <c r="G316" s="62"/>
      <c r="H316" s="62"/>
      <c r="I316" s="62"/>
    </row>
    <row r="317" customFormat="false" ht="15" hidden="false" customHeight="false" outlineLevel="0" collapsed="false">
      <c r="A317" s="63" t="s">
        <v>3544</v>
      </c>
      <c r="B317" s="64" t="s">
        <v>3833</v>
      </c>
      <c r="C317" s="63" t="s">
        <v>41</v>
      </c>
      <c r="D317" s="64" t="str">
        <f aca="false">TRIM(LEFT('Offshore - Melbourne'!A263,FIND(CHAR(10),'Offshore - Melbourne'!A263&amp;CHAR(10))-1))</f>
        <v>Greenwich College</v>
      </c>
      <c r="E317" s="63" t="str">
        <f aca="false">'Offshore - Melbourne'!C267&amp;""</f>
        <v>96 weeks</v>
      </c>
      <c r="F317" s="63" t="str">
        <f aca="false">IF('Offshore - Melbourne'!D267="","Belum tercatat",'Offshore - Melbourne'!D267)</f>
        <v>Term</v>
      </c>
      <c r="G317" s="65" t="n">
        <f aca="false">IF('Offshore - Melbourne'!E267="","-",'Offshore - Melbourne'!E267)</f>
        <v>1250</v>
      </c>
      <c r="H317" s="63" t="n">
        <f aca="false">IF(ISNUMBER(K317),COUNTIFS($J$6:$J$1854,J317,$K$6:$K$1854,"&lt;"&amp;K317)+1,"-")</f>
        <v>1</v>
      </c>
      <c r="I317" s="64" t="str">
        <f aca="false">IF('Offshore - Melbourne'!E267="","Harga belum tersedia - hubungi konsultan TEG",IF(M317=2,"Saat ini tidak menerima pendaftaran siswa internasional baru",IF(M317=1,"Harga perlu dikonfirmasi ke sekolah"&amp;IF(""="","","; "&amp;""),"")))</f>
        <v/>
      </c>
      <c r="J317" s="0" t="s">
        <v>3883</v>
      </c>
      <c r="K317" s="0" t="n">
        <f aca="false">IF(M317=2,"",IF(ISNUMBER(SEARCH("rata-rata:",'Offshore - Melbourne'!N267)),VALUE(MID('Offshore - Melbourne'!N267,SEARCH("rata-rata:",'Offshore - Melbourne'!N267)+11,FIND(";",'Offshore - Melbourne'!N267&amp;";",SEARCH("rata-rata:",'Offshore - Melbourne'!N267))-SEARCH("rata-rata:",'Offshore - Melbourne'!N267)-11)),IF('Offshore - Melbourne'!D267="Semester",'Offshore - Melbourne'!E267*2,IF('Offshore - Melbourne'!D267="Trimester",'Offshore - Melbourne'!E267*3,IF('Offshore - Melbourne'!D267="Term",'Offshore - Melbourne'!E267*4,IF('Offshore - Melbourne'!D267="Unit",'Offshore - Melbourne'!E267*8,""))))))</f>
        <v>5000</v>
      </c>
      <c r="L317" s="0" t="n">
        <f aca="false">IF(AND(ISNUMBER('Offshore - Melbourne'!E267),ISNUMBER(K317),ISNUMBER('Offshore - Melbourne'!F267),ISNUMBER('Offshore - Melbourne'!G267),OR('Offshore - Melbourne'!F267&lt;&gt;0,ISNUMBER(SEARCH("Material 0 terverifikasi",'Offshore - Melbourne'!N267))),OR('Offshore - Melbourne'!G267&lt;&gt;0,ISNUMBER(SEARCH("Enrolment 0 terverifikasi",'Offshore - Melbourne'!N267)))),1,0)</f>
        <v>1</v>
      </c>
      <c r="M317" s="0" t="n">
        <f aca="false">IF(OR('Offshore - Melbourne'!E267="",ISNUMBER(SEARCH("BSB80120",'Offshore - Melbourne'!B267&amp;'Offshore - Melbourne'!N267)),ISNUMBER(SEARCH("Management (Learning)",'Offshore - Melbourne'!B267))),2,IF(ISNUMBER(SEARCH("CEK:",'Offshore - Melbourne'!N267)),1,0))</f>
        <v>0</v>
      </c>
    </row>
    <row r="318" customFormat="false" ht="15" hidden="false" customHeight="false" outlineLevel="0" collapsed="false">
      <c r="A318" s="63" t="s">
        <v>3544</v>
      </c>
      <c r="B318" s="64" t="s">
        <v>3833</v>
      </c>
      <c r="C318" s="63" t="s">
        <v>41</v>
      </c>
      <c r="D318" s="64" t="str">
        <f aca="false">TRIM(LEFT('Offshore - Melbourne'!A252,FIND(CHAR(10),'Offshore - Melbourne'!A252&amp;CHAR(10))-1))</f>
        <v>ECA College</v>
      </c>
      <c r="E318" s="63" t="str">
        <f aca="false">'Offshore - Melbourne'!C253&amp;""</f>
        <v>2 years</v>
      </c>
      <c r="F318" s="63" t="str">
        <f aca="false">IF('Offshore - Melbourne'!D253="","Belum tercatat",'Offshore - Melbourne'!D253)</f>
        <v>Term</v>
      </c>
      <c r="G318" s="65" t="n">
        <f aca="false">IF('Offshore - Melbourne'!E253="","-",'Offshore - Melbourne'!E253)</f>
        <v>1500</v>
      </c>
      <c r="H318" s="63" t="n">
        <f aca="false">IF(ISNUMBER(K318),COUNTIFS($J$6:$J$1854,J318,$K$6:$K$1854,"&lt;"&amp;K318)+1,"-")</f>
        <v>2</v>
      </c>
      <c r="I318" s="64" t="str">
        <f aca="false">IF('Offshore - Melbourne'!E253="","Harga belum tersedia - hubungi konsultan TEG",IF(M318=2,"Saat ini tidak menerima pendaftaran siswa internasional baru",IF(M318=1,"Harga perlu dikonfirmasi ke sekolah"&amp;IF(""="","","; "&amp;""),"")))</f>
        <v/>
      </c>
      <c r="J318" s="0" t="s">
        <v>3883</v>
      </c>
      <c r="K318" s="0" t="n">
        <f aca="false">IF(M318=2,"",IF(ISNUMBER(SEARCH("rata-rata:",'Offshore - Melbourne'!N253)),VALUE(MID('Offshore - Melbourne'!N253,SEARCH("rata-rata:",'Offshore - Melbourne'!N253)+11,FIND(";",'Offshore - Melbourne'!N253&amp;";",SEARCH("rata-rata:",'Offshore - Melbourne'!N253))-SEARCH("rata-rata:",'Offshore - Melbourne'!N253)-11)),IF('Offshore - Melbourne'!D253="Semester",'Offshore - Melbourne'!E253*2,IF('Offshore - Melbourne'!D253="Trimester",'Offshore - Melbourne'!E253*3,IF('Offshore - Melbourne'!D253="Term",'Offshore - Melbourne'!E253*4,IF('Offshore - Melbourne'!D253="Unit",'Offshore - Melbourne'!E253*8,""))))))</f>
        <v>6000</v>
      </c>
      <c r="L318" s="0" t="n">
        <f aca="false">IF(AND(ISNUMBER('Offshore - Melbourne'!E253),ISNUMBER(K318),ISNUMBER('Offshore - Melbourne'!F253),ISNUMBER('Offshore - Melbourne'!G253),OR('Offshore - Melbourne'!F253&lt;&gt;0,ISNUMBER(SEARCH("Material 0 terverifikasi",'Offshore - Melbourne'!N253))),OR('Offshore - Melbourne'!G253&lt;&gt;0,ISNUMBER(SEARCH("Enrolment 0 terverifikasi",'Offshore - Melbourne'!N253)))),1,0)</f>
        <v>0</v>
      </c>
      <c r="M318" s="0" t="n">
        <f aca="false">IF(OR('Offshore - Melbourne'!E253="",ISNUMBER(SEARCH("BSB80120",'Offshore - Melbourne'!B253&amp;'Offshore - Melbourne'!N253)),ISNUMBER(SEARCH("Management (Learning)",'Offshore - Melbourne'!B253))),2,IF(ISNUMBER(SEARCH("CEK:",'Offshore - Melbourne'!N253)),1,0))</f>
        <v>0</v>
      </c>
    </row>
    <row r="319" customFormat="false" ht="28.35" hidden="false" customHeight="false" outlineLevel="0" collapsed="false">
      <c r="A319" s="63" t="s">
        <v>3544</v>
      </c>
      <c r="B319" s="64" t="s">
        <v>3833</v>
      </c>
      <c r="C319" s="63" t="s">
        <v>41</v>
      </c>
      <c r="D319" s="64" t="str">
        <f aca="false">TRIM(LEFT('Offshore - Melbourne'!A435,FIND(CHAR(10),'Offshore - Melbourne'!A435&amp;CHAR(10))-1))</f>
        <v>TKL College (Training for Knowledge and Livelihood)</v>
      </c>
      <c r="E319" s="63" t="str">
        <f aca="false">'Offshore - Melbourne'!C436&amp;""</f>
        <v>2 years</v>
      </c>
      <c r="F319" s="63" t="str">
        <f aca="false">IF('Offshore - Melbourne'!D436="","Belum tercatat",'Offshore - Melbourne'!D436)</f>
        <v>Term</v>
      </c>
      <c r="G319" s="65" t="n">
        <f aca="false">IF('Offshore - Melbourne'!E436="","-",'Offshore - Melbourne'!E436)</f>
        <v>1500</v>
      </c>
      <c r="H319" s="63" t="n">
        <f aca="false">IF(ISNUMBER(K319),COUNTIFS($J$6:$J$1854,J319,$K$6:$K$1854,"&lt;"&amp;K319)+1,"-")</f>
        <v>2</v>
      </c>
      <c r="I319" s="64" t="str">
        <f aca="false">IF('Offshore - Melbourne'!E436="","Harga belum tersedia - hubungi konsultan TEG",IF(M319=2,"Saat ini tidak menerima pendaftaran siswa internasional baru",IF(M319=1,"Program perlu dikonfirmasi ketersediaannya"&amp;IF(""="","","; "&amp;""),"")))</f>
        <v>Program perlu dikonfirmasi ketersediaannya</v>
      </c>
      <c r="J319" s="0" t="s">
        <v>3883</v>
      </c>
      <c r="K319" s="0" t="n">
        <f aca="false">IF(M319=2,"",IF(ISNUMBER(SEARCH("rata-rata:",'Offshore - Melbourne'!N436)),VALUE(MID('Offshore - Melbourne'!N436,SEARCH("rata-rata:",'Offshore - Melbourne'!N436)+11,FIND(";",'Offshore - Melbourne'!N436&amp;";",SEARCH("rata-rata:",'Offshore - Melbourne'!N436))-SEARCH("rata-rata:",'Offshore - Melbourne'!N436)-11)),IF('Offshore - Melbourne'!D436="Semester",'Offshore - Melbourne'!E436*2,IF('Offshore - Melbourne'!D436="Trimester",'Offshore - Melbourne'!E436*3,IF('Offshore - Melbourne'!D436="Term",'Offshore - Melbourne'!E436*4,IF('Offshore - Melbourne'!D436="Unit",'Offshore - Melbourne'!E436*8,""))))))</f>
        <v>6000</v>
      </c>
      <c r="L319" s="0" t="n">
        <f aca="false">IF(AND(ISNUMBER('Offshore - Melbourne'!E436),ISNUMBER(K319),ISNUMBER('Offshore - Melbourne'!F436),ISNUMBER('Offshore - Melbourne'!G436),OR('Offshore - Melbourne'!F436&lt;&gt;0,ISNUMBER(SEARCH("Material 0 terverifikasi",'Offshore - Melbourne'!N436))),OR('Offshore - Melbourne'!G436&lt;&gt;0,ISNUMBER(SEARCH("Enrolment 0 terverifikasi",'Offshore - Melbourne'!N436)))),1,0)</f>
        <v>1</v>
      </c>
      <c r="M319" s="0" t="n">
        <f aca="false">IF(OR('Offshore - Melbourne'!E436="",ISNUMBER(SEARCH("BSB80120",'Offshore - Melbourne'!B436&amp;'Offshore - Melbourne'!N436)),ISNUMBER(SEARCH("Management (Learning)",'Offshore - Melbourne'!B436))),2,IF(ISNUMBER(SEARCH("CEK:",'Offshore - Melbourne'!N436)),1,0))</f>
        <v>1</v>
      </c>
    </row>
    <row r="320" customFormat="false" ht="15" hidden="false" customHeight="false" outlineLevel="0" collapsed="false">
      <c r="A320" s="63" t="s">
        <v>3544</v>
      </c>
      <c r="B320" s="64" t="s">
        <v>3833</v>
      </c>
      <c r="C320" s="63" t="s">
        <v>41</v>
      </c>
      <c r="D320" s="64" t="str">
        <f aca="false">TRIM(LEFT('Offshore - Melbourne'!A65,FIND(CHAR(10),'Offshore - Melbourne'!A65&amp;CHAR(10))-1))</f>
        <v>ALTEC College</v>
      </c>
      <c r="E320" s="63" t="str">
        <f aca="false">'Offshore - Melbourne'!C65&amp;""</f>
        <v>2 years</v>
      </c>
      <c r="F320" s="63" t="str">
        <f aca="false">IF('Offshore - Melbourne'!D65="","Belum tercatat",'Offshore - Melbourne'!D65)</f>
        <v>Term</v>
      </c>
      <c r="G320" s="65" t="n">
        <f aca="false">IF('Offshore - Melbourne'!E65="","-",'Offshore - Melbourne'!E65)</f>
        <v>1625</v>
      </c>
      <c r="H320" s="63" t="n">
        <f aca="false">IF(ISNUMBER(K320),COUNTIFS($J$6:$J$1854,J320,$K$6:$K$1854,"&lt;"&amp;K320)+1,"-")</f>
        <v>4</v>
      </c>
      <c r="I320" s="64" t="str">
        <f aca="false">IF('Offshore - Melbourne'!E65="","Harga belum tersedia - hubungi konsultan TEG",IF(M320=2,"Saat ini tidak menerima pendaftaran siswa internasional baru",IF(M320=1,"Harga perlu dikonfirmasi ke sekolah"&amp;IF(""="","","; "&amp;""),"")))</f>
        <v/>
      </c>
      <c r="J320" s="0" t="s">
        <v>3883</v>
      </c>
      <c r="K320" s="0" t="n">
        <f aca="false">IF(M320=2,"",IF(ISNUMBER(SEARCH("rata-rata:",'Offshore - Melbourne'!N65)),VALUE(MID('Offshore - Melbourne'!N65,SEARCH("rata-rata:",'Offshore - Melbourne'!N65)+11,FIND(";",'Offshore - Melbourne'!N65&amp;";",SEARCH("rata-rata:",'Offshore - Melbourne'!N65))-SEARCH("rata-rata:",'Offshore - Melbourne'!N65)-11)),IF('Offshore - Melbourne'!D65="Semester",'Offshore - Melbourne'!E65*2,IF('Offshore - Melbourne'!D65="Trimester",'Offshore - Melbourne'!E65*3,IF('Offshore - Melbourne'!D65="Term",'Offshore - Melbourne'!E65*4,IF('Offshore - Melbourne'!D65="Unit",'Offshore - Melbourne'!E65*8,""))))))</f>
        <v>6500</v>
      </c>
      <c r="L320" s="0" t="n">
        <f aca="false">IF(AND(ISNUMBER('Offshore - Melbourne'!E65),ISNUMBER(K320),ISNUMBER('Offshore - Melbourne'!F65),ISNUMBER('Offshore - Melbourne'!G65),OR('Offshore - Melbourne'!F65&lt;&gt;0,ISNUMBER(SEARCH("Material 0 terverifikasi",'Offshore - Melbourne'!N65))),OR('Offshore - Melbourne'!G65&lt;&gt;0,ISNUMBER(SEARCH("Enrolment 0 terverifikasi",'Offshore - Melbourne'!N65)))),1,0)</f>
        <v>1</v>
      </c>
      <c r="M320" s="0" t="n">
        <f aca="false">IF(OR('Offshore - Melbourne'!E65="",ISNUMBER(SEARCH("BSB80120",'Offshore - Melbourne'!B65&amp;'Offshore - Melbourne'!N65)),ISNUMBER(SEARCH("Management (Learning)",'Offshore - Melbourne'!B65))),2,IF(ISNUMBER(SEARCH("CEK:",'Offshore - Melbourne'!N65)),1,0))</f>
        <v>0</v>
      </c>
    </row>
    <row r="321" customFormat="false" ht="15" hidden="false" customHeight="false" outlineLevel="0" collapsed="false">
      <c r="A321" s="63" t="s">
        <v>3544</v>
      </c>
      <c r="B321" s="64" t="s">
        <v>3833</v>
      </c>
      <c r="C321" s="63" t="s">
        <v>41</v>
      </c>
      <c r="D321" s="64" t="str">
        <f aca="false">TRIM(LEFT('Offshore - Melbourne'!A240,FIND(CHAR(10),'Offshore - Melbourne'!A240&amp;CHAR(10))-1))</f>
        <v>Collins Academy</v>
      </c>
      <c r="E321" s="63" t="str">
        <f aca="false">'Offshore - Melbourne'!C240&amp;""</f>
        <v>2 years</v>
      </c>
      <c r="F321" s="63" t="str">
        <f aca="false">IF('Offshore - Melbourne'!D240="","Belum tercatat",'Offshore - Melbourne'!D240)</f>
        <v>Term</v>
      </c>
      <c r="G321" s="65" t="n">
        <f aca="false">IF('Offshore - Melbourne'!E240="","-",'Offshore - Melbourne'!E240)</f>
        <v>2125</v>
      </c>
      <c r="H321" s="63" t="n">
        <f aca="false">IF(ISNUMBER(K321),COUNTIFS($J$6:$J$1854,J321,$K$6:$K$1854,"&lt;"&amp;K321)+1,"-")</f>
        <v>5</v>
      </c>
      <c r="I321" s="64" t="str">
        <f aca="false">IF('Offshore - Melbourne'!E240="","Harga belum tersedia - hubungi konsultan TEG",IF(M321=2,"Saat ini tidak menerima pendaftaran siswa internasional baru",IF(M321=1,"Harga perlu dikonfirmasi ke sekolah"&amp;IF(""="","","; "&amp;""),"")))</f>
        <v/>
      </c>
      <c r="J321" s="0" t="s">
        <v>3883</v>
      </c>
      <c r="K321" s="0" t="n">
        <f aca="false">IF(M321=2,"",IF(ISNUMBER(SEARCH("rata-rata:",'Offshore - Melbourne'!N240)),VALUE(MID('Offshore - Melbourne'!N240,SEARCH("rata-rata:",'Offshore - Melbourne'!N240)+11,FIND(";",'Offshore - Melbourne'!N240&amp;";",SEARCH("rata-rata:",'Offshore - Melbourne'!N240))-SEARCH("rata-rata:",'Offshore - Melbourne'!N240)-11)),IF('Offshore - Melbourne'!D240="Semester",'Offshore - Melbourne'!E240*2,IF('Offshore - Melbourne'!D240="Trimester",'Offshore - Melbourne'!E240*3,IF('Offshore - Melbourne'!D240="Term",'Offshore - Melbourne'!E240*4,IF('Offshore - Melbourne'!D240="Unit",'Offshore - Melbourne'!E240*8,""))))))</f>
        <v>8500</v>
      </c>
      <c r="L321" s="0" t="n">
        <f aca="false">IF(AND(ISNUMBER('Offshore - Melbourne'!E240),ISNUMBER(K321),ISNUMBER('Offshore - Melbourne'!F240),ISNUMBER('Offshore - Melbourne'!G240),OR('Offshore - Melbourne'!F240&lt;&gt;0,ISNUMBER(SEARCH("Material 0 terverifikasi",'Offshore - Melbourne'!N240))),OR('Offshore - Melbourne'!G240&lt;&gt;0,ISNUMBER(SEARCH("Enrolment 0 terverifikasi",'Offshore - Melbourne'!N240)))),1,0)</f>
        <v>1</v>
      </c>
      <c r="M321" s="0" t="n">
        <f aca="false">IF(OR('Offshore - Melbourne'!E240="",ISNUMBER(SEARCH("BSB80120",'Offshore - Melbourne'!B240&amp;'Offshore - Melbourne'!N240)),ISNUMBER(SEARCH("Management (Learning)",'Offshore - Melbourne'!B240))),2,IF(ISNUMBER(SEARCH("CEK:",'Offshore - Melbourne'!N240)),1,0))</f>
        <v>0</v>
      </c>
    </row>
    <row r="322" customFormat="false" ht="15" hidden="false" customHeight="false" outlineLevel="0" collapsed="false">
      <c r="A322" s="63" t="s">
        <v>3544</v>
      </c>
      <c r="B322" s="64" t="s">
        <v>3833</v>
      </c>
      <c r="C322" s="63" t="s">
        <v>41</v>
      </c>
      <c r="D322" s="64" t="str">
        <f aca="false">TRIM(LEFT('Offshore - Melbourne'!A78,FIND(CHAR(10),'Offshore - Melbourne'!A78&amp;CHAR(10))-1))</f>
        <v>Asia Pacific International College (APIC)</v>
      </c>
      <c r="E322" s="63" t="str">
        <f aca="false">'Offshore - Melbourne'!C80&amp;""</f>
        <v>1 year</v>
      </c>
      <c r="F322" s="63" t="str">
        <f aca="false">IF('Offshore - Melbourne'!D80="","Belum tercatat",'Offshore - Melbourne'!D80)</f>
        <v>Trimester</v>
      </c>
      <c r="G322" s="65" t="n">
        <f aca="false">IF('Offshore - Melbourne'!E80="","-",'Offshore - Melbourne'!E80)</f>
        <v>3000</v>
      </c>
      <c r="H322" s="63" t="n">
        <f aca="false">IF(ISNUMBER(K322),COUNTIFS($J$6:$J$1854,J322,$K$6:$K$1854,"&lt;"&amp;K322)+1,"-")</f>
        <v>6</v>
      </c>
      <c r="I322" s="64" t="str">
        <f aca="false">IF('Offshore - Melbourne'!E80="","Harga belum tersedia - hubungi konsultan TEG",IF(M322=2,"Saat ini tidak menerima pendaftaran siswa internasional baru",IF(M322=1,"Harga perlu dikonfirmasi ke sekolah"&amp;IF(""="","","; "&amp;""),"")))</f>
        <v>Harga perlu dikonfirmasi ke sekolah</v>
      </c>
      <c r="J322" s="0" t="s">
        <v>3883</v>
      </c>
      <c r="K322" s="0" t="n">
        <f aca="false">IF(M322=2,"",IF(ISNUMBER(SEARCH("rata-rata:",'Offshore - Melbourne'!N80)),VALUE(MID('Offshore - Melbourne'!N80,SEARCH("rata-rata:",'Offshore - Melbourne'!N80)+11,FIND(";",'Offshore - Melbourne'!N80&amp;";",SEARCH("rata-rata:",'Offshore - Melbourne'!N80))-SEARCH("rata-rata:",'Offshore - Melbourne'!N80)-11)),IF('Offshore - Melbourne'!D80="Semester",'Offshore - Melbourne'!E80*2,IF('Offshore - Melbourne'!D80="Trimester",'Offshore - Melbourne'!E80*3,IF('Offshore - Melbourne'!D80="Term",'Offshore - Melbourne'!E80*4,IF('Offshore - Melbourne'!D80="Unit",'Offshore - Melbourne'!E80*8,""))))))</f>
        <v>9000</v>
      </c>
      <c r="L322" s="0" t="n">
        <f aca="false">IF(AND(ISNUMBER('Offshore - Melbourne'!E80),ISNUMBER(K322),ISNUMBER('Offshore - Melbourne'!F80),ISNUMBER('Offshore - Melbourne'!G80),OR('Offshore - Melbourne'!F80&lt;&gt;0,ISNUMBER(SEARCH("Material 0 terverifikasi",'Offshore - Melbourne'!N80))),OR('Offshore - Melbourne'!G80&lt;&gt;0,ISNUMBER(SEARCH("Enrolment 0 terverifikasi",'Offshore - Melbourne'!N80)))),1,0)</f>
        <v>0</v>
      </c>
      <c r="M322" s="0" t="n">
        <f aca="false">IF(OR('Offshore - Melbourne'!E80="",ISNUMBER(SEARCH("BSB80120",'Offshore - Melbourne'!B80&amp;'Offshore - Melbourne'!N80)),ISNUMBER(SEARCH("Management (Learning)",'Offshore - Melbourne'!B80))),2,IF(ISNUMBER(SEARCH("CEK:",'Offshore - Melbourne'!N80)),1,0))</f>
        <v>1</v>
      </c>
    </row>
    <row r="323" customFormat="false" ht="15" hidden="false" customHeight="false" outlineLevel="0" collapsed="false">
      <c r="A323" s="63" t="s">
        <v>3544</v>
      </c>
      <c r="B323" s="64" t="s">
        <v>3833</v>
      </c>
      <c r="C323" s="63" t="s">
        <v>41</v>
      </c>
      <c r="D323" s="64" t="str">
        <f aca="false">TRIM(LEFT('Offshore - Melbourne'!A287,FIND(CHAR(10),'Offshore - Melbourne'!A287&amp;CHAR(10))-1))</f>
        <v>INUS / ZOI (Nuture Education Group)</v>
      </c>
      <c r="E323" s="63" t="str">
        <f aca="false">'Offshore - Melbourne'!C289&amp;""</f>
        <v>2 years</v>
      </c>
      <c r="F323" s="63" t="str">
        <f aca="false">IF('Offshore - Melbourne'!D289="","Belum tercatat",'Offshore - Melbourne'!D289)</f>
        <v>Term</v>
      </c>
      <c r="G323" s="65" t="n">
        <f aca="false">IF('Offshore - Melbourne'!E289="","-",'Offshore - Melbourne'!E289)</f>
        <v>2500</v>
      </c>
      <c r="H323" s="63" t="n">
        <f aca="false">IF(ISNUMBER(K323),COUNTIFS($J$6:$J$1854,J323,$K$6:$K$1854,"&lt;"&amp;K323)+1,"-")</f>
        <v>7</v>
      </c>
      <c r="I323" s="64" t="str">
        <f aca="false">IF('Offshore - Melbourne'!E289="","Harga belum tersedia - hubungi konsultan TEG",IF(M323=2,"Saat ini tidak menerima pendaftaran siswa internasional baru",IF(M323=1,"Harga perlu dikonfirmasi ke sekolah"&amp;IF(""="","","; "&amp;""),"")))</f>
        <v>Harga perlu dikonfirmasi ke sekolah</v>
      </c>
      <c r="J323" s="0" t="s">
        <v>3883</v>
      </c>
      <c r="K323" s="0" t="n">
        <f aca="false">IF(M323=2,"",IF(ISNUMBER(SEARCH("rata-rata:",'Offshore - Melbourne'!N289)),VALUE(MID('Offshore - Melbourne'!N289,SEARCH("rata-rata:",'Offshore - Melbourne'!N289)+11,FIND(";",'Offshore - Melbourne'!N289&amp;";",SEARCH("rata-rata:",'Offshore - Melbourne'!N289))-SEARCH("rata-rata:",'Offshore - Melbourne'!N289)-11)),IF('Offshore - Melbourne'!D289="Semester",'Offshore - Melbourne'!E289*2,IF('Offshore - Melbourne'!D289="Trimester",'Offshore - Melbourne'!E289*3,IF('Offshore - Melbourne'!D289="Term",'Offshore - Melbourne'!E289*4,IF('Offshore - Melbourne'!D289="Unit",'Offshore - Melbourne'!E289*8,""))))))</f>
        <v>10000</v>
      </c>
      <c r="L323" s="0" t="n">
        <f aca="false">IF(AND(ISNUMBER('Offshore - Melbourne'!E289),ISNUMBER(K323),ISNUMBER('Offshore - Melbourne'!F289),ISNUMBER('Offshore - Melbourne'!G289),OR('Offshore - Melbourne'!F289&lt;&gt;0,ISNUMBER(SEARCH("Material 0 terverifikasi",'Offshore - Melbourne'!N289))),OR('Offshore - Melbourne'!G289&lt;&gt;0,ISNUMBER(SEARCH("Enrolment 0 terverifikasi",'Offshore - Melbourne'!N289)))),1,0)</f>
        <v>1</v>
      </c>
      <c r="M323" s="0" t="n">
        <f aca="false">IF(OR('Offshore - Melbourne'!E289="",ISNUMBER(SEARCH("BSB80120",'Offshore - Melbourne'!B289&amp;'Offshore - Melbourne'!N289)),ISNUMBER(SEARCH("Management (Learning)",'Offshore - Melbourne'!B289))),2,IF(ISNUMBER(SEARCH("CEK:",'Offshore - Melbourne'!N289)),1,0))</f>
        <v>1</v>
      </c>
    </row>
    <row r="324" customFormat="false" ht="15" hidden="false" customHeight="false" outlineLevel="0" collapsed="false">
      <c r="A324" s="63" t="s">
        <v>3544</v>
      </c>
      <c r="B324" s="64" t="s">
        <v>3833</v>
      </c>
      <c r="C324" s="63" t="s">
        <v>41</v>
      </c>
      <c r="D324" s="64" t="str">
        <f aca="false">TRIM(LEFT('Offshore - Melbourne'!A245,FIND(CHAR(10),'Offshore - Melbourne'!A245&amp;CHAR(10))-1))</f>
        <v>Dalton College</v>
      </c>
      <c r="E324" s="63" t="str">
        <f aca="false">'Offshore - Melbourne'!C248&amp;""</f>
        <v>1 year</v>
      </c>
      <c r="F324" s="63" t="str">
        <f aca="false">IF('Offshore - Melbourne'!D248="","Belum tercatat",'Offshore - Melbourne'!D248)</f>
        <v>Term</v>
      </c>
      <c r="G324" s="65" t="n">
        <f aca="false">IF('Offshore - Melbourne'!E248="","-",'Offshore - Melbourne'!E248)</f>
        <v>2950</v>
      </c>
      <c r="H324" s="63" t="n">
        <f aca="false">IF(ISNUMBER(K324),COUNTIFS($J$6:$J$1854,J324,$K$6:$K$1854,"&lt;"&amp;K324)+1,"-")</f>
        <v>8</v>
      </c>
      <c r="I324" s="64" t="str">
        <f aca="false">IF('Offshore - Melbourne'!E248="","Harga belum tersedia - hubungi konsultan TEG",IF(M324=2,"Saat ini tidak menerima pendaftaran siswa internasional baru",IF(M324=1,"Harga perlu dikonfirmasi ke sekolah"&amp;IF(""="","","; "&amp;""),"")))</f>
        <v/>
      </c>
      <c r="J324" s="0" t="s">
        <v>3883</v>
      </c>
      <c r="K324" s="0" t="n">
        <f aca="false">IF(M324=2,"",IF(ISNUMBER(SEARCH("rata-rata:",'Offshore - Melbourne'!N248)),VALUE(MID('Offshore - Melbourne'!N248,SEARCH("rata-rata:",'Offshore - Melbourne'!N248)+11,FIND(";",'Offshore - Melbourne'!N248&amp;";",SEARCH("rata-rata:",'Offshore - Melbourne'!N248))-SEARCH("rata-rata:",'Offshore - Melbourne'!N248)-11)),IF('Offshore - Melbourne'!D248="Semester",'Offshore - Melbourne'!E248*2,IF('Offshore - Melbourne'!D248="Trimester",'Offshore - Melbourne'!E248*3,IF('Offshore - Melbourne'!D248="Term",'Offshore - Melbourne'!E248*4,IF('Offshore - Melbourne'!D248="Unit",'Offshore - Melbourne'!E248*8,""))))))</f>
        <v>11800</v>
      </c>
      <c r="L324" s="0" t="n">
        <f aca="false">IF(AND(ISNUMBER('Offshore - Melbourne'!E248),ISNUMBER(K324),ISNUMBER('Offshore - Melbourne'!F248),ISNUMBER('Offshore - Melbourne'!G248),OR('Offshore - Melbourne'!F248&lt;&gt;0,ISNUMBER(SEARCH("Material 0 terverifikasi",'Offshore - Melbourne'!N248))),OR('Offshore - Melbourne'!G248&lt;&gt;0,ISNUMBER(SEARCH("Enrolment 0 terverifikasi",'Offshore - Melbourne'!N248)))),1,0)</f>
        <v>1</v>
      </c>
      <c r="M324" s="0" t="n">
        <f aca="false">IF(OR('Offshore - Melbourne'!E248="",ISNUMBER(SEARCH("BSB80120",'Offshore - Melbourne'!B248&amp;'Offshore - Melbourne'!N248)),ISNUMBER(SEARCH("Management (Learning)",'Offshore - Melbourne'!B248))),2,IF(ISNUMBER(SEARCH("CEK:",'Offshore - Melbourne'!N248)),1,0))</f>
        <v>0</v>
      </c>
    </row>
    <row r="325" customFormat="false" ht="15" hidden="false" customHeight="false" outlineLevel="0" collapsed="false">
      <c r="A325" s="63" t="s">
        <v>3544</v>
      </c>
      <c r="B325" s="64" t="s">
        <v>3833</v>
      </c>
      <c r="C325" s="63" t="s">
        <v>41</v>
      </c>
      <c r="D325" s="64" t="str">
        <f aca="false">TRIM(LEFT('Offshore - Melbourne'!A443,FIND(CHAR(10),'Offshore - Melbourne'!A443&amp;CHAR(10))-1))</f>
        <v>Torrens University Australia</v>
      </c>
      <c r="E325" s="63" t="str">
        <f aca="false">'Offshore - Melbourne'!C443&amp;""</f>
        <v>1 year</v>
      </c>
      <c r="F325" s="63" t="str">
        <f aca="false">IF('Offshore - Melbourne'!D443="","Belum tercatat",'Offshore - Melbourne'!D443)</f>
        <v>Term</v>
      </c>
      <c r="G325" s="65" t="n">
        <f aca="false">IF('Offshore - Melbourne'!E443="","-",'Offshore - Melbourne'!E443)</f>
        <v>7900</v>
      </c>
      <c r="H325" s="63" t="n">
        <f aca="false">IF(ISNUMBER(K325),COUNTIFS($J$6:$J$1854,J325,$K$6:$K$1854,"&lt;"&amp;K325)+1,"-")</f>
        <v>9</v>
      </c>
      <c r="I325" s="64" t="str">
        <f aca="false">IF('Offshore - Melbourne'!E443="","Harga belum tersedia - hubungi konsultan TEG",IF(M325=2,"Saat ini tidak menerima pendaftaran siswa internasional baru",IF(M325=1,"Harga perlu dikonfirmasi ke sekolah"&amp;IF(""="","","; "&amp;""),"")))</f>
        <v/>
      </c>
      <c r="J325" s="0" t="s">
        <v>3883</v>
      </c>
      <c r="K325" s="0" t="n">
        <f aca="false">IF(M325=2,"",IF(ISNUMBER(SEARCH("rata-rata:",'Offshore - Melbourne'!N443)),VALUE(MID('Offshore - Melbourne'!N443,SEARCH("rata-rata:",'Offshore - Melbourne'!N443)+11,FIND(";",'Offshore - Melbourne'!N443&amp;";",SEARCH("rata-rata:",'Offshore - Melbourne'!N443))-SEARCH("rata-rata:",'Offshore - Melbourne'!N443)-11)),IF('Offshore - Melbourne'!D443="Semester",'Offshore - Melbourne'!E443*2,IF('Offshore - Melbourne'!D443="Trimester",'Offshore - Melbourne'!E443*3,IF('Offshore - Melbourne'!D443="Term",'Offshore - Melbourne'!E443*4,IF('Offshore - Melbourne'!D443="Unit",'Offshore - Melbourne'!E443*8,""))))))</f>
        <v>31600</v>
      </c>
      <c r="L325" s="0" t="n">
        <f aca="false">IF(AND(ISNUMBER('Offshore - Melbourne'!E443),ISNUMBER(K325),ISNUMBER('Offshore - Melbourne'!F443),ISNUMBER('Offshore - Melbourne'!G443),OR('Offshore - Melbourne'!F443&lt;&gt;0,ISNUMBER(SEARCH("Material 0 terverifikasi",'Offshore - Melbourne'!N443))),OR('Offshore - Melbourne'!G443&lt;&gt;0,ISNUMBER(SEARCH("Enrolment 0 terverifikasi",'Offshore - Melbourne'!N443)))),1,0)</f>
        <v>0</v>
      </c>
      <c r="M325" s="0" t="n">
        <f aca="false">IF(OR('Offshore - Melbourne'!E443="",ISNUMBER(SEARCH("BSB80120",'Offshore - Melbourne'!B443&amp;'Offshore - Melbourne'!N443)),ISNUMBER(SEARCH("Management (Learning)",'Offshore - Melbourne'!B443))),2,IF(ISNUMBER(SEARCH("CEK:",'Offshore - Melbourne'!N443)),1,0))</f>
        <v>0</v>
      </c>
    </row>
    <row r="326" customFormat="false" ht="15" hidden="false" customHeight="false" outlineLevel="0" collapsed="false">
      <c r="A326" s="63" t="s">
        <v>3544</v>
      </c>
      <c r="B326" s="64" t="s">
        <v>3833</v>
      </c>
      <c r="C326" s="63" t="s">
        <v>41</v>
      </c>
      <c r="D326" s="64" t="str">
        <f aca="false">TRIM(LEFT('Offshore - Melbourne'!A95,FIND(CHAR(10),'Offshore - Melbourne'!A95&amp;CHAR(10))-1))</f>
        <v>Australian Catholic University (ACU)</v>
      </c>
      <c r="E326" s="63" t="str">
        <f aca="false">'Offshore - Melbourne'!C189&amp;""</f>
        <v>1 year</v>
      </c>
      <c r="F326" s="63" t="str">
        <f aca="false">IF('Offshore - Melbourne'!D189="","Belum tercatat",'Offshore - Melbourne'!D189)</f>
        <v>Term</v>
      </c>
      <c r="G326" s="65" t="n">
        <f aca="false">IF('Offshore - Melbourne'!E189="","-",'Offshore - Melbourne'!E189)</f>
        <v>8058</v>
      </c>
      <c r="H326" s="63" t="n">
        <f aca="false">IF(ISNUMBER(K326),COUNTIFS($J$6:$J$1854,J326,$K$6:$K$1854,"&lt;"&amp;K326)+1,"-")</f>
        <v>10</v>
      </c>
      <c r="I326" s="64" t="str">
        <f aca="false">IF('Offshore - Melbourne'!E189="","Harga belum tersedia - hubungi konsultan TEG",IF(M326=2,"Saat ini tidak menerima pendaftaran siswa internasional baru",IF(M326=1,"Harga perlu dikonfirmasi ke sekolah"&amp;IF(""="","","; "&amp;""),"")))</f>
        <v/>
      </c>
      <c r="J326" s="0" t="s">
        <v>3883</v>
      </c>
      <c r="K326" s="0" t="n">
        <f aca="false">IF(M326=2,"",IF(ISNUMBER(SEARCH("rata-rata:",'Offshore - Melbourne'!N189)),VALUE(MID('Offshore - Melbourne'!N189,SEARCH("rata-rata:",'Offshore - Melbourne'!N189)+11,FIND(";",'Offshore - Melbourne'!N189&amp;";",SEARCH("rata-rata:",'Offshore - Melbourne'!N189))-SEARCH("rata-rata:",'Offshore - Melbourne'!N189)-11)),IF('Offshore - Melbourne'!D189="Semester",'Offshore - Melbourne'!E189*2,IF('Offshore - Melbourne'!D189="Trimester",'Offshore - Melbourne'!E189*3,IF('Offshore - Melbourne'!D189="Term",'Offshore - Melbourne'!E189*4,IF('Offshore - Melbourne'!D189="Unit",'Offshore - Melbourne'!E189*8,""))))))</f>
        <v>32232</v>
      </c>
      <c r="L326" s="0" t="n">
        <f aca="false">IF(AND(ISNUMBER('Offshore - Melbourne'!E189),ISNUMBER(K326),ISNUMBER('Offshore - Melbourne'!F189),ISNUMBER('Offshore - Melbourne'!G189),OR('Offshore - Melbourne'!F189&lt;&gt;0,ISNUMBER(SEARCH("Material 0 terverifikasi",'Offshore - Melbourne'!N189))),OR('Offshore - Melbourne'!G189&lt;&gt;0,ISNUMBER(SEARCH("Enrolment 0 terverifikasi",'Offshore - Melbourne'!N189)))),1,0)</f>
        <v>0</v>
      </c>
      <c r="M326" s="0" t="n">
        <f aca="false">IF(OR('Offshore - Melbourne'!E189="",ISNUMBER(SEARCH("BSB80120",'Offshore - Melbourne'!B189&amp;'Offshore - Melbourne'!N189)),ISNUMBER(SEARCH("Management (Learning)",'Offshore - Melbourne'!B189))),2,IF(ISNUMBER(SEARCH("CEK:",'Offshore - Melbourne'!N189)),1,0))</f>
        <v>0</v>
      </c>
    </row>
    <row r="327" customFormat="false" ht="15" hidden="false" customHeight="false" outlineLevel="0" collapsed="false">
      <c r="A327" s="63" t="s">
        <v>3544</v>
      </c>
      <c r="B327" s="64" t="s">
        <v>3833</v>
      </c>
      <c r="C327" s="63" t="s">
        <v>41</v>
      </c>
      <c r="D327" s="64" t="str">
        <f aca="false">TRIM(LEFT('Offshore - Melbourne'!A290,FIND(CHAR(10),'Offshore - Melbourne'!A290&amp;CHAR(10))-1))</f>
        <v>Kaplan Business School</v>
      </c>
      <c r="E327" s="63" t="str">
        <f aca="false">'Offshore - Melbourne'!C290&amp;""</f>
        <v>1 year</v>
      </c>
      <c r="F327" s="63" t="str">
        <f aca="false">IF('Offshore - Melbourne'!D290="","Belum tercatat",'Offshore - Melbourne'!D290)</f>
        <v>Trimester</v>
      </c>
      <c r="G327" s="65" t="n">
        <f aca="false">IF('Offshore - Melbourne'!E290="","-",'Offshore - Melbourne'!E290)</f>
        <v>11520</v>
      </c>
      <c r="H327" s="63" t="n">
        <f aca="false">IF(ISNUMBER(K327),COUNTIFS($J$6:$J$1854,J327,$K$6:$K$1854,"&lt;"&amp;K327)+1,"-")</f>
        <v>11</v>
      </c>
      <c r="I327" s="64" t="str">
        <f aca="false">IF('Offshore - Melbourne'!E290="","Harga belum tersedia - hubungi konsultan TEG",IF(M327=2,"Saat ini tidak menerima pendaftaran siswa internasional baru",IF(M327=1,"Harga perlu dikonfirmasi ke sekolah"&amp;IF(""="","","; "&amp;""),"")))</f>
        <v>Harga perlu dikonfirmasi ke sekolah</v>
      </c>
      <c r="J327" s="0" t="s">
        <v>3883</v>
      </c>
      <c r="K327" s="0" t="n">
        <f aca="false">IF(M327=2,"",IF(ISNUMBER(SEARCH("rata-rata:",'Offshore - Melbourne'!N290)),VALUE(MID('Offshore - Melbourne'!N290,SEARCH("rata-rata:",'Offshore - Melbourne'!N290)+11,FIND(";",'Offshore - Melbourne'!N290&amp;";",SEARCH("rata-rata:",'Offshore - Melbourne'!N290))-SEARCH("rata-rata:",'Offshore - Melbourne'!N290)-11)),IF('Offshore - Melbourne'!D290="Semester",'Offshore - Melbourne'!E290*2,IF('Offshore - Melbourne'!D290="Trimester",'Offshore - Melbourne'!E290*3,IF('Offshore - Melbourne'!D290="Term",'Offshore - Melbourne'!E290*4,IF('Offshore - Melbourne'!D290="Unit",'Offshore - Melbourne'!E290*8,""))))))</f>
        <v>34560</v>
      </c>
      <c r="L327" s="0" t="n">
        <f aca="false">IF(AND(ISNUMBER('Offshore - Melbourne'!E290),ISNUMBER(K327),ISNUMBER('Offshore - Melbourne'!F290),ISNUMBER('Offshore - Melbourne'!G290),OR('Offshore - Melbourne'!F290&lt;&gt;0,ISNUMBER(SEARCH("Material 0 terverifikasi",'Offshore - Melbourne'!N290))),OR('Offshore - Melbourne'!G290&lt;&gt;0,ISNUMBER(SEARCH("Enrolment 0 terverifikasi",'Offshore - Melbourne'!N290)))),1,0)</f>
        <v>1</v>
      </c>
      <c r="M327" s="0" t="n">
        <f aca="false">IF(OR('Offshore - Melbourne'!E290="",ISNUMBER(SEARCH("BSB80120",'Offshore - Melbourne'!B290&amp;'Offshore - Melbourne'!N290)),ISNUMBER(SEARCH("Management (Learning)",'Offshore - Melbourne'!B290))),2,IF(ISNUMBER(SEARCH("CEK:",'Offshore - Melbourne'!N290)),1,0))</f>
        <v>1</v>
      </c>
    </row>
    <row r="328" customFormat="false" ht="15" hidden="false" customHeight="false" outlineLevel="0" collapsed="false">
      <c r="A328" s="61" t="s">
        <v>3884</v>
      </c>
      <c r="B328" s="62"/>
      <c r="C328" s="62"/>
      <c r="D328" s="62"/>
      <c r="E328" s="62"/>
      <c r="F328" s="62"/>
      <c r="G328" s="62"/>
      <c r="H328" s="62"/>
      <c r="I328" s="62"/>
    </row>
    <row r="329" customFormat="false" ht="15" hidden="false" customHeight="false" outlineLevel="0" collapsed="false">
      <c r="A329" s="63" t="s">
        <v>3544</v>
      </c>
      <c r="B329" s="64" t="s">
        <v>3833</v>
      </c>
      <c r="C329" s="63" t="s">
        <v>42</v>
      </c>
      <c r="D329" s="64" t="str">
        <f aca="false">TRIM(LEFT('Offshore - Melbourne'!A263,FIND(CHAR(10),'Offshore - Melbourne'!A263&amp;CHAR(10))-1))</f>
        <v>Greenwich College</v>
      </c>
      <c r="E329" s="63" t="str">
        <f aca="false">'Offshore - Melbourne'!C268&amp;""</f>
        <v>172 weeks</v>
      </c>
      <c r="F329" s="63" t="str">
        <f aca="false">IF('Offshore - Melbourne'!D268="","Belum tercatat",'Offshore - Melbourne'!D268)</f>
        <v>Term</v>
      </c>
      <c r="G329" s="65" t="n">
        <f aca="false">IF('Offshore - Melbourne'!E268="","-",'Offshore - Melbourne'!E268)</f>
        <v>1250</v>
      </c>
      <c r="H329" s="63" t="n">
        <f aca="false">IF(ISNUMBER(K329),COUNTIFS($J$6:$J$1854,J329,$K$6:$K$1854,"&lt;"&amp;K329)+1,"-")</f>
        <v>1</v>
      </c>
      <c r="I329" s="64" t="str">
        <f aca="false">IF('Offshore - Melbourne'!E268="","Harga belum tersedia - hubungi konsultan TEG",IF(M329=2,"Saat ini tidak menerima pendaftaran siswa internasional baru",IF(M329=1,"Harga perlu dikonfirmasi ke sekolah"&amp;IF(""="","","; "&amp;""),"")))</f>
        <v/>
      </c>
      <c r="J329" s="0" t="s">
        <v>3885</v>
      </c>
      <c r="K329" s="0" t="n">
        <f aca="false">IF(M329=2,"",IF(ISNUMBER(SEARCH("rata-rata:",'Offshore - Melbourne'!N268)),VALUE(MID('Offshore - Melbourne'!N268,SEARCH("rata-rata:",'Offshore - Melbourne'!N268)+11,FIND(";",'Offshore - Melbourne'!N268&amp;";",SEARCH("rata-rata:",'Offshore - Melbourne'!N268))-SEARCH("rata-rata:",'Offshore - Melbourne'!N268)-11)),IF('Offshore - Melbourne'!D268="Semester",'Offshore - Melbourne'!E268*2,IF('Offshore - Melbourne'!D268="Trimester",'Offshore - Melbourne'!E268*3,IF('Offshore - Melbourne'!D268="Term",'Offshore - Melbourne'!E268*4,IF('Offshore - Melbourne'!D268="Unit",'Offshore - Melbourne'!E268*8,""))))))</f>
        <v>5000</v>
      </c>
      <c r="L329" s="0" t="n">
        <f aca="false">IF(AND(ISNUMBER('Offshore - Melbourne'!E268),ISNUMBER(K329),ISNUMBER('Offshore - Melbourne'!F268),ISNUMBER('Offshore - Melbourne'!G268),OR('Offshore - Melbourne'!F268&lt;&gt;0,ISNUMBER(SEARCH("Material 0 terverifikasi",'Offshore - Melbourne'!N268))),OR('Offshore - Melbourne'!G268&lt;&gt;0,ISNUMBER(SEARCH("Enrolment 0 terverifikasi",'Offshore - Melbourne'!N268)))),1,0)</f>
        <v>1</v>
      </c>
      <c r="M329" s="0" t="n">
        <f aca="false">IF(OR('Offshore - Melbourne'!E268="",ISNUMBER(SEARCH("BSB80120",'Offshore - Melbourne'!B268&amp;'Offshore - Melbourne'!N268)),ISNUMBER(SEARCH("Management (Learning)",'Offshore - Melbourne'!B268))),2,IF(ISNUMBER(SEARCH("CEK:",'Offshore - Melbourne'!N268)),1,0))</f>
        <v>0</v>
      </c>
    </row>
    <row r="330" customFormat="false" ht="15" hidden="false" customHeight="false" outlineLevel="0" collapsed="false">
      <c r="A330" s="63" t="s">
        <v>3544</v>
      </c>
      <c r="B330" s="64" t="s">
        <v>3833</v>
      </c>
      <c r="C330" s="63" t="s">
        <v>42</v>
      </c>
      <c r="D330" s="64" t="str">
        <f aca="false">TRIM(LEFT('Offshore - Melbourne'!A410,FIND(CHAR(10),'Offshore - Melbourne'!A410&amp;CHAR(10))-1))</f>
        <v>States College Australia</v>
      </c>
      <c r="E330" s="63" t="str">
        <f aca="false">'Offshore - Melbourne'!C413&amp;""</f>
        <v>3 years</v>
      </c>
      <c r="F330" s="63" t="str">
        <f aca="false">IF('Offshore - Melbourne'!D413="","Belum tercatat",'Offshore - Melbourne'!D413)</f>
        <v>Term</v>
      </c>
      <c r="G330" s="65" t="n">
        <f aca="false">IF('Offshore - Melbourne'!E413="","-",'Offshore - Melbourne'!E413)</f>
        <v>1300</v>
      </c>
      <c r="H330" s="63" t="n">
        <f aca="false">IF(ISNUMBER(K330),COUNTIFS($J$6:$J$1854,J330,$K$6:$K$1854,"&lt;"&amp;K330)+1,"-")</f>
        <v>2</v>
      </c>
      <c r="I330" s="64" t="str">
        <f aca="false">IF('Offshore - Melbourne'!E413="","Harga belum tersedia - hubungi konsultan TEG",IF(M330=2,"Saat ini tidak menerima pendaftaran siswa internasional baru",IF(M330=1,"Harga perlu dikonfirmasi ke sekolah"&amp;IF(""="","","; "&amp;""),"")))</f>
        <v/>
      </c>
      <c r="J330" s="0" t="s">
        <v>3885</v>
      </c>
      <c r="K330" s="0" t="n">
        <f aca="false">IF(M330=2,"",IF(ISNUMBER(SEARCH("rata-rata:",'Offshore - Melbourne'!N413)),VALUE(MID('Offshore - Melbourne'!N413,SEARCH("rata-rata:",'Offshore - Melbourne'!N413)+11,FIND(";",'Offshore - Melbourne'!N413&amp;";",SEARCH("rata-rata:",'Offshore - Melbourne'!N413))-SEARCH("rata-rata:",'Offshore - Melbourne'!N413)-11)),IF('Offshore - Melbourne'!D413="Semester",'Offshore - Melbourne'!E413*2,IF('Offshore - Melbourne'!D413="Trimester",'Offshore - Melbourne'!E413*3,IF('Offshore - Melbourne'!D413="Term",'Offshore - Melbourne'!E413*4,IF('Offshore - Melbourne'!D413="Unit",'Offshore - Melbourne'!E413*8,""))))))</f>
        <v>5200</v>
      </c>
      <c r="L330" s="0" t="n">
        <f aca="false">IF(AND(ISNUMBER('Offshore - Melbourne'!E413),ISNUMBER(K330),ISNUMBER('Offshore - Melbourne'!F413),ISNUMBER('Offshore - Melbourne'!G413),OR('Offshore - Melbourne'!F413&lt;&gt;0,ISNUMBER(SEARCH("Material 0 terverifikasi",'Offshore - Melbourne'!N413))),OR('Offshore - Melbourne'!G413&lt;&gt;0,ISNUMBER(SEARCH("Enrolment 0 terverifikasi",'Offshore - Melbourne'!N413)))),1,0)</f>
        <v>1</v>
      </c>
      <c r="M330" s="0" t="n">
        <f aca="false">IF(OR('Offshore - Melbourne'!E413="",ISNUMBER(SEARCH("BSB80120",'Offshore - Melbourne'!B413&amp;'Offshore - Melbourne'!N413)),ISNUMBER(SEARCH("Management (Learning)",'Offshore - Melbourne'!B413))),2,IF(ISNUMBER(SEARCH("CEK:",'Offshore - Melbourne'!N413)),1,0))</f>
        <v>0</v>
      </c>
    </row>
    <row r="331" customFormat="false" ht="15" hidden="false" customHeight="false" outlineLevel="0" collapsed="false">
      <c r="A331" s="63" t="s">
        <v>3544</v>
      </c>
      <c r="B331" s="64" t="s">
        <v>3833</v>
      </c>
      <c r="C331" s="63" t="s">
        <v>42</v>
      </c>
      <c r="D331" s="64" t="str">
        <f aca="false">TRIM(LEFT('Offshore - Melbourne'!A6,FIND(CHAR(10),'Offshore - Melbourne'!A6&amp;CHAR(10))-1))</f>
        <v>Academies Australasia</v>
      </c>
      <c r="E331" s="63" t="str">
        <f aca="false">'Offshore - Melbourne'!C7&amp;""</f>
        <v>2 years</v>
      </c>
      <c r="F331" s="63" t="str">
        <f aca="false">IF('Offshore - Melbourne'!D7="","Belum tercatat",'Offshore - Melbourne'!D7)</f>
        <v>Term</v>
      </c>
      <c r="G331" s="65" t="n">
        <f aca="false">IF('Offshore - Melbourne'!E7="","-",'Offshore - Melbourne'!E7)</f>
        <v>1500</v>
      </c>
      <c r="H331" s="63" t="n">
        <f aca="false">IF(ISNUMBER(K331),COUNTIFS($J$6:$J$1854,J331,$K$6:$K$1854,"&lt;"&amp;K331)+1,"-")</f>
        <v>3</v>
      </c>
      <c r="I331" s="64" t="str">
        <f aca="false">IF('Offshore - Melbourne'!E7="","Harga belum tersedia - hubungi konsultan TEG",IF(M331=2,"Saat ini tidak menerima pendaftaran siswa internasional baru",IF(M331=1,"Harga perlu dikonfirmasi ke sekolah"&amp;IF(""="","","; "&amp;""),"")))</f>
        <v/>
      </c>
      <c r="J331" s="0" t="s">
        <v>3885</v>
      </c>
      <c r="K331" s="0" t="n">
        <f aca="false">IF(M331=2,"",IF(ISNUMBER(SEARCH("rata-rata:",'Offshore - Melbourne'!N7)),VALUE(MID('Offshore - Melbourne'!N7,SEARCH("rata-rata:",'Offshore - Melbourne'!N7)+11,FIND(";",'Offshore - Melbourne'!N7&amp;";",SEARCH("rata-rata:",'Offshore - Melbourne'!N7))-SEARCH("rata-rata:",'Offshore - Melbourne'!N7)-11)),IF('Offshore - Melbourne'!D7="Semester",'Offshore - Melbourne'!E7*2,IF('Offshore - Melbourne'!D7="Trimester",'Offshore - Melbourne'!E7*3,IF('Offshore - Melbourne'!D7="Term",'Offshore - Melbourne'!E7*4,IF('Offshore - Melbourne'!D7="Unit",'Offshore - Melbourne'!E7*8,""))))))</f>
        <v>6000</v>
      </c>
      <c r="L331" s="0" t="n">
        <f aca="false">IF(AND(ISNUMBER('Offshore - Melbourne'!E7),ISNUMBER(K331),ISNUMBER('Offshore - Melbourne'!F7),ISNUMBER('Offshore - Melbourne'!G7),OR('Offshore - Melbourne'!F7&lt;&gt;0,ISNUMBER(SEARCH("Material 0 terverifikasi",'Offshore - Melbourne'!N7))),OR('Offshore - Melbourne'!G7&lt;&gt;0,ISNUMBER(SEARCH("Enrolment 0 terverifikasi",'Offshore - Melbourne'!N7)))),1,0)</f>
        <v>1</v>
      </c>
      <c r="M331" s="0" t="n">
        <f aca="false">IF(OR('Offshore - Melbourne'!E7="",ISNUMBER(SEARCH("BSB80120",'Offshore - Melbourne'!B7&amp;'Offshore - Melbourne'!N7)),ISNUMBER(SEARCH("Management (Learning)",'Offshore - Melbourne'!B7))),2,IF(ISNUMBER(SEARCH("CEK:",'Offshore - Melbourne'!N7)),1,0))</f>
        <v>0</v>
      </c>
    </row>
    <row r="332" customFormat="false" ht="15" hidden="false" customHeight="false" outlineLevel="0" collapsed="false">
      <c r="A332" s="63" t="s">
        <v>3544</v>
      </c>
      <c r="B332" s="64" t="s">
        <v>3833</v>
      </c>
      <c r="C332" s="63" t="s">
        <v>42</v>
      </c>
      <c r="D332" s="64" t="str">
        <f aca="false">TRIM(LEFT('Offshore - Melbourne'!A252,FIND(CHAR(10),'Offshore - Melbourne'!A252&amp;CHAR(10))-1))</f>
        <v>ECA College</v>
      </c>
      <c r="E332" s="63" t="str">
        <f aca="false">'Offshore - Melbourne'!C254&amp;""</f>
        <v>3 years</v>
      </c>
      <c r="F332" s="63" t="str">
        <f aca="false">IF('Offshore - Melbourne'!D254="","Belum tercatat",'Offshore - Melbourne'!D254)</f>
        <v>Term</v>
      </c>
      <c r="G332" s="65" t="n">
        <f aca="false">IF('Offshore - Melbourne'!E254="","-",'Offshore - Melbourne'!E254)</f>
        <v>1500</v>
      </c>
      <c r="H332" s="63" t="n">
        <f aca="false">IF(ISNUMBER(K332),COUNTIFS($J$6:$J$1854,J332,$K$6:$K$1854,"&lt;"&amp;K332)+1,"-")</f>
        <v>3</v>
      </c>
      <c r="I332" s="64" t="str">
        <f aca="false">IF('Offshore - Melbourne'!E254="","Harga belum tersedia - hubungi konsultan TEG",IF(M332=2,"Saat ini tidak menerima pendaftaran siswa internasional baru",IF(M332=1,"Harga perlu dikonfirmasi ke sekolah"&amp;IF(""="","","; "&amp;""),"")))</f>
        <v/>
      </c>
      <c r="J332" s="0" t="s">
        <v>3885</v>
      </c>
      <c r="K332" s="0" t="n">
        <f aca="false">IF(M332=2,"",IF(ISNUMBER(SEARCH("rata-rata:",'Offshore - Melbourne'!N254)),VALUE(MID('Offshore - Melbourne'!N254,SEARCH("rata-rata:",'Offshore - Melbourne'!N254)+11,FIND(";",'Offshore - Melbourne'!N254&amp;";",SEARCH("rata-rata:",'Offshore - Melbourne'!N254))-SEARCH("rata-rata:",'Offshore - Melbourne'!N254)-11)),IF('Offshore - Melbourne'!D254="Semester",'Offshore - Melbourne'!E254*2,IF('Offshore - Melbourne'!D254="Trimester",'Offshore - Melbourne'!E254*3,IF('Offshore - Melbourne'!D254="Term",'Offshore - Melbourne'!E254*4,IF('Offshore - Melbourne'!D254="Unit",'Offshore - Melbourne'!E254*8,""))))))</f>
        <v>6000</v>
      </c>
      <c r="L332" s="0" t="n">
        <f aca="false">IF(AND(ISNUMBER('Offshore - Melbourne'!E254),ISNUMBER(K332),ISNUMBER('Offshore - Melbourne'!F254),ISNUMBER('Offshore - Melbourne'!G254),OR('Offshore - Melbourne'!F254&lt;&gt;0,ISNUMBER(SEARCH("Material 0 terverifikasi",'Offshore - Melbourne'!N254))),OR('Offshore - Melbourne'!G254&lt;&gt;0,ISNUMBER(SEARCH("Enrolment 0 terverifikasi",'Offshore - Melbourne'!N254)))),1,0)</f>
        <v>0</v>
      </c>
      <c r="M332" s="0" t="n">
        <f aca="false">IF(OR('Offshore - Melbourne'!E254="",ISNUMBER(SEARCH("BSB80120",'Offshore - Melbourne'!B254&amp;'Offshore - Melbourne'!N254)),ISNUMBER(SEARCH("Management (Learning)",'Offshore - Melbourne'!B254))),2,IF(ISNUMBER(SEARCH("CEK:",'Offshore - Melbourne'!N254)),1,0))</f>
        <v>0</v>
      </c>
    </row>
    <row r="333" customFormat="false" ht="28.35" hidden="false" customHeight="false" outlineLevel="0" collapsed="false">
      <c r="A333" s="63" t="s">
        <v>3544</v>
      </c>
      <c r="B333" s="64" t="s">
        <v>3833</v>
      </c>
      <c r="C333" s="63" t="s">
        <v>42</v>
      </c>
      <c r="D333" s="64" t="str">
        <f aca="false">TRIM(LEFT('Offshore - Melbourne'!A435,FIND(CHAR(10),'Offshore - Melbourne'!A435&amp;CHAR(10))-1))</f>
        <v>TKL College (Training for Knowledge and Livelihood)</v>
      </c>
      <c r="E333" s="63" t="str">
        <f aca="false">'Offshore - Melbourne'!C437&amp;""</f>
        <v>3,5 years</v>
      </c>
      <c r="F333" s="63" t="str">
        <f aca="false">IF('Offshore - Melbourne'!D437="","Belum tercatat",'Offshore - Melbourne'!D437)</f>
        <v>Term</v>
      </c>
      <c r="G333" s="65" t="n">
        <f aca="false">IF('Offshore - Melbourne'!E437="","-",'Offshore - Melbourne'!E437)</f>
        <v>1500</v>
      </c>
      <c r="H333" s="63" t="n">
        <f aca="false">IF(ISNUMBER(K333),COUNTIFS($J$6:$J$1854,J333,$K$6:$K$1854,"&lt;"&amp;K333)+1,"-")</f>
        <v>3</v>
      </c>
      <c r="I333" s="64" t="str">
        <f aca="false">IF('Offshore - Melbourne'!E437="","Harga belum tersedia - hubungi konsultan TEG",IF(M333=2,"Saat ini tidak menerima pendaftaran siswa internasional baru",IF(M333=1,"Program perlu dikonfirmasi ketersediaannya"&amp;IF(""="","","; "&amp;""),"")))</f>
        <v>Program perlu dikonfirmasi ketersediaannya</v>
      </c>
      <c r="J333" s="0" t="s">
        <v>3885</v>
      </c>
      <c r="K333" s="0" t="n">
        <f aca="false">IF(M333=2,"",IF(ISNUMBER(SEARCH("rata-rata:",'Offshore - Melbourne'!N437)),VALUE(MID('Offshore - Melbourne'!N437,SEARCH("rata-rata:",'Offshore - Melbourne'!N437)+11,FIND(";",'Offshore - Melbourne'!N437&amp;";",SEARCH("rata-rata:",'Offshore - Melbourne'!N437))-SEARCH("rata-rata:",'Offshore - Melbourne'!N437)-11)),IF('Offshore - Melbourne'!D437="Semester",'Offshore - Melbourne'!E437*2,IF('Offshore - Melbourne'!D437="Trimester",'Offshore - Melbourne'!E437*3,IF('Offshore - Melbourne'!D437="Term",'Offshore - Melbourne'!E437*4,IF('Offshore - Melbourne'!D437="Unit",'Offshore - Melbourne'!E437*8,""))))))</f>
        <v>6000</v>
      </c>
      <c r="L333" s="0" t="n">
        <f aca="false">IF(AND(ISNUMBER('Offshore - Melbourne'!E437),ISNUMBER(K333),ISNUMBER('Offshore - Melbourne'!F437),ISNUMBER('Offshore - Melbourne'!G437),OR('Offshore - Melbourne'!F437&lt;&gt;0,ISNUMBER(SEARCH("Material 0 terverifikasi",'Offshore - Melbourne'!N437))),OR('Offshore - Melbourne'!G437&lt;&gt;0,ISNUMBER(SEARCH("Enrolment 0 terverifikasi",'Offshore - Melbourne'!N437)))),1,0)</f>
        <v>1</v>
      </c>
      <c r="M333" s="0" t="n">
        <f aca="false">IF(OR('Offshore - Melbourne'!E437="",ISNUMBER(SEARCH("BSB80120",'Offshore - Melbourne'!B437&amp;'Offshore - Melbourne'!N437)),ISNUMBER(SEARCH("Management (Learning)",'Offshore - Melbourne'!B437))),2,IF(ISNUMBER(SEARCH("CEK:",'Offshore - Melbourne'!N437)),1,0))</f>
        <v>1</v>
      </c>
    </row>
    <row r="334" customFormat="false" ht="15" hidden="false" customHeight="false" outlineLevel="0" collapsed="false">
      <c r="A334" s="63" t="s">
        <v>3544</v>
      </c>
      <c r="B334" s="64" t="s">
        <v>3833</v>
      </c>
      <c r="C334" s="63" t="s">
        <v>42</v>
      </c>
      <c r="D334" s="64" t="str">
        <f aca="false">TRIM(LEFT('Offshore - Melbourne'!A65,FIND(CHAR(10),'Offshore - Melbourne'!A65&amp;CHAR(10))-1))</f>
        <v>ALTEC College</v>
      </c>
      <c r="E334" s="63" t="str">
        <f aca="false">'Offshore - Melbourne'!C66&amp;""</f>
        <v>3 years</v>
      </c>
      <c r="F334" s="63" t="str">
        <f aca="false">IF('Offshore - Melbourne'!D66="","Belum tercatat",'Offshore - Melbourne'!D66)</f>
        <v>Term</v>
      </c>
      <c r="G334" s="65" t="n">
        <f aca="false">IF('Offshore - Melbourne'!E66="","-",'Offshore - Melbourne'!E66)</f>
        <v>1625</v>
      </c>
      <c r="H334" s="63" t="n">
        <f aca="false">IF(ISNUMBER(K334),COUNTIFS($J$6:$J$1854,J334,$K$6:$K$1854,"&lt;"&amp;K334)+1,"-")</f>
        <v>6</v>
      </c>
      <c r="I334" s="64" t="str">
        <f aca="false">IF('Offshore - Melbourne'!E66="","Harga belum tersedia - hubungi konsultan TEG",IF(M334=2,"Saat ini tidak menerima pendaftaran siswa internasional baru",IF(M334=1,"Harga perlu dikonfirmasi ke sekolah"&amp;IF(""="","","; "&amp;""),"")))</f>
        <v/>
      </c>
      <c r="J334" s="0" t="s">
        <v>3885</v>
      </c>
      <c r="K334" s="0" t="n">
        <f aca="false">IF(M334=2,"",IF(ISNUMBER(SEARCH("rata-rata:",'Offshore - Melbourne'!N66)),VALUE(MID('Offshore - Melbourne'!N66,SEARCH("rata-rata:",'Offshore - Melbourne'!N66)+11,FIND(";",'Offshore - Melbourne'!N66&amp;";",SEARCH("rata-rata:",'Offshore - Melbourne'!N66))-SEARCH("rata-rata:",'Offshore - Melbourne'!N66)-11)),IF('Offshore - Melbourne'!D66="Semester",'Offshore - Melbourne'!E66*2,IF('Offshore - Melbourne'!D66="Trimester",'Offshore - Melbourne'!E66*3,IF('Offshore - Melbourne'!D66="Term",'Offshore - Melbourne'!E66*4,IF('Offshore - Melbourne'!D66="Unit",'Offshore - Melbourne'!E66*8,""))))))</f>
        <v>6500</v>
      </c>
      <c r="L334" s="0" t="n">
        <f aca="false">IF(AND(ISNUMBER('Offshore - Melbourne'!E66),ISNUMBER(K334),ISNUMBER('Offshore - Melbourne'!F66),ISNUMBER('Offshore - Melbourne'!G66),OR('Offshore - Melbourne'!F66&lt;&gt;0,ISNUMBER(SEARCH("Material 0 terverifikasi",'Offshore - Melbourne'!N66))),OR('Offshore - Melbourne'!G66&lt;&gt;0,ISNUMBER(SEARCH("Enrolment 0 terverifikasi",'Offshore - Melbourne'!N66)))),1,0)</f>
        <v>1</v>
      </c>
      <c r="M334" s="0" t="n">
        <f aca="false">IF(OR('Offshore - Melbourne'!E66="",ISNUMBER(SEARCH("BSB80120",'Offshore - Melbourne'!B66&amp;'Offshore - Melbourne'!N66)),ISNUMBER(SEARCH("Management (Learning)",'Offshore - Melbourne'!B66))),2,IF(ISNUMBER(SEARCH("CEK:",'Offshore - Melbourne'!N66)),1,0))</f>
        <v>0</v>
      </c>
    </row>
    <row r="335" customFormat="false" ht="15" hidden="false" customHeight="false" outlineLevel="0" collapsed="false">
      <c r="A335" s="63" t="s">
        <v>3544</v>
      </c>
      <c r="B335" s="64" t="s">
        <v>3833</v>
      </c>
      <c r="C335" s="63" t="s">
        <v>42</v>
      </c>
      <c r="D335" s="64" t="str">
        <f aca="false">TRIM(LEFT('Offshore - Melbourne'!A543,FIND(CHAR(10),'Offshore - Melbourne'!A543&amp;CHAR(10))-1))</f>
        <v>TR4INRIGHT</v>
      </c>
      <c r="E335" s="63" t="str">
        <f aca="false">'Offshore - Melbourne'!C546&amp;""</f>
        <v>2 years</v>
      </c>
      <c r="F335" s="63" t="str">
        <f aca="false">IF('Offshore - Melbourne'!D546="","Belum tercatat",'Offshore - Melbourne'!D546)</f>
        <v>Term</v>
      </c>
      <c r="G335" s="65" t="n">
        <f aca="false">IF('Offshore - Melbourne'!E546="","-",'Offshore - Melbourne'!E546)</f>
        <v>1750</v>
      </c>
      <c r="H335" s="63" t="n">
        <f aca="false">IF(ISNUMBER(K335),COUNTIFS($J$6:$J$1854,J335,$K$6:$K$1854,"&lt;"&amp;K335)+1,"-")</f>
        <v>7</v>
      </c>
      <c r="I335" s="64" t="str">
        <f aca="false">IF('Offshore - Melbourne'!E546="","Harga belum tersedia - hubungi konsultan TEG",IF(M335=2,"Saat ini tidak menerima pendaftaran siswa internasional baru",IF(M335=1,"Harga perlu dikonfirmasi ke sekolah"&amp;IF(""="","","; "&amp;""),"")))</f>
        <v/>
      </c>
      <c r="J335" s="0" t="s">
        <v>3885</v>
      </c>
      <c r="K335" s="0" t="n">
        <f aca="false">IF(M335=2,"",IF(ISNUMBER(SEARCH("rata-rata:",'Offshore - Melbourne'!N546)),VALUE(MID('Offshore - Melbourne'!N546,SEARCH("rata-rata:",'Offshore - Melbourne'!N546)+11,FIND(";",'Offshore - Melbourne'!N546&amp;";",SEARCH("rata-rata:",'Offshore - Melbourne'!N546))-SEARCH("rata-rata:",'Offshore - Melbourne'!N546)-11)),IF('Offshore - Melbourne'!D546="Semester",'Offshore - Melbourne'!E546*2,IF('Offshore - Melbourne'!D546="Trimester",'Offshore - Melbourne'!E546*3,IF('Offshore - Melbourne'!D546="Term",'Offshore - Melbourne'!E546*4,IF('Offshore - Melbourne'!D546="Unit",'Offshore - Melbourne'!E546*8,""))))))</f>
        <v>7000</v>
      </c>
      <c r="L335" s="0" t="n">
        <f aca="false">IF(AND(ISNUMBER('Offshore - Melbourne'!E546),ISNUMBER(K335),ISNUMBER('Offshore - Melbourne'!F546),ISNUMBER('Offshore - Melbourne'!G546),OR('Offshore - Melbourne'!F546&lt;&gt;0,ISNUMBER(SEARCH("Material 0 terverifikasi",'Offshore - Melbourne'!N546))),OR('Offshore - Melbourne'!G546&lt;&gt;0,ISNUMBER(SEARCH("Enrolment 0 terverifikasi",'Offshore - Melbourne'!N546)))),1,0)</f>
        <v>1</v>
      </c>
      <c r="M335" s="0" t="n">
        <f aca="false">IF(OR('Offshore - Melbourne'!E546="",ISNUMBER(SEARCH("BSB80120",'Offshore - Melbourne'!B546&amp;'Offshore - Melbourne'!N546)),ISNUMBER(SEARCH("Management (Learning)",'Offshore - Melbourne'!B546))),2,IF(ISNUMBER(SEARCH("CEK:",'Offshore - Melbourne'!N546)),1,0))</f>
        <v>0</v>
      </c>
    </row>
    <row r="336" customFormat="false" ht="15" hidden="false" customHeight="false" outlineLevel="0" collapsed="false">
      <c r="A336" s="63" t="s">
        <v>3544</v>
      </c>
      <c r="B336" s="64" t="s">
        <v>3833</v>
      </c>
      <c r="C336" s="63" t="s">
        <v>42</v>
      </c>
      <c r="D336" s="64" t="str">
        <f aca="false">TRIM(LEFT('Offshore - Melbourne'!A552,FIND(CHAR(10),'Offshore - Melbourne'!A552&amp;CHAR(10))-1))</f>
        <v>Wattle College</v>
      </c>
      <c r="E336" s="63" t="str">
        <f aca="false">'Offshore - Melbourne'!C552&amp;""</f>
        <v>2,5 years</v>
      </c>
      <c r="F336" s="63" t="str">
        <f aca="false">IF('Offshore - Melbourne'!D552="","Belum tercatat",'Offshore - Melbourne'!D552)</f>
        <v>Term</v>
      </c>
      <c r="G336" s="65" t="n">
        <f aca="false">IF('Offshore - Melbourne'!E552="","-",'Offshore - Melbourne'!E552)</f>
        <v>1790</v>
      </c>
      <c r="H336" s="63" t="n">
        <f aca="false">IF(ISNUMBER(K336),COUNTIFS($J$6:$J$1854,J336,$K$6:$K$1854,"&lt;"&amp;K336)+1,"-")</f>
        <v>8</v>
      </c>
      <c r="I336" s="64" t="str">
        <f aca="false">IF('Offshore - Melbourne'!E552="","Harga belum tersedia - hubungi konsultan TEG",IF(M336=2,"Saat ini tidak menerima pendaftaran siswa internasional baru",IF(M336=1,"Harga perlu dikonfirmasi ke sekolah"&amp;IF(""="","","; "&amp;""),"")))</f>
        <v/>
      </c>
      <c r="J336" s="0" t="s">
        <v>3885</v>
      </c>
      <c r="K336" s="0" t="n">
        <f aca="false">IF(M336=2,"",IF(ISNUMBER(SEARCH("rata-rata:",'Offshore - Melbourne'!N552)),VALUE(MID('Offshore - Melbourne'!N552,SEARCH("rata-rata:",'Offshore - Melbourne'!N552)+11,FIND(";",'Offshore - Melbourne'!N552&amp;";",SEARCH("rata-rata:",'Offshore - Melbourne'!N552))-SEARCH("rata-rata:",'Offshore - Melbourne'!N552)-11)),IF('Offshore - Melbourne'!D552="Semester",'Offshore - Melbourne'!E552*2,IF('Offshore - Melbourne'!D552="Trimester",'Offshore - Melbourne'!E552*3,IF('Offshore - Melbourne'!D552="Term",'Offshore - Melbourne'!E552*4,IF('Offshore - Melbourne'!D552="Unit",'Offshore - Melbourne'!E552*8,""))))))</f>
        <v>7160</v>
      </c>
      <c r="L336" s="0" t="n">
        <f aca="false">IF(AND(ISNUMBER('Offshore - Melbourne'!E552),ISNUMBER(K336),ISNUMBER('Offshore - Melbourne'!F552),ISNUMBER('Offshore - Melbourne'!G552),OR('Offshore - Melbourne'!F552&lt;&gt;0,ISNUMBER(SEARCH("Material 0 terverifikasi",'Offshore - Melbourne'!N552))),OR('Offshore - Melbourne'!G552&lt;&gt;0,ISNUMBER(SEARCH("Enrolment 0 terverifikasi",'Offshore - Melbourne'!N552)))),1,0)</f>
        <v>1</v>
      </c>
      <c r="M336" s="0" t="n">
        <f aca="false">IF(OR('Offshore - Melbourne'!E552="",ISNUMBER(SEARCH("BSB80120",'Offshore - Melbourne'!B552&amp;'Offshore - Melbourne'!N552)),ISNUMBER(SEARCH("Management (Learning)",'Offshore - Melbourne'!B552))),2,IF(ISNUMBER(SEARCH("CEK:",'Offshore - Melbourne'!N552)),1,0))</f>
        <v>0</v>
      </c>
    </row>
    <row r="337" customFormat="false" ht="15" hidden="false" customHeight="false" outlineLevel="0" collapsed="false">
      <c r="A337" s="63" t="s">
        <v>3544</v>
      </c>
      <c r="B337" s="64" t="s">
        <v>3833</v>
      </c>
      <c r="C337" s="63" t="s">
        <v>42</v>
      </c>
      <c r="D337" s="64" t="str">
        <f aca="false">TRIM(LEFT('Offshore - Melbourne'!A398,FIND(CHAR(10),'Offshore - Melbourne'!A398&amp;CHAR(10))-1))</f>
        <v>Signet Institute of Australia</v>
      </c>
      <c r="E337" s="63" t="str">
        <f aca="false">'Offshore - Melbourne'!C399&amp;""</f>
        <v>2 years</v>
      </c>
      <c r="F337" s="63" t="str">
        <f aca="false">IF('Offshore - Melbourne'!D399="","Belum tercatat",'Offshore - Melbourne'!D399)</f>
        <v>Term</v>
      </c>
      <c r="G337" s="65" t="n">
        <f aca="false">IF('Offshore - Melbourne'!E399="","-",'Offshore - Melbourne'!E399)</f>
        <v>1875</v>
      </c>
      <c r="H337" s="63" t="n">
        <f aca="false">IF(ISNUMBER(K337),COUNTIFS($J$6:$J$1854,J337,$K$6:$K$1854,"&lt;"&amp;K337)+1,"-")</f>
        <v>9</v>
      </c>
      <c r="I337" s="64" t="str">
        <f aca="false">IF('Offshore - Melbourne'!E399="","Harga belum tersedia - hubungi konsultan TEG",IF(M337=2,"Saat ini tidak menerima pendaftaran siswa internasional baru",IF(M337=1,"Harga perlu dikonfirmasi ke sekolah"&amp;IF(""="","","; "&amp;""),"")))</f>
        <v>Harga perlu dikonfirmasi ke sekolah</v>
      </c>
      <c r="J337" s="0" t="s">
        <v>3885</v>
      </c>
      <c r="K337" s="0" t="n">
        <f aca="false">IF(M337=2,"",IF(ISNUMBER(SEARCH("rata-rata:",'Offshore - Melbourne'!N399)),VALUE(MID('Offshore - Melbourne'!N399,SEARCH("rata-rata:",'Offshore - Melbourne'!N399)+11,FIND(";",'Offshore - Melbourne'!N399&amp;";",SEARCH("rata-rata:",'Offshore - Melbourne'!N399))-SEARCH("rata-rata:",'Offshore - Melbourne'!N399)-11)),IF('Offshore - Melbourne'!D399="Semester",'Offshore - Melbourne'!E399*2,IF('Offshore - Melbourne'!D399="Trimester",'Offshore - Melbourne'!E399*3,IF('Offshore - Melbourne'!D399="Term",'Offshore - Melbourne'!E399*4,IF('Offshore - Melbourne'!D399="Unit",'Offshore - Melbourne'!E399*8,""))))))</f>
        <v>7500</v>
      </c>
      <c r="L337" s="0" t="n">
        <f aca="false">IF(AND(ISNUMBER('Offshore - Melbourne'!E399),ISNUMBER(K337),ISNUMBER('Offshore - Melbourne'!F399),ISNUMBER('Offshore - Melbourne'!G399),OR('Offshore - Melbourne'!F399&lt;&gt;0,ISNUMBER(SEARCH("Material 0 terverifikasi",'Offshore - Melbourne'!N399))),OR('Offshore - Melbourne'!G399&lt;&gt;0,ISNUMBER(SEARCH("Enrolment 0 terverifikasi",'Offshore - Melbourne'!N399)))),1,0)</f>
        <v>1</v>
      </c>
      <c r="M337" s="0" t="n">
        <f aca="false">IF(OR('Offshore - Melbourne'!E399="",ISNUMBER(SEARCH("BSB80120",'Offshore - Melbourne'!B399&amp;'Offshore - Melbourne'!N399)),ISNUMBER(SEARCH("Management (Learning)",'Offshore - Melbourne'!B399))),2,IF(ISNUMBER(SEARCH("CEK:",'Offshore - Melbourne'!N399)),1,0))</f>
        <v>1</v>
      </c>
    </row>
    <row r="338" customFormat="false" ht="28.35" hidden="false" customHeight="false" outlineLevel="0" collapsed="false">
      <c r="A338" s="63" t="s">
        <v>3544</v>
      </c>
      <c r="B338" s="64" t="s">
        <v>3833</v>
      </c>
      <c r="C338" s="63" t="s">
        <v>42</v>
      </c>
      <c r="D338" s="64" t="str">
        <f aca="false">TRIM(LEFT('Offshore - Melbourne'!A53,FIND(CHAR(10),'Offshore - Melbourne'!A53&amp;CHAR(10))-1))</f>
        <v>Albright Institute of Business and Language (AIBL)</v>
      </c>
      <c r="E338" s="63" t="str">
        <f aca="false">'Offshore - Melbourne'!C55&amp;""</f>
        <v>2 years</v>
      </c>
      <c r="F338" s="63" t="str">
        <f aca="false">IF('Offshore - Melbourne'!D55="","Belum tercatat",'Offshore - Melbourne'!D55)</f>
        <v>Term</v>
      </c>
      <c r="G338" s="65" t="n">
        <f aca="false">IF('Offshore - Melbourne'!E55="","-",'Offshore - Melbourne'!E55)</f>
        <v>2000</v>
      </c>
      <c r="H338" s="63" t="n">
        <f aca="false">IF(ISNUMBER(K338),COUNTIFS($J$6:$J$1854,J338,$K$6:$K$1854,"&lt;"&amp;K338)+1,"-")</f>
        <v>10</v>
      </c>
      <c r="I338" s="64" t="str">
        <f aca="false">IF('Offshore - Melbourne'!E55="","Harga belum tersedia - hubungi konsultan TEG",IF(M338=2,"Saat ini tidak menerima pendaftaran siswa internasional baru",IF(M338=1,"Harga perlu dikonfirmasi ke sekolah"&amp;IF(""="","","; "&amp;""),"")))</f>
        <v/>
      </c>
      <c r="J338" s="0" t="s">
        <v>3885</v>
      </c>
      <c r="K338" s="0" t="n">
        <f aca="false">IF(M338=2,"",IF(ISNUMBER(SEARCH("rata-rata:",'Offshore - Melbourne'!N55)),VALUE(MID('Offshore - Melbourne'!N55,SEARCH("rata-rata:",'Offshore - Melbourne'!N55)+11,FIND(";",'Offshore - Melbourne'!N55&amp;";",SEARCH("rata-rata:",'Offshore - Melbourne'!N55))-SEARCH("rata-rata:",'Offshore - Melbourne'!N55)-11)),IF('Offshore - Melbourne'!D55="Semester",'Offshore - Melbourne'!E55*2,IF('Offshore - Melbourne'!D55="Trimester",'Offshore - Melbourne'!E55*3,IF('Offshore - Melbourne'!D55="Term",'Offshore - Melbourne'!E55*4,IF('Offshore - Melbourne'!D55="Unit",'Offshore - Melbourne'!E55*8,""))))))</f>
        <v>8000</v>
      </c>
      <c r="L338" s="0" t="n">
        <f aca="false">IF(AND(ISNUMBER('Offshore - Melbourne'!E55),ISNUMBER(K338),ISNUMBER('Offshore - Melbourne'!F55),ISNUMBER('Offshore - Melbourne'!G55),OR('Offshore - Melbourne'!F55&lt;&gt;0,ISNUMBER(SEARCH("Material 0 terverifikasi",'Offshore - Melbourne'!N55))),OR('Offshore - Melbourne'!G55&lt;&gt;0,ISNUMBER(SEARCH("Enrolment 0 terverifikasi",'Offshore - Melbourne'!N55)))),1,0)</f>
        <v>1</v>
      </c>
      <c r="M338" s="0" t="n">
        <f aca="false">IF(OR('Offshore - Melbourne'!E55="",ISNUMBER(SEARCH("BSB80120",'Offshore - Melbourne'!B55&amp;'Offshore - Melbourne'!N55)),ISNUMBER(SEARCH("Management (Learning)",'Offshore - Melbourne'!B55))),2,IF(ISNUMBER(SEARCH("CEK:",'Offshore - Melbourne'!N55)),1,0))</f>
        <v>0</v>
      </c>
    </row>
    <row r="339" customFormat="false" ht="15" hidden="false" customHeight="false" outlineLevel="0" collapsed="false">
      <c r="A339" s="63" t="s">
        <v>3544</v>
      </c>
      <c r="B339" s="64" t="s">
        <v>3833</v>
      </c>
      <c r="C339" s="63" t="s">
        <v>42</v>
      </c>
      <c r="D339" s="64" t="str">
        <f aca="false">TRIM(LEFT('Offshore - Melbourne'!A370,FIND(CHAR(10),'Offshore - Melbourne'!A370&amp;CHAR(10))-1))</f>
        <v>Opulence College</v>
      </c>
      <c r="E339" s="63" t="str">
        <f aca="false">'Offshore - Melbourne'!C373&amp;""</f>
        <v>2 years</v>
      </c>
      <c r="F339" s="63" t="str">
        <f aca="false">IF('Offshore - Melbourne'!D373="","Belum tercatat",'Offshore - Melbourne'!D373)</f>
        <v>Term</v>
      </c>
      <c r="G339" s="65" t="n">
        <f aca="false">IF('Offshore - Melbourne'!E373="","-",'Offshore - Melbourne'!E373)</f>
        <v>2000</v>
      </c>
      <c r="H339" s="63" t="n">
        <f aca="false">IF(ISNUMBER(K339),COUNTIFS($J$6:$J$1854,J339,$K$6:$K$1854,"&lt;"&amp;K339)+1,"-")</f>
        <v>10</v>
      </c>
      <c r="I339" s="64" t="str">
        <f aca="false">IF('Offshore - Melbourne'!E373="","Harga belum tersedia - hubungi konsultan TEG",IF(M339=2,"Saat ini tidak menerima pendaftaran siswa internasional baru",IF(M339=1,"Harga perlu dikonfirmasi ke sekolah"&amp;IF(""="","","; "&amp;""),"")))</f>
        <v/>
      </c>
      <c r="J339" s="0" t="s">
        <v>3885</v>
      </c>
      <c r="K339" s="0" t="n">
        <f aca="false">IF(M339=2,"",IF(ISNUMBER(SEARCH("rata-rata:",'Offshore - Melbourne'!N373)),VALUE(MID('Offshore - Melbourne'!N373,SEARCH("rata-rata:",'Offshore - Melbourne'!N373)+11,FIND(";",'Offshore - Melbourne'!N373&amp;";",SEARCH("rata-rata:",'Offshore - Melbourne'!N373))-SEARCH("rata-rata:",'Offshore - Melbourne'!N373)-11)),IF('Offshore - Melbourne'!D373="Semester",'Offshore - Melbourne'!E373*2,IF('Offshore - Melbourne'!D373="Trimester",'Offshore - Melbourne'!E373*3,IF('Offshore - Melbourne'!D373="Term",'Offshore - Melbourne'!E373*4,IF('Offshore - Melbourne'!D373="Unit",'Offshore - Melbourne'!E373*8,""))))))</f>
        <v>8000</v>
      </c>
      <c r="L339" s="0" t="n">
        <f aca="false">IF(AND(ISNUMBER('Offshore - Melbourne'!E373),ISNUMBER(K339),ISNUMBER('Offshore - Melbourne'!F373),ISNUMBER('Offshore - Melbourne'!G373),OR('Offshore - Melbourne'!F373&lt;&gt;0,ISNUMBER(SEARCH("Material 0 terverifikasi",'Offshore - Melbourne'!N373))),OR('Offshore - Melbourne'!G373&lt;&gt;0,ISNUMBER(SEARCH("Enrolment 0 terverifikasi",'Offshore - Melbourne'!N373)))),1,0)</f>
        <v>1</v>
      </c>
      <c r="M339" s="0" t="n">
        <f aca="false">IF(OR('Offshore - Melbourne'!E373="",ISNUMBER(SEARCH("BSB80120",'Offshore - Melbourne'!B373&amp;'Offshore - Melbourne'!N373)),ISNUMBER(SEARCH("Management (Learning)",'Offshore - Melbourne'!B373))),2,IF(ISNUMBER(SEARCH("CEK:",'Offshore - Melbourne'!N373)),1,0))</f>
        <v>0</v>
      </c>
    </row>
    <row r="340" customFormat="false" ht="15" hidden="false" customHeight="false" outlineLevel="0" collapsed="false">
      <c r="A340" s="63" t="s">
        <v>3544</v>
      </c>
      <c r="B340" s="64" t="s">
        <v>3833</v>
      </c>
      <c r="C340" s="63" t="s">
        <v>42</v>
      </c>
      <c r="D340" s="64" t="str">
        <f aca="false">TRIM(LEFT('Offshore - Melbourne'!A417,FIND(CHAR(10),'Offshore - Melbourne'!A417&amp;CHAR(10))-1))</f>
        <v>The Centre of Excellence</v>
      </c>
      <c r="E340" s="63" t="str">
        <f aca="false">'Offshore - Melbourne'!C420&amp;""</f>
        <v>2 years</v>
      </c>
      <c r="F340" s="63" t="str">
        <f aca="false">IF('Offshore - Melbourne'!D420="","Belum tercatat",'Offshore - Melbourne'!D420)</f>
        <v>Term</v>
      </c>
      <c r="G340" s="65" t="n">
        <f aca="false">IF('Offshore - Melbourne'!E420="","-",'Offshore - Melbourne'!E420)</f>
        <v>2125</v>
      </c>
      <c r="H340" s="63" t="n">
        <f aca="false">IF(ISNUMBER(K340),COUNTIFS($J$6:$J$1854,J340,$K$6:$K$1854,"&lt;"&amp;K340)+1,"-")</f>
        <v>12</v>
      </c>
      <c r="I340" s="64" t="str">
        <f aca="false">IF('Offshore - Melbourne'!E420="","Harga belum tersedia - hubungi konsultan TEG",IF(M340=2,"Saat ini tidak menerima pendaftaran siswa internasional baru",IF(M340=1,"Harga perlu dikonfirmasi ke sekolah"&amp;IF(""="","","; "&amp;""),"")))</f>
        <v/>
      </c>
      <c r="J340" s="0" t="s">
        <v>3885</v>
      </c>
      <c r="K340" s="0" t="n">
        <f aca="false">IF(M340=2,"",IF(ISNUMBER(SEARCH("rata-rata:",'Offshore - Melbourne'!N420)),VALUE(MID('Offshore - Melbourne'!N420,SEARCH("rata-rata:",'Offshore - Melbourne'!N420)+11,FIND(";",'Offshore - Melbourne'!N420&amp;";",SEARCH("rata-rata:",'Offshore - Melbourne'!N420))-SEARCH("rata-rata:",'Offshore - Melbourne'!N420)-11)),IF('Offshore - Melbourne'!D420="Semester",'Offshore - Melbourne'!E420*2,IF('Offshore - Melbourne'!D420="Trimester",'Offshore - Melbourne'!E420*3,IF('Offshore - Melbourne'!D420="Term",'Offshore - Melbourne'!E420*4,IF('Offshore - Melbourne'!D420="Unit",'Offshore - Melbourne'!E420*8,""))))))</f>
        <v>8500</v>
      </c>
      <c r="L340" s="0" t="n">
        <f aca="false">IF(AND(ISNUMBER('Offshore - Melbourne'!E420),ISNUMBER(K340),ISNUMBER('Offshore - Melbourne'!F420),ISNUMBER('Offshore - Melbourne'!G420),OR('Offshore - Melbourne'!F420&lt;&gt;0,ISNUMBER(SEARCH("Material 0 terverifikasi",'Offshore - Melbourne'!N420))),OR('Offshore - Melbourne'!G420&lt;&gt;0,ISNUMBER(SEARCH("Enrolment 0 terverifikasi",'Offshore - Melbourne'!N420)))),1,0)</f>
        <v>1</v>
      </c>
      <c r="M340" s="0" t="n">
        <f aca="false">IF(OR('Offshore - Melbourne'!E420="",ISNUMBER(SEARCH("BSB80120",'Offshore - Melbourne'!B420&amp;'Offshore - Melbourne'!N420)),ISNUMBER(SEARCH("Management (Learning)",'Offshore - Melbourne'!B420))),2,IF(ISNUMBER(SEARCH("CEK:",'Offshore - Melbourne'!N420)),1,0))</f>
        <v>0</v>
      </c>
    </row>
    <row r="341" customFormat="false" ht="15" hidden="false" customHeight="false" outlineLevel="0" collapsed="false">
      <c r="A341" s="63" t="s">
        <v>3544</v>
      </c>
      <c r="B341" s="64" t="s">
        <v>3833</v>
      </c>
      <c r="C341" s="63" t="s">
        <v>42</v>
      </c>
      <c r="D341" s="64" t="str">
        <f aca="false">TRIM(LEFT('Offshore - Melbourne'!A240,FIND(CHAR(10),'Offshore - Melbourne'!A240&amp;CHAR(10))-1))</f>
        <v>Collins Academy</v>
      </c>
      <c r="E341" s="63" t="str">
        <f aca="false">'Offshore - Melbourne'!C243&amp;""</f>
        <v>2 years</v>
      </c>
      <c r="F341" s="63" t="str">
        <f aca="false">IF('Offshore - Melbourne'!D243="","Belum tercatat",'Offshore - Melbourne'!D243)</f>
        <v>Term</v>
      </c>
      <c r="G341" s="65" t="n">
        <f aca="false">IF('Offshore - Melbourne'!E243="","-",'Offshore - Melbourne'!E243)</f>
        <v>2187</v>
      </c>
      <c r="H341" s="63" t="n">
        <f aca="false">IF(ISNUMBER(K341),COUNTIFS($J$6:$J$1854,J341,$K$6:$K$1854,"&lt;"&amp;K341)+1,"-")</f>
        <v>13</v>
      </c>
      <c r="I341" s="64" t="str">
        <f aca="false">IF('Offshore - Melbourne'!E243="","Harga belum tersedia - hubungi konsultan TEG",IF(M341=2,"Saat ini tidak menerima pendaftaran siswa internasional baru",IF(M341=1,"Harga perlu dikonfirmasi ke sekolah"&amp;IF(""="","","; "&amp;""),"")))</f>
        <v/>
      </c>
      <c r="J341" s="0" t="s">
        <v>3885</v>
      </c>
      <c r="K341" s="0" t="n">
        <f aca="false">IF(M341=2,"",IF(ISNUMBER(SEARCH("rata-rata:",'Offshore - Melbourne'!N243)),VALUE(MID('Offshore - Melbourne'!N243,SEARCH("rata-rata:",'Offshore - Melbourne'!N243)+11,FIND(";",'Offshore - Melbourne'!N243&amp;";",SEARCH("rata-rata:",'Offshore - Melbourne'!N243))-SEARCH("rata-rata:",'Offshore - Melbourne'!N243)-11)),IF('Offshore - Melbourne'!D243="Semester",'Offshore - Melbourne'!E243*2,IF('Offshore - Melbourne'!D243="Trimester",'Offshore - Melbourne'!E243*3,IF('Offshore - Melbourne'!D243="Term",'Offshore - Melbourne'!E243*4,IF('Offshore - Melbourne'!D243="Unit",'Offshore - Melbourne'!E243*8,""))))))</f>
        <v>8748</v>
      </c>
      <c r="L341" s="0" t="n">
        <f aca="false">IF(AND(ISNUMBER('Offshore - Melbourne'!E243),ISNUMBER(K341),ISNUMBER('Offshore - Melbourne'!F243),ISNUMBER('Offshore - Melbourne'!G243),OR('Offshore - Melbourne'!F243&lt;&gt;0,ISNUMBER(SEARCH("Material 0 terverifikasi",'Offshore - Melbourne'!N243))),OR('Offshore - Melbourne'!G243&lt;&gt;0,ISNUMBER(SEARCH("Enrolment 0 terverifikasi",'Offshore - Melbourne'!N243)))),1,0)</f>
        <v>1</v>
      </c>
      <c r="M341" s="0" t="n">
        <f aca="false">IF(OR('Offshore - Melbourne'!E243="",ISNUMBER(SEARCH("BSB80120",'Offshore - Melbourne'!B243&amp;'Offshore - Melbourne'!N243)),ISNUMBER(SEARCH("Management (Learning)",'Offshore - Melbourne'!B243))),2,IF(ISNUMBER(SEARCH("CEK:",'Offshore - Melbourne'!N243)),1,0))</f>
        <v>0</v>
      </c>
    </row>
    <row r="342" customFormat="false" ht="15" hidden="false" customHeight="false" outlineLevel="0" collapsed="false">
      <c r="A342" s="63" t="s">
        <v>3544</v>
      </c>
      <c r="B342" s="64" t="s">
        <v>3833</v>
      </c>
      <c r="C342" s="63" t="s">
        <v>42</v>
      </c>
      <c r="D342" s="64" t="str">
        <f aca="false">TRIM(LEFT('Offshore - Melbourne'!A206,FIND(CHAR(10),'Offshore - Melbourne'!A206&amp;CHAR(10))-1))</f>
        <v>Australian Sovereign College (AuSC)</v>
      </c>
      <c r="E342" s="63" t="str">
        <f aca="false">'Offshore - Melbourne'!C223&amp;""</f>
        <v>2 years</v>
      </c>
      <c r="F342" s="63" t="str">
        <f aca="false">IF('Offshore - Melbourne'!D223="","Belum tercatat",'Offshore - Melbourne'!D223)</f>
        <v>Term</v>
      </c>
      <c r="G342" s="65" t="n">
        <f aca="false">IF('Offshore - Melbourne'!E223="","-",'Offshore - Melbourne'!E223)</f>
        <v>2375</v>
      </c>
      <c r="H342" s="63" t="n">
        <f aca="false">IF(ISNUMBER(K342),COUNTIFS($J$6:$J$1854,J342,$K$6:$K$1854,"&lt;"&amp;K342)+1,"-")</f>
        <v>14</v>
      </c>
      <c r="I342" s="64" t="str">
        <f aca="false">IF('Offshore - Melbourne'!E223="","Harga belum tersedia - hubungi konsultan TEG",IF(M342=2,"Saat ini tidak menerima pendaftaran siswa internasional baru",IF(M342=1,"Harga perlu dikonfirmasi ke sekolah"&amp;IF(""="","","; "&amp;""),"")))</f>
        <v/>
      </c>
      <c r="J342" s="0" t="s">
        <v>3885</v>
      </c>
      <c r="K342" s="0" t="n">
        <f aca="false">IF(M342=2,"",IF(ISNUMBER(SEARCH("rata-rata:",'Offshore - Melbourne'!N223)),VALUE(MID('Offshore - Melbourne'!N223,SEARCH("rata-rata:",'Offshore - Melbourne'!N223)+11,FIND(";",'Offshore - Melbourne'!N223&amp;";",SEARCH("rata-rata:",'Offshore - Melbourne'!N223))-SEARCH("rata-rata:",'Offshore - Melbourne'!N223)-11)),IF('Offshore - Melbourne'!D223="Semester",'Offshore - Melbourne'!E223*2,IF('Offshore - Melbourne'!D223="Trimester",'Offshore - Melbourne'!E223*3,IF('Offshore - Melbourne'!D223="Term",'Offshore - Melbourne'!E223*4,IF('Offshore - Melbourne'!D223="Unit",'Offshore - Melbourne'!E223*8,""))))))</f>
        <v>9500</v>
      </c>
      <c r="L342" s="0" t="n">
        <f aca="false">IF(AND(ISNUMBER('Offshore - Melbourne'!E223),ISNUMBER(K342),ISNUMBER('Offshore - Melbourne'!F223),ISNUMBER('Offshore - Melbourne'!G223),OR('Offshore - Melbourne'!F223&lt;&gt;0,ISNUMBER(SEARCH("Material 0 terverifikasi",'Offshore - Melbourne'!N223))),OR('Offshore - Melbourne'!G223&lt;&gt;0,ISNUMBER(SEARCH("Enrolment 0 terverifikasi",'Offshore - Melbourne'!N223)))),1,0)</f>
        <v>1</v>
      </c>
      <c r="M342" s="0" t="n">
        <f aca="false">IF(OR('Offshore - Melbourne'!E223="",ISNUMBER(SEARCH("BSB80120",'Offshore - Melbourne'!B223&amp;'Offshore - Melbourne'!N223)),ISNUMBER(SEARCH("Management (Learning)",'Offshore - Melbourne'!B223))),2,IF(ISNUMBER(SEARCH("CEK:",'Offshore - Melbourne'!N223)),1,0))</f>
        <v>0</v>
      </c>
    </row>
    <row r="343" customFormat="false" ht="28.35" hidden="false" customHeight="false" outlineLevel="0" collapsed="false">
      <c r="A343" s="63" t="s">
        <v>3544</v>
      </c>
      <c r="B343" s="64" t="s">
        <v>3833</v>
      </c>
      <c r="C343" s="63" t="s">
        <v>42</v>
      </c>
      <c r="D343" s="64" t="str">
        <f aca="false">TRIM(LEFT('Offshore - Melbourne'!A389,FIND(CHAR(10),'Offshore - Melbourne'!A389&amp;CHAR(10))-1))</f>
        <v>Sacred Heart International College (SHIC)</v>
      </c>
      <c r="E343" s="63" t="str">
        <f aca="false">'Offshore - Melbourne'!C389&amp;""</f>
        <v>2,5 years</v>
      </c>
      <c r="F343" s="63" t="str">
        <f aca="false">IF('Offshore - Melbourne'!D389="","Belum tercatat",'Offshore - Melbourne'!D389)</f>
        <v>Term</v>
      </c>
      <c r="G343" s="65" t="n">
        <f aca="false">IF('Offshore - Melbourne'!E389="","-",'Offshore - Melbourne'!E389)</f>
        <v>2375</v>
      </c>
      <c r="H343" s="63" t="n">
        <f aca="false">IF(ISNUMBER(K343),COUNTIFS($J$6:$J$1854,J343,$K$6:$K$1854,"&lt;"&amp;K343)+1,"-")</f>
        <v>14</v>
      </c>
      <c r="I343" s="64" t="str">
        <f aca="false">IF('Offshore - Melbourne'!E389="","Harga belum tersedia - hubungi konsultan TEG",IF(M343=2,"Saat ini tidak menerima pendaftaran siswa internasional baru",IF(M343=1,"Harga promo sudah berakhir - konfirmasi harga terbaru"&amp;IF(""="","","; "&amp;""),"")))</f>
        <v>Harga promo sudah berakhir - konfirmasi harga terbaru</v>
      </c>
      <c r="J343" s="0" t="s">
        <v>3885</v>
      </c>
      <c r="K343" s="0" t="n">
        <f aca="false">IF(M343=2,"",IF(ISNUMBER(SEARCH("rata-rata:",'Offshore - Melbourne'!N389)),VALUE(MID('Offshore - Melbourne'!N389,SEARCH("rata-rata:",'Offshore - Melbourne'!N389)+11,FIND(";",'Offshore - Melbourne'!N389&amp;";",SEARCH("rata-rata:",'Offshore - Melbourne'!N389))-SEARCH("rata-rata:",'Offshore - Melbourne'!N389)-11)),IF('Offshore - Melbourne'!D389="Semester",'Offshore - Melbourne'!E389*2,IF('Offshore - Melbourne'!D389="Trimester",'Offshore - Melbourne'!E389*3,IF('Offshore - Melbourne'!D389="Term",'Offshore - Melbourne'!E389*4,IF('Offshore - Melbourne'!D389="Unit",'Offshore - Melbourne'!E389*8,""))))))</f>
        <v>9500</v>
      </c>
      <c r="L343" s="0" t="n">
        <f aca="false">IF(AND(ISNUMBER('Offshore - Melbourne'!E389),ISNUMBER(K343),ISNUMBER('Offshore - Melbourne'!F389),ISNUMBER('Offshore - Melbourne'!G389),OR('Offshore - Melbourne'!F389&lt;&gt;0,ISNUMBER(SEARCH("Material 0 terverifikasi",'Offshore - Melbourne'!N389))),OR('Offshore - Melbourne'!G389&lt;&gt;0,ISNUMBER(SEARCH("Enrolment 0 terverifikasi",'Offshore - Melbourne'!N389)))),1,0)</f>
        <v>0</v>
      </c>
      <c r="M343" s="0" t="n">
        <f aca="false">IF(OR('Offshore - Melbourne'!E389="",ISNUMBER(SEARCH("BSB80120",'Offshore - Melbourne'!B389&amp;'Offshore - Melbourne'!N389)),ISNUMBER(SEARCH("Management (Learning)",'Offshore - Melbourne'!B389))),2,IF(ISNUMBER(SEARCH("CEK:",'Offshore - Melbourne'!N389)),1,0))</f>
        <v>1</v>
      </c>
    </row>
    <row r="344" customFormat="false" ht="15" hidden="false" customHeight="false" outlineLevel="0" collapsed="false">
      <c r="A344" s="63" t="s">
        <v>3544</v>
      </c>
      <c r="B344" s="64" t="s">
        <v>3833</v>
      </c>
      <c r="C344" s="63" t="s">
        <v>42</v>
      </c>
      <c r="D344" s="64" t="str">
        <f aca="false">TRIM(LEFT('Offshore - Melbourne'!A245,FIND(CHAR(10),'Offshore - Melbourne'!A245&amp;CHAR(10))-1))</f>
        <v>Dalton College</v>
      </c>
      <c r="E344" s="63" t="str">
        <f aca="false">'Offshore - Melbourne'!C247&amp;""</f>
        <v>1,5 years</v>
      </c>
      <c r="F344" s="63" t="str">
        <f aca="false">IF('Offshore - Melbourne'!D247="","Belum tercatat",'Offshore - Melbourne'!D247)</f>
        <v>Term</v>
      </c>
      <c r="G344" s="65" t="n">
        <f aca="false">IF('Offshore - Melbourne'!E247="","-",'Offshore - Melbourne'!E247)</f>
        <v>2466.6</v>
      </c>
      <c r="H344" s="63" t="n">
        <f aca="false">IF(ISNUMBER(K344),COUNTIFS($J$6:$J$1854,J344,$K$6:$K$1854,"&lt;"&amp;K344)+1,"-")</f>
        <v>16</v>
      </c>
      <c r="I344" s="64" t="str">
        <f aca="false">IF('Offshore - Melbourne'!E247="","Harga belum tersedia - hubungi konsultan TEG",IF(M344=2,"Saat ini tidak menerima pendaftaran siswa internasional baru",IF(M344=1,"Harga perlu dikonfirmasi ke sekolah"&amp;IF(""="","","; "&amp;""),"")))</f>
        <v/>
      </c>
      <c r="J344" s="0" t="s">
        <v>3885</v>
      </c>
      <c r="K344" s="0" t="n">
        <f aca="false">IF(M344=2,"",IF(ISNUMBER(SEARCH("rata-rata:",'Offshore - Melbourne'!N247)),VALUE(MID('Offshore - Melbourne'!N247,SEARCH("rata-rata:",'Offshore - Melbourne'!N247)+11,FIND(";",'Offshore - Melbourne'!N247&amp;";",SEARCH("rata-rata:",'Offshore - Melbourne'!N247))-SEARCH("rata-rata:",'Offshore - Melbourne'!N247)-11)),IF('Offshore - Melbourne'!D247="Semester",'Offshore - Melbourne'!E247*2,IF('Offshore - Melbourne'!D247="Trimester",'Offshore - Melbourne'!E247*3,IF('Offshore - Melbourne'!D247="Term",'Offshore - Melbourne'!E247*4,IF('Offshore - Melbourne'!D247="Unit",'Offshore - Melbourne'!E247*8,""))))))</f>
        <v>9866.4</v>
      </c>
      <c r="L344" s="0" t="n">
        <f aca="false">IF(AND(ISNUMBER('Offshore - Melbourne'!E247),ISNUMBER(K344),ISNUMBER('Offshore - Melbourne'!F247),ISNUMBER('Offshore - Melbourne'!G247),OR('Offshore - Melbourne'!F247&lt;&gt;0,ISNUMBER(SEARCH("Material 0 terverifikasi",'Offshore - Melbourne'!N247))),OR('Offshore - Melbourne'!G247&lt;&gt;0,ISNUMBER(SEARCH("Enrolment 0 terverifikasi",'Offshore - Melbourne'!N247)))),1,0)</f>
        <v>1</v>
      </c>
      <c r="M344" s="0" t="n">
        <f aca="false">IF(OR('Offshore - Melbourne'!E247="",ISNUMBER(SEARCH("BSB80120",'Offshore - Melbourne'!B247&amp;'Offshore - Melbourne'!N247)),ISNUMBER(SEARCH("Management (Learning)",'Offshore - Melbourne'!B247))),2,IF(ISNUMBER(SEARCH("CEK:",'Offshore - Melbourne'!N247)),1,0))</f>
        <v>0</v>
      </c>
    </row>
    <row r="345" customFormat="false" ht="15" hidden="false" customHeight="false" outlineLevel="0" collapsed="false">
      <c r="A345" s="63" t="s">
        <v>3544</v>
      </c>
      <c r="B345" s="64" t="s">
        <v>3833</v>
      </c>
      <c r="C345" s="63" t="s">
        <v>42</v>
      </c>
      <c r="D345" s="64" t="str">
        <f aca="false">TRIM(LEFT('Offshore - Melbourne'!A339,FIND(CHAR(10),'Offshore - Melbourne'!A339&amp;CHAR(10))-1))</f>
        <v>Melbourne Metro College</v>
      </c>
      <c r="E345" s="63" t="str">
        <f aca="false">'Offshore - Melbourne'!C344&amp;""</f>
        <v>2 years</v>
      </c>
      <c r="F345" s="63" t="str">
        <f aca="false">IF('Offshore - Melbourne'!D344="","Belum tercatat",'Offshore - Melbourne'!D344)</f>
        <v>Term</v>
      </c>
      <c r="G345" s="65" t="n">
        <f aca="false">IF('Offshore - Melbourne'!E344="","-",'Offshore - Melbourne'!E344)</f>
        <v>2625</v>
      </c>
      <c r="H345" s="63" t="n">
        <f aca="false">IF(ISNUMBER(K345),COUNTIFS($J$6:$J$1854,J345,$K$6:$K$1854,"&lt;"&amp;K345)+1,"-")</f>
        <v>17</v>
      </c>
      <c r="I345" s="64" t="str">
        <f aca="false">IF('Offshore - Melbourne'!E344="","Harga belum tersedia - hubungi konsultan TEG",IF(M345=2,"Saat ini tidak menerima pendaftaran siswa internasional baru",IF(M345=1,"Harga perlu dikonfirmasi ke sekolah"&amp;IF(""="","","; "&amp;""),"")))</f>
        <v/>
      </c>
      <c r="J345" s="0" t="s">
        <v>3885</v>
      </c>
      <c r="K345" s="0" t="n">
        <f aca="false">IF(M345=2,"",IF(ISNUMBER(SEARCH("rata-rata:",'Offshore - Melbourne'!N344)),VALUE(MID('Offshore - Melbourne'!N344,SEARCH("rata-rata:",'Offshore - Melbourne'!N344)+11,FIND(";",'Offshore - Melbourne'!N344&amp;";",SEARCH("rata-rata:",'Offshore - Melbourne'!N344))-SEARCH("rata-rata:",'Offshore - Melbourne'!N344)-11)),IF('Offshore - Melbourne'!D344="Semester",'Offshore - Melbourne'!E344*2,IF('Offshore - Melbourne'!D344="Trimester",'Offshore - Melbourne'!E344*3,IF('Offshore - Melbourne'!D344="Term",'Offshore - Melbourne'!E344*4,IF('Offshore - Melbourne'!D344="Unit",'Offshore - Melbourne'!E344*8,""))))))</f>
        <v>10500</v>
      </c>
      <c r="L345" s="0" t="n">
        <f aca="false">IF(AND(ISNUMBER('Offshore - Melbourne'!E344),ISNUMBER(K345),ISNUMBER('Offshore - Melbourne'!F344),ISNUMBER('Offshore - Melbourne'!G344),OR('Offshore - Melbourne'!F344&lt;&gt;0,ISNUMBER(SEARCH("Material 0 terverifikasi",'Offshore - Melbourne'!N344))),OR('Offshore - Melbourne'!G344&lt;&gt;0,ISNUMBER(SEARCH("Enrolment 0 terverifikasi",'Offshore - Melbourne'!N344)))),1,0)</f>
        <v>1</v>
      </c>
      <c r="M345" s="0" t="n">
        <f aca="false">IF(OR('Offshore - Melbourne'!E344="",ISNUMBER(SEARCH("BSB80120",'Offshore - Melbourne'!B344&amp;'Offshore - Melbourne'!N344)),ISNUMBER(SEARCH("Management (Learning)",'Offshore - Melbourne'!B344))),2,IF(ISNUMBER(SEARCH("CEK:",'Offshore - Melbourne'!N344)),1,0))</f>
        <v>0</v>
      </c>
    </row>
    <row r="346" customFormat="false" ht="15" hidden="false" customHeight="false" outlineLevel="0" collapsed="false">
      <c r="A346" s="63" t="s">
        <v>3544</v>
      </c>
      <c r="B346" s="64" t="s">
        <v>3833</v>
      </c>
      <c r="C346" s="63" t="s">
        <v>42</v>
      </c>
      <c r="D346" s="64" t="str">
        <f aca="false">TRIM(LEFT('Offshore - Melbourne'!A360,FIND(CHAR(10),'Offshore - Melbourne'!A360&amp;CHAR(10))-1))</f>
        <v>National Training College of Australia (NTCA)</v>
      </c>
      <c r="E346" s="63" t="str">
        <f aca="false">'Offshore - Melbourne'!C364&amp;""</f>
        <v>2 years</v>
      </c>
      <c r="F346" s="63" t="str">
        <f aca="false">IF('Offshore - Melbourne'!D364="","Belum tercatat",'Offshore - Melbourne'!D364)</f>
        <v>Term</v>
      </c>
      <c r="G346" s="65" t="n">
        <f aca="false">IF('Offshore - Melbourne'!E364="","-",'Offshore - Melbourne'!E364)</f>
        <v>3375</v>
      </c>
      <c r="H346" s="63" t="n">
        <f aca="false">IF(ISNUMBER(K346),COUNTIFS($J$6:$J$1854,J346,$K$6:$K$1854,"&lt;"&amp;K346)+1,"-")</f>
        <v>18</v>
      </c>
      <c r="I346" s="64" t="str">
        <f aca="false">IF('Offshore - Melbourne'!E364="","Harga belum tersedia - hubungi konsultan TEG",IF(M346=2,"Saat ini tidak menerima pendaftaran siswa internasional baru",IF(M346=1,"Harga perlu dikonfirmasi ke sekolah"&amp;IF(""="","","; "&amp;""),"")))</f>
        <v/>
      </c>
      <c r="J346" s="0" t="s">
        <v>3885</v>
      </c>
      <c r="K346" s="0" t="n">
        <f aca="false">IF(M346=2,"",IF(ISNUMBER(SEARCH("rata-rata:",'Offshore - Melbourne'!N364)),VALUE(MID('Offshore - Melbourne'!N364,SEARCH("rata-rata:",'Offshore - Melbourne'!N364)+11,FIND(";",'Offshore - Melbourne'!N364&amp;";",SEARCH("rata-rata:",'Offshore - Melbourne'!N364))-SEARCH("rata-rata:",'Offshore - Melbourne'!N364)-11)),IF('Offshore - Melbourne'!D364="Semester",'Offshore - Melbourne'!E364*2,IF('Offshore - Melbourne'!D364="Trimester",'Offshore - Melbourne'!E364*3,IF('Offshore - Melbourne'!D364="Term",'Offshore - Melbourne'!E364*4,IF('Offshore - Melbourne'!D364="Unit",'Offshore - Melbourne'!E364*8,""))))))</f>
        <v>13500</v>
      </c>
      <c r="L346" s="0" t="n">
        <f aca="false">IF(AND(ISNUMBER('Offshore - Melbourne'!E364),ISNUMBER(K346),ISNUMBER('Offshore - Melbourne'!F364),ISNUMBER('Offshore - Melbourne'!G364),OR('Offshore - Melbourne'!F364&lt;&gt;0,ISNUMBER(SEARCH("Material 0 terverifikasi",'Offshore - Melbourne'!N364))),OR('Offshore - Melbourne'!G364&lt;&gt;0,ISNUMBER(SEARCH("Enrolment 0 terverifikasi",'Offshore - Melbourne'!N364)))),1,0)</f>
        <v>1</v>
      </c>
      <c r="M346" s="0" t="n">
        <f aca="false">IF(OR('Offshore - Melbourne'!E364="",ISNUMBER(SEARCH("BSB80120",'Offshore - Melbourne'!B364&amp;'Offshore - Melbourne'!N364)),ISNUMBER(SEARCH("Management (Learning)",'Offshore - Melbourne'!B364))),2,IF(ISNUMBER(SEARCH("CEK:",'Offshore - Melbourne'!N364)),1,0))</f>
        <v>0</v>
      </c>
    </row>
    <row r="347" customFormat="false" ht="15" hidden="false" customHeight="false" outlineLevel="0" collapsed="false">
      <c r="A347" s="61" t="s">
        <v>3886</v>
      </c>
      <c r="B347" s="62"/>
      <c r="C347" s="62"/>
      <c r="D347" s="62"/>
      <c r="E347" s="62"/>
      <c r="F347" s="62"/>
      <c r="G347" s="62"/>
      <c r="H347" s="62"/>
      <c r="I347" s="62"/>
    </row>
    <row r="348" customFormat="false" ht="55.2" hidden="false" customHeight="false" outlineLevel="0" collapsed="false">
      <c r="A348" s="63" t="s">
        <v>3544</v>
      </c>
      <c r="B348" s="64" t="s">
        <v>3833</v>
      </c>
      <c r="C348" s="63" t="s">
        <v>43</v>
      </c>
      <c r="D348" s="64" t="str">
        <f aca="false">TRIM(LEFT('Offshore - Melbourne'!A43,FIND(CHAR(10),'Offshore - Melbourne'!A43&amp;CHAR(10))-1))</f>
        <v>AIH Higher Education (Australian Institute of Higher Education)</v>
      </c>
      <c r="E348" s="63" t="str">
        <f aca="false">'Offshore - Melbourne'!C44&amp;""</f>
        <v>3 years</v>
      </c>
      <c r="F348" s="63" t="str">
        <f aca="false">IF('Offshore - Melbourne'!D44="","Belum tercatat",'Offshore - Melbourne'!D44)</f>
        <v>Unit</v>
      </c>
      <c r="G348" s="65" t="n">
        <f aca="false">IF('Offshore - Melbourne'!E44="","-",'Offshore - Melbourne'!E44)</f>
        <v>1560</v>
      </c>
      <c r="H348" s="63" t="n">
        <f aca="false">IF(ISNUMBER(K348),COUNTIFS($J$6:$J$1854,J348,$K$6:$K$1854,"&lt;"&amp;K348)+1,"-")</f>
        <v>1</v>
      </c>
      <c r="I348" s="64" t="str">
        <f aca="false">IF('Offshore - Melbourne'!E44="","Harga belum tersedia - hubungi konsultan TEG",IF(M348=2,"Saat ini tidak menerima pendaftaran siswa internasional baru",IF(M348=1,"Harga perlu dikonfirmasi ke sekolah"&amp;IF("Harga promo s.d. 31/12/2026; Harga dihitung per unit; total tergantung jumlah unit yang diambil; Sudah termasuk beasiswa 30% (syarat berlaku)"="","","; "&amp;"Harga promo s.d. 31/12/2026; Harga dihitung per unit; total tergantung jumlah unit yang diambil; Sudah termasuk beasiswa 30% (syarat berlaku)"),"Harga promo s.d. 31/12/2026; Harga dihitung per unit; total tergantung jumlah unit yang diambil; Sudah termasuk beasiswa 30% (syarat berlaku)")))</f>
        <v>Harga promo s.d. 31/12/2026; Harga dihitung per unit; total tergantung jumlah unit yang diambil; Sudah termasuk beasiswa 30% (syarat berlaku)</v>
      </c>
      <c r="J348" s="0" t="s">
        <v>3887</v>
      </c>
      <c r="K348" s="0" t="n">
        <f aca="false">IF(M348=2,"",IF(ISNUMBER(SEARCH("rata-rata:",'Offshore - Melbourne'!N44)),VALUE(MID('Offshore - Melbourne'!N44,SEARCH("rata-rata:",'Offshore - Melbourne'!N44)+11,FIND(";",'Offshore - Melbourne'!N44&amp;";",SEARCH("rata-rata:",'Offshore - Melbourne'!N44))-SEARCH("rata-rata:",'Offshore - Melbourne'!N44)-11)),IF('Offshore - Melbourne'!D44="Semester",'Offshore - Melbourne'!E44*2,IF('Offshore - Melbourne'!D44="Trimester",'Offshore - Melbourne'!E44*3,IF('Offshore - Melbourne'!D44="Term",'Offshore - Melbourne'!E44*4,IF('Offshore - Melbourne'!D44="Unit",'Offshore - Melbourne'!E44*8,""))))))</f>
        <v>12480</v>
      </c>
      <c r="L348" s="0" t="n">
        <f aca="false">IF(AND(ISNUMBER('Offshore - Melbourne'!E44),ISNUMBER(K348),ISNUMBER('Offshore - Melbourne'!F44),ISNUMBER('Offshore - Melbourne'!G44),OR('Offshore - Melbourne'!F44&lt;&gt;0,ISNUMBER(SEARCH("Material 0 terverifikasi",'Offshore - Melbourne'!N44))),OR('Offshore - Melbourne'!G44&lt;&gt;0,ISNUMBER(SEARCH("Enrolment 0 terverifikasi",'Offshore - Melbourne'!N44)))),1,0)</f>
        <v>1</v>
      </c>
      <c r="M348" s="0" t="n">
        <f aca="false">IF(OR('Offshore - Melbourne'!E44="",ISNUMBER(SEARCH("BSB80120",'Offshore - Melbourne'!B44&amp;'Offshore - Melbourne'!N44)),ISNUMBER(SEARCH("Management (Learning)",'Offshore - Melbourne'!B44))),2,IF(ISNUMBER(SEARCH("CEK:",'Offshore - Melbourne'!N44)),1,0))</f>
        <v>0</v>
      </c>
    </row>
    <row r="349" customFormat="false" ht="15" hidden="false" customHeight="false" outlineLevel="0" collapsed="false">
      <c r="A349" s="63" t="s">
        <v>3544</v>
      </c>
      <c r="B349" s="64" t="s">
        <v>3833</v>
      </c>
      <c r="C349" s="63" t="s">
        <v>43</v>
      </c>
      <c r="D349" s="64" t="str">
        <f aca="false">TRIM(LEFT('Offshore - Melbourne'!A78,FIND(CHAR(10),'Offshore - Melbourne'!A78&amp;CHAR(10))-1))</f>
        <v>Asia Pacific International College (APIC)</v>
      </c>
      <c r="E349" s="63" t="str">
        <f aca="false">'Offshore - Melbourne'!C81&amp;""</f>
        <v>3 years</v>
      </c>
      <c r="F349" s="63" t="str">
        <f aca="false">IF('Offshore - Melbourne'!D81="","Belum tercatat",'Offshore - Melbourne'!D81)</f>
        <v>Trimester</v>
      </c>
      <c r="G349" s="65" t="n">
        <f aca="false">IF('Offshore - Melbourne'!E81="","-",'Offshore - Melbourne'!E81)</f>
        <v>4500</v>
      </c>
      <c r="H349" s="63" t="n">
        <f aca="false">IF(ISNUMBER(K349),COUNTIFS($J$6:$J$1854,J349,$K$6:$K$1854,"&lt;"&amp;K349)+1,"-")</f>
        <v>2</v>
      </c>
      <c r="I349" s="64" t="str">
        <f aca="false">IF('Offshore - Melbourne'!E81="","Harga belum tersedia - hubungi konsultan TEG",IF(M349=2,"Saat ini tidak menerima pendaftaran siswa internasional baru",IF(M349=1,"Harga perlu dikonfirmasi ke sekolah"&amp;IF("Harga promo s.d. 31/12/2026"="","","; "&amp;"Harga promo s.d. 31/12/2026"),"Harga promo s.d. 31/12/2026")))</f>
        <v>Harga promo s.d. 31/12/2026</v>
      </c>
      <c r="J349" s="0" t="s">
        <v>3887</v>
      </c>
      <c r="K349" s="0" t="n">
        <f aca="false">IF(M349=2,"",IF(ISNUMBER(SEARCH("rata-rata:",'Offshore - Melbourne'!N81)),VALUE(MID('Offshore - Melbourne'!N81,SEARCH("rata-rata:",'Offshore - Melbourne'!N81)+11,FIND(";",'Offshore - Melbourne'!N81&amp;";",SEARCH("rata-rata:",'Offshore - Melbourne'!N81))-SEARCH("rata-rata:",'Offshore - Melbourne'!N81)-11)),IF('Offshore - Melbourne'!D81="Semester",'Offshore - Melbourne'!E81*2,IF('Offshore - Melbourne'!D81="Trimester",'Offshore - Melbourne'!E81*3,IF('Offshore - Melbourne'!D81="Term",'Offshore - Melbourne'!E81*4,IF('Offshore - Melbourne'!D81="Unit",'Offshore - Melbourne'!E81*8,""))))))</f>
        <v>13500</v>
      </c>
      <c r="L349" s="0" t="n">
        <f aca="false">IF(AND(ISNUMBER('Offshore - Melbourne'!E81),ISNUMBER(K349),ISNUMBER('Offshore - Melbourne'!F81),ISNUMBER('Offshore - Melbourne'!G81),OR('Offshore - Melbourne'!F81&lt;&gt;0,ISNUMBER(SEARCH("Material 0 terverifikasi",'Offshore - Melbourne'!N81))),OR('Offshore - Melbourne'!G81&lt;&gt;0,ISNUMBER(SEARCH("Enrolment 0 terverifikasi",'Offshore - Melbourne'!N81)))),1,0)</f>
        <v>0</v>
      </c>
      <c r="M349" s="0" t="n">
        <f aca="false">IF(OR('Offshore - Melbourne'!E81="",ISNUMBER(SEARCH("BSB80120",'Offshore - Melbourne'!B81&amp;'Offshore - Melbourne'!N81)),ISNUMBER(SEARCH("Management (Learning)",'Offshore - Melbourne'!B81))),2,IF(ISNUMBER(SEARCH("CEK:",'Offshore - Melbourne'!N81)),1,0))</f>
        <v>0</v>
      </c>
    </row>
    <row r="350" customFormat="false" ht="15" hidden="false" customHeight="false" outlineLevel="0" collapsed="false">
      <c r="A350" s="63" t="s">
        <v>3544</v>
      </c>
      <c r="B350" s="64" t="s">
        <v>3833</v>
      </c>
      <c r="C350" s="63" t="s">
        <v>43</v>
      </c>
      <c r="D350" s="64" t="str">
        <f aca="false">TRIM(LEFT('Offshore - Melbourne'!A75,FIND(CHAR(10),'Offshore - Melbourne'!A75&amp;CHAR(10))-1))</f>
        <v>Analytics Institute of Australia (AIA)</v>
      </c>
      <c r="E350" s="63" t="str">
        <f aca="false">'Offshore - Melbourne'!C77&amp;""</f>
        <v>2 years</v>
      </c>
      <c r="F350" s="63" t="str">
        <f aca="false">IF('Offshore - Melbourne'!D77="","Belum tercatat",'Offshore - Melbourne'!D77)</f>
        <v>Term</v>
      </c>
      <c r="G350" s="65" t="n">
        <f aca="false">IF('Offshore - Melbourne'!E77="","-",'Offshore - Melbourne'!E77)</f>
        <v>3730</v>
      </c>
      <c r="H350" s="63" t="n">
        <f aca="false">IF(ISNUMBER(K350),COUNTIFS($J$6:$J$1854,J350,$K$6:$K$1854,"&lt;"&amp;K350)+1,"-")</f>
        <v>3</v>
      </c>
      <c r="I350" s="64" t="str">
        <f aca="false">IF('Offshore - Melbourne'!E77="","Harga belum tersedia - hubungi konsultan TEG",IF(M350=2,"Saat ini tidak menerima pendaftaran siswa internasional baru",IF(M350=1,"Harga perlu dikonfirmasi ke sekolah"&amp;IF(""="","","; "&amp;""),"")))</f>
        <v>Harga perlu dikonfirmasi ke sekolah</v>
      </c>
      <c r="J350" s="0" t="s">
        <v>3887</v>
      </c>
      <c r="K350" s="0" t="n">
        <f aca="false">IF(M350=2,"",IF(ISNUMBER(SEARCH("rata-rata:",'Offshore - Melbourne'!N77)),VALUE(MID('Offshore - Melbourne'!N77,SEARCH("rata-rata:",'Offshore - Melbourne'!N77)+11,FIND(";",'Offshore - Melbourne'!N77&amp;";",SEARCH("rata-rata:",'Offshore - Melbourne'!N77))-SEARCH("rata-rata:",'Offshore - Melbourne'!N77)-11)),IF('Offshore - Melbourne'!D77="Semester",'Offshore - Melbourne'!E77*2,IF('Offshore - Melbourne'!D77="Trimester",'Offshore - Melbourne'!E77*3,IF('Offshore - Melbourne'!D77="Term",'Offshore - Melbourne'!E77*4,IF('Offshore - Melbourne'!D77="Unit",'Offshore - Melbourne'!E77*8,""))))))</f>
        <v>14920</v>
      </c>
      <c r="L350" s="0" t="n">
        <f aca="false">IF(AND(ISNUMBER('Offshore - Melbourne'!E77),ISNUMBER(K350),ISNUMBER('Offshore - Melbourne'!F77),ISNUMBER('Offshore - Melbourne'!G77),OR('Offshore - Melbourne'!F77&lt;&gt;0,ISNUMBER(SEARCH("Material 0 terverifikasi",'Offshore - Melbourne'!N77))),OR('Offshore - Melbourne'!G77&lt;&gt;0,ISNUMBER(SEARCH("Enrolment 0 terverifikasi",'Offshore - Melbourne'!N77)))),1,0)</f>
        <v>0</v>
      </c>
      <c r="M350" s="0" t="n">
        <f aca="false">IF(OR('Offshore - Melbourne'!E77="",ISNUMBER(SEARCH("BSB80120",'Offshore - Melbourne'!B77&amp;'Offshore - Melbourne'!N77)),ISNUMBER(SEARCH("Management (Learning)",'Offshore - Melbourne'!B77))),2,IF(ISNUMBER(SEARCH("CEK:",'Offshore - Melbourne'!N77)),1,0))</f>
        <v>1</v>
      </c>
    </row>
    <row r="351" customFormat="false" ht="15" hidden="false" customHeight="false" outlineLevel="0" collapsed="false">
      <c r="A351" s="63" t="s">
        <v>3544</v>
      </c>
      <c r="B351" s="64" t="s">
        <v>3833</v>
      </c>
      <c r="C351" s="63" t="s">
        <v>43</v>
      </c>
      <c r="D351" s="64" t="str">
        <f aca="false">TRIM(LEFT('Offshore - Melbourne'!A235,FIND(CHAR(10),'Offshore - Melbourne'!A235&amp;CHAR(10))-1))</f>
        <v>Canterbury Institute of Management (CIM)</v>
      </c>
      <c r="E351" s="63" t="str">
        <f aca="false">'Offshore - Melbourne'!C235&amp;""</f>
        <v>3 years</v>
      </c>
      <c r="F351" s="63" t="str">
        <f aca="false">IF('Offshore - Melbourne'!D235="","Belum tercatat",'Offshore - Melbourne'!D235)</f>
        <v>Semester</v>
      </c>
      <c r="G351" s="65" t="n">
        <f aca="false">IF('Offshore - Melbourne'!E235="","-",'Offshore - Melbourne'!E235)</f>
        <v>8000</v>
      </c>
      <c r="H351" s="63" t="n">
        <f aca="false">IF(ISNUMBER(K351),COUNTIFS($J$6:$J$1854,J351,$K$6:$K$1854,"&lt;"&amp;K351)+1,"-")</f>
        <v>4</v>
      </c>
      <c r="I351" s="64" t="str">
        <f aca="false">IF('Offshore - Melbourne'!E235="","Harga belum tersedia - hubungi konsultan TEG",IF(M351=2,"Saat ini tidak menerima pendaftaran siswa internasional baru",IF(M351=1,"Harga perlu dikonfirmasi ke sekolah"&amp;IF(""="","","; "&amp;""),"")))</f>
        <v>Harga perlu dikonfirmasi ke sekolah</v>
      </c>
      <c r="J351" s="0" t="s">
        <v>3887</v>
      </c>
      <c r="K351" s="0" t="n">
        <f aca="false">IF(M351=2,"",IF(ISNUMBER(SEARCH("rata-rata:",'Offshore - Melbourne'!N235)),VALUE(MID('Offshore - Melbourne'!N235,SEARCH("rata-rata:",'Offshore - Melbourne'!N235)+11,FIND(";",'Offshore - Melbourne'!N235&amp;";",SEARCH("rata-rata:",'Offshore - Melbourne'!N235))-SEARCH("rata-rata:",'Offshore - Melbourne'!N235)-11)),IF('Offshore - Melbourne'!D235="Semester",'Offshore - Melbourne'!E235*2,IF('Offshore - Melbourne'!D235="Trimester",'Offshore - Melbourne'!E235*3,IF('Offshore - Melbourne'!D235="Term",'Offshore - Melbourne'!E235*4,IF('Offshore - Melbourne'!D235="Unit",'Offshore - Melbourne'!E235*8,""))))))</f>
        <v>16000</v>
      </c>
      <c r="L351" s="0" t="n">
        <f aca="false">IF(AND(ISNUMBER('Offshore - Melbourne'!E235),ISNUMBER(K351),ISNUMBER('Offshore - Melbourne'!F235),ISNUMBER('Offshore - Melbourne'!G235),OR('Offshore - Melbourne'!F235&lt;&gt;0,ISNUMBER(SEARCH("Material 0 terverifikasi",'Offshore - Melbourne'!N235))),OR('Offshore - Melbourne'!G235&lt;&gt;0,ISNUMBER(SEARCH("Enrolment 0 terverifikasi",'Offshore - Melbourne'!N235)))),1,0)</f>
        <v>0</v>
      </c>
      <c r="M351" s="0" t="n">
        <f aca="false">IF(OR('Offshore - Melbourne'!E235="",ISNUMBER(SEARCH("BSB80120",'Offshore - Melbourne'!B235&amp;'Offshore - Melbourne'!N235)),ISNUMBER(SEARCH("Management (Learning)",'Offshore - Melbourne'!B235))),2,IF(ISNUMBER(SEARCH("CEK:",'Offshore - Melbourne'!N235)),1,0))</f>
        <v>1</v>
      </c>
    </row>
    <row r="352" customFormat="false" ht="15" hidden="false" customHeight="false" outlineLevel="0" collapsed="false">
      <c r="A352" s="63" t="s">
        <v>3544</v>
      </c>
      <c r="B352" s="64" t="s">
        <v>3833</v>
      </c>
      <c r="C352" s="63" t="s">
        <v>43</v>
      </c>
      <c r="D352" s="64" t="str">
        <f aca="false">TRIM(LEFT('Offshore - Melbourne'!A426,FIND(CHAR(10),'Offshore - Melbourne'!A426&amp;CHAR(10))-1))</f>
        <v>The Institute of International Studies (TIIS)</v>
      </c>
      <c r="E352" s="63" t="str">
        <f aca="false">'Offshore - Melbourne'!C434&amp;""</f>
        <v>3 years</v>
      </c>
      <c r="F352" s="63" t="str">
        <f aca="false">IF('Offshore - Melbourne'!D434="","Belum tercatat",'Offshore - Melbourne'!D434)</f>
        <v>Term</v>
      </c>
      <c r="G352" s="65" t="n">
        <f aca="false">IF('Offshore - Melbourne'!E434="","-",'Offshore - Melbourne'!E434)</f>
        <v>4300</v>
      </c>
      <c r="H352" s="63" t="n">
        <f aca="false">IF(ISNUMBER(K352),COUNTIFS($J$6:$J$1854,J352,$K$6:$K$1854,"&lt;"&amp;K352)+1,"-")</f>
        <v>5</v>
      </c>
      <c r="I352" s="64" t="str">
        <f aca="false">IF('Offshore - Melbourne'!E434="","Harga belum tersedia - hubungi konsultan TEG",IF(M352=2,"Saat ini tidak menerima pendaftaran siswa internasional baru",IF(M352=1,"Harga perlu dikonfirmasi ke sekolah"&amp;IF(""="","","; "&amp;""),"")))</f>
        <v/>
      </c>
      <c r="J352" s="0" t="s">
        <v>3887</v>
      </c>
      <c r="K352" s="0" t="n">
        <f aca="false">IF(M352=2,"",IF(ISNUMBER(SEARCH("rata-rata:",'Offshore - Melbourne'!N434)),VALUE(MID('Offshore - Melbourne'!N434,SEARCH("rata-rata:",'Offshore - Melbourne'!N434)+11,FIND(";",'Offshore - Melbourne'!N434&amp;";",SEARCH("rata-rata:",'Offshore - Melbourne'!N434))-SEARCH("rata-rata:",'Offshore - Melbourne'!N434)-11)),IF('Offshore - Melbourne'!D434="Semester",'Offshore - Melbourne'!E434*2,IF('Offshore - Melbourne'!D434="Trimester",'Offshore - Melbourne'!E434*3,IF('Offshore - Melbourne'!D434="Term",'Offshore - Melbourne'!E434*4,IF('Offshore - Melbourne'!D434="Unit",'Offshore - Melbourne'!E434*8,""))))))</f>
        <v>17200</v>
      </c>
      <c r="L352" s="0" t="n">
        <f aca="false">IF(AND(ISNUMBER('Offshore - Melbourne'!E434),ISNUMBER(K352),ISNUMBER('Offshore - Melbourne'!F434),ISNUMBER('Offshore - Melbourne'!G434),OR('Offshore - Melbourne'!F434&lt;&gt;0,ISNUMBER(SEARCH("Material 0 terverifikasi",'Offshore - Melbourne'!N434))),OR('Offshore - Melbourne'!G434&lt;&gt;0,ISNUMBER(SEARCH("Enrolment 0 terverifikasi",'Offshore - Melbourne'!N434)))),1,0)</f>
        <v>0</v>
      </c>
      <c r="M352" s="0" t="n">
        <f aca="false">IF(OR('Offshore - Melbourne'!E434="",ISNUMBER(SEARCH("BSB80120",'Offshore - Melbourne'!B434&amp;'Offshore - Melbourne'!N434)),ISNUMBER(SEARCH("Management (Learning)",'Offshore - Melbourne'!B434))),2,IF(ISNUMBER(SEARCH("CEK:",'Offshore - Melbourne'!N434)),1,0))</f>
        <v>0</v>
      </c>
    </row>
    <row r="353" customFormat="false" ht="28.35" hidden="false" customHeight="false" outlineLevel="0" collapsed="false">
      <c r="A353" s="63" t="s">
        <v>3544</v>
      </c>
      <c r="B353" s="64" t="s">
        <v>3833</v>
      </c>
      <c r="C353" s="63" t="s">
        <v>43</v>
      </c>
      <c r="D353" s="64" t="str">
        <f aca="false">TRIM(LEFT('Offshore - Melbourne'!A351,FIND(CHAR(10),'Offshore - Melbourne'!A351&amp;CHAR(10))-1))</f>
        <v>National Academy of Professional Studies (NAPS)</v>
      </c>
      <c r="E353" s="63" t="str">
        <f aca="false">'Offshore - Melbourne'!C357&amp;""</f>
        <v>3 years</v>
      </c>
      <c r="F353" s="63" t="str">
        <f aca="false">IF('Offshore - Melbourne'!D357="","Belum tercatat",'Offshore - Melbourne'!D357)</f>
        <v>Term</v>
      </c>
      <c r="G353" s="65" t="n">
        <f aca="false">IF('Offshore - Melbourne'!E357="","-",'Offshore - Melbourne'!E357)</f>
        <v>4500</v>
      </c>
      <c r="H353" s="63" t="n">
        <f aca="false">IF(ISNUMBER(K353),COUNTIFS($J$6:$J$1854,J353,$K$6:$K$1854,"&lt;"&amp;K353)+1,"-")</f>
        <v>6</v>
      </c>
      <c r="I353" s="64" t="str">
        <f aca="false">IF('Offshore - Melbourne'!E357="","Harga belum tersedia - hubungi konsultan TEG",IF(M353=2,"Saat ini tidak menerima pendaftaran siswa internasional baru",IF(M353=1,"Harga perlu dikonfirmasi ke sekolah"&amp;IF(""="","","; "&amp;""),"")))</f>
        <v>Harga perlu dikonfirmasi ke sekolah</v>
      </c>
      <c r="J353" s="0" t="s">
        <v>3887</v>
      </c>
      <c r="K353" s="0" t="n">
        <f aca="false">IF(M353=2,"",IF(ISNUMBER(SEARCH("rata-rata:",'Offshore - Melbourne'!N357)),VALUE(MID('Offshore - Melbourne'!N357,SEARCH("rata-rata:",'Offshore - Melbourne'!N357)+11,FIND(";",'Offshore - Melbourne'!N357&amp;";",SEARCH("rata-rata:",'Offshore - Melbourne'!N357))-SEARCH("rata-rata:",'Offshore - Melbourne'!N357)-11)),IF('Offshore - Melbourne'!D357="Semester",'Offshore - Melbourne'!E357*2,IF('Offshore - Melbourne'!D357="Trimester",'Offshore - Melbourne'!E357*3,IF('Offshore - Melbourne'!D357="Term",'Offshore - Melbourne'!E357*4,IF('Offshore - Melbourne'!D357="Unit",'Offshore - Melbourne'!E357*8,""))))))</f>
        <v>18000</v>
      </c>
      <c r="L353" s="0" t="n">
        <f aca="false">IF(AND(ISNUMBER('Offshore - Melbourne'!E357),ISNUMBER(K353),ISNUMBER('Offshore - Melbourne'!F357),ISNUMBER('Offshore - Melbourne'!G357),OR('Offshore - Melbourne'!F357&lt;&gt;0,ISNUMBER(SEARCH("Material 0 terverifikasi",'Offshore - Melbourne'!N357))),OR('Offshore - Melbourne'!G357&lt;&gt;0,ISNUMBER(SEARCH("Enrolment 0 terverifikasi",'Offshore - Melbourne'!N357)))),1,0)</f>
        <v>1</v>
      </c>
      <c r="M353" s="0" t="n">
        <f aca="false">IF(OR('Offshore - Melbourne'!E357="",ISNUMBER(SEARCH("BSB80120",'Offshore - Melbourne'!B357&amp;'Offshore - Melbourne'!N357)),ISNUMBER(SEARCH("Management (Learning)",'Offshore - Melbourne'!B357))),2,IF(ISNUMBER(SEARCH("CEK:",'Offshore - Melbourne'!N357)),1,0))</f>
        <v>1</v>
      </c>
    </row>
    <row r="354" customFormat="false" ht="15" hidden="false" customHeight="false" outlineLevel="0" collapsed="false">
      <c r="A354" s="63" t="s">
        <v>3544</v>
      </c>
      <c r="B354" s="64" t="s">
        <v>3833</v>
      </c>
      <c r="C354" s="63" t="s">
        <v>43</v>
      </c>
      <c r="D354" s="64" t="str">
        <f aca="false">TRIM(LEFT('Offshore - Melbourne'!A374,FIND(CHAR(10),'Offshore - Melbourne'!A374&amp;CHAR(10))-1))</f>
        <v>Ozford Institute of Higher Education</v>
      </c>
      <c r="E354" s="63" t="str">
        <f aca="false">'Offshore - Melbourne'!C374&amp;""</f>
        <v>3 years</v>
      </c>
      <c r="F354" s="63" t="str">
        <f aca="false">IF('Offshore - Melbourne'!D374="","Belum tercatat",'Offshore - Melbourne'!D374)</f>
        <v>Term</v>
      </c>
      <c r="G354" s="65" t="n">
        <f aca="false">IF('Offshore - Melbourne'!E374="","-",'Offshore - Melbourne'!E374)</f>
        <v>4650</v>
      </c>
      <c r="H354" s="63" t="n">
        <f aca="false">IF(ISNUMBER(K354),COUNTIFS($J$6:$J$1854,J354,$K$6:$K$1854,"&lt;"&amp;K354)+1,"-")</f>
        <v>7</v>
      </c>
      <c r="I354" s="64" t="str">
        <f aca="false">IF('Offshore - Melbourne'!E374="","Harga belum tersedia - hubungi konsultan TEG",IF(M354=2,"Saat ini tidak menerima pendaftaran siswa internasional baru",IF(M354=1,"Harga perlu dikonfirmasi ke sekolah"&amp;IF(""="","","; "&amp;""),"")))</f>
        <v>Harga perlu dikonfirmasi ke sekolah</v>
      </c>
      <c r="J354" s="0" t="s">
        <v>3887</v>
      </c>
      <c r="K354" s="0" t="n">
        <f aca="false">IF(M354=2,"",IF(ISNUMBER(SEARCH("rata-rata:",'Offshore - Melbourne'!N374)),VALUE(MID('Offshore - Melbourne'!N374,SEARCH("rata-rata:",'Offshore - Melbourne'!N374)+11,FIND(";",'Offshore - Melbourne'!N374&amp;";",SEARCH("rata-rata:",'Offshore - Melbourne'!N374))-SEARCH("rata-rata:",'Offshore - Melbourne'!N374)-11)),IF('Offshore - Melbourne'!D374="Semester",'Offshore - Melbourne'!E374*2,IF('Offshore - Melbourne'!D374="Trimester",'Offshore - Melbourne'!E374*3,IF('Offshore - Melbourne'!D374="Term",'Offshore - Melbourne'!E374*4,IF('Offshore - Melbourne'!D374="Unit",'Offshore - Melbourne'!E374*8,""))))))</f>
        <v>18600</v>
      </c>
      <c r="L354" s="0" t="n">
        <f aca="false">IF(AND(ISNUMBER('Offshore - Melbourne'!E374),ISNUMBER(K354),ISNUMBER('Offshore - Melbourne'!F374),ISNUMBER('Offshore - Melbourne'!G374),OR('Offshore - Melbourne'!F374&lt;&gt;0,ISNUMBER(SEARCH("Material 0 terverifikasi",'Offshore - Melbourne'!N374))),OR('Offshore - Melbourne'!G374&lt;&gt;0,ISNUMBER(SEARCH("Enrolment 0 terverifikasi",'Offshore - Melbourne'!N374)))),1,0)</f>
        <v>1</v>
      </c>
      <c r="M354" s="0" t="n">
        <f aca="false">IF(OR('Offshore - Melbourne'!E374="",ISNUMBER(SEARCH("BSB80120",'Offshore - Melbourne'!B374&amp;'Offshore - Melbourne'!N374)),ISNUMBER(SEARCH("Management (Learning)",'Offshore - Melbourne'!B374))),2,IF(ISNUMBER(SEARCH("CEK:",'Offshore - Melbourne'!N374)),1,0))</f>
        <v>1</v>
      </c>
    </row>
    <row r="355" customFormat="false" ht="15" hidden="false" customHeight="false" outlineLevel="0" collapsed="false">
      <c r="A355" s="63" t="s">
        <v>3544</v>
      </c>
      <c r="B355" s="64" t="s">
        <v>3833</v>
      </c>
      <c r="C355" s="63" t="s">
        <v>43</v>
      </c>
      <c r="D355" s="64" t="str">
        <f aca="false">TRIM(LEFT('Offshore - Melbourne'!A29,FIND(CHAR(10),'Offshore - Melbourne'!A29&amp;CHAR(10))-1))</f>
        <v>AIBI Higher Education</v>
      </c>
      <c r="E355" s="63" t="str">
        <f aca="false">'Offshore - Melbourne'!C30&amp;""</f>
        <v>3 years</v>
      </c>
      <c r="F355" s="63" t="str">
        <f aca="false">IF('Offshore - Melbourne'!D30="","Belum tercatat",'Offshore - Melbourne'!D30)</f>
        <v>Term</v>
      </c>
      <c r="G355" s="65" t="n">
        <f aca="false">IF('Offshore - Melbourne'!E30="","-",'Offshore - Melbourne'!E30)</f>
        <v>4995</v>
      </c>
      <c r="H355" s="63" t="n">
        <f aca="false">IF(ISNUMBER(K355),COUNTIFS($J$6:$J$1854,J355,$K$6:$K$1854,"&lt;"&amp;K355)+1,"-")</f>
        <v>8</v>
      </c>
      <c r="I355" s="64" t="str">
        <f aca="false">IF('Offshore - Melbourne'!E30="","Harga belum tersedia - hubungi konsultan TEG",IF(M355=2,"Saat ini tidak menerima pendaftaran siswa internasional baru",IF(M355=1,"Harga perlu dikonfirmasi ke sekolah"&amp;IF(""="","","; "&amp;""),"")))</f>
        <v>Harga perlu dikonfirmasi ke sekolah</v>
      </c>
      <c r="J355" s="0" t="s">
        <v>3887</v>
      </c>
      <c r="K355" s="0" t="n">
        <f aca="false">IF(M355=2,"",IF(ISNUMBER(SEARCH("rata-rata:",'Offshore - Melbourne'!N30)),VALUE(MID('Offshore - Melbourne'!N30,SEARCH("rata-rata:",'Offshore - Melbourne'!N30)+11,FIND(";",'Offshore - Melbourne'!N30&amp;";",SEARCH("rata-rata:",'Offshore - Melbourne'!N30))-SEARCH("rata-rata:",'Offshore - Melbourne'!N30)-11)),IF('Offshore - Melbourne'!D30="Semester",'Offshore - Melbourne'!E30*2,IF('Offshore - Melbourne'!D30="Trimester",'Offshore - Melbourne'!E30*3,IF('Offshore - Melbourne'!D30="Term",'Offshore - Melbourne'!E30*4,IF('Offshore - Melbourne'!D30="Unit",'Offshore - Melbourne'!E30*8,""))))))</f>
        <v>19980</v>
      </c>
      <c r="L355" s="0" t="n">
        <f aca="false">IF(AND(ISNUMBER('Offshore - Melbourne'!E30),ISNUMBER(K355),ISNUMBER('Offshore - Melbourne'!F30),ISNUMBER('Offshore - Melbourne'!G30),OR('Offshore - Melbourne'!F30&lt;&gt;0,ISNUMBER(SEARCH("Material 0 terverifikasi",'Offshore - Melbourne'!N30))),OR('Offshore - Melbourne'!G30&lt;&gt;0,ISNUMBER(SEARCH("Enrolment 0 terverifikasi",'Offshore - Melbourne'!N30)))),1,0)</f>
        <v>0</v>
      </c>
      <c r="M355" s="0" t="n">
        <f aca="false">IF(OR('Offshore - Melbourne'!E30="",ISNUMBER(SEARCH("BSB80120",'Offshore - Melbourne'!B30&amp;'Offshore - Melbourne'!N30)),ISNUMBER(SEARCH("Management (Learning)",'Offshore - Melbourne'!B30))),2,IF(ISNUMBER(SEARCH("CEK:",'Offshore - Melbourne'!N30)),1,0))</f>
        <v>1</v>
      </c>
    </row>
    <row r="356" customFormat="false" ht="15" hidden="false" customHeight="false" outlineLevel="0" collapsed="false">
      <c r="A356" s="63" t="s">
        <v>3544</v>
      </c>
      <c r="B356" s="64" t="s">
        <v>3833</v>
      </c>
      <c r="C356" s="63" t="s">
        <v>43</v>
      </c>
      <c r="D356" s="64" t="str">
        <f aca="false">TRIM(LEFT('Offshore - Melbourne'!A6,FIND(CHAR(10),'Offshore - Melbourne'!A6&amp;CHAR(10))-1))</f>
        <v>Academies Australasia</v>
      </c>
      <c r="E356" s="63" t="str">
        <f aca="false">'Offshore - Melbourne'!C6&amp;""</f>
        <v>3 years</v>
      </c>
      <c r="F356" s="63" t="str">
        <f aca="false">IF('Offshore - Melbourne'!D6="","Belum tercatat",'Offshore - Melbourne'!D6)</f>
        <v>Term</v>
      </c>
      <c r="G356" s="65" t="n">
        <f aca="false">IF('Offshore - Melbourne'!E6="","-",'Offshore - Melbourne'!E6)</f>
        <v>5000</v>
      </c>
      <c r="H356" s="63" t="n">
        <f aca="false">IF(ISNUMBER(K356),COUNTIFS($J$6:$J$1854,J356,$K$6:$K$1854,"&lt;"&amp;K356)+1,"-")</f>
        <v>9</v>
      </c>
      <c r="I356" s="64" t="str">
        <f aca="false">IF('Offshore - Melbourne'!E6="","Harga belum tersedia - hubungi konsultan TEG",IF(M356=2,"Saat ini tidak menerima pendaftaran siswa internasional baru",IF(M356=1,"Harga perlu dikonfirmasi ke sekolah"&amp;IF(""="","","; "&amp;""),"")))</f>
        <v/>
      </c>
      <c r="J356" s="0" t="s">
        <v>3887</v>
      </c>
      <c r="K356" s="0" t="n">
        <f aca="false">IF(M356=2,"",IF(ISNUMBER(SEARCH("rata-rata:",'Offshore - Melbourne'!N6)),VALUE(MID('Offshore - Melbourne'!N6,SEARCH("rata-rata:",'Offshore - Melbourne'!N6)+11,FIND(";",'Offshore - Melbourne'!N6&amp;";",SEARCH("rata-rata:",'Offshore - Melbourne'!N6))-SEARCH("rata-rata:",'Offshore - Melbourne'!N6)-11)),IF('Offshore - Melbourne'!D6="Semester",'Offshore - Melbourne'!E6*2,IF('Offshore - Melbourne'!D6="Trimester",'Offshore - Melbourne'!E6*3,IF('Offshore - Melbourne'!D6="Term",'Offshore - Melbourne'!E6*4,IF('Offshore - Melbourne'!D6="Unit",'Offshore - Melbourne'!E6*8,""))))))</f>
        <v>20000</v>
      </c>
      <c r="L356" s="0" t="n">
        <f aca="false">IF(AND(ISNUMBER('Offshore - Melbourne'!E6),ISNUMBER(K356),ISNUMBER('Offshore - Melbourne'!F6),ISNUMBER('Offshore - Melbourne'!G6),OR('Offshore - Melbourne'!F6&lt;&gt;0,ISNUMBER(SEARCH("Material 0 terverifikasi",'Offshore - Melbourne'!N6))),OR('Offshore - Melbourne'!G6&lt;&gt;0,ISNUMBER(SEARCH("Enrolment 0 terverifikasi",'Offshore - Melbourne'!N6)))),1,0)</f>
        <v>1</v>
      </c>
      <c r="M356" s="0" t="n">
        <f aca="false">IF(OR('Offshore - Melbourne'!E6="",ISNUMBER(SEARCH("BSB80120",'Offshore - Melbourne'!B6&amp;'Offshore - Melbourne'!N6)),ISNUMBER(SEARCH("Management (Learning)",'Offshore - Melbourne'!B6))),2,IF(ISNUMBER(SEARCH("CEK:",'Offshore - Melbourne'!N6)),1,0))</f>
        <v>0</v>
      </c>
    </row>
    <row r="357" customFormat="false" ht="15" hidden="false" customHeight="false" outlineLevel="0" collapsed="false">
      <c r="A357" s="63" t="s">
        <v>3544</v>
      </c>
      <c r="B357" s="64" t="s">
        <v>3833</v>
      </c>
      <c r="C357" s="63" t="s">
        <v>43</v>
      </c>
      <c r="D357" s="64" t="str">
        <f aca="false">TRIM(LEFT('Offshore - Melbourne'!A305,FIND(CHAR(10),'Offshore - Melbourne'!A305&amp;CHAR(10))-1))</f>
        <v>Kent Institute Australia</v>
      </c>
      <c r="E357" s="63" t="str">
        <f aca="false">'Offshore - Melbourne'!C305&amp;""</f>
        <v>3 years</v>
      </c>
      <c r="F357" s="63" t="str">
        <f aca="false">IF('Offshore - Melbourne'!D305="","Belum tercatat",'Offshore - Melbourne'!D305)</f>
        <v>Trimester</v>
      </c>
      <c r="G357" s="65" t="n">
        <f aca="false">IF('Offshore - Melbourne'!E305="","-",'Offshore - Melbourne'!E305)</f>
        <v>8240</v>
      </c>
      <c r="H357" s="63" t="n">
        <f aca="false">IF(ISNUMBER(K357),COUNTIFS($J$6:$J$1854,J357,$K$6:$K$1854,"&lt;"&amp;K357)+1,"-")</f>
        <v>10</v>
      </c>
      <c r="I357" s="64" t="str">
        <f aca="false">IF('Offshore - Melbourne'!E305="","Harga belum tersedia - hubungi konsultan TEG",IF(M357=2,"Saat ini tidak menerima pendaftaran siswa internasional baru",IF(M357=1,"Harga perlu dikonfirmasi ke sekolah"&amp;IF(""="","","; "&amp;""),"")))</f>
        <v>Harga perlu dikonfirmasi ke sekolah</v>
      </c>
      <c r="J357" s="0" t="s">
        <v>3887</v>
      </c>
      <c r="K357" s="0" t="n">
        <f aca="false">IF(M357=2,"",IF(ISNUMBER(SEARCH("rata-rata:",'Offshore - Melbourne'!N305)),VALUE(MID('Offshore - Melbourne'!N305,SEARCH("rata-rata:",'Offshore - Melbourne'!N305)+11,FIND(";",'Offshore - Melbourne'!N305&amp;";",SEARCH("rata-rata:",'Offshore - Melbourne'!N305))-SEARCH("rata-rata:",'Offshore - Melbourne'!N305)-11)),IF('Offshore - Melbourne'!D305="Semester",'Offshore - Melbourne'!E305*2,IF('Offshore - Melbourne'!D305="Trimester",'Offshore - Melbourne'!E305*3,IF('Offshore - Melbourne'!D305="Term",'Offshore - Melbourne'!E305*4,IF('Offshore - Melbourne'!D305="Unit",'Offshore - Melbourne'!E305*8,""))))))</f>
        <v>24720</v>
      </c>
      <c r="L357" s="0" t="n">
        <f aca="false">IF(AND(ISNUMBER('Offshore - Melbourne'!E305),ISNUMBER(K357),ISNUMBER('Offshore - Melbourne'!F305),ISNUMBER('Offshore - Melbourne'!G305),OR('Offshore - Melbourne'!F305&lt;&gt;0,ISNUMBER(SEARCH("Material 0 terverifikasi",'Offshore - Melbourne'!N305))),OR('Offshore - Melbourne'!G305&lt;&gt;0,ISNUMBER(SEARCH("Enrolment 0 terverifikasi",'Offshore - Melbourne'!N305)))),1,0)</f>
        <v>0</v>
      </c>
      <c r="M357" s="0" t="n">
        <f aca="false">IF(OR('Offshore - Melbourne'!E305="",ISNUMBER(SEARCH("BSB80120",'Offshore - Melbourne'!B305&amp;'Offshore - Melbourne'!N305)),ISNUMBER(SEARCH("Management (Learning)",'Offshore - Melbourne'!B305))),2,IF(ISNUMBER(SEARCH("CEK:",'Offshore - Melbourne'!N305)),1,0))</f>
        <v>1</v>
      </c>
    </row>
    <row r="358" customFormat="false" ht="15" hidden="false" customHeight="false" outlineLevel="0" collapsed="false">
      <c r="A358" s="63" t="s">
        <v>3544</v>
      </c>
      <c r="B358" s="64" t="s">
        <v>3833</v>
      </c>
      <c r="C358" s="63" t="s">
        <v>43</v>
      </c>
      <c r="D358" s="64" t="str">
        <f aca="false">TRIM(LEFT('Offshore - Melbourne'!A443,FIND(CHAR(10),'Offshore - Melbourne'!A443&amp;CHAR(10))-1))</f>
        <v>Torrens University Australia</v>
      </c>
      <c r="E358" s="63" t="str">
        <f aca="false">'Offshore - Melbourne'!C444&amp;""</f>
        <v>3 years</v>
      </c>
      <c r="F358" s="63" t="str">
        <f aca="false">IF('Offshore - Melbourne'!D444="","Belum tercatat",'Offshore - Melbourne'!D444)</f>
        <v>Term</v>
      </c>
      <c r="G358" s="65" t="n">
        <f aca="false">IF('Offshore - Melbourne'!E444="","-",'Offshore - Melbourne'!E444)</f>
        <v>7900</v>
      </c>
      <c r="H358" s="63" t="n">
        <f aca="false">IF(ISNUMBER(K358),COUNTIFS($J$6:$J$1854,J358,$K$6:$K$1854,"&lt;"&amp;K358)+1,"-")</f>
        <v>11</v>
      </c>
      <c r="I358" s="64" t="str">
        <f aca="false">IF('Offshore - Melbourne'!E444="","Harga belum tersedia - hubungi konsultan TEG",IF(M358=2,"Saat ini tidak menerima pendaftaran siswa internasional baru",IF(M358=1,"Harga perlu dikonfirmasi ke sekolah"&amp;IF(""="","","; "&amp;""),"")))</f>
        <v/>
      </c>
      <c r="J358" s="0" t="s">
        <v>3887</v>
      </c>
      <c r="K358" s="0" t="n">
        <f aca="false">IF(M358=2,"",IF(ISNUMBER(SEARCH("rata-rata:",'Offshore - Melbourne'!N444)),VALUE(MID('Offshore - Melbourne'!N444,SEARCH("rata-rata:",'Offshore - Melbourne'!N444)+11,FIND(";",'Offshore - Melbourne'!N444&amp;";",SEARCH("rata-rata:",'Offshore - Melbourne'!N444))-SEARCH("rata-rata:",'Offshore - Melbourne'!N444)-11)),IF('Offshore - Melbourne'!D444="Semester",'Offshore - Melbourne'!E444*2,IF('Offshore - Melbourne'!D444="Trimester",'Offshore - Melbourne'!E444*3,IF('Offshore - Melbourne'!D444="Term",'Offshore - Melbourne'!E444*4,IF('Offshore - Melbourne'!D444="Unit",'Offshore - Melbourne'!E444*8,""))))))</f>
        <v>31600</v>
      </c>
      <c r="L358" s="0" t="n">
        <f aca="false">IF(AND(ISNUMBER('Offshore - Melbourne'!E444),ISNUMBER(K358),ISNUMBER('Offshore - Melbourne'!F444),ISNUMBER('Offshore - Melbourne'!G444),OR('Offshore - Melbourne'!F444&lt;&gt;0,ISNUMBER(SEARCH("Material 0 terverifikasi",'Offshore - Melbourne'!N444))),OR('Offshore - Melbourne'!G444&lt;&gt;0,ISNUMBER(SEARCH("Enrolment 0 terverifikasi",'Offshore - Melbourne'!N444)))),1,0)</f>
        <v>0</v>
      </c>
      <c r="M358" s="0" t="n">
        <f aca="false">IF(OR('Offshore - Melbourne'!E444="",ISNUMBER(SEARCH("BSB80120",'Offshore - Melbourne'!B444&amp;'Offshore - Melbourne'!N444)),ISNUMBER(SEARCH("Management (Learning)",'Offshore - Melbourne'!B444))),2,IF(ISNUMBER(SEARCH("CEK:",'Offshore - Melbourne'!N444)),1,0))</f>
        <v>0</v>
      </c>
    </row>
    <row r="359" customFormat="false" ht="15" hidden="false" customHeight="false" outlineLevel="0" collapsed="false">
      <c r="A359" s="63" t="s">
        <v>3544</v>
      </c>
      <c r="B359" s="64" t="s">
        <v>3833</v>
      </c>
      <c r="C359" s="63" t="s">
        <v>43</v>
      </c>
      <c r="D359" s="64" t="str">
        <f aca="false">TRIM(LEFT('Offshore - Melbourne'!A290,FIND(CHAR(10),'Offshore - Melbourne'!A290&amp;CHAR(10))-1))</f>
        <v>Kaplan Business School</v>
      </c>
      <c r="E359" s="63" t="str">
        <f aca="false">'Offshore - Melbourne'!C291&amp;""</f>
        <v>3 years</v>
      </c>
      <c r="F359" s="63" t="str">
        <f aca="false">IF('Offshore - Melbourne'!D291="","Belum tercatat",'Offshore - Melbourne'!D291)</f>
        <v>Trimester</v>
      </c>
      <c r="G359" s="65" t="n">
        <f aca="false">IF('Offshore - Melbourne'!E291="","-",'Offshore - Melbourne'!E291)</f>
        <v>11520</v>
      </c>
      <c r="H359" s="63" t="n">
        <f aca="false">IF(ISNUMBER(K359),COUNTIFS($J$6:$J$1854,J359,$K$6:$K$1854,"&lt;"&amp;K359)+1,"-")</f>
        <v>12</v>
      </c>
      <c r="I359" s="64" t="str">
        <f aca="false">IF('Offshore - Melbourne'!E291="","Harga belum tersedia - hubungi konsultan TEG",IF(M359=2,"Saat ini tidak menerima pendaftaran siswa internasional baru",IF(M359=1,"Harga perlu dikonfirmasi ke sekolah"&amp;IF(""="","","; "&amp;""),"")))</f>
        <v>Harga perlu dikonfirmasi ke sekolah</v>
      </c>
      <c r="J359" s="0" t="s">
        <v>3887</v>
      </c>
      <c r="K359" s="0" t="n">
        <f aca="false">IF(M359=2,"",IF(ISNUMBER(SEARCH("rata-rata:",'Offshore - Melbourne'!N291)),VALUE(MID('Offshore - Melbourne'!N291,SEARCH("rata-rata:",'Offshore - Melbourne'!N291)+11,FIND(";",'Offshore - Melbourne'!N291&amp;";",SEARCH("rata-rata:",'Offshore - Melbourne'!N291))-SEARCH("rata-rata:",'Offshore - Melbourne'!N291)-11)),IF('Offshore - Melbourne'!D291="Semester",'Offshore - Melbourne'!E291*2,IF('Offshore - Melbourne'!D291="Trimester",'Offshore - Melbourne'!E291*3,IF('Offshore - Melbourne'!D291="Term",'Offshore - Melbourne'!E291*4,IF('Offshore - Melbourne'!D291="Unit",'Offshore - Melbourne'!E291*8,""))))))</f>
        <v>34560</v>
      </c>
      <c r="L359" s="0" t="n">
        <f aca="false">IF(AND(ISNUMBER('Offshore - Melbourne'!E291),ISNUMBER(K359),ISNUMBER('Offshore - Melbourne'!F291),ISNUMBER('Offshore - Melbourne'!G291),OR('Offshore - Melbourne'!F291&lt;&gt;0,ISNUMBER(SEARCH("Material 0 terverifikasi",'Offshore - Melbourne'!N291))),OR('Offshore - Melbourne'!G291&lt;&gt;0,ISNUMBER(SEARCH("Enrolment 0 terverifikasi",'Offshore - Melbourne'!N291)))),1,0)</f>
        <v>1</v>
      </c>
      <c r="M359" s="0" t="n">
        <f aca="false">IF(OR('Offshore - Melbourne'!E291="",ISNUMBER(SEARCH("BSB80120",'Offshore - Melbourne'!B291&amp;'Offshore - Melbourne'!N291)),ISNUMBER(SEARCH("Management (Learning)",'Offshore - Melbourne'!B291))),2,IF(ISNUMBER(SEARCH("CEK:",'Offshore - Melbourne'!N291)),1,0))</f>
        <v>1</v>
      </c>
    </row>
    <row r="360" customFormat="false" ht="15" hidden="false" customHeight="false" outlineLevel="0" collapsed="false">
      <c r="A360" s="63" t="s">
        <v>3544</v>
      </c>
      <c r="B360" s="64" t="s">
        <v>3833</v>
      </c>
      <c r="C360" s="63" t="s">
        <v>43</v>
      </c>
      <c r="D360" s="64" t="str">
        <f aca="false">TRIM(LEFT('Offshore - Melbourne'!A95,FIND(CHAR(10),'Offshore - Melbourne'!A95&amp;CHAR(10))-1))</f>
        <v>Australian Catholic University (ACU)</v>
      </c>
      <c r="E360" s="63" t="str">
        <f aca="false">'Offshore - Melbourne'!C96&amp;""</f>
        <v>4 years</v>
      </c>
      <c r="F360" s="63" t="str">
        <f aca="false">IF('Offshore - Melbourne'!D96="","Belum tercatat",'Offshore - Melbourne'!D96)</f>
        <v>Term</v>
      </c>
      <c r="G360" s="65" t="n">
        <f aca="false">IF('Offshore - Melbourne'!E96="","-",'Offshore - Melbourne'!E96)</f>
        <v>8742</v>
      </c>
      <c r="H360" s="63" t="n">
        <f aca="false">IF(ISNUMBER(K360),COUNTIFS($J$6:$J$1854,J360,$K$6:$K$1854,"&lt;"&amp;K360)+1,"-")</f>
        <v>13</v>
      </c>
      <c r="I360" s="64" t="str">
        <f aca="false">IF('Offshore - Melbourne'!E96="","Harga belum tersedia - hubungi konsultan TEG",IF(M360=2,"Saat ini tidak menerima pendaftaran siswa internasional baru",IF(M360=1,"Harga perlu dikonfirmasi ke sekolah"&amp;IF(""="","","; "&amp;""),"")))</f>
        <v/>
      </c>
      <c r="J360" s="0" t="s">
        <v>3887</v>
      </c>
      <c r="K360" s="0" t="n">
        <f aca="false">IF(M360=2,"",IF(ISNUMBER(SEARCH("rata-rata:",'Offshore - Melbourne'!N96)),VALUE(MID('Offshore - Melbourne'!N96,SEARCH("rata-rata:",'Offshore - Melbourne'!N96)+11,FIND(";",'Offshore - Melbourne'!N96&amp;";",SEARCH("rata-rata:",'Offshore - Melbourne'!N96))-SEARCH("rata-rata:",'Offshore - Melbourne'!N96)-11)),IF('Offshore - Melbourne'!D96="Semester",'Offshore - Melbourne'!E96*2,IF('Offshore - Melbourne'!D96="Trimester",'Offshore - Melbourne'!E96*3,IF('Offshore - Melbourne'!D96="Term",'Offshore - Melbourne'!E96*4,IF('Offshore - Melbourne'!D96="Unit",'Offshore - Melbourne'!E96*8,""))))))</f>
        <v>34968</v>
      </c>
      <c r="L360" s="0" t="n">
        <f aca="false">IF(AND(ISNUMBER('Offshore - Melbourne'!E96),ISNUMBER(K360),ISNUMBER('Offshore - Melbourne'!F96),ISNUMBER('Offshore - Melbourne'!G96),OR('Offshore - Melbourne'!F96&lt;&gt;0,ISNUMBER(SEARCH("Material 0 terverifikasi",'Offshore - Melbourne'!N96))),OR('Offshore - Melbourne'!G96&lt;&gt;0,ISNUMBER(SEARCH("Enrolment 0 terverifikasi",'Offshore - Melbourne'!N96)))),1,0)</f>
        <v>0</v>
      </c>
      <c r="M360" s="0" t="n">
        <f aca="false">IF(OR('Offshore - Melbourne'!E96="",ISNUMBER(SEARCH("BSB80120",'Offshore - Melbourne'!B96&amp;'Offshore - Melbourne'!N96)),ISNUMBER(SEARCH("Management (Learning)",'Offshore - Melbourne'!B96))),2,IF(ISNUMBER(SEARCH("CEK:",'Offshore - Melbourne'!N96)),1,0))</f>
        <v>0</v>
      </c>
    </row>
    <row r="361" customFormat="false" ht="15" hidden="false" customHeight="false" outlineLevel="0" collapsed="false">
      <c r="A361" s="63" t="s">
        <v>3544</v>
      </c>
      <c r="B361" s="64" t="s">
        <v>3833</v>
      </c>
      <c r="C361" s="63" t="s">
        <v>43</v>
      </c>
      <c r="D361" s="64" t="str">
        <f aca="false">TRIM(LEFT('Offshore - Melbourne'!A547,FIND(CHAR(10),'Offshore - Melbourne'!A547&amp;CHAR(10))-1))</f>
        <v>University of Tasmania (UTAS)</v>
      </c>
      <c r="E361" s="63" t="str">
        <f aca="false">'Offshore - Melbourne'!C547&amp;""</f>
        <v>3 years</v>
      </c>
      <c r="F361" s="63" t="str">
        <f aca="false">IF('Offshore - Melbourne'!D547="","Belum tercatat",'Offshore - Melbourne'!D547)</f>
        <v>Term</v>
      </c>
      <c r="G361" s="65" t="n">
        <f aca="false">IF('Offshore - Melbourne'!E547="","-",'Offshore - Melbourne'!E547)</f>
        <v>9487.5</v>
      </c>
      <c r="H361" s="63" t="n">
        <f aca="false">IF(ISNUMBER(K361),COUNTIFS($J$6:$J$1854,J361,$K$6:$K$1854,"&lt;"&amp;K361)+1,"-")</f>
        <v>14</v>
      </c>
      <c r="I361" s="64" t="str">
        <f aca="false">IF('Offshore - Melbourne'!E547="","Harga belum tersedia - hubungi konsultan TEG",IF(M361=2,"Saat ini tidak menerima pendaftaran siswa internasional baru",IF(M361=1,"Harga perlu dikonfirmasi ke sekolah"&amp;IF(""="","","; "&amp;""),"")))</f>
        <v/>
      </c>
      <c r="J361" s="0" t="s">
        <v>3887</v>
      </c>
      <c r="K361" s="0" t="n">
        <f aca="false">IF(M361=2,"",IF(ISNUMBER(SEARCH("rata-rata:",'Offshore - Melbourne'!N547)),VALUE(MID('Offshore - Melbourne'!N547,SEARCH("rata-rata:",'Offshore - Melbourne'!N547)+11,FIND(";",'Offshore - Melbourne'!N547&amp;";",SEARCH("rata-rata:",'Offshore - Melbourne'!N547))-SEARCH("rata-rata:",'Offshore - Melbourne'!N547)-11)),IF('Offshore - Melbourne'!D547="Semester",'Offshore - Melbourne'!E547*2,IF('Offshore - Melbourne'!D547="Trimester",'Offshore - Melbourne'!E547*3,IF('Offshore - Melbourne'!D547="Term",'Offshore - Melbourne'!E547*4,IF('Offshore - Melbourne'!D547="Unit",'Offshore - Melbourne'!E547*8,""))))))</f>
        <v>37950</v>
      </c>
      <c r="L361" s="0" t="n">
        <f aca="false">IF(AND(ISNUMBER('Offshore - Melbourne'!E547),ISNUMBER(K361),ISNUMBER('Offshore - Melbourne'!F547),ISNUMBER('Offshore - Melbourne'!G547),OR('Offshore - Melbourne'!F547&lt;&gt;0,ISNUMBER(SEARCH("Material 0 terverifikasi",'Offshore - Melbourne'!N547))),OR('Offshore - Melbourne'!G547&lt;&gt;0,ISNUMBER(SEARCH("Enrolment 0 terverifikasi",'Offshore - Melbourne'!N547)))),1,0)</f>
        <v>0</v>
      </c>
      <c r="M361" s="0" t="n">
        <f aca="false">IF(OR('Offshore - Melbourne'!E547="",ISNUMBER(SEARCH("BSB80120",'Offshore - Melbourne'!B547&amp;'Offshore - Melbourne'!N547)),ISNUMBER(SEARCH("Management (Learning)",'Offshore - Melbourne'!B547))),2,IF(ISNUMBER(SEARCH("CEK:",'Offshore - Melbourne'!N547)),1,0))</f>
        <v>0</v>
      </c>
    </row>
    <row r="362" customFormat="false" ht="15" hidden="false" customHeight="false" outlineLevel="0" collapsed="false">
      <c r="A362" s="61" t="s">
        <v>3888</v>
      </c>
      <c r="B362" s="62"/>
      <c r="C362" s="62"/>
      <c r="D362" s="62"/>
      <c r="E362" s="62"/>
      <c r="F362" s="62"/>
      <c r="G362" s="62"/>
      <c r="H362" s="62"/>
      <c r="I362" s="62"/>
    </row>
    <row r="363" customFormat="false" ht="15" hidden="false" customHeight="false" outlineLevel="0" collapsed="false">
      <c r="A363" s="63" t="s">
        <v>3544</v>
      </c>
      <c r="B363" s="64" t="s">
        <v>3833</v>
      </c>
      <c r="C363" s="63" t="s">
        <v>3707</v>
      </c>
      <c r="D363" s="64" t="str">
        <f aca="false">TRIM(LEFT('Offshore - Melbourne'!A29,FIND(CHAR(10),'Offshore - Melbourne'!A29&amp;CHAR(10))-1))</f>
        <v>AIBI Higher Education</v>
      </c>
      <c r="E363" s="63" t="str">
        <f aca="false">'Offshore - Melbourne'!C40&amp;""</f>
        <v>8 months</v>
      </c>
      <c r="F363" s="63" t="str">
        <f aca="false">IF('Offshore - Melbourne'!D40="","Belum tercatat",'Offshore - Melbourne'!D40)</f>
        <v>Term</v>
      </c>
      <c r="G363" s="65" t="n">
        <f aca="false">IF('Offshore - Melbourne'!E40="","-",'Offshore - Melbourne'!E40)</f>
        <v>2700</v>
      </c>
      <c r="H363" s="63" t="n">
        <f aca="false">IF(ISNUMBER(K363),COUNTIFS($J$6:$J$1854,J363,$K$6:$K$1854,"&lt;"&amp;K363)+1,"-")</f>
        <v>1</v>
      </c>
      <c r="I363" s="64" t="str">
        <f aca="false">IF('Offshore - Melbourne'!E40="","Harga belum tersedia - hubungi konsultan TEG",IF(M363=2,"Saat ini tidak menerima pendaftaran siswa internasional baru",IF(M363=1,"Harga perlu dikonfirmasi ke sekolah"&amp;IF(""="","","; "&amp;""),"")))</f>
        <v>Harga perlu dikonfirmasi ke sekolah</v>
      </c>
      <c r="J363" s="0" t="s">
        <v>3889</v>
      </c>
      <c r="K363" s="0" t="n">
        <f aca="false">IF(M363=2,"",IF(ISNUMBER(SEARCH("rata-rata:",'Offshore - Melbourne'!N40)),VALUE(MID('Offshore - Melbourne'!N40,SEARCH("rata-rata:",'Offshore - Melbourne'!N40)+11,FIND(";",'Offshore - Melbourne'!N40&amp;";",SEARCH("rata-rata:",'Offshore - Melbourne'!N40))-SEARCH("rata-rata:",'Offshore - Melbourne'!N40)-11)),IF('Offshore - Melbourne'!D40="Semester",'Offshore - Melbourne'!E40*2,IF('Offshore - Melbourne'!D40="Trimester",'Offshore - Melbourne'!E40*3,IF('Offshore - Melbourne'!D40="Term",'Offshore - Melbourne'!E40*4,IF('Offshore - Melbourne'!D40="Unit",'Offshore - Melbourne'!E40*8,""))))))</f>
        <v>10800</v>
      </c>
      <c r="L363" s="0" t="n">
        <f aca="false">IF(AND(ISNUMBER('Offshore - Melbourne'!E40),ISNUMBER(K363),ISNUMBER('Offshore - Melbourne'!F40),ISNUMBER('Offshore - Melbourne'!G40),OR('Offshore - Melbourne'!F40&lt;&gt;0,ISNUMBER(SEARCH("Material 0 terverifikasi",'Offshore - Melbourne'!N40))),OR('Offshore - Melbourne'!G40&lt;&gt;0,ISNUMBER(SEARCH("Enrolment 0 terverifikasi",'Offshore - Melbourne'!N40)))),1,0)</f>
        <v>0</v>
      </c>
      <c r="M363" s="0" t="n">
        <f aca="false">IF(OR('Offshore - Melbourne'!E40="",ISNUMBER(SEARCH("BSB80120",'Offshore - Melbourne'!B40&amp;'Offshore - Melbourne'!N40)),ISNUMBER(SEARCH("Management (Learning)",'Offshore - Melbourne'!B40))),2,IF(ISNUMBER(SEARCH("CEK:",'Offshore - Melbourne'!N40)),1,0))</f>
        <v>1</v>
      </c>
    </row>
    <row r="364" customFormat="false" ht="28.35" hidden="false" customHeight="false" outlineLevel="0" collapsed="false">
      <c r="A364" s="63" t="s">
        <v>3544</v>
      </c>
      <c r="B364" s="64" t="s">
        <v>3833</v>
      </c>
      <c r="C364" s="63" t="s">
        <v>3707</v>
      </c>
      <c r="D364" s="64" t="str">
        <f aca="false">TRIM(LEFT('Offshore - Melbourne'!A200,FIND(CHAR(10),'Offshore - Melbourne'!A200&amp;CHAR(10))-1))</f>
        <v>Australian Institute of Advanced Technologies (AIAT)</v>
      </c>
      <c r="E364" s="63" t="str">
        <f aca="false">'Offshore - Melbourne'!C201&amp;""</f>
        <v>0,5 year</v>
      </c>
      <c r="F364" s="63" t="str">
        <f aca="false">IF('Offshore - Melbourne'!D201="","Belum tercatat",'Offshore - Melbourne'!D201)</f>
        <v>Term</v>
      </c>
      <c r="G364" s="65" t="n">
        <f aca="false">IF('Offshore - Melbourne'!E201="","-",'Offshore - Melbourne'!E201)</f>
        <v>3500</v>
      </c>
      <c r="H364" s="63" t="n">
        <f aca="false">IF(ISNUMBER(K364),COUNTIFS($J$6:$J$1854,J364,$K$6:$K$1854,"&lt;"&amp;K364)+1,"-")</f>
        <v>2</v>
      </c>
      <c r="I364" s="64" t="str">
        <f aca="false">IF('Offshore - Melbourne'!E201="","Harga belum tersedia - hubungi konsultan TEG",IF(M364=2,"Saat ini tidak menerima pendaftaran siswa internasional baru",IF(M364=1,"Harga perlu dikonfirmasi ke sekolah"&amp;IF(""="","","; "&amp;""),"")))</f>
        <v>Harga perlu dikonfirmasi ke sekolah</v>
      </c>
      <c r="J364" s="0" t="s">
        <v>3889</v>
      </c>
      <c r="K364" s="0" t="n">
        <f aca="false">IF(M364=2,"",IF(ISNUMBER(SEARCH("rata-rata:",'Offshore - Melbourne'!N201)),VALUE(MID('Offshore - Melbourne'!N201,SEARCH("rata-rata:",'Offshore - Melbourne'!N201)+11,FIND(";",'Offshore - Melbourne'!N201&amp;";",SEARCH("rata-rata:",'Offshore - Melbourne'!N201))-SEARCH("rata-rata:",'Offshore - Melbourne'!N201)-11)),IF('Offshore - Melbourne'!D201="Semester",'Offshore - Melbourne'!E201*2,IF('Offshore - Melbourne'!D201="Trimester",'Offshore - Melbourne'!E201*3,IF('Offshore - Melbourne'!D201="Term",'Offshore - Melbourne'!E201*4,IF('Offshore - Melbourne'!D201="Unit",'Offshore - Melbourne'!E201*8,""))))))</f>
        <v>14000</v>
      </c>
      <c r="L364" s="0" t="n">
        <f aca="false">IF(AND(ISNUMBER('Offshore - Melbourne'!E201),ISNUMBER(K364),ISNUMBER('Offshore - Melbourne'!F201),ISNUMBER('Offshore - Melbourne'!G201),OR('Offshore - Melbourne'!F201&lt;&gt;0,ISNUMBER(SEARCH("Material 0 terverifikasi",'Offshore - Melbourne'!N201))),OR('Offshore - Melbourne'!G201&lt;&gt;0,ISNUMBER(SEARCH("Enrolment 0 terverifikasi",'Offshore - Melbourne'!N201)))),1,0)</f>
        <v>0</v>
      </c>
      <c r="M364" s="0" t="n">
        <f aca="false">IF(OR('Offshore - Melbourne'!E201="",ISNUMBER(SEARCH("BSB80120",'Offshore - Melbourne'!B201&amp;'Offshore - Melbourne'!N201)),ISNUMBER(SEARCH("Management (Learning)",'Offshore - Melbourne'!B201))),2,IF(ISNUMBER(SEARCH("CEK:",'Offshore - Melbourne'!N201)),1,0))</f>
        <v>1</v>
      </c>
    </row>
    <row r="365" customFormat="false" ht="15" hidden="false" customHeight="false" outlineLevel="0" collapsed="false">
      <c r="A365" s="63" t="s">
        <v>3544</v>
      </c>
      <c r="B365" s="64" t="s">
        <v>3833</v>
      </c>
      <c r="C365" s="63" t="s">
        <v>3707</v>
      </c>
      <c r="D365" s="64" t="str">
        <f aca="false">TRIM(LEFT('Offshore - Melbourne'!A426,FIND(CHAR(10),'Offshore - Melbourne'!A426&amp;CHAR(10))-1))</f>
        <v>The Institute of International Studies (TIIS)</v>
      </c>
      <c r="E365" s="63" t="str">
        <f aca="false">'Offshore - Melbourne'!C427&amp;""</f>
        <v>0,5 years</v>
      </c>
      <c r="F365" s="63" t="str">
        <f aca="false">IF('Offshore - Melbourne'!D427="","Belum tercatat",'Offshore - Melbourne'!D427)</f>
        <v>Term</v>
      </c>
      <c r="G365" s="65" t="n">
        <f aca="false">IF('Offshore - Melbourne'!E427="","-",'Offshore - Melbourne'!E427)</f>
        <v>4500</v>
      </c>
      <c r="H365" s="63" t="n">
        <f aca="false">IF(ISNUMBER(K365),COUNTIFS($J$6:$J$1854,J365,$K$6:$K$1854,"&lt;"&amp;K365)+1,"-")</f>
        <v>3</v>
      </c>
      <c r="I365" s="64" t="str">
        <f aca="false">IF('Offshore - Melbourne'!E427="","Harga belum tersedia - hubungi konsultan TEG",IF(M365=2,"Saat ini tidak menerima pendaftaran siswa internasional baru",IF(M365=1,"Harga perlu dikonfirmasi ke sekolah"&amp;IF(""="","","; "&amp;""),"")))</f>
        <v/>
      </c>
      <c r="J365" s="0" t="s">
        <v>3889</v>
      </c>
      <c r="K365" s="0" t="n">
        <f aca="false">IF(M365=2,"",IF(ISNUMBER(SEARCH("rata-rata:",'Offshore - Melbourne'!N427)),VALUE(MID('Offshore - Melbourne'!N427,SEARCH("rata-rata:",'Offshore - Melbourne'!N427)+11,FIND(";",'Offshore - Melbourne'!N427&amp;";",SEARCH("rata-rata:",'Offshore - Melbourne'!N427))-SEARCH("rata-rata:",'Offshore - Melbourne'!N427)-11)),IF('Offshore - Melbourne'!D427="Semester",'Offshore - Melbourne'!E427*2,IF('Offshore - Melbourne'!D427="Trimester",'Offshore - Melbourne'!E427*3,IF('Offshore - Melbourne'!D427="Term",'Offshore - Melbourne'!E427*4,IF('Offshore - Melbourne'!D427="Unit",'Offshore - Melbourne'!E427*8,""))))))</f>
        <v>18000</v>
      </c>
      <c r="L365" s="0" t="n">
        <f aca="false">IF(AND(ISNUMBER('Offshore - Melbourne'!E427),ISNUMBER(K365),ISNUMBER('Offshore - Melbourne'!F427),ISNUMBER('Offshore - Melbourne'!G427),OR('Offshore - Melbourne'!F427&lt;&gt;0,ISNUMBER(SEARCH("Material 0 terverifikasi",'Offshore - Melbourne'!N427))),OR('Offshore - Melbourne'!G427&lt;&gt;0,ISNUMBER(SEARCH("Enrolment 0 terverifikasi",'Offshore - Melbourne'!N427)))),1,0)</f>
        <v>0</v>
      </c>
      <c r="M365" s="0" t="n">
        <f aca="false">IF(OR('Offshore - Melbourne'!E427="",ISNUMBER(SEARCH("BSB80120",'Offshore - Melbourne'!B427&amp;'Offshore - Melbourne'!N427)),ISNUMBER(SEARCH("Management (Learning)",'Offshore - Melbourne'!B427))),2,IF(ISNUMBER(SEARCH("CEK:",'Offshore - Melbourne'!N427)),1,0))</f>
        <v>0</v>
      </c>
    </row>
    <row r="366" customFormat="false" ht="15" hidden="false" customHeight="false" outlineLevel="0" collapsed="false">
      <c r="A366" s="63" t="s">
        <v>3544</v>
      </c>
      <c r="B366" s="64" t="s">
        <v>3833</v>
      </c>
      <c r="C366" s="63" t="s">
        <v>3707</v>
      </c>
      <c r="D366" s="64" t="str">
        <f aca="false">TRIM(LEFT('Offshore - Melbourne'!A443,FIND(CHAR(10),'Offshore - Melbourne'!A443&amp;CHAR(10))-1))</f>
        <v>Torrens University Australia</v>
      </c>
      <c r="E366" s="63" t="str">
        <f aca="false">'Offshore - Melbourne'!C456&amp;""</f>
        <v>0,5 year</v>
      </c>
      <c r="F366" s="63" t="str">
        <f aca="false">IF('Offshore - Melbourne'!D456="","Belum tercatat",'Offshore - Melbourne'!D456)</f>
        <v>Term</v>
      </c>
      <c r="G366" s="65" t="n">
        <f aca="false">IF('Offshore - Melbourne'!E456="","-",'Offshore - Melbourne'!E456)</f>
        <v>4500</v>
      </c>
      <c r="H366" s="63" t="n">
        <f aca="false">IF(ISNUMBER(K366),COUNTIFS($J$6:$J$1854,J366,$K$6:$K$1854,"&lt;"&amp;K366)+1,"-")</f>
        <v>3</v>
      </c>
      <c r="I366" s="64" t="str">
        <f aca="false">IF('Offshore - Melbourne'!E456="","Harga belum tersedia - hubungi konsultan TEG",IF(M366=2,"Saat ini tidak menerima pendaftaran siswa internasional baru",IF(M366=1,"Harga perlu dikonfirmasi ke sekolah"&amp;IF(""="","","; "&amp;""),"")))</f>
        <v/>
      </c>
      <c r="J366" s="0" t="s">
        <v>3889</v>
      </c>
      <c r="K366" s="0" t="n">
        <f aca="false">IF(M366=2,"",IF(ISNUMBER(SEARCH("rata-rata:",'Offshore - Melbourne'!N456)),VALUE(MID('Offshore - Melbourne'!N456,SEARCH("rata-rata:",'Offshore - Melbourne'!N456)+11,FIND(";",'Offshore - Melbourne'!N456&amp;";",SEARCH("rata-rata:",'Offshore - Melbourne'!N456))-SEARCH("rata-rata:",'Offshore - Melbourne'!N456)-11)),IF('Offshore - Melbourne'!D456="Semester",'Offshore - Melbourne'!E456*2,IF('Offshore - Melbourne'!D456="Trimester",'Offshore - Melbourne'!E456*3,IF('Offshore - Melbourne'!D456="Term",'Offshore - Melbourne'!E456*4,IF('Offshore - Melbourne'!D456="Unit",'Offshore - Melbourne'!E456*8,""))))))</f>
        <v>18000</v>
      </c>
      <c r="L366" s="0" t="n">
        <f aca="false">IF(AND(ISNUMBER('Offshore - Melbourne'!E456),ISNUMBER(K366),ISNUMBER('Offshore - Melbourne'!F456),ISNUMBER('Offshore - Melbourne'!G456),OR('Offshore - Melbourne'!F456&lt;&gt;0,ISNUMBER(SEARCH("Material 0 terverifikasi",'Offshore - Melbourne'!N456))),OR('Offshore - Melbourne'!G456&lt;&gt;0,ISNUMBER(SEARCH("Enrolment 0 terverifikasi",'Offshore - Melbourne'!N456)))),1,0)</f>
        <v>0</v>
      </c>
      <c r="M366" s="0" t="n">
        <f aca="false">IF(OR('Offshore - Melbourne'!E456="",ISNUMBER(SEARCH("BSB80120",'Offshore - Melbourne'!B456&amp;'Offshore - Melbourne'!N456)),ISNUMBER(SEARCH("Management (Learning)",'Offshore - Melbourne'!B456))),2,IF(ISNUMBER(SEARCH("CEK:",'Offshore - Melbourne'!N456)),1,0))</f>
        <v>0</v>
      </c>
    </row>
    <row r="367" customFormat="false" ht="15" hidden="false" customHeight="false" outlineLevel="0" collapsed="false">
      <c r="A367" s="63" t="s">
        <v>3544</v>
      </c>
      <c r="B367" s="64" t="s">
        <v>3833</v>
      </c>
      <c r="C367" s="63" t="s">
        <v>3707</v>
      </c>
      <c r="D367" s="64" t="str">
        <f aca="false">TRIM(LEFT('Offshore - Melbourne'!A95,FIND(CHAR(10),'Offshore - Melbourne'!A95&amp;CHAR(10))-1))</f>
        <v>Australian Catholic University (ACU)</v>
      </c>
      <c r="E367" s="63" t="str">
        <f aca="false">'Offshore - Melbourne'!C120&amp;""</f>
        <v>0,5 year</v>
      </c>
      <c r="F367" s="63" t="str">
        <f aca="false">IF('Offshore - Melbourne'!D120="","Belum tercatat",'Offshore - Melbourne'!D120)</f>
        <v>Term</v>
      </c>
      <c r="G367" s="65" t="n">
        <f aca="false">IF('Offshore - Melbourne'!E120="","-",'Offshore - Melbourne'!E120)</f>
        <v>4614</v>
      </c>
      <c r="H367" s="63" t="n">
        <f aca="false">IF(ISNUMBER(K367),COUNTIFS($J$6:$J$1854,J367,$K$6:$K$1854,"&lt;"&amp;K367)+1,"-")</f>
        <v>5</v>
      </c>
      <c r="I367" s="64" t="str">
        <f aca="false">IF('Offshore - Melbourne'!E120="","Harga belum tersedia - hubungi konsultan TEG",IF(M367=2,"Saat ini tidak menerima pendaftaran siswa internasional baru",IF(M367=1,"Harga perlu dikonfirmasi ke sekolah"&amp;IF(""="","","; "&amp;""),"")))</f>
        <v>Harga perlu dikonfirmasi ke sekolah</v>
      </c>
      <c r="J367" s="0" t="s">
        <v>3889</v>
      </c>
      <c r="K367" s="0" t="n">
        <f aca="false">IF(M367=2,"",IF(ISNUMBER(SEARCH("rata-rata:",'Offshore - Melbourne'!N120)),VALUE(MID('Offshore - Melbourne'!N120,SEARCH("rata-rata:",'Offshore - Melbourne'!N120)+11,FIND(";",'Offshore - Melbourne'!N120&amp;";",SEARCH("rata-rata:",'Offshore - Melbourne'!N120))-SEARCH("rata-rata:",'Offshore - Melbourne'!N120)-11)),IF('Offshore - Melbourne'!D120="Semester",'Offshore - Melbourne'!E120*2,IF('Offshore - Melbourne'!D120="Trimester",'Offshore - Melbourne'!E120*3,IF('Offshore - Melbourne'!D120="Term",'Offshore - Melbourne'!E120*4,IF('Offshore - Melbourne'!D120="Unit",'Offshore - Melbourne'!E120*8,""))))))</f>
        <v>18456</v>
      </c>
      <c r="L367" s="0" t="n">
        <f aca="false">IF(AND(ISNUMBER('Offshore - Melbourne'!E120),ISNUMBER(K367),ISNUMBER('Offshore - Melbourne'!F120),ISNUMBER('Offshore - Melbourne'!G120),OR('Offshore - Melbourne'!F120&lt;&gt;0,ISNUMBER(SEARCH("Material 0 terverifikasi",'Offshore - Melbourne'!N120))),OR('Offshore - Melbourne'!G120&lt;&gt;0,ISNUMBER(SEARCH("Enrolment 0 terverifikasi",'Offshore - Melbourne'!N120)))),1,0)</f>
        <v>0</v>
      </c>
      <c r="M367" s="0" t="n">
        <f aca="false">IF(OR('Offshore - Melbourne'!E120="",ISNUMBER(SEARCH("BSB80120",'Offshore - Melbourne'!B120&amp;'Offshore - Melbourne'!N120)),ISNUMBER(SEARCH("Management (Learning)",'Offshore - Melbourne'!B120))),2,IF(ISNUMBER(SEARCH("CEK:",'Offshore - Melbourne'!N120)),1,0))</f>
        <v>1</v>
      </c>
    </row>
    <row r="368" customFormat="false" ht="15" hidden="false" customHeight="false" outlineLevel="0" collapsed="false">
      <c r="A368" s="63" t="s">
        <v>3544</v>
      </c>
      <c r="B368" s="64" t="s">
        <v>3833</v>
      </c>
      <c r="C368" s="63" t="s">
        <v>3707</v>
      </c>
      <c r="D368" s="64" t="str">
        <f aca="false">TRIM(LEFT('Offshore - Melbourne'!A78,FIND(CHAR(10),'Offshore - Melbourne'!A78&amp;CHAR(10))-1))</f>
        <v>Asia Pacific International College (APIC)</v>
      </c>
      <c r="E368" s="63" t="str">
        <f aca="false">'Offshore - Melbourne'!C83&amp;""</f>
        <v>0,75 year</v>
      </c>
      <c r="F368" s="63" t="str">
        <f aca="false">IF('Offshore - Melbourne'!D83="","Belum tercatat",'Offshore - Melbourne'!D83)</f>
        <v>Trimester</v>
      </c>
      <c r="G368" s="65" t="n">
        <f aca="false">IF('Offshore - Melbourne'!E83="","-",'Offshore - Melbourne'!E83)</f>
        <v>7800</v>
      </c>
      <c r="H368" s="63" t="n">
        <f aca="false">IF(ISNUMBER(K368),COUNTIFS($J$6:$J$1854,J368,$K$6:$K$1854,"&lt;"&amp;K368)+1,"-")</f>
        <v>6</v>
      </c>
      <c r="I368" s="64" t="str">
        <f aca="false">IF('Offshore - Melbourne'!E83="","Harga belum tersedia - hubungi konsultan TEG",IF(M368=2,"Saat ini tidak menerima pendaftaran siswa internasional baru",IF(M368=1,"Harga perlu dikonfirmasi ke sekolah"&amp;IF(""="","","; "&amp;""),"")))</f>
        <v>Harga perlu dikonfirmasi ke sekolah</v>
      </c>
      <c r="J368" s="0" t="s">
        <v>3889</v>
      </c>
      <c r="K368" s="0" t="n">
        <f aca="false">IF(M368=2,"",IF(ISNUMBER(SEARCH("rata-rata:",'Offshore - Melbourne'!N83)),VALUE(MID('Offshore - Melbourne'!N83,SEARCH("rata-rata:",'Offshore - Melbourne'!N83)+11,FIND(";",'Offshore - Melbourne'!N83&amp;";",SEARCH("rata-rata:",'Offshore - Melbourne'!N83))-SEARCH("rata-rata:",'Offshore - Melbourne'!N83)-11)),IF('Offshore - Melbourne'!D83="Semester",'Offshore - Melbourne'!E83*2,IF('Offshore - Melbourne'!D83="Trimester",'Offshore - Melbourne'!E83*3,IF('Offshore - Melbourne'!D83="Term",'Offshore - Melbourne'!E83*4,IF('Offshore - Melbourne'!D83="Unit",'Offshore - Melbourne'!E83*8,""))))))</f>
        <v>23400</v>
      </c>
      <c r="L368" s="0" t="n">
        <f aca="false">IF(AND(ISNUMBER('Offshore - Melbourne'!E83),ISNUMBER(K368),ISNUMBER('Offshore - Melbourne'!F83),ISNUMBER('Offshore - Melbourne'!G83),OR('Offshore - Melbourne'!F83&lt;&gt;0,ISNUMBER(SEARCH("Material 0 terverifikasi",'Offshore - Melbourne'!N83))),OR('Offshore - Melbourne'!G83&lt;&gt;0,ISNUMBER(SEARCH("Enrolment 0 terverifikasi",'Offshore - Melbourne'!N83)))),1,0)</f>
        <v>0</v>
      </c>
      <c r="M368" s="0" t="n">
        <f aca="false">IF(OR('Offshore - Melbourne'!E83="",ISNUMBER(SEARCH("BSB80120",'Offshore - Melbourne'!B83&amp;'Offshore - Melbourne'!N83)),ISNUMBER(SEARCH("Management (Learning)",'Offshore - Melbourne'!B83))),2,IF(ISNUMBER(SEARCH("CEK:",'Offshore - Melbourne'!N83)),1,0))</f>
        <v>1</v>
      </c>
    </row>
    <row r="369" customFormat="false" ht="15" hidden="false" customHeight="false" outlineLevel="0" collapsed="false">
      <c r="A369" s="63" t="s">
        <v>3544</v>
      </c>
      <c r="B369" s="64" t="s">
        <v>3833</v>
      </c>
      <c r="C369" s="63" t="s">
        <v>3707</v>
      </c>
      <c r="D369" s="64" t="str">
        <f aca="false">TRIM(LEFT('Offshore - Melbourne'!A290,FIND(CHAR(10),'Offshore - Melbourne'!A290&amp;CHAR(10))-1))</f>
        <v>Kaplan Business School</v>
      </c>
      <c r="E369" s="63" t="str">
        <f aca="false">'Offshore - Melbourne'!C292&amp;""</f>
        <v>0,5 year</v>
      </c>
      <c r="F369" s="63" t="str">
        <f aca="false">IF('Offshore - Melbourne'!D292="","Belum tercatat",'Offshore - Melbourne'!D292)</f>
        <v>Trimester</v>
      </c>
      <c r="G369" s="65" t="n">
        <f aca="false">IF('Offshore - Melbourne'!E292="","-",'Offshore - Melbourne'!E292)</f>
        <v>19640</v>
      </c>
      <c r="H369" s="63" t="n">
        <f aca="false">IF(ISNUMBER(K369),COUNTIFS($J$6:$J$1854,J369,$K$6:$K$1854,"&lt;"&amp;K369)+1,"-")</f>
        <v>7</v>
      </c>
      <c r="I369" s="64" t="str">
        <f aca="false">IF('Offshore - Melbourne'!E292="","Harga belum tersedia - hubungi konsultan TEG",IF(M369=2,"Saat ini tidak menerima pendaftaran siswa internasional baru",IF(M369=1,"Harga perlu dikonfirmasi ke sekolah"&amp;IF(""="","","; "&amp;""),"")))</f>
        <v>Harga perlu dikonfirmasi ke sekolah</v>
      </c>
      <c r="J369" s="0" t="s">
        <v>3889</v>
      </c>
      <c r="K369" s="0" t="n">
        <f aca="false">IF(M369=2,"",IF(ISNUMBER(SEARCH("rata-rata:",'Offshore - Melbourne'!N292)),VALUE(MID('Offshore - Melbourne'!N292,SEARCH("rata-rata:",'Offshore - Melbourne'!N292)+11,FIND(";",'Offshore - Melbourne'!N292&amp;";",SEARCH("rata-rata:",'Offshore - Melbourne'!N292))-SEARCH("rata-rata:",'Offshore - Melbourne'!N292)-11)),IF('Offshore - Melbourne'!D292="Semester",'Offshore - Melbourne'!E292*2,IF('Offshore - Melbourne'!D292="Trimester",'Offshore - Melbourne'!E292*3,IF('Offshore - Melbourne'!D292="Term",'Offshore - Melbourne'!E292*4,IF('Offshore - Melbourne'!D292="Unit",'Offshore - Melbourne'!E292*8,""))))))</f>
        <v>58920</v>
      </c>
      <c r="L369" s="0" t="n">
        <f aca="false">IF(AND(ISNUMBER('Offshore - Melbourne'!E292),ISNUMBER(K369),ISNUMBER('Offshore - Melbourne'!F292),ISNUMBER('Offshore - Melbourne'!G292),OR('Offshore - Melbourne'!F292&lt;&gt;0,ISNUMBER(SEARCH("Material 0 terverifikasi",'Offshore - Melbourne'!N292))),OR('Offshore - Melbourne'!G292&lt;&gt;0,ISNUMBER(SEARCH("Enrolment 0 terverifikasi",'Offshore - Melbourne'!N292)))),1,0)</f>
        <v>1</v>
      </c>
      <c r="M369" s="0" t="n">
        <f aca="false">IF(OR('Offshore - Melbourne'!E292="",ISNUMBER(SEARCH("BSB80120",'Offshore - Melbourne'!B292&amp;'Offshore - Melbourne'!N292)),ISNUMBER(SEARCH("Management (Learning)",'Offshore - Melbourne'!B292))),2,IF(ISNUMBER(SEARCH("CEK:",'Offshore - Melbourne'!N292)),1,0))</f>
        <v>1</v>
      </c>
    </row>
    <row r="370" customFormat="false" ht="28.35" hidden="false" customHeight="false" outlineLevel="0" collapsed="false">
      <c r="A370" s="63" t="s">
        <v>3544</v>
      </c>
      <c r="B370" s="64" t="s">
        <v>3833</v>
      </c>
      <c r="C370" s="63" t="s">
        <v>3707</v>
      </c>
      <c r="D370" s="64" t="str">
        <f aca="false">TRIM(LEFT('Offshore - Melbourne'!A206,FIND(CHAR(10),'Offshore - Melbourne'!A206&amp;CHAR(10))-1))</f>
        <v>Australian Sovereign College (AuSC)</v>
      </c>
      <c r="E370" s="63" t="str">
        <f aca="false">'Offshore - Melbourne'!C224&amp;""</f>
        <v>3 years</v>
      </c>
      <c r="F370" s="63" t="str">
        <f aca="false">IF('Offshore - Melbourne'!D224="","Belum tercatat",'Offshore - Melbourne'!D224)</f>
        <v>Term</v>
      </c>
      <c r="G370" s="65" t="n">
        <f aca="false">IF('Offshore - Melbourne'!E224="","-",'Offshore - Melbourne'!E224)</f>
        <v>2600</v>
      </c>
      <c r="H370" s="63" t="str">
        <f aca="false">IF(ISNUMBER(K370),COUNTIFS($J$6:$J$1854,J370,$K$6:$K$1854,"&lt;"&amp;K370)+1,"-")</f>
        <v>-</v>
      </c>
      <c r="I370" s="64" t="str">
        <f aca="false">IF('Offshore - Melbourne'!E224="","Harga belum tersedia - hubungi konsultan TEG",IF(M370=2,"Saat ini tidak menerima pendaftaran siswa internasional baru",IF(M370=1,"Harga perlu dikonfirmasi ke sekolah"&amp;IF(""="","","; "&amp;""),"")))</f>
        <v>Saat ini tidak menerima pendaftaran siswa internasional baru</v>
      </c>
      <c r="J370" s="0" t="s">
        <v>3889</v>
      </c>
      <c r="K370" s="0" t="str">
        <f aca="false">IF(M370=2,"",IF(ISNUMBER(SEARCH("rata-rata:",'Offshore - Melbourne'!N224)),VALUE(MID('Offshore - Melbourne'!N224,SEARCH("rata-rata:",'Offshore - Melbourne'!N224)+11,FIND(";",'Offshore - Melbourne'!N224&amp;";",SEARCH("rata-rata:",'Offshore - Melbourne'!N224))-SEARCH("rata-rata:",'Offshore - Melbourne'!N224)-11)),IF('Offshore - Melbourne'!D224="Semester",'Offshore - Melbourne'!E224*2,IF('Offshore - Melbourne'!D224="Trimester",'Offshore - Melbourne'!E224*3,IF('Offshore - Melbourne'!D224="Term",'Offshore - Melbourne'!E224*4,IF('Offshore - Melbourne'!D224="Unit",'Offshore - Melbourne'!E224*8,""))))))</f>
        <v/>
      </c>
      <c r="L370" s="0" t="n">
        <f aca="false">IF(AND(ISNUMBER('Offshore - Melbourne'!E224),ISNUMBER(K370),ISNUMBER('Offshore - Melbourne'!F224),ISNUMBER('Offshore - Melbourne'!G224),OR('Offshore - Melbourne'!F224&lt;&gt;0,ISNUMBER(SEARCH("Material 0 terverifikasi",'Offshore - Melbourne'!N224))),OR('Offshore - Melbourne'!G224&lt;&gt;0,ISNUMBER(SEARCH("Enrolment 0 terverifikasi",'Offshore - Melbourne'!N224)))),1,0)</f>
        <v>0</v>
      </c>
      <c r="M370" s="0" t="n">
        <f aca="false">IF(OR('Offshore - Melbourne'!E224="",ISNUMBER(SEARCH("BSB80120",'Offshore - Melbourne'!B224&amp;'Offshore - Melbourne'!N224)),ISNUMBER(SEARCH("Management (Learning)",'Offshore - Melbourne'!B224))),2,IF(ISNUMBER(SEARCH("CEK:",'Offshore - Melbourne'!N224)),1,0))</f>
        <v>2</v>
      </c>
    </row>
    <row r="371" customFormat="false" ht="28.35" hidden="false" customHeight="false" outlineLevel="0" collapsed="false">
      <c r="A371" s="63" t="s">
        <v>3544</v>
      </c>
      <c r="B371" s="64" t="s">
        <v>3833</v>
      </c>
      <c r="C371" s="63" t="s">
        <v>3707</v>
      </c>
      <c r="D371" s="64" t="str">
        <f aca="false">TRIM(LEFT('Offshore - Melbourne'!A360,FIND(CHAR(10),'Offshore - Melbourne'!A360&amp;CHAR(10))-1))</f>
        <v>National Training College of Australia (NTCA)</v>
      </c>
      <c r="E371" s="63" t="str">
        <f aca="false">'Offshore - Melbourne'!C365&amp;""</f>
        <v>2,5 years</v>
      </c>
      <c r="F371" s="63" t="str">
        <f aca="false">IF('Offshore - Melbourne'!D365="","Belum tercatat",'Offshore - Melbourne'!D365)</f>
        <v>Term</v>
      </c>
      <c r="G371" s="65" t="n">
        <f aca="false">IF('Offshore - Melbourne'!E365="","-",'Offshore - Melbourne'!E365)</f>
        <v>3350</v>
      </c>
      <c r="H371" s="63" t="str">
        <f aca="false">IF(ISNUMBER(K371),COUNTIFS($J$6:$J$1854,J371,$K$6:$K$1854,"&lt;"&amp;K371)+1,"-")</f>
        <v>-</v>
      </c>
      <c r="I371" s="64" t="str">
        <f aca="false">IF('Offshore - Melbourne'!E365="","Harga belum tersedia - hubungi konsultan TEG",IF(M371=2,"Saat ini tidak menerima pendaftaran siswa internasional baru",IF(M371=1,"Harga perlu dikonfirmasi ke sekolah"&amp;IF(""="","","; "&amp;""),"")))</f>
        <v>Saat ini tidak menerima pendaftaran siswa internasional baru</v>
      </c>
      <c r="J371" s="0" t="s">
        <v>3889</v>
      </c>
      <c r="K371" s="0" t="str">
        <f aca="false">IF(M371=2,"",IF(ISNUMBER(SEARCH("rata-rata:",'Offshore - Melbourne'!N365)),VALUE(MID('Offshore - Melbourne'!N365,SEARCH("rata-rata:",'Offshore - Melbourne'!N365)+11,FIND(";",'Offshore - Melbourne'!N365&amp;";",SEARCH("rata-rata:",'Offshore - Melbourne'!N365))-SEARCH("rata-rata:",'Offshore - Melbourne'!N365)-11)),IF('Offshore - Melbourne'!D365="Semester",'Offshore - Melbourne'!E365*2,IF('Offshore - Melbourne'!D365="Trimester",'Offshore - Melbourne'!E365*3,IF('Offshore - Melbourne'!D365="Term",'Offshore - Melbourne'!E365*4,IF('Offshore - Melbourne'!D365="Unit",'Offshore - Melbourne'!E365*8,""))))))</f>
        <v/>
      </c>
      <c r="L371" s="0" t="n">
        <f aca="false">IF(AND(ISNUMBER('Offshore - Melbourne'!E365),ISNUMBER(K371),ISNUMBER('Offshore - Melbourne'!F365),ISNUMBER('Offshore - Melbourne'!G365),OR('Offshore - Melbourne'!F365&lt;&gt;0,ISNUMBER(SEARCH("Material 0 terverifikasi",'Offshore - Melbourne'!N365))),OR('Offshore - Melbourne'!G365&lt;&gt;0,ISNUMBER(SEARCH("Enrolment 0 terverifikasi",'Offshore - Melbourne'!N365)))),1,0)</f>
        <v>0</v>
      </c>
      <c r="M371" s="0" t="n">
        <f aca="false">IF(OR('Offshore - Melbourne'!E365="",ISNUMBER(SEARCH("BSB80120",'Offshore - Melbourne'!B365&amp;'Offshore - Melbourne'!N365)),ISNUMBER(SEARCH("Management (Learning)",'Offshore - Melbourne'!B365))),2,IF(ISNUMBER(SEARCH("CEK:",'Offshore - Melbourne'!N365)),1,0))</f>
        <v>2</v>
      </c>
    </row>
    <row r="372" customFormat="false" ht="28.35" hidden="false" customHeight="false" outlineLevel="0" collapsed="false">
      <c r="A372" s="63" t="s">
        <v>3544</v>
      </c>
      <c r="B372" s="64" t="s">
        <v>3833</v>
      </c>
      <c r="C372" s="63" t="s">
        <v>3707</v>
      </c>
      <c r="D372" s="64" t="str">
        <f aca="false">TRIM(LEFT('Offshore - Melbourne'!A435,FIND(CHAR(10),'Offshore - Melbourne'!A435&amp;CHAR(10))-1))</f>
        <v>TKL College (Training for Knowledge and Livelihood)</v>
      </c>
      <c r="E372" s="63" t="str">
        <f aca="false">'Offshore - Melbourne'!C438&amp;""</f>
        <v>2 years</v>
      </c>
      <c r="F372" s="63" t="str">
        <f aca="false">IF('Offshore - Melbourne'!D438="","Belum tercatat",'Offshore - Melbourne'!D438)</f>
        <v>Term</v>
      </c>
      <c r="G372" s="65" t="n">
        <f aca="false">IF('Offshore - Melbourne'!E438="","-",'Offshore - Melbourne'!E438)</f>
        <v>2000</v>
      </c>
      <c r="H372" s="63" t="str">
        <f aca="false">IF(ISNUMBER(K372),COUNTIFS($J$6:$J$1854,J372,$K$6:$K$1854,"&lt;"&amp;K372)+1,"-")</f>
        <v>-</v>
      </c>
      <c r="I372" s="64" t="str">
        <f aca="false">IF('Offshore - Melbourne'!E438="","Harga belum tersedia - hubungi konsultan TEG",IF(M372=2,"Saat ini tidak menerima pendaftaran siswa internasional baru",IF(M372=1,"Harga perlu dikonfirmasi ke sekolah"&amp;IF(""="","","; "&amp;""),"")))</f>
        <v>Saat ini tidak menerima pendaftaran siswa internasional baru</v>
      </c>
      <c r="J372" s="0" t="s">
        <v>3889</v>
      </c>
      <c r="K372" s="0" t="str">
        <f aca="false">IF(M372=2,"",IF(ISNUMBER(SEARCH("rata-rata:",'Offshore - Melbourne'!N438)),VALUE(MID('Offshore - Melbourne'!N438,SEARCH("rata-rata:",'Offshore - Melbourne'!N438)+11,FIND(";",'Offshore - Melbourne'!N438&amp;";",SEARCH("rata-rata:",'Offshore - Melbourne'!N438))-SEARCH("rata-rata:",'Offshore - Melbourne'!N438)-11)),IF('Offshore - Melbourne'!D438="Semester",'Offshore - Melbourne'!E438*2,IF('Offshore - Melbourne'!D438="Trimester",'Offshore - Melbourne'!E438*3,IF('Offshore - Melbourne'!D438="Term",'Offshore - Melbourne'!E438*4,IF('Offshore - Melbourne'!D438="Unit",'Offshore - Melbourne'!E438*8,""))))))</f>
        <v/>
      </c>
      <c r="L372" s="0" t="n">
        <f aca="false">IF(AND(ISNUMBER('Offshore - Melbourne'!E438),ISNUMBER(K372),ISNUMBER('Offshore - Melbourne'!F438),ISNUMBER('Offshore - Melbourne'!G438),OR('Offshore - Melbourne'!F438&lt;&gt;0,ISNUMBER(SEARCH("Material 0 terverifikasi",'Offshore - Melbourne'!N438))),OR('Offshore - Melbourne'!G438&lt;&gt;0,ISNUMBER(SEARCH("Enrolment 0 terverifikasi",'Offshore - Melbourne'!N438)))),1,0)</f>
        <v>0</v>
      </c>
      <c r="M372" s="0" t="n">
        <f aca="false">IF(OR('Offshore - Melbourne'!E438="",ISNUMBER(SEARCH("BSB80120",'Offshore - Melbourne'!B438&amp;'Offshore - Melbourne'!N438)),ISNUMBER(SEARCH("Management (Learning)",'Offshore - Melbourne'!B438))),2,IF(ISNUMBER(SEARCH("CEK:",'Offshore - Melbourne'!N438)),1,0))</f>
        <v>2</v>
      </c>
    </row>
    <row r="373" customFormat="false" ht="15" hidden="false" customHeight="false" outlineLevel="0" collapsed="false">
      <c r="A373" s="61" t="s">
        <v>3890</v>
      </c>
      <c r="B373" s="62"/>
      <c r="C373" s="62"/>
      <c r="D373" s="62"/>
      <c r="E373" s="62"/>
      <c r="F373" s="62"/>
      <c r="G373" s="62"/>
      <c r="H373" s="62"/>
      <c r="I373" s="62"/>
    </row>
    <row r="374" customFormat="false" ht="28.35" hidden="false" customHeight="false" outlineLevel="0" collapsed="false">
      <c r="A374" s="63" t="s">
        <v>3544</v>
      </c>
      <c r="B374" s="64" t="s">
        <v>3833</v>
      </c>
      <c r="C374" s="63" t="s">
        <v>46</v>
      </c>
      <c r="D374" s="64" t="str">
        <f aca="false">TRIM(LEFT('Offshore - Melbourne'!A200,FIND(CHAR(10),'Offshore - Melbourne'!A200&amp;CHAR(10))-1))</f>
        <v>Australian Institute of Advanced Technologies (AIAT)</v>
      </c>
      <c r="E374" s="63" t="str">
        <f aca="false">'Offshore - Melbourne'!C200&amp;""</f>
        <v>2 years</v>
      </c>
      <c r="F374" s="63" t="str">
        <f aca="false">IF('Offshore - Melbourne'!D200="","Belum tercatat",'Offshore - Melbourne'!D200)</f>
        <v>Term</v>
      </c>
      <c r="G374" s="65" t="n">
        <f aca="false">IF('Offshore - Melbourne'!E200="","-",'Offshore - Melbourne'!E200)</f>
        <v>3750</v>
      </c>
      <c r="H374" s="63" t="n">
        <f aca="false">IF(ISNUMBER(K374),COUNTIFS($J$6:$J$1854,J374,$K$6:$K$1854,"&lt;"&amp;K374)+1,"-")</f>
        <v>1</v>
      </c>
      <c r="I374" s="64" t="str">
        <f aca="false">IF('Offshore - Melbourne'!E200="","Harga belum tersedia - hubungi konsultan TEG",IF(M374=2,"Saat ini tidak menerima pendaftaran siswa internasional baru",IF(M374=1,"Harga perlu dikonfirmasi ke sekolah"&amp;IF(""="","","; "&amp;""),"")))</f>
        <v/>
      </c>
      <c r="J374" s="0" t="s">
        <v>3891</v>
      </c>
      <c r="K374" s="0" t="n">
        <f aca="false">IF(M374=2,"",IF(ISNUMBER(SEARCH("rata-rata:",'Offshore - Melbourne'!N200)),VALUE(MID('Offshore - Melbourne'!N200,SEARCH("rata-rata:",'Offshore - Melbourne'!N200)+11,FIND(";",'Offshore - Melbourne'!N200&amp;";",SEARCH("rata-rata:",'Offshore - Melbourne'!N200))-SEARCH("rata-rata:",'Offshore - Melbourne'!N200)-11)),IF('Offshore - Melbourne'!D200="Semester",'Offshore - Melbourne'!E200*2,IF('Offshore - Melbourne'!D200="Trimester",'Offshore - Melbourne'!E200*3,IF('Offshore - Melbourne'!D200="Term",'Offshore - Melbourne'!E200*4,IF('Offshore - Melbourne'!D200="Unit",'Offshore - Melbourne'!E200*8,""))))))</f>
        <v>15000</v>
      </c>
      <c r="L374" s="0" t="n">
        <f aca="false">IF(AND(ISNUMBER('Offshore - Melbourne'!E200),ISNUMBER(K374),ISNUMBER('Offshore - Melbourne'!F200),ISNUMBER('Offshore - Melbourne'!G200),OR('Offshore - Melbourne'!F200&lt;&gt;0,ISNUMBER(SEARCH("Material 0 terverifikasi",'Offshore - Melbourne'!N200))),OR('Offshore - Melbourne'!G200&lt;&gt;0,ISNUMBER(SEARCH("Enrolment 0 terverifikasi",'Offshore - Melbourne'!N200)))),1,0)</f>
        <v>0</v>
      </c>
      <c r="M374" s="0" t="n">
        <f aca="false">IF(OR('Offshore - Melbourne'!E200="",ISNUMBER(SEARCH("BSB80120",'Offshore - Melbourne'!B200&amp;'Offshore - Melbourne'!N200)),ISNUMBER(SEARCH("Management (Learning)",'Offshore - Melbourne'!B200))),2,IF(ISNUMBER(SEARCH("CEK:",'Offshore - Melbourne'!N200)),1,0))</f>
        <v>0</v>
      </c>
    </row>
    <row r="375" customFormat="false" ht="15" hidden="false" customHeight="false" outlineLevel="0" collapsed="false">
      <c r="A375" s="63" t="s">
        <v>3544</v>
      </c>
      <c r="B375" s="64" t="s">
        <v>3833</v>
      </c>
      <c r="C375" s="63" t="s">
        <v>46</v>
      </c>
      <c r="D375" s="64" t="str">
        <f aca="false">TRIM(LEFT('Offshore - Melbourne'!A29,FIND(CHAR(10),'Offshore - Melbourne'!A29&amp;CHAR(10))-1))</f>
        <v>AIBI Higher Education</v>
      </c>
      <c r="E375" s="63" t="str">
        <f aca="false">'Offshore - Melbourne'!C34&amp;""</f>
        <v>2 years</v>
      </c>
      <c r="F375" s="63" t="str">
        <f aca="false">IF('Offshore - Melbourne'!D34="","Belum tercatat",'Offshore - Melbourne'!D34)</f>
        <v>Term</v>
      </c>
      <c r="G375" s="65" t="n">
        <f aca="false">IF('Offshore - Melbourne'!E34="","-",'Offshore - Melbourne'!E34)</f>
        <v>4050</v>
      </c>
      <c r="H375" s="63" t="n">
        <f aca="false">IF(ISNUMBER(K375),COUNTIFS($J$6:$J$1854,J375,$K$6:$K$1854,"&lt;"&amp;K375)+1,"-")</f>
        <v>2</v>
      </c>
      <c r="I375" s="64" t="str">
        <f aca="false">IF('Offshore - Melbourne'!E34="","Harga belum tersedia - hubungi konsultan TEG",IF(M375=2,"Saat ini tidak menerima pendaftaran siswa internasional baru",IF(M375=1,"Harga perlu dikonfirmasi ke sekolah"&amp;IF(""="","","; "&amp;""),"")))</f>
        <v>Harga perlu dikonfirmasi ke sekolah</v>
      </c>
      <c r="J375" s="0" t="s">
        <v>3891</v>
      </c>
      <c r="K375" s="0" t="n">
        <f aca="false">IF(M375=2,"",IF(ISNUMBER(SEARCH("rata-rata:",'Offshore - Melbourne'!N34)),VALUE(MID('Offshore - Melbourne'!N34,SEARCH("rata-rata:",'Offshore - Melbourne'!N34)+11,FIND(";",'Offshore - Melbourne'!N34&amp;";",SEARCH("rata-rata:",'Offshore - Melbourne'!N34))-SEARCH("rata-rata:",'Offshore - Melbourne'!N34)-11)),IF('Offshore - Melbourne'!D34="Semester",'Offshore - Melbourne'!E34*2,IF('Offshore - Melbourne'!D34="Trimester",'Offshore - Melbourne'!E34*3,IF('Offshore - Melbourne'!D34="Term",'Offshore - Melbourne'!E34*4,IF('Offshore - Melbourne'!D34="Unit",'Offshore - Melbourne'!E34*8,""))))))</f>
        <v>16200</v>
      </c>
      <c r="L375" s="0" t="n">
        <f aca="false">IF(AND(ISNUMBER('Offshore - Melbourne'!E34),ISNUMBER(K375),ISNUMBER('Offshore - Melbourne'!F34),ISNUMBER('Offshore - Melbourne'!G34),OR('Offshore - Melbourne'!F34&lt;&gt;0,ISNUMBER(SEARCH("Material 0 terverifikasi",'Offshore - Melbourne'!N34))),OR('Offshore - Melbourne'!G34&lt;&gt;0,ISNUMBER(SEARCH("Enrolment 0 terverifikasi",'Offshore - Melbourne'!N34)))),1,0)</f>
        <v>0</v>
      </c>
      <c r="M375" s="0" t="n">
        <f aca="false">IF(OR('Offshore - Melbourne'!E34="",ISNUMBER(SEARCH("BSB80120",'Offshore - Melbourne'!B34&amp;'Offshore - Melbourne'!N34)),ISNUMBER(SEARCH("Management (Learning)",'Offshore - Melbourne'!B34))),2,IF(ISNUMBER(SEARCH("CEK:",'Offshore - Melbourne'!N34)),1,0))</f>
        <v>1</v>
      </c>
    </row>
    <row r="376" customFormat="false" ht="28.35" hidden="false" customHeight="false" outlineLevel="0" collapsed="false">
      <c r="A376" s="63" t="s">
        <v>3544</v>
      </c>
      <c r="B376" s="64" t="s">
        <v>3833</v>
      </c>
      <c r="C376" s="63" t="s">
        <v>46</v>
      </c>
      <c r="D376" s="64" t="str">
        <f aca="false">TRIM(LEFT('Offshore - Melbourne'!A351,FIND(CHAR(10),'Offshore - Melbourne'!A351&amp;CHAR(10))-1))</f>
        <v>National Academy of Professional Studies (NAPS)</v>
      </c>
      <c r="E376" s="63" t="str">
        <f aca="false">'Offshore - Melbourne'!C356&amp;""</f>
        <v>2 years</v>
      </c>
      <c r="F376" s="63" t="str">
        <f aca="false">IF('Offshore - Melbourne'!D356="","Belum tercatat",'Offshore - Melbourne'!D356)</f>
        <v>Term</v>
      </c>
      <c r="G376" s="65" t="n">
        <f aca="false">IF('Offshore - Melbourne'!E356="","-",'Offshore - Melbourne'!E356)</f>
        <v>4250</v>
      </c>
      <c r="H376" s="63" t="n">
        <f aca="false">IF(ISNUMBER(K376),COUNTIFS($J$6:$J$1854,J376,$K$6:$K$1854,"&lt;"&amp;K376)+1,"-")</f>
        <v>3</v>
      </c>
      <c r="I376" s="64" t="str">
        <f aca="false">IF('Offshore - Melbourne'!E356="","Harga belum tersedia - hubungi konsultan TEG",IF(M376=2,"Saat ini tidak menerima pendaftaran siswa internasional baru",IF(M376=1,"Harga perlu dikonfirmasi ke sekolah"&amp;IF(""="","","; "&amp;""),"")))</f>
        <v>Harga perlu dikonfirmasi ke sekolah</v>
      </c>
      <c r="J376" s="0" t="s">
        <v>3891</v>
      </c>
      <c r="K376" s="0" t="n">
        <f aca="false">IF(M376=2,"",IF(ISNUMBER(SEARCH("rata-rata:",'Offshore - Melbourne'!N356)),VALUE(MID('Offshore - Melbourne'!N356,SEARCH("rata-rata:",'Offshore - Melbourne'!N356)+11,FIND(";",'Offshore - Melbourne'!N356&amp;";",SEARCH("rata-rata:",'Offshore - Melbourne'!N356))-SEARCH("rata-rata:",'Offshore - Melbourne'!N356)-11)),IF('Offshore - Melbourne'!D356="Semester",'Offshore - Melbourne'!E356*2,IF('Offshore - Melbourne'!D356="Trimester",'Offshore - Melbourne'!E356*3,IF('Offshore - Melbourne'!D356="Term",'Offshore - Melbourne'!E356*4,IF('Offshore - Melbourne'!D356="Unit",'Offshore - Melbourne'!E356*8,""))))))</f>
        <v>17000</v>
      </c>
      <c r="L376" s="0" t="n">
        <f aca="false">IF(AND(ISNUMBER('Offshore - Melbourne'!E356),ISNUMBER(K376),ISNUMBER('Offshore - Melbourne'!F356),ISNUMBER('Offshore - Melbourne'!G356),OR('Offshore - Melbourne'!F356&lt;&gt;0,ISNUMBER(SEARCH("Material 0 terverifikasi",'Offshore - Melbourne'!N356))),OR('Offshore - Melbourne'!G356&lt;&gt;0,ISNUMBER(SEARCH("Enrolment 0 terverifikasi",'Offshore - Melbourne'!N356)))),1,0)</f>
        <v>1</v>
      </c>
      <c r="M376" s="0" t="n">
        <f aca="false">IF(OR('Offshore - Melbourne'!E356="",ISNUMBER(SEARCH("BSB80120",'Offshore - Melbourne'!B356&amp;'Offshore - Melbourne'!N356)),ISNUMBER(SEARCH("Management (Learning)",'Offshore - Melbourne'!B356))),2,IF(ISNUMBER(SEARCH("CEK:",'Offshore - Melbourne'!N356)),1,0))</f>
        <v>1</v>
      </c>
    </row>
    <row r="377" customFormat="false" ht="15" hidden="false" customHeight="false" outlineLevel="0" collapsed="false">
      <c r="A377" s="63" t="s">
        <v>3544</v>
      </c>
      <c r="B377" s="64" t="s">
        <v>3833</v>
      </c>
      <c r="C377" s="63" t="s">
        <v>46</v>
      </c>
      <c r="D377" s="64" t="str">
        <f aca="false">TRIM(LEFT('Offshore - Melbourne'!A75,FIND(CHAR(10),'Offshore - Melbourne'!A75&amp;CHAR(10))-1))</f>
        <v>Analytics Institute of Australia (AIA)</v>
      </c>
      <c r="E377" s="63" t="str">
        <f aca="false">'Offshore - Melbourne'!C76&amp;""</f>
        <v>1,5 years</v>
      </c>
      <c r="F377" s="63" t="str">
        <f aca="false">IF('Offshore - Melbourne'!D76="","Belum tercatat",'Offshore - Melbourne'!D76)</f>
        <v>Term</v>
      </c>
      <c r="G377" s="65" t="n">
        <f aca="false">IF('Offshore - Melbourne'!E76="","-",'Offshore - Melbourne'!E76)</f>
        <v>4481.25</v>
      </c>
      <c r="H377" s="63" t="n">
        <f aca="false">IF(ISNUMBER(K377),COUNTIFS($J$6:$J$1854,J377,$K$6:$K$1854,"&lt;"&amp;K377)+1,"-")</f>
        <v>4</v>
      </c>
      <c r="I377" s="64" t="str">
        <f aca="false">IF('Offshore - Melbourne'!E76="","Harga belum tersedia - hubungi konsultan TEG",IF(M377=2,"Saat ini tidak menerima pendaftaran siswa internasional baru",IF(M377=1,"Harga perlu dikonfirmasi ke sekolah"&amp;IF(""="","","; "&amp;""),"")))</f>
        <v>Harga perlu dikonfirmasi ke sekolah</v>
      </c>
      <c r="J377" s="0" t="s">
        <v>3891</v>
      </c>
      <c r="K377" s="0" t="n">
        <f aca="false">IF(M377=2,"",IF(ISNUMBER(SEARCH("rata-rata:",'Offshore - Melbourne'!N76)),VALUE(MID('Offshore - Melbourne'!N76,SEARCH("rata-rata:",'Offshore - Melbourne'!N76)+11,FIND(";",'Offshore - Melbourne'!N76&amp;";",SEARCH("rata-rata:",'Offshore - Melbourne'!N76))-SEARCH("rata-rata:",'Offshore - Melbourne'!N76)-11)),IF('Offshore - Melbourne'!D76="Semester",'Offshore - Melbourne'!E76*2,IF('Offshore - Melbourne'!D76="Trimester",'Offshore - Melbourne'!E76*3,IF('Offshore - Melbourne'!D76="Term",'Offshore - Melbourne'!E76*4,IF('Offshore - Melbourne'!D76="Unit",'Offshore - Melbourne'!E76*8,""))))))</f>
        <v>17925</v>
      </c>
      <c r="L377" s="0" t="n">
        <f aca="false">IF(AND(ISNUMBER('Offshore - Melbourne'!E76),ISNUMBER(K377),ISNUMBER('Offshore - Melbourne'!F76),ISNUMBER('Offshore - Melbourne'!G76),OR('Offshore - Melbourne'!F76&lt;&gt;0,ISNUMBER(SEARCH("Material 0 terverifikasi",'Offshore - Melbourne'!N76))),OR('Offshore - Melbourne'!G76&lt;&gt;0,ISNUMBER(SEARCH("Enrolment 0 terverifikasi",'Offshore - Melbourne'!N76)))),1,0)</f>
        <v>0</v>
      </c>
      <c r="M377" s="0" t="n">
        <f aca="false">IF(OR('Offshore - Melbourne'!E76="",ISNUMBER(SEARCH("BSB80120",'Offshore - Melbourne'!B76&amp;'Offshore - Melbourne'!N76)),ISNUMBER(SEARCH("Management (Learning)",'Offshore - Melbourne'!B76))),2,IF(ISNUMBER(SEARCH("CEK:",'Offshore - Melbourne'!N76)),1,0))</f>
        <v>1</v>
      </c>
    </row>
    <row r="378" customFormat="false" ht="15" hidden="false" customHeight="false" outlineLevel="0" collapsed="false">
      <c r="A378" s="63" t="s">
        <v>3544</v>
      </c>
      <c r="B378" s="64" t="s">
        <v>3833</v>
      </c>
      <c r="C378" s="63" t="s">
        <v>46</v>
      </c>
      <c r="D378" s="64" t="str">
        <f aca="false">TRIM(LEFT('Offshore - Melbourne'!A426,FIND(CHAR(10),'Offshore - Melbourne'!A426&amp;CHAR(10))-1))</f>
        <v>The Institute of International Studies (TIIS)</v>
      </c>
      <c r="E378" s="63" t="str">
        <f aca="false">'Offshore - Melbourne'!C430&amp;""</f>
        <v>2 years</v>
      </c>
      <c r="F378" s="63" t="str">
        <f aca="false">IF('Offshore - Melbourne'!D430="","Belum tercatat",'Offshore - Melbourne'!D430)</f>
        <v>Term</v>
      </c>
      <c r="G378" s="65" t="n">
        <f aca="false">IF('Offshore - Melbourne'!E430="","-",'Offshore - Melbourne'!E430)</f>
        <v>4500</v>
      </c>
      <c r="H378" s="63" t="n">
        <f aca="false">IF(ISNUMBER(K378),COUNTIFS($J$6:$J$1854,J378,$K$6:$K$1854,"&lt;"&amp;K378)+1,"-")</f>
        <v>5</v>
      </c>
      <c r="I378" s="64" t="str">
        <f aca="false">IF('Offshore - Melbourne'!E430="","Harga belum tersedia - hubungi konsultan TEG",IF(M378=2,"Saat ini tidak menerima pendaftaran siswa internasional baru",IF(M378=1,"Harga perlu dikonfirmasi ke sekolah"&amp;IF(""="","","; "&amp;""),"")))</f>
        <v/>
      </c>
      <c r="J378" s="0" t="s">
        <v>3891</v>
      </c>
      <c r="K378" s="0" t="n">
        <f aca="false">IF(M378=2,"",IF(ISNUMBER(SEARCH("rata-rata:",'Offshore - Melbourne'!N430)),VALUE(MID('Offshore - Melbourne'!N430,SEARCH("rata-rata:",'Offshore - Melbourne'!N430)+11,FIND(";",'Offshore - Melbourne'!N430&amp;";",SEARCH("rata-rata:",'Offshore - Melbourne'!N430))-SEARCH("rata-rata:",'Offshore - Melbourne'!N430)-11)),IF('Offshore - Melbourne'!D430="Semester",'Offshore - Melbourne'!E430*2,IF('Offshore - Melbourne'!D430="Trimester",'Offshore - Melbourne'!E430*3,IF('Offshore - Melbourne'!D430="Term",'Offshore - Melbourne'!E430*4,IF('Offshore - Melbourne'!D430="Unit",'Offshore - Melbourne'!E430*8,""))))))</f>
        <v>18000</v>
      </c>
      <c r="L378" s="0" t="n">
        <f aca="false">IF(AND(ISNUMBER('Offshore - Melbourne'!E430),ISNUMBER(K378),ISNUMBER('Offshore - Melbourne'!F430),ISNUMBER('Offshore - Melbourne'!G430),OR('Offshore - Melbourne'!F430&lt;&gt;0,ISNUMBER(SEARCH("Material 0 terverifikasi",'Offshore - Melbourne'!N430))),OR('Offshore - Melbourne'!G430&lt;&gt;0,ISNUMBER(SEARCH("Enrolment 0 terverifikasi",'Offshore - Melbourne'!N430)))),1,0)</f>
        <v>0</v>
      </c>
      <c r="M378" s="0" t="n">
        <f aca="false">IF(OR('Offshore - Melbourne'!E430="",ISNUMBER(SEARCH("BSB80120",'Offshore - Melbourne'!B430&amp;'Offshore - Melbourne'!N430)),ISNUMBER(SEARCH("Management (Learning)",'Offshore - Melbourne'!B430))),2,IF(ISNUMBER(SEARCH("CEK:",'Offshore - Melbourne'!N430)),1,0))</f>
        <v>0</v>
      </c>
    </row>
    <row r="379" customFormat="false" ht="55.2" hidden="false" customHeight="false" outlineLevel="0" collapsed="false">
      <c r="A379" s="63" t="s">
        <v>3544</v>
      </c>
      <c r="B379" s="64" t="s">
        <v>3833</v>
      </c>
      <c r="C379" s="63" t="s">
        <v>46</v>
      </c>
      <c r="D379" s="64" t="str">
        <f aca="false">TRIM(LEFT('Offshore - Melbourne'!A43,FIND(CHAR(10),'Offshore - Melbourne'!A43&amp;CHAR(10))-1))</f>
        <v>AIH Higher Education (Australian Institute of Higher Education)</v>
      </c>
      <c r="E379" s="63" t="str">
        <f aca="false">'Offshore - Melbourne'!C51&amp;""</f>
        <v>2 years</v>
      </c>
      <c r="F379" s="63" t="str">
        <f aca="false">IF('Offshore - Melbourne'!D51="","Belum tercatat",'Offshore - Melbourne'!D51)</f>
        <v>Unit</v>
      </c>
      <c r="G379" s="65" t="n">
        <f aca="false">IF('Offshore - Melbourne'!E51="","-",'Offshore - Melbourne'!E51)</f>
        <v>2280</v>
      </c>
      <c r="H379" s="63" t="n">
        <f aca="false">IF(ISNUMBER(K379),COUNTIFS($J$6:$J$1854,J379,$K$6:$K$1854,"&lt;"&amp;K379)+1,"-")</f>
        <v>6</v>
      </c>
      <c r="I379" s="64" t="str">
        <f aca="false">IF('Offshore - Melbourne'!E51="","Harga belum tersedia - hubungi konsultan TEG",IF(M379=2,"Saat ini tidak menerima pendaftaran siswa internasional baru",IF(M379=1,"Harga perlu dikonfirmasi ke sekolah"&amp;IF("Harga promo s.d. 31/12/2026; Harga dihitung per unit; total tergantung jumlah unit yang diambil; Sudah termasuk beasiswa 15% (syarat berlaku)"="","","; "&amp;"Harga promo s.d. 31/12/2026; Harga dihitung per unit; total tergantung jumlah unit yang diambil; Sudah termasuk beasiswa 15% (syarat berlaku)"),"Harga promo s.d. 31/12/2026; Harga dihitung per unit; total tergantung jumlah unit yang diambil; Sudah termasuk beasiswa 15% (syarat berlaku)")))</f>
        <v>Harga promo s.d. 31/12/2026; Harga dihitung per unit; total tergantung jumlah unit yang diambil; Sudah termasuk beasiswa 15% (syarat berlaku)</v>
      </c>
      <c r="J379" s="0" t="s">
        <v>3891</v>
      </c>
      <c r="K379" s="0" t="n">
        <f aca="false">IF(M379=2,"",IF(ISNUMBER(SEARCH("rata-rata:",'Offshore - Melbourne'!N51)),VALUE(MID('Offshore - Melbourne'!N51,SEARCH("rata-rata:",'Offshore - Melbourne'!N51)+11,FIND(";",'Offshore - Melbourne'!N51&amp;";",SEARCH("rata-rata:",'Offshore - Melbourne'!N51))-SEARCH("rata-rata:",'Offshore - Melbourne'!N51)-11)),IF('Offshore - Melbourne'!D51="Semester",'Offshore - Melbourne'!E51*2,IF('Offshore - Melbourne'!D51="Trimester",'Offshore - Melbourne'!E51*3,IF('Offshore - Melbourne'!D51="Term",'Offshore - Melbourne'!E51*4,IF('Offshore - Melbourne'!D51="Unit",'Offshore - Melbourne'!E51*8,""))))))</f>
        <v>18240</v>
      </c>
      <c r="L379" s="0" t="n">
        <f aca="false">IF(AND(ISNUMBER('Offshore - Melbourne'!E51),ISNUMBER(K379),ISNUMBER('Offshore - Melbourne'!F51),ISNUMBER('Offshore - Melbourne'!G51),OR('Offshore - Melbourne'!F51&lt;&gt;0,ISNUMBER(SEARCH("Material 0 terverifikasi",'Offshore - Melbourne'!N51))),OR('Offshore - Melbourne'!G51&lt;&gt;0,ISNUMBER(SEARCH("Enrolment 0 terverifikasi",'Offshore - Melbourne'!N51)))),1,0)</f>
        <v>1</v>
      </c>
      <c r="M379" s="0" t="n">
        <f aca="false">IF(OR('Offshore - Melbourne'!E51="",ISNUMBER(SEARCH("BSB80120",'Offshore - Melbourne'!B51&amp;'Offshore - Melbourne'!N51)),ISNUMBER(SEARCH("Management (Learning)",'Offshore - Melbourne'!B51))),2,IF(ISNUMBER(SEARCH("CEK:",'Offshore - Melbourne'!N51)),1,0))</f>
        <v>0</v>
      </c>
    </row>
    <row r="380" customFormat="false" ht="15" hidden="false" customHeight="false" outlineLevel="0" collapsed="false">
      <c r="A380" s="63" t="s">
        <v>3544</v>
      </c>
      <c r="B380" s="64" t="s">
        <v>3833</v>
      </c>
      <c r="C380" s="63" t="s">
        <v>46</v>
      </c>
      <c r="D380" s="64" t="str">
        <f aca="false">TRIM(LEFT('Offshore - Melbourne'!A374,FIND(CHAR(10),'Offshore - Melbourne'!A374&amp;CHAR(10))-1))</f>
        <v>Ozford Institute of Higher Education</v>
      </c>
      <c r="E380" s="63" t="str">
        <f aca="false">'Offshore - Melbourne'!C376&amp;""</f>
        <v>2 years</v>
      </c>
      <c r="F380" s="63" t="str">
        <f aca="false">IF('Offshore - Melbourne'!D376="","Belum tercatat",'Offshore - Melbourne'!D376)</f>
        <v>Term</v>
      </c>
      <c r="G380" s="65" t="n">
        <f aca="false">IF('Offshore - Melbourne'!E376="","-",'Offshore - Melbourne'!E376)</f>
        <v>4650</v>
      </c>
      <c r="H380" s="63" t="n">
        <f aca="false">IF(ISNUMBER(K380),COUNTIFS($J$6:$J$1854,J380,$K$6:$K$1854,"&lt;"&amp;K380)+1,"-")</f>
        <v>7</v>
      </c>
      <c r="I380" s="64" t="str">
        <f aca="false">IF('Offshore - Melbourne'!E376="","Harga belum tersedia - hubungi konsultan TEG",IF(M380=2,"Saat ini tidak menerima pendaftaran siswa internasional baru",IF(M380=1,"Harga perlu dikonfirmasi ke sekolah"&amp;IF(""="","","; "&amp;""),"")))</f>
        <v>Harga perlu dikonfirmasi ke sekolah</v>
      </c>
      <c r="J380" s="0" t="s">
        <v>3891</v>
      </c>
      <c r="K380" s="0" t="n">
        <f aca="false">IF(M380=2,"",IF(ISNUMBER(SEARCH("rata-rata:",'Offshore - Melbourne'!N376)),VALUE(MID('Offshore - Melbourne'!N376,SEARCH("rata-rata:",'Offshore - Melbourne'!N376)+11,FIND(";",'Offshore - Melbourne'!N376&amp;";",SEARCH("rata-rata:",'Offshore - Melbourne'!N376))-SEARCH("rata-rata:",'Offshore - Melbourne'!N376)-11)),IF('Offshore - Melbourne'!D376="Semester",'Offshore - Melbourne'!E376*2,IF('Offshore - Melbourne'!D376="Trimester",'Offshore - Melbourne'!E376*3,IF('Offshore - Melbourne'!D376="Term",'Offshore - Melbourne'!E376*4,IF('Offshore - Melbourne'!D376="Unit",'Offshore - Melbourne'!E376*8,""))))))</f>
        <v>18600</v>
      </c>
      <c r="L380" s="0" t="n">
        <f aca="false">IF(AND(ISNUMBER('Offshore - Melbourne'!E376),ISNUMBER(K380),ISNUMBER('Offshore - Melbourne'!F376),ISNUMBER('Offshore - Melbourne'!G376),OR('Offshore - Melbourne'!F376&lt;&gt;0,ISNUMBER(SEARCH("Material 0 terverifikasi",'Offshore - Melbourne'!N376))),OR('Offshore - Melbourne'!G376&lt;&gt;0,ISNUMBER(SEARCH("Enrolment 0 terverifikasi",'Offshore - Melbourne'!N376)))),1,0)</f>
        <v>1</v>
      </c>
      <c r="M380" s="0" t="n">
        <f aca="false">IF(OR('Offshore - Melbourne'!E376="",ISNUMBER(SEARCH("BSB80120",'Offshore - Melbourne'!B376&amp;'Offshore - Melbourne'!N376)),ISNUMBER(SEARCH("Management (Learning)",'Offshore - Melbourne'!B376))),2,IF(ISNUMBER(SEARCH("CEK:",'Offshore - Melbourne'!N376)),1,0))</f>
        <v>1</v>
      </c>
    </row>
    <row r="381" customFormat="false" ht="15" hidden="false" customHeight="false" outlineLevel="0" collapsed="false">
      <c r="A381" s="63" t="s">
        <v>3544</v>
      </c>
      <c r="B381" s="64" t="s">
        <v>3833</v>
      </c>
      <c r="C381" s="63" t="s">
        <v>46</v>
      </c>
      <c r="D381" s="64" t="str">
        <f aca="false">TRIM(LEFT('Offshore - Melbourne'!A78,FIND(CHAR(10),'Offshore - Melbourne'!A78&amp;CHAR(10))-1))</f>
        <v>Asia Pacific International College (APIC)</v>
      </c>
      <c r="E381" s="63" t="str">
        <f aca="false">'Offshore - Melbourne'!C85&amp;""</f>
        <v>2 years</v>
      </c>
      <c r="F381" s="63" t="str">
        <f aca="false">IF('Offshore - Melbourne'!D85="","Belum tercatat",'Offshore - Melbourne'!D85)</f>
        <v>Trimester</v>
      </c>
      <c r="G381" s="65" t="n">
        <f aca="false">IF('Offshore - Melbourne'!E85="","-",'Offshore - Melbourne'!E85)</f>
        <v>7800</v>
      </c>
      <c r="H381" s="63" t="n">
        <f aca="false">IF(ISNUMBER(K381),COUNTIFS($J$6:$J$1854,J381,$K$6:$K$1854,"&lt;"&amp;K381)+1,"-")</f>
        <v>8</v>
      </c>
      <c r="I381" s="64" t="str">
        <f aca="false">IF('Offshore - Melbourne'!E85="","Harga belum tersedia - hubungi konsultan TEG",IF(M381=2,"Saat ini tidak menerima pendaftaran siswa internasional baru",IF(M381=1,"Harga perlu dikonfirmasi ke sekolah"&amp;IF("Harga promo s.d. 31/12/2026"="","","; "&amp;"Harga promo s.d. 31/12/2026"),"Harga promo s.d. 31/12/2026")))</f>
        <v>Harga promo s.d. 31/12/2026</v>
      </c>
      <c r="J381" s="0" t="s">
        <v>3891</v>
      </c>
      <c r="K381" s="0" t="n">
        <f aca="false">IF(M381=2,"",IF(ISNUMBER(SEARCH("rata-rata:",'Offshore - Melbourne'!N85)),VALUE(MID('Offshore - Melbourne'!N85,SEARCH("rata-rata:",'Offshore - Melbourne'!N85)+11,FIND(";",'Offshore - Melbourne'!N85&amp;";",SEARCH("rata-rata:",'Offshore - Melbourne'!N85))-SEARCH("rata-rata:",'Offshore - Melbourne'!N85)-11)),IF('Offshore - Melbourne'!D85="Semester",'Offshore - Melbourne'!E85*2,IF('Offshore - Melbourne'!D85="Trimester",'Offshore - Melbourne'!E85*3,IF('Offshore - Melbourne'!D85="Term",'Offshore - Melbourne'!E85*4,IF('Offshore - Melbourne'!D85="Unit",'Offshore - Melbourne'!E85*8,""))))))</f>
        <v>23400</v>
      </c>
      <c r="L381" s="0" t="n">
        <f aca="false">IF(AND(ISNUMBER('Offshore - Melbourne'!E85),ISNUMBER(K381),ISNUMBER('Offshore - Melbourne'!F85),ISNUMBER('Offshore - Melbourne'!G85),OR('Offshore - Melbourne'!F85&lt;&gt;0,ISNUMBER(SEARCH("Material 0 terverifikasi",'Offshore - Melbourne'!N85))),OR('Offshore - Melbourne'!G85&lt;&gt;0,ISNUMBER(SEARCH("Enrolment 0 terverifikasi",'Offshore - Melbourne'!N85)))),1,0)</f>
        <v>0</v>
      </c>
      <c r="M381" s="0" t="n">
        <f aca="false">IF(OR('Offshore - Melbourne'!E85="",ISNUMBER(SEARCH("BSB80120",'Offshore - Melbourne'!B85&amp;'Offshore - Melbourne'!N85)),ISNUMBER(SEARCH("Management (Learning)",'Offshore - Melbourne'!B85))),2,IF(ISNUMBER(SEARCH("CEK:",'Offshore - Melbourne'!N85)),1,0))</f>
        <v>0</v>
      </c>
    </row>
    <row r="382" customFormat="false" ht="15" hidden="false" customHeight="false" outlineLevel="0" collapsed="false">
      <c r="A382" s="63" t="s">
        <v>3544</v>
      </c>
      <c r="B382" s="64" t="s">
        <v>3833</v>
      </c>
      <c r="C382" s="63" t="s">
        <v>46</v>
      </c>
      <c r="D382" s="64" t="str">
        <f aca="false">TRIM(LEFT('Offshore - Melbourne'!A547,FIND(CHAR(10),'Offshore - Melbourne'!A547&amp;CHAR(10))-1))</f>
        <v>University of Tasmania (UTAS)</v>
      </c>
      <c r="E382" s="63" t="str">
        <f aca="false">'Offshore - Melbourne'!C549&amp;""</f>
        <v>2 years</v>
      </c>
      <c r="F382" s="63" t="str">
        <f aca="false">IF('Offshore - Melbourne'!D549="","Belum tercatat",'Offshore - Melbourne'!D549)</f>
        <v>Term</v>
      </c>
      <c r="G382" s="65" t="n">
        <f aca="false">IF('Offshore - Melbourne'!E549="","-",'Offshore - Melbourne'!E549)</f>
        <v>8522</v>
      </c>
      <c r="H382" s="63" t="n">
        <f aca="false">IF(ISNUMBER(K382),COUNTIFS($J$6:$J$1854,J382,$K$6:$K$1854,"&lt;"&amp;K382)+1,"-")</f>
        <v>9</v>
      </c>
      <c r="I382" s="64" t="str">
        <f aca="false">IF('Offshore - Melbourne'!E549="","Harga belum tersedia - hubungi konsultan TEG",IF(M382=2,"Saat ini tidak menerima pendaftaran siswa internasional baru",IF(M382=1,"Harga perlu dikonfirmasi ke sekolah"&amp;IF(""="","","; "&amp;""),"")))</f>
        <v>Harga perlu dikonfirmasi ke sekolah</v>
      </c>
      <c r="J382" s="0" t="s">
        <v>3891</v>
      </c>
      <c r="K382" s="0" t="n">
        <f aca="false">IF(M382=2,"",IF(ISNUMBER(SEARCH("rata-rata:",'Offshore - Melbourne'!N549)),VALUE(MID('Offshore - Melbourne'!N549,SEARCH("rata-rata:",'Offshore - Melbourne'!N549)+11,FIND(";",'Offshore - Melbourne'!N549&amp;";",SEARCH("rata-rata:",'Offshore - Melbourne'!N549))-SEARCH("rata-rata:",'Offshore - Melbourne'!N549)-11)),IF('Offshore - Melbourne'!D549="Semester",'Offshore - Melbourne'!E549*2,IF('Offshore - Melbourne'!D549="Trimester",'Offshore - Melbourne'!E549*3,IF('Offshore - Melbourne'!D549="Term",'Offshore - Melbourne'!E549*4,IF('Offshore - Melbourne'!D549="Unit",'Offshore - Melbourne'!E549*8,""))))))</f>
        <v>34088</v>
      </c>
      <c r="L382" s="0" t="n">
        <f aca="false">IF(AND(ISNUMBER('Offshore - Melbourne'!E549),ISNUMBER(K382),ISNUMBER('Offshore - Melbourne'!F549),ISNUMBER('Offshore - Melbourne'!G549),OR('Offshore - Melbourne'!F549&lt;&gt;0,ISNUMBER(SEARCH("Material 0 terverifikasi",'Offshore - Melbourne'!N549))),OR('Offshore - Melbourne'!G549&lt;&gt;0,ISNUMBER(SEARCH("Enrolment 0 terverifikasi",'Offshore - Melbourne'!N549)))),1,0)</f>
        <v>0</v>
      </c>
      <c r="M382" s="0" t="n">
        <f aca="false">IF(OR('Offshore - Melbourne'!E549="",ISNUMBER(SEARCH("BSB80120",'Offshore - Melbourne'!B549&amp;'Offshore - Melbourne'!N549)),ISNUMBER(SEARCH("Management (Learning)",'Offshore - Melbourne'!B549))),2,IF(ISNUMBER(SEARCH("CEK:",'Offshore - Melbourne'!N549)),1,0))</f>
        <v>1</v>
      </c>
    </row>
    <row r="383" customFormat="false" ht="15" hidden="false" customHeight="false" outlineLevel="0" collapsed="false">
      <c r="A383" s="63" t="s">
        <v>3544</v>
      </c>
      <c r="B383" s="64" t="s">
        <v>3833</v>
      </c>
      <c r="C383" s="63" t="s">
        <v>46</v>
      </c>
      <c r="D383" s="64" t="str">
        <f aca="false">TRIM(LEFT('Offshore - Melbourne'!A443,FIND(CHAR(10),'Offshore - Melbourne'!A443&amp;CHAR(10))-1))</f>
        <v>Torrens University Australia</v>
      </c>
      <c r="E383" s="63" t="str">
        <f aca="false">'Offshore - Melbourne'!C458&amp;""</f>
        <v>1,5 years</v>
      </c>
      <c r="F383" s="63" t="str">
        <f aca="false">IF('Offshore - Melbourne'!D458="","Belum tercatat",'Offshore - Melbourne'!D458)</f>
        <v>Term</v>
      </c>
      <c r="G383" s="65" t="n">
        <f aca="false">IF('Offshore - Melbourne'!E458="","-",'Offshore - Melbourne'!E458)</f>
        <v>9000</v>
      </c>
      <c r="H383" s="63" t="n">
        <f aca="false">IF(ISNUMBER(K383),COUNTIFS($J$6:$J$1854,J383,$K$6:$K$1854,"&lt;"&amp;K383)+1,"-")</f>
        <v>10</v>
      </c>
      <c r="I383" s="64" t="str">
        <f aca="false">IF('Offshore - Melbourne'!E458="","Harga belum tersedia - hubungi konsultan TEG",IF(M383=2,"Saat ini tidak menerima pendaftaran siswa internasional baru",IF(M383=1,"Harga perlu dikonfirmasi ke sekolah"&amp;IF(""="","","; "&amp;""),"")))</f>
        <v/>
      </c>
      <c r="J383" s="0" t="s">
        <v>3891</v>
      </c>
      <c r="K383" s="0" t="n">
        <f aca="false">IF(M383=2,"",IF(ISNUMBER(SEARCH("rata-rata:",'Offshore - Melbourne'!N458)),VALUE(MID('Offshore - Melbourne'!N458,SEARCH("rata-rata:",'Offshore - Melbourne'!N458)+11,FIND(";",'Offshore - Melbourne'!N458&amp;";",SEARCH("rata-rata:",'Offshore - Melbourne'!N458))-SEARCH("rata-rata:",'Offshore - Melbourne'!N458)-11)),IF('Offshore - Melbourne'!D458="Semester",'Offshore - Melbourne'!E458*2,IF('Offshore - Melbourne'!D458="Trimester",'Offshore - Melbourne'!E458*3,IF('Offshore - Melbourne'!D458="Term",'Offshore - Melbourne'!E458*4,IF('Offshore - Melbourne'!D458="Unit",'Offshore - Melbourne'!E458*8,""))))))</f>
        <v>36000</v>
      </c>
      <c r="L383" s="0" t="n">
        <f aca="false">IF(AND(ISNUMBER('Offshore - Melbourne'!E458),ISNUMBER(K383),ISNUMBER('Offshore - Melbourne'!F458),ISNUMBER('Offshore - Melbourne'!G458),OR('Offshore - Melbourne'!F458&lt;&gt;0,ISNUMBER(SEARCH("Material 0 terverifikasi",'Offshore - Melbourne'!N458))),OR('Offshore - Melbourne'!G458&lt;&gt;0,ISNUMBER(SEARCH("Enrolment 0 terverifikasi",'Offshore - Melbourne'!N458)))),1,0)</f>
        <v>0</v>
      </c>
      <c r="M383" s="0" t="n">
        <f aca="false">IF(OR('Offshore - Melbourne'!E458="",ISNUMBER(SEARCH("BSB80120",'Offshore - Melbourne'!B458&amp;'Offshore - Melbourne'!N458)),ISNUMBER(SEARCH("Management (Learning)",'Offshore - Melbourne'!B458))),2,IF(ISNUMBER(SEARCH("CEK:",'Offshore - Melbourne'!N458)),1,0))</f>
        <v>0</v>
      </c>
    </row>
    <row r="384" customFormat="false" ht="15" hidden="false" customHeight="false" outlineLevel="0" collapsed="false">
      <c r="A384" s="63" t="s">
        <v>3544</v>
      </c>
      <c r="B384" s="64" t="s">
        <v>3833</v>
      </c>
      <c r="C384" s="63" t="s">
        <v>46</v>
      </c>
      <c r="D384" s="64" t="str">
        <f aca="false">TRIM(LEFT('Offshore - Melbourne'!A95,FIND(CHAR(10),'Offshore - Melbourne'!A95&amp;CHAR(10))-1))</f>
        <v>Australian Catholic University (ACU)</v>
      </c>
      <c r="E384" s="63" t="str">
        <f aca="false">'Offshore - Melbourne'!C121&amp;""</f>
        <v>2 years</v>
      </c>
      <c r="F384" s="63" t="str">
        <f aca="false">IF('Offshore - Melbourne'!D121="","Belum tercatat",'Offshore - Melbourne'!D121)</f>
        <v>Term</v>
      </c>
      <c r="G384" s="65" t="n">
        <f aca="false">IF('Offshore - Melbourne'!E121="","-",'Offshore - Melbourne'!E121)</f>
        <v>9524</v>
      </c>
      <c r="H384" s="63" t="n">
        <f aca="false">IF(ISNUMBER(K384),COUNTIFS($J$6:$J$1854,J384,$K$6:$K$1854,"&lt;"&amp;K384)+1,"-")</f>
        <v>11</v>
      </c>
      <c r="I384" s="64" t="str">
        <f aca="false">IF('Offshore - Melbourne'!E121="","Harga belum tersedia - hubungi konsultan TEG",IF(M384=2,"Saat ini tidak menerima pendaftaran siswa internasional baru",IF(M384=1,"Harga perlu dikonfirmasi ke sekolah"&amp;IF(""="","","; "&amp;""),"")))</f>
        <v/>
      </c>
      <c r="J384" s="0" t="s">
        <v>3891</v>
      </c>
      <c r="K384" s="0" t="n">
        <f aca="false">IF(M384=2,"",IF(ISNUMBER(SEARCH("rata-rata:",'Offshore - Melbourne'!N121)),VALUE(MID('Offshore - Melbourne'!N121,SEARCH("rata-rata:",'Offshore - Melbourne'!N121)+11,FIND(";",'Offshore - Melbourne'!N121&amp;";",SEARCH("rata-rata:",'Offshore - Melbourne'!N121))-SEARCH("rata-rata:",'Offshore - Melbourne'!N121)-11)),IF('Offshore - Melbourne'!D121="Semester",'Offshore - Melbourne'!E121*2,IF('Offshore - Melbourne'!D121="Trimester",'Offshore - Melbourne'!E121*3,IF('Offshore - Melbourne'!D121="Term",'Offshore - Melbourne'!E121*4,IF('Offshore - Melbourne'!D121="Unit",'Offshore - Melbourne'!E121*8,""))))))</f>
        <v>38096</v>
      </c>
      <c r="L384" s="0" t="n">
        <f aca="false">IF(AND(ISNUMBER('Offshore - Melbourne'!E121),ISNUMBER(K384),ISNUMBER('Offshore - Melbourne'!F121),ISNUMBER('Offshore - Melbourne'!G121),OR('Offshore - Melbourne'!F121&lt;&gt;0,ISNUMBER(SEARCH("Material 0 terverifikasi",'Offshore - Melbourne'!N121))),OR('Offshore - Melbourne'!G121&lt;&gt;0,ISNUMBER(SEARCH("Enrolment 0 terverifikasi",'Offshore - Melbourne'!N121)))),1,0)</f>
        <v>0</v>
      </c>
      <c r="M384" s="0" t="n">
        <f aca="false">IF(OR('Offshore - Melbourne'!E121="",ISNUMBER(SEARCH("BSB80120",'Offshore - Melbourne'!B121&amp;'Offshore - Melbourne'!N121)),ISNUMBER(SEARCH("Management (Learning)",'Offshore - Melbourne'!B121))),2,IF(ISNUMBER(SEARCH("CEK:",'Offshore - Melbourne'!N121)),1,0))</f>
        <v>0</v>
      </c>
    </row>
    <row r="385" customFormat="false" ht="15" hidden="false" customHeight="false" outlineLevel="0" collapsed="false">
      <c r="A385" s="63" t="s">
        <v>3544</v>
      </c>
      <c r="B385" s="64" t="s">
        <v>3833</v>
      </c>
      <c r="C385" s="63" t="s">
        <v>46</v>
      </c>
      <c r="D385" s="64" t="str">
        <f aca="false">TRIM(LEFT('Offshore - Melbourne'!A290,FIND(CHAR(10),'Offshore - Melbourne'!A290&amp;CHAR(10))-1))</f>
        <v>Kaplan Business School</v>
      </c>
      <c r="E385" s="63" t="str">
        <f aca="false">'Offshore - Melbourne'!C294&amp;""</f>
        <v>1,5 years</v>
      </c>
      <c r="F385" s="63" t="str">
        <f aca="false">IF('Offshore - Melbourne'!D294="","Belum tercatat",'Offshore - Melbourne'!D294)</f>
        <v>Trimester</v>
      </c>
      <c r="G385" s="65" t="n">
        <f aca="false">IF('Offshore - Melbourne'!E294="","-",'Offshore - Melbourne'!E294)</f>
        <v>19640</v>
      </c>
      <c r="H385" s="63" t="n">
        <f aca="false">IF(ISNUMBER(K385),COUNTIFS($J$6:$J$1854,J385,$K$6:$K$1854,"&lt;"&amp;K385)+1,"-")</f>
        <v>12</v>
      </c>
      <c r="I385" s="64" t="str">
        <f aca="false">IF('Offshore - Melbourne'!E294="","Harga belum tersedia - hubungi konsultan TEG",IF(M385=2,"Saat ini tidak menerima pendaftaran siswa internasional baru",IF(M385=1,"Harga perlu dikonfirmasi ke sekolah"&amp;IF(""="","","; "&amp;""),"")))</f>
        <v>Harga perlu dikonfirmasi ke sekolah</v>
      </c>
      <c r="J385" s="0" t="s">
        <v>3891</v>
      </c>
      <c r="K385" s="0" t="n">
        <f aca="false">IF(M385=2,"",IF(ISNUMBER(SEARCH("rata-rata:",'Offshore - Melbourne'!N294)),VALUE(MID('Offshore - Melbourne'!N294,SEARCH("rata-rata:",'Offshore - Melbourne'!N294)+11,FIND(";",'Offshore - Melbourne'!N294&amp;";",SEARCH("rata-rata:",'Offshore - Melbourne'!N294))-SEARCH("rata-rata:",'Offshore - Melbourne'!N294)-11)),IF('Offshore - Melbourne'!D294="Semester",'Offshore - Melbourne'!E294*2,IF('Offshore - Melbourne'!D294="Trimester",'Offshore - Melbourne'!E294*3,IF('Offshore - Melbourne'!D294="Term",'Offshore - Melbourne'!E294*4,IF('Offshore - Melbourne'!D294="Unit",'Offshore - Melbourne'!E294*8,""))))))</f>
        <v>58920</v>
      </c>
      <c r="L385" s="0" t="n">
        <f aca="false">IF(AND(ISNUMBER('Offshore - Melbourne'!E294),ISNUMBER(K385),ISNUMBER('Offshore - Melbourne'!F294),ISNUMBER('Offshore - Melbourne'!G294),OR('Offshore - Melbourne'!F294&lt;&gt;0,ISNUMBER(SEARCH("Material 0 terverifikasi",'Offshore - Melbourne'!N294))),OR('Offshore - Melbourne'!G294&lt;&gt;0,ISNUMBER(SEARCH("Enrolment 0 terverifikasi",'Offshore - Melbourne'!N294)))),1,0)</f>
        <v>1</v>
      </c>
      <c r="M385" s="0" t="n">
        <f aca="false">IF(OR('Offshore - Melbourne'!E294="",ISNUMBER(SEARCH("BSB80120",'Offshore - Melbourne'!B294&amp;'Offshore - Melbourne'!N294)),ISNUMBER(SEARCH("Management (Learning)",'Offshore - Melbourne'!B294))),2,IF(ISNUMBER(SEARCH("CEK:",'Offshore - Melbourne'!N294)),1,0))</f>
        <v>1</v>
      </c>
    </row>
    <row r="386" customFormat="false" ht="15" hidden="false" customHeight="false" outlineLevel="0" collapsed="false">
      <c r="A386" s="61" t="s">
        <v>3892</v>
      </c>
      <c r="B386" s="62"/>
      <c r="C386" s="62"/>
      <c r="D386" s="62"/>
      <c r="E386" s="62"/>
      <c r="F386" s="62"/>
      <c r="G386" s="62"/>
      <c r="H386" s="62"/>
      <c r="I386" s="62"/>
    </row>
    <row r="387" customFormat="false" ht="15" hidden="false" customHeight="false" outlineLevel="0" collapsed="false">
      <c r="A387" s="63" t="s">
        <v>3573</v>
      </c>
      <c r="B387" s="64" t="s">
        <v>3833</v>
      </c>
      <c r="C387" s="63" t="s">
        <v>40</v>
      </c>
      <c r="D387" s="64" t="str">
        <f aca="false">TRIM(LEFT('Offshore - Perth'!A27,FIND(CHAR(10),'Offshore - Perth'!A27&amp;CHAR(10))-1))</f>
        <v>Apeiro Institute</v>
      </c>
      <c r="E387" s="63" t="str">
        <f aca="false">'Offshore - Perth'!C31&amp;""</f>
        <v>2 years</v>
      </c>
      <c r="F387" s="63" t="str">
        <f aca="false">IF('Offshore - Perth'!D31="","Belum tercatat",'Offshore - Perth'!D31)</f>
        <v>Term</v>
      </c>
      <c r="G387" s="65" t="n">
        <f aca="false">IF('Offshore - Perth'!E31="","-",'Offshore - Perth'!E31)</f>
        <v>3900</v>
      </c>
      <c r="H387" s="63" t="n">
        <f aca="false">IF(ISNUMBER(K387),COUNTIFS($J$6:$J$1854,J387,$K$6:$K$1854,"&lt;"&amp;K387)+1,"-")</f>
        <v>1</v>
      </c>
      <c r="I387" s="64" t="str">
        <f aca="false">IF('Offshore - Perth'!E31="","Harga belum tersedia - hubungi konsultan TEG",IF(M387=2,"Saat ini tidak menerima pendaftaran siswa internasional baru",IF(M387=1,"Harga perlu dikonfirmasi ke sekolah"&amp;IF(""="","","; "&amp;""),"")))</f>
        <v/>
      </c>
      <c r="J387" s="0" t="s">
        <v>3893</v>
      </c>
      <c r="K387" s="0" t="n">
        <f aca="false">IF(M387=2,"",IF(ISNUMBER(SEARCH("rata-rata:",'Offshore - Perth'!N31)),VALUE(MID('Offshore - Perth'!N31,SEARCH("rata-rata:",'Offshore - Perth'!N31)+11,FIND(";",'Offshore - Perth'!N31&amp;";",SEARCH("rata-rata:",'Offshore - Perth'!N31))-SEARCH("rata-rata:",'Offshore - Perth'!N31)-11)),IF('Offshore - Perth'!D31="Semester",'Offshore - Perth'!E31*2,IF('Offshore - Perth'!D31="Trimester",'Offshore - Perth'!E31*3,IF('Offshore - Perth'!D31="Term",'Offshore - Perth'!E31*4,IF('Offshore - Perth'!D31="Unit",'Offshore - Perth'!E31*8,""))))))</f>
        <v>15600</v>
      </c>
      <c r="L387" s="0" t="n">
        <f aca="false">IF(AND(ISNUMBER('Offshore - Perth'!E31),ISNUMBER(K387),ISNUMBER('Offshore - Perth'!F31),ISNUMBER('Offshore - Perth'!G31),OR('Offshore - Perth'!F31&lt;&gt;0,ISNUMBER(SEARCH("Material 0 terverifikasi",'Offshore - Perth'!N31))),OR('Offshore - Perth'!G31&lt;&gt;0,ISNUMBER(SEARCH("Enrolment 0 terverifikasi",'Offshore - Perth'!N31)))),1,0)</f>
        <v>1</v>
      </c>
      <c r="M387" s="0" t="n">
        <f aca="false">IF(OR('Offshore - Perth'!E31="",ISNUMBER(SEARCH("BSB80120",'Offshore - Perth'!B31&amp;'Offshore - Perth'!N31)),ISNUMBER(SEARCH("Management (Learning)",'Offshore - Perth'!B31))),2,IF(ISNUMBER(SEARCH("CEK:",'Offshore - Perth'!N31)),1,0))</f>
        <v>0</v>
      </c>
    </row>
    <row r="388" customFormat="false" ht="15" hidden="false" customHeight="false" outlineLevel="0" collapsed="false">
      <c r="A388" s="61" t="s">
        <v>3894</v>
      </c>
      <c r="B388" s="62"/>
      <c r="C388" s="62"/>
      <c r="D388" s="62"/>
      <c r="E388" s="62"/>
      <c r="F388" s="62"/>
      <c r="G388" s="62"/>
      <c r="H388" s="62"/>
      <c r="I388" s="62"/>
    </row>
    <row r="389" customFormat="false" ht="15" hidden="false" customHeight="false" outlineLevel="0" collapsed="false">
      <c r="A389" s="63" t="s">
        <v>3573</v>
      </c>
      <c r="B389" s="64" t="s">
        <v>3833</v>
      </c>
      <c r="C389" s="63" t="s">
        <v>41</v>
      </c>
      <c r="D389" s="64" t="str">
        <f aca="false">TRIM(LEFT('Offshore - Perth'!A74,FIND(CHAR(10),'Offshore - Perth'!A74&amp;CHAR(10))-1))</f>
        <v>Greenwich College</v>
      </c>
      <c r="E389" s="63" t="str">
        <f aca="false">'Offshore - Perth'!C78&amp;""</f>
        <v>96 weeks</v>
      </c>
      <c r="F389" s="63" t="str">
        <f aca="false">IF('Offshore - Perth'!D78="","Belum tercatat",'Offshore - Perth'!D78)</f>
        <v>Term</v>
      </c>
      <c r="G389" s="65" t="n">
        <f aca="false">IF('Offshore - Perth'!E78="","-",'Offshore - Perth'!E78)</f>
        <v>1250</v>
      </c>
      <c r="H389" s="63" t="n">
        <f aca="false">IF(ISNUMBER(K389),COUNTIFS($J$6:$J$1854,J389,$K$6:$K$1854,"&lt;"&amp;K389)+1,"-")</f>
        <v>1</v>
      </c>
      <c r="I389" s="64" t="str">
        <f aca="false">IF('Offshore - Perth'!E78="","Harga belum tersedia - hubungi konsultan TEG",IF(M389=2,"Saat ini tidak menerima pendaftaran siswa internasional baru",IF(M389=1,"Harga perlu dikonfirmasi ke sekolah"&amp;IF(""="","","; "&amp;""),"")))</f>
        <v/>
      </c>
      <c r="J389" s="0" t="s">
        <v>3895</v>
      </c>
      <c r="K389" s="0" t="n">
        <f aca="false">IF(M389=2,"",IF(ISNUMBER(SEARCH("rata-rata:",'Offshore - Perth'!N78)),VALUE(MID('Offshore - Perth'!N78,SEARCH("rata-rata:",'Offshore - Perth'!N78)+11,FIND(";",'Offshore - Perth'!N78&amp;";",SEARCH("rata-rata:",'Offshore - Perth'!N78))-SEARCH("rata-rata:",'Offshore - Perth'!N78)-11)),IF('Offshore - Perth'!D78="Semester",'Offshore - Perth'!E78*2,IF('Offshore - Perth'!D78="Trimester",'Offshore - Perth'!E78*3,IF('Offshore - Perth'!D78="Term",'Offshore - Perth'!E78*4,IF('Offshore - Perth'!D78="Unit",'Offshore - Perth'!E78*8,""))))))</f>
        <v>5000</v>
      </c>
      <c r="L389" s="0" t="n">
        <f aca="false">IF(AND(ISNUMBER('Offshore - Perth'!E78),ISNUMBER(K389),ISNUMBER('Offshore - Perth'!F78),ISNUMBER('Offshore - Perth'!G78),OR('Offshore - Perth'!F78&lt;&gt;0,ISNUMBER(SEARCH("Material 0 terverifikasi",'Offshore - Perth'!N78))),OR('Offshore - Perth'!G78&lt;&gt;0,ISNUMBER(SEARCH("Enrolment 0 terverifikasi",'Offshore - Perth'!N78)))),1,0)</f>
        <v>1</v>
      </c>
      <c r="M389" s="0" t="n">
        <f aca="false">IF(OR('Offshore - Perth'!E78="",ISNUMBER(SEARCH("BSB80120",'Offshore - Perth'!B78&amp;'Offshore - Perth'!N78)),ISNUMBER(SEARCH("Management (Learning)",'Offshore - Perth'!B78))),2,IF(ISNUMBER(SEARCH("CEK:",'Offshore - Perth'!N78)),1,0))</f>
        <v>0</v>
      </c>
    </row>
    <row r="390" customFormat="false" ht="28.35" hidden="false" customHeight="false" outlineLevel="0" collapsed="false">
      <c r="A390" s="63" t="s">
        <v>3573</v>
      </c>
      <c r="B390" s="64" t="s">
        <v>3833</v>
      </c>
      <c r="C390" s="63" t="s">
        <v>41</v>
      </c>
      <c r="D390" s="64" t="str">
        <f aca="false">TRIM(LEFT('Offshore - Perth'!A106,FIND(CHAR(10),'Offshore - Perth'!A106&amp;CHAR(10))-1))</f>
        <v>Keystone College of Business and Technology (KCBT)</v>
      </c>
      <c r="E390" s="63" t="str">
        <f aca="false">'Offshore - Perth'!C117&amp;""</f>
        <v>1 year</v>
      </c>
      <c r="F390" s="63" t="str">
        <f aca="false">IF('Offshore - Perth'!D117="","Belum tercatat",'Offshore - Perth'!D117)</f>
        <v>Term</v>
      </c>
      <c r="G390" s="65" t="n">
        <f aca="false">IF('Offshore - Perth'!E117="","-",'Offshore - Perth'!E117)</f>
        <v>1625</v>
      </c>
      <c r="H390" s="63" t="n">
        <f aca="false">IF(ISNUMBER(K390),COUNTIFS($J$6:$J$1854,J390,$K$6:$K$1854,"&lt;"&amp;K390)+1,"-")</f>
        <v>2</v>
      </c>
      <c r="I390" s="64" t="str">
        <f aca="false">IF('Offshore - Perth'!E117="","Harga belum tersedia - hubungi konsultan TEG",IF(M390=2,"Saat ini tidak menerima pendaftaran siswa internasional baru",IF(M390=1,"Harga perlu dikonfirmasi ke sekolah"&amp;IF(""="","","; "&amp;""),"")))</f>
        <v/>
      </c>
      <c r="J390" s="0" t="s">
        <v>3895</v>
      </c>
      <c r="K390" s="0" t="n">
        <f aca="false">IF(M390=2,"",IF(ISNUMBER(SEARCH("rata-rata:",'Offshore - Perth'!N117)),VALUE(MID('Offshore - Perth'!N117,SEARCH("rata-rata:",'Offshore - Perth'!N117)+11,FIND(";",'Offshore - Perth'!N117&amp;";",SEARCH("rata-rata:",'Offshore - Perth'!N117))-SEARCH("rata-rata:",'Offshore - Perth'!N117)-11)),IF('Offshore - Perth'!D117="Semester",'Offshore - Perth'!E117*2,IF('Offshore - Perth'!D117="Trimester",'Offshore - Perth'!E117*3,IF('Offshore - Perth'!D117="Term",'Offshore - Perth'!E117*4,IF('Offshore - Perth'!D117="Unit",'Offshore - Perth'!E117*8,""))))))</f>
        <v>6500</v>
      </c>
      <c r="L390" s="0" t="n">
        <f aca="false">IF(AND(ISNUMBER('Offshore - Perth'!E117),ISNUMBER(K390),ISNUMBER('Offshore - Perth'!F117),ISNUMBER('Offshore - Perth'!G117),OR('Offshore - Perth'!F117&lt;&gt;0,ISNUMBER(SEARCH("Material 0 terverifikasi",'Offshore - Perth'!N117))),OR('Offshore - Perth'!G117&lt;&gt;0,ISNUMBER(SEARCH("Enrolment 0 terverifikasi",'Offshore - Perth'!N117)))),1,0)</f>
        <v>1</v>
      </c>
      <c r="M390" s="0" t="n">
        <f aca="false">IF(OR('Offshore - Perth'!E117="",ISNUMBER(SEARCH("BSB80120",'Offshore - Perth'!B117&amp;'Offshore - Perth'!N117)),ISNUMBER(SEARCH("Management (Learning)",'Offshore - Perth'!B117))),2,IF(ISNUMBER(SEARCH("CEK:",'Offshore - Perth'!N117)),1,0))</f>
        <v>0</v>
      </c>
    </row>
    <row r="391" customFormat="false" ht="15" hidden="false" customHeight="false" outlineLevel="0" collapsed="false">
      <c r="A391" s="63" t="s">
        <v>3573</v>
      </c>
      <c r="B391" s="64" t="s">
        <v>3833</v>
      </c>
      <c r="C391" s="63" t="s">
        <v>41</v>
      </c>
      <c r="D391" s="64" t="str">
        <f aca="false">TRIM(LEFT('Offshore - Perth'!A129,FIND(CHAR(10),'Offshore - Perth'!A129&amp;CHAR(10))-1))</f>
        <v>Novus College</v>
      </c>
      <c r="E391" s="63" t="str">
        <f aca="false">'Offshore - Perth'!C129&amp;""</f>
        <v>2 years</v>
      </c>
      <c r="F391" s="63" t="str">
        <f aca="false">IF('Offshore - Perth'!D129="","Belum tercatat",'Offshore - Perth'!D129)</f>
        <v>Term</v>
      </c>
      <c r="G391" s="65" t="n">
        <f aca="false">IF('Offshore - Perth'!E129="","-",'Offshore - Perth'!E129)</f>
        <v>2500</v>
      </c>
      <c r="H391" s="63" t="n">
        <f aca="false">IF(ISNUMBER(K391),COUNTIFS($J$6:$J$1854,J391,$K$6:$K$1854,"&lt;"&amp;K391)+1,"-")</f>
        <v>3</v>
      </c>
      <c r="I391" s="64" t="str">
        <f aca="false">IF('Offshore - Perth'!E129="","Harga belum tersedia - hubungi konsultan TEG",IF(M391=2,"Saat ini tidak menerima pendaftaran siswa internasional baru",IF(M391=1,"Program perlu dikonfirmasi ketersediaannya"&amp;IF(""="","","; "&amp;""),"")))</f>
        <v>Program perlu dikonfirmasi ketersediaannya</v>
      </c>
      <c r="J391" s="0" t="s">
        <v>3895</v>
      </c>
      <c r="K391" s="0" t="n">
        <f aca="false">IF(M391=2,"",IF(ISNUMBER(SEARCH("rata-rata:",'Offshore - Perth'!N129)),VALUE(MID('Offshore - Perth'!N129,SEARCH("rata-rata:",'Offshore - Perth'!N129)+11,FIND(";",'Offshore - Perth'!N129&amp;";",SEARCH("rata-rata:",'Offshore - Perth'!N129))-SEARCH("rata-rata:",'Offshore - Perth'!N129)-11)),IF('Offshore - Perth'!D129="Semester",'Offshore - Perth'!E129*2,IF('Offshore - Perth'!D129="Trimester",'Offshore - Perth'!E129*3,IF('Offshore - Perth'!D129="Term",'Offshore - Perth'!E129*4,IF('Offshore - Perth'!D129="Unit",'Offshore - Perth'!E129*8,""))))))</f>
        <v>10000</v>
      </c>
      <c r="L391" s="0" t="n">
        <f aca="false">IF(AND(ISNUMBER('Offshore - Perth'!E129),ISNUMBER(K391),ISNUMBER('Offshore - Perth'!F129),ISNUMBER('Offshore - Perth'!G129),OR('Offshore - Perth'!F129&lt;&gt;0,ISNUMBER(SEARCH("Material 0 terverifikasi",'Offshore - Perth'!N129))),OR('Offshore - Perth'!G129&lt;&gt;0,ISNUMBER(SEARCH("Enrolment 0 terverifikasi",'Offshore - Perth'!N129)))),1,0)</f>
        <v>1</v>
      </c>
      <c r="M391" s="0" t="n">
        <f aca="false">IF(OR('Offshore - Perth'!E129="",ISNUMBER(SEARCH("BSB80120",'Offshore - Perth'!B129&amp;'Offshore - Perth'!N129)),ISNUMBER(SEARCH("Management (Learning)",'Offshore - Perth'!B129))),2,IF(ISNUMBER(SEARCH("CEK:",'Offshore - Perth'!N129)),1,0))</f>
        <v>1</v>
      </c>
    </row>
    <row r="392" customFormat="false" ht="15" hidden="false" customHeight="false" outlineLevel="0" collapsed="false">
      <c r="A392" s="63" t="s">
        <v>3573</v>
      </c>
      <c r="B392" s="64" t="s">
        <v>3833</v>
      </c>
      <c r="C392" s="63" t="s">
        <v>41</v>
      </c>
      <c r="D392" s="64" t="str">
        <f aca="false">TRIM(LEFT('Offshore - Perth'!A120,FIND(CHAR(10),'Offshore - Perth'!A120&amp;CHAR(10))-1))</f>
        <v>Kingston International College</v>
      </c>
      <c r="E392" s="63" t="str">
        <f aca="false">'Offshore - Perth'!C122&amp;""</f>
        <v>2 years</v>
      </c>
      <c r="F392" s="63" t="str">
        <f aca="false">IF('Offshore - Perth'!D122="","Belum tercatat",'Offshore - Perth'!D122)</f>
        <v>Term</v>
      </c>
      <c r="G392" s="65" t="n">
        <f aca="false">IF('Offshore - Perth'!E122="","-",'Offshore - Perth'!E122)</f>
        <v>2600</v>
      </c>
      <c r="H392" s="63" t="n">
        <f aca="false">IF(ISNUMBER(K392),COUNTIFS($J$6:$J$1854,J392,$K$6:$K$1854,"&lt;"&amp;K392)+1,"-")</f>
        <v>4</v>
      </c>
      <c r="I392" s="64" t="str">
        <f aca="false">IF('Offshore - Perth'!E122="","Harga belum tersedia - hubungi konsultan TEG",IF(M392=2,"Saat ini tidak menerima pendaftaran siswa internasional baru",IF(M392=1,"Harga perlu dikonfirmasi ke sekolah"&amp;IF(""="","","; "&amp;""),"")))</f>
        <v/>
      </c>
      <c r="J392" s="0" t="s">
        <v>3895</v>
      </c>
      <c r="K392" s="0" t="n">
        <f aca="false">IF(M392=2,"",IF(ISNUMBER(SEARCH("rata-rata:",'Offshore - Perth'!N122)),VALUE(MID('Offshore - Perth'!N122,SEARCH("rata-rata:",'Offshore - Perth'!N122)+11,FIND(";",'Offshore - Perth'!N122&amp;";",SEARCH("rata-rata:",'Offshore - Perth'!N122))-SEARCH("rata-rata:",'Offshore - Perth'!N122)-11)),IF('Offshore - Perth'!D122="Semester",'Offshore - Perth'!E122*2,IF('Offshore - Perth'!D122="Trimester",'Offshore - Perth'!E122*3,IF('Offshore - Perth'!D122="Term",'Offshore - Perth'!E122*4,IF('Offshore - Perth'!D122="Unit",'Offshore - Perth'!E122*8,""))))))</f>
        <v>10400</v>
      </c>
      <c r="L392" s="0" t="n">
        <f aca="false">IF(AND(ISNUMBER('Offshore - Perth'!E122),ISNUMBER(K392),ISNUMBER('Offshore - Perth'!F122),ISNUMBER('Offshore - Perth'!G122),OR('Offshore - Perth'!F122&lt;&gt;0,ISNUMBER(SEARCH("Material 0 terverifikasi",'Offshore - Perth'!N122))),OR('Offshore - Perth'!G122&lt;&gt;0,ISNUMBER(SEARCH("Enrolment 0 terverifikasi",'Offshore - Perth'!N122)))),1,0)</f>
        <v>1</v>
      </c>
      <c r="M392" s="0" t="n">
        <f aca="false">IF(OR('Offshore - Perth'!E122="",ISNUMBER(SEARCH("BSB80120",'Offshore - Perth'!B122&amp;'Offshore - Perth'!N122)),ISNUMBER(SEARCH("Management (Learning)",'Offshore - Perth'!B122))),2,IF(ISNUMBER(SEARCH("CEK:",'Offshore - Perth'!N122)),1,0))</f>
        <v>0</v>
      </c>
    </row>
    <row r="393" customFormat="false" ht="28.35" hidden="false" customHeight="false" outlineLevel="0" collapsed="false">
      <c r="A393" s="63" t="s">
        <v>3573</v>
      </c>
      <c r="B393" s="64" t="s">
        <v>3833</v>
      </c>
      <c r="C393" s="63" t="s">
        <v>41</v>
      </c>
      <c r="D393" s="64" t="str">
        <f aca="false">TRIM(LEFT('Offshore - Perth'!A88,FIND(CHAR(10),'Offshore - Perth'!A88&amp;CHAR(10))-1))</f>
        <v>International Institute of Business and Technology (IIBT)</v>
      </c>
      <c r="E393" s="63" t="str">
        <f aca="false">'Offshore - Perth'!C88&amp;""</f>
        <v>1 year</v>
      </c>
      <c r="F393" s="63" t="str">
        <f aca="false">IF('Offshore - Perth'!D88="","Belum tercatat",'Offshore - Perth'!D88)</f>
        <v>Term</v>
      </c>
      <c r="G393" s="65" t="n">
        <f aca="false">IF('Offshore - Perth'!E88="","-",'Offshore - Perth'!E88)</f>
        <v>3750</v>
      </c>
      <c r="H393" s="63" t="n">
        <f aca="false">IF(ISNUMBER(K393),COUNTIFS($J$6:$J$1854,J393,$K$6:$K$1854,"&lt;"&amp;K393)+1,"-")</f>
        <v>5</v>
      </c>
      <c r="I393" s="64" t="str">
        <f aca="false">IF('Offshore - Perth'!E88="","Harga belum tersedia - hubungi konsultan TEG",IF(M393=2,"Saat ini tidak menerima pendaftaran siswa internasional baru",IF(M393=1,"Harga perlu dikonfirmasi ke sekolah"&amp;IF(""="","","; "&amp;""),"")))</f>
        <v/>
      </c>
      <c r="J393" s="0" t="s">
        <v>3895</v>
      </c>
      <c r="K393" s="0" t="n">
        <f aca="false">IF(M393=2,"",IF(ISNUMBER(SEARCH("rata-rata:",'Offshore - Perth'!N88)),VALUE(MID('Offshore - Perth'!N88,SEARCH("rata-rata:",'Offshore - Perth'!N88)+11,FIND(";",'Offshore - Perth'!N88&amp;";",SEARCH("rata-rata:",'Offshore - Perth'!N88))-SEARCH("rata-rata:",'Offshore - Perth'!N88)-11)),IF('Offshore - Perth'!D88="Semester",'Offshore - Perth'!E88*2,IF('Offshore - Perth'!D88="Trimester",'Offshore - Perth'!E88*3,IF('Offshore - Perth'!D88="Term",'Offshore - Perth'!E88*4,IF('Offshore - Perth'!D88="Unit",'Offshore - Perth'!E88*8,""))))))</f>
        <v>15000</v>
      </c>
      <c r="L393" s="0" t="n">
        <f aca="false">IF(AND(ISNUMBER('Offshore - Perth'!E88),ISNUMBER(K393),ISNUMBER('Offshore - Perth'!F88),ISNUMBER('Offshore - Perth'!G88),OR('Offshore - Perth'!F88&lt;&gt;0,ISNUMBER(SEARCH("Material 0 terverifikasi",'Offshore - Perth'!N88))),OR('Offshore - Perth'!G88&lt;&gt;0,ISNUMBER(SEARCH("Enrolment 0 terverifikasi",'Offshore - Perth'!N88)))),1,0)</f>
        <v>1</v>
      </c>
      <c r="M393" s="0" t="n">
        <f aca="false">IF(OR('Offshore - Perth'!E88="",ISNUMBER(SEARCH("BSB80120",'Offshore - Perth'!B88&amp;'Offshore - Perth'!N88)),ISNUMBER(SEARCH("Management (Learning)",'Offshore - Perth'!B88))),2,IF(ISNUMBER(SEARCH("CEK:",'Offshore - Perth'!N88)),1,0))</f>
        <v>0</v>
      </c>
    </row>
    <row r="394" customFormat="false" ht="15" hidden="false" customHeight="false" outlineLevel="0" collapsed="false">
      <c r="A394" s="63" t="s">
        <v>3573</v>
      </c>
      <c r="B394" s="64" t="s">
        <v>3833</v>
      </c>
      <c r="C394" s="63" t="s">
        <v>41</v>
      </c>
      <c r="D394" s="64" t="str">
        <f aca="false">TRIM(LEFT('Offshore - Perth'!A91,FIND(CHAR(10),'Offshore - Perth'!A91&amp;CHAR(10))-1))</f>
        <v>Kaplan Business School</v>
      </c>
      <c r="E394" s="63" t="str">
        <f aca="false">'Offshore - Perth'!C91&amp;""</f>
        <v>1 year</v>
      </c>
      <c r="F394" s="63" t="str">
        <f aca="false">IF('Offshore - Perth'!D91="","Belum tercatat",'Offshore - Perth'!D91)</f>
        <v>Trimester</v>
      </c>
      <c r="G394" s="65" t="n">
        <f aca="false">IF('Offshore - Perth'!E91="","-",'Offshore - Perth'!E91)</f>
        <v>11520</v>
      </c>
      <c r="H394" s="63" t="n">
        <f aca="false">IF(ISNUMBER(K394),COUNTIFS($J$6:$J$1854,J394,$K$6:$K$1854,"&lt;"&amp;K394)+1,"-")</f>
        <v>6</v>
      </c>
      <c r="I394" s="64" t="str">
        <f aca="false">IF('Offshore - Perth'!E91="","Harga belum tersedia - hubungi konsultan TEG",IF(M394=2,"Saat ini tidak menerima pendaftaran siswa internasional baru",IF(M394=1,"Harga perlu dikonfirmasi ke sekolah"&amp;IF(""="","","; "&amp;""),"")))</f>
        <v>Harga perlu dikonfirmasi ke sekolah</v>
      </c>
      <c r="J394" s="0" t="s">
        <v>3895</v>
      </c>
      <c r="K394" s="0" t="n">
        <f aca="false">IF(M394=2,"",IF(ISNUMBER(SEARCH("rata-rata:",'Offshore - Perth'!N91)),VALUE(MID('Offshore - Perth'!N91,SEARCH("rata-rata:",'Offshore - Perth'!N91)+11,FIND(";",'Offshore - Perth'!N91&amp;";",SEARCH("rata-rata:",'Offshore - Perth'!N91))-SEARCH("rata-rata:",'Offshore - Perth'!N91)-11)),IF('Offshore - Perth'!D91="Semester",'Offshore - Perth'!E91*2,IF('Offshore - Perth'!D91="Trimester",'Offshore - Perth'!E91*3,IF('Offshore - Perth'!D91="Term",'Offshore - Perth'!E91*4,IF('Offshore - Perth'!D91="Unit",'Offshore - Perth'!E91*8,""))))))</f>
        <v>34560</v>
      </c>
      <c r="L394" s="0" t="n">
        <f aca="false">IF(AND(ISNUMBER('Offshore - Perth'!E91),ISNUMBER(K394),ISNUMBER('Offshore - Perth'!F91),ISNUMBER('Offshore - Perth'!G91),OR('Offshore - Perth'!F91&lt;&gt;0,ISNUMBER(SEARCH("Material 0 terverifikasi",'Offshore - Perth'!N91))),OR('Offshore - Perth'!G91&lt;&gt;0,ISNUMBER(SEARCH("Enrolment 0 terverifikasi",'Offshore - Perth'!N91)))),1,0)</f>
        <v>1</v>
      </c>
      <c r="M394" s="0" t="n">
        <f aca="false">IF(OR('Offshore - Perth'!E91="",ISNUMBER(SEARCH("BSB80120",'Offshore - Perth'!B91&amp;'Offshore - Perth'!N91)),ISNUMBER(SEARCH("Management (Learning)",'Offshore - Perth'!B91))),2,IF(ISNUMBER(SEARCH("CEK:",'Offshore - Perth'!N91)),1,0))</f>
        <v>1</v>
      </c>
    </row>
    <row r="395" customFormat="false" ht="15" hidden="false" customHeight="false" outlineLevel="0" collapsed="false">
      <c r="A395" s="61" t="s">
        <v>3896</v>
      </c>
      <c r="B395" s="62"/>
      <c r="C395" s="62"/>
      <c r="D395" s="62"/>
      <c r="E395" s="62"/>
      <c r="F395" s="62"/>
      <c r="G395" s="62"/>
      <c r="H395" s="62"/>
      <c r="I395" s="62"/>
    </row>
    <row r="396" customFormat="false" ht="15" hidden="false" customHeight="false" outlineLevel="0" collapsed="false">
      <c r="A396" s="63" t="s">
        <v>3573</v>
      </c>
      <c r="B396" s="64" t="s">
        <v>3833</v>
      </c>
      <c r="C396" s="63" t="s">
        <v>42</v>
      </c>
      <c r="D396" s="64" t="str">
        <f aca="false">TRIM(LEFT('Offshore - Perth'!A74,FIND(CHAR(10),'Offshore - Perth'!A74&amp;CHAR(10))-1))</f>
        <v>Greenwich College</v>
      </c>
      <c r="E396" s="63" t="str">
        <f aca="false">'Offshore - Perth'!C79&amp;""</f>
        <v>172 weeks</v>
      </c>
      <c r="F396" s="63" t="str">
        <f aca="false">IF('Offshore - Perth'!D79="","Belum tercatat",'Offshore - Perth'!D79)</f>
        <v>Term</v>
      </c>
      <c r="G396" s="65" t="n">
        <f aca="false">IF('Offshore - Perth'!E79="","-",'Offshore - Perth'!E79)</f>
        <v>1250</v>
      </c>
      <c r="H396" s="63" t="n">
        <f aca="false">IF(ISNUMBER(K396),COUNTIFS($J$6:$J$1854,J396,$K$6:$K$1854,"&lt;"&amp;K396)+1,"-")</f>
        <v>1</v>
      </c>
      <c r="I396" s="64" t="str">
        <f aca="false">IF('Offshore - Perth'!E79="","Harga belum tersedia - hubungi konsultan TEG",IF(M396=2,"Saat ini tidak menerima pendaftaran siswa internasional baru",IF(M396=1,"Harga perlu dikonfirmasi ke sekolah"&amp;IF(""="","","; "&amp;""),"")))</f>
        <v/>
      </c>
      <c r="J396" s="0" t="s">
        <v>3897</v>
      </c>
      <c r="K396" s="0" t="n">
        <f aca="false">IF(M396=2,"",IF(ISNUMBER(SEARCH("rata-rata:",'Offshore - Perth'!N79)),VALUE(MID('Offshore - Perth'!N79,SEARCH("rata-rata:",'Offshore - Perth'!N79)+11,FIND(";",'Offshore - Perth'!N79&amp;";",SEARCH("rata-rata:",'Offshore - Perth'!N79))-SEARCH("rata-rata:",'Offshore - Perth'!N79)-11)),IF('Offshore - Perth'!D79="Semester",'Offshore - Perth'!E79*2,IF('Offshore - Perth'!D79="Trimester",'Offshore - Perth'!E79*3,IF('Offshore - Perth'!D79="Term",'Offshore - Perth'!E79*4,IF('Offshore - Perth'!D79="Unit",'Offshore - Perth'!E79*8,""))))))</f>
        <v>5000</v>
      </c>
      <c r="L396" s="0" t="n">
        <f aca="false">IF(AND(ISNUMBER('Offshore - Perth'!E79),ISNUMBER(K396),ISNUMBER('Offshore - Perth'!F79),ISNUMBER('Offshore - Perth'!G79),OR('Offshore - Perth'!F79&lt;&gt;0,ISNUMBER(SEARCH("Material 0 terverifikasi",'Offshore - Perth'!N79))),OR('Offshore - Perth'!G79&lt;&gt;0,ISNUMBER(SEARCH("Enrolment 0 terverifikasi",'Offshore - Perth'!N79)))),1,0)</f>
        <v>1</v>
      </c>
      <c r="M396" s="0" t="n">
        <f aca="false">IF(OR('Offshore - Perth'!E79="",ISNUMBER(SEARCH("BSB80120",'Offshore - Perth'!B79&amp;'Offshore - Perth'!N79)),ISNUMBER(SEARCH("Management (Learning)",'Offshore - Perth'!B79))),2,IF(ISNUMBER(SEARCH("CEK:",'Offshore - Perth'!N79)),1,0))</f>
        <v>0</v>
      </c>
    </row>
    <row r="397" customFormat="false" ht="15" hidden="false" customHeight="false" outlineLevel="0" collapsed="false">
      <c r="A397" s="63" t="s">
        <v>3573</v>
      </c>
      <c r="B397" s="64" t="s">
        <v>3833</v>
      </c>
      <c r="C397" s="63" t="s">
        <v>42</v>
      </c>
      <c r="D397" s="64" t="str">
        <f aca="false">TRIM(LEFT('Offshore - Perth'!A6,FIND(CHAR(10),'Offshore - Perth'!A6&amp;CHAR(10))-1))</f>
        <v>Academies Australasia</v>
      </c>
      <c r="E397" s="63" t="str">
        <f aca="false">'Offshore - Perth'!C6&amp;""</f>
        <v>1 year</v>
      </c>
      <c r="F397" s="63" t="str">
        <f aca="false">IF('Offshore - Perth'!D6="","Belum tercatat",'Offshore - Perth'!D6)</f>
        <v>Term</v>
      </c>
      <c r="G397" s="65" t="n">
        <f aca="false">IF('Offshore - Perth'!E6="","-",'Offshore - Perth'!E6)</f>
        <v>1500</v>
      </c>
      <c r="H397" s="63" t="n">
        <f aca="false">IF(ISNUMBER(K397),COUNTIFS($J$6:$J$1854,J397,$K$6:$K$1854,"&lt;"&amp;K397)+1,"-")</f>
        <v>2</v>
      </c>
      <c r="I397" s="64" t="str">
        <f aca="false">IF('Offshore - Perth'!E6="","Harga belum tersedia - hubungi konsultan TEG",IF(M397=2,"Saat ini tidak menerima pendaftaran siswa internasional baru",IF(M397=1,"Harga perlu dikonfirmasi ke sekolah"&amp;IF(""="","","; "&amp;""),"")))</f>
        <v>Harga perlu dikonfirmasi ke sekolah</v>
      </c>
      <c r="J397" s="0" t="s">
        <v>3897</v>
      </c>
      <c r="K397" s="0" t="n">
        <f aca="false">IF(M397=2,"",IF(ISNUMBER(SEARCH("rata-rata:",'Offshore - Perth'!N6)),VALUE(MID('Offshore - Perth'!N6,SEARCH("rata-rata:",'Offshore - Perth'!N6)+11,FIND(";",'Offshore - Perth'!N6&amp;";",SEARCH("rata-rata:",'Offshore - Perth'!N6))-SEARCH("rata-rata:",'Offshore - Perth'!N6)-11)),IF('Offshore - Perth'!D6="Semester",'Offshore - Perth'!E6*2,IF('Offshore - Perth'!D6="Trimester",'Offshore - Perth'!E6*3,IF('Offshore - Perth'!D6="Term",'Offshore - Perth'!E6*4,IF('Offshore - Perth'!D6="Unit",'Offshore - Perth'!E6*8,""))))))</f>
        <v>6000</v>
      </c>
      <c r="L397" s="0" t="n">
        <f aca="false">IF(AND(ISNUMBER('Offshore - Perth'!E6),ISNUMBER(K397),ISNUMBER('Offshore - Perth'!F6),ISNUMBER('Offshore - Perth'!G6),OR('Offshore - Perth'!F6&lt;&gt;0,ISNUMBER(SEARCH("Material 0 terverifikasi",'Offshore - Perth'!N6))),OR('Offshore - Perth'!G6&lt;&gt;0,ISNUMBER(SEARCH("Enrolment 0 terverifikasi",'Offshore - Perth'!N6)))),1,0)</f>
        <v>1</v>
      </c>
      <c r="M397" s="0" t="n">
        <f aca="false">IF(OR('Offshore - Perth'!E6="",ISNUMBER(SEARCH("BSB80120",'Offshore - Perth'!B6&amp;'Offshore - Perth'!N6)),ISNUMBER(SEARCH("Management (Learning)",'Offshore - Perth'!B6))),2,IF(ISNUMBER(SEARCH("CEK:",'Offshore - Perth'!N6)),1,0))</f>
        <v>1</v>
      </c>
    </row>
    <row r="398" customFormat="false" ht="15" hidden="false" customHeight="false" outlineLevel="0" collapsed="false">
      <c r="A398" s="63" t="s">
        <v>3573</v>
      </c>
      <c r="B398" s="64" t="s">
        <v>3833</v>
      </c>
      <c r="C398" s="63" t="s">
        <v>42</v>
      </c>
      <c r="D398" s="64" t="str">
        <f aca="false">TRIM(LEFT('Offshore - Perth'!A129,FIND(CHAR(10),'Offshore - Perth'!A129&amp;CHAR(10))-1))</f>
        <v>Novus College</v>
      </c>
      <c r="E398" s="63" t="str">
        <f aca="false">'Offshore - Perth'!C130&amp;""</f>
        <v>2 years</v>
      </c>
      <c r="F398" s="63" t="str">
        <f aca="false">IF('Offshore - Perth'!D130="","Belum tercatat",'Offshore - Perth'!D130)</f>
        <v>Term</v>
      </c>
      <c r="G398" s="65" t="n">
        <f aca="false">IF('Offshore - Perth'!E130="","-",'Offshore - Perth'!E130)</f>
        <v>2300</v>
      </c>
      <c r="H398" s="63" t="n">
        <f aca="false">IF(ISNUMBER(K398),COUNTIFS($J$6:$J$1854,J398,$K$6:$K$1854,"&lt;"&amp;K398)+1,"-")</f>
        <v>3</v>
      </c>
      <c r="I398" s="64" t="str">
        <f aca="false">IF('Offshore - Perth'!E130="","Harga belum tersedia - hubungi konsultan TEG",IF(M398=2,"Saat ini tidak menerima pendaftaran siswa internasional baru",IF(M398=1,"Program perlu dikonfirmasi ketersediaannya"&amp;IF(""="","","; "&amp;""),"")))</f>
        <v>Program perlu dikonfirmasi ketersediaannya</v>
      </c>
      <c r="J398" s="0" t="s">
        <v>3897</v>
      </c>
      <c r="K398" s="0" t="n">
        <f aca="false">IF(M398=2,"",IF(ISNUMBER(SEARCH("rata-rata:",'Offshore - Perth'!N130)),VALUE(MID('Offshore - Perth'!N130,SEARCH("rata-rata:",'Offshore - Perth'!N130)+11,FIND(";",'Offshore - Perth'!N130&amp;";",SEARCH("rata-rata:",'Offshore - Perth'!N130))-SEARCH("rata-rata:",'Offshore - Perth'!N130)-11)),IF('Offshore - Perth'!D130="Semester",'Offshore - Perth'!E130*2,IF('Offshore - Perth'!D130="Trimester",'Offshore - Perth'!E130*3,IF('Offshore - Perth'!D130="Term",'Offshore - Perth'!E130*4,IF('Offshore - Perth'!D130="Unit",'Offshore - Perth'!E130*8,""))))))</f>
        <v>9200</v>
      </c>
      <c r="L398" s="0" t="n">
        <f aca="false">IF(AND(ISNUMBER('Offshore - Perth'!E130),ISNUMBER(K398),ISNUMBER('Offshore - Perth'!F130),ISNUMBER('Offshore - Perth'!G130),OR('Offshore - Perth'!F130&lt;&gt;0,ISNUMBER(SEARCH("Material 0 terverifikasi",'Offshore - Perth'!N130))),OR('Offshore - Perth'!G130&lt;&gt;0,ISNUMBER(SEARCH("Enrolment 0 terverifikasi",'Offshore - Perth'!N130)))),1,0)</f>
        <v>1</v>
      </c>
      <c r="M398" s="0" t="n">
        <f aca="false">IF(OR('Offshore - Perth'!E130="",ISNUMBER(SEARCH("BSB80120",'Offshore - Perth'!B130&amp;'Offshore - Perth'!N130)),ISNUMBER(SEARCH("Management (Learning)",'Offshore - Perth'!B130))),2,IF(ISNUMBER(SEARCH("CEK:",'Offshore - Perth'!N130)),1,0))</f>
        <v>1</v>
      </c>
    </row>
    <row r="399" customFormat="false" ht="15" hidden="false" customHeight="false" outlineLevel="0" collapsed="false">
      <c r="A399" s="63" t="s">
        <v>3573</v>
      </c>
      <c r="B399" s="64" t="s">
        <v>3833</v>
      </c>
      <c r="C399" s="63" t="s">
        <v>42</v>
      </c>
      <c r="D399" s="64" t="str">
        <f aca="false">TRIM(LEFT('Offshore - Perth'!A59,FIND(CHAR(10),'Offshore - Perth'!A59&amp;CHAR(10))-1))</f>
        <v>Global College Australasia</v>
      </c>
      <c r="E399" s="63" t="str">
        <f aca="false">'Offshore - Perth'!C65&amp;""</f>
        <v>2 years</v>
      </c>
      <c r="F399" s="63" t="str">
        <f aca="false">IF('Offshore - Perth'!D65="","Belum tercatat",'Offshore - Perth'!D65)</f>
        <v>Term</v>
      </c>
      <c r="G399" s="65" t="n">
        <f aca="false">IF('Offshore - Perth'!E65="","-",'Offshore - Perth'!E65)</f>
        <v>2580</v>
      </c>
      <c r="H399" s="63" t="n">
        <f aca="false">IF(ISNUMBER(K399),COUNTIFS($J$6:$J$1854,J399,$K$6:$K$1854,"&lt;"&amp;K399)+1,"-")</f>
        <v>4</v>
      </c>
      <c r="I399" s="64" t="str">
        <f aca="false">IF('Offshore - Perth'!E65="","Harga belum tersedia - hubungi konsultan TEG",IF(M399=2,"Saat ini tidak menerima pendaftaran siswa internasional baru",IF(M399=1,"Harga perlu dikonfirmasi ke sekolah"&amp;IF(""="","","; "&amp;""),"")))</f>
        <v>Harga perlu dikonfirmasi ke sekolah</v>
      </c>
      <c r="J399" s="0" t="s">
        <v>3897</v>
      </c>
      <c r="K399" s="0" t="n">
        <f aca="false">IF(M399=2,"",IF(ISNUMBER(SEARCH("rata-rata:",'Offshore - Perth'!N65)),VALUE(MID('Offshore - Perth'!N65,SEARCH("rata-rata:",'Offshore - Perth'!N65)+11,FIND(";",'Offshore - Perth'!N65&amp;";",SEARCH("rata-rata:",'Offshore - Perth'!N65))-SEARCH("rata-rata:",'Offshore - Perth'!N65)-11)),IF('Offshore - Perth'!D65="Semester",'Offshore - Perth'!E65*2,IF('Offshore - Perth'!D65="Trimester",'Offshore - Perth'!E65*3,IF('Offshore - Perth'!D65="Term",'Offshore - Perth'!E65*4,IF('Offshore - Perth'!D65="Unit",'Offshore - Perth'!E65*8,""))))))</f>
        <v>10320</v>
      </c>
      <c r="L399" s="0" t="n">
        <f aca="false">IF(AND(ISNUMBER('Offshore - Perth'!E65),ISNUMBER(K399),ISNUMBER('Offshore - Perth'!F65),ISNUMBER('Offshore - Perth'!G65),OR('Offshore - Perth'!F65&lt;&gt;0,ISNUMBER(SEARCH("Material 0 terverifikasi",'Offshore - Perth'!N65))),OR('Offshore - Perth'!G65&lt;&gt;0,ISNUMBER(SEARCH("Enrolment 0 terverifikasi",'Offshore - Perth'!N65)))),1,0)</f>
        <v>1</v>
      </c>
      <c r="M399" s="0" t="n">
        <f aca="false">IF(OR('Offshore - Perth'!E65="",ISNUMBER(SEARCH("BSB80120",'Offshore - Perth'!B65&amp;'Offshore - Perth'!N65)),ISNUMBER(SEARCH("Management (Learning)",'Offshore - Perth'!B65))),2,IF(ISNUMBER(SEARCH("CEK:",'Offshore - Perth'!N65)),1,0))</f>
        <v>1</v>
      </c>
    </row>
    <row r="400" customFormat="false" ht="15" hidden="false" customHeight="false" outlineLevel="0" collapsed="false">
      <c r="A400" s="63" t="s">
        <v>3573</v>
      </c>
      <c r="B400" s="64" t="s">
        <v>3833</v>
      </c>
      <c r="C400" s="63" t="s">
        <v>42</v>
      </c>
      <c r="D400" s="64" t="str">
        <f aca="false">TRIM(LEFT('Offshore - Perth'!A135,FIND(CHAR(10),'Offshore - Perth'!A135&amp;CHAR(10))-1))</f>
        <v>Skills Institute Australia</v>
      </c>
      <c r="E400" s="63" t="str">
        <f aca="false">'Offshore - Perth'!C143&amp;""</f>
        <v>2 years</v>
      </c>
      <c r="F400" s="63" t="str">
        <f aca="false">IF('Offshore - Perth'!D143="","Belum tercatat",'Offshore - Perth'!D143)</f>
        <v>Term</v>
      </c>
      <c r="G400" s="65" t="n">
        <f aca="false">IF('Offshore - Perth'!E143="","-",'Offshore - Perth'!E143)</f>
        <v>2600</v>
      </c>
      <c r="H400" s="63" t="n">
        <f aca="false">IF(ISNUMBER(K400),COUNTIFS($J$6:$J$1854,J400,$K$6:$K$1854,"&lt;"&amp;K400)+1,"-")</f>
        <v>5</v>
      </c>
      <c r="I400" s="64" t="str">
        <f aca="false">IF('Offshore - Perth'!E143="","Harga belum tersedia - hubungi konsultan TEG",IF(M400=2,"Saat ini tidak menerima pendaftaran siswa internasional baru",IF(M400=1,"Harga perlu dikonfirmasi ke sekolah"&amp;IF(""="","","; "&amp;""),"")))</f>
        <v/>
      </c>
      <c r="J400" s="0" t="s">
        <v>3897</v>
      </c>
      <c r="K400" s="0" t="n">
        <f aca="false">IF(M400=2,"",IF(ISNUMBER(SEARCH("rata-rata:",'Offshore - Perth'!N143)),VALUE(MID('Offshore - Perth'!N143,SEARCH("rata-rata:",'Offshore - Perth'!N143)+11,FIND(";",'Offshore - Perth'!N143&amp;";",SEARCH("rata-rata:",'Offshore - Perth'!N143))-SEARCH("rata-rata:",'Offshore - Perth'!N143)-11)),IF('Offshore - Perth'!D143="Semester",'Offshore - Perth'!E143*2,IF('Offshore - Perth'!D143="Trimester",'Offshore - Perth'!E143*3,IF('Offshore - Perth'!D143="Term",'Offshore - Perth'!E143*4,IF('Offshore - Perth'!D143="Unit",'Offshore - Perth'!E143*8,""))))))</f>
        <v>10400</v>
      </c>
      <c r="L400" s="0" t="n">
        <f aca="false">IF(AND(ISNUMBER('Offshore - Perth'!E143),ISNUMBER(K400),ISNUMBER('Offshore - Perth'!F143),ISNUMBER('Offshore - Perth'!G143),OR('Offshore - Perth'!F143&lt;&gt;0,ISNUMBER(SEARCH("Material 0 terverifikasi",'Offshore - Perth'!N143))),OR('Offshore - Perth'!G143&lt;&gt;0,ISNUMBER(SEARCH("Enrolment 0 terverifikasi",'Offshore - Perth'!N143)))),1,0)</f>
        <v>1</v>
      </c>
      <c r="M400" s="0" t="n">
        <f aca="false">IF(OR('Offshore - Perth'!E143="",ISNUMBER(SEARCH("BSB80120",'Offshore - Perth'!B143&amp;'Offshore - Perth'!N143)),ISNUMBER(SEARCH("Management (Learning)",'Offshore - Perth'!B143))),2,IF(ISNUMBER(SEARCH("CEK:",'Offshore - Perth'!N143)),1,0))</f>
        <v>0</v>
      </c>
    </row>
    <row r="401" customFormat="false" ht="15" hidden="false" customHeight="false" outlineLevel="0" collapsed="false">
      <c r="A401" s="63" t="s">
        <v>3573</v>
      </c>
      <c r="B401" s="64" t="s">
        <v>3833</v>
      </c>
      <c r="C401" s="63" t="s">
        <v>42</v>
      </c>
      <c r="D401" s="64" t="str">
        <f aca="false">TRIM(LEFT('Offshore - Perth'!A120,FIND(CHAR(10),'Offshore - Perth'!A120&amp;CHAR(10))-1))</f>
        <v>Kingston International College</v>
      </c>
      <c r="E401" s="63" t="str">
        <f aca="false">'Offshore - Perth'!C123&amp;""</f>
        <v>3 years</v>
      </c>
      <c r="F401" s="63" t="str">
        <f aca="false">IF('Offshore - Perth'!D123="","Belum tercatat",'Offshore - Perth'!D123)</f>
        <v>Term</v>
      </c>
      <c r="G401" s="65" t="n">
        <f aca="false">IF('Offshore - Perth'!E123="","-",'Offshore - Perth'!E123)</f>
        <v>2625</v>
      </c>
      <c r="H401" s="63" t="n">
        <f aca="false">IF(ISNUMBER(K401),COUNTIFS($J$6:$J$1854,J401,$K$6:$K$1854,"&lt;"&amp;K401)+1,"-")</f>
        <v>6</v>
      </c>
      <c r="I401" s="64" t="str">
        <f aca="false">IF('Offshore - Perth'!E123="","Harga belum tersedia - hubungi konsultan TEG",IF(M401=2,"Saat ini tidak menerima pendaftaran siswa internasional baru",IF(M401=1,"Harga perlu dikonfirmasi ke sekolah"&amp;IF(""="","","; "&amp;""),"")))</f>
        <v/>
      </c>
      <c r="J401" s="0" t="s">
        <v>3897</v>
      </c>
      <c r="K401" s="0" t="n">
        <f aca="false">IF(M401=2,"",IF(ISNUMBER(SEARCH("rata-rata:",'Offshore - Perth'!N123)),VALUE(MID('Offshore - Perth'!N123,SEARCH("rata-rata:",'Offshore - Perth'!N123)+11,FIND(";",'Offshore - Perth'!N123&amp;";",SEARCH("rata-rata:",'Offshore - Perth'!N123))-SEARCH("rata-rata:",'Offshore - Perth'!N123)-11)),IF('Offshore - Perth'!D123="Semester",'Offshore - Perth'!E123*2,IF('Offshore - Perth'!D123="Trimester",'Offshore - Perth'!E123*3,IF('Offshore - Perth'!D123="Term",'Offshore - Perth'!E123*4,IF('Offshore - Perth'!D123="Unit",'Offshore - Perth'!E123*8,""))))))</f>
        <v>10500</v>
      </c>
      <c r="L401" s="0" t="n">
        <f aca="false">IF(AND(ISNUMBER('Offshore - Perth'!E123),ISNUMBER(K401),ISNUMBER('Offshore - Perth'!F123),ISNUMBER('Offshore - Perth'!G123),OR('Offshore - Perth'!F123&lt;&gt;0,ISNUMBER(SEARCH("Material 0 terverifikasi",'Offshore - Perth'!N123))),OR('Offshore - Perth'!G123&lt;&gt;0,ISNUMBER(SEARCH("Enrolment 0 terverifikasi",'Offshore - Perth'!N123)))),1,0)</f>
        <v>1</v>
      </c>
      <c r="M401" s="0" t="n">
        <f aca="false">IF(OR('Offshore - Perth'!E123="",ISNUMBER(SEARCH("BSB80120",'Offshore - Perth'!B123&amp;'Offshore - Perth'!N123)),ISNUMBER(SEARCH("Management (Learning)",'Offshore - Perth'!B123))),2,IF(ISNUMBER(SEARCH("CEK:",'Offshore - Perth'!N123)),1,0))</f>
        <v>0</v>
      </c>
    </row>
    <row r="402" customFormat="false" ht="15" hidden="false" customHeight="false" outlineLevel="0" collapsed="false">
      <c r="A402" s="63" t="s">
        <v>3573</v>
      </c>
      <c r="B402" s="64" t="s">
        <v>3833</v>
      </c>
      <c r="C402" s="63" t="s">
        <v>42</v>
      </c>
      <c r="D402" s="64" t="str">
        <f aca="false">TRIM(LEFT('Offshore - Perth'!A27,FIND(CHAR(10),'Offshore - Perth'!A27&amp;CHAR(10))-1))</f>
        <v>Apeiro Institute</v>
      </c>
      <c r="E402" s="63" t="str">
        <f aca="false">'Offshore - Perth'!C27&amp;""</f>
        <v>2 years</v>
      </c>
      <c r="F402" s="63" t="str">
        <f aca="false">IF('Offshore - Perth'!D27="","Belum tercatat",'Offshore - Perth'!D27)</f>
        <v>Term</v>
      </c>
      <c r="G402" s="65" t="n">
        <f aca="false">IF('Offshore - Perth'!E27="","-",'Offshore - Perth'!E27)</f>
        <v>2875</v>
      </c>
      <c r="H402" s="63" t="n">
        <f aca="false">IF(ISNUMBER(K402),COUNTIFS($J$6:$J$1854,J402,$K$6:$K$1854,"&lt;"&amp;K402)+1,"-")</f>
        <v>7</v>
      </c>
      <c r="I402" s="64" t="str">
        <f aca="false">IF('Offshore - Perth'!E27="","Harga belum tersedia - hubungi konsultan TEG",IF(M402=2,"Saat ini tidak menerima pendaftaran siswa internasional baru",IF(M402=1,"Harga perlu dikonfirmasi ke sekolah"&amp;IF(""="","","; "&amp;""),"")))</f>
        <v/>
      </c>
      <c r="J402" s="0" t="s">
        <v>3897</v>
      </c>
      <c r="K402" s="0" t="n">
        <f aca="false">IF(M402=2,"",IF(ISNUMBER(SEARCH("rata-rata:",'Offshore - Perth'!N27)),VALUE(MID('Offshore - Perth'!N27,SEARCH("rata-rata:",'Offshore - Perth'!N27)+11,FIND(";",'Offshore - Perth'!N27&amp;";",SEARCH("rata-rata:",'Offshore - Perth'!N27))-SEARCH("rata-rata:",'Offshore - Perth'!N27)-11)),IF('Offshore - Perth'!D27="Semester",'Offshore - Perth'!E27*2,IF('Offshore - Perth'!D27="Trimester",'Offshore - Perth'!E27*3,IF('Offshore - Perth'!D27="Term",'Offshore - Perth'!E27*4,IF('Offshore - Perth'!D27="Unit",'Offshore - Perth'!E27*8,""))))))</f>
        <v>11500</v>
      </c>
      <c r="L402" s="0" t="n">
        <f aca="false">IF(AND(ISNUMBER('Offshore - Perth'!E27),ISNUMBER(K402),ISNUMBER('Offshore - Perth'!F27),ISNUMBER('Offshore - Perth'!G27),OR('Offshore - Perth'!F27&lt;&gt;0,ISNUMBER(SEARCH("Material 0 terverifikasi",'Offshore - Perth'!N27))),OR('Offshore - Perth'!G27&lt;&gt;0,ISNUMBER(SEARCH("Enrolment 0 terverifikasi",'Offshore - Perth'!N27)))),1,0)</f>
        <v>1</v>
      </c>
      <c r="M402" s="0" t="n">
        <f aca="false">IF(OR('Offshore - Perth'!E27="",ISNUMBER(SEARCH("BSB80120",'Offshore - Perth'!B27&amp;'Offshore - Perth'!N27)),ISNUMBER(SEARCH("Management (Learning)",'Offshore - Perth'!B27))),2,IF(ISNUMBER(SEARCH("CEK:",'Offshore - Perth'!N27)),1,0))</f>
        <v>0</v>
      </c>
    </row>
    <row r="403" customFormat="false" ht="15" hidden="false" customHeight="false" outlineLevel="0" collapsed="false">
      <c r="A403" s="61" t="s">
        <v>3898</v>
      </c>
      <c r="B403" s="62"/>
      <c r="C403" s="62"/>
      <c r="D403" s="62"/>
      <c r="E403" s="62"/>
      <c r="F403" s="62"/>
      <c r="G403" s="62"/>
      <c r="H403" s="62"/>
      <c r="I403" s="62"/>
    </row>
    <row r="404" customFormat="false" ht="15" hidden="false" customHeight="false" outlineLevel="0" collapsed="false">
      <c r="A404" s="63" t="s">
        <v>3573</v>
      </c>
      <c r="B404" s="64" t="s">
        <v>3833</v>
      </c>
      <c r="C404" s="63" t="s">
        <v>43</v>
      </c>
      <c r="D404" s="64" t="str">
        <f aca="false">TRIM(LEFT('Offshore - Perth'!A133,FIND(CHAR(10),'Offshore - Perth'!A133&amp;CHAR(10))-1))</f>
        <v>Sheridan Institute of Higher Education</v>
      </c>
      <c r="E404" s="63" t="str">
        <f aca="false">'Offshore - Perth'!C133&amp;""</f>
        <v>3 years</v>
      </c>
      <c r="F404" s="63" t="str">
        <f aca="false">IF('Offshore - Perth'!D133="","Belum tercatat",'Offshore - Perth'!D133)</f>
        <v>Semester</v>
      </c>
      <c r="G404" s="65" t="n">
        <f aca="false">IF('Offshore - Perth'!E133="","-",'Offshore - Perth'!E133)</f>
        <v>7520</v>
      </c>
      <c r="H404" s="63" t="n">
        <f aca="false">IF(ISNUMBER(K404),COUNTIFS($J$6:$J$1854,J404,$K$6:$K$1854,"&lt;"&amp;K404)+1,"-")</f>
        <v>1</v>
      </c>
      <c r="I404" s="64" t="str">
        <f aca="false">IF('Offshore - Perth'!E133="","Harga belum tersedia - hubungi konsultan TEG",IF(M404=2,"Saat ini tidak menerima pendaftaran siswa internasional baru",IF(M404=1,"Harga perlu dikonfirmasi ke sekolah"&amp;IF(""="","","; "&amp;""),"")))</f>
        <v/>
      </c>
      <c r="J404" s="0" t="s">
        <v>3899</v>
      </c>
      <c r="K404" s="0" t="n">
        <f aca="false">IF(M404=2,"",IF(ISNUMBER(SEARCH("rata-rata:",'Offshore - Perth'!N133)),VALUE(MID('Offshore - Perth'!N133,SEARCH("rata-rata:",'Offshore - Perth'!N133)+11,FIND(";",'Offshore - Perth'!N133&amp;";",SEARCH("rata-rata:",'Offshore - Perth'!N133))-SEARCH("rata-rata:",'Offshore - Perth'!N133)-11)),IF('Offshore - Perth'!D133="Semester",'Offshore - Perth'!E133*2,IF('Offshore - Perth'!D133="Trimester",'Offshore - Perth'!E133*3,IF('Offshore - Perth'!D133="Term",'Offshore - Perth'!E133*4,IF('Offshore - Perth'!D133="Unit",'Offshore - Perth'!E133*8,""))))))</f>
        <v>15040</v>
      </c>
      <c r="L404" s="0" t="n">
        <f aca="false">IF(AND(ISNUMBER('Offshore - Perth'!E133),ISNUMBER(K404),ISNUMBER('Offshore - Perth'!F133),ISNUMBER('Offshore - Perth'!G133),OR('Offshore - Perth'!F133&lt;&gt;0,ISNUMBER(SEARCH("Material 0 terverifikasi",'Offshore - Perth'!N133))),OR('Offshore - Perth'!G133&lt;&gt;0,ISNUMBER(SEARCH("Enrolment 0 terverifikasi",'Offshore - Perth'!N133)))),1,0)</f>
        <v>0</v>
      </c>
      <c r="M404" s="0" t="n">
        <f aca="false">IF(OR('Offshore - Perth'!E133="",ISNUMBER(SEARCH("BSB80120",'Offshore - Perth'!B133&amp;'Offshore - Perth'!N133)),ISNUMBER(SEARCH("Management (Learning)",'Offshore - Perth'!B133))),2,IF(ISNUMBER(SEARCH("CEK:",'Offshore - Perth'!N133)),1,0))</f>
        <v>0</v>
      </c>
    </row>
    <row r="405" customFormat="false" ht="15" hidden="false" customHeight="false" outlineLevel="0" collapsed="false">
      <c r="A405" s="63" t="s">
        <v>3573</v>
      </c>
      <c r="B405" s="64" t="s">
        <v>3833</v>
      </c>
      <c r="C405" s="63" t="s">
        <v>43</v>
      </c>
      <c r="D405" s="64" t="str">
        <f aca="false">TRIM(LEFT('Offshore - Perth'!A13,FIND(CHAR(10),'Offshore - Perth'!A13&amp;CHAR(10))-1))</f>
        <v>AIBI Higher Education</v>
      </c>
      <c r="E405" s="63" t="str">
        <f aca="false">'Offshore - Perth'!C14&amp;""</f>
        <v>3 years</v>
      </c>
      <c r="F405" s="63" t="str">
        <f aca="false">IF('Offshore - Perth'!D14="","Belum tercatat",'Offshore - Perth'!D14)</f>
        <v>Term</v>
      </c>
      <c r="G405" s="65" t="n">
        <f aca="false">IF('Offshore - Perth'!E14="","-",'Offshore - Perth'!E14)</f>
        <v>4995</v>
      </c>
      <c r="H405" s="63" t="n">
        <f aca="false">IF(ISNUMBER(K405),COUNTIFS($J$6:$J$1854,J405,$K$6:$K$1854,"&lt;"&amp;K405)+1,"-")</f>
        <v>2</v>
      </c>
      <c r="I405" s="64" t="str">
        <f aca="false">IF('Offshore - Perth'!E14="","Harga belum tersedia - hubungi konsultan TEG",IF(M405=2,"Saat ini tidak menerima pendaftaran siswa internasional baru",IF(M405=1,"Harga perlu dikonfirmasi ke sekolah"&amp;IF(""="","","; "&amp;""),"")))</f>
        <v>Harga perlu dikonfirmasi ke sekolah</v>
      </c>
      <c r="J405" s="0" t="s">
        <v>3899</v>
      </c>
      <c r="K405" s="0" t="n">
        <f aca="false">IF(M405=2,"",IF(ISNUMBER(SEARCH("rata-rata:",'Offshore - Perth'!N14)),VALUE(MID('Offshore - Perth'!N14,SEARCH("rata-rata:",'Offshore - Perth'!N14)+11,FIND(";",'Offshore - Perth'!N14&amp;";",SEARCH("rata-rata:",'Offshore - Perth'!N14))-SEARCH("rata-rata:",'Offshore - Perth'!N14)-11)),IF('Offshore - Perth'!D14="Semester",'Offshore - Perth'!E14*2,IF('Offshore - Perth'!D14="Trimester",'Offshore - Perth'!E14*3,IF('Offshore - Perth'!D14="Term",'Offshore - Perth'!E14*4,IF('Offshore - Perth'!D14="Unit",'Offshore - Perth'!E14*8,""))))))</f>
        <v>19980</v>
      </c>
      <c r="L405" s="0" t="n">
        <f aca="false">IF(AND(ISNUMBER('Offshore - Perth'!E14),ISNUMBER(K405),ISNUMBER('Offshore - Perth'!F14),ISNUMBER('Offshore - Perth'!G14),OR('Offshore - Perth'!F14&lt;&gt;0,ISNUMBER(SEARCH("Material 0 terverifikasi",'Offshore - Perth'!N14))),OR('Offshore - Perth'!G14&lt;&gt;0,ISNUMBER(SEARCH("Enrolment 0 terverifikasi",'Offshore - Perth'!N14)))),1,0)</f>
        <v>0</v>
      </c>
      <c r="M405" s="0" t="n">
        <f aca="false">IF(OR('Offshore - Perth'!E14="",ISNUMBER(SEARCH("BSB80120",'Offshore - Perth'!B14&amp;'Offshore - Perth'!N14)),ISNUMBER(SEARCH("Management (Learning)",'Offshore - Perth'!B14))),2,IF(ISNUMBER(SEARCH("CEK:",'Offshore - Perth'!N14)),1,0))</f>
        <v>1</v>
      </c>
    </row>
    <row r="406" customFormat="false" ht="15" hidden="false" customHeight="false" outlineLevel="0" collapsed="false">
      <c r="A406" s="63" t="s">
        <v>3573</v>
      </c>
      <c r="B406" s="64" t="s">
        <v>3833</v>
      </c>
      <c r="C406" s="63" t="s">
        <v>43</v>
      </c>
      <c r="D406" s="64" t="str">
        <f aca="false">TRIM(LEFT('Offshore - Perth'!A91,FIND(CHAR(10),'Offshore - Perth'!A91&amp;CHAR(10))-1))</f>
        <v>Kaplan Business School</v>
      </c>
      <c r="E406" s="63" t="str">
        <f aca="false">'Offshore - Perth'!C92&amp;""</f>
        <v>3 years</v>
      </c>
      <c r="F406" s="63" t="str">
        <f aca="false">IF('Offshore - Perth'!D92="","Belum tercatat",'Offshore - Perth'!D92)</f>
        <v>Trimester</v>
      </c>
      <c r="G406" s="65" t="n">
        <f aca="false">IF('Offshore - Perth'!E92="","-",'Offshore - Perth'!E92)</f>
        <v>11520</v>
      </c>
      <c r="H406" s="63" t="n">
        <f aca="false">IF(ISNUMBER(K406),COUNTIFS($J$6:$J$1854,J406,$K$6:$K$1854,"&lt;"&amp;K406)+1,"-")</f>
        <v>3</v>
      </c>
      <c r="I406" s="64" t="str">
        <f aca="false">IF('Offshore - Perth'!E92="","Harga belum tersedia - hubungi konsultan TEG",IF(M406=2,"Saat ini tidak menerima pendaftaran siswa internasional baru",IF(M406=1,"Harga perlu dikonfirmasi ke sekolah"&amp;IF(""="","","; "&amp;""),"")))</f>
        <v>Harga perlu dikonfirmasi ke sekolah</v>
      </c>
      <c r="J406" s="0" t="s">
        <v>3899</v>
      </c>
      <c r="K406" s="0" t="n">
        <f aca="false">IF(M406=2,"",IF(ISNUMBER(SEARCH("rata-rata:",'Offshore - Perth'!N92)),VALUE(MID('Offshore - Perth'!N92,SEARCH("rata-rata:",'Offshore - Perth'!N92)+11,FIND(";",'Offshore - Perth'!N92&amp;";",SEARCH("rata-rata:",'Offshore - Perth'!N92))-SEARCH("rata-rata:",'Offshore - Perth'!N92)-11)),IF('Offshore - Perth'!D92="Semester",'Offshore - Perth'!E92*2,IF('Offshore - Perth'!D92="Trimester",'Offshore - Perth'!E92*3,IF('Offshore - Perth'!D92="Term",'Offshore - Perth'!E92*4,IF('Offshore - Perth'!D92="Unit",'Offshore - Perth'!E92*8,""))))))</f>
        <v>34560</v>
      </c>
      <c r="L406" s="0" t="n">
        <f aca="false">IF(AND(ISNUMBER('Offshore - Perth'!E92),ISNUMBER(K406),ISNUMBER('Offshore - Perth'!F92),ISNUMBER('Offshore - Perth'!G92),OR('Offshore - Perth'!F92&lt;&gt;0,ISNUMBER(SEARCH("Material 0 terverifikasi",'Offshore - Perth'!N92))),OR('Offshore - Perth'!G92&lt;&gt;0,ISNUMBER(SEARCH("Enrolment 0 terverifikasi",'Offshore - Perth'!N92)))),1,0)</f>
        <v>1</v>
      </c>
      <c r="M406" s="0" t="n">
        <f aca="false">IF(OR('Offshore - Perth'!E92="",ISNUMBER(SEARCH("BSB80120",'Offshore - Perth'!B92&amp;'Offshore - Perth'!N92)),ISNUMBER(SEARCH("Management (Learning)",'Offshore - Perth'!B92))),2,IF(ISNUMBER(SEARCH("CEK:",'Offshore - Perth'!N92)),1,0))</f>
        <v>1</v>
      </c>
    </row>
    <row r="407" customFormat="false" ht="15" hidden="false" customHeight="false" outlineLevel="0" collapsed="false">
      <c r="A407" s="61" t="s">
        <v>3900</v>
      </c>
      <c r="B407" s="62"/>
      <c r="C407" s="62"/>
      <c r="D407" s="62"/>
      <c r="E407" s="62"/>
      <c r="F407" s="62"/>
      <c r="G407" s="62"/>
      <c r="H407" s="62"/>
      <c r="I407" s="62"/>
    </row>
    <row r="408" customFormat="false" ht="15" hidden="false" customHeight="false" outlineLevel="0" collapsed="false">
      <c r="A408" s="63" t="s">
        <v>3573</v>
      </c>
      <c r="B408" s="64" t="s">
        <v>3833</v>
      </c>
      <c r="C408" s="63" t="s">
        <v>3707</v>
      </c>
      <c r="D408" s="64" t="str">
        <f aca="false">TRIM(LEFT('Offshore - Perth'!A13,FIND(CHAR(10),'Offshore - Perth'!A13&amp;CHAR(10))-1))</f>
        <v>AIBI Higher Education</v>
      </c>
      <c r="E408" s="63" t="str">
        <f aca="false">'Offshore - Perth'!C24&amp;""</f>
        <v>8 months</v>
      </c>
      <c r="F408" s="63" t="str">
        <f aca="false">IF('Offshore - Perth'!D24="","Belum tercatat",'Offshore - Perth'!D24)</f>
        <v>Term</v>
      </c>
      <c r="G408" s="65" t="n">
        <f aca="false">IF('Offshore - Perth'!E24="","-",'Offshore - Perth'!E24)</f>
        <v>2700</v>
      </c>
      <c r="H408" s="63" t="n">
        <f aca="false">IF(ISNUMBER(K408),COUNTIFS($J$6:$J$1854,J408,$K$6:$K$1854,"&lt;"&amp;K408)+1,"-")</f>
        <v>1</v>
      </c>
      <c r="I408" s="64" t="str">
        <f aca="false">IF('Offshore - Perth'!E24="","Harga belum tersedia - hubungi konsultan TEG",IF(M408=2,"Saat ini tidak menerima pendaftaran siswa internasional baru",IF(M408=1,"Harga perlu dikonfirmasi ke sekolah"&amp;IF(""="","","; "&amp;""),"")))</f>
        <v>Harga perlu dikonfirmasi ke sekolah</v>
      </c>
      <c r="J408" s="0" t="s">
        <v>3901</v>
      </c>
      <c r="K408" s="0" t="n">
        <f aca="false">IF(M408=2,"",IF(ISNUMBER(SEARCH("rata-rata:",'Offshore - Perth'!N24)),VALUE(MID('Offshore - Perth'!N24,SEARCH("rata-rata:",'Offshore - Perth'!N24)+11,FIND(";",'Offshore - Perth'!N24&amp;";",SEARCH("rata-rata:",'Offshore - Perth'!N24))-SEARCH("rata-rata:",'Offshore - Perth'!N24)-11)),IF('Offshore - Perth'!D24="Semester",'Offshore - Perth'!E24*2,IF('Offshore - Perth'!D24="Trimester",'Offshore - Perth'!E24*3,IF('Offshore - Perth'!D24="Term",'Offshore - Perth'!E24*4,IF('Offshore - Perth'!D24="Unit",'Offshore - Perth'!E24*8,""))))))</f>
        <v>10800</v>
      </c>
      <c r="L408" s="0" t="n">
        <f aca="false">IF(AND(ISNUMBER('Offshore - Perth'!E24),ISNUMBER(K408),ISNUMBER('Offshore - Perth'!F24),ISNUMBER('Offshore - Perth'!G24),OR('Offshore - Perth'!F24&lt;&gt;0,ISNUMBER(SEARCH("Material 0 terverifikasi",'Offshore - Perth'!N24))),OR('Offshore - Perth'!G24&lt;&gt;0,ISNUMBER(SEARCH("Enrolment 0 terverifikasi",'Offshore - Perth'!N24)))),1,0)</f>
        <v>0</v>
      </c>
      <c r="M408" s="0" t="n">
        <f aca="false">IF(OR('Offshore - Perth'!E24="",ISNUMBER(SEARCH("BSB80120",'Offshore - Perth'!B24&amp;'Offshore - Perth'!N24)),ISNUMBER(SEARCH("Management (Learning)",'Offshore - Perth'!B24))),2,IF(ISNUMBER(SEARCH("CEK:",'Offshore - Perth'!N24)),1,0))</f>
        <v>1</v>
      </c>
    </row>
    <row r="409" customFormat="false" ht="15" hidden="false" customHeight="false" outlineLevel="0" collapsed="false">
      <c r="A409" s="63" t="s">
        <v>3573</v>
      </c>
      <c r="B409" s="64" t="s">
        <v>3833</v>
      </c>
      <c r="C409" s="63" t="s">
        <v>3707</v>
      </c>
      <c r="D409" s="64" t="str">
        <f aca="false">TRIM(LEFT('Offshore - Perth'!A120,FIND(CHAR(10),'Offshore - Perth'!A120&amp;CHAR(10))-1))</f>
        <v>Kingston International College</v>
      </c>
      <c r="E409" s="63" t="str">
        <f aca="false">'Offshore - Perth'!C126&amp;""</f>
        <v>2 years</v>
      </c>
      <c r="F409" s="63" t="str">
        <f aca="false">IF('Offshore - Perth'!D126="","Belum tercatat",'Offshore - Perth'!D126)</f>
        <v>Term</v>
      </c>
      <c r="G409" s="65" t="n">
        <f aca="false">IF('Offshore - Perth'!E126="","-",'Offshore - Perth'!E126)</f>
        <v>2815</v>
      </c>
      <c r="H409" s="63" t="n">
        <f aca="false">IF(ISNUMBER(K409),COUNTIFS($J$6:$J$1854,J409,$K$6:$K$1854,"&lt;"&amp;K409)+1,"-")</f>
        <v>2</v>
      </c>
      <c r="I409" s="64" t="str">
        <f aca="false">IF('Offshore - Perth'!E126="","Harga belum tersedia - hubungi konsultan TEG",IF(M409=2,"Saat ini tidak menerima pendaftaran siswa internasional baru",IF(M409=1,"Harga perlu dikonfirmasi ke sekolah"&amp;IF(""="","","; "&amp;""),"")))</f>
        <v/>
      </c>
      <c r="J409" s="0" t="s">
        <v>3901</v>
      </c>
      <c r="K409" s="0" t="n">
        <f aca="false">IF(M409=2,"",IF(ISNUMBER(SEARCH("rata-rata:",'Offshore - Perth'!N126)),VALUE(MID('Offshore - Perth'!N126,SEARCH("rata-rata:",'Offshore - Perth'!N126)+11,FIND(";",'Offshore - Perth'!N126&amp;";",SEARCH("rata-rata:",'Offshore - Perth'!N126))-SEARCH("rata-rata:",'Offshore - Perth'!N126)-11)),IF('Offshore - Perth'!D126="Semester",'Offshore - Perth'!E126*2,IF('Offshore - Perth'!D126="Trimester",'Offshore - Perth'!E126*3,IF('Offshore - Perth'!D126="Term",'Offshore - Perth'!E126*4,IF('Offshore - Perth'!D126="Unit",'Offshore - Perth'!E126*8,""))))))</f>
        <v>11260</v>
      </c>
      <c r="L409" s="0" t="n">
        <f aca="false">IF(AND(ISNUMBER('Offshore - Perth'!E126),ISNUMBER(K409),ISNUMBER('Offshore - Perth'!F126),ISNUMBER('Offshore - Perth'!G126),OR('Offshore - Perth'!F126&lt;&gt;0,ISNUMBER(SEARCH("Material 0 terverifikasi",'Offshore - Perth'!N126))),OR('Offshore - Perth'!G126&lt;&gt;0,ISNUMBER(SEARCH("Enrolment 0 terverifikasi",'Offshore - Perth'!N126)))),1,0)</f>
        <v>1</v>
      </c>
      <c r="M409" s="0" t="n">
        <f aca="false">IF(OR('Offshore - Perth'!E126="",ISNUMBER(SEARCH("BSB80120",'Offshore - Perth'!B126&amp;'Offshore - Perth'!N126)),ISNUMBER(SEARCH("Management (Learning)",'Offshore - Perth'!B126))),2,IF(ISNUMBER(SEARCH("CEK:",'Offshore - Perth'!N126)),1,0))</f>
        <v>0</v>
      </c>
    </row>
    <row r="410" customFormat="false" ht="28.35" hidden="false" customHeight="false" outlineLevel="0" collapsed="false">
      <c r="A410" s="63" t="s">
        <v>3573</v>
      </c>
      <c r="B410" s="64" t="s">
        <v>3833</v>
      </c>
      <c r="C410" s="63" t="s">
        <v>3707</v>
      </c>
      <c r="D410" s="64" t="str">
        <f aca="false">TRIM(LEFT('Offshore - Perth'!A88,FIND(CHAR(10),'Offshore - Perth'!A88&amp;CHAR(10))-1))</f>
        <v>International Institute of Business and Technology (IIBT)</v>
      </c>
      <c r="E410" s="63" t="str">
        <f aca="false">'Offshore - Perth'!C90&amp;""</f>
        <v>1/2 year</v>
      </c>
      <c r="F410" s="63" t="str">
        <f aca="false">IF('Offshore - Perth'!D90="","Belum tercatat",'Offshore - Perth'!D90)</f>
        <v>Term</v>
      </c>
      <c r="G410" s="65" t="n">
        <f aca="false">IF('Offshore - Perth'!E90="","-",'Offshore - Perth'!E90)</f>
        <v>6000</v>
      </c>
      <c r="H410" s="63" t="n">
        <f aca="false">IF(ISNUMBER(K410),COUNTIFS($J$6:$J$1854,J410,$K$6:$K$1854,"&lt;"&amp;K410)+1,"-")</f>
        <v>3</v>
      </c>
      <c r="I410" s="64" t="str">
        <f aca="false">IF('Offshore - Perth'!E90="","Harga belum tersedia - hubungi konsultan TEG",IF(M410=2,"Saat ini tidak menerima pendaftaran siswa internasional baru",IF(M410=1,"Harga perlu dikonfirmasi ke sekolah"&amp;IF(""="","","; "&amp;""),"")))</f>
        <v/>
      </c>
      <c r="J410" s="0" t="s">
        <v>3901</v>
      </c>
      <c r="K410" s="0" t="n">
        <f aca="false">IF(M410=2,"",IF(ISNUMBER(SEARCH("rata-rata:",'Offshore - Perth'!N90)),VALUE(MID('Offshore - Perth'!N90,SEARCH("rata-rata:",'Offshore - Perth'!N90)+11,FIND(";",'Offshore - Perth'!N90&amp;";",SEARCH("rata-rata:",'Offshore - Perth'!N90))-SEARCH("rata-rata:",'Offshore - Perth'!N90)-11)),IF('Offshore - Perth'!D90="Semester",'Offshore - Perth'!E90*2,IF('Offshore - Perth'!D90="Trimester",'Offshore - Perth'!E90*3,IF('Offshore - Perth'!D90="Term",'Offshore - Perth'!E90*4,IF('Offshore - Perth'!D90="Unit",'Offshore - Perth'!E90*8,""))))))</f>
        <v>24000</v>
      </c>
      <c r="L410" s="0" t="n">
        <f aca="false">IF(AND(ISNUMBER('Offshore - Perth'!E90),ISNUMBER(K410),ISNUMBER('Offshore - Perth'!F90),ISNUMBER('Offshore - Perth'!G90),OR('Offshore - Perth'!F90&lt;&gt;0,ISNUMBER(SEARCH("Material 0 terverifikasi",'Offshore - Perth'!N90))),OR('Offshore - Perth'!G90&lt;&gt;0,ISNUMBER(SEARCH("Enrolment 0 terverifikasi",'Offshore - Perth'!N90)))),1,0)</f>
        <v>1</v>
      </c>
      <c r="M410" s="0" t="n">
        <f aca="false">IF(OR('Offshore - Perth'!E90="",ISNUMBER(SEARCH("BSB80120",'Offshore - Perth'!B90&amp;'Offshore - Perth'!N90)),ISNUMBER(SEARCH("Management (Learning)",'Offshore - Perth'!B90))),2,IF(ISNUMBER(SEARCH("CEK:",'Offshore - Perth'!N90)),1,0))</f>
        <v>0</v>
      </c>
    </row>
    <row r="411" customFormat="false" ht="15" hidden="false" customHeight="false" outlineLevel="0" collapsed="false">
      <c r="A411" s="63" t="s">
        <v>3573</v>
      </c>
      <c r="B411" s="64" t="s">
        <v>3833</v>
      </c>
      <c r="C411" s="63" t="s">
        <v>3707</v>
      </c>
      <c r="D411" s="64" t="str">
        <f aca="false">TRIM(LEFT('Offshore - Perth'!A91,FIND(CHAR(10),'Offshore - Perth'!A91&amp;CHAR(10))-1))</f>
        <v>Kaplan Business School</v>
      </c>
      <c r="E411" s="63" t="str">
        <f aca="false">'Offshore - Perth'!C93&amp;""</f>
        <v>0,5 year</v>
      </c>
      <c r="F411" s="63" t="str">
        <f aca="false">IF('Offshore - Perth'!D93="","Belum tercatat",'Offshore - Perth'!D93)</f>
        <v>Trimester</v>
      </c>
      <c r="G411" s="65" t="n">
        <f aca="false">IF('Offshore - Perth'!E93="","-",'Offshore - Perth'!E93)</f>
        <v>19640</v>
      </c>
      <c r="H411" s="63" t="n">
        <f aca="false">IF(ISNUMBER(K411),COUNTIFS($J$6:$J$1854,J411,$K$6:$K$1854,"&lt;"&amp;K411)+1,"-")</f>
        <v>4</v>
      </c>
      <c r="I411" s="64" t="str">
        <f aca="false">IF('Offshore - Perth'!E93="","Harga belum tersedia - hubungi konsultan TEG",IF(M411=2,"Saat ini tidak menerima pendaftaran siswa internasional baru",IF(M411=1,"Harga perlu dikonfirmasi ke sekolah"&amp;IF(""="","","; "&amp;""),"")))</f>
        <v>Harga perlu dikonfirmasi ke sekolah</v>
      </c>
      <c r="J411" s="0" t="s">
        <v>3901</v>
      </c>
      <c r="K411" s="0" t="n">
        <f aca="false">IF(M411=2,"",IF(ISNUMBER(SEARCH("rata-rata:",'Offshore - Perth'!N93)),VALUE(MID('Offshore - Perth'!N93,SEARCH("rata-rata:",'Offshore - Perth'!N93)+11,FIND(";",'Offshore - Perth'!N93&amp;";",SEARCH("rata-rata:",'Offshore - Perth'!N93))-SEARCH("rata-rata:",'Offshore - Perth'!N93)-11)),IF('Offshore - Perth'!D93="Semester",'Offshore - Perth'!E93*2,IF('Offshore - Perth'!D93="Trimester",'Offshore - Perth'!E93*3,IF('Offshore - Perth'!D93="Term",'Offshore - Perth'!E93*4,IF('Offshore - Perth'!D93="Unit",'Offshore - Perth'!E93*8,""))))))</f>
        <v>58920</v>
      </c>
      <c r="L411" s="0" t="n">
        <f aca="false">IF(AND(ISNUMBER('Offshore - Perth'!E93),ISNUMBER(K411),ISNUMBER('Offshore - Perth'!F93),ISNUMBER('Offshore - Perth'!G93),OR('Offshore - Perth'!F93&lt;&gt;0,ISNUMBER(SEARCH("Material 0 terverifikasi",'Offshore - Perth'!N93))),OR('Offshore - Perth'!G93&lt;&gt;0,ISNUMBER(SEARCH("Enrolment 0 terverifikasi",'Offshore - Perth'!N93)))),1,0)</f>
        <v>1</v>
      </c>
      <c r="M411" s="0" t="n">
        <f aca="false">IF(OR('Offshore - Perth'!E93="",ISNUMBER(SEARCH("BSB80120",'Offshore - Perth'!B93&amp;'Offshore - Perth'!N93)),ISNUMBER(SEARCH("Management (Learning)",'Offshore - Perth'!B93))),2,IF(ISNUMBER(SEARCH("CEK:",'Offshore - Perth'!N93)),1,0))</f>
        <v>1</v>
      </c>
    </row>
    <row r="412" customFormat="false" ht="15" hidden="false" customHeight="false" outlineLevel="0" collapsed="false">
      <c r="A412" s="61" t="s">
        <v>3902</v>
      </c>
      <c r="B412" s="62"/>
      <c r="C412" s="62"/>
      <c r="D412" s="62"/>
      <c r="E412" s="62"/>
      <c r="F412" s="62"/>
      <c r="G412" s="62"/>
      <c r="H412" s="62"/>
      <c r="I412" s="62"/>
    </row>
    <row r="413" customFormat="false" ht="15" hidden="false" customHeight="false" outlineLevel="0" collapsed="false">
      <c r="A413" s="63" t="s">
        <v>3573</v>
      </c>
      <c r="B413" s="64" t="s">
        <v>3833</v>
      </c>
      <c r="C413" s="63" t="s">
        <v>46</v>
      </c>
      <c r="D413" s="64" t="str">
        <f aca="false">TRIM(LEFT('Offshore - Perth'!A13,FIND(CHAR(10),'Offshore - Perth'!A13&amp;CHAR(10))-1))</f>
        <v>AIBI Higher Education</v>
      </c>
      <c r="E413" s="63" t="str">
        <f aca="false">'Offshore - Perth'!C18&amp;""</f>
        <v>2 years</v>
      </c>
      <c r="F413" s="63" t="str">
        <f aca="false">IF('Offshore - Perth'!D18="","Belum tercatat",'Offshore - Perth'!D18)</f>
        <v>Term</v>
      </c>
      <c r="G413" s="65" t="n">
        <f aca="false">IF('Offshore - Perth'!E18="","-",'Offshore - Perth'!E18)</f>
        <v>4050</v>
      </c>
      <c r="H413" s="63" t="n">
        <f aca="false">IF(ISNUMBER(K413),COUNTIFS($J$6:$J$1854,J413,$K$6:$K$1854,"&lt;"&amp;K413)+1,"-")</f>
        <v>1</v>
      </c>
      <c r="I413" s="64" t="str">
        <f aca="false">IF('Offshore - Perth'!E18="","Harga belum tersedia - hubungi konsultan TEG",IF(M413=2,"Saat ini tidak menerima pendaftaran siswa internasional baru",IF(M413=1,"Harga perlu dikonfirmasi ke sekolah"&amp;IF(""="","","; "&amp;""),"")))</f>
        <v>Harga perlu dikonfirmasi ke sekolah</v>
      </c>
      <c r="J413" s="0" t="s">
        <v>3903</v>
      </c>
      <c r="K413" s="0" t="n">
        <f aca="false">IF(M413=2,"",IF(ISNUMBER(SEARCH("rata-rata:",'Offshore - Perth'!N18)),VALUE(MID('Offshore - Perth'!N18,SEARCH("rata-rata:",'Offshore - Perth'!N18)+11,FIND(";",'Offshore - Perth'!N18&amp;";",SEARCH("rata-rata:",'Offshore - Perth'!N18))-SEARCH("rata-rata:",'Offshore - Perth'!N18)-11)),IF('Offshore - Perth'!D18="Semester",'Offshore - Perth'!E18*2,IF('Offshore - Perth'!D18="Trimester",'Offshore - Perth'!E18*3,IF('Offshore - Perth'!D18="Term",'Offshore - Perth'!E18*4,IF('Offshore - Perth'!D18="Unit",'Offshore - Perth'!E18*8,""))))))</f>
        <v>16200</v>
      </c>
      <c r="L413" s="0" t="n">
        <f aca="false">IF(AND(ISNUMBER('Offshore - Perth'!E18),ISNUMBER(K413),ISNUMBER('Offshore - Perth'!F18),ISNUMBER('Offshore - Perth'!G18),OR('Offshore - Perth'!F18&lt;&gt;0,ISNUMBER(SEARCH("Material 0 terverifikasi",'Offshore - Perth'!N18))),OR('Offshore - Perth'!G18&lt;&gt;0,ISNUMBER(SEARCH("Enrolment 0 terverifikasi",'Offshore - Perth'!N18)))),1,0)</f>
        <v>0</v>
      </c>
      <c r="M413" s="0" t="n">
        <f aca="false">IF(OR('Offshore - Perth'!E18="",ISNUMBER(SEARCH("BSB80120",'Offshore - Perth'!B18&amp;'Offshore - Perth'!N18)),ISNUMBER(SEARCH("Management (Learning)",'Offshore - Perth'!B18))),2,IF(ISNUMBER(SEARCH("CEK:",'Offshore - Perth'!N18)),1,0))</f>
        <v>1</v>
      </c>
    </row>
    <row r="414" customFormat="false" ht="15" hidden="false" customHeight="false" outlineLevel="0" collapsed="false">
      <c r="A414" s="63" t="s">
        <v>3573</v>
      </c>
      <c r="B414" s="64" t="s">
        <v>3833</v>
      </c>
      <c r="C414" s="63" t="s">
        <v>46</v>
      </c>
      <c r="D414" s="64" t="str">
        <f aca="false">TRIM(LEFT('Offshore - Perth'!A41,FIND(CHAR(10),'Offshore - Perth'!A41&amp;CHAR(10))-1))</f>
        <v>CIHE Australia</v>
      </c>
      <c r="E414" s="63" t="str">
        <f aca="false">'Offshore - Perth'!C48&amp;""</f>
        <v>1,5 years</v>
      </c>
      <c r="F414" s="63" t="str">
        <f aca="false">IF('Offshore - Perth'!D48="","Belum tercatat",'Offshore - Perth'!D48)</f>
        <v>Term</v>
      </c>
      <c r="G414" s="65" t="n">
        <f aca="false">IF('Offshore - Perth'!E48="","-",'Offshore - Perth'!E48)</f>
        <v>4400</v>
      </c>
      <c r="H414" s="63" t="n">
        <f aca="false">IF(ISNUMBER(K414),COUNTIFS($J$6:$J$1854,J414,$K$6:$K$1854,"&lt;"&amp;K414)+1,"-")</f>
        <v>2</v>
      </c>
      <c r="I414" s="64" t="str">
        <f aca="false">IF('Offshore - Perth'!E48="","Harga belum tersedia - hubungi konsultan TEG",IF(M414=2,"Saat ini tidak menerima pendaftaran siswa internasional baru",IF(M414=1,"Harga perlu dikonfirmasi ke sekolah"&amp;IF(""="","","; "&amp;""),"")))</f>
        <v>Harga perlu dikonfirmasi ke sekolah</v>
      </c>
      <c r="J414" s="0" t="s">
        <v>3903</v>
      </c>
      <c r="K414" s="0" t="n">
        <f aca="false">IF(M414=2,"",IF(ISNUMBER(SEARCH("rata-rata:",'Offshore - Perth'!N48)),VALUE(MID('Offshore - Perth'!N48,SEARCH("rata-rata:",'Offshore - Perth'!N48)+11,FIND(";",'Offshore - Perth'!N48&amp;";",SEARCH("rata-rata:",'Offshore - Perth'!N48))-SEARCH("rata-rata:",'Offshore - Perth'!N48)-11)),IF('Offshore - Perth'!D48="Semester",'Offshore - Perth'!E48*2,IF('Offshore - Perth'!D48="Trimester",'Offshore - Perth'!E48*3,IF('Offshore - Perth'!D48="Term",'Offshore - Perth'!E48*4,IF('Offshore - Perth'!D48="Unit",'Offshore - Perth'!E48*8,""))))))</f>
        <v>17600</v>
      </c>
      <c r="L414" s="0" t="n">
        <f aca="false">IF(AND(ISNUMBER('Offshore - Perth'!E48),ISNUMBER(K414),ISNUMBER('Offshore - Perth'!F48),ISNUMBER('Offshore - Perth'!G48),OR('Offshore - Perth'!F48&lt;&gt;0,ISNUMBER(SEARCH("Material 0 terverifikasi",'Offshore - Perth'!N48))),OR('Offshore - Perth'!G48&lt;&gt;0,ISNUMBER(SEARCH("Enrolment 0 terverifikasi",'Offshore - Perth'!N48)))),1,0)</f>
        <v>1</v>
      </c>
      <c r="M414" s="0" t="n">
        <f aca="false">IF(OR('Offshore - Perth'!E48="",ISNUMBER(SEARCH("BSB80120",'Offshore - Perth'!B48&amp;'Offshore - Perth'!N48)),ISNUMBER(SEARCH("Management (Learning)",'Offshore - Perth'!B48))),2,IF(ISNUMBER(SEARCH("CEK:",'Offshore - Perth'!N48)),1,0))</f>
        <v>1</v>
      </c>
    </row>
    <row r="415" customFormat="false" ht="15" hidden="false" customHeight="false" outlineLevel="0" collapsed="false">
      <c r="A415" s="63" t="s">
        <v>3573</v>
      </c>
      <c r="B415" s="64" t="s">
        <v>3833</v>
      </c>
      <c r="C415" s="63" t="s">
        <v>46</v>
      </c>
      <c r="D415" s="64" t="str">
        <f aca="false">TRIM(LEFT('Offshore - Perth'!A91,FIND(CHAR(10),'Offshore - Perth'!A91&amp;CHAR(10))-1))</f>
        <v>Kaplan Business School</v>
      </c>
      <c r="E415" s="63" t="str">
        <f aca="false">'Offshore - Perth'!C95&amp;""</f>
        <v>1,5 years</v>
      </c>
      <c r="F415" s="63" t="str">
        <f aca="false">IF('Offshore - Perth'!D95="","Belum tercatat",'Offshore - Perth'!D95)</f>
        <v>Trimester</v>
      </c>
      <c r="G415" s="65" t="n">
        <f aca="false">IF('Offshore - Perth'!E95="","-",'Offshore - Perth'!E95)</f>
        <v>19640</v>
      </c>
      <c r="H415" s="63" t="n">
        <f aca="false">IF(ISNUMBER(K415),COUNTIFS($J$6:$J$1854,J415,$K$6:$K$1854,"&lt;"&amp;K415)+1,"-")</f>
        <v>3</v>
      </c>
      <c r="I415" s="64" t="str">
        <f aca="false">IF('Offshore - Perth'!E95="","Harga belum tersedia - hubungi konsultan TEG",IF(M415=2,"Saat ini tidak menerima pendaftaran siswa internasional baru",IF(M415=1,"Harga perlu dikonfirmasi ke sekolah"&amp;IF(""="","","; "&amp;""),"")))</f>
        <v>Harga perlu dikonfirmasi ke sekolah</v>
      </c>
      <c r="J415" s="0" t="s">
        <v>3903</v>
      </c>
      <c r="K415" s="0" t="n">
        <f aca="false">IF(M415=2,"",IF(ISNUMBER(SEARCH("rata-rata:",'Offshore - Perth'!N95)),VALUE(MID('Offshore - Perth'!N95,SEARCH("rata-rata:",'Offshore - Perth'!N95)+11,FIND(";",'Offshore - Perth'!N95&amp;";",SEARCH("rata-rata:",'Offshore - Perth'!N95))-SEARCH("rata-rata:",'Offshore - Perth'!N95)-11)),IF('Offshore - Perth'!D95="Semester",'Offshore - Perth'!E95*2,IF('Offshore - Perth'!D95="Trimester",'Offshore - Perth'!E95*3,IF('Offshore - Perth'!D95="Term",'Offshore - Perth'!E95*4,IF('Offshore - Perth'!D95="Unit",'Offshore - Perth'!E95*8,""))))))</f>
        <v>58920</v>
      </c>
      <c r="L415" s="0" t="n">
        <f aca="false">IF(AND(ISNUMBER('Offshore - Perth'!E95),ISNUMBER(K415),ISNUMBER('Offshore - Perth'!F95),ISNUMBER('Offshore - Perth'!G95),OR('Offshore - Perth'!F95&lt;&gt;0,ISNUMBER(SEARCH("Material 0 terverifikasi",'Offshore - Perth'!N95))),OR('Offshore - Perth'!G95&lt;&gt;0,ISNUMBER(SEARCH("Enrolment 0 terverifikasi",'Offshore - Perth'!N95)))),1,0)</f>
        <v>1</v>
      </c>
      <c r="M415" s="0" t="n">
        <f aca="false">IF(OR('Offshore - Perth'!E95="",ISNUMBER(SEARCH("BSB80120",'Offshore - Perth'!B95&amp;'Offshore - Perth'!N95)),ISNUMBER(SEARCH("Management (Learning)",'Offshore - Perth'!B95))),2,IF(ISNUMBER(SEARCH("CEK:",'Offshore - Perth'!N95)),1,0))</f>
        <v>1</v>
      </c>
    </row>
    <row r="416" customFormat="false" ht="15" hidden="false" customHeight="false" outlineLevel="0" collapsed="false">
      <c r="A416" s="61" t="s">
        <v>3904</v>
      </c>
      <c r="B416" s="62"/>
      <c r="C416" s="62"/>
      <c r="D416" s="62"/>
      <c r="E416" s="62"/>
      <c r="F416" s="62"/>
      <c r="G416" s="62"/>
      <c r="H416" s="62"/>
      <c r="I416" s="62"/>
    </row>
    <row r="417" customFormat="false" ht="15" hidden="false" customHeight="false" outlineLevel="0" collapsed="false">
      <c r="A417" s="63" t="s">
        <v>3533</v>
      </c>
      <c r="B417" s="64" t="s">
        <v>3833</v>
      </c>
      <c r="C417" s="63" t="s">
        <v>40</v>
      </c>
      <c r="D417" s="64" t="str">
        <f aca="false">TRIM(LEFT('Offshore - Sydney'!A296,FIND(CHAR(10),'Offshore - Sydney'!A296&amp;CHAR(10))-1))</f>
        <v>Australian Ideal College (AIC)</v>
      </c>
      <c r="E417" s="63" t="str">
        <f aca="false">'Offshore - Sydney'!C296&amp;""</f>
        <v>1,5 years</v>
      </c>
      <c r="F417" s="63" t="str">
        <f aca="false">IF('Offshore - Sydney'!D296="","Belum tercatat",'Offshore - Sydney'!D296)</f>
        <v>Term</v>
      </c>
      <c r="G417" s="65" t="n">
        <f aca="false">IF('Offshore - Sydney'!E296="","-",'Offshore - Sydney'!E296)</f>
        <v>1500</v>
      </c>
      <c r="H417" s="63" t="n">
        <f aca="false">IF(ISNUMBER(K417),COUNTIFS($J$6:$J$1854,J417,$K$6:$K$1854,"&lt;"&amp;K417)+1,"-")</f>
        <v>1</v>
      </c>
      <c r="I417" s="64" t="str">
        <f aca="false">IF('Offshore - Sydney'!E296="","Harga belum tersedia - hubungi konsultan TEG",IF(M417=2,"Saat ini tidak menerima pendaftaran siswa internasional baru",IF(M417=1,"Harga perlu dikonfirmasi ke sekolah"&amp;IF(""="","","; "&amp;""),"")))</f>
        <v>Harga perlu dikonfirmasi ke sekolah</v>
      </c>
      <c r="J417" s="0" t="s">
        <v>3905</v>
      </c>
      <c r="K417" s="0" t="n">
        <f aca="false">IF(M417=2,"",IF(ISNUMBER(SEARCH("rata-rata:",'Offshore - Sydney'!N296)),VALUE(MID('Offshore - Sydney'!N296,SEARCH("rata-rata:",'Offshore - Sydney'!N296)+11,FIND(";",'Offshore - Sydney'!N296&amp;";",SEARCH("rata-rata:",'Offshore - Sydney'!N296))-SEARCH("rata-rata:",'Offshore - Sydney'!N296)-11)),IF('Offshore - Sydney'!D296="Semester",'Offshore - Sydney'!E296*2,IF('Offshore - Sydney'!D296="Trimester",'Offshore - Sydney'!E296*3,IF('Offshore - Sydney'!D296="Term",'Offshore - Sydney'!E296*4,IF('Offshore - Sydney'!D296="Unit",'Offshore - Sydney'!E296*8,""))))))</f>
        <v>6000</v>
      </c>
      <c r="L417" s="0" t="n">
        <f aca="false">IF(AND(ISNUMBER('Offshore - Sydney'!E296),ISNUMBER(K417),ISNUMBER('Offshore - Sydney'!F296),ISNUMBER('Offshore - Sydney'!G296),OR('Offshore - Sydney'!F296&lt;&gt;0,ISNUMBER(SEARCH("Material 0 terverifikasi",'Offshore - Sydney'!N296))),OR('Offshore - Sydney'!G296&lt;&gt;0,ISNUMBER(SEARCH("Enrolment 0 terverifikasi",'Offshore - Sydney'!N296)))),1,0)</f>
        <v>1</v>
      </c>
      <c r="M417" s="0" t="n">
        <f aca="false">IF(OR('Offshore - Sydney'!E296="",ISNUMBER(SEARCH("BSB80120",'Offshore - Sydney'!B296&amp;'Offshore - Sydney'!N296)),ISNUMBER(SEARCH("Management (Learning)",'Offshore - Sydney'!B296))),2,IF(ISNUMBER(SEARCH("CEK:",'Offshore - Sydney'!N296)),1,0))</f>
        <v>1</v>
      </c>
    </row>
    <row r="418" customFormat="false" ht="15" hidden="false" customHeight="false" outlineLevel="0" collapsed="false">
      <c r="A418" s="63" t="s">
        <v>3533</v>
      </c>
      <c r="B418" s="64" t="s">
        <v>3833</v>
      </c>
      <c r="C418" s="63" t="s">
        <v>40</v>
      </c>
      <c r="D418" s="64" t="str">
        <f aca="false">TRIM(LEFT('Offshore - Sydney'!A941,FIND(CHAR(10),'Offshore - Sydney'!A941&amp;CHAR(10))-1))</f>
        <v>Victory Institute</v>
      </c>
      <c r="E418" s="63" t="str">
        <f aca="false">'Offshore - Sydney'!C941&amp;""</f>
        <v>2 years</v>
      </c>
      <c r="F418" s="63" t="str">
        <f aca="false">IF('Offshore - Sydney'!D941="","Belum tercatat",'Offshore - Sydney'!D941)</f>
        <v>Term</v>
      </c>
      <c r="G418" s="65" t="n">
        <f aca="false">IF('Offshore - Sydney'!E941="","-",'Offshore - Sydney'!E941)</f>
        <v>1500</v>
      </c>
      <c r="H418" s="63" t="n">
        <f aca="false">IF(ISNUMBER(K418),COUNTIFS($J$6:$J$1854,J418,$K$6:$K$1854,"&lt;"&amp;K418)+1,"-")</f>
        <v>1</v>
      </c>
      <c r="I418" s="64" t="str">
        <f aca="false">IF('Offshore - Sydney'!E941="","Harga belum tersedia - hubungi konsultan TEG",IF(M418=2,"Saat ini tidak menerima pendaftaran siswa internasional baru",IF(M418=1,"Harga perlu dikonfirmasi ke sekolah"&amp;IF(""="","","; "&amp;""),"")))</f>
        <v/>
      </c>
      <c r="J418" s="0" t="s">
        <v>3905</v>
      </c>
      <c r="K418" s="0" t="n">
        <f aca="false">IF(M418=2,"",IF(ISNUMBER(SEARCH("rata-rata:",'Offshore - Sydney'!N941)),VALUE(MID('Offshore - Sydney'!N941,SEARCH("rata-rata:",'Offshore - Sydney'!N941)+11,FIND(";",'Offshore - Sydney'!N941&amp;";",SEARCH("rata-rata:",'Offshore - Sydney'!N941))-SEARCH("rata-rata:",'Offshore - Sydney'!N941)-11)),IF('Offshore - Sydney'!D941="Semester",'Offshore - Sydney'!E941*2,IF('Offshore - Sydney'!D941="Trimester",'Offshore - Sydney'!E941*3,IF('Offshore - Sydney'!D941="Term",'Offshore - Sydney'!E941*4,IF('Offshore - Sydney'!D941="Unit",'Offshore - Sydney'!E941*8,""))))))</f>
        <v>6000</v>
      </c>
      <c r="L418" s="0" t="n">
        <f aca="false">IF(AND(ISNUMBER('Offshore - Sydney'!E941),ISNUMBER(K418),ISNUMBER('Offshore - Sydney'!F941),ISNUMBER('Offshore - Sydney'!G941),OR('Offshore - Sydney'!F941&lt;&gt;0,ISNUMBER(SEARCH("Material 0 terverifikasi",'Offshore - Sydney'!N941))),OR('Offshore - Sydney'!G941&lt;&gt;0,ISNUMBER(SEARCH("Enrolment 0 terverifikasi",'Offshore - Sydney'!N941)))),1,0)</f>
        <v>1</v>
      </c>
      <c r="M418" s="0" t="n">
        <f aca="false">IF(OR('Offshore - Sydney'!E941="",ISNUMBER(SEARCH("BSB80120",'Offshore - Sydney'!B941&amp;'Offshore - Sydney'!N941)),ISNUMBER(SEARCH("Management (Learning)",'Offshore - Sydney'!B941))),2,IF(ISNUMBER(SEARCH("CEK:",'Offshore - Sydney'!N941)),1,0))</f>
        <v>0</v>
      </c>
    </row>
    <row r="419" customFormat="false" ht="15" hidden="false" customHeight="false" outlineLevel="0" collapsed="false">
      <c r="A419" s="63" t="s">
        <v>3533</v>
      </c>
      <c r="B419" s="64" t="s">
        <v>3833</v>
      </c>
      <c r="C419" s="63" t="s">
        <v>40</v>
      </c>
      <c r="D419" s="64" t="str">
        <f aca="false">TRIM(LEFT('Offshore - Sydney'!A948,FIND(CHAR(10),'Offshore - Sydney'!A948&amp;CHAR(10))-1))</f>
        <v>Warwick Institute of Australia</v>
      </c>
      <c r="E419" s="63" t="str">
        <f aca="false">'Offshore - Sydney'!C953&amp;""</f>
        <v>2 years</v>
      </c>
      <c r="F419" s="63" t="str">
        <f aca="false">IF('Offshore - Sydney'!D953="","Belum tercatat",'Offshore - Sydney'!D953)</f>
        <v>Term</v>
      </c>
      <c r="G419" s="65" t="n">
        <f aca="false">IF('Offshore - Sydney'!E953="","-",'Offshore - Sydney'!E953)</f>
        <v>1500</v>
      </c>
      <c r="H419" s="63" t="n">
        <f aca="false">IF(ISNUMBER(K419),COUNTIFS($J$6:$J$1854,J419,$K$6:$K$1854,"&lt;"&amp;K419)+1,"-")</f>
        <v>1</v>
      </c>
      <c r="I419" s="64" t="str">
        <f aca="false">IF('Offshore - Sydney'!E953="","Harga belum tersedia - hubungi konsultan TEG",IF(M419=2,"Saat ini tidak menerima pendaftaran siswa internasional baru",IF(M419=1,"Harga perlu dikonfirmasi ke sekolah"&amp;IF(""="","","; "&amp;""),"")))</f>
        <v/>
      </c>
      <c r="J419" s="0" t="s">
        <v>3905</v>
      </c>
      <c r="K419" s="0" t="n">
        <f aca="false">IF(M419=2,"",IF(ISNUMBER(SEARCH("rata-rata:",'Offshore - Sydney'!N953)),VALUE(MID('Offshore - Sydney'!N953,SEARCH("rata-rata:",'Offshore - Sydney'!N953)+11,FIND(";",'Offshore - Sydney'!N953&amp;";",SEARCH("rata-rata:",'Offshore - Sydney'!N953))-SEARCH("rata-rata:",'Offshore - Sydney'!N953)-11)),IF('Offshore - Sydney'!D953="Semester",'Offshore - Sydney'!E953*2,IF('Offshore - Sydney'!D953="Trimester",'Offshore - Sydney'!E953*3,IF('Offshore - Sydney'!D953="Term",'Offshore - Sydney'!E953*4,IF('Offshore - Sydney'!D953="Unit",'Offshore - Sydney'!E953*8,""))))))</f>
        <v>6000</v>
      </c>
      <c r="L419" s="0" t="n">
        <f aca="false">IF(AND(ISNUMBER('Offshore - Sydney'!E953),ISNUMBER(K419),ISNUMBER('Offshore - Sydney'!F953),ISNUMBER('Offshore - Sydney'!G953),OR('Offshore - Sydney'!F953&lt;&gt;0,ISNUMBER(SEARCH("Material 0 terverifikasi",'Offshore - Sydney'!N953))),OR('Offshore - Sydney'!G953&lt;&gt;0,ISNUMBER(SEARCH("Enrolment 0 terverifikasi",'Offshore - Sydney'!N953)))),1,0)</f>
        <v>1</v>
      </c>
      <c r="M419" s="0" t="n">
        <f aca="false">IF(OR('Offshore - Sydney'!E953="",ISNUMBER(SEARCH("BSB80120",'Offshore - Sydney'!B953&amp;'Offshore - Sydney'!N953)),ISNUMBER(SEARCH("Management (Learning)",'Offshore - Sydney'!B953))),2,IF(ISNUMBER(SEARCH("CEK:",'Offshore - Sydney'!N953)),1,0))</f>
        <v>0</v>
      </c>
    </row>
    <row r="420" customFormat="false" ht="28.35" hidden="false" customHeight="false" outlineLevel="0" collapsed="false">
      <c r="A420" s="63" t="s">
        <v>3533</v>
      </c>
      <c r="B420" s="64" t="s">
        <v>3833</v>
      </c>
      <c r="C420" s="63" t="s">
        <v>40</v>
      </c>
      <c r="D420" s="64" t="str">
        <f aca="false">TRIM(LEFT('Offshore - Sydney'!A261,FIND(CHAR(10),'Offshore - Sydney'!A261&amp;CHAR(10))-1))</f>
        <v>Australian College of Business Intelligence (ACBI)</v>
      </c>
      <c r="E420" s="63" t="str">
        <f aca="false">'Offshore - Sydney'!C271&amp;""</f>
        <v>52 weeks (4 terms)</v>
      </c>
      <c r="F420" s="63" t="str">
        <f aca="false">IF('Offshore - Sydney'!D271="","Belum tercatat",'Offshore - Sydney'!D271)</f>
        <v>Term</v>
      </c>
      <c r="G420" s="65" t="n">
        <f aca="false">IF('Offshore - Sydney'!E271="","-",'Offshore - Sydney'!E271)</f>
        <v>1710</v>
      </c>
      <c r="H420" s="63" t="n">
        <f aca="false">IF(ISNUMBER(K420),COUNTIFS($J$6:$J$1854,J420,$K$6:$K$1854,"&lt;"&amp;K420)+1,"-")</f>
        <v>4</v>
      </c>
      <c r="I420" s="64" t="str">
        <f aca="false">IF('Offshore - Sydney'!E271="","Harga belum tersedia - hubungi konsultan TEG",IF(M420=2,"Saat ini tidak menerima pendaftaran siswa internasional baru",IF(M420=1,"Harga perlu dikonfirmasi ke sekolah"&amp;IF(""="","","; "&amp;""),"")))</f>
        <v/>
      </c>
      <c r="J420" s="0" t="s">
        <v>3905</v>
      </c>
      <c r="K420" s="0" t="n">
        <f aca="false">IF(M420=2,"",IF(ISNUMBER(SEARCH("rata-rata:",'Offshore - Sydney'!N271)),VALUE(MID('Offshore - Sydney'!N271,SEARCH("rata-rata:",'Offshore - Sydney'!N271)+11,FIND(";",'Offshore - Sydney'!N271&amp;";",SEARCH("rata-rata:",'Offshore - Sydney'!N271))-SEARCH("rata-rata:",'Offshore - Sydney'!N271)-11)),IF('Offshore - Sydney'!D271="Semester",'Offshore - Sydney'!E271*2,IF('Offshore - Sydney'!D271="Trimester",'Offshore - Sydney'!E271*3,IF('Offshore - Sydney'!D271="Term",'Offshore - Sydney'!E271*4,IF('Offshore - Sydney'!D271="Unit",'Offshore - Sydney'!E271*8,""))))))</f>
        <v>6840</v>
      </c>
      <c r="L420" s="0" t="n">
        <f aca="false">IF(AND(ISNUMBER('Offshore - Sydney'!E271),ISNUMBER(K420),ISNUMBER('Offshore - Sydney'!F271),ISNUMBER('Offshore - Sydney'!G271),OR('Offshore - Sydney'!F271&lt;&gt;0,ISNUMBER(SEARCH("Material 0 terverifikasi",'Offshore - Sydney'!N271))),OR('Offshore - Sydney'!G271&lt;&gt;0,ISNUMBER(SEARCH("Enrolment 0 terverifikasi",'Offshore - Sydney'!N271)))),1,0)</f>
        <v>1</v>
      </c>
      <c r="M420" s="0" t="n">
        <f aca="false">IF(OR('Offshore - Sydney'!E271="",ISNUMBER(SEARCH("BSB80120",'Offshore - Sydney'!B271&amp;'Offshore - Sydney'!N271)),ISNUMBER(SEARCH("Management (Learning)",'Offshore - Sydney'!B271))),2,IF(ISNUMBER(SEARCH("CEK:",'Offshore - Sydney'!N271)),1,0))</f>
        <v>0</v>
      </c>
    </row>
    <row r="421" customFormat="false" ht="15" hidden="false" customHeight="false" outlineLevel="0" collapsed="false">
      <c r="A421" s="63" t="s">
        <v>3533</v>
      </c>
      <c r="B421" s="64" t="s">
        <v>3833</v>
      </c>
      <c r="C421" s="63" t="s">
        <v>40</v>
      </c>
      <c r="D421" s="64" t="str">
        <f aca="false">TRIM(LEFT('Offshore - Sydney'!A123,FIND(CHAR(10),'Offshore - Sydney'!A123&amp;CHAR(10))-1))</f>
        <v>Apeiro Institute</v>
      </c>
      <c r="E421" s="63" t="str">
        <f aca="false">'Offshore - Sydney'!C129&amp;""</f>
        <v>2 years</v>
      </c>
      <c r="F421" s="63" t="str">
        <f aca="false">IF('Offshore - Sydney'!D129="","Belum tercatat",'Offshore - Sydney'!D129)</f>
        <v>Term</v>
      </c>
      <c r="G421" s="65" t="n">
        <f aca="false">IF('Offshore - Sydney'!E129="","-",'Offshore - Sydney'!E129)</f>
        <v>3900</v>
      </c>
      <c r="H421" s="63" t="n">
        <f aca="false">IF(ISNUMBER(K421),COUNTIFS($J$6:$J$1854,J421,$K$6:$K$1854,"&lt;"&amp;K421)+1,"-")</f>
        <v>5</v>
      </c>
      <c r="I421" s="64" t="str">
        <f aca="false">IF('Offshore - Sydney'!E129="","Harga belum tersedia - hubungi konsultan TEG",IF(M421=2,"Saat ini tidak menerima pendaftaran siswa internasional baru",IF(M421=1,"Harga perlu dikonfirmasi ke sekolah"&amp;IF(""="","","; "&amp;""),"")))</f>
        <v/>
      </c>
      <c r="J421" s="0" t="s">
        <v>3905</v>
      </c>
      <c r="K421" s="0" t="n">
        <f aca="false">IF(M421=2,"",IF(ISNUMBER(SEARCH("rata-rata:",'Offshore - Sydney'!N129)),VALUE(MID('Offshore - Sydney'!N129,SEARCH("rata-rata:",'Offshore - Sydney'!N129)+11,FIND(";",'Offshore - Sydney'!N129&amp;";",SEARCH("rata-rata:",'Offshore - Sydney'!N129))-SEARCH("rata-rata:",'Offshore - Sydney'!N129)-11)),IF('Offshore - Sydney'!D129="Semester",'Offshore - Sydney'!E129*2,IF('Offshore - Sydney'!D129="Trimester",'Offshore - Sydney'!E129*3,IF('Offshore - Sydney'!D129="Term",'Offshore - Sydney'!E129*4,IF('Offshore - Sydney'!D129="Unit",'Offshore - Sydney'!E129*8,""))))))</f>
        <v>15600</v>
      </c>
      <c r="L421" s="0" t="n">
        <f aca="false">IF(AND(ISNUMBER('Offshore - Sydney'!E129),ISNUMBER(K421),ISNUMBER('Offshore - Sydney'!F129),ISNUMBER('Offshore - Sydney'!G129),OR('Offshore - Sydney'!F129&lt;&gt;0,ISNUMBER(SEARCH("Material 0 terverifikasi",'Offshore - Sydney'!N129))),OR('Offshore - Sydney'!G129&lt;&gt;0,ISNUMBER(SEARCH("Enrolment 0 terverifikasi",'Offshore - Sydney'!N129)))),1,0)</f>
        <v>1</v>
      </c>
      <c r="M421" s="0" t="n">
        <f aca="false">IF(OR('Offshore - Sydney'!E129="",ISNUMBER(SEARCH("BSB80120",'Offshore - Sydney'!B129&amp;'Offshore - Sydney'!N129)),ISNUMBER(SEARCH("Management (Learning)",'Offshore - Sydney'!B129))),2,IF(ISNUMBER(SEARCH("CEK:",'Offshore - Sydney'!N129)),1,0))</f>
        <v>0</v>
      </c>
    </row>
    <row r="422" customFormat="false" ht="15" hidden="false" customHeight="false" outlineLevel="0" collapsed="false">
      <c r="A422" s="63" t="s">
        <v>3533</v>
      </c>
      <c r="B422" s="64" t="s">
        <v>3833</v>
      </c>
      <c r="C422" s="63" t="s">
        <v>40</v>
      </c>
      <c r="D422" s="64" t="str">
        <f aca="false">TRIM(LEFT('Offshore - Sydney'!A721,FIND(CHAR(10),'Offshore - Sydney'!A721&amp;CHAR(10))-1))</f>
        <v>TAFE NSW</v>
      </c>
      <c r="E422" s="63" t="str">
        <f aca="false">'Offshore - Sydney'!C732&amp;""</f>
        <v>0,5 year</v>
      </c>
      <c r="F422" s="63" t="str">
        <f aca="false">IF('Offshore - Sydney'!D732="","Belum tercatat",'Offshore - Sydney'!D732)</f>
        <v>Term</v>
      </c>
      <c r="G422" s="65" t="n">
        <f aca="false">IF('Offshore - Sydney'!E732="","-",'Offshore - Sydney'!E732)</f>
        <v>4025</v>
      </c>
      <c r="H422" s="63" t="n">
        <f aca="false">IF(ISNUMBER(K422),COUNTIFS($J$6:$J$1854,J422,$K$6:$K$1854,"&lt;"&amp;K422)+1,"-")</f>
        <v>6</v>
      </c>
      <c r="I422" s="64" t="str">
        <f aca="false">IF('Offshore - Sydney'!E732="","Harga belum tersedia - hubungi konsultan TEG",IF(M422=2,"Saat ini tidak menerima pendaftaran siswa internasional baru",IF(M422=1,"Harga perlu dikonfirmasi ke sekolah"&amp;IF(""="","","; "&amp;""),"")))</f>
        <v/>
      </c>
      <c r="J422" s="0" t="s">
        <v>3905</v>
      </c>
      <c r="K422" s="0" t="n">
        <f aca="false">IF(M422=2,"",IF(ISNUMBER(SEARCH("rata-rata:",'Offshore - Sydney'!N732)),VALUE(MID('Offshore - Sydney'!N732,SEARCH("rata-rata:",'Offshore - Sydney'!N732)+11,FIND(";",'Offshore - Sydney'!N732&amp;";",SEARCH("rata-rata:",'Offshore - Sydney'!N732))-SEARCH("rata-rata:",'Offshore - Sydney'!N732)-11)),IF('Offshore - Sydney'!D732="Semester",'Offshore - Sydney'!E732*2,IF('Offshore - Sydney'!D732="Trimester",'Offshore - Sydney'!E732*3,IF('Offshore - Sydney'!D732="Term",'Offshore - Sydney'!E732*4,IF('Offshore - Sydney'!D732="Unit",'Offshore - Sydney'!E732*8,""))))))</f>
        <v>16100</v>
      </c>
      <c r="L422" s="0" t="n">
        <f aca="false">IF(AND(ISNUMBER('Offshore - Sydney'!E732),ISNUMBER(K422),ISNUMBER('Offshore - Sydney'!F732),ISNUMBER('Offshore - Sydney'!G732),OR('Offshore - Sydney'!F732&lt;&gt;0,ISNUMBER(SEARCH("Material 0 terverifikasi",'Offshore - Sydney'!N732))),OR('Offshore - Sydney'!G732&lt;&gt;0,ISNUMBER(SEARCH("Enrolment 0 terverifikasi",'Offshore - Sydney'!N732)))),1,0)</f>
        <v>0</v>
      </c>
      <c r="M422" s="0" t="n">
        <f aca="false">IF(OR('Offshore - Sydney'!E732="",ISNUMBER(SEARCH("BSB80120",'Offshore - Sydney'!B732&amp;'Offshore - Sydney'!N732)),ISNUMBER(SEARCH("Management (Learning)",'Offshore - Sydney'!B732))),2,IF(ISNUMBER(SEARCH("CEK:",'Offshore - Sydney'!N732)),1,0))</f>
        <v>0</v>
      </c>
    </row>
    <row r="423" customFormat="false" ht="15" hidden="false" customHeight="false" outlineLevel="0" collapsed="false">
      <c r="A423" s="61" t="s">
        <v>3906</v>
      </c>
      <c r="B423" s="62"/>
      <c r="C423" s="62"/>
      <c r="D423" s="62"/>
      <c r="E423" s="62"/>
      <c r="F423" s="62"/>
      <c r="G423" s="62"/>
      <c r="H423" s="62"/>
      <c r="I423" s="62"/>
    </row>
    <row r="424" customFormat="false" ht="15" hidden="false" customHeight="false" outlineLevel="0" collapsed="false">
      <c r="A424" s="63" t="s">
        <v>3533</v>
      </c>
      <c r="B424" s="64" t="s">
        <v>3833</v>
      </c>
      <c r="C424" s="63" t="s">
        <v>41</v>
      </c>
      <c r="D424" s="64" t="str">
        <f aca="false">TRIM(LEFT('Offshore - Sydney'!A448,FIND(CHAR(10),'Offshore - Sydney'!A448&amp;CHAR(10))-1))</f>
        <v>Greenwich College</v>
      </c>
      <c r="E424" s="63" t="str">
        <f aca="false">'Offshore - Sydney'!C452&amp;""</f>
        <v>96 weeks</v>
      </c>
      <c r="F424" s="63" t="str">
        <f aca="false">IF('Offshore - Sydney'!D452="","Belum tercatat",'Offshore - Sydney'!D452)</f>
        <v>Term</v>
      </c>
      <c r="G424" s="65" t="n">
        <f aca="false">IF('Offshore - Sydney'!E452="","-",'Offshore - Sydney'!E452)</f>
        <v>1250</v>
      </c>
      <c r="H424" s="63" t="n">
        <f aca="false">IF(ISNUMBER(K424),COUNTIFS($J$6:$J$1854,J424,$K$6:$K$1854,"&lt;"&amp;K424)+1,"-")</f>
        <v>1</v>
      </c>
      <c r="I424" s="64" t="str">
        <f aca="false">IF('Offshore - Sydney'!E452="","Harga belum tersedia - hubungi konsultan TEG",IF(M424=2,"Saat ini tidak menerima pendaftaran siswa internasional baru",IF(M424=1,"Harga perlu dikonfirmasi ke sekolah"&amp;IF(""="","","; "&amp;""),"")))</f>
        <v/>
      </c>
      <c r="J424" s="0" t="s">
        <v>3907</v>
      </c>
      <c r="K424" s="0" t="n">
        <f aca="false">IF(M424=2,"",IF(ISNUMBER(SEARCH("rata-rata:",'Offshore - Sydney'!N452)),VALUE(MID('Offshore - Sydney'!N452,SEARCH("rata-rata:",'Offshore - Sydney'!N452)+11,FIND(";",'Offshore - Sydney'!N452&amp;";",SEARCH("rata-rata:",'Offshore - Sydney'!N452))-SEARCH("rata-rata:",'Offshore - Sydney'!N452)-11)),IF('Offshore - Sydney'!D452="Semester",'Offshore - Sydney'!E452*2,IF('Offshore - Sydney'!D452="Trimester",'Offshore - Sydney'!E452*3,IF('Offshore - Sydney'!D452="Term",'Offshore - Sydney'!E452*4,IF('Offshore - Sydney'!D452="Unit",'Offshore - Sydney'!E452*8,""))))))</f>
        <v>5000</v>
      </c>
      <c r="L424" s="0" t="n">
        <f aca="false">IF(AND(ISNUMBER('Offshore - Sydney'!E452),ISNUMBER(K424),ISNUMBER('Offshore - Sydney'!F452),ISNUMBER('Offshore - Sydney'!G452),OR('Offshore - Sydney'!F452&lt;&gt;0,ISNUMBER(SEARCH("Material 0 terverifikasi",'Offshore - Sydney'!N452))),OR('Offshore - Sydney'!G452&lt;&gt;0,ISNUMBER(SEARCH("Enrolment 0 terverifikasi",'Offshore - Sydney'!N452)))),1,0)</f>
        <v>1</v>
      </c>
      <c r="M424" s="0" t="n">
        <f aca="false">IF(OR('Offshore - Sydney'!E452="",ISNUMBER(SEARCH("BSB80120",'Offshore - Sydney'!B452&amp;'Offshore - Sydney'!N452)),ISNUMBER(SEARCH("Management (Learning)",'Offshore - Sydney'!B452))),2,IF(ISNUMBER(SEARCH("CEK:",'Offshore - Sydney'!N452)),1,0))</f>
        <v>0</v>
      </c>
    </row>
    <row r="425" customFormat="false" ht="28.35" hidden="false" customHeight="false" outlineLevel="0" collapsed="false">
      <c r="A425" s="63" t="s">
        <v>3533</v>
      </c>
      <c r="B425" s="64" t="s">
        <v>3833</v>
      </c>
      <c r="C425" s="63" t="s">
        <v>41</v>
      </c>
      <c r="D425" s="64" t="str">
        <f aca="false">TRIM(LEFT('Offshore - Sydney'!A261,FIND(CHAR(10),'Offshore - Sydney'!A261&amp;CHAR(10))-1))</f>
        <v>Australian College of Business Intelligence (ACBI)</v>
      </c>
      <c r="E425" s="63" t="str">
        <f aca="false">'Offshore - Sydney'!C261&amp;""</f>
        <v>52 weeks (4 terms)</v>
      </c>
      <c r="F425" s="63" t="str">
        <f aca="false">IF('Offshore - Sydney'!D261="","Belum tercatat",'Offshore - Sydney'!D261)</f>
        <v>Term</v>
      </c>
      <c r="G425" s="65" t="n">
        <f aca="false">IF('Offshore - Sydney'!E261="","-",'Offshore - Sydney'!E261)</f>
        <v>1350</v>
      </c>
      <c r="H425" s="63" t="n">
        <f aca="false">IF(ISNUMBER(K425),COUNTIFS($J$6:$J$1854,J425,$K$6:$K$1854,"&lt;"&amp;K425)+1,"-")</f>
        <v>2</v>
      </c>
      <c r="I425" s="64" t="str">
        <f aca="false">IF('Offshore - Sydney'!E261="","Harga belum tersedia - hubungi konsultan TEG",IF(M425=2,"Saat ini tidak menerima pendaftaran siswa internasional baru",IF(M425=1,"Harga perlu dikonfirmasi ke sekolah"&amp;IF(""="","","; "&amp;""),"")))</f>
        <v/>
      </c>
      <c r="J425" s="0" t="s">
        <v>3907</v>
      </c>
      <c r="K425" s="0" t="n">
        <f aca="false">IF(M425=2,"",IF(ISNUMBER(SEARCH("rata-rata:",'Offshore - Sydney'!N261)),VALUE(MID('Offshore - Sydney'!N261,SEARCH("rata-rata:",'Offshore - Sydney'!N261)+11,FIND(";",'Offshore - Sydney'!N261&amp;";",SEARCH("rata-rata:",'Offshore - Sydney'!N261))-SEARCH("rata-rata:",'Offshore - Sydney'!N261)-11)),IF('Offshore - Sydney'!D261="Semester",'Offshore - Sydney'!E261*2,IF('Offshore - Sydney'!D261="Trimester",'Offshore - Sydney'!E261*3,IF('Offshore - Sydney'!D261="Term",'Offshore - Sydney'!E261*4,IF('Offshore - Sydney'!D261="Unit",'Offshore - Sydney'!E261*8,""))))))</f>
        <v>5400</v>
      </c>
      <c r="L425" s="0" t="n">
        <f aca="false">IF(AND(ISNUMBER('Offshore - Sydney'!E261),ISNUMBER(K425),ISNUMBER('Offshore - Sydney'!F261),ISNUMBER('Offshore - Sydney'!G261),OR('Offshore - Sydney'!F261&lt;&gt;0,ISNUMBER(SEARCH("Material 0 terverifikasi",'Offshore - Sydney'!N261))),OR('Offshore - Sydney'!G261&lt;&gt;0,ISNUMBER(SEARCH("Enrolment 0 terverifikasi",'Offshore - Sydney'!N261)))),1,0)</f>
        <v>1</v>
      </c>
      <c r="M425" s="0" t="n">
        <f aca="false">IF(OR('Offshore - Sydney'!E261="",ISNUMBER(SEARCH("BSB80120",'Offshore - Sydney'!B261&amp;'Offshore - Sydney'!N261)),ISNUMBER(SEARCH("Management (Learning)",'Offshore - Sydney'!B261))),2,IF(ISNUMBER(SEARCH("CEK:",'Offshore - Sydney'!N261)),1,0))</f>
        <v>0</v>
      </c>
    </row>
    <row r="426" customFormat="false" ht="15" hidden="false" customHeight="false" outlineLevel="0" collapsed="false">
      <c r="A426" s="63" t="s">
        <v>3533</v>
      </c>
      <c r="B426" s="64" t="s">
        <v>3833</v>
      </c>
      <c r="C426" s="63" t="s">
        <v>41</v>
      </c>
      <c r="D426" s="64" t="str">
        <f aca="false">TRIM(LEFT('Offshore - Sydney'!A349,FIND(CHAR(10),'Offshore - Sydney'!A349&amp;CHAR(10))-1))</f>
        <v>Capstone Institute of Australia (CIA)</v>
      </c>
      <c r="E426" s="63" t="str">
        <f aca="false">'Offshore - Sydney'!C351&amp;""</f>
        <v>3 years</v>
      </c>
      <c r="F426" s="63" t="str">
        <f aca="false">IF('Offshore - Sydney'!D351="","Belum tercatat",'Offshore - Sydney'!D351)</f>
        <v>Term</v>
      </c>
      <c r="G426" s="65" t="n">
        <f aca="false">IF('Offshore - Sydney'!E351="","-",'Offshore - Sydney'!E351)</f>
        <v>1350</v>
      </c>
      <c r="H426" s="63" t="n">
        <f aca="false">IF(ISNUMBER(K426),COUNTIFS($J$6:$J$1854,J426,$K$6:$K$1854,"&lt;"&amp;K426)+1,"-")</f>
        <v>2</v>
      </c>
      <c r="I426" s="64" t="str">
        <f aca="false">IF('Offshore - Sydney'!E351="","Harga belum tersedia - hubungi konsultan TEG",IF(M426=2,"Saat ini tidak menerima pendaftaran siswa internasional baru",IF(M426=1,"Program perlu dikonfirmasi ketersediaannya"&amp;IF(""="","","; "&amp;""),"")))</f>
        <v>Program perlu dikonfirmasi ketersediaannya</v>
      </c>
      <c r="J426" s="0" t="s">
        <v>3907</v>
      </c>
      <c r="K426" s="0" t="n">
        <f aca="false">IF(M426=2,"",IF(ISNUMBER(SEARCH("rata-rata:",'Offshore - Sydney'!N351)),VALUE(MID('Offshore - Sydney'!N351,SEARCH("rata-rata:",'Offshore - Sydney'!N351)+11,FIND(";",'Offshore - Sydney'!N351&amp;";",SEARCH("rata-rata:",'Offshore - Sydney'!N351))-SEARCH("rata-rata:",'Offshore - Sydney'!N351)-11)),IF('Offshore - Sydney'!D351="Semester",'Offshore - Sydney'!E351*2,IF('Offshore - Sydney'!D351="Trimester",'Offshore - Sydney'!E351*3,IF('Offshore - Sydney'!D351="Term",'Offshore - Sydney'!E351*4,IF('Offshore - Sydney'!D351="Unit",'Offshore - Sydney'!E351*8,""))))))</f>
        <v>5400</v>
      </c>
      <c r="L426" s="0" t="n">
        <f aca="false">IF(AND(ISNUMBER('Offshore - Sydney'!E351),ISNUMBER(K426),ISNUMBER('Offshore - Sydney'!F351),ISNUMBER('Offshore - Sydney'!G351),OR('Offshore - Sydney'!F351&lt;&gt;0,ISNUMBER(SEARCH("Material 0 terverifikasi",'Offshore - Sydney'!N351))),OR('Offshore - Sydney'!G351&lt;&gt;0,ISNUMBER(SEARCH("Enrolment 0 terverifikasi",'Offshore - Sydney'!N351)))),1,0)</f>
        <v>1</v>
      </c>
      <c r="M426" s="0" t="n">
        <f aca="false">IF(OR('Offshore - Sydney'!E351="",ISNUMBER(SEARCH("BSB80120",'Offshore - Sydney'!B351&amp;'Offshore - Sydney'!N351)),ISNUMBER(SEARCH("Management (Learning)",'Offshore - Sydney'!B351))),2,IF(ISNUMBER(SEARCH("CEK:",'Offshore - Sydney'!N351)),1,0))</f>
        <v>1</v>
      </c>
    </row>
    <row r="427" customFormat="false" ht="15" hidden="false" customHeight="false" outlineLevel="0" collapsed="false">
      <c r="A427" s="63" t="s">
        <v>3533</v>
      </c>
      <c r="B427" s="64" t="s">
        <v>3833</v>
      </c>
      <c r="C427" s="63" t="s">
        <v>41</v>
      </c>
      <c r="D427" s="64" t="str">
        <f aca="false">TRIM(LEFT('Offshore - Sydney'!A715,FIND(CHAR(10),'Offshore - Sydney'!A715&amp;CHAR(10))-1))</f>
        <v>Sydney Metropolitan International College</v>
      </c>
      <c r="E427" s="63" t="str">
        <f aca="false">'Offshore - Sydney'!C716&amp;""</f>
        <v>2 years</v>
      </c>
      <c r="F427" s="63" t="str">
        <f aca="false">IF('Offshore - Sydney'!D716="","Belum tercatat",'Offshore - Sydney'!D716)</f>
        <v>Term</v>
      </c>
      <c r="G427" s="65" t="n">
        <f aca="false">IF('Offshore - Sydney'!E716="","-",'Offshore - Sydney'!E716)</f>
        <v>1350</v>
      </c>
      <c r="H427" s="63" t="n">
        <f aca="false">IF(ISNUMBER(K427),COUNTIFS($J$6:$J$1854,J427,$K$6:$K$1854,"&lt;"&amp;K427)+1,"-")</f>
        <v>2</v>
      </c>
      <c r="I427" s="64" t="str">
        <f aca="false">IF('Offshore - Sydney'!E716="","Harga belum tersedia - hubungi konsultan TEG",IF(M427=2,"Saat ini tidak menerima pendaftaran siswa internasional baru",IF(M427=1,"Harga perlu dikonfirmasi ke sekolah"&amp;IF(""="","","; "&amp;""),"")))</f>
        <v/>
      </c>
      <c r="J427" s="0" t="s">
        <v>3907</v>
      </c>
      <c r="K427" s="0" t="n">
        <f aca="false">IF(M427=2,"",IF(ISNUMBER(SEARCH("rata-rata:",'Offshore - Sydney'!N716)),VALUE(MID('Offshore - Sydney'!N716,SEARCH("rata-rata:",'Offshore - Sydney'!N716)+11,FIND(";",'Offshore - Sydney'!N716&amp;";",SEARCH("rata-rata:",'Offshore - Sydney'!N716))-SEARCH("rata-rata:",'Offshore - Sydney'!N716)-11)),IF('Offshore - Sydney'!D716="Semester",'Offshore - Sydney'!E716*2,IF('Offshore - Sydney'!D716="Trimester",'Offshore - Sydney'!E716*3,IF('Offshore - Sydney'!D716="Term",'Offshore - Sydney'!E716*4,IF('Offshore - Sydney'!D716="Unit",'Offshore - Sydney'!E716*8,""))))))</f>
        <v>5400</v>
      </c>
      <c r="L427" s="0" t="n">
        <f aca="false">IF(AND(ISNUMBER('Offshore - Sydney'!E716),ISNUMBER(K427),ISNUMBER('Offshore - Sydney'!F716),ISNUMBER('Offshore - Sydney'!G716),OR('Offshore - Sydney'!F716&lt;&gt;0,ISNUMBER(SEARCH("Material 0 terverifikasi",'Offshore - Sydney'!N716))),OR('Offshore - Sydney'!G716&lt;&gt;0,ISNUMBER(SEARCH("Enrolment 0 terverifikasi",'Offshore - Sydney'!N716)))),1,0)</f>
        <v>1</v>
      </c>
      <c r="M427" s="0" t="n">
        <f aca="false">IF(OR('Offshore - Sydney'!E716="",ISNUMBER(SEARCH("BSB80120",'Offshore - Sydney'!B716&amp;'Offshore - Sydney'!N716)),ISNUMBER(SEARCH("Management (Learning)",'Offshore - Sydney'!B716))),2,IF(ISNUMBER(SEARCH("CEK:",'Offshore - Sydney'!N716)),1,0))</f>
        <v>0</v>
      </c>
    </row>
    <row r="428" customFormat="false" ht="15" hidden="false" customHeight="false" outlineLevel="0" collapsed="false">
      <c r="A428" s="63" t="s">
        <v>3533</v>
      </c>
      <c r="B428" s="64" t="s">
        <v>3833</v>
      </c>
      <c r="C428" s="63" t="s">
        <v>41</v>
      </c>
      <c r="D428" s="64" t="str">
        <f aca="false">TRIM(LEFT('Offshore - Sydney'!A929,FIND(CHAR(10),'Offshore - Sydney'!A929&amp;CHAR(10))-1))</f>
        <v>VIA Education</v>
      </c>
      <c r="E428" s="63" t="str">
        <f aca="false">'Offshore - Sydney'!C929&amp;""</f>
        <v>2,5 years</v>
      </c>
      <c r="F428" s="63" t="str">
        <f aca="false">IF('Offshore - Sydney'!D929="","Belum tercatat",'Offshore - Sydney'!D929)</f>
        <v>Term</v>
      </c>
      <c r="G428" s="65" t="n">
        <f aca="false">IF('Offshore - Sydney'!E929="","-",'Offshore - Sydney'!E929)</f>
        <v>1400</v>
      </c>
      <c r="H428" s="63" t="n">
        <f aca="false">IF(ISNUMBER(K428),COUNTIFS($J$6:$J$1854,J428,$K$6:$K$1854,"&lt;"&amp;K428)+1,"-")</f>
        <v>5</v>
      </c>
      <c r="I428" s="64" t="str">
        <f aca="false">IF('Offshore - Sydney'!E929="","Harga belum tersedia - hubungi konsultan TEG",IF(M428=2,"Saat ini tidak menerima pendaftaran siswa internasional baru",IF(M428=1,"Harga perlu dikonfirmasi ke sekolah"&amp;IF(""="","","; "&amp;""),"")))</f>
        <v/>
      </c>
      <c r="J428" s="0" t="s">
        <v>3907</v>
      </c>
      <c r="K428" s="0" t="n">
        <f aca="false">IF(M428=2,"",IF(ISNUMBER(SEARCH("rata-rata:",'Offshore - Sydney'!N929)),VALUE(MID('Offshore - Sydney'!N929,SEARCH("rata-rata:",'Offshore - Sydney'!N929)+11,FIND(";",'Offshore - Sydney'!N929&amp;";",SEARCH("rata-rata:",'Offshore - Sydney'!N929))-SEARCH("rata-rata:",'Offshore - Sydney'!N929)-11)),IF('Offshore - Sydney'!D929="Semester",'Offshore - Sydney'!E929*2,IF('Offshore - Sydney'!D929="Trimester",'Offshore - Sydney'!E929*3,IF('Offshore - Sydney'!D929="Term",'Offshore - Sydney'!E929*4,IF('Offshore - Sydney'!D929="Unit",'Offshore - Sydney'!E929*8,""))))))</f>
        <v>5600</v>
      </c>
      <c r="L428" s="0" t="n">
        <f aca="false">IF(AND(ISNUMBER('Offshore - Sydney'!E929),ISNUMBER(K428),ISNUMBER('Offshore - Sydney'!F929),ISNUMBER('Offshore - Sydney'!G929),OR('Offshore - Sydney'!F929&lt;&gt;0,ISNUMBER(SEARCH("Material 0 terverifikasi",'Offshore - Sydney'!N929))),OR('Offshore - Sydney'!G929&lt;&gt;0,ISNUMBER(SEARCH("Enrolment 0 terverifikasi",'Offshore - Sydney'!N929)))),1,0)</f>
        <v>1</v>
      </c>
      <c r="M428" s="0" t="n">
        <f aca="false">IF(OR('Offshore - Sydney'!E929="",ISNUMBER(SEARCH("BSB80120",'Offshore - Sydney'!B929&amp;'Offshore - Sydney'!N929)),ISNUMBER(SEARCH("Management (Learning)",'Offshore - Sydney'!B929))),2,IF(ISNUMBER(SEARCH("CEK:",'Offshore - Sydney'!N929)),1,0))</f>
        <v>0</v>
      </c>
    </row>
    <row r="429" customFormat="false" ht="15" hidden="false" customHeight="false" outlineLevel="0" collapsed="false">
      <c r="A429" s="63" t="s">
        <v>3533</v>
      </c>
      <c r="B429" s="64" t="s">
        <v>3833</v>
      </c>
      <c r="C429" s="63" t="s">
        <v>41</v>
      </c>
      <c r="D429" s="64" t="str">
        <f aca="false">TRIM(LEFT('Offshore - Sydney'!A296,FIND(CHAR(10),'Offshore - Sydney'!A296&amp;CHAR(10))-1))</f>
        <v>Australian Ideal College (AIC)</v>
      </c>
      <c r="E429" s="63" t="str">
        <f aca="false">'Offshore - Sydney'!C297&amp;""</f>
        <v>2,5 years</v>
      </c>
      <c r="F429" s="63" t="str">
        <f aca="false">IF('Offshore - Sydney'!D297="","Belum tercatat",'Offshore - Sydney'!D297)</f>
        <v>Term</v>
      </c>
      <c r="G429" s="65" t="n">
        <f aca="false">IF('Offshore - Sydney'!E297="","-",'Offshore - Sydney'!E297)</f>
        <v>1500</v>
      </c>
      <c r="H429" s="63" t="n">
        <f aca="false">IF(ISNUMBER(K429),COUNTIFS($J$6:$J$1854,J429,$K$6:$K$1854,"&lt;"&amp;K429)+1,"-")</f>
        <v>6</v>
      </c>
      <c r="I429" s="64" t="str">
        <f aca="false">IF('Offshore - Sydney'!E297="","Harga belum tersedia - hubungi konsultan TEG",IF(M429=2,"Saat ini tidak menerima pendaftaran siswa internasional baru",IF(M429=1,"Harga perlu dikonfirmasi ke sekolah"&amp;IF(""="","","; "&amp;""),"")))</f>
        <v/>
      </c>
      <c r="J429" s="0" t="s">
        <v>3907</v>
      </c>
      <c r="K429" s="0" t="n">
        <f aca="false">IF(M429=2,"",IF(ISNUMBER(SEARCH("rata-rata:",'Offshore - Sydney'!N297)),VALUE(MID('Offshore - Sydney'!N297,SEARCH("rata-rata:",'Offshore - Sydney'!N297)+11,FIND(";",'Offshore - Sydney'!N297&amp;";",SEARCH("rata-rata:",'Offshore - Sydney'!N297))-SEARCH("rata-rata:",'Offshore - Sydney'!N297)-11)),IF('Offshore - Sydney'!D297="Semester",'Offshore - Sydney'!E297*2,IF('Offshore - Sydney'!D297="Trimester",'Offshore - Sydney'!E297*3,IF('Offshore - Sydney'!D297="Term",'Offshore - Sydney'!E297*4,IF('Offshore - Sydney'!D297="Unit",'Offshore - Sydney'!E297*8,""))))))</f>
        <v>6000</v>
      </c>
      <c r="L429" s="0" t="n">
        <f aca="false">IF(AND(ISNUMBER('Offshore - Sydney'!E297),ISNUMBER(K429),ISNUMBER('Offshore - Sydney'!F297),ISNUMBER('Offshore - Sydney'!G297),OR('Offshore - Sydney'!F297&lt;&gt;0,ISNUMBER(SEARCH("Material 0 terverifikasi",'Offshore - Sydney'!N297))),OR('Offshore - Sydney'!G297&lt;&gt;0,ISNUMBER(SEARCH("Enrolment 0 terverifikasi",'Offshore - Sydney'!N297)))),1,0)</f>
        <v>1</v>
      </c>
      <c r="M429" s="0" t="n">
        <f aca="false">IF(OR('Offshore - Sydney'!E297="",ISNUMBER(SEARCH("BSB80120",'Offshore - Sydney'!B297&amp;'Offshore - Sydney'!N297)),ISNUMBER(SEARCH("Management (Learning)",'Offshore - Sydney'!B297))),2,IF(ISNUMBER(SEARCH("CEK:",'Offshore - Sydney'!N297)),1,0))</f>
        <v>0</v>
      </c>
    </row>
    <row r="430" customFormat="false" ht="15" hidden="false" customHeight="false" outlineLevel="0" collapsed="false">
      <c r="A430" s="63" t="s">
        <v>3533</v>
      </c>
      <c r="B430" s="64" t="s">
        <v>3833</v>
      </c>
      <c r="C430" s="63" t="s">
        <v>41</v>
      </c>
      <c r="D430" s="64" t="str">
        <f aca="false">TRIM(LEFT('Offshore - Sydney'!A333,FIND(CHAR(10),'Offshore - Sydney'!A333&amp;CHAR(10))-1))</f>
        <v>Berkeley Business Institute (BBI)</v>
      </c>
      <c r="E430" s="63" t="str">
        <f aca="false">'Offshore - Sydney'!C333&amp;""</f>
        <v>2,5 years</v>
      </c>
      <c r="F430" s="63" t="str">
        <f aca="false">IF('Offshore - Sydney'!D333="","Belum tercatat",'Offshore - Sydney'!D333)</f>
        <v>Term</v>
      </c>
      <c r="G430" s="65" t="n">
        <f aca="false">IF('Offshore - Sydney'!E333="","-",'Offshore - Sydney'!E333)</f>
        <v>1500</v>
      </c>
      <c r="H430" s="63" t="n">
        <f aca="false">IF(ISNUMBER(K430),COUNTIFS($J$6:$J$1854,J430,$K$6:$K$1854,"&lt;"&amp;K430)+1,"-")</f>
        <v>6</v>
      </c>
      <c r="I430" s="64" t="str">
        <f aca="false">IF('Offshore - Sydney'!E333="","Harga belum tersedia - hubungi konsultan TEG",IF(M430=2,"Saat ini tidak menerima pendaftaran siswa internasional baru",IF(M430=1,"Harga perlu dikonfirmasi ke sekolah"&amp;IF(""="","","; "&amp;""),"")))</f>
        <v>Harga perlu dikonfirmasi ke sekolah</v>
      </c>
      <c r="J430" s="0" t="s">
        <v>3907</v>
      </c>
      <c r="K430" s="0" t="n">
        <f aca="false">IF(M430=2,"",IF(ISNUMBER(SEARCH("rata-rata:",'Offshore - Sydney'!N333)),VALUE(MID('Offshore - Sydney'!N333,SEARCH("rata-rata:",'Offshore - Sydney'!N333)+11,FIND(";",'Offshore - Sydney'!N333&amp;";",SEARCH("rata-rata:",'Offshore - Sydney'!N333))-SEARCH("rata-rata:",'Offshore - Sydney'!N333)-11)),IF('Offshore - Sydney'!D333="Semester",'Offshore - Sydney'!E333*2,IF('Offshore - Sydney'!D333="Trimester",'Offshore - Sydney'!E333*3,IF('Offshore - Sydney'!D333="Term",'Offshore - Sydney'!E333*4,IF('Offshore - Sydney'!D333="Unit",'Offshore - Sydney'!E333*8,""))))))</f>
        <v>6000</v>
      </c>
      <c r="L430" s="0" t="n">
        <f aca="false">IF(AND(ISNUMBER('Offshore - Sydney'!E333),ISNUMBER(K430),ISNUMBER('Offshore - Sydney'!F333),ISNUMBER('Offshore - Sydney'!G333),OR('Offshore - Sydney'!F333&lt;&gt;0,ISNUMBER(SEARCH("Material 0 terverifikasi",'Offshore - Sydney'!N333))),OR('Offshore - Sydney'!G333&lt;&gt;0,ISNUMBER(SEARCH("Enrolment 0 terverifikasi",'Offshore - Sydney'!N333)))),1,0)</f>
        <v>1</v>
      </c>
      <c r="M430" s="0" t="n">
        <f aca="false">IF(OR('Offshore - Sydney'!E333="",ISNUMBER(SEARCH("BSB80120",'Offshore - Sydney'!B333&amp;'Offshore - Sydney'!N333)),ISNUMBER(SEARCH("Management (Learning)",'Offshore - Sydney'!B333))),2,IF(ISNUMBER(SEARCH("CEK:",'Offshore - Sydney'!N333)),1,0))</f>
        <v>1</v>
      </c>
    </row>
    <row r="431" customFormat="false" ht="15" hidden="false" customHeight="false" outlineLevel="0" collapsed="false">
      <c r="A431" s="63" t="s">
        <v>3533</v>
      </c>
      <c r="B431" s="64" t="s">
        <v>3833</v>
      </c>
      <c r="C431" s="63" t="s">
        <v>41</v>
      </c>
      <c r="D431" s="64" t="str">
        <f aca="false">TRIM(LEFT('Offshore - Sydney'!A397,FIND(CHAR(10),'Offshore - Sydney'!A397&amp;CHAR(10))-1))</f>
        <v>Collins Institute of Australia</v>
      </c>
      <c r="E431" s="63" t="str">
        <f aca="false">'Offshore - Sydney'!C397&amp;""</f>
        <v>3 years</v>
      </c>
      <c r="F431" s="63" t="str">
        <f aca="false">IF('Offshore - Sydney'!D397="","Belum tercatat",'Offshore - Sydney'!D397)</f>
        <v>Term</v>
      </c>
      <c r="G431" s="65" t="n">
        <f aca="false">IF('Offshore - Sydney'!E397="","-",'Offshore - Sydney'!E397)</f>
        <v>1500</v>
      </c>
      <c r="H431" s="63" t="n">
        <f aca="false">IF(ISNUMBER(K431),COUNTIFS($J$6:$J$1854,J431,$K$6:$K$1854,"&lt;"&amp;K431)+1,"-")</f>
        <v>6</v>
      </c>
      <c r="I431" s="64" t="str">
        <f aca="false">IF('Offshore - Sydney'!E397="","Harga belum tersedia - hubungi konsultan TEG",IF(M431=2,"Saat ini tidak menerima pendaftaran siswa internasional baru",IF(M431=1,"Harga perlu dikonfirmasi ke sekolah"&amp;IF(""="","","; "&amp;""),"")))</f>
        <v>Harga perlu dikonfirmasi ke sekolah</v>
      </c>
      <c r="J431" s="0" t="s">
        <v>3907</v>
      </c>
      <c r="K431" s="0" t="n">
        <f aca="false">IF(M431=2,"",IF(ISNUMBER(SEARCH("rata-rata:",'Offshore - Sydney'!N397)),VALUE(MID('Offshore - Sydney'!N397,SEARCH("rata-rata:",'Offshore - Sydney'!N397)+11,FIND(";",'Offshore - Sydney'!N397&amp;";",SEARCH("rata-rata:",'Offshore - Sydney'!N397))-SEARCH("rata-rata:",'Offshore - Sydney'!N397)-11)),IF('Offshore - Sydney'!D397="Semester",'Offshore - Sydney'!E397*2,IF('Offshore - Sydney'!D397="Trimester",'Offshore - Sydney'!E397*3,IF('Offshore - Sydney'!D397="Term",'Offshore - Sydney'!E397*4,IF('Offshore - Sydney'!D397="Unit",'Offshore - Sydney'!E397*8,""))))))</f>
        <v>6000</v>
      </c>
      <c r="L431" s="0" t="n">
        <f aca="false">IF(AND(ISNUMBER('Offshore - Sydney'!E397),ISNUMBER(K431),ISNUMBER('Offshore - Sydney'!F397),ISNUMBER('Offshore - Sydney'!G397),OR('Offshore - Sydney'!F397&lt;&gt;0,ISNUMBER(SEARCH("Material 0 terverifikasi",'Offshore - Sydney'!N397))),OR('Offshore - Sydney'!G397&lt;&gt;0,ISNUMBER(SEARCH("Enrolment 0 terverifikasi",'Offshore - Sydney'!N397)))),1,0)</f>
        <v>1</v>
      </c>
      <c r="M431" s="0" t="n">
        <f aca="false">IF(OR('Offshore - Sydney'!E397="",ISNUMBER(SEARCH("BSB80120",'Offshore - Sydney'!B397&amp;'Offshore - Sydney'!N397)),ISNUMBER(SEARCH("Management (Learning)",'Offshore - Sydney'!B397))),2,IF(ISNUMBER(SEARCH("CEK:",'Offshore - Sydney'!N397)),1,0))</f>
        <v>1</v>
      </c>
    </row>
    <row r="432" customFormat="false" ht="15" hidden="false" customHeight="false" outlineLevel="0" collapsed="false">
      <c r="A432" s="63" t="s">
        <v>3533</v>
      </c>
      <c r="B432" s="64" t="s">
        <v>3833</v>
      </c>
      <c r="C432" s="63" t="s">
        <v>41</v>
      </c>
      <c r="D432" s="64" t="str">
        <f aca="false">TRIM(LEFT('Offshore - Sydney'!A403,FIND(CHAR(10),'Offshore - Sydney'!A403&amp;CHAR(10))-1))</f>
        <v>ECA College</v>
      </c>
      <c r="E432" s="63" t="str">
        <f aca="false">'Offshore - Sydney'!C404&amp;""</f>
        <v>2 years</v>
      </c>
      <c r="F432" s="63" t="str">
        <f aca="false">IF('Offshore - Sydney'!D404="","Belum tercatat",'Offshore - Sydney'!D404)</f>
        <v>Term</v>
      </c>
      <c r="G432" s="65" t="n">
        <f aca="false">IF('Offshore - Sydney'!E404="","-",'Offshore - Sydney'!E404)</f>
        <v>1500</v>
      </c>
      <c r="H432" s="63" t="n">
        <f aca="false">IF(ISNUMBER(K432),COUNTIFS($J$6:$J$1854,J432,$K$6:$K$1854,"&lt;"&amp;K432)+1,"-")</f>
        <v>6</v>
      </c>
      <c r="I432" s="64" t="str">
        <f aca="false">IF('Offshore - Sydney'!E404="","Harga belum tersedia - hubungi konsultan TEG",IF(M432=2,"Saat ini tidak menerima pendaftaran siswa internasional baru",IF(M432=1,"Harga perlu dikonfirmasi ke sekolah"&amp;IF(""="","","; "&amp;""),"")))</f>
        <v/>
      </c>
      <c r="J432" s="0" t="s">
        <v>3907</v>
      </c>
      <c r="K432" s="0" t="n">
        <f aca="false">IF(M432=2,"",IF(ISNUMBER(SEARCH("rata-rata:",'Offshore - Sydney'!N404)),VALUE(MID('Offshore - Sydney'!N404,SEARCH("rata-rata:",'Offshore - Sydney'!N404)+11,FIND(";",'Offshore - Sydney'!N404&amp;";",SEARCH("rata-rata:",'Offshore - Sydney'!N404))-SEARCH("rata-rata:",'Offshore - Sydney'!N404)-11)),IF('Offshore - Sydney'!D404="Semester",'Offshore - Sydney'!E404*2,IF('Offshore - Sydney'!D404="Trimester",'Offshore - Sydney'!E404*3,IF('Offshore - Sydney'!D404="Term",'Offshore - Sydney'!E404*4,IF('Offshore - Sydney'!D404="Unit",'Offshore - Sydney'!E404*8,""))))))</f>
        <v>6000</v>
      </c>
      <c r="L432" s="0" t="n">
        <f aca="false">IF(AND(ISNUMBER('Offshore - Sydney'!E404),ISNUMBER(K432),ISNUMBER('Offshore - Sydney'!F404),ISNUMBER('Offshore - Sydney'!G404),OR('Offshore - Sydney'!F404&lt;&gt;0,ISNUMBER(SEARCH("Material 0 terverifikasi",'Offshore - Sydney'!N404))),OR('Offshore - Sydney'!G404&lt;&gt;0,ISNUMBER(SEARCH("Enrolment 0 terverifikasi",'Offshore - Sydney'!N404)))),1,0)</f>
        <v>0</v>
      </c>
      <c r="M432" s="0" t="n">
        <f aca="false">IF(OR('Offshore - Sydney'!E404="",ISNUMBER(SEARCH("BSB80120",'Offshore - Sydney'!B404&amp;'Offshore - Sydney'!N404)),ISNUMBER(SEARCH("Management (Learning)",'Offshore - Sydney'!B404))),2,IF(ISNUMBER(SEARCH("CEK:",'Offshore - Sydney'!N404)),1,0))</f>
        <v>0</v>
      </c>
    </row>
    <row r="433" customFormat="false" ht="15" hidden="false" customHeight="false" outlineLevel="0" collapsed="false">
      <c r="A433" s="63" t="s">
        <v>3533</v>
      </c>
      <c r="B433" s="64" t="s">
        <v>3833</v>
      </c>
      <c r="C433" s="63" t="s">
        <v>41</v>
      </c>
      <c r="D433" s="64" t="str">
        <f aca="false">TRIM(LEFT('Offshore - Sydney'!A411,FIND(CHAR(10),'Offshore - Sydney'!A411&amp;CHAR(10))-1))</f>
        <v>Eton College</v>
      </c>
      <c r="E433" s="63" t="str">
        <f aca="false">'Offshore - Sydney'!C412&amp;""</f>
        <v>2 years</v>
      </c>
      <c r="F433" s="63" t="str">
        <f aca="false">IF('Offshore - Sydney'!D412="","Belum tercatat",'Offshore - Sydney'!D412)</f>
        <v>Term</v>
      </c>
      <c r="G433" s="65" t="n">
        <f aca="false">IF('Offshore - Sydney'!E412="","-",'Offshore - Sydney'!E412)</f>
        <v>1500</v>
      </c>
      <c r="H433" s="63" t="n">
        <f aca="false">IF(ISNUMBER(K433),COUNTIFS($J$6:$J$1854,J433,$K$6:$K$1854,"&lt;"&amp;K433)+1,"-")</f>
        <v>6</v>
      </c>
      <c r="I433" s="64" t="str">
        <f aca="false">IF('Offshore - Sydney'!E412="","Harga belum tersedia - hubungi konsultan TEG",IF(M433=2,"Saat ini tidak menerima pendaftaran siswa internasional baru",IF(M433=1,"Harga perlu dikonfirmasi ke sekolah"&amp;IF(""="","","; "&amp;""),"")))</f>
        <v/>
      </c>
      <c r="J433" s="0" t="s">
        <v>3907</v>
      </c>
      <c r="K433" s="0" t="n">
        <f aca="false">IF(M433=2,"",IF(ISNUMBER(SEARCH("rata-rata:",'Offshore - Sydney'!N412)),VALUE(MID('Offshore - Sydney'!N412,SEARCH("rata-rata:",'Offshore - Sydney'!N412)+11,FIND(";",'Offshore - Sydney'!N412&amp;";",SEARCH("rata-rata:",'Offshore - Sydney'!N412))-SEARCH("rata-rata:",'Offshore - Sydney'!N412)-11)),IF('Offshore - Sydney'!D412="Semester",'Offshore - Sydney'!E412*2,IF('Offshore - Sydney'!D412="Trimester",'Offshore - Sydney'!E412*3,IF('Offshore - Sydney'!D412="Term",'Offshore - Sydney'!E412*4,IF('Offshore - Sydney'!D412="Unit",'Offshore - Sydney'!E412*8,""))))))</f>
        <v>6000</v>
      </c>
      <c r="L433" s="0" t="n">
        <f aca="false">IF(AND(ISNUMBER('Offshore - Sydney'!E412),ISNUMBER(K433),ISNUMBER('Offshore - Sydney'!F412),ISNUMBER('Offshore - Sydney'!G412),OR('Offshore - Sydney'!F412&lt;&gt;0,ISNUMBER(SEARCH("Material 0 terverifikasi",'Offshore - Sydney'!N412))),OR('Offshore - Sydney'!G412&lt;&gt;0,ISNUMBER(SEARCH("Enrolment 0 terverifikasi",'Offshore - Sydney'!N412)))),1,0)</f>
        <v>1</v>
      </c>
      <c r="M433" s="0" t="n">
        <f aca="false">IF(OR('Offshore - Sydney'!E412="",ISNUMBER(SEARCH("BSB80120",'Offshore - Sydney'!B412&amp;'Offshore - Sydney'!N412)),ISNUMBER(SEARCH("Management (Learning)",'Offshore - Sydney'!B412))),2,IF(ISNUMBER(SEARCH("CEK:",'Offshore - Sydney'!N412)),1,0))</f>
        <v>0</v>
      </c>
    </row>
    <row r="434" customFormat="false" ht="15" hidden="false" customHeight="false" outlineLevel="0" collapsed="false">
      <c r="A434" s="63" t="s">
        <v>3533</v>
      </c>
      <c r="B434" s="64" t="s">
        <v>3833</v>
      </c>
      <c r="C434" s="63" t="s">
        <v>41</v>
      </c>
      <c r="D434" s="64" t="str">
        <f aca="false">TRIM(LEFT('Offshore - Sydney'!A430,FIND(CHAR(10),'Offshore - Sydney'!A430&amp;CHAR(10))-1))</f>
        <v>George Brown College</v>
      </c>
      <c r="E434" s="63" t="str">
        <f aca="false">'Offshore - Sydney'!C430&amp;""</f>
        <v>2 years</v>
      </c>
      <c r="F434" s="63" t="str">
        <f aca="false">IF('Offshore - Sydney'!D430="","Belum tercatat",'Offshore - Sydney'!D430)</f>
        <v>Term</v>
      </c>
      <c r="G434" s="65" t="n">
        <f aca="false">IF('Offshore - Sydney'!E430="","-",'Offshore - Sydney'!E430)</f>
        <v>1500</v>
      </c>
      <c r="H434" s="63" t="n">
        <f aca="false">IF(ISNUMBER(K434),COUNTIFS($J$6:$J$1854,J434,$K$6:$K$1854,"&lt;"&amp;K434)+1,"-")</f>
        <v>6</v>
      </c>
      <c r="I434" s="64" t="str">
        <f aca="false">IF('Offshore - Sydney'!E430="","Harga belum tersedia - hubungi konsultan TEG",IF(M434=2,"Saat ini tidak menerima pendaftaran siswa internasional baru",IF(M434=1,"Harga perlu dikonfirmasi ke sekolah"&amp;IF(""="","","; "&amp;""),"")))</f>
        <v/>
      </c>
      <c r="J434" s="0" t="s">
        <v>3907</v>
      </c>
      <c r="K434" s="0" t="n">
        <f aca="false">IF(M434=2,"",IF(ISNUMBER(SEARCH("rata-rata:",'Offshore - Sydney'!N430)),VALUE(MID('Offshore - Sydney'!N430,SEARCH("rata-rata:",'Offshore - Sydney'!N430)+11,FIND(";",'Offshore - Sydney'!N430&amp;";",SEARCH("rata-rata:",'Offshore - Sydney'!N430))-SEARCH("rata-rata:",'Offshore - Sydney'!N430)-11)),IF('Offshore - Sydney'!D430="Semester",'Offshore - Sydney'!E430*2,IF('Offshore - Sydney'!D430="Trimester",'Offshore - Sydney'!E430*3,IF('Offshore - Sydney'!D430="Term",'Offshore - Sydney'!E430*4,IF('Offshore - Sydney'!D430="Unit",'Offshore - Sydney'!E430*8,""))))))</f>
        <v>6000</v>
      </c>
      <c r="L434" s="0" t="n">
        <f aca="false">IF(AND(ISNUMBER('Offshore - Sydney'!E430),ISNUMBER(K434),ISNUMBER('Offshore - Sydney'!F430),ISNUMBER('Offshore - Sydney'!G430),OR('Offshore - Sydney'!F430&lt;&gt;0,ISNUMBER(SEARCH("Material 0 terverifikasi",'Offshore - Sydney'!N430))),OR('Offshore - Sydney'!G430&lt;&gt;0,ISNUMBER(SEARCH("Enrolment 0 terverifikasi",'Offshore - Sydney'!N430)))),1,0)</f>
        <v>1</v>
      </c>
      <c r="M434" s="0" t="n">
        <f aca="false">IF(OR('Offshore - Sydney'!E430="",ISNUMBER(SEARCH("BSB80120",'Offshore - Sydney'!B430&amp;'Offshore - Sydney'!N430)),ISNUMBER(SEARCH("Management (Learning)",'Offshore - Sydney'!B430))),2,IF(ISNUMBER(SEARCH("CEK:",'Offshore - Sydney'!N430)),1,0))</f>
        <v>0</v>
      </c>
    </row>
    <row r="435" customFormat="false" ht="15" hidden="false" customHeight="false" outlineLevel="0" collapsed="false">
      <c r="A435" s="63" t="s">
        <v>3533</v>
      </c>
      <c r="B435" s="64" t="s">
        <v>3833</v>
      </c>
      <c r="C435" s="63" t="s">
        <v>41</v>
      </c>
      <c r="D435" s="64" t="str">
        <f aca="false">TRIM(LEFT('Offshore - Sydney'!A488,FIND(CHAR(10),'Offshore - Sydney'!A488&amp;CHAR(10))-1))</f>
        <v>Imperial Institute of Sydney (IIS)</v>
      </c>
      <c r="E435" s="63" t="str">
        <f aca="false">'Offshore - Sydney'!C492&amp;""</f>
        <v>1 year</v>
      </c>
      <c r="F435" s="63" t="str">
        <f aca="false">IF('Offshore - Sydney'!D492="","Belum tercatat",'Offshore - Sydney'!D492)</f>
        <v>Term</v>
      </c>
      <c r="G435" s="65" t="n">
        <f aca="false">IF('Offshore - Sydney'!E492="","-",'Offshore - Sydney'!E492)</f>
        <v>1500</v>
      </c>
      <c r="H435" s="63" t="n">
        <f aca="false">IF(ISNUMBER(K435),COUNTIFS($J$6:$J$1854,J435,$K$6:$K$1854,"&lt;"&amp;K435)+1,"-")</f>
        <v>6</v>
      </c>
      <c r="I435" s="64" t="str">
        <f aca="false">IF('Offshore - Sydney'!E492="","Harga belum tersedia - hubungi konsultan TEG",IF(M435=2,"Saat ini tidak menerima pendaftaran siswa internasional baru",IF(M435=1,"Harga perlu dikonfirmasi ke sekolah"&amp;IF(""="","","; "&amp;""),"")))</f>
        <v/>
      </c>
      <c r="J435" s="0" t="s">
        <v>3907</v>
      </c>
      <c r="K435" s="0" t="n">
        <f aca="false">IF(M435=2,"",IF(ISNUMBER(SEARCH("rata-rata:",'Offshore - Sydney'!N492)),VALUE(MID('Offshore - Sydney'!N492,SEARCH("rata-rata:",'Offshore - Sydney'!N492)+11,FIND(";",'Offshore - Sydney'!N492&amp;";",SEARCH("rata-rata:",'Offshore - Sydney'!N492))-SEARCH("rata-rata:",'Offshore - Sydney'!N492)-11)),IF('Offshore - Sydney'!D492="Semester",'Offshore - Sydney'!E492*2,IF('Offshore - Sydney'!D492="Trimester",'Offshore - Sydney'!E492*3,IF('Offshore - Sydney'!D492="Term",'Offshore - Sydney'!E492*4,IF('Offshore - Sydney'!D492="Unit",'Offshore - Sydney'!E492*8,""))))))</f>
        <v>6000</v>
      </c>
      <c r="L435" s="0" t="n">
        <f aca="false">IF(AND(ISNUMBER('Offshore - Sydney'!E492),ISNUMBER(K435),ISNUMBER('Offshore - Sydney'!F492),ISNUMBER('Offshore - Sydney'!G492),OR('Offshore - Sydney'!F492&lt;&gt;0,ISNUMBER(SEARCH("Material 0 terverifikasi",'Offshore - Sydney'!N492))),OR('Offshore - Sydney'!G492&lt;&gt;0,ISNUMBER(SEARCH("Enrolment 0 terverifikasi",'Offshore - Sydney'!N492)))),1,0)</f>
        <v>0</v>
      </c>
      <c r="M435" s="0" t="n">
        <f aca="false">IF(OR('Offshore - Sydney'!E492="",ISNUMBER(SEARCH("BSB80120",'Offshore - Sydney'!B492&amp;'Offshore - Sydney'!N492)),ISNUMBER(SEARCH("Management (Learning)",'Offshore - Sydney'!B492))),2,IF(ISNUMBER(SEARCH("CEK:",'Offshore - Sydney'!N492)),1,0))</f>
        <v>0</v>
      </c>
    </row>
    <row r="436" customFormat="false" ht="15" hidden="false" customHeight="false" outlineLevel="0" collapsed="false">
      <c r="A436" s="63" t="s">
        <v>3533</v>
      </c>
      <c r="B436" s="64" t="s">
        <v>3833</v>
      </c>
      <c r="C436" s="63" t="s">
        <v>41</v>
      </c>
      <c r="D436" s="64" t="str">
        <f aca="false">TRIM(LEFT('Offshore - Sydney'!A599,FIND(CHAR(10),'Offshore - Sydney'!A599&amp;CHAR(10))-1))</f>
        <v>New Cambridge College Sydney (NCCS)</v>
      </c>
      <c r="E436" s="63" t="str">
        <f aca="false">'Offshore - Sydney'!C599&amp;""</f>
        <v>2 years</v>
      </c>
      <c r="F436" s="63" t="str">
        <f aca="false">IF('Offshore - Sydney'!D599="","Belum tercatat",'Offshore - Sydney'!D599)</f>
        <v>Term</v>
      </c>
      <c r="G436" s="65" t="n">
        <f aca="false">IF('Offshore - Sydney'!E599="","-",'Offshore - Sydney'!E599)</f>
        <v>1500</v>
      </c>
      <c r="H436" s="63" t="n">
        <f aca="false">IF(ISNUMBER(K436),COUNTIFS($J$6:$J$1854,J436,$K$6:$K$1854,"&lt;"&amp;K436)+1,"-")</f>
        <v>6</v>
      </c>
      <c r="I436" s="64" t="str">
        <f aca="false">IF('Offshore - Sydney'!E599="","Harga belum tersedia - hubungi konsultan TEG",IF(M436=2,"Saat ini tidak menerima pendaftaran siswa internasional baru",IF(M436=1,"Harga perlu dikonfirmasi ke sekolah"&amp;IF(""="","","; "&amp;""),"")))</f>
        <v/>
      </c>
      <c r="J436" s="0" t="s">
        <v>3907</v>
      </c>
      <c r="K436" s="0" t="n">
        <f aca="false">IF(M436=2,"",IF(ISNUMBER(SEARCH("rata-rata:",'Offshore - Sydney'!N599)),VALUE(MID('Offshore - Sydney'!N599,SEARCH("rata-rata:",'Offshore - Sydney'!N599)+11,FIND(";",'Offshore - Sydney'!N599&amp;";",SEARCH("rata-rata:",'Offshore - Sydney'!N599))-SEARCH("rata-rata:",'Offshore - Sydney'!N599)-11)),IF('Offshore - Sydney'!D599="Semester",'Offshore - Sydney'!E599*2,IF('Offshore - Sydney'!D599="Trimester",'Offshore - Sydney'!E599*3,IF('Offshore - Sydney'!D599="Term",'Offshore - Sydney'!E599*4,IF('Offshore - Sydney'!D599="Unit",'Offshore - Sydney'!E599*8,""))))))</f>
        <v>6000</v>
      </c>
      <c r="L436" s="0" t="n">
        <f aca="false">IF(AND(ISNUMBER('Offshore - Sydney'!E599),ISNUMBER(K436),ISNUMBER('Offshore - Sydney'!F599),ISNUMBER('Offshore - Sydney'!G599),OR('Offshore - Sydney'!F599&lt;&gt;0,ISNUMBER(SEARCH("Material 0 terverifikasi",'Offshore - Sydney'!N599))),OR('Offshore - Sydney'!G599&lt;&gt;0,ISNUMBER(SEARCH("Enrolment 0 terverifikasi",'Offshore - Sydney'!N599)))),1,0)</f>
        <v>1</v>
      </c>
      <c r="M436" s="0" t="n">
        <f aca="false">IF(OR('Offshore - Sydney'!E599="",ISNUMBER(SEARCH("BSB80120",'Offshore - Sydney'!B599&amp;'Offshore - Sydney'!N599)),ISNUMBER(SEARCH("Management (Learning)",'Offshore - Sydney'!B599))),2,IF(ISNUMBER(SEARCH("CEK:",'Offshore - Sydney'!N599)),1,0))</f>
        <v>0</v>
      </c>
    </row>
    <row r="437" customFormat="false" ht="15" hidden="false" customHeight="false" outlineLevel="0" collapsed="false">
      <c r="A437" s="63" t="s">
        <v>3533</v>
      </c>
      <c r="B437" s="64" t="s">
        <v>3833</v>
      </c>
      <c r="C437" s="63" t="s">
        <v>41</v>
      </c>
      <c r="D437" s="64" t="str">
        <f aca="false">TRIM(LEFT('Offshore - Sydney'!A636,FIND(CHAR(10),'Offshore - Sydney'!A636&amp;CHAR(10))-1))</f>
        <v>NVR Education</v>
      </c>
      <c r="E437" s="63" t="str">
        <f aca="false">'Offshore - Sydney'!C640&amp;""</f>
        <v>2 years</v>
      </c>
      <c r="F437" s="63" t="str">
        <f aca="false">IF('Offshore - Sydney'!D640="","Belum tercatat",'Offshore - Sydney'!D640)</f>
        <v>Term</v>
      </c>
      <c r="G437" s="65" t="n">
        <f aca="false">IF('Offshore - Sydney'!E640="","-",'Offshore - Sydney'!E640)</f>
        <v>1500</v>
      </c>
      <c r="H437" s="63" t="n">
        <f aca="false">IF(ISNUMBER(K437),COUNTIFS($J$6:$J$1854,J437,$K$6:$K$1854,"&lt;"&amp;K437)+1,"-")</f>
        <v>6</v>
      </c>
      <c r="I437" s="64" t="str">
        <f aca="false">IF('Offshore - Sydney'!E640="","Harga belum tersedia - hubungi konsultan TEG",IF(M437=2,"Saat ini tidak menerima pendaftaran siswa internasional baru",IF(M437=1,"Harga perlu dikonfirmasi ke sekolah"&amp;IF(""="","","; "&amp;""),"")))</f>
        <v>Harga perlu dikonfirmasi ke sekolah</v>
      </c>
      <c r="J437" s="0" t="s">
        <v>3907</v>
      </c>
      <c r="K437" s="0" t="n">
        <f aca="false">IF(M437=2,"",IF(ISNUMBER(SEARCH("rata-rata:",'Offshore - Sydney'!N640)),VALUE(MID('Offshore - Sydney'!N640,SEARCH("rata-rata:",'Offshore - Sydney'!N640)+11,FIND(";",'Offshore - Sydney'!N640&amp;";",SEARCH("rata-rata:",'Offshore - Sydney'!N640))-SEARCH("rata-rata:",'Offshore - Sydney'!N640)-11)),IF('Offshore - Sydney'!D640="Semester",'Offshore - Sydney'!E640*2,IF('Offshore - Sydney'!D640="Trimester",'Offshore - Sydney'!E640*3,IF('Offshore - Sydney'!D640="Term",'Offshore - Sydney'!E640*4,IF('Offshore - Sydney'!D640="Unit",'Offshore - Sydney'!E640*8,""))))))</f>
        <v>6000</v>
      </c>
      <c r="L437" s="0" t="n">
        <f aca="false">IF(AND(ISNUMBER('Offshore - Sydney'!E640),ISNUMBER(K437),ISNUMBER('Offshore - Sydney'!F640),ISNUMBER('Offshore - Sydney'!G640),OR('Offshore - Sydney'!F640&lt;&gt;0,ISNUMBER(SEARCH("Material 0 terverifikasi",'Offshore - Sydney'!N640))),OR('Offshore - Sydney'!G640&lt;&gt;0,ISNUMBER(SEARCH("Enrolment 0 terverifikasi",'Offshore - Sydney'!N640)))),1,0)</f>
        <v>0</v>
      </c>
      <c r="M437" s="0" t="n">
        <f aca="false">IF(OR('Offshore - Sydney'!E640="",ISNUMBER(SEARCH("BSB80120",'Offshore - Sydney'!B640&amp;'Offshore - Sydney'!N640)),ISNUMBER(SEARCH("Management (Learning)",'Offshore - Sydney'!B640))),2,IF(ISNUMBER(SEARCH("CEK:",'Offshore - Sydney'!N640)),1,0))</f>
        <v>1</v>
      </c>
    </row>
    <row r="438" customFormat="false" ht="15" hidden="false" customHeight="false" outlineLevel="0" collapsed="false">
      <c r="A438" s="63" t="s">
        <v>3533</v>
      </c>
      <c r="B438" s="64" t="s">
        <v>3833</v>
      </c>
      <c r="C438" s="63" t="s">
        <v>41</v>
      </c>
      <c r="D438" s="64" t="str">
        <f aca="false">TRIM(LEFT('Offshore - Sydney'!A800,FIND(CHAR(10),'Offshore - Sydney'!A800&amp;CHAR(10))-1))</f>
        <v>Times Academy</v>
      </c>
      <c r="E438" s="63" t="str">
        <f aca="false">'Offshore - Sydney'!C801&amp;""</f>
        <v>2 years</v>
      </c>
      <c r="F438" s="63" t="str">
        <f aca="false">IF('Offshore - Sydney'!D801="","Belum tercatat",'Offshore - Sydney'!D801)</f>
        <v>Term</v>
      </c>
      <c r="G438" s="65" t="n">
        <f aca="false">IF('Offshore - Sydney'!E801="","-",'Offshore - Sydney'!E801)</f>
        <v>1500</v>
      </c>
      <c r="H438" s="63" t="n">
        <f aca="false">IF(ISNUMBER(K438),COUNTIFS($J$6:$J$1854,J438,$K$6:$K$1854,"&lt;"&amp;K438)+1,"-")</f>
        <v>6</v>
      </c>
      <c r="I438" s="64" t="str">
        <f aca="false">IF('Offshore - Sydney'!E801="","Harga belum tersedia - hubungi konsultan TEG",IF(M438=2,"Saat ini tidak menerima pendaftaran siswa internasional baru",IF(M438=1,"Harga perlu dikonfirmasi ke sekolah"&amp;IF(""="","","; "&amp;""),"")))</f>
        <v/>
      </c>
      <c r="J438" s="0" t="s">
        <v>3907</v>
      </c>
      <c r="K438" s="0" t="n">
        <f aca="false">IF(M438=2,"",IF(ISNUMBER(SEARCH("rata-rata:",'Offshore - Sydney'!N801)),VALUE(MID('Offshore - Sydney'!N801,SEARCH("rata-rata:",'Offshore - Sydney'!N801)+11,FIND(";",'Offshore - Sydney'!N801&amp;";",SEARCH("rata-rata:",'Offshore - Sydney'!N801))-SEARCH("rata-rata:",'Offshore - Sydney'!N801)-11)),IF('Offshore - Sydney'!D801="Semester",'Offshore - Sydney'!E801*2,IF('Offshore - Sydney'!D801="Trimester",'Offshore - Sydney'!E801*3,IF('Offshore - Sydney'!D801="Term",'Offshore - Sydney'!E801*4,IF('Offshore - Sydney'!D801="Unit",'Offshore - Sydney'!E801*8,""))))))</f>
        <v>6000</v>
      </c>
      <c r="L438" s="0" t="n">
        <f aca="false">IF(AND(ISNUMBER('Offshore - Sydney'!E801),ISNUMBER(K438),ISNUMBER('Offshore - Sydney'!F801),ISNUMBER('Offshore - Sydney'!G801),OR('Offshore - Sydney'!F801&lt;&gt;0,ISNUMBER(SEARCH("Material 0 terverifikasi",'Offshore - Sydney'!N801))),OR('Offshore - Sydney'!G801&lt;&gt;0,ISNUMBER(SEARCH("Enrolment 0 terverifikasi",'Offshore - Sydney'!N801)))),1,0)</f>
        <v>1</v>
      </c>
      <c r="M438" s="0" t="n">
        <f aca="false">IF(OR('Offshore - Sydney'!E801="",ISNUMBER(SEARCH("BSB80120",'Offshore - Sydney'!B801&amp;'Offshore - Sydney'!N801)),ISNUMBER(SEARCH("Management (Learning)",'Offshore - Sydney'!B801))),2,IF(ISNUMBER(SEARCH("CEK:",'Offshore - Sydney'!N801)),1,0))</f>
        <v>0</v>
      </c>
    </row>
    <row r="439" customFormat="false" ht="28.35" hidden="false" customHeight="false" outlineLevel="0" collapsed="false">
      <c r="A439" s="63" t="s">
        <v>3533</v>
      </c>
      <c r="B439" s="64" t="s">
        <v>3833</v>
      </c>
      <c r="C439" s="63" t="s">
        <v>41</v>
      </c>
      <c r="D439" s="64" t="str">
        <f aca="false">TRIM(LEFT('Offshore - Sydney'!A807,FIND(CHAR(10),'Offshore - Sydney'!A807&amp;CHAR(10))-1))</f>
        <v>TKL College (Training for Knowledge and Livelihood)</v>
      </c>
      <c r="E439" s="63" t="str">
        <f aca="false">'Offshore - Sydney'!C808&amp;""</f>
        <v>2 years</v>
      </c>
      <c r="F439" s="63" t="str">
        <f aca="false">IF('Offshore - Sydney'!D808="","Belum tercatat",'Offshore - Sydney'!D808)</f>
        <v>Term</v>
      </c>
      <c r="G439" s="65" t="n">
        <f aca="false">IF('Offshore - Sydney'!E808="","-",'Offshore - Sydney'!E808)</f>
        <v>1500</v>
      </c>
      <c r="H439" s="63" t="n">
        <f aca="false">IF(ISNUMBER(K439),COUNTIFS($J$6:$J$1854,J439,$K$6:$K$1854,"&lt;"&amp;K439)+1,"-")</f>
        <v>6</v>
      </c>
      <c r="I439" s="64" t="str">
        <f aca="false">IF('Offshore - Sydney'!E808="","Harga belum tersedia - hubungi konsultan TEG",IF(M439=2,"Saat ini tidak menerima pendaftaran siswa internasional baru",IF(M439=1,"Harga perlu dikonfirmasi ke sekolah"&amp;IF(""="","","; "&amp;""),"")))</f>
        <v/>
      </c>
      <c r="J439" s="0" t="s">
        <v>3907</v>
      </c>
      <c r="K439" s="0" t="n">
        <f aca="false">IF(M439=2,"",IF(ISNUMBER(SEARCH("rata-rata:",'Offshore - Sydney'!N808)),VALUE(MID('Offshore - Sydney'!N808,SEARCH("rata-rata:",'Offshore - Sydney'!N808)+11,FIND(";",'Offshore - Sydney'!N808&amp;";",SEARCH("rata-rata:",'Offshore - Sydney'!N808))-SEARCH("rata-rata:",'Offshore - Sydney'!N808)-11)),IF('Offshore - Sydney'!D808="Semester",'Offshore - Sydney'!E808*2,IF('Offshore - Sydney'!D808="Trimester",'Offshore - Sydney'!E808*3,IF('Offshore - Sydney'!D808="Term",'Offshore - Sydney'!E808*4,IF('Offshore - Sydney'!D808="Unit",'Offshore - Sydney'!E808*8,""))))))</f>
        <v>6000</v>
      </c>
      <c r="L439" s="0" t="n">
        <f aca="false">IF(AND(ISNUMBER('Offshore - Sydney'!E808),ISNUMBER(K439),ISNUMBER('Offshore - Sydney'!F808),ISNUMBER('Offshore - Sydney'!G808),OR('Offshore - Sydney'!F808&lt;&gt;0,ISNUMBER(SEARCH("Material 0 terverifikasi",'Offshore - Sydney'!N808))),OR('Offshore - Sydney'!G808&lt;&gt;0,ISNUMBER(SEARCH("Enrolment 0 terverifikasi",'Offshore - Sydney'!N808)))),1,0)</f>
        <v>1</v>
      </c>
      <c r="M439" s="0" t="n">
        <f aca="false">IF(OR('Offshore - Sydney'!E808="",ISNUMBER(SEARCH("BSB80120",'Offshore - Sydney'!B808&amp;'Offshore - Sydney'!N808)),ISNUMBER(SEARCH("Management (Learning)",'Offshore - Sydney'!B808))),2,IF(ISNUMBER(SEARCH("CEK:",'Offshore - Sydney'!N808)),1,0))</f>
        <v>0</v>
      </c>
    </row>
    <row r="440" customFormat="false" ht="15" hidden="false" customHeight="false" outlineLevel="0" collapsed="false">
      <c r="A440" s="63" t="s">
        <v>3533</v>
      </c>
      <c r="B440" s="64" t="s">
        <v>3833</v>
      </c>
      <c r="C440" s="63" t="s">
        <v>41</v>
      </c>
      <c r="D440" s="64" t="str">
        <f aca="false">TRIM(LEFT('Offshore - Sydney'!A941,FIND(CHAR(10),'Offshore - Sydney'!A941&amp;CHAR(10))-1))</f>
        <v>Victory Institute</v>
      </c>
      <c r="E440" s="63" t="str">
        <f aca="false">'Offshore - Sydney'!C942&amp;""</f>
        <v>3 years</v>
      </c>
      <c r="F440" s="63" t="str">
        <f aca="false">IF('Offshore - Sydney'!D942="","Belum tercatat",'Offshore - Sydney'!D942)</f>
        <v>Term</v>
      </c>
      <c r="G440" s="65" t="n">
        <f aca="false">IF('Offshore - Sydney'!E942="","-",'Offshore - Sydney'!E942)</f>
        <v>1500</v>
      </c>
      <c r="H440" s="63" t="n">
        <f aca="false">IF(ISNUMBER(K440),COUNTIFS($J$6:$J$1854,J440,$K$6:$K$1854,"&lt;"&amp;K440)+1,"-")</f>
        <v>6</v>
      </c>
      <c r="I440" s="64" t="str">
        <f aca="false">IF('Offshore - Sydney'!E942="","Harga belum tersedia - hubungi konsultan TEG",IF(M440=2,"Saat ini tidak menerima pendaftaran siswa internasional baru",IF(M440=1,"Harga perlu dikonfirmasi ke sekolah"&amp;IF(""="","","; "&amp;""),"")))</f>
        <v/>
      </c>
      <c r="J440" s="0" t="s">
        <v>3907</v>
      </c>
      <c r="K440" s="0" t="n">
        <f aca="false">IF(M440=2,"",IF(ISNUMBER(SEARCH("rata-rata:",'Offshore - Sydney'!N942)),VALUE(MID('Offshore - Sydney'!N942,SEARCH("rata-rata:",'Offshore - Sydney'!N942)+11,FIND(";",'Offshore - Sydney'!N942&amp;";",SEARCH("rata-rata:",'Offshore - Sydney'!N942))-SEARCH("rata-rata:",'Offshore - Sydney'!N942)-11)),IF('Offshore - Sydney'!D942="Semester",'Offshore - Sydney'!E942*2,IF('Offshore - Sydney'!D942="Trimester",'Offshore - Sydney'!E942*3,IF('Offshore - Sydney'!D942="Term",'Offshore - Sydney'!E942*4,IF('Offshore - Sydney'!D942="Unit",'Offshore - Sydney'!E942*8,""))))))</f>
        <v>6000</v>
      </c>
      <c r="L440" s="0" t="n">
        <f aca="false">IF(AND(ISNUMBER('Offshore - Sydney'!E942),ISNUMBER(K440),ISNUMBER('Offshore - Sydney'!F942),ISNUMBER('Offshore - Sydney'!G942),OR('Offshore - Sydney'!F942&lt;&gt;0,ISNUMBER(SEARCH("Material 0 terverifikasi",'Offshore - Sydney'!N942))),OR('Offshore - Sydney'!G942&lt;&gt;0,ISNUMBER(SEARCH("Enrolment 0 terverifikasi",'Offshore - Sydney'!N942)))),1,0)</f>
        <v>1</v>
      </c>
      <c r="M440" s="0" t="n">
        <f aca="false">IF(OR('Offshore - Sydney'!E942="",ISNUMBER(SEARCH("BSB80120",'Offshore - Sydney'!B942&amp;'Offshore - Sydney'!N942)),ISNUMBER(SEARCH("Management (Learning)",'Offshore - Sydney'!B942))),2,IF(ISNUMBER(SEARCH("CEK:",'Offshore - Sydney'!N942)),1,0))</f>
        <v>0</v>
      </c>
    </row>
    <row r="441" customFormat="false" ht="15" hidden="false" customHeight="false" outlineLevel="0" collapsed="false">
      <c r="A441" s="63" t="s">
        <v>3533</v>
      </c>
      <c r="B441" s="64" t="s">
        <v>3833</v>
      </c>
      <c r="C441" s="63" t="s">
        <v>41</v>
      </c>
      <c r="D441" s="64" t="str">
        <f aca="false">TRIM(LEFT('Offshore - Sydney'!A948,FIND(CHAR(10),'Offshore - Sydney'!A948&amp;CHAR(10))-1))</f>
        <v>Warwick Institute of Australia</v>
      </c>
      <c r="E441" s="63" t="str">
        <f aca="false">'Offshore - Sydney'!C950&amp;""</f>
        <v>2,5 years</v>
      </c>
      <c r="F441" s="63" t="str">
        <f aca="false">IF('Offshore - Sydney'!D950="","Belum tercatat",'Offshore - Sydney'!D950)</f>
        <v>Term</v>
      </c>
      <c r="G441" s="65" t="n">
        <f aca="false">IF('Offshore - Sydney'!E950="","-",'Offshore - Sydney'!E950)</f>
        <v>1500</v>
      </c>
      <c r="H441" s="63" t="n">
        <f aca="false">IF(ISNUMBER(K441),COUNTIFS($J$6:$J$1854,J441,$K$6:$K$1854,"&lt;"&amp;K441)+1,"-")</f>
        <v>6</v>
      </c>
      <c r="I441" s="64" t="str">
        <f aca="false">IF('Offshore - Sydney'!E950="","Harga belum tersedia - hubungi konsultan TEG",IF(M441=2,"Saat ini tidak menerima pendaftaran siswa internasional baru",IF(M441=1,"Harga perlu dikonfirmasi ke sekolah"&amp;IF(""="","","; "&amp;""),"")))</f>
        <v/>
      </c>
      <c r="J441" s="0" t="s">
        <v>3907</v>
      </c>
      <c r="K441" s="0" t="n">
        <f aca="false">IF(M441=2,"",IF(ISNUMBER(SEARCH("rata-rata:",'Offshore - Sydney'!N950)),VALUE(MID('Offshore - Sydney'!N950,SEARCH("rata-rata:",'Offshore - Sydney'!N950)+11,FIND(";",'Offshore - Sydney'!N950&amp;";",SEARCH("rata-rata:",'Offshore - Sydney'!N950))-SEARCH("rata-rata:",'Offshore - Sydney'!N950)-11)),IF('Offshore - Sydney'!D950="Semester",'Offshore - Sydney'!E950*2,IF('Offshore - Sydney'!D950="Trimester",'Offshore - Sydney'!E950*3,IF('Offshore - Sydney'!D950="Term",'Offshore - Sydney'!E950*4,IF('Offshore - Sydney'!D950="Unit",'Offshore - Sydney'!E950*8,""))))))</f>
        <v>6000</v>
      </c>
      <c r="L441" s="0" t="n">
        <f aca="false">IF(AND(ISNUMBER('Offshore - Sydney'!E950),ISNUMBER(K441),ISNUMBER('Offshore - Sydney'!F950),ISNUMBER('Offshore - Sydney'!G950),OR('Offshore - Sydney'!F950&lt;&gt;0,ISNUMBER(SEARCH("Material 0 terverifikasi",'Offshore - Sydney'!N950))),OR('Offshore - Sydney'!G950&lt;&gt;0,ISNUMBER(SEARCH("Enrolment 0 terverifikasi",'Offshore - Sydney'!N950)))),1,0)</f>
        <v>1</v>
      </c>
      <c r="M441" s="0" t="n">
        <f aca="false">IF(OR('Offshore - Sydney'!E950="",ISNUMBER(SEARCH("BSB80120",'Offshore - Sydney'!B950&amp;'Offshore - Sydney'!N950)),ISNUMBER(SEARCH("Management (Learning)",'Offshore - Sydney'!B950))),2,IF(ISNUMBER(SEARCH("CEK:",'Offshore - Sydney'!N950)),1,0))</f>
        <v>0</v>
      </c>
    </row>
    <row r="442" customFormat="false" ht="15" hidden="false" customHeight="false" outlineLevel="0" collapsed="false">
      <c r="A442" s="63" t="s">
        <v>3533</v>
      </c>
      <c r="B442" s="64" t="s">
        <v>3833</v>
      </c>
      <c r="C442" s="63" t="s">
        <v>41</v>
      </c>
      <c r="D442" s="64" t="str">
        <f aca="false">TRIM(LEFT('Offshore - Sydney'!A959,FIND(CHAR(10),'Offshore - Sydney'!A959&amp;CHAR(10))-1))</f>
        <v>Wells International College (WIC)</v>
      </c>
      <c r="E442" s="63" t="str">
        <f aca="false">'Offshore - Sydney'!C966&amp;""</f>
        <v>2 years</v>
      </c>
      <c r="F442" s="63" t="str">
        <f aca="false">IF('Offshore - Sydney'!D966="","Belum tercatat",'Offshore - Sydney'!D966)</f>
        <v>Term</v>
      </c>
      <c r="G442" s="65" t="n">
        <f aca="false">IF('Offshore - Sydney'!E966="","-",'Offshore - Sydney'!E966)</f>
        <v>1500</v>
      </c>
      <c r="H442" s="63" t="n">
        <f aca="false">IF(ISNUMBER(K442),COUNTIFS($J$6:$J$1854,J442,$K$6:$K$1854,"&lt;"&amp;K442)+1,"-")</f>
        <v>6</v>
      </c>
      <c r="I442" s="64" t="str">
        <f aca="false">IF('Offshore - Sydney'!E966="","Harga belum tersedia - hubungi konsultan TEG",IF(M442=2,"Saat ini tidak menerima pendaftaran siswa internasional baru",IF(M442=1,"Harga perlu dikonfirmasi ke sekolah"&amp;IF(""="","","; "&amp;""),"")))</f>
        <v/>
      </c>
      <c r="J442" s="0" t="s">
        <v>3907</v>
      </c>
      <c r="K442" s="0" t="n">
        <f aca="false">IF(M442=2,"",IF(ISNUMBER(SEARCH("rata-rata:",'Offshore - Sydney'!N966)),VALUE(MID('Offshore - Sydney'!N966,SEARCH("rata-rata:",'Offshore - Sydney'!N966)+11,FIND(";",'Offshore - Sydney'!N966&amp;";",SEARCH("rata-rata:",'Offshore - Sydney'!N966))-SEARCH("rata-rata:",'Offshore - Sydney'!N966)-11)),IF('Offshore - Sydney'!D966="Semester",'Offshore - Sydney'!E966*2,IF('Offshore - Sydney'!D966="Trimester",'Offshore - Sydney'!E966*3,IF('Offshore - Sydney'!D966="Term",'Offshore - Sydney'!E966*4,IF('Offshore - Sydney'!D966="Unit",'Offshore - Sydney'!E966*8,""))))))</f>
        <v>6000</v>
      </c>
      <c r="L442" s="0" t="n">
        <f aca="false">IF(AND(ISNUMBER('Offshore - Sydney'!E966),ISNUMBER(K442),ISNUMBER('Offshore - Sydney'!F966),ISNUMBER('Offshore - Sydney'!G966),OR('Offshore - Sydney'!F966&lt;&gt;0,ISNUMBER(SEARCH("Material 0 terverifikasi",'Offshore - Sydney'!N966))),OR('Offshore - Sydney'!G966&lt;&gt;0,ISNUMBER(SEARCH("Enrolment 0 terverifikasi",'Offshore - Sydney'!N966)))),1,0)</f>
        <v>1</v>
      </c>
      <c r="M442" s="0" t="n">
        <f aca="false">IF(OR('Offshore - Sydney'!E966="",ISNUMBER(SEARCH("BSB80120",'Offshore - Sydney'!B966&amp;'Offshore - Sydney'!N966)),ISNUMBER(SEARCH("Management (Learning)",'Offshore - Sydney'!B966))),2,IF(ISNUMBER(SEARCH("CEK:",'Offshore - Sydney'!N966)),1,0))</f>
        <v>0</v>
      </c>
    </row>
    <row r="443" customFormat="false" ht="15" hidden="false" customHeight="false" outlineLevel="0" collapsed="false">
      <c r="A443" s="63" t="s">
        <v>3533</v>
      </c>
      <c r="B443" s="64" t="s">
        <v>3833</v>
      </c>
      <c r="C443" s="63" t="s">
        <v>41</v>
      </c>
      <c r="D443" s="64" t="str">
        <f aca="false">TRIM(LEFT('Offshore - Sydney'!A1151,FIND(CHAR(10),'Offshore - Sydney'!A1151&amp;CHAR(10))-1))</f>
        <v>York Business Institute</v>
      </c>
      <c r="E443" s="63" t="str">
        <f aca="false">'Offshore - Sydney'!C1151&amp;""</f>
        <v>2,5 years</v>
      </c>
      <c r="F443" s="63" t="str">
        <f aca="false">IF('Offshore - Sydney'!D1151="","Belum tercatat",'Offshore - Sydney'!D1151)</f>
        <v>Term</v>
      </c>
      <c r="G443" s="65" t="n">
        <f aca="false">IF('Offshore - Sydney'!E1151="","-",'Offshore - Sydney'!E1151)</f>
        <v>1500</v>
      </c>
      <c r="H443" s="63" t="n">
        <f aca="false">IF(ISNUMBER(K443),COUNTIFS($J$6:$J$1854,J443,$K$6:$K$1854,"&lt;"&amp;K443)+1,"-")</f>
        <v>6</v>
      </c>
      <c r="I443" s="64" t="str">
        <f aca="false">IF('Offshore - Sydney'!E1151="","Harga belum tersedia - hubungi konsultan TEG",IF(M443=2,"Saat ini tidak menerima pendaftaran siswa internasional baru",IF(M443=1,"Harga perlu dikonfirmasi ke sekolah"&amp;IF(""="","","; "&amp;""),"")))</f>
        <v>Harga perlu dikonfirmasi ke sekolah</v>
      </c>
      <c r="J443" s="0" t="s">
        <v>3907</v>
      </c>
      <c r="K443" s="0" t="n">
        <f aca="false">IF(M443=2,"",IF(ISNUMBER(SEARCH("rata-rata:",'Offshore - Sydney'!N1151)),VALUE(MID('Offshore - Sydney'!N1151,SEARCH("rata-rata:",'Offshore - Sydney'!N1151)+11,FIND(";",'Offshore - Sydney'!N1151&amp;";",SEARCH("rata-rata:",'Offshore - Sydney'!N1151))-SEARCH("rata-rata:",'Offshore - Sydney'!N1151)-11)),IF('Offshore - Sydney'!D1151="Semester",'Offshore - Sydney'!E1151*2,IF('Offshore - Sydney'!D1151="Trimester",'Offshore - Sydney'!E1151*3,IF('Offshore - Sydney'!D1151="Term",'Offshore - Sydney'!E1151*4,IF('Offshore - Sydney'!D1151="Unit",'Offshore - Sydney'!E1151*8,""))))))</f>
        <v>6000</v>
      </c>
      <c r="L443" s="0" t="n">
        <f aca="false">IF(AND(ISNUMBER('Offshore - Sydney'!E1151),ISNUMBER(K443),ISNUMBER('Offshore - Sydney'!F1151),ISNUMBER('Offshore - Sydney'!G1151),OR('Offshore - Sydney'!F1151&lt;&gt;0,ISNUMBER(SEARCH("Material 0 terverifikasi",'Offshore - Sydney'!N1151))),OR('Offshore - Sydney'!G1151&lt;&gt;0,ISNUMBER(SEARCH("Enrolment 0 terverifikasi",'Offshore - Sydney'!N1151)))),1,0)</f>
        <v>1</v>
      </c>
      <c r="M443" s="0" t="n">
        <f aca="false">IF(OR('Offshore - Sydney'!E1151="",ISNUMBER(SEARCH("BSB80120",'Offshore - Sydney'!B1151&amp;'Offshore - Sydney'!N1151)),ISNUMBER(SEARCH("Management (Learning)",'Offshore - Sydney'!B1151))),2,IF(ISNUMBER(SEARCH("CEK:",'Offshore - Sydney'!N1151)),1,0))</f>
        <v>1</v>
      </c>
    </row>
    <row r="444" customFormat="false" ht="15" hidden="false" customHeight="false" outlineLevel="0" collapsed="false">
      <c r="A444" s="63" t="s">
        <v>3533</v>
      </c>
      <c r="B444" s="64" t="s">
        <v>3833</v>
      </c>
      <c r="C444" s="63" t="s">
        <v>41</v>
      </c>
      <c r="D444" s="64" t="str">
        <f aca="false">TRIM(LEFT('Offshore - Sydney'!A469,FIND(CHAR(10),'Offshore - Sydney'!A469&amp;CHAR(10))-1))</f>
        <v>Harbourside Institute of Australia (HIA)</v>
      </c>
      <c r="E444" s="63" t="str">
        <f aca="false">'Offshore - Sydney'!C469&amp;""</f>
        <v>2 years</v>
      </c>
      <c r="F444" s="63" t="str">
        <f aca="false">IF('Offshore - Sydney'!D469="","Belum tercatat",'Offshore - Sydney'!D469)</f>
        <v>Term</v>
      </c>
      <c r="G444" s="65" t="n">
        <f aca="false">IF('Offshore - Sydney'!E469="","-",'Offshore - Sydney'!E469)</f>
        <v>1750</v>
      </c>
      <c r="H444" s="63" t="n">
        <f aca="false">IF(ISNUMBER(K444),COUNTIFS($J$6:$J$1854,J444,$K$6:$K$1854,"&lt;"&amp;K444)+1,"-")</f>
        <v>21</v>
      </c>
      <c r="I444" s="64" t="str">
        <f aca="false">IF('Offshore - Sydney'!E469="","Harga belum tersedia - hubungi konsultan TEG",IF(M444=2,"Saat ini tidak menerima pendaftaran siswa internasional baru",IF(M444=1,"Harga perlu dikonfirmasi ke sekolah"&amp;IF(""="","","; "&amp;""),"")))</f>
        <v>Harga perlu dikonfirmasi ke sekolah</v>
      </c>
      <c r="J444" s="0" t="s">
        <v>3907</v>
      </c>
      <c r="K444" s="0" t="n">
        <f aca="false">IF(M444=2,"",IF(ISNUMBER(SEARCH("rata-rata:",'Offshore - Sydney'!N469)),VALUE(MID('Offshore - Sydney'!N469,SEARCH("rata-rata:",'Offshore - Sydney'!N469)+11,FIND(";",'Offshore - Sydney'!N469&amp;";",SEARCH("rata-rata:",'Offshore - Sydney'!N469))-SEARCH("rata-rata:",'Offshore - Sydney'!N469)-11)),IF('Offshore - Sydney'!D469="Semester",'Offshore - Sydney'!E469*2,IF('Offshore - Sydney'!D469="Trimester",'Offshore - Sydney'!E469*3,IF('Offshore - Sydney'!D469="Term",'Offshore - Sydney'!E469*4,IF('Offshore - Sydney'!D469="Unit",'Offshore - Sydney'!E469*8,""))))))</f>
        <v>7000</v>
      </c>
      <c r="L444" s="0" t="n">
        <f aca="false">IF(AND(ISNUMBER('Offshore - Sydney'!E469),ISNUMBER(K444),ISNUMBER('Offshore - Sydney'!F469),ISNUMBER('Offshore - Sydney'!G469),OR('Offshore - Sydney'!F469&lt;&gt;0,ISNUMBER(SEARCH("Material 0 terverifikasi",'Offshore - Sydney'!N469))),OR('Offshore - Sydney'!G469&lt;&gt;0,ISNUMBER(SEARCH("Enrolment 0 terverifikasi",'Offshore - Sydney'!N469)))),1,0)</f>
        <v>1</v>
      </c>
      <c r="M444" s="0" t="n">
        <f aca="false">IF(OR('Offshore - Sydney'!E469="",ISNUMBER(SEARCH("BSB80120",'Offshore - Sydney'!B469&amp;'Offshore - Sydney'!N469)),ISNUMBER(SEARCH("Management (Learning)",'Offshore - Sydney'!B469))),2,IF(ISNUMBER(SEARCH("CEK:",'Offshore - Sydney'!N469)),1,0))</f>
        <v>1</v>
      </c>
    </row>
    <row r="445" customFormat="false" ht="15" hidden="false" customHeight="false" outlineLevel="0" collapsed="false">
      <c r="A445" s="63" t="s">
        <v>3533</v>
      </c>
      <c r="B445" s="64" t="s">
        <v>3833</v>
      </c>
      <c r="C445" s="63" t="s">
        <v>41</v>
      </c>
      <c r="D445" s="64" t="str">
        <f aca="false">TRIM(LEFT('Offshore - Sydney'!A703,FIND(CHAR(10),'Offshore - Sydney'!A703&amp;CHAR(10))-1))</f>
        <v>Sydney Metro College (SMC)</v>
      </c>
      <c r="E445" s="63" t="str">
        <f aca="false">'Offshore - Sydney'!C710&amp;""</f>
        <v>2 years</v>
      </c>
      <c r="F445" s="63" t="str">
        <f aca="false">IF('Offshore - Sydney'!D710="","Belum tercatat",'Offshore - Sydney'!D710)</f>
        <v>Term</v>
      </c>
      <c r="G445" s="65" t="n">
        <f aca="false">IF('Offshore - Sydney'!E710="","-",'Offshore - Sydney'!E710)</f>
        <v>1750</v>
      </c>
      <c r="H445" s="63" t="n">
        <f aca="false">IF(ISNUMBER(K445),COUNTIFS($J$6:$J$1854,J445,$K$6:$K$1854,"&lt;"&amp;K445)+1,"-")</f>
        <v>21</v>
      </c>
      <c r="I445" s="64" t="str">
        <f aca="false">IF('Offshore - Sydney'!E710="","Harga belum tersedia - hubungi konsultan TEG",IF(M445=2,"Saat ini tidak menerima pendaftaran siswa internasional baru",IF(M445=1,"Harga perlu dikonfirmasi ke sekolah"&amp;IF(""="","","; "&amp;""),"")))</f>
        <v/>
      </c>
      <c r="J445" s="0" t="s">
        <v>3907</v>
      </c>
      <c r="K445" s="0" t="n">
        <f aca="false">IF(M445=2,"",IF(ISNUMBER(SEARCH("rata-rata:",'Offshore - Sydney'!N710)),VALUE(MID('Offshore - Sydney'!N710,SEARCH("rata-rata:",'Offshore - Sydney'!N710)+11,FIND(";",'Offshore - Sydney'!N710&amp;";",SEARCH("rata-rata:",'Offshore - Sydney'!N710))-SEARCH("rata-rata:",'Offshore - Sydney'!N710)-11)),IF('Offshore - Sydney'!D710="Semester",'Offshore - Sydney'!E710*2,IF('Offshore - Sydney'!D710="Trimester",'Offshore - Sydney'!E710*3,IF('Offshore - Sydney'!D710="Term",'Offshore - Sydney'!E710*4,IF('Offshore - Sydney'!D710="Unit",'Offshore - Sydney'!E710*8,""))))))</f>
        <v>7000</v>
      </c>
      <c r="L445" s="0" t="n">
        <f aca="false">IF(AND(ISNUMBER('Offshore - Sydney'!E710),ISNUMBER(K445),ISNUMBER('Offshore - Sydney'!F710),ISNUMBER('Offshore - Sydney'!G710),OR('Offshore - Sydney'!F710&lt;&gt;0,ISNUMBER(SEARCH("Material 0 terverifikasi",'Offshore - Sydney'!N710))),OR('Offshore - Sydney'!G710&lt;&gt;0,ISNUMBER(SEARCH("Enrolment 0 terverifikasi",'Offshore - Sydney'!N710)))),1,0)</f>
        <v>1</v>
      </c>
      <c r="M445" s="0" t="n">
        <f aca="false">IF(OR('Offshore - Sydney'!E710="",ISNUMBER(SEARCH("BSB80120",'Offshore - Sydney'!B710&amp;'Offshore - Sydney'!N710)),ISNUMBER(SEARCH("Management (Learning)",'Offshore - Sydney'!B710))),2,IF(ISNUMBER(SEARCH("CEK:",'Offshore - Sydney'!N710)),1,0))</f>
        <v>0</v>
      </c>
    </row>
    <row r="446" customFormat="false" ht="15" hidden="false" customHeight="false" outlineLevel="0" collapsed="false">
      <c r="A446" s="63" t="s">
        <v>3533</v>
      </c>
      <c r="B446" s="64" t="s">
        <v>3833</v>
      </c>
      <c r="C446" s="63" t="s">
        <v>41</v>
      </c>
      <c r="D446" s="64" t="str">
        <f aca="false">TRIM(LEFT('Offshore - Sydney'!A13,FIND(CHAR(10),'Offshore - Sydney'!A13&amp;CHAR(10))-1))</f>
        <v>ABM Further Education</v>
      </c>
      <c r="E446" s="63" t="str">
        <f aca="false">'Offshore - Sydney'!C27&amp;""</f>
        <v>2 years</v>
      </c>
      <c r="F446" s="63" t="str">
        <f aca="false">IF('Offshore - Sydney'!D27="","Belum tercatat",'Offshore - Sydney'!D27)</f>
        <v>Term</v>
      </c>
      <c r="G446" s="65" t="n">
        <f aca="false">IF('Offshore - Sydney'!E27="","-",'Offshore - Sydney'!E27)</f>
        <v>2000</v>
      </c>
      <c r="H446" s="63" t="n">
        <f aca="false">IF(ISNUMBER(K446),COUNTIFS($J$6:$J$1854,J446,$K$6:$K$1854,"&lt;"&amp;K446)+1,"-")</f>
        <v>23</v>
      </c>
      <c r="I446" s="64" t="str">
        <f aca="false">IF('Offshore - Sydney'!E27="","Harga belum tersedia - hubungi konsultan TEG",IF(M446=2,"Saat ini tidak menerima pendaftaran siswa internasional baru",IF(M446=1,"Harga perlu dikonfirmasi ke sekolah"&amp;IF(""="","","; "&amp;""),"")))</f>
        <v/>
      </c>
      <c r="J446" s="0" t="s">
        <v>3907</v>
      </c>
      <c r="K446" s="0" t="n">
        <f aca="false">IF(M446=2,"",IF(ISNUMBER(SEARCH("rata-rata:",'Offshore - Sydney'!N27)),VALUE(MID('Offshore - Sydney'!N27,SEARCH("rata-rata:",'Offshore - Sydney'!N27)+11,FIND(";",'Offshore - Sydney'!N27&amp;";",SEARCH("rata-rata:",'Offshore - Sydney'!N27))-SEARCH("rata-rata:",'Offshore - Sydney'!N27)-11)),IF('Offshore - Sydney'!D27="Semester",'Offshore - Sydney'!E27*2,IF('Offshore - Sydney'!D27="Trimester",'Offshore - Sydney'!E27*3,IF('Offshore - Sydney'!D27="Term",'Offshore - Sydney'!E27*4,IF('Offshore - Sydney'!D27="Unit",'Offshore - Sydney'!E27*8,""))))))</f>
        <v>8000</v>
      </c>
      <c r="L446" s="0" t="n">
        <f aca="false">IF(AND(ISNUMBER('Offshore - Sydney'!E27),ISNUMBER(K446),ISNUMBER('Offshore - Sydney'!F27),ISNUMBER('Offshore - Sydney'!G27),OR('Offshore - Sydney'!F27&lt;&gt;0,ISNUMBER(SEARCH("Material 0 terverifikasi",'Offshore - Sydney'!N27))),OR('Offshore - Sydney'!G27&lt;&gt;0,ISNUMBER(SEARCH("Enrolment 0 terverifikasi",'Offshore - Sydney'!N27)))),1,0)</f>
        <v>1</v>
      </c>
      <c r="M446" s="0" t="n">
        <f aca="false">IF(OR('Offshore - Sydney'!E27="",ISNUMBER(SEARCH("BSB80120",'Offshore - Sydney'!B27&amp;'Offshore - Sydney'!N27)),ISNUMBER(SEARCH("Management (Learning)",'Offshore - Sydney'!B27))),2,IF(ISNUMBER(SEARCH("CEK:",'Offshore - Sydney'!N27)),1,0))</f>
        <v>0</v>
      </c>
    </row>
    <row r="447" customFormat="false" ht="15" hidden="false" customHeight="false" outlineLevel="0" collapsed="false">
      <c r="A447" s="63" t="s">
        <v>3533</v>
      </c>
      <c r="B447" s="64" t="s">
        <v>3833</v>
      </c>
      <c r="C447" s="63" t="s">
        <v>41</v>
      </c>
      <c r="D447" s="64" t="str">
        <f aca="false">TRIM(LEFT('Offshore - Sydney'!A562,FIND(CHAR(10),'Offshore - Sydney'!A562&amp;CHAR(10))-1))</f>
        <v>Le Rosey Hospitality Institute</v>
      </c>
      <c r="E447" s="63" t="str">
        <f aca="false">'Offshore - Sydney'!C565&amp;""</f>
        <v>2 years</v>
      </c>
      <c r="F447" s="63" t="str">
        <f aca="false">IF('Offshore - Sydney'!D565="","Belum tercatat",'Offshore - Sydney'!D565)</f>
        <v>Term</v>
      </c>
      <c r="G447" s="65" t="n">
        <f aca="false">IF('Offshore - Sydney'!E565="","-",'Offshore - Sydney'!E565)</f>
        <v>2000</v>
      </c>
      <c r="H447" s="63" t="n">
        <f aca="false">IF(ISNUMBER(K447),COUNTIFS($J$6:$J$1854,J447,$K$6:$K$1854,"&lt;"&amp;K447)+1,"-")</f>
        <v>23</v>
      </c>
      <c r="I447" s="64" t="str">
        <f aca="false">IF('Offshore - Sydney'!E565="","Harga belum tersedia - hubungi konsultan TEG",IF(M447=2,"Saat ini tidak menerima pendaftaran siswa internasional baru",IF(M447=1,"Harga perlu dikonfirmasi ke sekolah"&amp;IF(""="","","; "&amp;""),"")))</f>
        <v>Harga perlu dikonfirmasi ke sekolah</v>
      </c>
      <c r="J447" s="0" t="s">
        <v>3907</v>
      </c>
      <c r="K447" s="0" t="n">
        <f aca="false">IF(M447=2,"",IF(ISNUMBER(SEARCH("rata-rata:",'Offshore - Sydney'!N565)),VALUE(MID('Offshore - Sydney'!N565,SEARCH("rata-rata:",'Offshore - Sydney'!N565)+11,FIND(";",'Offshore - Sydney'!N565&amp;";",SEARCH("rata-rata:",'Offshore - Sydney'!N565))-SEARCH("rata-rata:",'Offshore - Sydney'!N565)-11)),IF('Offshore - Sydney'!D565="Semester",'Offshore - Sydney'!E565*2,IF('Offshore - Sydney'!D565="Trimester",'Offshore - Sydney'!E565*3,IF('Offshore - Sydney'!D565="Term",'Offshore - Sydney'!E565*4,IF('Offshore - Sydney'!D565="Unit",'Offshore - Sydney'!E565*8,""))))))</f>
        <v>8000</v>
      </c>
      <c r="L447" s="0" t="n">
        <f aca="false">IF(AND(ISNUMBER('Offshore - Sydney'!E565),ISNUMBER(K447),ISNUMBER('Offshore - Sydney'!F565),ISNUMBER('Offshore - Sydney'!G565),OR('Offshore - Sydney'!F565&lt;&gt;0,ISNUMBER(SEARCH("Material 0 terverifikasi",'Offshore - Sydney'!N565))),OR('Offshore - Sydney'!G565&lt;&gt;0,ISNUMBER(SEARCH("Enrolment 0 terverifikasi",'Offshore - Sydney'!N565)))),1,0)</f>
        <v>1</v>
      </c>
      <c r="M447" s="0" t="n">
        <f aca="false">IF(OR('Offshore - Sydney'!E565="",ISNUMBER(SEARCH("BSB80120",'Offshore - Sydney'!B565&amp;'Offshore - Sydney'!N565)),ISNUMBER(SEARCH("Management (Learning)",'Offshore - Sydney'!B565))),2,IF(ISNUMBER(SEARCH("CEK:",'Offshore - Sydney'!N565)),1,0))</f>
        <v>1</v>
      </c>
    </row>
    <row r="448" customFormat="false" ht="15" hidden="false" customHeight="false" outlineLevel="0" collapsed="false">
      <c r="A448" s="63" t="s">
        <v>3533</v>
      </c>
      <c r="B448" s="64" t="s">
        <v>3833</v>
      </c>
      <c r="C448" s="63" t="s">
        <v>41</v>
      </c>
      <c r="D448" s="64" t="str">
        <f aca="false">TRIM(LEFT('Offshore - Sydney'!A583,FIND(CHAR(10),'Offshore - Sydney'!A583&amp;CHAR(10))-1))</f>
        <v>Magill College Sydney</v>
      </c>
      <c r="E448" s="63" t="str">
        <f aca="false">'Offshore - Sydney'!C583&amp;""</f>
        <v>2,5 years</v>
      </c>
      <c r="F448" s="63" t="str">
        <f aca="false">IF('Offshore - Sydney'!D583="","Belum tercatat",'Offshore - Sydney'!D583)</f>
        <v>Term</v>
      </c>
      <c r="G448" s="65" t="n">
        <f aca="false">IF('Offshore - Sydney'!E583="","-",'Offshore - Sydney'!E583)</f>
        <v>2000</v>
      </c>
      <c r="H448" s="63" t="n">
        <f aca="false">IF(ISNUMBER(K448),COUNTIFS($J$6:$J$1854,J448,$K$6:$K$1854,"&lt;"&amp;K448)+1,"-")</f>
        <v>23</v>
      </c>
      <c r="I448" s="64" t="str">
        <f aca="false">IF('Offshore - Sydney'!E583="","Harga belum tersedia - hubungi konsultan TEG",IF(M448=2,"Saat ini tidak menerima pendaftaran siswa internasional baru",IF(M448=1,"Harga perlu dikonfirmasi ke sekolah"&amp;IF(""="","","; "&amp;""),"")))</f>
        <v/>
      </c>
      <c r="J448" s="0" t="s">
        <v>3907</v>
      </c>
      <c r="K448" s="0" t="n">
        <f aca="false">IF(M448=2,"",IF(ISNUMBER(SEARCH("rata-rata:",'Offshore - Sydney'!N583)),VALUE(MID('Offshore - Sydney'!N583,SEARCH("rata-rata:",'Offshore - Sydney'!N583)+11,FIND(";",'Offshore - Sydney'!N583&amp;";",SEARCH("rata-rata:",'Offshore - Sydney'!N583))-SEARCH("rata-rata:",'Offshore - Sydney'!N583)-11)),IF('Offshore - Sydney'!D583="Semester",'Offshore - Sydney'!E583*2,IF('Offshore - Sydney'!D583="Trimester",'Offshore - Sydney'!E583*3,IF('Offshore - Sydney'!D583="Term",'Offshore - Sydney'!E583*4,IF('Offshore - Sydney'!D583="Unit",'Offshore - Sydney'!E583*8,""))))))</f>
        <v>8000</v>
      </c>
      <c r="L448" s="0" t="n">
        <f aca="false">IF(AND(ISNUMBER('Offshore - Sydney'!E583),ISNUMBER(K448),ISNUMBER('Offshore - Sydney'!F583),ISNUMBER('Offshore - Sydney'!G583),OR('Offshore - Sydney'!F583&lt;&gt;0,ISNUMBER(SEARCH("Material 0 terverifikasi",'Offshore - Sydney'!N583))),OR('Offshore - Sydney'!G583&lt;&gt;0,ISNUMBER(SEARCH("Enrolment 0 terverifikasi",'Offshore - Sydney'!N583)))),1,0)</f>
        <v>1</v>
      </c>
      <c r="M448" s="0" t="n">
        <f aca="false">IF(OR('Offshore - Sydney'!E583="",ISNUMBER(SEARCH("BSB80120",'Offshore - Sydney'!B583&amp;'Offshore - Sydney'!N583)),ISNUMBER(SEARCH("Management (Learning)",'Offshore - Sydney'!B583))),2,IF(ISNUMBER(SEARCH("CEK:",'Offshore - Sydney'!N583)),1,0))</f>
        <v>0</v>
      </c>
    </row>
    <row r="449" customFormat="false" ht="15" hidden="false" customHeight="false" outlineLevel="0" collapsed="false">
      <c r="A449" s="63" t="s">
        <v>3533</v>
      </c>
      <c r="B449" s="64" t="s">
        <v>3833</v>
      </c>
      <c r="C449" s="63" t="s">
        <v>41</v>
      </c>
      <c r="D449" s="64" t="str">
        <f aca="false">TRIM(LEFT('Offshore - Sydney'!A328,FIND(CHAR(10),'Offshore - Sydney'!A328&amp;CHAR(10))-1))</f>
        <v>Australian Skills Management Institute (ASMI)</v>
      </c>
      <c r="E449" s="63" t="str">
        <f aca="false">'Offshore - Sydney'!C328&amp;""</f>
        <v>1,7 years</v>
      </c>
      <c r="F449" s="63" t="str">
        <f aca="false">IF('Offshore - Sydney'!D328="","Belum tercatat",'Offshore - Sydney'!D328)</f>
        <v>Term</v>
      </c>
      <c r="G449" s="65" t="n">
        <f aca="false">IF('Offshore - Sydney'!E328="","-",'Offshore - Sydney'!E328)</f>
        <v>2100</v>
      </c>
      <c r="H449" s="63" t="n">
        <f aca="false">IF(ISNUMBER(K449),COUNTIFS($J$6:$J$1854,J449,$K$6:$K$1854,"&lt;"&amp;K449)+1,"-")</f>
        <v>26</v>
      </c>
      <c r="I449" s="64" t="str">
        <f aca="false">IF('Offshore - Sydney'!E328="","Harga belum tersedia - hubungi konsultan TEG",IF(M449=2,"Saat ini tidak menerima pendaftaran siswa internasional baru",IF(M449=1,"Harga perlu dikonfirmasi ke sekolah"&amp;IF(""="","","; "&amp;""),"")))</f>
        <v/>
      </c>
      <c r="J449" s="0" t="s">
        <v>3907</v>
      </c>
      <c r="K449" s="0" t="n">
        <f aca="false">IF(M449=2,"",IF(ISNUMBER(SEARCH("rata-rata:",'Offshore - Sydney'!N328)),VALUE(MID('Offshore - Sydney'!N328,SEARCH("rata-rata:",'Offshore - Sydney'!N328)+11,FIND(";",'Offshore - Sydney'!N328&amp;";",SEARCH("rata-rata:",'Offshore - Sydney'!N328))-SEARCH("rata-rata:",'Offshore - Sydney'!N328)-11)),IF('Offshore - Sydney'!D328="Semester",'Offshore - Sydney'!E328*2,IF('Offshore - Sydney'!D328="Trimester",'Offshore - Sydney'!E328*3,IF('Offshore - Sydney'!D328="Term",'Offshore - Sydney'!E328*4,IF('Offshore - Sydney'!D328="Unit",'Offshore - Sydney'!E328*8,""))))))</f>
        <v>8400</v>
      </c>
      <c r="L449" s="0" t="n">
        <f aca="false">IF(AND(ISNUMBER('Offshore - Sydney'!E328),ISNUMBER(K449),ISNUMBER('Offshore - Sydney'!F328),ISNUMBER('Offshore - Sydney'!G328),OR('Offshore - Sydney'!F328&lt;&gt;0,ISNUMBER(SEARCH("Material 0 terverifikasi",'Offshore - Sydney'!N328))),OR('Offshore - Sydney'!G328&lt;&gt;0,ISNUMBER(SEARCH("Enrolment 0 terverifikasi",'Offshore - Sydney'!N328)))),1,0)</f>
        <v>1</v>
      </c>
      <c r="M449" s="0" t="n">
        <f aca="false">IF(OR('Offshore - Sydney'!E328="",ISNUMBER(SEARCH("BSB80120",'Offshore - Sydney'!B328&amp;'Offshore - Sydney'!N328)),ISNUMBER(SEARCH("Management (Learning)",'Offshore - Sydney'!B328))),2,IF(ISNUMBER(SEARCH("CEK:",'Offshore - Sydney'!N328)),1,0))</f>
        <v>0</v>
      </c>
    </row>
    <row r="450" customFormat="false" ht="15" hidden="false" customHeight="false" outlineLevel="0" collapsed="false">
      <c r="A450" s="63" t="s">
        <v>3533</v>
      </c>
      <c r="B450" s="64" t="s">
        <v>3833</v>
      </c>
      <c r="C450" s="63" t="s">
        <v>41</v>
      </c>
      <c r="D450" s="64" t="str">
        <f aca="false">TRIM(LEFT('Offshore - Sydney'!A131,FIND(CHAR(10),'Offshore - Sydney'!A131&amp;CHAR(10))-1))</f>
        <v>Asia Pacific International College (APIC)</v>
      </c>
      <c r="E450" s="63" t="str">
        <f aca="false">'Offshore - Sydney'!C133&amp;""</f>
        <v>1 year</v>
      </c>
      <c r="F450" s="63" t="str">
        <f aca="false">IF('Offshore - Sydney'!D133="","Belum tercatat",'Offshore - Sydney'!D133)</f>
        <v>Trimester</v>
      </c>
      <c r="G450" s="65" t="n">
        <f aca="false">IF('Offshore - Sydney'!E133="","-",'Offshore - Sydney'!E133)</f>
        <v>3000</v>
      </c>
      <c r="H450" s="63" t="n">
        <f aca="false">IF(ISNUMBER(K450),COUNTIFS($J$6:$J$1854,J450,$K$6:$K$1854,"&lt;"&amp;K450)+1,"-")</f>
        <v>27</v>
      </c>
      <c r="I450" s="64" t="str">
        <f aca="false">IF('Offshore - Sydney'!E133="","Harga belum tersedia - hubungi konsultan TEG",IF(M450=2,"Saat ini tidak menerima pendaftaran siswa internasional baru",IF(M450=1,"Harga perlu dikonfirmasi ke sekolah"&amp;IF(""="","","; "&amp;""),"")))</f>
        <v>Harga perlu dikonfirmasi ke sekolah</v>
      </c>
      <c r="J450" s="0" t="s">
        <v>3907</v>
      </c>
      <c r="K450" s="0" t="n">
        <f aca="false">IF(M450=2,"",IF(ISNUMBER(SEARCH("rata-rata:",'Offshore - Sydney'!N133)),VALUE(MID('Offshore - Sydney'!N133,SEARCH("rata-rata:",'Offshore - Sydney'!N133)+11,FIND(";",'Offshore - Sydney'!N133&amp;";",SEARCH("rata-rata:",'Offshore - Sydney'!N133))-SEARCH("rata-rata:",'Offshore - Sydney'!N133)-11)),IF('Offshore - Sydney'!D133="Semester",'Offshore - Sydney'!E133*2,IF('Offshore - Sydney'!D133="Trimester",'Offshore - Sydney'!E133*3,IF('Offshore - Sydney'!D133="Term",'Offshore - Sydney'!E133*4,IF('Offshore - Sydney'!D133="Unit",'Offshore - Sydney'!E133*8,""))))))</f>
        <v>9000</v>
      </c>
      <c r="L450" s="0" t="n">
        <f aca="false">IF(AND(ISNUMBER('Offshore - Sydney'!E133),ISNUMBER(K450),ISNUMBER('Offshore - Sydney'!F133),ISNUMBER('Offshore - Sydney'!G133),OR('Offshore - Sydney'!F133&lt;&gt;0,ISNUMBER(SEARCH("Material 0 terverifikasi",'Offshore - Sydney'!N133))),OR('Offshore - Sydney'!G133&lt;&gt;0,ISNUMBER(SEARCH("Enrolment 0 terverifikasi",'Offshore - Sydney'!N133)))),1,0)</f>
        <v>0</v>
      </c>
      <c r="M450" s="0" t="n">
        <f aca="false">IF(OR('Offshore - Sydney'!E133="",ISNUMBER(SEARCH("BSB80120",'Offshore - Sydney'!B133&amp;'Offshore - Sydney'!N133)),ISNUMBER(SEARCH("Management (Learning)",'Offshore - Sydney'!B133))),2,IF(ISNUMBER(SEARCH("CEK:",'Offshore - Sydney'!N133)),1,0))</f>
        <v>1</v>
      </c>
    </row>
    <row r="451" customFormat="false" ht="28.35" hidden="false" customHeight="false" outlineLevel="0" collapsed="false">
      <c r="A451" s="63" t="s">
        <v>3533</v>
      </c>
      <c r="B451" s="64" t="s">
        <v>3833</v>
      </c>
      <c r="C451" s="63" t="s">
        <v>41</v>
      </c>
      <c r="D451" s="64" t="str">
        <f aca="false">TRIM(LEFT('Offshore - Sydney'!A282,FIND(CHAR(10),'Offshore - Sydney'!A282&amp;CHAR(10))-1))</f>
        <v>Australian Harbour International College (AHIC)</v>
      </c>
      <c r="E451" s="63" t="str">
        <f aca="false">'Offshore - Sydney'!C288&amp;""</f>
        <v>1.5 year</v>
      </c>
      <c r="F451" s="63" t="str">
        <f aca="false">IF('Offshore - Sydney'!D288="","Belum tercatat",'Offshore - Sydney'!D288)</f>
        <v>Term</v>
      </c>
      <c r="G451" s="65" t="n">
        <f aca="false">IF('Offshore - Sydney'!E288="","-",'Offshore - Sydney'!E288)</f>
        <v>2250</v>
      </c>
      <c r="H451" s="63" t="n">
        <f aca="false">IF(ISNUMBER(K451),COUNTIFS($J$6:$J$1854,J451,$K$6:$K$1854,"&lt;"&amp;K451)+1,"-")</f>
        <v>27</v>
      </c>
      <c r="I451" s="64" t="str">
        <f aca="false">IF('Offshore - Sydney'!E288="","Harga belum tersedia - hubungi konsultan TEG",IF(M451=2,"Saat ini tidak menerima pendaftaran siswa internasional baru",IF(M451=1,"Harga perlu dikonfirmasi ke sekolah"&amp;IF(""="","","; "&amp;""),"")))</f>
        <v/>
      </c>
      <c r="J451" s="0" t="s">
        <v>3907</v>
      </c>
      <c r="K451" s="0" t="n">
        <f aca="false">IF(M451=2,"",IF(ISNUMBER(SEARCH("rata-rata:",'Offshore - Sydney'!N288)),VALUE(MID('Offshore - Sydney'!N288,SEARCH("rata-rata:",'Offshore - Sydney'!N288)+11,FIND(";",'Offshore - Sydney'!N288&amp;";",SEARCH("rata-rata:",'Offshore - Sydney'!N288))-SEARCH("rata-rata:",'Offshore - Sydney'!N288)-11)),IF('Offshore - Sydney'!D288="Semester",'Offshore - Sydney'!E288*2,IF('Offshore - Sydney'!D288="Trimester",'Offshore - Sydney'!E288*3,IF('Offshore - Sydney'!D288="Term",'Offshore - Sydney'!E288*4,IF('Offshore - Sydney'!D288="Unit",'Offshore - Sydney'!E288*8,""))))))</f>
        <v>9000</v>
      </c>
      <c r="L451" s="0" t="n">
        <f aca="false">IF(AND(ISNUMBER('Offshore - Sydney'!E288),ISNUMBER(K451),ISNUMBER('Offshore - Sydney'!F288),ISNUMBER('Offshore - Sydney'!G288),OR('Offshore - Sydney'!F288&lt;&gt;0,ISNUMBER(SEARCH("Material 0 terverifikasi",'Offshore - Sydney'!N288))),OR('Offshore - Sydney'!G288&lt;&gt;0,ISNUMBER(SEARCH("Enrolment 0 terverifikasi",'Offshore - Sydney'!N288)))),1,0)</f>
        <v>1</v>
      </c>
      <c r="M451" s="0" t="n">
        <f aca="false">IF(OR('Offshore - Sydney'!E288="",ISNUMBER(SEARCH("BSB80120",'Offshore - Sydney'!B288&amp;'Offshore - Sydney'!N288)),ISNUMBER(SEARCH("Management (Learning)",'Offshore - Sydney'!B288))),2,IF(ISNUMBER(SEARCH("CEK:",'Offshore - Sydney'!N288)),1,0))</f>
        <v>0</v>
      </c>
    </row>
    <row r="452" customFormat="false" ht="15" hidden="false" customHeight="false" outlineLevel="0" collapsed="false">
      <c r="A452" s="63" t="s">
        <v>3533</v>
      </c>
      <c r="B452" s="64" t="s">
        <v>3833</v>
      </c>
      <c r="C452" s="63" t="s">
        <v>41</v>
      </c>
      <c r="D452" s="64" t="str">
        <f aca="false">TRIM(LEFT('Offshore - Sydney'!A102,FIND(CHAR(10),'Offshore - Sydney'!A102&amp;CHAR(10))-1))</f>
        <v>Alice Springs College of Australia (ASCA)</v>
      </c>
      <c r="E452" s="63" t="str">
        <f aca="false">'Offshore - Sydney'!C104&amp;""</f>
        <v>2 years</v>
      </c>
      <c r="F452" s="63" t="str">
        <f aca="false">IF('Offshore - Sydney'!D104="","Belum tercatat",'Offshore - Sydney'!D104)</f>
        <v>Term</v>
      </c>
      <c r="G452" s="65" t="n">
        <f aca="false">IF('Offshore - Sydney'!E104="","-",'Offshore - Sydney'!E104)</f>
        <v>2500</v>
      </c>
      <c r="H452" s="63" t="n">
        <f aca="false">IF(ISNUMBER(K452),COUNTIFS($J$6:$J$1854,J452,$K$6:$K$1854,"&lt;"&amp;K452)+1,"-")</f>
        <v>29</v>
      </c>
      <c r="I452" s="64" t="str">
        <f aca="false">IF('Offshore - Sydney'!E104="","Harga belum tersedia - hubungi konsultan TEG",IF(M452=2,"Saat ini tidak menerima pendaftaran siswa internasional baru",IF(M452=1,"Harga perlu dikonfirmasi ke sekolah"&amp;IF(""="","","; "&amp;""),"")))</f>
        <v/>
      </c>
      <c r="J452" s="0" t="s">
        <v>3907</v>
      </c>
      <c r="K452" s="0" t="n">
        <f aca="false">IF(M452=2,"",IF(ISNUMBER(SEARCH("rata-rata:",'Offshore - Sydney'!N104)),VALUE(MID('Offshore - Sydney'!N104,SEARCH("rata-rata:",'Offshore - Sydney'!N104)+11,FIND(";",'Offshore - Sydney'!N104&amp;";",SEARCH("rata-rata:",'Offshore - Sydney'!N104))-SEARCH("rata-rata:",'Offshore - Sydney'!N104)-11)),IF('Offshore - Sydney'!D104="Semester",'Offshore - Sydney'!E104*2,IF('Offshore - Sydney'!D104="Trimester",'Offshore - Sydney'!E104*3,IF('Offshore - Sydney'!D104="Term",'Offshore - Sydney'!E104*4,IF('Offshore - Sydney'!D104="Unit",'Offshore - Sydney'!E104*8,""))))))</f>
        <v>10000</v>
      </c>
      <c r="L452" s="0" t="n">
        <f aca="false">IF(AND(ISNUMBER('Offshore - Sydney'!E104),ISNUMBER(K452),ISNUMBER('Offshore - Sydney'!F104),ISNUMBER('Offshore - Sydney'!G104),OR('Offshore - Sydney'!F104&lt;&gt;0,ISNUMBER(SEARCH("Material 0 terverifikasi",'Offshore - Sydney'!N104))),OR('Offshore - Sydney'!G104&lt;&gt;0,ISNUMBER(SEARCH("Enrolment 0 terverifikasi",'Offshore - Sydney'!N104)))),1,0)</f>
        <v>1</v>
      </c>
      <c r="M452" s="0" t="n">
        <f aca="false">IF(OR('Offshore - Sydney'!E104="",ISNUMBER(SEARCH("BSB80120",'Offshore - Sydney'!B104&amp;'Offshore - Sydney'!N104)),ISNUMBER(SEARCH("Management (Learning)",'Offshore - Sydney'!B104))),2,IF(ISNUMBER(SEARCH("CEK:",'Offshore - Sydney'!N104)),1,0))</f>
        <v>0</v>
      </c>
    </row>
    <row r="453" customFormat="false" ht="15" hidden="false" customHeight="false" outlineLevel="0" collapsed="false">
      <c r="A453" s="63" t="s">
        <v>3533</v>
      </c>
      <c r="B453" s="64" t="s">
        <v>3833</v>
      </c>
      <c r="C453" s="63" t="s">
        <v>41</v>
      </c>
      <c r="D453" s="64" t="str">
        <f aca="false">TRIM(LEFT('Offshore - Sydney'!A494,FIND(CHAR(10),'Offshore - Sydney'!A494&amp;CHAR(10))-1))</f>
        <v>INUS / ZOI (Nuture Education Group)</v>
      </c>
      <c r="E453" s="63" t="str">
        <f aca="false">'Offshore - Sydney'!C496&amp;""</f>
        <v>2 years</v>
      </c>
      <c r="F453" s="63" t="str">
        <f aca="false">IF('Offshore - Sydney'!D496="","Belum tercatat",'Offshore - Sydney'!D496)</f>
        <v>Term</v>
      </c>
      <c r="G453" s="65" t="n">
        <f aca="false">IF('Offshore - Sydney'!E496="","-",'Offshore - Sydney'!E496)</f>
        <v>2500</v>
      </c>
      <c r="H453" s="63" t="n">
        <f aca="false">IF(ISNUMBER(K453),COUNTIFS($J$6:$J$1854,J453,$K$6:$K$1854,"&lt;"&amp;K453)+1,"-")</f>
        <v>29</v>
      </c>
      <c r="I453" s="64" t="str">
        <f aca="false">IF('Offshore - Sydney'!E496="","Harga belum tersedia - hubungi konsultan TEG",IF(M453=2,"Saat ini tidak menerima pendaftaran siswa internasional baru",IF(M453=1,"Harga perlu dikonfirmasi ke sekolah"&amp;IF(""="","","; "&amp;""),"")))</f>
        <v>Harga perlu dikonfirmasi ke sekolah</v>
      </c>
      <c r="J453" s="0" t="s">
        <v>3907</v>
      </c>
      <c r="K453" s="0" t="n">
        <f aca="false">IF(M453=2,"",IF(ISNUMBER(SEARCH("rata-rata:",'Offshore - Sydney'!N496)),VALUE(MID('Offshore - Sydney'!N496,SEARCH("rata-rata:",'Offshore - Sydney'!N496)+11,FIND(";",'Offshore - Sydney'!N496&amp;";",SEARCH("rata-rata:",'Offshore - Sydney'!N496))-SEARCH("rata-rata:",'Offshore - Sydney'!N496)-11)),IF('Offshore - Sydney'!D496="Semester",'Offshore - Sydney'!E496*2,IF('Offshore - Sydney'!D496="Trimester",'Offshore - Sydney'!E496*3,IF('Offshore - Sydney'!D496="Term",'Offshore - Sydney'!E496*4,IF('Offshore - Sydney'!D496="Unit",'Offshore - Sydney'!E496*8,""))))))</f>
        <v>10000</v>
      </c>
      <c r="L453" s="0" t="n">
        <f aca="false">IF(AND(ISNUMBER('Offshore - Sydney'!E496),ISNUMBER(K453),ISNUMBER('Offshore - Sydney'!F496),ISNUMBER('Offshore - Sydney'!G496),OR('Offshore - Sydney'!F496&lt;&gt;0,ISNUMBER(SEARCH("Material 0 terverifikasi",'Offshore - Sydney'!N496))),OR('Offshore - Sydney'!G496&lt;&gt;0,ISNUMBER(SEARCH("Enrolment 0 terverifikasi",'Offshore - Sydney'!N496)))),1,0)</f>
        <v>1</v>
      </c>
      <c r="M453" s="0" t="n">
        <f aca="false">IF(OR('Offshore - Sydney'!E496="",ISNUMBER(SEARCH("BSB80120",'Offshore - Sydney'!B496&amp;'Offshore - Sydney'!N496)),ISNUMBER(SEARCH("Management (Learning)",'Offshore - Sydney'!B496))),2,IF(ISNUMBER(SEARCH("CEK:",'Offshore - Sydney'!N496)),1,0))</f>
        <v>1</v>
      </c>
    </row>
    <row r="454" customFormat="false" ht="15" hidden="false" customHeight="false" outlineLevel="0" collapsed="false">
      <c r="A454" s="63" t="s">
        <v>3533</v>
      </c>
      <c r="B454" s="64" t="s">
        <v>3833</v>
      </c>
      <c r="C454" s="63" t="s">
        <v>41</v>
      </c>
      <c r="D454" s="64" t="str">
        <f aca="false">TRIM(LEFT('Offshore - Sydney'!A615,FIND(CHAR(10),'Offshore - Sydney'!A615&amp;CHAR(10))-1))</f>
        <v>Novus College</v>
      </c>
      <c r="E454" s="63" t="str">
        <f aca="false">'Offshore - Sydney'!C615&amp;""</f>
        <v>2 years</v>
      </c>
      <c r="F454" s="63" t="str">
        <f aca="false">IF('Offshore - Sydney'!D615="","Belum tercatat",'Offshore - Sydney'!D615)</f>
        <v>Term</v>
      </c>
      <c r="G454" s="65" t="n">
        <f aca="false">IF('Offshore - Sydney'!E615="","-",'Offshore - Sydney'!E615)</f>
        <v>2500</v>
      </c>
      <c r="H454" s="63" t="n">
        <f aca="false">IF(ISNUMBER(K454),COUNTIFS($J$6:$J$1854,J454,$K$6:$K$1854,"&lt;"&amp;K454)+1,"-")</f>
        <v>29</v>
      </c>
      <c r="I454" s="64" t="str">
        <f aca="false">IF('Offshore - Sydney'!E615="","Harga belum tersedia - hubungi konsultan TEG",IF(M454=2,"Saat ini tidak menerima pendaftaran siswa internasional baru",IF(M454=1,"Program perlu dikonfirmasi ketersediaannya"&amp;IF(""="","","; "&amp;""),"")))</f>
        <v>Program perlu dikonfirmasi ketersediaannya</v>
      </c>
      <c r="J454" s="0" t="s">
        <v>3907</v>
      </c>
      <c r="K454" s="0" t="n">
        <f aca="false">IF(M454=2,"",IF(ISNUMBER(SEARCH("rata-rata:",'Offshore - Sydney'!N615)),VALUE(MID('Offshore - Sydney'!N615,SEARCH("rata-rata:",'Offshore - Sydney'!N615)+11,FIND(";",'Offshore - Sydney'!N615&amp;";",SEARCH("rata-rata:",'Offshore - Sydney'!N615))-SEARCH("rata-rata:",'Offshore - Sydney'!N615)-11)),IF('Offshore - Sydney'!D615="Semester",'Offshore - Sydney'!E615*2,IF('Offshore - Sydney'!D615="Trimester",'Offshore - Sydney'!E615*3,IF('Offshore - Sydney'!D615="Term",'Offshore - Sydney'!E615*4,IF('Offshore - Sydney'!D615="Unit",'Offshore - Sydney'!E615*8,""))))))</f>
        <v>10000</v>
      </c>
      <c r="L454" s="0" t="n">
        <f aca="false">IF(AND(ISNUMBER('Offshore - Sydney'!E615),ISNUMBER(K454),ISNUMBER('Offshore - Sydney'!F615),ISNUMBER('Offshore - Sydney'!G615),OR('Offshore - Sydney'!F615&lt;&gt;0,ISNUMBER(SEARCH("Material 0 terverifikasi",'Offshore - Sydney'!N615))),OR('Offshore - Sydney'!G615&lt;&gt;0,ISNUMBER(SEARCH("Enrolment 0 terverifikasi",'Offshore - Sydney'!N615)))),1,0)</f>
        <v>1</v>
      </c>
      <c r="M454" s="0" t="n">
        <f aca="false">IF(OR('Offshore - Sydney'!E615="",ISNUMBER(SEARCH("BSB80120",'Offshore - Sydney'!B615&amp;'Offshore - Sydney'!N615)),ISNUMBER(SEARCH("Management (Learning)",'Offshore - Sydney'!B615))),2,IF(ISNUMBER(SEARCH("CEK:",'Offshore - Sydney'!N615)),1,0))</f>
        <v>1</v>
      </c>
    </row>
    <row r="455" customFormat="false" ht="15" hidden="false" customHeight="false" outlineLevel="0" collapsed="false">
      <c r="A455" s="63" t="s">
        <v>3533</v>
      </c>
      <c r="B455" s="64" t="s">
        <v>3833</v>
      </c>
      <c r="C455" s="63" t="s">
        <v>41</v>
      </c>
      <c r="D455" s="64" t="str">
        <f aca="false">TRIM(LEFT('Offshore - Sydney'!A660,FIND(CHAR(10),'Offshore - Sydney'!A660&amp;CHAR(10))-1))</f>
        <v>Rosehill College</v>
      </c>
      <c r="E455" s="63" t="str">
        <f aca="false">'Offshore - Sydney'!C669&amp;""</f>
        <v>2 years</v>
      </c>
      <c r="F455" s="63" t="str">
        <f aca="false">IF('Offshore - Sydney'!D669="","Belum tercatat",'Offshore - Sydney'!D669)</f>
        <v>Term</v>
      </c>
      <c r="G455" s="65" t="n">
        <f aca="false">IF('Offshore - Sydney'!E669="","-",'Offshore - Sydney'!E669)</f>
        <v>2500</v>
      </c>
      <c r="H455" s="63" t="n">
        <f aca="false">IF(ISNUMBER(K455),COUNTIFS($J$6:$J$1854,J455,$K$6:$K$1854,"&lt;"&amp;K455)+1,"-")</f>
        <v>29</v>
      </c>
      <c r="I455" s="64" t="str">
        <f aca="false">IF('Offshore - Sydney'!E669="","Harga belum tersedia - hubungi konsultan TEG",IF(M455=2,"Saat ini tidak menerima pendaftaran siswa internasional baru",IF(M455=1,"Harga perlu dikonfirmasi ke sekolah"&amp;IF(""="","","; "&amp;""),"")))</f>
        <v/>
      </c>
      <c r="J455" s="0" t="s">
        <v>3907</v>
      </c>
      <c r="K455" s="0" t="n">
        <f aca="false">IF(M455=2,"",IF(ISNUMBER(SEARCH("rata-rata:",'Offshore - Sydney'!N669)),VALUE(MID('Offshore - Sydney'!N669,SEARCH("rata-rata:",'Offshore - Sydney'!N669)+11,FIND(";",'Offshore - Sydney'!N669&amp;";",SEARCH("rata-rata:",'Offshore - Sydney'!N669))-SEARCH("rata-rata:",'Offshore - Sydney'!N669)-11)),IF('Offshore - Sydney'!D669="Semester",'Offshore - Sydney'!E669*2,IF('Offshore - Sydney'!D669="Trimester",'Offshore - Sydney'!E669*3,IF('Offshore - Sydney'!D669="Term",'Offshore - Sydney'!E669*4,IF('Offshore - Sydney'!D669="Unit",'Offshore - Sydney'!E669*8,""))))))</f>
        <v>10000</v>
      </c>
      <c r="L455" s="0" t="n">
        <f aca="false">IF(AND(ISNUMBER('Offshore - Sydney'!E669),ISNUMBER(K455),ISNUMBER('Offshore - Sydney'!F669),ISNUMBER('Offshore - Sydney'!G669),OR('Offshore - Sydney'!F669&lt;&gt;0,ISNUMBER(SEARCH("Material 0 terverifikasi",'Offshore - Sydney'!N669))),OR('Offshore - Sydney'!G669&lt;&gt;0,ISNUMBER(SEARCH("Enrolment 0 terverifikasi",'Offshore - Sydney'!N669)))),1,0)</f>
        <v>1</v>
      </c>
      <c r="M455" s="0" t="n">
        <f aca="false">IF(OR('Offshore - Sydney'!E669="",ISNUMBER(SEARCH("BSB80120",'Offshore - Sydney'!B669&amp;'Offshore - Sydney'!N669)),ISNUMBER(SEARCH("Management (Learning)",'Offshore - Sydney'!B669))),2,IF(ISNUMBER(SEARCH("CEK:",'Offshore - Sydney'!N669)),1,0))</f>
        <v>0</v>
      </c>
    </row>
    <row r="456" customFormat="false" ht="28.35" hidden="false" customHeight="false" outlineLevel="0" collapsed="false">
      <c r="A456" s="63" t="s">
        <v>3533</v>
      </c>
      <c r="B456" s="64" t="s">
        <v>3833</v>
      </c>
      <c r="C456" s="63" t="s">
        <v>41</v>
      </c>
      <c r="D456" s="64" t="str">
        <f aca="false">TRIM(LEFT('Offshore - Sydney'!A695,FIND(CHAR(10),'Offshore - Sydney'!A695&amp;CHAR(10))-1))</f>
        <v>Sydney College of Professional Education (SCPE)</v>
      </c>
      <c r="E456" s="63" t="str">
        <f aca="false">'Offshore - Sydney'!C697&amp;""</f>
        <v>2 years</v>
      </c>
      <c r="F456" s="63" t="str">
        <f aca="false">IF('Offshore - Sydney'!D697="","Belum tercatat",'Offshore - Sydney'!D697)</f>
        <v>Term</v>
      </c>
      <c r="G456" s="65" t="n">
        <f aca="false">IF('Offshore - Sydney'!E697="","-",'Offshore - Sydney'!E697)</f>
        <v>2500</v>
      </c>
      <c r="H456" s="63" t="n">
        <f aca="false">IF(ISNUMBER(K456),COUNTIFS($J$6:$J$1854,J456,$K$6:$K$1854,"&lt;"&amp;K456)+1,"-")</f>
        <v>29</v>
      </c>
      <c r="I456" s="64" t="str">
        <f aca="false">IF('Offshore - Sydney'!E697="","Harga belum tersedia - hubungi konsultan TEG",IF(M456=2,"Saat ini tidak menerima pendaftaran siswa internasional baru",IF(M456=1,"Harga perlu dikonfirmasi ke sekolah"&amp;IF(""="","","; "&amp;""),"")))</f>
        <v/>
      </c>
      <c r="J456" s="0" t="s">
        <v>3907</v>
      </c>
      <c r="K456" s="0" t="n">
        <f aca="false">IF(M456=2,"",IF(ISNUMBER(SEARCH("rata-rata:",'Offshore - Sydney'!N697)),VALUE(MID('Offshore - Sydney'!N697,SEARCH("rata-rata:",'Offshore - Sydney'!N697)+11,FIND(";",'Offshore - Sydney'!N697&amp;";",SEARCH("rata-rata:",'Offshore - Sydney'!N697))-SEARCH("rata-rata:",'Offshore - Sydney'!N697)-11)),IF('Offshore - Sydney'!D697="Semester",'Offshore - Sydney'!E697*2,IF('Offshore - Sydney'!D697="Trimester",'Offshore - Sydney'!E697*3,IF('Offshore - Sydney'!D697="Term",'Offshore - Sydney'!E697*4,IF('Offshore - Sydney'!D697="Unit",'Offshore - Sydney'!E697*8,""))))))</f>
        <v>10000</v>
      </c>
      <c r="L456" s="0" t="n">
        <f aca="false">IF(AND(ISNUMBER('Offshore - Sydney'!E697),ISNUMBER(K456),ISNUMBER('Offshore - Sydney'!F697),ISNUMBER('Offshore - Sydney'!G697),OR('Offshore - Sydney'!F697&lt;&gt;0,ISNUMBER(SEARCH("Material 0 terverifikasi",'Offshore - Sydney'!N697))),OR('Offshore - Sydney'!G697&lt;&gt;0,ISNUMBER(SEARCH("Enrolment 0 terverifikasi",'Offshore - Sydney'!N697)))),1,0)</f>
        <v>1</v>
      </c>
      <c r="M456" s="0" t="n">
        <f aca="false">IF(OR('Offshore - Sydney'!E697="",ISNUMBER(SEARCH("BSB80120",'Offshore - Sydney'!B697&amp;'Offshore - Sydney'!N697)),ISNUMBER(SEARCH("Management (Learning)",'Offshore - Sydney'!B697))),2,IF(ISNUMBER(SEARCH("CEK:",'Offshore - Sydney'!N697)),1,0))</f>
        <v>0</v>
      </c>
    </row>
    <row r="457" customFormat="false" ht="15" hidden="false" customHeight="false" outlineLevel="0" collapsed="false">
      <c r="A457" s="63" t="s">
        <v>3533</v>
      </c>
      <c r="B457" s="64" t="s">
        <v>3833</v>
      </c>
      <c r="C457" s="63" t="s">
        <v>41</v>
      </c>
      <c r="D457" s="64" t="str">
        <f aca="false">TRIM(LEFT('Offshore - Sydney'!A968,FIND(CHAR(10),'Offshore - Sydney'!A968&amp;CHAR(10))-1))</f>
        <v>Western Sydney College (WSC)</v>
      </c>
      <c r="E457" s="63" t="str">
        <f aca="false">'Offshore - Sydney'!C968&amp;""</f>
        <v>2,5 years</v>
      </c>
      <c r="F457" s="63" t="str">
        <f aca="false">IF('Offshore - Sydney'!D968="","Belum tercatat",'Offshore - Sydney'!D968)</f>
        <v>Term</v>
      </c>
      <c r="G457" s="65" t="n">
        <f aca="false">IF('Offshore - Sydney'!E968="","-",'Offshore - Sydney'!E968)</f>
        <v>3250</v>
      </c>
      <c r="H457" s="63" t="n">
        <f aca="false">IF(ISNUMBER(K457),COUNTIFS($J$6:$J$1854,J457,$K$6:$K$1854,"&lt;"&amp;K457)+1,"-")</f>
        <v>34</v>
      </c>
      <c r="I457" s="64" t="str">
        <f aca="false">IF('Offshore - Sydney'!E968="","Harga belum tersedia - hubungi konsultan TEG",IF(M457=2,"Saat ini tidak menerima pendaftaran siswa internasional baru",IF(M457=1,"Program perlu dikonfirmasi ketersediaannya"&amp;IF(""="","","; "&amp;""),"")))</f>
        <v>Program perlu dikonfirmasi ketersediaannya</v>
      </c>
      <c r="J457" s="0" t="s">
        <v>3907</v>
      </c>
      <c r="K457" s="0" t="n">
        <f aca="false">IF(M457=2,"",IF(ISNUMBER(SEARCH("rata-rata:",'Offshore - Sydney'!N968)),VALUE(MID('Offshore - Sydney'!N968,SEARCH("rata-rata:",'Offshore - Sydney'!N968)+11,FIND(";",'Offshore - Sydney'!N968&amp;";",SEARCH("rata-rata:",'Offshore - Sydney'!N968))-SEARCH("rata-rata:",'Offshore - Sydney'!N968)-11)),IF('Offshore - Sydney'!D968="Semester",'Offshore - Sydney'!E968*2,IF('Offshore - Sydney'!D968="Trimester",'Offshore - Sydney'!E968*3,IF('Offshore - Sydney'!D968="Term",'Offshore - Sydney'!E968*4,IF('Offshore - Sydney'!D968="Unit",'Offshore - Sydney'!E968*8,""))))))</f>
        <v>13000</v>
      </c>
      <c r="L457" s="0" t="n">
        <f aca="false">IF(AND(ISNUMBER('Offshore - Sydney'!E968),ISNUMBER(K457),ISNUMBER('Offshore - Sydney'!F968),ISNUMBER('Offshore - Sydney'!G968),OR('Offshore - Sydney'!F968&lt;&gt;0,ISNUMBER(SEARCH("Material 0 terverifikasi",'Offshore - Sydney'!N968))),OR('Offshore - Sydney'!G968&lt;&gt;0,ISNUMBER(SEARCH("Enrolment 0 terverifikasi",'Offshore - Sydney'!N968)))),1,0)</f>
        <v>1</v>
      </c>
      <c r="M457" s="0" t="n">
        <f aca="false">IF(OR('Offshore - Sydney'!E968="",ISNUMBER(SEARCH("BSB80120",'Offshore - Sydney'!B968&amp;'Offshore - Sydney'!N968)),ISNUMBER(SEARCH("Management (Learning)",'Offshore - Sydney'!B968))),2,IF(ISNUMBER(SEARCH("CEK:",'Offshore - Sydney'!N968)),1,0))</f>
        <v>1</v>
      </c>
    </row>
    <row r="458" customFormat="false" ht="15" hidden="false" customHeight="false" outlineLevel="0" collapsed="false">
      <c r="A458" s="63" t="s">
        <v>3533</v>
      </c>
      <c r="B458" s="64" t="s">
        <v>3833</v>
      </c>
      <c r="C458" s="63" t="s">
        <v>41</v>
      </c>
      <c r="D458" s="64" t="str">
        <f aca="false">TRIM(LEFT('Offshore - Sydney'!A721,FIND(CHAR(10),'Offshore - Sydney'!A721&amp;CHAR(10))-1))</f>
        <v>TAFE NSW</v>
      </c>
      <c r="E458" s="63" t="str">
        <f aca="false">'Offshore - Sydney'!C731&amp;""</f>
        <v>2 years</v>
      </c>
      <c r="F458" s="63" t="str">
        <f aca="false">IF('Offshore - Sydney'!D731="","Belum tercatat",'Offshore - Sydney'!D731)</f>
        <v>Term</v>
      </c>
      <c r="G458" s="65" t="n">
        <f aca="false">IF('Offshore - Sydney'!E731="","-",'Offshore - Sydney'!E731)</f>
        <v>3975</v>
      </c>
      <c r="H458" s="63" t="n">
        <f aca="false">IF(ISNUMBER(K458),COUNTIFS($J$6:$J$1854,J458,$K$6:$K$1854,"&lt;"&amp;K458)+1,"-")</f>
        <v>35</v>
      </c>
      <c r="I458" s="64" t="str">
        <f aca="false">IF('Offshore - Sydney'!E731="","Harga belum tersedia - hubungi konsultan TEG",IF(M458=2,"Saat ini tidak menerima pendaftaran siswa internasional baru",IF(M458=1,"Harga perlu dikonfirmasi ke sekolah"&amp;IF(""="","","; "&amp;""),"")))</f>
        <v/>
      </c>
      <c r="J458" s="0" t="s">
        <v>3907</v>
      </c>
      <c r="K458" s="0" t="n">
        <f aca="false">IF(M458=2,"",IF(ISNUMBER(SEARCH("rata-rata:",'Offshore - Sydney'!N731)),VALUE(MID('Offshore - Sydney'!N731,SEARCH("rata-rata:",'Offshore - Sydney'!N731)+11,FIND(";",'Offshore - Sydney'!N731&amp;";",SEARCH("rata-rata:",'Offshore - Sydney'!N731))-SEARCH("rata-rata:",'Offshore - Sydney'!N731)-11)),IF('Offshore - Sydney'!D731="Semester",'Offshore - Sydney'!E731*2,IF('Offshore - Sydney'!D731="Trimester",'Offshore - Sydney'!E731*3,IF('Offshore - Sydney'!D731="Term",'Offshore - Sydney'!E731*4,IF('Offshore - Sydney'!D731="Unit",'Offshore - Sydney'!E731*8,""))))))</f>
        <v>15900</v>
      </c>
      <c r="L458" s="0" t="n">
        <f aca="false">IF(AND(ISNUMBER('Offshore - Sydney'!E731),ISNUMBER(K458),ISNUMBER('Offshore - Sydney'!F731),ISNUMBER('Offshore - Sydney'!G731),OR('Offshore - Sydney'!F731&lt;&gt;0,ISNUMBER(SEARCH("Material 0 terverifikasi",'Offshore - Sydney'!N731))),OR('Offshore - Sydney'!G731&lt;&gt;0,ISNUMBER(SEARCH("Enrolment 0 terverifikasi",'Offshore - Sydney'!N731)))),1,0)</f>
        <v>0</v>
      </c>
      <c r="M458" s="0" t="n">
        <f aca="false">IF(OR('Offshore - Sydney'!E731="",ISNUMBER(SEARCH("BSB80120",'Offshore - Sydney'!B731&amp;'Offshore - Sydney'!N731)),ISNUMBER(SEARCH("Management (Learning)",'Offshore - Sydney'!B731))),2,IF(ISNUMBER(SEARCH("CEK:",'Offshore - Sydney'!N731)),1,0))</f>
        <v>0</v>
      </c>
    </row>
    <row r="459" customFormat="false" ht="15" hidden="false" customHeight="false" outlineLevel="0" collapsed="false">
      <c r="A459" s="63" t="s">
        <v>3533</v>
      </c>
      <c r="B459" s="64" t="s">
        <v>3833</v>
      </c>
      <c r="C459" s="63" t="s">
        <v>41</v>
      </c>
      <c r="D459" s="64" t="str">
        <f aca="false">TRIM(LEFT('Offshore - Sydney'!A481,FIND(CHAR(10),'Offshore - Sydney'!A481&amp;CHAR(10))-1))</f>
        <v>Hunter Education Group</v>
      </c>
      <c r="E459" s="63" t="str">
        <f aca="false">'Offshore - Sydney'!C482&amp;""</f>
        <v>1,5 years</v>
      </c>
      <c r="F459" s="63" t="str">
        <f aca="false">IF('Offshore - Sydney'!D482="","Belum tercatat",'Offshore - Sydney'!D482)</f>
        <v>Term</v>
      </c>
      <c r="G459" s="65" t="n">
        <f aca="false">IF('Offshore - Sydney'!E482="","-",'Offshore - Sydney'!E482)</f>
        <v>4500</v>
      </c>
      <c r="H459" s="63" t="n">
        <f aca="false">IF(ISNUMBER(K459),COUNTIFS($J$6:$J$1854,J459,$K$6:$K$1854,"&lt;"&amp;K459)+1,"-")</f>
        <v>36</v>
      </c>
      <c r="I459" s="64" t="str">
        <f aca="false">IF('Offshore - Sydney'!E482="","Harga belum tersedia - hubungi konsultan TEG",IF(M459=2,"Saat ini tidak menerima pendaftaran siswa internasional baru",IF(M459=1,"Program perlu dikonfirmasi ketersediaannya"&amp;IF(""="","","; "&amp;""),"")))</f>
        <v>Program perlu dikonfirmasi ketersediaannya</v>
      </c>
      <c r="J459" s="0" t="s">
        <v>3907</v>
      </c>
      <c r="K459" s="0" t="n">
        <f aca="false">IF(M459=2,"",IF(ISNUMBER(SEARCH("rata-rata:",'Offshore - Sydney'!N482)),VALUE(MID('Offshore - Sydney'!N482,SEARCH("rata-rata:",'Offshore - Sydney'!N482)+11,FIND(";",'Offshore - Sydney'!N482&amp;";",SEARCH("rata-rata:",'Offshore - Sydney'!N482))-SEARCH("rata-rata:",'Offshore - Sydney'!N482)-11)),IF('Offshore - Sydney'!D482="Semester",'Offshore - Sydney'!E482*2,IF('Offshore - Sydney'!D482="Trimester",'Offshore - Sydney'!E482*3,IF('Offshore - Sydney'!D482="Term",'Offshore - Sydney'!E482*4,IF('Offshore - Sydney'!D482="Unit",'Offshore - Sydney'!E482*8,""))))))</f>
        <v>18000</v>
      </c>
      <c r="L459" s="0" t="n">
        <f aca="false">IF(AND(ISNUMBER('Offshore - Sydney'!E482),ISNUMBER(K459),ISNUMBER('Offshore - Sydney'!F482),ISNUMBER('Offshore - Sydney'!G482),OR('Offshore - Sydney'!F482&lt;&gt;0,ISNUMBER(SEARCH("Material 0 terverifikasi",'Offshore - Sydney'!N482))),OR('Offshore - Sydney'!G482&lt;&gt;0,ISNUMBER(SEARCH("Enrolment 0 terverifikasi",'Offshore - Sydney'!N482)))),1,0)</f>
        <v>0</v>
      </c>
      <c r="M459" s="0" t="n">
        <f aca="false">IF(OR('Offshore - Sydney'!E482="",ISNUMBER(SEARCH("BSB80120",'Offshore - Sydney'!B482&amp;'Offshore - Sydney'!N482)),ISNUMBER(SEARCH("Management (Learning)",'Offshore - Sydney'!B482))),2,IF(ISNUMBER(SEARCH("CEK:",'Offshore - Sydney'!N482)),1,0))</f>
        <v>1</v>
      </c>
    </row>
    <row r="460" customFormat="false" ht="15" hidden="false" customHeight="false" outlineLevel="0" collapsed="false">
      <c r="A460" s="63" t="s">
        <v>3533</v>
      </c>
      <c r="B460" s="64" t="s">
        <v>3833</v>
      </c>
      <c r="C460" s="63" t="s">
        <v>41</v>
      </c>
      <c r="D460" s="64" t="str">
        <f aca="false">TRIM(LEFT('Offshore - Sydney'!A814,FIND(CHAR(10),'Offshore - Sydney'!A814&amp;CHAR(10))-1))</f>
        <v>Torrens University Australia</v>
      </c>
      <c r="E460" s="63" t="str">
        <f aca="false">'Offshore - Sydney'!C814&amp;""</f>
        <v>1 year</v>
      </c>
      <c r="F460" s="63" t="str">
        <f aca="false">IF('Offshore - Sydney'!D814="","Belum tercatat",'Offshore - Sydney'!D814)</f>
        <v>Term</v>
      </c>
      <c r="G460" s="65" t="n">
        <f aca="false">IF('Offshore - Sydney'!E814="","-",'Offshore - Sydney'!E814)</f>
        <v>7900</v>
      </c>
      <c r="H460" s="63" t="n">
        <f aca="false">IF(ISNUMBER(K460),COUNTIFS($J$6:$J$1854,J460,$K$6:$K$1854,"&lt;"&amp;K460)+1,"-")</f>
        <v>37</v>
      </c>
      <c r="I460" s="64" t="str">
        <f aca="false">IF('Offshore - Sydney'!E814="","Harga belum tersedia - hubungi konsultan TEG",IF(M460=2,"Saat ini tidak menerima pendaftaran siswa internasional baru",IF(M460=1,"Harga perlu dikonfirmasi ke sekolah"&amp;IF(""="","","; "&amp;""),"")))</f>
        <v/>
      </c>
      <c r="J460" s="0" t="s">
        <v>3907</v>
      </c>
      <c r="K460" s="0" t="n">
        <f aca="false">IF(M460=2,"",IF(ISNUMBER(SEARCH("rata-rata:",'Offshore - Sydney'!N814)),VALUE(MID('Offshore - Sydney'!N814,SEARCH("rata-rata:",'Offshore - Sydney'!N814)+11,FIND(";",'Offshore - Sydney'!N814&amp;";",SEARCH("rata-rata:",'Offshore - Sydney'!N814))-SEARCH("rata-rata:",'Offshore - Sydney'!N814)-11)),IF('Offshore - Sydney'!D814="Semester",'Offshore - Sydney'!E814*2,IF('Offshore - Sydney'!D814="Trimester",'Offshore - Sydney'!E814*3,IF('Offshore - Sydney'!D814="Term",'Offshore - Sydney'!E814*4,IF('Offshore - Sydney'!D814="Unit",'Offshore - Sydney'!E814*8,""))))))</f>
        <v>31600</v>
      </c>
      <c r="L460" s="0" t="n">
        <f aca="false">IF(AND(ISNUMBER('Offshore - Sydney'!E814),ISNUMBER(K460),ISNUMBER('Offshore - Sydney'!F814),ISNUMBER('Offshore - Sydney'!G814),OR('Offshore - Sydney'!F814&lt;&gt;0,ISNUMBER(SEARCH("Material 0 terverifikasi",'Offshore - Sydney'!N814))),OR('Offshore - Sydney'!G814&lt;&gt;0,ISNUMBER(SEARCH("Enrolment 0 terverifikasi",'Offshore - Sydney'!N814)))),1,0)</f>
        <v>0</v>
      </c>
      <c r="M460" s="0" t="n">
        <f aca="false">IF(OR('Offshore - Sydney'!E814="",ISNUMBER(SEARCH("BSB80120",'Offshore - Sydney'!B814&amp;'Offshore - Sydney'!N814)),ISNUMBER(SEARCH("Management (Learning)",'Offshore - Sydney'!B814))),2,IF(ISNUMBER(SEARCH("CEK:",'Offshore - Sydney'!N814)),1,0))</f>
        <v>0</v>
      </c>
    </row>
    <row r="461" customFormat="false" ht="15" hidden="false" customHeight="false" outlineLevel="0" collapsed="false">
      <c r="A461" s="63" t="s">
        <v>3533</v>
      </c>
      <c r="B461" s="64" t="s">
        <v>3833</v>
      </c>
      <c r="C461" s="63" t="s">
        <v>41</v>
      </c>
      <c r="D461" s="64" t="str">
        <f aca="false">TRIM(LEFT('Offshore - Sydney'!A156,FIND(CHAR(10),'Offshore - Sydney'!A156&amp;CHAR(10))-1))</f>
        <v>Australian Catholic University (ACU)</v>
      </c>
      <c r="E461" s="63" t="str">
        <f aca="false">'Offshore - Sydney'!C250&amp;""</f>
        <v>1 year</v>
      </c>
      <c r="F461" s="63" t="str">
        <f aca="false">IF('Offshore - Sydney'!D250="","Belum tercatat",'Offshore - Sydney'!D250)</f>
        <v>Term</v>
      </c>
      <c r="G461" s="65" t="n">
        <f aca="false">IF('Offshore - Sydney'!E250="","-",'Offshore - Sydney'!E250)</f>
        <v>8058</v>
      </c>
      <c r="H461" s="63" t="n">
        <f aca="false">IF(ISNUMBER(K461),COUNTIFS($J$6:$J$1854,J461,$K$6:$K$1854,"&lt;"&amp;K461)+1,"-")</f>
        <v>38</v>
      </c>
      <c r="I461" s="64" t="str">
        <f aca="false">IF('Offshore - Sydney'!E250="","Harga belum tersedia - hubungi konsultan TEG",IF(M461=2,"Saat ini tidak menerima pendaftaran siswa internasional baru",IF(M461=1,"Harga perlu dikonfirmasi ke sekolah"&amp;IF(""="","","; "&amp;""),"")))</f>
        <v/>
      </c>
      <c r="J461" s="0" t="s">
        <v>3907</v>
      </c>
      <c r="K461" s="0" t="n">
        <f aca="false">IF(M461=2,"",IF(ISNUMBER(SEARCH("rata-rata:",'Offshore - Sydney'!N250)),VALUE(MID('Offshore - Sydney'!N250,SEARCH("rata-rata:",'Offshore - Sydney'!N250)+11,FIND(";",'Offshore - Sydney'!N250&amp;";",SEARCH("rata-rata:",'Offshore - Sydney'!N250))-SEARCH("rata-rata:",'Offshore - Sydney'!N250)-11)),IF('Offshore - Sydney'!D250="Semester",'Offshore - Sydney'!E250*2,IF('Offshore - Sydney'!D250="Trimester",'Offshore - Sydney'!E250*3,IF('Offshore - Sydney'!D250="Term",'Offshore - Sydney'!E250*4,IF('Offshore - Sydney'!D250="Unit",'Offshore - Sydney'!E250*8,""))))))</f>
        <v>32232</v>
      </c>
      <c r="L461" s="0" t="n">
        <f aca="false">IF(AND(ISNUMBER('Offshore - Sydney'!E250),ISNUMBER(K461),ISNUMBER('Offshore - Sydney'!F250),ISNUMBER('Offshore - Sydney'!G250),OR('Offshore - Sydney'!F250&lt;&gt;0,ISNUMBER(SEARCH("Material 0 terverifikasi",'Offshore - Sydney'!N250))),OR('Offshore - Sydney'!G250&lt;&gt;0,ISNUMBER(SEARCH("Enrolment 0 terverifikasi",'Offshore - Sydney'!N250)))),1,0)</f>
        <v>0</v>
      </c>
      <c r="M461" s="0" t="n">
        <f aca="false">IF(OR('Offshore - Sydney'!E250="",ISNUMBER(SEARCH("BSB80120",'Offshore - Sydney'!B250&amp;'Offshore - Sydney'!N250)),ISNUMBER(SEARCH("Management (Learning)",'Offshore - Sydney'!B250))),2,IF(ISNUMBER(SEARCH("CEK:",'Offshore - Sydney'!N250)),1,0))</f>
        <v>0</v>
      </c>
    </row>
    <row r="462" customFormat="false" ht="15" hidden="false" customHeight="false" outlineLevel="0" collapsed="false">
      <c r="A462" s="63" t="s">
        <v>3533</v>
      </c>
      <c r="B462" s="64" t="s">
        <v>3833</v>
      </c>
      <c r="C462" s="63" t="s">
        <v>41</v>
      </c>
      <c r="D462" s="64" t="str">
        <f aca="false">TRIM(LEFT('Offshore - Sydney'!A497,FIND(CHAR(10),'Offshore - Sydney'!A497&amp;CHAR(10))-1))</f>
        <v>Kaplan Business School</v>
      </c>
      <c r="E462" s="63" t="str">
        <f aca="false">'Offshore - Sydney'!C497&amp;""</f>
        <v>1 year</v>
      </c>
      <c r="F462" s="63" t="str">
        <f aca="false">IF('Offshore - Sydney'!D497="","Belum tercatat",'Offshore - Sydney'!D497)</f>
        <v>Trimester</v>
      </c>
      <c r="G462" s="65" t="n">
        <f aca="false">IF('Offshore - Sydney'!E497="","-",'Offshore - Sydney'!E497)</f>
        <v>11520</v>
      </c>
      <c r="H462" s="63" t="n">
        <f aca="false">IF(ISNUMBER(K462),COUNTIFS($J$6:$J$1854,J462,$K$6:$K$1854,"&lt;"&amp;K462)+1,"-")</f>
        <v>39</v>
      </c>
      <c r="I462" s="64" t="str">
        <f aca="false">IF('Offshore - Sydney'!E497="","Harga belum tersedia - hubungi konsultan TEG",IF(M462=2,"Saat ini tidak menerima pendaftaran siswa internasional baru",IF(M462=1,"Harga perlu dikonfirmasi ke sekolah"&amp;IF(""="","","; "&amp;""),"")))</f>
        <v>Harga perlu dikonfirmasi ke sekolah</v>
      </c>
      <c r="J462" s="0" t="s">
        <v>3907</v>
      </c>
      <c r="K462" s="0" t="n">
        <f aca="false">IF(M462=2,"",IF(ISNUMBER(SEARCH("rata-rata:",'Offshore - Sydney'!N497)),VALUE(MID('Offshore - Sydney'!N497,SEARCH("rata-rata:",'Offshore - Sydney'!N497)+11,FIND(";",'Offshore - Sydney'!N497&amp;";",SEARCH("rata-rata:",'Offshore - Sydney'!N497))-SEARCH("rata-rata:",'Offshore - Sydney'!N497)-11)),IF('Offshore - Sydney'!D497="Semester",'Offshore - Sydney'!E497*2,IF('Offshore - Sydney'!D497="Trimester",'Offshore - Sydney'!E497*3,IF('Offshore - Sydney'!D497="Term",'Offshore - Sydney'!E497*4,IF('Offshore - Sydney'!D497="Unit",'Offshore - Sydney'!E497*8,""))))))</f>
        <v>34560</v>
      </c>
      <c r="L462" s="0" t="n">
        <f aca="false">IF(AND(ISNUMBER('Offshore - Sydney'!E497),ISNUMBER(K462),ISNUMBER('Offshore - Sydney'!F497),ISNUMBER('Offshore - Sydney'!G497),OR('Offshore - Sydney'!F497&lt;&gt;0,ISNUMBER(SEARCH("Material 0 terverifikasi",'Offshore - Sydney'!N497))),OR('Offshore - Sydney'!G497&lt;&gt;0,ISNUMBER(SEARCH("Enrolment 0 terverifikasi",'Offshore - Sydney'!N497)))),1,0)</f>
        <v>1</v>
      </c>
      <c r="M462" s="0" t="n">
        <f aca="false">IF(OR('Offshore - Sydney'!E497="",ISNUMBER(SEARCH("BSB80120",'Offshore - Sydney'!B497&amp;'Offshore - Sydney'!N497)),ISNUMBER(SEARCH("Management (Learning)",'Offshore - Sydney'!B497))),2,IF(ISNUMBER(SEARCH("CEK:",'Offshore - Sydney'!N497)),1,0))</f>
        <v>1</v>
      </c>
    </row>
    <row r="463" customFormat="false" ht="15" hidden="false" customHeight="false" outlineLevel="0" collapsed="false">
      <c r="A463" s="61" t="s">
        <v>3908</v>
      </c>
      <c r="B463" s="62"/>
      <c r="C463" s="62"/>
      <c r="D463" s="62"/>
      <c r="E463" s="62"/>
      <c r="F463" s="62"/>
      <c r="G463" s="62"/>
      <c r="H463" s="62"/>
      <c r="I463" s="62"/>
    </row>
    <row r="464" customFormat="false" ht="15" hidden="false" customHeight="false" outlineLevel="0" collapsed="false">
      <c r="A464" s="63" t="s">
        <v>3533</v>
      </c>
      <c r="B464" s="64" t="s">
        <v>3833</v>
      </c>
      <c r="C464" s="63" t="s">
        <v>42</v>
      </c>
      <c r="D464" s="64" t="str">
        <f aca="false">TRIM(LEFT('Offshore - Sydney'!A448,FIND(CHAR(10),'Offshore - Sydney'!A448&amp;CHAR(10))-1))</f>
        <v>Greenwich College</v>
      </c>
      <c r="E464" s="63" t="str">
        <f aca="false">'Offshore - Sydney'!C453&amp;""</f>
        <v>172 weeks</v>
      </c>
      <c r="F464" s="63" t="str">
        <f aca="false">IF('Offshore - Sydney'!D453="","Belum tercatat",'Offshore - Sydney'!D453)</f>
        <v>Term</v>
      </c>
      <c r="G464" s="65" t="n">
        <f aca="false">IF('Offshore - Sydney'!E453="","-",'Offshore - Sydney'!E453)</f>
        <v>1250</v>
      </c>
      <c r="H464" s="63" t="n">
        <f aca="false">IF(ISNUMBER(K464),COUNTIFS($J$6:$J$1854,J464,$K$6:$K$1854,"&lt;"&amp;K464)+1,"-")</f>
        <v>1</v>
      </c>
      <c r="I464" s="64" t="str">
        <f aca="false">IF('Offshore - Sydney'!E453="","Harga belum tersedia - hubungi konsultan TEG",IF(M464=2,"Saat ini tidak menerima pendaftaran siswa internasional baru",IF(M464=1,"Harga perlu dikonfirmasi ke sekolah"&amp;IF(""="","","; "&amp;""),"")))</f>
        <v/>
      </c>
      <c r="J464" s="0" t="s">
        <v>3909</v>
      </c>
      <c r="K464" s="0" t="n">
        <f aca="false">IF(M464=2,"",IF(ISNUMBER(SEARCH("rata-rata:",'Offshore - Sydney'!N453)),VALUE(MID('Offshore - Sydney'!N453,SEARCH("rata-rata:",'Offshore - Sydney'!N453)+11,FIND(";",'Offshore - Sydney'!N453&amp;";",SEARCH("rata-rata:",'Offshore - Sydney'!N453))-SEARCH("rata-rata:",'Offshore - Sydney'!N453)-11)),IF('Offshore - Sydney'!D453="Semester",'Offshore - Sydney'!E453*2,IF('Offshore - Sydney'!D453="Trimester",'Offshore - Sydney'!E453*3,IF('Offshore - Sydney'!D453="Term",'Offshore - Sydney'!E453*4,IF('Offshore - Sydney'!D453="Unit",'Offshore - Sydney'!E453*8,""))))))</f>
        <v>5000</v>
      </c>
      <c r="L464" s="0" t="n">
        <f aca="false">IF(AND(ISNUMBER('Offshore - Sydney'!E453),ISNUMBER(K464),ISNUMBER('Offshore - Sydney'!F453),ISNUMBER('Offshore - Sydney'!G453),OR('Offshore - Sydney'!F453&lt;&gt;0,ISNUMBER(SEARCH("Material 0 terverifikasi",'Offshore - Sydney'!N453))),OR('Offshore - Sydney'!G453&lt;&gt;0,ISNUMBER(SEARCH("Enrolment 0 terverifikasi",'Offshore - Sydney'!N453)))),1,0)</f>
        <v>1</v>
      </c>
      <c r="M464" s="0" t="n">
        <f aca="false">IF(OR('Offshore - Sydney'!E453="",ISNUMBER(SEARCH("BSB80120",'Offshore - Sydney'!B453&amp;'Offshore - Sydney'!N453)),ISNUMBER(SEARCH("Management (Learning)",'Offshore - Sydney'!B453))),2,IF(ISNUMBER(SEARCH("CEK:",'Offshore - Sydney'!N453)),1,0))</f>
        <v>0</v>
      </c>
    </row>
    <row r="465" customFormat="false" ht="15" hidden="false" customHeight="false" outlineLevel="0" collapsed="false">
      <c r="A465" s="63" t="s">
        <v>3533</v>
      </c>
      <c r="B465" s="64" t="s">
        <v>3833</v>
      </c>
      <c r="C465" s="63" t="s">
        <v>42</v>
      </c>
      <c r="D465" s="64" t="str">
        <f aca="false">TRIM(LEFT('Offshore - Sydney'!A349,FIND(CHAR(10),'Offshore - Sydney'!A349&amp;CHAR(10))-1))</f>
        <v>Capstone Institute of Australia (CIA)</v>
      </c>
      <c r="E465" s="63" t="str">
        <f aca="false">'Offshore - Sydney'!C352&amp;""</f>
        <v>4,5 years</v>
      </c>
      <c r="F465" s="63" t="str">
        <f aca="false">IF('Offshore - Sydney'!D352="","Belum tercatat",'Offshore - Sydney'!D352)</f>
        <v>Term</v>
      </c>
      <c r="G465" s="65" t="n">
        <f aca="false">IF('Offshore - Sydney'!E352="","-",'Offshore - Sydney'!E352)</f>
        <v>1350</v>
      </c>
      <c r="H465" s="63" t="n">
        <f aca="false">IF(ISNUMBER(K465),COUNTIFS($J$6:$J$1854,J465,$K$6:$K$1854,"&lt;"&amp;K465)+1,"-")</f>
        <v>2</v>
      </c>
      <c r="I465" s="64" t="str">
        <f aca="false">IF('Offshore - Sydney'!E352="","Harga belum tersedia - hubungi konsultan TEG",IF(M465=2,"Saat ini tidak menerima pendaftaran siswa internasional baru",IF(M465=1,"Program perlu dikonfirmasi ketersediaannya"&amp;IF(""="","","; "&amp;""),"")))</f>
        <v>Program perlu dikonfirmasi ketersediaannya</v>
      </c>
      <c r="J465" s="0" t="s">
        <v>3909</v>
      </c>
      <c r="K465" s="0" t="n">
        <f aca="false">IF(M465=2,"",IF(ISNUMBER(SEARCH("rata-rata:",'Offshore - Sydney'!N352)),VALUE(MID('Offshore - Sydney'!N352,SEARCH("rata-rata:",'Offshore - Sydney'!N352)+11,FIND(";",'Offshore - Sydney'!N352&amp;";",SEARCH("rata-rata:",'Offshore - Sydney'!N352))-SEARCH("rata-rata:",'Offshore - Sydney'!N352)-11)),IF('Offshore - Sydney'!D352="Semester",'Offshore - Sydney'!E352*2,IF('Offshore - Sydney'!D352="Trimester",'Offshore - Sydney'!E352*3,IF('Offshore - Sydney'!D352="Term",'Offshore - Sydney'!E352*4,IF('Offshore - Sydney'!D352="Unit",'Offshore - Sydney'!E352*8,""))))))</f>
        <v>5400</v>
      </c>
      <c r="L465" s="0" t="n">
        <f aca="false">IF(AND(ISNUMBER('Offshore - Sydney'!E352),ISNUMBER(K465),ISNUMBER('Offshore - Sydney'!F352),ISNUMBER('Offshore - Sydney'!G352),OR('Offshore - Sydney'!F352&lt;&gt;0,ISNUMBER(SEARCH("Material 0 terverifikasi",'Offshore - Sydney'!N352))),OR('Offshore - Sydney'!G352&lt;&gt;0,ISNUMBER(SEARCH("Enrolment 0 terverifikasi",'Offshore - Sydney'!N352)))),1,0)</f>
        <v>1</v>
      </c>
      <c r="M465" s="0" t="n">
        <f aca="false">IF(OR('Offshore - Sydney'!E352="",ISNUMBER(SEARCH("BSB80120",'Offshore - Sydney'!B352&amp;'Offshore - Sydney'!N352)),ISNUMBER(SEARCH("Management (Learning)",'Offshore - Sydney'!B352))),2,IF(ISNUMBER(SEARCH("CEK:",'Offshore - Sydney'!N352)),1,0))</f>
        <v>1</v>
      </c>
    </row>
    <row r="466" customFormat="false" ht="15" hidden="false" customHeight="false" outlineLevel="0" collapsed="false">
      <c r="A466" s="63" t="s">
        <v>3533</v>
      </c>
      <c r="B466" s="64" t="s">
        <v>3833</v>
      </c>
      <c r="C466" s="63" t="s">
        <v>42</v>
      </c>
      <c r="D466" s="64" t="str">
        <f aca="false">TRIM(LEFT('Offshore - Sydney'!A715,FIND(CHAR(10),'Offshore - Sydney'!A715&amp;CHAR(10))-1))</f>
        <v>Sydney Metropolitan International College</v>
      </c>
      <c r="E466" s="63" t="str">
        <f aca="false">'Offshore - Sydney'!C717&amp;""</f>
        <v>3 years</v>
      </c>
      <c r="F466" s="63" t="str">
        <f aca="false">IF('Offshore - Sydney'!D717="","Belum tercatat",'Offshore - Sydney'!D717)</f>
        <v>Term</v>
      </c>
      <c r="G466" s="65" t="n">
        <f aca="false">IF('Offshore - Sydney'!E717="","-",'Offshore - Sydney'!E717)</f>
        <v>1350</v>
      </c>
      <c r="H466" s="63" t="n">
        <f aca="false">IF(ISNUMBER(K466),COUNTIFS($J$6:$J$1854,J466,$K$6:$K$1854,"&lt;"&amp;K466)+1,"-")</f>
        <v>2</v>
      </c>
      <c r="I466" s="64" t="str">
        <f aca="false">IF('Offshore - Sydney'!E717="","Harga belum tersedia - hubungi konsultan TEG",IF(M466=2,"Saat ini tidak menerima pendaftaran siswa internasional baru",IF(M466=1,"Harga perlu dikonfirmasi ke sekolah"&amp;IF(""="","","; "&amp;""),"")))</f>
        <v/>
      </c>
      <c r="J466" s="0" t="s">
        <v>3909</v>
      </c>
      <c r="K466" s="0" t="n">
        <f aca="false">IF(M466=2,"",IF(ISNUMBER(SEARCH("rata-rata:",'Offshore - Sydney'!N717)),VALUE(MID('Offshore - Sydney'!N717,SEARCH("rata-rata:",'Offshore - Sydney'!N717)+11,FIND(";",'Offshore - Sydney'!N717&amp;";",SEARCH("rata-rata:",'Offshore - Sydney'!N717))-SEARCH("rata-rata:",'Offshore - Sydney'!N717)-11)),IF('Offshore - Sydney'!D717="Semester",'Offshore - Sydney'!E717*2,IF('Offshore - Sydney'!D717="Trimester",'Offshore - Sydney'!E717*3,IF('Offshore - Sydney'!D717="Term",'Offshore - Sydney'!E717*4,IF('Offshore - Sydney'!D717="Unit",'Offshore - Sydney'!E717*8,""))))))</f>
        <v>5400</v>
      </c>
      <c r="L466" s="0" t="n">
        <f aca="false">IF(AND(ISNUMBER('Offshore - Sydney'!E717),ISNUMBER(K466),ISNUMBER('Offshore - Sydney'!F717),ISNUMBER('Offshore - Sydney'!G717),OR('Offshore - Sydney'!F717&lt;&gt;0,ISNUMBER(SEARCH("Material 0 terverifikasi",'Offshore - Sydney'!N717))),OR('Offshore - Sydney'!G717&lt;&gt;0,ISNUMBER(SEARCH("Enrolment 0 terverifikasi",'Offshore - Sydney'!N717)))),1,0)</f>
        <v>1</v>
      </c>
      <c r="M466" s="0" t="n">
        <f aca="false">IF(OR('Offshore - Sydney'!E717="",ISNUMBER(SEARCH("BSB80120",'Offshore - Sydney'!B717&amp;'Offshore - Sydney'!N717)),ISNUMBER(SEARCH("Management (Learning)",'Offshore - Sydney'!B717))),2,IF(ISNUMBER(SEARCH("CEK:",'Offshore - Sydney'!N717)),1,0))</f>
        <v>0</v>
      </c>
    </row>
    <row r="467" customFormat="false" ht="15" hidden="false" customHeight="false" outlineLevel="0" collapsed="false">
      <c r="A467" s="63" t="s">
        <v>3533</v>
      </c>
      <c r="B467" s="64" t="s">
        <v>3833</v>
      </c>
      <c r="C467" s="63" t="s">
        <v>42</v>
      </c>
      <c r="D467" s="64" t="str">
        <f aca="false">TRIM(LEFT('Offshore - Sydney'!A929,FIND(CHAR(10),'Offshore - Sydney'!A929&amp;CHAR(10))-1))</f>
        <v>VIA Education</v>
      </c>
      <c r="E467" s="63" t="str">
        <f aca="false">'Offshore - Sydney'!C930&amp;""</f>
        <v>4 years</v>
      </c>
      <c r="F467" s="63" t="str">
        <f aca="false">IF('Offshore - Sydney'!D930="","Belum tercatat",'Offshore - Sydney'!D930)</f>
        <v>Term</v>
      </c>
      <c r="G467" s="65" t="n">
        <f aca="false">IF('Offshore - Sydney'!E930="","-",'Offshore - Sydney'!E930)</f>
        <v>1400</v>
      </c>
      <c r="H467" s="63" t="n">
        <f aca="false">IF(ISNUMBER(K467),COUNTIFS($J$6:$J$1854,J467,$K$6:$K$1854,"&lt;"&amp;K467)+1,"-")</f>
        <v>4</v>
      </c>
      <c r="I467" s="64" t="str">
        <f aca="false">IF('Offshore - Sydney'!E930="","Harga belum tersedia - hubungi konsultan TEG",IF(M467=2,"Saat ini tidak menerima pendaftaran siswa internasional baru",IF(M467=1,"Harga perlu dikonfirmasi ke sekolah"&amp;IF(""="","","; "&amp;""),"")))</f>
        <v/>
      </c>
      <c r="J467" s="0" t="s">
        <v>3909</v>
      </c>
      <c r="K467" s="0" t="n">
        <f aca="false">IF(M467=2,"",IF(ISNUMBER(SEARCH("rata-rata:",'Offshore - Sydney'!N930)),VALUE(MID('Offshore - Sydney'!N930,SEARCH("rata-rata:",'Offshore - Sydney'!N930)+11,FIND(";",'Offshore - Sydney'!N930&amp;";",SEARCH("rata-rata:",'Offshore - Sydney'!N930))-SEARCH("rata-rata:",'Offshore - Sydney'!N930)-11)),IF('Offshore - Sydney'!D930="Semester",'Offshore - Sydney'!E930*2,IF('Offshore - Sydney'!D930="Trimester",'Offshore - Sydney'!E930*3,IF('Offshore - Sydney'!D930="Term",'Offshore - Sydney'!E930*4,IF('Offshore - Sydney'!D930="Unit",'Offshore - Sydney'!E930*8,""))))))</f>
        <v>5600</v>
      </c>
      <c r="L467" s="0" t="n">
        <f aca="false">IF(AND(ISNUMBER('Offshore - Sydney'!E930),ISNUMBER(K467),ISNUMBER('Offshore - Sydney'!F930),ISNUMBER('Offshore - Sydney'!G930),OR('Offshore - Sydney'!F930&lt;&gt;0,ISNUMBER(SEARCH("Material 0 terverifikasi",'Offshore - Sydney'!N930))),OR('Offshore - Sydney'!G930&lt;&gt;0,ISNUMBER(SEARCH("Enrolment 0 terverifikasi",'Offshore - Sydney'!N930)))),1,0)</f>
        <v>1</v>
      </c>
      <c r="M467" s="0" t="n">
        <f aca="false">IF(OR('Offshore - Sydney'!E930="",ISNUMBER(SEARCH("BSB80120",'Offshore - Sydney'!B930&amp;'Offshore - Sydney'!N930)),ISNUMBER(SEARCH("Management (Learning)",'Offshore - Sydney'!B930))),2,IF(ISNUMBER(SEARCH("CEK:",'Offshore - Sydney'!N930)),1,0))</f>
        <v>0</v>
      </c>
    </row>
    <row r="468" customFormat="false" ht="15" hidden="false" customHeight="false" outlineLevel="0" collapsed="false">
      <c r="A468" s="63" t="s">
        <v>3533</v>
      </c>
      <c r="B468" s="64" t="s">
        <v>3833</v>
      </c>
      <c r="C468" s="63" t="s">
        <v>42</v>
      </c>
      <c r="D468" s="64" t="str">
        <f aca="false">TRIM(LEFT('Offshore - Sydney'!A6,FIND(CHAR(10),'Offshore - Sydney'!A6&amp;CHAR(10))-1))</f>
        <v>Abbey College Australia</v>
      </c>
      <c r="E468" s="63" t="str">
        <f aca="false">'Offshore - Sydney'!C8&amp;""</f>
        <v>2,5 years</v>
      </c>
      <c r="F468" s="63" t="str">
        <f aca="false">IF('Offshore - Sydney'!D8="","Belum tercatat",'Offshore - Sydney'!D8)</f>
        <v>Term</v>
      </c>
      <c r="G468" s="65" t="n">
        <f aca="false">IF('Offshore - Sydney'!E8="","-",'Offshore - Sydney'!E8)</f>
        <v>1500</v>
      </c>
      <c r="H468" s="63" t="n">
        <f aca="false">IF(ISNUMBER(K468),COUNTIFS($J$6:$J$1854,J468,$K$6:$K$1854,"&lt;"&amp;K468)+1,"-")</f>
        <v>5</v>
      </c>
      <c r="I468" s="64" t="str">
        <f aca="false">IF('Offshore - Sydney'!E8="","Harga belum tersedia - hubungi konsultan TEG",IF(M468=2,"Saat ini tidak menerima pendaftaran siswa internasional baru",IF(M468=1,"Harga perlu dikonfirmasi ke sekolah"&amp;IF(""="","","; "&amp;""),"")))</f>
        <v/>
      </c>
      <c r="J468" s="0" t="s">
        <v>3909</v>
      </c>
      <c r="K468" s="0" t="n">
        <f aca="false">IF(M468=2,"",IF(ISNUMBER(SEARCH("rata-rata:",'Offshore - Sydney'!N8)),VALUE(MID('Offshore - Sydney'!N8,SEARCH("rata-rata:",'Offshore - Sydney'!N8)+11,FIND(";",'Offshore - Sydney'!N8&amp;";",SEARCH("rata-rata:",'Offshore - Sydney'!N8))-SEARCH("rata-rata:",'Offshore - Sydney'!N8)-11)),IF('Offshore - Sydney'!D8="Semester",'Offshore - Sydney'!E8*2,IF('Offshore - Sydney'!D8="Trimester",'Offshore - Sydney'!E8*3,IF('Offshore - Sydney'!D8="Term",'Offshore - Sydney'!E8*4,IF('Offshore - Sydney'!D8="Unit",'Offshore - Sydney'!E8*8,""))))))</f>
        <v>6000</v>
      </c>
      <c r="L468" s="0" t="n">
        <f aca="false">IF(AND(ISNUMBER('Offshore - Sydney'!E8),ISNUMBER(K468),ISNUMBER('Offshore - Sydney'!F8),ISNUMBER('Offshore - Sydney'!G8),OR('Offshore - Sydney'!F8&lt;&gt;0,ISNUMBER(SEARCH("Material 0 terverifikasi",'Offshore - Sydney'!N8))),OR('Offshore - Sydney'!G8&lt;&gt;0,ISNUMBER(SEARCH("Enrolment 0 terverifikasi",'Offshore - Sydney'!N8)))),1,0)</f>
        <v>1</v>
      </c>
      <c r="M468" s="0" t="n">
        <f aca="false">IF(OR('Offshore - Sydney'!E8="",ISNUMBER(SEARCH("BSB80120",'Offshore - Sydney'!B8&amp;'Offshore - Sydney'!N8)),ISNUMBER(SEARCH("Management (Learning)",'Offshore - Sydney'!B8))),2,IF(ISNUMBER(SEARCH("CEK:",'Offshore - Sydney'!N8)),1,0))</f>
        <v>0</v>
      </c>
    </row>
    <row r="469" customFormat="false" ht="15" hidden="false" customHeight="false" outlineLevel="0" collapsed="false">
      <c r="A469" s="63" t="s">
        <v>3533</v>
      </c>
      <c r="B469" s="64" t="s">
        <v>3833</v>
      </c>
      <c r="C469" s="63" t="s">
        <v>42</v>
      </c>
      <c r="D469" s="64" t="str">
        <f aca="false">TRIM(LEFT('Offshore - Sydney'!A40,FIND(CHAR(10),'Offshore - Sydney'!A40&amp;CHAR(10))-1))</f>
        <v>Academies Australasia</v>
      </c>
      <c r="E469" s="63" t="str">
        <f aca="false">'Offshore - Sydney'!C40&amp;""</f>
        <v>2 years</v>
      </c>
      <c r="F469" s="63" t="str">
        <f aca="false">IF('Offshore - Sydney'!D40="","Belum tercatat",'Offshore - Sydney'!D40)</f>
        <v>Term</v>
      </c>
      <c r="G469" s="65" t="n">
        <f aca="false">IF('Offshore - Sydney'!E40="","-",'Offshore - Sydney'!E40)</f>
        <v>1500</v>
      </c>
      <c r="H469" s="63" t="n">
        <f aca="false">IF(ISNUMBER(K469),COUNTIFS($J$6:$J$1854,J469,$K$6:$K$1854,"&lt;"&amp;K469)+1,"-")</f>
        <v>5</v>
      </c>
      <c r="I469" s="64" t="str">
        <f aca="false">IF('Offshore - Sydney'!E40="","Harga belum tersedia - hubungi konsultan TEG",IF(M469=2,"Saat ini tidak menerima pendaftaran siswa internasional baru",IF(M469=1,"Harga perlu dikonfirmasi ke sekolah"&amp;IF(""="","","; "&amp;""),"")))</f>
        <v>Harga perlu dikonfirmasi ke sekolah</v>
      </c>
      <c r="J469" s="0" t="s">
        <v>3909</v>
      </c>
      <c r="K469" s="0" t="n">
        <f aca="false">IF(M469=2,"",IF(ISNUMBER(SEARCH("rata-rata:",'Offshore - Sydney'!N40)),VALUE(MID('Offshore - Sydney'!N40,SEARCH("rata-rata:",'Offshore - Sydney'!N40)+11,FIND(";",'Offshore - Sydney'!N40&amp;";",SEARCH("rata-rata:",'Offshore - Sydney'!N40))-SEARCH("rata-rata:",'Offshore - Sydney'!N40)-11)),IF('Offshore - Sydney'!D40="Semester",'Offshore - Sydney'!E40*2,IF('Offshore - Sydney'!D40="Trimester",'Offshore - Sydney'!E40*3,IF('Offshore - Sydney'!D40="Term",'Offshore - Sydney'!E40*4,IF('Offshore - Sydney'!D40="Unit",'Offshore - Sydney'!E40*8,""))))))</f>
        <v>6000</v>
      </c>
      <c r="L469" s="0" t="n">
        <f aca="false">IF(AND(ISNUMBER('Offshore - Sydney'!E40),ISNUMBER(K469),ISNUMBER('Offshore - Sydney'!F40),ISNUMBER('Offshore - Sydney'!G40),OR('Offshore - Sydney'!F40&lt;&gt;0,ISNUMBER(SEARCH("Material 0 terverifikasi",'Offshore - Sydney'!N40))),OR('Offshore - Sydney'!G40&lt;&gt;0,ISNUMBER(SEARCH("Enrolment 0 terverifikasi",'Offshore - Sydney'!N40)))),1,0)</f>
        <v>1</v>
      </c>
      <c r="M469" s="0" t="n">
        <f aca="false">IF(OR('Offshore - Sydney'!E40="",ISNUMBER(SEARCH("BSB80120",'Offshore - Sydney'!B40&amp;'Offshore - Sydney'!N40)),ISNUMBER(SEARCH("Management (Learning)",'Offshore - Sydney'!B40))),2,IF(ISNUMBER(SEARCH("CEK:",'Offshore - Sydney'!N40)),1,0))</f>
        <v>1</v>
      </c>
    </row>
    <row r="470" customFormat="false" ht="28.35" hidden="false" customHeight="false" outlineLevel="0" collapsed="false">
      <c r="A470" s="63" t="s">
        <v>3533</v>
      </c>
      <c r="B470" s="64" t="s">
        <v>3833</v>
      </c>
      <c r="C470" s="63" t="s">
        <v>42</v>
      </c>
      <c r="D470" s="64" t="str">
        <f aca="false">TRIM(LEFT('Offshore - Sydney'!A261,FIND(CHAR(10),'Offshore - Sydney'!A261&amp;CHAR(10))-1))</f>
        <v>Australian College of Business Intelligence (ACBI)</v>
      </c>
      <c r="E470" s="63" t="str">
        <f aca="false">'Offshore - Sydney'!C262&amp;""</f>
        <v>52 weeks (4 terms)</v>
      </c>
      <c r="F470" s="63" t="str">
        <f aca="false">IF('Offshore - Sydney'!D262="","Belum tercatat",'Offshore - Sydney'!D262)</f>
        <v>Term</v>
      </c>
      <c r="G470" s="65" t="n">
        <f aca="false">IF('Offshore - Sydney'!E262="","-",'Offshore - Sydney'!E262)</f>
        <v>1500</v>
      </c>
      <c r="H470" s="63" t="n">
        <f aca="false">IF(ISNUMBER(K470),COUNTIFS($J$6:$J$1854,J470,$K$6:$K$1854,"&lt;"&amp;K470)+1,"-")</f>
        <v>5</v>
      </c>
      <c r="I470" s="64" t="str">
        <f aca="false">IF('Offshore - Sydney'!E262="","Harga belum tersedia - hubungi konsultan TEG",IF(M470=2,"Saat ini tidak menerima pendaftaran siswa internasional baru",IF(M470=1,"Harga perlu dikonfirmasi ke sekolah"&amp;IF(""="","","; "&amp;""),"")))</f>
        <v/>
      </c>
      <c r="J470" s="0" t="s">
        <v>3909</v>
      </c>
      <c r="K470" s="0" t="n">
        <f aca="false">IF(M470=2,"",IF(ISNUMBER(SEARCH("rata-rata:",'Offshore - Sydney'!N262)),VALUE(MID('Offshore - Sydney'!N262,SEARCH("rata-rata:",'Offshore - Sydney'!N262)+11,FIND(";",'Offshore - Sydney'!N262&amp;";",SEARCH("rata-rata:",'Offshore - Sydney'!N262))-SEARCH("rata-rata:",'Offshore - Sydney'!N262)-11)),IF('Offshore - Sydney'!D262="Semester",'Offshore - Sydney'!E262*2,IF('Offshore - Sydney'!D262="Trimester",'Offshore - Sydney'!E262*3,IF('Offshore - Sydney'!D262="Term",'Offshore - Sydney'!E262*4,IF('Offshore - Sydney'!D262="Unit",'Offshore - Sydney'!E262*8,""))))))</f>
        <v>6000</v>
      </c>
      <c r="L470" s="0" t="n">
        <f aca="false">IF(AND(ISNUMBER('Offshore - Sydney'!E262),ISNUMBER(K470),ISNUMBER('Offshore - Sydney'!F262),ISNUMBER('Offshore - Sydney'!G262),OR('Offshore - Sydney'!F262&lt;&gt;0,ISNUMBER(SEARCH("Material 0 terverifikasi",'Offshore - Sydney'!N262))),OR('Offshore - Sydney'!G262&lt;&gt;0,ISNUMBER(SEARCH("Enrolment 0 terverifikasi",'Offshore - Sydney'!N262)))),1,0)</f>
        <v>1</v>
      </c>
      <c r="M470" s="0" t="n">
        <f aca="false">IF(OR('Offshore - Sydney'!E262="",ISNUMBER(SEARCH("BSB80120",'Offshore - Sydney'!B262&amp;'Offshore - Sydney'!N262)),ISNUMBER(SEARCH("Management (Learning)",'Offshore - Sydney'!B262))),2,IF(ISNUMBER(SEARCH("CEK:",'Offshore - Sydney'!N262)),1,0))</f>
        <v>0</v>
      </c>
    </row>
    <row r="471" customFormat="false" ht="15" hidden="false" customHeight="false" outlineLevel="0" collapsed="false">
      <c r="A471" s="63" t="s">
        <v>3533</v>
      </c>
      <c r="B471" s="64" t="s">
        <v>3833</v>
      </c>
      <c r="C471" s="63" t="s">
        <v>42</v>
      </c>
      <c r="D471" s="64" t="str">
        <f aca="false">TRIM(LEFT('Offshore - Sydney'!A296,FIND(CHAR(10),'Offshore - Sydney'!A296&amp;CHAR(10))-1))</f>
        <v>Australian Ideal College (AIC)</v>
      </c>
      <c r="E471" s="63" t="str">
        <f aca="false">'Offshore - Sydney'!C299&amp;""</f>
        <v>1,5 years</v>
      </c>
      <c r="F471" s="63" t="str">
        <f aca="false">IF('Offshore - Sydney'!D299="","Belum tercatat",'Offshore - Sydney'!D299)</f>
        <v>Term</v>
      </c>
      <c r="G471" s="65" t="n">
        <f aca="false">IF('Offshore - Sydney'!E299="","-",'Offshore - Sydney'!E299)</f>
        <v>1500</v>
      </c>
      <c r="H471" s="63" t="n">
        <f aca="false">IF(ISNUMBER(K471),COUNTIFS($J$6:$J$1854,J471,$K$6:$K$1854,"&lt;"&amp;K471)+1,"-")</f>
        <v>5</v>
      </c>
      <c r="I471" s="64" t="str">
        <f aca="false">IF('Offshore - Sydney'!E299="","Harga belum tersedia - hubungi konsultan TEG",IF(M471=2,"Saat ini tidak menerima pendaftaran siswa internasional baru",IF(M471=1,"Harga perlu dikonfirmasi ke sekolah"&amp;IF(""="","","; "&amp;""),"")))</f>
        <v/>
      </c>
      <c r="J471" s="0" t="s">
        <v>3909</v>
      </c>
      <c r="K471" s="0" t="n">
        <f aca="false">IF(M471=2,"",IF(ISNUMBER(SEARCH("rata-rata:",'Offshore - Sydney'!N299)),VALUE(MID('Offshore - Sydney'!N299,SEARCH("rata-rata:",'Offshore - Sydney'!N299)+11,FIND(";",'Offshore - Sydney'!N299&amp;";",SEARCH("rata-rata:",'Offshore - Sydney'!N299))-SEARCH("rata-rata:",'Offshore - Sydney'!N299)-11)),IF('Offshore - Sydney'!D299="Semester",'Offshore - Sydney'!E299*2,IF('Offshore - Sydney'!D299="Trimester",'Offshore - Sydney'!E299*3,IF('Offshore - Sydney'!D299="Term",'Offshore - Sydney'!E299*4,IF('Offshore - Sydney'!D299="Unit",'Offshore - Sydney'!E299*8,""))))))</f>
        <v>6000</v>
      </c>
      <c r="L471" s="0" t="n">
        <f aca="false">IF(AND(ISNUMBER('Offshore - Sydney'!E299),ISNUMBER(K471),ISNUMBER('Offshore - Sydney'!F299),ISNUMBER('Offshore - Sydney'!G299),OR('Offshore - Sydney'!F299&lt;&gt;0,ISNUMBER(SEARCH("Material 0 terverifikasi",'Offshore - Sydney'!N299))),OR('Offshore - Sydney'!G299&lt;&gt;0,ISNUMBER(SEARCH("Enrolment 0 terverifikasi",'Offshore - Sydney'!N299)))),1,0)</f>
        <v>1</v>
      </c>
      <c r="M471" s="0" t="n">
        <f aca="false">IF(OR('Offshore - Sydney'!E299="",ISNUMBER(SEARCH("BSB80120",'Offshore - Sydney'!B299&amp;'Offshore - Sydney'!N299)),ISNUMBER(SEARCH("Management (Learning)",'Offshore - Sydney'!B299))),2,IF(ISNUMBER(SEARCH("CEK:",'Offshore - Sydney'!N299)),1,0))</f>
        <v>0</v>
      </c>
    </row>
    <row r="472" customFormat="false" ht="15" hidden="false" customHeight="false" outlineLevel="0" collapsed="false">
      <c r="A472" s="63" t="s">
        <v>3533</v>
      </c>
      <c r="B472" s="64" t="s">
        <v>3833</v>
      </c>
      <c r="C472" s="63" t="s">
        <v>42</v>
      </c>
      <c r="D472" s="64" t="str">
        <f aca="false">TRIM(LEFT('Offshore - Sydney'!A331,FIND(CHAR(10),'Offshore - Sydney'!A331&amp;CHAR(10))-1))</f>
        <v>Australian Workplace Skills Institute (AWS)</v>
      </c>
      <c r="E472" s="63" t="str">
        <f aca="false">'Offshore - Sydney'!C331&amp;""</f>
        <v>3 years</v>
      </c>
      <c r="F472" s="63" t="str">
        <f aca="false">IF('Offshore - Sydney'!D331="","Belum tercatat",'Offshore - Sydney'!D331)</f>
        <v>Term</v>
      </c>
      <c r="G472" s="65" t="n">
        <f aca="false">IF('Offshore - Sydney'!E331="","-",'Offshore - Sydney'!E331)</f>
        <v>1500</v>
      </c>
      <c r="H472" s="63" t="n">
        <f aca="false">IF(ISNUMBER(K472),COUNTIFS($J$6:$J$1854,J472,$K$6:$K$1854,"&lt;"&amp;K472)+1,"-")</f>
        <v>5</v>
      </c>
      <c r="I472" s="64" t="str">
        <f aca="false">IF('Offshore - Sydney'!E331="","Harga belum tersedia - hubungi konsultan TEG",IF(M472=2,"Saat ini tidak menerima pendaftaran siswa internasional baru",IF(M472=1,"Program perlu dikonfirmasi ketersediaannya"&amp;IF(""="","","; "&amp;""),"")))</f>
        <v>Program perlu dikonfirmasi ketersediaannya</v>
      </c>
      <c r="J472" s="0" t="s">
        <v>3909</v>
      </c>
      <c r="K472" s="0" t="n">
        <f aca="false">IF(M472=2,"",IF(ISNUMBER(SEARCH("rata-rata:",'Offshore - Sydney'!N331)),VALUE(MID('Offshore - Sydney'!N331,SEARCH("rata-rata:",'Offshore - Sydney'!N331)+11,FIND(";",'Offshore - Sydney'!N331&amp;";",SEARCH("rata-rata:",'Offshore - Sydney'!N331))-SEARCH("rata-rata:",'Offshore - Sydney'!N331)-11)),IF('Offshore - Sydney'!D331="Semester",'Offshore - Sydney'!E331*2,IF('Offshore - Sydney'!D331="Trimester",'Offshore - Sydney'!E331*3,IF('Offshore - Sydney'!D331="Term",'Offshore - Sydney'!E331*4,IF('Offshore - Sydney'!D331="Unit",'Offshore - Sydney'!E331*8,""))))))</f>
        <v>6000</v>
      </c>
      <c r="L472" s="0" t="n">
        <f aca="false">IF(AND(ISNUMBER('Offshore - Sydney'!E331),ISNUMBER(K472),ISNUMBER('Offshore - Sydney'!F331),ISNUMBER('Offshore - Sydney'!G331),OR('Offshore - Sydney'!F331&lt;&gt;0,ISNUMBER(SEARCH("Material 0 terverifikasi",'Offshore - Sydney'!N331))),OR('Offshore - Sydney'!G331&lt;&gt;0,ISNUMBER(SEARCH("Enrolment 0 terverifikasi",'Offshore - Sydney'!N331)))),1,0)</f>
        <v>1</v>
      </c>
      <c r="M472" s="0" t="n">
        <f aca="false">IF(OR('Offshore - Sydney'!E331="",ISNUMBER(SEARCH("BSB80120",'Offshore - Sydney'!B331&amp;'Offshore - Sydney'!N331)),ISNUMBER(SEARCH("Management (Learning)",'Offshore - Sydney'!B331))),2,IF(ISNUMBER(SEARCH("CEK:",'Offshore - Sydney'!N331)),1,0))</f>
        <v>1</v>
      </c>
    </row>
    <row r="473" customFormat="false" ht="15" hidden="false" customHeight="false" outlineLevel="0" collapsed="false">
      <c r="A473" s="63" t="s">
        <v>3533</v>
      </c>
      <c r="B473" s="64" t="s">
        <v>3833</v>
      </c>
      <c r="C473" s="63" t="s">
        <v>42</v>
      </c>
      <c r="D473" s="64" t="str">
        <f aca="false">TRIM(LEFT('Offshore - Sydney'!A333,FIND(CHAR(10),'Offshore - Sydney'!A333&amp;CHAR(10))-1))</f>
        <v>Berkeley Business Institute (BBI)</v>
      </c>
      <c r="E473" s="63" t="str">
        <f aca="false">'Offshore - Sydney'!C334&amp;""</f>
        <v>4,5 years</v>
      </c>
      <c r="F473" s="63" t="str">
        <f aca="false">IF('Offshore - Sydney'!D334="","Belum tercatat",'Offshore - Sydney'!D334)</f>
        <v>Term</v>
      </c>
      <c r="G473" s="65" t="n">
        <f aca="false">IF('Offshore - Sydney'!E334="","-",'Offshore - Sydney'!E334)</f>
        <v>1500</v>
      </c>
      <c r="H473" s="63" t="n">
        <f aca="false">IF(ISNUMBER(K473),COUNTIFS($J$6:$J$1854,J473,$K$6:$K$1854,"&lt;"&amp;K473)+1,"-")</f>
        <v>5</v>
      </c>
      <c r="I473" s="64" t="str">
        <f aca="false">IF('Offshore - Sydney'!E334="","Harga belum tersedia - hubungi konsultan TEG",IF(M473=2,"Saat ini tidak menerima pendaftaran siswa internasional baru",IF(M473=1,"Harga perlu dikonfirmasi ke sekolah"&amp;IF(""="","","; "&amp;""),"")))</f>
        <v>Harga perlu dikonfirmasi ke sekolah</v>
      </c>
      <c r="J473" s="0" t="s">
        <v>3909</v>
      </c>
      <c r="K473" s="0" t="n">
        <f aca="false">IF(M473=2,"",IF(ISNUMBER(SEARCH("rata-rata:",'Offshore - Sydney'!N334)),VALUE(MID('Offshore - Sydney'!N334,SEARCH("rata-rata:",'Offshore - Sydney'!N334)+11,FIND(";",'Offshore - Sydney'!N334&amp;";",SEARCH("rata-rata:",'Offshore - Sydney'!N334))-SEARCH("rata-rata:",'Offshore - Sydney'!N334)-11)),IF('Offshore - Sydney'!D334="Semester",'Offshore - Sydney'!E334*2,IF('Offshore - Sydney'!D334="Trimester",'Offshore - Sydney'!E334*3,IF('Offshore - Sydney'!D334="Term",'Offshore - Sydney'!E334*4,IF('Offshore - Sydney'!D334="Unit",'Offshore - Sydney'!E334*8,""))))))</f>
        <v>6000</v>
      </c>
      <c r="L473" s="0" t="n">
        <f aca="false">IF(AND(ISNUMBER('Offshore - Sydney'!E334),ISNUMBER(K473),ISNUMBER('Offshore - Sydney'!F334),ISNUMBER('Offshore - Sydney'!G334),OR('Offshore - Sydney'!F334&lt;&gt;0,ISNUMBER(SEARCH("Material 0 terverifikasi",'Offshore - Sydney'!N334))),OR('Offshore - Sydney'!G334&lt;&gt;0,ISNUMBER(SEARCH("Enrolment 0 terverifikasi",'Offshore - Sydney'!N334)))),1,0)</f>
        <v>1</v>
      </c>
      <c r="M473" s="0" t="n">
        <f aca="false">IF(OR('Offshore - Sydney'!E334="",ISNUMBER(SEARCH("BSB80120",'Offshore - Sydney'!B334&amp;'Offshore - Sydney'!N334)),ISNUMBER(SEARCH("Management (Learning)",'Offshore - Sydney'!B334))),2,IF(ISNUMBER(SEARCH("CEK:",'Offshore - Sydney'!N334)),1,0))</f>
        <v>1</v>
      </c>
    </row>
    <row r="474" customFormat="false" ht="15" hidden="false" customHeight="false" outlineLevel="0" collapsed="false">
      <c r="A474" s="63" t="s">
        <v>3533</v>
      </c>
      <c r="B474" s="64" t="s">
        <v>3833</v>
      </c>
      <c r="C474" s="63" t="s">
        <v>42</v>
      </c>
      <c r="D474" s="64" t="str">
        <f aca="false">TRIM(LEFT('Offshore - Sydney'!A397,FIND(CHAR(10),'Offshore - Sydney'!A397&amp;CHAR(10))-1))</f>
        <v>Collins Institute of Australia</v>
      </c>
      <c r="E474" s="63" t="str">
        <f aca="false">'Offshore - Sydney'!C398&amp;""</f>
        <v>4.5 years</v>
      </c>
      <c r="F474" s="63" t="str">
        <f aca="false">IF('Offshore - Sydney'!D398="","Belum tercatat",'Offshore - Sydney'!D398)</f>
        <v>Term</v>
      </c>
      <c r="G474" s="65" t="n">
        <f aca="false">IF('Offshore - Sydney'!E398="","-",'Offshore - Sydney'!E398)</f>
        <v>1500</v>
      </c>
      <c r="H474" s="63" t="n">
        <f aca="false">IF(ISNUMBER(K474),COUNTIFS($J$6:$J$1854,J474,$K$6:$K$1854,"&lt;"&amp;K474)+1,"-")</f>
        <v>5</v>
      </c>
      <c r="I474" s="64" t="str">
        <f aca="false">IF('Offshore - Sydney'!E398="","Harga belum tersedia - hubungi konsultan TEG",IF(M474=2,"Saat ini tidak menerima pendaftaran siswa internasional baru",IF(M474=1,"Harga perlu dikonfirmasi ke sekolah"&amp;IF(""="","","; "&amp;""),"")))</f>
        <v>Harga perlu dikonfirmasi ke sekolah</v>
      </c>
      <c r="J474" s="0" t="s">
        <v>3909</v>
      </c>
      <c r="K474" s="0" t="n">
        <f aca="false">IF(M474=2,"",IF(ISNUMBER(SEARCH("rata-rata:",'Offshore - Sydney'!N398)),VALUE(MID('Offshore - Sydney'!N398,SEARCH("rata-rata:",'Offshore - Sydney'!N398)+11,FIND(";",'Offshore - Sydney'!N398&amp;";",SEARCH("rata-rata:",'Offshore - Sydney'!N398))-SEARCH("rata-rata:",'Offshore - Sydney'!N398)-11)),IF('Offshore - Sydney'!D398="Semester",'Offshore - Sydney'!E398*2,IF('Offshore - Sydney'!D398="Trimester",'Offshore - Sydney'!E398*3,IF('Offshore - Sydney'!D398="Term",'Offshore - Sydney'!E398*4,IF('Offshore - Sydney'!D398="Unit",'Offshore - Sydney'!E398*8,""))))))</f>
        <v>6000</v>
      </c>
      <c r="L474" s="0" t="n">
        <f aca="false">IF(AND(ISNUMBER('Offshore - Sydney'!E398),ISNUMBER(K474),ISNUMBER('Offshore - Sydney'!F398),ISNUMBER('Offshore - Sydney'!G398),OR('Offshore - Sydney'!F398&lt;&gt;0,ISNUMBER(SEARCH("Material 0 terverifikasi",'Offshore - Sydney'!N398))),OR('Offshore - Sydney'!G398&lt;&gt;0,ISNUMBER(SEARCH("Enrolment 0 terverifikasi",'Offshore - Sydney'!N398)))),1,0)</f>
        <v>1</v>
      </c>
      <c r="M474" s="0" t="n">
        <f aca="false">IF(OR('Offshore - Sydney'!E398="",ISNUMBER(SEARCH("BSB80120",'Offshore - Sydney'!B398&amp;'Offshore - Sydney'!N398)),ISNUMBER(SEARCH("Management (Learning)",'Offshore - Sydney'!B398))),2,IF(ISNUMBER(SEARCH("CEK:",'Offshore - Sydney'!N398)),1,0))</f>
        <v>1</v>
      </c>
    </row>
    <row r="475" customFormat="false" ht="15" hidden="false" customHeight="false" outlineLevel="0" collapsed="false">
      <c r="A475" s="63" t="s">
        <v>3533</v>
      </c>
      <c r="B475" s="64" t="s">
        <v>3833</v>
      </c>
      <c r="C475" s="63" t="s">
        <v>42</v>
      </c>
      <c r="D475" s="64" t="str">
        <f aca="false">TRIM(LEFT('Offshore - Sydney'!A403,FIND(CHAR(10),'Offshore - Sydney'!A403&amp;CHAR(10))-1))</f>
        <v>ECA College</v>
      </c>
      <c r="E475" s="63" t="str">
        <f aca="false">'Offshore - Sydney'!C405&amp;""</f>
        <v>3 years</v>
      </c>
      <c r="F475" s="63" t="str">
        <f aca="false">IF('Offshore - Sydney'!D405="","Belum tercatat",'Offshore - Sydney'!D405)</f>
        <v>Term</v>
      </c>
      <c r="G475" s="65" t="n">
        <f aca="false">IF('Offshore - Sydney'!E405="","-",'Offshore - Sydney'!E405)</f>
        <v>1500</v>
      </c>
      <c r="H475" s="63" t="n">
        <f aca="false">IF(ISNUMBER(K475),COUNTIFS($J$6:$J$1854,J475,$K$6:$K$1854,"&lt;"&amp;K475)+1,"-")</f>
        <v>5</v>
      </c>
      <c r="I475" s="64" t="str">
        <f aca="false">IF('Offshore - Sydney'!E405="","Harga belum tersedia - hubungi konsultan TEG",IF(M475=2,"Saat ini tidak menerima pendaftaran siswa internasional baru",IF(M475=1,"Harga perlu dikonfirmasi ke sekolah"&amp;IF(""="","","; "&amp;""),"")))</f>
        <v/>
      </c>
      <c r="J475" s="0" t="s">
        <v>3909</v>
      </c>
      <c r="K475" s="0" t="n">
        <f aca="false">IF(M475=2,"",IF(ISNUMBER(SEARCH("rata-rata:",'Offshore - Sydney'!N405)),VALUE(MID('Offshore - Sydney'!N405,SEARCH("rata-rata:",'Offshore - Sydney'!N405)+11,FIND(";",'Offshore - Sydney'!N405&amp;";",SEARCH("rata-rata:",'Offshore - Sydney'!N405))-SEARCH("rata-rata:",'Offshore - Sydney'!N405)-11)),IF('Offshore - Sydney'!D405="Semester",'Offshore - Sydney'!E405*2,IF('Offshore - Sydney'!D405="Trimester",'Offshore - Sydney'!E405*3,IF('Offshore - Sydney'!D405="Term",'Offshore - Sydney'!E405*4,IF('Offshore - Sydney'!D405="Unit",'Offshore - Sydney'!E405*8,""))))))</f>
        <v>6000</v>
      </c>
      <c r="L475" s="0" t="n">
        <f aca="false">IF(AND(ISNUMBER('Offshore - Sydney'!E405),ISNUMBER(K475),ISNUMBER('Offshore - Sydney'!F405),ISNUMBER('Offshore - Sydney'!G405),OR('Offshore - Sydney'!F405&lt;&gt;0,ISNUMBER(SEARCH("Material 0 terverifikasi",'Offshore - Sydney'!N405))),OR('Offshore - Sydney'!G405&lt;&gt;0,ISNUMBER(SEARCH("Enrolment 0 terverifikasi",'Offshore - Sydney'!N405)))),1,0)</f>
        <v>0</v>
      </c>
      <c r="M475" s="0" t="n">
        <f aca="false">IF(OR('Offshore - Sydney'!E405="",ISNUMBER(SEARCH("BSB80120",'Offshore - Sydney'!B405&amp;'Offshore - Sydney'!N405)),ISNUMBER(SEARCH("Management (Learning)",'Offshore - Sydney'!B405))),2,IF(ISNUMBER(SEARCH("CEK:",'Offshore - Sydney'!N405)),1,0))</f>
        <v>0</v>
      </c>
    </row>
    <row r="476" customFormat="false" ht="15" hidden="false" customHeight="false" outlineLevel="0" collapsed="false">
      <c r="A476" s="63" t="s">
        <v>3533</v>
      </c>
      <c r="B476" s="64" t="s">
        <v>3833</v>
      </c>
      <c r="C476" s="63" t="s">
        <v>42</v>
      </c>
      <c r="D476" s="64" t="str">
        <f aca="false">TRIM(LEFT('Offshore - Sydney'!A411,FIND(CHAR(10),'Offshore - Sydney'!A411&amp;CHAR(10))-1))</f>
        <v>Eton College</v>
      </c>
      <c r="E476" s="63" t="str">
        <f aca="false">'Offshore - Sydney'!C413&amp;""</f>
        <v>4 years</v>
      </c>
      <c r="F476" s="63" t="str">
        <f aca="false">IF('Offshore - Sydney'!D413="","Belum tercatat",'Offshore - Sydney'!D413)</f>
        <v>Term</v>
      </c>
      <c r="G476" s="65" t="n">
        <f aca="false">IF('Offshore - Sydney'!E413="","-",'Offshore - Sydney'!E413)</f>
        <v>1500</v>
      </c>
      <c r="H476" s="63" t="n">
        <f aca="false">IF(ISNUMBER(K476),COUNTIFS($J$6:$J$1854,J476,$K$6:$K$1854,"&lt;"&amp;K476)+1,"-")</f>
        <v>5</v>
      </c>
      <c r="I476" s="64" t="str">
        <f aca="false">IF('Offshore - Sydney'!E413="","Harga belum tersedia - hubungi konsultan TEG",IF(M476=2,"Saat ini tidak menerima pendaftaran siswa internasional baru",IF(M476=1,"Harga perlu dikonfirmasi ke sekolah"&amp;IF(""="","","; "&amp;""),"")))</f>
        <v/>
      </c>
      <c r="J476" s="0" t="s">
        <v>3909</v>
      </c>
      <c r="K476" s="0" t="n">
        <f aca="false">IF(M476=2,"",IF(ISNUMBER(SEARCH("rata-rata:",'Offshore - Sydney'!N413)),VALUE(MID('Offshore - Sydney'!N413,SEARCH("rata-rata:",'Offshore - Sydney'!N413)+11,FIND(";",'Offshore - Sydney'!N413&amp;";",SEARCH("rata-rata:",'Offshore - Sydney'!N413))-SEARCH("rata-rata:",'Offshore - Sydney'!N413)-11)),IF('Offshore - Sydney'!D413="Semester",'Offshore - Sydney'!E413*2,IF('Offshore - Sydney'!D413="Trimester",'Offshore - Sydney'!E413*3,IF('Offshore - Sydney'!D413="Term",'Offshore - Sydney'!E413*4,IF('Offshore - Sydney'!D413="Unit",'Offshore - Sydney'!E413*8,""))))))</f>
        <v>6000</v>
      </c>
      <c r="L476" s="0" t="n">
        <f aca="false">IF(AND(ISNUMBER('Offshore - Sydney'!E413),ISNUMBER(K476),ISNUMBER('Offshore - Sydney'!F413),ISNUMBER('Offshore - Sydney'!G413),OR('Offshore - Sydney'!F413&lt;&gt;0,ISNUMBER(SEARCH("Material 0 terverifikasi",'Offshore - Sydney'!N413))),OR('Offshore - Sydney'!G413&lt;&gt;0,ISNUMBER(SEARCH("Enrolment 0 terverifikasi",'Offshore - Sydney'!N413)))),1,0)</f>
        <v>1</v>
      </c>
      <c r="M476" s="0" t="n">
        <f aca="false">IF(OR('Offshore - Sydney'!E413="",ISNUMBER(SEARCH("BSB80120",'Offshore - Sydney'!B413&amp;'Offshore - Sydney'!N413)),ISNUMBER(SEARCH("Management (Learning)",'Offshore - Sydney'!B413))),2,IF(ISNUMBER(SEARCH("CEK:",'Offshore - Sydney'!N413)),1,0))</f>
        <v>0</v>
      </c>
    </row>
    <row r="477" customFormat="false" ht="15" hidden="false" customHeight="false" outlineLevel="0" collapsed="false">
      <c r="A477" s="63" t="s">
        <v>3533</v>
      </c>
      <c r="B477" s="64" t="s">
        <v>3833</v>
      </c>
      <c r="C477" s="63" t="s">
        <v>42</v>
      </c>
      <c r="D477" s="64" t="str">
        <f aca="false">TRIM(LEFT('Offshore - Sydney'!A430,FIND(CHAR(10),'Offshore - Sydney'!A430&amp;CHAR(10))-1))</f>
        <v>George Brown College</v>
      </c>
      <c r="E477" s="63" t="str">
        <f aca="false">'Offshore - Sydney'!C431&amp;""</f>
        <v>4 years</v>
      </c>
      <c r="F477" s="63" t="str">
        <f aca="false">IF('Offshore - Sydney'!D431="","Belum tercatat",'Offshore - Sydney'!D431)</f>
        <v>Term</v>
      </c>
      <c r="G477" s="65" t="n">
        <f aca="false">IF('Offshore - Sydney'!E431="","-",'Offshore - Sydney'!E431)</f>
        <v>1500</v>
      </c>
      <c r="H477" s="63" t="n">
        <f aca="false">IF(ISNUMBER(K477),COUNTIFS($J$6:$J$1854,J477,$K$6:$K$1854,"&lt;"&amp;K477)+1,"-")</f>
        <v>5</v>
      </c>
      <c r="I477" s="64" t="str">
        <f aca="false">IF('Offshore - Sydney'!E431="","Harga belum tersedia - hubungi konsultan TEG",IF(M477=2,"Saat ini tidak menerima pendaftaran siswa internasional baru",IF(M477=1,"Harga perlu dikonfirmasi ke sekolah"&amp;IF(""="","","; "&amp;""),"")))</f>
        <v/>
      </c>
      <c r="J477" s="0" t="s">
        <v>3909</v>
      </c>
      <c r="K477" s="0" t="n">
        <f aca="false">IF(M477=2,"",IF(ISNUMBER(SEARCH("rata-rata:",'Offshore - Sydney'!N431)),VALUE(MID('Offshore - Sydney'!N431,SEARCH("rata-rata:",'Offshore - Sydney'!N431)+11,FIND(";",'Offshore - Sydney'!N431&amp;";",SEARCH("rata-rata:",'Offshore - Sydney'!N431))-SEARCH("rata-rata:",'Offshore - Sydney'!N431)-11)),IF('Offshore - Sydney'!D431="Semester",'Offshore - Sydney'!E431*2,IF('Offshore - Sydney'!D431="Trimester",'Offshore - Sydney'!E431*3,IF('Offshore - Sydney'!D431="Term",'Offshore - Sydney'!E431*4,IF('Offshore - Sydney'!D431="Unit",'Offshore - Sydney'!E431*8,""))))))</f>
        <v>6000</v>
      </c>
      <c r="L477" s="0" t="n">
        <f aca="false">IF(AND(ISNUMBER('Offshore - Sydney'!E431),ISNUMBER(K477),ISNUMBER('Offshore - Sydney'!F431),ISNUMBER('Offshore - Sydney'!G431),OR('Offshore - Sydney'!F431&lt;&gt;0,ISNUMBER(SEARCH("Material 0 terverifikasi",'Offshore - Sydney'!N431))),OR('Offshore - Sydney'!G431&lt;&gt;0,ISNUMBER(SEARCH("Enrolment 0 terverifikasi",'Offshore - Sydney'!N431)))),1,0)</f>
        <v>1</v>
      </c>
      <c r="M477" s="0" t="n">
        <f aca="false">IF(OR('Offshore - Sydney'!E431="",ISNUMBER(SEARCH("BSB80120",'Offshore - Sydney'!B431&amp;'Offshore - Sydney'!N431)),ISNUMBER(SEARCH("Management (Learning)",'Offshore - Sydney'!B431))),2,IF(ISNUMBER(SEARCH("CEK:",'Offshore - Sydney'!N431)),1,0))</f>
        <v>0</v>
      </c>
    </row>
    <row r="478" customFormat="false" ht="15" hidden="false" customHeight="false" outlineLevel="0" collapsed="false">
      <c r="A478" s="63" t="s">
        <v>3533</v>
      </c>
      <c r="B478" s="64" t="s">
        <v>3833</v>
      </c>
      <c r="C478" s="63" t="s">
        <v>42</v>
      </c>
      <c r="D478" s="64" t="str">
        <f aca="false">TRIM(LEFT('Offshore - Sydney'!A567,FIND(CHAR(10),'Offshore - Sydney'!A567&amp;CHAR(10))-1))</f>
        <v>Legend Institute</v>
      </c>
      <c r="E478" s="63" t="str">
        <f aca="false">'Offshore - Sydney'!C582&amp;""</f>
        <v>2 years</v>
      </c>
      <c r="F478" s="63" t="str">
        <f aca="false">IF('Offshore - Sydney'!D582="","Belum tercatat",'Offshore - Sydney'!D582)</f>
        <v>Term</v>
      </c>
      <c r="G478" s="65" t="n">
        <f aca="false">IF('Offshore - Sydney'!E582="","-",'Offshore - Sydney'!E582)</f>
        <v>1500</v>
      </c>
      <c r="H478" s="63" t="n">
        <f aca="false">IF(ISNUMBER(K478),COUNTIFS($J$6:$J$1854,J478,$K$6:$K$1854,"&lt;"&amp;K478)+1,"-")</f>
        <v>5</v>
      </c>
      <c r="I478" s="64" t="str">
        <f aca="false">IF('Offshore - Sydney'!E582="","Harga belum tersedia - hubungi konsultan TEG",IF(M478=2,"Saat ini tidak menerima pendaftaran siswa internasional baru",IF(M478=1,"Harga perlu dikonfirmasi ke sekolah"&amp;IF(""="","","; "&amp;""),"")))</f>
        <v>Harga perlu dikonfirmasi ke sekolah</v>
      </c>
      <c r="J478" s="0" t="s">
        <v>3909</v>
      </c>
      <c r="K478" s="0" t="n">
        <f aca="false">IF(M478=2,"",IF(ISNUMBER(SEARCH("rata-rata:",'Offshore - Sydney'!N582)),VALUE(MID('Offshore - Sydney'!N582,SEARCH("rata-rata:",'Offshore - Sydney'!N582)+11,FIND(";",'Offshore - Sydney'!N582&amp;";",SEARCH("rata-rata:",'Offshore - Sydney'!N582))-SEARCH("rata-rata:",'Offshore - Sydney'!N582)-11)),IF('Offshore - Sydney'!D582="Semester",'Offshore - Sydney'!E582*2,IF('Offshore - Sydney'!D582="Trimester",'Offshore - Sydney'!E582*3,IF('Offshore - Sydney'!D582="Term",'Offshore - Sydney'!E582*4,IF('Offshore - Sydney'!D582="Unit",'Offshore - Sydney'!E582*8,""))))))</f>
        <v>6000</v>
      </c>
      <c r="L478" s="0" t="n">
        <f aca="false">IF(AND(ISNUMBER('Offshore - Sydney'!E582),ISNUMBER(K478),ISNUMBER('Offshore - Sydney'!F582),ISNUMBER('Offshore - Sydney'!G582),OR('Offshore - Sydney'!F582&lt;&gt;0,ISNUMBER(SEARCH("Material 0 terverifikasi",'Offshore - Sydney'!N582))),OR('Offshore - Sydney'!G582&lt;&gt;0,ISNUMBER(SEARCH("Enrolment 0 terverifikasi",'Offshore - Sydney'!N582)))),1,0)</f>
        <v>1</v>
      </c>
      <c r="M478" s="0" t="n">
        <f aca="false">IF(OR('Offshore - Sydney'!E582="",ISNUMBER(SEARCH("BSB80120",'Offshore - Sydney'!B582&amp;'Offshore - Sydney'!N582)),ISNUMBER(SEARCH("Management (Learning)",'Offshore - Sydney'!B582))),2,IF(ISNUMBER(SEARCH("CEK:",'Offshore - Sydney'!N582)),1,0))</f>
        <v>1</v>
      </c>
    </row>
    <row r="479" customFormat="false" ht="15" hidden="false" customHeight="false" outlineLevel="0" collapsed="false">
      <c r="A479" s="63" t="s">
        <v>3533</v>
      </c>
      <c r="B479" s="64" t="s">
        <v>3833</v>
      </c>
      <c r="C479" s="63" t="s">
        <v>42</v>
      </c>
      <c r="D479" s="64" t="str">
        <f aca="false">TRIM(LEFT('Offshore - Sydney'!A599,FIND(CHAR(10),'Offshore - Sydney'!A599&amp;CHAR(10))-1))</f>
        <v>New Cambridge College Sydney (NCCS)</v>
      </c>
      <c r="E479" s="63" t="str">
        <f aca="false">'Offshore - Sydney'!C600&amp;""</f>
        <v>4 years</v>
      </c>
      <c r="F479" s="63" t="str">
        <f aca="false">IF('Offshore - Sydney'!D600="","Belum tercatat",'Offshore - Sydney'!D600)</f>
        <v>Term</v>
      </c>
      <c r="G479" s="65" t="n">
        <f aca="false">IF('Offshore - Sydney'!E600="","-",'Offshore - Sydney'!E600)</f>
        <v>1500</v>
      </c>
      <c r="H479" s="63" t="n">
        <f aca="false">IF(ISNUMBER(K479),COUNTIFS($J$6:$J$1854,J479,$K$6:$K$1854,"&lt;"&amp;K479)+1,"-")</f>
        <v>5</v>
      </c>
      <c r="I479" s="64" t="str">
        <f aca="false">IF('Offshore - Sydney'!E600="","Harga belum tersedia - hubungi konsultan TEG",IF(M479=2,"Saat ini tidak menerima pendaftaran siswa internasional baru",IF(M479=1,"Harga perlu dikonfirmasi ke sekolah"&amp;IF(""="","","; "&amp;""),"")))</f>
        <v/>
      </c>
      <c r="J479" s="0" t="s">
        <v>3909</v>
      </c>
      <c r="K479" s="0" t="n">
        <f aca="false">IF(M479=2,"",IF(ISNUMBER(SEARCH("rata-rata:",'Offshore - Sydney'!N600)),VALUE(MID('Offshore - Sydney'!N600,SEARCH("rata-rata:",'Offshore - Sydney'!N600)+11,FIND(";",'Offshore - Sydney'!N600&amp;";",SEARCH("rata-rata:",'Offshore - Sydney'!N600))-SEARCH("rata-rata:",'Offshore - Sydney'!N600)-11)),IF('Offshore - Sydney'!D600="Semester",'Offshore - Sydney'!E600*2,IF('Offshore - Sydney'!D600="Trimester",'Offshore - Sydney'!E600*3,IF('Offshore - Sydney'!D600="Term",'Offshore - Sydney'!E600*4,IF('Offshore - Sydney'!D600="Unit",'Offshore - Sydney'!E600*8,""))))))</f>
        <v>6000</v>
      </c>
      <c r="L479" s="0" t="n">
        <f aca="false">IF(AND(ISNUMBER('Offshore - Sydney'!E600),ISNUMBER(K479),ISNUMBER('Offshore - Sydney'!F600),ISNUMBER('Offshore - Sydney'!G600),OR('Offshore - Sydney'!F600&lt;&gt;0,ISNUMBER(SEARCH("Material 0 terverifikasi",'Offshore - Sydney'!N600))),OR('Offshore - Sydney'!G600&lt;&gt;0,ISNUMBER(SEARCH("Enrolment 0 terverifikasi",'Offshore - Sydney'!N600)))),1,0)</f>
        <v>1</v>
      </c>
      <c r="M479" s="0" t="n">
        <f aca="false">IF(OR('Offshore - Sydney'!E600="",ISNUMBER(SEARCH("BSB80120",'Offshore - Sydney'!B600&amp;'Offshore - Sydney'!N600)),ISNUMBER(SEARCH("Management (Learning)",'Offshore - Sydney'!B600))),2,IF(ISNUMBER(SEARCH("CEK:",'Offshore - Sydney'!N600)),1,0))</f>
        <v>0</v>
      </c>
    </row>
    <row r="480" customFormat="false" ht="15" hidden="false" customHeight="false" outlineLevel="0" collapsed="false">
      <c r="A480" s="63" t="s">
        <v>3533</v>
      </c>
      <c r="B480" s="64" t="s">
        <v>3833</v>
      </c>
      <c r="C480" s="63" t="s">
        <v>42</v>
      </c>
      <c r="D480" s="64" t="str">
        <f aca="false">TRIM(LEFT('Offshore - Sydney'!A636,FIND(CHAR(10),'Offshore - Sydney'!A636&amp;CHAR(10))-1))</f>
        <v>NVR Education</v>
      </c>
      <c r="E480" s="63" t="str">
        <f aca="false">'Offshore - Sydney'!C641&amp;""</f>
        <v>4 years</v>
      </c>
      <c r="F480" s="63" t="str">
        <f aca="false">IF('Offshore - Sydney'!D641="","Belum tercatat",'Offshore - Sydney'!D641)</f>
        <v>Term</v>
      </c>
      <c r="G480" s="65" t="n">
        <f aca="false">IF('Offshore - Sydney'!E641="","-",'Offshore - Sydney'!E641)</f>
        <v>1500</v>
      </c>
      <c r="H480" s="63" t="n">
        <f aca="false">IF(ISNUMBER(K480),COUNTIFS($J$6:$J$1854,J480,$K$6:$K$1854,"&lt;"&amp;K480)+1,"-")</f>
        <v>5</v>
      </c>
      <c r="I480" s="64" t="str">
        <f aca="false">IF('Offshore - Sydney'!E641="","Harga belum tersedia - hubungi konsultan TEG",IF(M480=2,"Saat ini tidak menerima pendaftaran siswa internasional baru",IF(M480=1,"Harga perlu dikonfirmasi ke sekolah"&amp;IF(""="","","; "&amp;""),"")))</f>
        <v>Harga perlu dikonfirmasi ke sekolah</v>
      </c>
      <c r="J480" s="0" t="s">
        <v>3909</v>
      </c>
      <c r="K480" s="0" t="n">
        <f aca="false">IF(M480=2,"",IF(ISNUMBER(SEARCH("rata-rata:",'Offshore - Sydney'!N641)),VALUE(MID('Offshore - Sydney'!N641,SEARCH("rata-rata:",'Offshore - Sydney'!N641)+11,FIND(";",'Offshore - Sydney'!N641&amp;";",SEARCH("rata-rata:",'Offshore - Sydney'!N641))-SEARCH("rata-rata:",'Offshore - Sydney'!N641)-11)),IF('Offshore - Sydney'!D641="Semester",'Offshore - Sydney'!E641*2,IF('Offshore - Sydney'!D641="Trimester",'Offshore - Sydney'!E641*3,IF('Offshore - Sydney'!D641="Term",'Offshore - Sydney'!E641*4,IF('Offshore - Sydney'!D641="Unit",'Offshore - Sydney'!E641*8,""))))))</f>
        <v>6000</v>
      </c>
      <c r="L480" s="0" t="n">
        <f aca="false">IF(AND(ISNUMBER('Offshore - Sydney'!E641),ISNUMBER(K480),ISNUMBER('Offshore - Sydney'!F641),ISNUMBER('Offshore - Sydney'!G641),OR('Offshore - Sydney'!F641&lt;&gt;0,ISNUMBER(SEARCH("Material 0 terverifikasi",'Offshore - Sydney'!N641))),OR('Offshore - Sydney'!G641&lt;&gt;0,ISNUMBER(SEARCH("Enrolment 0 terverifikasi",'Offshore - Sydney'!N641)))),1,0)</f>
        <v>0</v>
      </c>
      <c r="M480" s="0" t="n">
        <f aca="false">IF(OR('Offshore - Sydney'!E641="",ISNUMBER(SEARCH("BSB80120",'Offshore - Sydney'!B641&amp;'Offshore - Sydney'!N641)),ISNUMBER(SEARCH("Management (Learning)",'Offshore - Sydney'!B641))),2,IF(ISNUMBER(SEARCH("CEK:",'Offshore - Sydney'!N641)),1,0))</f>
        <v>1</v>
      </c>
    </row>
    <row r="481" customFormat="false" ht="15" hidden="false" customHeight="false" outlineLevel="0" collapsed="false">
      <c r="A481" s="63" t="s">
        <v>3533</v>
      </c>
      <c r="B481" s="64" t="s">
        <v>3833</v>
      </c>
      <c r="C481" s="63" t="s">
        <v>42</v>
      </c>
      <c r="D481" s="64" t="str">
        <f aca="false">TRIM(LEFT('Offshore - Sydney'!A800,FIND(CHAR(10),'Offshore - Sydney'!A800&amp;CHAR(10))-1))</f>
        <v>Times Academy</v>
      </c>
      <c r="E481" s="63" t="str">
        <f aca="false">'Offshore - Sydney'!C802&amp;""</f>
        <v>3 years</v>
      </c>
      <c r="F481" s="63" t="str">
        <f aca="false">IF('Offshore - Sydney'!D802="","Belum tercatat",'Offshore - Sydney'!D802)</f>
        <v>Term</v>
      </c>
      <c r="G481" s="65" t="n">
        <f aca="false">IF('Offshore - Sydney'!E802="","-",'Offshore - Sydney'!E802)</f>
        <v>1500</v>
      </c>
      <c r="H481" s="63" t="n">
        <f aca="false">IF(ISNUMBER(K481),COUNTIFS($J$6:$J$1854,J481,$K$6:$K$1854,"&lt;"&amp;K481)+1,"-")</f>
        <v>5</v>
      </c>
      <c r="I481" s="64" t="str">
        <f aca="false">IF('Offshore - Sydney'!E802="","Harga belum tersedia - hubungi konsultan TEG",IF(M481=2,"Saat ini tidak menerima pendaftaran siswa internasional baru",IF(M481=1,"Harga perlu dikonfirmasi ke sekolah"&amp;IF(""="","","; "&amp;""),"")))</f>
        <v/>
      </c>
      <c r="J481" s="0" t="s">
        <v>3909</v>
      </c>
      <c r="K481" s="0" t="n">
        <f aca="false">IF(M481=2,"",IF(ISNUMBER(SEARCH("rata-rata:",'Offshore - Sydney'!N802)),VALUE(MID('Offshore - Sydney'!N802,SEARCH("rata-rata:",'Offshore - Sydney'!N802)+11,FIND(";",'Offshore - Sydney'!N802&amp;";",SEARCH("rata-rata:",'Offshore - Sydney'!N802))-SEARCH("rata-rata:",'Offshore - Sydney'!N802)-11)),IF('Offshore - Sydney'!D802="Semester",'Offshore - Sydney'!E802*2,IF('Offshore - Sydney'!D802="Trimester",'Offshore - Sydney'!E802*3,IF('Offshore - Sydney'!D802="Term",'Offshore - Sydney'!E802*4,IF('Offshore - Sydney'!D802="Unit",'Offshore - Sydney'!E802*8,""))))))</f>
        <v>6000</v>
      </c>
      <c r="L481" s="0" t="n">
        <f aca="false">IF(AND(ISNUMBER('Offshore - Sydney'!E802),ISNUMBER(K481),ISNUMBER('Offshore - Sydney'!F802),ISNUMBER('Offshore - Sydney'!G802),OR('Offshore - Sydney'!F802&lt;&gt;0,ISNUMBER(SEARCH("Material 0 terverifikasi",'Offshore - Sydney'!N802))),OR('Offshore - Sydney'!G802&lt;&gt;0,ISNUMBER(SEARCH("Enrolment 0 terverifikasi",'Offshore - Sydney'!N802)))),1,0)</f>
        <v>1</v>
      </c>
      <c r="M481" s="0" t="n">
        <f aca="false">IF(OR('Offshore - Sydney'!E802="",ISNUMBER(SEARCH("BSB80120",'Offshore - Sydney'!B802&amp;'Offshore - Sydney'!N802)),ISNUMBER(SEARCH("Management (Learning)",'Offshore - Sydney'!B802))),2,IF(ISNUMBER(SEARCH("CEK:",'Offshore - Sydney'!N802)),1,0))</f>
        <v>0</v>
      </c>
    </row>
    <row r="482" customFormat="false" ht="28.35" hidden="false" customHeight="false" outlineLevel="0" collapsed="false">
      <c r="A482" s="63" t="s">
        <v>3533</v>
      </c>
      <c r="B482" s="64" t="s">
        <v>3833</v>
      </c>
      <c r="C482" s="63" t="s">
        <v>42</v>
      </c>
      <c r="D482" s="64" t="str">
        <f aca="false">TRIM(LEFT('Offshore - Sydney'!A807,FIND(CHAR(10),'Offshore - Sydney'!A807&amp;CHAR(10))-1))</f>
        <v>TKL College (Training for Knowledge and Livelihood)</v>
      </c>
      <c r="E482" s="63" t="str">
        <f aca="false">'Offshore - Sydney'!C809&amp;""</f>
        <v>3,5 years</v>
      </c>
      <c r="F482" s="63" t="str">
        <f aca="false">IF('Offshore - Sydney'!D809="","Belum tercatat",'Offshore - Sydney'!D809)</f>
        <v>Term</v>
      </c>
      <c r="G482" s="65" t="n">
        <f aca="false">IF('Offshore - Sydney'!E809="","-",'Offshore - Sydney'!E809)</f>
        <v>1500</v>
      </c>
      <c r="H482" s="63" t="n">
        <f aca="false">IF(ISNUMBER(K482),COUNTIFS($J$6:$J$1854,J482,$K$6:$K$1854,"&lt;"&amp;K482)+1,"-")</f>
        <v>5</v>
      </c>
      <c r="I482" s="64" t="str">
        <f aca="false">IF('Offshore - Sydney'!E809="","Harga belum tersedia - hubungi konsultan TEG",IF(M482=2,"Saat ini tidak menerima pendaftaran siswa internasional baru",IF(M482=1,"Harga perlu dikonfirmasi ke sekolah"&amp;IF(""="","","; "&amp;""),"")))</f>
        <v/>
      </c>
      <c r="J482" s="0" t="s">
        <v>3909</v>
      </c>
      <c r="K482" s="0" t="n">
        <f aca="false">IF(M482=2,"",IF(ISNUMBER(SEARCH("rata-rata:",'Offshore - Sydney'!N809)),VALUE(MID('Offshore - Sydney'!N809,SEARCH("rata-rata:",'Offshore - Sydney'!N809)+11,FIND(";",'Offshore - Sydney'!N809&amp;";",SEARCH("rata-rata:",'Offshore - Sydney'!N809))-SEARCH("rata-rata:",'Offshore - Sydney'!N809)-11)),IF('Offshore - Sydney'!D809="Semester",'Offshore - Sydney'!E809*2,IF('Offshore - Sydney'!D809="Trimester",'Offshore - Sydney'!E809*3,IF('Offshore - Sydney'!D809="Term",'Offshore - Sydney'!E809*4,IF('Offshore - Sydney'!D809="Unit",'Offshore - Sydney'!E809*8,""))))))</f>
        <v>6000</v>
      </c>
      <c r="L482" s="0" t="n">
        <f aca="false">IF(AND(ISNUMBER('Offshore - Sydney'!E809),ISNUMBER(K482),ISNUMBER('Offshore - Sydney'!F809),ISNUMBER('Offshore - Sydney'!G809),OR('Offshore - Sydney'!F809&lt;&gt;0,ISNUMBER(SEARCH("Material 0 terverifikasi",'Offshore - Sydney'!N809))),OR('Offshore - Sydney'!G809&lt;&gt;0,ISNUMBER(SEARCH("Enrolment 0 terverifikasi",'Offshore - Sydney'!N809)))),1,0)</f>
        <v>1</v>
      </c>
      <c r="M482" s="0" t="n">
        <f aca="false">IF(OR('Offshore - Sydney'!E809="",ISNUMBER(SEARCH("BSB80120",'Offshore - Sydney'!B809&amp;'Offshore - Sydney'!N809)),ISNUMBER(SEARCH("Management (Learning)",'Offshore - Sydney'!B809))),2,IF(ISNUMBER(SEARCH("CEK:",'Offshore - Sydney'!N809)),1,0))</f>
        <v>0</v>
      </c>
    </row>
    <row r="483" customFormat="false" ht="15" hidden="false" customHeight="false" outlineLevel="0" collapsed="false">
      <c r="A483" s="63" t="s">
        <v>3533</v>
      </c>
      <c r="B483" s="64" t="s">
        <v>3833</v>
      </c>
      <c r="C483" s="63" t="s">
        <v>42</v>
      </c>
      <c r="D483" s="64" t="str">
        <f aca="false">TRIM(LEFT('Offshore - Sydney'!A941,FIND(CHAR(10),'Offshore - Sydney'!A941&amp;CHAR(10))-1))</f>
        <v>Victory Institute</v>
      </c>
      <c r="E483" s="63" t="str">
        <f aca="false">'Offshore - Sydney'!C944&amp;""</f>
        <v>4.5 years</v>
      </c>
      <c r="F483" s="63" t="str">
        <f aca="false">IF('Offshore - Sydney'!D944="","Belum tercatat",'Offshore - Sydney'!D944)</f>
        <v>Term</v>
      </c>
      <c r="G483" s="65" t="n">
        <f aca="false">IF('Offshore - Sydney'!E944="","-",'Offshore - Sydney'!E944)</f>
        <v>1500</v>
      </c>
      <c r="H483" s="63" t="n">
        <f aca="false">IF(ISNUMBER(K483),COUNTIFS($J$6:$J$1854,J483,$K$6:$K$1854,"&lt;"&amp;K483)+1,"-")</f>
        <v>5</v>
      </c>
      <c r="I483" s="64" t="str">
        <f aca="false">IF('Offshore - Sydney'!E944="","Harga belum tersedia - hubungi konsultan TEG",IF(M483=2,"Saat ini tidak menerima pendaftaran siswa internasional baru",IF(M483=1,"Harga perlu dikonfirmasi ke sekolah"&amp;IF(""="","","; "&amp;""),"")))</f>
        <v/>
      </c>
      <c r="J483" s="0" t="s">
        <v>3909</v>
      </c>
      <c r="K483" s="0" t="n">
        <f aca="false">IF(M483=2,"",IF(ISNUMBER(SEARCH("rata-rata:",'Offshore - Sydney'!N944)),VALUE(MID('Offshore - Sydney'!N944,SEARCH("rata-rata:",'Offshore - Sydney'!N944)+11,FIND(";",'Offshore - Sydney'!N944&amp;";",SEARCH("rata-rata:",'Offshore - Sydney'!N944))-SEARCH("rata-rata:",'Offshore - Sydney'!N944)-11)),IF('Offshore - Sydney'!D944="Semester",'Offshore - Sydney'!E944*2,IF('Offshore - Sydney'!D944="Trimester",'Offshore - Sydney'!E944*3,IF('Offshore - Sydney'!D944="Term",'Offshore - Sydney'!E944*4,IF('Offshore - Sydney'!D944="Unit",'Offshore - Sydney'!E944*8,""))))))</f>
        <v>6000</v>
      </c>
      <c r="L483" s="0" t="n">
        <f aca="false">IF(AND(ISNUMBER('Offshore - Sydney'!E944),ISNUMBER(K483),ISNUMBER('Offshore - Sydney'!F944),ISNUMBER('Offshore - Sydney'!G944),OR('Offshore - Sydney'!F944&lt;&gt;0,ISNUMBER(SEARCH("Material 0 terverifikasi",'Offshore - Sydney'!N944))),OR('Offshore - Sydney'!G944&lt;&gt;0,ISNUMBER(SEARCH("Enrolment 0 terverifikasi",'Offshore - Sydney'!N944)))),1,0)</f>
        <v>1</v>
      </c>
      <c r="M483" s="0" t="n">
        <f aca="false">IF(OR('Offshore - Sydney'!E944="",ISNUMBER(SEARCH("BSB80120",'Offshore - Sydney'!B944&amp;'Offshore - Sydney'!N944)),ISNUMBER(SEARCH("Management (Learning)",'Offshore - Sydney'!B944))),2,IF(ISNUMBER(SEARCH("CEK:",'Offshore - Sydney'!N944)),1,0))</f>
        <v>0</v>
      </c>
    </row>
    <row r="484" customFormat="false" ht="15" hidden="false" customHeight="false" outlineLevel="0" collapsed="false">
      <c r="A484" s="63" t="s">
        <v>3533</v>
      </c>
      <c r="B484" s="64" t="s">
        <v>3833</v>
      </c>
      <c r="C484" s="63" t="s">
        <v>42</v>
      </c>
      <c r="D484" s="64" t="str">
        <f aca="false">TRIM(LEFT('Offshore - Sydney'!A948,FIND(CHAR(10),'Offshore - Sydney'!A948&amp;CHAR(10))-1))</f>
        <v>Warwick Institute of Australia</v>
      </c>
      <c r="E484" s="63" t="str">
        <f aca="false">'Offshore - Sydney'!C951&amp;""</f>
        <v>4 years</v>
      </c>
      <c r="F484" s="63" t="str">
        <f aca="false">IF('Offshore - Sydney'!D951="","Belum tercatat",'Offshore - Sydney'!D951)</f>
        <v>Term</v>
      </c>
      <c r="G484" s="65" t="n">
        <f aca="false">IF('Offshore - Sydney'!E951="","-",'Offshore - Sydney'!E951)</f>
        <v>1500</v>
      </c>
      <c r="H484" s="63" t="n">
        <f aca="false">IF(ISNUMBER(K484),COUNTIFS($J$6:$J$1854,J484,$K$6:$K$1854,"&lt;"&amp;K484)+1,"-")</f>
        <v>5</v>
      </c>
      <c r="I484" s="64" t="str">
        <f aca="false">IF('Offshore - Sydney'!E951="","Harga belum tersedia - hubungi konsultan TEG",IF(M484=2,"Saat ini tidak menerima pendaftaran siswa internasional baru",IF(M484=1,"Harga perlu dikonfirmasi ke sekolah"&amp;IF(""="","","; "&amp;""),"")))</f>
        <v/>
      </c>
      <c r="J484" s="0" t="s">
        <v>3909</v>
      </c>
      <c r="K484" s="0" t="n">
        <f aca="false">IF(M484=2,"",IF(ISNUMBER(SEARCH("rata-rata:",'Offshore - Sydney'!N951)),VALUE(MID('Offshore - Sydney'!N951,SEARCH("rata-rata:",'Offshore - Sydney'!N951)+11,FIND(";",'Offshore - Sydney'!N951&amp;";",SEARCH("rata-rata:",'Offshore - Sydney'!N951))-SEARCH("rata-rata:",'Offshore - Sydney'!N951)-11)),IF('Offshore - Sydney'!D951="Semester",'Offshore - Sydney'!E951*2,IF('Offshore - Sydney'!D951="Trimester",'Offshore - Sydney'!E951*3,IF('Offshore - Sydney'!D951="Term",'Offshore - Sydney'!E951*4,IF('Offshore - Sydney'!D951="Unit",'Offshore - Sydney'!E951*8,""))))))</f>
        <v>6000</v>
      </c>
      <c r="L484" s="0" t="n">
        <f aca="false">IF(AND(ISNUMBER('Offshore - Sydney'!E951),ISNUMBER(K484),ISNUMBER('Offshore - Sydney'!F951),ISNUMBER('Offshore - Sydney'!G951),OR('Offshore - Sydney'!F951&lt;&gt;0,ISNUMBER(SEARCH("Material 0 terverifikasi",'Offshore - Sydney'!N951))),OR('Offshore - Sydney'!G951&lt;&gt;0,ISNUMBER(SEARCH("Enrolment 0 terverifikasi",'Offshore - Sydney'!N951)))),1,0)</f>
        <v>1</v>
      </c>
      <c r="M484" s="0" t="n">
        <f aca="false">IF(OR('Offshore - Sydney'!E951="",ISNUMBER(SEARCH("BSB80120",'Offshore - Sydney'!B951&amp;'Offshore - Sydney'!N951)),ISNUMBER(SEARCH("Management (Learning)",'Offshore - Sydney'!B951))),2,IF(ISNUMBER(SEARCH("CEK:",'Offshore - Sydney'!N951)),1,0))</f>
        <v>0</v>
      </c>
    </row>
    <row r="485" customFormat="false" ht="15" hidden="false" customHeight="false" outlineLevel="0" collapsed="false">
      <c r="A485" s="63" t="s">
        <v>3533</v>
      </c>
      <c r="B485" s="64" t="s">
        <v>3833</v>
      </c>
      <c r="C485" s="63" t="s">
        <v>42</v>
      </c>
      <c r="D485" s="64" t="str">
        <f aca="false">TRIM(LEFT('Offshore - Sydney'!A959,FIND(CHAR(10),'Offshore - Sydney'!A959&amp;CHAR(10))-1))</f>
        <v>Wells International College (WIC)</v>
      </c>
      <c r="E485" s="63" t="str">
        <f aca="false">'Offshore - Sydney'!C967&amp;""</f>
        <v>3 years</v>
      </c>
      <c r="F485" s="63" t="str">
        <f aca="false">IF('Offshore - Sydney'!D967="","Belum tercatat",'Offshore - Sydney'!D967)</f>
        <v>Term</v>
      </c>
      <c r="G485" s="65" t="n">
        <f aca="false">IF('Offshore - Sydney'!E967="","-",'Offshore - Sydney'!E967)</f>
        <v>1500</v>
      </c>
      <c r="H485" s="63" t="n">
        <f aca="false">IF(ISNUMBER(K485),COUNTIFS($J$6:$J$1854,J485,$K$6:$K$1854,"&lt;"&amp;K485)+1,"-")</f>
        <v>5</v>
      </c>
      <c r="I485" s="64" t="str">
        <f aca="false">IF('Offshore - Sydney'!E967="","Harga belum tersedia - hubungi konsultan TEG",IF(M485=2,"Saat ini tidak menerima pendaftaran siswa internasional baru",IF(M485=1,"Harga perlu dikonfirmasi ke sekolah"&amp;IF(""="","","; "&amp;""),"")))</f>
        <v/>
      </c>
      <c r="J485" s="0" t="s">
        <v>3909</v>
      </c>
      <c r="K485" s="0" t="n">
        <f aca="false">IF(M485=2,"",IF(ISNUMBER(SEARCH("rata-rata:",'Offshore - Sydney'!N967)),VALUE(MID('Offshore - Sydney'!N967,SEARCH("rata-rata:",'Offshore - Sydney'!N967)+11,FIND(";",'Offshore - Sydney'!N967&amp;";",SEARCH("rata-rata:",'Offshore - Sydney'!N967))-SEARCH("rata-rata:",'Offshore - Sydney'!N967)-11)),IF('Offshore - Sydney'!D967="Semester",'Offshore - Sydney'!E967*2,IF('Offshore - Sydney'!D967="Trimester",'Offshore - Sydney'!E967*3,IF('Offshore - Sydney'!D967="Term",'Offshore - Sydney'!E967*4,IF('Offshore - Sydney'!D967="Unit",'Offshore - Sydney'!E967*8,""))))))</f>
        <v>6000</v>
      </c>
      <c r="L485" s="0" t="n">
        <f aca="false">IF(AND(ISNUMBER('Offshore - Sydney'!E967),ISNUMBER(K485),ISNUMBER('Offshore - Sydney'!F967),ISNUMBER('Offshore - Sydney'!G967),OR('Offshore - Sydney'!F967&lt;&gt;0,ISNUMBER(SEARCH("Material 0 terverifikasi",'Offshore - Sydney'!N967))),OR('Offshore - Sydney'!G967&lt;&gt;0,ISNUMBER(SEARCH("Enrolment 0 terverifikasi",'Offshore - Sydney'!N967)))),1,0)</f>
        <v>1</v>
      </c>
      <c r="M485" s="0" t="n">
        <f aca="false">IF(OR('Offshore - Sydney'!E967="",ISNUMBER(SEARCH("BSB80120",'Offshore - Sydney'!B967&amp;'Offshore - Sydney'!N967)),ISNUMBER(SEARCH("Management (Learning)",'Offshore - Sydney'!B967))),2,IF(ISNUMBER(SEARCH("CEK:",'Offshore - Sydney'!N967)),1,0))</f>
        <v>0</v>
      </c>
    </row>
    <row r="486" customFormat="false" ht="15" hidden="false" customHeight="false" outlineLevel="0" collapsed="false">
      <c r="A486" s="63" t="s">
        <v>3533</v>
      </c>
      <c r="B486" s="64" t="s">
        <v>3833</v>
      </c>
      <c r="C486" s="63" t="s">
        <v>42</v>
      </c>
      <c r="D486" s="64" t="str">
        <f aca="false">TRIM(LEFT('Offshore - Sydney'!A1151,FIND(CHAR(10),'Offshore - Sydney'!A1151&amp;CHAR(10))-1))</f>
        <v>York Business Institute</v>
      </c>
      <c r="E486" s="63" t="str">
        <f aca="false">'Offshore - Sydney'!C1152&amp;""</f>
        <v>3,5 years</v>
      </c>
      <c r="F486" s="63" t="str">
        <f aca="false">IF('Offshore - Sydney'!D1152="","Belum tercatat",'Offshore - Sydney'!D1152)</f>
        <v>Term</v>
      </c>
      <c r="G486" s="65" t="n">
        <f aca="false">IF('Offshore - Sydney'!E1152="","-",'Offshore - Sydney'!E1152)</f>
        <v>1500</v>
      </c>
      <c r="H486" s="63" t="n">
        <f aca="false">IF(ISNUMBER(K486),COUNTIFS($J$6:$J$1854,J486,$K$6:$K$1854,"&lt;"&amp;K486)+1,"-")</f>
        <v>5</v>
      </c>
      <c r="I486" s="64" t="str">
        <f aca="false">IF('Offshore - Sydney'!E1152="","Harga belum tersedia - hubungi konsultan TEG",IF(M486=2,"Saat ini tidak menerima pendaftaran siswa internasional baru",IF(M486=1,"Harga perlu dikonfirmasi ke sekolah"&amp;IF(""="","","; "&amp;""),"")))</f>
        <v>Harga perlu dikonfirmasi ke sekolah</v>
      </c>
      <c r="J486" s="0" t="s">
        <v>3909</v>
      </c>
      <c r="K486" s="0" t="n">
        <f aca="false">IF(M486=2,"",IF(ISNUMBER(SEARCH("rata-rata:",'Offshore - Sydney'!N1152)),VALUE(MID('Offshore - Sydney'!N1152,SEARCH("rata-rata:",'Offshore - Sydney'!N1152)+11,FIND(";",'Offshore - Sydney'!N1152&amp;";",SEARCH("rata-rata:",'Offshore - Sydney'!N1152))-SEARCH("rata-rata:",'Offshore - Sydney'!N1152)-11)),IF('Offshore - Sydney'!D1152="Semester",'Offshore - Sydney'!E1152*2,IF('Offshore - Sydney'!D1152="Trimester",'Offshore - Sydney'!E1152*3,IF('Offshore - Sydney'!D1152="Term",'Offshore - Sydney'!E1152*4,IF('Offshore - Sydney'!D1152="Unit",'Offshore - Sydney'!E1152*8,""))))))</f>
        <v>6000</v>
      </c>
      <c r="L486" s="0" t="n">
        <f aca="false">IF(AND(ISNUMBER('Offshore - Sydney'!E1152),ISNUMBER(K486),ISNUMBER('Offshore - Sydney'!F1152),ISNUMBER('Offshore - Sydney'!G1152),OR('Offshore - Sydney'!F1152&lt;&gt;0,ISNUMBER(SEARCH("Material 0 terverifikasi",'Offshore - Sydney'!N1152))),OR('Offshore - Sydney'!G1152&lt;&gt;0,ISNUMBER(SEARCH("Enrolment 0 terverifikasi",'Offshore - Sydney'!N1152)))),1,0)</f>
        <v>1</v>
      </c>
      <c r="M486" s="0" t="n">
        <f aca="false">IF(OR('Offshore - Sydney'!E1152="",ISNUMBER(SEARCH("BSB80120",'Offshore - Sydney'!B1152&amp;'Offshore - Sydney'!N1152)),ISNUMBER(SEARCH("Management (Learning)",'Offshore - Sydney'!B1152))),2,IF(ISNUMBER(SEARCH("CEK:",'Offshore - Sydney'!N1152)),1,0))</f>
        <v>1</v>
      </c>
    </row>
    <row r="487" customFormat="false" ht="15" hidden="false" customHeight="false" outlineLevel="0" collapsed="false">
      <c r="A487" s="63" t="s">
        <v>3533</v>
      </c>
      <c r="B487" s="64" t="s">
        <v>3833</v>
      </c>
      <c r="C487" s="63" t="s">
        <v>42</v>
      </c>
      <c r="D487" s="64" t="str">
        <f aca="false">TRIM(LEFT('Offshore - Sydney'!A111,FIND(CHAR(10),'Offshore - Sydney'!A111&amp;CHAR(10))-1))</f>
        <v>Alliance College</v>
      </c>
      <c r="E487" s="63" t="str">
        <f aca="false">'Offshore - Sydney'!C115&amp;""</f>
        <v>2 years</v>
      </c>
      <c r="F487" s="63" t="str">
        <f aca="false">IF('Offshore - Sydney'!D115="","Belum tercatat",'Offshore - Sydney'!D115)</f>
        <v>Term</v>
      </c>
      <c r="G487" s="65" t="n">
        <f aca="false">IF('Offshore - Sydney'!E115="","-",'Offshore - Sydney'!E115)</f>
        <v>1540</v>
      </c>
      <c r="H487" s="63" t="n">
        <f aca="false">IF(ISNUMBER(K487),COUNTIFS($J$6:$J$1854,J487,$K$6:$K$1854,"&lt;"&amp;K487)+1,"-")</f>
        <v>24</v>
      </c>
      <c r="I487" s="64" t="str">
        <f aca="false">IF('Offshore - Sydney'!E115="","Harga belum tersedia - hubungi konsultan TEG",IF(M487=2,"Saat ini tidak menerima pendaftaran siswa internasional baru",IF(M487=1,"Harga perlu dikonfirmasi ke sekolah"&amp;IF(""="","","; "&amp;""),"")))</f>
        <v/>
      </c>
      <c r="J487" s="0" t="s">
        <v>3909</v>
      </c>
      <c r="K487" s="0" t="n">
        <f aca="false">IF(M487=2,"",IF(ISNUMBER(SEARCH("rata-rata:",'Offshore - Sydney'!N115)),VALUE(MID('Offshore - Sydney'!N115,SEARCH("rata-rata:",'Offshore - Sydney'!N115)+11,FIND(";",'Offshore - Sydney'!N115&amp;";",SEARCH("rata-rata:",'Offshore - Sydney'!N115))-SEARCH("rata-rata:",'Offshore - Sydney'!N115)-11)),IF('Offshore - Sydney'!D115="Semester",'Offshore - Sydney'!E115*2,IF('Offshore - Sydney'!D115="Trimester",'Offshore - Sydney'!E115*3,IF('Offshore - Sydney'!D115="Term",'Offshore - Sydney'!E115*4,IF('Offshore - Sydney'!D115="Unit",'Offshore - Sydney'!E115*8,""))))))</f>
        <v>6160</v>
      </c>
      <c r="L487" s="0" t="n">
        <f aca="false">IF(AND(ISNUMBER('Offshore - Sydney'!E115),ISNUMBER(K487),ISNUMBER('Offshore - Sydney'!F115),ISNUMBER('Offshore - Sydney'!G115),OR('Offshore - Sydney'!F115&lt;&gt;0,ISNUMBER(SEARCH("Material 0 terverifikasi",'Offshore - Sydney'!N115))),OR('Offshore - Sydney'!G115&lt;&gt;0,ISNUMBER(SEARCH("Enrolment 0 terverifikasi",'Offshore - Sydney'!N115)))),1,0)</f>
        <v>0</v>
      </c>
      <c r="M487" s="0" t="n">
        <f aca="false">IF(OR('Offshore - Sydney'!E115="",ISNUMBER(SEARCH("BSB80120",'Offshore - Sydney'!B115&amp;'Offshore - Sydney'!N115)),ISNUMBER(SEARCH("Management (Learning)",'Offshore - Sydney'!B115))),2,IF(ISNUMBER(SEARCH("CEK:",'Offshore - Sydney'!N115)),1,0))</f>
        <v>0</v>
      </c>
    </row>
    <row r="488" customFormat="false" ht="15" hidden="false" customHeight="false" outlineLevel="0" collapsed="false">
      <c r="A488" s="63" t="s">
        <v>3533</v>
      </c>
      <c r="B488" s="64" t="s">
        <v>3833</v>
      </c>
      <c r="C488" s="63" t="s">
        <v>42</v>
      </c>
      <c r="D488" s="64" t="str">
        <f aca="false">TRIM(LEFT('Offshore - Sydney'!A469,FIND(CHAR(10),'Offshore - Sydney'!A469&amp;CHAR(10))-1))</f>
        <v>Harbourside Institute of Australia (HIA)</v>
      </c>
      <c r="E488" s="63" t="str">
        <f aca="false">'Offshore - Sydney'!C470&amp;""</f>
        <v>3 years</v>
      </c>
      <c r="F488" s="63" t="str">
        <f aca="false">IF('Offshore - Sydney'!D470="","Belum tercatat",'Offshore - Sydney'!D470)</f>
        <v>Term</v>
      </c>
      <c r="G488" s="65" t="n">
        <f aca="false">IF('Offshore - Sydney'!E470="","-",'Offshore - Sydney'!E470)</f>
        <v>1750</v>
      </c>
      <c r="H488" s="63" t="n">
        <f aca="false">IF(ISNUMBER(K488),COUNTIFS($J$6:$J$1854,J488,$K$6:$K$1854,"&lt;"&amp;K488)+1,"-")</f>
        <v>25</v>
      </c>
      <c r="I488" s="64" t="str">
        <f aca="false">IF('Offshore - Sydney'!E470="","Harga belum tersedia - hubungi konsultan TEG",IF(M488=2,"Saat ini tidak menerima pendaftaran siswa internasional baru",IF(M488=1,"Harga perlu dikonfirmasi ke sekolah"&amp;IF(""="","","; "&amp;""),"")))</f>
        <v>Harga perlu dikonfirmasi ke sekolah</v>
      </c>
      <c r="J488" s="0" t="s">
        <v>3909</v>
      </c>
      <c r="K488" s="0" t="n">
        <f aca="false">IF(M488=2,"",IF(ISNUMBER(SEARCH("rata-rata:",'Offshore - Sydney'!N470)),VALUE(MID('Offshore - Sydney'!N470,SEARCH("rata-rata:",'Offshore - Sydney'!N470)+11,FIND(";",'Offshore - Sydney'!N470&amp;";",SEARCH("rata-rata:",'Offshore - Sydney'!N470))-SEARCH("rata-rata:",'Offshore - Sydney'!N470)-11)),IF('Offshore - Sydney'!D470="Semester",'Offshore - Sydney'!E470*2,IF('Offshore - Sydney'!D470="Trimester",'Offshore - Sydney'!E470*3,IF('Offshore - Sydney'!D470="Term",'Offshore - Sydney'!E470*4,IF('Offshore - Sydney'!D470="Unit",'Offshore - Sydney'!E470*8,""))))))</f>
        <v>7000</v>
      </c>
      <c r="L488" s="0" t="n">
        <f aca="false">IF(AND(ISNUMBER('Offshore - Sydney'!E470),ISNUMBER(K488),ISNUMBER('Offshore - Sydney'!F470),ISNUMBER('Offshore - Sydney'!G470),OR('Offshore - Sydney'!F470&lt;&gt;0,ISNUMBER(SEARCH("Material 0 terverifikasi",'Offshore - Sydney'!N470))),OR('Offshore - Sydney'!G470&lt;&gt;0,ISNUMBER(SEARCH("Enrolment 0 terverifikasi",'Offshore - Sydney'!N470)))),1,0)</f>
        <v>1</v>
      </c>
      <c r="M488" s="0" t="n">
        <f aca="false">IF(OR('Offshore - Sydney'!E470="",ISNUMBER(SEARCH("BSB80120",'Offshore - Sydney'!B470&amp;'Offshore - Sydney'!N470)),ISNUMBER(SEARCH("Management (Learning)",'Offshore - Sydney'!B470))),2,IF(ISNUMBER(SEARCH("CEK:",'Offshore - Sydney'!N470)),1,0))</f>
        <v>1</v>
      </c>
    </row>
    <row r="489" customFormat="false" ht="15" hidden="false" customHeight="false" outlineLevel="0" collapsed="false">
      <c r="A489" s="63" t="s">
        <v>3533</v>
      </c>
      <c r="B489" s="64" t="s">
        <v>3833</v>
      </c>
      <c r="C489" s="63" t="s">
        <v>42</v>
      </c>
      <c r="D489" s="64" t="str">
        <f aca="false">TRIM(LEFT('Offshore - Sydney'!A703,FIND(CHAR(10),'Offshore - Sydney'!A703&amp;CHAR(10))-1))</f>
        <v>Sydney Metro College (SMC)</v>
      </c>
      <c r="E489" s="63" t="str">
        <f aca="false">'Offshore - Sydney'!C711&amp;""</f>
        <v>2 years</v>
      </c>
      <c r="F489" s="63" t="str">
        <f aca="false">IF('Offshore - Sydney'!D711="","Belum tercatat",'Offshore - Sydney'!D711)</f>
        <v>Term</v>
      </c>
      <c r="G489" s="65" t="n">
        <f aca="false">IF('Offshore - Sydney'!E711="","-",'Offshore - Sydney'!E711)</f>
        <v>1750</v>
      </c>
      <c r="H489" s="63" t="n">
        <f aca="false">IF(ISNUMBER(K489),COUNTIFS($J$6:$J$1854,J489,$K$6:$K$1854,"&lt;"&amp;K489)+1,"-")</f>
        <v>25</v>
      </c>
      <c r="I489" s="64" t="str">
        <f aca="false">IF('Offshore - Sydney'!E711="","Harga belum tersedia - hubungi konsultan TEG",IF(M489=2,"Saat ini tidak menerima pendaftaran siswa internasional baru",IF(M489=1,"Harga perlu dikonfirmasi ke sekolah"&amp;IF(""="","","; "&amp;""),"")))</f>
        <v/>
      </c>
      <c r="J489" s="0" t="s">
        <v>3909</v>
      </c>
      <c r="K489" s="0" t="n">
        <f aca="false">IF(M489=2,"",IF(ISNUMBER(SEARCH("rata-rata:",'Offshore - Sydney'!N711)),VALUE(MID('Offshore - Sydney'!N711,SEARCH("rata-rata:",'Offshore - Sydney'!N711)+11,FIND(";",'Offshore - Sydney'!N711&amp;";",SEARCH("rata-rata:",'Offshore - Sydney'!N711))-SEARCH("rata-rata:",'Offshore - Sydney'!N711)-11)),IF('Offshore - Sydney'!D711="Semester",'Offshore - Sydney'!E711*2,IF('Offshore - Sydney'!D711="Trimester",'Offshore - Sydney'!E711*3,IF('Offshore - Sydney'!D711="Term",'Offshore - Sydney'!E711*4,IF('Offshore - Sydney'!D711="Unit",'Offshore - Sydney'!E711*8,""))))))</f>
        <v>7000</v>
      </c>
      <c r="L489" s="0" t="n">
        <f aca="false">IF(AND(ISNUMBER('Offshore - Sydney'!E711),ISNUMBER(K489),ISNUMBER('Offshore - Sydney'!F711),ISNUMBER('Offshore - Sydney'!G711),OR('Offshore - Sydney'!F711&lt;&gt;0,ISNUMBER(SEARCH("Material 0 terverifikasi",'Offshore - Sydney'!N711))),OR('Offshore - Sydney'!G711&lt;&gt;0,ISNUMBER(SEARCH("Enrolment 0 terverifikasi",'Offshore - Sydney'!N711)))),1,0)</f>
        <v>1</v>
      </c>
      <c r="M489" s="0" t="n">
        <f aca="false">IF(OR('Offshore - Sydney'!E711="",ISNUMBER(SEARCH("BSB80120",'Offshore - Sydney'!B711&amp;'Offshore - Sydney'!N711)),ISNUMBER(SEARCH("Management (Learning)",'Offshore - Sydney'!B711))),2,IF(ISNUMBER(SEARCH("CEK:",'Offshore - Sydney'!N711)),1,0))</f>
        <v>0</v>
      </c>
    </row>
    <row r="490" customFormat="false" ht="15" hidden="false" customHeight="false" outlineLevel="0" collapsed="false">
      <c r="A490" s="63" t="s">
        <v>3533</v>
      </c>
      <c r="B490" s="64" t="s">
        <v>3833</v>
      </c>
      <c r="C490" s="63" t="s">
        <v>42</v>
      </c>
      <c r="D490" s="64" t="str">
        <f aca="false">TRIM(LEFT('Offshore - Sydney'!A677,FIND(CHAR(10),'Offshore - Sydney'!A677&amp;CHAR(10))-1))</f>
        <v>Signet Institute of Australia</v>
      </c>
      <c r="E490" s="63" t="str">
        <f aca="false">'Offshore - Sydney'!C678&amp;""</f>
        <v>2 years</v>
      </c>
      <c r="F490" s="63" t="str">
        <f aca="false">IF('Offshore - Sydney'!D678="","Belum tercatat",'Offshore - Sydney'!D678)</f>
        <v>Term</v>
      </c>
      <c r="G490" s="65" t="n">
        <f aca="false">IF('Offshore - Sydney'!E678="","-",'Offshore - Sydney'!E678)</f>
        <v>1875</v>
      </c>
      <c r="H490" s="63" t="n">
        <f aca="false">IF(ISNUMBER(K490),COUNTIFS($J$6:$J$1854,J490,$K$6:$K$1854,"&lt;"&amp;K490)+1,"-")</f>
        <v>27</v>
      </c>
      <c r="I490" s="64" t="str">
        <f aca="false">IF('Offshore - Sydney'!E678="","Harga belum tersedia - hubungi konsultan TEG",IF(M490=2,"Saat ini tidak menerima pendaftaran siswa internasional baru",IF(M490=1,"Harga perlu dikonfirmasi ke sekolah"&amp;IF(""="","","; "&amp;""),"")))</f>
        <v>Harga perlu dikonfirmasi ke sekolah</v>
      </c>
      <c r="J490" s="0" t="s">
        <v>3909</v>
      </c>
      <c r="K490" s="0" t="n">
        <f aca="false">IF(M490=2,"",IF(ISNUMBER(SEARCH("rata-rata:",'Offshore - Sydney'!N678)),VALUE(MID('Offshore - Sydney'!N678,SEARCH("rata-rata:",'Offshore - Sydney'!N678)+11,FIND(";",'Offshore - Sydney'!N678&amp;";",SEARCH("rata-rata:",'Offshore - Sydney'!N678))-SEARCH("rata-rata:",'Offshore - Sydney'!N678)-11)),IF('Offshore - Sydney'!D678="Semester",'Offshore - Sydney'!E678*2,IF('Offshore - Sydney'!D678="Trimester",'Offshore - Sydney'!E678*3,IF('Offshore - Sydney'!D678="Term",'Offshore - Sydney'!E678*4,IF('Offshore - Sydney'!D678="Unit",'Offshore - Sydney'!E678*8,""))))))</f>
        <v>7500</v>
      </c>
      <c r="L490" s="0" t="n">
        <f aca="false">IF(AND(ISNUMBER('Offshore - Sydney'!E678),ISNUMBER(K490),ISNUMBER('Offshore - Sydney'!F678),ISNUMBER('Offshore - Sydney'!G678),OR('Offshore - Sydney'!F678&lt;&gt;0,ISNUMBER(SEARCH("Material 0 terverifikasi",'Offshore - Sydney'!N678))),OR('Offshore - Sydney'!G678&lt;&gt;0,ISNUMBER(SEARCH("Enrolment 0 terverifikasi",'Offshore - Sydney'!N678)))),1,0)</f>
        <v>1</v>
      </c>
      <c r="M490" s="0" t="n">
        <f aca="false">IF(OR('Offshore - Sydney'!E678="",ISNUMBER(SEARCH("BSB80120",'Offshore - Sydney'!B678&amp;'Offshore - Sydney'!N678)),ISNUMBER(SEARCH("Management (Learning)",'Offshore - Sydney'!B678))),2,IF(ISNUMBER(SEARCH("CEK:",'Offshore - Sydney'!N678)),1,0))</f>
        <v>1</v>
      </c>
    </row>
    <row r="491" customFormat="false" ht="15" hidden="false" customHeight="false" outlineLevel="0" collapsed="false">
      <c r="A491" s="63" t="s">
        <v>3533</v>
      </c>
      <c r="B491" s="64" t="s">
        <v>3833</v>
      </c>
      <c r="C491" s="63" t="s">
        <v>42</v>
      </c>
      <c r="D491" s="64" t="str">
        <f aca="false">TRIM(LEFT('Offshore - Sydney'!A13,FIND(CHAR(10),'Offshore - Sydney'!A13&amp;CHAR(10))-1))</f>
        <v>ABM Further Education</v>
      </c>
      <c r="E491" s="63" t="str">
        <f aca="false">'Offshore - Sydney'!C28&amp;""</f>
        <v>3,5 years</v>
      </c>
      <c r="F491" s="63" t="str">
        <f aca="false">IF('Offshore - Sydney'!D28="","Belum tercatat",'Offshore - Sydney'!D28)</f>
        <v>Term</v>
      </c>
      <c r="G491" s="65" t="n">
        <f aca="false">IF('Offshore - Sydney'!E28="","-",'Offshore - Sydney'!E28)</f>
        <v>2000</v>
      </c>
      <c r="H491" s="63" t="n">
        <f aca="false">IF(ISNUMBER(K491),COUNTIFS($J$6:$J$1854,J491,$K$6:$K$1854,"&lt;"&amp;K491)+1,"-")</f>
        <v>28</v>
      </c>
      <c r="I491" s="64" t="str">
        <f aca="false">IF('Offshore - Sydney'!E28="","Harga belum tersedia - hubungi konsultan TEG",IF(M491=2,"Saat ini tidak menerima pendaftaran siswa internasional baru",IF(M491=1,"Harga perlu dikonfirmasi ke sekolah"&amp;IF(""="","","; "&amp;""),"")))</f>
        <v/>
      </c>
      <c r="J491" s="0" t="s">
        <v>3909</v>
      </c>
      <c r="K491" s="0" t="n">
        <f aca="false">IF(M491=2,"",IF(ISNUMBER(SEARCH("rata-rata:",'Offshore - Sydney'!N28)),VALUE(MID('Offshore - Sydney'!N28,SEARCH("rata-rata:",'Offshore - Sydney'!N28)+11,FIND(";",'Offshore - Sydney'!N28&amp;";",SEARCH("rata-rata:",'Offshore - Sydney'!N28))-SEARCH("rata-rata:",'Offshore - Sydney'!N28)-11)),IF('Offshore - Sydney'!D28="Semester",'Offshore - Sydney'!E28*2,IF('Offshore - Sydney'!D28="Trimester",'Offshore - Sydney'!E28*3,IF('Offshore - Sydney'!D28="Term",'Offshore - Sydney'!E28*4,IF('Offshore - Sydney'!D28="Unit",'Offshore - Sydney'!E28*8,""))))))</f>
        <v>8000</v>
      </c>
      <c r="L491" s="0" t="n">
        <f aca="false">IF(AND(ISNUMBER('Offshore - Sydney'!E28),ISNUMBER(K491),ISNUMBER('Offshore - Sydney'!F28),ISNUMBER('Offshore - Sydney'!G28),OR('Offshore - Sydney'!F28&lt;&gt;0,ISNUMBER(SEARCH("Material 0 terverifikasi",'Offshore - Sydney'!N28))),OR('Offshore - Sydney'!G28&lt;&gt;0,ISNUMBER(SEARCH("Enrolment 0 terverifikasi",'Offshore - Sydney'!N28)))),1,0)</f>
        <v>1</v>
      </c>
      <c r="M491" s="0" t="n">
        <f aca="false">IF(OR('Offshore - Sydney'!E28="",ISNUMBER(SEARCH("BSB80120",'Offshore - Sydney'!B28&amp;'Offshore - Sydney'!N28)),ISNUMBER(SEARCH("Management (Learning)",'Offshore - Sydney'!B28))),2,IF(ISNUMBER(SEARCH("CEK:",'Offshore - Sydney'!N28)),1,0))</f>
        <v>0</v>
      </c>
    </row>
    <row r="492" customFormat="false" ht="28.35" hidden="false" customHeight="false" outlineLevel="0" collapsed="false">
      <c r="A492" s="63" t="s">
        <v>3533</v>
      </c>
      <c r="B492" s="64" t="s">
        <v>3833</v>
      </c>
      <c r="C492" s="63" t="s">
        <v>42</v>
      </c>
      <c r="D492" s="64" t="str">
        <f aca="false">TRIM(LEFT('Offshore - Sydney'!A88,FIND(CHAR(10),'Offshore - Sydney'!A88&amp;CHAR(10))-1))</f>
        <v>Albright Institute of Business and Language (AIBL)</v>
      </c>
      <c r="E492" s="63" t="str">
        <f aca="false">'Offshore - Sydney'!C88&amp;""</f>
        <v>2 years</v>
      </c>
      <c r="F492" s="63" t="str">
        <f aca="false">IF('Offshore - Sydney'!D88="","Belum tercatat",'Offshore - Sydney'!D88)</f>
        <v>Term</v>
      </c>
      <c r="G492" s="65" t="n">
        <f aca="false">IF('Offshore - Sydney'!E88="","-",'Offshore - Sydney'!E88)</f>
        <v>2000</v>
      </c>
      <c r="H492" s="63" t="n">
        <f aca="false">IF(ISNUMBER(K492),COUNTIFS($J$6:$J$1854,J492,$K$6:$K$1854,"&lt;"&amp;K492)+1,"-")</f>
        <v>28</v>
      </c>
      <c r="I492" s="64" t="str">
        <f aca="false">IF('Offshore - Sydney'!E88="","Harga belum tersedia - hubungi konsultan TEG",IF(M492=2,"Saat ini tidak menerima pendaftaran siswa internasional baru",IF(M492=1,"Harga perlu dikonfirmasi ke sekolah"&amp;IF(""="","","; "&amp;""),"")))</f>
        <v/>
      </c>
      <c r="J492" s="0" t="s">
        <v>3909</v>
      </c>
      <c r="K492" s="0" t="n">
        <f aca="false">IF(M492=2,"",IF(ISNUMBER(SEARCH("rata-rata:",'Offshore - Sydney'!N88)),VALUE(MID('Offshore - Sydney'!N88,SEARCH("rata-rata:",'Offshore - Sydney'!N88)+11,FIND(";",'Offshore - Sydney'!N88&amp;";",SEARCH("rata-rata:",'Offshore - Sydney'!N88))-SEARCH("rata-rata:",'Offshore - Sydney'!N88)-11)),IF('Offshore - Sydney'!D88="Semester",'Offshore - Sydney'!E88*2,IF('Offshore - Sydney'!D88="Trimester",'Offshore - Sydney'!E88*3,IF('Offshore - Sydney'!D88="Term",'Offshore - Sydney'!E88*4,IF('Offshore - Sydney'!D88="Unit",'Offshore - Sydney'!E88*8,""))))))</f>
        <v>8000</v>
      </c>
      <c r="L492" s="0" t="n">
        <f aca="false">IF(AND(ISNUMBER('Offshore - Sydney'!E88),ISNUMBER(K492),ISNUMBER('Offshore - Sydney'!F88),ISNUMBER('Offshore - Sydney'!G88),OR('Offshore - Sydney'!F88&lt;&gt;0,ISNUMBER(SEARCH("Material 0 terverifikasi",'Offshore - Sydney'!N88))),OR('Offshore - Sydney'!G88&lt;&gt;0,ISNUMBER(SEARCH("Enrolment 0 terverifikasi",'Offshore - Sydney'!N88)))),1,0)</f>
        <v>1</v>
      </c>
      <c r="M492" s="0" t="n">
        <f aca="false">IF(OR('Offshore - Sydney'!E88="",ISNUMBER(SEARCH("BSB80120",'Offshore - Sydney'!B88&amp;'Offshore - Sydney'!N88)),ISNUMBER(SEARCH("Management (Learning)",'Offshore - Sydney'!B88))),2,IF(ISNUMBER(SEARCH("CEK:",'Offshore - Sydney'!N88)),1,0))</f>
        <v>0</v>
      </c>
    </row>
    <row r="493" customFormat="false" ht="15" hidden="false" customHeight="false" outlineLevel="0" collapsed="false">
      <c r="A493" s="63" t="s">
        <v>3533</v>
      </c>
      <c r="B493" s="64" t="s">
        <v>3833</v>
      </c>
      <c r="C493" s="63" t="s">
        <v>42</v>
      </c>
      <c r="D493" s="64" t="str">
        <f aca="false">TRIM(LEFT('Offshore - Sydney'!A328,FIND(CHAR(10),'Offshore - Sydney'!A328&amp;CHAR(10))-1))</f>
        <v>Australian Skills Management Institute (ASMI)</v>
      </c>
      <c r="E493" s="63" t="str">
        <f aca="false">'Offshore - Sydney'!C329&amp;""</f>
        <v>2 years</v>
      </c>
      <c r="F493" s="63" t="str">
        <f aca="false">IF('Offshore - Sydney'!D329="","Belum tercatat",'Offshore - Sydney'!D329)</f>
        <v>Term</v>
      </c>
      <c r="G493" s="65" t="n">
        <f aca="false">IF('Offshore - Sydney'!E329="","-",'Offshore - Sydney'!E329)</f>
        <v>2000</v>
      </c>
      <c r="H493" s="63" t="n">
        <f aca="false">IF(ISNUMBER(K493),COUNTIFS($J$6:$J$1854,J493,$K$6:$K$1854,"&lt;"&amp;K493)+1,"-")</f>
        <v>28</v>
      </c>
      <c r="I493" s="64" t="str">
        <f aca="false">IF('Offshore - Sydney'!E329="","Harga belum tersedia - hubungi konsultan TEG",IF(M493=2,"Saat ini tidak menerima pendaftaran siswa internasional baru",IF(M493=1,"Harga perlu dikonfirmasi ke sekolah"&amp;IF(""="","","; "&amp;""),"")))</f>
        <v/>
      </c>
      <c r="J493" s="0" t="s">
        <v>3909</v>
      </c>
      <c r="K493" s="0" t="n">
        <f aca="false">IF(M493=2,"",IF(ISNUMBER(SEARCH("rata-rata:",'Offshore - Sydney'!N329)),VALUE(MID('Offshore - Sydney'!N329,SEARCH("rata-rata:",'Offshore - Sydney'!N329)+11,FIND(";",'Offshore - Sydney'!N329&amp;";",SEARCH("rata-rata:",'Offshore - Sydney'!N329))-SEARCH("rata-rata:",'Offshore - Sydney'!N329)-11)),IF('Offshore - Sydney'!D329="Semester",'Offshore - Sydney'!E329*2,IF('Offshore - Sydney'!D329="Trimester",'Offshore - Sydney'!E329*3,IF('Offshore - Sydney'!D329="Term",'Offshore - Sydney'!E329*4,IF('Offshore - Sydney'!D329="Unit",'Offshore - Sydney'!E329*8,""))))))</f>
        <v>8000</v>
      </c>
      <c r="L493" s="0" t="n">
        <f aca="false">IF(AND(ISNUMBER('Offshore - Sydney'!E329),ISNUMBER(K493),ISNUMBER('Offshore - Sydney'!F329),ISNUMBER('Offshore - Sydney'!G329),OR('Offshore - Sydney'!F329&lt;&gt;0,ISNUMBER(SEARCH("Material 0 terverifikasi",'Offshore - Sydney'!N329))),OR('Offshore - Sydney'!G329&lt;&gt;0,ISNUMBER(SEARCH("Enrolment 0 terverifikasi",'Offshore - Sydney'!N329)))),1,0)</f>
        <v>1</v>
      </c>
      <c r="M493" s="0" t="n">
        <f aca="false">IF(OR('Offshore - Sydney'!E329="",ISNUMBER(SEARCH("BSB80120",'Offshore - Sydney'!B329&amp;'Offshore - Sydney'!N329)),ISNUMBER(SEARCH("Management (Learning)",'Offshore - Sydney'!B329))),2,IF(ISNUMBER(SEARCH("CEK:",'Offshore - Sydney'!N329)),1,0))</f>
        <v>0</v>
      </c>
    </row>
    <row r="494" customFormat="false" ht="15" hidden="false" customHeight="false" outlineLevel="0" collapsed="false">
      <c r="A494" s="63" t="s">
        <v>3533</v>
      </c>
      <c r="B494" s="64" t="s">
        <v>3833</v>
      </c>
      <c r="C494" s="63" t="s">
        <v>42</v>
      </c>
      <c r="D494" s="64" t="str">
        <f aca="false">TRIM(LEFT('Offshore - Sydney'!A488,FIND(CHAR(10),'Offshore - Sydney'!A488&amp;CHAR(10))-1))</f>
        <v>Imperial Institute of Sydney (IIS)</v>
      </c>
      <c r="E494" s="63" t="str">
        <f aca="false">'Offshore - Sydney'!C491&amp;""</f>
        <v>3 years</v>
      </c>
      <c r="F494" s="63" t="str">
        <f aca="false">IF('Offshore - Sydney'!D491="","Belum tercatat",'Offshore - Sydney'!D491)</f>
        <v>Term</v>
      </c>
      <c r="G494" s="65" t="n">
        <f aca="false">IF('Offshore - Sydney'!E491="","-",'Offshore - Sydney'!E491)</f>
        <v>2000</v>
      </c>
      <c r="H494" s="63" t="n">
        <f aca="false">IF(ISNUMBER(K494),COUNTIFS($J$6:$J$1854,J494,$K$6:$K$1854,"&lt;"&amp;K494)+1,"-")</f>
        <v>28</v>
      </c>
      <c r="I494" s="64" t="str">
        <f aca="false">IF('Offshore - Sydney'!E491="","Harga belum tersedia - hubungi konsultan TEG",IF(M494=2,"Saat ini tidak menerima pendaftaran siswa internasional baru",IF(M494=1,"Harga perlu dikonfirmasi ke sekolah"&amp;IF(""="","","; "&amp;""),"")))</f>
        <v/>
      </c>
      <c r="J494" s="0" t="s">
        <v>3909</v>
      </c>
      <c r="K494" s="0" t="n">
        <f aca="false">IF(M494=2,"",IF(ISNUMBER(SEARCH("rata-rata:",'Offshore - Sydney'!N491)),VALUE(MID('Offshore - Sydney'!N491,SEARCH("rata-rata:",'Offshore - Sydney'!N491)+11,FIND(";",'Offshore - Sydney'!N491&amp;";",SEARCH("rata-rata:",'Offshore - Sydney'!N491))-SEARCH("rata-rata:",'Offshore - Sydney'!N491)-11)),IF('Offshore - Sydney'!D491="Semester",'Offshore - Sydney'!E491*2,IF('Offshore - Sydney'!D491="Trimester",'Offshore - Sydney'!E491*3,IF('Offshore - Sydney'!D491="Term",'Offshore - Sydney'!E491*4,IF('Offshore - Sydney'!D491="Unit",'Offshore - Sydney'!E491*8,""))))))</f>
        <v>8000</v>
      </c>
      <c r="L494" s="0" t="n">
        <f aca="false">IF(AND(ISNUMBER('Offshore - Sydney'!E491),ISNUMBER(K494),ISNUMBER('Offshore - Sydney'!F491),ISNUMBER('Offshore - Sydney'!G491),OR('Offshore - Sydney'!F491&lt;&gt;0,ISNUMBER(SEARCH("Material 0 terverifikasi",'Offshore - Sydney'!N491))),OR('Offshore - Sydney'!G491&lt;&gt;0,ISNUMBER(SEARCH("Enrolment 0 terverifikasi",'Offshore - Sydney'!N491)))),1,0)</f>
        <v>0</v>
      </c>
      <c r="M494" s="0" t="n">
        <f aca="false">IF(OR('Offshore - Sydney'!E491="",ISNUMBER(SEARCH("BSB80120",'Offshore - Sydney'!B491&amp;'Offshore - Sydney'!N491)),ISNUMBER(SEARCH("Management (Learning)",'Offshore - Sydney'!B491))),2,IF(ISNUMBER(SEARCH("CEK:",'Offshore - Sydney'!N491)),1,0))</f>
        <v>0</v>
      </c>
    </row>
    <row r="495" customFormat="false" ht="15" hidden="false" customHeight="false" outlineLevel="0" collapsed="false">
      <c r="A495" s="63" t="s">
        <v>3533</v>
      </c>
      <c r="B495" s="64" t="s">
        <v>3833</v>
      </c>
      <c r="C495" s="63" t="s">
        <v>42</v>
      </c>
      <c r="D495" s="64" t="str">
        <f aca="false">TRIM(LEFT('Offshore - Sydney'!A562,FIND(CHAR(10),'Offshore - Sydney'!A562&amp;CHAR(10))-1))</f>
        <v>Le Rosey Hospitality Institute</v>
      </c>
      <c r="E495" s="63" t="str">
        <f aca="false">'Offshore - Sydney'!C566&amp;""</f>
        <v>3,5 years</v>
      </c>
      <c r="F495" s="63" t="str">
        <f aca="false">IF('Offshore - Sydney'!D566="","Belum tercatat",'Offshore - Sydney'!D566)</f>
        <v>Term</v>
      </c>
      <c r="G495" s="65" t="n">
        <f aca="false">IF('Offshore - Sydney'!E566="","-",'Offshore - Sydney'!E566)</f>
        <v>2000</v>
      </c>
      <c r="H495" s="63" t="n">
        <f aca="false">IF(ISNUMBER(K495),COUNTIFS($J$6:$J$1854,J495,$K$6:$K$1854,"&lt;"&amp;K495)+1,"-")</f>
        <v>28</v>
      </c>
      <c r="I495" s="64" t="str">
        <f aca="false">IF('Offshore - Sydney'!E566="","Harga belum tersedia - hubungi konsultan TEG",IF(M495=2,"Saat ini tidak menerima pendaftaran siswa internasional baru",IF(M495=1,"Harga perlu dikonfirmasi ke sekolah"&amp;IF(""="","","; "&amp;""),"")))</f>
        <v>Harga perlu dikonfirmasi ke sekolah</v>
      </c>
      <c r="J495" s="0" t="s">
        <v>3909</v>
      </c>
      <c r="K495" s="0" t="n">
        <f aca="false">IF(M495=2,"",IF(ISNUMBER(SEARCH("rata-rata:",'Offshore - Sydney'!N566)),VALUE(MID('Offshore - Sydney'!N566,SEARCH("rata-rata:",'Offshore - Sydney'!N566)+11,FIND(";",'Offshore - Sydney'!N566&amp;";",SEARCH("rata-rata:",'Offshore - Sydney'!N566))-SEARCH("rata-rata:",'Offshore - Sydney'!N566)-11)),IF('Offshore - Sydney'!D566="Semester",'Offshore - Sydney'!E566*2,IF('Offshore - Sydney'!D566="Trimester",'Offshore - Sydney'!E566*3,IF('Offshore - Sydney'!D566="Term",'Offshore - Sydney'!E566*4,IF('Offshore - Sydney'!D566="Unit",'Offshore - Sydney'!E566*8,""))))))</f>
        <v>8000</v>
      </c>
      <c r="L495" s="0" t="n">
        <f aca="false">IF(AND(ISNUMBER('Offshore - Sydney'!E566),ISNUMBER(K495),ISNUMBER('Offshore - Sydney'!F566),ISNUMBER('Offshore - Sydney'!G566),OR('Offshore - Sydney'!F566&lt;&gt;0,ISNUMBER(SEARCH("Material 0 terverifikasi",'Offshore - Sydney'!N566))),OR('Offshore - Sydney'!G566&lt;&gt;0,ISNUMBER(SEARCH("Enrolment 0 terverifikasi",'Offshore - Sydney'!N566)))),1,0)</f>
        <v>1</v>
      </c>
      <c r="M495" s="0" t="n">
        <f aca="false">IF(OR('Offshore - Sydney'!E566="",ISNUMBER(SEARCH("BSB80120",'Offshore - Sydney'!B566&amp;'Offshore - Sydney'!N566)),ISNUMBER(SEARCH("Management (Learning)",'Offshore - Sydney'!B566))),2,IF(ISNUMBER(SEARCH("CEK:",'Offshore - Sydney'!N566)),1,0))</f>
        <v>1</v>
      </c>
    </row>
    <row r="496" customFormat="false" ht="15" hidden="false" customHeight="false" outlineLevel="0" collapsed="false">
      <c r="A496" s="63" t="s">
        <v>3533</v>
      </c>
      <c r="B496" s="64" t="s">
        <v>3833</v>
      </c>
      <c r="C496" s="63" t="s">
        <v>42</v>
      </c>
      <c r="D496" s="64" t="str">
        <f aca="false">TRIM(LEFT('Offshore - Sydney'!A583,FIND(CHAR(10),'Offshore - Sydney'!A583&amp;CHAR(10))-1))</f>
        <v>Magill College Sydney</v>
      </c>
      <c r="E496" s="63" t="str">
        <f aca="false">'Offshore - Sydney'!C586&amp;""</f>
        <v>4 yearss</v>
      </c>
      <c r="F496" s="63" t="str">
        <f aca="false">IF('Offshore - Sydney'!D586="","Belum tercatat",'Offshore - Sydney'!D586)</f>
        <v>Term</v>
      </c>
      <c r="G496" s="65" t="n">
        <f aca="false">IF('Offshore - Sydney'!E586="","-",'Offshore - Sydney'!E586)</f>
        <v>2000</v>
      </c>
      <c r="H496" s="63" t="n">
        <f aca="false">IF(ISNUMBER(K496),COUNTIFS($J$6:$J$1854,J496,$K$6:$K$1854,"&lt;"&amp;K496)+1,"-")</f>
        <v>28</v>
      </c>
      <c r="I496" s="64" t="str">
        <f aca="false">IF('Offshore - Sydney'!E586="","Harga belum tersedia - hubungi konsultan TEG",IF(M496=2,"Saat ini tidak menerima pendaftaran siswa internasional baru",IF(M496=1,"Harga perlu dikonfirmasi ke sekolah"&amp;IF(""="","","; "&amp;""),"")))</f>
        <v/>
      </c>
      <c r="J496" s="0" t="s">
        <v>3909</v>
      </c>
      <c r="K496" s="0" t="n">
        <f aca="false">IF(M496=2,"",IF(ISNUMBER(SEARCH("rata-rata:",'Offshore - Sydney'!N586)),VALUE(MID('Offshore - Sydney'!N586,SEARCH("rata-rata:",'Offshore - Sydney'!N586)+11,FIND(";",'Offshore - Sydney'!N586&amp;";",SEARCH("rata-rata:",'Offshore - Sydney'!N586))-SEARCH("rata-rata:",'Offshore - Sydney'!N586)-11)),IF('Offshore - Sydney'!D586="Semester",'Offshore - Sydney'!E586*2,IF('Offshore - Sydney'!D586="Trimester",'Offshore - Sydney'!E586*3,IF('Offshore - Sydney'!D586="Term",'Offshore - Sydney'!E586*4,IF('Offshore - Sydney'!D586="Unit",'Offshore - Sydney'!E586*8,""))))))</f>
        <v>8000</v>
      </c>
      <c r="L496" s="0" t="n">
        <f aca="false">IF(AND(ISNUMBER('Offshore - Sydney'!E586),ISNUMBER(K496),ISNUMBER('Offshore - Sydney'!F586),ISNUMBER('Offshore - Sydney'!G586),OR('Offshore - Sydney'!F586&lt;&gt;0,ISNUMBER(SEARCH("Material 0 terverifikasi",'Offshore - Sydney'!N586))),OR('Offshore - Sydney'!G586&lt;&gt;0,ISNUMBER(SEARCH("Enrolment 0 terverifikasi",'Offshore - Sydney'!N586)))),1,0)</f>
        <v>1</v>
      </c>
      <c r="M496" s="0" t="n">
        <f aca="false">IF(OR('Offshore - Sydney'!E586="",ISNUMBER(SEARCH("BSB80120",'Offshore - Sydney'!B586&amp;'Offshore - Sydney'!N586)),ISNUMBER(SEARCH("Management (Learning)",'Offshore - Sydney'!B586))),2,IF(ISNUMBER(SEARCH("CEK:",'Offshore - Sydney'!N586)),1,0))</f>
        <v>0</v>
      </c>
    </row>
    <row r="497" customFormat="false" ht="28.35" hidden="false" customHeight="false" outlineLevel="0" collapsed="false">
      <c r="A497" s="63" t="s">
        <v>3533</v>
      </c>
      <c r="B497" s="64" t="s">
        <v>3833</v>
      </c>
      <c r="C497" s="63" t="s">
        <v>42</v>
      </c>
      <c r="D497" s="64" t="str">
        <f aca="false">TRIM(LEFT('Offshore - Sydney'!A313,FIND(CHAR(10),'Offshore - Sydney'!A313&amp;CHAR(10))-1))</f>
        <v>Australian International College of Skills &amp; Education (AICSE)</v>
      </c>
      <c r="E497" s="63" t="str">
        <f aca="false">'Offshore - Sydney'!C320&amp;""</f>
        <v>2 years</v>
      </c>
      <c r="F497" s="63" t="str">
        <f aca="false">IF('Offshore - Sydney'!D320="","Belum tercatat",'Offshore - Sydney'!D320)</f>
        <v>Term</v>
      </c>
      <c r="G497" s="65" t="n">
        <f aca="false">IF('Offshore - Sydney'!E320="","-",'Offshore - Sydney'!E320)</f>
        <v>2125</v>
      </c>
      <c r="H497" s="63" t="n">
        <f aca="false">IF(ISNUMBER(K497),COUNTIFS($J$6:$J$1854,J497,$K$6:$K$1854,"&lt;"&amp;K497)+1,"-")</f>
        <v>34</v>
      </c>
      <c r="I497" s="64" t="str">
        <f aca="false">IF('Offshore - Sydney'!E320="","Harga belum tersedia - hubungi konsultan TEG",IF(M497=2,"Saat ini tidak menerima pendaftaran siswa internasional baru",IF(M497=1,"Harga perlu dikonfirmasi ke sekolah"&amp;IF(""="","","; "&amp;""),"")))</f>
        <v/>
      </c>
      <c r="J497" s="0" t="s">
        <v>3909</v>
      </c>
      <c r="K497" s="0" t="n">
        <f aca="false">IF(M497=2,"",IF(ISNUMBER(SEARCH("rata-rata:",'Offshore - Sydney'!N320)),VALUE(MID('Offshore - Sydney'!N320,SEARCH("rata-rata:",'Offshore - Sydney'!N320)+11,FIND(";",'Offshore - Sydney'!N320&amp;";",SEARCH("rata-rata:",'Offshore - Sydney'!N320))-SEARCH("rata-rata:",'Offshore - Sydney'!N320)-11)),IF('Offshore - Sydney'!D320="Semester",'Offshore - Sydney'!E320*2,IF('Offshore - Sydney'!D320="Trimester",'Offshore - Sydney'!E320*3,IF('Offshore - Sydney'!D320="Term",'Offshore - Sydney'!E320*4,IF('Offshore - Sydney'!D320="Unit",'Offshore - Sydney'!E320*8,""))))))</f>
        <v>8500</v>
      </c>
      <c r="L497" s="0" t="n">
        <f aca="false">IF(AND(ISNUMBER('Offshore - Sydney'!E320),ISNUMBER(K497),ISNUMBER('Offshore - Sydney'!F320),ISNUMBER('Offshore - Sydney'!G320),OR('Offshore - Sydney'!F320&lt;&gt;0,ISNUMBER(SEARCH("Material 0 terverifikasi",'Offshore - Sydney'!N320))),OR('Offshore - Sydney'!G320&lt;&gt;0,ISNUMBER(SEARCH("Enrolment 0 terverifikasi",'Offshore - Sydney'!N320)))),1,0)</f>
        <v>1</v>
      </c>
      <c r="M497" s="0" t="n">
        <f aca="false">IF(OR('Offshore - Sydney'!E320="",ISNUMBER(SEARCH("BSB80120",'Offshore - Sydney'!B320&amp;'Offshore - Sydney'!N320)),ISNUMBER(SEARCH("Management (Learning)",'Offshore - Sydney'!B320))),2,IF(ISNUMBER(SEARCH("CEK:",'Offshore - Sydney'!N320)),1,0))</f>
        <v>0</v>
      </c>
    </row>
    <row r="498" customFormat="false" ht="28.35" hidden="false" customHeight="false" outlineLevel="0" collapsed="false">
      <c r="A498" s="63" t="s">
        <v>3533</v>
      </c>
      <c r="B498" s="64" t="s">
        <v>3833</v>
      </c>
      <c r="C498" s="63" t="s">
        <v>42</v>
      </c>
      <c r="D498" s="64" t="str">
        <f aca="false">TRIM(LEFT('Offshore - Sydney'!A282,FIND(CHAR(10),'Offshore - Sydney'!A282&amp;CHAR(10))-1))</f>
        <v>Australian Harbour International College (AHIC)</v>
      </c>
      <c r="E498" s="63" t="str">
        <f aca="false">'Offshore - Sydney'!C287&amp;""</f>
        <v>2,5 years</v>
      </c>
      <c r="F498" s="63" t="str">
        <f aca="false">IF('Offshore - Sydney'!D287="","Belum tercatat",'Offshore - Sydney'!D287)</f>
        <v>Term</v>
      </c>
      <c r="G498" s="65" t="n">
        <f aca="false">IF('Offshore - Sydney'!E287="","-",'Offshore - Sydney'!E287)</f>
        <v>2250</v>
      </c>
      <c r="H498" s="63" t="n">
        <f aca="false">IF(ISNUMBER(K498),COUNTIFS($J$6:$J$1854,J498,$K$6:$K$1854,"&lt;"&amp;K498)+1,"-")</f>
        <v>35</v>
      </c>
      <c r="I498" s="64" t="str">
        <f aca="false">IF('Offshore - Sydney'!E287="","Harga belum tersedia - hubungi konsultan TEG",IF(M498=2,"Saat ini tidak menerima pendaftaran siswa internasional baru",IF(M498=1,"Harga perlu dikonfirmasi ke sekolah"&amp;IF(""="","","; "&amp;""),"")))</f>
        <v/>
      </c>
      <c r="J498" s="0" t="s">
        <v>3909</v>
      </c>
      <c r="K498" s="0" t="n">
        <f aca="false">IF(M498=2,"",IF(ISNUMBER(SEARCH("rata-rata:",'Offshore - Sydney'!N287)),VALUE(MID('Offshore - Sydney'!N287,SEARCH("rata-rata:",'Offshore - Sydney'!N287)+11,FIND(";",'Offshore - Sydney'!N287&amp;";",SEARCH("rata-rata:",'Offshore - Sydney'!N287))-SEARCH("rata-rata:",'Offshore - Sydney'!N287)-11)),IF('Offshore - Sydney'!D287="Semester",'Offshore - Sydney'!E287*2,IF('Offshore - Sydney'!D287="Trimester",'Offshore - Sydney'!E287*3,IF('Offshore - Sydney'!D287="Term",'Offshore - Sydney'!E287*4,IF('Offshore - Sydney'!D287="Unit",'Offshore - Sydney'!E287*8,""))))))</f>
        <v>9000</v>
      </c>
      <c r="L498" s="0" t="n">
        <f aca="false">IF(AND(ISNUMBER('Offshore - Sydney'!E287),ISNUMBER(K498),ISNUMBER('Offshore - Sydney'!F287),ISNUMBER('Offshore - Sydney'!G287),OR('Offshore - Sydney'!F287&lt;&gt;0,ISNUMBER(SEARCH("Material 0 terverifikasi",'Offshore - Sydney'!N287))),OR('Offshore - Sydney'!G287&lt;&gt;0,ISNUMBER(SEARCH("Enrolment 0 terverifikasi",'Offshore - Sydney'!N287)))),1,0)</f>
        <v>1</v>
      </c>
      <c r="M498" s="0" t="n">
        <f aca="false">IF(OR('Offshore - Sydney'!E287="",ISNUMBER(SEARCH("BSB80120",'Offshore - Sydney'!B287&amp;'Offshore - Sydney'!N287)),ISNUMBER(SEARCH("Management (Learning)",'Offshore - Sydney'!B287))),2,IF(ISNUMBER(SEARCH("CEK:",'Offshore - Sydney'!N287)),1,0))</f>
        <v>0</v>
      </c>
    </row>
    <row r="499" customFormat="false" ht="15" hidden="false" customHeight="false" outlineLevel="0" collapsed="false">
      <c r="A499" s="63" t="s">
        <v>3533</v>
      </c>
      <c r="B499" s="64" t="s">
        <v>3833</v>
      </c>
      <c r="C499" s="63" t="s">
        <v>42</v>
      </c>
      <c r="D499" s="64" t="str">
        <f aca="false">TRIM(LEFT('Offshore - Sydney'!A615,FIND(CHAR(10),'Offshore - Sydney'!A615&amp;CHAR(10))-1))</f>
        <v>Novus College</v>
      </c>
      <c r="E499" s="63" t="str">
        <f aca="false">'Offshore - Sydney'!C616&amp;""</f>
        <v>2 years</v>
      </c>
      <c r="F499" s="63" t="str">
        <f aca="false">IF('Offshore - Sydney'!D616="","Belum tercatat",'Offshore - Sydney'!D616)</f>
        <v>Term</v>
      </c>
      <c r="G499" s="65" t="n">
        <f aca="false">IF('Offshore - Sydney'!E616="","-",'Offshore - Sydney'!E616)</f>
        <v>2300</v>
      </c>
      <c r="H499" s="63" t="n">
        <f aca="false">IF(ISNUMBER(K499),COUNTIFS($J$6:$J$1854,J499,$K$6:$K$1854,"&lt;"&amp;K499)+1,"-")</f>
        <v>36</v>
      </c>
      <c r="I499" s="64" t="str">
        <f aca="false">IF('Offshore - Sydney'!E616="","Harga belum tersedia - hubungi konsultan TEG",IF(M499=2,"Saat ini tidak menerima pendaftaran siswa internasional baru",IF(M499=1,"Program perlu dikonfirmasi ketersediaannya"&amp;IF(""="","","; "&amp;""),"")))</f>
        <v>Program perlu dikonfirmasi ketersediaannya</v>
      </c>
      <c r="J499" s="0" t="s">
        <v>3909</v>
      </c>
      <c r="K499" s="0" t="n">
        <f aca="false">IF(M499=2,"",IF(ISNUMBER(SEARCH("rata-rata:",'Offshore - Sydney'!N616)),VALUE(MID('Offshore - Sydney'!N616,SEARCH("rata-rata:",'Offshore - Sydney'!N616)+11,FIND(";",'Offshore - Sydney'!N616&amp;";",SEARCH("rata-rata:",'Offshore - Sydney'!N616))-SEARCH("rata-rata:",'Offshore - Sydney'!N616)-11)),IF('Offshore - Sydney'!D616="Semester",'Offshore - Sydney'!E616*2,IF('Offshore - Sydney'!D616="Trimester",'Offshore - Sydney'!E616*3,IF('Offshore - Sydney'!D616="Term",'Offshore - Sydney'!E616*4,IF('Offshore - Sydney'!D616="Unit",'Offshore - Sydney'!E616*8,""))))))</f>
        <v>9200</v>
      </c>
      <c r="L499" s="0" t="n">
        <f aca="false">IF(AND(ISNUMBER('Offshore - Sydney'!E616),ISNUMBER(K499),ISNUMBER('Offshore - Sydney'!F616),ISNUMBER('Offshore - Sydney'!G616),OR('Offshore - Sydney'!F616&lt;&gt;0,ISNUMBER(SEARCH("Material 0 terverifikasi",'Offshore - Sydney'!N616))),OR('Offshore - Sydney'!G616&lt;&gt;0,ISNUMBER(SEARCH("Enrolment 0 terverifikasi",'Offshore - Sydney'!N616)))),1,0)</f>
        <v>1</v>
      </c>
      <c r="M499" s="0" t="n">
        <f aca="false">IF(OR('Offshore - Sydney'!E616="",ISNUMBER(SEARCH("BSB80120",'Offshore - Sydney'!B616&amp;'Offshore - Sydney'!N616)),ISNUMBER(SEARCH("Management (Learning)",'Offshore - Sydney'!B616))),2,IF(ISNUMBER(SEARCH("CEK:",'Offshore - Sydney'!N616)),1,0))</f>
        <v>1</v>
      </c>
    </row>
    <row r="500" customFormat="false" ht="15" hidden="false" customHeight="false" outlineLevel="0" collapsed="false">
      <c r="A500" s="63" t="s">
        <v>3533</v>
      </c>
      <c r="B500" s="64" t="s">
        <v>3833</v>
      </c>
      <c r="C500" s="63" t="s">
        <v>42</v>
      </c>
      <c r="D500" s="64" t="str">
        <f aca="false">TRIM(LEFT('Offshore - Sydney'!A94,FIND(CHAR(10),'Offshore - Sydney'!A94&amp;CHAR(10))-1))</f>
        <v>Albury College</v>
      </c>
      <c r="E500" s="63" t="str">
        <f aca="false">'Offshore - Sydney'!C99&amp;""</f>
        <v>2 years</v>
      </c>
      <c r="F500" s="63" t="str">
        <f aca="false">IF('Offshore - Sydney'!D99="","Belum tercatat",'Offshore - Sydney'!D99)</f>
        <v>Term</v>
      </c>
      <c r="G500" s="65" t="n">
        <f aca="false">IF('Offshore - Sydney'!E99="","-",'Offshore - Sydney'!E99)</f>
        <v>2500</v>
      </c>
      <c r="H500" s="63" t="n">
        <f aca="false">IF(ISNUMBER(K500),COUNTIFS($J$6:$J$1854,J500,$K$6:$K$1854,"&lt;"&amp;K500)+1,"-")</f>
        <v>37</v>
      </c>
      <c r="I500" s="64" t="str">
        <f aca="false">IF('Offshore - Sydney'!E99="","Harga belum tersedia - hubungi konsultan TEG",IF(M500=2,"Saat ini tidak menerima pendaftaran siswa internasional baru",IF(M500=1,"Harga perlu dikonfirmasi ke sekolah"&amp;IF(""="","","; "&amp;""),"")))</f>
        <v/>
      </c>
      <c r="J500" s="0" t="s">
        <v>3909</v>
      </c>
      <c r="K500" s="0" t="n">
        <f aca="false">IF(M500=2,"",IF(ISNUMBER(SEARCH("rata-rata:",'Offshore - Sydney'!N99)),VALUE(MID('Offshore - Sydney'!N99,SEARCH("rata-rata:",'Offshore - Sydney'!N99)+11,FIND(";",'Offshore - Sydney'!N99&amp;";",SEARCH("rata-rata:",'Offshore - Sydney'!N99))-SEARCH("rata-rata:",'Offshore - Sydney'!N99)-11)),IF('Offshore - Sydney'!D99="Semester",'Offshore - Sydney'!E99*2,IF('Offshore - Sydney'!D99="Trimester",'Offshore - Sydney'!E99*3,IF('Offshore - Sydney'!D99="Term",'Offshore - Sydney'!E99*4,IF('Offshore - Sydney'!D99="Unit",'Offshore - Sydney'!E99*8,""))))))</f>
        <v>10000</v>
      </c>
      <c r="L500" s="0" t="n">
        <f aca="false">IF(AND(ISNUMBER('Offshore - Sydney'!E99),ISNUMBER(K500),ISNUMBER('Offshore - Sydney'!F99),ISNUMBER('Offshore - Sydney'!G99),OR('Offshore - Sydney'!F99&lt;&gt;0,ISNUMBER(SEARCH("Material 0 terverifikasi",'Offshore - Sydney'!N99))),OR('Offshore - Sydney'!G99&lt;&gt;0,ISNUMBER(SEARCH("Enrolment 0 terverifikasi",'Offshore - Sydney'!N99)))),1,0)</f>
        <v>1</v>
      </c>
      <c r="M500" s="0" t="n">
        <f aca="false">IF(OR('Offshore - Sydney'!E99="",ISNUMBER(SEARCH("BSB80120",'Offshore - Sydney'!B99&amp;'Offshore - Sydney'!N99)),ISNUMBER(SEARCH("Management (Learning)",'Offshore - Sydney'!B99))),2,IF(ISNUMBER(SEARCH("CEK:",'Offshore - Sydney'!N99)),1,0))</f>
        <v>0</v>
      </c>
    </row>
    <row r="501" customFormat="false" ht="15" hidden="false" customHeight="false" outlineLevel="0" collapsed="false">
      <c r="A501" s="63" t="s">
        <v>3533</v>
      </c>
      <c r="B501" s="64" t="s">
        <v>3833</v>
      </c>
      <c r="C501" s="63" t="s">
        <v>42</v>
      </c>
      <c r="D501" s="64" t="str">
        <f aca="false">TRIM(LEFT('Offshore - Sydney'!A102,FIND(CHAR(10),'Offshore - Sydney'!A102&amp;CHAR(10))-1))</f>
        <v>Alice Springs College of Australia (ASCA)</v>
      </c>
      <c r="E501" s="63" t="str">
        <f aca="false">'Offshore - Sydney'!C105&amp;""</f>
        <v>3,5 years</v>
      </c>
      <c r="F501" s="63" t="str">
        <f aca="false">IF('Offshore - Sydney'!D105="","Belum tercatat",'Offshore - Sydney'!D105)</f>
        <v>Term</v>
      </c>
      <c r="G501" s="65" t="n">
        <f aca="false">IF('Offshore - Sydney'!E105="","-",'Offshore - Sydney'!E105)</f>
        <v>2500</v>
      </c>
      <c r="H501" s="63" t="n">
        <f aca="false">IF(ISNUMBER(K501),COUNTIFS($J$6:$J$1854,J501,$K$6:$K$1854,"&lt;"&amp;K501)+1,"-")</f>
        <v>37</v>
      </c>
      <c r="I501" s="64" t="str">
        <f aca="false">IF('Offshore - Sydney'!E105="","Harga belum tersedia - hubungi konsultan TEG",IF(M501=2,"Saat ini tidak menerima pendaftaran siswa internasional baru",IF(M501=1,"Harga perlu dikonfirmasi ke sekolah"&amp;IF(""="","","; "&amp;""),"")))</f>
        <v/>
      </c>
      <c r="J501" s="0" t="s">
        <v>3909</v>
      </c>
      <c r="K501" s="0" t="n">
        <f aca="false">IF(M501=2,"",IF(ISNUMBER(SEARCH("rata-rata:",'Offshore - Sydney'!N105)),VALUE(MID('Offshore - Sydney'!N105,SEARCH("rata-rata:",'Offshore - Sydney'!N105)+11,FIND(";",'Offshore - Sydney'!N105&amp;";",SEARCH("rata-rata:",'Offshore - Sydney'!N105))-SEARCH("rata-rata:",'Offshore - Sydney'!N105)-11)),IF('Offshore - Sydney'!D105="Semester",'Offshore - Sydney'!E105*2,IF('Offshore - Sydney'!D105="Trimester",'Offshore - Sydney'!E105*3,IF('Offshore - Sydney'!D105="Term",'Offshore - Sydney'!E105*4,IF('Offshore - Sydney'!D105="Unit",'Offshore - Sydney'!E105*8,""))))))</f>
        <v>10000</v>
      </c>
      <c r="L501" s="0" t="n">
        <f aca="false">IF(AND(ISNUMBER('Offshore - Sydney'!E105),ISNUMBER(K501),ISNUMBER('Offshore - Sydney'!F105),ISNUMBER('Offshore - Sydney'!G105),OR('Offshore - Sydney'!F105&lt;&gt;0,ISNUMBER(SEARCH("Material 0 terverifikasi",'Offshore - Sydney'!N105))),OR('Offshore - Sydney'!G105&lt;&gt;0,ISNUMBER(SEARCH("Enrolment 0 terverifikasi",'Offshore - Sydney'!N105)))),1,0)</f>
        <v>1</v>
      </c>
      <c r="M501" s="0" t="n">
        <f aca="false">IF(OR('Offshore - Sydney'!E105="",ISNUMBER(SEARCH("BSB80120",'Offshore - Sydney'!B105&amp;'Offshore - Sydney'!N105)),ISNUMBER(SEARCH("Management (Learning)",'Offshore - Sydney'!B105))),2,IF(ISNUMBER(SEARCH("CEK:",'Offshore - Sydney'!N105)),1,0))</f>
        <v>0</v>
      </c>
    </row>
    <row r="502" customFormat="false" ht="15" hidden="false" customHeight="false" outlineLevel="0" collapsed="false">
      <c r="A502" s="63" t="s">
        <v>3533</v>
      </c>
      <c r="B502" s="64" t="s">
        <v>3833</v>
      </c>
      <c r="C502" s="63" t="s">
        <v>42</v>
      </c>
      <c r="D502" s="64" t="str">
        <f aca="false">TRIM(LEFT('Offshore - Sydney'!A660,FIND(CHAR(10),'Offshore - Sydney'!A660&amp;CHAR(10))-1))</f>
        <v>Rosehill College</v>
      </c>
      <c r="E502" s="63" t="str">
        <f aca="false">'Offshore - Sydney'!C668&amp;""</f>
        <v>3 years</v>
      </c>
      <c r="F502" s="63" t="str">
        <f aca="false">IF('Offshore - Sydney'!D668="","Belum tercatat",'Offshore - Sydney'!D668)</f>
        <v>Term</v>
      </c>
      <c r="G502" s="65" t="n">
        <f aca="false">IF('Offshore - Sydney'!E668="","-",'Offshore - Sydney'!E668)</f>
        <v>2500</v>
      </c>
      <c r="H502" s="63" t="n">
        <f aca="false">IF(ISNUMBER(K502),COUNTIFS($J$6:$J$1854,J502,$K$6:$K$1854,"&lt;"&amp;K502)+1,"-")</f>
        <v>37</v>
      </c>
      <c r="I502" s="64" t="str">
        <f aca="false">IF('Offshore - Sydney'!E668="","Harga belum tersedia - hubungi konsultan TEG",IF(M502=2,"Saat ini tidak menerima pendaftaran siswa internasional baru",IF(M502=1,"Harga perlu dikonfirmasi ke sekolah"&amp;IF(""="","","; "&amp;""),"")))</f>
        <v/>
      </c>
      <c r="J502" s="0" t="s">
        <v>3909</v>
      </c>
      <c r="K502" s="0" t="n">
        <f aca="false">IF(M502=2,"",IF(ISNUMBER(SEARCH("rata-rata:",'Offshore - Sydney'!N668)),VALUE(MID('Offshore - Sydney'!N668,SEARCH("rata-rata:",'Offshore - Sydney'!N668)+11,FIND(";",'Offshore - Sydney'!N668&amp;";",SEARCH("rata-rata:",'Offshore - Sydney'!N668))-SEARCH("rata-rata:",'Offshore - Sydney'!N668)-11)),IF('Offshore - Sydney'!D668="Semester",'Offshore - Sydney'!E668*2,IF('Offshore - Sydney'!D668="Trimester",'Offshore - Sydney'!E668*3,IF('Offshore - Sydney'!D668="Term",'Offshore - Sydney'!E668*4,IF('Offshore - Sydney'!D668="Unit",'Offshore - Sydney'!E668*8,""))))))</f>
        <v>10000</v>
      </c>
      <c r="L502" s="0" t="n">
        <f aca="false">IF(AND(ISNUMBER('Offshore - Sydney'!E668),ISNUMBER(K502),ISNUMBER('Offshore - Sydney'!F668),ISNUMBER('Offshore - Sydney'!G668),OR('Offshore - Sydney'!F668&lt;&gt;0,ISNUMBER(SEARCH("Material 0 terverifikasi",'Offshore - Sydney'!N668))),OR('Offshore - Sydney'!G668&lt;&gt;0,ISNUMBER(SEARCH("Enrolment 0 terverifikasi",'Offshore - Sydney'!N668)))),1,0)</f>
        <v>1</v>
      </c>
      <c r="M502" s="0" t="n">
        <f aca="false">IF(OR('Offshore - Sydney'!E668="",ISNUMBER(SEARCH("BSB80120",'Offshore - Sydney'!B668&amp;'Offshore - Sydney'!N668)),ISNUMBER(SEARCH("Management (Learning)",'Offshore - Sydney'!B668))),2,IF(ISNUMBER(SEARCH("CEK:",'Offshore - Sydney'!N668)),1,0))</f>
        <v>0</v>
      </c>
    </row>
    <row r="503" customFormat="false" ht="28.35" hidden="false" customHeight="false" outlineLevel="0" collapsed="false">
      <c r="A503" s="63" t="s">
        <v>3533</v>
      </c>
      <c r="B503" s="64" t="s">
        <v>3833</v>
      </c>
      <c r="C503" s="63" t="s">
        <v>42</v>
      </c>
      <c r="D503" s="64" t="str">
        <f aca="false">TRIM(LEFT('Offshore - Sydney'!A695,FIND(CHAR(10),'Offshore - Sydney'!A695&amp;CHAR(10))-1))</f>
        <v>Sydney College of Professional Education (SCPE)</v>
      </c>
      <c r="E503" s="63" t="str">
        <f aca="false">'Offshore - Sydney'!C698&amp;""</f>
        <v>3 years</v>
      </c>
      <c r="F503" s="63" t="str">
        <f aca="false">IF('Offshore - Sydney'!D698="","Belum tercatat",'Offshore - Sydney'!D698)</f>
        <v>Term</v>
      </c>
      <c r="G503" s="65" t="n">
        <f aca="false">IF('Offshore - Sydney'!E698="","-",'Offshore - Sydney'!E698)</f>
        <v>2500</v>
      </c>
      <c r="H503" s="63" t="n">
        <f aca="false">IF(ISNUMBER(K503),COUNTIFS($J$6:$J$1854,J503,$K$6:$K$1854,"&lt;"&amp;K503)+1,"-")</f>
        <v>37</v>
      </c>
      <c r="I503" s="64" t="str">
        <f aca="false">IF('Offshore - Sydney'!E698="","Harga belum tersedia - hubungi konsultan TEG",IF(M503=2,"Saat ini tidak menerima pendaftaran siswa internasional baru",IF(M503=1,"Harga perlu dikonfirmasi ke sekolah"&amp;IF(""="","","; "&amp;""),"")))</f>
        <v/>
      </c>
      <c r="J503" s="0" t="s">
        <v>3909</v>
      </c>
      <c r="K503" s="0" t="n">
        <f aca="false">IF(M503=2,"",IF(ISNUMBER(SEARCH("rata-rata:",'Offshore - Sydney'!N698)),VALUE(MID('Offshore - Sydney'!N698,SEARCH("rata-rata:",'Offshore - Sydney'!N698)+11,FIND(";",'Offshore - Sydney'!N698&amp;";",SEARCH("rata-rata:",'Offshore - Sydney'!N698))-SEARCH("rata-rata:",'Offshore - Sydney'!N698)-11)),IF('Offshore - Sydney'!D698="Semester",'Offshore - Sydney'!E698*2,IF('Offshore - Sydney'!D698="Trimester",'Offshore - Sydney'!E698*3,IF('Offshore - Sydney'!D698="Term",'Offshore - Sydney'!E698*4,IF('Offshore - Sydney'!D698="Unit",'Offshore - Sydney'!E698*8,""))))))</f>
        <v>10000</v>
      </c>
      <c r="L503" s="0" t="n">
        <f aca="false">IF(AND(ISNUMBER('Offshore - Sydney'!E698),ISNUMBER(K503),ISNUMBER('Offshore - Sydney'!F698),ISNUMBER('Offshore - Sydney'!G698),OR('Offshore - Sydney'!F698&lt;&gt;0,ISNUMBER(SEARCH("Material 0 terverifikasi",'Offshore - Sydney'!N698))),OR('Offshore - Sydney'!G698&lt;&gt;0,ISNUMBER(SEARCH("Enrolment 0 terverifikasi",'Offshore - Sydney'!N698)))),1,0)</f>
        <v>1</v>
      </c>
      <c r="M503" s="0" t="n">
        <f aca="false">IF(OR('Offshore - Sydney'!E698="",ISNUMBER(SEARCH("BSB80120",'Offshore - Sydney'!B698&amp;'Offshore - Sydney'!N698)),ISNUMBER(SEARCH("Management (Learning)",'Offshore - Sydney'!B698))),2,IF(ISNUMBER(SEARCH("CEK:",'Offshore - Sydney'!N698)),1,0))</f>
        <v>0</v>
      </c>
    </row>
    <row r="504" customFormat="false" ht="15" hidden="false" customHeight="false" outlineLevel="0" collapsed="false">
      <c r="A504" s="63" t="s">
        <v>3533</v>
      </c>
      <c r="B504" s="64" t="s">
        <v>3833</v>
      </c>
      <c r="C504" s="63" t="s">
        <v>42</v>
      </c>
      <c r="D504" s="64" t="str">
        <f aca="false">TRIM(LEFT('Offshore - Sydney'!A691,FIND(CHAR(10),'Offshore - Sydney'!A691&amp;CHAR(10))-1))</f>
        <v>Sydney City College of Management</v>
      </c>
      <c r="E504" s="63" t="str">
        <f aca="false">'Offshore - Sydney'!C691&amp;""</f>
        <v>2 years</v>
      </c>
      <c r="F504" s="63" t="str">
        <f aca="false">IF('Offshore - Sydney'!D691="","Belum tercatat",'Offshore - Sydney'!D691)</f>
        <v>Term</v>
      </c>
      <c r="G504" s="65" t="n">
        <f aca="false">IF('Offshore - Sydney'!E691="","-",'Offshore - Sydney'!E691)</f>
        <v>2700</v>
      </c>
      <c r="H504" s="63" t="n">
        <f aca="false">IF(ISNUMBER(K504),COUNTIFS($J$6:$J$1854,J504,$K$6:$K$1854,"&lt;"&amp;K504)+1,"-")</f>
        <v>41</v>
      </c>
      <c r="I504" s="64" t="str">
        <f aca="false">IF('Offshore - Sydney'!E691="","Harga belum tersedia - hubungi konsultan TEG",IF(M504=2,"Saat ini tidak menerima pendaftaran siswa internasional baru",IF(M504=1,"Harga perlu dikonfirmasi ke sekolah"&amp;IF(""="","","; "&amp;""),"")))</f>
        <v/>
      </c>
      <c r="J504" s="0" t="s">
        <v>3909</v>
      </c>
      <c r="K504" s="0" t="n">
        <f aca="false">IF(M504=2,"",IF(ISNUMBER(SEARCH("rata-rata:",'Offshore - Sydney'!N691)),VALUE(MID('Offshore - Sydney'!N691,SEARCH("rata-rata:",'Offshore - Sydney'!N691)+11,FIND(";",'Offshore - Sydney'!N691&amp;";",SEARCH("rata-rata:",'Offshore - Sydney'!N691))-SEARCH("rata-rata:",'Offshore - Sydney'!N691)-11)),IF('Offshore - Sydney'!D691="Semester",'Offshore - Sydney'!E691*2,IF('Offshore - Sydney'!D691="Trimester",'Offshore - Sydney'!E691*3,IF('Offshore - Sydney'!D691="Term",'Offshore - Sydney'!E691*4,IF('Offshore - Sydney'!D691="Unit",'Offshore - Sydney'!E691*8,""))))))</f>
        <v>10800</v>
      </c>
      <c r="L504" s="0" t="n">
        <f aca="false">IF(AND(ISNUMBER('Offshore - Sydney'!E691),ISNUMBER(K504),ISNUMBER('Offshore - Sydney'!F691),ISNUMBER('Offshore - Sydney'!G691),OR('Offshore - Sydney'!F691&lt;&gt;0,ISNUMBER(SEARCH("Material 0 terverifikasi",'Offshore - Sydney'!N691))),OR('Offshore - Sydney'!G691&lt;&gt;0,ISNUMBER(SEARCH("Enrolment 0 terverifikasi",'Offshore - Sydney'!N691)))),1,0)</f>
        <v>1</v>
      </c>
      <c r="M504" s="0" t="n">
        <f aca="false">IF(OR('Offshore - Sydney'!E691="",ISNUMBER(SEARCH("BSB80120",'Offshore - Sydney'!B691&amp;'Offshore - Sydney'!N691)),ISNUMBER(SEARCH("Management (Learning)",'Offshore - Sydney'!B691))),2,IF(ISNUMBER(SEARCH("CEK:",'Offshore - Sydney'!N691)),1,0))</f>
        <v>0</v>
      </c>
    </row>
    <row r="505" customFormat="false" ht="15" hidden="false" customHeight="false" outlineLevel="0" collapsed="false">
      <c r="A505" s="63" t="s">
        <v>3533</v>
      </c>
      <c r="B505" s="64" t="s">
        <v>3833</v>
      </c>
      <c r="C505" s="63" t="s">
        <v>42</v>
      </c>
      <c r="D505" s="64" t="str">
        <f aca="false">TRIM(LEFT('Offshore - Sydney'!A123,FIND(CHAR(10),'Offshore - Sydney'!A123&amp;CHAR(10))-1))</f>
        <v>Apeiro Institute</v>
      </c>
      <c r="E505" s="63" t="str">
        <f aca="false">'Offshore - Sydney'!C123&amp;""</f>
        <v>2 years</v>
      </c>
      <c r="F505" s="63" t="str">
        <f aca="false">IF('Offshore - Sydney'!D123="","Belum tercatat",'Offshore - Sydney'!D123)</f>
        <v>Term</v>
      </c>
      <c r="G505" s="65" t="n">
        <f aca="false">IF('Offshore - Sydney'!E123="","-",'Offshore - Sydney'!E123)</f>
        <v>2875</v>
      </c>
      <c r="H505" s="63" t="n">
        <f aca="false">IF(ISNUMBER(K505),COUNTIFS($J$6:$J$1854,J505,$K$6:$K$1854,"&lt;"&amp;K505)+1,"-")</f>
        <v>42</v>
      </c>
      <c r="I505" s="64" t="str">
        <f aca="false">IF('Offshore - Sydney'!E123="","Harga belum tersedia - hubungi konsultan TEG",IF(M505=2,"Saat ini tidak menerima pendaftaran siswa internasional baru",IF(M505=1,"Harga perlu dikonfirmasi ke sekolah"&amp;IF(""="","","; "&amp;""),"")))</f>
        <v/>
      </c>
      <c r="J505" s="0" t="s">
        <v>3909</v>
      </c>
      <c r="K505" s="0" t="n">
        <f aca="false">IF(M505=2,"",IF(ISNUMBER(SEARCH("rata-rata:",'Offshore - Sydney'!N123)),VALUE(MID('Offshore - Sydney'!N123,SEARCH("rata-rata:",'Offshore - Sydney'!N123)+11,FIND(";",'Offshore - Sydney'!N123&amp;";",SEARCH("rata-rata:",'Offshore - Sydney'!N123))-SEARCH("rata-rata:",'Offshore - Sydney'!N123)-11)),IF('Offshore - Sydney'!D123="Semester",'Offshore - Sydney'!E123*2,IF('Offshore - Sydney'!D123="Trimester",'Offshore - Sydney'!E123*3,IF('Offshore - Sydney'!D123="Term",'Offshore - Sydney'!E123*4,IF('Offshore - Sydney'!D123="Unit",'Offshore - Sydney'!E123*8,""))))))</f>
        <v>11500</v>
      </c>
      <c r="L505" s="0" t="n">
        <f aca="false">IF(AND(ISNUMBER('Offshore - Sydney'!E123),ISNUMBER(K505),ISNUMBER('Offshore - Sydney'!F123),ISNUMBER('Offshore - Sydney'!G123),OR('Offshore - Sydney'!F123&lt;&gt;0,ISNUMBER(SEARCH("Material 0 terverifikasi",'Offshore - Sydney'!N123))),OR('Offshore - Sydney'!G123&lt;&gt;0,ISNUMBER(SEARCH("Enrolment 0 terverifikasi",'Offshore - Sydney'!N123)))),1,0)</f>
        <v>1</v>
      </c>
      <c r="M505" s="0" t="n">
        <f aca="false">IF(OR('Offshore - Sydney'!E123="",ISNUMBER(SEARCH("BSB80120",'Offshore - Sydney'!B123&amp;'Offshore - Sydney'!N123)),ISNUMBER(SEARCH("Management (Learning)",'Offshore - Sydney'!B123))),2,IF(ISNUMBER(SEARCH("CEK:",'Offshore - Sydney'!N123)),1,0))</f>
        <v>0</v>
      </c>
    </row>
    <row r="506" customFormat="false" ht="15" hidden="false" customHeight="false" outlineLevel="0" collapsed="false">
      <c r="A506" s="63" t="s">
        <v>3533</v>
      </c>
      <c r="B506" s="64" t="s">
        <v>3833</v>
      </c>
      <c r="C506" s="63" t="s">
        <v>42</v>
      </c>
      <c r="D506" s="64" t="str">
        <f aca="false">TRIM(LEFT('Offshore - Sydney'!A968,FIND(CHAR(10),'Offshore - Sydney'!A968&amp;CHAR(10))-1))</f>
        <v>Western Sydney College (WSC)</v>
      </c>
      <c r="E506" s="63" t="str">
        <f aca="false">'Offshore - Sydney'!C970&amp;""</f>
        <v>2,5 years</v>
      </c>
      <c r="F506" s="63" t="str">
        <f aca="false">IF('Offshore - Sydney'!D970="","Belum tercatat",'Offshore - Sydney'!D970)</f>
        <v>Term</v>
      </c>
      <c r="G506" s="65" t="n">
        <f aca="false">IF('Offshore - Sydney'!E970="","-",'Offshore - Sydney'!E970)</f>
        <v>3250</v>
      </c>
      <c r="H506" s="63" t="n">
        <f aca="false">IF(ISNUMBER(K506),COUNTIFS($J$6:$J$1854,J506,$K$6:$K$1854,"&lt;"&amp;K506)+1,"-")</f>
        <v>43</v>
      </c>
      <c r="I506" s="64" t="str">
        <f aca="false">IF('Offshore - Sydney'!E970="","Harga belum tersedia - hubungi konsultan TEG",IF(M506=2,"Saat ini tidak menerima pendaftaran siswa internasional baru",IF(M506=1,"Harga perlu dikonfirmasi ke sekolah"&amp;IF(""="","","; "&amp;""),"")))</f>
        <v/>
      </c>
      <c r="J506" s="0" t="s">
        <v>3909</v>
      </c>
      <c r="K506" s="0" t="n">
        <f aca="false">IF(M506=2,"",IF(ISNUMBER(SEARCH("rata-rata:",'Offshore - Sydney'!N970)),VALUE(MID('Offshore - Sydney'!N970,SEARCH("rata-rata:",'Offshore - Sydney'!N970)+11,FIND(";",'Offshore - Sydney'!N970&amp;";",SEARCH("rata-rata:",'Offshore - Sydney'!N970))-SEARCH("rata-rata:",'Offshore - Sydney'!N970)-11)),IF('Offshore - Sydney'!D970="Semester",'Offshore - Sydney'!E970*2,IF('Offshore - Sydney'!D970="Trimester",'Offshore - Sydney'!E970*3,IF('Offshore - Sydney'!D970="Term",'Offshore - Sydney'!E970*4,IF('Offshore - Sydney'!D970="Unit",'Offshore - Sydney'!E970*8,""))))))</f>
        <v>13000</v>
      </c>
      <c r="L506" s="0" t="n">
        <f aca="false">IF(AND(ISNUMBER('Offshore - Sydney'!E970),ISNUMBER(K506),ISNUMBER('Offshore - Sydney'!F970),ISNUMBER('Offshore - Sydney'!G970),OR('Offshore - Sydney'!F970&lt;&gt;0,ISNUMBER(SEARCH("Material 0 terverifikasi",'Offshore - Sydney'!N970))),OR('Offshore - Sydney'!G970&lt;&gt;0,ISNUMBER(SEARCH("Enrolment 0 terverifikasi",'Offshore - Sydney'!N970)))),1,0)</f>
        <v>1</v>
      </c>
      <c r="M506" s="0" t="n">
        <f aca="false">IF(OR('Offshore - Sydney'!E970="",ISNUMBER(SEARCH("BSB80120",'Offshore - Sydney'!B970&amp;'Offshore - Sydney'!N970)),ISNUMBER(SEARCH("Management (Learning)",'Offshore - Sydney'!B970))),2,IF(ISNUMBER(SEARCH("CEK:",'Offshore - Sydney'!N970)),1,0))</f>
        <v>0</v>
      </c>
    </row>
    <row r="507" customFormat="false" ht="15" hidden="false" customHeight="false" outlineLevel="0" collapsed="false">
      <c r="A507" s="63" t="s">
        <v>3533</v>
      </c>
      <c r="B507" s="64" t="s">
        <v>3833</v>
      </c>
      <c r="C507" s="63" t="s">
        <v>42</v>
      </c>
      <c r="D507" s="64" t="str">
        <f aca="false">TRIM(LEFT('Offshore - Sydney'!A481,FIND(CHAR(10),'Offshore - Sydney'!A481&amp;CHAR(10))-1))</f>
        <v>Hunter Education Group</v>
      </c>
      <c r="E507" s="63" t="str">
        <f aca="false">'Offshore - Sydney'!C483&amp;""</f>
        <v>2,5 years</v>
      </c>
      <c r="F507" s="63" t="str">
        <f aca="false">IF('Offshore - Sydney'!D483="","Belum tercatat",'Offshore - Sydney'!D483)</f>
        <v>Term</v>
      </c>
      <c r="G507" s="65" t="n">
        <f aca="false">IF('Offshore - Sydney'!E483="","-",'Offshore - Sydney'!E483)</f>
        <v>4500</v>
      </c>
      <c r="H507" s="63" t="n">
        <f aca="false">IF(ISNUMBER(K507),COUNTIFS($J$6:$J$1854,J507,$K$6:$K$1854,"&lt;"&amp;K507)+1,"-")</f>
        <v>44</v>
      </c>
      <c r="I507" s="64" t="str">
        <f aca="false">IF('Offshore - Sydney'!E483="","Harga belum tersedia - hubungi konsultan TEG",IF(M507=2,"Saat ini tidak menerima pendaftaran siswa internasional baru",IF(M507=1,"Program perlu dikonfirmasi ketersediaannya"&amp;IF(""="","","; "&amp;""),"")))</f>
        <v>Program perlu dikonfirmasi ketersediaannya</v>
      </c>
      <c r="J507" s="0" t="s">
        <v>3909</v>
      </c>
      <c r="K507" s="0" t="n">
        <f aca="false">IF(M507=2,"",IF(ISNUMBER(SEARCH("rata-rata:",'Offshore - Sydney'!N483)),VALUE(MID('Offshore - Sydney'!N483,SEARCH("rata-rata:",'Offshore - Sydney'!N483)+11,FIND(";",'Offshore - Sydney'!N483&amp;";",SEARCH("rata-rata:",'Offshore - Sydney'!N483))-SEARCH("rata-rata:",'Offshore - Sydney'!N483)-11)),IF('Offshore - Sydney'!D483="Semester",'Offshore - Sydney'!E483*2,IF('Offshore - Sydney'!D483="Trimester",'Offshore - Sydney'!E483*3,IF('Offshore - Sydney'!D483="Term",'Offshore - Sydney'!E483*4,IF('Offshore - Sydney'!D483="Unit",'Offshore - Sydney'!E483*8,""))))))</f>
        <v>18000</v>
      </c>
      <c r="L507" s="0" t="n">
        <f aca="false">IF(AND(ISNUMBER('Offshore - Sydney'!E483),ISNUMBER(K507),ISNUMBER('Offshore - Sydney'!F483),ISNUMBER('Offshore - Sydney'!G483),OR('Offshore - Sydney'!F483&lt;&gt;0,ISNUMBER(SEARCH("Material 0 terverifikasi",'Offshore - Sydney'!N483))),OR('Offshore - Sydney'!G483&lt;&gt;0,ISNUMBER(SEARCH("Enrolment 0 terverifikasi",'Offshore - Sydney'!N483)))),1,0)</f>
        <v>0</v>
      </c>
      <c r="M507" s="0" t="n">
        <f aca="false">IF(OR('Offshore - Sydney'!E483="",ISNUMBER(SEARCH("BSB80120",'Offshore - Sydney'!B483&amp;'Offshore - Sydney'!N483)),ISNUMBER(SEARCH("Management (Learning)",'Offshore - Sydney'!B483))),2,IF(ISNUMBER(SEARCH("CEK:",'Offshore - Sydney'!N483)),1,0))</f>
        <v>1</v>
      </c>
    </row>
    <row r="508" customFormat="false" ht="15" hidden="false" customHeight="false" outlineLevel="0" collapsed="false">
      <c r="A508" s="63" t="s">
        <v>3533</v>
      </c>
      <c r="B508" s="64" t="s">
        <v>3833</v>
      </c>
      <c r="C508" s="63" t="s">
        <v>42</v>
      </c>
      <c r="D508" s="64" t="str">
        <f aca="false">TRIM(LEFT('Offshore - Sydney'!A814,FIND(CHAR(10),'Offshore - Sydney'!A814&amp;CHAR(10))-1))</f>
        <v>Torrens University Australia</v>
      </c>
      <c r="E508" s="63" t="str">
        <f aca="false">'Offshore - Sydney'!C910&amp;""</f>
        <v>2 years</v>
      </c>
      <c r="F508" s="63" t="str">
        <f aca="false">IF('Offshore - Sydney'!D910="","Belum tercatat",'Offshore - Sydney'!D910)</f>
        <v>Term</v>
      </c>
      <c r="G508" s="65" t="n">
        <f aca="false">IF('Offshore - Sydney'!E910="","-",'Offshore - Sydney'!E910)</f>
        <v>9372</v>
      </c>
      <c r="H508" s="63" t="n">
        <f aca="false">IF(ISNUMBER(K508),COUNTIFS($J$6:$J$1854,J508,$K$6:$K$1854,"&lt;"&amp;K508)+1,"-")</f>
        <v>45</v>
      </c>
      <c r="I508" s="64" t="str">
        <f aca="false">IF('Offshore - Sydney'!E910="","Harga belum tersedia - hubungi konsultan TEG",IF(M508=2,"Saat ini tidak menerima pendaftaran siswa internasional baru",IF(M508=1,"Harga perlu dikonfirmasi ke sekolah"&amp;IF(""="","","; "&amp;""),"")))</f>
        <v/>
      </c>
      <c r="J508" s="0" t="s">
        <v>3909</v>
      </c>
      <c r="K508" s="0" t="n">
        <f aca="false">IF(M508=2,"",IF(ISNUMBER(SEARCH("rata-rata:",'Offshore - Sydney'!N910)),VALUE(MID('Offshore - Sydney'!N910,SEARCH("rata-rata:",'Offshore - Sydney'!N910)+11,FIND(";",'Offshore - Sydney'!N910&amp;";",SEARCH("rata-rata:",'Offshore - Sydney'!N910))-SEARCH("rata-rata:",'Offshore - Sydney'!N910)-11)),IF('Offshore - Sydney'!D910="Semester",'Offshore - Sydney'!E910*2,IF('Offshore - Sydney'!D910="Trimester",'Offshore - Sydney'!E910*3,IF('Offshore - Sydney'!D910="Term",'Offshore - Sydney'!E910*4,IF('Offshore - Sydney'!D910="Unit",'Offshore - Sydney'!E910*8,""))))))</f>
        <v>37488</v>
      </c>
      <c r="L508" s="0" t="n">
        <f aca="false">IF(AND(ISNUMBER('Offshore - Sydney'!E910),ISNUMBER(K508),ISNUMBER('Offshore - Sydney'!F910),ISNUMBER('Offshore - Sydney'!G910),OR('Offshore - Sydney'!F910&lt;&gt;0,ISNUMBER(SEARCH("Material 0 terverifikasi",'Offshore - Sydney'!N910))),OR('Offshore - Sydney'!G910&lt;&gt;0,ISNUMBER(SEARCH("Enrolment 0 terverifikasi",'Offshore - Sydney'!N910)))),1,0)</f>
        <v>0</v>
      </c>
      <c r="M508" s="0" t="n">
        <f aca="false">IF(OR('Offshore - Sydney'!E910="",ISNUMBER(SEARCH("BSB80120",'Offshore - Sydney'!B910&amp;'Offshore - Sydney'!N910)),ISNUMBER(SEARCH("Management (Learning)",'Offshore - Sydney'!B910))),2,IF(ISNUMBER(SEARCH("CEK:",'Offshore - Sydney'!N910)),1,0))</f>
        <v>0</v>
      </c>
    </row>
    <row r="509" customFormat="false" ht="15" hidden="false" customHeight="false" outlineLevel="0" collapsed="false">
      <c r="A509" s="61" t="s">
        <v>3910</v>
      </c>
      <c r="B509" s="62"/>
      <c r="C509" s="62"/>
      <c r="D509" s="62"/>
      <c r="E509" s="62"/>
      <c r="F509" s="62"/>
      <c r="G509" s="62"/>
      <c r="H509" s="62"/>
      <c r="I509" s="62"/>
    </row>
    <row r="510" customFormat="false" ht="55.2" hidden="false" customHeight="false" outlineLevel="0" collapsed="false">
      <c r="A510" s="63" t="s">
        <v>3533</v>
      </c>
      <c r="B510" s="64" t="s">
        <v>3833</v>
      </c>
      <c r="C510" s="63" t="s">
        <v>43</v>
      </c>
      <c r="D510" s="64" t="str">
        <f aca="false">TRIM(LEFT('Offshore - Sydney'!A78,FIND(CHAR(10),'Offshore - Sydney'!A78&amp;CHAR(10))-1))</f>
        <v>AIH Higher Education (Australian Institute of Higher Education)</v>
      </c>
      <c r="E510" s="63" t="str">
        <f aca="false">'Offshore - Sydney'!C79&amp;""</f>
        <v>3 years</v>
      </c>
      <c r="F510" s="63" t="str">
        <f aca="false">IF('Offshore - Sydney'!D79="","Belum tercatat",'Offshore - Sydney'!D79)</f>
        <v>Unit</v>
      </c>
      <c r="G510" s="65" t="n">
        <f aca="false">IF('Offshore - Sydney'!E79="","-",'Offshore - Sydney'!E79)</f>
        <v>1560</v>
      </c>
      <c r="H510" s="63" t="n">
        <f aca="false">IF(ISNUMBER(K510),COUNTIFS($J$6:$J$1854,J510,$K$6:$K$1854,"&lt;"&amp;K510)+1,"-")</f>
        <v>1</v>
      </c>
      <c r="I510" s="64" t="str">
        <f aca="false">IF('Offshore - Sydney'!E79="","Harga belum tersedia - hubungi konsultan TEG",IF(M510=2,"Saat ini tidak menerima pendaftaran siswa internasional baru",IF(M510=1,"Harga perlu dikonfirmasi ke sekolah"&amp;IF("Harga promo s.d. 31/12/2026; Harga dihitung per unit; total tergantung jumlah unit yang diambil; Sudah termasuk beasiswa 30% (syarat berlaku)"="","","; "&amp;"Harga promo s.d. 31/12/2026; Harga dihitung per unit; total tergantung jumlah unit yang diambil; Sudah termasuk beasiswa 30% (syarat berlaku)"),"Harga promo s.d. 31/12/2026; Harga dihitung per unit; total tergantung jumlah unit yang diambil; Sudah termasuk beasiswa 30% (syarat berlaku)")))</f>
        <v>Harga promo s.d. 31/12/2026; Harga dihitung per unit; total tergantung jumlah unit yang diambil; Sudah termasuk beasiswa 30% (syarat berlaku)</v>
      </c>
      <c r="J510" s="0" t="s">
        <v>3911</v>
      </c>
      <c r="K510" s="0" t="n">
        <f aca="false">IF(M510=2,"",IF(ISNUMBER(SEARCH("rata-rata:",'Offshore - Sydney'!N79)),VALUE(MID('Offshore - Sydney'!N79,SEARCH("rata-rata:",'Offshore - Sydney'!N79)+11,FIND(";",'Offshore - Sydney'!N79&amp;";",SEARCH("rata-rata:",'Offshore - Sydney'!N79))-SEARCH("rata-rata:",'Offshore - Sydney'!N79)-11)),IF('Offshore - Sydney'!D79="Semester",'Offshore - Sydney'!E79*2,IF('Offshore - Sydney'!D79="Trimester",'Offshore - Sydney'!E79*3,IF('Offshore - Sydney'!D79="Term",'Offshore - Sydney'!E79*4,IF('Offshore - Sydney'!D79="Unit",'Offshore - Sydney'!E79*8,""))))))</f>
        <v>12480</v>
      </c>
      <c r="L510" s="0" t="n">
        <f aca="false">IF(AND(ISNUMBER('Offshore - Sydney'!E79),ISNUMBER(K510),ISNUMBER('Offshore - Sydney'!F79),ISNUMBER('Offshore - Sydney'!G79),OR('Offshore - Sydney'!F79&lt;&gt;0,ISNUMBER(SEARCH("Material 0 terverifikasi",'Offshore - Sydney'!N79))),OR('Offshore - Sydney'!G79&lt;&gt;0,ISNUMBER(SEARCH("Enrolment 0 terverifikasi",'Offshore - Sydney'!N79)))),1,0)</f>
        <v>1</v>
      </c>
      <c r="M510" s="0" t="n">
        <f aca="false">IF(OR('Offshore - Sydney'!E79="",ISNUMBER(SEARCH("BSB80120",'Offshore - Sydney'!B79&amp;'Offshore - Sydney'!N79)),ISNUMBER(SEARCH("Management (Learning)",'Offshore - Sydney'!B79))),2,IF(ISNUMBER(SEARCH("CEK:",'Offshore - Sydney'!N79)),1,0))</f>
        <v>0</v>
      </c>
    </row>
    <row r="511" customFormat="false" ht="15" hidden="false" customHeight="false" outlineLevel="0" collapsed="false">
      <c r="A511" s="63" t="s">
        <v>3533</v>
      </c>
      <c r="B511" s="64" t="s">
        <v>3833</v>
      </c>
      <c r="C511" s="63" t="s">
        <v>43</v>
      </c>
      <c r="D511" s="64" t="str">
        <f aca="false">TRIM(LEFT('Offshore - Sydney'!A131,FIND(CHAR(10),'Offshore - Sydney'!A131&amp;CHAR(10))-1))</f>
        <v>Asia Pacific International College (APIC)</v>
      </c>
      <c r="E511" s="63" t="str">
        <f aca="false">'Offshore - Sydney'!C134&amp;""</f>
        <v>3 years</v>
      </c>
      <c r="F511" s="63" t="str">
        <f aca="false">IF('Offshore - Sydney'!D134="","Belum tercatat",'Offshore - Sydney'!D134)</f>
        <v>Trimester</v>
      </c>
      <c r="G511" s="65" t="n">
        <f aca="false">IF('Offshore - Sydney'!E134="","-",'Offshore - Sydney'!E134)</f>
        <v>4500</v>
      </c>
      <c r="H511" s="63" t="n">
        <f aca="false">IF(ISNUMBER(K511),COUNTIFS($J$6:$J$1854,J511,$K$6:$K$1854,"&lt;"&amp;K511)+1,"-")</f>
        <v>2</v>
      </c>
      <c r="I511" s="64" t="str">
        <f aca="false">IF('Offshore - Sydney'!E134="","Harga belum tersedia - hubungi konsultan TEG",IF(M511=2,"Saat ini tidak menerima pendaftaran siswa internasional baru",IF(M511=1,"Harga perlu dikonfirmasi ke sekolah"&amp;IF("Harga promo s.d. 31/12/2026"="","","; "&amp;"Harga promo s.d. 31/12/2026"),"Harga promo s.d. 31/12/2026")))</f>
        <v>Harga promo s.d. 31/12/2026</v>
      </c>
      <c r="J511" s="0" t="s">
        <v>3911</v>
      </c>
      <c r="K511" s="0" t="n">
        <f aca="false">IF(M511=2,"",IF(ISNUMBER(SEARCH("rata-rata:",'Offshore - Sydney'!N134)),VALUE(MID('Offshore - Sydney'!N134,SEARCH("rata-rata:",'Offshore - Sydney'!N134)+11,FIND(";",'Offshore - Sydney'!N134&amp;";",SEARCH("rata-rata:",'Offshore - Sydney'!N134))-SEARCH("rata-rata:",'Offshore - Sydney'!N134)-11)),IF('Offshore - Sydney'!D134="Semester",'Offshore - Sydney'!E134*2,IF('Offshore - Sydney'!D134="Trimester",'Offshore - Sydney'!E134*3,IF('Offshore - Sydney'!D134="Term",'Offshore - Sydney'!E134*4,IF('Offshore - Sydney'!D134="Unit",'Offshore - Sydney'!E134*8,""))))))</f>
        <v>13500</v>
      </c>
      <c r="L511" s="0" t="n">
        <f aca="false">IF(AND(ISNUMBER('Offshore - Sydney'!E134),ISNUMBER(K511),ISNUMBER('Offshore - Sydney'!F134),ISNUMBER('Offshore - Sydney'!G134),OR('Offshore - Sydney'!F134&lt;&gt;0,ISNUMBER(SEARCH("Material 0 terverifikasi",'Offshore - Sydney'!N134))),OR('Offshore - Sydney'!G134&lt;&gt;0,ISNUMBER(SEARCH("Enrolment 0 terverifikasi",'Offshore - Sydney'!N134)))),1,0)</f>
        <v>0</v>
      </c>
      <c r="M511" s="0" t="n">
        <f aca="false">IF(OR('Offshore - Sydney'!E134="",ISNUMBER(SEARCH("BSB80120",'Offshore - Sydney'!B134&amp;'Offshore - Sydney'!N134)),ISNUMBER(SEARCH("Management (Learning)",'Offshore - Sydney'!B134))),2,IF(ISNUMBER(SEARCH("CEK:",'Offshore - Sydney'!N134)),1,0))</f>
        <v>0</v>
      </c>
    </row>
    <row r="512" customFormat="false" ht="15" hidden="false" customHeight="false" outlineLevel="0" collapsed="false">
      <c r="A512" s="63" t="s">
        <v>3533</v>
      </c>
      <c r="B512" s="64" t="s">
        <v>3833</v>
      </c>
      <c r="C512" s="63" t="s">
        <v>43</v>
      </c>
      <c r="D512" s="64" t="str">
        <f aca="false">TRIM(LEFT('Offshore - Sydney'!A144,FIND(CHAR(10),'Offshore - Sydney'!A144&amp;CHAR(10))-1))</f>
        <v>Astra Institute of Higher Education</v>
      </c>
      <c r="E512" s="63" t="str">
        <f aca="false">'Offshore - Sydney'!C144&amp;""</f>
        <v>3 years</v>
      </c>
      <c r="F512" s="63" t="str">
        <f aca="false">IF('Offshore - Sydney'!D144="","Belum tercatat",'Offshore - Sydney'!D144)</f>
        <v>Trimester</v>
      </c>
      <c r="G512" s="65" t="n">
        <f aca="false">IF('Offshore - Sydney'!E144="","-",'Offshore - Sydney'!E144)</f>
        <v>4800</v>
      </c>
      <c r="H512" s="63" t="n">
        <f aca="false">IF(ISNUMBER(K512),COUNTIFS($J$6:$J$1854,J512,$K$6:$K$1854,"&lt;"&amp;K512)+1,"-")</f>
        <v>3</v>
      </c>
      <c r="I512" s="64" t="str">
        <f aca="false">IF('Offshore - Sydney'!E144="","Harga belum tersedia - hubungi konsultan TEG",IF(M512=2,"Saat ini tidak menerima pendaftaran siswa internasional baru",IF(M512=1,"Harga perlu dikonfirmasi ke sekolah"&amp;IF(""="","","; "&amp;""),"")))</f>
        <v/>
      </c>
      <c r="J512" s="0" t="s">
        <v>3911</v>
      </c>
      <c r="K512" s="0" t="n">
        <f aca="false">IF(M512=2,"",IF(ISNUMBER(SEARCH("rata-rata:",'Offshore - Sydney'!N144)),VALUE(MID('Offshore - Sydney'!N144,SEARCH("rata-rata:",'Offshore - Sydney'!N144)+11,FIND(";",'Offshore - Sydney'!N144&amp;";",SEARCH("rata-rata:",'Offshore - Sydney'!N144))-SEARCH("rata-rata:",'Offshore - Sydney'!N144)-11)),IF('Offshore - Sydney'!D144="Semester",'Offshore - Sydney'!E144*2,IF('Offshore - Sydney'!D144="Trimester",'Offshore - Sydney'!E144*3,IF('Offshore - Sydney'!D144="Term",'Offshore - Sydney'!E144*4,IF('Offshore - Sydney'!D144="Unit",'Offshore - Sydney'!E144*8,""))))))</f>
        <v>14400</v>
      </c>
      <c r="L512" s="0" t="n">
        <f aca="false">IF(AND(ISNUMBER('Offshore - Sydney'!E144),ISNUMBER(K512),ISNUMBER('Offshore - Sydney'!F144),ISNUMBER('Offshore - Sydney'!G144),OR('Offshore - Sydney'!F144&lt;&gt;0,ISNUMBER(SEARCH("Material 0 terverifikasi",'Offshore - Sydney'!N144))),OR('Offshore - Sydney'!G144&lt;&gt;0,ISNUMBER(SEARCH("Enrolment 0 terverifikasi",'Offshore - Sydney'!N144)))),1,0)</f>
        <v>1</v>
      </c>
      <c r="M512" s="0" t="n">
        <f aca="false">IF(OR('Offshore - Sydney'!E144="",ISNUMBER(SEARCH("BSB80120",'Offshore - Sydney'!B144&amp;'Offshore - Sydney'!N144)),ISNUMBER(SEARCH("Management (Learning)",'Offshore - Sydney'!B144))),2,IF(ISNUMBER(SEARCH("CEK:",'Offshore - Sydney'!N144)),1,0))</f>
        <v>0</v>
      </c>
    </row>
    <row r="513" customFormat="false" ht="15" hidden="false" customHeight="false" outlineLevel="0" collapsed="false">
      <c r="A513" s="63" t="s">
        <v>3533</v>
      </c>
      <c r="B513" s="64" t="s">
        <v>3833</v>
      </c>
      <c r="C513" s="63" t="s">
        <v>43</v>
      </c>
      <c r="D513" s="64" t="str">
        <f aca="false">TRIM(LEFT('Offshore - Sydney'!A382,FIND(CHAR(10),'Offshore - Sydney'!A382&amp;CHAR(10))-1))</f>
        <v>CIHE Australia</v>
      </c>
      <c r="E513" s="63" t="str">
        <f aca="false">'Offshore - Sydney'!C395&amp;""</f>
        <v>3 years</v>
      </c>
      <c r="F513" s="63" t="str">
        <f aca="false">IF('Offshore - Sydney'!D395="","Belum tercatat",'Offshore - Sydney'!D395)</f>
        <v>Term</v>
      </c>
      <c r="G513" s="65" t="n">
        <f aca="false">IF('Offshore - Sydney'!E395="","-",'Offshore - Sydney'!E395)</f>
        <v>3600</v>
      </c>
      <c r="H513" s="63" t="n">
        <f aca="false">IF(ISNUMBER(K513),COUNTIFS($J$6:$J$1854,J513,$K$6:$K$1854,"&lt;"&amp;K513)+1,"-")</f>
        <v>3</v>
      </c>
      <c r="I513" s="64" t="str">
        <f aca="false">IF('Offshore - Sydney'!E395="","Harga belum tersedia - hubungi konsultan TEG",IF(M513=2,"Saat ini tidak menerima pendaftaran siswa internasional baru",IF(M513=1,"Harga perlu dikonfirmasi ke sekolah"&amp;IF(""="","","; "&amp;""),"")))</f>
        <v>Harga perlu dikonfirmasi ke sekolah</v>
      </c>
      <c r="J513" s="0" t="s">
        <v>3911</v>
      </c>
      <c r="K513" s="0" t="n">
        <f aca="false">IF(M513=2,"",IF(ISNUMBER(SEARCH("rata-rata:",'Offshore - Sydney'!N395)),VALUE(MID('Offshore - Sydney'!N395,SEARCH("rata-rata:",'Offshore - Sydney'!N395)+11,FIND(";",'Offshore - Sydney'!N395&amp;";",SEARCH("rata-rata:",'Offshore - Sydney'!N395))-SEARCH("rata-rata:",'Offshore - Sydney'!N395)-11)),IF('Offshore - Sydney'!D395="Semester",'Offshore - Sydney'!E395*2,IF('Offshore - Sydney'!D395="Trimester",'Offshore - Sydney'!E395*3,IF('Offshore - Sydney'!D395="Term",'Offshore - Sydney'!E395*4,IF('Offshore - Sydney'!D395="Unit",'Offshore - Sydney'!E395*8,""))))))</f>
        <v>14400</v>
      </c>
      <c r="L513" s="0" t="n">
        <f aca="false">IF(AND(ISNUMBER('Offshore - Sydney'!E395),ISNUMBER(K513),ISNUMBER('Offshore - Sydney'!F395),ISNUMBER('Offshore - Sydney'!G395),OR('Offshore - Sydney'!F395&lt;&gt;0,ISNUMBER(SEARCH("Material 0 terverifikasi",'Offshore - Sydney'!N395))),OR('Offshore - Sydney'!G395&lt;&gt;0,ISNUMBER(SEARCH("Enrolment 0 terverifikasi",'Offshore - Sydney'!N395)))),1,0)</f>
        <v>1</v>
      </c>
      <c r="M513" s="0" t="n">
        <f aca="false">IF(OR('Offshore - Sydney'!E395="",ISNUMBER(SEARCH("BSB80120",'Offshore - Sydney'!B395&amp;'Offshore - Sydney'!N395)),ISNUMBER(SEARCH("Management (Learning)",'Offshore - Sydney'!B395))),2,IF(ISNUMBER(SEARCH("CEK:",'Offshore - Sydney'!N395)),1,0))</f>
        <v>1</v>
      </c>
    </row>
    <row r="514" customFormat="false" ht="15" hidden="false" customHeight="false" outlineLevel="0" collapsed="false">
      <c r="A514" s="63" t="s">
        <v>3533</v>
      </c>
      <c r="B514" s="64" t="s">
        <v>3833</v>
      </c>
      <c r="C514" s="63" t="s">
        <v>43</v>
      </c>
      <c r="D514" s="64" t="str">
        <f aca="false">TRIM(LEFT('Offshore - Sydney'!A344,FIND(CHAR(10),'Offshore - Sydney'!A344&amp;CHAR(10))-1))</f>
        <v>Canterbury Institute of Management (CIM)</v>
      </c>
      <c r="E514" s="63" t="str">
        <f aca="false">'Offshore - Sydney'!C344&amp;""</f>
        <v>3 years</v>
      </c>
      <c r="F514" s="63" t="str">
        <f aca="false">IF('Offshore - Sydney'!D344="","Belum tercatat",'Offshore - Sydney'!D344)</f>
        <v>Semester</v>
      </c>
      <c r="G514" s="65" t="n">
        <f aca="false">IF('Offshore - Sydney'!E344="","-",'Offshore - Sydney'!E344)</f>
        <v>8000</v>
      </c>
      <c r="H514" s="63" t="n">
        <f aca="false">IF(ISNUMBER(K514),COUNTIFS($J$6:$J$1854,J514,$K$6:$K$1854,"&lt;"&amp;K514)+1,"-")</f>
        <v>5</v>
      </c>
      <c r="I514" s="64" t="str">
        <f aca="false">IF('Offshore - Sydney'!E344="","Harga belum tersedia - hubungi konsultan TEG",IF(M514=2,"Saat ini tidak menerima pendaftaran siswa internasional baru",IF(M514=1,"Harga perlu dikonfirmasi ke sekolah"&amp;IF(""="","","; "&amp;""),"")))</f>
        <v>Harga perlu dikonfirmasi ke sekolah</v>
      </c>
      <c r="J514" s="0" t="s">
        <v>3911</v>
      </c>
      <c r="K514" s="0" t="n">
        <f aca="false">IF(M514=2,"",IF(ISNUMBER(SEARCH("rata-rata:",'Offshore - Sydney'!N344)),VALUE(MID('Offshore - Sydney'!N344,SEARCH("rata-rata:",'Offshore - Sydney'!N344)+11,FIND(";",'Offshore - Sydney'!N344&amp;";",SEARCH("rata-rata:",'Offshore - Sydney'!N344))-SEARCH("rata-rata:",'Offshore - Sydney'!N344)-11)),IF('Offshore - Sydney'!D344="Semester",'Offshore - Sydney'!E344*2,IF('Offshore - Sydney'!D344="Trimester",'Offshore - Sydney'!E344*3,IF('Offshore - Sydney'!D344="Term",'Offshore - Sydney'!E344*4,IF('Offshore - Sydney'!D344="Unit",'Offshore - Sydney'!E344*8,""))))))</f>
        <v>16000</v>
      </c>
      <c r="L514" s="0" t="n">
        <f aca="false">IF(AND(ISNUMBER('Offshore - Sydney'!E344),ISNUMBER(K514),ISNUMBER('Offshore - Sydney'!F344),ISNUMBER('Offshore - Sydney'!G344),OR('Offshore - Sydney'!F344&lt;&gt;0,ISNUMBER(SEARCH("Material 0 terverifikasi",'Offshore - Sydney'!N344))),OR('Offshore - Sydney'!G344&lt;&gt;0,ISNUMBER(SEARCH("Enrolment 0 terverifikasi",'Offshore - Sydney'!N344)))),1,0)</f>
        <v>0</v>
      </c>
      <c r="M514" s="0" t="n">
        <f aca="false">IF(OR('Offshore - Sydney'!E344="",ISNUMBER(SEARCH("BSB80120",'Offshore - Sydney'!B344&amp;'Offshore - Sydney'!N344)),ISNUMBER(SEARCH("Management (Learning)",'Offshore - Sydney'!B344))),2,IF(ISNUMBER(SEARCH("CEK:",'Offshore - Sydney'!N344)),1,0))</f>
        <v>1</v>
      </c>
    </row>
    <row r="515" customFormat="false" ht="15" hidden="false" customHeight="false" outlineLevel="0" collapsed="false">
      <c r="A515" s="63" t="s">
        <v>3533</v>
      </c>
      <c r="B515" s="64" t="s">
        <v>3833</v>
      </c>
      <c r="C515" s="63" t="s">
        <v>43</v>
      </c>
      <c r="D515" s="64" t="str">
        <f aca="false">TRIM(LEFT('Offshore - Sydney'!A791,FIND(CHAR(10),'Offshore - Sydney'!A791&amp;CHAR(10))-1))</f>
        <v>The Institute of International Studies (TIIS)</v>
      </c>
      <c r="E515" s="63" t="str">
        <f aca="false">'Offshore - Sydney'!C799&amp;""</f>
        <v>3 years</v>
      </c>
      <c r="F515" s="63" t="str">
        <f aca="false">IF('Offshore - Sydney'!D799="","Belum tercatat",'Offshore - Sydney'!D799)</f>
        <v>Term</v>
      </c>
      <c r="G515" s="65" t="n">
        <f aca="false">IF('Offshore - Sydney'!E799="","-",'Offshore - Sydney'!E799)</f>
        <v>4300</v>
      </c>
      <c r="H515" s="63" t="n">
        <f aca="false">IF(ISNUMBER(K515),COUNTIFS($J$6:$J$1854,J515,$K$6:$K$1854,"&lt;"&amp;K515)+1,"-")</f>
        <v>6</v>
      </c>
      <c r="I515" s="64" t="str">
        <f aca="false">IF('Offshore - Sydney'!E799="","Harga belum tersedia - hubungi konsultan TEG",IF(M515=2,"Saat ini tidak menerima pendaftaran siswa internasional baru",IF(M515=1,"Harga perlu dikonfirmasi ke sekolah"&amp;IF(""="","","; "&amp;""),"")))</f>
        <v/>
      </c>
      <c r="J515" s="0" t="s">
        <v>3911</v>
      </c>
      <c r="K515" s="0" t="n">
        <f aca="false">IF(M515=2,"",IF(ISNUMBER(SEARCH("rata-rata:",'Offshore - Sydney'!N799)),VALUE(MID('Offshore - Sydney'!N799,SEARCH("rata-rata:",'Offshore - Sydney'!N799)+11,FIND(";",'Offshore - Sydney'!N799&amp;";",SEARCH("rata-rata:",'Offshore - Sydney'!N799))-SEARCH("rata-rata:",'Offshore - Sydney'!N799)-11)),IF('Offshore - Sydney'!D799="Semester",'Offshore - Sydney'!E799*2,IF('Offshore - Sydney'!D799="Trimester",'Offshore - Sydney'!E799*3,IF('Offshore - Sydney'!D799="Term",'Offshore - Sydney'!E799*4,IF('Offshore - Sydney'!D799="Unit",'Offshore - Sydney'!E799*8,""))))))</f>
        <v>17200</v>
      </c>
      <c r="L515" s="0" t="n">
        <f aca="false">IF(AND(ISNUMBER('Offshore - Sydney'!E799),ISNUMBER(K515),ISNUMBER('Offshore - Sydney'!F799),ISNUMBER('Offshore - Sydney'!G799),OR('Offshore - Sydney'!F799&lt;&gt;0,ISNUMBER(SEARCH("Material 0 terverifikasi",'Offshore - Sydney'!N799))),OR('Offshore - Sydney'!G799&lt;&gt;0,ISNUMBER(SEARCH("Enrolment 0 terverifikasi",'Offshore - Sydney'!N799)))),1,0)</f>
        <v>0</v>
      </c>
      <c r="M515" s="0" t="n">
        <f aca="false">IF(OR('Offshore - Sydney'!E799="",ISNUMBER(SEARCH("BSB80120",'Offshore - Sydney'!B799&amp;'Offshore - Sydney'!N799)),ISNUMBER(SEARCH("Management (Learning)",'Offshore - Sydney'!B799))),2,IF(ISNUMBER(SEARCH("CEK:",'Offshore - Sydney'!N799)),1,0))</f>
        <v>0</v>
      </c>
    </row>
    <row r="516" customFormat="false" ht="15" hidden="false" customHeight="false" outlineLevel="0" collapsed="false">
      <c r="A516" s="63" t="s">
        <v>3533</v>
      </c>
      <c r="B516" s="64" t="s">
        <v>3833</v>
      </c>
      <c r="C516" s="63" t="s">
        <v>43</v>
      </c>
      <c r="D516" s="64" t="str">
        <f aca="false">TRIM(LEFT('Offshore - Sydney'!A721,FIND(CHAR(10),'Offshore - Sydney'!A721&amp;CHAR(10))-1))</f>
        <v>TAFE NSW</v>
      </c>
      <c r="E516" s="63" t="str">
        <f aca="false">'Offshore - Sydney'!C733&amp;""</f>
        <v>3 years</v>
      </c>
      <c r="F516" s="63" t="str">
        <f aca="false">IF('Offshore - Sydney'!D733="","Belum tercatat",'Offshore - Sydney'!D733)</f>
        <v>Term</v>
      </c>
      <c r="G516" s="65" t="n">
        <f aca="false">IF('Offshore - Sydney'!E733="","-",'Offshore - Sydney'!E733)</f>
        <v>4340</v>
      </c>
      <c r="H516" s="63" t="n">
        <f aca="false">IF(ISNUMBER(K516),COUNTIFS($J$6:$J$1854,J516,$K$6:$K$1854,"&lt;"&amp;K516)+1,"-")</f>
        <v>7</v>
      </c>
      <c r="I516" s="64" t="str">
        <f aca="false">IF('Offshore - Sydney'!E733="","Harga belum tersedia - hubungi konsultan TEG",IF(M516=2,"Saat ini tidak menerima pendaftaran siswa internasional baru",IF(M516=1,"Harga perlu dikonfirmasi ke sekolah"&amp;IF(""="","","; "&amp;""),"")))</f>
        <v/>
      </c>
      <c r="J516" s="0" t="s">
        <v>3911</v>
      </c>
      <c r="K516" s="0" t="n">
        <f aca="false">IF(M516=2,"",IF(ISNUMBER(SEARCH("rata-rata:",'Offshore - Sydney'!N733)),VALUE(MID('Offshore - Sydney'!N733,SEARCH("rata-rata:",'Offshore - Sydney'!N733)+11,FIND(";",'Offshore - Sydney'!N733&amp;";",SEARCH("rata-rata:",'Offshore - Sydney'!N733))-SEARCH("rata-rata:",'Offshore - Sydney'!N733)-11)),IF('Offshore - Sydney'!D733="Semester",'Offshore - Sydney'!E733*2,IF('Offshore - Sydney'!D733="Trimester",'Offshore - Sydney'!E733*3,IF('Offshore - Sydney'!D733="Term",'Offshore - Sydney'!E733*4,IF('Offshore - Sydney'!D733="Unit",'Offshore - Sydney'!E733*8,""))))))</f>
        <v>17360</v>
      </c>
      <c r="L516" s="0" t="n">
        <f aca="false">IF(AND(ISNUMBER('Offshore - Sydney'!E733),ISNUMBER(K516),ISNUMBER('Offshore - Sydney'!F733),ISNUMBER('Offshore - Sydney'!G733),OR('Offshore - Sydney'!F733&lt;&gt;0,ISNUMBER(SEARCH("Material 0 terverifikasi",'Offshore - Sydney'!N733))),OR('Offshore - Sydney'!G733&lt;&gt;0,ISNUMBER(SEARCH("Enrolment 0 terverifikasi",'Offshore - Sydney'!N733)))),1,0)</f>
        <v>0</v>
      </c>
      <c r="M516" s="0" t="n">
        <f aca="false">IF(OR('Offshore - Sydney'!E733="",ISNUMBER(SEARCH("BSB80120",'Offshore - Sydney'!B733&amp;'Offshore - Sydney'!N733)),ISNUMBER(SEARCH("Management (Learning)",'Offshore - Sydney'!B733))),2,IF(ISNUMBER(SEARCH("CEK:",'Offshore - Sydney'!N733)),1,0))</f>
        <v>0</v>
      </c>
    </row>
    <row r="517" customFormat="false" ht="28.35" hidden="false" customHeight="false" outlineLevel="0" collapsed="false">
      <c r="A517" s="63" t="s">
        <v>3533</v>
      </c>
      <c r="B517" s="64" t="s">
        <v>3833</v>
      </c>
      <c r="C517" s="63" t="s">
        <v>43</v>
      </c>
      <c r="D517" s="64" t="str">
        <f aca="false">TRIM(LEFT('Offshore - Sydney'!A590,FIND(CHAR(10),'Offshore - Sydney'!A590&amp;CHAR(10))-1))</f>
        <v>National Academy of Professional Studies (NAPS)</v>
      </c>
      <c r="E517" s="63" t="str">
        <f aca="false">'Offshore - Sydney'!C596&amp;""</f>
        <v>3 years</v>
      </c>
      <c r="F517" s="63" t="str">
        <f aca="false">IF('Offshore - Sydney'!D596="","Belum tercatat",'Offshore - Sydney'!D596)</f>
        <v>Term</v>
      </c>
      <c r="G517" s="65" t="n">
        <f aca="false">IF('Offshore - Sydney'!E596="","-",'Offshore - Sydney'!E596)</f>
        <v>4500</v>
      </c>
      <c r="H517" s="63" t="n">
        <f aca="false">IF(ISNUMBER(K517),COUNTIFS($J$6:$J$1854,J517,$K$6:$K$1854,"&lt;"&amp;K517)+1,"-")</f>
        <v>8</v>
      </c>
      <c r="I517" s="64" t="str">
        <f aca="false">IF('Offshore - Sydney'!E596="","Harga belum tersedia - hubungi konsultan TEG",IF(M517=2,"Saat ini tidak menerima pendaftaran siswa internasional baru",IF(M517=1,"Harga perlu dikonfirmasi ke sekolah"&amp;IF(""="","","; "&amp;""),"")))</f>
        <v>Harga perlu dikonfirmasi ke sekolah</v>
      </c>
      <c r="J517" s="0" t="s">
        <v>3911</v>
      </c>
      <c r="K517" s="0" t="n">
        <f aca="false">IF(M517=2,"",IF(ISNUMBER(SEARCH("rata-rata:",'Offshore - Sydney'!N596)),VALUE(MID('Offshore - Sydney'!N596,SEARCH("rata-rata:",'Offshore - Sydney'!N596)+11,FIND(";",'Offshore - Sydney'!N596&amp;";",SEARCH("rata-rata:",'Offshore - Sydney'!N596))-SEARCH("rata-rata:",'Offshore - Sydney'!N596)-11)),IF('Offshore - Sydney'!D596="Semester",'Offshore - Sydney'!E596*2,IF('Offshore - Sydney'!D596="Trimester",'Offshore - Sydney'!E596*3,IF('Offshore - Sydney'!D596="Term",'Offshore - Sydney'!E596*4,IF('Offshore - Sydney'!D596="Unit",'Offshore - Sydney'!E596*8,""))))))</f>
        <v>18000</v>
      </c>
      <c r="L517" s="0" t="n">
        <f aca="false">IF(AND(ISNUMBER('Offshore - Sydney'!E596),ISNUMBER(K517),ISNUMBER('Offshore - Sydney'!F596),ISNUMBER('Offshore - Sydney'!G596),OR('Offshore - Sydney'!F596&lt;&gt;0,ISNUMBER(SEARCH("Material 0 terverifikasi",'Offshore - Sydney'!N596))),OR('Offshore - Sydney'!G596&lt;&gt;0,ISNUMBER(SEARCH("Enrolment 0 terverifikasi",'Offshore - Sydney'!N596)))),1,0)</f>
        <v>1</v>
      </c>
      <c r="M517" s="0" t="n">
        <f aca="false">IF(OR('Offshore - Sydney'!E596="",ISNUMBER(SEARCH("BSB80120",'Offshore - Sydney'!B596&amp;'Offshore - Sydney'!N596)),ISNUMBER(SEARCH("Management (Learning)",'Offshore - Sydney'!B596))),2,IF(ISNUMBER(SEARCH("CEK:",'Offshore - Sydney'!N596)),1,0))</f>
        <v>1</v>
      </c>
    </row>
    <row r="518" customFormat="false" ht="15" hidden="false" customHeight="false" outlineLevel="0" collapsed="false">
      <c r="A518" s="63" t="s">
        <v>3533</v>
      </c>
      <c r="B518" s="64" t="s">
        <v>3833</v>
      </c>
      <c r="C518" s="63" t="s">
        <v>43</v>
      </c>
      <c r="D518" s="64" t="str">
        <f aca="false">TRIM(LEFT('Offshore - Sydney'!A64,FIND(CHAR(10),'Offshore - Sydney'!A64&amp;CHAR(10))-1))</f>
        <v>AIBI Higher Education</v>
      </c>
      <c r="E518" s="63" t="str">
        <f aca="false">'Offshore - Sydney'!C65&amp;""</f>
        <v>3 years</v>
      </c>
      <c r="F518" s="63" t="str">
        <f aca="false">IF('Offshore - Sydney'!D65="","Belum tercatat",'Offshore - Sydney'!D65)</f>
        <v>Term</v>
      </c>
      <c r="G518" s="65" t="n">
        <f aca="false">IF('Offshore - Sydney'!E65="","-",'Offshore - Sydney'!E65)</f>
        <v>4995</v>
      </c>
      <c r="H518" s="63" t="n">
        <f aca="false">IF(ISNUMBER(K518),COUNTIFS($J$6:$J$1854,J518,$K$6:$K$1854,"&lt;"&amp;K518)+1,"-")</f>
        <v>9</v>
      </c>
      <c r="I518" s="64" t="str">
        <f aca="false">IF('Offshore - Sydney'!E65="","Harga belum tersedia - hubungi konsultan TEG",IF(M518=2,"Saat ini tidak menerima pendaftaran siswa internasional baru",IF(M518=1,"Harga perlu dikonfirmasi ke sekolah"&amp;IF(""="","","; "&amp;""),"")))</f>
        <v>Harga perlu dikonfirmasi ke sekolah</v>
      </c>
      <c r="J518" s="0" t="s">
        <v>3911</v>
      </c>
      <c r="K518" s="0" t="n">
        <f aca="false">IF(M518=2,"",IF(ISNUMBER(SEARCH("rata-rata:",'Offshore - Sydney'!N65)),VALUE(MID('Offshore - Sydney'!N65,SEARCH("rata-rata:",'Offshore - Sydney'!N65)+11,FIND(";",'Offshore - Sydney'!N65&amp;";",SEARCH("rata-rata:",'Offshore - Sydney'!N65))-SEARCH("rata-rata:",'Offshore - Sydney'!N65)-11)),IF('Offshore - Sydney'!D65="Semester",'Offshore - Sydney'!E65*2,IF('Offshore - Sydney'!D65="Trimester",'Offshore - Sydney'!E65*3,IF('Offshore - Sydney'!D65="Term",'Offshore - Sydney'!E65*4,IF('Offshore - Sydney'!D65="Unit",'Offshore - Sydney'!E65*8,""))))))</f>
        <v>19980</v>
      </c>
      <c r="L518" s="0" t="n">
        <f aca="false">IF(AND(ISNUMBER('Offshore - Sydney'!E65),ISNUMBER(K518),ISNUMBER('Offshore - Sydney'!F65),ISNUMBER('Offshore - Sydney'!G65),OR('Offshore - Sydney'!F65&lt;&gt;0,ISNUMBER(SEARCH("Material 0 terverifikasi",'Offshore - Sydney'!N65))),OR('Offshore - Sydney'!G65&lt;&gt;0,ISNUMBER(SEARCH("Enrolment 0 terverifikasi",'Offshore - Sydney'!N65)))),1,0)</f>
        <v>0</v>
      </c>
      <c r="M518" s="0" t="n">
        <f aca="false">IF(OR('Offshore - Sydney'!E65="",ISNUMBER(SEARCH("BSB80120",'Offshore - Sydney'!B65&amp;'Offshore - Sydney'!N65)),ISNUMBER(SEARCH("Management (Learning)",'Offshore - Sydney'!B65))),2,IF(ISNUMBER(SEARCH("CEK:",'Offshore - Sydney'!N65)),1,0))</f>
        <v>1</v>
      </c>
    </row>
    <row r="519" customFormat="false" ht="15" hidden="false" customHeight="false" outlineLevel="0" collapsed="false">
      <c r="A519" s="63" t="s">
        <v>3533</v>
      </c>
      <c r="B519" s="64" t="s">
        <v>3833</v>
      </c>
      <c r="C519" s="63" t="s">
        <v>43</v>
      </c>
      <c r="D519" s="64" t="str">
        <f aca="false">TRIM(LEFT('Offshore - Sydney'!A40,FIND(CHAR(10),'Offshore - Sydney'!A40&amp;CHAR(10))-1))</f>
        <v>Academies Australasia</v>
      </c>
      <c r="E519" s="63" t="str">
        <f aca="false">'Offshore - Sydney'!C41&amp;""</f>
        <v>3 years</v>
      </c>
      <c r="F519" s="63" t="str">
        <f aca="false">IF('Offshore - Sydney'!D41="","Belum tercatat",'Offshore - Sydney'!D41)</f>
        <v>Term</v>
      </c>
      <c r="G519" s="65" t="n">
        <f aca="false">IF('Offshore - Sydney'!E41="","-",'Offshore - Sydney'!E41)</f>
        <v>5000</v>
      </c>
      <c r="H519" s="63" t="n">
        <f aca="false">IF(ISNUMBER(K519),COUNTIFS($J$6:$J$1854,J519,$K$6:$K$1854,"&lt;"&amp;K519)+1,"-")</f>
        <v>10</v>
      </c>
      <c r="I519" s="64" t="str">
        <f aca="false">IF('Offshore - Sydney'!E41="","Harga belum tersedia - hubungi konsultan TEG",IF(M519=2,"Saat ini tidak menerima pendaftaran siswa internasional baru",IF(M519=1,"Harga perlu dikonfirmasi ke sekolah"&amp;IF(""="","","; "&amp;""),"")))</f>
        <v/>
      </c>
      <c r="J519" s="0" t="s">
        <v>3911</v>
      </c>
      <c r="K519" s="0" t="n">
        <f aca="false">IF(M519=2,"",IF(ISNUMBER(SEARCH("rata-rata:",'Offshore - Sydney'!N41)),VALUE(MID('Offshore - Sydney'!N41,SEARCH("rata-rata:",'Offshore - Sydney'!N41)+11,FIND(";",'Offshore - Sydney'!N41&amp;";",SEARCH("rata-rata:",'Offshore - Sydney'!N41))-SEARCH("rata-rata:",'Offshore - Sydney'!N41)-11)),IF('Offshore - Sydney'!D41="Semester",'Offshore - Sydney'!E41*2,IF('Offshore - Sydney'!D41="Trimester",'Offshore - Sydney'!E41*3,IF('Offshore - Sydney'!D41="Term",'Offshore - Sydney'!E41*4,IF('Offshore - Sydney'!D41="Unit",'Offshore - Sydney'!E41*8,""))))))</f>
        <v>20000</v>
      </c>
      <c r="L519" s="0" t="n">
        <f aca="false">IF(AND(ISNUMBER('Offshore - Sydney'!E41),ISNUMBER(K519),ISNUMBER('Offshore - Sydney'!F41),ISNUMBER('Offshore - Sydney'!G41),OR('Offshore - Sydney'!F41&lt;&gt;0,ISNUMBER(SEARCH("Material 0 terverifikasi",'Offshore - Sydney'!N41))),OR('Offshore - Sydney'!G41&lt;&gt;0,ISNUMBER(SEARCH("Enrolment 0 terverifikasi",'Offshore - Sydney'!N41)))),1,0)</f>
        <v>1</v>
      </c>
      <c r="M519" s="0" t="n">
        <f aca="false">IF(OR('Offshore - Sydney'!E41="",ISNUMBER(SEARCH("BSB80120",'Offshore - Sydney'!B41&amp;'Offshore - Sydney'!N41)),ISNUMBER(SEARCH("Management (Learning)",'Offshore - Sydney'!B41))),2,IF(ISNUMBER(SEARCH("CEK:",'Offshore - Sydney'!N41)),1,0))</f>
        <v>0</v>
      </c>
    </row>
    <row r="520" customFormat="false" ht="15" hidden="false" customHeight="false" outlineLevel="0" collapsed="false">
      <c r="A520" s="63" t="s">
        <v>3533</v>
      </c>
      <c r="B520" s="64" t="s">
        <v>3833</v>
      </c>
      <c r="C520" s="63" t="s">
        <v>43</v>
      </c>
      <c r="D520" s="64" t="str">
        <f aca="false">TRIM(LEFT('Offshore - Sydney'!A512,FIND(CHAR(10),'Offshore - Sydney'!A512&amp;CHAR(10))-1))</f>
        <v>Kent Institute Australia</v>
      </c>
      <c r="E520" s="63" t="str">
        <f aca="false">'Offshore - Sydney'!C512&amp;""</f>
        <v>3 years</v>
      </c>
      <c r="F520" s="63" t="str">
        <f aca="false">IF('Offshore - Sydney'!D512="","Belum tercatat",'Offshore - Sydney'!D512)</f>
        <v>Trimester</v>
      </c>
      <c r="G520" s="65" t="n">
        <f aca="false">IF('Offshore - Sydney'!E512="","-",'Offshore - Sydney'!E512)</f>
        <v>8240</v>
      </c>
      <c r="H520" s="63" t="n">
        <f aca="false">IF(ISNUMBER(K520),COUNTIFS($J$6:$J$1854,J520,$K$6:$K$1854,"&lt;"&amp;K520)+1,"-")</f>
        <v>11</v>
      </c>
      <c r="I520" s="64" t="str">
        <f aca="false">IF('Offshore - Sydney'!E512="","Harga belum tersedia - hubungi konsultan TEG",IF(M520=2,"Saat ini tidak menerima pendaftaran siswa internasional baru",IF(M520=1,"Harga perlu dikonfirmasi ke sekolah"&amp;IF(""="","","; "&amp;""),"")))</f>
        <v>Harga perlu dikonfirmasi ke sekolah</v>
      </c>
      <c r="J520" s="0" t="s">
        <v>3911</v>
      </c>
      <c r="K520" s="0" t="n">
        <f aca="false">IF(M520=2,"",IF(ISNUMBER(SEARCH("rata-rata:",'Offshore - Sydney'!N512)),VALUE(MID('Offshore - Sydney'!N512,SEARCH("rata-rata:",'Offshore - Sydney'!N512)+11,FIND(";",'Offshore - Sydney'!N512&amp;";",SEARCH("rata-rata:",'Offshore - Sydney'!N512))-SEARCH("rata-rata:",'Offshore - Sydney'!N512)-11)),IF('Offshore - Sydney'!D512="Semester",'Offshore - Sydney'!E512*2,IF('Offshore - Sydney'!D512="Trimester",'Offshore - Sydney'!E512*3,IF('Offshore - Sydney'!D512="Term",'Offshore - Sydney'!E512*4,IF('Offshore - Sydney'!D512="Unit",'Offshore - Sydney'!E512*8,""))))))</f>
        <v>24720</v>
      </c>
      <c r="L520" s="0" t="n">
        <f aca="false">IF(AND(ISNUMBER('Offshore - Sydney'!E512),ISNUMBER(K520),ISNUMBER('Offshore - Sydney'!F512),ISNUMBER('Offshore - Sydney'!G512),OR('Offshore - Sydney'!F512&lt;&gt;0,ISNUMBER(SEARCH("Material 0 terverifikasi",'Offshore - Sydney'!N512))),OR('Offshore - Sydney'!G512&lt;&gt;0,ISNUMBER(SEARCH("Enrolment 0 terverifikasi",'Offshore - Sydney'!N512)))),1,0)</f>
        <v>0</v>
      </c>
      <c r="M520" s="0" t="n">
        <f aca="false">IF(OR('Offshore - Sydney'!E512="",ISNUMBER(SEARCH("BSB80120",'Offshore - Sydney'!B512&amp;'Offshore - Sydney'!N512)),ISNUMBER(SEARCH("Management (Learning)",'Offshore - Sydney'!B512))),2,IF(ISNUMBER(SEARCH("CEK:",'Offshore - Sydney'!N512)),1,0))</f>
        <v>1</v>
      </c>
    </row>
    <row r="521" customFormat="false" ht="15" hidden="false" customHeight="false" outlineLevel="0" collapsed="false">
      <c r="A521" s="63" t="s">
        <v>3533</v>
      </c>
      <c r="B521" s="64" t="s">
        <v>3833</v>
      </c>
      <c r="C521" s="63" t="s">
        <v>43</v>
      </c>
      <c r="D521" s="64" t="str">
        <f aca="false">TRIM(LEFT('Offshore - Sydney'!A814,FIND(CHAR(10),'Offshore - Sydney'!A814&amp;CHAR(10))-1))</f>
        <v>Torrens University Australia</v>
      </c>
      <c r="E521" s="63" t="str">
        <f aca="false">'Offshore - Sydney'!C815&amp;""</f>
        <v>3 years</v>
      </c>
      <c r="F521" s="63" t="str">
        <f aca="false">IF('Offshore - Sydney'!D815="","Belum tercatat",'Offshore - Sydney'!D815)</f>
        <v>Term</v>
      </c>
      <c r="G521" s="65" t="n">
        <f aca="false">IF('Offshore - Sydney'!E815="","-",'Offshore - Sydney'!E815)</f>
        <v>7900</v>
      </c>
      <c r="H521" s="63" t="n">
        <f aca="false">IF(ISNUMBER(K521),COUNTIFS($J$6:$J$1854,J521,$K$6:$K$1854,"&lt;"&amp;K521)+1,"-")</f>
        <v>12</v>
      </c>
      <c r="I521" s="64" t="str">
        <f aca="false">IF('Offshore - Sydney'!E815="","Harga belum tersedia - hubungi konsultan TEG",IF(M521=2,"Saat ini tidak menerima pendaftaran siswa internasional baru",IF(M521=1,"Harga perlu dikonfirmasi ke sekolah"&amp;IF(""="","","; "&amp;""),"")))</f>
        <v/>
      </c>
      <c r="J521" s="0" t="s">
        <v>3911</v>
      </c>
      <c r="K521" s="0" t="n">
        <f aca="false">IF(M521=2,"",IF(ISNUMBER(SEARCH("rata-rata:",'Offshore - Sydney'!N815)),VALUE(MID('Offshore - Sydney'!N815,SEARCH("rata-rata:",'Offshore - Sydney'!N815)+11,FIND(";",'Offshore - Sydney'!N815&amp;";",SEARCH("rata-rata:",'Offshore - Sydney'!N815))-SEARCH("rata-rata:",'Offshore - Sydney'!N815)-11)),IF('Offshore - Sydney'!D815="Semester",'Offshore - Sydney'!E815*2,IF('Offshore - Sydney'!D815="Trimester",'Offshore - Sydney'!E815*3,IF('Offshore - Sydney'!D815="Term",'Offshore - Sydney'!E815*4,IF('Offshore - Sydney'!D815="Unit",'Offshore - Sydney'!E815*8,""))))))</f>
        <v>31600</v>
      </c>
      <c r="L521" s="0" t="n">
        <f aca="false">IF(AND(ISNUMBER('Offshore - Sydney'!E815),ISNUMBER(K521),ISNUMBER('Offshore - Sydney'!F815),ISNUMBER('Offshore - Sydney'!G815),OR('Offshore - Sydney'!F815&lt;&gt;0,ISNUMBER(SEARCH("Material 0 terverifikasi",'Offshore - Sydney'!N815))),OR('Offshore - Sydney'!G815&lt;&gt;0,ISNUMBER(SEARCH("Enrolment 0 terverifikasi",'Offshore - Sydney'!N815)))),1,0)</f>
        <v>0</v>
      </c>
      <c r="M521" s="0" t="n">
        <f aca="false">IF(OR('Offshore - Sydney'!E815="",ISNUMBER(SEARCH("BSB80120",'Offshore - Sydney'!B815&amp;'Offshore - Sydney'!N815)),ISNUMBER(SEARCH("Management (Learning)",'Offshore - Sydney'!B815))),2,IF(ISNUMBER(SEARCH("CEK:",'Offshore - Sydney'!N815)),1,0))</f>
        <v>0</v>
      </c>
    </row>
    <row r="522" customFormat="false" ht="15" hidden="false" customHeight="false" outlineLevel="0" collapsed="false">
      <c r="A522" s="63" t="s">
        <v>3533</v>
      </c>
      <c r="B522" s="64" t="s">
        <v>3833</v>
      </c>
      <c r="C522" s="63" t="s">
        <v>43</v>
      </c>
      <c r="D522" s="64" t="str">
        <f aca="false">TRIM(LEFT('Offshore - Sydney'!A982,FIND(CHAR(10),'Offshore - Sydney'!A982&amp;CHAR(10))-1))</f>
        <v>Western Sydney University</v>
      </c>
      <c r="E522" s="63" t="str">
        <f aca="false">'Offshore - Sydney'!C983&amp;""</f>
        <v>3 years</v>
      </c>
      <c r="F522" s="63" t="str">
        <f aca="false">IF('Offshore - Sydney'!D983="","Belum tercatat",'Offshore - Sydney'!D983)</f>
        <v>Term</v>
      </c>
      <c r="G522" s="65" t="n">
        <f aca="false">IF('Offshore - Sydney'!E983="","-",'Offshore - Sydney'!E983)</f>
        <v>8125</v>
      </c>
      <c r="H522" s="63" t="n">
        <f aca="false">IF(ISNUMBER(K522),COUNTIFS($J$6:$J$1854,J522,$K$6:$K$1854,"&lt;"&amp;K522)+1,"-")</f>
        <v>13</v>
      </c>
      <c r="I522" s="64" t="str">
        <f aca="false">IF('Offshore - Sydney'!E983="","Harga belum tersedia - hubungi konsultan TEG",IF(M522=2,"Saat ini tidak menerima pendaftaran siswa internasional baru",IF(M522=1,"Harga perlu dikonfirmasi ke sekolah"&amp;IF(""="","","; "&amp;""),"")))</f>
        <v/>
      </c>
      <c r="J522" s="0" t="s">
        <v>3911</v>
      </c>
      <c r="K522" s="0" t="n">
        <f aca="false">IF(M522=2,"",IF(ISNUMBER(SEARCH("rata-rata:",'Offshore - Sydney'!N983)),VALUE(MID('Offshore - Sydney'!N983,SEARCH("rata-rata:",'Offshore - Sydney'!N983)+11,FIND(";",'Offshore - Sydney'!N983&amp;";",SEARCH("rata-rata:",'Offshore - Sydney'!N983))-SEARCH("rata-rata:",'Offshore - Sydney'!N983)-11)),IF('Offshore - Sydney'!D983="Semester",'Offshore - Sydney'!E983*2,IF('Offshore - Sydney'!D983="Trimester",'Offshore - Sydney'!E983*3,IF('Offshore - Sydney'!D983="Term",'Offshore - Sydney'!E983*4,IF('Offshore - Sydney'!D983="Unit",'Offshore - Sydney'!E983*8,""))))))</f>
        <v>32500</v>
      </c>
      <c r="L522" s="0" t="n">
        <f aca="false">IF(AND(ISNUMBER('Offshore - Sydney'!E983),ISNUMBER(K522),ISNUMBER('Offshore - Sydney'!F983),ISNUMBER('Offshore - Sydney'!G983),OR('Offshore - Sydney'!F983&lt;&gt;0,ISNUMBER(SEARCH("Material 0 terverifikasi",'Offshore - Sydney'!N983))),OR('Offshore - Sydney'!G983&lt;&gt;0,ISNUMBER(SEARCH("Enrolment 0 terverifikasi",'Offshore - Sydney'!N983)))),1,0)</f>
        <v>0</v>
      </c>
      <c r="M522" s="0" t="n">
        <f aca="false">IF(OR('Offshore - Sydney'!E983="",ISNUMBER(SEARCH("BSB80120",'Offshore - Sydney'!B983&amp;'Offshore - Sydney'!N983)),ISNUMBER(SEARCH("Management (Learning)",'Offshore - Sydney'!B983))),2,IF(ISNUMBER(SEARCH("CEK:",'Offshore - Sydney'!N983)),1,0))</f>
        <v>0</v>
      </c>
    </row>
    <row r="523" customFormat="false" ht="15" hidden="false" customHeight="false" outlineLevel="0" collapsed="false">
      <c r="A523" s="63" t="s">
        <v>3533</v>
      </c>
      <c r="B523" s="64" t="s">
        <v>3833</v>
      </c>
      <c r="C523" s="63" t="s">
        <v>43</v>
      </c>
      <c r="D523" s="64" t="str">
        <f aca="false">TRIM(LEFT('Offshore - Sydney'!A497,FIND(CHAR(10),'Offshore - Sydney'!A497&amp;CHAR(10))-1))</f>
        <v>Kaplan Business School</v>
      </c>
      <c r="E523" s="63" t="str">
        <f aca="false">'Offshore - Sydney'!C498&amp;""</f>
        <v>3 years</v>
      </c>
      <c r="F523" s="63" t="str">
        <f aca="false">IF('Offshore - Sydney'!D498="","Belum tercatat",'Offshore - Sydney'!D498)</f>
        <v>Trimester</v>
      </c>
      <c r="G523" s="65" t="n">
        <f aca="false">IF('Offshore - Sydney'!E498="","-",'Offshore - Sydney'!E498)</f>
        <v>11520</v>
      </c>
      <c r="H523" s="63" t="n">
        <f aca="false">IF(ISNUMBER(K523),COUNTIFS($J$6:$J$1854,J523,$K$6:$K$1854,"&lt;"&amp;K523)+1,"-")</f>
        <v>14</v>
      </c>
      <c r="I523" s="64" t="str">
        <f aca="false">IF('Offshore - Sydney'!E498="","Harga belum tersedia - hubungi konsultan TEG",IF(M523=2,"Saat ini tidak menerima pendaftaran siswa internasional baru",IF(M523=1,"Harga perlu dikonfirmasi ke sekolah"&amp;IF(""="","","; "&amp;""),"")))</f>
        <v>Harga perlu dikonfirmasi ke sekolah</v>
      </c>
      <c r="J523" s="0" t="s">
        <v>3911</v>
      </c>
      <c r="K523" s="0" t="n">
        <f aca="false">IF(M523=2,"",IF(ISNUMBER(SEARCH("rata-rata:",'Offshore - Sydney'!N498)),VALUE(MID('Offshore - Sydney'!N498,SEARCH("rata-rata:",'Offshore - Sydney'!N498)+11,FIND(";",'Offshore - Sydney'!N498&amp;";",SEARCH("rata-rata:",'Offshore - Sydney'!N498))-SEARCH("rata-rata:",'Offshore - Sydney'!N498)-11)),IF('Offshore - Sydney'!D498="Semester",'Offshore - Sydney'!E498*2,IF('Offshore - Sydney'!D498="Trimester",'Offshore - Sydney'!E498*3,IF('Offshore - Sydney'!D498="Term",'Offshore - Sydney'!E498*4,IF('Offshore - Sydney'!D498="Unit",'Offshore - Sydney'!E498*8,""))))))</f>
        <v>34560</v>
      </c>
      <c r="L523" s="0" t="n">
        <f aca="false">IF(AND(ISNUMBER('Offshore - Sydney'!E498),ISNUMBER(K523),ISNUMBER('Offshore - Sydney'!F498),ISNUMBER('Offshore - Sydney'!G498),OR('Offshore - Sydney'!F498&lt;&gt;0,ISNUMBER(SEARCH("Material 0 terverifikasi",'Offshore - Sydney'!N498))),OR('Offshore - Sydney'!G498&lt;&gt;0,ISNUMBER(SEARCH("Enrolment 0 terverifikasi",'Offshore - Sydney'!N498)))),1,0)</f>
        <v>1</v>
      </c>
      <c r="M523" s="0" t="n">
        <f aca="false">IF(OR('Offshore - Sydney'!E498="",ISNUMBER(SEARCH("BSB80120",'Offshore - Sydney'!B498&amp;'Offshore - Sydney'!N498)),ISNUMBER(SEARCH("Management (Learning)",'Offshore - Sydney'!B498))),2,IF(ISNUMBER(SEARCH("CEK:",'Offshore - Sydney'!N498)),1,0))</f>
        <v>1</v>
      </c>
    </row>
    <row r="524" customFormat="false" ht="15" hidden="false" customHeight="false" outlineLevel="0" collapsed="false">
      <c r="A524" s="63" t="s">
        <v>3533</v>
      </c>
      <c r="B524" s="64" t="s">
        <v>3833</v>
      </c>
      <c r="C524" s="63" t="s">
        <v>43</v>
      </c>
      <c r="D524" s="64" t="str">
        <f aca="false">TRIM(LEFT('Offshore - Sydney'!A156,FIND(CHAR(10),'Offshore - Sydney'!A156&amp;CHAR(10))-1))</f>
        <v>Australian Catholic University (ACU)</v>
      </c>
      <c r="E524" s="63" t="str">
        <f aca="false">'Offshore - Sydney'!C157&amp;""</f>
        <v>4 years</v>
      </c>
      <c r="F524" s="63" t="str">
        <f aca="false">IF('Offshore - Sydney'!D157="","Belum tercatat",'Offshore - Sydney'!D157)</f>
        <v>Term</v>
      </c>
      <c r="G524" s="65" t="n">
        <f aca="false">IF('Offshore - Sydney'!E157="","-",'Offshore - Sydney'!E157)</f>
        <v>8742</v>
      </c>
      <c r="H524" s="63" t="n">
        <f aca="false">IF(ISNUMBER(K524),COUNTIFS($J$6:$J$1854,J524,$K$6:$K$1854,"&lt;"&amp;K524)+1,"-")</f>
        <v>15</v>
      </c>
      <c r="I524" s="64" t="str">
        <f aca="false">IF('Offshore - Sydney'!E157="","Harga belum tersedia - hubungi konsultan TEG",IF(M524=2,"Saat ini tidak menerima pendaftaran siswa internasional baru",IF(M524=1,"Harga perlu dikonfirmasi ke sekolah"&amp;IF(""="","","; "&amp;""),"")))</f>
        <v/>
      </c>
      <c r="J524" s="0" t="s">
        <v>3911</v>
      </c>
      <c r="K524" s="0" t="n">
        <f aca="false">IF(M524=2,"",IF(ISNUMBER(SEARCH("rata-rata:",'Offshore - Sydney'!N157)),VALUE(MID('Offshore - Sydney'!N157,SEARCH("rata-rata:",'Offshore - Sydney'!N157)+11,FIND(";",'Offshore - Sydney'!N157&amp;";",SEARCH("rata-rata:",'Offshore - Sydney'!N157))-SEARCH("rata-rata:",'Offshore - Sydney'!N157)-11)),IF('Offshore - Sydney'!D157="Semester",'Offshore - Sydney'!E157*2,IF('Offshore - Sydney'!D157="Trimester",'Offshore - Sydney'!E157*3,IF('Offshore - Sydney'!D157="Term",'Offshore - Sydney'!E157*4,IF('Offshore - Sydney'!D157="Unit",'Offshore - Sydney'!E157*8,""))))))</f>
        <v>34968</v>
      </c>
      <c r="L524" s="0" t="n">
        <f aca="false">IF(AND(ISNUMBER('Offshore - Sydney'!E157),ISNUMBER(K524),ISNUMBER('Offshore - Sydney'!F157),ISNUMBER('Offshore - Sydney'!G157),OR('Offshore - Sydney'!F157&lt;&gt;0,ISNUMBER(SEARCH("Material 0 terverifikasi",'Offshore - Sydney'!N157))),OR('Offshore - Sydney'!G157&lt;&gt;0,ISNUMBER(SEARCH("Enrolment 0 terverifikasi",'Offshore - Sydney'!N157)))),1,0)</f>
        <v>0</v>
      </c>
      <c r="M524" s="0" t="n">
        <f aca="false">IF(OR('Offshore - Sydney'!E157="",ISNUMBER(SEARCH("BSB80120",'Offshore - Sydney'!B157&amp;'Offshore - Sydney'!N157)),ISNUMBER(SEARCH("Management (Learning)",'Offshore - Sydney'!B157))),2,IF(ISNUMBER(SEARCH("CEK:",'Offshore - Sydney'!N157)),1,0))</f>
        <v>0</v>
      </c>
    </row>
    <row r="525" customFormat="false" ht="15" hidden="false" customHeight="false" outlineLevel="0" collapsed="false">
      <c r="A525" s="63" t="s">
        <v>3533</v>
      </c>
      <c r="B525" s="64" t="s">
        <v>3833</v>
      </c>
      <c r="C525" s="63" t="s">
        <v>43</v>
      </c>
      <c r="D525" s="64" t="str">
        <f aca="false">TRIM(LEFT('Offshore - Sydney'!A923,FIND(CHAR(10),'Offshore - Sydney'!A923&amp;CHAR(10))-1))</f>
        <v>University of Tasmania (UTAS)</v>
      </c>
      <c r="E525" s="63" t="str">
        <f aca="false">'Offshore - Sydney'!C924&amp;""</f>
        <v>3 years</v>
      </c>
      <c r="F525" s="63" t="str">
        <f aca="false">IF('Offshore - Sydney'!D924="","Belum tercatat",'Offshore - Sydney'!D924)</f>
        <v>Term</v>
      </c>
      <c r="G525" s="65" t="n">
        <f aca="false">IF('Offshore - Sydney'!E924="","-",'Offshore - Sydney'!E924)</f>
        <v>9487.5</v>
      </c>
      <c r="H525" s="63" t="n">
        <f aca="false">IF(ISNUMBER(K525),COUNTIFS($J$6:$J$1854,J525,$K$6:$K$1854,"&lt;"&amp;K525)+1,"-")</f>
        <v>16</v>
      </c>
      <c r="I525" s="64" t="str">
        <f aca="false">IF('Offshore - Sydney'!E924="","Harga belum tersedia - hubungi konsultan TEG",IF(M525=2,"Saat ini tidak menerima pendaftaran siswa internasional baru",IF(M525=1,"Harga perlu dikonfirmasi ke sekolah"&amp;IF(""="","","; "&amp;""),"")))</f>
        <v/>
      </c>
      <c r="J525" s="0" t="s">
        <v>3911</v>
      </c>
      <c r="K525" s="0" t="n">
        <f aca="false">IF(M525=2,"",IF(ISNUMBER(SEARCH("rata-rata:",'Offshore - Sydney'!N924)),VALUE(MID('Offshore - Sydney'!N924,SEARCH("rata-rata:",'Offshore - Sydney'!N924)+11,FIND(";",'Offshore - Sydney'!N924&amp;";",SEARCH("rata-rata:",'Offshore - Sydney'!N924))-SEARCH("rata-rata:",'Offshore - Sydney'!N924)-11)),IF('Offshore - Sydney'!D924="Semester",'Offshore - Sydney'!E924*2,IF('Offshore - Sydney'!D924="Trimester",'Offshore - Sydney'!E924*3,IF('Offshore - Sydney'!D924="Term",'Offshore - Sydney'!E924*4,IF('Offshore - Sydney'!D924="Unit",'Offshore - Sydney'!E924*8,""))))))</f>
        <v>37950</v>
      </c>
      <c r="L525" s="0" t="n">
        <f aca="false">IF(AND(ISNUMBER('Offshore - Sydney'!E924),ISNUMBER(K525),ISNUMBER('Offshore - Sydney'!F924),ISNUMBER('Offshore - Sydney'!G924),OR('Offshore - Sydney'!F924&lt;&gt;0,ISNUMBER(SEARCH("Material 0 terverifikasi",'Offshore - Sydney'!N924))),OR('Offshore - Sydney'!G924&lt;&gt;0,ISNUMBER(SEARCH("Enrolment 0 terverifikasi",'Offshore - Sydney'!N924)))),1,0)</f>
        <v>0</v>
      </c>
      <c r="M525" s="0" t="n">
        <f aca="false">IF(OR('Offshore - Sydney'!E924="",ISNUMBER(SEARCH("BSB80120",'Offshore - Sydney'!B924&amp;'Offshore - Sydney'!N924)),ISNUMBER(SEARCH("Management (Learning)",'Offshore - Sydney'!B924))),2,IF(ISNUMBER(SEARCH("CEK:",'Offshore - Sydney'!N924)),1,0))</f>
        <v>0</v>
      </c>
    </row>
    <row r="526" customFormat="false" ht="15" hidden="false" customHeight="false" outlineLevel="0" collapsed="false">
      <c r="A526" s="61" t="s">
        <v>3912</v>
      </c>
      <c r="B526" s="62"/>
      <c r="C526" s="62"/>
      <c r="D526" s="62"/>
      <c r="E526" s="62"/>
      <c r="F526" s="62"/>
      <c r="G526" s="62"/>
      <c r="H526" s="62"/>
      <c r="I526" s="62"/>
    </row>
    <row r="527" customFormat="false" ht="15" hidden="false" customHeight="false" outlineLevel="0" collapsed="false">
      <c r="A527" s="63" t="s">
        <v>3533</v>
      </c>
      <c r="B527" s="64" t="s">
        <v>3833</v>
      </c>
      <c r="C527" s="63" t="s">
        <v>3707</v>
      </c>
      <c r="D527" s="64" t="str">
        <f aca="false">TRIM(LEFT('Offshore - Sydney'!A599,FIND(CHAR(10),'Offshore - Sydney'!A599&amp;CHAR(10))-1))</f>
        <v>New Cambridge College Sydney (NCCS)</v>
      </c>
      <c r="E527" s="63" t="str">
        <f aca="false">'Offshore - Sydney'!C608&amp;""</f>
        <v>2 years</v>
      </c>
      <c r="F527" s="63" t="str">
        <f aca="false">IF('Offshore - Sydney'!D608="","Belum tercatat",'Offshore - Sydney'!D608)</f>
        <v>Term</v>
      </c>
      <c r="G527" s="65" t="n">
        <f aca="false">IF('Offshore - Sydney'!E608="","-",'Offshore - Sydney'!E608)</f>
        <v>2000</v>
      </c>
      <c r="H527" s="63" t="n">
        <f aca="false">IF(ISNUMBER(K527),COUNTIFS($J$6:$J$1854,J527,$K$6:$K$1854,"&lt;"&amp;K527)+1,"-")</f>
        <v>1</v>
      </c>
      <c r="I527" s="64" t="str">
        <f aca="false">IF('Offshore - Sydney'!E608="","Harga belum tersedia - hubungi konsultan TEG",IF(M527=2,"Saat ini tidak menerima pendaftaran siswa internasional baru",IF(M527=1,"Harga perlu dikonfirmasi ke sekolah"&amp;IF(""="","","; "&amp;""),"")))</f>
        <v/>
      </c>
      <c r="J527" s="0" t="s">
        <v>3913</v>
      </c>
      <c r="K527" s="0" t="n">
        <f aca="false">IF(M527=2,"",IF(ISNUMBER(SEARCH("rata-rata:",'Offshore - Sydney'!N608)),VALUE(MID('Offshore - Sydney'!N608,SEARCH("rata-rata:",'Offshore - Sydney'!N608)+11,FIND(";",'Offshore - Sydney'!N608&amp;";",SEARCH("rata-rata:",'Offshore - Sydney'!N608))-SEARCH("rata-rata:",'Offshore - Sydney'!N608)-11)),IF('Offshore - Sydney'!D608="Semester",'Offshore - Sydney'!E608*2,IF('Offshore - Sydney'!D608="Trimester",'Offshore - Sydney'!E608*3,IF('Offshore - Sydney'!D608="Term",'Offshore - Sydney'!E608*4,IF('Offshore - Sydney'!D608="Unit",'Offshore - Sydney'!E608*8,""))))))</f>
        <v>8000</v>
      </c>
      <c r="L527" s="0" t="n">
        <f aca="false">IF(AND(ISNUMBER('Offshore - Sydney'!E608),ISNUMBER(K527),ISNUMBER('Offshore - Sydney'!F608),ISNUMBER('Offshore - Sydney'!G608),OR('Offshore - Sydney'!F608&lt;&gt;0,ISNUMBER(SEARCH("Material 0 terverifikasi",'Offshore - Sydney'!N608))),OR('Offshore - Sydney'!G608&lt;&gt;0,ISNUMBER(SEARCH("Enrolment 0 terverifikasi",'Offshore - Sydney'!N608)))),1,0)</f>
        <v>0</v>
      </c>
      <c r="M527" s="0" t="n">
        <f aca="false">IF(OR('Offshore - Sydney'!E608="",ISNUMBER(SEARCH("BSB80120",'Offshore - Sydney'!B608&amp;'Offshore - Sydney'!N608)),ISNUMBER(SEARCH("Management (Learning)",'Offshore - Sydney'!B608))),2,IF(ISNUMBER(SEARCH("CEK:",'Offshore - Sydney'!N608)),1,0))</f>
        <v>0</v>
      </c>
    </row>
    <row r="528" customFormat="false" ht="15" hidden="false" customHeight="false" outlineLevel="0" collapsed="false">
      <c r="A528" s="63" t="s">
        <v>3533</v>
      </c>
      <c r="B528" s="64" t="s">
        <v>3833</v>
      </c>
      <c r="C528" s="63" t="s">
        <v>3707</v>
      </c>
      <c r="D528" s="64" t="str">
        <f aca="false">TRIM(LEFT('Offshore - Sydney'!A64,FIND(CHAR(10),'Offshore - Sydney'!A64&amp;CHAR(10))-1))</f>
        <v>AIBI Higher Education</v>
      </c>
      <c r="E528" s="63" t="str">
        <f aca="false">'Offshore - Sydney'!C75&amp;""</f>
        <v>8 months</v>
      </c>
      <c r="F528" s="63" t="str">
        <f aca="false">IF('Offshore - Sydney'!D75="","Belum tercatat",'Offshore - Sydney'!D75)</f>
        <v>Term</v>
      </c>
      <c r="G528" s="65" t="n">
        <f aca="false">IF('Offshore - Sydney'!E75="","-",'Offshore - Sydney'!E75)</f>
        <v>2700</v>
      </c>
      <c r="H528" s="63" t="n">
        <f aca="false">IF(ISNUMBER(K528),COUNTIFS($J$6:$J$1854,J528,$K$6:$K$1854,"&lt;"&amp;K528)+1,"-")</f>
        <v>2</v>
      </c>
      <c r="I528" s="64" t="str">
        <f aca="false">IF('Offshore - Sydney'!E75="","Harga belum tersedia - hubungi konsultan TEG",IF(M528=2,"Saat ini tidak menerima pendaftaran siswa internasional baru",IF(M528=1,"Harga perlu dikonfirmasi ke sekolah"&amp;IF(""="","","; "&amp;""),"")))</f>
        <v>Harga perlu dikonfirmasi ke sekolah</v>
      </c>
      <c r="J528" s="0" t="s">
        <v>3913</v>
      </c>
      <c r="K528" s="0" t="n">
        <f aca="false">IF(M528=2,"",IF(ISNUMBER(SEARCH("rata-rata:",'Offshore - Sydney'!N75)),VALUE(MID('Offshore - Sydney'!N75,SEARCH("rata-rata:",'Offshore - Sydney'!N75)+11,FIND(";",'Offshore - Sydney'!N75&amp;";",SEARCH("rata-rata:",'Offshore - Sydney'!N75))-SEARCH("rata-rata:",'Offshore - Sydney'!N75)-11)),IF('Offshore - Sydney'!D75="Semester",'Offshore - Sydney'!E75*2,IF('Offshore - Sydney'!D75="Trimester",'Offshore - Sydney'!E75*3,IF('Offshore - Sydney'!D75="Term",'Offshore - Sydney'!E75*4,IF('Offshore - Sydney'!D75="Unit",'Offshore - Sydney'!E75*8,""))))))</f>
        <v>10800</v>
      </c>
      <c r="L528" s="0" t="n">
        <f aca="false">IF(AND(ISNUMBER('Offshore - Sydney'!E75),ISNUMBER(K528),ISNUMBER('Offshore - Sydney'!F75),ISNUMBER('Offshore - Sydney'!G75),OR('Offshore - Sydney'!F75&lt;&gt;0,ISNUMBER(SEARCH("Material 0 terverifikasi",'Offshore - Sydney'!N75))),OR('Offshore - Sydney'!G75&lt;&gt;0,ISNUMBER(SEARCH("Enrolment 0 terverifikasi",'Offshore - Sydney'!N75)))),1,0)</f>
        <v>0</v>
      </c>
      <c r="M528" s="0" t="n">
        <f aca="false">IF(OR('Offshore - Sydney'!E75="",ISNUMBER(SEARCH("BSB80120",'Offshore - Sydney'!B75&amp;'Offshore - Sydney'!N75)),ISNUMBER(SEARCH("Management (Learning)",'Offshore - Sydney'!B75))),2,IF(ISNUMBER(SEARCH("CEK:",'Offshore - Sydney'!N75)),1,0))</f>
        <v>1</v>
      </c>
    </row>
    <row r="529" customFormat="false" ht="15" hidden="false" customHeight="false" outlineLevel="0" collapsed="false">
      <c r="A529" s="63" t="s">
        <v>3533</v>
      </c>
      <c r="B529" s="64" t="s">
        <v>3833</v>
      </c>
      <c r="C529" s="63" t="s">
        <v>3707</v>
      </c>
      <c r="D529" s="64" t="str">
        <f aca="false">TRIM(LEFT('Offshore - Sydney'!A153,FIND(CHAR(10),'Offshore - Sydney'!A153&amp;CHAR(10))-1))</f>
        <v>Australian Business Institute (ABI)</v>
      </c>
      <c r="E529" s="63" t="str">
        <f aca="false">'Offshore - Sydney'!C154&amp;""</f>
        <v>1 year</v>
      </c>
      <c r="F529" s="63" t="str">
        <f aca="false">IF('Offshore - Sydney'!D154="","Belum tercatat",'Offshore - Sydney'!D154)</f>
        <v>Term</v>
      </c>
      <c r="G529" s="65" t="n">
        <f aca="false">IF('Offshore - Sydney'!E154="","-",'Offshore - Sydney'!E154)</f>
        <v>3500</v>
      </c>
      <c r="H529" s="63" t="n">
        <f aca="false">IF(ISNUMBER(K529),COUNTIFS($J$6:$J$1854,J529,$K$6:$K$1854,"&lt;"&amp;K529)+1,"-")</f>
        <v>3</v>
      </c>
      <c r="I529" s="64" t="str">
        <f aca="false">IF('Offshore - Sydney'!E154="","Harga belum tersedia - hubungi konsultan TEG",IF(M529=2,"Saat ini tidak menerima pendaftaran siswa internasional baru",IF(M529=1,"Harga perlu dikonfirmasi ke sekolah"&amp;IF(""="","","; "&amp;""),"")))</f>
        <v/>
      </c>
      <c r="J529" s="0" t="s">
        <v>3913</v>
      </c>
      <c r="K529" s="0" t="n">
        <f aca="false">IF(M529=2,"",IF(ISNUMBER(SEARCH("rata-rata:",'Offshore - Sydney'!N154)),VALUE(MID('Offshore - Sydney'!N154,SEARCH("rata-rata:",'Offshore - Sydney'!N154)+11,FIND(";",'Offshore - Sydney'!N154&amp;";",SEARCH("rata-rata:",'Offshore - Sydney'!N154))-SEARCH("rata-rata:",'Offshore - Sydney'!N154)-11)),IF('Offshore - Sydney'!D154="Semester",'Offshore - Sydney'!E154*2,IF('Offshore - Sydney'!D154="Trimester",'Offshore - Sydney'!E154*3,IF('Offshore - Sydney'!D154="Term",'Offshore - Sydney'!E154*4,IF('Offshore - Sydney'!D154="Unit",'Offshore - Sydney'!E154*8,""))))))</f>
        <v>14000</v>
      </c>
      <c r="L529" s="0" t="n">
        <f aca="false">IF(AND(ISNUMBER('Offshore - Sydney'!E154),ISNUMBER(K529),ISNUMBER('Offshore - Sydney'!F154),ISNUMBER('Offshore - Sydney'!G154),OR('Offshore - Sydney'!F154&lt;&gt;0,ISNUMBER(SEARCH("Material 0 terverifikasi",'Offshore - Sydney'!N154))),OR('Offshore - Sydney'!G154&lt;&gt;0,ISNUMBER(SEARCH("Enrolment 0 terverifikasi",'Offshore - Sydney'!N154)))),1,0)</f>
        <v>0</v>
      </c>
      <c r="M529" s="0" t="n">
        <f aca="false">IF(OR('Offshore - Sydney'!E154="",ISNUMBER(SEARCH("BSB80120",'Offshore - Sydney'!B154&amp;'Offshore - Sydney'!N154)),ISNUMBER(SEARCH("Management (Learning)",'Offshore - Sydney'!B154))),2,IF(ISNUMBER(SEARCH("CEK:",'Offshore - Sydney'!N154)),1,0))</f>
        <v>0</v>
      </c>
    </row>
    <row r="530" customFormat="false" ht="15" hidden="false" customHeight="false" outlineLevel="0" collapsed="false">
      <c r="A530" s="63" t="s">
        <v>3533</v>
      </c>
      <c r="B530" s="64" t="s">
        <v>3833</v>
      </c>
      <c r="C530" s="63" t="s">
        <v>3707</v>
      </c>
      <c r="D530" s="64" t="str">
        <f aca="false">TRIM(LEFT('Offshore - Sydney'!A382,FIND(CHAR(10),'Offshore - Sydney'!A382&amp;CHAR(10))-1))</f>
        <v>CIHE Australia</v>
      </c>
      <c r="E530" s="63" t="str">
        <f aca="false">'Offshore - Sydney'!C396&amp;""</f>
        <v>0,5 year</v>
      </c>
      <c r="F530" s="63" t="str">
        <f aca="false">IF('Offshore - Sydney'!D396="","Belum tercatat",'Offshore - Sydney'!D396)</f>
        <v>Term</v>
      </c>
      <c r="G530" s="65" t="n">
        <f aca="false">IF('Offshore - Sydney'!E396="","-",'Offshore - Sydney'!E396)</f>
        <v>4125</v>
      </c>
      <c r="H530" s="63" t="n">
        <f aca="false">IF(ISNUMBER(K530),COUNTIFS($J$6:$J$1854,J530,$K$6:$K$1854,"&lt;"&amp;K530)+1,"-")</f>
        <v>4</v>
      </c>
      <c r="I530" s="64" t="str">
        <f aca="false">IF('Offshore - Sydney'!E396="","Harga belum tersedia - hubungi konsultan TEG",IF(M530=2,"Saat ini tidak menerima pendaftaran siswa internasional baru",IF(M530=1,"Harga perlu dikonfirmasi ke sekolah"&amp;IF(""="","","; "&amp;""),"")))</f>
        <v>Harga perlu dikonfirmasi ke sekolah</v>
      </c>
      <c r="J530" s="0" t="s">
        <v>3913</v>
      </c>
      <c r="K530" s="0" t="n">
        <f aca="false">IF(M530=2,"",IF(ISNUMBER(SEARCH("rata-rata:",'Offshore - Sydney'!N396)),VALUE(MID('Offshore - Sydney'!N396,SEARCH("rata-rata:",'Offshore - Sydney'!N396)+11,FIND(";",'Offshore - Sydney'!N396&amp;";",SEARCH("rata-rata:",'Offshore - Sydney'!N396))-SEARCH("rata-rata:",'Offshore - Sydney'!N396)-11)),IF('Offshore - Sydney'!D396="Semester",'Offshore - Sydney'!E396*2,IF('Offshore - Sydney'!D396="Trimester",'Offshore - Sydney'!E396*3,IF('Offshore - Sydney'!D396="Term",'Offshore - Sydney'!E396*4,IF('Offshore - Sydney'!D396="Unit",'Offshore - Sydney'!E396*8,""))))))</f>
        <v>16500</v>
      </c>
      <c r="L530" s="0" t="n">
        <f aca="false">IF(AND(ISNUMBER('Offshore - Sydney'!E396),ISNUMBER(K530),ISNUMBER('Offshore - Sydney'!F396),ISNUMBER('Offshore - Sydney'!G396),OR('Offshore - Sydney'!F396&lt;&gt;0,ISNUMBER(SEARCH("Material 0 terverifikasi",'Offshore - Sydney'!N396))),OR('Offshore - Sydney'!G396&lt;&gt;0,ISNUMBER(SEARCH("Enrolment 0 terverifikasi",'Offshore - Sydney'!N396)))),1,0)</f>
        <v>1</v>
      </c>
      <c r="M530" s="0" t="n">
        <f aca="false">IF(OR('Offshore - Sydney'!E396="",ISNUMBER(SEARCH("BSB80120",'Offshore - Sydney'!B396&amp;'Offshore - Sydney'!N396)),ISNUMBER(SEARCH("Management (Learning)",'Offshore - Sydney'!B396))),2,IF(ISNUMBER(SEARCH("CEK:",'Offshore - Sydney'!N396)),1,0))</f>
        <v>1</v>
      </c>
    </row>
    <row r="531" customFormat="false" ht="15" hidden="false" customHeight="false" outlineLevel="0" collapsed="false">
      <c r="A531" s="63" t="s">
        <v>3533</v>
      </c>
      <c r="B531" s="64" t="s">
        <v>3833</v>
      </c>
      <c r="C531" s="63" t="s">
        <v>3707</v>
      </c>
      <c r="D531" s="64" t="str">
        <f aca="false">TRIM(LEFT('Offshore - Sydney'!A791,FIND(CHAR(10),'Offshore - Sydney'!A791&amp;CHAR(10))-1))</f>
        <v>The Institute of International Studies (TIIS)</v>
      </c>
      <c r="E531" s="63" t="str">
        <f aca="false">'Offshore - Sydney'!C792&amp;""</f>
        <v>0,5 years</v>
      </c>
      <c r="F531" s="63" t="str">
        <f aca="false">IF('Offshore - Sydney'!D792="","Belum tercatat",'Offshore - Sydney'!D792)</f>
        <v>Term</v>
      </c>
      <c r="G531" s="65" t="n">
        <f aca="false">IF('Offshore - Sydney'!E792="","-",'Offshore - Sydney'!E792)</f>
        <v>4500</v>
      </c>
      <c r="H531" s="63" t="n">
        <f aca="false">IF(ISNUMBER(K531),COUNTIFS($J$6:$J$1854,J531,$K$6:$K$1854,"&lt;"&amp;K531)+1,"-")</f>
        <v>5</v>
      </c>
      <c r="I531" s="64" t="str">
        <f aca="false">IF('Offshore - Sydney'!E792="","Harga belum tersedia - hubungi konsultan TEG",IF(M531=2,"Saat ini tidak menerima pendaftaran siswa internasional baru",IF(M531=1,"Harga perlu dikonfirmasi ke sekolah"&amp;IF(""="","","; "&amp;""),"")))</f>
        <v/>
      </c>
      <c r="J531" s="0" t="s">
        <v>3913</v>
      </c>
      <c r="K531" s="0" t="n">
        <f aca="false">IF(M531=2,"",IF(ISNUMBER(SEARCH("rata-rata:",'Offshore - Sydney'!N792)),VALUE(MID('Offshore - Sydney'!N792,SEARCH("rata-rata:",'Offshore - Sydney'!N792)+11,FIND(";",'Offshore - Sydney'!N792&amp;";",SEARCH("rata-rata:",'Offshore - Sydney'!N792))-SEARCH("rata-rata:",'Offshore - Sydney'!N792)-11)),IF('Offshore - Sydney'!D792="Semester",'Offshore - Sydney'!E792*2,IF('Offshore - Sydney'!D792="Trimester",'Offshore - Sydney'!E792*3,IF('Offshore - Sydney'!D792="Term",'Offshore - Sydney'!E792*4,IF('Offshore - Sydney'!D792="Unit",'Offshore - Sydney'!E792*8,""))))))</f>
        <v>18000</v>
      </c>
      <c r="L531" s="0" t="n">
        <f aca="false">IF(AND(ISNUMBER('Offshore - Sydney'!E792),ISNUMBER(K531),ISNUMBER('Offshore - Sydney'!F792),ISNUMBER('Offshore - Sydney'!G792),OR('Offshore - Sydney'!F792&lt;&gt;0,ISNUMBER(SEARCH("Material 0 terverifikasi",'Offshore - Sydney'!N792))),OR('Offshore - Sydney'!G792&lt;&gt;0,ISNUMBER(SEARCH("Enrolment 0 terverifikasi",'Offshore - Sydney'!N792)))),1,0)</f>
        <v>0</v>
      </c>
      <c r="M531" s="0" t="n">
        <f aca="false">IF(OR('Offshore - Sydney'!E792="",ISNUMBER(SEARCH("BSB80120",'Offshore - Sydney'!B792&amp;'Offshore - Sydney'!N792)),ISNUMBER(SEARCH("Management (Learning)",'Offshore - Sydney'!B792))),2,IF(ISNUMBER(SEARCH("CEK:",'Offshore - Sydney'!N792)),1,0))</f>
        <v>0</v>
      </c>
    </row>
    <row r="532" customFormat="false" ht="15" hidden="false" customHeight="false" outlineLevel="0" collapsed="false">
      <c r="A532" s="63" t="s">
        <v>3533</v>
      </c>
      <c r="B532" s="64" t="s">
        <v>3833</v>
      </c>
      <c r="C532" s="63" t="s">
        <v>3707</v>
      </c>
      <c r="D532" s="64" t="str">
        <f aca="false">TRIM(LEFT('Offshore - Sydney'!A814,FIND(CHAR(10),'Offshore - Sydney'!A814&amp;CHAR(10))-1))</f>
        <v>Torrens University Australia</v>
      </c>
      <c r="E532" s="63" t="str">
        <f aca="false">'Offshore - Sydney'!C827&amp;""</f>
        <v>0,5 year</v>
      </c>
      <c r="F532" s="63" t="str">
        <f aca="false">IF('Offshore - Sydney'!D827="","Belum tercatat",'Offshore - Sydney'!D827)</f>
        <v>Term</v>
      </c>
      <c r="G532" s="65" t="n">
        <f aca="false">IF('Offshore - Sydney'!E827="","-",'Offshore - Sydney'!E827)</f>
        <v>4500</v>
      </c>
      <c r="H532" s="63" t="n">
        <f aca="false">IF(ISNUMBER(K532),COUNTIFS($J$6:$J$1854,J532,$K$6:$K$1854,"&lt;"&amp;K532)+1,"-")</f>
        <v>5</v>
      </c>
      <c r="I532" s="64" t="str">
        <f aca="false">IF('Offshore - Sydney'!E827="","Harga belum tersedia - hubungi konsultan TEG",IF(M532=2,"Saat ini tidak menerima pendaftaran siswa internasional baru",IF(M532=1,"Harga perlu dikonfirmasi ke sekolah"&amp;IF(""="","","; "&amp;""),"")))</f>
        <v/>
      </c>
      <c r="J532" s="0" t="s">
        <v>3913</v>
      </c>
      <c r="K532" s="0" t="n">
        <f aca="false">IF(M532=2,"",IF(ISNUMBER(SEARCH("rata-rata:",'Offshore - Sydney'!N827)),VALUE(MID('Offshore - Sydney'!N827,SEARCH("rata-rata:",'Offshore - Sydney'!N827)+11,FIND(";",'Offshore - Sydney'!N827&amp;";",SEARCH("rata-rata:",'Offshore - Sydney'!N827))-SEARCH("rata-rata:",'Offshore - Sydney'!N827)-11)),IF('Offshore - Sydney'!D827="Semester",'Offshore - Sydney'!E827*2,IF('Offshore - Sydney'!D827="Trimester",'Offshore - Sydney'!E827*3,IF('Offshore - Sydney'!D827="Term",'Offshore - Sydney'!E827*4,IF('Offshore - Sydney'!D827="Unit",'Offshore - Sydney'!E827*8,""))))))</f>
        <v>18000</v>
      </c>
      <c r="L532" s="0" t="n">
        <f aca="false">IF(AND(ISNUMBER('Offshore - Sydney'!E827),ISNUMBER(K532),ISNUMBER('Offshore - Sydney'!F827),ISNUMBER('Offshore - Sydney'!G827),OR('Offshore - Sydney'!F827&lt;&gt;0,ISNUMBER(SEARCH("Material 0 terverifikasi",'Offshore - Sydney'!N827))),OR('Offshore - Sydney'!G827&lt;&gt;0,ISNUMBER(SEARCH("Enrolment 0 terverifikasi",'Offshore - Sydney'!N827)))),1,0)</f>
        <v>0</v>
      </c>
      <c r="M532" s="0" t="n">
        <f aca="false">IF(OR('Offshore - Sydney'!E827="",ISNUMBER(SEARCH("BSB80120",'Offshore - Sydney'!B827&amp;'Offshore - Sydney'!N827)),ISNUMBER(SEARCH("Management (Learning)",'Offshore - Sydney'!B827))),2,IF(ISNUMBER(SEARCH("CEK:",'Offshore - Sydney'!N827)),1,0))</f>
        <v>0</v>
      </c>
    </row>
    <row r="533" customFormat="false" ht="15" hidden="false" customHeight="false" outlineLevel="0" collapsed="false">
      <c r="A533" s="63" t="s">
        <v>3533</v>
      </c>
      <c r="B533" s="64" t="s">
        <v>3833</v>
      </c>
      <c r="C533" s="63" t="s">
        <v>3707</v>
      </c>
      <c r="D533" s="64" t="str">
        <f aca="false">TRIM(LEFT('Offshore - Sydney'!A156,FIND(CHAR(10),'Offshore - Sydney'!A156&amp;CHAR(10))-1))</f>
        <v>Australian Catholic University (ACU)</v>
      </c>
      <c r="E533" s="63" t="str">
        <f aca="false">'Offshore - Sydney'!C181&amp;""</f>
        <v>0,5 year</v>
      </c>
      <c r="F533" s="63" t="str">
        <f aca="false">IF('Offshore - Sydney'!D181="","Belum tercatat",'Offshore - Sydney'!D181)</f>
        <v>Term</v>
      </c>
      <c r="G533" s="65" t="n">
        <f aca="false">IF('Offshore - Sydney'!E181="","-",'Offshore - Sydney'!E181)</f>
        <v>4614</v>
      </c>
      <c r="H533" s="63" t="n">
        <f aca="false">IF(ISNUMBER(K533),COUNTIFS($J$6:$J$1854,J533,$K$6:$K$1854,"&lt;"&amp;K533)+1,"-")</f>
        <v>7</v>
      </c>
      <c r="I533" s="64" t="str">
        <f aca="false">IF('Offshore - Sydney'!E181="","Harga belum tersedia - hubungi konsultan TEG",IF(M533=2,"Saat ini tidak menerima pendaftaran siswa internasional baru",IF(M533=1,"Harga perlu dikonfirmasi ke sekolah"&amp;IF(""="","","; "&amp;""),"")))</f>
        <v>Harga perlu dikonfirmasi ke sekolah</v>
      </c>
      <c r="J533" s="0" t="s">
        <v>3913</v>
      </c>
      <c r="K533" s="0" t="n">
        <f aca="false">IF(M533=2,"",IF(ISNUMBER(SEARCH("rata-rata:",'Offshore - Sydney'!N181)),VALUE(MID('Offshore - Sydney'!N181,SEARCH("rata-rata:",'Offshore - Sydney'!N181)+11,FIND(";",'Offshore - Sydney'!N181&amp;";",SEARCH("rata-rata:",'Offshore - Sydney'!N181))-SEARCH("rata-rata:",'Offshore - Sydney'!N181)-11)),IF('Offshore - Sydney'!D181="Semester",'Offshore - Sydney'!E181*2,IF('Offshore - Sydney'!D181="Trimester",'Offshore - Sydney'!E181*3,IF('Offshore - Sydney'!D181="Term",'Offshore - Sydney'!E181*4,IF('Offshore - Sydney'!D181="Unit",'Offshore - Sydney'!E181*8,""))))))</f>
        <v>18456</v>
      </c>
      <c r="L533" s="0" t="n">
        <f aca="false">IF(AND(ISNUMBER('Offshore - Sydney'!E181),ISNUMBER(K533),ISNUMBER('Offshore - Sydney'!F181),ISNUMBER('Offshore - Sydney'!G181),OR('Offshore - Sydney'!F181&lt;&gt;0,ISNUMBER(SEARCH("Material 0 terverifikasi",'Offshore - Sydney'!N181))),OR('Offshore - Sydney'!G181&lt;&gt;0,ISNUMBER(SEARCH("Enrolment 0 terverifikasi",'Offshore - Sydney'!N181)))),1,0)</f>
        <v>0</v>
      </c>
      <c r="M533" s="0" t="n">
        <f aca="false">IF(OR('Offshore - Sydney'!E181="",ISNUMBER(SEARCH("BSB80120",'Offshore - Sydney'!B181&amp;'Offshore - Sydney'!N181)),ISNUMBER(SEARCH("Management (Learning)",'Offshore - Sydney'!B181))),2,IF(ISNUMBER(SEARCH("CEK:",'Offshore - Sydney'!N181)),1,0))</f>
        <v>1</v>
      </c>
    </row>
    <row r="534" customFormat="false" ht="15" hidden="false" customHeight="false" outlineLevel="0" collapsed="false">
      <c r="A534" s="63" t="s">
        <v>3533</v>
      </c>
      <c r="B534" s="64" t="s">
        <v>3833</v>
      </c>
      <c r="C534" s="63" t="s">
        <v>3707</v>
      </c>
      <c r="D534" s="64" t="str">
        <f aca="false">TRIM(LEFT('Offshore - Sydney'!A982,FIND(CHAR(10),'Offshore - Sydney'!A982&amp;CHAR(10))-1))</f>
        <v>Western Sydney University</v>
      </c>
      <c r="E534" s="63" t="str">
        <f aca="false">'Offshore - Sydney'!C1075&amp;""</f>
        <v>0,5 year</v>
      </c>
      <c r="F534" s="63" t="str">
        <f aca="false">IF('Offshore - Sydney'!D1075="","Belum tercatat",'Offshore - Sydney'!D1075)</f>
        <v>Term</v>
      </c>
      <c r="G534" s="65" t="n">
        <f aca="false">IF('Offshore - Sydney'!E1075="","-",'Offshore - Sydney'!E1075)</f>
        <v>4918</v>
      </c>
      <c r="H534" s="63" t="n">
        <f aca="false">IF(ISNUMBER(K534),COUNTIFS($J$6:$J$1854,J534,$K$6:$K$1854,"&lt;"&amp;K534)+1,"-")</f>
        <v>8</v>
      </c>
      <c r="I534" s="64" t="str">
        <f aca="false">IF('Offshore - Sydney'!E1075="","Harga belum tersedia - hubungi konsultan TEG",IF(M534=2,"Saat ini tidak menerima pendaftaran siswa internasional baru",IF(M534=1,"Harga perlu dikonfirmasi ke sekolah"&amp;IF(""="","","; "&amp;""),"")))</f>
        <v/>
      </c>
      <c r="J534" s="0" t="s">
        <v>3913</v>
      </c>
      <c r="K534" s="0" t="n">
        <f aca="false">IF(M534=2,"",IF(ISNUMBER(SEARCH("rata-rata:",'Offshore - Sydney'!N1075)),VALUE(MID('Offshore - Sydney'!N1075,SEARCH("rata-rata:",'Offshore - Sydney'!N1075)+11,FIND(";",'Offshore - Sydney'!N1075&amp;";",SEARCH("rata-rata:",'Offshore - Sydney'!N1075))-SEARCH("rata-rata:",'Offshore - Sydney'!N1075)-11)),IF('Offshore - Sydney'!D1075="Semester",'Offshore - Sydney'!E1075*2,IF('Offshore - Sydney'!D1075="Trimester",'Offshore - Sydney'!E1075*3,IF('Offshore - Sydney'!D1075="Term",'Offshore - Sydney'!E1075*4,IF('Offshore - Sydney'!D1075="Unit",'Offshore - Sydney'!E1075*8,""))))))</f>
        <v>19672</v>
      </c>
      <c r="L534" s="0" t="n">
        <f aca="false">IF(AND(ISNUMBER('Offshore - Sydney'!E1075),ISNUMBER(K534),ISNUMBER('Offshore - Sydney'!F1075),ISNUMBER('Offshore - Sydney'!G1075),OR('Offshore - Sydney'!F1075&lt;&gt;0,ISNUMBER(SEARCH("Material 0 terverifikasi",'Offshore - Sydney'!N1075))),OR('Offshore - Sydney'!G1075&lt;&gt;0,ISNUMBER(SEARCH("Enrolment 0 terverifikasi",'Offshore - Sydney'!N1075)))),1,0)</f>
        <v>0</v>
      </c>
      <c r="M534" s="0" t="n">
        <f aca="false">IF(OR('Offshore - Sydney'!E1075="",ISNUMBER(SEARCH("BSB80120",'Offshore - Sydney'!B1075&amp;'Offshore - Sydney'!N1075)),ISNUMBER(SEARCH("Management (Learning)",'Offshore - Sydney'!B1075))),2,IF(ISNUMBER(SEARCH("CEK:",'Offshore - Sydney'!N1075)),1,0))</f>
        <v>0</v>
      </c>
    </row>
    <row r="535" customFormat="false" ht="15" hidden="false" customHeight="false" outlineLevel="0" collapsed="false">
      <c r="A535" s="63" t="s">
        <v>3533</v>
      </c>
      <c r="B535" s="64" t="s">
        <v>3833</v>
      </c>
      <c r="C535" s="63" t="s">
        <v>3707</v>
      </c>
      <c r="D535" s="64" t="str">
        <f aca="false">TRIM(LEFT('Offshore - Sydney'!A131,FIND(CHAR(10),'Offshore - Sydney'!A131&amp;CHAR(10))-1))</f>
        <v>Asia Pacific International College (APIC)</v>
      </c>
      <c r="E535" s="63" t="str">
        <f aca="false">'Offshore - Sydney'!C136&amp;""</f>
        <v>0,75 year</v>
      </c>
      <c r="F535" s="63" t="str">
        <f aca="false">IF('Offshore - Sydney'!D136="","Belum tercatat",'Offshore - Sydney'!D136)</f>
        <v>Trimester</v>
      </c>
      <c r="G535" s="65" t="n">
        <f aca="false">IF('Offshore - Sydney'!E136="","-",'Offshore - Sydney'!E136)</f>
        <v>7800</v>
      </c>
      <c r="H535" s="63" t="n">
        <f aca="false">IF(ISNUMBER(K535),COUNTIFS($J$6:$J$1854,J535,$K$6:$K$1854,"&lt;"&amp;K535)+1,"-")</f>
        <v>9</v>
      </c>
      <c r="I535" s="64" t="str">
        <f aca="false">IF('Offshore - Sydney'!E136="","Harga belum tersedia - hubungi konsultan TEG",IF(M535=2,"Saat ini tidak menerima pendaftaran siswa internasional baru",IF(M535=1,"Harga perlu dikonfirmasi ke sekolah"&amp;IF(""="","","; "&amp;""),"")))</f>
        <v>Harga perlu dikonfirmasi ke sekolah</v>
      </c>
      <c r="J535" s="0" t="s">
        <v>3913</v>
      </c>
      <c r="K535" s="0" t="n">
        <f aca="false">IF(M535=2,"",IF(ISNUMBER(SEARCH("rata-rata:",'Offshore - Sydney'!N136)),VALUE(MID('Offshore - Sydney'!N136,SEARCH("rata-rata:",'Offshore - Sydney'!N136)+11,FIND(";",'Offshore - Sydney'!N136&amp;";",SEARCH("rata-rata:",'Offshore - Sydney'!N136))-SEARCH("rata-rata:",'Offshore - Sydney'!N136)-11)),IF('Offshore - Sydney'!D136="Semester",'Offshore - Sydney'!E136*2,IF('Offshore - Sydney'!D136="Trimester",'Offshore - Sydney'!E136*3,IF('Offshore - Sydney'!D136="Term",'Offshore - Sydney'!E136*4,IF('Offshore - Sydney'!D136="Unit",'Offshore - Sydney'!E136*8,""))))))</f>
        <v>23400</v>
      </c>
      <c r="L535" s="0" t="n">
        <f aca="false">IF(AND(ISNUMBER('Offshore - Sydney'!E136),ISNUMBER(K535),ISNUMBER('Offshore - Sydney'!F136),ISNUMBER('Offshore - Sydney'!G136),OR('Offshore - Sydney'!F136&lt;&gt;0,ISNUMBER(SEARCH("Material 0 terverifikasi",'Offshore - Sydney'!N136))),OR('Offshore - Sydney'!G136&lt;&gt;0,ISNUMBER(SEARCH("Enrolment 0 terverifikasi",'Offshore - Sydney'!N136)))),1,0)</f>
        <v>0</v>
      </c>
      <c r="M535" s="0" t="n">
        <f aca="false">IF(OR('Offshore - Sydney'!E136="",ISNUMBER(SEARCH("BSB80120",'Offshore - Sydney'!B136&amp;'Offshore - Sydney'!N136)),ISNUMBER(SEARCH("Management (Learning)",'Offshore - Sydney'!B136))),2,IF(ISNUMBER(SEARCH("CEK:",'Offshore - Sydney'!N136)),1,0))</f>
        <v>1</v>
      </c>
    </row>
    <row r="536" customFormat="false" ht="28.35" hidden="false" customHeight="false" outlineLevel="0" collapsed="false">
      <c r="A536" s="63" t="s">
        <v>3533</v>
      </c>
      <c r="B536" s="64" t="s">
        <v>3833</v>
      </c>
      <c r="C536" s="63" t="s">
        <v>3707</v>
      </c>
      <c r="D536" s="64" t="str">
        <f aca="false">TRIM(LEFT('Offshore - Sydney'!A493,FIND(CHAR(10),'Offshore - Sydney'!A493&amp;CHAR(10))-1))</f>
        <v>International Institute of Business and Technology (IIBT)</v>
      </c>
      <c r="E536" s="63" t="str">
        <f aca="false">'Offshore - Sydney'!C493&amp;""</f>
        <v>1/2 year</v>
      </c>
      <c r="F536" s="63" t="str">
        <f aca="false">IF('Offshore - Sydney'!D493="","Belum tercatat",'Offshore - Sydney'!D493)</f>
        <v>Term</v>
      </c>
      <c r="G536" s="65" t="n">
        <f aca="false">IF('Offshore - Sydney'!E493="","-",'Offshore - Sydney'!E493)</f>
        <v>6000</v>
      </c>
      <c r="H536" s="63" t="n">
        <f aca="false">IF(ISNUMBER(K536),COUNTIFS($J$6:$J$1854,J536,$K$6:$K$1854,"&lt;"&amp;K536)+1,"-")</f>
        <v>10</v>
      </c>
      <c r="I536" s="64" t="str">
        <f aca="false">IF('Offshore - Sydney'!E493="","Harga belum tersedia - hubungi konsultan TEG",IF(M536=2,"Saat ini tidak menerima pendaftaran siswa internasional baru",IF(M536=1,"Harga perlu dikonfirmasi ke sekolah"&amp;IF(""="","","; "&amp;""),"")))</f>
        <v/>
      </c>
      <c r="J536" s="0" t="s">
        <v>3913</v>
      </c>
      <c r="K536" s="0" t="n">
        <f aca="false">IF(M536=2,"",IF(ISNUMBER(SEARCH("rata-rata:",'Offshore - Sydney'!N493)),VALUE(MID('Offshore - Sydney'!N493,SEARCH("rata-rata:",'Offshore - Sydney'!N493)+11,FIND(";",'Offshore - Sydney'!N493&amp;";",SEARCH("rata-rata:",'Offshore - Sydney'!N493))-SEARCH("rata-rata:",'Offshore - Sydney'!N493)-11)),IF('Offshore - Sydney'!D493="Semester",'Offshore - Sydney'!E493*2,IF('Offshore - Sydney'!D493="Trimester",'Offshore - Sydney'!E493*3,IF('Offshore - Sydney'!D493="Term",'Offshore - Sydney'!E493*4,IF('Offshore - Sydney'!D493="Unit",'Offshore - Sydney'!E493*8,""))))))</f>
        <v>24000</v>
      </c>
      <c r="L536" s="0" t="n">
        <f aca="false">IF(AND(ISNUMBER('Offshore - Sydney'!E493),ISNUMBER(K536),ISNUMBER('Offshore - Sydney'!F493),ISNUMBER('Offshore - Sydney'!G493),OR('Offshore - Sydney'!F493&lt;&gt;0,ISNUMBER(SEARCH("Material 0 terverifikasi",'Offshore - Sydney'!N493))),OR('Offshore - Sydney'!G493&lt;&gt;0,ISNUMBER(SEARCH("Enrolment 0 terverifikasi",'Offshore - Sydney'!N493)))),1,0)</f>
        <v>1</v>
      </c>
      <c r="M536" s="0" t="n">
        <f aca="false">IF(OR('Offshore - Sydney'!E493="",ISNUMBER(SEARCH("BSB80120",'Offshore - Sydney'!B493&amp;'Offshore - Sydney'!N493)),ISNUMBER(SEARCH("Management (Learning)",'Offshore - Sydney'!B493))),2,IF(ISNUMBER(SEARCH("CEK:",'Offshore - Sydney'!N493)),1,0))</f>
        <v>0</v>
      </c>
    </row>
    <row r="537" customFormat="false" ht="15" hidden="false" customHeight="false" outlineLevel="0" collapsed="false">
      <c r="A537" s="63" t="s">
        <v>3533</v>
      </c>
      <c r="B537" s="64" t="s">
        <v>3833</v>
      </c>
      <c r="C537" s="63" t="s">
        <v>3707</v>
      </c>
      <c r="D537" s="64" t="str">
        <f aca="false">TRIM(LEFT('Offshore - Sydney'!A354,FIND(CHAR(10),'Offshore - Sydney'!A354&amp;CHAR(10))-1))</f>
        <v>Charles Darwin University (CDU)</v>
      </c>
      <c r="E537" s="63" t="str">
        <f aca="false">'Offshore - Sydney'!C356&amp;""</f>
        <v>0,5 year</v>
      </c>
      <c r="F537" s="63" t="str">
        <f aca="false">IF('Offshore - Sydney'!D356="","Belum tercatat",'Offshore - Sydney'!D356)</f>
        <v>Term</v>
      </c>
      <c r="G537" s="65" t="n">
        <f aca="false">IF('Offshore - Sydney'!E356="","-",'Offshore - Sydney'!E356)</f>
        <v>9548</v>
      </c>
      <c r="H537" s="63" t="n">
        <f aca="false">IF(ISNUMBER(K537),COUNTIFS($J$6:$J$1854,J537,$K$6:$K$1854,"&lt;"&amp;K537)+1,"-")</f>
        <v>11</v>
      </c>
      <c r="I537" s="64" t="str">
        <f aca="false">IF('Offshore - Sydney'!E356="","Harga belum tersedia - hubungi konsultan TEG",IF(M537=2,"Saat ini tidak menerima pendaftaran siswa internasional baru",IF(M537=1,"Harga perlu dikonfirmasi ke sekolah"&amp;IF(""="","","; "&amp;""),"")))</f>
        <v/>
      </c>
      <c r="J537" s="0" t="s">
        <v>3913</v>
      </c>
      <c r="K537" s="0" t="n">
        <f aca="false">IF(M537=2,"",IF(ISNUMBER(SEARCH("rata-rata:",'Offshore - Sydney'!N356)),VALUE(MID('Offshore - Sydney'!N356,SEARCH("rata-rata:",'Offshore - Sydney'!N356)+11,FIND(";",'Offshore - Sydney'!N356&amp;";",SEARCH("rata-rata:",'Offshore - Sydney'!N356))-SEARCH("rata-rata:",'Offshore - Sydney'!N356)-11)),IF('Offshore - Sydney'!D356="Semester",'Offshore - Sydney'!E356*2,IF('Offshore - Sydney'!D356="Trimester",'Offshore - Sydney'!E356*3,IF('Offshore - Sydney'!D356="Term",'Offshore - Sydney'!E356*4,IF('Offshore - Sydney'!D356="Unit",'Offshore - Sydney'!E356*8,""))))))</f>
        <v>38192</v>
      </c>
      <c r="L537" s="0" t="n">
        <f aca="false">IF(AND(ISNUMBER('Offshore - Sydney'!E356),ISNUMBER(K537),ISNUMBER('Offshore - Sydney'!F356),ISNUMBER('Offshore - Sydney'!G356),OR('Offshore - Sydney'!F356&lt;&gt;0,ISNUMBER(SEARCH("Material 0 terverifikasi",'Offshore - Sydney'!N356))),OR('Offshore - Sydney'!G356&lt;&gt;0,ISNUMBER(SEARCH("Enrolment 0 terverifikasi",'Offshore - Sydney'!N356)))),1,0)</f>
        <v>0</v>
      </c>
      <c r="M537" s="0" t="n">
        <f aca="false">IF(OR('Offshore - Sydney'!E356="",ISNUMBER(SEARCH("BSB80120",'Offshore - Sydney'!B356&amp;'Offshore - Sydney'!N356)),ISNUMBER(SEARCH("Management (Learning)",'Offshore - Sydney'!B356))),2,IF(ISNUMBER(SEARCH("CEK:",'Offshore - Sydney'!N356)),1,0))</f>
        <v>0</v>
      </c>
    </row>
    <row r="538" customFormat="false" ht="15" hidden="false" customHeight="false" outlineLevel="0" collapsed="false">
      <c r="A538" s="63" t="s">
        <v>3533</v>
      </c>
      <c r="B538" s="64" t="s">
        <v>3833</v>
      </c>
      <c r="C538" s="63" t="s">
        <v>3707</v>
      </c>
      <c r="D538" s="64" t="str">
        <f aca="false">TRIM(LEFT('Offshore - Sydney'!A497,FIND(CHAR(10),'Offshore - Sydney'!A497&amp;CHAR(10))-1))</f>
        <v>Kaplan Business School</v>
      </c>
      <c r="E538" s="63" t="str">
        <f aca="false">'Offshore - Sydney'!C499&amp;""</f>
        <v>0,5 year</v>
      </c>
      <c r="F538" s="63" t="str">
        <f aca="false">IF('Offshore - Sydney'!D499="","Belum tercatat",'Offshore - Sydney'!D499)</f>
        <v>Trimester</v>
      </c>
      <c r="G538" s="65" t="n">
        <f aca="false">IF('Offshore - Sydney'!E499="","-",'Offshore - Sydney'!E499)</f>
        <v>19640</v>
      </c>
      <c r="H538" s="63" t="n">
        <f aca="false">IF(ISNUMBER(K538),COUNTIFS($J$6:$J$1854,J538,$K$6:$K$1854,"&lt;"&amp;K538)+1,"-")</f>
        <v>12</v>
      </c>
      <c r="I538" s="64" t="str">
        <f aca="false">IF('Offshore - Sydney'!E499="","Harga belum tersedia - hubungi konsultan TEG",IF(M538=2,"Saat ini tidak menerima pendaftaran siswa internasional baru",IF(M538=1,"Harga perlu dikonfirmasi ke sekolah"&amp;IF(""="","","; "&amp;""),"")))</f>
        <v>Harga perlu dikonfirmasi ke sekolah</v>
      </c>
      <c r="J538" s="0" t="s">
        <v>3913</v>
      </c>
      <c r="K538" s="0" t="n">
        <f aca="false">IF(M538=2,"",IF(ISNUMBER(SEARCH("rata-rata:",'Offshore - Sydney'!N499)),VALUE(MID('Offshore - Sydney'!N499,SEARCH("rata-rata:",'Offshore - Sydney'!N499)+11,FIND(";",'Offshore - Sydney'!N499&amp;";",SEARCH("rata-rata:",'Offshore - Sydney'!N499))-SEARCH("rata-rata:",'Offshore - Sydney'!N499)-11)),IF('Offshore - Sydney'!D499="Semester",'Offshore - Sydney'!E499*2,IF('Offshore - Sydney'!D499="Trimester",'Offshore - Sydney'!E499*3,IF('Offshore - Sydney'!D499="Term",'Offshore - Sydney'!E499*4,IF('Offshore - Sydney'!D499="Unit",'Offshore - Sydney'!E499*8,""))))))</f>
        <v>58920</v>
      </c>
      <c r="L538" s="0" t="n">
        <f aca="false">IF(AND(ISNUMBER('Offshore - Sydney'!E499),ISNUMBER(K538),ISNUMBER('Offshore - Sydney'!F499),ISNUMBER('Offshore - Sydney'!G499),OR('Offshore - Sydney'!F499&lt;&gt;0,ISNUMBER(SEARCH("Material 0 terverifikasi",'Offshore - Sydney'!N499))),OR('Offshore - Sydney'!G499&lt;&gt;0,ISNUMBER(SEARCH("Enrolment 0 terverifikasi",'Offshore - Sydney'!N499)))),1,0)</f>
        <v>1</v>
      </c>
      <c r="M538" s="0" t="n">
        <f aca="false">IF(OR('Offshore - Sydney'!E499="",ISNUMBER(SEARCH("BSB80120",'Offshore - Sydney'!B499&amp;'Offshore - Sydney'!N499)),ISNUMBER(SEARCH("Management (Learning)",'Offshore - Sydney'!B499))),2,IF(ISNUMBER(SEARCH("CEK:",'Offshore - Sydney'!N499)),1,0))</f>
        <v>1</v>
      </c>
    </row>
    <row r="539" customFormat="false" ht="28.35" hidden="false" customHeight="false" outlineLevel="0" collapsed="false">
      <c r="A539" s="63" t="s">
        <v>3533</v>
      </c>
      <c r="B539" s="64" t="s">
        <v>3833</v>
      </c>
      <c r="C539" s="63" t="s">
        <v>3707</v>
      </c>
      <c r="D539" s="64" t="str">
        <f aca="false">TRIM(LEFT('Offshore - Sydney'!A123,FIND(CHAR(10),'Offshore - Sydney'!A123&amp;CHAR(10))-1))</f>
        <v>Apeiro Institute</v>
      </c>
      <c r="E539" s="63" t="str">
        <f aca="false">'Offshore - Sydney'!C125&amp;""</f>
        <v>3 years</v>
      </c>
      <c r="F539" s="63" t="str">
        <f aca="false">IF('Offshore - Sydney'!D125="","Belum tercatat",'Offshore - Sydney'!D125)</f>
        <v>Term</v>
      </c>
      <c r="G539" s="65" t="n">
        <f aca="false">IF('Offshore - Sydney'!E125="","-",'Offshore - Sydney'!E125)</f>
        <v>2920</v>
      </c>
      <c r="H539" s="63" t="str">
        <f aca="false">IF(ISNUMBER(K539),COUNTIFS($J$6:$J$1854,J539,$K$6:$K$1854,"&lt;"&amp;K539)+1,"-")</f>
        <v>-</v>
      </c>
      <c r="I539" s="64" t="str">
        <f aca="false">IF('Offshore - Sydney'!E125="","Harga belum tersedia - hubungi konsultan TEG",IF(M539=2,"Saat ini tidak menerima pendaftaran siswa internasional baru",IF(M539=1,"Harga perlu dikonfirmasi ke sekolah"&amp;IF(""="","","; "&amp;""),"")))</f>
        <v>Saat ini tidak menerima pendaftaran siswa internasional baru</v>
      </c>
      <c r="J539" s="0" t="s">
        <v>3913</v>
      </c>
      <c r="K539" s="0" t="str">
        <f aca="false">IF(M539=2,"",IF(ISNUMBER(SEARCH("rata-rata:",'Offshore - Sydney'!N125)),VALUE(MID('Offshore - Sydney'!N125,SEARCH("rata-rata:",'Offshore - Sydney'!N125)+11,FIND(";",'Offshore - Sydney'!N125&amp;";",SEARCH("rata-rata:",'Offshore - Sydney'!N125))-SEARCH("rata-rata:",'Offshore - Sydney'!N125)-11)),IF('Offshore - Sydney'!D125="Semester",'Offshore - Sydney'!E125*2,IF('Offshore - Sydney'!D125="Trimester",'Offshore - Sydney'!E125*3,IF('Offshore - Sydney'!D125="Term",'Offshore - Sydney'!E125*4,IF('Offshore - Sydney'!D125="Unit",'Offshore - Sydney'!E125*8,""))))))</f>
        <v/>
      </c>
      <c r="L539" s="0" t="n">
        <f aca="false">IF(AND(ISNUMBER('Offshore - Sydney'!E125),ISNUMBER(K539),ISNUMBER('Offshore - Sydney'!F125),ISNUMBER('Offshore - Sydney'!G125),OR('Offshore - Sydney'!F125&lt;&gt;0,ISNUMBER(SEARCH("Material 0 terverifikasi",'Offshore - Sydney'!N125))),OR('Offshore - Sydney'!G125&lt;&gt;0,ISNUMBER(SEARCH("Enrolment 0 terverifikasi",'Offshore - Sydney'!N125)))),1,0)</f>
        <v>0</v>
      </c>
      <c r="M539" s="0" t="n">
        <f aca="false">IF(OR('Offshore - Sydney'!E125="",ISNUMBER(SEARCH("BSB80120",'Offshore - Sydney'!B125&amp;'Offshore - Sydney'!N125)),ISNUMBER(SEARCH("Management (Learning)",'Offshore - Sydney'!B125))),2,IF(ISNUMBER(SEARCH("CEK:",'Offshore - Sydney'!N125)),1,0))</f>
        <v>2</v>
      </c>
    </row>
    <row r="540" customFormat="false" ht="28.35" hidden="false" customHeight="false" outlineLevel="0" collapsed="false">
      <c r="A540" s="63" t="s">
        <v>3533</v>
      </c>
      <c r="B540" s="64" t="s">
        <v>3833</v>
      </c>
      <c r="C540" s="63" t="s">
        <v>3707</v>
      </c>
      <c r="D540" s="64" t="str">
        <f aca="false">TRIM(LEFT('Offshore - Sydney'!A261,FIND(CHAR(10),'Offshore - Sydney'!A261&amp;CHAR(10))-1))</f>
        <v>Australian College of Business Intelligence (ACBI)</v>
      </c>
      <c r="E540" s="63" t="str">
        <f aca="false">'Offshore - Sydney'!C265&amp;""</f>
        <v>104 weeks (8 terms)</v>
      </c>
      <c r="F540" s="63" t="str">
        <f aca="false">IF('Offshore - Sydney'!D265="","Belum tercatat",'Offshore - Sydney'!D265)</f>
        <v>Term</v>
      </c>
      <c r="G540" s="65" t="n">
        <f aca="false">IF('Offshore - Sydney'!E265="","-",'Offshore - Sydney'!E265)</f>
        <v>1980</v>
      </c>
      <c r="H540" s="63" t="str">
        <f aca="false">IF(ISNUMBER(K540),COUNTIFS($J$6:$J$1854,J540,$K$6:$K$1854,"&lt;"&amp;K540)+1,"-")</f>
        <v>-</v>
      </c>
      <c r="I540" s="64" t="str">
        <f aca="false">IF('Offshore - Sydney'!E265="","Harga belum tersedia - hubungi konsultan TEG",IF(M540=2,"Saat ini tidak menerima pendaftaran siswa internasional baru",IF(M540=1,"Harga perlu dikonfirmasi ke sekolah"&amp;IF(""="","","; "&amp;""),"")))</f>
        <v>Saat ini tidak menerima pendaftaran siswa internasional baru</v>
      </c>
      <c r="J540" s="0" t="s">
        <v>3913</v>
      </c>
      <c r="K540" s="0" t="str">
        <f aca="false">IF(M540=2,"",IF(ISNUMBER(SEARCH("rata-rata:",'Offshore - Sydney'!N265)),VALUE(MID('Offshore - Sydney'!N265,SEARCH("rata-rata:",'Offshore - Sydney'!N265)+11,FIND(";",'Offshore - Sydney'!N265&amp;";",SEARCH("rata-rata:",'Offshore - Sydney'!N265))-SEARCH("rata-rata:",'Offshore - Sydney'!N265)-11)),IF('Offshore - Sydney'!D265="Semester",'Offshore - Sydney'!E265*2,IF('Offshore - Sydney'!D265="Trimester",'Offshore - Sydney'!E265*3,IF('Offshore - Sydney'!D265="Term",'Offshore - Sydney'!E265*4,IF('Offshore - Sydney'!D265="Unit",'Offshore - Sydney'!E265*8,""))))))</f>
        <v/>
      </c>
      <c r="L540" s="0" t="n">
        <f aca="false">IF(AND(ISNUMBER('Offshore - Sydney'!E265),ISNUMBER(K540),ISNUMBER('Offshore - Sydney'!F265),ISNUMBER('Offshore - Sydney'!G265),OR('Offshore - Sydney'!F265&lt;&gt;0,ISNUMBER(SEARCH("Material 0 terverifikasi",'Offshore - Sydney'!N265))),OR('Offshore - Sydney'!G265&lt;&gt;0,ISNUMBER(SEARCH("Enrolment 0 terverifikasi",'Offshore - Sydney'!N265)))),1,0)</f>
        <v>0</v>
      </c>
      <c r="M540" s="0" t="n">
        <f aca="false">IF(OR('Offshore - Sydney'!E265="",ISNUMBER(SEARCH("BSB80120",'Offshore - Sydney'!B265&amp;'Offshore - Sydney'!N265)),ISNUMBER(SEARCH("Management (Learning)",'Offshore - Sydney'!B265))),2,IF(ISNUMBER(SEARCH("CEK:",'Offshore - Sydney'!N265)),1,0))</f>
        <v>2</v>
      </c>
    </row>
    <row r="541" customFormat="false" ht="28.35" hidden="false" customHeight="false" outlineLevel="0" collapsed="false">
      <c r="A541" s="63" t="s">
        <v>3533</v>
      </c>
      <c r="B541" s="64" t="s">
        <v>3833</v>
      </c>
      <c r="C541" s="63" t="s">
        <v>3707</v>
      </c>
      <c r="D541" s="64" t="str">
        <f aca="false">TRIM(LEFT('Offshore - Sydney'!A800,FIND(CHAR(10),'Offshore - Sydney'!A800&amp;CHAR(10))-1))</f>
        <v>Times Academy</v>
      </c>
      <c r="E541" s="63" t="str">
        <f aca="false">'Offshore - Sydney'!C803&amp;""</f>
        <v>1 year</v>
      </c>
      <c r="F541" s="63" t="str">
        <f aca="false">IF('Offshore - Sydney'!D803="","Belum tercatat",'Offshore - Sydney'!D803)</f>
        <v>Term</v>
      </c>
      <c r="G541" s="65" t="n">
        <f aca="false">IF('Offshore - Sydney'!E803="","-",'Offshore - Sydney'!E803)</f>
        <v>2000</v>
      </c>
      <c r="H541" s="63" t="str">
        <f aca="false">IF(ISNUMBER(K541),COUNTIFS($J$6:$J$1854,J541,$K$6:$K$1854,"&lt;"&amp;K541)+1,"-")</f>
        <v>-</v>
      </c>
      <c r="I541" s="64" t="str">
        <f aca="false">IF('Offshore - Sydney'!E803="","Harga belum tersedia - hubungi konsultan TEG",IF(M541=2,"Saat ini tidak menerima pendaftaran siswa internasional baru",IF(M541=1,"Harga perlu dikonfirmasi ke sekolah"&amp;IF(""="","","; "&amp;""),"")))</f>
        <v>Saat ini tidak menerima pendaftaran siswa internasional baru</v>
      </c>
      <c r="J541" s="0" t="s">
        <v>3913</v>
      </c>
      <c r="K541" s="0" t="str">
        <f aca="false">IF(M541=2,"",IF(ISNUMBER(SEARCH("rata-rata:",'Offshore - Sydney'!N803)),VALUE(MID('Offshore - Sydney'!N803,SEARCH("rata-rata:",'Offshore - Sydney'!N803)+11,FIND(";",'Offshore - Sydney'!N803&amp;";",SEARCH("rata-rata:",'Offshore - Sydney'!N803))-SEARCH("rata-rata:",'Offshore - Sydney'!N803)-11)),IF('Offshore - Sydney'!D803="Semester",'Offshore - Sydney'!E803*2,IF('Offshore - Sydney'!D803="Trimester",'Offshore - Sydney'!E803*3,IF('Offshore - Sydney'!D803="Term",'Offshore - Sydney'!E803*4,IF('Offshore - Sydney'!D803="Unit",'Offshore - Sydney'!E803*8,""))))))</f>
        <v/>
      </c>
      <c r="L541" s="0" t="n">
        <f aca="false">IF(AND(ISNUMBER('Offshore - Sydney'!E803),ISNUMBER(K541),ISNUMBER('Offshore - Sydney'!F803),ISNUMBER('Offshore - Sydney'!G803),OR('Offshore - Sydney'!F803&lt;&gt;0,ISNUMBER(SEARCH("Material 0 terverifikasi",'Offshore - Sydney'!N803))),OR('Offshore - Sydney'!G803&lt;&gt;0,ISNUMBER(SEARCH("Enrolment 0 terverifikasi",'Offshore - Sydney'!N803)))),1,0)</f>
        <v>0</v>
      </c>
      <c r="M541" s="0" t="n">
        <f aca="false">IF(OR('Offshore - Sydney'!E803="",ISNUMBER(SEARCH("BSB80120",'Offshore - Sydney'!B803&amp;'Offshore - Sydney'!N803)),ISNUMBER(SEARCH("Management (Learning)",'Offshore - Sydney'!B803))),2,IF(ISNUMBER(SEARCH("CEK:",'Offshore - Sydney'!N803)),1,0))</f>
        <v>2</v>
      </c>
    </row>
    <row r="542" customFormat="false" ht="28.35" hidden="false" customHeight="false" outlineLevel="0" collapsed="false">
      <c r="A542" s="63" t="s">
        <v>3533</v>
      </c>
      <c r="B542" s="64" t="s">
        <v>3833</v>
      </c>
      <c r="C542" s="63" t="s">
        <v>3707</v>
      </c>
      <c r="D542" s="64" t="str">
        <f aca="false">TRIM(LEFT('Offshore - Sydney'!A948,FIND(CHAR(10),'Offshore - Sydney'!A948&amp;CHAR(10))-1))</f>
        <v>Warwick Institute of Australia</v>
      </c>
      <c r="E542" s="63" t="str">
        <f aca="false">'Offshore - Sydney'!C952&amp;""</f>
        <v>1 year</v>
      </c>
      <c r="F542" s="63" t="str">
        <f aca="false">IF('Offshore - Sydney'!D952="","Belum tercatat",'Offshore - Sydney'!D952)</f>
        <v>Term</v>
      </c>
      <c r="G542" s="65" t="n">
        <f aca="false">IF('Offshore - Sydney'!E952="","-",'Offshore - Sydney'!E952)</f>
        <v>2000</v>
      </c>
      <c r="H542" s="63" t="str">
        <f aca="false">IF(ISNUMBER(K542),COUNTIFS($J$6:$J$1854,J542,$K$6:$K$1854,"&lt;"&amp;K542)+1,"-")</f>
        <v>-</v>
      </c>
      <c r="I542" s="64" t="str">
        <f aca="false">IF('Offshore - Sydney'!E952="","Harga belum tersedia - hubungi konsultan TEG",IF(M542=2,"Saat ini tidak menerima pendaftaran siswa internasional baru",IF(M542=1,"Harga perlu dikonfirmasi ke sekolah"&amp;IF(""="","","; "&amp;""),"")))</f>
        <v>Saat ini tidak menerima pendaftaran siswa internasional baru</v>
      </c>
      <c r="J542" s="0" t="s">
        <v>3913</v>
      </c>
      <c r="K542" s="0" t="str">
        <f aca="false">IF(M542=2,"",IF(ISNUMBER(SEARCH("rata-rata:",'Offshore - Sydney'!N952)),VALUE(MID('Offshore - Sydney'!N952,SEARCH("rata-rata:",'Offshore - Sydney'!N952)+11,FIND(";",'Offshore - Sydney'!N952&amp;";",SEARCH("rata-rata:",'Offshore - Sydney'!N952))-SEARCH("rata-rata:",'Offshore - Sydney'!N952)-11)),IF('Offshore - Sydney'!D952="Semester",'Offshore - Sydney'!E952*2,IF('Offshore - Sydney'!D952="Trimester",'Offshore - Sydney'!E952*3,IF('Offshore - Sydney'!D952="Term",'Offshore - Sydney'!E952*4,IF('Offshore - Sydney'!D952="Unit",'Offshore - Sydney'!E952*8,""))))))</f>
        <v/>
      </c>
      <c r="L542" s="0" t="n">
        <f aca="false">IF(AND(ISNUMBER('Offshore - Sydney'!E952),ISNUMBER(K542),ISNUMBER('Offshore - Sydney'!F952),ISNUMBER('Offshore - Sydney'!G952),OR('Offshore - Sydney'!F952&lt;&gt;0,ISNUMBER(SEARCH("Material 0 terverifikasi",'Offshore - Sydney'!N952))),OR('Offshore - Sydney'!G952&lt;&gt;0,ISNUMBER(SEARCH("Enrolment 0 terverifikasi",'Offshore - Sydney'!N952)))),1,0)</f>
        <v>0</v>
      </c>
      <c r="M542" s="0" t="n">
        <f aca="false">IF(OR('Offshore - Sydney'!E952="",ISNUMBER(SEARCH("BSB80120",'Offshore - Sydney'!B952&amp;'Offshore - Sydney'!N952)),ISNUMBER(SEARCH("Management (Learning)",'Offshore - Sydney'!B952))),2,IF(ISNUMBER(SEARCH("CEK:",'Offshore - Sydney'!N952)),1,0))</f>
        <v>2</v>
      </c>
    </row>
    <row r="543" customFormat="false" ht="15" hidden="false" customHeight="false" outlineLevel="0" collapsed="false">
      <c r="A543" s="61" t="s">
        <v>3914</v>
      </c>
      <c r="B543" s="62"/>
      <c r="C543" s="62"/>
      <c r="D543" s="62"/>
      <c r="E543" s="62"/>
      <c r="F543" s="62"/>
      <c r="G543" s="62"/>
      <c r="H543" s="62"/>
      <c r="I543" s="62"/>
    </row>
    <row r="544" customFormat="false" ht="15" hidden="false" customHeight="false" outlineLevel="0" collapsed="false">
      <c r="A544" s="63" t="s">
        <v>3533</v>
      </c>
      <c r="B544" s="64" t="s">
        <v>3833</v>
      </c>
      <c r="C544" s="63" t="s">
        <v>46</v>
      </c>
      <c r="D544" s="64" t="str">
        <f aca="false">TRIM(LEFT('Offshore - Sydney'!A149,FIND(CHAR(10),'Offshore - Sydney'!A149&amp;CHAR(10))-1))</f>
        <v>Australian Agribusiness Institute</v>
      </c>
      <c r="E544" s="63" t="str">
        <f aca="false">'Offshore - Sydney'!C151&amp;""</f>
        <v>2 years</v>
      </c>
      <c r="F544" s="63" t="str">
        <f aca="false">IF('Offshore - Sydney'!D151="","Belum tercatat",'Offshore - Sydney'!D151)</f>
        <v>Term</v>
      </c>
      <c r="G544" s="65" t="n">
        <f aca="false">IF('Offshore - Sydney'!E151="","-",'Offshore - Sydney'!E151)</f>
        <v>3500</v>
      </c>
      <c r="H544" s="63" t="n">
        <f aca="false">IF(ISNUMBER(K544),COUNTIFS($J$6:$J$1854,J544,$K$6:$K$1854,"&lt;"&amp;K544)+1,"-")</f>
        <v>1</v>
      </c>
      <c r="I544" s="64" t="str">
        <f aca="false">IF('Offshore - Sydney'!E151="","Harga belum tersedia - hubungi konsultan TEG",IF(M544=2,"Saat ini tidak menerima pendaftaran siswa internasional baru",IF(M544=1,"Harga perlu dikonfirmasi ke sekolah"&amp;IF(""="","","; "&amp;""),"")))</f>
        <v>Harga perlu dikonfirmasi ke sekolah</v>
      </c>
      <c r="J544" s="0" t="s">
        <v>3915</v>
      </c>
      <c r="K544" s="0" t="n">
        <f aca="false">IF(M544=2,"",IF(ISNUMBER(SEARCH("rata-rata:",'Offshore - Sydney'!N151)),VALUE(MID('Offshore - Sydney'!N151,SEARCH("rata-rata:",'Offshore - Sydney'!N151)+11,FIND(";",'Offshore - Sydney'!N151&amp;";",SEARCH("rata-rata:",'Offshore - Sydney'!N151))-SEARCH("rata-rata:",'Offshore - Sydney'!N151)-11)),IF('Offshore - Sydney'!D151="Semester",'Offshore - Sydney'!E151*2,IF('Offshore - Sydney'!D151="Trimester",'Offshore - Sydney'!E151*3,IF('Offshore - Sydney'!D151="Term",'Offshore - Sydney'!E151*4,IF('Offshore - Sydney'!D151="Unit",'Offshore - Sydney'!E151*8,""))))))</f>
        <v>14000</v>
      </c>
      <c r="L544" s="0" t="n">
        <f aca="false">IF(AND(ISNUMBER('Offshore - Sydney'!E151),ISNUMBER(K544),ISNUMBER('Offshore - Sydney'!F151),ISNUMBER('Offshore - Sydney'!G151),OR('Offshore - Sydney'!F151&lt;&gt;0,ISNUMBER(SEARCH("Material 0 terverifikasi",'Offshore - Sydney'!N151))),OR('Offshore - Sydney'!G151&lt;&gt;0,ISNUMBER(SEARCH("Enrolment 0 terverifikasi",'Offshore - Sydney'!N151)))),1,0)</f>
        <v>0</v>
      </c>
      <c r="M544" s="0" t="n">
        <f aca="false">IF(OR('Offshore - Sydney'!E151="",ISNUMBER(SEARCH("BSB80120",'Offshore - Sydney'!B151&amp;'Offshore - Sydney'!N151)),ISNUMBER(SEARCH("Management (Learning)",'Offshore - Sydney'!B151))),2,IF(ISNUMBER(SEARCH("CEK:",'Offshore - Sydney'!N151)),1,0))</f>
        <v>1</v>
      </c>
    </row>
    <row r="545" customFormat="false" ht="15" hidden="false" customHeight="false" outlineLevel="0" collapsed="false">
      <c r="A545" s="63" t="s">
        <v>3533</v>
      </c>
      <c r="B545" s="64" t="s">
        <v>3833</v>
      </c>
      <c r="C545" s="63" t="s">
        <v>46</v>
      </c>
      <c r="D545" s="64" t="str">
        <f aca="false">TRIM(LEFT('Offshore - Sydney'!A153,FIND(CHAR(10),'Offshore - Sydney'!A153&amp;CHAR(10))-1))</f>
        <v>Australian Business Institute (ABI)</v>
      </c>
      <c r="E545" s="63" t="str">
        <f aca="false">'Offshore - Sydney'!C155&amp;""</f>
        <v>2 years</v>
      </c>
      <c r="F545" s="63" t="str">
        <f aca="false">IF('Offshore - Sydney'!D155="","Belum tercatat",'Offshore - Sydney'!D155)</f>
        <v>Term</v>
      </c>
      <c r="G545" s="65" t="n">
        <f aca="false">IF('Offshore - Sydney'!E155="","-",'Offshore - Sydney'!E155)</f>
        <v>3500</v>
      </c>
      <c r="H545" s="63" t="n">
        <f aca="false">IF(ISNUMBER(K545),COUNTIFS($J$6:$J$1854,J545,$K$6:$K$1854,"&lt;"&amp;K545)+1,"-")</f>
        <v>1</v>
      </c>
      <c r="I545" s="64" t="str">
        <f aca="false">IF('Offshore - Sydney'!E155="","Harga belum tersedia - hubungi konsultan TEG",IF(M545=2,"Saat ini tidak menerima pendaftaran siswa internasional baru",IF(M545=1,"Harga perlu dikonfirmasi ke sekolah"&amp;IF(""="","","; "&amp;""),"")))</f>
        <v/>
      </c>
      <c r="J545" s="0" t="s">
        <v>3915</v>
      </c>
      <c r="K545" s="0" t="n">
        <f aca="false">IF(M545=2,"",IF(ISNUMBER(SEARCH("rata-rata:",'Offshore - Sydney'!N155)),VALUE(MID('Offshore - Sydney'!N155,SEARCH("rata-rata:",'Offshore - Sydney'!N155)+11,FIND(";",'Offshore - Sydney'!N155&amp;";",SEARCH("rata-rata:",'Offshore - Sydney'!N155))-SEARCH("rata-rata:",'Offshore - Sydney'!N155)-11)),IF('Offshore - Sydney'!D155="Semester",'Offshore - Sydney'!E155*2,IF('Offshore - Sydney'!D155="Trimester",'Offshore - Sydney'!E155*3,IF('Offshore - Sydney'!D155="Term",'Offshore - Sydney'!E155*4,IF('Offshore - Sydney'!D155="Unit",'Offshore - Sydney'!E155*8,""))))))</f>
        <v>14000</v>
      </c>
      <c r="L545" s="0" t="n">
        <f aca="false">IF(AND(ISNUMBER('Offshore - Sydney'!E155),ISNUMBER(K545),ISNUMBER('Offshore - Sydney'!F155),ISNUMBER('Offshore - Sydney'!G155),OR('Offshore - Sydney'!F155&lt;&gt;0,ISNUMBER(SEARCH("Material 0 terverifikasi",'Offshore - Sydney'!N155))),OR('Offshore - Sydney'!G155&lt;&gt;0,ISNUMBER(SEARCH("Enrolment 0 terverifikasi",'Offshore - Sydney'!N155)))),1,0)</f>
        <v>0</v>
      </c>
      <c r="M545" s="0" t="n">
        <f aca="false">IF(OR('Offshore - Sydney'!E155="",ISNUMBER(SEARCH("BSB80120",'Offshore - Sydney'!B155&amp;'Offshore - Sydney'!N155)),ISNUMBER(SEARCH("Management (Learning)",'Offshore - Sydney'!B155))),2,IF(ISNUMBER(SEARCH("CEK:",'Offshore - Sydney'!N155)),1,0))</f>
        <v>0</v>
      </c>
    </row>
    <row r="546" customFormat="false" ht="15" hidden="false" customHeight="false" outlineLevel="0" collapsed="false">
      <c r="A546" s="63" t="s">
        <v>3533</v>
      </c>
      <c r="B546" s="64" t="s">
        <v>3833</v>
      </c>
      <c r="C546" s="63" t="s">
        <v>46</v>
      </c>
      <c r="D546" s="64" t="str">
        <f aca="false">TRIM(LEFT('Offshore - Sydney'!A64,FIND(CHAR(10),'Offshore - Sydney'!A64&amp;CHAR(10))-1))</f>
        <v>AIBI Higher Education</v>
      </c>
      <c r="E546" s="63" t="str">
        <f aca="false">'Offshore - Sydney'!C69&amp;""</f>
        <v>2 years</v>
      </c>
      <c r="F546" s="63" t="str">
        <f aca="false">IF('Offshore - Sydney'!D69="","Belum tercatat",'Offshore - Sydney'!D69)</f>
        <v>Term</v>
      </c>
      <c r="G546" s="65" t="n">
        <f aca="false">IF('Offshore - Sydney'!E69="","-",'Offshore - Sydney'!E69)</f>
        <v>4050</v>
      </c>
      <c r="H546" s="63" t="n">
        <f aca="false">IF(ISNUMBER(K546),COUNTIFS($J$6:$J$1854,J546,$K$6:$K$1854,"&lt;"&amp;K546)+1,"-")</f>
        <v>3</v>
      </c>
      <c r="I546" s="64" t="str">
        <f aca="false">IF('Offshore - Sydney'!E69="","Harga belum tersedia - hubungi konsultan TEG",IF(M546=2,"Saat ini tidak menerima pendaftaran siswa internasional baru",IF(M546=1,"Harga perlu dikonfirmasi ke sekolah"&amp;IF(""="","","; "&amp;""),"")))</f>
        <v>Harga perlu dikonfirmasi ke sekolah</v>
      </c>
      <c r="J546" s="0" t="s">
        <v>3915</v>
      </c>
      <c r="K546" s="0" t="n">
        <f aca="false">IF(M546=2,"",IF(ISNUMBER(SEARCH("rata-rata:",'Offshore - Sydney'!N69)),VALUE(MID('Offshore - Sydney'!N69,SEARCH("rata-rata:",'Offshore - Sydney'!N69)+11,FIND(";",'Offshore - Sydney'!N69&amp;";",SEARCH("rata-rata:",'Offshore - Sydney'!N69))-SEARCH("rata-rata:",'Offshore - Sydney'!N69)-11)),IF('Offshore - Sydney'!D69="Semester",'Offshore - Sydney'!E69*2,IF('Offshore - Sydney'!D69="Trimester",'Offshore - Sydney'!E69*3,IF('Offshore - Sydney'!D69="Term",'Offshore - Sydney'!E69*4,IF('Offshore - Sydney'!D69="Unit",'Offshore - Sydney'!E69*8,""))))))</f>
        <v>16200</v>
      </c>
      <c r="L546" s="0" t="n">
        <f aca="false">IF(AND(ISNUMBER('Offshore - Sydney'!E69),ISNUMBER(K546),ISNUMBER('Offshore - Sydney'!F69),ISNUMBER('Offshore - Sydney'!G69),OR('Offshore - Sydney'!F69&lt;&gt;0,ISNUMBER(SEARCH("Material 0 terverifikasi",'Offshore - Sydney'!N69))),OR('Offshore - Sydney'!G69&lt;&gt;0,ISNUMBER(SEARCH("Enrolment 0 terverifikasi",'Offshore - Sydney'!N69)))),1,0)</f>
        <v>0</v>
      </c>
      <c r="M546" s="0" t="n">
        <f aca="false">IF(OR('Offshore - Sydney'!E69="",ISNUMBER(SEARCH("BSB80120",'Offshore - Sydney'!B69&amp;'Offshore - Sydney'!N69)),ISNUMBER(SEARCH("Management (Learning)",'Offshore - Sydney'!B69))),2,IF(ISNUMBER(SEARCH("CEK:",'Offshore - Sydney'!N69)),1,0))</f>
        <v>1</v>
      </c>
    </row>
    <row r="547" customFormat="false" ht="15" hidden="false" customHeight="false" outlineLevel="0" collapsed="false">
      <c r="A547" s="63" t="s">
        <v>3533</v>
      </c>
      <c r="B547" s="64" t="s">
        <v>3833</v>
      </c>
      <c r="C547" s="63" t="s">
        <v>46</v>
      </c>
      <c r="D547" s="64" t="str">
        <f aca="false">TRIM(LEFT('Offshore - Sydney'!A382,FIND(CHAR(10),'Offshore - Sydney'!A382&amp;CHAR(10))-1))</f>
        <v>CIHE Australia</v>
      </c>
      <c r="E547" s="63" t="str">
        <f aca="false">'Offshore - Sydney'!C393&amp;""</f>
        <v>1,5 years</v>
      </c>
      <c r="F547" s="63" t="str">
        <f aca="false">IF('Offshore - Sydney'!D393="","Belum tercatat",'Offshore - Sydney'!D393)</f>
        <v>Term</v>
      </c>
      <c r="G547" s="65" t="n">
        <f aca="false">IF('Offshore - Sydney'!E393="","-",'Offshore - Sydney'!E393)</f>
        <v>4125</v>
      </c>
      <c r="H547" s="63" t="n">
        <f aca="false">IF(ISNUMBER(K547),COUNTIFS($J$6:$J$1854,J547,$K$6:$K$1854,"&lt;"&amp;K547)+1,"-")</f>
        <v>4</v>
      </c>
      <c r="I547" s="64" t="str">
        <f aca="false">IF('Offshore - Sydney'!E393="","Harga belum tersedia - hubungi konsultan TEG",IF(M547=2,"Saat ini tidak menerima pendaftaran siswa internasional baru",IF(M547=1,"Harga perlu dikonfirmasi ke sekolah"&amp;IF(""="","","; "&amp;""),"")))</f>
        <v>Harga perlu dikonfirmasi ke sekolah</v>
      </c>
      <c r="J547" s="0" t="s">
        <v>3915</v>
      </c>
      <c r="K547" s="0" t="n">
        <f aca="false">IF(M547=2,"",IF(ISNUMBER(SEARCH("rata-rata:",'Offshore - Sydney'!N393)),VALUE(MID('Offshore - Sydney'!N393,SEARCH("rata-rata:",'Offshore - Sydney'!N393)+11,FIND(";",'Offshore - Sydney'!N393&amp;";",SEARCH("rata-rata:",'Offshore - Sydney'!N393))-SEARCH("rata-rata:",'Offshore - Sydney'!N393)-11)),IF('Offshore - Sydney'!D393="Semester",'Offshore - Sydney'!E393*2,IF('Offshore - Sydney'!D393="Trimester",'Offshore - Sydney'!E393*3,IF('Offshore - Sydney'!D393="Term",'Offshore - Sydney'!E393*4,IF('Offshore - Sydney'!D393="Unit",'Offshore - Sydney'!E393*8,""))))))</f>
        <v>16500</v>
      </c>
      <c r="L547" s="0" t="n">
        <f aca="false">IF(AND(ISNUMBER('Offshore - Sydney'!E393),ISNUMBER(K547),ISNUMBER('Offshore - Sydney'!F393),ISNUMBER('Offshore - Sydney'!G393),OR('Offshore - Sydney'!F393&lt;&gt;0,ISNUMBER(SEARCH("Material 0 terverifikasi",'Offshore - Sydney'!N393))),OR('Offshore - Sydney'!G393&lt;&gt;0,ISNUMBER(SEARCH("Enrolment 0 terverifikasi",'Offshore - Sydney'!N393)))),1,0)</f>
        <v>1</v>
      </c>
      <c r="M547" s="0" t="n">
        <f aca="false">IF(OR('Offshore - Sydney'!E393="",ISNUMBER(SEARCH("BSB80120",'Offshore - Sydney'!B393&amp;'Offshore - Sydney'!N393)),ISNUMBER(SEARCH("Management (Learning)",'Offshore - Sydney'!B393))),2,IF(ISNUMBER(SEARCH("CEK:",'Offshore - Sydney'!N393)),1,0))</f>
        <v>1</v>
      </c>
    </row>
    <row r="548" customFormat="false" ht="28.35" hidden="false" customHeight="false" outlineLevel="0" collapsed="false">
      <c r="A548" s="63" t="s">
        <v>3533</v>
      </c>
      <c r="B548" s="64" t="s">
        <v>3833</v>
      </c>
      <c r="C548" s="63" t="s">
        <v>46</v>
      </c>
      <c r="D548" s="64" t="str">
        <f aca="false">TRIM(LEFT('Offshore - Sydney'!A590,FIND(CHAR(10),'Offshore - Sydney'!A590&amp;CHAR(10))-1))</f>
        <v>National Academy of Professional Studies (NAPS)</v>
      </c>
      <c r="E548" s="63" t="str">
        <f aca="false">'Offshore - Sydney'!C595&amp;""</f>
        <v>2 years</v>
      </c>
      <c r="F548" s="63" t="str">
        <f aca="false">IF('Offshore - Sydney'!D595="","Belum tercatat",'Offshore - Sydney'!D595)</f>
        <v>Term</v>
      </c>
      <c r="G548" s="65" t="n">
        <f aca="false">IF('Offshore - Sydney'!E595="","-",'Offshore - Sydney'!E595)</f>
        <v>4250</v>
      </c>
      <c r="H548" s="63" t="n">
        <f aca="false">IF(ISNUMBER(K548),COUNTIFS($J$6:$J$1854,J548,$K$6:$K$1854,"&lt;"&amp;K548)+1,"-")</f>
        <v>5</v>
      </c>
      <c r="I548" s="64" t="str">
        <f aca="false">IF('Offshore - Sydney'!E595="","Harga belum tersedia - hubungi konsultan TEG",IF(M548=2,"Saat ini tidak menerima pendaftaran siswa internasional baru",IF(M548=1,"Harga perlu dikonfirmasi ke sekolah"&amp;IF(""="","","; "&amp;""),"")))</f>
        <v>Harga perlu dikonfirmasi ke sekolah</v>
      </c>
      <c r="J548" s="0" t="s">
        <v>3915</v>
      </c>
      <c r="K548" s="0" t="n">
        <f aca="false">IF(M548=2,"",IF(ISNUMBER(SEARCH("rata-rata:",'Offshore - Sydney'!N595)),VALUE(MID('Offshore - Sydney'!N595,SEARCH("rata-rata:",'Offshore - Sydney'!N595)+11,FIND(";",'Offshore - Sydney'!N595&amp;";",SEARCH("rata-rata:",'Offshore - Sydney'!N595))-SEARCH("rata-rata:",'Offshore - Sydney'!N595)-11)),IF('Offshore - Sydney'!D595="Semester",'Offshore - Sydney'!E595*2,IF('Offshore - Sydney'!D595="Trimester",'Offshore - Sydney'!E595*3,IF('Offshore - Sydney'!D595="Term",'Offshore - Sydney'!E595*4,IF('Offshore - Sydney'!D595="Unit",'Offshore - Sydney'!E595*8,""))))))</f>
        <v>17000</v>
      </c>
      <c r="L548" s="0" t="n">
        <f aca="false">IF(AND(ISNUMBER('Offshore - Sydney'!E595),ISNUMBER(K548),ISNUMBER('Offshore - Sydney'!F595),ISNUMBER('Offshore - Sydney'!G595),OR('Offshore - Sydney'!F595&lt;&gt;0,ISNUMBER(SEARCH("Material 0 terverifikasi",'Offshore - Sydney'!N595))),OR('Offshore - Sydney'!G595&lt;&gt;0,ISNUMBER(SEARCH("Enrolment 0 terverifikasi",'Offshore - Sydney'!N595)))),1,0)</f>
        <v>1</v>
      </c>
      <c r="M548" s="0" t="n">
        <f aca="false">IF(OR('Offshore - Sydney'!E595="",ISNUMBER(SEARCH("BSB80120",'Offshore - Sydney'!B595&amp;'Offshore - Sydney'!N595)),ISNUMBER(SEARCH("Management (Learning)",'Offshore - Sydney'!B595))),2,IF(ISNUMBER(SEARCH("CEK:",'Offshore - Sydney'!N595)),1,0))</f>
        <v>1</v>
      </c>
    </row>
    <row r="549" customFormat="false" ht="15" hidden="false" customHeight="false" outlineLevel="0" collapsed="false">
      <c r="A549" s="63" t="s">
        <v>3533</v>
      </c>
      <c r="B549" s="64" t="s">
        <v>3833</v>
      </c>
      <c r="C549" s="63" t="s">
        <v>46</v>
      </c>
      <c r="D549" s="64" t="str">
        <f aca="false">TRIM(LEFT('Offshore - Sydney'!A791,FIND(CHAR(10),'Offshore - Sydney'!A791&amp;CHAR(10))-1))</f>
        <v>The Institute of International Studies (TIIS)</v>
      </c>
      <c r="E549" s="63" t="str">
        <f aca="false">'Offshore - Sydney'!C795&amp;""</f>
        <v>2 years</v>
      </c>
      <c r="F549" s="63" t="str">
        <f aca="false">IF('Offshore - Sydney'!D795="","Belum tercatat",'Offshore - Sydney'!D795)</f>
        <v>Term</v>
      </c>
      <c r="G549" s="65" t="n">
        <f aca="false">IF('Offshore - Sydney'!E795="","-",'Offshore - Sydney'!E795)</f>
        <v>4500</v>
      </c>
      <c r="H549" s="63" t="n">
        <f aca="false">IF(ISNUMBER(K549),COUNTIFS($J$6:$J$1854,J549,$K$6:$K$1854,"&lt;"&amp;K549)+1,"-")</f>
        <v>6</v>
      </c>
      <c r="I549" s="64" t="str">
        <f aca="false">IF('Offshore - Sydney'!E795="","Harga belum tersedia - hubungi konsultan TEG",IF(M549=2,"Saat ini tidak menerima pendaftaran siswa internasional baru",IF(M549=1,"Harga perlu dikonfirmasi ke sekolah"&amp;IF(""="","","; "&amp;""),"")))</f>
        <v/>
      </c>
      <c r="J549" s="0" t="s">
        <v>3915</v>
      </c>
      <c r="K549" s="0" t="n">
        <f aca="false">IF(M549=2,"",IF(ISNUMBER(SEARCH("rata-rata:",'Offshore - Sydney'!N795)),VALUE(MID('Offshore - Sydney'!N795,SEARCH("rata-rata:",'Offshore - Sydney'!N795)+11,FIND(";",'Offshore - Sydney'!N795&amp;";",SEARCH("rata-rata:",'Offshore - Sydney'!N795))-SEARCH("rata-rata:",'Offshore - Sydney'!N795)-11)),IF('Offshore - Sydney'!D795="Semester",'Offshore - Sydney'!E795*2,IF('Offshore - Sydney'!D795="Trimester",'Offshore - Sydney'!E795*3,IF('Offshore - Sydney'!D795="Term",'Offshore - Sydney'!E795*4,IF('Offshore - Sydney'!D795="Unit",'Offshore - Sydney'!E795*8,""))))))</f>
        <v>18000</v>
      </c>
      <c r="L549" s="0" t="n">
        <f aca="false">IF(AND(ISNUMBER('Offshore - Sydney'!E795),ISNUMBER(K549),ISNUMBER('Offshore - Sydney'!F795),ISNUMBER('Offshore - Sydney'!G795),OR('Offshore - Sydney'!F795&lt;&gt;0,ISNUMBER(SEARCH("Material 0 terverifikasi",'Offshore - Sydney'!N795))),OR('Offshore - Sydney'!G795&lt;&gt;0,ISNUMBER(SEARCH("Enrolment 0 terverifikasi",'Offshore - Sydney'!N795)))),1,0)</f>
        <v>0</v>
      </c>
      <c r="M549" s="0" t="n">
        <f aca="false">IF(OR('Offshore - Sydney'!E795="",ISNUMBER(SEARCH("BSB80120",'Offshore - Sydney'!B795&amp;'Offshore - Sydney'!N795)),ISNUMBER(SEARCH("Management (Learning)",'Offshore - Sydney'!B795))),2,IF(ISNUMBER(SEARCH("CEK:",'Offshore - Sydney'!N795)),1,0))</f>
        <v>0</v>
      </c>
    </row>
    <row r="550" customFormat="false" ht="55.2" hidden="false" customHeight="false" outlineLevel="0" collapsed="false">
      <c r="A550" s="63" t="s">
        <v>3533</v>
      </c>
      <c r="B550" s="64" t="s">
        <v>3833</v>
      </c>
      <c r="C550" s="63" t="s">
        <v>46</v>
      </c>
      <c r="D550" s="64" t="str">
        <f aca="false">TRIM(LEFT('Offshore - Sydney'!A78,FIND(CHAR(10),'Offshore - Sydney'!A78&amp;CHAR(10))-1))</f>
        <v>AIH Higher Education (Australian Institute of Higher Education)</v>
      </c>
      <c r="E550" s="63" t="str">
        <f aca="false">'Offshore - Sydney'!C86&amp;""</f>
        <v>2 years</v>
      </c>
      <c r="F550" s="63" t="str">
        <f aca="false">IF('Offshore - Sydney'!D86="","Belum tercatat",'Offshore - Sydney'!D86)</f>
        <v>Unit</v>
      </c>
      <c r="G550" s="65" t="n">
        <f aca="false">IF('Offshore - Sydney'!E86="","-",'Offshore - Sydney'!E86)</f>
        <v>2280</v>
      </c>
      <c r="H550" s="63" t="n">
        <f aca="false">IF(ISNUMBER(K550),COUNTIFS($J$6:$J$1854,J550,$K$6:$K$1854,"&lt;"&amp;K550)+1,"-")</f>
        <v>7</v>
      </c>
      <c r="I550" s="64" t="str">
        <f aca="false">IF('Offshore - Sydney'!E86="","Harga belum tersedia - hubungi konsultan TEG",IF(M550=2,"Saat ini tidak menerima pendaftaran siswa internasional baru",IF(M550=1,"Harga perlu dikonfirmasi ke sekolah"&amp;IF("Harga promo s.d. 31/12/2026; Harga dihitung per unit; total tergantung jumlah unit yang diambil; Sudah termasuk beasiswa 15% (syarat berlaku)"="","","; "&amp;"Harga promo s.d. 31/12/2026; Harga dihitung per unit; total tergantung jumlah unit yang diambil; Sudah termasuk beasiswa 15% (syarat berlaku)"),"Harga promo s.d. 31/12/2026; Harga dihitung per unit; total tergantung jumlah unit yang diambil; Sudah termasuk beasiswa 15% (syarat berlaku)")))</f>
        <v>Harga promo s.d. 31/12/2026; Harga dihitung per unit; total tergantung jumlah unit yang diambil; Sudah termasuk beasiswa 15% (syarat berlaku)</v>
      </c>
      <c r="J550" s="0" t="s">
        <v>3915</v>
      </c>
      <c r="K550" s="0" t="n">
        <f aca="false">IF(M550=2,"",IF(ISNUMBER(SEARCH("rata-rata:",'Offshore - Sydney'!N86)),VALUE(MID('Offshore - Sydney'!N86,SEARCH("rata-rata:",'Offshore - Sydney'!N86)+11,FIND(";",'Offshore - Sydney'!N86&amp;";",SEARCH("rata-rata:",'Offshore - Sydney'!N86))-SEARCH("rata-rata:",'Offshore - Sydney'!N86)-11)),IF('Offshore - Sydney'!D86="Semester",'Offshore - Sydney'!E86*2,IF('Offshore - Sydney'!D86="Trimester",'Offshore - Sydney'!E86*3,IF('Offshore - Sydney'!D86="Term",'Offshore - Sydney'!E86*4,IF('Offshore - Sydney'!D86="Unit",'Offshore - Sydney'!E86*8,""))))))</f>
        <v>18240</v>
      </c>
      <c r="L550" s="0" t="n">
        <f aca="false">IF(AND(ISNUMBER('Offshore - Sydney'!E86),ISNUMBER(K550),ISNUMBER('Offshore - Sydney'!F86),ISNUMBER('Offshore - Sydney'!G86),OR('Offshore - Sydney'!F86&lt;&gt;0,ISNUMBER(SEARCH("Material 0 terverifikasi",'Offshore - Sydney'!N86))),OR('Offshore - Sydney'!G86&lt;&gt;0,ISNUMBER(SEARCH("Enrolment 0 terverifikasi",'Offshore - Sydney'!N86)))),1,0)</f>
        <v>1</v>
      </c>
      <c r="M550" s="0" t="n">
        <f aca="false">IF(OR('Offshore - Sydney'!E86="",ISNUMBER(SEARCH("BSB80120",'Offshore - Sydney'!B86&amp;'Offshore - Sydney'!N86)),ISNUMBER(SEARCH("Management (Learning)",'Offshore - Sydney'!B86))),2,IF(ISNUMBER(SEARCH("CEK:",'Offshore - Sydney'!N86)),1,0))</f>
        <v>0</v>
      </c>
    </row>
    <row r="551" customFormat="false" ht="15" hidden="false" customHeight="false" outlineLevel="0" collapsed="false">
      <c r="A551" s="63" t="s">
        <v>3533</v>
      </c>
      <c r="B551" s="64" t="s">
        <v>3833</v>
      </c>
      <c r="C551" s="63" t="s">
        <v>46</v>
      </c>
      <c r="D551" s="64" t="str">
        <f aca="false">TRIM(LEFT('Offshore - Sydney'!A131,FIND(CHAR(10),'Offshore - Sydney'!A131&amp;CHAR(10))-1))</f>
        <v>Asia Pacific International College (APIC)</v>
      </c>
      <c r="E551" s="63" t="str">
        <f aca="false">'Offshore - Sydney'!C138&amp;""</f>
        <v>2 years</v>
      </c>
      <c r="F551" s="63" t="str">
        <f aca="false">IF('Offshore - Sydney'!D138="","Belum tercatat",'Offshore - Sydney'!D138)</f>
        <v>Trimester</v>
      </c>
      <c r="G551" s="65" t="n">
        <f aca="false">IF('Offshore - Sydney'!E138="","-",'Offshore - Sydney'!E138)</f>
        <v>7800</v>
      </c>
      <c r="H551" s="63" t="n">
        <f aca="false">IF(ISNUMBER(K551),COUNTIFS($J$6:$J$1854,J551,$K$6:$K$1854,"&lt;"&amp;K551)+1,"-")</f>
        <v>8</v>
      </c>
      <c r="I551" s="64" t="str">
        <f aca="false">IF('Offshore - Sydney'!E138="","Harga belum tersedia - hubungi konsultan TEG",IF(M551=2,"Saat ini tidak menerima pendaftaran siswa internasional baru",IF(M551=1,"Harga perlu dikonfirmasi ke sekolah"&amp;IF("Harga promo s.d. 31/12/2026"="","","; "&amp;"Harga promo s.d. 31/12/2026"),"Harga promo s.d. 31/12/2026")))</f>
        <v>Harga promo s.d. 31/12/2026</v>
      </c>
      <c r="J551" s="0" t="s">
        <v>3915</v>
      </c>
      <c r="K551" s="0" t="n">
        <f aca="false">IF(M551=2,"",IF(ISNUMBER(SEARCH("rata-rata:",'Offshore - Sydney'!N138)),VALUE(MID('Offshore - Sydney'!N138,SEARCH("rata-rata:",'Offshore - Sydney'!N138)+11,FIND(";",'Offshore - Sydney'!N138&amp;";",SEARCH("rata-rata:",'Offshore - Sydney'!N138))-SEARCH("rata-rata:",'Offshore - Sydney'!N138)-11)),IF('Offshore - Sydney'!D138="Semester",'Offshore - Sydney'!E138*2,IF('Offshore - Sydney'!D138="Trimester",'Offshore - Sydney'!E138*3,IF('Offshore - Sydney'!D138="Term",'Offshore - Sydney'!E138*4,IF('Offshore - Sydney'!D138="Unit",'Offshore - Sydney'!E138*8,""))))))</f>
        <v>23400</v>
      </c>
      <c r="L551" s="0" t="n">
        <f aca="false">IF(AND(ISNUMBER('Offshore - Sydney'!E138),ISNUMBER(K551),ISNUMBER('Offshore - Sydney'!F138),ISNUMBER('Offshore - Sydney'!G138),OR('Offshore - Sydney'!F138&lt;&gt;0,ISNUMBER(SEARCH("Material 0 terverifikasi",'Offshore - Sydney'!N138))),OR('Offshore - Sydney'!G138&lt;&gt;0,ISNUMBER(SEARCH("Enrolment 0 terverifikasi",'Offshore - Sydney'!N138)))),1,0)</f>
        <v>0</v>
      </c>
      <c r="M551" s="0" t="n">
        <f aca="false">IF(OR('Offshore - Sydney'!E138="",ISNUMBER(SEARCH("BSB80120",'Offshore - Sydney'!B138&amp;'Offshore - Sydney'!N138)),ISNUMBER(SEARCH("Management (Learning)",'Offshore - Sydney'!B138))),2,IF(ISNUMBER(SEARCH("CEK:",'Offshore - Sydney'!N138)),1,0))</f>
        <v>0</v>
      </c>
    </row>
    <row r="552" customFormat="false" ht="15" hidden="false" customHeight="false" outlineLevel="0" collapsed="false">
      <c r="A552" s="63" t="s">
        <v>3533</v>
      </c>
      <c r="B552" s="64" t="s">
        <v>3833</v>
      </c>
      <c r="C552" s="63" t="s">
        <v>46</v>
      </c>
      <c r="D552" s="64" t="str">
        <f aca="false">TRIM(LEFT('Offshore - Sydney'!A923,FIND(CHAR(10),'Offshore - Sydney'!A923&amp;CHAR(10))-1))</f>
        <v>University of Tasmania (UTAS)</v>
      </c>
      <c r="E552" s="63" t="str">
        <f aca="false">'Offshore - Sydney'!C926&amp;""</f>
        <v>2 years</v>
      </c>
      <c r="F552" s="63" t="str">
        <f aca="false">IF('Offshore - Sydney'!D926="","Belum tercatat",'Offshore - Sydney'!D926)</f>
        <v>Term</v>
      </c>
      <c r="G552" s="65" t="n">
        <f aca="false">IF('Offshore - Sydney'!E926="","-",'Offshore - Sydney'!E926)</f>
        <v>8522</v>
      </c>
      <c r="H552" s="63" t="n">
        <f aca="false">IF(ISNUMBER(K552),COUNTIFS($J$6:$J$1854,J552,$K$6:$K$1854,"&lt;"&amp;K552)+1,"-")</f>
        <v>9</v>
      </c>
      <c r="I552" s="64" t="str">
        <f aca="false">IF('Offshore - Sydney'!E926="","Harga belum tersedia - hubungi konsultan TEG",IF(M552=2,"Saat ini tidak menerima pendaftaran siswa internasional baru",IF(M552=1,"Harga perlu dikonfirmasi ke sekolah"&amp;IF(""="","","; "&amp;""),"")))</f>
        <v>Harga perlu dikonfirmasi ke sekolah</v>
      </c>
      <c r="J552" s="0" t="s">
        <v>3915</v>
      </c>
      <c r="K552" s="0" t="n">
        <f aca="false">IF(M552=2,"",IF(ISNUMBER(SEARCH("rata-rata:",'Offshore - Sydney'!N926)),VALUE(MID('Offshore - Sydney'!N926,SEARCH("rata-rata:",'Offshore - Sydney'!N926)+11,FIND(";",'Offshore - Sydney'!N926&amp;";",SEARCH("rata-rata:",'Offshore - Sydney'!N926))-SEARCH("rata-rata:",'Offshore - Sydney'!N926)-11)),IF('Offshore - Sydney'!D926="Semester",'Offshore - Sydney'!E926*2,IF('Offshore - Sydney'!D926="Trimester",'Offshore - Sydney'!E926*3,IF('Offshore - Sydney'!D926="Term",'Offshore - Sydney'!E926*4,IF('Offshore - Sydney'!D926="Unit",'Offshore - Sydney'!E926*8,""))))))</f>
        <v>34088</v>
      </c>
      <c r="L552" s="0" t="n">
        <f aca="false">IF(AND(ISNUMBER('Offshore - Sydney'!E926),ISNUMBER(K552),ISNUMBER('Offshore - Sydney'!F926),ISNUMBER('Offshore - Sydney'!G926),OR('Offshore - Sydney'!F926&lt;&gt;0,ISNUMBER(SEARCH("Material 0 terverifikasi",'Offshore - Sydney'!N926))),OR('Offshore - Sydney'!G926&lt;&gt;0,ISNUMBER(SEARCH("Enrolment 0 terverifikasi",'Offshore - Sydney'!N926)))),1,0)</f>
        <v>0</v>
      </c>
      <c r="M552" s="0" t="n">
        <f aca="false">IF(OR('Offshore - Sydney'!E926="",ISNUMBER(SEARCH("BSB80120",'Offshore - Sydney'!B926&amp;'Offshore - Sydney'!N926)),ISNUMBER(SEARCH("Management (Learning)",'Offshore - Sydney'!B926))),2,IF(ISNUMBER(SEARCH("CEK:",'Offshore - Sydney'!N926)),1,0))</f>
        <v>1</v>
      </c>
    </row>
    <row r="553" customFormat="false" ht="15" hidden="false" customHeight="false" outlineLevel="0" collapsed="false">
      <c r="A553" s="63" t="s">
        <v>3533</v>
      </c>
      <c r="B553" s="64" t="s">
        <v>3833</v>
      </c>
      <c r="C553" s="63" t="s">
        <v>46</v>
      </c>
      <c r="D553" s="64" t="str">
        <f aca="false">TRIM(LEFT('Offshore - Sydney'!A982,FIND(CHAR(10),'Offshore - Sydney'!A982&amp;CHAR(10))-1))</f>
        <v>Western Sydney University</v>
      </c>
      <c r="E553" s="63" t="str">
        <f aca="false">'Offshore - Sydney'!C1146&amp;""</f>
        <v>1 year</v>
      </c>
      <c r="F553" s="63" t="str">
        <f aca="false">IF('Offshore - Sydney'!D1146="","Belum tercatat",'Offshore - Sydney'!D1146)</f>
        <v>Term</v>
      </c>
      <c r="G553" s="65" t="n">
        <f aca="false">IF('Offshore - Sydney'!E1146="","-",'Offshore - Sydney'!E1146)</f>
        <v>8694</v>
      </c>
      <c r="H553" s="63" t="n">
        <f aca="false">IF(ISNUMBER(K553),COUNTIFS($J$6:$J$1854,J553,$K$6:$K$1854,"&lt;"&amp;K553)+1,"-")</f>
        <v>10</v>
      </c>
      <c r="I553" s="64" t="str">
        <f aca="false">IF('Offshore - Sydney'!E1146="","Harga belum tersedia - hubungi konsultan TEG",IF(M553=2,"Saat ini tidak menerima pendaftaran siswa internasional baru",IF(M553=1,"Harga perlu dikonfirmasi ke sekolah"&amp;IF(""="","","; "&amp;""),"")))</f>
        <v/>
      </c>
      <c r="J553" s="0" t="s">
        <v>3915</v>
      </c>
      <c r="K553" s="0" t="n">
        <f aca="false">IF(M553=2,"",IF(ISNUMBER(SEARCH("rata-rata:",'Offshore - Sydney'!N1146)),VALUE(MID('Offshore - Sydney'!N1146,SEARCH("rata-rata:",'Offshore - Sydney'!N1146)+11,FIND(";",'Offshore - Sydney'!N1146&amp;";",SEARCH("rata-rata:",'Offshore - Sydney'!N1146))-SEARCH("rata-rata:",'Offshore - Sydney'!N1146)-11)),IF('Offshore - Sydney'!D1146="Semester",'Offshore - Sydney'!E1146*2,IF('Offshore - Sydney'!D1146="Trimester",'Offshore - Sydney'!E1146*3,IF('Offshore - Sydney'!D1146="Term",'Offshore - Sydney'!E1146*4,IF('Offshore - Sydney'!D1146="Unit",'Offshore - Sydney'!E1146*8,""))))))</f>
        <v>34776</v>
      </c>
      <c r="L553" s="0" t="n">
        <f aca="false">IF(AND(ISNUMBER('Offshore - Sydney'!E1146),ISNUMBER(K553),ISNUMBER('Offshore - Sydney'!F1146),ISNUMBER('Offshore - Sydney'!G1146),OR('Offshore - Sydney'!F1146&lt;&gt;0,ISNUMBER(SEARCH("Material 0 terverifikasi",'Offshore - Sydney'!N1146))),OR('Offshore - Sydney'!G1146&lt;&gt;0,ISNUMBER(SEARCH("Enrolment 0 terverifikasi",'Offshore - Sydney'!N1146)))),1,0)</f>
        <v>0</v>
      </c>
      <c r="M553" s="0" t="n">
        <f aca="false">IF(OR('Offshore - Sydney'!E1146="",ISNUMBER(SEARCH("BSB80120",'Offshore - Sydney'!B1146&amp;'Offshore - Sydney'!N1146)),ISNUMBER(SEARCH("Management (Learning)",'Offshore - Sydney'!B1146))),2,IF(ISNUMBER(SEARCH("CEK:",'Offshore - Sydney'!N1146)),1,0))</f>
        <v>0</v>
      </c>
    </row>
    <row r="554" customFormat="false" ht="15" hidden="false" customHeight="false" outlineLevel="0" collapsed="false">
      <c r="A554" s="63" t="s">
        <v>3533</v>
      </c>
      <c r="B554" s="64" t="s">
        <v>3833</v>
      </c>
      <c r="C554" s="63" t="s">
        <v>46</v>
      </c>
      <c r="D554" s="64" t="str">
        <f aca="false">TRIM(LEFT('Offshore - Sydney'!A814,FIND(CHAR(10),'Offshore - Sydney'!A814&amp;CHAR(10))-1))</f>
        <v>Torrens University Australia</v>
      </c>
      <c r="E554" s="63" t="str">
        <f aca="false">'Offshore - Sydney'!C829&amp;""</f>
        <v>1,5 years</v>
      </c>
      <c r="F554" s="63" t="str">
        <f aca="false">IF('Offshore - Sydney'!D829="","Belum tercatat",'Offshore - Sydney'!D829)</f>
        <v>Term</v>
      </c>
      <c r="G554" s="65" t="n">
        <f aca="false">IF('Offshore - Sydney'!E829="","-",'Offshore - Sydney'!E829)</f>
        <v>9000</v>
      </c>
      <c r="H554" s="63" t="n">
        <f aca="false">IF(ISNUMBER(K554),COUNTIFS($J$6:$J$1854,J554,$K$6:$K$1854,"&lt;"&amp;K554)+1,"-")</f>
        <v>11</v>
      </c>
      <c r="I554" s="64" t="str">
        <f aca="false">IF('Offshore - Sydney'!E829="","Harga belum tersedia - hubungi konsultan TEG",IF(M554=2,"Saat ini tidak menerima pendaftaran siswa internasional baru",IF(M554=1,"Harga perlu dikonfirmasi ke sekolah"&amp;IF(""="","","; "&amp;""),"")))</f>
        <v/>
      </c>
      <c r="J554" s="0" t="s">
        <v>3915</v>
      </c>
      <c r="K554" s="0" t="n">
        <f aca="false">IF(M554=2,"",IF(ISNUMBER(SEARCH("rata-rata:",'Offshore - Sydney'!N829)),VALUE(MID('Offshore - Sydney'!N829,SEARCH("rata-rata:",'Offshore - Sydney'!N829)+11,FIND(";",'Offshore - Sydney'!N829&amp;";",SEARCH("rata-rata:",'Offshore - Sydney'!N829))-SEARCH("rata-rata:",'Offshore - Sydney'!N829)-11)),IF('Offshore - Sydney'!D829="Semester",'Offshore - Sydney'!E829*2,IF('Offshore - Sydney'!D829="Trimester",'Offshore - Sydney'!E829*3,IF('Offshore - Sydney'!D829="Term",'Offshore - Sydney'!E829*4,IF('Offshore - Sydney'!D829="Unit",'Offshore - Sydney'!E829*8,""))))))</f>
        <v>36000</v>
      </c>
      <c r="L554" s="0" t="n">
        <f aca="false">IF(AND(ISNUMBER('Offshore - Sydney'!E829),ISNUMBER(K554),ISNUMBER('Offshore - Sydney'!F829),ISNUMBER('Offshore - Sydney'!G829),OR('Offshore - Sydney'!F829&lt;&gt;0,ISNUMBER(SEARCH("Material 0 terverifikasi",'Offshore - Sydney'!N829))),OR('Offshore - Sydney'!G829&lt;&gt;0,ISNUMBER(SEARCH("Enrolment 0 terverifikasi",'Offshore - Sydney'!N829)))),1,0)</f>
        <v>0</v>
      </c>
      <c r="M554" s="0" t="n">
        <f aca="false">IF(OR('Offshore - Sydney'!E829="",ISNUMBER(SEARCH("BSB80120",'Offshore - Sydney'!B829&amp;'Offshore - Sydney'!N829)),ISNUMBER(SEARCH("Management (Learning)",'Offshore - Sydney'!B829))),2,IF(ISNUMBER(SEARCH("CEK:",'Offshore - Sydney'!N829)),1,0))</f>
        <v>0</v>
      </c>
    </row>
    <row r="555" customFormat="false" ht="15" hidden="false" customHeight="false" outlineLevel="0" collapsed="false">
      <c r="A555" s="63" t="s">
        <v>3533</v>
      </c>
      <c r="B555" s="64" t="s">
        <v>3833</v>
      </c>
      <c r="C555" s="63" t="s">
        <v>46</v>
      </c>
      <c r="D555" s="64" t="str">
        <f aca="false">TRIM(LEFT('Offshore - Sydney'!A156,FIND(CHAR(10),'Offshore - Sydney'!A156&amp;CHAR(10))-1))</f>
        <v>Australian Catholic University (ACU)</v>
      </c>
      <c r="E555" s="63" t="str">
        <f aca="false">'Offshore - Sydney'!C182&amp;""</f>
        <v>2 years</v>
      </c>
      <c r="F555" s="63" t="str">
        <f aca="false">IF('Offshore - Sydney'!D182="","Belum tercatat",'Offshore - Sydney'!D182)</f>
        <v>Term</v>
      </c>
      <c r="G555" s="65" t="n">
        <f aca="false">IF('Offshore - Sydney'!E182="","-",'Offshore - Sydney'!E182)</f>
        <v>9524</v>
      </c>
      <c r="H555" s="63" t="n">
        <f aca="false">IF(ISNUMBER(K555),COUNTIFS($J$6:$J$1854,J555,$K$6:$K$1854,"&lt;"&amp;K555)+1,"-")</f>
        <v>12</v>
      </c>
      <c r="I555" s="64" t="str">
        <f aca="false">IF('Offshore - Sydney'!E182="","Harga belum tersedia - hubungi konsultan TEG",IF(M555=2,"Saat ini tidak menerima pendaftaran siswa internasional baru",IF(M555=1,"Harga perlu dikonfirmasi ke sekolah"&amp;IF(""="","","; "&amp;""),"")))</f>
        <v/>
      </c>
      <c r="J555" s="0" t="s">
        <v>3915</v>
      </c>
      <c r="K555" s="0" t="n">
        <f aca="false">IF(M555=2,"",IF(ISNUMBER(SEARCH("rata-rata:",'Offshore - Sydney'!N182)),VALUE(MID('Offshore - Sydney'!N182,SEARCH("rata-rata:",'Offshore - Sydney'!N182)+11,FIND(";",'Offshore - Sydney'!N182&amp;";",SEARCH("rata-rata:",'Offshore - Sydney'!N182))-SEARCH("rata-rata:",'Offshore - Sydney'!N182)-11)),IF('Offshore - Sydney'!D182="Semester",'Offshore - Sydney'!E182*2,IF('Offshore - Sydney'!D182="Trimester",'Offshore - Sydney'!E182*3,IF('Offshore - Sydney'!D182="Term",'Offshore - Sydney'!E182*4,IF('Offshore - Sydney'!D182="Unit",'Offshore - Sydney'!E182*8,""))))))</f>
        <v>38096</v>
      </c>
      <c r="L555" s="0" t="n">
        <f aca="false">IF(AND(ISNUMBER('Offshore - Sydney'!E182),ISNUMBER(K555),ISNUMBER('Offshore - Sydney'!F182),ISNUMBER('Offshore - Sydney'!G182),OR('Offshore - Sydney'!F182&lt;&gt;0,ISNUMBER(SEARCH("Material 0 terverifikasi",'Offshore - Sydney'!N182))),OR('Offshore - Sydney'!G182&lt;&gt;0,ISNUMBER(SEARCH("Enrolment 0 terverifikasi",'Offshore - Sydney'!N182)))),1,0)</f>
        <v>0</v>
      </c>
      <c r="M555" s="0" t="n">
        <f aca="false">IF(OR('Offshore - Sydney'!E182="",ISNUMBER(SEARCH("BSB80120",'Offshore - Sydney'!B182&amp;'Offshore - Sydney'!N182)),ISNUMBER(SEARCH("Management (Learning)",'Offshore - Sydney'!B182))),2,IF(ISNUMBER(SEARCH("CEK:",'Offshore - Sydney'!N182)),1,0))</f>
        <v>0</v>
      </c>
    </row>
    <row r="556" customFormat="false" ht="15" hidden="false" customHeight="false" outlineLevel="0" collapsed="false">
      <c r="A556" s="63" t="s">
        <v>3533</v>
      </c>
      <c r="B556" s="64" t="s">
        <v>3833</v>
      </c>
      <c r="C556" s="63" t="s">
        <v>46</v>
      </c>
      <c r="D556" s="64" t="str">
        <f aca="false">TRIM(LEFT('Offshore - Sydney'!A354,FIND(CHAR(10),'Offshore - Sydney'!A354&amp;CHAR(10))-1))</f>
        <v>Charles Darwin University (CDU)</v>
      </c>
      <c r="E556" s="63" t="str">
        <f aca="false">'Offshore - Sydney'!C354&amp;""</f>
        <v>1,5 years</v>
      </c>
      <c r="F556" s="63" t="str">
        <f aca="false">IF('Offshore - Sydney'!D354="","Belum tercatat",'Offshore - Sydney'!D354)</f>
        <v>Term</v>
      </c>
      <c r="G556" s="65" t="n">
        <f aca="false">IF('Offshore - Sydney'!E354="","-",'Offshore - Sydney'!E354)</f>
        <v>9548</v>
      </c>
      <c r="H556" s="63" t="n">
        <f aca="false">IF(ISNUMBER(K556),COUNTIFS($J$6:$J$1854,J556,$K$6:$K$1854,"&lt;"&amp;K556)+1,"-")</f>
        <v>13</v>
      </c>
      <c r="I556" s="64" t="str">
        <f aca="false">IF('Offshore - Sydney'!E354="","Harga belum tersedia - hubungi konsultan TEG",IF(M556=2,"Saat ini tidak menerima pendaftaran siswa internasional baru",IF(M556=1,"Harga perlu dikonfirmasi ke sekolah"&amp;IF(""="","","; "&amp;""),"")))</f>
        <v/>
      </c>
      <c r="J556" s="0" t="s">
        <v>3915</v>
      </c>
      <c r="K556" s="0" t="n">
        <f aca="false">IF(M556=2,"",IF(ISNUMBER(SEARCH("rata-rata:",'Offshore - Sydney'!N354)),VALUE(MID('Offshore - Sydney'!N354,SEARCH("rata-rata:",'Offshore - Sydney'!N354)+11,FIND(";",'Offshore - Sydney'!N354&amp;";",SEARCH("rata-rata:",'Offshore - Sydney'!N354))-SEARCH("rata-rata:",'Offshore - Sydney'!N354)-11)),IF('Offshore - Sydney'!D354="Semester",'Offshore - Sydney'!E354*2,IF('Offshore - Sydney'!D354="Trimester",'Offshore - Sydney'!E354*3,IF('Offshore - Sydney'!D354="Term",'Offshore - Sydney'!E354*4,IF('Offshore - Sydney'!D354="Unit",'Offshore - Sydney'!E354*8,""))))))</f>
        <v>38192</v>
      </c>
      <c r="L556" s="0" t="n">
        <f aca="false">IF(AND(ISNUMBER('Offshore - Sydney'!E354),ISNUMBER(K556),ISNUMBER('Offshore - Sydney'!F354),ISNUMBER('Offshore - Sydney'!G354),OR('Offshore - Sydney'!F354&lt;&gt;0,ISNUMBER(SEARCH("Material 0 terverifikasi",'Offshore - Sydney'!N354))),OR('Offshore - Sydney'!G354&lt;&gt;0,ISNUMBER(SEARCH("Enrolment 0 terverifikasi",'Offshore - Sydney'!N354)))),1,0)</f>
        <v>0</v>
      </c>
      <c r="M556" s="0" t="n">
        <f aca="false">IF(OR('Offshore - Sydney'!E354="",ISNUMBER(SEARCH("BSB80120",'Offshore - Sydney'!B354&amp;'Offshore - Sydney'!N354)),ISNUMBER(SEARCH("Management (Learning)",'Offshore - Sydney'!B354))),2,IF(ISNUMBER(SEARCH("CEK:",'Offshore - Sydney'!N354)),1,0))</f>
        <v>0</v>
      </c>
    </row>
    <row r="557" customFormat="false" ht="15" hidden="false" customHeight="false" outlineLevel="0" collapsed="false">
      <c r="A557" s="63" t="s">
        <v>3533</v>
      </c>
      <c r="B557" s="64" t="s">
        <v>3833</v>
      </c>
      <c r="C557" s="63" t="s">
        <v>46</v>
      </c>
      <c r="D557" s="64" t="str">
        <f aca="false">TRIM(LEFT('Offshore - Sydney'!A497,FIND(CHAR(10),'Offshore - Sydney'!A497&amp;CHAR(10))-1))</f>
        <v>Kaplan Business School</v>
      </c>
      <c r="E557" s="63" t="str">
        <f aca="false">'Offshore - Sydney'!C501&amp;""</f>
        <v>1,5 years</v>
      </c>
      <c r="F557" s="63" t="str">
        <f aca="false">IF('Offshore - Sydney'!D501="","Belum tercatat",'Offshore - Sydney'!D501)</f>
        <v>Trimester</v>
      </c>
      <c r="G557" s="65" t="n">
        <f aca="false">IF('Offshore - Sydney'!E501="","-",'Offshore - Sydney'!E501)</f>
        <v>19640</v>
      </c>
      <c r="H557" s="63" t="n">
        <f aca="false">IF(ISNUMBER(K557),COUNTIFS($J$6:$J$1854,J557,$K$6:$K$1854,"&lt;"&amp;K557)+1,"-")</f>
        <v>14</v>
      </c>
      <c r="I557" s="64" t="str">
        <f aca="false">IF('Offshore - Sydney'!E501="","Harga belum tersedia - hubungi konsultan TEG",IF(M557=2,"Saat ini tidak menerima pendaftaran siswa internasional baru",IF(M557=1,"Harga perlu dikonfirmasi ke sekolah"&amp;IF(""="","","; "&amp;""),"")))</f>
        <v>Harga perlu dikonfirmasi ke sekolah</v>
      </c>
      <c r="J557" s="0" t="s">
        <v>3915</v>
      </c>
      <c r="K557" s="0" t="n">
        <f aca="false">IF(M557=2,"",IF(ISNUMBER(SEARCH("rata-rata:",'Offshore - Sydney'!N501)),VALUE(MID('Offshore - Sydney'!N501,SEARCH("rata-rata:",'Offshore - Sydney'!N501)+11,FIND(";",'Offshore - Sydney'!N501&amp;";",SEARCH("rata-rata:",'Offshore - Sydney'!N501))-SEARCH("rata-rata:",'Offshore - Sydney'!N501)-11)),IF('Offshore - Sydney'!D501="Semester",'Offshore - Sydney'!E501*2,IF('Offshore - Sydney'!D501="Trimester",'Offshore - Sydney'!E501*3,IF('Offshore - Sydney'!D501="Term",'Offshore - Sydney'!E501*4,IF('Offshore - Sydney'!D501="Unit",'Offshore - Sydney'!E501*8,""))))))</f>
        <v>58920</v>
      </c>
      <c r="L557" s="0" t="n">
        <f aca="false">IF(AND(ISNUMBER('Offshore - Sydney'!E501),ISNUMBER(K557),ISNUMBER('Offshore - Sydney'!F501),ISNUMBER('Offshore - Sydney'!G501),OR('Offshore - Sydney'!F501&lt;&gt;0,ISNUMBER(SEARCH("Material 0 terverifikasi",'Offshore - Sydney'!N501))),OR('Offshore - Sydney'!G501&lt;&gt;0,ISNUMBER(SEARCH("Enrolment 0 terverifikasi",'Offshore - Sydney'!N501)))),1,0)</f>
        <v>1</v>
      </c>
      <c r="M557" s="0" t="n">
        <f aca="false">IF(OR('Offshore - Sydney'!E501="",ISNUMBER(SEARCH("BSB80120",'Offshore - Sydney'!B501&amp;'Offshore - Sydney'!N501)),ISNUMBER(SEARCH("Management (Learning)",'Offshore - Sydney'!B501))),2,IF(ISNUMBER(SEARCH("CEK:",'Offshore - Sydney'!N501)),1,0))</f>
        <v>1</v>
      </c>
    </row>
    <row r="558" customFormat="false" ht="15" hidden="false" customHeight="false" outlineLevel="0" collapsed="false">
      <c r="A558" s="61" t="s">
        <v>3916</v>
      </c>
      <c r="B558" s="62"/>
      <c r="C558" s="62"/>
      <c r="D558" s="62"/>
      <c r="E558" s="62"/>
      <c r="F558" s="62"/>
      <c r="G558" s="62"/>
      <c r="H558" s="62"/>
      <c r="I558" s="62"/>
    </row>
    <row r="559" customFormat="false" ht="15" hidden="false" customHeight="false" outlineLevel="0" collapsed="false">
      <c r="A559" s="63" t="s">
        <v>3533</v>
      </c>
      <c r="B559" s="64" t="s">
        <v>3833</v>
      </c>
      <c r="C559" s="63" t="s">
        <v>3821</v>
      </c>
      <c r="D559" s="64" t="str">
        <f aca="false">TRIM(LEFT('Offshore - Sydney'!A354,FIND(CHAR(10),'Offshore - Sydney'!A354&amp;CHAR(10))-1))</f>
        <v>Charles Darwin University (CDU)</v>
      </c>
      <c r="E559" s="63" t="str">
        <f aca="false">'Offshore - Sydney'!C377&amp;""</f>
        <v>0,5 year</v>
      </c>
      <c r="F559" s="63" t="str">
        <f aca="false">IF('Offshore - Sydney'!D377="","Belum tercatat",'Offshore - Sydney'!D377)</f>
        <v>Term</v>
      </c>
      <c r="G559" s="65" t="n">
        <f aca="false">IF('Offshore - Sydney'!E377="","-",'Offshore - Sydney'!E377)</f>
        <v>4350</v>
      </c>
      <c r="H559" s="63" t="n">
        <f aca="false">IF(ISNUMBER(K559),COUNTIFS($J$6:$J$1854,J559,$K$6:$K$1854,"&lt;"&amp;K559)+1,"-")</f>
        <v>1</v>
      </c>
      <c r="I559" s="64" t="str">
        <f aca="false">IF('Offshore - Sydney'!E377="","Harga belum tersedia - hubungi konsultan TEG",IF(M559=2,"Saat ini tidak menerima pendaftaran siswa internasional baru",IF(M559=1,"Harga perlu dikonfirmasi ke sekolah"&amp;IF(""="","","; "&amp;""),"")))</f>
        <v/>
      </c>
      <c r="J559" s="0" t="s">
        <v>3917</v>
      </c>
      <c r="K559" s="0" t="n">
        <f aca="false">IF(M559=2,"",IF(ISNUMBER(SEARCH("rata-rata:",'Offshore - Sydney'!N377)),VALUE(MID('Offshore - Sydney'!N377,SEARCH("rata-rata:",'Offshore - Sydney'!N377)+11,FIND(";",'Offshore - Sydney'!N377&amp;";",SEARCH("rata-rata:",'Offshore - Sydney'!N377))-SEARCH("rata-rata:",'Offshore - Sydney'!N377)-11)),IF('Offshore - Sydney'!D377="Semester",'Offshore - Sydney'!E377*2,IF('Offshore - Sydney'!D377="Trimester",'Offshore - Sydney'!E377*3,IF('Offshore - Sydney'!D377="Term",'Offshore - Sydney'!E377*4,IF('Offshore - Sydney'!D377="Unit",'Offshore - Sydney'!E377*8,""))))))</f>
        <v>17400</v>
      </c>
      <c r="L559" s="0" t="n">
        <f aca="false">IF(AND(ISNUMBER('Offshore - Sydney'!E377),ISNUMBER(K559),ISNUMBER('Offshore - Sydney'!F377),ISNUMBER('Offshore - Sydney'!G377),OR('Offshore - Sydney'!F377&lt;&gt;0,ISNUMBER(SEARCH("Material 0 terverifikasi",'Offshore - Sydney'!N377))),OR('Offshore - Sydney'!G377&lt;&gt;0,ISNUMBER(SEARCH("Enrolment 0 terverifikasi",'Offshore - Sydney'!N377)))),1,0)</f>
        <v>0</v>
      </c>
      <c r="M559" s="0" t="n">
        <f aca="false">IF(OR('Offshore - Sydney'!E377="",ISNUMBER(SEARCH("BSB80120",'Offshore - Sydney'!B377&amp;'Offshore - Sydney'!N377)),ISNUMBER(SEARCH("Management (Learning)",'Offshore - Sydney'!B377))),2,IF(ISNUMBER(SEARCH("CEK:",'Offshore - Sydney'!N377)),1,0))</f>
        <v>0</v>
      </c>
    </row>
    <row r="560" customFormat="false" ht="15" hidden="false" customHeight="false" outlineLevel="0" collapsed="false">
      <c r="A560" s="61" t="s">
        <v>3918</v>
      </c>
      <c r="B560" s="62"/>
      <c r="C560" s="62"/>
      <c r="D560" s="62"/>
      <c r="E560" s="62"/>
      <c r="F560" s="62"/>
      <c r="G560" s="62"/>
      <c r="H560" s="62"/>
      <c r="I560" s="62"/>
    </row>
    <row r="561" customFormat="false" ht="15" hidden="false" customHeight="false" outlineLevel="0" collapsed="false">
      <c r="A561" s="63" t="s">
        <v>3753</v>
      </c>
      <c r="B561" s="64" t="s">
        <v>3833</v>
      </c>
      <c r="C561" s="63" t="s">
        <v>42</v>
      </c>
      <c r="D561" s="64" t="str">
        <f aca="false">TRIM(LEFT('Offshore - Tasmania Hobart'!A8,FIND(CHAR(10),'Offshore - Tasmania Hobart'!A8&amp;CHAR(10))-1))</f>
        <v>Australian Sovereign College (AuSC)</v>
      </c>
      <c r="E561" s="63" t="str">
        <f aca="false">'Offshore - Tasmania Hobart'!C17&amp;""</f>
        <v>2 years</v>
      </c>
      <c r="F561" s="63" t="str">
        <f aca="false">IF('Offshore - Tasmania Hobart'!D17="","Belum tercatat",'Offshore - Tasmania Hobart'!D17)</f>
        <v>Term</v>
      </c>
      <c r="G561" s="65" t="n">
        <f aca="false">IF('Offshore - Tasmania Hobart'!E17="","-",'Offshore - Tasmania Hobart'!E17)</f>
        <v>2375</v>
      </c>
      <c r="H561" s="63" t="n">
        <f aca="false">IF(ISNUMBER(K561),COUNTIFS($J$6:$J$1854,J561,$K$6:$K$1854,"&lt;"&amp;K561)+1,"-")</f>
        <v>1</v>
      </c>
      <c r="I561" s="64" t="str">
        <f aca="false">IF('Offshore - Tasmania Hobart'!E17="","Harga belum tersedia - hubungi konsultan TEG",IF(M561=2,"Saat ini tidak menerima pendaftaran siswa internasional baru",IF(M561=1,"Harga perlu dikonfirmasi ke sekolah"&amp;IF(""="","","; "&amp;""),"")))</f>
        <v/>
      </c>
      <c r="J561" s="0" t="s">
        <v>3919</v>
      </c>
      <c r="K561" s="0" t="n">
        <f aca="false">IF(M561=2,"",IF(ISNUMBER(SEARCH("rata-rata:",'Offshore - Tasmania Hobart'!N17)),VALUE(MID('Offshore - Tasmania Hobart'!N17,SEARCH("rata-rata:",'Offshore - Tasmania Hobart'!N17)+11,FIND(";",'Offshore - Tasmania Hobart'!N17&amp;";",SEARCH("rata-rata:",'Offshore - Tasmania Hobart'!N17))-SEARCH("rata-rata:",'Offshore - Tasmania Hobart'!N17)-11)),IF('Offshore - Tasmania Hobart'!D17="Semester",'Offshore - Tasmania Hobart'!E17*2,IF('Offshore - Tasmania Hobart'!D17="Trimester",'Offshore - Tasmania Hobart'!E17*3,IF('Offshore - Tasmania Hobart'!D17="Term",'Offshore - Tasmania Hobart'!E17*4,IF('Offshore - Tasmania Hobart'!D17="Unit",'Offshore - Tasmania Hobart'!E17*8,""))))))</f>
        <v>9500</v>
      </c>
      <c r="L561" s="0" t="n">
        <f aca="false">IF(AND(ISNUMBER('Offshore - Tasmania Hobart'!E17),ISNUMBER(K561),ISNUMBER('Offshore - Tasmania Hobart'!F17),ISNUMBER('Offshore - Tasmania Hobart'!G17),OR('Offshore - Tasmania Hobart'!F17&lt;&gt;0,ISNUMBER(SEARCH("Material 0 terverifikasi",'Offshore - Tasmania Hobart'!N17))),OR('Offshore - Tasmania Hobart'!G17&lt;&gt;0,ISNUMBER(SEARCH("Enrolment 0 terverifikasi",'Offshore - Tasmania Hobart'!N17)))),1,0)</f>
        <v>1</v>
      </c>
      <c r="M561" s="0" t="n">
        <f aca="false">IF(OR('Offshore - Tasmania Hobart'!E17="",ISNUMBER(SEARCH("BSB80120",'Offshore - Tasmania Hobart'!B17&amp;'Offshore - Tasmania Hobart'!N17)),ISNUMBER(SEARCH("Management (Learning)",'Offshore - Tasmania Hobart'!B17))),2,IF(ISNUMBER(SEARCH("CEK:",'Offshore - Tasmania Hobart'!N17)),1,0))</f>
        <v>0</v>
      </c>
    </row>
    <row r="562" customFormat="false" ht="15" hidden="false" customHeight="false" outlineLevel="0" collapsed="false">
      <c r="A562" s="61" t="s">
        <v>3920</v>
      </c>
      <c r="B562" s="62"/>
      <c r="C562" s="62"/>
      <c r="D562" s="62"/>
      <c r="E562" s="62"/>
      <c r="F562" s="62"/>
      <c r="G562" s="62"/>
      <c r="H562" s="62"/>
      <c r="I562" s="62"/>
    </row>
    <row r="563" customFormat="false" ht="15" hidden="false" customHeight="false" outlineLevel="0" collapsed="false">
      <c r="A563" s="63" t="s">
        <v>3753</v>
      </c>
      <c r="B563" s="64" t="s">
        <v>3833</v>
      </c>
      <c r="C563" s="63" t="s">
        <v>46</v>
      </c>
      <c r="D563" s="64" t="str">
        <f aca="false">TRIM(LEFT('Offshore - Tasmania Hobart'!A21,FIND(CHAR(10),'Offshore - Tasmania Hobart'!A21&amp;CHAR(10))-1))</f>
        <v>University of Tasmania (UTAS)</v>
      </c>
      <c r="E563" s="63" t="str">
        <f aca="false">'Offshore - Tasmania Hobart'!C28&amp;""</f>
        <v>2 years</v>
      </c>
      <c r="F563" s="63" t="str">
        <f aca="false">IF('Offshore - Tasmania Hobart'!D28="","Belum tercatat",'Offshore - Tasmania Hobart'!D28)</f>
        <v>Term</v>
      </c>
      <c r="G563" s="65" t="n">
        <f aca="false">IF('Offshore - Tasmania Hobart'!E28="","-",'Offshore - Tasmania Hobart'!E28)</f>
        <v>8803.25</v>
      </c>
      <c r="H563" s="63" t="n">
        <f aca="false">IF(ISNUMBER(K563),COUNTIFS($J$6:$J$1854,J563,$K$6:$K$1854,"&lt;"&amp;K563)+1,"-")</f>
        <v>1</v>
      </c>
      <c r="I563" s="64" t="str">
        <f aca="false">IF('Offshore - Tasmania Hobart'!E28="","Harga belum tersedia - hubungi konsultan TEG",IF(M563=2,"Saat ini tidak menerima pendaftaran siswa internasional baru",IF(M563=1,"Harga perlu dikonfirmasi ke sekolah"&amp;IF(""="","","; "&amp;""),"")))</f>
        <v>Harga perlu dikonfirmasi ke sekolah</v>
      </c>
      <c r="J563" s="0" t="s">
        <v>3921</v>
      </c>
      <c r="K563" s="0" t="n">
        <f aca="false">IF(M563=2,"",IF(ISNUMBER(SEARCH("rata-rata:",'Offshore - Tasmania Hobart'!N28)),VALUE(MID('Offshore - Tasmania Hobart'!N28,SEARCH("rata-rata:",'Offshore - Tasmania Hobart'!N28)+11,FIND(";",'Offshore - Tasmania Hobart'!N28&amp;";",SEARCH("rata-rata:",'Offshore - Tasmania Hobart'!N28))-SEARCH("rata-rata:",'Offshore - Tasmania Hobart'!N28)-11)),IF('Offshore - Tasmania Hobart'!D28="Semester",'Offshore - Tasmania Hobart'!E28*2,IF('Offshore - Tasmania Hobart'!D28="Trimester",'Offshore - Tasmania Hobart'!E28*3,IF('Offshore - Tasmania Hobart'!D28="Term",'Offshore - Tasmania Hobart'!E28*4,IF('Offshore - Tasmania Hobart'!D28="Unit",'Offshore - Tasmania Hobart'!E28*8,""))))))</f>
        <v>35213</v>
      </c>
      <c r="L563" s="0" t="n">
        <f aca="false">IF(AND(ISNUMBER('Offshore - Tasmania Hobart'!E28),ISNUMBER(K563),ISNUMBER('Offshore - Tasmania Hobart'!F28),ISNUMBER('Offshore - Tasmania Hobart'!G28),OR('Offshore - Tasmania Hobart'!F28&lt;&gt;0,ISNUMBER(SEARCH("Material 0 terverifikasi",'Offshore - Tasmania Hobart'!N28))),OR('Offshore - Tasmania Hobart'!G28&lt;&gt;0,ISNUMBER(SEARCH("Enrolment 0 terverifikasi",'Offshore - Tasmania Hobart'!N28)))),1,0)</f>
        <v>0</v>
      </c>
      <c r="M563" s="0" t="n">
        <f aca="false">IF(OR('Offshore - Tasmania Hobart'!E28="",ISNUMBER(SEARCH("BSB80120",'Offshore - Tasmania Hobart'!B28&amp;'Offshore - Tasmania Hobart'!N28)),ISNUMBER(SEARCH("Management (Learning)",'Offshore - Tasmania Hobart'!B28))),2,IF(ISNUMBER(SEARCH("CEK:",'Offshore - Tasmania Hobart'!N28)),1,0))</f>
        <v>1</v>
      </c>
    </row>
    <row r="564" customFormat="false" ht="15" hidden="false" customHeight="false" outlineLevel="0" collapsed="false">
      <c r="A564" s="61" t="s">
        <v>3922</v>
      </c>
      <c r="B564" s="62"/>
      <c r="C564" s="62"/>
      <c r="D564" s="62"/>
      <c r="E564" s="62"/>
      <c r="F564" s="62"/>
      <c r="G564" s="62"/>
      <c r="H564" s="62"/>
      <c r="I564" s="62"/>
    </row>
    <row r="565" customFormat="false" ht="28.35" hidden="false" customHeight="false" outlineLevel="0" collapsed="false">
      <c r="A565" s="63" t="s">
        <v>3659</v>
      </c>
      <c r="B565" s="64" t="s">
        <v>3923</v>
      </c>
      <c r="C565" s="63" t="s">
        <v>39</v>
      </c>
      <c r="D565" s="64" t="str">
        <f aca="false">TRIM(LEFT('Offshore - Adelaide'!A484,FIND(CHAR(10),'Offshore - Adelaide'!A484&amp;CHAR(10))-1))</f>
        <v>TAFE SA</v>
      </c>
      <c r="E565" s="63" t="str">
        <f aca="false">'Offshore - Adelaide'!C503&amp;""</f>
        <v>1 year</v>
      </c>
      <c r="F565" s="63" t="str">
        <f aca="false">IF('Offshore - Adelaide'!D503="","Belum tercatat",'Offshore - Adelaide'!D503)</f>
        <v>Semester</v>
      </c>
      <c r="G565" s="65" t="n">
        <f aca="false">IF('Offshore - Adelaide'!E503="","-",'Offshore - Adelaide'!E503)</f>
        <v>7483</v>
      </c>
      <c r="H565" s="63" t="n">
        <f aca="false">IF(ISNUMBER(K565),COUNTIFS($J$6:$J$1854,J565,$K$6:$K$1854,"&lt;"&amp;K565)+1,"-")</f>
        <v>1</v>
      </c>
      <c r="I565" s="64" t="str">
        <f aca="false">IF('Offshore - Adelaide'!E503="","Harga belum tersedia - hubungi konsultan TEG",IF(M565=2,"Saat ini tidak menerima pendaftaran siswa internasional baru",IF(M565=1,"Harga perlu dikonfirmasi ke sekolah"&amp;IF(""="","","; "&amp;""),"")))</f>
        <v/>
      </c>
      <c r="J565" s="0" t="s">
        <v>3924</v>
      </c>
      <c r="K565" s="0" t="n">
        <f aca="false">IF(M565=2,"",IF(ISNUMBER(SEARCH("rata-rata:",'Offshore - Adelaide'!N503)),VALUE(MID('Offshore - Adelaide'!N503,SEARCH("rata-rata:",'Offshore - Adelaide'!N503)+11,FIND(";",'Offshore - Adelaide'!N503&amp;";",SEARCH("rata-rata:",'Offshore - Adelaide'!N503))-SEARCH("rata-rata:",'Offshore - Adelaide'!N503)-11)),IF('Offshore - Adelaide'!D503="Semester",'Offshore - Adelaide'!E503*2,IF('Offshore - Adelaide'!D503="Trimester",'Offshore - Adelaide'!E503*3,IF('Offshore - Adelaide'!D503="Term",'Offshore - Adelaide'!E503*4,IF('Offshore - Adelaide'!D503="Unit",'Offshore - Adelaide'!E503*8,""))))))</f>
        <v>14966</v>
      </c>
      <c r="L565" s="0" t="n">
        <f aca="false">IF(AND(ISNUMBER('Offshore - Adelaide'!E503),ISNUMBER(K565),ISNUMBER('Offshore - Adelaide'!F503),ISNUMBER('Offshore - Adelaide'!G503),OR('Offshore - Adelaide'!F503&lt;&gt;0,ISNUMBER(SEARCH("Material 0 terverifikasi",'Offshore - Adelaide'!N503))),OR('Offshore - Adelaide'!G503&lt;&gt;0,ISNUMBER(SEARCH("Enrolment 0 terverifikasi",'Offshore - Adelaide'!N503)))),1,0)</f>
        <v>0</v>
      </c>
      <c r="M565" s="0" t="n">
        <f aca="false">IF(OR('Offshore - Adelaide'!E503="",ISNUMBER(SEARCH("BSB80120",'Offshore - Adelaide'!B503&amp;'Offshore - Adelaide'!N503)),ISNUMBER(SEARCH("Management (Learning)",'Offshore - Adelaide'!B503))),2,IF(ISNUMBER(SEARCH("CEK:",'Offshore - Adelaide'!N503)),1,0))</f>
        <v>0</v>
      </c>
    </row>
    <row r="566" customFormat="false" ht="15" hidden="false" customHeight="false" outlineLevel="0" collapsed="false">
      <c r="A566" s="61" t="s">
        <v>3925</v>
      </c>
      <c r="B566" s="62"/>
      <c r="C566" s="62"/>
      <c r="D566" s="62"/>
      <c r="E566" s="62"/>
      <c r="F566" s="62"/>
      <c r="G566" s="62"/>
      <c r="H566" s="62"/>
      <c r="I566" s="62"/>
    </row>
    <row r="567" customFormat="false" ht="28.35" hidden="false" customHeight="false" outlineLevel="0" collapsed="false">
      <c r="A567" s="63" t="s">
        <v>3659</v>
      </c>
      <c r="B567" s="64" t="s">
        <v>3923</v>
      </c>
      <c r="C567" s="63" t="s">
        <v>40</v>
      </c>
      <c r="D567" s="64" t="str">
        <f aca="false">TRIM(LEFT('Offshore - Adelaide'!A484,FIND(CHAR(10),'Offshore - Adelaide'!A484&amp;CHAR(10))-1))</f>
        <v>TAFE SA</v>
      </c>
      <c r="E567" s="63" t="str">
        <f aca="false">'Offshore - Adelaide'!C498&amp;""</f>
        <v>1 year</v>
      </c>
      <c r="F567" s="63" t="str">
        <f aca="false">IF('Offshore - Adelaide'!D498="","Belum tercatat",'Offshore - Adelaide'!D498)</f>
        <v>Term</v>
      </c>
      <c r="G567" s="65" t="n">
        <f aca="false">IF('Offshore - Adelaide'!E498="","-",'Offshore - Adelaide'!E498)</f>
        <v>4126.6</v>
      </c>
      <c r="H567" s="63" t="n">
        <f aca="false">IF(ISNUMBER(K567),COUNTIFS($J$6:$J$1854,J567,$K$6:$K$1854,"&lt;"&amp;K567)+1,"-")</f>
        <v>1</v>
      </c>
      <c r="I567" s="64" t="str">
        <f aca="false">IF('Offshore - Adelaide'!E498="","Harga belum tersedia - hubungi konsultan TEG",IF(M567=2,"Saat ini tidak menerima pendaftaran siswa internasional baru",IF(M567=1,"Harga perlu dikonfirmasi ke sekolah"&amp;IF(""="","","; "&amp;""),"")))</f>
        <v>Harga perlu dikonfirmasi ke sekolah</v>
      </c>
      <c r="J567" s="0" t="s">
        <v>3926</v>
      </c>
      <c r="K567" s="0" t="n">
        <f aca="false">IF(M567=2,"",IF(ISNUMBER(SEARCH("rata-rata:",'Offshore - Adelaide'!N498)),VALUE(MID('Offshore - Adelaide'!N498,SEARCH("rata-rata:",'Offshore - Adelaide'!N498)+11,FIND(";",'Offshore - Adelaide'!N498&amp;";",SEARCH("rata-rata:",'Offshore - Adelaide'!N498))-SEARCH("rata-rata:",'Offshore - Adelaide'!N498)-11)),IF('Offshore - Adelaide'!D498="Semester",'Offshore - Adelaide'!E498*2,IF('Offshore - Adelaide'!D498="Trimester",'Offshore - Adelaide'!E498*3,IF('Offshore - Adelaide'!D498="Term",'Offshore - Adelaide'!E498*4,IF('Offshore - Adelaide'!D498="Unit",'Offshore - Adelaide'!E498*8,""))))))</f>
        <v>16506.4</v>
      </c>
      <c r="L567" s="0" t="n">
        <f aca="false">IF(AND(ISNUMBER('Offshore - Adelaide'!E498),ISNUMBER(K567),ISNUMBER('Offshore - Adelaide'!F498),ISNUMBER('Offshore - Adelaide'!G498),OR('Offshore - Adelaide'!F498&lt;&gt;0,ISNUMBER(SEARCH("Material 0 terverifikasi",'Offshore - Adelaide'!N498))),OR('Offshore - Adelaide'!G498&lt;&gt;0,ISNUMBER(SEARCH("Enrolment 0 terverifikasi",'Offshore - Adelaide'!N498)))),1,0)</f>
        <v>0</v>
      </c>
      <c r="M567" s="0" t="n">
        <f aca="false">IF(OR('Offshore - Adelaide'!E498="",ISNUMBER(SEARCH("BSB80120",'Offshore - Adelaide'!B498&amp;'Offshore - Adelaide'!N498)),ISNUMBER(SEARCH("Management (Learning)",'Offshore - Adelaide'!B498))),2,IF(ISNUMBER(SEARCH("CEK:",'Offshore - Adelaide'!N498)),1,0))</f>
        <v>1</v>
      </c>
    </row>
    <row r="568" customFormat="false" ht="15" hidden="false" customHeight="false" outlineLevel="0" collapsed="false">
      <c r="A568" s="61" t="s">
        <v>3927</v>
      </c>
      <c r="B568" s="62"/>
      <c r="C568" s="62"/>
      <c r="D568" s="62"/>
      <c r="E568" s="62"/>
      <c r="F568" s="62"/>
      <c r="G568" s="62"/>
      <c r="H568" s="62"/>
      <c r="I568" s="62"/>
    </row>
    <row r="569" customFormat="false" ht="28.35" hidden="false" customHeight="false" outlineLevel="0" collapsed="false">
      <c r="A569" s="63" t="s">
        <v>3659</v>
      </c>
      <c r="B569" s="64" t="s">
        <v>3923</v>
      </c>
      <c r="C569" s="63" t="s">
        <v>41</v>
      </c>
      <c r="D569" s="64" t="str">
        <f aca="false">TRIM(LEFT('Offshore - Adelaide'!A431,FIND(CHAR(10),'Offshore - Adelaide'!A431&amp;CHAR(10))-1))</f>
        <v>Greenwich College</v>
      </c>
      <c r="E569" s="63" t="str">
        <f aca="false">'Offshore - Adelaide'!C433&amp;""</f>
        <v>128 weeks</v>
      </c>
      <c r="F569" s="63" t="str">
        <f aca="false">IF('Offshore - Adelaide'!D433="","Belum tercatat",'Offshore - Adelaide'!D433)</f>
        <v>Term</v>
      </c>
      <c r="G569" s="65" t="n">
        <f aca="false">IF('Offshore - Adelaide'!E433="","-",'Offshore - Adelaide'!E433)</f>
        <v>1600</v>
      </c>
      <c r="H569" s="63" t="n">
        <f aca="false">IF(ISNUMBER(K569),COUNTIFS($J$6:$J$1854,J569,$K$6:$K$1854,"&lt;"&amp;K569)+1,"-")</f>
        <v>1</v>
      </c>
      <c r="I569" s="64" t="str">
        <f aca="false">IF('Offshore - Adelaide'!E433="","Harga belum tersedia - hubungi konsultan TEG",IF(M569=2,"Saat ini tidak menerima pendaftaran siswa internasional baru",IF(M569=1,"Harga perlu dikonfirmasi ke sekolah"&amp;IF(""="","","; "&amp;""),"")))</f>
        <v/>
      </c>
      <c r="J569" s="0" t="s">
        <v>3928</v>
      </c>
      <c r="K569" s="0" t="n">
        <f aca="false">IF(M569=2,"",IF(ISNUMBER(SEARCH("rata-rata:",'Offshore - Adelaide'!N433)),VALUE(MID('Offshore - Adelaide'!N433,SEARCH("rata-rata:",'Offshore - Adelaide'!N433)+11,FIND(";",'Offshore - Adelaide'!N433&amp;";",SEARCH("rata-rata:",'Offshore - Adelaide'!N433))-SEARCH("rata-rata:",'Offshore - Adelaide'!N433)-11)),IF('Offshore - Adelaide'!D433="Semester",'Offshore - Adelaide'!E433*2,IF('Offshore - Adelaide'!D433="Trimester",'Offshore - Adelaide'!E433*3,IF('Offshore - Adelaide'!D433="Term",'Offshore - Adelaide'!E433*4,IF('Offshore - Adelaide'!D433="Unit",'Offshore - Adelaide'!E433*8,""))))))</f>
        <v>6400</v>
      </c>
      <c r="L569" s="0" t="n">
        <f aca="false">IF(AND(ISNUMBER('Offshore - Adelaide'!E433),ISNUMBER(K569),ISNUMBER('Offshore - Adelaide'!F433),ISNUMBER('Offshore - Adelaide'!G433),OR('Offshore - Adelaide'!F433&lt;&gt;0,ISNUMBER(SEARCH("Material 0 terverifikasi",'Offshore - Adelaide'!N433))),OR('Offshore - Adelaide'!G433&lt;&gt;0,ISNUMBER(SEARCH("Enrolment 0 terverifikasi",'Offshore - Adelaide'!N433)))),1,0)</f>
        <v>1</v>
      </c>
      <c r="M569" s="0" t="n">
        <f aca="false">IF(OR('Offshore - Adelaide'!E433="",ISNUMBER(SEARCH("BSB80120",'Offshore - Adelaide'!B433&amp;'Offshore - Adelaide'!N433)),ISNUMBER(SEARCH("Management (Learning)",'Offshore - Adelaide'!B433))),2,IF(ISNUMBER(SEARCH("CEK:",'Offshore - Adelaide'!N433)),1,0))</f>
        <v>0</v>
      </c>
    </row>
    <row r="570" customFormat="false" ht="28.35" hidden="false" customHeight="false" outlineLevel="0" collapsed="false">
      <c r="A570" s="63" t="s">
        <v>3659</v>
      </c>
      <c r="B570" s="64" t="s">
        <v>3923</v>
      </c>
      <c r="C570" s="63" t="s">
        <v>41</v>
      </c>
      <c r="D570" s="64" t="str">
        <f aca="false">TRIM(LEFT('Offshore - Adelaide'!A471,FIND(CHAR(10),'Offshore - Adelaide'!A471&amp;CHAR(10))-1))</f>
        <v>Signet Institute of Australia</v>
      </c>
      <c r="E570" s="63" t="str">
        <f aca="false">'Offshore - Adelaide'!C479&amp;""</f>
        <v>3 years</v>
      </c>
      <c r="F570" s="63" t="str">
        <f aca="false">IF('Offshore - Adelaide'!D479="","Belum tercatat",'Offshore - Adelaide'!D479)</f>
        <v>Term</v>
      </c>
      <c r="G570" s="65" t="n">
        <f aca="false">IF('Offshore - Adelaide'!E479="","-",'Offshore - Adelaide'!E479)</f>
        <v>1800</v>
      </c>
      <c r="H570" s="63" t="n">
        <f aca="false">IF(ISNUMBER(K570),COUNTIFS($J$6:$J$1854,J570,$K$6:$K$1854,"&lt;"&amp;K570)+1,"-")</f>
        <v>2</v>
      </c>
      <c r="I570" s="64" t="str">
        <f aca="false">IF('Offshore - Adelaide'!E479="","Harga belum tersedia - hubungi konsultan TEG",IF(M570=2,"Saat ini tidak menerima pendaftaran siswa internasional baru",IF(M570=1,"Harga perlu dikonfirmasi ke sekolah"&amp;IF(""="","","; "&amp;""),"")))</f>
        <v/>
      </c>
      <c r="J570" s="0" t="s">
        <v>3928</v>
      </c>
      <c r="K570" s="0" t="n">
        <f aca="false">IF(M570=2,"",IF(ISNUMBER(SEARCH("rata-rata:",'Offshore - Adelaide'!N479)),VALUE(MID('Offshore - Adelaide'!N479,SEARCH("rata-rata:",'Offshore - Adelaide'!N479)+11,FIND(";",'Offshore - Adelaide'!N479&amp;";",SEARCH("rata-rata:",'Offshore - Adelaide'!N479))-SEARCH("rata-rata:",'Offshore - Adelaide'!N479)-11)),IF('Offshore - Adelaide'!D479="Semester",'Offshore - Adelaide'!E479*2,IF('Offshore - Adelaide'!D479="Trimester",'Offshore - Adelaide'!E479*3,IF('Offshore - Adelaide'!D479="Term",'Offshore - Adelaide'!E479*4,IF('Offshore - Adelaide'!D479="Unit",'Offshore - Adelaide'!E479*8,""))))))</f>
        <v>7200</v>
      </c>
      <c r="L570" s="0" t="n">
        <f aca="false">IF(AND(ISNUMBER('Offshore - Adelaide'!E479),ISNUMBER(K570),ISNUMBER('Offshore - Adelaide'!F479),ISNUMBER('Offshore - Adelaide'!G479),OR('Offshore - Adelaide'!F479&lt;&gt;0,ISNUMBER(SEARCH("Material 0 terverifikasi",'Offshore - Adelaide'!N479))),OR('Offshore - Adelaide'!G479&lt;&gt;0,ISNUMBER(SEARCH("Enrolment 0 terverifikasi",'Offshore - Adelaide'!N479)))),1,0)</f>
        <v>1</v>
      </c>
      <c r="M570" s="0" t="n">
        <f aca="false">IF(OR('Offshore - Adelaide'!E479="",ISNUMBER(SEARCH("BSB80120",'Offshore - Adelaide'!B479&amp;'Offshore - Adelaide'!N479)),ISNUMBER(SEARCH("Management (Learning)",'Offshore - Adelaide'!B479))),2,IF(ISNUMBER(SEARCH("CEK:",'Offshore - Adelaide'!N479)),1,0))</f>
        <v>0</v>
      </c>
    </row>
    <row r="571" customFormat="false" ht="28.35" hidden="false" customHeight="false" outlineLevel="0" collapsed="false">
      <c r="A571" s="63" t="s">
        <v>3659</v>
      </c>
      <c r="B571" s="64" t="s">
        <v>3923</v>
      </c>
      <c r="C571" s="63" t="s">
        <v>41</v>
      </c>
      <c r="D571" s="64" t="str">
        <f aca="false">TRIM(LEFT('Offshore - Adelaide'!A6,FIND(CHAR(10),'Offshore - Adelaide'!A6&amp;CHAR(10))-1))</f>
        <v>Abbey College Australia</v>
      </c>
      <c r="E571" s="63" t="str">
        <f aca="false">'Offshore - Adelaide'!C7&amp;""</f>
        <v>3,5 years</v>
      </c>
      <c r="F571" s="63" t="str">
        <f aca="false">IF('Offshore - Adelaide'!D7="","Belum tercatat",'Offshore - Adelaide'!D7)</f>
        <v>Term</v>
      </c>
      <c r="G571" s="65" t="n">
        <f aca="false">IF('Offshore - Adelaide'!E7="","-",'Offshore - Adelaide'!E7)</f>
        <v>2250</v>
      </c>
      <c r="H571" s="63" t="n">
        <f aca="false">IF(ISNUMBER(K571),COUNTIFS($J$6:$J$1854,J571,$K$6:$K$1854,"&lt;"&amp;K571)+1,"-")</f>
        <v>3</v>
      </c>
      <c r="I571" s="64" t="str">
        <f aca="false">IF('Offshore - Adelaide'!E7="","Harga belum tersedia - hubungi konsultan TEG",IF(M571=2,"Saat ini tidak menerima pendaftaran siswa internasional baru",IF(M571=1,"Harga perlu dikonfirmasi ke sekolah"&amp;IF(""="","","; "&amp;""),"")))</f>
        <v/>
      </c>
      <c r="J571" s="0" t="s">
        <v>3928</v>
      </c>
      <c r="K571" s="0" t="n">
        <f aca="false">IF(M571=2,"",IF(ISNUMBER(SEARCH("rata-rata:",'Offshore - Adelaide'!N7)),VALUE(MID('Offshore - Adelaide'!N7,SEARCH("rata-rata:",'Offshore - Adelaide'!N7)+11,FIND(";",'Offshore - Adelaide'!N7&amp;";",SEARCH("rata-rata:",'Offshore - Adelaide'!N7))-SEARCH("rata-rata:",'Offshore - Adelaide'!N7)-11)),IF('Offshore - Adelaide'!D7="Semester",'Offshore - Adelaide'!E7*2,IF('Offshore - Adelaide'!D7="Trimester",'Offshore - Adelaide'!E7*3,IF('Offshore - Adelaide'!D7="Term",'Offshore - Adelaide'!E7*4,IF('Offshore - Adelaide'!D7="Unit",'Offshore - Adelaide'!E7*8,""))))))</f>
        <v>9000</v>
      </c>
      <c r="L571" s="0" t="n">
        <f aca="false">IF(AND(ISNUMBER('Offshore - Adelaide'!E7),ISNUMBER(K571),ISNUMBER('Offshore - Adelaide'!F7),ISNUMBER('Offshore - Adelaide'!G7),OR('Offshore - Adelaide'!F7&lt;&gt;0,ISNUMBER(SEARCH("Material 0 terverifikasi",'Offshore - Adelaide'!N7))),OR('Offshore - Adelaide'!G7&lt;&gt;0,ISNUMBER(SEARCH("Enrolment 0 terverifikasi",'Offshore - Adelaide'!N7)))),1,0)</f>
        <v>1</v>
      </c>
      <c r="M571" s="0" t="n">
        <f aca="false">IF(OR('Offshore - Adelaide'!E7="",ISNUMBER(SEARCH("BSB80120",'Offshore - Adelaide'!B7&amp;'Offshore - Adelaide'!N7)),ISNUMBER(SEARCH("Management (Learning)",'Offshore - Adelaide'!B7))),2,IF(ISNUMBER(SEARCH("CEK:",'Offshore - Adelaide'!N7)),1,0))</f>
        <v>0</v>
      </c>
    </row>
    <row r="572" customFormat="false" ht="28.35" hidden="false" customHeight="false" outlineLevel="0" collapsed="false">
      <c r="A572" s="63" t="s">
        <v>3659</v>
      </c>
      <c r="B572" s="64" t="s">
        <v>3923</v>
      </c>
      <c r="C572" s="63" t="s">
        <v>41</v>
      </c>
      <c r="D572" s="64" t="str">
        <f aca="false">TRIM(LEFT('Offshore - Adelaide'!A399,FIND(CHAR(10),'Offshore - Adelaide'!A399&amp;CHAR(10))-1))</f>
        <v>Australian Ideal College (AIC)</v>
      </c>
      <c r="E572" s="63" t="str">
        <f aca="false">'Offshore - Adelaide'!C414&amp;""</f>
        <v>2,5 years</v>
      </c>
      <c r="F572" s="63" t="str">
        <f aca="false">IF('Offshore - Adelaide'!D414="","Belum tercatat",'Offshore - Adelaide'!D414)</f>
        <v>Term</v>
      </c>
      <c r="G572" s="65" t="n">
        <f aca="false">IF('Offshore - Adelaide'!E414="","-",'Offshore - Adelaide'!E414)</f>
        <v>2250</v>
      </c>
      <c r="H572" s="63" t="n">
        <f aca="false">IF(ISNUMBER(K572),COUNTIFS($J$6:$J$1854,J572,$K$6:$K$1854,"&lt;"&amp;K572)+1,"-")</f>
        <v>3</v>
      </c>
      <c r="I572" s="64" t="str">
        <f aca="false">IF('Offshore - Adelaide'!E414="","Harga belum tersedia - hubungi konsultan TEG",IF(M572=2,"Saat ini tidak menerima pendaftaran siswa internasional baru",IF(M572=1,"Harga perlu dikonfirmasi ke sekolah"&amp;IF(""="","","; "&amp;""),"")))</f>
        <v/>
      </c>
      <c r="J572" s="0" t="s">
        <v>3928</v>
      </c>
      <c r="K572" s="0" t="n">
        <f aca="false">IF(M572=2,"",IF(ISNUMBER(SEARCH("rata-rata:",'Offshore - Adelaide'!N414)),VALUE(MID('Offshore - Adelaide'!N414,SEARCH("rata-rata:",'Offshore - Adelaide'!N414)+11,FIND(";",'Offshore - Adelaide'!N414&amp;";",SEARCH("rata-rata:",'Offshore - Adelaide'!N414))-SEARCH("rata-rata:",'Offshore - Adelaide'!N414)-11)),IF('Offshore - Adelaide'!D414="Semester",'Offshore - Adelaide'!E414*2,IF('Offshore - Adelaide'!D414="Trimester",'Offshore - Adelaide'!E414*3,IF('Offshore - Adelaide'!D414="Term",'Offshore - Adelaide'!E414*4,IF('Offshore - Adelaide'!D414="Unit",'Offshore - Adelaide'!E414*8,""))))))</f>
        <v>9000</v>
      </c>
      <c r="L572" s="0" t="n">
        <f aca="false">IF(AND(ISNUMBER('Offshore - Adelaide'!E414),ISNUMBER(K572),ISNUMBER('Offshore - Adelaide'!F414),ISNUMBER('Offshore - Adelaide'!G414),OR('Offshore - Adelaide'!F414&lt;&gt;0,ISNUMBER(SEARCH("Material 0 terverifikasi",'Offshore - Adelaide'!N414))),OR('Offshore - Adelaide'!G414&lt;&gt;0,ISNUMBER(SEARCH("Enrolment 0 terverifikasi",'Offshore - Adelaide'!N414)))),1,0)</f>
        <v>1</v>
      </c>
      <c r="M572" s="0" t="n">
        <f aca="false">IF(OR('Offshore - Adelaide'!E414="",ISNUMBER(SEARCH("BSB80120",'Offshore - Adelaide'!B414&amp;'Offshore - Adelaide'!N414)),ISNUMBER(SEARCH("Management (Learning)",'Offshore - Adelaide'!B414))),2,IF(ISNUMBER(SEARCH("CEK:",'Offshore - Adelaide'!N414)),1,0))</f>
        <v>0</v>
      </c>
    </row>
    <row r="573" customFormat="false" ht="28.35" hidden="false" customHeight="false" outlineLevel="0" collapsed="false">
      <c r="A573" s="63" t="s">
        <v>3659</v>
      </c>
      <c r="B573" s="64" t="s">
        <v>3923</v>
      </c>
      <c r="C573" s="63" t="s">
        <v>41</v>
      </c>
      <c r="D573" s="64" t="str">
        <f aca="false">TRIM(LEFT('Offshore - Adelaide'!A374,FIND(CHAR(10),'Offshore - Adelaide'!A374&amp;CHAR(10))-1))</f>
        <v>Albright Institute of Business and Language (AIBL)</v>
      </c>
      <c r="E573" s="63" t="str">
        <f aca="false">'Offshore - Adelaide'!C375&amp;""</f>
        <v>2 years</v>
      </c>
      <c r="F573" s="63" t="str">
        <f aca="false">IF('Offshore - Adelaide'!D375="","Belum tercatat",'Offshore - Adelaide'!D375)</f>
        <v>Term</v>
      </c>
      <c r="G573" s="65" t="n">
        <f aca="false">IF('Offshore - Adelaide'!E375="","-",'Offshore - Adelaide'!E375)</f>
        <v>2315</v>
      </c>
      <c r="H573" s="63" t="n">
        <f aca="false">IF(ISNUMBER(K573),COUNTIFS($J$6:$J$1854,J573,$K$6:$K$1854,"&lt;"&amp;K573)+1,"-")</f>
        <v>5</v>
      </c>
      <c r="I573" s="64" t="str">
        <f aca="false">IF('Offshore - Adelaide'!E375="","Harga belum tersedia - hubungi konsultan TEG",IF(M573=2,"Saat ini tidak menerima pendaftaran siswa internasional baru",IF(M573=1,"Harga perlu dikonfirmasi ke sekolah"&amp;IF(""="","","; "&amp;""),"")))</f>
        <v/>
      </c>
      <c r="J573" s="0" t="s">
        <v>3928</v>
      </c>
      <c r="K573" s="0" t="n">
        <f aca="false">IF(M573=2,"",IF(ISNUMBER(SEARCH("rata-rata:",'Offshore - Adelaide'!N375)),VALUE(MID('Offshore - Adelaide'!N375,SEARCH("rata-rata:",'Offshore - Adelaide'!N375)+11,FIND(";",'Offshore - Adelaide'!N375&amp;";",SEARCH("rata-rata:",'Offshore - Adelaide'!N375))-SEARCH("rata-rata:",'Offshore - Adelaide'!N375)-11)),IF('Offshore - Adelaide'!D375="Semester",'Offshore - Adelaide'!E375*2,IF('Offshore - Adelaide'!D375="Trimester",'Offshore - Adelaide'!E375*3,IF('Offshore - Adelaide'!D375="Term",'Offshore - Adelaide'!E375*4,IF('Offshore - Adelaide'!D375="Unit",'Offshore - Adelaide'!E375*8,""))))))</f>
        <v>9260</v>
      </c>
      <c r="L573" s="0" t="n">
        <f aca="false">IF(AND(ISNUMBER('Offshore - Adelaide'!E375),ISNUMBER(K573),ISNUMBER('Offshore - Adelaide'!F375),ISNUMBER('Offshore - Adelaide'!G375),OR('Offshore - Adelaide'!F375&lt;&gt;0,ISNUMBER(SEARCH("Material 0 terverifikasi",'Offshore - Adelaide'!N375))),OR('Offshore - Adelaide'!G375&lt;&gt;0,ISNUMBER(SEARCH("Enrolment 0 terverifikasi",'Offshore - Adelaide'!N375)))),1,0)</f>
        <v>1</v>
      </c>
      <c r="M573" s="0" t="n">
        <f aca="false">IF(OR('Offshore - Adelaide'!E375="",ISNUMBER(SEARCH("BSB80120",'Offshore - Adelaide'!B375&amp;'Offshore - Adelaide'!N375)),ISNUMBER(SEARCH("Management (Learning)",'Offshore - Adelaide'!B375))),2,IF(ISNUMBER(SEARCH("CEK:",'Offshore - Adelaide'!N375)),1,0))</f>
        <v>0</v>
      </c>
    </row>
    <row r="574" customFormat="false" ht="28.35" hidden="false" customHeight="false" outlineLevel="0" collapsed="false">
      <c r="A574" s="63" t="s">
        <v>3659</v>
      </c>
      <c r="B574" s="64" t="s">
        <v>3923</v>
      </c>
      <c r="C574" s="63" t="s">
        <v>41</v>
      </c>
      <c r="D574" s="64" t="str">
        <f aca="false">TRIM(LEFT('Offshore - Adelaide'!A427,FIND(CHAR(10),'Offshore - Adelaide'!A427&amp;CHAR(10))-1))</f>
        <v>Concord Institute</v>
      </c>
      <c r="E574" s="63" t="str">
        <f aca="false">'Offshore - Adelaide'!C427&amp;""</f>
        <v>2,5 years</v>
      </c>
      <c r="F574" s="63" t="str">
        <f aca="false">IF('Offshore - Adelaide'!D427="","Belum tercatat",'Offshore - Adelaide'!D427)</f>
        <v>Term</v>
      </c>
      <c r="G574" s="65" t="n">
        <f aca="false">IF('Offshore - Adelaide'!E427="","-",'Offshore - Adelaide'!E427)</f>
        <v>2900</v>
      </c>
      <c r="H574" s="63" t="n">
        <f aca="false">IF(ISNUMBER(K574),COUNTIFS($J$6:$J$1854,J574,$K$6:$K$1854,"&lt;"&amp;K574)+1,"-")</f>
        <v>6</v>
      </c>
      <c r="I574" s="64" t="str">
        <f aca="false">IF('Offshore - Adelaide'!E427="","Harga belum tersedia - hubungi konsultan TEG",IF(M574=2,"Saat ini tidak menerima pendaftaran siswa internasional baru",IF(M574=1,"Program perlu dikonfirmasi ketersediaannya"&amp;IF(""="","","; "&amp;""),"")))</f>
        <v>Program perlu dikonfirmasi ketersediaannya</v>
      </c>
      <c r="J574" s="0" t="s">
        <v>3928</v>
      </c>
      <c r="K574" s="0" t="n">
        <f aca="false">IF(M574=2,"",IF(ISNUMBER(SEARCH("rata-rata:",'Offshore - Adelaide'!N427)),VALUE(MID('Offshore - Adelaide'!N427,SEARCH("rata-rata:",'Offshore - Adelaide'!N427)+11,FIND(";",'Offshore - Adelaide'!N427&amp;";",SEARCH("rata-rata:",'Offshore - Adelaide'!N427))-SEARCH("rata-rata:",'Offshore - Adelaide'!N427)-11)),IF('Offshore - Adelaide'!D427="Semester",'Offshore - Adelaide'!E427*2,IF('Offshore - Adelaide'!D427="Trimester",'Offshore - Adelaide'!E427*3,IF('Offshore - Adelaide'!D427="Term",'Offshore - Adelaide'!E427*4,IF('Offshore - Adelaide'!D427="Unit",'Offshore - Adelaide'!E427*8,""))))))</f>
        <v>11600</v>
      </c>
      <c r="L574" s="0" t="n">
        <f aca="false">IF(AND(ISNUMBER('Offshore - Adelaide'!E427),ISNUMBER(K574),ISNUMBER('Offshore - Adelaide'!F427),ISNUMBER('Offshore - Adelaide'!G427),OR('Offshore - Adelaide'!F427&lt;&gt;0,ISNUMBER(SEARCH("Material 0 terverifikasi",'Offshore - Adelaide'!N427))),OR('Offshore - Adelaide'!G427&lt;&gt;0,ISNUMBER(SEARCH("Enrolment 0 terverifikasi",'Offshore - Adelaide'!N427)))),1,0)</f>
        <v>1</v>
      </c>
      <c r="M574" s="0" t="n">
        <f aca="false">IF(OR('Offshore - Adelaide'!E427="",ISNUMBER(SEARCH("BSB80120",'Offshore - Adelaide'!B427&amp;'Offshore - Adelaide'!N427)),ISNUMBER(SEARCH("Management (Learning)",'Offshore - Adelaide'!B427))),2,IF(ISNUMBER(SEARCH("CEK:",'Offshore - Adelaide'!N427)),1,0))</f>
        <v>1</v>
      </c>
    </row>
    <row r="575" customFormat="false" ht="28.35" hidden="false" customHeight="false" outlineLevel="0" collapsed="false">
      <c r="A575" s="63" t="s">
        <v>3659</v>
      </c>
      <c r="B575" s="64" t="s">
        <v>3923</v>
      </c>
      <c r="C575" s="63" t="s">
        <v>41</v>
      </c>
      <c r="D575" s="64" t="str">
        <f aca="false">TRIM(LEFT('Offshore - Adelaide'!A484,FIND(CHAR(10),'Offshore - Adelaide'!A484&amp;CHAR(10))-1))</f>
        <v>TAFE SA</v>
      </c>
      <c r="E575" s="63" t="str">
        <f aca="false">'Offshore - Adelaide'!C499&amp;""</f>
        <v>1,5 years</v>
      </c>
      <c r="F575" s="63" t="str">
        <f aca="false">IF('Offshore - Adelaide'!D499="","Belum tercatat",'Offshore - Adelaide'!D499)</f>
        <v>Semester</v>
      </c>
      <c r="G575" s="65" t="n">
        <f aca="false">IF('Offshore - Adelaide'!E499="","-",'Offshore - Adelaide'!E499)</f>
        <v>6360</v>
      </c>
      <c r="H575" s="63" t="n">
        <f aca="false">IF(ISNUMBER(K575),COUNTIFS($J$6:$J$1854,J575,$K$6:$K$1854,"&lt;"&amp;K575)+1,"-")</f>
        <v>7</v>
      </c>
      <c r="I575" s="64" t="str">
        <f aca="false">IF('Offshore - Adelaide'!E499="","Harga belum tersedia - hubungi konsultan TEG",IF(M575=2,"Saat ini tidak menerima pendaftaran siswa internasional baru",IF(M575=1,"Harga perlu dikonfirmasi ke sekolah"&amp;IF(""="","","; "&amp;""),"")))</f>
        <v/>
      </c>
      <c r="J575" s="0" t="s">
        <v>3928</v>
      </c>
      <c r="K575" s="0" t="n">
        <f aca="false">IF(M575=2,"",IF(ISNUMBER(SEARCH("rata-rata:",'Offshore - Adelaide'!N499)),VALUE(MID('Offshore - Adelaide'!N499,SEARCH("rata-rata:",'Offshore - Adelaide'!N499)+11,FIND(";",'Offshore - Adelaide'!N499&amp;";",SEARCH("rata-rata:",'Offshore - Adelaide'!N499))-SEARCH("rata-rata:",'Offshore - Adelaide'!N499)-11)),IF('Offshore - Adelaide'!D499="Semester",'Offshore - Adelaide'!E499*2,IF('Offshore - Adelaide'!D499="Trimester",'Offshore - Adelaide'!E499*3,IF('Offshore - Adelaide'!D499="Term",'Offshore - Adelaide'!E499*4,IF('Offshore - Adelaide'!D499="Unit",'Offshore - Adelaide'!E499*8,""))))))</f>
        <v>12720</v>
      </c>
      <c r="L575" s="0" t="n">
        <f aca="false">IF(AND(ISNUMBER('Offshore - Adelaide'!E499),ISNUMBER(K575),ISNUMBER('Offshore - Adelaide'!F499),ISNUMBER('Offshore - Adelaide'!G499),OR('Offshore - Adelaide'!F499&lt;&gt;0,ISNUMBER(SEARCH("Material 0 terverifikasi",'Offshore - Adelaide'!N499))),OR('Offshore - Adelaide'!G499&lt;&gt;0,ISNUMBER(SEARCH("Enrolment 0 terverifikasi",'Offshore - Adelaide'!N499)))),1,0)</f>
        <v>0</v>
      </c>
      <c r="M575" s="0" t="n">
        <f aca="false">IF(OR('Offshore - Adelaide'!E499="",ISNUMBER(SEARCH("BSB80120",'Offshore - Adelaide'!B499&amp;'Offshore - Adelaide'!N499)),ISNUMBER(SEARCH("Management (Learning)",'Offshore - Adelaide'!B499))),2,IF(ISNUMBER(SEARCH("CEK:",'Offshore - Adelaide'!N499)),1,0))</f>
        <v>0</v>
      </c>
    </row>
    <row r="576" customFormat="false" ht="15" hidden="false" customHeight="false" outlineLevel="0" collapsed="false">
      <c r="A576" s="61" t="s">
        <v>3929</v>
      </c>
      <c r="B576" s="62"/>
      <c r="C576" s="62"/>
      <c r="D576" s="62"/>
      <c r="E576" s="62"/>
      <c r="F576" s="62"/>
      <c r="G576" s="62"/>
      <c r="H576" s="62"/>
      <c r="I576" s="62"/>
    </row>
    <row r="577" customFormat="false" ht="28.35" hidden="false" customHeight="false" outlineLevel="0" collapsed="false">
      <c r="A577" s="63" t="s">
        <v>3659</v>
      </c>
      <c r="B577" s="64" t="s">
        <v>3923</v>
      </c>
      <c r="C577" s="63" t="s">
        <v>43</v>
      </c>
      <c r="D577" s="64" t="str">
        <f aca="false">TRIM(LEFT('Offshore - Adelaide'!A545,FIND(CHAR(10),'Offshore - Adelaide'!A545&amp;CHAR(10))-1))</f>
        <v>Torrens University Australia</v>
      </c>
      <c r="E577" s="63" t="str">
        <f aca="false">'Offshore - Adelaide'!C591&amp;""</f>
        <v>3 years</v>
      </c>
      <c r="F577" s="63" t="str">
        <f aca="false">IF('Offshore - Adelaide'!D591="","Belum tercatat",'Offshore - Adelaide'!D591)</f>
        <v>Term</v>
      </c>
      <c r="G577" s="65" t="n">
        <f aca="false">IF('Offshore - Adelaide'!E591="","-",'Offshore - Adelaide'!E591)</f>
        <v>7333</v>
      </c>
      <c r="H577" s="63" t="n">
        <f aca="false">IF(ISNUMBER(K577),COUNTIFS($J$6:$J$1854,J577,$K$6:$K$1854,"&lt;"&amp;K577)+1,"-")</f>
        <v>1</v>
      </c>
      <c r="I577" s="64" t="str">
        <f aca="false">IF('Offshore - Adelaide'!E591="","Harga belum tersedia - hubungi konsultan TEG",IF(M577=2,"Saat ini tidak menerima pendaftaran siswa internasional baru",IF(M577=1,"Harga perlu dikonfirmasi ke sekolah"&amp;IF(""="","","; "&amp;""),"")))</f>
        <v/>
      </c>
      <c r="J577" s="0" t="s">
        <v>3930</v>
      </c>
      <c r="K577" s="0" t="n">
        <f aca="false">IF(M577=2,"",IF(ISNUMBER(SEARCH("rata-rata:",'Offshore - Adelaide'!N591)),VALUE(MID('Offshore - Adelaide'!N591,SEARCH("rata-rata:",'Offshore - Adelaide'!N591)+11,FIND(";",'Offshore - Adelaide'!N591&amp;";",SEARCH("rata-rata:",'Offshore - Adelaide'!N591))-SEARCH("rata-rata:",'Offshore - Adelaide'!N591)-11)),IF('Offshore - Adelaide'!D591="Semester",'Offshore - Adelaide'!E591*2,IF('Offshore - Adelaide'!D591="Trimester",'Offshore - Adelaide'!E591*3,IF('Offshore - Adelaide'!D591="Term",'Offshore - Adelaide'!E591*4,IF('Offshore - Adelaide'!D591="Unit",'Offshore - Adelaide'!E591*8,""))))))</f>
        <v>29332</v>
      </c>
      <c r="L577" s="0" t="n">
        <f aca="false">IF(AND(ISNUMBER('Offshore - Adelaide'!E591),ISNUMBER(K577),ISNUMBER('Offshore - Adelaide'!F591),ISNUMBER('Offshore - Adelaide'!G591),OR('Offshore - Adelaide'!F591&lt;&gt;0,ISNUMBER(SEARCH("Material 0 terverifikasi",'Offshore - Adelaide'!N591))),OR('Offshore - Adelaide'!G591&lt;&gt;0,ISNUMBER(SEARCH("Enrolment 0 terverifikasi",'Offshore - Adelaide'!N591)))),1,0)</f>
        <v>0</v>
      </c>
      <c r="M577" s="0" t="n">
        <f aca="false">IF(OR('Offshore - Adelaide'!E591="",ISNUMBER(SEARCH("BSB80120",'Offshore - Adelaide'!B591&amp;'Offshore - Adelaide'!N591)),ISNUMBER(SEARCH("Management (Learning)",'Offshore - Adelaide'!B591))),2,IF(ISNUMBER(SEARCH("CEK:",'Offshore - Adelaide'!N591)),1,0))</f>
        <v>0</v>
      </c>
    </row>
    <row r="578" customFormat="false" ht="28.35" hidden="false" customHeight="false" outlineLevel="0" collapsed="false">
      <c r="A578" s="63" t="s">
        <v>3659</v>
      </c>
      <c r="B578" s="64" t="s">
        <v>3923</v>
      </c>
      <c r="C578" s="63" t="s">
        <v>43</v>
      </c>
      <c r="D578" s="64" t="str">
        <f aca="false">TRIM(LEFT('Offshore - Adelaide'!A13,FIND(CHAR(10),'Offshore - Adelaide'!A13&amp;CHAR(10))-1))</f>
        <v>Adelaide University</v>
      </c>
      <c r="E578" s="63" t="str">
        <f aca="false">'Offshore - Adelaide'!C88&amp;""</f>
        <v>3 years</v>
      </c>
      <c r="F578" s="63" t="str">
        <f aca="false">IF('Offshore - Adelaide'!D88="","Belum tercatat",'Offshore - Adelaide'!D88)</f>
        <v>Term</v>
      </c>
      <c r="G578" s="65" t="n">
        <f aca="false">IF('Offshore - Adelaide'!E88="","-",'Offshore - Adelaide'!E88)</f>
        <v>10850</v>
      </c>
      <c r="H578" s="63" t="n">
        <f aca="false">IF(ISNUMBER(K578),COUNTIFS($J$6:$J$1854,J578,$K$6:$K$1854,"&lt;"&amp;K578)+1,"-")</f>
        <v>2</v>
      </c>
      <c r="I578" s="64" t="str">
        <f aca="false">IF('Offshore - Adelaide'!E88="","Harga belum tersedia - hubungi konsultan TEG",IF(M578=2,"Saat ini tidak menerima pendaftaran siswa internasional baru",IF(M578=1,"Harga perlu dikonfirmasi ke sekolah"&amp;IF(""="","","; "&amp;""),"")))</f>
        <v/>
      </c>
      <c r="J578" s="0" t="s">
        <v>3930</v>
      </c>
      <c r="K578" s="0" t="n">
        <f aca="false">IF(M578=2,"",IF(ISNUMBER(SEARCH("rata-rata:",'Offshore - Adelaide'!N88)),VALUE(MID('Offshore - Adelaide'!N88,SEARCH("rata-rata:",'Offshore - Adelaide'!N88)+11,FIND(";",'Offshore - Adelaide'!N88&amp;";",SEARCH("rata-rata:",'Offshore - Adelaide'!N88))-SEARCH("rata-rata:",'Offshore - Adelaide'!N88)-11)),IF('Offshore - Adelaide'!D88="Semester",'Offshore - Adelaide'!E88*2,IF('Offshore - Adelaide'!D88="Trimester",'Offshore - Adelaide'!E88*3,IF('Offshore - Adelaide'!D88="Term",'Offshore - Adelaide'!E88*4,IF('Offshore - Adelaide'!D88="Unit",'Offshore - Adelaide'!E88*8,""))))))</f>
        <v>43400</v>
      </c>
      <c r="L578" s="0" t="n">
        <f aca="false">IF(AND(ISNUMBER('Offshore - Adelaide'!E88),ISNUMBER(K578),ISNUMBER('Offshore - Adelaide'!F88),ISNUMBER('Offshore - Adelaide'!G88),OR('Offshore - Adelaide'!F88&lt;&gt;0,ISNUMBER(SEARCH("Material 0 terverifikasi",'Offshore - Adelaide'!N88))),OR('Offshore - Adelaide'!G88&lt;&gt;0,ISNUMBER(SEARCH("Enrolment 0 terverifikasi",'Offshore - Adelaide'!N88)))),1,0)</f>
        <v>0</v>
      </c>
      <c r="M578" s="0" t="n">
        <f aca="false">IF(OR('Offshore - Adelaide'!E88="",ISNUMBER(SEARCH("BSB80120",'Offshore - Adelaide'!B88&amp;'Offshore - Adelaide'!N88)),ISNUMBER(SEARCH("Management (Learning)",'Offshore - Adelaide'!B88))),2,IF(ISNUMBER(SEARCH("CEK:",'Offshore - Adelaide'!N88)),1,0))</f>
        <v>0</v>
      </c>
    </row>
    <row r="579" customFormat="false" ht="15" hidden="false" customHeight="false" outlineLevel="0" collapsed="false">
      <c r="A579" s="61" t="s">
        <v>3931</v>
      </c>
      <c r="B579" s="62"/>
      <c r="C579" s="62"/>
      <c r="D579" s="62"/>
      <c r="E579" s="62"/>
      <c r="F579" s="62"/>
      <c r="G579" s="62"/>
      <c r="H579" s="62"/>
      <c r="I579" s="62"/>
    </row>
    <row r="580" customFormat="false" ht="28.35" hidden="false" customHeight="false" outlineLevel="0" collapsed="false">
      <c r="A580" s="63" t="s">
        <v>3659</v>
      </c>
      <c r="B580" s="64" t="s">
        <v>3923</v>
      </c>
      <c r="C580" s="63" t="s">
        <v>46</v>
      </c>
      <c r="D580" s="64" t="str">
        <f aca="false">TRIM(LEFT('Offshore - Adelaide'!A13,FIND(CHAR(10),'Offshore - Adelaide'!A13&amp;CHAR(10))-1))</f>
        <v>Adelaide University</v>
      </c>
      <c r="E580" s="63" t="str">
        <f aca="false">'Offshore - Adelaide'!C363&amp;""</f>
        <v>2 years</v>
      </c>
      <c r="F580" s="63" t="str">
        <f aca="false">IF('Offshore - Adelaide'!D363="","Belum tercatat",'Offshore - Adelaide'!D363)</f>
        <v>Term</v>
      </c>
      <c r="G580" s="65" t="n">
        <f aca="false">IF('Offshore - Adelaide'!E363="","-",'Offshore - Adelaide'!E363)</f>
        <v>10850</v>
      </c>
      <c r="H580" s="63" t="n">
        <f aca="false">IF(ISNUMBER(K580),COUNTIFS($J$6:$J$1854,J580,$K$6:$K$1854,"&lt;"&amp;K580)+1,"-")</f>
        <v>1</v>
      </c>
      <c r="I580" s="64" t="str">
        <f aca="false">IF('Offshore - Adelaide'!E363="","Harga belum tersedia - hubungi konsultan TEG",IF(M580=2,"Saat ini tidak menerima pendaftaran siswa internasional baru",IF(M580=1,"Harga perlu dikonfirmasi ke sekolah"&amp;IF(""="","","; "&amp;""),"")))</f>
        <v/>
      </c>
      <c r="J580" s="0" t="s">
        <v>3932</v>
      </c>
      <c r="K580" s="0" t="n">
        <f aca="false">IF(M580=2,"",IF(ISNUMBER(SEARCH("rata-rata:",'Offshore - Adelaide'!N363)),VALUE(MID('Offshore - Adelaide'!N363,SEARCH("rata-rata:",'Offshore - Adelaide'!N363)+11,FIND(";",'Offshore - Adelaide'!N363&amp;";",SEARCH("rata-rata:",'Offshore - Adelaide'!N363))-SEARCH("rata-rata:",'Offshore - Adelaide'!N363)-11)),IF('Offshore - Adelaide'!D363="Semester",'Offshore - Adelaide'!E363*2,IF('Offshore - Adelaide'!D363="Trimester",'Offshore - Adelaide'!E363*3,IF('Offshore - Adelaide'!D363="Term",'Offshore - Adelaide'!E363*4,IF('Offshore - Adelaide'!D363="Unit",'Offshore - Adelaide'!E363*8,""))))))</f>
        <v>43400</v>
      </c>
      <c r="L580" s="0" t="n">
        <f aca="false">IF(AND(ISNUMBER('Offshore - Adelaide'!E363),ISNUMBER(K580),ISNUMBER('Offshore - Adelaide'!F363),ISNUMBER('Offshore - Adelaide'!G363),OR('Offshore - Adelaide'!F363&lt;&gt;0,ISNUMBER(SEARCH("Material 0 terverifikasi",'Offshore - Adelaide'!N363))),OR('Offshore - Adelaide'!G363&lt;&gt;0,ISNUMBER(SEARCH("Enrolment 0 terverifikasi",'Offshore - Adelaide'!N363)))),1,0)</f>
        <v>0</v>
      </c>
      <c r="M580" s="0" t="n">
        <f aca="false">IF(OR('Offshore - Adelaide'!E363="",ISNUMBER(SEARCH("BSB80120",'Offshore - Adelaide'!B363&amp;'Offshore - Adelaide'!N363)),ISNUMBER(SEARCH("Management (Learning)",'Offshore - Adelaide'!B363))),2,IF(ISNUMBER(SEARCH("CEK:",'Offshore - Adelaide'!N363)),1,0))</f>
        <v>0</v>
      </c>
    </row>
    <row r="581" customFormat="false" ht="15" hidden="false" customHeight="false" outlineLevel="0" collapsed="false">
      <c r="A581" s="61" t="s">
        <v>3933</v>
      </c>
      <c r="B581" s="62"/>
      <c r="C581" s="62"/>
      <c r="D581" s="62"/>
      <c r="E581" s="62"/>
      <c r="F581" s="62"/>
      <c r="G581" s="62"/>
      <c r="H581" s="62"/>
      <c r="I581" s="62"/>
    </row>
    <row r="582" customFormat="false" ht="28.35" hidden="false" customHeight="false" outlineLevel="0" collapsed="false">
      <c r="A582" s="63" t="s">
        <v>3563</v>
      </c>
      <c r="B582" s="64" t="s">
        <v>3923</v>
      </c>
      <c r="C582" s="63" t="s">
        <v>41</v>
      </c>
      <c r="D582" s="64" t="str">
        <f aca="false">TRIM(LEFT('Offshore - Brisbane'!A205,FIND(CHAR(10),'Offshore - Brisbane'!A205&amp;CHAR(10))-1))</f>
        <v>Greenwich College</v>
      </c>
      <c r="E582" s="63" t="str">
        <f aca="false">'Offshore - Brisbane'!C219&amp;""</f>
        <v>2 years</v>
      </c>
      <c r="F582" s="63" t="str">
        <f aca="false">IF('Offshore - Brisbane'!D219="","Belum tercatat",'Offshore - Brisbane'!D219)</f>
        <v>Term</v>
      </c>
      <c r="G582" s="65" t="n">
        <f aca="false">IF('Offshore - Brisbane'!E219="","-",'Offshore - Brisbane'!E219)</f>
        <v>1400</v>
      </c>
      <c r="H582" s="63" t="n">
        <f aca="false">IF(ISNUMBER(K582),COUNTIFS($J$6:$J$1854,J582,$K$6:$K$1854,"&lt;"&amp;K582)+1,"-")</f>
        <v>1</v>
      </c>
      <c r="I582" s="64" t="str">
        <f aca="false">IF('Offshore - Brisbane'!E219="","Harga belum tersedia - hubungi konsultan TEG",IF(M582=2,"Saat ini tidak menerima pendaftaran siswa internasional baru",IF(M582=1,"Harga perlu dikonfirmasi ke sekolah"&amp;IF(""="","","; "&amp;""),"")))</f>
        <v/>
      </c>
      <c r="J582" s="0" t="s">
        <v>3934</v>
      </c>
      <c r="K582" s="0" t="n">
        <f aca="false">IF(M582=2,"",IF(ISNUMBER(SEARCH("rata-rata:",'Offshore - Brisbane'!N219)),VALUE(MID('Offshore - Brisbane'!N219,SEARCH("rata-rata:",'Offshore - Brisbane'!N219)+11,FIND(";",'Offshore - Brisbane'!N219&amp;";",SEARCH("rata-rata:",'Offshore - Brisbane'!N219))-SEARCH("rata-rata:",'Offshore - Brisbane'!N219)-11)),IF('Offshore - Brisbane'!D219="Semester",'Offshore - Brisbane'!E219*2,IF('Offshore - Brisbane'!D219="Trimester",'Offshore - Brisbane'!E219*3,IF('Offshore - Brisbane'!D219="Term",'Offshore - Brisbane'!E219*4,IF('Offshore - Brisbane'!D219="Unit",'Offshore - Brisbane'!E219*8,""))))))</f>
        <v>5600</v>
      </c>
      <c r="L582" s="0" t="n">
        <f aca="false">IF(AND(ISNUMBER('Offshore - Brisbane'!E219),ISNUMBER(K582),ISNUMBER('Offshore - Brisbane'!F219),ISNUMBER('Offshore - Brisbane'!G219),OR('Offshore - Brisbane'!F219&lt;&gt;0,ISNUMBER(SEARCH("Material 0 terverifikasi",'Offshore - Brisbane'!N219))),OR('Offshore - Brisbane'!G219&lt;&gt;0,ISNUMBER(SEARCH("Enrolment 0 terverifikasi",'Offshore - Brisbane'!N219)))),1,0)</f>
        <v>1</v>
      </c>
      <c r="M582" s="0" t="n">
        <f aca="false">IF(OR('Offshore - Brisbane'!E219="",ISNUMBER(SEARCH("BSB80120",'Offshore - Brisbane'!B219&amp;'Offshore - Brisbane'!N219)),ISNUMBER(SEARCH("Management (Learning)",'Offshore - Brisbane'!B219))),2,IF(ISNUMBER(SEARCH("CEK:",'Offshore - Brisbane'!N219)),1,0))</f>
        <v>0</v>
      </c>
    </row>
    <row r="583" customFormat="false" ht="28.35" hidden="false" customHeight="false" outlineLevel="0" collapsed="false">
      <c r="A583" s="63" t="s">
        <v>3563</v>
      </c>
      <c r="B583" s="64" t="s">
        <v>3923</v>
      </c>
      <c r="C583" s="63" t="s">
        <v>41</v>
      </c>
      <c r="D583" s="64" t="str">
        <f aca="false">TRIM(LEFT('Offshore - Brisbane'!A291,FIND(CHAR(10),'Offshore - Brisbane'!A291&amp;CHAR(10))-1))</f>
        <v>Shafston International College</v>
      </c>
      <c r="E583" s="63" t="str">
        <f aca="false">'Offshore - Brisbane'!C292&amp;""</f>
        <v>2 years</v>
      </c>
      <c r="F583" s="63" t="str">
        <f aca="false">IF('Offshore - Brisbane'!D292="","Belum tercatat",'Offshore - Brisbane'!D292)</f>
        <v>Term</v>
      </c>
      <c r="G583" s="65" t="n">
        <f aca="false">IF('Offshore - Brisbane'!E292="","-",'Offshore - Brisbane'!E292)</f>
        <v>1800</v>
      </c>
      <c r="H583" s="63" t="n">
        <f aca="false">IF(ISNUMBER(K583),COUNTIFS($J$6:$J$1854,J583,$K$6:$K$1854,"&lt;"&amp;K583)+1,"-")</f>
        <v>2</v>
      </c>
      <c r="I583" s="64" t="str">
        <f aca="false">IF('Offshore - Brisbane'!E292="","Harga belum tersedia - hubungi konsultan TEG",IF(M583=2,"Saat ini tidak menerima pendaftaran siswa internasional baru",IF(M583=1,"Harga perlu dikonfirmasi ke sekolah"&amp;IF(""="","","; "&amp;""),"")))</f>
        <v/>
      </c>
      <c r="J583" s="0" t="s">
        <v>3934</v>
      </c>
      <c r="K583" s="0" t="n">
        <f aca="false">IF(M583=2,"",IF(ISNUMBER(SEARCH("rata-rata:",'Offshore - Brisbane'!N292)),VALUE(MID('Offshore - Brisbane'!N292,SEARCH("rata-rata:",'Offshore - Brisbane'!N292)+11,FIND(";",'Offshore - Brisbane'!N292&amp;";",SEARCH("rata-rata:",'Offshore - Brisbane'!N292))-SEARCH("rata-rata:",'Offshore - Brisbane'!N292)-11)),IF('Offshore - Brisbane'!D292="Semester",'Offshore - Brisbane'!E292*2,IF('Offshore - Brisbane'!D292="Trimester",'Offshore - Brisbane'!E292*3,IF('Offshore - Brisbane'!D292="Term",'Offshore - Brisbane'!E292*4,IF('Offshore - Brisbane'!D292="Unit",'Offshore - Brisbane'!E292*8,""))))))</f>
        <v>7200</v>
      </c>
      <c r="L583" s="0" t="n">
        <f aca="false">IF(AND(ISNUMBER('Offshore - Brisbane'!E292),ISNUMBER(K583),ISNUMBER('Offshore - Brisbane'!F292),ISNUMBER('Offshore - Brisbane'!G292),OR('Offshore - Brisbane'!F292&lt;&gt;0,ISNUMBER(SEARCH("Material 0 terverifikasi",'Offshore - Brisbane'!N292))),OR('Offshore - Brisbane'!G292&lt;&gt;0,ISNUMBER(SEARCH("Enrolment 0 terverifikasi",'Offshore - Brisbane'!N292)))),1,0)</f>
        <v>0</v>
      </c>
      <c r="M583" s="0" t="n">
        <f aca="false">IF(OR('Offshore - Brisbane'!E292="",ISNUMBER(SEARCH("BSB80120",'Offshore - Brisbane'!B292&amp;'Offshore - Brisbane'!N292)),ISNUMBER(SEARCH("Management (Learning)",'Offshore - Brisbane'!B292))),2,IF(ISNUMBER(SEARCH("CEK:",'Offshore - Brisbane'!N292)),1,0))</f>
        <v>0</v>
      </c>
    </row>
    <row r="584" customFormat="false" ht="28.35" hidden="false" customHeight="false" outlineLevel="0" collapsed="false">
      <c r="A584" s="63" t="s">
        <v>3563</v>
      </c>
      <c r="B584" s="64" t="s">
        <v>3923</v>
      </c>
      <c r="C584" s="63" t="s">
        <v>41</v>
      </c>
      <c r="D584" s="64" t="str">
        <f aca="false">TRIM(LEFT('Offshore - Brisbane'!A245,FIND(CHAR(10),'Offshore - Brisbane'!A245&amp;CHAR(10))-1))</f>
        <v>Imperial Institute of Sydney (IIS)</v>
      </c>
      <c r="E584" s="63" t="str">
        <f aca="false">'Offshore - Brisbane'!C247&amp;""</f>
        <v>2 years</v>
      </c>
      <c r="F584" s="63" t="str">
        <f aca="false">IF('Offshore - Brisbane'!D247="","Belum tercatat",'Offshore - Brisbane'!D247)</f>
        <v>Term</v>
      </c>
      <c r="G584" s="65" t="n">
        <f aca="false">IF('Offshore - Brisbane'!E247="","-",'Offshore - Brisbane'!E247)</f>
        <v>2250</v>
      </c>
      <c r="H584" s="63" t="n">
        <f aca="false">IF(ISNUMBER(K584),COUNTIFS($J$6:$J$1854,J584,$K$6:$K$1854,"&lt;"&amp;K584)+1,"-")</f>
        <v>3</v>
      </c>
      <c r="I584" s="64" t="str">
        <f aca="false">IF('Offshore - Brisbane'!E247="","Harga belum tersedia - hubungi konsultan TEG",IF(M584=2,"Saat ini tidak menerima pendaftaran siswa internasional baru",IF(M584=1,"Program perlu dikonfirmasi ketersediaannya"&amp;IF(""="","","; "&amp;""),"")))</f>
        <v>Program perlu dikonfirmasi ketersediaannya</v>
      </c>
      <c r="J584" s="0" t="s">
        <v>3934</v>
      </c>
      <c r="K584" s="0" t="n">
        <f aca="false">IF(M584=2,"",IF(ISNUMBER(SEARCH("rata-rata:",'Offshore - Brisbane'!N247)),VALUE(MID('Offshore - Brisbane'!N247,SEARCH("rata-rata:",'Offshore - Brisbane'!N247)+11,FIND(";",'Offshore - Brisbane'!N247&amp;";",SEARCH("rata-rata:",'Offshore - Brisbane'!N247))-SEARCH("rata-rata:",'Offshore - Brisbane'!N247)-11)),IF('Offshore - Brisbane'!D247="Semester",'Offshore - Brisbane'!E247*2,IF('Offshore - Brisbane'!D247="Trimester",'Offshore - Brisbane'!E247*3,IF('Offshore - Brisbane'!D247="Term",'Offshore - Brisbane'!E247*4,IF('Offshore - Brisbane'!D247="Unit",'Offshore - Brisbane'!E247*8,""))))))</f>
        <v>9000</v>
      </c>
      <c r="L584" s="0" t="n">
        <f aca="false">IF(AND(ISNUMBER('Offshore - Brisbane'!E247),ISNUMBER(K584),ISNUMBER('Offshore - Brisbane'!F247),ISNUMBER('Offshore - Brisbane'!G247),OR('Offshore - Brisbane'!F247&lt;&gt;0,ISNUMBER(SEARCH("Material 0 terverifikasi",'Offshore - Brisbane'!N247))),OR('Offshore - Brisbane'!G247&lt;&gt;0,ISNUMBER(SEARCH("Enrolment 0 terverifikasi",'Offshore - Brisbane'!N247)))),1,0)</f>
        <v>0</v>
      </c>
      <c r="M584" s="0" t="n">
        <f aca="false">IF(OR('Offshore - Brisbane'!E247="",ISNUMBER(SEARCH("BSB80120",'Offshore - Brisbane'!B247&amp;'Offshore - Brisbane'!N247)),ISNUMBER(SEARCH("Management (Learning)",'Offshore - Brisbane'!B247))),2,IF(ISNUMBER(SEARCH("CEK:",'Offshore - Brisbane'!N247)),1,0))</f>
        <v>1</v>
      </c>
    </row>
    <row r="585" customFormat="false" ht="28.35" hidden="false" customHeight="false" outlineLevel="0" collapsed="false">
      <c r="A585" s="63" t="s">
        <v>3563</v>
      </c>
      <c r="B585" s="64" t="s">
        <v>3923</v>
      </c>
      <c r="C585" s="63" t="s">
        <v>41</v>
      </c>
      <c r="D585" s="64" t="str">
        <f aca="false">TRIM(LEFT('Offshore - Brisbane'!A22,FIND(CHAR(10),'Offshore - Brisbane'!A22&amp;CHAR(10))-1))</f>
        <v>Albright Institute of Business and Language (AIBL)</v>
      </c>
      <c r="E585" s="63" t="str">
        <f aca="false">'Offshore - Brisbane'!C23&amp;""</f>
        <v>2 years</v>
      </c>
      <c r="F585" s="63" t="str">
        <f aca="false">IF('Offshore - Brisbane'!D23="","Belum tercatat",'Offshore - Brisbane'!D23)</f>
        <v>Term</v>
      </c>
      <c r="G585" s="65" t="n">
        <f aca="false">IF('Offshore - Brisbane'!E23="","-",'Offshore - Brisbane'!E23)</f>
        <v>2315</v>
      </c>
      <c r="H585" s="63" t="n">
        <f aca="false">IF(ISNUMBER(K585),COUNTIFS($J$6:$J$1854,J585,$K$6:$K$1854,"&lt;"&amp;K585)+1,"-")</f>
        <v>4</v>
      </c>
      <c r="I585" s="64" t="str">
        <f aca="false">IF('Offshore - Brisbane'!E23="","Harga belum tersedia - hubungi konsultan TEG",IF(M585=2,"Saat ini tidak menerima pendaftaran siswa internasional baru",IF(M585=1,"Harga perlu dikonfirmasi ke sekolah"&amp;IF(""="","","; "&amp;""),"")))</f>
        <v/>
      </c>
      <c r="J585" s="0" t="s">
        <v>3934</v>
      </c>
      <c r="K585" s="0" t="n">
        <f aca="false">IF(M585=2,"",IF(ISNUMBER(SEARCH("rata-rata:",'Offshore - Brisbane'!N23)),VALUE(MID('Offshore - Brisbane'!N23,SEARCH("rata-rata:",'Offshore - Brisbane'!N23)+11,FIND(";",'Offshore - Brisbane'!N23&amp;";",SEARCH("rata-rata:",'Offshore - Brisbane'!N23))-SEARCH("rata-rata:",'Offshore - Brisbane'!N23)-11)),IF('Offshore - Brisbane'!D23="Semester",'Offshore - Brisbane'!E23*2,IF('Offshore - Brisbane'!D23="Trimester",'Offshore - Brisbane'!E23*3,IF('Offshore - Brisbane'!D23="Term",'Offshore - Brisbane'!E23*4,IF('Offshore - Brisbane'!D23="Unit",'Offshore - Brisbane'!E23*8,""))))))</f>
        <v>9260</v>
      </c>
      <c r="L585" s="0" t="n">
        <f aca="false">IF(AND(ISNUMBER('Offshore - Brisbane'!E23),ISNUMBER(K585),ISNUMBER('Offshore - Brisbane'!F23),ISNUMBER('Offshore - Brisbane'!G23),OR('Offshore - Brisbane'!F23&lt;&gt;0,ISNUMBER(SEARCH("Material 0 terverifikasi",'Offshore - Brisbane'!N23))),OR('Offshore - Brisbane'!G23&lt;&gt;0,ISNUMBER(SEARCH("Enrolment 0 terverifikasi",'Offshore - Brisbane'!N23)))),1,0)</f>
        <v>1</v>
      </c>
      <c r="M585" s="0" t="n">
        <f aca="false">IF(OR('Offshore - Brisbane'!E23="",ISNUMBER(SEARCH("BSB80120",'Offshore - Brisbane'!B23&amp;'Offshore - Brisbane'!N23)),ISNUMBER(SEARCH("Management (Learning)",'Offshore - Brisbane'!B23))),2,IF(ISNUMBER(SEARCH("CEK:",'Offshore - Brisbane'!N23)),1,0))</f>
        <v>0</v>
      </c>
    </row>
    <row r="586" customFormat="false" ht="28.35" hidden="false" customHeight="false" outlineLevel="0" collapsed="false">
      <c r="A586" s="63" t="s">
        <v>3563</v>
      </c>
      <c r="B586" s="64" t="s">
        <v>3923</v>
      </c>
      <c r="C586" s="63" t="s">
        <v>41</v>
      </c>
      <c r="D586" s="64" t="str">
        <f aca="false">TRIM(LEFT('Offshore - Brisbane'!A161,FIND(CHAR(10),'Offshore - Brisbane'!A161&amp;CHAR(10))-1))</f>
        <v>Australian Skills Management Institute (ASMI)</v>
      </c>
      <c r="E586" s="63" t="str">
        <f aca="false">'Offshore - Brisbane'!C166&amp;""</f>
        <v>1,7 years</v>
      </c>
      <c r="F586" s="63" t="str">
        <f aca="false">IF('Offshore - Brisbane'!D166="","Belum tercatat",'Offshore - Brisbane'!D166)</f>
        <v>Term</v>
      </c>
      <c r="G586" s="65" t="n">
        <f aca="false">IF('Offshore - Brisbane'!E166="","-",'Offshore - Brisbane'!E166)</f>
        <v>2875</v>
      </c>
      <c r="H586" s="63" t="n">
        <f aca="false">IF(ISNUMBER(K586),COUNTIFS($J$6:$J$1854,J586,$K$6:$K$1854,"&lt;"&amp;K586)+1,"-")</f>
        <v>5</v>
      </c>
      <c r="I586" s="64" t="str">
        <f aca="false">IF('Offshore - Brisbane'!E166="","Harga belum tersedia - hubungi konsultan TEG",IF(M586=2,"Saat ini tidak menerima pendaftaran siswa internasional baru",IF(M586=1,"Harga perlu dikonfirmasi ke sekolah"&amp;IF(""="","","; "&amp;""),"")))</f>
        <v/>
      </c>
      <c r="J586" s="0" t="s">
        <v>3934</v>
      </c>
      <c r="K586" s="0" t="n">
        <f aca="false">IF(M586=2,"",IF(ISNUMBER(SEARCH("rata-rata:",'Offshore - Brisbane'!N166)),VALUE(MID('Offshore - Brisbane'!N166,SEARCH("rata-rata:",'Offshore - Brisbane'!N166)+11,FIND(";",'Offshore - Brisbane'!N166&amp;";",SEARCH("rata-rata:",'Offshore - Brisbane'!N166))-SEARCH("rata-rata:",'Offshore - Brisbane'!N166)-11)),IF('Offshore - Brisbane'!D166="Semester",'Offshore - Brisbane'!E166*2,IF('Offshore - Brisbane'!D166="Trimester",'Offshore - Brisbane'!E166*3,IF('Offshore - Brisbane'!D166="Term",'Offshore - Brisbane'!E166*4,IF('Offshore - Brisbane'!D166="Unit",'Offshore - Brisbane'!E166*8,""))))))</f>
        <v>11500</v>
      </c>
      <c r="L586" s="0" t="n">
        <f aca="false">IF(AND(ISNUMBER('Offshore - Brisbane'!E166),ISNUMBER(K586),ISNUMBER('Offshore - Brisbane'!F166),ISNUMBER('Offshore - Brisbane'!G166),OR('Offshore - Brisbane'!F166&lt;&gt;0,ISNUMBER(SEARCH("Material 0 terverifikasi",'Offshore - Brisbane'!N166))),OR('Offshore - Brisbane'!G166&lt;&gt;0,ISNUMBER(SEARCH("Enrolment 0 terverifikasi",'Offshore - Brisbane'!N166)))),1,0)</f>
        <v>1</v>
      </c>
      <c r="M586" s="0" t="n">
        <f aca="false">IF(OR('Offshore - Brisbane'!E166="",ISNUMBER(SEARCH("BSB80120",'Offshore - Brisbane'!B166&amp;'Offshore - Brisbane'!N166)),ISNUMBER(SEARCH("Management (Learning)",'Offshore - Brisbane'!B166))),2,IF(ISNUMBER(SEARCH("CEK:",'Offshore - Brisbane'!N166)),1,0))</f>
        <v>0</v>
      </c>
    </row>
    <row r="587" customFormat="false" ht="28.35" hidden="false" customHeight="false" outlineLevel="0" collapsed="false">
      <c r="A587" s="63" t="s">
        <v>3563</v>
      </c>
      <c r="B587" s="64" t="s">
        <v>3923</v>
      </c>
      <c r="C587" s="63" t="s">
        <v>41</v>
      </c>
      <c r="D587" s="64" t="str">
        <f aca="false">TRIM(LEFT('Offshore - Brisbane'!A200,FIND(CHAR(10),'Offshore - Brisbane'!A200&amp;CHAR(10))-1))</f>
        <v>Federation Academy</v>
      </c>
      <c r="E587" s="63" t="str">
        <f aca="false">'Offshore - Brisbane'!C201&amp;""</f>
        <v>2,5 years</v>
      </c>
      <c r="F587" s="63" t="str">
        <f aca="false">IF('Offshore - Brisbane'!D201="","Belum tercatat",'Offshore - Brisbane'!D201)</f>
        <v>Term</v>
      </c>
      <c r="G587" s="65" t="n">
        <f aca="false">IF('Offshore - Brisbane'!E201="","-",'Offshore - Brisbane'!E201)</f>
        <v>3125</v>
      </c>
      <c r="H587" s="63" t="n">
        <f aca="false">IF(ISNUMBER(K587),COUNTIFS($J$6:$J$1854,J587,$K$6:$K$1854,"&lt;"&amp;K587)+1,"-")</f>
        <v>6</v>
      </c>
      <c r="I587" s="64" t="str">
        <f aca="false">IF('Offshore - Brisbane'!E201="","Harga belum tersedia - hubungi konsultan TEG",IF(M587=2,"Saat ini tidak menerima pendaftaran siswa internasional baru",IF(M587=1,"Harga perlu dikonfirmasi ke sekolah"&amp;IF(""="","","; "&amp;""),"")))</f>
        <v/>
      </c>
      <c r="J587" s="0" t="s">
        <v>3934</v>
      </c>
      <c r="K587" s="0" t="n">
        <f aca="false">IF(M587=2,"",IF(ISNUMBER(SEARCH("rata-rata:",'Offshore - Brisbane'!N201)),VALUE(MID('Offshore - Brisbane'!N201,SEARCH("rata-rata:",'Offshore - Brisbane'!N201)+11,FIND(";",'Offshore - Brisbane'!N201&amp;";",SEARCH("rata-rata:",'Offshore - Brisbane'!N201))-SEARCH("rata-rata:",'Offshore - Brisbane'!N201)-11)),IF('Offshore - Brisbane'!D201="Semester",'Offshore - Brisbane'!E201*2,IF('Offshore - Brisbane'!D201="Trimester",'Offshore - Brisbane'!E201*3,IF('Offshore - Brisbane'!D201="Term",'Offshore - Brisbane'!E201*4,IF('Offshore - Brisbane'!D201="Unit",'Offshore - Brisbane'!E201*8,""))))))</f>
        <v>12500</v>
      </c>
      <c r="L587" s="0" t="n">
        <f aca="false">IF(AND(ISNUMBER('Offshore - Brisbane'!E201),ISNUMBER(K587),ISNUMBER('Offshore - Brisbane'!F201),ISNUMBER('Offshore - Brisbane'!G201),OR('Offshore - Brisbane'!F201&lt;&gt;0,ISNUMBER(SEARCH("Material 0 terverifikasi",'Offshore - Brisbane'!N201))),OR('Offshore - Brisbane'!G201&lt;&gt;0,ISNUMBER(SEARCH("Enrolment 0 terverifikasi",'Offshore - Brisbane'!N201)))),1,0)</f>
        <v>1</v>
      </c>
      <c r="M587" s="0" t="n">
        <f aca="false">IF(OR('Offshore - Brisbane'!E201="",ISNUMBER(SEARCH("BSB80120",'Offshore - Brisbane'!B201&amp;'Offshore - Brisbane'!N201)),ISNUMBER(SEARCH("Management (Learning)",'Offshore - Brisbane'!B201))),2,IF(ISNUMBER(SEARCH("CEK:",'Offshore - Brisbane'!N201)),1,0))</f>
        <v>0</v>
      </c>
    </row>
    <row r="588" customFormat="false" ht="28.35" hidden="false" customHeight="false" outlineLevel="0" collapsed="false">
      <c r="A588" s="63" t="s">
        <v>3563</v>
      </c>
      <c r="B588" s="64" t="s">
        <v>3923</v>
      </c>
      <c r="C588" s="63" t="s">
        <v>41</v>
      </c>
      <c r="D588" s="64" t="str">
        <f aca="false">TRIM(LEFT('Offshore - Brisbane'!A26,FIND(CHAR(10),'Offshore - Brisbane'!A26&amp;CHAR(10))-1))</f>
        <v>American College</v>
      </c>
      <c r="E588" s="63" t="str">
        <f aca="false">'Offshore - Brisbane'!C32&amp;""</f>
        <v>3 years</v>
      </c>
      <c r="F588" s="63" t="str">
        <f aca="false">IF('Offshore - Brisbane'!D32="","Belum tercatat",'Offshore - Brisbane'!D32)</f>
        <v>Term</v>
      </c>
      <c r="G588" s="65" t="n">
        <f aca="false">IF('Offshore - Brisbane'!E32="","-",'Offshore - Brisbane'!E32)</f>
        <v>3250</v>
      </c>
      <c r="H588" s="63" t="n">
        <f aca="false">IF(ISNUMBER(K588),COUNTIFS($J$6:$J$1854,J588,$K$6:$K$1854,"&lt;"&amp;K588)+1,"-")</f>
        <v>7</v>
      </c>
      <c r="I588" s="64" t="str">
        <f aca="false">IF('Offshore - Brisbane'!E32="","Harga belum tersedia - hubungi konsultan TEG",IF(M588=2,"Saat ini tidak menerima pendaftaran siswa internasional baru",IF(M588=1,"Harga perlu dikonfirmasi ke sekolah"&amp;IF(""="","","; "&amp;""),"")))</f>
        <v/>
      </c>
      <c r="J588" s="0" t="s">
        <v>3934</v>
      </c>
      <c r="K588" s="0" t="n">
        <f aca="false">IF(M588=2,"",IF(ISNUMBER(SEARCH("rata-rata:",'Offshore - Brisbane'!N32)),VALUE(MID('Offshore - Brisbane'!N32,SEARCH("rata-rata:",'Offshore - Brisbane'!N32)+11,FIND(";",'Offshore - Brisbane'!N32&amp;";",SEARCH("rata-rata:",'Offshore - Brisbane'!N32))-SEARCH("rata-rata:",'Offshore - Brisbane'!N32)-11)),IF('Offshore - Brisbane'!D32="Semester",'Offshore - Brisbane'!E32*2,IF('Offshore - Brisbane'!D32="Trimester",'Offshore - Brisbane'!E32*3,IF('Offshore - Brisbane'!D32="Term",'Offshore - Brisbane'!E32*4,IF('Offshore - Brisbane'!D32="Unit",'Offshore - Brisbane'!E32*8,""))))))</f>
        <v>13000</v>
      </c>
      <c r="L588" s="0" t="n">
        <f aca="false">IF(AND(ISNUMBER('Offshore - Brisbane'!E32),ISNUMBER(K588),ISNUMBER('Offshore - Brisbane'!F32),ISNUMBER('Offshore - Brisbane'!G32),OR('Offshore - Brisbane'!F32&lt;&gt;0,ISNUMBER(SEARCH("Material 0 terverifikasi",'Offshore - Brisbane'!N32))),OR('Offshore - Brisbane'!G32&lt;&gt;0,ISNUMBER(SEARCH("Enrolment 0 terverifikasi",'Offshore - Brisbane'!N32)))),1,0)</f>
        <v>1</v>
      </c>
      <c r="M588" s="0" t="n">
        <f aca="false">IF(OR('Offshore - Brisbane'!E32="",ISNUMBER(SEARCH("BSB80120",'Offshore - Brisbane'!B32&amp;'Offshore - Brisbane'!N32)),ISNUMBER(SEARCH("Management (Learning)",'Offshore - Brisbane'!B32))),2,IF(ISNUMBER(SEARCH("CEK:",'Offshore - Brisbane'!N32)),1,0))</f>
        <v>0</v>
      </c>
    </row>
    <row r="589" customFormat="false" ht="28.35" hidden="false" customHeight="false" outlineLevel="0" collapsed="false">
      <c r="A589" s="63" t="s">
        <v>3563</v>
      </c>
      <c r="B589" s="64" t="s">
        <v>3923</v>
      </c>
      <c r="C589" s="63" t="s">
        <v>41</v>
      </c>
      <c r="D589" s="64" t="str">
        <f aca="false">TRIM(LEFT('Offshore - Brisbane'!A53,FIND(CHAR(10),'Offshore - Brisbane'!A53&amp;CHAR(10))-1))</f>
        <v>Australian Catholic University (ACU)</v>
      </c>
      <c r="E589" s="63" t="str">
        <f aca="false">'Offshore - Brisbane'!C155&amp;""</f>
        <v>1 year</v>
      </c>
      <c r="F589" s="63" t="str">
        <f aca="false">IF('Offshore - Brisbane'!D155="","Belum tercatat",'Offshore - Brisbane'!D155)</f>
        <v>Term</v>
      </c>
      <c r="G589" s="65" t="n">
        <f aca="false">IF('Offshore - Brisbane'!E155="","-",'Offshore - Brisbane'!E155)</f>
        <v>8906</v>
      </c>
      <c r="H589" s="63" t="n">
        <f aca="false">IF(ISNUMBER(K589),COUNTIFS($J$6:$J$1854,J589,$K$6:$K$1854,"&lt;"&amp;K589)+1,"-")</f>
        <v>8</v>
      </c>
      <c r="I589" s="64" t="str">
        <f aca="false">IF('Offshore - Brisbane'!E155="","Harga belum tersedia - hubungi konsultan TEG",IF(M589=2,"Saat ini tidak menerima pendaftaran siswa internasional baru",IF(M589=1,"Harga perlu dikonfirmasi ke sekolah"&amp;IF(""="","","; "&amp;""),"")))</f>
        <v/>
      </c>
      <c r="J589" s="0" t="s">
        <v>3934</v>
      </c>
      <c r="K589" s="0" t="n">
        <f aca="false">IF(M589=2,"",IF(ISNUMBER(SEARCH("rata-rata:",'Offshore - Brisbane'!N155)),VALUE(MID('Offshore - Brisbane'!N155,SEARCH("rata-rata:",'Offshore - Brisbane'!N155)+11,FIND(";",'Offshore - Brisbane'!N155&amp;";",SEARCH("rata-rata:",'Offshore - Brisbane'!N155))-SEARCH("rata-rata:",'Offshore - Brisbane'!N155)-11)),IF('Offshore - Brisbane'!D155="Semester",'Offshore - Brisbane'!E155*2,IF('Offshore - Brisbane'!D155="Trimester",'Offshore - Brisbane'!E155*3,IF('Offshore - Brisbane'!D155="Term",'Offshore - Brisbane'!E155*4,IF('Offshore - Brisbane'!D155="Unit",'Offshore - Brisbane'!E155*8,""))))))</f>
        <v>35624</v>
      </c>
      <c r="L589" s="0" t="n">
        <f aca="false">IF(AND(ISNUMBER('Offshore - Brisbane'!E155),ISNUMBER(K589),ISNUMBER('Offshore - Brisbane'!F155),ISNUMBER('Offshore - Brisbane'!G155),OR('Offshore - Brisbane'!F155&lt;&gt;0,ISNUMBER(SEARCH("Material 0 terverifikasi",'Offshore - Brisbane'!N155))),OR('Offshore - Brisbane'!G155&lt;&gt;0,ISNUMBER(SEARCH("Enrolment 0 terverifikasi",'Offshore - Brisbane'!N155)))),1,0)</f>
        <v>0</v>
      </c>
      <c r="M589" s="0" t="n">
        <f aca="false">IF(OR('Offshore - Brisbane'!E155="",ISNUMBER(SEARCH("BSB80120",'Offshore - Brisbane'!B155&amp;'Offshore - Brisbane'!N155)),ISNUMBER(SEARCH("Management (Learning)",'Offshore - Brisbane'!B155))),2,IF(ISNUMBER(SEARCH("CEK:",'Offshore - Brisbane'!N155)),1,0))</f>
        <v>0</v>
      </c>
    </row>
    <row r="590" customFormat="false" ht="15" hidden="false" customHeight="false" outlineLevel="0" collapsed="false">
      <c r="A590" s="61" t="s">
        <v>3935</v>
      </c>
      <c r="B590" s="62"/>
      <c r="C590" s="62"/>
      <c r="D590" s="62"/>
      <c r="E590" s="62"/>
      <c r="F590" s="62"/>
      <c r="G590" s="62"/>
      <c r="H590" s="62"/>
      <c r="I590" s="62"/>
    </row>
    <row r="591" customFormat="false" ht="28.35" hidden="false" customHeight="false" outlineLevel="0" collapsed="false">
      <c r="A591" s="63" t="s">
        <v>3563</v>
      </c>
      <c r="B591" s="64" t="s">
        <v>3923</v>
      </c>
      <c r="C591" s="63" t="s">
        <v>43</v>
      </c>
      <c r="D591" s="64" t="str">
        <f aca="false">TRIM(LEFT('Offshore - Brisbane'!A308,FIND(CHAR(10),'Offshore - Brisbane'!A308&amp;CHAR(10))-1))</f>
        <v>Torrens University Australia</v>
      </c>
      <c r="E591" s="63" t="str">
        <f aca="false">'Offshore - Brisbane'!C370&amp;""</f>
        <v>3 years</v>
      </c>
      <c r="F591" s="63" t="str">
        <f aca="false">IF('Offshore - Brisbane'!D370="","Belum tercatat",'Offshore - Brisbane'!D370)</f>
        <v>Term</v>
      </c>
      <c r="G591" s="65" t="n">
        <f aca="false">IF('Offshore - Brisbane'!E370="","-",'Offshore - Brisbane'!E370)</f>
        <v>7333</v>
      </c>
      <c r="H591" s="63" t="n">
        <f aca="false">IF(ISNUMBER(K591),COUNTIFS($J$6:$J$1854,J591,$K$6:$K$1854,"&lt;"&amp;K591)+1,"-")</f>
        <v>1</v>
      </c>
      <c r="I591" s="64" t="str">
        <f aca="false">IF('Offshore - Brisbane'!E370="","Harga belum tersedia - hubungi konsultan TEG",IF(M591=2,"Saat ini tidak menerima pendaftaran siswa internasional baru",IF(M591=1,"Program perlu dikonfirmasi ketersediaannya"&amp;IF(""="","","; "&amp;""),"")))</f>
        <v>Program perlu dikonfirmasi ketersediaannya</v>
      </c>
      <c r="J591" s="0" t="s">
        <v>3936</v>
      </c>
      <c r="K591" s="0" t="n">
        <f aca="false">IF(M591=2,"",IF(ISNUMBER(SEARCH("rata-rata:",'Offshore - Brisbane'!N370)),VALUE(MID('Offshore - Brisbane'!N370,SEARCH("rata-rata:",'Offshore - Brisbane'!N370)+11,FIND(";",'Offshore - Brisbane'!N370&amp;";",SEARCH("rata-rata:",'Offshore - Brisbane'!N370))-SEARCH("rata-rata:",'Offshore - Brisbane'!N370)-11)),IF('Offshore - Brisbane'!D370="Semester",'Offshore - Brisbane'!E370*2,IF('Offshore - Brisbane'!D370="Trimester",'Offshore - Brisbane'!E370*3,IF('Offshore - Brisbane'!D370="Term",'Offshore - Brisbane'!E370*4,IF('Offshore - Brisbane'!D370="Unit",'Offshore - Brisbane'!E370*8,""))))))</f>
        <v>29332</v>
      </c>
      <c r="L591" s="0" t="n">
        <f aca="false">IF(AND(ISNUMBER('Offshore - Brisbane'!E370),ISNUMBER(K591),ISNUMBER('Offshore - Brisbane'!F370),ISNUMBER('Offshore - Brisbane'!G370),OR('Offshore - Brisbane'!F370&lt;&gt;0,ISNUMBER(SEARCH("Material 0 terverifikasi",'Offshore - Brisbane'!N370))),OR('Offshore - Brisbane'!G370&lt;&gt;0,ISNUMBER(SEARCH("Enrolment 0 terverifikasi",'Offshore - Brisbane'!N370)))),1,0)</f>
        <v>0</v>
      </c>
      <c r="M591" s="0" t="n">
        <f aca="false">IF(OR('Offshore - Brisbane'!E370="",ISNUMBER(SEARCH("BSB80120",'Offshore - Brisbane'!B370&amp;'Offshore - Brisbane'!N370)),ISNUMBER(SEARCH("Management (Learning)",'Offshore - Brisbane'!B370))),2,IF(ISNUMBER(SEARCH("CEK:",'Offshore - Brisbane'!N370)),1,0))</f>
        <v>1</v>
      </c>
    </row>
    <row r="592" customFormat="false" ht="28.35" hidden="false" customHeight="false" outlineLevel="0" collapsed="false">
      <c r="A592" s="63" t="s">
        <v>3563</v>
      </c>
      <c r="B592" s="64" t="s">
        <v>3923</v>
      </c>
      <c r="C592" s="63" t="s">
        <v>43</v>
      </c>
      <c r="D592" s="64" t="str">
        <f aca="false">TRIM(LEFT('Offshore - Brisbane'!A53,FIND(CHAR(10),'Offshore - Brisbane'!A53&amp;CHAR(10))-1))</f>
        <v>Australian Catholic University (ACU)</v>
      </c>
      <c r="E592" s="63" t="str">
        <f aca="false">'Offshore - Brisbane'!C129&amp;""</f>
        <v>4 years</v>
      </c>
      <c r="F592" s="63" t="str">
        <f aca="false">IF('Offshore - Brisbane'!D129="","Belum tercatat",'Offshore - Brisbane'!D129)</f>
        <v>Term</v>
      </c>
      <c r="G592" s="65" t="n">
        <f aca="false">IF('Offshore - Brisbane'!E129="","-",'Offshore - Brisbane'!E129)</f>
        <v>8098</v>
      </c>
      <c r="H592" s="63" t="n">
        <f aca="false">IF(ISNUMBER(K592),COUNTIFS($J$6:$J$1854,J592,$K$6:$K$1854,"&lt;"&amp;K592)+1,"-")</f>
        <v>2</v>
      </c>
      <c r="I592" s="64" t="str">
        <f aca="false">IF('Offshore - Brisbane'!E129="","Harga belum tersedia - hubungi konsultan TEG",IF(M592=2,"Saat ini tidak menerima pendaftaran siswa internasional baru",IF(M592=1,"Harga perlu dikonfirmasi ke sekolah"&amp;IF(""="","","; "&amp;""),"")))</f>
        <v/>
      </c>
      <c r="J592" s="0" t="s">
        <v>3936</v>
      </c>
      <c r="K592" s="0" t="n">
        <f aca="false">IF(M592=2,"",IF(ISNUMBER(SEARCH("rata-rata:",'Offshore - Brisbane'!N129)),VALUE(MID('Offshore - Brisbane'!N129,SEARCH("rata-rata:",'Offshore - Brisbane'!N129)+11,FIND(";",'Offshore - Brisbane'!N129&amp;";",SEARCH("rata-rata:",'Offshore - Brisbane'!N129))-SEARCH("rata-rata:",'Offshore - Brisbane'!N129)-11)),IF('Offshore - Brisbane'!D129="Semester",'Offshore - Brisbane'!E129*2,IF('Offshore - Brisbane'!D129="Trimester",'Offshore - Brisbane'!E129*3,IF('Offshore - Brisbane'!D129="Term",'Offshore - Brisbane'!E129*4,IF('Offshore - Brisbane'!D129="Unit",'Offshore - Brisbane'!E129*8,""))))))</f>
        <v>32392</v>
      </c>
      <c r="L592" s="0" t="n">
        <f aca="false">IF(AND(ISNUMBER('Offshore - Brisbane'!E129),ISNUMBER(K592),ISNUMBER('Offshore - Brisbane'!F129),ISNUMBER('Offshore - Brisbane'!G129),OR('Offshore - Brisbane'!F129&lt;&gt;0,ISNUMBER(SEARCH("Material 0 terverifikasi",'Offshore - Brisbane'!N129))),OR('Offshore - Brisbane'!G129&lt;&gt;0,ISNUMBER(SEARCH("Enrolment 0 terverifikasi",'Offshore - Brisbane'!N129)))),1,0)</f>
        <v>0</v>
      </c>
      <c r="M592" s="0" t="n">
        <f aca="false">IF(OR('Offshore - Brisbane'!E129="",ISNUMBER(SEARCH("BSB80120",'Offshore - Brisbane'!B129&amp;'Offshore - Brisbane'!N129)),ISNUMBER(SEARCH("Management (Learning)",'Offshore - Brisbane'!B129))),2,IF(ISNUMBER(SEARCH("CEK:",'Offshore - Brisbane'!N129)),1,0))</f>
        <v>0</v>
      </c>
    </row>
    <row r="593" customFormat="false" ht="15" hidden="false" customHeight="false" outlineLevel="0" collapsed="false">
      <c r="A593" s="61" t="s">
        <v>3937</v>
      </c>
      <c r="B593" s="62"/>
      <c r="C593" s="62"/>
      <c r="D593" s="62"/>
      <c r="E593" s="62"/>
      <c r="F593" s="62"/>
      <c r="G593" s="62"/>
      <c r="H593" s="62"/>
      <c r="I593" s="62"/>
    </row>
    <row r="594" customFormat="false" ht="28.35" hidden="false" customHeight="false" outlineLevel="0" collapsed="false">
      <c r="A594" s="63" t="s">
        <v>3563</v>
      </c>
      <c r="B594" s="64" t="s">
        <v>3923</v>
      </c>
      <c r="C594" s="63" t="s">
        <v>46</v>
      </c>
      <c r="D594" s="64" t="str">
        <f aca="false">TRIM(LEFT('Offshore - Brisbane'!A53,FIND(CHAR(10),'Offshore - Brisbane'!A53&amp;CHAR(10))-1))</f>
        <v>Australian Catholic University (ACU)</v>
      </c>
      <c r="E594" s="63" t="str">
        <f aca="false">'Offshore - Brisbane'!C140&amp;""</f>
        <v>2 years</v>
      </c>
      <c r="F594" s="63" t="str">
        <f aca="false">IF('Offshore - Brisbane'!D140="","Belum tercatat",'Offshore - Brisbane'!D140)</f>
        <v>Term</v>
      </c>
      <c r="G594" s="65" t="n">
        <f aca="false">IF('Offshore - Brisbane'!E140="","-",'Offshore - Brisbane'!E140)</f>
        <v>8018</v>
      </c>
      <c r="H594" s="63" t="n">
        <f aca="false">IF(ISNUMBER(K594),COUNTIFS($J$6:$J$1854,J594,$K$6:$K$1854,"&lt;"&amp;K594)+1,"-")</f>
        <v>1</v>
      </c>
      <c r="I594" s="64" t="str">
        <f aca="false">IF('Offshore - Brisbane'!E140="","Harga belum tersedia - hubungi konsultan TEG",IF(M594=2,"Saat ini tidak menerima pendaftaran siswa internasional baru",IF(M594=1,"Harga perlu dikonfirmasi ke sekolah"&amp;IF(""="","","; "&amp;""),"")))</f>
        <v/>
      </c>
      <c r="J594" s="0" t="s">
        <v>3938</v>
      </c>
      <c r="K594" s="0" t="n">
        <f aca="false">IF(M594=2,"",IF(ISNUMBER(SEARCH("rata-rata:",'Offshore - Brisbane'!N140)),VALUE(MID('Offshore - Brisbane'!N140,SEARCH("rata-rata:",'Offshore - Brisbane'!N140)+11,FIND(";",'Offshore - Brisbane'!N140&amp;";",SEARCH("rata-rata:",'Offshore - Brisbane'!N140))-SEARCH("rata-rata:",'Offshore - Brisbane'!N140)-11)),IF('Offshore - Brisbane'!D140="Semester",'Offshore - Brisbane'!E140*2,IF('Offshore - Brisbane'!D140="Trimester",'Offshore - Brisbane'!E140*3,IF('Offshore - Brisbane'!D140="Term",'Offshore - Brisbane'!E140*4,IF('Offshore - Brisbane'!D140="Unit",'Offshore - Brisbane'!E140*8,""))))))</f>
        <v>32072</v>
      </c>
      <c r="L594" s="0" t="n">
        <f aca="false">IF(AND(ISNUMBER('Offshore - Brisbane'!E140),ISNUMBER(K594),ISNUMBER('Offshore - Brisbane'!F140),ISNUMBER('Offshore - Brisbane'!G140),OR('Offshore - Brisbane'!F140&lt;&gt;0,ISNUMBER(SEARCH("Material 0 terverifikasi",'Offshore - Brisbane'!N140))),OR('Offshore - Brisbane'!G140&lt;&gt;0,ISNUMBER(SEARCH("Enrolment 0 terverifikasi",'Offshore - Brisbane'!N140)))),1,0)</f>
        <v>0</v>
      </c>
      <c r="M594" s="0" t="n">
        <f aca="false">IF(OR('Offshore - Brisbane'!E140="",ISNUMBER(SEARCH("BSB80120",'Offshore - Brisbane'!B140&amp;'Offshore - Brisbane'!N140)),ISNUMBER(SEARCH("Management (Learning)",'Offshore - Brisbane'!B140))),2,IF(ISNUMBER(SEARCH("CEK:",'Offshore - Brisbane'!N140)),1,0))</f>
        <v>0</v>
      </c>
    </row>
    <row r="595" customFormat="false" ht="15" hidden="false" customHeight="false" outlineLevel="0" collapsed="false">
      <c r="A595" s="61" t="s">
        <v>3939</v>
      </c>
      <c r="B595" s="62"/>
      <c r="C595" s="62"/>
      <c r="D595" s="62"/>
      <c r="E595" s="62"/>
      <c r="F595" s="62"/>
      <c r="G595" s="62"/>
      <c r="H595" s="62"/>
      <c r="I595" s="62"/>
    </row>
    <row r="596" customFormat="false" ht="28.35" hidden="false" customHeight="false" outlineLevel="0" collapsed="false">
      <c r="A596" s="63" t="s">
        <v>3718</v>
      </c>
      <c r="B596" s="64" t="s">
        <v>3923</v>
      </c>
      <c r="C596" s="63" t="s">
        <v>41</v>
      </c>
      <c r="D596" s="64" t="str">
        <f aca="false">TRIM(LEFT('Offshore - Canberra'!A111,FIND(CHAR(10),'Offshore - Canberra'!A111&amp;CHAR(10))-1))</f>
        <v>Capital College</v>
      </c>
      <c r="E596" s="63" t="str">
        <f aca="false">'Offshore - Canberra'!C117&amp;""</f>
        <v>3 years</v>
      </c>
      <c r="F596" s="63" t="str">
        <f aca="false">IF('Offshore - Canberra'!D117="","Belum tercatat",'Offshore - Canberra'!D117)</f>
        <v>Term</v>
      </c>
      <c r="G596" s="65" t="n">
        <f aca="false">IF('Offshore - Canberra'!E117="","-",'Offshore - Canberra'!E117)</f>
        <v>2170</v>
      </c>
      <c r="H596" s="63" t="n">
        <f aca="false">IF(ISNUMBER(K596),COUNTIFS($J$6:$J$1854,J596,$K$6:$K$1854,"&lt;"&amp;K596)+1,"-")</f>
        <v>1</v>
      </c>
      <c r="I596" s="64" t="str">
        <f aca="false">IF('Offshore - Canberra'!E117="","Harga belum tersedia - hubungi konsultan TEG",IF(M596=2,"Saat ini tidak menerima pendaftaran siswa internasional baru",IF(M596=1,"Harga perlu dikonfirmasi ke sekolah"&amp;IF(""="","","; "&amp;""),"")))</f>
        <v>Harga perlu dikonfirmasi ke sekolah</v>
      </c>
      <c r="J596" s="0" t="s">
        <v>3940</v>
      </c>
      <c r="K596" s="0" t="n">
        <f aca="false">IF(M596=2,"",IF(ISNUMBER(SEARCH("rata-rata:",'Offshore - Canberra'!N117)),VALUE(MID('Offshore - Canberra'!N117,SEARCH("rata-rata:",'Offshore - Canberra'!N117)+11,FIND(";",'Offshore - Canberra'!N117&amp;";",SEARCH("rata-rata:",'Offshore - Canberra'!N117))-SEARCH("rata-rata:",'Offshore - Canberra'!N117)-11)),IF('Offshore - Canberra'!D117="Semester",'Offshore - Canberra'!E117*2,IF('Offshore - Canberra'!D117="Trimester",'Offshore - Canberra'!E117*3,IF('Offshore - Canberra'!D117="Term",'Offshore - Canberra'!E117*4,IF('Offshore - Canberra'!D117="Unit",'Offshore - Canberra'!E117*8,""))))))</f>
        <v>8680</v>
      </c>
      <c r="L596" s="0" t="n">
        <f aca="false">IF(AND(ISNUMBER('Offshore - Canberra'!E117),ISNUMBER(K596),ISNUMBER('Offshore - Canberra'!F117),ISNUMBER('Offshore - Canberra'!G117),OR('Offshore - Canberra'!F117&lt;&gt;0,ISNUMBER(SEARCH("Material 0 terverifikasi",'Offshore - Canberra'!N117))),OR('Offshore - Canberra'!G117&lt;&gt;0,ISNUMBER(SEARCH("Enrolment 0 terverifikasi",'Offshore - Canberra'!N117)))),1,0)</f>
        <v>1</v>
      </c>
      <c r="M596" s="0" t="n">
        <f aca="false">IF(OR('Offshore - Canberra'!E117="",ISNUMBER(SEARCH("BSB80120",'Offshore - Canberra'!B117&amp;'Offshore - Canberra'!N117)),ISNUMBER(SEARCH("Management (Learning)",'Offshore - Canberra'!B117))),2,IF(ISNUMBER(SEARCH("CEK:",'Offshore - Canberra'!N117)),1,0))</f>
        <v>1</v>
      </c>
    </row>
    <row r="597" customFormat="false" ht="28.35" hidden="false" customHeight="false" outlineLevel="0" collapsed="false">
      <c r="A597" s="63" t="s">
        <v>3718</v>
      </c>
      <c r="B597" s="64" t="s">
        <v>3923</v>
      </c>
      <c r="C597" s="63" t="s">
        <v>41</v>
      </c>
      <c r="D597" s="64" t="str">
        <f aca="false">TRIM(LEFT('Offshore - Canberra'!A144,FIND(CHAR(10),'Offshore - Canberra'!A144&amp;CHAR(10))-1))</f>
        <v>Opulence College</v>
      </c>
      <c r="E597" s="63" t="str">
        <f aca="false">'Offshore - Canberra'!C144&amp;""</f>
        <v>2,5 years</v>
      </c>
      <c r="F597" s="63" t="str">
        <f aca="false">IF('Offshore - Canberra'!D144="","Belum tercatat",'Offshore - Canberra'!D144)</f>
        <v>Term</v>
      </c>
      <c r="G597" s="65" t="n">
        <f aca="false">IF('Offshore - Canberra'!E144="","-",'Offshore - Canberra'!E144)</f>
        <v>2600</v>
      </c>
      <c r="H597" s="63" t="n">
        <f aca="false">IF(ISNUMBER(K597),COUNTIFS($J$6:$J$1854,J597,$K$6:$K$1854,"&lt;"&amp;K597)+1,"-")</f>
        <v>2</v>
      </c>
      <c r="I597" s="64" t="str">
        <f aca="false">IF('Offshore - Canberra'!E144="","Harga belum tersedia - hubungi konsultan TEG",IF(M597=2,"Saat ini tidak menerima pendaftaran siswa internasional baru",IF(M597=1,"Harga perlu dikonfirmasi ke sekolah"&amp;IF(""="","","; "&amp;""),"")))</f>
        <v/>
      </c>
      <c r="J597" s="0" t="s">
        <v>3940</v>
      </c>
      <c r="K597" s="0" t="n">
        <f aca="false">IF(M597=2,"",IF(ISNUMBER(SEARCH("rata-rata:",'Offshore - Canberra'!N144)),VALUE(MID('Offshore - Canberra'!N144,SEARCH("rata-rata:",'Offshore - Canberra'!N144)+11,FIND(";",'Offshore - Canberra'!N144&amp;";",SEARCH("rata-rata:",'Offshore - Canberra'!N144))-SEARCH("rata-rata:",'Offshore - Canberra'!N144)-11)),IF('Offshore - Canberra'!D144="Semester",'Offshore - Canberra'!E144*2,IF('Offshore - Canberra'!D144="Trimester",'Offshore - Canberra'!E144*3,IF('Offshore - Canberra'!D144="Term",'Offshore - Canberra'!E144*4,IF('Offshore - Canberra'!D144="Unit",'Offshore - Canberra'!E144*8,""))))))</f>
        <v>10400</v>
      </c>
      <c r="L597" s="0" t="n">
        <f aca="false">IF(AND(ISNUMBER('Offshore - Canberra'!E144),ISNUMBER(K597),ISNUMBER('Offshore - Canberra'!F144),ISNUMBER('Offshore - Canberra'!G144),OR('Offshore - Canberra'!F144&lt;&gt;0,ISNUMBER(SEARCH("Material 0 terverifikasi",'Offshore - Canberra'!N144))),OR('Offshore - Canberra'!G144&lt;&gt;0,ISNUMBER(SEARCH("Enrolment 0 terverifikasi",'Offshore - Canberra'!N144)))),1,0)</f>
        <v>1</v>
      </c>
      <c r="M597" s="0" t="n">
        <f aca="false">IF(OR('Offshore - Canberra'!E144="",ISNUMBER(SEARCH("BSB80120",'Offshore - Canberra'!B144&amp;'Offshore - Canberra'!N144)),ISNUMBER(SEARCH("Management (Learning)",'Offshore - Canberra'!B144))),2,IF(ISNUMBER(SEARCH("CEK:",'Offshore - Canberra'!N144)),1,0))</f>
        <v>0</v>
      </c>
    </row>
    <row r="598" customFormat="false" ht="28.35" hidden="false" customHeight="false" outlineLevel="0" collapsed="false">
      <c r="A598" s="63" t="s">
        <v>3718</v>
      </c>
      <c r="B598" s="64" t="s">
        <v>3923</v>
      </c>
      <c r="C598" s="63" t="s">
        <v>41</v>
      </c>
      <c r="D598" s="64" t="str">
        <f aca="false">TRIM(LEFT('Offshore - Canberra'!A148,FIND(CHAR(10),'Offshore - Canberra'!A148&amp;CHAR(10))-1))</f>
        <v>Whitehouse International College</v>
      </c>
      <c r="E598" s="63" t="str">
        <f aca="false">'Offshore - Canberra'!C150&amp;""</f>
        <v>4 years</v>
      </c>
      <c r="F598" s="63" t="str">
        <f aca="false">IF('Offshore - Canberra'!D150="","Belum tercatat",'Offshore - Canberra'!D150)</f>
        <v>Term</v>
      </c>
      <c r="G598" s="65" t="n">
        <f aca="false">IF('Offshore - Canberra'!E150="","-",'Offshore - Canberra'!E150)</f>
        <v>2750</v>
      </c>
      <c r="H598" s="63" t="n">
        <f aca="false">IF(ISNUMBER(K598),COUNTIFS($J$6:$J$1854,J598,$K$6:$K$1854,"&lt;"&amp;K598)+1,"-")</f>
        <v>3</v>
      </c>
      <c r="I598" s="64" t="str">
        <f aca="false">IF('Offshore - Canberra'!E150="","Harga belum tersedia - hubungi konsultan TEG",IF(M598=2,"Saat ini tidak menerima pendaftaran siswa internasional baru",IF(M598=1,"Harga perlu dikonfirmasi ke sekolah"&amp;IF(""="","","; "&amp;""),"")))</f>
        <v>Harga perlu dikonfirmasi ke sekolah</v>
      </c>
      <c r="J598" s="0" t="s">
        <v>3940</v>
      </c>
      <c r="K598" s="0" t="n">
        <f aca="false">IF(M598=2,"",IF(ISNUMBER(SEARCH("rata-rata:",'Offshore - Canberra'!N150)),VALUE(MID('Offshore - Canberra'!N150,SEARCH("rata-rata:",'Offshore - Canberra'!N150)+11,FIND(";",'Offshore - Canberra'!N150&amp;";",SEARCH("rata-rata:",'Offshore - Canberra'!N150))-SEARCH("rata-rata:",'Offshore - Canberra'!N150)-11)),IF('Offshore - Canberra'!D150="Semester",'Offshore - Canberra'!E150*2,IF('Offshore - Canberra'!D150="Trimester",'Offshore - Canberra'!E150*3,IF('Offshore - Canberra'!D150="Term",'Offshore - Canberra'!E150*4,IF('Offshore - Canberra'!D150="Unit",'Offshore - Canberra'!E150*8,""))))))</f>
        <v>11000</v>
      </c>
      <c r="L598" s="0" t="n">
        <f aca="false">IF(AND(ISNUMBER('Offshore - Canberra'!E150),ISNUMBER(K598),ISNUMBER('Offshore - Canberra'!F150),ISNUMBER('Offshore - Canberra'!G150),OR('Offshore - Canberra'!F150&lt;&gt;0,ISNUMBER(SEARCH("Material 0 terverifikasi",'Offshore - Canberra'!N150))),OR('Offshore - Canberra'!G150&lt;&gt;0,ISNUMBER(SEARCH("Enrolment 0 terverifikasi",'Offshore - Canberra'!N150)))),1,0)</f>
        <v>1</v>
      </c>
      <c r="M598" s="0" t="n">
        <f aca="false">IF(OR('Offshore - Canberra'!E150="",ISNUMBER(SEARCH("BSB80120",'Offshore - Canberra'!B150&amp;'Offshore - Canberra'!N150)),ISNUMBER(SEARCH("Management (Learning)",'Offshore - Canberra'!B150))),2,IF(ISNUMBER(SEARCH("CEK:",'Offshore - Canberra'!N150)),1,0))</f>
        <v>1</v>
      </c>
    </row>
    <row r="599" customFormat="false" ht="28.35" hidden="false" customHeight="false" outlineLevel="0" collapsed="false">
      <c r="A599" s="63" t="s">
        <v>3718</v>
      </c>
      <c r="B599" s="64" t="s">
        <v>3923</v>
      </c>
      <c r="C599" s="63" t="s">
        <v>41</v>
      </c>
      <c r="D599" s="64" t="str">
        <f aca="false">TRIM(LEFT('Offshore - Canberra'!A6,FIND(CHAR(10),'Offshore - Canberra'!A6&amp;CHAR(10))-1))</f>
        <v>Australian Catholic University (ACU)</v>
      </c>
      <c r="E599" s="63" t="str">
        <f aca="false">'Offshore - Canberra'!C108&amp;""</f>
        <v>1 year</v>
      </c>
      <c r="F599" s="63" t="str">
        <f aca="false">IF('Offshore - Canberra'!D108="","Belum tercatat",'Offshore - Canberra'!D108)</f>
        <v>Term</v>
      </c>
      <c r="G599" s="65" t="n">
        <f aca="false">IF('Offshore - Canberra'!E108="","-",'Offshore - Canberra'!E108)</f>
        <v>8906</v>
      </c>
      <c r="H599" s="63" t="n">
        <f aca="false">IF(ISNUMBER(K599),COUNTIFS($J$6:$J$1854,J599,$K$6:$K$1854,"&lt;"&amp;K599)+1,"-")</f>
        <v>4</v>
      </c>
      <c r="I599" s="64" t="str">
        <f aca="false">IF('Offshore - Canberra'!E108="","Harga belum tersedia - hubungi konsultan TEG",IF(M599=2,"Saat ini tidak menerima pendaftaran siswa internasional baru",IF(M599=1,"Harga perlu dikonfirmasi ke sekolah"&amp;IF(""="","","; "&amp;""),"")))</f>
        <v/>
      </c>
      <c r="J599" s="0" t="s">
        <v>3940</v>
      </c>
      <c r="K599" s="0" t="n">
        <f aca="false">IF(M599=2,"",IF(ISNUMBER(SEARCH("rata-rata:",'Offshore - Canberra'!N108)),VALUE(MID('Offshore - Canberra'!N108,SEARCH("rata-rata:",'Offshore - Canberra'!N108)+11,FIND(";",'Offshore - Canberra'!N108&amp;";",SEARCH("rata-rata:",'Offshore - Canberra'!N108))-SEARCH("rata-rata:",'Offshore - Canberra'!N108)-11)),IF('Offshore - Canberra'!D108="Semester",'Offshore - Canberra'!E108*2,IF('Offshore - Canberra'!D108="Trimester",'Offshore - Canberra'!E108*3,IF('Offshore - Canberra'!D108="Term",'Offshore - Canberra'!E108*4,IF('Offshore - Canberra'!D108="Unit",'Offshore - Canberra'!E108*8,""))))))</f>
        <v>35624</v>
      </c>
      <c r="L599" s="0" t="n">
        <f aca="false">IF(AND(ISNUMBER('Offshore - Canberra'!E108),ISNUMBER(K599),ISNUMBER('Offshore - Canberra'!F108),ISNUMBER('Offshore - Canberra'!G108),OR('Offshore - Canberra'!F108&lt;&gt;0,ISNUMBER(SEARCH("Material 0 terverifikasi",'Offshore - Canberra'!N108))),OR('Offshore - Canberra'!G108&lt;&gt;0,ISNUMBER(SEARCH("Enrolment 0 terverifikasi",'Offshore - Canberra'!N108)))),1,0)</f>
        <v>0</v>
      </c>
      <c r="M599" s="0" t="n">
        <f aca="false">IF(OR('Offshore - Canberra'!E108="",ISNUMBER(SEARCH("BSB80120",'Offshore - Canberra'!B108&amp;'Offshore - Canberra'!N108)),ISNUMBER(SEARCH("Management (Learning)",'Offshore - Canberra'!B108))),2,IF(ISNUMBER(SEARCH("CEK:",'Offshore - Canberra'!N108)),1,0))</f>
        <v>0</v>
      </c>
    </row>
    <row r="600" customFormat="false" ht="15" hidden="false" customHeight="false" outlineLevel="0" collapsed="false">
      <c r="A600" s="61" t="s">
        <v>3941</v>
      </c>
      <c r="B600" s="62"/>
      <c r="C600" s="62"/>
      <c r="D600" s="62"/>
      <c r="E600" s="62"/>
      <c r="F600" s="62"/>
      <c r="G600" s="62"/>
      <c r="H600" s="62"/>
      <c r="I600" s="62"/>
    </row>
    <row r="601" customFormat="false" ht="28.35" hidden="false" customHeight="false" outlineLevel="0" collapsed="false">
      <c r="A601" s="63" t="s">
        <v>3718</v>
      </c>
      <c r="B601" s="64" t="s">
        <v>3923</v>
      </c>
      <c r="C601" s="63" t="s">
        <v>43</v>
      </c>
      <c r="D601" s="64" t="str">
        <f aca="false">TRIM(LEFT('Offshore - Canberra'!A6,FIND(CHAR(10),'Offshore - Canberra'!A6&amp;CHAR(10))-1))</f>
        <v>Australian Catholic University (ACU)</v>
      </c>
      <c r="E601" s="63" t="str">
        <f aca="false">'Offshore - Canberra'!C82&amp;""</f>
        <v>4 years</v>
      </c>
      <c r="F601" s="63" t="str">
        <f aca="false">IF('Offshore - Canberra'!D82="","Belum tercatat",'Offshore - Canberra'!D82)</f>
        <v>Term</v>
      </c>
      <c r="G601" s="65" t="n">
        <f aca="false">IF('Offshore - Canberra'!E82="","-",'Offshore - Canberra'!E82)</f>
        <v>8098</v>
      </c>
      <c r="H601" s="63" t="n">
        <f aca="false">IF(ISNUMBER(K601),COUNTIFS($J$6:$J$1854,J601,$K$6:$K$1854,"&lt;"&amp;K601)+1,"-")</f>
        <v>1</v>
      </c>
      <c r="I601" s="64" t="str">
        <f aca="false">IF('Offshore - Canberra'!E82="","Harga belum tersedia - hubungi konsultan TEG",IF(M601=2,"Saat ini tidak menerima pendaftaran siswa internasional baru",IF(M601=1,"Harga perlu dikonfirmasi ke sekolah"&amp;IF(""="","","; "&amp;""),"")))</f>
        <v/>
      </c>
      <c r="J601" s="0" t="s">
        <v>3942</v>
      </c>
      <c r="K601" s="0" t="n">
        <f aca="false">IF(M601=2,"",IF(ISNUMBER(SEARCH("rata-rata:",'Offshore - Canberra'!N82)),VALUE(MID('Offshore - Canberra'!N82,SEARCH("rata-rata:",'Offshore - Canberra'!N82)+11,FIND(";",'Offshore - Canberra'!N82&amp;";",SEARCH("rata-rata:",'Offshore - Canberra'!N82))-SEARCH("rata-rata:",'Offshore - Canberra'!N82)-11)),IF('Offshore - Canberra'!D82="Semester",'Offshore - Canberra'!E82*2,IF('Offshore - Canberra'!D82="Trimester",'Offshore - Canberra'!E82*3,IF('Offshore - Canberra'!D82="Term",'Offshore - Canberra'!E82*4,IF('Offshore - Canberra'!D82="Unit",'Offshore - Canberra'!E82*8,""))))))</f>
        <v>32392</v>
      </c>
      <c r="L601" s="0" t="n">
        <f aca="false">IF(AND(ISNUMBER('Offshore - Canberra'!E82),ISNUMBER(K601),ISNUMBER('Offshore - Canberra'!F82),ISNUMBER('Offshore - Canberra'!G82),OR('Offshore - Canberra'!F82&lt;&gt;0,ISNUMBER(SEARCH("Material 0 terverifikasi",'Offshore - Canberra'!N82))),OR('Offshore - Canberra'!G82&lt;&gt;0,ISNUMBER(SEARCH("Enrolment 0 terverifikasi",'Offshore - Canberra'!N82)))),1,0)</f>
        <v>0</v>
      </c>
      <c r="M601" s="0" t="n">
        <f aca="false">IF(OR('Offshore - Canberra'!E82="",ISNUMBER(SEARCH("BSB80120",'Offshore - Canberra'!B82&amp;'Offshore - Canberra'!N82)),ISNUMBER(SEARCH("Management (Learning)",'Offshore - Canberra'!B82))),2,IF(ISNUMBER(SEARCH("CEK:",'Offshore - Canberra'!N82)),1,0))</f>
        <v>0</v>
      </c>
    </row>
    <row r="602" customFormat="false" ht="15" hidden="false" customHeight="false" outlineLevel="0" collapsed="false">
      <c r="A602" s="61" t="s">
        <v>3943</v>
      </c>
      <c r="B602" s="62"/>
      <c r="C602" s="62"/>
      <c r="D602" s="62"/>
      <c r="E602" s="62"/>
      <c r="F602" s="62"/>
      <c r="G602" s="62"/>
      <c r="H602" s="62"/>
      <c r="I602" s="62"/>
    </row>
    <row r="603" customFormat="false" ht="28.35" hidden="false" customHeight="false" outlineLevel="0" collapsed="false">
      <c r="A603" s="63" t="s">
        <v>3718</v>
      </c>
      <c r="B603" s="64" t="s">
        <v>3923</v>
      </c>
      <c r="C603" s="63" t="s">
        <v>46</v>
      </c>
      <c r="D603" s="64" t="str">
        <f aca="false">TRIM(LEFT('Offshore - Canberra'!A6,FIND(CHAR(10),'Offshore - Canberra'!A6&amp;CHAR(10))-1))</f>
        <v>Australian Catholic University (ACU)</v>
      </c>
      <c r="E603" s="63" t="str">
        <f aca="false">'Offshore - Canberra'!C93&amp;""</f>
        <v>2 years</v>
      </c>
      <c r="F603" s="63" t="str">
        <f aca="false">IF('Offshore - Canberra'!D93="","Belum tercatat",'Offshore - Canberra'!D93)</f>
        <v>Term</v>
      </c>
      <c r="G603" s="65" t="n">
        <f aca="false">IF('Offshore - Canberra'!E93="","-",'Offshore - Canberra'!E93)</f>
        <v>8018</v>
      </c>
      <c r="H603" s="63" t="n">
        <f aca="false">IF(ISNUMBER(K603),COUNTIFS($J$6:$J$1854,J603,$K$6:$K$1854,"&lt;"&amp;K603)+1,"-")</f>
        <v>1</v>
      </c>
      <c r="I603" s="64" t="str">
        <f aca="false">IF('Offshore - Canberra'!E93="","Harga belum tersedia - hubungi konsultan TEG",IF(M603=2,"Saat ini tidak menerima pendaftaran siswa internasional baru",IF(M603=1,"Harga perlu dikonfirmasi ke sekolah"&amp;IF(""="","","; "&amp;""),"")))</f>
        <v/>
      </c>
      <c r="J603" s="0" t="s">
        <v>3944</v>
      </c>
      <c r="K603" s="0" t="n">
        <f aca="false">IF(M603=2,"",IF(ISNUMBER(SEARCH("rata-rata:",'Offshore - Canberra'!N93)),VALUE(MID('Offshore - Canberra'!N93,SEARCH("rata-rata:",'Offshore - Canberra'!N93)+11,FIND(";",'Offshore - Canberra'!N93&amp;";",SEARCH("rata-rata:",'Offshore - Canberra'!N93))-SEARCH("rata-rata:",'Offshore - Canberra'!N93)-11)),IF('Offshore - Canberra'!D93="Semester",'Offshore - Canberra'!E93*2,IF('Offshore - Canberra'!D93="Trimester",'Offshore - Canberra'!E93*3,IF('Offshore - Canberra'!D93="Term",'Offshore - Canberra'!E93*4,IF('Offshore - Canberra'!D93="Unit",'Offshore - Canberra'!E93*8,""))))))</f>
        <v>32072</v>
      </c>
      <c r="L603" s="0" t="n">
        <f aca="false">IF(AND(ISNUMBER('Offshore - Canberra'!E93),ISNUMBER(K603),ISNUMBER('Offshore - Canberra'!F93),ISNUMBER('Offshore - Canberra'!G93),OR('Offshore - Canberra'!F93&lt;&gt;0,ISNUMBER(SEARCH("Material 0 terverifikasi",'Offshore - Canberra'!N93))),OR('Offshore - Canberra'!G93&lt;&gt;0,ISNUMBER(SEARCH("Enrolment 0 terverifikasi",'Offshore - Canberra'!N93)))),1,0)</f>
        <v>0</v>
      </c>
      <c r="M603" s="0" t="n">
        <f aca="false">IF(OR('Offshore - Canberra'!E93="",ISNUMBER(SEARCH("BSB80120",'Offshore - Canberra'!B93&amp;'Offshore - Canberra'!N93)),ISNUMBER(SEARCH("Management (Learning)",'Offshore - Canberra'!B93))),2,IF(ISNUMBER(SEARCH("CEK:",'Offshore - Canberra'!N93)),1,0))</f>
        <v>0</v>
      </c>
    </row>
    <row r="604" customFormat="false" ht="15" hidden="false" customHeight="false" outlineLevel="0" collapsed="false">
      <c r="A604" s="61" t="s">
        <v>3945</v>
      </c>
      <c r="B604" s="62"/>
      <c r="C604" s="62"/>
      <c r="D604" s="62"/>
      <c r="E604" s="62"/>
      <c r="F604" s="62"/>
      <c r="G604" s="62"/>
      <c r="H604" s="62"/>
      <c r="I604" s="62"/>
    </row>
    <row r="605" customFormat="false" ht="28.35" hidden="false" customHeight="false" outlineLevel="0" collapsed="false">
      <c r="A605" s="63" t="s">
        <v>3583</v>
      </c>
      <c r="B605" s="64" t="s">
        <v>3923</v>
      </c>
      <c r="C605" s="63" t="s">
        <v>41</v>
      </c>
      <c r="D605" s="64" t="str">
        <f aca="false">TRIM(LEFT('Offshore - Darwin'!A20,FIND(CHAR(10),'Offshore - Darwin'!A20&amp;CHAR(10))-1))</f>
        <v>Charles Darwin University (CDU)</v>
      </c>
      <c r="E605" s="63" t="str">
        <f aca="false">'Offshore - Darwin'!C47&amp;""</f>
        <v>1 year</v>
      </c>
      <c r="F605" s="63" t="str">
        <f aca="false">IF('Offshore - Darwin'!D47="","Belum tercatat",'Offshore - Darwin'!D47)</f>
        <v>Term</v>
      </c>
      <c r="G605" s="65" t="n">
        <f aca="false">IF('Offshore - Darwin'!E47="","-",'Offshore - Darwin'!E47)</f>
        <v>7600</v>
      </c>
      <c r="H605" s="63" t="n">
        <f aca="false">IF(ISNUMBER(K605),COUNTIFS($J$6:$J$1854,J605,$K$6:$K$1854,"&lt;"&amp;K605)+1,"-")</f>
        <v>1</v>
      </c>
      <c r="I605" s="64" t="str">
        <f aca="false">IF('Offshore - Darwin'!E47="","Harga belum tersedia - hubungi konsultan TEG",IF(M605=2,"Saat ini tidak menerima pendaftaran siswa internasional baru",IF(M605=1,"Harga perlu dikonfirmasi ke sekolah"&amp;IF(""="","","; "&amp;""),"")))</f>
        <v/>
      </c>
      <c r="J605" s="0" t="s">
        <v>3946</v>
      </c>
      <c r="K605" s="0" t="n">
        <f aca="false">IF(M605=2,"",IF(ISNUMBER(SEARCH("rata-rata:",'Offshore - Darwin'!N47)),VALUE(MID('Offshore - Darwin'!N47,SEARCH("rata-rata:",'Offshore - Darwin'!N47)+11,FIND(";",'Offshore - Darwin'!N47&amp;";",SEARCH("rata-rata:",'Offshore - Darwin'!N47))-SEARCH("rata-rata:",'Offshore - Darwin'!N47)-11)),IF('Offshore - Darwin'!D47="Semester",'Offshore - Darwin'!E47*2,IF('Offshore - Darwin'!D47="Trimester",'Offshore - Darwin'!E47*3,IF('Offshore - Darwin'!D47="Term",'Offshore - Darwin'!E47*4,IF('Offshore - Darwin'!D47="Unit",'Offshore - Darwin'!E47*8,""))))))</f>
        <v>30400</v>
      </c>
      <c r="L605" s="0" t="n">
        <f aca="false">IF(AND(ISNUMBER('Offshore - Darwin'!E47),ISNUMBER(K605),ISNUMBER('Offshore - Darwin'!F47),ISNUMBER('Offshore - Darwin'!G47),OR('Offshore - Darwin'!F47&lt;&gt;0,ISNUMBER(SEARCH("Material 0 terverifikasi",'Offshore - Darwin'!N47))),OR('Offshore - Darwin'!G47&lt;&gt;0,ISNUMBER(SEARCH("Enrolment 0 terverifikasi",'Offshore - Darwin'!N47)))),1,0)</f>
        <v>0</v>
      </c>
      <c r="M605" s="0" t="n">
        <f aca="false">IF(OR('Offshore - Darwin'!E47="",ISNUMBER(SEARCH("BSB80120",'Offshore - Darwin'!B47&amp;'Offshore - Darwin'!N47)),ISNUMBER(SEARCH("Management (Learning)",'Offshore - Darwin'!B47))),2,IF(ISNUMBER(SEARCH("CEK:",'Offshore - Darwin'!N47)),1,0))</f>
        <v>0</v>
      </c>
    </row>
    <row r="606" customFormat="false" ht="15" hidden="false" customHeight="false" outlineLevel="0" collapsed="false">
      <c r="A606" s="61" t="s">
        <v>3947</v>
      </c>
      <c r="B606" s="62"/>
      <c r="C606" s="62"/>
      <c r="D606" s="62"/>
      <c r="E606" s="62"/>
      <c r="F606" s="62"/>
      <c r="G606" s="62"/>
      <c r="H606" s="62"/>
      <c r="I606" s="62"/>
    </row>
    <row r="607" customFormat="false" ht="28.35" hidden="false" customHeight="false" outlineLevel="0" collapsed="false">
      <c r="A607" s="63" t="s">
        <v>3583</v>
      </c>
      <c r="B607" s="64" t="s">
        <v>3923</v>
      </c>
      <c r="C607" s="63" t="s">
        <v>43</v>
      </c>
      <c r="D607" s="64" t="str">
        <f aca="false">TRIM(LEFT('Offshore - Darwin'!A20,FIND(CHAR(10),'Offshore - Darwin'!A20&amp;CHAR(10))-1))</f>
        <v>Charles Darwin University (CDU)</v>
      </c>
      <c r="E607" s="63" t="str">
        <f aca="false">'Offshore - Darwin'!C48&amp;""</f>
        <v>3 years</v>
      </c>
      <c r="F607" s="63" t="str">
        <f aca="false">IF('Offshore - Darwin'!D48="","Belum tercatat",'Offshore - Darwin'!D48)</f>
        <v>Term</v>
      </c>
      <c r="G607" s="65" t="n">
        <f aca="false">IF('Offshore - Darwin'!E48="","-",'Offshore - Darwin'!E48)</f>
        <v>7450</v>
      </c>
      <c r="H607" s="63" t="n">
        <f aca="false">IF(ISNUMBER(K607),COUNTIFS($J$6:$J$1854,J607,$K$6:$K$1854,"&lt;"&amp;K607)+1,"-")</f>
        <v>1</v>
      </c>
      <c r="I607" s="64" t="str">
        <f aca="false">IF('Offshore - Darwin'!E48="","Harga belum tersedia - hubungi konsultan TEG",IF(M607=2,"Saat ini tidak menerima pendaftaran siswa internasional baru",IF(M607=1,"Harga perlu dikonfirmasi ke sekolah"&amp;IF(""="","","; "&amp;""),"")))</f>
        <v/>
      </c>
      <c r="J607" s="0" t="s">
        <v>3948</v>
      </c>
      <c r="K607" s="0" t="n">
        <f aca="false">IF(M607=2,"",IF(ISNUMBER(SEARCH("rata-rata:",'Offshore - Darwin'!N48)),VALUE(MID('Offshore - Darwin'!N48,SEARCH("rata-rata:",'Offshore - Darwin'!N48)+11,FIND(";",'Offshore - Darwin'!N48&amp;";",SEARCH("rata-rata:",'Offshore - Darwin'!N48))-SEARCH("rata-rata:",'Offshore - Darwin'!N48)-11)),IF('Offshore - Darwin'!D48="Semester",'Offshore - Darwin'!E48*2,IF('Offshore - Darwin'!D48="Trimester",'Offshore - Darwin'!E48*3,IF('Offshore - Darwin'!D48="Term",'Offshore - Darwin'!E48*4,IF('Offshore - Darwin'!D48="Unit",'Offshore - Darwin'!E48*8,""))))))</f>
        <v>29800</v>
      </c>
      <c r="L607" s="0" t="n">
        <f aca="false">IF(AND(ISNUMBER('Offshore - Darwin'!E48),ISNUMBER(K607),ISNUMBER('Offshore - Darwin'!F48),ISNUMBER('Offshore - Darwin'!G48),OR('Offshore - Darwin'!F48&lt;&gt;0,ISNUMBER(SEARCH("Material 0 terverifikasi",'Offshore - Darwin'!N48))),OR('Offshore - Darwin'!G48&lt;&gt;0,ISNUMBER(SEARCH("Enrolment 0 terverifikasi",'Offshore - Darwin'!N48)))),1,0)</f>
        <v>0</v>
      </c>
      <c r="M607" s="0" t="n">
        <f aca="false">IF(OR('Offshore - Darwin'!E48="",ISNUMBER(SEARCH("BSB80120",'Offshore - Darwin'!B48&amp;'Offshore - Darwin'!N48)),ISNUMBER(SEARCH("Management (Learning)",'Offshore - Darwin'!B48))),2,IF(ISNUMBER(SEARCH("CEK:",'Offshore - Darwin'!N48)),1,0))</f>
        <v>0</v>
      </c>
    </row>
    <row r="608" customFormat="false" ht="15" hidden="false" customHeight="false" outlineLevel="0" collapsed="false">
      <c r="A608" s="61" t="s">
        <v>3949</v>
      </c>
      <c r="B608" s="62"/>
      <c r="C608" s="62"/>
      <c r="D608" s="62"/>
      <c r="E608" s="62"/>
      <c r="F608" s="62"/>
      <c r="G608" s="62"/>
      <c r="H608" s="62"/>
      <c r="I608" s="62"/>
    </row>
    <row r="609" customFormat="false" ht="28.35" hidden="false" customHeight="false" outlineLevel="0" collapsed="false">
      <c r="A609" s="63" t="s">
        <v>3583</v>
      </c>
      <c r="B609" s="64" t="s">
        <v>3923</v>
      </c>
      <c r="C609" s="63" t="s">
        <v>46</v>
      </c>
      <c r="D609" s="64" t="str">
        <f aca="false">TRIM(LEFT('Offshore - Darwin'!A20,FIND(CHAR(10),'Offshore - Darwin'!A20&amp;CHAR(10))-1))</f>
        <v>Charles Darwin University (CDU)</v>
      </c>
      <c r="E609" s="63" t="str">
        <f aca="false">'Offshore - Darwin'!C51&amp;""</f>
        <v>2 years</v>
      </c>
      <c r="F609" s="63" t="str">
        <f aca="false">IF('Offshore - Darwin'!D51="","Belum tercatat",'Offshore - Darwin'!D51)</f>
        <v>Term</v>
      </c>
      <c r="G609" s="65" t="n">
        <f aca="false">IF('Offshore - Darwin'!E51="","-",'Offshore - Darwin'!E51)</f>
        <v>9120</v>
      </c>
      <c r="H609" s="63" t="n">
        <f aca="false">IF(ISNUMBER(K609),COUNTIFS($J$6:$J$1854,J609,$K$6:$K$1854,"&lt;"&amp;K609)+1,"-")</f>
        <v>1</v>
      </c>
      <c r="I609" s="64" t="str">
        <f aca="false">IF('Offshore - Darwin'!E51="","Harga belum tersedia - hubungi konsultan TEG",IF(M609=2,"Saat ini tidak menerima pendaftaran siswa internasional baru",IF(M609=1,"Harga perlu dikonfirmasi ke sekolah"&amp;IF(""="","","; "&amp;""),"")))</f>
        <v/>
      </c>
      <c r="J609" s="0" t="s">
        <v>3950</v>
      </c>
      <c r="K609" s="0" t="n">
        <f aca="false">IF(M609=2,"",IF(ISNUMBER(SEARCH("rata-rata:",'Offshore - Darwin'!N51)),VALUE(MID('Offshore - Darwin'!N51,SEARCH("rata-rata:",'Offshore - Darwin'!N51)+11,FIND(";",'Offshore - Darwin'!N51&amp;";",SEARCH("rata-rata:",'Offshore - Darwin'!N51))-SEARCH("rata-rata:",'Offshore - Darwin'!N51)-11)),IF('Offshore - Darwin'!D51="Semester",'Offshore - Darwin'!E51*2,IF('Offshore - Darwin'!D51="Trimester",'Offshore - Darwin'!E51*3,IF('Offshore - Darwin'!D51="Term",'Offshore - Darwin'!E51*4,IF('Offshore - Darwin'!D51="Unit",'Offshore - Darwin'!E51*8,""))))))</f>
        <v>36480</v>
      </c>
      <c r="L609" s="0" t="n">
        <f aca="false">IF(AND(ISNUMBER('Offshore - Darwin'!E51),ISNUMBER(K609),ISNUMBER('Offshore - Darwin'!F51),ISNUMBER('Offshore - Darwin'!G51),OR('Offshore - Darwin'!F51&lt;&gt;0,ISNUMBER(SEARCH("Material 0 terverifikasi",'Offshore - Darwin'!N51))),OR('Offshore - Darwin'!G51&lt;&gt;0,ISNUMBER(SEARCH("Enrolment 0 terverifikasi",'Offshore - Darwin'!N51)))),1,0)</f>
        <v>0</v>
      </c>
      <c r="M609" s="0" t="n">
        <f aca="false">IF(OR('Offshore - Darwin'!E51="",ISNUMBER(SEARCH("BSB80120",'Offshore - Darwin'!B51&amp;'Offshore - Darwin'!N51)),ISNUMBER(SEARCH("Management (Learning)",'Offshore - Darwin'!B51))),2,IF(ISNUMBER(SEARCH("CEK:",'Offshore - Darwin'!N51)),1,0))</f>
        <v>0</v>
      </c>
    </row>
    <row r="610" customFormat="false" ht="15" hidden="false" customHeight="false" outlineLevel="0" collapsed="false">
      <c r="A610" s="61" t="s">
        <v>3951</v>
      </c>
      <c r="B610" s="62"/>
      <c r="C610" s="62"/>
      <c r="D610" s="62"/>
      <c r="E610" s="62"/>
      <c r="F610" s="62"/>
      <c r="G610" s="62"/>
      <c r="H610" s="62"/>
      <c r="I610" s="62"/>
    </row>
    <row r="611" customFormat="false" ht="28.35" hidden="false" customHeight="false" outlineLevel="0" collapsed="false">
      <c r="A611" s="63" t="s">
        <v>3878</v>
      </c>
      <c r="B611" s="64" t="s">
        <v>3923</v>
      </c>
      <c r="C611" s="63" t="s">
        <v>42</v>
      </c>
      <c r="D611" s="64" t="str">
        <f aca="false">TRIM(LEFT('Offshore - Gosford'!A6,FIND(CHAR(10),'Offshore - Gosford'!A6&amp;CHAR(10))-1))</f>
        <v>Novus College</v>
      </c>
      <c r="E611" s="63" t="str">
        <f aca="false">'Offshore - Gosford'!C8&amp;""</f>
        <v>1,5 years</v>
      </c>
      <c r="F611" s="63" t="str">
        <f aca="false">IF('Offshore - Gosford'!D8="","Belum tercatat",'Offshore - Gosford'!D8)</f>
        <v>Term</v>
      </c>
      <c r="G611" s="65" t="n">
        <f aca="false">IF('Offshore - Gosford'!E8="","-",'Offshore - Gosford'!E8)</f>
        <v>2000</v>
      </c>
      <c r="H611" s="63" t="n">
        <f aca="false">IF(ISNUMBER(K611),COUNTIFS($J$6:$J$1854,J611,$K$6:$K$1854,"&lt;"&amp;K611)+1,"-")</f>
        <v>1</v>
      </c>
      <c r="I611" s="64" t="str">
        <f aca="false">IF('Offshore - Gosford'!E8="","Harga belum tersedia - hubungi konsultan TEG",IF(M611=2,"Saat ini tidak menerima pendaftaran siswa internasional baru",IF(M611=1,"Program perlu dikonfirmasi ketersediaannya"&amp;IF(""="","","; "&amp;""),"")))</f>
        <v>Program perlu dikonfirmasi ketersediaannya</v>
      </c>
      <c r="J611" s="0" t="s">
        <v>3952</v>
      </c>
      <c r="K611" s="0" t="n">
        <f aca="false">IF(M611=2,"",IF(ISNUMBER(SEARCH("rata-rata:",'Offshore - Gosford'!N8)),VALUE(MID('Offshore - Gosford'!N8,SEARCH("rata-rata:",'Offshore - Gosford'!N8)+11,FIND(";",'Offshore - Gosford'!N8&amp;";",SEARCH("rata-rata:",'Offshore - Gosford'!N8))-SEARCH("rata-rata:",'Offshore - Gosford'!N8)-11)),IF('Offshore - Gosford'!D8="Semester",'Offshore - Gosford'!E8*2,IF('Offshore - Gosford'!D8="Trimester",'Offshore - Gosford'!E8*3,IF('Offshore - Gosford'!D8="Term",'Offshore - Gosford'!E8*4,IF('Offshore - Gosford'!D8="Unit",'Offshore - Gosford'!E8*8,""))))))</f>
        <v>8000</v>
      </c>
      <c r="L611" s="0" t="n">
        <f aca="false">IF(AND(ISNUMBER('Offshore - Gosford'!E8),ISNUMBER(K611),ISNUMBER('Offshore - Gosford'!F8),ISNUMBER('Offshore - Gosford'!G8),OR('Offshore - Gosford'!F8&lt;&gt;0,ISNUMBER(SEARCH("Material 0 terverifikasi",'Offshore - Gosford'!N8))),OR('Offshore - Gosford'!G8&lt;&gt;0,ISNUMBER(SEARCH("Enrolment 0 terverifikasi",'Offshore - Gosford'!N8)))),1,0)</f>
        <v>1</v>
      </c>
      <c r="M611" s="0" t="n">
        <f aca="false">IF(OR('Offshore - Gosford'!E8="",ISNUMBER(SEARCH("BSB80120",'Offshore - Gosford'!B8&amp;'Offshore - Gosford'!N8)),ISNUMBER(SEARCH("Management (Learning)",'Offshore - Gosford'!B8))),2,IF(ISNUMBER(SEARCH("CEK:",'Offshore - Gosford'!N8)),1,0))</f>
        <v>1</v>
      </c>
    </row>
    <row r="612" customFormat="false" ht="15" hidden="false" customHeight="false" outlineLevel="0" collapsed="false">
      <c r="A612" s="61" t="s">
        <v>3953</v>
      </c>
      <c r="B612" s="62"/>
      <c r="C612" s="62"/>
      <c r="D612" s="62"/>
      <c r="E612" s="62"/>
      <c r="F612" s="62"/>
      <c r="G612" s="62"/>
      <c r="H612" s="62"/>
      <c r="I612" s="62"/>
    </row>
    <row r="613" customFormat="false" ht="28.35" hidden="false" customHeight="false" outlineLevel="0" collapsed="false">
      <c r="A613" s="63" t="s">
        <v>3544</v>
      </c>
      <c r="B613" s="64" t="s">
        <v>3923</v>
      </c>
      <c r="C613" s="63" t="s">
        <v>41</v>
      </c>
      <c r="D613" s="64" t="str">
        <f aca="false">TRIM(LEFT('Offshore - Melbourne'!A263,FIND(CHAR(10),'Offshore - Melbourne'!A263&amp;CHAR(10))-1))</f>
        <v>Greenwich College</v>
      </c>
      <c r="E613" s="63" t="str">
        <f aca="false">'Offshore - Melbourne'!C273&amp;""</f>
        <v>128 weeks</v>
      </c>
      <c r="F613" s="63" t="str">
        <f aca="false">IF('Offshore - Melbourne'!D273="","Belum tercatat",'Offshore - Melbourne'!D273)</f>
        <v>Term</v>
      </c>
      <c r="G613" s="65" t="n">
        <f aca="false">IF('Offshore - Melbourne'!E273="","-",'Offshore - Melbourne'!E273)</f>
        <v>1600</v>
      </c>
      <c r="H613" s="63" t="n">
        <f aca="false">IF(ISNUMBER(K613),COUNTIFS($J$6:$J$1854,J613,$K$6:$K$1854,"&lt;"&amp;K613)+1,"-")</f>
        <v>1</v>
      </c>
      <c r="I613" s="64" t="str">
        <f aca="false">IF('Offshore - Melbourne'!E273="","Harga belum tersedia - hubungi konsultan TEG",IF(M613=2,"Saat ini tidak menerima pendaftaran siswa internasional baru",IF(M613=1,"Harga perlu dikonfirmasi ke sekolah"&amp;IF(""="","","; "&amp;""),"")))</f>
        <v/>
      </c>
      <c r="J613" s="0" t="s">
        <v>3954</v>
      </c>
      <c r="K613" s="0" t="n">
        <f aca="false">IF(M613=2,"",IF(ISNUMBER(SEARCH("rata-rata:",'Offshore - Melbourne'!N273)),VALUE(MID('Offshore - Melbourne'!N273,SEARCH("rata-rata:",'Offshore - Melbourne'!N273)+11,FIND(";",'Offshore - Melbourne'!N273&amp;";",SEARCH("rata-rata:",'Offshore - Melbourne'!N273))-SEARCH("rata-rata:",'Offshore - Melbourne'!N273)-11)),IF('Offshore - Melbourne'!D273="Semester",'Offshore - Melbourne'!E273*2,IF('Offshore - Melbourne'!D273="Trimester",'Offshore - Melbourne'!E273*3,IF('Offshore - Melbourne'!D273="Term",'Offshore - Melbourne'!E273*4,IF('Offshore - Melbourne'!D273="Unit",'Offshore - Melbourne'!E273*8,""))))))</f>
        <v>6400</v>
      </c>
      <c r="L613" s="0" t="n">
        <f aca="false">IF(AND(ISNUMBER('Offshore - Melbourne'!E273),ISNUMBER(K613),ISNUMBER('Offshore - Melbourne'!F273),ISNUMBER('Offshore - Melbourne'!G273),OR('Offshore - Melbourne'!F273&lt;&gt;0,ISNUMBER(SEARCH("Material 0 terverifikasi",'Offshore - Melbourne'!N273))),OR('Offshore - Melbourne'!G273&lt;&gt;0,ISNUMBER(SEARCH("Enrolment 0 terverifikasi",'Offshore - Melbourne'!N273)))),1,0)</f>
        <v>1</v>
      </c>
      <c r="M613" s="0" t="n">
        <f aca="false">IF(OR('Offshore - Melbourne'!E273="",ISNUMBER(SEARCH("BSB80120",'Offshore - Melbourne'!B273&amp;'Offshore - Melbourne'!N273)),ISNUMBER(SEARCH("Management (Learning)",'Offshore - Melbourne'!B273))),2,IF(ISNUMBER(SEARCH("CEK:",'Offshore - Melbourne'!N273)),1,0))</f>
        <v>0</v>
      </c>
    </row>
    <row r="614" customFormat="false" ht="28.35" hidden="false" customHeight="false" outlineLevel="0" collapsed="false">
      <c r="A614" s="63" t="s">
        <v>3544</v>
      </c>
      <c r="B614" s="64" t="s">
        <v>3923</v>
      </c>
      <c r="C614" s="63" t="s">
        <v>41</v>
      </c>
      <c r="D614" s="64" t="str">
        <f aca="false">TRIM(LEFT('Offshore - Melbourne'!A398,FIND(CHAR(10),'Offshore - Melbourne'!A398&amp;CHAR(10))-1))</f>
        <v>Signet Institute of Australia</v>
      </c>
      <c r="E614" s="63" t="str">
        <f aca="false">'Offshore - Melbourne'!C406&amp;""</f>
        <v>4 years</v>
      </c>
      <c r="F614" s="63" t="str">
        <f aca="false">IF('Offshore - Melbourne'!D406="","Belum tercatat",'Offshore - Melbourne'!D406)</f>
        <v>Term</v>
      </c>
      <c r="G614" s="65" t="n">
        <f aca="false">IF('Offshore - Melbourne'!E406="","-",'Offshore - Melbourne'!E406)</f>
        <v>1800</v>
      </c>
      <c r="H614" s="63" t="n">
        <f aca="false">IF(ISNUMBER(K614),COUNTIFS($J$6:$J$1854,J614,$K$6:$K$1854,"&lt;"&amp;K614)+1,"-")</f>
        <v>2</v>
      </c>
      <c r="I614" s="64" t="str">
        <f aca="false">IF('Offshore - Melbourne'!E406="","Harga belum tersedia - hubungi konsultan TEG",IF(M614=2,"Saat ini tidak menerima pendaftaran siswa internasional baru",IF(M614=1,"Harga perlu dikonfirmasi ke sekolah"&amp;IF(""="","","; "&amp;""),"")))</f>
        <v/>
      </c>
      <c r="J614" s="0" t="s">
        <v>3954</v>
      </c>
      <c r="K614" s="0" t="n">
        <f aca="false">IF(M614=2,"",IF(ISNUMBER(SEARCH("rata-rata:",'Offshore - Melbourne'!N406)),VALUE(MID('Offshore - Melbourne'!N406,SEARCH("rata-rata:",'Offshore - Melbourne'!N406)+11,FIND(";",'Offshore - Melbourne'!N406&amp;";",SEARCH("rata-rata:",'Offshore - Melbourne'!N406))-SEARCH("rata-rata:",'Offshore - Melbourne'!N406)-11)),IF('Offshore - Melbourne'!D406="Semester",'Offshore - Melbourne'!E406*2,IF('Offshore - Melbourne'!D406="Trimester",'Offshore - Melbourne'!E406*3,IF('Offshore - Melbourne'!D406="Term",'Offshore - Melbourne'!E406*4,IF('Offshore - Melbourne'!D406="Unit",'Offshore - Melbourne'!E406*8,""))))))</f>
        <v>7200</v>
      </c>
      <c r="L614" s="0" t="n">
        <f aca="false">IF(AND(ISNUMBER('Offshore - Melbourne'!E406),ISNUMBER(K614),ISNUMBER('Offshore - Melbourne'!F406),ISNUMBER('Offshore - Melbourne'!G406),OR('Offshore - Melbourne'!F406&lt;&gt;0,ISNUMBER(SEARCH("Material 0 terverifikasi",'Offshore - Melbourne'!N406))),OR('Offshore - Melbourne'!G406&lt;&gt;0,ISNUMBER(SEARCH("Enrolment 0 terverifikasi",'Offshore - Melbourne'!N406)))),1,0)</f>
        <v>1</v>
      </c>
      <c r="M614" s="0" t="n">
        <f aca="false">IF(OR('Offshore - Melbourne'!E406="",ISNUMBER(SEARCH("BSB80120",'Offshore - Melbourne'!B406&amp;'Offshore - Melbourne'!N406)),ISNUMBER(SEARCH("Management (Learning)",'Offshore - Melbourne'!B406))),2,IF(ISNUMBER(SEARCH("CEK:",'Offshore - Melbourne'!N406)),1,0))</f>
        <v>0</v>
      </c>
    </row>
    <row r="615" customFormat="false" ht="28.35" hidden="false" customHeight="false" outlineLevel="0" collapsed="false">
      <c r="A615" s="63" t="s">
        <v>3544</v>
      </c>
      <c r="B615" s="64" t="s">
        <v>3923</v>
      </c>
      <c r="C615" s="63" t="s">
        <v>41</v>
      </c>
      <c r="D615" s="64" t="str">
        <f aca="false">TRIM(LEFT('Offshore - Melbourne'!A61,FIND(CHAR(10),'Offshore - Melbourne'!A61&amp;CHAR(10))-1))</f>
        <v>Allied Institute</v>
      </c>
      <c r="E615" s="63" t="str">
        <f aca="false">'Offshore - Melbourne'!C62&amp;""</f>
        <v>3 years</v>
      </c>
      <c r="F615" s="63" t="str">
        <f aca="false">IF('Offshore - Melbourne'!D62="","Belum tercatat",'Offshore - Melbourne'!D62)</f>
        <v>Term</v>
      </c>
      <c r="G615" s="65" t="n">
        <f aca="false">IF('Offshore - Melbourne'!E62="","-",'Offshore - Melbourne'!E62)</f>
        <v>1875</v>
      </c>
      <c r="H615" s="63" t="n">
        <f aca="false">IF(ISNUMBER(K615),COUNTIFS($J$6:$J$1854,J615,$K$6:$K$1854,"&lt;"&amp;K615)+1,"-")</f>
        <v>3</v>
      </c>
      <c r="I615" s="64" t="str">
        <f aca="false">IF('Offshore - Melbourne'!E62="","Harga belum tersedia - hubungi konsultan TEG",IF(M615=2,"Saat ini tidak menerima pendaftaran siswa internasional baru",IF(M615=1,"Harga perlu dikonfirmasi ke sekolah"&amp;IF(""="","","; "&amp;""),"")))</f>
        <v>Harga perlu dikonfirmasi ke sekolah</v>
      </c>
      <c r="J615" s="0" t="s">
        <v>3954</v>
      </c>
      <c r="K615" s="0" t="n">
        <f aca="false">IF(M615=2,"",IF(ISNUMBER(SEARCH("rata-rata:",'Offshore - Melbourne'!N62)),VALUE(MID('Offshore - Melbourne'!N62,SEARCH("rata-rata:",'Offshore - Melbourne'!N62)+11,FIND(";",'Offshore - Melbourne'!N62&amp;";",SEARCH("rata-rata:",'Offshore - Melbourne'!N62))-SEARCH("rata-rata:",'Offshore - Melbourne'!N62)-11)),IF('Offshore - Melbourne'!D62="Semester",'Offshore - Melbourne'!E62*2,IF('Offshore - Melbourne'!D62="Trimester",'Offshore - Melbourne'!E62*3,IF('Offshore - Melbourne'!D62="Term",'Offshore - Melbourne'!E62*4,IF('Offshore - Melbourne'!D62="Unit",'Offshore - Melbourne'!E62*8,""))))))</f>
        <v>7500</v>
      </c>
      <c r="L615" s="0" t="n">
        <f aca="false">IF(AND(ISNUMBER('Offshore - Melbourne'!E62),ISNUMBER(K615),ISNUMBER('Offshore - Melbourne'!F62),ISNUMBER('Offshore - Melbourne'!G62),OR('Offshore - Melbourne'!F62&lt;&gt;0,ISNUMBER(SEARCH("Material 0 terverifikasi",'Offshore - Melbourne'!N62))),OR('Offshore - Melbourne'!G62&lt;&gt;0,ISNUMBER(SEARCH("Enrolment 0 terverifikasi",'Offshore - Melbourne'!N62)))),1,0)</f>
        <v>1</v>
      </c>
      <c r="M615" s="0" t="n">
        <f aca="false">IF(OR('Offshore - Melbourne'!E62="",ISNUMBER(SEARCH("BSB80120",'Offshore - Melbourne'!B62&amp;'Offshore - Melbourne'!N62)),ISNUMBER(SEARCH("Management (Learning)",'Offshore - Melbourne'!B62))),2,IF(ISNUMBER(SEARCH("CEK:",'Offshore - Melbourne'!N62)),1,0))</f>
        <v>1</v>
      </c>
    </row>
    <row r="616" customFormat="false" ht="28.35" hidden="false" customHeight="false" outlineLevel="0" collapsed="false">
      <c r="A616" s="63" t="s">
        <v>3544</v>
      </c>
      <c r="B616" s="64" t="s">
        <v>3923</v>
      </c>
      <c r="C616" s="63" t="s">
        <v>41</v>
      </c>
      <c r="D616" s="64" t="str">
        <f aca="false">TRIM(LEFT('Offshore - Melbourne'!A6,FIND(CHAR(10),'Offshore - Melbourne'!A6&amp;CHAR(10))-1))</f>
        <v>Academies Australasia</v>
      </c>
      <c r="E616" s="63" t="str">
        <f aca="false">'Offshore - Melbourne'!C17&amp;""</f>
        <v>2 years</v>
      </c>
      <c r="F616" s="63" t="str">
        <f aca="false">IF('Offshore - Melbourne'!D17="","Belum tercatat",'Offshore - Melbourne'!D17)</f>
        <v>Term</v>
      </c>
      <c r="G616" s="65" t="n">
        <f aca="false">IF('Offshore - Melbourne'!E17="","-",'Offshore - Melbourne'!E17)</f>
        <v>2300</v>
      </c>
      <c r="H616" s="63" t="n">
        <f aca="false">IF(ISNUMBER(K616),COUNTIFS($J$6:$J$1854,J616,$K$6:$K$1854,"&lt;"&amp;K616)+1,"-")</f>
        <v>4</v>
      </c>
      <c r="I616" s="64" t="str">
        <f aca="false">IF('Offshore - Melbourne'!E17="","Harga belum tersedia - hubungi konsultan TEG",IF(M616=2,"Saat ini tidak menerima pendaftaran siswa internasional baru",IF(M616=1,"Harga perlu dikonfirmasi ke sekolah"&amp;IF(""="","","; "&amp;""),"")))</f>
        <v/>
      </c>
      <c r="J616" s="0" t="s">
        <v>3954</v>
      </c>
      <c r="K616" s="0" t="n">
        <f aca="false">IF(M616=2,"",IF(ISNUMBER(SEARCH("rata-rata:",'Offshore - Melbourne'!N17)),VALUE(MID('Offshore - Melbourne'!N17,SEARCH("rata-rata:",'Offshore - Melbourne'!N17)+11,FIND(";",'Offshore - Melbourne'!N17&amp;";",SEARCH("rata-rata:",'Offshore - Melbourne'!N17))-SEARCH("rata-rata:",'Offshore - Melbourne'!N17)-11)),IF('Offshore - Melbourne'!D17="Semester",'Offshore - Melbourne'!E17*2,IF('Offshore - Melbourne'!D17="Trimester",'Offshore - Melbourne'!E17*3,IF('Offshore - Melbourne'!D17="Term",'Offshore - Melbourne'!E17*4,IF('Offshore - Melbourne'!D17="Unit",'Offshore - Melbourne'!E17*8,""))))))</f>
        <v>9200</v>
      </c>
      <c r="L616" s="0" t="n">
        <f aca="false">IF(AND(ISNUMBER('Offshore - Melbourne'!E17),ISNUMBER(K616),ISNUMBER('Offshore - Melbourne'!F17),ISNUMBER('Offshore - Melbourne'!G17),OR('Offshore - Melbourne'!F17&lt;&gt;0,ISNUMBER(SEARCH("Material 0 terverifikasi",'Offshore - Melbourne'!N17))),OR('Offshore - Melbourne'!G17&lt;&gt;0,ISNUMBER(SEARCH("Enrolment 0 terverifikasi",'Offshore - Melbourne'!N17)))),1,0)</f>
        <v>1</v>
      </c>
      <c r="M616" s="0" t="n">
        <f aca="false">IF(OR('Offshore - Melbourne'!E17="",ISNUMBER(SEARCH("BSB80120",'Offshore - Melbourne'!B17&amp;'Offshore - Melbourne'!N17)),ISNUMBER(SEARCH("Management (Learning)",'Offshore - Melbourne'!B17))),2,IF(ISNUMBER(SEARCH("CEK:",'Offshore - Melbourne'!N17)),1,0))</f>
        <v>0</v>
      </c>
    </row>
    <row r="617" customFormat="false" ht="28.35" hidden="false" customHeight="false" outlineLevel="0" collapsed="false">
      <c r="A617" s="63" t="s">
        <v>3544</v>
      </c>
      <c r="B617" s="64" t="s">
        <v>3923</v>
      </c>
      <c r="C617" s="63" t="s">
        <v>41</v>
      </c>
      <c r="D617" s="64" t="str">
        <f aca="false">TRIM(LEFT('Offshore - Melbourne'!A53,FIND(CHAR(10),'Offshore - Melbourne'!A53&amp;CHAR(10))-1))</f>
        <v>Albright Institute of Business and Language (AIBL)</v>
      </c>
      <c r="E617" s="63" t="str">
        <f aca="false">'Offshore - Melbourne'!C56&amp;""</f>
        <v>2 years</v>
      </c>
      <c r="F617" s="63" t="str">
        <f aca="false">IF('Offshore - Melbourne'!D56="","Belum tercatat",'Offshore - Melbourne'!D56)</f>
        <v>Term</v>
      </c>
      <c r="G617" s="65" t="n">
        <f aca="false">IF('Offshore - Melbourne'!E56="","-",'Offshore - Melbourne'!E56)</f>
        <v>2315</v>
      </c>
      <c r="H617" s="63" t="n">
        <f aca="false">IF(ISNUMBER(K617),COUNTIFS($J$6:$J$1854,J617,$K$6:$K$1854,"&lt;"&amp;K617)+1,"-")</f>
        <v>5</v>
      </c>
      <c r="I617" s="64" t="str">
        <f aca="false">IF('Offshore - Melbourne'!E56="","Harga belum tersedia - hubungi konsultan TEG",IF(M617=2,"Saat ini tidak menerima pendaftaran siswa internasional baru",IF(M617=1,"Harga perlu dikonfirmasi ke sekolah"&amp;IF(""="","","; "&amp;""),"")))</f>
        <v/>
      </c>
      <c r="J617" s="0" t="s">
        <v>3954</v>
      </c>
      <c r="K617" s="0" t="n">
        <f aca="false">IF(M617=2,"",IF(ISNUMBER(SEARCH("rata-rata:",'Offshore - Melbourne'!N56)),VALUE(MID('Offshore - Melbourne'!N56,SEARCH("rata-rata:",'Offshore - Melbourne'!N56)+11,FIND(";",'Offshore - Melbourne'!N56&amp;";",SEARCH("rata-rata:",'Offshore - Melbourne'!N56))-SEARCH("rata-rata:",'Offshore - Melbourne'!N56)-11)),IF('Offshore - Melbourne'!D56="Semester",'Offshore - Melbourne'!E56*2,IF('Offshore - Melbourne'!D56="Trimester",'Offshore - Melbourne'!E56*3,IF('Offshore - Melbourne'!D56="Term",'Offshore - Melbourne'!E56*4,IF('Offshore - Melbourne'!D56="Unit",'Offshore - Melbourne'!E56*8,""))))))</f>
        <v>9260</v>
      </c>
      <c r="L617" s="0" t="n">
        <f aca="false">IF(AND(ISNUMBER('Offshore - Melbourne'!E56),ISNUMBER(K617),ISNUMBER('Offshore - Melbourne'!F56),ISNUMBER('Offshore - Melbourne'!G56),OR('Offshore - Melbourne'!F56&lt;&gt;0,ISNUMBER(SEARCH("Material 0 terverifikasi",'Offshore - Melbourne'!N56))),OR('Offshore - Melbourne'!G56&lt;&gt;0,ISNUMBER(SEARCH("Enrolment 0 terverifikasi",'Offshore - Melbourne'!N56)))),1,0)</f>
        <v>1</v>
      </c>
      <c r="M617" s="0" t="n">
        <f aca="false">IF(OR('Offshore - Melbourne'!E56="",ISNUMBER(SEARCH("BSB80120",'Offshore - Melbourne'!B56&amp;'Offshore - Melbourne'!N56)),ISNUMBER(SEARCH("Management (Learning)",'Offshore - Melbourne'!B56))),2,IF(ISNUMBER(SEARCH("CEK:",'Offshore - Melbourne'!N56)),1,0))</f>
        <v>0</v>
      </c>
    </row>
    <row r="618" customFormat="false" ht="28.35" hidden="false" customHeight="false" outlineLevel="0" collapsed="false">
      <c r="A618" s="63" t="s">
        <v>3544</v>
      </c>
      <c r="B618" s="64" t="s">
        <v>3923</v>
      </c>
      <c r="C618" s="63" t="s">
        <v>41</v>
      </c>
      <c r="D618" s="64" t="str">
        <f aca="false">TRIM(LEFT('Offshore - Melbourne'!A370,FIND(CHAR(10),'Offshore - Melbourne'!A370&amp;CHAR(10))-1))</f>
        <v>Opulence College</v>
      </c>
      <c r="E618" s="63" t="str">
        <f aca="false">'Offshore - Melbourne'!C370&amp;""</f>
        <v>2,5 years</v>
      </c>
      <c r="F618" s="63" t="str">
        <f aca="false">IF('Offshore - Melbourne'!D370="","Belum tercatat",'Offshore - Melbourne'!D370)</f>
        <v>Term</v>
      </c>
      <c r="G618" s="65" t="n">
        <f aca="false">IF('Offshore - Melbourne'!E370="","-",'Offshore - Melbourne'!E370)</f>
        <v>2600</v>
      </c>
      <c r="H618" s="63" t="n">
        <f aca="false">IF(ISNUMBER(K618),COUNTIFS($J$6:$J$1854,J618,$K$6:$K$1854,"&lt;"&amp;K618)+1,"-")</f>
        <v>6</v>
      </c>
      <c r="I618" s="64" t="str">
        <f aca="false">IF('Offshore - Melbourne'!E370="","Harga belum tersedia - hubungi konsultan TEG",IF(M618=2,"Saat ini tidak menerima pendaftaran siswa internasional baru",IF(M618=1,"Harga perlu dikonfirmasi ke sekolah"&amp;IF(""="","","; "&amp;""),"")))</f>
        <v/>
      </c>
      <c r="J618" s="0" t="s">
        <v>3954</v>
      </c>
      <c r="K618" s="0" t="n">
        <f aca="false">IF(M618=2,"",IF(ISNUMBER(SEARCH("rata-rata:",'Offshore - Melbourne'!N370)),VALUE(MID('Offshore - Melbourne'!N370,SEARCH("rata-rata:",'Offshore - Melbourne'!N370)+11,FIND(";",'Offshore - Melbourne'!N370&amp;";",SEARCH("rata-rata:",'Offshore - Melbourne'!N370))-SEARCH("rata-rata:",'Offshore - Melbourne'!N370)-11)),IF('Offshore - Melbourne'!D370="Semester",'Offshore - Melbourne'!E370*2,IF('Offshore - Melbourne'!D370="Trimester",'Offshore - Melbourne'!E370*3,IF('Offshore - Melbourne'!D370="Term",'Offshore - Melbourne'!E370*4,IF('Offshore - Melbourne'!D370="Unit",'Offshore - Melbourne'!E370*8,""))))))</f>
        <v>10400</v>
      </c>
      <c r="L618" s="0" t="n">
        <f aca="false">IF(AND(ISNUMBER('Offshore - Melbourne'!E370),ISNUMBER(K618),ISNUMBER('Offshore - Melbourne'!F370),ISNUMBER('Offshore - Melbourne'!G370),OR('Offshore - Melbourne'!F370&lt;&gt;0,ISNUMBER(SEARCH("Material 0 terverifikasi",'Offshore - Melbourne'!N370))),OR('Offshore - Melbourne'!G370&lt;&gt;0,ISNUMBER(SEARCH("Enrolment 0 terverifikasi",'Offshore - Melbourne'!N370)))),1,0)</f>
        <v>1</v>
      </c>
      <c r="M618" s="0" t="n">
        <f aca="false">IF(OR('Offshore - Melbourne'!E370="",ISNUMBER(SEARCH("BSB80120",'Offshore - Melbourne'!B370&amp;'Offshore - Melbourne'!N370)),ISNUMBER(SEARCH("Management (Learning)",'Offshore - Melbourne'!B370))),2,IF(ISNUMBER(SEARCH("CEK:",'Offshore - Melbourne'!N370)),1,0))</f>
        <v>0</v>
      </c>
    </row>
    <row r="619" customFormat="false" ht="28.35" hidden="false" customHeight="false" outlineLevel="0" collapsed="false">
      <c r="A619" s="63" t="s">
        <v>3544</v>
      </c>
      <c r="B619" s="64" t="s">
        <v>3923</v>
      </c>
      <c r="C619" s="63" t="s">
        <v>41</v>
      </c>
      <c r="D619" s="64" t="str">
        <f aca="false">TRIM(LEFT('Offshore - Melbourne'!A345,FIND(CHAR(10),'Offshore - Melbourne'!A345&amp;CHAR(10))-1))</f>
        <v>Menzies Institute of Technology</v>
      </c>
      <c r="E619" s="63" t="str">
        <f aca="false">'Offshore - Melbourne'!C346&amp;""</f>
        <v>2,5 years</v>
      </c>
      <c r="F619" s="63" t="str">
        <f aca="false">IF('Offshore - Melbourne'!D346="","Belum tercatat",'Offshore - Melbourne'!D346)</f>
        <v>Term</v>
      </c>
      <c r="G619" s="65" t="n">
        <f aca="false">IF('Offshore - Melbourne'!E346="","-",'Offshore - Melbourne'!E346)</f>
        <v>2625</v>
      </c>
      <c r="H619" s="63" t="n">
        <f aca="false">IF(ISNUMBER(K619),COUNTIFS($J$6:$J$1854,J619,$K$6:$K$1854,"&lt;"&amp;K619)+1,"-")</f>
        <v>7</v>
      </c>
      <c r="I619" s="64" t="str">
        <f aca="false">IF('Offshore - Melbourne'!E346="","Harga belum tersedia - hubungi konsultan TEG",IF(M619=2,"Saat ini tidak menerima pendaftaran siswa internasional baru",IF(M619=1,"Harga perlu dikonfirmasi ke sekolah"&amp;IF(""="","","; "&amp;""),"")))</f>
        <v>Harga perlu dikonfirmasi ke sekolah</v>
      </c>
      <c r="J619" s="0" t="s">
        <v>3954</v>
      </c>
      <c r="K619" s="0" t="n">
        <f aca="false">IF(M619=2,"",IF(ISNUMBER(SEARCH("rata-rata:",'Offshore - Melbourne'!N346)),VALUE(MID('Offshore - Melbourne'!N346,SEARCH("rata-rata:",'Offshore - Melbourne'!N346)+11,FIND(";",'Offshore - Melbourne'!N346&amp;";",SEARCH("rata-rata:",'Offshore - Melbourne'!N346))-SEARCH("rata-rata:",'Offshore - Melbourne'!N346)-11)),IF('Offshore - Melbourne'!D346="Semester",'Offshore - Melbourne'!E346*2,IF('Offshore - Melbourne'!D346="Trimester",'Offshore - Melbourne'!E346*3,IF('Offshore - Melbourne'!D346="Term",'Offshore - Melbourne'!E346*4,IF('Offshore - Melbourne'!D346="Unit",'Offshore - Melbourne'!E346*8,""))))))</f>
        <v>10500</v>
      </c>
      <c r="L619" s="0" t="n">
        <f aca="false">IF(AND(ISNUMBER('Offshore - Melbourne'!E346),ISNUMBER(K619),ISNUMBER('Offshore - Melbourne'!F346),ISNUMBER('Offshore - Melbourne'!G346),OR('Offshore - Melbourne'!F346&lt;&gt;0,ISNUMBER(SEARCH("Material 0 terverifikasi",'Offshore - Melbourne'!N346))),OR('Offshore - Melbourne'!G346&lt;&gt;0,ISNUMBER(SEARCH("Enrolment 0 terverifikasi",'Offshore - Melbourne'!N346)))),1,0)</f>
        <v>1</v>
      </c>
      <c r="M619" s="0" t="n">
        <f aca="false">IF(OR('Offshore - Melbourne'!E346="",ISNUMBER(SEARCH("BSB80120",'Offshore - Melbourne'!B346&amp;'Offshore - Melbourne'!N346)),ISNUMBER(SEARCH("Management (Learning)",'Offshore - Melbourne'!B346))),2,IF(ISNUMBER(SEARCH("CEK:",'Offshore - Melbourne'!N346)),1,0))</f>
        <v>1</v>
      </c>
    </row>
    <row r="620" customFormat="false" ht="28.35" hidden="false" customHeight="false" outlineLevel="0" collapsed="false">
      <c r="A620" s="63" t="s">
        <v>3544</v>
      </c>
      <c r="B620" s="64" t="s">
        <v>3923</v>
      </c>
      <c r="C620" s="63" t="s">
        <v>41</v>
      </c>
      <c r="D620" s="64" t="str">
        <f aca="false">TRIM(LEFT('Offshore - Melbourne'!A287,FIND(CHAR(10),'Offshore - Melbourne'!A287&amp;CHAR(10))-1))</f>
        <v>INUS / ZOI (Nuture Education Group)</v>
      </c>
      <c r="E620" s="63" t="str">
        <f aca="false">'Offshore - Melbourne'!C287&amp;""</f>
        <v>2 years</v>
      </c>
      <c r="F620" s="63" t="str">
        <f aca="false">IF('Offshore - Melbourne'!D287="","Belum tercatat",'Offshore - Melbourne'!D287)</f>
        <v>Term</v>
      </c>
      <c r="G620" s="65" t="n">
        <f aca="false">IF('Offshore - Melbourne'!E287="","-",'Offshore - Melbourne'!E287)</f>
        <v>2750</v>
      </c>
      <c r="H620" s="63" t="n">
        <f aca="false">IF(ISNUMBER(K620),COUNTIFS($J$6:$J$1854,J620,$K$6:$K$1854,"&lt;"&amp;K620)+1,"-")</f>
        <v>8</v>
      </c>
      <c r="I620" s="64" t="str">
        <f aca="false">IF('Offshore - Melbourne'!E287="","Harga belum tersedia - hubungi konsultan TEG",IF(M620=2,"Saat ini tidak menerima pendaftaran siswa internasional baru",IF(M620=1,"Harga perlu dikonfirmasi ke sekolah"&amp;IF(""="","","; "&amp;""),"")))</f>
        <v>Harga perlu dikonfirmasi ke sekolah</v>
      </c>
      <c r="J620" s="0" t="s">
        <v>3954</v>
      </c>
      <c r="K620" s="0" t="n">
        <f aca="false">IF(M620=2,"",IF(ISNUMBER(SEARCH("rata-rata:",'Offshore - Melbourne'!N287)),VALUE(MID('Offshore - Melbourne'!N287,SEARCH("rata-rata:",'Offshore - Melbourne'!N287)+11,FIND(";",'Offshore - Melbourne'!N287&amp;";",SEARCH("rata-rata:",'Offshore - Melbourne'!N287))-SEARCH("rata-rata:",'Offshore - Melbourne'!N287)-11)),IF('Offshore - Melbourne'!D287="Semester",'Offshore - Melbourne'!E287*2,IF('Offshore - Melbourne'!D287="Trimester",'Offshore - Melbourne'!E287*3,IF('Offshore - Melbourne'!D287="Term",'Offshore - Melbourne'!E287*4,IF('Offshore - Melbourne'!D287="Unit",'Offshore - Melbourne'!E287*8,""))))))</f>
        <v>11000</v>
      </c>
      <c r="L620" s="0" t="n">
        <f aca="false">IF(AND(ISNUMBER('Offshore - Melbourne'!E287),ISNUMBER(K620),ISNUMBER('Offshore - Melbourne'!F287),ISNUMBER('Offshore - Melbourne'!G287),OR('Offshore - Melbourne'!F287&lt;&gt;0,ISNUMBER(SEARCH("Material 0 terverifikasi",'Offshore - Melbourne'!N287))),OR('Offshore - Melbourne'!G287&lt;&gt;0,ISNUMBER(SEARCH("Enrolment 0 terverifikasi",'Offshore - Melbourne'!N287)))),1,0)</f>
        <v>1</v>
      </c>
      <c r="M620" s="0" t="n">
        <f aca="false">IF(OR('Offshore - Melbourne'!E287="",ISNUMBER(SEARCH("BSB80120",'Offshore - Melbourne'!B287&amp;'Offshore - Melbourne'!N287)),ISNUMBER(SEARCH("Management (Learning)",'Offshore - Melbourne'!B287))),2,IF(ISNUMBER(SEARCH("CEK:",'Offshore - Melbourne'!N287)),1,0))</f>
        <v>1</v>
      </c>
    </row>
    <row r="621" customFormat="false" ht="28.35" hidden="false" customHeight="false" outlineLevel="0" collapsed="false">
      <c r="A621" s="63" t="s">
        <v>3544</v>
      </c>
      <c r="B621" s="64" t="s">
        <v>3923</v>
      </c>
      <c r="C621" s="63" t="s">
        <v>41</v>
      </c>
      <c r="D621" s="64" t="str">
        <f aca="false">TRIM(LEFT('Offshore - Melbourne'!A206,FIND(CHAR(10),'Offshore - Melbourne'!A206&amp;CHAR(10))-1))</f>
        <v>Australian Sovereign College (AuSC)</v>
      </c>
      <c r="E621" s="63" t="str">
        <f aca="false">'Offshore - Melbourne'!C209&amp;""</f>
        <v>3 years</v>
      </c>
      <c r="F621" s="63" t="str">
        <f aca="false">IF('Offshore - Melbourne'!D209="","Belum tercatat",'Offshore - Melbourne'!D209)</f>
        <v>Term</v>
      </c>
      <c r="G621" s="65" t="n">
        <f aca="false">IF('Offshore - Melbourne'!E209="","-",'Offshore - Melbourne'!E209)</f>
        <v>2850</v>
      </c>
      <c r="H621" s="63" t="n">
        <f aca="false">IF(ISNUMBER(K621),COUNTIFS($J$6:$J$1854,J621,$K$6:$K$1854,"&lt;"&amp;K621)+1,"-")</f>
        <v>9</v>
      </c>
      <c r="I621" s="64" t="str">
        <f aca="false">IF('Offshore - Melbourne'!E209="","Harga belum tersedia - hubungi konsultan TEG",IF(M621=2,"Saat ini tidak menerima pendaftaran siswa internasional baru",IF(M621=1,"Harga perlu dikonfirmasi ke sekolah"&amp;IF(""="","","; "&amp;""),"")))</f>
        <v/>
      </c>
      <c r="J621" s="0" t="s">
        <v>3954</v>
      </c>
      <c r="K621" s="0" t="n">
        <f aca="false">IF(M621=2,"",IF(ISNUMBER(SEARCH("rata-rata:",'Offshore - Melbourne'!N209)),VALUE(MID('Offshore - Melbourne'!N209,SEARCH("rata-rata:",'Offshore - Melbourne'!N209)+11,FIND(";",'Offshore - Melbourne'!N209&amp;";",SEARCH("rata-rata:",'Offshore - Melbourne'!N209))-SEARCH("rata-rata:",'Offshore - Melbourne'!N209)-11)),IF('Offshore - Melbourne'!D209="Semester",'Offshore - Melbourne'!E209*2,IF('Offshore - Melbourne'!D209="Trimester",'Offshore - Melbourne'!E209*3,IF('Offshore - Melbourne'!D209="Term",'Offshore - Melbourne'!E209*4,IF('Offshore - Melbourne'!D209="Unit",'Offshore - Melbourne'!E209*8,""))))))</f>
        <v>11400</v>
      </c>
      <c r="L621" s="0" t="n">
        <f aca="false">IF(AND(ISNUMBER('Offshore - Melbourne'!E209),ISNUMBER(K621),ISNUMBER('Offshore - Melbourne'!F209),ISNUMBER('Offshore - Melbourne'!G209),OR('Offshore - Melbourne'!F209&lt;&gt;0,ISNUMBER(SEARCH("Material 0 terverifikasi",'Offshore - Melbourne'!N209))),OR('Offshore - Melbourne'!G209&lt;&gt;0,ISNUMBER(SEARCH("Enrolment 0 terverifikasi",'Offshore - Melbourne'!N209)))),1,0)</f>
        <v>1</v>
      </c>
      <c r="M621" s="0" t="n">
        <f aca="false">IF(OR('Offshore - Melbourne'!E209="",ISNUMBER(SEARCH("BSB80120",'Offshore - Melbourne'!B209&amp;'Offshore - Melbourne'!N209)),ISNUMBER(SEARCH("Management (Learning)",'Offshore - Melbourne'!B209))),2,IF(ISNUMBER(SEARCH("CEK:",'Offshore - Melbourne'!N209)),1,0))</f>
        <v>0</v>
      </c>
    </row>
    <row r="622" customFormat="false" ht="28.35" hidden="false" customHeight="false" outlineLevel="0" collapsed="false">
      <c r="A622" s="63" t="s">
        <v>3544</v>
      </c>
      <c r="B622" s="64" t="s">
        <v>3923</v>
      </c>
      <c r="C622" s="63" t="s">
        <v>41</v>
      </c>
      <c r="D622" s="64" t="str">
        <f aca="false">TRIM(LEFT('Offshore - Melbourne'!A245,FIND(CHAR(10),'Offshore - Melbourne'!A245&amp;CHAR(10))-1))</f>
        <v>Dalton College</v>
      </c>
      <c r="E622" s="63" t="str">
        <f aca="false">'Offshore - Melbourne'!C251&amp;""</f>
        <v>2 years</v>
      </c>
      <c r="F622" s="63" t="str">
        <f aca="false">IF('Offshore - Melbourne'!D251="","Belum tercatat",'Offshore - Melbourne'!D251)</f>
        <v>Term</v>
      </c>
      <c r="G622" s="65" t="n">
        <f aca="false">IF('Offshore - Melbourne'!E251="","-",'Offshore - Melbourne'!E251)</f>
        <v>2875</v>
      </c>
      <c r="H622" s="63" t="n">
        <f aca="false">IF(ISNUMBER(K622),COUNTIFS($J$6:$J$1854,J622,$K$6:$K$1854,"&lt;"&amp;K622)+1,"-")</f>
        <v>10</v>
      </c>
      <c r="I622" s="64" t="str">
        <f aca="false">IF('Offshore - Melbourne'!E251="","Harga belum tersedia - hubungi konsultan TEG",IF(M622=2,"Saat ini tidak menerima pendaftaran siswa internasional baru",IF(M622=1,"Harga perlu dikonfirmasi ke sekolah"&amp;IF(""="","","; "&amp;""),"")))</f>
        <v/>
      </c>
      <c r="J622" s="0" t="s">
        <v>3954</v>
      </c>
      <c r="K622" s="0" t="n">
        <f aca="false">IF(M622=2,"",IF(ISNUMBER(SEARCH("rata-rata:",'Offshore - Melbourne'!N251)),VALUE(MID('Offshore - Melbourne'!N251,SEARCH("rata-rata:",'Offshore - Melbourne'!N251)+11,FIND(";",'Offshore - Melbourne'!N251&amp;";",SEARCH("rata-rata:",'Offshore - Melbourne'!N251))-SEARCH("rata-rata:",'Offshore - Melbourne'!N251)-11)),IF('Offshore - Melbourne'!D251="Semester",'Offshore - Melbourne'!E251*2,IF('Offshore - Melbourne'!D251="Trimester",'Offshore - Melbourne'!E251*3,IF('Offshore - Melbourne'!D251="Term",'Offshore - Melbourne'!E251*4,IF('Offshore - Melbourne'!D251="Unit",'Offshore - Melbourne'!E251*8,""))))))</f>
        <v>11500</v>
      </c>
      <c r="L622" s="0" t="n">
        <f aca="false">IF(AND(ISNUMBER('Offshore - Melbourne'!E251),ISNUMBER(K622),ISNUMBER('Offshore - Melbourne'!F251),ISNUMBER('Offshore - Melbourne'!G251),OR('Offshore - Melbourne'!F251&lt;&gt;0,ISNUMBER(SEARCH("Material 0 terverifikasi",'Offshore - Melbourne'!N251))),OR('Offshore - Melbourne'!G251&lt;&gt;0,ISNUMBER(SEARCH("Enrolment 0 terverifikasi",'Offshore - Melbourne'!N251)))),1,0)</f>
        <v>1</v>
      </c>
      <c r="M622" s="0" t="n">
        <f aca="false">IF(OR('Offshore - Melbourne'!E251="",ISNUMBER(SEARCH("BSB80120",'Offshore - Melbourne'!B251&amp;'Offshore - Melbourne'!N251)),ISNUMBER(SEARCH("Management (Learning)",'Offshore - Melbourne'!B251))),2,IF(ISNUMBER(SEARCH("CEK:",'Offshore - Melbourne'!N251)),1,0))</f>
        <v>0</v>
      </c>
    </row>
    <row r="623" customFormat="false" ht="28.35" hidden="false" customHeight="false" outlineLevel="0" collapsed="false">
      <c r="A623" s="63" t="s">
        <v>3544</v>
      </c>
      <c r="B623" s="64" t="s">
        <v>3923</v>
      </c>
      <c r="C623" s="63" t="s">
        <v>41</v>
      </c>
      <c r="D623" s="64" t="str">
        <f aca="false">TRIM(LEFT('Offshore - Melbourne'!A339,FIND(CHAR(10),'Offshore - Melbourne'!A339&amp;CHAR(10))-1))</f>
        <v>Melbourne Metro College</v>
      </c>
      <c r="E623" s="63" t="str">
        <f aca="false">'Offshore - Melbourne'!C342&amp;""</f>
        <v>3 years</v>
      </c>
      <c r="F623" s="63" t="str">
        <f aca="false">IF('Offshore - Melbourne'!D342="","Belum tercatat",'Offshore - Melbourne'!D342)</f>
        <v>Term</v>
      </c>
      <c r="G623" s="65" t="n">
        <f aca="false">IF('Offshore - Melbourne'!E342="","-",'Offshore - Melbourne'!E342)</f>
        <v>2875</v>
      </c>
      <c r="H623" s="63" t="n">
        <f aca="false">IF(ISNUMBER(K623),COUNTIFS($J$6:$J$1854,J623,$K$6:$K$1854,"&lt;"&amp;K623)+1,"-")</f>
        <v>10</v>
      </c>
      <c r="I623" s="64" t="str">
        <f aca="false">IF('Offshore - Melbourne'!E342="","Harga belum tersedia - hubungi konsultan TEG",IF(M623=2,"Saat ini tidak menerima pendaftaran siswa internasional baru",IF(M623=1,"Harga perlu dikonfirmasi ke sekolah"&amp;IF(""="","","; "&amp;""),"")))</f>
        <v/>
      </c>
      <c r="J623" s="0" t="s">
        <v>3954</v>
      </c>
      <c r="K623" s="0" t="n">
        <f aca="false">IF(M623=2,"",IF(ISNUMBER(SEARCH("rata-rata:",'Offshore - Melbourne'!N342)),VALUE(MID('Offshore - Melbourne'!N342,SEARCH("rata-rata:",'Offshore - Melbourne'!N342)+11,FIND(";",'Offshore - Melbourne'!N342&amp;";",SEARCH("rata-rata:",'Offshore - Melbourne'!N342))-SEARCH("rata-rata:",'Offshore - Melbourne'!N342)-11)),IF('Offshore - Melbourne'!D342="Semester",'Offshore - Melbourne'!E342*2,IF('Offshore - Melbourne'!D342="Trimester",'Offshore - Melbourne'!E342*3,IF('Offshore - Melbourne'!D342="Term",'Offshore - Melbourne'!E342*4,IF('Offshore - Melbourne'!D342="Unit",'Offshore - Melbourne'!E342*8,""))))))</f>
        <v>11500</v>
      </c>
      <c r="L623" s="0" t="n">
        <f aca="false">IF(AND(ISNUMBER('Offshore - Melbourne'!E342),ISNUMBER(K623),ISNUMBER('Offshore - Melbourne'!F342),ISNUMBER('Offshore - Melbourne'!G342),OR('Offshore - Melbourne'!F342&lt;&gt;0,ISNUMBER(SEARCH("Material 0 terverifikasi",'Offshore - Melbourne'!N342))),OR('Offshore - Melbourne'!G342&lt;&gt;0,ISNUMBER(SEARCH("Enrolment 0 terverifikasi",'Offshore - Melbourne'!N342)))),1,0)</f>
        <v>1</v>
      </c>
      <c r="M623" s="0" t="n">
        <f aca="false">IF(OR('Offshore - Melbourne'!E342="",ISNUMBER(SEARCH("BSB80120",'Offshore - Melbourne'!B342&amp;'Offshore - Melbourne'!N342)),ISNUMBER(SEARCH("Management (Learning)",'Offshore - Melbourne'!B342))),2,IF(ISNUMBER(SEARCH("CEK:",'Offshore - Melbourne'!N342)),1,0))</f>
        <v>0</v>
      </c>
    </row>
    <row r="624" customFormat="false" ht="28.35" hidden="false" customHeight="false" outlineLevel="0" collapsed="false">
      <c r="A624" s="63" t="s">
        <v>3544</v>
      </c>
      <c r="B624" s="64" t="s">
        <v>3923</v>
      </c>
      <c r="C624" s="63" t="s">
        <v>41</v>
      </c>
      <c r="D624" s="64" t="str">
        <f aca="false">TRIM(LEFT('Offshore - Melbourne'!A351,FIND(CHAR(10),'Offshore - Melbourne'!A351&amp;CHAR(10))-1))</f>
        <v>National Academy of Professional Studies (NAPS)</v>
      </c>
      <c r="E624" s="63" t="str">
        <f aca="false">'Offshore - Melbourne'!C359&amp;""</f>
        <v>2 years</v>
      </c>
      <c r="F624" s="63" t="str">
        <f aca="false">IF('Offshore - Melbourne'!D359="","Belum tercatat",'Offshore - Melbourne'!D359)</f>
        <v>Term</v>
      </c>
      <c r="G624" s="65" t="n">
        <f aca="false">IF('Offshore - Melbourne'!E359="","-",'Offshore - Melbourne'!E359)</f>
        <v>4500</v>
      </c>
      <c r="H624" s="63" t="n">
        <f aca="false">IF(ISNUMBER(K624),COUNTIFS($J$6:$J$1854,J624,$K$6:$K$1854,"&lt;"&amp;K624)+1,"-")</f>
        <v>12</v>
      </c>
      <c r="I624" s="64" t="str">
        <f aca="false">IF('Offshore - Melbourne'!E359="","Harga belum tersedia - hubungi konsultan TEG",IF(M624=2,"Saat ini tidak menerima pendaftaran siswa internasional baru",IF(M624=1,"Harga perlu dikonfirmasi ke sekolah"&amp;IF(""="","","; "&amp;""),"")))</f>
        <v>Harga perlu dikonfirmasi ke sekolah</v>
      </c>
      <c r="J624" s="0" t="s">
        <v>3954</v>
      </c>
      <c r="K624" s="0" t="n">
        <f aca="false">IF(M624=2,"",IF(ISNUMBER(SEARCH("rata-rata:",'Offshore - Melbourne'!N359)),VALUE(MID('Offshore - Melbourne'!N359,SEARCH("rata-rata:",'Offshore - Melbourne'!N359)+11,FIND(";",'Offshore - Melbourne'!N359&amp;";",SEARCH("rata-rata:",'Offshore - Melbourne'!N359))-SEARCH("rata-rata:",'Offshore - Melbourne'!N359)-11)),IF('Offshore - Melbourne'!D359="Semester",'Offshore - Melbourne'!E359*2,IF('Offshore - Melbourne'!D359="Trimester",'Offshore - Melbourne'!E359*3,IF('Offshore - Melbourne'!D359="Term",'Offshore - Melbourne'!E359*4,IF('Offshore - Melbourne'!D359="Unit",'Offshore - Melbourne'!E359*8,""))))))</f>
        <v>18000</v>
      </c>
      <c r="L624" s="0" t="n">
        <f aca="false">IF(AND(ISNUMBER('Offshore - Melbourne'!E359),ISNUMBER(K624),ISNUMBER('Offshore - Melbourne'!F359),ISNUMBER('Offshore - Melbourne'!G359),OR('Offshore - Melbourne'!F359&lt;&gt;0,ISNUMBER(SEARCH("Material 0 terverifikasi",'Offshore - Melbourne'!N359))),OR('Offshore - Melbourne'!G359&lt;&gt;0,ISNUMBER(SEARCH("Enrolment 0 terverifikasi",'Offshore - Melbourne'!N359)))),1,0)</f>
        <v>1</v>
      </c>
      <c r="M624" s="0" t="n">
        <f aca="false">IF(OR('Offshore - Melbourne'!E359="",ISNUMBER(SEARCH("BSB80120",'Offshore - Melbourne'!B359&amp;'Offshore - Melbourne'!N359)),ISNUMBER(SEARCH("Management (Learning)",'Offshore - Melbourne'!B359))),2,IF(ISNUMBER(SEARCH("CEK:",'Offshore - Melbourne'!N359)),1,0))</f>
        <v>1</v>
      </c>
    </row>
    <row r="625" customFormat="false" ht="28.35" hidden="false" customHeight="false" outlineLevel="0" collapsed="false">
      <c r="A625" s="63" t="s">
        <v>3544</v>
      </c>
      <c r="B625" s="64" t="s">
        <v>3923</v>
      </c>
      <c r="C625" s="63" t="s">
        <v>41</v>
      </c>
      <c r="D625" s="64" t="str">
        <f aca="false">TRIM(LEFT('Offshore - Melbourne'!A95,FIND(CHAR(10),'Offshore - Melbourne'!A95&amp;CHAR(10))-1))</f>
        <v>Australian Catholic University (ACU)</v>
      </c>
      <c r="E625" s="63" t="str">
        <f aca="false">'Offshore - Melbourne'!C197&amp;""</f>
        <v>1 year</v>
      </c>
      <c r="F625" s="63" t="str">
        <f aca="false">IF('Offshore - Melbourne'!D197="","Belum tercatat",'Offshore - Melbourne'!D197)</f>
        <v>Term</v>
      </c>
      <c r="G625" s="65" t="n">
        <f aca="false">IF('Offshore - Melbourne'!E197="","-",'Offshore - Melbourne'!E197)</f>
        <v>8906</v>
      </c>
      <c r="H625" s="63" t="n">
        <f aca="false">IF(ISNUMBER(K625),COUNTIFS($J$6:$J$1854,J625,$K$6:$K$1854,"&lt;"&amp;K625)+1,"-")</f>
        <v>13</v>
      </c>
      <c r="I625" s="64" t="str">
        <f aca="false">IF('Offshore - Melbourne'!E197="","Harga belum tersedia - hubungi konsultan TEG",IF(M625=2,"Saat ini tidak menerima pendaftaran siswa internasional baru",IF(M625=1,"Harga perlu dikonfirmasi ke sekolah"&amp;IF(""="","","; "&amp;""),"")))</f>
        <v/>
      </c>
      <c r="J625" s="0" t="s">
        <v>3954</v>
      </c>
      <c r="K625" s="0" t="n">
        <f aca="false">IF(M625=2,"",IF(ISNUMBER(SEARCH("rata-rata:",'Offshore - Melbourne'!N197)),VALUE(MID('Offshore - Melbourne'!N197,SEARCH("rata-rata:",'Offshore - Melbourne'!N197)+11,FIND(";",'Offshore - Melbourne'!N197&amp;";",SEARCH("rata-rata:",'Offshore - Melbourne'!N197))-SEARCH("rata-rata:",'Offshore - Melbourne'!N197)-11)),IF('Offshore - Melbourne'!D197="Semester",'Offshore - Melbourne'!E197*2,IF('Offshore - Melbourne'!D197="Trimester",'Offshore - Melbourne'!E197*3,IF('Offshore - Melbourne'!D197="Term",'Offshore - Melbourne'!E197*4,IF('Offshore - Melbourne'!D197="Unit",'Offshore - Melbourne'!E197*8,""))))))</f>
        <v>35624</v>
      </c>
      <c r="L625" s="0" t="n">
        <f aca="false">IF(AND(ISNUMBER('Offshore - Melbourne'!E197),ISNUMBER(K625),ISNUMBER('Offshore - Melbourne'!F197),ISNUMBER('Offshore - Melbourne'!G197),OR('Offshore - Melbourne'!F197&lt;&gt;0,ISNUMBER(SEARCH("Material 0 terverifikasi",'Offshore - Melbourne'!N197))),OR('Offshore - Melbourne'!G197&lt;&gt;0,ISNUMBER(SEARCH("Enrolment 0 terverifikasi",'Offshore - Melbourne'!N197)))),1,0)</f>
        <v>0</v>
      </c>
      <c r="M625" s="0" t="n">
        <f aca="false">IF(OR('Offshore - Melbourne'!E197="",ISNUMBER(SEARCH("BSB80120",'Offshore - Melbourne'!B197&amp;'Offshore - Melbourne'!N197)),ISNUMBER(SEARCH("Management (Learning)",'Offshore - Melbourne'!B197))),2,IF(ISNUMBER(SEARCH("CEK:",'Offshore - Melbourne'!N197)),1,0))</f>
        <v>0</v>
      </c>
    </row>
    <row r="626" customFormat="false" ht="15" hidden="false" customHeight="false" outlineLevel="0" collapsed="false">
      <c r="A626" s="61" t="s">
        <v>3955</v>
      </c>
      <c r="B626" s="62"/>
      <c r="C626" s="62"/>
      <c r="D626" s="62"/>
      <c r="E626" s="62"/>
      <c r="F626" s="62"/>
      <c r="G626" s="62"/>
      <c r="H626" s="62"/>
      <c r="I626" s="62"/>
    </row>
    <row r="627" customFormat="false" ht="28.35" hidden="false" customHeight="false" outlineLevel="0" collapsed="false">
      <c r="A627" s="63" t="s">
        <v>3544</v>
      </c>
      <c r="B627" s="64" t="s">
        <v>3923</v>
      </c>
      <c r="C627" s="63" t="s">
        <v>42</v>
      </c>
      <c r="D627" s="64" t="str">
        <f aca="false">TRIM(LEFT('Offshore - Melbourne'!A206,FIND(CHAR(10),'Offshore - Melbourne'!A206&amp;CHAR(10))-1))</f>
        <v>Australian Sovereign College (AuSC)</v>
      </c>
      <c r="E627" s="63" t="str">
        <f aca="false">'Offshore - Melbourne'!C211&amp;""</f>
        <v>3 years</v>
      </c>
      <c r="F627" s="63" t="str">
        <f aca="false">IF('Offshore - Melbourne'!D211="","Belum tercatat",'Offshore - Melbourne'!D211)</f>
        <v>Term</v>
      </c>
      <c r="G627" s="65" t="n">
        <f aca="false">IF('Offshore - Melbourne'!E211="","-",'Offshore - Melbourne'!E211)</f>
        <v>2750</v>
      </c>
      <c r="H627" s="63" t="n">
        <f aca="false">IF(ISNUMBER(K627),COUNTIFS($J$6:$J$1854,J627,$K$6:$K$1854,"&lt;"&amp;K627)+1,"-")</f>
        <v>1</v>
      </c>
      <c r="I627" s="64" t="str">
        <f aca="false">IF('Offshore - Melbourne'!E211="","Harga belum tersedia - hubungi konsultan TEG",IF(M627=2,"Saat ini tidak menerima pendaftaran siswa internasional baru",IF(M627=1,"Harga perlu dikonfirmasi ke sekolah"&amp;IF(""="","","; "&amp;""),"")))</f>
        <v/>
      </c>
      <c r="J627" s="0" t="s">
        <v>3956</v>
      </c>
      <c r="K627" s="0" t="n">
        <f aca="false">IF(M627=2,"",IF(ISNUMBER(SEARCH("rata-rata:",'Offshore - Melbourne'!N211)),VALUE(MID('Offshore - Melbourne'!N211,SEARCH("rata-rata:",'Offshore - Melbourne'!N211)+11,FIND(";",'Offshore - Melbourne'!N211&amp;";",SEARCH("rata-rata:",'Offshore - Melbourne'!N211))-SEARCH("rata-rata:",'Offshore - Melbourne'!N211)-11)),IF('Offshore - Melbourne'!D211="Semester",'Offshore - Melbourne'!E211*2,IF('Offshore - Melbourne'!D211="Trimester",'Offshore - Melbourne'!E211*3,IF('Offshore - Melbourne'!D211="Term",'Offshore - Melbourne'!E211*4,IF('Offshore - Melbourne'!D211="Unit",'Offshore - Melbourne'!E211*8,""))))))</f>
        <v>11000</v>
      </c>
      <c r="L627" s="0" t="n">
        <f aca="false">IF(AND(ISNUMBER('Offshore - Melbourne'!E211),ISNUMBER(K627),ISNUMBER('Offshore - Melbourne'!F211),ISNUMBER('Offshore - Melbourne'!G211),OR('Offshore - Melbourne'!F211&lt;&gt;0,ISNUMBER(SEARCH("Material 0 terverifikasi",'Offshore - Melbourne'!N211))),OR('Offshore - Melbourne'!G211&lt;&gt;0,ISNUMBER(SEARCH("Enrolment 0 terverifikasi",'Offshore - Melbourne'!N211)))),1,0)</f>
        <v>1</v>
      </c>
      <c r="M627" s="0" t="n">
        <f aca="false">IF(OR('Offshore - Melbourne'!E211="",ISNUMBER(SEARCH("BSB80120",'Offshore - Melbourne'!B211&amp;'Offshore - Melbourne'!N211)),ISNUMBER(SEARCH("Management (Learning)",'Offshore - Melbourne'!B211))),2,IF(ISNUMBER(SEARCH("CEK:",'Offshore - Melbourne'!N211)),1,0))</f>
        <v>0</v>
      </c>
    </row>
    <row r="628" customFormat="false" ht="15" hidden="false" customHeight="false" outlineLevel="0" collapsed="false">
      <c r="A628" s="61" t="s">
        <v>3957</v>
      </c>
      <c r="B628" s="62"/>
      <c r="C628" s="62"/>
      <c r="D628" s="62"/>
      <c r="E628" s="62"/>
      <c r="F628" s="62"/>
      <c r="G628" s="62"/>
      <c r="H628" s="62"/>
      <c r="I628" s="62"/>
    </row>
    <row r="629" customFormat="false" ht="28.35" hidden="false" customHeight="false" outlineLevel="0" collapsed="false">
      <c r="A629" s="63" t="s">
        <v>3544</v>
      </c>
      <c r="B629" s="64" t="s">
        <v>3923</v>
      </c>
      <c r="C629" s="63" t="s">
        <v>43</v>
      </c>
      <c r="D629" s="64" t="str">
        <f aca="false">TRIM(LEFT('Offshore - Melbourne'!A351,FIND(CHAR(10),'Offshore - Melbourne'!A351&amp;CHAR(10))-1))</f>
        <v>National Academy of Professional Studies (NAPS)</v>
      </c>
      <c r="E629" s="63" t="str">
        <f aca="false">'Offshore - Melbourne'!C358&amp;""</f>
        <v>4 years</v>
      </c>
      <c r="F629" s="63" t="str">
        <f aca="false">IF('Offshore - Melbourne'!D358="","Belum tercatat",'Offshore - Melbourne'!D358)</f>
        <v>Term</v>
      </c>
      <c r="G629" s="65" t="n">
        <f aca="false">IF('Offshore - Melbourne'!E358="","-",'Offshore - Melbourne'!E358)</f>
        <v>4500</v>
      </c>
      <c r="H629" s="63" t="n">
        <f aca="false">IF(ISNUMBER(K629),COUNTIFS($J$6:$J$1854,J629,$K$6:$K$1854,"&lt;"&amp;K629)+1,"-")</f>
        <v>1</v>
      </c>
      <c r="I629" s="64" t="str">
        <f aca="false">IF('Offshore - Melbourne'!E358="","Harga belum tersedia - hubungi konsultan TEG",IF(M629=2,"Saat ini tidak menerima pendaftaran siswa internasional baru",IF(M629=1,"Harga perlu dikonfirmasi ke sekolah"&amp;IF(""="","","; "&amp;""),"")))</f>
        <v>Harga perlu dikonfirmasi ke sekolah</v>
      </c>
      <c r="J629" s="0" t="s">
        <v>3958</v>
      </c>
      <c r="K629" s="0" t="n">
        <f aca="false">IF(M629=2,"",IF(ISNUMBER(SEARCH("rata-rata:",'Offshore - Melbourne'!N358)),VALUE(MID('Offshore - Melbourne'!N358,SEARCH("rata-rata:",'Offshore - Melbourne'!N358)+11,FIND(";",'Offshore - Melbourne'!N358&amp;";",SEARCH("rata-rata:",'Offshore - Melbourne'!N358))-SEARCH("rata-rata:",'Offshore - Melbourne'!N358)-11)),IF('Offshore - Melbourne'!D358="Semester",'Offshore - Melbourne'!E358*2,IF('Offshore - Melbourne'!D358="Trimester",'Offshore - Melbourne'!E358*3,IF('Offshore - Melbourne'!D358="Term",'Offshore - Melbourne'!E358*4,IF('Offshore - Melbourne'!D358="Unit",'Offshore - Melbourne'!E358*8,""))))))</f>
        <v>18000</v>
      </c>
      <c r="L629" s="0" t="n">
        <f aca="false">IF(AND(ISNUMBER('Offshore - Melbourne'!E358),ISNUMBER(K629),ISNUMBER('Offshore - Melbourne'!F358),ISNUMBER('Offshore - Melbourne'!G358),OR('Offshore - Melbourne'!F358&lt;&gt;0,ISNUMBER(SEARCH("Material 0 terverifikasi",'Offshore - Melbourne'!N358))),OR('Offshore - Melbourne'!G358&lt;&gt;0,ISNUMBER(SEARCH("Enrolment 0 terverifikasi",'Offshore - Melbourne'!N358)))),1,0)</f>
        <v>1</v>
      </c>
      <c r="M629" s="0" t="n">
        <f aca="false">IF(OR('Offshore - Melbourne'!E358="",ISNUMBER(SEARCH("BSB80120",'Offshore - Melbourne'!B358&amp;'Offshore - Melbourne'!N358)),ISNUMBER(SEARCH("Management (Learning)",'Offshore - Melbourne'!B358))),2,IF(ISNUMBER(SEARCH("CEK:",'Offshore - Melbourne'!N358)),1,0))</f>
        <v>1</v>
      </c>
    </row>
    <row r="630" customFormat="false" ht="28.35" hidden="false" customHeight="false" outlineLevel="0" collapsed="false">
      <c r="A630" s="63" t="s">
        <v>3544</v>
      </c>
      <c r="B630" s="64" t="s">
        <v>3923</v>
      </c>
      <c r="C630" s="63" t="s">
        <v>43</v>
      </c>
      <c r="D630" s="64" t="str">
        <f aca="false">TRIM(LEFT('Offshore - Melbourne'!A322,FIND(CHAR(10),'Offshore - Melbourne'!A322&amp;CHAR(10))-1))</f>
        <v>Laurus Higher Education</v>
      </c>
      <c r="E630" s="63" t="str">
        <f aca="false">'Offshore - Melbourne'!C322&amp;""</f>
        <v>3 years</v>
      </c>
      <c r="F630" s="63" t="str">
        <f aca="false">IF('Offshore - Melbourne'!D322="","Belum tercatat",'Offshore - Melbourne'!D322)</f>
        <v>Term</v>
      </c>
      <c r="G630" s="65" t="n">
        <f aca="false">IF('Offshore - Melbourne'!E322="","-",'Offshore - Melbourne'!E322)</f>
        <v>4583</v>
      </c>
      <c r="H630" s="63" t="n">
        <f aca="false">IF(ISNUMBER(K630),COUNTIFS($J$6:$J$1854,J630,$K$6:$K$1854,"&lt;"&amp;K630)+1,"-")</f>
        <v>2</v>
      </c>
      <c r="I630" s="64" t="str">
        <f aca="false">IF('Offshore - Melbourne'!E322="","Harga belum tersedia - hubungi konsultan TEG",IF(M630=2,"Saat ini tidak menerima pendaftaran siswa internasional baru",IF(M630=1,"Harga perlu dikonfirmasi ke sekolah"&amp;IF(""="","","; "&amp;""),"")))</f>
        <v/>
      </c>
      <c r="J630" s="0" t="s">
        <v>3958</v>
      </c>
      <c r="K630" s="0" t="n">
        <f aca="false">IF(M630=2,"",IF(ISNUMBER(SEARCH("rata-rata:",'Offshore - Melbourne'!N322)),VALUE(MID('Offshore - Melbourne'!N322,SEARCH("rata-rata:",'Offshore - Melbourne'!N322)+11,FIND(";",'Offshore - Melbourne'!N322&amp;";",SEARCH("rata-rata:",'Offshore - Melbourne'!N322))-SEARCH("rata-rata:",'Offshore - Melbourne'!N322)-11)),IF('Offshore - Melbourne'!D322="Semester",'Offshore - Melbourne'!E322*2,IF('Offshore - Melbourne'!D322="Trimester",'Offshore - Melbourne'!E322*3,IF('Offshore - Melbourne'!D322="Term",'Offshore - Melbourne'!E322*4,IF('Offshore - Melbourne'!D322="Unit",'Offshore - Melbourne'!E322*8,""))))))</f>
        <v>18332</v>
      </c>
      <c r="L630" s="0" t="n">
        <f aca="false">IF(AND(ISNUMBER('Offshore - Melbourne'!E322),ISNUMBER(K630),ISNUMBER('Offshore - Melbourne'!F322),ISNUMBER('Offshore - Melbourne'!G322),OR('Offshore - Melbourne'!F322&lt;&gt;0,ISNUMBER(SEARCH("Material 0 terverifikasi",'Offshore - Melbourne'!N322))),OR('Offshore - Melbourne'!G322&lt;&gt;0,ISNUMBER(SEARCH("Enrolment 0 terverifikasi",'Offshore - Melbourne'!N322)))),1,0)</f>
        <v>1</v>
      </c>
      <c r="M630" s="0" t="n">
        <f aca="false">IF(OR('Offshore - Melbourne'!E322="",ISNUMBER(SEARCH("BSB80120",'Offshore - Melbourne'!B322&amp;'Offshore - Melbourne'!N322)),ISNUMBER(SEARCH("Management (Learning)",'Offshore - Melbourne'!B322))),2,IF(ISNUMBER(SEARCH("CEK:",'Offshore - Melbourne'!N322)),1,0))</f>
        <v>0</v>
      </c>
    </row>
    <row r="631" customFormat="false" ht="28.35" hidden="false" customHeight="false" outlineLevel="0" collapsed="false">
      <c r="A631" s="63" t="s">
        <v>3544</v>
      </c>
      <c r="B631" s="64" t="s">
        <v>3923</v>
      </c>
      <c r="C631" s="63" t="s">
        <v>43</v>
      </c>
      <c r="D631" s="64" t="str">
        <f aca="false">TRIM(LEFT('Offshore - Melbourne'!A443,FIND(CHAR(10),'Offshore - Melbourne'!A443&amp;CHAR(10))-1))</f>
        <v>Torrens University Australia</v>
      </c>
      <c r="E631" s="63" t="str">
        <f aca="false">'Offshore - Melbourne'!C519&amp;""</f>
        <v>3 years</v>
      </c>
      <c r="F631" s="63" t="str">
        <f aca="false">IF('Offshore - Melbourne'!D519="","Belum tercatat",'Offshore - Melbourne'!D519)</f>
        <v>Term</v>
      </c>
      <c r="G631" s="65" t="n">
        <f aca="false">IF('Offshore - Melbourne'!E519="","-",'Offshore - Melbourne'!E519)</f>
        <v>7333</v>
      </c>
      <c r="H631" s="63" t="n">
        <f aca="false">IF(ISNUMBER(K631),COUNTIFS($J$6:$J$1854,J631,$K$6:$K$1854,"&lt;"&amp;K631)+1,"-")</f>
        <v>3</v>
      </c>
      <c r="I631" s="64" t="str">
        <f aca="false">IF('Offshore - Melbourne'!E519="","Harga belum tersedia - hubungi konsultan TEG",IF(M631=2,"Saat ini tidak menerima pendaftaran siswa internasional baru",IF(M631=1,"Harga perlu dikonfirmasi ke sekolah"&amp;IF(""="","","; "&amp;""),"")))</f>
        <v/>
      </c>
      <c r="J631" s="0" t="s">
        <v>3958</v>
      </c>
      <c r="K631" s="0" t="n">
        <f aca="false">IF(M631=2,"",IF(ISNUMBER(SEARCH("rata-rata:",'Offshore - Melbourne'!N519)),VALUE(MID('Offshore - Melbourne'!N519,SEARCH("rata-rata:",'Offshore - Melbourne'!N519)+11,FIND(";",'Offshore - Melbourne'!N519&amp;";",SEARCH("rata-rata:",'Offshore - Melbourne'!N519))-SEARCH("rata-rata:",'Offshore - Melbourne'!N519)-11)),IF('Offshore - Melbourne'!D519="Semester",'Offshore - Melbourne'!E519*2,IF('Offshore - Melbourne'!D519="Trimester",'Offshore - Melbourne'!E519*3,IF('Offshore - Melbourne'!D519="Term",'Offshore - Melbourne'!E519*4,IF('Offshore - Melbourne'!D519="Unit",'Offshore - Melbourne'!E519*8,""))))))</f>
        <v>29332</v>
      </c>
      <c r="L631" s="0" t="n">
        <f aca="false">IF(AND(ISNUMBER('Offshore - Melbourne'!E519),ISNUMBER(K631),ISNUMBER('Offshore - Melbourne'!F519),ISNUMBER('Offshore - Melbourne'!G519),OR('Offshore - Melbourne'!F519&lt;&gt;0,ISNUMBER(SEARCH("Material 0 terverifikasi",'Offshore - Melbourne'!N519))),OR('Offshore - Melbourne'!G519&lt;&gt;0,ISNUMBER(SEARCH("Enrolment 0 terverifikasi",'Offshore - Melbourne'!N519)))),1,0)</f>
        <v>0</v>
      </c>
      <c r="M631" s="0" t="n">
        <f aca="false">IF(OR('Offshore - Melbourne'!E519="",ISNUMBER(SEARCH("BSB80120",'Offshore - Melbourne'!B519&amp;'Offshore - Melbourne'!N519)),ISNUMBER(SEARCH("Management (Learning)",'Offshore - Melbourne'!B519))),2,IF(ISNUMBER(SEARCH("CEK:",'Offshore - Melbourne'!N519)),1,0))</f>
        <v>0</v>
      </c>
    </row>
    <row r="632" customFormat="false" ht="28.35" hidden="false" customHeight="false" outlineLevel="0" collapsed="false">
      <c r="A632" s="63" t="s">
        <v>3544</v>
      </c>
      <c r="B632" s="64" t="s">
        <v>3923</v>
      </c>
      <c r="C632" s="63" t="s">
        <v>43</v>
      </c>
      <c r="D632" s="64" t="str">
        <f aca="false">TRIM(LEFT('Offshore - Melbourne'!A95,FIND(CHAR(10),'Offshore - Melbourne'!A95&amp;CHAR(10))-1))</f>
        <v>Australian Catholic University (ACU)</v>
      </c>
      <c r="E632" s="63" t="str">
        <f aca="false">'Offshore - Melbourne'!C171&amp;""</f>
        <v>4 years</v>
      </c>
      <c r="F632" s="63" t="str">
        <f aca="false">IF('Offshore - Melbourne'!D171="","Belum tercatat",'Offshore - Melbourne'!D171)</f>
        <v>Term</v>
      </c>
      <c r="G632" s="65" t="n">
        <f aca="false">IF('Offshore - Melbourne'!E171="","-",'Offshore - Melbourne'!E171)</f>
        <v>8098</v>
      </c>
      <c r="H632" s="63" t="n">
        <f aca="false">IF(ISNUMBER(K632),COUNTIFS($J$6:$J$1854,J632,$K$6:$K$1854,"&lt;"&amp;K632)+1,"-")</f>
        <v>4</v>
      </c>
      <c r="I632" s="64" t="str">
        <f aca="false">IF('Offshore - Melbourne'!E171="","Harga belum tersedia - hubungi konsultan TEG",IF(M632=2,"Saat ini tidak menerima pendaftaran siswa internasional baru",IF(M632=1,"Harga perlu dikonfirmasi ke sekolah"&amp;IF(""="","","; "&amp;""),"")))</f>
        <v/>
      </c>
      <c r="J632" s="0" t="s">
        <v>3958</v>
      </c>
      <c r="K632" s="0" t="n">
        <f aca="false">IF(M632=2,"",IF(ISNUMBER(SEARCH("rata-rata:",'Offshore - Melbourne'!N171)),VALUE(MID('Offshore - Melbourne'!N171,SEARCH("rata-rata:",'Offshore - Melbourne'!N171)+11,FIND(";",'Offshore - Melbourne'!N171&amp;";",SEARCH("rata-rata:",'Offshore - Melbourne'!N171))-SEARCH("rata-rata:",'Offshore - Melbourne'!N171)-11)),IF('Offshore - Melbourne'!D171="Semester",'Offshore - Melbourne'!E171*2,IF('Offshore - Melbourne'!D171="Trimester",'Offshore - Melbourne'!E171*3,IF('Offshore - Melbourne'!D171="Term",'Offshore - Melbourne'!E171*4,IF('Offshore - Melbourne'!D171="Unit",'Offshore - Melbourne'!E171*8,""))))))</f>
        <v>32392</v>
      </c>
      <c r="L632" s="0" t="n">
        <f aca="false">IF(AND(ISNUMBER('Offshore - Melbourne'!E171),ISNUMBER(K632),ISNUMBER('Offshore - Melbourne'!F171),ISNUMBER('Offshore - Melbourne'!G171),OR('Offshore - Melbourne'!F171&lt;&gt;0,ISNUMBER(SEARCH("Material 0 terverifikasi",'Offshore - Melbourne'!N171))),OR('Offshore - Melbourne'!G171&lt;&gt;0,ISNUMBER(SEARCH("Enrolment 0 terverifikasi",'Offshore - Melbourne'!N171)))),1,0)</f>
        <v>0</v>
      </c>
      <c r="M632" s="0" t="n">
        <f aca="false">IF(OR('Offshore - Melbourne'!E171="",ISNUMBER(SEARCH("BSB80120",'Offshore - Melbourne'!B171&amp;'Offshore - Melbourne'!N171)),ISNUMBER(SEARCH("Management (Learning)",'Offshore - Melbourne'!B171))),2,IF(ISNUMBER(SEARCH("CEK:",'Offshore - Melbourne'!N171)),1,0))</f>
        <v>0</v>
      </c>
    </row>
    <row r="633" customFormat="false" ht="15" hidden="false" customHeight="false" outlineLevel="0" collapsed="false">
      <c r="A633" s="61" t="s">
        <v>3959</v>
      </c>
      <c r="B633" s="62"/>
      <c r="C633" s="62"/>
      <c r="D633" s="62"/>
      <c r="E633" s="62"/>
      <c r="F633" s="62"/>
      <c r="G633" s="62"/>
      <c r="H633" s="62"/>
      <c r="I633" s="62"/>
    </row>
    <row r="634" customFormat="false" ht="28.35" hidden="false" customHeight="false" outlineLevel="0" collapsed="false">
      <c r="A634" s="63" t="s">
        <v>3544</v>
      </c>
      <c r="B634" s="64" t="s">
        <v>3923</v>
      </c>
      <c r="C634" s="63" t="s">
        <v>46</v>
      </c>
      <c r="D634" s="64" t="str">
        <f aca="false">TRIM(LEFT('Offshore - Melbourne'!A95,FIND(CHAR(10),'Offshore - Melbourne'!A95&amp;CHAR(10))-1))</f>
        <v>Australian Catholic University (ACU)</v>
      </c>
      <c r="E634" s="63" t="str">
        <f aca="false">'Offshore - Melbourne'!C182&amp;""</f>
        <v>2 years</v>
      </c>
      <c r="F634" s="63" t="str">
        <f aca="false">IF('Offshore - Melbourne'!D182="","Belum tercatat",'Offshore - Melbourne'!D182)</f>
        <v>Term</v>
      </c>
      <c r="G634" s="65" t="n">
        <f aca="false">IF('Offshore - Melbourne'!E182="","-",'Offshore - Melbourne'!E182)</f>
        <v>8018</v>
      </c>
      <c r="H634" s="63" t="n">
        <f aca="false">IF(ISNUMBER(K634),COUNTIFS($J$6:$J$1854,J634,$K$6:$K$1854,"&lt;"&amp;K634)+1,"-")</f>
        <v>1</v>
      </c>
      <c r="I634" s="64" t="str">
        <f aca="false">IF('Offshore - Melbourne'!E182="","Harga belum tersedia - hubungi konsultan TEG",IF(M634=2,"Saat ini tidak menerima pendaftaran siswa internasional baru",IF(M634=1,"Harga perlu dikonfirmasi ke sekolah"&amp;IF(""="","","; "&amp;""),"")))</f>
        <v/>
      </c>
      <c r="J634" s="0" t="s">
        <v>3960</v>
      </c>
      <c r="K634" s="0" t="n">
        <f aca="false">IF(M634=2,"",IF(ISNUMBER(SEARCH("rata-rata:",'Offshore - Melbourne'!N182)),VALUE(MID('Offshore - Melbourne'!N182,SEARCH("rata-rata:",'Offshore - Melbourne'!N182)+11,FIND(";",'Offshore - Melbourne'!N182&amp;";",SEARCH("rata-rata:",'Offshore - Melbourne'!N182))-SEARCH("rata-rata:",'Offshore - Melbourne'!N182)-11)),IF('Offshore - Melbourne'!D182="Semester",'Offshore - Melbourne'!E182*2,IF('Offshore - Melbourne'!D182="Trimester",'Offshore - Melbourne'!E182*3,IF('Offshore - Melbourne'!D182="Term",'Offshore - Melbourne'!E182*4,IF('Offshore - Melbourne'!D182="Unit",'Offshore - Melbourne'!E182*8,""))))))</f>
        <v>32072</v>
      </c>
      <c r="L634" s="0" t="n">
        <f aca="false">IF(AND(ISNUMBER('Offshore - Melbourne'!E182),ISNUMBER(K634),ISNUMBER('Offshore - Melbourne'!F182),ISNUMBER('Offshore - Melbourne'!G182),OR('Offshore - Melbourne'!F182&lt;&gt;0,ISNUMBER(SEARCH("Material 0 terverifikasi",'Offshore - Melbourne'!N182))),OR('Offshore - Melbourne'!G182&lt;&gt;0,ISNUMBER(SEARCH("Enrolment 0 terverifikasi",'Offshore - Melbourne'!N182)))),1,0)</f>
        <v>0</v>
      </c>
      <c r="M634" s="0" t="n">
        <f aca="false">IF(OR('Offshore - Melbourne'!E182="",ISNUMBER(SEARCH("BSB80120",'Offshore - Melbourne'!B182&amp;'Offshore - Melbourne'!N182)),ISNUMBER(SEARCH("Management (Learning)",'Offshore - Melbourne'!B182))),2,IF(ISNUMBER(SEARCH("CEK:",'Offshore - Melbourne'!N182)),1,0))</f>
        <v>0</v>
      </c>
    </row>
    <row r="635" customFormat="false" ht="15" hidden="false" customHeight="false" outlineLevel="0" collapsed="false">
      <c r="A635" s="61" t="s">
        <v>3961</v>
      </c>
      <c r="B635" s="62"/>
      <c r="C635" s="62"/>
      <c r="D635" s="62"/>
      <c r="E635" s="62"/>
      <c r="F635" s="62"/>
      <c r="G635" s="62"/>
      <c r="H635" s="62"/>
      <c r="I635" s="62"/>
    </row>
    <row r="636" customFormat="false" ht="28.35" hidden="false" customHeight="false" outlineLevel="0" collapsed="false">
      <c r="A636" s="63" t="s">
        <v>3573</v>
      </c>
      <c r="B636" s="64" t="s">
        <v>3923</v>
      </c>
      <c r="C636" s="63" t="s">
        <v>41</v>
      </c>
      <c r="D636" s="64" t="str">
        <f aca="false">TRIM(LEFT('Offshore - Perth'!A74,FIND(CHAR(10),'Offshore - Perth'!A74&amp;CHAR(10))-1))</f>
        <v>Greenwich College</v>
      </c>
      <c r="E636" s="63" t="str">
        <f aca="false">'Offshore - Perth'!C80&amp;""</f>
        <v>128 weeks</v>
      </c>
      <c r="F636" s="63" t="str">
        <f aca="false">IF('Offshore - Perth'!D80="","Belum tercatat",'Offshore - Perth'!D80)</f>
        <v>Term</v>
      </c>
      <c r="G636" s="65" t="n">
        <f aca="false">IF('Offshore - Perth'!E80="","-",'Offshore - Perth'!E80)</f>
        <v>1600</v>
      </c>
      <c r="H636" s="63" t="n">
        <f aca="false">IF(ISNUMBER(K636),COUNTIFS($J$6:$J$1854,J636,$K$6:$K$1854,"&lt;"&amp;K636)+1,"-")</f>
        <v>1</v>
      </c>
      <c r="I636" s="64" t="str">
        <f aca="false">IF('Offshore - Perth'!E80="","Harga belum tersedia - hubungi konsultan TEG",IF(M636=2,"Saat ini tidak menerima pendaftaran siswa internasional baru",IF(M636=1,"Harga perlu dikonfirmasi ke sekolah"&amp;IF(""="","","; "&amp;""),"")))</f>
        <v/>
      </c>
      <c r="J636" s="0" t="s">
        <v>3962</v>
      </c>
      <c r="K636" s="0" t="n">
        <f aca="false">IF(M636=2,"",IF(ISNUMBER(SEARCH("rata-rata:",'Offshore - Perth'!N80)),VALUE(MID('Offshore - Perth'!N80,SEARCH("rata-rata:",'Offshore - Perth'!N80)+11,FIND(";",'Offshore - Perth'!N80&amp;";",SEARCH("rata-rata:",'Offshore - Perth'!N80))-SEARCH("rata-rata:",'Offshore - Perth'!N80)-11)),IF('Offshore - Perth'!D80="Semester",'Offshore - Perth'!E80*2,IF('Offshore - Perth'!D80="Trimester",'Offshore - Perth'!E80*3,IF('Offshore - Perth'!D80="Term",'Offshore - Perth'!E80*4,IF('Offshore - Perth'!D80="Unit",'Offshore - Perth'!E80*8,""))))))</f>
        <v>6400</v>
      </c>
      <c r="L636" s="0" t="n">
        <f aca="false">IF(AND(ISNUMBER('Offshore - Perth'!E80),ISNUMBER(K636),ISNUMBER('Offshore - Perth'!F80),ISNUMBER('Offshore - Perth'!G80),OR('Offshore - Perth'!F80&lt;&gt;0,ISNUMBER(SEARCH("Material 0 terverifikasi",'Offshore - Perth'!N80))),OR('Offshore - Perth'!G80&lt;&gt;0,ISNUMBER(SEARCH("Enrolment 0 terverifikasi",'Offshore - Perth'!N80)))),1,0)</f>
        <v>1</v>
      </c>
      <c r="M636" s="0" t="n">
        <f aca="false">IF(OR('Offshore - Perth'!E80="",ISNUMBER(SEARCH("BSB80120",'Offshore - Perth'!B80&amp;'Offshore - Perth'!N80)),ISNUMBER(SEARCH("Management (Learning)",'Offshore - Perth'!B80))),2,IF(ISNUMBER(SEARCH("CEK:",'Offshore - Perth'!N80)),1,0))</f>
        <v>0</v>
      </c>
    </row>
    <row r="637" customFormat="false" ht="28.35" hidden="false" customHeight="false" outlineLevel="0" collapsed="false">
      <c r="A637" s="63" t="s">
        <v>3573</v>
      </c>
      <c r="B637" s="64" t="s">
        <v>3923</v>
      </c>
      <c r="C637" s="63" t="s">
        <v>41</v>
      </c>
      <c r="D637" s="64" t="str">
        <f aca="false">TRIM(LEFT('Offshore - Perth'!A120,FIND(CHAR(10),'Offshore - Perth'!A120&amp;CHAR(10))-1))</f>
        <v>Kingston International College</v>
      </c>
      <c r="E637" s="63" t="str">
        <f aca="false">'Offshore - Perth'!C127&amp;""</f>
        <v>2 years</v>
      </c>
      <c r="F637" s="63" t="str">
        <f aca="false">IF('Offshore - Perth'!D127="","Belum tercatat",'Offshore - Perth'!D127)</f>
        <v>Term</v>
      </c>
      <c r="G637" s="65" t="n">
        <f aca="false">IF('Offshore - Perth'!E127="","-",'Offshore - Perth'!E127)</f>
        <v>2200</v>
      </c>
      <c r="H637" s="63" t="n">
        <f aca="false">IF(ISNUMBER(K637),COUNTIFS($J$6:$J$1854,J637,$K$6:$K$1854,"&lt;"&amp;K637)+1,"-")</f>
        <v>2</v>
      </c>
      <c r="I637" s="64" t="str">
        <f aca="false">IF('Offshore - Perth'!E127="","Harga belum tersedia - hubungi konsultan TEG",IF(M637=2,"Saat ini tidak menerima pendaftaran siswa internasional baru",IF(M637=1,"Harga perlu dikonfirmasi ke sekolah"&amp;IF(""="","","; "&amp;""),"")))</f>
        <v/>
      </c>
      <c r="J637" s="0" t="s">
        <v>3962</v>
      </c>
      <c r="K637" s="0" t="n">
        <f aca="false">IF(M637=2,"",IF(ISNUMBER(SEARCH("rata-rata:",'Offshore - Perth'!N127)),VALUE(MID('Offshore - Perth'!N127,SEARCH("rata-rata:",'Offshore - Perth'!N127)+11,FIND(";",'Offshore - Perth'!N127&amp;";",SEARCH("rata-rata:",'Offshore - Perth'!N127))-SEARCH("rata-rata:",'Offshore - Perth'!N127)-11)),IF('Offshore - Perth'!D127="Semester",'Offshore - Perth'!E127*2,IF('Offshore - Perth'!D127="Trimester",'Offshore - Perth'!E127*3,IF('Offshore - Perth'!D127="Term",'Offshore - Perth'!E127*4,IF('Offshore - Perth'!D127="Unit",'Offshore - Perth'!E127*8,""))))))</f>
        <v>8800</v>
      </c>
      <c r="L637" s="0" t="n">
        <f aca="false">IF(AND(ISNUMBER('Offshore - Perth'!E127),ISNUMBER(K637),ISNUMBER('Offshore - Perth'!F127),ISNUMBER('Offshore - Perth'!G127),OR('Offshore - Perth'!F127&lt;&gt;0,ISNUMBER(SEARCH("Material 0 terverifikasi",'Offshore - Perth'!N127))),OR('Offshore - Perth'!G127&lt;&gt;0,ISNUMBER(SEARCH("Enrolment 0 terverifikasi",'Offshore - Perth'!N127)))),1,0)</f>
        <v>1</v>
      </c>
      <c r="M637" s="0" t="n">
        <f aca="false">IF(OR('Offshore - Perth'!E127="",ISNUMBER(SEARCH("BSB80120",'Offshore - Perth'!B127&amp;'Offshore - Perth'!N127)),ISNUMBER(SEARCH("Management (Learning)",'Offshore - Perth'!B127))),2,IF(ISNUMBER(SEARCH("CEK:",'Offshore - Perth'!N127)),1,0))</f>
        <v>0</v>
      </c>
    </row>
    <row r="638" customFormat="false" ht="28.35" hidden="false" customHeight="false" outlineLevel="0" collapsed="false">
      <c r="A638" s="63" t="s">
        <v>3573</v>
      </c>
      <c r="B638" s="64" t="s">
        <v>3923</v>
      </c>
      <c r="C638" s="63" t="s">
        <v>41</v>
      </c>
      <c r="D638" s="64" t="str">
        <f aca="false">TRIM(LEFT('Offshore - Perth'!A33,FIND(CHAR(10),'Offshore - Perth'!A33&amp;CHAR(10))-1))</f>
        <v>Aroha College</v>
      </c>
      <c r="E638" s="63" t="str">
        <f aca="false">'Offshore - Perth'!C34&amp;""</f>
        <v>1,75 years</v>
      </c>
      <c r="F638" s="63" t="str">
        <f aca="false">IF('Offshore - Perth'!D34="","Belum tercatat",'Offshore - Perth'!D34)</f>
        <v>Term</v>
      </c>
      <c r="G638" s="65" t="n">
        <f aca="false">IF('Offshore - Perth'!E34="","-",'Offshore - Perth'!E34)</f>
        <v>2800</v>
      </c>
      <c r="H638" s="63" t="n">
        <f aca="false">IF(ISNUMBER(K638),COUNTIFS($J$6:$J$1854,J638,$K$6:$K$1854,"&lt;"&amp;K638)+1,"-")</f>
        <v>3</v>
      </c>
      <c r="I638" s="64" t="str">
        <f aca="false">IF('Offshore - Perth'!E34="","Harga belum tersedia - hubungi konsultan TEG",IF(M638=2,"Saat ini tidak menerima pendaftaran siswa internasional baru",IF(M638=1,"Harga perlu dikonfirmasi ke sekolah"&amp;IF(""="","","; "&amp;""),"")))</f>
        <v/>
      </c>
      <c r="J638" s="0" t="s">
        <v>3962</v>
      </c>
      <c r="K638" s="0" t="n">
        <f aca="false">IF(M638=2,"",IF(ISNUMBER(SEARCH("rata-rata:",'Offshore - Perth'!N34)),VALUE(MID('Offshore - Perth'!N34,SEARCH("rata-rata:",'Offshore - Perth'!N34)+11,FIND(";",'Offshore - Perth'!N34&amp;";",SEARCH("rata-rata:",'Offshore - Perth'!N34))-SEARCH("rata-rata:",'Offshore - Perth'!N34)-11)),IF('Offshore - Perth'!D34="Semester",'Offshore - Perth'!E34*2,IF('Offshore - Perth'!D34="Trimester",'Offshore - Perth'!E34*3,IF('Offshore - Perth'!D34="Term",'Offshore - Perth'!E34*4,IF('Offshore - Perth'!D34="Unit",'Offshore - Perth'!E34*8,""))))))</f>
        <v>11200</v>
      </c>
      <c r="L638" s="0" t="n">
        <f aca="false">IF(AND(ISNUMBER('Offshore - Perth'!E34),ISNUMBER(K638),ISNUMBER('Offshore - Perth'!F34),ISNUMBER('Offshore - Perth'!G34),OR('Offshore - Perth'!F34&lt;&gt;0,ISNUMBER(SEARCH("Material 0 terverifikasi",'Offshore - Perth'!N34))),OR('Offshore - Perth'!G34&lt;&gt;0,ISNUMBER(SEARCH("Enrolment 0 terverifikasi",'Offshore - Perth'!N34)))),1,0)</f>
        <v>0</v>
      </c>
      <c r="M638" s="0" t="n">
        <f aca="false">IF(OR('Offshore - Perth'!E34="",ISNUMBER(SEARCH("BSB80120",'Offshore - Perth'!B34&amp;'Offshore - Perth'!N34)),ISNUMBER(SEARCH("Management (Learning)",'Offshore - Perth'!B34))),2,IF(ISNUMBER(SEARCH("CEK:",'Offshore - Perth'!N34)),1,0))</f>
        <v>0</v>
      </c>
    </row>
    <row r="639" customFormat="false" ht="28.35" hidden="false" customHeight="false" outlineLevel="0" collapsed="false">
      <c r="A639" s="63" t="s">
        <v>3573</v>
      </c>
      <c r="B639" s="64" t="s">
        <v>3923</v>
      </c>
      <c r="C639" s="63" t="s">
        <v>41</v>
      </c>
      <c r="D639" s="64" t="str">
        <f aca="false">TRIM(LEFT('Offshore - Perth'!A59,FIND(CHAR(10),'Offshore - Perth'!A59&amp;CHAR(10))-1))</f>
        <v>Global College Australasia</v>
      </c>
      <c r="E639" s="63" t="str">
        <f aca="false">'Offshore - Perth'!C69&amp;""</f>
        <v>2,5 years</v>
      </c>
      <c r="F639" s="63" t="str">
        <f aca="false">IF('Offshore - Perth'!D69="","Belum tercatat",'Offshore - Perth'!D69)</f>
        <v>Term</v>
      </c>
      <c r="G639" s="65" t="n">
        <f aca="false">IF('Offshore - Perth'!E69="","-",'Offshore - Perth'!E69)</f>
        <v>3100</v>
      </c>
      <c r="H639" s="63" t="n">
        <f aca="false">IF(ISNUMBER(K639),COUNTIFS($J$6:$J$1854,J639,$K$6:$K$1854,"&lt;"&amp;K639)+1,"-")</f>
        <v>4</v>
      </c>
      <c r="I639" s="64" t="str">
        <f aca="false">IF('Offshore - Perth'!E69="","Harga belum tersedia - hubungi konsultan TEG",IF(M639=2,"Saat ini tidak menerima pendaftaran siswa internasional baru",IF(M639=1,"Harga perlu dikonfirmasi ke sekolah"&amp;IF(""="","","; "&amp;""),"")))</f>
        <v/>
      </c>
      <c r="J639" s="0" t="s">
        <v>3962</v>
      </c>
      <c r="K639" s="0" t="n">
        <f aca="false">IF(M639=2,"",IF(ISNUMBER(SEARCH("rata-rata:",'Offshore - Perth'!N69)),VALUE(MID('Offshore - Perth'!N69,SEARCH("rata-rata:",'Offshore - Perth'!N69)+11,FIND(";",'Offshore - Perth'!N69&amp;";",SEARCH("rata-rata:",'Offshore - Perth'!N69))-SEARCH("rata-rata:",'Offshore - Perth'!N69)-11)),IF('Offshore - Perth'!D69="Semester",'Offshore - Perth'!E69*2,IF('Offshore - Perth'!D69="Trimester",'Offshore - Perth'!E69*3,IF('Offshore - Perth'!D69="Term",'Offshore - Perth'!E69*4,IF('Offshore - Perth'!D69="Unit",'Offshore - Perth'!E69*8,""))))))</f>
        <v>12400</v>
      </c>
      <c r="L639" s="0" t="n">
        <f aca="false">IF(AND(ISNUMBER('Offshore - Perth'!E69),ISNUMBER(K639),ISNUMBER('Offshore - Perth'!F69),ISNUMBER('Offshore - Perth'!G69),OR('Offshore - Perth'!F69&lt;&gt;0,ISNUMBER(SEARCH("Material 0 terverifikasi",'Offshore - Perth'!N69))),OR('Offshore - Perth'!G69&lt;&gt;0,ISNUMBER(SEARCH("Enrolment 0 terverifikasi",'Offshore - Perth'!N69)))),1,0)</f>
        <v>1</v>
      </c>
      <c r="M639" s="0" t="n">
        <f aca="false">IF(OR('Offshore - Perth'!E69="",ISNUMBER(SEARCH("BSB80120",'Offshore - Perth'!B69&amp;'Offshore - Perth'!N69)),ISNUMBER(SEARCH("Management (Learning)",'Offshore - Perth'!B69))),2,IF(ISNUMBER(SEARCH("CEK:",'Offshore - Perth'!N69)),1,0))</f>
        <v>0</v>
      </c>
    </row>
    <row r="640" customFormat="false" ht="15" hidden="false" customHeight="false" outlineLevel="0" collapsed="false">
      <c r="A640" s="61" t="s">
        <v>3963</v>
      </c>
      <c r="B640" s="62"/>
      <c r="C640" s="62"/>
      <c r="D640" s="62"/>
      <c r="E640" s="62"/>
      <c r="F640" s="62"/>
      <c r="G640" s="62"/>
      <c r="H640" s="62"/>
      <c r="I640" s="62"/>
    </row>
    <row r="641" customFormat="false" ht="28.35" hidden="false" customHeight="false" outlineLevel="0" collapsed="false">
      <c r="A641" s="63" t="s">
        <v>3573</v>
      </c>
      <c r="B641" s="64" t="s">
        <v>3923</v>
      </c>
      <c r="C641" s="63" t="s">
        <v>42</v>
      </c>
      <c r="D641" s="64" t="str">
        <f aca="false">TRIM(LEFT('Offshore - Perth'!A129,FIND(CHAR(10),'Offshore - Perth'!A129&amp;CHAR(10))-1))</f>
        <v>Novus College</v>
      </c>
      <c r="E641" s="63" t="str">
        <f aca="false">'Offshore - Perth'!C131&amp;""</f>
        <v>1,5 years</v>
      </c>
      <c r="F641" s="63" t="str">
        <f aca="false">IF('Offshore - Perth'!D131="","Belum tercatat",'Offshore - Perth'!D131)</f>
        <v>Term</v>
      </c>
      <c r="G641" s="65" t="n">
        <f aca="false">IF('Offshore - Perth'!E131="","-",'Offshore - Perth'!E131)</f>
        <v>2000</v>
      </c>
      <c r="H641" s="63" t="n">
        <f aca="false">IF(ISNUMBER(K641),COUNTIFS($J$6:$J$1854,J641,$K$6:$K$1854,"&lt;"&amp;K641)+1,"-")</f>
        <v>1</v>
      </c>
      <c r="I641" s="64" t="str">
        <f aca="false">IF('Offshore - Perth'!E131="","Harga belum tersedia - hubungi konsultan TEG",IF(M641=2,"Saat ini tidak menerima pendaftaran siswa internasional baru",IF(M641=1,"Program perlu dikonfirmasi ketersediaannya"&amp;IF(""="","","; "&amp;""),"")))</f>
        <v>Program perlu dikonfirmasi ketersediaannya</v>
      </c>
      <c r="J641" s="0" t="s">
        <v>3964</v>
      </c>
      <c r="K641" s="0" t="n">
        <f aca="false">IF(M641=2,"",IF(ISNUMBER(SEARCH("rata-rata:",'Offshore - Perth'!N131)),VALUE(MID('Offshore - Perth'!N131,SEARCH("rata-rata:",'Offshore - Perth'!N131)+11,FIND(";",'Offshore - Perth'!N131&amp;";",SEARCH("rata-rata:",'Offshore - Perth'!N131))-SEARCH("rata-rata:",'Offshore - Perth'!N131)-11)),IF('Offshore - Perth'!D131="Semester",'Offshore - Perth'!E131*2,IF('Offshore - Perth'!D131="Trimester",'Offshore - Perth'!E131*3,IF('Offshore - Perth'!D131="Term",'Offshore - Perth'!E131*4,IF('Offshore - Perth'!D131="Unit",'Offshore - Perth'!E131*8,""))))))</f>
        <v>8000</v>
      </c>
      <c r="L641" s="0" t="n">
        <f aca="false">IF(AND(ISNUMBER('Offshore - Perth'!E131),ISNUMBER(K641),ISNUMBER('Offshore - Perth'!F131),ISNUMBER('Offshore - Perth'!G131),OR('Offshore - Perth'!F131&lt;&gt;0,ISNUMBER(SEARCH("Material 0 terverifikasi",'Offshore - Perth'!N131))),OR('Offshore - Perth'!G131&lt;&gt;0,ISNUMBER(SEARCH("Enrolment 0 terverifikasi",'Offshore - Perth'!N131)))),1,0)</f>
        <v>1</v>
      </c>
      <c r="M641" s="0" t="n">
        <f aca="false">IF(OR('Offshore - Perth'!E131="",ISNUMBER(SEARCH("BSB80120",'Offshore - Perth'!B131&amp;'Offshore - Perth'!N131)),ISNUMBER(SEARCH("Management (Learning)",'Offshore - Perth'!B131))),2,IF(ISNUMBER(SEARCH("CEK:",'Offshore - Perth'!N131)),1,0))</f>
        <v>1</v>
      </c>
    </row>
    <row r="642" customFormat="false" ht="28.35" hidden="false" customHeight="false" outlineLevel="0" collapsed="false">
      <c r="A642" s="63" t="s">
        <v>3573</v>
      </c>
      <c r="B642" s="64" t="s">
        <v>3923</v>
      </c>
      <c r="C642" s="63" t="s">
        <v>42</v>
      </c>
      <c r="D642" s="64" t="str">
        <f aca="false">TRIM(LEFT('Offshore - Perth'!A59,FIND(CHAR(10),'Offshore - Perth'!A59&amp;CHAR(10))-1))</f>
        <v>Global College Australasia</v>
      </c>
      <c r="E642" s="63" t="str">
        <f aca="false">'Offshore - Perth'!C70&amp;""</f>
        <v>3 years</v>
      </c>
      <c r="F642" s="63" t="str">
        <f aca="false">IF('Offshore - Perth'!D70="","Belum tercatat",'Offshore - Perth'!D70)</f>
        <v>Term</v>
      </c>
      <c r="G642" s="65" t="n">
        <f aca="false">IF('Offshore - Perth'!E70="","-",'Offshore - Perth'!E70)</f>
        <v>3100</v>
      </c>
      <c r="H642" s="63" t="n">
        <f aca="false">IF(ISNUMBER(K642),COUNTIFS($J$6:$J$1854,J642,$K$6:$K$1854,"&lt;"&amp;K642)+1,"-")</f>
        <v>2</v>
      </c>
      <c r="I642" s="64" t="str">
        <f aca="false">IF('Offshore - Perth'!E70="","Harga belum tersedia - hubungi konsultan TEG",IF(M642=2,"Saat ini tidak menerima pendaftaran siswa internasional baru",IF(M642=1,"Harga perlu dikonfirmasi ke sekolah"&amp;IF(""="","","; "&amp;""),"")))</f>
        <v/>
      </c>
      <c r="J642" s="0" t="s">
        <v>3964</v>
      </c>
      <c r="K642" s="0" t="n">
        <f aca="false">IF(M642=2,"",IF(ISNUMBER(SEARCH("rata-rata:",'Offshore - Perth'!N70)),VALUE(MID('Offshore - Perth'!N70,SEARCH("rata-rata:",'Offshore - Perth'!N70)+11,FIND(";",'Offshore - Perth'!N70&amp;";",SEARCH("rata-rata:",'Offshore - Perth'!N70))-SEARCH("rata-rata:",'Offshore - Perth'!N70)-11)),IF('Offshore - Perth'!D70="Semester",'Offshore - Perth'!E70*2,IF('Offshore - Perth'!D70="Trimester",'Offshore - Perth'!E70*3,IF('Offshore - Perth'!D70="Term",'Offshore - Perth'!E70*4,IF('Offshore - Perth'!D70="Unit",'Offshore - Perth'!E70*8,""))))))</f>
        <v>12400</v>
      </c>
      <c r="L642" s="0" t="n">
        <f aca="false">IF(AND(ISNUMBER('Offshore - Perth'!E70),ISNUMBER(K642),ISNUMBER('Offshore - Perth'!F70),ISNUMBER('Offshore - Perth'!G70),OR('Offshore - Perth'!F70&lt;&gt;0,ISNUMBER(SEARCH("Material 0 terverifikasi",'Offshore - Perth'!N70))),OR('Offshore - Perth'!G70&lt;&gt;0,ISNUMBER(SEARCH("Enrolment 0 terverifikasi",'Offshore - Perth'!N70)))),1,0)</f>
        <v>1</v>
      </c>
      <c r="M642" s="0" t="n">
        <f aca="false">IF(OR('Offshore - Perth'!E70="",ISNUMBER(SEARCH("BSB80120",'Offshore - Perth'!B70&amp;'Offshore - Perth'!N70)),ISNUMBER(SEARCH("Management (Learning)",'Offshore - Perth'!B70))),2,IF(ISNUMBER(SEARCH("CEK:",'Offshore - Perth'!N70)),1,0))</f>
        <v>0</v>
      </c>
    </row>
    <row r="643" customFormat="false" ht="15" hidden="false" customHeight="false" outlineLevel="0" collapsed="false">
      <c r="A643" s="61" t="s">
        <v>3965</v>
      </c>
      <c r="B643" s="62"/>
      <c r="C643" s="62"/>
      <c r="D643" s="62"/>
      <c r="E643" s="62"/>
      <c r="F643" s="62"/>
      <c r="G643" s="62"/>
      <c r="H643" s="62"/>
      <c r="I643" s="62"/>
    </row>
    <row r="644" customFormat="false" ht="28.35" hidden="false" customHeight="false" outlineLevel="0" collapsed="false">
      <c r="A644" s="63" t="s">
        <v>3533</v>
      </c>
      <c r="B644" s="64" t="s">
        <v>3923</v>
      </c>
      <c r="C644" s="63" t="s">
        <v>39</v>
      </c>
      <c r="D644" s="64" t="str">
        <f aca="false">TRIM(LEFT('Offshore - Sydney'!A333,FIND(CHAR(10),'Offshore - Sydney'!A333&amp;CHAR(10))-1))</f>
        <v>Berkeley Business Institute (BBI)</v>
      </c>
      <c r="E644" s="63" t="str">
        <f aca="false">'Offshore - Sydney'!C341&amp;""</f>
        <v>1 year</v>
      </c>
      <c r="F644" s="63" t="str">
        <f aca="false">IF('Offshore - Sydney'!D341="","Belum tercatat",'Offshore - Sydney'!D341)</f>
        <v>Term</v>
      </c>
      <c r="G644" s="65" t="n">
        <f aca="false">IF('Offshore - Sydney'!E341="","-",'Offshore - Sydney'!E341)</f>
        <v>2000</v>
      </c>
      <c r="H644" s="63" t="n">
        <f aca="false">IF(ISNUMBER(K644),COUNTIFS($J$6:$J$1854,J644,$K$6:$K$1854,"&lt;"&amp;K644)+1,"-")</f>
        <v>1</v>
      </c>
      <c r="I644" s="64" t="str">
        <f aca="false">IF('Offshore - Sydney'!E341="","Harga belum tersedia - hubungi konsultan TEG",IF(M644=2,"Saat ini tidak menerima pendaftaran siswa internasional baru",IF(M644=1,"Harga perlu dikonfirmasi ke sekolah"&amp;IF(""="","","; "&amp;""),"")))</f>
        <v>Harga perlu dikonfirmasi ke sekolah</v>
      </c>
      <c r="J644" s="0" t="s">
        <v>3966</v>
      </c>
      <c r="K644" s="0" t="n">
        <f aca="false">IF(M644=2,"",IF(ISNUMBER(SEARCH("rata-rata:",'Offshore - Sydney'!N341)),VALUE(MID('Offshore - Sydney'!N341,SEARCH("rata-rata:",'Offshore - Sydney'!N341)+11,FIND(";",'Offshore - Sydney'!N341&amp;";",SEARCH("rata-rata:",'Offshore - Sydney'!N341))-SEARCH("rata-rata:",'Offshore - Sydney'!N341)-11)),IF('Offshore - Sydney'!D341="Semester",'Offshore - Sydney'!E341*2,IF('Offshore - Sydney'!D341="Trimester",'Offshore - Sydney'!E341*3,IF('Offshore - Sydney'!D341="Term",'Offshore - Sydney'!E341*4,IF('Offshore - Sydney'!D341="Unit",'Offshore - Sydney'!E341*8,""))))))</f>
        <v>8000</v>
      </c>
      <c r="L644" s="0" t="n">
        <f aca="false">IF(AND(ISNUMBER('Offshore - Sydney'!E341),ISNUMBER(K644),ISNUMBER('Offshore - Sydney'!F341),ISNUMBER('Offshore - Sydney'!G341),OR('Offshore - Sydney'!F341&lt;&gt;0,ISNUMBER(SEARCH("Material 0 terverifikasi",'Offshore - Sydney'!N341))),OR('Offshore - Sydney'!G341&lt;&gt;0,ISNUMBER(SEARCH("Enrolment 0 terverifikasi",'Offshore - Sydney'!N341)))),1,0)</f>
        <v>1</v>
      </c>
      <c r="M644" s="0" t="n">
        <f aca="false">IF(OR('Offshore - Sydney'!E341="",ISNUMBER(SEARCH("BSB80120",'Offshore - Sydney'!B341&amp;'Offshore - Sydney'!N341)),ISNUMBER(SEARCH("Management (Learning)",'Offshore - Sydney'!B341))),2,IF(ISNUMBER(SEARCH("CEK:",'Offshore - Sydney'!N341)),1,0))</f>
        <v>1</v>
      </c>
    </row>
    <row r="645" customFormat="false" ht="15" hidden="false" customHeight="false" outlineLevel="0" collapsed="false">
      <c r="A645" s="61" t="s">
        <v>3967</v>
      </c>
      <c r="B645" s="62"/>
      <c r="C645" s="62"/>
      <c r="D645" s="62"/>
      <c r="E645" s="62"/>
      <c r="F645" s="62"/>
      <c r="G645" s="62"/>
      <c r="H645" s="62"/>
      <c r="I645" s="62"/>
    </row>
    <row r="646" customFormat="false" ht="28.35" hidden="false" customHeight="false" outlineLevel="0" collapsed="false">
      <c r="A646" s="63" t="s">
        <v>3533</v>
      </c>
      <c r="B646" s="64" t="s">
        <v>3923</v>
      </c>
      <c r="C646" s="63" t="s">
        <v>41</v>
      </c>
      <c r="D646" s="64" t="str">
        <f aca="false">TRIM(LEFT('Offshore - Sydney'!A448,FIND(CHAR(10),'Offshore - Sydney'!A448&amp;CHAR(10))-1))</f>
        <v>Greenwich College</v>
      </c>
      <c r="E646" s="63" t="str">
        <f aca="false">'Offshore - Sydney'!C458&amp;""</f>
        <v>128 weeks</v>
      </c>
      <c r="F646" s="63" t="str">
        <f aca="false">IF('Offshore - Sydney'!D458="","Belum tercatat",'Offshore - Sydney'!D458)</f>
        <v>Term</v>
      </c>
      <c r="G646" s="65" t="n">
        <f aca="false">IF('Offshore - Sydney'!E458="","-",'Offshore - Sydney'!E458)</f>
        <v>1600</v>
      </c>
      <c r="H646" s="63" t="n">
        <f aca="false">IF(ISNUMBER(K646),COUNTIFS($J$6:$J$1854,J646,$K$6:$K$1854,"&lt;"&amp;K646)+1,"-")</f>
        <v>1</v>
      </c>
      <c r="I646" s="64" t="str">
        <f aca="false">IF('Offshore - Sydney'!E458="","Harga belum tersedia - hubungi konsultan TEG",IF(M646=2,"Saat ini tidak menerima pendaftaran siswa internasional baru",IF(M646=1,"Harga perlu dikonfirmasi ke sekolah"&amp;IF(""="","","; "&amp;""),"")))</f>
        <v/>
      </c>
      <c r="J646" s="0" t="s">
        <v>3968</v>
      </c>
      <c r="K646" s="0" t="n">
        <f aca="false">IF(M646=2,"",IF(ISNUMBER(SEARCH("rata-rata:",'Offshore - Sydney'!N458)),VALUE(MID('Offshore - Sydney'!N458,SEARCH("rata-rata:",'Offshore - Sydney'!N458)+11,FIND(";",'Offshore - Sydney'!N458&amp;";",SEARCH("rata-rata:",'Offshore - Sydney'!N458))-SEARCH("rata-rata:",'Offshore - Sydney'!N458)-11)),IF('Offshore - Sydney'!D458="Semester",'Offshore - Sydney'!E458*2,IF('Offshore - Sydney'!D458="Trimester",'Offshore - Sydney'!E458*3,IF('Offshore - Sydney'!D458="Term",'Offshore - Sydney'!E458*4,IF('Offshore - Sydney'!D458="Unit",'Offshore - Sydney'!E458*8,""))))))</f>
        <v>6400</v>
      </c>
      <c r="L646" s="0" t="n">
        <f aca="false">IF(AND(ISNUMBER('Offshore - Sydney'!E458),ISNUMBER(K646),ISNUMBER('Offshore - Sydney'!F458),ISNUMBER('Offshore - Sydney'!G458),OR('Offshore - Sydney'!F458&lt;&gt;0,ISNUMBER(SEARCH("Material 0 terverifikasi",'Offshore - Sydney'!N458))),OR('Offshore - Sydney'!G458&lt;&gt;0,ISNUMBER(SEARCH("Enrolment 0 terverifikasi",'Offshore - Sydney'!N458)))),1,0)</f>
        <v>1</v>
      </c>
      <c r="M646" s="0" t="n">
        <f aca="false">IF(OR('Offshore - Sydney'!E458="",ISNUMBER(SEARCH("BSB80120",'Offshore - Sydney'!B458&amp;'Offshore - Sydney'!N458)),ISNUMBER(SEARCH("Management (Learning)",'Offshore - Sydney'!B458))),2,IF(ISNUMBER(SEARCH("CEK:",'Offshore - Sydney'!N458)),1,0))</f>
        <v>0</v>
      </c>
    </row>
    <row r="647" customFormat="false" ht="28.35" hidden="false" customHeight="false" outlineLevel="0" collapsed="false">
      <c r="A647" s="63" t="s">
        <v>3533</v>
      </c>
      <c r="B647" s="64" t="s">
        <v>3923</v>
      </c>
      <c r="C647" s="63" t="s">
        <v>41</v>
      </c>
      <c r="D647" s="64" t="str">
        <f aca="false">TRIM(LEFT('Offshore - Sydney'!A703,FIND(CHAR(10),'Offshore - Sydney'!A703&amp;CHAR(10))-1))</f>
        <v>Sydney Metro College (SMC)</v>
      </c>
      <c r="E647" s="63" t="str">
        <f aca="false">'Offshore - Sydney'!C713&amp;""</f>
        <v>3 years</v>
      </c>
      <c r="F647" s="63" t="str">
        <f aca="false">IF('Offshore - Sydney'!D713="","Belum tercatat",'Offshore - Sydney'!D713)</f>
        <v>Term</v>
      </c>
      <c r="G647" s="65" t="n">
        <f aca="false">IF('Offshore - Sydney'!E713="","-",'Offshore - Sydney'!E713)</f>
        <v>1670</v>
      </c>
      <c r="H647" s="63" t="n">
        <f aca="false">IF(ISNUMBER(K647),COUNTIFS($J$6:$J$1854,J647,$K$6:$K$1854,"&lt;"&amp;K647)+1,"-")</f>
        <v>2</v>
      </c>
      <c r="I647" s="64" t="str">
        <f aca="false">IF('Offshore - Sydney'!E713="","Harga belum tersedia - hubungi konsultan TEG",IF(M647=2,"Saat ini tidak menerima pendaftaran siswa internasional baru",IF(M647=1,"Harga perlu dikonfirmasi ke sekolah"&amp;IF(""="","","; "&amp;""),"")))</f>
        <v/>
      </c>
      <c r="J647" s="0" t="s">
        <v>3968</v>
      </c>
      <c r="K647" s="0" t="n">
        <f aca="false">IF(M647=2,"",IF(ISNUMBER(SEARCH("rata-rata:",'Offshore - Sydney'!N713)),VALUE(MID('Offshore - Sydney'!N713,SEARCH("rata-rata:",'Offshore - Sydney'!N713)+11,FIND(";",'Offshore - Sydney'!N713&amp;";",SEARCH("rata-rata:",'Offshore - Sydney'!N713))-SEARCH("rata-rata:",'Offshore - Sydney'!N713)-11)),IF('Offshore - Sydney'!D713="Semester",'Offshore - Sydney'!E713*2,IF('Offshore - Sydney'!D713="Trimester",'Offshore - Sydney'!E713*3,IF('Offshore - Sydney'!D713="Term",'Offshore - Sydney'!E713*4,IF('Offshore - Sydney'!D713="Unit",'Offshore - Sydney'!E713*8,""))))))</f>
        <v>6680</v>
      </c>
      <c r="L647" s="0" t="n">
        <f aca="false">IF(AND(ISNUMBER('Offshore - Sydney'!E713),ISNUMBER(K647),ISNUMBER('Offshore - Sydney'!F713),ISNUMBER('Offshore - Sydney'!G713),OR('Offshore - Sydney'!F713&lt;&gt;0,ISNUMBER(SEARCH("Material 0 terverifikasi",'Offshore - Sydney'!N713))),OR('Offshore - Sydney'!G713&lt;&gt;0,ISNUMBER(SEARCH("Enrolment 0 terverifikasi",'Offshore - Sydney'!N713)))),1,0)</f>
        <v>1</v>
      </c>
      <c r="M647" s="0" t="n">
        <f aca="false">IF(OR('Offshore - Sydney'!E713="",ISNUMBER(SEARCH("BSB80120",'Offshore - Sydney'!B713&amp;'Offshore - Sydney'!N713)),ISNUMBER(SEARCH("Management (Learning)",'Offshore - Sydney'!B713))),2,IF(ISNUMBER(SEARCH("CEK:",'Offshore - Sydney'!N713)),1,0))</f>
        <v>0</v>
      </c>
    </row>
    <row r="648" customFormat="false" ht="28.35" hidden="false" customHeight="false" outlineLevel="0" collapsed="false">
      <c r="A648" s="63" t="s">
        <v>3533</v>
      </c>
      <c r="B648" s="64" t="s">
        <v>3923</v>
      </c>
      <c r="C648" s="63" t="s">
        <v>41</v>
      </c>
      <c r="D648" s="64" t="str">
        <f aca="false">TRIM(LEFT('Offshore - Sydney'!A677,FIND(CHAR(10),'Offshore - Sydney'!A677&amp;CHAR(10))-1))</f>
        <v>Signet Institute of Australia</v>
      </c>
      <c r="E648" s="63" t="str">
        <f aca="false">'Offshore - Sydney'!C683&amp;""</f>
        <v>4 years</v>
      </c>
      <c r="F648" s="63" t="str">
        <f aca="false">IF('Offshore - Sydney'!D683="","Belum tercatat",'Offshore - Sydney'!D683)</f>
        <v>Term</v>
      </c>
      <c r="G648" s="65" t="n">
        <f aca="false">IF('Offshore - Sydney'!E683="","-",'Offshore - Sydney'!E683)</f>
        <v>1800</v>
      </c>
      <c r="H648" s="63" t="n">
        <f aca="false">IF(ISNUMBER(K648),COUNTIFS($J$6:$J$1854,J648,$K$6:$K$1854,"&lt;"&amp;K648)+1,"-")</f>
        <v>3</v>
      </c>
      <c r="I648" s="64" t="str">
        <f aca="false">IF('Offshore - Sydney'!E683="","Harga belum tersedia - hubungi konsultan TEG",IF(M648=2,"Saat ini tidak menerima pendaftaran siswa internasional baru",IF(M648=1,"Harga perlu dikonfirmasi ke sekolah"&amp;IF(""="","","; "&amp;""),"")))</f>
        <v/>
      </c>
      <c r="J648" s="0" t="s">
        <v>3968</v>
      </c>
      <c r="K648" s="0" t="n">
        <f aca="false">IF(M648=2,"",IF(ISNUMBER(SEARCH("rata-rata:",'Offshore - Sydney'!N683)),VALUE(MID('Offshore - Sydney'!N683,SEARCH("rata-rata:",'Offshore - Sydney'!N683)+11,FIND(";",'Offshore - Sydney'!N683&amp;";",SEARCH("rata-rata:",'Offshore - Sydney'!N683))-SEARCH("rata-rata:",'Offshore - Sydney'!N683)-11)),IF('Offshore - Sydney'!D683="Semester",'Offshore - Sydney'!E683*2,IF('Offshore - Sydney'!D683="Trimester",'Offshore - Sydney'!E683*3,IF('Offshore - Sydney'!D683="Term",'Offshore - Sydney'!E683*4,IF('Offshore - Sydney'!D683="Unit",'Offshore - Sydney'!E683*8,""))))))</f>
        <v>7200</v>
      </c>
      <c r="L648" s="0" t="n">
        <f aca="false">IF(AND(ISNUMBER('Offshore - Sydney'!E683),ISNUMBER(K648),ISNUMBER('Offshore - Sydney'!F683),ISNUMBER('Offshore - Sydney'!G683),OR('Offshore - Sydney'!F683&lt;&gt;0,ISNUMBER(SEARCH("Material 0 terverifikasi",'Offshore - Sydney'!N683))),OR('Offshore - Sydney'!G683&lt;&gt;0,ISNUMBER(SEARCH("Enrolment 0 terverifikasi",'Offshore - Sydney'!N683)))),1,0)</f>
        <v>1</v>
      </c>
      <c r="M648" s="0" t="n">
        <f aca="false">IF(OR('Offshore - Sydney'!E683="",ISNUMBER(SEARCH("BSB80120",'Offshore - Sydney'!B683&amp;'Offshore - Sydney'!N683)),ISNUMBER(SEARCH("Management (Learning)",'Offshore - Sydney'!B683))),2,IF(ISNUMBER(SEARCH("CEK:",'Offshore - Sydney'!N683)),1,0))</f>
        <v>0</v>
      </c>
    </row>
    <row r="649" customFormat="false" ht="28.35" hidden="false" customHeight="false" outlineLevel="0" collapsed="false">
      <c r="A649" s="63" t="s">
        <v>3533</v>
      </c>
      <c r="B649" s="64" t="s">
        <v>3923</v>
      </c>
      <c r="C649" s="63" t="s">
        <v>41</v>
      </c>
      <c r="D649" s="64" t="str">
        <f aca="false">TRIM(LEFT('Offshore - Sydney'!A313,FIND(CHAR(10),'Offshore - Sydney'!A313&amp;CHAR(10))-1))</f>
        <v>Australian International College of Skills &amp; Education (AICSE)</v>
      </c>
      <c r="E649" s="63" t="str">
        <f aca="false">'Offshore - Sydney'!C323&amp;""</f>
        <v>4 years</v>
      </c>
      <c r="F649" s="63" t="str">
        <f aca="false">IF('Offshore - Sydney'!D323="","Belum tercatat",'Offshore - Sydney'!D323)</f>
        <v>Term</v>
      </c>
      <c r="G649" s="65" t="n">
        <f aca="false">IF('Offshore - Sydney'!E323="","-",'Offshore - Sydney'!E323)</f>
        <v>1875</v>
      </c>
      <c r="H649" s="63" t="n">
        <f aca="false">IF(ISNUMBER(K649),COUNTIFS($J$6:$J$1854,J649,$K$6:$K$1854,"&lt;"&amp;K649)+1,"-")</f>
        <v>4</v>
      </c>
      <c r="I649" s="64" t="str">
        <f aca="false">IF('Offshore - Sydney'!E323="","Harga belum tersedia - hubungi konsultan TEG",IF(M649=2,"Saat ini tidak menerima pendaftaran siswa internasional baru",IF(M649=1,"Harga perlu dikonfirmasi ke sekolah"&amp;IF(""="","","; "&amp;""),"")))</f>
        <v/>
      </c>
      <c r="J649" s="0" t="s">
        <v>3968</v>
      </c>
      <c r="K649" s="0" t="n">
        <f aca="false">IF(M649=2,"",IF(ISNUMBER(SEARCH("rata-rata:",'Offshore - Sydney'!N323)),VALUE(MID('Offshore - Sydney'!N323,SEARCH("rata-rata:",'Offshore - Sydney'!N323)+11,FIND(";",'Offshore - Sydney'!N323&amp;";",SEARCH("rata-rata:",'Offshore - Sydney'!N323))-SEARCH("rata-rata:",'Offshore - Sydney'!N323)-11)),IF('Offshore - Sydney'!D323="Semester",'Offshore - Sydney'!E323*2,IF('Offshore - Sydney'!D323="Trimester",'Offshore - Sydney'!E323*3,IF('Offshore - Sydney'!D323="Term",'Offshore - Sydney'!E323*4,IF('Offshore - Sydney'!D323="Unit",'Offshore - Sydney'!E323*8,""))))))</f>
        <v>7500</v>
      </c>
      <c r="L649" s="0" t="n">
        <f aca="false">IF(AND(ISNUMBER('Offshore - Sydney'!E323),ISNUMBER(K649),ISNUMBER('Offshore - Sydney'!F323),ISNUMBER('Offshore - Sydney'!G323),OR('Offshore - Sydney'!F323&lt;&gt;0,ISNUMBER(SEARCH("Material 0 terverifikasi",'Offshore - Sydney'!N323))),OR('Offshore - Sydney'!G323&lt;&gt;0,ISNUMBER(SEARCH("Enrolment 0 terverifikasi",'Offshore - Sydney'!N323)))),1,0)</f>
        <v>1</v>
      </c>
      <c r="M649" s="0" t="n">
        <f aca="false">IF(OR('Offshore - Sydney'!E323="",ISNUMBER(SEARCH("BSB80120",'Offshore - Sydney'!B323&amp;'Offshore - Sydney'!N323)),ISNUMBER(SEARCH("Management (Learning)",'Offshore - Sydney'!B323))),2,IF(ISNUMBER(SEARCH("CEK:",'Offshore - Sydney'!N323)),1,0))</f>
        <v>0</v>
      </c>
    </row>
    <row r="650" customFormat="false" ht="28.35" hidden="false" customHeight="false" outlineLevel="0" collapsed="false">
      <c r="A650" s="63" t="s">
        <v>3533</v>
      </c>
      <c r="B650" s="64" t="s">
        <v>3923</v>
      </c>
      <c r="C650" s="63" t="s">
        <v>41</v>
      </c>
      <c r="D650" s="64" t="str">
        <f aca="false">TRIM(LEFT('Offshore - Sydney'!A333,FIND(CHAR(10),'Offshore - Sydney'!A333&amp;CHAR(10))-1))</f>
        <v>Berkeley Business Institute (BBI)</v>
      </c>
      <c r="E650" s="63" t="str">
        <f aca="false">'Offshore - Sydney'!C342&amp;""</f>
        <v>2 years</v>
      </c>
      <c r="F650" s="63" t="str">
        <f aca="false">IF('Offshore - Sydney'!D342="","Belum tercatat",'Offshore - Sydney'!D342)</f>
        <v>Term</v>
      </c>
      <c r="G650" s="65" t="n">
        <f aca="false">IF('Offshore - Sydney'!E342="","-",'Offshore - Sydney'!E342)</f>
        <v>2000</v>
      </c>
      <c r="H650" s="63" t="n">
        <f aca="false">IF(ISNUMBER(K650),COUNTIFS($J$6:$J$1854,J650,$K$6:$K$1854,"&lt;"&amp;K650)+1,"-")</f>
        <v>5</v>
      </c>
      <c r="I650" s="64" t="str">
        <f aca="false">IF('Offshore - Sydney'!E342="","Harga belum tersedia - hubungi konsultan TEG",IF(M650=2,"Saat ini tidak menerima pendaftaran siswa internasional baru",IF(M650=1,"Harga perlu dikonfirmasi ke sekolah"&amp;IF(""="","","; "&amp;""),"")))</f>
        <v>Harga perlu dikonfirmasi ke sekolah</v>
      </c>
      <c r="J650" s="0" t="s">
        <v>3968</v>
      </c>
      <c r="K650" s="0" t="n">
        <f aca="false">IF(M650=2,"",IF(ISNUMBER(SEARCH("rata-rata:",'Offshore - Sydney'!N342)),VALUE(MID('Offshore - Sydney'!N342,SEARCH("rata-rata:",'Offshore - Sydney'!N342)+11,FIND(";",'Offshore - Sydney'!N342&amp;";",SEARCH("rata-rata:",'Offshore - Sydney'!N342))-SEARCH("rata-rata:",'Offshore - Sydney'!N342)-11)),IF('Offshore - Sydney'!D342="Semester",'Offshore - Sydney'!E342*2,IF('Offshore - Sydney'!D342="Trimester",'Offshore - Sydney'!E342*3,IF('Offshore - Sydney'!D342="Term",'Offshore - Sydney'!E342*4,IF('Offshore - Sydney'!D342="Unit",'Offshore - Sydney'!E342*8,""))))))</f>
        <v>8000</v>
      </c>
      <c r="L650" s="0" t="n">
        <f aca="false">IF(AND(ISNUMBER('Offshore - Sydney'!E342),ISNUMBER(K650),ISNUMBER('Offshore - Sydney'!F342),ISNUMBER('Offshore - Sydney'!G342),OR('Offshore - Sydney'!F342&lt;&gt;0,ISNUMBER(SEARCH("Material 0 terverifikasi",'Offshore - Sydney'!N342))),OR('Offshore - Sydney'!G342&lt;&gt;0,ISNUMBER(SEARCH("Enrolment 0 terverifikasi",'Offshore - Sydney'!N342)))),1,0)</f>
        <v>1</v>
      </c>
      <c r="M650" s="0" t="n">
        <f aca="false">IF(OR('Offshore - Sydney'!E342="",ISNUMBER(SEARCH("BSB80120",'Offshore - Sydney'!B342&amp;'Offshore - Sydney'!N342)),ISNUMBER(SEARCH("Management (Learning)",'Offshore - Sydney'!B342))),2,IF(ISNUMBER(SEARCH("CEK:",'Offshore - Sydney'!N342)),1,0))</f>
        <v>1</v>
      </c>
    </row>
    <row r="651" customFormat="false" ht="28.35" hidden="false" customHeight="false" outlineLevel="0" collapsed="false">
      <c r="A651" s="63" t="s">
        <v>3533</v>
      </c>
      <c r="B651" s="64" t="s">
        <v>3923</v>
      </c>
      <c r="C651" s="63" t="s">
        <v>41</v>
      </c>
      <c r="D651" s="64" t="str">
        <f aca="false">TRIM(LEFT('Offshore - Sydney'!A430,FIND(CHAR(10),'Offshore - Sydney'!A430&amp;CHAR(10))-1))</f>
        <v>George Brown College</v>
      </c>
      <c r="E651" s="63" t="str">
        <f aca="false">'Offshore - Sydney'!C440&amp;""</f>
        <v>3 years</v>
      </c>
      <c r="F651" s="63" t="str">
        <f aca="false">IF('Offshore - Sydney'!D440="","Belum tercatat",'Offshore - Sydney'!D440)</f>
        <v>Term</v>
      </c>
      <c r="G651" s="65" t="n">
        <f aca="false">IF('Offshore - Sydney'!E440="","-",'Offshore - Sydney'!E440)</f>
        <v>2000</v>
      </c>
      <c r="H651" s="63" t="n">
        <f aca="false">IF(ISNUMBER(K651),COUNTIFS($J$6:$J$1854,J651,$K$6:$K$1854,"&lt;"&amp;K651)+1,"-")</f>
        <v>5</v>
      </c>
      <c r="I651" s="64" t="str">
        <f aca="false">IF('Offshore - Sydney'!E440="","Harga belum tersedia - hubungi konsultan TEG",IF(M651=2,"Saat ini tidak menerima pendaftaran siswa internasional baru",IF(M651=1,"Harga perlu dikonfirmasi ke sekolah"&amp;IF(""="","","; "&amp;""),"")))</f>
        <v/>
      </c>
      <c r="J651" s="0" t="s">
        <v>3968</v>
      </c>
      <c r="K651" s="0" t="n">
        <f aca="false">IF(M651=2,"",IF(ISNUMBER(SEARCH("rata-rata:",'Offshore - Sydney'!N440)),VALUE(MID('Offshore - Sydney'!N440,SEARCH("rata-rata:",'Offshore - Sydney'!N440)+11,FIND(";",'Offshore - Sydney'!N440&amp;";",SEARCH("rata-rata:",'Offshore - Sydney'!N440))-SEARCH("rata-rata:",'Offshore - Sydney'!N440)-11)),IF('Offshore - Sydney'!D440="Semester",'Offshore - Sydney'!E440*2,IF('Offshore - Sydney'!D440="Trimester",'Offshore - Sydney'!E440*3,IF('Offshore - Sydney'!D440="Term",'Offshore - Sydney'!E440*4,IF('Offshore - Sydney'!D440="Unit",'Offshore - Sydney'!E440*8,""))))))</f>
        <v>8000</v>
      </c>
      <c r="L651" s="0" t="n">
        <f aca="false">IF(AND(ISNUMBER('Offshore - Sydney'!E440),ISNUMBER(K651),ISNUMBER('Offshore - Sydney'!F440),ISNUMBER('Offshore - Sydney'!G440),OR('Offshore - Sydney'!F440&lt;&gt;0,ISNUMBER(SEARCH("Material 0 terverifikasi",'Offshore - Sydney'!N440))),OR('Offshore - Sydney'!G440&lt;&gt;0,ISNUMBER(SEARCH("Enrolment 0 terverifikasi",'Offshore - Sydney'!N440)))),1,0)</f>
        <v>1</v>
      </c>
      <c r="M651" s="0" t="n">
        <f aca="false">IF(OR('Offshore - Sydney'!E440="",ISNUMBER(SEARCH("BSB80120",'Offshore - Sydney'!B440&amp;'Offshore - Sydney'!N440)),ISNUMBER(SEARCH("Management (Learning)",'Offshore - Sydney'!B440))),2,IF(ISNUMBER(SEARCH("CEK:",'Offshore - Sydney'!N440)),1,0))</f>
        <v>0</v>
      </c>
    </row>
    <row r="652" customFormat="false" ht="28.35" hidden="false" customHeight="false" outlineLevel="0" collapsed="false">
      <c r="A652" s="63" t="s">
        <v>3533</v>
      </c>
      <c r="B652" s="64" t="s">
        <v>3923</v>
      </c>
      <c r="C652" s="63" t="s">
        <v>41</v>
      </c>
      <c r="D652" s="64" t="str">
        <f aca="false">TRIM(LEFT('Offshore - Sydney'!A494,FIND(CHAR(10),'Offshore - Sydney'!A494&amp;CHAR(10))-1))</f>
        <v>INUS / ZOI (Nuture Education Group)</v>
      </c>
      <c r="E652" s="63" t="str">
        <f aca="false">'Offshore - Sydney'!C494&amp;""</f>
        <v>2 years</v>
      </c>
      <c r="F652" s="63" t="str">
        <f aca="false">IF('Offshore - Sydney'!D494="","Belum tercatat",'Offshore - Sydney'!D494)</f>
        <v>Term</v>
      </c>
      <c r="G652" s="65" t="n">
        <f aca="false">IF('Offshore - Sydney'!E494="","-",'Offshore - Sydney'!E494)</f>
        <v>2000</v>
      </c>
      <c r="H652" s="63" t="n">
        <f aca="false">IF(ISNUMBER(K652),COUNTIFS($J$6:$J$1854,J652,$K$6:$K$1854,"&lt;"&amp;K652)+1,"-")</f>
        <v>5</v>
      </c>
      <c r="I652" s="64" t="str">
        <f aca="false">IF('Offshore - Sydney'!E494="","Harga belum tersedia - hubungi konsultan TEG",IF(M652=2,"Saat ini tidak menerima pendaftaran siswa internasional baru",IF(M652=1,"Harga perlu dikonfirmasi ke sekolah"&amp;IF(""="","","; "&amp;""),"")))</f>
        <v>Harga perlu dikonfirmasi ke sekolah</v>
      </c>
      <c r="J652" s="0" t="s">
        <v>3968</v>
      </c>
      <c r="K652" s="0" t="n">
        <f aca="false">IF(M652=2,"",IF(ISNUMBER(SEARCH("rata-rata:",'Offshore - Sydney'!N494)),VALUE(MID('Offshore - Sydney'!N494,SEARCH("rata-rata:",'Offshore - Sydney'!N494)+11,FIND(";",'Offshore - Sydney'!N494&amp;";",SEARCH("rata-rata:",'Offshore - Sydney'!N494))-SEARCH("rata-rata:",'Offshore - Sydney'!N494)-11)),IF('Offshore - Sydney'!D494="Semester",'Offshore - Sydney'!E494*2,IF('Offshore - Sydney'!D494="Trimester",'Offshore - Sydney'!E494*3,IF('Offshore - Sydney'!D494="Term",'Offshore - Sydney'!E494*4,IF('Offshore - Sydney'!D494="Unit",'Offshore - Sydney'!E494*8,""))))))</f>
        <v>8000</v>
      </c>
      <c r="L652" s="0" t="n">
        <f aca="false">IF(AND(ISNUMBER('Offshore - Sydney'!E494),ISNUMBER(K652),ISNUMBER('Offshore - Sydney'!F494),ISNUMBER('Offshore - Sydney'!G494),OR('Offshore - Sydney'!F494&lt;&gt;0,ISNUMBER(SEARCH("Material 0 terverifikasi",'Offshore - Sydney'!N494))),OR('Offshore - Sydney'!G494&lt;&gt;0,ISNUMBER(SEARCH("Enrolment 0 terverifikasi",'Offshore - Sydney'!N494)))),1,0)</f>
        <v>1</v>
      </c>
      <c r="M652" s="0" t="n">
        <f aca="false">IF(OR('Offshore - Sydney'!E494="",ISNUMBER(SEARCH("BSB80120",'Offshore - Sydney'!B494&amp;'Offshore - Sydney'!N494)),ISNUMBER(SEARCH("Management (Learning)",'Offshore - Sydney'!B494))),2,IF(ISNUMBER(SEARCH("CEK:",'Offshore - Sydney'!N494)),1,0))</f>
        <v>1</v>
      </c>
    </row>
    <row r="653" customFormat="false" ht="28.35" hidden="false" customHeight="false" outlineLevel="0" collapsed="false">
      <c r="A653" s="63" t="s">
        <v>3533</v>
      </c>
      <c r="B653" s="64" t="s">
        <v>3923</v>
      </c>
      <c r="C653" s="63" t="s">
        <v>41</v>
      </c>
      <c r="D653" s="64" t="str">
        <f aca="false">TRIM(LEFT('Offshore - Sydney'!A800,FIND(CHAR(10),'Offshore - Sydney'!A800&amp;CHAR(10))-1))</f>
        <v>Times Academy</v>
      </c>
      <c r="E653" s="63" t="str">
        <f aca="false">'Offshore - Sydney'!C800&amp;""</f>
        <v>2,5 years</v>
      </c>
      <c r="F653" s="63" t="str">
        <f aca="false">IF('Offshore - Sydney'!D800="","Belum tercatat",'Offshore - Sydney'!D800)</f>
        <v>Term</v>
      </c>
      <c r="G653" s="65" t="n">
        <f aca="false">IF('Offshore - Sydney'!E800="","-",'Offshore - Sydney'!E800)</f>
        <v>2000</v>
      </c>
      <c r="H653" s="63" t="n">
        <f aca="false">IF(ISNUMBER(K653),COUNTIFS($J$6:$J$1854,J653,$K$6:$K$1854,"&lt;"&amp;K653)+1,"-")</f>
        <v>5</v>
      </c>
      <c r="I653" s="64" t="str">
        <f aca="false">IF('Offshore - Sydney'!E800="","Harga belum tersedia - hubungi konsultan TEG",IF(M653=2,"Saat ini tidak menerima pendaftaran siswa internasional baru",IF(M653=1,"Harga perlu dikonfirmasi ke sekolah"&amp;IF(""="","","; "&amp;""),"")))</f>
        <v/>
      </c>
      <c r="J653" s="0" t="s">
        <v>3968</v>
      </c>
      <c r="K653" s="0" t="n">
        <f aca="false">IF(M653=2,"",IF(ISNUMBER(SEARCH("rata-rata:",'Offshore - Sydney'!N800)),VALUE(MID('Offshore - Sydney'!N800,SEARCH("rata-rata:",'Offshore - Sydney'!N800)+11,FIND(";",'Offshore - Sydney'!N800&amp;";",SEARCH("rata-rata:",'Offshore - Sydney'!N800))-SEARCH("rata-rata:",'Offshore - Sydney'!N800)-11)),IF('Offshore - Sydney'!D800="Semester",'Offshore - Sydney'!E800*2,IF('Offshore - Sydney'!D800="Trimester",'Offshore - Sydney'!E800*3,IF('Offshore - Sydney'!D800="Term",'Offshore - Sydney'!E800*4,IF('Offshore - Sydney'!D800="Unit",'Offshore - Sydney'!E800*8,""))))))</f>
        <v>8000</v>
      </c>
      <c r="L653" s="0" t="n">
        <f aca="false">IF(AND(ISNUMBER('Offshore - Sydney'!E800),ISNUMBER(K653),ISNUMBER('Offshore - Sydney'!F800),ISNUMBER('Offshore - Sydney'!G800),OR('Offshore - Sydney'!F800&lt;&gt;0,ISNUMBER(SEARCH("Material 0 terverifikasi",'Offshore - Sydney'!N800))),OR('Offshore - Sydney'!G800&lt;&gt;0,ISNUMBER(SEARCH("Enrolment 0 terverifikasi",'Offshore - Sydney'!N800)))),1,0)</f>
        <v>1</v>
      </c>
      <c r="M653" s="0" t="n">
        <f aca="false">IF(OR('Offshore - Sydney'!E800="",ISNUMBER(SEARCH("BSB80120",'Offshore - Sydney'!B800&amp;'Offshore - Sydney'!N800)),ISNUMBER(SEARCH("Management (Learning)",'Offshore - Sydney'!B800))),2,IF(ISNUMBER(SEARCH("CEK:",'Offshore - Sydney'!N800)),1,0))</f>
        <v>0</v>
      </c>
    </row>
    <row r="654" customFormat="false" ht="28.35" hidden="false" customHeight="false" outlineLevel="0" collapsed="false">
      <c r="A654" s="63" t="s">
        <v>3533</v>
      </c>
      <c r="B654" s="64" t="s">
        <v>3923</v>
      </c>
      <c r="C654" s="63" t="s">
        <v>41</v>
      </c>
      <c r="D654" s="64" t="str">
        <f aca="false">TRIM(LEFT('Offshore - Sydney'!A599,FIND(CHAR(10),'Offshore - Sydney'!A599&amp;CHAR(10))-1))</f>
        <v>New Cambridge College Sydney (NCCS)</v>
      </c>
      <c r="E654" s="63" t="str">
        <f aca="false">'Offshore - Sydney'!C607&amp;""</f>
        <v>2 years</v>
      </c>
      <c r="F654" s="63" t="str">
        <f aca="false">IF('Offshore - Sydney'!D607="","Belum tercatat",'Offshore - Sydney'!D607)</f>
        <v>Term</v>
      </c>
      <c r="G654" s="65" t="n">
        <f aca="false">IF('Offshore - Sydney'!E607="","-",'Offshore - Sydney'!E607)</f>
        <v>2100</v>
      </c>
      <c r="H654" s="63" t="n">
        <f aca="false">IF(ISNUMBER(K654),COUNTIFS($J$6:$J$1854,J654,$K$6:$K$1854,"&lt;"&amp;K654)+1,"-")</f>
        <v>9</v>
      </c>
      <c r="I654" s="64" t="str">
        <f aca="false">IF('Offshore - Sydney'!E607="","Harga belum tersedia - hubungi konsultan TEG",IF(M654=2,"Saat ini tidak menerima pendaftaran siswa internasional baru",IF(M654=1,"Harga perlu dikonfirmasi ke sekolah"&amp;IF(""="","","; "&amp;""),"")))</f>
        <v/>
      </c>
      <c r="J654" s="0" t="s">
        <v>3968</v>
      </c>
      <c r="K654" s="0" t="n">
        <f aca="false">IF(M654=2,"",IF(ISNUMBER(SEARCH("rata-rata:",'Offshore - Sydney'!N607)),VALUE(MID('Offshore - Sydney'!N607,SEARCH("rata-rata:",'Offshore - Sydney'!N607)+11,FIND(";",'Offshore - Sydney'!N607&amp;";",SEARCH("rata-rata:",'Offshore - Sydney'!N607))-SEARCH("rata-rata:",'Offshore - Sydney'!N607)-11)),IF('Offshore - Sydney'!D607="Semester",'Offshore - Sydney'!E607*2,IF('Offshore - Sydney'!D607="Trimester",'Offshore - Sydney'!E607*3,IF('Offshore - Sydney'!D607="Term",'Offshore - Sydney'!E607*4,IF('Offshore - Sydney'!D607="Unit",'Offshore - Sydney'!E607*8,""))))))</f>
        <v>8400</v>
      </c>
      <c r="L654" s="0" t="n">
        <f aca="false">IF(AND(ISNUMBER('Offshore - Sydney'!E607),ISNUMBER(K654),ISNUMBER('Offshore - Sydney'!F607),ISNUMBER('Offshore - Sydney'!G607),OR('Offshore - Sydney'!F607&lt;&gt;0,ISNUMBER(SEARCH("Material 0 terverifikasi",'Offshore - Sydney'!N607))),OR('Offshore - Sydney'!G607&lt;&gt;0,ISNUMBER(SEARCH("Enrolment 0 terverifikasi",'Offshore - Sydney'!N607)))),1,0)</f>
        <v>1</v>
      </c>
      <c r="M654" s="0" t="n">
        <f aca="false">IF(OR('Offshore - Sydney'!E607="",ISNUMBER(SEARCH("BSB80120",'Offshore - Sydney'!B607&amp;'Offshore - Sydney'!N607)),ISNUMBER(SEARCH("Management (Learning)",'Offshore - Sydney'!B607))),2,IF(ISNUMBER(SEARCH("CEK:",'Offshore - Sydney'!N607)),1,0))</f>
        <v>0</v>
      </c>
    </row>
    <row r="655" customFormat="false" ht="28.35" hidden="false" customHeight="false" outlineLevel="0" collapsed="false">
      <c r="A655" s="63" t="s">
        <v>3533</v>
      </c>
      <c r="B655" s="64" t="s">
        <v>3923</v>
      </c>
      <c r="C655" s="63" t="s">
        <v>41</v>
      </c>
      <c r="D655" s="64" t="str">
        <f aca="false">TRIM(LEFT('Offshore - Sydney'!A715,FIND(CHAR(10),'Offshore - Sydney'!A715&amp;CHAR(10))-1))</f>
        <v>Sydney Metropolitan International College</v>
      </c>
      <c r="E655" s="63" t="str">
        <f aca="false">'Offshore - Sydney'!C719&amp;""</f>
        <v>4 years</v>
      </c>
      <c r="F655" s="63" t="str">
        <f aca="false">IF('Offshore - Sydney'!D719="","Belum tercatat",'Offshore - Sydney'!D719)</f>
        <v>Term</v>
      </c>
      <c r="G655" s="65" t="n">
        <f aca="false">IF('Offshore - Sydney'!E719="","-",'Offshore - Sydney'!E719)</f>
        <v>2100</v>
      </c>
      <c r="H655" s="63" t="n">
        <f aca="false">IF(ISNUMBER(K655),COUNTIFS($J$6:$J$1854,J655,$K$6:$K$1854,"&lt;"&amp;K655)+1,"-")</f>
        <v>9</v>
      </c>
      <c r="I655" s="64" t="str">
        <f aca="false">IF('Offshore - Sydney'!E719="","Harga belum tersedia - hubungi konsultan TEG",IF(M655=2,"Saat ini tidak menerima pendaftaran siswa internasional baru",IF(M655=1,"Harga perlu dikonfirmasi ke sekolah"&amp;IF(""="","","; "&amp;""),"")))</f>
        <v/>
      </c>
      <c r="J655" s="0" t="s">
        <v>3968</v>
      </c>
      <c r="K655" s="0" t="n">
        <f aca="false">IF(M655=2,"",IF(ISNUMBER(SEARCH("rata-rata:",'Offshore - Sydney'!N719)),VALUE(MID('Offshore - Sydney'!N719,SEARCH("rata-rata:",'Offshore - Sydney'!N719)+11,FIND(";",'Offshore - Sydney'!N719&amp;";",SEARCH("rata-rata:",'Offshore - Sydney'!N719))-SEARCH("rata-rata:",'Offshore - Sydney'!N719)-11)),IF('Offshore - Sydney'!D719="Semester",'Offshore - Sydney'!E719*2,IF('Offshore - Sydney'!D719="Trimester",'Offshore - Sydney'!E719*3,IF('Offshore - Sydney'!D719="Term",'Offshore - Sydney'!E719*4,IF('Offshore - Sydney'!D719="Unit",'Offshore - Sydney'!E719*8,""))))))</f>
        <v>8400</v>
      </c>
      <c r="L655" s="0" t="n">
        <f aca="false">IF(AND(ISNUMBER('Offshore - Sydney'!E719),ISNUMBER(K655),ISNUMBER('Offshore - Sydney'!F719),ISNUMBER('Offshore - Sydney'!G719),OR('Offshore - Sydney'!F719&lt;&gt;0,ISNUMBER(SEARCH("Material 0 terverifikasi",'Offshore - Sydney'!N719))),OR('Offshore - Sydney'!G719&lt;&gt;0,ISNUMBER(SEARCH("Enrolment 0 terverifikasi",'Offshore - Sydney'!N719)))),1,0)</f>
        <v>1</v>
      </c>
      <c r="M655" s="0" t="n">
        <f aca="false">IF(OR('Offshore - Sydney'!E719="",ISNUMBER(SEARCH("BSB80120",'Offshore - Sydney'!B719&amp;'Offshore - Sydney'!N719)),ISNUMBER(SEARCH("Management (Learning)",'Offshore - Sydney'!B719))),2,IF(ISNUMBER(SEARCH("CEK:",'Offshore - Sydney'!N719)),1,0))</f>
        <v>0</v>
      </c>
    </row>
    <row r="656" customFormat="false" ht="28.35" hidden="false" customHeight="false" outlineLevel="0" collapsed="false">
      <c r="A656" s="63" t="s">
        <v>3533</v>
      </c>
      <c r="B656" s="64" t="s">
        <v>3923</v>
      </c>
      <c r="C656" s="63" t="s">
        <v>41</v>
      </c>
      <c r="D656" s="64" t="str">
        <f aca="false">TRIM(LEFT('Offshore - Sydney'!A609,FIND(CHAR(10),'Offshore - Sydney'!A609&amp;CHAR(10))-1))</f>
        <v>New Era Institute</v>
      </c>
      <c r="E656" s="63" t="str">
        <f aca="false">'Offshore - Sydney'!C613&amp;""</f>
        <v>2 years</v>
      </c>
      <c r="F656" s="63" t="str">
        <f aca="false">IF('Offshore - Sydney'!D613="","Belum tercatat",'Offshore - Sydney'!D613)</f>
        <v>Term</v>
      </c>
      <c r="G656" s="65" t="n">
        <f aca="false">IF('Offshore - Sydney'!E613="","-",'Offshore - Sydney'!E613)</f>
        <v>2125</v>
      </c>
      <c r="H656" s="63" t="n">
        <f aca="false">IF(ISNUMBER(K656),COUNTIFS($J$6:$J$1854,J656,$K$6:$K$1854,"&lt;"&amp;K656)+1,"-")</f>
        <v>11</v>
      </c>
      <c r="I656" s="64" t="str">
        <f aca="false">IF('Offshore - Sydney'!E613="","Harga belum tersedia - hubungi konsultan TEG",IF(M656=2,"Saat ini tidak menerima pendaftaran siswa internasional baru",IF(M656=1,"Harga perlu dikonfirmasi ke sekolah"&amp;IF(""="","","; "&amp;""),"")))</f>
        <v/>
      </c>
      <c r="J656" s="0" t="s">
        <v>3968</v>
      </c>
      <c r="K656" s="0" t="n">
        <f aca="false">IF(M656=2,"",IF(ISNUMBER(SEARCH("rata-rata:",'Offshore - Sydney'!N613)),VALUE(MID('Offshore - Sydney'!N613,SEARCH("rata-rata:",'Offshore - Sydney'!N613)+11,FIND(";",'Offshore - Sydney'!N613&amp;";",SEARCH("rata-rata:",'Offshore - Sydney'!N613))-SEARCH("rata-rata:",'Offshore - Sydney'!N613)-11)),IF('Offshore - Sydney'!D613="Semester",'Offshore - Sydney'!E613*2,IF('Offshore - Sydney'!D613="Trimester",'Offshore - Sydney'!E613*3,IF('Offshore - Sydney'!D613="Term",'Offshore - Sydney'!E613*4,IF('Offshore - Sydney'!D613="Unit",'Offshore - Sydney'!E613*8,""))))))</f>
        <v>8500</v>
      </c>
      <c r="L656" s="0" t="n">
        <f aca="false">IF(AND(ISNUMBER('Offshore - Sydney'!E613),ISNUMBER(K656),ISNUMBER('Offshore - Sydney'!F613),ISNUMBER('Offshore - Sydney'!G613),OR('Offshore - Sydney'!F613&lt;&gt;0,ISNUMBER(SEARCH("Material 0 terverifikasi",'Offshore - Sydney'!N613))),OR('Offshore - Sydney'!G613&lt;&gt;0,ISNUMBER(SEARCH("Enrolment 0 terverifikasi",'Offshore - Sydney'!N613)))),1,0)</f>
        <v>1</v>
      </c>
      <c r="M656" s="0" t="n">
        <f aca="false">IF(OR('Offshore - Sydney'!E613="",ISNUMBER(SEARCH("BSB80120",'Offshore - Sydney'!B613&amp;'Offshore - Sydney'!N613)),ISNUMBER(SEARCH("Management (Learning)",'Offshore - Sydney'!B613))),2,IF(ISNUMBER(SEARCH("CEK:",'Offshore - Sydney'!N613)),1,0))</f>
        <v>0</v>
      </c>
    </row>
    <row r="657" customFormat="false" ht="28.35" hidden="false" customHeight="false" outlineLevel="0" collapsed="false">
      <c r="A657" s="63" t="s">
        <v>3533</v>
      </c>
      <c r="B657" s="64" t="s">
        <v>3923</v>
      </c>
      <c r="C657" s="63" t="s">
        <v>41</v>
      </c>
      <c r="D657" s="64" t="str">
        <f aca="false">TRIM(LEFT('Offshore - Sydney'!A6,FIND(CHAR(10),'Offshore - Sydney'!A6&amp;CHAR(10))-1))</f>
        <v>Abbey College Australia</v>
      </c>
      <c r="E657" s="63" t="str">
        <f aca="false">'Offshore - Sydney'!C7&amp;""</f>
        <v>3,5 years</v>
      </c>
      <c r="F657" s="63" t="str">
        <f aca="false">IF('Offshore - Sydney'!D7="","Belum tercatat",'Offshore - Sydney'!D7)</f>
        <v>Term</v>
      </c>
      <c r="G657" s="65" t="n">
        <f aca="false">IF('Offshore - Sydney'!E7="","-",'Offshore - Sydney'!E7)</f>
        <v>2250</v>
      </c>
      <c r="H657" s="63" t="n">
        <f aca="false">IF(ISNUMBER(K657),COUNTIFS($J$6:$J$1854,J657,$K$6:$K$1854,"&lt;"&amp;K657)+1,"-")</f>
        <v>12</v>
      </c>
      <c r="I657" s="64" t="str">
        <f aca="false">IF('Offshore - Sydney'!E7="","Harga belum tersedia - hubungi konsultan TEG",IF(M657=2,"Saat ini tidak menerima pendaftaran siswa internasional baru",IF(M657=1,"Harga perlu dikonfirmasi ke sekolah"&amp;IF(""="","","; "&amp;""),"")))</f>
        <v/>
      </c>
      <c r="J657" s="0" t="s">
        <v>3968</v>
      </c>
      <c r="K657" s="0" t="n">
        <f aca="false">IF(M657=2,"",IF(ISNUMBER(SEARCH("rata-rata:",'Offshore - Sydney'!N7)),VALUE(MID('Offshore - Sydney'!N7,SEARCH("rata-rata:",'Offshore - Sydney'!N7)+11,FIND(";",'Offshore - Sydney'!N7&amp;";",SEARCH("rata-rata:",'Offshore - Sydney'!N7))-SEARCH("rata-rata:",'Offshore - Sydney'!N7)-11)),IF('Offshore - Sydney'!D7="Semester",'Offshore - Sydney'!E7*2,IF('Offshore - Sydney'!D7="Trimester",'Offshore - Sydney'!E7*3,IF('Offshore - Sydney'!D7="Term",'Offshore - Sydney'!E7*4,IF('Offshore - Sydney'!D7="Unit",'Offshore - Sydney'!E7*8,""))))))</f>
        <v>9000</v>
      </c>
      <c r="L657" s="0" t="n">
        <f aca="false">IF(AND(ISNUMBER('Offshore - Sydney'!E7),ISNUMBER(K657),ISNUMBER('Offshore - Sydney'!F7),ISNUMBER('Offshore - Sydney'!G7),OR('Offshore - Sydney'!F7&lt;&gt;0,ISNUMBER(SEARCH("Material 0 terverifikasi",'Offshore - Sydney'!N7))),OR('Offshore - Sydney'!G7&lt;&gt;0,ISNUMBER(SEARCH("Enrolment 0 terverifikasi",'Offshore - Sydney'!N7)))),1,0)</f>
        <v>1</v>
      </c>
      <c r="M657" s="0" t="n">
        <f aca="false">IF(OR('Offshore - Sydney'!E7="",ISNUMBER(SEARCH("BSB80120",'Offshore - Sydney'!B7&amp;'Offshore - Sydney'!N7)),ISNUMBER(SEARCH("Management (Learning)",'Offshore - Sydney'!B7))),2,IF(ISNUMBER(SEARCH("CEK:",'Offshore - Sydney'!N7)),1,0))</f>
        <v>0</v>
      </c>
    </row>
    <row r="658" customFormat="false" ht="28.35" hidden="false" customHeight="false" outlineLevel="0" collapsed="false">
      <c r="A658" s="63" t="s">
        <v>3533</v>
      </c>
      <c r="B658" s="64" t="s">
        <v>3923</v>
      </c>
      <c r="C658" s="63" t="s">
        <v>41</v>
      </c>
      <c r="D658" s="64" t="str">
        <f aca="false">TRIM(LEFT('Offshore - Sydney'!A296,FIND(CHAR(10),'Offshore - Sydney'!A296&amp;CHAR(10))-1))</f>
        <v>Australian Ideal College (AIC)</v>
      </c>
      <c r="E658" s="63" t="str">
        <f aca="false">'Offshore - Sydney'!C311&amp;""</f>
        <v>2,5 years</v>
      </c>
      <c r="F658" s="63" t="str">
        <f aca="false">IF('Offshore - Sydney'!D311="","Belum tercatat",'Offshore - Sydney'!D311)</f>
        <v>Term</v>
      </c>
      <c r="G658" s="65" t="n">
        <f aca="false">IF('Offshore - Sydney'!E311="","-",'Offshore - Sydney'!E311)</f>
        <v>2250</v>
      </c>
      <c r="H658" s="63" t="n">
        <f aca="false">IF(ISNUMBER(K658),COUNTIFS($J$6:$J$1854,J658,$K$6:$K$1854,"&lt;"&amp;K658)+1,"-")</f>
        <v>12</v>
      </c>
      <c r="I658" s="64" t="str">
        <f aca="false">IF('Offshore - Sydney'!E311="","Harga belum tersedia - hubungi konsultan TEG",IF(M658=2,"Saat ini tidak menerima pendaftaran siswa internasional baru",IF(M658=1,"Harga perlu dikonfirmasi ke sekolah"&amp;IF(""="","","; "&amp;""),"")))</f>
        <v/>
      </c>
      <c r="J658" s="0" t="s">
        <v>3968</v>
      </c>
      <c r="K658" s="0" t="n">
        <f aca="false">IF(M658=2,"",IF(ISNUMBER(SEARCH("rata-rata:",'Offshore - Sydney'!N311)),VALUE(MID('Offshore - Sydney'!N311,SEARCH("rata-rata:",'Offshore - Sydney'!N311)+11,FIND(";",'Offshore - Sydney'!N311&amp;";",SEARCH("rata-rata:",'Offshore - Sydney'!N311))-SEARCH("rata-rata:",'Offshore - Sydney'!N311)-11)),IF('Offshore - Sydney'!D311="Semester",'Offshore - Sydney'!E311*2,IF('Offshore - Sydney'!D311="Trimester",'Offshore - Sydney'!E311*3,IF('Offshore - Sydney'!D311="Term",'Offshore - Sydney'!E311*4,IF('Offshore - Sydney'!D311="Unit",'Offshore - Sydney'!E311*8,""))))))</f>
        <v>9000</v>
      </c>
      <c r="L658" s="0" t="n">
        <f aca="false">IF(AND(ISNUMBER('Offshore - Sydney'!E311),ISNUMBER(K658),ISNUMBER('Offshore - Sydney'!F311),ISNUMBER('Offshore - Sydney'!G311),OR('Offshore - Sydney'!F311&lt;&gt;0,ISNUMBER(SEARCH("Material 0 terverifikasi",'Offshore - Sydney'!N311))),OR('Offshore - Sydney'!G311&lt;&gt;0,ISNUMBER(SEARCH("Enrolment 0 terverifikasi",'Offshore - Sydney'!N311)))),1,0)</f>
        <v>1</v>
      </c>
      <c r="M658" s="0" t="n">
        <f aca="false">IF(OR('Offshore - Sydney'!E311="",ISNUMBER(SEARCH("BSB80120",'Offshore - Sydney'!B311&amp;'Offshore - Sydney'!N311)),ISNUMBER(SEARCH("Management (Learning)",'Offshore - Sydney'!B311))),2,IF(ISNUMBER(SEARCH("CEK:",'Offshore - Sydney'!N311)),1,0))</f>
        <v>0</v>
      </c>
    </row>
    <row r="659" customFormat="false" ht="28.35" hidden="false" customHeight="false" outlineLevel="0" collapsed="false">
      <c r="A659" s="63" t="s">
        <v>3533</v>
      </c>
      <c r="B659" s="64" t="s">
        <v>3923</v>
      </c>
      <c r="C659" s="63" t="s">
        <v>41</v>
      </c>
      <c r="D659" s="64" t="str">
        <f aca="false">TRIM(LEFT('Offshore - Sydney'!A349,FIND(CHAR(10),'Offshore - Sydney'!A349&amp;CHAR(10))-1))</f>
        <v>Capstone Institute of Australia (CIA)</v>
      </c>
      <c r="E659" s="63" t="str">
        <f aca="false">'Offshore - Sydney'!C353&amp;""</f>
        <v>2 years</v>
      </c>
      <c r="F659" s="63" t="str">
        <f aca="false">IF('Offshore - Sydney'!D353="","Belum tercatat",'Offshore - Sydney'!D353)</f>
        <v>Term</v>
      </c>
      <c r="G659" s="65" t="n">
        <f aca="false">IF('Offshore - Sydney'!E353="","-",'Offshore - Sydney'!E353)</f>
        <v>2250</v>
      </c>
      <c r="H659" s="63" t="n">
        <f aca="false">IF(ISNUMBER(K659),COUNTIFS($J$6:$J$1854,J659,$K$6:$K$1854,"&lt;"&amp;K659)+1,"-")</f>
        <v>12</v>
      </c>
      <c r="I659" s="64" t="str">
        <f aca="false">IF('Offshore - Sydney'!E353="","Harga belum tersedia - hubungi konsultan TEG",IF(M659=2,"Saat ini tidak menerima pendaftaran siswa internasional baru",IF(M659=1,"Harga perlu dikonfirmasi ke sekolah"&amp;IF(""="","","; "&amp;""),"")))</f>
        <v/>
      </c>
      <c r="J659" s="0" t="s">
        <v>3968</v>
      </c>
      <c r="K659" s="0" t="n">
        <f aca="false">IF(M659=2,"",IF(ISNUMBER(SEARCH("rata-rata:",'Offshore - Sydney'!N353)),VALUE(MID('Offshore - Sydney'!N353,SEARCH("rata-rata:",'Offshore - Sydney'!N353)+11,FIND(";",'Offshore - Sydney'!N353&amp;";",SEARCH("rata-rata:",'Offshore - Sydney'!N353))-SEARCH("rata-rata:",'Offshore - Sydney'!N353)-11)),IF('Offshore - Sydney'!D353="Semester",'Offshore - Sydney'!E353*2,IF('Offshore - Sydney'!D353="Trimester",'Offshore - Sydney'!E353*3,IF('Offshore - Sydney'!D353="Term",'Offshore - Sydney'!E353*4,IF('Offshore - Sydney'!D353="Unit",'Offshore - Sydney'!E353*8,""))))))</f>
        <v>9000</v>
      </c>
      <c r="L659" s="0" t="n">
        <f aca="false">IF(AND(ISNUMBER('Offshore - Sydney'!E353),ISNUMBER(K659),ISNUMBER('Offshore - Sydney'!F353),ISNUMBER('Offshore - Sydney'!G353),OR('Offshore - Sydney'!F353&lt;&gt;0,ISNUMBER(SEARCH("Material 0 terverifikasi",'Offshore - Sydney'!N353))),OR('Offshore - Sydney'!G353&lt;&gt;0,ISNUMBER(SEARCH("Enrolment 0 terverifikasi",'Offshore - Sydney'!N353)))),1,0)</f>
        <v>1</v>
      </c>
      <c r="M659" s="0" t="n">
        <f aca="false">IF(OR('Offshore - Sydney'!E353="",ISNUMBER(SEARCH("BSB80120",'Offshore - Sydney'!B353&amp;'Offshore - Sydney'!N353)),ISNUMBER(SEARCH("Management (Learning)",'Offshore - Sydney'!B353))),2,IF(ISNUMBER(SEARCH("CEK:",'Offshore - Sydney'!N353)),1,0))</f>
        <v>0</v>
      </c>
    </row>
    <row r="660" customFormat="false" ht="28.35" hidden="false" customHeight="false" outlineLevel="0" collapsed="false">
      <c r="A660" s="63" t="s">
        <v>3533</v>
      </c>
      <c r="B660" s="64" t="s">
        <v>3923</v>
      </c>
      <c r="C660" s="63" t="s">
        <v>41</v>
      </c>
      <c r="D660" s="64" t="str">
        <f aca="false">TRIM(LEFT('Offshore - Sydney'!A469,FIND(CHAR(10),'Offshore - Sydney'!A469&amp;CHAR(10))-1))</f>
        <v>Harbourside Institute of Australia (HIA)</v>
      </c>
      <c r="E660" s="63" t="str">
        <f aca="false">'Offshore - Sydney'!C476&amp;""</f>
        <v>2 years</v>
      </c>
      <c r="F660" s="63" t="str">
        <f aca="false">IF('Offshore - Sydney'!D476="","Belum tercatat",'Offshore - Sydney'!D476)</f>
        <v>Term</v>
      </c>
      <c r="G660" s="65" t="n">
        <f aca="false">IF('Offshore - Sydney'!E476="","-",'Offshore - Sydney'!E476)</f>
        <v>2250</v>
      </c>
      <c r="H660" s="63" t="n">
        <f aca="false">IF(ISNUMBER(K660),COUNTIFS($J$6:$J$1854,J660,$K$6:$K$1854,"&lt;"&amp;K660)+1,"-")</f>
        <v>12</v>
      </c>
      <c r="I660" s="64" t="str">
        <f aca="false">IF('Offshore - Sydney'!E476="","Harga belum tersedia - hubungi konsultan TEG",IF(M660=2,"Saat ini tidak menerima pendaftaran siswa internasional baru",IF(M660=1,"Harga perlu dikonfirmasi ke sekolah"&amp;IF(""="","","; "&amp;""),"")))</f>
        <v>Harga perlu dikonfirmasi ke sekolah</v>
      </c>
      <c r="J660" s="0" t="s">
        <v>3968</v>
      </c>
      <c r="K660" s="0" t="n">
        <f aca="false">IF(M660=2,"",IF(ISNUMBER(SEARCH("rata-rata:",'Offshore - Sydney'!N476)),VALUE(MID('Offshore - Sydney'!N476,SEARCH("rata-rata:",'Offshore - Sydney'!N476)+11,FIND(";",'Offshore - Sydney'!N476&amp;";",SEARCH("rata-rata:",'Offshore - Sydney'!N476))-SEARCH("rata-rata:",'Offshore - Sydney'!N476)-11)),IF('Offshore - Sydney'!D476="Semester",'Offshore - Sydney'!E476*2,IF('Offshore - Sydney'!D476="Trimester",'Offshore - Sydney'!E476*3,IF('Offshore - Sydney'!D476="Term",'Offshore - Sydney'!E476*4,IF('Offshore - Sydney'!D476="Unit",'Offshore - Sydney'!E476*8,""))))))</f>
        <v>9000</v>
      </c>
      <c r="L660" s="0" t="n">
        <f aca="false">IF(AND(ISNUMBER('Offshore - Sydney'!E476),ISNUMBER(K660),ISNUMBER('Offshore - Sydney'!F476),ISNUMBER('Offshore - Sydney'!G476),OR('Offshore - Sydney'!F476&lt;&gt;0,ISNUMBER(SEARCH("Material 0 terverifikasi",'Offshore - Sydney'!N476))),OR('Offshore - Sydney'!G476&lt;&gt;0,ISNUMBER(SEARCH("Enrolment 0 terverifikasi",'Offshore - Sydney'!N476)))),1,0)</f>
        <v>1</v>
      </c>
      <c r="M660" s="0" t="n">
        <f aca="false">IF(OR('Offshore - Sydney'!E476="",ISNUMBER(SEARCH("BSB80120",'Offshore - Sydney'!B476&amp;'Offshore - Sydney'!N476)),ISNUMBER(SEARCH("Management (Learning)",'Offshore - Sydney'!B476))),2,IF(ISNUMBER(SEARCH("CEK:",'Offshore - Sydney'!N476)),1,0))</f>
        <v>1</v>
      </c>
    </row>
    <row r="661" customFormat="false" ht="28.35" hidden="false" customHeight="false" outlineLevel="0" collapsed="false">
      <c r="A661" s="63" t="s">
        <v>3533</v>
      </c>
      <c r="B661" s="64" t="s">
        <v>3923</v>
      </c>
      <c r="C661" s="63" t="s">
        <v>41</v>
      </c>
      <c r="D661" s="64" t="str">
        <f aca="false">TRIM(LEFT('Offshore - Sydney'!A488,FIND(CHAR(10),'Offshore - Sydney'!A488&amp;CHAR(10))-1))</f>
        <v>Imperial Institute of Sydney (IIS)</v>
      </c>
      <c r="E661" s="63" t="str">
        <f aca="false">'Offshore - Sydney'!C490&amp;""</f>
        <v>2 years</v>
      </c>
      <c r="F661" s="63" t="str">
        <f aca="false">IF('Offshore - Sydney'!D490="","Belum tercatat",'Offshore - Sydney'!D490)</f>
        <v>Term</v>
      </c>
      <c r="G661" s="65" t="n">
        <f aca="false">IF('Offshore - Sydney'!E490="","-",'Offshore - Sydney'!E490)</f>
        <v>2250</v>
      </c>
      <c r="H661" s="63" t="n">
        <f aca="false">IF(ISNUMBER(K661),COUNTIFS($J$6:$J$1854,J661,$K$6:$K$1854,"&lt;"&amp;K661)+1,"-")</f>
        <v>12</v>
      </c>
      <c r="I661" s="64" t="str">
        <f aca="false">IF('Offshore - Sydney'!E490="","Harga belum tersedia - hubungi konsultan TEG",IF(M661=2,"Saat ini tidak menerima pendaftaran siswa internasional baru",IF(M661=1,"Harga perlu dikonfirmasi ke sekolah"&amp;IF(""="","","; "&amp;""),"")))</f>
        <v/>
      </c>
      <c r="J661" s="0" t="s">
        <v>3968</v>
      </c>
      <c r="K661" s="0" t="n">
        <f aca="false">IF(M661=2,"",IF(ISNUMBER(SEARCH("rata-rata:",'Offshore - Sydney'!N490)),VALUE(MID('Offshore - Sydney'!N490,SEARCH("rata-rata:",'Offshore - Sydney'!N490)+11,FIND(";",'Offshore - Sydney'!N490&amp;";",SEARCH("rata-rata:",'Offshore - Sydney'!N490))-SEARCH("rata-rata:",'Offshore - Sydney'!N490)-11)),IF('Offshore - Sydney'!D490="Semester",'Offshore - Sydney'!E490*2,IF('Offshore - Sydney'!D490="Trimester",'Offshore - Sydney'!E490*3,IF('Offshore - Sydney'!D490="Term",'Offshore - Sydney'!E490*4,IF('Offshore - Sydney'!D490="Unit",'Offshore - Sydney'!E490*8,""))))))</f>
        <v>9000</v>
      </c>
      <c r="L661" s="0" t="n">
        <f aca="false">IF(AND(ISNUMBER('Offshore - Sydney'!E490),ISNUMBER(K661),ISNUMBER('Offshore - Sydney'!F490),ISNUMBER('Offshore - Sydney'!G490),OR('Offshore - Sydney'!F490&lt;&gt;0,ISNUMBER(SEARCH("Material 0 terverifikasi",'Offshore - Sydney'!N490))),OR('Offshore - Sydney'!G490&lt;&gt;0,ISNUMBER(SEARCH("Enrolment 0 terverifikasi",'Offshore - Sydney'!N490)))),1,0)</f>
        <v>0</v>
      </c>
      <c r="M661" s="0" t="n">
        <f aca="false">IF(OR('Offshore - Sydney'!E490="",ISNUMBER(SEARCH("BSB80120",'Offshore - Sydney'!B490&amp;'Offshore - Sydney'!N490)),ISNUMBER(SEARCH("Management (Learning)",'Offshore - Sydney'!B490))),2,IF(ISNUMBER(SEARCH("CEK:",'Offshore - Sydney'!N490)),1,0))</f>
        <v>0</v>
      </c>
    </row>
    <row r="662" customFormat="false" ht="28.35" hidden="false" customHeight="false" outlineLevel="0" collapsed="false">
      <c r="A662" s="63" t="s">
        <v>3533</v>
      </c>
      <c r="B662" s="64" t="s">
        <v>3923</v>
      </c>
      <c r="C662" s="63" t="s">
        <v>41</v>
      </c>
      <c r="D662" s="64" t="str">
        <f aca="false">TRIM(LEFT('Offshore - Sydney'!A660,FIND(CHAR(10),'Offshore - Sydney'!A660&amp;CHAR(10))-1))</f>
        <v>Rosehill College</v>
      </c>
      <c r="E662" s="63" t="str">
        <f aca="false">'Offshore - Sydney'!C665&amp;""</f>
        <v>4 years</v>
      </c>
      <c r="F662" s="63" t="str">
        <f aca="false">IF('Offshore - Sydney'!D665="","Belum tercatat",'Offshore - Sydney'!D665)</f>
        <v>Term</v>
      </c>
      <c r="G662" s="65" t="n">
        <f aca="false">IF('Offshore - Sydney'!E665="","-",'Offshore - Sydney'!E665)</f>
        <v>2250</v>
      </c>
      <c r="H662" s="63" t="n">
        <f aca="false">IF(ISNUMBER(K662),COUNTIFS($J$6:$J$1854,J662,$K$6:$K$1854,"&lt;"&amp;K662)+1,"-")</f>
        <v>12</v>
      </c>
      <c r="I662" s="64" t="str">
        <f aca="false">IF('Offshore - Sydney'!E665="","Harga belum tersedia - hubungi konsultan TEG",IF(M662=2,"Saat ini tidak menerima pendaftaran siswa internasional baru",IF(M662=1,"Harga perlu dikonfirmasi ke sekolah"&amp;IF(""="","","; "&amp;""),"")))</f>
        <v/>
      </c>
      <c r="J662" s="0" t="s">
        <v>3968</v>
      </c>
      <c r="K662" s="0" t="n">
        <f aca="false">IF(M662=2,"",IF(ISNUMBER(SEARCH("rata-rata:",'Offshore - Sydney'!N665)),VALUE(MID('Offshore - Sydney'!N665,SEARCH("rata-rata:",'Offshore - Sydney'!N665)+11,FIND(";",'Offshore - Sydney'!N665&amp;";",SEARCH("rata-rata:",'Offshore - Sydney'!N665))-SEARCH("rata-rata:",'Offshore - Sydney'!N665)-11)),IF('Offshore - Sydney'!D665="Semester",'Offshore - Sydney'!E665*2,IF('Offshore - Sydney'!D665="Trimester",'Offshore - Sydney'!E665*3,IF('Offshore - Sydney'!D665="Term",'Offshore - Sydney'!E665*4,IF('Offshore - Sydney'!D665="Unit",'Offshore - Sydney'!E665*8,""))))))</f>
        <v>9000</v>
      </c>
      <c r="L662" s="0" t="n">
        <f aca="false">IF(AND(ISNUMBER('Offshore - Sydney'!E665),ISNUMBER(K662),ISNUMBER('Offshore - Sydney'!F665),ISNUMBER('Offshore - Sydney'!G665),OR('Offshore - Sydney'!F665&lt;&gt;0,ISNUMBER(SEARCH("Material 0 terverifikasi",'Offshore - Sydney'!N665))),OR('Offshore - Sydney'!G665&lt;&gt;0,ISNUMBER(SEARCH("Enrolment 0 terverifikasi",'Offshore - Sydney'!N665)))),1,0)</f>
        <v>1</v>
      </c>
      <c r="M662" s="0" t="n">
        <f aca="false">IF(OR('Offshore - Sydney'!E665="",ISNUMBER(SEARCH("BSB80120",'Offshore - Sydney'!B665&amp;'Offshore - Sydney'!N665)),ISNUMBER(SEARCH("Management (Learning)",'Offshore - Sydney'!B665))),2,IF(ISNUMBER(SEARCH("CEK:",'Offshore - Sydney'!N665)),1,0))</f>
        <v>0</v>
      </c>
    </row>
    <row r="663" customFormat="false" ht="28.35" hidden="false" customHeight="false" outlineLevel="0" collapsed="false">
      <c r="A663" s="63" t="s">
        <v>3533</v>
      </c>
      <c r="B663" s="64" t="s">
        <v>3923</v>
      </c>
      <c r="C663" s="63" t="s">
        <v>41</v>
      </c>
      <c r="D663" s="64" t="str">
        <f aca="false">TRIM(LEFT('Offshore - Sydney'!A40,FIND(CHAR(10),'Offshore - Sydney'!A40&amp;CHAR(10))-1))</f>
        <v>Academies Australasia</v>
      </c>
      <c r="E663" s="63" t="str">
        <f aca="false">'Offshore - Sydney'!C50&amp;""</f>
        <v>2 years</v>
      </c>
      <c r="F663" s="63" t="str">
        <f aca="false">IF('Offshore - Sydney'!D50="","Belum tercatat",'Offshore - Sydney'!D50)</f>
        <v>Term</v>
      </c>
      <c r="G663" s="65" t="n">
        <f aca="false">IF('Offshore - Sydney'!E50="","-",'Offshore - Sydney'!E50)</f>
        <v>2300</v>
      </c>
      <c r="H663" s="63" t="n">
        <f aca="false">IF(ISNUMBER(K663),COUNTIFS($J$6:$J$1854,J663,$K$6:$K$1854,"&lt;"&amp;K663)+1,"-")</f>
        <v>18</v>
      </c>
      <c r="I663" s="64" t="str">
        <f aca="false">IF('Offshore - Sydney'!E50="","Harga belum tersedia - hubungi konsultan TEG",IF(M663=2,"Saat ini tidak menerima pendaftaran siswa internasional baru",IF(M663=1,"Harga perlu dikonfirmasi ke sekolah"&amp;IF(""="","","; "&amp;""),"")))</f>
        <v/>
      </c>
      <c r="J663" s="0" t="s">
        <v>3968</v>
      </c>
      <c r="K663" s="0" t="n">
        <f aca="false">IF(M663=2,"",IF(ISNUMBER(SEARCH("rata-rata:",'Offshore - Sydney'!N50)),VALUE(MID('Offshore - Sydney'!N50,SEARCH("rata-rata:",'Offshore - Sydney'!N50)+11,FIND(";",'Offshore - Sydney'!N50&amp;";",SEARCH("rata-rata:",'Offshore - Sydney'!N50))-SEARCH("rata-rata:",'Offshore - Sydney'!N50)-11)),IF('Offshore - Sydney'!D50="Semester",'Offshore - Sydney'!E50*2,IF('Offshore - Sydney'!D50="Trimester",'Offshore - Sydney'!E50*3,IF('Offshore - Sydney'!D50="Term",'Offshore - Sydney'!E50*4,IF('Offshore - Sydney'!D50="Unit",'Offshore - Sydney'!E50*8,""))))))</f>
        <v>9200</v>
      </c>
      <c r="L663" s="0" t="n">
        <f aca="false">IF(AND(ISNUMBER('Offshore - Sydney'!E50),ISNUMBER(K663),ISNUMBER('Offshore - Sydney'!F50),ISNUMBER('Offshore - Sydney'!G50),OR('Offshore - Sydney'!F50&lt;&gt;0,ISNUMBER(SEARCH("Material 0 terverifikasi",'Offshore - Sydney'!N50))),OR('Offshore - Sydney'!G50&lt;&gt;0,ISNUMBER(SEARCH("Enrolment 0 terverifikasi",'Offshore - Sydney'!N50)))),1,0)</f>
        <v>1</v>
      </c>
      <c r="M663" s="0" t="n">
        <f aca="false">IF(OR('Offshore - Sydney'!E50="",ISNUMBER(SEARCH("BSB80120",'Offshore - Sydney'!B50&amp;'Offshore - Sydney'!N50)),ISNUMBER(SEARCH("Management (Learning)",'Offshore - Sydney'!B50))),2,IF(ISNUMBER(SEARCH("CEK:",'Offshore - Sydney'!N50)),1,0))</f>
        <v>0</v>
      </c>
    </row>
    <row r="664" customFormat="false" ht="28.35" hidden="false" customHeight="false" outlineLevel="0" collapsed="false">
      <c r="A664" s="63" t="s">
        <v>3533</v>
      </c>
      <c r="B664" s="64" t="s">
        <v>3923</v>
      </c>
      <c r="C664" s="63" t="s">
        <v>41</v>
      </c>
      <c r="D664" s="64" t="str">
        <f aca="false">TRIM(LEFT('Offshore - Sydney'!A88,FIND(CHAR(10),'Offshore - Sydney'!A88&amp;CHAR(10))-1))</f>
        <v>Albright Institute of Business and Language (AIBL)</v>
      </c>
      <c r="E664" s="63" t="str">
        <f aca="false">'Offshore - Sydney'!C89&amp;""</f>
        <v>2 years</v>
      </c>
      <c r="F664" s="63" t="str">
        <f aca="false">IF('Offshore - Sydney'!D89="","Belum tercatat",'Offshore - Sydney'!D89)</f>
        <v>Term</v>
      </c>
      <c r="G664" s="65" t="n">
        <f aca="false">IF('Offshore - Sydney'!E89="","-",'Offshore - Sydney'!E89)</f>
        <v>2315</v>
      </c>
      <c r="H664" s="63" t="n">
        <f aca="false">IF(ISNUMBER(K664),COUNTIFS($J$6:$J$1854,J664,$K$6:$K$1854,"&lt;"&amp;K664)+1,"-")</f>
        <v>19</v>
      </c>
      <c r="I664" s="64" t="str">
        <f aca="false">IF('Offshore - Sydney'!E89="","Harga belum tersedia - hubungi konsultan TEG",IF(M664=2,"Saat ini tidak menerima pendaftaran siswa internasional baru",IF(M664=1,"Harga perlu dikonfirmasi ke sekolah"&amp;IF(""="","","; "&amp;""),"")))</f>
        <v/>
      </c>
      <c r="J664" s="0" t="s">
        <v>3968</v>
      </c>
      <c r="K664" s="0" t="n">
        <f aca="false">IF(M664=2,"",IF(ISNUMBER(SEARCH("rata-rata:",'Offshore - Sydney'!N89)),VALUE(MID('Offshore - Sydney'!N89,SEARCH("rata-rata:",'Offshore - Sydney'!N89)+11,FIND(";",'Offshore - Sydney'!N89&amp;";",SEARCH("rata-rata:",'Offshore - Sydney'!N89))-SEARCH("rata-rata:",'Offshore - Sydney'!N89)-11)),IF('Offshore - Sydney'!D89="Semester",'Offshore - Sydney'!E89*2,IF('Offshore - Sydney'!D89="Trimester",'Offshore - Sydney'!E89*3,IF('Offshore - Sydney'!D89="Term",'Offshore - Sydney'!E89*4,IF('Offshore - Sydney'!D89="Unit",'Offshore - Sydney'!E89*8,""))))))</f>
        <v>9260</v>
      </c>
      <c r="L664" s="0" t="n">
        <f aca="false">IF(AND(ISNUMBER('Offshore - Sydney'!E89),ISNUMBER(K664),ISNUMBER('Offshore - Sydney'!F89),ISNUMBER('Offshore - Sydney'!G89),OR('Offshore - Sydney'!F89&lt;&gt;0,ISNUMBER(SEARCH("Material 0 terverifikasi",'Offshore - Sydney'!N89))),OR('Offshore - Sydney'!G89&lt;&gt;0,ISNUMBER(SEARCH("Enrolment 0 terverifikasi",'Offshore - Sydney'!N89)))),1,0)</f>
        <v>1</v>
      </c>
      <c r="M664" s="0" t="n">
        <f aca="false">IF(OR('Offshore - Sydney'!E89="",ISNUMBER(SEARCH("BSB80120",'Offshore - Sydney'!B89&amp;'Offshore - Sydney'!N89)),ISNUMBER(SEARCH("Management (Learning)",'Offshore - Sydney'!B89))),2,IF(ISNUMBER(SEARCH("CEK:",'Offshore - Sydney'!N89)),1,0))</f>
        <v>0</v>
      </c>
    </row>
    <row r="665" customFormat="false" ht="28.35" hidden="false" customHeight="false" outlineLevel="0" collapsed="false">
      <c r="A665" s="63" t="s">
        <v>3533</v>
      </c>
      <c r="B665" s="64" t="s">
        <v>3923</v>
      </c>
      <c r="C665" s="63" t="s">
        <v>41</v>
      </c>
      <c r="D665" s="64" t="str">
        <f aca="false">TRIM(LEFT('Offshore - Sydney'!A282,FIND(CHAR(10),'Offshore - Sydney'!A282&amp;CHAR(10))-1))</f>
        <v>Australian Harbour International College (AHIC)</v>
      </c>
      <c r="E665" s="63" t="str">
        <f aca="false">'Offshore - Sydney'!C282&amp;""</f>
        <v>3 years</v>
      </c>
      <c r="F665" s="63" t="str">
        <f aca="false">IF('Offshore - Sydney'!D282="","Belum tercatat",'Offshore - Sydney'!D282)</f>
        <v>Term</v>
      </c>
      <c r="G665" s="65" t="n">
        <f aca="false">IF('Offshore - Sydney'!E282="","-",'Offshore - Sydney'!E282)</f>
        <v>2375</v>
      </c>
      <c r="H665" s="63" t="n">
        <f aca="false">IF(ISNUMBER(K665),COUNTIFS($J$6:$J$1854,J665,$K$6:$K$1854,"&lt;"&amp;K665)+1,"-")</f>
        <v>20</v>
      </c>
      <c r="I665" s="64" t="str">
        <f aca="false">IF('Offshore - Sydney'!E282="","Harga belum tersedia - hubungi konsultan TEG",IF(M665=2,"Saat ini tidak menerima pendaftaran siswa internasional baru",IF(M665=1,"Harga perlu dikonfirmasi ke sekolah"&amp;IF(""="","","; "&amp;""),"")))</f>
        <v/>
      </c>
      <c r="J665" s="0" t="s">
        <v>3968</v>
      </c>
      <c r="K665" s="0" t="n">
        <f aca="false">IF(M665=2,"",IF(ISNUMBER(SEARCH("rata-rata:",'Offshore - Sydney'!N282)),VALUE(MID('Offshore - Sydney'!N282,SEARCH("rata-rata:",'Offshore - Sydney'!N282)+11,FIND(";",'Offshore - Sydney'!N282&amp;";",SEARCH("rata-rata:",'Offshore - Sydney'!N282))-SEARCH("rata-rata:",'Offshore - Sydney'!N282)-11)),IF('Offshore - Sydney'!D282="Semester",'Offshore - Sydney'!E282*2,IF('Offshore - Sydney'!D282="Trimester",'Offshore - Sydney'!E282*3,IF('Offshore - Sydney'!D282="Term",'Offshore - Sydney'!E282*4,IF('Offshore - Sydney'!D282="Unit",'Offshore - Sydney'!E282*8,""))))))</f>
        <v>9500</v>
      </c>
      <c r="L665" s="0" t="n">
        <f aca="false">IF(AND(ISNUMBER('Offshore - Sydney'!E282),ISNUMBER(K665),ISNUMBER('Offshore - Sydney'!F282),ISNUMBER('Offshore - Sydney'!G282),OR('Offshore - Sydney'!F282&lt;&gt;0,ISNUMBER(SEARCH("Material 0 terverifikasi",'Offshore - Sydney'!N282))),OR('Offshore - Sydney'!G282&lt;&gt;0,ISNUMBER(SEARCH("Enrolment 0 terverifikasi",'Offshore - Sydney'!N282)))),1,0)</f>
        <v>1</v>
      </c>
      <c r="M665" s="0" t="n">
        <f aca="false">IF(OR('Offshore - Sydney'!E282="",ISNUMBER(SEARCH("BSB80120",'Offshore - Sydney'!B282&amp;'Offshore - Sydney'!N282)),ISNUMBER(SEARCH("Management (Learning)",'Offshore - Sydney'!B282))),2,IF(ISNUMBER(SEARCH("CEK:",'Offshore - Sydney'!N282)),1,0))</f>
        <v>0</v>
      </c>
    </row>
    <row r="666" customFormat="false" ht="28.35" hidden="false" customHeight="false" outlineLevel="0" collapsed="false">
      <c r="A666" s="63" t="s">
        <v>3533</v>
      </c>
      <c r="B666" s="64" t="s">
        <v>3923</v>
      </c>
      <c r="C666" s="63" t="s">
        <v>41</v>
      </c>
      <c r="D666" s="64" t="str">
        <f aca="false">TRIM(LEFT('Offshore - Sydney'!A625,FIND(CHAR(10),'Offshore - Sydney'!A625&amp;CHAR(10))-1))</f>
        <v>Nurse Training Australia (NTA)</v>
      </c>
      <c r="E666" s="63" t="str">
        <f aca="false">'Offshore - Sydney'!C633&amp;""</f>
        <v>2 years</v>
      </c>
      <c r="F666" s="63" t="str">
        <f aca="false">IF('Offshore - Sydney'!D633="","Belum tercatat",'Offshore - Sydney'!D633)</f>
        <v>Term</v>
      </c>
      <c r="G666" s="65" t="n">
        <f aca="false">IF('Offshore - Sydney'!E633="","-",'Offshore - Sydney'!E633)</f>
        <v>2494</v>
      </c>
      <c r="H666" s="63" t="n">
        <f aca="false">IF(ISNUMBER(K666),COUNTIFS($J$6:$J$1854,J666,$K$6:$K$1854,"&lt;"&amp;K666)+1,"-")</f>
        <v>21</v>
      </c>
      <c r="I666" s="64" t="str">
        <f aca="false">IF('Offshore - Sydney'!E633="","Harga belum tersedia - hubungi konsultan TEG",IF(M666=2,"Saat ini tidak menerima pendaftaran siswa internasional baru",IF(M666=1,"Harga perlu dikonfirmasi ke sekolah"&amp;IF(""="","","; "&amp;""),"")))</f>
        <v/>
      </c>
      <c r="J666" s="0" t="s">
        <v>3968</v>
      </c>
      <c r="K666" s="0" t="n">
        <f aca="false">IF(M666=2,"",IF(ISNUMBER(SEARCH("rata-rata:",'Offshore - Sydney'!N633)),VALUE(MID('Offshore - Sydney'!N633,SEARCH("rata-rata:",'Offshore - Sydney'!N633)+11,FIND(";",'Offshore - Sydney'!N633&amp;";",SEARCH("rata-rata:",'Offshore - Sydney'!N633))-SEARCH("rata-rata:",'Offshore - Sydney'!N633)-11)),IF('Offshore - Sydney'!D633="Semester",'Offshore - Sydney'!E633*2,IF('Offshore - Sydney'!D633="Trimester",'Offshore - Sydney'!E633*3,IF('Offshore - Sydney'!D633="Term",'Offshore - Sydney'!E633*4,IF('Offshore - Sydney'!D633="Unit",'Offshore - Sydney'!E633*8,""))))))</f>
        <v>9976</v>
      </c>
      <c r="L666" s="0" t="n">
        <f aca="false">IF(AND(ISNUMBER('Offshore - Sydney'!E633),ISNUMBER(K666),ISNUMBER('Offshore - Sydney'!F633),ISNUMBER('Offshore - Sydney'!G633),OR('Offshore - Sydney'!F633&lt;&gt;0,ISNUMBER(SEARCH("Material 0 terverifikasi",'Offshore - Sydney'!N633))),OR('Offshore - Sydney'!G633&lt;&gt;0,ISNUMBER(SEARCH("Enrolment 0 terverifikasi",'Offshore - Sydney'!N633)))),1,0)</f>
        <v>1</v>
      </c>
      <c r="M666" s="0" t="n">
        <f aca="false">IF(OR('Offshore - Sydney'!E633="",ISNUMBER(SEARCH("BSB80120",'Offshore - Sydney'!B633&amp;'Offshore - Sydney'!N633)),ISNUMBER(SEARCH("Management (Learning)",'Offshore - Sydney'!B633))),2,IF(ISNUMBER(SEARCH("CEK:",'Offshore - Sydney'!N633)),1,0))</f>
        <v>0</v>
      </c>
    </row>
    <row r="667" customFormat="false" ht="28.35" hidden="false" customHeight="false" outlineLevel="0" collapsed="false">
      <c r="A667" s="63" t="s">
        <v>3533</v>
      </c>
      <c r="B667" s="64" t="s">
        <v>3923</v>
      </c>
      <c r="C667" s="63" t="s">
        <v>41</v>
      </c>
      <c r="D667" s="64" t="str">
        <f aca="false">TRIM(LEFT('Offshore - Sydney'!A1148,FIND(CHAR(10),'Offshore - Sydney'!A1148&amp;CHAR(10))-1))</f>
        <v>Whitehouse International College</v>
      </c>
      <c r="E667" s="63" t="str">
        <f aca="false">'Offshore - Sydney'!C1150&amp;""</f>
        <v>4 years</v>
      </c>
      <c r="F667" s="63" t="str">
        <f aca="false">IF('Offshore - Sydney'!D1150="","Belum tercatat",'Offshore - Sydney'!D1150)</f>
        <v>Term</v>
      </c>
      <c r="G667" s="65" t="n">
        <f aca="false">IF('Offshore - Sydney'!E1150="","-",'Offshore - Sydney'!E1150)</f>
        <v>2750</v>
      </c>
      <c r="H667" s="63" t="n">
        <f aca="false">IF(ISNUMBER(K667),COUNTIFS($J$6:$J$1854,J667,$K$6:$K$1854,"&lt;"&amp;K667)+1,"-")</f>
        <v>22</v>
      </c>
      <c r="I667" s="64" t="str">
        <f aca="false">IF('Offshore - Sydney'!E1150="","Harga belum tersedia - hubungi konsultan TEG",IF(M667=2,"Saat ini tidak menerima pendaftaran siswa internasional baru",IF(M667=1,"Program perlu dikonfirmasi ketersediaannya"&amp;IF(""="","","; "&amp;""),"")))</f>
        <v>Program perlu dikonfirmasi ketersediaannya</v>
      </c>
      <c r="J667" s="0" t="s">
        <v>3968</v>
      </c>
      <c r="K667" s="0" t="n">
        <f aca="false">IF(M667=2,"",IF(ISNUMBER(SEARCH("rata-rata:",'Offshore - Sydney'!N1150)),VALUE(MID('Offshore - Sydney'!N1150,SEARCH("rata-rata:",'Offshore - Sydney'!N1150)+11,FIND(";",'Offshore - Sydney'!N1150&amp;";",SEARCH("rata-rata:",'Offshore - Sydney'!N1150))-SEARCH("rata-rata:",'Offshore - Sydney'!N1150)-11)),IF('Offshore - Sydney'!D1150="Semester",'Offshore - Sydney'!E1150*2,IF('Offshore - Sydney'!D1150="Trimester",'Offshore - Sydney'!E1150*3,IF('Offshore - Sydney'!D1150="Term",'Offshore - Sydney'!E1150*4,IF('Offshore - Sydney'!D1150="Unit",'Offshore - Sydney'!E1150*8,""))))))</f>
        <v>11000</v>
      </c>
      <c r="L667" s="0" t="n">
        <f aca="false">IF(AND(ISNUMBER('Offshore - Sydney'!E1150),ISNUMBER(K667),ISNUMBER('Offshore - Sydney'!F1150),ISNUMBER('Offshore - Sydney'!G1150),OR('Offshore - Sydney'!F1150&lt;&gt;0,ISNUMBER(SEARCH("Material 0 terverifikasi",'Offshore - Sydney'!N1150))),OR('Offshore - Sydney'!G1150&lt;&gt;0,ISNUMBER(SEARCH("Enrolment 0 terverifikasi",'Offshore - Sydney'!N1150)))),1,0)</f>
        <v>1</v>
      </c>
      <c r="M667" s="0" t="n">
        <f aca="false">IF(OR('Offshore - Sydney'!E1150="",ISNUMBER(SEARCH("BSB80120",'Offshore - Sydney'!B1150&amp;'Offshore - Sydney'!N1150)),ISNUMBER(SEARCH("Management (Learning)",'Offshore - Sydney'!B1150))),2,IF(ISNUMBER(SEARCH("CEK:",'Offshore - Sydney'!N1150)),1,0))</f>
        <v>1</v>
      </c>
    </row>
    <row r="668" customFormat="false" ht="28.35" hidden="false" customHeight="false" outlineLevel="0" collapsed="false">
      <c r="A668" s="63" t="s">
        <v>3533</v>
      </c>
      <c r="B668" s="64" t="s">
        <v>3923</v>
      </c>
      <c r="C668" s="63" t="s">
        <v>41</v>
      </c>
      <c r="D668" s="64" t="str">
        <f aca="false">TRIM(LEFT('Offshore - Sydney'!A399,FIND(CHAR(10),'Offshore - Sydney'!A399&amp;CHAR(10))-1))</f>
        <v>Concord Institute</v>
      </c>
      <c r="E668" s="63" t="str">
        <f aca="false">'Offshore - Sydney'!C399&amp;""</f>
        <v>2,5 years</v>
      </c>
      <c r="F668" s="63" t="str">
        <f aca="false">IF('Offshore - Sydney'!D399="","Belum tercatat",'Offshore - Sydney'!D399)</f>
        <v>Term</v>
      </c>
      <c r="G668" s="65" t="n">
        <f aca="false">IF('Offshore - Sydney'!E399="","-",'Offshore - Sydney'!E399)</f>
        <v>2900</v>
      </c>
      <c r="H668" s="63" t="n">
        <f aca="false">IF(ISNUMBER(K668),COUNTIFS($J$6:$J$1854,J668,$K$6:$K$1854,"&lt;"&amp;K668)+1,"-")</f>
        <v>23</v>
      </c>
      <c r="I668" s="64" t="str">
        <f aca="false">IF('Offshore - Sydney'!E399="","Harga belum tersedia - hubungi konsultan TEG",IF(M668=2,"Saat ini tidak menerima pendaftaran siswa internasional baru",IF(M668=1,"Program perlu dikonfirmasi ketersediaannya"&amp;IF(""="","","; "&amp;""),"")))</f>
        <v>Program perlu dikonfirmasi ketersediaannya</v>
      </c>
      <c r="J668" s="0" t="s">
        <v>3968</v>
      </c>
      <c r="K668" s="0" t="n">
        <f aca="false">IF(M668=2,"",IF(ISNUMBER(SEARCH("rata-rata:",'Offshore - Sydney'!N399)),VALUE(MID('Offshore - Sydney'!N399,SEARCH("rata-rata:",'Offshore - Sydney'!N399)+11,FIND(";",'Offshore - Sydney'!N399&amp;";",SEARCH("rata-rata:",'Offshore - Sydney'!N399))-SEARCH("rata-rata:",'Offshore - Sydney'!N399)-11)),IF('Offshore - Sydney'!D399="Semester",'Offshore - Sydney'!E399*2,IF('Offshore - Sydney'!D399="Trimester",'Offshore - Sydney'!E399*3,IF('Offshore - Sydney'!D399="Term",'Offshore - Sydney'!E399*4,IF('Offshore - Sydney'!D399="Unit",'Offshore - Sydney'!E399*8,""))))))</f>
        <v>11600</v>
      </c>
      <c r="L668" s="0" t="n">
        <f aca="false">IF(AND(ISNUMBER('Offshore - Sydney'!E399),ISNUMBER(K668),ISNUMBER('Offshore - Sydney'!F399),ISNUMBER('Offshore - Sydney'!G399),OR('Offshore - Sydney'!F399&lt;&gt;0,ISNUMBER(SEARCH("Material 0 terverifikasi",'Offshore - Sydney'!N399))),OR('Offshore - Sydney'!G399&lt;&gt;0,ISNUMBER(SEARCH("Enrolment 0 terverifikasi",'Offshore - Sydney'!N399)))),1,0)</f>
        <v>1</v>
      </c>
      <c r="M668" s="0" t="n">
        <f aca="false">IF(OR('Offshore - Sydney'!E399="",ISNUMBER(SEARCH("BSB80120",'Offshore - Sydney'!B399&amp;'Offshore - Sydney'!N399)),ISNUMBER(SEARCH("Management (Learning)",'Offshore - Sydney'!B399))),2,IF(ISNUMBER(SEARCH("CEK:",'Offshore - Sydney'!N399)),1,0))</f>
        <v>1</v>
      </c>
    </row>
    <row r="669" customFormat="false" ht="28.35" hidden="false" customHeight="false" outlineLevel="0" collapsed="false">
      <c r="A669" s="63" t="s">
        <v>3533</v>
      </c>
      <c r="B669" s="64" t="s">
        <v>3923</v>
      </c>
      <c r="C669" s="63" t="s">
        <v>41</v>
      </c>
      <c r="D669" s="64" t="str">
        <f aca="false">TRIM(LEFT('Offshore - Sydney'!A695,FIND(CHAR(10),'Offshore - Sydney'!A695&amp;CHAR(10))-1))</f>
        <v>Sydney College of Professional Education (SCPE)</v>
      </c>
      <c r="E669" s="63" t="str">
        <f aca="false">'Offshore - Sydney'!C696&amp;""</f>
        <v>3,5 years</v>
      </c>
      <c r="F669" s="63" t="str">
        <f aca="false">IF('Offshore - Sydney'!D696="","Belum tercatat",'Offshore - Sydney'!D696)</f>
        <v>Term</v>
      </c>
      <c r="G669" s="65" t="n">
        <f aca="false">IF('Offshore - Sydney'!E696="","-",'Offshore - Sydney'!E696)</f>
        <v>3000</v>
      </c>
      <c r="H669" s="63" t="n">
        <f aca="false">IF(ISNUMBER(K669),COUNTIFS($J$6:$J$1854,J669,$K$6:$K$1854,"&lt;"&amp;K669)+1,"-")</f>
        <v>24</v>
      </c>
      <c r="I669" s="64" t="str">
        <f aca="false">IF('Offshore - Sydney'!E696="","Harga belum tersedia - hubungi konsultan TEG",IF(M669=2,"Saat ini tidak menerima pendaftaran siswa internasional baru",IF(M669=1,"Harga perlu dikonfirmasi ke sekolah"&amp;IF(""="","","; "&amp;""),"")))</f>
        <v/>
      </c>
      <c r="J669" s="0" t="s">
        <v>3968</v>
      </c>
      <c r="K669" s="0" t="n">
        <f aca="false">IF(M669=2,"",IF(ISNUMBER(SEARCH("rata-rata:",'Offshore - Sydney'!N696)),VALUE(MID('Offshore - Sydney'!N696,SEARCH("rata-rata:",'Offshore - Sydney'!N696)+11,FIND(";",'Offshore - Sydney'!N696&amp;";",SEARCH("rata-rata:",'Offshore - Sydney'!N696))-SEARCH("rata-rata:",'Offshore - Sydney'!N696)-11)),IF('Offshore - Sydney'!D696="Semester",'Offshore - Sydney'!E696*2,IF('Offshore - Sydney'!D696="Trimester",'Offshore - Sydney'!E696*3,IF('Offshore - Sydney'!D696="Term",'Offshore - Sydney'!E696*4,IF('Offshore - Sydney'!D696="Unit",'Offshore - Sydney'!E696*8,""))))))</f>
        <v>12000</v>
      </c>
      <c r="L669" s="0" t="n">
        <f aca="false">IF(AND(ISNUMBER('Offshore - Sydney'!E696),ISNUMBER(K669),ISNUMBER('Offshore - Sydney'!F696),ISNUMBER('Offshore - Sydney'!G696),OR('Offshore - Sydney'!F696&lt;&gt;0,ISNUMBER(SEARCH("Material 0 terverifikasi",'Offshore - Sydney'!N696))),OR('Offshore - Sydney'!G696&lt;&gt;0,ISNUMBER(SEARCH("Enrolment 0 terverifikasi",'Offshore - Sydney'!N696)))),1,0)</f>
        <v>1</v>
      </c>
      <c r="M669" s="0" t="n">
        <f aca="false">IF(OR('Offshore - Sydney'!E696="",ISNUMBER(SEARCH("BSB80120",'Offshore - Sydney'!B696&amp;'Offshore - Sydney'!N696)),ISNUMBER(SEARCH("Management (Learning)",'Offshore - Sydney'!B696))),2,IF(ISNUMBER(SEARCH("CEK:",'Offshore - Sydney'!N696)),1,0))</f>
        <v>0</v>
      </c>
    </row>
    <row r="670" customFormat="false" ht="28.35" hidden="false" customHeight="false" outlineLevel="0" collapsed="false">
      <c r="A670" s="63" t="s">
        <v>3533</v>
      </c>
      <c r="B670" s="64" t="s">
        <v>3923</v>
      </c>
      <c r="C670" s="63" t="s">
        <v>41</v>
      </c>
      <c r="D670" s="64" t="str">
        <f aca="false">TRIM(LEFT('Offshore - Sydney'!A721,FIND(CHAR(10),'Offshore - Sydney'!A721&amp;CHAR(10))-1))</f>
        <v>TAFE NSW</v>
      </c>
      <c r="E670" s="63" t="str">
        <f aca="false">'Offshore - Sydney'!C741&amp;""</f>
        <v>2 years</v>
      </c>
      <c r="F670" s="63" t="str">
        <f aca="false">IF('Offshore - Sydney'!D741="","Belum tercatat",'Offshore - Sydney'!D741)</f>
        <v>Term</v>
      </c>
      <c r="G670" s="65" t="n">
        <f aca="false">IF('Offshore - Sydney'!E741="","-",'Offshore - Sydney'!E741)</f>
        <v>3125</v>
      </c>
      <c r="H670" s="63" t="n">
        <f aca="false">IF(ISNUMBER(K670),COUNTIFS($J$6:$J$1854,J670,$K$6:$K$1854,"&lt;"&amp;K670)+1,"-")</f>
        <v>25</v>
      </c>
      <c r="I670" s="64" t="str">
        <f aca="false">IF('Offshore - Sydney'!E741="","Harga belum tersedia - hubungi konsultan TEG",IF(M670=2,"Saat ini tidak menerima pendaftaran siswa internasional baru",IF(M670=1,"Harga perlu dikonfirmasi ke sekolah"&amp;IF(""="","","; "&amp;""),"")))</f>
        <v/>
      </c>
      <c r="J670" s="0" t="s">
        <v>3968</v>
      </c>
      <c r="K670" s="0" t="n">
        <f aca="false">IF(M670=2,"",IF(ISNUMBER(SEARCH("rata-rata:",'Offshore - Sydney'!N741)),VALUE(MID('Offshore - Sydney'!N741,SEARCH("rata-rata:",'Offshore - Sydney'!N741)+11,FIND(";",'Offshore - Sydney'!N741&amp;";",SEARCH("rata-rata:",'Offshore - Sydney'!N741))-SEARCH("rata-rata:",'Offshore - Sydney'!N741)-11)),IF('Offshore - Sydney'!D741="Semester",'Offshore - Sydney'!E741*2,IF('Offshore - Sydney'!D741="Trimester",'Offshore - Sydney'!E741*3,IF('Offshore - Sydney'!D741="Term",'Offshore - Sydney'!E741*4,IF('Offshore - Sydney'!D741="Unit",'Offshore - Sydney'!E741*8,""))))))</f>
        <v>12500</v>
      </c>
      <c r="L670" s="0" t="n">
        <f aca="false">IF(AND(ISNUMBER('Offshore - Sydney'!E741),ISNUMBER(K670),ISNUMBER('Offshore - Sydney'!F741),ISNUMBER('Offshore - Sydney'!G741),OR('Offshore - Sydney'!F741&lt;&gt;0,ISNUMBER(SEARCH("Material 0 terverifikasi",'Offshore - Sydney'!N741))),OR('Offshore - Sydney'!G741&lt;&gt;0,ISNUMBER(SEARCH("Enrolment 0 terverifikasi",'Offshore - Sydney'!N741)))),1,0)</f>
        <v>0</v>
      </c>
      <c r="M670" s="0" t="n">
        <f aca="false">IF(OR('Offshore - Sydney'!E741="",ISNUMBER(SEARCH("BSB80120",'Offshore - Sydney'!B741&amp;'Offshore - Sydney'!N741)),ISNUMBER(SEARCH("Management (Learning)",'Offshore - Sydney'!B741))),2,IF(ISNUMBER(SEARCH("CEK:",'Offshore - Sydney'!N741)),1,0))</f>
        <v>0</v>
      </c>
    </row>
    <row r="671" customFormat="false" ht="28.35" hidden="false" customHeight="false" outlineLevel="0" collapsed="false">
      <c r="A671" s="63" t="s">
        <v>3533</v>
      </c>
      <c r="B671" s="64" t="s">
        <v>3923</v>
      </c>
      <c r="C671" s="63" t="s">
        <v>41</v>
      </c>
      <c r="D671" s="64" t="str">
        <f aca="false">TRIM(LEFT('Offshore - Sydney'!A968,FIND(CHAR(10),'Offshore - Sydney'!A968&amp;CHAR(10))-1))</f>
        <v>Western Sydney College (WSC)</v>
      </c>
      <c r="E671" s="63" t="str">
        <f aca="false">'Offshore - Sydney'!C979&amp;""</f>
        <v>2 years</v>
      </c>
      <c r="F671" s="63" t="str">
        <f aca="false">IF('Offshore - Sydney'!D979="","Belum tercatat",'Offshore - Sydney'!D979)</f>
        <v>Term</v>
      </c>
      <c r="G671" s="65" t="n">
        <f aca="false">IF('Offshore - Sydney'!E979="","-",'Offshore - Sydney'!E979)</f>
        <v>3250</v>
      </c>
      <c r="H671" s="63" t="n">
        <f aca="false">IF(ISNUMBER(K671),COUNTIFS($J$6:$J$1854,J671,$K$6:$K$1854,"&lt;"&amp;K671)+1,"-")</f>
        <v>26</v>
      </c>
      <c r="I671" s="64" t="str">
        <f aca="false">IF('Offshore - Sydney'!E979="","Harga belum tersedia - hubungi konsultan TEG",IF(M671=2,"Saat ini tidak menerima pendaftaran siswa internasional baru",IF(M671=1,"Harga perlu dikonfirmasi ke sekolah"&amp;IF(""="","","; "&amp;""),"")))</f>
        <v/>
      </c>
      <c r="J671" s="0" t="s">
        <v>3968</v>
      </c>
      <c r="K671" s="0" t="n">
        <f aca="false">IF(M671=2,"",IF(ISNUMBER(SEARCH("rata-rata:",'Offshore - Sydney'!N979)),VALUE(MID('Offshore - Sydney'!N979,SEARCH("rata-rata:",'Offshore - Sydney'!N979)+11,FIND(";",'Offshore - Sydney'!N979&amp;";",SEARCH("rata-rata:",'Offshore - Sydney'!N979))-SEARCH("rata-rata:",'Offshore - Sydney'!N979)-11)),IF('Offshore - Sydney'!D979="Semester",'Offshore - Sydney'!E979*2,IF('Offshore - Sydney'!D979="Trimester",'Offshore - Sydney'!E979*3,IF('Offshore - Sydney'!D979="Term",'Offshore - Sydney'!E979*4,IF('Offshore - Sydney'!D979="Unit",'Offshore - Sydney'!E979*8,""))))))</f>
        <v>13000</v>
      </c>
      <c r="L671" s="0" t="n">
        <f aca="false">IF(AND(ISNUMBER('Offshore - Sydney'!E979),ISNUMBER(K671),ISNUMBER('Offshore - Sydney'!F979),ISNUMBER('Offshore - Sydney'!G979),OR('Offshore - Sydney'!F979&lt;&gt;0,ISNUMBER(SEARCH("Material 0 terverifikasi",'Offshore - Sydney'!N979))),OR('Offshore - Sydney'!G979&lt;&gt;0,ISNUMBER(SEARCH("Enrolment 0 terverifikasi",'Offshore - Sydney'!N979)))),1,0)</f>
        <v>1</v>
      </c>
      <c r="M671" s="0" t="n">
        <f aca="false">IF(OR('Offshore - Sydney'!E979="",ISNUMBER(SEARCH("BSB80120",'Offshore - Sydney'!B979&amp;'Offshore - Sydney'!N979)),ISNUMBER(SEARCH("Management (Learning)",'Offshore - Sydney'!B979))),2,IF(ISNUMBER(SEARCH("CEK:",'Offshore - Sydney'!N979)),1,0))</f>
        <v>0</v>
      </c>
    </row>
    <row r="672" customFormat="false" ht="28.35" hidden="false" customHeight="false" outlineLevel="0" collapsed="false">
      <c r="A672" s="63" t="s">
        <v>3533</v>
      </c>
      <c r="B672" s="64" t="s">
        <v>3923</v>
      </c>
      <c r="C672" s="63" t="s">
        <v>41</v>
      </c>
      <c r="D672" s="64" t="str">
        <f aca="false">TRIM(LEFT('Offshore - Sydney'!A328,FIND(CHAR(10),'Offshore - Sydney'!A328&amp;CHAR(10))-1))</f>
        <v>Australian Skills Management Institute (ASMI)</v>
      </c>
      <c r="E672" s="63" t="str">
        <f aca="false">'Offshore - Sydney'!C330&amp;""</f>
        <v>1,7 years</v>
      </c>
      <c r="F672" s="63" t="str">
        <f aca="false">IF('Offshore - Sydney'!D330="","Belum tercatat",'Offshore - Sydney'!D330)</f>
        <v>Term</v>
      </c>
      <c r="G672" s="65" t="n">
        <f aca="false">IF('Offshore - Sydney'!E330="","-",'Offshore - Sydney'!E330)</f>
        <v>3300</v>
      </c>
      <c r="H672" s="63" t="n">
        <f aca="false">IF(ISNUMBER(K672),COUNTIFS($J$6:$J$1854,J672,$K$6:$K$1854,"&lt;"&amp;K672)+1,"-")</f>
        <v>27</v>
      </c>
      <c r="I672" s="64" t="str">
        <f aca="false">IF('Offshore - Sydney'!E330="","Harga belum tersedia - hubungi konsultan TEG",IF(M672=2,"Saat ini tidak menerima pendaftaran siswa internasional baru",IF(M672=1,"Harga perlu dikonfirmasi ke sekolah"&amp;IF(""="","","; "&amp;""),"")))</f>
        <v/>
      </c>
      <c r="J672" s="0" t="s">
        <v>3968</v>
      </c>
      <c r="K672" s="0" t="n">
        <f aca="false">IF(M672=2,"",IF(ISNUMBER(SEARCH("rata-rata:",'Offshore - Sydney'!N330)),VALUE(MID('Offshore - Sydney'!N330,SEARCH("rata-rata:",'Offshore - Sydney'!N330)+11,FIND(";",'Offshore - Sydney'!N330&amp;";",SEARCH("rata-rata:",'Offshore - Sydney'!N330))-SEARCH("rata-rata:",'Offshore - Sydney'!N330)-11)),IF('Offshore - Sydney'!D330="Semester",'Offshore - Sydney'!E330*2,IF('Offshore - Sydney'!D330="Trimester",'Offshore - Sydney'!E330*3,IF('Offshore - Sydney'!D330="Term",'Offshore - Sydney'!E330*4,IF('Offshore - Sydney'!D330="Unit",'Offshore - Sydney'!E330*8,""))))))</f>
        <v>13200</v>
      </c>
      <c r="L672" s="0" t="n">
        <f aca="false">IF(AND(ISNUMBER('Offshore - Sydney'!E330),ISNUMBER(K672),ISNUMBER('Offshore - Sydney'!F330),ISNUMBER('Offshore - Sydney'!G330),OR('Offshore - Sydney'!F330&lt;&gt;0,ISNUMBER(SEARCH("Material 0 terverifikasi",'Offshore - Sydney'!N330))),OR('Offshore - Sydney'!G330&lt;&gt;0,ISNUMBER(SEARCH("Enrolment 0 terverifikasi",'Offshore - Sydney'!N330)))),1,0)</f>
        <v>1</v>
      </c>
      <c r="M672" s="0" t="n">
        <f aca="false">IF(OR('Offshore - Sydney'!E330="",ISNUMBER(SEARCH("BSB80120",'Offshore - Sydney'!B330&amp;'Offshore - Sydney'!N330)),ISNUMBER(SEARCH("Management (Learning)",'Offshore - Sydney'!B330))),2,IF(ISNUMBER(SEARCH("CEK:",'Offshore - Sydney'!N330)),1,0))</f>
        <v>0</v>
      </c>
    </row>
    <row r="673" customFormat="false" ht="28.35" hidden="false" customHeight="false" outlineLevel="0" collapsed="false">
      <c r="A673" s="63" t="s">
        <v>3533</v>
      </c>
      <c r="B673" s="64" t="s">
        <v>3923</v>
      </c>
      <c r="C673" s="63" t="s">
        <v>41</v>
      </c>
      <c r="D673" s="64" t="str">
        <f aca="false">TRIM(LEFT('Offshore - Sydney'!A590,FIND(CHAR(10),'Offshore - Sydney'!A590&amp;CHAR(10))-1))</f>
        <v>National Academy of Professional Studies (NAPS)</v>
      </c>
      <c r="E673" s="63" t="str">
        <f aca="false">'Offshore - Sydney'!C598&amp;""</f>
        <v>2 years</v>
      </c>
      <c r="F673" s="63" t="str">
        <f aca="false">IF('Offshore - Sydney'!D598="","Belum tercatat",'Offshore - Sydney'!D598)</f>
        <v>Term</v>
      </c>
      <c r="G673" s="65" t="n">
        <f aca="false">IF('Offshore - Sydney'!E598="","-",'Offshore - Sydney'!E598)</f>
        <v>4500</v>
      </c>
      <c r="H673" s="63" t="n">
        <f aca="false">IF(ISNUMBER(K673),COUNTIFS($J$6:$J$1854,J673,$K$6:$K$1854,"&lt;"&amp;K673)+1,"-")</f>
        <v>28</v>
      </c>
      <c r="I673" s="64" t="str">
        <f aca="false">IF('Offshore - Sydney'!E598="","Harga belum tersedia - hubungi konsultan TEG",IF(M673=2,"Saat ini tidak menerima pendaftaran siswa internasional baru",IF(M673=1,"Harga perlu dikonfirmasi ke sekolah"&amp;IF(""="","","; "&amp;""),"")))</f>
        <v>Harga perlu dikonfirmasi ke sekolah</v>
      </c>
      <c r="J673" s="0" t="s">
        <v>3968</v>
      </c>
      <c r="K673" s="0" t="n">
        <f aca="false">IF(M673=2,"",IF(ISNUMBER(SEARCH("rata-rata:",'Offshore - Sydney'!N598)),VALUE(MID('Offshore - Sydney'!N598,SEARCH("rata-rata:",'Offshore - Sydney'!N598)+11,FIND(";",'Offshore - Sydney'!N598&amp;";",SEARCH("rata-rata:",'Offshore - Sydney'!N598))-SEARCH("rata-rata:",'Offshore - Sydney'!N598)-11)),IF('Offshore - Sydney'!D598="Semester",'Offshore - Sydney'!E598*2,IF('Offshore - Sydney'!D598="Trimester",'Offshore - Sydney'!E598*3,IF('Offshore - Sydney'!D598="Term",'Offshore - Sydney'!E598*4,IF('Offshore - Sydney'!D598="Unit",'Offshore - Sydney'!E598*8,""))))))</f>
        <v>18000</v>
      </c>
      <c r="L673" s="0" t="n">
        <f aca="false">IF(AND(ISNUMBER('Offshore - Sydney'!E598),ISNUMBER(K673),ISNUMBER('Offshore - Sydney'!F598),ISNUMBER('Offshore - Sydney'!G598),OR('Offshore - Sydney'!F598&lt;&gt;0,ISNUMBER(SEARCH("Material 0 terverifikasi",'Offshore - Sydney'!N598))),OR('Offshore - Sydney'!G598&lt;&gt;0,ISNUMBER(SEARCH("Enrolment 0 terverifikasi",'Offshore - Sydney'!N598)))),1,0)</f>
        <v>1</v>
      </c>
      <c r="M673" s="0" t="n">
        <f aca="false">IF(OR('Offshore - Sydney'!E598="",ISNUMBER(SEARCH("BSB80120",'Offshore - Sydney'!B598&amp;'Offshore - Sydney'!N598)),ISNUMBER(SEARCH("Management (Learning)",'Offshore - Sydney'!B598))),2,IF(ISNUMBER(SEARCH("CEK:",'Offshore - Sydney'!N598)),1,0))</f>
        <v>1</v>
      </c>
    </row>
    <row r="674" customFormat="false" ht="28.35" hidden="false" customHeight="false" outlineLevel="0" collapsed="false">
      <c r="A674" s="63" t="s">
        <v>3533</v>
      </c>
      <c r="B674" s="64" t="s">
        <v>3923</v>
      </c>
      <c r="C674" s="63" t="s">
        <v>41</v>
      </c>
      <c r="D674" s="64" t="str">
        <f aca="false">TRIM(LEFT('Offshore - Sydney'!A156,FIND(CHAR(10),'Offshore - Sydney'!A156&amp;CHAR(10))-1))</f>
        <v>Australian Catholic University (ACU)</v>
      </c>
      <c r="E674" s="63" t="str">
        <f aca="false">'Offshore - Sydney'!C258&amp;""</f>
        <v>1 year</v>
      </c>
      <c r="F674" s="63" t="str">
        <f aca="false">IF('Offshore - Sydney'!D258="","Belum tercatat",'Offshore - Sydney'!D258)</f>
        <v>Term</v>
      </c>
      <c r="G674" s="65" t="n">
        <f aca="false">IF('Offshore - Sydney'!E258="","-",'Offshore - Sydney'!E258)</f>
        <v>8906</v>
      </c>
      <c r="H674" s="63" t="n">
        <f aca="false">IF(ISNUMBER(K674),COUNTIFS($J$6:$J$1854,J674,$K$6:$K$1854,"&lt;"&amp;K674)+1,"-")</f>
        <v>29</v>
      </c>
      <c r="I674" s="64" t="str">
        <f aca="false">IF('Offshore - Sydney'!E258="","Harga belum tersedia - hubungi konsultan TEG",IF(M674=2,"Saat ini tidak menerima pendaftaran siswa internasional baru",IF(M674=1,"Harga perlu dikonfirmasi ke sekolah"&amp;IF(""="","","; "&amp;""),"")))</f>
        <v/>
      </c>
      <c r="J674" s="0" t="s">
        <v>3968</v>
      </c>
      <c r="K674" s="0" t="n">
        <f aca="false">IF(M674=2,"",IF(ISNUMBER(SEARCH("rata-rata:",'Offshore - Sydney'!N258)),VALUE(MID('Offshore - Sydney'!N258,SEARCH("rata-rata:",'Offshore - Sydney'!N258)+11,FIND(";",'Offshore - Sydney'!N258&amp;";",SEARCH("rata-rata:",'Offshore - Sydney'!N258))-SEARCH("rata-rata:",'Offshore - Sydney'!N258)-11)),IF('Offshore - Sydney'!D258="Semester",'Offshore - Sydney'!E258*2,IF('Offshore - Sydney'!D258="Trimester",'Offshore - Sydney'!E258*3,IF('Offshore - Sydney'!D258="Term",'Offshore - Sydney'!E258*4,IF('Offshore - Sydney'!D258="Unit",'Offshore - Sydney'!E258*8,""))))))</f>
        <v>35624</v>
      </c>
      <c r="L674" s="0" t="n">
        <f aca="false">IF(AND(ISNUMBER('Offshore - Sydney'!E258),ISNUMBER(K674),ISNUMBER('Offshore - Sydney'!F258),ISNUMBER('Offshore - Sydney'!G258),OR('Offshore - Sydney'!F258&lt;&gt;0,ISNUMBER(SEARCH("Material 0 terverifikasi",'Offshore - Sydney'!N258))),OR('Offshore - Sydney'!G258&lt;&gt;0,ISNUMBER(SEARCH("Enrolment 0 terverifikasi",'Offshore - Sydney'!N258)))),1,0)</f>
        <v>0</v>
      </c>
      <c r="M674" s="0" t="n">
        <f aca="false">IF(OR('Offshore - Sydney'!E258="",ISNUMBER(SEARCH("BSB80120",'Offshore - Sydney'!B258&amp;'Offshore - Sydney'!N258)),ISNUMBER(SEARCH("Management (Learning)",'Offshore - Sydney'!B258))),2,IF(ISNUMBER(SEARCH("CEK:",'Offshore - Sydney'!N258)),1,0))</f>
        <v>0</v>
      </c>
    </row>
    <row r="675" customFormat="false" ht="15" hidden="false" customHeight="false" outlineLevel="0" collapsed="false">
      <c r="A675" s="61" t="s">
        <v>3969</v>
      </c>
      <c r="B675" s="62"/>
      <c r="C675" s="62"/>
      <c r="D675" s="62"/>
      <c r="E675" s="62"/>
      <c r="F675" s="62"/>
      <c r="G675" s="62"/>
      <c r="H675" s="62"/>
      <c r="I675" s="62"/>
    </row>
    <row r="676" customFormat="false" ht="28.35" hidden="false" customHeight="false" outlineLevel="0" collapsed="false">
      <c r="A676" s="63" t="s">
        <v>3533</v>
      </c>
      <c r="B676" s="64" t="s">
        <v>3923</v>
      </c>
      <c r="C676" s="63" t="s">
        <v>42</v>
      </c>
      <c r="D676" s="64" t="str">
        <f aca="false">TRIM(LEFT('Offshore - Sydney'!A968,FIND(CHAR(10),'Offshore - Sydney'!A968&amp;CHAR(10))-1))</f>
        <v>Western Sydney College (WSC)</v>
      </c>
      <c r="E676" s="63" t="str">
        <f aca="false">'Offshore - Sydney'!C980&amp;""</f>
        <v>1,5 years</v>
      </c>
      <c r="F676" s="63" t="str">
        <f aca="false">IF('Offshore - Sydney'!D980="","Belum tercatat",'Offshore - Sydney'!D980)</f>
        <v>Term</v>
      </c>
      <c r="G676" s="65" t="n">
        <f aca="false">IF('Offshore - Sydney'!E980="","-",'Offshore - Sydney'!E980)</f>
        <v>2000</v>
      </c>
      <c r="H676" s="63" t="n">
        <f aca="false">IF(ISNUMBER(K676),COUNTIFS($J$6:$J$1854,J676,$K$6:$K$1854,"&lt;"&amp;K676)+1,"-")</f>
        <v>1</v>
      </c>
      <c r="I676" s="64" t="str">
        <f aca="false">IF('Offshore - Sydney'!E980="","Harga belum tersedia - hubungi konsultan TEG",IF(M676=2,"Saat ini tidak menerima pendaftaran siswa internasional baru",IF(M676=1,"Harga perlu dikonfirmasi ke sekolah"&amp;IF(""="","","; "&amp;""),"")))</f>
        <v/>
      </c>
      <c r="J676" s="0" t="s">
        <v>3970</v>
      </c>
      <c r="K676" s="0" t="n">
        <f aca="false">IF(M676=2,"",IF(ISNUMBER(SEARCH("rata-rata:",'Offshore - Sydney'!N980)),VALUE(MID('Offshore - Sydney'!N980,SEARCH("rata-rata:",'Offshore - Sydney'!N980)+11,FIND(";",'Offshore - Sydney'!N980&amp;";",SEARCH("rata-rata:",'Offshore - Sydney'!N980))-SEARCH("rata-rata:",'Offshore - Sydney'!N980)-11)),IF('Offshore - Sydney'!D980="Semester",'Offshore - Sydney'!E980*2,IF('Offshore - Sydney'!D980="Trimester",'Offshore - Sydney'!E980*3,IF('Offshore - Sydney'!D980="Term",'Offshore - Sydney'!E980*4,IF('Offshore - Sydney'!D980="Unit",'Offshore - Sydney'!E980*8,""))))))</f>
        <v>8000</v>
      </c>
      <c r="L676" s="0" t="n">
        <f aca="false">IF(AND(ISNUMBER('Offshore - Sydney'!E980),ISNUMBER(K676),ISNUMBER('Offshore - Sydney'!F980),ISNUMBER('Offshore - Sydney'!G980),OR('Offshore - Sydney'!F980&lt;&gt;0,ISNUMBER(SEARCH("Material 0 terverifikasi",'Offshore - Sydney'!N980))),OR('Offshore - Sydney'!G980&lt;&gt;0,ISNUMBER(SEARCH("Enrolment 0 terverifikasi",'Offshore - Sydney'!N980)))),1,0)</f>
        <v>1</v>
      </c>
      <c r="M676" s="0" t="n">
        <f aca="false">IF(OR('Offshore - Sydney'!E980="",ISNUMBER(SEARCH("BSB80120",'Offshore - Sydney'!B980&amp;'Offshore - Sydney'!N980)),ISNUMBER(SEARCH("Management (Learning)",'Offshore - Sydney'!B980))),2,IF(ISNUMBER(SEARCH("CEK:",'Offshore - Sydney'!N980)),1,0))</f>
        <v>0</v>
      </c>
    </row>
    <row r="677" customFormat="false" ht="28.35" hidden="false" customHeight="false" outlineLevel="0" collapsed="false">
      <c r="A677" s="63" t="s">
        <v>3533</v>
      </c>
      <c r="B677" s="64" t="s">
        <v>3923</v>
      </c>
      <c r="C677" s="63" t="s">
        <v>42</v>
      </c>
      <c r="D677" s="64" t="str">
        <f aca="false">TRIM(LEFT('Offshore - Sydney'!A282,FIND(CHAR(10),'Offshore - Sydney'!A282&amp;CHAR(10))-1))</f>
        <v>Australian Harbour International College (AHIC)</v>
      </c>
      <c r="E677" s="63" t="str">
        <f aca="false">'Offshore - Sydney'!C283&amp;""</f>
        <v>4,5 years</v>
      </c>
      <c r="F677" s="63" t="str">
        <f aca="false">IF('Offshore - Sydney'!D283="","Belum tercatat",'Offshore - Sydney'!D283)</f>
        <v>Term</v>
      </c>
      <c r="G677" s="65" t="n">
        <f aca="false">IF('Offshore - Sydney'!E283="","-",'Offshore - Sydney'!E283)</f>
        <v>2375</v>
      </c>
      <c r="H677" s="63" t="n">
        <f aca="false">IF(ISNUMBER(K677),COUNTIFS($J$6:$J$1854,J677,$K$6:$K$1854,"&lt;"&amp;K677)+1,"-")</f>
        <v>2</v>
      </c>
      <c r="I677" s="64" t="str">
        <f aca="false">IF('Offshore - Sydney'!E283="","Harga belum tersedia - hubungi konsultan TEG",IF(M677=2,"Saat ini tidak menerima pendaftaran siswa internasional baru",IF(M677=1,"Harga perlu dikonfirmasi ke sekolah"&amp;IF(""="","","; "&amp;""),"")))</f>
        <v/>
      </c>
      <c r="J677" s="0" t="s">
        <v>3970</v>
      </c>
      <c r="K677" s="0" t="n">
        <f aca="false">IF(M677=2,"",IF(ISNUMBER(SEARCH("rata-rata:",'Offshore - Sydney'!N283)),VALUE(MID('Offshore - Sydney'!N283,SEARCH("rata-rata:",'Offshore - Sydney'!N283)+11,FIND(";",'Offshore - Sydney'!N283&amp;";",SEARCH("rata-rata:",'Offshore - Sydney'!N283))-SEARCH("rata-rata:",'Offshore - Sydney'!N283)-11)),IF('Offshore - Sydney'!D283="Semester",'Offshore - Sydney'!E283*2,IF('Offshore - Sydney'!D283="Trimester",'Offshore - Sydney'!E283*3,IF('Offshore - Sydney'!D283="Term",'Offshore - Sydney'!E283*4,IF('Offshore - Sydney'!D283="Unit",'Offshore - Sydney'!E283*8,""))))))</f>
        <v>9500</v>
      </c>
      <c r="L677" s="0" t="n">
        <f aca="false">IF(AND(ISNUMBER('Offshore - Sydney'!E283),ISNUMBER(K677),ISNUMBER('Offshore - Sydney'!F283),ISNUMBER('Offshore - Sydney'!G283),OR('Offshore - Sydney'!F283&lt;&gt;0,ISNUMBER(SEARCH("Material 0 terverifikasi",'Offshore - Sydney'!N283))),OR('Offshore - Sydney'!G283&lt;&gt;0,ISNUMBER(SEARCH("Enrolment 0 terverifikasi",'Offshore - Sydney'!N283)))),1,0)</f>
        <v>1</v>
      </c>
      <c r="M677" s="0" t="n">
        <f aca="false">IF(OR('Offshore - Sydney'!E283="",ISNUMBER(SEARCH("BSB80120",'Offshore - Sydney'!B283&amp;'Offshore - Sydney'!N283)),ISNUMBER(SEARCH("Management (Learning)",'Offshore - Sydney'!B283))),2,IF(ISNUMBER(SEARCH("CEK:",'Offshore - Sydney'!N283)),1,0))</f>
        <v>0</v>
      </c>
    </row>
    <row r="678" customFormat="false" ht="28.35" hidden="false" customHeight="false" outlineLevel="0" collapsed="false">
      <c r="A678" s="63" t="s">
        <v>3533</v>
      </c>
      <c r="B678" s="64" t="s">
        <v>3923</v>
      </c>
      <c r="C678" s="63" t="s">
        <v>42</v>
      </c>
      <c r="D678" s="64" t="str">
        <f aca="false">TRIM(LEFT('Offshore - Sydney'!A615,FIND(CHAR(10),'Offshore - Sydney'!A615&amp;CHAR(10))-1))</f>
        <v>Novus College</v>
      </c>
      <c r="E678" s="63" t="str">
        <f aca="false">'Offshore - Sydney'!C617&amp;""</f>
        <v>3 years</v>
      </c>
      <c r="F678" s="63" t="str">
        <f aca="false">IF('Offshore - Sydney'!D617="","Belum tercatat",'Offshore - Sydney'!D617)</f>
        <v>Term</v>
      </c>
      <c r="G678" s="65" t="n">
        <f aca="false">IF('Offshore - Sydney'!E617="","-",'Offshore - Sydney'!E617)</f>
        <v>2400</v>
      </c>
      <c r="H678" s="63" t="n">
        <f aca="false">IF(ISNUMBER(K678),COUNTIFS($J$6:$J$1854,J678,$K$6:$K$1854,"&lt;"&amp;K678)+1,"-")</f>
        <v>3</v>
      </c>
      <c r="I678" s="64" t="str">
        <f aca="false">IF('Offshore - Sydney'!E617="","Harga belum tersedia - hubungi konsultan TEG",IF(M678=2,"Saat ini tidak menerima pendaftaran siswa internasional baru",IF(M678=1,"Program perlu dikonfirmasi ketersediaannya"&amp;IF(""="","","; "&amp;""),"")))</f>
        <v>Program perlu dikonfirmasi ketersediaannya</v>
      </c>
      <c r="J678" s="0" t="s">
        <v>3970</v>
      </c>
      <c r="K678" s="0" t="n">
        <f aca="false">IF(M678=2,"",IF(ISNUMBER(SEARCH("rata-rata:",'Offshore - Sydney'!N617)),VALUE(MID('Offshore - Sydney'!N617,SEARCH("rata-rata:",'Offshore - Sydney'!N617)+11,FIND(";",'Offshore - Sydney'!N617&amp;";",SEARCH("rata-rata:",'Offshore - Sydney'!N617))-SEARCH("rata-rata:",'Offshore - Sydney'!N617)-11)),IF('Offshore - Sydney'!D617="Semester",'Offshore - Sydney'!E617*2,IF('Offshore - Sydney'!D617="Trimester",'Offshore - Sydney'!E617*3,IF('Offshore - Sydney'!D617="Term",'Offshore - Sydney'!E617*4,IF('Offshore - Sydney'!D617="Unit",'Offshore - Sydney'!E617*8,""))))))</f>
        <v>9600</v>
      </c>
      <c r="L678" s="0" t="n">
        <f aca="false">IF(AND(ISNUMBER('Offshore - Sydney'!E617),ISNUMBER(K678),ISNUMBER('Offshore - Sydney'!F617),ISNUMBER('Offshore - Sydney'!G617),OR('Offshore - Sydney'!F617&lt;&gt;0,ISNUMBER(SEARCH("Material 0 terverifikasi",'Offshore - Sydney'!N617))),OR('Offshore - Sydney'!G617&lt;&gt;0,ISNUMBER(SEARCH("Enrolment 0 terverifikasi",'Offshore - Sydney'!N617)))),1,0)</f>
        <v>1</v>
      </c>
      <c r="M678" s="0" t="n">
        <f aca="false">IF(OR('Offshore - Sydney'!E617="",ISNUMBER(SEARCH("BSB80120",'Offshore - Sydney'!B617&amp;'Offshore - Sydney'!N617)),ISNUMBER(SEARCH("Management (Learning)",'Offshore - Sydney'!B617))),2,IF(ISNUMBER(SEARCH("CEK:",'Offshore - Sydney'!N617)),1,0))</f>
        <v>1</v>
      </c>
    </row>
    <row r="679" customFormat="false" ht="28.35" hidden="false" customHeight="false" outlineLevel="0" collapsed="false">
      <c r="A679" s="63" t="s">
        <v>3533</v>
      </c>
      <c r="B679" s="64" t="s">
        <v>3923</v>
      </c>
      <c r="C679" s="63" t="s">
        <v>42</v>
      </c>
      <c r="D679" s="64" t="str">
        <f aca="false">TRIM(LEFT('Offshore - Sydney'!A625,FIND(CHAR(10),'Offshore - Sydney'!A625&amp;CHAR(10))-1))</f>
        <v>Nurse Training Australia (NTA)</v>
      </c>
      <c r="E679" s="63" t="str">
        <f aca="false">'Offshore - Sydney'!C626&amp;""</f>
        <v>3,5 years</v>
      </c>
      <c r="F679" s="63" t="str">
        <f aca="false">IF('Offshore - Sydney'!D626="","Belum tercatat",'Offshore - Sydney'!D626)</f>
        <v>Term</v>
      </c>
      <c r="G679" s="65" t="n">
        <f aca="false">IF('Offshore - Sydney'!E626="","-",'Offshore - Sydney'!E626)</f>
        <v>2493.75</v>
      </c>
      <c r="H679" s="63" t="n">
        <f aca="false">IF(ISNUMBER(K679),COUNTIFS($J$6:$J$1854,J679,$K$6:$K$1854,"&lt;"&amp;K679)+1,"-")</f>
        <v>4</v>
      </c>
      <c r="I679" s="64" t="str">
        <f aca="false">IF('Offshore - Sydney'!E626="","Harga belum tersedia - hubungi konsultan TEG",IF(M679=2,"Saat ini tidak menerima pendaftaran siswa internasional baru",IF(M679=1,"Harga perlu dikonfirmasi ke sekolah"&amp;IF(""="","","; "&amp;""),"")))</f>
        <v/>
      </c>
      <c r="J679" s="0" t="s">
        <v>3970</v>
      </c>
      <c r="K679" s="0" t="n">
        <f aca="false">IF(M679=2,"",IF(ISNUMBER(SEARCH("rata-rata:",'Offshore - Sydney'!N626)),VALUE(MID('Offshore - Sydney'!N626,SEARCH("rata-rata:",'Offshore - Sydney'!N626)+11,FIND(";",'Offshore - Sydney'!N626&amp;";",SEARCH("rata-rata:",'Offshore - Sydney'!N626))-SEARCH("rata-rata:",'Offshore - Sydney'!N626)-11)),IF('Offshore - Sydney'!D626="Semester",'Offshore - Sydney'!E626*2,IF('Offshore - Sydney'!D626="Trimester",'Offshore - Sydney'!E626*3,IF('Offshore - Sydney'!D626="Term",'Offshore - Sydney'!E626*4,IF('Offshore - Sydney'!D626="Unit",'Offshore - Sydney'!E626*8,""))))))</f>
        <v>9975</v>
      </c>
      <c r="L679" s="0" t="n">
        <f aca="false">IF(AND(ISNUMBER('Offshore - Sydney'!E626),ISNUMBER(K679),ISNUMBER('Offshore - Sydney'!F626),ISNUMBER('Offshore - Sydney'!G626),OR('Offshore - Sydney'!F626&lt;&gt;0,ISNUMBER(SEARCH("Material 0 terverifikasi",'Offshore - Sydney'!N626))),OR('Offshore - Sydney'!G626&lt;&gt;0,ISNUMBER(SEARCH("Enrolment 0 terverifikasi",'Offshore - Sydney'!N626)))),1,0)</f>
        <v>1</v>
      </c>
      <c r="M679" s="0" t="n">
        <f aca="false">IF(OR('Offshore - Sydney'!E626="",ISNUMBER(SEARCH("BSB80120",'Offshore - Sydney'!B626&amp;'Offshore - Sydney'!N626)),ISNUMBER(SEARCH("Management (Learning)",'Offshore - Sydney'!B626))),2,IF(ISNUMBER(SEARCH("CEK:",'Offshore - Sydney'!N626)),1,0))</f>
        <v>0</v>
      </c>
    </row>
    <row r="680" customFormat="false" ht="15" hidden="false" customHeight="false" outlineLevel="0" collapsed="false">
      <c r="A680" s="61" t="s">
        <v>3971</v>
      </c>
      <c r="B680" s="62"/>
      <c r="C680" s="62"/>
      <c r="D680" s="62"/>
      <c r="E680" s="62"/>
      <c r="F680" s="62"/>
      <c r="G680" s="62"/>
      <c r="H680" s="62"/>
      <c r="I680" s="62"/>
    </row>
    <row r="681" customFormat="false" ht="28.35" hidden="false" customHeight="false" outlineLevel="0" collapsed="false">
      <c r="A681" s="63" t="s">
        <v>3533</v>
      </c>
      <c r="B681" s="64" t="s">
        <v>3923</v>
      </c>
      <c r="C681" s="63" t="s">
        <v>43</v>
      </c>
      <c r="D681" s="64" t="str">
        <f aca="false">TRIM(LEFT('Offshore - Sydney'!A721,FIND(CHAR(10),'Offshore - Sydney'!A721&amp;CHAR(10))-1))</f>
        <v>TAFE NSW</v>
      </c>
      <c r="E681" s="63" t="str">
        <f aca="false">'Offshore - Sydney'!C742&amp;""</f>
        <v>4 years</v>
      </c>
      <c r="F681" s="63" t="str">
        <f aca="false">IF('Offshore - Sydney'!D742="","Belum tercatat",'Offshore - Sydney'!D742)</f>
        <v>Term</v>
      </c>
      <c r="G681" s="65" t="n">
        <f aca="false">IF('Offshore - Sydney'!E742="","-",'Offshore - Sydney'!E742)</f>
        <v>3880</v>
      </c>
      <c r="H681" s="63" t="n">
        <f aca="false">IF(ISNUMBER(K681),COUNTIFS($J$6:$J$1854,J681,$K$6:$K$1854,"&lt;"&amp;K681)+1,"-")</f>
        <v>1</v>
      </c>
      <c r="I681" s="64" t="str">
        <f aca="false">IF('Offshore - Sydney'!E742="","Harga belum tersedia - hubungi konsultan TEG",IF(M681=2,"Saat ini tidak menerima pendaftaran siswa internasional baru",IF(M681=1,"Harga perlu dikonfirmasi ke sekolah"&amp;IF(""="","","; "&amp;""),"")))</f>
        <v/>
      </c>
      <c r="J681" s="0" t="s">
        <v>3972</v>
      </c>
      <c r="K681" s="0" t="n">
        <f aca="false">IF(M681=2,"",IF(ISNUMBER(SEARCH("rata-rata:",'Offshore - Sydney'!N742)),VALUE(MID('Offshore - Sydney'!N742,SEARCH("rata-rata:",'Offshore - Sydney'!N742)+11,FIND(";",'Offshore - Sydney'!N742&amp;";",SEARCH("rata-rata:",'Offshore - Sydney'!N742))-SEARCH("rata-rata:",'Offshore - Sydney'!N742)-11)),IF('Offshore - Sydney'!D742="Semester",'Offshore - Sydney'!E742*2,IF('Offshore - Sydney'!D742="Trimester",'Offshore - Sydney'!E742*3,IF('Offshore - Sydney'!D742="Term",'Offshore - Sydney'!E742*4,IF('Offshore - Sydney'!D742="Unit",'Offshore - Sydney'!E742*8,""))))))</f>
        <v>15520</v>
      </c>
      <c r="L681" s="0" t="n">
        <f aca="false">IF(AND(ISNUMBER('Offshore - Sydney'!E742),ISNUMBER(K681),ISNUMBER('Offshore - Sydney'!F742),ISNUMBER('Offshore - Sydney'!G742),OR('Offshore - Sydney'!F742&lt;&gt;0,ISNUMBER(SEARCH("Material 0 terverifikasi",'Offshore - Sydney'!N742))),OR('Offshore - Sydney'!G742&lt;&gt;0,ISNUMBER(SEARCH("Enrolment 0 terverifikasi",'Offshore - Sydney'!N742)))),1,0)</f>
        <v>0</v>
      </c>
      <c r="M681" s="0" t="n">
        <f aca="false">IF(OR('Offshore - Sydney'!E742="",ISNUMBER(SEARCH("BSB80120",'Offshore - Sydney'!B742&amp;'Offshore - Sydney'!N742)),ISNUMBER(SEARCH("Management (Learning)",'Offshore - Sydney'!B742))),2,IF(ISNUMBER(SEARCH("CEK:",'Offshore - Sydney'!N742)),1,0))</f>
        <v>0</v>
      </c>
    </row>
    <row r="682" customFormat="false" ht="28.35" hidden="false" customHeight="false" outlineLevel="0" collapsed="false">
      <c r="A682" s="63" t="s">
        <v>3533</v>
      </c>
      <c r="B682" s="64" t="s">
        <v>3923</v>
      </c>
      <c r="C682" s="63" t="s">
        <v>43</v>
      </c>
      <c r="D682" s="64" t="str">
        <f aca="false">TRIM(LEFT('Offshore - Sydney'!A590,FIND(CHAR(10),'Offshore - Sydney'!A590&amp;CHAR(10))-1))</f>
        <v>National Academy of Professional Studies (NAPS)</v>
      </c>
      <c r="E682" s="63" t="str">
        <f aca="false">'Offshore - Sydney'!C597&amp;""</f>
        <v>4 years</v>
      </c>
      <c r="F682" s="63" t="str">
        <f aca="false">IF('Offshore - Sydney'!D597="","Belum tercatat",'Offshore - Sydney'!D597)</f>
        <v>Term</v>
      </c>
      <c r="G682" s="65" t="n">
        <f aca="false">IF('Offshore - Sydney'!E597="","-",'Offshore - Sydney'!E597)</f>
        <v>4500</v>
      </c>
      <c r="H682" s="63" t="n">
        <f aca="false">IF(ISNUMBER(K682),COUNTIFS($J$6:$J$1854,J682,$K$6:$K$1854,"&lt;"&amp;K682)+1,"-")</f>
        <v>2</v>
      </c>
      <c r="I682" s="64" t="str">
        <f aca="false">IF('Offshore - Sydney'!E597="","Harga belum tersedia - hubungi konsultan TEG",IF(M682=2,"Saat ini tidak menerima pendaftaran siswa internasional baru",IF(M682=1,"Harga perlu dikonfirmasi ke sekolah"&amp;IF(""="","","; "&amp;""),"")))</f>
        <v>Harga perlu dikonfirmasi ke sekolah</v>
      </c>
      <c r="J682" s="0" t="s">
        <v>3972</v>
      </c>
      <c r="K682" s="0" t="n">
        <f aca="false">IF(M682=2,"",IF(ISNUMBER(SEARCH("rata-rata:",'Offshore - Sydney'!N597)),VALUE(MID('Offshore - Sydney'!N597,SEARCH("rata-rata:",'Offshore - Sydney'!N597)+11,FIND(";",'Offshore - Sydney'!N597&amp;";",SEARCH("rata-rata:",'Offshore - Sydney'!N597))-SEARCH("rata-rata:",'Offshore - Sydney'!N597)-11)),IF('Offshore - Sydney'!D597="Semester",'Offshore - Sydney'!E597*2,IF('Offshore - Sydney'!D597="Trimester",'Offshore - Sydney'!E597*3,IF('Offshore - Sydney'!D597="Term",'Offshore - Sydney'!E597*4,IF('Offshore - Sydney'!D597="Unit",'Offshore - Sydney'!E597*8,""))))))</f>
        <v>18000</v>
      </c>
      <c r="L682" s="0" t="n">
        <f aca="false">IF(AND(ISNUMBER('Offshore - Sydney'!E597),ISNUMBER(K682),ISNUMBER('Offshore - Sydney'!F597),ISNUMBER('Offshore - Sydney'!G597),OR('Offshore - Sydney'!F597&lt;&gt;0,ISNUMBER(SEARCH("Material 0 terverifikasi",'Offshore - Sydney'!N597))),OR('Offshore - Sydney'!G597&lt;&gt;0,ISNUMBER(SEARCH("Enrolment 0 terverifikasi",'Offshore - Sydney'!N597)))),1,0)</f>
        <v>1</v>
      </c>
      <c r="M682" s="0" t="n">
        <f aca="false">IF(OR('Offshore - Sydney'!E597="",ISNUMBER(SEARCH("BSB80120",'Offshore - Sydney'!B597&amp;'Offshore - Sydney'!N597)),ISNUMBER(SEARCH("Management (Learning)",'Offshore - Sydney'!B597))),2,IF(ISNUMBER(SEARCH("CEK:",'Offshore - Sydney'!N597)),1,0))</f>
        <v>1</v>
      </c>
    </row>
    <row r="683" customFormat="false" ht="28.35" hidden="false" customHeight="false" outlineLevel="0" collapsed="false">
      <c r="A683" s="63" t="s">
        <v>3533</v>
      </c>
      <c r="B683" s="64" t="s">
        <v>3923</v>
      </c>
      <c r="C683" s="63" t="s">
        <v>43</v>
      </c>
      <c r="D683" s="64" t="str">
        <f aca="false">TRIM(LEFT('Offshore - Sydney'!A814,FIND(CHAR(10),'Offshore - Sydney'!A814&amp;CHAR(10))-1))</f>
        <v>Torrens University Australia</v>
      </c>
      <c r="E683" s="63" t="str">
        <f aca="false">'Offshore - Sydney'!C895&amp;""</f>
        <v>3 years</v>
      </c>
      <c r="F683" s="63" t="str">
        <f aca="false">IF('Offshore - Sydney'!D895="","Belum tercatat",'Offshore - Sydney'!D895)</f>
        <v>Term</v>
      </c>
      <c r="G683" s="65" t="n">
        <f aca="false">IF('Offshore - Sydney'!E895="","-",'Offshore - Sydney'!E895)</f>
        <v>7333</v>
      </c>
      <c r="H683" s="63" t="n">
        <f aca="false">IF(ISNUMBER(K683),COUNTIFS($J$6:$J$1854,J683,$K$6:$K$1854,"&lt;"&amp;K683)+1,"-")</f>
        <v>3</v>
      </c>
      <c r="I683" s="64" t="str">
        <f aca="false">IF('Offshore - Sydney'!E895="","Harga belum tersedia - hubungi konsultan TEG",IF(M683=2,"Saat ini tidak menerima pendaftaran siswa internasional baru",IF(M683=1,"Harga perlu dikonfirmasi ke sekolah"&amp;IF(""="","","; "&amp;""),"")))</f>
        <v/>
      </c>
      <c r="J683" s="0" t="s">
        <v>3972</v>
      </c>
      <c r="K683" s="0" t="n">
        <f aca="false">IF(M683=2,"",IF(ISNUMBER(SEARCH("rata-rata:",'Offshore - Sydney'!N895)),VALUE(MID('Offshore - Sydney'!N895,SEARCH("rata-rata:",'Offshore - Sydney'!N895)+11,FIND(";",'Offshore - Sydney'!N895&amp;";",SEARCH("rata-rata:",'Offshore - Sydney'!N895))-SEARCH("rata-rata:",'Offshore - Sydney'!N895)-11)),IF('Offshore - Sydney'!D895="Semester",'Offshore - Sydney'!E895*2,IF('Offshore - Sydney'!D895="Trimester",'Offshore - Sydney'!E895*3,IF('Offshore - Sydney'!D895="Term",'Offshore - Sydney'!E895*4,IF('Offshore - Sydney'!D895="Unit",'Offshore - Sydney'!E895*8,""))))))</f>
        <v>29332</v>
      </c>
      <c r="L683" s="0" t="n">
        <f aca="false">IF(AND(ISNUMBER('Offshore - Sydney'!E895),ISNUMBER(K683),ISNUMBER('Offshore - Sydney'!F895),ISNUMBER('Offshore - Sydney'!G895),OR('Offshore - Sydney'!F895&lt;&gt;0,ISNUMBER(SEARCH("Material 0 terverifikasi",'Offshore - Sydney'!N895))),OR('Offshore - Sydney'!G895&lt;&gt;0,ISNUMBER(SEARCH("Enrolment 0 terverifikasi",'Offshore - Sydney'!N895)))),1,0)</f>
        <v>0</v>
      </c>
      <c r="M683" s="0" t="n">
        <f aca="false">IF(OR('Offshore - Sydney'!E895="",ISNUMBER(SEARCH("BSB80120",'Offshore - Sydney'!B895&amp;'Offshore - Sydney'!N895)),ISNUMBER(SEARCH("Management (Learning)",'Offshore - Sydney'!B895))),2,IF(ISNUMBER(SEARCH("CEK:",'Offshore - Sydney'!N895)),1,0))</f>
        <v>0</v>
      </c>
    </row>
    <row r="684" customFormat="false" ht="28.35" hidden="false" customHeight="false" outlineLevel="0" collapsed="false">
      <c r="A684" s="63" t="s">
        <v>3533</v>
      </c>
      <c r="B684" s="64" t="s">
        <v>3923</v>
      </c>
      <c r="C684" s="63" t="s">
        <v>43</v>
      </c>
      <c r="D684" s="64" t="str">
        <f aca="false">TRIM(LEFT('Offshore - Sydney'!A156,FIND(CHAR(10),'Offshore - Sydney'!A156&amp;CHAR(10))-1))</f>
        <v>Australian Catholic University (ACU)</v>
      </c>
      <c r="E684" s="63" t="str">
        <f aca="false">'Offshore - Sydney'!C232&amp;""</f>
        <v>4 years</v>
      </c>
      <c r="F684" s="63" t="str">
        <f aca="false">IF('Offshore - Sydney'!D232="","Belum tercatat",'Offshore - Sydney'!D232)</f>
        <v>Term</v>
      </c>
      <c r="G684" s="65" t="n">
        <f aca="false">IF('Offshore - Sydney'!E232="","-",'Offshore - Sydney'!E232)</f>
        <v>8098</v>
      </c>
      <c r="H684" s="63" t="n">
        <f aca="false">IF(ISNUMBER(K684),COUNTIFS($J$6:$J$1854,J684,$K$6:$K$1854,"&lt;"&amp;K684)+1,"-")</f>
        <v>4</v>
      </c>
      <c r="I684" s="64" t="str">
        <f aca="false">IF('Offshore - Sydney'!E232="","Harga belum tersedia - hubungi konsultan TEG",IF(M684=2,"Saat ini tidak menerima pendaftaran siswa internasional baru",IF(M684=1,"Harga perlu dikonfirmasi ke sekolah"&amp;IF(""="","","; "&amp;""),"")))</f>
        <v/>
      </c>
      <c r="J684" s="0" t="s">
        <v>3972</v>
      </c>
      <c r="K684" s="0" t="n">
        <f aca="false">IF(M684=2,"",IF(ISNUMBER(SEARCH("rata-rata:",'Offshore - Sydney'!N232)),VALUE(MID('Offshore - Sydney'!N232,SEARCH("rata-rata:",'Offshore - Sydney'!N232)+11,FIND(";",'Offshore - Sydney'!N232&amp;";",SEARCH("rata-rata:",'Offshore - Sydney'!N232))-SEARCH("rata-rata:",'Offshore - Sydney'!N232)-11)),IF('Offshore - Sydney'!D232="Semester",'Offshore - Sydney'!E232*2,IF('Offshore - Sydney'!D232="Trimester",'Offshore - Sydney'!E232*3,IF('Offshore - Sydney'!D232="Term",'Offshore - Sydney'!E232*4,IF('Offshore - Sydney'!D232="Unit",'Offshore - Sydney'!E232*8,""))))))</f>
        <v>32392</v>
      </c>
      <c r="L684" s="0" t="n">
        <f aca="false">IF(AND(ISNUMBER('Offshore - Sydney'!E232),ISNUMBER(K684),ISNUMBER('Offshore - Sydney'!F232),ISNUMBER('Offshore - Sydney'!G232),OR('Offshore - Sydney'!F232&lt;&gt;0,ISNUMBER(SEARCH("Material 0 terverifikasi",'Offshore - Sydney'!N232))),OR('Offshore - Sydney'!G232&lt;&gt;0,ISNUMBER(SEARCH("Enrolment 0 terverifikasi",'Offshore - Sydney'!N232)))),1,0)</f>
        <v>0</v>
      </c>
      <c r="M684" s="0" t="n">
        <f aca="false">IF(OR('Offshore - Sydney'!E232="",ISNUMBER(SEARCH("BSB80120",'Offshore - Sydney'!B232&amp;'Offshore - Sydney'!N232)),ISNUMBER(SEARCH("Management (Learning)",'Offshore - Sydney'!B232))),2,IF(ISNUMBER(SEARCH("CEK:",'Offshore - Sydney'!N232)),1,0))</f>
        <v>0</v>
      </c>
    </row>
    <row r="685" customFormat="false" ht="28.35" hidden="false" customHeight="false" outlineLevel="0" collapsed="false">
      <c r="A685" s="63" t="s">
        <v>3533</v>
      </c>
      <c r="B685" s="64" t="s">
        <v>3923</v>
      </c>
      <c r="C685" s="63" t="s">
        <v>43</v>
      </c>
      <c r="D685" s="64" t="str">
        <f aca="false">TRIM(LEFT('Offshore - Sydney'!A982,FIND(CHAR(10),'Offshore - Sydney'!A982&amp;CHAR(10))-1))</f>
        <v>Western Sydney University</v>
      </c>
      <c r="E685" s="63" t="str">
        <f aca="false">'Offshore - Sydney'!C1043&amp;""</f>
        <v>3 years</v>
      </c>
      <c r="F685" s="63" t="str">
        <f aca="false">IF('Offshore - Sydney'!D1043="","Belum tercatat",'Offshore - Sydney'!D1043)</f>
        <v>Term</v>
      </c>
      <c r="G685" s="65" t="n">
        <f aca="false">IF('Offshore - Sydney'!E1043="","-",'Offshore - Sydney'!E1043)</f>
        <v>8125</v>
      </c>
      <c r="H685" s="63" t="n">
        <f aca="false">IF(ISNUMBER(K685),COUNTIFS($J$6:$J$1854,J685,$K$6:$K$1854,"&lt;"&amp;K685)+1,"-")</f>
        <v>5</v>
      </c>
      <c r="I685" s="64" t="str">
        <f aca="false">IF('Offshore - Sydney'!E1043="","Harga belum tersedia - hubungi konsultan TEG",IF(M685=2,"Saat ini tidak menerima pendaftaran siswa internasional baru",IF(M685=1,"Harga perlu dikonfirmasi ke sekolah"&amp;IF(""="","","; "&amp;""),"")))</f>
        <v/>
      </c>
      <c r="J685" s="0" t="s">
        <v>3972</v>
      </c>
      <c r="K685" s="0" t="n">
        <f aca="false">IF(M685=2,"",IF(ISNUMBER(SEARCH("rata-rata:",'Offshore - Sydney'!N1043)),VALUE(MID('Offshore - Sydney'!N1043,SEARCH("rata-rata:",'Offshore - Sydney'!N1043)+11,FIND(";",'Offshore - Sydney'!N1043&amp;";",SEARCH("rata-rata:",'Offshore - Sydney'!N1043))-SEARCH("rata-rata:",'Offshore - Sydney'!N1043)-11)),IF('Offshore - Sydney'!D1043="Semester",'Offshore - Sydney'!E1043*2,IF('Offshore - Sydney'!D1043="Trimester",'Offshore - Sydney'!E1043*3,IF('Offshore - Sydney'!D1043="Term",'Offshore - Sydney'!E1043*4,IF('Offshore - Sydney'!D1043="Unit",'Offshore - Sydney'!E1043*8,""))))))</f>
        <v>32500</v>
      </c>
      <c r="L685" s="0" t="n">
        <f aca="false">IF(AND(ISNUMBER('Offshore - Sydney'!E1043),ISNUMBER(K685),ISNUMBER('Offshore - Sydney'!F1043),ISNUMBER('Offshore - Sydney'!G1043),OR('Offshore - Sydney'!F1043&lt;&gt;0,ISNUMBER(SEARCH("Material 0 terverifikasi",'Offshore - Sydney'!N1043))),OR('Offshore - Sydney'!G1043&lt;&gt;0,ISNUMBER(SEARCH("Enrolment 0 terverifikasi",'Offshore - Sydney'!N1043)))),1,0)</f>
        <v>0</v>
      </c>
      <c r="M685" s="0" t="n">
        <f aca="false">IF(OR('Offshore - Sydney'!E1043="",ISNUMBER(SEARCH("BSB80120",'Offshore - Sydney'!B1043&amp;'Offshore - Sydney'!N1043)),ISNUMBER(SEARCH("Management (Learning)",'Offshore - Sydney'!B1043))),2,IF(ISNUMBER(SEARCH("CEK:",'Offshore - Sydney'!N1043)),1,0))</f>
        <v>0</v>
      </c>
    </row>
    <row r="686" customFormat="false" ht="15" hidden="false" customHeight="false" outlineLevel="0" collapsed="false">
      <c r="A686" s="61" t="s">
        <v>3973</v>
      </c>
      <c r="B686" s="62"/>
      <c r="C686" s="62"/>
      <c r="D686" s="62"/>
      <c r="E686" s="62"/>
      <c r="F686" s="62"/>
      <c r="G686" s="62"/>
      <c r="H686" s="62"/>
      <c r="I686" s="62"/>
    </row>
    <row r="687" customFormat="false" ht="28.35" hidden="false" customHeight="false" outlineLevel="0" collapsed="false">
      <c r="A687" s="63" t="s">
        <v>3533</v>
      </c>
      <c r="B687" s="64" t="s">
        <v>3923</v>
      </c>
      <c r="C687" s="63" t="s">
        <v>3707</v>
      </c>
      <c r="D687" s="64" t="str">
        <f aca="false">TRIM(LEFT('Offshore - Sydney'!A625,FIND(CHAR(10),'Offshore - Sydney'!A625&amp;CHAR(10))-1))</f>
        <v>Nurse Training Australia (NTA)</v>
      </c>
      <c r="E687" s="63" t="str">
        <f aca="false">'Offshore - Sydney'!C628&amp;""</f>
        <v>4,5 years</v>
      </c>
      <c r="F687" s="63" t="str">
        <f aca="false">IF('Offshore - Sydney'!D628="","Belum tercatat",'Offshore - Sydney'!D628)</f>
        <v>Term</v>
      </c>
      <c r="G687" s="65" t="n">
        <f aca="false">IF('Offshore - Sydney'!E628="","-",'Offshore - Sydney'!E628)</f>
        <v>2493.75</v>
      </c>
      <c r="H687" s="63" t="n">
        <f aca="false">IF(ISNUMBER(K687),COUNTIFS($J$6:$J$1854,J687,$K$6:$K$1854,"&lt;"&amp;K687)+1,"-")</f>
        <v>1</v>
      </c>
      <c r="I687" s="64" t="str">
        <f aca="false">IF('Offshore - Sydney'!E628="","Harga belum tersedia - hubungi konsultan TEG",IF(M687=2,"Saat ini tidak menerima pendaftaran siswa internasional baru",IF(M687=1,"Harga perlu dikonfirmasi ke sekolah"&amp;IF(""="","","; "&amp;""),"")))</f>
        <v/>
      </c>
      <c r="J687" s="0" t="s">
        <v>3974</v>
      </c>
      <c r="K687" s="0" t="n">
        <f aca="false">IF(M687=2,"",IF(ISNUMBER(SEARCH("rata-rata:",'Offshore - Sydney'!N628)),VALUE(MID('Offshore - Sydney'!N628,SEARCH("rata-rata:",'Offshore - Sydney'!N628)+11,FIND(";",'Offshore - Sydney'!N628&amp;";",SEARCH("rata-rata:",'Offshore - Sydney'!N628))-SEARCH("rata-rata:",'Offshore - Sydney'!N628)-11)),IF('Offshore - Sydney'!D628="Semester",'Offshore - Sydney'!E628*2,IF('Offshore - Sydney'!D628="Trimester",'Offshore - Sydney'!E628*3,IF('Offshore - Sydney'!D628="Term",'Offshore - Sydney'!E628*4,IF('Offshore - Sydney'!D628="Unit",'Offshore - Sydney'!E628*8,""))))))</f>
        <v>9975</v>
      </c>
      <c r="L687" s="0" t="n">
        <f aca="false">IF(AND(ISNUMBER('Offshore - Sydney'!E628),ISNUMBER(K687),ISNUMBER('Offshore - Sydney'!F628),ISNUMBER('Offshore - Sydney'!G628),OR('Offshore - Sydney'!F628&lt;&gt;0,ISNUMBER(SEARCH("Material 0 terverifikasi",'Offshore - Sydney'!N628))),OR('Offshore - Sydney'!G628&lt;&gt;0,ISNUMBER(SEARCH("Enrolment 0 terverifikasi",'Offshore - Sydney'!N628)))),1,0)</f>
        <v>1</v>
      </c>
      <c r="M687" s="0" t="n">
        <f aca="false">IF(OR('Offshore - Sydney'!E628="",ISNUMBER(SEARCH("BSB80120",'Offshore - Sydney'!B628&amp;'Offshore - Sydney'!N628)),ISNUMBER(SEARCH("Management (Learning)",'Offshore - Sydney'!B628))),2,IF(ISNUMBER(SEARCH("CEK:",'Offshore - Sydney'!N628)),1,0))</f>
        <v>0</v>
      </c>
    </row>
    <row r="688" customFormat="false" ht="28.35" hidden="false" customHeight="false" outlineLevel="0" collapsed="false">
      <c r="A688" s="63" t="s">
        <v>3533</v>
      </c>
      <c r="B688" s="64" t="s">
        <v>3923</v>
      </c>
      <c r="C688" s="63" t="s">
        <v>3707</v>
      </c>
      <c r="D688" s="64" t="str">
        <f aca="false">TRIM(LEFT('Offshore - Sydney'!A982,FIND(CHAR(10),'Offshore - Sydney'!A982&amp;CHAR(10))-1))</f>
        <v>Western Sydney University</v>
      </c>
      <c r="E688" s="63" t="str">
        <f aca="false">'Offshore - Sydney'!C1128&amp;""</f>
        <v>0,5 year</v>
      </c>
      <c r="F688" s="63" t="str">
        <f aca="false">IF('Offshore - Sydney'!D1128="","Belum tercatat",'Offshore - Sydney'!D1128)</f>
        <v>Term</v>
      </c>
      <c r="G688" s="65" t="n">
        <f aca="false">IF('Offshore - Sydney'!E1128="","-",'Offshore - Sydney'!E1128)</f>
        <v>4347</v>
      </c>
      <c r="H688" s="63" t="n">
        <f aca="false">IF(ISNUMBER(K688),COUNTIFS($J$6:$J$1854,J688,$K$6:$K$1854,"&lt;"&amp;K688)+1,"-")</f>
        <v>2</v>
      </c>
      <c r="I688" s="64" t="str">
        <f aca="false">IF('Offshore - Sydney'!E1128="","Harga belum tersedia - hubungi konsultan TEG",IF(M688=2,"Saat ini tidak menerima pendaftaran siswa internasional baru",IF(M688=1,"Harga perlu dikonfirmasi ke sekolah"&amp;IF(""="","","; "&amp;""),"")))</f>
        <v/>
      </c>
      <c r="J688" s="0" t="s">
        <v>3974</v>
      </c>
      <c r="K688" s="0" t="n">
        <f aca="false">IF(M688=2,"",IF(ISNUMBER(SEARCH("rata-rata:",'Offshore - Sydney'!N1128)),VALUE(MID('Offshore - Sydney'!N1128,SEARCH("rata-rata:",'Offshore - Sydney'!N1128)+11,FIND(";",'Offshore - Sydney'!N1128&amp;";",SEARCH("rata-rata:",'Offshore - Sydney'!N1128))-SEARCH("rata-rata:",'Offshore - Sydney'!N1128)-11)),IF('Offshore - Sydney'!D1128="Semester",'Offshore - Sydney'!E1128*2,IF('Offshore - Sydney'!D1128="Trimester",'Offshore - Sydney'!E1128*3,IF('Offshore - Sydney'!D1128="Term",'Offshore - Sydney'!E1128*4,IF('Offshore - Sydney'!D1128="Unit",'Offshore - Sydney'!E1128*8,""))))))</f>
        <v>17388</v>
      </c>
      <c r="L688" s="0" t="n">
        <f aca="false">IF(AND(ISNUMBER('Offshore - Sydney'!E1128),ISNUMBER(K688),ISNUMBER('Offshore - Sydney'!F1128),ISNUMBER('Offshore - Sydney'!G1128),OR('Offshore - Sydney'!F1128&lt;&gt;0,ISNUMBER(SEARCH("Material 0 terverifikasi",'Offshore - Sydney'!N1128))),OR('Offshore - Sydney'!G1128&lt;&gt;0,ISNUMBER(SEARCH("Enrolment 0 terverifikasi",'Offshore - Sydney'!N1128)))),1,0)</f>
        <v>0</v>
      </c>
      <c r="M688" s="0" t="n">
        <f aca="false">IF(OR('Offshore - Sydney'!E1128="",ISNUMBER(SEARCH("BSB80120",'Offshore - Sydney'!B1128&amp;'Offshore - Sydney'!N1128)),ISNUMBER(SEARCH("Management (Learning)",'Offshore - Sydney'!B1128))),2,IF(ISNUMBER(SEARCH("CEK:",'Offshore - Sydney'!N1128)),1,0))</f>
        <v>0</v>
      </c>
    </row>
    <row r="689" customFormat="false" ht="15" hidden="false" customHeight="false" outlineLevel="0" collapsed="false">
      <c r="A689" s="61" t="s">
        <v>3975</v>
      </c>
      <c r="B689" s="62"/>
      <c r="C689" s="62"/>
      <c r="D689" s="62"/>
      <c r="E689" s="62"/>
      <c r="F689" s="62"/>
      <c r="G689" s="62"/>
      <c r="H689" s="62"/>
      <c r="I689" s="62"/>
    </row>
    <row r="690" customFormat="false" ht="28.35" hidden="false" customHeight="false" outlineLevel="0" collapsed="false">
      <c r="A690" s="63" t="s">
        <v>3533</v>
      </c>
      <c r="B690" s="64" t="s">
        <v>3923</v>
      </c>
      <c r="C690" s="63" t="s">
        <v>46</v>
      </c>
      <c r="D690" s="64" t="str">
        <f aca="false">TRIM(LEFT('Offshore - Sydney'!A156,FIND(CHAR(10),'Offshore - Sydney'!A156&amp;CHAR(10))-1))</f>
        <v>Australian Catholic University (ACU)</v>
      </c>
      <c r="E690" s="63" t="str">
        <f aca="false">'Offshore - Sydney'!C243&amp;""</f>
        <v>2 years</v>
      </c>
      <c r="F690" s="63" t="str">
        <f aca="false">IF('Offshore - Sydney'!D243="","Belum tercatat",'Offshore - Sydney'!D243)</f>
        <v>Term</v>
      </c>
      <c r="G690" s="65" t="n">
        <f aca="false">IF('Offshore - Sydney'!E243="","-",'Offshore - Sydney'!E243)</f>
        <v>8018</v>
      </c>
      <c r="H690" s="63" t="n">
        <f aca="false">IF(ISNUMBER(K690),COUNTIFS($J$6:$J$1854,J690,$K$6:$K$1854,"&lt;"&amp;K690)+1,"-")</f>
        <v>1</v>
      </c>
      <c r="I690" s="64" t="str">
        <f aca="false">IF('Offshore - Sydney'!E243="","Harga belum tersedia - hubungi konsultan TEG",IF(M690=2,"Saat ini tidak menerima pendaftaran siswa internasional baru",IF(M690=1,"Harga perlu dikonfirmasi ke sekolah"&amp;IF(""="","","; "&amp;""),"")))</f>
        <v/>
      </c>
      <c r="J690" s="0" t="s">
        <v>3976</v>
      </c>
      <c r="K690" s="0" t="n">
        <f aca="false">IF(M690=2,"",IF(ISNUMBER(SEARCH("rata-rata:",'Offshore - Sydney'!N243)),VALUE(MID('Offshore - Sydney'!N243,SEARCH("rata-rata:",'Offshore - Sydney'!N243)+11,FIND(";",'Offshore - Sydney'!N243&amp;";",SEARCH("rata-rata:",'Offshore - Sydney'!N243))-SEARCH("rata-rata:",'Offshore - Sydney'!N243)-11)),IF('Offshore - Sydney'!D243="Semester",'Offshore - Sydney'!E243*2,IF('Offshore - Sydney'!D243="Trimester",'Offshore - Sydney'!E243*3,IF('Offshore - Sydney'!D243="Term",'Offshore - Sydney'!E243*4,IF('Offshore - Sydney'!D243="Unit",'Offshore - Sydney'!E243*8,""))))))</f>
        <v>32072</v>
      </c>
      <c r="L690" s="0" t="n">
        <f aca="false">IF(AND(ISNUMBER('Offshore - Sydney'!E243),ISNUMBER(K690),ISNUMBER('Offshore - Sydney'!F243),ISNUMBER('Offshore - Sydney'!G243),OR('Offshore - Sydney'!F243&lt;&gt;0,ISNUMBER(SEARCH("Material 0 terverifikasi",'Offshore - Sydney'!N243))),OR('Offshore - Sydney'!G243&lt;&gt;0,ISNUMBER(SEARCH("Enrolment 0 terverifikasi",'Offshore - Sydney'!N243)))),1,0)</f>
        <v>0</v>
      </c>
      <c r="M690" s="0" t="n">
        <f aca="false">IF(OR('Offshore - Sydney'!E243="",ISNUMBER(SEARCH("BSB80120",'Offshore - Sydney'!B243&amp;'Offshore - Sydney'!N243)),ISNUMBER(SEARCH("Management (Learning)",'Offshore - Sydney'!B243))),2,IF(ISNUMBER(SEARCH("CEK:",'Offshore - Sydney'!N243)),1,0))</f>
        <v>0</v>
      </c>
    </row>
    <row r="691" customFormat="false" ht="28.35" hidden="false" customHeight="false" outlineLevel="0" collapsed="false">
      <c r="A691" s="63" t="s">
        <v>3533</v>
      </c>
      <c r="B691" s="64" t="s">
        <v>3923</v>
      </c>
      <c r="C691" s="63" t="s">
        <v>46</v>
      </c>
      <c r="D691" s="64" t="str">
        <f aca="false">TRIM(LEFT('Offshore - Sydney'!A982,FIND(CHAR(10),'Offshore - Sydney'!A982&amp;CHAR(10))-1))</f>
        <v>Western Sydney University</v>
      </c>
      <c r="E691" s="63" t="str">
        <f aca="false">'Offshore - Sydney'!C1126&amp;""</f>
        <v>2 years</v>
      </c>
      <c r="F691" s="63" t="str">
        <f aca="false">IF('Offshore - Sydney'!D1126="","Belum tercatat",'Offshore - Sydney'!D1126)</f>
        <v>Term</v>
      </c>
      <c r="G691" s="65" t="n">
        <f aca="false">IF('Offshore - Sydney'!E1126="","-",'Offshore - Sydney'!E1126)</f>
        <v>8694</v>
      </c>
      <c r="H691" s="63" t="n">
        <f aca="false">IF(ISNUMBER(K691),COUNTIFS($J$6:$J$1854,J691,$K$6:$K$1854,"&lt;"&amp;K691)+1,"-")</f>
        <v>2</v>
      </c>
      <c r="I691" s="64" t="str">
        <f aca="false">IF('Offshore - Sydney'!E1126="","Harga belum tersedia - hubungi konsultan TEG",IF(M691=2,"Saat ini tidak menerima pendaftaran siswa internasional baru",IF(M691=1,"Harga perlu dikonfirmasi ke sekolah"&amp;IF(""="","","; "&amp;""),"")))</f>
        <v/>
      </c>
      <c r="J691" s="0" t="s">
        <v>3976</v>
      </c>
      <c r="K691" s="0" t="n">
        <f aca="false">IF(M691=2,"",IF(ISNUMBER(SEARCH("rata-rata:",'Offshore - Sydney'!N1126)),VALUE(MID('Offshore - Sydney'!N1126,SEARCH("rata-rata:",'Offshore - Sydney'!N1126)+11,FIND(";",'Offshore - Sydney'!N1126&amp;";",SEARCH("rata-rata:",'Offshore - Sydney'!N1126))-SEARCH("rata-rata:",'Offshore - Sydney'!N1126)-11)),IF('Offshore - Sydney'!D1126="Semester",'Offshore - Sydney'!E1126*2,IF('Offshore - Sydney'!D1126="Trimester",'Offshore - Sydney'!E1126*3,IF('Offshore - Sydney'!D1126="Term",'Offshore - Sydney'!E1126*4,IF('Offshore - Sydney'!D1126="Unit",'Offshore - Sydney'!E1126*8,""))))))</f>
        <v>34776</v>
      </c>
      <c r="L691" s="0" t="n">
        <f aca="false">IF(AND(ISNUMBER('Offshore - Sydney'!E1126),ISNUMBER(K691),ISNUMBER('Offshore - Sydney'!F1126),ISNUMBER('Offshore - Sydney'!G1126),OR('Offshore - Sydney'!F1126&lt;&gt;0,ISNUMBER(SEARCH("Material 0 terverifikasi",'Offshore - Sydney'!N1126))),OR('Offshore - Sydney'!G1126&lt;&gt;0,ISNUMBER(SEARCH("Enrolment 0 terverifikasi",'Offshore - Sydney'!N1126)))),1,0)</f>
        <v>0</v>
      </c>
      <c r="M691" s="0" t="n">
        <f aca="false">IF(OR('Offshore - Sydney'!E1126="",ISNUMBER(SEARCH("BSB80120",'Offshore - Sydney'!B1126&amp;'Offshore - Sydney'!N1126)),ISNUMBER(SEARCH("Management (Learning)",'Offshore - Sydney'!B1126))),2,IF(ISNUMBER(SEARCH("CEK:",'Offshore - Sydney'!N1126)),1,0))</f>
        <v>0</v>
      </c>
    </row>
    <row r="692" customFormat="false" ht="15" hidden="false" customHeight="false" outlineLevel="0" collapsed="false">
      <c r="A692" s="61" t="s">
        <v>3977</v>
      </c>
      <c r="B692" s="62"/>
      <c r="C692" s="62"/>
      <c r="D692" s="62"/>
      <c r="E692" s="62"/>
      <c r="F692" s="62"/>
      <c r="G692" s="62"/>
      <c r="H692" s="62"/>
      <c r="I692" s="62"/>
    </row>
    <row r="693" customFormat="false" ht="28.35" hidden="false" customHeight="false" outlineLevel="0" collapsed="false">
      <c r="A693" s="63" t="s">
        <v>3533</v>
      </c>
      <c r="B693" s="64" t="s">
        <v>3923</v>
      </c>
      <c r="C693" s="63" t="s">
        <v>3821</v>
      </c>
      <c r="D693" s="64" t="str">
        <f aca="false">TRIM(LEFT('Offshore - Sydney'!A982,FIND(CHAR(10),'Offshore - Sydney'!A982&amp;CHAR(10))-1))</f>
        <v>Western Sydney University</v>
      </c>
      <c r="E693" s="63" t="str">
        <f aca="false">'Offshore - Sydney'!C1145&amp;""</f>
        <v>0,5 year</v>
      </c>
      <c r="F693" s="63" t="str">
        <f aca="false">IF('Offshore - Sydney'!D1145="","Belum tercatat",'Offshore - Sydney'!D1145)</f>
        <v>Term</v>
      </c>
      <c r="G693" s="65" t="n">
        <f aca="false">IF('Offshore - Sydney'!E1145="","-",'Offshore - Sydney'!E1145)</f>
        <v>4347</v>
      </c>
      <c r="H693" s="63" t="n">
        <f aca="false">IF(ISNUMBER(K693),COUNTIFS($J$6:$J$1854,J693,$K$6:$K$1854,"&lt;"&amp;K693)+1,"-")</f>
        <v>1</v>
      </c>
      <c r="I693" s="64" t="str">
        <f aca="false">IF('Offshore - Sydney'!E1145="","Harga belum tersedia - hubungi konsultan TEG",IF(M693=2,"Saat ini tidak menerima pendaftaran siswa internasional baru",IF(M693=1,"Harga perlu dikonfirmasi ke sekolah"&amp;IF(""="","","; "&amp;""),"")))</f>
        <v/>
      </c>
      <c r="J693" s="0" t="s">
        <v>3978</v>
      </c>
      <c r="K693" s="0" t="n">
        <f aca="false">IF(M693=2,"",IF(ISNUMBER(SEARCH("rata-rata:",'Offshore - Sydney'!N1145)),VALUE(MID('Offshore - Sydney'!N1145,SEARCH("rata-rata:",'Offshore - Sydney'!N1145)+11,FIND(";",'Offshore - Sydney'!N1145&amp;";",SEARCH("rata-rata:",'Offshore - Sydney'!N1145))-SEARCH("rata-rata:",'Offshore - Sydney'!N1145)-11)),IF('Offshore - Sydney'!D1145="Semester",'Offshore - Sydney'!E1145*2,IF('Offshore - Sydney'!D1145="Trimester",'Offshore - Sydney'!E1145*3,IF('Offshore - Sydney'!D1145="Term",'Offshore - Sydney'!E1145*4,IF('Offshore - Sydney'!D1145="Unit",'Offshore - Sydney'!E1145*8,""))))))</f>
        <v>17388</v>
      </c>
      <c r="L693" s="0" t="n">
        <f aca="false">IF(AND(ISNUMBER('Offshore - Sydney'!E1145),ISNUMBER(K693),ISNUMBER('Offshore - Sydney'!F1145),ISNUMBER('Offshore - Sydney'!G1145),OR('Offshore - Sydney'!F1145&lt;&gt;0,ISNUMBER(SEARCH("Material 0 terverifikasi",'Offshore - Sydney'!N1145))),OR('Offshore - Sydney'!G1145&lt;&gt;0,ISNUMBER(SEARCH("Enrolment 0 terverifikasi",'Offshore - Sydney'!N1145)))),1,0)</f>
        <v>0</v>
      </c>
      <c r="M693" s="0" t="n">
        <f aca="false">IF(OR('Offshore - Sydney'!E1145="",ISNUMBER(SEARCH("BSB80120",'Offshore - Sydney'!B1145&amp;'Offshore - Sydney'!N1145)),ISNUMBER(SEARCH("Management (Learning)",'Offshore - Sydney'!B1145))),2,IF(ISNUMBER(SEARCH("CEK:",'Offshore - Sydney'!N1145)),1,0))</f>
        <v>0</v>
      </c>
    </row>
    <row r="694" customFormat="false" ht="15" hidden="false" customHeight="false" outlineLevel="0" collapsed="false">
      <c r="A694" s="61" t="s">
        <v>3979</v>
      </c>
      <c r="B694" s="62"/>
      <c r="C694" s="62"/>
      <c r="D694" s="62"/>
      <c r="E694" s="62"/>
      <c r="F694" s="62"/>
      <c r="G694" s="62"/>
      <c r="H694" s="62"/>
      <c r="I694" s="62"/>
    </row>
    <row r="695" customFormat="false" ht="28.35" hidden="false" customHeight="false" outlineLevel="0" collapsed="false">
      <c r="A695" s="63" t="s">
        <v>3753</v>
      </c>
      <c r="B695" s="64" t="s">
        <v>3923</v>
      </c>
      <c r="C695" s="63" t="s">
        <v>41</v>
      </c>
      <c r="D695" s="64" t="str">
        <f aca="false">TRIM(LEFT('Offshore - Tasmania Hobart'!A8,FIND(CHAR(10),'Offshore - Tasmania Hobart'!A8&amp;CHAR(10))-1))</f>
        <v>Australian Sovereign College (AuSC)</v>
      </c>
      <c r="E695" s="63" t="str">
        <f aca="false">'Offshore - Tasmania Hobart'!C11&amp;""</f>
        <v>3 years</v>
      </c>
      <c r="F695" s="63" t="str">
        <f aca="false">IF('Offshore - Tasmania Hobart'!D11="","Belum tercatat",'Offshore - Tasmania Hobart'!D11)</f>
        <v>Term</v>
      </c>
      <c r="G695" s="65" t="n">
        <f aca="false">IF('Offshore - Tasmania Hobart'!E11="","-",'Offshore - Tasmania Hobart'!E11)</f>
        <v>2850</v>
      </c>
      <c r="H695" s="63" t="n">
        <f aca="false">IF(ISNUMBER(K695),COUNTIFS($J$6:$J$1854,J695,$K$6:$K$1854,"&lt;"&amp;K695)+1,"-")</f>
        <v>1</v>
      </c>
      <c r="I695" s="64" t="str">
        <f aca="false">IF('Offshore - Tasmania Hobart'!E11="","Harga belum tersedia - hubungi konsultan TEG",IF(M695=2,"Saat ini tidak menerima pendaftaran siswa internasional baru",IF(M695=1,"Harga perlu dikonfirmasi ke sekolah"&amp;IF(""="","","; "&amp;""),"")))</f>
        <v/>
      </c>
      <c r="J695" s="0" t="s">
        <v>3980</v>
      </c>
      <c r="K695" s="0" t="n">
        <f aca="false">IF(M695=2,"",IF(ISNUMBER(SEARCH("rata-rata:",'Offshore - Tasmania Hobart'!N11)),VALUE(MID('Offshore - Tasmania Hobart'!N11,SEARCH("rata-rata:",'Offshore - Tasmania Hobart'!N11)+11,FIND(";",'Offshore - Tasmania Hobart'!N11&amp;";",SEARCH("rata-rata:",'Offshore - Tasmania Hobart'!N11))-SEARCH("rata-rata:",'Offshore - Tasmania Hobart'!N11)-11)),IF('Offshore - Tasmania Hobart'!D11="Semester",'Offshore - Tasmania Hobart'!E11*2,IF('Offshore - Tasmania Hobart'!D11="Trimester",'Offshore - Tasmania Hobart'!E11*3,IF('Offshore - Tasmania Hobart'!D11="Term",'Offshore - Tasmania Hobart'!E11*4,IF('Offshore - Tasmania Hobart'!D11="Unit",'Offshore - Tasmania Hobart'!E11*8,""))))))</f>
        <v>11400</v>
      </c>
      <c r="L695" s="0" t="n">
        <f aca="false">IF(AND(ISNUMBER('Offshore - Tasmania Hobart'!E11),ISNUMBER(K695),ISNUMBER('Offshore - Tasmania Hobart'!F11),ISNUMBER('Offshore - Tasmania Hobart'!G11),OR('Offshore - Tasmania Hobart'!F11&lt;&gt;0,ISNUMBER(SEARCH("Material 0 terverifikasi",'Offshore - Tasmania Hobart'!N11))),OR('Offshore - Tasmania Hobart'!G11&lt;&gt;0,ISNUMBER(SEARCH("Enrolment 0 terverifikasi",'Offshore - Tasmania Hobart'!N11)))),1,0)</f>
        <v>1</v>
      </c>
      <c r="M695" s="0" t="n">
        <f aca="false">IF(OR('Offshore - Tasmania Hobart'!E11="",ISNUMBER(SEARCH("BSB80120",'Offshore - Tasmania Hobart'!B11&amp;'Offshore - Tasmania Hobart'!N11)),ISNUMBER(SEARCH("Management (Learning)",'Offshore - Tasmania Hobart'!B11))),2,IF(ISNUMBER(SEARCH("CEK:",'Offshore - Tasmania Hobart'!N11)),1,0))</f>
        <v>0</v>
      </c>
    </row>
    <row r="696" customFormat="false" ht="15" hidden="false" customHeight="false" outlineLevel="0" collapsed="false">
      <c r="A696" s="61" t="s">
        <v>3981</v>
      </c>
      <c r="B696" s="62"/>
      <c r="C696" s="62"/>
      <c r="D696" s="62"/>
      <c r="E696" s="62"/>
      <c r="F696" s="62"/>
      <c r="G696" s="62"/>
      <c r="H696" s="62"/>
      <c r="I696" s="62"/>
    </row>
    <row r="697" customFormat="false" ht="28.35" hidden="false" customHeight="false" outlineLevel="0" collapsed="false">
      <c r="A697" s="63" t="s">
        <v>3753</v>
      </c>
      <c r="B697" s="64" t="s">
        <v>3923</v>
      </c>
      <c r="C697" s="63" t="s">
        <v>42</v>
      </c>
      <c r="D697" s="64" t="str">
        <f aca="false">TRIM(LEFT('Offshore - Tasmania Hobart'!A8,FIND(CHAR(10),'Offshore - Tasmania Hobart'!A8&amp;CHAR(10))-1))</f>
        <v>Australian Sovereign College (AuSC)</v>
      </c>
      <c r="E697" s="63" t="str">
        <f aca="false">'Offshore - Tasmania Hobart'!C13&amp;""</f>
        <v>3 years</v>
      </c>
      <c r="F697" s="63" t="str">
        <f aca="false">IF('Offshore - Tasmania Hobart'!D13="","Belum tercatat",'Offshore - Tasmania Hobart'!D13)</f>
        <v>Term</v>
      </c>
      <c r="G697" s="65" t="n">
        <f aca="false">IF('Offshore - Tasmania Hobart'!E13="","-",'Offshore - Tasmania Hobart'!E13)</f>
        <v>2750</v>
      </c>
      <c r="H697" s="63" t="n">
        <f aca="false">IF(ISNUMBER(K697),COUNTIFS($J$6:$J$1854,J697,$K$6:$K$1854,"&lt;"&amp;K697)+1,"-")</f>
        <v>1</v>
      </c>
      <c r="I697" s="64" t="str">
        <f aca="false">IF('Offshore - Tasmania Hobart'!E13="","Harga belum tersedia - hubungi konsultan TEG",IF(M697=2,"Saat ini tidak menerima pendaftaran siswa internasional baru",IF(M697=1,"Harga perlu dikonfirmasi ke sekolah"&amp;IF(""="","","; "&amp;""),"")))</f>
        <v/>
      </c>
      <c r="J697" s="0" t="s">
        <v>3982</v>
      </c>
      <c r="K697" s="0" t="n">
        <f aca="false">IF(M697=2,"",IF(ISNUMBER(SEARCH("rata-rata:",'Offshore - Tasmania Hobart'!N13)),VALUE(MID('Offshore - Tasmania Hobart'!N13,SEARCH("rata-rata:",'Offshore - Tasmania Hobart'!N13)+11,FIND(";",'Offshore - Tasmania Hobart'!N13&amp;";",SEARCH("rata-rata:",'Offshore - Tasmania Hobart'!N13))-SEARCH("rata-rata:",'Offshore - Tasmania Hobart'!N13)-11)),IF('Offshore - Tasmania Hobart'!D13="Semester",'Offshore - Tasmania Hobart'!E13*2,IF('Offshore - Tasmania Hobart'!D13="Trimester",'Offshore - Tasmania Hobart'!E13*3,IF('Offshore - Tasmania Hobart'!D13="Term",'Offshore - Tasmania Hobart'!E13*4,IF('Offshore - Tasmania Hobart'!D13="Unit",'Offshore - Tasmania Hobart'!E13*8,""))))))</f>
        <v>11000</v>
      </c>
      <c r="L697" s="0" t="n">
        <f aca="false">IF(AND(ISNUMBER('Offshore - Tasmania Hobart'!E13),ISNUMBER(K697),ISNUMBER('Offshore - Tasmania Hobart'!F13),ISNUMBER('Offshore - Tasmania Hobart'!G13),OR('Offshore - Tasmania Hobart'!F13&lt;&gt;0,ISNUMBER(SEARCH("Material 0 terverifikasi",'Offshore - Tasmania Hobart'!N13))),OR('Offshore - Tasmania Hobart'!G13&lt;&gt;0,ISNUMBER(SEARCH("Enrolment 0 terverifikasi",'Offshore - Tasmania Hobart'!N13)))),1,0)</f>
        <v>1</v>
      </c>
      <c r="M697" s="0" t="n">
        <f aca="false">IF(OR('Offshore - Tasmania Hobart'!E13="",ISNUMBER(SEARCH("BSB80120",'Offshore - Tasmania Hobart'!B13&amp;'Offshore - Tasmania Hobart'!N13)),ISNUMBER(SEARCH("Management (Learning)",'Offshore - Tasmania Hobart'!B13))),2,IF(ISNUMBER(SEARCH("CEK:",'Offshore - Tasmania Hobart'!N13)),1,0))</f>
        <v>0</v>
      </c>
    </row>
    <row r="698" customFormat="false" ht="15" hidden="false" customHeight="false" outlineLevel="0" collapsed="false">
      <c r="A698" s="61" t="s">
        <v>3983</v>
      </c>
      <c r="B698" s="62"/>
      <c r="C698" s="62"/>
      <c r="D698" s="62"/>
      <c r="E698" s="62"/>
      <c r="F698" s="62"/>
      <c r="G698" s="62"/>
      <c r="H698" s="62"/>
      <c r="I698" s="62"/>
    </row>
    <row r="699" customFormat="false" ht="28.35" hidden="false" customHeight="false" outlineLevel="0" collapsed="false">
      <c r="A699" s="63" t="s">
        <v>3753</v>
      </c>
      <c r="B699" s="64" t="s">
        <v>3923</v>
      </c>
      <c r="C699" s="63" t="s">
        <v>43</v>
      </c>
      <c r="D699" s="64" t="str">
        <f aca="false">TRIM(LEFT('Offshore - Tasmania Hobart'!A21,FIND(CHAR(10),'Offshore - Tasmania Hobart'!A21&amp;CHAR(10))-1))</f>
        <v>University of Tasmania (UTAS)</v>
      </c>
      <c r="E699" s="63" t="str">
        <f aca="false">'Offshore - Tasmania Hobart'!C87&amp;""</f>
        <v>4 years</v>
      </c>
      <c r="F699" s="63" t="str">
        <f aca="false">IF('Offshore - Tasmania Hobart'!D87="","Belum tercatat",'Offshore - Tasmania Hobart'!D87)</f>
        <v>Term</v>
      </c>
      <c r="G699" s="65" t="n">
        <f aca="false">IF('Offshore - Tasmania Hobart'!E87="","-",'Offshore - Tasmania Hobart'!E87)</f>
        <v>9737.5</v>
      </c>
      <c r="H699" s="63" t="n">
        <f aca="false">IF(ISNUMBER(K699),COUNTIFS($J$6:$J$1854,J699,$K$6:$K$1854,"&lt;"&amp;K699)+1,"-")</f>
        <v>1</v>
      </c>
      <c r="I699" s="64" t="str">
        <f aca="false">IF('Offshore - Tasmania Hobart'!E87="","Harga belum tersedia - hubungi konsultan TEG",IF(M699=2,"Saat ini tidak menerima pendaftaran siswa internasional baru",IF(M699=1,"Harga perlu dikonfirmasi ke sekolah"&amp;IF(""="","","; "&amp;""),"")))</f>
        <v>Harga perlu dikonfirmasi ke sekolah</v>
      </c>
      <c r="J699" s="0" t="s">
        <v>3984</v>
      </c>
      <c r="K699" s="0" t="n">
        <f aca="false">IF(M699=2,"",IF(ISNUMBER(SEARCH("rata-rata:",'Offshore - Tasmania Hobart'!N87)),VALUE(MID('Offshore - Tasmania Hobart'!N87,SEARCH("rata-rata:",'Offshore - Tasmania Hobart'!N87)+11,FIND(";",'Offshore - Tasmania Hobart'!N87&amp;";",SEARCH("rata-rata:",'Offshore - Tasmania Hobart'!N87))-SEARCH("rata-rata:",'Offshore - Tasmania Hobart'!N87)-11)),IF('Offshore - Tasmania Hobart'!D87="Semester",'Offshore - Tasmania Hobart'!E87*2,IF('Offshore - Tasmania Hobart'!D87="Trimester",'Offshore - Tasmania Hobart'!E87*3,IF('Offshore - Tasmania Hobart'!D87="Term",'Offshore - Tasmania Hobart'!E87*4,IF('Offshore - Tasmania Hobart'!D87="Unit",'Offshore - Tasmania Hobart'!E87*8,""))))))</f>
        <v>38950</v>
      </c>
      <c r="L699" s="0" t="n">
        <f aca="false">IF(AND(ISNUMBER('Offshore - Tasmania Hobart'!E87),ISNUMBER(K699),ISNUMBER('Offshore - Tasmania Hobart'!F87),ISNUMBER('Offshore - Tasmania Hobart'!G87),OR('Offshore - Tasmania Hobart'!F87&lt;&gt;0,ISNUMBER(SEARCH("Material 0 terverifikasi",'Offshore - Tasmania Hobart'!N87))),OR('Offshore - Tasmania Hobart'!G87&lt;&gt;0,ISNUMBER(SEARCH("Enrolment 0 terverifikasi",'Offshore - Tasmania Hobart'!N87)))),1,0)</f>
        <v>0</v>
      </c>
      <c r="M699" s="0" t="n">
        <f aca="false">IF(OR('Offshore - Tasmania Hobart'!E87="",ISNUMBER(SEARCH("BSB80120",'Offshore - Tasmania Hobart'!B87&amp;'Offshore - Tasmania Hobart'!N87)),ISNUMBER(SEARCH("Management (Learning)",'Offshore - Tasmania Hobart'!B87))),2,IF(ISNUMBER(SEARCH("CEK:",'Offshore - Tasmania Hobart'!N87)),1,0))</f>
        <v>1</v>
      </c>
    </row>
    <row r="700" customFormat="false" ht="15" hidden="false" customHeight="false" outlineLevel="0" collapsed="false">
      <c r="A700" s="61" t="s">
        <v>3985</v>
      </c>
      <c r="B700" s="62"/>
      <c r="C700" s="62"/>
      <c r="D700" s="62"/>
      <c r="E700" s="62"/>
      <c r="F700" s="62"/>
      <c r="G700" s="62"/>
      <c r="H700" s="62"/>
      <c r="I700" s="62"/>
    </row>
    <row r="701" customFormat="false" ht="28.35" hidden="false" customHeight="false" outlineLevel="0" collapsed="false">
      <c r="A701" s="63" t="s">
        <v>3753</v>
      </c>
      <c r="B701" s="64" t="s">
        <v>3923</v>
      </c>
      <c r="C701" s="63" t="s">
        <v>3707</v>
      </c>
      <c r="D701" s="64" t="str">
        <f aca="false">TRIM(LEFT('Offshore - Tasmania Hobart'!A21,FIND(CHAR(10),'Offshore - Tasmania Hobart'!A21&amp;CHAR(10))-1))</f>
        <v>University of Tasmania (UTAS)</v>
      </c>
      <c r="E701" s="63" t="str">
        <f aca="false">'Offshore - Tasmania Hobart'!C103&amp;""</f>
        <v>1 year</v>
      </c>
      <c r="F701" s="63" t="str">
        <f aca="false">IF('Offshore - Tasmania Hobart'!D103="","Belum tercatat",'Offshore - Tasmania Hobart'!D103)</f>
        <v>Term</v>
      </c>
      <c r="G701" s="65" t="n">
        <f aca="false">IF('Offshore - Tasmania Hobart'!E103="","-",'Offshore - Tasmania Hobart'!E103)</f>
        <v>10487.5</v>
      </c>
      <c r="H701" s="63" t="n">
        <f aca="false">IF(ISNUMBER(K701),COUNTIFS($J$6:$J$1854,J701,$K$6:$K$1854,"&lt;"&amp;K701)+1,"-")</f>
        <v>1</v>
      </c>
      <c r="I701" s="64" t="str">
        <f aca="false">IF('Offshore - Tasmania Hobart'!E103="","Harga belum tersedia - hubungi konsultan TEG",IF(M701=2,"Saat ini tidak menerima pendaftaran siswa internasional baru",IF(M701=1,"Harga perlu dikonfirmasi ke sekolah"&amp;IF(""="","","; "&amp;""),"")))</f>
        <v>Harga perlu dikonfirmasi ke sekolah</v>
      </c>
      <c r="J701" s="0" t="s">
        <v>3986</v>
      </c>
      <c r="K701" s="0" t="n">
        <f aca="false">IF(M701=2,"",IF(ISNUMBER(SEARCH("rata-rata:",'Offshore - Tasmania Hobart'!N103)),VALUE(MID('Offshore - Tasmania Hobart'!N103,SEARCH("rata-rata:",'Offshore - Tasmania Hobart'!N103)+11,FIND(";",'Offshore - Tasmania Hobart'!N103&amp;";",SEARCH("rata-rata:",'Offshore - Tasmania Hobart'!N103))-SEARCH("rata-rata:",'Offshore - Tasmania Hobart'!N103)-11)),IF('Offshore - Tasmania Hobart'!D103="Semester",'Offshore - Tasmania Hobart'!E103*2,IF('Offshore - Tasmania Hobart'!D103="Trimester",'Offshore - Tasmania Hobart'!E103*3,IF('Offshore - Tasmania Hobart'!D103="Term",'Offshore - Tasmania Hobart'!E103*4,IF('Offshore - Tasmania Hobart'!D103="Unit",'Offshore - Tasmania Hobart'!E103*8,""))))))</f>
        <v>41950</v>
      </c>
      <c r="L701" s="0" t="n">
        <f aca="false">IF(AND(ISNUMBER('Offshore - Tasmania Hobart'!E103),ISNUMBER(K701),ISNUMBER('Offshore - Tasmania Hobart'!F103),ISNUMBER('Offshore - Tasmania Hobart'!G103),OR('Offshore - Tasmania Hobart'!F103&lt;&gt;0,ISNUMBER(SEARCH("Material 0 terverifikasi",'Offshore - Tasmania Hobart'!N103))),OR('Offshore - Tasmania Hobart'!G103&lt;&gt;0,ISNUMBER(SEARCH("Enrolment 0 terverifikasi",'Offshore - Tasmania Hobart'!N103)))),1,0)</f>
        <v>0</v>
      </c>
      <c r="M701" s="0" t="n">
        <f aca="false">IF(OR('Offshore - Tasmania Hobart'!E103="",ISNUMBER(SEARCH("BSB80120",'Offshore - Tasmania Hobart'!B103&amp;'Offshore - Tasmania Hobart'!N103)),ISNUMBER(SEARCH("Management (Learning)",'Offshore - Tasmania Hobart'!B103))),2,IF(ISNUMBER(SEARCH("CEK:",'Offshore - Tasmania Hobart'!N103)),1,0))</f>
        <v>1</v>
      </c>
    </row>
    <row r="702" customFormat="false" ht="15" hidden="false" customHeight="false" outlineLevel="0" collapsed="false">
      <c r="A702" s="61" t="s">
        <v>3987</v>
      </c>
      <c r="B702" s="62"/>
      <c r="C702" s="62"/>
      <c r="D702" s="62"/>
      <c r="E702" s="62"/>
      <c r="F702" s="62"/>
      <c r="G702" s="62"/>
      <c r="H702" s="62"/>
      <c r="I702" s="62"/>
    </row>
    <row r="703" customFormat="false" ht="28.35" hidden="false" customHeight="false" outlineLevel="0" collapsed="false">
      <c r="A703" s="63" t="s">
        <v>3753</v>
      </c>
      <c r="B703" s="64" t="s">
        <v>3923</v>
      </c>
      <c r="C703" s="63" t="s">
        <v>46</v>
      </c>
      <c r="D703" s="64" t="str">
        <f aca="false">TRIM(LEFT('Offshore - Tasmania Hobart'!A21,FIND(CHAR(10),'Offshore - Tasmania Hobart'!A21&amp;CHAR(10))-1))</f>
        <v>University of Tasmania (UTAS)</v>
      </c>
      <c r="E703" s="63" t="str">
        <f aca="false">'Offshore - Tasmania Hobart'!C97&amp;""</f>
        <v>2 years</v>
      </c>
      <c r="F703" s="63" t="str">
        <f aca="false">IF('Offshore - Tasmania Hobart'!D97="","Belum tercatat",'Offshore - Tasmania Hobart'!D97)</f>
        <v>Term</v>
      </c>
      <c r="G703" s="65" t="n">
        <f aca="false">IF('Offshore - Tasmania Hobart'!E97="","-",'Offshore - Tasmania Hobart'!E97)</f>
        <v>10237.5</v>
      </c>
      <c r="H703" s="63" t="n">
        <f aca="false">IF(ISNUMBER(K703),COUNTIFS($J$6:$J$1854,J703,$K$6:$K$1854,"&lt;"&amp;K703)+1,"-")</f>
        <v>1</v>
      </c>
      <c r="I703" s="64" t="str">
        <f aca="false">IF('Offshore - Tasmania Hobart'!E97="","Harga belum tersedia - hubungi konsultan TEG",IF(M703=2,"Saat ini tidak menerima pendaftaran siswa internasional baru",IF(M703=1,"Harga perlu dikonfirmasi ke sekolah"&amp;IF(""="","","; "&amp;""),"")))</f>
        <v>Harga perlu dikonfirmasi ke sekolah</v>
      </c>
      <c r="J703" s="0" t="s">
        <v>3988</v>
      </c>
      <c r="K703" s="0" t="n">
        <f aca="false">IF(M703=2,"",IF(ISNUMBER(SEARCH("rata-rata:",'Offshore - Tasmania Hobart'!N97)),VALUE(MID('Offshore - Tasmania Hobart'!N97,SEARCH("rata-rata:",'Offshore - Tasmania Hobart'!N97)+11,FIND(";",'Offshore - Tasmania Hobart'!N97&amp;";",SEARCH("rata-rata:",'Offshore - Tasmania Hobart'!N97))-SEARCH("rata-rata:",'Offshore - Tasmania Hobart'!N97)-11)),IF('Offshore - Tasmania Hobart'!D97="Semester",'Offshore - Tasmania Hobart'!E97*2,IF('Offshore - Tasmania Hobart'!D97="Trimester",'Offshore - Tasmania Hobart'!E97*3,IF('Offshore - Tasmania Hobart'!D97="Term",'Offshore - Tasmania Hobart'!E97*4,IF('Offshore - Tasmania Hobart'!D97="Unit",'Offshore - Tasmania Hobart'!E97*8,""))))))</f>
        <v>40950</v>
      </c>
      <c r="L703" s="0" t="n">
        <f aca="false">IF(AND(ISNUMBER('Offshore - Tasmania Hobart'!E97),ISNUMBER(K703),ISNUMBER('Offshore - Tasmania Hobart'!F97),ISNUMBER('Offshore - Tasmania Hobart'!G97),OR('Offshore - Tasmania Hobart'!F97&lt;&gt;0,ISNUMBER(SEARCH("Material 0 terverifikasi",'Offshore - Tasmania Hobart'!N97))),OR('Offshore - Tasmania Hobart'!G97&lt;&gt;0,ISNUMBER(SEARCH("Enrolment 0 terverifikasi",'Offshore - Tasmania Hobart'!N97)))),1,0)</f>
        <v>0</v>
      </c>
      <c r="M703" s="0" t="n">
        <f aca="false">IF(OR('Offshore - Tasmania Hobart'!E97="",ISNUMBER(SEARCH("BSB80120",'Offshore - Tasmania Hobart'!B97&amp;'Offshore - Tasmania Hobart'!N97)),ISNUMBER(SEARCH("Management (Learning)",'Offshore - Tasmania Hobart'!B97))),2,IF(ISNUMBER(SEARCH("CEK:",'Offshore - Tasmania Hobart'!N97)),1,0))</f>
        <v>1</v>
      </c>
    </row>
    <row r="704" customFormat="false" ht="15" hidden="false" customHeight="false" outlineLevel="0" collapsed="false">
      <c r="A704" s="61" t="s">
        <v>3989</v>
      </c>
      <c r="B704" s="62"/>
      <c r="C704" s="62"/>
      <c r="D704" s="62"/>
      <c r="E704" s="62"/>
      <c r="F704" s="62"/>
      <c r="G704" s="62"/>
      <c r="H704" s="62"/>
      <c r="I704" s="62"/>
    </row>
    <row r="705" customFormat="false" ht="28.35" hidden="false" customHeight="false" outlineLevel="0" collapsed="false">
      <c r="A705" s="63" t="s">
        <v>3659</v>
      </c>
      <c r="B705" s="64" t="s">
        <v>3990</v>
      </c>
      <c r="C705" s="63" t="s">
        <v>39</v>
      </c>
      <c r="D705" s="64" t="str">
        <f aca="false">TRIM(LEFT('Offshore - Adelaide'!A379,FIND(CHAR(10),'Offshore - Adelaide'!A379&amp;CHAR(10))-1))</f>
        <v>Alliance College</v>
      </c>
      <c r="E705" s="63" t="str">
        <f aca="false">'Offshore - Adelaide'!C389&amp;""</f>
        <v>2 years</v>
      </c>
      <c r="F705" s="63" t="str">
        <f aca="false">IF('Offshore - Adelaide'!D389="","Belum tercatat",'Offshore - Adelaide'!D389)</f>
        <v>Term</v>
      </c>
      <c r="G705" s="65" t="n">
        <f aca="false">IF('Offshore - Adelaide'!E389="","-",'Offshore - Adelaide'!E389)</f>
        <v>3575</v>
      </c>
      <c r="H705" s="63" t="n">
        <f aca="false">IF(ISNUMBER(K705),COUNTIFS($J$6:$J$1854,J705,$K$6:$K$1854,"&lt;"&amp;K705)+1,"-")</f>
        <v>1</v>
      </c>
      <c r="I705" s="64" t="str">
        <f aca="false">IF('Offshore - Adelaide'!E389="","Harga belum tersedia - hubungi konsultan TEG",IF(M705=2,"Saat ini tidak menerima pendaftaran siswa internasional baru",IF(M705=1,"Harga perlu dikonfirmasi ke sekolah"&amp;IF(""="","","; "&amp;""),"")))</f>
        <v/>
      </c>
      <c r="J705" s="0" t="s">
        <v>3991</v>
      </c>
      <c r="K705" s="0" t="n">
        <f aca="false">IF(M705=2,"",IF(ISNUMBER(SEARCH("rata-rata:",'Offshore - Adelaide'!N389)),VALUE(MID('Offshore - Adelaide'!N389,SEARCH("rata-rata:",'Offshore - Adelaide'!N389)+11,FIND(";",'Offshore - Adelaide'!N389&amp;";",SEARCH("rata-rata:",'Offshore - Adelaide'!N389))-SEARCH("rata-rata:",'Offshore - Adelaide'!N389)-11)),IF('Offshore - Adelaide'!D389="Semester",'Offshore - Adelaide'!E389*2,IF('Offshore - Adelaide'!D389="Trimester",'Offshore - Adelaide'!E389*3,IF('Offshore - Adelaide'!D389="Term",'Offshore - Adelaide'!E389*4,IF('Offshore - Adelaide'!D389="Unit",'Offshore - Adelaide'!E389*8,""))))))</f>
        <v>14300</v>
      </c>
      <c r="L705" s="0" t="n">
        <f aca="false">IF(AND(ISNUMBER('Offshore - Adelaide'!E389),ISNUMBER(K705),ISNUMBER('Offshore - Adelaide'!F389),ISNUMBER('Offshore - Adelaide'!G389),OR('Offshore - Adelaide'!F389&lt;&gt;0,ISNUMBER(SEARCH("Material 0 terverifikasi",'Offshore - Adelaide'!N389))),OR('Offshore - Adelaide'!G389&lt;&gt;0,ISNUMBER(SEARCH("Enrolment 0 terverifikasi",'Offshore - Adelaide'!N389)))),1,0)</f>
        <v>1</v>
      </c>
      <c r="M705" s="0" t="n">
        <f aca="false">IF(OR('Offshore - Adelaide'!E389="",ISNUMBER(SEARCH("BSB80120",'Offshore - Adelaide'!B389&amp;'Offshore - Adelaide'!N389)),ISNUMBER(SEARCH("Management (Learning)",'Offshore - Adelaide'!B389))),2,IF(ISNUMBER(SEARCH("CEK:",'Offshore - Adelaide'!N389)),1,0))</f>
        <v>0</v>
      </c>
    </row>
    <row r="706" customFormat="false" ht="28.35" hidden="false" customHeight="false" outlineLevel="0" collapsed="false">
      <c r="A706" s="63" t="s">
        <v>3659</v>
      </c>
      <c r="B706" s="64" t="s">
        <v>3990</v>
      </c>
      <c r="C706" s="63" t="s">
        <v>39</v>
      </c>
      <c r="D706" s="64" t="str">
        <f aca="false">TRIM(LEFT('Offshore - Adelaide'!A471,FIND(CHAR(10),'Offshore - Adelaide'!A471&amp;CHAR(10))-1))</f>
        <v>Signet Institute of Australia</v>
      </c>
      <c r="E706" s="63" t="str">
        <f aca="false">'Offshore - Adelaide'!C471&amp;""</f>
        <v>2 years</v>
      </c>
      <c r="F706" s="63" t="str">
        <f aca="false">IF('Offshore - Adelaide'!D471="","Belum tercatat",'Offshore - Adelaide'!D471)</f>
        <v>Term</v>
      </c>
      <c r="G706" s="65" t="n">
        <f aca="false">IF('Offshore - Adelaide'!E471="","-",'Offshore - Adelaide'!E471)</f>
        <v>3650</v>
      </c>
      <c r="H706" s="63" t="n">
        <f aca="false">IF(ISNUMBER(K706),COUNTIFS($J$6:$J$1854,J706,$K$6:$K$1854,"&lt;"&amp;K706)+1,"-")</f>
        <v>2</v>
      </c>
      <c r="I706" s="64" t="str">
        <f aca="false">IF('Offshore - Adelaide'!E471="","Harga belum tersedia - hubungi konsultan TEG",IF(M706=2,"Saat ini tidak menerima pendaftaran siswa internasional baru",IF(M706=1,"Harga perlu dikonfirmasi ke sekolah"&amp;IF(""="","","; "&amp;""),"")))</f>
        <v/>
      </c>
      <c r="J706" s="0" t="s">
        <v>3991</v>
      </c>
      <c r="K706" s="0" t="n">
        <f aca="false">IF(M706=2,"",IF(ISNUMBER(SEARCH("rata-rata:",'Offshore - Adelaide'!N471)),VALUE(MID('Offshore - Adelaide'!N471,SEARCH("rata-rata:",'Offshore - Adelaide'!N471)+11,FIND(";",'Offshore - Adelaide'!N471&amp;";",SEARCH("rata-rata:",'Offshore - Adelaide'!N471))-SEARCH("rata-rata:",'Offshore - Adelaide'!N471)-11)),IF('Offshore - Adelaide'!D471="Semester",'Offshore - Adelaide'!E471*2,IF('Offshore - Adelaide'!D471="Trimester",'Offshore - Adelaide'!E471*3,IF('Offshore - Adelaide'!D471="Term",'Offshore - Adelaide'!E471*4,IF('Offshore - Adelaide'!D471="Unit",'Offshore - Adelaide'!E471*8,""))))))</f>
        <v>14600</v>
      </c>
      <c r="L706" s="0" t="n">
        <f aca="false">IF(AND(ISNUMBER('Offshore - Adelaide'!E471),ISNUMBER(K706),ISNUMBER('Offshore - Adelaide'!F471),ISNUMBER('Offshore - Adelaide'!G471),OR('Offshore - Adelaide'!F471&lt;&gt;0,ISNUMBER(SEARCH("Material 0 terverifikasi",'Offshore - Adelaide'!N471))),OR('Offshore - Adelaide'!G471&lt;&gt;0,ISNUMBER(SEARCH("Enrolment 0 terverifikasi",'Offshore - Adelaide'!N471)))),1,0)</f>
        <v>1</v>
      </c>
      <c r="M706" s="0" t="n">
        <f aca="false">IF(OR('Offshore - Adelaide'!E471="",ISNUMBER(SEARCH("BSB80120",'Offshore - Adelaide'!B471&amp;'Offshore - Adelaide'!N471)),ISNUMBER(SEARCH("Management (Learning)",'Offshore - Adelaide'!B471))),2,IF(ISNUMBER(SEARCH("CEK:",'Offshore - Adelaide'!N471)),1,0))</f>
        <v>0</v>
      </c>
    </row>
    <row r="707" customFormat="false" ht="28.35" hidden="false" customHeight="false" outlineLevel="0" collapsed="false">
      <c r="A707" s="63" t="s">
        <v>3659</v>
      </c>
      <c r="B707" s="64" t="s">
        <v>3990</v>
      </c>
      <c r="C707" s="63" t="s">
        <v>39</v>
      </c>
      <c r="D707" s="64" t="str">
        <f aca="false">TRIM(LEFT('Offshore - Adelaide'!A484,FIND(CHAR(10),'Offshore - Adelaide'!A484&amp;CHAR(10))-1))</f>
        <v>TAFE SA</v>
      </c>
      <c r="E707" s="63" t="str">
        <f aca="false">'Offshore - Adelaide'!C533&amp;""</f>
        <v>0,5 year</v>
      </c>
      <c r="F707" s="63" t="str">
        <f aca="false">IF('Offshore - Adelaide'!D533="","Belum tercatat",'Offshore - Adelaide'!D533)</f>
        <v>Semester</v>
      </c>
      <c r="G707" s="65" t="n">
        <f aca="false">IF('Offshore - Adelaide'!E533="","-",'Offshore - Adelaide'!E533)</f>
        <v>8235</v>
      </c>
      <c r="H707" s="63" t="n">
        <f aca="false">IF(ISNUMBER(K707),COUNTIFS($J$6:$J$1854,J707,$K$6:$K$1854,"&lt;"&amp;K707)+1,"-")</f>
        <v>3</v>
      </c>
      <c r="I707" s="64" t="str">
        <f aca="false">IF('Offshore - Adelaide'!E533="","Harga belum tersedia - hubungi konsultan TEG",IF(M707=2,"Saat ini tidak menerima pendaftaran siswa internasional baru",IF(M707=1,"Harga perlu dikonfirmasi ke sekolah"&amp;IF(""="","","; "&amp;""),"")))</f>
        <v/>
      </c>
      <c r="J707" s="0" t="s">
        <v>3991</v>
      </c>
      <c r="K707" s="0" t="n">
        <f aca="false">IF(M707=2,"",IF(ISNUMBER(SEARCH("rata-rata:",'Offshore - Adelaide'!N533)),VALUE(MID('Offshore - Adelaide'!N533,SEARCH("rata-rata:",'Offshore - Adelaide'!N533)+11,FIND(";",'Offshore - Adelaide'!N533&amp;";",SEARCH("rata-rata:",'Offshore - Adelaide'!N533))-SEARCH("rata-rata:",'Offshore - Adelaide'!N533)-11)),IF('Offshore - Adelaide'!D533="Semester",'Offshore - Adelaide'!E533*2,IF('Offshore - Adelaide'!D533="Trimester",'Offshore - Adelaide'!E533*3,IF('Offshore - Adelaide'!D533="Term",'Offshore - Adelaide'!E533*4,IF('Offshore - Adelaide'!D533="Unit",'Offshore - Adelaide'!E533*8,""))))))</f>
        <v>16470</v>
      </c>
      <c r="L707" s="0" t="n">
        <f aca="false">IF(AND(ISNUMBER('Offshore - Adelaide'!E533),ISNUMBER(K707),ISNUMBER('Offshore - Adelaide'!F533),ISNUMBER('Offshore - Adelaide'!G533),OR('Offshore - Adelaide'!F533&lt;&gt;0,ISNUMBER(SEARCH("Material 0 terverifikasi",'Offshore - Adelaide'!N533))),OR('Offshore - Adelaide'!G533&lt;&gt;0,ISNUMBER(SEARCH("Enrolment 0 terverifikasi",'Offshore - Adelaide'!N533)))),1,0)</f>
        <v>0</v>
      </c>
      <c r="M707" s="0" t="n">
        <f aca="false">IF(OR('Offshore - Adelaide'!E533="",ISNUMBER(SEARCH("BSB80120",'Offshore - Adelaide'!B533&amp;'Offshore - Adelaide'!N533)),ISNUMBER(SEARCH("Management (Learning)",'Offshore - Adelaide'!B533))),2,IF(ISNUMBER(SEARCH("CEK:",'Offshore - Adelaide'!N533)),1,0))</f>
        <v>0</v>
      </c>
    </row>
    <row r="708" customFormat="false" ht="15" hidden="false" customHeight="false" outlineLevel="0" collapsed="false">
      <c r="A708" s="61" t="s">
        <v>3992</v>
      </c>
      <c r="B708" s="62"/>
      <c r="C708" s="62"/>
      <c r="D708" s="62"/>
      <c r="E708" s="62"/>
      <c r="F708" s="62"/>
      <c r="G708" s="62"/>
      <c r="H708" s="62"/>
      <c r="I708" s="62"/>
    </row>
    <row r="709" customFormat="false" ht="28.35" hidden="false" customHeight="false" outlineLevel="0" collapsed="false">
      <c r="A709" s="63" t="s">
        <v>3659</v>
      </c>
      <c r="B709" s="64" t="s">
        <v>3990</v>
      </c>
      <c r="C709" s="63" t="s">
        <v>40</v>
      </c>
      <c r="D709" s="64" t="str">
        <f aca="false">TRIM(LEFT('Offshore - Adelaide'!A379,FIND(CHAR(10),'Offshore - Adelaide'!A379&amp;CHAR(10))-1))</f>
        <v>Alliance College</v>
      </c>
      <c r="E709" s="63" t="str">
        <f aca="false">'Offshore - Adelaide'!C390&amp;""</f>
        <v>2 years</v>
      </c>
      <c r="F709" s="63" t="str">
        <f aca="false">IF('Offshore - Adelaide'!D390="","Belum tercatat",'Offshore - Adelaide'!D390)</f>
        <v>Term</v>
      </c>
      <c r="G709" s="65" t="n">
        <f aca="false">IF('Offshore - Adelaide'!E390="","-",'Offshore - Adelaide'!E390)</f>
        <v>4075</v>
      </c>
      <c r="H709" s="63" t="n">
        <f aca="false">IF(ISNUMBER(K709),COUNTIFS($J$6:$J$1854,J709,$K$6:$K$1854,"&lt;"&amp;K709)+1,"-")</f>
        <v>1</v>
      </c>
      <c r="I709" s="64" t="str">
        <f aca="false">IF('Offshore - Adelaide'!E390="","Harga belum tersedia - hubungi konsultan TEG",IF(M709=2,"Saat ini tidak menerima pendaftaran siswa internasional baru",IF(M709=1,"Harga perlu dikonfirmasi ke sekolah"&amp;IF(""="","","; "&amp;""),"")))</f>
        <v/>
      </c>
      <c r="J709" s="0" t="s">
        <v>3993</v>
      </c>
      <c r="K709" s="0" t="n">
        <f aca="false">IF(M709=2,"",IF(ISNUMBER(SEARCH("rata-rata:",'Offshore - Adelaide'!N390)),VALUE(MID('Offshore - Adelaide'!N390,SEARCH("rata-rata:",'Offshore - Adelaide'!N390)+11,FIND(";",'Offshore - Adelaide'!N390&amp;";",SEARCH("rata-rata:",'Offshore - Adelaide'!N390))-SEARCH("rata-rata:",'Offshore - Adelaide'!N390)-11)),IF('Offshore - Adelaide'!D390="Semester",'Offshore - Adelaide'!E390*2,IF('Offshore - Adelaide'!D390="Trimester",'Offshore - Adelaide'!E390*3,IF('Offshore - Adelaide'!D390="Term",'Offshore - Adelaide'!E390*4,IF('Offshore - Adelaide'!D390="Unit",'Offshore - Adelaide'!E390*8,""))))))</f>
        <v>16300</v>
      </c>
      <c r="L709" s="0" t="n">
        <f aca="false">IF(AND(ISNUMBER('Offshore - Adelaide'!E390),ISNUMBER(K709),ISNUMBER('Offshore - Adelaide'!F390),ISNUMBER('Offshore - Adelaide'!G390),OR('Offshore - Adelaide'!F390&lt;&gt;0,ISNUMBER(SEARCH("Material 0 terverifikasi",'Offshore - Adelaide'!N390))),OR('Offshore - Adelaide'!G390&lt;&gt;0,ISNUMBER(SEARCH("Enrolment 0 terverifikasi",'Offshore - Adelaide'!N390)))),1,0)</f>
        <v>1</v>
      </c>
      <c r="M709" s="0" t="n">
        <f aca="false">IF(OR('Offshore - Adelaide'!E390="",ISNUMBER(SEARCH("BSB80120",'Offshore - Adelaide'!B390&amp;'Offshore - Adelaide'!N390)),ISNUMBER(SEARCH("Management (Learning)",'Offshore - Adelaide'!B390))),2,IF(ISNUMBER(SEARCH("CEK:",'Offshore - Adelaide'!N390)),1,0))</f>
        <v>0</v>
      </c>
    </row>
    <row r="710" customFormat="false" ht="28.35" hidden="false" customHeight="false" outlineLevel="0" collapsed="false">
      <c r="A710" s="63" t="s">
        <v>3659</v>
      </c>
      <c r="B710" s="64" t="s">
        <v>3990</v>
      </c>
      <c r="C710" s="63" t="s">
        <v>40</v>
      </c>
      <c r="D710" s="64" t="str">
        <f aca="false">TRIM(LEFT('Offshore - Adelaide'!A484,FIND(CHAR(10),'Offshore - Adelaide'!A484&amp;CHAR(10))-1))</f>
        <v>TAFE SA</v>
      </c>
      <c r="E710" s="63" t="str">
        <f aca="false">'Offshore - Adelaide'!C492&amp;""</f>
        <v>1 year</v>
      </c>
      <c r="F710" s="63" t="str">
        <f aca="false">IF('Offshore - Adelaide'!D492="","Belum tercatat",'Offshore - Adelaide'!D492)</f>
        <v>Semester</v>
      </c>
      <c r="G710" s="65" t="n">
        <f aca="false">IF('Offshore - Adelaide'!E492="","-",'Offshore - Adelaide'!E492)</f>
        <v>9660</v>
      </c>
      <c r="H710" s="63" t="n">
        <f aca="false">IF(ISNUMBER(K710),COUNTIFS($J$6:$J$1854,J710,$K$6:$K$1854,"&lt;"&amp;K710)+1,"-")</f>
        <v>2</v>
      </c>
      <c r="I710" s="64" t="str">
        <f aca="false">IF('Offshore - Adelaide'!E492="","Harga belum tersedia - hubungi konsultan TEG",IF(M710=2,"Saat ini tidak menerima pendaftaran siswa internasional baru",IF(M710=1,"Harga perlu dikonfirmasi ke sekolah"&amp;IF(""="","","; "&amp;""),"")))</f>
        <v/>
      </c>
      <c r="J710" s="0" t="s">
        <v>3993</v>
      </c>
      <c r="K710" s="0" t="n">
        <f aca="false">IF(M710=2,"",IF(ISNUMBER(SEARCH("rata-rata:",'Offshore - Adelaide'!N492)),VALUE(MID('Offshore - Adelaide'!N492,SEARCH("rata-rata:",'Offshore - Adelaide'!N492)+11,FIND(";",'Offshore - Adelaide'!N492&amp;";",SEARCH("rata-rata:",'Offshore - Adelaide'!N492))-SEARCH("rata-rata:",'Offshore - Adelaide'!N492)-11)),IF('Offshore - Adelaide'!D492="Semester",'Offshore - Adelaide'!E492*2,IF('Offshore - Adelaide'!D492="Trimester",'Offshore - Adelaide'!E492*3,IF('Offshore - Adelaide'!D492="Term",'Offshore - Adelaide'!E492*4,IF('Offshore - Adelaide'!D492="Unit",'Offshore - Adelaide'!E492*8,""))))))</f>
        <v>19320</v>
      </c>
      <c r="L710" s="0" t="n">
        <f aca="false">IF(AND(ISNUMBER('Offshore - Adelaide'!E492),ISNUMBER(K710),ISNUMBER('Offshore - Adelaide'!F492),ISNUMBER('Offshore - Adelaide'!G492),OR('Offshore - Adelaide'!F492&lt;&gt;0,ISNUMBER(SEARCH("Material 0 terverifikasi",'Offshore - Adelaide'!N492))),OR('Offshore - Adelaide'!G492&lt;&gt;0,ISNUMBER(SEARCH("Enrolment 0 terverifikasi",'Offshore - Adelaide'!N492)))),1,0)</f>
        <v>0</v>
      </c>
      <c r="M710" s="0" t="n">
        <f aca="false">IF(OR('Offshore - Adelaide'!E492="",ISNUMBER(SEARCH("BSB80120",'Offshore - Adelaide'!B492&amp;'Offshore - Adelaide'!N492)),ISNUMBER(SEARCH("Management (Learning)",'Offshore - Adelaide'!B492))),2,IF(ISNUMBER(SEARCH("CEK:",'Offshore - Adelaide'!N492)),1,0))</f>
        <v>0</v>
      </c>
    </row>
    <row r="711" customFormat="false" ht="15" hidden="false" customHeight="false" outlineLevel="0" collapsed="false">
      <c r="A711" s="61" t="s">
        <v>3994</v>
      </c>
      <c r="B711" s="62"/>
      <c r="C711" s="62"/>
      <c r="D711" s="62"/>
      <c r="E711" s="62"/>
      <c r="F711" s="62"/>
      <c r="G711" s="62"/>
      <c r="H711" s="62"/>
      <c r="I711" s="62"/>
    </row>
    <row r="712" customFormat="false" ht="28.35" hidden="false" customHeight="false" outlineLevel="0" collapsed="false">
      <c r="A712" s="63" t="s">
        <v>3659</v>
      </c>
      <c r="B712" s="64" t="s">
        <v>3990</v>
      </c>
      <c r="C712" s="63" t="s">
        <v>41</v>
      </c>
      <c r="D712" s="64" t="str">
        <f aca="false">TRIM(LEFT('Offshore - Adelaide'!A456,FIND(CHAR(10),'Offshore - Adelaide'!A456&amp;CHAR(10))-1))</f>
        <v>Keystone College of Business and Technology (KCBT)</v>
      </c>
      <c r="E712" s="63" t="str">
        <f aca="false">'Offshore - Adelaide'!C457&amp;""</f>
        <v>1,5 years</v>
      </c>
      <c r="F712" s="63" t="str">
        <f aca="false">IF('Offshore - Adelaide'!D457="","Belum tercatat",'Offshore - Adelaide'!D457)</f>
        <v>Term</v>
      </c>
      <c r="G712" s="65" t="n">
        <f aca="false">IF('Offshore - Adelaide'!E457="","-",'Offshore - Adelaide'!E457)</f>
        <v>2900</v>
      </c>
      <c r="H712" s="63" t="n">
        <f aca="false">IF(ISNUMBER(K712),COUNTIFS($J$6:$J$1854,J712,$K$6:$K$1854,"&lt;"&amp;K712)+1,"-")</f>
        <v>1</v>
      </c>
      <c r="I712" s="64" t="str">
        <f aca="false">IF('Offshore - Adelaide'!E457="","Harga belum tersedia - hubungi konsultan TEG",IF(M712=2,"Saat ini tidak menerima pendaftaran siswa internasional baru",IF(M712=1,"Harga perlu dikonfirmasi ke sekolah"&amp;IF(""="","","; "&amp;""),"")))</f>
        <v>Harga perlu dikonfirmasi ke sekolah</v>
      </c>
      <c r="J712" s="0" t="s">
        <v>3995</v>
      </c>
      <c r="K712" s="0" t="n">
        <f aca="false">IF(M712=2,"",IF(ISNUMBER(SEARCH("rata-rata:",'Offshore - Adelaide'!N457)),VALUE(MID('Offshore - Adelaide'!N457,SEARCH("rata-rata:",'Offshore - Adelaide'!N457)+11,FIND(";",'Offshore - Adelaide'!N457&amp;";",SEARCH("rata-rata:",'Offshore - Adelaide'!N457))-SEARCH("rata-rata:",'Offshore - Adelaide'!N457)-11)),IF('Offshore - Adelaide'!D457="Semester",'Offshore - Adelaide'!E457*2,IF('Offshore - Adelaide'!D457="Trimester",'Offshore - Adelaide'!E457*3,IF('Offshore - Adelaide'!D457="Term",'Offshore - Adelaide'!E457*4,IF('Offshore - Adelaide'!D457="Unit",'Offshore - Adelaide'!E457*8,""))))))</f>
        <v>11600</v>
      </c>
      <c r="L712" s="0" t="n">
        <f aca="false">IF(AND(ISNUMBER('Offshore - Adelaide'!E457),ISNUMBER(K712),ISNUMBER('Offshore - Adelaide'!F457),ISNUMBER('Offshore - Adelaide'!G457),OR('Offshore - Adelaide'!F457&lt;&gt;0,ISNUMBER(SEARCH("Material 0 terverifikasi",'Offshore - Adelaide'!N457))),OR('Offshore - Adelaide'!G457&lt;&gt;0,ISNUMBER(SEARCH("Enrolment 0 terverifikasi",'Offshore - Adelaide'!N457)))),1,0)</f>
        <v>1</v>
      </c>
      <c r="M712" s="0" t="n">
        <f aca="false">IF(OR('Offshore - Adelaide'!E457="",ISNUMBER(SEARCH("BSB80120",'Offshore - Adelaide'!B457&amp;'Offshore - Adelaide'!N457)),ISNUMBER(SEARCH("Management (Learning)",'Offshore - Adelaide'!B457))),2,IF(ISNUMBER(SEARCH("CEK:",'Offshore - Adelaide'!N457)),1,0))</f>
        <v>1</v>
      </c>
    </row>
    <row r="713" customFormat="false" ht="28.35" hidden="false" customHeight="false" outlineLevel="0" collapsed="false">
      <c r="A713" s="63" t="s">
        <v>3659</v>
      </c>
      <c r="B713" s="64" t="s">
        <v>3990</v>
      </c>
      <c r="C713" s="63" t="s">
        <v>41</v>
      </c>
      <c r="D713" s="64" t="str">
        <f aca="false">TRIM(LEFT('Offshore - Adelaide'!A542,FIND(CHAR(10),'Offshore - Adelaide'!A542&amp;CHAR(10))-1))</f>
        <v>The Centre of Excellence</v>
      </c>
      <c r="E713" s="63" t="str">
        <f aca="false">'Offshore - Adelaide'!C542&amp;""</f>
        <v>3 years</v>
      </c>
      <c r="F713" s="63" t="str">
        <f aca="false">IF('Offshore - Adelaide'!D542="","Belum tercatat",'Offshore - Adelaide'!D542)</f>
        <v>Term</v>
      </c>
      <c r="G713" s="65" t="n">
        <f aca="false">IF('Offshore - Adelaide'!E542="","-",'Offshore - Adelaide'!E542)</f>
        <v>2915</v>
      </c>
      <c r="H713" s="63" t="n">
        <f aca="false">IF(ISNUMBER(K713),COUNTIFS($J$6:$J$1854,J713,$K$6:$K$1854,"&lt;"&amp;K713)+1,"-")</f>
        <v>2</v>
      </c>
      <c r="I713" s="64" t="str">
        <f aca="false">IF('Offshore - Adelaide'!E542="","Harga belum tersedia - hubungi konsultan TEG",IF(M713=2,"Saat ini tidak menerima pendaftaran siswa internasional baru",IF(M713=1,"Harga perlu dikonfirmasi ke sekolah"&amp;IF(""="","","; "&amp;""),"")))</f>
        <v/>
      </c>
      <c r="J713" s="0" t="s">
        <v>3995</v>
      </c>
      <c r="K713" s="0" t="n">
        <f aca="false">IF(M713=2,"",IF(ISNUMBER(SEARCH("rata-rata:",'Offshore - Adelaide'!N542)),VALUE(MID('Offshore - Adelaide'!N542,SEARCH("rata-rata:",'Offshore - Adelaide'!N542)+11,FIND(";",'Offshore - Adelaide'!N542&amp;";",SEARCH("rata-rata:",'Offshore - Adelaide'!N542))-SEARCH("rata-rata:",'Offshore - Adelaide'!N542)-11)),IF('Offshore - Adelaide'!D542="Semester",'Offshore - Adelaide'!E542*2,IF('Offshore - Adelaide'!D542="Trimester",'Offshore - Adelaide'!E542*3,IF('Offshore - Adelaide'!D542="Term",'Offshore - Adelaide'!E542*4,IF('Offshore - Adelaide'!D542="Unit",'Offshore - Adelaide'!E542*8,""))))))</f>
        <v>11660</v>
      </c>
      <c r="L713" s="0" t="n">
        <f aca="false">IF(AND(ISNUMBER('Offshore - Adelaide'!E542),ISNUMBER(K713),ISNUMBER('Offshore - Adelaide'!F542),ISNUMBER('Offshore - Adelaide'!G542),OR('Offshore - Adelaide'!F542&lt;&gt;0,ISNUMBER(SEARCH("Material 0 terverifikasi",'Offshore - Adelaide'!N542))),OR('Offshore - Adelaide'!G542&lt;&gt;0,ISNUMBER(SEARCH("Enrolment 0 terverifikasi",'Offshore - Adelaide'!N542)))),1,0)</f>
        <v>1</v>
      </c>
      <c r="M713" s="0" t="n">
        <f aca="false">IF(OR('Offshore - Adelaide'!E542="",ISNUMBER(SEARCH("BSB80120",'Offshore - Adelaide'!B542&amp;'Offshore - Adelaide'!N542)),ISNUMBER(SEARCH("Management (Learning)",'Offshore - Adelaide'!B542))),2,IF(ISNUMBER(SEARCH("CEK:",'Offshore - Adelaide'!N542)),1,0))</f>
        <v>0</v>
      </c>
    </row>
    <row r="714" customFormat="false" ht="28.35" hidden="false" customHeight="false" outlineLevel="0" collapsed="false">
      <c r="A714" s="63" t="s">
        <v>3659</v>
      </c>
      <c r="B714" s="64" t="s">
        <v>3990</v>
      </c>
      <c r="C714" s="63" t="s">
        <v>41</v>
      </c>
      <c r="D714" s="64" t="str">
        <f aca="false">TRIM(LEFT('Offshore - Adelaide'!A471,FIND(CHAR(10),'Offshore - Adelaide'!A471&amp;CHAR(10))-1))</f>
        <v>Signet Institute of Australia</v>
      </c>
      <c r="E714" s="63" t="str">
        <f aca="false">'Offshore - Adelaide'!C475&amp;""</f>
        <v>4 years</v>
      </c>
      <c r="F714" s="63" t="str">
        <f aca="false">IF('Offshore - Adelaide'!D475="","Belum tercatat",'Offshore - Adelaide'!D475)</f>
        <v>Term</v>
      </c>
      <c r="G714" s="65" t="n">
        <f aca="false">IF('Offshore - Adelaide'!E475="","-",'Offshore - Adelaide'!E475)</f>
        <v>3800</v>
      </c>
      <c r="H714" s="63" t="n">
        <f aca="false">IF(ISNUMBER(K714),COUNTIFS($J$6:$J$1854,J714,$K$6:$K$1854,"&lt;"&amp;K714)+1,"-")</f>
        <v>3</v>
      </c>
      <c r="I714" s="64" t="str">
        <f aca="false">IF('Offshore - Adelaide'!E475="","Harga belum tersedia - hubungi konsultan TEG",IF(M714=2,"Saat ini tidak menerima pendaftaran siswa internasional baru",IF(M714=1,"Harga perlu dikonfirmasi ke sekolah"&amp;IF(""="","","; "&amp;""),"")))</f>
        <v/>
      </c>
      <c r="J714" s="0" t="s">
        <v>3995</v>
      </c>
      <c r="K714" s="0" t="n">
        <f aca="false">IF(M714=2,"",IF(ISNUMBER(SEARCH("rata-rata:",'Offshore - Adelaide'!N475)),VALUE(MID('Offshore - Adelaide'!N475,SEARCH("rata-rata:",'Offshore - Adelaide'!N475)+11,FIND(";",'Offshore - Adelaide'!N475&amp;";",SEARCH("rata-rata:",'Offshore - Adelaide'!N475))-SEARCH("rata-rata:",'Offshore - Adelaide'!N475)-11)),IF('Offshore - Adelaide'!D475="Semester",'Offshore - Adelaide'!E475*2,IF('Offshore - Adelaide'!D475="Trimester",'Offshore - Adelaide'!E475*3,IF('Offshore - Adelaide'!D475="Term",'Offshore - Adelaide'!E475*4,IF('Offshore - Adelaide'!D475="Unit",'Offshore - Adelaide'!E475*8,""))))))</f>
        <v>15200</v>
      </c>
      <c r="L714" s="0" t="n">
        <f aca="false">IF(AND(ISNUMBER('Offshore - Adelaide'!E475),ISNUMBER(K714),ISNUMBER('Offshore - Adelaide'!F475),ISNUMBER('Offshore - Adelaide'!G475),OR('Offshore - Adelaide'!F475&lt;&gt;0,ISNUMBER(SEARCH("Material 0 terverifikasi",'Offshore - Adelaide'!N475))),OR('Offshore - Adelaide'!G475&lt;&gt;0,ISNUMBER(SEARCH("Enrolment 0 terverifikasi",'Offshore - Adelaide'!N475)))),1,0)</f>
        <v>0</v>
      </c>
      <c r="M714" s="0" t="n">
        <f aca="false">IF(OR('Offshore - Adelaide'!E475="",ISNUMBER(SEARCH("BSB80120",'Offshore - Adelaide'!B475&amp;'Offshore - Adelaide'!N475)),ISNUMBER(SEARCH("Management (Learning)",'Offshore - Adelaide'!B475))),2,IF(ISNUMBER(SEARCH("CEK:",'Offshore - Adelaide'!N475)),1,0))</f>
        <v>0</v>
      </c>
    </row>
    <row r="715" customFormat="false" ht="28.35" hidden="false" customHeight="false" outlineLevel="0" collapsed="false">
      <c r="A715" s="63" t="s">
        <v>3659</v>
      </c>
      <c r="B715" s="64" t="s">
        <v>3990</v>
      </c>
      <c r="C715" s="63" t="s">
        <v>41</v>
      </c>
      <c r="D715" s="64" t="str">
        <f aca="false">TRIM(LEFT('Offshore - Adelaide'!A379,FIND(CHAR(10),'Offshore - Adelaide'!A379&amp;CHAR(10))-1))</f>
        <v>Alliance College</v>
      </c>
      <c r="E715" s="63" t="str">
        <f aca="false">'Offshore - Adelaide'!C392&amp;""</f>
        <v>3 years</v>
      </c>
      <c r="F715" s="63" t="str">
        <f aca="false">IF('Offshore - Adelaide'!D392="","Belum tercatat",'Offshore - Adelaide'!D392)</f>
        <v>Term</v>
      </c>
      <c r="G715" s="65" t="n">
        <f aca="false">IF('Offshore - Adelaide'!E392="","-",'Offshore - Adelaide'!E392)</f>
        <v>4010</v>
      </c>
      <c r="H715" s="63" t="n">
        <f aca="false">IF(ISNUMBER(K715),COUNTIFS($J$6:$J$1854,J715,$K$6:$K$1854,"&lt;"&amp;K715)+1,"-")</f>
        <v>4</v>
      </c>
      <c r="I715" s="64" t="str">
        <f aca="false">IF('Offshore - Adelaide'!E392="","Harga belum tersedia - hubungi konsultan TEG",IF(M715=2,"Saat ini tidak menerima pendaftaran siswa internasional baru",IF(M715=1,"Harga perlu dikonfirmasi ke sekolah"&amp;IF(""="","","; "&amp;""),"")))</f>
        <v/>
      </c>
      <c r="J715" s="0" t="s">
        <v>3995</v>
      </c>
      <c r="K715" s="0" t="n">
        <f aca="false">IF(M715=2,"",IF(ISNUMBER(SEARCH("rata-rata:",'Offshore - Adelaide'!N392)),VALUE(MID('Offshore - Adelaide'!N392,SEARCH("rata-rata:",'Offshore - Adelaide'!N392)+11,FIND(";",'Offshore - Adelaide'!N392&amp;";",SEARCH("rata-rata:",'Offshore - Adelaide'!N392))-SEARCH("rata-rata:",'Offshore - Adelaide'!N392)-11)),IF('Offshore - Adelaide'!D392="Semester",'Offshore - Adelaide'!E392*2,IF('Offshore - Adelaide'!D392="Trimester",'Offshore - Adelaide'!E392*3,IF('Offshore - Adelaide'!D392="Term",'Offshore - Adelaide'!E392*4,IF('Offshore - Adelaide'!D392="Unit",'Offshore - Adelaide'!E392*8,""))))))</f>
        <v>16040</v>
      </c>
      <c r="L715" s="0" t="n">
        <f aca="false">IF(AND(ISNUMBER('Offshore - Adelaide'!E392),ISNUMBER(K715),ISNUMBER('Offshore - Adelaide'!F392),ISNUMBER('Offshore - Adelaide'!G392),OR('Offshore - Adelaide'!F392&lt;&gt;0,ISNUMBER(SEARCH("Material 0 terverifikasi",'Offshore - Adelaide'!N392))),OR('Offshore - Adelaide'!G392&lt;&gt;0,ISNUMBER(SEARCH("Enrolment 0 terverifikasi",'Offshore - Adelaide'!N392)))),1,0)</f>
        <v>1</v>
      </c>
      <c r="M715" s="0" t="n">
        <f aca="false">IF(OR('Offshore - Adelaide'!E392="",ISNUMBER(SEARCH("BSB80120",'Offshore - Adelaide'!B392&amp;'Offshore - Adelaide'!N392)),ISNUMBER(SEARCH("Management (Learning)",'Offshore - Adelaide'!B392))),2,IF(ISNUMBER(SEARCH("CEK:",'Offshore - Adelaide'!N392)),1,0))</f>
        <v>0</v>
      </c>
    </row>
    <row r="716" customFormat="false" ht="15" hidden="false" customHeight="false" outlineLevel="0" collapsed="false">
      <c r="A716" s="61" t="s">
        <v>3996</v>
      </c>
      <c r="B716" s="62"/>
      <c r="C716" s="62"/>
      <c r="D716" s="62"/>
      <c r="E716" s="62"/>
      <c r="F716" s="62"/>
      <c r="G716" s="62"/>
      <c r="H716" s="62"/>
      <c r="I716" s="62"/>
    </row>
    <row r="717" customFormat="false" ht="28.35" hidden="false" customHeight="false" outlineLevel="0" collapsed="false">
      <c r="A717" s="63" t="s">
        <v>3659</v>
      </c>
      <c r="B717" s="64" t="s">
        <v>3990</v>
      </c>
      <c r="C717" s="63" t="s">
        <v>42</v>
      </c>
      <c r="D717" s="64" t="str">
        <f aca="false">TRIM(LEFT('Offshore - Adelaide'!A374,FIND(CHAR(10),'Offshore - Adelaide'!A374&amp;CHAR(10))-1))</f>
        <v>Albright Institute of Business and Language (AIBL)</v>
      </c>
      <c r="E717" s="63" t="str">
        <f aca="false">'Offshore - Adelaide'!C376&amp;""</f>
        <v>2 years</v>
      </c>
      <c r="F717" s="63" t="str">
        <f aca="false">IF('Offshore - Adelaide'!D376="","Belum tercatat",'Offshore - Adelaide'!D376)</f>
        <v>Term</v>
      </c>
      <c r="G717" s="65" t="n">
        <f aca="false">IF('Offshore - Adelaide'!E376="","-",'Offshore - Adelaide'!E376)</f>
        <v>2375</v>
      </c>
      <c r="H717" s="63" t="n">
        <f aca="false">IF(ISNUMBER(K717),COUNTIFS($J$6:$J$1854,J717,$K$6:$K$1854,"&lt;"&amp;K717)+1,"-")</f>
        <v>1</v>
      </c>
      <c r="I717" s="64" t="str">
        <f aca="false">IF('Offshore - Adelaide'!E376="","Harga belum tersedia - hubungi konsultan TEG",IF(M717=2,"Saat ini tidak menerima pendaftaran siswa internasional baru",IF(M717=1,"Harga perlu dikonfirmasi ke sekolah"&amp;IF(""="","","; "&amp;""),"")))</f>
        <v/>
      </c>
      <c r="J717" s="0" t="s">
        <v>3997</v>
      </c>
      <c r="K717" s="0" t="n">
        <f aca="false">IF(M717=2,"",IF(ISNUMBER(SEARCH("rata-rata:",'Offshore - Adelaide'!N376)),VALUE(MID('Offshore - Adelaide'!N376,SEARCH("rata-rata:",'Offshore - Adelaide'!N376)+11,FIND(";",'Offshore - Adelaide'!N376&amp;";",SEARCH("rata-rata:",'Offshore - Adelaide'!N376))-SEARCH("rata-rata:",'Offshore - Adelaide'!N376)-11)),IF('Offshore - Adelaide'!D376="Semester",'Offshore - Adelaide'!E376*2,IF('Offshore - Adelaide'!D376="Trimester",'Offshore - Adelaide'!E376*3,IF('Offshore - Adelaide'!D376="Term",'Offshore - Adelaide'!E376*4,IF('Offshore - Adelaide'!D376="Unit",'Offshore - Adelaide'!E376*8,""))))))</f>
        <v>9500</v>
      </c>
      <c r="L717" s="0" t="n">
        <f aca="false">IF(AND(ISNUMBER('Offshore - Adelaide'!E376),ISNUMBER(K717),ISNUMBER('Offshore - Adelaide'!F376),ISNUMBER('Offshore - Adelaide'!G376),OR('Offshore - Adelaide'!F376&lt;&gt;0,ISNUMBER(SEARCH("Material 0 terverifikasi",'Offshore - Adelaide'!N376))),OR('Offshore - Adelaide'!G376&lt;&gt;0,ISNUMBER(SEARCH("Enrolment 0 terverifikasi",'Offshore - Adelaide'!N376)))),1,0)</f>
        <v>1</v>
      </c>
      <c r="M717" s="0" t="n">
        <f aca="false">IF(OR('Offshore - Adelaide'!E376="",ISNUMBER(SEARCH("BSB80120",'Offshore - Adelaide'!B376&amp;'Offshore - Adelaide'!N376)),ISNUMBER(SEARCH("Management (Learning)",'Offshore - Adelaide'!B376))),2,IF(ISNUMBER(SEARCH("CEK:",'Offshore - Adelaide'!N376)),1,0))</f>
        <v>0</v>
      </c>
    </row>
    <row r="718" customFormat="false" ht="28.35" hidden="false" customHeight="false" outlineLevel="0" collapsed="false">
      <c r="A718" s="63" t="s">
        <v>3659</v>
      </c>
      <c r="B718" s="64" t="s">
        <v>3990</v>
      </c>
      <c r="C718" s="63" t="s">
        <v>42</v>
      </c>
      <c r="D718" s="64" t="str">
        <f aca="false">TRIM(LEFT('Offshore - Adelaide'!A456,FIND(CHAR(10),'Offshore - Adelaide'!A456&amp;CHAR(10))-1))</f>
        <v>Keystone College of Business and Technology (KCBT)</v>
      </c>
      <c r="E718" s="63" t="str">
        <f aca="false">'Offshore - Adelaide'!C458&amp;""</f>
        <v>2 years</v>
      </c>
      <c r="F718" s="63" t="str">
        <f aca="false">IF('Offshore - Adelaide'!D458="","Belum tercatat",'Offshore - Adelaide'!D458)</f>
        <v>Term</v>
      </c>
      <c r="G718" s="65" t="n">
        <f aca="false">IF('Offshore - Adelaide'!E458="","-",'Offshore - Adelaide'!E458)</f>
        <v>2442</v>
      </c>
      <c r="H718" s="63" t="n">
        <f aca="false">IF(ISNUMBER(K718),COUNTIFS($J$6:$J$1854,J718,$K$6:$K$1854,"&lt;"&amp;K718)+1,"-")</f>
        <v>2</v>
      </c>
      <c r="I718" s="64" t="str">
        <f aca="false">IF('Offshore - Adelaide'!E458="","Harga belum tersedia - hubungi konsultan TEG",IF(M718=2,"Saat ini tidak menerima pendaftaran siswa internasional baru",IF(M718=1,"Harga perlu dikonfirmasi ke sekolah"&amp;IF(""="","","; "&amp;""),"")))</f>
        <v/>
      </c>
      <c r="J718" s="0" t="s">
        <v>3997</v>
      </c>
      <c r="K718" s="0" t="n">
        <f aca="false">IF(M718=2,"",IF(ISNUMBER(SEARCH("rata-rata:",'Offshore - Adelaide'!N458)),VALUE(MID('Offshore - Adelaide'!N458,SEARCH("rata-rata:",'Offshore - Adelaide'!N458)+11,FIND(";",'Offshore - Adelaide'!N458&amp;";",SEARCH("rata-rata:",'Offshore - Adelaide'!N458))-SEARCH("rata-rata:",'Offshore - Adelaide'!N458)-11)),IF('Offshore - Adelaide'!D458="Semester",'Offshore - Adelaide'!E458*2,IF('Offshore - Adelaide'!D458="Trimester",'Offshore - Adelaide'!E458*3,IF('Offshore - Adelaide'!D458="Term",'Offshore - Adelaide'!E458*4,IF('Offshore - Adelaide'!D458="Unit",'Offshore - Adelaide'!E458*8,""))))))</f>
        <v>9768</v>
      </c>
      <c r="L718" s="0" t="n">
        <f aca="false">IF(AND(ISNUMBER('Offshore - Adelaide'!E458),ISNUMBER(K718),ISNUMBER('Offshore - Adelaide'!F458),ISNUMBER('Offshore - Adelaide'!G458),OR('Offshore - Adelaide'!F458&lt;&gt;0,ISNUMBER(SEARCH("Material 0 terverifikasi",'Offshore - Adelaide'!N458))),OR('Offshore - Adelaide'!G458&lt;&gt;0,ISNUMBER(SEARCH("Enrolment 0 terverifikasi",'Offshore - Adelaide'!N458)))),1,0)</f>
        <v>1</v>
      </c>
      <c r="M718" s="0" t="n">
        <f aca="false">IF(OR('Offshore - Adelaide'!E458="",ISNUMBER(SEARCH("BSB80120",'Offshore - Adelaide'!B458&amp;'Offshore - Adelaide'!N458)),ISNUMBER(SEARCH("Management (Learning)",'Offshore - Adelaide'!B458))),2,IF(ISNUMBER(SEARCH("CEK:",'Offshore - Adelaide'!N458)),1,0))</f>
        <v>0</v>
      </c>
    </row>
    <row r="719" customFormat="false" ht="28.35" hidden="false" customHeight="false" outlineLevel="0" collapsed="false">
      <c r="A719" s="63" t="s">
        <v>3659</v>
      </c>
      <c r="B719" s="64" t="s">
        <v>3990</v>
      </c>
      <c r="C719" s="63" t="s">
        <v>42</v>
      </c>
      <c r="D719" s="64" t="str">
        <f aca="false">TRIM(LEFT('Offshore - Adelaide'!A395,FIND(CHAR(10),'Offshore - Adelaide'!A395&amp;CHAR(10))-1))</f>
        <v>Australian Business &amp; Culinary Institute (ABC Institute)</v>
      </c>
      <c r="E719" s="63" t="str">
        <f aca="false">'Offshore - Adelaide'!C395&amp;""</f>
        <v>2 years</v>
      </c>
      <c r="F719" s="63" t="str">
        <f aca="false">IF('Offshore - Adelaide'!D395="","Belum tercatat",'Offshore - Adelaide'!D395)</f>
        <v>Term</v>
      </c>
      <c r="G719" s="65" t="n">
        <f aca="false">IF('Offshore - Adelaide'!E395="","-",'Offshore - Adelaide'!E395)</f>
        <v>2906.25</v>
      </c>
      <c r="H719" s="63" t="n">
        <f aca="false">IF(ISNUMBER(K719),COUNTIFS($J$6:$J$1854,J719,$K$6:$K$1854,"&lt;"&amp;K719)+1,"-")</f>
        <v>3</v>
      </c>
      <c r="I719" s="64" t="str">
        <f aca="false">IF('Offshore - Adelaide'!E395="","Harga belum tersedia - hubungi konsultan TEG",IF(M719=2,"Saat ini tidak menerima pendaftaran siswa internasional baru",IF(M719=1,"Harga perlu dikonfirmasi ke sekolah"&amp;IF(""="","","; "&amp;""),"")))</f>
        <v/>
      </c>
      <c r="J719" s="0" t="s">
        <v>3997</v>
      </c>
      <c r="K719" s="0" t="n">
        <f aca="false">IF(M719=2,"",IF(ISNUMBER(SEARCH("rata-rata:",'Offshore - Adelaide'!N395)),VALUE(MID('Offshore - Adelaide'!N395,SEARCH("rata-rata:",'Offshore - Adelaide'!N395)+11,FIND(";",'Offshore - Adelaide'!N395&amp;";",SEARCH("rata-rata:",'Offshore - Adelaide'!N395))-SEARCH("rata-rata:",'Offshore - Adelaide'!N395)-11)),IF('Offshore - Adelaide'!D395="Semester",'Offshore - Adelaide'!E395*2,IF('Offshore - Adelaide'!D395="Trimester",'Offshore - Adelaide'!E395*3,IF('Offshore - Adelaide'!D395="Term",'Offshore - Adelaide'!E395*4,IF('Offshore - Adelaide'!D395="Unit",'Offshore - Adelaide'!E395*8,""))))))</f>
        <v>11625</v>
      </c>
      <c r="L719" s="0" t="n">
        <f aca="false">IF(AND(ISNUMBER('Offshore - Adelaide'!E395),ISNUMBER(K719),ISNUMBER('Offshore - Adelaide'!F395),ISNUMBER('Offshore - Adelaide'!G395),OR('Offshore - Adelaide'!F395&lt;&gt;0,ISNUMBER(SEARCH("Material 0 terverifikasi",'Offshore - Adelaide'!N395))),OR('Offshore - Adelaide'!G395&lt;&gt;0,ISNUMBER(SEARCH("Enrolment 0 terverifikasi",'Offshore - Adelaide'!N395)))),1,0)</f>
        <v>1</v>
      </c>
      <c r="M719" s="0" t="n">
        <f aca="false">IF(OR('Offshore - Adelaide'!E395="",ISNUMBER(SEARCH("BSB80120",'Offshore - Adelaide'!B395&amp;'Offshore - Adelaide'!N395)),ISNUMBER(SEARCH("Management (Learning)",'Offshore - Adelaide'!B395))),2,IF(ISNUMBER(SEARCH("CEK:",'Offshore - Adelaide'!N395)),1,0))</f>
        <v>0</v>
      </c>
    </row>
    <row r="720" customFormat="false" ht="28.35" hidden="false" customHeight="false" outlineLevel="0" collapsed="false">
      <c r="A720" s="63" t="s">
        <v>3659</v>
      </c>
      <c r="B720" s="64" t="s">
        <v>3990</v>
      </c>
      <c r="C720" s="63" t="s">
        <v>42</v>
      </c>
      <c r="D720" s="64" t="str">
        <f aca="false">TRIM(LEFT('Offshore - Adelaide'!A542,FIND(CHAR(10),'Offshore - Adelaide'!A542&amp;CHAR(10))-1))</f>
        <v>The Centre of Excellence</v>
      </c>
      <c r="E720" s="63" t="str">
        <f aca="false">'Offshore - Adelaide'!C543&amp;""</f>
        <v>2 years</v>
      </c>
      <c r="F720" s="63" t="str">
        <f aca="false">IF('Offshore - Adelaide'!D543="","Belum tercatat",'Offshore - Adelaide'!D543)</f>
        <v>Term</v>
      </c>
      <c r="G720" s="65" t="n">
        <f aca="false">IF('Offshore - Adelaide'!E543="","-",'Offshore - Adelaide'!E543)</f>
        <v>2950</v>
      </c>
      <c r="H720" s="63" t="n">
        <f aca="false">IF(ISNUMBER(K720),COUNTIFS($J$6:$J$1854,J720,$K$6:$K$1854,"&lt;"&amp;K720)+1,"-")</f>
        <v>4</v>
      </c>
      <c r="I720" s="64" t="str">
        <f aca="false">IF('Offshore - Adelaide'!E543="","Harga belum tersedia - hubungi konsultan TEG",IF(M720=2,"Saat ini tidak menerima pendaftaran siswa internasional baru",IF(M720=1,"Harga perlu dikonfirmasi ke sekolah"&amp;IF(""="","","; "&amp;""),"")))</f>
        <v/>
      </c>
      <c r="J720" s="0" t="s">
        <v>3997</v>
      </c>
      <c r="K720" s="0" t="n">
        <f aca="false">IF(M720=2,"",IF(ISNUMBER(SEARCH("rata-rata:",'Offshore - Adelaide'!N543)),VALUE(MID('Offshore - Adelaide'!N543,SEARCH("rata-rata:",'Offshore - Adelaide'!N543)+11,FIND(";",'Offshore - Adelaide'!N543&amp;";",SEARCH("rata-rata:",'Offshore - Adelaide'!N543))-SEARCH("rata-rata:",'Offshore - Adelaide'!N543)-11)),IF('Offshore - Adelaide'!D543="Semester",'Offshore - Adelaide'!E543*2,IF('Offshore - Adelaide'!D543="Trimester",'Offshore - Adelaide'!E543*3,IF('Offshore - Adelaide'!D543="Term",'Offshore - Adelaide'!E543*4,IF('Offshore - Adelaide'!D543="Unit",'Offshore - Adelaide'!E543*8,""))))))</f>
        <v>11800</v>
      </c>
      <c r="L720" s="0" t="n">
        <f aca="false">IF(AND(ISNUMBER('Offshore - Adelaide'!E543),ISNUMBER(K720),ISNUMBER('Offshore - Adelaide'!F543),ISNUMBER('Offshore - Adelaide'!G543),OR('Offshore - Adelaide'!F543&lt;&gt;0,ISNUMBER(SEARCH("Material 0 terverifikasi",'Offshore - Adelaide'!N543))),OR('Offshore - Adelaide'!G543&lt;&gt;0,ISNUMBER(SEARCH("Enrolment 0 terverifikasi",'Offshore - Adelaide'!N543)))),1,0)</f>
        <v>1</v>
      </c>
      <c r="M720" s="0" t="n">
        <f aca="false">IF(OR('Offshore - Adelaide'!E543="",ISNUMBER(SEARCH("BSB80120",'Offshore - Adelaide'!B543&amp;'Offshore - Adelaide'!N543)),ISNUMBER(SEARCH("Management (Learning)",'Offshore - Adelaide'!B543))),2,IF(ISNUMBER(SEARCH("CEK:",'Offshore - Adelaide'!N543)),1,0))</f>
        <v>0</v>
      </c>
    </row>
    <row r="721" customFormat="false" ht="28.35" hidden="false" customHeight="false" outlineLevel="0" collapsed="false">
      <c r="A721" s="63" t="s">
        <v>3659</v>
      </c>
      <c r="B721" s="64" t="s">
        <v>3990</v>
      </c>
      <c r="C721" s="63" t="s">
        <v>42</v>
      </c>
      <c r="D721" s="64" t="str">
        <f aca="false">TRIM(LEFT('Offshore - Adelaide'!A6,FIND(CHAR(10),'Offshore - Adelaide'!A6&amp;CHAR(10))-1))</f>
        <v>Abbey College Australia</v>
      </c>
      <c r="E721" s="63" t="str">
        <f aca="false">'Offshore - Adelaide'!C11&amp;""</f>
        <v>2 years</v>
      </c>
      <c r="F721" s="63" t="str">
        <f aca="false">IF('Offshore - Adelaide'!D11="","Belum tercatat",'Offshore - Adelaide'!D11)</f>
        <v>Term</v>
      </c>
      <c r="G721" s="65" t="n">
        <f aca="false">IF('Offshore - Adelaide'!E11="","-",'Offshore - Adelaide'!E11)</f>
        <v>3000</v>
      </c>
      <c r="H721" s="63" t="n">
        <f aca="false">IF(ISNUMBER(K721),COUNTIFS($J$6:$J$1854,J721,$K$6:$K$1854,"&lt;"&amp;K721)+1,"-")</f>
        <v>5</v>
      </c>
      <c r="I721" s="64" t="str">
        <f aca="false">IF('Offshore - Adelaide'!E11="","Harga belum tersedia - hubungi konsultan TEG",IF(M721=2,"Saat ini tidak menerima pendaftaran siswa internasional baru",IF(M721=1,"Harga perlu dikonfirmasi ke sekolah"&amp;IF(""="","","; "&amp;""),"")))</f>
        <v/>
      </c>
      <c r="J721" s="0" t="s">
        <v>3997</v>
      </c>
      <c r="K721" s="0" t="n">
        <f aca="false">IF(M721=2,"",IF(ISNUMBER(SEARCH("rata-rata:",'Offshore - Adelaide'!N11)),VALUE(MID('Offshore - Adelaide'!N11,SEARCH("rata-rata:",'Offshore - Adelaide'!N11)+11,FIND(";",'Offshore - Adelaide'!N11&amp;";",SEARCH("rata-rata:",'Offshore - Adelaide'!N11))-SEARCH("rata-rata:",'Offshore - Adelaide'!N11)-11)),IF('Offshore - Adelaide'!D11="Semester",'Offshore - Adelaide'!E11*2,IF('Offshore - Adelaide'!D11="Trimester",'Offshore - Adelaide'!E11*3,IF('Offshore - Adelaide'!D11="Term",'Offshore - Adelaide'!E11*4,IF('Offshore - Adelaide'!D11="Unit",'Offshore - Adelaide'!E11*8,""))))))</f>
        <v>12000</v>
      </c>
      <c r="L721" s="0" t="n">
        <f aca="false">IF(AND(ISNUMBER('Offshore - Adelaide'!E11),ISNUMBER(K721),ISNUMBER('Offshore - Adelaide'!F11),ISNUMBER('Offshore - Adelaide'!G11),OR('Offshore - Adelaide'!F11&lt;&gt;0,ISNUMBER(SEARCH("Material 0 terverifikasi",'Offshore - Adelaide'!N11))),OR('Offshore - Adelaide'!G11&lt;&gt;0,ISNUMBER(SEARCH("Enrolment 0 terverifikasi",'Offshore - Adelaide'!N11)))),1,0)</f>
        <v>1</v>
      </c>
      <c r="M721" s="0" t="n">
        <f aca="false">IF(OR('Offshore - Adelaide'!E11="",ISNUMBER(SEARCH("BSB80120",'Offshore - Adelaide'!B11&amp;'Offshore - Adelaide'!N11)),ISNUMBER(SEARCH("Management (Learning)",'Offshore - Adelaide'!B11))),2,IF(ISNUMBER(SEARCH("CEK:",'Offshore - Adelaide'!N11)),1,0))</f>
        <v>0</v>
      </c>
    </row>
    <row r="722" customFormat="false" ht="28.35" hidden="false" customHeight="false" outlineLevel="0" collapsed="false">
      <c r="A722" s="63" t="s">
        <v>3659</v>
      </c>
      <c r="B722" s="64" t="s">
        <v>3990</v>
      </c>
      <c r="C722" s="63" t="s">
        <v>42</v>
      </c>
      <c r="D722" s="64" t="str">
        <f aca="false">TRIM(LEFT('Offshore - Adelaide'!A480,FIND(CHAR(10),'Offshore - Adelaide'!A480&amp;CHAR(10))-1))</f>
        <v>Sydney City College of Management</v>
      </c>
      <c r="E722" s="63" t="str">
        <f aca="false">'Offshore - Adelaide'!C482&amp;""</f>
        <v>2 years</v>
      </c>
      <c r="F722" s="63" t="str">
        <f aca="false">IF('Offshore - Adelaide'!D482="","Belum tercatat",'Offshore - Adelaide'!D482)</f>
        <v>Term</v>
      </c>
      <c r="G722" s="65" t="n">
        <f aca="false">IF('Offshore - Adelaide'!E482="","-",'Offshore - Adelaide'!E482)</f>
        <v>3125</v>
      </c>
      <c r="H722" s="63" t="n">
        <f aca="false">IF(ISNUMBER(K722),COUNTIFS($J$6:$J$1854,J722,$K$6:$K$1854,"&lt;"&amp;K722)+1,"-")</f>
        <v>6</v>
      </c>
      <c r="I722" s="64" t="str">
        <f aca="false">IF('Offshore - Adelaide'!E482="","Harga belum tersedia - hubungi konsultan TEG",IF(M722=2,"Saat ini tidak menerima pendaftaran siswa internasional baru",IF(M722=1,"Harga perlu dikonfirmasi ke sekolah"&amp;IF(""="","","; "&amp;""),"")))</f>
        <v/>
      </c>
      <c r="J722" s="0" t="s">
        <v>3997</v>
      </c>
      <c r="K722" s="0" t="n">
        <f aca="false">IF(M722=2,"",IF(ISNUMBER(SEARCH("rata-rata:",'Offshore - Adelaide'!N482)),VALUE(MID('Offshore - Adelaide'!N482,SEARCH("rata-rata:",'Offshore - Adelaide'!N482)+11,FIND(";",'Offshore - Adelaide'!N482&amp;";",SEARCH("rata-rata:",'Offshore - Adelaide'!N482))-SEARCH("rata-rata:",'Offshore - Adelaide'!N482)-11)),IF('Offshore - Adelaide'!D482="Semester",'Offshore - Adelaide'!E482*2,IF('Offshore - Adelaide'!D482="Trimester",'Offshore - Adelaide'!E482*3,IF('Offshore - Adelaide'!D482="Term",'Offshore - Adelaide'!E482*4,IF('Offshore - Adelaide'!D482="Unit",'Offshore - Adelaide'!E482*8,""))))))</f>
        <v>12500</v>
      </c>
      <c r="L722" s="0" t="n">
        <f aca="false">IF(AND(ISNUMBER('Offshore - Adelaide'!E482),ISNUMBER(K722),ISNUMBER('Offshore - Adelaide'!F482),ISNUMBER('Offshore - Adelaide'!G482),OR('Offshore - Adelaide'!F482&lt;&gt;0,ISNUMBER(SEARCH("Material 0 terverifikasi",'Offshore - Adelaide'!N482))),OR('Offshore - Adelaide'!G482&lt;&gt;0,ISNUMBER(SEARCH("Enrolment 0 terverifikasi",'Offshore - Adelaide'!N482)))),1,0)</f>
        <v>1</v>
      </c>
      <c r="M722" s="0" t="n">
        <f aca="false">IF(OR('Offshore - Adelaide'!E482="",ISNUMBER(SEARCH("BSB80120",'Offshore - Adelaide'!B482&amp;'Offshore - Adelaide'!N482)),ISNUMBER(SEARCH("Management (Learning)",'Offshore - Adelaide'!B482))),2,IF(ISNUMBER(SEARCH("CEK:",'Offshore - Adelaide'!N482)),1,0))</f>
        <v>0</v>
      </c>
    </row>
    <row r="723" customFormat="false" ht="28.35" hidden="false" customHeight="false" outlineLevel="0" collapsed="false">
      <c r="A723" s="63" t="s">
        <v>3659</v>
      </c>
      <c r="B723" s="64" t="s">
        <v>3990</v>
      </c>
      <c r="C723" s="63" t="s">
        <v>42</v>
      </c>
      <c r="D723" s="64" t="str">
        <f aca="false">TRIM(LEFT('Offshore - Adelaide'!A379,FIND(CHAR(10),'Offshore - Adelaide'!A379&amp;CHAR(10))-1))</f>
        <v>Alliance College</v>
      </c>
      <c r="E723" s="63" t="str">
        <f aca="false">'Offshore - Adelaide'!C391&amp;""</f>
        <v>2 years</v>
      </c>
      <c r="F723" s="63" t="str">
        <f aca="false">IF('Offshore - Adelaide'!D391="","Belum tercatat",'Offshore - Adelaide'!D391)</f>
        <v>Term</v>
      </c>
      <c r="G723" s="65" t="n">
        <f aca="false">IF('Offshore - Adelaide'!E391="","-",'Offshore - Adelaide'!E391)</f>
        <v>3640</v>
      </c>
      <c r="H723" s="63" t="n">
        <f aca="false">IF(ISNUMBER(K723),COUNTIFS($J$6:$J$1854,J723,$K$6:$K$1854,"&lt;"&amp;K723)+1,"-")</f>
        <v>7</v>
      </c>
      <c r="I723" s="64" t="str">
        <f aca="false">IF('Offshore - Adelaide'!E391="","Harga belum tersedia - hubungi konsultan TEG",IF(M723=2,"Saat ini tidak menerima pendaftaran siswa internasional baru",IF(M723=1,"Harga perlu dikonfirmasi ke sekolah"&amp;IF(""="","","; "&amp;""),"")))</f>
        <v/>
      </c>
      <c r="J723" s="0" t="s">
        <v>3997</v>
      </c>
      <c r="K723" s="0" t="n">
        <f aca="false">IF(M723=2,"",IF(ISNUMBER(SEARCH("rata-rata:",'Offshore - Adelaide'!N391)),VALUE(MID('Offshore - Adelaide'!N391,SEARCH("rata-rata:",'Offshore - Adelaide'!N391)+11,FIND(";",'Offshore - Adelaide'!N391&amp;";",SEARCH("rata-rata:",'Offshore - Adelaide'!N391))-SEARCH("rata-rata:",'Offshore - Adelaide'!N391)-11)),IF('Offshore - Adelaide'!D391="Semester",'Offshore - Adelaide'!E391*2,IF('Offshore - Adelaide'!D391="Trimester",'Offshore - Adelaide'!E391*3,IF('Offshore - Adelaide'!D391="Term",'Offshore - Adelaide'!E391*4,IF('Offshore - Adelaide'!D391="Unit",'Offshore - Adelaide'!E391*8,""))))))</f>
        <v>14560</v>
      </c>
      <c r="L723" s="0" t="n">
        <f aca="false">IF(AND(ISNUMBER('Offshore - Adelaide'!E391),ISNUMBER(K723),ISNUMBER('Offshore - Adelaide'!F391),ISNUMBER('Offshore - Adelaide'!G391),OR('Offshore - Adelaide'!F391&lt;&gt;0,ISNUMBER(SEARCH("Material 0 terverifikasi",'Offshore - Adelaide'!N391))),OR('Offshore - Adelaide'!G391&lt;&gt;0,ISNUMBER(SEARCH("Enrolment 0 terverifikasi",'Offshore - Adelaide'!N391)))),1,0)</f>
        <v>1</v>
      </c>
      <c r="M723" s="0" t="n">
        <f aca="false">IF(OR('Offshore - Adelaide'!E391="",ISNUMBER(SEARCH("BSB80120",'Offshore - Adelaide'!B391&amp;'Offshore - Adelaide'!N391)),ISNUMBER(SEARCH("Management (Learning)",'Offshore - Adelaide'!B391))),2,IF(ISNUMBER(SEARCH("CEK:",'Offshore - Adelaide'!N391)),1,0))</f>
        <v>0</v>
      </c>
    </row>
    <row r="724" customFormat="false" ht="28.35" hidden="false" customHeight="false" outlineLevel="0" collapsed="false">
      <c r="A724" s="63" t="s">
        <v>3659</v>
      </c>
      <c r="B724" s="64" t="s">
        <v>3990</v>
      </c>
      <c r="C724" s="63" t="s">
        <v>42</v>
      </c>
      <c r="D724" s="64" t="str">
        <f aca="false">TRIM(LEFT('Offshore - Adelaide'!A471,FIND(CHAR(10),'Offshore - Adelaide'!A471&amp;CHAR(10))-1))</f>
        <v>Signet Institute of Australia</v>
      </c>
      <c r="E724" s="63" t="str">
        <f aca="false">'Offshore - Adelaide'!C476&amp;""</f>
        <v>5 years</v>
      </c>
      <c r="F724" s="63" t="str">
        <f aca="false">IF('Offshore - Adelaide'!D476="","Belum tercatat",'Offshore - Adelaide'!D476)</f>
        <v>Term</v>
      </c>
      <c r="G724" s="65" t="n">
        <f aca="false">IF('Offshore - Adelaide'!E476="","-",'Offshore - Adelaide'!E476)</f>
        <v>3800</v>
      </c>
      <c r="H724" s="63" t="n">
        <f aca="false">IF(ISNUMBER(K724),COUNTIFS($J$6:$J$1854,J724,$K$6:$K$1854,"&lt;"&amp;K724)+1,"-")</f>
        <v>8</v>
      </c>
      <c r="I724" s="64" t="str">
        <f aca="false">IF('Offshore - Adelaide'!E476="","Harga belum tersedia - hubungi konsultan TEG",IF(M724=2,"Saat ini tidak menerima pendaftaran siswa internasional baru",IF(M724=1,"Harga perlu dikonfirmasi ke sekolah"&amp;IF(""="","","; "&amp;""),"")))</f>
        <v/>
      </c>
      <c r="J724" s="0" t="s">
        <v>3997</v>
      </c>
      <c r="K724" s="0" t="n">
        <f aca="false">IF(M724=2,"",IF(ISNUMBER(SEARCH("rata-rata:",'Offshore - Adelaide'!N476)),VALUE(MID('Offshore - Adelaide'!N476,SEARCH("rata-rata:",'Offshore - Adelaide'!N476)+11,FIND(";",'Offshore - Adelaide'!N476&amp;";",SEARCH("rata-rata:",'Offshore - Adelaide'!N476))-SEARCH("rata-rata:",'Offshore - Adelaide'!N476)-11)),IF('Offshore - Adelaide'!D476="Semester",'Offshore - Adelaide'!E476*2,IF('Offshore - Adelaide'!D476="Trimester",'Offshore - Adelaide'!E476*3,IF('Offshore - Adelaide'!D476="Term",'Offshore - Adelaide'!E476*4,IF('Offshore - Adelaide'!D476="Unit",'Offshore - Adelaide'!E476*8,""))))))</f>
        <v>15200</v>
      </c>
      <c r="L724" s="0" t="n">
        <f aca="false">IF(AND(ISNUMBER('Offshore - Adelaide'!E476),ISNUMBER(K724),ISNUMBER('Offshore - Adelaide'!F476),ISNUMBER('Offshore - Adelaide'!G476),OR('Offshore - Adelaide'!F476&lt;&gt;0,ISNUMBER(SEARCH("Material 0 terverifikasi",'Offshore - Adelaide'!N476))),OR('Offshore - Adelaide'!G476&lt;&gt;0,ISNUMBER(SEARCH("Enrolment 0 terverifikasi",'Offshore - Adelaide'!N476)))),1,0)</f>
        <v>0</v>
      </c>
      <c r="M724" s="0" t="n">
        <f aca="false">IF(OR('Offshore - Adelaide'!E476="",ISNUMBER(SEARCH("BSB80120",'Offshore - Adelaide'!B476&amp;'Offshore - Adelaide'!N476)),ISNUMBER(SEARCH("Management (Learning)",'Offshore - Adelaide'!B476))),2,IF(ISNUMBER(SEARCH("CEK:",'Offshore - Adelaide'!N476)),1,0))</f>
        <v>0</v>
      </c>
    </row>
    <row r="725" customFormat="false" ht="28.35" hidden="false" customHeight="false" outlineLevel="0" collapsed="false">
      <c r="A725" s="63" t="s">
        <v>3659</v>
      </c>
      <c r="B725" s="64" t="s">
        <v>3990</v>
      </c>
      <c r="C725" s="63" t="s">
        <v>42</v>
      </c>
      <c r="D725" s="64" t="str">
        <f aca="false">TRIM(LEFT('Offshore - Adelaide'!A484,FIND(CHAR(10),'Offshore - Adelaide'!A484&amp;CHAR(10))-1))</f>
        <v>TAFE SA</v>
      </c>
      <c r="E725" s="63" t="str">
        <f aca="false">'Offshore - Adelaide'!C495&amp;""</f>
        <v>2 years</v>
      </c>
      <c r="F725" s="63" t="str">
        <f aca="false">IF('Offshore - Adelaide'!D495="","Belum tercatat",'Offshore - Adelaide'!D495)</f>
        <v>Semester</v>
      </c>
      <c r="G725" s="65" t="n">
        <f aca="false">IF('Offshore - Adelaide'!E495="","-",'Offshore - Adelaide'!E495)</f>
        <v>10720</v>
      </c>
      <c r="H725" s="63" t="n">
        <f aca="false">IF(ISNUMBER(K725),COUNTIFS($J$6:$J$1854,J725,$K$6:$K$1854,"&lt;"&amp;K725)+1,"-")</f>
        <v>9</v>
      </c>
      <c r="I725" s="64" t="str">
        <f aca="false">IF('Offshore - Adelaide'!E495="","Harga belum tersedia - hubungi konsultan TEG",IF(M725=2,"Saat ini tidak menerima pendaftaran siswa internasional baru",IF(M725=1,"Harga perlu dikonfirmasi ke sekolah"&amp;IF(""="","","; "&amp;""),"")))</f>
        <v/>
      </c>
      <c r="J725" s="0" t="s">
        <v>3997</v>
      </c>
      <c r="K725" s="0" t="n">
        <f aca="false">IF(M725=2,"",IF(ISNUMBER(SEARCH("rata-rata:",'Offshore - Adelaide'!N495)),VALUE(MID('Offshore - Adelaide'!N495,SEARCH("rata-rata:",'Offshore - Adelaide'!N495)+11,FIND(";",'Offshore - Adelaide'!N495&amp;";",SEARCH("rata-rata:",'Offshore - Adelaide'!N495))-SEARCH("rata-rata:",'Offshore - Adelaide'!N495)-11)),IF('Offshore - Adelaide'!D495="Semester",'Offshore - Adelaide'!E495*2,IF('Offshore - Adelaide'!D495="Trimester",'Offshore - Adelaide'!E495*3,IF('Offshore - Adelaide'!D495="Term",'Offshore - Adelaide'!E495*4,IF('Offshore - Adelaide'!D495="Unit",'Offshore - Adelaide'!E495*8,""))))))</f>
        <v>21440</v>
      </c>
      <c r="L725" s="0" t="n">
        <f aca="false">IF(AND(ISNUMBER('Offshore - Adelaide'!E495),ISNUMBER(K725),ISNUMBER('Offshore - Adelaide'!F495),ISNUMBER('Offshore - Adelaide'!G495),OR('Offshore - Adelaide'!F495&lt;&gt;0,ISNUMBER(SEARCH("Material 0 terverifikasi",'Offshore - Adelaide'!N495))),OR('Offshore - Adelaide'!G495&lt;&gt;0,ISNUMBER(SEARCH("Enrolment 0 terverifikasi",'Offshore - Adelaide'!N495)))),1,0)</f>
        <v>0</v>
      </c>
      <c r="M725" s="0" t="n">
        <f aca="false">IF(OR('Offshore - Adelaide'!E495="",ISNUMBER(SEARCH("BSB80120",'Offshore - Adelaide'!B495&amp;'Offshore - Adelaide'!N495)),ISNUMBER(SEARCH("Management (Learning)",'Offshore - Adelaide'!B495))),2,IF(ISNUMBER(SEARCH("CEK:",'Offshore - Adelaide'!N495)),1,0))</f>
        <v>0</v>
      </c>
    </row>
    <row r="726" customFormat="false" ht="15" hidden="false" customHeight="false" outlineLevel="0" collapsed="false">
      <c r="A726" s="61" t="s">
        <v>3998</v>
      </c>
      <c r="B726" s="62"/>
      <c r="C726" s="62"/>
      <c r="D726" s="62"/>
      <c r="E726" s="62"/>
      <c r="F726" s="62"/>
      <c r="G726" s="62"/>
      <c r="H726" s="62"/>
      <c r="I726" s="62"/>
    </row>
    <row r="727" customFormat="false" ht="28.35" hidden="false" customHeight="false" outlineLevel="0" collapsed="false">
      <c r="A727" s="63" t="s">
        <v>3659</v>
      </c>
      <c r="B727" s="64" t="s">
        <v>3990</v>
      </c>
      <c r="C727" s="63" t="s">
        <v>43</v>
      </c>
      <c r="D727" s="64" t="str">
        <f aca="false">TRIM(LEFT('Offshore - Adelaide'!A13,FIND(CHAR(10),'Offshore - Adelaide'!A13&amp;CHAR(10))-1))</f>
        <v>Adelaide University</v>
      </c>
      <c r="E727" s="63" t="str">
        <f aca="false">'Offshore - Adelaide'!C46&amp;""</f>
        <v>4 years</v>
      </c>
      <c r="F727" s="63" t="str">
        <f aca="false">IF('Offshore - Adelaide'!D46="","Belum tercatat",'Offshore - Adelaide'!D46)</f>
        <v>Term</v>
      </c>
      <c r="G727" s="65" t="n">
        <f aca="false">IF('Offshore - Adelaide'!E46="","-",'Offshore - Adelaide'!E46)</f>
        <v>12150</v>
      </c>
      <c r="H727" s="63" t="n">
        <f aca="false">IF(ISNUMBER(K727),COUNTIFS($J$6:$J$1854,J727,$K$6:$K$1854,"&lt;"&amp;K727)+1,"-")</f>
        <v>1</v>
      </c>
      <c r="I727" s="64" t="str">
        <f aca="false">IF('Offshore - Adelaide'!E46="","Harga belum tersedia - hubungi konsultan TEG",IF(M727=2,"Saat ini tidak menerima pendaftaran siswa internasional baru",IF(M727=1,"Harga perlu dikonfirmasi ke sekolah"&amp;IF(""="","","; "&amp;""),"")))</f>
        <v/>
      </c>
      <c r="J727" s="0" t="s">
        <v>3999</v>
      </c>
      <c r="K727" s="0" t="n">
        <f aca="false">IF(M727=2,"",IF(ISNUMBER(SEARCH("rata-rata:",'Offshore - Adelaide'!N46)),VALUE(MID('Offshore - Adelaide'!N46,SEARCH("rata-rata:",'Offshore - Adelaide'!N46)+11,FIND(";",'Offshore - Adelaide'!N46&amp;";",SEARCH("rata-rata:",'Offshore - Adelaide'!N46))-SEARCH("rata-rata:",'Offshore - Adelaide'!N46)-11)),IF('Offshore - Adelaide'!D46="Semester",'Offshore - Adelaide'!E46*2,IF('Offshore - Adelaide'!D46="Trimester",'Offshore - Adelaide'!E46*3,IF('Offshore - Adelaide'!D46="Term",'Offshore - Adelaide'!E46*4,IF('Offshore - Adelaide'!D46="Unit",'Offshore - Adelaide'!E46*8,""))))))</f>
        <v>48600</v>
      </c>
      <c r="L727" s="0" t="n">
        <f aca="false">IF(AND(ISNUMBER('Offshore - Adelaide'!E46),ISNUMBER(K727),ISNUMBER('Offshore - Adelaide'!F46),ISNUMBER('Offshore - Adelaide'!G46),OR('Offshore - Adelaide'!F46&lt;&gt;0,ISNUMBER(SEARCH("Material 0 terverifikasi",'Offshore - Adelaide'!N46))),OR('Offshore - Adelaide'!G46&lt;&gt;0,ISNUMBER(SEARCH("Enrolment 0 terverifikasi",'Offshore - Adelaide'!N46)))),1,0)</f>
        <v>0</v>
      </c>
      <c r="M727" s="0" t="n">
        <f aca="false">IF(OR('Offshore - Adelaide'!E46="",ISNUMBER(SEARCH("BSB80120",'Offshore - Adelaide'!B46&amp;'Offshore - Adelaide'!N46)),ISNUMBER(SEARCH("Management (Learning)",'Offshore - Adelaide'!B46))),2,IF(ISNUMBER(SEARCH("CEK:",'Offshore - Adelaide'!N46)),1,0))</f>
        <v>0</v>
      </c>
    </row>
    <row r="728" customFormat="false" ht="15" hidden="false" customHeight="false" outlineLevel="0" collapsed="false">
      <c r="A728" s="61" t="s">
        <v>4000</v>
      </c>
      <c r="B728" s="62"/>
      <c r="C728" s="62"/>
      <c r="D728" s="62"/>
      <c r="E728" s="62"/>
      <c r="F728" s="62"/>
      <c r="G728" s="62"/>
      <c r="H728" s="62"/>
      <c r="I728" s="62"/>
    </row>
    <row r="729" customFormat="false" ht="28.35" hidden="false" customHeight="false" outlineLevel="0" collapsed="false">
      <c r="A729" s="63" t="s">
        <v>3659</v>
      </c>
      <c r="B729" s="64" t="s">
        <v>3990</v>
      </c>
      <c r="C729" s="63" t="s">
        <v>46</v>
      </c>
      <c r="D729" s="64" t="str">
        <f aca="false">TRIM(LEFT('Offshore - Adelaide'!A545,FIND(CHAR(10),'Offshore - Adelaide'!A545&amp;CHAR(10))-1))</f>
        <v>Torrens University Australia</v>
      </c>
      <c r="E729" s="63" t="str">
        <f aca="false">'Offshore - Adelaide'!C567&amp;""</f>
        <v>2 years</v>
      </c>
      <c r="F729" s="63" t="str">
        <f aca="false">IF('Offshore - Adelaide'!D567="","Belum tercatat",'Offshore - Adelaide'!D567)</f>
        <v>Term</v>
      </c>
      <c r="G729" s="65" t="n">
        <f aca="false">IF('Offshore - Adelaide'!E567="","-",'Offshore - Adelaide'!E567)</f>
        <v>9000</v>
      </c>
      <c r="H729" s="63" t="n">
        <f aca="false">IF(ISNUMBER(K729),COUNTIFS($J$6:$J$1854,J729,$K$6:$K$1854,"&lt;"&amp;K729)+1,"-")</f>
        <v>1</v>
      </c>
      <c r="I729" s="64" t="str">
        <f aca="false">IF('Offshore - Adelaide'!E567="","Harga belum tersedia - hubungi konsultan TEG",IF(M729=2,"Saat ini tidak menerima pendaftaran siswa internasional baru",IF(M729=1,"Harga perlu dikonfirmasi ke sekolah"&amp;IF(""="","","; "&amp;""),"")))</f>
        <v/>
      </c>
      <c r="J729" s="0" t="s">
        <v>4001</v>
      </c>
      <c r="K729" s="0" t="n">
        <f aca="false">IF(M729=2,"",IF(ISNUMBER(SEARCH("rata-rata:",'Offshore - Adelaide'!N567)),VALUE(MID('Offshore - Adelaide'!N567,SEARCH("rata-rata:",'Offshore - Adelaide'!N567)+11,FIND(";",'Offshore - Adelaide'!N567&amp;";",SEARCH("rata-rata:",'Offshore - Adelaide'!N567))-SEARCH("rata-rata:",'Offshore - Adelaide'!N567)-11)),IF('Offshore - Adelaide'!D567="Semester",'Offshore - Adelaide'!E567*2,IF('Offshore - Adelaide'!D567="Trimester",'Offshore - Adelaide'!E567*3,IF('Offshore - Adelaide'!D567="Term",'Offshore - Adelaide'!E567*4,IF('Offshore - Adelaide'!D567="Unit",'Offshore - Adelaide'!E567*8,""))))))</f>
        <v>36000</v>
      </c>
      <c r="L729" s="0" t="n">
        <f aca="false">IF(AND(ISNUMBER('Offshore - Adelaide'!E567),ISNUMBER(K729),ISNUMBER('Offshore - Adelaide'!F567),ISNUMBER('Offshore - Adelaide'!G567),OR('Offshore - Adelaide'!F567&lt;&gt;0,ISNUMBER(SEARCH("Material 0 terverifikasi",'Offshore - Adelaide'!N567))),OR('Offshore - Adelaide'!G567&lt;&gt;0,ISNUMBER(SEARCH("Enrolment 0 terverifikasi",'Offshore - Adelaide'!N567)))),1,0)</f>
        <v>0</v>
      </c>
      <c r="M729" s="0" t="n">
        <f aca="false">IF(OR('Offshore - Adelaide'!E567="",ISNUMBER(SEARCH("BSB80120",'Offshore - Adelaide'!B567&amp;'Offshore - Adelaide'!N567)),ISNUMBER(SEARCH("Management (Learning)",'Offshore - Adelaide'!B567))),2,IF(ISNUMBER(SEARCH("CEK:",'Offshore - Adelaide'!N567)),1,0))</f>
        <v>0</v>
      </c>
    </row>
    <row r="730" customFormat="false" ht="28.35" hidden="false" customHeight="false" outlineLevel="0" collapsed="false">
      <c r="A730" s="63" t="s">
        <v>3659</v>
      </c>
      <c r="B730" s="64" t="s">
        <v>3990</v>
      </c>
      <c r="C730" s="63" t="s">
        <v>46</v>
      </c>
      <c r="D730" s="64" t="str">
        <f aca="false">TRIM(LEFT('Offshore - Adelaide'!A13,FIND(CHAR(10),'Offshore - Adelaide'!A13&amp;CHAR(10))-1))</f>
        <v>Adelaide University</v>
      </c>
      <c r="E730" s="63" t="str">
        <f aca="false">'Offshore - Adelaide'!C290&amp;""</f>
        <v>2 years</v>
      </c>
      <c r="F730" s="63" t="str">
        <f aca="false">IF('Offshore - Adelaide'!D290="","Belum tercatat",'Offshore - Adelaide'!D290)</f>
        <v>Term</v>
      </c>
      <c r="G730" s="65" t="n">
        <f aca="false">IF('Offshore - Adelaide'!E290="","-",'Offshore - Adelaide'!E290)</f>
        <v>12150</v>
      </c>
      <c r="H730" s="63" t="n">
        <f aca="false">IF(ISNUMBER(K730),COUNTIFS($J$6:$J$1854,J730,$K$6:$K$1854,"&lt;"&amp;K730)+1,"-")</f>
        <v>2</v>
      </c>
      <c r="I730" s="64" t="str">
        <f aca="false">IF('Offshore - Adelaide'!E290="","Harga belum tersedia - hubungi konsultan TEG",IF(M730=2,"Saat ini tidak menerima pendaftaran siswa internasional baru",IF(M730=1,"Harga perlu dikonfirmasi ke sekolah"&amp;IF(""="","","; "&amp;""),"")))</f>
        <v/>
      </c>
      <c r="J730" s="0" t="s">
        <v>4001</v>
      </c>
      <c r="K730" s="0" t="n">
        <f aca="false">IF(M730=2,"",IF(ISNUMBER(SEARCH("rata-rata:",'Offshore - Adelaide'!N290)),VALUE(MID('Offshore - Adelaide'!N290,SEARCH("rata-rata:",'Offshore - Adelaide'!N290)+11,FIND(";",'Offshore - Adelaide'!N290&amp;";",SEARCH("rata-rata:",'Offshore - Adelaide'!N290))-SEARCH("rata-rata:",'Offshore - Adelaide'!N290)-11)),IF('Offshore - Adelaide'!D290="Semester",'Offshore - Adelaide'!E290*2,IF('Offshore - Adelaide'!D290="Trimester",'Offshore - Adelaide'!E290*3,IF('Offshore - Adelaide'!D290="Term",'Offshore - Adelaide'!E290*4,IF('Offshore - Adelaide'!D290="Unit",'Offshore - Adelaide'!E290*8,""))))))</f>
        <v>48600</v>
      </c>
      <c r="L730" s="0" t="n">
        <f aca="false">IF(AND(ISNUMBER('Offshore - Adelaide'!E290),ISNUMBER(K730),ISNUMBER('Offshore - Adelaide'!F290),ISNUMBER('Offshore - Adelaide'!G290),OR('Offshore - Adelaide'!F290&lt;&gt;0,ISNUMBER(SEARCH("Material 0 terverifikasi",'Offshore - Adelaide'!N290))),OR('Offshore - Adelaide'!G290&lt;&gt;0,ISNUMBER(SEARCH("Enrolment 0 terverifikasi",'Offshore - Adelaide'!N290)))),1,0)</f>
        <v>0</v>
      </c>
      <c r="M730" s="0" t="n">
        <f aca="false">IF(OR('Offshore - Adelaide'!E290="",ISNUMBER(SEARCH("BSB80120",'Offshore - Adelaide'!B290&amp;'Offshore - Adelaide'!N290)),ISNUMBER(SEARCH("Management (Learning)",'Offshore - Adelaide'!B290))),2,IF(ISNUMBER(SEARCH("CEK:",'Offshore - Adelaide'!N290)),1,0))</f>
        <v>0</v>
      </c>
    </row>
    <row r="731" customFormat="false" ht="15" hidden="false" customHeight="false" outlineLevel="0" collapsed="false">
      <c r="A731" s="61" t="s">
        <v>4002</v>
      </c>
      <c r="B731" s="62"/>
      <c r="C731" s="62"/>
      <c r="D731" s="62"/>
      <c r="E731" s="62"/>
      <c r="F731" s="62"/>
      <c r="G731" s="62"/>
      <c r="H731" s="62"/>
      <c r="I731" s="62"/>
    </row>
    <row r="732" customFormat="false" ht="28.35" hidden="false" customHeight="false" outlineLevel="0" collapsed="false">
      <c r="A732" s="63" t="s">
        <v>3563</v>
      </c>
      <c r="B732" s="64" t="s">
        <v>3990</v>
      </c>
      <c r="C732" s="63" t="s">
        <v>39</v>
      </c>
      <c r="D732" s="64" t="str">
        <f aca="false">TRIM(LEFT('Offshore - Brisbane'!A190,FIND(CHAR(10),'Offshore - Brisbane'!A190&amp;CHAR(10))-1))</f>
        <v>Everthought College of Construction</v>
      </c>
      <c r="E732" s="63" t="str">
        <f aca="false">'Offshore - Brisbane'!C191&amp;""</f>
        <v>1,5 years</v>
      </c>
      <c r="F732" s="63" t="str">
        <f aca="false">IF('Offshore - Brisbane'!D191="","Belum tercatat",'Offshore - Brisbane'!D191)</f>
        <v>Term</v>
      </c>
      <c r="G732" s="65" t="n">
        <f aca="false">IF('Offshore - Brisbane'!E191="","-",'Offshore - Brisbane'!E191)</f>
        <v>2083</v>
      </c>
      <c r="H732" s="63" t="n">
        <f aca="false">IF(ISNUMBER(K732),COUNTIFS($J$6:$J$1854,J732,$K$6:$K$1854,"&lt;"&amp;K732)+1,"-")</f>
        <v>1</v>
      </c>
      <c r="I732" s="64" t="str">
        <f aca="false">IF('Offshore - Brisbane'!E191="","Harga belum tersedia - hubungi konsultan TEG",IF(M732=2,"Saat ini tidak menerima pendaftaran siswa internasional baru",IF(M732=1,"Harga perlu dikonfirmasi ke sekolah"&amp;IF(""="","","; "&amp;""),"")))</f>
        <v/>
      </c>
      <c r="J732" s="0" t="s">
        <v>4003</v>
      </c>
      <c r="K732" s="0" t="n">
        <f aca="false">IF(M732=2,"",IF(ISNUMBER(SEARCH("rata-rata:",'Offshore - Brisbane'!N191)),VALUE(MID('Offshore - Brisbane'!N191,SEARCH("rata-rata:",'Offshore - Brisbane'!N191)+11,FIND(";",'Offshore - Brisbane'!N191&amp;";",SEARCH("rata-rata:",'Offshore - Brisbane'!N191))-SEARCH("rata-rata:",'Offshore - Brisbane'!N191)-11)),IF('Offshore - Brisbane'!D191="Semester",'Offshore - Brisbane'!E191*2,IF('Offshore - Brisbane'!D191="Trimester",'Offshore - Brisbane'!E191*3,IF('Offshore - Brisbane'!D191="Term",'Offshore - Brisbane'!E191*4,IF('Offshore - Brisbane'!D191="Unit",'Offshore - Brisbane'!E191*8,""))))))</f>
        <v>8332</v>
      </c>
      <c r="L732" s="0" t="n">
        <f aca="false">IF(AND(ISNUMBER('Offshore - Brisbane'!E191),ISNUMBER(K732),ISNUMBER('Offshore - Brisbane'!F191),ISNUMBER('Offshore - Brisbane'!G191),OR('Offshore - Brisbane'!F191&lt;&gt;0,ISNUMBER(SEARCH("Material 0 terverifikasi",'Offshore - Brisbane'!N191))),OR('Offshore - Brisbane'!G191&lt;&gt;0,ISNUMBER(SEARCH("Enrolment 0 terverifikasi",'Offshore - Brisbane'!N191)))),1,0)</f>
        <v>1</v>
      </c>
      <c r="M732" s="0" t="n">
        <f aca="false">IF(OR('Offshore - Brisbane'!E191="",ISNUMBER(SEARCH("BSB80120",'Offshore - Brisbane'!B191&amp;'Offshore - Brisbane'!N191)),ISNUMBER(SEARCH("Management (Learning)",'Offshore - Brisbane'!B191))),2,IF(ISNUMBER(SEARCH("CEK:",'Offshore - Brisbane'!N191)),1,0))</f>
        <v>0</v>
      </c>
    </row>
    <row r="733" customFormat="false" ht="15" hidden="false" customHeight="false" outlineLevel="0" collapsed="false">
      <c r="A733" s="61" t="s">
        <v>4004</v>
      </c>
      <c r="B733" s="62"/>
      <c r="C733" s="62"/>
      <c r="D733" s="62"/>
      <c r="E733" s="62"/>
      <c r="F733" s="62"/>
      <c r="G733" s="62"/>
      <c r="H733" s="62"/>
      <c r="I733" s="62"/>
    </row>
    <row r="734" customFormat="false" ht="28.35" hidden="false" customHeight="false" outlineLevel="0" collapsed="false">
      <c r="A734" s="63" t="s">
        <v>3563</v>
      </c>
      <c r="B734" s="64" t="s">
        <v>3990</v>
      </c>
      <c r="C734" s="63" t="s">
        <v>40</v>
      </c>
      <c r="D734" s="64" t="str">
        <f aca="false">TRIM(LEFT('Offshore - Brisbane'!A190,FIND(CHAR(10),'Offshore - Brisbane'!A190&amp;CHAR(10))-1))</f>
        <v>Everthought College of Construction</v>
      </c>
      <c r="E734" s="63" t="str">
        <f aca="false">'Offshore - Brisbane'!C197&amp;""</f>
        <v>2,5 years</v>
      </c>
      <c r="F734" s="63" t="str">
        <f aca="false">IF('Offshore - Brisbane'!D197="","Belum tercatat",'Offshore - Brisbane'!D197)</f>
        <v>Term</v>
      </c>
      <c r="G734" s="65" t="n">
        <f aca="false">IF('Offshore - Brisbane'!E197="","-",'Offshore - Brisbane'!E197)</f>
        <v>2083</v>
      </c>
      <c r="H734" s="63" t="n">
        <f aca="false">IF(ISNUMBER(K734),COUNTIFS($J$6:$J$1854,J734,$K$6:$K$1854,"&lt;"&amp;K734)+1,"-")</f>
        <v>1</v>
      </c>
      <c r="I734" s="64" t="str">
        <f aca="false">IF('Offshore - Brisbane'!E197="","Harga belum tersedia - hubungi konsultan TEG",IF(M734=2,"Saat ini tidak menerima pendaftaran siswa internasional baru",IF(M734=1,"Harga perlu dikonfirmasi ke sekolah"&amp;IF(""="","","; "&amp;""),"")))</f>
        <v/>
      </c>
      <c r="J734" s="0" t="s">
        <v>4005</v>
      </c>
      <c r="K734" s="0" t="n">
        <f aca="false">IF(M734=2,"",IF(ISNUMBER(SEARCH("rata-rata:",'Offshore - Brisbane'!N197)),VALUE(MID('Offshore - Brisbane'!N197,SEARCH("rata-rata:",'Offshore - Brisbane'!N197)+11,FIND(";",'Offshore - Brisbane'!N197&amp;";",SEARCH("rata-rata:",'Offshore - Brisbane'!N197))-SEARCH("rata-rata:",'Offshore - Brisbane'!N197)-11)),IF('Offshore - Brisbane'!D197="Semester",'Offshore - Brisbane'!E197*2,IF('Offshore - Brisbane'!D197="Trimester",'Offshore - Brisbane'!E197*3,IF('Offshore - Brisbane'!D197="Term",'Offshore - Brisbane'!E197*4,IF('Offshore - Brisbane'!D197="Unit",'Offshore - Brisbane'!E197*8,""))))))</f>
        <v>8332</v>
      </c>
      <c r="L734" s="0" t="n">
        <f aca="false">IF(AND(ISNUMBER('Offshore - Brisbane'!E197),ISNUMBER(K734),ISNUMBER('Offshore - Brisbane'!F197),ISNUMBER('Offshore - Brisbane'!G197),OR('Offshore - Brisbane'!F197&lt;&gt;0,ISNUMBER(SEARCH("Material 0 terverifikasi",'Offshore - Brisbane'!N197))),OR('Offshore - Brisbane'!G197&lt;&gt;0,ISNUMBER(SEARCH("Enrolment 0 terverifikasi",'Offshore - Brisbane'!N197)))),1,0)</f>
        <v>1</v>
      </c>
      <c r="M734" s="0" t="n">
        <f aca="false">IF(OR('Offshore - Brisbane'!E197="",ISNUMBER(SEARCH("BSB80120",'Offshore - Brisbane'!B197&amp;'Offshore - Brisbane'!N197)),ISNUMBER(SEARCH("Management (Learning)",'Offshore - Brisbane'!B197))),2,IF(ISNUMBER(SEARCH("CEK:",'Offshore - Brisbane'!N197)),1,0))</f>
        <v>0</v>
      </c>
    </row>
    <row r="735" customFormat="false" ht="15" hidden="false" customHeight="false" outlineLevel="0" collapsed="false">
      <c r="A735" s="61" t="s">
        <v>4006</v>
      </c>
      <c r="B735" s="62"/>
      <c r="C735" s="62"/>
      <c r="D735" s="62"/>
      <c r="E735" s="62"/>
      <c r="F735" s="62"/>
      <c r="G735" s="62"/>
      <c r="H735" s="62"/>
      <c r="I735" s="62"/>
    </row>
    <row r="736" customFormat="false" ht="28.35" hidden="false" customHeight="false" outlineLevel="0" collapsed="false">
      <c r="A736" s="63" t="s">
        <v>3563</v>
      </c>
      <c r="B736" s="64" t="s">
        <v>3990</v>
      </c>
      <c r="C736" s="63" t="s">
        <v>41</v>
      </c>
      <c r="D736" s="64" t="str">
        <f aca="false">TRIM(LEFT('Offshore - Brisbane'!A190,FIND(CHAR(10),'Offshore - Brisbane'!A190&amp;CHAR(10))-1))</f>
        <v>Everthought College of Construction</v>
      </c>
      <c r="E736" s="63" t="str">
        <f aca="false">'Offshore - Brisbane'!C199&amp;""</f>
        <v>2,5 years</v>
      </c>
      <c r="F736" s="63" t="str">
        <f aca="false">IF('Offshore - Brisbane'!D199="","Belum tercatat",'Offshore - Brisbane'!D199)</f>
        <v>Term</v>
      </c>
      <c r="G736" s="65" t="n">
        <f aca="false">IF('Offshore - Brisbane'!E199="","-",'Offshore - Brisbane'!E199)</f>
        <v>2083</v>
      </c>
      <c r="H736" s="63" t="n">
        <f aca="false">IF(ISNUMBER(K736),COUNTIFS($J$6:$J$1854,J736,$K$6:$K$1854,"&lt;"&amp;K736)+1,"-")</f>
        <v>1</v>
      </c>
      <c r="I736" s="64" t="str">
        <f aca="false">IF('Offshore - Brisbane'!E199="","Harga belum tersedia - hubungi konsultan TEG",IF(M736=2,"Saat ini tidak menerima pendaftaran siswa internasional baru",IF(M736=1,"Harga perlu dikonfirmasi ke sekolah"&amp;IF(""="","","; "&amp;""),"")))</f>
        <v/>
      </c>
      <c r="J736" s="0" t="s">
        <v>4007</v>
      </c>
      <c r="K736" s="0" t="n">
        <f aca="false">IF(M736=2,"",IF(ISNUMBER(SEARCH("rata-rata:",'Offshore - Brisbane'!N199)),VALUE(MID('Offshore - Brisbane'!N199,SEARCH("rata-rata:",'Offshore - Brisbane'!N199)+11,FIND(";",'Offshore - Brisbane'!N199&amp;";",SEARCH("rata-rata:",'Offshore - Brisbane'!N199))-SEARCH("rata-rata:",'Offshore - Brisbane'!N199)-11)),IF('Offshore - Brisbane'!D199="Semester",'Offshore - Brisbane'!E199*2,IF('Offshore - Brisbane'!D199="Trimester",'Offshore - Brisbane'!E199*3,IF('Offshore - Brisbane'!D199="Term",'Offshore - Brisbane'!E199*4,IF('Offshore - Brisbane'!D199="Unit",'Offshore - Brisbane'!E199*8,""))))))</f>
        <v>8332</v>
      </c>
      <c r="L736" s="0" t="n">
        <f aca="false">IF(AND(ISNUMBER('Offshore - Brisbane'!E199),ISNUMBER(K736),ISNUMBER('Offshore - Brisbane'!F199),ISNUMBER('Offshore - Brisbane'!G199),OR('Offshore - Brisbane'!F199&lt;&gt;0,ISNUMBER(SEARCH("Material 0 terverifikasi",'Offshore - Brisbane'!N199))),OR('Offshore - Brisbane'!G199&lt;&gt;0,ISNUMBER(SEARCH("Enrolment 0 terverifikasi",'Offshore - Brisbane'!N199)))),1,0)</f>
        <v>1</v>
      </c>
      <c r="M736" s="0" t="n">
        <f aca="false">IF(OR('Offshore - Brisbane'!E199="",ISNUMBER(SEARCH("BSB80120",'Offshore - Brisbane'!B199&amp;'Offshore - Brisbane'!N199)),ISNUMBER(SEARCH("Management (Learning)",'Offshore - Brisbane'!B199))),2,IF(ISNUMBER(SEARCH("CEK:",'Offshore - Brisbane'!N199)),1,0))</f>
        <v>0</v>
      </c>
    </row>
    <row r="737" customFormat="false" ht="28.35" hidden="false" customHeight="false" outlineLevel="0" collapsed="false">
      <c r="A737" s="63" t="s">
        <v>3563</v>
      </c>
      <c r="B737" s="64" t="s">
        <v>3990</v>
      </c>
      <c r="C737" s="63" t="s">
        <v>41</v>
      </c>
      <c r="D737" s="64" t="str">
        <f aca="false">TRIM(LEFT('Offshore - Brisbane'!A297,FIND(CHAR(10),'Offshore - Brisbane'!A297&amp;CHAR(10))-1))</f>
        <v>Skills Institute Australia</v>
      </c>
      <c r="E737" s="63" t="str">
        <f aca="false">'Offshore - Brisbane'!C302&amp;""</f>
        <v>3 years</v>
      </c>
      <c r="F737" s="63" t="str">
        <f aca="false">IF('Offshore - Brisbane'!D302="","Belum tercatat",'Offshore - Brisbane'!D302)</f>
        <v>Term</v>
      </c>
      <c r="G737" s="65" t="n">
        <f aca="false">IF('Offshore - Brisbane'!E302="","-",'Offshore - Brisbane'!E302)</f>
        <v>3125</v>
      </c>
      <c r="H737" s="63" t="n">
        <f aca="false">IF(ISNUMBER(K737),COUNTIFS($J$6:$J$1854,J737,$K$6:$K$1854,"&lt;"&amp;K737)+1,"-")</f>
        <v>2</v>
      </c>
      <c r="I737" s="64" t="str">
        <f aca="false">IF('Offshore - Brisbane'!E302="","Harga belum tersedia - hubungi konsultan TEG",IF(M737=2,"Saat ini tidak menerima pendaftaran siswa internasional baru",IF(M737=1,"Harga perlu dikonfirmasi ke sekolah"&amp;IF(""="","","; "&amp;""),"")))</f>
        <v/>
      </c>
      <c r="J737" s="0" t="s">
        <v>4007</v>
      </c>
      <c r="K737" s="0" t="n">
        <f aca="false">IF(M737=2,"",IF(ISNUMBER(SEARCH("rata-rata:",'Offshore - Brisbane'!N302)),VALUE(MID('Offshore - Brisbane'!N302,SEARCH("rata-rata:",'Offshore - Brisbane'!N302)+11,FIND(";",'Offshore - Brisbane'!N302&amp;";",SEARCH("rata-rata:",'Offshore - Brisbane'!N302))-SEARCH("rata-rata:",'Offshore - Brisbane'!N302)-11)),IF('Offshore - Brisbane'!D302="Semester",'Offshore - Brisbane'!E302*2,IF('Offshore - Brisbane'!D302="Trimester",'Offshore - Brisbane'!E302*3,IF('Offshore - Brisbane'!D302="Term",'Offshore - Brisbane'!E302*4,IF('Offshore - Brisbane'!D302="Unit",'Offshore - Brisbane'!E302*8,""))))))</f>
        <v>12500</v>
      </c>
      <c r="L737" s="0" t="n">
        <f aca="false">IF(AND(ISNUMBER('Offshore - Brisbane'!E302),ISNUMBER(K737),ISNUMBER('Offshore - Brisbane'!F302),ISNUMBER('Offshore - Brisbane'!G302),OR('Offshore - Brisbane'!F302&lt;&gt;0,ISNUMBER(SEARCH("Material 0 terverifikasi",'Offshore - Brisbane'!N302))),OR('Offshore - Brisbane'!G302&lt;&gt;0,ISNUMBER(SEARCH("Enrolment 0 terverifikasi",'Offshore - Brisbane'!N302)))),1,0)</f>
        <v>1</v>
      </c>
      <c r="M737" s="0" t="n">
        <f aca="false">IF(OR('Offshore - Brisbane'!E302="",ISNUMBER(SEARCH("BSB80120",'Offshore - Brisbane'!B302&amp;'Offshore - Brisbane'!N302)),ISNUMBER(SEARCH("Management (Learning)",'Offshore - Brisbane'!B302))),2,IF(ISNUMBER(SEARCH("CEK:",'Offshore - Brisbane'!N302)),1,0))</f>
        <v>0</v>
      </c>
    </row>
    <row r="738" customFormat="false" ht="15" hidden="false" customHeight="false" outlineLevel="0" collapsed="false">
      <c r="A738" s="61" t="s">
        <v>4008</v>
      </c>
      <c r="B738" s="62"/>
      <c r="C738" s="62"/>
      <c r="D738" s="62"/>
      <c r="E738" s="62"/>
      <c r="F738" s="62"/>
      <c r="G738" s="62"/>
      <c r="H738" s="62"/>
      <c r="I738" s="62"/>
    </row>
    <row r="739" customFormat="false" ht="28.35" hidden="false" customHeight="false" outlineLevel="0" collapsed="false">
      <c r="A739" s="63" t="s">
        <v>3563</v>
      </c>
      <c r="B739" s="64" t="s">
        <v>3990</v>
      </c>
      <c r="C739" s="63" t="s">
        <v>42</v>
      </c>
      <c r="D739" s="64" t="str">
        <f aca="false">TRIM(LEFT('Offshore - Brisbane'!A22,FIND(CHAR(10),'Offshore - Brisbane'!A22&amp;CHAR(10))-1))</f>
        <v>Albright Institute of Business and Language (AIBL)</v>
      </c>
      <c r="E739" s="63" t="str">
        <f aca="false">'Offshore - Brisbane'!C24&amp;""</f>
        <v>2 years</v>
      </c>
      <c r="F739" s="63" t="str">
        <f aca="false">IF('Offshore - Brisbane'!D24="","Belum tercatat",'Offshore - Brisbane'!D24)</f>
        <v>Term</v>
      </c>
      <c r="G739" s="65" t="n">
        <f aca="false">IF('Offshore - Brisbane'!E24="","-",'Offshore - Brisbane'!E24)</f>
        <v>2375</v>
      </c>
      <c r="H739" s="63" t="n">
        <f aca="false">IF(ISNUMBER(K739),COUNTIFS($J$6:$J$1854,J739,$K$6:$K$1854,"&lt;"&amp;K739)+1,"-")</f>
        <v>1</v>
      </c>
      <c r="I739" s="64" t="str">
        <f aca="false">IF('Offshore - Brisbane'!E24="","Harga belum tersedia - hubungi konsultan TEG",IF(M739=2,"Saat ini tidak menerima pendaftaran siswa internasional baru",IF(M739=1,"Harga perlu dikonfirmasi ke sekolah"&amp;IF(""="","","; "&amp;""),"")))</f>
        <v/>
      </c>
      <c r="J739" s="0" t="s">
        <v>4009</v>
      </c>
      <c r="K739" s="0" t="n">
        <f aca="false">IF(M739=2,"",IF(ISNUMBER(SEARCH("rata-rata:",'Offshore - Brisbane'!N24)),VALUE(MID('Offshore - Brisbane'!N24,SEARCH("rata-rata:",'Offshore - Brisbane'!N24)+11,FIND(";",'Offshore - Brisbane'!N24&amp;";",SEARCH("rata-rata:",'Offshore - Brisbane'!N24))-SEARCH("rata-rata:",'Offshore - Brisbane'!N24)-11)),IF('Offshore - Brisbane'!D24="Semester",'Offshore - Brisbane'!E24*2,IF('Offshore - Brisbane'!D24="Trimester",'Offshore - Brisbane'!E24*3,IF('Offshore - Brisbane'!D24="Term",'Offshore - Brisbane'!E24*4,IF('Offshore - Brisbane'!D24="Unit",'Offshore - Brisbane'!E24*8,""))))))</f>
        <v>9500</v>
      </c>
      <c r="L739" s="0" t="n">
        <f aca="false">IF(AND(ISNUMBER('Offshore - Brisbane'!E24),ISNUMBER(K739),ISNUMBER('Offshore - Brisbane'!F24),ISNUMBER('Offshore - Brisbane'!G24),OR('Offshore - Brisbane'!F24&lt;&gt;0,ISNUMBER(SEARCH("Material 0 terverifikasi",'Offshore - Brisbane'!N24))),OR('Offshore - Brisbane'!G24&lt;&gt;0,ISNUMBER(SEARCH("Enrolment 0 terverifikasi",'Offshore - Brisbane'!N24)))),1,0)</f>
        <v>1</v>
      </c>
      <c r="M739" s="0" t="n">
        <f aca="false">IF(OR('Offshore - Brisbane'!E24="",ISNUMBER(SEARCH("BSB80120",'Offshore - Brisbane'!B24&amp;'Offshore - Brisbane'!N24)),ISNUMBER(SEARCH("Management (Learning)",'Offshore - Brisbane'!B24))),2,IF(ISNUMBER(SEARCH("CEK:",'Offshore - Brisbane'!N24)),1,0))</f>
        <v>0</v>
      </c>
    </row>
    <row r="740" customFormat="false" ht="28.35" hidden="false" customHeight="false" outlineLevel="0" collapsed="false">
      <c r="A740" s="63" t="s">
        <v>3563</v>
      </c>
      <c r="B740" s="64" t="s">
        <v>3990</v>
      </c>
      <c r="C740" s="63" t="s">
        <v>42</v>
      </c>
      <c r="D740" s="64" t="str">
        <f aca="false">TRIM(LEFT('Offshore - Brisbane'!A245,FIND(CHAR(10),'Offshore - Brisbane'!A245&amp;CHAR(10))-1))</f>
        <v>Imperial Institute of Sydney (IIS)</v>
      </c>
      <c r="E740" s="63" t="str">
        <f aca="false">'Offshore - Brisbane'!C246&amp;""</f>
        <v>2 years</v>
      </c>
      <c r="F740" s="63" t="str">
        <f aca="false">IF('Offshore - Brisbane'!D246="","Belum tercatat",'Offshore - Brisbane'!D246)</f>
        <v>Term</v>
      </c>
      <c r="G740" s="65" t="n">
        <f aca="false">IF('Offshore - Brisbane'!E246="","-",'Offshore - Brisbane'!E246)</f>
        <v>2625</v>
      </c>
      <c r="H740" s="63" t="n">
        <f aca="false">IF(ISNUMBER(K740),COUNTIFS($J$6:$J$1854,J740,$K$6:$K$1854,"&lt;"&amp;K740)+1,"-")</f>
        <v>2</v>
      </c>
      <c r="I740" s="64" t="str">
        <f aca="false">IF('Offshore - Brisbane'!E246="","Harga belum tersedia - hubungi konsultan TEG",IF(M740=2,"Saat ini tidak menerima pendaftaran siswa internasional baru",IF(M740=1,"Program perlu dikonfirmasi ketersediaannya"&amp;IF(""="","","; "&amp;""),"")))</f>
        <v>Program perlu dikonfirmasi ketersediaannya</v>
      </c>
      <c r="J740" s="0" t="s">
        <v>4009</v>
      </c>
      <c r="K740" s="0" t="n">
        <f aca="false">IF(M740=2,"",IF(ISNUMBER(SEARCH("rata-rata:",'Offshore - Brisbane'!N246)),VALUE(MID('Offshore - Brisbane'!N246,SEARCH("rata-rata:",'Offshore - Brisbane'!N246)+11,FIND(";",'Offshore - Brisbane'!N246&amp;";",SEARCH("rata-rata:",'Offshore - Brisbane'!N246))-SEARCH("rata-rata:",'Offshore - Brisbane'!N246)-11)),IF('Offshore - Brisbane'!D246="Semester",'Offshore - Brisbane'!E246*2,IF('Offshore - Brisbane'!D246="Trimester",'Offshore - Brisbane'!E246*3,IF('Offshore - Brisbane'!D246="Term",'Offshore - Brisbane'!E246*4,IF('Offshore - Brisbane'!D246="Unit",'Offshore - Brisbane'!E246*8,""))))))</f>
        <v>10500</v>
      </c>
      <c r="L740" s="0" t="n">
        <f aca="false">IF(AND(ISNUMBER('Offshore - Brisbane'!E246),ISNUMBER(K740),ISNUMBER('Offshore - Brisbane'!F246),ISNUMBER('Offshore - Brisbane'!G246),OR('Offshore - Brisbane'!F246&lt;&gt;0,ISNUMBER(SEARCH("Material 0 terverifikasi",'Offshore - Brisbane'!N246))),OR('Offshore - Brisbane'!G246&lt;&gt;0,ISNUMBER(SEARCH("Enrolment 0 terverifikasi",'Offshore - Brisbane'!N246)))),1,0)</f>
        <v>0</v>
      </c>
      <c r="M740" s="0" t="n">
        <f aca="false">IF(OR('Offshore - Brisbane'!E246="",ISNUMBER(SEARCH("BSB80120",'Offshore - Brisbane'!B246&amp;'Offshore - Brisbane'!N246)),ISNUMBER(SEARCH("Management (Learning)",'Offshore - Brisbane'!B246))),2,IF(ISNUMBER(SEARCH("CEK:",'Offshore - Brisbane'!N246)),1,0))</f>
        <v>1</v>
      </c>
    </row>
    <row r="741" customFormat="false" ht="28.35" hidden="false" customHeight="false" outlineLevel="0" collapsed="false">
      <c r="A741" s="63" t="s">
        <v>3563</v>
      </c>
      <c r="B741" s="64" t="s">
        <v>3990</v>
      </c>
      <c r="C741" s="63" t="s">
        <v>42</v>
      </c>
      <c r="D741" s="64" t="str">
        <f aca="false">TRIM(LEFT('Offshore - Brisbane'!A190,FIND(CHAR(10),'Offshore - Brisbane'!A190&amp;CHAR(10))-1))</f>
        <v>Everthought College of Construction</v>
      </c>
      <c r="E741" s="63" t="str">
        <f aca="false">'Offshore - Brisbane'!C195&amp;""</f>
        <v>2 years</v>
      </c>
      <c r="F741" s="63" t="str">
        <f aca="false">IF('Offshore - Brisbane'!D195="","Belum tercatat",'Offshore - Brisbane'!D195)</f>
        <v>Term</v>
      </c>
      <c r="G741" s="65" t="n">
        <f aca="false">IF('Offshore - Brisbane'!E195="","-",'Offshore - Brisbane'!E195)</f>
        <v>2688</v>
      </c>
      <c r="H741" s="63" t="n">
        <f aca="false">IF(ISNUMBER(K741),COUNTIFS($J$6:$J$1854,J741,$K$6:$K$1854,"&lt;"&amp;K741)+1,"-")</f>
        <v>3</v>
      </c>
      <c r="I741" s="64" t="str">
        <f aca="false">IF('Offshore - Brisbane'!E195="","Harga belum tersedia - hubungi konsultan TEG",IF(M741=2,"Saat ini tidak menerima pendaftaran siswa internasional baru",IF(M741=1,"Harga perlu dikonfirmasi ke sekolah"&amp;IF(""="","","; "&amp;""),"")))</f>
        <v/>
      </c>
      <c r="J741" s="0" t="s">
        <v>4009</v>
      </c>
      <c r="K741" s="0" t="n">
        <f aca="false">IF(M741=2,"",IF(ISNUMBER(SEARCH("rata-rata:",'Offshore - Brisbane'!N195)),VALUE(MID('Offshore - Brisbane'!N195,SEARCH("rata-rata:",'Offshore - Brisbane'!N195)+11,FIND(";",'Offshore - Brisbane'!N195&amp;";",SEARCH("rata-rata:",'Offshore - Brisbane'!N195))-SEARCH("rata-rata:",'Offshore - Brisbane'!N195)-11)),IF('Offshore - Brisbane'!D195="Semester",'Offshore - Brisbane'!E195*2,IF('Offshore - Brisbane'!D195="Trimester",'Offshore - Brisbane'!E195*3,IF('Offshore - Brisbane'!D195="Term",'Offshore - Brisbane'!E195*4,IF('Offshore - Brisbane'!D195="Unit",'Offshore - Brisbane'!E195*8,""))))))</f>
        <v>10752</v>
      </c>
      <c r="L741" s="0" t="n">
        <f aca="false">IF(AND(ISNUMBER('Offshore - Brisbane'!E195),ISNUMBER(K741),ISNUMBER('Offshore - Brisbane'!F195),ISNUMBER('Offshore - Brisbane'!G195),OR('Offshore - Brisbane'!F195&lt;&gt;0,ISNUMBER(SEARCH("Material 0 terverifikasi",'Offshore - Brisbane'!N195))),OR('Offshore - Brisbane'!G195&lt;&gt;0,ISNUMBER(SEARCH("Enrolment 0 terverifikasi",'Offshore - Brisbane'!N195)))),1,0)</f>
        <v>1</v>
      </c>
      <c r="M741" s="0" t="n">
        <f aca="false">IF(OR('Offshore - Brisbane'!E195="",ISNUMBER(SEARCH("BSB80120",'Offshore - Brisbane'!B195&amp;'Offshore - Brisbane'!N195)),ISNUMBER(SEARCH("Management (Learning)",'Offshore - Brisbane'!B195))),2,IF(ISNUMBER(SEARCH("CEK:",'Offshore - Brisbane'!N195)),1,0))</f>
        <v>0</v>
      </c>
    </row>
    <row r="742" customFormat="false" ht="28.35" hidden="false" customHeight="false" outlineLevel="0" collapsed="false">
      <c r="A742" s="63" t="s">
        <v>3563</v>
      </c>
      <c r="B742" s="64" t="s">
        <v>3990</v>
      </c>
      <c r="C742" s="63" t="s">
        <v>42</v>
      </c>
      <c r="D742" s="64" t="str">
        <f aca="false">TRIM(LEFT('Offshore - Brisbane'!A297,FIND(CHAR(10),'Offshore - Brisbane'!A297&amp;CHAR(10))-1))</f>
        <v>Skills Institute Australia</v>
      </c>
      <c r="E742" s="63" t="str">
        <f aca="false">'Offshore - Brisbane'!C305&amp;""</f>
        <v>2 years</v>
      </c>
      <c r="F742" s="63" t="str">
        <f aca="false">IF('Offshore - Brisbane'!D305="","Belum tercatat",'Offshore - Brisbane'!D305)</f>
        <v>Term</v>
      </c>
      <c r="G742" s="65" t="n">
        <f aca="false">IF('Offshore - Brisbane'!E305="","-",'Offshore - Brisbane'!E305)</f>
        <v>3000</v>
      </c>
      <c r="H742" s="63" t="n">
        <f aca="false">IF(ISNUMBER(K742),COUNTIFS($J$6:$J$1854,J742,$K$6:$K$1854,"&lt;"&amp;K742)+1,"-")</f>
        <v>4</v>
      </c>
      <c r="I742" s="64" t="str">
        <f aca="false">IF('Offshore - Brisbane'!E305="","Harga belum tersedia - hubungi konsultan TEG",IF(M742=2,"Saat ini tidak menerima pendaftaran siswa internasional baru",IF(M742=1,"Harga perlu dikonfirmasi ke sekolah"&amp;IF(""="","","; "&amp;""),"")))</f>
        <v/>
      </c>
      <c r="J742" s="0" t="s">
        <v>4009</v>
      </c>
      <c r="K742" s="0" t="n">
        <f aca="false">IF(M742=2,"",IF(ISNUMBER(SEARCH("rata-rata:",'Offshore - Brisbane'!N305)),VALUE(MID('Offshore - Brisbane'!N305,SEARCH("rata-rata:",'Offshore - Brisbane'!N305)+11,FIND(";",'Offshore - Brisbane'!N305&amp;";",SEARCH("rata-rata:",'Offshore - Brisbane'!N305))-SEARCH("rata-rata:",'Offshore - Brisbane'!N305)-11)),IF('Offshore - Brisbane'!D305="Semester",'Offshore - Brisbane'!E305*2,IF('Offshore - Brisbane'!D305="Trimester",'Offshore - Brisbane'!E305*3,IF('Offshore - Brisbane'!D305="Term",'Offshore - Brisbane'!E305*4,IF('Offshore - Brisbane'!D305="Unit",'Offshore - Brisbane'!E305*8,""))))))</f>
        <v>12000</v>
      </c>
      <c r="L742" s="0" t="n">
        <f aca="false">IF(AND(ISNUMBER('Offshore - Brisbane'!E305),ISNUMBER(K742),ISNUMBER('Offshore - Brisbane'!F305),ISNUMBER('Offshore - Brisbane'!G305),OR('Offshore - Brisbane'!F305&lt;&gt;0,ISNUMBER(SEARCH("Material 0 terverifikasi",'Offshore - Brisbane'!N305))),OR('Offshore - Brisbane'!G305&lt;&gt;0,ISNUMBER(SEARCH("Enrolment 0 terverifikasi",'Offshore - Brisbane'!N305)))),1,0)</f>
        <v>1</v>
      </c>
      <c r="M742" s="0" t="n">
        <f aca="false">IF(OR('Offshore - Brisbane'!E305="",ISNUMBER(SEARCH("BSB80120",'Offshore - Brisbane'!B305&amp;'Offshore - Brisbane'!N305)),ISNUMBER(SEARCH("Management (Learning)",'Offshore - Brisbane'!B305))),2,IF(ISNUMBER(SEARCH("CEK:",'Offshore - Brisbane'!N305)),1,0))</f>
        <v>0</v>
      </c>
    </row>
    <row r="743" customFormat="false" ht="28.35" hidden="false" customHeight="false" outlineLevel="0" collapsed="false">
      <c r="A743" s="63" t="s">
        <v>3563</v>
      </c>
      <c r="B743" s="64" t="s">
        <v>3990</v>
      </c>
      <c r="C743" s="63" t="s">
        <v>42</v>
      </c>
      <c r="D743" s="64" t="str">
        <f aca="false">TRIM(LEFT('Offshore - Brisbane'!A200,FIND(CHAR(10),'Offshore - Brisbane'!A200&amp;CHAR(10))-1))</f>
        <v>Federation Academy</v>
      </c>
      <c r="E743" s="63" t="str">
        <f aca="false">'Offshore - Brisbane'!C200&amp;""</f>
        <v>2,5 years</v>
      </c>
      <c r="F743" s="63" t="str">
        <f aca="false">IF('Offshore - Brisbane'!D200="","Belum tercatat",'Offshore - Brisbane'!D200)</f>
        <v>Term</v>
      </c>
      <c r="G743" s="65" t="n">
        <f aca="false">IF('Offshore - Brisbane'!E200="","-",'Offshore - Brisbane'!E200)</f>
        <v>3500</v>
      </c>
      <c r="H743" s="63" t="n">
        <f aca="false">IF(ISNUMBER(K743),COUNTIFS($J$6:$J$1854,J743,$K$6:$K$1854,"&lt;"&amp;K743)+1,"-")</f>
        <v>5</v>
      </c>
      <c r="I743" s="64" t="str">
        <f aca="false">IF('Offshore - Brisbane'!E200="","Harga belum tersedia - hubungi konsultan TEG",IF(M743=2,"Saat ini tidak menerima pendaftaran siswa internasional baru",IF(M743=1,"Harga perlu dikonfirmasi ke sekolah"&amp;IF(""="","","; "&amp;""),"")))</f>
        <v/>
      </c>
      <c r="J743" s="0" t="s">
        <v>4009</v>
      </c>
      <c r="K743" s="0" t="n">
        <f aca="false">IF(M743=2,"",IF(ISNUMBER(SEARCH("rata-rata:",'Offshore - Brisbane'!N200)),VALUE(MID('Offshore - Brisbane'!N200,SEARCH("rata-rata:",'Offshore - Brisbane'!N200)+11,FIND(";",'Offshore - Brisbane'!N200&amp;";",SEARCH("rata-rata:",'Offshore - Brisbane'!N200))-SEARCH("rata-rata:",'Offshore - Brisbane'!N200)-11)),IF('Offshore - Brisbane'!D200="Semester",'Offshore - Brisbane'!E200*2,IF('Offshore - Brisbane'!D200="Trimester",'Offshore - Brisbane'!E200*3,IF('Offshore - Brisbane'!D200="Term",'Offshore - Brisbane'!E200*4,IF('Offshore - Brisbane'!D200="Unit",'Offshore - Brisbane'!E200*8,""))))))</f>
        <v>14000</v>
      </c>
      <c r="L743" s="0" t="n">
        <f aca="false">IF(AND(ISNUMBER('Offshore - Brisbane'!E200),ISNUMBER(K743),ISNUMBER('Offshore - Brisbane'!F200),ISNUMBER('Offshore - Brisbane'!G200),OR('Offshore - Brisbane'!F200&lt;&gt;0,ISNUMBER(SEARCH("Material 0 terverifikasi",'Offshore - Brisbane'!N200))),OR('Offshore - Brisbane'!G200&lt;&gt;0,ISNUMBER(SEARCH("Enrolment 0 terverifikasi",'Offshore - Brisbane'!N200)))),1,0)</f>
        <v>1</v>
      </c>
      <c r="M743" s="0" t="n">
        <f aca="false">IF(OR('Offshore - Brisbane'!E200="",ISNUMBER(SEARCH("BSB80120",'Offshore - Brisbane'!B200&amp;'Offshore - Brisbane'!N200)),ISNUMBER(SEARCH("Management (Learning)",'Offshore - Brisbane'!B200))),2,IF(ISNUMBER(SEARCH("CEK:",'Offshore - Brisbane'!N200)),1,0))</f>
        <v>0</v>
      </c>
    </row>
    <row r="744" customFormat="false" ht="15" hidden="false" customHeight="false" outlineLevel="0" collapsed="false">
      <c r="A744" s="61" t="s">
        <v>4010</v>
      </c>
      <c r="B744" s="62"/>
      <c r="C744" s="62"/>
      <c r="D744" s="62"/>
      <c r="E744" s="62"/>
      <c r="F744" s="62"/>
      <c r="G744" s="62"/>
      <c r="H744" s="62"/>
      <c r="I744" s="62"/>
    </row>
    <row r="745" customFormat="false" ht="28.35" hidden="false" customHeight="false" outlineLevel="0" collapsed="false">
      <c r="A745" s="63" t="s">
        <v>3563</v>
      </c>
      <c r="B745" s="64" t="s">
        <v>3990</v>
      </c>
      <c r="C745" s="63" t="s">
        <v>43</v>
      </c>
      <c r="D745" s="64" t="str">
        <f aca="false">TRIM(LEFT('Offshore - Brisbane'!A308,FIND(CHAR(10),'Offshore - Brisbane'!A308&amp;CHAR(10))-1))</f>
        <v>Torrens University Australia</v>
      </c>
      <c r="E745" s="63" t="str">
        <f aca="false">'Offshore - Brisbane'!C348&amp;""</f>
        <v>3 years</v>
      </c>
      <c r="F745" s="63" t="str">
        <f aca="false">IF('Offshore - Brisbane'!D348="","Belum tercatat",'Offshore - Brisbane'!D348)</f>
        <v>Term</v>
      </c>
      <c r="G745" s="65" t="n">
        <f aca="false">IF('Offshore - Brisbane'!E348="","-",'Offshore - Brisbane'!E348)</f>
        <v>9375</v>
      </c>
      <c r="H745" s="63" t="n">
        <f aca="false">IF(ISNUMBER(K745),COUNTIFS($J$6:$J$1854,J745,$K$6:$K$1854,"&lt;"&amp;K745)+1,"-")</f>
        <v>1</v>
      </c>
      <c r="I745" s="64" t="str">
        <f aca="false">IF('Offshore - Brisbane'!E348="","Harga belum tersedia - hubungi konsultan TEG",IF(M745=2,"Saat ini tidak menerima pendaftaran siswa internasional baru",IF(M745=1,"Program perlu dikonfirmasi ketersediaannya"&amp;IF(""="","","; "&amp;""),"")))</f>
        <v>Program perlu dikonfirmasi ketersediaannya</v>
      </c>
      <c r="J745" s="0" t="s">
        <v>4011</v>
      </c>
      <c r="K745" s="0" t="n">
        <f aca="false">IF(M745=2,"",IF(ISNUMBER(SEARCH("rata-rata:",'Offshore - Brisbane'!N348)),VALUE(MID('Offshore - Brisbane'!N348,SEARCH("rata-rata:",'Offshore - Brisbane'!N348)+11,FIND(";",'Offshore - Brisbane'!N348&amp;";",SEARCH("rata-rata:",'Offshore - Brisbane'!N348))-SEARCH("rata-rata:",'Offshore - Brisbane'!N348)-11)),IF('Offshore - Brisbane'!D348="Semester",'Offshore - Brisbane'!E348*2,IF('Offshore - Brisbane'!D348="Trimester",'Offshore - Brisbane'!E348*3,IF('Offshore - Brisbane'!D348="Term",'Offshore - Brisbane'!E348*4,IF('Offshore - Brisbane'!D348="Unit",'Offshore - Brisbane'!E348*8,""))))))</f>
        <v>37500</v>
      </c>
      <c r="L745" s="0" t="n">
        <f aca="false">IF(AND(ISNUMBER('Offshore - Brisbane'!E348),ISNUMBER(K745),ISNUMBER('Offshore - Brisbane'!F348),ISNUMBER('Offshore - Brisbane'!G348),OR('Offshore - Brisbane'!F348&lt;&gt;0,ISNUMBER(SEARCH("Material 0 terverifikasi",'Offshore - Brisbane'!N348))),OR('Offshore - Brisbane'!G348&lt;&gt;0,ISNUMBER(SEARCH("Enrolment 0 terverifikasi",'Offshore - Brisbane'!N348)))),1,0)</f>
        <v>0</v>
      </c>
      <c r="M745" s="0" t="n">
        <f aca="false">IF(OR('Offshore - Brisbane'!E348="",ISNUMBER(SEARCH("BSB80120",'Offshore - Brisbane'!B348&amp;'Offshore - Brisbane'!N348)),ISNUMBER(SEARCH("Management (Learning)",'Offshore - Brisbane'!B348))),2,IF(ISNUMBER(SEARCH("CEK:",'Offshore - Brisbane'!N348)),1,0))</f>
        <v>1</v>
      </c>
    </row>
    <row r="746" customFormat="false" ht="15" hidden="false" customHeight="false" outlineLevel="0" collapsed="false">
      <c r="A746" s="61" t="s">
        <v>4012</v>
      </c>
      <c r="B746" s="62"/>
      <c r="C746" s="62"/>
      <c r="D746" s="62"/>
      <c r="E746" s="62"/>
      <c r="F746" s="62"/>
      <c r="G746" s="62"/>
      <c r="H746" s="62"/>
      <c r="I746" s="62"/>
    </row>
    <row r="747" customFormat="false" ht="28.35" hidden="false" customHeight="false" outlineLevel="0" collapsed="false">
      <c r="A747" s="63" t="s">
        <v>3563</v>
      </c>
      <c r="B747" s="64" t="s">
        <v>3990</v>
      </c>
      <c r="C747" s="63" t="s">
        <v>3707</v>
      </c>
      <c r="D747" s="64" t="str">
        <f aca="false">TRIM(LEFT('Offshore - Brisbane'!A182,FIND(CHAR(10),'Offshore - Brisbane'!A182&amp;CHAR(10))-1))</f>
        <v>ECA College</v>
      </c>
      <c r="E747" s="63" t="str">
        <f aca="false">'Offshore - Brisbane'!C182&amp;""</f>
        <v>1 year</v>
      </c>
      <c r="F747" s="63" t="str">
        <f aca="false">IF('Offshore - Brisbane'!D182="","Belum tercatat",'Offshore - Brisbane'!D182)</f>
        <v>Term</v>
      </c>
      <c r="G747" s="65" t="n">
        <f aca="false">IF('Offshore - Brisbane'!E182="","-",'Offshore - Brisbane'!E182)</f>
        <v>3000</v>
      </c>
      <c r="H747" s="63" t="n">
        <f aca="false">IF(ISNUMBER(K747),COUNTIFS($J$6:$J$1854,J747,$K$6:$K$1854,"&lt;"&amp;K747)+1,"-")</f>
        <v>1</v>
      </c>
      <c r="I747" s="64" t="str">
        <f aca="false">IF('Offshore - Brisbane'!E182="","Harga belum tersedia - hubungi konsultan TEG",IF(M747=2,"Saat ini tidak menerima pendaftaran siswa internasional baru",IF(M747=1,"Harga perlu dikonfirmasi ke sekolah"&amp;IF(""="","","; "&amp;""),"")))</f>
        <v/>
      </c>
      <c r="J747" s="0" t="s">
        <v>4013</v>
      </c>
      <c r="K747" s="0" t="n">
        <f aca="false">IF(M747=2,"",IF(ISNUMBER(SEARCH("rata-rata:",'Offshore - Brisbane'!N182)),VALUE(MID('Offshore - Brisbane'!N182,SEARCH("rata-rata:",'Offshore - Brisbane'!N182)+11,FIND(";",'Offshore - Brisbane'!N182&amp;";",SEARCH("rata-rata:",'Offshore - Brisbane'!N182))-SEARCH("rata-rata:",'Offshore - Brisbane'!N182)-11)),IF('Offshore - Brisbane'!D182="Semester",'Offshore - Brisbane'!E182*2,IF('Offshore - Brisbane'!D182="Trimester",'Offshore - Brisbane'!E182*3,IF('Offshore - Brisbane'!D182="Term",'Offshore - Brisbane'!E182*4,IF('Offshore - Brisbane'!D182="Unit",'Offshore - Brisbane'!E182*8,""))))))</f>
        <v>12000</v>
      </c>
      <c r="L747" s="0" t="n">
        <f aca="false">IF(AND(ISNUMBER('Offshore - Brisbane'!E182),ISNUMBER(K747),ISNUMBER('Offshore - Brisbane'!F182),ISNUMBER('Offshore - Brisbane'!G182),OR('Offshore - Brisbane'!F182&lt;&gt;0,ISNUMBER(SEARCH("Material 0 terverifikasi",'Offshore - Brisbane'!N182))),OR('Offshore - Brisbane'!G182&lt;&gt;0,ISNUMBER(SEARCH("Enrolment 0 terverifikasi",'Offshore - Brisbane'!N182)))),1,0)</f>
        <v>0</v>
      </c>
      <c r="M747" s="0" t="n">
        <f aca="false">IF(OR('Offshore - Brisbane'!E182="",ISNUMBER(SEARCH("BSB80120",'Offshore - Brisbane'!B182&amp;'Offshore - Brisbane'!N182)),ISNUMBER(SEARCH("Management (Learning)",'Offshore - Brisbane'!B182))),2,IF(ISNUMBER(SEARCH("CEK:",'Offshore - Brisbane'!N182)),1,0))</f>
        <v>0</v>
      </c>
    </row>
    <row r="748" customFormat="false" ht="15" hidden="false" customHeight="false" outlineLevel="0" collapsed="false">
      <c r="A748" s="61" t="s">
        <v>4014</v>
      </c>
      <c r="B748" s="62"/>
      <c r="C748" s="62"/>
      <c r="D748" s="62"/>
      <c r="E748" s="62"/>
      <c r="F748" s="62"/>
      <c r="G748" s="62"/>
      <c r="H748" s="62"/>
      <c r="I748" s="62"/>
    </row>
    <row r="749" customFormat="false" ht="28.35" hidden="false" customHeight="false" outlineLevel="0" collapsed="false">
      <c r="A749" s="63" t="s">
        <v>3563</v>
      </c>
      <c r="B749" s="64" t="s">
        <v>3990</v>
      </c>
      <c r="C749" s="63" t="s">
        <v>46</v>
      </c>
      <c r="D749" s="64" t="str">
        <f aca="false">TRIM(LEFT('Offshore - Brisbane'!A308,FIND(CHAR(10),'Offshore - Brisbane'!A308&amp;CHAR(10))-1))</f>
        <v>Torrens University Australia</v>
      </c>
      <c r="E749" s="63" t="str">
        <f aca="false">'Offshore - Brisbane'!C330&amp;""</f>
        <v>2 years</v>
      </c>
      <c r="F749" s="63" t="str">
        <f aca="false">IF('Offshore - Brisbane'!D330="","Belum tercatat",'Offshore - Brisbane'!D330)</f>
        <v>Term</v>
      </c>
      <c r="G749" s="65" t="n">
        <f aca="false">IF('Offshore - Brisbane'!E330="","-",'Offshore - Brisbane'!E330)</f>
        <v>9000</v>
      </c>
      <c r="H749" s="63" t="n">
        <f aca="false">IF(ISNUMBER(K749),COUNTIFS($J$6:$J$1854,J749,$K$6:$K$1854,"&lt;"&amp;K749)+1,"-")</f>
        <v>1</v>
      </c>
      <c r="I749" s="64" t="str">
        <f aca="false">IF('Offshore - Brisbane'!E330="","Harga belum tersedia - hubungi konsultan TEG",IF(M749=2,"Saat ini tidak menerima pendaftaran siswa internasional baru",IF(M749=1,"Harga perlu dikonfirmasi ke sekolah"&amp;IF(""="","","; "&amp;""),"")))</f>
        <v/>
      </c>
      <c r="J749" s="0" t="s">
        <v>4015</v>
      </c>
      <c r="K749" s="0" t="n">
        <f aca="false">IF(M749=2,"",IF(ISNUMBER(SEARCH("rata-rata:",'Offshore - Brisbane'!N330)),VALUE(MID('Offshore - Brisbane'!N330,SEARCH("rata-rata:",'Offshore - Brisbane'!N330)+11,FIND(";",'Offshore - Brisbane'!N330&amp;";",SEARCH("rata-rata:",'Offshore - Brisbane'!N330))-SEARCH("rata-rata:",'Offshore - Brisbane'!N330)-11)),IF('Offshore - Brisbane'!D330="Semester",'Offshore - Brisbane'!E330*2,IF('Offshore - Brisbane'!D330="Trimester",'Offshore - Brisbane'!E330*3,IF('Offshore - Brisbane'!D330="Term",'Offshore - Brisbane'!E330*4,IF('Offshore - Brisbane'!D330="Unit",'Offshore - Brisbane'!E330*8,""))))))</f>
        <v>36000</v>
      </c>
      <c r="L749" s="0" t="n">
        <f aca="false">IF(AND(ISNUMBER('Offshore - Brisbane'!E330),ISNUMBER(K749),ISNUMBER('Offshore - Brisbane'!F330),ISNUMBER('Offshore - Brisbane'!G330),OR('Offshore - Brisbane'!F330&lt;&gt;0,ISNUMBER(SEARCH("Material 0 terverifikasi",'Offshore - Brisbane'!N330))),OR('Offshore - Brisbane'!G330&lt;&gt;0,ISNUMBER(SEARCH("Enrolment 0 terverifikasi",'Offshore - Brisbane'!N330)))),1,0)</f>
        <v>0</v>
      </c>
      <c r="M749" s="0" t="n">
        <f aca="false">IF(OR('Offshore - Brisbane'!E330="",ISNUMBER(SEARCH("BSB80120",'Offshore - Brisbane'!B330&amp;'Offshore - Brisbane'!N330)),ISNUMBER(SEARCH("Management (Learning)",'Offshore - Brisbane'!B330))),2,IF(ISNUMBER(SEARCH("CEK:",'Offshore - Brisbane'!N330)),1,0))</f>
        <v>0</v>
      </c>
    </row>
    <row r="750" customFormat="false" ht="15" hidden="false" customHeight="false" outlineLevel="0" collapsed="false">
      <c r="A750" s="61" t="s">
        <v>4016</v>
      </c>
      <c r="B750" s="62"/>
      <c r="C750" s="62"/>
      <c r="D750" s="62"/>
      <c r="E750" s="62"/>
      <c r="F750" s="62"/>
      <c r="G750" s="62"/>
      <c r="H750" s="62"/>
      <c r="I750" s="62"/>
    </row>
    <row r="751" customFormat="false" ht="28.35" hidden="false" customHeight="false" outlineLevel="0" collapsed="false">
      <c r="A751" s="63" t="s">
        <v>3718</v>
      </c>
      <c r="B751" s="64" t="s">
        <v>3990</v>
      </c>
      <c r="C751" s="63" t="s">
        <v>39</v>
      </c>
      <c r="D751" s="64" t="str">
        <f aca="false">TRIM(LEFT('Offshore - Canberra'!A141,FIND(CHAR(10),'Offshore - Canberra'!A141&amp;CHAR(10))-1))</f>
        <v>Mid City College</v>
      </c>
      <c r="E751" s="63" t="str">
        <f aca="false">'Offshore - Canberra'!C143&amp;""</f>
        <v>2 years</v>
      </c>
      <c r="F751" s="63" t="str">
        <f aca="false">IF('Offshore - Canberra'!D143="","Belum tercatat",'Offshore - Canberra'!D143)</f>
        <v>Term</v>
      </c>
      <c r="G751" s="65" t="n">
        <f aca="false">IF('Offshore - Canberra'!E143="","-",'Offshore - Canberra'!E143)</f>
        <v>3437.5</v>
      </c>
      <c r="H751" s="63" t="n">
        <f aca="false">IF(ISNUMBER(K751),COUNTIFS($J$6:$J$1854,J751,$K$6:$K$1854,"&lt;"&amp;K751)+1,"-")</f>
        <v>1</v>
      </c>
      <c r="I751" s="64" t="str">
        <f aca="false">IF('Offshore - Canberra'!E143="","Harga belum tersedia - hubungi konsultan TEG",IF(M751=2,"Saat ini tidak menerima pendaftaran siswa internasional baru",IF(M751=1,"Harga perlu dikonfirmasi ke sekolah"&amp;IF(""="","","; "&amp;""),"")))</f>
        <v/>
      </c>
      <c r="J751" s="0" t="s">
        <v>4017</v>
      </c>
      <c r="K751" s="0" t="n">
        <f aca="false">IF(M751=2,"",IF(ISNUMBER(SEARCH("rata-rata:",'Offshore - Canberra'!N143)),VALUE(MID('Offshore - Canberra'!N143,SEARCH("rata-rata:",'Offshore - Canberra'!N143)+11,FIND(";",'Offshore - Canberra'!N143&amp;";",SEARCH("rata-rata:",'Offshore - Canberra'!N143))-SEARCH("rata-rata:",'Offshore - Canberra'!N143)-11)),IF('Offshore - Canberra'!D143="Semester",'Offshore - Canberra'!E143*2,IF('Offshore - Canberra'!D143="Trimester",'Offshore - Canberra'!E143*3,IF('Offshore - Canberra'!D143="Term",'Offshore - Canberra'!E143*4,IF('Offshore - Canberra'!D143="Unit",'Offshore - Canberra'!E143*8,""))))))</f>
        <v>13750</v>
      </c>
      <c r="L751" s="0" t="n">
        <f aca="false">IF(AND(ISNUMBER('Offshore - Canberra'!E143),ISNUMBER(K751),ISNUMBER('Offshore - Canberra'!F143),ISNUMBER('Offshore - Canberra'!G143),OR('Offshore - Canberra'!F143&lt;&gt;0,ISNUMBER(SEARCH("Material 0 terverifikasi",'Offshore - Canberra'!N143))),OR('Offshore - Canberra'!G143&lt;&gt;0,ISNUMBER(SEARCH("Enrolment 0 terverifikasi",'Offshore - Canberra'!N143)))),1,0)</f>
        <v>1</v>
      </c>
      <c r="M751" s="0" t="n">
        <f aca="false">IF(OR('Offshore - Canberra'!E143="",ISNUMBER(SEARCH("BSB80120",'Offshore - Canberra'!B143&amp;'Offshore - Canberra'!N143)),ISNUMBER(SEARCH("Management (Learning)",'Offshore - Canberra'!B143))),2,IF(ISNUMBER(SEARCH("CEK:",'Offshore - Canberra'!N143)),1,0))</f>
        <v>0</v>
      </c>
    </row>
    <row r="752" customFormat="false" ht="15" hidden="false" customHeight="false" outlineLevel="0" collapsed="false">
      <c r="A752" s="61" t="s">
        <v>4018</v>
      </c>
      <c r="B752" s="62"/>
      <c r="C752" s="62"/>
      <c r="D752" s="62"/>
      <c r="E752" s="62"/>
      <c r="F752" s="62"/>
      <c r="G752" s="62"/>
      <c r="H752" s="62"/>
      <c r="I752" s="62"/>
    </row>
    <row r="753" customFormat="false" ht="28.35" hidden="false" customHeight="false" outlineLevel="0" collapsed="false">
      <c r="A753" s="63" t="s">
        <v>3718</v>
      </c>
      <c r="B753" s="64" t="s">
        <v>3990</v>
      </c>
      <c r="C753" s="63" t="s">
        <v>42</v>
      </c>
      <c r="D753" s="64" t="str">
        <f aca="false">TRIM(LEFT('Offshore - Canberra'!A111,FIND(CHAR(10),'Offshore - Canberra'!A111&amp;CHAR(10))-1))</f>
        <v>Capital College</v>
      </c>
      <c r="E753" s="63" t="str">
        <f aca="false">'Offshore - Canberra'!C111&amp;""</f>
        <v>2 years</v>
      </c>
      <c r="F753" s="63" t="str">
        <f aca="false">IF('Offshore - Canberra'!D111="","Belum tercatat",'Offshore - Canberra'!D111)</f>
        <v>Term</v>
      </c>
      <c r="G753" s="65" t="n">
        <f aca="false">IF('Offshore - Canberra'!E111="","-",'Offshore - Canberra'!E111)</f>
        <v>3000</v>
      </c>
      <c r="H753" s="63" t="n">
        <f aca="false">IF(ISNUMBER(K753),COUNTIFS($J$6:$J$1854,J753,$K$6:$K$1854,"&lt;"&amp;K753)+1,"-")</f>
        <v>1</v>
      </c>
      <c r="I753" s="64" t="str">
        <f aca="false">IF('Offshore - Canberra'!E111="","Harga belum tersedia - hubungi konsultan TEG",IF(M753=2,"Saat ini tidak menerima pendaftaran siswa internasional baru",IF(M753=1,"Harga perlu dikonfirmasi ke sekolah"&amp;IF(""="","","; "&amp;""),"")))</f>
        <v>Harga perlu dikonfirmasi ke sekolah</v>
      </c>
      <c r="J753" s="0" t="s">
        <v>4019</v>
      </c>
      <c r="K753" s="0" t="n">
        <f aca="false">IF(M753=2,"",IF(ISNUMBER(SEARCH("rata-rata:",'Offshore - Canberra'!N111)),VALUE(MID('Offshore - Canberra'!N111,SEARCH("rata-rata:",'Offshore - Canberra'!N111)+11,FIND(";",'Offshore - Canberra'!N111&amp;";",SEARCH("rata-rata:",'Offshore - Canberra'!N111))-SEARCH("rata-rata:",'Offshore - Canberra'!N111)-11)),IF('Offshore - Canberra'!D111="Semester",'Offshore - Canberra'!E111*2,IF('Offshore - Canberra'!D111="Trimester",'Offshore - Canberra'!E111*3,IF('Offshore - Canberra'!D111="Term",'Offshore - Canberra'!E111*4,IF('Offshore - Canberra'!D111="Unit",'Offshore - Canberra'!E111*8,""))))))</f>
        <v>12000</v>
      </c>
      <c r="L753" s="0" t="n">
        <f aca="false">IF(AND(ISNUMBER('Offshore - Canberra'!E111),ISNUMBER(K753),ISNUMBER('Offshore - Canberra'!F111),ISNUMBER('Offshore - Canberra'!G111),OR('Offshore - Canberra'!F111&lt;&gt;0,ISNUMBER(SEARCH("Material 0 terverifikasi",'Offshore - Canberra'!N111))),OR('Offshore - Canberra'!G111&lt;&gt;0,ISNUMBER(SEARCH("Enrolment 0 terverifikasi",'Offshore - Canberra'!N111)))),1,0)</f>
        <v>1</v>
      </c>
      <c r="M753" s="0" t="n">
        <f aca="false">IF(OR('Offshore - Canberra'!E111="",ISNUMBER(SEARCH("BSB80120",'Offshore - Canberra'!B111&amp;'Offshore - Canberra'!N111)),ISNUMBER(SEARCH("Management (Learning)",'Offshore - Canberra'!B111))),2,IF(ISNUMBER(SEARCH("CEK:",'Offshore - Canberra'!N111)),1,0))</f>
        <v>1</v>
      </c>
    </row>
    <row r="754" customFormat="false" ht="15" hidden="false" customHeight="false" outlineLevel="0" collapsed="false">
      <c r="A754" s="61" t="s">
        <v>4020</v>
      </c>
      <c r="B754" s="62"/>
      <c r="C754" s="62"/>
      <c r="D754" s="62"/>
      <c r="E754" s="62"/>
      <c r="F754" s="62"/>
      <c r="G754" s="62"/>
      <c r="H754" s="62"/>
      <c r="I754" s="62"/>
    </row>
    <row r="755" customFormat="false" ht="28.35" hidden="false" customHeight="false" outlineLevel="0" collapsed="false">
      <c r="A755" s="63" t="s">
        <v>3583</v>
      </c>
      <c r="B755" s="64" t="s">
        <v>3990</v>
      </c>
      <c r="C755" s="63" t="s">
        <v>41</v>
      </c>
      <c r="D755" s="64" t="str">
        <f aca="false">TRIM(LEFT('Offshore - Darwin'!A6,FIND(CHAR(10),'Offshore - Darwin'!A6&amp;CHAR(10))-1))</f>
        <v>Alice Springs College of Australia (ASCA)</v>
      </c>
      <c r="E755" s="63" t="str">
        <f aca="false">'Offshore - Darwin'!C10&amp;""</f>
        <v>2 years</v>
      </c>
      <c r="F755" s="63" t="str">
        <f aca="false">IF('Offshore - Darwin'!D10="","Belum tercatat",'Offshore - Darwin'!D10)</f>
        <v>Term</v>
      </c>
      <c r="G755" s="65" t="n">
        <f aca="false">IF('Offshore - Darwin'!E10="","-",'Offshore - Darwin'!E10)</f>
        <v>2500</v>
      </c>
      <c r="H755" s="63" t="n">
        <f aca="false">IF(ISNUMBER(K755),COUNTIFS($J$6:$J$1854,J755,$K$6:$K$1854,"&lt;"&amp;K755)+1,"-")</f>
        <v>1</v>
      </c>
      <c r="I755" s="64" t="str">
        <f aca="false">IF('Offshore - Darwin'!E10="","Harga belum tersedia - hubungi konsultan TEG",IF(M755=2,"Saat ini tidak menerima pendaftaran siswa internasional baru",IF(M755=1,"Harga perlu dikonfirmasi ke sekolah"&amp;IF(""="","","; "&amp;""),"")))</f>
        <v/>
      </c>
      <c r="J755" s="0" t="s">
        <v>4021</v>
      </c>
      <c r="K755" s="0" t="n">
        <f aca="false">IF(M755=2,"",IF(ISNUMBER(SEARCH("rata-rata:",'Offshore - Darwin'!N10)),VALUE(MID('Offshore - Darwin'!N10,SEARCH("rata-rata:",'Offshore - Darwin'!N10)+11,FIND(";",'Offshore - Darwin'!N10&amp;";",SEARCH("rata-rata:",'Offshore - Darwin'!N10))-SEARCH("rata-rata:",'Offshore - Darwin'!N10)-11)),IF('Offshore - Darwin'!D10="Semester",'Offshore - Darwin'!E10*2,IF('Offshore - Darwin'!D10="Trimester",'Offshore - Darwin'!E10*3,IF('Offshore - Darwin'!D10="Term",'Offshore - Darwin'!E10*4,IF('Offshore - Darwin'!D10="Unit",'Offshore - Darwin'!E10*8,""))))))</f>
        <v>10000</v>
      </c>
      <c r="L755" s="0" t="n">
        <f aca="false">IF(AND(ISNUMBER('Offshore - Darwin'!E10),ISNUMBER(K755),ISNUMBER('Offshore - Darwin'!F10),ISNUMBER('Offshore - Darwin'!G10),OR('Offshore - Darwin'!F10&lt;&gt;0,ISNUMBER(SEARCH("Material 0 terverifikasi",'Offshore - Darwin'!N10))),OR('Offshore - Darwin'!G10&lt;&gt;0,ISNUMBER(SEARCH("Enrolment 0 terverifikasi",'Offshore - Darwin'!N10)))),1,0)</f>
        <v>1</v>
      </c>
      <c r="M755" s="0" t="n">
        <f aca="false">IF(OR('Offshore - Darwin'!E10="",ISNUMBER(SEARCH("BSB80120",'Offshore - Darwin'!B10&amp;'Offshore - Darwin'!N10)),ISNUMBER(SEARCH("Management (Learning)",'Offshore - Darwin'!B10))),2,IF(ISNUMBER(SEARCH("CEK:",'Offshore - Darwin'!N10)),1,0))</f>
        <v>0</v>
      </c>
    </row>
    <row r="756" customFormat="false" ht="28.35" hidden="false" customHeight="false" outlineLevel="0" collapsed="false">
      <c r="A756" s="63" t="s">
        <v>3583</v>
      </c>
      <c r="B756" s="64" t="s">
        <v>3990</v>
      </c>
      <c r="C756" s="63" t="s">
        <v>41</v>
      </c>
      <c r="D756" s="64" t="str">
        <f aca="false">TRIM(LEFT('Offshore - Darwin'!A20,FIND(CHAR(10),'Offshore - Darwin'!A20&amp;CHAR(10))-1))</f>
        <v>Charles Darwin University (CDU)</v>
      </c>
      <c r="E756" s="63" t="str">
        <f aca="false">'Offshore - Darwin'!C67&amp;""</f>
        <v>1 year</v>
      </c>
      <c r="F756" s="63" t="str">
        <f aca="false">IF('Offshore - Darwin'!D67="","Belum tercatat",'Offshore - Darwin'!D67)</f>
        <v>Term</v>
      </c>
      <c r="G756" s="65" t="n">
        <f aca="false">IF('Offshore - Darwin'!E67="","-",'Offshore - Darwin'!E67)</f>
        <v>9848</v>
      </c>
      <c r="H756" s="63" t="n">
        <f aca="false">IF(ISNUMBER(K756),COUNTIFS($J$6:$J$1854,J756,$K$6:$K$1854,"&lt;"&amp;K756)+1,"-")</f>
        <v>2</v>
      </c>
      <c r="I756" s="64" t="str">
        <f aca="false">IF('Offshore - Darwin'!E67="","Harga belum tersedia - hubungi konsultan TEG",IF(M756=2,"Saat ini tidak menerima pendaftaran siswa internasional baru",IF(M756=1,"Harga perlu dikonfirmasi ke sekolah"&amp;IF(""="","","; "&amp;""),"")))</f>
        <v/>
      </c>
      <c r="J756" s="0" t="s">
        <v>4021</v>
      </c>
      <c r="K756" s="0" t="n">
        <f aca="false">IF(M756=2,"",IF(ISNUMBER(SEARCH("rata-rata:",'Offshore - Darwin'!N67)),VALUE(MID('Offshore - Darwin'!N67,SEARCH("rata-rata:",'Offshore - Darwin'!N67)+11,FIND(";",'Offshore - Darwin'!N67&amp;";",SEARCH("rata-rata:",'Offshore - Darwin'!N67))-SEARCH("rata-rata:",'Offshore - Darwin'!N67)-11)),IF('Offshore - Darwin'!D67="Semester",'Offshore - Darwin'!E67*2,IF('Offshore - Darwin'!D67="Trimester",'Offshore - Darwin'!E67*3,IF('Offshore - Darwin'!D67="Term",'Offshore - Darwin'!E67*4,IF('Offshore - Darwin'!D67="Unit",'Offshore - Darwin'!E67*8,""))))))</f>
        <v>39392</v>
      </c>
      <c r="L756" s="0" t="n">
        <f aca="false">IF(AND(ISNUMBER('Offshore - Darwin'!E67),ISNUMBER(K756),ISNUMBER('Offshore - Darwin'!F67),ISNUMBER('Offshore - Darwin'!G67),OR('Offshore - Darwin'!F67&lt;&gt;0,ISNUMBER(SEARCH("Material 0 terverifikasi",'Offshore - Darwin'!N67))),OR('Offshore - Darwin'!G67&lt;&gt;0,ISNUMBER(SEARCH("Enrolment 0 terverifikasi",'Offshore - Darwin'!N67)))),1,0)</f>
        <v>0</v>
      </c>
      <c r="M756" s="0" t="n">
        <f aca="false">IF(OR('Offshore - Darwin'!E67="",ISNUMBER(SEARCH("BSB80120",'Offshore - Darwin'!B67&amp;'Offshore - Darwin'!N67)),ISNUMBER(SEARCH("Management (Learning)",'Offshore - Darwin'!B67))),2,IF(ISNUMBER(SEARCH("CEK:",'Offshore - Darwin'!N67)),1,0))</f>
        <v>0</v>
      </c>
    </row>
    <row r="757" customFormat="false" ht="15" hidden="false" customHeight="false" outlineLevel="0" collapsed="false">
      <c r="A757" s="61" t="s">
        <v>4022</v>
      </c>
      <c r="B757" s="62"/>
      <c r="C757" s="62"/>
      <c r="D757" s="62"/>
      <c r="E757" s="62"/>
      <c r="F757" s="62"/>
      <c r="G757" s="62"/>
      <c r="H757" s="62"/>
      <c r="I757" s="62"/>
    </row>
    <row r="758" customFormat="false" ht="28.35" hidden="false" customHeight="false" outlineLevel="0" collapsed="false">
      <c r="A758" s="63" t="s">
        <v>3583</v>
      </c>
      <c r="B758" s="64" t="s">
        <v>3990</v>
      </c>
      <c r="C758" s="63" t="s">
        <v>42</v>
      </c>
      <c r="D758" s="64" t="str">
        <f aca="false">TRIM(LEFT('Offshore - Darwin'!A136,FIND(CHAR(10),'Offshore - Darwin'!A136&amp;CHAR(10))-1))</f>
        <v>Sydney City College of Management</v>
      </c>
      <c r="E758" s="63" t="str">
        <f aca="false">'Offshore - Darwin'!C138&amp;""</f>
        <v>2 years</v>
      </c>
      <c r="F758" s="63" t="str">
        <f aca="false">IF('Offshore - Darwin'!D138="","Belum tercatat",'Offshore - Darwin'!D138)</f>
        <v>Term</v>
      </c>
      <c r="G758" s="65" t="n">
        <f aca="false">IF('Offshore - Darwin'!E138="","-",'Offshore - Darwin'!E138)</f>
        <v>3125</v>
      </c>
      <c r="H758" s="63" t="n">
        <f aca="false">IF(ISNUMBER(K758),COUNTIFS($J$6:$J$1854,J758,$K$6:$K$1854,"&lt;"&amp;K758)+1,"-")</f>
        <v>1</v>
      </c>
      <c r="I758" s="64" t="str">
        <f aca="false">IF('Offshore - Darwin'!E138="","Harga belum tersedia - hubungi konsultan TEG",IF(M758=2,"Saat ini tidak menerima pendaftaran siswa internasional baru",IF(M758=1,"Harga perlu dikonfirmasi ke sekolah"&amp;IF(""="","","; "&amp;""),"")))</f>
        <v/>
      </c>
      <c r="J758" s="0" t="s">
        <v>4023</v>
      </c>
      <c r="K758" s="0" t="n">
        <f aca="false">IF(M758=2,"",IF(ISNUMBER(SEARCH("rata-rata:",'Offshore - Darwin'!N138)),VALUE(MID('Offshore - Darwin'!N138,SEARCH("rata-rata:",'Offshore - Darwin'!N138)+11,FIND(";",'Offshore - Darwin'!N138&amp;";",SEARCH("rata-rata:",'Offshore - Darwin'!N138))-SEARCH("rata-rata:",'Offshore - Darwin'!N138)-11)),IF('Offshore - Darwin'!D138="Semester",'Offshore - Darwin'!E138*2,IF('Offshore - Darwin'!D138="Trimester",'Offshore - Darwin'!E138*3,IF('Offshore - Darwin'!D138="Term",'Offshore - Darwin'!E138*4,IF('Offshore - Darwin'!D138="Unit",'Offshore - Darwin'!E138*8,""))))))</f>
        <v>12500</v>
      </c>
      <c r="L758" s="0" t="n">
        <f aca="false">IF(AND(ISNUMBER('Offshore - Darwin'!E138),ISNUMBER(K758),ISNUMBER('Offshore - Darwin'!F138),ISNUMBER('Offshore - Darwin'!G138),OR('Offshore - Darwin'!F138&lt;&gt;0,ISNUMBER(SEARCH("Material 0 terverifikasi",'Offshore - Darwin'!N138))),OR('Offshore - Darwin'!G138&lt;&gt;0,ISNUMBER(SEARCH("Enrolment 0 terverifikasi",'Offshore - Darwin'!N138)))),1,0)</f>
        <v>1</v>
      </c>
      <c r="M758" s="0" t="n">
        <f aca="false">IF(OR('Offshore - Darwin'!E138="",ISNUMBER(SEARCH("BSB80120",'Offshore - Darwin'!B138&amp;'Offshore - Darwin'!N138)),ISNUMBER(SEARCH("Management (Learning)",'Offshore - Darwin'!B138))),2,IF(ISNUMBER(SEARCH("CEK:",'Offshore - Darwin'!N138)),1,0))</f>
        <v>0</v>
      </c>
    </row>
    <row r="759" customFormat="false" ht="28.35" hidden="false" customHeight="false" outlineLevel="0" collapsed="false">
      <c r="A759" s="63" t="s">
        <v>3583</v>
      </c>
      <c r="B759" s="64" t="s">
        <v>3990</v>
      </c>
      <c r="C759" s="63" t="s">
        <v>42</v>
      </c>
      <c r="D759" s="64" t="str">
        <f aca="false">TRIM(LEFT('Offshore - Darwin'!A20,FIND(CHAR(10),'Offshore - Darwin'!A20&amp;CHAR(10))-1))</f>
        <v>Charles Darwin University (CDU)</v>
      </c>
      <c r="E759" s="63" t="str">
        <f aca="false">'Offshore - Darwin'!C71&amp;""</f>
        <v>2 years</v>
      </c>
      <c r="F759" s="63" t="str">
        <f aca="false">IF('Offshore - Darwin'!D71="","Belum tercatat",'Offshore - Darwin'!D71)</f>
        <v>Term</v>
      </c>
      <c r="G759" s="65" t="n">
        <f aca="false">IF('Offshore - Darwin'!E71="","-",'Offshore - Darwin'!E71)</f>
        <v>9848</v>
      </c>
      <c r="H759" s="63" t="n">
        <f aca="false">IF(ISNUMBER(K759),COUNTIFS($J$6:$J$1854,J759,$K$6:$K$1854,"&lt;"&amp;K759)+1,"-")</f>
        <v>2</v>
      </c>
      <c r="I759" s="64" t="str">
        <f aca="false">IF('Offshore - Darwin'!E71="","Harga belum tersedia - hubungi konsultan TEG",IF(M759=2,"Saat ini tidak menerima pendaftaran siswa internasional baru",IF(M759=1,"Harga perlu dikonfirmasi ke sekolah"&amp;IF(""="","","; "&amp;""),"")))</f>
        <v/>
      </c>
      <c r="J759" s="0" t="s">
        <v>4023</v>
      </c>
      <c r="K759" s="0" t="n">
        <f aca="false">IF(M759=2,"",IF(ISNUMBER(SEARCH("rata-rata:",'Offshore - Darwin'!N71)),VALUE(MID('Offshore - Darwin'!N71,SEARCH("rata-rata:",'Offshore - Darwin'!N71)+11,FIND(";",'Offshore - Darwin'!N71&amp;";",SEARCH("rata-rata:",'Offshore - Darwin'!N71))-SEARCH("rata-rata:",'Offshore - Darwin'!N71)-11)),IF('Offshore - Darwin'!D71="Semester",'Offshore - Darwin'!E71*2,IF('Offshore - Darwin'!D71="Trimester",'Offshore - Darwin'!E71*3,IF('Offshore - Darwin'!D71="Term",'Offshore - Darwin'!E71*4,IF('Offshore - Darwin'!D71="Unit",'Offshore - Darwin'!E71*8,""))))))</f>
        <v>39392</v>
      </c>
      <c r="L759" s="0" t="n">
        <f aca="false">IF(AND(ISNUMBER('Offshore - Darwin'!E71),ISNUMBER(K759),ISNUMBER('Offshore - Darwin'!F71),ISNUMBER('Offshore - Darwin'!G71),OR('Offshore - Darwin'!F71&lt;&gt;0,ISNUMBER(SEARCH("Material 0 terverifikasi",'Offshore - Darwin'!N71))),OR('Offshore - Darwin'!G71&lt;&gt;0,ISNUMBER(SEARCH("Enrolment 0 terverifikasi",'Offshore - Darwin'!N71)))),1,0)</f>
        <v>0</v>
      </c>
      <c r="M759" s="0" t="n">
        <f aca="false">IF(OR('Offshore - Darwin'!E71="",ISNUMBER(SEARCH("BSB80120",'Offshore - Darwin'!B71&amp;'Offshore - Darwin'!N71)),ISNUMBER(SEARCH("Management (Learning)",'Offshore - Darwin'!B71))),2,IF(ISNUMBER(SEARCH("CEK:",'Offshore - Darwin'!N71)),1,0))</f>
        <v>0</v>
      </c>
    </row>
    <row r="760" customFormat="false" ht="15" hidden="false" customHeight="false" outlineLevel="0" collapsed="false">
      <c r="A760" s="61" t="s">
        <v>4024</v>
      </c>
      <c r="B760" s="62"/>
      <c r="C760" s="62"/>
      <c r="D760" s="62"/>
      <c r="E760" s="62"/>
      <c r="F760" s="62"/>
      <c r="G760" s="62"/>
      <c r="H760" s="62"/>
      <c r="I760" s="62"/>
    </row>
    <row r="761" customFormat="false" ht="28.35" hidden="false" customHeight="false" outlineLevel="0" collapsed="false">
      <c r="A761" s="63" t="s">
        <v>3583</v>
      </c>
      <c r="B761" s="64" t="s">
        <v>3990</v>
      </c>
      <c r="C761" s="63" t="s">
        <v>43</v>
      </c>
      <c r="D761" s="64" t="str">
        <f aca="false">TRIM(LEFT('Offshore - Darwin'!A20,FIND(CHAR(10),'Offshore - Darwin'!A20&amp;CHAR(10))-1))</f>
        <v>Charles Darwin University (CDU)</v>
      </c>
      <c r="E761" s="63" t="str">
        <f aca="false">'Offshore - Darwin'!C22&amp;""</f>
        <v>3 years</v>
      </c>
      <c r="F761" s="63" t="str">
        <f aca="false">IF('Offshore - Darwin'!D22="","Belum tercatat",'Offshore - Darwin'!D22)</f>
        <v>Term</v>
      </c>
      <c r="G761" s="65" t="n">
        <f aca="false">IF('Offshore - Darwin'!E22="","-",'Offshore - Darwin'!E22)</f>
        <v>8008</v>
      </c>
      <c r="H761" s="63" t="n">
        <f aca="false">IF(ISNUMBER(K761),COUNTIFS($J$6:$J$1854,J761,$K$6:$K$1854,"&lt;"&amp;K761)+1,"-")</f>
        <v>1</v>
      </c>
      <c r="I761" s="64" t="str">
        <f aca="false">IF('Offshore - Darwin'!E22="","Harga belum tersedia - hubungi konsultan TEG",IF(M761=2,"Saat ini tidak menerima pendaftaran siswa internasional baru",IF(M761=1,"Harga perlu dikonfirmasi ke sekolah"&amp;IF(""="","","; "&amp;""),"")))</f>
        <v/>
      </c>
      <c r="J761" s="0" t="s">
        <v>4025</v>
      </c>
      <c r="K761" s="0" t="n">
        <f aca="false">IF(M761=2,"",IF(ISNUMBER(SEARCH("rata-rata:",'Offshore - Darwin'!N22)),VALUE(MID('Offshore - Darwin'!N22,SEARCH("rata-rata:",'Offshore - Darwin'!N22)+11,FIND(";",'Offshore - Darwin'!N22&amp;";",SEARCH("rata-rata:",'Offshore - Darwin'!N22))-SEARCH("rata-rata:",'Offshore - Darwin'!N22)-11)),IF('Offshore - Darwin'!D22="Semester",'Offshore - Darwin'!E22*2,IF('Offshore - Darwin'!D22="Trimester",'Offshore - Darwin'!E22*3,IF('Offshore - Darwin'!D22="Term",'Offshore - Darwin'!E22*4,IF('Offshore - Darwin'!D22="Unit",'Offshore - Darwin'!E22*8,""))))))</f>
        <v>32032</v>
      </c>
      <c r="L761" s="0" t="n">
        <f aca="false">IF(AND(ISNUMBER('Offshore - Darwin'!E22),ISNUMBER(K761),ISNUMBER('Offshore - Darwin'!F22),ISNUMBER('Offshore - Darwin'!G22),OR('Offshore - Darwin'!F22&lt;&gt;0,ISNUMBER(SEARCH("Material 0 terverifikasi",'Offshore - Darwin'!N22))),OR('Offshore - Darwin'!G22&lt;&gt;0,ISNUMBER(SEARCH("Enrolment 0 terverifikasi",'Offshore - Darwin'!N22)))),1,0)</f>
        <v>0</v>
      </c>
      <c r="M761" s="0" t="n">
        <f aca="false">IF(OR('Offshore - Darwin'!E22="",ISNUMBER(SEARCH("BSB80120",'Offshore - Darwin'!B22&amp;'Offshore - Darwin'!N22)),ISNUMBER(SEARCH("Management (Learning)",'Offshore - Darwin'!B22))),2,IF(ISNUMBER(SEARCH("CEK:",'Offshore - Darwin'!N22)),1,0))</f>
        <v>0</v>
      </c>
    </row>
    <row r="762" customFormat="false" ht="15" hidden="false" customHeight="false" outlineLevel="0" collapsed="false">
      <c r="A762" s="61" t="s">
        <v>4026</v>
      </c>
      <c r="B762" s="62"/>
      <c r="C762" s="62"/>
      <c r="D762" s="62"/>
      <c r="E762" s="62"/>
      <c r="F762" s="62"/>
      <c r="G762" s="62"/>
      <c r="H762" s="62"/>
      <c r="I762" s="62"/>
    </row>
    <row r="763" customFormat="false" ht="28.35" hidden="false" customHeight="false" outlineLevel="0" collapsed="false">
      <c r="A763" s="63" t="s">
        <v>3583</v>
      </c>
      <c r="B763" s="64" t="s">
        <v>3990</v>
      </c>
      <c r="C763" s="63" t="s">
        <v>46</v>
      </c>
      <c r="D763" s="64" t="str">
        <f aca="false">TRIM(LEFT('Offshore - Darwin'!A20,FIND(CHAR(10),'Offshore - Darwin'!A20&amp;CHAR(10))-1))</f>
        <v>Charles Darwin University (CDU)</v>
      </c>
      <c r="E763" s="63" t="str">
        <f aca="false">'Offshore - Darwin'!C24&amp;""</f>
        <v>2 years</v>
      </c>
      <c r="F763" s="63" t="str">
        <f aca="false">IF('Offshore - Darwin'!D24="","Belum tercatat",'Offshore - Darwin'!D24)</f>
        <v>Term</v>
      </c>
      <c r="G763" s="65" t="n">
        <f aca="false">IF('Offshore - Darwin'!E24="","-",'Offshore - Darwin'!E24)</f>
        <v>9418</v>
      </c>
      <c r="H763" s="63" t="n">
        <f aca="false">IF(ISNUMBER(K763),COUNTIFS($J$6:$J$1854,J763,$K$6:$K$1854,"&lt;"&amp;K763)+1,"-")</f>
        <v>1</v>
      </c>
      <c r="I763" s="64" t="str">
        <f aca="false">IF('Offshore - Darwin'!E24="","Harga belum tersedia - hubungi konsultan TEG",IF(M763=2,"Saat ini tidak menerima pendaftaran siswa internasional baru",IF(M763=1,"Harga perlu dikonfirmasi ke sekolah"&amp;IF(""="","","; "&amp;""),"")))</f>
        <v/>
      </c>
      <c r="J763" s="0" t="s">
        <v>4027</v>
      </c>
      <c r="K763" s="0" t="n">
        <f aca="false">IF(M763=2,"",IF(ISNUMBER(SEARCH("rata-rata:",'Offshore - Darwin'!N24)),VALUE(MID('Offshore - Darwin'!N24,SEARCH("rata-rata:",'Offshore - Darwin'!N24)+11,FIND(";",'Offshore - Darwin'!N24&amp;";",SEARCH("rata-rata:",'Offshore - Darwin'!N24))-SEARCH("rata-rata:",'Offshore - Darwin'!N24)-11)),IF('Offshore - Darwin'!D24="Semester",'Offshore - Darwin'!E24*2,IF('Offshore - Darwin'!D24="Trimester",'Offshore - Darwin'!E24*3,IF('Offshore - Darwin'!D24="Term",'Offshore - Darwin'!E24*4,IF('Offshore - Darwin'!D24="Unit",'Offshore - Darwin'!E24*8,""))))))</f>
        <v>37672</v>
      </c>
      <c r="L763" s="0" t="n">
        <f aca="false">IF(AND(ISNUMBER('Offshore - Darwin'!E24),ISNUMBER(K763),ISNUMBER('Offshore - Darwin'!F24),ISNUMBER('Offshore - Darwin'!G24),OR('Offshore - Darwin'!F24&lt;&gt;0,ISNUMBER(SEARCH("Material 0 terverifikasi",'Offshore - Darwin'!N24))),OR('Offshore - Darwin'!G24&lt;&gt;0,ISNUMBER(SEARCH("Enrolment 0 terverifikasi",'Offshore - Darwin'!N24)))),1,0)</f>
        <v>0</v>
      </c>
      <c r="M763" s="0" t="n">
        <f aca="false">IF(OR('Offshore - Darwin'!E24="",ISNUMBER(SEARCH("BSB80120",'Offshore - Darwin'!B24&amp;'Offshore - Darwin'!N24)),ISNUMBER(SEARCH("Management (Learning)",'Offshore - Darwin'!B24))),2,IF(ISNUMBER(SEARCH("CEK:",'Offshore - Darwin'!N24)),1,0))</f>
        <v>0</v>
      </c>
    </row>
    <row r="764" customFormat="false" ht="15" hidden="false" customHeight="false" outlineLevel="0" collapsed="false">
      <c r="A764" s="61" t="s">
        <v>4028</v>
      </c>
      <c r="B764" s="62"/>
      <c r="C764" s="62"/>
      <c r="D764" s="62"/>
      <c r="E764" s="62"/>
      <c r="F764" s="62"/>
      <c r="G764" s="62"/>
      <c r="H764" s="62"/>
      <c r="I764" s="62"/>
    </row>
    <row r="765" customFormat="false" ht="28.35" hidden="false" customHeight="false" outlineLevel="0" collapsed="false">
      <c r="A765" s="63" t="s">
        <v>3878</v>
      </c>
      <c r="B765" s="64" t="s">
        <v>3990</v>
      </c>
      <c r="C765" s="63" t="s">
        <v>42</v>
      </c>
      <c r="D765" s="64" t="str">
        <f aca="false">TRIM(LEFT('Offshore - Gosford'!A6,FIND(CHAR(10),'Offshore - Gosford'!A6&amp;CHAR(10))-1))</f>
        <v>Novus College</v>
      </c>
      <c r="E765" s="63" t="str">
        <f aca="false">'Offshore - Gosford'!C9&amp;""</f>
        <v>2 years</v>
      </c>
      <c r="F765" s="63" t="str">
        <f aca="false">IF('Offshore - Gosford'!D9="","Belum tercatat",'Offshore - Gosford'!D9)</f>
        <v>Term</v>
      </c>
      <c r="G765" s="65" t="n">
        <f aca="false">IF('Offshore - Gosford'!E9="","-",'Offshore - Gosford'!E9)</f>
        <v>2200</v>
      </c>
      <c r="H765" s="63" t="n">
        <f aca="false">IF(ISNUMBER(K765),COUNTIFS($J$6:$J$1854,J765,$K$6:$K$1854,"&lt;"&amp;K765)+1,"-")</f>
        <v>1</v>
      </c>
      <c r="I765" s="64" t="str">
        <f aca="false">IF('Offshore - Gosford'!E9="","Harga belum tersedia - hubungi konsultan TEG",IF(M765=2,"Saat ini tidak menerima pendaftaran siswa internasional baru",IF(M765=1,"Program perlu dikonfirmasi ketersediaannya"&amp;IF(""="","","; "&amp;""),"")))</f>
        <v>Program perlu dikonfirmasi ketersediaannya</v>
      </c>
      <c r="J765" s="0" t="s">
        <v>4029</v>
      </c>
      <c r="K765" s="0" t="n">
        <f aca="false">IF(M765=2,"",IF(ISNUMBER(SEARCH("rata-rata:",'Offshore - Gosford'!N9)),VALUE(MID('Offshore - Gosford'!N9,SEARCH("rata-rata:",'Offshore - Gosford'!N9)+11,FIND(";",'Offshore - Gosford'!N9&amp;";",SEARCH("rata-rata:",'Offshore - Gosford'!N9))-SEARCH("rata-rata:",'Offshore - Gosford'!N9)-11)),IF('Offshore - Gosford'!D9="Semester",'Offshore - Gosford'!E9*2,IF('Offshore - Gosford'!D9="Trimester",'Offshore - Gosford'!E9*3,IF('Offshore - Gosford'!D9="Term",'Offshore - Gosford'!E9*4,IF('Offshore - Gosford'!D9="Unit",'Offshore - Gosford'!E9*8,""))))))</f>
        <v>8800</v>
      </c>
      <c r="L765" s="0" t="n">
        <f aca="false">IF(AND(ISNUMBER('Offshore - Gosford'!E9),ISNUMBER(K765),ISNUMBER('Offshore - Gosford'!F9),ISNUMBER('Offshore - Gosford'!G9),OR('Offshore - Gosford'!F9&lt;&gt;0,ISNUMBER(SEARCH("Material 0 terverifikasi",'Offshore - Gosford'!N9))),OR('Offshore - Gosford'!G9&lt;&gt;0,ISNUMBER(SEARCH("Enrolment 0 terverifikasi",'Offshore - Gosford'!N9)))),1,0)</f>
        <v>1</v>
      </c>
      <c r="M765" s="0" t="n">
        <f aca="false">IF(OR('Offshore - Gosford'!E9="",ISNUMBER(SEARCH("BSB80120",'Offshore - Gosford'!B9&amp;'Offshore - Gosford'!N9)),ISNUMBER(SEARCH("Management (Learning)",'Offshore - Gosford'!B9))),2,IF(ISNUMBER(SEARCH("CEK:",'Offshore - Gosford'!N9)),1,0))</f>
        <v>1</v>
      </c>
    </row>
    <row r="766" customFormat="false" ht="15" hidden="false" customHeight="false" outlineLevel="0" collapsed="false">
      <c r="A766" s="61" t="s">
        <v>4030</v>
      </c>
      <c r="B766" s="62"/>
      <c r="C766" s="62"/>
      <c r="D766" s="62"/>
      <c r="E766" s="62"/>
      <c r="F766" s="62"/>
      <c r="G766" s="62"/>
      <c r="H766" s="62"/>
      <c r="I766" s="62"/>
    </row>
    <row r="767" customFormat="false" ht="28.35" hidden="false" customHeight="false" outlineLevel="0" collapsed="false">
      <c r="A767" s="63" t="s">
        <v>3544</v>
      </c>
      <c r="B767" s="64" t="s">
        <v>3990</v>
      </c>
      <c r="C767" s="63" t="s">
        <v>39</v>
      </c>
      <c r="D767" s="64" t="str">
        <f aca="false">TRIM(LEFT('Offshore - Melbourne'!A257,FIND(CHAR(10),'Offshore - Melbourne'!A257&amp;CHAR(10))-1))</f>
        <v>Everthought College of Construction</v>
      </c>
      <c r="E767" s="63" t="str">
        <f aca="false">'Offshore - Melbourne'!C258&amp;""</f>
        <v>1,5 years</v>
      </c>
      <c r="F767" s="63" t="str">
        <f aca="false">IF('Offshore - Melbourne'!D258="","Belum tercatat",'Offshore - Melbourne'!D258)</f>
        <v>Term</v>
      </c>
      <c r="G767" s="65" t="n">
        <f aca="false">IF('Offshore - Melbourne'!E258="","-",'Offshore - Melbourne'!E258)</f>
        <v>2083</v>
      </c>
      <c r="H767" s="63" t="n">
        <f aca="false">IF(ISNUMBER(K767),COUNTIFS($J$6:$J$1854,J767,$K$6:$K$1854,"&lt;"&amp;K767)+1,"-")</f>
        <v>1</v>
      </c>
      <c r="I767" s="64" t="str">
        <f aca="false">IF('Offshore - Melbourne'!E258="","Harga belum tersedia - hubungi konsultan TEG",IF(M767=2,"Saat ini tidak menerima pendaftaran siswa internasional baru",IF(M767=1,"Harga perlu dikonfirmasi ke sekolah"&amp;IF(""="","","; "&amp;""),"")))</f>
        <v/>
      </c>
      <c r="J767" s="0" t="s">
        <v>4031</v>
      </c>
      <c r="K767" s="0" t="n">
        <f aca="false">IF(M767=2,"",IF(ISNUMBER(SEARCH("rata-rata:",'Offshore - Melbourne'!N258)),VALUE(MID('Offshore - Melbourne'!N258,SEARCH("rata-rata:",'Offshore - Melbourne'!N258)+11,FIND(";",'Offshore - Melbourne'!N258&amp;";",SEARCH("rata-rata:",'Offshore - Melbourne'!N258))-SEARCH("rata-rata:",'Offshore - Melbourne'!N258)-11)),IF('Offshore - Melbourne'!D258="Semester",'Offshore - Melbourne'!E258*2,IF('Offshore - Melbourne'!D258="Trimester",'Offshore - Melbourne'!E258*3,IF('Offshore - Melbourne'!D258="Term",'Offshore - Melbourne'!E258*4,IF('Offshore - Melbourne'!D258="Unit",'Offshore - Melbourne'!E258*8,""))))))</f>
        <v>8332</v>
      </c>
      <c r="L767" s="0" t="n">
        <f aca="false">IF(AND(ISNUMBER('Offshore - Melbourne'!E258),ISNUMBER(K767),ISNUMBER('Offshore - Melbourne'!F258),ISNUMBER('Offshore - Melbourne'!G258),OR('Offshore - Melbourne'!F258&lt;&gt;0,ISNUMBER(SEARCH("Material 0 terverifikasi",'Offshore - Melbourne'!N258))),OR('Offshore - Melbourne'!G258&lt;&gt;0,ISNUMBER(SEARCH("Enrolment 0 terverifikasi",'Offshore - Melbourne'!N258)))),1,0)</f>
        <v>1</v>
      </c>
      <c r="M767" s="0" t="n">
        <f aca="false">IF(OR('Offshore - Melbourne'!E258="",ISNUMBER(SEARCH("BSB80120",'Offshore - Melbourne'!B258&amp;'Offshore - Melbourne'!N258)),ISNUMBER(SEARCH("Management (Learning)",'Offshore - Melbourne'!B258))),2,IF(ISNUMBER(SEARCH("CEK:",'Offshore - Melbourne'!N258)),1,0))</f>
        <v>0</v>
      </c>
    </row>
    <row r="768" customFormat="false" ht="28.35" hidden="false" customHeight="false" outlineLevel="0" collapsed="false">
      <c r="A768" s="63" t="s">
        <v>3544</v>
      </c>
      <c r="B768" s="64" t="s">
        <v>3990</v>
      </c>
      <c r="C768" s="63" t="s">
        <v>39</v>
      </c>
      <c r="D768" s="64" t="str">
        <f aca="false">TRIM(LEFT('Offshore - Melbourne'!A552,FIND(CHAR(10),'Offshore - Melbourne'!A552&amp;CHAR(10))-1))</f>
        <v>Wattle College</v>
      </c>
      <c r="E768" s="63" t="str">
        <f aca="false">'Offshore - Melbourne'!C554&amp;""</f>
        <v>1,5 years</v>
      </c>
      <c r="F768" s="63" t="str">
        <f aca="false">IF('Offshore - Melbourne'!D554="","Belum tercatat",'Offshore - Melbourne'!D554)</f>
        <v>Term</v>
      </c>
      <c r="G768" s="65" t="n">
        <f aca="false">IF('Offshore - Melbourne'!E554="","-",'Offshore - Melbourne'!E554)</f>
        <v>2200</v>
      </c>
      <c r="H768" s="63" t="n">
        <f aca="false">IF(ISNUMBER(K768),COUNTIFS($J$6:$J$1854,J768,$K$6:$K$1854,"&lt;"&amp;K768)+1,"-")</f>
        <v>2</v>
      </c>
      <c r="I768" s="64" t="str">
        <f aca="false">IF('Offshore - Melbourne'!E554="","Harga belum tersedia - hubungi konsultan TEG",IF(M768=2,"Saat ini tidak menerima pendaftaran siswa internasional baru",IF(M768=1,"Harga perlu dikonfirmasi ke sekolah"&amp;IF(""="","","; "&amp;""),"")))</f>
        <v/>
      </c>
      <c r="J768" s="0" t="s">
        <v>4031</v>
      </c>
      <c r="K768" s="0" t="n">
        <f aca="false">IF(M768=2,"",IF(ISNUMBER(SEARCH("rata-rata:",'Offshore - Melbourne'!N554)),VALUE(MID('Offshore - Melbourne'!N554,SEARCH("rata-rata:",'Offshore - Melbourne'!N554)+11,FIND(";",'Offshore - Melbourne'!N554&amp;";",SEARCH("rata-rata:",'Offshore - Melbourne'!N554))-SEARCH("rata-rata:",'Offshore - Melbourne'!N554)-11)),IF('Offshore - Melbourne'!D554="Semester",'Offshore - Melbourne'!E554*2,IF('Offshore - Melbourne'!D554="Trimester",'Offshore - Melbourne'!E554*3,IF('Offshore - Melbourne'!D554="Term",'Offshore - Melbourne'!E554*4,IF('Offshore - Melbourne'!D554="Unit",'Offshore - Melbourne'!E554*8,""))))))</f>
        <v>8800</v>
      </c>
      <c r="L768" s="0" t="n">
        <f aca="false">IF(AND(ISNUMBER('Offshore - Melbourne'!E554),ISNUMBER(K768),ISNUMBER('Offshore - Melbourne'!F554),ISNUMBER('Offshore - Melbourne'!G554),OR('Offshore - Melbourne'!F554&lt;&gt;0,ISNUMBER(SEARCH("Material 0 terverifikasi",'Offshore - Melbourne'!N554))),OR('Offshore - Melbourne'!G554&lt;&gt;0,ISNUMBER(SEARCH("Enrolment 0 terverifikasi",'Offshore - Melbourne'!N554)))),1,0)</f>
        <v>1</v>
      </c>
      <c r="M768" s="0" t="n">
        <f aca="false">IF(OR('Offshore - Melbourne'!E554="",ISNUMBER(SEARCH("BSB80120",'Offshore - Melbourne'!B554&amp;'Offshore - Melbourne'!N554)),ISNUMBER(SEARCH("Management (Learning)",'Offshore - Melbourne'!B554))),2,IF(ISNUMBER(SEARCH("CEK:",'Offshore - Melbourne'!N554)),1,0))</f>
        <v>0</v>
      </c>
    </row>
    <row r="769" customFormat="false" ht="28.35" hidden="false" customHeight="false" outlineLevel="0" collapsed="false">
      <c r="A769" s="63" t="s">
        <v>3544</v>
      </c>
      <c r="B769" s="64" t="s">
        <v>3990</v>
      </c>
      <c r="C769" s="63" t="s">
        <v>39</v>
      </c>
      <c r="D769" s="64" t="str">
        <f aca="false">TRIM(LEFT('Offshore - Melbourne'!A228,FIND(CHAR(10),'Offshore - Melbourne'!A228&amp;CHAR(10))-1))</f>
        <v>Baxter Institute</v>
      </c>
      <c r="E769" s="63" t="str">
        <f aca="false">'Offshore - Melbourne'!C232&amp;""</f>
        <v>2 years</v>
      </c>
      <c r="F769" s="63" t="str">
        <f aca="false">IF('Offshore - Melbourne'!D232="","Belum tercatat",'Offshore - Melbourne'!D232)</f>
        <v>Term</v>
      </c>
      <c r="G769" s="65" t="n">
        <f aca="false">IF('Offshore - Melbourne'!E232="","-",'Offshore - Melbourne'!E232)</f>
        <v>2315</v>
      </c>
      <c r="H769" s="63" t="n">
        <f aca="false">IF(ISNUMBER(K769),COUNTIFS($J$6:$J$1854,J769,$K$6:$K$1854,"&lt;"&amp;K769)+1,"-")</f>
        <v>3</v>
      </c>
      <c r="I769" s="64" t="str">
        <f aca="false">IF('Offshore - Melbourne'!E232="","Harga belum tersedia - hubungi konsultan TEG",IF(M769=2,"Saat ini tidak menerima pendaftaran siswa internasional baru",IF(M769=1,"Harga perlu dikonfirmasi ke sekolah"&amp;IF(""="","","; "&amp;""),"")))</f>
        <v/>
      </c>
      <c r="J769" s="0" t="s">
        <v>4031</v>
      </c>
      <c r="K769" s="0" t="n">
        <f aca="false">IF(M769=2,"",IF(ISNUMBER(SEARCH("rata-rata:",'Offshore - Melbourne'!N232)),VALUE(MID('Offshore - Melbourne'!N232,SEARCH("rata-rata:",'Offshore - Melbourne'!N232)+11,FIND(";",'Offshore - Melbourne'!N232&amp;";",SEARCH("rata-rata:",'Offshore - Melbourne'!N232))-SEARCH("rata-rata:",'Offshore - Melbourne'!N232)-11)),IF('Offshore - Melbourne'!D232="Semester",'Offshore - Melbourne'!E232*2,IF('Offshore - Melbourne'!D232="Trimester",'Offshore - Melbourne'!E232*3,IF('Offshore - Melbourne'!D232="Term",'Offshore - Melbourne'!E232*4,IF('Offshore - Melbourne'!D232="Unit",'Offshore - Melbourne'!E232*8,""))))))</f>
        <v>9260</v>
      </c>
      <c r="L769" s="0" t="n">
        <f aca="false">IF(AND(ISNUMBER('Offshore - Melbourne'!E232),ISNUMBER(K769),ISNUMBER('Offshore - Melbourne'!F232),ISNUMBER('Offshore - Melbourne'!G232),OR('Offshore - Melbourne'!F232&lt;&gt;0,ISNUMBER(SEARCH("Material 0 terverifikasi",'Offshore - Melbourne'!N232))),OR('Offshore - Melbourne'!G232&lt;&gt;0,ISNUMBER(SEARCH("Enrolment 0 terverifikasi",'Offshore - Melbourne'!N232)))),1,0)</f>
        <v>1</v>
      </c>
      <c r="M769" s="0" t="n">
        <f aca="false">IF(OR('Offshore - Melbourne'!E232="",ISNUMBER(SEARCH("BSB80120",'Offshore - Melbourne'!B232&amp;'Offshore - Melbourne'!N232)),ISNUMBER(SEARCH("Management (Learning)",'Offshore - Melbourne'!B232))),2,IF(ISNUMBER(SEARCH("CEK:",'Offshore - Melbourne'!N232)),1,0))</f>
        <v>0</v>
      </c>
    </row>
    <row r="770" customFormat="false" ht="28.35" hidden="false" customHeight="false" outlineLevel="0" collapsed="false">
      <c r="A770" s="63" t="s">
        <v>3544</v>
      </c>
      <c r="B770" s="64" t="s">
        <v>3990</v>
      </c>
      <c r="C770" s="63" t="s">
        <v>39</v>
      </c>
      <c r="D770" s="64" t="str">
        <f aca="false">TRIM(LEFT('Offshore - Melbourne'!A65,FIND(CHAR(10),'Offshore - Melbourne'!A65&amp;CHAR(10))-1))</f>
        <v>ALTEC College</v>
      </c>
      <c r="E770" s="63" t="str">
        <f aca="false">'Offshore - Melbourne'!C69&amp;""</f>
        <v>2 years</v>
      </c>
      <c r="F770" s="63" t="str">
        <f aca="false">IF('Offshore - Melbourne'!D69="","Belum tercatat",'Offshore - Melbourne'!D69)</f>
        <v>Term</v>
      </c>
      <c r="G770" s="65" t="n">
        <f aca="false">IF('Offshore - Melbourne'!E69="","-",'Offshore - Melbourne'!E69)</f>
        <v>2500</v>
      </c>
      <c r="H770" s="63" t="n">
        <f aca="false">IF(ISNUMBER(K770),COUNTIFS($J$6:$J$1854,J770,$K$6:$K$1854,"&lt;"&amp;K770)+1,"-")</f>
        <v>4</v>
      </c>
      <c r="I770" s="64" t="str">
        <f aca="false">IF('Offshore - Melbourne'!E69="","Harga belum tersedia - hubungi konsultan TEG",IF(M770=2,"Saat ini tidak menerima pendaftaran siswa internasional baru",IF(M770=1,"Harga perlu dikonfirmasi ke sekolah"&amp;IF(""="","","; "&amp;""),"")))</f>
        <v/>
      </c>
      <c r="J770" s="0" t="s">
        <v>4031</v>
      </c>
      <c r="K770" s="0" t="n">
        <f aca="false">IF(M770=2,"",IF(ISNUMBER(SEARCH("rata-rata:",'Offshore - Melbourne'!N69)),VALUE(MID('Offshore - Melbourne'!N69,SEARCH("rata-rata:",'Offshore - Melbourne'!N69)+11,FIND(";",'Offshore - Melbourne'!N69&amp;";",SEARCH("rata-rata:",'Offshore - Melbourne'!N69))-SEARCH("rata-rata:",'Offshore - Melbourne'!N69)-11)),IF('Offshore - Melbourne'!D69="Semester",'Offshore - Melbourne'!E69*2,IF('Offshore - Melbourne'!D69="Trimester",'Offshore - Melbourne'!E69*3,IF('Offshore - Melbourne'!D69="Term",'Offshore - Melbourne'!E69*4,IF('Offshore - Melbourne'!D69="Unit",'Offshore - Melbourne'!E69*8,""))))))</f>
        <v>10000</v>
      </c>
      <c r="L770" s="0" t="n">
        <f aca="false">IF(AND(ISNUMBER('Offshore - Melbourne'!E69),ISNUMBER(K770),ISNUMBER('Offshore - Melbourne'!F69),ISNUMBER('Offshore - Melbourne'!G69),OR('Offshore - Melbourne'!F69&lt;&gt;0,ISNUMBER(SEARCH("Material 0 terverifikasi",'Offshore - Melbourne'!N69))),OR('Offshore - Melbourne'!G69&lt;&gt;0,ISNUMBER(SEARCH("Enrolment 0 terverifikasi",'Offshore - Melbourne'!N69)))),1,0)</f>
        <v>1</v>
      </c>
      <c r="M770" s="0" t="n">
        <f aca="false">IF(OR('Offshore - Melbourne'!E69="",ISNUMBER(SEARCH("BSB80120",'Offshore - Melbourne'!B69&amp;'Offshore - Melbourne'!N69)),ISNUMBER(SEARCH("Management (Learning)",'Offshore - Melbourne'!B69))),2,IF(ISNUMBER(SEARCH("CEK:",'Offshore - Melbourne'!N69)),1,0))</f>
        <v>0</v>
      </c>
    </row>
    <row r="771" customFormat="false" ht="28.35" hidden="false" customHeight="false" outlineLevel="0" collapsed="false">
      <c r="A771" s="63" t="s">
        <v>3544</v>
      </c>
      <c r="B771" s="64" t="s">
        <v>3990</v>
      </c>
      <c r="C771" s="63" t="s">
        <v>39</v>
      </c>
      <c r="D771" s="64" t="str">
        <f aca="false">TRIM(LEFT('Offshore - Melbourne'!A389,FIND(CHAR(10),'Offshore - Melbourne'!A389&amp;CHAR(10))-1))</f>
        <v>Sacred Heart International College (SHIC)</v>
      </c>
      <c r="E771" s="63" t="str">
        <f aca="false">'Offshore - Melbourne'!C392&amp;""</f>
        <v>1,5 years</v>
      </c>
      <c r="F771" s="63" t="str">
        <f aca="false">IF('Offshore - Melbourne'!D392="","Belum tercatat",'Offshore - Melbourne'!D392)</f>
        <v>Term</v>
      </c>
      <c r="G771" s="65" t="n">
        <f aca="false">IF('Offshore - Melbourne'!E392="","-",'Offshore - Melbourne'!E392)</f>
        <v>2500</v>
      </c>
      <c r="H771" s="63" t="n">
        <f aca="false">IF(ISNUMBER(K771),COUNTIFS($J$6:$J$1854,J771,$K$6:$K$1854,"&lt;"&amp;K771)+1,"-")</f>
        <v>4</v>
      </c>
      <c r="I771" s="64" t="str">
        <f aca="false">IF('Offshore - Melbourne'!E392="","Harga belum tersedia - hubungi konsultan TEG",IF(M771=2,"Saat ini tidak menerima pendaftaran siswa internasional baru",IF(M771=1,"Harga promo sudah berakhir - konfirmasi harga terbaru"&amp;IF(""="","","; "&amp;""),"")))</f>
        <v>Harga promo sudah berakhir - konfirmasi harga terbaru</v>
      </c>
      <c r="J771" s="0" t="s">
        <v>4031</v>
      </c>
      <c r="K771" s="0" t="n">
        <f aca="false">IF(M771=2,"",IF(ISNUMBER(SEARCH("rata-rata:",'Offshore - Melbourne'!N392)),VALUE(MID('Offshore - Melbourne'!N392,SEARCH("rata-rata:",'Offshore - Melbourne'!N392)+11,FIND(";",'Offshore - Melbourne'!N392&amp;";",SEARCH("rata-rata:",'Offshore - Melbourne'!N392))-SEARCH("rata-rata:",'Offshore - Melbourne'!N392)-11)),IF('Offshore - Melbourne'!D392="Semester",'Offshore - Melbourne'!E392*2,IF('Offshore - Melbourne'!D392="Trimester",'Offshore - Melbourne'!E392*3,IF('Offshore - Melbourne'!D392="Term",'Offshore - Melbourne'!E392*4,IF('Offshore - Melbourne'!D392="Unit",'Offshore - Melbourne'!E392*8,""))))))</f>
        <v>10000</v>
      </c>
      <c r="L771" s="0" t="n">
        <f aca="false">IF(AND(ISNUMBER('Offshore - Melbourne'!E392),ISNUMBER(K771),ISNUMBER('Offshore - Melbourne'!F392),ISNUMBER('Offshore - Melbourne'!G392),OR('Offshore - Melbourne'!F392&lt;&gt;0,ISNUMBER(SEARCH("Material 0 terverifikasi",'Offshore - Melbourne'!N392))),OR('Offshore - Melbourne'!G392&lt;&gt;0,ISNUMBER(SEARCH("Enrolment 0 terverifikasi",'Offshore - Melbourne'!N392)))),1,0)</f>
        <v>1</v>
      </c>
      <c r="M771" s="0" t="n">
        <f aca="false">IF(OR('Offshore - Melbourne'!E392="",ISNUMBER(SEARCH("BSB80120",'Offshore - Melbourne'!B392&amp;'Offshore - Melbourne'!N392)),ISNUMBER(SEARCH("Management (Learning)",'Offshore - Melbourne'!B392))),2,IF(ISNUMBER(SEARCH("CEK:",'Offshore - Melbourne'!N392)),1,0))</f>
        <v>1</v>
      </c>
    </row>
    <row r="772" customFormat="false" ht="28.35" hidden="false" customHeight="false" outlineLevel="0" collapsed="false">
      <c r="A772" s="63" t="s">
        <v>3544</v>
      </c>
      <c r="B772" s="64" t="s">
        <v>3990</v>
      </c>
      <c r="C772" s="63" t="s">
        <v>39</v>
      </c>
      <c r="D772" s="64" t="str">
        <f aca="false">TRIM(LEFT('Offshore - Melbourne'!A410,FIND(CHAR(10),'Offshore - Melbourne'!A410&amp;CHAR(10))-1))</f>
        <v>States College Australia</v>
      </c>
      <c r="E772" s="63" t="str">
        <f aca="false">'Offshore - Melbourne'!C414&amp;""</f>
        <v>1 year</v>
      </c>
      <c r="F772" s="63" t="str">
        <f aca="false">IF('Offshore - Melbourne'!D414="","Belum tercatat",'Offshore - Melbourne'!D414)</f>
        <v>Term</v>
      </c>
      <c r="G772" s="65" t="n">
        <f aca="false">IF('Offshore - Melbourne'!E414="","-",'Offshore - Melbourne'!E414)</f>
        <v>2500</v>
      </c>
      <c r="H772" s="63" t="n">
        <f aca="false">IF(ISNUMBER(K772),COUNTIFS($J$6:$J$1854,J772,$K$6:$K$1854,"&lt;"&amp;K772)+1,"-")</f>
        <v>4</v>
      </c>
      <c r="I772" s="64" t="str">
        <f aca="false">IF('Offshore - Melbourne'!E414="","Harga belum tersedia - hubungi konsultan TEG",IF(M772=2,"Saat ini tidak menerima pendaftaran siswa internasional baru",IF(M772=1,"Harga perlu dikonfirmasi ke sekolah"&amp;IF(""="","","; "&amp;""),"")))</f>
        <v/>
      </c>
      <c r="J772" s="0" t="s">
        <v>4031</v>
      </c>
      <c r="K772" s="0" t="n">
        <f aca="false">IF(M772=2,"",IF(ISNUMBER(SEARCH("rata-rata:",'Offshore - Melbourne'!N414)),VALUE(MID('Offshore - Melbourne'!N414,SEARCH("rata-rata:",'Offshore - Melbourne'!N414)+11,FIND(";",'Offshore - Melbourne'!N414&amp;";",SEARCH("rata-rata:",'Offshore - Melbourne'!N414))-SEARCH("rata-rata:",'Offshore - Melbourne'!N414)-11)),IF('Offshore - Melbourne'!D414="Semester",'Offshore - Melbourne'!E414*2,IF('Offshore - Melbourne'!D414="Trimester",'Offshore - Melbourne'!E414*3,IF('Offshore - Melbourne'!D414="Term",'Offshore - Melbourne'!E414*4,IF('Offshore - Melbourne'!D414="Unit",'Offshore - Melbourne'!E414*8,""))))))</f>
        <v>10000</v>
      </c>
      <c r="L772" s="0" t="n">
        <f aca="false">IF(AND(ISNUMBER('Offshore - Melbourne'!E414),ISNUMBER(K772),ISNUMBER('Offshore - Melbourne'!F414),ISNUMBER('Offshore - Melbourne'!G414),OR('Offshore - Melbourne'!F414&lt;&gt;0,ISNUMBER(SEARCH("Material 0 terverifikasi",'Offshore - Melbourne'!N414))),OR('Offshore - Melbourne'!G414&lt;&gt;0,ISNUMBER(SEARCH("Enrolment 0 terverifikasi",'Offshore - Melbourne'!N414)))),1,0)</f>
        <v>1</v>
      </c>
      <c r="M772" s="0" t="n">
        <f aca="false">IF(OR('Offshore - Melbourne'!E414="",ISNUMBER(SEARCH("BSB80120",'Offshore - Melbourne'!B414&amp;'Offshore - Melbourne'!N414)),ISNUMBER(SEARCH("Management (Learning)",'Offshore - Melbourne'!B414))),2,IF(ISNUMBER(SEARCH("CEK:",'Offshore - Melbourne'!N414)),1,0))</f>
        <v>0</v>
      </c>
    </row>
    <row r="773" customFormat="false" ht="28.35" hidden="false" customHeight="false" outlineLevel="0" collapsed="false">
      <c r="A773" s="63" t="s">
        <v>3544</v>
      </c>
      <c r="B773" s="64" t="s">
        <v>3990</v>
      </c>
      <c r="C773" s="63" t="s">
        <v>39</v>
      </c>
      <c r="D773" s="64" t="str">
        <f aca="false">TRIM(LEFT('Offshore - Melbourne'!A398,FIND(CHAR(10),'Offshore - Melbourne'!A398&amp;CHAR(10))-1))</f>
        <v>Signet Institute of Australia</v>
      </c>
      <c r="E773" s="63" t="str">
        <f aca="false">'Offshore - Melbourne'!C398&amp;""</f>
        <v>2 years</v>
      </c>
      <c r="F773" s="63" t="str">
        <f aca="false">IF('Offshore - Melbourne'!D398="","Belum tercatat",'Offshore - Melbourne'!D398)</f>
        <v>Term</v>
      </c>
      <c r="G773" s="65" t="n">
        <f aca="false">IF('Offshore - Melbourne'!E398="","-",'Offshore - Melbourne'!E398)</f>
        <v>3650</v>
      </c>
      <c r="H773" s="63" t="n">
        <f aca="false">IF(ISNUMBER(K773),COUNTIFS($J$6:$J$1854,J773,$K$6:$K$1854,"&lt;"&amp;K773)+1,"-")</f>
        <v>7</v>
      </c>
      <c r="I773" s="64" t="str">
        <f aca="false">IF('Offshore - Melbourne'!E398="","Harga belum tersedia - hubungi konsultan TEG",IF(M773=2,"Saat ini tidak menerima pendaftaran siswa internasional baru",IF(M773=1,"Harga perlu dikonfirmasi ke sekolah"&amp;IF(""="","","; "&amp;""),"")))</f>
        <v/>
      </c>
      <c r="J773" s="0" t="s">
        <v>4031</v>
      </c>
      <c r="K773" s="0" t="n">
        <f aca="false">IF(M773=2,"",IF(ISNUMBER(SEARCH("rata-rata:",'Offshore - Melbourne'!N398)),VALUE(MID('Offshore - Melbourne'!N398,SEARCH("rata-rata:",'Offshore - Melbourne'!N398)+11,FIND(";",'Offshore - Melbourne'!N398&amp;";",SEARCH("rata-rata:",'Offshore - Melbourne'!N398))-SEARCH("rata-rata:",'Offshore - Melbourne'!N398)-11)),IF('Offshore - Melbourne'!D398="Semester",'Offshore - Melbourne'!E398*2,IF('Offshore - Melbourne'!D398="Trimester",'Offshore - Melbourne'!E398*3,IF('Offshore - Melbourne'!D398="Term",'Offshore - Melbourne'!E398*4,IF('Offshore - Melbourne'!D398="Unit",'Offshore - Melbourne'!E398*8,""))))))</f>
        <v>14600</v>
      </c>
      <c r="L773" s="0" t="n">
        <f aca="false">IF(AND(ISNUMBER('Offshore - Melbourne'!E398),ISNUMBER(K773),ISNUMBER('Offshore - Melbourne'!F398),ISNUMBER('Offshore - Melbourne'!G398),OR('Offshore - Melbourne'!F398&lt;&gt;0,ISNUMBER(SEARCH("Material 0 terverifikasi",'Offshore - Melbourne'!N398))),OR('Offshore - Melbourne'!G398&lt;&gt;0,ISNUMBER(SEARCH("Enrolment 0 terverifikasi",'Offshore - Melbourne'!N398)))),1,0)</f>
        <v>1</v>
      </c>
      <c r="M773" s="0" t="n">
        <f aca="false">IF(OR('Offshore - Melbourne'!E398="",ISNUMBER(SEARCH("BSB80120",'Offshore - Melbourne'!B398&amp;'Offshore - Melbourne'!N398)),ISNUMBER(SEARCH("Management (Learning)",'Offshore - Melbourne'!B398))),2,IF(ISNUMBER(SEARCH("CEK:",'Offshore - Melbourne'!N398)),1,0))</f>
        <v>0</v>
      </c>
    </row>
    <row r="774" customFormat="false" ht="15" hidden="false" customHeight="false" outlineLevel="0" collapsed="false">
      <c r="A774" s="61" t="s">
        <v>4032</v>
      </c>
      <c r="B774" s="62"/>
      <c r="C774" s="62"/>
      <c r="D774" s="62"/>
      <c r="E774" s="62"/>
      <c r="F774" s="62"/>
      <c r="G774" s="62"/>
      <c r="H774" s="62"/>
      <c r="I774" s="62"/>
    </row>
    <row r="775" customFormat="false" ht="28.35" hidden="false" customHeight="false" outlineLevel="0" collapsed="false">
      <c r="A775" s="63" t="s">
        <v>3544</v>
      </c>
      <c r="B775" s="64" t="s">
        <v>3990</v>
      </c>
      <c r="C775" s="63" t="s">
        <v>40</v>
      </c>
      <c r="D775" s="64" t="str">
        <f aca="false">TRIM(LEFT('Offshore - Melbourne'!A257,FIND(CHAR(10),'Offshore - Melbourne'!A257&amp;CHAR(10))-1))</f>
        <v>Everthought College of Construction</v>
      </c>
      <c r="E775" s="63" t="str">
        <f aca="false">'Offshore - Melbourne'!C260&amp;""</f>
        <v>2,5 years</v>
      </c>
      <c r="F775" s="63" t="str">
        <f aca="false">IF('Offshore - Melbourne'!D260="","Belum tercatat",'Offshore - Melbourne'!D260)</f>
        <v>Term</v>
      </c>
      <c r="G775" s="65" t="n">
        <f aca="false">IF('Offshore - Melbourne'!E260="","-",'Offshore - Melbourne'!E260)</f>
        <v>2083</v>
      </c>
      <c r="H775" s="63" t="n">
        <f aca="false">IF(ISNUMBER(K775),COUNTIFS($J$6:$J$1854,J775,$K$6:$K$1854,"&lt;"&amp;K775)+1,"-")</f>
        <v>1</v>
      </c>
      <c r="I775" s="64" t="str">
        <f aca="false">IF('Offshore - Melbourne'!E260="","Harga belum tersedia - hubungi konsultan TEG",IF(M775=2,"Saat ini tidak menerima pendaftaran siswa internasional baru",IF(M775=1,"Harga perlu dikonfirmasi ke sekolah"&amp;IF(""="","","; "&amp;""),"")))</f>
        <v/>
      </c>
      <c r="J775" s="0" t="s">
        <v>4033</v>
      </c>
      <c r="K775" s="0" t="n">
        <f aca="false">IF(M775=2,"",IF(ISNUMBER(SEARCH("rata-rata:",'Offshore - Melbourne'!N260)),VALUE(MID('Offshore - Melbourne'!N260,SEARCH("rata-rata:",'Offshore - Melbourne'!N260)+11,FIND(";",'Offshore - Melbourne'!N260&amp;";",SEARCH("rata-rata:",'Offshore - Melbourne'!N260))-SEARCH("rata-rata:",'Offshore - Melbourne'!N260)-11)),IF('Offshore - Melbourne'!D260="Semester",'Offshore - Melbourne'!E260*2,IF('Offshore - Melbourne'!D260="Trimester",'Offshore - Melbourne'!E260*3,IF('Offshore - Melbourne'!D260="Term",'Offshore - Melbourne'!E260*4,IF('Offshore - Melbourne'!D260="Unit",'Offshore - Melbourne'!E260*8,""))))))</f>
        <v>8332</v>
      </c>
      <c r="L775" s="0" t="n">
        <f aca="false">IF(AND(ISNUMBER('Offshore - Melbourne'!E260),ISNUMBER(K775),ISNUMBER('Offshore - Melbourne'!F260),ISNUMBER('Offshore - Melbourne'!G260),OR('Offshore - Melbourne'!F260&lt;&gt;0,ISNUMBER(SEARCH("Material 0 terverifikasi",'Offshore - Melbourne'!N260))),OR('Offshore - Melbourne'!G260&lt;&gt;0,ISNUMBER(SEARCH("Enrolment 0 terverifikasi",'Offshore - Melbourne'!N260)))),1,0)</f>
        <v>1</v>
      </c>
      <c r="M775" s="0" t="n">
        <f aca="false">IF(OR('Offshore - Melbourne'!E260="",ISNUMBER(SEARCH("BSB80120",'Offshore - Melbourne'!B260&amp;'Offshore - Melbourne'!N260)),ISNUMBER(SEARCH("Management (Learning)",'Offshore - Melbourne'!B260))),2,IF(ISNUMBER(SEARCH("CEK:",'Offshore - Melbourne'!N260)),1,0))</f>
        <v>0</v>
      </c>
    </row>
    <row r="776" customFormat="false" ht="28.35" hidden="false" customHeight="false" outlineLevel="0" collapsed="false">
      <c r="A776" s="63" t="s">
        <v>3544</v>
      </c>
      <c r="B776" s="64" t="s">
        <v>3990</v>
      </c>
      <c r="C776" s="63" t="s">
        <v>40</v>
      </c>
      <c r="D776" s="64" t="str">
        <f aca="false">TRIM(LEFT('Offshore - Melbourne'!A543,FIND(CHAR(10),'Offshore - Melbourne'!A543&amp;CHAR(10))-1))</f>
        <v>TR4INRIGHT</v>
      </c>
      <c r="E776" s="63" t="str">
        <f aca="false">'Offshore - Melbourne'!C543&amp;""</f>
        <v>2 years</v>
      </c>
      <c r="F776" s="63" t="str">
        <f aca="false">IF('Offshore - Melbourne'!D543="","Belum tercatat",'Offshore - Melbourne'!D543)</f>
        <v>Term</v>
      </c>
      <c r="G776" s="65" t="n">
        <f aca="false">IF('Offshore - Melbourne'!E543="","-",'Offshore - Melbourne'!E543)</f>
        <v>2250</v>
      </c>
      <c r="H776" s="63" t="n">
        <f aca="false">IF(ISNUMBER(K776),COUNTIFS($J$6:$J$1854,J776,$K$6:$K$1854,"&lt;"&amp;K776)+1,"-")</f>
        <v>2</v>
      </c>
      <c r="I776" s="64" t="str">
        <f aca="false">IF('Offshore - Melbourne'!E543="","Harga belum tersedia - hubungi konsultan TEG",IF(M776=2,"Saat ini tidak menerima pendaftaran siswa internasional baru",IF(M776=1,"Harga perlu dikonfirmasi ke sekolah"&amp;IF(""="","","; "&amp;""),"")))</f>
        <v/>
      </c>
      <c r="J776" s="0" t="s">
        <v>4033</v>
      </c>
      <c r="K776" s="0" t="n">
        <f aca="false">IF(M776=2,"",IF(ISNUMBER(SEARCH("rata-rata:",'Offshore - Melbourne'!N543)),VALUE(MID('Offshore - Melbourne'!N543,SEARCH("rata-rata:",'Offshore - Melbourne'!N543)+11,FIND(";",'Offshore - Melbourne'!N543&amp;";",SEARCH("rata-rata:",'Offshore - Melbourne'!N543))-SEARCH("rata-rata:",'Offshore - Melbourne'!N543)-11)),IF('Offshore - Melbourne'!D543="Semester",'Offshore - Melbourne'!E543*2,IF('Offshore - Melbourne'!D543="Trimester",'Offshore - Melbourne'!E543*3,IF('Offshore - Melbourne'!D543="Term",'Offshore - Melbourne'!E543*4,IF('Offshore - Melbourne'!D543="Unit",'Offshore - Melbourne'!E543*8,""))))))</f>
        <v>9000</v>
      </c>
      <c r="L776" s="0" t="n">
        <f aca="false">IF(AND(ISNUMBER('Offshore - Melbourne'!E543),ISNUMBER(K776),ISNUMBER('Offshore - Melbourne'!F543),ISNUMBER('Offshore - Melbourne'!G543),OR('Offshore - Melbourne'!F543&lt;&gt;0,ISNUMBER(SEARCH("Material 0 terverifikasi",'Offshore - Melbourne'!N543))),OR('Offshore - Melbourne'!G543&lt;&gt;0,ISNUMBER(SEARCH("Enrolment 0 terverifikasi",'Offshore - Melbourne'!N543)))),1,0)</f>
        <v>1</v>
      </c>
      <c r="M776" s="0" t="n">
        <f aca="false">IF(OR('Offshore - Melbourne'!E543="",ISNUMBER(SEARCH("BSB80120",'Offshore - Melbourne'!B543&amp;'Offshore - Melbourne'!N543)),ISNUMBER(SEARCH("Management (Learning)",'Offshore - Melbourne'!B543))),2,IF(ISNUMBER(SEARCH("CEK:",'Offshore - Melbourne'!N543)),1,0))</f>
        <v>0</v>
      </c>
    </row>
    <row r="777" customFormat="false" ht="15" hidden="false" customHeight="false" outlineLevel="0" collapsed="false">
      <c r="A777" s="61" t="s">
        <v>4034</v>
      </c>
      <c r="B777" s="62"/>
      <c r="C777" s="62"/>
      <c r="D777" s="62"/>
      <c r="E777" s="62"/>
      <c r="F777" s="62"/>
      <c r="G777" s="62"/>
      <c r="H777" s="62"/>
      <c r="I777" s="62"/>
    </row>
    <row r="778" customFormat="false" ht="28.35" hidden="false" customHeight="false" outlineLevel="0" collapsed="false">
      <c r="A778" s="63" t="s">
        <v>3544</v>
      </c>
      <c r="B778" s="64" t="s">
        <v>3990</v>
      </c>
      <c r="C778" s="63" t="s">
        <v>41</v>
      </c>
      <c r="D778" s="64" t="str">
        <f aca="false">TRIM(LEFT('Offshore - Melbourne'!A257,FIND(CHAR(10),'Offshore - Melbourne'!A257&amp;CHAR(10))-1))</f>
        <v>Everthought College of Construction</v>
      </c>
      <c r="E778" s="63" t="str">
        <f aca="false">'Offshore - Melbourne'!C262&amp;""</f>
        <v>2,5 years</v>
      </c>
      <c r="F778" s="63" t="str">
        <f aca="false">IF('Offshore - Melbourne'!D262="","Belum tercatat",'Offshore - Melbourne'!D262)</f>
        <v>Term</v>
      </c>
      <c r="G778" s="65" t="n">
        <f aca="false">IF('Offshore - Melbourne'!E262="","-",'Offshore - Melbourne'!E262)</f>
        <v>2083</v>
      </c>
      <c r="H778" s="63" t="n">
        <f aca="false">IF(ISNUMBER(K778),COUNTIFS($J$6:$J$1854,J778,$K$6:$K$1854,"&lt;"&amp;K778)+1,"-")</f>
        <v>1</v>
      </c>
      <c r="I778" s="64" t="str">
        <f aca="false">IF('Offshore - Melbourne'!E262="","Harga belum tersedia - hubungi konsultan TEG",IF(M778=2,"Saat ini tidak menerima pendaftaran siswa internasional baru",IF(M778=1,"Harga perlu dikonfirmasi ke sekolah"&amp;IF(""="","","; "&amp;""),"")))</f>
        <v/>
      </c>
      <c r="J778" s="0" t="s">
        <v>4035</v>
      </c>
      <c r="K778" s="0" t="n">
        <f aca="false">IF(M778=2,"",IF(ISNUMBER(SEARCH("rata-rata:",'Offshore - Melbourne'!N262)),VALUE(MID('Offshore - Melbourne'!N262,SEARCH("rata-rata:",'Offshore - Melbourne'!N262)+11,FIND(";",'Offshore - Melbourne'!N262&amp;";",SEARCH("rata-rata:",'Offshore - Melbourne'!N262))-SEARCH("rata-rata:",'Offshore - Melbourne'!N262)-11)),IF('Offshore - Melbourne'!D262="Semester",'Offshore - Melbourne'!E262*2,IF('Offshore - Melbourne'!D262="Trimester",'Offshore - Melbourne'!E262*3,IF('Offshore - Melbourne'!D262="Term",'Offshore - Melbourne'!E262*4,IF('Offshore - Melbourne'!D262="Unit",'Offshore - Melbourne'!E262*8,""))))))</f>
        <v>8332</v>
      </c>
      <c r="L778" s="0" t="n">
        <f aca="false">IF(AND(ISNUMBER('Offshore - Melbourne'!E262),ISNUMBER(K778),ISNUMBER('Offshore - Melbourne'!F262),ISNUMBER('Offshore - Melbourne'!G262),OR('Offshore - Melbourne'!F262&lt;&gt;0,ISNUMBER(SEARCH("Material 0 terverifikasi",'Offshore - Melbourne'!N262))),OR('Offshore - Melbourne'!G262&lt;&gt;0,ISNUMBER(SEARCH("Enrolment 0 terverifikasi",'Offshore - Melbourne'!N262)))),1,0)</f>
        <v>1</v>
      </c>
      <c r="M778" s="0" t="n">
        <f aca="false">IF(OR('Offshore - Melbourne'!E262="",ISNUMBER(SEARCH("BSB80120",'Offshore - Melbourne'!B262&amp;'Offshore - Melbourne'!N262)),ISNUMBER(SEARCH("Management (Learning)",'Offshore - Melbourne'!B262))),2,IF(ISNUMBER(SEARCH("CEK:",'Offshore - Melbourne'!N262)),1,0))</f>
        <v>0</v>
      </c>
    </row>
    <row r="779" customFormat="false" ht="28.35" hidden="false" customHeight="false" outlineLevel="0" collapsed="false">
      <c r="A779" s="63" t="s">
        <v>3544</v>
      </c>
      <c r="B779" s="64" t="s">
        <v>3990</v>
      </c>
      <c r="C779" s="63" t="s">
        <v>41</v>
      </c>
      <c r="D779" s="64" t="str">
        <f aca="false">TRIM(LEFT('Offshore - Melbourne'!A543,FIND(CHAR(10),'Offshore - Melbourne'!A543&amp;CHAR(10))-1))</f>
        <v>TR4INRIGHT</v>
      </c>
      <c r="E779" s="63" t="str">
        <f aca="false">'Offshore - Melbourne'!C544&amp;""</f>
        <v>2,5 years</v>
      </c>
      <c r="F779" s="63" t="str">
        <f aca="false">IF('Offshore - Melbourne'!D544="","Belum tercatat",'Offshore - Melbourne'!D544)</f>
        <v>Term</v>
      </c>
      <c r="G779" s="65" t="n">
        <f aca="false">IF('Offshore - Melbourne'!E544="","-",'Offshore - Melbourne'!E544)</f>
        <v>2200</v>
      </c>
      <c r="H779" s="63" t="n">
        <f aca="false">IF(ISNUMBER(K779),COUNTIFS($J$6:$J$1854,J779,$K$6:$K$1854,"&lt;"&amp;K779)+1,"-")</f>
        <v>2</v>
      </c>
      <c r="I779" s="64" t="str">
        <f aca="false">IF('Offshore - Melbourne'!E544="","Harga belum tersedia - hubungi konsultan TEG",IF(M779=2,"Saat ini tidak menerima pendaftaran siswa internasional baru",IF(M779=1,"Harga perlu dikonfirmasi ke sekolah"&amp;IF(""="","","; "&amp;""),"")))</f>
        <v/>
      </c>
      <c r="J779" s="0" t="s">
        <v>4035</v>
      </c>
      <c r="K779" s="0" t="n">
        <f aca="false">IF(M779=2,"",IF(ISNUMBER(SEARCH("rata-rata:",'Offshore - Melbourne'!N544)),VALUE(MID('Offshore - Melbourne'!N544,SEARCH("rata-rata:",'Offshore - Melbourne'!N544)+11,FIND(";",'Offshore - Melbourne'!N544&amp;";",SEARCH("rata-rata:",'Offshore - Melbourne'!N544))-SEARCH("rata-rata:",'Offshore - Melbourne'!N544)-11)),IF('Offshore - Melbourne'!D544="Semester",'Offshore - Melbourne'!E544*2,IF('Offshore - Melbourne'!D544="Trimester",'Offshore - Melbourne'!E544*3,IF('Offshore - Melbourne'!D544="Term",'Offshore - Melbourne'!E544*4,IF('Offshore - Melbourne'!D544="Unit",'Offshore - Melbourne'!E544*8,""))))))</f>
        <v>8800</v>
      </c>
      <c r="L779" s="0" t="n">
        <f aca="false">IF(AND(ISNUMBER('Offshore - Melbourne'!E544),ISNUMBER(K779),ISNUMBER('Offshore - Melbourne'!F544),ISNUMBER('Offshore - Melbourne'!G544),OR('Offshore - Melbourne'!F544&lt;&gt;0,ISNUMBER(SEARCH("Material 0 terverifikasi",'Offshore - Melbourne'!N544))),OR('Offshore - Melbourne'!G544&lt;&gt;0,ISNUMBER(SEARCH("Enrolment 0 terverifikasi",'Offshore - Melbourne'!N544)))),1,0)</f>
        <v>1</v>
      </c>
      <c r="M779" s="0" t="n">
        <f aca="false">IF(OR('Offshore - Melbourne'!E544="",ISNUMBER(SEARCH("BSB80120",'Offshore - Melbourne'!B544&amp;'Offshore - Melbourne'!N544)),ISNUMBER(SEARCH("Management (Learning)",'Offshore - Melbourne'!B544))),2,IF(ISNUMBER(SEARCH("CEK:",'Offshore - Melbourne'!N544)),1,0))</f>
        <v>0</v>
      </c>
    </row>
    <row r="780" customFormat="false" ht="28.35" hidden="false" customHeight="false" outlineLevel="0" collapsed="false">
      <c r="A780" s="63" t="s">
        <v>3544</v>
      </c>
      <c r="B780" s="64" t="s">
        <v>3990</v>
      </c>
      <c r="C780" s="63" t="s">
        <v>41</v>
      </c>
      <c r="D780" s="64" t="str">
        <f aca="false">TRIM(LEFT('Offshore - Melbourne'!A552,FIND(CHAR(10),'Offshore - Melbourne'!A552&amp;CHAR(10))-1))</f>
        <v>Wattle College</v>
      </c>
      <c r="E780" s="63" t="str">
        <f aca="false">'Offshore - Melbourne'!C555&amp;""</f>
        <v>2,5 years</v>
      </c>
      <c r="F780" s="63" t="str">
        <f aca="false">IF('Offshore - Melbourne'!D555="","Belum tercatat",'Offshore - Melbourne'!D555)</f>
        <v>Term</v>
      </c>
      <c r="G780" s="65" t="n">
        <f aca="false">IF('Offshore - Melbourne'!E555="","-",'Offshore - Melbourne'!E555)</f>
        <v>2300</v>
      </c>
      <c r="H780" s="63" t="n">
        <f aca="false">IF(ISNUMBER(K780),COUNTIFS($J$6:$J$1854,J780,$K$6:$K$1854,"&lt;"&amp;K780)+1,"-")</f>
        <v>3</v>
      </c>
      <c r="I780" s="64" t="str">
        <f aca="false">IF('Offshore - Melbourne'!E555="","Harga belum tersedia - hubungi konsultan TEG",IF(M780=2,"Saat ini tidak menerima pendaftaran siswa internasional baru",IF(M780=1,"Harga perlu dikonfirmasi ke sekolah"&amp;IF(""="","","; "&amp;""),"")))</f>
        <v/>
      </c>
      <c r="J780" s="0" t="s">
        <v>4035</v>
      </c>
      <c r="K780" s="0" t="n">
        <f aca="false">IF(M780=2,"",IF(ISNUMBER(SEARCH("rata-rata:",'Offshore - Melbourne'!N555)),VALUE(MID('Offshore - Melbourne'!N555,SEARCH("rata-rata:",'Offshore - Melbourne'!N555)+11,FIND(";",'Offshore - Melbourne'!N555&amp;";",SEARCH("rata-rata:",'Offshore - Melbourne'!N555))-SEARCH("rata-rata:",'Offshore - Melbourne'!N555)-11)),IF('Offshore - Melbourne'!D555="Semester",'Offshore - Melbourne'!E555*2,IF('Offshore - Melbourne'!D555="Trimester",'Offshore - Melbourne'!E555*3,IF('Offshore - Melbourne'!D555="Term",'Offshore - Melbourne'!E555*4,IF('Offshore - Melbourne'!D555="Unit",'Offshore - Melbourne'!E555*8,""))))))</f>
        <v>9200</v>
      </c>
      <c r="L780" s="0" t="n">
        <f aca="false">IF(AND(ISNUMBER('Offshore - Melbourne'!E555),ISNUMBER(K780),ISNUMBER('Offshore - Melbourne'!F555),ISNUMBER('Offshore - Melbourne'!G555),OR('Offshore - Melbourne'!F555&lt;&gt;0,ISNUMBER(SEARCH("Material 0 terverifikasi",'Offshore - Melbourne'!N555))),OR('Offshore - Melbourne'!G555&lt;&gt;0,ISNUMBER(SEARCH("Enrolment 0 terverifikasi",'Offshore - Melbourne'!N555)))),1,0)</f>
        <v>1</v>
      </c>
      <c r="M780" s="0" t="n">
        <f aca="false">IF(OR('Offshore - Melbourne'!E555="",ISNUMBER(SEARCH("BSB80120",'Offshore - Melbourne'!B555&amp;'Offshore - Melbourne'!N555)),ISNUMBER(SEARCH("Management (Learning)",'Offshore - Melbourne'!B555))),2,IF(ISNUMBER(SEARCH("CEK:",'Offshore - Melbourne'!N555)),1,0))</f>
        <v>0</v>
      </c>
    </row>
    <row r="781" customFormat="false" ht="28.35" hidden="false" customHeight="false" outlineLevel="0" collapsed="false">
      <c r="A781" s="63" t="s">
        <v>3544</v>
      </c>
      <c r="B781" s="64" t="s">
        <v>3990</v>
      </c>
      <c r="C781" s="63" t="s">
        <v>41</v>
      </c>
      <c r="D781" s="64" t="str">
        <f aca="false">TRIM(LEFT('Offshore - Melbourne'!A65,FIND(CHAR(10),'Offshore - Melbourne'!A65&amp;CHAR(10))-1))</f>
        <v>ALTEC College</v>
      </c>
      <c r="E781" s="63" t="str">
        <f aca="false">'Offshore - Melbourne'!C70&amp;""</f>
        <v>3,5 years</v>
      </c>
      <c r="F781" s="63" t="str">
        <f aca="false">IF('Offshore - Melbourne'!D70="","Belum tercatat",'Offshore - Melbourne'!D70)</f>
        <v>Term</v>
      </c>
      <c r="G781" s="65" t="n">
        <f aca="false">IF('Offshore - Melbourne'!E70="","-",'Offshore - Melbourne'!E70)</f>
        <v>2500</v>
      </c>
      <c r="H781" s="63" t="n">
        <f aca="false">IF(ISNUMBER(K781),COUNTIFS($J$6:$J$1854,J781,$K$6:$K$1854,"&lt;"&amp;K781)+1,"-")</f>
        <v>4</v>
      </c>
      <c r="I781" s="64" t="str">
        <f aca="false">IF('Offshore - Melbourne'!E70="","Harga belum tersedia - hubungi konsultan TEG",IF(M781=2,"Saat ini tidak menerima pendaftaran siswa internasional baru",IF(M781=1,"Harga perlu dikonfirmasi ke sekolah"&amp;IF(""="","","; "&amp;""),"")))</f>
        <v/>
      </c>
      <c r="J781" s="0" t="s">
        <v>4035</v>
      </c>
      <c r="K781" s="0" t="n">
        <f aca="false">IF(M781=2,"",IF(ISNUMBER(SEARCH("rata-rata:",'Offshore - Melbourne'!N70)),VALUE(MID('Offshore - Melbourne'!N70,SEARCH("rata-rata:",'Offshore - Melbourne'!N70)+11,FIND(";",'Offshore - Melbourne'!N70&amp;";",SEARCH("rata-rata:",'Offshore - Melbourne'!N70))-SEARCH("rata-rata:",'Offshore - Melbourne'!N70)-11)),IF('Offshore - Melbourne'!D70="Semester",'Offshore - Melbourne'!E70*2,IF('Offshore - Melbourne'!D70="Trimester",'Offshore - Melbourne'!E70*3,IF('Offshore - Melbourne'!D70="Term",'Offshore - Melbourne'!E70*4,IF('Offshore - Melbourne'!D70="Unit",'Offshore - Melbourne'!E70*8,""))))))</f>
        <v>10000</v>
      </c>
      <c r="L781" s="0" t="n">
        <f aca="false">IF(AND(ISNUMBER('Offshore - Melbourne'!E70),ISNUMBER(K781),ISNUMBER('Offshore - Melbourne'!F70),ISNUMBER('Offshore - Melbourne'!G70),OR('Offshore - Melbourne'!F70&lt;&gt;0,ISNUMBER(SEARCH("Material 0 terverifikasi",'Offshore - Melbourne'!N70))),OR('Offshore - Melbourne'!G70&lt;&gt;0,ISNUMBER(SEARCH("Enrolment 0 terverifikasi",'Offshore - Melbourne'!N70)))),1,0)</f>
        <v>1</v>
      </c>
      <c r="M781" s="0" t="n">
        <f aca="false">IF(OR('Offshore - Melbourne'!E70="",ISNUMBER(SEARCH("BSB80120",'Offshore - Melbourne'!B70&amp;'Offshore - Melbourne'!N70)),ISNUMBER(SEARCH("Management (Learning)",'Offshore - Melbourne'!B70))),2,IF(ISNUMBER(SEARCH("CEK:",'Offshore - Melbourne'!N70)),1,0))</f>
        <v>0</v>
      </c>
    </row>
    <row r="782" customFormat="false" ht="28.35" hidden="false" customHeight="false" outlineLevel="0" collapsed="false">
      <c r="A782" s="63" t="s">
        <v>3544</v>
      </c>
      <c r="B782" s="64" t="s">
        <v>3990</v>
      </c>
      <c r="C782" s="63" t="s">
        <v>41</v>
      </c>
      <c r="D782" s="64" t="str">
        <f aca="false">TRIM(LEFT('Offshore - Melbourne'!A389,FIND(CHAR(10),'Offshore - Melbourne'!A389&amp;CHAR(10))-1))</f>
        <v>Sacred Heart International College (SHIC)</v>
      </c>
      <c r="E782" s="63" t="str">
        <f aca="false">'Offshore - Melbourne'!C393&amp;""</f>
        <v>2,5 years</v>
      </c>
      <c r="F782" s="63" t="str">
        <f aca="false">IF('Offshore - Melbourne'!D393="","Belum tercatat",'Offshore - Melbourne'!D393)</f>
        <v>Term</v>
      </c>
      <c r="G782" s="65" t="n">
        <f aca="false">IF('Offshore - Melbourne'!E393="","-",'Offshore - Melbourne'!E393)</f>
        <v>2500</v>
      </c>
      <c r="H782" s="63" t="n">
        <f aca="false">IF(ISNUMBER(K782),COUNTIFS($J$6:$J$1854,J782,$K$6:$K$1854,"&lt;"&amp;K782)+1,"-")</f>
        <v>4</v>
      </c>
      <c r="I782" s="64" t="str">
        <f aca="false">IF('Offshore - Melbourne'!E393="","Harga belum tersedia - hubungi konsultan TEG",IF(M782=2,"Saat ini tidak menerima pendaftaran siswa internasional baru",IF(M782=1,"Harga promo sudah berakhir - konfirmasi harga terbaru"&amp;IF(""="","","; "&amp;""),"")))</f>
        <v>Harga promo sudah berakhir - konfirmasi harga terbaru</v>
      </c>
      <c r="J782" s="0" t="s">
        <v>4035</v>
      </c>
      <c r="K782" s="0" t="n">
        <f aca="false">IF(M782=2,"",IF(ISNUMBER(SEARCH("rata-rata:",'Offshore - Melbourne'!N393)),VALUE(MID('Offshore - Melbourne'!N393,SEARCH("rata-rata:",'Offshore - Melbourne'!N393)+11,FIND(";",'Offshore - Melbourne'!N393&amp;";",SEARCH("rata-rata:",'Offshore - Melbourne'!N393))-SEARCH("rata-rata:",'Offshore - Melbourne'!N393)-11)),IF('Offshore - Melbourne'!D393="Semester",'Offshore - Melbourne'!E393*2,IF('Offshore - Melbourne'!D393="Trimester",'Offshore - Melbourne'!E393*3,IF('Offshore - Melbourne'!D393="Term",'Offshore - Melbourne'!E393*4,IF('Offshore - Melbourne'!D393="Unit",'Offshore - Melbourne'!E393*8,""))))))</f>
        <v>10000</v>
      </c>
      <c r="L782" s="0" t="n">
        <f aca="false">IF(AND(ISNUMBER('Offshore - Melbourne'!E393),ISNUMBER(K782),ISNUMBER('Offshore - Melbourne'!F393),ISNUMBER('Offshore - Melbourne'!G393),OR('Offshore - Melbourne'!F393&lt;&gt;0,ISNUMBER(SEARCH("Material 0 terverifikasi",'Offshore - Melbourne'!N393))),OR('Offshore - Melbourne'!G393&lt;&gt;0,ISNUMBER(SEARCH("Enrolment 0 terverifikasi",'Offshore - Melbourne'!N393)))),1,0)</f>
        <v>1</v>
      </c>
      <c r="M782" s="0" t="n">
        <f aca="false">IF(OR('Offshore - Melbourne'!E393="",ISNUMBER(SEARCH("BSB80120",'Offshore - Melbourne'!B393&amp;'Offshore - Melbourne'!N393)),ISNUMBER(SEARCH("Management (Learning)",'Offshore - Melbourne'!B393))),2,IF(ISNUMBER(SEARCH("CEK:",'Offshore - Melbourne'!N393)),1,0))</f>
        <v>1</v>
      </c>
    </row>
    <row r="783" customFormat="false" ht="28.35" hidden="false" customHeight="false" outlineLevel="0" collapsed="false">
      <c r="A783" s="63" t="s">
        <v>3544</v>
      </c>
      <c r="B783" s="64" t="s">
        <v>3990</v>
      </c>
      <c r="C783" s="63" t="s">
        <v>41</v>
      </c>
      <c r="D783" s="64" t="str">
        <f aca="false">TRIM(LEFT('Offshore - Melbourne'!A417,FIND(CHAR(10),'Offshore - Melbourne'!A417&amp;CHAR(10))-1))</f>
        <v>The Centre of Excellence</v>
      </c>
      <c r="E783" s="63" t="str">
        <f aca="false">'Offshore - Melbourne'!C423&amp;""</f>
        <v>3 years</v>
      </c>
      <c r="F783" s="63" t="str">
        <f aca="false">IF('Offshore - Melbourne'!D423="","Belum tercatat",'Offshore - Melbourne'!D423)</f>
        <v>Term</v>
      </c>
      <c r="G783" s="65" t="n">
        <f aca="false">IF('Offshore - Melbourne'!E423="","-",'Offshore - Melbourne'!E423)</f>
        <v>2915</v>
      </c>
      <c r="H783" s="63" t="n">
        <f aca="false">IF(ISNUMBER(K783),COUNTIFS($J$6:$J$1854,J783,$K$6:$K$1854,"&lt;"&amp;K783)+1,"-")</f>
        <v>6</v>
      </c>
      <c r="I783" s="64" t="str">
        <f aca="false">IF('Offshore - Melbourne'!E423="","Harga belum tersedia - hubungi konsultan TEG",IF(M783=2,"Saat ini tidak menerima pendaftaran siswa internasional baru",IF(M783=1,"Harga perlu dikonfirmasi ke sekolah"&amp;IF(""="","","; "&amp;""),"")))</f>
        <v/>
      </c>
      <c r="J783" s="0" t="s">
        <v>4035</v>
      </c>
      <c r="K783" s="0" t="n">
        <f aca="false">IF(M783=2,"",IF(ISNUMBER(SEARCH("rata-rata:",'Offshore - Melbourne'!N423)),VALUE(MID('Offshore - Melbourne'!N423,SEARCH("rata-rata:",'Offshore - Melbourne'!N423)+11,FIND(";",'Offshore - Melbourne'!N423&amp;";",SEARCH("rata-rata:",'Offshore - Melbourne'!N423))-SEARCH("rata-rata:",'Offshore - Melbourne'!N423)-11)),IF('Offshore - Melbourne'!D423="Semester",'Offshore - Melbourne'!E423*2,IF('Offshore - Melbourne'!D423="Trimester",'Offshore - Melbourne'!E423*3,IF('Offshore - Melbourne'!D423="Term",'Offshore - Melbourne'!E423*4,IF('Offshore - Melbourne'!D423="Unit",'Offshore - Melbourne'!E423*8,""))))))</f>
        <v>11660</v>
      </c>
      <c r="L783" s="0" t="n">
        <f aca="false">IF(AND(ISNUMBER('Offshore - Melbourne'!E423),ISNUMBER(K783),ISNUMBER('Offshore - Melbourne'!F423),ISNUMBER('Offshore - Melbourne'!G423),OR('Offshore - Melbourne'!F423&lt;&gt;0,ISNUMBER(SEARCH("Material 0 terverifikasi",'Offshore - Melbourne'!N423))),OR('Offshore - Melbourne'!G423&lt;&gt;0,ISNUMBER(SEARCH("Enrolment 0 terverifikasi",'Offshore - Melbourne'!N423)))),1,0)</f>
        <v>1</v>
      </c>
      <c r="M783" s="0" t="n">
        <f aca="false">IF(OR('Offshore - Melbourne'!E423="",ISNUMBER(SEARCH("BSB80120",'Offshore - Melbourne'!B423&amp;'Offshore - Melbourne'!N423)),ISNUMBER(SEARCH("Management (Learning)",'Offshore - Melbourne'!B423))),2,IF(ISNUMBER(SEARCH("CEK:",'Offshore - Melbourne'!N423)),1,0))</f>
        <v>0</v>
      </c>
    </row>
    <row r="784" customFormat="false" ht="28.35" hidden="false" customHeight="false" outlineLevel="0" collapsed="false">
      <c r="A784" s="63" t="s">
        <v>3544</v>
      </c>
      <c r="B784" s="64" t="s">
        <v>3990</v>
      </c>
      <c r="C784" s="63" t="s">
        <v>41</v>
      </c>
      <c r="D784" s="64" t="str">
        <f aca="false">TRIM(LEFT('Offshore - Melbourne'!A228,FIND(CHAR(10),'Offshore - Melbourne'!A228&amp;CHAR(10))-1))</f>
        <v>Baxter Institute</v>
      </c>
      <c r="E784" s="63" t="str">
        <f aca="false">'Offshore - Melbourne'!C230&amp;""</f>
        <v>3 years</v>
      </c>
      <c r="F784" s="63" t="str">
        <f aca="false">IF('Offshore - Melbourne'!D230="","Belum tercatat",'Offshore - Melbourne'!D230)</f>
        <v>Term</v>
      </c>
      <c r="G784" s="65" t="n">
        <f aca="false">IF('Offshore - Melbourne'!E230="","-",'Offshore - Melbourne'!E230)</f>
        <v>3000</v>
      </c>
      <c r="H784" s="63" t="n">
        <f aca="false">IF(ISNUMBER(K784),COUNTIFS($J$6:$J$1854,J784,$K$6:$K$1854,"&lt;"&amp;K784)+1,"-")</f>
        <v>7</v>
      </c>
      <c r="I784" s="64" t="str">
        <f aca="false">IF('Offshore - Melbourne'!E230="","Harga belum tersedia - hubungi konsultan TEG",IF(M784=2,"Saat ini tidak menerima pendaftaran siswa internasional baru",IF(M784=1,"Harga perlu dikonfirmasi ke sekolah"&amp;IF(""="","","; "&amp;""),"")))</f>
        <v/>
      </c>
      <c r="J784" s="0" t="s">
        <v>4035</v>
      </c>
      <c r="K784" s="0" t="n">
        <f aca="false">IF(M784=2,"",IF(ISNUMBER(SEARCH("rata-rata:",'Offshore - Melbourne'!N230)),VALUE(MID('Offshore - Melbourne'!N230,SEARCH("rata-rata:",'Offshore - Melbourne'!N230)+11,FIND(";",'Offshore - Melbourne'!N230&amp;";",SEARCH("rata-rata:",'Offshore - Melbourne'!N230))-SEARCH("rata-rata:",'Offshore - Melbourne'!N230)-11)),IF('Offshore - Melbourne'!D230="Semester",'Offshore - Melbourne'!E230*2,IF('Offshore - Melbourne'!D230="Trimester",'Offshore - Melbourne'!E230*3,IF('Offshore - Melbourne'!D230="Term",'Offshore - Melbourne'!E230*4,IF('Offshore - Melbourne'!D230="Unit",'Offshore - Melbourne'!E230*8,""))))))</f>
        <v>12000</v>
      </c>
      <c r="L784" s="0" t="n">
        <f aca="false">IF(AND(ISNUMBER('Offshore - Melbourne'!E230),ISNUMBER(K784),ISNUMBER('Offshore - Melbourne'!F230),ISNUMBER('Offshore - Melbourne'!G230),OR('Offshore - Melbourne'!F230&lt;&gt;0,ISNUMBER(SEARCH("Material 0 terverifikasi",'Offshore - Melbourne'!N230))),OR('Offshore - Melbourne'!G230&lt;&gt;0,ISNUMBER(SEARCH("Enrolment 0 terverifikasi",'Offshore - Melbourne'!N230)))),1,0)</f>
        <v>1</v>
      </c>
      <c r="M784" s="0" t="n">
        <f aca="false">IF(OR('Offshore - Melbourne'!E230="",ISNUMBER(SEARCH("BSB80120",'Offshore - Melbourne'!B230&amp;'Offshore - Melbourne'!N230)),ISNUMBER(SEARCH("Management (Learning)",'Offshore - Melbourne'!B230))),2,IF(ISNUMBER(SEARCH("CEK:",'Offshore - Melbourne'!N230)),1,0))</f>
        <v>0</v>
      </c>
    </row>
    <row r="785" customFormat="false" ht="28.35" hidden="false" customHeight="false" outlineLevel="0" collapsed="false">
      <c r="A785" s="63" t="s">
        <v>3544</v>
      </c>
      <c r="B785" s="64" t="s">
        <v>3990</v>
      </c>
      <c r="C785" s="63" t="s">
        <v>41</v>
      </c>
      <c r="D785" s="64" t="str">
        <f aca="false">TRIM(LEFT('Offshore - Melbourne'!A206,FIND(CHAR(10),'Offshore - Melbourne'!A206&amp;CHAR(10))-1))</f>
        <v>Australian Sovereign College (AuSC)</v>
      </c>
      <c r="E785" s="63" t="str">
        <f aca="false">'Offshore - Melbourne'!C213&amp;""</f>
        <v>2 years</v>
      </c>
      <c r="F785" s="63" t="str">
        <f aca="false">IF('Offshore - Melbourne'!D213="","Belum tercatat",'Offshore - Melbourne'!D213)</f>
        <v>Term</v>
      </c>
      <c r="G785" s="65" t="n">
        <f aca="false">IF('Offshore - Melbourne'!E213="","-",'Offshore - Melbourne'!E213)</f>
        <v>3750</v>
      </c>
      <c r="H785" s="63" t="n">
        <f aca="false">IF(ISNUMBER(K785),COUNTIFS($J$6:$J$1854,J785,$K$6:$K$1854,"&lt;"&amp;K785)+1,"-")</f>
        <v>8</v>
      </c>
      <c r="I785" s="64" t="str">
        <f aca="false">IF('Offshore - Melbourne'!E213="","Harga belum tersedia - hubungi konsultan TEG",IF(M785=2,"Saat ini tidak menerima pendaftaran siswa internasional baru",IF(M785=1,"Harga perlu dikonfirmasi ke sekolah"&amp;IF(""="","","; "&amp;""),"")))</f>
        <v/>
      </c>
      <c r="J785" s="0" t="s">
        <v>4035</v>
      </c>
      <c r="K785" s="0" t="n">
        <f aca="false">IF(M785=2,"",IF(ISNUMBER(SEARCH("rata-rata:",'Offshore - Melbourne'!N213)),VALUE(MID('Offshore - Melbourne'!N213,SEARCH("rata-rata:",'Offshore - Melbourne'!N213)+11,FIND(";",'Offshore - Melbourne'!N213&amp;";",SEARCH("rata-rata:",'Offshore - Melbourne'!N213))-SEARCH("rata-rata:",'Offshore - Melbourne'!N213)-11)),IF('Offshore - Melbourne'!D213="Semester",'Offshore - Melbourne'!E213*2,IF('Offshore - Melbourne'!D213="Trimester",'Offshore - Melbourne'!E213*3,IF('Offshore - Melbourne'!D213="Term",'Offshore - Melbourne'!E213*4,IF('Offshore - Melbourne'!D213="Unit",'Offshore - Melbourne'!E213*8,""))))))</f>
        <v>15000</v>
      </c>
      <c r="L785" s="0" t="n">
        <f aca="false">IF(AND(ISNUMBER('Offshore - Melbourne'!E213),ISNUMBER(K785),ISNUMBER('Offshore - Melbourne'!F213),ISNUMBER('Offshore - Melbourne'!G213),OR('Offshore - Melbourne'!F213&lt;&gt;0,ISNUMBER(SEARCH("Material 0 terverifikasi",'Offshore - Melbourne'!N213))),OR('Offshore - Melbourne'!G213&lt;&gt;0,ISNUMBER(SEARCH("Enrolment 0 terverifikasi",'Offshore - Melbourne'!N213)))),1,0)</f>
        <v>1</v>
      </c>
      <c r="M785" s="0" t="n">
        <f aca="false">IF(OR('Offshore - Melbourne'!E213="",ISNUMBER(SEARCH("BSB80120",'Offshore - Melbourne'!B213&amp;'Offshore - Melbourne'!N213)),ISNUMBER(SEARCH("Management (Learning)",'Offshore - Melbourne'!B213))),2,IF(ISNUMBER(SEARCH("CEK:",'Offshore - Melbourne'!N213)),1,0))</f>
        <v>0</v>
      </c>
    </row>
    <row r="786" customFormat="false" ht="28.35" hidden="false" customHeight="false" outlineLevel="0" collapsed="false">
      <c r="A786" s="63" t="s">
        <v>3544</v>
      </c>
      <c r="B786" s="64" t="s">
        <v>3990</v>
      </c>
      <c r="C786" s="63" t="s">
        <v>41</v>
      </c>
      <c r="D786" s="64" t="str">
        <f aca="false">TRIM(LEFT('Offshore - Melbourne'!A398,FIND(CHAR(10),'Offshore - Melbourne'!A398&amp;CHAR(10))-1))</f>
        <v>Signet Institute of Australia</v>
      </c>
      <c r="E786" s="63" t="str">
        <f aca="false">'Offshore - Melbourne'!C402&amp;""</f>
        <v>4 years</v>
      </c>
      <c r="F786" s="63" t="str">
        <f aca="false">IF('Offshore - Melbourne'!D402="","Belum tercatat",'Offshore - Melbourne'!D402)</f>
        <v>Term</v>
      </c>
      <c r="G786" s="65" t="n">
        <f aca="false">IF('Offshore - Melbourne'!E402="","-",'Offshore - Melbourne'!E402)</f>
        <v>3800</v>
      </c>
      <c r="H786" s="63" t="n">
        <f aca="false">IF(ISNUMBER(K786),COUNTIFS($J$6:$J$1854,J786,$K$6:$K$1854,"&lt;"&amp;K786)+1,"-")</f>
        <v>9</v>
      </c>
      <c r="I786" s="64" t="str">
        <f aca="false">IF('Offshore - Melbourne'!E402="","Harga belum tersedia - hubungi konsultan TEG",IF(M786=2,"Saat ini tidak menerima pendaftaran siswa internasional baru",IF(M786=1,"Harga perlu dikonfirmasi ke sekolah"&amp;IF(""="","","; "&amp;""),"")))</f>
        <v/>
      </c>
      <c r="J786" s="0" t="s">
        <v>4035</v>
      </c>
      <c r="K786" s="0" t="n">
        <f aca="false">IF(M786=2,"",IF(ISNUMBER(SEARCH("rata-rata:",'Offshore - Melbourne'!N402)),VALUE(MID('Offshore - Melbourne'!N402,SEARCH("rata-rata:",'Offshore - Melbourne'!N402)+11,FIND(";",'Offshore - Melbourne'!N402&amp;";",SEARCH("rata-rata:",'Offshore - Melbourne'!N402))-SEARCH("rata-rata:",'Offshore - Melbourne'!N402)-11)),IF('Offshore - Melbourne'!D402="Semester",'Offshore - Melbourne'!E402*2,IF('Offshore - Melbourne'!D402="Trimester",'Offshore - Melbourne'!E402*3,IF('Offshore - Melbourne'!D402="Term",'Offshore - Melbourne'!E402*4,IF('Offshore - Melbourne'!D402="Unit",'Offshore - Melbourne'!E402*8,""))))))</f>
        <v>15200</v>
      </c>
      <c r="L786" s="0" t="n">
        <f aca="false">IF(AND(ISNUMBER('Offshore - Melbourne'!E402),ISNUMBER(K786),ISNUMBER('Offshore - Melbourne'!F402),ISNUMBER('Offshore - Melbourne'!G402),OR('Offshore - Melbourne'!F402&lt;&gt;0,ISNUMBER(SEARCH("Material 0 terverifikasi",'Offshore - Melbourne'!N402))),OR('Offshore - Melbourne'!G402&lt;&gt;0,ISNUMBER(SEARCH("Enrolment 0 terverifikasi",'Offshore - Melbourne'!N402)))),1,0)</f>
        <v>0</v>
      </c>
      <c r="M786" s="0" t="n">
        <f aca="false">IF(OR('Offshore - Melbourne'!E402="",ISNUMBER(SEARCH("BSB80120",'Offshore - Melbourne'!B402&amp;'Offshore - Melbourne'!N402)),ISNUMBER(SEARCH("Management (Learning)",'Offshore - Melbourne'!B402))),2,IF(ISNUMBER(SEARCH("CEK:",'Offshore - Melbourne'!N402)),1,0))</f>
        <v>0</v>
      </c>
    </row>
    <row r="787" customFormat="false" ht="28.35" hidden="false" customHeight="false" outlineLevel="0" collapsed="false">
      <c r="A787" s="63" t="s">
        <v>3544</v>
      </c>
      <c r="B787" s="64" t="s">
        <v>3990</v>
      </c>
      <c r="C787" s="63" t="s">
        <v>41</v>
      </c>
      <c r="D787" s="64" t="str">
        <f aca="false">TRIM(LEFT('Offshore - Melbourne'!A360,FIND(CHAR(10),'Offshore - Melbourne'!A360&amp;CHAR(10))-1))</f>
        <v>National Training College of Australia (NTCA)</v>
      </c>
      <c r="E787" s="63" t="str">
        <f aca="false">'Offshore - Melbourne'!C360&amp;""</f>
        <v>2 years</v>
      </c>
      <c r="F787" s="63" t="str">
        <f aca="false">IF('Offshore - Melbourne'!D360="","Belum tercatat",'Offshore - Melbourne'!D360)</f>
        <v>Term</v>
      </c>
      <c r="G787" s="65" t="n">
        <f aca="false">IF('Offshore - Melbourne'!E360="","-",'Offshore - Melbourne'!E360)</f>
        <v>4000</v>
      </c>
      <c r="H787" s="63" t="n">
        <f aca="false">IF(ISNUMBER(K787),COUNTIFS($J$6:$J$1854,J787,$K$6:$K$1854,"&lt;"&amp;K787)+1,"-")</f>
        <v>10</v>
      </c>
      <c r="I787" s="64" t="str">
        <f aca="false">IF('Offshore - Melbourne'!E360="","Harga belum tersedia - hubungi konsultan TEG",IF(M787=2,"Saat ini tidak menerima pendaftaran siswa internasional baru",IF(M787=1,"Harga perlu dikonfirmasi ke sekolah"&amp;IF(""="","","; "&amp;""),"")))</f>
        <v/>
      </c>
      <c r="J787" s="0" t="s">
        <v>4035</v>
      </c>
      <c r="K787" s="0" t="n">
        <f aca="false">IF(M787=2,"",IF(ISNUMBER(SEARCH("rata-rata:",'Offshore - Melbourne'!N360)),VALUE(MID('Offshore - Melbourne'!N360,SEARCH("rata-rata:",'Offshore - Melbourne'!N360)+11,FIND(";",'Offshore - Melbourne'!N360&amp;";",SEARCH("rata-rata:",'Offshore - Melbourne'!N360))-SEARCH("rata-rata:",'Offshore - Melbourne'!N360)-11)),IF('Offshore - Melbourne'!D360="Semester",'Offshore - Melbourne'!E360*2,IF('Offshore - Melbourne'!D360="Trimester",'Offshore - Melbourne'!E360*3,IF('Offshore - Melbourne'!D360="Term",'Offshore - Melbourne'!E360*4,IF('Offshore - Melbourne'!D360="Unit",'Offshore - Melbourne'!E360*8,""))))))</f>
        <v>16000</v>
      </c>
      <c r="L787" s="0" t="n">
        <f aca="false">IF(AND(ISNUMBER('Offshore - Melbourne'!E360),ISNUMBER(K787),ISNUMBER('Offshore - Melbourne'!F360),ISNUMBER('Offshore - Melbourne'!G360),OR('Offshore - Melbourne'!F360&lt;&gt;0,ISNUMBER(SEARCH("Material 0 terverifikasi",'Offshore - Melbourne'!N360))),OR('Offshore - Melbourne'!G360&lt;&gt;0,ISNUMBER(SEARCH("Enrolment 0 terverifikasi",'Offshore - Melbourne'!N360)))),1,0)</f>
        <v>1</v>
      </c>
      <c r="M787" s="0" t="n">
        <f aca="false">IF(OR('Offshore - Melbourne'!E360="",ISNUMBER(SEARCH("BSB80120",'Offshore - Melbourne'!B360&amp;'Offshore - Melbourne'!N360)),ISNUMBER(SEARCH("Management (Learning)",'Offshore - Melbourne'!B360))),2,IF(ISNUMBER(SEARCH("CEK:",'Offshore - Melbourne'!N360)),1,0))</f>
        <v>0</v>
      </c>
    </row>
    <row r="788" customFormat="false" ht="28.35" hidden="false" customHeight="false" outlineLevel="0" collapsed="false">
      <c r="A788" s="63" t="s">
        <v>3544</v>
      </c>
      <c r="B788" s="64" t="s">
        <v>3990</v>
      </c>
      <c r="C788" s="63" t="s">
        <v>41</v>
      </c>
      <c r="D788" s="64" t="str">
        <f aca="false">TRIM(LEFT('Offshore - Melbourne'!A53,FIND(CHAR(10),'Offshore - Melbourne'!A53&amp;CHAR(10))-1))</f>
        <v>Albright Institute of Business and Language (AIBL)</v>
      </c>
      <c r="E788" s="63" t="str">
        <f aca="false">'Offshore - Melbourne'!C53&amp;""</f>
        <v>2 years</v>
      </c>
      <c r="F788" s="63" t="str">
        <f aca="false">IF('Offshore - Melbourne'!D53="","Belum tercatat",'Offshore - Melbourne'!D53)</f>
        <v>Term</v>
      </c>
      <c r="G788" s="65" t="n">
        <f aca="false">IF('Offshore - Melbourne'!E53="","-",'Offshore - Melbourne'!E53)</f>
        <v>4750</v>
      </c>
      <c r="H788" s="63" t="n">
        <f aca="false">IF(ISNUMBER(K788),COUNTIFS($J$6:$J$1854,J788,$K$6:$K$1854,"&lt;"&amp;K788)+1,"-")</f>
        <v>11</v>
      </c>
      <c r="I788" s="64" t="str">
        <f aca="false">IF('Offshore - Melbourne'!E53="","Harga belum tersedia - hubungi konsultan TEG",IF(M788=2,"Saat ini tidak menerima pendaftaran siswa internasional baru",IF(M788=1,"Harga perlu dikonfirmasi ke sekolah"&amp;IF(""="","","; "&amp;""),"")))</f>
        <v/>
      </c>
      <c r="J788" s="0" t="s">
        <v>4035</v>
      </c>
      <c r="K788" s="0" t="n">
        <f aca="false">IF(M788=2,"",IF(ISNUMBER(SEARCH("rata-rata:",'Offshore - Melbourne'!N53)),VALUE(MID('Offshore - Melbourne'!N53,SEARCH("rata-rata:",'Offshore - Melbourne'!N53)+11,FIND(";",'Offshore - Melbourne'!N53&amp;";",SEARCH("rata-rata:",'Offshore - Melbourne'!N53))-SEARCH("rata-rata:",'Offshore - Melbourne'!N53)-11)),IF('Offshore - Melbourne'!D53="Semester",'Offshore - Melbourne'!E53*2,IF('Offshore - Melbourne'!D53="Trimester",'Offshore - Melbourne'!E53*3,IF('Offshore - Melbourne'!D53="Term",'Offshore - Melbourne'!E53*4,IF('Offshore - Melbourne'!D53="Unit",'Offshore - Melbourne'!E53*8,""))))))</f>
        <v>19000</v>
      </c>
      <c r="L788" s="0" t="n">
        <f aca="false">IF(AND(ISNUMBER('Offshore - Melbourne'!E53),ISNUMBER(K788),ISNUMBER('Offshore - Melbourne'!F53),ISNUMBER('Offshore - Melbourne'!G53),OR('Offshore - Melbourne'!F53&lt;&gt;0,ISNUMBER(SEARCH("Material 0 terverifikasi",'Offshore - Melbourne'!N53))),OR('Offshore - Melbourne'!G53&lt;&gt;0,ISNUMBER(SEARCH("Enrolment 0 terverifikasi",'Offshore - Melbourne'!N53)))),1,0)</f>
        <v>1</v>
      </c>
      <c r="M788" s="0" t="n">
        <f aca="false">IF(OR('Offshore - Melbourne'!E53="",ISNUMBER(SEARCH("BSB80120",'Offshore - Melbourne'!B53&amp;'Offshore - Melbourne'!N53)),ISNUMBER(SEARCH("Management (Learning)",'Offshore - Melbourne'!B53))),2,IF(ISNUMBER(SEARCH("CEK:",'Offshore - Melbourne'!N53)),1,0))</f>
        <v>0</v>
      </c>
    </row>
    <row r="789" customFormat="false" ht="15" hidden="false" customHeight="false" outlineLevel="0" collapsed="false">
      <c r="A789" s="61" t="s">
        <v>4036</v>
      </c>
      <c r="B789" s="62"/>
      <c r="C789" s="62"/>
      <c r="D789" s="62"/>
      <c r="E789" s="62"/>
      <c r="F789" s="62"/>
      <c r="G789" s="62"/>
      <c r="H789" s="62"/>
      <c r="I789" s="62"/>
    </row>
    <row r="790" customFormat="false" ht="28.35" hidden="false" customHeight="false" outlineLevel="0" collapsed="false">
      <c r="A790" s="63" t="s">
        <v>3544</v>
      </c>
      <c r="B790" s="64" t="s">
        <v>3990</v>
      </c>
      <c r="C790" s="63" t="s">
        <v>42</v>
      </c>
      <c r="D790" s="64" t="str">
        <f aca="false">TRIM(LEFT('Offshore - Melbourne'!A543,FIND(CHAR(10),'Offshore - Melbourne'!A543&amp;CHAR(10))-1))</f>
        <v>TR4INRIGHT</v>
      </c>
      <c r="E790" s="63" t="str">
        <f aca="false">'Offshore - Melbourne'!C545&amp;""</f>
        <v>2 years</v>
      </c>
      <c r="F790" s="63" t="str">
        <f aca="false">IF('Offshore - Melbourne'!D545="","Belum tercatat",'Offshore - Melbourne'!D545)</f>
        <v>Term</v>
      </c>
      <c r="G790" s="65" t="n">
        <f aca="false">IF('Offshore - Melbourne'!E545="","-",'Offshore - Melbourne'!E545)</f>
        <v>2300</v>
      </c>
      <c r="H790" s="63" t="n">
        <f aca="false">IF(ISNUMBER(K790),COUNTIFS($J$6:$J$1854,J790,$K$6:$K$1854,"&lt;"&amp;K790)+1,"-")</f>
        <v>1</v>
      </c>
      <c r="I790" s="64" t="str">
        <f aca="false">IF('Offshore - Melbourne'!E545="","Harga belum tersedia - hubungi konsultan TEG",IF(M790=2,"Saat ini tidak menerima pendaftaran siswa internasional baru",IF(M790=1,"Harga perlu dikonfirmasi ke sekolah"&amp;IF(""="","","; "&amp;""),"")))</f>
        <v/>
      </c>
      <c r="J790" s="0" t="s">
        <v>4037</v>
      </c>
      <c r="K790" s="0" t="n">
        <f aca="false">IF(M790=2,"",IF(ISNUMBER(SEARCH("rata-rata:",'Offshore - Melbourne'!N545)),VALUE(MID('Offshore - Melbourne'!N545,SEARCH("rata-rata:",'Offshore - Melbourne'!N545)+11,FIND(";",'Offshore - Melbourne'!N545&amp;";",SEARCH("rata-rata:",'Offshore - Melbourne'!N545))-SEARCH("rata-rata:",'Offshore - Melbourne'!N545)-11)),IF('Offshore - Melbourne'!D545="Semester",'Offshore - Melbourne'!E545*2,IF('Offshore - Melbourne'!D545="Trimester",'Offshore - Melbourne'!E545*3,IF('Offshore - Melbourne'!D545="Term",'Offshore - Melbourne'!E545*4,IF('Offshore - Melbourne'!D545="Unit",'Offshore - Melbourne'!E545*8,""))))))</f>
        <v>9200</v>
      </c>
      <c r="L790" s="0" t="n">
        <f aca="false">IF(AND(ISNUMBER('Offshore - Melbourne'!E545),ISNUMBER(K790),ISNUMBER('Offshore - Melbourne'!F545),ISNUMBER('Offshore - Melbourne'!G545),OR('Offshore - Melbourne'!F545&lt;&gt;0,ISNUMBER(SEARCH("Material 0 terverifikasi",'Offshore - Melbourne'!N545))),OR('Offshore - Melbourne'!G545&lt;&gt;0,ISNUMBER(SEARCH("Enrolment 0 terverifikasi",'Offshore - Melbourne'!N545)))),1,0)</f>
        <v>1</v>
      </c>
      <c r="M790" s="0" t="n">
        <f aca="false">IF(OR('Offshore - Melbourne'!E545="",ISNUMBER(SEARCH("BSB80120",'Offshore - Melbourne'!B545&amp;'Offshore - Melbourne'!N545)),ISNUMBER(SEARCH("Management (Learning)",'Offshore - Melbourne'!B545))),2,IF(ISNUMBER(SEARCH("CEK:",'Offshore - Melbourne'!N545)),1,0))</f>
        <v>0</v>
      </c>
    </row>
    <row r="791" customFormat="false" ht="28.35" hidden="false" customHeight="false" outlineLevel="0" collapsed="false">
      <c r="A791" s="63" t="s">
        <v>3544</v>
      </c>
      <c r="B791" s="64" t="s">
        <v>3990</v>
      </c>
      <c r="C791" s="63" t="s">
        <v>42</v>
      </c>
      <c r="D791" s="64" t="str">
        <f aca="false">TRIM(LEFT('Offshore - Melbourne'!A53,FIND(CHAR(10),'Offshore - Melbourne'!A53&amp;CHAR(10))-1))</f>
        <v>Albright Institute of Business and Language (AIBL)</v>
      </c>
      <c r="E791" s="63" t="str">
        <f aca="false">'Offshore - Melbourne'!C57&amp;""</f>
        <v>2 years</v>
      </c>
      <c r="F791" s="63" t="str">
        <f aca="false">IF('Offshore - Melbourne'!D57="","Belum tercatat",'Offshore - Melbourne'!D57)</f>
        <v>Term</v>
      </c>
      <c r="G791" s="65" t="n">
        <f aca="false">IF('Offshore - Melbourne'!E57="","-",'Offshore - Melbourne'!E57)</f>
        <v>2375</v>
      </c>
      <c r="H791" s="63" t="n">
        <f aca="false">IF(ISNUMBER(K791),COUNTIFS($J$6:$J$1854,J791,$K$6:$K$1854,"&lt;"&amp;K791)+1,"-")</f>
        <v>2</v>
      </c>
      <c r="I791" s="64" t="str">
        <f aca="false">IF('Offshore - Melbourne'!E57="","Harga belum tersedia - hubungi konsultan TEG",IF(M791=2,"Saat ini tidak menerima pendaftaran siswa internasional baru",IF(M791=1,"Harga perlu dikonfirmasi ke sekolah"&amp;IF(""="","","; "&amp;""),"")))</f>
        <v/>
      </c>
      <c r="J791" s="0" t="s">
        <v>4037</v>
      </c>
      <c r="K791" s="0" t="n">
        <f aca="false">IF(M791=2,"",IF(ISNUMBER(SEARCH("rata-rata:",'Offshore - Melbourne'!N57)),VALUE(MID('Offshore - Melbourne'!N57,SEARCH("rata-rata:",'Offshore - Melbourne'!N57)+11,FIND(";",'Offshore - Melbourne'!N57&amp;";",SEARCH("rata-rata:",'Offshore - Melbourne'!N57))-SEARCH("rata-rata:",'Offshore - Melbourne'!N57)-11)),IF('Offshore - Melbourne'!D57="Semester",'Offshore - Melbourne'!E57*2,IF('Offshore - Melbourne'!D57="Trimester",'Offshore - Melbourne'!E57*3,IF('Offshore - Melbourne'!D57="Term",'Offshore - Melbourne'!E57*4,IF('Offshore - Melbourne'!D57="Unit",'Offshore - Melbourne'!E57*8,""))))))</f>
        <v>9500</v>
      </c>
      <c r="L791" s="0" t="n">
        <f aca="false">IF(AND(ISNUMBER('Offshore - Melbourne'!E57),ISNUMBER(K791),ISNUMBER('Offshore - Melbourne'!F57),ISNUMBER('Offshore - Melbourne'!G57),OR('Offshore - Melbourne'!F57&lt;&gt;0,ISNUMBER(SEARCH("Material 0 terverifikasi",'Offshore - Melbourne'!N57))),OR('Offshore - Melbourne'!G57&lt;&gt;0,ISNUMBER(SEARCH("Enrolment 0 terverifikasi",'Offshore - Melbourne'!N57)))),1,0)</f>
        <v>1</v>
      </c>
      <c r="M791" s="0" t="n">
        <f aca="false">IF(OR('Offshore - Melbourne'!E57="",ISNUMBER(SEARCH("BSB80120",'Offshore - Melbourne'!B57&amp;'Offshore - Melbourne'!N57)),ISNUMBER(SEARCH("Management (Learning)",'Offshore - Melbourne'!B57))),2,IF(ISNUMBER(SEARCH("CEK:",'Offshore - Melbourne'!N57)),1,0))</f>
        <v>0</v>
      </c>
    </row>
    <row r="792" customFormat="false" ht="28.35" hidden="false" customHeight="false" outlineLevel="0" collapsed="false">
      <c r="A792" s="63" t="s">
        <v>3544</v>
      </c>
      <c r="B792" s="64" t="s">
        <v>3990</v>
      </c>
      <c r="C792" s="63" t="s">
        <v>42</v>
      </c>
      <c r="D792" s="64" t="str">
        <f aca="false">TRIM(LEFT('Offshore - Melbourne'!A206,FIND(CHAR(10),'Offshore - Melbourne'!A206&amp;CHAR(10))-1))</f>
        <v>Australian Sovereign College (AuSC)</v>
      </c>
      <c r="E792" s="63" t="str">
        <f aca="false">'Offshore - Melbourne'!C222&amp;""</f>
        <v>2 years</v>
      </c>
      <c r="F792" s="63" t="str">
        <f aca="false">IF('Offshore - Melbourne'!D222="","Belum tercatat",'Offshore - Melbourne'!D222)</f>
        <v>Term</v>
      </c>
      <c r="G792" s="65" t="n">
        <f aca="false">IF('Offshore - Melbourne'!E222="","-",'Offshore - Melbourne'!E222)</f>
        <v>2875</v>
      </c>
      <c r="H792" s="63" t="n">
        <f aca="false">IF(ISNUMBER(K792),COUNTIFS($J$6:$J$1854,J792,$K$6:$K$1854,"&lt;"&amp;K792)+1,"-")</f>
        <v>3</v>
      </c>
      <c r="I792" s="64" t="str">
        <f aca="false">IF('Offshore - Melbourne'!E222="","Harga belum tersedia - hubungi konsultan TEG",IF(M792=2,"Saat ini tidak menerima pendaftaran siswa internasional baru",IF(M792=1,"Harga perlu dikonfirmasi ke sekolah"&amp;IF(""="","","; "&amp;""),"")))</f>
        <v/>
      </c>
      <c r="J792" s="0" t="s">
        <v>4037</v>
      </c>
      <c r="K792" s="0" t="n">
        <f aca="false">IF(M792=2,"",IF(ISNUMBER(SEARCH("rata-rata:",'Offshore - Melbourne'!N222)),VALUE(MID('Offshore - Melbourne'!N222,SEARCH("rata-rata:",'Offshore - Melbourne'!N222)+11,FIND(";",'Offshore - Melbourne'!N222&amp;";",SEARCH("rata-rata:",'Offshore - Melbourne'!N222))-SEARCH("rata-rata:",'Offshore - Melbourne'!N222)-11)),IF('Offshore - Melbourne'!D222="Semester",'Offshore - Melbourne'!E222*2,IF('Offshore - Melbourne'!D222="Trimester",'Offshore - Melbourne'!E222*3,IF('Offshore - Melbourne'!D222="Term",'Offshore - Melbourne'!E222*4,IF('Offshore - Melbourne'!D222="Unit",'Offshore - Melbourne'!E222*8,""))))))</f>
        <v>11500</v>
      </c>
      <c r="L792" s="0" t="n">
        <f aca="false">IF(AND(ISNUMBER('Offshore - Melbourne'!E222),ISNUMBER(K792),ISNUMBER('Offshore - Melbourne'!F222),ISNUMBER('Offshore - Melbourne'!G222),OR('Offshore - Melbourne'!F222&lt;&gt;0,ISNUMBER(SEARCH("Material 0 terverifikasi",'Offshore - Melbourne'!N222))),OR('Offshore - Melbourne'!G222&lt;&gt;0,ISNUMBER(SEARCH("Enrolment 0 terverifikasi",'Offshore - Melbourne'!N222)))),1,0)</f>
        <v>1</v>
      </c>
      <c r="M792" s="0" t="n">
        <f aca="false">IF(OR('Offshore - Melbourne'!E222="",ISNUMBER(SEARCH("BSB80120",'Offshore - Melbourne'!B222&amp;'Offshore - Melbourne'!N222)),ISNUMBER(SEARCH("Management (Learning)",'Offshore - Melbourne'!B222))),2,IF(ISNUMBER(SEARCH("CEK:",'Offshore - Melbourne'!N222)),1,0))</f>
        <v>0</v>
      </c>
    </row>
    <row r="793" customFormat="false" ht="28.35" hidden="false" customHeight="false" outlineLevel="0" collapsed="false">
      <c r="A793" s="63" t="s">
        <v>3544</v>
      </c>
      <c r="B793" s="64" t="s">
        <v>3990</v>
      </c>
      <c r="C793" s="63" t="s">
        <v>42</v>
      </c>
      <c r="D793" s="64" t="str">
        <f aca="false">TRIM(LEFT('Offshore - Melbourne'!A91,FIND(CHAR(10),'Offshore - Melbourne'!A91&amp;CHAR(10))-1))</f>
        <v>Australian Business &amp; Culinary Institute (ABC Institute)</v>
      </c>
      <c r="E793" s="63" t="str">
        <f aca="false">'Offshore - Melbourne'!C91&amp;""</f>
        <v>2 years</v>
      </c>
      <c r="F793" s="63" t="str">
        <f aca="false">IF('Offshore - Melbourne'!D91="","Belum tercatat",'Offshore - Melbourne'!D91)</f>
        <v>Term</v>
      </c>
      <c r="G793" s="65" t="n">
        <f aca="false">IF('Offshore - Melbourne'!E91="","-",'Offshore - Melbourne'!E91)</f>
        <v>2906.25</v>
      </c>
      <c r="H793" s="63" t="n">
        <f aca="false">IF(ISNUMBER(K793),COUNTIFS($J$6:$J$1854,J793,$K$6:$K$1854,"&lt;"&amp;K793)+1,"-")</f>
        <v>4</v>
      </c>
      <c r="I793" s="64" t="str">
        <f aca="false">IF('Offshore - Melbourne'!E91="","Harga belum tersedia - hubungi konsultan TEG",IF(M793=2,"Saat ini tidak menerima pendaftaran siswa internasional baru",IF(M793=1,"Harga perlu dikonfirmasi ke sekolah"&amp;IF(""="","","; "&amp;""),"")))</f>
        <v/>
      </c>
      <c r="J793" s="0" t="s">
        <v>4037</v>
      </c>
      <c r="K793" s="0" t="n">
        <f aca="false">IF(M793=2,"",IF(ISNUMBER(SEARCH("rata-rata:",'Offshore - Melbourne'!N91)),VALUE(MID('Offshore - Melbourne'!N91,SEARCH("rata-rata:",'Offshore - Melbourne'!N91)+11,FIND(";",'Offshore - Melbourne'!N91&amp;";",SEARCH("rata-rata:",'Offshore - Melbourne'!N91))-SEARCH("rata-rata:",'Offshore - Melbourne'!N91)-11)),IF('Offshore - Melbourne'!D91="Semester",'Offshore - Melbourne'!E91*2,IF('Offshore - Melbourne'!D91="Trimester",'Offshore - Melbourne'!E91*3,IF('Offshore - Melbourne'!D91="Term",'Offshore - Melbourne'!E91*4,IF('Offshore - Melbourne'!D91="Unit",'Offshore - Melbourne'!E91*8,""))))))</f>
        <v>11625</v>
      </c>
      <c r="L793" s="0" t="n">
        <f aca="false">IF(AND(ISNUMBER('Offshore - Melbourne'!E91),ISNUMBER(K793),ISNUMBER('Offshore - Melbourne'!F91),ISNUMBER('Offshore - Melbourne'!G91),OR('Offshore - Melbourne'!F91&lt;&gt;0,ISNUMBER(SEARCH("Material 0 terverifikasi",'Offshore - Melbourne'!N91))),OR('Offshore - Melbourne'!G91&lt;&gt;0,ISNUMBER(SEARCH("Enrolment 0 terverifikasi",'Offshore - Melbourne'!N91)))),1,0)</f>
        <v>1</v>
      </c>
      <c r="M793" s="0" t="n">
        <f aca="false">IF(OR('Offshore - Melbourne'!E91="",ISNUMBER(SEARCH("BSB80120",'Offshore - Melbourne'!B91&amp;'Offshore - Melbourne'!N91)),ISNUMBER(SEARCH("Management (Learning)",'Offshore - Melbourne'!B91))),2,IF(ISNUMBER(SEARCH("CEK:",'Offshore - Melbourne'!N91)),1,0))</f>
        <v>0</v>
      </c>
    </row>
    <row r="794" customFormat="false" ht="28.35" hidden="false" customHeight="false" outlineLevel="0" collapsed="false">
      <c r="A794" s="63" t="s">
        <v>3544</v>
      </c>
      <c r="B794" s="64" t="s">
        <v>3990</v>
      </c>
      <c r="C794" s="63" t="s">
        <v>42</v>
      </c>
      <c r="D794" s="64" t="str">
        <f aca="false">TRIM(LEFT('Offshore - Melbourne'!A417,FIND(CHAR(10),'Offshore - Melbourne'!A417&amp;CHAR(10))-1))</f>
        <v>The Centre of Excellence</v>
      </c>
      <c r="E794" s="63" t="str">
        <f aca="false">'Offshore - Melbourne'!C419&amp;""</f>
        <v>2 years</v>
      </c>
      <c r="F794" s="63" t="str">
        <f aca="false">IF('Offshore - Melbourne'!D419="","Belum tercatat",'Offshore - Melbourne'!D419)</f>
        <v>Term</v>
      </c>
      <c r="G794" s="65" t="n">
        <f aca="false">IF('Offshore - Melbourne'!E419="","-",'Offshore - Melbourne'!E419)</f>
        <v>2950</v>
      </c>
      <c r="H794" s="63" t="n">
        <f aca="false">IF(ISNUMBER(K794),COUNTIFS($J$6:$J$1854,J794,$K$6:$K$1854,"&lt;"&amp;K794)+1,"-")</f>
        <v>5</v>
      </c>
      <c r="I794" s="64" t="str">
        <f aca="false">IF('Offshore - Melbourne'!E419="","Harga belum tersedia - hubungi konsultan TEG",IF(M794=2,"Saat ini tidak menerima pendaftaran siswa internasional baru",IF(M794=1,"Harga perlu dikonfirmasi ke sekolah"&amp;IF(""="","","; "&amp;""),"")))</f>
        <v/>
      </c>
      <c r="J794" s="0" t="s">
        <v>4037</v>
      </c>
      <c r="K794" s="0" t="n">
        <f aca="false">IF(M794=2,"",IF(ISNUMBER(SEARCH("rata-rata:",'Offshore - Melbourne'!N419)),VALUE(MID('Offshore - Melbourne'!N419,SEARCH("rata-rata:",'Offshore - Melbourne'!N419)+11,FIND(";",'Offshore - Melbourne'!N419&amp;";",SEARCH("rata-rata:",'Offshore - Melbourne'!N419))-SEARCH("rata-rata:",'Offshore - Melbourne'!N419)-11)),IF('Offshore - Melbourne'!D419="Semester",'Offshore - Melbourne'!E419*2,IF('Offshore - Melbourne'!D419="Trimester",'Offshore - Melbourne'!E419*3,IF('Offshore - Melbourne'!D419="Term",'Offshore - Melbourne'!E419*4,IF('Offshore - Melbourne'!D419="Unit",'Offshore - Melbourne'!E419*8,""))))))</f>
        <v>11800</v>
      </c>
      <c r="L794" s="0" t="n">
        <f aca="false">IF(AND(ISNUMBER('Offshore - Melbourne'!E419),ISNUMBER(K794),ISNUMBER('Offshore - Melbourne'!F419),ISNUMBER('Offshore - Melbourne'!G419),OR('Offshore - Melbourne'!F419&lt;&gt;0,ISNUMBER(SEARCH("Material 0 terverifikasi",'Offshore - Melbourne'!N419))),OR('Offshore - Melbourne'!G419&lt;&gt;0,ISNUMBER(SEARCH("Enrolment 0 terverifikasi",'Offshore - Melbourne'!N419)))),1,0)</f>
        <v>1</v>
      </c>
      <c r="M794" s="0" t="n">
        <f aca="false">IF(OR('Offshore - Melbourne'!E419="",ISNUMBER(SEARCH("BSB80120",'Offshore - Melbourne'!B419&amp;'Offshore - Melbourne'!N419)),ISNUMBER(SEARCH("Management (Learning)",'Offshore - Melbourne'!B419))),2,IF(ISNUMBER(SEARCH("CEK:",'Offshore - Melbourne'!N419)),1,0))</f>
        <v>0</v>
      </c>
    </row>
    <row r="795" customFormat="false" ht="28.35" hidden="false" customHeight="false" outlineLevel="0" collapsed="false">
      <c r="A795" s="63" t="s">
        <v>3544</v>
      </c>
      <c r="B795" s="64" t="s">
        <v>3990</v>
      </c>
      <c r="C795" s="63" t="s">
        <v>42</v>
      </c>
      <c r="D795" s="64" t="str">
        <f aca="false">TRIM(LEFT('Offshore - Melbourne'!A398,FIND(CHAR(10),'Offshore - Melbourne'!A398&amp;CHAR(10))-1))</f>
        <v>Signet Institute of Australia</v>
      </c>
      <c r="E795" s="63" t="str">
        <f aca="false">'Offshore - Melbourne'!C403&amp;""</f>
        <v>5 years</v>
      </c>
      <c r="F795" s="63" t="str">
        <f aca="false">IF('Offshore - Melbourne'!D403="","Belum tercatat",'Offshore - Melbourne'!D403)</f>
        <v>Term</v>
      </c>
      <c r="G795" s="65" t="n">
        <f aca="false">IF('Offshore - Melbourne'!E403="","-",'Offshore - Melbourne'!E403)</f>
        <v>3800</v>
      </c>
      <c r="H795" s="63" t="n">
        <f aca="false">IF(ISNUMBER(K795),COUNTIFS($J$6:$J$1854,J795,$K$6:$K$1854,"&lt;"&amp;K795)+1,"-")</f>
        <v>6</v>
      </c>
      <c r="I795" s="64" t="str">
        <f aca="false">IF('Offshore - Melbourne'!E403="","Harga belum tersedia - hubungi konsultan TEG",IF(M795=2,"Saat ini tidak menerima pendaftaran siswa internasional baru",IF(M795=1,"Harga perlu dikonfirmasi ke sekolah"&amp;IF(""="","","; "&amp;""),"")))</f>
        <v/>
      </c>
      <c r="J795" s="0" t="s">
        <v>4037</v>
      </c>
      <c r="K795" s="0" t="n">
        <f aca="false">IF(M795=2,"",IF(ISNUMBER(SEARCH("rata-rata:",'Offshore - Melbourne'!N403)),VALUE(MID('Offshore - Melbourne'!N403,SEARCH("rata-rata:",'Offshore - Melbourne'!N403)+11,FIND(";",'Offshore - Melbourne'!N403&amp;";",SEARCH("rata-rata:",'Offshore - Melbourne'!N403))-SEARCH("rata-rata:",'Offshore - Melbourne'!N403)-11)),IF('Offshore - Melbourne'!D403="Semester",'Offshore - Melbourne'!E403*2,IF('Offshore - Melbourne'!D403="Trimester",'Offshore - Melbourne'!E403*3,IF('Offshore - Melbourne'!D403="Term",'Offshore - Melbourne'!E403*4,IF('Offshore - Melbourne'!D403="Unit",'Offshore - Melbourne'!E403*8,""))))))</f>
        <v>15200</v>
      </c>
      <c r="L795" s="0" t="n">
        <f aca="false">IF(AND(ISNUMBER('Offshore - Melbourne'!E403),ISNUMBER(K795),ISNUMBER('Offshore - Melbourne'!F403),ISNUMBER('Offshore - Melbourne'!G403),OR('Offshore - Melbourne'!F403&lt;&gt;0,ISNUMBER(SEARCH("Material 0 terverifikasi",'Offshore - Melbourne'!N403))),OR('Offshore - Melbourne'!G403&lt;&gt;0,ISNUMBER(SEARCH("Enrolment 0 terverifikasi",'Offshore - Melbourne'!N403)))),1,0)</f>
        <v>0</v>
      </c>
      <c r="M795" s="0" t="n">
        <f aca="false">IF(OR('Offshore - Melbourne'!E403="",ISNUMBER(SEARCH("BSB80120",'Offshore - Melbourne'!B403&amp;'Offshore - Melbourne'!N403)),ISNUMBER(SEARCH("Management (Learning)",'Offshore - Melbourne'!B403))),2,IF(ISNUMBER(SEARCH("CEK:",'Offshore - Melbourne'!N403)),1,0))</f>
        <v>0</v>
      </c>
    </row>
    <row r="796" customFormat="false" ht="15" hidden="false" customHeight="false" outlineLevel="0" collapsed="false">
      <c r="A796" s="61" t="s">
        <v>4038</v>
      </c>
      <c r="B796" s="62"/>
      <c r="C796" s="62"/>
      <c r="D796" s="62"/>
      <c r="E796" s="62"/>
      <c r="F796" s="62"/>
      <c r="G796" s="62"/>
      <c r="H796" s="62"/>
      <c r="I796" s="62"/>
    </row>
    <row r="797" customFormat="false" ht="28.35" hidden="false" customHeight="false" outlineLevel="0" collapsed="false">
      <c r="A797" s="63" t="s">
        <v>3544</v>
      </c>
      <c r="B797" s="64" t="s">
        <v>3990</v>
      </c>
      <c r="C797" s="63" t="s">
        <v>3707</v>
      </c>
      <c r="D797" s="64" t="str">
        <f aca="false">TRIM(LEFT('Offshore - Melbourne'!A252,FIND(CHAR(10),'Offshore - Melbourne'!A252&amp;CHAR(10))-1))</f>
        <v>ECA College</v>
      </c>
      <c r="E797" s="63" t="str">
        <f aca="false">'Offshore - Melbourne'!C252&amp;""</f>
        <v>1 year</v>
      </c>
      <c r="F797" s="63" t="str">
        <f aca="false">IF('Offshore - Melbourne'!D252="","Belum tercatat",'Offshore - Melbourne'!D252)</f>
        <v>Term</v>
      </c>
      <c r="G797" s="65" t="n">
        <f aca="false">IF('Offshore - Melbourne'!E252="","-",'Offshore - Melbourne'!E252)</f>
        <v>3000</v>
      </c>
      <c r="H797" s="63" t="n">
        <f aca="false">IF(ISNUMBER(K797),COUNTIFS($J$6:$J$1854,J797,$K$6:$K$1854,"&lt;"&amp;K797)+1,"-")</f>
        <v>1</v>
      </c>
      <c r="I797" s="64" t="str">
        <f aca="false">IF('Offshore - Melbourne'!E252="","Harga belum tersedia - hubungi konsultan TEG",IF(M797=2,"Saat ini tidak menerima pendaftaran siswa internasional baru",IF(M797=1,"Harga perlu dikonfirmasi ke sekolah"&amp;IF(""="","","; "&amp;""),"")))</f>
        <v/>
      </c>
      <c r="J797" s="0" t="s">
        <v>4039</v>
      </c>
      <c r="K797" s="0" t="n">
        <f aca="false">IF(M797=2,"",IF(ISNUMBER(SEARCH("rata-rata:",'Offshore - Melbourne'!N252)),VALUE(MID('Offshore - Melbourne'!N252,SEARCH("rata-rata:",'Offshore - Melbourne'!N252)+11,FIND(";",'Offshore - Melbourne'!N252&amp;";",SEARCH("rata-rata:",'Offshore - Melbourne'!N252))-SEARCH("rata-rata:",'Offshore - Melbourne'!N252)-11)),IF('Offshore - Melbourne'!D252="Semester",'Offshore - Melbourne'!E252*2,IF('Offshore - Melbourne'!D252="Trimester",'Offshore - Melbourne'!E252*3,IF('Offshore - Melbourne'!D252="Term",'Offshore - Melbourne'!E252*4,IF('Offshore - Melbourne'!D252="Unit",'Offshore - Melbourne'!E252*8,""))))))</f>
        <v>12000</v>
      </c>
      <c r="L797" s="0" t="n">
        <f aca="false">IF(AND(ISNUMBER('Offshore - Melbourne'!E252),ISNUMBER(K797),ISNUMBER('Offshore - Melbourne'!F252),ISNUMBER('Offshore - Melbourne'!G252),OR('Offshore - Melbourne'!F252&lt;&gt;0,ISNUMBER(SEARCH("Material 0 terverifikasi",'Offshore - Melbourne'!N252))),OR('Offshore - Melbourne'!G252&lt;&gt;0,ISNUMBER(SEARCH("Enrolment 0 terverifikasi",'Offshore - Melbourne'!N252)))),1,0)</f>
        <v>0</v>
      </c>
      <c r="M797" s="0" t="n">
        <f aca="false">IF(OR('Offshore - Melbourne'!E252="",ISNUMBER(SEARCH("BSB80120",'Offshore - Melbourne'!B252&amp;'Offshore - Melbourne'!N252)),ISNUMBER(SEARCH("Management (Learning)",'Offshore - Melbourne'!B252))),2,IF(ISNUMBER(SEARCH("CEK:",'Offshore - Melbourne'!N252)),1,0))</f>
        <v>0</v>
      </c>
    </row>
    <row r="798" customFormat="false" ht="15" hidden="false" customHeight="false" outlineLevel="0" collapsed="false">
      <c r="A798" s="61" t="s">
        <v>4040</v>
      </c>
      <c r="B798" s="62"/>
      <c r="C798" s="62"/>
      <c r="D798" s="62"/>
      <c r="E798" s="62"/>
      <c r="F798" s="62"/>
      <c r="G798" s="62"/>
      <c r="H798" s="62"/>
      <c r="I798" s="62"/>
    </row>
    <row r="799" customFormat="false" ht="28.35" hidden="false" customHeight="false" outlineLevel="0" collapsed="false">
      <c r="A799" s="63" t="s">
        <v>3544</v>
      </c>
      <c r="B799" s="64" t="s">
        <v>3990</v>
      </c>
      <c r="C799" s="63" t="s">
        <v>46</v>
      </c>
      <c r="D799" s="64" t="str">
        <f aca="false">TRIM(LEFT('Offshore - Melbourne'!A443,FIND(CHAR(10),'Offshore - Melbourne'!A443&amp;CHAR(10))-1))</f>
        <v>Torrens University Australia</v>
      </c>
      <c r="E799" s="63" t="str">
        <f aca="false">'Offshore - Melbourne'!C469&amp;""</f>
        <v>2 years</v>
      </c>
      <c r="F799" s="63" t="str">
        <f aca="false">IF('Offshore - Melbourne'!D469="","Belum tercatat",'Offshore - Melbourne'!D469)</f>
        <v>Term</v>
      </c>
      <c r="G799" s="65" t="n">
        <f aca="false">IF('Offshore - Melbourne'!E469="","-",'Offshore - Melbourne'!E469)</f>
        <v>9000</v>
      </c>
      <c r="H799" s="63" t="n">
        <f aca="false">IF(ISNUMBER(K799),COUNTIFS($J$6:$J$1854,J799,$K$6:$K$1854,"&lt;"&amp;K799)+1,"-")</f>
        <v>1</v>
      </c>
      <c r="I799" s="64" t="str">
        <f aca="false">IF('Offshore - Melbourne'!E469="","Harga belum tersedia - hubungi konsultan TEG",IF(M799=2,"Saat ini tidak menerima pendaftaran siswa internasional baru",IF(M799=1,"Harga perlu dikonfirmasi ke sekolah"&amp;IF(""="","","; "&amp;""),"")))</f>
        <v/>
      </c>
      <c r="J799" s="0" t="s">
        <v>4041</v>
      </c>
      <c r="K799" s="0" t="n">
        <f aca="false">IF(M799=2,"",IF(ISNUMBER(SEARCH("rata-rata:",'Offshore - Melbourne'!N469)),VALUE(MID('Offshore - Melbourne'!N469,SEARCH("rata-rata:",'Offshore - Melbourne'!N469)+11,FIND(";",'Offshore - Melbourne'!N469&amp;";",SEARCH("rata-rata:",'Offshore - Melbourne'!N469))-SEARCH("rata-rata:",'Offshore - Melbourne'!N469)-11)),IF('Offshore - Melbourne'!D469="Semester",'Offshore - Melbourne'!E469*2,IF('Offshore - Melbourne'!D469="Trimester",'Offshore - Melbourne'!E469*3,IF('Offshore - Melbourne'!D469="Term",'Offshore - Melbourne'!E469*4,IF('Offshore - Melbourne'!D469="Unit",'Offshore - Melbourne'!E469*8,""))))))</f>
        <v>36000</v>
      </c>
      <c r="L799" s="0" t="n">
        <f aca="false">IF(AND(ISNUMBER('Offshore - Melbourne'!E469),ISNUMBER(K799),ISNUMBER('Offshore - Melbourne'!F469),ISNUMBER('Offshore - Melbourne'!G469),OR('Offshore - Melbourne'!F469&lt;&gt;0,ISNUMBER(SEARCH("Material 0 terverifikasi",'Offshore - Melbourne'!N469))),OR('Offshore - Melbourne'!G469&lt;&gt;0,ISNUMBER(SEARCH("Enrolment 0 terverifikasi",'Offshore - Melbourne'!N469)))),1,0)</f>
        <v>0</v>
      </c>
      <c r="M799" s="0" t="n">
        <f aca="false">IF(OR('Offshore - Melbourne'!E469="",ISNUMBER(SEARCH("BSB80120",'Offshore - Melbourne'!B469&amp;'Offshore - Melbourne'!N469)),ISNUMBER(SEARCH("Management (Learning)",'Offshore - Melbourne'!B469))),2,IF(ISNUMBER(SEARCH("CEK:",'Offshore - Melbourne'!N469)),1,0))</f>
        <v>0</v>
      </c>
    </row>
    <row r="800" customFormat="false" ht="15" hidden="false" customHeight="false" outlineLevel="0" collapsed="false">
      <c r="A800" s="61" t="s">
        <v>4042</v>
      </c>
      <c r="B800" s="62"/>
      <c r="C800" s="62"/>
      <c r="D800" s="62"/>
      <c r="E800" s="62"/>
      <c r="F800" s="62"/>
      <c r="G800" s="62"/>
      <c r="H800" s="62"/>
      <c r="I800" s="62"/>
    </row>
    <row r="801" customFormat="false" ht="28.35" hidden="false" customHeight="false" outlineLevel="0" collapsed="false">
      <c r="A801" s="63" t="s">
        <v>3573</v>
      </c>
      <c r="B801" s="64" t="s">
        <v>3990</v>
      </c>
      <c r="C801" s="63" t="s">
        <v>39</v>
      </c>
      <c r="D801" s="64" t="str">
        <f aca="false">TRIM(LEFT('Offshore - Perth'!A50,FIND(CHAR(10),'Offshore - Perth'!A50&amp;CHAR(10))-1))</f>
        <v>Everthought College of Construction</v>
      </c>
      <c r="E801" s="63" t="str">
        <f aca="false">'Offshore - Perth'!C51&amp;""</f>
        <v>1,5 years</v>
      </c>
      <c r="F801" s="63" t="str">
        <f aca="false">IF('Offshore - Perth'!D51="","Belum tercatat",'Offshore - Perth'!D51)</f>
        <v>Term</v>
      </c>
      <c r="G801" s="65" t="n">
        <f aca="false">IF('Offshore - Perth'!E51="","-",'Offshore - Perth'!E51)</f>
        <v>2083</v>
      </c>
      <c r="H801" s="63" t="n">
        <f aca="false">IF(ISNUMBER(K801),COUNTIFS($J$6:$J$1854,J801,$K$6:$K$1854,"&lt;"&amp;K801)+1,"-")</f>
        <v>1</v>
      </c>
      <c r="I801" s="64" t="str">
        <f aca="false">IF('Offshore - Perth'!E51="","Harga belum tersedia - hubungi konsultan TEG",IF(M801=2,"Saat ini tidak menerima pendaftaran siswa internasional baru",IF(M801=1,"Harga perlu dikonfirmasi ke sekolah"&amp;IF(""="","","; "&amp;""),"")))</f>
        <v/>
      </c>
      <c r="J801" s="0" t="s">
        <v>4043</v>
      </c>
      <c r="K801" s="0" t="n">
        <f aca="false">IF(M801=2,"",IF(ISNUMBER(SEARCH("rata-rata:",'Offshore - Perth'!N51)),VALUE(MID('Offshore - Perth'!N51,SEARCH("rata-rata:",'Offshore - Perth'!N51)+11,FIND(";",'Offshore - Perth'!N51&amp;";",SEARCH("rata-rata:",'Offshore - Perth'!N51))-SEARCH("rata-rata:",'Offshore - Perth'!N51)-11)),IF('Offshore - Perth'!D51="Semester",'Offshore - Perth'!E51*2,IF('Offshore - Perth'!D51="Trimester",'Offshore - Perth'!E51*3,IF('Offshore - Perth'!D51="Term",'Offshore - Perth'!E51*4,IF('Offshore - Perth'!D51="Unit",'Offshore - Perth'!E51*8,""))))))</f>
        <v>8332</v>
      </c>
      <c r="L801" s="0" t="n">
        <f aca="false">IF(AND(ISNUMBER('Offshore - Perth'!E51),ISNUMBER(K801),ISNUMBER('Offshore - Perth'!F51),ISNUMBER('Offshore - Perth'!G51),OR('Offshore - Perth'!F51&lt;&gt;0,ISNUMBER(SEARCH("Material 0 terverifikasi",'Offshore - Perth'!N51))),OR('Offshore - Perth'!G51&lt;&gt;0,ISNUMBER(SEARCH("Enrolment 0 terverifikasi",'Offshore - Perth'!N51)))),1,0)</f>
        <v>1</v>
      </c>
      <c r="M801" s="0" t="n">
        <f aca="false">IF(OR('Offshore - Perth'!E51="",ISNUMBER(SEARCH("BSB80120",'Offshore - Perth'!B51&amp;'Offshore - Perth'!N51)),ISNUMBER(SEARCH("Management (Learning)",'Offshore - Perth'!B51))),2,IF(ISNUMBER(SEARCH("CEK:",'Offshore - Perth'!N51)),1,0))</f>
        <v>0</v>
      </c>
    </row>
    <row r="802" customFormat="false" ht="28.35" hidden="false" customHeight="false" outlineLevel="0" collapsed="false">
      <c r="A802" s="63" t="s">
        <v>3573</v>
      </c>
      <c r="B802" s="64" t="s">
        <v>3990</v>
      </c>
      <c r="C802" s="63" t="s">
        <v>39</v>
      </c>
      <c r="D802" s="64" t="str">
        <f aca="false">TRIM(LEFT('Offshore - Perth'!A35,FIND(CHAR(10),'Offshore - Perth'!A35&amp;CHAR(10))-1))</f>
        <v>Baxter Institute</v>
      </c>
      <c r="E802" s="63" t="str">
        <f aca="false">'Offshore - Perth'!C35&amp;""</f>
        <v>2 years</v>
      </c>
      <c r="F802" s="63" t="str">
        <f aca="false">IF('Offshore - Perth'!D35="","Belum tercatat",'Offshore - Perth'!D35)</f>
        <v>Term</v>
      </c>
      <c r="G802" s="65" t="n">
        <f aca="false">IF('Offshore - Perth'!E35="","-",'Offshore - Perth'!E35)</f>
        <v>2500</v>
      </c>
      <c r="H802" s="63" t="n">
        <f aca="false">IF(ISNUMBER(K802),COUNTIFS($J$6:$J$1854,J802,$K$6:$K$1854,"&lt;"&amp;K802)+1,"-")</f>
        <v>2</v>
      </c>
      <c r="I802" s="64" t="str">
        <f aca="false">IF('Offshore - Perth'!E35="","Harga belum tersedia - hubungi konsultan TEG",IF(M802=2,"Saat ini tidak menerima pendaftaran siswa internasional baru",IF(M802=1,"Harga perlu dikonfirmasi ke sekolah"&amp;IF(""="","","; "&amp;""),"")))</f>
        <v/>
      </c>
      <c r="J802" s="0" t="s">
        <v>4043</v>
      </c>
      <c r="K802" s="0" t="n">
        <f aca="false">IF(M802=2,"",IF(ISNUMBER(SEARCH("rata-rata:",'Offshore - Perth'!N35)),VALUE(MID('Offshore - Perth'!N35,SEARCH("rata-rata:",'Offshore - Perth'!N35)+11,FIND(";",'Offshore - Perth'!N35&amp;";",SEARCH("rata-rata:",'Offshore - Perth'!N35))-SEARCH("rata-rata:",'Offshore - Perth'!N35)-11)),IF('Offshore - Perth'!D35="Semester",'Offshore - Perth'!E35*2,IF('Offshore - Perth'!D35="Trimester",'Offshore - Perth'!E35*3,IF('Offshore - Perth'!D35="Term",'Offshore - Perth'!E35*4,IF('Offshore - Perth'!D35="Unit",'Offshore - Perth'!E35*8,""))))))</f>
        <v>10000</v>
      </c>
      <c r="L802" s="0" t="n">
        <f aca="false">IF(AND(ISNUMBER('Offshore - Perth'!E35),ISNUMBER(K802),ISNUMBER('Offshore - Perth'!F35),ISNUMBER('Offshore - Perth'!G35),OR('Offshore - Perth'!F35&lt;&gt;0,ISNUMBER(SEARCH("Material 0 terverifikasi",'Offshore - Perth'!N35))),OR('Offshore - Perth'!G35&lt;&gt;0,ISNUMBER(SEARCH("Enrolment 0 terverifikasi",'Offshore - Perth'!N35)))),1,0)</f>
        <v>1</v>
      </c>
      <c r="M802" s="0" t="n">
        <f aca="false">IF(OR('Offshore - Perth'!E35="",ISNUMBER(SEARCH("BSB80120",'Offshore - Perth'!B35&amp;'Offshore - Perth'!N35)),ISNUMBER(SEARCH("Management (Learning)",'Offshore - Perth'!B35))),2,IF(ISNUMBER(SEARCH("CEK:",'Offshore - Perth'!N35)),1,0))</f>
        <v>0</v>
      </c>
    </row>
    <row r="803" customFormat="false" ht="28.35" hidden="false" customHeight="false" outlineLevel="0" collapsed="false">
      <c r="A803" s="63" t="s">
        <v>3573</v>
      </c>
      <c r="B803" s="64" t="s">
        <v>3990</v>
      </c>
      <c r="C803" s="63" t="s">
        <v>39</v>
      </c>
      <c r="D803" s="64" t="str">
        <f aca="false">TRIM(LEFT('Offshore - Perth'!A106,FIND(CHAR(10),'Offshore - Perth'!A106&amp;CHAR(10))-1))</f>
        <v>Keystone College of Business and Technology (KCBT)</v>
      </c>
      <c r="E803" s="63" t="str">
        <f aca="false">'Offshore - Perth'!C108&amp;""</f>
        <v>1,5 years</v>
      </c>
      <c r="F803" s="63" t="str">
        <f aca="false">IF('Offshore - Perth'!D108="","Belum tercatat",'Offshore - Perth'!D108)</f>
        <v>Term</v>
      </c>
      <c r="G803" s="65" t="n">
        <f aca="false">IF('Offshore - Perth'!E108="","-",'Offshore - Perth'!E108)</f>
        <v>2500</v>
      </c>
      <c r="H803" s="63" t="n">
        <f aca="false">IF(ISNUMBER(K803),COUNTIFS($J$6:$J$1854,J803,$K$6:$K$1854,"&lt;"&amp;K803)+1,"-")</f>
        <v>2</v>
      </c>
      <c r="I803" s="64" t="str">
        <f aca="false">IF('Offshore - Perth'!E108="","Harga belum tersedia - hubungi konsultan TEG",IF(M803=2,"Saat ini tidak menerima pendaftaran siswa internasional baru",IF(M803=1,"Harga perlu dikonfirmasi ke sekolah"&amp;IF(""="","","; "&amp;""),"")))</f>
        <v/>
      </c>
      <c r="J803" s="0" t="s">
        <v>4043</v>
      </c>
      <c r="K803" s="0" t="n">
        <f aca="false">IF(M803=2,"",IF(ISNUMBER(SEARCH("rata-rata:",'Offshore - Perth'!N108)),VALUE(MID('Offshore - Perth'!N108,SEARCH("rata-rata:",'Offshore - Perth'!N108)+11,FIND(";",'Offshore - Perth'!N108&amp;";",SEARCH("rata-rata:",'Offshore - Perth'!N108))-SEARCH("rata-rata:",'Offshore - Perth'!N108)-11)),IF('Offshore - Perth'!D108="Semester",'Offshore - Perth'!E108*2,IF('Offshore - Perth'!D108="Trimester",'Offshore - Perth'!E108*3,IF('Offshore - Perth'!D108="Term",'Offshore - Perth'!E108*4,IF('Offshore - Perth'!D108="Unit",'Offshore - Perth'!E108*8,""))))))</f>
        <v>10000</v>
      </c>
      <c r="L803" s="0" t="n">
        <f aca="false">IF(AND(ISNUMBER('Offshore - Perth'!E108),ISNUMBER(K803),ISNUMBER('Offshore - Perth'!F108),ISNUMBER('Offshore - Perth'!G108),OR('Offshore - Perth'!F108&lt;&gt;0,ISNUMBER(SEARCH("Material 0 terverifikasi",'Offshore - Perth'!N108))),OR('Offshore - Perth'!G108&lt;&gt;0,ISNUMBER(SEARCH("Enrolment 0 terverifikasi",'Offshore - Perth'!N108)))),1,0)</f>
        <v>1</v>
      </c>
      <c r="M803" s="0" t="n">
        <f aca="false">IF(OR('Offshore - Perth'!E108="",ISNUMBER(SEARCH("BSB80120",'Offshore - Perth'!B108&amp;'Offshore - Perth'!N108)),ISNUMBER(SEARCH("Management (Learning)",'Offshore - Perth'!B108))),2,IF(ISNUMBER(SEARCH("CEK:",'Offshore - Perth'!N108)),1,0))</f>
        <v>0</v>
      </c>
    </row>
    <row r="804" customFormat="false" ht="28.35" hidden="false" customHeight="false" outlineLevel="0" collapsed="false">
      <c r="A804" s="63" t="s">
        <v>3573</v>
      </c>
      <c r="B804" s="64" t="s">
        <v>3990</v>
      </c>
      <c r="C804" s="63" t="s">
        <v>39</v>
      </c>
      <c r="D804" s="64" t="str">
        <f aca="false">TRIM(LEFT('Offshore - Perth'!A59,FIND(CHAR(10),'Offshore - Perth'!A59&amp;CHAR(10))-1))</f>
        <v>Global College Australasia</v>
      </c>
      <c r="E804" s="63" t="str">
        <f aca="false">'Offshore - Perth'!C72&amp;""</f>
        <v>1,5 years</v>
      </c>
      <c r="F804" s="63" t="str">
        <f aca="false">IF('Offshore - Perth'!D72="","Belum tercatat",'Offshore - Perth'!D72)</f>
        <v>Term</v>
      </c>
      <c r="G804" s="65" t="n">
        <f aca="false">IF('Offshore - Perth'!E72="","-",'Offshore - Perth'!E72)</f>
        <v>3250</v>
      </c>
      <c r="H804" s="63" t="n">
        <f aca="false">IF(ISNUMBER(K804),COUNTIFS($J$6:$J$1854,J804,$K$6:$K$1854,"&lt;"&amp;K804)+1,"-")</f>
        <v>4</v>
      </c>
      <c r="I804" s="64" t="str">
        <f aca="false">IF('Offshore - Perth'!E72="","Harga belum tersedia - hubungi konsultan TEG",IF(M804=2,"Saat ini tidak menerima pendaftaran siswa internasional baru",IF(M804=1,"Harga perlu dikonfirmasi ke sekolah"&amp;IF(""="","","; "&amp;""),"")))</f>
        <v/>
      </c>
      <c r="J804" s="0" t="s">
        <v>4043</v>
      </c>
      <c r="K804" s="0" t="n">
        <f aca="false">IF(M804=2,"",IF(ISNUMBER(SEARCH("rata-rata:",'Offshore - Perth'!N72)),VALUE(MID('Offshore - Perth'!N72,SEARCH("rata-rata:",'Offshore - Perth'!N72)+11,FIND(";",'Offshore - Perth'!N72&amp;";",SEARCH("rata-rata:",'Offshore - Perth'!N72))-SEARCH("rata-rata:",'Offshore - Perth'!N72)-11)),IF('Offshore - Perth'!D72="Semester",'Offshore - Perth'!E72*2,IF('Offshore - Perth'!D72="Trimester",'Offshore - Perth'!E72*3,IF('Offshore - Perth'!D72="Term",'Offshore - Perth'!E72*4,IF('Offshore - Perth'!D72="Unit",'Offshore - Perth'!E72*8,""))))))</f>
        <v>13000</v>
      </c>
      <c r="L804" s="0" t="n">
        <f aca="false">IF(AND(ISNUMBER('Offshore - Perth'!E72),ISNUMBER(K804),ISNUMBER('Offshore - Perth'!F72),ISNUMBER('Offshore - Perth'!G72),OR('Offshore - Perth'!F72&lt;&gt;0,ISNUMBER(SEARCH("Material 0 terverifikasi",'Offshore - Perth'!N72))),OR('Offshore - Perth'!G72&lt;&gt;0,ISNUMBER(SEARCH("Enrolment 0 terverifikasi",'Offshore - Perth'!N72)))),1,0)</f>
        <v>0</v>
      </c>
      <c r="M804" s="0" t="n">
        <f aca="false">IF(OR('Offshore - Perth'!E72="",ISNUMBER(SEARCH("BSB80120",'Offshore - Perth'!B72&amp;'Offshore - Perth'!N72)),ISNUMBER(SEARCH("Management (Learning)",'Offshore - Perth'!B72))),2,IF(ISNUMBER(SEARCH("CEK:",'Offshore - Perth'!N72)),1,0))</f>
        <v>0</v>
      </c>
    </row>
    <row r="805" customFormat="false" ht="15" hidden="false" customHeight="false" outlineLevel="0" collapsed="false">
      <c r="A805" s="61" t="s">
        <v>4044</v>
      </c>
      <c r="B805" s="62"/>
      <c r="C805" s="62"/>
      <c r="D805" s="62"/>
      <c r="E805" s="62"/>
      <c r="F805" s="62"/>
      <c r="G805" s="62"/>
      <c r="H805" s="62"/>
      <c r="I805" s="62"/>
    </row>
    <row r="806" customFormat="false" ht="28.35" hidden="false" customHeight="false" outlineLevel="0" collapsed="false">
      <c r="A806" s="63" t="s">
        <v>3573</v>
      </c>
      <c r="B806" s="64" t="s">
        <v>3990</v>
      </c>
      <c r="C806" s="63" t="s">
        <v>40</v>
      </c>
      <c r="D806" s="64" t="str">
        <f aca="false">TRIM(LEFT('Offshore - Perth'!A50,FIND(CHAR(10),'Offshore - Perth'!A50&amp;CHAR(10))-1))</f>
        <v>Everthought College of Construction</v>
      </c>
      <c r="E806" s="63" t="str">
        <f aca="false">'Offshore - Perth'!C56&amp;""</f>
        <v>2,5 years</v>
      </c>
      <c r="F806" s="63" t="str">
        <f aca="false">IF('Offshore - Perth'!D56="","Belum tercatat",'Offshore - Perth'!D56)</f>
        <v>Term</v>
      </c>
      <c r="G806" s="65" t="n">
        <f aca="false">IF('Offshore - Perth'!E56="","-",'Offshore - Perth'!E56)</f>
        <v>2083</v>
      </c>
      <c r="H806" s="63" t="n">
        <f aca="false">IF(ISNUMBER(K806),COUNTIFS($J$6:$J$1854,J806,$K$6:$K$1854,"&lt;"&amp;K806)+1,"-")</f>
        <v>1</v>
      </c>
      <c r="I806" s="64" t="str">
        <f aca="false">IF('Offshore - Perth'!E56="","Harga belum tersedia - hubungi konsultan TEG",IF(M806=2,"Saat ini tidak menerima pendaftaran siswa internasional baru",IF(M806=1,"Harga perlu dikonfirmasi ke sekolah"&amp;IF(""="","","; "&amp;""),"")))</f>
        <v/>
      </c>
      <c r="J806" s="0" t="s">
        <v>4045</v>
      </c>
      <c r="K806" s="0" t="n">
        <f aca="false">IF(M806=2,"",IF(ISNUMBER(SEARCH("rata-rata:",'Offshore - Perth'!N56)),VALUE(MID('Offshore - Perth'!N56,SEARCH("rata-rata:",'Offshore - Perth'!N56)+11,FIND(";",'Offshore - Perth'!N56&amp;";",SEARCH("rata-rata:",'Offshore - Perth'!N56))-SEARCH("rata-rata:",'Offshore - Perth'!N56)-11)),IF('Offshore - Perth'!D56="Semester",'Offshore - Perth'!E56*2,IF('Offshore - Perth'!D56="Trimester",'Offshore - Perth'!E56*3,IF('Offshore - Perth'!D56="Term",'Offshore - Perth'!E56*4,IF('Offshore - Perth'!D56="Unit",'Offshore - Perth'!E56*8,""))))))</f>
        <v>8332</v>
      </c>
      <c r="L806" s="0" t="n">
        <f aca="false">IF(AND(ISNUMBER('Offshore - Perth'!E56),ISNUMBER(K806),ISNUMBER('Offshore - Perth'!F56),ISNUMBER('Offshore - Perth'!G56),OR('Offshore - Perth'!F56&lt;&gt;0,ISNUMBER(SEARCH("Material 0 terverifikasi",'Offshore - Perth'!N56))),OR('Offshore - Perth'!G56&lt;&gt;0,ISNUMBER(SEARCH("Enrolment 0 terverifikasi",'Offshore - Perth'!N56)))),1,0)</f>
        <v>1</v>
      </c>
      <c r="M806" s="0" t="n">
        <f aca="false">IF(OR('Offshore - Perth'!E56="",ISNUMBER(SEARCH("BSB80120",'Offshore - Perth'!B56&amp;'Offshore - Perth'!N56)),ISNUMBER(SEARCH("Management (Learning)",'Offshore - Perth'!B56))),2,IF(ISNUMBER(SEARCH("CEK:",'Offshore - Perth'!N56)),1,0))</f>
        <v>0</v>
      </c>
    </row>
    <row r="807" customFormat="false" ht="15" hidden="false" customHeight="false" outlineLevel="0" collapsed="false">
      <c r="A807" s="61" t="s">
        <v>4046</v>
      </c>
      <c r="B807" s="62"/>
      <c r="C807" s="62"/>
      <c r="D807" s="62"/>
      <c r="E807" s="62"/>
      <c r="F807" s="62"/>
      <c r="G807" s="62"/>
      <c r="H807" s="62"/>
      <c r="I807" s="62"/>
    </row>
    <row r="808" customFormat="false" ht="28.35" hidden="false" customHeight="false" outlineLevel="0" collapsed="false">
      <c r="A808" s="63" t="s">
        <v>3573</v>
      </c>
      <c r="B808" s="64" t="s">
        <v>3990</v>
      </c>
      <c r="C808" s="63" t="s">
        <v>41</v>
      </c>
      <c r="D808" s="64" t="str">
        <f aca="false">TRIM(LEFT('Offshore - Perth'!A50,FIND(CHAR(10),'Offshore - Perth'!A50&amp;CHAR(10))-1))</f>
        <v>Everthought College of Construction</v>
      </c>
      <c r="E808" s="63" t="str">
        <f aca="false">'Offshore - Perth'!C58&amp;""</f>
        <v>2,5 years</v>
      </c>
      <c r="F808" s="63" t="str">
        <f aca="false">IF('Offshore - Perth'!D58="","Belum tercatat",'Offshore - Perth'!D58)</f>
        <v>Term</v>
      </c>
      <c r="G808" s="65" t="n">
        <f aca="false">IF('Offshore - Perth'!E58="","-",'Offshore - Perth'!E58)</f>
        <v>2083</v>
      </c>
      <c r="H808" s="63" t="n">
        <f aca="false">IF(ISNUMBER(K808),COUNTIFS($J$6:$J$1854,J808,$K$6:$K$1854,"&lt;"&amp;K808)+1,"-")</f>
        <v>1</v>
      </c>
      <c r="I808" s="64" t="str">
        <f aca="false">IF('Offshore - Perth'!E58="","Harga belum tersedia - hubungi konsultan TEG",IF(M808=2,"Saat ini tidak menerima pendaftaran siswa internasional baru",IF(M808=1,"Harga perlu dikonfirmasi ke sekolah"&amp;IF(""="","","; "&amp;""),"")))</f>
        <v/>
      </c>
      <c r="J808" s="0" t="s">
        <v>4047</v>
      </c>
      <c r="K808" s="0" t="n">
        <f aca="false">IF(M808=2,"",IF(ISNUMBER(SEARCH("rata-rata:",'Offshore - Perth'!N58)),VALUE(MID('Offshore - Perth'!N58,SEARCH("rata-rata:",'Offshore - Perth'!N58)+11,FIND(";",'Offshore - Perth'!N58&amp;";",SEARCH("rata-rata:",'Offshore - Perth'!N58))-SEARCH("rata-rata:",'Offshore - Perth'!N58)-11)),IF('Offshore - Perth'!D58="Semester",'Offshore - Perth'!E58*2,IF('Offshore - Perth'!D58="Trimester",'Offshore - Perth'!E58*3,IF('Offshore - Perth'!D58="Term",'Offshore - Perth'!E58*4,IF('Offshore - Perth'!D58="Unit",'Offshore - Perth'!E58*8,""))))))</f>
        <v>8332</v>
      </c>
      <c r="L808" s="0" t="n">
        <f aca="false">IF(AND(ISNUMBER('Offshore - Perth'!E58),ISNUMBER(K808),ISNUMBER('Offshore - Perth'!F58),ISNUMBER('Offshore - Perth'!G58),OR('Offshore - Perth'!F58&lt;&gt;0,ISNUMBER(SEARCH("Material 0 terverifikasi",'Offshore - Perth'!N58))),OR('Offshore - Perth'!G58&lt;&gt;0,ISNUMBER(SEARCH("Enrolment 0 terverifikasi",'Offshore - Perth'!N58)))),1,0)</f>
        <v>1</v>
      </c>
      <c r="M808" s="0" t="n">
        <f aca="false">IF(OR('Offshore - Perth'!E58="",ISNUMBER(SEARCH("BSB80120",'Offshore - Perth'!B58&amp;'Offshore - Perth'!N58)),ISNUMBER(SEARCH("Management (Learning)",'Offshore - Perth'!B58))),2,IF(ISNUMBER(SEARCH("CEK:",'Offshore - Perth'!N58)),1,0))</f>
        <v>0</v>
      </c>
    </row>
    <row r="809" customFormat="false" ht="28.35" hidden="false" customHeight="false" outlineLevel="0" collapsed="false">
      <c r="A809" s="63" t="s">
        <v>3573</v>
      </c>
      <c r="B809" s="64" t="s">
        <v>3990</v>
      </c>
      <c r="C809" s="63" t="s">
        <v>41</v>
      </c>
      <c r="D809" s="64" t="str">
        <f aca="false">TRIM(LEFT('Offshore - Perth'!A106,FIND(CHAR(10),'Offshore - Perth'!A106&amp;CHAR(10))-1))</f>
        <v>Keystone College of Business and Technology (KCBT)</v>
      </c>
      <c r="E809" s="63" t="str">
        <f aca="false">'Offshore - Perth'!C106&amp;""</f>
        <v>2 years</v>
      </c>
      <c r="F809" s="63" t="str">
        <f aca="false">IF('Offshore - Perth'!D106="","Belum tercatat",'Offshore - Perth'!D106)</f>
        <v>Term</v>
      </c>
      <c r="G809" s="65" t="n">
        <f aca="false">IF('Offshore - Perth'!E106="","-",'Offshore - Perth'!E106)</f>
        <v>2500</v>
      </c>
      <c r="H809" s="63" t="n">
        <f aca="false">IF(ISNUMBER(K809),COUNTIFS($J$6:$J$1854,J809,$K$6:$K$1854,"&lt;"&amp;K809)+1,"-")</f>
        <v>2</v>
      </c>
      <c r="I809" s="64" t="str">
        <f aca="false">IF('Offshore - Perth'!E106="","Harga belum tersedia - hubungi konsultan TEG",IF(M809=2,"Saat ini tidak menerima pendaftaran siswa internasional baru",IF(M809=1,"Harga perlu dikonfirmasi ke sekolah"&amp;IF(""="","","; "&amp;""),"")))</f>
        <v/>
      </c>
      <c r="J809" s="0" t="s">
        <v>4047</v>
      </c>
      <c r="K809" s="0" t="n">
        <f aca="false">IF(M809=2,"",IF(ISNUMBER(SEARCH("rata-rata:",'Offshore - Perth'!N106)),VALUE(MID('Offshore - Perth'!N106,SEARCH("rata-rata:",'Offshore - Perth'!N106)+11,FIND(";",'Offshore - Perth'!N106&amp;";",SEARCH("rata-rata:",'Offshore - Perth'!N106))-SEARCH("rata-rata:",'Offshore - Perth'!N106)-11)),IF('Offshore - Perth'!D106="Semester",'Offshore - Perth'!E106*2,IF('Offshore - Perth'!D106="Trimester",'Offshore - Perth'!E106*3,IF('Offshore - Perth'!D106="Term",'Offshore - Perth'!E106*4,IF('Offshore - Perth'!D106="Unit",'Offshore - Perth'!E106*8,""))))))</f>
        <v>10000</v>
      </c>
      <c r="L809" s="0" t="n">
        <f aca="false">IF(AND(ISNUMBER('Offshore - Perth'!E106),ISNUMBER(K809),ISNUMBER('Offshore - Perth'!F106),ISNUMBER('Offshore - Perth'!G106),OR('Offshore - Perth'!F106&lt;&gt;0,ISNUMBER(SEARCH("Material 0 terverifikasi",'Offshore - Perth'!N106))),OR('Offshore - Perth'!G106&lt;&gt;0,ISNUMBER(SEARCH("Enrolment 0 terverifikasi",'Offshore - Perth'!N106)))),1,0)</f>
        <v>1</v>
      </c>
      <c r="M809" s="0" t="n">
        <f aca="false">IF(OR('Offshore - Perth'!E106="",ISNUMBER(SEARCH("BSB80120",'Offshore - Perth'!B106&amp;'Offshore - Perth'!N106)),ISNUMBER(SEARCH("Management (Learning)",'Offshore - Perth'!B106))),2,IF(ISNUMBER(SEARCH("CEK:",'Offshore - Perth'!N106)),1,0))</f>
        <v>0</v>
      </c>
    </row>
    <row r="810" customFormat="false" ht="28.35" hidden="false" customHeight="false" outlineLevel="0" collapsed="false">
      <c r="A810" s="63" t="s">
        <v>3573</v>
      </c>
      <c r="B810" s="64" t="s">
        <v>3990</v>
      </c>
      <c r="C810" s="63" t="s">
        <v>41</v>
      </c>
      <c r="D810" s="64" t="str">
        <f aca="false">TRIM(LEFT('Offshore - Perth'!A135,FIND(CHAR(10),'Offshore - Perth'!A135&amp;CHAR(10))-1))</f>
        <v>Skills Institute Australia</v>
      </c>
      <c r="E810" s="63" t="str">
        <f aca="false">'Offshore - Perth'!C140&amp;""</f>
        <v>3 years</v>
      </c>
      <c r="F810" s="63" t="str">
        <f aca="false">IF('Offshore - Perth'!D140="","Belum tercatat",'Offshore - Perth'!D140)</f>
        <v>Term</v>
      </c>
      <c r="G810" s="65" t="n">
        <f aca="false">IF('Offshore - Perth'!E140="","-",'Offshore - Perth'!E140)</f>
        <v>3125</v>
      </c>
      <c r="H810" s="63" t="n">
        <f aca="false">IF(ISNUMBER(K810),COUNTIFS($J$6:$J$1854,J810,$K$6:$K$1854,"&lt;"&amp;K810)+1,"-")</f>
        <v>3</v>
      </c>
      <c r="I810" s="64" t="str">
        <f aca="false">IF('Offshore - Perth'!E140="","Harga belum tersedia - hubungi konsultan TEG",IF(M810=2,"Saat ini tidak menerima pendaftaran siswa internasional baru",IF(M810=1,"Harga perlu dikonfirmasi ke sekolah"&amp;IF(""="","","; "&amp;""),"")))</f>
        <v/>
      </c>
      <c r="J810" s="0" t="s">
        <v>4047</v>
      </c>
      <c r="K810" s="0" t="n">
        <f aca="false">IF(M810=2,"",IF(ISNUMBER(SEARCH("rata-rata:",'Offshore - Perth'!N140)),VALUE(MID('Offshore - Perth'!N140,SEARCH("rata-rata:",'Offshore - Perth'!N140)+11,FIND(";",'Offshore - Perth'!N140&amp;";",SEARCH("rata-rata:",'Offshore - Perth'!N140))-SEARCH("rata-rata:",'Offshore - Perth'!N140)-11)),IF('Offshore - Perth'!D140="Semester",'Offshore - Perth'!E140*2,IF('Offshore - Perth'!D140="Trimester",'Offshore - Perth'!E140*3,IF('Offshore - Perth'!D140="Term",'Offshore - Perth'!E140*4,IF('Offshore - Perth'!D140="Unit",'Offshore - Perth'!E140*8,""))))))</f>
        <v>12500</v>
      </c>
      <c r="L810" s="0" t="n">
        <f aca="false">IF(AND(ISNUMBER('Offshore - Perth'!E140),ISNUMBER(K810),ISNUMBER('Offshore - Perth'!F140),ISNUMBER('Offshore - Perth'!G140),OR('Offshore - Perth'!F140&lt;&gt;0,ISNUMBER(SEARCH("Material 0 terverifikasi",'Offshore - Perth'!N140))),OR('Offshore - Perth'!G140&lt;&gt;0,ISNUMBER(SEARCH("Enrolment 0 terverifikasi",'Offshore - Perth'!N140)))),1,0)</f>
        <v>1</v>
      </c>
      <c r="M810" s="0" t="n">
        <f aca="false">IF(OR('Offshore - Perth'!E140="",ISNUMBER(SEARCH("BSB80120",'Offshore - Perth'!B140&amp;'Offshore - Perth'!N140)),ISNUMBER(SEARCH("Management (Learning)",'Offshore - Perth'!B140))),2,IF(ISNUMBER(SEARCH("CEK:",'Offshore - Perth'!N140)),1,0))</f>
        <v>0</v>
      </c>
    </row>
    <row r="811" customFormat="false" ht="28.35" hidden="false" customHeight="false" outlineLevel="0" collapsed="false">
      <c r="A811" s="63" t="s">
        <v>3573</v>
      </c>
      <c r="B811" s="64" t="s">
        <v>3990</v>
      </c>
      <c r="C811" s="63" t="s">
        <v>41</v>
      </c>
      <c r="D811" s="64" t="str">
        <f aca="false">TRIM(LEFT('Offshore - Perth'!A59,FIND(CHAR(10),'Offshore - Perth'!A59&amp;CHAR(10))-1))</f>
        <v>Global College Australasia</v>
      </c>
      <c r="E811" s="63" t="str">
        <f aca="false">'Offshore - Perth'!C67&amp;""</f>
        <v>2 years</v>
      </c>
      <c r="F811" s="63" t="str">
        <f aca="false">IF('Offshore - Perth'!D67="","Belum tercatat",'Offshore - Perth'!D67)</f>
        <v>Term</v>
      </c>
      <c r="G811" s="65" t="n">
        <f aca="false">IF('Offshore - Perth'!E67="","-",'Offshore - Perth'!E67)</f>
        <v>3375</v>
      </c>
      <c r="H811" s="63" t="n">
        <f aca="false">IF(ISNUMBER(K811),COUNTIFS($J$6:$J$1854,J811,$K$6:$K$1854,"&lt;"&amp;K811)+1,"-")</f>
        <v>4</v>
      </c>
      <c r="I811" s="64" t="str">
        <f aca="false">IF('Offshore - Perth'!E67="","Harga belum tersedia - hubungi konsultan TEG",IF(M811=2,"Saat ini tidak menerima pendaftaran siswa internasional baru",IF(M811=1,"Harga perlu dikonfirmasi ke sekolah"&amp;IF(""="","","; "&amp;""),"")))</f>
        <v/>
      </c>
      <c r="J811" s="0" t="s">
        <v>4047</v>
      </c>
      <c r="K811" s="0" t="n">
        <f aca="false">IF(M811=2,"",IF(ISNUMBER(SEARCH("rata-rata:",'Offshore - Perth'!N67)),VALUE(MID('Offshore - Perth'!N67,SEARCH("rata-rata:",'Offshore - Perth'!N67)+11,FIND(";",'Offshore - Perth'!N67&amp;";",SEARCH("rata-rata:",'Offshore - Perth'!N67))-SEARCH("rata-rata:",'Offshore - Perth'!N67)-11)),IF('Offshore - Perth'!D67="Semester",'Offshore - Perth'!E67*2,IF('Offshore - Perth'!D67="Trimester",'Offshore - Perth'!E67*3,IF('Offshore - Perth'!D67="Term",'Offshore - Perth'!E67*4,IF('Offshore - Perth'!D67="Unit",'Offshore - Perth'!E67*8,""))))))</f>
        <v>13500</v>
      </c>
      <c r="L811" s="0" t="n">
        <f aca="false">IF(AND(ISNUMBER('Offshore - Perth'!E67),ISNUMBER(K811),ISNUMBER('Offshore - Perth'!F67),ISNUMBER('Offshore - Perth'!G67),OR('Offshore - Perth'!F67&lt;&gt;0,ISNUMBER(SEARCH("Material 0 terverifikasi",'Offshore - Perth'!N67))),OR('Offshore - Perth'!G67&lt;&gt;0,ISNUMBER(SEARCH("Enrolment 0 terverifikasi",'Offshore - Perth'!N67)))),1,0)</f>
        <v>1</v>
      </c>
      <c r="M811" s="0" t="n">
        <f aca="false">IF(OR('Offshore - Perth'!E67="",ISNUMBER(SEARCH("BSB80120",'Offshore - Perth'!B67&amp;'Offshore - Perth'!N67)),ISNUMBER(SEARCH("Management (Learning)",'Offshore - Perth'!B67))),2,IF(ISNUMBER(SEARCH("CEK:",'Offshore - Perth'!N67)),1,0))</f>
        <v>0</v>
      </c>
    </row>
    <row r="812" customFormat="false" ht="15" hidden="false" customHeight="false" outlineLevel="0" collapsed="false">
      <c r="A812" s="61" t="s">
        <v>4048</v>
      </c>
      <c r="B812" s="62"/>
      <c r="C812" s="62"/>
      <c r="D812" s="62"/>
      <c r="E812" s="62"/>
      <c r="F812" s="62"/>
      <c r="G812" s="62"/>
      <c r="H812" s="62"/>
      <c r="I812" s="62"/>
    </row>
    <row r="813" customFormat="false" ht="28.35" hidden="false" customHeight="false" outlineLevel="0" collapsed="false">
      <c r="A813" s="63" t="s">
        <v>3573</v>
      </c>
      <c r="B813" s="64" t="s">
        <v>3990</v>
      </c>
      <c r="C813" s="63" t="s">
        <v>42</v>
      </c>
      <c r="D813" s="64" t="str">
        <f aca="false">TRIM(LEFT('Offshore - Perth'!A129,FIND(CHAR(10),'Offshore - Perth'!A129&amp;CHAR(10))-1))</f>
        <v>Novus College</v>
      </c>
      <c r="E813" s="63" t="str">
        <f aca="false">'Offshore - Perth'!C132&amp;""</f>
        <v>2 years</v>
      </c>
      <c r="F813" s="63" t="str">
        <f aca="false">IF('Offshore - Perth'!D132="","Belum tercatat",'Offshore - Perth'!D132)</f>
        <v>Term</v>
      </c>
      <c r="G813" s="65" t="n">
        <f aca="false">IF('Offshore - Perth'!E132="","-",'Offshore - Perth'!E132)</f>
        <v>2200</v>
      </c>
      <c r="H813" s="63" t="n">
        <f aca="false">IF(ISNUMBER(K813),COUNTIFS($J$6:$J$1854,J813,$K$6:$K$1854,"&lt;"&amp;K813)+1,"-")</f>
        <v>1</v>
      </c>
      <c r="I813" s="64" t="str">
        <f aca="false">IF('Offshore - Perth'!E132="","Harga belum tersedia - hubungi konsultan TEG",IF(M813=2,"Saat ini tidak menerima pendaftaran siswa internasional baru",IF(M813=1,"Program perlu dikonfirmasi ketersediaannya"&amp;IF(""="","","; "&amp;""),"")))</f>
        <v>Program perlu dikonfirmasi ketersediaannya</v>
      </c>
      <c r="J813" s="0" t="s">
        <v>4049</v>
      </c>
      <c r="K813" s="0" t="n">
        <f aca="false">IF(M813=2,"",IF(ISNUMBER(SEARCH("rata-rata:",'Offshore - Perth'!N132)),VALUE(MID('Offshore - Perth'!N132,SEARCH("rata-rata:",'Offshore - Perth'!N132)+11,FIND(";",'Offshore - Perth'!N132&amp;";",SEARCH("rata-rata:",'Offshore - Perth'!N132))-SEARCH("rata-rata:",'Offshore - Perth'!N132)-11)),IF('Offshore - Perth'!D132="Semester",'Offshore - Perth'!E132*2,IF('Offshore - Perth'!D132="Trimester",'Offshore - Perth'!E132*3,IF('Offshore - Perth'!D132="Term",'Offshore - Perth'!E132*4,IF('Offshore - Perth'!D132="Unit",'Offshore - Perth'!E132*8,""))))))</f>
        <v>8800</v>
      </c>
      <c r="L813" s="0" t="n">
        <f aca="false">IF(AND(ISNUMBER('Offshore - Perth'!E132),ISNUMBER(K813),ISNUMBER('Offshore - Perth'!F132),ISNUMBER('Offshore - Perth'!G132),OR('Offshore - Perth'!F132&lt;&gt;0,ISNUMBER(SEARCH("Material 0 terverifikasi",'Offshore - Perth'!N132))),OR('Offshore - Perth'!G132&lt;&gt;0,ISNUMBER(SEARCH("Enrolment 0 terverifikasi",'Offshore - Perth'!N132)))),1,0)</f>
        <v>1</v>
      </c>
      <c r="M813" s="0" t="n">
        <f aca="false">IF(OR('Offshore - Perth'!E132="",ISNUMBER(SEARCH("BSB80120",'Offshore - Perth'!B132&amp;'Offshore - Perth'!N132)),ISNUMBER(SEARCH("Management (Learning)",'Offshore - Perth'!B132))),2,IF(ISNUMBER(SEARCH("CEK:",'Offshore - Perth'!N132)),1,0))</f>
        <v>1</v>
      </c>
    </row>
    <row r="814" customFormat="false" ht="28.35" hidden="false" customHeight="false" outlineLevel="0" collapsed="false">
      <c r="A814" s="63" t="s">
        <v>3573</v>
      </c>
      <c r="B814" s="64" t="s">
        <v>3990</v>
      </c>
      <c r="C814" s="63" t="s">
        <v>42</v>
      </c>
      <c r="D814" s="64" t="str">
        <f aca="false">TRIM(LEFT('Offshore - Perth'!A50,FIND(CHAR(10),'Offshore - Perth'!A50&amp;CHAR(10))-1))</f>
        <v>Everthought College of Construction</v>
      </c>
      <c r="E814" s="63" t="str">
        <f aca="false">'Offshore - Perth'!C54&amp;""</f>
        <v>2 years</v>
      </c>
      <c r="F814" s="63" t="str">
        <f aca="false">IF('Offshore - Perth'!D54="","Belum tercatat",'Offshore - Perth'!D54)</f>
        <v>Term</v>
      </c>
      <c r="G814" s="65" t="n">
        <f aca="false">IF('Offshore - Perth'!E54="","-",'Offshore - Perth'!E54)</f>
        <v>2688</v>
      </c>
      <c r="H814" s="63" t="n">
        <f aca="false">IF(ISNUMBER(K814),COUNTIFS($J$6:$J$1854,J814,$K$6:$K$1854,"&lt;"&amp;K814)+1,"-")</f>
        <v>2</v>
      </c>
      <c r="I814" s="64" t="str">
        <f aca="false">IF('Offshore - Perth'!E54="","Harga belum tersedia - hubungi konsultan TEG",IF(M814=2,"Saat ini tidak menerima pendaftaran siswa internasional baru",IF(M814=1,"Harga perlu dikonfirmasi ke sekolah"&amp;IF(""="","","; "&amp;""),"")))</f>
        <v/>
      </c>
      <c r="J814" s="0" t="s">
        <v>4049</v>
      </c>
      <c r="K814" s="0" t="n">
        <f aca="false">IF(M814=2,"",IF(ISNUMBER(SEARCH("rata-rata:",'Offshore - Perth'!N54)),VALUE(MID('Offshore - Perth'!N54,SEARCH("rata-rata:",'Offshore - Perth'!N54)+11,FIND(";",'Offshore - Perth'!N54&amp;";",SEARCH("rata-rata:",'Offshore - Perth'!N54))-SEARCH("rata-rata:",'Offshore - Perth'!N54)-11)),IF('Offshore - Perth'!D54="Semester",'Offshore - Perth'!E54*2,IF('Offshore - Perth'!D54="Trimester",'Offshore - Perth'!E54*3,IF('Offshore - Perth'!D54="Term",'Offshore - Perth'!E54*4,IF('Offshore - Perth'!D54="Unit",'Offshore - Perth'!E54*8,""))))))</f>
        <v>10752</v>
      </c>
      <c r="L814" s="0" t="n">
        <f aca="false">IF(AND(ISNUMBER('Offshore - Perth'!E54),ISNUMBER(K814),ISNUMBER('Offshore - Perth'!F54),ISNUMBER('Offshore - Perth'!G54),OR('Offshore - Perth'!F54&lt;&gt;0,ISNUMBER(SEARCH("Material 0 terverifikasi",'Offshore - Perth'!N54))),OR('Offshore - Perth'!G54&lt;&gt;0,ISNUMBER(SEARCH("Enrolment 0 terverifikasi",'Offshore - Perth'!N54)))),1,0)</f>
        <v>1</v>
      </c>
      <c r="M814" s="0" t="n">
        <f aca="false">IF(OR('Offshore - Perth'!E54="",ISNUMBER(SEARCH("BSB80120",'Offshore - Perth'!B54&amp;'Offshore - Perth'!N54)),ISNUMBER(SEARCH("Management (Learning)",'Offshore - Perth'!B54))),2,IF(ISNUMBER(SEARCH("CEK:",'Offshore - Perth'!N54)),1,0))</f>
        <v>0</v>
      </c>
    </row>
    <row r="815" customFormat="false" ht="28.35" hidden="false" customHeight="false" outlineLevel="0" collapsed="false">
      <c r="A815" s="63" t="s">
        <v>3573</v>
      </c>
      <c r="B815" s="64" t="s">
        <v>3990</v>
      </c>
      <c r="C815" s="63" t="s">
        <v>42</v>
      </c>
      <c r="D815" s="64" t="str">
        <f aca="false">TRIM(LEFT('Offshore - Perth'!A106,FIND(CHAR(10),'Offshore - Perth'!A106&amp;CHAR(10))-1))</f>
        <v>Keystone College of Business and Technology (KCBT)</v>
      </c>
      <c r="E815" s="63" t="str">
        <f aca="false">'Offshore - Perth'!C112&amp;""</f>
        <v>2 years</v>
      </c>
      <c r="F815" s="63" t="str">
        <f aca="false">IF('Offshore - Perth'!D112="","Belum tercatat",'Offshore - Perth'!D112)</f>
        <v>Term</v>
      </c>
      <c r="G815" s="65" t="n">
        <f aca="false">IF('Offshore - Perth'!E112="","-",'Offshore - Perth'!E112)</f>
        <v>3000</v>
      </c>
      <c r="H815" s="63" t="n">
        <f aca="false">IF(ISNUMBER(K815),COUNTIFS($J$6:$J$1854,J815,$K$6:$K$1854,"&lt;"&amp;K815)+1,"-")</f>
        <v>3</v>
      </c>
      <c r="I815" s="64" t="str">
        <f aca="false">IF('Offshore - Perth'!E112="","Harga belum tersedia - hubungi konsultan TEG",IF(M815=2,"Saat ini tidak menerima pendaftaran siswa internasional baru",IF(M815=1,"Harga perlu dikonfirmasi ke sekolah"&amp;IF(""="","","; "&amp;""),"")))</f>
        <v>Harga perlu dikonfirmasi ke sekolah</v>
      </c>
      <c r="J815" s="0" t="s">
        <v>4049</v>
      </c>
      <c r="K815" s="0" t="n">
        <f aca="false">IF(M815=2,"",IF(ISNUMBER(SEARCH("rata-rata:",'Offshore - Perth'!N112)),VALUE(MID('Offshore - Perth'!N112,SEARCH("rata-rata:",'Offshore - Perth'!N112)+11,FIND(";",'Offshore - Perth'!N112&amp;";",SEARCH("rata-rata:",'Offshore - Perth'!N112))-SEARCH("rata-rata:",'Offshore - Perth'!N112)-11)),IF('Offshore - Perth'!D112="Semester",'Offshore - Perth'!E112*2,IF('Offshore - Perth'!D112="Trimester",'Offshore - Perth'!E112*3,IF('Offshore - Perth'!D112="Term",'Offshore - Perth'!E112*4,IF('Offshore - Perth'!D112="Unit",'Offshore - Perth'!E112*8,""))))))</f>
        <v>12000</v>
      </c>
      <c r="L815" s="0" t="n">
        <f aca="false">IF(AND(ISNUMBER('Offshore - Perth'!E112),ISNUMBER(K815),ISNUMBER('Offshore - Perth'!F112),ISNUMBER('Offshore - Perth'!G112),OR('Offshore - Perth'!F112&lt;&gt;0,ISNUMBER(SEARCH("Material 0 terverifikasi",'Offshore - Perth'!N112))),OR('Offshore - Perth'!G112&lt;&gt;0,ISNUMBER(SEARCH("Enrolment 0 terverifikasi",'Offshore - Perth'!N112)))),1,0)</f>
        <v>1</v>
      </c>
      <c r="M815" s="0" t="n">
        <f aca="false">IF(OR('Offshore - Perth'!E112="",ISNUMBER(SEARCH("BSB80120",'Offshore - Perth'!B112&amp;'Offshore - Perth'!N112)),ISNUMBER(SEARCH("Management (Learning)",'Offshore - Perth'!B112))),2,IF(ISNUMBER(SEARCH("CEK:",'Offshore - Perth'!N112)),1,0))</f>
        <v>1</v>
      </c>
    </row>
    <row r="816" customFormat="false" ht="28.35" hidden="false" customHeight="false" outlineLevel="0" collapsed="false">
      <c r="A816" s="63" t="s">
        <v>3573</v>
      </c>
      <c r="B816" s="64" t="s">
        <v>3990</v>
      </c>
      <c r="C816" s="63" t="s">
        <v>42</v>
      </c>
      <c r="D816" s="64" t="str">
        <f aca="false">TRIM(LEFT('Offshore - Perth'!A135,FIND(CHAR(10),'Offshore - Perth'!A135&amp;CHAR(10))-1))</f>
        <v>Skills Institute Australia</v>
      </c>
      <c r="E816" s="63" t="str">
        <f aca="false">'Offshore - Perth'!C142&amp;""</f>
        <v>2 years</v>
      </c>
      <c r="F816" s="63" t="str">
        <f aca="false">IF('Offshore - Perth'!D142="","Belum tercatat",'Offshore - Perth'!D142)</f>
        <v>Term</v>
      </c>
      <c r="G816" s="65" t="n">
        <f aca="false">IF('Offshore - Perth'!E142="","-",'Offshore - Perth'!E142)</f>
        <v>3000</v>
      </c>
      <c r="H816" s="63" t="n">
        <f aca="false">IF(ISNUMBER(K816),COUNTIFS($J$6:$J$1854,J816,$K$6:$K$1854,"&lt;"&amp;K816)+1,"-")</f>
        <v>3</v>
      </c>
      <c r="I816" s="64" t="str">
        <f aca="false">IF('Offshore - Perth'!E142="","Harga belum tersedia - hubungi konsultan TEG",IF(M816=2,"Saat ini tidak menerima pendaftaran siswa internasional baru",IF(M816=1,"Harga perlu dikonfirmasi ke sekolah"&amp;IF(""="","","; "&amp;""),"")))</f>
        <v/>
      </c>
      <c r="J816" s="0" t="s">
        <v>4049</v>
      </c>
      <c r="K816" s="0" t="n">
        <f aca="false">IF(M816=2,"",IF(ISNUMBER(SEARCH("rata-rata:",'Offshore - Perth'!N142)),VALUE(MID('Offshore - Perth'!N142,SEARCH("rata-rata:",'Offshore - Perth'!N142)+11,FIND(";",'Offshore - Perth'!N142&amp;";",SEARCH("rata-rata:",'Offshore - Perth'!N142))-SEARCH("rata-rata:",'Offshore - Perth'!N142)-11)),IF('Offshore - Perth'!D142="Semester",'Offshore - Perth'!E142*2,IF('Offshore - Perth'!D142="Trimester",'Offshore - Perth'!E142*3,IF('Offshore - Perth'!D142="Term",'Offshore - Perth'!E142*4,IF('Offshore - Perth'!D142="Unit",'Offshore - Perth'!E142*8,""))))))</f>
        <v>12000</v>
      </c>
      <c r="L816" s="0" t="n">
        <f aca="false">IF(AND(ISNUMBER('Offshore - Perth'!E142),ISNUMBER(K816),ISNUMBER('Offshore - Perth'!F142),ISNUMBER('Offshore - Perth'!G142),OR('Offshore - Perth'!F142&lt;&gt;0,ISNUMBER(SEARCH("Material 0 terverifikasi",'Offshore - Perth'!N142))),OR('Offshore - Perth'!G142&lt;&gt;0,ISNUMBER(SEARCH("Enrolment 0 terverifikasi",'Offshore - Perth'!N142)))),1,0)</f>
        <v>1</v>
      </c>
      <c r="M816" s="0" t="n">
        <f aca="false">IF(OR('Offshore - Perth'!E142="",ISNUMBER(SEARCH("BSB80120",'Offshore - Perth'!B142&amp;'Offshore - Perth'!N142)),ISNUMBER(SEARCH("Management (Learning)",'Offshore - Perth'!B142))),2,IF(ISNUMBER(SEARCH("CEK:",'Offshore - Perth'!N142)),1,0))</f>
        <v>0</v>
      </c>
    </row>
    <row r="817" customFormat="false" ht="28.35" hidden="false" customHeight="false" outlineLevel="0" collapsed="false">
      <c r="A817" s="63" t="s">
        <v>3573</v>
      </c>
      <c r="B817" s="64" t="s">
        <v>3990</v>
      </c>
      <c r="C817" s="63" t="s">
        <v>42</v>
      </c>
      <c r="D817" s="64" t="str">
        <f aca="false">TRIM(LEFT('Offshore - Perth'!A59,FIND(CHAR(10),'Offshore - Perth'!A59&amp;CHAR(10))-1))</f>
        <v>Global College Australasia</v>
      </c>
      <c r="E817" s="63" t="str">
        <f aca="false">'Offshore - Perth'!C68&amp;""</f>
        <v>4 years</v>
      </c>
      <c r="F817" s="63" t="str">
        <f aca="false">IF('Offshore - Perth'!D68="","Belum tercatat",'Offshore - Perth'!D68)</f>
        <v>Term</v>
      </c>
      <c r="G817" s="65" t="n">
        <f aca="false">IF('Offshore - Perth'!E68="","-",'Offshore - Perth'!E68)</f>
        <v>3375</v>
      </c>
      <c r="H817" s="63" t="n">
        <f aca="false">IF(ISNUMBER(K817),COUNTIFS($J$6:$J$1854,J817,$K$6:$K$1854,"&lt;"&amp;K817)+1,"-")</f>
        <v>5</v>
      </c>
      <c r="I817" s="64" t="str">
        <f aca="false">IF('Offshore - Perth'!E68="","Harga belum tersedia - hubungi konsultan TEG",IF(M817=2,"Saat ini tidak menerima pendaftaran siswa internasional baru",IF(M817=1,"Harga perlu dikonfirmasi ke sekolah"&amp;IF(""="","","; "&amp;""),"")))</f>
        <v/>
      </c>
      <c r="J817" s="0" t="s">
        <v>4049</v>
      </c>
      <c r="K817" s="0" t="n">
        <f aca="false">IF(M817=2,"",IF(ISNUMBER(SEARCH("rata-rata:",'Offshore - Perth'!N68)),VALUE(MID('Offshore - Perth'!N68,SEARCH("rata-rata:",'Offshore - Perth'!N68)+11,FIND(";",'Offshore - Perth'!N68&amp;";",SEARCH("rata-rata:",'Offshore - Perth'!N68))-SEARCH("rata-rata:",'Offshore - Perth'!N68)-11)),IF('Offshore - Perth'!D68="Semester",'Offshore - Perth'!E68*2,IF('Offshore - Perth'!D68="Trimester",'Offshore - Perth'!E68*3,IF('Offshore - Perth'!D68="Term",'Offshore - Perth'!E68*4,IF('Offshore - Perth'!D68="Unit",'Offshore - Perth'!E68*8,""))))))</f>
        <v>13500</v>
      </c>
      <c r="L817" s="0" t="n">
        <f aca="false">IF(AND(ISNUMBER('Offshore - Perth'!E68),ISNUMBER(K817),ISNUMBER('Offshore - Perth'!F68),ISNUMBER('Offshore - Perth'!G68),OR('Offshore - Perth'!F68&lt;&gt;0,ISNUMBER(SEARCH("Material 0 terverifikasi",'Offshore - Perth'!N68))),OR('Offshore - Perth'!G68&lt;&gt;0,ISNUMBER(SEARCH("Enrolment 0 terverifikasi",'Offshore - Perth'!N68)))),1,0)</f>
        <v>1</v>
      </c>
      <c r="M817" s="0" t="n">
        <f aca="false">IF(OR('Offshore - Perth'!E68="",ISNUMBER(SEARCH("BSB80120",'Offshore - Perth'!B68&amp;'Offshore - Perth'!N68)),ISNUMBER(SEARCH("Management (Learning)",'Offshore - Perth'!B68))),2,IF(ISNUMBER(SEARCH("CEK:",'Offshore - Perth'!N68)),1,0))</f>
        <v>0</v>
      </c>
    </row>
    <row r="818" customFormat="false" ht="28.35" hidden="false" customHeight="false" outlineLevel="0" collapsed="false">
      <c r="A818" s="63" t="s">
        <v>3573</v>
      </c>
      <c r="B818" s="64" t="s">
        <v>3990</v>
      </c>
      <c r="C818" s="63" t="s">
        <v>42</v>
      </c>
      <c r="D818" s="64" t="str">
        <f aca="false">TRIM(LEFT('Offshore - Perth'!A27,FIND(CHAR(10),'Offshore - Perth'!A27&amp;CHAR(10))-1))</f>
        <v>Apeiro Institute</v>
      </c>
      <c r="E818" s="63" t="str">
        <f aca="false">'Offshore - Perth'!C32&amp;""</f>
        <v>2,5 years</v>
      </c>
      <c r="F818" s="63" t="str">
        <f aca="false">IF('Offshore - Perth'!D32="","Belum tercatat",'Offshore - Perth'!D32)</f>
        <v>Term</v>
      </c>
      <c r="G818" s="65" t="n">
        <f aca="false">IF('Offshore - Perth'!E32="","-",'Offshore - Perth'!E32)</f>
        <v>3750</v>
      </c>
      <c r="H818" s="63" t="n">
        <f aca="false">IF(ISNUMBER(K818),COUNTIFS($J$6:$J$1854,J818,$K$6:$K$1854,"&lt;"&amp;K818)+1,"-")</f>
        <v>6</v>
      </c>
      <c r="I818" s="64" t="str">
        <f aca="false">IF('Offshore - Perth'!E32="","Harga belum tersedia - hubungi konsultan TEG",IF(M818=2,"Saat ini tidak menerima pendaftaran siswa internasional baru",IF(M818=1,"Harga perlu dikonfirmasi ke sekolah"&amp;IF(""="","","; "&amp;""),"")))</f>
        <v/>
      </c>
      <c r="J818" s="0" t="s">
        <v>4049</v>
      </c>
      <c r="K818" s="0" t="n">
        <f aca="false">IF(M818=2,"",IF(ISNUMBER(SEARCH("rata-rata:",'Offshore - Perth'!N32)),VALUE(MID('Offshore - Perth'!N32,SEARCH("rata-rata:",'Offshore - Perth'!N32)+11,FIND(";",'Offshore - Perth'!N32&amp;";",SEARCH("rata-rata:",'Offshore - Perth'!N32))-SEARCH("rata-rata:",'Offshore - Perth'!N32)-11)),IF('Offshore - Perth'!D32="Semester",'Offshore - Perth'!E32*2,IF('Offshore - Perth'!D32="Trimester",'Offshore - Perth'!E32*3,IF('Offshore - Perth'!D32="Term",'Offshore - Perth'!E32*4,IF('Offshore - Perth'!D32="Unit",'Offshore - Perth'!E32*8,""))))))</f>
        <v>15000</v>
      </c>
      <c r="L818" s="0" t="n">
        <f aca="false">IF(AND(ISNUMBER('Offshore - Perth'!E32),ISNUMBER(K818),ISNUMBER('Offshore - Perth'!F32),ISNUMBER('Offshore - Perth'!G32),OR('Offshore - Perth'!F32&lt;&gt;0,ISNUMBER(SEARCH("Material 0 terverifikasi",'Offshore - Perth'!N32))),OR('Offshore - Perth'!G32&lt;&gt;0,ISNUMBER(SEARCH("Enrolment 0 terverifikasi",'Offshore - Perth'!N32)))),1,0)</f>
        <v>1</v>
      </c>
      <c r="M818" s="0" t="n">
        <f aca="false">IF(OR('Offshore - Perth'!E32="",ISNUMBER(SEARCH("BSB80120",'Offshore - Perth'!B32&amp;'Offshore - Perth'!N32)),ISNUMBER(SEARCH("Management (Learning)",'Offshore - Perth'!B32))),2,IF(ISNUMBER(SEARCH("CEK:",'Offshore - Perth'!N32)),1,0))</f>
        <v>0</v>
      </c>
    </row>
    <row r="819" customFormat="false" ht="15" hidden="false" customHeight="false" outlineLevel="0" collapsed="false">
      <c r="A819" s="61" t="s">
        <v>4050</v>
      </c>
      <c r="B819" s="62"/>
      <c r="C819" s="62"/>
      <c r="D819" s="62"/>
      <c r="E819" s="62"/>
      <c r="F819" s="62"/>
      <c r="G819" s="62"/>
      <c r="H819" s="62"/>
      <c r="I819" s="62"/>
    </row>
    <row r="820" customFormat="false" ht="28.35" hidden="false" customHeight="false" outlineLevel="0" collapsed="false">
      <c r="A820" s="63" t="s">
        <v>3533</v>
      </c>
      <c r="B820" s="64" t="s">
        <v>3990</v>
      </c>
      <c r="C820" s="63" t="s">
        <v>39</v>
      </c>
      <c r="D820" s="64" t="str">
        <f aca="false">TRIM(LEFT('Offshore - Sydney'!A313,FIND(CHAR(10),'Offshore - Sydney'!A313&amp;CHAR(10))-1))</f>
        <v>Australian International College of Skills &amp; Education (AICSE)</v>
      </c>
      <c r="E820" s="63" t="str">
        <f aca="false">'Offshore - Sydney'!C313&amp;""</f>
        <v>1,5 years</v>
      </c>
      <c r="F820" s="63" t="str">
        <f aca="false">IF('Offshore - Sydney'!D313="","Belum tercatat",'Offshore - Sydney'!D313)</f>
        <v>Term</v>
      </c>
      <c r="G820" s="65" t="n">
        <f aca="false">IF('Offshore - Sydney'!E313="","-",'Offshore - Sydney'!E313)</f>
        <v>2000</v>
      </c>
      <c r="H820" s="63" t="n">
        <f aca="false">IF(ISNUMBER(K820),COUNTIFS($J$6:$J$1854,J820,$K$6:$K$1854,"&lt;"&amp;K820)+1,"-")</f>
        <v>1</v>
      </c>
      <c r="I820" s="64" t="str">
        <f aca="false">IF('Offshore - Sydney'!E313="","Harga belum tersedia - hubungi konsultan TEG",IF(M820=2,"Saat ini tidak menerima pendaftaran siswa internasional baru",IF(M820=1,"Harga perlu dikonfirmasi ke sekolah"&amp;IF(""="","","; "&amp;""),"")))</f>
        <v/>
      </c>
      <c r="J820" s="0" t="s">
        <v>4051</v>
      </c>
      <c r="K820" s="0" t="n">
        <f aca="false">IF(M820=2,"",IF(ISNUMBER(SEARCH("rata-rata:",'Offshore - Sydney'!N313)),VALUE(MID('Offshore - Sydney'!N313,SEARCH("rata-rata:",'Offshore - Sydney'!N313)+11,FIND(";",'Offshore - Sydney'!N313&amp;";",SEARCH("rata-rata:",'Offshore - Sydney'!N313))-SEARCH("rata-rata:",'Offshore - Sydney'!N313)-11)),IF('Offshore - Sydney'!D313="Semester",'Offshore - Sydney'!E313*2,IF('Offshore - Sydney'!D313="Trimester",'Offshore - Sydney'!E313*3,IF('Offshore - Sydney'!D313="Term",'Offshore - Sydney'!E313*4,IF('Offshore - Sydney'!D313="Unit",'Offshore - Sydney'!E313*8,""))))))</f>
        <v>8000</v>
      </c>
      <c r="L820" s="0" t="n">
        <f aca="false">IF(AND(ISNUMBER('Offshore - Sydney'!E313),ISNUMBER(K820),ISNUMBER('Offshore - Sydney'!F313),ISNUMBER('Offshore - Sydney'!G313),OR('Offshore - Sydney'!F313&lt;&gt;0,ISNUMBER(SEARCH("Material 0 terverifikasi",'Offshore - Sydney'!N313))),OR('Offshore - Sydney'!G313&lt;&gt;0,ISNUMBER(SEARCH("Enrolment 0 terverifikasi",'Offshore - Sydney'!N313)))),1,0)</f>
        <v>1</v>
      </c>
      <c r="M820" s="0" t="n">
        <f aca="false">IF(OR('Offshore - Sydney'!E313="",ISNUMBER(SEARCH("BSB80120",'Offshore - Sydney'!B313&amp;'Offshore - Sydney'!N313)),ISNUMBER(SEARCH("Management (Learning)",'Offshore - Sydney'!B313))),2,IF(ISNUMBER(SEARCH("CEK:",'Offshore - Sydney'!N313)),1,0))</f>
        <v>0</v>
      </c>
    </row>
    <row r="821" customFormat="false" ht="28.35" hidden="false" customHeight="false" outlineLevel="0" collapsed="false">
      <c r="A821" s="63" t="s">
        <v>3533</v>
      </c>
      <c r="B821" s="64" t="s">
        <v>3990</v>
      </c>
      <c r="C821" s="63" t="s">
        <v>39</v>
      </c>
      <c r="D821" s="64" t="str">
        <f aca="false">TRIM(LEFT('Offshore - Sydney'!A567,FIND(CHAR(10),'Offshore - Sydney'!A567&amp;CHAR(10))-1))</f>
        <v>Legend Institute</v>
      </c>
      <c r="E821" s="63" t="str">
        <f aca="false">'Offshore - Sydney'!C567&amp;""</f>
        <v>1 year</v>
      </c>
      <c r="F821" s="63" t="str">
        <f aca="false">IF('Offshore - Sydney'!D567="","Belum tercatat",'Offshore - Sydney'!D567)</f>
        <v>Term</v>
      </c>
      <c r="G821" s="65" t="n">
        <f aca="false">IF('Offshore - Sydney'!E567="","-",'Offshore - Sydney'!E567)</f>
        <v>2000</v>
      </c>
      <c r="H821" s="63" t="n">
        <f aca="false">IF(ISNUMBER(K821),COUNTIFS($J$6:$J$1854,J821,$K$6:$K$1854,"&lt;"&amp;K821)+1,"-")</f>
        <v>1</v>
      </c>
      <c r="I821" s="64" t="str">
        <f aca="false">IF('Offshore - Sydney'!E567="","Harga belum tersedia - hubungi konsultan TEG",IF(M821=2,"Saat ini tidak menerima pendaftaran siswa internasional baru",IF(M821=1,"Harga perlu dikonfirmasi ke sekolah"&amp;IF(""="","","; "&amp;""),"")))</f>
        <v>Harga perlu dikonfirmasi ke sekolah</v>
      </c>
      <c r="J821" s="0" t="s">
        <v>4051</v>
      </c>
      <c r="K821" s="0" t="n">
        <f aca="false">IF(M821=2,"",IF(ISNUMBER(SEARCH("rata-rata:",'Offshore - Sydney'!N567)),VALUE(MID('Offshore - Sydney'!N567,SEARCH("rata-rata:",'Offshore - Sydney'!N567)+11,FIND(";",'Offshore - Sydney'!N567&amp;";",SEARCH("rata-rata:",'Offshore - Sydney'!N567))-SEARCH("rata-rata:",'Offshore - Sydney'!N567)-11)),IF('Offshore - Sydney'!D567="Semester",'Offshore - Sydney'!E567*2,IF('Offshore - Sydney'!D567="Trimester",'Offshore - Sydney'!E567*3,IF('Offshore - Sydney'!D567="Term",'Offshore - Sydney'!E567*4,IF('Offshore - Sydney'!D567="Unit",'Offshore - Sydney'!E567*8,""))))))</f>
        <v>8000</v>
      </c>
      <c r="L821" s="0" t="n">
        <f aca="false">IF(AND(ISNUMBER('Offshore - Sydney'!E567),ISNUMBER(K821),ISNUMBER('Offshore - Sydney'!F567),ISNUMBER('Offshore - Sydney'!G567),OR('Offshore - Sydney'!F567&lt;&gt;0,ISNUMBER(SEARCH("Material 0 terverifikasi",'Offshore - Sydney'!N567))),OR('Offshore - Sydney'!G567&lt;&gt;0,ISNUMBER(SEARCH("Enrolment 0 terverifikasi",'Offshore - Sydney'!N567)))),1,0)</f>
        <v>1</v>
      </c>
      <c r="M821" s="0" t="n">
        <f aca="false">IF(OR('Offshore - Sydney'!E567="",ISNUMBER(SEARCH("BSB80120",'Offshore - Sydney'!B567&amp;'Offshore - Sydney'!N567)),ISNUMBER(SEARCH("Management (Learning)",'Offshore - Sydney'!B567))),2,IF(ISNUMBER(SEARCH("CEK:",'Offshore - Sydney'!N567)),1,0))</f>
        <v>1</v>
      </c>
    </row>
    <row r="822" customFormat="false" ht="28.35" hidden="false" customHeight="false" outlineLevel="0" collapsed="false">
      <c r="A822" s="63" t="s">
        <v>3533</v>
      </c>
      <c r="B822" s="64" t="s">
        <v>3990</v>
      </c>
      <c r="C822" s="63" t="s">
        <v>39</v>
      </c>
      <c r="D822" s="64" t="str">
        <f aca="false">TRIM(LEFT('Offshore - Sydney'!A1151,FIND(CHAR(10),'Offshore - Sydney'!A1151&amp;CHAR(10))-1))</f>
        <v>York Business Institute</v>
      </c>
      <c r="E822" s="63" t="str">
        <f aca="false">'Offshore - Sydney'!C1162&amp;""</f>
        <v>2 years</v>
      </c>
      <c r="F822" s="63" t="str">
        <f aca="false">IF('Offshore - Sydney'!D1162="","Belum tercatat",'Offshore - Sydney'!D1162)</f>
        <v>Term</v>
      </c>
      <c r="G822" s="65" t="n">
        <f aca="false">IF('Offshore - Sydney'!E1162="","-",'Offshore - Sydney'!E1162)</f>
        <v>2000</v>
      </c>
      <c r="H822" s="63" t="n">
        <f aca="false">IF(ISNUMBER(K822),COUNTIFS($J$6:$J$1854,J822,$K$6:$K$1854,"&lt;"&amp;K822)+1,"-")</f>
        <v>1</v>
      </c>
      <c r="I822" s="64" t="str">
        <f aca="false">IF('Offshore - Sydney'!E1162="","Harga belum tersedia - hubungi konsultan TEG",IF(M822=2,"Saat ini tidak menerima pendaftaran siswa internasional baru",IF(M822=1,"Harga perlu dikonfirmasi ke sekolah"&amp;IF(""="","","; "&amp;""),"")))</f>
        <v>Harga perlu dikonfirmasi ke sekolah</v>
      </c>
      <c r="J822" s="0" t="s">
        <v>4051</v>
      </c>
      <c r="K822" s="0" t="n">
        <f aca="false">IF(M822=2,"",IF(ISNUMBER(SEARCH("rata-rata:",'Offshore - Sydney'!N1162)),VALUE(MID('Offshore - Sydney'!N1162,SEARCH("rata-rata:",'Offshore - Sydney'!N1162)+11,FIND(";",'Offshore - Sydney'!N1162&amp;";",SEARCH("rata-rata:",'Offshore - Sydney'!N1162))-SEARCH("rata-rata:",'Offshore - Sydney'!N1162)-11)),IF('Offshore - Sydney'!D1162="Semester",'Offshore - Sydney'!E1162*2,IF('Offshore - Sydney'!D1162="Trimester",'Offshore - Sydney'!E1162*3,IF('Offshore - Sydney'!D1162="Term",'Offshore - Sydney'!E1162*4,IF('Offshore - Sydney'!D1162="Unit",'Offshore - Sydney'!E1162*8,""))))))</f>
        <v>8000</v>
      </c>
      <c r="L822" s="0" t="n">
        <f aca="false">IF(AND(ISNUMBER('Offshore - Sydney'!E1162),ISNUMBER(K822),ISNUMBER('Offshore - Sydney'!F1162),ISNUMBER('Offshore - Sydney'!G1162),OR('Offshore - Sydney'!F1162&lt;&gt;0,ISNUMBER(SEARCH("Material 0 terverifikasi",'Offshore - Sydney'!N1162))),OR('Offshore - Sydney'!G1162&lt;&gt;0,ISNUMBER(SEARCH("Enrolment 0 terverifikasi",'Offshore - Sydney'!N1162)))),1,0)</f>
        <v>1</v>
      </c>
      <c r="M822" s="0" t="n">
        <f aca="false">IF(OR('Offshore - Sydney'!E1162="",ISNUMBER(SEARCH("BSB80120",'Offshore - Sydney'!B1162&amp;'Offshore - Sydney'!N1162)),ISNUMBER(SEARCH("Management (Learning)",'Offshore - Sydney'!B1162))),2,IF(ISNUMBER(SEARCH("CEK:",'Offshore - Sydney'!N1162)),1,0))</f>
        <v>1</v>
      </c>
    </row>
    <row r="823" customFormat="false" ht="28.35" hidden="false" customHeight="false" outlineLevel="0" collapsed="false">
      <c r="A823" s="63" t="s">
        <v>3533</v>
      </c>
      <c r="B823" s="64" t="s">
        <v>3990</v>
      </c>
      <c r="C823" s="63" t="s">
        <v>39</v>
      </c>
      <c r="D823" s="64" t="str">
        <f aca="false">TRIM(LEFT('Offshore - Sydney'!A968,FIND(CHAR(10),'Offshore - Sydney'!A968&amp;CHAR(10))-1))</f>
        <v>Western Sydney College (WSC)</v>
      </c>
      <c r="E823" s="63" t="str">
        <f aca="false">'Offshore - Sydney'!C981&amp;""</f>
        <v>2 years</v>
      </c>
      <c r="F823" s="63" t="str">
        <f aca="false">IF('Offshore - Sydney'!D981="","Belum tercatat",'Offshore - Sydney'!D981)</f>
        <v>Term</v>
      </c>
      <c r="G823" s="65" t="n">
        <f aca="false">IF('Offshore - Sydney'!E981="","-",'Offshore - Sydney'!E981)</f>
        <v>2400</v>
      </c>
      <c r="H823" s="63" t="n">
        <f aca="false">IF(ISNUMBER(K823),COUNTIFS($J$6:$J$1854,J823,$K$6:$K$1854,"&lt;"&amp;K823)+1,"-")</f>
        <v>4</v>
      </c>
      <c r="I823" s="64" t="str">
        <f aca="false">IF('Offshore - Sydney'!E981="","Harga belum tersedia - hubungi konsultan TEG",IF(M823=2,"Saat ini tidak menerima pendaftaran siswa internasional baru",IF(M823=1,"Harga perlu dikonfirmasi ke sekolah"&amp;IF(""="","","; "&amp;""),"")))</f>
        <v/>
      </c>
      <c r="J823" s="0" t="s">
        <v>4051</v>
      </c>
      <c r="K823" s="0" t="n">
        <f aca="false">IF(M823=2,"",IF(ISNUMBER(SEARCH("rata-rata:",'Offshore - Sydney'!N981)),VALUE(MID('Offshore - Sydney'!N981,SEARCH("rata-rata:",'Offshore - Sydney'!N981)+11,FIND(";",'Offshore - Sydney'!N981&amp;";",SEARCH("rata-rata:",'Offshore - Sydney'!N981))-SEARCH("rata-rata:",'Offshore - Sydney'!N981)-11)),IF('Offshore - Sydney'!D981="Semester",'Offshore - Sydney'!E981*2,IF('Offshore - Sydney'!D981="Trimester",'Offshore - Sydney'!E981*3,IF('Offshore - Sydney'!D981="Term",'Offshore - Sydney'!E981*4,IF('Offshore - Sydney'!D981="Unit",'Offshore - Sydney'!E981*8,""))))))</f>
        <v>9600</v>
      </c>
      <c r="L823" s="0" t="n">
        <f aca="false">IF(AND(ISNUMBER('Offshore - Sydney'!E981),ISNUMBER(K823),ISNUMBER('Offshore - Sydney'!F981),ISNUMBER('Offshore - Sydney'!G981),OR('Offshore - Sydney'!F981&lt;&gt;0,ISNUMBER(SEARCH("Material 0 terverifikasi",'Offshore - Sydney'!N981))),OR('Offshore - Sydney'!G981&lt;&gt;0,ISNUMBER(SEARCH("Enrolment 0 terverifikasi",'Offshore - Sydney'!N981)))),1,0)</f>
        <v>1</v>
      </c>
      <c r="M823" s="0" t="n">
        <f aca="false">IF(OR('Offshore - Sydney'!E981="",ISNUMBER(SEARCH("BSB80120",'Offshore - Sydney'!B981&amp;'Offshore - Sydney'!N981)),ISNUMBER(SEARCH("Management (Learning)",'Offshore - Sydney'!B981))),2,IF(ISNUMBER(SEARCH("CEK:",'Offshore - Sydney'!N981)),1,0))</f>
        <v>0</v>
      </c>
    </row>
    <row r="824" customFormat="false" ht="28.35" hidden="false" customHeight="false" outlineLevel="0" collapsed="false">
      <c r="A824" s="63" t="s">
        <v>3533</v>
      </c>
      <c r="B824" s="64" t="s">
        <v>3990</v>
      </c>
      <c r="C824" s="63" t="s">
        <v>39</v>
      </c>
      <c r="D824" s="64" t="str">
        <f aca="false">TRIM(LEFT('Offshore - Sydney'!A117,FIND(CHAR(10),'Offshore - Sydney'!A117&amp;CHAR(10))-1))</f>
        <v>Alpha College of Australia (ACA)</v>
      </c>
      <c r="E824" s="63" t="str">
        <f aca="false">'Offshore - Sydney'!C117&amp;""</f>
        <v>2 years</v>
      </c>
      <c r="F824" s="63" t="str">
        <f aca="false">IF('Offshore - Sydney'!D117="","Belum tercatat",'Offshore - Sydney'!D117)</f>
        <v>Term</v>
      </c>
      <c r="G824" s="65" t="n">
        <f aca="false">IF('Offshore - Sydney'!E117="","-",'Offshore - Sydney'!E117)</f>
        <v>2500</v>
      </c>
      <c r="H824" s="63" t="n">
        <f aca="false">IF(ISNUMBER(K824),COUNTIFS($J$6:$J$1854,J824,$K$6:$K$1854,"&lt;"&amp;K824)+1,"-")</f>
        <v>5</v>
      </c>
      <c r="I824" s="64" t="str">
        <f aca="false">IF('Offshore - Sydney'!E117="","Harga belum tersedia - hubungi konsultan TEG",IF(M824=2,"Saat ini tidak menerima pendaftaran siswa internasional baru",IF(M824=1,"Harga perlu dikonfirmasi ke sekolah"&amp;IF(""="","","; "&amp;""),"")))</f>
        <v/>
      </c>
      <c r="J824" s="0" t="s">
        <v>4051</v>
      </c>
      <c r="K824" s="0" t="n">
        <f aca="false">IF(M824=2,"",IF(ISNUMBER(SEARCH("rata-rata:",'Offshore - Sydney'!N117)),VALUE(MID('Offshore - Sydney'!N117,SEARCH("rata-rata:",'Offshore - Sydney'!N117)+11,FIND(";",'Offshore - Sydney'!N117&amp;";",SEARCH("rata-rata:",'Offshore - Sydney'!N117))-SEARCH("rata-rata:",'Offshore - Sydney'!N117)-11)),IF('Offshore - Sydney'!D117="Semester",'Offshore - Sydney'!E117*2,IF('Offshore - Sydney'!D117="Trimester",'Offshore - Sydney'!E117*3,IF('Offshore - Sydney'!D117="Term",'Offshore - Sydney'!E117*4,IF('Offshore - Sydney'!D117="Unit",'Offshore - Sydney'!E117*8,""))))))</f>
        <v>10000</v>
      </c>
      <c r="L824" s="0" t="n">
        <f aca="false">IF(AND(ISNUMBER('Offshore - Sydney'!E117),ISNUMBER(K824),ISNUMBER('Offshore - Sydney'!F117),ISNUMBER('Offshore - Sydney'!G117),OR('Offshore - Sydney'!F117&lt;&gt;0,ISNUMBER(SEARCH("Material 0 terverifikasi",'Offshore - Sydney'!N117))),OR('Offshore - Sydney'!G117&lt;&gt;0,ISNUMBER(SEARCH("Enrolment 0 terverifikasi",'Offshore - Sydney'!N117)))),1,0)</f>
        <v>1</v>
      </c>
      <c r="M824" s="0" t="n">
        <f aca="false">IF(OR('Offshore - Sydney'!E117="",ISNUMBER(SEARCH("BSB80120",'Offshore - Sydney'!B117&amp;'Offshore - Sydney'!N117)),ISNUMBER(SEARCH("Management (Learning)",'Offshore - Sydney'!B117))),2,IF(ISNUMBER(SEARCH("CEK:",'Offshore - Sydney'!N117)),1,0))</f>
        <v>0</v>
      </c>
    </row>
    <row r="825" customFormat="false" ht="28.35" hidden="false" customHeight="false" outlineLevel="0" collapsed="false">
      <c r="A825" s="63" t="s">
        <v>3533</v>
      </c>
      <c r="B825" s="64" t="s">
        <v>3990</v>
      </c>
      <c r="C825" s="63" t="s">
        <v>39</v>
      </c>
      <c r="D825" s="64" t="str">
        <f aca="false">TRIM(LEFT('Offshore - Sydney'!A636,FIND(CHAR(10),'Offshore - Sydney'!A636&amp;CHAR(10))-1))</f>
        <v>NVR Education</v>
      </c>
      <c r="E825" s="63" t="str">
        <f aca="false">'Offshore - Sydney'!C636&amp;""</f>
        <v>2 years</v>
      </c>
      <c r="F825" s="63" t="str">
        <f aca="false">IF('Offshore - Sydney'!D636="","Belum tercatat",'Offshore - Sydney'!D636)</f>
        <v>Term</v>
      </c>
      <c r="G825" s="65" t="n">
        <f aca="false">IF('Offshore - Sydney'!E636="","-",'Offshore - Sydney'!E636)</f>
        <v>2600</v>
      </c>
      <c r="H825" s="63" t="n">
        <f aca="false">IF(ISNUMBER(K825),COUNTIFS($J$6:$J$1854,J825,$K$6:$K$1854,"&lt;"&amp;K825)+1,"-")</f>
        <v>6</v>
      </c>
      <c r="I825" s="64" t="str">
        <f aca="false">IF('Offshore - Sydney'!E636="","Harga belum tersedia - hubungi konsultan TEG",IF(M825=2,"Saat ini tidak menerima pendaftaran siswa internasional baru",IF(M825=1,"Harga perlu dikonfirmasi ke sekolah"&amp;IF(""="","","; "&amp;""),"")))</f>
        <v>Harga perlu dikonfirmasi ke sekolah</v>
      </c>
      <c r="J825" s="0" t="s">
        <v>4051</v>
      </c>
      <c r="K825" s="0" t="n">
        <f aca="false">IF(M825=2,"",IF(ISNUMBER(SEARCH("rata-rata:",'Offshore - Sydney'!N636)),VALUE(MID('Offshore - Sydney'!N636,SEARCH("rata-rata:",'Offshore - Sydney'!N636)+11,FIND(";",'Offshore - Sydney'!N636&amp;";",SEARCH("rata-rata:",'Offshore - Sydney'!N636))-SEARCH("rata-rata:",'Offshore - Sydney'!N636)-11)),IF('Offshore - Sydney'!D636="Semester",'Offshore - Sydney'!E636*2,IF('Offshore - Sydney'!D636="Trimester",'Offshore - Sydney'!E636*3,IF('Offshore - Sydney'!D636="Term",'Offshore - Sydney'!E636*4,IF('Offshore - Sydney'!D636="Unit",'Offshore - Sydney'!E636*8,""))))))</f>
        <v>10400</v>
      </c>
      <c r="L825" s="0" t="n">
        <f aca="false">IF(AND(ISNUMBER('Offshore - Sydney'!E636),ISNUMBER(K825),ISNUMBER('Offshore - Sydney'!F636),ISNUMBER('Offshore - Sydney'!G636),OR('Offshore - Sydney'!F636&lt;&gt;0,ISNUMBER(SEARCH("Material 0 terverifikasi",'Offshore - Sydney'!N636))),OR('Offshore - Sydney'!G636&lt;&gt;0,ISNUMBER(SEARCH("Enrolment 0 terverifikasi",'Offshore - Sydney'!N636)))),1,0)</f>
        <v>1</v>
      </c>
      <c r="M825" s="0" t="n">
        <f aca="false">IF(OR('Offshore - Sydney'!E636="",ISNUMBER(SEARCH("BSB80120",'Offshore - Sydney'!B636&amp;'Offshore - Sydney'!N636)),ISNUMBER(SEARCH("Management (Learning)",'Offshore - Sydney'!B636))),2,IF(ISNUMBER(SEARCH("CEK:",'Offshore - Sydney'!N636)),1,0))</f>
        <v>1</v>
      </c>
    </row>
    <row r="826" customFormat="false" ht="28.35" hidden="false" customHeight="false" outlineLevel="0" collapsed="false">
      <c r="A826" s="63" t="s">
        <v>3533</v>
      </c>
      <c r="B826" s="64" t="s">
        <v>3990</v>
      </c>
      <c r="C826" s="63" t="s">
        <v>39</v>
      </c>
      <c r="D826" s="64" t="str">
        <f aca="false">TRIM(LEFT('Offshore - Sydney'!A282,FIND(CHAR(10),'Offshore - Sydney'!A282&amp;CHAR(10))-1))</f>
        <v>Australian Harbour International College (AHIC)</v>
      </c>
      <c r="E826" s="63" t="str">
        <f aca="false">'Offshore - Sydney'!C294&amp;""</f>
        <v>2 years</v>
      </c>
      <c r="F826" s="63" t="str">
        <f aca="false">IF('Offshore - Sydney'!D294="","Belum tercatat",'Offshore - Sydney'!D294)</f>
        <v>Term</v>
      </c>
      <c r="G826" s="65" t="n">
        <f aca="false">IF('Offshore - Sydney'!E294="","-",'Offshore - Sydney'!E294)</f>
        <v>3000</v>
      </c>
      <c r="H826" s="63" t="n">
        <f aca="false">IF(ISNUMBER(K826),COUNTIFS($J$6:$J$1854,J826,$K$6:$K$1854,"&lt;"&amp;K826)+1,"-")</f>
        <v>7</v>
      </c>
      <c r="I826" s="64" t="str">
        <f aca="false">IF('Offshore - Sydney'!E294="","Harga belum tersedia - hubungi konsultan TEG",IF(M826=2,"Saat ini tidak menerima pendaftaran siswa internasional baru",IF(M826=1,"Harga perlu dikonfirmasi ke sekolah"&amp;IF(""="","","; "&amp;""),"")))</f>
        <v/>
      </c>
      <c r="J826" s="0" t="s">
        <v>4051</v>
      </c>
      <c r="K826" s="0" t="n">
        <f aca="false">IF(M826=2,"",IF(ISNUMBER(SEARCH("rata-rata:",'Offshore - Sydney'!N294)),VALUE(MID('Offshore - Sydney'!N294,SEARCH("rata-rata:",'Offshore - Sydney'!N294)+11,FIND(";",'Offshore - Sydney'!N294&amp;";",SEARCH("rata-rata:",'Offshore - Sydney'!N294))-SEARCH("rata-rata:",'Offshore - Sydney'!N294)-11)),IF('Offshore - Sydney'!D294="Semester",'Offshore - Sydney'!E294*2,IF('Offshore - Sydney'!D294="Trimester",'Offshore - Sydney'!E294*3,IF('Offshore - Sydney'!D294="Term",'Offshore - Sydney'!E294*4,IF('Offshore - Sydney'!D294="Unit",'Offshore - Sydney'!E294*8,""))))))</f>
        <v>12000</v>
      </c>
      <c r="L826" s="0" t="n">
        <f aca="false">IF(AND(ISNUMBER('Offshore - Sydney'!E294),ISNUMBER(K826),ISNUMBER('Offshore - Sydney'!F294),ISNUMBER('Offshore - Sydney'!G294),OR('Offshore - Sydney'!F294&lt;&gt;0,ISNUMBER(SEARCH("Material 0 terverifikasi",'Offshore - Sydney'!N294))),OR('Offshore - Sydney'!G294&lt;&gt;0,ISNUMBER(SEARCH("Enrolment 0 terverifikasi",'Offshore - Sydney'!N294)))),1,0)</f>
        <v>1</v>
      </c>
      <c r="M826" s="0" t="n">
        <f aca="false">IF(OR('Offshore - Sydney'!E294="",ISNUMBER(SEARCH("BSB80120",'Offshore - Sydney'!B294&amp;'Offshore - Sydney'!N294)),ISNUMBER(SEARCH("Management (Learning)",'Offshore - Sydney'!B294))),2,IF(ISNUMBER(SEARCH("CEK:",'Offshore - Sydney'!N294)),1,0))</f>
        <v>0</v>
      </c>
    </row>
    <row r="827" customFormat="false" ht="28.35" hidden="false" customHeight="false" outlineLevel="0" collapsed="false">
      <c r="A827" s="63" t="s">
        <v>3533</v>
      </c>
      <c r="B827" s="64" t="s">
        <v>3990</v>
      </c>
      <c r="C827" s="63" t="s">
        <v>39</v>
      </c>
      <c r="D827" s="64" t="str">
        <f aca="false">TRIM(LEFT('Offshore - Sydney'!A660,FIND(CHAR(10),'Offshore - Sydney'!A660&amp;CHAR(10))-1))</f>
        <v>Rosehill College</v>
      </c>
      <c r="E827" s="63" t="str">
        <f aca="false">'Offshore - Sydney'!C660&amp;""</f>
        <v>2 years</v>
      </c>
      <c r="F827" s="63" t="str">
        <f aca="false">IF('Offshore - Sydney'!D660="","Belum tercatat",'Offshore - Sydney'!D660)</f>
        <v>Term</v>
      </c>
      <c r="G827" s="65" t="n">
        <f aca="false">IF('Offshore - Sydney'!E660="","-",'Offshore - Sydney'!E660)</f>
        <v>3625</v>
      </c>
      <c r="H827" s="63" t="n">
        <f aca="false">IF(ISNUMBER(K827),COUNTIFS($J$6:$J$1854,J827,$K$6:$K$1854,"&lt;"&amp;K827)+1,"-")</f>
        <v>8</v>
      </c>
      <c r="I827" s="64" t="str">
        <f aca="false">IF('Offshore - Sydney'!E660="","Harga belum tersedia - hubungi konsultan TEG",IF(M827=2,"Saat ini tidak menerima pendaftaran siswa internasional baru",IF(M827=1,"Harga perlu dikonfirmasi ke sekolah"&amp;IF(""="","","; "&amp;""),"")))</f>
        <v>Harga perlu dikonfirmasi ke sekolah</v>
      </c>
      <c r="J827" s="0" t="s">
        <v>4051</v>
      </c>
      <c r="K827" s="0" t="n">
        <f aca="false">IF(M827=2,"",IF(ISNUMBER(SEARCH("rata-rata:",'Offshore - Sydney'!N660)),VALUE(MID('Offshore - Sydney'!N660,SEARCH("rata-rata:",'Offshore - Sydney'!N660)+11,FIND(";",'Offshore - Sydney'!N660&amp;";",SEARCH("rata-rata:",'Offshore - Sydney'!N660))-SEARCH("rata-rata:",'Offshore - Sydney'!N660)-11)),IF('Offshore - Sydney'!D660="Semester",'Offshore - Sydney'!E660*2,IF('Offshore - Sydney'!D660="Trimester",'Offshore - Sydney'!E660*3,IF('Offshore - Sydney'!D660="Term",'Offshore - Sydney'!E660*4,IF('Offshore - Sydney'!D660="Unit",'Offshore - Sydney'!E660*8,""))))))</f>
        <v>14500</v>
      </c>
      <c r="L827" s="0" t="n">
        <f aca="false">IF(AND(ISNUMBER('Offshore - Sydney'!E660),ISNUMBER(K827),ISNUMBER('Offshore - Sydney'!F660),ISNUMBER('Offshore - Sydney'!G660),OR('Offshore - Sydney'!F660&lt;&gt;0,ISNUMBER(SEARCH("Material 0 terverifikasi",'Offshore - Sydney'!N660))),OR('Offshore - Sydney'!G660&lt;&gt;0,ISNUMBER(SEARCH("Enrolment 0 terverifikasi",'Offshore - Sydney'!N660)))),1,0)</f>
        <v>1</v>
      </c>
      <c r="M827" s="0" t="n">
        <f aca="false">IF(OR('Offshore - Sydney'!E660="",ISNUMBER(SEARCH("BSB80120",'Offshore - Sydney'!B660&amp;'Offshore - Sydney'!N660)),ISNUMBER(SEARCH("Management (Learning)",'Offshore - Sydney'!B660))),2,IF(ISNUMBER(SEARCH("CEK:",'Offshore - Sydney'!N660)),1,0))</f>
        <v>1</v>
      </c>
    </row>
    <row r="828" customFormat="false" ht="28.35" hidden="false" customHeight="false" outlineLevel="0" collapsed="false">
      <c r="A828" s="63" t="s">
        <v>3533</v>
      </c>
      <c r="B828" s="64" t="s">
        <v>3990</v>
      </c>
      <c r="C828" s="63" t="s">
        <v>39</v>
      </c>
      <c r="D828" s="64" t="str">
        <f aca="false">TRIM(LEFT('Offshore - Sydney'!A677,FIND(CHAR(10),'Offshore - Sydney'!A677&amp;CHAR(10))-1))</f>
        <v>Signet Institute of Australia</v>
      </c>
      <c r="E828" s="63" t="str">
        <f aca="false">'Offshore - Sydney'!C677&amp;""</f>
        <v>2 years</v>
      </c>
      <c r="F828" s="63" t="str">
        <f aca="false">IF('Offshore - Sydney'!D677="","Belum tercatat",'Offshore - Sydney'!D677)</f>
        <v>Term</v>
      </c>
      <c r="G828" s="65" t="n">
        <f aca="false">IF('Offshore - Sydney'!E677="","-",'Offshore - Sydney'!E677)</f>
        <v>3650</v>
      </c>
      <c r="H828" s="63" t="n">
        <f aca="false">IF(ISNUMBER(K828),COUNTIFS($J$6:$J$1854,J828,$K$6:$K$1854,"&lt;"&amp;K828)+1,"-")</f>
        <v>9</v>
      </c>
      <c r="I828" s="64" t="str">
        <f aca="false">IF('Offshore - Sydney'!E677="","Harga belum tersedia - hubungi konsultan TEG",IF(M828=2,"Saat ini tidak menerima pendaftaran siswa internasional baru",IF(M828=1,"Harga perlu dikonfirmasi ke sekolah"&amp;IF(""="","","; "&amp;""),"")))</f>
        <v/>
      </c>
      <c r="J828" s="0" t="s">
        <v>4051</v>
      </c>
      <c r="K828" s="0" t="n">
        <f aca="false">IF(M828=2,"",IF(ISNUMBER(SEARCH("rata-rata:",'Offshore - Sydney'!N677)),VALUE(MID('Offshore - Sydney'!N677,SEARCH("rata-rata:",'Offshore - Sydney'!N677)+11,FIND(";",'Offshore - Sydney'!N677&amp;";",SEARCH("rata-rata:",'Offshore - Sydney'!N677))-SEARCH("rata-rata:",'Offshore - Sydney'!N677)-11)),IF('Offshore - Sydney'!D677="Semester",'Offshore - Sydney'!E677*2,IF('Offshore - Sydney'!D677="Trimester",'Offshore - Sydney'!E677*3,IF('Offshore - Sydney'!D677="Term",'Offshore - Sydney'!E677*4,IF('Offshore - Sydney'!D677="Unit",'Offshore - Sydney'!E677*8,""))))))</f>
        <v>14600</v>
      </c>
      <c r="L828" s="0" t="n">
        <f aca="false">IF(AND(ISNUMBER('Offshore - Sydney'!E677),ISNUMBER(K828),ISNUMBER('Offshore - Sydney'!F677),ISNUMBER('Offshore - Sydney'!G677),OR('Offshore - Sydney'!F677&lt;&gt;0,ISNUMBER(SEARCH("Material 0 terverifikasi",'Offshore - Sydney'!N677))),OR('Offshore - Sydney'!G677&lt;&gt;0,ISNUMBER(SEARCH("Enrolment 0 terverifikasi",'Offshore - Sydney'!N677)))),1,0)</f>
        <v>1</v>
      </c>
      <c r="M828" s="0" t="n">
        <f aca="false">IF(OR('Offshore - Sydney'!E677="",ISNUMBER(SEARCH("BSB80120",'Offshore - Sydney'!B677&amp;'Offshore - Sydney'!N677)),ISNUMBER(SEARCH("Management (Learning)",'Offshore - Sydney'!B677))),2,IF(ISNUMBER(SEARCH("CEK:",'Offshore - Sydney'!N677)),1,0))</f>
        <v>0</v>
      </c>
    </row>
    <row r="829" customFormat="false" ht="28.35" hidden="false" customHeight="false" outlineLevel="0" collapsed="false">
      <c r="A829" s="63" t="s">
        <v>3533</v>
      </c>
      <c r="B829" s="64" t="s">
        <v>3990</v>
      </c>
      <c r="C829" s="63" t="s">
        <v>39</v>
      </c>
      <c r="D829" s="64" t="str">
        <f aca="false">TRIM(LEFT('Offshore - Sydney'!A721,FIND(CHAR(10),'Offshore - Sydney'!A721&amp;CHAR(10))-1))</f>
        <v>TAFE NSW</v>
      </c>
      <c r="E829" s="63" t="str">
        <f aca="false">'Offshore - Sydney'!C774&amp;""</f>
        <v>0,5 year</v>
      </c>
      <c r="F829" s="63" t="str">
        <f aca="false">IF('Offshore - Sydney'!D774="","Belum tercatat",'Offshore - Sydney'!D774)</f>
        <v>Term</v>
      </c>
      <c r="G829" s="65" t="n">
        <f aca="false">IF('Offshore - Sydney'!E774="","-",'Offshore - Sydney'!E774)</f>
        <v>8400</v>
      </c>
      <c r="H829" s="63" t="n">
        <f aca="false">IF(ISNUMBER(K829),COUNTIFS($J$6:$J$1854,J829,$K$6:$K$1854,"&lt;"&amp;K829)+1,"-")</f>
        <v>10</v>
      </c>
      <c r="I829" s="64" t="str">
        <f aca="false">IF('Offshore - Sydney'!E774="","Harga belum tersedia - hubungi konsultan TEG",IF(M829=2,"Saat ini tidak menerima pendaftaran siswa internasional baru",IF(M829=1,"Harga perlu dikonfirmasi ke sekolah"&amp;IF(""="","","; "&amp;""),"")))</f>
        <v/>
      </c>
      <c r="J829" s="0" t="s">
        <v>4051</v>
      </c>
      <c r="K829" s="0" t="n">
        <f aca="false">IF(M829=2,"",IF(ISNUMBER(SEARCH("rata-rata:",'Offshore - Sydney'!N774)),VALUE(MID('Offshore - Sydney'!N774,SEARCH("rata-rata:",'Offshore - Sydney'!N774)+11,FIND(";",'Offshore - Sydney'!N774&amp;";",SEARCH("rata-rata:",'Offshore - Sydney'!N774))-SEARCH("rata-rata:",'Offshore - Sydney'!N774)-11)),IF('Offshore - Sydney'!D774="Semester",'Offshore - Sydney'!E774*2,IF('Offshore - Sydney'!D774="Trimester",'Offshore - Sydney'!E774*3,IF('Offshore - Sydney'!D774="Term",'Offshore - Sydney'!E774*4,IF('Offshore - Sydney'!D774="Unit",'Offshore - Sydney'!E774*8,""))))))</f>
        <v>33600</v>
      </c>
      <c r="L829" s="0" t="n">
        <f aca="false">IF(AND(ISNUMBER('Offshore - Sydney'!E774),ISNUMBER(K829),ISNUMBER('Offshore - Sydney'!F774),ISNUMBER('Offshore - Sydney'!G774),OR('Offshore - Sydney'!F774&lt;&gt;0,ISNUMBER(SEARCH("Material 0 terverifikasi",'Offshore - Sydney'!N774))),OR('Offshore - Sydney'!G774&lt;&gt;0,ISNUMBER(SEARCH("Enrolment 0 terverifikasi",'Offshore - Sydney'!N774)))),1,0)</f>
        <v>0</v>
      </c>
      <c r="M829" s="0" t="n">
        <f aca="false">IF(OR('Offshore - Sydney'!E774="",ISNUMBER(SEARCH("BSB80120",'Offshore - Sydney'!B774&amp;'Offshore - Sydney'!N774)),ISNUMBER(SEARCH("Management (Learning)",'Offshore - Sydney'!B774))),2,IF(ISNUMBER(SEARCH("CEK:",'Offshore - Sydney'!N774)),1,0))</f>
        <v>0</v>
      </c>
    </row>
    <row r="830" customFormat="false" ht="15" hidden="false" customHeight="false" outlineLevel="0" collapsed="false">
      <c r="A830" s="61" t="s">
        <v>4052</v>
      </c>
      <c r="B830" s="62"/>
      <c r="C830" s="62"/>
      <c r="D830" s="62"/>
      <c r="E830" s="62"/>
      <c r="F830" s="62"/>
      <c r="G830" s="62"/>
      <c r="H830" s="62"/>
      <c r="I830" s="62"/>
    </row>
    <row r="831" customFormat="false" ht="28.35" hidden="false" customHeight="false" outlineLevel="0" collapsed="false">
      <c r="A831" s="63" t="s">
        <v>3533</v>
      </c>
      <c r="B831" s="64" t="s">
        <v>3990</v>
      </c>
      <c r="C831" s="63" t="s">
        <v>40</v>
      </c>
      <c r="D831" s="64" t="str">
        <f aca="false">TRIM(LEFT('Offshore - Sydney'!A567,FIND(CHAR(10),'Offshore - Sydney'!A567&amp;CHAR(10))-1))</f>
        <v>Legend Institute</v>
      </c>
      <c r="E831" s="63" t="str">
        <f aca="false">'Offshore - Sydney'!C568&amp;""</f>
        <v>2 years</v>
      </c>
      <c r="F831" s="63" t="str">
        <f aca="false">IF('Offshore - Sydney'!D568="","Belum tercatat",'Offshore - Sydney'!D568)</f>
        <v>Term</v>
      </c>
      <c r="G831" s="65" t="n">
        <f aca="false">IF('Offshore - Sydney'!E568="","-",'Offshore - Sydney'!E568)</f>
        <v>2000</v>
      </c>
      <c r="H831" s="63" t="n">
        <f aca="false">IF(ISNUMBER(K831),COUNTIFS($J$6:$J$1854,J831,$K$6:$K$1854,"&lt;"&amp;K831)+1,"-")</f>
        <v>1</v>
      </c>
      <c r="I831" s="64" t="str">
        <f aca="false">IF('Offshore - Sydney'!E568="","Harga belum tersedia - hubungi konsultan TEG",IF(M831=2,"Saat ini tidak menerima pendaftaran siswa internasional baru",IF(M831=1,"Harga perlu dikonfirmasi ke sekolah"&amp;IF(""="","","; "&amp;""),"")))</f>
        <v>Harga perlu dikonfirmasi ke sekolah</v>
      </c>
      <c r="J831" s="0" t="s">
        <v>4053</v>
      </c>
      <c r="K831" s="0" t="n">
        <f aca="false">IF(M831=2,"",IF(ISNUMBER(SEARCH("rata-rata:",'Offshore - Sydney'!N568)),VALUE(MID('Offshore - Sydney'!N568,SEARCH("rata-rata:",'Offshore - Sydney'!N568)+11,FIND(";",'Offshore - Sydney'!N568&amp;";",SEARCH("rata-rata:",'Offshore - Sydney'!N568))-SEARCH("rata-rata:",'Offshore - Sydney'!N568)-11)),IF('Offshore - Sydney'!D568="Semester",'Offshore - Sydney'!E568*2,IF('Offshore - Sydney'!D568="Trimester",'Offshore - Sydney'!E568*3,IF('Offshore - Sydney'!D568="Term",'Offshore - Sydney'!E568*4,IF('Offshore - Sydney'!D568="Unit",'Offshore - Sydney'!E568*8,""))))))</f>
        <v>8000</v>
      </c>
      <c r="L831" s="0" t="n">
        <f aca="false">IF(AND(ISNUMBER('Offshore - Sydney'!E568),ISNUMBER(K831),ISNUMBER('Offshore - Sydney'!F568),ISNUMBER('Offshore - Sydney'!G568),OR('Offshore - Sydney'!F568&lt;&gt;0,ISNUMBER(SEARCH("Material 0 terverifikasi",'Offshore - Sydney'!N568))),OR('Offshore - Sydney'!G568&lt;&gt;0,ISNUMBER(SEARCH("Enrolment 0 terverifikasi",'Offshore - Sydney'!N568)))),1,0)</f>
        <v>1</v>
      </c>
      <c r="M831" s="0" t="n">
        <f aca="false">IF(OR('Offshore - Sydney'!E568="",ISNUMBER(SEARCH("BSB80120",'Offshore - Sydney'!B568&amp;'Offshore - Sydney'!N568)),ISNUMBER(SEARCH("Management (Learning)",'Offshore - Sydney'!B568))),2,IF(ISNUMBER(SEARCH("CEK:",'Offshore - Sydney'!N568)),1,0))</f>
        <v>1</v>
      </c>
    </row>
    <row r="832" customFormat="false" ht="28.35" hidden="false" customHeight="false" outlineLevel="0" collapsed="false">
      <c r="A832" s="63" t="s">
        <v>3533</v>
      </c>
      <c r="B832" s="64" t="s">
        <v>3990</v>
      </c>
      <c r="C832" s="63" t="s">
        <v>40</v>
      </c>
      <c r="D832" s="64" t="str">
        <f aca="false">TRIM(LEFT('Offshore - Sydney'!A117,FIND(CHAR(10),'Offshore - Sydney'!A117&amp;CHAR(10))-1))</f>
        <v>Alpha College of Australia (ACA)</v>
      </c>
      <c r="E832" s="63" t="str">
        <f aca="false">'Offshore - Sydney'!C118&amp;""</f>
        <v>1 year</v>
      </c>
      <c r="F832" s="63" t="str">
        <f aca="false">IF('Offshore - Sydney'!D118="","Belum tercatat",'Offshore - Sydney'!D118)</f>
        <v>Term</v>
      </c>
      <c r="G832" s="65" t="n">
        <f aca="false">IF('Offshore - Sydney'!E118="","-",'Offshore - Sydney'!E118)</f>
        <v>2500</v>
      </c>
      <c r="H832" s="63" t="n">
        <f aca="false">IF(ISNUMBER(K832),COUNTIFS($J$6:$J$1854,J832,$K$6:$K$1854,"&lt;"&amp;K832)+1,"-")</f>
        <v>2</v>
      </c>
      <c r="I832" s="64" t="str">
        <f aca="false">IF('Offshore - Sydney'!E118="","Harga belum tersedia - hubungi konsultan TEG",IF(M832=2,"Saat ini tidak menerima pendaftaran siswa internasional baru",IF(M832=1,"Harga perlu dikonfirmasi ke sekolah"&amp;IF(""="","","; "&amp;""),"")))</f>
        <v/>
      </c>
      <c r="J832" s="0" t="s">
        <v>4053</v>
      </c>
      <c r="K832" s="0" t="n">
        <f aca="false">IF(M832=2,"",IF(ISNUMBER(SEARCH("rata-rata:",'Offshore - Sydney'!N118)),VALUE(MID('Offshore - Sydney'!N118,SEARCH("rata-rata:",'Offshore - Sydney'!N118)+11,FIND(";",'Offshore - Sydney'!N118&amp;";",SEARCH("rata-rata:",'Offshore - Sydney'!N118))-SEARCH("rata-rata:",'Offshore - Sydney'!N118)-11)),IF('Offshore - Sydney'!D118="Semester",'Offshore - Sydney'!E118*2,IF('Offshore - Sydney'!D118="Trimester",'Offshore - Sydney'!E118*3,IF('Offshore - Sydney'!D118="Term",'Offshore - Sydney'!E118*4,IF('Offshore - Sydney'!D118="Unit",'Offshore - Sydney'!E118*8,""))))))</f>
        <v>10000</v>
      </c>
      <c r="L832" s="0" t="n">
        <f aca="false">IF(AND(ISNUMBER('Offshore - Sydney'!E118),ISNUMBER(K832),ISNUMBER('Offshore - Sydney'!F118),ISNUMBER('Offshore - Sydney'!G118),OR('Offshore - Sydney'!F118&lt;&gt;0,ISNUMBER(SEARCH("Material 0 terverifikasi",'Offshore - Sydney'!N118))),OR('Offshore - Sydney'!G118&lt;&gt;0,ISNUMBER(SEARCH("Enrolment 0 terverifikasi",'Offshore - Sydney'!N118)))),1,0)</f>
        <v>1</v>
      </c>
      <c r="M832" s="0" t="n">
        <f aca="false">IF(OR('Offshore - Sydney'!E118="",ISNUMBER(SEARCH("BSB80120",'Offshore - Sydney'!B118&amp;'Offshore - Sydney'!N118)),ISNUMBER(SEARCH("Management (Learning)",'Offshore - Sydney'!B118))),2,IF(ISNUMBER(SEARCH("CEK:",'Offshore - Sydney'!N118)),1,0))</f>
        <v>0</v>
      </c>
    </row>
    <row r="833" customFormat="false" ht="28.35" hidden="false" customHeight="false" outlineLevel="0" collapsed="false">
      <c r="A833" s="63" t="s">
        <v>3533</v>
      </c>
      <c r="B833" s="64" t="s">
        <v>3990</v>
      </c>
      <c r="C833" s="63" t="s">
        <v>40</v>
      </c>
      <c r="D833" s="64" t="str">
        <f aca="false">TRIM(LEFT('Offshore - Sydney'!A313,FIND(CHAR(10),'Offshore - Sydney'!A313&amp;CHAR(10))-1))</f>
        <v>Australian International College of Skills &amp; Education (AICSE)</v>
      </c>
      <c r="E833" s="63" t="str">
        <f aca="false">'Offshore - Sydney'!C317&amp;""</f>
        <v>1 year</v>
      </c>
      <c r="F833" s="63" t="str">
        <f aca="false">IF('Offshore - Sydney'!D317="","Belum tercatat",'Offshore - Sydney'!D317)</f>
        <v>Term</v>
      </c>
      <c r="G833" s="65" t="n">
        <f aca="false">IF('Offshore - Sydney'!E317="","-",'Offshore - Sydney'!E317)</f>
        <v>2700</v>
      </c>
      <c r="H833" s="63" t="n">
        <f aca="false">IF(ISNUMBER(K833),COUNTIFS($J$6:$J$1854,J833,$K$6:$K$1854,"&lt;"&amp;K833)+1,"-")</f>
        <v>3</v>
      </c>
      <c r="I833" s="64" t="str">
        <f aca="false">IF('Offshore - Sydney'!E317="","Harga belum tersedia - hubungi konsultan TEG",IF(M833=2,"Saat ini tidak menerima pendaftaran siswa internasional baru",IF(M833=1,"Harga perlu dikonfirmasi ke sekolah"&amp;IF(""="","","; "&amp;""),"")))</f>
        <v/>
      </c>
      <c r="J833" s="0" t="s">
        <v>4053</v>
      </c>
      <c r="K833" s="0" t="n">
        <f aca="false">IF(M833=2,"",IF(ISNUMBER(SEARCH("rata-rata:",'Offshore - Sydney'!N317)),VALUE(MID('Offshore - Sydney'!N317,SEARCH("rata-rata:",'Offshore - Sydney'!N317)+11,FIND(";",'Offshore - Sydney'!N317&amp;";",SEARCH("rata-rata:",'Offshore - Sydney'!N317))-SEARCH("rata-rata:",'Offshore - Sydney'!N317)-11)),IF('Offshore - Sydney'!D317="Semester",'Offshore - Sydney'!E317*2,IF('Offshore - Sydney'!D317="Trimester",'Offshore - Sydney'!E317*3,IF('Offshore - Sydney'!D317="Term",'Offshore - Sydney'!E317*4,IF('Offshore - Sydney'!D317="Unit",'Offshore - Sydney'!E317*8,""))))))</f>
        <v>10800</v>
      </c>
      <c r="L833" s="0" t="n">
        <f aca="false">IF(AND(ISNUMBER('Offshore - Sydney'!E317),ISNUMBER(K833),ISNUMBER('Offshore - Sydney'!F317),ISNUMBER('Offshore - Sydney'!G317),OR('Offshore - Sydney'!F317&lt;&gt;0,ISNUMBER(SEARCH("Material 0 terverifikasi",'Offshore - Sydney'!N317))),OR('Offshore - Sydney'!G317&lt;&gt;0,ISNUMBER(SEARCH("Enrolment 0 terverifikasi",'Offshore - Sydney'!N317)))),1,0)</f>
        <v>1</v>
      </c>
      <c r="M833" s="0" t="n">
        <f aca="false">IF(OR('Offshore - Sydney'!E317="",ISNUMBER(SEARCH("BSB80120",'Offshore - Sydney'!B317&amp;'Offshore - Sydney'!N317)),ISNUMBER(SEARCH("Management (Learning)",'Offshore - Sydney'!B317))),2,IF(ISNUMBER(SEARCH("CEK:",'Offshore - Sydney'!N317)),1,0))</f>
        <v>0</v>
      </c>
    </row>
    <row r="834" customFormat="false" ht="15" hidden="false" customHeight="false" outlineLevel="0" collapsed="false">
      <c r="A834" s="61" t="s">
        <v>4054</v>
      </c>
      <c r="B834" s="62"/>
      <c r="C834" s="62"/>
      <c r="D834" s="62"/>
      <c r="E834" s="62"/>
      <c r="F834" s="62"/>
      <c r="G834" s="62"/>
      <c r="H834" s="62"/>
      <c r="I834" s="62"/>
    </row>
    <row r="835" customFormat="false" ht="28.35" hidden="false" customHeight="false" outlineLevel="0" collapsed="false">
      <c r="A835" s="63" t="s">
        <v>3533</v>
      </c>
      <c r="B835" s="64" t="s">
        <v>3990</v>
      </c>
      <c r="C835" s="63" t="s">
        <v>41</v>
      </c>
      <c r="D835" s="64" t="str">
        <f aca="false">TRIM(LEFT('Offshore - Sydney'!A567,FIND(CHAR(10),'Offshore - Sydney'!A567&amp;CHAR(10))-1))</f>
        <v>Legend Institute</v>
      </c>
      <c r="E835" s="63" t="str">
        <f aca="false">'Offshore - Sydney'!C569&amp;""</f>
        <v>2 years</v>
      </c>
      <c r="F835" s="63" t="str">
        <f aca="false">IF('Offshore - Sydney'!D569="","Belum tercatat",'Offshore - Sydney'!D569)</f>
        <v>Term</v>
      </c>
      <c r="G835" s="65" t="n">
        <f aca="false">IF('Offshore - Sydney'!E569="","-",'Offshore - Sydney'!E569)</f>
        <v>2000</v>
      </c>
      <c r="H835" s="63" t="n">
        <f aca="false">IF(ISNUMBER(K835),COUNTIFS($J$6:$J$1854,J835,$K$6:$K$1854,"&lt;"&amp;K835)+1,"-")</f>
        <v>1</v>
      </c>
      <c r="I835" s="64" t="str">
        <f aca="false">IF('Offshore - Sydney'!E569="","Harga belum tersedia - hubungi konsultan TEG",IF(M835=2,"Saat ini tidak menerima pendaftaran siswa internasional baru",IF(M835=1,"Harga perlu dikonfirmasi ke sekolah"&amp;IF(""="","","; "&amp;""),"")))</f>
        <v>Harga perlu dikonfirmasi ke sekolah</v>
      </c>
      <c r="J835" s="0" t="s">
        <v>4055</v>
      </c>
      <c r="K835" s="0" t="n">
        <f aca="false">IF(M835=2,"",IF(ISNUMBER(SEARCH("rata-rata:",'Offshore - Sydney'!N569)),VALUE(MID('Offshore - Sydney'!N569,SEARCH("rata-rata:",'Offshore - Sydney'!N569)+11,FIND(";",'Offshore - Sydney'!N569&amp;";",SEARCH("rata-rata:",'Offshore - Sydney'!N569))-SEARCH("rata-rata:",'Offshore - Sydney'!N569)-11)),IF('Offshore - Sydney'!D569="Semester",'Offshore - Sydney'!E569*2,IF('Offshore - Sydney'!D569="Trimester",'Offshore - Sydney'!E569*3,IF('Offshore - Sydney'!D569="Term",'Offshore - Sydney'!E569*4,IF('Offshore - Sydney'!D569="Unit",'Offshore - Sydney'!E569*8,""))))))</f>
        <v>8000</v>
      </c>
      <c r="L835" s="0" t="n">
        <f aca="false">IF(AND(ISNUMBER('Offshore - Sydney'!E569),ISNUMBER(K835),ISNUMBER('Offshore - Sydney'!F569),ISNUMBER('Offshore - Sydney'!G569),OR('Offshore - Sydney'!F569&lt;&gt;0,ISNUMBER(SEARCH("Material 0 terverifikasi",'Offshore - Sydney'!N569))),OR('Offshore - Sydney'!G569&lt;&gt;0,ISNUMBER(SEARCH("Enrolment 0 terverifikasi",'Offshore - Sydney'!N569)))),1,0)</f>
        <v>1</v>
      </c>
      <c r="M835" s="0" t="n">
        <f aca="false">IF(OR('Offshore - Sydney'!E569="",ISNUMBER(SEARCH("BSB80120",'Offshore - Sydney'!B569&amp;'Offshore - Sydney'!N569)),ISNUMBER(SEARCH("Management (Learning)",'Offshore - Sydney'!B569))),2,IF(ISNUMBER(SEARCH("CEK:",'Offshore - Sydney'!N569)),1,0))</f>
        <v>1</v>
      </c>
    </row>
    <row r="836" customFormat="false" ht="28.35" hidden="false" customHeight="false" outlineLevel="0" collapsed="false">
      <c r="A836" s="63" t="s">
        <v>3533</v>
      </c>
      <c r="B836" s="64" t="s">
        <v>3990</v>
      </c>
      <c r="C836" s="63" t="s">
        <v>41</v>
      </c>
      <c r="D836" s="64" t="str">
        <f aca="false">TRIM(LEFT('Offshore - Sydney'!A1151,FIND(CHAR(10),'Offshore - Sydney'!A1151&amp;CHAR(10))-1))</f>
        <v>York Business Institute</v>
      </c>
      <c r="E836" s="63" t="str">
        <f aca="false">'Offshore - Sydney'!C1166&amp;""</f>
        <v>3 years</v>
      </c>
      <c r="F836" s="63" t="str">
        <f aca="false">IF('Offshore - Sydney'!D1166="","Belum tercatat",'Offshore - Sydney'!D1166)</f>
        <v>Term</v>
      </c>
      <c r="G836" s="65" t="n">
        <f aca="false">IF('Offshore - Sydney'!E1166="","-",'Offshore - Sydney'!E1166)</f>
        <v>2000</v>
      </c>
      <c r="H836" s="63" t="n">
        <f aca="false">IF(ISNUMBER(K836),COUNTIFS($J$6:$J$1854,J836,$K$6:$K$1854,"&lt;"&amp;K836)+1,"-")</f>
        <v>1</v>
      </c>
      <c r="I836" s="64" t="str">
        <f aca="false">IF('Offshore - Sydney'!E1166="","Harga belum tersedia - hubungi konsultan TEG",IF(M836=2,"Saat ini tidak menerima pendaftaran siswa internasional baru",IF(M836=1,"Harga perlu dikonfirmasi ke sekolah"&amp;IF(""="","","; "&amp;""),"")))</f>
        <v>Harga perlu dikonfirmasi ke sekolah</v>
      </c>
      <c r="J836" s="0" t="s">
        <v>4055</v>
      </c>
      <c r="K836" s="0" t="n">
        <f aca="false">IF(M836=2,"",IF(ISNUMBER(SEARCH("rata-rata:",'Offshore - Sydney'!N1166)),VALUE(MID('Offshore - Sydney'!N1166,SEARCH("rata-rata:",'Offshore - Sydney'!N1166)+11,FIND(";",'Offshore - Sydney'!N1166&amp;";",SEARCH("rata-rata:",'Offshore - Sydney'!N1166))-SEARCH("rata-rata:",'Offshore - Sydney'!N1166)-11)),IF('Offshore - Sydney'!D1166="Semester",'Offshore - Sydney'!E1166*2,IF('Offshore - Sydney'!D1166="Trimester",'Offshore - Sydney'!E1166*3,IF('Offshore - Sydney'!D1166="Term",'Offshore - Sydney'!E1166*4,IF('Offshore - Sydney'!D1166="Unit",'Offshore - Sydney'!E1166*8,""))))))</f>
        <v>8000</v>
      </c>
      <c r="L836" s="0" t="n">
        <f aca="false">IF(AND(ISNUMBER('Offshore - Sydney'!E1166),ISNUMBER(K836),ISNUMBER('Offshore - Sydney'!F1166),ISNUMBER('Offshore - Sydney'!G1166),OR('Offshore - Sydney'!F1166&lt;&gt;0,ISNUMBER(SEARCH("Material 0 terverifikasi",'Offshore - Sydney'!N1166))),OR('Offshore - Sydney'!G1166&lt;&gt;0,ISNUMBER(SEARCH("Enrolment 0 terverifikasi",'Offshore - Sydney'!N1166)))),1,0)</f>
        <v>1</v>
      </c>
      <c r="M836" s="0" t="n">
        <f aca="false">IF(OR('Offshore - Sydney'!E1166="",ISNUMBER(SEARCH("BSB80120",'Offshore - Sydney'!B1166&amp;'Offshore - Sydney'!N1166)),ISNUMBER(SEARCH("Management (Learning)",'Offshore - Sydney'!B1166))),2,IF(ISNUMBER(SEARCH("CEK:",'Offshore - Sydney'!N1166)),1,0))</f>
        <v>1</v>
      </c>
    </row>
    <row r="837" customFormat="false" ht="28.35" hidden="false" customHeight="false" outlineLevel="0" collapsed="false">
      <c r="A837" s="63" t="s">
        <v>3533</v>
      </c>
      <c r="B837" s="64" t="s">
        <v>3990</v>
      </c>
      <c r="C837" s="63" t="s">
        <v>41</v>
      </c>
      <c r="D837" s="64" t="str">
        <f aca="false">TRIM(LEFT('Offshore - Sydney'!A94,FIND(CHAR(10),'Offshore - Sydney'!A94&amp;CHAR(10))-1))</f>
        <v>Albury College</v>
      </c>
      <c r="E837" s="63" t="str">
        <f aca="false">'Offshore - Sydney'!C96&amp;""</f>
        <v>2,5 years</v>
      </c>
      <c r="F837" s="63" t="str">
        <f aca="false">IF('Offshore - Sydney'!D96="","Belum tercatat",'Offshore - Sydney'!D96)</f>
        <v>Term</v>
      </c>
      <c r="G837" s="65" t="n">
        <f aca="false">IF('Offshore - Sydney'!E96="","-",'Offshore - Sydney'!E96)</f>
        <v>2200</v>
      </c>
      <c r="H837" s="63" t="n">
        <f aca="false">IF(ISNUMBER(K837),COUNTIFS($J$6:$J$1854,J837,$K$6:$K$1854,"&lt;"&amp;K837)+1,"-")</f>
        <v>3</v>
      </c>
      <c r="I837" s="64" t="str">
        <f aca="false">IF('Offshore - Sydney'!E96="","Harga belum tersedia - hubungi konsultan TEG",IF(M837=2,"Saat ini tidak menerima pendaftaran siswa internasional baru",IF(M837=1,"Harga perlu dikonfirmasi ke sekolah"&amp;IF(""="","","; "&amp;""),"")))</f>
        <v/>
      </c>
      <c r="J837" s="0" t="s">
        <v>4055</v>
      </c>
      <c r="K837" s="0" t="n">
        <f aca="false">IF(M837=2,"",IF(ISNUMBER(SEARCH("rata-rata:",'Offshore - Sydney'!N96)),VALUE(MID('Offshore - Sydney'!N96,SEARCH("rata-rata:",'Offshore - Sydney'!N96)+11,FIND(";",'Offshore - Sydney'!N96&amp;";",SEARCH("rata-rata:",'Offshore - Sydney'!N96))-SEARCH("rata-rata:",'Offshore - Sydney'!N96)-11)),IF('Offshore - Sydney'!D96="Semester",'Offshore - Sydney'!E96*2,IF('Offshore - Sydney'!D96="Trimester",'Offshore - Sydney'!E96*3,IF('Offshore - Sydney'!D96="Term",'Offshore - Sydney'!E96*4,IF('Offshore - Sydney'!D96="Unit",'Offshore - Sydney'!E96*8,""))))))</f>
        <v>8800</v>
      </c>
      <c r="L837" s="0" t="n">
        <f aca="false">IF(AND(ISNUMBER('Offshore - Sydney'!E96),ISNUMBER(K837),ISNUMBER('Offshore - Sydney'!F96),ISNUMBER('Offshore - Sydney'!G96),OR('Offshore - Sydney'!F96&lt;&gt;0,ISNUMBER(SEARCH("Material 0 terverifikasi",'Offshore - Sydney'!N96))),OR('Offshore - Sydney'!G96&lt;&gt;0,ISNUMBER(SEARCH("Enrolment 0 terverifikasi",'Offshore - Sydney'!N96)))),1,0)</f>
        <v>1</v>
      </c>
      <c r="M837" s="0" t="n">
        <f aca="false">IF(OR('Offshore - Sydney'!E96="",ISNUMBER(SEARCH("BSB80120",'Offshore - Sydney'!B96&amp;'Offshore - Sydney'!N96)),ISNUMBER(SEARCH("Management (Learning)",'Offshore - Sydney'!B96))),2,IF(ISNUMBER(SEARCH("CEK:",'Offshore - Sydney'!N96)),1,0))</f>
        <v>0</v>
      </c>
    </row>
    <row r="838" customFormat="false" ht="28.35" hidden="false" customHeight="false" outlineLevel="0" collapsed="false">
      <c r="A838" s="63" t="s">
        <v>3533</v>
      </c>
      <c r="B838" s="64" t="s">
        <v>3990</v>
      </c>
      <c r="C838" s="63" t="s">
        <v>41</v>
      </c>
      <c r="D838" s="64" t="str">
        <f aca="false">TRIM(LEFT('Offshore - Sydney'!A615,FIND(CHAR(10),'Offshore - Sydney'!A615&amp;CHAR(10))-1))</f>
        <v>Novus College</v>
      </c>
      <c r="E838" s="63" t="str">
        <f aca="false">'Offshore - Sydney'!C618&amp;""</f>
        <v>3 years</v>
      </c>
      <c r="F838" s="63" t="str">
        <f aca="false">IF('Offshore - Sydney'!D618="","Belum tercatat",'Offshore - Sydney'!D618)</f>
        <v>Term</v>
      </c>
      <c r="G838" s="65" t="n">
        <f aca="false">IF('Offshore - Sydney'!E618="","-",'Offshore - Sydney'!E618)</f>
        <v>2300</v>
      </c>
      <c r="H838" s="63" t="n">
        <f aca="false">IF(ISNUMBER(K838),COUNTIFS($J$6:$J$1854,J838,$K$6:$K$1854,"&lt;"&amp;K838)+1,"-")</f>
        <v>4</v>
      </c>
      <c r="I838" s="64" t="str">
        <f aca="false">IF('Offshore - Sydney'!E618="","Harga belum tersedia - hubungi konsultan TEG",IF(M838=2,"Saat ini tidak menerima pendaftaran siswa internasional baru",IF(M838=1,"Program perlu dikonfirmasi ketersediaannya"&amp;IF(""="","","; "&amp;""),"")))</f>
        <v>Program perlu dikonfirmasi ketersediaannya</v>
      </c>
      <c r="J838" s="0" t="s">
        <v>4055</v>
      </c>
      <c r="K838" s="0" t="n">
        <f aca="false">IF(M838=2,"",IF(ISNUMBER(SEARCH("rata-rata:",'Offshore - Sydney'!N618)),VALUE(MID('Offshore - Sydney'!N618,SEARCH("rata-rata:",'Offshore - Sydney'!N618)+11,FIND(";",'Offshore - Sydney'!N618&amp;";",SEARCH("rata-rata:",'Offshore - Sydney'!N618))-SEARCH("rata-rata:",'Offshore - Sydney'!N618)-11)),IF('Offshore - Sydney'!D618="Semester",'Offshore - Sydney'!E618*2,IF('Offshore - Sydney'!D618="Trimester",'Offshore - Sydney'!E618*3,IF('Offshore - Sydney'!D618="Term",'Offshore - Sydney'!E618*4,IF('Offshore - Sydney'!D618="Unit",'Offshore - Sydney'!E618*8,""))))))</f>
        <v>9200</v>
      </c>
      <c r="L838" s="0" t="n">
        <f aca="false">IF(AND(ISNUMBER('Offshore - Sydney'!E618),ISNUMBER(K838),ISNUMBER('Offshore - Sydney'!F618),ISNUMBER('Offshore - Sydney'!G618),OR('Offshore - Sydney'!F618&lt;&gt;0,ISNUMBER(SEARCH("Material 0 terverifikasi",'Offshore - Sydney'!N618))),OR('Offshore - Sydney'!G618&lt;&gt;0,ISNUMBER(SEARCH("Enrolment 0 terverifikasi",'Offshore - Sydney'!N618)))),1,0)</f>
        <v>1</v>
      </c>
      <c r="M838" s="0" t="n">
        <f aca="false">IF(OR('Offshore - Sydney'!E618="",ISNUMBER(SEARCH("BSB80120",'Offshore - Sydney'!B618&amp;'Offshore - Sydney'!N618)),ISNUMBER(SEARCH("Management (Learning)",'Offshore - Sydney'!B618))),2,IF(ISNUMBER(SEARCH("CEK:",'Offshore - Sydney'!N618)),1,0))</f>
        <v>1</v>
      </c>
    </row>
    <row r="839" customFormat="false" ht="28.35" hidden="false" customHeight="false" outlineLevel="0" collapsed="false">
      <c r="A839" s="63" t="s">
        <v>3533</v>
      </c>
      <c r="B839" s="64" t="s">
        <v>3990</v>
      </c>
      <c r="C839" s="63" t="s">
        <v>41</v>
      </c>
      <c r="D839" s="64" t="str">
        <f aca="false">TRIM(LEFT('Offshore - Sydney'!A313,FIND(CHAR(10),'Offshore - Sydney'!A313&amp;CHAR(10))-1))</f>
        <v>Australian International College of Skills &amp; Education (AICSE)</v>
      </c>
      <c r="E839" s="63" t="str">
        <f aca="false">'Offshore - Sydney'!C318&amp;""</f>
        <v>1,5 years</v>
      </c>
      <c r="F839" s="63" t="str">
        <f aca="false">IF('Offshore - Sydney'!D318="","Belum tercatat",'Offshore - Sydney'!D318)</f>
        <v>Term</v>
      </c>
      <c r="G839" s="65" t="n">
        <f aca="false">IF('Offshore - Sydney'!E318="","-",'Offshore - Sydney'!E318)</f>
        <v>2400</v>
      </c>
      <c r="H839" s="63" t="n">
        <f aca="false">IF(ISNUMBER(K839),COUNTIFS($J$6:$J$1854,J839,$K$6:$K$1854,"&lt;"&amp;K839)+1,"-")</f>
        <v>5</v>
      </c>
      <c r="I839" s="64" t="str">
        <f aca="false">IF('Offshore - Sydney'!E318="","Harga belum tersedia - hubungi konsultan TEG",IF(M839=2,"Saat ini tidak menerima pendaftaran siswa internasional baru",IF(M839=1,"Harga perlu dikonfirmasi ke sekolah"&amp;IF(""="","","; "&amp;""),"")))</f>
        <v/>
      </c>
      <c r="J839" s="0" t="s">
        <v>4055</v>
      </c>
      <c r="K839" s="0" t="n">
        <f aca="false">IF(M839=2,"",IF(ISNUMBER(SEARCH("rata-rata:",'Offshore - Sydney'!N318)),VALUE(MID('Offshore - Sydney'!N318,SEARCH("rata-rata:",'Offshore - Sydney'!N318)+11,FIND(";",'Offshore - Sydney'!N318&amp;";",SEARCH("rata-rata:",'Offshore - Sydney'!N318))-SEARCH("rata-rata:",'Offshore - Sydney'!N318)-11)),IF('Offshore - Sydney'!D318="Semester",'Offshore - Sydney'!E318*2,IF('Offshore - Sydney'!D318="Trimester",'Offshore - Sydney'!E318*3,IF('Offshore - Sydney'!D318="Term",'Offshore - Sydney'!E318*4,IF('Offshore - Sydney'!D318="Unit",'Offshore - Sydney'!E318*8,""))))))</f>
        <v>9600</v>
      </c>
      <c r="L839" s="0" t="n">
        <f aca="false">IF(AND(ISNUMBER('Offshore - Sydney'!E318),ISNUMBER(K839),ISNUMBER('Offshore - Sydney'!F318),ISNUMBER('Offshore - Sydney'!G318),OR('Offshore - Sydney'!F318&lt;&gt;0,ISNUMBER(SEARCH("Material 0 terverifikasi",'Offshore - Sydney'!N318))),OR('Offshore - Sydney'!G318&lt;&gt;0,ISNUMBER(SEARCH("Enrolment 0 terverifikasi",'Offshore - Sydney'!N318)))),1,0)</f>
        <v>1</v>
      </c>
      <c r="M839" s="0" t="n">
        <f aca="false">IF(OR('Offshore - Sydney'!E318="",ISNUMBER(SEARCH("BSB80120",'Offshore - Sydney'!B318&amp;'Offshore - Sydney'!N318)),ISNUMBER(SEARCH("Management (Learning)",'Offshore - Sydney'!B318))),2,IF(ISNUMBER(SEARCH("CEK:",'Offshore - Sydney'!N318)),1,0))</f>
        <v>0</v>
      </c>
    </row>
    <row r="840" customFormat="false" ht="28.35" hidden="false" customHeight="false" outlineLevel="0" collapsed="false">
      <c r="A840" s="63" t="s">
        <v>3533</v>
      </c>
      <c r="B840" s="64" t="s">
        <v>3990</v>
      </c>
      <c r="C840" s="63" t="s">
        <v>41</v>
      </c>
      <c r="D840" s="64" t="str">
        <f aca="false">TRIM(LEFT('Offshore - Sydney'!A102,FIND(CHAR(10),'Offshore - Sydney'!A102&amp;CHAR(10))-1))</f>
        <v>Alice Springs College of Australia (ASCA)</v>
      </c>
      <c r="E840" s="63" t="str">
        <f aca="false">'Offshore - Sydney'!C106&amp;""</f>
        <v>2 years</v>
      </c>
      <c r="F840" s="63" t="str">
        <f aca="false">IF('Offshore - Sydney'!D106="","Belum tercatat",'Offshore - Sydney'!D106)</f>
        <v>Term</v>
      </c>
      <c r="G840" s="65" t="n">
        <f aca="false">IF('Offshore - Sydney'!E106="","-",'Offshore - Sydney'!E106)</f>
        <v>2500</v>
      </c>
      <c r="H840" s="63" t="n">
        <f aca="false">IF(ISNUMBER(K840),COUNTIFS($J$6:$J$1854,J840,$K$6:$K$1854,"&lt;"&amp;K840)+1,"-")</f>
        <v>6</v>
      </c>
      <c r="I840" s="64" t="str">
        <f aca="false">IF('Offshore - Sydney'!E106="","Harga belum tersedia - hubungi konsultan TEG",IF(M840=2,"Saat ini tidak menerima pendaftaran siswa internasional baru",IF(M840=1,"Harga perlu dikonfirmasi ke sekolah"&amp;IF(""="","","; "&amp;""),"")))</f>
        <v/>
      </c>
      <c r="J840" s="0" t="s">
        <v>4055</v>
      </c>
      <c r="K840" s="0" t="n">
        <f aca="false">IF(M840=2,"",IF(ISNUMBER(SEARCH("rata-rata:",'Offshore - Sydney'!N106)),VALUE(MID('Offshore - Sydney'!N106,SEARCH("rata-rata:",'Offshore - Sydney'!N106)+11,FIND(";",'Offshore - Sydney'!N106&amp;";",SEARCH("rata-rata:",'Offshore - Sydney'!N106))-SEARCH("rata-rata:",'Offshore - Sydney'!N106)-11)),IF('Offshore - Sydney'!D106="Semester",'Offshore - Sydney'!E106*2,IF('Offshore - Sydney'!D106="Trimester",'Offshore - Sydney'!E106*3,IF('Offshore - Sydney'!D106="Term",'Offshore - Sydney'!E106*4,IF('Offshore - Sydney'!D106="Unit",'Offshore - Sydney'!E106*8,""))))))</f>
        <v>10000</v>
      </c>
      <c r="L840" s="0" t="n">
        <f aca="false">IF(AND(ISNUMBER('Offshore - Sydney'!E106),ISNUMBER(K840),ISNUMBER('Offshore - Sydney'!F106),ISNUMBER('Offshore - Sydney'!G106),OR('Offshore - Sydney'!F106&lt;&gt;0,ISNUMBER(SEARCH("Material 0 terverifikasi",'Offshore - Sydney'!N106))),OR('Offshore - Sydney'!G106&lt;&gt;0,ISNUMBER(SEARCH("Enrolment 0 terverifikasi",'Offshore - Sydney'!N106)))),1,0)</f>
        <v>1</v>
      </c>
      <c r="M840" s="0" t="n">
        <f aca="false">IF(OR('Offshore - Sydney'!E106="",ISNUMBER(SEARCH("BSB80120",'Offshore - Sydney'!B106&amp;'Offshore - Sydney'!N106)),ISNUMBER(SEARCH("Management (Learning)",'Offshore - Sydney'!B106))),2,IF(ISNUMBER(SEARCH("CEK:",'Offshore - Sydney'!N106)),1,0))</f>
        <v>0</v>
      </c>
    </row>
    <row r="841" customFormat="false" ht="28.35" hidden="false" customHeight="false" outlineLevel="0" collapsed="false">
      <c r="A841" s="63" t="s">
        <v>3533</v>
      </c>
      <c r="B841" s="64" t="s">
        <v>3990</v>
      </c>
      <c r="C841" s="63" t="s">
        <v>41</v>
      </c>
      <c r="D841" s="64" t="str">
        <f aca="false">TRIM(LEFT('Offshore - Sydney'!A117,FIND(CHAR(10),'Offshore - Sydney'!A117&amp;CHAR(10))-1))</f>
        <v>Alpha College of Australia (ACA)</v>
      </c>
      <c r="E841" s="63" t="str">
        <f aca="false">'Offshore - Sydney'!C119&amp;""</f>
        <v>1 year</v>
      </c>
      <c r="F841" s="63" t="str">
        <f aca="false">IF('Offshore - Sydney'!D119="","Belum tercatat",'Offshore - Sydney'!D119)</f>
        <v>Term</v>
      </c>
      <c r="G841" s="65" t="n">
        <f aca="false">IF('Offshore - Sydney'!E119="","-",'Offshore - Sydney'!E119)</f>
        <v>2500</v>
      </c>
      <c r="H841" s="63" t="n">
        <f aca="false">IF(ISNUMBER(K841),COUNTIFS($J$6:$J$1854,J841,$K$6:$K$1854,"&lt;"&amp;K841)+1,"-")</f>
        <v>6</v>
      </c>
      <c r="I841" s="64" t="str">
        <f aca="false">IF('Offshore - Sydney'!E119="","Harga belum tersedia - hubungi konsultan TEG",IF(M841=2,"Saat ini tidak menerima pendaftaran siswa internasional baru",IF(M841=1,"Harga perlu dikonfirmasi ke sekolah"&amp;IF(""="","","; "&amp;""),"")))</f>
        <v/>
      </c>
      <c r="J841" s="0" t="s">
        <v>4055</v>
      </c>
      <c r="K841" s="0" t="n">
        <f aca="false">IF(M841=2,"",IF(ISNUMBER(SEARCH("rata-rata:",'Offshore - Sydney'!N119)),VALUE(MID('Offshore - Sydney'!N119,SEARCH("rata-rata:",'Offshore - Sydney'!N119)+11,FIND(";",'Offshore - Sydney'!N119&amp;";",SEARCH("rata-rata:",'Offshore - Sydney'!N119))-SEARCH("rata-rata:",'Offshore - Sydney'!N119)-11)),IF('Offshore - Sydney'!D119="Semester",'Offshore - Sydney'!E119*2,IF('Offshore - Sydney'!D119="Trimester",'Offshore - Sydney'!E119*3,IF('Offshore - Sydney'!D119="Term",'Offshore - Sydney'!E119*4,IF('Offshore - Sydney'!D119="Unit",'Offshore - Sydney'!E119*8,""))))))</f>
        <v>10000</v>
      </c>
      <c r="L841" s="0" t="n">
        <f aca="false">IF(AND(ISNUMBER('Offshore - Sydney'!E119),ISNUMBER(K841),ISNUMBER('Offshore - Sydney'!F119),ISNUMBER('Offshore - Sydney'!G119),OR('Offshore - Sydney'!F119&lt;&gt;0,ISNUMBER(SEARCH("Material 0 terverifikasi",'Offshore - Sydney'!N119))),OR('Offshore - Sydney'!G119&lt;&gt;0,ISNUMBER(SEARCH("Enrolment 0 terverifikasi",'Offshore - Sydney'!N119)))),1,0)</f>
        <v>1</v>
      </c>
      <c r="M841" s="0" t="n">
        <f aca="false">IF(OR('Offshore - Sydney'!E119="",ISNUMBER(SEARCH("BSB80120",'Offshore - Sydney'!B119&amp;'Offshore - Sydney'!N119)),ISNUMBER(SEARCH("Management (Learning)",'Offshore - Sydney'!B119))),2,IF(ISNUMBER(SEARCH("CEK:",'Offshore - Sydney'!N119)),1,0))</f>
        <v>0</v>
      </c>
    </row>
    <row r="842" customFormat="false" ht="28.35" hidden="false" customHeight="false" outlineLevel="0" collapsed="false">
      <c r="A842" s="63" t="s">
        <v>3533</v>
      </c>
      <c r="B842" s="64" t="s">
        <v>3990</v>
      </c>
      <c r="C842" s="63" t="s">
        <v>41</v>
      </c>
      <c r="D842" s="64" t="str">
        <f aca="false">TRIM(LEFT('Offshore - Sydney'!A430,FIND(CHAR(10),'Offshore - Sydney'!A430&amp;CHAR(10))-1))</f>
        <v>George Brown College</v>
      </c>
      <c r="E842" s="63" t="str">
        <f aca="false">'Offshore - Sydney'!C445&amp;""</f>
        <v>4 years</v>
      </c>
      <c r="F842" s="63" t="str">
        <f aca="false">IF('Offshore - Sydney'!D445="","Belum tercatat",'Offshore - Sydney'!D445)</f>
        <v>Term</v>
      </c>
      <c r="G842" s="65" t="n">
        <f aca="false">IF('Offshore - Sydney'!E445="","-",'Offshore - Sydney'!E445)</f>
        <v>2500</v>
      </c>
      <c r="H842" s="63" t="n">
        <f aca="false">IF(ISNUMBER(K842),COUNTIFS($J$6:$J$1854,J842,$K$6:$K$1854,"&lt;"&amp;K842)+1,"-")</f>
        <v>6</v>
      </c>
      <c r="I842" s="64" t="str">
        <f aca="false">IF('Offshore - Sydney'!E445="","Harga belum tersedia - hubungi konsultan TEG",IF(M842=2,"Saat ini tidak menerima pendaftaran siswa internasional baru",IF(M842=1,"Harga perlu dikonfirmasi ke sekolah"&amp;IF(""="","","; "&amp;""),"")))</f>
        <v/>
      </c>
      <c r="J842" s="0" t="s">
        <v>4055</v>
      </c>
      <c r="K842" s="0" t="n">
        <f aca="false">IF(M842=2,"",IF(ISNUMBER(SEARCH("rata-rata:",'Offshore - Sydney'!N445)),VALUE(MID('Offshore - Sydney'!N445,SEARCH("rata-rata:",'Offshore - Sydney'!N445)+11,FIND(";",'Offshore - Sydney'!N445&amp;";",SEARCH("rata-rata:",'Offshore - Sydney'!N445))-SEARCH("rata-rata:",'Offshore - Sydney'!N445)-11)),IF('Offshore - Sydney'!D445="Semester",'Offshore - Sydney'!E445*2,IF('Offshore - Sydney'!D445="Trimester",'Offshore - Sydney'!E445*3,IF('Offshore - Sydney'!D445="Term",'Offshore - Sydney'!E445*4,IF('Offshore - Sydney'!D445="Unit",'Offshore - Sydney'!E445*8,""))))))</f>
        <v>10000</v>
      </c>
      <c r="L842" s="0" t="n">
        <f aca="false">IF(AND(ISNUMBER('Offshore - Sydney'!E445),ISNUMBER(K842),ISNUMBER('Offshore - Sydney'!F445),ISNUMBER('Offshore - Sydney'!G445),OR('Offshore - Sydney'!F445&lt;&gt;0,ISNUMBER(SEARCH("Material 0 terverifikasi",'Offshore - Sydney'!N445))),OR('Offshore - Sydney'!G445&lt;&gt;0,ISNUMBER(SEARCH("Enrolment 0 terverifikasi",'Offshore - Sydney'!N445)))),1,0)</f>
        <v>1</v>
      </c>
      <c r="M842" s="0" t="n">
        <f aca="false">IF(OR('Offshore - Sydney'!E445="",ISNUMBER(SEARCH("BSB80120",'Offshore - Sydney'!B445&amp;'Offshore - Sydney'!N445)),ISNUMBER(SEARCH("Management (Learning)",'Offshore - Sydney'!B445))),2,IF(ISNUMBER(SEARCH("CEK:",'Offshore - Sydney'!N445)),1,0))</f>
        <v>0</v>
      </c>
    </row>
    <row r="843" customFormat="false" ht="28.35" hidden="false" customHeight="false" outlineLevel="0" collapsed="false">
      <c r="A843" s="63" t="s">
        <v>3533</v>
      </c>
      <c r="B843" s="64" t="s">
        <v>3990</v>
      </c>
      <c r="C843" s="63" t="s">
        <v>41</v>
      </c>
      <c r="D843" s="64" t="str">
        <f aca="false">TRIM(LEFT('Offshore - Sydney'!A33,FIND(CHAR(10),'Offshore - Sydney'!A33&amp;CHAR(10))-1))</f>
        <v>Academia of Trade</v>
      </c>
      <c r="E843" s="63" t="str">
        <f aca="false">'Offshore - Sydney'!C34&amp;""</f>
        <v>3,5 years</v>
      </c>
      <c r="F843" s="63" t="str">
        <f aca="false">IF('Offshore - Sydney'!D34="","Belum tercatat",'Offshore - Sydney'!D34)</f>
        <v>Term</v>
      </c>
      <c r="G843" s="65" t="n">
        <f aca="false">IF('Offshore - Sydney'!E34="","-",'Offshore - Sydney'!E34)</f>
        <v>3500</v>
      </c>
      <c r="H843" s="63" t="n">
        <f aca="false">IF(ISNUMBER(K843),COUNTIFS($J$6:$J$1854,J843,$K$6:$K$1854,"&lt;"&amp;K843)+1,"-")</f>
        <v>9</v>
      </c>
      <c r="I843" s="64" t="str">
        <f aca="false">IF('Offshore - Sydney'!E34="","Harga belum tersedia - hubungi konsultan TEG",IF(M843=2,"Saat ini tidak menerima pendaftaran siswa internasional baru",IF(M843=1,"Harga perlu dikonfirmasi ke sekolah"&amp;IF(""="","","; "&amp;""),"")))</f>
        <v/>
      </c>
      <c r="J843" s="0" t="s">
        <v>4055</v>
      </c>
      <c r="K843" s="0" t="n">
        <f aca="false">IF(M843=2,"",IF(ISNUMBER(SEARCH("rata-rata:",'Offshore - Sydney'!N34)),VALUE(MID('Offshore - Sydney'!N34,SEARCH("rata-rata:",'Offshore - Sydney'!N34)+11,FIND(";",'Offshore - Sydney'!N34&amp;";",SEARCH("rata-rata:",'Offshore - Sydney'!N34))-SEARCH("rata-rata:",'Offshore - Sydney'!N34)-11)),IF('Offshore - Sydney'!D34="Semester",'Offshore - Sydney'!E34*2,IF('Offshore - Sydney'!D34="Trimester",'Offshore - Sydney'!E34*3,IF('Offshore - Sydney'!D34="Term",'Offshore - Sydney'!E34*4,IF('Offshore - Sydney'!D34="Unit",'Offshore - Sydney'!E34*8,""))))))</f>
        <v>14000</v>
      </c>
      <c r="L843" s="0" t="n">
        <f aca="false">IF(AND(ISNUMBER('Offshore - Sydney'!E34),ISNUMBER(K843),ISNUMBER('Offshore - Sydney'!F34),ISNUMBER('Offshore - Sydney'!G34),OR('Offshore - Sydney'!F34&lt;&gt;0,ISNUMBER(SEARCH("Material 0 terverifikasi",'Offshore - Sydney'!N34))),OR('Offshore - Sydney'!G34&lt;&gt;0,ISNUMBER(SEARCH("Enrolment 0 terverifikasi",'Offshore - Sydney'!N34)))),1,0)</f>
        <v>1</v>
      </c>
      <c r="M843" s="0" t="n">
        <f aca="false">IF(OR('Offshore - Sydney'!E34="",ISNUMBER(SEARCH("BSB80120",'Offshore - Sydney'!B34&amp;'Offshore - Sydney'!N34)),ISNUMBER(SEARCH("Management (Learning)",'Offshore - Sydney'!B34))),2,IF(ISNUMBER(SEARCH("CEK:",'Offshore - Sydney'!N34)),1,0))</f>
        <v>0</v>
      </c>
    </row>
    <row r="844" customFormat="false" ht="28.35" hidden="false" customHeight="false" outlineLevel="0" collapsed="false">
      <c r="A844" s="63" t="s">
        <v>3533</v>
      </c>
      <c r="B844" s="64" t="s">
        <v>3990</v>
      </c>
      <c r="C844" s="63" t="s">
        <v>41</v>
      </c>
      <c r="D844" s="64" t="str">
        <f aca="false">TRIM(LEFT('Offshore - Sydney'!A721,FIND(CHAR(10),'Offshore - Sydney'!A721&amp;CHAR(10))-1))</f>
        <v>TAFE NSW</v>
      </c>
      <c r="E844" s="63" t="str">
        <f aca="false">'Offshore - Sydney'!C722&amp;""</f>
        <v>2 years</v>
      </c>
      <c r="F844" s="63" t="str">
        <f aca="false">IF('Offshore - Sydney'!D722="","Belum tercatat",'Offshore - Sydney'!D722)</f>
        <v>Term</v>
      </c>
      <c r="G844" s="65" t="n">
        <f aca="false">IF('Offshore - Sydney'!E722="","-",'Offshore - Sydney'!E722)</f>
        <v>3500</v>
      </c>
      <c r="H844" s="63" t="n">
        <f aca="false">IF(ISNUMBER(K844),COUNTIFS($J$6:$J$1854,J844,$K$6:$K$1854,"&lt;"&amp;K844)+1,"-")</f>
        <v>9</v>
      </c>
      <c r="I844" s="64" t="str">
        <f aca="false">IF('Offshore - Sydney'!E722="","Harga belum tersedia - hubungi konsultan TEG",IF(M844=2,"Saat ini tidak menerima pendaftaran siswa internasional baru",IF(M844=1,"Harga perlu dikonfirmasi ke sekolah"&amp;IF(""="","","; "&amp;""),"")))</f>
        <v/>
      </c>
      <c r="J844" s="0" t="s">
        <v>4055</v>
      </c>
      <c r="K844" s="0" t="n">
        <f aca="false">IF(M844=2,"",IF(ISNUMBER(SEARCH("rata-rata:",'Offshore - Sydney'!N722)),VALUE(MID('Offshore - Sydney'!N722,SEARCH("rata-rata:",'Offshore - Sydney'!N722)+11,FIND(";",'Offshore - Sydney'!N722&amp;";",SEARCH("rata-rata:",'Offshore - Sydney'!N722))-SEARCH("rata-rata:",'Offshore - Sydney'!N722)-11)),IF('Offshore - Sydney'!D722="Semester",'Offshore - Sydney'!E722*2,IF('Offshore - Sydney'!D722="Trimester",'Offshore - Sydney'!E722*3,IF('Offshore - Sydney'!D722="Term",'Offshore - Sydney'!E722*4,IF('Offshore - Sydney'!D722="Unit",'Offshore - Sydney'!E722*8,""))))))</f>
        <v>14000</v>
      </c>
      <c r="L844" s="0" t="n">
        <f aca="false">IF(AND(ISNUMBER('Offshore - Sydney'!E722),ISNUMBER(K844),ISNUMBER('Offshore - Sydney'!F722),ISNUMBER('Offshore - Sydney'!G722),OR('Offshore - Sydney'!F722&lt;&gt;0,ISNUMBER(SEARCH("Material 0 terverifikasi",'Offshore - Sydney'!N722))),OR('Offshore - Sydney'!G722&lt;&gt;0,ISNUMBER(SEARCH("Enrolment 0 terverifikasi",'Offshore - Sydney'!N722)))),1,0)</f>
        <v>0</v>
      </c>
      <c r="M844" s="0" t="n">
        <f aca="false">IF(OR('Offshore - Sydney'!E722="",ISNUMBER(SEARCH("BSB80120",'Offshore - Sydney'!B722&amp;'Offshore - Sydney'!N722)),ISNUMBER(SEARCH("Management (Learning)",'Offshore - Sydney'!B722))),2,IF(ISNUMBER(SEARCH("CEK:",'Offshore - Sydney'!N722)),1,0))</f>
        <v>0</v>
      </c>
    </row>
    <row r="845" customFormat="false" ht="15" hidden="false" customHeight="false" outlineLevel="0" collapsed="false">
      <c r="A845" s="61" t="s">
        <v>4056</v>
      </c>
      <c r="B845" s="62"/>
      <c r="C845" s="62"/>
      <c r="D845" s="62"/>
      <c r="E845" s="62"/>
      <c r="F845" s="62"/>
      <c r="G845" s="62"/>
      <c r="H845" s="62"/>
      <c r="I845" s="62"/>
    </row>
    <row r="846" customFormat="false" ht="28.35" hidden="false" customHeight="false" outlineLevel="0" collapsed="false">
      <c r="A846" s="63" t="s">
        <v>3533</v>
      </c>
      <c r="B846" s="64" t="s">
        <v>3990</v>
      </c>
      <c r="C846" s="63" t="s">
        <v>42</v>
      </c>
      <c r="D846" s="64" t="str">
        <f aca="false">TRIM(LEFT('Offshore - Sydney'!A1151,FIND(CHAR(10),'Offshore - Sydney'!A1151&amp;CHAR(10))-1))</f>
        <v>York Business Institute</v>
      </c>
      <c r="E846" s="63" t="str">
        <f aca="false">'Offshore - Sydney'!C1169&amp;""</f>
        <v>2 years</v>
      </c>
      <c r="F846" s="63" t="str">
        <f aca="false">IF('Offshore - Sydney'!D1169="","Belum tercatat",'Offshore - Sydney'!D1169)</f>
        <v>Term</v>
      </c>
      <c r="G846" s="65" t="n">
        <f aca="false">IF('Offshore - Sydney'!E1169="","-",'Offshore - Sydney'!E1169)</f>
        <v>2000</v>
      </c>
      <c r="H846" s="63" t="n">
        <f aca="false">IF(ISNUMBER(K846),COUNTIFS($J$6:$J$1854,J846,$K$6:$K$1854,"&lt;"&amp;K846)+1,"-")</f>
        <v>1</v>
      </c>
      <c r="I846" s="64" t="str">
        <f aca="false">IF('Offshore - Sydney'!E1169="","Harga belum tersedia - hubungi konsultan TEG",IF(M846=2,"Saat ini tidak menerima pendaftaran siswa internasional baru",IF(M846=1,"Harga perlu dikonfirmasi ke sekolah"&amp;IF(""="","","; "&amp;""),"")))</f>
        <v>Harga perlu dikonfirmasi ke sekolah</v>
      </c>
      <c r="J846" s="0" t="s">
        <v>4057</v>
      </c>
      <c r="K846" s="0" t="n">
        <f aca="false">IF(M846=2,"",IF(ISNUMBER(SEARCH("rata-rata:",'Offshore - Sydney'!N1169)),VALUE(MID('Offshore - Sydney'!N1169,SEARCH("rata-rata:",'Offshore - Sydney'!N1169)+11,FIND(";",'Offshore - Sydney'!N1169&amp;";",SEARCH("rata-rata:",'Offshore - Sydney'!N1169))-SEARCH("rata-rata:",'Offshore - Sydney'!N1169)-11)),IF('Offshore - Sydney'!D1169="Semester",'Offshore - Sydney'!E1169*2,IF('Offshore - Sydney'!D1169="Trimester",'Offshore - Sydney'!E1169*3,IF('Offshore - Sydney'!D1169="Term",'Offshore - Sydney'!E1169*4,IF('Offshore - Sydney'!D1169="Unit",'Offshore - Sydney'!E1169*8,""))))))</f>
        <v>8000</v>
      </c>
      <c r="L846" s="0" t="n">
        <f aca="false">IF(AND(ISNUMBER('Offshore - Sydney'!E1169),ISNUMBER(K846),ISNUMBER('Offshore - Sydney'!F1169),ISNUMBER('Offshore - Sydney'!G1169),OR('Offshore - Sydney'!F1169&lt;&gt;0,ISNUMBER(SEARCH("Material 0 terverifikasi",'Offshore - Sydney'!N1169))),OR('Offshore - Sydney'!G1169&lt;&gt;0,ISNUMBER(SEARCH("Enrolment 0 terverifikasi",'Offshore - Sydney'!N1169)))),1,0)</f>
        <v>1</v>
      </c>
      <c r="M846" s="0" t="n">
        <f aca="false">IF(OR('Offshore - Sydney'!E1169="",ISNUMBER(SEARCH("BSB80120",'Offshore - Sydney'!B1169&amp;'Offshore - Sydney'!N1169)),ISNUMBER(SEARCH("Management (Learning)",'Offshore - Sydney'!B1169))),2,IF(ISNUMBER(SEARCH("CEK:",'Offshore - Sydney'!N1169)),1,0))</f>
        <v>1</v>
      </c>
    </row>
    <row r="847" customFormat="false" ht="28.35" hidden="false" customHeight="false" outlineLevel="0" collapsed="false">
      <c r="A847" s="63" t="s">
        <v>3533</v>
      </c>
      <c r="B847" s="64" t="s">
        <v>3990</v>
      </c>
      <c r="C847" s="63" t="s">
        <v>42</v>
      </c>
      <c r="D847" s="64" t="str">
        <f aca="false">TRIM(LEFT('Offshore - Sydney'!A715,FIND(CHAR(10),'Offshore - Sydney'!A715&amp;CHAR(10))-1))</f>
        <v>Sydney Metropolitan International College</v>
      </c>
      <c r="E847" s="63" t="str">
        <f aca="false">'Offshore - Sydney'!C720&amp;""</f>
        <v>2 years</v>
      </c>
      <c r="F847" s="63" t="str">
        <f aca="false">IF('Offshore - Sydney'!D720="","Belum tercatat",'Offshore - Sydney'!D720)</f>
        <v>Term</v>
      </c>
      <c r="G847" s="65" t="n">
        <f aca="false">IF('Offshore - Sydney'!E720="","-",'Offshore - Sydney'!E720)</f>
        <v>2100</v>
      </c>
      <c r="H847" s="63" t="n">
        <f aca="false">IF(ISNUMBER(K847),COUNTIFS($J$6:$J$1854,J847,$K$6:$K$1854,"&lt;"&amp;K847)+1,"-")</f>
        <v>2</v>
      </c>
      <c r="I847" s="64" t="str">
        <f aca="false">IF('Offshore - Sydney'!E720="","Harga belum tersedia - hubungi konsultan TEG",IF(M847=2,"Saat ini tidak menerima pendaftaran siswa internasional baru",IF(M847=1,"Harga perlu dikonfirmasi ke sekolah"&amp;IF(""="","","; "&amp;""),"")))</f>
        <v/>
      </c>
      <c r="J847" s="0" t="s">
        <v>4057</v>
      </c>
      <c r="K847" s="0" t="n">
        <f aca="false">IF(M847=2,"",IF(ISNUMBER(SEARCH("rata-rata:",'Offshore - Sydney'!N720)),VALUE(MID('Offshore - Sydney'!N720,SEARCH("rata-rata:",'Offshore - Sydney'!N720)+11,FIND(";",'Offshore - Sydney'!N720&amp;";",SEARCH("rata-rata:",'Offshore - Sydney'!N720))-SEARCH("rata-rata:",'Offshore - Sydney'!N720)-11)),IF('Offshore - Sydney'!D720="Semester",'Offshore - Sydney'!E720*2,IF('Offshore - Sydney'!D720="Trimester",'Offshore - Sydney'!E720*3,IF('Offshore - Sydney'!D720="Term",'Offshore - Sydney'!E720*4,IF('Offshore - Sydney'!D720="Unit",'Offshore - Sydney'!E720*8,""))))))</f>
        <v>8400</v>
      </c>
      <c r="L847" s="0" t="n">
        <f aca="false">IF(AND(ISNUMBER('Offshore - Sydney'!E720),ISNUMBER(K847),ISNUMBER('Offshore - Sydney'!F720),ISNUMBER('Offshore - Sydney'!G720),OR('Offshore - Sydney'!F720&lt;&gt;0,ISNUMBER(SEARCH("Material 0 terverifikasi",'Offshore - Sydney'!N720))),OR('Offshore - Sydney'!G720&lt;&gt;0,ISNUMBER(SEARCH("Enrolment 0 terverifikasi",'Offshore - Sydney'!N720)))),1,0)</f>
        <v>1</v>
      </c>
      <c r="M847" s="0" t="n">
        <f aca="false">IF(OR('Offshore - Sydney'!E720="",ISNUMBER(SEARCH("BSB80120",'Offshore - Sydney'!B720&amp;'Offshore - Sydney'!N720)),ISNUMBER(SEARCH("Management (Learning)",'Offshore - Sydney'!B720))),2,IF(ISNUMBER(SEARCH("CEK:",'Offshore - Sydney'!N720)),1,0))</f>
        <v>0</v>
      </c>
    </row>
    <row r="848" customFormat="false" ht="28.35" hidden="false" customHeight="false" outlineLevel="0" collapsed="false">
      <c r="A848" s="63" t="s">
        <v>3533</v>
      </c>
      <c r="B848" s="64" t="s">
        <v>3990</v>
      </c>
      <c r="C848" s="63" t="s">
        <v>42</v>
      </c>
      <c r="D848" s="64" t="str">
        <f aca="false">TRIM(LEFT('Offshore - Sydney'!A615,FIND(CHAR(10),'Offshore - Sydney'!A615&amp;CHAR(10))-1))</f>
        <v>Novus College</v>
      </c>
      <c r="E848" s="63" t="str">
        <f aca="false">'Offshore - Sydney'!C621&amp;""</f>
        <v>4 years</v>
      </c>
      <c r="F848" s="63" t="str">
        <f aca="false">IF('Offshore - Sydney'!D621="","Belum tercatat",'Offshore - Sydney'!D621)</f>
        <v>Term</v>
      </c>
      <c r="G848" s="65" t="n">
        <f aca="false">IF('Offshore - Sydney'!E621="","-",'Offshore - Sydney'!E621)</f>
        <v>2200</v>
      </c>
      <c r="H848" s="63" t="n">
        <f aca="false">IF(ISNUMBER(K848),COUNTIFS($J$6:$J$1854,J848,$K$6:$K$1854,"&lt;"&amp;K848)+1,"-")</f>
        <v>3</v>
      </c>
      <c r="I848" s="64" t="str">
        <f aca="false">IF('Offshore - Sydney'!E621="","Harga belum tersedia - hubungi konsultan TEG",IF(M848=2,"Saat ini tidak menerima pendaftaran siswa internasional baru",IF(M848=1,"Program perlu dikonfirmasi ketersediaannya"&amp;IF(""="","","; "&amp;""),"")))</f>
        <v>Program perlu dikonfirmasi ketersediaannya</v>
      </c>
      <c r="J848" s="0" t="s">
        <v>4057</v>
      </c>
      <c r="K848" s="0" t="n">
        <f aca="false">IF(M848=2,"",IF(ISNUMBER(SEARCH("rata-rata:",'Offshore - Sydney'!N621)),VALUE(MID('Offshore - Sydney'!N621,SEARCH("rata-rata:",'Offshore - Sydney'!N621)+11,FIND(";",'Offshore - Sydney'!N621&amp;";",SEARCH("rata-rata:",'Offshore - Sydney'!N621))-SEARCH("rata-rata:",'Offshore - Sydney'!N621)-11)),IF('Offshore - Sydney'!D621="Semester",'Offshore - Sydney'!E621*2,IF('Offshore - Sydney'!D621="Trimester",'Offshore - Sydney'!E621*3,IF('Offshore - Sydney'!D621="Term",'Offshore - Sydney'!E621*4,IF('Offshore - Sydney'!D621="Unit",'Offshore - Sydney'!E621*8,""))))))</f>
        <v>8800</v>
      </c>
      <c r="L848" s="0" t="n">
        <f aca="false">IF(AND(ISNUMBER('Offshore - Sydney'!E621),ISNUMBER(K848),ISNUMBER('Offshore - Sydney'!F621),ISNUMBER('Offshore - Sydney'!G621),OR('Offshore - Sydney'!F621&lt;&gt;0,ISNUMBER(SEARCH("Material 0 terverifikasi",'Offshore - Sydney'!N621))),OR('Offshore - Sydney'!G621&lt;&gt;0,ISNUMBER(SEARCH("Enrolment 0 terverifikasi",'Offshore - Sydney'!N621)))),1,0)</f>
        <v>1</v>
      </c>
      <c r="M848" s="0" t="n">
        <f aca="false">IF(OR('Offshore - Sydney'!E621="",ISNUMBER(SEARCH("BSB80120",'Offshore - Sydney'!B621&amp;'Offshore - Sydney'!N621)),ISNUMBER(SEARCH("Management (Learning)",'Offshore - Sydney'!B621))),2,IF(ISNUMBER(SEARCH("CEK:",'Offshore - Sydney'!N621)),1,0))</f>
        <v>1</v>
      </c>
    </row>
    <row r="849" customFormat="false" ht="28.35" hidden="false" customHeight="false" outlineLevel="0" collapsed="false">
      <c r="A849" s="63" t="s">
        <v>3533</v>
      </c>
      <c r="B849" s="64" t="s">
        <v>3990</v>
      </c>
      <c r="C849" s="63" t="s">
        <v>42</v>
      </c>
      <c r="D849" s="64" t="str">
        <f aca="false">TRIM(LEFT('Offshore - Sydney'!A117,FIND(CHAR(10),'Offshore - Sydney'!A117&amp;CHAR(10))-1))</f>
        <v>Alpha College of Australia (ACA)</v>
      </c>
      <c r="E849" s="63" t="str">
        <f aca="false">'Offshore - Sydney'!C120&amp;""</f>
        <v>2 years</v>
      </c>
      <c r="F849" s="63" t="str">
        <f aca="false">IF('Offshore - Sydney'!D120="","Belum tercatat",'Offshore - Sydney'!D120)</f>
        <v>Term</v>
      </c>
      <c r="G849" s="65" t="n">
        <f aca="false">IF('Offshore - Sydney'!E120="","-",'Offshore - Sydney'!E120)</f>
        <v>2250</v>
      </c>
      <c r="H849" s="63" t="n">
        <f aca="false">IF(ISNUMBER(K849),COUNTIFS($J$6:$J$1854,J849,$K$6:$K$1854,"&lt;"&amp;K849)+1,"-")</f>
        <v>4</v>
      </c>
      <c r="I849" s="64" t="str">
        <f aca="false">IF('Offshore - Sydney'!E120="","Harga belum tersedia - hubungi konsultan TEG",IF(M849=2,"Saat ini tidak menerima pendaftaran siswa internasional baru",IF(M849=1,"Harga perlu dikonfirmasi ke sekolah"&amp;IF(""="","","; "&amp;""),"")))</f>
        <v/>
      </c>
      <c r="J849" s="0" t="s">
        <v>4057</v>
      </c>
      <c r="K849" s="0" t="n">
        <f aca="false">IF(M849=2,"",IF(ISNUMBER(SEARCH("rata-rata:",'Offshore - Sydney'!N120)),VALUE(MID('Offshore - Sydney'!N120,SEARCH("rata-rata:",'Offshore - Sydney'!N120)+11,FIND(";",'Offshore - Sydney'!N120&amp;";",SEARCH("rata-rata:",'Offshore - Sydney'!N120))-SEARCH("rata-rata:",'Offshore - Sydney'!N120)-11)),IF('Offshore - Sydney'!D120="Semester",'Offshore - Sydney'!E120*2,IF('Offshore - Sydney'!D120="Trimester",'Offshore - Sydney'!E120*3,IF('Offshore - Sydney'!D120="Term",'Offshore - Sydney'!E120*4,IF('Offshore - Sydney'!D120="Unit",'Offshore - Sydney'!E120*8,""))))))</f>
        <v>9000</v>
      </c>
      <c r="L849" s="0" t="n">
        <f aca="false">IF(AND(ISNUMBER('Offshore - Sydney'!E120),ISNUMBER(K849),ISNUMBER('Offshore - Sydney'!F120),ISNUMBER('Offshore - Sydney'!G120),OR('Offshore - Sydney'!F120&lt;&gt;0,ISNUMBER(SEARCH("Material 0 terverifikasi",'Offshore - Sydney'!N120))),OR('Offshore - Sydney'!G120&lt;&gt;0,ISNUMBER(SEARCH("Enrolment 0 terverifikasi",'Offshore - Sydney'!N120)))),1,0)</f>
        <v>1</v>
      </c>
      <c r="M849" s="0" t="n">
        <f aca="false">IF(OR('Offshore - Sydney'!E120="",ISNUMBER(SEARCH("BSB80120",'Offshore - Sydney'!B120&amp;'Offshore - Sydney'!N120)),ISNUMBER(SEARCH("Management (Learning)",'Offshore - Sydney'!B120))),2,IF(ISNUMBER(SEARCH("CEK:",'Offshore - Sydney'!N120)),1,0))</f>
        <v>0</v>
      </c>
    </row>
    <row r="850" customFormat="false" ht="28.35" hidden="false" customHeight="false" outlineLevel="0" collapsed="false">
      <c r="A850" s="63" t="s">
        <v>3533</v>
      </c>
      <c r="B850" s="64" t="s">
        <v>3990</v>
      </c>
      <c r="C850" s="63" t="s">
        <v>42</v>
      </c>
      <c r="D850" s="64" t="str">
        <f aca="false">TRIM(LEFT('Offshore - Sydney'!A88,FIND(CHAR(10),'Offshore - Sydney'!A88&amp;CHAR(10))-1))</f>
        <v>Albright Institute of Business and Language (AIBL)</v>
      </c>
      <c r="E850" s="63" t="str">
        <f aca="false">'Offshore - Sydney'!C90&amp;""</f>
        <v>2 years</v>
      </c>
      <c r="F850" s="63" t="str">
        <f aca="false">IF('Offshore - Sydney'!D90="","Belum tercatat",'Offshore - Sydney'!D90)</f>
        <v>Term</v>
      </c>
      <c r="G850" s="65" t="n">
        <f aca="false">IF('Offshore - Sydney'!E90="","-",'Offshore - Sydney'!E90)</f>
        <v>2375</v>
      </c>
      <c r="H850" s="63" t="n">
        <f aca="false">IF(ISNUMBER(K850),COUNTIFS($J$6:$J$1854,J850,$K$6:$K$1854,"&lt;"&amp;K850)+1,"-")</f>
        <v>5</v>
      </c>
      <c r="I850" s="64" t="str">
        <f aca="false">IF('Offshore - Sydney'!E90="","Harga belum tersedia - hubungi konsultan TEG",IF(M850=2,"Saat ini tidak menerima pendaftaran siswa internasional baru",IF(M850=1,"Harga perlu dikonfirmasi ke sekolah"&amp;IF(""="","","; "&amp;""),"")))</f>
        <v/>
      </c>
      <c r="J850" s="0" t="s">
        <v>4057</v>
      </c>
      <c r="K850" s="0" t="n">
        <f aca="false">IF(M850=2,"",IF(ISNUMBER(SEARCH("rata-rata:",'Offshore - Sydney'!N90)),VALUE(MID('Offshore - Sydney'!N90,SEARCH("rata-rata:",'Offshore - Sydney'!N90)+11,FIND(";",'Offshore - Sydney'!N90&amp;";",SEARCH("rata-rata:",'Offshore - Sydney'!N90))-SEARCH("rata-rata:",'Offshore - Sydney'!N90)-11)),IF('Offshore - Sydney'!D90="Semester",'Offshore - Sydney'!E90*2,IF('Offshore - Sydney'!D90="Trimester",'Offshore - Sydney'!E90*3,IF('Offshore - Sydney'!D90="Term",'Offshore - Sydney'!E90*4,IF('Offshore - Sydney'!D90="Unit",'Offshore - Sydney'!E90*8,""))))))</f>
        <v>9500</v>
      </c>
      <c r="L850" s="0" t="n">
        <f aca="false">IF(AND(ISNUMBER('Offshore - Sydney'!E90),ISNUMBER(K850),ISNUMBER('Offshore - Sydney'!F90),ISNUMBER('Offshore - Sydney'!G90),OR('Offshore - Sydney'!F90&lt;&gt;0,ISNUMBER(SEARCH("Material 0 terverifikasi",'Offshore - Sydney'!N90))),OR('Offshore - Sydney'!G90&lt;&gt;0,ISNUMBER(SEARCH("Enrolment 0 terverifikasi",'Offshore - Sydney'!N90)))),1,0)</f>
        <v>1</v>
      </c>
      <c r="M850" s="0" t="n">
        <f aca="false">IF(OR('Offshore - Sydney'!E90="",ISNUMBER(SEARCH("BSB80120",'Offshore - Sydney'!B90&amp;'Offshore - Sydney'!N90)),ISNUMBER(SEARCH("Management (Learning)",'Offshore - Sydney'!B90))),2,IF(ISNUMBER(SEARCH("CEK:",'Offshore - Sydney'!N90)),1,0))</f>
        <v>0</v>
      </c>
    </row>
    <row r="851" customFormat="false" ht="28.35" hidden="false" customHeight="false" outlineLevel="0" collapsed="false">
      <c r="A851" s="63" t="s">
        <v>3533</v>
      </c>
      <c r="B851" s="64" t="s">
        <v>3990</v>
      </c>
      <c r="C851" s="63" t="s">
        <v>42</v>
      </c>
      <c r="D851" s="64" t="str">
        <f aca="false">TRIM(LEFT('Offshore - Sydney'!A313,FIND(CHAR(10),'Offshore - Sydney'!A313&amp;CHAR(10))-1))</f>
        <v>Australian International College of Skills &amp; Education (AICSE)</v>
      </c>
      <c r="E851" s="63" t="str">
        <f aca="false">'Offshore - Sydney'!C319&amp;""</f>
        <v>2 years</v>
      </c>
      <c r="F851" s="63" t="str">
        <f aca="false">IF('Offshore - Sydney'!D319="","Belum tercatat",'Offshore - Sydney'!D319)</f>
        <v>Term</v>
      </c>
      <c r="G851" s="65" t="n">
        <f aca="false">IF('Offshore - Sydney'!E319="","-",'Offshore - Sydney'!E319)</f>
        <v>2500</v>
      </c>
      <c r="H851" s="63" t="n">
        <f aca="false">IF(ISNUMBER(K851),COUNTIFS($J$6:$J$1854,J851,$K$6:$K$1854,"&lt;"&amp;K851)+1,"-")</f>
        <v>6</v>
      </c>
      <c r="I851" s="64" t="str">
        <f aca="false">IF('Offshore - Sydney'!E319="","Harga belum tersedia - hubungi konsultan TEG",IF(M851=2,"Saat ini tidak menerima pendaftaran siswa internasional baru",IF(M851=1,"Harga perlu dikonfirmasi ke sekolah"&amp;IF(""="","","; "&amp;""),"")))</f>
        <v/>
      </c>
      <c r="J851" s="0" t="s">
        <v>4057</v>
      </c>
      <c r="K851" s="0" t="n">
        <f aca="false">IF(M851=2,"",IF(ISNUMBER(SEARCH("rata-rata:",'Offshore - Sydney'!N319)),VALUE(MID('Offshore - Sydney'!N319,SEARCH("rata-rata:",'Offshore - Sydney'!N319)+11,FIND(";",'Offshore - Sydney'!N319&amp;";",SEARCH("rata-rata:",'Offshore - Sydney'!N319))-SEARCH("rata-rata:",'Offshore - Sydney'!N319)-11)),IF('Offshore - Sydney'!D319="Semester",'Offshore - Sydney'!E319*2,IF('Offshore - Sydney'!D319="Trimester",'Offshore - Sydney'!E319*3,IF('Offshore - Sydney'!D319="Term",'Offshore - Sydney'!E319*4,IF('Offshore - Sydney'!D319="Unit",'Offshore - Sydney'!E319*8,""))))))</f>
        <v>10000</v>
      </c>
      <c r="L851" s="0" t="n">
        <f aca="false">IF(AND(ISNUMBER('Offshore - Sydney'!E319),ISNUMBER(K851),ISNUMBER('Offshore - Sydney'!F319),ISNUMBER('Offshore - Sydney'!G319),OR('Offshore - Sydney'!F319&lt;&gt;0,ISNUMBER(SEARCH("Material 0 terverifikasi",'Offshore - Sydney'!N319))),OR('Offshore - Sydney'!G319&lt;&gt;0,ISNUMBER(SEARCH("Enrolment 0 terverifikasi",'Offshore - Sydney'!N319)))),1,0)</f>
        <v>1</v>
      </c>
      <c r="M851" s="0" t="n">
        <f aca="false">IF(OR('Offshore - Sydney'!E319="",ISNUMBER(SEARCH("BSB80120",'Offshore - Sydney'!B319&amp;'Offshore - Sydney'!N319)),ISNUMBER(SEARCH("Management (Learning)",'Offshore - Sydney'!B319))),2,IF(ISNUMBER(SEARCH("CEK:",'Offshore - Sydney'!N319)),1,0))</f>
        <v>0</v>
      </c>
    </row>
    <row r="852" customFormat="false" ht="28.35" hidden="false" customHeight="false" outlineLevel="0" collapsed="false">
      <c r="A852" s="63" t="s">
        <v>3533</v>
      </c>
      <c r="B852" s="64" t="s">
        <v>3990</v>
      </c>
      <c r="C852" s="63" t="s">
        <v>42</v>
      </c>
      <c r="D852" s="64" t="str">
        <f aca="false">TRIM(LEFT('Offshore - Sydney'!A430,FIND(CHAR(10),'Offshore - Sydney'!A430&amp;CHAR(10))-1))</f>
        <v>George Brown College</v>
      </c>
      <c r="E852" s="63" t="str">
        <f aca="false">'Offshore - Sydney'!C438&amp;""</f>
        <v>2 years</v>
      </c>
      <c r="F852" s="63" t="str">
        <f aca="false">IF('Offshore - Sydney'!D438="","Belum tercatat",'Offshore - Sydney'!D438)</f>
        <v>Term</v>
      </c>
      <c r="G852" s="65" t="n">
        <f aca="false">IF('Offshore - Sydney'!E438="","-",'Offshore - Sydney'!E438)</f>
        <v>2500</v>
      </c>
      <c r="H852" s="63" t="n">
        <f aca="false">IF(ISNUMBER(K852),COUNTIFS($J$6:$J$1854,J852,$K$6:$K$1854,"&lt;"&amp;K852)+1,"-")</f>
        <v>6</v>
      </c>
      <c r="I852" s="64" t="str">
        <f aca="false">IF('Offshore - Sydney'!E438="","Harga belum tersedia - hubungi konsultan TEG",IF(M852=2,"Saat ini tidak menerima pendaftaran siswa internasional baru",IF(M852=1,"Harga perlu dikonfirmasi ke sekolah"&amp;IF(""="","","; "&amp;""),"")))</f>
        <v/>
      </c>
      <c r="J852" s="0" t="s">
        <v>4057</v>
      </c>
      <c r="K852" s="0" t="n">
        <f aca="false">IF(M852=2,"",IF(ISNUMBER(SEARCH("rata-rata:",'Offshore - Sydney'!N438)),VALUE(MID('Offshore - Sydney'!N438,SEARCH("rata-rata:",'Offshore - Sydney'!N438)+11,FIND(";",'Offshore - Sydney'!N438&amp;";",SEARCH("rata-rata:",'Offshore - Sydney'!N438))-SEARCH("rata-rata:",'Offshore - Sydney'!N438)-11)),IF('Offshore - Sydney'!D438="Semester",'Offshore - Sydney'!E438*2,IF('Offshore - Sydney'!D438="Trimester",'Offshore - Sydney'!E438*3,IF('Offshore - Sydney'!D438="Term",'Offshore - Sydney'!E438*4,IF('Offshore - Sydney'!D438="Unit",'Offshore - Sydney'!E438*8,""))))))</f>
        <v>10000</v>
      </c>
      <c r="L852" s="0" t="n">
        <f aca="false">IF(AND(ISNUMBER('Offshore - Sydney'!E438),ISNUMBER(K852),ISNUMBER('Offshore - Sydney'!F438),ISNUMBER('Offshore - Sydney'!G438),OR('Offshore - Sydney'!F438&lt;&gt;0,ISNUMBER(SEARCH("Material 0 terverifikasi",'Offshore - Sydney'!N438))),OR('Offshore - Sydney'!G438&lt;&gt;0,ISNUMBER(SEARCH("Enrolment 0 terverifikasi",'Offshore - Sydney'!N438)))),1,0)</f>
        <v>1</v>
      </c>
      <c r="M852" s="0" t="n">
        <f aca="false">IF(OR('Offshore - Sydney'!E438="",ISNUMBER(SEARCH("BSB80120",'Offshore - Sydney'!B438&amp;'Offshore - Sydney'!N438)),ISNUMBER(SEARCH("Management (Learning)",'Offshore - Sydney'!B438))),2,IF(ISNUMBER(SEARCH("CEK:",'Offshore - Sydney'!N438)),1,0))</f>
        <v>0</v>
      </c>
    </row>
    <row r="853" customFormat="false" ht="28.35" hidden="false" customHeight="false" outlineLevel="0" collapsed="false">
      <c r="A853" s="63" t="s">
        <v>3533</v>
      </c>
      <c r="B853" s="64" t="s">
        <v>3990</v>
      </c>
      <c r="C853" s="63" t="s">
        <v>42</v>
      </c>
      <c r="D853" s="64" t="str">
        <f aca="false">TRIM(LEFT('Offshore - Sydney'!A636,FIND(CHAR(10),'Offshore - Sydney'!A636&amp;CHAR(10))-1))</f>
        <v>NVR Education</v>
      </c>
      <c r="E853" s="63" t="str">
        <f aca="false">'Offshore - Sydney'!C637&amp;""</f>
        <v>2 years</v>
      </c>
      <c r="F853" s="63" t="str">
        <f aca="false">IF('Offshore - Sydney'!D637="","Belum tercatat",'Offshore - Sydney'!D637)</f>
        <v>Term</v>
      </c>
      <c r="G853" s="65" t="n">
        <f aca="false">IF('Offshore - Sydney'!E637="","-",'Offshore - Sydney'!E637)</f>
        <v>2500</v>
      </c>
      <c r="H853" s="63" t="n">
        <f aca="false">IF(ISNUMBER(K853),COUNTIFS($J$6:$J$1854,J853,$K$6:$K$1854,"&lt;"&amp;K853)+1,"-")</f>
        <v>6</v>
      </c>
      <c r="I853" s="64" t="str">
        <f aca="false">IF('Offshore - Sydney'!E637="","Harga belum tersedia - hubungi konsultan TEG",IF(M853=2,"Saat ini tidak menerima pendaftaran siswa internasional baru",IF(M853=1,"Harga perlu dikonfirmasi ke sekolah"&amp;IF(""="","","; "&amp;""),"")))</f>
        <v>Harga perlu dikonfirmasi ke sekolah</v>
      </c>
      <c r="J853" s="0" t="s">
        <v>4057</v>
      </c>
      <c r="K853" s="0" t="n">
        <f aca="false">IF(M853=2,"",IF(ISNUMBER(SEARCH("rata-rata:",'Offshore - Sydney'!N637)),VALUE(MID('Offshore - Sydney'!N637,SEARCH("rata-rata:",'Offshore - Sydney'!N637)+11,FIND(";",'Offshore - Sydney'!N637&amp;";",SEARCH("rata-rata:",'Offshore - Sydney'!N637))-SEARCH("rata-rata:",'Offshore - Sydney'!N637)-11)),IF('Offshore - Sydney'!D637="Semester",'Offshore - Sydney'!E637*2,IF('Offshore - Sydney'!D637="Trimester",'Offshore - Sydney'!E637*3,IF('Offshore - Sydney'!D637="Term",'Offshore - Sydney'!E637*4,IF('Offshore - Sydney'!D637="Unit",'Offshore - Sydney'!E637*8,""))))))</f>
        <v>10000</v>
      </c>
      <c r="L853" s="0" t="n">
        <f aca="false">IF(AND(ISNUMBER('Offshore - Sydney'!E637),ISNUMBER(K853),ISNUMBER('Offshore - Sydney'!F637),ISNUMBER('Offshore - Sydney'!G637),OR('Offshore - Sydney'!F637&lt;&gt;0,ISNUMBER(SEARCH("Material 0 terverifikasi",'Offshore - Sydney'!N637))),OR('Offshore - Sydney'!G637&lt;&gt;0,ISNUMBER(SEARCH("Enrolment 0 terverifikasi",'Offshore - Sydney'!N637)))),1,0)</f>
        <v>1</v>
      </c>
      <c r="M853" s="0" t="n">
        <f aca="false">IF(OR('Offshore - Sydney'!E637="",ISNUMBER(SEARCH("BSB80120",'Offshore - Sydney'!B637&amp;'Offshore - Sydney'!N637)),ISNUMBER(SEARCH("Management (Learning)",'Offshore - Sydney'!B637))),2,IF(ISNUMBER(SEARCH("CEK:",'Offshore - Sydney'!N637)),1,0))</f>
        <v>1</v>
      </c>
    </row>
    <row r="854" customFormat="false" ht="28.35" hidden="false" customHeight="false" outlineLevel="0" collapsed="false">
      <c r="A854" s="63" t="s">
        <v>3533</v>
      </c>
      <c r="B854" s="64" t="s">
        <v>3990</v>
      </c>
      <c r="C854" s="63" t="s">
        <v>42</v>
      </c>
      <c r="D854" s="64" t="str">
        <f aca="false">TRIM(LEFT('Offshore - Sydney'!A488,FIND(CHAR(10),'Offshore - Sydney'!A488&amp;CHAR(10))-1))</f>
        <v>Imperial Institute of Sydney (IIS)</v>
      </c>
      <c r="E854" s="63" t="str">
        <f aca="false">'Offshore - Sydney'!C489&amp;""</f>
        <v>2 years</v>
      </c>
      <c r="F854" s="63" t="str">
        <f aca="false">IF('Offshore - Sydney'!D489="","Belum tercatat",'Offshore - Sydney'!D489)</f>
        <v>Term</v>
      </c>
      <c r="G854" s="65" t="n">
        <f aca="false">IF('Offshore - Sydney'!E489="","-",'Offshore - Sydney'!E489)</f>
        <v>2625</v>
      </c>
      <c r="H854" s="63" t="n">
        <f aca="false">IF(ISNUMBER(K854),COUNTIFS($J$6:$J$1854,J854,$K$6:$K$1854,"&lt;"&amp;K854)+1,"-")</f>
        <v>9</v>
      </c>
      <c r="I854" s="64" t="str">
        <f aca="false">IF('Offshore - Sydney'!E489="","Harga belum tersedia - hubungi konsultan TEG",IF(M854=2,"Saat ini tidak menerima pendaftaran siswa internasional baru",IF(M854=1,"Harga perlu dikonfirmasi ke sekolah"&amp;IF(""="","","; "&amp;""),"")))</f>
        <v/>
      </c>
      <c r="J854" s="0" t="s">
        <v>4057</v>
      </c>
      <c r="K854" s="0" t="n">
        <f aca="false">IF(M854=2,"",IF(ISNUMBER(SEARCH("rata-rata:",'Offshore - Sydney'!N489)),VALUE(MID('Offshore - Sydney'!N489,SEARCH("rata-rata:",'Offshore - Sydney'!N489)+11,FIND(";",'Offshore - Sydney'!N489&amp;";",SEARCH("rata-rata:",'Offshore - Sydney'!N489))-SEARCH("rata-rata:",'Offshore - Sydney'!N489)-11)),IF('Offshore - Sydney'!D489="Semester",'Offshore - Sydney'!E489*2,IF('Offshore - Sydney'!D489="Trimester",'Offshore - Sydney'!E489*3,IF('Offshore - Sydney'!D489="Term",'Offshore - Sydney'!E489*4,IF('Offshore - Sydney'!D489="Unit",'Offshore - Sydney'!E489*8,""))))))</f>
        <v>10500</v>
      </c>
      <c r="L854" s="0" t="n">
        <f aca="false">IF(AND(ISNUMBER('Offshore - Sydney'!E489),ISNUMBER(K854),ISNUMBER('Offshore - Sydney'!F489),ISNUMBER('Offshore - Sydney'!G489),OR('Offshore - Sydney'!F489&lt;&gt;0,ISNUMBER(SEARCH("Material 0 terverifikasi",'Offshore - Sydney'!N489))),OR('Offshore - Sydney'!G489&lt;&gt;0,ISNUMBER(SEARCH("Enrolment 0 terverifikasi",'Offshore - Sydney'!N489)))),1,0)</f>
        <v>0</v>
      </c>
      <c r="M854" s="0" t="n">
        <f aca="false">IF(OR('Offshore - Sydney'!E489="",ISNUMBER(SEARCH("BSB80120",'Offshore - Sydney'!B489&amp;'Offshore - Sydney'!N489)),ISNUMBER(SEARCH("Management (Learning)",'Offshore - Sydney'!B489))),2,IF(ISNUMBER(SEARCH("CEK:",'Offshore - Sydney'!N489)),1,0))</f>
        <v>0</v>
      </c>
    </row>
    <row r="855" customFormat="false" ht="28.35" hidden="false" customHeight="false" outlineLevel="0" collapsed="false">
      <c r="A855" s="63" t="s">
        <v>3533</v>
      </c>
      <c r="B855" s="64" t="s">
        <v>3990</v>
      </c>
      <c r="C855" s="63" t="s">
        <v>42</v>
      </c>
      <c r="D855" s="64" t="str">
        <f aca="false">TRIM(LEFT('Offshore - Sydney'!A609,FIND(CHAR(10),'Offshore - Sydney'!A609&amp;CHAR(10))-1))</f>
        <v>New Era Institute</v>
      </c>
      <c r="E855" s="63" t="str">
        <f aca="false">'Offshore - Sydney'!C611&amp;""</f>
        <v>2 years</v>
      </c>
      <c r="F855" s="63" t="str">
        <f aca="false">IF('Offshore - Sydney'!D611="","Belum tercatat",'Offshore - Sydney'!D611)</f>
        <v>Term</v>
      </c>
      <c r="G855" s="65" t="n">
        <f aca="false">IF('Offshore - Sydney'!E611="","-",'Offshore - Sydney'!E611)</f>
        <v>2950</v>
      </c>
      <c r="H855" s="63" t="n">
        <f aca="false">IF(ISNUMBER(K855),COUNTIFS($J$6:$J$1854,J855,$K$6:$K$1854,"&lt;"&amp;K855)+1,"-")</f>
        <v>10</v>
      </c>
      <c r="I855" s="64" t="str">
        <f aca="false">IF('Offshore - Sydney'!E611="","Harga belum tersedia - hubungi konsultan TEG",IF(M855=2,"Saat ini tidak menerima pendaftaran siswa internasional baru",IF(M855=1,"Harga perlu dikonfirmasi ke sekolah"&amp;IF(""="","","; "&amp;""),"")))</f>
        <v/>
      </c>
      <c r="J855" s="0" t="s">
        <v>4057</v>
      </c>
      <c r="K855" s="0" t="n">
        <f aca="false">IF(M855=2,"",IF(ISNUMBER(SEARCH("rata-rata:",'Offshore - Sydney'!N611)),VALUE(MID('Offshore - Sydney'!N611,SEARCH("rata-rata:",'Offshore - Sydney'!N611)+11,FIND(";",'Offshore - Sydney'!N611&amp;";",SEARCH("rata-rata:",'Offshore - Sydney'!N611))-SEARCH("rata-rata:",'Offshore - Sydney'!N611)-11)),IF('Offshore - Sydney'!D611="Semester",'Offshore - Sydney'!E611*2,IF('Offshore - Sydney'!D611="Trimester",'Offshore - Sydney'!E611*3,IF('Offshore - Sydney'!D611="Term",'Offshore - Sydney'!E611*4,IF('Offshore - Sydney'!D611="Unit",'Offshore - Sydney'!E611*8,""))))))</f>
        <v>11800</v>
      </c>
      <c r="L855" s="0" t="n">
        <f aca="false">IF(AND(ISNUMBER('Offshore - Sydney'!E611),ISNUMBER(K855),ISNUMBER('Offshore - Sydney'!F611),ISNUMBER('Offshore - Sydney'!G611),OR('Offshore - Sydney'!F611&lt;&gt;0,ISNUMBER(SEARCH("Material 0 terverifikasi",'Offshore - Sydney'!N611))),OR('Offshore - Sydney'!G611&lt;&gt;0,ISNUMBER(SEARCH("Enrolment 0 terverifikasi",'Offshore - Sydney'!N611)))),1,0)</f>
        <v>1</v>
      </c>
      <c r="M855" s="0" t="n">
        <f aca="false">IF(OR('Offshore - Sydney'!E611="",ISNUMBER(SEARCH("BSB80120",'Offshore - Sydney'!B611&amp;'Offshore - Sydney'!N611)),ISNUMBER(SEARCH("Management (Learning)",'Offshore - Sydney'!B611))),2,IF(ISNUMBER(SEARCH("CEK:",'Offshore - Sydney'!N611)),1,0))</f>
        <v>0</v>
      </c>
    </row>
    <row r="856" customFormat="false" ht="28.35" hidden="false" customHeight="false" outlineLevel="0" collapsed="false">
      <c r="A856" s="63" t="s">
        <v>3533</v>
      </c>
      <c r="B856" s="64" t="s">
        <v>3990</v>
      </c>
      <c r="C856" s="63" t="s">
        <v>42</v>
      </c>
      <c r="D856" s="64" t="str">
        <f aca="false">TRIM(LEFT('Offshore - Sydney'!A6,FIND(CHAR(10),'Offshore - Sydney'!A6&amp;CHAR(10))-1))</f>
        <v>Abbey College Australia</v>
      </c>
      <c r="E856" s="63" t="str">
        <f aca="false">'Offshore - Sydney'!C11&amp;""</f>
        <v>2 years</v>
      </c>
      <c r="F856" s="63" t="str">
        <f aca="false">IF('Offshore - Sydney'!D11="","Belum tercatat",'Offshore - Sydney'!D11)</f>
        <v>Term</v>
      </c>
      <c r="G856" s="65" t="n">
        <f aca="false">IF('Offshore - Sydney'!E11="","-",'Offshore - Sydney'!E11)</f>
        <v>3000</v>
      </c>
      <c r="H856" s="63" t="n">
        <f aca="false">IF(ISNUMBER(K856),COUNTIFS($J$6:$J$1854,J856,$K$6:$K$1854,"&lt;"&amp;K856)+1,"-")</f>
        <v>11</v>
      </c>
      <c r="I856" s="64" t="str">
        <f aca="false">IF('Offshore - Sydney'!E11="","Harga belum tersedia - hubungi konsultan TEG",IF(M856=2,"Saat ini tidak menerima pendaftaran siswa internasional baru",IF(M856=1,"Harga perlu dikonfirmasi ke sekolah"&amp;IF(""="","","; "&amp;""),"")))</f>
        <v/>
      </c>
      <c r="J856" s="0" t="s">
        <v>4057</v>
      </c>
      <c r="K856" s="0" t="n">
        <f aca="false">IF(M856=2,"",IF(ISNUMBER(SEARCH("rata-rata:",'Offshore - Sydney'!N11)),VALUE(MID('Offshore - Sydney'!N11,SEARCH("rata-rata:",'Offshore - Sydney'!N11)+11,FIND(";",'Offshore - Sydney'!N11&amp;";",SEARCH("rata-rata:",'Offshore - Sydney'!N11))-SEARCH("rata-rata:",'Offshore - Sydney'!N11)-11)),IF('Offshore - Sydney'!D11="Semester",'Offshore - Sydney'!E11*2,IF('Offshore - Sydney'!D11="Trimester",'Offshore - Sydney'!E11*3,IF('Offshore - Sydney'!D11="Term",'Offshore - Sydney'!E11*4,IF('Offshore - Sydney'!D11="Unit",'Offshore - Sydney'!E11*8,""))))))</f>
        <v>12000</v>
      </c>
      <c r="L856" s="0" t="n">
        <f aca="false">IF(AND(ISNUMBER('Offshore - Sydney'!E11),ISNUMBER(K856),ISNUMBER('Offshore - Sydney'!F11),ISNUMBER('Offshore - Sydney'!G11),OR('Offshore - Sydney'!F11&lt;&gt;0,ISNUMBER(SEARCH("Material 0 terverifikasi",'Offshore - Sydney'!N11))),OR('Offshore - Sydney'!G11&lt;&gt;0,ISNUMBER(SEARCH("Enrolment 0 terverifikasi",'Offshore - Sydney'!N11)))),1,0)</f>
        <v>1</v>
      </c>
      <c r="M856" s="0" t="n">
        <f aca="false">IF(OR('Offshore - Sydney'!E11="",ISNUMBER(SEARCH("BSB80120",'Offshore - Sydney'!B11&amp;'Offshore - Sydney'!N11)),ISNUMBER(SEARCH("Management (Learning)",'Offshore - Sydney'!B11))),2,IF(ISNUMBER(SEARCH("CEK:",'Offshore - Sydney'!N11)),1,0))</f>
        <v>0</v>
      </c>
    </row>
    <row r="857" customFormat="false" ht="28.35" hidden="false" customHeight="false" outlineLevel="0" collapsed="false">
      <c r="A857" s="63" t="s">
        <v>3533</v>
      </c>
      <c r="B857" s="64" t="s">
        <v>3990</v>
      </c>
      <c r="C857" s="63" t="s">
        <v>42</v>
      </c>
      <c r="D857" s="64" t="str">
        <f aca="false">TRIM(LEFT('Offshore - Sydney'!A282,FIND(CHAR(10),'Offshore - Sydney'!A282&amp;CHAR(10))-1))</f>
        <v>Australian Harbour International College (AHIC)</v>
      </c>
      <c r="E857" s="63" t="str">
        <f aca="false">'Offshore - Sydney'!C293&amp;""</f>
        <v>3 years</v>
      </c>
      <c r="F857" s="63" t="str">
        <f aca="false">IF('Offshore - Sydney'!D293="","Belum tercatat",'Offshore - Sydney'!D293)</f>
        <v>Term</v>
      </c>
      <c r="G857" s="65" t="n">
        <f aca="false">IF('Offshore - Sydney'!E293="","-",'Offshore - Sydney'!E293)</f>
        <v>3000</v>
      </c>
      <c r="H857" s="63" t="n">
        <f aca="false">IF(ISNUMBER(K857),COUNTIFS($J$6:$J$1854,J857,$K$6:$K$1854,"&lt;"&amp;K857)+1,"-")</f>
        <v>11</v>
      </c>
      <c r="I857" s="64" t="str">
        <f aca="false">IF('Offshore - Sydney'!E293="","Harga belum tersedia - hubungi konsultan TEG",IF(M857=2,"Saat ini tidak menerima pendaftaran siswa internasional baru",IF(M857=1,"Harga perlu dikonfirmasi ke sekolah"&amp;IF(""="","","; "&amp;""),"")))</f>
        <v/>
      </c>
      <c r="J857" s="0" t="s">
        <v>4057</v>
      </c>
      <c r="K857" s="0" t="n">
        <f aca="false">IF(M857=2,"",IF(ISNUMBER(SEARCH("rata-rata:",'Offshore - Sydney'!N293)),VALUE(MID('Offshore - Sydney'!N293,SEARCH("rata-rata:",'Offshore - Sydney'!N293)+11,FIND(";",'Offshore - Sydney'!N293&amp;";",SEARCH("rata-rata:",'Offshore - Sydney'!N293))-SEARCH("rata-rata:",'Offshore - Sydney'!N293)-11)),IF('Offshore - Sydney'!D293="Semester",'Offshore - Sydney'!E293*2,IF('Offshore - Sydney'!D293="Trimester",'Offshore - Sydney'!E293*3,IF('Offshore - Sydney'!D293="Term",'Offshore - Sydney'!E293*4,IF('Offshore - Sydney'!D293="Unit",'Offshore - Sydney'!E293*8,""))))))</f>
        <v>12000</v>
      </c>
      <c r="L857" s="0" t="n">
        <f aca="false">IF(AND(ISNUMBER('Offshore - Sydney'!E293),ISNUMBER(K857),ISNUMBER('Offshore - Sydney'!F293),ISNUMBER('Offshore - Sydney'!G293),OR('Offshore - Sydney'!F293&lt;&gt;0,ISNUMBER(SEARCH("Material 0 terverifikasi",'Offshore - Sydney'!N293))),OR('Offshore - Sydney'!G293&lt;&gt;0,ISNUMBER(SEARCH("Enrolment 0 terverifikasi",'Offshore - Sydney'!N293)))),1,0)</f>
        <v>1</v>
      </c>
      <c r="M857" s="0" t="n">
        <f aca="false">IF(OR('Offshore - Sydney'!E293="",ISNUMBER(SEARCH("BSB80120",'Offshore - Sydney'!B293&amp;'Offshore - Sydney'!N293)),ISNUMBER(SEARCH("Management (Learning)",'Offshore - Sydney'!B293))),2,IF(ISNUMBER(SEARCH("CEK:",'Offshore - Sydney'!N293)),1,0))</f>
        <v>0</v>
      </c>
    </row>
    <row r="858" customFormat="false" ht="28.35" hidden="false" customHeight="false" outlineLevel="0" collapsed="false">
      <c r="A858" s="63" t="s">
        <v>3533</v>
      </c>
      <c r="B858" s="64" t="s">
        <v>3990</v>
      </c>
      <c r="C858" s="63" t="s">
        <v>42</v>
      </c>
      <c r="D858" s="64" t="str">
        <f aca="false">TRIM(LEFT('Offshore - Sydney'!A691,FIND(CHAR(10),'Offshore - Sydney'!A691&amp;CHAR(10))-1))</f>
        <v>Sydney City College of Management</v>
      </c>
      <c r="E858" s="63" t="str">
        <f aca="false">'Offshore - Sydney'!C693&amp;""</f>
        <v>2 years</v>
      </c>
      <c r="F858" s="63" t="str">
        <f aca="false">IF('Offshore - Sydney'!D693="","Belum tercatat",'Offshore - Sydney'!D693)</f>
        <v>Term</v>
      </c>
      <c r="G858" s="65" t="n">
        <f aca="false">IF('Offshore - Sydney'!E693="","-",'Offshore - Sydney'!E693)</f>
        <v>3125</v>
      </c>
      <c r="H858" s="63" t="n">
        <f aca="false">IF(ISNUMBER(K858),COUNTIFS($J$6:$J$1854,J858,$K$6:$K$1854,"&lt;"&amp;K858)+1,"-")</f>
        <v>13</v>
      </c>
      <c r="I858" s="64" t="str">
        <f aca="false">IF('Offshore - Sydney'!E693="","Harga belum tersedia - hubungi konsultan TEG",IF(M858=2,"Saat ini tidak menerima pendaftaran siswa internasional baru",IF(M858=1,"Harga perlu dikonfirmasi ke sekolah"&amp;IF(""="","","; "&amp;""),"")))</f>
        <v/>
      </c>
      <c r="J858" s="0" t="s">
        <v>4057</v>
      </c>
      <c r="K858" s="0" t="n">
        <f aca="false">IF(M858=2,"",IF(ISNUMBER(SEARCH("rata-rata:",'Offshore - Sydney'!N693)),VALUE(MID('Offshore - Sydney'!N693,SEARCH("rata-rata:",'Offshore - Sydney'!N693)+11,FIND(";",'Offshore - Sydney'!N693&amp;";",SEARCH("rata-rata:",'Offshore - Sydney'!N693))-SEARCH("rata-rata:",'Offshore - Sydney'!N693)-11)),IF('Offshore - Sydney'!D693="Semester",'Offshore - Sydney'!E693*2,IF('Offshore - Sydney'!D693="Trimester",'Offshore - Sydney'!E693*3,IF('Offshore - Sydney'!D693="Term",'Offshore - Sydney'!E693*4,IF('Offshore - Sydney'!D693="Unit",'Offshore - Sydney'!E693*8,""))))))</f>
        <v>12500</v>
      </c>
      <c r="L858" s="0" t="n">
        <f aca="false">IF(AND(ISNUMBER('Offshore - Sydney'!E693),ISNUMBER(K858),ISNUMBER('Offshore - Sydney'!F693),ISNUMBER('Offshore - Sydney'!G693),OR('Offshore - Sydney'!F693&lt;&gt;0,ISNUMBER(SEARCH("Material 0 terverifikasi",'Offshore - Sydney'!N693))),OR('Offshore - Sydney'!G693&lt;&gt;0,ISNUMBER(SEARCH("Enrolment 0 terverifikasi",'Offshore - Sydney'!N693)))),1,0)</f>
        <v>1</v>
      </c>
      <c r="M858" s="0" t="n">
        <f aca="false">IF(OR('Offshore - Sydney'!E693="",ISNUMBER(SEARCH("BSB80120",'Offshore - Sydney'!B693&amp;'Offshore - Sydney'!N693)),ISNUMBER(SEARCH("Management (Learning)",'Offshore - Sydney'!B693))),2,IF(ISNUMBER(SEARCH("CEK:",'Offshore - Sydney'!N693)),1,0))</f>
        <v>0</v>
      </c>
    </row>
    <row r="859" customFormat="false" ht="28.35" hidden="false" customHeight="false" outlineLevel="0" collapsed="false">
      <c r="A859" s="63" t="s">
        <v>3533</v>
      </c>
      <c r="B859" s="64" t="s">
        <v>3990</v>
      </c>
      <c r="C859" s="63" t="s">
        <v>42</v>
      </c>
      <c r="D859" s="64" t="str">
        <f aca="false">TRIM(LEFT('Offshore - Sydney'!A111,FIND(CHAR(10),'Offshore - Sydney'!A111&amp;CHAR(10))-1))</f>
        <v>Alliance College</v>
      </c>
      <c r="E859" s="63" t="str">
        <f aca="false">'Offshore - Sydney'!C114&amp;""</f>
        <v>2 years</v>
      </c>
      <c r="F859" s="63" t="str">
        <f aca="false">IF('Offshore - Sydney'!D114="","Belum tercatat",'Offshore - Sydney'!D114)</f>
        <v>Term</v>
      </c>
      <c r="G859" s="65" t="n">
        <f aca="false">IF('Offshore - Sydney'!E114="","-",'Offshore - Sydney'!E114)</f>
        <v>3200</v>
      </c>
      <c r="H859" s="63" t="n">
        <f aca="false">IF(ISNUMBER(K859),COUNTIFS($J$6:$J$1854,J859,$K$6:$K$1854,"&lt;"&amp;K859)+1,"-")</f>
        <v>14</v>
      </c>
      <c r="I859" s="64" t="str">
        <f aca="false">IF('Offshore - Sydney'!E114="","Harga belum tersedia - hubungi konsultan TEG",IF(M859=2,"Saat ini tidak menerima pendaftaran siswa internasional baru",IF(M859=1,"Harga perlu dikonfirmasi ke sekolah"&amp;IF(""="","","; "&amp;""),"")))</f>
        <v/>
      </c>
      <c r="J859" s="0" t="s">
        <v>4057</v>
      </c>
      <c r="K859" s="0" t="n">
        <f aca="false">IF(M859=2,"",IF(ISNUMBER(SEARCH("rata-rata:",'Offshore - Sydney'!N114)),VALUE(MID('Offshore - Sydney'!N114,SEARCH("rata-rata:",'Offshore - Sydney'!N114)+11,FIND(";",'Offshore - Sydney'!N114&amp;";",SEARCH("rata-rata:",'Offshore - Sydney'!N114))-SEARCH("rata-rata:",'Offshore - Sydney'!N114)-11)),IF('Offshore - Sydney'!D114="Semester",'Offshore - Sydney'!E114*2,IF('Offshore - Sydney'!D114="Trimester",'Offshore - Sydney'!E114*3,IF('Offshore - Sydney'!D114="Term",'Offshore - Sydney'!E114*4,IF('Offshore - Sydney'!D114="Unit",'Offshore - Sydney'!E114*8,""))))))</f>
        <v>12800</v>
      </c>
      <c r="L859" s="0" t="n">
        <f aca="false">IF(AND(ISNUMBER('Offshore - Sydney'!E114),ISNUMBER(K859),ISNUMBER('Offshore - Sydney'!F114),ISNUMBER('Offshore - Sydney'!G114),OR('Offshore - Sydney'!F114&lt;&gt;0,ISNUMBER(SEARCH("Material 0 terverifikasi",'Offshore - Sydney'!N114))),OR('Offshore - Sydney'!G114&lt;&gt;0,ISNUMBER(SEARCH("Enrolment 0 terverifikasi",'Offshore - Sydney'!N114)))),1,0)</f>
        <v>1</v>
      </c>
      <c r="M859" s="0" t="n">
        <f aca="false">IF(OR('Offshore - Sydney'!E114="",ISNUMBER(SEARCH("BSB80120",'Offshore - Sydney'!B114&amp;'Offshore - Sydney'!N114)),ISNUMBER(SEARCH("Management (Learning)",'Offshore - Sydney'!B114))),2,IF(ISNUMBER(SEARCH("CEK:",'Offshore - Sydney'!N114)),1,0))</f>
        <v>0</v>
      </c>
    </row>
    <row r="860" customFormat="false" ht="28.35" hidden="false" customHeight="false" outlineLevel="0" collapsed="false">
      <c r="A860" s="63" t="s">
        <v>3533</v>
      </c>
      <c r="B860" s="64" t="s">
        <v>3990</v>
      </c>
      <c r="C860" s="63" t="s">
        <v>42</v>
      </c>
      <c r="D860" s="64" t="str">
        <f aca="false">TRIM(LEFT('Offshore - Sydney'!A968,FIND(CHAR(10),'Offshore - Sydney'!A968&amp;CHAR(10))-1))</f>
        <v>Western Sydney College (WSC)</v>
      </c>
      <c r="E860" s="63" t="str">
        <f aca="false">'Offshore - Sydney'!C978&amp;""</f>
        <v>2 years</v>
      </c>
      <c r="F860" s="63" t="str">
        <f aca="false">IF('Offshore - Sydney'!D978="","Belum tercatat",'Offshore - Sydney'!D978)</f>
        <v>Term</v>
      </c>
      <c r="G860" s="65" t="n">
        <f aca="false">IF('Offshore - Sydney'!E978="","-",'Offshore - Sydney'!E978)</f>
        <v>3250</v>
      </c>
      <c r="H860" s="63" t="n">
        <f aca="false">IF(ISNUMBER(K860),COUNTIFS($J$6:$J$1854,J860,$K$6:$K$1854,"&lt;"&amp;K860)+1,"-")</f>
        <v>15</v>
      </c>
      <c r="I860" s="64" t="str">
        <f aca="false">IF('Offshore - Sydney'!E978="","Harga belum tersedia - hubungi konsultan TEG",IF(M860=2,"Saat ini tidak menerima pendaftaran siswa internasional baru",IF(M860=1,"Harga perlu dikonfirmasi ke sekolah"&amp;IF(""="","","; "&amp;""),"")))</f>
        <v/>
      </c>
      <c r="J860" s="0" t="s">
        <v>4057</v>
      </c>
      <c r="K860" s="0" t="n">
        <f aca="false">IF(M860=2,"",IF(ISNUMBER(SEARCH("rata-rata:",'Offshore - Sydney'!N978)),VALUE(MID('Offshore - Sydney'!N978,SEARCH("rata-rata:",'Offshore - Sydney'!N978)+11,FIND(";",'Offshore - Sydney'!N978&amp;";",SEARCH("rata-rata:",'Offshore - Sydney'!N978))-SEARCH("rata-rata:",'Offshore - Sydney'!N978)-11)),IF('Offshore - Sydney'!D978="Semester",'Offshore - Sydney'!E978*2,IF('Offshore - Sydney'!D978="Trimester",'Offshore - Sydney'!E978*3,IF('Offshore - Sydney'!D978="Term",'Offshore - Sydney'!E978*4,IF('Offshore - Sydney'!D978="Unit",'Offshore - Sydney'!E978*8,""))))))</f>
        <v>13000</v>
      </c>
      <c r="L860" s="0" t="n">
        <f aca="false">IF(AND(ISNUMBER('Offshore - Sydney'!E978),ISNUMBER(K860),ISNUMBER('Offshore - Sydney'!F978),ISNUMBER('Offshore - Sydney'!G978),OR('Offshore - Sydney'!F978&lt;&gt;0,ISNUMBER(SEARCH("Material 0 terverifikasi",'Offshore - Sydney'!N978))),OR('Offshore - Sydney'!G978&lt;&gt;0,ISNUMBER(SEARCH("Enrolment 0 terverifikasi",'Offshore - Sydney'!N978)))),1,0)</f>
        <v>1</v>
      </c>
      <c r="M860" s="0" t="n">
        <f aca="false">IF(OR('Offshore - Sydney'!E978="",ISNUMBER(SEARCH("BSB80120",'Offshore - Sydney'!B978&amp;'Offshore - Sydney'!N978)),ISNUMBER(SEARCH("Management (Learning)",'Offshore - Sydney'!B978))),2,IF(ISNUMBER(SEARCH("CEK:",'Offshore - Sydney'!N978)),1,0))</f>
        <v>0</v>
      </c>
    </row>
    <row r="861" customFormat="false" ht="28.35" hidden="false" customHeight="false" outlineLevel="0" collapsed="false">
      <c r="A861" s="63" t="s">
        <v>3533</v>
      </c>
      <c r="B861" s="64" t="s">
        <v>3990</v>
      </c>
      <c r="C861" s="63" t="s">
        <v>42</v>
      </c>
      <c r="D861" s="64" t="str">
        <f aca="false">TRIM(LEFT('Offshore - Sydney'!A721,FIND(CHAR(10),'Offshore - Sydney'!A721&amp;CHAR(10))-1))</f>
        <v>TAFE NSW</v>
      </c>
      <c r="E861" s="63" t="str">
        <f aca="false">'Offshore - Sydney'!C744&amp;""</f>
        <v>2 years</v>
      </c>
      <c r="F861" s="63" t="str">
        <f aca="false">IF('Offshore - Sydney'!D744="","Belum tercatat",'Offshore - Sydney'!D744)</f>
        <v>Term</v>
      </c>
      <c r="G861" s="65" t="n">
        <f aca="false">IF('Offshore - Sydney'!E744="","-",'Offshore - Sydney'!E744)</f>
        <v>3350</v>
      </c>
      <c r="H861" s="63" t="n">
        <f aca="false">IF(ISNUMBER(K861),COUNTIFS($J$6:$J$1854,J861,$K$6:$K$1854,"&lt;"&amp;K861)+1,"-")</f>
        <v>16</v>
      </c>
      <c r="I861" s="64" t="str">
        <f aca="false">IF('Offshore - Sydney'!E744="","Harga belum tersedia - hubungi konsultan TEG",IF(M861=2,"Saat ini tidak menerima pendaftaran siswa internasional baru",IF(M861=1,"Harga perlu dikonfirmasi ke sekolah"&amp;IF(""="","","; "&amp;""),"")))</f>
        <v/>
      </c>
      <c r="J861" s="0" t="s">
        <v>4057</v>
      </c>
      <c r="K861" s="0" t="n">
        <f aca="false">IF(M861=2,"",IF(ISNUMBER(SEARCH("rata-rata:",'Offshore - Sydney'!N744)),VALUE(MID('Offshore - Sydney'!N744,SEARCH("rata-rata:",'Offshore - Sydney'!N744)+11,FIND(";",'Offshore - Sydney'!N744&amp;";",SEARCH("rata-rata:",'Offshore - Sydney'!N744))-SEARCH("rata-rata:",'Offshore - Sydney'!N744)-11)),IF('Offshore - Sydney'!D744="Semester",'Offshore - Sydney'!E744*2,IF('Offshore - Sydney'!D744="Trimester",'Offshore - Sydney'!E744*3,IF('Offshore - Sydney'!D744="Term",'Offshore - Sydney'!E744*4,IF('Offshore - Sydney'!D744="Unit",'Offshore - Sydney'!E744*8,""))))))</f>
        <v>13400</v>
      </c>
      <c r="L861" s="0" t="n">
        <f aca="false">IF(AND(ISNUMBER('Offshore - Sydney'!E744),ISNUMBER(K861),ISNUMBER('Offshore - Sydney'!F744),ISNUMBER('Offshore - Sydney'!G744),OR('Offshore - Sydney'!F744&lt;&gt;0,ISNUMBER(SEARCH("Material 0 terverifikasi",'Offshore - Sydney'!N744))),OR('Offshore - Sydney'!G744&lt;&gt;0,ISNUMBER(SEARCH("Enrolment 0 terverifikasi",'Offshore - Sydney'!N744)))),1,0)</f>
        <v>0</v>
      </c>
      <c r="M861" s="0" t="n">
        <f aca="false">IF(OR('Offshore - Sydney'!E744="",ISNUMBER(SEARCH("BSB80120",'Offshore - Sydney'!B744&amp;'Offshore - Sydney'!N744)),ISNUMBER(SEARCH("Management (Learning)",'Offshore - Sydney'!B744))),2,IF(ISNUMBER(SEARCH("CEK:",'Offshore - Sydney'!N744)),1,0))</f>
        <v>0</v>
      </c>
    </row>
    <row r="862" customFormat="false" ht="28.35" hidden="false" customHeight="false" outlineLevel="0" collapsed="false">
      <c r="A862" s="63" t="s">
        <v>3533</v>
      </c>
      <c r="B862" s="64" t="s">
        <v>3990</v>
      </c>
      <c r="C862" s="63" t="s">
        <v>42</v>
      </c>
      <c r="D862" s="64" t="str">
        <f aca="false">TRIM(LEFT('Offshore - Sydney'!A660,FIND(CHAR(10),'Offshore - Sydney'!A660&amp;CHAR(10))-1))</f>
        <v>Rosehill College</v>
      </c>
      <c r="E862" s="63" t="str">
        <f aca="false">'Offshore - Sydney'!C662&amp;""</f>
        <v>4 years</v>
      </c>
      <c r="F862" s="63" t="str">
        <f aca="false">IF('Offshore - Sydney'!D662="","Belum tercatat",'Offshore - Sydney'!D662)</f>
        <v>Term</v>
      </c>
      <c r="G862" s="65" t="n">
        <f aca="false">IF('Offshore - Sydney'!E662="","-",'Offshore - Sydney'!E662)</f>
        <v>3625</v>
      </c>
      <c r="H862" s="63" t="n">
        <f aca="false">IF(ISNUMBER(K862),COUNTIFS($J$6:$J$1854,J862,$K$6:$K$1854,"&lt;"&amp;K862)+1,"-")</f>
        <v>17</v>
      </c>
      <c r="I862" s="64" t="str">
        <f aca="false">IF('Offshore - Sydney'!E662="","Harga belum tersedia - hubungi konsultan TEG",IF(M862=2,"Saat ini tidak menerima pendaftaran siswa internasional baru",IF(M862=1,"Harga perlu dikonfirmasi ke sekolah"&amp;IF(""="","","; "&amp;""),"")))</f>
        <v/>
      </c>
      <c r="J862" s="0" t="s">
        <v>4057</v>
      </c>
      <c r="K862" s="0" t="n">
        <f aca="false">IF(M862=2,"",IF(ISNUMBER(SEARCH("rata-rata:",'Offshore - Sydney'!N662)),VALUE(MID('Offshore - Sydney'!N662,SEARCH("rata-rata:",'Offshore - Sydney'!N662)+11,FIND(";",'Offshore - Sydney'!N662&amp;";",SEARCH("rata-rata:",'Offshore - Sydney'!N662))-SEARCH("rata-rata:",'Offshore - Sydney'!N662)-11)),IF('Offshore - Sydney'!D662="Semester",'Offshore - Sydney'!E662*2,IF('Offshore - Sydney'!D662="Trimester",'Offshore - Sydney'!E662*3,IF('Offshore - Sydney'!D662="Term",'Offshore - Sydney'!E662*4,IF('Offshore - Sydney'!D662="Unit",'Offshore - Sydney'!E662*8,""))))))</f>
        <v>14500</v>
      </c>
      <c r="L862" s="0" t="n">
        <f aca="false">IF(AND(ISNUMBER('Offshore - Sydney'!E662),ISNUMBER(K862),ISNUMBER('Offshore - Sydney'!F662),ISNUMBER('Offshore - Sydney'!G662),OR('Offshore - Sydney'!F662&lt;&gt;0,ISNUMBER(SEARCH("Material 0 terverifikasi",'Offshore - Sydney'!N662))),OR('Offshore - Sydney'!G662&lt;&gt;0,ISNUMBER(SEARCH("Enrolment 0 terverifikasi",'Offshore - Sydney'!N662)))),1,0)</f>
        <v>1</v>
      </c>
      <c r="M862" s="0" t="n">
        <f aca="false">IF(OR('Offshore - Sydney'!E662="",ISNUMBER(SEARCH("BSB80120",'Offshore - Sydney'!B662&amp;'Offshore - Sydney'!N662)),ISNUMBER(SEARCH("Management (Learning)",'Offshore - Sydney'!B662))),2,IF(ISNUMBER(SEARCH("CEK:",'Offshore - Sydney'!N662)),1,0))</f>
        <v>0</v>
      </c>
    </row>
    <row r="863" customFormat="false" ht="28.35" hidden="false" customHeight="false" outlineLevel="0" collapsed="false">
      <c r="A863" s="63" t="s">
        <v>3533</v>
      </c>
      <c r="B863" s="64" t="s">
        <v>3990</v>
      </c>
      <c r="C863" s="63" t="s">
        <v>42</v>
      </c>
      <c r="D863" s="64" t="str">
        <f aca="false">TRIM(LEFT('Offshore - Sydney'!A123,FIND(CHAR(10),'Offshore - Sydney'!A123&amp;CHAR(10))-1))</f>
        <v>Apeiro Institute</v>
      </c>
      <c r="E863" s="63" t="str">
        <f aca="false">'Offshore - Sydney'!C130&amp;""</f>
        <v>2,5 years</v>
      </c>
      <c r="F863" s="63" t="str">
        <f aca="false">IF('Offshore - Sydney'!D130="","Belum tercatat",'Offshore - Sydney'!D130)</f>
        <v>Term</v>
      </c>
      <c r="G863" s="65" t="n">
        <f aca="false">IF('Offshore - Sydney'!E130="","-",'Offshore - Sydney'!E130)</f>
        <v>3750</v>
      </c>
      <c r="H863" s="63" t="n">
        <f aca="false">IF(ISNUMBER(K863),COUNTIFS($J$6:$J$1854,J863,$K$6:$K$1854,"&lt;"&amp;K863)+1,"-")</f>
        <v>18</v>
      </c>
      <c r="I863" s="64" t="str">
        <f aca="false">IF('Offshore - Sydney'!E130="","Harga belum tersedia - hubungi konsultan TEG",IF(M863=2,"Saat ini tidak menerima pendaftaran siswa internasional baru",IF(M863=1,"Harga perlu dikonfirmasi ke sekolah"&amp;IF(""="","","; "&amp;""),"")))</f>
        <v/>
      </c>
      <c r="J863" s="0" t="s">
        <v>4057</v>
      </c>
      <c r="K863" s="0" t="n">
        <f aca="false">IF(M863=2,"",IF(ISNUMBER(SEARCH("rata-rata:",'Offshore - Sydney'!N130)),VALUE(MID('Offshore - Sydney'!N130,SEARCH("rata-rata:",'Offshore - Sydney'!N130)+11,FIND(";",'Offshore - Sydney'!N130&amp;";",SEARCH("rata-rata:",'Offshore - Sydney'!N130))-SEARCH("rata-rata:",'Offshore - Sydney'!N130)-11)),IF('Offshore - Sydney'!D130="Semester",'Offshore - Sydney'!E130*2,IF('Offshore - Sydney'!D130="Trimester",'Offshore - Sydney'!E130*3,IF('Offshore - Sydney'!D130="Term",'Offshore - Sydney'!E130*4,IF('Offshore - Sydney'!D130="Unit",'Offshore - Sydney'!E130*8,""))))))</f>
        <v>15000</v>
      </c>
      <c r="L863" s="0" t="n">
        <f aca="false">IF(AND(ISNUMBER('Offshore - Sydney'!E130),ISNUMBER(K863),ISNUMBER('Offshore - Sydney'!F130),ISNUMBER('Offshore - Sydney'!G130),OR('Offshore - Sydney'!F130&lt;&gt;0,ISNUMBER(SEARCH("Material 0 terverifikasi",'Offshore - Sydney'!N130))),OR('Offshore - Sydney'!G130&lt;&gt;0,ISNUMBER(SEARCH("Enrolment 0 terverifikasi",'Offshore - Sydney'!N130)))),1,0)</f>
        <v>1</v>
      </c>
      <c r="M863" s="0" t="n">
        <f aca="false">IF(OR('Offshore - Sydney'!E130="",ISNUMBER(SEARCH("BSB80120",'Offshore - Sydney'!B130&amp;'Offshore - Sydney'!N130)),ISNUMBER(SEARCH("Management (Learning)",'Offshore - Sydney'!B130))),2,IF(ISNUMBER(SEARCH("CEK:",'Offshore - Sydney'!N130)),1,0))</f>
        <v>0</v>
      </c>
    </row>
    <row r="864" customFormat="false" ht="28.35" hidden="false" customHeight="false" outlineLevel="0" collapsed="false">
      <c r="A864" s="63" t="s">
        <v>3533</v>
      </c>
      <c r="B864" s="64" t="s">
        <v>3990</v>
      </c>
      <c r="C864" s="63" t="s">
        <v>42</v>
      </c>
      <c r="D864" s="64" t="str">
        <f aca="false">TRIM(LEFT('Offshore - Sydney'!A677,FIND(CHAR(10),'Offshore - Sydney'!A677&amp;CHAR(10))-1))</f>
        <v>Signet Institute of Australia</v>
      </c>
      <c r="E864" s="63" t="str">
        <f aca="false">'Offshore - Sydney'!C681&amp;""</f>
        <v>4 years</v>
      </c>
      <c r="F864" s="63" t="str">
        <f aca="false">IF('Offshore - Sydney'!D681="","Belum tercatat",'Offshore - Sydney'!D681)</f>
        <v>Term</v>
      </c>
      <c r="G864" s="65" t="n">
        <f aca="false">IF('Offshore - Sydney'!E681="","-",'Offshore - Sydney'!E681)</f>
        <v>3800</v>
      </c>
      <c r="H864" s="63" t="n">
        <f aca="false">IF(ISNUMBER(K864),COUNTIFS($J$6:$J$1854,J864,$K$6:$K$1854,"&lt;"&amp;K864)+1,"-")</f>
        <v>19</v>
      </c>
      <c r="I864" s="64" t="str">
        <f aca="false">IF('Offshore - Sydney'!E681="","Harga belum tersedia - hubungi konsultan TEG",IF(M864=2,"Saat ini tidak menerima pendaftaran siswa internasional baru",IF(M864=1,"Harga perlu dikonfirmasi ke sekolah"&amp;IF(""="","","; "&amp;""),"")))</f>
        <v/>
      </c>
      <c r="J864" s="0" t="s">
        <v>4057</v>
      </c>
      <c r="K864" s="0" t="n">
        <f aca="false">IF(M864=2,"",IF(ISNUMBER(SEARCH("rata-rata:",'Offshore - Sydney'!N681)),VALUE(MID('Offshore - Sydney'!N681,SEARCH("rata-rata:",'Offshore - Sydney'!N681)+11,FIND(";",'Offshore - Sydney'!N681&amp;";",SEARCH("rata-rata:",'Offshore - Sydney'!N681))-SEARCH("rata-rata:",'Offshore - Sydney'!N681)-11)),IF('Offshore - Sydney'!D681="Semester",'Offshore - Sydney'!E681*2,IF('Offshore - Sydney'!D681="Trimester",'Offshore - Sydney'!E681*3,IF('Offshore - Sydney'!D681="Term",'Offshore - Sydney'!E681*4,IF('Offshore - Sydney'!D681="Unit",'Offshore - Sydney'!E681*8,""))))))</f>
        <v>15200</v>
      </c>
      <c r="L864" s="0" t="n">
        <f aca="false">IF(AND(ISNUMBER('Offshore - Sydney'!E681),ISNUMBER(K864),ISNUMBER('Offshore - Sydney'!F681),ISNUMBER('Offshore - Sydney'!G681),OR('Offshore - Sydney'!F681&lt;&gt;0,ISNUMBER(SEARCH("Material 0 terverifikasi",'Offshore - Sydney'!N681))),OR('Offshore - Sydney'!G681&lt;&gt;0,ISNUMBER(SEARCH("Enrolment 0 terverifikasi",'Offshore - Sydney'!N681)))),1,0)</f>
        <v>0</v>
      </c>
      <c r="M864" s="0" t="n">
        <f aca="false">IF(OR('Offshore - Sydney'!E681="",ISNUMBER(SEARCH("BSB80120",'Offshore - Sydney'!B681&amp;'Offshore - Sydney'!N681)),ISNUMBER(SEARCH("Management (Learning)",'Offshore - Sydney'!B681))),2,IF(ISNUMBER(SEARCH("CEK:",'Offshore - Sydney'!N681)),1,0))</f>
        <v>0</v>
      </c>
    </row>
    <row r="865" customFormat="false" ht="15" hidden="false" customHeight="false" outlineLevel="0" collapsed="false">
      <c r="A865" s="61" t="s">
        <v>4058</v>
      </c>
      <c r="B865" s="62"/>
      <c r="C865" s="62"/>
      <c r="D865" s="62"/>
      <c r="E865" s="62"/>
      <c r="F865" s="62"/>
      <c r="G865" s="62"/>
      <c r="H865" s="62"/>
      <c r="I865" s="62"/>
    </row>
    <row r="866" customFormat="false" ht="28.35" hidden="false" customHeight="false" outlineLevel="0" collapsed="false">
      <c r="A866" s="63" t="s">
        <v>3533</v>
      </c>
      <c r="B866" s="64" t="s">
        <v>3990</v>
      </c>
      <c r="C866" s="63" t="s">
        <v>43</v>
      </c>
      <c r="D866" s="64" t="str">
        <f aca="false">TRIM(LEFT('Offshore - Sydney'!A814,FIND(CHAR(10),'Offshore - Sydney'!A814&amp;CHAR(10))-1))</f>
        <v>Torrens University Australia</v>
      </c>
      <c r="E866" s="63" t="str">
        <f aca="false">'Offshore - Sydney'!C859&amp;""</f>
        <v>3 years</v>
      </c>
      <c r="F866" s="63" t="str">
        <f aca="false">IF('Offshore - Sydney'!D859="","Belum tercatat",'Offshore - Sydney'!D859)</f>
        <v>Term</v>
      </c>
      <c r="G866" s="65" t="n">
        <f aca="false">IF('Offshore - Sydney'!E859="","-",'Offshore - Sydney'!E859)</f>
        <v>9375</v>
      </c>
      <c r="H866" s="63" t="n">
        <f aca="false">IF(ISNUMBER(K866),COUNTIFS($J$6:$J$1854,J866,$K$6:$K$1854,"&lt;"&amp;K866)+1,"-")</f>
        <v>1</v>
      </c>
      <c r="I866" s="64" t="str">
        <f aca="false">IF('Offshore - Sydney'!E859="","Harga belum tersedia - hubungi konsultan TEG",IF(M866=2,"Saat ini tidak menerima pendaftaran siswa internasional baru",IF(M866=1,"Harga perlu dikonfirmasi ke sekolah"&amp;IF(""="","","; "&amp;""),"")))</f>
        <v/>
      </c>
      <c r="J866" s="0" t="s">
        <v>4059</v>
      </c>
      <c r="K866" s="0" t="n">
        <f aca="false">IF(M866=2,"",IF(ISNUMBER(SEARCH("rata-rata:",'Offshore - Sydney'!N859)),VALUE(MID('Offshore - Sydney'!N859,SEARCH("rata-rata:",'Offshore - Sydney'!N859)+11,FIND(";",'Offshore - Sydney'!N859&amp;";",SEARCH("rata-rata:",'Offshore - Sydney'!N859))-SEARCH("rata-rata:",'Offshore - Sydney'!N859)-11)),IF('Offshore - Sydney'!D859="Semester",'Offshore - Sydney'!E859*2,IF('Offshore - Sydney'!D859="Trimester",'Offshore - Sydney'!E859*3,IF('Offshore - Sydney'!D859="Term",'Offshore - Sydney'!E859*4,IF('Offshore - Sydney'!D859="Unit",'Offshore - Sydney'!E859*8,""))))))</f>
        <v>37500</v>
      </c>
      <c r="L866" s="0" t="n">
        <f aca="false">IF(AND(ISNUMBER('Offshore - Sydney'!E859),ISNUMBER(K866),ISNUMBER('Offshore - Sydney'!F859),ISNUMBER('Offshore - Sydney'!G859),OR('Offshore - Sydney'!F859&lt;&gt;0,ISNUMBER(SEARCH("Material 0 terverifikasi",'Offshore - Sydney'!N859))),OR('Offshore - Sydney'!G859&lt;&gt;0,ISNUMBER(SEARCH("Enrolment 0 terverifikasi",'Offshore - Sydney'!N859)))),1,0)</f>
        <v>0</v>
      </c>
      <c r="M866" s="0" t="n">
        <f aca="false">IF(OR('Offshore - Sydney'!E859="",ISNUMBER(SEARCH("BSB80120",'Offshore - Sydney'!B859&amp;'Offshore - Sydney'!N859)),ISNUMBER(SEARCH("Management (Learning)",'Offshore - Sydney'!B859))),2,IF(ISNUMBER(SEARCH("CEK:",'Offshore - Sydney'!N859)),1,0))</f>
        <v>0</v>
      </c>
    </row>
    <row r="867" customFormat="false" ht="28.35" hidden="false" customHeight="false" outlineLevel="0" collapsed="false">
      <c r="A867" s="63" t="s">
        <v>3533</v>
      </c>
      <c r="B867" s="64" t="s">
        <v>3990</v>
      </c>
      <c r="C867" s="63" t="s">
        <v>43</v>
      </c>
      <c r="D867" s="64" t="str">
        <f aca="false">TRIM(LEFT('Offshore - Sydney'!A982,FIND(CHAR(10),'Offshore - Sydney'!A982&amp;CHAR(10))-1))</f>
        <v>Western Sydney University</v>
      </c>
      <c r="E867" s="63" t="str">
        <f aca="false">'Offshore - Sydney'!C991&amp;""</f>
        <v>3 years</v>
      </c>
      <c r="F867" s="63" t="str">
        <f aca="false">IF('Offshore - Sydney'!D991="","Belum tercatat",'Offshore - Sydney'!D991)</f>
        <v>Term</v>
      </c>
      <c r="G867" s="65" t="n">
        <f aca="false">IF('Offshore - Sydney'!E991="","-",'Offshore - Sydney'!E991)</f>
        <v>10229</v>
      </c>
      <c r="H867" s="63" t="n">
        <f aca="false">IF(ISNUMBER(K867),COUNTIFS($J$6:$J$1854,J867,$K$6:$K$1854,"&lt;"&amp;K867)+1,"-")</f>
        <v>2</v>
      </c>
      <c r="I867" s="64" t="str">
        <f aca="false">IF('Offshore - Sydney'!E991="","Harga belum tersedia - hubungi konsultan TEG",IF(M867=2,"Saat ini tidak menerima pendaftaran siswa internasional baru",IF(M867=1,"Harga perlu dikonfirmasi ke sekolah"&amp;IF(""="","","; "&amp;""),"")))</f>
        <v/>
      </c>
      <c r="J867" s="0" t="s">
        <v>4059</v>
      </c>
      <c r="K867" s="0" t="n">
        <f aca="false">IF(M867=2,"",IF(ISNUMBER(SEARCH("rata-rata:",'Offshore - Sydney'!N991)),VALUE(MID('Offshore - Sydney'!N991,SEARCH("rata-rata:",'Offshore - Sydney'!N991)+11,FIND(";",'Offshore - Sydney'!N991&amp;";",SEARCH("rata-rata:",'Offshore - Sydney'!N991))-SEARCH("rata-rata:",'Offshore - Sydney'!N991)-11)),IF('Offshore - Sydney'!D991="Semester",'Offshore - Sydney'!E991*2,IF('Offshore - Sydney'!D991="Trimester",'Offshore - Sydney'!E991*3,IF('Offshore - Sydney'!D991="Term",'Offshore - Sydney'!E991*4,IF('Offshore - Sydney'!D991="Unit",'Offshore - Sydney'!E991*8,""))))))</f>
        <v>40916</v>
      </c>
      <c r="L867" s="0" t="n">
        <f aca="false">IF(AND(ISNUMBER('Offshore - Sydney'!E991),ISNUMBER(K867),ISNUMBER('Offshore - Sydney'!F991),ISNUMBER('Offshore - Sydney'!G991),OR('Offshore - Sydney'!F991&lt;&gt;0,ISNUMBER(SEARCH("Material 0 terverifikasi",'Offshore - Sydney'!N991))),OR('Offshore - Sydney'!G991&lt;&gt;0,ISNUMBER(SEARCH("Enrolment 0 terverifikasi",'Offshore - Sydney'!N991)))),1,0)</f>
        <v>0</v>
      </c>
      <c r="M867" s="0" t="n">
        <f aca="false">IF(OR('Offshore - Sydney'!E991="",ISNUMBER(SEARCH("BSB80120",'Offshore - Sydney'!B991&amp;'Offshore - Sydney'!N991)),ISNUMBER(SEARCH("Management (Learning)",'Offshore - Sydney'!B991))),2,IF(ISNUMBER(SEARCH("CEK:",'Offshore - Sydney'!N991)),1,0))</f>
        <v>0</v>
      </c>
    </row>
    <row r="868" customFormat="false" ht="15" hidden="false" customHeight="false" outlineLevel="0" collapsed="false">
      <c r="A868" s="61" t="s">
        <v>4060</v>
      </c>
      <c r="B868" s="62"/>
      <c r="C868" s="62"/>
      <c r="D868" s="62"/>
      <c r="E868" s="62"/>
      <c r="F868" s="62"/>
      <c r="G868" s="62"/>
      <c r="H868" s="62"/>
      <c r="I868" s="62"/>
    </row>
    <row r="869" customFormat="false" ht="28.35" hidden="false" customHeight="false" outlineLevel="0" collapsed="false">
      <c r="A869" s="63" t="s">
        <v>3533</v>
      </c>
      <c r="B869" s="64" t="s">
        <v>3990</v>
      </c>
      <c r="C869" s="63" t="s">
        <v>3707</v>
      </c>
      <c r="D869" s="64" t="str">
        <f aca="false">TRIM(LEFT('Offshore - Sydney'!A403,FIND(CHAR(10),'Offshore - Sydney'!A403&amp;CHAR(10))-1))</f>
        <v>ECA College</v>
      </c>
      <c r="E869" s="63" t="str">
        <f aca="false">'Offshore - Sydney'!C403&amp;""</f>
        <v>1 year</v>
      </c>
      <c r="F869" s="63" t="str">
        <f aca="false">IF('Offshore - Sydney'!D403="","Belum tercatat",'Offshore - Sydney'!D403)</f>
        <v>Term</v>
      </c>
      <c r="G869" s="65" t="n">
        <f aca="false">IF('Offshore - Sydney'!E403="","-",'Offshore - Sydney'!E403)</f>
        <v>3000</v>
      </c>
      <c r="H869" s="63" t="n">
        <f aca="false">IF(ISNUMBER(K869),COUNTIFS($J$6:$J$1854,J869,$K$6:$K$1854,"&lt;"&amp;K869)+1,"-")</f>
        <v>1</v>
      </c>
      <c r="I869" s="64" t="str">
        <f aca="false">IF('Offshore - Sydney'!E403="","Harga belum tersedia - hubungi konsultan TEG",IF(M869=2,"Saat ini tidak menerima pendaftaran siswa internasional baru",IF(M869=1,"Harga perlu dikonfirmasi ke sekolah"&amp;IF(""="","","; "&amp;""),"")))</f>
        <v/>
      </c>
      <c r="J869" s="0" t="s">
        <v>4061</v>
      </c>
      <c r="K869" s="0" t="n">
        <f aca="false">IF(M869=2,"",IF(ISNUMBER(SEARCH("rata-rata:",'Offshore - Sydney'!N403)),VALUE(MID('Offshore - Sydney'!N403,SEARCH("rata-rata:",'Offshore - Sydney'!N403)+11,FIND(";",'Offshore - Sydney'!N403&amp;";",SEARCH("rata-rata:",'Offshore - Sydney'!N403))-SEARCH("rata-rata:",'Offshore - Sydney'!N403)-11)),IF('Offshore - Sydney'!D403="Semester",'Offshore - Sydney'!E403*2,IF('Offshore - Sydney'!D403="Trimester",'Offshore - Sydney'!E403*3,IF('Offshore - Sydney'!D403="Term",'Offshore - Sydney'!E403*4,IF('Offshore - Sydney'!D403="Unit",'Offshore - Sydney'!E403*8,""))))))</f>
        <v>12000</v>
      </c>
      <c r="L869" s="0" t="n">
        <f aca="false">IF(AND(ISNUMBER('Offshore - Sydney'!E403),ISNUMBER(K869),ISNUMBER('Offshore - Sydney'!F403),ISNUMBER('Offshore - Sydney'!G403),OR('Offshore - Sydney'!F403&lt;&gt;0,ISNUMBER(SEARCH("Material 0 terverifikasi",'Offshore - Sydney'!N403))),OR('Offshore - Sydney'!G403&lt;&gt;0,ISNUMBER(SEARCH("Enrolment 0 terverifikasi",'Offshore - Sydney'!N403)))),1,0)</f>
        <v>0</v>
      </c>
      <c r="M869" s="0" t="n">
        <f aca="false">IF(OR('Offshore - Sydney'!E403="",ISNUMBER(SEARCH("BSB80120",'Offshore - Sydney'!B403&amp;'Offshore - Sydney'!N403)),ISNUMBER(SEARCH("Management (Learning)",'Offshore - Sydney'!B403))),2,IF(ISNUMBER(SEARCH("CEK:",'Offshore - Sydney'!N403)),1,0))</f>
        <v>0</v>
      </c>
    </row>
    <row r="870" customFormat="false" ht="28.35" hidden="false" customHeight="false" outlineLevel="0" collapsed="false">
      <c r="A870" s="63" t="s">
        <v>3533</v>
      </c>
      <c r="B870" s="64" t="s">
        <v>3990</v>
      </c>
      <c r="C870" s="63" t="s">
        <v>3707</v>
      </c>
      <c r="D870" s="64" t="str">
        <f aca="false">TRIM(LEFT('Offshore - Sydney'!A982,FIND(CHAR(10),'Offshore - Sydney'!A982&amp;CHAR(10))-1))</f>
        <v>Western Sydney University</v>
      </c>
      <c r="E870" s="63" t="str">
        <f aca="false">'Offshore - Sydney'!C1100&amp;""</f>
        <v>1 year</v>
      </c>
      <c r="F870" s="63" t="str">
        <f aca="false">IF('Offshore - Sydney'!D1100="","Belum tercatat",'Offshore - Sydney'!D1100)</f>
        <v>Term</v>
      </c>
      <c r="G870" s="65" t="n">
        <f aca="false">IF('Offshore - Sydney'!E1100="","-",'Offshore - Sydney'!E1100)</f>
        <v>10305</v>
      </c>
      <c r="H870" s="63" t="n">
        <f aca="false">IF(ISNUMBER(K870),COUNTIFS($J$6:$J$1854,J870,$K$6:$K$1854,"&lt;"&amp;K870)+1,"-")</f>
        <v>2</v>
      </c>
      <c r="I870" s="64" t="str">
        <f aca="false">IF('Offshore - Sydney'!E1100="","Harga belum tersedia - hubungi konsultan TEG",IF(M870=2,"Saat ini tidak menerima pendaftaran siswa internasional baru",IF(M870=1,"Harga perlu dikonfirmasi ke sekolah"&amp;IF(""="","","; "&amp;""),"")))</f>
        <v/>
      </c>
      <c r="J870" s="0" t="s">
        <v>4061</v>
      </c>
      <c r="K870" s="0" t="n">
        <f aca="false">IF(M870=2,"",IF(ISNUMBER(SEARCH("rata-rata:",'Offshore - Sydney'!N1100)),VALUE(MID('Offshore - Sydney'!N1100,SEARCH("rata-rata:",'Offshore - Sydney'!N1100)+11,FIND(";",'Offshore - Sydney'!N1100&amp;";",SEARCH("rata-rata:",'Offshore - Sydney'!N1100))-SEARCH("rata-rata:",'Offshore - Sydney'!N1100)-11)),IF('Offshore - Sydney'!D1100="Semester",'Offshore - Sydney'!E1100*2,IF('Offshore - Sydney'!D1100="Trimester",'Offshore - Sydney'!E1100*3,IF('Offshore - Sydney'!D1100="Term",'Offshore - Sydney'!E1100*4,IF('Offshore - Sydney'!D1100="Unit",'Offshore - Sydney'!E1100*8,""))))))</f>
        <v>41220</v>
      </c>
      <c r="L870" s="0" t="n">
        <f aca="false">IF(AND(ISNUMBER('Offshore - Sydney'!E1100),ISNUMBER(K870),ISNUMBER('Offshore - Sydney'!F1100),ISNUMBER('Offshore - Sydney'!G1100),OR('Offshore - Sydney'!F1100&lt;&gt;0,ISNUMBER(SEARCH("Material 0 terverifikasi",'Offshore - Sydney'!N1100))),OR('Offshore - Sydney'!G1100&lt;&gt;0,ISNUMBER(SEARCH("Enrolment 0 terverifikasi",'Offshore - Sydney'!N1100)))),1,0)</f>
        <v>0</v>
      </c>
      <c r="M870" s="0" t="n">
        <f aca="false">IF(OR('Offshore - Sydney'!E1100="",ISNUMBER(SEARCH("BSB80120",'Offshore - Sydney'!B1100&amp;'Offshore - Sydney'!N1100)),ISNUMBER(SEARCH("Management (Learning)",'Offshore - Sydney'!B1100))),2,IF(ISNUMBER(SEARCH("CEK:",'Offshore - Sydney'!N1100)),1,0))</f>
        <v>0</v>
      </c>
    </row>
    <row r="871" customFormat="false" ht="15" hidden="false" customHeight="false" outlineLevel="0" collapsed="false">
      <c r="A871" s="61" t="s">
        <v>4062</v>
      </c>
      <c r="B871" s="62"/>
      <c r="C871" s="62"/>
      <c r="D871" s="62"/>
      <c r="E871" s="62"/>
      <c r="F871" s="62"/>
      <c r="G871" s="62"/>
      <c r="H871" s="62"/>
      <c r="I871" s="62"/>
    </row>
    <row r="872" customFormat="false" ht="28.35" hidden="false" customHeight="false" outlineLevel="0" collapsed="false">
      <c r="A872" s="63" t="s">
        <v>3533</v>
      </c>
      <c r="B872" s="64" t="s">
        <v>3990</v>
      </c>
      <c r="C872" s="63" t="s">
        <v>46</v>
      </c>
      <c r="D872" s="64" t="str">
        <f aca="false">TRIM(LEFT('Offshore - Sydney'!A814,FIND(CHAR(10),'Offshore - Sydney'!A814&amp;CHAR(10))-1))</f>
        <v>Torrens University Australia</v>
      </c>
      <c r="E872" s="63" t="str">
        <f aca="false">'Offshore - Sydney'!C840&amp;""</f>
        <v>2 years</v>
      </c>
      <c r="F872" s="63" t="str">
        <f aca="false">IF('Offshore - Sydney'!D840="","Belum tercatat",'Offshore - Sydney'!D840)</f>
        <v>Term</v>
      </c>
      <c r="G872" s="65" t="n">
        <f aca="false">IF('Offshore - Sydney'!E840="","-",'Offshore - Sydney'!E840)</f>
        <v>9000</v>
      </c>
      <c r="H872" s="63" t="n">
        <f aca="false">IF(ISNUMBER(K872),COUNTIFS($J$6:$J$1854,J872,$K$6:$K$1854,"&lt;"&amp;K872)+1,"-")</f>
        <v>1</v>
      </c>
      <c r="I872" s="64" t="str">
        <f aca="false">IF('Offshore - Sydney'!E840="","Harga belum tersedia - hubungi konsultan TEG",IF(M872=2,"Saat ini tidak menerima pendaftaran siswa internasional baru",IF(M872=1,"Harga perlu dikonfirmasi ke sekolah"&amp;IF(""="","","; "&amp;""),"")))</f>
        <v/>
      </c>
      <c r="J872" s="0" t="s">
        <v>4063</v>
      </c>
      <c r="K872" s="0" t="n">
        <f aca="false">IF(M872=2,"",IF(ISNUMBER(SEARCH("rata-rata:",'Offshore - Sydney'!N840)),VALUE(MID('Offshore - Sydney'!N840,SEARCH("rata-rata:",'Offshore - Sydney'!N840)+11,FIND(";",'Offshore - Sydney'!N840&amp;";",SEARCH("rata-rata:",'Offshore - Sydney'!N840))-SEARCH("rata-rata:",'Offshore - Sydney'!N840)-11)),IF('Offshore - Sydney'!D840="Semester",'Offshore - Sydney'!E840*2,IF('Offshore - Sydney'!D840="Trimester",'Offshore - Sydney'!E840*3,IF('Offshore - Sydney'!D840="Term",'Offshore - Sydney'!E840*4,IF('Offshore - Sydney'!D840="Unit",'Offshore - Sydney'!E840*8,""))))))</f>
        <v>36000</v>
      </c>
      <c r="L872" s="0" t="n">
        <f aca="false">IF(AND(ISNUMBER('Offshore - Sydney'!E840),ISNUMBER(K872),ISNUMBER('Offshore - Sydney'!F840),ISNUMBER('Offshore - Sydney'!G840),OR('Offshore - Sydney'!F840&lt;&gt;0,ISNUMBER(SEARCH("Material 0 terverifikasi",'Offshore - Sydney'!N840))),OR('Offshore - Sydney'!G840&lt;&gt;0,ISNUMBER(SEARCH("Enrolment 0 terverifikasi",'Offshore - Sydney'!N840)))),1,0)</f>
        <v>0</v>
      </c>
      <c r="M872" s="0" t="n">
        <f aca="false">IF(OR('Offshore - Sydney'!E840="",ISNUMBER(SEARCH("BSB80120",'Offshore - Sydney'!B840&amp;'Offshore - Sydney'!N840)),ISNUMBER(SEARCH("Management (Learning)",'Offshore - Sydney'!B840))),2,IF(ISNUMBER(SEARCH("CEK:",'Offshore - Sydney'!N840)),1,0))</f>
        <v>0</v>
      </c>
    </row>
    <row r="873" customFormat="false" ht="28.35" hidden="false" customHeight="false" outlineLevel="0" collapsed="false">
      <c r="A873" s="63" t="s">
        <v>3533</v>
      </c>
      <c r="B873" s="64" t="s">
        <v>3990</v>
      </c>
      <c r="C873" s="63" t="s">
        <v>46</v>
      </c>
      <c r="D873" s="64" t="str">
        <f aca="false">TRIM(LEFT('Offshore - Sydney'!A982,FIND(CHAR(10),'Offshore - Sydney'!A982&amp;CHAR(10))-1))</f>
        <v>Western Sydney University</v>
      </c>
      <c r="E873" s="63" t="str">
        <f aca="false">'Offshore - Sydney'!C1089&amp;""</f>
        <v>2 years</v>
      </c>
      <c r="F873" s="63" t="str">
        <f aca="false">IF('Offshore - Sydney'!D1089="","Belum tercatat",'Offshore - Sydney'!D1089)</f>
        <v>Term</v>
      </c>
      <c r="G873" s="65" t="n">
        <f aca="false">IF('Offshore - Sydney'!E1089="","-",'Offshore - Sydney'!E1089)</f>
        <v>10305</v>
      </c>
      <c r="H873" s="63" t="n">
        <f aca="false">IF(ISNUMBER(K873),COUNTIFS($J$6:$J$1854,J873,$K$6:$K$1854,"&lt;"&amp;K873)+1,"-")</f>
        <v>2</v>
      </c>
      <c r="I873" s="64" t="str">
        <f aca="false">IF('Offshore - Sydney'!E1089="","Harga belum tersedia - hubungi konsultan TEG",IF(M873=2,"Saat ini tidak menerima pendaftaran siswa internasional baru",IF(M873=1,"Harga perlu dikonfirmasi ke sekolah"&amp;IF(""="","","; "&amp;""),"")))</f>
        <v/>
      </c>
      <c r="J873" s="0" t="s">
        <v>4063</v>
      </c>
      <c r="K873" s="0" t="n">
        <f aca="false">IF(M873=2,"",IF(ISNUMBER(SEARCH("rata-rata:",'Offshore - Sydney'!N1089)),VALUE(MID('Offshore - Sydney'!N1089,SEARCH("rata-rata:",'Offshore - Sydney'!N1089)+11,FIND(";",'Offshore - Sydney'!N1089&amp;";",SEARCH("rata-rata:",'Offshore - Sydney'!N1089))-SEARCH("rata-rata:",'Offshore - Sydney'!N1089)-11)),IF('Offshore - Sydney'!D1089="Semester",'Offshore - Sydney'!E1089*2,IF('Offshore - Sydney'!D1089="Trimester",'Offshore - Sydney'!E1089*3,IF('Offshore - Sydney'!D1089="Term",'Offshore - Sydney'!E1089*4,IF('Offshore - Sydney'!D1089="Unit",'Offshore - Sydney'!E1089*8,""))))))</f>
        <v>41220</v>
      </c>
      <c r="L873" s="0" t="n">
        <f aca="false">IF(AND(ISNUMBER('Offshore - Sydney'!E1089),ISNUMBER(K873),ISNUMBER('Offshore - Sydney'!F1089),ISNUMBER('Offshore - Sydney'!G1089),OR('Offshore - Sydney'!F1089&lt;&gt;0,ISNUMBER(SEARCH("Material 0 terverifikasi",'Offshore - Sydney'!N1089))),OR('Offshore - Sydney'!G1089&lt;&gt;0,ISNUMBER(SEARCH("Enrolment 0 terverifikasi",'Offshore - Sydney'!N1089)))),1,0)</f>
        <v>0</v>
      </c>
      <c r="M873" s="0" t="n">
        <f aca="false">IF(OR('Offshore - Sydney'!E1089="",ISNUMBER(SEARCH("BSB80120",'Offshore - Sydney'!B1089&amp;'Offshore - Sydney'!N1089)),ISNUMBER(SEARCH("Management (Learning)",'Offshore - Sydney'!B1089))),2,IF(ISNUMBER(SEARCH("CEK:",'Offshore - Sydney'!N1089)),1,0))</f>
        <v>0</v>
      </c>
    </row>
    <row r="874" customFormat="false" ht="15" hidden="false" customHeight="false" outlineLevel="0" collapsed="false">
      <c r="A874" s="61" t="s">
        <v>4064</v>
      </c>
      <c r="B874" s="62"/>
      <c r="C874" s="62"/>
      <c r="D874" s="62"/>
      <c r="E874" s="62"/>
      <c r="F874" s="62"/>
      <c r="G874" s="62"/>
      <c r="H874" s="62"/>
      <c r="I874" s="62"/>
    </row>
    <row r="875" customFormat="false" ht="28.35" hidden="false" customHeight="false" outlineLevel="0" collapsed="false">
      <c r="A875" s="63" t="s">
        <v>3753</v>
      </c>
      <c r="B875" s="64" t="s">
        <v>3990</v>
      </c>
      <c r="C875" s="63" t="s">
        <v>41</v>
      </c>
      <c r="D875" s="64" t="str">
        <f aca="false">TRIM(LEFT('Offshore - Tasmania Hobart'!A8,FIND(CHAR(10),'Offshore - Tasmania Hobart'!A8&amp;CHAR(10))-1))</f>
        <v>Australian Sovereign College (AuSC)</v>
      </c>
      <c r="E875" s="63" t="str">
        <f aca="false">'Offshore - Tasmania Hobart'!C15&amp;""</f>
        <v>2 years</v>
      </c>
      <c r="F875" s="63" t="str">
        <f aca="false">IF('Offshore - Tasmania Hobart'!D15="","Belum tercatat",'Offshore - Tasmania Hobart'!D15)</f>
        <v>Term</v>
      </c>
      <c r="G875" s="65" t="n">
        <f aca="false">IF('Offshore - Tasmania Hobart'!E15="","-",'Offshore - Tasmania Hobart'!E15)</f>
        <v>3750</v>
      </c>
      <c r="H875" s="63" t="n">
        <f aca="false">IF(ISNUMBER(K875),COUNTIFS($J$6:$J$1854,J875,$K$6:$K$1854,"&lt;"&amp;K875)+1,"-")</f>
        <v>1</v>
      </c>
      <c r="I875" s="64" t="str">
        <f aca="false">IF('Offshore - Tasmania Hobart'!E15="","Harga belum tersedia - hubungi konsultan TEG",IF(M875=2,"Saat ini tidak menerima pendaftaran siswa internasional baru",IF(M875=1,"Harga perlu dikonfirmasi ke sekolah"&amp;IF(""="","","; "&amp;""),"")))</f>
        <v/>
      </c>
      <c r="J875" s="0" t="s">
        <v>4065</v>
      </c>
      <c r="K875" s="0" t="n">
        <f aca="false">IF(M875=2,"",IF(ISNUMBER(SEARCH("rata-rata:",'Offshore - Tasmania Hobart'!N15)),VALUE(MID('Offshore - Tasmania Hobart'!N15,SEARCH("rata-rata:",'Offshore - Tasmania Hobart'!N15)+11,FIND(";",'Offshore - Tasmania Hobart'!N15&amp;";",SEARCH("rata-rata:",'Offshore - Tasmania Hobart'!N15))-SEARCH("rata-rata:",'Offshore - Tasmania Hobart'!N15)-11)),IF('Offshore - Tasmania Hobart'!D15="Semester",'Offshore - Tasmania Hobart'!E15*2,IF('Offshore - Tasmania Hobart'!D15="Trimester",'Offshore - Tasmania Hobart'!E15*3,IF('Offshore - Tasmania Hobart'!D15="Term",'Offshore - Tasmania Hobart'!E15*4,IF('Offshore - Tasmania Hobart'!D15="Unit",'Offshore - Tasmania Hobart'!E15*8,""))))))</f>
        <v>15000</v>
      </c>
      <c r="L875" s="0" t="n">
        <f aca="false">IF(AND(ISNUMBER('Offshore - Tasmania Hobart'!E15),ISNUMBER(K875),ISNUMBER('Offshore - Tasmania Hobart'!F15),ISNUMBER('Offshore - Tasmania Hobart'!G15),OR('Offshore - Tasmania Hobart'!F15&lt;&gt;0,ISNUMBER(SEARCH("Material 0 terverifikasi",'Offshore - Tasmania Hobart'!N15))),OR('Offshore - Tasmania Hobart'!G15&lt;&gt;0,ISNUMBER(SEARCH("Enrolment 0 terverifikasi",'Offshore - Tasmania Hobart'!N15)))),1,0)</f>
        <v>1</v>
      </c>
      <c r="M875" s="0" t="n">
        <f aca="false">IF(OR('Offshore - Tasmania Hobart'!E15="",ISNUMBER(SEARCH("BSB80120",'Offshore - Tasmania Hobart'!B15&amp;'Offshore - Tasmania Hobart'!N15)),ISNUMBER(SEARCH("Management (Learning)",'Offshore - Tasmania Hobart'!B15))),2,IF(ISNUMBER(SEARCH("CEK:",'Offshore - Tasmania Hobart'!N15)),1,0))</f>
        <v>0</v>
      </c>
    </row>
    <row r="876" customFormat="false" ht="15" hidden="false" customHeight="false" outlineLevel="0" collapsed="false">
      <c r="A876" s="61" t="s">
        <v>4066</v>
      </c>
      <c r="B876" s="62"/>
      <c r="C876" s="62"/>
      <c r="D876" s="62"/>
      <c r="E876" s="62"/>
      <c r="F876" s="62"/>
      <c r="G876" s="62"/>
      <c r="H876" s="62"/>
      <c r="I876" s="62"/>
    </row>
    <row r="877" customFormat="false" ht="28.35" hidden="false" customHeight="false" outlineLevel="0" collapsed="false">
      <c r="A877" s="63" t="s">
        <v>3753</v>
      </c>
      <c r="B877" s="64" t="s">
        <v>3990</v>
      </c>
      <c r="C877" s="63" t="s">
        <v>43</v>
      </c>
      <c r="D877" s="64" t="str">
        <f aca="false">TRIM(LEFT('Offshore - Tasmania Hobart'!A21,FIND(CHAR(10),'Offshore - Tasmania Hobart'!A21&amp;CHAR(10))-1))</f>
        <v>University of Tasmania (UTAS)</v>
      </c>
      <c r="E877" s="63" t="str">
        <f aca="false">'Offshore - Tasmania Hobart'!C31&amp;""</f>
        <v>3 years</v>
      </c>
      <c r="F877" s="63" t="str">
        <f aca="false">IF('Offshore - Tasmania Hobart'!D31="","Belum tercatat",'Offshore - Tasmania Hobart'!D31)</f>
        <v>Term</v>
      </c>
      <c r="G877" s="65" t="n">
        <f aca="false">IF('Offshore - Tasmania Hobart'!E31="","-",'Offshore - Tasmania Hobart'!E31)</f>
        <v>10487.5</v>
      </c>
      <c r="H877" s="63" t="n">
        <f aca="false">IF(ISNUMBER(K877),COUNTIFS($J$6:$J$1854,J877,$K$6:$K$1854,"&lt;"&amp;K877)+1,"-")</f>
        <v>1</v>
      </c>
      <c r="I877" s="64" t="str">
        <f aca="false">IF('Offshore - Tasmania Hobart'!E31="","Harga belum tersedia - hubungi konsultan TEG",IF(M877=2,"Saat ini tidak menerima pendaftaran siswa internasional baru",IF(M877=1,"Harga perlu dikonfirmasi ke sekolah"&amp;IF(""="","","; "&amp;""),"")))</f>
        <v>Harga perlu dikonfirmasi ke sekolah</v>
      </c>
      <c r="J877" s="0" t="s">
        <v>4067</v>
      </c>
      <c r="K877" s="0" t="n">
        <f aca="false">IF(M877=2,"",IF(ISNUMBER(SEARCH("rata-rata:",'Offshore - Tasmania Hobart'!N31)),VALUE(MID('Offshore - Tasmania Hobart'!N31,SEARCH("rata-rata:",'Offshore - Tasmania Hobart'!N31)+11,FIND(";",'Offshore - Tasmania Hobart'!N31&amp;";",SEARCH("rata-rata:",'Offshore - Tasmania Hobart'!N31))-SEARCH("rata-rata:",'Offshore - Tasmania Hobart'!N31)-11)),IF('Offshore - Tasmania Hobart'!D31="Semester",'Offshore - Tasmania Hobart'!E31*2,IF('Offshore - Tasmania Hobart'!D31="Trimester",'Offshore - Tasmania Hobart'!E31*3,IF('Offshore - Tasmania Hobart'!D31="Term",'Offshore - Tasmania Hobart'!E31*4,IF('Offshore - Tasmania Hobart'!D31="Unit",'Offshore - Tasmania Hobart'!E31*8,""))))))</f>
        <v>41950</v>
      </c>
      <c r="L877" s="0" t="n">
        <f aca="false">IF(AND(ISNUMBER('Offshore - Tasmania Hobart'!E31),ISNUMBER(K877),ISNUMBER('Offshore - Tasmania Hobart'!F31),ISNUMBER('Offshore - Tasmania Hobart'!G31),OR('Offshore - Tasmania Hobart'!F31&lt;&gt;0,ISNUMBER(SEARCH("Material 0 terverifikasi",'Offshore - Tasmania Hobart'!N31))),OR('Offshore - Tasmania Hobart'!G31&lt;&gt;0,ISNUMBER(SEARCH("Enrolment 0 terverifikasi",'Offshore - Tasmania Hobart'!N31)))),1,0)</f>
        <v>0</v>
      </c>
      <c r="M877" s="0" t="n">
        <f aca="false">IF(OR('Offshore - Tasmania Hobart'!E31="",ISNUMBER(SEARCH("BSB80120",'Offshore - Tasmania Hobart'!B31&amp;'Offshore - Tasmania Hobart'!N31)),ISNUMBER(SEARCH("Management (Learning)",'Offshore - Tasmania Hobart'!B31))),2,IF(ISNUMBER(SEARCH("CEK:",'Offshore - Tasmania Hobart'!N31)),1,0))</f>
        <v>1</v>
      </c>
    </row>
    <row r="878" customFormat="false" ht="15" hidden="false" customHeight="false" outlineLevel="0" collapsed="false">
      <c r="A878" s="61" t="s">
        <v>4068</v>
      </c>
      <c r="B878" s="62"/>
      <c r="C878" s="62"/>
      <c r="D878" s="62"/>
      <c r="E878" s="62"/>
      <c r="F878" s="62"/>
      <c r="G878" s="62"/>
      <c r="H878" s="62"/>
      <c r="I878" s="62"/>
    </row>
    <row r="879" customFormat="false" ht="28.35" hidden="false" customHeight="false" outlineLevel="0" collapsed="false">
      <c r="A879" s="63" t="s">
        <v>3753</v>
      </c>
      <c r="B879" s="64" t="s">
        <v>3990</v>
      </c>
      <c r="C879" s="63" t="s">
        <v>3707</v>
      </c>
      <c r="D879" s="64" t="str">
        <f aca="false">TRIM(LEFT('Offshore - Tasmania Hobart'!A21,FIND(CHAR(10),'Offshore - Tasmania Hobart'!A21&amp;CHAR(10))-1))</f>
        <v>University of Tasmania (UTAS)</v>
      </c>
      <c r="E879" s="63" t="str">
        <f aca="false">'Offshore - Tasmania Hobart'!C52&amp;""</f>
        <v>0,5 years</v>
      </c>
      <c r="F879" s="63" t="str">
        <f aca="false">IF('Offshore - Tasmania Hobart'!D52="","Belum tercatat",'Offshore - Tasmania Hobart'!D52)</f>
        <v>Term</v>
      </c>
      <c r="G879" s="65" t="n">
        <f aca="false">IF('Offshore - Tasmania Hobart'!E52="","-",'Offshore - Tasmania Hobart'!E52)</f>
        <v>10062.5</v>
      </c>
      <c r="H879" s="63" t="n">
        <f aca="false">IF(ISNUMBER(K879),COUNTIFS($J$6:$J$1854,J879,$K$6:$K$1854,"&lt;"&amp;K879)+1,"-")</f>
        <v>1</v>
      </c>
      <c r="I879" s="64" t="str">
        <f aca="false">IF('Offshore - Tasmania Hobart'!E52="","Harga belum tersedia - hubungi konsultan TEG",IF(M879=2,"Saat ini tidak menerima pendaftaran siswa internasional baru",IF(M879=1,"Harga perlu dikonfirmasi ke sekolah"&amp;IF(""="","","; "&amp;""),"")))</f>
        <v/>
      </c>
      <c r="J879" s="0" t="s">
        <v>4069</v>
      </c>
      <c r="K879" s="0" t="n">
        <f aca="false">IF(M879=2,"",IF(ISNUMBER(SEARCH("rata-rata:",'Offshore - Tasmania Hobart'!N52)),VALUE(MID('Offshore - Tasmania Hobart'!N52,SEARCH("rata-rata:",'Offshore - Tasmania Hobart'!N52)+11,FIND(";",'Offshore - Tasmania Hobart'!N52&amp;";",SEARCH("rata-rata:",'Offshore - Tasmania Hobart'!N52))-SEARCH("rata-rata:",'Offshore - Tasmania Hobart'!N52)-11)),IF('Offshore - Tasmania Hobart'!D52="Semester",'Offshore - Tasmania Hobart'!E52*2,IF('Offshore - Tasmania Hobart'!D52="Trimester",'Offshore - Tasmania Hobart'!E52*3,IF('Offshore - Tasmania Hobart'!D52="Term",'Offshore - Tasmania Hobart'!E52*4,IF('Offshore - Tasmania Hobart'!D52="Unit",'Offshore - Tasmania Hobart'!E52*8,""))))))</f>
        <v>40250</v>
      </c>
      <c r="L879" s="0" t="n">
        <f aca="false">IF(AND(ISNUMBER('Offshore - Tasmania Hobart'!E52),ISNUMBER(K879),ISNUMBER('Offshore - Tasmania Hobart'!F52),ISNUMBER('Offshore - Tasmania Hobart'!G52),OR('Offshore - Tasmania Hobart'!F52&lt;&gt;0,ISNUMBER(SEARCH("Material 0 terverifikasi",'Offshore - Tasmania Hobart'!N52))),OR('Offshore - Tasmania Hobart'!G52&lt;&gt;0,ISNUMBER(SEARCH("Enrolment 0 terverifikasi",'Offshore - Tasmania Hobart'!N52)))),1,0)</f>
        <v>0</v>
      </c>
      <c r="M879" s="0" t="n">
        <f aca="false">IF(OR('Offshore - Tasmania Hobart'!E52="",ISNUMBER(SEARCH("BSB80120",'Offshore - Tasmania Hobart'!B52&amp;'Offshore - Tasmania Hobart'!N52)),ISNUMBER(SEARCH("Management (Learning)",'Offshore - Tasmania Hobart'!B52))),2,IF(ISNUMBER(SEARCH("CEK:",'Offshore - Tasmania Hobart'!N52)),1,0))</f>
        <v>0</v>
      </c>
    </row>
    <row r="880" customFormat="false" ht="15" hidden="false" customHeight="false" outlineLevel="0" collapsed="false">
      <c r="A880" s="61" t="s">
        <v>4070</v>
      </c>
      <c r="B880" s="62"/>
      <c r="C880" s="62"/>
      <c r="D880" s="62"/>
      <c r="E880" s="62"/>
      <c r="F880" s="62"/>
      <c r="G880" s="62"/>
      <c r="H880" s="62"/>
      <c r="I880" s="62"/>
    </row>
    <row r="881" customFormat="false" ht="28.35" hidden="false" customHeight="false" outlineLevel="0" collapsed="false">
      <c r="A881" s="63" t="s">
        <v>3753</v>
      </c>
      <c r="B881" s="64" t="s">
        <v>3990</v>
      </c>
      <c r="C881" s="63" t="s">
        <v>46</v>
      </c>
      <c r="D881" s="64" t="str">
        <f aca="false">TRIM(LEFT('Offshore - Tasmania Hobart'!A21,FIND(CHAR(10),'Offshore - Tasmania Hobart'!A21&amp;CHAR(10))-1))</f>
        <v>University of Tasmania (UTAS)</v>
      </c>
      <c r="E881" s="63" t="str">
        <f aca="false">'Offshore - Tasmania Hobart'!C79&amp;""</f>
        <v>2 years</v>
      </c>
      <c r="F881" s="63" t="str">
        <f aca="false">IF('Offshore - Tasmania Hobart'!D79="","Belum tercatat",'Offshore - Tasmania Hobart'!D79)</f>
        <v>Term</v>
      </c>
      <c r="G881" s="65" t="n">
        <f aca="false">IF('Offshore - Tasmania Hobart'!E79="","-",'Offshore - Tasmania Hobart'!E79)</f>
        <v>10062.5</v>
      </c>
      <c r="H881" s="63" t="n">
        <f aca="false">IF(ISNUMBER(K881),COUNTIFS($J$6:$J$1854,J881,$K$6:$K$1854,"&lt;"&amp;K881)+1,"-")</f>
        <v>1</v>
      </c>
      <c r="I881" s="64" t="str">
        <f aca="false">IF('Offshore - Tasmania Hobart'!E79="","Harga belum tersedia - hubungi konsultan TEG",IF(M881=2,"Saat ini tidak menerima pendaftaran siswa internasional baru",IF(M881=1,"Harga perlu dikonfirmasi ke sekolah"&amp;IF(""="","","; "&amp;""),"")))</f>
        <v/>
      </c>
      <c r="J881" s="0" t="s">
        <v>4071</v>
      </c>
      <c r="K881" s="0" t="n">
        <f aca="false">IF(M881=2,"",IF(ISNUMBER(SEARCH("rata-rata:",'Offshore - Tasmania Hobart'!N79)),VALUE(MID('Offshore - Tasmania Hobart'!N79,SEARCH("rata-rata:",'Offshore - Tasmania Hobart'!N79)+11,FIND(";",'Offshore - Tasmania Hobart'!N79&amp;";",SEARCH("rata-rata:",'Offshore - Tasmania Hobart'!N79))-SEARCH("rata-rata:",'Offshore - Tasmania Hobart'!N79)-11)),IF('Offshore - Tasmania Hobart'!D79="Semester",'Offshore - Tasmania Hobart'!E79*2,IF('Offshore - Tasmania Hobart'!D79="Trimester",'Offshore - Tasmania Hobart'!E79*3,IF('Offshore - Tasmania Hobart'!D79="Term",'Offshore - Tasmania Hobart'!E79*4,IF('Offshore - Tasmania Hobart'!D79="Unit",'Offshore - Tasmania Hobart'!E79*8,""))))))</f>
        <v>40250</v>
      </c>
      <c r="L881" s="0" t="n">
        <f aca="false">IF(AND(ISNUMBER('Offshore - Tasmania Hobart'!E79),ISNUMBER(K881),ISNUMBER('Offshore - Tasmania Hobart'!F79),ISNUMBER('Offshore - Tasmania Hobart'!G79),OR('Offshore - Tasmania Hobart'!F79&lt;&gt;0,ISNUMBER(SEARCH("Material 0 terverifikasi",'Offshore - Tasmania Hobart'!N79))),OR('Offshore - Tasmania Hobart'!G79&lt;&gt;0,ISNUMBER(SEARCH("Enrolment 0 terverifikasi",'Offshore - Tasmania Hobart'!N79)))),1,0)</f>
        <v>0</v>
      </c>
      <c r="M881" s="0" t="n">
        <f aca="false">IF(OR('Offshore - Tasmania Hobart'!E79="",ISNUMBER(SEARCH("BSB80120",'Offshore - Tasmania Hobart'!B79&amp;'Offshore - Tasmania Hobart'!N79)),ISNUMBER(SEARCH("Management (Learning)",'Offshore - Tasmania Hobart'!B79))),2,IF(ISNUMBER(SEARCH("CEK:",'Offshore - Tasmania Hobart'!N79)),1,0))</f>
        <v>0</v>
      </c>
    </row>
    <row r="882" customFormat="false" ht="15" hidden="false" customHeight="false" outlineLevel="0" collapsed="false">
      <c r="A882" s="61" t="s">
        <v>4072</v>
      </c>
      <c r="B882" s="62"/>
      <c r="C882" s="62"/>
      <c r="D882" s="62"/>
      <c r="E882" s="62"/>
      <c r="F882" s="62"/>
      <c r="G882" s="62"/>
      <c r="H882" s="62"/>
      <c r="I882" s="62"/>
    </row>
    <row r="883" customFormat="false" ht="15" hidden="false" customHeight="false" outlineLevel="0" collapsed="false">
      <c r="A883" s="63" t="s">
        <v>3659</v>
      </c>
      <c r="B883" s="64" t="s">
        <v>4073</v>
      </c>
      <c r="C883" s="63" t="s">
        <v>40</v>
      </c>
      <c r="D883" s="64" t="str">
        <f aca="false">TRIM(LEFT('Offshore - Adelaide'!A484,FIND(CHAR(10),'Offshore - Adelaide'!A484&amp;CHAR(10))-1))</f>
        <v>TAFE SA</v>
      </c>
      <c r="E883" s="63" t="str">
        <f aca="false">'Offshore - Adelaide'!C484&amp;""</f>
        <v>1 year</v>
      </c>
      <c r="F883" s="63" t="str">
        <f aca="false">IF('Offshore - Adelaide'!D484="","Belum tercatat",'Offshore - Adelaide'!D484)</f>
        <v>Semester</v>
      </c>
      <c r="G883" s="65" t="n">
        <f aca="false">IF('Offshore - Adelaide'!E484="","-",'Offshore - Adelaide'!E484)</f>
        <v>9275</v>
      </c>
      <c r="H883" s="63" t="n">
        <f aca="false">IF(ISNUMBER(K883),COUNTIFS($J$6:$J$1854,J883,$K$6:$K$1854,"&lt;"&amp;K883)+1,"-")</f>
        <v>1</v>
      </c>
      <c r="I883" s="64" t="str">
        <f aca="false">IF('Offshore - Adelaide'!E484="","Harga belum tersedia - hubungi konsultan TEG",IF(M883=2,"Saat ini tidak menerima pendaftaran siswa internasional baru",IF(M883=1,"Harga perlu dikonfirmasi ke sekolah"&amp;IF(""="","","; "&amp;""),"")))</f>
        <v/>
      </c>
      <c r="J883" s="0" t="s">
        <v>4074</v>
      </c>
      <c r="K883" s="0" t="n">
        <f aca="false">IF(M883=2,"",IF(ISNUMBER(SEARCH("rata-rata:",'Offshore - Adelaide'!N484)),VALUE(MID('Offshore - Adelaide'!N484,SEARCH("rata-rata:",'Offshore - Adelaide'!N484)+11,FIND(";",'Offshore - Adelaide'!N484&amp;";",SEARCH("rata-rata:",'Offshore - Adelaide'!N484))-SEARCH("rata-rata:",'Offshore - Adelaide'!N484)-11)),IF('Offshore - Adelaide'!D484="Semester",'Offshore - Adelaide'!E484*2,IF('Offshore - Adelaide'!D484="Trimester",'Offshore - Adelaide'!E484*3,IF('Offshore - Adelaide'!D484="Term",'Offshore - Adelaide'!E484*4,IF('Offshore - Adelaide'!D484="Unit",'Offshore - Adelaide'!E484*8,""))))))</f>
        <v>18550</v>
      </c>
      <c r="L883" s="0" t="n">
        <f aca="false">IF(AND(ISNUMBER('Offshore - Adelaide'!E484),ISNUMBER(K883),ISNUMBER('Offshore - Adelaide'!F484),ISNUMBER('Offshore - Adelaide'!G484),OR('Offshore - Adelaide'!F484&lt;&gt;0,ISNUMBER(SEARCH("Material 0 terverifikasi",'Offshore - Adelaide'!N484))),OR('Offshore - Adelaide'!G484&lt;&gt;0,ISNUMBER(SEARCH("Enrolment 0 terverifikasi",'Offshore - Adelaide'!N484)))),1,0)</f>
        <v>0</v>
      </c>
      <c r="M883" s="0" t="n">
        <f aca="false">IF(OR('Offshore - Adelaide'!E484="",ISNUMBER(SEARCH("BSB80120",'Offshore - Adelaide'!B484&amp;'Offshore - Adelaide'!N484)),ISNUMBER(SEARCH("Management (Learning)",'Offshore - Adelaide'!B484))),2,IF(ISNUMBER(SEARCH("CEK:",'Offshore - Adelaide'!N484)),1,0))</f>
        <v>0</v>
      </c>
    </row>
    <row r="884" customFormat="false" ht="15" hidden="false" customHeight="false" outlineLevel="0" collapsed="false">
      <c r="A884" s="61" t="s">
        <v>4075</v>
      </c>
      <c r="B884" s="62"/>
      <c r="C884" s="62"/>
      <c r="D884" s="62"/>
      <c r="E884" s="62"/>
      <c r="F884" s="62"/>
      <c r="G884" s="62"/>
      <c r="H884" s="62"/>
      <c r="I884" s="62"/>
    </row>
    <row r="885" customFormat="false" ht="15" hidden="false" customHeight="false" outlineLevel="0" collapsed="false">
      <c r="A885" s="63" t="s">
        <v>3659</v>
      </c>
      <c r="B885" s="64" t="s">
        <v>4073</v>
      </c>
      <c r="C885" s="63" t="s">
        <v>41</v>
      </c>
      <c r="D885" s="64" t="str">
        <f aca="false">TRIM(LEFT('Offshore - Adelaide'!A484,FIND(CHAR(10),'Offshore - Adelaide'!A484&amp;CHAR(10))-1))</f>
        <v>TAFE SA</v>
      </c>
      <c r="E885" s="63" t="str">
        <f aca="false">'Offshore - Adelaide'!C488&amp;""</f>
        <v>2 years</v>
      </c>
      <c r="F885" s="63" t="str">
        <f aca="false">IF('Offshore - Adelaide'!D488="","Belum tercatat",'Offshore - Adelaide'!D488)</f>
        <v>Semester</v>
      </c>
      <c r="G885" s="65" t="n">
        <f aca="false">IF('Offshore - Adelaide'!E488="","-",'Offshore - Adelaide'!E488)</f>
        <v>9720</v>
      </c>
      <c r="H885" s="63" t="n">
        <f aca="false">IF(ISNUMBER(K885),COUNTIFS($J$6:$J$1854,J885,$K$6:$K$1854,"&lt;"&amp;K885)+1,"-")</f>
        <v>1</v>
      </c>
      <c r="I885" s="64" t="str">
        <f aca="false">IF('Offshore - Adelaide'!E488="","Harga belum tersedia - hubungi konsultan TEG",IF(M885=2,"Saat ini tidak menerima pendaftaran siswa internasional baru",IF(M885=1,"Harga perlu dikonfirmasi ke sekolah"&amp;IF(""="","","; "&amp;""),"")))</f>
        <v/>
      </c>
      <c r="J885" s="0" t="s">
        <v>4076</v>
      </c>
      <c r="K885" s="0" t="n">
        <f aca="false">IF(M885=2,"",IF(ISNUMBER(SEARCH("rata-rata:",'Offshore - Adelaide'!N488)),VALUE(MID('Offshore - Adelaide'!N488,SEARCH("rata-rata:",'Offshore - Adelaide'!N488)+11,FIND(";",'Offshore - Adelaide'!N488&amp;";",SEARCH("rata-rata:",'Offshore - Adelaide'!N488))-SEARCH("rata-rata:",'Offshore - Adelaide'!N488)-11)),IF('Offshore - Adelaide'!D488="Semester",'Offshore - Adelaide'!E488*2,IF('Offshore - Adelaide'!D488="Trimester",'Offshore - Adelaide'!E488*3,IF('Offshore - Adelaide'!D488="Term",'Offshore - Adelaide'!E488*4,IF('Offshore - Adelaide'!D488="Unit",'Offshore - Adelaide'!E488*8,""))))))</f>
        <v>19440</v>
      </c>
      <c r="L885" s="0" t="n">
        <f aca="false">IF(AND(ISNUMBER('Offshore - Adelaide'!E488),ISNUMBER(K885),ISNUMBER('Offshore - Adelaide'!F488),ISNUMBER('Offshore - Adelaide'!G488),OR('Offshore - Adelaide'!F488&lt;&gt;0,ISNUMBER(SEARCH("Material 0 terverifikasi",'Offshore - Adelaide'!N488))),OR('Offshore - Adelaide'!G488&lt;&gt;0,ISNUMBER(SEARCH("Enrolment 0 terverifikasi",'Offshore - Adelaide'!N488)))),1,0)</f>
        <v>0</v>
      </c>
      <c r="M885" s="0" t="n">
        <f aca="false">IF(OR('Offshore - Adelaide'!E488="",ISNUMBER(SEARCH("BSB80120",'Offshore - Adelaide'!B488&amp;'Offshore - Adelaide'!N488)),ISNUMBER(SEARCH("Management (Learning)",'Offshore - Adelaide'!B488))),2,IF(ISNUMBER(SEARCH("CEK:",'Offshore - Adelaide'!N488)),1,0))</f>
        <v>0</v>
      </c>
    </row>
    <row r="886" customFormat="false" ht="15" hidden="false" customHeight="false" outlineLevel="0" collapsed="false">
      <c r="A886" s="61" t="s">
        <v>4077</v>
      </c>
      <c r="B886" s="62"/>
      <c r="C886" s="62"/>
      <c r="D886" s="62"/>
      <c r="E886" s="62"/>
      <c r="F886" s="62"/>
      <c r="G886" s="62"/>
      <c r="H886" s="62"/>
      <c r="I886" s="62"/>
    </row>
    <row r="887" customFormat="false" ht="15" hidden="false" customHeight="false" outlineLevel="0" collapsed="false">
      <c r="A887" s="63" t="s">
        <v>3659</v>
      </c>
      <c r="B887" s="64" t="s">
        <v>4073</v>
      </c>
      <c r="C887" s="63" t="s">
        <v>42</v>
      </c>
      <c r="D887" s="64" t="str">
        <f aca="false">TRIM(LEFT('Offshore - Adelaide'!A484,FIND(CHAR(10),'Offshore - Adelaide'!A484&amp;CHAR(10))-1))</f>
        <v>TAFE SA</v>
      </c>
      <c r="E887" s="63" t="str">
        <f aca="false">'Offshore - Adelaide'!C490&amp;""</f>
        <v>1 year</v>
      </c>
      <c r="F887" s="63" t="str">
        <f aca="false">IF('Offshore - Adelaide'!D490="","Belum tercatat",'Offshore - Adelaide'!D490)</f>
        <v>Semester</v>
      </c>
      <c r="G887" s="65" t="n">
        <f aca="false">IF('Offshore - Adelaide'!E490="","-",'Offshore - Adelaide'!E490)</f>
        <v>10225</v>
      </c>
      <c r="H887" s="63" t="n">
        <f aca="false">IF(ISNUMBER(K887),COUNTIFS($J$6:$J$1854,J887,$K$6:$K$1854,"&lt;"&amp;K887)+1,"-")</f>
        <v>1</v>
      </c>
      <c r="I887" s="64" t="str">
        <f aca="false">IF('Offshore - Adelaide'!E490="","Harga belum tersedia - hubungi konsultan TEG",IF(M887=2,"Saat ini tidak menerima pendaftaran siswa internasional baru",IF(M887=1,"Harga perlu dikonfirmasi ke sekolah"&amp;IF(""="","","; "&amp;""),"")))</f>
        <v/>
      </c>
      <c r="J887" s="0" t="s">
        <v>4078</v>
      </c>
      <c r="K887" s="0" t="n">
        <f aca="false">IF(M887=2,"",IF(ISNUMBER(SEARCH("rata-rata:",'Offshore - Adelaide'!N490)),VALUE(MID('Offshore - Adelaide'!N490,SEARCH("rata-rata:",'Offshore - Adelaide'!N490)+11,FIND(";",'Offshore - Adelaide'!N490&amp;";",SEARCH("rata-rata:",'Offshore - Adelaide'!N490))-SEARCH("rata-rata:",'Offshore - Adelaide'!N490)-11)),IF('Offshore - Adelaide'!D490="Semester",'Offshore - Adelaide'!E490*2,IF('Offshore - Adelaide'!D490="Trimester",'Offshore - Adelaide'!E490*3,IF('Offshore - Adelaide'!D490="Term",'Offshore - Adelaide'!E490*4,IF('Offshore - Adelaide'!D490="Unit",'Offshore - Adelaide'!E490*8,""))))))</f>
        <v>20450</v>
      </c>
      <c r="L887" s="0" t="n">
        <f aca="false">IF(AND(ISNUMBER('Offshore - Adelaide'!E490),ISNUMBER(K887),ISNUMBER('Offshore - Adelaide'!F490),ISNUMBER('Offshore - Adelaide'!G490),OR('Offshore - Adelaide'!F490&lt;&gt;0,ISNUMBER(SEARCH("Material 0 terverifikasi",'Offshore - Adelaide'!N490))),OR('Offshore - Adelaide'!G490&lt;&gt;0,ISNUMBER(SEARCH("Enrolment 0 terverifikasi",'Offshore - Adelaide'!N490)))),1,0)</f>
        <v>0</v>
      </c>
      <c r="M887" s="0" t="n">
        <f aca="false">IF(OR('Offshore - Adelaide'!E490="",ISNUMBER(SEARCH("BSB80120",'Offshore - Adelaide'!B490&amp;'Offshore - Adelaide'!N490)),ISNUMBER(SEARCH("Management (Learning)",'Offshore - Adelaide'!B490))),2,IF(ISNUMBER(SEARCH("CEK:",'Offshore - Adelaide'!N490)),1,0))</f>
        <v>0</v>
      </c>
    </row>
    <row r="888" customFormat="false" ht="15" hidden="false" customHeight="false" outlineLevel="0" collapsed="false">
      <c r="A888" s="61" t="s">
        <v>4079</v>
      </c>
      <c r="B888" s="62"/>
      <c r="C888" s="62"/>
      <c r="D888" s="62"/>
      <c r="E888" s="62"/>
      <c r="F888" s="62"/>
      <c r="G888" s="62"/>
      <c r="H888" s="62"/>
      <c r="I888" s="62"/>
    </row>
    <row r="889" customFormat="false" ht="28.35" hidden="false" customHeight="false" outlineLevel="0" collapsed="false">
      <c r="A889" s="63" t="s">
        <v>3659</v>
      </c>
      <c r="B889" s="64" t="s">
        <v>4073</v>
      </c>
      <c r="C889" s="63" t="s">
        <v>43</v>
      </c>
      <c r="D889" s="64" t="str">
        <f aca="false">TRIM(LEFT('Offshore - Adelaide'!A438,FIND(CHAR(10),'Offshore - Adelaide'!A438&amp;CHAR(10))-1))</f>
        <v>Greenwich Higher Education (Academy of Interactive Technology Pty Ltd)</v>
      </c>
      <c r="E889" s="63" t="str">
        <f aca="false">'Offshore - Adelaide'!C439&amp;""</f>
        <v>3 years</v>
      </c>
      <c r="F889" s="63" t="str">
        <f aca="false">IF('Offshore - Adelaide'!D439="","Belum tercatat",'Offshore - Adelaide'!D439)</f>
        <v>Term</v>
      </c>
      <c r="G889" s="65" t="n">
        <f aca="false">IF('Offshore - Adelaide'!E439="","-",'Offshore - Adelaide'!E439)</f>
        <v>4025</v>
      </c>
      <c r="H889" s="63" t="n">
        <f aca="false">IF(ISNUMBER(K889),COUNTIFS($J$6:$J$1854,J889,$K$6:$K$1854,"&lt;"&amp;K889)+1,"-")</f>
        <v>1</v>
      </c>
      <c r="I889" s="64" t="str">
        <f aca="false">IF('Offshore - Adelaide'!E439="","Harga belum tersedia - hubungi konsultan TEG",IF(M889=2,"Saat ini tidak menerima pendaftaran siswa internasional baru",IF(M889=1,"Program perlu dikonfirmasi ketersediaannya"&amp;IF(""="","","; "&amp;""),"")))</f>
        <v>Program perlu dikonfirmasi ketersediaannya</v>
      </c>
      <c r="J889" s="0" t="s">
        <v>4080</v>
      </c>
      <c r="K889" s="0" t="n">
        <f aca="false">IF(M889=2,"",IF(ISNUMBER(SEARCH("rata-rata:",'Offshore - Adelaide'!N439)),VALUE(MID('Offshore - Adelaide'!N439,SEARCH("rata-rata:",'Offshore - Adelaide'!N439)+11,FIND(";",'Offshore - Adelaide'!N439&amp;";",SEARCH("rata-rata:",'Offshore - Adelaide'!N439))-SEARCH("rata-rata:",'Offshore - Adelaide'!N439)-11)),IF('Offshore - Adelaide'!D439="Semester",'Offshore - Adelaide'!E439*2,IF('Offshore - Adelaide'!D439="Trimester",'Offshore - Adelaide'!E439*3,IF('Offshore - Adelaide'!D439="Term",'Offshore - Adelaide'!E439*4,IF('Offshore - Adelaide'!D439="Unit",'Offshore - Adelaide'!E439*8,""))))))</f>
        <v>16100</v>
      </c>
      <c r="L889" s="0" t="n">
        <f aca="false">IF(AND(ISNUMBER('Offshore - Adelaide'!E439),ISNUMBER(K889),ISNUMBER('Offshore - Adelaide'!F439),ISNUMBER('Offshore - Adelaide'!G439),OR('Offshore - Adelaide'!F439&lt;&gt;0,ISNUMBER(SEARCH("Material 0 terverifikasi",'Offshore - Adelaide'!N439))),OR('Offshore - Adelaide'!G439&lt;&gt;0,ISNUMBER(SEARCH("Enrolment 0 terverifikasi",'Offshore - Adelaide'!N439)))),1,0)</f>
        <v>1</v>
      </c>
      <c r="M889" s="0" t="n">
        <f aca="false">IF(OR('Offshore - Adelaide'!E439="",ISNUMBER(SEARCH("BSB80120",'Offshore - Adelaide'!B439&amp;'Offshore - Adelaide'!N439)),ISNUMBER(SEARCH("Management (Learning)",'Offshore - Adelaide'!B439))),2,IF(ISNUMBER(SEARCH("CEK:",'Offshore - Adelaide'!N439)),1,0))</f>
        <v>1</v>
      </c>
    </row>
    <row r="890" customFormat="false" ht="15" hidden="false" customHeight="false" outlineLevel="0" collapsed="false">
      <c r="A890" s="63" t="s">
        <v>3659</v>
      </c>
      <c r="B890" s="64" t="s">
        <v>4073</v>
      </c>
      <c r="C890" s="63" t="s">
        <v>43</v>
      </c>
      <c r="D890" s="64" t="str">
        <f aca="false">TRIM(LEFT('Offshore - Adelaide'!A13,FIND(CHAR(10),'Offshore - Adelaide'!A13&amp;CHAR(10))-1))</f>
        <v>Adelaide University</v>
      </c>
      <c r="E890" s="63" t="str">
        <f aca="false">'Offshore - Adelaide'!C119&amp;""</f>
        <v>3 years</v>
      </c>
      <c r="F890" s="63" t="str">
        <f aca="false">IF('Offshore - Adelaide'!D119="","Belum tercatat",'Offshore - Adelaide'!D119)</f>
        <v>Term</v>
      </c>
      <c r="G890" s="65" t="n">
        <f aca="false">IF('Offshore - Adelaide'!E119="","-",'Offshore - Adelaide'!E119)</f>
        <v>10850</v>
      </c>
      <c r="H890" s="63" t="n">
        <f aca="false">IF(ISNUMBER(K890),COUNTIFS($J$6:$J$1854,J890,$K$6:$K$1854,"&lt;"&amp;K890)+1,"-")</f>
        <v>2</v>
      </c>
      <c r="I890" s="64" t="str">
        <f aca="false">IF('Offshore - Adelaide'!E119="","Harga belum tersedia - hubungi konsultan TEG",IF(M890=2,"Saat ini tidak menerima pendaftaran siswa internasional baru",IF(M890=1,"Harga perlu dikonfirmasi ke sekolah"&amp;IF(""="","","; "&amp;""),"")))</f>
        <v/>
      </c>
      <c r="J890" s="0" t="s">
        <v>4080</v>
      </c>
      <c r="K890" s="0" t="n">
        <f aca="false">IF(M890=2,"",IF(ISNUMBER(SEARCH("rata-rata:",'Offshore - Adelaide'!N119)),VALUE(MID('Offshore - Adelaide'!N119,SEARCH("rata-rata:",'Offshore - Adelaide'!N119)+11,FIND(";",'Offshore - Adelaide'!N119&amp;";",SEARCH("rata-rata:",'Offshore - Adelaide'!N119))-SEARCH("rata-rata:",'Offshore - Adelaide'!N119)-11)),IF('Offshore - Adelaide'!D119="Semester",'Offshore - Adelaide'!E119*2,IF('Offshore - Adelaide'!D119="Trimester",'Offshore - Adelaide'!E119*3,IF('Offshore - Adelaide'!D119="Term",'Offshore - Adelaide'!E119*4,IF('Offshore - Adelaide'!D119="Unit",'Offshore - Adelaide'!E119*8,""))))))</f>
        <v>43400</v>
      </c>
      <c r="L890" s="0" t="n">
        <f aca="false">IF(AND(ISNUMBER('Offshore - Adelaide'!E119),ISNUMBER(K890),ISNUMBER('Offshore - Adelaide'!F119),ISNUMBER('Offshore - Adelaide'!G119),OR('Offshore - Adelaide'!F119&lt;&gt;0,ISNUMBER(SEARCH("Material 0 terverifikasi",'Offshore - Adelaide'!N119))),OR('Offshore - Adelaide'!G119&lt;&gt;0,ISNUMBER(SEARCH("Enrolment 0 terverifikasi",'Offshore - Adelaide'!N119)))),1,0)</f>
        <v>0</v>
      </c>
      <c r="M890" s="0" t="n">
        <f aca="false">IF(OR('Offshore - Adelaide'!E119="",ISNUMBER(SEARCH("BSB80120",'Offshore - Adelaide'!B119&amp;'Offshore - Adelaide'!N119)),ISNUMBER(SEARCH("Management (Learning)",'Offshore - Adelaide'!B119))),2,IF(ISNUMBER(SEARCH("CEK:",'Offshore - Adelaide'!N119)),1,0))</f>
        <v>0</v>
      </c>
    </row>
    <row r="891" customFormat="false" ht="15" hidden="false" customHeight="false" outlineLevel="0" collapsed="false">
      <c r="A891" s="61" t="s">
        <v>4081</v>
      </c>
      <c r="B891" s="62"/>
      <c r="C891" s="62"/>
      <c r="D891" s="62"/>
      <c r="E891" s="62"/>
      <c r="F891" s="62"/>
      <c r="G891" s="62"/>
      <c r="H891" s="62"/>
      <c r="I891" s="62"/>
    </row>
    <row r="892" customFormat="false" ht="15" hidden="false" customHeight="false" outlineLevel="0" collapsed="false">
      <c r="A892" s="63" t="s">
        <v>3659</v>
      </c>
      <c r="B892" s="64" t="s">
        <v>4073</v>
      </c>
      <c r="C892" s="63" t="s">
        <v>3707</v>
      </c>
      <c r="D892" s="64" t="str">
        <f aca="false">TRIM(LEFT('Offshore - Adelaide'!A13,FIND(CHAR(10),'Offshore - Adelaide'!A13&amp;CHAR(10))-1))</f>
        <v>Adelaide University</v>
      </c>
      <c r="E892" s="63" t="str">
        <f aca="false">'Offshore - Adelaide'!C323&amp;""</f>
        <v>0,5 year</v>
      </c>
      <c r="F892" s="63" t="str">
        <f aca="false">IF('Offshore - Adelaide'!D323="","Belum tercatat",'Offshore - Adelaide'!D323)</f>
        <v>Term</v>
      </c>
      <c r="G892" s="65" t="n">
        <f aca="false">IF('Offshore - Adelaide'!E323="","-",'Offshore - Adelaide'!E323)</f>
        <v>11275</v>
      </c>
      <c r="H892" s="63" t="n">
        <f aca="false">IF(ISNUMBER(K892),COUNTIFS($J$6:$J$1854,J892,$K$6:$K$1854,"&lt;"&amp;K892)+1,"-")</f>
        <v>1</v>
      </c>
      <c r="I892" s="64" t="str">
        <f aca="false">IF('Offshore - Adelaide'!E323="","Harga belum tersedia - hubungi konsultan TEG",IF(M892=2,"Saat ini tidak menerima pendaftaran siswa internasional baru",IF(M892=1,"Harga perlu dikonfirmasi ke sekolah"&amp;IF(""="","","; "&amp;""),"")))</f>
        <v/>
      </c>
      <c r="J892" s="0" t="s">
        <v>4082</v>
      </c>
      <c r="K892" s="0" t="n">
        <f aca="false">IF(M892=2,"",IF(ISNUMBER(SEARCH("rata-rata:",'Offshore - Adelaide'!N323)),VALUE(MID('Offshore - Adelaide'!N323,SEARCH("rata-rata:",'Offshore - Adelaide'!N323)+11,FIND(";",'Offshore - Adelaide'!N323&amp;";",SEARCH("rata-rata:",'Offshore - Adelaide'!N323))-SEARCH("rata-rata:",'Offshore - Adelaide'!N323)-11)),IF('Offshore - Adelaide'!D323="Semester",'Offshore - Adelaide'!E323*2,IF('Offshore - Adelaide'!D323="Trimester",'Offshore - Adelaide'!E323*3,IF('Offshore - Adelaide'!D323="Term",'Offshore - Adelaide'!E323*4,IF('Offshore - Adelaide'!D323="Unit",'Offshore - Adelaide'!E323*8,""))))))</f>
        <v>45100</v>
      </c>
      <c r="L892" s="0" t="n">
        <f aca="false">IF(AND(ISNUMBER('Offshore - Adelaide'!E323),ISNUMBER(K892),ISNUMBER('Offshore - Adelaide'!F323),ISNUMBER('Offshore - Adelaide'!G323),OR('Offshore - Adelaide'!F323&lt;&gt;0,ISNUMBER(SEARCH("Material 0 terverifikasi",'Offshore - Adelaide'!N323))),OR('Offshore - Adelaide'!G323&lt;&gt;0,ISNUMBER(SEARCH("Enrolment 0 terverifikasi",'Offshore - Adelaide'!N323)))),1,0)</f>
        <v>0</v>
      </c>
      <c r="M892" s="0" t="n">
        <f aca="false">IF(OR('Offshore - Adelaide'!E323="",ISNUMBER(SEARCH("BSB80120",'Offshore - Adelaide'!B323&amp;'Offshore - Adelaide'!N323)),ISNUMBER(SEARCH("Management (Learning)",'Offshore - Adelaide'!B323))),2,IF(ISNUMBER(SEARCH("CEK:",'Offshore - Adelaide'!N323)),1,0))</f>
        <v>0</v>
      </c>
    </row>
    <row r="893" customFormat="false" ht="15" hidden="false" customHeight="false" outlineLevel="0" collapsed="false">
      <c r="A893" s="61" t="s">
        <v>4083</v>
      </c>
      <c r="B893" s="62"/>
      <c r="C893" s="62"/>
      <c r="D893" s="62"/>
      <c r="E893" s="62"/>
      <c r="F893" s="62"/>
      <c r="G893" s="62"/>
      <c r="H893" s="62"/>
      <c r="I893" s="62"/>
    </row>
    <row r="894" customFormat="false" ht="15" hidden="false" customHeight="false" outlineLevel="0" collapsed="false">
      <c r="A894" s="63" t="s">
        <v>3659</v>
      </c>
      <c r="B894" s="64" t="s">
        <v>4073</v>
      </c>
      <c r="C894" s="63" t="s">
        <v>46</v>
      </c>
      <c r="D894" s="64" t="str">
        <f aca="false">TRIM(LEFT('Offshore - Adelaide'!A13,FIND(CHAR(10),'Offshore - Adelaide'!A13&amp;CHAR(10))-1))</f>
        <v>Adelaide University</v>
      </c>
      <c r="E894" s="63" t="str">
        <f aca="false">'Offshore - Adelaide'!C289&amp;""</f>
        <v>2 years</v>
      </c>
      <c r="F894" s="63" t="str">
        <f aca="false">IF('Offshore - Adelaide'!D289="","Belum tercatat",'Offshore - Adelaide'!D289)</f>
        <v>Term</v>
      </c>
      <c r="G894" s="65" t="n">
        <f aca="false">IF('Offshore - Adelaide'!E289="","-",'Offshore - Adelaide'!E289)</f>
        <v>12150</v>
      </c>
      <c r="H894" s="63" t="n">
        <f aca="false">IF(ISNUMBER(K894),COUNTIFS($J$6:$J$1854,J894,$K$6:$K$1854,"&lt;"&amp;K894)+1,"-")</f>
        <v>1</v>
      </c>
      <c r="I894" s="64" t="str">
        <f aca="false">IF('Offshore - Adelaide'!E289="","Harga belum tersedia - hubungi konsultan TEG",IF(M894=2,"Saat ini tidak menerima pendaftaran siswa internasional baru",IF(M894=1,"Harga perlu dikonfirmasi ke sekolah"&amp;IF(""="","","; "&amp;""),"")))</f>
        <v/>
      </c>
      <c r="J894" s="0" t="s">
        <v>4084</v>
      </c>
      <c r="K894" s="0" t="n">
        <f aca="false">IF(M894=2,"",IF(ISNUMBER(SEARCH("rata-rata:",'Offshore - Adelaide'!N289)),VALUE(MID('Offshore - Adelaide'!N289,SEARCH("rata-rata:",'Offshore - Adelaide'!N289)+11,FIND(";",'Offshore - Adelaide'!N289&amp;";",SEARCH("rata-rata:",'Offshore - Adelaide'!N289))-SEARCH("rata-rata:",'Offshore - Adelaide'!N289)-11)),IF('Offshore - Adelaide'!D289="Semester",'Offshore - Adelaide'!E289*2,IF('Offshore - Adelaide'!D289="Trimester",'Offshore - Adelaide'!E289*3,IF('Offshore - Adelaide'!D289="Term",'Offshore - Adelaide'!E289*4,IF('Offshore - Adelaide'!D289="Unit",'Offshore - Adelaide'!E289*8,""))))))</f>
        <v>48600</v>
      </c>
      <c r="L894" s="0" t="n">
        <f aca="false">IF(AND(ISNUMBER('Offshore - Adelaide'!E289),ISNUMBER(K894),ISNUMBER('Offshore - Adelaide'!F289),ISNUMBER('Offshore - Adelaide'!G289),OR('Offshore - Adelaide'!F289&lt;&gt;0,ISNUMBER(SEARCH("Material 0 terverifikasi",'Offshore - Adelaide'!N289))),OR('Offshore - Adelaide'!G289&lt;&gt;0,ISNUMBER(SEARCH("Enrolment 0 terverifikasi",'Offshore - Adelaide'!N289)))),1,0)</f>
        <v>0</v>
      </c>
      <c r="M894" s="0" t="n">
        <f aca="false">IF(OR('Offshore - Adelaide'!E289="",ISNUMBER(SEARCH("BSB80120",'Offshore - Adelaide'!B289&amp;'Offshore - Adelaide'!N289)),ISNUMBER(SEARCH("Management (Learning)",'Offshore - Adelaide'!B289))),2,IF(ISNUMBER(SEARCH("CEK:",'Offshore - Adelaide'!N289)),1,0))</f>
        <v>0</v>
      </c>
    </row>
    <row r="895" customFormat="false" ht="15" hidden="false" customHeight="false" outlineLevel="0" collapsed="false">
      <c r="A895" s="61" t="s">
        <v>4085</v>
      </c>
      <c r="B895" s="62"/>
      <c r="C895" s="62"/>
      <c r="D895" s="62"/>
      <c r="E895" s="62"/>
      <c r="F895" s="62"/>
      <c r="G895" s="62"/>
      <c r="H895" s="62"/>
      <c r="I895" s="62"/>
    </row>
    <row r="896" customFormat="false" ht="15" hidden="false" customHeight="false" outlineLevel="0" collapsed="false">
      <c r="A896" s="63" t="s">
        <v>3563</v>
      </c>
      <c r="B896" s="64" t="s">
        <v>4073</v>
      </c>
      <c r="C896" s="63" t="s">
        <v>41</v>
      </c>
      <c r="D896" s="64" t="str">
        <f aca="false">TRIM(LEFT('Offshore - Brisbane'!A308,FIND(CHAR(10),'Offshore - Brisbane'!A308&amp;CHAR(10))-1))</f>
        <v>Torrens University Australia</v>
      </c>
      <c r="E896" s="63" t="str">
        <f aca="false">'Offshore - Brisbane'!C345&amp;""</f>
        <v>1 year</v>
      </c>
      <c r="F896" s="63" t="str">
        <f aca="false">IF('Offshore - Brisbane'!D345="","Belum tercatat",'Offshore - Brisbane'!D345)</f>
        <v>Term</v>
      </c>
      <c r="G896" s="65" t="n">
        <f aca="false">IF('Offshore - Brisbane'!E345="","-",'Offshore - Brisbane'!E345)</f>
        <v>6250</v>
      </c>
      <c r="H896" s="63" t="n">
        <f aca="false">IF(ISNUMBER(K896),COUNTIFS($J$6:$J$1854,J896,$K$6:$K$1854,"&lt;"&amp;K896)+1,"-")</f>
        <v>1</v>
      </c>
      <c r="I896" s="64" t="str">
        <f aca="false">IF('Offshore - Brisbane'!E345="","Harga belum tersedia - hubungi konsultan TEG",IF(M896=2,"Saat ini tidak menerima pendaftaran siswa internasional baru",IF(M896=1,"Harga perlu dikonfirmasi ke sekolah"&amp;IF(""="","","; "&amp;""),"")))</f>
        <v/>
      </c>
      <c r="J896" s="0" t="s">
        <v>4086</v>
      </c>
      <c r="K896" s="0" t="n">
        <f aca="false">IF(M896=2,"",IF(ISNUMBER(SEARCH("rata-rata:",'Offshore - Brisbane'!N345)),VALUE(MID('Offshore - Brisbane'!N345,SEARCH("rata-rata:",'Offshore - Brisbane'!N345)+11,FIND(";",'Offshore - Brisbane'!N345&amp;";",SEARCH("rata-rata:",'Offshore - Brisbane'!N345))-SEARCH("rata-rata:",'Offshore - Brisbane'!N345)-11)),IF('Offshore - Brisbane'!D345="Semester",'Offshore - Brisbane'!E345*2,IF('Offshore - Brisbane'!D345="Trimester",'Offshore - Brisbane'!E345*3,IF('Offshore - Brisbane'!D345="Term",'Offshore - Brisbane'!E345*4,IF('Offshore - Brisbane'!D345="Unit",'Offshore - Brisbane'!E345*8,""))))))</f>
        <v>25000</v>
      </c>
      <c r="L896" s="0" t="n">
        <f aca="false">IF(AND(ISNUMBER('Offshore - Brisbane'!E345),ISNUMBER(K896),ISNUMBER('Offshore - Brisbane'!F345),ISNUMBER('Offshore - Brisbane'!G345),OR('Offshore - Brisbane'!F345&lt;&gt;0,ISNUMBER(SEARCH("Material 0 terverifikasi",'Offshore - Brisbane'!N345))),OR('Offshore - Brisbane'!G345&lt;&gt;0,ISNUMBER(SEARCH("Enrolment 0 terverifikasi",'Offshore - Brisbane'!N345)))),1,0)</f>
        <v>0</v>
      </c>
      <c r="M896" s="0" t="n">
        <f aca="false">IF(OR('Offshore - Brisbane'!E345="",ISNUMBER(SEARCH("BSB80120",'Offshore - Brisbane'!B345&amp;'Offshore - Brisbane'!N345)),ISNUMBER(SEARCH("Management (Learning)",'Offshore - Brisbane'!B345))),2,IF(ISNUMBER(SEARCH("CEK:",'Offshore - Brisbane'!N345)),1,0))</f>
        <v>0</v>
      </c>
    </row>
    <row r="897" customFormat="false" ht="15" hidden="false" customHeight="false" outlineLevel="0" collapsed="false">
      <c r="A897" s="63" t="s">
        <v>3563</v>
      </c>
      <c r="B897" s="64" t="s">
        <v>4073</v>
      </c>
      <c r="C897" s="63" t="s">
        <v>41</v>
      </c>
      <c r="D897" s="64" t="str">
        <f aca="false">TRIM(LEFT('Offshore - Brisbane'!A53,FIND(CHAR(10),'Offshore - Brisbane'!A53&amp;CHAR(10))-1))</f>
        <v>Australian Catholic University (ACU)</v>
      </c>
      <c r="E897" s="63" t="str">
        <f aca="false">'Offshore - Brisbane'!C154&amp;""</f>
        <v>1 year</v>
      </c>
      <c r="F897" s="63" t="str">
        <f aca="false">IF('Offshore - Brisbane'!D154="","Belum tercatat",'Offshore - Brisbane'!D154)</f>
        <v>Term</v>
      </c>
      <c r="G897" s="65" t="n">
        <f aca="false">IF('Offshore - Brisbane'!E154="","-",'Offshore - Brisbane'!E154)</f>
        <v>8906</v>
      </c>
      <c r="H897" s="63" t="n">
        <f aca="false">IF(ISNUMBER(K897),COUNTIFS($J$6:$J$1854,J897,$K$6:$K$1854,"&lt;"&amp;K897)+1,"-")</f>
        <v>2</v>
      </c>
      <c r="I897" s="64" t="str">
        <f aca="false">IF('Offshore - Brisbane'!E154="","Harga belum tersedia - hubungi konsultan TEG",IF(M897=2,"Saat ini tidak menerima pendaftaran siswa internasional baru",IF(M897=1,"Harga perlu dikonfirmasi ke sekolah"&amp;IF(""="","","; "&amp;""),"")))</f>
        <v/>
      </c>
      <c r="J897" s="0" t="s">
        <v>4086</v>
      </c>
      <c r="K897" s="0" t="n">
        <f aca="false">IF(M897=2,"",IF(ISNUMBER(SEARCH("rata-rata:",'Offshore - Brisbane'!N154)),VALUE(MID('Offshore - Brisbane'!N154,SEARCH("rata-rata:",'Offshore - Brisbane'!N154)+11,FIND(";",'Offshore - Brisbane'!N154&amp;";",SEARCH("rata-rata:",'Offshore - Brisbane'!N154))-SEARCH("rata-rata:",'Offshore - Brisbane'!N154)-11)),IF('Offshore - Brisbane'!D154="Semester",'Offshore - Brisbane'!E154*2,IF('Offshore - Brisbane'!D154="Trimester",'Offshore - Brisbane'!E154*3,IF('Offshore - Brisbane'!D154="Term",'Offshore - Brisbane'!E154*4,IF('Offshore - Brisbane'!D154="Unit",'Offshore - Brisbane'!E154*8,""))))))</f>
        <v>35624</v>
      </c>
      <c r="L897" s="0" t="n">
        <f aca="false">IF(AND(ISNUMBER('Offshore - Brisbane'!E154),ISNUMBER(K897),ISNUMBER('Offshore - Brisbane'!F154),ISNUMBER('Offshore - Brisbane'!G154),OR('Offshore - Brisbane'!F154&lt;&gt;0,ISNUMBER(SEARCH("Material 0 terverifikasi",'Offshore - Brisbane'!N154))),OR('Offshore - Brisbane'!G154&lt;&gt;0,ISNUMBER(SEARCH("Enrolment 0 terverifikasi",'Offshore - Brisbane'!N154)))),1,0)</f>
        <v>0</v>
      </c>
      <c r="M897" s="0" t="n">
        <f aca="false">IF(OR('Offshore - Brisbane'!E154="",ISNUMBER(SEARCH("BSB80120",'Offshore - Brisbane'!B154&amp;'Offshore - Brisbane'!N154)),ISNUMBER(SEARCH("Management (Learning)",'Offshore - Brisbane'!B154))),2,IF(ISNUMBER(SEARCH("CEK:",'Offshore - Brisbane'!N154)),1,0))</f>
        <v>0</v>
      </c>
    </row>
    <row r="898" customFormat="false" ht="15" hidden="false" customHeight="false" outlineLevel="0" collapsed="false">
      <c r="A898" s="61" t="s">
        <v>4087</v>
      </c>
      <c r="B898" s="62"/>
      <c r="C898" s="62"/>
      <c r="D898" s="62"/>
      <c r="E898" s="62"/>
      <c r="F898" s="62"/>
      <c r="G898" s="62"/>
      <c r="H898" s="62"/>
      <c r="I898" s="62"/>
    </row>
    <row r="899" customFormat="false" ht="15" hidden="false" customHeight="false" outlineLevel="0" collapsed="false">
      <c r="A899" s="63" t="s">
        <v>3563</v>
      </c>
      <c r="B899" s="64" t="s">
        <v>4073</v>
      </c>
      <c r="C899" s="63" t="s">
        <v>42</v>
      </c>
      <c r="D899" s="64" t="str">
        <f aca="false">TRIM(LEFT('Offshore - Brisbane'!A308,FIND(CHAR(10),'Offshore - Brisbane'!A308&amp;CHAR(10))-1))</f>
        <v>Torrens University Australia</v>
      </c>
      <c r="E899" s="63" t="str">
        <f aca="false">'Offshore - Brisbane'!C344&amp;""</f>
        <v>2 years</v>
      </c>
      <c r="F899" s="63" t="str">
        <f aca="false">IF('Offshore - Brisbane'!D344="","Belum tercatat",'Offshore - Brisbane'!D344)</f>
        <v>Term</v>
      </c>
      <c r="G899" s="65" t="n">
        <f aca="false">IF('Offshore - Brisbane'!E344="","-",'Offshore - Brisbane'!E344)</f>
        <v>6250</v>
      </c>
      <c r="H899" s="63" t="n">
        <f aca="false">IF(ISNUMBER(K899),COUNTIFS($J$6:$J$1854,J899,$K$6:$K$1854,"&lt;"&amp;K899)+1,"-")</f>
        <v>1</v>
      </c>
      <c r="I899" s="64" t="str">
        <f aca="false">IF('Offshore - Brisbane'!E344="","Harga belum tersedia - hubungi konsultan TEG",IF(M899=2,"Saat ini tidak menerima pendaftaran siswa internasional baru",IF(M899=1,"Harga perlu dikonfirmasi ke sekolah"&amp;IF(""="","","; "&amp;""),"")))</f>
        <v/>
      </c>
      <c r="J899" s="0" t="s">
        <v>4088</v>
      </c>
      <c r="K899" s="0" t="n">
        <f aca="false">IF(M899=2,"",IF(ISNUMBER(SEARCH("rata-rata:",'Offshore - Brisbane'!N344)),VALUE(MID('Offshore - Brisbane'!N344,SEARCH("rata-rata:",'Offshore - Brisbane'!N344)+11,FIND(";",'Offshore - Brisbane'!N344&amp;";",SEARCH("rata-rata:",'Offshore - Brisbane'!N344))-SEARCH("rata-rata:",'Offshore - Brisbane'!N344)-11)),IF('Offshore - Brisbane'!D344="Semester",'Offshore - Brisbane'!E344*2,IF('Offshore - Brisbane'!D344="Trimester",'Offshore - Brisbane'!E344*3,IF('Offshore - Brisbane'!D344="Term",'Offshore - Brisbane'!E344*4,IF('Offshore - Brisbane'!D344="Unit",'Offshore - Brisbane'!E344*8,""))))))</f>
        <v>25000</v>
      </c>
      <c r="L899" s="0" t="n">
        <f aca="false">IF(AND(ISNUMBER('Offshore - Brisbane'!E344),ISNUMBER(K899),ISNUMBER('Offshore - Brisbane'!F344),ISNUMBER('Offshore - Brisbane'!G344),OR('Offshore - Brisbane'!F344&lt;&gt;0,ISNUMBER(SEARCH("Material 0 terverifikasi",'Offshore - Brisbane'!N344))),OR('Offshore - Brisbane'!G344&lt;&gt;0,ISNUMBER(SEARCH("Enrolment 0 terverifikasi",'Offshore - Brisbane'!N344)))),1,0)</f>
        <v>0</v>
      </c>
      <c r="M899" s="0" t="n">
        <f aca="false">IF(OR('Offshore - Brisbane'!E344="",ISNUMBER(SEARCH("BSB80120",'Offshore - Brisbane'!B344&amp;'Offshore - Brisbane'!N344)),ISNUMBER(SEARCH("Management (Learning)",'Offshore - Brisbane'!B344))),2,IF(ISNUMBER(SEARCH("CEK:",'Offshore - Brisbane'!N344)),1,0))</f>
        <v>0</v>
      </c>
    </row>
    <row r="900" customFormat="false" ht="15" hidden="false" customHeight="false" outlineLevel="0" collapsed="false">
      <c r="A900" s="61" t="s">
        <v>4089</v>
      </c>
      <c r="B900" s="62"/>
      <c r="C900" s="62"/>
      <c r="D900" s="62"/>
      <c r="E900" s="62"/>
      <c r="F900" s="62"/>
      <c r="G900" s="62"/>
      <c r="H900" s="62"/>
      <c r="I900" s="62"/>
    </row>
    <row r="901" customFormat="false" ht="28.35" hidden="false" customHeight="false" outlineLevel="0" collapsed="false">
      <c r="A901" s="63" t="s">
        <v>3563</v>
      </c>
      <c r="B901" s="64" t="s">
        <v>4073</v>
      </c>
      <c r="C901" s="63" t="s">
        <v>43</v>
      </c>
      <c r="D901" s="64" t="str">
        <f aca="false">TRIM(LEFT('Offshore - Brisbane'!A234,FIND(CHAR(10),'Offshore - Brisbane'!A234&amp;CHAR(10))-1))</f>
        <v>Greenwich Higher Education (Academy of Interactive Technology Pty Ltd)</v>
      </c>
      <c r="E901" s="63" t="str">
        <f aca="false">'Offshore - Brisbane'!C235&amp;""</f>
        <v>3 years</v>
      </c>
      <c r="F901" s="63" t="str">
        <f aca="false">IF('Offshore - Brisbane'!D235="","Belum tercatat",'Offshore - Brisbane'!D235)</f>
        <v>Term</v>
      </c>
      <c r="G901" s="65" t="n">
        <f aca="false">IF('Offshore - Brisbane'!E235="","-",'Offshore - Brisbane'!E235)</f>
        <v>4025</v>
      </c>
      <c r="H901" s="63" t="n">
        <f aca="false">IF(ISNUMBER(K901),COUNTIFS($J$6:$J$1854,J901,$K$6:$K$1854,"&lt;"&amp;K901)+1,"-")</f>
        <v>1</v>
      </c>
      <c r="I901" s="64" t="str">
        <f aca="false">IF('Offshore - Brisbane'!E235="","Harga belum tersedia - hubungi konsultan TEG",IF(M901=2,"Saat ini tidak menerima pendaftaran siswa internasional baru",IF(M901=1,"Program perlu dikonfirmasi ketersediaannya"&amp;IF(""="","","; "&amp;""),"")))</f>
        <v>Program perlu dikonfirmasi ketersediaannya</v>
      </c>
      <c r="J901" s="0" t="s">
        <v>4090</v>
      </c>
      <c r="K901" s="0" t="n">
        <f aca="false">IF(M901=2,"",IF(ISNUMBER(SEARCH("rata-rata:",'Offshore - Brisbane'!N235)),VALUE(MID('Offshore - Brisbane'!N235,SEARCH("rata-rata:",'Offshore - Brisbane'!N235)+11,FIND(";",'Offshore - Brisbane'!N235&amp;";",SEARCH("rata-rata:",'Offshore - Brisbane'!N235))-SEARCH("rata-rata:",'Offshore - Brisbane'!N235)-11)),IF('Offshore - Brisbane'!D235="Semester",'Offshore - Brisbane'!E235*2,IF('Offshore - Brisbane'!D235="Trimester",'Offshore - Brisbane'!E235*3,IF('Offshore - Brisbane'!D235="Term",'Offshore - Brisbane'!E235*4,IF('Offshore - Brisbane'!D235="Unit",'Offshore - Brisbane'!E235*8,""))))))</f>
        <v>16100</v>
      </c>
      <c r="L901" s="0" t="n">
        <f aca="false">IF(AND(ISNUMBER('Offshore - Brisbane'!E235),ISNUMBER(K901),ISNUMBER('Offshore - Brisbane'!F235),ISNUMBER('Offshore - Brisbane'!G235),OR('Offshore - Brisbane'!F235&lt;&gt;0,ISNUMBER(SEARCH("Material 0 terverifikasi",'Offshore - Brisbane'!N235))),OR('Offshore - Brisbane'!G235&lt;&gt;0,ISNUMBER(SEARCH("Enrolment 0 terverifikasi",'Offshore - Brisbane'!N235)))),1,0)</f>
        <v>1</v>
      </c>
      <c r="M901" s="0" t="n">
        <f aca="false">IF(OR('Offshore - Brisbane'!E235="",ISNUMBER(SEARCH("BSB80120",'Offshore - Brisbane'!B235&amp;'Offshore - Brisbane'!N235)),ISNUMBER(SEARCH("Management (Learning)",'Offshore - Brisbane'!B235))),2,IF(ISNUMBER(SEARCH("CEK:",'Offshore - Brisbane'!N235)),1,0))</f>
        <v>1</v>
      </c>
    </row>
    <row r="902" customFormat="false" ht="15" hidden="false" customHeight="false" outlineLevel="0" collapsed="false">
      <c r="A902" s="63" t="s">
        <v>3563</v>
      </c>
      <c r="B902" s="64" t="s">
        <v>4073</v>
      </c>
      <c r="C902" s="63" t="s">
        <v>43</v>
      </c>
      <c r="D902" s="64" t="str">
        <f aca="false">TRIM(LEFT('Offshore - Brisbane'!A53,FIND(CHAR(10),'Offshore - Brisbane'!A53&amp;CHAR(10))-1))</f>
        <v>Australian Catholic University (ACU)</v>
      </c>
      <c r="E902" s="63" t="str">
        <f aca="false">'Offshore - Brisbane'!C88&amp;""</f>
        <v>3 years</v>
      </c>
      <c r="F902" s="63" t="str">
        <f aca="false">IF('Offshore - Brisbane'!D88="","Belum tercatat",'Offshore - Brisbane'!D88)</f>
        <v>Term</v>
      </c>
      <c r="G902" s="65" t="n">
        <f aca="false">IF('Offshore - Brisbane'!E88="","-",'Offshore - Brisbane'!E88)</f>
        <v>8906</v>
      </c>
      <c r="H902" s="63" t="n">
        <f aca="false">IF(ISNUMBER(K902),COUNTIFS($J$6:$J$1854,J902,$K$6:$K$1854,"&lt;"&amp;K902)+1,"-")</f>
        <v>2</v>
      </c>
      <c r="I902" s="64" t="str">
        <f aca="false">IF('Offshore - Brisbane'!E88="","Harga belum tersedia - hubungi konsultan TEG",IF(M902=2,"Saat ini tidak menerima pendaftaran siswa internasional baru",IF(M902=1,"Harga perlu dikonfirmasi ke sekolah"&amp;IF(""="","","; "&amp;""),"")))</f>
        <v/>
      </c>
      <c r="J902" s="0" t="s">
        <v>4090</v>
      </c>
      <c r="K902" s="0" t="n">
        <f aca="false">IF(M902=2,"",IF(ISNUMBER(SEARCH("rata-rata:",'Offshore - Brisbane'!N88)),VALUE(MID('Offshore - Brisbane'!N88,SEARCH("rata-rata:",'Offshore - Brisbane'!N88)+11,FIND(";",'Offshore - Brisbane'!N88&amp;";",SEARCH("rata-rata:",'Offshore - Brisbane'!N88))-SEARCH("rata-rata:",'Offshore - Brisbane'!N88)-11)),IF('Offshore - Brisbane'!D88="Semester",'Offshore - Brisbane'!E88*2,IF('Offshore - Brisbane'!D88="Trimester",'Offshore - Brisbane'!E88*3,IF('Offshore - Brisbane'!D88="Term",'Offshore - Brisbane'!E88*4,IF('Offshore - Brisbane'!D88="Unit",'Offshore - Brisbane'!E88*8,""))))))</f>
        <v>35624</v>
      </c>
      <c r="L902" s="0" t="n">
        <f aca="false">IF(AND(ISNUMBER('Offshore - Brisbane'!E88),ISNUMBER(K902),ISNUMBER('Offshore - Brisbane'!F88),ISNUMBER('Offshore - Brisbane'!G88),OR('Offshore - Brisbane'!F88&lt;&gt;0,ISNUMBER(SEARCH("Material 0 terverifikasi",'Offshore - Brisbane'!N88))),OR('Offshore - Brisbane'!G88&lt;&gt;0,ISNUMBER(SEARCH("Enrolment 0 terverifikasi",'Offshore - Brisbane'!N88)))),1,0)</f>
        <v>0</v>
      </c>
      <c r="M902" s="0" t="n">
        <f aca="false">IF(OR('Offshore - Brisbane'!E88="",ISNUMBER(SEARCH("BSB80120",'Offshore - Brisbane'!B88&amp;'Offshore - Brisbane'!N88)),ISNUMBER(SEARCH("Management (Learning)",'Offshore - Brisbane'!B88))),2,IF(ISNUMBER(SEARCH("CEK:",'Offshore - Brisbane'!N88)),1,0))</f>
        <v>0</v>
      </c>
    </row>
    <row r="903" customFormat="false" ht="15" hidden="false" customHeight="false" outlineLevel="0" collapsed="false">
      <c r="A903" s="63" t="s">
        <v>3563</v>
      </c>
      <c r="B903" s="64" t="s">
        <v>4073</v>
      </c>
      <c r="C903" s="63" t="s">
        <v>43</v>
      </c>
      <c r="D903" s="64" t="str">
        <f aca="false">TRIM(LEFT('Offshore - Brisbane'!A308,FIND(CHAR(10),'Offshore - Brisbane'!A308&amp;CHAR(10))-1))</f>
        <v>Torrens University Australia</v>
      </c>
      <c r="E903" s="63" t="str">
        <f aca="false">'Offshore - Brisbane'!C342&amp;""</f>
        <v>3 years</v>
      </c>
      <c r="F903" s="63" t="str">
        <f aca="false">IF('Offshore - Brisbane'!D342="","Belum tercatat",'Offshore - Brisbane'!D342)</f>
        <v>Term</v>
      </c>
      <c r="G903" s="65" t="n">
        <f aca="false">IF('Offshore - Brisbane'!E342="","-",'Offshore - Brisbane'!E342)</f>
        <v>9375</v>
      </c>
      <c r="H903" s="63" t="n">
        <f aca="false">IF(ISNUMBER(K903),COUNTIFS($J$6:$J$1854,J903,$K$6:$K$1854,"&lt;"&amp;K903)+1,"-")</f>
        <v>3</v>
      </c>
      <c r="I903" s="64" t="str">
        <f aca="false">IF('Offshore - Brisbane'!E342="","Harga belum tersedia - hubungi konsultan TEG",IF(M903=2,"Saat ini tidak menerima pendaftaran siswa internasional baru",IF(M903=1,"Harga perlu dikonfirmasi ke sekolah"&amp;IF(""="","","; "&amp;""),"")))</f>
        <v/>
      </c>
      <c r="J903" s="0" t="s">
        <v>4090</v>
      </c>
      <c r="K903" s="0" t="n">
        <f aca="false">IF(M903=2,"",IF(ISNUMBER(SEARCH("rata-rata:",'Offshore - Brisbane'!N342)),VALUE(MID('Offshore - Brisbane'!N342,SEARCH("rata-rata:",'Offshore - Brisbane'!N342)+11,FIND(";",'Offshore - Brisbane'!N342&amp;";",SEARCH("rata-rata:",'Offshore - Brisbane'!N342))-SEARCH("rata-rata:",'Offshore - Brisbane'!N342)-11)),IF('Offshore - Brisbane'!D342="Semester",'Offshore - Brisbane'!E342*2,IF('Offshore - Brisbane'!D342="Trimester",'Offshore - Brisbane'!E342*3,IF('Offshore - Brisbane'!D342="Term",'Offshore - Brisbane'!E342*4,IF('Offshore - Brisbane'!D342="Unit",'Offshore - Brisbane'!E342*8,""))))))</f>
        <v>37500</v>
      </c>
      <c r="L903" s="0" t="n">
        <f aca="false">IF(AND(ISNUMBER('Offshore - Brisbane'!E342),ISNUMBER(K903),ISNUMBER('Offshore - Brisbane'!F342),ISNUMBER('Offshore - Brisbane'!G342),OR('Offshore - Brisbane'!F342&lt;&gt;0,ISNUMBER(SEARCH("Material 0 terverifikasi",'Offshore - Brisbane'!N342))),OR('Offshore - Brisbane'!G342&lt;&gt;0,ISNUMBER(SEARCH("Enrolment 0 terverifikasi",'Offshore - Brisbane'!N342)))),1,0)</f>
        <v>0</v>
      </c>
      <c r="M903" s="0" t="n">
        <f aca="false">IF(OR('Offshore - Brisbane'!E342="",ISNUMBER(SEARCH("BSB80120",'Offshore - Brisbane'!B342&amp;'Offshore - Brisbane'!N342)),ISNUMBER(SEARCH("Management (Learning)",'Offshore - Brisbane'!B342))),2,IF(ISNUMBER(SEARCH("CEK:",'Offshore - Brisbane'!N342)),1,0))</f>
        <v>0</v>
      </c>
    </row>
    <row r="904" customFormat="false" ht="15" hidden="false" customHeight="false" outlineLevel="0" collapsed="false">
      <c r="A904" s="61" t="s">
        <v>4091</v>
      </c>
      <c r="B904" s="62"/>
      <c r="C904" s="62"/>
      <c r="D904" s="62"/>
      <c r="E904" s="62"/>
      <c r="F904" s="62"/>
      <c r="G904" s="62"/>
      <c r="H904" s="62"/>
      <c r="I904" s="62"/>
    </row>
    <row r="905" customFormat="false" ht="15" hidden="false" customHeight="false" outlineLevel="0" collapsed="false">
      <c r="A905" s="63" t="s">
        <v>3563</v>
      </c>
      <c r="B905" s="64" t="s">
        <v>4073</v>
      </c>
      <c r="C905" s="63" t="s">
        <v>46</v>
      </c>
      <c r="D905" s="64" t="str">
        <f aca="false">TRIM(LEFT('Offshore - Brisbane'!A53,FIND(CHAR(10),'Offshore - Brisbane'!A53&amp;CHAR(10))-1))</f>
        <v>Australian Catholic University (ACU)</v>
      </c>
      <c r="E905" s="63" t="str">
        <f aca="false">'Offshore - Brisbane'!C108&amp;""</f>
        <v>2 years</v>
      </c>
      <c r="F905" s="63" t="str">
        <f aca="false">IF('Offshore - Brisbane'!D108="","Belum tercatat",'Offshore - Brisbane'!D108)</f>
        <v>Term</v>
      </c>
      <c r="G905" s="65" t="n">
        <f aca="false">IF('Offshore - Brisbane'!E108="","-",'Offshore - Brisbane'!E108)</f>
        <v>8906</v>
      </c>
      <c r="H905" s="63" t="n">
        <f aca="false">IF(ISNUMBER(K905),COUNTIFS($J$6:$J$1854,J905,$K$6:$K$1854,"&lt;"&amp;K905)+1,"-")</f>
        <v>1</v>
      </c>
      <c r="I905" s="64" t="str">
        <f aca="false">IF('Offshore - Brisbane'!E108="","Harga belum tersedia - hubungi konsultan TEG",IF(M905=2,"Saat ini tidak menerima pendaftaran siswa internasional baru",IF(M905=1,"Harga perlu dikonfirmasi ke sekolah"&amp;IF(""="","","; "&amp;""),"")))</f>
        <v/>
      </c>
      <c r="J905" s="0" t="s">
        <v>4092</v>
      </c>
      <c r="K905" s="0" t="n">
        <f aca="false">IF(M905=2,"",IF(ISNUMBER(SEARCH("rata-rata:",'Offshore - Brisbane'!N108)),VALUE(MID('Offshore - Brisbane'!N108,SEARCH("rata-rata:",'Offshore - Brisbane'!N108)+11,FIND(";",'Offshore - Brisbane'!N108&amp;";",SEARCH("rata-rata:",'Offshore - Brisbane'!N108))-SEARCH("rata-rata:",'Offshore - Brisbane'!N108)-11)),IF('Offshore - Brisbane'!D108="Semester",'Offshore - Brisbane'!E108*2,IF('Offshore - Brisbane'!D108="Trimester",'Offshore - Brisbane'!E108*3,IF('Offshore - Brisbane'!D108="Term",'Offshore - Brisbane'!E108*4,IF('Offshore - Brisbane'!D108="Unit",'Offshore - Brisbane'!E108*8,""))))))</f>
        <v>35624</v>
      </c>
      <c r="L905" s="0" t="n">
        <f aca="false">IF(AND(ISNUMBER('Offshore - Brisbane'!E108),ISNUMBER(K905),ISNUMBER('Offshore - Brisbane'!F108),ISNUMBER('Offshore - Brisbane'!G108),OR('Offshore - Brisbane'!F108&lt;&gt;0,ISNUMBER(SEARCH("Material 0 terverifikasi",'Offshore - Brisbane'!N108))),OR('Offshore - Brisbane'!G108&lt;&gt;0,ISNUMBER(SEARCH("Enrolment 0 terverifikasi",'Offshore - Brisbane'!N108)))),1,0)</f>
        <v>0</v>
      </c>
      <c r="M905" s="0" t="n">
        <f aca="false">IF(OR('Offshore - Brisbane'!E108="",ISNUMBER(SEARCH("BSB80120",'Offshore - Brisbane'!B108&amp;'Offshore - Brisbane'!N108)),ISNUMBER(SEARCH("Management (Learning)",'Offshore - Brisbane'!B108))),2,IF(ISNUMBER(SEARCH("CEK:",'Offshore - Brisbane'!N108)),1,0))</f>
        <v>0</v>
      </c>
    </row>
    <row r="906" customFormat="false" ht="15" hidden="false" customHeight="false" outlineLevel="0" collapsed="false">
      <c r="A906" s="61" t="s">
        <v>4093</v>
      </c>
      <c r="B906" s="62"/>
      <c r="C906" s="62"/>
      <c r="D906" s="62"/>
      <c r="E906" s="62"/>
      <c r="F906" s="62"/>
      <c r="G906" s="62"/>
      <c r="H906" s="62"/>
      <c r="I906" s="62"/>
    </row>
    <row r="907" customFormat="false" ht="15" hidden="false" customHeight="false" outlineLevel="0" collapsed="false">
      <c r="A907" s="63" t="s">
        <v>3718</v>
      </c>
      <c r="B907" s="64" t="s">
        <v>4073</v>
      </c>
      <c r="C907" s="63" t="s">
        <v>41</v>
      </c>
      <c r="D907" s="64" t="str">
        <f aca="false">TRIM(LEFT('Offshore - Canberra'!A6,FIND(CHAR(10),'Offshore - Canberra'!A6&amp;CHAR(10))-1))</f>
        <v>Australian Catholic University (ACU)</v>
      </c>
      <c r="E907" s="63" t="str">
        <f aca="false">'Offshore - Canberra'!C107&amp;""</f>
        <v>1 year</v>
      </c>
      <c r="F907" s="63" t="str">
        <f aca="false">IF('Offshore - Canberra'!D107="","Belum tercatat",'Offshore - Canberra'!D107)</f>
        <v>Term</v>
      </c>
      <c r="G907" s="65" t="n">
        <f aca="false">IF('Offshore - Canberra'!E107="","-",'Offshore - Canberra'!E107)</f>
        <v>8906</v>
      </c>
      <c r="H907" s="63" t="n">
        <f aca="false">IF(ISNUMBER(K907),COUNTIFS($J$6:$J$1854,J907,$K$6:$K$1854,"&lt;"&amp;K907)+1,"-")</f>
        <v>1</v>
      </c>
      <c r="I907" s="64" t="str">
        <f aca="false">IF('Offshore - Canberra'!E107="","Harga belum tersedia - hubungi konsultan TEG",IF(M907=2,"Saat ini tidak menerima pendaftaran siswa internasional baru",IF(M907=1,"Harga perlu dikonfirmasi ke sekolah"&amp;IF(""="","","; "&amp;""),"")))</f>
        <v/>
      </c>
      <c r="J907" s="0" t="s">
        <v>4094</v>
      </c>
      <c r="K907" s="0" t="n">
        <f aca="false">IF(M907=2,"",IF(ISNUMBER(SEARCH("rata-rata:",'Offshore - Canberra'!N107)),VALUE(MID('Offshore - Canberra'!N107,SEARCH("rata-rata:",'Offshore - Canberra'!N107)+11,FIND(";",'Offshore - Canberra'!N107&amp;";",SEARCH("rata-rata:",'Offshore - Canberra'!N107))-SEARCH("rata-rata:",'Offshore - Canberra'!N107)-11)),IF('Offshore - Canberra'!D107="Semester",'Offshore - Canberra'!E107*2,IF('Offshore - Canberra'!D107="Trimester",'Offshore - Canberra'!E107*3,IF('Offshore - Canberra'!D107="Term",'Offshore - Canberra'!E107*4,IF('Offshore - Canberra'!D107="Unit",'Offshore - Canberra'!E107*8,""))))))</f>
        <v>35624</v>
      </c>
      <c r="L907" s="0" t="n">
        <f aca="false">IF(AND(ISNUMBER('Offshore - Canberra'!E107),ISNUMBER(K907),ISNUMBER('Offshore - Canberra'!F107),ISNUMBER('Offshore - Canberra'!G107),OR('Offshore - Canberra'!F107&lt;&gt;0,ISNUMBER(SEARCH("Material 0 terverifikasi",'Offshore - Canberra'!N107))),OR('Offshore - Canberra'!G107&lt;&gt;0,ISNUMBER(SEARCH("Enrolment 0 terverifikasi",'Offshore - Canberra'!N107)))),1,0)</f>
        <v>0</v>
      </c>
      <c r="M907" s="0" t="n">
        <f aca="false">IF(OR('Offshore - Canberra'!E107="",ISNUMBER(SEARCH("BSB80120",'Offshore - Canberra'!B107&amp;'Offshore - Canberra'!N107)),ISNUMBER(SEARCH("Management (Learning)",'Offshore - Canberra'!B107))),2,IF(ISNUMBER(SEARCH("CEK:",'Offshore - Canberra'!N107)),1,0))</f>
        <v>0</v>
      </c>
    </row>
    <row r="908" customFormat="false" ht="15" hidden="false" customHeight="false" outlineLevel="0" collapsed="false">
      <c r="A908" s="61" t="s">
        <v>4095</v>
      </c>
      <c r="B908" s="62"/>
      <c r="C908" s="62"/>
      <c r="D908" s="62"/>
      <c r="E908" s="62"/>
      <c r="F908" s="62"/>
      <c r="G908" s="62"/>
      <c r="H908" s="62"/>
      <c r="I908" s="62"/>
    </row>
    <row r="909" customFormat="false" ht="15" hidden="false" customHeight="false" outlineLevel="0" collapsed="false">
      <c r="A909" s="63" t="s">
        <v>3718</v>
      </c>
      <c r="B909" s="64" t="s">
        <v>4073</v>
      </c>
      <c r="C909" s="63" t="s">
        <v>43</v>
      </c>
      <c r="D909" s="64" t="str">
        <f aca="false">TRIM(LEFT('Offshore - Canberra'!A6,FIND(CHAR(10),'Offshore - Canberra'!A6&amp;CHAR(10))-1))</f>
        <v>Australian Catholic University (ACU)</v>
      </c>
      <c r="E909" s="63" t="str">
        <f aca="false">'Offshore - Canberra'!C41&amp;""</f>
        <v>3 years</v>
      </c>
      <c r="F909" s="63" t="str">
        <f aca="false">IF('Offshore - Canberra'!D41="","Belum tercatat",'Offshore - Canberra'!D41)</f>
        <v>Term</v>
      </c>
      <c r="G909" s="65" t="n">
        <f aca="false">IF('Offshore - Canberra'!E41="","-",'Offshore - Canberra'!E41)</f>
        <v>8906</v>
      </c>
      <c r="H909" s="63" t="n">
        <f aca="false">IF(ISNUMBER(K909),COUNTIFS($J$6:$J$1854,J909,$K$6:$K$1854,"&lt;"&amp;K909)+1,"-")</f>
        <v>1</v>
      </c>
      <c r="I909" s="64" t="str">
        <f aca="false">IF('Offshore - Canberra'!E41="","Harga belum tersedia - hubungi konsultan TEG",IF(M909=2,"Saat ini tidak menerima pendaftaran siswa internasional baru",IF(M909=1,"Harga perlu dikonfirmasi ke sekolah"&amp;IF(""="","","; "&amp;""),"")))</f>
        <v/>
      </c>
      <c r="J909" s="0" t="s">
        <v>4096</v>
      </c>
      <c r="K909" s="0" t="n">
        <f aca="false">IF(M909=2,"",IF(ISNUMBER(SEARCH("rata-rata:",'Offshore - Canberra'!N41)),VALUE(MID('Offshore - Canberra'!N41,SEARCH("rata-rata:",'Offshore - Canberra'!N41)+11,FIND(";",'Offshore - Canberra'!N41&amp;";",SEARCH("rata-rata:",'Offshore - Canberra'!N41))-SEARCH("rata-rata:",'Offshore - Canberra'!N41)-11)),IF('Offshore - Canberra'!D41="Semester",'Offshore - Canberra'!E41*2,IF('Offshore - Canberra'!D41="Trimester",'Offshore - Canberra'!E41*3,IF('Offshore - Canberra'!D41="Term",'Offshore - Canberra'!E41*4,IF('Offshore - Canberra'!D41="Unit",'Offshore - Canberra'!E41*8,""))))))</f>
        <v>35624</v>
      </c>
      <c r="L909" s="0" t="n">
        <f aca="false">IF(AND(ISNUMBER('Offshore - Canberra'!E41),ISNUMBER(K909),ISNUMBER('Offshore - Canberra'!F41),ISNUMBER('Offshore - Canberra'!G41),OR('Offshore - Canberra'!F41&lt;&gt;0,ISNUMBER(SEARCH("Material 0 terverifikasi",'Offshore - Canberra'!N41))),OR('Offshore - Canberra'!G41&lt;&gt;0,ISNUMBER(SEARCH("Enrolment 0 terverifikasi",'Offshore - Canberra'!N41)))),1,0)</f>
        <v>0</v>
      </c>
      <c r="M909" s="0" t="n">
        <f aca="false">IF(OR('Offshore - Canberra'!E41="",ISNUMBER(SEARCH("BSB80120",'Offshore - Canberra'!B41&amp;'Offshore - Canberra'!N41)),ISNUMBER(SEARCH("Management (Learning)",'Offshore - Canberra'!B41))),2,IF(ISNUMBER(SEARCH("CEK:",'Offshore - Canberra'!N41)),1,0))</f>
        <v>0</v>
      </c>
    </row>
    <row r="910" customFormat="false" ht="15" hidden="false" customHeight="false" outlineLevel="0" collapsed="false">
      <c r="A910" s="61" t="s">
        <v>4097</v>
      </c>
      <c r="B910" s="62"/>
      <c r="C910" s="62"/>
      <c r="D910" s="62"/>
      <c r="E910" s="62"/>
      <c r="F910" s="62"/>
      <c r="G910" s="62"/>
      <c r="H910" s="62"/>
      <c r="I910" s="62"/>
    </row>
    <row r="911" customFormat="false" ht="15" hidden="false" customHeight="false" outlineLevel="0" collapsed="false">
      <c r="A911" s="63" t="s">
        <v>3718</v>
      </c>
      <c r="B911" s="64" t="s">
        <v>4073</v>
      </c>
      <c r="C911" s="63" t="s">
        <v>46</v>
      </c>
      <c r="D911" s="64" t="str">
        <f aca="false">TRIM(LEFT('Offshore - Canberra'!A6,FIND(CHAR(10),'Offshore - Canberra'!A6&amp;CHAR(10))-1))</f>
        <v>Australian Catholic University (ACU)</v>
      </c>
      <c r="E911" s="63" t="str">
        <f aca="false">'Offshore - Canberra'!C61&amp;""</f>
        <v>2 years</v>
      </c>
      <c r="F911" s="63" t="str">
        <f aca="false">IF('Offshore - Canberra'!D61="","Belum tercatat",'Offshore - Canberra'!D61)</f>
        <v>Term</v>
      </c>
      <c r="G911" s="65" t="n">
        <f aca="false">IF('Offshore - Canberra'!E61="","-",'Offshore - Canberra'!E61)</f>
        <v>8906</v>
      </c>
      <c r="H911" s="63" t="n">
        <f aca="false">IF(ISNUMBER(K911),COUNTIFS($J$6:$J$1854,J911,$K$6:$K$1854,"&lt;"&amp;K911)+1,"-")</f>
        <v>1</v>
      </c>
      <c r="I911" s="64" t="str">
        <f aca="false">IF('Offshore - Canberra'!E61="","Harga belum tersedia - hubungi konsultan TEG",IF(M911=2,"Saat ini tidak menerima pendaftaran siswa internasional baru",IF(M911=1,"Harga perlu dikonfirmasi ke sekolah"&amp;IF(""="","","; "&amp;""),"")))</f>
        <v/>
      </c>
      <c r="J911" s="0" t="s">
        <v>4098</v>
      </c>
      <c r="K911" s="0" t="n">
        <f aca="false">IF(M911=2,"",IF(ISNUMBER(SEARCH("rata-rata:",'Offshore - Canberra'!N61)),VALUE(MID('Offshore - Canberra'!N61,SEARCH("rata-rata:",'Offshore - Canberra'!N61)+11,FIND(";",'Offshore - Canberra'!N61&amp;";",SEARCH("rata-rata:",'Offshore - Canberra'!N61))-SEARCH("rata-rata:",'Offshore - Canberra'!N61)-11)),IF('Offshore - Canberra'!D61="Semester",'Offshore - Canberra'!E61*2,IF('Offshore - Canberra'!D61="Trimester",'Offshore - Canberra'!E61*3,IF('Offshore - Canberra'!D61="Term",'Offshore - Canberra'!E61*4,IF('Offshore - Canberra'!D61="Unit",'Offshore - Canberra'!E61*8,""))))))</f>
        <v>35624</v>
      </c>
      <c r="L911" s="0" t="n">
        <f aca="false">IF(AND(ISNUMBER('Offshore - Canberra'!E61),ISNUMBER(K911),ISNUMBER('Offshore - Canberra'!F61),ISNUMBER('Offshore - Canberra'!G61),OR('Offshore - Canberra'!F61&lt;&gt;0,ISNUMBER(SEARCH("Material 0 terverifikasi",'Offshore - Canberra'!N61))),OR('Offshore - Canberra'!G61&lt;&gt;0,ISNUMBER(SEARCH("Enrolment 0 terverifikasi",'Offshore - Canberra'!N61)))),1,0)</f>
        <v>0</v>
      </c>
      <c r="M911" s="0" t="n">
        <f aca="false">IF(OR('Offshore - Canberra'!E61="",ISNUMBER(SEARCH("BSB80120",'Offshore - Canberra'!B61&amp;'Offshore - Canberra'!N61)),ISNUMBER(SEARCH("Management (Learning)",'Offshore - Canberra'!B61))),2,IF(ISNUMBER(SEARCH("CEK:",'Offshore - Canberra'!N61)),1,0))</f>
        <v>0</v>
      </c>
    </row>
    <row r="912" customFormat="false" ht="15" hidden="false" customHeight="false" outlineLevel="0" collapsed="false">
      <c r="A912" s="61" t="s">
        <v>4099</v>
      </c>
      <c r="B912" s="62"/>
      <c r="C912" s="62"/>
      <c r="D912" s="62"/>
      <c r="E912" s="62"/>
      <c r="F912" s="62"/>
      <c r="G912" s="62"/>
      <c r="H912" s="62"/>
      <c r="I912" s="62"/>
    </row>
    <row r="913" customFormat="false" ht="15" hidden="false" customHeight="false" outlineLevel="0" collapsed="false">
      <c r="A913" s="63" t="s">
        <v>3583</v>
      </c>
      <c r="B913" s="64" t="s">
        <v>4073</v>
      </c>
      <c r="C913" s="63" t="s">
        <v>43</v>
      </c>
      <c r="D913" s="64" t="str">
        <f aca="false">TRIM(LEFT('Offshore - Darwin'!A20,FIND(CHAR(10),'Offshore - Darwin'!A20&amp;CHAR(10))-1))</f>
        <v>Charles Darwin University (CDU)</v>
      </c>
      <c r="E913" s="63" t="str">
        <f aca="false">'Offshore - Darwin'!C23&amp;""</f>
        <v>3 years</v>
      </c>
      <c r="F913" s="63" t="str">
        <f aca="false">IF('Offshore - Darwin'!D23="","Belum tercatat",'Offshore - Darwin'!D23)</f>
        <v>Term</v>
      </c>
      <c r="G913" s="65" t="n">
        <f aca="false">IF('Offshore - Darwin'!E23="","-",'Offshore - Darwin'!E23)</f>
        <v>7526</v>
      </c>
      <c r="H913" s="63" t="n">
        <f aca="false">IF(ISNUMBER(K913),COUNTIFS($J$6:$J$1854,J913,$K$6:$K$1854,"&lt;"&amp;K913)+1,"-")</f>
        <v>1</v>
      </c>
      <c r="I913" s="64" t="str">
        <f aca="false">IF('Offshore - Darwin'!E23="","Harga belum tersedia - hubungi konsultan TEG",IF(M913=2,"Saat ini tidak menerima pendaftaran siswa internasional baru",IF(M913=1,"Harga perlu dikonfirmasi ke sekolah"&amp;IF(""="","","; "&amp;""),"")))</f>
        <v/>
      </c>
      <c r="J913" s="0" t="s">
        <v>4100</v>
      </c>
      <c r="K913" s="0" t="n">
        <f aca="false">IF(M913=2,"",IF(ISNUMBER(SEARCH("rata-rata:",'Offshore - Darwin'!N23)),VALUE(MID('Offshore - Darwin'!N23,SEARCH("rata-rata:",'Offshore - Darwin'!N23)+11,FIND(";",'Offshore - Darwin'!N23&amp;";",SEARCH("rata-rata:",'Offshore - Darwin'!N23))-SEARCH("rata-rata:",'Offshore - Darwin'!N23)-11)),IF('Offshore - Darwin'!D23="Semester",'Offshore - Darwin'!E23*2,IF('Offshore - Darwin'!D23="Trimester",'Offshore - Darwin'!E23*3,IF('Offshore - Darwin'!D23="Term",'Offshore - Darwin'!E23*4,IF('Offshore - Darwin'!D23="Unit",'Offshore - Darwin'!E23*8,""))))))</f>
        <v>30104</v>
      </c>
      <c r="L913" s="0" t="n">
        <f aca="false">IF(AND(ISNUMBER('Offshore - Darwin'!E23),ISNUMBER(K913),ISNUMBER('Offshore - Darwin'!F23),ISNUMBER('Offshore - Darwin'!G23),OR('Offshore - Darwin'!F23&lt;&gt;0,ISNUMBER(SEARCH("Material 0 terverifikasi",'Offshore - Darwin'!N23))),OR('Offshore - Darwin'!G23&lt;&gt;0,ISNUMBER(SEARCH("Enrolment 0 terverifikasi",'Offshore - Darwin'!N23)))),1,0)</f>
        <v>0</v>
      </c>
      <c r="M913" s="0" t="n">
        <f aca="false">IF(OR('Offshore - Darwin'!E23="",ISNUMBER(SEARCH("BSB80120",'Offshore - Darwin'!B23&amp;'Offshore - Darwin'!N23)),ISNUMBER(SEARCH("Management (Learning)",'Offshore - Darwin'!B23))),2,IF(ISNUMBER(SEARCH("CEK:",'Offshore - Darwin'!N23)),1,0))</f>
        <v>0</v>
      </c>
    </row>
    <row r="914" customFormat="false" ht="15" hidden="false" customHeight="false" outlineLevel="0" collapsed="false">
      <c r="A914" s="61" t="s">
        <v>4101</v>
      </c>
      <c r="B914" s="62"/>
      <c r="C914" s="62"/>
      <c r="D914" s="62"/>
      <c r="E914" s="62"/>
      <c r="F914" s="62"/>
      <c r="G914" s="62"/>
      <c r="H914" s="62"/>
      <c r="I914" s="62"/>
    </row>
    <row r="915" customFormat="false" ht="15" hidden="false" customHeight="false" outlineLevel="0" collapsed="false">
      <c r="A915" s="63" t="s">
        <v>3544</v>
      </c>
      <c r="B915" s="64" t="s">
        <v>4073</v>
      </c>
      <c r="C915" s="63" t="s">
        <v>41</v>
      </c>
      <c r="D915" s="64" t="str">
        <f aca="false">TRIM(LEFT('Offshore - Melbourne'!A18,FIND(CHAR(10),'Offshore - Melbourne'!A18&amp;CHAR(10))-1))</f>
        <v>Academy of Interactive Technology (AIT)</v>
      </c>
      <c r="E915" s="63" t="str">
        <f aca="false">'Offshore - Melbourne'!C23&amp;""</f>
        <v>1 year</v>
      </c>
      <c r="F915" s="63" t="str">
        <f aca="false">IF('Offshore - Melbourne'!D23="","Belum tercatat",'Offshore - Melbourne'!D23)</f>
        <v>Term</v>
      </c>
      <c r="G915" s="65" t="n">
        <f aca="false">IF('Offshore - Melbourne'!E23="","-",'Offshore - Melbourne'!E23)</f>
        <v>5750</v>
      </c>
      <c r="H915" s="63" t="n">
        <f aca="false">IF(ISNUMBER(K915),COUNTIFS($J$6:$J$1854,J915,$K$6:$K$1854,"&lt;"&amp;K915)+1,"-")</f>
        <v>1</v>
      </c>
      <c r="I915" s="64" t="str">
        <f aca="false">IF('Offshore - Melbourne'!E23="","Harga belum tersedia - hubungi konsultan TEG",IF(M915=2,"Saat ini tidak menerima pendaftaran siswa internasional baru",IF(M915=1,"Harga perlu dikonfirmasi ke sekolah"&amp;IF(""="","","; "&amp;""),"")))</f>
        <v>Harga perlu dikonfirmasi ke sekolah</v>
      </c>
      <c r="J915" s="0" t="s">
        <v>4102</v>
      </c>
      <c r="K915" s="0" t="n">
        <f aca="false">IF(M915=2,"",IF(ISNUMBER(SEARCH("rata-rata:",'Offshore - Melbourne'!N23)),VALUE(MID('Offshore - Melbourne'!N23,SEARCH("rata-rata:",'Offshore - Melbourne'!N23)+11,FIND(";",'Offshore - Melbourne'!N23&amp;";",SEARCH("rata-rata:",'Offshore - Melbourne'!N23))-SEARCH("rata-rata:",'Offshore - Melbourne'!N23)-11)),IF('Offshore - Melbourne'!D23="Semester",'Offshore - Melbourne'!E23*2,IF('Offshore - Melbourne'!D23="Trimester",'Offshore - Melbourne'!E23*3,IF('Offshore - Melbourne'!D23="Term",'Offshore - Melbourne'!E23*4,IF('Offshore - Melbourne'!D23="Unit",'Offshore - Melbourne'!E23*8,""))))))</f>
        <v>23000</v>
      </c>
      <c r="L915" s="0" t="n">
        <f aca="false">IF(AND(ISNUMBER('Offshore - Melbourne'!E23),ISNUMBER(K915),ISNUMBER('Offshore - Melbourne'!F23),ISNUMBER('Offshore - Melbourne'!G23),OR('Offshore - Melbourne'!F23&lt;&gt;0,ISNUMBER(SEARCH("Material 0 terverifikasi",'Offshore - Melbourne'!N23))),OR('Offshore - Melbourne'!G23&lt;&gt;0,ISNUMBER(SEARCH("Enrolment 0 terverifikasi",'Offshore - Melbourne'!N23)))),1,0)</f>
        <v>0</v>
      </c>
      <c r="M915" s="0" t="n">
        <f aca="false">IF(OR('Offshore - Melbourne'!E23="",ISNUMBER(SEARCH("BSB80120",'Offshore - Melbourne'!B23&amp;'Offshore - Melbourne'!N23)),ISNUMBER(SEARCH("Management (Learning)",'Offshore - Melbourne'!B23))),2,IF(ISNUMBER(SEARCH("CEK:",'Offshore - Melbourne'!N23)),1,0))</f>
        <v>1</v>
      </c>
    </row>
    <row r="916" customFormat="false" ht="15" hidden="false" customHeight="false" outlineLevel="0" collapsed="false">
      <c r="A916" s="63" t="s">
        <v>3544</v>
      </c>
      <c r="B916" s="64" t="s">
        <v>4073</v>
      </c>
      <c r="C916" s="63" t="s">
        <v>41</v>
      </c>
      <c r="D916" s="64" t="str">
        <f aca="false">TRIM(LEFT('Offshore - Melbourne'!A443,FIND(CHAR(10),'Offshore - Melbourne'!A443&amp;CHAR(10))-1))</f>
        <v>Torrens University Australia</v>
      </c>
      <c r="E916" s="63" t="str">
        <f aca="false">'Offshore - Melbourne'!C485&amp;""</f>
        <v>1 year</v>
      </c>
      <c r="F916" s="63" t="str">
        <f aca="false">IF('Offshore - Melbourne'!D485="","Belum tercatat",'Offshore - Melbourne'!D485)</f>
        <v>Term</v>
      </c>
      <c r="G916" s="65" t="n">
        <f aca="false">IF('Offshore - Melbourne'!E485="","-",'Offshore - Melbourne'!E485)</f>
        <v>6250</v>
      </c>
      <c r="H916" s="63" t="n">
        <f aca="false">IF(ISNUMBER(K916),COUNTIFS($J$6:$J$1854,J916,$K$6:$K$1854,"&lt;"&amp;K916)+1,"-")</f>
        <v>2</v>
      </c>
      <c r="I916" s="64" t="str">
        <f aca="false">IF('Offshore - Melbourne'!E485="","Harga belum tersedia - hubungi konsultan TEG",IF(M916=2,"Saat ini tidak menerima pendaftaran siswa internasional baru",IF(M916=1,"Harga perlu dikonfirmasi ke sekolah"&amp;IF(""="","","; "&amp;""),"")))</f>
        <v/>
      </c>
      <c r="J916" s="0" t="s">
        <v>4102</v>
      </c>
      <c r="K916" s="0" t="n">
        <f aca="false">IF(M916=2,"",IF(ISNUMBER(SEARCH("rata-rata:",'Offshore - Melbourne'!N485)),VALUE(MID('Offshore - Melbourne'!N485,SEARCH("rata-rata:",'Offshore - Melbourne'!N485)+11,FIND(";",'Offshore - Melbourne'!N485&amp;";",SEARCH("rata-rata:",'Offshore - Melbourne'!N485))-SEARCH("rata-rata:",'Offshore - Melbourne'!N485)-11)),IF('Offshore - Melbourne'!D485="Semester",'Offshore - Melbourne'!E485*2,IF('Offshore - Melbourne'!D485="Trimester",'Offshore - Melbourne'!E485*3,IF('Offshore - Melbourne'!D485="Term",'Offshore - Melbourne'!E485*4,IF('Offshore - Melbourne'!D485="Unit",'Offshore - Melbourne'!E485*8,""))))))</f>
        <v>25000</v>
      </c>
      <c r="L916" s="0" t="n">
        <f aca="false">IF(AND(ISNUMBER('Offshore - Melbourne'!E485),ISNUMBER(K916),ISNUMBER('Offshore - Melbourne'!F485),ISNUMBER('Offshore - Melbourne'!G485),OR('Offshore - Melbourne'!F485&lt;&gt;0,ISNUMBER(SEARCH("Material 0 terverifikasi",'Offshore - Melbourne'!N485))),OR('Offshore - Melbourne'!G485&lt;&gt;0,ISNUMBER(SEARCH("Enrolment 0 terverifikasi",'Offshore - Melbourne'!N485)))),1,0)</f>
        <v>0</v>
      </c>
      <c r="M916" s="0" t="n">
        <f aca="false">IF(OR('Offshore - Melbourne'!E485="",ISNUMBER(SEARCH("BSB80120",'Offshore - Melbourne'!B485&amp;'Offshore - Melbourne'!N485)),ISNUMBER(SEARCH("Management (Learning)",'Offshore - Melbourne'!B485))),2,IF(ISNUMBER(SEARCH("CEK:",'Offshore - Melbourne'!N485)),1,0))</f>
        <v>0</v>
      </c>
    </row>
    <row r="917" customFormat="false" ht="15" hidden="false" customHeight="false" outlineLevel="0" collapsed="false">
      <c r="A917" s="63" t="s">
        <v>3544</v>
      </c>
      <c r="B917" s="64" t="s">
        <v>4073</v>
      </c>
      <c r="C917" s="63" t="s">
        <v>41</v>
      </c>
      <c r="D917" s="64" t="str">
        <f aca="false">TRIM(LEFT('Offshore - Melbourne'!A95,FIND(CHAR(10),'Offshore - Melbourne'!A95&amp;CHAR(10))-1))</f>
        <v>Australian Catholic University (ACU)</v>
      </c>
      <c r="E917" s="63" t="str">
        <f aca="false">'Offshore - Melbourne'!C196&amp;""</f>
        <v>1 year</v>
      </c>
      <c r="F917" s="63" t="str">
        <f aca="false">IF('Offshore - Melbourne'!D196="","Belum tercatat",'Offshore - Melbourne'!D196)</f>
        <v>Term</v>
      </c>
      <c r="G917" s="65" t="n">
        <f aca="false">IF('Offshore - Melbourne'!E196="","-",'Offshore - Melbourne'!E196)</f>
        <v>8906</v>
      </c>
      <c r="H917" s="63" t="n">
        <f aca="false">IF(ISNUMBER(K917),COUNTIFS($J$6:$J$1854,J917,$K$6:$K$1854,"&lt;"&amp;K917)+1,"-")</f>
        <v>3</v>
      </c>
      <c r="I917" s="64" t="str">
        <f aca="false">IF('Offshore - Melbourne'!E196="","Harga belum tersedia - hubungi konsultan TEG",IF(M917=2,"Saat ini tidak menerima pendaftaran siswa internasional baru",IF(M917=1,"Harga perlu dikonfirmasi ke sekolah"&amp;IF(""="","","; "&amp;""),"")))</f>
        <v/>
      </c>
      <c r="J917" s="0" t="s">
        <v>4102</v>
      </c>
      <c r="K917" s="0" t="n">
        <f aca="false">IF(M917=2,"",IF(ISNUMBER(SEARCH("rata-rata:",'Offshore - Melbourne'!N196)),VALUE(MID('Offshore - Melbourne'!N196,SEARCH("rata-rata:",'Offshore - Melbourne'!N196)+11,FIND(";",'Offshore - Melbourne'!N196&amp;";",SEARCH("rata-rata:",'Offshore - Melbourne'!N196))-SEARCH("rata-rata:",'Offshore - Melbourne'!N196)-11)),IF('Offshore - Melbourne'!D196="Semester",'Offshore - Melbourne'!E196*2,IF('Offshore - Melbourne'!D196="Trimester",'Offshore - Melbourne'!E196*3,IF('Offshore - Melbourne'!D196="Term",'Offshore - Melbourne'!E196*4,IF('Offshore - Melbourne'!D196="Unit",'Offshore - Melbourne'!E196*8,""))))))</f>
        <v>35624</v>
      </c>
      <c r="L917" s="0" t="n">
        <f aca="false">IF(AND(ISNUMBER('Offshore - Melbourne'!E196),ISNUMBER(K917),ISNUMBER('Offshore - Melbourne'!F196),ISNUMBER('Offshore - Melbourne'!G196),OR('Offshore - Melbourne'!F196&lt;&gt;0,ISNUMBER(SEARCH("Material 0 terverifikasi",'Offshore - Melbourne'!N196))),OR('Offshore - Melbourne'!G196&lt;&gt;0,ISNUMBER(SEARCH("Enrolment 0 terverifikasi",'Offshore - Melbourne'!N196)))),1,0)</f>
        <v>0</v>
      </c>
      <c r="M917" s="0" t="n">
        <f aca="false">IF(OR('Offshore - Melbourne'!E196="",ISNUMBER(SEARCH("BSB80120",'Offshore - Melbourne'!B196&amp;'Offshore - Melbourne'!N196)),ISNUMBER(SEARCH("Management (Learning)",'Offshore - Melbourne'!B196))),2,IF(ISNUMBER(SEARCH("CEK:",'Offshore - Melbourne'!N196)),1,0))</f>
        <v>0</v>
      </c>
    </row>
    <row r="918" customFormat="false" ht="15" hidden="false" customHeight="false" outlineLevel="0" collapsed="false">
      <c r="A918" s="61" t="s">
        <v>4103</v>
      </c>
      <c r="B918" s="62"/>
      <c r="C918" s="62"/>
      <c r="D918" s="62"/>
      <c r="E918" s="62"/>
      <c r="F918" s="62"/>
      <c r="G918" s="62"/>
      <c r="H918" s="62"/>
      <c r="I918" s="62"/>
    </row>
    <row r="919" customFormat="false" ht="15" hidden="false" customHeight="false" outlineLevel="0" collapsed="false">
      <c r="A919" s="63" t="s">
        <v>3544</v>
      </c>
      <c r="B919" s="64" t="s">
        <v>4073</v>
      </c>
      <c r="C919" s="63" t="s">
        <v>42</v>
      </c>
      <c r="D919" s="64" t="str">
        <f aca="false">TRIM(LEFT('Offshore - Melbourne'!A443,FIND(CHAR(10),'Offshore - Melbourne'!A443&amp;CHAR(10))-1))</f>
        <v>Torrens University Australia</v>
      </c>
      <c r="E919" s="63" t="str">
        <f aca="false">'Offshore - Melbourne'!C484&amp;""</f>
        <v>2 years</v>
      </c>
      <c r="F919" s="63" t="str">
        <f aca="false">IF('Offshore - Melbourne'!D484="","Belum tercatat",'Offshore - Melbourne'!D484)</f>
        <v>Term</v>
      </c>
      <c r="G919" s="65" t="n">
        <f aca="false">IF('Offshore - Melbourne'!E484="","-",'Offshore - Melbourne'!E484)</f>
        <v>6250</v>
      </c>
      <c r="H919" s="63" t="n">
        <f aca="false">IF(ISNUMBER(K919),COUNTIFS($J$6:$J$1854,J919,$K$6:$K$1854,"&lt;"&amp;K919)+1,"-")</f>
        <v>1</v>
      </c>
      <c r="I919" s="64" t="str">
        <f aca="false">IF('Offshore - Melbourne'!E484="","Harga belum tersedia - hubungi konsultan TEG",IF(M919=2,"Saat ini tidak menerima pendaftaran siswa internasional baru",IF(M919=1,"Harga perlu dikonfirmasi ke sekolah"&amp;IF(""="","","; "&amp;""),"")))</f>
        <v/>
      </c>
      <c r="J919" s="0" t="s">
        <v>4104</v>
      </c>
      <c r="K919" s="0" t="n">
        <f aca="false">IF(M919=2,"",IF(ISNUMBER(SEARCH("rata-rata:",'Offshore - Melbourne'!N484)),VALUE(MID('Offshore - Melbourne'!N484,SEARCH("rata-rata:",'Offshore - Melbourne'!N484)+11,FIND(";",'Offshore - Melbourne'!N484&amp;";",SEARCH("rata-rata:",'Offshore - Melbourne'!N484))-SEARCH("rata-rata:",'Offshore - Melbourne'!N484)-11)),IF('Offshore - Melbourne'!D484="Semester",'Offshore - Melbourne'!E484*2,IF('Offshore - Melbourne'!D484="Trimester",'Offshore - Melbourne'!E484*3,IF('Offshore - Melbourne'!D484="Term",'Offshore - Melbourne'!E484*4,IF('Offshore - Melbourne'!D484="Unit",'Offshore - Melbourne'!E484*8,""))))))</f>
        <v>25000</v>
      </c>
      <c r="L919" s="0" t="n">
        <f aca="false">IF(AND(ISNUMBER('Offshore - Melbourne'!E484),ISNUMBER(K919),ISNUMBER('Offshore - Melbourne'!F484),ISNUMBER('Offshore - Melbourne'!G484),OR('Offshore - Melbourne'!F484&lt;&gt;0,ISNUMBER(SEARCH("Material 0 terverifikasi",'Offshore - Melbourne'!N484))),OR('Offshore - Melbourne'!G484&lt;&gt;0,ISNUMBER(SEARCH("Enrolment 0 terverifikasi",'Offshore - Melbourne'!N484)))),1,0)</f>
        <v>0</v>
      </c>
      <c r="M919" s="0" t="n">
        <f aca="false">IF(OR('Offshore - Melbourne'!E484="",ISNUMBER(SEARCH("BSB80120",'Offshore - Melbourne'!B484&amp;'Offshore - Melbourne'!N484)),ISNUMBER(SEARCH("Management (Learning)",'Offshore - Melbourne'!B484))),2,IF(ISNUMBER(SEARCH("CEK:",'Offshore - Melbourne'!N484)),1,0))</f>
        <v>0</v>
      </c>
    </row>
    <row r="920" customFormat="false" ht="15" hidden="false" customHeight="false" outlineLevel="0" collapsed="false">
      <c r="A920" s="61" t="s">
        <v>4105</v>
      </c>
      <c r="B920" s="62"/>
      <c r="C920" s="62"/>
      <c r="D920" s="62"/>
      <c r="E920" s="62"/>
      <c r="F920" s="62"/>
      <c r="G920" s="62"/>
      <c r="H920" s="62"/>
      <c r="I920" s="62"/>
    </row>
    <row r="921" customFormat="false" ht="55.2" hidden="false" customHeight="false" outlineLevel="0" collapsed="false">
      <c r="A921" s="63" t="s">
        <v>3544</v>
      </c>
      <c r="B921" s="64" t="s">
        <v>4073</v>
      </c>
      <c r="C921" s="63" t="s">
        <v>43</v>
      </c>
      <c r="D921" s="64" t="str">
        <f aca="false">TRIM(LEFT('Offshore - Melbourne'!A280,FIND(CHAR(10),'Offshore - Melbourne'!A280&amp;CHAR(10))-1))</f>
        <v>Greenwich Higher Education (Academy of Interactive Technology Pty Ltd)</v>
      </c>
      <c r="E921" s="63" t="str">
        <f aca="false">'Offshore - Melbourne'!C281&amp;""</f>
        <v>3 years</v>
      </c>
      <c r="F921" s="63" t="str">
        <f aca="false">IF('Offshore - Melbourne'!D281="","Belum tercatat",'Offshore - Melbourne'!D281)</f>
        <v>Unit</v>
      </c>
      <c r="G921" s="65" t="n">
        <f aca="false">IF('Offshore - Melbourne'!E281="","-",'Offshore - Melbourne'!E281)</f>
        <v>2012.5</v>
      </c>
      <c r="H921" s="63" t="n">
        <f aca="false">IF(ISNUMBER(K921),COUNTIFS($J$6:$J$1854,J921,$K$6:$K$1854,"&lt;"&amp;K921)+1,"-")</f>
        <v>1</v>
      </c>
      <c r="I921" s="64" t="str">
        <f aca="false">IF('Offshore - Melbourne'!E281="","Harga belum tersedia - hubungi konsultan TEG",IF(M921=2,"Saat ini tidak menerima pendaftaran siswa internasional baru",IF(M921=1,"Harga perlu dikonfirmasi ke sekolah"&amp;IF("Harga promo s.d. 13/09/2027; Harga dihitung per unit; total tergantung jumlah unit yang diambil; Sudah termasuk beasiswa 30% (syarat berlaku)"="","","; "&amp;"Harga promo s.d. 13/09/2027; Harga dihitung per unit; total tergantung jumlah unit yang diambil; Sudah termasuk beasiswa 30% (syarat berlaku)"),"Harga promo s.d. 13/09/2027; Harga dihitung per unit; total tergantung jumlah unit yang diambil; Sudah termasuk beasiswa 30% (syarat berlaku)")))</f>
        <v>Harga promo s.d. 13/09/2027; Harga dihitung per unit; total tergantung jumlah unit yang diambil; Sudah termasuk beasiswa 30% (syarat berlaku)</v>
      </c>
      <c r="J921" s="0" t="s">
        <v>4106</v>
      </c>
      <c r="K921" s="0" t="n">
        <f aca="false">IF(M921=2,"",IF(ISNUMBER(SEARCH("rata-rata:",'Offshore - Melbourne'!N281)),VALUE(MID('Offshore - Melbourne'!N281,SEARCH("rata-rata:",'Offshore - Melbourne'!N281)+11,FIND(";",'Offshore - Melbourne'!N281&amp;";",SEARCH("rata-rata:",'Offshore - Melbourne'!N281))-SEARCH("rata-rata:",'Offshore - Melbourne'!N281)-11)),IF('Offshore - Melbourne'!D281="Semester",'Offshore - Melbourne'!E281*2,IF('Offshore - Melbourne'!D281="Trimester",'Offshore - Melbourne'!E281*3,IF('Offshore - Melbourne'!D281="Term",'Offshore - Melbourne'!E281*4,IF('Offshore - Melbourne'!D281="Unit",'Offshore - Melbourne'!E281*8,""))))))</f>
        <v>16100</v>
      </c>
      <c r="L921" s="0" t="n">
        <f aca="false">IF(AND(ISNUMBER('Offshore - Melbourne'!E281),ISNUMBER(K921),ISNUMBER('Offshore - Melbourne'!F281),ISNUMBER('Offshore - Melbourne'!G281),OR('Offshore - Melbourne'!F281&lt;&gt;0,ISNUMBER(SEARCH("Material 0 terverifikasi",'Offshore - Melbourne'!N281))),OR('Offshore - Melbourne'!G281&lt;&gt;0,ISNUMBER(SEARCH("Enrolment 0 terverifikasi",'Offshore - Melbourne'!N281)))),1,0)</f>
        <v>1</v>
      </c>
      <c r="M921" s="0" t="n">
        <f aca="false">IF(OR('Offshore - Melbourne'!E281="",ISNUMBER(SEARCH("BSB80120",'Offshore - Melbourne'!B281&amp;'Offshore - Melbourne'!N281)),ISNUMBER(SEARCH("Management (Learning)",'Offshore - Melbourne'!B281))),2,IF(ISNUMBER(SEARCH("CEK:",'Offshore - Melbourne'!N281)),1,0))</f>
        <v>0</v>
      </c>
    </row>
    <row r="922" customFormat="false" ht="15" hidden="false" customHeight="false" outlineLevel="0" collapsed="false">
      <c r="A922" s="63" t="s">
        <v>3544</v>
      </c>
      <c r="B922" s="64" t="s">
        <v>4073</v>
      </c>
      <c r="C922" s="63" t="s">
        <v>43</v>
      </c>
      <c r="D922" s="64" t="str">
        <f aca="false">TRIM(LEFT('Offshore - Melbourne'!A18,FIND(CHAR(10),'Offshore - Melbourne'!A18&amp;CHAR(10))-1))</f>
        <v>Academy of Interactive Technology (AIT)</v>
      </c>
      <c r="E922" s="63" t="str">
        <f aca="false">'Offshore - Melbourne'!C18&amp;""</f>
        <v>3 years</v>
      </c>
      <c r="F922" s="63" t="str">
        <f aca="false">IF('Offshore - Melbourne'!D18="","Belum tercatat",'Offshore - Melbourne'!D18)</f>
        <v>Term</v>
      </c>
      <c r="G922" s="65" t="n">
        <f aca="false">IF('Offshore - Melbourne'!E18="","-",'Offshore - Melbourne'!E18)</f>
        <v>5750</v>
      </c>
      <c r="H922" s="63" t="n">
        <f aca="false">IF(ISNUMBER(K922),COUNTIFS($J$6:$J$1854,J922,$K$6:$K$1854,"&lt;"&amp;K922)+1,"-")</f>
        <v>2</v>
      </c>
      <c r="I922" s="64" t="str">
        <f aca="false">IF('Offshore - Melbourne'!E18="","Harga belum tersedia - hubungi konsultan TEG",IF(M922=2,"Saat ini tidak menerima pendaftaran siswa internasional baru",IF(M922=1,"Program perlu dikonfirmasi ketersediaannya"&amp;IF(""="","","; "&amp;""),"")))</f>
        <v>Program perlu dikonfirmasi ketersediaannya</v>
      </c>
      <c r="J922" s="0" t="s">
        <v>4106</v>
      </c>
      <c r="K922" s="0" t="n">
        <f aca="false">IF(M922=2,"",IF(ISNUMBER(SEARCH("rata-rata:",'Offshore - Melbourne'!N18)),VALUE(MID('Offshore - Melbourne'!N18,SEARCH("rata-rata:",'Offshore - Melbourne'!N18)+11,FIND(";",'Offshore - Melbourne'!N18&amp;";",SEARCH("rata-rata:",'Offshore - Melbourne'!N18))-SEARCH("rata-rata:",'Offshore - Melbourne'!N18)-11)),IF('Offshore - Melbourne'!D18="Semester",'Offshore - Melbourne'!E18*2,IF('Offshore - Melbourne'!D18="Trimester",'Offshore - Melbourne'!E18*3,IF('Offshore - Melbourne'!D18="Term",'Offshore - Melbourne'!E18*4,IF('Offshore - Melbourne'!D18="Unit",'Offshore - Melbourne'!E18*8,""))))))</f>
        <v>23000</v>
      </c>
      <c r="L922" s="0" t="n">
        <f aca="false">IF(AND(ISNUMBER('Offshore - Melbourne'!E18),ISNUMBER(K922),ISNUMBER('Offshore - Melbourne'!F18),ISNUMBER('Offshore - Melbourne'!G18),OR('Offshore - Melbourne'!F18&lt;&gt;0,ISNUMBER(SEARCH("Material 0 terverifikasi",'Offshore - Melbourne'!N18))),OR('Offshore - Melbourne'!G18&lt;&gt;0,ISNUMBER(SEARCH("Enrolment 0 terverifikasi",'Offshore - Melbourne'!N18)))),1,0)</f>
        <v>0</v>
      </c>
      <c r="M922" s="0" t="n">
        <f aca="false">IF(OR('Offshore - Melbourne'!E18="",ISNUMBER(SEARCH("BSB80120",'Offshore - Melbourne'!B18&amp;'Offshore - Melbourne'!N18)),ISNUMBER(SEARCH("Management (Learning)",'Offshore - Melbourne'!B18))),2,IF(ISNUMBER(SEARCH("CEK:",'Offshore - Melbourne'!N18)),1,0))</f>
        <v>1</v>
      </c>
    </row>
    <row r="923" customFormat="false" ht="15" hidden="false" customHeight="false" outlineLevel="0" collapsed="false">
      <c r="A923" s="63" t="s">
        <v>3544</v>
      </c>
      <c r="B923" s="64" t="s">
        <v>4073</v>
      </c>
      <c r="C923" s="63" t="s">
        <v>43</v>
      </c>
      <c r="D923" s="64" t="str">
        <f aca="false">TRIM(LEFT('Offshore - Melbourne'!A95,FIND(CHAR(10),'Offshore - Melbourne'!A95&amp;CHAR(10))-1))</f>
        <v>Australian Catholic University (ACU)</v>
      </c>
      <c r="E923" s="63" t="str">
        <f aca="false">'Offshore - Melbourne'!C130&amp;""</f>
        <v>3 years</v>
      </c>
      <c r="F923" s="63" t="str">
        <f aca="false">IF('Offshore - Melbourne'!D130="","Belum tercatat",'Offshore - Melbourne'!D130)</f>
        <v>Term</v>
      </c>
      <c r="G923" s="65" t="n">
        <f aca="false">IF('Offshore - Melbourne'!E130="","-",'Offshore - Melbourne'!E130)</f>
        <v>8906</v>
      </c>
      <c r="H923" s="63" t="n">
        <f aca="false">IF(ISNUMBER(K923),COUNTIFS($J$6:$J$1854,J923,$K$6:$K$1854,"&lt;"&amp;K923)+1,"-")</f>
        <v>3</v>
      </c>
      <c r="I923" s="64" t="str">
        <f aca="false">IF('Offshore - Melbourne'!E130="","Harga belum tersedia - hubungi konsultan TEG",IF(M923=2,"Saat ini tidak menerima pendaftaran siswa internasional baru",IF(M923=1,"Harga perlu dikonfirmasi ke sekolah"&amp;IF(""="","","; "&amp;""),"")))</f>
        <v/>
      </c>
      <c r="J923" s="0" t="s">
        <v>4106</v>
      </c>
      <c r="K923" s="0" t="n">
        <f aca="false">IF(M923=2,"",IF(ISNUMBER(SEARCH("rata-rata:",'Offshore - Melbourne'!N130)),VALUE(MID('Offshore - Melbourne'!N130,SEARCH("rata-rata:",'Offshore - Melbourne'!N130)+11,FIND(";",'Offshore - Melbourne'!N130&amp;";",SEARCH("rata-rata:",'Offshore - Melbourne'!N130))-SEARCH("rata-rata:",'Offshore - Melbourne'!N130)-11)),IF('Offshore - Melbourne'!D130="Semester",'Offshore - Melbourne'!E130*2,IF('Offshore - Melbourne'!D130="Trimester",'Offshore - Melbourne'!E130*3,IF('Offshore - Melbourne'!D130="Term",'Offshore - Melbourne'!E130*4,IF('Offshore - Melbourne'!D130="Unit",'Offshore - Melbourne'!E130*8,""))))))</f>
        <v>35624</v>
      </c>
      <c r="L923" s="0" t="n">
        <f aca="false">IF(AND(ISNUMBER('Offshore - Melbourne'!E130),ISNUMBER(K923),ISNUMBER('Offshore - Melbourne'!F130),ISNUMBER('Offshore - Melbourne'!G130),OR('Offshore - Melbourne'!F130&lt;&gt;0,ISNUMBER(SEARCH("Material 0 terverifikasi",'Offshore - Melbourne'!N130))),OR('Offshore - Melbourne'!G130&lt;&gt;0,ISNUMBER(SEARCH("Enrolment 0 terverifikasi",'Offshore - Melbourne'!N130)))),1,0)</f>
        <v>0</v>
      </c>
      <c r="M923" s="0" t="n">
        <f aca="false">IF(OR('Offshore - Melbourne'!E130="",ISNUMBER(SEARCH("BSB80120",'Offshore - Melbourne'!B130&amp;'Offshore - Melbourne'!N130)),ISNUMBER(SEARCH("Management (Learning)",'Offshore - Melbourne'!B130))),2,IF(ISNUMBER(SEARCH("CEK:",'Offshore - Melbourne'!N130)),1,0))</f>
        <v>0</v>
      </c>
    </row>
    <row r="924" customFormat="false" ht="15" hidden="false" customHeight="false" outlineLevel="0" collapsed="false">
      <c r="A924" s="63" t="s">
        <v>3544</v>
      </c>
      <c r="B924" s="64" t="s">
        <v>4073</v>
      </c>
      <c r="C924" s="63" t="s">
        <v>43</v>
      </c>
      <c r="D924" s="64" t="str">
        <f aca="false">TRIM(LEFT('Offshore - Melbourne'!A443,FIND(CHAR(10),'Offshore - Melbourne'!A443&amp;CHAR(10))-1))</f>
        <v>Torrens University Australia</v>
      </c>
      <c r="E924" s="63" t="str">
        <f aca="false">'Offshore - Melbourne'!C482&amp;""</f>
        <v>3 years</v>
      </c>
      <c r="F924" s="63" t="str">
        <f aca="false">IF('Offshore - Melbourne'!D482="","Belum tercatat",'Offshore - Melbourne'!D482)</f>
        <v>Term</v>
      </c>
      <c r="G924" s="65" t="n">
        <f aca="false">IF('Offshore - Melbourne'!E482="","-",'Offshore - Melbourne'!E482)</f>
        <v>9375</v>
      </c>
      <c r="H924" s="63" t="n">
        <f aca="false">IF(ISNUMBER(K924),COUNTIFS($J$6:$J$1854,J924,$K$6:$K$1854,"&lt;"&amp;K924)+1,"-")</f>
        <v>4</v>
      </c>
      <c r="I924" s="64" t="str">
        <f aca="false">IF('Offshore - Melbourne'!E482="","Harga belum tersedia - hubungi konsultan TEG",IF(M924=2,"Saat ini tidak menerima pendaftaran siswa internasional baru",IF(M924=1,"Harga perlu dikonfirmasi ke sekolah"&amp;IF(""="","","; "&amp;""),"")))</f>
        <v/>
      </c>
      <c r="J924" s="0" t="s">
        <v>4106</v>
      </c>
      <c r="K924" s="0" t="n">
        <f aca="false">IF(M924=2,"",IF(ISNUMBER(SEARCH("rata-rata:",'Offshore - Melbourne'!N482)),VALUE(MID('Offshore - Melbourne'!N482,SEARCH("rata-rata:",'Offshore - Melbourne'!N482)+11,FIND(";",'Offshore - Melbourne'!N482&amp;";",SEARCH("rata-rata:",'Offshore - Melbourne'!N482))-SEARCH("rata-rata:",'Offshore - Melbourne'!N482)-11)),IF('Offshore - Melbourne'!D482="Semester",'Offshore - Melbourne'!E482*2,IF('Offshore - Melbourne'!D482="Trimester",'Offshore - Melbourne'!E482*3,IF('Offshore - Melbourne'!D482="Term",'Offshore - Melbourne'!E482*4,IF('Offshore - Melbourne'!D482="Unit",'Offshore - Melbourne'!E482*8,""))))))</f>
        <v>37500</v>
      </c>
      <c r="L924" s="0" t="n">
        <f aca="false">IF(AND(ISNUMBER('Offshore - Melbourne'!E482),ISNUMBER(K924),ISNUMBER('Offshore - Melbourne'!F482),ISNUMBER('Offshore - Melbourne'!G482),OR('Offshore - Melbourne'!F482&lt;&gt;0,ISNUMBER(SEARCH("Material 0 terverifikasi",'Offshore - Melbourne'!N482))),OR('Offshore - Melbourne'!G482&lt;&gt;0,ISNUMBER(SEARCH("Enrolment 0 terverifikasi",'Offshore - Melbourne'!N482)))),1,0)</f>
        <v>0</v>
      </c>
      <c r="M924" s="0" t="n">
        <f aca="false">IF(OR('Offshore - Melbourne'!E482="",ISNUMBER(SEARCH("BSB80120",'Offshore - Melbourne'!B482&amp;'Offshore - Melbourne'!N482)),ISNUMBER(SEARCH("Management (Learning)",'Offshore - Melbourne'!B482))),2,IF(ISNUMBER(SEARCH("CEK:",'Offshore - Melbourne'!N482)),1,0))</f>
        <v>0</v>
      </c>
    </row>
    <row r="925" customFormat="false" ht="15" hidden="false" customHeight="false" outlineLevel="0" collapsed="false">
      <c r="A925" s="61" t="s">
        <v>4107</v>
      </c>
      <c r="B925" s="62"/>
      <c r="C925" s="62"/>
      <c r="D925" s="62"/>
      <c r="E925" s="62"/>
      <c r="F925" s="62"/>
      <c r="G925" s="62"/>
      <c r="H925" s="62"/>
      <c r="I925" s="62"/>
    </row>
    <row r="926" customFormat="false" ht="15" hidden="false" customHeight="false" outlineLevel="0" collapsed="false">
      <c r="A926" s="63" t="s">
        <v>3544</v>
      </c>
      <c r="B926" s="64" t="s">
        <v>4073</v>
      </c>
      <c r="C926" s="63" t="s">
        <v>46</v>
      </c>
      <c r="D926" s="64" t="str">
        <f aca="false">TRIM(LEFT('Offshore - Melbourne'!A95,FIND(CHAR(10),'Offshore - Melbourne'!A95&amp;CHAR(10))-1))</f>
        <v>Australian Catholic University (ACU)</v>
      </c>
      <c r="E926" s="63" t="str">
        <f aca="false">'Offshore - Melbourne'!C150&amp;""</f>
        <v>2 years</v>
      </c>
      <c r="F926" s="63" t="str">
        <f aca="false">IF('Offshore - Melbourne'!D150="","Belum tercatat",'Offshore - Melbourne'!D150)</f>
        <v>Term</v>
      </c>
      <c r="G926" s="65" t="n">
        <f aca="false">IF('Offshore - Melbourne'!E150="","-",'Offshore - Melbourne'!E150)</f>
        <v>8906</v>
      </c>
      <c r="H926" s="63" t="n">
        <f aca="false">IF(ISNUMBER(K926),COUNTIFS($J$6:$J$1854,J926,$K$6:$K$1854,"&lt;"&amp;K926)+1,"-")</f>
        <v>1</v>
      </c>
      <c r="I926" s="64" t="str">
        <f aca="false">IF('Offshore - Melbourne'!E150="","Harga belum tersedia - hubungi konsultan TEG",IF(M926=2,"Saat ini tidak menerima pendaftaran siswa internasional baru",IF(M926=1,"Harga perlu dikonfirmasi ke sekolah"&amp;IF(""="","","; "&amp;""),"")))</f>
        <v/>
      </c>
      <c r="J926" s="0" t="s">
        <v>4108</v>
      </c>
      <c r="K926" s="0" t="n">
        <f aca="false">IF(M926=2,"",IF(ISNUMBER(SEARCH("rata-rata:",'Offshore - Melbourne'!N150)),VALUE(MID('Offshore - Melbourne'!N150,SEARCH("rata-rata:",'Offshore - Melbourne'!N150)+11,FIND(";",'Offshore - Melbourne'!N150&amp;";",SEARCH("rata-rata:",'Offshore - Melbourne'!N150))-SEARCH("rata-rata:",'Offshore - Melbourne'!N150)-11)),IF('Offshore - Melbourne'!D150="Semester",'Offshore - Melbourne'!E150*2,IF('Offshore - Melbourne'!D150="Trimester",'Offshore - Melbourne'!E150*3,IF('Offshore - Melbourne'!D150="Term",'Offshore - Melbourne'!E150*4,IF('Offshore - Melbourne'!D150="Unit",'Offshore - Melbourne'!E150*8,""))))))</f>
        <v>35624</v>
      </c>
      <c r="L926" s="0" t="n">
        <f aca="false">IF(AND(ISNUMBER('Offshore - Melbourne'!E150),ISNUMBER(K926),ISNUMBER('Offshore - Melbourne'!F150),ISNUMBER('Offshore - Melbourne'!G150),OR('Offshore - Melbourne'!F150&lt;&gt;0,ISNUMBER(SEARCH("Material 0 terverifikasi",'Offshore - Melbourne'!N150))),OR('Offshore - Melbourne'!G150&lt;&gt;0,ISNUMBER(SEARCH("Enrolment 0 terverifikasi",'Offshore - Melbourne'!N150)))),1,0)</f>
        <v>0</v>
      </c>
      <c r="M926" s="0" t="n">
        <f aca="false">IF(OR('Offshore - Melbourne'!E150="",ISNUMBER(SEARCH("BSB80120",'Offshore - Melbourne'!B150&amp;'Offshore - Melbourne'!N150)),ISNUMBER(SEARCH("Management (Learning)",'Offshore - Melbourne'!B150))),2,IF(ISNUMBER(SEARCH("CEK:",'Offshore - Melbourne'!N150)),1,0))</f>
        <v>0</v>
      </c>
    </row>
    <row r="927" customFormat="false" ht="15" hidden="false" customHeight="false" outlineLevel="0" collapsed="false">
      <c r="A927" s="61" t="s">
        <v>4109</v>
      </c>
      <c r="B927" s="62"/>
      <c r="C927" s="62"/>
      <c r="D927" s="62"/>
      <c r="E927" s="62"/>
      <c r="F927" s="62"/>
      <c r="G927" s="62"/>
      <c r="H927" s="62"/>
      <c r="I927" s="62"/>
    </row>
    <row r="928" customFormat="false" ht="28.35" hidden="false" customHeight="false" outlineLevel="0" collapsed="false">
      <c r="A928" s="63" t="s">
        <v>3573</v>
      </c>
      <c r="B928" s="64" t="s">
        <v>4073</v>
      </c>
      <c r="C928" s="63" t="s">
        <v>43</v>
      </c>
      <c r="D928" s="64" t="str">
        <f aca="false">TRIM(LEFT('Offshore - Perth'!A85,FIND(CHAR(10),'Offshore - Perth'!A85&amp;CHAR(10))-1))</f>
        <v>Greenwich Higher Education (Academy of Interactive Technology Pty Ltd)</v>
      </c>
      <c r="E928" s="63" t="str">
        <f aca="false">'Offshore - Perth'!C86&amp;""</f>
        <v>3 years</v>
      </c>
      <c r="F928" s="63" t="str">
        <f aca="false">IF('Offshore - Perth'!D86="","Belum tercatat",'Offshore - Perth'!D86)</f>
        <v>Term</v>
      </c>
      <c r="G928" s="65" t="n">
        <f aca="false">IF('Offshore - Perth'!E86="","-",'Offshore - Perth'!E86)</f>
        <v>4025</v>
      </c>
      <c r="H928" s="63" t="n">
        <f aca="false">IF(ISNUMBER(K928),COUNTIFS($J$6:$J$1854,J928,$K$6:$K$1854,"&lt;"&amp;K928)+1,"-")</f>
        <v>1</v>
      </c>
      <c r="I928" s="64" t="str">
        <f aca="false">IF('Offshore - Perth'!E86="","Harga belum tersedia - hubungi konsultan TEG",IF(M928=2,"Saat ini tidak menerima pendaftaran siswa internasional baru",IF(M928=1,"Program perlu dikonfirmasi ketersediaannya"&amp;IF(""="","","; "&amp;""),"")))</f>
        <v>Program perlu dikonfirmasi ketersediaannya</v>
      </c>
      <c r="J928" s="0" t="s">
        <v>4110</v>
      </c>
      <c r="K928" s="0" t="n">
        <f aca="false">IF(M928=2,"",IF(ISNUMBER(SEARCH("rata-rata:",'Offshore - Perth'!N86)),VALUE(MID('Offshore - Perth'!N86,SEARCH("rata-rata:",'Offshore - Perth'!N86)+11,FIND(";",'Offshore - Perth'!N86&amp;";",SEARCH("rata-rata:",'Offshore - Perth'!N86))-SEARCH("rata-rata:",'Offshore - Perth'!N86)-11)),IF('Offshore - Perth'!D86="Semester",'Offshore - Perth'!E86*2,IF('Offshore - Perth'!D86="Trimester",'Offshore - Perth'!E86*3,IF('Offshore - Perth'!D86="Term",'Offshore - Perth'!E86*4,IF('Offshore - Perth'!D86="Unit",'Offshore - Perth'!E86*8,""))))))</f>
        <v>16100</v>
      </c>
      <c r="L928" s="0" t="n">
        <f aca="false">IF(AND(ISNUMBER('Offshore - Perth'!E86),ISNUMBER(K928),ISNUMBER('Offshore - Perth'!F86),ISNUMBER('Offshore - Perth'!G86),OR('Offshore - Perth'!F86&lt;&gt;0,ISNUMBER(SEARCH("Material 0 terverifikasi",'Offshore - Perth'!N86))),OR('Offshore - Perth'!G86&lt;&gt;0,ISNUMBER(SEARCH("Enrolment 0 terverifikasi",'Offshore - Perth'!N86)))),1,0)</f>
        <v>1</v>
      </c>
      <c r="M928" s="0" t="n">
        <f aca="false">IF(OR('Offshore - Perth'!E86="",ISNUMBER(SEARCH("BSB80120",'Offshore - Perth'!B86&amp;'Offshore - Perth'!N86)),ISNUMBER(SEARCH("Management (Learning)",'Offshore - Perth'!B86))),2,IF(ISNUMBER(SEARCH("CEK:",'Offshore - Perth'!N86)),1,0))</f>
        <v>1</v>
      </c>
    </row>
    <row r="929" customFormat="false" ht="15" hidden="false" customHeight="false" outlineLevel="0" collapsed="false">
      <c r="A929" s="61" t="s">
        <v>4111</v>
      </c>
      <c r="B929" s="62"/>
      <c r="C929" s="62"/>
      <c r="D929" s="62"/>
      <c r="E929" s="62"/>
      <c r="F929" s="62"/>
      <c r="G929" s="62"/>
      <c r="H929" s="62"/>
      <c r="I929" s="62"/>
    </row>
    <row r="930" customFormat="false" ht="28.35" hidden="false" customHeight="false" outlineLevel="0" collapsed="false">
      <c r="A930" s="63" t="s">
        <v>3533</v>
      </c>
      <c r="B930" s="64" t="s">
        <v>4073</v>
      </c>
      <c r="C930" s="63" t="s">
        <v>40</v>
      </c>
      <c r="D930" s="64" t="str">
        <f aca="false">TRIM(LEFT('Offshore - Sydney'!A261,FIND(CHAR(10),'Offshore - Sydney'!A261&amp;CHAR(10))-1))</f>
        <v>Australian College of Business Intelligence (ACBI)</v>
      </c>
      <c r="E930" s="63" t="str">
        <f aca="false">'Offshore - Sydney'!C274&amp;""</f>
        <v>52 weeks (4 terms)</v>
      </c>
      <c r="F930" s="63" t="str">
        <f aca="false">IF('Offshore - Sydney'!D274="","Belum tercatat",'Offshore - Sydney'!D274)</f>
        <v>Term</v>
      </c>
      <c r="G930" s="65" t="n">
        <f aca="false">IF('Offshore - Sydney'!E274="","-",'Offshore - Sydney'!E274)</f>
        <v>1710</v>
      </c>
      <c r="H930" s="63" t="n">
        <f aca="false">IF(ISNUMBER(K930),COUNTIFS($J$6:$J$1854,J930,$K$6:$K$1854,"&lt;"&amp;K930)+1,"-")</f>
        <v>1</v>
      </c>
      <c r="I930" s="64" t="str">
        <f aca="false">IF('Offshore - Sydney'!E274="","Harga belum tersedia - hubungi konsultan TEG",IF(M930=2,"Saat ini tidak menerima pendaftaran siswa internasional baru",IF(M930=1,"Harga perlu dikonfirmasi ke sekolah"&amp;IF(""="","","; "&amp;""),"")))</f>
        <v/>
      </c>
      <c r="J930" s="0" t="s">
        <v>4112</v>
      </c>
      <c r="K930" s="0" t="n">
        <f aca="false">IF(M930=2,"",IF(ISNUMBER(SEARCH("rata-rata:",'Offshore - Sydney'!N274)),VALUE(MID('Offshore - Sydney'!N274,SEARCH("rata-rata:",'Offshore - Sydney'!N274)+11,FIND(";",'Offshore - Sydney'!N274&amp;";",SEARCH("rata-rata:",'Offshore - Sydney'!N274))-SEARCH("rata-rata:",'Offshore - Sydney'!N274)-11)),IF('Offshore - Sydney'!D274="Semester",'Offshore - Sydney'!E274*2,IF('Offshore - Sydney'!D274="Trimester",'Offshore - Sydney'!E274*3,IF('Offshore - Sydney'!D274="Term",'Offshore - Sydney'!E274*4,IF('Offshore - Sydney'!D274="Unit",'Offshore - Sydney'!E274*8,""))))))</f>
        <v>6840</v>
      </c>
      <c r="L930" s="0" t="n">
        <f aca="false">IF(AND(ISNUMBER('Offshore - Sydney'!E274),ISNUMBER(K930),ISNUMBER('Offshore - Sydney'!F274),ISNUMBER('Offshore - Sydney'!G274),OR('Offshore - Sydney'!F274&lt;&gt;0,ISNUMBER(SEARCH("Material 0 terverifikasi",'Offshore - Sydney'!N274))),OR('Offshore - Sydney'!G274&lt;&gt;0,ISNUMBER(SEARCH("Enrolment 0 terverifikasi",'Offshore - Sydney'!N274)))),1,0)</f>
        <v>1</v>
      </c>
      <c r="M930" s="0" t="n">
        <f aca="false">IF(OR('Offshore - Sydney'!E274="",ISNUMBER(SEARCH("BSB80120",'Offshore - Sydney'!B274&amp;'Offshore - Sydney'!N274)),ISNUMBER(SEARCH("Management (Learning)",'Offshore - Sydney'!B274))),2,IF(ISNUMBER(SEARCH("CEK:",'Offshore - Sydney'!N274)),1,0))</f>
        <v>0</v>
      </c>
    </row>
    <row r="931" customFormat="false" ht="15" hidden="false" customHeight="false" outlineLevel="0" collapsed="false">
      <c r="A931" s="63" t="s">
        <v>3533</v>
      </c>
      <c r="B931" s="64" t="s">
        <v>4073</v>
      </c>
      <c r="C931" s="63" t="s">
        <v>40</v>
      </c>
      <c r="D931" s="64" t="str">
        <f aca="false">TRIM(LEFT('Offshore - Sydney'!A721,FIND(CHAR(10),'Offshore - Sydney'!A721&amp;CHAR(10))-1))</f>
        <v>TAFE NSW</v>
      </c>
      <c r="E931" s="63" t="str">
        <f aca="false">'Offshore - Sydney'!C773&amp;""</f>
        <v>1 year</v>
      </c>
      <c r="F931" s="63" t="str">
        <f aca="false">IF('Offshore - Sydney'!D773="","Belum tercatat",'Offshore - Sydney'!D773)</f>
        <v>Term</v>
      </c>
      <c r="G931" s="65" t="n">
        <f aca="false">IF('Offshore - Sydney'!E773="","-",'Offshore - Sydney'!E773)</f>
        <v>4988</v>
      </c>
      <c r="H931" s="63" t="n">
        <f aca="false">IF(ISNUMBER(K931),COUNTIFS($J$6:$J$1854,J931,$K$6:$K$1854,"&lt;"&amp;K931)+1,"-")</f>
        <v>2</v>
      </c>
      <c r="I931" s="64" t="str">
        <f aca="false">IF('Offshore - Sydney'!E773="","Harga belum tersedia - hubungi konsultan TEG",IF(M931=2,"Saat ini tidak menerima pendaftaran siswa internasional baru",IF(M931=1,"Harga perlu dikonfirmasi ke sekolah"&amp;IF(""="","","; "&amp;""),"")))</f>
        <v/>
      </c>
      <c r="J931" s="0" t="s">
        <v>4112</v>
      </c>
      <c r="K931" s="0" t="n">
        <f aca="false">IF(M931=2,"",IF(ISNUMBER(SEARCH("rata-rata:",'Offshore - Sydney'!N773)),VALUE(MID('Offshore - Sydney'!N773,SEARCH("rata-rata:",'Offshore - Sydney'!N773)+11,FIND(";",'Offshore - Sydney'!N773&amp;";",SEARCH("rata-rata:",'Offshore - Sydney'!N773))-SEARCH("rata-rata:",'Offshore - Sydney'!N773)-11)),IF('Offshore - Sydney'!D773="Semester",'Offshore - Sydney'!E773*2,IF('Offshore - Sydney'!D773="Trimester",'Offshore - Sydney'!E773*3,IF('Offshore - Sydney'!D773="Term",'Offshore - Sydney'!E773*4,IF('Offshore - Sydney'!D773="Unit",'Offshore - Sydney'!E773*8,""))))))</f>
        <v>19952</v>
      </c>
      <c r="L931" s="0" t="n">
        <f aca="false">IF(AND(ISNUMBER('Offshore - Sydney'!E773),ISNUMBER(K931),ISNUMBER('Offshore - Sydney'!F773),ISNUMBER('Offshore - Sydney'!G773),OR('Offshore - Sydney'!F773&lt;&gt;0,ISNUMBER(SEARCH("Material 0 terverifikasi",'Offshore - Sydney'!N773))),OR('Offshore - Sydney'!G773&lt;&gt;0,ISNUMBER(SEARCH("Enrolment 0 terverifikasi",'Offshore - Sydney'!N773)))),1,0)</f>
        <v>0</v>
      </c>
      <c r="M931" s="0" t="n">
        <f aca="false">IF(OR('Offshore - Sydney'!E773="",ISNUMBER(SEARCH("BSB80120",'Offshore - Sydney'!B773&amp;'Offshore - Sydney'!N773)),ISNUMBER(SEARCH("Management (Learning)",'Offshore - Sydney'!B773))),2,IF(ISNUMBER(SEARCH("CEK:",'Offshore - Sydney'!N773)),1,0))</f>
        <v>0</v>
      </c>
    </row>
    <row r="932" customFormat="false" ht="15" hidden="false" customHeight="false" outlineLevel="0" collapsed="false">
      <c r="A932" s="61" t="s">
        <v>4113</v>
      </c>
      <c r="B932" s="62"/>
      <c r="C932" s="62"/>
      <c r="D932" s="62"/>
      <c r="E932" s="62"/>
      <c r="F932" s="62"/>
      <c r="G932" s="62"/>
      <c r="H932" s="62"/>
      <c r="I932" s="62"/>
    </row>
    <row r="933" customFormat="false" ht="15" hidden="false" customHeight="false" outlineLevel="0" collapsed="false">
      <c r="A933" s="63" t="s">
        <v>3533</v>
      </c>
      <c r="B933" s="64" t="s">
        <v>4073</v>
      </c>
      <c r="C933" s="63" t="s">
        <v>41</v>
      </c>
      <c r="D933" s="64" t="str">
        <f aca="false">TRIM(LEFT('Offshore - Sydney'!A941,FIND(CHAR(10),'Offshore - Sydney'!A941&amp;CHAR(10))-1))</f>
        <v>Victory Institute</v>
      </c>
      <c r="E933" s="63" t="str">
        <f aca="false">'Offshore - Sydney'!C947&amp;""</f>
        <v>3 years</v>
      </c>
      <c r="F933" s="63" t="str">
        <f aca="false">IF('Offshore - Sydney'!D947="","Belum tercatat",'Offshore - Sydney'!D947)</f>
        <v>Term</v>
      </c>
      <c r="G933" s="65" t="n">
        <f aca="false">IF('Offshore - Sydney'!E947="","-",'Offshore - Sydney'!E947)</f>
        <v>1750</v>
      </c>
      <c r="H933" s="63" t="n">
        <f aca="false">IF(ISNUMBER(K933),COUNTIFS($J$6:$J$1854,J933,$K$6:$K$1854,"&lt;"&amp;K933)+1,"-")</f>
        <v>1</v>
      </c>
      <c r="I933" s="64" t="str">
        <f aca="false">IF('Offshore - Sydney'!E947="","Harga belum tersedia - hubungi konsultan TEG",IF(M933=2,"Saat ini tidak menerima pendaftaran siswa internasional baru",IF(M933=1,"Harga perlu dikonfirmasi ke sekolah"&amp;IF(""="","","; "&amp;""),"")))</f>
        <v/>
      </c>
      <c r="J933" s="0" t="s">
        <v>4114</v>
      </c>
      <c r="K933" s="0" t="n">
        <f aca="false">IF(M933=2,"",IF(ISNUMBER(SEARCH("rata-rata:",'Offshore - Sydney'!N947)),VALUE(MID('Offshore - Sydney'!N947,SEARCH("rata-rata:",'Offshore - Sydney'!N947)+11,FIND(";",'Offshore - Sydney'!N947&amp;";",SEARCH("rata-rata:",'Offshore - Sydney'!N947))-SEARCH("rata-rata:",'Offshore - Sydney'!N947)-11)),IF('Offshore - Sydney'!D947="Semester",'Offshore - Sydney'!E947*2,IF('Offshore - Sydney'!D947="Trimester",'Offshore - Sydney'!E947*3,IF('Offshore - Sydney'!D947="Term",'Offshore - Sydney'!E947*4,IF('Offshore - Sydney'!D947="Unit",'Offshore - Sydney'!E947*8,""))))))</f>
        <v>7000</v>
      </c>
      <c r="L933" s="0" t="n">
        <f aca="false">IF(AND(ISNUMBER('Offshore - Sydney'!E947),ISNUMBER(K933),ISNUMBER('Offshore - Sydney'!F947),ISNUMBER('Offshore - Sydney'!G947),OR('Offshore - Sydney'!F947&lt;&gt;0,ISNUMBER(SEARCH("Material 0 terverifikasi",'Offshore - Sydney'!N947))),OR('Offshore - Sydney'!G947&lt;&gt;0,ISNUMBER(SEARCH("Enrolment 0 terverifikasi",'Offshore - Sydney'!N947)))),1,0)</f>
        <v>1</v>
      </c>
      <c r="M933" s="0" t="n">
        <f aca="false">IF(OR('Offshore - Sydney'!E947="",ISNUMBER(SEARCH("BSB80120",'Offshore - Sydney'!B947&amp;'Offshore - Sydney'!N947)),ISNUMBER(SEARCH("Management (Learning)",'Offshore - Sydney'!B947))),2,IF(ISNUMBER(SEARCH("CEK:",'Offshore - Sydney'!N947)),1,0))</f>
        <v>0</v>
      </c>
    </row>
    <row r="934" customFormat="false" ht="28.35" hidden="false" customHeight="false" outlineLevel="0" collapsed="false">
      <c r="A934" s="63" t="s">
        <v>3533</v>
      </c>
      <c r="B934" s="64" t="s">
        <v>4073</v>
      </c>
      <c r="C934" s="63" t="s">
        <v>41</v>
      </c>
      <c r="D934" s="64" t="str">
        <f aca="false">TRIM(LEFT('Offshore - Sydney'!A261,FIND(CHAR(10),'Offshore - Sydney'!A261&amp;CHAR(10))-1))</f>
        <v>Australian College of Business Intelligence (ACBI)</v>
      </c>
      <c r="E934" s="63" t="str">
        <f aca="false">'Offshore - Sydney'!C275&amp;""</f>
        <v>78 weeks (6 terms)</v>
      </c>
      <c r="F934" s="63" t="str">
        <f aca="false">IF('Offshore - Sydney'!D275="","Belum tercatat",'Offshore - Sydney'!D275)</f>
        <v>Term</v>
      </c>
      <c r="G934" s="65" t="n">
        <f aca="false">IF('Offshore - Sydney'!E275="","-",'Offshore - Sydney'!E275)</f>
        <v>2160</v>
      </c>
      <c r="H934" s="63" t="n">
        <f aca="false">IF(ISNUMBER(K934),COUNTIFS($J$6:$J$1854,J934,$K$6:$K$1854,"&lt;"&amp;K934)+1,"-")</f>
        <v>2</v>
      </c>
      <c r="I934" s="64" t="str">
        <f aca="false">IF('Offshore - Sydney'!E275="","Harga belum tersedia - hubungi konsultan TEG",IF(M934=2,"Saat ini tidak menerima pendaftaran siswa internasional baru",IF(M934=1,"Harga perlu dikonfirmasi ke sekolah"&amp;IF(""="","","; "&amp;""),"")))</f>
        <v/>
      </c>
      <c r="J934" s="0" t="s">
        <v>4114</v>
      </c>
      <c r="K934" s="0" t="n">
        <f aca="false">IF(M934=2,"",IF(ISNUMBER(SEARCH("rata-rata:",'Offshore - Sydney'!N275)),VALUE(MID('Offshore - Sydney'!N275,SEARCH("rata-rata:",'Offshore - Sydney'!N275)+11,FIND(";",'Offshore - Sydney'!N275&amp;";",SEARCH("rata-rata:",'Offshore - Sydney'!N275))-SEARCH("rata-rata:",'Offshore - Sydney'!N275)-11)),IF('Offshore - Sydney'!D275="Semester",'Offshore - Sydney'!E275*2,IF('Offshore - Sydney'!D275="Trimester",'Offshore - Sydney'!E275*3,IF('Offshore - Sydney'!D275="Term",'Offshore - Sydney'!E275*4,IF('Offshore - Sydney'!D275="Unit",'Offshore - Sydney'!E275*8,""))))))</f>
        <v>8640</v>
      </c>
      <c r="L934" s="0" t="n">
        <f aca="false">IF(AND(ISNUMBER('Offshore - Sydney'!E275),ISNUMBER(K934),ISNUMBER('Offshore - Sydney'!F275),ISNUMBER('Offshore - Sydney'!G275),OR('Offshore - Sydney'!F275&lt;&gt;0,ISNUMBER(SEARCH("Material 0 terverifikasi",'Offshore - Sydney'!N275))),OR('Offshore - Sydney'!G275&lt;&gt;0,ISNUMBER(SEARCH("Enrolment 0 terverifikasi",'Offshore - Sydney'!N275)))),1,0)</f>
        <v>1</v>
      </c>
      <c r="M934" s="0" t="n">
        <f aca="false">IF(OR('Offshore - Sydney'!E275="",ISNUMBER(SEARCH("BSB80120",'Offshore - Sydney'!B275&amp;'Offshore - Sydney'!N275)),ISNUMBER(SEARCH("Management (Learning)",'Offshore - Sydney'!B275))),2,IF(ISNUMBER(SEARCH("CEK:",'Offshore - Sydney'!N275)),1,0))</f>
        <v>0</v>
      </c>
    </row>
    <row r="935" customFormat="false" ht="15" hidden="false" customHeight="false" outlineLevel="0" collapsed="false">
      <c r="A935" s="63" t="s">
        <v>3533</v>
      </c>
      <c r="B935" s="64" t="s">
        <v>4073</v>
      </c>
      <c r="C935" s="63" t="s">
        <v>41</v>
      </c>
      <c r="D935" s="64" t="str">
        <f aca="false">TRIM(LEFT('Offshore - Sydney'!A721,FIND(CHAR(10),'Offshore - Sydney'!A721&amp;CHAR(10))-1))</f>
        <v>TAFE NSW</v>
      </c>
      <c r="E935" s="63" t="str">
        <f aca="false">'Offshore - Sydney'!C784&amp;""</f>
        <v>1,5 years</v>
      </c>
      <c r="F935" s="63" t="str">
        <f aca="false">IF('Offshore - Sydney'!D784="","Belum tercatat",'Offshore - Sydney'!D784)</f>
        <v>Term</v>
      </c>
      <c r="G935" s="65" t="n">
        <f aca="false">IF('Offshore - Sydney'!E784="","-",'Offshore - Sydney'!E784)</f>
        <v>4400</v>
      </c>
      <c r="H935" s="63" t="n">
        <f aca="false">IF(ISNUMBER(K935),COUNTIFS($J$6:$J$1854,J935,$K$6:$K$1854,"&lt;"&amp;K935)+1,"-")</f>
        <v>3</v>
      </c>
      <c r="I935" s="64" t="str">
        <f aca="false">IF('Offshore - Sydney'!E784="","Harga belum tersedia - hubungi konsultan TEG",IF(M935=2,"Saat ini tidak menerima pendaftaran siswa internasional baru",IF(M935=1,"Harga perlu dikonfirmasi ke sekolah"&amp;IF(""="","","; "&amp;""),"")))</f>
        <v/>
      </c>
      <c r="J935" s="0" t="s">
        <v>4114</v>
      </c>
      <c r="K935" s="0" t="n">
        <f aca="false">IF(M935=2,"",IF(ISNUMBER(SEARCH("rata-rata:",'Offshore - Sydney'!N784)),VALUE(MID('Offshore - Sydney'!N784,SEARCH("rata-rata:",'Offshore - Sydney'!N784)+11,FIND(";",'Offshore - Sydney'!N784&amp;";",SEARCH("rata-rata:",'Offshore - Sydney'!N784))-SEARCH("rata-rata:",'Offshore - Sydney'!N784)-11)),IF('Offshore - Sydney'!D784="Semester",'Offshore - Sydney'!E784*2,IF('Offshore - Sydney'!D784="Trimester",'Offshore - Sydney'!E784*3,IF('Offshore - Sydney'!D784="Term",'Offshore - Sydney'!E784*4,IF('Offshore - Sydney'!D784="Unit",'Offshore - Sydney'!E784*8,""))))))</f>
        <v>17600</v>
      </c>
      <c r="L935" s="0" t="n">
        <f aca="false">IF(AND(ISNUMBER('Offshore - Sydney'!E784),ISNUMBER(K935),ISNUMBER('Offshore - Sydney'!F784),ISNUMBER('Offshore - Sydney'!G784),OR('Offshore - Sydney'!F784&lt;&gt;0,ISNUMBER(SEARCH("Material 0 terverifikasi",'Offshore - Sydney'!N784))),OR('Offshore - Sydney'!G784&lt;&gt;0,ISNUMBER(SEARCH("Enrolment 0 terverifikasi",'Offshore - Sydney'!N784)))),1,0)</f>
        <v>0</v>
      </c>
      <c r="M935" s="0" t="n">
        <f aca="false">IF(OR('Offshore - Sydney'!E784="",ISNUMBER(SEARCH("BSB80120",'Offshore - Sydney'!B784&amp;'Offshore - Sydney'!N784)),ISNUMBER(SEARCH("Management (Learning)",'Offshore - Sydney'!B784))),2,IF(ISNUMBER(SEARCH("CEK:",'Offshore - Sydney'!N784)),1,0))</f>
        <v>0</v>
      </c>
    </row>
    <row r="936" customFormat="false" ht="15" hidden="false" customHeight="false" outlineLevel="0" collapsed="false">
      <c r="A936" s="63" t="s">
        <v>3533</v>
      </c>
      <c r="B936" s="64" t="s">
        <v>4073</v>
      </c>
      <c r="C936" s="63" t="s">
        <v>41</v>
      </c>
      <c r="D936" s="64" t="str">
        <f aca="false">TRIM(LEFT('Offshore - Sydney'!A53,FIND(CHAR(10),'Offshore - Sydney'!A53&amp;CHAR(10))-1))</f>
        <v>Academy of Interactive Technology (AIT)</v>
      </c>
      <c r="E936" s="63" t="str">
        <f aca="false">'Offshore - Sydney'!C58&amp;""</f>
        <v>1 year</v>
      </c>
      <c r="F936" s="63" t="str">
        <f aca="false">IF('Offshore - Sydney'!D58="","Belum tercatat",'Offshore - Sydney'!D58)</f>
        <v>Term</v>
      </c>
      <c r="G936" s="65" t="n">
        <f aca="false">IF('Offshore - Sydney'!E58="","-",'Offshore - Sydney'!E58)</f>
        <v>5750</v>
      </c>
      <c r="H936" s="63" t="n">
        <f aca="false">IF(ISNUMBER(K936),COUNTIFS($J$6:$J$1854,J936,$K$6:$K$1854,"&lt;"&amp;K936)+1,"-")</f>
        <v>4</v>
      </c>
      <c r="I936" s="64" t="str">
        <f aca="false">IF('Offshore - Sydney'!E58="","Harga belum tersedia - hubungi konsultan TEG",IF(M936=2,"Saat ini tidak menerima pendaftaran siswa internasional baru",IF(M936=1,"Harga perlu dikonfirmasi ke sekolah"&amp;IF(""="","","; "&amp;""),"")))</f>
        <v>Harga perlu dikonfirmasi ke sekolah</v>
      </c>
      <c r="J936" s="0" t="s">
        <v>4114</v>
      </c>
      <c r="K936" s="0" t="n">
        <f aca="false">IF(M936=2,"",IF(ISNUMBER(SEARCH("rata-rata:",'Offshore - Sydney'!N58)),VALUE(MID('Offshore - Sydney'!N58,SEARCH("rata-rata:",'Offshore - Sydney'!N58)+11,FIND(";",'Offshore - Sydney'!N58&amp;";",SEARCH("rata-rata:",'Offshore - Sydney'!N58))-SEARCH("rata-rata:",'Offshore - Sydney'!N58)-11)),IF('Offshore - Sydney'!D58="Semester",'Offshore - Sydney'!E58*2,IF('Offshore - Sydney'!D58="Trimester",'Offshore - Sydney'!E58*3,IF('Offshore - Sydney'!D58="Term",'Offshore - Sydney'!E58*4,IF('Offshore - Sydney'!D58="Unit",'Offshore - Sydney'!E58*8,""))))))</f>
        <v>23000</v>
      </c>
      <c r="L936" s="0" t="n">
        <f aca="false">IF(AND(ISNUMBER('Offshore - Sydney'!E58),ISNUMBER(K936),ISNUMBER('Offshore - Sydney'!F58),ISNUMBER('Offshore - Sydney'!G58),OR('Offshore - Sydney'!F58&lt;&gt;0,ISNUMBER(SEARCH("Material 0 terverifikasi",'Offshore - Sydney'!N58))),OR('Offshore - Sydney'!G58&lt;&gt;0,ISNUMBER(SEARCH("Enrolment 0 terverifikasi",'Offshore - Sydney'!N58)))),1,0)</f>
        <v>0</v>
      </c>
      <c r="M936" s="0" t="n">
        <f aca="false">IF(OR('Offshore - Sydney'!E58="",ISNUMBER(SEARCH("BSB80120",'Offshore - Sydney'!B58&amp;'Offshore - Sydney'!N58)),ISNUMBER(SEARCH("Management (Learning)",'Offshore - Sydney'!B58))),2,IF(ISNUMBER(SEARCH("CEK:",'Offshore - Sydney'!N58)),1,0))</f>
        <v>1</v>
      </c>
    </row>
    <row r="937" customFormat="false" ht="15" hidden="false" customHeight="false" outlineLevel="0" collapsed="false">
      <c r="A937" s="63" t="s">
        <v>3533</v>
      </c>
      <c r="B937" s="64" t="s">
        <v>4073</v>
      </c>
      <c r="C937" s="63" t="s">
        <v>41</v>
      </c>
      <c r="D937" s="64" t="str">
        <f aca="false">TRIM(LEFT('Offshore - Sydney'!A814,FIND(CHAR(10),'Offshore - Sydney'!A814&amp;CHAR(10))-1))</f>
        <v>Torrens University Australia</v>
      </c>
      <c r="E937" s="63" t="str">
        <f aca="false">'Offshore - Sydney'!C849&amp;""</f>
        <v>1,5 years</v>
      </c>
      <c r="F937" s="63" t="str">
        <f aca="false">IF('Offshore - Sydney'!D849="","Belum tercatat",'Offshore - Sydney'!D849)</f>
        <v>Term</v>
      </c>
      <c r="G937" s="65" t="n">
        <f aca="false">IF('Offshore - Sydney'!E849="","-",'Offshore - Sydney'!E849)</f>
        <v>6250</v>
      </c>
      <c r="H937" s="63" t="n">
        <f aca="false">IF(ISNUMBER(K937),COUNTIFS($J$6:$J$1854,J937,$K$6:$K$1854,"&lt;"&amp;K937)+1,"-")</f>
        <v>5</v>
      </c>
      <c r="I937" s="64" t="str">
        <f aca="false">IF('Offshore - Sydney'!E849="","Harga belum tersedia - hubungi konsultan TEG",IF(M937=2,"Saat ini tidak menerima pendaftaran siswa internasional baru",IF(M937=1,"Harga perlu dikonfirmasi ke sekolah"&amp;IF(""="","","; "&amp;""),"")))</f>
        <v/>
      </c>
      <c r="J937" s="0" t="s">
        <v>4114</v>
      </c>
      <c r="K937" s="0" t="n">
        <f aca="false">IF(M937=2,"",IF(ISNUMBER(SEARCH("rata-rata:",'Offshore - Sydney'!N849)),VALUE(MID('Offshore - Sydney'!N849,SEARCH("rata-rata:",'Offshore - Sydney'!N849)+11,FIND(";",'Offshore - Sydney'!N849&amp;";",SEARCH("rata-rata:",'Offshore - Sydney'!N849))-SEARCH("rata-rata:",'Offshore - Sydney'!N849)-11)),IF('Offshore - Sydney'!D849="Semester",'Offshore - Sydney'!E849*2,IF('Offshore - Sydney'!D849="Trimester",'Offshore - Sydney'!E849*3,IF('Offshore - Sydney'!D849="Term",'Offshore - Sydney'!E849*4,IF('Offshore - Sydney'!D849="Unit",'Offshore - Sydney'!E849*8,""))))))</f>
        <v>25000</v>
      </c>
      <c r="L937" s="0" t="n">
        <f aca="false">IF(AND(ISNUMBER('Offshore - Sydney'!E849),ISNUMBER(K937),ISNUMBER('Offshore - Sydney'!F849),ISNUMBER('Offshore - Sydney'!G849),OR('Offshore - Sydney'!F849&lt;&gt;0,ISNUMBER(SEARCH("Material 0 terverifikasi",'Offshore - Sydney'!N849))),OR('Offshore - Sydney'!G849&lt;&gt;0,ISNUMBER(SEARCH("Enrolment 0 terverifikasi",'Offshore - Sydney'!N849)))),1,0)</f>
        <v>0</v>
      </c>
      <c r="M937" s="0" t="n">
        <f aca="false">IF(OR('Offshore - Sydney'!E849="",ISNUMBER(SEARCH("BSB80120",'Offshore - Sydney'!B849&amp;'Offshore - Sydney'!N849)),ISNUMBER(SEARCH("Management (Learning)",'Offshore - Sydney'!B849))),2,IF(ISNUMBER(SEARCH("CEK:",'Offshore - Sydney'!N849)),1,0))</f>
        <v>0</v>
      </c>
    </row>
    <row r="938" customFormat="false" ht="15" hidden="false" customHeight="false" outlineLevel="0" collapsed="false">
      <c r="A938" s="63" t="s">
        <v>3533</v>
      </c>
      <c r="B938" s="64" t="s">
        <v>4073</v>
      </c>
      <c r="C938" s="63" t="s">
        <v>41</v>
      </c>
      <c r="D938" s="64" t="str">
        <f aca="false">TRIM(LEFT('Offshore - Sydney'!A156,FIND(CHAR(10),'Offshore - Sydney'!A156&amp;CHAR(10))-1))</f>
        <v>Australian Catholic University (ACU)</v>
      </c>
      <c r="E938" s="63" t="str">
        <f aca="false">'Offshore - Sydney'!C257&amp;""</f>
        <v>1 year</v>
      </c>
      <c r="F938" s="63" t="str">
        <f aca="false">IF('Offshore - Sydney'!D257="","Belum tercatat",'Offshore - Sydney'!D257)</f>
        <v>Term</v>
      </c>
      <c r="G938" s="65" t="n">
        <f aca="false">IF('Offshore - Sydney'!E257="","-",'Offshore - Sydney'!E257)</f>
        <v>8906</v>
      </c>
      <c r="H938" s="63" t="n">
        <f aca="false">IF(ISNUMBER(K938),COUNTIFS($J$6:$J$1854,J938,$K$6:$K$1854,"&lt;"&amp;K938)+1,"-")</f>
        <v>6</v>
      </c>
      <c r="I938" s="64" t="str">
        <f aca="false">IF('Offshore - Sydney'!E257="","Harga belum tersedia - hubungi konsultan TEG",IF(M938=2,"Saat ini tidak menerima pendaftaran siswa internasional baru",IF(M938=1,"Harga perlu dikonfirmasi ke sekolah"&amp;IF(""="","","; "&amp;""),"")))</f>
        <v/>
      </c>
      <c r="J938" s="0" t="s">
        <v>4114</v>
      </c>
      <c r="K938" s="0" t="n">
        <f aca="false">IF(M938=2,"",IF(ISNUMBER(SEARCH("rata-rata:",'Offshore - Sydney'!N257)),VALUE(MID('Offshore - Sydney'!N257,SEARCH("rata-rata:",'Offshore - Sydney'!N257)+11,FIND(";",'Offshore - Sydney'!N257&amp;";",SEARCH("rata-rata:",'Offshore - Sydney'!N257))-SEARCH("rata-rata:",'Offshore - Sydney'!N257)-11)),IF('Offshore - Sydney'!D257="Semester",'Offshore - Sydney'!E257*2,IF('Offshore - Sydney'!D257="Trimester",'Offshore - Sydney'!E257*3,IF('Offshore - Sydney'!D257="Term",'Offshore - Sydney'!E257*4,IF('Offshore - Sydney'!D257="Unit",'Offshore - Sydney'!E257*8,""))))))</f>
        <v>35624</v>
      </c>
      <c r="L938" s="0" t="n">
        <f aca="false">IF(AND(ISNUMBER('Offshore - Sydney'!E257),ISNUMBER(K938),ISNUMBER('Offshore - Sydney'!F257),ISNUMBER('Offshore - Sydney'!G257),OR('Offshore - Sydney'!F257&lt;&gt;0,ISNUMBER(SEARCH("Material 0 terverifikasi",'Offshore - Sydney'!N257))),OR('Offshore - Sydney'!G257&lt;&gt;0,ISNUMBER(SEARCH("Enrolment 0 terverifikasi",'Offshore - Sydney'!N257)))),1,0)</f>
        <v>0</v>
      </c>
      <c r="M938" s="0" t="n">
        <f aca="false">IF(OR('Offshore - Sydney'!E257="",ISNUMBER(SEARCH("BSB80120",'Offshore - Sydney'!B257&amp;'Offshore - Sydney'!N257)),ISNUMBER(SEARCH("Management (Learning)",'Offshore - Sydney'!B257))),2,IF(ISNUMBER(SEARCH("CEK:",'Offshore - Sydney'!N257)),1,0))</f>
        <v>0</v>
      </c>
    </row>
    <row r="939" customFormat="false" ht="15" hidden="false" customHeight="false" outlineLevel="0" collapsed="false">
      <c r="A939" s="61" t="s">
        <v>4115</v>
      </c>
      <c r="B939" s="62"/>
      <c r="C939" s="62"/>
      <c r="D939" s="62"/>
      <c r="E939" s="62"/>
      <c r="F939" s="62"/>
      <c r="G939" s="62"/>
      <c r="H939" s="62"/>
      <c r="I939" s="62"/>
    </row>
    <row r="940" customFormat="false" ht="28.35" hidden="false" customHeight="false" outlineLevel="0" collapsed="false">
      <c r="A940" s="63" t="s">
        <v>3533</v>
      </c>
      <c r="B940" s="64" t="s">
        <v>4073</v>
      </c>
      <c r="C940" s="63" t="s">
        <v>42</v>
      </c>
      <c r="D940" s="64" t="str">
        <f aca="false">TRIM(LEFT('Offshore - Sydney'!A261,FIND(CHAR(10),'Offshore - Sydney'!A261&amp;CHAR(10))-1))</f>
        <v>Australian College of Business Intelligence (ACBI)</v>
      </c>
      <c r="E940" s="63" t="str">
        <f aca="false">'Offshore - Sydney'!C276&amp;""</f>
        <v>52 weeks (4 terms)</v>
      </c>
      <c r="F940" s="63" t="str">
        <f aca="false">IF('Offshore - Sydney'!D276="","Belum tercatat",'Offshore - Sydney'!D276)</f>
        <v>Term</v>
      </c>
      <c r="G940" s="65" t="n">
        <f aca="false">IF('Offshore - Sydney'!E276="","-",'Offshore - Sydney'!E276)</f>
        <v>2160</v>
      </c>
      <c r="H940" s="63" t="n">
        <f aca="false">IF(ISNUMBER(K940),COUNTIFS($J$6:$J$1854,J940,$K$6:$K$1854,"&lt;"&amp;K940)+1,"-")</f>
        <v>1</v>
      </c>
      <c r="I940" s="64" t="str">
        <f aca="false">IF('Offshore - Sydney'!E276="","Harga belum tersedia - hubungi konsultan TEG",IF(M940=2,"Saat ini tidak menerima pendaftaran siswa internasional baru",IF(M940=1,"Harga perlu dikonfirmasi ke sekolah"&amp;IF(""="","","; "&amp;""),"")))</f>
        <v/>
      </c>
      <c r="J940" s="0" t="s">
        <v>4116</v>
      </c>
      <c r="K940" s="0" t="n">
        <f aca="false">IF(M940=2,"",IF(ISNUMBER(SEARCH("rata-rata:",'Offshore - Sydney'!N276)),VALUE(MID('Offshore - Sydney'!N276,SEARCH("rata-rata:",'Offshore - Sydney'!N276)+11,FIND(";",'Offshore - Sydney'!N276&amp;";",SEARCH("rata-rata:",'Offshore - Sydney'!N276))-SEARCH("rata-rata:",'Offshore - Sydney'!N276)-11)),IF('Offshore - Sydney'!D276="Semester",'Offshore - Sydney'!E276*2,IF('Offshore - Sydney'!D276="Trimester",'Offshore - Sydney'!E276*3,IF('Offshore - Sydney'!D276="Term",'Offshore - Sydney'!E276*4,IF('Offshore - Sydney'!D276="Unit",'Offshore - Sydney'!E276*8,""))))))</f>
        <v>8640</v>
      </c>
      <c r="L940" s="0" t="n">
        <f aca="false">IF(AND(ISNUMBER('Offshore - Sydney'!E276),ISNUMBER(K940),ISNUMBER('Offshore - Sydney'!F276),ISNUMBER('Offshore - Sydney'!G276),OR('Offshore - Sydney'!F276&lt;&gt;0,ISNUMBER(SEARCH("Material 0 terverifikasi",'Offshore - Sydney'!N276))),OR('Offshore - Sydney'!G276&lt;&gt;0,ISNUMBER(SEARCH("Enrolment 0 terverifikasi",'Offshore - Sydney'!N276)))),1,0)</f>
        <v>1</v>
      </c>
      <c r="M940" s="0" t="n">
        <f aca="false">IF(OR('Offshore - Sydney'!E276="",ISNUMBER(SEARCH("BSB80120",'Offshore - Sydney'!B276&amp;'Offshore - Sydney'!N276)),ISNUMBER(SEARCH("Management (Learning)",'Offshore - Sydney'!B276))),2,IF(ISNUMBER(SEARCH("CEK:",'Offshore - Sydney'!N276)),1,0))</f>
        <v>0</v>
      </c>
    </row>
    <row r="941" customFormat="false" ht="15" hidden="false" customHeight="false" outlineLevel="0" collapsed="false">
      <c r="A941" s="63" t="s">
        <v>3533</v>
      </c>
      <c r="B941" s="64" t="s">
        <v>4073</v>
      </c>
      <c r="C941" s="63" t="s">
        <v>42</v>
      </c>
      <c r="D941" s="64" t="str">
        <f aca="false">TRIM(LEFT('Offshore - Sydney'!A721,FIND(CHAR(10),'Offshore - Sydney'!A721&amp;CHAR(10))-1))</f>
        <v>TAFE NSW</v>
      </c>
      <c r="E941" s="63" t="str">
        <f aca="false">'Offshore - Sydney'!C781&amp;""</f>
        <v>3 years</v>
      </c>
      <c r="F941" s="63" t="str">
        <f aca="false">IF('Offshore - Sydney'!D781="","Belum tercatat",'Offshore - Sydney'!D781)</f>
        <v>Term</v>
      </c>
      <c r="G941" s="65" t="n">
        <f aca="false">IF('Offshore - Sydney'!E781="","-",'Offshore - Sydney'!E781)</f>
        <v>4988</v>
      </c>
      <c r="H941" s="63" t="n">
        <f aca="false">IF(ISNUMBER(K941),COUNTIFS($J$6:$J$1854,J941,$K$6:$K$1854,"&lt;"&amp;K941)+1,"-")</f>
        <v>2</v>
      </c>
      <c r="I941" s="64" t="str">
        <f aca="false">IF('Offshore - Sydney'!E781="","Harga belum tersedia - hubungi konsultan TEG",IF(M941=2,"Saat ini tidak menerima pendaftaran siswa internasional baru",IF(M941=1,"Harga perlu dikonfirmasi ke sekolah"&amp;IF(""="","","; "&amp;""),"")))</f>
        <v/>
      </c>
      <c r="J941" s="0" t="s">
        <v>4116</v>
      </c>
      <c r="K941" s="0" t="n">
        <f aca="false">IF(M941=2,"",IF(ISNUMBER(SEARCH("rata-rata:",'Offshore - Sydney'!N781)),VALUE(MID('Offshore - Sydney'!N781,SEARCH("rata-rata:",'Offshore - Sydney'!N781)+11,FIND(";",'Offshore - Sydney'!N781&amp;";",SEARCH("rata-rata:",'Offshore - Sydney'!N781))-SEARCH("rata-rata:",'Offshore - Sydney'!N781)-11)),IF('Offshore - Sydney'!D781="Semester",'Offshore - Sydney'!E781*2,IF('Offshore - Sydney'!D781="Trimester",'Offshore - Sydney'!E781*3,IF('Offshore - Sydney'!D781="Term",'Offshore - Sydney'!E781*4,IF('Offshore - Sydney'!D781="Unit",'Offshore - Sydney'!E781*8,""))))))</f>
        <v>19952</v>
      </c>
      <c r="L941" s="0" t="n">
        <f aca="false">IF(AND(ISNUMBER('Offshore - Sydney'!E781),ISNUMBER(K941),ISNUMBER('Offshore - Sydney'!F781),ISNUMBER('Offshore - Sydney'!G781),OR('Offshore - Sydney'!F781&lt;&gt;0,ISNUMBER(SEARCH("Material 0 terverifikasi",'Offshore - Sydney'!N781))),OR('Offshore - Sydney'!G781&lt;&gt;0,ISNUMBER(SEARCH("Enrolment 0 terverifikasi",'Offshore - Sydney'!N781)))),1,0)</f>
        <v>0</v>
      </c>
      <c r="M941" s="0" t="n">
        <f aca="false">IF(OR('Offshore - Sydney'!E781="",ISNUMBER(SEARCH("BSB80120",'Offshore - Sydney'!B781&amp;'Offshore - Sydney'!N781)),ISNUMBER(SEARCH("Management (Learning)",'Offshore - Sydney'!B781))),2,IF(ISNUMBER(SEARCH("CEK:",'Offshore - Sydney'!N781)),1,0))</f>
        <v>0</v>
      </c>
    </row>
    <row r="942" customFormat="false" ht="15" hidden="false" customHeight="false" outlineLevel="0" collapsed="false">
      <c r="A942" s="63" t="s">
        <v>3533</v>
      </c>
      <c r="B942" s="64" t="s">
        <v>4073</v>
      </c>
      <c r="C942" s="63" t="s">
        <v>42</v>
      </c>
      <c r="D942" s="64" t="str">
        <f aca="false">TRIM(LEFT('Offshore - Sydney'!A814,FIND(CHAR(10),'Offshore - Sydney'!A814&amp;CHAR(10))-1))</f>
        <v>Torrens University Australia</v>
      </c>
      <c r="E942" s="63" t="str">
        <f aca="false">'Offshore - Sydney'!C855&amp;""</f>
        <v>2 years</v>
      </c>
      <c r="F942" s="63" t="str">
        <f aca="false">IF('Offshore - Sydney'!D855="","Belum tercatat",'Offshore - Sydney'!D855)</f>
        <v>Term</v>
      </c>
      <c r="G942" s="65" t="n">
        <f aca="false">IF('Offshore - Sydney'!E855="","-",'Offshore - Sydney'!E855)</f>
        <v>6250</v>
      </c>
      <c r="H942" s="63" t="n">
        <f aca="false">IF(ISNUMBER(K942),COUNTIFS($J$6:$J$1854,J942,$K$6:$K$1854,"&lt;"&amp;K942)+1,"-")</f>
        <v>3</v>
      </c>
      <c r="I942" s="64" t="str">
        <f aca="false">IF('Offshore - Sydney'!E855="","Harga belum tersedia - hubungi konsultan TEG",IF(M942=2,"Saat ini tidak menerima pendaftaran siswa internasional baru",IF(M942=1,"Harga perlu dikonfirmasi ke sekolah"&amp;IF(""="","","; "&amp;""),"")))</f>
        <v/>
      </c>
      <c r="J942" s="0" t="s">
        <v>4116</v>
      </c>
      <c r="K942" s="0" t="n">
        <f aca="false">IF(M942=2,"",IF(ISNUMBER(SEARCH("rata-rata:",'Offshore - Sydney'!N855)),VALUE(MID('Offshore - Sydney'!N855,SEARCH("rata-rata:",'Offshore - Sydney'!N855)+11,FIND(";",'Offshore - Sydney'!N855&amp;";",SEARCH("rata-rata:",'Offshore - Sydney'!N855))-SEARCH("rata-rata:",'Offshore - Sydney'!N855)-11)),IF('Offshore - Sydney'!D855="Semester",'Offshore - Sydney'!E855*2,IF('Offshore - Sydney'!D855="Trimester",'Offshore - Sydney'!E855*3,IF('Offshore - Sydney'!D855="Term",'Offshore - Sydney'!E855*4,IF('Offshore - Sydney'!D855="Unit",'Offshore - Sydney'!E855*8,""))))))</f>
        <v>25000</v>
      </c>
      <c r="L942" s="0" t="n">
        <f aca="false">IF(AND(ISNUMBER('Offshore - Sydney'!E855),ISNUMBER(K942),ISNUMBER('Offshore - Sydney'!F855),ISNUMBER('Offshore - Sydney'!G855),OR('Offshore - Sydney'!F855&lt;&gt;0,ISNUMBER(SEARCH("Material 0 terverifikasi",'Offshore - Sydney'!N855))),OR('Offshore - Sydney'!G855&lt;&gt;0,ISNUMBER(SEARCH("Enrolment 0 terverifikasi",'Offshore - Sydney'!N855)))),1,0)</f>
        <v>0</v>
      </c>
      <c r="M942" s="0" t="n">
        <f aca="false">IF(OR('Offshore - Sydney'!E855="",ISNUMBER(SEARCH("BSB80120",'Offshore - Sydney'!B855&amp;'Offshore - Sydney'!N855)),ISNUMBER(SEARCH("Management (Learning)",'Offshore - Sydney'!B855))),2,IF(ISNUMBER(SEARCH("CEK:",'Offshore - Sydney'!N855)),1,0))</f>
        <v>0</v>
      </c>
    </row>
    <row r="943" customFormat="false" ht="15" hidden="false" customHeight="false" outlineLevel="0" collapsed="false">
      <c r="A943" s="61" t="s">
        <v>4117</v>
      </c>
      <c r="B943" s="62"/>
      <c r="C943" s="62"/>
      <c r="D943" s="62"/>
      <c r="E943" s="62"/>
      <c r="F943" s="62"/>
      <c r="G943" s="62"/>
      <c r="H943" s="62"/>
      <c r="I943" s="62"/>
    </row>
    <row r="944" customFormat="false" ht="55.2" hidden="false" customHeight="false" outlineLevel="0" collapsed="false">
      <c r="A944" s="63" t="s">
        <v>3533</v>
      </c>
      <c r="B944" s="64" t="s">
        <v>4073</v>
      </c>
      <c r="C944" s="63" t="s">
        <v>43</v>
      </c>
      <c r="D944" s="64" t="str">
        <f aca="false">TRIM(LEFT('Offshore - Sydney'!A465,FIND(CHAR(10),'Offshore - Sydney'!A465&amp;CHAR(10))-1))</f>
        <v>Greenwich Higher Education (Academy of Interactive Technology Pty Ltd)</v>
      </c>
      <c r="E944" s="63" t="str">
        <f aca="false">'Offshore - Sydney'!C466&amp;""</f>
        <v>3 years</v>
      </c>
      <c r="F944" s="63" t="str">
        <f aca="false">IF('Offshore - Sydney'!D466="","Belum tercatat",'Offshore - Sydney'!D466)</f>
        <v>Unit</v>
      </c>
      <c r="G944" s="65" t="n">
        <f aca="false">IF('Offshore - Sydney'!E466="","-",'Offshore - Sydney'!E466)</f>
        <v>2012.5</v>
      </c>
      <c r="H944" s="63" t="n">
        <f aca="false">IF(ISNUMBER(K944),COUNTIFS($J$6:$J$1854,J944,$K$6:$K$1854,"&lt;"&amp;K944)+1,"-")</f>
        <v>1</v>
      </c>
      <c r="I944" s="64" t="str">
        <f aca="false">IF('Offshore - Sydney'!E466="","Harga belum tersedia - hubungi konsultan TEG",IF(M944=2,"Saat ini tidak menerima pendaftaran siswa internasional baru",IF(M944=1,"Harga perlu dikonfirmasi ke sekolah"&amp;IF("Harga promo s.d. 13/09/2027; Harga dihitung per unit; total tergantung jumlah unit yang diambil; Sudah termasuk beasiswa 30% (syarat berlaku)"="","","; "&amp;"Harga promo s.d. 13/09/2027; Harga dihitung per unit; total tergantung jumlah unit yang diambil; Sudah termasuk beasiswa 30% (syarat berlaku)"),"Harga promo s.d. 13/09/2027; Harga dihitung per unit; total tergantung jumlah unit yang diambil; Sudah termasuk beasiswa 30% (syarat berlaku)")))</f>
        <v>Harga promo s.d. 13/09/2027; Harga dihitung per unit; total tergantung jumlah unit yang diambil; Sudah termasuk beasiswa 30% (syarat berlaku)</v>
      </c>
      <c r="J944" s="0" t="s">
        <v>4118</v>
      </c>
      <c r="K944" s="0" t="n">
        <f aca="false">IF(M944=2,"",IF(ISNUMBER(SEARCH("rata-rata:",'Offshore - Sydney'!N466)),VALUE(MID('Offshore - Sydney'!N466,SEARCH("rata-rata:",'Offshore - Sydney'!N466)+11,FIND(";",'Offshore - Sydney'!N466&amp;";",SEARCH("rata-rata:",'Offshore - Sydney'!N466))-SEARCH("rata-rata:",'Offshore - Sydney'!N466)-11)),IF('Offshore - Sydney'!D466="Semester",'Offshore - Sydney'!E466*2,IF('Offshore - Sydney'!D466="Trimester",'Offshore - Sydney'!E466*3,IF('Offshore - Sydney'!D466="Term",'Offshore - Sydney'!E466*4,IF('Offshore - Sydney'!D466="Unit",'Offshore - Sydney'!E466*8,""))))))</f>
        <v>16100</v>
      </c>
      <c r="L944" s="0" t="n">
        <f aca="false">IF(AND(ISNUMBER('Offshore - Sydney'!E466),ISNUMBER(K944),ISNUMBER('Offshore - Sydney'!F466),ISNUMBER('Offshore - Sydney'!G466),OR('Offshore - Sydney'!F466&lt;&gt;0,ISNUMBER(SEARCH("Material 0 terverifikasi",'Offshore - Sydney'!N466))),OR('Offshore - Sydney'!G466&lt;&gt;0,ISNUMBER(SEARCH("Enrolment 0 terverifikasi",'Offshore - Sydney'!N466)))),1,0)</f>
        <v>1</v>
      </c>
      <c r="M944" s="0" t="n">
        <f aca="false">IF(OR('Offshore - Sydney'!E466="",ISNUMBER(SEARCH("BSB80120",'Offshore - Sydney'!B466&amp;'Offshore - Sydney'!N466)),ISNUMBER(SEARCH("Management (Learning)",'Offshore - Sydney'!B466))),2,IF(ISNUMBER(SEARCH("CEK:",'Offshore - Sydney'!N466)),1,0))</f>
        <v>0</v>
      </c>
    </row>
    <row r="945" customFormat="false" ht="15" hidden="false" customHeight="false" outlineLevel="0" collapsed="false">
      <c r="A945" s="63" t="s">
        <v>3533</v>
      </c>
      <c r="B945" s="64" t="s">
        <v>4073</v>
      </c>
      <c r="C945" s="63" t="s">
        <v>43</v>
      </c>
      <c r="D945" s="64" t="str">
        <f aca="false">TRIM(LEFT('Offshore - Sydney'!A53,FIND(CHAR(10),'Offshore - Sydney'!A53&amp;CHAR(10))-1))</f>
        <v>Academy of Interactive Technology (AIT)</v>
      </c>
      <c r="E945" s="63" t="str">
        <f aca="false">'Offshore - Sydney'!C53&amp;""</f>
        <v>3 years</v>
      </c>
      <c r="F945" s="63" t="str">
        <f aca="false">IF('Offshore - Sydney'!D53="","Belum tercatat",'Offshore - Sydney'!D53)</f>
        <v>Term</v>
      </c>
      <c r="G945" s="65" t="n">
        <f aca="false">IF('Offshore - Sydney'!E53="","-",'Offshore - Sydney'!E53)</f>
        <v>5750</v>
      </c>
      <c r="H945" s="63" t="n">
        <f aca="false">IF(ISNUMBER(K945),COUNTIFS($J$6:$J$1854,J945,$K$6:$K$1854,"&lt;"&amp;K945)+1,"-")</f>
        <v>2</v>
      </c>
      <c r="I945" s="64" t="str">
        <f aca="false">IF('Offshore - Sydney'!E53="","Harga belum tersedia - hubungi konsultan TEG",IF(M945=2,"Saat ini tidak menerima pendaftaran siswa internasional baru",IF(M945=1,"Program perlu dikonfirmasi ketersediaannya"&amp;IF(""="","","; "&amp;""),"")))</f>
        <v>Program perlu dikonfirmasi ketersediaannya</v>
      </c>
      <c r="J945" s="0" t="s">
        <v>4118</v>
      </c>
      <c r="K945" s="0" t="n">
        <f aca="false">IF(M945=2,"",IF(ISNUMBER(SEARCH("rata-rata:",'Offshore - Sydney'!N53)),VALUE(MID('Offshore - Sydney'!N53,SEARCH("rata-rata:",'Offshore - Sydney'!N53)+11,FIND(";",'Offshore - Sydney'!N53&amp;";",SEARCH("rata-rata:",'Offshore - Sydney'!N53))-SEARCH("rata-rata:",'Offshore - Sydney'!N53)-11)),IF('Offshore - Sydney'!D53="Semester",'Offshore - Sydney'!E53*2,IF('Offshore - Sydney'!D53="Trimester",'Offshore - Sydney'!E53*3,IF('Offshore - Sydney'!D53="Term",'Offshore - Sydney'!E53*4,IF('Offshore - Sydney'!D53="Unit",'Offshore - Sydney'!E53*8,""))))))</f>
        <v>23000</v>
      </c>
      <c r="L945" s="0" t="n">
        <f aca="false">IF(AND(ISNUMBER('Offshore - Sydney'!E53),ISNUMBER(K945),ISNUMBER('Offshore - Sydney'!F53),ISNUMBER('Offshore - Sydney'!G53),OR('Offshore - Sydney'!F53&lt;&gt;0,ISNUMBER(SEARCH("Material 0 terverifikasi",'Offshore - Sydney'!N53))),OR('Offshore - Sydney'!G53&lt;&gt;0,ISNUMBER(SEARCH("Enrolment 0 terverifikasi",'Offshore - Sydney'!N53)))),1,0)</f>
        <v>0</v>
      </c>
      <c r="M945" s="0" t="n">
        <f aca="false">IF(OR('Offshore - Sydney'!E53="",ISNUMBER(SEARCH("BSB80120",'Offshore - Sydney'!B53&amp;'Offshore - Sydney'!N53)),ISNUMBER(SEARCH("Management (Learning)",'Offshore - Sydney'!B53))),2,IF(ISNUMBER(SEARCH("CEK:",'Offshore - Sydney'!N53)),1,0))</f>
        <v>1</v>
      </c>
    </row>
    <row r="946" customFormat="false" ht="15" hidden="false" customHeight="false" outlineLevel="0" collapsed="false">
      <c r="A946" s="63" t="s">
        <v>3533</v>
      </c>
      <c r="B946" s="64" t="s">
        <v>4073</v>
      </c>
      <c r="C946" s="63" t="s">
        <v>43</v>
      </c>
      <c r="D946" s="64" t="str">
        <f aca="false">TRIM(LEFT('Offshore - Sydney'!A721,FIND(CHAR(10),'Offshore - Sydney'!A721&amp;CHAR(10))-1))</f>
        <v>TAFE NSW</v>
      </c>
      <c r="E946" s="63" t="str">
        <f aca="false">'Offshore - Sydney'!C779&amp;""</f>
        <v>3 years</v>
      </c>
      <c r="F946" s="63" t="str">
        <f aca="false">IF('Offshore - Sydney'!D779="","Belum tercatat",'Offshore - Sydney'!D779)</f>
        <v>Term</v>
      </c>
      <c r="G946" s="65" t="n">
        <f aca="false">IF('Offshore - Sydney'!E779="","-",'Offshore - Sydney'!E779)</f>
        <v>6060</v>
      </c>
      <c r="H946" s="63" t="n">
        <f aca="false">IF(ISNUMBER(K946),COUNTIFS($J$6:$J$1854,J946,$K$6:$K$1854,"&lt;"&amp;K946)+1,"-")</f>
        <v>3</v>
      </c>
      <c r="I946" s="64" t="str">
        <f aca="false">IF('Offshore - Sydney'!E779="","Harga belum tersedia - hubungi konsultan TEG",IF(M946=2,"Saat ini tidak menerima pendaftaran siswa internasional baru",IF(M946=1,"Harga perlu dikonfirmasi ke sekolah"&amp;IF(""="","","; "&amp;""),"")))</f>
        <v/>
      </c>
      <c r="J946" s="0" t="s">
        <v>4118</v>
      </c>
      <c r="K946" s="0" t="n">
        <f aca="false">IF(M946=2,"",IF(ISNUMBER(SEARCH("rata-rata:",'Offshore - Sydney'!N779)),VALUE(MID('Offshore - Sydney'!N779,SEARCH("rata-rata:",'Offshore - Sydney'!N779)+11,FIND(";",'Offshore - Sydney'!N779&amp;";",SEARCH("rata-rata:",'Offshore - Sydney'!N779))-SEARCH("rata-rata:",'Offshore - Sydney'!N779)-11)),IF('Offshore - Sydney'!D779="Semester",'Offshore - Sydney'!E779*2,IF('Offshore - Sydney'!D779="Trimester",'Offshore - Sydney'!E779*3,IF('Offshore - Sydney'!D779="Term",'Offshore - Sydney'!E779*4,IF('Offshore - Sydney'!D779="Unit",'Offshore - Sydney'!E779*8,""))))))</f>
        <v>24240</v>
      </c>
      <c r="L946" s="0" t="n">
        <f aca="false">IF(AND(ISNUMBER('Offshore - Sydney'!E779),ISNUMBER(K946),ISNUMBER('Offshore - Sydney'!F779),ISNUMBER('Offshore - Sydney'!G779),OR('Offshore - Sydney'!F779&lt;&gt;0,ISNUMBER(SEARCH("Material 0 terverifikasi",'Offshore - Sydney'!N779))),OR('Offshore - Sydney'!G779&lt;&gt;0,ISNUMBER(SEARCH("Enrolment 0 terverifikasi",'Offshore - Sydney'!N779)))),1,0)</f>
        <v>0</v>
      </c>
      <c r="M946" s="0" t="n">
        <f aca="false">IF(OR('Offshore - Sydney'!E779="",ISNUMBER(SEARCH("BSB80120",'Offshore - Sydney'!B779&amp;'Offshore - Sydney'!N779)),ISNUMBER(SEARCH("Management (Learning)",'Offshore - Sydney'!B779))),2,IF(ISNUMBER(SEARCH("CEK:",'Offshore - Sydney'!N779)),1,0))</f>
        <v>0</v>
      </c>
    </row>
    <row r="947" customFormat="false" ht="15" hidden="false" customHeight="false" outlineLevel="0" collapsed="false">
      <c r="A947" s="63" t="s">
        <v>3533</v>
      </c>
      <c r="B947" s="64" t="s">
        <v>4073</v>
      </c>
      <c r="C947" s="63" t="s">
        <v>43</v>
      </c>
      <c r="D947" s="64" t="str">
        <f aca="false">TRIM(LEFT('Offshore - Sydney'!A982,FIND(CHAR(10),'Offshore - Sydney'!A982&amp;CHAR(10))-1))</f>
        <v>Western Sydney University</v>
      </c>
      <c r="E947" s="63" t="str">
        <f aca="false">'Offshore - Sydney'!C982&amp;""</f>
        <v>3 years</v>
      </c>
      <c r="F947" s="63" t="str">
        <f aca="false">IF('Offshore - Sydney'!D982="","Belum tercatat",'Offshore - Sydney'!D982)</f>
        <v>Term</v>
      </c>
      <c r="G947" s="65" t="n">
        <f aca="false">IF('Offshore - Sydney'!E982="","-",'Offshore - Sydney'!E982)</f>
        <v>8125</v>
      </c>
      <c r="H947" s="63" t="n">
        <f aca="false">IF(ISNUMBER(K947),COUNTIFS($J$6:$J$1854,J947,$K$6:$K$1854,"&lt;"&amp;K947)+1,"-")</f>
        <v>4</v>
      </c>
      <c r="I947" s="64" t="str">
        <f aca="false">IF('Offshore - Sydney'!E982="","Harga belum tersedia - hubungi konsultan TEG",IF(M947=2,"Saat ini tidak menerima pendaftaran siswa internasional baru",IF(M947=1,"Harga perlu dikonfirmasi ke sekolah"&amp;IF(""="","","; "&amp;""),"")))</f>
        <v/>
      </c>
      <c r="J947" s="0" t="s">
        <v>4118</v>
      </c>
      <c r="K947" s="0" t="n">
        <f aca="false">IF(M947=2,"",IF(ISNUMBER(SEARCH("rata-rata:",'Offshore - Sydney'!N982)),VALUE(MID('Offshore - Sydney'!N982,SEARCH("rata-rata:",'Offshore - Sydney'!N982)+11,FIND(";",'Offshore - Sydney'!N982&amp;";",SEARCH("rata-rata:",'Offshore - Sydney'!N982))-SEARCH("rata-rata:",'Offshore - Sydney'!N982)-11)),IF('Offshore - Sydney'!D982="Semester",'Offshore - Sydney'!E982*2,IF('Offshore - Sydney'!D982="Trimester",'Offshore - Sydney'!E982*3,IF('Offshore - Sydney'!D982="Term",'Offshore - Sydney'!E982*4,IF('Offshore - Sydney'!D982="Unit",'Offshore - Sydney'!E982*8,""))))))</f>
        <v>32500</v>
      </c>
      <c r="L947" s="0" t="n">
        <f aca="false">IF(AND(ISNUMBER('Offshore - Sydney'!E982),ISNUMBER(K947),ISNUMBER('Offshore - Sydney'!F982),ISNUMBER('Offshore - Sydney'!G982),OR('Offshore - Sydney'!F982&lt;&gt;0,ISNUMBER(SEARCH("Material 0 terverifikasi",'Offshore - Sydney'!N982))),OR('Offshore - Sydney'!G982&lt;&gt;0,ISNUMBER(SEARCH("Enrolment 0 terverifikasi",'Offshore - Sydney'!N982)))),1,0)</f>
        <v>0</v>
      </c>
      <c r="M947" s="0" t="n">
        <f aca="false">IF(OR('Offshore - Sydney'!E982="",ISNUMBER(SEARCH("BSB80120",'Offshore - Sydney'!B982&amp;'Offshore - Sydney'!N982)),ISNUMBER(SEARCH("Management (Learning)",'Offshore - Sydney'!B982))),2,IF(ISNUMBER(SEARCH("CEK:",'Offshore - Sydney'!N982)),1,0))</f>
        <v>0</v>
      </c>
    </row>
    <row r="948" customFormat="false" ht="15" hidden="false" customHeight="false" outlineLevel="0" collapsed="false">
      <c r="A948" s="63" t="s">
        <v>3533</v>
      </c>
      <c r="B948" s="64" t="s">
        <v>4073</v>
      </c>
      <c r="C948" s="63" t="s">
        <v>43</v>
      </c>
      <c r="D948" s="64" t="str">
        <f aca="false">TRIM(LEFT('Offshore - Sydney'!A156,FIND(CHAR(10),'Offshore - Sydney'!A156&amp;CHAR(10))-1))</f>
        <v>Australian Catholic University (ACU)</v>
      </c>
      <c r="E948" s="63" t="str">
        <f aca="false">'Offshore - Sydney'!C191&amp;""</f>
        <v>3 years</v>
      </c>
      <c r="F948" s="63" t="str">
        <f aca="false">IF('Offshore - Sydney'!D191="","Belum tercatat",'Offshore - Sydney'!D191)</f>
        <v>Term</v>
      </c>
      <c r="G948" s="65" t="n">
        <f aca="false">IF('Offshore - Sydney'!E191="","-",'Offshore - Sydney'!E191)</f>
        <v>8906</v>
      </c>
      <c r="H948" s="63" t="n">
        <f aca="false">IF(ISNUMBER(K948),COUNTIFS($J$6:$J$1854,J948,$K$6:$K$1854,"&lt;"&amp;K948)+1,"-")</f>
        <v>5</v>
      </c>
      <c r="I948" s="64" t="str">
        <f aca="false">IF('Offshore - Sydney'!E191="","Harga belum tersedia - hubungi konsultan TEG",IF(M948=2,"Saat ini tidak menerima pendaftaran siswa internasional baru",IF(M948=1,"Harga perlu dikonfirmasi ke sekolah"&amp;IF(""="","","; "&amp;""),"")))</f>
        <v/>
      </c>
      <c r="J948" s="0" t="s">
        <v>4118</v>
      </c>
      <c r="K948" s="0" t="n">
        <f aca="false">IF(M948=2,"",IF(ISNUMBER(SEARCH("rata-rata:",'Offshore - Sydney'!N191)),VALUE(MID('Offshore - Sydney'!N191,SEARCH("rata-rata:",'Offshore - Sydney'!N191)+11,FIND(";",'Offshore - Sydney'!N191&amp;";",SEARCH("rata-rata:",'Offshore - Sydney'!N191))-SEARCH("rata-rata:",'Offshore - Sydney'!N191)-11)),IF('Offshore - Sydney'!D191="Semester",'Offshore - Sydney'!E191*2,IF('Offshore - Sydney'!D191="Trimester",'Offshore - Sydney'!E191*3,IF('Offshore - Sydney'!D191="Term",'Offshore - Sydney'!E191*4,IF('Offshore - Sydney'!D191="Unit",'Offshore - Sydney'!E191*8,""))))))</f>
        <v>35624</v>
      </c>
      <c r="L948" s="0" t="n">
        <f aca="false">IF(AND(ISNUMBER('Offshore - Sydney'!E191),ISNUMBER(K948),ISNUMBER('Offshore - Sydney'!F191),ISNUMBER('Offshore - Sydney'!G191),OR('Offshore - Sydney'!F191&lt;&gt;0,ISNUMBER(SEARCH("Material 0 terverifikasi",'Offshore - Sydney'!N191))),OR('Offshore - Sydney'!G191&lt;&gt;0,ISNUMBER(SEARCH("Enrolment 0 terverifikasi",'Offshore - Sydney'!N191)))),1,0)</f>
        <v>0</v>
      </c>
      <c r="M948" s="0" t="n">
        <f aca="false">IF(OR('Offshore - Sydney'!E191="",ISNUMBER(SEARCH("BSB80120",'Offshore - Sydney'!B191&amp;'Offshore - Sydney'!N191)),ISNUMBER(SEARCH("Management (Learning)",'Offshore - Sydney'!B191))),2,IF(ISNUMBER(SEARCH("CEK:",'Offshore - Sydney'!N191)),1,0))</f>
        <v>0</v>
      </c>
    </row>
    <row r="949" customFormat="false" ht="15" hidden="false" customHeight="false" outlineLevel="0" collapsed="false">
      <c r="A949" s="63" t="s">
        <v>3533</v>
      </c>
      <c r="B949" s="64" t="s">
        <v>4073</v>
      </c>
      <c r="C949" s="63" t="s">
        <v>43</v>
      </c>
      <c r="D949" s="64" t="str">
        <f aca="false">TRIM(LEFT('Offshore - Sydney'!A814,FIND(CHAR(10),'Offshore - Sydney'!A814&amp;CHAR(10))-1))</f>
        <v>Torrens University Australia</v>
      </c>
      <c r="E949" s="63" t="str">
        <f aca="false">'Offshore - Sydney'!C850&amp;""</f>
        <v>3 years</v>
      </c>
      <c r="F949" s="63" t="str">
        <f aca="false">IF('Offshore - Sydney'!D850="","Belum tercatat",'Offshore - Sydney'!D850)</f>
        <v>Term</v>
      </c>
      <c r="G949" s="65" t="n">
        <f aca="false">IF('Offshore - Sydney'!E850="","-",'Offshore - Sydney'!E850)</f>
        <v>9375</v>
      </c>
      <c r="H949" s="63" t="n">
        <f aca="false">IF(ISNUMBER(K949),COUNTIFS($J$6:$J$1854,J949,$K$6:$K$1854,"&lt;"&amp;K949)+1,"-")</f>
        <v>6</v>
      </c>
      <c r="I949" s="64" t="str">
        <f aca="false">IF('Offshore - Sydney'!E850="","Harga belum tersedia - hubungi konsultan TEG",IF(M949=2,"Saat ini tidak menerima pendaftaran siswa internasional baru",IF(M949=1,"Harga perlu dikonfirmasi ke sekolah"&amp;IF(""="","","; "&amp;""),"")))</f>
        <v/>
      </c>
      <c r="J949" s="0" t="s">
        <v>4118</v>
      </c>
      <c r="K949" s="0" t="n">
        <f aca="false">IF(M949=2,"",IF(ISNUMBER(SEARCH("rata-rata:",'Offshore - Sydney'!N850)),VALUE(MID('Offshore - Sydney'!N850,SEARCH("rata-rata:",'Offshore - Sydney'!N850)+11,FIND(";",'Offshore - Sydney'!N850&amp;";",SEARCH("rata-rata:",'Offshore - Sydney'!N850))-SEARCH("rata-rata:",'Offshore - Sydney'!N850)-11)),IF('Offshore - Sydney'!D850="Semester",'Offshore - Sydney'!E850*2,IF('Offshore - Sydney'!D850="Trimester",'Offshore - Sydney'!E850*3,IF('Offshore - Sydney'!D850="Term",'Offshore - Sydney'!E850*4,IF('Offshore - Sydney'!D850="Unit",'Offshore - Sydney'!E850*8,""))))))</f>
        <v>37500</v>
      </c>
      <c r="L949" s="0" t="n">
        <f aca="false">IF(AND(ISNUMBER('Offshore - Sydney'!E850),ISNUMBER(K949),ISNUMBER('Offshore - Sydney'!F850),ISNUMBER('Offshore - Sydney'!G850),OR('Offshore - Sydney'!F850&lt;&gt;0,ISNUMBER(SEARCH("Material 0 terverifikasi",'Offshore - Sydney'!N850))),OR('Offshore - Sydney'!G850&lt;&gt;0,ISNUMBER(SEARCH("Enrolment 0 terverifikasi",'Offshore - Sydney'!N850)))),1,0)</f>
        <v>0</v>
      </c>
      <c r="M949" s="0" t="n">
        <f aca="false">IF(OR('Offshore - Sydney'!E850="",ISNUMBER(SEARCH("BSB80120",'Offshore - Sydney'!B850&amp;'Offshore - Sydney'!N850)),ISNUMBER(SEARCH("Management (Learning)",'Offshore - Sydney'!B850))),2,IF(ISNUMBER(SEARCH("CEK:",'Offshore - Sydney'!N850)),1,0))</f>
        <v>0</v>
      </c>
    </row>
    <row r="950" customFormat="false" ht="15" hidden="false" customHeight="false" outlineLevel="0" collapsed="false">
      <c r="A950" s="61" t="s">
        <v>4119</v>
      </c>
      <c r="B950" s="62"/>
      <c r="C950" s="62"/>
      <c r="D950" s="62"/>
      <c r="E950" s="62"/>
      <c r="F950" s="62"/>
      <c r="G950" s="62"/>
      <c r="H950" s="62"/>
      <c r="I950" s="62"/>
    </row>
    <row r="951" customFormat="false" ht="15" hidden="false" customHeight="false" outlineLevel="0" collapsed="false">
      <c r="A951" s="63" t="s">
        <v>3533</v>
      </c>
      <c r="B951" s="64" t="s">
        <v>4073</v>
      </c>
      <c r="C951" s="63" t="s">
        <v>3707</v>
      </c>
      <c r="D951" s="64" t="str">
        <f aca="false">TRIM(LEFT('Offshore - Sydney'!A814,FIND(CHAR(10),'Offshore - Sydney'!A814&amp;CHAR(10))-1))</f>
        <v>Torrens University Australia</v>
      </c>
      <c r="E951" s="63" t="str">
        <f aca="false">'Offshore - Sydney'!C864&amp;""</f>
        <v>0,5 year</v>
      </c>
      <c r="F951" s="63" t="str">
        <f aca="false">IF('Offshore - Sydney'!D864="","Belum tercatat",'Offshore - Sydney'!D864)</f>
        <v>Term</v>
      </c>
      <c r="G951" s="65" t="n">
        <f aca="false">IF('Offshore - Sydney'!E864="","-",'Offshore - Sydney'!E864)</f>
        <v>4450</v>
      </c>
      <c r="H951" s="63" t="n">
        <f aca="false">IF(ISNUMBER(K951),COUNTIFS($J$6:$J$1854,J951,$K$6:$K$1854,"&lt;"&amp;K951)+1,"-")</f>
        <v>1</v>
      </c>
      <c r="I951" s="64" t="str">
        <f aca="false">IF('Offshore - Sydney'!E864="","Harga belum tersedia - hubungi konsultan TEG",IF(M951=2,"Saat ini tidak menerima pendaftaran siswa internasional baru",IF(M951=1,"Harga perlu dikonfirmasi ke sekolah"&amp;IF(""="","","; "&amp;""),"")))</f>
        <v/>
      </c>
      <c r="J951" s="0" t="s">
        <v>4120</v>
      </c>
      <c r="K951" s="0" t="n">
        <f aca="false">IF(M951=2,"",IF(ISNUMBER(SEARCH("rata-rata:",'Offshore - Sydney'!N864)),VALUE(MID('Offshore - Sydney'!N864,SEARCH("rata-rata:",'Offshore - Sydney'!N864)+11,FIND(";",'Offshore - Sydney'!N864&amp;";",SEARCH("rata-rata:",'Offshore - Sydney'!N864))-SEARCH("rata-rata:",'Offshore - Sydney'!N864)-11)),IF('Offshore - Sydney'!D864="Semester",'Offshore - Sydney'!E864*2,IF('Offshore - Sydney'!D864="Trimester",'Offshore - Sydney'!E864*3,IF('Offshore - Sydney'!D864="Term",'Offshore - Sydney'!E864*4,IF('Offshore - Sydney'!D864="Unit",'Offshore - Sydney'!E864*8,""))))))</f>
        <v>17800</v>
      </c>
      <c r="L951" s="0" t="n">
        <f aca="false">IF(AND(ISNUMBER('Offshore - Sydney'!E864),ISNUMBER(K951),ISNUMBER('Offshore - Sydney'!F864),ISNUMBER('Offshore - Sydney'!G864),OR('Offshore - Sydney'!F864&lt;&gt;0,ISNUMBER(SEARCH("Material 0 terverifikasi",'Offshore - Sydney'!N864))),OR('Offshore - Sydney'!G864&lt;&gt;0,ISNUMBER(SEARCH("Enrolment 0 terverifikasi",'Offshore - Sydney'!N864)))),1,0)</f>
        <v>0</v>
      </c>
      <c r="M951" s="0" t="n">
        <f aca="false">IF(OR('Offshore - Sydney'!E864="",ISNUMBER(SEARCH("BSB80120",'Offshore - Sydney'!B864&amp;'Offshore - Sydney'!N864)),ISNUMBER(SEARCH("Management (Learning)",'Offshore - Sydney'!B864))),2,IF(ISNUMBER(SEARCH("CEK:",'Offshore - Sydney'!N864)),1,0))</f>
        <v>0</v>
      </c>
    </row>
    <row r="952" customFormat="false" ht="15" hidden="false" customHeight="false" outlineLevel="0" collapsed="false">
      <c r="A952" s="61" t="s">
        <v>4121</v>
      </c>
      <c r="B952" s="62"/>
      <c r="C952" s="62"/>
      <c r="D952" s="62"/>
      <c r="E952" s="62"/>
      <c r="F952" s="62"/>
      <c r="G952" s="62"/>
      <c r="H952" s="62"/>
      <c r="I952" s="62"/>
    </row>
    <row r="953" customFormat="false" ht="15" hidden="false" customHeight="false" outlineLevel="0" collapsed="false">
      <c r="A953" s="63" t="s">
        <v>3533</v>
      </c>
      <c r="B953" s="64" t="s">
        <v>4073</v>
      </c>
      <c r="C953" s="63" t="s">
        <v>46</v>
      </c>
      <c r="D953" s="64" t="str">
        <f aca="false">TRIM(LEFT('Offshore - Sydney'!A982,FIND(CHAR(10),'Offshore - Sydney'!A982&amp;CHAR(10))-1))</f>
        <v>Western Sydney University</v>
      </c>
      <c r="E953" s="63" t="str">
        <f aca="false">'Offshore - Sydney'!C1142&amp;""</f>
        <v>2 years</v>
      </c>
      <c r="F953" s="63" t="str">
        <f aca="false">IF('Offshore - Sydney'!D1142="","Belum tercatat",'Offshore - Sydney'!D1142)</f>
        <v>Term</v>
      </c>
      <c r="G953" s="65" t="n">
        <f aca="false">IF('Offshore - Sydney'!E1142="","-",'Offshore - Sydney'!E1142)</f>
        <v>6632</v>
      </c>
      <c r="H953" s="63" t="n">
        <f aca="false">IF(ISNUMBER(K953),COUNTIFS($J$6:$J$1854,J953,$K$6:$K$1854,"&lt;"&amp;K953)+1,"-")</f>
        <v>1</v>
      </c>
      <c r="I953" s="64" t="str">
        <f aca="false">IF('Offshore - Sydney'!E1142="","Harga belum tersedia - hubungi konsultan TEG",IF(M953=2,"Saat ini tidak menerima pendaftaran siswa internasional baru",IF(M953=1,"Harga perlu dikonfirmasi ke sekolah"&amp;IF(""="","","; "&amp;""),"")))</f>
        <v/>
      </c>
      <c r="J953" s="0" t="s">
        <v>4122</v>
      </c>
      <c r="K953" s="0" t="n">
        <f aca="false">IF(M953=2,"",IF(ISNUMBER(SEARCH("rata-rata:",'Offshore - Sydney'!N1142)),VALUE(MID('Offshore - Sydney'!N1142,SEARCH("rata-rata:",'Offshore - Sydney'!N1142)+11,FIND(";",'Offshore - Sydney'!N1142&amp;";",SEARCH("rata-rata:",'Offshore - Sydney'!N1142))-SEARCH("rata-rata:",'Offshore - Sydney'!N1142)-11)),IF('Offshore - Sydney'!D1142="Semester",'Offshore - Sydney'!E1142*2,IF('Offshore - Sydney'!D1142="Trimester",'Offshore - Sydney'!E1142*3,IF('Offshore - Sydney'!D1142="Term",'Offshore - Sydney'!E1142*4,IF('Offshore - Sydney'!D1142="Unit",'Offshore - Sydney'!E1142*8,""))))))</f>
        <v>26528</v>
      </c>
      <c r="L953" s="0" t="n">
        <f aca="false">IF(AND(ISNUMBER('Offshore - Sydney'!E1142),ISNUMBER(K953),ISNUMBER('Offshore - Sydney'!F1142),ISNUMBER('Offshore - Sydney'!G1142),OR('Offshore - Sydney'!F1142&lt;&gt;0,ISNUMBER(SEARCH("Material 0 terverifikasi",'Offshore - Sydney'!N1142))),OR('Offshore - Sydney'!G1142&lt;&gt;0,ISNUMBER(SEARCH("Enrolment 0 terverifikasi",'Offshore - Sydney'!N1142)))),1,0)</f>
        <v>0</v>
      </c>
      <c r="M953" s="0" t="n">
        <f aca="false">IF(OR('Offshore - Sydney'!E1142="",ISNUMBER(SEARCH("BSB80120",'Offshore - Sydney'!B1142&amp;'Offshore - Sydney'!N1142)),ISNUMBER(SEARCH("Management (Learning)",'Offshore - Sydney'!B1142))),2,IF(ISNUMBER(SEARCH("CEK:",'Offshore - Sydney'!N1142)),1,0))</f>
        <v>0</v>
      </c>
    </row>
    <row r="954" customFormat="false" ht="15" hidden="false" customHeight="false" outlineLevel="0" collapsed="false">
      <c r="A954" s="63" t="s">
        <v>3533</v>
      </c>
      <c r="B954" s="64" t="s">
        <v>4073</v>
      </c>
      <c r="C954" s="63" t="s">
        <v>46</v>
      </c>
      <c r="D954" s="64" t="str">
        <f aca="false">TRIM(LEFT('Offshore - Sydney'!A814,FIND(CHAR(10),'Offshore - Sydney'!A814&amp;CHAR(10))-1))</f>
        <v>Torrens University Australia</v>
      </c>
      <c r="E954" s="63" t="str">
        <f aca="false">'Offshore - Sydney'!C865&amp;""</f>
        <v>2 years</v>
      </c>
      <c r="F954" s="63" t="str">
        <f aca="false">IF('Offshore - Sydney'!D865="","Belum tercatat",'Offshore - Sydney'!D865)</f>
        <v>Term</v>
      </c>
      <c r="G954" s="65" t="n">
        <f aca="false">IF('Offshore - Sydney'!E865="","-",'Offshore - Sydney'!E865)</f>
        <v>8900</v>
      </c>
      <c r="H954" s="63" t="n">
        <f aca="false">IF(ISNUMBER(K954),COUNTIFS($J$6:$J$1854,J954,$K$6:$K$1854,"&lt;"&amp;K954)+1,"-")</f>
        <v>2</v>
      </c>
      <c r="I954" s="64" t="str">
        <f aca="false">IF('Offshore - Sydney'!E865="","Harga belum tersedia - hubungi konsultan TEG",IF(M954=2,"Saat ini tidak menerima pendaftaran siswa internasional baru",IF(M954=1,"Harga perlu dikonfirmasi ke sekolah"&amp;IF(""="","","; "&amp;""),"")))</f>
        <v/>
      </c>
      <c r="J954" s="0" t="s">
        <v>4122</v>
      </c>
      <c r="K954" s="0" t="n">
        <f aca="false">IF(M954=2,"",IF(ISNUMBER(SEARCH("rata-rata:",'Offshore - Sydney'!N865)),VALUE(MID('Offshore - Sydney'!N865,SEARCH("rata-rata:",'Offshore - Sydney'!N865)+11,FIND(";",'Offshore - Sydney'!N865&amp;";",SEARCH("rata-rata:",'Offshore - Sydney'!N865))-SEARCH("rata-rata:",'Offshore - Sydney'!N865)-11)),IF('Offshore - Sydney'!D865="Semester",'Offshore - Sydney'!E865*2,IF('Offshore - Sydney'!D865="Trimester",'Offshore - Sydney'!E865*3,IF('Offshore - Sydney'!D865="Term",'Offshore - Sydney'!E865*4,IF('Offshore - Sydney'!D865="Unit",'Offshore - Sydney'!E865*8,""))))))</f>
        <v>35600</v>
      </c>
      <c r="L954" s="0" t="n">
        <f aca="false">IF(AND(ISNUMBER('Offshore - Sydney'!E865),ISNUMBER(K954),ISNUMBER('Offshore - Sydney'!F865),ISNUMBER('Offshore - Sydney'!G865),OR('Offshore - Sydney'!F865&lt;&gt;0,ISNUMBER(SEARCH("Material 0 terverifikasi",'Offshore - Sydney'!N865))),OR('Offshore - Sydney'!G865&lt;&gt;0,ISNUMBER(SEARCH("Enrolment 0 terverifikasi",'Offshore - Sydney'!N865)))),1,0)</f>
        <v>0</v>
      </c>
      <c r="M954" s="0" t="n">
        <f aca="false">IF(OR('Offshore - Sydney'!E865="",ISNUMBER(SEARCH("BSB80120",'Offshore - Sydney'!B865&amp;'Offshore - Sydney'!N865)),ISNUMBER(SEARCH("Management (Learning)",'Offshore - Sydney'!B865))),2,IF(ISNUMBER(SEARCH("CEK:",'Offshore - Sydney'!N865)),1,0))</f>
        <v>0</v>
      </c>
    </row>
    <row r="955" customFormat="false" ht="15" hidden="false" customHeight="false" outlineLevel="0" collapsed="false">
      <c r="A955" s="63" t="s">
        <v>3533</v>
      </c>
      <c r="B955" s="64" t="s">
        <v>4073</v>
      </c>
      <c r="C955" s="63" t="s">
        <v>46</v>
      </c>
      <c r="D955" s="64" t="str">
        <f aca="false">TRIM(LEFT('Offshore - Sydney'!A156,FIND(CHAR(10),'Offshore - Sydney'!A156&amp;CHAR(10))-1))</f>
        <v>Australian Catholic University (ACU)</v>
      </c>
      <c r="E955" s="63" t="str">
        <f aca="false">'Offshore - Sydney'!C211&amp;""</f>
        <v>2 years</v>
      </c>
      <c r="F955" s="63" t="str">
        <f aca="false">IF('Offshore - Sydney'!D211="","Belum tercatat",'Offshore - Sydney'!D211)</f>
        <v>Term</v>
      </c>
      <c r="G955" s="65" t="n">
        <f aca="false">IF('Offshore - Sydney'!E211="","-",'Offshore - Sydney'!E211)</f>
        <v>8906</v>
      </c>
      <c r="H955" s="63" t="n">
        <f aca="false">IF(ISNUMBER(K955),COUNTIFS($J$6:$J$1854,J955,$K$6:$K$1854,"&lt;"&amp;K955)+1,"-")</f>
        <v>3</v>
      </c>
      <c r="I955" s="64" t="str">
        <f aca="false">IF('Offshore - Sydney'!E211="","Harga belum tersedia - hubungi konsultan TEG",IF(M955=2,"Saat ini tidak menerima pendaftaran siswa internasional baru",IF(M955=1,"Harga perlu dikonfirmasi ke sekolah"&amp;IF(""="","","; "&amp;""),"")))</f>
        <v/>
      </c>
      <c r="J955" s="0" t="s">
        <v>4122</v>
      </c>
      <c r="K955" s="0" t="n">
        <f aca="false">IF(M955=2,"",IF(ISNUMBER(SEARCH("rata-rata:",'Offshore - Sydney'!N211)),VALUE(MID('Offshore - Sydney'!N211,SEARCH("rata-rata:",'Offshore - Sydney'!N211)+11,FIND(";",'Offshore - Sydney'!N211&amp;";",SEARCH("rata-rata:",'Offshore - Sydney'!N211))-SEARCH("rata-rata:",'Offshore - Sydney'!N211)-11)),IF('Offshore - Sydney'!D211="Semester",'Offshore - Sydney'!E211*2,IF('Offshore - Sydney'!D211="Trimester",'Offshore - Sydney'!E211*3,IF('Offshore - Sydney'!D211="Term",'Offshore - Sydney'!E211*4,IF('Offshore - Sydney'!D211="Unit",'Offshore - Sydney'!E211*8,""))))))</f>
        <v>35624</v>
      </c>
      <c r="L955" s="0" t="n">
        <f aca="false">IF(AND(ISNUMBER('Offshore - Sydney'!E211),ISNUMBER(K955),ISNUMBER('Offshore - Sydney'!F211),ISNUMBER('Offshore - Sydney'!G211),OR('Offshore - Sydney'!F211&lt;&gt;0,ISNUMBER(SEARCH("Material 0 terverifikasi",'Offshore - Sydney'!N211))),OR('Offshore - Sydney'!G211&lt;&gt;0,ISNUMBER(SEARCH("Enrolment 0 terverifikasi",'Offshore - Sydney'!N211)))),1,0)</f>
        <v>0</v>
      </c>
      <c r="M955" s="0" t="n">
        <f aca="false">IF(OR('Offshore - Sydney'!E211="",ISNUMBER(SEARCH("BSB80120",'Offshore - Sydney'!B211&amp;'Offshore - Sydney'!N211)),ISNUMBER(SEARCH("Management (Learning)",'Offshore - Sydney'!B211))),2,IF(ISNUMBER(SEARCH("CEK:",'Offshore - Sydney'!N211)),1,0))</f>
        <v>0</v>
      </c>
    </row>
    <row r="956" customFormat="false" ht="15" hidden="false" customHeight="false" outlineLevel="0" collapsed="false">
      <c r="A956" s="61" t="s">
        <v>4123</v>
      </c>
      <c r="B956" s="62"/>
      <c r="C956" s="62"/>
      <c r="D956" s="62"/>
      <c r="E956" s="62"/>
      <c r="F956" s="62"/>
      <c r="G956" s="62"/>
      <c r="H956" s="62"/>
      <c r="I956" s="62"/>
    </row>
    <row r="957" customFormat="false" ht="15" hidden="false" customHeight="false" outlineLevel="0" collapsed="false">
      <c r="A957" s="63" t="s">
        <v>3753</v>
      </c>
      <c r="B957" s="64" t="s">
        <v>4073</v>
      </c>
      <c r="C957" s="63" t="s">
        <v>41</v>
      </c>
      <c r="D957" s="64" t="str">
        <f aca="false">TRIM(LEFT('Offshore - Tasmania Hobart'!A21,FIND(CHAR(10),'Offshore - Tasmania Hobart'!A21&amp;CHAR(10))-1))</f>
        <v>University of Tasmania (UTAS)</v>
      </c>
      <c r="E957" s="63" t="str">
        <f aca="false">'Offshore - Tasmania Hobart'!C30&amp;""</f>
        <v>1 year</v>
      </c>
      <c r="F957" s="63" t="str">
        <f aca="false">IF('Offshore - Tasmania Hobart'!D30="","Belum tercatat",'Offshore - Tasmania Hobart'!D30)</f>
        <v>Term</v>
      </c>
      <c r="G957" s="65" t="n">
        <f aca="false">IF('Offshore - Tasmania Hobart'!E30="","-",'Offshore - Tasmania Hobart'!E30)</f>
        <v>10062.5</v>
      </c>
      <c r="H957" s="63" t="n">
        <f aca="false">IF(ISNUMBER(K957),COUNTIFS($J$6:$J$1854,J957,$K$6:$K$1854,"&lt;"&amp;K957)+1,"-")</f>
        <v>1</v>
      </c>
      <c r="I957" s="64" t="str">
        <f aca="false">IF('Offshore - Tasmania Hobart'!E30="","Harga belum tersedia - hubungi konsultan TEG",IF(M957=2,"Saat ini tidak menerima pendaftaran siswa internasional baru",IF(M957=1,"Harga perlu dikonfirmasi ke sekolah"&amp;IF(""="","","; "&amp;""),"")))</f>
        <v>Harga perlu dikonfirmasi ke sekolah</v>
      </c>
      <c r="J957" s="0" t="s">
        <v>4124</v>
      </c>
      <c r="K957" s="0" t="n">
        <f aca="false">IF(M957=2,"",IF(ISNUMBER(SEARCH("rata-rata:",'Offshore - Tasmania Hobart'!N30)),VALUE(MID('Offshore - Tasmania Hobart'!N30,SEARCH("rata-rata:",'Offshore - Tasmania Hobart'!N30)+11,FIND(";",'Offshore - Tasmania Hobart'!N30&amp;";",SEARCH("rata-rata:",'Offshore - Tasmania Hobart'!N30))-SEARCH("rata-rata:",'Offshore - Tasmania Hobart'!N30)-11)),IF('Offshore - Tasmania Hobart'!D30="Semester",'Offshore - Tasmania Hobart'!E30*2,IF('Offshore - Tasmania Hobart'!D30="Trimester",'Offshore - Tasmania Hobart'!E30*3,IF('Offshore - Tasmania Hobart'!D30="Term",'Offshore - Tasmania Hobart'!E30*4,IF('Offshore - Tasmania Hobart'!D30="Unit",'Offshore - Tasmania Hobart'!E30*8,""))))))</f>
        <v>40250</v>
      </c>
      <c r="L957" s="0" t="n">
        <f aca="false">IF(AND(ISNUMBER('Offshore - Tasmania Hobart'!E30),ISNUMBER(K957),ISNUMBER('Offshore - Tasmania Hobart'!F30),ISNUMBER('Offshore - Tasmania Hobart'!G30),OR('Offshore - Tasmania Hobart'!F30&lt;&gt;0,ISNUMBER(SEARCH("Material 0 terverifikasi",'Offshore - Tasmania Hobart'!N30))),OR('Offshore - Tasmania Hobart'!G30&lt;&gt;0,ISNUMBER(SEARCH("Enrolment 0 terverifikasi",'Offshore - Tasmania Hobart'!N30)))),1,0)</f>
        <v>0</v>
      </c>
      <c r="M957" s="0" t="n">
        <f aca="false">IF(OR('Offshore - Tasmania Hobart'!E30="",ISNUMBER(SEARCH("BSB80120",'Offshore - Tasmania Hobart'!B30&amp;'Offshore - Tasmania Hobart'!N30)),ISNUMBER(SEARCH("Management (Learning)",'Offshore - Tasmania Hobart'!B30))),2,IF(ISNUMBER(SEARCH("CEK:",'Offshore - Tasmania Hobart'!N30)),1,0))</f>
        <v>1</v>
      </c>
    </row>
    <row r="958" customFormat="false" ht="15" hidden="false" customHeight="false" outlineLevel="0" collapsed="false">
      <c r="A958" s="61" t="s">
        <v>4125</v>
      </c>
      <c r="B958" s="62"/>
      <c r="C958" s="62"/>
      <c r="D958" s="62"/>
      <c r="E958" s="62"/>
      <c r="F958" s="62"/>
      <c r="G958" s="62"/>
      <c r="H958" s="62"/>
      <c r="I958" s="62"/>
    </row>
    <row r="959" customFormat="false" ht="15" hidden="false" customHeight="false" outlineLevel="0" collapsed="false">
      <c r="A959" s="63" t="s">
        <v>3753</v>
      </c>
      <c r="B959" s="64" t="s">
        <v>4073</v>
      </c>
      <c r="C959" s="63" t="s">
        <v>43</v>
      </c>
      <c r="D959" s="64" t="str">
        <f aca="false">TRIM(LEFT('Offshore - Tasmania Hobart'!A21,FIND(CHAR(10),'Offshore - Tasmania Hobart'!A21&amp;CHAR(10))-1))</f>
        <v>University of Tasmania (UTAS)</v>
      </c>
      <c r="E959" s="63" t="str">
        <f aca="false">'Offshore - Tasmania Hobart'!C34&amp;""</f>
        <v>3 years</v>
      </c>
      <c r="F959" s="63" t="str">
        <f aca="false">IF('Offshore - Tasmania Hobart'!D34="","Belum tercatat",'Offshore - Tasmania Hobart'!D34)</f>
        <v>Term</v>
      </c>
      <c r="G959" s="65" t="n">
        <f aca="false">IF('Offshore - Tasmania Hobart'!E34="","-",'Offshore - Tasmania Hobart'!E34)</f>
        <v>10062.5</v>
      </c>
      <c r="H959" s="63" t="n">
        <f aca="false">IF(ISNUMBER(K959),COUNTIFS($J$6:$J$1854,J959,$K$6:$K$1854,"&lt;"&amp;K959)+1,"-")</f>
        <v>1</v>
      </c>
      <c r="I959" s="64" t="str">
        <f aca="false">IF('Offshore - Tasmania Hobart'!E34="","Harga belum tersedia - hubungi konsultan TEG",IF(M959=2,"Saat ini tidak menerima pendaftaran siswa internasional baru",IF(M959=1,"Harga perlu dikonfirmasi ke sekolah"&amp;IF(""="","","; "&amp;""),"")))</f>
        <v/>
      </c>
      <c r="J959" s="0" t="s">
        <v>4126</v>
      </c>
      <c r="K959" s="0" t="n">
        <f aca="false">IF(M959=2,"",IF(ISNUMBER(SEARCH("rata-rata:",'Offshore - Tasmania Hobart'!N34)),VALUE(MID('Offshore - Tasmania Hobart'!N34,SEARCH("rata-rata:",'Offshore - Tasmania Hobart'!N34)+11,FIND(";",'Offshore - Tasmania Hobart'!N34&amp;";",SEARCH("rata-rata:",'Offshore - Tasmania Hobart'!N34))-SEARCH("rata-rata:",'Offshore - Tasmania Hobart'!N34)-11)),IF('Offshore - Tasmania Hobart'!D34="Semester",'Offshore - Tasmania Hobart'!E34*2,IF('Offshore - Tasmania Hobart'!D34="Trimester",'Offshore - Tasmania Hobart'!E34*3,IF('Offshore - Tasmania Hobart'!D34="Term",'Offshore - Tasmania Hobart'!E34*4,IF('Offshore - Tasmania Hobart'!D34="Unit",'Offshore - Tasmania Hobart'!E34*8,""))))))</f>
        <v>40250</v>
      </c>
      <c r="L959" s="0" t="n">
        <f aca="false">IF(AND(ISNUMBER('Offshore - Tasmania Hobart'!E34),ISNUMBER(K959),ISNUMBER('Offshore - Tasmania Hobart'!F34),ISNUMBER('Offshore - Tasmania Hobart'!G34),OR('Offshore - Tasmania Hobart'!F34&lt;&gt;0,ISNUMBER(SEARCH("Material 0 terverifikasi",'Offshore - Tasmania Hobart'!N34))),OR('Offshore - Tasmania Hobart'!G34&lt;&gt;0,ISNUMBER(SEARCH("Enrolment 0 terverifikasi",'Offshore - Tasmania Hobart'!N34)))),1,0)</f>
        <v>0</v>
      </c>
      <c r="M959" s="0" t="n">
        <f aca="false">IF(OR('Offshore - Tasmania Hobart'!E34="",ISNUMBER(SEARCH("BSB80120",'Offshore - Tasmania Hobart'!B34&amp;'Offshore - Tasmania Hobart'!N34)),ISNUMBER(SEARCH("Management (Learning)",'Offshore - Tasmania Hobart'!B34))),2,IF(ISNUMBER(SEARCH("CEK:",'Offshore - Tasmania Hobart'!N34)),1,0))</f>
        <v>0</v>
      </c>
    </row>
    <row r="960" customFormat="false" ht="15" hidden="false" customHeight="false" outlineLevel="0" collapsed="false">
      <c r="A960" s="61" t="s">
        <v>4127</v>
      </c>
      <c r="B960" s="62"/>
      <c r="C960" s="62"/>
      <c r="D960" s="62"/>
      <c r="E960" s="62"/>
      <c r="F960" s="62"/>
      <c r="G960" s="62"/>
      <c r="H960" s="62"/>
      <c r="I960" s="62"/>
    </row>
    <row r="961" customFormat="false" ht="28.35" hidden="false" customHeight="false" outlineLevel="0" collapsed="false">
      <c r="A961" s="63" t="s">
        <v>3659</v>
      </c>
      <c r="B961" s="64" t="s">
        <v>4128</v>
      </c>
      <c r="C961" s="63" t="s">
        <v>43</v>
      </c>
      <c r="D961" s="64" t="str">
        <f aca="false">TRIM(LEFT('Offshore - Adelaide'!A611,FIND(CHAR(10),'Offshore - Adelaide'!A611&amp;CHAR(10))-1))</f>
        <v>UniSC (University of the Sunshine Coast) - Adelaide</v>
      </c>
      <c r="E961" s="63" t="str">
        <f aca="false">'Offshore - Adelaide'!C612&amp;""</f>
        <v>3 years</v>
      </c>
      <c r="F961" s="63" t="str">
        <f aca="false">IF('Offshore - Adelaide'!D612="","Belum tercatat",'Offshore - Adelaide'!D612)</f>
        <v>Term</v>
      </c>
      <c r="G961" s="65" t="n">
        <f aca="false">IF('Offshore - Adelaide'!E612="","-",'Offshore - Adelaide'!E612)</f>
        <v>6500</v>
      </c>
      <c r="H961" s="63" t="n">
        <f aca="false">IF(ISNUMBER(K961),COUNTIFS($J$6:$J$1854,J961,$K$6:$K$1854,"&lt;"&amp;K961)+1,"-")</f>
        <v>1</v>
      </c>
      <c r="I961" s="64" t="str">
        <f aca="false">IF('Offshore - Adelaide'!E612="","Harga belum tersedia - hubungi konsultan TEG",IF(M961=2,"Saat ini tidak menerima pendaftaran siswa internasional baru",IF(M961=1,"Harga perlu dikonfirmasi ke sekolah"&amp;IF(""="","","; "&amp;""),"")))</f>
        <v>Harga perlu dikonfirmasi ke sekolah</v>
      </c>
      <c r="J961" s="0" t="s">
        <v>4129</v>
      </c>
      <c r="K961" s="0" t="n">
        <f aca="false">IF(M961=2,"",IF(ISNUMBER(SEARCH("rata-rata:",'Offshore - Adelaide'!N612)),VALUE(MID('Offshore - Adelaide'!N612,SEARCH("rata-rata:",'Offshore - Adelaide'!N612)+11,FIND(";",'Offshore - Adelaide'!N612&amp;";",SEARCH("rata-rata:",'Offshore - Adelaide'!N612))-SEARCH("rata-rata:",'Offshore - Adelaide'!N612)-11)),IF('Offshore - Adelaide'!D612="Semester",'Offshore - Adelaide'!E612*2,IF('Offshore - Adelaide'!D612="Trimester",'Offshore - Adelaide'!E612*3,IF('Offshore - Adelaide'!D612="Term",'Offshore - Adelaide'!E612*4,IF('Offshore - Adelaide'!D612="Unit",'Offshore - Adelaide'!E612*8,""))))))</f>
        <v>26000</v>
      </c>
      <c r="L961" s="0" t="n">
        <f aca="false">IF(AND(ISNUMBER('Offshore - Adelaide'!E612),ISNUMBER(K961),ISNUMBER('Offshore - Adelaide'!F612),ISNUMBER('Offshore - Adelaide'!G612),OR('Offshore - Adelaide'!F612&lt;&gt;0,ISNUMBER(SEARCH("Material 0 terverifikasi",'Offshore - Adelaide'!N612))),OR('Offshore - Adelaide'!G612&lt;&gt;0,ISNUMBER(SEARCH("Enrolment 0 terverifikasi",'Offshore - Adelaide'!N612)))),1,0)</f>
        <v>0</v>
      </c>
      <c r="M961" s="0" t="n">
        <f aca="false">IF(OR('Offshore - Adelaide'!E612="",ISNUMBER(SEARCH("BSB80120",'Offshore - Adelaide'!B612&amp;'Offshore - Adelaide'!N612)),ISNUMBER(SEARCH("Management (Learning)",'Offshore - Adelaide'!B612))),2,IF(ISNUMBER(SEARCH("CEK:",'Offshore - Adelaide'!N612)),1,0))</f>
        <v>1</v>
      </c>
    </row>
    <row r="962" customFormat="false" ht="15" hidden="false" customHeight="false" outlineLevel="0" collapsed="false">
      <c r="A962" s="63" t="s">
        <v>3659</v>
      </c>
      <c r="B962" s="64" t="s">
        <v>4128</v>
      </c>
      <c r="C962" s="63" t="s">
        <v>43</v>
      </c>
      <c r="D962" s="64" t="str">
        <f aca="false">TRIM(LEFT('Offshore - Adelaide'!A13,FIND(CHAR(10),'Offshore - Adelaide'!A13&amp;CHAR(10))-1))</f>
        <v>Adelaide University</v>
      </c>
      <c r="E962" s="63" t="str">
        <f aca="false">'Offshore - Adelaide'!C263&amp;""</f>
        <v>3 years</v>
      </c>
      <c r="F962" s="63" t="str">
        <f aca="false">IF('Offshore - Adelaide'!D263="","Belum tercatat",'Offshore - Adelaide'!D263)</f>
        <v>Term</v>
      </c>
      <c r="G962" s="65" t="n">
        <f aca="false">IF('Offshore - Adelaide'!E263="","-",'Offshore - Adelaide'!E263)</f>
        <v>10850</v>
      </c>
      <c r="H962" s="63" t="n">
        <f aca="false">IF(ISNUMBER(K962),COUNTIFS($J$6:$J$1854,J962,$K$6:$K$1854,"&lt;"&amp;K962)+1,"-")</f>
        <v>2</v>
      </c>
      <c r="I962" s="64" t="str">
        <f aca="false">IF('Offshore - Adelaide'!E263="","Harga belum tersedia - hubungi konsultan TEG",IF(M962=2,"Saat ini tidak menerima pendaftaran siswa internasional baru",IF(M962=1,"Harga perlu dikonfirmasi ke sekolah"&amp;IF(""="","","; "&amp;""),"")))</f>
        <v/>
      </c>
      <c r="J962" s="0" t="s">
        <v>4129</v>
      </c>
      <c r="K962" s="0" t="n">
        <f aca="false">IF(M962=2,"",IF(ISNUMBER(SEARCH("rata-rata:",'Offshore - Adelaide'!N263)),VALUE(MID('Offshore - Adelaide'!N263,SEARCH("rata-rata:",'Offshore - Adelaide'!N263)+11,FIND(";",'Offshore - Adelaide'!N263&amp;";",SEARCH("rata-rata:",'Offshore - Adelaide'!N263))-SEARCH("rata-rata:",'Offshore - Adelaide'!N263)-11)),IF('Offshore - Adelaide'!D263="Semester",'Offshore - Adelaide'!E263*2,IF('Offshore - Adelaide'!D263="Trimester",'Offshore - Adelaide'!E263*3,IF('Offshore - Adelaide'!D263="Term",'Offshore - Adelaide'!E263*4,IF('Offshore - Adelaide'!D263="Unit",'Offshore - Adelaide'!E263*8,""))))))</f>
        <v>43400</v>
      </c>
      <c r="L962" s="0" t="n">
        <f aca="false">IF(AND(ISNUMBER('Offshore - Adelaide'!E263),ISNUMBER(K962),ISNUMBER('Offshore - Adelaide'!F263),ISNUMBER('Offshore - Adelaide'!G263),OR('Offshore - Adelaide'!F263&lt;&gt;0,ISNUMBER(SEARCH("Material 0 terverifikasi",'Offshore - Adelaide'!N263))),OR('Offshore - Adelaide'!G263&lt;&gt;0,ISNUMBER(SEARCH("Enrolment 0 terverifikasi",'Offshore - Adelaide'!N263)))),1,0)</f>
        <v>0</v>
      </c>
      <c r="M962" s="0" t="n">
        <f aca="false">IF(OR('Offshore - Adelaide'!E263="",ISNUMBER(SEARCH("BSB80120",'Offshore - Adelaide'!B263&amp;'Offshore - Adelaide'!N263)),ISNUMBER(SEARCH("Management (Learning)",'Offshore - Adelaide'!B263))),2,IF(ISNUMBER(SEARCH("CEK:",'Offshore - Adelaide'!N263)),1,0))</f>
        <v>0</v>
      </c>
    </row>
    <row r="963" customFormat="false" ht="15" hidden="false" customHeight="false" outlineLevel="0" collapsed="false">
      <c r="A963" s="61" t="s">
        <v>4130</v>
      </c>
      <c r="B963" s="62"/>
      <c r="C963" s="62"/>
      <c r="D963" s="62"/>
      <c r="E963" s="62"/>
      <c r="F963" s="62"/>
      <c r="G963" s="62"/>
      <c r="H963" s="62"/>
      <c r="I963" s="62"/>
    </row>
    <row r="964" customFormat="false" ht="15" hidden="false" customHeight="false" outlineLevel="0" collapsed="false">
      <c r="A964" s="63" t="s">
        <v>3659</v>
      </c>
      <c r="B964" s="64" t="s">
        <v>4128</v>
      </c>
      <c r="C964" s="63" t="s">
        <v>46</v>
      </c>
      <c r="D964" s="64" t="str">
        <f aca="false">TRIM(LEFT('Offshore - Adelaide'!A13,FIND(CHAR(10),'Offshore - Adelaide'!A13&amp;CHAR(10))-1))</f>
        <v>Adelaide University</v>
      </c>
      <c r="E964" s="63" t="str">
        <f aca="false">'Offshore - Adelaide'!C369&amp;""</f>
        <v>2 years</v>
      </c>
      <c r="F964" s="63" t="str">
        <f aca="false">IF('Offshore - Adelaide'!D369="","Belum tercatat",'Offshore - Adelaide'!D369)</f>
        <v>Term</v>
      </c>
      <c r="G964" s="65" t="n">
        <f aca="false">IF('Offshore - Adelaide'!E369="","-",'Offshore - Adelaide'!E369)</f>
        <v>11275</v>
      </c>
      <c r="H964" s="63" t="n">
        <f aca="false">IF(ISNUMBER(K964),COUNTIFS($J$6:$J$1854,J964,$K$6:$K$1854,"&lt;"&amp;K964)+1,"-")</f>
        <v>1</v>
      </c>
      <c r="I964" s="64" t="str">
        <f aca="false">IF('Offshore - Adelaide'!E369="","Harga belum tersedia - hubungi konsultan TEG",IF(M964=2,"Saat ini tidak menerima pendaftaran siswa internasional baru",IF(M964=1,"Harga perlu dikonfirmasi ke sekolah"&amp;IF(""="","","; "&amp;""),"")))</f>
        <v/>
      </c>
      <c r="J964" s="0" t="s">
        <v>4131</v>
      </c>
      <c r="K964" s="0" t="n">
        <f aca="false">IF(M964=2,"",IF(ISNUMBER(SEARCH("rata-rata:",'Offshore - Adelaide'!N369)),VALUE(MID('Offshore - Adelaide'!N369,SEARCH("rata-rata:",'Offshore - Adelaide'!N369)+11,FIND(";",'Offshore - Adelaide'!N369&amp;";",SEARCH("rata-rata:",'Offshore - Adelaide'!N369))-SEARCH("rata-rata:",'Offshore - Adelaide'!N369)-11)),IF('Offshore - Adelaide'!D369="Semester",'Offshore - Adelaide'!E369*2,IF('Offshore - Adelaide'!D369="Trimester",'Offshore - Adelaide'!E369*3,IF('Offshore - Adelaide'!D369="Term",'Offshore - Adelaide'!E369*4,IF('Offshore - Adelaide'!D369="Unit",'Offshore - Adelaide'!E369*8,""))))))</f>
        <v>45100</v>
      </c>
      <c r="L964" s="0" t="n">
        <f aca="false">IF(AND(ISNUMBER('Offshore - Adelaide'!E369),ISNUMBER(K964),ISNUMBER('Offshore - Adelaide'!F369),ISNUMBER('Offshore - Adelaide'!G369),OR('Offshore - Adelaide'!F369&lt;&gt;0,ISNUMBER(SEARCH("Material 0 terverifikasi",'Offshore - Adelaide'!N369))),OR('Offshore - Adelaide'!G369&lt;&gt;0,ISNUMBER(SEARCH("Enrolment 0 terverifikasi",'Offshore - Adelaide'!N369)))),1,0)</f>
        <v>0</v>
      </c>
      <c r="M964" s="0" t="n">
        <f aca="false">IF(OR('Offshore - Adelaide'!E369="",ISNUMBER(SEARCH("BSB80120",'Offshore - Adelaide'!B369&amp;'Offshore - Adelaide'!N369)),ISNUMBER(SEARCH("Management (Learning)",'Offshore - Adelaide'!B369))),2,IF(ISNUMBER(SEARCH("CEK:",'Offshore - Adelaide'!N369)),1,0))</f>
        <v>0</v>
      </c>
    </row>
    <row r="965" customFormat="false" ht="15" hidden="false" customHeight="false" outlineLevel="0" collapsed="false">
      <c r="A965" s="61" t="s">
        <v>4132</v>
      </c>
      <c r="B965" s="62"/>
      <c r="C965" s="62"/>
      <c r="D965" s="62"/>
      <c r="E965" s="62"/>
      <c r="F965" s="62"/>
      <c r="G965" s="62"/>
      <c r="H965" s="62"/>
      <c r="I965" s="62"/>
    </row>
    <row r="966" customFormat="false" ht="15" hidden="false" customHeight="false" outlineLevel="0" collapsed="false">
      <c r="A966" s="63" t="s">
        <v>3563</v>
      </c>
      <c r="B966" s="64" t="s">
        <v>4128</v>
      </c>
      <c r="C966" s="63" t="s">
        <v>41</v>
      </c>
      <c r="D966" s="64" t="str">
        <f aca="false">TRIM(LEFT('Offshore - Brisbane'!A53,FIND(CHAR(10),'Offshore - Brisbane'!A53&amp;CHAR(10))-1))</f>
        <v>Australian Catholic University (ACU)</v>
      </c>
      <c r="E966" s="63" t="str">
        <f aca="false">'Offshore - Brisbane'!C149&amp;""</f>
        <v>1 year</v>
      </c>
      <c r="F966" s="63" t="str">
        <f aca="false">IF('Offshore - Brisbane'!D149="","Belum tercatat",'Offshore - Brisbane'!D149)</f>
        <v>Term</v>
      </c>
      <c r="G966" s="65" t="n">
        <f aca="false">IF('Offshore - Brisbane'!E149="","-",'Offshore - Brisbane'!E149)</f>
        <v>8906</v>
      </c>
      <c r="H966" s="63" t="n">
        <f aca="false">IF(ISNUMBER(K966),COUNTIFS($J$6:$J$1854,J966,$K$6:$K$1854,"&lt;"&amp;K966)+1,"-")</f>
        <v>1</v>
      </c>
      <c r="I966" s="64" t="str">
        <f aca="false">IF('Offshore - Brisbane'!E149="","Harga belum tersedia - hubungi konsultan TEG",IF(M966=2,"Saat ini tidak menerima pendaftaran siswa internasional baru",IF(M966=1,"Harga perlu dikonfirmasi ke sekolah"&amp;IF(""="","","; "&amp;""),"")))</f>
        <v/>
      </c>
      <c r="J966" s="0" t="s">
        <v>4133</v>
      </c>
      <c r="K966" s="0" t="n">
        <f aca="false">IF(M966=2,"",IF(ISNUMBER(SEARCH("rata-rata:",'Offshore - Brisbane'!N149)),VALUE(MID('Offshore - Brisbane'!N149,SEARCH("rata-rata:",'Offshore - Brisbane'!N149)+11,FIND(";",'Offshore - Brisbane'!N149&amp;";",SEARCH("rata-rata:",'Offshore - Brisbane'!N149))-SEARCH("rata-rata:",'Offshore - Brisbane'!N149)-11)),IF('Offshore - Brisbane'!D149="Semester",'Offshore - Brisbane'!E149*2,IF('Offshore - Brisbane'!D149="Trimester",'Offshore - Brisbane'!E149*3,IF('Offshore - Brisbane'!D149="Term",'Offshore - Brisbane'!E149*4,IF('Offshore - Brisbane'!D149="Unit",'Offshore - Brisbane'!E149*8,""))))))</f>
        <v>35624</v>
      </c>
      <c r="L966" s="0" t="n">
        <f aca="false">IF(AND(ISNUMBER('Offshore - Brisbane'!E149),ISNUMBER(K966),ISNUMBER('Offshore - Brisbane'!F149),ISNUMBER('Offshore - Brisbane'!G149),OR('Offshore - Brisbane'!F149&lt;&gt;0,ISNUMBER(SEARCH("Material 0 terverifikasi",'Offshore - Brisbane'!N149))),OR('Offshore - Brisbane'!G149&lt;&gt;0,ISNUMBER(SEARCH("Enrolment 0 terverifikasi",'Offshore - Brisbane'!N149)))),1,0)</f>
        <v>0</v>
      </c>
      <c r="M966" s="0" t="n">
        <f aca="false">IF(OR('Offshore - Brisbane'!E149="",ISNUMBER(SEARCH("BSB80120",'Offshore - Brisbane'!B149&amp;'Offshore - Brisbane'!N149)),ISNUMBER(SEARCH("Management (Learning)",'Offshore - Brisbane'!B149))),2,IF(ISNUMBER(SEARCH("CEK:",'Offshore - Brisbane'!N149)),1,0))</f>
        <v>0</v>
      </c>
    </row>
    <row r="967" customFormat="false" ht="15" hidden="false" customHeight="false" outlineLevel="0" collapsed="false">
      <c r="A967" s="61" t="s">
        <v>4134</v>
      </c>
      <c r="B967" s="62"/>
      <c r="C967" s="62"/>
      <c r="D967" s="62"/>
      <c r="E967" s="62"/>
      <c r="F967" s="62"/>
      <c r="G967" s="62"/>
      <c r="H967" s="62"/>
      <c r="I967" s="62"/>
    </row>
    <row r="968" customFormat="false" ht="15" hidden="false" customHeight="false" outlineLevel="0" collapsed="false">
      <c r="A968" s="63" t="s">
        <v>3563</v>
      </c>
      <c r="B968" s="64" t="s">
        <v>4128</v>
      </c>
      <c r="C968" s="63" t="s">
        <v>43</v>
      </c>
      <c r="D968" s="64" t="str">
        <f aca="false">TRIM(LEFT('Offshore - Brisbane'!A53,FIND(CHAR(10),'Offshore - Brisbane'!A53&amp;CHAR(10))-1))</f>
        <v>Australian Catholic University (ACU)</v>
      </c>
      <c r="E968" s="63" t="str">
        <f aca="false">'Offshore - Brisbane'!C90&amp;""</f>
        <v>4 years</v>
      </c>
      <c r="F968" s="63" t="str">
        <f aca="false">IF('Offshore - Brisbane'!D90="","Belum tercatat",'Offshore - Brisbane'!D90)</f>
        <v>Term</v>
      </c>
      <c r="G968" s="65" t="n">
        <f aca="false">IF('Offshore - Brisbane'!E90="","-",'Offshore - Brisbane'!E90)</f>
        <v>8906</v>
      </c>
      <c r="H968" s="63" t="n">
        <f aca="false">IF(ISNUMBER(K968),COUNTIFS($J$6:$J$1854,J968,$K$6:$K$1854,"&lt;"&amp;K968)+1,"-")</f>
        <v>1</v>
      </c>
      <c r="I968" s="64" t="str">
        <f aca="false">IF('Offshore - Brisbane'!E90="","Harga belum tersedia - hubungi konsultan TEG",IF(M968=2,"Saat ini tidak menerima pendaftaran siswa internasional baru",IF(M968=1,"Harga perlu dikonfirmasi ke sekolah"&amp;IF(""="","","; "&amp;""),"")))</f>
        <v/>
      </c>
      <c r="J968" s="0" t="s">
        <v>4135</v>
      </c>
      <c r="K968" s="0" t="n">
        <f aca="false">IF(M968=2,"",IF(ISNUMBER(SEARCH("rata-rata:",'Offshore - Brisbane'!N90)),VALUE(MID('Offshore - Brisbane'!N90,SEARCH("rata-rata:",'Offshore - Brisbane'!N90)+11,FIND(";",'Offshore - Brisbane'!N90&amp;";",SEARCH("rata-rata:",'Offshore - Brisbane'!N90))-SEARCH("rata-rata:",'Offshore - Brisbane'!N90)-11)),IF('Offshore - Brisbane'!D90="Semester",'Offshore - Brisbane'!E90*2,IF('Offshore - Brisbane'!D90="Trimester",'Offshore - Brisbane'!E90*3,IF('Offshore - Brisbane'!D90="Term",'Offshore - Brisbane'!E90*4,IF('Offshore - Brisbane'!D90="Unit",'Offshore - Brisbane'!E90*8,""))))))</f>
        <v>35624</v>
      </c>
      <c r="L968" s="0" t="n">
        <f aca="false">IF(AND(ISNUMBER('Offshore - Brisbane'!E90),ISNUMBER(K968),ISNUMBER('Offshore - Brisbane'!F90),ISNUMBER('Offshore - Brisbane'!G90),OR('Offshore - Brisbane'!F90&lt;&gt;0,ISNUMBER(SEARCH("Material 0 terverifikasi",'Offshore - Brisbane'!N90))),OR('Offshore - Brisbane'!G90&lt;&gt;0,ISNUMBER(SEARCH("Enrolment 0 terverifikasi",'Offshore - Brisbane'!N90)))),1,0)</f>
        <v>0</v>
      </c>
      <c r="M968" s="0" t="n">
        <f aca="false">IF(OR('Offshore - Brisbane'!E90="",ISNUMBER(SEARCH("BSB80120",'Offshore - Brisbane'!B90&amp;'Offshore - Brisbane'!N90)),ISNUMBER(SEARCH("Management (Learning)",'Offshore - Brisbane'!B90))),2,IF(ISNUMBER(SEARCH("CEK:",'Offshore - Brisbane'!N90)),1,0))</f>
        <v>0</v>
      </c>
    </row>
    <row r="969" customFormat="false" ht="15" hidden="false" customHeight="false" outlineLevel="0" collapsed="false">
      <c r="A969" s="61" t="s">
        <v>4136</v>
      </c>
      <c r="B969" s="62"/>
      <c r="C969" s="62"/>
      <c r="D969" s="62"/>
      <c r="E969" s="62"/>
      <c r="F969" s="62"/>
      <c r="G969" s="62"/>
      <c r="H969" s="62"/>
      <c r="I969" s="62"/>
    </row>
    <row r="970" customFormat="false" ht="15" hidden="false" customHeight="false" outlineLevel="0" collapsed="false">
      <c r="A970" s="63" t="s">
        <v>3563</v>
      </c>
      <c r="B970" s="64" t="s">
        <v>4128</v>
      </c>
      <c r="C970" s="63" t="s">
        <v>46</v>
      </c>
      <c r="D970" s="64" t="str">
        <f aca="false">TRIM(LEFT('Offshore - Brisbane'!A53,FIND(CHAR(10),'Offshore - Brisbane'!A53&amp;CHAR(10))-1))</f>
        <v>Australian Catholic University (ACU)</v>
      </c>
      <c r="E970" s="63" t="str">
        <f aca="false">'Offshore - Brisbane'!C84&amp;""</f>
        <v>4 years</v>
      </c>
      <c r="F970" s="63" t="str">
        <f aca="false">IF('Offshore - Brisbane'!D84="","Belum tercatat",'Offshore - Brisbane'!D84)</f>
        <v>Term</v>
      </c>
      <c r="G970" s="65" t="n">
        <f aca="false">IF('Offshore - Brisbane'!E84="","-",'Offshore - Brisbane'!E84)</f>
        <v>8906</v>
      </c>
      <c r="H970" s="63" t="n">
        <f aca="false">IF(ISNUMBER(K970),COUNTIFS($J$6:$J$1854,J970,$K$6:$K$1854,"&lt;"&amp;K970)+1,"-")</f>
        <v>1</v>
      </c>
      <c r="I970" s="64" t="str">
        <f aca="false">IF('Offshore - Brisbane'!E84="","Harga belum tersedia - hubungi konsultan TEG",IF(M970=2,"Saat ini tidak menerima pendaftaran siswa internasional baru",IF(M970=1,"Harga perlu dikonfirmasi ke sekolah"&amp;IF(""="","","; "&amp;""),"")))</f>
        <v/>
      </c>
      <c r="J970" s="0" t="s">
        <v>4137</v>
      </c>
      <c r="K970" s="0" t="n">
        <f aca="false">IF(M970=2,"",IF(ISNUMBER(SEARCH("rata-rata:",'Offshore - Brisbane'!N84)),VALUE(MID('Offshore - Brisbane'!N84,SEARCH("rata-rata:",'Offshore - Brisbane'!N84)+11,FIND(";",'Offshore - Brisbane'!N84&amp;";",SEARCH("rata-rata:",'Offshore - Brisbane'!N84))-SEARCH("rata-rata:",'Offshore - Brisbane'!N84)-11)),IF('Offshore - Brisbane'!D84="Semester",'Offshore - Brisbane'!E84*2,IF('Offshore - Brisbane'!D84="Trimester",'Offshore - Brisbane'!E84*3,IF('Offshore - Brisbane'!D84="Term",'Offshore - Brisbane'!E84*4,IF('Offshore - Brisbane'!D84="Unit",'Offshore - Brisbane'!E84*8,""))))))</f>
        <v>35624</v>
      </c>
      <c r="L970" s="0" t="n">
        <f aca="false">IF(AND(ISNUMBER('Offshore - Brisbane'!E84),ISNUMBER(K970),ISNUMBER('Offshore - Brisbane'!F84),ISNUMBER('Offshore - Brisbane'!G84),OR('Offshore - Brisbane'!F84&lt;&gt;0,ISNUMBER(SEARCH("Material 0 terverifikasi",'Offshore - Brisbane'!N84))),OR('Offshore - Brisbane'!G84&lt;&gt;0,ISNUMBER(SEARCH("Enrolment 0 terverifikasi",'Offshore - Brisbane'!N84)))),1,0)</f>
        <v>0</v>
      </c>
      <c r="M970" s="0" t="n">
        <f aca="false">IF(OR('Offshore - Brisbane'!E84="",ISNUMBER(SEARCH("BSB80120",'Offshore - Brisbane'!B84&amp;'Offshore - Brisbane'!N84)),ISNUMBER(SEARCH("Management (Learning)",'Offshore - Brisbane'!B84))),2,IF(ISNUMBER(SEARCH("CEK:",'Offshore - Brisbane'!N84)),1,0))</f>
        <v>0</v>
      </c>
    </row>
    <row r="971" customFormat="false" ht="15" hidden="false" customHeight="false" outlineLevel="0" collapsed="false">
      <c r="A971" s="61" t="s">
        <v>4138</v>
      </c>
      <c r="B971" s="62"/>
      <c r="C971" s="62"/>
      <c r="D971" s="62"/>
      <c r="E971" s="62"/>
      <c r="F971" s="62"/>
      <c r="G971" s="62"/>
      <c r="H971" s="62"/>
      <c r="I971" s="62"/>
    </row>
    <row r="972" customFormat="false" ht="15" hidden="false" customHeight="false" outlineLevel="0" collapsed="false">
      <c r="A972" s="63" t="s">
        <v>3718</v>
      </c>
      <c r="B972" s="64" t="s">
        <v>4128</v>
      </c>
      <c r="C972" s="63" t="s">
        <v>41</v>
      </c>
      <c r="D972" s="64" t="str">
        <f aca="false">TRIM(LEFT('Offshore - Canberra'!A6,FIND(CHAR(10),'Offshore - Canberra'!A6&amp;CHAR(10))-1))</f>
        <v>Australian Catholic University (ACU)</v>
      </c>
      <c r="E972" s="63" t="str">
        <f aca="false">'Offshore - Canberra'!C102&amp;""</f>
        <v>1 year</v>
      </c>
      <c r="F972" s="63" t="str">
        <f aca="false">IF('Offshore - Canberra'!D102="","Belum tercatat",'Offshore - Canberra'!D102)</f>
        <v>Term</v>
      </c>
      <c r="G972" s="65" t="n">
        <f aca="false">IF('Offshore - Canberra'!E102="","-",'Offshore - Canberra'!E102)</f>
        <v>8906</v>
      </c>
      <c r="H972" s="63" t="n">
        <f aca="false">IF(ISNUMBER(K972),COUNTIFS($J$6:$J$1854,J972,$K$6:$K$1854,"&lt;"&amp;K972)+1,"-")</f>
        <v>1</v>
      </c>
      <c r="I972" s="64" t="str">
        <f aca="false">IF('Offshore - Canberra'!E102="","Harga belum tersedia - hubungi konsultan TEG",IF(M972=2,"Saat ini tidak menerima pendaftaran siswa internasional baru",IF(M972=1,"Harga perlu dikonfirmasi ke sekolah"&amp;IF(""="","","; "&amp;""),"")))</f>
        <v/>
      </c>
      <c r="J972" s="0" t="s">
        <v>4139</v>
      </c>
      <c r="K972" s="0" t="n">
        <f aca="false">IF(M972=2,"",IF(ISNUMBER(SEARCH("rata-rata:",'Offshore - Canberra'!N102)),VALUE(MID('Offshore - Canberra'!N102,SEARCH("rata-rata:",'Offshore - Canberra'!N102)+11,FIND(";",'Offshore - Canberra'!N102&amp;";",SEARCH("rata-rata:",'Offshore - Canberra'!N102))-SEARCH("rata-rata:",'Offshore - Canberra'!N102)-11)),IF('Offshore - Canberra'!D102="Semester",'Offshore - Canberra'!E102*2,IF('Offshore - Canberra'!D102="Trimester",'Offshore - Canberra'!E102*3,IF('Offshore - Canberra'!D102="Term",'Offshore - Canberra'!E102*4,IF('Offshore - Canberra'!D102="Unit",'Offshore - Canberra'!E102*8,""))))))</f>
        <v>35624</v>
      </c>
      <c r="L972" s="0" t="n">
        <f aca="false">IF(AND(ISNUMBER('Offshore - Canberra'!E102),ISNUMBER(K972),ISNUMBER('Offshore - Canberra'!F102),ISNUMBER('Offshore - Canberra'!G102),OR('Offshore - Canberra'!F102&lt;&gt;0,ISNUMBER(SEARCH("Material 0 terverifikasi",'Offshore - Canberra'!N102))),OR('Offshore - Canberra'!G102&lt;&gt;0,ISNUMBER(SEARCH("Enrolment 0 terverifikasi",'Offshore - Canberra'!N102)))),1,0)</f>
        <v>0</v>
      </c>
      <c r="M972" s="0" t="n">
        <f aca="false">IF(OR('Offshore - Canberra'!E102="",ISNUMBER(SEARCH("BSB80120",'Offshore - Canberra'!B102&amp;'Offshore - Canberra'!N102)),ISNUMBER(SEARCH("Management (Learning)",'Offshore - Canberra'!B102))),2,IF(ISNUMBER(SEARCH("CEK:",'Offshore - Canberra'!N102)),1,0))</f>
        <v>0</v>
      </c>
    </row>
    <row r="973" customFormat="false" ht="15" hidden="false" customHeight="false" outlineLevel="0" collapsed="false">
      <c r="A973" s="61" t="s">
        <v>4140</v>
      </c>
      <c r="B973" s="62"/>
      <c r="C973" s="62"/>
      <c r="D973" s="62"/>
      <c r="E973" s="62"/>
      <c r="F973" s="62"/>
      <c r="G973" s="62"/>
      <c r="H973" s="62"/>
      <c r="I973" s="62"/>
    </row>
    <row r="974" customFormat="false" ht="15" hidden="false" customHeight="false" outlineLevel="0" collapsed="false">
      <c r="A974" s="63" t="s">
        <v>3718</v>
      </c>
      <c r="B974" s="64" t="s">
        <v>4128</v>
      </c>
      <c r="C974" s="63" t="s">
        <v>43</v>
      </c>
      <c r="D974" s="64" t="str">
        <f aca="false">TRIM(LEFT('Offshore - Canberra'!A123,FIND(CHAR(10),'Offshore - Canberra'!A123&amp;CHAR(10))-1))</f>
        <v>CIHE Australia</v>
      </c>
      <c r="E974" s="63" t="str">
        <f aca="false">'Offshore - Canberra'!C128&amp;""</f>
        <v>4 years</v>
      </c>
      <c r="F974" s="63" t="str">
        <f aca="false">IF('Offshore - Canberra'!D128="","Belum tercatat",'Offshore - Canberra'!D128)</f>
        <v>Term</v>
      </c>
      <c r="G974" s="65" t="n">
        <f aca="false">IF('Offshore - Canberra'!E128="","-",'Offshore - Canberra'!E128)</f>
        <v>5000</v>
      </c>
      <c r="H974" s="63" t="n">
        <f aca="false">IF(ISNUMBER(K974),COUNTIFS($J$6:$J$1854,J974,$K$6:$K$1854,"&lt;"&amp;K974)+1,"-")</f>
        <v>1</v>
      </c>
      <c r="I974" s="64" t="str">
        <f aca="false">IF('Offshore - Canberra'!E128="","Harga belum tersedia - hubungi konsultan TEG",IF(M974=2,"Saat ini tidak menerima pendaftaran siswa internasional baru",IF(M974=1,"Harga perlu dikonfirmasi ke sekolah"&amp;IF(""="","","; "&amp;""),"")))</f>
        <v>Harga perlu dikonfirmasi ke sekolah</v>
      </c>
      <c r="J974" s="0" t="s">
        <v>4141</v>
      </c>
      <c r="K974" s="0" t="n">
        <f aca="false">IF(M974=2,"",IF(ISNUMBER(SEARCH("rata-rata:",'Offshore - Canberra'!N128)),VALUE(MID('Offshore - Canberra'!N128,SEARCH("rata-rata:",'Offshore - Canberra'!N128)+11,FIND(";",'Offshore - Canberra'!N128&amp;";",SEARCH("rata-rata:",'Offshore - Canberra'!N128))-SEARCH("rata-rata:",'Offshore - Canberra'!N128)-11)),IF('Offshore - Canberra'!D128="Semester",'Offshore - Canberra'!E128*2,IF('Offshore - Canberra'!D128="Trimester",'Offshore - Canberra'!E128*3,IF('Offshore - Canberra'!D128="Term",'Offshore - Canberra'!E128*4,IF('Offshore - Canberra'!D128="Unit",'Offshore - Canberra'!E128*8,""))))))</f>
        <v>20000</v>
      </c>
      <c r="L974" s="0" t="n">
        <f aca="false">IF(AND(ISNUMBER('Offshore - Canberra'!E128),ISNUMBER(K974),ISNUMBER('Offshore - Canberra'!F128),ISNUMBER('Offshore - Canberra'!G128),OR('Offshore - Canberra'!F128&lt;&gt;0,ISNUMBER(SEARCH("Material 0 terverifikasi",'Offshore - Canberra'!N128))),OR('Offshore - Canberra'!G128&lt;&gt;0,ISNUMBER(SEARCH("Enrolment 0 terverifikasi",'Offshore - Canberra'!N128)))),1,0)</f>
        <v>1</v>
      </c>
      <c r="M974" s="0" t="n">
        <f aca="false">IF(OR('Offshore - Canberra'!E128="",ISNUMBER(SEARCH("BSB80120",'Offshore - Canberra'!B128&amp;'Offshore - Canberra'!N128)),ISNUMBER(SEARCH("Management (Learning)",'Offshore - Canberra'!B128))),2,IF(ISNUMBER(SEARCH("CEK:",'Offshore - Canberra'!N128)),1,0))</f>
        <v>1</v>
      </c>
    </row>
    <row r="975" customFormat="false" ht="15" hidden="false" customHeight="false" outlineLevel="0" collapsed="false">
      <c r="A975" s="63" t="s">
        <v>3718</v>
      </c>
      <c r="B975" s="64" t="s">
        <v>4128</v>
      </c>
      <c r="C975" s="63" t="s">
        <v>43</v>
      </c>
      <c r="D975" s="64" t="str">
        <f aca="false">TRIM(LEFT('Offshore - Canberra'!A6,FIND(CHAR(10),'Offshore - Canberra'!A6&amp;CHAR(10))-1))</f>
        <v>Australian Catholic University (ACU)</v>
      </c>
      <c r="E975" s="63" t="str">
        <f aca="false">'Offshore - Canberra'!C43&amp;""</f>
        <v>4 years</v>
      </c>
      <c r="F975" s="63" t="str">
        <f aca="false">IF('Offshore - Canberra'!D43="","Belum tercatat",'Offshore - Canberra'!D43)</f>
        <v>Term</v>
      </c>
      <c r="G975" s="65" t="n">
        <f aca="false">IF('Offshore - Canberra'!E43="","-",'Offshore - Canberra'!E43)</f>
        <v>8906</v>
      </c>
      <c r="H975" s="63" t="n">
        <f aca="false">IF(ISNUMBER(K975),COUNTIFS($J$6:$J$1854,J975,$K$6:$K$1854,"&lt;"&amp;K975)+1,"-")</f>
        <v>2</v>
      </c>
      <c r="I975" s="64" t="str">
        <f aca="false">IF('Offshore - Canberra'!E43="","Harga belum tersedia - hubungi konsultan TEG",IF(M975=2,"Saat ini tidak menerima pendaftaran siswa internasional baru",IF(M975=1,"Harga perlu dikonfirmasi ke sekolah"&amp;IF(""="","","; "&amp;""),"")))</f>
        <v/>
      </c>
      <c r="J975" s="0" t="s">
        <v>4141</v>
      </c>
      <c r="K975" s="0" t="n">
        <f aca="false">IF(M975=2,"",IF(ISNUMBER(SEARCH("rata-rata:",'Offshore - Canberra'!N43)),VALUE(MID('Offshore - Canberra'!N43,SEARCH("rata-rata:",'Offshore - Canberra'!N43)+11,FIND(";",'Offshore - Canberra'!N43&amp;";",SEARCH("rata-rata:",'Offshore - Canberra'!N43))-SEARCH("rata-rata:",'Offshore - Canberra'!N43)-11)),IF('Offshore - Canberra'!D43="Semester",'Offshore - Canberra'!E43*2,IF('Offshore - Canberra'!D43="Trimester",'Offshore - Canberra'!E43*3,IF('Offshore - Canberra'!D43="Term",'Offshore - Canberra'!E43*4,IF('Offshore - Canberra'!D43="Unit",'Offshore - Canberra'!E43*8,""))))))</f>
        <v>35624</v>
      </c>
      <c r="L975" s="0" t="n">
        <f aca="false">IF(AND(ISNUMBER('Offshore - Canberra'!E43),ISNUMBER(K975),ISNUMBER('Offshore - Canberra'!F43),ISNUMBER('Offshore - Canberra'!G43),OR('Offshore - Canberra'!F43&lt;&gt;0,ISNUMBER(SEARCH("Material 0 terverifikasi",'Offshore - Canberra'!N43))),OR('Offshore - Canberra'!G43&lt;&gt;0,ISNUMBER(SEARCH("Enrolment 0 terverifikasi",'Offshore - Canberra'!N43)))),1,0)</f>
        <v>0</v>
      </c>
      <c r="M975" s="0" t="n">
        <f aca="false">IF(OR('Offshore - Canberra'!E43="",ISNUMBER(SEARCH("BSB80120",'Offshore - Canberra'!B43&amp;'Offshore - Canberra'!N43)),ISNUMBER(SEARCH("Management (Learning)",'Offshore - Canberra'!B43))),2,IF(ISNUMBER(SEARCH("CEK:",'Offshore - Canberra'!N43)),1,0))</f>
        <v>0</v>
      </c>
    </row>
    <row r="976" customFormat="false" ht="15" hidden="false" customHeight="false" outlineLevel="0" collapsed="false">
      <c r="A976" s="61" t="s">
        <v>4142</v>
      </c>
      <c r="B976" s="62"/>
      <c r="C976" s="62"/>
      <c r="D976" s="62"/>
      <c r="E976" s="62"/>
      <c r="F976" s="62"/>
      <c r="G976" s="62"/>
      <c r="H976" s="62"/>
      <c r="I976" s="62"/>
    </row>
    <row r="977" customFormat="false" ht="15" hidden="false" customHeight="false" outlineLevel="0" collapsed="false">
      <c r="A977" s="63" t="s">
        <v>3718</v>
      </c>
      <c r="B977" s="64" t="s">
        <v>4128</v>
      </c>
      <c r="C977" s="63" t="s">
        <v>3707</v>
      </c>
      <c r="D977" s="64" t="str">
        <f aca="false">TRIM(LEFT('Offshore - Canberra'!A123,FIND(CHAR(10),'Offshore - Canberra'!A123&amp;CHAR(10))-1))</f>
        <v>CIHE Australia</v>
      </c>
      <c r="E977" s="63" t="str">
        <f aca="false">'Offshore - Canberra'!C126&amp;""</f>
        <v>1 year</v>
      </c>
      <c r="F977" s="63" t="str">
        <f aca="false">IF('Offshore - Canberra'!D126="","Belum tercatat",'Offshore - Canberra'!D126)</f>
        <v>Term</v>
      </c>
      <c r="G977" s="65" t="n">
        <f aca="false">IF('Offshore - Canberra'!E126="","-",'Offshore - Canberra'!E126)</f>
        <v>6250</v>
      </c>
      <c r="H977" s="63" t="n">
        <f aca="false">IF(ISNUMBER(K977),COUNTIFS($J$6:$J$1854,J977,$K$6:$K$1854,"&lt;"&amp;K977)+1,"-")</f>
        <v>1</v>
      </c>
      <c r="I977" s="64" t="str">
        <f aca="false">IF('Offshore - Canberra'!E126="","Harga belum tersedia - hubungi konsultan TEG",IF(M977=2,"Saat ini tidak menerima pendaftaran siswa internasional baru",IF(M977=1,"Harga perlu dikonfirmasi ke sekolah"&amp;IF(""="","","; "&amp;""),"")))</f>
        <v>Harga perlu dikonfirmasi ke sekolah</v>
      </c>
      <c r="J977" s="0" t="s">
        <v>4143</v>
      </c>
      <c r="K977" s="0" t="n">
        <f aca="false">IF(M977=2,"",IF(ISNUMBER(SEARCH("rata-rata:",'Offshore - Canberra'!N126)),VALUE(MID('Offshore - Canberra'!N126,SEARCH("rata-rata:",'Offshore - Canberra'!N126)+11,FIND(";",'Offshore - Canberra'!N126&amp;";",SEARCH("rata-rata:",'Offshore - Canberra'!N126))-SEARCH("rata-rata:",'Offshore - Canberra'!N126)-11)),IF('Offshore - Canberra'!D126="Semester",'Offshore - Canberra'!E126*2,IF('Offshore - Canberra'!D126="Trimester",'Offshore - Canberra'!E126*3,IF('Offshore - Canberra'!D126="Term",'Offshore - Canberra'!E126*4,IF('Offshore - Canberra'!D126="Unit",'Offshore - Canberra'!E126*8,""))))))</f>
        <v>25000</v>
      </c>
      <c r="L977" s="0" t="n">
        <f aca="false">IF(AND(ISNUMBER('Offshore - Canberra'!E126),ISNUMBER(K977),ISNUMBER('Offshore - Canberra'!F126),ISNUMBER('Offshore - Canberra'!G126),OR('Offshore - Canberra'!F126&lt;&gt;0,ISNUMBER(SEARCH("Material 0 terverifikasi",'Offshore - Canberra'!N126))),OR('Offshore - Canberra'!G126&lt;&gt;0,ISNUMBER(SEARCH("Enrolment 0 terverifikasi",'Offshore - Canberra'!N126)))),1,0)</f>
        <v>1</v>
      </c>
      <c r="M977" s="0" t="n">
        <f aca="false">IF(OR('Offshore - Canberra'!E126="",ISNUMBER(SEARCH("BSB80120",'Offshore - Canberra'!B126&amp;'Offshore - Canberra'!N126)),ISNUMBER(SEARCH("Management (Learning)",'Offshore - Canberra'!B126))),2,IF(ISNUMBER(SEARCH("CEK:",'Offshore - Canberra'!N126)),1,0))</f>
        <v>1</v>
      </c>
    </row>
    <row r="978" customFormat="false" ht="15" hidden="false" customHeight="false" outlineLevel="0" collapsed="false">
      <c r="A978" s="61" t="s">
        <v>4144</v>
      </c>
      <c r="B978" s="62"/>
      <c r="C978" s="62"/>
      <c r="D978" s="62"/>
      <c r="E978" s="62"/>
      <c r="F978" s="62"/>
      <c r="G978" s="62"/>
      <c r="H978" s="62"/>
      <c r="I978" s="62"/>
    </row>
    <row r="979" customFormat="false" ht="15" hidden="false" customHeight="false" outlineLevel="0" collapsed="false">
      <c r="A979" s="63" t="s">
        <v>3718</v>
      </c>
      <c r="B979" s="64" t="s">
        <v>4128</v>
      </c>
      <c r="C979" s="63" t="s">
        <v>46</v>
      </c>
      <c r="D979" s="64" t="str">
        <f aca="false">TRIM(LEFT('Offshore - Canberra'!A123,FIND(CHAR(10),'Offshore - Canberra'!A123&amp;CHAR(10))-1))</f>
        <v>CIHE Australia</v>
      </c>
      <c r="E979" s="63" t="str">
        <f aca="false">'Offshore - Canberra'!C127&amp;""</f>
        <v>2 years</v>
      </c>
      <c r="F979" s="63" t="str">
        <f aca="false">IF('Offshore - Canberra'!D127="","Belum tercatat",'Offshore - Canberra'!D127)</f>
        <v>Term</v>
      </c>
      <c r="G979" s="65" t="n">
        <f aca="false">IF('Offshore - Canberra'!E127="","-",'Offshore - Canberra'!E127)</f>
        <v>6250</v>
      </c>
      <c r="H979" s="63" t="n">
        <f aca="false">IF(ISNUMBER(K979),COUNTIFS($J$6:$J$1854,J979,$K$6:$K$1854,"&lt;"&amp;K979)+1,"-")</f>
        <v>1</v>
      </c>
      <c r="I979" s="64" t="str">
        <f aca="false">IF('Offshore - Canberra'!E127="","Harga belum tersedia - hubungi konsultan TEG",IF(M979=2,"Saat ini tidak menerima pendaftaran siswa internasional baru",IF(M979=1,"Harga perlu dikonfirmasi ke sekolah"&amp;IF(""="","","; "&amp;""),"")))</f>
        <v/>
      </c>
      <c r="J979" s="0" t="s">
        <v>4145</v>
      </c>
      <c r="K979" s="0" t="n">
        <f aca="false">IF(M979=2,"",IF(ISNUMBER(SEARCH("rata-rata:",'Offshore - Canberra'!N127)),VALUE(MID('Offshore - Canberra'!N127,SEARCH("rata-rata:",'Offshore - Canberra'!N127)+11,FIND(";",'Offshore - Canberra'!N127&amp;";",SEARCH("rata-rata:",'Offshore - Canberra'!N127))-SEARCH("rata-rata:",'Offshore - Canberra'!N127)-11)),IF('Offshore - Canberra'!D127="Semester",'Offshore - Canberra'!E127*2,IF('Offshore - Canberra'!D127="Trimester",'Offshore - Canberra'!E127*3,IF('Offshore - Canberra'!D127="Term",'Offshore - Canberra'!E127*4,IF('Offshore - Canberra'!D127="Unit",'Offshore - Canberra'!E127*8,""))))))</f>
        <v>25000</v>
      </c>
      <c r="L979" s="0" t="n">
        <f aca="false">IF(AND(ISNUMBER('Offshore - Canberra'!E127),ISNUMBER(K979),ISNUMBER('Offshore - Canberra'!F127),ISNUMBER('Offshore - Canberra'!G127),OR('Offshore - Canberra'!F127&lt;&gt;0,ISNUMBER(SEARCH("Material 0 terverifikasi",'Offshore - Canberra'!N127))),OR('Offshore - Canberra'!G127&lt;&gt;0,ISNUMBER(SEARCH("Enrolment 0 terverifikasi",'Offshore - Canberra'!N127)))),1,0)</f>
        <v>1</v>
      </c>
      <c r="M979" s="0" t="n">
        <f aca="false">IF(OR('Offshore - Canberra'!E127="",ISNUMBER(SEARCH("BSB80120",'Offshore - Canberra'!B127&amp;'Offshore - Canberra'!N127)),ISNUMBER(SEARCH("Management (Learning)",'Offshore - Canberra'!B127))),2,IF(ISNUMBER(SEARCH("CEK:",'Offshore - Canberra'!N127)),1,0))</f>
        <v>0</v>
      </c>
    </row>
    <row r="980" customFormat="false" ht="15" hidden="false" customHeight="false" outlineLevel="0" collapsed="false">
      <c r="A980" s="63" t="s">
        <v>3718</v>
      </c>
      <c r="B980" s="64" t="s">
        <v>4128</v>
      </c>
      <c r="C980" s="63" t="s">
        <v>46</v>
      </c>
      <c r="D980" s="64" t="str">
        <f aca="false">TRIM(LEFT('Offshore - Canberra'!A6,FIND(CHAR(10),'Offshore - Canberra'!A6&amp;CHAR(10))-1))</f>
        <v>Australian Catholic University (ACU)</v>
      </c>
      <c r="E980" s="63" t="str">
        <f aca="false">'Offshore - Canberra'!C37&amp;""</f>
        <v>4 years</v>
      </c>
      <c r="F980" s="63" t="str">
        <f aca="false">IF('Offshore - Canberra'!D37="","Belum tercatat",'Offshore - Canberra'!D37)</f>
        <v>Term</v>
      </c>
      <c r="G980" s="65" t="n">
        <f aca="false">IF('Offshore - Canberra'!E37="","-",'Offshore - Canberra'!E37)</f>
        <v>8906</v>
      </c>
      <c r="H980" s="63" t="n">
        <f aca="false">IF(ISNUMBER(K980),COUNTIFS($J$6:$J$1854,J980,$K$6:$K$1854,"&lt;"&amp;K980)+1,"-")</f>
        <v>2</v>
      </c>
      <c r="I980" s="64" t="str">
        <f aca="false">IF('Offshore - Canberra'!E37="","Harga belum tersedia - hubungi konsultan TEG",IF(M980=2,"Saat ini tidak menerima pendaftaran siswa internasional baru",IF(M980=1,"Harga perlu dikonfirmasi ke sekolah"&amp;IF(""="","","; "&amp;""),"")))</f>
        <v/>
      </c>
      <c r="J980" s="0" t="s">
        <v>4145</v>
      </c>
      <c r="K980" s="0" t="n">
        <f aca="false">IF(M980=2,"",IF(ISNUMBER(SEARCH("rata-rata:",'Offshore - Canberra'!N37)),VALUE(MID('Offshore - Canberra'!N37,SEARCH("rata-rata:",'Offshore - Canberra'!N37)+11,FIND(";",'Offshore - Canberra'!N37&amp;";",SEARCH("rata-rata:",'Offshore - Canberra'!N37))-SEARCH("rata-rata:",'Offshore - Canberra'!N37)-11)),IF('Offshore - Canberra'!D37="Semester",'Offshore - Canberra'!E37*2,IF('Offshore - Canberra'!D37="Trimester",'Offshore - Canberra'!E37*3,IF('Offshore - Canberra'!D37="Term",'Offshore - Canberra'!E37*4,IF('Offshore - Canberra'!D37="Unit",'Offshore - Canberra'!E37*8,""))))))</f>
        <v>35624</v>
      </c>
      <c r="L980" s="0" t="n">
        <f aca="false">IF(AND(ISNUMBER('Offshore - Canberra'!E37),ISNUMBER(K980),ISNUMBER('Offshore - Canberra'!F37),ISNUMBER('Offshore - Canberra'!G37),OR('Offshore - Canberra'!F37&lt;&gt;0,ISNUMBER(SEARCH("Material 0 terverifikasi",'Offshore - Canberra'!N37))),OR('Offshore - Canberra'!G37&lt;&gt;0,ISNUMBER(SEARCH("Enrolment 0 terverifikasi",'Offshore - Canberra'!N37)))),1,0)</f>
        <v>0</v>
      </c>
      <c r="M980" s="0" t="n">
        <f aca="false">IF(OR('Offshore - Canberra'!E37="",ISNUMBER(SEARCH("BSB80120",'Offshore - Canberra'!B37&amp;'Offshore - Canberra'!N37)),ISNUMBER(SEARCH("Management (Learning)",'Offshore - Canberra'!B37))),2,IF(ISNUMBER(SEARCH("CEK:",'Offshore - Canberra'!N37)),1,0))</f>
        <v>0</v>
      </c>
    </row>
    <row r="981" customFormat="false" ht="15" hidden="false" customHeight="false" outlineLevel="0" collapsed="false">
      <c r="A981" s="61" t="s">
        <v>4146</v>
      </c>
      <c r="B981" s="62"/>
      <c r="C981" s="62"/>
      <c r="D981" s="62"/>
      <c r="E981" s="62"/>
      <c r="F981" s="62"/>
      <c r="G981" s="62"/>
      <c r="H981" s="62"/>
      <c r="I981" s="62"/>
    </row>
    <row r="982" customFormat="false" ht="15" hidden="false" customHeight="false" outlineLevel="0" collapsed="false">
      <c r="A982" s="63" t="s">
        <v>3583</v>
      </c>
      <c r="B982" s="64" t="s">
        <v>4128</v>
      </c>
      <c r="C982" s="63" t="s">
        <v>43</v>
      </c>
      <c r="D982" s="64" t="str">
        <f aca="false">TRIM(LEFT('Offshore - Darwin'!A20,FIND(CHAR(10),'Offshore - Darwin'!A20&amp;CHAR(10))-1))</f>
        <v>Charles Darwin University (CDU)</v>
      </c>
      <c r="E982" s="63" t="str">
        <f aca="false">'Offshore - Darwin'!C52&amp;""</f>
        <v>4 years</v>
      </c>
      <c r="F982" s="63" t="str">
        <f aca="false">IF('Offshore - Darwin'!D52="","Belum tercatat",'Offshore - Darwin'!D52)</f>
        <v>Term</v>
      </c>
      <c r="G982" s="65" t="n">
        <f aca="false">IF('Offshore - Darwin'!E52="","-",'Offshore - Darwin'!E52)</f>
        <v>7858</v>
      </c>
      <c r="H982" s="63" t="n">
        <f aca="false">IF(ISNUMBER(K982),COUNTIFS($J$6:$J$1854,J982,$K$6:$K$1854,"&lt;"&amp;K982)+1,"-")</f>
        <v>1</v>
      </c>
      <c r="I982" s="64" t="str">
        <f aca="false">IF('Offshore - Darwin'!E52="","Harga belum tersedia - hubungi konsultan TEG",IF(M982=2,"Saat ini tidak menerima pendaftaran siswa internasional baru",IF(M982=1,"Harga perlu dikonfirmasi ke sekolah"&amp;IF(""="","","; "&amp;""),"")))</f>
        <v/>
      </c>
      <c r="J982" s="0" t="s">
        <v>4147</v>
      </c>
      <c r="K982" s="0" t="n">
        <f aca="false">IF(M982=2,"",IF(ISNUMBER(SEARCH("rata-rata:",'Offshore - Darwin'!N52)),VALUE(MID('Offshore - Darwin'!N52,SEARCH("rata-rata:",'Offshore - Darwin'!N52)+11,FIND(";",'Offshore - Darwin'!N52&amp;";",SEARCH("rata-rata:",'Offshore - Darwin'!N52))-SEARCH("rata-rata:",'Offshore - Darwin'!N52)-11)),IF('Offshore - Darwin'!D52="Semester",'Offshore - Darwin'!E52*2,IF('Offshore - Darwin'!D52="Trimester",'Offshore - Darwin'!E52*3,IF('Offshore - Darwin'!D52="Term",'Offshore - Darwin'!E52*4,IF('Offshore - Darwin'!D52="Unit",'Offshore - Darwin'!E52*8,""))))))</f>
        <v>31432</v>
      </c>
      <c r="L982" s="0" t="n">
        <f aca="false">IF(AND(ISNUMBER('Offshore - Darwin'!E52),ISNUMBER(K982),ISNUMBER('Offshore - Darwin'!F52),ISNUMBER('Offshore - Darwin'!G52),OR('Offshore - Darwin'!F52&lt;&gt;0,ISNUMBER(SEARCH("Material 0 terverifikasi",'Offshore - Darwin'!N52))),OR('Offshore - Darwin'!G52&lt;&gt;0,ISNUMBER(SEARCH("Enrolment 0 terverifikasi",'Offshore - Darwin'!N52)))),1,0)</f>
        <v>0</v>
      </c>
      <c r="M982" s="0" t="n">
        <f aca="false">IF(OR('Offshore - Darwin'!E52="",ISNUMBER(SEARCH("BSB80120",'Offshore - Darwin'!B52&amp;'Offshore - Darwin'!N52)),ISNUMBER(SEARCH("Management (Learning)",'Offshore - Darwin'!B52))),2,IF(ISNUMBER(SEARCH("CEK:",'Offshore - Darwin'!N52)),1,0))</f>
        <v>0</v>
      </c>
    </row>
    <row r="983" customFormat="false" ht="15" hidden="false" customHeight="false" outlineLevel="0" collapsed="false">
      <c r="A983" s="61" t="s">
        <v>4148</v>
      </c>
      <c r="B983" s="62"/>
      <c r="C983" s="62"/>
      <c r="D983" s="62"/>
      <c r="E983" s="62"/>
      <c r="F983" s="62"/>
      <c r="G983" s="62"/>
      <c r="H983" s="62"/>
      <c r="I983" s="62"/>
    </row>
    <row r="984" customFormat="false" ht="15" hidden="false" customHeight="false" outlineLevel="0" collapsed="false">
      <c r="A984" s="63" t="s">
        <v>3583</v>
      </c>
      <c r="B984" s="64" t="s">
        <v>4128</v>
      </c>
      <c r="C984" s="63" t="s">
        <v>3707</v>
      </c>
      <c r="D984" s="64" t="str">
        <f aca="false">TRIM(LEFT('Offshore - Darwin'!A20,FIND(CHAR(10),'Offshore - Darwin'!A20&amp;CHAR(10))-1))</f>
        <v>Charles Darwin University (CDU)</v>
      </c>
      <c r="E984" s="63" t="str">
        <f aca="false">'Offshore - Darwin'!C57&amp;""</f>
        <v>0,5 year</v>
      </c>
      <c r="F984" s="63" t="str">
        <f aca="false">IF('Offshore - Darwin'!D57="","Belum tercatat",'Offshore - Darwin'!D57)</f>
        <v>Term</v>
      </c>
      <c r="G984" s="65" t="n">
        <f aca="false">IF('Offshore - Darwin'!E57="","-",'Offshore - Darwin'!E57)</f>
        <v>8190</v>
      </c>
      <c r="H984" s="63" t="n">
        <f aca="false">IF(ISNUMBER(K984),COUNTIFS($J$6:$J$1854,J984,$K$6:$K$1854,"&lt;"&amp;K984)+1,"-")</f>
        <v>1</v>
      </c>
      <c r="I984" s="64" t="str">
        <f aca="false">IF('Offshore - Darwin'!E57="","Harga belum tersedia - hubungi konsultan TEG",IF(M984=2,"Saat ini tidak menerima pendaftaran siswa internasional baru",IF(M984=1,"Harga perlu dikonfirmasi ke sekolah"&amp;IF(""="","","; "&amp;""),"")))</f>
        <v/>
      </c>
      <c r="J984" s="0" t="s">
        <v>4149</v>
      </c>
      <c r="K984" s="0" t="n">
        <f aca="false">IF(M984=2,"",IF(ISNUMBER(SEARCH("rata-rata:",'Offshore - Darwin'!N57)),VALUE(MID('Offshore - Darwin'!N57,SEARCH("rata-rata:",'Offshore - Darwin'!N57)+11,FIND(";",'Offshore - Darwin'!N57&amp;";",SEARCH("rata-rata:",'Offshore - Darwin'!N57))-SEARCH("rata-rata:",'Offshore - Darwin'!N57)-11)),IF('Offshore - Darwin'!D57="Semester",'Offshore - Darwin'!E57*2,IF('Offshore - Darwin'!D57="Trimester",'Offshore - Darwin'!E57*3,IF('Offshore - Darwin'!D57="Term",'Offshore - Darwin'!E57*4,IF('Offshore - Darwin'!D57="Unit",'Offshore - Darwin'!E57*8,""))))))</f>
        <v>32760</v>
      </c>
      <c r="L984" s="0" t="n">
        <f aca="false">IF(AND(ISNUMBER('Offshore - Darwin'!E57),ISNUMBER(K984),ISNUMBER('Offshore - Darwin'!F57),ISNUMBER('Offshore - Darwin'!G57),OR('Offshore - Darwin'!F57&lt;&gt;0,ISNUMBER(SEARCH("Material 0 terverifikasi",'Offshore - Darwin'!N57))),OR('Offshore - Darwin'!G57&lt;&gt;0,ISNUMBER(SEARCH("Enrolment 0 terverifikasi",'Offshore - Darwin'!N57)))),1,0)</f>
        <v>0</v>
      </c>
      <c r="M984" s="0" t="n">
        <f aca="false">IF(OR('Offshore - Darwin'!E57="",ISNUMBER(SEARCH("BSB80120",'Offshore - Darwin'!B57&amp;'Offshore - Darwin'!N57)),ISNUMBER(SEARCH("Management (Learning)",'Offshore - Darwin'!B57))),2,IF(ISNUMBER(SEARCH("CEK:",'Offshore - Darwin'!N57)),1,0))</f>
        <v>0</v>
      </c>
    </row>
    <row r="985" customFormat="false" ht="15" hidden="false" customHeight="false" outlineLevel="0" collapsed="false">
      <c r="A985" s="61" t="s">
        <v>4150</v>
      </c>
      <c r="B985" s="62"/>
      <c r="C985" s="62"/>
      <c r="D985" s="62"/>
      <c r="E985" s="62"/>
      <c r="F985" s="62"/>
      <c r="G985" s="62"/>
      <c r="H985" s="62"/>
      <c r="I985" s="62"/>
    </row>
    <row r="986" customFormat="false" ht="15" hidden="false" customHeight="false" outlineLevel="0" collapsed="false">
      <c r="A986" s="63" t="s">
        <v>3583</v>
      </c>
      <c r="B986" s="64" t="s">
        <v>4128</v>
      </c>
      <c r="C986" s="63" t="s">
        <v>46</v>
      </c>
      <c r="D986" s="64" t="str">
        <f aca="false">TRIM(LEFT('Offshore - Darwin'!A20,FIND(CHAR(10),'Offshore - Darwin'!A20&amp;CHAR(10))-1))</f>
        <v>Charles Darwin University (CDU)</v>
      </c>
      <c r="E986" s="63" t="str">
        <f aca="false">'Offshore - Darwin'!C56&amp;""</f>
        <v>4,5 years</v>
      </c>
      <c r="F986" s="63" t="str">
        <f aca="false">IF('Offshore - Darwin'!D56="","Belum tercatat",'Offshore - Darwin'!D56)</f>
        <v>Term</v>
      </c>
      <c r="G986" s="65" t="n">
        <f aca="false">IF('Offshore - Darwin'!E56="","-",'Offshore - Darwin'!E56)</f>
        <v>7858</v>
      </c>
      <c r="H986" s="63" t="n">
        <f aca="false">IF(ISNUMBER(K986),COUNTIFS($J$6:$J$1854,J986,$K$6:$K$1854,"&lt;"&amp;K986)+1,"-")</f>
        <v>1</v>
      </c>
      <c r="I986" s="64" t="str">
        <f aca="false">IF('Offshore - Darwin'!E56="","Harga belum tersedia - hubungi konsultan TEG",IF(M986=2,"Saat ini tidak menerima pendaftaran siswa internasional baru",IF(M986=1,"Harga perlu dikonfirmasi ke sekolah"&amp;IF(""="","","; "&amp;""),"")))</f>
        <v/>
      </c>
      <c r="J986" s="0" t="s">
        <v>4151</v>
      </c>
      <c r="K986" s="0" t="n">
        <f aca="false">IF(M986=2,"",IF(ISNUMBER(SEARCH("rata-rata:",'Offshore - Darwin'!N56)),VALUE(MID('Offshore - Darwin'!N56,SEARCH("rata-rata:",'Offshore - Darwin'!N56)+11,FIND(";",'Offshore - Darwin'!N56&amp;";",SEARCH("rata-rata:",'Offshore - Darwin'!N56))-SEARCH("rata-rata:",'Offshore - Darwin'!N56)-11)),IF('Offshore - Darwin'!D56="Semester",'Offshore - Darwin'!E56*2,IF('Offshore - Darwin'!D56="Trimester",'Offshore - Darwin'!E56*3,IF('Offshore - Darwin'!D56="Term",'Offshore - Darwin'!E56*4,IF('Offshore - Darwin'!D56="Unit",'Offshore - Darwin'!E56*8,""))))))</f>
        <v>31432</v>
      </c>
      <c r="L986" s="0" t="n">
        <f aca="false">IF(AND(ISNUMBER('Offshore - Darwin'!E56),ISNUMBER(K986),ISNUMBER('Offshore - Darwin'!F56),ISNUMBER('Offshore - Darwin'!G56),OR('Offshore - Darwin'!F56&lt;&gt;0,ISNUMBER(SEARCH("Material 0 terverifikasi",'Offshore - Darwin'!N56))),OR('Offshore - Darwin'!G56&lt;&gt;0,ISNUMBER(SEARCH("Enrolment 0 terverifikasi",'Offshore - Darwin'!N56)))),1,0)</f>
        <v>0</v>
      </c>
      <c r="M986" s="0" t="n">
        <f aca="false">IF(OR('Offshore - Darwin'!E56="",ISNUMBER(SEARCH("BSB80120",'Offshore - Darwin'!B56&amp;'Offshore - Darwin'!N56)),ISNUMBER(SEARCH("Management (Learning)",'Offshore - Darwin'!B56))),2,IF(ISNUMBER(SEARCH("CEK:",'Offshore - Darwin'!N56)),1,0))</f>
        <v>0</v>
      </c>
    </row>
    <row r="987" customFormat="false" ht="15" hidden="false" customHeight="false" outlineLevel="0" collapsed="false">
      <c r="A987" s="61" t="s">
        <v>4152</v>
      </c>
      <c r="B987" s="62"/>
      <c r="C987" s="62"/>
      <c r="D987" s="62"/>
      <c r="E987" s="62"/>
      <c r="F987" s="62"/>
      <c r="G987" s="62"/>
      <c r="H987" s="62"/>
      <c r="I987" s="62"/>
    </row>
    <row r="988" customFormat="false" ht="28.35" hidden="false" customHeight="false" outlineLevel="0" collapsed="false">
      <c r="A988" s="63" t="s">
        <v>3544</v>
      </c>
      <c r="B988" s="64" t="s">
        <v>4128</v>
      </c>
      <c r="C988" s="63" t="s">
        <v>41</v>
      </c>
      <c r="D988" s="64" t="str">
        <f aca="false">TRIM(LEFT('Offshore - Melbourne'!A435,FIND(CHAR(10),'Offshore - Melbourne'!A435&amp;CHAR(10))-1))</f>
        <v>TKL College (Training for Knowledge and Livelihood)</v>
      </c>
      <c r="E988" s="63" t="str">
        <f aca="false">'Offshore - Melbourne'!C442&amp;""</f>
        <v>2 years</v>
      </c>
      <c r="F988" s="63" t="str">
        <f aca="false">IF('Offshore - Melbourne'!D442="","Belum tercatat",'Offshore - Melbourne'!D442)</f>
        <v>Term</v>
      </c>
      <c r="G988" s="65" t="n">
        <f aca="false">IF('Offshore - Melbourne'!E442="","-",'Offshore - Melbourne'!E442)</f>
        <v>2200</v>
      </c>
      <c r="H988" s="63" t="n">
        <f aca="false">IF(ISNUMBER(K988),COUNTIFS($J$6:$J$1854,J988,$K$6:$K$1854,"&lt;"&amp;K988)+1,"-")</f>
        <v>1</v>
      </c>
      <c r="I988" s="64" t="str">
        <f aca="false">IF('Offshore - Melbourne'!E442="","Harga belum tersedia - hubungi konsultan TEG",IF(M988=2,"Saat ini tidak menerima pendaftaran siswa internasional baru",IF(M988=1,"Program perlu dikonfirmasi ketersediaannya"&amp;IF(""="","","; "&amp;""),"")))</f>
        <v>Program perlu dikonfirmasi ketersediaannya</v>
      </c>
      <c r="J988" s="0" t="s">
        <v>4153</v>
      </c>
      <c r="K988" s="0" t="n">
        <f aca="false">IF(M988=2,"",IF(ISNUMBER(SEARCH("rata-rata:",'Offshore - Melbourne'!N442)),VALUE(MID('Offshore - Melbourne'!N442,SEARCH("rata-rata:",'Offshore - Melbourne'!N442)+11,FIND(";",'Offshore - Melbourne'!N442&amp;";",SEARCH("rata-rata:",'Offshore - Melbourne'!N442))-SEARCH("rata-rata:",'Offshore - Melbourne'!N442)-11)),IF('Offshore - Melbourne'!D442="Semester",'Offshore - Melbourne'!E442*2,IF('Offshore - Melbourne'!D442="Trimester",'Offshore - Melbourne'!E442*3,IF('Offshore - Melbourne'!D442="Term",'Offshore - Melbourne'!E442*4,IF('Offshore - Melbourne'!D442="Unit",'Offshore - Melbourne'!E442*8,""))))))</f>
        <v>8800</v>
      </c>
      <c r="L988" s="0" t="n">
        <f aca="false">IF(AND(ISNUMBER('Offshore - Melbourne'!E442),ISNUMBER(K988),ISNUMBER('Offshore - Melbourne'!F442),ISNUMBER('Offshore - Melbourne'!G442),OR('Offshore - Melbourne'!F442&lt;&gt;0,ISNUMBER(SEARCH("Material 0 terverifikasi",'Offshore - Melbourne'!N442))),OR('Offshore - Melbourne'!G442&lt;&gt;0,ISNUMBER(SEARCH("Enrolment 0 terverifikasi",'Offshore - Melbourne'!N442)))),1,0)</f>
        <v>1</v>
      </c>
      <c r="M988" s="0" t="n">
        <f aca="false">IF(OR('Offshore - Melbourne'!E442="",ISNUMBER(SEARCH("BSB80120",'Offshore - Melbourne'!B442&amp;'Offshore - Melbourne'!N442)),ISNUMBER(SEARCH("Management (Learning)",'Offshore - Melbourne'!B442))),2,IF(ISNUMBER(SEARCH("CEK:",'Offshore - Melbourne'!N442)),1,0))</f>
        <v>1</v>
      </c>
    </row>
    <row r="989" customFormat="false" ht="15" hidden="false" customHeight="false" outlineLevel="0" collapsed="false">
      <c r="A989" s="63" t="s">
        <v>3544</v>
      </c>
      <c r="B989" s="64" t="s">
        <v>4128</v>
      </c>
      <c r="C989" s="63" t="s">
        <v>41</v>
      </c>
      <c r="D989" s="64" t="str">
        <f aca="false">TRIM(LEFT('Offshore - Melbourne'!A95,FIND(CHAR(10),'Offshore - Melbourne'!A95&amp;CHAR(10))-1))</f>
        <v>Australian Catholic University (ACU)</v>
      </c>
      <c r="E989" s="63" t="str">
        <f aca="false">'Offshore - Melbourne'!C191&amp;""</f>
        <v>1 year</v>
      </c>
      <c r="F989" s="63" t="str">
        <f aca="false">IF('Offshore - Melbourne'!D191="","Belum tercatat",'Offshore - Melbourne'!D191)</f>
        <v>Term</v>
      </c>
      <c r="G989" s="65" t="n">
        <f aca="false">IF('Offshore - Melbourne'!E191="","-",'Offshore - Melbourne'!E191)</f>
        <v>8906</v>
      </c>
      <c r="H989" s="63" t="n">
        <f aca="false">IF(ISNUMBER(K989),COUNTIFS($J$6:$J$1854,J989,$K$6:$K$1854,"&lt;"&amp;K989)+1,"-")</f>
        <v>2</v>
      </c>
      <c r="I989" s="64" t="str">
        <f aca="false">IF('Offshore - Melbourne'!E191="","Harga belum tersedia - hubungi konsultan TEG",IF(M989=2,"Saat ini tidak menerima pendaftaran siswa internasional baru",IF(M989=1,"Harga perlu dikonfirmasi ke sekolah"&amp;IF(""="","","; "&amp;""),"")))</f>
        <v/>
      </c>
      <c r="J989" s="0" t="s">
        <v>4153</v>
      </c>
      <c r="K989" s="0" t="n">
        <f aca="false">IF(M989=2,"",IF(ISNUMBER(SEARCH("rata-rata:",'Offshore - Melbourne'!N191)),VALUE(MID('Offshore - Melbourne'!N191,SEARCH("rata-rata:",'Offshore - Melbourne'!N191)+11,FIND(";",'Offshore - Melbourne'!N191&amp;";",SEARCH("rata-rata:",'Offshore - Melbourne'!N191))-SEARCH("rata-rata:",'Offshore - Melbourne'!N191)-11)),IF('Offshore - Melbourne'!D191="Semester",'Offshore - Melbourne'!E191*2,IF('Offshore - Melbourne'!D191="Trimester",'Offshore - Melbourne'!E191*3,IF('Offshore - Melbourne'!D191="Term",'Offshore - Melbourne'!E191*4,IF('Offshore - Melbourne'!D191="Unit",'Offshore - Melbourne'!E191*8,""))))))</f>
        <v>35624</v>
      </c>
      <c r="L989" s="0" t="n">
        <f aca="false">IF(AND(ISNUMBER('Offshore - Melbourne'!E191),ISNUMBER(K989),ISNUMBER('Offshore - Melbourne'!F191),ISNUMBER('Offshore - Melbourne'!G191),OR('Offshore - Melbourne'!F191&lt;&gt;0,ISNUMBER(SEARCH("Material 0 terverifikasi",'Offshore - Melbourne'!N191))),OR('Offshore - Melbourne'!G191&lt;&gt;0,ISNUMBER(SEARCH("Enrolment 0 terverifikasi",'Offshore - Melbourne'!N191)))),1,0)</f>
        <v>0</v>
      </c>
      <c r="M989" s="0" t="n">
        <f aca="false">IF(OR('Offshore - Melbourne'!E191="",ISNUMBER(SEARCH("BSB80120",'Offshore - Melbourne'!B191&amp;'Offshore - Melbourne'!N191)),ISNUMBER(SEARCH("Management (Learning)",'Offshore - Melbourne'!B191))),2,IF(ISNUMBER(SEARCH("CEK:",'Offshore - Melbourne'!N191)),1,0))</f>
        <v>0</v>
      </c>
    </row>
    <row r="990" customFormat="false" ht="15" hidden="false" customHeight="false" outlineLevel="0" collapsed="false">
      <c r="A990" s="61" t="s">
        <v>4154</v>
      </c>
      <c r="B990" s="62"/>
      <c r="C990" s="62"/>
      <c r="D990" s="62"/>
      <c r="E990" s="62"/>
      <c r="F990" s="62"/>
      <c r="G990" s="62"/>
      <c r="H990" s="62"/>
      <c r="I990" s="62"/>
    </row>
    <row r="991" customFormat="false" ht="15" hidden="false" customHeight="false" outlineLevel="0" collapsed="false">
      <c r="A991" s="63" t="s">
        <v>3544</v>
      </c>
      <c r="B991" s="64" t="s">
        <v>4128</v>
      </c>
      <c r="C991" s="63" t="s">
        <v>43</v>
      </c>
      <c r="D991" s="64" t="str">
        <f aca="false">TRIM(LEFT('Offshore - Melbourne'!A95,FIND(CHAR(10),'Offshore - Melbourne'!A95&amp;CHAR(10))-1))</f>
        <v>Australian Catholic University (ACU)</v>
      </c>
      <c r="E991" s="63" t="str">
        <f aca="false">'Offshore - Melbourne'!C132&amp;""</f>
        <v>4 years</v>
      </c>
      <c r="F991" s="63" t="str">
        <f aca="false">IF('Offshore - Melbourne'!D132="","Belum tercatat",'Offshore - Melbourne'!D132)</f>
        <v>Term</v>
      </c>
      <c r="G991" s="65" t="n">
        <f aca="false">IF('Offshore - Melbourne'!E132="","-",'Offshore - Melbourne'!E132)</f>
        <v>8906</v>
      </c>
      <c r="H991" s="63" t="n">
        <f aca="false">IF(ISNUMBER(K991),COUNTIFS($J$6:$J$1854,J991,$K$6:$K$1854,"&lt;"&amp;K991)+1,"-")</f>
        <v>1</v>
      </c>
      <c r="I991" s="64" t="str">
        <f aca="false">IF('Offshore - Melbourne'!E132="","Harga belum tersedia - hubungi konsultan TEG",IF(M991=2,"Saat ini tidak menerima pendaftaran siswa internasional baru",IF(M991=1,"Harga perlu dikonfirmasi ke sekolah"&amp;IF(""="","","; "&amp;""),"")))</f>
        <v/>
      </c>
      <c r="J991" s="0" t="s">
        <v>4155</v>
      </c>
      <c r="K991" s="0" t="n">
        <f aca="false">IF(M991=2,"",IF(ISNUMBER(SEARCH("rata-rata:",'Offshore - Melbourne'!N132)),VALUE(MID('Offshore - Melbourne'!N132,SEARCH("rata-rata:",'Offshore - Melbourne'!N132)+11,FIND(";",'Offshore - Melbourne'!N132&amp;";",SEARCH("rata-rata:",'Offshore - Melbourne'!N132))-SEARCH("rata-rata:",'Offshore - Melbourne'!N132)-11)),IF('Offshore - Melbourne'!D132="Semester",'Offshore - Melbourne'!E132*2,IF('Offshore - Melbourne'!D132="Trimester",'Offshore - Melbourne'!E132*3,IF('Offshore - Melbourne'!D132="Term",'Offshore - Melbourne'!E132*4,IF('Offshore - Melbourne'!D132="Unit",'Offshore - Melbourne'!E132*8,""))))))</f>
        <v>35624</v>
      </c>
      <c r="L991" s="0" t="n">
        <f aca="false">IF(AND(ISNUMBER('Offshore - Melbourne'!E132),ISNUMBER(K991),ISNUMBER('Offshore - Melbourne'!F132),ISNUMBER('Offshore - Melbourne'!G132),OR('Offshore - Melbourne'!F132&lt;&gt;0,ISNUMBER(SEARCH("Material 0 terverifikasi",'Offshore - Melbourne'!N132))),OR('Offshore - Melbourne'!G132&lt;&gt;0,ISNUMBER(SEARCH("Enrolment 0 terverifikasi",'Offshore - Melbourne'!N132)))),1,0)</f>
        <v>0</v>
      </c>
      <c r="M991" s="0" t="n">
        <f aca="false">IF(OR('Offshore - Melbourne'!E132="",ISNUMBER(SEARCH("BSB80120",'Offshore - Melbourne'!B132&amp;'Offshore - Melbourne'!N132)),ISNUMBER(SEARCH("Management (Learning)",'Offshore - Melbourne'!B132))),2,IF(ISNUMBER(SEARCH("CEK:",'Offshore - Melbourne'!N132)),1,0))</f>
        <v>0</v>
      </c>
    </row>
    <row r="992" customFormat="false" ht="15" hidden="false" customHeight="false" outlineLevel="0" collapsed="false">
      <c r="A992" s="61" t="s">
        <v>4156</v>
      </c>
      <c r="B992" s="62"/>
      <c r="C992" s="62"/>
      <c r="D992" s="62"/>
      <c r="E992" s="62"/>
      <c r="F992" s="62"/>
      <c r="G992" s="62"/>
      <c r="H992" s="62"/>
      <c r="I992" s="62"/>
    </row>
    <row r="993" customFormat="false" ht="15" hidden="false" customHeight="false" outlineLevel="0" collapsed="false">
      <c r="A993" s="63" t="s">
        <v>3544</v>
      </c>
      <c r="B993" s="64" t="s">
        <v>4128</v>
      </c>
      <c r="C993" s="63" t="s">
        <v>3707</v>
      </c>
      <c r="D993" s="64" t="str">
        <f aca="false">TRIM(LEFT('Offshore - Melbourne'!A443,FIND(CHAR(10),'Offshore - Melbourne'!A443&amp;CHAR(10))-1))</f>
        <v>Torrens University Australia</v>
      </c>
      <c r="E993" s="63" t="str">
        <f aca="false">'Offshore - Melbourne'!C506&amp;""</f>
        <v>0,5 year</v>
      </c>
      <c r="F993" s="63" t="str">
        <f aca="false">IF('Offshore - Melbourne'!D506="","Belum tercatat",'Offshore - Melbourne'!D506)</f>
        <v>Term</v>
      </c>
      <c r="G993" s="65" t="n">
        <f aca="false">IF('Offshore - Melbourne'!E506="","-",'Offshore - Melbourne'!E506)</f>
        <v>3513</v>
      </c>
      <c r="H993" s="63" t="n">
        <f aca="false">IF(ISNUMBER(K993),COUNTIFS($J$6:$J$1854,J993,$K$6:$K$1854,"&lt;"&amp;K993)+1,"-")</f>
        <v>1</v>
      </c>
      <c r="I993" s="64" t="str">
        <f aca="false">IF('Offshore - Melbourne'!E506="","Harga belum tersedia - hubungi konsultan TEG",IF(M993=2,"Saat ini tidak menerima pendaftaran siswa internasional baru",IF(M993=1,"Harga perlu dikonfirmasi ke sekolah"&amp;IF(""="","","; "&amp;""),"")))</f>
        <v/>
      </c>
      <c r="J993" s="0" t="s">
        <v>4157</v>
      </c>
      <c r="K993" s="0" t="n">
        <f aca="false">IF(M993=2,"",IF(ISNUMBER(SEARCH("rata-rata:",'Offshore - Melbourne'!N506)),VALUE(MID('Offshore - Melbourne'!N506,SEARCH("rata-rata:",'Offshore - Melbourne'!N506)+11,FIND(";",'Offshore - Melbourne'!N506&amp;";",SEARCH("rata-rata:",'Offshore - Melbourne'!N506))-SEARCH("rata-rata:",'Offshore - Melbourne'!N506)-11)),IF('Offshore - Melbourne'!D506="Semester",'Offshore - Melbourne'!E506*2,IF('Offshore - Melbourne'!D506="Trimester",'Offshore - Melbourne'!E506*3,IF('Offshore - Melbourne'!D506="Term",'Offshore - Melbourne'!E506*4,IF('Offshore - Melbourne'!D506="Unit",'Offshore - Melbourne'!E506*8,""))))))</f>
        <v>14052</v>
      </c>
      <c r="L993" s="0" t="n">
        <f aca="false">IF(AND(ISNUMBER('Offshore - Melbourne'!E506),ISNUMBER(K993),ISNUMBER('Offshore - Melbourne'!F506),ISNUMBER('Offshore - Melbourne'!G506),OR('Offshore - Melbourne'!F506&lt;&gt;0,ISNUMBER(SEARCH("Material 0 terverifikasi",'Offshore - Melbourne'!N506))),OR('Offshore - Melbourne'!G506&lt;&gt;0,ISNUMBER(SEARCH("Enrolment 0 terverifikasi",'Offshore - Melbourne'!N506)))),1,0)</f>
        <v>0</v>
      </c>
      <c r="M993" s="0" t="n">
        <f aca="false">IF(OR('Offshore - Melbourne'!E506="",ISNUMBER(SEARCH("BSB80120",'Offshore - Melbourne'!B506&amp;'Offshore - Melbourne'!N506)),ISNUMBER(SEARCH("Management (Learning)",'Offshore - Melbourne'!B506))),2,IF(ISNUMBER(SEARCH("CEK:",'Offshore - Melbourne'!N506)),1,0))</f>
        <v>0</v>
      </c>
    </row>
    <row r="994" customFormat="false" ht="15" hidden="false" customHeight="false" outlineLevel="0" collapsed="false">
      <c r="A994" s="63" t="s">
        <v>3544</v>
      </c>
      <c r="B994" s="64" t="s">
        <v>4128</v>
      </c>
      <c r="C994" s="63" t="s">
        <v>3707</v>
      </c>
      <c r="D994" s="64" t="str">
        <f aca="false">TRIM(LEFT('Offshore - Melbourne'!A322,FIND(CHAR(10),'Offshore - Melbourne'!A322&amp;CHAR(10))-1))</f>
        <v>Laurus Higher Education</v>
      </c>
      <c r="E994" s="63" t="str">
        <f aca="false">'Offshore - Melbourne'!C323&amp;""</f>
        <v>1 year</v>
      </c>
      <c r="F994" s="63" t="str">
        <f aca="false">IF('Offshore - Melbourne'!D323="","Belum tercatat",'Offshore - Melbourne'!D323)</f>
        <v>Term</v>
      </c>
      <c r="G994" s="65" t="n">
        <f aca="false">IF('Offshore - Melbourne'!E323="","-",'Offshore - Melbourne'!E323)</f>
        <v>5000</v>
      </c>
      <c r="H994" s="63" t="n">
        <f aca="false">IF(ISNUMBER(K994),COUNTIFS($J$6:$J$1854,J994,$K$6:$K$1854,"&lt;"&amp;K994)+1,"-")</f>
        <v>2</v>
      </c>
      <c r="I994" s="64" t="str">
        <f aca="false">IF('Offshore - Melbourne'!E323="","Harga belum tersedia - hubungi konsultan TEG",IF(M994=2,"Saat ini tidak menerima pendaftaran siswa internasional baru",IF(M994=1,"Harga perlu dikonfirmasi ke sekolah"&amp;IF(""="","","; "&amp;""),"")))</f>
        <v/>
      </c>
      <c r="J994" s="0" t="s">
        <v>4157</v>
      </c>
      <c r="K994" s="0" t="n">
        <f aca="false">IF(M994=2,"",IF(ISNUMBER(SEARCH("rata-rata:",'Offshore - Melbourne'!N323)),VALUE(MID('Offshore - Melbourne'!N323,SEARCH("rata-rata:",'Offshore - Melbourne'!N323)+11,FIND(";",'Offshore - Melbourne'!N323&amp;";",SEARCH("rata-rata:",'Offshore - Melbourne'!N323))-SEARCH("rata-rata:",'Offshore - Melbourne'!N323)-11)),IF('Offshore - Melbourne'!D323="Semester",'Offshore - Melbourne'!E323*2,IF('Offshore - Melbourne'!D323="Trimester",'Offshore - Melbourne'!E323*3,IF('Offshore - Melbourne'!D323="Term",'Offshore - Melbourne'!E323*4,IF('Offshore - Melbourne'!D323="Unit",'Offshore - Melbourne'!E323*8,""))))))</f>
        <v>20000</v>
      </c>
      <c r="L994" s="0" t="n">
        <f aca="false">IF(AND(ISNUMBER('Offshore - Melbourne'!E323),ISNUMBER(K994),ISNUMBER('Offshore - Melbourne'!F323),ISNUMBER('Offshore - Melbourne'!G323),OR('Offshore - Melbourne'!F323&lt;&gt;0,ISNUMBER(SEARCH("Material 0 terverifikasi",'Offshore - Melbourne'!N323))),OR('Offshore - Melbourne'!G323&lt;&gt;0,ISNUMBER(SEARCH("Enrolment 0 terverifikasi",'Offshore - Melbourne'!N323)))),1,0)</f>
        <v>1</v>
      </c>
      <c r="M994" s="0" t="n">
        <f aca="false">IF(OR('Offshore - Melbourne'!E323="",ISNUMBER(SEARCH("BSB80120",'Offshore - Melbourne'!B323&amp;'Offshore - Melbourne'!N323)),ISNUMBER(SEARCH("Management (Learning)",'Offshore - Melbourne'!B323))),2,IF(ISNUMBER(SEARCH("CEK:",'Offshore - Melbourne'!N323)),1,0))</f>
        <v>0</v>
      </c>
    </row>
    <row r="995" customFormat="false" ht="15" hidden="false" customHeight="false" outlineLevel="0" collapsed="false">
      <c r="A995" s="61" t="s">
        <v>4158</v>
      </c>
      <c r="B995" s="62"/>
      <c r="C995" s="62"/>
      <c r="D995" s="62"/>
      <c r="E995" s="62"/>
      <c r="F995" s="62"/>
      <c r="G995" s="62"/>
      <c r="H995" s="62"/>
      <c r="I995" s="62"/>
    </row>
    <row r="996" customFormat="false" ht="15" hidden="false" customHeight="false" outlineLevel="0" collapsed="false">
      <c r="A996" s="63" t="s">
        <v>3544</v>
      </c>
      <c r="B996" s="64" t="s">
        <v>4128</v>
      </c>
      <c r="C996" s="63" t="s">
        <v>46</v>
      </c>
      <c r="D996" s="64" t="str">
        <f aca="false">TRIM(LEFT('Offshore - Melbourne'!A284,FIND(CHAR(10),'Offshore - Melbourne'!A284&amp;CHAR(10))-1))</f>
        <v>Higher Education Leadership Institute (HELI)</v>
      </c>
      <c r="E996" s="63" t="str">
        <f aca="false">'Offshore - Melbourne'!C286&amp;""</f>
        <v>2 years</v>
      </c>
      <c r="F996" s="63" t="str">
        <f aca="false">IF('Offshore - Melbourne'!D286="","Belum tercatat",'Offshore - Melbourne'!D286)</f>
        <v>Trimester</v>
      </c>
      <c r="G996" s="65" t="n">
        <f aca="false">IF('Offshore - Melbourne'!E286="","-",'Offshore - Melbourne'!E286)</f>
        <v>8100</v>
      </c>
      <c r="H996" s="63" t="n">
        <f aca="false">IF(ISNUMBER(K996),COUNTIFS($J$6:$J$1854,J996,$K$6:$K$1854,"&lt;"&amp;K996)+1,"-")</f>
        <v>1</v>
      </c>
      <c r="I996" s="64" t="str">
        <f aca="false">IF('Offshore - Melbourne'!E286="","Harga belum tersedia - hubungi konsultan TEG",IF(M996=2,"Saat ini tidak menerima pendaftaran siswa internasional baru",IF(M996=1,"Harga perlu dikonfirmasi ke sekolah"&amp;IF(""="","","; "&amp;""),"")))</f>
        <v/>
      </c>
      <c r="J996" s="0" t="s">
        <v>4159</v>
      </c>
      <c r="K996" s="0" t="n">
        <f aca="false">IF(M996=2,"",IF(ISNUMBER(SEARCH("rata-rata:",'Offshore - Melbourne'!N286)),VALUE(MID('Offshore - Melbourne'!N286,SEARCH("rata-rata:",'Offshore - Melbourne'!N286)+11,FIND(";",'Offshore - Melbourne'!N286&amp;";",SEARCH("rata-rata:",'Offshore - Melbourne'!N286))-SEARCH("rata-rata:",'Offshore - Melbourne'!N286)-11)),IF('Offshore - Melbourne'!D286="Semester",'Offshore - Melbourne'!E286*2,IF('Offshore - Melbourne'!D286="Trimester",'Offshore - Melbourne'!E286*3,IF('Offshore - Melbourne'!D286="Term",'Offshore - Melbourne'!E286*4,IF('Offshore - Melbourne'!D286="Unit",'Offshore - Melbourne'!E286*8,""))))))</f>
        <v>24300</v>
      </c>
      <c r="L996" s="0" t="n">
        <f aca="false">IF(AND(ISNUMBER('Offshore - Melbourne'!E286),ISNUMBER(K996),ISNUMBER('Offshore - Melbourne'!F286),ISNUMBER('Offshore - Melbourne'!G286),OR('Offshore - Melbourne'!F286&lt;&gt;0,ISNUMBER(SEARCH("Material 0 terverifikasi",'Offshore - Melbourne'!N286))),OR('Offshore - Melbourne'!G286&lt;&gt;0,ISNUMBER(SEARCH("Enrolment 0 terverifikasi",'Offshore - Melbourne'!N286)))),1,0)</f>
        <v>0</v>
      </c>
      <c r="M996" s="0" t="n">
        <f aca="false">IF(OR('Offshore - Melbourne'!E286="",ISNUMBER(SEARCH("BSB80120",'Offshore - Melbourne'!B286&amp;'Offshore - Melbourne'!N286)),ISNUMBER(SEARCH("Management (Learning)",'Offshore - Melbourne'!B286))),2,IF(ISNUMBER(SEARCH("CEK:",'Offshore - Melbourne'!N286)),1,0))</f>
        <v>0</v>
      </c>
    </row>
    <row r="997" customFormat="false" ht="15" hidden="false" customHeight="false" outlineLevel="0" collapsed="false">
      <c r="A997" s="63" t="s">
        <v>3544</v>
      </c>
      <c r="B997" s="64" t="s">
        <v>4128</v>
      </c>
      <c r="C997" s="63" t="s">
        <v>46</v>
      </c>
      <c r="D997" s="64" t="str">
        <f aca="false">TRIM(LEFT('Offshore - Melbourne'!A443,FIND(CHAR(10),'Offshore - Melbourne'!A443&amp;CHAR(10))-1))</f>
        <v>Torrens University Australia</v>
      </c>
      <c r="E997" s="63" t="str">
        <f aca="false">'Offshore - Melbourne'!C508&amp;""</f>
        <v>1,5 years</v>
      </c>
      <c r="F997" s="63" t="str">
        <f aca="false">IF('Offshore - Melbourne'!D508="","Belum tercatat",'Offshore - Melbourne'!D508)</f>
        <v>Term</v>
      </c>
      <c r="G997" s="65" t="n">
        <f aca="false">IF('Offshore - Melbourne'!E508="","-",'Offshore - Melbourne'!E508)</f>
        <v>7025</v>
      </c>
      <c r="H997" s="63" t="n">
        <f aca="false">IF(ISNUMBER(K997),COUNTIFS($J$6:$J$1854,J997,$K$6:$K$1854,"&lt;"&amp;K997)+1,"-")</f>
        <v>2</v>
      </c>
      <c r="I997" s="64" t="str">
        <f aca="false">IF('Offshore - Melbourne'!E508="","Harga belum tersedia - hubungi konsultan TEG",IF(M997=2,"Saat ini tidak menerima pendaftaran siswa internasional baru",IF(M997=1,"Harga perlu dikonfirmasi ke sekolah"&amp;IF(""="","","; "&amp;""),"")))</f>
        <v/>
      </c>
      <c r="J997" s="0" t="s">
        <v>4159</v>
      </c>
      <c r="K997" s="0" t="n">
        <f aca="false">IF(M997=2,"",IF(ISNUMBER(SEARCH("rata-rata:",'Offshore - Melbourne'!N508)),VALUE(MID('Offshore - Melbourne'!N508,SEARCH("rata-rata:",'Offshore - Melbourne'!N508)+11,FIND(";",'Offshore - Melbourne'!N508&amp;";",SEARCH("rata-rata:",'Offshore - Melbourne'!N508))-SEARCH("rata-rata:",'Offshore - Melbourne'!N508)-11)),IF('Offshore - Melbourne'!D508="Semester",'Offshore - Melbourne'!E508*2,IF('Offshore - Melbourne'!D508="Trimester",'Offshore - Melbourne'!E508*3,IF('Offshore - Melbourne'!D508="Term",'Offshore - Melbourne'!E508*4,IF('Offshore - Melbourne'!D508="Unit",'Offshore - Melbourne'!E508*8,""))))))</f>
        <v>28100</v>
      </c>
      <c r="L997" s="0" t="n">
        <f aca="false">IF(AND(ISNUMBER('Offshore - Melbourne'!E508),ISNUMBER(K997),ISNUMBER('Offshore - Melbourne'!F508),ISNUMBER('Offshore - Melbourne'!G508),OR('Offshore - Melbourne'!F508&lt;&gt;0,ISNUMBER(SEARCH("Material 0 terverifikasi",'Offshore - Melbourne'!N508))),OR('Offshore - Melbourne'!G508&lt;&gt;0,ISNUMBER(SEARCH("Enrolment 0 terverifikasi",'Offshore - Melbourne'!N508)))),1,0)</f>
        <v>0</v>
      </c>
      <c r="M997" s="0" t="n">
        <f aca="false">IF(OR('Offshore - Melbourne'!E508="",ISNUMBER(SEARCH("BSB80120",'Offshore - Melbourne'!B508&amp;'Offshore - Melbourne'!N508)),ISNUMBER(SEARCH("Management (Learning)",'Offshore - Melbourne'!B508))),2,IF(ISNUMBER(SEARCH("CEK:",'Offshore - Melbourne'!N508)),1,0))</f>
        <v>0</v>
      </c>
    </row>
    <row r="998" customFormat="false" ht="15" hidden="false" customHeight="false" outlineLevel="0" collapsed="false">
      <c r="A998" s="63" t="s">
        <v>3544</v>
      </c>
      <c r="B998" s="64" t="s">
        <v>4128</v>
      </c>
      <c r="C998" s="63" t="s">
        <v>46</v>
      </c>
      <c r="D998" s="64" t="str">
        <f aca="false">TRIM(LEFT('Offshore - Melbourne'!A95,FIND(CHAR(10),'Offshore - Melbourne'!A95&amp;CHAR(10))-1))</f>
        <v>Australian Catholic University (ACU)</v>
      </c>
      <c r="E998" s="63" t="str">
        <f aca="false">'Offshore - Melbourne'!C126&amp;""</f>
        <v>4 years</v>
      </c>
      <c r="F998" s="63" t="str">
        <f aca="false">IF('Offshore - Melbourne'!D126="","Belum tercatat",'Offshore - Melbourne'!D126)</f>
        <v>Term</v>
      </c>
      <c r="G998" s="65" t="n">
        <f aca="false">IF('Offshore - Melbourne'!E126="","-",'Offshore - Melbourne'!E126)</f>
        <v>8906</v>
      </c>
      <c r="H998" s="63" t="n">
        <f aca="false">IF(ISNUMBER(K998),COUNTIFS($J$6:$J$1854,J998,$K$6:$K$1854,"&lt;"&amp;K998)+1,"-")</f>
        <v>3</v>
      </c>
      <c r="I998" s="64" t="str">
        <f aca="false">IF('Offshore - Melbourne'!E126="","Harga belum tersedia - hubungi konsultan TEG",IF(M998=2,"Saat ini tidak menerima pendaftaran siswa internasional baru",IF(M998=1,"Harga perlu dikonfirmasi ke sekolah"&amp;IF(""="","","; "&amp;""),"")))</f>
        <v/>
      </c>
      <c r="J998" s="0" t="s">
        <v>4159</v>
      </c>
      <c r="K998" s="0" t="n">
        <f aca="false">IF(M998=2,"",IF(ISNUMBER(SEARCH("rata-rata:",'Offshore - Melbourne'!N126)),VALUE(MID('Offshore - Melbourne'!N126,SEARCH("rata-rata:",'Offshore - Melbourne'!N126)+11,FIND(";",'Offshore - Melbourne'!N126&amp;";",SEARCH("rata-rata:",'Offshore - Melbourne'!N126))-SEARCH("rata-rata:",'Offshore - Melbourne'!N126)-11)),IF('Offshore - Melbourne'!D126="Semester",'Offshore - Melbourne'!E126*2,IF('Offshore - Melbourne'!D126="Trimester",'Offshore - Melbourne'!E126*3,IF('Offshore - Melbourne'!D126="Term",'Offshore - Melbourne'!E126*4,IF('Offshore - Melbourne'!D126="Unit",'Offshore - Melbourne'!E126*8,""))))))</f>
        <v>35624</v>
      </c>
      <c r="L998" s="0" t="n">
        <f aca="false">IF(AND(ISNUMBER('Offshore - Melbourne'!E126),ISNUMBER(K998),ISNUMBER('Offshore - Melbourne'!F126),ISNUMBER('Offshore - Melbourne'!G126),OR('Offshore - Melbourne'!F126&lt;&gt;0,ISNUMBER(SEARCH("Material 0 terverifikasi",'Offshore - Melbourne'!N126))),OR('Offshore - Melbourne'!G126&lt;&gt;0,ISNUMBER(SEARCH("Enrolment 0 terverifikasi",'Offshore - Melbourne'!N126)))),1,0)</f>
        <v>0</v>
      </c>
      <c r="M998" s="0" t="n">
        <f aca="false">IF(OR('Offshore - Melbourne'!E126="",ISNUMBER(SEARCH("BSB80120",'Offshore - Melbourne'!B126&amp;'Offshore - Melbourne'!N126)),ISNUMBER(SEARCH("Management (Learning)",'Offshore - Melbourne'!B126))),2,IF(ISNUMBER(SEARCH("CEK:",'Offshore - Melbourne'!N126)),1,0))</f>
        <v>0</v>
      </c>
    </row>
    <row r="999" customFormat="false" ht="15" hidden="false" customHeight="false" outlineLevel="0" collapsed="false">
      <c r="A999" s="61" t="s">
        <v>4160</v>
      </c>
      <c r="B999" s="62"/>
      <c r="C999" s="62"/>
      <c r="D999" s="62"/>
      <c r="E999" s="62"/>
      <c r="F999" s="62"/>
      <c r="G999" s="62"/>
      <c r="H999" s="62"/>
      <c r="I999" s="62"/>
    </row>
    <row r="1000" customFormat="false" ht="15" hidden="false" customHeight="false" outlineLevel="0" collapsed="false">
      <c r="A1000" s="63" t="s">
        <v>3573</v>
      </c>
      <c r="B1000" s="64" t="s">
        <v>4128</v>
      </c>
      <c r="C1000" s="63" t="s">
        <v>42</v>
      </c>
      <c r="D1000" s="64" t="str">
        <f aca="false">TRIM(LEFT('Offshore - Perth'!A6,FIND(CHAR(10),'Offshore - Perth'!A6&amp;CHAR(10))-1))</f>
        <v>Academies Australasia</v>
      </c>
      <c r="E1000" s="63" t="str">
        <f aca="false">'Offshore - Perth'!C11&amp;""</f>
        <v>1,5 year</v>
      </c>
      <c r="F1000" s="63" t="str">
        <f aca="false">IF('Offshore - Perth'!D11="","Belum tercatat",'Offshore - Perth'!D11)</f>
        <v>Term</v>
      </c>
      <c r="G1000" s="65" t="n">
        <f aca="false">IF('Offshore - Perth'!E11="","-",'Offshore - Perth'!E11)</f>
        <v>3000</v>
      </c>
      <c r="H1000" s="63" t="n">
        <f aca="false">IF(ISNUMBER(K1000),COUNTIFS($J$6:$J$1854,J1000,$K$6:$K$1854,"&lt;"&amp;K1000)+1,"-")</f>
        <v>1</v>
      </c>
      <c r="I1000" s="64" t="str">
        <f aca="false">IF('Offshore - Perth'!E11="","Harga belum tersedia - hubungi konsultan TEG",IF(M1000=2,"Saat ini tidak menerima pendaftaran siswa internasional baru",IF(M1000=1,"Harga perlu dikonfirmasi ke sekolah"&amp;IF(""="","","; "&amp;""),"")))</f>
        <v>Harga perlu dikonfirmasi ke sekolah</v>
      </c>
      <c r="J1000" s="0" t="s">
        <v>4161</v>
      </c>
      <c r="K1000" s="0" t="n">
        <f aca="false">IF(M1000=2,"",IF(ISNUMBER(SEARCH("rata-rata:",'Offshore - Perth'!N11)),VALUE(MID('Offshore - Perth'!N11,SEARCH("rata-rata:",'Offshore - Perth'!N11)+11,FIND(";",'Offshore - Perth'!N11&amp;";",SEARCH("rata-rata:",'Offshore - Perth'!N11))-SEARCH("rata-rata:",'Offshore - Perth'!N11)-11)),IF('Offshore - Perth'!D11="Semester",'Offshore - Perth'!E11*2,IF('Offshore - Perth'!D11="Trimester",'Offshore - Perth'!E11*3,IF('Offshore - Perth'!D11="Term",'Offshore - Perth'!E11*4,IF('Offshore - Perth'!D11="Unit",'Offshore - Perth'!E11*8,""))))))</f>
        <v>12000</v>
      </c>
      <c r="L1000" s="0" t="n">
        <f aca="false">IF(AND(ISNUMBER('Offshore - Perth'!E11),ISNUMBER(K1000),ISNUMBER('Offshore - Perth'!F11),ISNUMBER('Offshore - Perth'!G11),OR('Offshore - Perth'!F11&lt;&gt;0,ISNUMBER(SEARCH("Material 0 terverifikasi",'Offshore - Perth'!N11))),OR('Offshore - Perth'!G11&lt;&gt;0,ISNUMBER(SEARCH("Enrolment 0 terverifikasi",'Offshore - Perth'!N11)))),1,0)</f>
        <v>1</v>
      </c>
      <c r="M1000" s="0" t="n">
        <f aca="false">IF(OR('Offshore - Perth'!E11="",ISNUMBER(SEARCH("BSB80120",'Offshore - Perth'!B11&amp;'Offshore - Perth'!N11)),ISNUMBER(SEARCH("Management (Learning)",'Offshore - Perth'!B11))),2,IF(ISNUMBER(SEARCH("CEK:",'Offshore - Perth'!N11)),1,0))</f>
        <v>1</v>
      </c>
    </row>
    <row r="1001" customFormat="false" ht="15" hidden="false" customHeight="false" outlineLevel="0" collapsed="false">
      <c r="A1001" s="61" t="s">
        <v>4162</v>
      </c>
      <c r="B1001" s="62"/>
      <c r="C1001" s="62"/>
      <c r="D1001" s="62"/>
      <c r="E1001" s="62"/>
      <c r="F1001" s="62"/>
      <c r="G1001" s="62"/>
      <c r="H1001" s="62"/>
      <c r="I1001" s="62"/>
    </row>
    <row r="1002" customFormat="false" ht="15" hidden="false" customHeight="false" outlineLevel="0" collapsed="false">
      <c r="A1002" s="63" t="s">
        <v>3573</v>
      </c>
      <c r="B1002" s="64" t="s">
        <v>4128</v>
      </c>
      <c r="C1002" s="63" t="s">
        <v>43</v>
      </c>
      <c r="D1002" s="64" t="str">
        <f aca="false">TRIM(LEFT('Offshore - Perth'!A41,FIND(CHAR(10),'Offshore - Perth'!A41&amp;CHAR(10))-1))</f>
        <v>CIHE Australia</v>
      </c>
      <c r="E1002" s="63" t="str">
        <f aca="false">'Offshore - Perth'!C46&amp;""</f>
        <v>4 years</v>
      </c>
      <c r="F1002" s="63" t="str">
        <f aca="false">IF('Offshore - Perth'!D46="","Belum tercatat",'Offshore - Perth'!D46)</f>
        <v>Term</v>
      </c>
      <c r="G1002" s="65" t="n">
        <f aca="false">IF('Offshore - Perth'!E46="","-",'Offshore - Perth'!E46)</f>
        <v>5000</v>
      </c>
      <c r="H1002" s="63" t="n">
        <f aca="false">IF(ISNUMBER(K1002),COUNTIFS($J$6:$J$1854,J1002,$K$6:$K$1854,"&lt;"&amp;K1002)+1,"-")</f>
        <v>1</v>
      </c>
      <c r="I1002" s="64" t="str">
        <f aca="false">IF('Offshore - Perth'!E46="","Harga belum tersedia - hubungi konsultan TEG",IF(M1002=2,"Saat ini tidak menerima pendaftaran siswa internasional baru",IF(M1002=1,"Harga perlu dikonfirmasi ke sekolah"&amp;IF(""="","","; "&amp;""),"")))</f>
        <v>Harga perlu dikonfirmasi ke sekolah</v>
      </c>
      <c r="J1002" s="0" t="s">
        <v>4163</v>
      </c>
      <c r="K1002" s="0" t="n">
        <f aca="false">IF(M1002=2,"",IF(ISNUMBER(SEARCH("rata-rata:",'Offshore - Perth'!N46)),VALUE(MID('Offshore - Perth'!N46,SEARCH("rata-rata:",'Offshore - Perth'!N46)+11,FIND(";",'Offshore - Perth'!N46&amp;";",SEARCH("rata-rata:",'Offshore - Perth'!N46))-SEARCH("rata-rata:",'Offshore - Perth'!N46)-11)),IF('Offshore - Perth'!D46="Semester",'Offshore - Perth'!E46*2,IF('Offshore - Perth'!D46="Trimester",'Offshore - Perth'!E46*3,IF('Offshore - Perth'!D46="Term",'Offshore - Perth'!E46*4,IF('Offshore - Perth'!D46="Unit",'Offshore - Perth'!E46*8,""))))))</f>
        <v>20000</v>
      </c>
      <c r="L1002" s="0" t="n">
        <f aca="false">IF(AND(ISNUMBER('Offshore - Perth'!E46),ISNUMBER(K1002),ISNUMBER('Offshore - Perth'!F46),ISNUMBER('Offshore - Perth'!G46),OR('Offshore - Perth'!F46&lt;&gt;0,ISNUMBER(SEARCH("Material 0 terverifikasi",'Offshore - Perth'!N46))),OR('Offshore - Perth'!G46&lt;&gt;0,ISNUMBER(SEARCH("Enrolment 0 terverifikasi",'Offshore - Perth'!N46)))),1,0)</f>
        <v>1</v>
      </c>
      <c r="M1002" s="0" t="n">
        <f aca="false">IF(OR('Offshore - Perth'!E46="",ISNUMBER(SEARCH("BSB80120",'Offshore - Perth'!B46&amp;'Offshore - Perth'!N46)),ISNUMBER(SEARCH("Management (Learning)",'Offshore - Perth'!B46))),2,IF(ISNUMBER(SEARCH("CEK:",'Offshore - Perth'!N46)),1,0))</f>
        <v>1</v>
      </c>
    </row>
    <row r="1003" customFormat="false" ht="15" hidden="false" customHeight="false" outlineLevel="0" collapsed="false">
      <c r="A1003" s="61" t="s">
        <v>4164</v>
      </c>
      <c r="B1003" s="62"/>
      <c r="C1003" s="62"/>
      <c r="D1003" s="62"/>
      <c r="E1003" s="62"/>
      <c r="F1003" s="62"/>
      <c r="G1003" s="62"/>
      <c r="H1003" s="62"/>
      <c r="I1003" s="62"/>
    </row>
    <row r="1004" customFormat="false" ht="15" hidden="false" customHeight="false" outlineLevel="0" collapsed="false">
      <c r="A1004" s="63" t="s">
        <v>3573</v>
      </c>
      <c r="B1004" s="64" t="s">
        <v>4128</v>
      </c>
      <c r="C1004" s="63" t="s">
        <v>3707</v>
      </c>
      <c r="D1004" s="64" t="str">
        <f aca="false">TRIM(LEFT('Offshore - Perth'!A41,FIND(CHAR(10),'Offshore - Perth'!A41&amp;CHAR(10))-1))</f>
        <v>CIHE Australia</v>
      </c>
      <c r="E1004" s="63" t="str">
        <f aca="false">'Offshore - Perth'!C44&amp;""</f>
        <v>1 year</v>
      </c>
      <c r="F1004" s="63" t="str">
        <f aca="false">IF('Offshore - Perth'!D44="","Belum tercatat",'Offshore - Perth'!D44)</f>
        <v>Term</v>
      </c>
      <c r="G1004" s="65" t="n">
        <f aca="false">IF('Offshore - Perth'!E44="","-",'Offshore - Perth'!E44)</f>
        <v>6250</v>
      </c>
      <c r="H1004" s="63" t="n">
        <f aca="false">IF(ISNUMBER(K1004),COUNTIFS($J$6:$J$1854,J1004,$K$6:$K$1854,"&lt;"&amp;K1004)+1,"-")</f>
        <v>1</v>
      </c>
      <c r="I1004" s="64" t="str">
        <f aca="false">IF('Offshore - Perth'!E44="","Harga belum tersedia - hubungi konsultan TEG",IF(M1004=2,"Saat ini tidak menerima pendaftaran siswa internasional baru",IF(M1004=1,"Harga perlu dikonfirmasi ke sekolah"&amp;IF(""="","","; "&amp;""),"")))</f>
        <v>Harga perlu dikonfirmasi ke sekolah</v>
      </c>
      <c r="J1004" s="0" t="s">
        <v>4165</v>
      </c>
      <c r="K1004" s="0" t="n">
        <f aca="false">IF(M1004=2,"",IF(ISNUMBER(SEARCH("rata-rata:",'Offshore - Perth'!N44)),VALUE(MID('Offshore - Perth'!N44,SEARCH("rata-rata:",'Offshore - Perth'!N44)+11,FIND(";",'Offshore - Perth'!N44&amp;";",SEARCH("rata-rata:",'Offshore - Perth'!N44))-SEARCH("rata-rata:",'Offshore - Perth'!N44)-11)),IF('Offshore - Perth'!D44="Semester",'Offshore - Perth'!E44*2,IF('Offshore - Perth'!D44="Trimester",'Offshore - Perth'!E44*3,IF('Offshore - Perth'!D44="Term",'Offshore - Perth'!E44*4,IF('Offshore - Perth'!D44="Unit",'Offshore - Perth'!E44*8,""))))))</f>
        <v>25000</v>
      </c>
      <c r="L1004" s="0" t="n">
        <f aca="false">IF(AND(ISNUMBER('Offshore - Perth'!E44),ISNUMBER(K1004),ISNUMBER('Offshore - Perth'!F44),ISNUMBER('Offshore - Perth'!G44),OR('Offshore - Perth'!F44&lt;&gt;0,ISNUMBER(SEARCH("Material 0 terverifikasi",'Offshore - Perth'!N44))),OR('Offshore - Perth'!G44&lt;&gt;0,ISNUMBER(SEARCH("Enrolment 0 terverifikasi",'Offshore - Perth'!N44)))),1,0)</f>
        <v>1</v>
      </c>
      <c r="M1004" s="0" t="n">
        <f aca="false">IF(OR('Offshore - Perth'!E44="",ISNUMBER(SEARCH("BSB80120",'Offshore - Perth'!B44&amp;'Offshore - Perth'!N44)),ISNUMBER(SEARCH("Management (Learning)",'Offshore - Perth'!B44))),2,IF(ISNUMBER(SEARCH("CEK:",'Offshore - Perth'!N44)),1,0))</f>
        <v>1</v>
      </c>
    </row>
    <row r="1005" customFormat="false" ht="15" hidden="false" customHeight="false" outlineLevel="0" collapsed="false">
      <c r="A1005" s="61" t="s">
        <v>4166</v>
      </c>
      <c r="B1005" s="62"/>
      <c r="C1005" s="62"/>
      <c r="D1005" s="62"/>
      <c r="E1005" s="62"/>
      <c r="F1005" s="62"/>
      <c r="G1005" s="62"/>
      <c r="H1005" s="62"/>
      <c r="I1005" s="62"/>
    </row>
    <row r="1006" customFormat="false" ht="15" hidden="false" customHeight="false" outlineLevel="0" collapsed="false">
      <c r="A1006" s="63" t="s">
        <v>3573</v>
      </c>
      <c r="B1006" s="64" t="s">
        <v>4128</v>
      </c>
      <c r="C1006" s="63" t="s">
        <v>46</v>
      </c>
      <c r="D1006" s="64" t="str">
        <f aca="false">TRIM(LEFT('Offshore - Perth'!A41,FIND(CHAR(10),'Offshore - Perth'!A41&amp;CHAR(10))-1))</f>
        <v>CIHE Australia</v>
      </c>
      <c r="E1006" s="63" t="str">
        <f aca="false">'Offshore - Perth'!C45&amp;""</f>
        <v>2 years</v>
      </c>
      <c r="F1006" s="63" t="str">
        <f aca="false">IF('Offshore - Perth'!D45="","Belum tercatat",'Offshore - Perth'!D45)</f>
        <v>Term</v>
      </c>
      <c r="G1006" s="65" t="n">
        <f aca="false">IF('Offshore - Perth'!E45="","-",'Offshore - Perth'!E45)</f>
        <v>6250</v>
      </c>
      <c r="H1006" s="63" t="n">
        <f aca="false">IF(ISNUMBER(K1006),COUNTIFS($J$6:$J$1854,J1006,$K$6:$K$1854,"&lt;"&amp;K1006)+1,"-")</f>
        <v>1</v>
      </c>
      <c r="I1006" s="64" t="str">
        <f aca="false">IF('Offshore - Perth'!E45="","Harga belum tersedia - hubungi konsultan TEG",IF(M1006=2,"Saat ini tidak menerima pendaftaran siswa internasional baru",IF(M1006=1,"Harga perlu dikonfirmasi ke sekolah"&amp;IF(""="","","; "&amp;""),"")))</f>
        <v/>
      </c>
      <c r="J1006" s="0" t="s">
        <v>4167</v>
      </c>
      <c r="K1006" s="0" t="n">
        <f aca="false">IF(M1006=2,"",IF(ISNUMBER(SEARCH("rata-rata:",'Offshore - Perth'!N45)),VALUE(MID('Offshore - Perth'!N45,SEARCH("rata-rata:",'Offshore - Perth'!N45)+11,FIND(";",'Offshore - Perth'!N45&amp;";",SEARCH("rata-rata:",'Offshore - Perth'!N45))-SEARCH("rata-rata:",'Offshore - Perth'!N45)-11)),IF('Offshore - Perth'!D45="Semester",'Offshore - Perth'!E45*2,IF('Offshore - Perth'!D45="Trimester",'Offshore - Perth'!E45*3,IF('Offshore - Perth'!D45="Term",'Offshore - Perth'!E45*4,IF('Offshore - Perth'!D45="Unit",'Offshore - Perth'!E45*8,""))))))</f>
        <v>25000</v>
      </c>
      <c r="L1006" s="0" t="n">
        <f aca="false">IF(AND(ISNUMBER('Offshore - Perth'!E45),ISNUMBER(K1006),ISNUMBER('Offshore - Perth'!F45),ISNUMBER('Offshore - Perth'!G45),OR('Offshore - Perth'!F45&lt;&gt;0,ISNUMBER(SEARCH("Material 0 terverifikasi",'Offshore - Perth'!N45))),OR('Offshore - Perth'!G45&lt;&gt;0,ISNUMBER(SEARCH("Enrolment 0 terverifikasi",'Offshore - Perth'!N45)))),1,0)</f>
        <v>1</v>
      </c>
      <c r="M1006" s="0" t="n">
        <f aca="false">IF(OR('Offshore - Perth'!E45="",ISNUMBER(SEARCH("BSB80120",'Offshore - Perth'!B45&amp;'Offshore - Perth'!N45)),ISNUMBER(SEARCH("Management (Learning)",'Offshore - Perth'!B45))),2,IF(ISNUMBER(SEARCH("CEK:",'Offshore - Perth'!N45)),1,0))</f>
        <v>0</v>
      </c>
    </row>
    <row r="1007" customFormat="false" ht="15" hidden="false" customHeight="false" outlineLevel="0" collapsed="false">
      <c r="A1007" s="61" t="s">
        <v>4168</v>
      </c>
      <c r="B1007" s="62"/>
      <c r="C1007" s="62"/>
      <c r="D1007" s="62"/>
      <c r="E1007" s="62"/>
      <c r="F1007" s="62"/>
      <c r="G1007" s="62"/>
      <c r="H1007" s="62"/>
      <c r="I1007" s="62"/>
    </row>
    <row r="1008" customFormat="false" ht="15" hidden="false" customHeight="false" outlineLevel="0" collapsed="false">
      <c r="A1008" s="63" t="s">
        <v>3533</v>
      </c>
      <c r="B1008" s="64" t="s">
        <v>4128</v>
      </c>
      <c r="C1008" s="63" t="s">
        <v>41</v>
      </c>
      <c r="D1008" s="64" t="str">
        <f aca="false">TRIM(LEFT('Offshore - Sydney'!A333,FIND(CHAR(10),'Offshore - Sydney'!A333&amp;CHAR(10))-1))</f>
        <v>Berkeley Business Institute (BBI)</v>
      </c>
      <c r="E1008" s="63" t="str">
        <f aca="false">'Offshore - Sydney'!C343&amp;""</f>
        <v>2,5 years</v>
      </c>
      <c r="F1008" s="63" t="str">
        <f aca="false">IF('Offshore - Sydney'!D343="","Belum tercatat",'Offshore - Sydney'!D343)</f>
        <v>Term</v>
      </c>
      <c r="G1008" s="65" t="n">
        <f aca="false">IF('Offshore - Sydney'!E343="","-",'Offshore - Sydney'!E343)</f>
        <v>2000</v>
      </c>
      <c r="H1008" s="63" t="n">
        <f aca="false">IF(ISNUMBER(K1008),COUNTIFS($J$6:$J$1854,J1008,$K$6:$K$1854,"&lt;"&amp;K1008)+1,"-")</f>
        <v>1</v>
      </c>
      <c r="I1008" s="64" t="str">
        <f aca="false">IF('Offshore - Sydney'!E343="","Harga belum tersedia - hubungi konsultan TEG",IF(M1008=2,"Saat ini tidak menerima pendaftaran siswa internasional baru",IF(M1008=1,"Harga perlu dikonfirmasi ke sekolah"&amp;IF(""="","","; "&amp;""),"")))</f>
        <v>Harga perlu dikonfirmasi ke sekolah</v>
      </c>
      <c r="J1008" s="0" t="s">
        <v>4169</v>
      </c>
      <c r="K1008" s="0" t="n">
        <f aca="false">IF(M1008=2,"",IF(ISNUMBER(SEARCH("rata-rata:",'Offshore - Sydney'!N343)),VALUE(MID('Offshore - Sydney'!N343,SEARCH("rata-rata:",'Offshore - Sydney'!N343)+11,FIND(";",'Offshore - Sydney'!N343&amp;";",SEARCH("rata-rata:",'Offshore - Sydney'!N343))-SEARCH("rata-rata:",'Offshore - Sydney'!N343)-11)),IF('Offshore - Sydney'!D343="Semester",'Offshore - Sydney'!E343*2,IF('Offshore - Sydney'!D343="Trimester",'Offshore - Sydney'!E343*3,IF('Offshore - Sydney'!D343="Term",'Offshore - Sydney'!E343*4,IF('Offshore - Sydney'!D343="Unit",'Offshore - Sydney'!E343*8,""))))))</f>
        <v>8000</v>
      </c>
      <c r="L1008" s="0" t="n">
        <f aca="false">IF(AND(ISNUMBER('Offshore - Sydney'!E343),ISNUMBER(K1008),ISNUMBER('Offshore - Sydney'!F343),ISNUMBER('Offshore - Sydney'!G343),OR('Offshore - Sydney'!F343&lt;&gt;0,ISNUMBER(SEARCH("Material 0 terverifikasi",'Offshore - Sydney'!N343))),OR('Offshore - Sydney'!G343&lt;&gt;0,ISNUMBER(SEARCH("Enrolment 0 terverifikasi",'Offshore - Sydney'!N343)))),1,0)</f>
        <v>1</v>
      </c>
      <c r="M1008" s="0" t="n">
        <f aca="false">IF(OR('Offshore - Sydney'!E343="",ISNUMBER(SEARCH("BSB80120",'Offshore - Sydney'!B343&amp;'Offshore - Sydney'!N343)),ISNUMBER(SEARCH("Management (Learning)",'Offshore - Sydney'!B343))),2,IF(ISNUMBER(SEARCH("CEK:",'Offshore - Sydney'!N343)),1,0))</f>
        <v>1</v>
      </c>
    </row>
    <row r="1009" customFormat="false" ht="28.35" hidden="false" customHeight="false" outlineLevel="0" collapsed="false">
      <c r="A1009" s="63" t="s">
        <v>3533</v>
      </c>
      <c r="B1009" s="64" t="s">
        <v>4128</v>
      </c>
      <c r="C1009" s="63" t="s">
        <v>41</v>
      </c>
      <c r="D1009" s="64" t="str">
        <f aca="false">TRIM(LEFT('Offshore - Sydney'!A807,FIND(CHAR(10),'Offshore - Sydney'!A807&amp;CHAR(10))-1))</f>
        <v>TKL College (Training for Knowledge and Livelihood)</v>
      </c>
      <c r="E1009" s="63" t="str">
        <f aca="false">'Offshore - Sydney'!C813&amp;""</f>
        <v>2 years</v>
      </c>
      <c r="F1009" s="63" t="str">
        <f aca="false">IF('Offshore - Sydney'!D813="","Belum tercatat",'Offshore - Sydney'!D813)</f>
        <v>Term</v>
      </c>
      <c r="G1009" s="65" t="n">
        <f aca="false">IF('Offshore - Sydney'!E813="","-",'Offshore - Sydney'!E813)</f>
        <v>2200</v>
      </c>
      <c r="H1009" s="63" t="n">
        <f aca="false">IF(ISNUMBER(K1009),COUNTIFS($J$6:$J$1854,J1009,$K$6:$K$1854,"&lt;"&amp;K1009)+1,"-")</f>
        <v>2</v>
      </c>
      <c r="I1009" s="64" t="str">
        <f aca="false">IF('Offshore - Sydney'!E813="","Harga belum tersedia - hubungi konsultan TEG",IF(M1009=2,"Saat ini tidak menerima pendaftaran siswa internasional baru",IF(M1009=1,"Harga perlu dikonfirmasi ke sekolah"&amp;IF(""="","","; "&amp;""),"")))</f>
        <v/>
      </c>
      <c r="J1009" s="0" t="s">
        <v>4169</v>
      </c>
      <c r="K1009" s="0" t="n">
        <f aca="false">IF(M1009=2,"",IF(ISNUMBER(SEARCH("rata-rata:",'Offshore - Sydney'!N813)),VALUE(MID('Offshore - Sydney'!N813,SEARCH("rata-rata:",'Offshore - Sydney'!N813)+11,FIND(";",'Offshore - Sydney'!N813&amp;";",SEARCH("rata-rata:",'Offshore - Sydney'!N813))-SEARCH("rata-rata:",'Offshore - Sydney'!N813)-11)),IF('Offshore - Sydney'!D813="Semester",'Offshore - Sydney'!E813*2,IF('Offshore - Sydney'!D813="Trimester",'Offshore - Sydney'!E813*3,IF('Offshore - Sydney'!D813="Term",'Offshore - Sydney'!E813*4,IF('Offshore - Sydney'!D813="Unit",'Offshore - Sydney'!E813*8,""))))))</f>
        <v>8800</v>
      </c>
      <c r="L1009" s="0" t="n">
        <f aca="false">IF(AND(ISNUMBER('Offshore - Sydney'!E813),ISNUMBER(K1009),ISNUMBER('Offshore - Sydney'!F813),ISNUMBER('Offshore - Sydney'!G813),OR('Offshore - Sydney'!F813&lt;&gt;0,ISNUMBER(SEARCH("Material 0 terverifikasi",'Offshore - Sydney'!N813))),OR('Offshore - Sydney'!G813&lt;&gt;0,ISNUMBER(SEARCH("Enrolment 0 terverifikasi",'Offshore - Sydney'!N813)))),1,0)</f>
        <v>1</v>
      </c>
      <c r="M1009" s="0" t="n">
        <f aca="false">IF(OR('Offshore - Sydney'!E813="",ISNUMBER(SEARCH("BSB80120",'Offshore - Sydney'!B813&amp;'Offshore - Sydney'!N813)),ISNUMBER(SEARCH("Management (Learning)",'Offshore - Sydney'!B813))),2,IF(ISNUMBER(SEARCH("CEK:",'Offshore - Sydney'!N813)),1,0))</f>
        <v>0</v>
      </c>
    </row>
    <row r="1010" customFormat="false" ht="15" hidden="false" customHeight="false" outlineLevel="0" collapsed="false">
      <c r="A1010" s="63" t="s">
        <v>3533</v>
      </c>
      <c r="B1010" s="64" t="s">
        <v>4128</v>
      </c>
      <c r="C1010" s="63" t="s">
        <v>41</v>
      </c>
      <c r="D1010" s="64" t="str">
        <f aca="false">TRIM(LEFT('Offshore - Sydney'!A156,FIND(CHAR(10),'Offshore - Sydney'!A156&amp;CHAR(10))-1))</f>
        <v>Australian Catholic University (ACU)</v>
      </c>
      <c r="E1010" s="63" t="str">
        <f aca="false">'Offshore - Sydney'!C252&amp;""</f>
        <v>1 year</v>
      </c>
      <c r="F1010" s="63" t="str">
        <f aca="false">IF('Offshore - Sydney'!D252="","Belum tercatat",'Offshore - Sydney'!D252)</f>
        <v>Term</v>
      </c>
      <c r="G1010" s="65" t="n">
        <f aca="false">IF('Offshore - Sydney'!E252="","-",'Offshore - Sydney'!E252)</f>
        <v>8906</v>
      </c>
      <c r="H1010" s="63" t="n">
        <f aca="false">IF(ISNUMBER(K1010),COUNTIFS($J$6:$J$1854,J1010,$K$6:$K$1854,"&lt;"&amp;K1010)+1,"-")</f>
        <v>3</v>
      </c>
      <c r="I1010" s="64" t="str">
        <f aca="false">IF('Offshore - Sydney'!E252="","Harga belum tersedia - hubungi konsultan TEG",IF(M1010=2,"Saat ini tidak menerima pendaftaran siswa internasional baru",IF(M1010=1,"Harga perlu dikonfirmasi ke sekolah"&amp;IF(""="","","; "&amp;""),"")))</f>
        <v/>
      </c>
      <c r="J1010" s="0" t="s">
        <v>4169</v>
      </c>
      <c r="K1010" s="0" t="n">
        <f aca="false">IF(M1010=2,"",IF(ISNUMBER(SEARCH("rata-rata:",'Offshore - Sydney'!N252)),VALUE(MID('Offshore - Sydney'!N252,SEARCH("rata-rata:",'Offshore - Sydney'!N252)+11,FIND(";",'Offshore - Sydney'!N252&amp;";",SEARCH("rata-rata:",'Offshore - Sydney'!N252))-SEARCH("rata-rata:",'Offshore - Sydney'!N252)-11)),IF('Offshore - Sydney'!D252="Semester",'Offshore - Sydney'!E252*2,IF('Offshore - Sydney'!D252="Trimester",'Offshore - Sydney'!E252*3,IF('Offshore - Sydney'!D252="Term",'Offshore - Sydney'!E252*4,IF('Offshore - Sydney'!D252="Unit",'Offshore - Sydney'!E252*8,""))))))</f>
        <v>35624</v>
      </c>
      <c r="L1010" s="0" t="n">
        <f aca="false">IF(AND(ISNUMBER('Offshore - Sydney'!E252),ISNUMBER(K1010),ISNUMBER('Offshore - Sydney'!F252),ISNUMBER('Offshore - Sydney'!G252),OR('Offshore - Sydney'!F252&lt;&gt;0,ISNUMBER(SEARCH("Material 0 terverifikasi",'Offshore - Sydney'!N252))),OR('Offshore - Sydney'!G252&lt;&gt;0,ISNUMBER(SEARCH("Enrolment 0 terverifikasi",'Offshore - Sydney'!N252)))),1,0)</f>
        <v>0</v>
      </c>
      <c r="M1010" s="0" t="n">
        <f aca="false">IF(OR('Offshore - Sydney'!E252="",ISNUMBER(SEARCH("BSB80120",'Offshore - Sydney'!B252&amp;'Offshore - Sydney'!N252)),ISNUMBER(SEARCH("Management (Learning)",'Offshore - Sydney'!B252))),2,IF(ISNUMBER(SEARCH("CEK:",'Offshore - Sydney'!N252)),1,0))</f>
        <v>0</v>
      </c>
    </row>
    <row r="1011" customFormat="false" ht="15" hidden="false" customHeight="false" outlineLevel="0" collapsed="false">
      <c r="A1011" s="61" t="s">
        <v>4170</v>
      </c>
      <c r="B1011" s="62"/>
      <c r="C1011" s="62"/>
      <c r="D1011" s="62"/>
      <c r="E1011" s="62"/>
      <c r="F1011" s="62"/>
      <c r="G1011" s="62"/>
      <c r="H1011" s="62"/>
      <c r="I1011" s="62"/>
    </row>
    <row r="1012" customFormat="false" ht="15" hidden="false" customHeight="false" outlineLevel="0" collapsed="false">
      <c r="A1012" s="63" t="s">
        <v>3533</v>
      </c>
      <c r="B1012" s="64" t="s">
        <v>4128</v>
      </c>
      <c r="C1012" s="63" t="s">
        <v>42</v>
      </c>
      <c r="D1012" s="64" t="str">
        <f aca="false">TRIM(LEFT('Offshore - Sydney'!A40,FIND(CHAR(10),'Offshore - Sydney'!A40&amp;CHAR(10))-1))</f>
        <v>Academies Australasia</v>
      </c>
      <c r="E1012" s="63" t="str">
        <f aca="false">'Offshore - Sydney'!C52&amp;""</f>
        <v>1 years</v>
      </c>
      <c r="F1012" s="63" t="str">
        <f aca="false">IF('Offshore - Sydney'!D52="","Belum tercatat",'Offshore - Sydney'!D52)</f>
        <v>Term</v>
      </c>
      <c r="G1012" s="65" t="n">
        <f aca="false">IF('Offshore - Sydney'!E52="","-",'Offshore - Sydney'!E52)</f>
        <v>3000</v>
      </c>
      <c r="H1012" s="63" t="n">
        <f aca="false">IF(ISNUMBER(K1012),COUNTIFS($J$6:$J$1854,J1012,$K$6:$K$1854,"&lt;"&amp;K1012)+1,"-")</f>
        <v>1</v>
      </c>
      <c r="I1012" s="64" t="str">
        <f aca="false">IF('Offshore - Sydney'!E52="","Harga belum tersedia - hubungi konsultan TEG",IF(M1012=2,"Saat ini tidak menerima pendaftaran siswa internasional baru",IF(M1012=1,"Harga perlu dikonfirmasi ke sekolah"&amp;IF(""="","","; "&amp;""),"")))</f>
        <v>Harga perlu dikonfirmasi ke sekolah</v>
      </c>
      <c r="J1012" s="0" t="s">
        <v>4171</v>
      </c>
      <c r="K1012" s="0" t="n">
        <f aca="false">IF(M1012=2,"",IF(ISNUMBER(SEARCH("rata-rata:",'Offshore - Sydney'!N52)),VALUE(MID('Offshore - Sydney'!N52,SEARCH("rata-rata:",'Offshore - Sydney'!N52)+11,FIND(";",'Offshore - Sydney'!N52&amp;";",SEARCH("rata-rata:",'Offshore - Sydney'!N52))-SEARCH("rata-rata:",'Offshore - Sydney'!N52)-11)),IF('Offshore - Sydney'!D52="Semester",'Offshore - Sydney'!E52*2,IF('Offshore - Sydney'!D52="Trimester",'Offshore - Sydney'!E52*3,IF('Offshore - Sydney'!D52="Term",'Offshore - Sydney'!E52*4,IF('Offshore - Sydney'!D52="Unit",'Offshore - Sydney'!E52*8,""))))))</f>
        <v>12000</v>
      </c>
      <c r="L1012" s="0" t="n">
        <f aca="false">IF(AND(ISNUMBER('Offshore - Sydney'!E52),ISNUMBER(K1012),ISNUMBER('Offshore - Sydney'!F52),ISNUMBER('Offshore - Sydney'!G52),OR('Offshore - Sydney'!F52&lt;&gt;0,ISNUMBER(SEARCH("Material 0 terverifikasi",'Offshore - Sydney'!N52))),OR('Offshore - Sydney'!G52&lt;&gt;0,ISNUMBER(SEARCH("Enrolment 0 terverifikasi",'Offshore - Sydney'!N52)))),1,0)</f>
        <v>1</v>
      </c>
      <c r="M1012" s="0" t="n">
        <f aca="false">IF(OR('Offshore - Sydney'!E52="",ISNUMBER(SEARCH("BSB80120",'Offshore - Sydney'!B52&amp;'Offshore - Sydney'!N52)),ISNUMBER(SEARCH("Management (Learning)",'Offshore - Sydney'!B52))),2,IF(ISNUMBER(SEARCH("CEK:",'Offshore - Sydney'!N52)),1,0))</f>
        <v>1</v>
      </c>
    </row>
    <row r="1013" customFormat="false" ht="15" hidden="false" customHeight="false" outlineLevel="0" collapsed="false">
      <c r="A1013" s="61" t="s">
        <v>4172</v>
      </c>
      <c r="B1013" s="62"/>
      <c r="C1013" s="62"/>
      <c r="D1013" s="62"/>
      <c r="E1013" s="62"/>
      <c r="F1013" s="62"/>
      <c r="G1013" s="62"/>
      <c r="H1013" s="62"/>
      <c r="I1013" s="62"/>
    </row>
    <row r="1014" customFormat="false" ht="15" hidden="false" customHeight="false" outlineLevel="0" collapsed="false">
      <c r="A1014" s="63" t="s">
        <v>3533</v>
      </c>
      <c r="B1014" s="64" t="s">
        <v>4128</v>
      </c>
      <c r="C1014" s="63" t="s">
        <v>43</v>
      </c>
      <c r="D1014" s="64" t="str">
        <f aca="false">TRIM(LEFT('Offshore - Sydney'!A382,FIND(CHAR(10),'Offshore - Sydney'!A382&amp;CHAR(10))-1))</f>
        <v>CIHE Australia</v>
      </c>
      <c r="E1014" s="63" t="str">
        <f aca="false">'Offshore - Sydney'!C387&amp;""</f>
        <v>4 years</v>
      </c>
      <c r="F1014" s="63" t="str">
        <f aca="false">IF('Offshore - Sydney'!D387="","Belum tercatat",'Offshore - Sydney'!D387)</f>
        <v>Term</v>
      </c>
      <c r="G1014" s="65" t="n">
        <f aca="false">IF('Offshore - Sydney'!E387="","-",'Offshore - Sydney'!E387)</f>
        <v>4250</v>
      </c>
      <c r="H1014" s="63" t="n">
        <f aca="false">IF(ISNUMBER(K1014),COUNTIFS($J$6:$J$1854,J1014,$K$6:$K$1854,"&lt;"&amp;K1014)+1,"-")</f>
        <v>1</v>
      </c>
      <c r="I1014" s="64" t="str">
        <f aca="false">IF('Offshore - Sydney'!E387="","Harga belum tersedia - hubungi konsultan TEG",IF(M1014=2,"Saat ini tidak menerima pendaftaran siswa internasional baru",IF(M1014=1,"Harga perlu dikonfirmasi ke sekolah"&amp;IF(""="","","; "&amp;""),"")))</f>
        <v>Harga perlu dikonfirmasi ke sekolah</v>
      </c>
      <c r="J1014" s="0" t="s">
        <v>4173</v>
      </c>
      <c r="K1014" s="0" t="n">
        <f aca="false">IF(M1014=2,"",IF(ISNUMBER(SEARCH("rata-rata:",'Offshore - Sydney'!N387)),VALUE(MID('Offshore - Sydney'!N387,SEARCH("rata-rata:",'Offshore - Sydney'!N387)+11,FIND(";",'Offshore - Sydney'!N387&amp;";",SEARCH("rata-rata:",'Offshore - Sydney'!N387))-SEARCH("rata-rata:",'Offshore - Sydney'!N387)-11)),IF('Offshore - Sydney'!D387="Semester",'Offshore - Sydney'!E387*2,IF('Offshore - Sydney'!D387="Trimester",'Offshore - Sydney'!E387*3,IF('Offshore - Sydney'!D387="Term",'Offshore - Sydney'!E387*4,IF('Offshore - Sydney'!D387="Unit",'Offshore - Sydney'!E387*8,""))))))</f>
        <v>17000</v>
      </c>
      <c r="L1014" s="0" t="n">
        <f aca="false">IF(AND(ISNUMBER('Offshore - Sydney'!E387),ISNUMBER(K1014),ISNUMBER('Offshore - Sydney'!F387),ISNUMBER('Offshore - Sydney'!G387),OR('Offshore - Sydney'!F387&lt;&gt;0,ISNUMBER(SEARCH("Material 0 terverifikasi",'Offshore - Sydney'!N387))),OR('Offshore - Sydney'!G387&lt;&gt;0,ISNUMBER(SEARCH("Enrolment 0 terverifikasi",'Offshore - Sydney'!N387)))),1,0)</f>
        <v>1</v>
      </c>
      <c r="M1014" s="0" t="n">
        <f aca="false">IF(OR('Offshore - Sydney'!E387="",ISNUMBER(SEARCH("BSB80120",'Offshore - Sydney'!B387&amp;'Offshore - Sydney'!N387)),ISNUMBER(SEARCH("Management (Learning)",'Offshore - Sydney'!B387))),2,IF(ISNUMBER(SEARCH("CEK:",'Offshore - Sydney'!N387)),1,0))</f>
        <v>1</v>
      </c>
    </row>
    <row r="1015" customFormat="false" ht="15" hidden="false" customHeight="false" outlineLevel="0" collapsed="false">
      <c r="A1015" s="63" t="s">
        <v>3533</v>
      </c>
      <c r="B1015" s="64" t="s">
        <v>4128</v>
      </c>
      <c r="C1015" s="63" t="s">
        <v>43</v>
      </c>
      <c r="D1015" s="64" t="str">
        <f aca="false">TRIM(LEFT('Offshore - Sydney'!A982,FIND(CHAR(10),'Offshore - Sydney'!A982&amp;CHAR(10))-1))</f>
        <v>Western Sydney University</v>
      </c>
      <c r="E1015" s="63" t="str">
        <f aca="false">'Offshore - Sydney'!C1049&amp;""</f>
        <v>3 years</v>
      </c>
      <c r="F1015" s="63" t="str">
        <f aca="false">IF('Offshore - Sydney'!D1049="","Belum tercatat",'Offshore - Sydney'!D1049)</f>
        <v>Term</v>
      </c>
      <c r="G1015" s="65" t="n">
        <f aca="false">IF('Offshore - Sydney'!E1049="","-",'Offshore - Sydney'!E1049)</f>
        <v>8125</v>
      </c>
      <c r="H1015" s="63" t="n">
        <f aca="false">IF(ISNUMBER(K1015),COUNTIFS($J$6:$J$1854,J1015,$K$6:$K$1854,"&lt;"&amp;K1015)+1,"-")</f>
        <v>2</v>
      </c>
      <c r="I1015" s="64" t="str">
        <f aca="false">IF('Offshore - Sydney'!E1049="","Harga belum tersedia - hubungi konsultan TEG",IF(M1015=2,"Saat ini tidak menerima pendaftaran siswa internasional baru",IF(M1015=1,"Harga perlu dikonfirmasi ke sekolah"&amp;IF(""="","","; "&amp;""),"")))</f>
        <v/>
      </c>
      <c r="J1015" s="0" t="s">
        <v>4173</v>
      </c>
      <c r="K1015" s="0" t="n">
        <f aca="false">IF(M1015=2,"",IF(ISNUMBER(SEARCH("rata-rata:",'Offshore - Sydney'!N1049)),VALUE(MID('Offshore - Sydney'!N1049,SEARCH("rata-rata:",'Offshore - Sydney'!N1049)+11,FIND(";",'Offshore - Sydney'!N1049&amp;";",SEARCH("rata-rata:",'Offshore - Sydney'!N1049))-SEARCH("rata-rata:",'Offshore - Sydney'!N1049)-11)),IF('Offshore - Sydney'!D1049="Semester",'Offshore - Sydney'!E1049*2,IF('Offshore - Sydney'!D1049="Trimester",'Offshore - Sydney'!E1049*3,IF('Offshore - Sydney'!D1049="Term",'Offshore - Sydney'!E1049*4,IF('Offshore - Sydney'!D1049="Unit",'Offshore - Sydney'!E1049*8,""))))))</f>
        <v>32500</v>
      </c>
      <c r="L1015" s="0" t="n">
        <f aca="false">IF(AND(ISNUMBER('Offshore - Sydney'!E1049),ISNUMBER(K1015),ISNUMBER('Offshore - Sydney'!F1049),ISNUMBER('Offshore - Sydney'!G1049),OR('Offshore - Sydney'!F1049&lt;&gt;0,ISNUMBER(SEARCH("Material 0 terverifikasi",'Offshore - Sydney'!N1049))),OR('Offshore - Sydney'!G1049&lt;&gt;0,ISNUMBER(SEARCH("Enrolment 0 terverifikasi",'Offshore - Sydney'!N1049)))),1,0)</f>
        <v>0</v>
      </c>
      <c r="M1015" s="0" t="n">
        <f aca="false">IF(OR('Offshore - Sydney'!E1049="",ISNUMBER(SEARCH("BSB80120",'Offshore - Sydney'!B1049&amp;'Offshore - Sydney'!N1049)),ISNUMBER(SEARCH("Management (Learning)",'Offshore - Sydney'!B1049))),2,IF(ISNUMBER(SEARCH("CEK:",'Offshore - Sydney'!N1049)),1,0))</f>
        <v>0</v>
      </c>
    </row>
    <row r="1016" customFormat="false" ht="15" hidden="false" customHeight="false" outlineLevel="0" collapsed="false">
      <c r="A1016" s="63" t="s">
        <v>3533</v>
      </c>
      <c r="B1016" s="64" t="s">
        <v>4128</v>
      </c>
      <c r="C1016" s="63" t="s">
        <v>43</v>
      </c>
      <c r="D1016" s="64" t="str">
        <f aca="false">TRIM(LEFT('Offshore - Sydney'!A156,FIND(CHAR(10),'Offshore - Sydney'!A156&amp;CHAR(10))-1))</f>
        <v>Australian Catholic University (ACU)</v>
      </c>
      <c r="E1016" s="63" t="str">
        <f aca="false">'Offshore - Sydney'!C193&amp;""</f>
        <v>4 years</v>
      </c>
      <c r="F1016" s="63" t="str">
        <f aca="false">IF('Offshore - Sydney'!D193="","Belum tercatat",'Offshore - Sydney'!D193)</f>
        <v>Term</v>
      </c>
      <c r="G1016" s="65" t="n">
        <f aca="false">IF('Offshore - Sydney'!E193="","-",'Offshore - Sydney'!E193)</f>
        <v>8906</v>
      </c>
      <c r="H1016" s="63" t="n">
        <f aca="false">IF(ISNUMBER(K1016),COUNTIFS($J$6:$J$1854,J1016,$K$6:$K$1854,"&lt;"&amp;K1016)+1,"-")</f>
        <v>3</v>
      </c>
      <c r="I1016" s="64" t="str">
        <f aca="false">IF('Offshore - Sydney'!E193="","Harga belum tersedia - hubungi konsultan TEG",IF(M1016=2,"Saat ini tidak menerima pendaftaran siswa internasional baru",IF(M1016=1,"Harga perlu dikonfirmasi ke sekolah"&amp;IF(""="","","; "&amp;""),"")))</f>
        <v/>
      </c>
      <c r="J1016" s="0" t="s">
        <v>4173</v>
      </c>
      <c r="K1016" s="0" t="n">
        <f aca="false">IF(M1016=2,"",IF(ISNUMBER(SEARCH("rata-rata:",'Offshore - Sydney'!N193)),VALUE(MID('Offshore - Sydney'!N193,SEARCH("rata-rata:",'Offshore - Sydney'!N193)+11,FIND(";",'Offshore - Sydney'!N193&amp;";",SEARCH("rata-rata:",'Offshore - Sydney'!N193))-SEARCH("rata-rata:",'Offshore - Sydney'!N193)-11)),IF('Offshore - Sydney'!D193="Semester",'Offshore - Sydney'!E193*2,IF('Offshore - Sydney'!D193="Trimester",'Offshore - Sydney'!E193*3,IF('Offshore - Sydney'!D193="Term",'Offshore - Sydney'!E193*4,IF('Offshore - Sydney'!D193="Unit",'Offshore - Sydney'!E193*8,""))))))</f>
        <v>35624</v>
      </c>
      <c r="L1016" s="0" t="n">
        <f aca="false">IF(AND(ISNUMBER('Offshore - Sydney'!E193),ISNUMBER(K1016),ISNUMBER('Offshore - Sydney'!F193),ISNUMBER('Offshore - Sydney'!G193),OR('Offshore - Sydney'!F193&lt;&gt;0,ISNUMBER(SEARCH("Material 0 terverifikasi",'Offshore - Sydney'!N193))),OR('Offshore - Sydney'!G193&lt;&gt;0,ISNUMBER(SEARCH("Enrolment 0 terverifikasi",'Offshore - Sydney'!N193)))),1,0)</f>
        <v>0</v>
      </c>
      <c r="M1016" s="0" t="n">
        <f aca="false">IF(OR('Offshore - Sydney'!E193="",ISNUMBER(SEARCH("BSB80120",'Offshore - Sydney'!B193&amp;'Offshore - Sydney'!N193)),ISNUMBER(SEARCH("Management (Learning)",'Offshore - Sydney'!B193))),2,IF(ISNUMBER(SEARCH("CEK:",'Offshore - Sydney'!N193)),1,0))</f>
        <v>0</v>
      </c>
    </row>
    <row r="1017" customFormat="false" ht="15" hidden="false" customHeight="false" outlineLevel="0" collapsed="false">
      <c r="A1017" s="61" t="s">
        <v>4174</v>
      </c>
      <c r="B1017" s="62"/>
      <c r="C1017" s="62"/>
      <c r="D1017" s="62"/>
      <c r="E1017" s="62"/>
      <c r="F1017" s="62"/>
      <c r="G1017" s="62"/>
      <c r="H1017" s="62"/>
      <c r="I1017" s="62"/>
    </row>
    <row r="1018" customFormat="false" ht="15" hidden="false" customHeight="false" outlineLevel="0" collapsed="false">
      <c r="A1018" s="63" t="s">
        <v>3533</v>
      </c>
      <c r="B1018" s="64" t="s">
        <v>4128</v>
      </c>
      <c r="C1018" s="63" t="s">
        <v>3707</v>
      </c>
      <c r="D1018" s="64" t="str">
        <f aca="false">TRIM(LEFT('Offshore - Sydney'!A814,FIND(CHAR(10),'Offshore - Sydney'!A814&amp;CHAR(10))-1))</f>
        <v>Torrens University Australia</v>
      </c>
      <c r="E1018" s="63" t="str">
        <f aca="false">'Offshore - Sydney'!C882&amp;""</f>
        <v>0,5 year</v>
      </c>
      <c r="F1018" s="63" t="str">
        <f aca="false">IF('Offshore - Sydney'!D882="","Belum tercatat",'Offshore - Sydney'!D882)</f>
        <v>Term</v>
      </c>
      <c r="G1018" s="65" t="n">
        <f aca="false">IF('Offshore - Sydney'!E882="","-",'Offshore - Sydney'!E882)</f>
        <v>3513</v>
      </c>
      <c r="H1018" s="63" t="n">
        <f aca="false">IF(ISNUMBER(K1018),COUNTIFS($J$6:$J$1854,J1018,$K$6:$K$1854,"&lt;"&amp;K1018)+1,"-")</f>
        <v>1</v>
      </c>
      <c r="I1018" s="64" t="str">
        <f aca="false">IF('Offshore - Sydney'!E882="","Harga belum tersedia - hubungi konsultan TEG",IF(M1018=2,"Saat ini tidak menerima pendaftaran siswa internasional baru",IF(M1018=1,"Harga perlu dikonfirmasi ke sekolah"&amp;IF(""="","","; "&amp;""),"")))</f>
        <v/>
      </c>
      <c r="J1018" s="0" t="s">
        <v>4175</v>
      </c>
      <c r="K1018" s="0" t="n">
        <f aca="false">IF(M1018=2,"",IF(ISNUMBER(SEARCH("rata-rata:",'Offshore - Sydney'!N882)),VALUE(MID('Offshore - Sydney'!N882,SEARCH("rata-rata:",'Offshore - Sydney'!N882)+11,FIND(";",'Offshore - Sydney'!N882&amp;";",SEARCH("rata-rata:",'Offshore - Sydney'!N882))-SEARCH("rata-rata:",'Offshore - Sydney'!N882)-11)),IF('Offshore - Sydney'!D882="Semester",'Offshore - Sydney'!E882*2,IF('Offshore - Sydney'!D882="Trimester",'Offshore - Sydney'!E882*3,IF('Offshore - Sydney'!D882="Term",'Offshore - Sydney'!E882*4,IF('Offshore - Sydney'!D882="Unit",'Offshore - Sydney'!E882*8,""))))))</f>
        <v>14052</v>
      </c>
      <c r="L1018" s="0" t="n">
        <f aca="false">IF(AND(ISNUMBER('Offshore - Sydney'!E882),ISNUMBER(K1018),ISNUMBER('Offshore - Sydney'!F882),ISNUMBER('Offshore - Sydney'!G882),OR('Offshore - Sydney'!F882&lt;&gt;0,ISNUMBER(SEARCH("Material 0 terverifikasi",'Offshore - Sydney'!N882))),OR('Offshore - Sydney'!G882&lt;&gt;0,ISNUMBER(SEARCH("Enrolment 0 terverifikasi",'Offshore - Sydney'!N882)))),1,0)</f>
        <v>0</v>
      </c>
      <c r="M1018" s="0" t="n">
        <f aca="false">IF(OR('Offshore - Sydney'!E882="",ISNUMBER(SEARCH("BSB80120",'Offshore - Sydney'!B882&amp;'Offshore - Sydney'!N882)),ISNUMBER(SEARCH("Management (Learning)",'Offshore - Sydney'!B882))),2,IF(ISNUMBER(SEARCH("CEK:",'Offshore - Sydney'!N882)),1,0))</f>
        <v>0</v>
      </c>
    </row>
    <row r="1019" customFormat="false" ht="15" hidden="false" customHeight="false" outlineLevel="0" collapsed="false">
      <c r="A1019" s="63" t="s">
        <v>3533</v>
      </c>
      <c r="B1019" s="64" t="s">
        <v>4128</v>
      </c>
      <c r="C1019" s="63" t="s">
        <v>3707</v>
      </c>
      <c r="D1019" s="64" t="str">
        <f aca="false">TRIM(LEFT('Offshore - Sydney'!A382,FIND(CHAR(10),'Offshore - Sydney'!A382&amp;CHAR(10))-1))</f>
        <v>CIHE Australia</v>
      </c>
      <c r="E1019" s="63" t="str">
        <f aca="false">'Offshore - Sydney'!C385&amp;""</f>
        <v>1 year</v>
      </c>
      <c r="F1019" s="63" t="str">
        <f aca="false">IF('Offshore - Sydney'!D385="","Belum tercatat",'Offshore - Sydney'!D385)</f>
        <v>Term</v>
      </c>
      <c r="G1019" s="65" t="n">
        <f aca="false">IF('Offshore - Sydney'!E385="","-",'Offshore - Sydney'!E385)</f>
        <v>5625</v>
      </c>
      <c r="H1019" s="63" t="n">
        <f aca="false">IF(ISNUMBER(K1019),COUNTIFS($J$6:$J$1854,J1019,$K$6:$K$1854,"&lt;"&amp;K1019)+1,"-")</f>
        <v>2</v>
      </c>
      <c r="I1019" s="64" t="str">
        <f aca="false">IF('Offshore - Sydney'!E385="","Harga belum tersedia - hubungi konsultan TEG",IF(M1019=2,"Saat ini tidak menerima pendaftaran siswa internasional baru",IF(M1019=1,"Harga perlu dikonfirmasi ke sekolah"&amp;IF(""="","","; "&amp;""),"")))</f>
        <v>Harga perlu dikonfirmasi ke sekolah</v>
      </c>
      <c r="J1019" s="0" t="s">
        <v>4175</v>
      </c>
      <c r="K1019" s="0" t="n">
        <f aca="false">IF(M1019=2,"",IF(ISNUMBER(SEARCH("rata-rata:",'Offshore - Sydney'!N385)),VALUE(MID('Offshore - Sydney'!N385,SEARCH("rata-rata:",'Offshore - Sydney'!N385)+11,FIND(";",'Offshore - Sydney'!N385&amp;";",SEARCH("rata-rata:",'Offshore - Sydney'!N385))-SEARCH("rata-rata:",'Offshore - Sydney'!N385)-11)),IF('Offshore - Sydney'!D385="Semester",'Offshore - Sydney'!E385*2,IF('Offshore - Sydney'!D385="Trimester",'Offshore - Sydney'!E385*3,IF('Offshore - Sydney'!D385="Term",'Offshore - Sydney'!E385*4,IF('Offshore - Sydney'!D385="Unit",'Offshore - Sydney'!E385*8,""))))))</f>
        <v>22500</v>
      </c>
      <c r="L1019" s="0" t="n">
        <f aca="false">IF(AND(ISNUMBER('Offshore - Sydney'!E385),ISNUMBER(K1019),ISNUMBER('Offshore - Sydney'!F385),ISNUMBER('Offshore - Sydney'!G385),OR('Offshore - Sydney'!F385&lt;&gt;0,ISNUMBER(SEARCH("Material 0 terverifikasi",'Offshore - Sydney'!N385))),OR('Offshore - Sydney'!G385&lt;&gt;0,ISNUMBER(SEARCH("Enrolment 0 terverifikasi",'Offshore - Sydney'!N385)))),1,0)</f>
        <v>1</v>
      </c>
      <c r="M1019" s="0" t="n">
        <f aca="false">IF(OR('Offshore - Sydney'!E385="",ISNUMBER(SEARCH("BSB80120",'Offshore - Sydney'!B385&amp;'Offshore - Sydney'!N385)),ISNUMBER(SEARCH("Management (Learning)",'Offshore - Sydney'!B385))),2,IF(ISNUMBER(SEARCH("CEK:",'Offshore - Sydney'!N385)),1,0))</f>
        <v>1</v>
      </c>
    </row>
    <row r="1020" customFormat="false" ht="15" hidden="false" customHeight="false" outlineLevel="0" collapsed="false">
      <c r="A1020" s="63" t="s">
        <v>3533</v>
      </c>
      <c r="B1020" s="64" t="s">
        <v>4128</v>
      </c>
      <c r="C1020" s="63" t="s">
        <v>3707</v>
      </c>
      <c r="D1020" s="64" t="str">
        <f aca="false">TRIM(LEFT('Offshore - Sydney'!A982,FIND(CHAR(10),'Offshore - Sydney'!A982&amp;CHAR(10))-1))</f>
        <v>Western Sydney University</v>
      </c>
      <c r="E1020" s="63" t="str">
        <f aca="false">'Offshore - Sydney'!C1136&amp;""</f>
        <v>1 year</v>
      </c>
      <c r="F1020" s="63" t="str">
        <f aca="false">IF('Offshore - Sydney'!D1136="","Belum tercatat",'Offshore - Sydney'!D1136)</f>
        <v>Term</v>
      </c>
      <c r="G1020" s="65" t="n">
        <f aca="false">IF('Offshore - Sydney'!E1136="","-",'Offshore - Sydney'!E1136)</f>
        <v>8694</v>
      </c>
      <c r="H1020" s="63" t="n">
        <f aca="false">IF(ISNUMBER(K1020),COUNTIFS($J$6:$J$1854,J1020,$K$6:$K$1854,"&lt;"&amp;K1020)+1,"-")</f>
        <v>3</v>
      </c>
      <c r="I1020" s="64" t="str">
        <f aca="false">IF('Offshore - Sydney'!E1136="","Harga belum tersedia - hubungi konsultan TEG",IF(M1020=2,"Saat ini tidak menerima pendaftaran siswa internasional baru",IF(M1020=1,"Harga perlu dikonfirmasi ke sekolah"&amp;IF(""="","","; "&amp;""),"")))</f>
        <v/>
      </c>
      <c r="J1020" s="0" t="s">
        <v>4175</v>
      </c>
      <c r="K1020" s="0" t="n">
        <f aca="false">IF(M1020=2,"",IF(ISNUMBER(SEARCH("rata-rata:",'Offshore - Sydney'!N1136)),VALUE(MID('Offshore - Sydney'!N1136,SEARCH("rata-rata:",'Offshore - Sydney'!N1136)+11,FIND(";",'Offshore - Sydney'!N1136&amp;";",SEARCH("rata-rata:",'Offshore - Sydney'!N1136))-SEARCH("rata-rata:",'Offshore - Sydney'!N1136)-11)),IF('Offshore - Sydney'!D1136="Semester",'Offshore - Sydney'!E1136*2,IF('Offshore - Sydney'!D1136="Trimester",'Offshore - Sydney'!E1136*3,IF('Offshore - Sydney'!D1136="Term",'Offshore - Sydney'!E1136*4,IF('Offshore - Sydney'!D1136="Unit",'Offshore - Sydney'!E1136*8,""))))))</f>
        <v>34776</v>
      </c>
      <c r="L1020" s="0" t="n">
        <f aca="false">IF(AND(ISNUMBER('Offshore - Sydney'!E1136),ISNUMBER(K1020),ISNUMBER('Offshore - Sydney'!F1136),ISNUMBER('Offshore - Sydney'!G1136),OR('Offshore - Sydney'!F1136&lt;&gt;0,ISNUMBER(SEARCH("Material 0 terverifikasi",'Offshore - Sydney'!N1136))),OR('Offshore - Sydney'!G1136&lt;&gt;0,ISNUMBER(SEARCH("Enrolment 0 terverifikasi",'Offshore - Sydney'!N1136)))),1,0)</f>
        <v>0</v>
      </c>
      <c r="M1020" s="0" t="n">
        <f aca="false">IF(OR('Offshore - Sydney'!E1136="",ISNUMBER(SEARCH("BSB80120",'Offshore - Sydney'!B1136&amp;'Offshore - Sydney'!N1136)),ISNUMBER(SEARCH("Management (Learning)",'Offshore - Sydney'!B1136))),2,IF(ISNUMBER(SEARCH("CEK:",'Offshore - Sydney'!N1136)),1,0))</f>
        <v>0</v>
      </c>
    </row>
    <row r="1021" customFormat="false" ht="15" hidden="false" customHeight="false" outlineLevel="0" collapsed="false">
      <c r="A1021" s="61" t="s">
        <v>4176</v>
      </c>
      <c r="B1021" s="62"/>
      <c r="C1021" s="62"/>
      <c r="D1021" s="62"/>
      <c r="E1021" s="62"/>
      <c r="F1021" s="62"/>
      <c r="G1021" s="62"/>
      <c r="H1021" s="62"/>
      <c r="I1021" s="62"/>
    </row>
    <row r="1022" customFormat="false" ht="15" hidden="false" customHeight="false" outlineLevel="0" collapsed="false">
      <c r="A1022" s="63" t="s">
        <v>3533</v>
      </c>
      <c r="B1022" s="64" t="s">
        <v>4128</v>
      </c>
      <c r="C1022" s="63" t="s">
        <v>46</v>
      </c>
      <c r="D1022" s="64" t="str">
        <f aca="false">TRIM(LEFT('Offshore - Sydney'!A382,FIND(CHAR(10),'Offshore - Sydney'!A382&amp;CHAR(10))-1))</f>
        <v>CIHE Australia</v>
      </c>
      <c r="E1022" s="63" t="str">
        <f aca="false">'Offshore - Sydney'!C386&amp;""</f>
        <v>2 years</v>
      </c>
      <c r="F1022" s="63" t="str">
        <f aca="false">IF('Offshore - Sydney'!D386="","Belum tercatat",'Offshore - Sydney'!D386)</f>
        <v>Term</v>
      </c>
      <c r="G1022" s="65" t="n">
        <f aca="false">IF('Offshore - Sydney'!E386="","-",'Offshore - Sydney'!E386)</f>
        <v>6250</v>
      </c>
      <c r="H1022" s="63" t="n">
        <f aca="false">IF(ISNUMBER(K1022),COUNTIFS($J$6:$J$1854,J1022,$K$6:$K$1854,"&lt;"&amp;K1022)+1,"-")</f>
        <v>1</v>
      </c>
      <c r="I1022" s="64" t="str">
        <f aca="false">IF('Offshore - Sydney'!E386="","Harga belum tersedia - hubungi konsultan TEG",IF(M1022=2,"Saat ini tidak menerima pendaftaran siswa internasional baru",IF(M1022=1,"Harga perlu dikonfirmasi ke sekolah"&amp;IF(""="","","; "&amp;""),"")))</f>
        <v/>
      </c>
      <c r="J1022" s="0" t="s">
        <v>4177</v>
      </c>
      <c r="K1022" s="0" t="n">
        <f aca="false">IF(M1022=2,"",IF(ISNUMBER(SEARCH("rata-rata:",'Offshore - Sydney'!N386)),VALUE(MID('Offshore - Sydney'!N386,SEARCH("rata-rata:",'Offshore - Sydney'!N386)+11,FIND(";",'Offshore - Sydney'!N386&amp;";",SEARCH("rata-rata:",'Offshore - Sydney'!N386))-SEARCH("rata-rata:",'Offshore - Sydney'!N386)-11)),IF('Offshore - Sydney'!D386="Semester",'Offshore - Sydney'!E386*2,IF('Offshore - Sydney'!D386="Trimester",'Offshore - Sydney'!E386*3,IF('Offshore - Sydney'!D386="Term",'Offshore - Sydney'!E386*4,IF('Offshore - Sydney'!D386="Unit",'Offshore - Sydney'!E386*8,""))))))</f>
        <v>25000</v>
      </c>
      <c r="L1022" s="0" t="n">
        <f aca="false">IF(AND(ISNUMBER('Offshore - Sydney'!E386),ISNUMBER(K1022),ISNUMBER('Offshore - Sydney'!F386),ISNUMBER('Offshore - Sydney'!G386),OR('Offshore - Sydney'!F386&lt;&gt;0,ISNUMBER(SEARCH("Material 0 terverifikasi",'Offshore - Sydney'!N386))),OR('Offshore - Sydney'!G386&lt;&gt;0,ISNUMBER(SEARCH("Enrolment 0 terverifikasi",'Offshore - Sydney'!N386)))),1,0)</f>
        <v>1</v>
      </c>
      <c r="M1022" s="0" t="n">
        <f aca="false">IF(OR('Offshore - Sydney'!E386="",ISNUMBER(SEARCH("BSB80120",'Offshore - Sydney'!B386&amp;'Offshore - Sydney'!N386)),ISNUMBER(SEARCH("Management (Learning)",'Offshore - Sydney'!B386))),2,IF(ISNUMBER(SEARCH("CEK:",'Offshore - Sydney'!N386)),1,0))</f>
        <v>0</v>
      </c>
    </row>
    <row r="1023" customFormat="false" ht="15" hidden="false" customHeight="false" outlineLevel="0" collapsed="false">
      <c r="A1023" s="63" t="s">
        <v>3533</v>
      </c>
      <c r="B1023" s="64" t="s">
        <v>4128</v>
      </c>
      <c r="C1023" s="63" t="s">
        <v>46</v>
      </c>
      <c r="D1023" s="64" t="str">
        <f aca="false">TRIM(LEFT('Offshore - Sydney'!A814,FIND(CHAR(10),'Offshore - Sydney'!A814&amp;CHAR(10))-1))</f>
        <v>Torrens University Australia</v>
      </c>
      <c r="E1023" s="63" t="str">
        <f aca="false">'Offshore - Sydney'!C884&amp;""</f>
        <v>1,5 years</v>
      </c>
      <c r="F1023" s="63" t="str">
        <f aca="false">IF('Offshore - Sydney'!D884="","Belum tercatat",'Offshore - Sydney'!D884)</f>
        <v>Term</v>
      </c>
      <c r="G1023" s="65" t="n">
        <f aca="false">IF('Offshore - Sydney'!E884="","-",'Offshore - Sydney'!E884)</f>
        <v>7025</v>
      </c>
      <c r="H1023" s="63" t="n">
        <f aca="false">IF(ISNUMBER(K1023),COUNTIFS($J$6:$J$1854,J1023,$K$6:$K$1854,"&lt;"&amp;K1023)+1,"-")</f>
        <v>2</v>
      </c>
      <c r="I1023" s="64" t="str">
        <f aca="false">IF('Offshore - Sydney'!E884="","Harga belum tersedia - hubungi konsultan TEG",IF(M1023=2,"Saat ini tidak menerima pendaftaran siswa internasional baru",IF(M1023=1,"Harga perlu dikonfirmasi ke sekolah"&amp;IF(""="","","; "&amp;""),"")))</f>
        <v/>
      </c>
      <c r="J1023" s="0" t="s">
        <v>4177</v>
      </c>
      <c r="K1023" s="0" t="n">
        <f aca="false">IF(M1023=2,"",IF(ISNUMBER(SEARCH("rata-rata:",'Offshore - Sydney'!N884)),VALUE(MID('Offshore - Sydney'!N884,SEARCH("rata-rata:",'Offshore - Sydney'!N884)+11,FIND(";",'Offshore - Sydney'!N884&amp;";",SEARCH("rata-rata:",'Offshore - Sydney'!N884))-SEARCH("rata-rata:",'Offshore - Sydney'!N884)-11)),IF('Offshore - Sydney'!D884="Semester",'Offshore - Sydney'!E884*2,IF('Offshore - Sydney'!D884="Trimester",'Offshore - Sydney'!E884*3,IF('Offshore - Sydney'!D884="Term",'Offshore - Sydney'!E884*4,IF('Offshore - Sydney'!D884="Unit",'Offshore - Sydney'!E884*8,""))))))</f>
        <v>28100</v>
      </c>
      <c r="L1023" s="0" t="n">
        <f aca="false">IF(AND(ISNUMBER('Offshore - Sydney'!E884),ISNUMBER(K1023),ISNUMBER('Offshore - Sydney'!F884),ISNUMBER('Offshore - Sydney'!G884),OR('Offshore - Sydney'!F884&lt;&gt;0,ISNUMBER(SEARCH("Material 0 terverifikasi",'Offshore - Sydney'!N884))),OR('Offshore - Sydney'!G884&lt;&gt;0,ISNUMBER(SEARCH("Enrolment 0 terverifikasi",'Offshore - Sydney'!N884)))),1,0)</f>
        <v>0</v>
      </c>
      <c r="M1023" s="0" t="n">
        <f aca="false">IF(OR('Offshore - Sydney'!E884="",ISNUMBER(SEARCH("BSB80120",'Offshore - Sydney'!B884&amp;'Offshore - Sydney'!N884)),ISNUMBER(SEARCH("Management (Learning)",'Offshore - Sydney'!B884))),2,IF(ISNUMBER(SEARCH("CEK:",'Offshore - Sydney'!N884)),1,0))</f>
        <v>0</v>
      </c>
    </row>
    <row r="1024" customFormat="false" ht="15" hidden="false" customHeight="false" outlineLevel="0" collapsed="false">
      <c r="A1024" s="63" t="s">
        <v>3533</v>
      </c>
      <c r="B1024" s="64" t="s">
        <v>4128</v>
      </c>
      <c r="C1024" s="63" t="s">
        <v>46</v>
      </c>
      <c r="D1024" s="64" t="str">
        <f aca="false">TRIM(LEFT('Offshore - Sydney'!A982,FIND(CHAR(10),'Offshore - Sydney'!A982&amp;CHAR(10))-1))</f>
        <v>Western Sydney University</v>
      </c>
      <c r="E1024" s="63" t="str">
        <f aca="false">'Offshore - Sydney'!C1131&amp;""</f>
        <v>2,5 years</v>
      </c>
      <c r="F1024" s="63" t="str">
        <f aca="false">IF('Offshore - Sydney'!D1131="","Belum tercatat",'Offshore - Sydney'!D1131)</f>
        <v>Term</v>
      </c>
      <c r="G1024" s="65" t="n">
        <f aca="false">IF('Offshore - Sydney'!E1131="","-",'Offshore - Sydney'!E1131)</f>
        <v>8768</v>
      </c>
      <c r="H1024" s="63" t="n">
        <f aca="false">IF(ISNUMBER(K1024),COUNTIFS($J$6:$J$1854,J1024,$K$6:$K$1854,"&lt;"&amp;K1024)+1,"-")</f>
        <v>3</v>
      </c>
      <c r="I1024" s="64" t="str">
        <f aca="false">IF('Offshore - Sydney'!E1131="","Harga belum tersedia - hubungi konsultan TEG",IF(M1024=2,"Saat ini tidak menerima pendaftaran siswa internasional baru",IF(M1024=1,"Harga perlu dikonfirmasi ke sekolah"&amp;IF(""="","","; "&amp;""),"")))</f>
        <v/>
      </c>
      <c r="J1024" s="0" t="s">
        <v>4177</v>
      </c>
      <c r="K1024" s="0" t="n">
        <f aca="false">IF(M1024=2,"",IF(ISNUMBER(SEARCH("rata-rata:",'Offshore - Sydney'!N1131)),VALUE(MID('Offshore - Sydney'!N1131,SEARCH("rata-rata:",'Offshore - Sydney'!N1131)+11,FIND(";",'Offshore - Sydney'!N1131&amp;";",SEARCH("rata-rata:",'Offshore - Sydney'!N1131))-SEARCH("rata-rata:",'Offshore - Sydney'!N1131)-11)),IF('Offshore - Sydney'!D1131="Semester",'Offshore - Sydney'!E1131*2,IF('Offshore - Sydney'!D1131="Trimester",'Offshore - Sydney'!E1131*3,IF('Offshore - Sydney'!D1131="Term",'Offshore - Sydney'!E1131*4,IF('Offshore - Sydney'!D1131="Unit",'Offshore - Sydney'!E1131*8,""))))))</f>
        <v>35072</v>
      </c>
      <c r="L1024" s="0" t="n">
        <f aca="false">IF(AND(ISNUMBER('Offshore - Sydney'!E1131),ISNUMBER(K1024),ISNUMBER('Offshore - Sydney'!F1131),ISNUMBER('Offshore - Sydney'!G1131),OR('Offshore - Sydney'!F1131&lt;&gt;0,ISNUMBER(SEARCH("Material 0 terverifikasi",'Offshore - Sydney'!N1131))),OR('Offshore - Sydney'!G1131&lt;&gt;0,ISNUMBER(SEARCH("Enrolment 0 terverifikasi",'Offshore - Sydney'!N1131)))),1,0)</f>
        <v>0</v>
      </c>
      <c r="M1024" s="0" t="n">
        <f aca="false">IF(OR('Offshore - Sydney'!E1131="",ISNUMBER(SEARCH("BSB80120",'Offshore - Sydney'!B1131&amp;'Offshore - Sydney'!N1131)),ISNUMBER(SEARCH("Management (Learning)",'Offshore - Sydney'!B1131))),2,IF(ISNUMBER(SEARCH("CEK:",'Offshore - Sydney'!N1131)),1,0))</f>
        <v>0</v>
      </c>
    </row>
    <row r="1025" customFormat="false" ht="15" hidden="false" customHeight="false" outlineLevel="0" collapsed="false">
      <c r="A1025" s="63" t="s">
        <v>3533</v>
      </c>
      <c r="B1025" s="64" t="s">
        <v>4128</v>
      </c>
      <c r="C1025" s="63" t="s">
        <v>46</v>
      </c>
      <c r="D1025" s="64" t="str">
        <f aca="false">TRIM(LEFT('Offshore - Sydney'!A156,FIND(CHAR(10),'Offshore - Sydney'!A156&amp;CHAR(10))-1))</f>
        <v>Australian Catholic University (ACU)</v>
      </c>
      <c r="E1025" s="63" t="str">
        <f aca="false">'Offshore - Sydney'!C187&amp;""</f>
        <v>4 years</v>
      </c>
      <c r="F1025" s="63" t="str">
        <f aca="false">IF('Offshore - Sydney'!D187="","Belum tercatat",'Offshore - Sydney'!D187)</f>
        <v>Term</v>
      </c>
      <c r="G1025" s="65" t="n">
        <f aca="false">IF('Offshore - Sydney'!E187="","-",'Offshore - Sydney'!E187)</f>
        <v>8906</v>
      </c>
      <c r="H1025" s="63" t="n">
        <f aca="false">IF(ISNUMBER(K1025),COUNTIFS($J$6:$J$1854,J1025,$K$6:$K$1854,"&lt;"&amp;K1025)+1,"-")</f>
        <v>4</v>
      </c>
      <c r="I1025" s="64" t="str">
        <f aca="false">IF('Offshore - Sydney'!E187="","Harga belum tersedia - hubungi konsultan TEG",IF(M1025=2,"Saat ini tidak menerima pendaftaran siswa internasional baru",IF(M1025=1,"Harga perlu dikonfirmasi ke sekolah"&amp;IF(""="","","; "&amp;""),"")))</f>
        <v/>
      </c>
      <c r="J1025" s="0" t="s">
        <v>4177</v>
      </c>
      <c r="K1025" s="0" t="n">
        <f aca="false">IF(M1025=2,"",IF(ISNUMBER(SEARCH("rata-rata:",'Offshore - Sydney'!N187)),VALUE(MID('Offshore - Sydney'!N187,SEARCH("rata-rata:",'Offshore - Sydney'!N187)+11,FIND(";",'Offshore - Sydney'!N187&amp;";",SEARCH("rata-rata:",'Offshore - Sydney'!N187))-SEARCH("rata-rata:",'Offshore - Sydney'!N187)-11)),IF('Offshore - Sydney'!D187="Semester",'Offshore - Sydney'!E187*2,IF('Offshore - Sydney'!D187="Trimester",'Offshore - Sydney'!E187*3,IF('Offshore - Sydney'!D187="Term",'Offshore - Sydney'!E187*4,IF('Offshore - Sydney'!D187="Unit",'Offshore - Sydney'!E187*8,""))))))</f>
        <v>35624</v>
      </c>
      <c r="L1025" s="0" t="n">
        <f aca="false">IF(AND(ISNUMBER('Offshore - Sydney'!E187),ISNUMBER(K1025),ISNUMBER('Offshore - Sydney'!F187),ISNUMBER('Offshore - Sydney'!G187),OR('Offshore - Sydney'!F187&lt;&gt;0,ISNUMBER(SEARCH("Material 0 terverifikasi",'Offshore - Sydney'!N187))),OR('Offshore - Sydney'!G187&lt;&gt;0,ISNUMBER(SEARCH("Enrolment 0 terverifikasi",'Offshore - Sydney'!N187)))),1,0)</f>
        <v>0</v>
      </c>
      <c r="M1025" s="0" t="n">
        <f aca="false">IF(OR('Offshore - Sydney'!E187="",ISNUMBER(SEARCH("BSB80120",'Offshore - Sydney'!B187&amp;'Offshore - Sydney'!N187)),ISNUMBER(SEARCH("Management (Learning)",'Offshore - Sydney'!B187))),2,IF(ISNUMBER(SEARCH("CEK:",'Offshore - Sydney'!N187)),1,0))</f>
        <v>0</v>
      </c>
    </row>
    <row r="1026" customFormat="false" ht="15" hidden="false" customHeight="false" outlineLevel="0" collapsed="false">
      <c r="A1026" s="61" t="s">
        <v>4178</v>
      </c>
      <c r="B1026" s="62"/>
      <c r="C1026" s="62"/>
      <c r="D1026" s="62"/>
      <c r="E1026" s="62"/>
      <c r="F1026" s="62"/>
      <c r="G1026" s="62"/>
      <c r="H1026" s="62"/>
      <c r="I1026" s="62"/>
    </row>
    <row r="1027" customFormat="false" ht="15" hidden="false" customHeight="false" outlineLevel="0" collapsed="false">
      <c r="A1027" s="63" t="s">
        <v>3753</v>
      </c>
      <c r="B1027" s="64" t="s">
        <v>4128</v>
      </c>
      <c r="C1027" s="63" t="s">
        <v>43</v>
      </c>
      <c r="D1027" s="64" t="str">
        <f aca="false">TRIM(LEFT('Offshore - Tasmania Hobart'!A21,FIND(CHAR(10),'Offshore - Tasmania Hobart'!A21&amp;CHAR(10))-1))</f>
        <v>University of Tasmania (UTAS)</v>
      </c>
      <c r="E1027" s="63" t="str">
        <f aca="false">'Offshore - Tasmania Hobart'!C68&amp;""</f>
        <v>4 years</v>
      </c>
      <c r="F1027" s="63" t="str">
        <f aca="false">IF('Offshore - Tasmania Hobart'!D68="","Belum tercatat",'Offshore - Tasmania Hobart'!D68)</f>
        <v>Term</v>
      </c>
      <c r="G1027" s="65" t="n">
        <f aca="false">IF('Offshore - Tasmania Hobart'!E68="","-",'Offshore - Tasmania Hobart'!E68)</f>
        <v>9562.5</v>
      </c>
      <c r="H1027" s="63" t="n">
        <f aca="false">IF(ISNUMBER(K1027),COUNTIFS($J$6:$J$1854,J1027,$K$6:$K$1854,"&lt;"&amp;K1027)+1,"-")</f>
        <v>1</v>
      </c>
      <c r="I1027" s="64" t="str">
        <f aca="false">IF('Offshore - Tasmania Hobart'!E68="","Harga belum tersedia - hubungi konsultan TEG",IF(M1027=2,"Saat ini tidak menerima pendaftaran siswa internasional baru",IF(M1027=1,"Harga perlu dikonfirmasi ke sekolah"&amp;IF(""="","","; "&amp;""),"")))</f>
        <v>Harga perlu dikonfirmasi ke sekolah</v>
      </c>
      <c r="J1027" s="0" t="s">
        <v>4179</v>
      </c>
      <c r="K1027" s="0" t="n">
        <f aca="false">IF(M1027=2,"",IF(ISNUMBER(SEARCH("rata-rata:",'Offshore - Tasmania Hobart'!N68)),VALUE(MID('Offshore - Tasmania Hobart'!N68,SEARCH("rata-rata:",'Offshore - Tasmania Hobart'!N68)+11,FIND(";",'Offshore - Tasmania Hobart'!N68&amp;";",SEARCH("rata-rata:",'Offshore - Tasmania Hobart'!N68))-SEARCH("rata-rata:",'Offshore - Tasmania Hobart'!N68)-11)),IF('Offshore - Tasmania Hobart'!D68="Semester",'Offshore - Tasmania Hobart'!E68*2,IF('Offshore - Tasmania Hobart'!D68="Trimester",'Offshore - Tasmania Hobart'!E68*3,IF('Offshore - Tasmania Hobart'!D68="Term",'Offshore - Tasmania Hobart'!E68*4,IF('Offshore - Tasmania Hobart'!D68="Unit",'Offshore - Tasmania Hobart'!E68*8,""))))))</f>
        <v>38250</v>
      </c>
      <c r="L1027" s="0" t="n">
        <f aca="false">IF(AND(ISNUMBER('Offshore - Tasmania Hobart'!E68),ISNUMBER(K1027),ISNUMBER('Offshore - Tasmania Hobart'!F68),ISNUMBER('Offshore - Tasmania Hobart'!G68),OR('Offshore - Tasmania Hobart'!F68&lt;&gt;0,ISNUMBER(SEARCH("Material 0 terverifikasi",'Offshore - Tasmania Hobart'!N68))),OR('Offshore - Tasmania Hobart'!G68&lt;&gt;0,ISNUMBER(SEARCH("Enrolment 0 terverifikasi",'Offshore - Tasmania Hobart'!N68)))),1,0)</f>
        <v>0</v>
      </c>
      <c r="M1027" s="0" t="n">
        <f aca="false">IF(OR('Offshore - Tasmania Hobart'!E68="",ISNUMBER(SEARCH("BSB80120",'Offshore - Tasmania Hobart'!B68&amp;'Offshore - Tasmania Hobart'!N68)),ISNUMBER(SEARCH("Management (Learning)",'Offshore - Tasmania Hobart'!B68))),2,IF(ISNUMBER(SEARCH("CEK:",'Offshore - Tasmania Hobart'!N68)),1,0))</f>
        <v>1</v>
      </c>
    </row>
    <row r="1028" customFormat="false" ht="15" hidden="false" customHeight="false" outlineLevel="0" collapsed="false">
      <c r="A1028" s="61" t="s">
        <v>4180</v>
      </c>
      <c r="B1028" s="62"/>
      <c r="C1028" s="62"/>
      <c r="D1028" s="62"/>
      <c r="E1028" s="62"/>
      <c r="F1028" s="62"/>
      <c r="G1028" s="62"/>
      <c r="H1028" s="62"/>
      <c r="I1028" s="62"/>
    </row>
    <row r="1029" customFormat="false" ht="15" hidden="false" customHeight="false" outlineLevel="0" collapsed="false">
      <c r="A1029" s="63" t="s">
        <v>3753</v>
      </c>
      <c r="B1029" s="64" t="s">
        <v>4128</v>
      </c>
      <c r="C1029" s="63" t="s">
        <v>46</v>
      </c>
      <c r="D1029" s="64" t="str">
        <f aca="false">TRIM(LEFT('Offshore - Tasmania Hobart'!A21,FIND(CHAR(10),'Offshore - Tasmania Hobart'!A21&amp;CHAR(10))-1))</f>
        <v>University of Tasmania (UTAS)</v>
      </c>
      <c r="E1029" s="63" t="str">
        <f aca="false">'Offshore - Tasmania Hobart'!C70&amp;""</f>
        <v>2 yeas</v>
      </c>
      <c r="F1029" s="63" t="str">
        <f aca="false">IF('Offshore - Tasmania Hobart'!D70="","Belum tercatat",'Offshore - Tasmania Hobart'!D70)</f>
        <v>Term</v>
      </c>
      <c r="G1029" s="65" t="n">
        <f aca="false">IF('Offshore - Tasmania Hobart'!E70="","-",'Offshore - Tasmania Hobart'!E70)</f>
        <v>9562.5</v>
      </c>
      <c r="H1029" s="63" t="n">
        <f aca="false">IF(ISNUMBER(K1029),COUNTIFS($J$6:$J$1854,J1029,$K$6:$K$1854,"&lt;"&amp;K1029)+1,"-")</f>
        <v>1</v>
      </c>
      <c r="I1029" s="64" t="str">
        <f aca="false">IF('Offshore - Tasmania Hobart'!E70="","Harga belum tersedia - hubungi konsultan TEG",IF(M1029=2,"Saat ini tidak menerima pendaftaran siswa internasional baru",IF(M1029=1,"Harga perlu dikonfirmasi ke sekolah"&amp;IF(""="","","; "&amp;""),"")))</f>
        <v>Harga perlu dikonfirmasi ke sekolah</v>
      </c>
      <c r="J1029" s="0" t="s">
        <v>4181</v>
      </c>
      <c r="K1029" s="0" t="n">
        <f aca="false">IF(M1029=2,"",IF(ISNUMBER(SEARCH("rata-rata:",'Offshore - Tasmania Hobart'!N70)),VALUE(MID('Offshore - Tasmania Hobart'!N70,SEARCH("rata-rata:",'Offshore - Tasmania Hobart'!N70)+11,FIND(";",'Offshore - Tasmania Hobart'!N70&amp;";",SEARCH("rata-rata:",'Offshore - Tasmania Hobart'!N70))-SEARCH("rata-rata:",'Offshore - Tasmania Hobart'!N70)-11)),IF('Offshore - Tasmania Hobart'!D70="Semester",'Offshore - Tasmania Hobart'!E70*2,IF('Offshore - Tasmania Hobart'!D70="Trimester",'Offshore - Tasmania Hobart'!E70*3,IF('Offshore - Tasmania Hobart'!D70="Term",'Offshore - Tasmania Hobart'!E70*4,IF('Offshore - Tasmania Hobart'!D70="Unit",'Offshore - Tasmania Hobart'!E70*8,""))))))</f>
        <v>38250</v>
      </c>
      <c r="L1029" s="0" t="n">
        <f aca="false">IF(AND(ISNUMBER('Offshore - Tasmania Hobart'!E70),ISNUMBER(K1029),ISNUMBER('Offshore - Tasmania Hobart'!F70),ISNUMBER('Offshore - Tasmania Hobart'!G70),OR('Offshore - Tasmania Hobart'!F70&lt;&gt;0,ISNUMBER(SEARCH("Material 0 terverifikasi",'Offshore - Tasmania Hobart'!N70))),OR('Offshore - Tasmania Hobart'!G70&lt;&gt;0,ISNUMBER(SEARCH("Enrolment 0 terverifikasi",'Offshore - Tasmania Hobart'!N70)))),1,0)</f>
        <v>0</v>
      </c>
      <c r="M1029" s="0" t="n">
        <f aca="false">IF(OR('Offshore - Tasmania Hobart'!E70="",ISNUMBER(SEARCH("BSB80120",'Offshore - Tasmania Hobart'!B70&amp;'Offshore - Tasmania Hobart'!N70)),ISNUMBER(SEARCH("Management (Learning)",'Offshore - Tasmania Hobart'!B70))),2,IF(ISNUMBER(SEARCH("CEK:",'Offshore - Tasmania Hobart'!N70)),1,0))</f>
        <v>1</v>
      </c>
    </row>
    <row r="1030" customFormat="false" ht="15" hidden="false" customHeight="false" outlineLevel="0" collapsed="false">
      <c r="A1030" s="61" t="s">
        <v>4182</v>
      </c>
      <c r="B1030" s="62"/>
      <c r="C1030" s="62"/>
      <c r="D1030" s="62"/>
      <c r="E1030" s="62"/>
      <c r="F1030" s="62"/>
      <c r="G1030" s="62"/>
      <c r="H1030" s="62"/>
      <c r="I1030" s="62"/>
    </row>
    <row r="1031" customFormat="false" ht="15" hidden="false" customHeight="false" outlineLevel="0" collapsed="false">
      <c r="A1031" s="63" t="s">
        <v>3659</v>
      </c>
      <c r="B1031" s="64" t="s">
        <v>4183</v>
      </c>
      <c r="C1031" s="63" t="s">
        <v>43</v>
      </c>
      <c r="D1031" s="64" t="str">
        <f aca="false">TRIM(LEFT('Offshore - Adelaide'!A13,FIND(CHAR(10),'Offshore - Adelaide'!A13&amp;CHAR(10))-1))</f>
        <v>Adelaide University</v>
      </c>
      <c r="E1031" s="63" t="str">
        <f aca="false">'Offshore - Adelaide'!C55&amp;""</f>
        <v>3 years</v>
      </c>
      <c r="F1031" s="63" t="str">
        <f aca="false">IF('Offshore - Adelaide'!D55="","Belum tercatat",'Offshore - Adelaide'!D55)</f>
        <v>Term</v>
      </c>
      <c r="G1031" s="65" t="n">
        <f aca="false">IF('Offshore - Adelaide'!E55="","-",'Offshore - Adelaide'!E55)</f>
        <v>11275</v>
      </c>
      <c r="H1031" s="63" t="n">
        <f aca="false">IF(ISNUMBER(K1031),COUNTIFS($J$6:$J$1854,J1031,$K$6:$K$1854,"&lt;"&amp;K1031)+1,"-")</f>
        <v>1</v>
      </c>
      <c r="I1031" s="64" t="str">
        <f aca="false">IF('Offshore - Adelaide'!E55="","Harga belum tersedia - hubungi konsultan TEG",IF(M1031=2,"Saat ini tidak menerima pendaftaran siswa internasional baru",IF(M1031=1,"Harga perlu dikonfirmasi ke sekolah"&amp;IF(""="","","; "&amp;""),"")))</f>
        <v/>
      </c>
      <c r="J1031" s="0" t="s">
        <v>4184</v>
      </c>
      <c r="K1031" s="0" t="n">
        <f aca="false">IF(M1031=2,"",IF(ISNUMBER(SEARCH("rata-rata:",'Offshore - Adelaide'!N55)),VALUE(MID('Offshore - Adelaide'!N55,SEARCH("rata-rata:",'Offshore - Adelaide'!N55)+11,FIND(";",'Offshore - Adelaide'!N55&amp;";",SEARCH("rata-rata:",'Offshore - Adelaide'!N55))-SEARCH("rata-rata:",'Offshore - Adelaide'!N55)-11)),IF('Offshore - Adelaide'!D55="Semester",'Offshore - Adelaide'!E55*2,IF('Offshore - Adelaide'!D55="Trimester",'Offshore - Adelaide'!E55*3,IF('Offshore - Adelaide'!D55="Term",'Offshore - Adelaide'!E55*4,IF('Offshore - Adelaide'!D55="Unit",'Offshore - Adelaide'!E55*8,""))))))</f>
        <v>45100</v>
      </c>
      <c r="L1031" s="0" t="n">
        <f aca="false">IF(AND(ISNUMBER('Offshore - Adelaide'!E55),ISNUMBER(K1031),ISNUMBER('Offshore - Adelaide'!F55),ISNUMBER('Offshore - Adelaide'!G55),OR('Offshore - Adelaide'!F55&lt;&gt;0,ISNUMBER(SEARCH("Material 0 terverifikasi",'Offshore - Adelaide'!N55))),OR('Offshore - Adelaide'!G55&lt;&gt;0,ISNUMBER(SEARCH("Enrolment 0 terverifikasi",'Offshore - Adelaide'!N55)))),1,0)</f>
        <v>0</v>
      </c>
      <c r="M1031" s="0" t="n">
        <f aca="false">IF(OR('Offshore - Adelaide'!E55="",ISNUMBER(SEARCH("BSB80120",'Offshore - Adelaide'!B55&amp;'Offshore - Adelaide'!N55)),ISNUMBER(SEARCH("Management (Learning)",'Offshore - Adelaide'!B55))),2,IF(ISNUMBER(SEARCH("CEK:",'Offshore - Adelaide'!N55)),1,0))</f>
        <v>0</v>
      </c>
    </row>
    <row r="1032" customFormat="false" ht="15" hidden="false" customHeight="false" outlineLevel="0" collapsed="false">
      <c r="A1032" s="61" t="s">
        <v>4185</v>
      </c>
      <c r="B1032" s="62"/>
      <c r="C1032" s="62"/>
      <c r="D1032" s="62"/>
      <c r="E1032" s="62"/>
      <c r="F1032" s="62"/>
      <c r="G1032" s="62"/>
      <c r="H1032" s="62"/>
      <c r="I1032" s="62"/>
    </row>
    <row r="1033" customFormat="false" ht="15" hidden="false" customHeight="false" outlineLevel="0" collapsed="false">
      <c r="A1033" s="63" t="s">
        <v>3659</v>
      </c>
      <c r="B1033" s="64" t="s">
        <v>4183</v>
      </c>
      <c r="C1033" s="63" t="s">
        <v>4186</v>
      </c>
      <c r="D1033" s="64" t="str">
        <f aca="false">TRIM(LEFT('Offshore - Adelaide'!A484,FIND(CHAR(10),'Offshore - Adelaide'!A484&amp;CHAR(10))-1))</f>
        <v>TAFE SA</v>
      </c>
      <c r="E1033" s="63" t="str">
        <f aca="false">'Offshore - Adelaide'!C500&amp;""</f>
        <v>40 minggu</v>
      </c>
      <c r="F1033" s="63" t="str">
        <f aca="false">IF('Offshore - Adelaide'!D500="","Belum tercatat",'Offshore - Adelaide'!D500)</f>
        <v>Semester</v>
      </c>
      <c r="G1033" s="65" t="n">
        <f aca="false">IF('Offshore - Adelaide'!E500="","-",'Offshore - Adelaide'!E500)</f>
        <v>8300</v>
      </c>
      <c r="H1033" s="63" t="n">
        <f aca="false">IF(ISNUMBER(K1033),COUNTIFS($J$6:$J$1854,J1033,$K$6:$K$1854,"&lt;"&amp;K1033)+1,"-")</f>
        <v>1</v>
      </c>
      <c r="I1033" s="64" t="str">
        <f aca="false">IF('Offshore - Adelaide'!E500="","Harga belum tersedia - hubungi konsultan TEG",IF(M1033=2,"Saat ini tidak menerima pendaftaran siswa internasional baru",IF(M1033=1,"Harga perlu dikonfirmasi ke sekolah"&amp;IF(""="","","; "&amp;""),"")))</f>
        <v/>
      </c>
      <c r="J1033" s="0" t="s">
        <v>4187</v>
      </c>
      <c r="K1033" s="0" t="n">
        <f aca="false">IF(M1033=2,"",IF(ISNUMBER(SEARCH("rata-rata:",'Offshore - Adelaide'!N500)),VALUE(MID('Offshore - Adelaide'!N500,SEARCH("rata-rata:",'Offshore - Adelaide'!N500)+11,FIND(";",'Offshore - Adelaide'!N500&amp;";",SEARCH("rata-rata:",'Offshore - Adelaide'!N500))-SEARCH("rata-rata:",'Offshore - Adelaide'!N500)-11)),IF('Offshore - Adelaide'!D500="Semester",'Offshore - Adelaide'!E500*2,IF('Offshore - Adelaide'!D500="Trimester",'Offshore - Adelaide'!E500*3,IF('Offshore - Adelaide'!D500="Term",'Offshore - Adelaide'!E500*4,IF('Offshore - Adelaide'!D500="Unit",'Offshore - Adelaide'!E500*8,""))))))</f>
        <v>16600</v>
      </c>
      <c r="L1033" s="0" t="n">
        <f aca="false">IF(AND(ISNUMBER('Offshore - Adelaide'!E500),ISNUMBER(K1033),ISNUMBER('Offshore - Adelaide'!F500),ISNUMBER('Offshore - Adelaide'!G500),OR('Offshore - Adelaide'!F500&lt;&gt;0,ISNUMBER(SEARCH("Material 0 terverifikasi",'Offshore - Adelaide'!N500))),OR('Offshore - Adelaide'!G500&lt;&gt;0,ISNUMBER(SEARCH("Enrolment 0 terverifikasi",'Offshore - Adelaide'!N500)))),1,0)</f>
        <v>0</v>
      </c>
      <c r="M1033" s="0" t="n">
        <f aca="false">IF(OR('Offshore - Adelaide'!E500="",ISNUMBER(SEARCH("BSB80120",'Offshore - Adelaide'!B500&amp;'Offshore - Adelaide'!N500)),ISNUMBER(SEARCH("Management (Learning)",'Offshore - Adelaide'!B500))),2,IF(ISNUMBER(SEARCH("CEK:",'Offshore - Adelaide'!N500)),1,0))</f>
        <v>0</v>
      </c>
    </row>
    <row r="1034" customFormat="false" ht="15" hidden="false" customHeight="false" outlineLevel="0" collapsed="false">
      <c r="A1034" s="61" t="s">
        <v>4188</v>
      </c>
      <c r="B1034" s="62"/>
      <c r="C1034" s="62"/>
      <c r="D1034" s="62"/>
      <c r="E1034" s="62"/>
      <c r="F1034" s="62"/>
      <c r="G1034" s="62"/>
      <c r="H1034" s="62"/>
      <c r="I1034" s="62"/>
    </row>
    <row r="1035" customFormat="false" ht="15" hidden="false" customHeight="false" outlineLevel="0" collapsed="false">
      <c r="A1035" s="63" t="s">
        <v>3563</v>
      </c>
      <c r="B1035" s="64" t="s">
        <v>4183</v>
      </c>
      <c r="C1035" s="63" t="s">
        <v>4186</v>
      </c>
      <c r="D1035" s="64" t="str">
        <f aca="false">TRIM(LEFT('Offshore - Brisbane'!A53,FIND(CHAR(10),'Offshore - Brisbane'!A53&amp;CHAR(10))-1))</f>
        <v>Australian Catholic University (ACU)</v>
      </c>
      <c r="E1035" s="63" t="str">
        <f aca="false">'Offshore - Brisbane'!C156&amp;""</f>
        <v>1 year</v>
      </c>
      <c r="F1035" s="63" t="str">
        <f aca="false">IF('Offshore - Brisbane'!D156="","Belum tercatat",'Offshore - Brisbane'!D156)</f>
        <v>Term</v>
      </c>
      <c r="G1035" s="65" t="n">
        <f aca="false">IF('Offshore - Brisbane'!E156="","-",'Offshore - Brisbane'!E156)</f>
        <v>5780</v>
      </c>
      <c r="H1035" s="63" t="n">
        <f aca="false">IF(ISNUMBER(K1035),COUNTIFS($J$6:$J$1854,J1035,$K$6:$K$1854,"&lt;"&amp;K1035)+1,"-")</f>
        <v>1</v>
      </c>
      <c r="I1035" s="64" t="str">
        <f aca="false">IF('Offshore - Brisbane'!E156="","Harga belum tersedia - hubungi konsultan TEG",IF(M1035=2,"Saat ini tidak menerima pendaftaran siswa internasional baru",IF(M1035=1,"Harga perlu dikonfirmasi ke sekolah"&amp;IF(""="","","; "&amp;""),"")))</f>
        <v/>
      </c>
      <c r="J1035" s="0" t="s">
        <v>4189</v>
      </c>
      <c r="K1035" s="0" t="n">
        <f aca="false">IF(M1035=2,"",IF(ISNUMBER(SEARCH("rata-rata:",'Offshore - Brisbane'!N156)),VALUE(MID('Offshore - Brisbane'!N156,SEARCH("rata-rata:",'Offshore - Brisbane'!N156)+11,FIND(";",'Offshore - Brisbane'!N156&amp;";",SEARCH("rata-rata:",'Offshore - Brisbane'!N156))-SEARCH("rata-rata:",'Offshore - Brisbane'!N156)-11)),IF('Offshore - Brisbane'!D156="Semester",'Offshore - Brisbane'!E156*2,IF('Offshore - Brisbane'!D156="Trimester",'Offshore - Brisbane'!E156*3,IF('Offshore - Brisbane'!D156="Term",'Offshore - Brisbane'!E156*4,IF('Offshore - Brisbane'!D156="Unit",'Offshore - Brisbane'!E156*8,""))))))</f>
        <v>23120</v>
      </c>
      <c r="L1035" s="0" t="n">
        <f aca="false">IF(AND(ISNUMBER('Offshore - Brisbane'!E156),ISNUMBER(K1035),ISNUMBER('Offshore - Brisbane'!F156),ISNUMBER('Offshore - Brisbane'!G156),OR('Offshore - Brisbane'!F156&lt;&gt;0,ISNUMBER(SEARCH("Material 0 terverifikasi",'Offshore - Brisbane'!N156))),OR('Offshore - Brisbane'!G156&lt;&gt;0,ISNUMBER(SEARCH("Enrolment 0 terverifikasi",'Offshore - Brisbane'!N156)))),1,0)</f>
        <v>0</v>
      </c>
      <c r="M1035" s="0" t="n">
        <f aca="false">IF(OR('Offshore - Brisbane'!E156="",ISNUMBER(SEARCH("BSB80120",'Offshore - Brisbane'!B156&amp;'Offshore - Brisbane'!N156)),ISNUMBER(SEARCH("Management (Learning)",'Offshore - Brisbane'!B156))),2,IF(ISNUMBER(SEARCH("CEK:",'Offshore - Brisbane'!N156)),1,0))</f>
        <v>0</v>
      </c>
    </row>
    <row r="1036" customFormat="false" ht="15" hidden="false" customHeight="false" outlineLevel="0" collapsed="false">
      <c r="A1036" s="61" t="s">
        <v>4190</v>
      </c>
      <c r="B1036" s="62"/>
      <c r="C1036" s="62"/>
      <c r="D1036" s="62"/>
      <c r="E1036" s="62"/>
      <c r="F1036" s="62"/>
      <c r="G1036" s="62"/>
      <c r="H1036" s="62"/>
      <c r="I1036" s="62"/>
    </row>
    <row r="1037" customFormat="false" ht="15" hidden="false" customHeight="false" outlineLevel="0" collapsed="false">
      <c r="A1037" s="63" t="s">
        <v>3563</v>
      </c>
      <c r="B1037" s="64" t="s">
        <v>4183</v>
      </c>
      <c r="C1037" s="63" t="s">
        <v>3821</v>
      </c>
      <c r="D1037" s="64" t="str">
        <f aca="false">TRIM(LEFT('Offshore - Brisbane'!A53,FIND(CHAR(10),'Offshore - Brisbane'!A53&amp;CHAR(10))-1))</f>
        <v>Australian Catholic University (ACU)</v>
      </c>
      <c r="E1037" s="63" t="str">
        <f aca="false">'Offshore - Brisbane'!C157&amp;""</f>
        <v>1 year</v>
      </c>
      <c r="F1037" s="63" t="str">
        <f aca="false">IF('Offshore - Brisbane'!D157="","Belum tercatat",'Offshore - Brisbane'!D157)</f>
        <v>Term</v>
      </c>
      <c r="G1037" s="65" t="n">
        <f aca="false">IF('Offshore - Brisbane'!E157="","-",'Offshore - Brisbane'!E157)</f>
        <v>5000</v>
      </c>
      <c r="H1037" s="63" t="n">
        <f aca="false">IF(ISNUMBER(K1037),COUNTIFS($J$6:$J$1854,J1037,$K$6:$K$1854,"&lt;"&amp;K1037)+1,"-")</f>
        <v>1</v>
      </c>
      <c r="I1037" s="64" t="str">
        <f aca="false">IF('Offshore - Brisbane'!E157="","Harga belum tersedia - hubungi konsultan TEG",IF(M1037=2,"Saat ini tidak menerima pendaftaran siswa internasional baru",IF(M1037=1,"Harga perlu dikonfirmasi ke sekolah"&amp;IF(""="","","; "&amp;""),"")))</f>
        <v/>
      </c>
      <c r="J1037" s="0" t="s">
        <v>4191</v>
      </c>
      <c r="K1037" s="0" t="n">
        <f aca="false">IF(M1037=2,"",IF(ISNUMBER(SEARCH("rata-rata:",'Offshore - Brisbane'!N157)),VALUE(MID('Offshore - Brisbane'!N157,SEARCH("rata-rata:",'Offshore - Brisbane'!N157)+11,FIND(";",'Offshore - Brisbane'!N157&amp;";",SEARCH("rata-rata:",'Offshore - Brisbane'!N157))-SEARCH("rata-rata:",'Offshore - Brisbane'!N157)-11)),IF('Offshore - Brisbane'!D157="Semester",'Offshore - Brisbane'!E157*2,IF('Offshore - Brisbane'!D157="Trimester",'Offshore - Brisbane'!E157*3,IF('Offshore - Brisbane'!D157="Term",'Offshore - Brisbane'!E157*4,IF('Offshore - Brisbane'!D157="Unit",'Offshore - Brisbane'!E157*8,""))))))</f>
        <v>20000</v>
      </c>
      <c r="L1037" s="0" t="n">
        <f aca="false">IF(AND(ISNUMBER('Offshore - Brisbane'!E157),ISNUMBER(K1037),ISNUMBER('Offshore - Brisbane'!F157),ISNUMBER('Offshore - Brisbane'!G157),OR('Offshore - Brisbane'!F157&lt;&gt;0,ISNUMBER(SEARCH("Material 0 terverifikasi",'Offshore - Brisbane'!N157))),OR('Offshore - Brisbane'!G157&lt;&gt;0,ISNUMBER(SEARCH("Enrolment 0 terverifikasi",'Offshore - Brisbane'!N157)))),1,0)</f>
        <v>0</v>
      </c>
      <c r="M1037" s="0" t="n">
        <f aca="false">IF(OR('Offshore - Brisbane'!E157="",ISNUMBER(SEARCH("BSB80120",'Offshore - Brisbane'!B157&amp;'Offshore - Brisbane'!N157)),ISNUMBER(SEARCH("Management (Learning)",'Offshore - Brisbane'!B157))),2,IF(ISNUMBER(SEARCH("CEK:",'Offshore - Brisbane'!N157)),1,0))</f>
        <v>0</v>
      </c>
    </row>
    <row r="1038" customFormat="false" ht="15" hidden="false" customHeight="false" outlineLevel="0" collapsed="false">
      <c r="A1038" s="61" t="s">
        <v>4192</v>
      </c>
      <c r="B1038" s="62"/>
      <c r="C1038" s="62"/>
      <c r="D1038" s="62"/>
      <c r="E1038" s="62"/>
      <c r="F1038" s="62"/>
      <c r="G1038" s="62"/>
      <c r="H1038" s="62"/>
      <c r="I1038" s="62"/>
    </row>
    <row r="1039" customFormat="false" ht="15" hidden="false" customHeight="false" outlineLevel="0" collapsed="false">
      <c r="A1039" s="63" t="s">
        <v>3718</v>
      </c>
      <c r="B1039" s="64" t="s">
        <v>4183</v>
      </c>
      <c r="C1039" s="63" t="s">
        <v>4186</v>
      </c>
      <c r="D1039" s="64" t="str">
        <f aca="false">TRIM(LEFT('Offshore - Canberra'!A6,FIND(CHAR(10),'Offshore - Canberra'!A6&amp;CHAR(10))-1))</f>
        <v>Australian Catholic University (ACU)</v>
      </c>
      <c r="E1039" s="63" t="str">
        <f aca="false">'Offshore - Canberra'!C109&amp;""</f>
        <v>1 year</v>
      </c>
      <c r="F1039" s="63" t="str">
        <f aca="false">IF('Offshore - Canberra'!D109="","Belum tercatat",'Offshore - Canberra'!D109)</f>
        <v>Term</v>
      </c>
      <c r="G1039" s="65" t="n">
        <f aca="false">IF('Offshore - Canberra'!E109="","-",'Offshore - Canberra'!E109)</f>
        <v>5780</v>
      </c>
      <c r="H1039" s="63" t="n">
        <f aca="false">IF(ISNUMBER(K1039),COUNTIFS($J$6:$J$1854,J1039,$K$6:$K$1854,"&lt;"&amp;K1039)+1,"-")</f>
        <v>1</v>
      </c>
      <c r="I1039" s="64" t="str">
        <f aca="false">IF('Offshore - Canberra'!E109="","Harga belum tersedia - hubungi konsultan TEG",IF(M1039=2,"Saat ini tidak menerima pendaftaran siswa internasional baru",IF(M1039=1,"Harga perlu dikonfirmasi ke sekolah"&amp;IF(""="","","; "&amp;""),"")))</f>
        <v/>
      </c>
      <c r="J1039" s="0" t="s">
        <v>4193</v>
      </c>
      <c r="K1039" s="0" t="n">
        <f aca="false">IF(M1039=2,"",IF(ISNUMBER(SEARCH("rata-rata:",'Offshore - Canberra'!N109)),VALUE(MID('Offshore - Canberra'!N109,SEARCH("rata-rata:",'Offshore - Canberra'!N109)+11,FIND(";",'Offshore - Canberra'!N109&amp;";",SEARCH("rata-rata:",'Offshore - Canberra'!N109))-SEARCH("rata-rata:",'Offshore - Canberra'!N109)-11)),IF('Offshore - Canberra'!D109="Semester",'Offshore - Canberra'!E109*2,IF('Offshore - Canberra'!D109="Trimester",'Offshore - Canberra'!E109*3,IF('Offshore - Canberra'!D109="Term",'Offshore - Canberra'!E109*4,IF('Offshore - Canberra'!D109="Unit",'Offshore - Canberra'!E109*8,""))))))</f>
        <v>23120</v>
      </c>
      <c r="L1039" s="0" t="n">
        <f aca="false">IF(AND(ISNUMBER('Offshore - Canberra'!E109),ISNUMBER(K1039),ISNUMBER('Offshore - Canberra'!F109),ISNUMBER('Offshore - Canberra'!G109),OR('Offshore - Canberra'!F109&lt;&gt;0,ISNUMBER(SEARCH("Material 0 terverifikasi",'Offshore - Canberra'!N109))),OR('Offshore - Canberra'!G109&lt;&gt;0,ISNUMBER(SEARCH("Enrolment 0 terverifikasi",'Offshore - Canberra'!N109)))),1,0)</f>
        <v>0</v>
      </c>
      <c r="M1039" s="0" t="n">
        <f aca="false">IF(OR('Offshore - Canberra'!E109="",ISNUMBER(SEARCH("BSB80120",'Offshore - Canberra'!B109&amp;'Offshore - Canberra'!N109)),ISNUMBER(SEARCH("Management (Learning)",'Offshore - Canberra'!B109))),2,IF(ISNUMBER(SEARCH("CEK:",'Offshore - Canberra'!N109)),1,0))</f>
        <v>0</v>
      </c>
    </row>
    <row r="1040" customFormat="false" ht="15" hidden="false" customHeight="false" outlineLevel="0" collapsed="false">
      <c r="A1040" s="61" t="s">
        <v>4194</v>
      </c>
      <c r="B1040" s="62"/>
      <c r="C1040" s="62"/>
      <c r="D1040" s="62"/>
      <c r="E1040" s="62"/>
      <c r="F1040" s="62"/>
      <c r="G1040" s="62"/>
      <c r="H1040" s="62"/>
      <c r="I1040" s="62"/>
    </row>
    <row r="1041" customFormat="false" ht="15" hidden="false" customHeight="false" outlineLevel="0" collapsed="false">
      <c r="A1041" s="63" t="s">
        <v>3718</v>
      </c>
      <c r="B1041" s="64" t="s">
        <v>4183</v>
      </c>
      <c r="C1041" s="63" t="s">
        <v>3821</v>
      </c>
      <c r="D1041" s="64" t="str">
        <f aca="false">TRIM(LEFT('Offshore - Canberra'!A6,FIND(CHAR(10),'Offshore - Canberra'!A6&amp;CHAR(10))-1))</f>
        <v>Australian Catholic University (ACU)</v>
      </c>
      <c r="E1041" s="63" t="str">
        <f aca="false">'Offshore - Canberra'!C110&amp;""</f>
        <v>1 year</v>
      </c>
      <c r="F1041" s="63" t="str">
        <f aca="false">IF('Offshore - Canberra'!D110="","Belum tercatat",'Offshore - Canberra'!D110)</f>
        <v>Term</v>
      </c>
      <c r="G1041" s="65" t="n">
        <f aca="false">IF('Offshore - Canberra'!E110="","-",'Offshore - Canberra'!E110)</f>
        <v>5000</v>
      </c>
      <c r="H1041" s="63" t="n">
        <f aca="false">IF(ISNUMBER(K1041),COUNTIFS($J$6:$J$1854,J1041,$K$6:$K$1854,"&lt;"&amp;K1041)+1,"-")</f>
        <v>1</v>
      </c>
      <c r="I1041" s="64" t="str">
        <f aca="false">IF('Offshore - Canberra'!E110="","Harga belum tersedia - hubungi konsultan TEG",IF(M1041=2,"Saat ini tidak menerima pendaftaran siswa internasional baru",IF(M1041=1,"Harga perlu dikonfirmasi ke sekolah"&amp;IF(""="","","; "&amp;""),"")))</f>
        <v/>
      </c>
      <c r="J1041" s="0" t="s">
        <v>4195</v>
      </c>
      <c r="K1041" s="0" t="n">
        <f aca="false">IF(M1041=2,"",IF(ISNUMBER(SEARCH("rata-rata:",'Offshore - Canberra'!N110)),VALUE(MID('Offshore - Canberra'!N110,SEARCH("rata-rata:",'Offshore - Canberra'!N110)+11,FIND(";",'Offshore - Canberra'!N110&amp;";",SEARCH("rata-rata:",'Offshore - Canberra'!N110))-SEARCH("rata-rata:",'Offshore - Canberra'!N110)-11)),IF('Offshore - Canberra'!D110="Semester",'Offshore - Canberra'!E110*2,IF('Offshore - Canberra'!D110="Trimester",'Offshore - Canberra'!E110*3,IF('Offshore - Canberra'!D110="Term",'Offshore - Canberra'!E110*4,IF('Offshore - Canberra'!D110="Unit",'Offshore - Canberra'!E110*8,""))))))</f>
        <v>20000</v>
      </c>
      <c r="L1041" s="0" t="n">
        <f aca="false">IF(AND(ISNUMBER('Offshore - Canberra'!E110),ISNUMBER(K1041),ISNUMBER('Offshore - Canberra'!F110),ISNUMBER('Offshore - Canberra'!G110),OR('Offshore - Canberra'!F110&lt;&gt;0,ISNUMBER(SEARCH("Material 0 terverifikasi",'Offshore - Canberra'!N110))),OR('Offshore - Canberra'!G110&lt;&gt;0,ISNUMBER(SEARCH("Enrolment 0 terverifikasi",'Offshore - Canberra'!N110)))),1,0)</f>
        <v>0</v>
      </c>
      <c r="M1041" s="0" t="n">
        <f aca="false">IF(OR('Offshore - Canberra'!E110="",ISNUMBER(SEARCH("BSB80120",'Offshore - Canberra'!B110&amp;'Offshore - Canberra'!N110)),ISNUMBER(SEARCH("Management (Learning)",'Offshore - Canberra'!B110))),2,IF(ISNUMBER(SEARCH("CEK:",'Offshore - Canberra'!N110)),1,0))</f>
        <v>0</v>
      </c>
    </row>
    <row r="1042" customFormat="false" ht="15" hidden="false" customHeight="false" outlineLevel="0" collapsed="false">
      <c r="A1042" s="61" t="s">
        <v>4196</v>
      </c>
      <c r="B1042" s="62"/>
      <c r="C1042" s="62"/>
      <c r="D1042" s="62"/>
      <c r="E1042" s="62"/>
      <c r="F1042" s="62"/>
      <c r="G1042" s="62"/>
      <c r="H1042" s="62"/>
      <c r="I1042" s="62"/>
    </row>
    <row r="1043" customFormat="false" ht="15" hidden="false" customHeight="false" outlineLevel="0" collapsed="false">
      <c r="A1043" s="63" t="s">
        <v>3544</v>
      </c>
      <c r="B1043" s="64" t="s">
        <v>4183</v>
      </c>
      <c r="C1043" s="63" t="s">
        <v>4186</v>
      </c>
      <c r="D1043" s="64" t="str">
        <f aca="false">TRIM(LEFT('Offshore - Melbourne'!A95,FIND(CHAR(10),'Offshore - Melbourne'!A95&amp;CHAR(10))-1))</f>
        <v>Australian Catholic University (ACU)</v>
      </c>
      <c r="E1043" s="63" t="str">
        <f aca="false">'Offshore - Melbourne'!C198&amp;""</f>
        <v>1 year</v>
      </c>
      <c r="F1043" s="63" t="str">
        <f aca="false">IF('Offshore - Melbourne'!D198="","Belum tercatat",'Offshore - Melbourne'!D198)</f>
        <v>Term</v>
      </c>
      <c r="G1043" s="65" t="n">
        <f aca="false">IF('Offshore - Melbourne'!E198="","-",'Offshore - Melbourne'!E198)</f>
        <v>5780</v>
      </c>
      <c r="H1043" s="63" t="n">
        <f aca="false">IF(ISNUMBER(K1043),COUNTIFS($J$6:$J$1854,J1043,$K$6:$K$1854,"&lt;"&amp;K1043)+1,"-")</f>
        <v>1</v>
      </c>
      <c r="I1043" s="64" t="str">
        <f aca="false">IF('Offshore - Melbourne'!E198="","Harga belum tersedia - hubungi konsultan TEG",IF(M1043=2,"Saat ini tidak menerima pendaftaran siswa internasional baru",IF(M1043=1,"Harga perlu dikonfirmasi ke sekolah"&amp;IF(""="","","; "&amp;""),"")))</f>
        <v/>
      </c>
      <c r="J1043" s="0" t="s">
        <v>4197</v>
      </c>
      <c r="K1043" s="0" t="n">
        <f aca="false">IF(M1043=2,"",IF(ISNUMBER(SEARCH("rata-rata:",'Offshore - Melbourne'!N198)),VALUE(MID('Offshore - Melbourne'!N198,SEARCH("rata-rata:",'Offshore - Melbourne'!N198)+11,FIND(";",'Offshore - Melbourne'!N198&amp;";",SEARCH("rata-rata:",'Offshore - Melbourne'!N198))-SEARCH("rata-rata:",'Offshore - Melbourne'!N198)-11)),IF('Offshore - Melbourne'!D198="Semester",'Offshore - Melbourne'!E198*2,IF('Offshore - Melbourne'!D198="Trimester",'Offshore - Melbourne'!E198*3,IF('Offshore - Melbourne'!D198="Term",'Offshore - Melbourne'!E198*4,IF('Offshore - Melbourne'!D198="Unit",'Offshore - Melbourne'!E198*8,""))))))</f>
        <v>23120</v>
      </c>
      <c r="L1043" s="0" t="n">
        <f aca="false">IF(AND(ISNUMBER('Offshore - Melbourne'!E198),ISNUMBER(K1043),ISNUMBER('Offshore - Melbourne'!F198),ISNUMBER('Offshore - Melbourne'!G198),OR('Offshore - Melbourne'!F198&lt;&gt;0,ISNUMBER(SEARCH("Material 0 terverifikasi",'Offshore - Melbourne'!N198))),OR('Offshore - Melbourne'!G198&lt;&gt;0,ISNUMBER(SEARCH("Enrolment 0 terverifikasi",'Offshore - Melbourne'!N198)))),1,0)</f>
        <v>0</v>
      </c>
      <c r="M1043" s="0" t="n">
        <f aca="false">IF(OR('Offshore - Melbourne'!E198="",ISNUMBER(SEARCH("BSB80120",'Offshore - Melbourne'!B198&amp;'Offshore - Melbourne'!N198)),ISNUMBER(SEARCH("Management (Learning)",'Offshore - Melbourne'!B198))),2,IF(ISNUMBER(SEARCH("CEK:",'Offshore - Melbourne'!N198)),1,0))</f>
        <v>0</v>
      </c>
    </row>
    <row r="1044" customFormat="false" ht="15" hidden="false" customHeight="false" outlineLevel="0" collapsed="false">
      <c r="A1044" s="61" t="s">
        <v>4198</v>
      </c>
      <c r="B1044" s="62"/>
      <c r="C1044" s="62"/>
      <c r="D1044" s="62"/>
      <c r="E1044" s="62"/>
      <c r="F1044" s="62"/>
      <c r="G1044" s="62"/>
      <c r="H1044" s="62"/>
      <c r="I1044" s="62"/>
    </row>
    <row r="1045" customFormat="false" ht="15" hidden="false" customHeight="false" outlineLevel="0" collapsed="false">
      <c r="A1045" s="63" t="s">
        <v>3544</v>
      </c>
      <c r="B1045" s="64" t="s">
        <v>4183</v>
      </c>
      <c r="C1045" s="63" t="s">
        <v>3821</v>
      </c>
      <c r="D1045" s="64" t="str">
        <f aca="false">TRIM(LEFT('Offshore - Melbourne'!A95,FIND(CHAR(10),'Offshore - Melbourne'!A95&amp;CHAR(10))-1))</f>
        <v>Australian Catholic University (ACU)</v>
      </c>
      <c r="E1045" s="63" t="str">
        <f aca="false">'Offshore - Melbourne'!C199&amp;""</f>
        <v>1 year</v>
      </c>
      <c r="F1045" s="63" t="str">
        <f aca="false">IF('Offshore - Melbourne'!D199="","Belum tercatat",'Offshore - Melbourne'!D199)</f>
        <v>Term</v>
      </c>
      <c r="G1045" s="65" t="n">
        <f aca="false">IF('Offshore - Melbourne'!E199="","-",'Offshore - Melbourne'!E199)</f>
        <v>5000</v>
      </c>
      <c r="H1045" s="63" t="n">
        <f aca="false">IF(ISNUMBER(K1045),COUNTIFS($J$6:$J$1854,J1045,$K$6:$K$1854,"&lt;"&amp;K1045)+1,"-")</f>
        <v>1</v>
      </c>
      <c r="I1045" s="64" t="str">
        <f aca="false">IF('Offshore - Melbourne'!E199="","Harga belum tersedia - hubungi konsultan TEG",IF(M1045=2,"Saat ini tidak menerima pendaftaran siswa internasional baru",IF(M1045=1,"Harga perlu dikonfirmasi ke sekolah"&amp;IF(""="","","; "&amp;""),"")))</f>
        <v/>
      </c>
      <c r="J1045" s="0" t="s">
        <v>4199</v>
      </c>
      <c r="K1045" s="0" t="n">
        <f aca="false">IF(M1045=2,"",IF(ISNUMBER(SEARCH("rata-rata:",'Offshore - Melbourne'!N199)),VALUE(MID('Offshore - Melbourne'!N199,SEARCH("rata-rata:",'Offshore - Melbourne'!N199)+11,FIND(";",'Offshore - Melbourne'!N199&amp;";",SEARCH("rata-rata:",'Offshore - Melbourne'!N199))-SEARCH("rata-rata:",'Offshore - Melbourne'!N199)-11)),IF('Offshore - Melbourne'!D199="Semester",'Offshore - Melbourne'!E199*2,IF('Offshore - Melbourne'!D199="Trimester",'Offshore - Melbourne'!E199*3,IF('Offshore - Melbourne'!D199="Term",'Offshore - Melbourne'!E199*4,IF('Offshore - Melbourne'!D199="Unit",'Offshore - Melbourne'!E199*8,""))))))</f>
        <v>20000</v>
      </c>
      <c r="L1045" s="0" t="n">
        <f aca="false">IF(AND(ISNUMBER('Offshore - Melbourne'!E199),ISNUMBER(K1045),ISNUMBER('Offshore - Melbourne'!F199),ISNUMBER('Offshore - Melbourne'!G199),OR('Offshore - Melbourne'!F199&lt;&gt;0,ISNUMBER(SEARCH("Material 0 terverifikasi",'Offshore - Melbourne'!N199))),OR('Offshore - Melbourne'!G199&lt;&gt;0,ISNUMBER(SEARCH("Enrolment 0 terverifikasi",'Offshore - Melbourne'!N199)))),1,0)</f>
        <v>0</v>
      </c>
      <c r="M1045" s="0" t="n">
        <f aca="false">IF(OR('Offshore - Melbourne'!E199="",ISNUMBER(SEARCH("BSB80120",'Offshore - Melbourne'!B199&amp;'Offshore - Melbourne'!N199)),ISNUMBER(SEARCH("Management (Learning)",'Offshore - Melbourne'!B199))),2,IF(ISNUMBER(SEARCH("CEK:",'Offshore - Melbourne'!N199)),1,0))</f>
        <v>0</v>
      </c>
    </row>
    <row r="1046" customFormat="false" ht="15" hidden="false" customHeight="false" outlineLevel="0" collapsed="false">
      <c r="A1046" s="61" t="s">
        <v>4200</v>
      </c>
      <c r="B1046" s="62"/>
      <c r="C1046" s="62"/>
      <c r="D1046" s="62"/>
      <c r="E1046" s="62"/>
      <c r="F1046" s="62"/>
      <c r="G1046" s="62"/>
      <c r="H1046" s="62"/>
      <c r="I1046" s="62"/>
    </row>
    <row r="1047" customFormat="false" ht="15" hidden="false" customHeight="false" outlineLevel="0" collapsed="false">
      <c r="A1047" s="63" t="s">
        <v>3533</v>
      </c>
      <c r="B1047" s="64" t="s">
        <v>4183</v>
      </c>
      <c r="C1047" s="63" t="s">
        <v>40</v>
      </c>
      <c r="D1047" s="64" t="str">
        <f aca="false">TRIM(LEFT('Offshore - Sydney'!A721,FIND(CHAR(10),'Offshore - Sydney'!A721&amp;CHAR(10))-1))</f>
        <v>TAFE NSW</v>
      </c>
      <c r="E1047" s="63" t="str">
        <f aca="false">'Offshore - Sydney'!C721&amp;""</f>
        <v>1 year</v>
      </c>
      <c r="F1047" s="63" t="str">
        <f aca="false">IF('Offshore - Sydney'!D721="","Belum tercatat",'Offshore - Sydney'!D721)</f>
        <v>Term</v>
      </c>
      <c r="G1047" s="65" t="n">
        <f aca="false">IF('Offshore - Sydney'!E721="","-",'Offshore - Sydney'!E721)</f>
        <v>4575</v>
      </c>
      <c r="H1047" s="63" t="n">
        <f aca="false">IF(ISNUMBER(K1047),COUNTIFS($J$6:$J$1854,J1047,$K$6:$K$1854,"&lt;"&amp;K1047)+1,"-")</f>
        <v>1</v>
      </c>
      <c r="I1047" s="64" t="str">
        <f aca="false">IF('Offshore - Sydney'!E721="","Harga belum tersedia - hubungi konsultan TEG",IF(M1047=2,"Saat ini tidak menerima pendaftaran siswa internasional baru",IF(M1047=1,"Harga perlu dikonfirmasi ke sekolah"&amp;IF(""="","","; "&amp;""),"")))</f>
        <v/>
      </c>
      <c r="J1047" s="0" t="s">
        <v>4201</v>
      </c>
      <c r="K1047" s="0" t="n">
        <f aca="false">IF(M1047=2,"",IF(ISNUMBER(SEARCH("rata-rata:",'Offshore - Sydney'!N721)),VALUE(MID('Offshore - Sydney'!N721,SEARCH("rata-rata:",'Offshore - Sydney'!N721)+11,FIND(";",'Offshore - Sydney'!N721&amp;";",SEARCH("rata-rata:",'Offshore - Sydney'!N721))-SEARCH("rata-rata:",'Offshore - Sydney'!N721)-11)),IF('Offshore - Sydney'!D721="Semester",'Offshore - Sydney'!E721*2,IF('Offshore - Sydney'!D721="Trimester",'Offshore - Sydney'!E721*3,IF('Offshore - Sydney'!D721="Term",'Offshore - Sydney'!E721*4,IF('Offshore - Sydney'!D721="Unit",'Offshore - Sydney'!E721*8,""))))))</f>
        <v>18300</v>
      </c>
      <c r="L1047" s="0" t="n">
        <f aca="false">IF(AND(ISNUMBER('Offshore - Sydney'!E721),ISNUMBER(K1047),ISNUMBER('Offshore - Sydney'!F721),ISNUMBER('Offshore - Sydney'!G721),OR('Offshore - Sydney'!F721&lt;&gt;0,ISNUMBER(SEARCH("Material 0 terverifikasi",'Offshore - Sydney'!N721))),OR('Offshore - Sydney'!G721&lt;&gt;0,ISNUMBER(SEARCH("Enrolment 0 terverifikasi",'Offshore - Sydney'!N721)))),1,0)</f>
        <v>0</v>
      </c>
      <c r="M1047" s="0" t="n">
        <f aca="false">IF(OR('Offshore - Sydney'!E721="",ISNUMBER(SEARCH("BSB80120",'Offshore - Sydney'!B721&amp;'Offshore - Sydney'!N721)),ISNUMBER(SEARCH("Management (Learning)",'Offshore - Sydney'!B721))),2,IF(ISNUMBER(SEARCH("CEK:",'Offshore - Sydney'!N721)),1,0))</f>
        <v>0</v>
      </c>
    </row>
    <row r="1048" customFormat="false" ht="15" hidden="false" customHeight="false" outlineLevel="0" collapsed="false">
      <c r="A1048" s="61" t="s">
        <v>4202</v>
      </c>
      <c r="B1048" s="62"/>
      <c r="C1048" s="62"/>
      <c r="D1048" s="62"/>
      <c r="E1048" s="62"/>
      <c r="F1048" s="62"/>
      <c r="G1048" s="62"/>
      <c r="H1048" s="62"/>
      <c r="I1048" s="62"/>
    </row>
    <row r="1049" customFormat="false" ht="15" hidden="false" customHeight="false" outlineLevel="0" collapsed="false">
      <c r="A1049" s="63" t="s">
        <v>3533</v>
      </c>
      <c r="B1049" s="64" t="s">
        <v>4183</v>
      </c>
      <c r="C1049" s="63" t="s">
        <v>4186</v>
      </c>
      <c r="D1049" s="64" t="str">
        <f aca="false">TRIM(LEFT('Offshore - Sydney'!A156,FIND(CHAR(10),'Offshore - Sydney'!A156&amp;CHAR(10))-1))</f>
        <v>Australian Catholic University (ACU)</v>
      </c>
      <c r="E1049" s="63" t="str">
        <f aca="false">'Offshore - Sydney'!C259&amp;""</f>
        <v>1 year</v>
      </c>
      <c r="F1049" s="63" t="str">
        <f aca="false">IF('Offshore - Sydney'!D259="","Belum tercatat",'Offshore - Sydney'!D259)</f>
        <v>Term</v>
      </c>
      <c r="G1049" s="65" t="n">
        <f aca="false">IF('Offshore - Sydney'!E259="","-",'Offshore - Sydney'!E259)</f>
        <v>5780</v>
      </c>
      <c r="H1049" s="63" t="n">
        <f aca="false">IF(ISNUMBER(K1049),COUNTIFS($J$6:$J$1854,J1049,$K$6:$K$1854,"&lt;"&amp;K1049)+1,"-")</f>
        <v>1</v>
      </c>
      <c r="I1049" s="64" t="str">
        <f aca="false">IF('Offshore - Sydney'!E259="","Harga belum tersedia - hubungi konsultan TEG",IF(M1049=2,"Saat ini tidak menerima pendaftaran siswa internasional baru",IF(M1049=1,"Harga perlu dikonfirmasi ke sekolah"&amp;IF(""="","","; "&amp;""),"")))</f>
        <v/>
      </c>
      <c r="J1049" s="0" t="s">
        <v>4203</v>
      </c>
      <c r="K1049" s="0" t="n">
        <f aca="false">IF(M1049=2,"",IF(ISNUMBER(SEARCH("rata-rata:",'Offshore - Sydney'!N259)),VALUE(MID('Offshore - Sydney'!N259,SEARCH("rata-rata:",'Offshore - Sydney'!N259)+11,FIND(";",'Offshore - Sydney'!N259&amp;";",SEARCH("rata-rata:",'Offshore - Sydney'!N259))-SEARCH("rata-rata:",'Offshore - Sydney'!N259)-11)),IF('Offshore - Sydney'!D259="Semester",'Offshore - Sydney'!E259*2,IF('Offshore - Sydney'!D259="Trimester",'Offshore - Sydney'!E259*3,IF('Offshore - Sydney'!D259="Term",'Offshore - Sydney'!E259*4,IF('Offshore - Sydney'!D259="Unit",'Offshore - Sydney'!E259*8,""))))))</f>
        <v>23120</v>
      </c>
      <c r="L1049" s="0" t="n">
        <f aca="false">IF(AND(ISNUMBER('Offshore - Sydney'!E259),ISNUMBER(K1049),ISNUMBER('Offshore - Sydney'!F259),ISNUMBER('Offshore - Sydney'!G259),OR('Offshore - Sydney'!F259&lt;&gt;0,ISNUMBER(SEARCH("Material 0 terverifikasi",'Offshore - Sydney'!N259))),OR('Offshore - Sydney'!G259&lt;&gt;0,ISNUMBER(SEARCH("Enrolment 0 terverifikasi",'Offshore - Sydney'!N259)))),1,0)</f>
        <v>0</v>
      </c>
      <c r="M1049" s="0" t="n">
        <f aca="false">IF(OR('Offshore - Sydney'!E259="",ISNUMBER(SEARCH("BSB80120",'Offshore - Sydney'!B259&amp;'Offshore - Sydney'!N259)),ISNUMBER(SEARCH("Management (Learning)",'Offshore - Sydney'!B259))),2,IF(ISNUMBER(SEARCH("CEK:",'Offshore - Sydney'!N259)),1,0))</f>
        <v>0</v>
      </c>
    </row>
    <row r="1050" customFormat="false" ht="15" hidden="false" customHeight="false" outlineLevel="0" collapsed="false">
      <c r="A1050" s="61" t="s">
        <v>4204</v>
      </c>
      <c r="B1050" s="62"/>
      <c r="C1050" s="62"/>
      <c r="D1050" s="62"/>
      <c r="E1050" s="62"/>
      <c r="F1050" s="62"/>
      <c r="G1050" s="62"/>
      <c r="H1050" s="62"/>
      <c r="I1050" s="62"/>
    </row>
    <row r="1051" customFormat="false" ht="15" hidden="false" customHeight="false" outlineLevel="0" collapsed="false">
      <c r="A1051" s="63" t="s">
        <v>3533</v>
      </c>
      <c r="B1051" s="64" t="s">
        <v>4183</v>
      </c>
      <c r="C1051" s="63" t="s">
        <v>3821</v>
      </c>
      <c r="D1051" s="64" t="str">
        <f aca="false">TRIM(LEFT('Offshore - Sydney'!A156,FIND(CHAR(10),'Offshore - Sydney'!A156&amp;CHAR(10))-1))</f>
        <v>Australian Catholic University (ACU)</v>
      </c>
      <c r="E1051" s="63" t="str">
        <f aca="false">'Offshore - Sydney'!C260&amp;""</f>
        <v>1 year</v>
      </c>
      <c r="F1051" s="63" t="str">
        <f aca="false">IF('Offshore - Sydney'!D260="","Belum tercatat",'Offshore - Sydney'!D260)</f>
        <v>Term</v>
      </c>
      <c r="G1051" s="65" t="n">
        <f aca="false">IF('Offshore - Sydney'!E260="","-",'Offshore - Sydney'!E260)</f>
        <v>5000</v>
      </c>
      <c r="H1051" s="63" t="n">
        <f aca="false">IF(ISNUMBER(K1051),COUNTIFS($J$6:$J$1854,J1051,$K$6:$K$1854,"&lt;"&amp;K1051)+1,"-")</f>
        <v>1</v>
      </c>
      <c r="I1051" s="64" t="str">
        <f aca="false">IF('Offshore - Sydney'!E260="","Harga belum tersedia - hubungi konsultan TEG",IF(M1051=2,"Saat ini tidak menerima pendaftaran siswa internasional baru",IF(M1051=1,"Harga perlu dikonfirmasi ke sekolah"&amp;IF(""="","","; "&amp;""),"")))</f>
        <v/>
      </c>
      <c r="J1051" s="0" t="s">
        <v>4205</v>
      </c>
      <c r="K1051" s="0" t="n">
        <f aca="false">IF(M1051=2,"",IF(ISNUMBER(SEARCH("rata-rata:",'Offshore - Sydney'!N260)),VALUE(MID('Offshore - Sydney'!N260,SEARCH("rata-rata:",'Offshore - Sydney'!N260)+11,FIND(";",'Offshore - Sydney'!N260&amp;";",SEARCH("rata-rata:",'Offshore - Sydney'!N260))-SEARCH("rata-rata:",'Offshore - Sydney'!N260)-11)),IF('Offshore - Sydney'!D260="Semester",'Offshore - Sydney'!E260*2,IF('Offshore - Sydney'!D260="Trimester",'Offshore - Sydney'!E260*3,IF('Offshore - Sydney'!D260="Term",'Offshore - Sydney'!E260*4,IF('Offshore - Sydney'!D260="Unit",'Offshore - Sydney'!E260*8,""))))))</f>
        <v>20000</v>
      </c>
      <c r="L1051" s="0" t="n">
        <f aca="false">IF(AND(ISNUMBER('Offshore - Sydney'!E260),ISNUMBER(K1051),ISNUMBER('Offshore - Sydney'!F260),ISNUMBER('Offshore - Sydney'!G260),OR('Offshore - Sydney'!F260&lt;&gt;0,ISNUMBER(SEARCH("Material 0 terverifikasi",'Offshore - Sydney'!N260))),OR('Offshore - Sydney'!G260&lt;&gt;0,ISNUMBER(SEARCH("Enrolment 0 terverifikasi",'Offshore - Sydney'!N260)))),1,0)</f>
        <v>0</v>
      </c>
      <c r="M1051" s="0" t="n">
        <f aca="false">IF(OR('Offshore - Sydney'!E260="",ISNUMBER(SEARCH("BSB80120",'Offshore - Sydney'!B260&amp;'Offshore - Sydney'!N260)),ISNUMBER(SEARCH("Management (Learning)",'Offshore - Sydney'!B260))),2,IF(ISNUMBER(SEARCH("CEK:",'Offshore - Sydney'!N260)),1,0))</f>
        <v>0</v>
      </c>
    </row>
    <row r="1052" customFormat="false" ht="15" hidden="false" customHeight="false" outlineLevel="0" collapsed="false">
      <c r="A1052" s="61" t="s">
        <v>4206</v>
      </c>
      <c r="B1052" s="62"/>
      <c r="C1052" s="62"/>
      <c r="D1052" s="62"/>
      <c r="E1052" s="62"/>
      <c r="F1052" s="62"/>
      <c r="G1052" s="62"/>
      <c r="H1052" s="62"/>
      <c r="I1052" s="62"/>
    </row>
    <row r="1053" customFormat="false" ht="15" hidden="false" customHeight="false" outlineLevel="0" collapsed="false">
      <c r="A1053" s="63" t="s">
        <v>3659</v>
      </c>
      <c r="B1053" s="64" t="s">
        <v>4207</v>
      </c>
      <c r="C1053" s="63" t="s">
        <v>39</v>
      </c>
      <c r="D1053" s="64" t="str">
        <f aca="false">TRIM(LEFT('Offshore - Adelaide'!A484,FIND(CHAR(10),'Offshore - Adelaide'!A484&amp;CHAR(10))-1))</f>
        <v>TAFE SA</v>
      </c>
      <c r="E1053" s="63" t="str">
        <f aca="false">'Offshore - Adelaide'!C497&amp;""</f>
        <v>0,5 year</v>
      </c>
      <c r="F1053" s="63" t="str">
        <f aca="false">IF('Offshore - Adelaide'!D497="","Belum tercatat",'Offshore - Adelaide'!D497)</f>
        <v>Semester</v>
      </c>
      <c r="G1053" s="65" t="n">
        <f aca="false">IF('Offshore - Adelaide'!E497="","-",'Offshore - Adelaide'!E497)</f>
        <v>8130</v>
      </c>
      <c r="H1053" s="63" t="n">
        <f aca="false">IF(ISNUMBER(K1053),COUNTIFS($J$6:$J$1854,J1053,$K$6:$K$1854,"&lt;"&amp;K1053)+1,"-")</f>
        <v>1</v>
      </c>
      <c r="I1053" s="64" t="str">
        <f aca="false">IF('Offshore - Adelaide'!E497="","Harga belum tersedia - hubungi konsultan TEG",IF(M1053=2,"Saat ini tidak menerima pendaftaran siswa internasional baru",IF(M1053=1,"Harga perlu dikonfirmasi ke sekolah"&amp;IF(""="","","; "&amp;""),"")))</f>
        <v/>
      </c>
      <c r="J1053" s="0" t="s">
        <v>4208</v>
      </c>
      <c r="K1053" s="0" t="n">
        <f aca="false">IF(M1053=2,"",IF(ISNUMBER(SEARCH("rata-rata:",'Offshore - Adelaide'!N497)),VALUE(MID('Offshore - Adelaide'!N497,SEARCH("rata-rata:",'Offshore - Adelaide'!N497)+11,FIND(";",'Offshore - Adelaide'!N497&amp;";",SEARCH("rata-rata:",'Offshore - Adelaide'!N497))-SEARCH("rata-rata:",'Offshore - Adelaide'!N497)-11)),IF('Offshore - Adelaide'!D497="Semester",'Offshore - Adelaide'!E497*2,IF('Offshore - Adelaide'!D497="Trimester",'Offshore - Adelaide'!E497*3,IF('Offshore - Adelaide'!D497="Term",'Offshore - Adelaide'!E497*4,IF('Offshore - Adelaide'!D497="Unit",'Offshore - Adelaide'!E497*8,""))))))</f>
        <v>16260</v>
      </c>
      <c r="L1053" s="0" t="n">
        <f aca="false">IF(AND(ISNUMBER('Offshore - Adelaide'!E497),ISNUMBER(K1053),ISNUMBER('Offshore - Adelaide'!F497),ISNUMBER('Offshore - Adelaide'!G497),OR('Offshore - Adelaide'!F497&lt;&gt;0,ISNUMBER(SEARCH("Material 0 terverifikasi",'Offshore - Adelaide'!N497))),OR('Offshore - Adelaide'!G497&lt;&gt;0,ISNUMBER(SEARCH("Enrolment 0 terverifikasi",'Offshore - Adelaide'!N497)))),1,0)</f>
        <v>0</v>
      </c>
      <c r="M1053" s="0" t="n">
        <f aca="false">IF(OR('Offshore - Adelaide'!E497="",ISNUMBER(SEARCH("BSB80120",'Offshore - Adelaide'!B497&amp;'Offshore - Adelaide'!N497)),ISNUMBER(SEARCH("Management (Learning)",'Offshore - Adelaide'!B497))),2,IF(ISNUMBER(SEARCH("CEK:",'Offshore - Adelaide'!N497)),1,0))</f>
        <v>0</v>
      </c>
    </row>
    <row r="1054" customFormat="false" ht="15" hidden="false" customHeight="false" outlineLevel="0" collapsed="false">
      <c r="A1054" s="61" t="s">
        <v>4209</v>
      </c>
      <c r="B1054" s="62"/>
      <c r="C1054" s="62"/>
      <c r="D1054" s="62"/>
      <c r="E1054" s="62"/>
      <c r="F1054" s="62"/>
      <c r="G1054" s="62"/>
      <c r="H1054" s="62"/>
      <c r="I1054" s="62"/>
    </row>
    <row r="1055" customFormat="false" ht="15" hidden="false" customHeight="false" outlineLevel="0" collapsed="false">
      <c r="A1055" s="63" t="s">
        <v>3659</v>
      </c>
      <c r="B1055" s="64" t="s">
        <v>4207</v>
      </c>
      <c r="C1055" s="63" t="s">
        <v>40</v>
      </c>
      <c r="D1055" s="64" t="str">
        <f aca="false">TRIM(LEFT('Offshore - Adelaide'!A431,FIND(CHAR(10),'Offshore - Adelaide'!A431&amp;CHAR(10))-1))</f>
        <v>Greenwich College</v>
      </c>
      <c r="E1055" s="63" t="str">
        <f aca="false">'Offshore - Adelaide'!C434&amp;""</f>
        <v>84 weeks</v>
      </c>
      <c r="F1055" s="63" t="str">
        <f aca="false">IF('Offshore - Adelaide'!D434="","Belum tercatat",'Offshore - Adelaide'!D434)</f>
        <v>Term</v>
      </c>
      <c r="G1055" s="65" t="n">
        <f aca="false">IF('Offshore - Adelaide'!E434="","-",'Offshore - Adelaide'!E434)</f>
        <v>1600</v>
      </c>
      <c r="H1055" s="63" t="n">
        <f aca="false">IF(ISNUMBER(K1055),COUNTIFS($J$6:$J$1854,J1055,$K$6:$K$1854,"&lt;"&amp;K1055)+1,"-")</f>
        <v>1</v>
      </c>
      <c r="I1055" s="64" t="str">
        <f aca="false">IF('Offshore - Adelaide'!E434="","Harga belum tersedia - hubungi konsultan TEG",IF(M1055=2,"Saat ini tidak menerima pendaftaran siswa internasional baru",IF(M1055=1,"Harga perlu dikonfirmasi ke sekolah"&amp;IF(""="","","; "&amp;""),"")))</f>
        <v/>
      </c>
      <c r="J1055" s="0" t="s">
        <v>4210</v>
      </c>
      <c r="K1055" s="0" t="n">
        <f aca="false">IF(M1055=2,"",IF(ISNUMBER(SEARCH("rata-rata:",'Offshore - Adelaide'!N434)),VALUE(MID('Offshore - Adelaide'!N434,SEARCH("rata-rata:",'Offshore - Adelaide'!N434)+11,FIND(";",'Offshore - Adelaide'!N434&amp;";",SEARCH("rata-rata:",'Offshore - Adelaide'!N434))-SEARCH("rata-rata:",'Offshore - Adelaide'!N434)-11)),IF('Offshore - Adelaide'!D434="Semester",'Offshore - Adelaide'!E434*2,IF('Offshore - Adelaide'!D434="Trimester",'Offshore - Adelaide'!E434*3,IF('Offshore - Adelaide'!D434="Term",'Offshore - Adelaide'!E434*4,IF('Offshore - Adelaide'!D434="Unit",'Offshore - Adelaide'!E434*8,""))))))</f>
        <v>6400</v>
      </c>
      <c r="L1055" s="0" t="n">
        <f aca="false">IF(AND(ISNUMBER('Offshore - Adelaide'!E434),ISNUMBER(K1055),ISNUMBER('Offshore - Adelaide'!F434),ISNUMBER('Offshore - Adelaide'!G434),OR('Offshore - Adelaide'!F434&lt;&gt;0,ISNUMBER(SEARCH("Material 0 terverifikasi",'Offshore - Adelaide'!N434))),OR('Offshore - Adelaide'!G434&lt;&gt;0,ISNUMBER(SEARCH("Enrolment 0 terverifikasi",'Offshore - Adelaide'!N434)))),1,0)</f>
        <v>1</v>
      </c>
      <c r="M1055" s="0" t="n">
        <f aca="false">IF(OR('Offshore - Adelaide'!E434="",ISNUMBER(SEARCH("BSB80120",'Offshore - Adelaide'!B434&amp;'Offshore - Adelaide'!N434)),ISNUMBER(SEARCH("Management (Learning)",'Offshore - Adelaide'!B434))),2,IF(ISNUMBER(SEARCH("CEK:",'Offshore - Adelaide'!N434)),1,0))</f>
        <v>0</v>
      </c>
    </row>
    <row r="1056" customFormat="false" ht="15" hidden="false" customHeight="false" outlineLevel="0" collapsed="false">
      <c r="A1056" s="61" t="s">
        <v>4211</v>
      </c>
      <c r="B1056" s="62"/>
      <c r="C1056" s="62"/>
      <c r="D1056" s="62"/>
      <c r="E1056" s="62"/>
      <c r="F1056" s="62"/>
      <c r="G1056" s="62"/>
      <c r="H1056" s="62"/>
      <c r="I1056" s="62"/>
    </row>
    <row r="1057" customFormat="false" ht="15" hidden="false" customHeight="false" outlineLevel="0" collapsed="false">
      <c r="A1057" s="63" t="s">
        <v>3659</v>
      </c>
      <c r="B1057" s="64" t="s">
        <v>4207</v>
      </c>
      <c r="C1057" s="63" t="s">
        <v>41</v>
      </c>
      <c r="D1057" s="64" t="str">
        <f aca="false">TRIM(LEFT('Offshore - Adelaide'!A484,FIND(CHAR(10),'Offshore - Adelaide'!A484&amp;CHAR(10))-1))</f>
        <v>TAFE SA</v>
      </c>
      <c r="E1057" s="63" t="str">
        <f aca="false">'Offshore - Adelaide'!C506&amp;""</f>
        <v>2 years</v>
      </c>
      <c r="F1057" s="63" t="str">
        <f aca="false">IF('Offshore - Adelaide'!D506="","Belum tercatat",'Offshore - Adelaide'!D506)</f>
        <v>Semester</v>
      </c>
      <c r="G1057" s="65" t="n">
        <f aca="false">IF('Offshore - Adelaide'!E506="","-",'Offshore - Adelaide'!E506)</f>
        <v>11695</v>
      </c>
      <c r="H1057" s="63" t="n">
        <f aca="false">IF(ISNUMBER(K1057),COUNTIFS($J$6:$J$1854,J1057,$K$6:$K$1854,"&lt;"&amp;K1057)+1,"-")</f>
        <v>1</v>
      </c>
      <c r="I1057" s="64" t="str">
        <f aca="false">IF('Offshore - Adelaide'!E506="","Harga belum tersedia - hubungi konsultan TEG",IF(M1057=2,"Saat ini tidak menerima pendaftaran siswa internasional baru",IF(M1057=1,"Harga perlu dikonfirmasi ke sekolah"&amp;IF(""="","","; "&amp;""),"")))</f>
        <v/>
      </c>
      <c r="J1057" s="0" t="s">
        <v>4212</v>
      </c>
      <c r="K1057" s="0" t="n">
        <f aca="false">IF(M1057=2,"",IF(ISNUMBER(SEARCH("rata-rata:",'Offshore - Adelaide'!N506)),VALUE(MID('Offshore - Adelaide'!N506,SEARCH("rata-rata:",'Offshore - Adelaide'!N506)+11,FIND(";",'Offshore - Adelaide'!N506&amp;";",SEARCH("rata-rata:",'Offshore - Adelaide'!N506))-SEARCH("rata-rata:",'Offshore - Adelaide'!N506)-11)),IF('Offshore - Adelaide'!D506="Semester",'Offshore - Adelaide'!E506*2,IF('Offshore - Adelaide'!D506="Trimester",'Offshore - Adelaide'!E506*3,IF('Offshore - Adelaide'!D506="Term",'Offshore - Adelaide'!E506*4,IF('Offshore - Adelaide'!D506="Unit",'Offshore - Adelaide'!E506*8,""))))))</f>
        <v>23390</v>
      </c>
      <c r="L1057" s="0" t="n">
        <f aca="false">IF(AND(ISNUMBER('Offshore - Adelaide'!E506),ISNUMBER(K1057),ISNUMBER('Offshore - Adelaide'!F506),ISNUMBER('Offshore - Adelaide'!G506),OR('Offshore - Adelaide'!F506&lt;&gt;0,ISNUMBER(SEARCH("Material 0 terverifikasi",'Offshore - Adelaide'!N506))),OR('Offshore - Adelaide'!G506&lt;&gt;0,ISNUMBER(SEARCH("Enrolment 0 terverifikasi",'Offshore - Adelaide'!N506)))),1,0)</f>
        <v>0</v>
      </c>
      <c r="M1057" s="0" t="n">
        <f aca="false">IF(OR('Offshore - Adelaide'!E506="",ISNUMBER(SEARCH("BSB80120",'Offshore - Adelaide'!B506&amp;'Offshore - Adelaide'!N506)),ISNUMBER(SEARCH("Management (Learning)",'Offshore - Adelaide'!B506))),2,IF(ISNUMBER(SEARCH("CEK:",'Offshore - Adelaide'!N506)),1,0))</f>
        <v>0</v>
      </c>
    </row>
    <row r="1058" customFormat="false" ht="15" hidden="false" customHeight="false" outlineLevel="0" collapsed="false">
      <c r="A1058" s="63" t="s">
        <v>3659</v>
      </c>
      <c r="B1058" s="64" t="s">
        <v>4207</v>
      </c>
      <c r="C1058" s="63" t="s">
        <v>41</v>
      </c>
      <c r="D1058" s="64" t="str">
        <f aca="false">TRIM(LEFT('Offshore - Adelaide'!A545,FIND(CHAR(10),'Offshore - Adelaide'!A545&amp;CHAR(10))-1))</f>
        <v>Torrens University Australia</v>
      </c>
      <c r="E1058" s="63" t="str">
        <f aca="false">'Offshore - Adelaide'!C599&amp;""</f>
        <v>1,5 years</v>
      </c>
      <c r="F1058" s="63" t="str">
        <f aca="false">IF('Offshore - Adelaide'!D599="","Belum tercatat",'Offshore - Adelaide'!D599)</f>
        <v>Term</v>
      </c>
      <c r="G1058" s="65" t="n">
        <f aca="false">IF('Offshore - Adelaide'!E599="","-",'Offshore - Adelaide'!E599)</f>
        <v>6563</v>
      </c>
      <c r="H1058" s="63" t="n">
        <f aca="false">IF(ISNUMBER(K1058),COUNTIFS($J$6:$J$1854,J1058,$K$6:$K$1854,"&lt;"&amp;K1058)+1,"-")</f>
        <v>2</v>
      </c>
      <c r="I1058" s="64" t="str">
        <f aca="false">IF('Offshore - Adelaide'!E599="","Harga belum tersedia - hubungi konsultan TEG",IF(M1058=2,"Saat ini tidak menerima pendaftaran siswa internasional baru",IF(M1058=1,"Harga perlu dikonfirmasi ke sekolah"&amp;IF(""="","","; "&amp;""),"")))</f>
        <v/>
      </c>
      <c r="J1058" s="0" t="s">
        <v>4212</v>
      </c>
      <c r="K1058" s="0" t="n">
        <f aca="false">IF(M1058=2,"",IF(ISNUMBER(SEARCH("rata-rata:",'Offshore - Adelaide'!N599)),VALUE(MID('Offshore - Adelaide'!N599,SEARCH("rata-rata:",'Offshore - Adelaide'!N599)+11,FIND(";",'Offshore - Adelaide'!N599&amp;";",SEARCH("rata-rata:",'Offshore - Adelaide'!N599))-SEARCH("rata-rata:",'Offshore - Adelaide'!N599)-11)),IF('Offshore - Adelaide'!D599="Semester",'Offshore - Adelaide'!E599*2,IF('Offshore - Adelaide'!D599="Trimester",'Offshore - Adelaide'!E599*3,IF('Offshore - Adelaide'!D599="Term",'Offshore - Adelaide'!E599*4,IF('Offshore - Adelaide'!D599="Unit",'Offshore - Adelaide'!E599*8,""))))))</f>
        <v>26252</v>
      </c>
      <c r="L1058" s="0" t="n">
        <f aca="false">IF(AND(ISNUMBER('Offshore - Adelaide'!E599),ISNUMBER(K1058),ISNUMBER('Offshore - Adelaide'!F599),ISNUMBER('Offshore - Adelaide'!G599),OR('Offshore - Adelaide'!F599&lt;&gt;0,ISNUMBER(SEARCH("Material 0 terverifikasi",'Offshore - Adelaide'!N599))),OR('Offshore - Adelaide'!G599&lt;&gt;0,ISNUMBER(SEARCH("Enrolment 0 terverifikasi",'Offshore - Adelaide'!N599)))),1,0)</f>
        <v>0</v>
      </c>
      <c r="M1058" s="0" t="n">
        <f aca="false">IF(OR('Offshore - Adelaide'!E599="",ISNUMBER(SEARCH("BSB80120",'Offshore - Adelaide'!B599&amp;'Offshore - Adelaide'!N599)),ISNUMBER(SEARCH("Management (Learning)",'Offshore - Adelaide'!B599))),2,IF(ISNUMBER(SEARCH("CEK:",'Offshore - Adelaide'!N599)),1,0))</f>
        <v>0</v>
      </c>
    </row>
    <row r="1059" customFormat="false" ht="15" hidden="false" customHeight="false" outlineLevel="0" collapsed="false">
      <c r="A1059" s="61" t="s">
        <v>4213</v>
      </c>
      <c r="B1059" s="62"/>
      <c r="C1059" s="62"/>
      <c r="D1059" s="62"/>
      <c r="E1059" s="62"/>
      <c r="F1059" s="62"/>
      <c r="G1059" s="62"/>
      <c r="H1059" s="62"/>
      <c r="I1059" s="62"/>
    </row>
    <row r="1060" customFormat="false" ht="15" hidden="false" customHeight="false" outlineLevel="0" collapsed="false">
      <c r="A1060" s="63" t="s">
        <v>3659</v>
      </c>
      <c r="B1060" s="64" t="s">
        <v>4207</v>
      </c>
      <c r="C1060" s="63" t="s">
        <v>42</v>
      </c>
      <c r="D1060" s="64" t="str">
        <f aca="false">TRIM(LEFT('Offshore - Adelaide'!A484,FIND(CHAR(10),'Offshore - Adelaide'!A484&amp;CHAR(10))-1))</f>
        <v>TAFE SA</v>
      </c>
      <c r="E1060" s="63" t="str">
        <f aca="false">'Offshore - Adelaide'!C535&amp;""</f>
        <v>2 years</v>
      </c>
      <c r="F1060" s="63" t="str">
        <f aca="false">IF('Offshore - Adelaide'!D535="","Belum tercatat",'Offshore - Adelaide'!D535)</f>
        <v>Semester</v>
      </c>
      <c r="G1060" s="65" t="n">
        <f aca="false">IF('Offshore - Adelaide'!E535="","-",'Offshore - Adelaide'!E535)</f>
        <v>10720</v>
      </c>
      <c r="H1060" s="63" t="n">
        <f aca="false">IF(ISNUMBER(K1060),COUNTIFS($J$6:$J$1854,J1060,$K$6:$K$1854,"&lt;"&amp;K1060)+1,"-")</f>
        <v>1</v>
      </c>
      <c r="I1060" s="64" t="str">
        <f aca="false">IF('Offshore - Adelaide'!E535="","Harga belum tersedia - hubungi konsultan TEG",IF(M1060=2,"Saat ini tidak menerima pendaftaran siswa internasional baru",IF(M1060=1,"Harga perlu dikonfirmasi ke sekolah"&amp;IF(""="","","; "&amp;""),"")))</f>
        <v/>
      </c>
      <c r="J1060" s="0" t="s">
        <v>4214</v>
      </c>
      <c r="K1060" s="0" t="n">
        <f aca="false">IF(M1060=2,"",IF(ISNUMBER(SEARCH("rata-rata:",'Offshore - Adelaide'!N535)),VALUE(MID('Offshore - Adelaide'!N535,SEARCH("rata-rata:",'Offshore - Adelaide'!N535)+11,FIND(";",'Offshore - Adelaide'!N535&amp;";",SEARCH("rata-rata:",'Offshore - Adelaide'!N535))-SEARCH("rata-rata:",'Offshore - Adelaide'!N535)-11)),IF('Offshore - Adelaide'!D535="Semester",'Offshore - Adelaide'!E535*2,IF('Offshore - Adelaide'!D535="Trimester",'Offshore - Adelaide'!E535*3,IF('Offshore - Adelaide'!D535="Term",'Offshore - Adelaide'!E535*4,IF('Offshore - Adelaide'!D535="Unit",'Offshore - Adelaide'!E535*8,""))))))</f>
        <v>21440</v>
      </c>
      <c r="L1060" s="0" t="n">
        <f aca="false">IF(AND(ISNUMBER('Offshore - Adelaide'!E535),ISNUMBER(K1060),ISNUMBER('Offshore - Adelaide'!F535),ISNUMBER('Offshore - Adelaide'!G535),OR('Offshore - Adelaide'!F535&lt;&gt;0,ISNUMBER(SEARCH("Material 0 terverifikasi",'Offshore - Adelaide'!N535))),OR('Offshore - Adelaide'!G535&lt;&gt;0,ISNUMBER(SEARCH("Enrolment 0 terverifikasi",'Offshore - Adelaide'!N535)))),1,0)</f>
        <v>0</v>
      </c>
      <c r="M1060" s="0" t="n">
        <f aca="false">IF(OR('Offshore - Adelaide'!E535="",ISNUMBER(SEARCH("BSB80120",'Offshore - Adelaide'!B535&amp;'Offshore - Adelaide'!N535)),ISNUMBER(SEARCH("Management (Learning)",'Offshore - Adelaide'!B535))),2,IF(ISNUMBER(SEARCH("CEK:",'Offshore - Adelaide'!N535)),1,0))</f>
        <v>0</v>
      </c>
    </row>
    <row r="1061" customFormat="false" ht="15" hidden="false" customHeight="false" outlineLevel="0" collapsed="false">
      <c r="A1061" s="61" t="s">
        <v>4215</v>
      </c>
      <c r="B1061" s="62"/>
      <c r="C1061" s="62"/>
      <c r="D1061" s="62"/>
      <c r="E1061" s="62"/>
      <c r="F1061" s="62"/>
      <c r="G1061" s="62"/>
      <c r="H1061" s="62"/>
      <c r="I1061" s="62"/>
    </row>
    <row r="1062" customFormat="false" ht="15" hidden="false" customHeight="false" outlineLevel="0" collapsed="false">
      <c r="A1062" s="63" t="s">
        <v>3659</v>
      </c>
      <c r="B1062" s="64" t="s">
        <v>4207</v>
      </c>
      <c r="C1062" s="63" t="s">
        <v>43</v>
      </c>
      <c r="D1062" s="64" t="str">
        <f aca="false">TRIM(LEFT('Offshore - Adelaide'!A545,FIND(CHAR(10),'Offshore - Adelaide'!A545&amp;CHAR(10))-1))</f>
        <v>Torrens University Australia</v>
      </c>
      <c r="E1062" s="63" t="str">
        <f aca="false">'Offshore - Adelaide'!C592&amp;""</f>
        <v>3 years</v>
      </c>
      <c r="F1062" s="63" t="str">
        <f aca="false">IF('Offshore - Adelaide'!D592="","Belum tercatat",'Offshore - Adelaide'!D592)</f>
        <v>Term</v>
      </c>
      <c r="G1062" s="65" t="n">
        <f aca="false">IF('Offshore - Adelaide'!E592="","-",'Offshore - Adelaide'!E592)</f>
        <v>8750</v>
      </c>
      <c r="H1062" s="63" t="n">
        <f aca="false">IF(ISNUMBER(K1062),COUNTIFS($J$6:$J$1854,J1062,$K$6:$K$1854,"&lt;"&amp;K1062)+1,"-")</f>
        <v>1</v>
      </c>
      <c r="I1062" s="64" t="str">
        <f aca="false">IF('Offshore - Adelaide'!E592="","Harga belum tersedia - hubungi konsultan TEG",IF(M1062=2,"Saat ini tidak menerima pendaftaran siswa internasional baru",IF(M1062=1,"Harga perlu dikonfirmasi ke sekolah"&amp;IF(""="","","; "&amp;""),"")))</f>
        <v/>
      </c>
      <c r="J1062" s="0" t="s">
        <v>4216</v>
      </c>
      <c r="K1062" s="0" t="n">
        <f aca="false">IF(M1062=2,"",IF(ISNUMBER(SEARCH("rata-rata:",'Offshore - Adelaide'!N592)),VALUE(MID('Offshore - Adelaide'!N592,SEARCH("rata-rata:",'Offshore - Adelaide'!N592)+11,FIND(";",'Offshore - Adelaide'!N592&amp;";",SEARCH("rata-rata:",'Offshore - Adelaide'!N592))-SEARCH("rata-rata:",'Offshore - Adelaide'!N592)-11)),IF('Offshore - Adelaide'!D592="Semester",'Offshore - Adelaide'!E592*2,IF('Offshore - Adelaide'!D592="Trimester",'Offshore - Adelaide'!E592*3,IF('Offshore - Adelaide'!D592="Term",'Offshore - Adelaide'!E592*4,IF('Offshore - Adelaide'!D592="Unit",'Offshore - Adelaide'!E592*8,""))))))</f>
        <v>35000</v>
      </c>
      <c r="L1062" s="0" t="n">
        <f aca="false">IF(AND(ISNUMBER('Offshore - Adelaide'!E592),ISNUMBER(K1062),ISNUMBER('Offshore - Adelaide'!F592),ISNUMBER('Offshore - Adelaide'!G592),OR('Offshore - Adelaide'!F592&lt;&gt;0,ISNUMBER(SEARCH("Material 0 terverifikasi",'Offshore - Adelaide'!N592))),OR('Offshore - Adelaide'!G592&lt;&gt;0,ISNUMBER(SEARCH("Enrolment 0 terverifikasi",'Offshore - Adelaide'!N592)))),1,0)</f>
        <v>0</v>
      </c>
      <c r="M1062" s="0" t="n">
        <f aca="false">IF(OR('Offshore - Adelaide'!E592="",ISNUMBER(SEARCH("BSB80120",'Offshore - Adelaide'!B592&amp;'Offshore - Adelaide'!N592)),ISNUMBER(SEARCH("Management (Learning)",'Offshore - Adelaide'!B592))),2,IF(ISNUMBER(SEARCH("CEK:",'Offshore - Adelaide'!N592)),1,0))</f>
        <v>0</v>
      </c>
    </row>
    <row r="1063" customFormat="false" ht="15" hidden="false" customHeight="false" outlineLevel="0" collapsed="false">
      <c r="A1063" s="63" t="s">
        <v>3659</v>
      </c>
      <c r="B1063" s="64" t="s">
        <v>4207</v>
      </c>
      <c r="C1063" s="63" t="s">
        <v>43</v>
      </c>
      <c r="D1063" s="64" t="str">
        <f aca="false">TRIM(LEFT('Offshore - Adelaide'!A13,FIND(CHAR(10),'Offshore - Adelaide'!A13&amp;CHAR(10))-1))</f>
        <v>Adelaide University</v>
      </c>
      <c r="E1063" s="63" t="str">
        <f aca="false">'Offshore - Adelaide'!C87&amp;""</f>
        <v>3 years</v>
      </c>
      <c r="F1063" s="63" t="str">
        <f aca="false">IF('Offshore - Adelaide'!D87="","Belum tercatat",'Offshore - Adelaide'!D87)</f>
        <v>Term</v>
      </c>
      <c r="G1063" s="65" t="n">
        <f aca="false">IF('Offshore - Adelaide'!E87="","-",'Offshore - Adelaide'!E87)</f>
        <v>10850</v>
      </c>
      <c r="H1063" s="63" t="n">
        <f aca="false">IF(ISNUMBER(K1063),COUNTIFS($J$6:$J$1854,J1063,$K$6:$K$1854,"&lt;"&amp;K1063)+1,"-")</f>
        <v>2</v>
      </c>
      <c r="I1063" s="64" t="str">
        <f aca="false">IF('Offshore - Adelaide'!E87="","Harga belum tersedia - hubungi konsultan TEG",IF(M1063=2,"Saat ini tidak menerima pendaftaran siswa internasional baru",IF(M1063=1,"Harga perlu dikonfirmasi ke sekolah"&amp;IF(""="","","; "&amp;""),"")))</f>
        <v/>
      </c>
      <c r="J1063" s="0" t="s">
        <v>4216</v>
      </c>
      <c r="K1063" s="0" t="n">
        <f aca="false">IF(M1063=2,"",IF(ISNUMBER(SEARCH("rata-rata:",'Offshore - Adelaide'!N87)),VALUE(MID('Offshore - Adelaide'!N87,SEARCH("rata-rata:",'Offshore - Adelaide'!N87)+11,FIND(";",'Offshore - Adelaide'!N87&amp;";",SEARCH("rata-rata:",'Offshore - Adelaide'!N87))-SEARCH("rata-rata:",'Offshore - Adelaide'!N87)-11)),IF('Offshore - Adelaide'!D87="Semester",'Offshore - Adelaide'!E87*2,IF('Offshore - Adelaide'!D87="Trimester",'Offshore - Adelaide'!E87*3,IF('Offshore - Adelaide'!D87="Term",'Offshore - Adelaide'!E87*4,IF('Offshore - Adelaide'!D87="Unit",'Offshore - Adelaide'!E87*8,""))))))</f>
        <v>43400</v>
      </c>
      <c r="L1063" s="0" t="n">
        <f aca="false">IF(AND(ISNUMBER('Offshore - Adelaide'!E87),ISNUMBER(K1063),ISNUMBER('Offshore - Adelaide'!F87),ISNUMBER('Offshore - Adelaide'!G87),OR('Offshore - Adelaide'!F87&lt;&gt;0,ISNUMBER(SEARCH("Material 0 terverifikasi",'Offshore - Adelaide'!N87))),OR('Offshore - Adelaide'!G87&lt;&gt;0,ISNUMBER(SEARCH("Enrolment 0 terverifikasi",'Offshore - Adelaide'!N87)))),1,0)</f>
        <v>0</v>
      </c>
      <c r="M1063" s="0" t="n">
        <f aca="false">IF(OR('Offshore - Adelaide'!E87="",ISNUMBER(SEARCH("BSB80120",'Offshore - Adelaide'!B87&amp;'Offshore - Adelaide'!N87)),ISNUMBER(SEARCH("Management (Learning)",'Offshore - Adelaide'!B87))),2,IF(ISNUMBER(SEARCH("CEK:",'Offshore - Adelaide'!N87)),1,0))</f>
        <v>0</v>
      </c>
    </row>
    <row r="1064" customFormat="false" ht="15" hidden="false" customHeight="false" outlineLevel="0" collapsed="false">
      <c r="A1064" s="61" t="s">
        <v>4217</v>
      </c>
      <c r="B1064" s="62"/>
      <c r="C1064" s="62"/>
      <c r="D1064" s="62"/>
      <c r="E1064" s="62"/>
      <c r="F1064" s="62"/>
      <c r="G1064" s="62"/>
      <c r="H1064" s="62"/>
      <c r="I1064" s="62"/>
    </row>
    <row r="1065" customFormat="false" ht="15" hidden="false" customHeight="false" outlineLevel="0" collapsed="false">
      <c r="A1065" s="63" t="s">
        <v>3659</v>
      </c>
      <c r="B1065" s="64" t="s">
        <v>4207</v>
      </c>
      <c r="C1065" s="63" t="s">
        <v>3707</v>
      </c>
      <c r="D1065" s="64" t="str">
        <f aca="false">TRIM(LEFT('Offshore - Adelaide'!A545,FIND(CHAR(10),'Offshore - Adelaide'!A545&amp;CHAR(10))-1))</f>
        <v>Torrens University Australia</v>
      </c>
      <c r="E1065" s="63" t="str">
        <f aca="false">'Offshore - Adelaide'!C593&amp;""</f>
        <v>0,5 year</v>
      </c>
      <c r="F1065" s="63" t="str">
        <f aca="false">IF('Offshore - Adelaide'!D593="","Belum tercatat",'Offshore - Adelaide'!D593)</f>
        <v>Term</v>
      </c>
      <c r="G1065" s="65" t="n">
        <f aca="false">IF('Offshore - Adelaide'!E593="","-",'Offshore - Adelaide'!E593)</f>
        <v>3975</v>
      </c>
      <c r="H1065" s="63" t="n">
        <f aca="false">IF(ISNUMBER(K1065),COUNTIFS($J$6:$J$1854,J1065,$K$6:$K$1854,"&lt;"&amp;K1065)+1,"-")</f>
        <v>1</v>
      </c>
      <c r="I1065" s="64" t="str">
        <f aca="false">IF('Offshore - Adelaide'!E593="","Harga belum tersedia - hubungi konsultan TEG",IF(M1065=2,"Saat ini tidak menerima pendaftaran siswa internasional baru",IF(M1065=1,"Harga perlu dikonfirmasi ke sekolah"&amp;IF(""="","","; "&amp;""),"")))</f>
        <v/>
      </c>
      <c r="J1065" s="0" t="s">
        <v>4218</v>
      </c>
      <c r="K1065" s="0" t="n">
        <f aca="false">IF(M1065=2,"",IF(ISNUMBER(SEARCH("rata-rata:",'Offshore - Adelaide'!N593)),VALUE(MID('Offshore - Adelaide'!N593,SEARCH("rata-rata:",'Offshore - Adelaide'!N593)+11,FIND(";",'Offshore - Adelaide'!N593&amp;";",SEARCH("rata-rata:",'Offshore - Adelaide'!N593))-SEARCH("rata-rata:",'Offshore - Adelaide'!N593)-11)),IF('Offshore - Adelaide'!D593="Semester",'Offshore - Adelaide'!E593*2,IF('Offshore - Adelaide'!D593="Trimester",'Offshore - Adelaide'!E593*3,IF('Offshore - Adelaide'!D593="Term",'Offshore - Adelaide'!E593*4,IF('Offshore - Adelaide'!D593="Unit",'Offshore - Adelaide'!E593*8,""))))))</f>
        <v>15900</v>
      </c>
      <c r="L1065" s="0" t="n">
        <f aca="false">IF(AND(ISNUMBER('Offshore - Adelaide'!E593),ISNUMBER(K1065),ISNUMBER('Offshore - Adelaide'!F593),ISNUMBER('Offshore - Adelaide'!G593),OR('Offshore - Adelaide'!F593&lt;&gt;0,ISNUMBER(SEARCH("Material 0 terverifikasi",'Offshore - Adelaide'!N593))),OR('Offshore - Adelaide'!G593&lt;&gt;0,ISNUMBER(SEARCH("Enrolment 0 terverifikasi",'Offshore - Adelaide'!N593)))),1,0)</f>
        <v>0</v>
      </c>
      <c r="M1065" s="0" t="n">
        <f aca="false">IF(OR('Offshore - Adelaide'!E593="",ISNUMBER(SEARCH("BSB80120",'Offshore - Adelaide'!B593&amp;'Offshore - Adelaide'!N593)),ISNUMBER(SEARCH("Management (Learning)",'Offshore - Adelaide'!B593))),2,IF(ISNUMBER(SEARCH("CEK:",'Offshore - Adelaide'!N593)),1,0))</f>
        <v>0</v>
      </c>
    </row>
    <row r="1066" customFormat="false" ht="15" hidden="false" customHeight="false" outlineLevel="0" collapsed="false">
      <c r="A1066" s="61" t="s">
        <v>4219</v>
      </c>
      <c r="B1066" s="62"/>
      <c r="C1066" s="62"/>
      <c r="D1066" s="62"/>
      <c r="E1066" s="62"/>
      <c r="F1066" s="62"/>
      <c r="G1066" s="62"/>
      <c r="H1066" s="62"/>
      <c r="I1066" s="62"/>
    </row>
    <row r="1067" customFormat="false" ht="15" hidden="false" customHeight="false" outlineLevel="0" collapsed="false">
      <c r="A1067" s="63" t="s">
        <v>3659</v>
      </c>
      <c r="B1067" s="64" t="s">
        <v>4207</v>
      </c>
      <c r="C1067" s="63" t="s">
        <v>46</v>
      </c>
      <c r="D1067" s="64" t="str">
        <f aca="false">TRIM(LEFT('Offshore - Adelaide'!A545,FIND(CHAR(10),'Offshore - Adelaide'!A545&amp;CHAR(10))-1))</f>
        <v>Torrens University Australia</v>
      </c>
      <c r="E1067" s="63" t="str">
        <f aca="false">'Offshore - Adelaide'!C559&amp;""</f>
        <v>2 years</v>
      </c>
      <c r="F1067" s="63" t="str">
        <f aca="false">IF('Offshore - Adelaide'!D559="","Belum tercatat",'Offshore - Adelaide'!D559)</f>
        <v>Term</v>
      </c>
      <c r="G1067" s="65" t="n">
        <f aca="false">IF('Offshore - Adelaide'!E559="","-",'Offshore - Adelaide'!E559)</f>
        <v>7950</v>
      </c>
      <c r="H1067" s="63" t="n">
        <f aca="false">IF(ISNUMBER(K1067),COUNTIFS($J$6:$J$1854,J1067,$K$6:$K$1854,"&lt;"&amp;K1067)+1,"-")</f>
        <v>1</v>
      </c>
      <c r="I1067" s="64" t="str">
        <f aca="false">IF('Offshore - Adelaide'!E559="","Harga belum tersedia - hubungi konsultan TEG",IF(M1067=2,"Saat ini tidak menerima pendaftaran siswa internasional baru",IF(M1067=1,"Harga perlu dikonfirmasi ke sekolah"&amp;IF(""="","","; "&amp;""),"")))</f>
        <v/>
      </c>
      <c r="J1067" s="0" t="s">
        <v>4220</v>
      </c>
      <c r="K1067" s="0" t="n">
        <f aca="false">IF(M1067=2,"",IF(ISNUMBER(SEARCH("rata-rata:",'Offshore - Adelaide'!N559)),VALUE(MID('Offshore - Adelaide'!N559,SEARCH("rata-rata:",'Offshore - Adelaide'!N559)+11,FIND(";",'Offshore - Adelaide'!N559&amp;";",SEARCH("rata-rata:",'Offshore - Adelaide'!N559))-SEARCH("rata-rata:",'Offshore - Adelaide'!N559)-11)),IF('Offshore - Adelaide'!D559="Semester",'Offshore - Adelaide'!E559*2,IF('Offshore - Adelaide'!D559="Trimester",'Offshore - Adelaide'!E559*3,IF('Offshore - Adelaide'!D559="Term",'Offshore - Adelaide'!E559*4,IF('Offshore - Adelaide'!D559="Unit",'Offshore - Adelaide'!E559*8,""))))))</f>
        <v>31800</v>
      </c>
      <c r="L1067" s="0" t="n">
        <f aca="false">IF(AND(ISNUMBER('Offshore - Adelaide'!E559),ISNUMBER(K1067),ISNUMBER('Offshore - Adelaide'!F559),ISNUMBER('Offshore - Adelaide'!G559),OR('Offshore - Adelaide'!F559&lt;&gt;0,ISNUMBER(SEARCH("Material 0 terverifikasi",'Offshore - Adelaide'!N559))),OR('Offshore - Adelaide'!G559&lt;&gt;0,ISNUMBER(SEARCH("Enrolment 0 terverifikasi",'Offshore - Adelaide'!N559)))),1,0)</f>
        <v>0</v>
      </c>
      <c r="M1067" s="0" t="n">
        <f aca="false">IF(OR('Offshore - Adelaide'!E559="",ISNUMBER(SEARCH("BSB80120",'Offshore - Adelaide'!B559&amp;'Offshore - Adelaide'!N559)),ISNUMBER(SEARCH("Management (Learning)",'Offshore - Adelaide'!B559))),2,IF(ISNUMBER(SEARCH("CEK:",'Offshore - Adelaide'!N559)),1,0))</f>
        <v>0</v>
      </c>
    </row>
    <row r="1068" customFormat="false" ht="15" hidden="false" customHeight="false" outlineLevel="0" collapsed="false">
      <c r="A1068" s="63" t="s">
        <v>3659</v>
      </c>
      <c r="B1068" s="64" t="s">
        <v>4207</v>
      </c>
      <c r="C1068" s="63" t="s">
        <v>46</v>
      </c>
      <c r="D1068" s="64" t="str">
        <f aca="false">TRIM(LEFT('Offshore - Adelaide'!A13,FIND(CHAR(10),'Offshore - Adelaide'!A13&amp;CHAR(10))-1))</f>
        <v>Adelaide University</v>
      </c>
      <c r="E1068" s="63" t="str">
        <f aca="false">'Offshore - Adelaide'!C353&amp;""</f>
        <v>2 years</v>
      </c>
      <c r="F1068" s="63" t="str">
        <f aca="false">IF('Offshore - Adelaide'!D353="","Belum tercatat",'Offshore - Adelaide'!D353)</f>
        <v>Term</v>
      </c>
      <c r="G1068" s="65" t="n">
        <f aca="false">IF('Offshore - Adelaide'!E353="","-",'Offshore - Adelaide'!E353)</f>
        <v>12150</v>
      </c>
      <c r="H1068" s="63" t="n">
        <f aca="false">IF(ISNUMBER(K1068),COUNTIFS($J$6:$J$1854,J1068,$K$6:$K$1854,"&lt;"&amp;K1068)+1,"-")</f>
        <v>2</v>
      </c>
      <c r="I1068" s="64" t="str">
        <f aca="false">IF('Offshore - Adelaide'!E353="","Harga belum tersedia - hubungi konsultan TEG",IF(M1068=2,"Saat ini tidak menerima pendaftaran siswa internasional baru",IF(M1068=1,"Harga perlu dikonfirmasi ke sekolah"&amp;IF(""="","","; "&amp;""),"")))</f>
        <v/>
      </c>
      <c r="J1068" s="0" t="s">
        <v>4220</v>
      </c>
      <c r="K1068" s="0" t="n">
        <f aca="false">IF(M1068=2,"",IF(ISNUMBER(SEARCH("rata-rata:",'Offshore - Adelaide'!N353)),VALUE(MID('Offshore - Adelaide'!N353,SEARCH("rata-rata:",'Offshore - Adelaide'!N353)+11,FIND(";",'Offshore - Adelaide'!N353&amp;";",SEARCH("rata-rata:",'Offshore - Adelaide'!N353))-SEARCH("rata-rata:",'Offshore - Adelaide'!N353)-11)),IF('Offshore - Adelaide'!D353="Semester",'Offshore - Adelaide'!E353*2,IF('Offshore - Adelaide'!D353="Trimester",'Offshore - Adelaide'!E353*3,IF('Offshore - Adelaide'!D353="Term",'Offshore - Adelaide'!E353*4,IF('Offshore - Adelaide'!D353="Unit",'Offshore - Adelaide'!E353*8,""))))))</f>
        <v>48600</v>
      </c>
      <c r="L1068" s="0" t="n">
        <f aca="false">IF(AND(ISNUMBER('Offshore - Adelaide'!E353),ISNUMBER(K1068),ISNUMBER('Offshore - Adelaide'!F353),ISNUMBER('Offshore - Adelaide'!G353),OR('Offshore - Adelaide'!F353&lt;&gt;0,ISNUMBER(SEARCH("Material 0 terverifikasi",'Offshore - Adelaide'!N353))),OR('Offshore - Adelaide'!G353&lt;&gt;0,ISNUMBER(SEARCH("Enrolment 0 terverifikasi",'Offshore - Adelaide'!N353)))),1,0)</f>
        <v>0</v>
      </c>
      <c r="M1068" s="0" t="n">
        <f aca="false">IF(OR('Offshore - Adelaide'!E353="",ISNUMBER(SEARCH("BSB80120",'Offshore - Adelaide'!B353&amp;'Offshore - Adelaide'!N353)),ISNUMBER(SEARCH("Management (Learning)",'Offshore - Adelaide'!B353))),2,IF(ISNUMBER(SEARCH("CEK:",'Offshore - Adelaide'!N353)),1,0))</f>
        <v>0</v>
      </c>
    </row>
    <row r="1069" customFormat="false" ht="15" hidden="false" customHeight="false" outlineLevel="0" collapsed="false">
      <c r="A1069" s="61" t="s">
        <v>4221</v>
      </c>
      <c r="B1069" s="62"/>
      <c r="C1069" s="62"/>
      <c r="D1069" s="62"/>
      <c r="E1069" s="62"/>
      <c r="F1069" s="62"/>
      <c r="G1069" s="62"/>
      <c r="H1069" s="62"/>
      <c r="I1069" s="62"/>
    </row>
    <row r="1070" customFormat="false" ht="15" hidden="false" customHeight="false" outlineLevel="0" collapsed="false">
      <c r="A1070" s="63" t="s">
        <v>3659</v>
      </c>
      <c r="B1070" s="64" t="s">
        <v>4207</v>
      </c>
      <c r="C1070" s="63" t="s">
        <v>4222</v>
      </c>
      <c r="D1070" s="64" t="str">
        <f aca="false">TRIM(LEFT('Offshore - Adelaide'!A13,FIND(CHAR(10),'Offshore - Adelaide'!A13&amp;CHAR(10))-1))</f>
        <v>Adelaide University</v>
      </c>
      <c r="E1070" s="63" t="str">
        <f aca="false">'Offshore - Adelaide'!C281&amp;""</f>
        <v>3 years</v>
      </c>
      <c r="F1070" s="63" t="str">
        <f aca="false">IF('Offshore - Adelaide'!D281="","Belum tercatat",'Offshore - Adelaide'!D281)</f>
        <v>Term</v>
      </c>
      <c r="G1070" s="65" t="n">
        <f aca="false">IF('Offshore - Adelaide'!E281="","-",'Offshore - Adelaide'!E281)</f>
        <v>21175</v>
      </c>
      <c r="H1070" s="63" t="n">
        <f aca="false">IF(ISNUMBER(K1070),COUNTIFS($J$6:$J$1854,J1070,$K$6:$K$1854,"&lt;"&amp;K1070)+1,"-")</f>
        <v>1</v>
      </c>
      <c r="I1070" s="64" t="str">
        <f aca="false">IF('Offshore - Adelaide'!E281="","Harga belum tersedia - hubungi konsultan TEG",IF(M1070=2,"Saat ini tidak menerima pendaftaran siswa internasional baru",IF(M1070=1,"Harga perlu dikonfirmasi ke sekolah"&amp;IF(""="","","; "&amp;""),"")))</f>
        <v/>
      </c>
      <c r="J1070" s="0" t="s">
        <v>4223</v>
      </c>
      <c r="K1070" s="0" t="n">
        <f aca="false">IF(M1070=2,"",IF(ISNUMBER(SEARCH("rata-rata:",'Offshore - Adelaide'!N281)),VALUE(MID('Offshore - Adelaide'!N281,SEARCH("rata-rata:",'Offshore - Adelaide'!N281)+11,FIND(";",'Offshore - Adelaide'!N281&amp;";",SEARCH("rata-rata:",'Offshore - Adelaide'!N281))-SEARCH("rata-rata:",'Offshore - Adelaide'!N281)-11)),IF('Offshore - Adelaide'!D281="Semester",'Offshore - Adelaide'!E281*2,IF('Offshore - Adelaide'!D281="Trimester",'Offshore - Adelaide'!E281*3,IF('Offshore - Adelaide'!D281="Term",'Offshore - Adelaide'!E281*4,IF('Offshore - Adelaide'!D281="Unit",'Offshore - Adelaide'!E281*8,""))))))</f>
        <v>84700</v>
      </c>
      <c r="L1070" s="0" t="n">
        <f aca="false">IF(AND(ISNUMBER('Offshore - Adelaide'!E281),ISNUMBER(K1070),ISNUMBER('Offshore - Adelaide'!F281),ISNUMBER('Offshore - Adelaide'!G281),OR('Offshore - Adelaide'!F281&lt;&gt;0,ISNUMBER(SEARCH("Material 0 terverifikasi",'Offshore - Adelaide'!N281))),OR('Offshore - Adelaide'!G281&lt;&gt;0,ISNUMBER(SEARCH("Enrolment 0 terverifikasi",'Offshore - Adelaide'!N281)))),1,0)</f>
        <v>0</v>
      </c>
      <c r="M1070" s="0" t="n">
        <f aca="false">IF(OR('Offshore - Adelaide'!E281="",ISNUMBER(SEARCH("BSB80120",'Offshore - Adelaide'!B281&amp;'Offshore - Adelaide'!N281)),ISNUMBER(SEARCH("Management (Learning)",'Offshore - Adelaide'!B281))),2,IF(ISNUMBER(SEARCH("CEK:",'Offshore - Adelaide'!N281)),1,0))</f>
        <v>0</v>
      </c>
    </row>
    <row r="1071" customFormat="false" ht="15" hidden="false" customHeight="false" outlineLevel="0" collapsed="false">
      <c r="A1071" s="61" t="s">
        <v>4224</v>
      </c>
      <c r="B1071" s="62"/>
      <c r="C1071" s="62"/>
      <c r="D1071" s="62"/>
      <c r="E1071" s="62"/>
      <c r="F1071" s="62"/>
      <c r="G1071" s="62"/>
      <c r="H1071" s="62"/>
      <c r="I1071" s="62"/>
    </row>
    <row r="1072" customFormat="false" ht="15" hidden="false" customHeight="false" outlineLevel="0" collapsed="false">
      <c r="A1072" s="63" t="s">
        <v>3563</v>
      </c>
      <c r="B1072" s="64" t="s">
        <v>4207</v>
      </c>
      <c r="C1072" s="63" t="s">
        <v>40</v>
      </c>
      <c r="D1072" s="64" t="str">
        <f aca="false">TRIM(LEFT('Offshore - Brisbane'!A205,FIND(CHAR(10),'Offshore - Brisbane'!A205&amp;CHAR(10))-1))</f>
        <v>Greenwich College</v>
      </c>
      <c r="E1072" s="63" t="str">
        <f aca="false">'Offshore - Brisbane'!C217&amp;""</f>
        <v>84 weeks</v>
      </c>
      <c r="F1072" s="63" t="str">
        <f aca="false">IF('Offshore - Brisbane'!D217="","Belum tercatat",'Offshore - Brisbane'!D217)</f>
        <v>Term</v>
      </c>
      <c r="G1072" s="65" t="n">
        <f aca="false">IF('Offshore - Brisbane'!E217="","-",'Offshore - Brisbane'!E217)</f>
        <v>1600</v>
      </c>
      <c r="H1072" s="63" t="n">
        <f aca="false">IF(ISNUMBER(K1072),COUNTIFS($J$6:$J$1854,J1072,$K$6:$K$1854,"&lt;"&amp;K1072)+1,"-")</f>
        <v>1</v>
      </c>
      <c r="I1072" s="64" t="str">
        <f aca="false">IF('Offshore - Brisbane'!E217="","Harga belum tersedia - hubungi konsultan TEG",IF(M1072=2,"Saat ini tidak menerima pendaftaran siswa internasional baru",IF(M1072=1,"Harga perlu dikonfirmasi ke sekolah"&amp;IF(""="","","; "&amp;""),"")))</f>
        <v/>
      </c>
      <c r="J1072" s="0" t="s">
        <v>4225</v>
      </c>
      <c r="K1072" s="0" t="n">
        <f aca="false">IF(M1072=2,"",IF(ISNUMBER(SEARCH("rata-rata:",'Offshore - Brisbane'!N217)),VALUE(MID('Offshore - Brisbane'!N217,SEARCH("rata-rata:",'Offshore - Brisbane'!N217)+11,FIND(";",'Offshore - Brisbane'!N217&amp;";",SEARCH("rata-rata:",'Offshore - Brisbane'!N217))-SEARCH("rata-rata:",'Offshore - Brisbane'!N217)-11)),IF('Offshore - Brisbane'!D217="Semester",'Offshore - Brisbane'!E217*2,IF('Offshore - Brisbane'!D217="Trimester",'Offshore - Brisbane'!E217*3,IF('Offshore - Brisbane'!D217="Term",'Offshore - Brisbane'!E217*4,IF('Offshore - Brisbane'!D217="Unit",'Offshore - Brisbane'!E217*8,""))))))</f>
        <v>6400</v>
      </c>
      <c r="L1072" s="0" t="n">
        <f aca="false">IF(AND(ISNUMBER('Offshore - Brisbane'!E217),ISNUMBER(K1072),ISNUMBER('Offshore - Brisbane'!F217),ISNUMBER('Offshore - Brisbane'!G217),OR('Offshore - Brisbane'!F217&lt;&gt;0,ISNUMBER(SEARCH("Material 0 terverifikasi",'Offshore - Brisbane'!N217))),OR('Offshore - Brisbane'!G217&lt;&gt;0,ISNUMBER(SEARCH("Enrolment 0 terverifikasi",'Offshore - Brisbane'!N217)))),1,0)</f>
        <v>1</v>
      </c>
      <c r="M1072" s="0" t="n">
        <f aca="false">IF(OR('Offshore - Brisbane'!E217="",ISNUMBER(SEARCH("BSB80120",'Offshore - Brisbane'!B217&amp;'Offshore - Brisbane'!N217)),ISNUMBER(SEARCH("Management (Learning)",'Offshore - Brisbane'!B217))),2,IF(ISNUMBER(SEARCH("CEK:",'Offshore - Brisbane'!N217)),1,0))</f>
        <v>0</v>
      </c>
    </row>
    <row r="1073" customFormat="false" ht="15" hidden="false" customHeight="false" outlineLevel="0" collapsed="false">
      <c r="A1073" s="63" t="s">
        <v>3563</v>
      </c>
      <c r="B1073" s="64" t="s">
        <v>4207</v>
      </c>
      <c r="C1073" s="63" t="s">
        <v>40</v>
      </c>
      <c r="D1073" s="64" t="str">
        <f aca="false">TRIM(LEFT('Offshore - Brisbane'!A161,FIND(CHAR(10),'Offshore - Brisbane'!A161&amp;CHAR(10))-1))</f>
        <v>Australian Skills Management Institute (ASMI)</v>
      </c>
      <c r="E1073" s="63" t="str">
        <f aca="false">'Offshore - Brisbane'!C168&amp;""</f>
        <v>2 years</v>
      </c>
      <c r="F1073" s="63" t="str">
        <f aca="false">IF('Offshore - Brisbane'!D168="","Belum tercatat",'Offshore - Brisbane'!D168)</f>
        <v>Term</v>
      </c>
      <c r="G1073" s="65" t="n">
        <f aca="false">IF('Offshore - Brisbane'!E168="","-",'Offshore - Brisbane'!E168)</f>
        <v>2150</v>
      </c>
      <c r="H1073" s="63" t="n">
        <f aca="false">IF(ISNUMBER(K1073),COUNTIFS($J$6:$J$1854,J1073,$K$6:$K$1854,"&lt;"&amp;K1073)+1,"-")</f>
        <v>2</v>
      </c>
      <c r="I1073" s="64" t="str">
        <f aca="false">IF('Offshore - Brisbane'!E168="","Harga belum tersedia - hubungi konsultan TEG",IF(M1073=2,"Saat ini tidak menerima pendaftaran siswa internasional baru",IF(M1073=1,"Harga perlu dikonfirmasi ke sekolah"&amp;IF(""="","","; "&amp;""),"")))</f>
        <v/>
      </c>
      <c r="J1073" s="0" t="s">
        <v>4225</v>
      </c>
      <c r="K1073" s="0" t="n">
        <f aca="false">IF(M1073=2,"",IF(ISNUMBER(SEARCH("rata-rata:",'Offshore - Brisbane'!N168)),VALUE(MID('Offshore - Brisbane'!N168,SEARCH("rata-rata:",'Offshore - Brisbane'!N168)+11,FIND(";",'Offshore - Brisbane'!N168&amp;";",SEARCH("rata-rata:",'Offshore - Brisbane'!N168))-SEARCH("rata-rata:",'Offshore - Brisbane'!N168)-11)),IF('Offshore - Brisbane'!D168="Semester",'Offshore - Brisbane'!E168*2,IF('Offshore - Brisbane'!D168="Trimester",'Offshore - Brisbane'!E168*3,IF('Offshore - Brisbane'!D168="Term",'Offshore - Brisbane'!E168*4,IF('Offshore - Brisbane'!D168="Unit",'Offshore - Brisbane'!E168*8,""))))))</f>
        <v>8600</v>
      </c>
      <c r="L1073" s="0" t="n">
        <f aca="false">IF(AND(ISNUMBER('Offshore - Brisbane'!E168),ISNUMBER(K1073),ISNUMBER('Offshore - Brisbane'!F168),ISNUMBER('Offshore - Brisbane'!G168),OR('Offshore - Brisbane'!F168&lt;&gt;0,ISNUMBER(SEARCH("Material 0 terverifikasi",'Offshore - Brisbane'!N168))),OR('Offshore - Brisbane'!G168&lt;&gt;0,ISNUMBER(SEARCH("Enrolment 0 terverifikasi",'Offshore - Brisbane'!N168)))),1,0)</f>
        <v>1</v>
      </c>
      <c r="M1073" s="0" t="n">
        <f aca="false">IF(OR('Offshore - Brisbane'!E168="",ISNUMBER(SEARCH("BSB80120",'Offshore - Brisbane'!B168&amp;'Offshore - Brisbane'!N168)),ISNUMBER(SEARCH("Management (Learning)",'Offshore - Brisbane'!B168))),2,IF(ISNUMBER(SEARCH("CEK:",'Offshore - Brisbane'!N168)),1,0))</f>
        <v>0</v>
      </c>
    </row>
    <row r="1074" customFormat="false" ht="15" hidden="false" customHeight="false" outlineLevel="0" collapsed="false">
      <c r="A1074" s="63" t="s">
        <v>3563</v>
      </c>
      <c r="B1074" s="64" t="s">
        <v>4207</v>
      </c>
      <c r="C1074" s="63" t="s">
        <v>40</v>
      </c>
      <c r="D1074" s="64" t="str">
        <f aca="false">TRIM(LEFT('Offshore - Brisbane'!A26,FIND(CHAR(10),'Offshore - Brisbane'!A26&amp;CHAR(10))-1))</f>
        <v>American College</v>
      </c>
      <c r="E1074" s="63" t="str">
        <f aca="false">'Offshore - Brisbane'!C31&amp;""</f>
        <v>2 years</v>
      </c>
      <c r="F1074" s="63" t="str">
        <f aca="false">IF('Offshore - Brisbane'!D31="","Belum tercatat",'Offshore - Brisbane'!D31)</f>
        <v>Term</v>
      </c>
      <c r="G1074" s="65" t="n">
        <f aca="false">IF('Offshore - Brisbane'!E31="","-",'Offshore - Brisbane'!E31)</f>
        <v>3250</v>
      </c>
      <c r="H1074" s="63" t="n">
        <f aca="false">IF(ISNUMBER(K1074),COUNTIFS($J$6:$J$1854,J1074,$K$6:$K$1854,"&lt;"&amp;K1074)+1,"-")</f>
        <v>3</v>
      </c>
      <c r="I1074" s="64" t="str">
        <f aca="false">IF('Offshore - Brisbane'!E31="","Harga belum tersedia - hubungi konsultan TEG",IF(M1074=2,"Saat ini tidak menerima pendaftaran siswa internasional baru",IF(M1074=1,"Harga perlu dikonfirmasi ke sekolah"&amp;IF(""="","","; "&amp;""),"")))</f>
        <v/>
      </c>
      <c r="J1074" s="0" t="s">
        <v>4225</v>
      </c>
      <c r="K1074" s="0" t="n">
        <f aca="false">IF(M1074=2,"",IF(ISNUMBER(SEARCH("rata-rata:",'Offshore - Brisbane'!N31)),VALUE(MID('Offshore - Brisbane'!N31,SEARCH("rata-rata:",'Offshore - Brisbane'!N31)+11,FIND(";",'Offshore - Brisbane'!N31&amp;";",SEARCH("rata-rata:",'Offshore - Brisbane'!N31))-SEARCH("rata-rata:",'Offshore - Brisbane'!N31)-11)),IF('Offshore - Brisbane'!D31="Semester",'Offshore - Brisbane'!E31*2,IF('Offshore - Brisbane'!D31="Trimester",'Offshore - Brisbane'!E31*3,IF('Offshore - Brisbane'!D31="Term",'Offshore - Brisbane'!E31*4,IF('Offshore - Brisbane'!D31="Unit",'Offshore - Brisbane'!E31*8,""))))))</f>
        <v>13000</v>
      </c>
      <c r="L1074" s="0" t="n">
        <f aca="false">IF(AND(ISNUMBER('Offshore - Brisbane'!E31),ISNUMBER(K1074),ISNUMBER('Offshore - Brisbane'!F31),ISNUMBER('Offshore - Brisbane'!G31),OR('Offshore - Brisbane'!F31&lt;&gt;0,ISNUMBER(SEARCH("Material 0 terverifikasi",'Offshore - Brisbane'!N31))),OR('Offshore - Brisbane'!G31&lt;&gt;0,ISNUMBER(SEARCH("Enrolment 0 terverifikasi",'Offshore - Brisbane'!N31)))),1,0)</f>
        <v>1</v>
      </c>
      <c r="M1074" s="0" t="n">
        <f aca="false">IF(OR('Offshore - Brisbane'!E31="",ISNUMBER(SEARCH("BSB80120",'Offshore - Brisbane'!B31&amp;'Offshore - Brisbane'!N31)),ISNUMBER(SEARCH("Management (Learning)",'Offshore - Brisbane'!B31))),2,IF(ISNUMBER(SEARCH("CEK:",'Offshore - Brisbane'!N31)),1,0))</f>
        <v>0</v>
      </c>
    </row>
    <row r="1075" customFormat="false" ht="15" hidden="false" customHeight="false" outlineLevel="0" collapsed="false">
      <c r="A1075" s="61" t="s">
        <v>4226</v>
      </c>
      <c r="B1075" s="62"/>
      <c r="C1075" s="62"/>
      <c r="D1075" s="62"/>
      <c r="E1075" s="62"/>
      <c r="F1075" s="62"/>
      <c r="G1075" s="62"/>
      <c r="H1075" s="62"/>
      <c r="I1075" s="62"/>
    </row>
    <row r="1076" customFormat="false" ht="15" hidden="false" customHeight="false" outlineLevel="0" collapsed="false">
      <c r="A1076" s="63" t="s">
        <v>3563</v>
      </c>
      <c r="B1076" s="64" t="s">
        <v>4207</v>
      </c>
      <c r="C1076" s="63" t="s">
        <v>41</v>
      </c>
      <c r="D1076" s="64" t="str">
        <f aca="false">TRIM(LEFT('Offshore - Brisbane'!A308,FIND(CHAR(10),'Offshore - Brisbane'!A308&amp;CHAR(10))-1))</f>
        <v>Torrens University Australia</v>
      </c>
      <c r="E1076" s="63" t="str">
        <f aca="false">'Offshore - Brisbane'!C380&amp;""</f>
        <v>1,5 years</v>
      </c>
      <c r="F1076" s="63" t="str">
        <f aca="false">IF('Offshore - Brisbane'!D380="","Belum tercatat",'Offshore - Brisbane'!D380)</f>
        <v>Term</v>
      </c>
      <c r="G1076" s="65" t="n">
        <f aca="false">IF('Offshore - Brisbane'!E380="","-",'Offshore - Brisbane'!E380)</f>
        <v>6563</v>
      </c>
      <c r="H1076" s="63" t="n">
        <f aca="false">IF(ISNUMBER(K1076),COUNTIFS($J$6:$J$1854,J1076,$K$6:$K$1854,"&lt;"&amp;K1076)+1,"-")</f>
        <v>1</v>
      </c>
      <c r="I1076" s="64" t="str">
        <f aca="false">IF('Offshore - Brisbane'!E380="","Harga belum tersedia - hubungi konsultan TEG",IF(M1076=2,"Saat ini tidak menerima pendaftaran siswa internasional baru",IF(M1076=1,"Harga perlu dikonfirmasi ke sekolah"&amp;IF(""="","","; "&amp;""),"")))</f>
        <v/>
      </c>
      <c r="J1076" s="0" t="s">
        <v>4227</v>
      </c>
      <c r="K1076" s="0" t="n">
        <f aca="false">IF(M1076=2,"",IF(ISNUMBER(SEARCH("rata-rata:",'Offshore - Brisbane'!N380)),VALUE(MID('Offshore - Brisbane'!N380,SEARCH("rata-rata:",'Offshore - Brisbane'!N380)+11,FIND(";",'Offshore - Brisbane'!N380&amp;";",SEARCH("rata-rata:",'Offshore - Brisbane'!N380))-SEARCH("rata-rata:",'Offshore - Brisbane'!N380)-11)),IF('Offshore - Brisbane'!D380="Semester",'Offshore - Brisbane'!E380*2,IF('Offshore - Brisbane'!D380="Trimester",'Offshore - Brisbane'!E380*3,IF('Offshore - Brisbane'!D380="Term",'Offshore - Brisbane'!E380*4,IF('Offshore - Brisbane'!D380="Unit",'Offshore - Brisbane'!E380*8,""))))))</f>
        <v>26252</v>
      </c>
      <c r="L1076" s="0" t="n">
        <f aca="false">IF(AND(ISNUMBER('Offshore - Brisbane'!E380),ISNUMBER(K1076),ISNUMBER('Offshore - Brisbane'!F380),ISNUMBER('Offshore - Brisbane'!G380),OR('Offshore - Brisbane'!F380&lt;&gt;0,ISNUMBER(SEARCH("Material 0 terverifikasi",'Offshore - Brisbane'!N380))),OR('Offshore - Brisbane'!G380&lt;&gt;0,ISNUMBER(SEARCH("Enrolment 0 terverifikasi",'Offshore - Brisbane'!N380)))),1,0)</f>
        <v>0</v>
      </c>
      <c r="M1076" s="0" t="n">
        <f aca="false">IF(OR('Offshore - Brisbane'!E380="",ISNUMBER(SEARCH("BSB80120",'Offshore - Brisbane'!B380&amp;'Offshore - Brisbane'!N380)),ISNUMBER(SEARCH("Management (Learning)",'Offshore - Brisbane'!B380))),2,IF(ISNUMBER(SEARCH("CEK:",'Offshore - Brisbane'!N380)),1,0))</f>
        <v>0</v>
      </c>
    </row>
    <row r="1077" customFormat="false" ht="15" hidden="false" customHeight="false" outlineLevel="0" collapsed="false">
      <c r="A1077" s="63" t="s">
        <v>3563</v>
      </c>
      <c r="B1077" s="64" t="s">
        <v>4207</v>
      </c>
      <c r="C1077" s="63" t="s">
        <v>41</v>
      </c>
      <c r="D1077" s="64" t="str">
        <f aca="false">TRIM(LEFT('Offshore - Brisbane'!A53,FIND(CHAR(10),'Offshore - Brisbane'!A53&amp;CHAR(10))-1))</f>
        <v>Australian Catholic University (ACU)</v>
      </c>
      <c r="E1077" s="63" t="str">
        <f aca="false">'Offshore - Brisbane'!C146&amp;""</f>
        <v>1 year</v>
      </c>
      <c r="F1077" s="63" t="str">
        <f aca="false">IF('Offshore - Brisbane'!D146="","Belum tercatat",'Offshore - Brisbane'!D146)</f>
        <v>Term</v>
      </c>
      <c r="G1077" s="65" t="n">
        <f aca="false">IF('Offshore - Brisbane'!E146="","-",'Offshore - Brisbane'!E146)</f>
        <v>7086</v>
      </c>
      <c r="H1077" s="63" t="n">
        <f aca="false">IF(ISNUMBER(K1077),COUNTIFS($J$6:$J$1854,J1077,$K$6:$K$1854,"&lt;"&amp;K1077)+1,"-")</f>
        <v>2</v>
      </c>
      <c r="I1077" s="64" t="str">
        <f aca="false">IF('Offshore - Brisbane'!E146="","Harga belum tersedia - hubungi konsultan TEG",IF(M1077=2,"Saat ini tidak menerima pendaftaran siswa internasional baru",IF(M1077=1,"Harga perlu dikonfirmasi ke sekolah"&amp;IF(""="","","; "&amp;""),"")))</f>
        <v/>
      </c>
      <c r="J1077" s="0" t="s">
        <v>4227</v>
      </c>
      <c r="K1077" s="0" t="n">
        <f aca="false">IF(M1077=2,"",IF(ISNUMBER(SEARCH("rata-rata:",'Offshore - Brisbane'!N146)),VALUE(MID('Offshore - Brisbane'!N146,SEARCH("rata-rata:",'Offshore - Brisbane'!N146)+11,FIND(";",'Offshore - Brisbane'!N146&amp;";",SEARCH("rata-rata:",'Offshore - Brisbane'!N146))-SEARCH("rata-rata:",'Offshore - Brisbane'!N146)-11)),IF('Offshore - Brisbane'!D146="Semester",'Offshore - Brisbane'!E146*2,IF('Offshore - Brisbane'!D146="Trimester",'Offshore - Brisbane'!E146*3,IF('Offshore - Brisbane'!D146="Term",'Offshore - Brisbane'!E146*4,IF('Offshore - Brisbane'!D146="Unit",'Offshore - Brisbane'!E146*8,""))))))</f>
        <v>28344</v>
      </c>
      <c r="L1077" s="0" t="n">
        <f aca="false">IF(AND(ISNUMBER('Offshore - Brisbane'!E146),ISNUMBER(K1077),ISNUMBER('Offshore - Brisbane'!F146),ISNUMBER('Offshore - Brisbane'!G146),OR('Offshore - Brisbane'!F146&lt;&gt;0,ISNUMBER(SEARCH("Material 0 terverifikasi",'Offshore - Brisbane'!N146))),OR('Offshore - Brisbane'!G146&lt;&gt;0,ISNUMBER(SEARCH("Enrolment 0 terverifikasi",'Offshore - Brisbane'!N146)))),1,0)</f>
        <v>0</v>
      </c>
      <c r="M1077" s="0" t="n">
        <f aca="false">IF(OR('Offshore - Brisbane'!E146="",ISNUMBER(SEARCH("BSB80120",'Offshore - Brisbane'!B146&amp;'Offshore - Brisbane'!N146)),ISNUMBER(SEARCH("Management (Learning)",'Offshore - Brisbane'!B146))),2,IF(ISNUMBER(SEARCH("CEK:",'Offshore - Brisbane'!N146)),1,0))</f>
        <v>0</v>
      </c>
    </row>
    <row r="1078" customFormat="false" ht="15" hidden="false" customHeight="false" outlineLevel="0" collapsed="false">
      <c r="A1078" s="61" t="s">
        <v>4228</v>
      </c>
      <c r="B1078" s="62"/>
      <c r="C1078" s="62"/>
      <c r="D1078" s="62"/>
      <c r="E1078" s="62"/>
      <c r="F1078" s="62"/>
      <c r="G1078" s="62"/>
      <c r="H1078" s="62"/>
      <c r="I1078" s="62"/>
    </row>
    <row r="1079" customFormat="false" ht="15" hidden="false" customHeight="false" outlineLevel="0" collapsed="false">
      <c r="A1079" s="63" t="s">
        <v>3563</v>
      </c>
      <c r="B1079" s="64" t="s">
        <v>4207</v>
      </c>
      <c r="C1079" s="63" t="s">
        <v>43</v>
      </c>
      <c r="D1079" s="64" t="str">
        <f aca="false">TRIM(LEFT('Offshore - Brisbane'!A308,FIND(CHAR(10),'Offshore - Brisbane'!A308&amp;CHAR(10))-1))</f>
        <v>Torrens University Australia</v>
      </c>
      <c r="E1079" s="63" t="str">
        <f aca="false">'Offshore - Brisbane'!C368&amp;""</f>
        <v>4 years</v>
      </c>
      <c r="F1079" s="63" t="str">
        <f aca="false">IF('Offshore - Brisbane'!D368="","Belum tercatat",'Offshore - Brisbane'!D368)</f>
        <v>Term</v>
      </c>
      <c r="G1079" s="65" t="n">
        <f aca="false">IF('Offshore - Brisbane'!E368="","-",'Offshore - Brisbane'!E368)</f>
        <v>7333</v>
      </c>
      <c r="H1079" s="63" t="n">
        <f aca="false">IF(ISNUMBER(K1079),COUNTIFS($J$6:$J$1854,J1079,$K$6:$K$1854,"&lt;"&amp;K1079)+1,"-")</f>
        <v>1</v>
      </c>
      <c r="I1079" s="64" t="str">
        <f aca="false">IF('Offshore - Brisbane'!E368="","Harga belum tersedia - hubungi konsultan TEG",IF(M1079=2,"Saat ini tidak menerima pendaftaran siswa internasional baru",IF(M1079=1,"Harga perlu dikonfirmasi ke sekolah"&amp;IF(""="","","; "&amp;""),"")))</f>
        <v/>
      </c>
      <c r="J1079" s="0" t="s">
        <v>4229</v>
      </c>
      <c r="K1079" s="0" t="n">
        <f aca="false">IF(M1079=2,"",IF(ISNUMBER(SEARCH("rata-rata:",'Offshore - Brisbane'!N368)),VALUE(MID('Offshore - Brisbane'!N368,SEARCH("rata-rata:",'Offshore - Brisbane'!N368)+11,FIND(";",'Offshore - Brisbane'!N368&amp;";",SEARCH("rata-rata:",'Offshore - Brisbane'!N368))-SEARCH("rata-rata:",'Offshore - Brisbane'!N368)-11)),IF('Offshore - Brisbane'!D368="Semester",'Offshore - Brisbane'!E368*2,IF('Offshore - Brisbane'!D368="Trimester",'Offshore - Brisbane'!E368*3,IF('Offshore - Brisbane'!D368="Term",'Offshore - Brisbane'!E368*4,IF('Offshore - Brisbane'!D368="Unit",'Offshore - Brisbane'!E368*8,""))))))</f>
        <v>29332</v>
      </c>
      <c r="L1079" s="0" t="n">
        <f aca="false">IF(AND(ISNUMBER('Offshore - Brisbane'!E368),ISNUMBER(K1079),ISNUMBER('Offshore - Brisbane'!F368),ISNUMBER('Offshore - Brisbane'!G368),OR('Offshore - Brisbane'!F368&lt;&gt;0,ISNUMBER(SEARCH("Material 0 terverifikasi",'Offshore - Brisbane'!N368))),OR('Offshore - Brisbane'!G368&lt;&gt;0,ISNUMBER(SEARCH("Enrolment 0 terverifikasi",'Offshore - Brisbane'!N368)))),1,0)</f>
        <v>0</v>
      </c>
      <c r="M1079" s="0" t="n">
        <f aca="false">IF(OR('Offshore - Brisbane'!E368="",ISNUMBER(SEARCH("BSB80120",'Offshore - Brisbane'!B368&amp;'Offshore - Brisbane'!N368)),ISNUMBER(SEARCH("Management (Learning)",'Offshore - Brisbane'!B368))),2,IF(ISNUMBER(SEARCH("CEK:",'Offshore - Brisbane'!N368)),1,0))</f>
        <v>0</v>
      </c>
    </row>
    <row r="1080" customFormat="false" ht="15" hidden="false" customHeight="false" outlineLevel="0" collapsed="false">
      <c r="A1080" s="63" t="s">
        <v>3563</v>
      </c>
      <c r="B1080" s="64" t="s">
        <v>4207</v>
      </c>
      <c r="C1080" s="63" t="s">
        <v>43</v>
      </c>
      <c r="D1080" s="64" t="str">
        <f aca="false">TRIM(LEFT('Offshore - Brisbane'!A53,FIND(CHAR(10),'Offshore - Brisbane'!A53&amp;CHAR(10))-1))</f>
        <v>Australian Catholic University (ACU)</v>
      </c>
      <c r="E1080" s="63" t="str">
        <f aca="false">'Offshore - Brisbane'!C113&amp;""</f>
        <v>3 years</v>
      </c>
      <c r="F1080" s="63" t="str">
        <f aca="false">IF('Offshore - Brisbane'!D113="","Belum tercatat",'Offshore - Brisbane'!D113)</f>
        <v>Term</v>
      </c>
      <c r="G1080" s="65" t="n">
        <f aca="false">IF('Offshore - Brisbane'!E113="","-",'Offshore - Brisbane'!E113)</f>
        <v>8098</v>
      </c>
      <c r="H1080" s="63" t="n">
        <f aca="false">IF(ISNUMBER(K1080),COUNTIFS($J$6:$J$1854,J1080,$K$6:$K$1854,"&lt;"&amp;K1080)+1,"-")</f>
        <v>2</v>
      </c>
      <c r="I1080" s="64" t="str">
        <f aca="false">IF('Offshore - Brisbane'!E113="","Harga belum tersedia - hubungi konsultan TEG",IF(M1080=2,"Saat ini tidak menerima pendaftaran siswa internasional baru",IF(M1080=1,"Harga perlu dikonfirmasi ke sekolah"&amp;IF(""="","","; "&amp;""),"")))</f>
        <v/>
      </c>
      <c r="J1080" s="0" t="s">
        <v>4229</v>
      </c>
      <c r="K1080" s="0" t="n">
        <f aca="false">IF(M1080=2,"",IF(ISNUMBER(SEARCH("rata-rata:",'Offshore - Brisbane'!N113)),VALUE(MID('Offshore - Brisbane'!N113,SEARCH("rata-rata:",'Offshore - Brisbane'!N113)+11,FIND(";",'Offshore - Brisbane'!N113&amp;";",SEARCH("rata-rata:",'Offshore - Brisbane'!N113))-SEARCH("rata-rata:",'Offshore - Brisbane'!N113)-11)),IF('Offshore - Brisbane'!D113="Semester",'Offshore - Brisbane'!E113*2,IF('Offshore - Brisbane'!D113="Trimester",'Offshore - Brisbane'!E113*3,IF('Offshore - Brisbane'!D113="Term",'Offshore - Brisbane'!E113*4,IF('Offshore - Brisbane'!D113="Unit",'Offshore - Brisbane'!E113*8,""))))))</f>
        <v>32392</v>
      </c>
      <c r="L1080" s="0" t="n">
        <f aca="false">IF(AND(ISNUMBER('Offshore - Brisbane'!E113),ISNUMBER(K1080),ISNUMBER('Offshore - Brisbane'!F113),ISNUMBER('Offshore - Brisbane'!G113),OR('Offshore - Brisbane'!F113&lt;&gt;0,ISNUMBER(SEARCH("Material 0 terverifikasi",'Offshore - Brisbane'!N113))),OR('Offshore - Brisbane'!G113&lt;&gt;0,ISNUMBER(SEARCH("Enrolment 0 terverifikasi",'Offshore - Brisbane'!N113)))),1,0)</f>
        <v>0</v>
      </c>
      <c r="M1080" s="0" t="n">
        <f aca="false">IF(OR('Offshore - Brisbane'!E113="",ISNUMBER(SEARCH("BSB80120",'Offshore - Brisbane'!B113&amp;'Offshore - Brisbane'!N113)),ISNUMBER(SEARCH("Management (Learning)",'Offshore - Brisbane'!B113))),2,IF(ISNUMBER(SEARCH("CEK:",'Offshore - Brisbane'!N113)),1,0))</f>
        <v>0</v>
      </c>
    </row>
    <row r="1081" customFormat="false" ht="15" hidden="false" customHeight="false" outlineLevel="0" collapsed="false">
      <c r="A1081" s="61" t="s">
        <v>4230</v>
      </c>
      <c r="B1081" s="62"/>
      <c r="C1081" s="62"/>
      <c r="D1081" s="62"/>
      <c r="E1081" s="62"/>
      <c r="F1081" s="62"/>
      <c r="G1081" s="62"/>
      <c r="H1081" s="62"/>
      <c r="I1081" s="62"/>
    </row>
    <row r="1082" customFormat="false" ht="15" hidden="false" customHeight="false" outlineLevel="0" collapsed="false">
      <c r="A1082" s="63" t="s">
        <v>3563</v>
      </c>
      <c r="B1082" s="64" t="s">
        <v>4207</v>
      </c>
      <c r="C1082" s="63" t="s">
        <v>3707</v>
      </c>
      <c r="D1082" s="64" t="str">
        <f aca="false">TRIM(LEFT('Offshore - Brisbane'!A308,FIND(CHAR(10),'Offshore - Brisbane'!A308&amp;CHAR(10))-1))</f>
        <v>Torrens University Australia</v>
      </c>
      <c r="E1082" s="63" t="str">
        <f aca="false">'Offshore - Brisbane'!C374&amp;""</f>
        <v>0,5 year</v>
      </c>
      <c r="F1082" s="63" t="str">
        <f aca="false">IF('Offshore - Brisbane'!D374="","Belum tercatat",'Offshore - Brisbane'!D374)</f>
        <v>Term</v>
      </c>
      <c r="G1082" s="65" t="n">
        <f aca="false">IF('Offshore - Brisbane'!E374="","-",'Offshore - Brisbane'!E374)</f>
        <v>3975</v>
      </c>
      <c r="H1082" s="63" t="n">
        <f aca="false">IF(ISNUMBER(K1082),COUNTIFS($J$6:$J$1854,J1082,$K$6:$K$1854,"&lt;"&amp;K1082)+1,"-")</f>
        <v>1</v>
      </c>
      <c r="I1082" s="64" t="str">
        <f aca="false">IF('Offshore - Brisbane'!E374="","Harga belum tersedia - hubungi konsultan TEG",IF(M1082=2,"Saat ini tidak menerima pendaftaran siswa internasional baru",IF(M1082=1,"Harga perlu dikonfirmasi ke sekolah"&amp;IF(""="","","; "&amp;""),"")))</f>
        <v/>
      </c>
      <c r="J1082" s="0" t="s">
        <v>4231</v>
      </c>
      <c r="K1082" s="0" t="n">
        <f aca="false">IF(M1082=2,"",IF(ISNUMBER(SEARCH("rata-rata:",'Offshore - Brisbane'!N374)),VALUE(MID('Offshore - Brisbane'!N374,SEARCH("rata-rata:",'Offshore - Brisbane'!N374)+11,FIND(";",'Offshore - Brisbane'!N374&amp;";",SEARCH("rata-rata:",'Offshore - Brisbane'!N374))-SEARCH("rata-rata:",'Offshore - Brisbane'!N374)-11)),IF('Offshore - Brisbane'!D374="Semester",'Offshore - Brisbane'!E374*2,IF('Offshore - Brisbane'!D374="Trimester",'Offshore - Brisbane'!E374*3,IF('Offshore - Brisbane'!D374="Term",'Offshore - Brisbane'!E374*4,IF('Offshore - Brisbane'!D374="Unit",'Offshore - Brisbane'!E374*8,""))))))</f>
        <v>15900</v>
      </c>
      <c r="L1082" s="0" t="n">
        <f aca="false">IF(AND(ISNUMBER('Offshore - Brisbane'!E374),ISNUMBER(K1082),ISNUMBER('Offshore - Brisbane'!F374),ISNUMBER('Offshore - Brisbane'!G374),OR('Offshore - Brisbane'!F374&lt;&gt;0,ISNUMBER(SEARCH("Material 0 terverifikasi",'Offshore - Brisbane'!N374))),OR('Offshore - Brisbane'!G374&lt;&gt;0,ISNUMBER(SEARCH("Enrolment 0 terverifikasi",'Offshore - Brisbane'!N374)))),1,0)</f>
        <v>0</v>
      </c>
      <c r="M1082" s="0" t="n">
        <f aca="false">IF(OR('Offshore - Brisbane'!E374="",ISNUMBER(SEARCH("BSB80120",'Offshore - Brisbane'!B374&amp;'Offshore - Brisbane'!N374)),ISNUMBER(SEARCH("Management (Learning)",'Offshore - Brisbane'!B374))),2,IF(ISNUMBER(SEARCH("CEK:",'Offshore - Brisbane'!N374)),1,0))</f>
        <v>0</v>
      </c>
    </row>
    <row r="1083" customFormat="false" ht="15" hidden="false" customHeight="false" outlineLevel="0" collapsed="false">
      <c r="A1083" s="63" t="s">
        <v>3563</v>
      </c>
      <c r="B1083" s="64" t="s">
        <v>4207</v>
      </c>
      <c r="C1083" s="63" t="s">
        <v>3707</v>
      </c>
      <c r="D1083" s="64" t="str">
        <f aca="false">TRIM(LEFT('Offshore - Brisbane'!A187,FIND(CHAR(10),'Offshore - Brisbane'!A187&amp;CHAR(10))-1))</f>
        <v>ECA College of Health Sciences (CHS)</v>
      </c>
      <c r="E1083" s="63" t="str">
        <f aca="false">'Offshore - Brisbane'!C187&amp;""</f>
        <v>0,75 year</v>
      </c>
      <c r="F1083" s="63" t="str">
        <f aca="false">IF('Offshore - Brisbane'!D187="","Belum tercatat",'Offshore - Brisbane'!D187)</f>
        <v>Trimester</v>
      </c>
      <c r="G1083" s="65" t="n">
        <f aca="false">IF('Offshore - Brisbane'!E187="","-",'Offshore - Brisbane'!E187)</f>
        <v>7800</v>
      </c>
      <c r="H1083" s="63" t="n">
        <f aca="false">IF(ISNUMBER(K1083),COUNTIFS($J$6:$J$1854,J1083,$K$6:$K$1854,"&lt;"&amp;K1083)+1,"-")</f>
        <v>2</v>
      </c>
      <c r="I1083" s="64" t="str">
        <f aca="false">IF('Offshore - Brisbane'!E187="","Harga belum tersedia - hubungi konsultan TEG",IF(M1083=2,"Saat ini tidak menerima pendaftaran siswa internasional baru",IF(M1083=1,"Harga perlu dikonfirmasi ke sekolah"&amp;IF(""="","","; "&amp;""),"")))</f>
        <v/>
      </c>
      <c r="J1083" s="0" t="s">
        <v>4231</v>
      </c>
      <c r="K1083" s="0" t="n">
        <f aca="false">IF(M1083=2,"",IF(ISNUMBER(SEARCH("rata-rata:",'Offshore - Brisbane'!N187)),VALUE(MID('Offshore - Brisbane'!N187,SEARCH("rata-rata:",'Offshore - Brisbane'!N187)+11,FIND(";",'Offshore - Brisbane'!N187&amp;";",SEARCH("rata-rata:",'Offshore - Brisbane'!N187))-SEARCH("rata-rata:",'Offshore - Brisbane'!N187)-11)),IF('Offshore - Brisbane'!D187="Semester",'Offshore - Brisbane'!E187*2,IF('Offshore - Brisbane'!D187="Trimester",'Offshore - Brisbane'!E187*3,IF('Offshore - Brisbane'!D187="Term",'Offshore - Brisbane'!E187*4,IF('Offshore - Brisbane'!D187="Unit",'Offshore - Brisbane'!E187*8,""))))))</f>
        <v>23400</v>
      </c>
      <c r="L1083" s="0" t="n">
        <f aca="false">IF(AND(ISNUMBER('Offshore - Brisbane'!E187),ISNUMBER(K1083),ISNUMBER('Offshore - Brisbane'!F187),ISNUMBER('Offshore - Brisbane'!G187),OR('Offshore - Brisbane'!F187&lt;&gt;0,ISNUMBER(SEARCH("Material 0 terverifikasi",'Offshore - Brisbane'!N187))),OR('Offshore - Brisbane'!G187&lt;&gt;0,ISNUMBER(SEARCH("Enrolment 0 terverifikasi",'Offshore - Brisbane'!N187)))),1,0)</f>
        <v>0</v>
      </c>
      <c r="M1083" s="0" t="n">
        <f aca="false">IF(OR('Offshore - Brisbane'!E187="",ISNUMBER(SEARCH("BSB80120",'Offshore - Brisbane'!B187&amp;'Offshore - Brisbane'!N187)),ISNUMBER(SEARCH("Management (Learning)",'Offshore - Brisbane'!B187))),2,IF(ISNUMBER(SEARCH("CEK:",'Offshore - Brisbane'!N187)),1,0))</f>
        <v>0</v>
      </c>
    </row>
    <row r="1084" customFormat="false" ht="15" hidden="false" customHeight="false" outlineLevel="0" collapsed="false">
      <c r="A1084" s="63" t="s">
        <v>3563</v>
      </c>
      <c r="B1084" s="64" t="s">
        <v>4207</v>
      </c>
      <c r="C1084" s="63" t="s">
        <v>3707</v>
      </c>
      <c r="D1084" s="64" t="str">
        <f aca="false">TRIM(LEFT('Offshore - Brisbane'!A53,FIND(CHAR(10),'Offshore - Brisbane'!A53&amp;CHAR(10))-1))</f>
        <v>Australian Catholic University (ACU)</v>
      </c>
      <c r="E1084" s="63" t="str">
        <f aca="false">'Offshore - Brisbane'!C131&amp;""</f>
        <v>1 year</v>
      </c>
      <c r="F1084" s="63" t="str">
        <f aca="false">IF('Offshore - Brisbane'!D131="","Belum tercatat",'Offshore - Brisbane'!D131)</f>
        <v>Term</v>
      </c>
      <c r="G1084" s="65" t="n">
        <f aca="false">IF('Offshore - Brisbane'!E131="","-",'Offshore - Brisbane'!E131)</f>
        <v>8018</v>
      </c>
      <c r="H1084" s="63" t="n">
        <f aca="false">IF(ISNUMBER(K1084),COUNTIFS($J$6:$J$1854,J1084,$K$6:$K$1854,"&lt;"&amp;K1084)+1,"-")</f>
        <v>3</v>
      </c>
      <c r="I1084" s="64" t="str">
        <f aca="false">IF('Offshore - Brisbane'!E131="","Harga belum tersedia - hubungi konsultan TEG",IF(M1084=2,"Saat ini tidak menerima pendaftaran siswa internasional baru",IF(M1084=1,"Harga perlu dikonfirmasi ke sekolah"&amp;IF(""="","","; "&amp;""),"")))</f>
        <v/>
      </c>
      <c r="J1084" s="0" t="s">
        <v>4231</v>
      </c>
      <c r="K1084" s="0" t="n">
        <f aca="false">IF(M1084=2,"",IF(ISNUMBER(SEARCH("rata-rata:",'Offshore - Brisbane'!N131)),VALUE(MID('Offshore - Brisbane'!N131,SEARCH("rata-rata:",'Offshore - Brisbane'!N131)+11,FIND(";",'Offshore - Brisbane'!N131&amp;";",SEARCH("rata-rata:",'Offshore - Brisbane'!N131))-SEARCH("rata-rata:",'Offshore - Brisbane'!N131)-11)),IF('Offshore - Brisbane'!D131="Semester",'Offshore - Brisbane'!E131*2,IF('Offshore - Brisbane'!D131="Trimester",'Offshore - Brisbane'!E131*3,IF('Offshore - Brisbane'!D131="Term",'Offshore - Brisbane'!E131*4,IF('Offshore - Brisbane'!D131="Unit",'Offshore - Brisbane'!E131*8,""))))))</f>
        <v>32072</v>
      </c>
      <c r="L1084" s="0" t="n">
        <f aca="false">IF(AND(ISNUMBER('Offshore - Brisbane'!E131),ISNUMBER(K1084),ISNUMBER('Offshore - Brisbane'!F131),ISNUMBER('Offshore - Brisbane'!G131),OR('Offshore - Brisbane'!F131&lt;&gt;0,ISNUMBER(SEARCH("Material 0 terverifikasi",'Offshore - Brisbane'!N131))),OR('Offshore - Brisbane'!G131&lt;&gt;0,ISNUMBER(SEARCH("Enrolment 0 terverifikasi",'Offshore - Brisbane'!N131)))),1,0)</f>
        <v>0</v>
      </c>
      <c r="M1084" s="0" t="n">
        <f aca="false">IF(OR('Offshore - Brisbane'!E131="",ISNUMBER(SEARCH("BSB80120",'Offshore - Brisbane'!B131&amp;'Offshore - Brisbane'!N131)),ISNUMBER(SEARCH("Management (Learning)",'Offshore - Brisbane'!B131))),2,IF(ISNUMBER(SEARCH("CEK:",'Offshore - Brisbane'!N131)),1,0))</f>
        <v>0</v>
      </c>
    </row>
    <row r="1085" customFormat="false" ht="15" hidden="false" customHeight="false" outlineLevel="0" collapsed="false">
      <c r="A1085" s="61" t="s">
        <v>4232</v>
      </c>
      <c r="B1085" s="62"/>
      <c r="C1085" s="62"/>
      <c r="D1085" s="62"/>
      <c r="E1085" s="62"/>
      <c r="F1085" s="62"/>
      <c r="G1085" s="62"/>
      <c r="H1085" s="62"/>
      <c r="I1085" s="62"/>
    </row>
    <row r="1086" customFormat="false" ht="15" hidden="false" customHeight="false" outlineLevel="0" collapsed="false">
      <c r="A1086" s="63" t="s">
        <v>3563</v>
      </c>
      <c r="B1086" s="64" t="s">
        <v>4207</v>
      </c>
      <c r="C1086" s="63" t="s">
        <v>46</v>
      </c>
      <c r="D1086" s="64" t="str">
        <f aca="false">TRIM(LEFT('Offshore - Brisbane'!A187,FIND(CHAR(10),'Offshore - Brisbane'!A187&amp;CHAR(10))-1))</f>
        <v>ECA College of Health Sciences (CHS)</v>
      </c>
      <c r="E1086" s="63" t="str">
        <f aca="false">'Offshore - Brisbane'!C189&amp;""</f>
        <v>2 years</v>
      </c>
      <c r="F1086" s="63" t="str">
        <f aca="false">IF('Offshore - Brisbane'!D189="","Belum tercatat",'Offshore - Brisbane'!D189)</f>
        <v>Trimester</v>
      </c>
      <c r="G1086" s="65" t="n">
        <f aca="false">IF('Offshore - Brisbane'!E189="","-",'Offshore - Brisbane'!E189)</f>
        <v>7800</v>
      </c>
      <c r="H1086" s="63" t="n">
        <f aca="false">IF(ISNUMBER(K1086),COUNTIFS($J$6:$J$1854,J1086,$K$6:$K$1854,"&lt;"&amp;K1086)+1,"-")</f>
        <v>1</v>
      </c>
      <c r="I1086" s="64" t="str">
        <f aca="false">IF('Offshore - Brisbane'!E189="","Harga belum tersedia - hubungi konsultan TEG",IF(M1086=2,"Saat ini tidak menerima pendaftaran siswa internasional baru",IF(M1086=1,"Harga perlu dikonfirmasi ke sekolah"&amp;IF(""="","","; "&amp;""),"")))</f>
        <v/>
      </c>
      <c r="J1086" s="0" t="s">
        <v>4233</v>
      </c>
      <c r="K1086" s="0" t="n">
        <f aca="false">IF(M1086=2,"",IF(ISNUMBER(SEARCH("rata-rata:",'Offshore - Brisbane'!N189)),VALUE(MID('Offshore - Brisbane'!N189,SEARCH("rata-rata:",'Offshore - Brisbane'!N189)+11,FIND(";",'Offshore - Brisbane'!N189&amp;";",SEARCH("rata-rata:",'Offshore - Brisbane'!N189))-SEARCH("rata-rata:",'Offshore - Brisbane'!N189)-11)),IF('Offshore - Brisbane'!D189="Semester",'Offshore - Brisbane'!E189*2,IF('Offshore - Brisbane'!D189="Trimester",'Offshore - Brisbane'!E189*3,IF('Offshore - Brisbane'!D189="Term",'Offshore - Brisbane'!E189*4,IF('Offshore - Brisbane'!D189="Unit",'Offshore - Brisbane'!E189*8,""))))))</f>
        <v>23400</v>
      </c>
      <c r="L1086" s="0" t="n">
        <f aca="false">IF(AND(ISNUMBER('Offshore - Brisbane'!E189),ISNUMBER(K1086),ISNUMBER('Offshore - Brisbane'!F189),ISNUMBER('Offshore - Brisbane'!G189),OR('Offshore - Brisbane'!F189&lt;&gt;0,ISNUMBER(SEARCH("Material 0 terverifikasi",'Offshore - Brisbane'!N189))),OR('Offshore - Brisbane'!G189&lt;&gt;0,ISNUMBER(SEARCH("Enrolment 0 terverifikasi",'Offshore - Brisbane'!N189)))),1,0)</f>
        <v>0</v>
      </c>
      <c r="M1086" s="0" t="n">
        <f aca="false">IF(OR('Offshore - Brisbane'!E189="",ISNUMBER(SEARCH("BSB80120",'Offshore - Brisbane'!B189&amp;'Offshore - Brisbane'!N189)),ISNUMBER(SEARCH("Management (Learning)",'Offshore - Brisbane'!B189))),2,IF(ISNUMBER(SEARCH("CEK:",'Offshore - Brisbane'!N189)),1,0))</f>
        <v>0</v>
      </c>
    </row>
    <row r="1087" customFormat="false" ht="15" hidden="false" customHeight="false" outlineLevel="0" collapsed="false">
      <c r="A1087" s="63" t="s">
        <v>3563</v>
      </c>
      <c r="B1087" s="64" t="s">
        <v>4207</v>
      </c>
      <c r="C1087" s="63" t="s">
        <v>46</v>
      </c>
      <c r="D1087" s="64" t="str">
        <f aca="false">TRIM(LEFT('Offshore - Brisbane'!A308,FIND(CHAR(10),'Offshore - Brisbane'!A308&amp;CHAR(10))-1))</f>
        <v>Torrens University Australia</v>
      </c>
      <c r="E1087" s="63" t="str">
        <f aca="false">'Offshore - Brisbane'!C322&amp;""</f>
        <v>2 years</v>
      </c>
      <c r="F1087" s="63" t="str">
        <f aca="false">IF('Offshore - Brisbane'!D322="","Belum tercatat",'Offshore - Brisbane'!D322)</f>
        <v>Term</v>
      </c>
      <c r="G1087" s="65" t="n">
        <f aca="false">IF('Offshore - Brisbane'!E322="","-",'Offshore - Brisbane'!E322)</f>
        <v>7950</v>
      </c>
      <c r="H1087" s="63" t="n">
        <f aca="false">IF(ISNUMBER(K1087),COUNTIFS($J$6:$J$1854,J1087,$K$6:$K$1854,"&lt;"&amp;K1087)+1,"-")</f>
        <v>2</v>
      </c>
      <c r="I1087" s="64" t="str">
        <f aca="false">IF('Offshore - Brisbane'!E322="","Harga belum tersedia - hubungi konsultan TEG",IF(M1087=2,"Saat ini tidak menerima pendaftaran siswa internasional baru",IF(M1087=1,"Harga perlu dikonfirmasi ke sekolah"&amp;IF(""="","","; "&amp;""),"")))</f>
        <v/>
      </c>
      <c r="J1087" s="0" t="s">
        <v>4233</v>
      </c>
      <c r="K1087" s="0" t="n">
        <f aca="false">IF(M1087=2,"",IF(ISNUMBER(SEARCH("rata-rata:",'Offshore - Brisbane'!N322)),VALUE(MID('Offshore - Brisbane'!N322,SEARCH("rata-rata:",'Offshore - Brisbane'!N322)+11,FIND(";",'Offshore - Brisbane'!N322&amp;";",SEARCH("rata-rata:",'Offshore - Brisbane'!N322))-SEARCH("rata-rata:",'Offshore - Brisbane'!N322)-11)),IF('Offshore - Brisbane'!D322="Semester",'Offshore - Brisbane'!E322*2,IF('Offshore - Brisbane'!D322="Trimester",'Offshore - Brisbane'!E322*3,IF('Offshore - Brisbane'!D322="Term",'Offshore - Brisbane'!E322*4,IF('Offshore - Brisbane'!D322="Unit",'Offshore - Brisbane'!E322*8,""))))))</f>
        <v>31800</v>
      </c>
      <c r="L1087" s="0" t="n">
        <f aca="false">IF(AND(ISNUMBER('Offshore - Brisbane'!E322),ISNUMBER(K1087),ISNUMBER('Offshore - Brisbane'!F322),ISNUMBER('Offshore - Brisbane'!G322),OR('Offshore - Brisbane'!F322&lt;&gt;0,ISNUMBER(SEARCH("Material 0 terverifikasi",'Offshore - Brisbane'!N322))),OR('Offshore - Brisbane'!G322&lt;&gt;0,ISNUMBER(SEARCH("Enrolment 0 terverifikasi",'Offshore - Brisbane'!N322)))),1,0)</f>
        <v>0</v>
      </c>
      <c r="M1087" s="0" t="n">
        <f aca="false">IF(OR('Offshore - Brisbane'!E322="",ISNUMBER(SEARCH("BSB80120",'Offshore - Brisbane'!B322&amp;'Offshore - Brisbane'!N322)),ISNUMBER(SEARCH("Management (Learning)",'Offshore - Brisbane'!B322))),2,IF(ISNUMBER(SEARCH("CEK:",'Offshore - Brisbane'!N322)),1,0))</f>
        <v>0</v>
      </c>
    </row>
    <row r="1088" customFormat="false" ht="15" hidden="false" customHeight="false" outlineLevel="0" collapsed="false">
      <c r="A1088" s="63" t="s">
        <v>3563</v>
      </c>
      <c r="B1088" s="64" t="s">
        <v>4207</v>
      </c>
      <c r="C1088" s="63" t="s">
        <v>46</v>
      </c>
      <c r="D1088" s="64" t="str">
        <f aca="false">TRIM(LEFT('Offshore - Brisbane'!A53,FIND(CHAR(10),'Offshore - Brisbane'!A53&amp;CHAR(10))-1))</f>
        <v>Australian Catholic University (ACU)</v>
      </c>
      <c r="E1088" s="63" t="str">
        <f aca="false">'Offshore - Brisbane'!C132&amp;""</f>
        <v>2 years</v>
      </c>
      <c r="F1088" s="63" t="str">
        <f aca="false">IF('Offshore - Brisbane'!D132="","Belum tercatat",'Offshore - Brisbane'!D132)</f>
        <v>Term</v>
      </c>
      <c r="G1088" s="65" t="n">
        <f aca="false">IF('Offshore - Brisbane'!E132="","-",'Offshore - Brisbane'!E132)</f>
        <v>8018</v>
      </c>
      <c r="H1088" s="63" t="n">
        <f aca="false">IF(ISNUMBER(K1088),COUNTIFS($J$6:$J$1854,J1088,$K$6:$K$1854,"&lt;"&amp;K1088)+1,"-")</f>
        <v>3</v>
      </c>
      <c r="I1088" s="64" t="str">
        <f aca="false">IF('Offshore - Brisbane'!E132="","Harga belum tersedia - hubungi konsultan TEG",IF(M1088=2,"Saat ini tidak menerima pendaftaran siswa internasional baru",IF(M1088=1,"Harga perlu dikonfirmasi ke sekolah"&amp;IF(""="","","; "&amp;""),"")))</f>
        <v/>
      </c>
      <c r="J1088" s="0" t="s">
        <v>4233</v>
      </c>
      <c r="K1088" s="0" t="n">
        <f aca="false">IF(M1088=2,"",IF(ISNUMBER(SEARCH("rata-rata:",'Offshore - Brisbane'!N132)),VALUE(MID('Offshore - Brisbane'!N132,SEARCH("rata-rata:",'Offshore - Brisbane'!N132)+11,FIND(";",'Offshore - Brisbane'!N132&amp;";",SEARCH("rata-rata:",'Offshore - Brisbane'!N132))-SEARCH("rata-rata:",'Offshore - Brisbane'!N132)-11)),IF('Offshore - Brisbane'!D132="Semester",'Offshore - Brisbane'!E132*2,IF('Offshore - Brisbane'!D132="Trimester",'Offshore - Brisbane'!E132*3,IF('Offshore - Brisbane'!D132="Term",'Offshore - Brisbane'!E132*4,IF('Offshore - Brisbane'!D132="Unit",'Offshore - Brisbane'!E132*8,""))))))</f>
        <v>32072</v>
      </c>
      <c r="L1088" s="0" t="n">
        <f aca="false">IF(AND(ISNUMBER('Offshore - Brisbane'!E132),ISNUMBER(K1088),ISNUMBER('Offshore - Brisbane'!F132),ISNUMBER('Offshore - Brisbane'!G132),OR('Offshore - Brisbane'!F132&lt;&gt;0,ISNUMBER(SEARCH("Material 0 terverifikasi",'Offshore - Brisbane'!N132))),OR('Offshore - Brisbane'!G132&lt;&gt;0,ISNUMBER(SEARCH("Enrolment 0 terverifikasi",'Offshore - Brisbane'!N132)))),1,0)</f>
        <v>0</v>
      </c>
      <c r="M1088" s="0" t="n">
        <f aca="false">IF(OR('Offshore - Brisbane'!E132="",ISNUMBER(SEARCH("BSB80120",'Offshore - Brisbane'!B132&amp;'Offshore - Brisbane'!N132)),ISNUMBER(SEARCH("Management (Learning)",'Offshore - Brisbane'!B132))),2,IF(ISNUMBER(SEARCH("CEK:",'Offshore - Brisbane'!N132)),1,0))</f>
        <v>0</v>
      </c>
    </row>
    <row r="1089" customFormat="false" ht="15" hidden="false" customHeight="false" outlineLevel="0" collapsed="false">
      <c r="A1089" s="61" t="s">
        <v>4234</v>
      </c>
      <c r="B1089" s="62"/>
      <c r="C1089" s="62"/>
      <c r="D1089" s="62"/>
      <c r="E1089" s="62"/>
      <c r="F1089" s="62"/>
      <c r="G1089" s="62"/>
      <c r="H1089" s="62"/>
      <c r="I1089" s="62"/>
    </row>
    <row r="1090" customFormat="false" ht="15" hidden="false" customHeight="false" outlineLevel="0" collapsed="false">
      <c r="A1090" s="63" t="s">
        <v>3718</v>
      </c>
      <c r="B1090" s="64" t="s">
        <v>4207</v>
      </c>
      <c r="C1090" s="63" t="s">
        <v>39</v>
      </c>
      <c r="D1090" s="64" t="str">
        <f aca="false">TRIM(LEFT('Offshore - Canberra'!A148,FIND(CHAR(10),'Offshore - Canberra'!A148&amp;CHAR(10))-1))</f>
        <v>Whitehouse International College</v>
      </c>
      <c r="E1090" s="63" t="str">
        <f aca="false">'Offshore - Canberra'!C148&amp;""</f>
        <v>1 year</v>
      </c>
      <c r="F1090" s="63" t="str">
        <f aca="false">IF('Offshore - Canberra'!D148="","Belum tercatat",'Offshore - Canberra'!D148)</f>
        <v>Term</v>
      </c>
      <c r="G1090" s="65" t="n">
        <f aca="false">IF('Offshore - Canberra'!E148="","-",'Offshore - Canberra'!E148)</f>
        <v>2750</v>
      </c>
      <c r="H1090" s="63" t="n">
        <f aca="false">IF(ISNUMBER(K1090),COUNTIFS($J$6:$J$1854,J1090,$K$6:$K$1854,"&lt;"&amp;K1090)+1,"-")</f>
        <v>1</v>
      </c>
      <c r="I1090" s="64" t="str">
        <f aca="false">IF('Offshore - Canberra'!E148="","Harga belum tersedia - hubungi konsultan TEG",IF(M1090=2,"Saat ini tidak menerima pendaftaran siswa internasional baru",IF(M1090=1,"Harga perlu dikonfirmasi ke sekolah"&amp;IF(""="","","; "&amp;""),"")))</f>
        <v>Harga perlu dikonfirmasi ke sekolah</v>
      </c>
      <c r="J1090" s="0" t="s">
        <v>4235</v>
      </c>
      <c r="K1090" s="0" t="n">
        <f aca="false">IF(M1090=2,"",IF(ISNUMBER(SEARCH("rata-rata:",'Offshore - Canberra'!N148)),VALUE(MID('Offshore - Canberra'!N148,SEARCH("rata-rata:",'Offshore - Canberra'!N148)+11,FIND(";",'Offshore - Canberra'!N148&amp;";",SEARCH("rata-rata:",'Offshore - Canberra'!N148))-SEARCH("rata-rata:",'Offshore - Canberra'!N148)-11)),IF('Offshore - Canberra'!D148="Semester",'Offshore - Canberra'!E148*2,IF('Offshore - Canberra'!D148="Trimester",'Offshore - Canberra'!E148*3,IF('Offshore - Canberra'!D148="Term",'Offshore - Canberra'!E148*4,IF('Offshore - Canberra'!D148="Unit",'Offshore - Canberra'!E148*8,""))))))</f>
        <v>11000</v>
      </c>
      <c r="L1090" s="0" t="n">
        <f aca="false">IF(AND(ISNUMBER('Offshore - Canberra'!E148),ISNUMBER(K1090),ISNUMBER('Offshore - Canberra'!F148),ISNUMBER('Offshore - Canberra'!G148),OR('Offshore - Canberra'!F148&lt;&gt;0,ISNUMBER(SEARCH("Material 0 terverifikasi",'Offshore - Canberra'!N148))),OR('Offshore - Canberra'!G148&lt;&gt;0,ISNUMBER(SEARCH("Enrolment 0 terverifikasi",'Offshore - Canberra'!N148)))),1,0)</f>
        <v>1</v>
      </c>
      <c r="M1090" s="0" t="n">
        <f aca="false">IF(OR('Offshore - Canberra'!E148="",ISNUMBER(SEARCH("BSB80120",'Offshore - Canberra'!B148&amp;'Offshore - Canberra'!N148)),ISNUMBER(SEARCH("Management (Learning)",'Offshore - Canberra'!B148))),2,IF(ISNUMBER(SEARCH("CEK:",'Offshore - Canberra'!N148)),1,0))</f>
        <v>1</v>
      </c>
    </row>
    <row r="1091" customFormat="false" ht="15" hidden="false" customHeight="false" outlineLevel="0" collapsed="false">
      <c r="A1091" s="61" t="s">
        <v>4236</v>
      </c>
      <c r="B1091" s="62"/>
      <c r="C1091" s="62"/>
      <c r="D1091" s="62"/>
      <c r="E1091" s="62"/>
      <c r="F1091" s="62"/>
      <c r="G1091" s="62"/>
      <c r="H1091" s="62"/>
      <c r="I1091" s="62"/>
    </row>
    <row r="1092" customFormat="false" ht="15" hidden="false" customHeight="false" outlineLevel="0" collapsed="false">
      <c r="A1092" s="63" t="s">
        <v>3718</v>
      </c>
      <c r="B1092" s="64" t="s">
        <v>4207</v>
      </c>
      <c r="C1092" s="63" t="s">
        <v>40</v>
      </c>
      <c r="D1092" s="64" t="str">
        <f aca="false">TRIM(LEFT('Offshore - Canberra'!A148,FIND(CHAR(10),'Offshore - Canberra'!A148&amp;CHAR(10))-1))</f>
        <v>Whitehouse International College</v>
      </c>
      <c r="E1092" s="63" t="str">
        <f aca="false">'Offshore - Canberra'!C149&amp;""</f>
        <v>1 year</v>
      </c>
      <c r="F1092" s="63" t="str">
        <f aca="false">IF('Offshore - Canberra'!D149="","Belum tercatat",'Offshore - Canberra'!D149)</f>
        <v>Term</v>
      </c>
      <c r="G1092" s="65" t="n">
        <f aca="false">IF('Offshore - Canberra'!E149="","-",'Offshore - Canberra'!E149)</f>
        <v>2750</v>
      </c>
      <c r="H1092" s="63" t="n">
        <f aca="false">IF(ISNUMBER(K1092),COUNTIFS($J$6:$J$1854,J1092,$K$6:$K$1854,"&lt;"&amp;K1092)+1,"-")</f>
        <v>1</v>
      </c>
      <c r="I1092" s="64" t="str">
        <f aca="false">IF('Offshore - Canberra'!E149="","Harga belum tersedia - hubungi konsultan TEG",IF(M1092=2,"Saat ini tidak menerima pendaftaran siswa internasional baru",IF(M1092=1,"Harga perlu dikonfirmasi ke sekolah"&amp;IF(""="","","; "&amp;""),"")))</f>
        <v/>
      </c>
      <c r="J1092" s="0" t="s">
        <v>4237</v>
      </c>
      <c r="K1092" s="0" t="n">
        <f aca="false">IF(M1092=2,"",IF(ISNUMBER(SEARCH("rata-rata:",'Offshore - Canberra'!N149)),VALUE(MID('Offshore - Canberra'!N149,SEARCH("rata-rata:",'Offshore - Canberra'!N149)+11,FIND(";",'Offshore - Canberra'!N149&amp;";",SEARCH("rata-rata:",'Offshore - Canberra'!N149))-SEARCH("rata-rata:",'Offshore - Canberra'!N149)-11)),IF('Offshore - Canberra'!D149="Semester",'Offshore - Canberra'!E149*2,IF('Offshore - Canberra'!D149="Trimester",'Offshore - Canberra'!E149*3,IF('Offshore - Canberra'!D149="Term",'Offshore - Canberra'!E149*4,IF('Offshore - Canberra'!D149="Unit",'Offshore - Canberra'!E149*8,""))))))</f>
        <v>11000</v>
      </c>
      <c r="L1092" s="0" t="n">
        <f aca="false">IF(AND(ISNUMBER('Offshore - Canberra'!E149),ISNUMBER(K1092),ISNUMBER('Offshore - Canberra'!F149),ISNUMBER('Offshore - Canberra'!G149),OR('Offshore - Canberra'!F149&lt;&gt;0,ISNUMBER(SEARCH("Material 0 terverifikasi",'Offshore - Canberra'!N149))),OR('Offshore - Canberra'!G149&lt;&gt;0,ISNUMBER(SEARCH("Enrolment 0 terverifikasi",'Offshore - Canberra'!N149)))),1,0)</f>
        <v>1</v>
      </c>
      <c r="M1092" s="0" t="n">
        <f aca="false">IF(OR('Offshore - Canberra'!E149="",ISNUMBER(SEARCH("BSB80120",'Offshore - Canberra'!B149&amp;'Offshore - Canberra'!N149)),ISNUMBER(SEARCH("Management (Learning)",'Offshore - Canberra'!B149))),2,IF(ISNUMBER(SEARCH("CEK:",'Offshore - Canberra'!N149)),1,0))</f>
        <v>0</v>
      </c>
    </row>
    <row r="1093" customFormat="false" ht="15" hidden="false" customHeight="false" outlineLevel="0" collapsed="false">
      <c r="A1093" s="61" t="s">
        <v>4238</v>
      </c>
      <c r="B1093" s="62"/>
      <c r="C1093" s="62"/>
      <c r="D1093" s="62"/>
      <c r="E1093" s="62"/>
      <c r="F1093" s="62"/>
      <c r="G1093" s="62"/>
      <c r="H1093" s="62"/>
      <c r="I1093" s="62"/>
    </row>
    <row r="1094" customFormat="false" ht="15" hidden="false" customHeight="false" outlineLevel="0" collapsed="false">
      <c r="A1094" s="63" t="s">
        <v>3718</v>
      </c>
      <c r="B1094" s="64" t="s">
        <v>4207</v>
      </c>
      <c r="C1094" s="63" t="s">
        <v>41</v>
      </c>
      <c r="D1094" s="64" t="str">
        <f aca="false">TRIM(LEFT('Offshore - Canberra'!A6,FIND(CHAR(10),'Offshore - Canberra'!A6&amp;CHAR(10))-1))</f>
        <v>Australian Catholic University (ACU)</v>
      </c>
      <c r="E1094" s="63" t="str">
        <f aca="false">'Offshore - Canberra'!C99&amp;""</f>
        <v>1 year</v>
      </c>
      <c r="F1094" s="63" t="str">
        <f aca="false">IF('Offshore - Canberra'!D99="","Belum tercatat",'Offshore - Canberra'!D99)</f>
        <v>Term</v>
      </c>
      <c r="G1094" s="65" t="n">
        <f aca="false">IF('Offshore - Canberra'!E99="","-",'Offshore - Canberra'!E99)</f>
        <v>7086</v>
      </c>
      <c r="H1094" s="63" t="n">
        <f aca="false">IF(ISNUMBER(K1094),COUNTIFS($J$6:$J$1854,J1094,$K$6:$K$1854,"&lt;"&amp;K1094)+1,"-")</f>
        <v>1</v>
      </c>
      <c r="I1094" s="64" t="str">
        <f aca="false">IF('Offshore - Canberra'!E99="","Harga belum tersedia - hubungi konsultan TEG",IF(M1094=2,"Saat ini tidak menerima pendaftaran siswa internasional baru",IF(M1094=1,"Harga perlu dikonfirmasi ke sekolah"&amp;IF(""="","","; "&amp;""),"")))</f>
        <v/>
      </c>
      <c r="J1094" s="0" t="s">
        <v>4239</v>
      </c>
      <c r="K1094" s="0" t="n">
        <f aca="false">IF(M1094=2,"",IF(ISNUMBER(SEARCH("rata-rata:",'Offshore - Canberra'!N99)),VALUE(MID('Offshore - Canberra'!N99,SEARCH("rata-rata:",'Offshore - Canberra'!N99)+11,FIND(";",'Offshore - Canberra'!N99&amp;";",SEARCH("rata-rata:",'Offshore - Canberra'!N99))-SEARCH("rata-rata:",'Offshore - Canberra'!N99)-11)),IF('Offshore - Canberra'!D99="Semester",'Offshore - Canberra'!E99*2,IF('Offshore - Canberra'!D99="Trimester",'Offshore - Canberra'!E99*3,IF('Offshore - Canberra'!D99="Term",'Offshore - Canberra'!E99*4,IF('Offshore - Canberra'!D99="Unit",'Offshore - Canberra'!E99*8,""))))))</f>
        <v>28344</v>
      </c>
      <c r="L1094" s="0" t="n">
        <f aca="false">IF(AND(ISNUMBER('Offshore - Canberra'!E99),ISNUMBER(K1094),ISNUMBER('Offshore - Canberra'!F99),ISNUMBER('Offshore - Canberra'!G99),OR('Offshore - Canberra'!F99&lt;&gt;0,ISNUMBER(SEARCH("Material 0 terverifikasi",'Offshore - Canberra'!N99))),OR('Offshore - Canberra'!G99&lt;&gt;0,ISNUMBER(SEARCH("Enrolment 0 terverifikasi",'Offshore - Canberra'!N99)))),1,0)</f>
        <v>0</v>
      </c>
      <c r="M1094" s="0" t="n">
        <f aca="false">IF(OR('Offshore - Canberra'!E99="",ISNUMBER(SEARCH("BSB80120",'Offshore - Canberra'!B99&amp;'Offshore - Canberra'!N99)),ISNUMBER(SEARCH("Management (Learning)",'Offshore - Canberra'!B99))),2,IF(ISNUMBER(SEARCH("CEK:",'Offshore - Canberra'!N99)),1,0))</f>
        <v>0</v>
      </c>
    </row>
    <row r="1095" customFormat="false" ht="15" hidden="false" customHeight="false" outlineLevel="0" collapsed="false">
      <c r="A1095" s="61" t="s">
        <v>4240</v>
      </c>
      <c r="B1095" s="62"/>
      <c r="C1095" s="62"/>
      <c r="D1095" s="62"/>
      <c r="E1095" s="62"/>
      <c r="F1095" s="62"/>
      <c r="G1095" s="62"/>
      <c r="H1095" s="62"/>
      <c r="I1095" s="62"/>
    </row>
    <row r="1096" customFormat="false" ht="15" hidden="false" customHeight="false" outlineLevel="0" collapsed="false">
      <c r="A1096" s="63" t="s">
        <v>3718</v>
      </c>
      <c r="B1096" s="64" t="s">
        <v>4207</v>
      </c>
      <c r="C1096" s="63" t="s">
        <v>43</v>
      </c>
      <c r="D1096" s="64" t="str">
        <f aca="false">TRIM(LEFT('Offshore - Canberra'!A6,FIND(CHAR(10),'Offshore - Canberra'!A6&amp;CHAR(10))-1))</f>
        <v>Australian Catholic University (ACU)</v>
      </c>
      <c r="E1096" s="63" t="str">
        <f aca="false">'Offshore - Canberra'!C66&amp;""</f>
        <v>3 years</v>
      </c>
      <c r="F1096" s="63" t="str">
        <f aca="false">IF('Offshore - Canberra'!D66="","Belum tercatat",'Offshore - Canberra'!D66)</f>
        <v>Term</v>
      </c>
      <c r="G1096" s="65" t="n">
        <f aca="false">IF('Offshore - Canberra'!E66="","-",'Offshore - Canberra'!E66)</f>
        <v>8098</v>
      </c>
      <c r="H1096" s="63" t="n">
        <f aca="false">IF(ISNUMBER(K1096),COUNTIFS($J$6:$J$1854,J1096,$K$6:$K$1854,"&lt;"&amp;K1096)+1,"-")</f>
        <v>1</v>
      </c>
      <c r="I1096" s="64" t="str">
        <f aca="false">IF('Offshore - Canberra'!E66="","Harga belum tersedia - hubungi konsultan TEG",IF(M1096=2,"Saat ini tidak menerima pendaftaran siswa internasional baru",IF(M1096=1,"Harga perlu dikonfirmasi ke sekolah"&amp;IF(""="","","; "&amp;""),"")))</f>
        <v/>
      </c>
      <c r="J1096" s="0" t="s">
        <v>4241</v>
      </c>
      <c r="K1096" s="0" t="n">
        <f aca="false">IF(M1096=2,"",IF(ISNUMBER(SEARCH("rata-rata:",'Offshore - Canberra'!N66)),VALUE(MID('Offshore - Canberra'!N66,SEARCH("rata-rata:",'Offshore - Canberra'!N66)+11,FIND(";",'Offshore - Canberra'!N66&amp;";",SEARCH("rata-rata:",'Offshore - Canberra'!N66))-SEARCH("rata-rata:",'Offshore - Canberra'!N66)-11)),IF('Offshore - Canberra'!D66="Semester",'Offshore - Canberra'!E66*2,IF('Offshore - Canberra'!D66="Trimester",'Offshore - Canberra'!E66*3,IF('Offshore - Canberra'!D66="Term",'Offshore - Canberra'!E66*4,IF('Offshore - Canberra'!D66="Unit",'Offshore - Canberra'!E66*8,""))))))</f>
        <v>32392</v>
      </c>
      <c r="L1096" s="0" t="n">
        <f aca="false">IF(AND(ISNUMBER('Offshore - Canberra'!E66),ISNUMBER(K1096),ISNUMBER('Offshore - Canberra'!F66),ISNUMBER('Offshore - Canberra'!G66),OR('Offshore - Canberra'!F66&lt;&gt;0,ISNUMBER(SEARCH("Material 0 terverifikasi",'Offshore - Canberra'!N66))),OR('Offshore - Canberra'!G66&lt;&gt;0,ISNUMBER(SEARCH("Enrolment 0 terverifikasi",'Offshore - Canberra'!N66)))),1,0)</f>
        <v>0</v>
      </c>
      <c r="M1096" s="0" t="n">
        <f aca="false">IF(OR('Offshore - Canberra'!E66="",ISNUMBER(SEARCH("BSB80120",'Offshore - Canberra'!B66&amp;'Offshore - Canberra'!N66)),ISNUMBER(SEARCH("Management (Learning)",'Offshore - Canberra'!B66))),2,IF(ISNUMBER(SEARCH("CEK:",'Offshore - Canberra'!N66)),1,0))</f>
        <v>0</v>
      </c>
    </row>
    <row r="1097" customFormat="false" ht="15" hidden="false" customHeight="false" outlineLevel="0" collapsed="false">
      <c r="A1097" s="61" t="s">
        <v>4242</v>
      </c>
      <c r="B1097" s="62"/>
      <c r="C1097" s="62"/>
      <c r="D1097" s="62"/>
      <c r="E1097" s="62"/>
      <c r="F1097" s="62"/>
      <c r="G1097" s="62"/>
      <c r="H1097" s="62"/>
      <c r="I1097" s="62"/>
    </row>
    <row r="1098" customFormat="false" ht="15" hidden="false" customHeight="false" outlineLevel="0" collapsed="false">
      <c r="A1098" s="63" t="s">
        <v>3718</v>
      </c>
      <c r="B1098" s="64" t="s">
        <v>4207</v>
      </c>
      <c r="C1098" s="63" t="s">
        <v>3707</v>
      </c>
      <c r="D1098" s="64" t="str">
        <f aca="false">TRIM(LEFT('Offshore - Canberra'!A6,FIND(CHAR(10),'Offshore - Canberra'!A6&amp;CHAR(10))-1))</f>
        <v>Australian Catholic University (ACU)</v>
      </c>
      <c r="E1098" s="63" t="str">
        <f aca="false">'Offshore - Canberra'!C84&amp;""</f>
        <v>1 year</v>
      </c>
      <c r="F1098" s="63" t="str">
        <f aca="false">IF('Offshore - Canberra'!D84="","Belum tercatat",'Offshore - Canberra'!D84)</f>
        <v>Term</v>
      </c>
      <c r="G1098" s="65" t="n">
        <f aca="false">IF('Offshore - Canberra'!E84="","-",'Offshore - Canberra'!E84)</f>
        <v>8018</v>
      </c>
      <c r="H1098" s="63" t="n">
        <f aca="false">IF(ISNUMBER(K1098),COUNTIFS($J$6:$J$1854,J1098,$K$6:$K$1854,"&lt;"&amp;K1098)+1,"-")</f>
        <v>1</v>
      </c>
      <c r="I1098" s="64" t="str">
        <f aca="false">IF('Offshore - Canberra'!E84="","Harga belum tersedia - hubungi konsultan TEG",IF(M1098=2,"Saat ini tidak menerima pendaftaran siswa internasional baru",IF(M1098=1,"Harga perlu dikonfirmasi ke sekolah"&amp;IF(""="","","; "&amp;""),"")))</f>
        <v/>
      </c>
      <c r="J1098" s="0" t="s">
        <v>4243</v>
      </c>
      <c r="K1098" s="0" t="n">
        <f aca="false">IF(M1098=2,"",IF(ISNUMBER(SEARCH("rata-rata:",'Offshore - Canberra'!N84)),VALUE(MID('Offshore - Canberra'!N84,SEARCH("rata-rata:",'Offshore - Canberra'!N84)+11,FIND(";",'Offshore - Canberra'!N84&amp;";",SEARCH("rata-rata:",'Offshore - Canberra'!N84))-SEARCH("rata-rata:",'Offshore - Canberra'!N84)-11)),IF('Offshore - Canberra'!D84="Semester",'Offshore - Canberra'!E84*2,IF('Offshore - Canberra'!D84="Trimester",'Offshore - Canberra'!E84*3,IF('Offshore - Canberra'!D84="Term",'Offshore - Canberra'!E84*4,IF('Offshore - Canberra'!D84="Unit",'Offshore - Canberra'!E84*8,""))))))</f>
        <v>32072</v>
      </c>
      <c r="L1098" s="0" t="n">
        <f aca="false">IF(AND(ISNUMBER('Offshore - Canberra'!E84),ISNUMBER(K1098),ISNUMBER('Offshore - Canberra'!F84),ISNUMBER('Offshore - Canberra'!G84),OR('Offshore - Canberra'!F84&lt;&gt;0,ISNUMBER(SEARCH("Material 0 terverifikasi",'Offshore - Canberra'!N84))),OR('Offshore - Canberra'!G84&lt;&gt;0,ISNUMBER(SEARCH("Enrolment 0 terverifikasi",'Offshore - Canberra'!N84)))),1,0)</f>
        <v>0</v>
      </c>
      <c r="M1098" s="0" t="n">
        <f aca="false">IF(OR('Offshore - Canberra'!E84="",ISNUMBER(SEARCH("BSB80120",'Offshore - Canberra'!B84&amp;'Offshore - Canberra'!N84)),ISNUMBER(SEARCH("Management (Learning)",'Offshore - Canberra'!B84))),2,IF(ISNUMBER(SEARCH("CEK:",'Offshore - Canberra'!N84)),1,0))</f>
        <v>0</v>
      </c>
    </row>
    <row r="1099" customFormat="false" ht="15" hidden="false" customHeight="false" outlineLevel="0" collapsed="false">
      <c r="A1099" s="61" t="s">
        <v>4244</v>
      </c>
      <c r="B1099" s="62"/>
      <c r="C1099" s="62"/>
      <c r="D1099" s="62"/>
      <c r="E1099" s="62"/>
      <c r="F1099" s="62"/>
      <c r="G1099" s="62"/>
      <c r="H1099" s="62"/>
      <c r="I1099" s="62"/>
    </row>
    <row r="1100" customFormat="false" ht="15" hidden="false" customHeight="false" outlineLevel="0" collapsed="false">
      <c r="A1100" s="63" t="s">
        <v>3718</v>
      </c>
      <c r="B1100" s="64" t="s">
        <v>4207</v>
      </c>
      <c r="C1100" s="63" t="s">
        <v>46</v>
      </c>
      <c r="D1100" s="64" t="str">
        <f aca="false">TRIM(LEFT('Offshore - Canberra'!A6,FIND(CHAR(10),'Offshore - Canberra'!A6&amp;CHAR(10))-1))</f>
        <v>Australian Catholic University (ACU)</v>
      </c>
      <c r="E1100" s="63" t="str">
        <f aca="false">'Offshore - Canberra'!C85&amp;""</f>
        <v>2 years</v>
      </c>
      <c r="F1100" s="63" t="str">
        <f aca="false">IF('Offshore - Canberra'!D85="","Belum tercatat",'Offshore - Canberra'!D85)</f>
        <v>Term</v>
      </c>
      <c r="G1100" s="65" t="n">
        <f aca="false">IF('Offshore - Canberra'!E85="","-",'Offshore - Canberra'!E85)</f>
        <v>8018</v>
      </c>
      <c r="H1100" s="63" t="n">
        <f aca="false">IF(ISNUMBER(K1100),COUNTIFS($J$6:$J$1854,J1100,$K$6:$K$1854,"&lt;"&amp;K1100)+1,"-")</f>
        <v>1</v>
      </c>
      <c r="I1100" s="64" t="str">
        <f aca="false">IF('Offshore - Canberra'!E85="","Harga belum tersedia - hubungi konsultan TEG",IF(M1100=2,"Saat ini tidak menerima pendaftaran siswa internasional baru",IF(M1100=1,"Harga perlu dikonfirmasi ke sekolah"&amp;IF(""="","","; "&amp;""),"")))</f>
        <v/>
      </c>
      <c r="J1100" s="0" t="s">
        <v>4245</v>
      </c>
      <c r="K1100" s="0" t="n">
        <f aca="false">IF(M1100=2,"",IF(ISNUMBER(SEARCH("rata-rata:",'Offshore - Canberra'!N85)),VALUE(MID('Offshore - Canberra'!N85,SEARCH("rata-rata:",'Offshore - Canberra'!N85)+11,FIND(";",'Offshore - Canberra'!N85&amp;";",SEARCH("rata-rata:",'Offshore - Canberra'!N85))-SEARCH("rata-rata:",'Offshore - Canberra'!N85)-11)),IF('Offshore - Canberra'!D85="Semester",'Offshore - Canberra'!E85*2,IF('Offshore - Canberra'!D85="Trimester",'Offshore - Canberra'!E85*3,IF('Offshore - Canberra'!D85="Term",'Offshore - Canberra'!E85*4,IF('Offshore - Canberra'!D85="Unit",'Offshore - Canberra'!E85*8,""))))))</f>
        <v>32072</v>
      </c>
      <c r="L1100" s="0" t="n">
        <f aca="false">IF(AND(ISNUMBER('Offshore - Canberra'!E85),ISNUMBER(K1100),ISNUMBER('Offshore - Canberra'!F85),ISNUMBER('Offshore - Canberra'!G85),OR('Offshore - Canberra'!F85&lt;&gt;0,ISNUMBER(SEARCH("Material 0 terverifikasi",'Offshore - Canberra'!N85))),OR('Offshore - Canberra'!G85&lt;&gt;0,ISNUMBER(SEARCH("Enrolment 0 terverifikasi",'Offshore - Canberra'!N85)))),1,0)</f>
        <v>0</v>
      </c>
      <c r="M1100" s="0" t="n">
        <f aca="false">IF(OR('Offshore - Canberra'!E85="",ISNUMBER(SEARCH("BSB80120",'Offshore - Canberra'!B85&amp;'Offshore - Canberra'!N85)),ISNUMBER(SEARCH("Management (Learning)",'Offshore - Canberra'!B85))),2,IF(ISNUMBER(SEARCH("CEK:",'Offshore - Canberra'!N85)),1,0))</f>
        <v>0</v>
      </c>
    </row>
    <row r="1101" customFormat="false" ht="15" hidden="false" customHeight="false" outlineLevel="0" collapsed="false">
      <c r="A1101" s="61" t="s">
        <v>4246</v>
      </c>
      <c r="B1101" s="62"/>
      <c r="C1101" s="62"/>
      <c r="D1101" s="62"/>
      <c r="E1101" s="62"/>
      <c r="F1101" s="62"/>
      <c r="G1101" s="62"/>
      <c r="H1101" s="62"/>
      <c r="I1101" s="62"/>
    </row>
    <row r="1102" customFormat="false" ht="15" hidden="false" customHeight="false" outlineLevel="0" collapsed="false">
      <c r="A1102" s="63" t="s">
        <v>3583</v>
      </c>
      <c r="B1102" s="64" t="s">
        <v>4207</v>
      </c>
      <c r="C1102" s="63" t="s">
        <v>41</v>
      </c>
      <c r="D1102" s="64" t="str">
        <f aca="false">TRIM(LEFT('Offshore - Darwin'!A20,FIND(CHAR(10),'Offshore - Darwin'!A20&amp;CHAR(10))-1))</f>
        <v>Charles Darwin University (CDU)</v>
      </c>
      <c r="E1102" s="63" t="str">
        <f aca="false">'Offshore - Darwin'!C113&amp;""</f>
        <v>1 year</v>
      </c>
      <c r="F1102" s="63" t="str">
        <f aca="false">IF('Offshore - Darwin'!D113="","Belum tercatat",'Offshore - Darwin'!D113)</f>
        <v>Term</v>
      </c>
      <c r="G1102" s="65" t="n">
        <f aca="false">IF('Offshore - Darwin'!E113="","-",'Offshore - Darwin'!E113)</f>
        <v>8302</v>
      </c>
      <c r="H1102" s="63" t="n">
        <f aca="false">IF(ISNUMBER(K1102),COUNTIFS($J$6:$J$1854,J1102,$K$6:$K$1854,"&lt;"&amp;K1102)+1,"-")</f>
        <v>1</v>
      </c>
      <c r="I1102" s="64" t="str">
        <f aca="false">IF('Offshore - Darwin'!E113="","Harga belum tersedia - hubungi konsultan TEG",IF(M1102=2,"Saat ini tidak menerima pendaftaran siswa internasional baru",IF(M1102=1,"Harga perlu dikonfirmasi ke sekolah"&amp;IF(""="","","; "&amp;""),"")))</f>
        <v/>
      </c>
      <c r="J1102" s="0" t="s">
        <v>4247</v>
      </c>
      <c r="K1102" s="0" t="n">
        <f aca="false">IF(M1102=2,"",IF(ISNUMBER(SEARCH("rata-rata:",'Offshore - Darwin'!N113)),VALUE(MID('Offshore - Darwin'!N113,SEARCH("rata-rata:",'Offshore - Darwin'!N113)+11,FIND(";",'Offshore - Darwin'!N113&amp;";",SEARCH("rata-rata:",'Offshore - Darwin'!N113))-SEARCH("rata-rata:",'Offshore - Darwin'!N113)-11)),IF('Offshore - Darwin'!D113="Semester",'Offshore - Darwin'!E113*2,IF('Offshore - Darwin'!D113="Trimester",'Offshore - Darwin'!E113*3,IF('Offshore - Darwin'!D113="Term",'Offshore - Darwin'!E113*4,IF('Offshore - Darwin'!D113="Unit",'Offshore - Darwin'!E113*8,""))))))</f>
        <v>33208</v>
      </c>
      <c r="L1102" s="0" t="n">
        <f aca="false">IF(AND(ISNUMBER('Offshore - Darwin'!E113),ISNUMBER(K1102),ISNUMBER('Offshore - Darwin'!F113),ISNUMBER('Offshore - Darwin'!G113),OR('Offshore - Darwin'!F113&lt;&gt;0,ISNUMBER(SEARCH("Material 0 terverifikasi",'Offshore - Darwin'!N113))),OR('Offshore - Darwin'!G113&lt;&gt;0,ISNUMBER(SEARCH("Enrolment 0 terverifikasi",'Offshore - Darwin'!N113)))),1,0)</f>
        <v>0</v>
      </c>
      <c r="M1102" s="0" t="n">
        <f aca="false">IF(OR('Offshore - Darwin'!E113="",ISNUMBER(SEARCH("BSB80120",'Offshore - Darwin'!B113&amp;'Offshore - Darwin'!N113)),ISNUMBER(SEARCH("Management (Learning)",'Offshore - Darwin'!B113))),2,IF(ISNUMBER(SEARCH("CEK:",'Offshore - Darwin'!N113)),1,0))</f>
        <v>0</v>
      </c>
    </row>
    <row r="1103" customFormat="false" ht="15" hidden="false" customHeight="false" outlineLevel="0" collapsed="false">
      <c r="A1103" s="61" t="s">
        <v>4248</v>
      </c>
      <c r="B1103" s="62"/>
      <c r="C1103" s="62"/>
      <c r="D1103" s="62"/>
      <c r="E1103" s="62"/>
      <c r="F1103" s="62"/>
      <c r="G1103" s="62"/>
      <c r="H1103" s="62"/>
      <c r="I1103" s="62"/>
    </row>
    <row r="1104" customFormat="false" ht="15" hidden="false" customHeight="false" outlineLevel="0" collapsed="false">
      <c r="A1104" s="63" t="s">
        <v>3583</v>
      </c>
      <c r="B1104" s="64" t="s">
        <v>4207</v>
      </c>
      <c r="C1104" s="63" t="s">
        <v>43</v>
      </c>
      <c r="D1104" s="64" t="str">
        <f aca="false">TRIM(LEFT('Offshore - Darwin'!A20,FIND(CHAR(10),'Offshore - Darwin'!A20&amp;CHAR(10))-1))</f>
        <v>Charles Darwin University (CDU)</v>
      </c>
      <c r="E1104" s="63" t="str">
        <f aca="false">'Offshore - Darwin'!C84&amp;""</f>
        <v>3 years</v>
      </c>
      <c r="F1104" s="63" t="str">
        <f aca="false">IF('Offshore - Darwin'!D84="","Belum tercatat",'Offshore - Darwin'!D84)</f>
        <v>Term</v>
      </c>
      <c r="G1104" s="65" t="n">
        <f aca="false">IF('Offshore - Darwin'!E84="","-",'Offshore - Darwin'!E84)</f>
        <v>7802</v>
      </c>
      <c r="H1104" s="63" t="n">
        <f aca="false">IF(ISNUMBER(K1104),COUNTIFS($J$6:$J$1854,J1104,$K$6:$K$1854,"&lt;"&amp;K1104)+1,"-")</f>
        <v>1</v>
      </c>
      <c r="I1104" s="64" t="str">
        <f aca="false">IF('Offshore - Darwin'!E84="","Harga belum tersedia - hubungi konsultan TEG",IF(M1104=2,"Saat ini tidak menerima pendaftaran siswa internasional baru",IF(M1104=1,"Harga perlu dikonfirmasi ke sekolah"&amp;IF(""="","","; "&amp;""),"")))</f>
        <v/>
      </c>
      <c r="J1104" s="0" t="s">
        <v>4249</v>
      </c>
      <c r="K1104" s="0" t="n">
        <f aca="false">IF(M1104=2,"",IF(ISNUMBER(SEARCH("rata-rata:",'Offshore - Darwin'!N84)),VALUE(MID('Offshore - Darwin'!N84,SEARCH("rata-rata:",'Offshore - Darwin'!N84)+11,FIND(";",'Offshore - Darwin'!N84&amp;";",SEARCH("rata-rata:",'Offshore - Darwin'!N84))-SEARCH("rata-rata:",'Offshore - Darwin'!N84)-11)),IF('Offshore - Darwin'!D84="Semester",'Offshore - Darwin'!E84*2,IF('Offshore - Darwin'!D84="Trimester",'Offshore - Darwin'!E84*3,IF('Offshore - Darwin'!D84="Term",'Offshore - Darwin'!E84*4,IF('Offshore - Darwin'!D84="Unit",'Offshore - Darwin'!E84*8,""))))))</f>
        <v>31208</v>
      </c>
      <c r="L1104" s="0" t="n">
        <f aca="false">IF(AND(ISNUMBER('Offshore - Darwin'!E84),ISNUMBER(K1104),ISNUMBER('Offshore - Darwin'!F84),ISNUMBER('Offshore - Darwin'!G84),OR('Offshore - Darwin'!F84&lt;&gt;0,ISNUMBER(SEARCH("Material 0 terverifikasi",'Offshore - Darwin'!N84))),OR('Offshore - Darwin'!G84&lt;&gt;0,ISNUMBER(SEARCH("Enrolment 0 terverifikasi",'Offshore - Darwin'!N84)))),1,0)</f>
        <v>0</v>
      </c>
      <c r="M1104" s="0" t="n">
        <f aca="false">IF(OR('Offshore - Darwin'!E84="",ISNUMBER(SEARCH("BSB80120",'Offshore - Darwin'!B84&amp;'Offshore - Darwin'!N84)),ISNUMBER(SEARCH("Management (Learning)",'Offshore - Darwin'!B84))),2,IF(ISNUMBER(SEARCH("CEK:",'Offshore - Darwin'!N84)),1,0))</f>
        <v>0</v>
      </c>
    </row>
    <row r="1105" customFormat="false" ht="15" hidden="false" customHeight="false" outlineLevel="0" collapsed="false">
      <c r="A1105" s="61" t="s">
        <v>4250</v>
      </c>
      <c r="B1105" s="62"/>
      <c r="C1105" s="62"/>
      <c r="D1105" s="62"/>
      <c r="E1105" s="62"/>
      <c r="F1105" s="62"/>
      <c r="G1105" s="62"/>
      <c r="H1105" s="62"/>
      <c r="I1105" s="62"/>
    </row>
    <row r="1106" customFormat="false" ht="15" hidden="false" customHeight="false" outlineLevel="0" collapsed="false">
      <c r="A1106" s="63" t="s">
        <v>3583</v>
      </c>
      <c r="B1106" s="64" t="s">
        <v>4207</v>
      </c>
      <c r="C1106" s="63" t="s">
        <v>3707</v>
      </c>
      <c r="D1106" s="64" t="str">
        <f aca="false">TRIM(LEFT('Offshore - Darwin'!A20,FIND(CHAR(10),'Offshore - Darwin'!A20&amp;CHAR(10))-1))</f>
        <v>Charles Darwin University (CDU)</v>
      </c>
      <c r="E1106" s="63" t="str">
        <f aca="false">'Offshore - Darwin'!C77&amp;""</f>
        <v>1 year</v>
      </c>
      <c r="F1106" s="63" t="str">
        <f aca="false">IF('Offshore - Darwin'!D77="","Belum tercatat",'Offshore - Darwin'!D77)</f>
        <v>Term</v>
      </c>
      <c r="G1106" s="65" t="n">
        <f aca="false">IF('Offshore - Darwin'!E77="","-",'Offshore - Darwin'!E77)</f>
        <v>8684</v>
      </c>
      <c r="H1106" s="63" t="n">
        <f aca="false">IF(ISNUMBER(K1106),COUNTIFS($J$6:$J$1854,J1106,$K$6:$K$1854,"&lt;"&amp;K1106)+1,"-")</f>
        <v>1</v>
      </c>
      <c r="I1106" s="64" t="str">
        <f aca="false">IF('Offshore - Darwin'!E77="","Harga belum tersedia - hubungi konsultan TEG",IF(M1106=2,"Saat ini tidak menerima pendaftaran siswa internasional baru",IF(M1106=1,"Harga perlu dikonfirmasi ke sekolah"&amp;IF(""="","","; "&amp;""),"")))</f>
        <v/>
      </c>
      <c r="J1106" s="0" t="s">
        <v>4251</v>
      </c>
      <c r="K1106" s="0" t="n">
        <f aca="false">IF(M1106=2,"",IF(ISNUMBER(SEARCH("rata-rata:",'Offshore - Darwin'!N77)),VALUE(MID('Offshore - Darwin'!N77,SEARCH("rata-rata:",'Offshore - Darwin'!N77)+11,FIND(";",'Offshore - Darwin'!N77&amp;";",SEARCH("rata-rata:",'Offshore - Darwin'!N77))-SEARCH("rata-rata:",'Offshore - Darwin'!N77)-11)),IF('Offshore - Darwin'!D77="Semester",'Offshore - Darwin'!E77*2,IF('Offshore - Darwin'!D77="Trimester",'Offshore - Darwin'!E77*3,IF('Offshore - Darwin'!D77="Term",'Offshore - Darwin'!E77*4,IF('Offshore - Darwin'!D77="Unit",'Offshore - Darwin'!E77*8,""))))))</f>
        <v>34736</v>
      </c>
      <c r="L1106" s="0" t="n">
        <f aca="false">IF(AND(ISNUMBER('Offshore - Darwin'!E77),ISNUMBER(K1106),ISNUMBER('Offshore - Darwin'!F77),ISNUMBER('Offshore - Darwin'!G77),OR('Offshore - Darwin'!F77&lt;&gt;0,ISNUMBER(SEARCH("Material 0 terverifikasi",'Offshore - Darwin'!N77))),OR('Offshore - Darwin'!G77&lt;&gt;0,ISNUMBER(SEARCH("Enrolment 0 terverifikasi",'Offshore - Darwin'!N77)))),1,0)</f>
        <v>0</v>
      </c>
      <c r="M1106" s="0" t="n">
        <f aca="false">IF(OR('Offshore - Darwin'!E77="",ISNUMBER(SEARCH("BSB80120",'Offshore - Darwin'!B77&amp;'Offshore - Darwin'!N77)),ISNUMBER(SEARCH("Management (Learning)",'Offshore - Darwin'!B77))),2,IF(ISNUMBER(SEARCH("CEK:",'Offshore - Darwin'!N77)),1,0))</f>
        <v>0</v>
      </c>
    </row>
    <row r="1107" customFormat="false" ht="15" hidden="false" customHeight="false" outlineLevel="0" collapsed="false">
      <c r="A1107" s="61" t="s">
        <v>4252</v>
      </c>
      <c r="B1107" s="62"/>
      <c r="C1107" s="62"/>
      <c r="D1107" s="62"/>
      <c r="E1107" s="62"/>
      <c r="F1107" s="62"/>
      <c r="G1107" s="62"/>
      <c r="H1107" s="62"/>
      <c r="I1107" s="62"/>
    </row>
    <row r="1108" customFormat="false" ht="15" hidden="false" customHeight="false" outlineLevel="0" collapsed="false">
      <c r="A1108" s="63" t="s">
        <v>3583</v>
      </c>
      <c r="B1108" s="64" t="s">
        <v>4207</v>
      </c>
      <c r="C1108" s="63" t="s">
        <v>46</v>
      </c>
      <c r="D1108" s="64" t="str">
        <f aca="false">TRIM(LEFT('Offshore - Darwin'!A20,FIND(CHAR(10),'Offshore - Darwin'!A20&amp;CHAR(10))-1))</f>
        <v>Charles Darwin University (CDU)</v>
      </c>
      <c r="E1108" s="63" t="str">
        <f aca="false">'Offshore - Darwin'!C87&amp;""</f>
        <v>1,5 years</v>
      </c>
      <c r="F1108" s="63" t="str">
        <f aca="false">IF('Offshore - Darwin'!D87="","Belum tercatat",'Offshore - Darwin'!D87)</f>
        <v>Term</v>
      </c>
      <c r="G1108" s="65" t="n">
        <f aca="false">IF('Offshore - Darwin'!E87="","-",'Offshore - Darwin'!E87)</f>
        <v>8684</v>
      </c>
      <c r="H1108" s="63" t="n">
        <f aca="false">IF(ISNUMBER(K1108),COUNTIFS($J$6:$J$1854,J1108,$K$6:$K$1854,"&lt;"&amp;K1108)+1,"-")</f>
        <v>1</v>
      </c>
      <c r="I1108" s="64" t="str">
        <f aca="false">IF('Offshore - Darwin'!E87="","Harga belum tersedia - hubungi konsultan TEG",IF(M1108=2,"Saat ini tidak menerima pendaftaran siswa internasional baru",IF(M1108=1,"Harga perlu dikonfirmasi ke sekolah"&amp;IF(""="","","; "&amp;""),"")))</f>
        <v/>
      </c>
      <c r="J1108" s="0" t="s">
        <v>4253</v>
      </c>
      <c r="K1108" s="0" t="n">
        <f aca="false">IF(M1108=2,"",IF(ISNUMBER(SEARCH("rata-rata:",'Offshore - Darwin'!N87)),VALUE(MID('Offshore - Darwin'!N87,SEARCH("rata-rata:",'Offshore - Darwin'!N87)+11,FIND(";",'Offshore - Darwin'!N87&amp;";",SEARCH("rata-rata:",'Offshore - Darwin'!N87))-SEARCH("rata-rata:",'Offshore - Darwin'!N87)-11)),IF('Offshore - Darwin'!D87="Semester",'Offshore - Darwin'!E87*2,IF('Offshore - Darwin'!D87="Trimester",'Offshore - Darwin'!E87*3,IF('Offshore - Darwin'!D87="Term",'Offshore - Darwin'!E87*4,IF('Offshore - Darwin'!D87="Unit",'Offshore - Darwin'!E87*8,""))))))</f>
        <v>34736</v>
      </c>
      <c r="L1108" s="0" t="n">
        <f aca="false">IF(AND(ISNUMBER('Offshore - Darwin'!E87),ISNUMBER(K1108),ISNUMBER('Offshore - Darwin'!F87),ISNUMBER('Offshore - Darwin'!G87),OR('Offshore - Darwin'!F87&lt;&gt;0,ISNUMBER(SEARCH("Material 0 terverifikasi",'Offshore - Darwin'!N87))),OR('Offshore - Darwin'!G87&lt;&gt;0,ISNUMBER(SEARCH("Enrolment 0 terverifikasi",'Offshore - Darwin'!N87)))),1,0)</f>
        <v>0</v>
      </c>
      <c r="M1108" s="0" t="n">
        <f aca="false">IF(OR('Offshore - Darwin'!E87="",ISNUMBER(SEARCH("BSB80120",'Offshore - Darwin'!B87&amp;'Offshore - Darwin'!N87)),ISNUMBER(SEARCH("Management (Learning)",'Offshore - Darwin'!B87))),2,IF(ISNUMBER(SEARCH("CEK:",'Offshore - Darwin'!N87)),1,0))</f>
        <v>0</v>
      </c>
    </row>
    <row r="1109" customFormat="false" ht="15" hidden="false" customHeight="false" outlineLevel="0" collapsed="false">
      <c r="A1109" s="61" t="s">
        <v>4254</v>
      </c>
      <c r="B1109" s="62"/>
      <c r="C1109" s="62"/>
      <c r="D1109" s="62"/>
      <c r="E1109" s="62"/>
      <c r="F1109" s="62"/>
      <c r="G1109" s="62"/>
      <c r="H1109" s="62"/>
      <c r="I1109" s="62"/>
    </row>
    <row r="1110" customFormat="false" ht="15" hidden="false" customHeight="false" outlineLevel="0" collapsed="false">
      <c r="A1110" s="63" t="s">
        <v>3583</v>
      </c>
      <c r="B1110" s="64" t="s">
        <v>4207</v>
      </c>
      <c r="C1110" s="63" t="s">
        <v>4222</v>
      </c>
      <c r="D1110" s="64" t="str">
        <f aca="false">TRIM(LEFT('Offshore - Darwin'!A20,FIND(CHAR(10),'Offshore - Darwin'!A20&amp;CHAR(10))-1))</f>
        <v>Charles Darwin University (CDU)</v>
      </c>
      <c r="E1110" s="63" t="str">
        <f aca="false">'Offshore - Darwin'!C108&amp;""</f>
        <v>2 years</v>
      </c>
      <c r="F1110" s="63" t="str">
        <f aca="false">IF('Offshore - Darwin'!D108="","Belum tercatat",'Offshore - Darwin'!D108)</f>
        <v>Term</v>
      </c>
      <c r="G1110" s="65" t="n">
        <f aca="false">IF('Offshore - Darwin'!E108="","-",'Offshore - Darwin'!E108)</f>
        <v>13028</v>
      </c>
      <c r="H1110" s="63" t="n">
        <f aca="false">IF(ISNUMBER(K1110),COUNTIFS($J$6:$J$1854,J1110,$K$6:$K$1854,"&lt;"&amp;K1110)+1,"-")</f>
        <v>1</v>
      </c>
      <c r="I1110" s="64" t="str">
        <f aca="false">IF('Offshore - Darwin'!E108="","Harga belum tersedia - hubungi konsultan TEG",IF(M1110=2,"Saat ini tidak menerima pendaftaran siswa internasional baru",IF(M1110=1,"Harga perlu dikonfirmasi ke sekolah"&amp;IF(""="","","; "&amp;""),"")))</f>
        <v/>
      </c>
      <c r="J1110" s="0" t="s">
        <v>4255</v>
      </c>
      <c r="K1110" s="0" t="n">
        <f aca="false">IF(M1110=2,"",IF(ISNUMBER(SEARCH("rata-rata:",'Offshore - Darwin'!N108)),VALUE(MID('Offshore - Darwin'!N108,SEARCH("rata-rata:",'Offshore - Darwin'!N108)+11,FIND(";",'Offshore - Darwin'!N108&amp;";",SEARCH("rata-rata:",'Offshore - Darwin'!N108))-SEARCH("rata-rata:",'Offshore - Darwin'!N108)-11)),IF('Offshore - Darwin'!D108="Semester",'Offshore - Darwin'!E108*2,IF('Offshore - Darwin'!D108="Trimester",'Offshore - Darwin'!E108*3,IF('Offshore - Darwin'!D108="Term",'Offshore - Darwin'!E108*4,IF('Offshore - Darwin'!D108="Unit",'Offshore - Darwin'!E108*8,""))))))</f>
        <v>52112</v>
      </c>
      <c r="L1110" s="0" t="n">
        <f aca="false">IF(AND(ISNUMBER('Offshore - Darwin'!E108),ISNUMBER(K1110),ISNUMBER('Offshore - Darwin'!F108),ISNUMBER('Offshore - Darwin'!G108),OR('Offshore - Darwin'!F108&lt;&gt;0,ISNUMBER(SEARCH("Material 0 terverifikasi",'Offshore - Darwin'!N108))),OR('Offshore - Darwin'!G108&lt;&gt;0,ISNUMBER(SEARCH("Enrolment 0 terverifikasi",'Offshore - Darwin'!N108)))),1,0)</f>
        <v>0</v>
      </c>
      <c r="M1110" s="0" t="n">
        <f aca="false">IF(OR('Offshore - Darwin'!E108="",ISNUMBER(SEARCH("BSB80120",'Offshore - Darwin'!B108&amp;'Offshore - Darwin'!N108)),ISNUMBER(SEARCH("Management (Learning)",'Offshore - Darwin'!B108))),2,IF(ISNUMBER(SEARCH("CEK:",'Offshore - Darwin'!N108)),1,0))</f>
        <v>0</v>
      </c>
    </row>
    <row r="1111" customFormat="false" ht="15" hidden="false" customHeight="false" outlineLevel="0" collapsed="false">
      <c r="A1111" s="61" t="s">
        <v>4256</v>
      </c>
      <c r="B1111" s="62"/>
      <c r="C1111" s="62"/>
      <c r="D1111" s="62"/>
      <c r="E1111" s="62"/>
      <c r="F1111" s="62"/>
      <c r="G1111" s="62"/>
      <c r="H1111" s="62"/>
      <c r="I1111" s="62"/>
    </row>
    <row r="1112" customFormat="false" ht="15" hidden="false" customHeight="false" outlineLevel="0" collapsed="false">
      <c r="A1112" s="63" t="s">
        <v>3544</v>
      </c>
      <c r="B1112" s="64" t="s">
        <v>4207</v>
      </c>
      <c r="C1112" s="63" t="s">
        <v>39</v>
      </c>
      <c r="D1112" s="64" t="str">
        <f aca="false">TRIM(LEFT('Offshore - Melbourne'!A398,FIND(CHAR(10),'Offshore - Melbourne'!A398&amp;CHAR(10))-1))</f>
        <v>Signet Institute of Australia</v>
      </c>
      <c r="E1112" s="63" t="str">
        <f aca="false">'Offshore - Melbourne'!C408&amp;""</f>
        <v>0,5 year</v>
      </c>
      <c r="F1112" s="63" t="str">
        <f aca="false">IF('Offshore - Melbourne'!D408="","Belum tercatat",'Offshore - Melbourne'!D408)</f>
        <v>Term</v>
      </c>
      <c r="G1112" s="65" t="n">
        <f aca="false">IF('Offshore - Melbourne'!E408="","-",'Offshore - Melbourne'!E408)</f>
        <v>3500</v>
      </c>
      <c r="H1112" s="63" t="n">
        <f aca="false">IF(ISNUMBER(K1112),COUNTIFS($J$6:$J$1854,J1112,$K$6:$K$1854,"&lt;"&amp;K1112)+1,"-")</f>
        <v>1</v>
      </c>
      <c r="I1112" s="64" t="str">
        <f aca="false">IF('Offshore - Melbourne'!E408="","Harga belum tersedia - hubungi konsultan TEG",IF(M1112=2,"Saat ini tidak menerima pendaftaran siswa internasional baru",IF(M1112=1,"Harga perlu dikonfirmasi ke sekolah"&amp;IF(""="","","; "&amp;""),"")))</f>
        <v/>
      </c>
      <c r="J1112" s="0" t="s">
        <v>4257</v>
      </c>
      <c r="K1112" s="0" t="n">
        <f aca="false">IF(M1112=2,"",IF(ISNUMBER(SEARCH("rata-rata:",'Offshore - Melbourne'!N408)),VALUE(MID('Offshore - Melbourne'!N408,SEARCH("rata-rata:",'Offshore - Melbourne'!N408)+11,FIND(";",'Offshore - Melbourne'!N408&amp;";",SEARCH("rata-rata:",'Offshore - Melbourne'!N408))-SEARCH("rata-rata:",'Offshore - Melbourne'!N408)-11)),IF('Offshore - Melbourne'!D408="Semester",'Offshore - Melbourne'!E408*2,IF('Offshore - Melbourne'!D408="Trimester",'Offshore - Melbourne'!E408*3,IF('Offshore - Melbourne'!D408="Term",'Offshore - Melbourne'!E408*4,IF('Offshore - Melbourne'!D408="Unit",'Offshore - Melbourne'!E408*8,""))))))</f>
        <v>14000</v>
      </c>
      <c r="L1112" s="0" t="n">
        <f aca="false">IF(AND(ISNUMBER('Offshore - Melbourne'!E408),ISNUMBER(K1112),ISNUMBER('Offshore - Melbourne'!F408),ISNUMBER('Offshore - Melbourne'!G408),OR('Offshore - Melbourne'!F408&lt;&gt;0,ISNUMBER(SEARCH("Material 0 terverifikasi",'Offshore - Melbourne'!N408))),OR('Offshore - Melbourne'!G408&lt;&gt;0,ISNUMBER(SEARCH("Enrolment 0 terverifikasi",'Offshore - Melbourne'!N408)))),1,0)</f>
        <v>0</v>
      </c>
      <c r="M1112" s="0" t="n">
        <f aca="false">IF(OR('Offshore - Melbourne'!E408="",ISNUMBER(SEARCH("BSB80120",'Offshore - Melbourne'!B408&amp;'Offshore - Melbourne'!N408)),ISNUMBER(SEARCH("Management (Learning)",'Offshore - Melbourne'!B408))),2,IF(ISNUMBER(SEARCH("CEK:",'Offshore - Melbourne'!N408)),1,0))</f>
        <v>0</v>
      </c>
    </row>
    <row r="1113" customFormat="false" ht="15" hidden="false" customHeight="false" outlineLevel="0" collapsed="false">
      <c r="A1113" s="61" t="s">
        <v>4258</v>
      </c>
      <c r="B1113" s="62"/>
      <c r="C1113" s="62"/>
      <c r="D1113" s="62"/>
      <c r="E1113" s="62"/>
      <c r="F1113" s="62"/>
      <c r="G1113" s="62"/>
      <c r="H1113" s="62"/>
      <c r="I1113" s="62"/>
    </row>
    <row r="1114" customFormat="false" ht="15" hidden="false" customHeight="false" outlineLevel="0" collapsed="false">
      <c r="A1114" s="63" t="s">
        <v>3544</v>
      </c>
      <c r="B1114" s="64" t="s">
        <v>4207</v>
      </c>
      <c r="C1114" s="63" t="s">
        <v>40</v>
      </c>
      <c r="D1114" s="64" t="str">
        <f aca="false">TRIM(LEFT('Offshore - Melbourne'!A263,FIND(CHAR(10),'Offshore - Melbourne'!A263&amp;CHAR(10))-1))</f>
        <v>Greenwich College</v>
      </c>
      <c r="E1114" s="63" t="str">
        <f aca="false">'Offshore - Melbourne'!C276&amp;""</f>
        <v>84 weeks</v>
      </c>
      <c r="F1114" s="63" t="str">
        <f aca="false">IF('Offshore - Melbourne'!D276="","Belum tercatat",'Offshore - Melbourne'!D276)</f>
        <v>Term</v>
      </c>
      <c r="G1114" s="65" t="n">
        <f aca="false">IF('Offshore - Melbourne'!E276="","-",'Offshore - Melbourne'!E276)</f>
        <v>1600</v>
      </c>
      <c r="H1114" s="63" t="n">
        <f aca="false">IF(ISNUMBER(K1114),COUNTIFS($J$6:$J$1854,J1114,$K$6:$K$1854,"&lt;"&amp;K1114)+1,"-")</f>
        <v>1</v>
      </c>
      <c r="I1114" s="64" t="str">
        <f aca="false">IF('Offshore - Melbourne'!E276="","Harga belum tersedia - hubungi konsultan TEG",IF(M1114=2,"Saat ini tidak menerima pendaftaran siswa internasional baru",IF(M1114=1,"Harga perlu dikonfirmasi ke sekolah"&amp;IF(""="","","; "&amp;""),"")))</f>
        <v/>
      </c>
      <c r="J1114" s="0" t="s">
        <v>4259</v>
      </c>
      <c r="K1114" s="0" t="n">
        <f aca="false">IF(M1114=2,"",IF(ISNUMBER(SEARCH("rata-rata:",'Offshore - Melbourne'!N276)),VALUE(MID('Offshore - Melbourne'!N276,SEARCH("rata-rata:",'Offshore - Melbourne'!N276)+11,FIND(";",'Offshore - Melbourne'!N276&amp;";",SEARCH("rata-rata:",'Offshore - Melbourne'!N276))-SEARCH("rata-rata:",'Offshore - Melbourne'!N276)-11)),IF('Offshore - Melbourne'!D276="Semester",'Offshore - Melbourne'!E276*2,IF('Offshore - Melbourne'!D276="Trimester",'Offshore - Melbourne'!E276*3,IF('Offshore - Melbourne'!D276="Term",'Offshore - Melbourne'!E276*4,IF('Offshore - Melbourne'!D276="Unit",'Offshore - Melbourne'!E276*8,""))))))</f>
        <v>6400</v>
      </c>
      <c r="L1114" s="0" t="n">
        <f aca="false">IF(AND(ISNUMBER('Offshore - Melbourne'!E276),ISNUMBER(K1114),ISNUMBER('Offshore - Melbourne'!F276),ISNUMBER('Offshore - Melbourne'!G276),OR('Offshore - Melbourne'!F276&lt;&gt;0,ISNUMBER(SEARCH("Material 0 terverifikasi",'Offshore - Melbourne'!N276))),OR('Offshore - Melbourne'!G276&lt;&gt;0,ISNUMBER(SEARCH("Enrolment 0 terverifikasi",'Offshore - Melbourne'!N276)))),1,0)</f>
        <v>1</v>
      </c>
      <c r="M1114" s="0" t="n">
        <f aca="false">IF(OR('Offshore - Melbourne'!E276="",ISNUMBER(SEARCH("BSB80120",'Offshore - Melbourne'!B276&amp;'Offshore - Melbourne'!N276)),ISNUMBER(SEARCH("Management (Learning)",'Offshore - Melbourne'!B276))),2,IF(ISNUMBER(SEARCH("CEK:",'Offshore - Melbourne'!N276)),1,0))</f>
        <v>0</v>
      </c>
    </row>
    <row r="1115" customFormat="false" ht="15" hidden="false" customHeight="false" outlineLevel="0" collapsed="false">
      <c r="A1115" s="63" t="s">
        <v>3544</v>
      </c>
      <c r="B1115" s="64" t="s">
        <v>4207</v>
      </c>
      <c r="C1115" s="63" t="s">
        <v>40</v>
      </c>
      <c r="D1115" s="64" t="str">
        <f aca="false">TRIM(LEFT('Offshore - Melbourne'!A61,FIND(CHAR(10),'Offshore - Melbourne'!A61&amp;CHAR(10))-1))</f>
        <v>Allied Institute</v>
      </c>
      <c r="E1115" s="63" t="str">
        <f aca="false">'Offshore - Melbourne'!C61&amp;""</f>
        <v>2 years</v>
      </c>
      <c r="F1115" s="63" t="str">
        <f aca="false">IF('Offshore - Melbourne'!D61="","Belum tercatat",'Offshore - Melbourne'!D61)</f>
        <v>Term</v>
      </c>
      <c r="G1115" s="65" t="n">
        <f aca="false">IF('Offshore - Melbourne'!E61="","-",'Offshore - Melbourne'!E61)</f>
        <v>1875</v>
      </c>
      <c r="H1115" s="63" t="n">
        <f aca="false">IF(ISNUMBER(K1115),COUNTIFS($J$6:$J$1854,J1115,$K$6:$K$1854,"&lt;"&amp;K1115)+1,"-")</f>
        <v>2</v>
      </c>
      <c r="I1115" s="64" t="str">
        <f aca="false">IF('Offshore - Melbourne'!E61="","Harga belum tersedia - hubungi konsultan TEG",IF(M1115=2,"Saat ini tidak menerima pendaftaran siswa internasional baru",IF(M1115=1,"Harga perlu dikonfirmasi ke sekolah"&amp;IF(""="","","; "&amp;""),"")))</f>
        <v>Harga perlu dikonfirmasi ke sekolah</v>
      </c>
      <c r="J1115" s="0" t="s">
        <v>4259</v>
      </c>
      <c r="K1115" s="0" t="n">
        <f aca="false">IF(M1115=2,"",IF(ISNUMBER(SEARCH("rata-rata:",'Offshore - Melbourne'!N61)),VALUE(MID('Offshore - Melbourne'!N61,SEARCH("rata-rata:",'Offshore - Melbourne'!N61)+11,FIND(";",'Offshore - Melbourne'!N61&amp;";",SEARCH("rata-rata:",'Offshore - Melbourne'!N61))-SEARCH("rata-rata:",'Offshore - Melbourne'!N61)-11)),IF('Offshore - Melbourne'!D61="Semester",'Offshore - Melbourne'!E61*2,IF('Offshore - Melbourne'!D61="Trimester",'Offshore - Melbourne'!E61*3,IF('Offshore - Melbourne'!D61="Term",'Offshore - Melbourne'!E61*4,IF('Offshore - Melbourne'!D61="Unit",'Offshore - Melbourne'!E61*8,""))))))</f>
        <v>7500</v>
      </c>
      <c r="L1115" s="0" t="n">
        <f aca="false">IF(AND(ISNUMBER('Offshore - Melbourne'!E61),ISNUMBER(K1115),ISNUMBER('Offshore - Melbourne'!F61),ISNUMBER('Offshore - Melbourne'!G61),OR('Offshore - Melbourne'!F61&lt;&gt;0,ISNUMBER(SEARCH("Material 0 terverifikasi",'Offshore - Melbourne'!N61))),OR('Offshore - Melbourne'!G61&lt;&gt;0,ISNUMBER(SEARCH("Enrolment 0 terverifikasi",'Offshore - Melbourne'!N61)))),1,0)</f>
        <v>1</v>
      </c>
      <c r="M1115" s="0" t="n">
        <f aca="false">IF(OR('Offshore - Melbourne'!E61="",ISNUMBER(SEARCH("BSB80120",'Offshore - Melbourne'!B61&amp;'Offshore - Melbourne'!N61)),ISNUMBER(SEARCH("Management (Learning)",'Offshore - Melbourne'!B61))),2,IF(ISNUMBER(SEARCH("CEK:",'Offshore - Melbourne'!N61)),1,0))</f>
        <v>1</v>
      </c>
    </row>
    <row r="1116" customFormat="false" ht="15" hidden="false" customHeight="false" outlineLevel="0" collapsed="false">
      <c r="A1116" s="63" t="s">
        <v>3544</v>
      </c>
      <c r="B1116" s="64" t="s">
        <v>4207</v>
      </c>
      <c r="C1116" s="63" t="s">
        <v>40</v>
      </c>
      <c r="D1116" s="64" t="str">
        <f aca="false">TRIM(LEFT('Offshore - Melbourne'!A339,FIND(CHAR(10),'Offshore - Melbourne'!A339&amp;CHAR(10))-1))</f>
        <v>Melbourne Metro College</v>
      </c>
      <c r="E1116" s="63" t="str">
        <f aca="false">'Offshore - Melbourne'!C341&amp;""</f>
        <v>2 years</v>
      </c>
      <c r="F1116" s="63" t="str">
        <f aca="false">IF('Offshore - Melbourne'!D341="","Belum tercatat",'Offshore - Melbourne'!D341)</f>
        <v>Term</v>
      </c>
      <c r="G1116" s="65" t="n">
        <f aca="false">IF('Offshore - Melbourne'!E341="","-",'Offshore - Melbourne'!E341)</f>
        <v>2875</v>
      </c>
      <c r="H1116" s="63" t="n">
        <f aca="false">IF(ISNUMBER(K1116),COUNTIFS($J$6:$J$1854,J1116,$K$6:$K$1854,"&lt;"&amp;K1116)+1,"-")</f>
        <v>3</v>
      </c>
      <c r="I1116" s="64" t="str">
        <f aca="false">IF('Offshore - Melbourne'!E341="","Harga belum tersedia - hubungi konsultan TEG",IF(M1116=2,"Saat ini tidak menerima pendaftaran siswa internasional baru",IF(M1116=1,"Harga perlu dikonfirmasi ke sekolah"&amp;IF(""="","","; "&amp;""),"")))</f>
        <v/>
      </c>
      <c r="J1116" s="0" t="s">
        <v>4259</v>
      </c>
      <c r="K1116" s="0" t="n">
        <f aca="false">IF(M1116=2,"",IF(ISNUMBER(SEARCH("rata-rata:",'Offshore - Melbourne'!N341)),VALUE(MID('Offshore - Melbourne'!N341,SEARCH("rata-rata:",'Offshore - Melbourne'!N341)+11,FIND(";",'Offshore - Melbourne'!N341&amp;";",SEARCH("rata-rata:",'Offshore - Melbourne'!N341))-SEARCH("rata-rata:",'Offshore - Melbourne'!N341)-11)),IF('Offshore - Melbourne'!D341="Semester",'Offshore - Melbourne'!E341*2,IF('Offshore - Melbourne'!D341="Trimester",'Offshore - Melbourne'!E341*3,IF('Offshore - Melbourne'!D341="Term",'Offshore - Melbourne'!E341*4,IF('Offshore - Melbourne'!D341="Unit",'Offshore - Melbourne'!E341*8,""))))))</f>
        <v>11500</v>
      </c>
      <c r="L1116" s="0" t="n">
        <f aca="false">IF(AND(ISNUMBER('Offshore - Melbourne'!E341),ISNUMBER(K1116),ISNUMBER('Offshore - Melbourne'!F341),ISNUMBER('Offshore - Melbourne'!G341),OR('Offshore - Melbourne'!F341&lt;&gt;0,ISNUMBER(SEARCH("Material 0 terverifikasi",'Offshore - Melbourne'!N341))),OR('Offshore - Melbourne'!G341&lt;&gt;0,ISNUMBER(SEARCH("Enrolment 0 terverifikasi",'Offshore - Melbourne'!N341)))),1,0)</f>
        <v>1</v>
      </c>
      <c r="M1116" s="0" t="n">
        <f aca="false">IF(OR('Offshore - Melbourne'!E341="",ISNUMBER(SEARCH("BSB80120",'Offshore - Melbourne'!B341&amp;'Offshore - Melbourne'!N341)),ISNUMBER(SEARCH("Management (Learning)",'Offshore - Melbourne'!B341))),2,IF(ISNUMBER(SEARCH("CEK:",'Offshore - Melbourne'!N341)),1,0))</f>
        <v>0</v>
      </c>
    </row>
    <row r="1117" customFormat="false" ht="15" hidden="false" customHeight="false" outlineLevel="0" collapsed="false">
      <c r="A1117" s="63" t="s">
        <v>3544</v>
      </c>
      <c r="B1117" s="64" t="s">
        <v>4207</v>
      </c>
      <c r="C1117" s="63" t="s">
        <v>40</v>
      </c>
      <c r="D1117" s="64" t="str">
        <f aca="false">TRIM(LEFT('Offshore - Melbourne'!A206,FIND(CHAR(10),'Offshore - Melbourne'!A206&amp;CHAR(10))-1))</f>
        <v>Australian Sovereign College (AuSC)</v>
      </c>
      <c r="E1117" s="63" t="str">
        <f aca="false">'Offshore - Melbourne'!C206&amp;""</f>
        <v>2 years</v>
      </c>
      <c r="F1117" s="63" t="str">
        <f aca="false">IF('Offshore - Melbourne'!D206="","Belum tercatat",'Offshore - Melbourne'!D206)</f>
        <v>Term</v>
      </c>
      <c r="G1117" s="65" t="n">
        <f aca="false">IF('Offshore - Melbourne'!E206="","-",'Offshore - Melbourne'!E206)</f>
        <v>3450</v>
      </c>
      <c r="H1117" s="63" t="n">
        <f aca="false">IF(ISNUMBER(K1117),COUNTIFS($J$6:$J$1854,J1117,$K$6:$K$1854,"&lt;"&amp;K1117)+1,"-")</f>
        <v>4</v>
      </c>
      <c r="I1117" s="64" t="str">
        <f aca="false">IF('Offshore - Melbourne'!E206="","Harga belum tersedia - hubungi konsultan TEG",IF(M1117=2,"Saat ini tidak menerima pendaftaran siswa internasional baru",IF(M1117=1,"Harga perlu dikonfirmasi ke sekolah"&amp;IF(""="","","; "&amp;""),"")))</f>
        <v/>
      </c>
      <c r="J1117" s="0" t="s">
        <v>4259</v>
      </c>
      <c r="K1117" s="0" t="n">
        <f aca="false">IF(M1117=2,"",IF(ISNUMBER(SEARCH("rata-rata:",'Offshore - Melbourne'!N206)),VALUE(MID('Offshore - Melbourne'!N206,SEARCH("rata-rata:",'Offshore - Melbourne'!N206)+11,FIND(";",'Offshore - Melbourne'!N206&amp;";",SEARCH("rata-rata:",'Offshore - Melbourne'!N206))-SEARCH("rata-rata:",'Offshore - Melbourne'!N206)-11)),IF('Offshore - Melbourne'!D206="Semester",'Offshore - Melbourne'!E206*2,IF('Offshore - Melbourne'!D206="Trimester",'Offshore - Melbourne'!E206*3,IF('Offshore - Melbourne'!D206="Term",'Offshore - Melbourne'!E206*4,IF('Offshore - Melbourne'!D206="Unit",'Offshore - Melbourne'!E206*8,""))))))</f>
        <v>13800</v>
      </c>
      <c r="L1117" s="0" t="n">
        <f aca="false">IF(AND(ISNUMBER('Offshore - Melbourne'!E206),ISNUMBER(K1117),ISNUMBER('Offshore - Melbourne'!F206),ISNUMBER('Offshore - Melbourne'!G206),OR('Offshore - Melbourne'!F206&lt;&gt;0,ISNUMBER(SEARCH("Material 0 terverifikasi",'Offshore - Melbourne'!N206))),OR('Offshore - Melbourne'!G206&lt;&gt;0,ISNUMBER(SEARCH("Enrolment 0 terverifikasi",'Offshore - Melbourne'!N206)))),1,0)</f>
        <v>1</v>
      </c>
      <c r="M1117" s="0" t="n">
        <f aca="false">IF(OR('Offshore - Melbourne'!E206="",ISNUMBER(SEARCH("BSB80120",'Offshore - Melbourne'!B206&amp;'Offshore - Melbourne'!N206)),ISNUMBER(SEARCH("Management (Learning)",'Offshore - Melbourne'!B206))),2,IF(ISNUMBER(SEARCH("CEK:",'Offshore - Melbourne'!N206)),1,0))</f>
        <v>0</v>
      </c>
    </row>
    <row r="1118" customFormat="false" ht="15" hidden="false" customHeight="false" outlineLevel="0" collapsed="false">
      <c r="A1118" s="61" t="s">
        <v>4260</v>
      </c>
      <c r="B1118" s="62"/>
      <c r="C1118" s="62"/>
      <c r="D1118" s="62"/>
      <c r="E1118" s="62"/>
      <c r="F1118" s="62"/>
      <c r="G1118" s="62"/>
      <c r="H1118" s="62"/>
      <c r="I1118" s="62"/>
    </row>
    <row r="1119" customFormat="false" ht="15" hidden="false" customHeight="false" outlineLevel="0" collapsed="false">
      <c r="A1119" s="63" t="s">
        <v>3544</v>
      </c>
      <c r="B1119" s="64" t="s">
        <v>4207</v>
      </c>
      <c r="C1119" s="63" t="s">
        <v>41</v>
      </c>
      <c r="D1119" s="64" t="str">
        <f aca="false">TRIM(LEFT('Offshore - Melbourne'!A398,FIND(CHAR(10),'Offshore - Melbourne'!A398&amp;CHAR(10))-1))</f>
        <v>Signet Institute of Australia</v>
      </c>
      <c r="E1119" s="63" t="str">
        <f aca="false">'Offshore - Melbourne'!C407&amp;""</f>
        <v>4 years</v>
      </c>
      <c r="F1119" s="63" t="str">
        <f aca="false">IF('Offshore - Melbourne'!D407="","Belum tercatat",'Offshore - Melbourne'!D407)</f>
        <v>Term</v>
      </c>
      <c r="G1119" s="65" t="n">
        <f aca="false">IF('Offshore - Melbourne'!E407="","-",'Offshore - Melbourne'!E407)</f>
        <v>1800</v>
      </c>
      <c r="H1119" s="63" t="n">
        <f aca="false">IF(ISNUMBER(K1119),COUNTIFS($J$6:$J$1854,J1119,$K$6:$K$1854,"&lt;"&amp;K1119)+1,"-")</f>
        <v>1</v>
      </c>
      <c r="I1119" s="64" t="str">
        <f aca="false">IF('Offshore - Melbourne'!E407="","Harga belum tersedia - hubungi konsultan TEG",IF(M1119=2,"Saat ini tidak menerima pendaftaran siswa internasional baru",IF(M1119=1,"Harga perlu dikonfirmasi ke sekolah"&amp;IF(""="","","; "&amp;""),"")))</f>
        <v/>
      </c>
      <c r="J1119" s="0" t="s">
        <v>4261</v>
      </c>
      <c r="K1119" s="0" t="n">
        <f aca="false">IF(M1119=2,"",IF(ISNUMBER(SEARCH("rata-rata:",'Offshore - Melbourne'!N407)),VALUE(MID('Offshore - Melbourne'!N407,SEARCH("rata-rata:",'Offshore - Melbourne'!N407)+11,FIND(";",'Offshore - Melbourne'!N407&amp;";",SEARCH("rata-rata:",'Offshore - Melbourne'!N407))-SEARCH("rata-rata:",'Offshore - Melbourne'!N407)-11)),IF('Offshore - Melbourne'!D407="Semester",'Offshore - Melbourne'!E407*2,IF('Offshore - Melbourne'!D407="Trimester",'Offshore - Melbourne'!E407*3,IF('Offshore - Melbourne'!D407="Term",'Offshore - Melbourne'!E407*4,IF('Offshore - Melbourne'!D407="Unit",'Offshore - Melbourne'!E407*8,""))))))</f>
        <v>7200</v>
      </c>
      <c r="L1119" s="0" t="n">
        <f aca="false">IF(AND(ISNUMBER('Offshore - Melbourne'!E407),ISNUMBER(K1119),ISNUMBER('Offshore - Melbourne'!F407),ISNUMBER('Offshore - Melbourne'!G407),OR('Offshore - Melbourne'!F407&lt;&gt;0,ISNUMBER(SEARCH("Material 0 terverifikasi",'Offshore - Melbourne'!N407))),OR('Offshore - Melbourne'!G407&lt;&gt;0,ISNUMBER(SEARCH("Enrolment 0 terverifikasi",'Offshore - Melbourne'!N407)))),1,0)</f>
        <v>1</v>
      </c>
      <c r="M1119" s="0" t="n">
        <f aca="false">IF(OR('Offshore - Melbourne'!E407="",ISNUMBER(SEARCH("BSB80120",'Offshore - Melbourne'!B407&amp;'Offshore - Melbourne'!N407)),ISNUMBER(SEARCH("Management (Learning)",'Offshore - Melbourne'!B407))),2,IF(ISNUMBER(SEARCH("CEK:",'Offshore - Melbourne'!N407)),1,0))</f>
        <v>0</v>
      </c>
    </row>
    <row r="1120" customFormat="false" ht="15" hidden="false" customHeight="false" outlineLevel="0" collapsed="false">
      <c r="A1120" s="63" t="s">
        <v>3544</v>
      </c>
      <c r="B1120" s="64" t="s">
        <v>4207</v>
      </c>
      <c r="C1120" s="63" t="s">
        <v>41</v>
      </c>
      <c r="D1120" s="64" t="str">
        <f aca="false">TRIM(LEFT('Offshore - Melbourne'!A345,FIND(CHAR(10),'Offshore - Melbourne'!A345&amp;CHAR(10))-1))</f>
        <v>Menzies Institute of Technology</v>
      </c>
      <c r="E1120" s="63" t="str">
        <f aca="false">'Offshore - Melbourne'!C347&amp;""</f>
        <v>95 minggu</v>
      </c>
      <c r="F1120" s="63" t="str">
        <f aca="false">IF('Offshore - Melbourne'!D347="","Belum tercatat",'Offshore - Melbourne'!D347)</f>
        <v>Term</v>
      </c>
      <c r="G1120" s="65" t="n">
        <f aca="false">IF('Offshore - Melbourne'!E347="","-",'Offshore - Melbourne'!E347)</f>
        <v>6250</v>
      </c>
      <c r="H1120" s="63" t="n">
        <f aca="false">IF(ISNUMBER(K1120),COUNTIFS($J$6:$J$1854,J1120,$K$6:$K$1854,"&lt;"&amp;K1120)+1,"-")</f>
        <v>2</v>
      </c>
      <c r="I1120" s="64" t="str">
        <f aca="false">IF('Offshore - Melbourne'!E347="","Harga belum tersedia - hubungi konsultan TEG",IF(M1120=2,"Saat ini tidak menerima pendaftaran siswa internasional baru",IF(M1120=1,"Harga perlu dikonfirmasi ke sekolah"&amp;IF(""="","","; "&amp;""),"")))</f>
        <v/>
      </c>
      <c r="J1120" s="0" t="s">
        <v>4261</v>
      </c>
      <c r="K1120" s="0" t="n">
        <f aca="false">IF(M1120=2,"",IF(ISNUMBER(SEARCH("rata-rata:",'Offshore - Melbourne'!N347)),VALUE(MID('Offshore - Melbourne'!N347,SEARCH("rata-rata:",'Offshore - Melbourne'!N347)+11,FIND(";",'Offshore - Melbourne'!N347&amp;";",SEARCH("rata-rata:",'Offshore - Melbourne'!N347))-SEARCH("rata-rata:",'Offshore - Melbourne'!N347)-11)),IF('Offshore - Melbourne'!D347="Semester",'Offshore - Melbourne'!E347*2,IF('Offshore - Melbourne'!D347="Trimester",'Offshore - Melbourne'!E347*3,IF('Offshore - Melbourne'!D347="Term",'Offshore - Melbourne'!E347*4,IF('Offshore - Melbourne'!D347="Unit",'Offshore - Melbourne'!E347*8,""))))))</f>
        <v>25000</v>
      </c>
      <c r="L1120" s="0" t="n">
        <f aca="false">IF(AND(ISNUMBER('Offshore - Melbourne'!E347),ISNUMBER(K1120),ISNUMBER('Offshore - Melbourne'!F347),ISNUMBER('Offshore - Melbourne'!G347),OR('Offshore - Melbourne'!F347&lt;&gt;0,ISNUMBER(SEARCH("Material 0 terverifikasi",'Offshore - Melbourne'!N347))),OR('Offshore - Melbourne'!G347&lt;&gt;0,ISNUMBER(SEARCH("Enrolment 0 terverifikasi",'Offshore - Melbourne'!N347)))),1,0)</f>
        <v>1</v>
      </c>
      <c r="M1120" s="0" t="n">
        <f aca="false">IF(OR('Offshore - Melbourne'!E347="",ISNUMBER(SEARCH("BSB80120",'Offshore - Melbourne'!B347&amp;'Offshore - Melbourne'!N347)),ISNUMBER(SEARCH("Management (Learning)",'Offshore - Melbourne'!B347))),2,IF(ISNUMBER(SEARCH("CEK:",'Offshore - Melbourne'!N347)),1,0))</f>
        <v>0</v>
      </c>
    </row>
    <row r="1121" customFormat="false" ht="15" hidden="false" customHeight="false" outlineLevel="0" collapsed="false">
      <c r="A1121" s="63" t="s">
        <v>3544</v>
      </c>
      <c r="B1121" s="64" t="s">
        <v>4207</v>
      </c>
      <c r="C1121" s="63" t="s">
        <v>41</v>
      </c>
      <c r="D1121" s="64" t="str">
        <f aca="false">TRIM(LEFT('Offshore - Melbourne'!A443,FIND(CHAR(10),'Offshore - Melbourne'!A443&amp;CHAR(10))-1))</f>
        <v>Torrens University Australia</v>
      </c>
      <c r="E1121" s="63" t="str">
        <f aca="false">'Offshore - Melbourne'!C530&amp;""</f>
        <v>1,5 years</v>
      </c>
      <c r="F1121" s="63" t="str">
        <f aca="false">IF('Offshore - Melbourne'!D530="","Belum tercatat",'Offshore - Melbourne'!D530)</f>
        <v>Term</v>
      </c>
      <c r="G1121" s="65" t="n">
        <f aca="false">IF('Offshore - Melbourne'!E530="","-",'Offshore - Melbourne'!E530)</f>
        <v>6563</v>
      </c>
      <c r="H1121" s="63" t="n">
        <f aca="false">IF(ISNUMBER(K1121),COUNTIFS($J$6:$J$1854,J1121,$K$6:$K$1854,"&lt;"&amp;K1121)+1,"-")</f>
        <v>3</v>
      </c>
      <c r="I1121" s="64" t="str">
        <f aca="false">IF('Offshore - Melbourne'!E530="","Harga belum tersedia - hubungi konsultan TEG",IF(M1121=2,"Saat ini tidak menerima pendaftaran siswa internasional baru",IF(M1121=1,"Harga perlu dikonfirmasi ke sekolah"&amp;IF(""="","","; "&amp;""),"")))</f>
        <v/>
      </c>
      <c r="J1121" s="0" t="s">
        <v>4261</v>
      </c>
      <c r="K1121" s="0" t="n">
        <f aca="false">IF(M1121=2,"",IF(ISNUMBER(SEARCH("rata-rata:",'Offshore - Melbourne'!N530)),VALUE(MID('Offshore - Melbourne'!N530,SEARCH("rata-rata:",'Offshore - Melbourne'!N530)+11,FIND(";",'Offshore - Melbourne'!N530&amp;";",SEARCH("rata-rata:",'Offshore - Melbourne'!N530))-SEARCH("rata-rata:",'Offshore - Melbourne'!N530)-11)),IF('Offshore - Melbourne'!D530="Semester",'Offshore - Melbourne'!E530*2,IF('Offshore - Melbourne'!D530="Trimester",'Offshore - Melbourne'!E530*3,IF('Offshore - Melbourne'!D530="Term",'Offshore - Melbourne'!E530*4,IF('Offshore - Melbourne'!D530="Unit",'Offshore - Melbourne'!E530*8,""))))))</f>
        <v>26252</v>
      </c>
      <c r="L1121" s="0" t="n">
        <f aca="false">IF(AND(ISNUMBER('Offshore - Melbourne'!E530),ISNUMBER(K1121),ISNUMBER('Offshore - Melbourne'!F530),ISNUMBER('Offshore - Melbourne'!G530),OR('Offshore - Melbourne'!F530&lt;&gt;0,ISNUMBER(SEARCH("Material 0 terverifikasi",'Offshore - Melbourne'!N530))),OR('Offshore - Melbourne'!G530&lt;&gt;0,ISNUMBER(SEARCH("Enrolment 0 terverifikasi",'Offshore - Melbourne'!N530)))),1,0)</f>
        <v>0</v>
      </c>
      <c r="M1121" s="0" t="n">
        <f aca="false">IF(OR('Offshore - Melbourne'!E530="",ISNUMBER(SEARCH("BSB80120",'Offshore - Melbourne'!B530&amp;'Offshore - Melbourne'!N530)),ISNUMBER(SEARCH("Management (Learning)",'Offshore - Melbourne'!B530))),2,IF(ISNUMBER(SEARCH("CEK:",'Offshore - Melbourne'!N530)),1,0))</f>
        <v>0</v>
      </c>
    </row>
    <row r="1122" customFormat="false" ht="15" hidden="false" customHeight="false" outlineLevel="0" collapsed="false">
      <c r="A1122" s="63" t="s">
        <v>3544</v>
      </c>
      <c r="B1122" s="64" t="s">
        <v>4207</v>
      </c>
      <c r="C1122" s="63" t="s">
        <v>41</v>
      </c>
      <c r="D1122" s="64" t="str">
        <f aca="false">TRIM(LEFT('Offshore - Melbourne'!A95,FIND(CHAR(10),'Offshore - Melbourne'!A95&amp;CHAR(10))-1))</f>
        <v>Australian Catholic University (ACU)</v>
      </c>
      <c r="E1122" s="63" t="str">
        <f aca="false">'Offshore - Melbourne'!C188&amp;""</f>
        <v>1 year</v>
      </c>
      <c r="F1122" s="63" t="str">
        <f aca="false">IF('Offshore - Melbourne'!D188="","Belum tercatat",'Offshore - Melbourne'!D188)</f>
        <v>Term</v>
      </c>
      <c r="G1122" s="65" t="n">
        <f aca="false">IF('Offshore - Melbourne'!E188="","-",'Offshore - Melbourne'!E188)</f>
        <v>7086</v>
      </c>
      <c r="H1122" s="63" t="n">
        <f aca="false">IF(ISNUMBER(K1122),COUNTIFS($J$6:$J$1854,J1122,$K$6:$K$1854,"&lt;"&amp;K1122)+1,"-")</f>
        <v>4</v>
      </c>
      <c r="I1122" s="64" t="str">
        <f aca="false">IF('Offshore - Melbourne'!E188="","Harga belum tersedia - hubungi konsultan TEG",IF(M1122=2,"Saat ini tidak menerima pendaftaran siswa internasional baru",IF(M1122=1,"Harga perlu dikonfirmasi ke sekolah"&amp;IF(""="","","; "&amp;""),"")))</f>
        <v/>
      </c>
      <c r="J1122" s="0" t="s">
        <v>4261</v>
      </c>
      <c r="K1122" s="0" t="n">
        <f aca="false">IF(M1122=2,"",IF(ISNUMBER(SEARCH("rata-rata:",'Offshore - Melbourne'!N188)),VALUE(MID('Offshore - Melbourne'!N188,SEARCH("rata-rata:",'Offshore - Melbourne'!N188)+11,FIND(";",'Offshore - Melbourne'!N188&amp;";",SEARCH("rata-rata:",'Offshore - Melbourne'!N188))-SEARCH("rata-rata:",'Offshore - Melbourne'!N188)-11)),IF('Offshore - Melbourne'!D188="Semester",'Offshore - Melbourne'!E188*2,IF('Offshore - Melbourne'!D188="Trimester",'Offshore - Melbourne'!E188*3,IF('Offshore - Melbourne'!D188="Term",'Offshore - Melbourne'!E188*4,IF('Offshore - Melbourne'!D188="Unit",'Offshore - Melbourne'!E188*8,""))))))</f>
        <v>28344</v>
      </c>
      <c r="L1122" s="0" t="n">
        <f aca="false">IF(AND(ISNUMBER('Offshore - Melbourne'!E188),ISNUMBER(K1122),ISNUMBER('Offshore - Melbourne'!F188),ISNUMBER('Offshore - Melbourne'!G188),OR('Offshore - Melbourne'!F188&lt;&gt;0,ISNUMBER(SEARCH("Material 0 terverifikasi",'Offshore - Melbourne'!N188))),OR('Offshore - Melbourne'!G188&lt;&gt;0,ISNUMBER(SEARCH("Enrolment 0 terverifikasi",'Offshore - Melbourne'!N188)))),1,0)</f>
        <v>0</v>
      </c>
      <c r="M1122" s="0" t="n">
        <f aca="false">IF(OR('Offshore - Melbourne'!E188="",ISNUMBER(SEARCH("BSB80120",'Offshore - Melbourne'!B188&amp;'Offshore - Melbourne'!N188)),ISNUMBER(SEARCH("Management (Learning)",'Offshore - Melbourne'!B188))),2,IF(ISNUMBER(SEARCH("CEK:",'Offshore - Melbourne'!N188)),1,0))</f>
        <v>0</v>
      </c>
    </row>
    <row r="1123" customFormat="false" ht="15" hidden="false" customHeight="false" outlineLevel="0" collapsed="false">
      <c r="A1123" s="61" t="s">
        <v>4262</v>
      </c>
      <c r="B1123" s="62"/>
      <c r="C1123" s="62"/>
      <c r="D1123" s="62"/>
      <c r="E1123" s="62"/>
      <c r="F1123" s="62"/>
      <c r="G1123" s="62"/>
      <c r="H1123" s="62"/>
      <c r="I1123" s="62"/>
    </row>
    <row r="1124" customFormat="false" ht="15" hidden="false" customHeight="false" outlineLevel="0" collapsed="false">
      <c r="A1124" s="63" t="s">
        <v>3544</v>
      </c>
      <c r="B1124" s="64" t="s">
        <v>4207</v>
      </c>
      <c r="C1124" s="63" t="s">
        <v>43</v>
      </c>
      <c r="D1124" s="64" t="str">
        <f aca="false">TRIM(LEFT('Offshore - Melbourne'!A443,FIND(CHAR(10),'Offshore - Melbourne'!A443&amp;CHAR(10))-1))</f>
        <v>Torrens University Australia</v>
      </c>
      <c r="E1124" s="63" t="str">
        <f aca="false">'Offshore - Melbourne'!C516&amp;""</f>
        <v>4 years</v>
      </c>
      <c r="F1124" s="63" t="str">
        <f aca="false">IF('Offshore - Melbourne'!D516="","Belum tercatat",'Offshore - Melbourne'!D516)</f>
        <v>Term</v>
      </c>
      <c r="G1124" s="65" t="n">
        <f aca="false">IF('Offshore - Melbourne'!E516="","-",'Offshore - Melbourne'!E516)</f>
        <v>7333</v>
      </c>
      <c r="H1124" s="63" t="n">
        <f aca="false">IF(ISNUMBER(K1124),COUNTIFS($J$6:$J$1854,J1124,$K$6:$K$1854,"&lt;"&amp;K1124)+1,"-")</f>
        <v>1</v>
      </c>
      <c r="I1124" s="64" t="str">
        <f aca="false">IF('Offshore - Melbourne'!E516="","Harga belum tersedia - hubungi konsultan TEG",IF(M1124=2,"Saat ini tidak menerima pendaftaran siswa internasional baru",IF(M1124=1,"Harga perlu dikonfirmasi ke sekolah"&amp;IF(""="","","; "&amp;""),"")))</f>
        <v/>
      </c>
      <c r="J1124" s="0" t="s">
        <v>4263</v>
      </c>
      <c r="K1124" s="0" t="n">
        <f aca="false">IF(M1124=2,"",IF(ISNUMBER(SEARCH("rata-rata:",'Offshore - Melbourne'!N516)),VALUE(MID('Offshore - Melbourne'!N516,SEARCH("rata-rata:",'Offshore - Melbourne'!N516)+11,FIND(";",'Offshore - Melbourne'!N516&amp;";",SEARCH("rata-rata:",'Offshore - Melbourne'!N516))-SEARCH("rata-rata:",'Offshore - Melbourne'!N516)-11)),IF('Offshore - Melbourne'!D516="Semester",'Offshore - Melbourne'!E516*2,IF('Offshore - Melbourne'!D516="Trimester",'Offshore - Melbourne'!E516*3,IF('Offshore - Melbourne'!D516="Term",'Offshore - Melbourne'!E516*4,IF('Offshore - Melbourne'!D516="Unit",'Offshore - Melbourne'!E516*8,""))))))</f>
        <v>29332</v>
      </c>
      <c r="L1124" s="0" t="n">
        <f aca="false">IF(AND(ISNUMBER('Offshore - Melbourne'!E516),ISNUMBER(K1124),ISNUMBER('Offshore - Melbourne'!F516),ISNUMBER('Offshore - Melbourne'!G516),OR('Offshore - Melbourne'!F516&lt;&gt;0,ISNUMBER(SEARCH("Material 0 terverifikasi",'Offshore - Melbourne'!N516))),OR('Offshore - Melbourne'!G516&lt;&gt;0,ISNUMBER(SEARCH("Enrolment 0 terverifikasi",'Offshore - Melbourne'!N516)))),1,0)</f>
        <v>0</v>
      </c>
      <c r="M1124" s="0" t="n">
        <f aca="false">IF(OR('Offshore - Melbourne'!E516="",ISNUMBER(SEARCH("BSB80120",'Offshore - Melbourne'!B516&amp;'Offshore - Melbourne'!N516)),ISNUMBER(SEARCH("Management (Learning)",'Offshore - Melbourne'!B516))),2,IF(ISNUMBER(SEARCH("CEK:",'Offshore - Melbourne'!N516)),1,0))</f>
        <v>0</v>
      </c>
    </row>
    <row r="1125" customFormat="false" ht="15" hidden="false" customHeight="false" outlineLevel="0" collapsed="false">
      <c r="A1125" s="63" t="s">
        <v>3544</v>
      </c>
      <c r="B1125" s="64" t="s">
        <v>4207</v>
      </c>
      <c r="C1125" s="63" t="s">
        <v>43</v>
      </c>
      <c r="D1125" s="64" t="str">
        <f aca="false">TRIM(LEFT('Offshore - Melbourne'!A95,FIND(CHAR(10),'Offshore - Melbourne'!A95&amp;CHAR(10))-1))</f>
        <v>Australian Catholic University (ACU)</v>
      </c>
      <c r="E1125" s="63" t="str">
        <f aca="false">'Offshore - Melbourne'!C155&amp;""</f>
        <v>3 years</v>
      </c>
      <c r="F1125" s="63" t="str">
        <f aca="false">IF('Offshore - Melbourne'!D155="","Belum tercatat",'Offshore - Melbourne'!D155)</f>
        <v>Term</v>
      </c>
      <c r="G1125" s="65" t="n">
        <f aca="false">IF('Offshore - Melbourne'!E155="","-",'Offshore - Melbourne'!E155)</f>
        <v>8098</v>
      </c>
      <c r="H1125" s="63" t="n">
        <f aca="false">IF(ISNUMBER(K1125),COUNTIFS($J$6:$J$1854,J1125,$K$6:$K$1854,"&lt;"&amp;K1125)+1,"-")</f>
        <v>2</v>
      </c>
      <c r="I1125" s="64" t="str">
        <f aca="false">IF('Offshore - Melbourne'!E155="","Harga belum tersedia - hubungi konsultan TEG",IF(M1125=2,"Saat ini tidak menerima pendaftaran siswa internasional baru",IF(M1125=1,"Harga perlu dikonfirmasi ke sekolah"&amp;IF(""="","","; "&amp;""),"")))</f>
        <v/>
      </c>
      <c r="J1125" s="0" t="s">
        <v>4263</v>
      </c>
      <c r="K1125" s="0" t="n">
        <f aca="false">IF(M1125=2,"",IF(ISNUMBER(SEARCH("rata-rata:",'Offshore - Melbourne'!N155)),VALUE(MID('Offshore - Melbourne'!N155,SEARCH("rata-rata:",'Offshore - Melbourne'!N155)+11,FIND(";",'Offshore - Melbourne'!N155&amp;";",SEARCH("rata-rata:",'Offshore - Melbourne'!N155))-SEARCH("rata-rata:",'Offshore - Melbourne'!N155)-11)),IF('Offshore - Melbourne'!D155="Semester",'Offshore - Melbourne'!E155*2,IF('Offshore - Melbourne'!D155="Trimester",'Offshore - Melbourne'!E155*3,IF('Offshore - Melbourne'!D155="Term",'Offshore - Melbourne'!E155*4,IF('Offshore - Melbourne'!D155="Unit",'Offshore - Melbourne'!E155*8,""))))))</f>
        <v>32392</v>
      </c>
      <c r="L1125" s="0" t="n">
        <f aca="false">IF(AND(ISNUMBER('Offshore - Melbourne'!E155),ISNUMBER(K1125),ISNUMBER('Offshore - Melbourne'!F155),ISNUMBER('Offshore - Melbourne'!G155),OR('Offshore - Melbourne'!F155&lt;&gt;0,ISNUMBER(SEARCH("Material 0 terverifikasi",'Offshore - Melbourne'!N155))),OR('Offshore - Melbourne'!G155&lt;&gt;0,ISNUMBER(SEARCH("Enrolment 0 terverifikasi",'Offshore - Melbourne'!N155)))),1,0)</f>
        <v>0</v>
      </c>
      <c r="M1125" s="0" t="n">
        <f aca="false">IF(OR('Offshore - Melbourne'!E155="",ISNUMBER(SEARCH("BSB80120",'Offshore - Melbourne'!B155&amp;'Offshore - Melbourne'!N155)),ISNUMBER(SEARCH("Management (Learning)",'Offshore - Melbourne'!B155))),2,IF(ISNUMBER(SEARCH("CEK:",'Offshore - Melbourne'!N155)),1,0))</f>
        <v>0</v>
      </c>
    </row>
    <row r="1126" customFormat="false" ht="15" hidden="false" customHeight="false" outlineLevel="0" collapsed="false">
      <c r="A1126" s="61" t="s">
        <v>4264</v>
      </c>
      <c r="B1126" s="62"/>
      <c r="C1126" s="62"/>
      <c r="D1126" s="62"/>
      <c r="E1126" s="62"/>
      <c r="F1126" s="62"/>
      <c r="G1126" s="62"/>
      <c r="H1126" s="62"/>
      <c r="I1126" s="62"/>
    </row>
    <row r="1127" customFormat="false" ht="15" hidden="false" customHeight="false" outlineLevel="0" collapsed="false">
      <c r="A1127" s="63" t="s">
        <v>3544</v>
      </c>
      <c r="B1127" s="64" t="s">
        <v>4207</v>
      </c>
      <c r="C1127" s="63" t="s">
        <v>3707</v>
      </c>
      <c r="D1127" s="64" t="str">
        <f aca="false">TRIM(LEFT('Offshore - Melbourne'!A443,FIND(CHAR(10),'Offshore - Melbourne'!A443&amp;CHAR(10))-1))</f>
        <v>Torrens University Australia</v>
      </c>
      <c r="E1127" s="63" t="str">
        <f aca="false">'Offshore - Melbourne'!C523&amp;""</f>
        <v>0,5 year</v>
      </c>
      <c r="F1127" s="63" t="str">
        <f aca="false">IF('Offshore - Melbourne'!D523="","Belum tercatat",'Offshore - Melbourne'!D523)</f>
        <v>Term</v>
      </c>
      <c r="G1127" s="65" t="n">
        <f aca="false">IF('Offshore - Melbourne'!E523="","-",'Offshore - Melbourne'!E523)</f>
        <v>3975</v>
      </c>
      <c r="H1127" s="63" t="n">
        <f aca="false">IF(ISNUMBER(K1127),COUNTIFS($J$6:$J$1854,J1127,$K$6:$K$1854,"&lt;"&amp;K1127)+1,"-")</f>
        <v>1</v>
      </c>
      <c r="I1127" s="64" t="str">
        <f aca="false">IF('Offshore - Melbourne'!E523="","Harga belum tersedia - hubungi konsultan TEG",IF(M1127=2,"Saat ini tidak menerima pendaftaran siswa internasional baru",IF(M1127=1,"Harga perlu dikonfirmasi ke sekolah"&amp;IF(""="","","; "&amp;""),"")))</f>
        <v/>
      </c>
      <c r="J1127" s="0" t="s">
        <v>4265</v>
      </c>
      <c r="K1127" s="0" t="n">
        <f aca="false">IF(M1127=2,"",IF(ISNUMBER(SEARCH("rata-rata:",'Offshore - Melbourne'!N523)),VALUE(MID('Offshore - Melbourne'!N523,SEARCH("rata-rata:",'Offshore - Melbourne'!N523)+11,FIND(";",'Offshore - Melbourne'!N523&amp;";",SEARCH("rata-rata:",'Offshore - Melbourne'!N523))-SEARCH("rata-rata:",'Offshore - Melbourne'!N523)-11)),IF('Offshore - Melbourne'!D523="Semester",'Offshore - Melbourne'!E523*2,IF('Offshore - Melbourne'!D523="Trimester",'Offshore - Melbourne'!E523*3,IF('Offshore - Melbourne'!D523="Term",'Offshore - Melbourne'!E523*4,IF('Offshore - Melbourne'!D523="Unit",'Offshore - Melbourne'!E523*8,""))))))</f>
        <v>15900</v>
      </c>
      <c r="L1127" s="0" t="n">
        <f aca="false">IF(AND(ISNUMBER('Offshore - Melbourne'!E523),ISNUMBER(K1127),ISNUMBER('Offshore - Melbourne'!F523),ISNUMBER('Offshore - Melbourne'!G523),OR('Offshore - Melbourne'!F523&lt;&gt;0,ISNUMBER(SEARCH("Material 0 terverifikasi",'Offshore - Melbourne'!N523))),OR('Offshore - Melbourne'!G523&lt;&gt;0,ISNUMBER(SEARCH("Enrolment 0 terverifikasi",'Offshore - Melbourne'!N523)))),1,0)</f>
        <v>0</v>
      </c>
      <c r="M1127" s="0" t="n">
        <f aca="false">IF(OR('Offshore - Melbourne'!E523="",ISNUMBER(SEARCH("BSB80120",'Offshore - Melbourne'!B523&amp;'Offshore - Melbourne'!N523)),ISNUMBER(SEARCH("Management (Learning)",'Offshore - Melbourne'!B523))),2,IF(ISNUMBER(SEARCH("CEK:",'Offshore - Melbourne'!N523)),1,0))</f>
        <v>0</v>
      </c>
    </row>
    <row r="1128" customFormat="false" ht="15" hidden="false" customHeight="false" outlineLevel="0" collapsed="false">
      <c r="A1128" s="63" t="s">
        <v>3544</v>
      </c>
      <c r="B1128" s="64" t="s">
        <v>4207</v>
      </c>
      <c r="C1128" s="63" t="s">
        <v>3707</v>
      </c>
      <c r="D1128" s="64" t="str">
        <f aca="false">TRIM(LEFT('Offshore - Melbourne'!A95,FIND(CHAR(10),'Offshore - Melbourne'!A95&amp;CHAR(10))-1))</f>
        <v>Australian Catholic University (ACU)</v>
      </c>
      <c r="E1128" s="63" t="str">
        <f aca="false">'Offshore - Melbourne'!C173&amp;""</f>
        <v>1 year</v>
      </c>
      <c r="F1128" s="63" t="str">
        <f aca="false">IF('Offshore - Melbourne'!D173="","Belum tercatat",'Offshore - Melbourne'!D173)</f>
        <v>Term</v>
      </c>
      <c r="G1128" s="65" t="n">
        <f aca="false">IF('Offshore - Melbourne'!E173="","-",'Offshore - Melbourne'!E173)</f>
        <v>8018</v>
      </c>
      <c r="H1128" s="63" t="n">
        <f aca="false">IF(ISNUMBER(K1128),COUNTIFS($J$6:$J$1854,J1128,$K$6:$K$1854,"&lt;"&amp;K1128)+1,"-")</f>
        <v>2</v>
      </c>
      <c r="I1128" s="64" t="str">
        <f aca="false">IF('Offshore - Melbourne'!E173="","Harga belum tersedia - hubungi konsultan TEG",IF(M1128=2,"Saat ini tidak menerima pendaftaran siswa internasional baru",IF(M1128=1,"Harga perlu dikonfirmasi ke sekolah"&amp;IF(""="","","; "&amp;""),"")))</f>
        <v/>
      </c>
      <c r="J1128" s="0" t="s">
        <v>4265</v>
      </c>
      <c r="K1128" s="0" t="n">
        <f aca="false">IF(M1128=2,"",IF(ISNUMBER(SEARCH("rata-rata:",'Offshore - Melbourne'!N173)),VALUE(MID('Offshore - Melbourne'!N173,SEARCH("rata-rata:",'Offshore - Melbourne'!N173)+11,FIND(";",'Offshore - Melbourne'!N173&amp;";",SEARCH("rata-rata:",'Offshore - Melbourne'!N173))-SEARCH("rata-rata:",'Offshore - Melbourne'!N173)-11)),IF('Offshore - Melbourne'!D173="Semester",'Offshore - Melbourne'!E173*2,IF('Offshore - Melbourne'!D173="Trimester",'Offshore - Melbourne'!E173*3,IF('Offshore - Melbourne'!D173="Term",'Offshore - Melbourne'!E173*4,IF('Offshore - Melbourne'!D173="Unit",'Offshore - Melbourne'!E173*8,""))))))</f>
        <v>32072</v>
      </c>
      <c r="L1128" s="0" t="n">
        <f aca="false">IF(AND(ISNUMBER('Offshore - Melbourne'!E173),ISNUMBER(K1128),ISNUMBER('Offshore - Melbourne'!F173),ISNUMBER('Offshore - Melbourne'!G173),OR('Offshore - Melbourne'!F173&lt;&gt;0,ISNUMBER(SEARCH("Material 0 terverifikasi",'Offshore - Melbourne'!N173))),OR('Offshore - Melbourne'!G173&lt;&gt;0,ISNUMBER(SEARCH("Enrolment 0 terverifikasi",'Offshore - Melbourne'!N173)))),1,0)</f>
        <v>0</v>
      </c>
      <c r="M1128" s="0" t="n">
        <f aca="false">IF(OR('Offshore - Melbourne'!E173="",ISNUMBER(SEARCH("BSB80120",'Offshore - Melbourne'!B173&amp;'Offshore - Melbourne'!N173)),ISNUMBER(SEARCH("Management (Learning)",'Offshore - Melbourne'!B173))),2,IF(ISNUMBER(SEARCH("CEK:",'Offshore - Melbourne'!N173)),1,0))</f>
        <v>0</v>
      </c>
    </row>
    <row r="1129" customFormat="false" ht="15" hidden="false" customHeight="false" outlineLevel="0" collapsed="false">
      <c r="A1129" s="61" t="s">
        <v>4266</v>
      </c>
      <c r="B1129" s="62"/>
      <c r="C1129" s="62"/>
      <c r="D1129" s="62"/>
      <c r="E1129" s="62"/>
      <c r="F1129" s="62"/>
      <c r="G1129" s="62"/>
      <c r="H1129" s="62"/>
      <c r="I1129" s="62"/>
    </row>
    <row r="1130" customFormat="false" ht="15" hidden="false" customHeight="false" outlineLevel="0" collapsed="false">
      <c r="A1130" s="63" t="s">
        <v>3544</v>
      </c>
      <c r="B1130" s="64" t="s">
        <v>4207</v>
      </c>
      <c r="C1130" s="63" t="s">
        <v>46</v>
      </c>
      <c r="D1130" s="64" t="str">
        <f aca="false">TRIM(LEFT('Offshore - Melbourne'!A547,FIND(CHAR(10),'Offshore - Melbourne'!A547&amp;CHAR(10))-1))</f>
        <v>University of Tasmania (UTAS)</v>
      </c>
      <c r="E1130" s="63" t="str">
        <f aca="false">'Offshore - Melbourne'!C551&amp;""</f>
        <v>2 years</v>
      </c>
      <c r="F1130" s="63" t="str">
        <f aca="false">IF('Offshore - Melbourne'!D551="","Belum tercatat",'Offshore - Melbourne'!D551)</f>
        <v>Term</v>
      </c>
      <c r="G1130" s="65" t="n">
        <f aca="false">IF('Offshore - Melbourne'!E551="","-",'Offshore - Melbourne'!E551)</f>
        <v>6647</v>
      </c>
      <c r="H1130" s="63" t="n">
        <f aca="false">IF(ISNUMBER(K1130),COUNTIFS($J$6:$J$1854,J1130,$K$6:$K$1854,"&lt;"&amp;K1130)+1,"-")</f>
        <v>1</v>
      </c>
      <c r="I1130" s="64" t="str">
        <f aca="false">IF('Offshore - Melbourne'!E551="","Harga belum tersedia - hubungi konsultan TEG",IF(M1130=2,"Saat ini tidak menerima pendaftaran siswa internasional baru",IF(M1130=1,"Harga perlu dikonfirmasi ke sekolah"&amp;IF(""="","","; "&amp;""),"")))</f>
        <v/>
      </c>
      <c r="J1130" s="0" t="s">
        <v>4267</v>
      </c>
      <c r="K1130" s="0" t="n">
        <f aca="false">IF(M1130=2,"",IF(ISNUMBER(SEARCH("rata-rata:",'Offshore - Melbourne'!N551)),VALUE(MID('Offshore - Melbourne'!N551,SEARCH("rata-rata:",'Offshore - Melbourne'!N551)+11,FIND(";",'Offshore - Melbourne'!N551&amp;";",SEARCH("rata-rata:",'Offshore - Melbourne'!N551))-SEARCH("rata-rata:",'Offshore - Melbourne'!N551)-11)),IF('Offshore - Melbourne'!D551="Semester",'Offshore - Melbourne'!E551*2,IF('Offshore - Melbourne'!D551="Trimester",'Offshore - Melbourne'!E551*3,IF('Offshore - Melbourne'!D551="Term",'Offshore - Melbourne'!E551*4,IF('Offshore - Melbourne'!D551="Unit",'Offshore - Melbourne'!E551*8,""))))))</f>
        <v>26588</v>
      </c>
      <c r="L1130" s="0" t="n">
        <f aca="false">IF(AND(ISNUMBER('Offshore - Melbourne'!E551),ISNUMBER(K1130),ISNUMBER('Offshore - Melbourne'!F551),ISNUMBER('Offshore - Melbourne'!G551),OR('Offshore - Melbourne'!F551&lt;&gt;0,ISNUMBER(SEARCH("Material 0 terverifikasi",'Offshore - Melbourne'!N551))),OR('Offshore - Melbourne'!G551&lt;&gt;0,ISNUMBER(SEARCH("Enrolment 0 terverifikasi",'Offshore - Melbourne'!N551)))),1,0)</f>
        <v>0</v>
      </c>
      <c r="M1130" s="0" t="n">
        <f aca="false">IF(OR('Offshore - Melbourne'!E551="",ISNUMBER(SEARCH("BSB80120",'Offshore - Melbourne'!B551&amp;'Offshore - Melbourne'!N551)),ISNUMBER(SEARCH("Management (Learning)",'Offshore - Melbourne'!B551))),2,IF(ISNUMBER(SEARCH("CEK:",'Offshore - Melbourne'!N551)),1,0))</f>
        <v>0</v>
      </c>
    </row>
    <row r="1131" customFormat="false" ht="15" hidden="false" customHeight="false" outlineLevel="0" collapsed="false">
      <c r="A1131" s="63" t="s">
        <v>3544</v>
      </c>
      <c r="B1131" s="64" t="s">
        <v>4207</v>
      </c>
      <c r="C1131" s="63" t="s">
        <v>46</v>
      </c>
      <c r="D1131" s="64" t="str">
        <f aca="false">TRIM(LEFT('Offshore - Melbourne'!A443,FIND(CHAR(10),'Offshore - Melbourne'!A443&amp;CHAR(10))-1))</f>
        <v>Torrens University Australia</v>
      </c>
      <c r="E1131" s="63" t="str">
        <f aca="false">'Offshore - Melbourne'!C461&amp;""</f>
        <v>2 years</v>
      </c>
      <c r="F1131" s="63" t="str">
        <f aca="false">IF('Offshore - Melbourne'!D461="","Belum tercatat",'Offshore - Melbourne'!D461)</f>
        <v>Term</v>
      </c>
      <c r="G1131" s="65" t="n">
        <f aca="false">IF('Offshore - Melbourne'!E461="","-",'Offshore - Melbourne'!E461)</f>
        <v>7950</v>
      </c>
      <c r="H1131" s="63" t="n">
        <f aca="false">IF(ISNUMBER(K1131),COUNTIFS($J$6:$J$1854,J1131,$K$6:$K$1854,"&lt;"&amp;K1131)+1,"-")</f>
        <v>2</v>
      </c>
      <c r="I1131" s="64" t="str">
        <f aca="false">IF('Offshore - Melbourne'!E461="","Harga belum tersedia - hubungi konsultan TEG",IF(M1131=2,"Saat ini tidak menerima pendaftaran siswa internasional baru",IF(M1131=1,"Harga perlu dikonfirmasi ke sekolah"&amp;IF(""="","","; "&amp;""),"")))</f>
        <v/>
      </c>
      <c r="J1131" s="0" t="s">
        <v>4267</v>
      </c>
      <c r="K1131" s="0" t="n">
        <f aca="false">IF(M1131=2,"",IF(ISNUMBER(SEARCH("rata-rata:",'Offshore - Melbourne'!N461)),VALUE(MID('Offshore - Melbourne'!N461,SEARCH("rata-rata:",'Offshore - Melbourne'!N461)+11,FIND(";",'Offshore - Melbourne'!N461&amp;";",SEARCH("rata-rata:",'Offshore - Melbourne'!N461))-SEARCH("rata-rata:",'Offshore - Melbourne'!N461)-11)),IF('Offshore - Melbourne'!D461="Semester",'Offshore - Melbourne'!E461*2,IF('Offshore - Melbourne'!D461="Trimester",'Offshore - Melbourne'!E461*3,IF('Offshore - Melbourne'!D461="Term",'Offshore - Melbourne'!E461*4,IF('Offshore - Melbourne'!D461="Unit",'Offshore - Melbourne'!E461*8,""))))))</f>
        <v>31800</v>
      </c>
      <c r="L1131" s="0" t="n">
        <f aca="false">IF(AND(ISNUMBER('Offshore - Melbourne'!E461),ISNUMBER(K1131),ISNUMBER('Offshore - Melbourne'!F461),ISNUMBER('Offshore - Melbourne'!G461),OR('Offshore - Melbourne'!F461&lt;&gt;0,ISNUMBER(SEARCH("Material 0 terverifikasi",'Offshore - Melbourne'!N461))),OR('Offshore - Melbourne'!G461&lt;&gt;0,ISNUMBER(SEARCH("Enrolment 0 terverifikasi",'Offshore - Melbourne'!N461)))),1,0)</f>
        <v>0</v>
      </c>
      <c r="M1131" s="0" t="n">
        <f aca="false">IF(OR('Offshore - Melbourne'!E461="",ISNUMBER(SEARCH("BSB80120",'Offshore - Melbourne'!B461&amp;'Offshore - Melbourne'!N461)),ISNUMBER(SEARCH("Management (Learning)",'Offshore - Melbourne'!B461))),2,IF(ISNUMBER(SEARCH("CEK:",'Offshore - Melbourne'!N461)),1,0))</f>
        <v>0</v>
      </c>
    </row>
    <row r="1132" customFormat="false" ht="15" hidden="false" customHeight="false" outlineLevel="0" collapsed="false">
      <c r="A1132" s="63" t="s">
        <v>3544</v>
      </c>
      <c r="B1132" s="64" t="s">
        <v>4207</v>
      </c>
      <c r="C1132" s="63" t="s">
        <v>46</v>
      </c>
      <c r="D1132" s="64" t="str">
        <f aca="false">TRIM(LEFT('Offshore - Melbourne'!A95,FIND(CHAR(10),'Offshore - Melbourne'!A95&amp;CHAR(10))-1))</f>
        <v>Australian Catholic University (ACU)</v>
      </c>
      <c r="E1132" s="63" t="str">
        <f aca="false">'Offshore - Melbourne'!C174&amp;""</f>
        <v>2 years</v>
      </c>
      <c r="F1132" s="63" t="str">
        <f aca="false">IF('Offshore - Melbourne'!D174="","Belum tercatat",'Offshore - Melbourne'!D174)</f>
        <v>Term</v>
      </c>
      <c r="G1132" s="65" t="n">
        <f aca="false">IF('Offshore - Melbourne'!E174="","-",'Offshore - Melbourne'!E174)</f>
        <v>8018</v>
      </c>
      <c r="H1132" s="63" t="n">
        <f aca="false">IF(ISNUMBER(K1132),COUNTIFS($J$6:$J$1854,J1132,$K$6:$K$1854,"&lt;"&amp;K1132)+1,"-")</f>
        <v>3</v>
      </c>
      <c r="I1132" s="64" t="str">
        <f aca="false">IF('Offshore - Melbourne'!E174="","Harga belum tersedia - hubungi konsultan TEG",IF(M1132=2,"Saat ini tidak menerima pendaftaran siswa internasional baru",IF(M1132=1,"Harga perlu dikonfirmasi ke sekolah"&amp;IF(""="","","; "&amp;""),"")))</f>
        <v/>
      </c>
      <c r="J1132" s="0" t="s">
        <v>4267</v>
      </c>
      <c r="K1132" s="0" t="n">
        <f aca="false">IF(M1132=2,"",IF(ISNUMBER(SEARCH("rata-rata:",'Offshore - Melbourne'!N174)),VALUE(MID('Offshore - Melbourne'!N174,SEARCH("rata-rata:",'Offshore - Melbourne'!N174)+11,FIND(";",'Offshore - Melbourne'!N174&amp;";",SEARCH("rata-rata:",'Offshore - Melbourne'!N174))-SEARCH("rata-rata:",'Offshore - Melbourne'!N174)-11)),IF('Offshore - Melbourne'!D174="Semester",'Offshore - Melbourne'!E174*2,IF('Offshore - Melbourne'!D174="Trimester",'Offshore - Melbourne'!E174*3,IF('Offshore - Melbourne'!D174="Term",'Offshore - Melbourne'!E174*4,IF('Offshore - Melbourne'!D174="Unit",'Offshore - Melbourne'!E174*8,""))))))</f>
        <v>32072</v>
      </c>
      <c r="L1132" s="0" t="n">
        <f aca="false">IF(AND(ISNUMBER('Offshore - Melbourne'!E174),ISNUMBER(K1132),ISNUMBER('Offshore - Melbourne'!F174),ISNUMBER('Offshore - Melbourne'!G174),OR('Offshore - Melbourne'!F174&lt;&gt;0,ISNUMBER(SEARCH("Material 0 terverifikasi",'Offshore - Melbourne'!N174))),OR('Offshore - Melbourne'!G174&lt;&gt;0,ISNUMBER(SEARCH("Enrolment 0 terverifikasi",'Offshore - Melbourne'!N174)))),1,0)</f>
        <v>0</v>
      </c>
      <c r="M1132" s="0" t="n">
        <f aca="false">IF(OR('Offshore - Melbourne'!E174="",ISNUMBER(SEARCH("BSB80120",'Offshore - Melbourne'!B174&amp;'Offshore - Melbourne'!N174)),ISNUMBER(SEARCH("Management (Learning)",'Offshore - Melbourne'!B174))),2,IF(ISNUMBER(SEARCH("CEK:",'Offshore - Melbourne'!N174)),1,0))</f>
        <v>0</v>
      </c>
    </row>
    <row r="1133" customFormat="false" ht="15" hidden="false" customHeight="false" outlineLevel="0" collapsed="false">
      <c r="A1133" s="61" t="s">
        <v>4268</v>
      </c>
      <c r="B1133" s="62"/>
      <c r="C1133" s="62"/>
      <c r="D1133" s="62"/>
      <c r="E1133" s="62"/>
      <c r="F1133" s="62"/>
      <c r="G1133" s="62"/>
      <c r="H1133" s="62"/>
      <c r="I1133" s="62"/>
    </row>
    <row r="1134" customFormat="false" ht="15" hidden="false" customHeight="false" outlineLevel="0" collapsed="false">
      <c r="A1134" s="63" t="s">
        <v>3573</v>
      </c>
      <c r="B1134" s="64" t="s">
        <v>4207</v>
      </c>
      <c r="C1134" s="63" t="s">
        <v>40</v>
      </c>
      <c r="D1134" s="64" t="str">
        <f aca="false">TRIM(LEFT('Offshore - Perth'!A74,FIND(CHAR(10),'Offshore - Perth'!A74&amp;CHAR(10))-1))</f>
        <v>Greenwich College</v>
      </c>
      <c r="E1134" s="63" t="str">
        <f aca="false">'Offshore - Perth'!C83&amp;""</f>
        <v>84 weeks</v>
      </c>
      <c r="F1134" s="63" t="str">
        <f aca="false">IF('Offshore - Perth'!D83="","Belum tercatat",'Offshore - Perth'!D83)</f>
        <v>Term</v>
      </c>
      <c r="G1134" s="65" t="n">
        <f aca="false">IF('Offshore - Perth'!E83="","-",'Offshore - Perth'!E83)</f>
        <v>1600</v>
      </c>
      <c r="H1134" s="63" t="n">
        <f aca="false">IF(ISNUMBER(K1134),COUNTIFS($J$6:$J$1854,J1134,$K$6:$K$1854,"&lt;"&amp;K1134)+1,"-")</f>
        <v>1</v>
      </c>
      <c r="I1134" s="64" t="str">
        <f aca="false">IF('Offshore - Perth'!E83="","Harga belum tersedia - hubungi konsultan TEG",IF(M1134=2,"Saat ini tidak menerima pendaftaran siswa internasional baru",IF(M1134=1,"Harga perlu dikonfirmasi ke sekolah"&amp;IF(""="","","; "&amp;""),"")))</f>
        <v/>
      </c>
      <c r="J1134" s="0" t="s">
        <v>4269</v>
      </c>
      <c r="K1134" s="0" t="n">
        <f aca="false">IF(M1134=2,"",IF(ISNUMBER(SEARCH("rata-rata:",'Offshore - Perth'!N83)),VALUE(MID('Offshore - Perth'!N83,SEARCH("rata-rata:",'Offshore - Perth'!N83)+11,FIND(";",'Offshore - Perth'!N83&amp;";",SEARCH("rata-rata:",'Offshore - Perth'!N83))-SEARCH("rata-rata:",'Offshore - Perth'!N83)-11)),IF('Offshore - Perth'!D83="Semester",'Offshore - Perth'!E83*2,IF('Offshore - Perth'!D83="Trimester",'Offshore - Perth'!E83*3,IF('Offshore - Perth'!D83="Term",'Offshore - Perth'!E83*4,IF('Offshore - Perth'!D83="Unit",'Offshore - Perth'!E83*8,""))))))</f>
        <v>6400</v>
      </c>
      <c r="L1134" s="0" t="n">
        <f aca="false">IF(AND(ISNUMBER('Offshore - Perth'!E83),ISNUMBER(K1134),ISNUMBER('Offshore - Perth'!F83),ISNUMBER('Offshore - Perth'!G83),OR('Offshore - Perth'!F83&lt;&gt;0,ISNUMBER(SEARCH("Material 0 terverifikasi",'Offshore - Perth'!N83))),OR('Offshore - Perth'!G83&lt;&gt;0,ISNUMBER(SEARCH("Enrolment 0 terverifikasi",'Offshore - Perth'!N83)))),1,0)</f>
        <v>1</v>
      </c>
      <c r="M1134" s="0" t="n">
        <f aca="false">IF(OR('Offshore - Perth'!E83="",ISNUMBER(SEARCH("BSB80120",'Offshore - Perth'!B83&amp;'Offshore - Perth'!N83)),ISNUMBER(SEARCH("Management (Learning)",'Offshore - Perth'!B83))),2,IF(ISNUMBER(SEARCH("CEK:",'Offshore - Perth'!N83)),1,0))</f>
        <v>0</v>
      </c>
    </row>
    <row r="1135" customFormat="false" ht="15" hidden="false" customHeight="false" outlineLevel="0" collapsed="false">
      <c r="A1135" s="61" t="s">
        <v>4270</v>
      </c>
      <c r="B1135" s="62"/>
      <c r="C1135" s="62"/>
      <c r="D1135" s="62"/>
      <c r="E1135" s="62"/>
      <c r="F1135" s="62"/>
      <c r="G1135" s="62"/>
      <c r="H1135" s="62"/>
      <c r="I1135" s="62"/>
    </row>
    <row r="1136" customFormat="false" ht="15" hidden="false" customHeight="false" outlineLevel="0" collapsed="false">
      <c r="A1136" s="63" t="s">
        <v>3573</v>
      </c>
      <c r="B1136" s="64" t="s">
        <v>4207</v>
      </c>
      <c r="C1136" s="63" t="s">
        <v>41</v>
      </c>
      <c r="D1136" s="64" t="str">
        <f aca="false">TRIM(LEFT('Offshore - Perth'!A59,FIND(CHAR(10),'Offshore - Perth'!A59&amp;CHAR(10))-1))</f>
        <v>Global College Australasia</v>
      </c>
      <c r="E1136" s="63" t="str">
        <f aca="false">'Offshore - Perth'!C66&amp;""</f>
        <v>2 years</v>
      </c>
      <c r="F1136" s="63" t="str">
        <f aca="false">IF('Offshore - Perth'!D66="","Belum tercatat",'Offshore - Perth'!D66)</f>
        <v>Term</v>
      </c>
      <c r="G1136" s="65" t="n">
        <f aca="false">IF('Offshore - Perth'!E66="","-",'Offshore - Perth'!E66)</f>
        <v>3350</v>
      </c>
      <c r="H1136" s="63" t="n">
        <f aca="false">IF(ISNUMBER(K1136),COUNTIFS($J$6:$J$1854,J1136,$K$6:$K$1854,"&lt;"&amp;K1136)+1,"-")</f>
        <v>1</v>
      </c>
      <c r="I1136" s="64" t="str">
        <f aca="false">IF('Offshore - Perth'!E66="","Harga belum tersedia - hubungi konsultan TEG",IF(M1136=2,"Saat ini tidak menerima pendaftaran siswa internasional baru",IF(M1136=1,"Harga perlu dikonfirmasi ke sekolah"&amp;IF(""="","","; "&amp;""),"")))</f>
        <v/>
      </c>
      <c r="J1136" s="0" t="s">
        <v>4271</v>
      </c>
      <c r="K1136" s="0" t="n">
        <f aca="false">IF(M1136=2,"",IF(ISNUMBER(SEARCH("rata-rata:",'Offshore - Perth'!N66)),VALUE(MID('Offshore - Perth'!N66,SEARCH("rata-rata:",'Offshore - Perth'!N66)+11,FIND(";",'Offshore - Perth'!N66&amp;";",SEARCH("rata-rata:",'Offshore - Perth'!N66))-SEARCH("rata-rata:",'Offshore - Perth'!N66)-11)),IF('Offshore - Perth'!D66="Semester",'Offshore - Perth'!E66*2,IF('Offshore - Perth'!D66="Trimester",'Offshore - Perth'!E66*3,IF('Offshore - Perth'!D66="Term",'Offshore - Perth'!E66*4,IF('Offshore - Perth'!D66="Unit",'Offshore - Perth'!E66*8,""))))))</f>
        <v>13400</v>
      </c>
      <c r="L1136" s="0" t="n">
        <f aca="false">IF(AND(ISNUMBER('Offshore - Perth'!E66),ISNUMBER(K1136),ISNUMBER('Offshore - Perth'!F66),ISNUMBER('Offshore - Perth'!G66),OR('Offshore - Perth'!F66&lt;&gt;0,ISNUMBER(SEARCH("Material 0 terverifikasi",'Offshore - Perth'!N66))),OR('Offshore - Perth'!G66&lt;&gt;0,ISNUMBER(SEARCH("Enrolment 0 terverifikasi",'Offshore - Perth'!N66)))),1,0)</f>
        <v>1</v>
      </c>
      <c r="M1136" s="0" t="n">
        <f aca="false">IF(OR('Offshore - Perth'!E66="",ISNUMBER(SEARCH("BSB80120",'Offshore - Perth'!B66&amp;'Offshore - Perth'!N66)),ISNUMBER(SEARCH("Management (Learning)",'Offshore - Perth'!B66))),2,IF(ISNUMBER(SEARCH("CEK:",'Offshore - Perth'!N66)),1,0))</f>
        <v>0</v>
      </c>
    </row>
    <row r="1137" customFormat="false" ht="15" hidden="false" customHeight="false" outlineLevel="0" collapsed="false">
      <c r="A1137" s="61" t="s">
        <v>4272</v>
      </c>
      <c r="B1137" s="62"/>
      <c r="C1137" s="62"/>
      <c r="D1137" s="62"/>
      <c r="E1137" s="62"/>
      <c r="F1137" s="62"/>
      <c r="G1137" s="62"/>
      <c r="H1137" s="62"/>
      <c r="I1137" s="62"/>
    </row>
    <row r="1138" customFormat="false" ht="15" hidden="false" customHeight="false" outlineLevel="0" collapsed="false">
      <c r="A1138" s="63" t="s">
        <v>3533</v>
      </c>
      <c r="B1138" s="64" t="s">
        <v>4207</v>
      </c>
      <c r="C1138" s="63" t="s">
        <v>39</v>
      </c>
      <c r="D1138" s="64" t="str">
        <f aca="false">TRIM(LEFT('Offshore - Sydney'!A13,FIND(CHAR(10),'Offshore - Sydney'!A13&amp;CHAR(10))-1))</f>
        <v>ABM Further Education</v>
      </c>
      <c r="E1138" s="63" t="str">
        <f aca="false">'Offshore - Sydney'!C13&amp;""</f>
        <v>1 year</v>
      </c>
      <c r="F1138" s="63" t="str">
        <f aca="false">IF('Offshore - Sydney'!D13="","Belum tercatat",'Offshore - Sydney'!D13)</f>
        <v>Term</v>
      </c>
      <c r="G1138" s="65" t="n">
        <f aca="false">IF('Offshore - Sydney'!E13="","-",'Offshore - Sydney'!E13)</f>
        <v>2250</v>
      </c>
      <c r="H1138" s="63" t="n">
        <f aca="false">IF(ISNUMBER(K1138),COUNTIFS($J$6:$J$1854,J1138,$K$6:$K$1854,"&lt;"&amp;K1138)+1,"-")</f>
        <v>1</v>
      </c>
      <c r="I1138" s="64" t="str">
        <f aca="false">IF('Offshore - Sydney'!E13="","Harga belum tersedia - hubungi konsultan TEG",IF(M1138=2,"Saat ini tidak menerima pendaftaran siswa internasional baru",IF(M1138=1,"Harga perlu dikonfirmasi ke sekolah"&amp;IF(""="","","; "&amp;""),"")))</f>
        <v/>
      </c>
      <c r="J1138" s="0" t="s">
        <v>4273</v>
      </c>
      <c r="K1138" s="0" t="n">
        <f aca="false">IF(M1138=2,"",IF(ISNUMBER(SEARCH("rata-rata:",'Offshore - Sydney'!N13)),VALUE(MID('Offshore - Sydney'!N13,SEARCH("rata-rata:",'Offshore - Sydney'!N13)+11,FIND(";",'Offshore - Sydney'!N13&amp;";",SEARCH("rata-rata:",'Offshore - Sydney'!N13))-SEARCH("rata-rata:",'Offshore - Sydney'!N13)-11)),IF('Offshore - Sydney'!D13="Semester",'Offshore - Sydney'!E13*2,IF('Offshore - Sydney'!D13="Trimester",'Offshore - Sydney'!E13*3,IF('Offshore - Sydney'!D13="Term",'Offshore - Sydney'!E13*4,IF('Offshore - Sydney'!D13="Unit",'Offshore - Sydney'!E13*8,""))))))</f>
        <v>9000</v>
      </c>
      <c r="L1138" s="0" t="n">
        <f aca="false">IF(AND(ISNUMBER('Offshore - Sydney'!E13),ISNUMBER(K1138),ISNUMBER('Offshore - Sydney'!F13),ISNUMBER('Offshore - Sydney'!G13),OR('Offshore - Sydney'!F13&lt;&gt;0,ISNUMBER(SEARCH("Material 0 terverifikasi",'Offshore - Sydney'!N13))),OR('Offshore - Sydney'!G13&lt;&gt;0,ISNUMBER(SEARCH("Enrolment 0 terverifikasi",'Offshore - Sydney'!N13)))),1,0)</f>
        <v>1</v>
      </c>
      <c r="M1138" s="0" t="n">
        <f aca="false">IF(OR('Offshore - Sydney'!E13="",ISNUMBER(SEARCH("BSB80120",'Offshore - Sydney'!B13&amp;'Offshore - Sydney'!N13)),ISNUMBER(SEARCH("Management (Learning)",'Offshore - Sydney'!B13))),2,IF(ISNUMBER(SEARCH("CEK:",'Offshore - Sydney'!N13)),1,0))</f>
        <v>0</v>
      </c>
    </row>
    <row r="1139" customFormat="false" ht="15" hidden="false" customHeight="false" outlineLevel="0" collapsed="false">
      <c r="A1139" s="63" t="s">
        <v>3533</v>
      </c>
      <c r="B1139" s="64" t="s">
        <v>4207</v>
      </c>
      <c r="C1139" s="63" t="s">
        <v>39</v>
      </c>
      <c r="D1139" s="64" t="str">
        <f aca="false">TRIM(LEFT('Offshore - Sydney'!A1148,FIND(CHAR(10),'Offshore - Sydney'!A1148&amp;CHAR(10))-1))</f>
        <v>Whitehouse International College</v>
      </c>
      <c r="E1139" s="63" t="str">
        <f aca="false">'Offshore - Sydney'!C1148&amp;""</f>
        <v>1 year</v>
      </c>
      <c r="F1139" s="63" t="str">
        <f aca="false">IF('Offshore - Sydney'!D1148="","Belum tercatat",'Offshore - Sydney'!D1148)</f>
        <v>Term</v>
      </c>
      <c r="G1139" s="65" t="n">
        <f aca="false">IF('Offshore - Sydney'!E1148="","-",'Offshore - Sydney'!E1148)</f>
        <v>2750</v>
      </c>
      <c r="H1139" s="63" t="n">
        <f aca="false">IF(ISNUMBER(K1139),COUNTIFS($J$6:$J$1854,J1139,$K$6:$K$1854,"&lt;"&amp;K1139)+1,"-")</f>
        <v>2</v>
      </c>
      <c r="I1139" s="64" t="str">
        <f aca="false">IF('Offshore - Sydney'!E1148="","Harga belum tersedia - hubungi konsultan TEG",IF(M1139=2,"Saat ini tidak menerima pendaftaran siswa internasional baru",IF(M1139=1,"Program perlu dikonfirmasi ketersediaannya"&amp;IF(""="","","; "&amp;""),"")))</f>
        <v>Program perlu dikonfirmasi ketersediaannya</v>
      </c>
      <c r="J1139" s="0" t="s">
        <v>4273</v>
      </c>
      <c r="K1139" s="0" t="n">
        <f aca="false">IF(M1139=2,"",IF(ISNUMBER(SEARCH("rata-rata:",'Offshore - Sydney'!N1148)),VALUE(MID('Offshore - Sydney'!N1148,SEARCH("rata-rata:",'Offshore - Sydney'!N1148)+11,FIND(";",'Offshore - Sydney'!N1148&amp;";",SEARCH("rata-rata:",'Offshore - Sydney'!N1148))-SEARCH("rata-rata:",'Offshore - Sydney'!N1148)-11)),IF('Offshore - Sydney'!D1148="Semester",'Offshore - Sydney'!E1148*2,IF('Offshore - Sydney'!D1148="Trimester",'Offshore - Sydney'!E1148*3,IF('Offshore - Sydney'!D1148="Term",'Offshore - Sydney'!E1148*4,IF('Offshore - Sydney'!D1148="Unit",'Offshore - Sydney'!E1148*8,""))))))</f>
        <v>11000</v>
      </c>
      <c r="L1139" s="0" t="n">
        <f aca="false">IF(AND(ISNUMBER('Offshore - Sydney'!E1148),ISNUMBER(K1139),ISNUMBER('Offshore - Sydney'!F1148),ISNUMBER('Offshore - Sydney'!G1148),OR('Offshore - Sydney'!F1148&lt;&gt;0,ISNUMBER(SEARCH("Material 0 terverifikasi",'Offshore - Sydney'!N1148))),OR('Offshore - Sydney'!G1148&lt;&gt;0,ISNUMBER(SEARCH("Enrolment 0 terverifikasi",'Offshore - Sydney'!N1148)))),1,0)</f>
        <v>1</v>
      </c>
      <c r="M1139" s="0" t="n">
        <f aca="false">IF(OR('Offshore - Sydney'!E1148="",ISNUMBER(SEARCH("BSB80120",'Offshore - Sydney'!B1148&amp;'Offshore - Sydney'!N1148)),ISNUMBER(SEARCH("Management (Learning)",'Offshore - Sydney'!B1148))),2,IF(ISNUMBER(SEARCH("CEK:",'Offshore - Sydney'!N1148)),1,0))</f>
        <v>1</v>
      </c>
    </row>
    <row r="1140" customFormat="false" ht="15" hidden="false" customHeight="false" outlineLevel="0" collapsed="false">
      <c r="A1140" s="63" t="s">
        <v>3533</v>
      </c>
      <c r="B1140" s="64" t="s">
        <v>4207</v>
      </c>
      <c r="C1140" s="63" t="s">
        <v>39</v>
      </c>
      <c r="D1140" s="64" t="str">
        <f aca="false">TRIM(LEFT('Offshore - Sydney'!A625,FIND(CHAR(10),'Offshore - Sydney'!A625&amp;CHAR(10))-1))</f>
        <v>Nurse Training Australia (NTA)</v>
      </c>
      <c r="E1140" s="63" t="str">
        <f aca="false">'Offshore - Sydney'!C629&amp;""</f>
        <v>0,5 year</v>
      </c>
      <c r="F1140" s="63" t="str">
        <f aca="false">IF('Offshore - Sydney'!D629="","Belum tercatat",'Offshore - Sydney'!D629)</f>
        <v>Term</v>
      </c>
      <c r="G1140" s="65" t="n">
        <f aca="false">IF('Offshore - Sydney'!E629="","-",'Offshore - Sydney'!E629)</f>
        <v>2875</v>
      </c>
      <c r="H1140" s="63" t="n">
        <f aca="false">IF(ISNUMBER(K1140),COUNTIFS($J$6:$J$1854,J1140,$K$6:$K$1854,"&lt;"&amp;K1140)+1,"-")</f>
        <v>3</v>
      </c>
      <c r="I1140" s="64" t="str">
        <f aca="false">IF('Offshore - Sydney'!E629="","Harga belum tersedia - hubungi konsultan TEG",IF(M1140=2,"Saat ini tidak menerima pendaftaran siswa internasional baru",IF(M1140=1,"Harga perlu dikonfirmasi ke sekolah"&amp;IF(""="","","; "&amp;""),"")))</f>
        <v/>
      </c>
      <c r="J1140" s="0" t="s">
        <v>4273</v>
      </c>
      <c r="K1140" s="0" t="n">
        <f aca="false">IF(M1140=2,"",IF(ISNUMBER(SEARCH("rata-rata:",'Offshore - Sydney'!N629)),VALUE(MID('Offshore - Sydney'!N629,SEARCH("rata-rata:",'Offshore - Sydney'!N629)+11,FIND(";",'Offshore - Sydney'!N629&amp;";",SEARCH("rata-rata:",'Offshore - Sydney'!N629))-SEARCH("rata-rata:",'Offshore - Sydney'!N629)-11)),IF('Offshore - Sydney'!D629="Semester",'Offshore - Sydney'!E629*2,IF('Offshore - Sydney'!D629="Trimester",'Offshore - Sydney'!E629*3,IF('Offshore - Sydney'!D629="Term",'Offshore - Sydney'!E629*4,IF('Offshore - Sydney'!D629="Unit",'Offshore - Sydney'!E629*8,""))))))</f>
        <v>11500</v>
      </c>
      <c r="L1140" s="0" t="n">
        <f aca="false">IF(AND(ISNUMBER('Offshore - Sydney'!E629),ISNUMBER(K1140),ISNUMBER('Offshore - Sydney'!F629),ISNUMBER('Offshore - Sydney'!G629),OR('Offshore - Sydney'!F629&lt;&gt;0,ISNUMBER(SEARCH("Material 0 terverifikasi",'Offshore - Sydney'!N629))),OR('Offshore - Sydney'!G629&lt;&gt;0,ISNUMBER(SEARCH("Enrolment 0 terverifikasi",'Offshore - Sydney'!N629)))),1,0)</f>
        <v>1</v>
      </c>
      <c r="M1140" s="0" t="n">
        <f aca="false">IF(OR('Offshore - Sydney'!E629="",ISNUMBER(SEARCH("BSB80120",'Offshore - Sydney'!B629&amp;'Offshore - Sydney'!N629)),ISNUMBER(SEARCH("Management (Learning)",'Offshore - Sydney'!B629))),2,IF(ISNUMBER(SEARCH("CEK:",'Offshore - Sydney'!N629)),1,0))</f>
        <v>0</v>
      </c>
    </row>
    <row r="1141" customFormat="false" ht="15" hidden="false" customHeight="false" outlineLevel="0" collapsed="false">
      <c r="A1141" s="61" t="s">
        <v>4274</v>
      </c>
      <c r="B1141" s="62"/>
      <c r="C1141" s="62"/>
      <c r="D1141" s="62"/>
      <c r="E1141" s="62"/>
      <c r="F1141" s="62"/>
      <c r="G1141" s="62"/>
      <c r="H1141" s="62"/>
      <c r="I1141" s="62"/>
    </row>
    <row r="1142" customFormat="false" ht="15" hidden="false" customHeight="false" outlineLevel="0" collapsed="false">
      <c r="A1142" s="63" t="s">
        <v>3533</v>
      </c>
      <c r="B1142" s="64" t="s">
        <v>4207</v>
      </c>
      <c r="C1142" s="63" t="s">
        <v>40</v>
      </c>
      <c r="D1142" s="64" t="str">
        <f aca="false">TRIM(LEFT('Offshore - Sydney'!A448,FIND(CHAR(10),'Offshore - Sydney'!A448&amp;CHAR(10))-1))</f>
        <v>Greenwich College</v>
      </c>
      <c r="E1142" s="63" t="str">
        <f aca="false">'Offshore - Sydney'!C461&amp;""</f>
        <v>84 weeks</v>
      </c>
      <c r="F1142" s="63" t="str">
        <f aca="false">IF('Offshore - Sydney'!D461="","Belum tercatat",'Offshore - Sydney'!D461)</f>
        <v>Term</v>
      </c>
      <c r="G1142" s="65" t="n">
        <f aca="false">IF('Offshore - Sydney'!E461="","-",'Offshore - Sydney'!E461)</f>
        <v>1600</v>
      </c>
      <c r="H1142" s="63" t="n">
        <f aca="false">IF(ISNUMBER(K1142),COUNTIFS($J$6:$J$1854,J1142,$K$6:$K$1854,"&lt;"&amp;K1142)+1,"-")</f>
        <v>1</v>
      </c>
      <c r="I1142" s="64" t="str">
        <f aca="false">IF('Offshore - Sydney'!E461="","Harga belum tersedia - hubungi konsultan TEG",IF(M1142=2,"Saat ini tidak menerima pendaftaran siswa internasional baru",IF(M1142=1,"Harga perlu dikonfirmasi ke sekolah"&amp;IF(""="","","; "&amp;""),"")))</f>
        <v/>
      </c>
      <c r="J1142" s="0" t="s">
        <v>4275</v>
      </c>
      <c r="K1142" s="0" t="n">
        <f aca="false">IF(M1142=2,"",IF(ISNUMBER(SEARCH("rata-rata:",'Offshore - Sydney'!N461)),VALUE(MID('Offshore - Sydney'!N461,SEARCH("rata-rata:",'Offshore - Sydney'!N461)+11,FIND(";",'Offshore - Sydney'!N461&amp;";",SEARCH("rata-rata:",'Offshore - Sydney'!N461))-SEARCH("rata-rata:",'Offshore - Sydney'!N461)-11)),IF('Offshore - Sydney'!D461="Semester",'Offshore - Sydney'!E461*2,IF('Offshore - Sydney'!D461="Trimester",'Offshore - Sydney'!E461*3,IF('Offshore - Sydney'!D461="Term",'Offshore - Sydney'!E461*4,IF('Offshore - Sydney'!D461="Unit",'Offshore - Sydney'!E461*8,""))))))</f>
        <v>6400</v>
      </c>
      <c r="L1142" s="0" t="n">
        <f aca="false">IF(AND(ISNUMBER('Offshore - Sydney'!E461),ISNUMBER(K1142),ISNUMBER('Offshore - Sydney'!F461),ISNUMBER('Offshore - Sydney'!G461),OR('Offshore - Sydney'!F461&lt;&gt;0,ISNUMBER(SEARCH("Material 0 terverifikasi",'Offshore - Sydney'!N461))),OR('Offshore - Sydney'!G461&lt;&gt;0,ISNUMBER(SEARCH("Enrolment 0 terverifikasi",'Offshore - Sydney'!N461)))),1,0)</f>
        <v>1</v>
      </c>
      <c r="M1142" s="0" t="n">
        <f aca="false">IF(OR('Offshore - Sydney'!E461="",ISNUMBER(SEARCH("BSB80120",'Offshore - Sydney'!B461&amp;'Offshore - Sydney'!N461)),ISNUMBER(SEARCH("Management (Learning)",'Offshore - Sydney'!B461))),2,IF(ISNUMBER(SEARCH("CEK:",'Offshore - Sydney'!N461)),1,0))</f>
        <v>0</v>
      </c>
    </row>
    <row r="1143" customFormat="false" ht="15" hidden="false" customHeight="false" outlineLevel="0" collapsed="false">
      <c r="A1143" s="63" t="s">
        <v>3533</v>
      </c>
      <c r="B1143" s="64" t="s">
        <v>4207</v>
      </c>
      <c r="C1143" s="63" t="s">
        <v>40</v>
      </c>
      <c r="D1143" s="64" t="str">
        <f aca="false">TRIM(LEFT('Offshore - Sydney'!A703,FIND(CHAR(10),'Offshore - Sydney'!A703&amp;CHAR(10))-1))</f>
        <v>Sydney Metro College (SMC)</v>
      </c>
      <c r="E1143" s="63" t="str">
        <f aca="false">'Offshore - Sydney'!C712&amp;""</f>
        <v>2 years</v>
      </c>
      <c r="F1143" s="63" t="str">
        <f aca="false">IF('Offshore - Sydney'!D712="","Belum tercatat",'Offshore - Sydney'!D712)</f>
        <v>Term</v>
      </c>
      <c r="G1143" s="65" t="n">
        <f aca="false">IF('Offshore - Sydney'!E712="","-",'Offshore - Sydney'!E712)</f>
        <v>1815</v>
      </c>
      <c r="H1143" s="63" t="n">
        <f aca="false">IF(ISNUMBER(K1143),COUNTIFS($J$6:$J$1854,J1143,$K$6:$K$1854,"&lt;"&amp;K1143)+1,"-")</f>
        <v>2</v>
      </c>
      <c r="I1143" s="64" t="str">
        <f aca="false">IF('Offshore - Sydney'!E712="","Harga belum tersedia - hubungi konsultan TEG",IF(M1143=2,"Saat ini tidak menerima pendaftaran siswa internasional baru",IF(M1143=1,"Harga perlu dikonfirmasi ke sekolah"&amp;IF(""="","","; "&amp;""),"")))</f>
        <v/>
      </c>
      <c r="J1143" s="0" t="s">
        <v>4275</v>
      </c>
      <c r="K1143" s="0" t="n">
        <f aca="false">IF(M1143=2,"",IF(ISNUMBER(SEARCH("rata-rata:",'Offshore - Sydney'!N712)),VALUE(MID('Offshore - Sydney'!N712,SEARCH("rata-rata:",'Offshore - Sydney'!N712)+11,FIND(";",'Offshore - Sydney'!N712&amp;";",SEARCH("rata-rata:",'Offshore - Sydney'!N712))-SEARCH("rata-rata:",'Offshore - Sydney'!N712)-11)),IF('Offshore - Sydney'!D712="Semester",'Offshore - Sydney'!E712*2,IF('Offshore - Sydney'!D712="Trimester",'Offshore - Sydney'!E712*3,IF('Offshore - Sydney'!D712="Term",'Offshore - Sydney'!E712*4,IF('Offshore - Sydney'!D712="Unit",'Offshore - Sydney'!E712*8,""))))))</f>
        <v>7260</v>
      </c>
      <c r="L1143" s="0" t="n">
        <f aca="false">IF(AND(ISNUMBER('Offshore - Sydney'!E712),ISNUMBER(K1143),ISNUMBER('Offshore - Sydney'!F712),ISNUMBER('Offshore - Sydney'!G712),OR('Offshore - Sydney'!F712&lt;&gt;0,ISNUMBER(SEARCH("Material 0 terverifikasi",'Offshore - Sydney'!N712))),OR('Offshore - Sydney'!G712&lt;&gt;0,ISNUMBER(SEARCH("Enrolment 0 terverifikasi",'Offshore - Sydney'!N712)))),1,0)</f>
        <v>1</v>
      </c>
      <c r="M1143" s="0" t="n">
        <f aca="false">IF(OR('Offshore - Sydney'!E712="",ISNUMBER(SEARCH("BSB80120",'Offshore - Sydney'!B712&amp;'Offshore - Sydney'!N712)),ISNUMBER(SEARCH("Management (Learning)",'Offshore - Sydney'!B712))),2,IF(ISNUMBER(SEARCH("CEK:",'Offshore - Sydney'!N712)),1,0))</f>
        <v>0</v>
      </c>
    </row>
    <row r="1144" customFormat="false" ht="28.35" hidden="false" customHeight="false" outlineLevel="0" collapsed="false">
      <c r="A1144" s="63" t="s">
        <v>3533</v>
      </c>
      <c r="B1144" s="64" t="s">
        <v>4207</v>
      </c>
      <c r="C1144" s="63" t="s">
        <v>40</v>
      </c>
      <c r="D1144" s="64" t="str">
        <f aca="false">TRIM(LEFT('Offshore - Sydney'!A313,FIND(CHAR(10),'Offshore - Sydney'!A313&amp;CHAR(10))-1))</f>
        <v>Australian International College of Skills &amp; Education (AICSE)</v>
      </c>
      <c r="E1144" s="63" t="str">
        <f aca="false">'Offshore - Sydney'!C322&amp;""</f>
        <v>2 years</v>
      </c>
      <c r="F1144" s="63" t="str">
        <f aca="false">IF('Offshore - Sydney'!D322="","Belum tercatat",'Offshore - Sydney'!D322)</f>
        <v>Term</v>
      </c>
      <c r="G1144" s="65" t="n">
        <f aca="false">IF('Offshore - Sydney'!E322="","-",'Offshore - Sydney'!E322)</f>
        <v>1875</v>
      </c>
      <c r="H1144" s="63" t="n">
        <f aca="false">IF(ISNUMBER(K1144),COUNTIFS($J$6:$J$1854,J1144,$K$6:$K$1854,"&lt;"&amp;K1144)+1,"-")</f>
        <v>3</v>
      </c>
      <c r="I1144" s="64" t="str">
        <f aca="false">IF('Offshore - Sydney'!E322="","Harga belum tersedia - hubungi konsultan TEG",IF(M1144=2,"Saat ini tidak menerima pendaftaran siswa internasional baru",IF(M1144=1,"Harga perlu dikonfirmasi ke sekolah"&amp;IF(""="","","; "&amp;""),"")))</f>
        <v/>
      </c>
      <c r="J1144" s="0" t="s">
        <v>4275</v>
      </c>
      <c r="K1144" s="0" t="n">
        <f aca="false">IF(M1144=2,"",IF(ISNUMBER(SEARCH("rata-rata:",'Offshore - Sydney'!N322)),VALUE(MID('Offshore - Sydney'!N322,SEARCH("rata-rata:",'Offshore - Sydney'!N322)+11,FIND(";",'Offshore - Sydney'!N322&amp;";",SEARCH("rata-rata:",'Offshore - Sydney'!N322))-SEARCH("rata-rata:",'Offshore - Sydney'!N322)-11)),IF('Offshore - Sydney'!D322="Semester",'Offshore - Sydney'!E322*2,IF('Offshore - Sydney'!D322="Trimester",'Offshore - Sydney'!E322*3,IF('Offshore - Sydney'!D322="Term",'Offshore - Sydney'!E322*4,IF('Offshore - Sydney'!D322="Unit",'Offshore - Sydney'!E322*8,""))))))</f>
        <v>7500</v>
      </c>
      <c r="L1144" s="0" t="n">
        <f aca="false">IF(AND(ISNUMBER('Offshore - Sydney'!E322),ISNUMBER(K1144),ISNUMBER('Offshore - Sydney'!F322),ISNUMBER('Offshore - Sydney'!G322),OR('Offshore - Sydney'!F322&lt;&gt;0,ISNUMBER(SEARCH("Material 0 terverifikasi",'Offshore - Sydney'!N322))),OR('Offshore - Sydney'!G322&lt;&gt;0,ISNUMBER(SEARCH("Enrolment 0 terverifikasi",'Offshore - Sydney'!N322)))),1,0)</f>
        <v>1</v>
      </c>
      <c r="M1144" s="0" t="n">
        <f aca="false">IF(OR('Offshore - Sydney'!E322="",ISNUMBER(SEARCH("BSB80120",'Offshore - Sydney'!B322&amp;'Offshore - Sydney'!N322)),ISNUMBER(SEARCH("Management (Learning)",'Offshore - Sydney'!B322))),2,IF(ISNUMBER(SEARCH("CEK:",'Offshore - Sydney'!N322)),1,0))</f>
        <v>0</v>
      </c>
    </row>
    <row r="1145" customFormat="false" ht="15" hidden="false" customHeight="false" outlineLevel="0" collapsed="false">
      <c r="A1145" s="63" t="s">
        <v>3533</v>
      </c>
      <c r="B1145" s="64" t="s">
        <v>4207</v>
      </c>
      <c r="C1145" s="63" t="s">
        <v>40</v>
      </c>
      <c r="D1145" s="64" t="str">
        <f aca="false">TRIM(LEFT('Offshore - Sydney'!A800,FIND(CHAR(10),'Offshore - Sydney'!A800&amp;CHAR(10))-1))</f>
        <v>Times Academy</v>
      </c>
      <c r="E1145" s="63" t="str">
        <f aca="false">'Offshore - Sydney'!C804&amp;""</f>
        <v>1,5 years</v>
      </c>
      <c r="F1145" s="63" t="str">
        <f aca="false">IF('Offshore - Sydney'!D804="","Belum tercatat",'Offshore - Sydney'!D804)</f>
        <v>Term</v>
      </c>
      <c r="G1145" s="65" t="n">
        <f aca="false">IF('Offshore - Sydney'!E804="","-",'Offshore - Sydney'!E804)</f>
        <v>2000</v>
      </c>
      <c r="H1145" s="63" t="n">
        <f aca="false">IF(ISNUMBER(K1145),COUNTIFS($J$6:$J$1854,J1145,$K$6:$K$1854,"&lt;"&amp;K1145)+1,"-")</f>
        <v>4</v>
      </c>
      <c r="I1145" s="64" t="str">
        <f aca="false">IF('Offshore - Sydney'!E804="","Harga belum tersedia - hubungi konsultan TEG",IF(M1145=2,"Saat ini tidak menerima pendaftaran siswa internasional baru",IF(M1145=1,"Harga perlu dikonfirmasi ke sekolah"&amp;IF(""="","","; "&amp;""),"")))</f>
        <v/>
      </c>
      <c r="J1145" s="0" t="s">
        <v>4275</v>
      </c>
      <c r="K1145" s="0" t="n">
        <f aca="false">IF(M1145=2,"",IF(ISNUMBER(SEARCH("rata-rata:",'Offshore - Sydney'!N804)),VALUE(MID('Offshore - Sydney'!N804,SEARCH("rata-rata:",'Offshore - Sydney'!N804)+11,FIND(";",'Offshore - Sydney'!N804&amp;";",SEARCH("rata-rata:",'Offshore - Sydney'!N804))-SEARCH("rata-rata:",'Offshore - Sydney'!N804)-11)),IF('Offshore - Sydney'!D804="Semester",'Offshore - Sydney'!E804*2,IF('Offshore - Sydney'!D804="Trimester",'Offshore - Sydney'!E804*3,IF('Offshore - Sydney'!D804="Term",'Offshore - Sydney'!E804*4,IF('Offshore - Sydney'!D804="Unit",'Offshore - Sydney'!E804*8,""))))))</f>
        <v>8000</v>
      </c>
      <c r="L1145" s="0" t="n">
        <f aca="false">IF(AND(ISNUMBER('Offshore - Sydney'!E804),ISNUMBER(K1145),ISNUMBER('Offshore - Sydney'!F804),ISNUMBER('Offshore - Sydney'!G804),OR('Offshore - Sydney'!F804&lt;&gt;0,ISNUMBER(SEARCH("Material 0 terverifikasi",'Offshore - Sydney'!N804))),OR('Offshore - Sydney'!G804&lt;&gt;0,ISNUMBER(SEARCH("Enrolment 0 terverifikasi",'Offshore - Sydney'!N804)))),1,0)</f>
        <v>1</v>
      </c>
      <c r="M1145" s="0" t="n">
        <f aca="false">IF(OR('Offshore - Sydney'!E804="",ISNUMBER(SEARCH("BSB80120",'Offshore - Sydney'!B804&amp;'Offshore - Sydney'!N804)),ISNUMBER(SEARCH("Management (Learning)",'Offshore - Sydney'!B804))),2,IF(ISNUMBER(SEARCH("CEK:",'Offshore - Sydney'!N804)),1,0))</f>
        <v>0</v>
      </c>
    </row>
    <row r="1146" customFormat="false" ht="15" hidden="false" customHeight="false" outlineLevel="0" collapsed="false">
      <c r="A1146" s="63" t="s">
        <v>3533</v>
      </c>
      <c r="B1146" s="64" t="s">
        <v>4207</v>
      </c>
      <c r="C1146" s="63" t="s">
        <v>40</v>
      </c>
      <c r="D1146" s="64" t="str">
        <f aca="false">TRIM(LEFT('Offshore - Sydney'!A715,FIND(CHAR(10),'Offshore - Sydney'!A715&amp;CHAR(10))-1))</f>
        <v>Sydney Metropolitan International College</v>
      </c>
      <c r="E1146" s="63" t="str">
        <f aca="false">'Offshore - Sydney'!C718&amp;""</f>
        <v>2 years</v>
      </c>
      <c r="F1146" s="63" t="str">
        <f aca="false">IF('Offshore - Sydney'!D718="","Belum tercatat",'Offshore - Sydney'!D718)</f>
        <v>Term</v>
      </c>
      <c r="G1146" s="65" t="n">
        <f aca="false">IF('Offshore - Sydney'!E718="","-",'Offshore - Sydney'!E718)</f>
        <v>2100</v>
      </c>
      <c r="H1146" s="63" t="n">
        <f aca="false">IF(ISNUMBER(K1146),COUNTIFS($J$6:$J$1854,J1146,$K$6:$K$1854,"&lt;"&amp;K1146)+1,"-")</f>
        <v>5</v>
      </c>
      <c r="I1146" s="64" t="str">
        <f aca="false">IF('Offshore - Sydney'!E718="","Harga belum tersedia - hubungi konsultan TEG",IF(M1146=2,"Saat ini tidak menerima pendaftaran siswa internasional baru",IF(M1146=1,"Harga perlu dikonfirmasi ke sekolah"&amp;IF(""="","","; "&amp;""),"")))</f>
        <v/>
      </c>
      <c r="J1146" s="0" t="s">
        <v>4275</v>
      </c>
      <c r="K1146" s="0" t="n">
        <f aca="false">IF(M1146=2,"",IF(ISNUMBER(SEARCH("rata-rata:",'Offshore - Sydney'!N718)),VALUE(MID('Offshore - Sydney'!N718,SEARCH("rata-rata:",'Offshore - Sydney'!N718)+11,FIND(";",'Offshore - Sydney'!N718&amp;";",SEARCH("rata-rata:",'Offshore - Sydney'!N718))-SEARCH("rata-rata:",'Offshore - Sydney'!N718)-11)),IF('Offshore - Sydney'!D718="Semester",'Offshore - Sydney'!E718*2,IF('Offshore - Sydney'!D718="Trimester",'Offshore - Sydney'!E718*3,IF('Offshore - Sydney'!D718="Term",'Offshore - Sydney'!E718*4,IF('Offshore - Sydney'!D718="Unit",'Offshore - Sydney'!E718*8,""))))))</f>
        <v>8400</v>
      </c>
      <c r="L1146" s="0" t="n">
        <f aca="false">IF(AND(ISNUMBER('Offshore - Sydney'!E718),ISNUMBER(K1146),ISNUMBER('Offshore - Sydney'!F718),ISNUMBER('Offshore - Sydney'!G718),OR('Offshore - Sydney'!F718&lt;&gt;0,ISNUMBER(SEARCH("Material 0 terverifikasi",'Offshore - Sydney'!N718))),OR('Offshore - Sydney'!G718&lt;&gt;0,ISNUMBER(SEARCH("Enrolment 0 terverifikasi",'Offshore - Sydney'!N718)))),1,0)</f>
        <v>1</v>
      </c>
      <c r="M1146" s="0" t="n">
        <f aca="false">IF(OR('Offshore - Sydney'!E718="",ISNUMBER(SEARCH("BSB80120",'Offshore - Sydney'!B718&amp;'Offshore - Sydney'!N718)),ISNUMBER(SEARCH("Management (Learning)",'Offshore - Sydney'!B718))),2,IF(ISNUMBER(SEARCH("CEK:",'Offshore - Sydney'!N718)),1,0))</f>
        <v>0</v>
      </c>
    </row>
    <row r="1147" customFormat="false" ht="15" hidden="false" customHeight="false" outlineLevel="0" collapsed="false">
      <c r="A1147" s="63" t="s">
        <v>3533</v>
      </c>
      <c r="B1147" s="64" t="s">
        <v>4207</v>
      </c>
      <c r="C1147" s="63" t="s">
        <v>40</v>
      </c>
      <c r="D1147" s="64" t="str">
        <f aca="false">TRIM(LEFT('Offshore - Sydney'!A13,FIND(CHAR(10),'Offshore - Sydney'!A13&amp;CHAR(10))-1))</f>
        <v>ABM Further Education</v>
      </c>
      <c r="E1147" s="63" t="str">
        <f aca="false">'Offshore - Sydney'!C14&amp;""</f>
        <v>2 years</v>
      </c>
      <c r="F1147" s="63" t="str">
        <f aca="false">IF('Offshore - Sydney'!D14="","Belum tercatat",'Offshore - Sydney'!D14)</f>
        <v>Term</v>
      </c>
      <c r="G1147" s="65" t="n">
        <f aca="false">IF('Offshore - Sydney'!E14="","-",'Offshore - Sydney'!E14)</f>
        <v>2250</v>
      </c>
      <c r="H1147" s="63" t="n">
        <f aca="false">IF(ISNUMBER(K1147),COUNTIFS($J$6:$J$1854,J1147,$K$6:$K$1854,"&lt;"&amp;K1147)+1,"-")</f>
        <v>6</v>
      </c>
      <c r="I1147" s="64" t="str">
        <f aca="false">IF('Offshore - Sydney'!E14="","Harga belum tersedia - hubungi konsultan TEG",IF(M1147=2,"Saat ini tidak menerima pendaftaran siswa internasional baru",IF(M1147=1,"Harga perlu dikonfirmasi ke sekolah"&amp;IF(""="","","; "&amp;""),"")))</f>
        <v/>
      </c>
      <c r="J1147" s="0" t="s">
        <v>4275</v>
      </c>
      <c r="K1147" s="0" t="n">
        <f aca="false">IF(M1147=2,"",IF(ISNUMBER(SEARCH("rata-rata:",'Offshore - Sydney'!N14)),VALUE(MID('Offshore - Sydney'!N14,SEARCH("rata-rata:",'Offshore - Sydney'!N14)+11,FIND(";",'Offshore - Sydney'!N14&amp;";",SEARCH("rata-rata:",'Offshore - Sydney'!N14))-SEARCH("rata-rata:",'Offshore - Sydney'!N14)-11)),IF('Offshore - Sydney'!D14="Semester",'Offshore - Sydney'!E14*2,IF('Offshore - Sydney'!D14="Trimester",'Offshore - Sydney'!E14*3,IF('Offshore - Sydney'!D14="Term",'Offshore - Sydney'!E14*4,IF('Offshore - Sydney'!D14="Unit",'Offshore - Sydney'!E14*8,""))))))</f>
        <v>9000</v>
      </c>
      <c r="L1147" s="0" t="n">
        <f aca="false">IF(AND(ISNUMBER('Offshore - Sydney'!E14),ISNUMBER(K1147),ISNUMBER('Offshore - Sydney'!F14),ISNUMBER('Offshore - Sydney'!G14),OR('Offshore - Sydney'!F14&lt;&gt;0,ISNUMBER(SEARCH("Material 0 terverifikasi",'Offshore - Sydney'!N14))),OR('Offshore - Sydney'!G14&lt;&gt;0,ISNUMBER(SEARCH("Enrolment 0 terverifikasi",'Offshore - Sydney'!N14)))),1,0)</f>
        <v>1</v>
      </c>
      <c r="M1147" s="0" t="n">
        <f aca="false">IF(OR('Offshore - Sydney'!E14="",ISNUMBER(SEARCH("BSB80120",'Offshore - Sydney'!B14&amp;'Offshore - Sydney'!N14)),ISNUMBER(SEARCH("Management (Learning)",'Offshore - Sydney'!B14))),2,IF(ISNUMBER(SEARCH("CEK:",'Offshore - Sydney'!N14)),1,0))</f>
        <v>0</v>
      </c>
    </row>
    <row r="1148" customFormat="false" ht="15" hidden="false" customHeight="false" outlineLevel="0" collapsed="false">
      <c r="A1148" s="63" t="s">
        <v>3533</v>
      </c>
      <c r="B1148" s="64" t="s">
        <v>4207</v>
      </c>
      <c r="C1148" s="63" t="s">
        <v>40</v>
      </c>
      <c r="D1148" s="64" t="str">
        <f aca="false">TRIM(LEFT('Offshore - Sydney'!A469,FIND(CHAR(10),'Offshore - Sydney'!A469&amp;CHAR(10))-1))</f>
        <v>Harbourside Institute of Australia (HIA)</v>
      </c>
      <c r="E1148" s="63" t="str">
        <f aca="false">'Offshore - Sydney'!C477&amp;""</f>
        <v>2 years</v>
      </c>
      <c r="F1148" s="63" t="str">
        <f aca="false">IF('Offshore - Sydney'!D477="","Belum tercatat",'Offshore - Sydney'!D477)</f>
        <v>Term</v>
      </c>
      <c r="G1148" s="65" t="n">
        <f aca="false">IF('Offshore - Sydney'!E477="","-",'Offshore - Sydney'!E477)</f>
        <v>2250</v>
      </c>
      <c r="H1148" s="63" t="n">
        <f aca="false">IF(ISNUMBER(K1148),COUNTIFS($J$6:$J$1854,J1148,$K$6:$K$1854,"&lt;"&amp;K1148)+1,"-")</f>
        <v>6</v>
      </c>
      <c r="I1148" s="64" t="str">
        <f aca="false">IF('Offshore - Sydney'!E477="","Harga belum tersedia - hubungi konsultan TEG",IF(M1148=2,"Saat ini tidak menerima pendaftaran siswa internasional baru",IF(M1148=1,"Harga perlu dikonfirmasi ke sekolah"&amp;IF(""="","","; "&amp;""),"")))</f>
        <v>Harga perlu dikonfirmasi ke sekolah</v>
      </c>
      <c r="J1148" s="0" t="s">
        <v>4275</v>
      </c>
      <c r="K1148" s="0" t="n">
        <f aca="false">IF(M1148=2,"",IF(ISNUMBER(SEARCH("rata-rata:",'Offshore - Sydney'!N477)),VALUE(MID('Offshore - Sydney'!N477,SEARCH("rata-rata:",'Offshore - Sydney'!N477)+11,FIND(";",'Offshore - Sydney'!N477&amp;";",SEARCH("rata-rata:",'Offshore - Sydney'!N477))-SEARCH("rata-rata:",'Offshore - Sydney'!N477)-11)),IF('Offshore - Sydney'!D477="Semester",'Offshore - Sydney'!E477*2,IF('Offshore - Sydney'!D477="Trimester",'Offshore - Sydney'!E477*3,IF('Offshore - Sydney'!D477="Term",'Offshore - Sydney'!E477*4,IF('Offshore - Sydney'!D477="Unit",'Offshore - Sydney'!E477*8,""))))))</f>
        <v>9000</v>
      </c>
      <c r="L1148" s="0" t="n">
        <f aca="false">IF(AND(ISNUMBER('Offshore - Sydney'!E477),ISNUMBER(K1148),ISNUMBER('Offshore - Sydney'!F477),ISNUMBER('Offshore - Sydney'!G477),OR('Offshore - Sydney'!F477&lt;&gt;0,ISNUMBER(SEARCH("Material 0 terverifikasi",'Offshore - Sydney'!N477))),OR('Offshore - Sydney'!G477&lt;&gt;0,ISNUMBER(SEARCH("Enrolment 0 terverifikasi",'Offshore - Sydney'!N477)))),1,0)</f>
        <v>1</v>
      </c>
      <c r="M1148" s="0" t="n">
        <f aca="false">IF(OR('Offshore - Sydney'!E477="",ISNUMBER(SEARCH("BSB80120",'Offshore - Sydney'!B477&amp;'Offshore - Sydney'!N477)),ISNUMBER(SEARCH("Management (Learning)",'Offshore - Sydney'!B477))),2,IF(ISNUMBER(SEARCH("CEK:",'Offshore - Sydney'!N477)),1,0))</f>
        <v>1</v>
      </c>
    </row>
    <row r="1149" customFormat="false" ht="15" hidden="false" customHeight="false" outlineLevel="0" collapsed="false">
      <c r="A1149" s="63" t="s">
        <v>3533</v>
      </c>
      <c r="B1149" s="64" t="s">
        <v>4207</v>
      </c>
      <c r="C1149" s="63" t="s">
        <v>40</v>
      </c>
      <c r="D1149" s="64" t="str">
        <f aca="false">TRIM(LEFT('Offshore - Sydney'!A660,FIND(CHAR(10),'Offshore - Sydney'!A660&amp;CHAR(10))-1))</f>
        <v>Rosehill College</v>
      </c>
      <c r="E1149" s="63" t="str">
        <f aca="false">'Offshore - Sydney'!C664&amp;""</f>
        <v>2 years</v>
      </c>
      <c r="F1149" s="63" t="str">
        <f aca="false">IF('Offshore - Sydney'!D664="","Belum tercatat",'Offshore - Sydney'!D664)</f>
        <v>Term</v>
      </c>
      <c r="G1149" s="65" t="n">
        <f aca="false">IF('Offshore - Sydney'!E664="","-",'Offshore - Sydney'!E664)</f>
        <v>2250</v>
      </c>
      <c r="H1149" s="63" t="n">
        <f aca="false">IF(ISNUMBER(K1149),COUNTIFS($J$6:$J$1854,J1149,$K$6:$K$1854,"&lt;"&amp;K1149)+1,"-")</f>
        <v>6</v>
      </c>
      <c r="I1149" s="64" t="str">
        <f aca="false">IF('Offshore - Sydney'!E664="","Harga belum tersedia - hubungi konsultan TEG",IF(M1149=2,"Saat ini tidak menerima pendaftaran siswa internasional baru",IF(M1149=1,"Harga perlu dikonfirmasi ke sekolah"&amp;IF(""="","","; "&amp;""),"")))</f>
        <v/>
      </c>
      <c r="J1149" s="0" t="s">
        <v>4275</v>
      </c>
      <c r="K1149" s="0" t="n">
        <f aca="false">IF(M1149=2,"",IF(ISNUMBER(SEARCH("rata-rata:",'Offshore - Sydney'!N664)),VALUE(MID('Offshore - Sydney'!N664,SEARCH("rata-rata:",'Offshore - Sydney'!N664)+11,FIND(";",'Offshore - Sydney'!N664&amp;";",SEARCH("rata-rata:",'Offshore - Sydney'!N664))-SEARCH("rata-rata:",'Offshore - Sydney'!N664)-11)),IF('Offshore - Sydney'!D664="Semester",'Offshore - Sydney'!E664*2,IF('Offshore - Sydney'!D664="Trimester",'Offshore - Sydney'!E664*3,IF('Offshore - Sydney'!D664="Term",'Offshore - Sydney'!E664*4,IF('Offshore - Sydney'!D664="Unit",'Offshore - Sydney'!E664*8,""))))))</f>
        <v>9000</v>
      </c>
      <c r="L1149" s="0" t="n">
        <f aca="false">IF(AND(ISNUMBER('Offshore - Sydney'!E664),ISNUMBER(K1149),ISNUMBER('Offshore - Sydney'!F664),ISNUMBER('Offshore - Sydney'!G664),OR('Offshore - Sydney'!F664&lt;&gt;0,ISNUMBER(SEARCH("Material 0 terverifikasi",'Offshore - Sydney'!N664))),OR('Offshore - Sydney'!G664&lt;&gt;0,ISNUMBER(SEARCH("Enrolment 0 terverifikasi",'Offshore - Sydney'!N664)))),1,0)</f>
        <v>1</v>
      </c>
      <c r="M1149" s="0" t="n">
        <f aca="false">IF(OR('Offshore - Sydney'!E664="",ISNUMBER(SEARCH("BSB80120",'Offshore - Sydney'!B664&amp;'Offshore - Sydney'!N664)),ISNUMBER(SEARCH("Management (Learning)",'Offshore - Sydney'!B664))),2,IF(ISNUMBER(SEARCH("CEK:",'Offshore - Sydney'!N664)),1,0))</f>
        <v>0</v>
      </c>
    </row>
    <row r="1150" customFormat="false" ht="15" hidden="false" customHeight="false" outlineLevel="0" collapsed="false">
      <c r="A1150" s="63" t="s">
        <v>3533</v>
      </c>
      <c r="B1150" s="64" t="s">
        <v>4207</v>
      </c>
      <c r="C1150" s="63" t="s">
        <v>40</v>
      </c>
      <c r="D1150" s="64" t="str">
        <f aca="false">TRIM(LEFT('Offshore - Sydney'!A625,FIND(CHAR(10),'Offshore - Sydney'!A625&amp;CHAR(10))-1))</f>
        <v>Nurse Training Australia (NTA)</v>
      </c>
      <c r="E1150" s="63" t="str">
        <f aca="false">'Offshore - Sydney'!C630&amp;""</f>
        <v>1 year</v>
      </c>
      <c r="F1150" s="63" t="str">
        <f aca="false">IF('Offshore - Sydney'!D630="","Belum tercatat",'Offshore - Sydney'!D630)</f>
        <v>Term</v>
      </c>
      <c r="G1150" s="65" t="n">
        <f aca="false">IF('Offshore - Sydney'!E630="","-",'Offshore - Sydney'!E630)</f>
        <v>2287.5</v>
      </c>
      <c r="H1150" s="63" t="n">
        <f aca="false">IF(ISNUMBER(K1150),COUNTIFS($J$6:$J$1854,J1150,$K$6:$K$1854,"&lt;"&amp;K1150)+1,"-")</f>
        <v>9</v>
      </c>
      <c r="I1150" s="64" t="str">
        <f aca="false">IF('Offshore - Sydney'!E630="","Harga belum tersedia - hubungi konsultan TEG",IF(M1150=2,"Saat ini tidak menerima pendaftaran siswa internasional baru",IF(M1150=1,"Harga perlu dikonfirmasi ke sekolah"&amp;IF(""="","","; "&amp;""),"")))</f>
        <v/>
      </c>
      <c r="J1150" s="0" t="s">
        <v>4275</v>
      </c>
      <c r="K1150" s="0" t="n">
        <f aca="false">IF(M1150=2,"",IF(ISNUMBER(SEARCH("rata-rata:",'Offshore - Sydney'!N630)),VALUE(MID('Offshore - Sydney'!N630,SEARCH("rata-rata:",'Offshore - Sydney'!N630)+11,FIND(";",'Offshore - Sydney'!N630&amp;";",SEARCH("rata-rata:",'Offshore - Sydney'!N630))-SEARCH("rata-rata:",'Offshore - Sydney'!N630)-11)),IF('Offshore - Sydney'!D630="Semester",'Offshore - Sydney'!E630*2,IF('Offshore - Sydney'!D630="Trimester",'Offshore - Sydney'!E630*3,IF('Offshore - Sydney'!D630="Term",'Offshore - Sydney'!E630*4,IF('Offshore - Sydney'!D630="Unit",'Offshore - Sydney'!E630*8,""))))))</f>
        <v>9150</v>
      </c>
      <c r="L1150" s="0" t="n">
        <f aca="false">IF(AND(ISNUMBER('Offshore - Sydney'!E630),ISNUMBER(K1150),ISNUMBER('Offshore - Sydney'!F630),ISNUMBER('Offshore - Sydney'!G630),OR('Offshore - Sydney'!F630&lt;&gt;0,ISNUMBER(SEARCH("Material 0 terverifikasi",'Offshore - Sydney'!N630))),OR('Offshore - Sydney'!G630&lt;&gt;0,ISNUMBER(SEARCH("Enrolment 0 terverifikasi",'Offshore - Sydney'!N630)))),1,0)</f>
        <v>1</v>
      </c>
      <c r="M1150" s="0" t="n">
        <f aca="false">IF(OR('Offshore - Sydney'!E630="",ISNUMBER(SEARCH("BSB80120",'Offshore - Sydney'!B630&amp;'Offshore - Sydney'!N630)),ISNUMBER(SEARCH("Management (Learning)",'Offshore - Sydney'!B630))),2,IF(ISNUMBER(SEARCH("CEK:",'Offshore - Sydney'!N630)),1,0))</f>
        <v>0</v>
      </c>
    </row>
    <row r="1151" customFormat="false" ht="15" hidden="false" customHeight="false" outlineLevel="0" collapsed="false">
      <c r="A1151" s="63" t="s">
        <v>3533</v>
      </c>
      <c r="B1151" s="64" t="s">
        <v>4207</v>
      </c>
      <c r="C1151" s="63" t="s">
        <v>40</v>
      </c>
      <c r="D1151" s="64" t="str">
        <f aca="false">TRIM(LEFT('Offshore - Sydney'!A1148,FIND(CHAR(10),'Offshore - Sydney'!A1148&amp;CHAR(10))-1))</f>
        <v>Whitehouse International College</v>
      </c>
      <c r="E1151" s="63" t="str">
        <f aca="false">'Offshore - Sydney'!C1149&amp;""</f>
        <v>1 year</v>
      </c>
      <c r="F1151" s="63" t="str">
        <f aca="false">IF('Offshore - Sydney'!D1149="","Belum tercatat",'Offshore - Sydney'!D1149)</f>
        <v>Term</v>
      </c>
      <c r="G1151" s="65" t="n">
        <f aca="false">IF('Offshore - Sydney'!E1149="","-",'Offshore - Sydney'!E1149)</f>
        <v>2750</v>
      </c>
      <c r="H1151" s="63" t="n">
        <f aca="false">IF(ISNUMBER(K1151),COUNTIFS($J$6:$J$1854,J1151,$K$6:$K$1854,"&lt;"&amp;K1151)+1,"-")</f>
        <v>10</v>
      </c>
      <c r="I1151" s="64" t="str">
        <f aca="false">IF('Offshore - Sydney'!E1149="","Harga belum tersedia - hubungi konsultan TEG",IF(M1151=2,"Saat ini tidak menerima pendaftaran siswa internasional baru",IF(M1151=1,"Program perlu dikonfirmasi ketersediaannya"&amp;IF(""="","","; "&amp;""),"")))</f>
        <v>Program perlu dikonfirmasi ketersediaannya</v>
      </c>
      <c r="J1151" s="0" t="s">
        <v>4275</v>
      </c>
      <c r="K1151" s="0" t="n">
        <f aca="false">IF(M1151=2,"",IF(ISNUMBER(SEARCH("rata-rata:",'Offshore - Sydney'!N1149)),VALUE(MID('Offshore - Sydney'!N1149,SEARCH("rata-rata:",'Offshore - Sydney'!N1149)+11,FIND(";",'Offshore - Sydney'!N1149&amp;";",SEARCH("rata-rata:",'Offshore - Sydney'!N1149))-SEARCH("rata-rata:",'Offshore - Sydney'!N1149)-11)),IF('Offshore - Sydney'!D1149="Semester",'Offshore - Sydney'!E1149*2,IF('Offshore - Sydney'!D1149="Trimester",'Offshore - Sydney'!E1149*3,IF('Offshore - Sydney'!D1149="Term",'Offshore - Sydney'!E1149*4,IF('Offshore - Sydney'!D1149="Unit",'Offshore - Sydney'!E1149*8,""))))))</f>
        <v>11000</v>
      </c>
      <c r="L1151" s="0" t="n">
        <f aca="false">IF(AND(ISNUMBER('Offshore - Sydney'!E1149),ISNUMBER(K1151),ISNUMBER('Offshore - Sydney'!F1149),ISNUMBER('Offshore - Sydney'!G1149),OR('Offshore - Sydney'!F1149&lt;&gt;0,ISNUMBER(SEARCH("Material 0 terverifikasi",'Offshore - Sydney'!N1149))),OR('Offshore - Sydney'!G1149&lt;&gt;0,ISNUMBER(SEARCH("Enrolment 0 terverifikasi",'Offshore - Sydney'!N1149)))),1,0)</f>
        <v>1</v>
      </c>
      <c r="M1151" s="0" t="n">
        <f aca="false">IF(OR('Offshore - Sydney'!E1149="",ISNUMBER(SEARCH("BSB80120",'Offshore - Sydney'!B1149&amp;'Offshore - Sydney'!N1149)),ISNUMBER(SEARCH("Management (Learning)",'Offshore - Sydney'!B1149))),2,IF(ISNUMBER(SEARCH("CEK:",'Offshore - Sydney'!N1149)),1,0))</f>
        <v>1</v>
      </c>
    </row>
    <row r="1152" customFormat="false" ht="28.35" hidden="false" customHeight="false" outlineLevel="0" collapsed="false">
      <c r="A1152" s="63" t="s">
        <v>3533</v>
      </c>
      <c r="B1152" s="64" t="s">
        <v>4207</v>
      </c>
      <c r="C1152" s="63" t="s">
        <v>40</v>
      </c>
      <c r="D1152" s="64" t="str">
        <f aca="false">TRIM(LEFT('Offshore - Sydney'!A695,FIND(CHAR(10),'Offshore - Sydney'!A695&amp;CHAR(10))-1))</f>
        <v>Sydney College of Professional Education (SCPE)</v>
      </c>
      <c r="E1152" s="63" t="str">
        <f aca="false">'Offshore - Sydney'!C695&amp;""</f>
        <v>1,5 years</v>
      </c>
      <c r="F1152" s="63" t="str">
        <f aca="false">IF('Offshore - Sydney'!D695="","Belum tercatat",'Offshore - Sydney'!D695)</f>
        <v>Term</v>
      </c>
      <c r="G1152" s="65" t="n">
        <f aca="false">IF('Offshore - Sydney'!E695="","-",'Offshore - Sydney'!E695)</f>
        <v>3000</v>
      </c>
      <c r="H1152" s="63" t="n">
        <f aca="false">IF(ISNUMBER(K1152),COUNTIFS($J$6:$J$1854,J1152,$K$6:$K$1854,"&lt;"&amp;K1152)+1,"-")</f>
        <v>11</v>
      </c>
      <c r="I1152" s="64" t="str">
        <f aca="false">IF('Offshore - Sydney'!E695="","Harga belum tersedia - hubungi konsultan TEG",IF(M1152=2,"Saat ini tidak menerima pendaftaran siswa internasional baru",IF(M1152=1,"Harga perlu dikonfirmasi ke sekolah"&amp;IF(""="","","; "&amp;""),"")))</f>
        <v>Harga perlu dikonfirmasi ke sekolah</v>
      </c>
      <c r="J1152" s="0" t="s">
        <v>4275</v>
      </c>
      <c r="K1152" s="0" t="n">
        <f aca="false">IF(M1152=2,"",IF(ISNUMBER(SEARCH("rata-rata:",'Offshore - Sydney'!N695)),VALUE(MID('Offshore - Sydney'!N695,SEARCH("rata-rata:",'Offshore - Sydney'!N695)+11,FIND(";",'Offshore - Sydney'!N695&amp;";",SEARCH("rata-rata:",'Offshore - Sydney'!N695))-SEARCH("rata-rata:",'Offshore - Sydney'!N695)-11)),IF('Offshore - Sydney'!D695="Semester",'Offshore - Sydney'!E695*2,IF('Offshore - Sydney'!D695="Trimester",'Offshore - Sydney'!E695*3,IF('Offshore - Sydney'!D695="Term",'Offshore - Sydney'!E695*4,IF('Offshore - Sydney'!D695="Unit",'Offshore - Sydney'!E695*8,""))))))</f>
        <v>12000</v>
      </c>
      <c r="L1152" s="0" t="n">
        <f aca="false">IF(AND(ISNUMBER('Offshore - Sydney'!E695),ISNUMBER(K1152),ISNUMBER('Offshore - Sydney'!F695),ISNUMBER('Offshore - Sydney'!G695),OR('Offshore - Sydney'!F695&lt;&gt;0,ISNUMBER(SEARCH("Material 0 terverifikasi",'Offshore - Sydney'!N695))),OR('Offshore - Sydney'!G695&lt;&gt;0,ISNUMBER(SEARCH("Enrolment 0 terverifikasi",'Offshore - Sydney'!N695)))),1,0)</f>
        <v>1</v>
      </c>
      <c r="M1152" s="0" t="n">
        <f aca="false">IF(OR('Offshore - Sydney'!E695="",ISNUMBER(SEARCH("BSB80120",'Offshore - Sydney'!B695&amp;'Offshore - Sydney'!N695)),ISNUMBER(SEARCH("Management (Learning)",'Offshore - Sydney'!B695))),2,IF(ISNUMBER(SEARCH("CEK:",'Offshore - Sydney'!N695)),1,0))</f>
        <v>1</v>
      </c>
    </row>
    <row r="1153" customFormat="false" ht="15" hidden="false" customHeight="false" outlineLevel="0" collapsed="false">
      <c r="A1153" s="63" t="s">
        <v>3533</v>
      </c>
      <c r="B1153" s="64" t="s">
        <v>4207</v>
      </c>
      <c r="C1153" s="63" t="s">
        <v>40</v>
      </c>
      <c r="D1153" s="64" t="str">
        <f aca="false">TRIM(LEFT('Offshore - Sydney'!A721,FIND(CHAR(10),'Offshore - Sydney'!A721&amp;CHAR(10))-1))</f>
        <v>TAFE NSW</v>
      </c>
      <c r="E1153" s="63" t="str">
        <f aca="false">'Offshore - Sydney'!C739&amp;""</f>
        <v>1,5 years</v>
      </c>
      <c r="F1153" s="63" t="str">
        <f aca="false">IF('Offshore - Sydney'!D739="","Belum tercatat",'Offshore - Sydney'!D739)</f>
        <v>Term</v>
      </c>
      <c r="G1153" s="65" t="n">
        <f aca="false">IF('Offshore - Sydney'!E739="","-",'Offshore - Sydney'!E739)</f>
        <v>5250</v>
      </c>
      <c r="H1153" s="63" t="n">
        <f aca="false">IF(ISNUMBER(K1153),COUNTIFS($J$6:$J$1854,J1153,$K$6:$K$1854,"&lt;"&amp;K1153)+1,"-")</f>
        <v>12</v>
      </c>
      <c r="I1153" s="64" t="str">
        <f aca="false">IF('Offshore - Sydney'!E739="","Harga belum tersedia - hubungi konsultan TEG",IF(M1153=2,"Saat ini tidak menerima pendaftaran siswa internasional baru",IF(M1153=1,"Harga perlu dikonfirmasi ke sekolah"&amp;IF(""="","","; "&amp;""),"")))</f>
        <v/>
      </c>
      <c r="J1153" s="0" t="s">
        <v>4275</v>
      </c>
      <c r="K1153" s="0" t="n">
        <f aca="false">IF(M1153=2,"",IF(ISNUMBER(SEARCH("rata-rata:",'Offshore - Sydney'!N739)),VALUE(MID('Offshore - Sydney'!N739,SEARCH("rata-rata:",'Offshore - Sydney'!N739)+11,FIND(";",'Offshore - Sydney'!N739&amp;";",SEARCH("rata-rata:",'Offshore - Sydney'!N739))-SEARCH("rata-rata:",'Offshore - Sydney'!N739)-11)),IF('Offshore - Sydney'!D739="Semester",'Offshore - Sydney'!E739*2,IF('Offshore - Sydney'!D739="Trimester",'Offshore - Sydney'!E739*3,IF('Offshore - Sydney'!D739="Term",'Offshore - Sydney'!E739*4,IF('Offshore - Sydney'!D739="Unit",'Offshore - Sydney'!E739*8,""))))))</f>
        <v>21000</v>
      </c>
      <c r="L1153" s="0" t="n">
        <f aca="false">IF(AND(ISNUMBER('Offshore - Sydney'!E739),ISNUMBER(K1153),ISNUMBER('Offshore - Sydney'!F739),ISNUMBER('Offshore - Sydney'!G739),OR('Offshore - Sydney'!F739&lt;&gt;0,ISNUMBER(SEARCH("Material 0 terverifikasi",'Offshore - Sydney'!N739))),OR('Offshore - Sydney'!G739&lt;&gt;0,ISNUMBER(SEARCH("Enrolment 0 terverifikasi",'Offshore - Sydney'!N739)))),1,0)</f>
        <v>0</v>
      </c>
      <c r="M1153" s="0" t="n">
        <f aca="false">IF(OR('Offshore - Sydney'!E739="",ISNUMBER(SEARCH("BSB80120",'Offshore - Sydney'!B739&amp;'Offshore - Sydney'!N739)),ISNUMBER(SEARCH("Management (Learning)",'Offshore - Sydney'!B739))),2,IF(ISNUMBER(SEARCH("CEK:",'Offshore - Sydney'!N739)),1,0))</f>
        <v>0</v>
      </c>
    </row>
    <row r="1154" customFormat="false" ht="15" hidden="false" customHeight="false" outlineLevel="0" collapsed="false">
      <c r="A1154" s="61" t="s">
        <v>4276</v>
      </c>
      <c r="B1154" s="62"/>
      <c r="C1154" s="62"/>
      <c r="D1154" s="62"/>
      <c r="E1154" s="62"/>
      <c r="F1154" s="62"/>
      <c r="G1154" s="62"/>
      <c r="H1154" s="62"/>
      <c r="I1154" s="62"/>
    </row>
    <row r="1155" customFormat="false" ht="15" hidden="false" customHeight="false" outlineLevel="0" collapsed="false">
      <c r="A1155" s="63" t="s">
        <v>3533</v>
      </c>
      <c r="B1155" s="64" t="s">
        <v>4207</v>
      </c>
      <c r="C1155" s="63" t="s">
        <v>41</v>
      </c>
      <c r="D1155" s="64" t="str">
        <f aca="false">TRIM(LEFT('Offshore - Sydney'!A677,FIND(CHAR(10),'Offshore - Sydney'!A677&amp;CHAR(10))-1))</f>
        <v>Signet Institute of Australia</v>
      </c>
      <c r="E1155" s="63" t="str">
        <f aca="false">'Offshore - Sydney'!C684&amp;""</f>
        <v>4 years</v>
      </c>
      <c r="F1155" s="63" t="str">
        <f aca="false">IF('Offshore - Sydney'!D684="","Belum tercatat",'Offshore - Sydney'!D684)</f>
        <v>Term</v>
      </c>
      <c r="G1155" s="65" t="n">
        <f aca="false">IF('Offshore - Sydney'!E684="","-",'Offshore - Sydney'!E684)</f>
        <v>1800</v>
      </c>
      <c r="H1155" s="63" t="n">
        <f aca="false">IF(ISNUMBER(K1155),COUNTIFS($J$6:$J$1854,J1155,$K$6:$K$1854,"&lt;"&amp;K1155)+1,"-")</f>
        <v>1</v>
      </c>
      <c r="I1155" s="64" t="str">
        <f aca="false">IF('Offshore - Sydney'!E684="","Harga belum tersedia - hubungi konsultan TEG",IF(M1155=2,"Saat ini tidak menerima pendaftaran siswa internasional baru",IF(M1155=1,"Harga perlu dikonfirmasi ke sekolah"&amp;IF(""="","","; "&amp;""),"")))</f>
        <v/>
      </c>
      <c r="J1155" s="0" t="s">
        <v>4277</v>
      </c>
      <c r="K1155" s="0" t="n">
        <f aca="false">IF(M1155=2,"",IF(ISNUMBER(SEARCH("rata-rata:",'Offshore - Sydney'!N684)),VALUE(MID('Offshore - Sydney'!N684,SEARCH("rata-rata:",'Offshore - Sydney'!N684)+11,FIND(";",'Offshore - Sydney'!N684&amp;";",SEARCH("rata-rata:",'Offshore - Sydney'!N684))-SEARCH("rata-rata:",'Offshore - Sydney'!N684)-11)),IF('Offshore - Sydney'!D684="Semester",'Offshore - Sydney'!E684*2,IF('Offshore - Sydney'!D684="Trimester",'Offshore - Sydney'!E684*3,IF('Offshore - Sydney'!D684="Term",'Offshore - Sydney'!E684*4,IF('Offshore - Sydney'!D684="Unit",'Offshore - Sydney'!E684*8,""))))))</f>
        <v>7200</v>
      </c>
      <c r="L1155" s="0" t="n">
        <f aca="false">IF(AND(ISNUMBER('Offshore - Sydney'!E684),ISNUMBER(K1155),ISNUMBER('Offshore - Sydney'!F684),ISNUMBER('Offshore - Sydney'!G684),OR('Offshore - Sydney'!F684&lt;&gt;0,ISNUMBER(SEARCH("Material 0 terverifikasi",'Offshore - Sydney'!N684))),OR('Offshore - Sydney'!G684&lt;&gt;0,ISNUMBER(SEARCH("Enrolment 0 terverifikasi",'Offshore - Sydney'!N684)))),1,0)</f>
        <v>1</v>
      </c>
      <c r="M1155" s="0" t="n">
        <f aca="false">IF(OR('Offshore - Sydney'!E684="",ISNUMBER(SEARCH("BSB80120",'Offshore - Sydney'!B684&amp;'Offshore - Sydney'!N684)),ISNUMBER(SEARCH("Management (Learning)",'Offshore - Sydney'!B684))),2,IF(ISNUMBER(SEARCH("CEK:",'Offshore - Sydney'!N684)),1,0))</f>
        <v>0</v>
      </c>
    </row>
    <row r="1156" customFormat="false" ht="15" hidden="false" customHeight="false" outlineLevel="0" collapsed="false">
      <c r="A1156" s="63" t="s">
        <v>3533</v>
      </c>
      <c r="B1156" s="64" t="s">
        <v>4207</v>
      </c>
      <c r="C1156" s="63" t="s">
        <v>41</v>
      </c>
      <c r="D1156" s="64" t="str">
        <f aca="false">TRIM(LEFT('Offshore - Sydney'!A13,FIND(CHAR(10),'Offshore - Sydney'!A13&amp;CHAR(10))-1))</f>
        <v>ABM Further Education</v>
      </c>
      <c r="E1156" s="63" t="str">
        <f aca="false">'Offshore - Sydney'!C15&amp;""</f>
        <v>3 years</v>
      </c>
      <c r="F1156" s="63" t="str">
        <f aca="false">IF('Offshore - Sydney'!D15="","Belum tercatat",'Offshore - Sydney'!D15)</f>
        <v>Term</v>
      </c>
      <c r="G1156" s="65" t="n">
        <f aca="false">IF('Offshore - Sydney'!E15="","-",'Offshore - Sydney'!E15)</f>
        <v>2250</v>
      </c>
      <c r="H1156" s="63" t="n">
        <f aca="false">IF(ISNUMBER(K1156),COUNTIFS($J$6:$J$1854,J1156,$K$6:$K$1854,"&lt;"&amp;K1156)+1,"-")</f>
        <v>2</v>
      </c>
      <c r="I1156" s="64" t="str">
        <f aca="false">IF('Offshore - Sydney'!E15="","Harga belum tersedia - hubungi konsultan TEG",IF(M1156=2,"Saat ini tidak menerima pendaftaran siswa internasional baru",IF(M1156=1,"Harga perlu dikonfirmasi ke sekolah"&amp;IF(""="","","; "&amp;""),"")))</f>
        <v/>
      </c>
      <c r="J1156" s="0" t="s">
        <v>4277</v>
      </c>
      <c r="K1156" s="0" t="n">
        <f aca="false">IF(M1156=2,"",IF(ISNUMBER(SEARCH("rata-rata:",'Offshore - Sydney'!N15)),VALUE(MID('Offshore - Sydney'!N15,SEARCH("rata-rata:",'Offshore - Sydney'!N15)+11,FIND(";",'Offshore - Sydney'!N15&amp;";",SEARCH("rata-rata:",'Offshore - Sydney'!N15))-SEARCH("rata-rata:",'Offshore - Sydney'!N15)-11)),IF('Offshore - Sydney'!D15="Semester",'Offshore - Sydney'!E15*2,IF('Offshore - Sydney'!D15="Trimester",'Offshore - Sydney'!E15*3,IF('Offshore - Sydney'!D15="Term",'Offshore - Sydney'!E15*4,IF('Offshore - Sydney'!D15="Unit",'Offshore - Sydney'!E15*8,""))))))</f>
        <v>9000</v>
      </c>
      <c r="L1156" s="0" t="n">
        <f aca="false">IF(AND(ISNUMBER('Offshore - Sydney'!E15),ISNUMBER(K1156),ISNUMBER('Offshore - Sydney'!F15),ISNUMBER('Offshore - Sydney'!G15),OR('Offshore - Sydney'!F15&lt;&gt;0,ISNUMBER(SEARCH("Material 0 terverifikasi",'Offshore - Sydney'!N15))),OR('Offshore - Sydney'!G15&lt;&gt;0,ISNUMBER(SEARCH("Enrolment 0 terverifikasi",'Offshore - Sydney'!N15)))),1,0)</f>
        <v>1</v>
      </c>
      <c r="M1156" s="0" t="n">
        <f aca="false">IF(OR('Offshore - Sydney'!E15="",ISNUMBER(SEARCH("BSB80120",'Offshore - Sydney'!B15&amp;'Offshore - Sydney'!N15)),ISNUMBER(SEARCH("Management (Learning)",'Offshore - Sydney'!B15))),2,IF(ISNUMBER(SEARCH("CEK:",'Offshore - Sydney'!N15)),1,0))</f>
        <v>0</v>
      </c>
    </row>
    <row r="1157" customFormat="false" ht="15" hidden="false" customHeight="false" outlineLevel="0" collapsed="false">
      <c r="A1157" s="63" t="s">
        <v>3533</v>
      </c>
      <c r="B1157" s="64" t="s">
        <v>4207</v>
      </c>
      <c r="C1157" s="63" t="s">
        <v>41</v>
      </c>
      <c r="D1157" s="64" t="str">
        <f aca="false">TRIM(LEFT('Offshore - Sydney'!A721,FIND(CHAR(10),'Offshore - Sydney'!A721&amp;CHAR(10))-1))</f>
        <v>TAFE NSW</v>
      </c>
      <c r="E1157" s="63" t="str">
        <f aca="false">'Offshore - Sydney'!C758&amp;""</f>
        <v>1,5 years</v>
      </c>
      <c r="F1157" s="63" t="str">
        <f aca="false">IF('Offshore - Sydney'!D758="","Belum tercatat",'Offshore - Sydney'!D758)</f>
        <v>Term</v>
      </c>
      <c r="G1157" s="65" t="n">
        <f aca="false">IF('Offshore - Sydney'!E758="","-",'Offshore - Sydney'!E758)</f>
        <v>3667</v>
      </c>
      <c r="H1157" s="63" t="n">
        <f aca="false">IF(ISNUMBER(K1157),COUNTIFS($J$6:$J$1854,J1157,$K$6:$K$1854,"&lt;"&amp;K1157)+1,"-")</f>
        <v>3</v>
      </c>
      <c r="I1157" s="64" t="str">
        <f aca="false">IF('Offshore - Sydney'!E758="","Harga belum tersedia - hubungi konsultan TEG",IF(M1157=2,"Saat ini tidak menerima pendaftaran siswa internasional baru",IF(M1157=1,"Harga perlu dikonfirmasi ke sekolah"&amp;IF(""="","","; "&amp;""),"")))</f>
        <v/>
      </c>
      <c r="J1157" s="0" t="s">
        <v>4277</v>
      </c>
      <c r="K1157" s="0" t="n">
        <f aca="false">IF(M1157=2,"",IF(ISNUMBER(SEARCH("rata-rata:",'Offshore - Sydney'!N758)),VALUE(MID('Offshore - Sydney'!N758,SEARCH("rata-rata:",'Offshore - Sydney'!N758)+11,FIND(";",'Offshore - Sydney'!N758&amp;";",SEARCH("rata-rata:",'Offshore - Sydney'!N758))-SEARCH("rata-rata:",'Offshore - Sydney'!N758)-11)),IF('Offshore - Sydney'!D758="Semester",'Offshore - Sydney'!E758*2,IF('Offshore - Sydney'!D758="Trimester",'Offshore - Sydney'!E758*3,IF('Offshore - Sydney'!D758="Term",'Offshore - Sydney'!E758*4,IF('Offshore - Sydney'!D758="Unit",'Offshore - Sydney'!E758*8,""))))))</f>
        <v>14668</v>
      </c>
      <c r="L1157" s="0" t="n">
        <f aca="false">IF(AND(ISNUMBER('Offshore - Sydney'!E758),ISNUMBER(K1157),ISNUMBER('Offshore - Sydney'!F758),ISNUMBER('Offshore - Sydney'!G758),OR('Offshore - Sydney'!F758&lt;&gt;0,ISNUMBER(SEARCH("Material 0 terverifikasi",'Offshore - Sydney'!N758))),OR('Offshore - Sydney'!G758&lt;&gt;0,ISNUMBER(SEARCH("Enrolment 0 terverifikasi",'Offshore - Sydney'!N758)))),1,0)</f>
        <v>0</v>
      </c>
      <c r="M1157" s="0" t="n">
        <f aca="false">IF(OR('Offshore - Sydney'!E758="",ISNUMBER(SEARCH("BSB80120",'Offshore - Sydney'!B758&amp;'Offshore - Sydney'!N758)),ISNUMBER(SEARCH("Management (Learning)",'Offshore - Sydney'!B758))),2,IF(ISNUMBER(SEARCH("CEK:",'Offshore - Sydney'!N758)),1,0))</f>
        <v>0</v>
      </c>
    </row>
    <row r="1158" customFormat="false" ht="15" hidden="false" customHeight="false" outlineLevel="0" collapsed="false">
      <c r="A1158" s="63" t="s">
        <v>3533</v>
      </c>
      <c r="B1158" s="64" t="s">
        <v>4207</v>
      </c>
      <c r="C1158" s="63" t="s">
        <v>41</v>
      </c>
      <c r="D1158" s="64" t="str">
        <f aca="false">TRIM(LEFT('Offshore - Sydney'!A814,FIND(CHAR(10),'Offshore - Sydney'!A814&amp;CHAR(10))-1))</f>
        <v>Torrens University Australia</v>
      </c>
      <c r="E1158" s="63" t="str">
        <f aca="false">'Offshore - Sydney'!C905&amp;""</f>
        <v>1,5 years</v>
      </c>
      <c r="F1158" s="63" t="str">
        <f aca="false">IF('Offshore - Sydney'!D905="","Belum tercatat",'Offshore - Sydney'!D905)</f>
        <v>Term</v>
      </c>
      <c r="G1158" s="65" t="n">
        <f aca="false">IF('Offshore - Sydney'!E905="","-",'Offshore - Sydney'!E905)</f>
        <v>6563</v>
      </c>
      <c r="H1158" s="63" t="n">
        <f aca="false">IF(ISNUMBER(K1158),COUNTIFS($J$6:$J$1854,J1158,$K$6:$K$1854,"&lt;"&amp;K1158)+1,"-")</f>
        <v>4</v>
      </c>
      <c r="I1158" s="64" t="str">
        <f aca="false">IF('Offshore - Sydney'!E905="","Harga belum tersedia - hubungi konsultan TEG",IF(M1158=2,"Saat ini tidak menerima pendaftaran siswa internasional baru",IF(M1158=1,"Harga perlu dikonfirmasi ke sekolah"&amp;IF(""="","","; "&amp;""),"")))</f>
        <v/>
      </c>
      <c r="J1158" s="0" t="s">
        <v>4277</v>
      </c>
      <c r="K1158" s="0" t="n">
        <f aca="false">IF(M1158=2,"",IF(ISNUMBER(SEARCH("rata-rata:",'Offshore - Sydney'!N905)),VALUE(MID('Offshore - Sydney'!N905,SEARCH("rata-rata:",'Offshore - Sydney'!N905)+11,FIND(";",'Offshore - Sydney'!N905&amp;";",SEARCH("rata-rata:",'Offshore - Sydney'!N905))-SEARCH("rata-rata:",'Offshore - Sydney'!N905)-11)),IF('Offshore - Sydney'!D905="Semester",'Offshore - Sydney'!E905*2,IF('Offshore - Sydney'!D905="Trimester",'Offshore - Sydney'!E905*3,IF('Offshore - Sydney'!D905="Term",'Offshore - Sydney'!E905*4,IF('Offshore - Sydney'!D905="Unit",'Offshore - Sydney'!E905*8,""))))))</f>
        <v>26252</v>
      </c>
      <c r="L1158" s="0" t="n">
        <f aca="false">IF(AND(ISNUMBER('Offshore - Sydney'!E905),ISNUMBER(K1158),ISNUMBER('Offshore - Sydney'!F905),ISNUMBER('Offshore - Sydney'!G905),OR('Offshore - Sydney'!F905&lt;&gt;0,ISNUMBER(SEARCH("Material 0 terverifikasi",'Offshore - Sydney'!N905))),OR('Offshore - Sydney'!G905&lt;&gt;0,ISNUMBER(SEARCH("Enrolment 0 terverifikasi",'Offshore - Sydney'!N905)))),1,0)</f>
        <v>0</v>
      </c>
      <c r="M1158" s="0" t="n">
        <f aca="false">IF(OR('Offshore - Sydney'!E905="",ISNUMBER(SEARCH("BSB80120",'Offshore - Sydney'!B905&amp;'Offshore - Sydney'!N905)),ISNUMBER(SEARCH("Management (Learning)",'Offshore - Sydney'!B905))),2,IF(ISNUMBER(SEARCH("CEK:",'Offshore - Sydney'!N905)),1,0))</f>
        <v>0</v>
      </c>
    </row>
    <row r="1159" customFormat="false" ht="15" hidden="false" customHeight="false" outlineLevel="0" collapsed="false">
      <c r="A1159" s="63" t="s">
        <v>3533</v>
      </c>
      <c r="B1159" s="64" t="s">
        <v>4207</v>
      </c>
      <c r="C1159" s="63" t="s">
        <v>41</v>
      </c>
      <c r="D1159" s="64" t="str">
        <f aca="false">TRIM(LEFT('Offshore - Sydney'!A156,FIND(CHAR(10),'Offshore - Sydney'!A156&amp;CHAR(10))-1))</f>
        <v>Australian Catholic University (ACU)</v>
      </c>
      <c r="E1159" s="63" t="str">
        <f aca="false">'Offshore - Sydney'!C249&amp;""</f>
        <v>1 year</v>
      </c>
      <c r="F1159" s="63" t="str">
        <f aca="false">IF('Offshore - Sydney'!D249="","Belum tercatat",'Offshore - Sydney'!D249)</f>
        <v>Term</v>
      </c>
      <c r="G1159" s="65" t="n">
        <f aca="false">IF('Offshore - Sydney'!E249="","-",'Offshore - Sydney'!E249)</f>
        <v>7086</v>
      </c>
      <c r="H1159" s="63" t="n">
        <f aca="false">IF(ISNUMBER(K1159),COUNTIFS($J$6:$J$1854,J1159,$K$6:$K$1854,"&lt;"&amp;K1159)+1,"-")</f>
        <v>5</v>
      </c>
      <c r="I1159" s="64" t="str">
        <f aca="false">IF('Offshore - Sydney'!E249="","Harga belum tersedia - hubungi konsultan TEG",IF(M1159=2,"Saat ini tidak menerima pendaftaran siswa internasional baru",IF(M1159=1,"Harga perlu dikonfirmasi ke sekolah"&amp;IF(""="","","; "&amp;""),"")))</f>
        <v/>
      </c>
      <c r="J1159" s="0" t="s">
        <v>4277</v>
      </c>
      <c r="K1159" s="0" t="n">
        <f aca="false">IF(M1159=2,"",IF(ISNUMBER(SEARCH("rata-rata:",'Offshore - Sydney'!N249)),VALUE(MID('Offshore - Sydney'!N249,SEARCH("rata-rata:",'Offshore - Sydney'!N249)+11,FIND(";",'Offshore - Sydney'!N249&amp;";",SEARCH("rata-rata:",'Offshore - Sydney'!N249))-SEARCH("rata-rata:",'Offshore - Sydney'!N249)-11)),IF('Offshore - Sydney'!D249="Semester",'Offshore - Sydney'!E249*2,IF('Offshore - Sydney'!D249="Trimester",'Offshore - Sydney'!E249*3,IF('Offshore - Sydney'!D249="Term",'Offshore - Sydney'!E249*4,IF('Offshore - Sydney'!D249="Unit",'Offshore - Sydney'!E249*8,""))))))</f>
        <v>28344</v>
      </c>
      <c r="L1159" s="0" t="n">
        <f aca="false">IF(AND(ISNUMBER('Offshore - Sydney'!E249),ISNUMBER(K1159),ISNUMBER('Offshore - Sydney'!F249),ISNUMBER('Offshore - Sydney'!G249),OR('Offshore - Sydney'!F249&lt;&gt;0,ISNUMBER(SEARCH("Material 0 terverifikasi",'Offshore - Sydney'!N249))),OR('Offshore - Sydney'!G249&lt;&gt;0,ISNUMBER(SEARCH("Enrolment 0 terverifikasi",'Offshore - Sydney'!N249)))),1,0)</f>
        <v>0</v>
      </c>
      <c r="M1159" s="0" t="n">
        <f aca="false">IF(OR('Offshore - Sydney'!E249="",ISNUMBER(SEARCH("BSB80120",'Offshore - Sydney'!B249&amp;'Offshore - Sydney'!N249)),ISNUMBER(SEARCH("Management (Learning)",'Offshore - Sydney'!B249))),2,IF(ISNUMBER(SEARCH("CEK:",'Offshore - Sydney'!N249)),1,0))</f>
        <v>0</v>
      </c>
    </row>
    <row r="1160" customFormat="false" ht="15" hidden="false" customHeight="false" outlineLevel="0" collapsed="false">
      <c r="A1160" s="61" t="s">
        <v>4278</v>
      </c>
      <c r="B1160" s="62"/>
      <c r="C1160" s="62"/>
      <c r="D1160" s="62"/>
      <c r="E1160" s="62"/>
      <c r="F1160" s="62"/>
      <c r="G1160" s="62"/>
      <c r="H1160" s="62"/>
      <c r="I1160" s="62"/>
    </row>
    <row r="1161" customFormat="false" ht="15" hidden="false" customHeight="false" outlineLevel="0" collapsed="false">
      <c r="A1161" s="63" t="s">
        <v>3533</v>
      </c>
      <c r="B1161" s="64" t="s">
        <v>4207</v>
      </c>
      <c r="C1161" s="63" t="s">
        <v>43</v>
      </c>
      <c r="D1161" s="64" t="str">
        <f aca="false">TRIM(LEFT('Offshore - Sydney'!A814,FIND(CHAR(10),'Offshore - Sydney'!A814&amp;CHAR(10))-1))</f>
        <v>Torrens University Australia</v>
      </c>
      <c r="E1161" s="63" t="str">
        <f aca="false">'Offshore - Sydney'!C893&amp;""</f>
        <v>4 years</v>
      </c>
      <c r="F1161" s="63" t="str">
        <f aca="false">IF('Offshore - Sydney'!D893="","Belum tercatat",'Offshore - Sydney'!D893)</f>
        <v>Term</v>
      </c>
      <c r="G1161" s="65" t="n">
        <f aca="false">IF('Offshore - Sydney'!E893="","-",'Offshore - Sydney'!E893)</f>
        <v>7333</v>
      </c>
      <c r="H1161" s="63" t="n">
        <f aca="false">IF(ISNUMBER(K1161),COUNTIFS($J$6:$J$1854,J1161,$K$6:$K$1854,"&lt;"&amp;K1161)+1,"-")</f>
        <v>1</v>
      </c>
      <c r="I1161" s="64" t="str">
        <f aca="false">IF('Offshore - Sydney'!E893="","Harga belum tersedia - hubungi konsultan TEG",IF(M1161=2,"Saat ini tidak menerima pendaftaran siswa internasional baru",IF(M1161=1,"Harga perlu dikonfirmasi ke sekolah"&amp;IF(""="","","; "&amp;""),"")))</f>
        <v/>
      </c>
      <c r="J1161" s="0" t="s">
        <v>4279</v>
      </c>
      <c r="K1161" s="0" t="n">
        <f aca="false">IF(M1161=2,"",IF(ISNUMBER(SEARCH("rata-rata:",'Offshore - Sydney'!N893)),VALUE(MID('Offshore - Sydney'!N893,SEARCH("rata-rata:",'Offshore - Sydney'!N893)+11,FIND(";",'Offshore - Sydney'!N893&amp;";",SEARCH("rata-rata:",'Offshore - Sydney'!N893))-SEARCH("rata-rata:",'Offshore - Sydney'!N893)-11)),IF('Offshore - Sydney'!D893="Semester",'Offshore - Sydney'!E893*2,IF('Offshore - Sydney'!D893="Trimester",'Offshore - Sydney'!E893*3,IF('Offshore - Sydney'!D893="Term",'Offshore - Sydney'!E893*4,IF('Offshore - Sydney'!D893="Unit",'Offshore - Sydney'!E893*8,""))))))</f>
        <v>29332</v>
      </c>
      <c r="L1161" s="0" t="n">
        <f aca="false">IF(AND(ISNUMBER('Offshore - Sydney'!E893),ISNUMBER(K1161),ISNUMBER('Offshore - Sydney'!F893),ISNUMBER('Offshore - Sydney'!G893),OR('Offshore - Sydney'!F893&lt;&gt;0,ISNUMBER(SEARCH("Material 0 terverifikasi",'Offshore - Sydney'!N893))),OR('Offshore - Sydney'!G893&lt;&gt;0,ISNUMBER(SEARCH("Enrolment 0 terverifikasi",'Offshore - Sydney'!N893)))),1,0)</f>
        <v>0</v>
      </c>
      <c r="M1161" s="0" t="n">
        <f aca="false">IF(OR('Offshore - Sydney'!E893="",ISNUMBER(SEARCH("BSB80120",'Offshore - Sydney'!B893&amp;'Offshore - Sydney'!N893)),ISNUMBER(SEARCH("Management (Learning)",'Offshore - Sydney'!B893))),2,IF(ISNUMBER(SEARCH("CEK:",'Offshore - Sydney'!N893)),1,0))</f>
        <v>0</v>
      </c>
    </row>
    <row r="1162" customFormat="false" ht="15" hidden="false" customHeight="false" outlineLevel="0" collapsed="false">
      <c r="A1162" s="63" t="s">
        <v>3533</v>
      </c>
      <c r="B1162" s="64" t="s">
        <v>4207</v>
      </c>
      <c r="C1162" s="63" t="s">
        <v>43</v>
      </c>
      <c r="D1162" s="64" t="str">
        <f aca="false">TRIM(LEFT('Offshore - Sydney'!A156,FIND(CHAR(10),'Offshore - Sydney'!A156&amp;CHAR(10))-1))</f>
        <v>Australian Catholic University (ACU)</v>
      </c>
      <c r="E1162" s="63" t="str">
        <f aca="false">'Offshore - Sydney'!C216&amp;""</f>
        <v>3 years</v>
      </c>
      <c r="F1162" s="63" t="str">
        <f aca="false">IF('Offshore - Sydney'!D216="","Belum tercatat",'Offshore - Sydney'!D216)</f>
        <v>Term</v>
      </c>
      <c r="G1162" s="65" t="n">
        <f aca="false">IF('Offshore - Sydney'!E216="","-",'Offshore - Sydney'!E216)</f>
        <v>8098</v>
      </c>
      <c r="H1162" s="63" t="n">
        <f aca="false">IF(ISNUMBER(K1162),COUNTIFS($J$6:$J$1854,J1162,$K$6:$K$1854,"&lt;"&amp;K1162)+1,"-")</f>
        <v>2</v>
      </c>
      <c r="I1162" s="64" t="str">
        <f aca="false">IF('Offshore - Sydney'!E216="","Harga belum tersedia - hubungi konsultan TEG",IF(M1162=2,"Saat ini tidak menerima pendaftaran siswa internasional baru",IF(M1162=1,"Harga perlu dikonfirmasi ke sekolah"&amp;IF(""="","","; "&amp;""),"")))</f>
        <v/>
      </c>
      <c r="J1162" s="0" t="s">
        <v>4279</v>
      </c>
      <c r="K1162" s="0" t="n">
        <f aca="false">IF(M1162=2,"",IF(ISNUMBER(SEARCH("rata-rata:",'Offshore - Sydney'!N216)),VALUE(MID('Offshore - Sydney'!N216,SEARCH("rata-rata:",'Offshore - Sydney'!N216)+11,FIND(";",'Offshore - Sydney'!N216&amp;";",SEARCH("rata-rata:",'Offshore - Sydney'!N216))-SEARCH("rata-rata:",'Offshore - Sydney'!N216)-11)),IF('Offshore - Sydney'!D216="Semester",'Offshore - Sydney'!E216*2,IF('Offshore - Sydney'!D216="Trimester",'Offshore - Sydney'!E216*3,IF('Offshore - Sydney'!D216="Term",'Offshore - Sydney'!E216*4,IF('Offshore - Sydney'!D216="Unit",'Offshore - Sydney'!E216*8,""))))))</f>
        <v>32392</v>
      </c>
      <c r="L1162" s="0" t="n">
        <f aca="false">IF(AND(ISNUMBER('Offshore - Sydney'!E216),ISNUMBER(K1162),ISNUMBER('Offshore - Sydney'!F216),ISNUMBER('Offshore - Sydney'!G216),OR('Offshore - Sydney'!F216&lt;&gt;0,ISNUMBER(SEARCH("Material 0 terverifikasi",'Offshore - Sydney'!N216))),OR('Offshore - Sydney'!G216&lt;&gt;0,ISNUMBER(SEARCH("Enrolment 0 terverifikasi",'Offshore - Sydney'!N216)))),1,0)</f>
        <v>0</v>
      </c>
      <c r="M1162" s="0" t="n">
        <f aca="false">IF(OR('Offshore - Sydney'!E216="",ISNUMBER(SEARCH("BSB80120",'Offshore - Sydney'!B216&amp;'Offshore - Sydney'!N216)),ISNUMBER(SEARCH("Management (Learning)",'Offshore - Sydney'!B216))),2,IF(ISNUMBER(SEARCH("CEK:",'Offshore - Sydney'!N216)),1,0))</f>
        <v>0</v>
      </c>
    </row>
    <row r="1163" customFormat="false" ht="15" hidden="false" customHeight="false" outlineLevel="0" collapsed="false">
      <c r="A1163" s="63" t="s">
        <v>3533</v>
      </c>
      <c r="B1163" s="64" t="s">
        <v>4207</v>
      </c>
      <c r="C1163" s="63" t="s">
        <v>43</v>
      </c>
      <c r="D1163" s="64" t="str">
        <f aca="false">TRIM(LEFT('Offshore - Sydney'!A982,FIND(CHAR(10),'Offshore - Sydney'!A982&amp;CHAR(10))-1))</f>
        <v>Western Sydney University</v>
      </c>
      <c r="E1163" s="63" t="str">
        <f aca="false">'Offshore - Sydney'!C1005&amp;""</f>
        <v>3 years</v>
      </c>
      <c r="F1163" s="63" t="str">
        <f aca="false">IF('Offshore - Sydney'!D1005="","Belum tercatat",'Offshore - Sydney'!D1005)</f>
        <v>Term</v>
      </c>
      <c r="G1163" s="65" t="n">
        <f aca="false">IF('Offshore - Sydney'!E1005="","-",'Offshore - Sydney'!E1005)</f>
        <v>8694</v>
      </c>
      <c r="H1163" s="63" t="n">
        <f aca="false">IF(ISNUMBER(K1163),COUNTIFS($J$6:$J$1854,J1163,$K$6:$K$1854,"&lt;"&amp;K1163)+1,"-")</f>
        <v>3</v>
      </c>
      <c r="I1163" s="64" t="str">
        <f aca="false">IF('Offshore - Sydney'!E1005="","Harga belum tersedia - hubungi konsultan TEG",IF(M1163=2,"Saat ini tidak menerima pendaftaran siswa internasional baru",IF(M1163=1,"Harga perlu dikonfirmasi ke sekolah"&amp;IF(""="","","; "&amp;""),"")))</f>
        <v/>
      </c>
      <c r="J1163" s="0" t="s">
        <v>4279</v>
      </c>
      <c r="K1163" s="0" t="n">
        <f aca="false">IF(M1163=2,"",IF(ISNUMBER(SEARCH("rata-rata:",'Offshore - Sydney'!N1005)),VALUE(MID('Offshore - Sydney'!N1005,SEARCH("rata-rata:",'Offshore - Sydney'!N1005)+11,FIND(";",'Offshore - Sydney'!N1005&amp;";",SEARCH("rata-rata:",'Offshore - Sydney'!N1005))-SEARCH("rata-rata:",'Offshore - Sydney'!N1005)-11)),IF('Offshore - Sydney'!D1005="Semester",'Offshore - Sydney'!E1005*2,IF('Offshore - Sydney'!D1005="Trimester",'Offshore - Sydney'!E1005*3,IF('Offshore - Sydney'!D1005="Term",'Offshore - Sydney'!E1005*4,IF('Offshore - Sydney'!D1005="Unit",'Offshore - Sydney'!E1005*8,""))))))</f>
        <v>34776</v>
      </c>
      <c r="L1163" s="0" t="n">
        <f aca="false">IF(AND(ISNUMBER('Offshore - Sydney'!E1005),ISNUMBER(K1163),ISNUMBER('Offshore - Sydney'!F1005),ISNUMBER('Offshore - Sydney'!G1005),OR('Offshore - Sydney'!F1005&lt;&gt;0,ISNUMBER(SEARCH("Material 0 terverifikasi",'Offshore - Sydney'!N1005))),OR('Offshore - Sydney'!G1005&lt;&gt;0,ISNUMBER(SEARCH("Enrolment 0 terverifikasi",'Offshore - Sydney'!N1005)))),1,0)</f>
        <v>0</v>
      </c>
      <c r="M1163" s="0" t="n">
        <f aca="false">IF(OR('Offshore - Sydney'!E1005="",ISNUMBER(SEARCH("BSB80120",'Offshore - Sydney'!B1005&amp;'Offshore - Sydney'!N1005)),ISNUMBER(SEARCH("Management (Learning)",'Offshore - Sydney'!B1005))),2,IF(ISNUMBER(SEARCH("CEK:",'Offshore - Sydney'!N1005)),1,0))</f>
        <v>0</v>
      </c>
    </row>
    <row r="1164" customFormat="false" ht="15" hidden="false" customHeight="false" outlineLevel="0" collapsed="false">
      <c r="A1164" s="63" t="s">
        <v>3533</v>
      </c>
      <c r="B1164" s="64" t="s">
        <v>4207</v>
      </c>
      <c r="C1164" s="63" t="s">
        <v>43</v>
      </c>
      <c r="D1164" s="64" t="str">
        <f aca="false">TRIM(LEFT('Offshore - Sydney'!A354,FIND(CHAR(10),'Offshore - Sydney'!A354&amp;CHAR(10))-1))</f>
        <v>Charles Darwin University (CDU)</v>
      </c>
      <c r="E1164" s="63" t="str">
        <f aca="false">'Offshore - Sydney'!C360&amp;""</f>
        <v>3 years</v>
      </c>
      <c r="F1164" s="63" t="str">
        <f aca="false">IF('Offshore - Sydney'!D360="","Belum tercatat",'Offshore - Sydney'!D360)</f>
        <v>Term</v>
      </c>
      <c r="G1164" s="65" t="n">
        <f aca="false">IF('Offshore - Sydney'!E360="","-",'Offshore - Sydney'!E360)</f>
        <v>9680</v>
      </c>
      <c r="H1164" s="63" t="n">
        <f aca="false">IF(ISNUMBER(K1164),COUNTIFS($J$6:$J$1854,J1164,$K$6:$K$1854,"&lt;"&amp;K1164)+1,"-")</f>
        <v>4</v>
      </c>
      <c r="I1164" s="64" t="str">
        <f aca="false">IF('Offshore - Sydney'!E360="","Harga belum tersedia - hubungi konsultan TEG",IF(M1164=2,"Saat ini tidak menerima pendaftaran siswa internasional baru",IF(M1164=1,"Harga perlu dikonfirmasi ke sekolah"&amp;IF(""="","","; "&amp;""),"")))</f>
        <v/>
      </c>
      <c r="J1164" s="0" t="s">
        <v>4279</v>
      </c>
      <c r="K1164" s="0" t="n">
        <f aca="false">IF(M1164=2,"",IF(ISNUMBER(SEARCH("rata-rata:",'Offshore - Sydney'!N360)),VALUE(MID('Offshore - Sydney'!N360,SEARCH("rata-rata:",'Offshore - Sydney'!N360)+11,FIND(";",'Offshore - Sydney'!N360&amp;";",SEARCH("rata-rata:",'Offshore - Sydney'!N360))-SEARCH("rata-rata:",'Offshore - Sydney'!N360)-11)),IF('Offshore - Sydney'!D360="Semester",'Offshore - Sydney'!E360*2,IF('Offshore - Sydney'!D360="Trimester",'Offshore - Sydney'!E360*3,IF('Offshore - Sydney'!D360="Term",'Offshore - Sydney'!E360*4,IF('Offshore - Sydney'!D360="Unit",'Offshore - Sydney'!E360*8,""))))))</f>
        <v>38720</v>
      </c>
      <c r="L1164" s="0" t="n">
        <f aca="false">IF(AND(ISNUMBER('Offshore - Sydney'!E360),ISNUMBER(K1164),ISNUMBER('Offshore - Sydney'!F360),ISNUMBER('Offshore - Sydney'!G360),OR('Offshore - Sydney'!F360&lt;&gt;0,ISNUMBER(SEARCH("Material 0 terverifikasi",'Offshore - Sydney'!N360))),OR('Offshore - Sydney'!G360&lt;&gt;0,ISNUMBER(SEARCH("Enrolment 0 terverifikasi",'Offshore - Sydney'!N360)))),1,0)</f>
        <v>0</v>
      </c>
      <c r="M1164" s="0" t="n">
        <f aca="false">IF(OR('Offshore - Sydney'!E360="",ISNUMBER(SEARCH("BSB80120",'Offshore - Sydney'!B360&amp;'Offshore - Sydney'!N360)),ISNUMBER(SEARCH("Management (Learning)",'Offshore - Sydney'!B360))),2,IF(ISNUMBER(SEARCH("CEK:",'Offshore - Sydney'!N360)),1,0))</f>
        <v>0</v>
      </c>
    </row>
    <row r="1165" customFormat="false" ht="15" hidden="false" customHeight="false" outlineLevel="0" collapsed="false">
      <c r="A1165" s="63" t="s">
        <v>3533</v>
      </c>
      <c r="B1165" s="64" t="s">
        <v>4207</v>
      </c>
      <c r="C1165" s="63" t="s">
        <v>43</v>
      </c>
      <c r="D1165" s="64" t="str">
        <f aca="false">TRIM(LEFT('Offshore - Sydney'!A923,FIND(CHAR(10),'Offshore - Sydney'!A923&amp;CHAR(10))-1))</f>
        <v>University of Tasmania (UTAS)</v>
      </c>
      <c r="E1165" s="63" t="str">
        <f aca="false">'Offshore - Sydney'!C923&amp;""</f>
        <v>3 years</v>
      </c>
      <c r="F1165" s="63" t="str">
        <f aca="false">IF('Offshore - Sydney'!D923="","Belum tercatat",'Offshore - Sydney'!D923)</f>
        <v>Term</v>
      </c>
      <c r="G1165" s="65" t="n">
        <f aca="false">IF('Offshore - Sydney'!E923="","-",'Offshore - Sydney'!E923)</f>
        <v>10737.5</v>
      </c>
      <c r="H1165" s="63" t="n">
        <f aca="false">IF(ISNUMBER(K1165),COUNTIFS($J$6:$J$1854,J1165,$K$6:$K$1854,"&lt;"&amp;K1165)+1,"-")</f>
        <v>5</v>
      </c>
      <c r="I1165" s="64" t="str">
        <f aca="false">IF('Offshore - Sydney'!E923="","Harga belum tersedia - hubungi konsultan TEG",IF(M1165=2,"Saat ini tidak menerima pendaftaran siswa internasional baru",IF(M1165=1,"Program perlu dikonfirmasi ketersediaannya"&amp;IF(""="","","; "&amp;""),"")))</f>
        <v>Program perlu dikonfirmasi ketersediaannya</v>
      </c>
      <c r="J1165" s="0" t="s">
        <v>4279</v>
      </c>
      <c r="K1165" s="0" t="n">
        <f aca="false">IF(M1165=2,"",IF(ISNUMBER(SEARCH("rata-rata:",'Offshore - Sydney'!N923)),VALUE(MID('Offshore - Sydney'!N923,SEARCH("rata-rata:",'Offshore - Sydney'!N923)+11,FIND(";",'Offshore - Sydney'!N923&amp;";",SEARCH("rata-rata:",'Offshore - Sydney'!N923))-SEARCH("rata-rata:",'Offshore - Sydney'!N923)-11)),IF('Offshore - Sydney'!D923="Semester",'Offshore - Sydney'!E923*2,IF('Offshore - Sydney'!D923="Trimester",'Offshore - Sydney'!E923*3,IF('Offshore - Sydney'!D923="Term",'Offshore - Sydney'!E923*4,IF('Offshore - Sydney'!D923="Unit",'Offshore - Sydney'!E923*8,""))))))</f>
        <v>42950</v>
      </c>
      <c r="L1165" s="0" t="n">
        <f aca="false">IF(AND(ISNUMBER('Offshore - Sydney'!E923),ISNUMBER(K1165),ISNUMBER('Offshore - Sydney'!F923),ISNUMBER('Offshore - Sydney'!G923),OR('Offshore - Sydney'!F923&lt;&gt;0,ISNUMBER(SEARCH("Material 0 terverifikasi",'Offshore - Sydney'!N923))),OR('Offshore - Sydney'!G923&lt;&gt;0,ISNUMBER(SEARCH("Enrolment 0 terverifikasi",'Offshore - Sydney'!N923)))),1,0)</f>
        <v>0</v>
      </c>
      <c r="M1165" s="0" t="n">
        <f aca="false">IF(OR('Offshore - Sydney'!E923="",ISNUMBER(SEARCH("BSB80120",'Offshore - Sydney'!B923&amp;'Offshore - Sydney'!N923)),ISNUMBER(SEARCH("Management (Learning)",'Offshore - Sydney'!B923))),2,IF(ISNUMBER(SEARCH("CEK:",'Offshore - Sydney'!N923)),1,0))</f>
        <v>1</v>
      </c>
    </row>
    <row r="1166" customFormat="false" ht="15" hidden="false" customHeight="false" outlineLevel="0" collapsed="false">
      <c r="A1166" s="61" t="s">
        <v>4280</v>
      </c>
      <c r="B1166" s="62"/>
      <c r="C1166" s="62"/>
      <c r="D1166" s="62"/>
      <c r="E1166" s="62"/>
      <c r="F1166" s="62"/>
      <c r="G1166" s="62"/>
      <c r="H1166" s="62"/>
      <c r="I1166" s="62"/>
    </row>
    <row r="1167" customFormat="false" ht="15" hidden="false" customHeight="false" outlineLevel="0" collapsed="false">
      <c r="A1167" s="63" t="s">
        <v>3533</v>
      </c>
      <c r="B1167" s="64" t="s">
        <v>4207</v>
      </c>
      <c r="C1167" s="63" t="s">
        <v>3707</v>
      </c>
      <c r="D1167" s="64" t="str">
        <f aca="false">TRIM(LEFT('Offshore - Sydney'!A814,FIND(CHAR(10),'Offshore - Sydney'!A814&amp;CHAR(10))-1))</f>
        <v>Torrens University Australia</v>
      </c>
      <c r="E1167" s="63" t="str">
        <f aca="false">'Offshore - Sydney'!C899&amp;""</f>
        <v>0,5 year</v>
      </c>
      <c r="F1167" s="63" t="str">
        <f aca="false">IF('Offshore - Sydney'!D899="","Belum tercatat",'Offshore - Sydney'!D899)</f>
        <v>Term</v>
      </c>
      <c r="G1167" s="65" t="n">
        <f aca="false">IF('Offshore - Sydney'!E899="","-",'Offshore - Sydney'!E899)</f>
        <v>3975</v>
      </c>
      <c r="H1167" s="63" t="n">
        <f aca="false">IF(ISNUMBER(K1167),COUNTIFS($J$6:$J$1854,J1167,$K$6:$K$1854,"&lt;"&amp;K1167)+1,"-")</f>
        <v>1</v>
      </c>
      <c r="I1167" s="64" t="str">
        <f aca="false">IF('Offshore - Sydney'!E899="","Harga belum tersedia - hubungi konsultan TEG",IF(M1167=2,"Saat ini tidak menerima pendaftaran siswa internasional baru",IF(M1167=1,"Harga perlu dikonfirmasi ke sekolah"&amp;IF(""="","","; "&amp;""),"")))</f>
        <v/>
      </c>
      <c r="J1167" s="0" t="s">
        <v>4281</v>
      </c>
      <c r="K1167" s="0" t="n">
        <f aca="false">IF(M1167=2,"",IF(ISNUMBER(SEARCH("rata-rata:",'Offshore - Sydney'!N899)),VALUE(MID('Offshore - Sydney'!N899,SEARCH("rata-rata:",'Offshore - Sydney'!N899)+11,FIND(";",'Offshore - Sydney'!N899&amp;";",SEARCH("rata-rata:",'Offshore - Sydney'!N899))-SEARCH("rata-rata:",'Offshore - Sydney'!N899)-11)),IF('Offshore - Sydney'!D899="Semester",'Offshore - Sydney'!E899*2,IF('Offshore - Sydney'!D899="Trimester",'Offshore - Sydney'!E899*3,IF('Offshore - Sydney'!D899="Term",'Offshore - Sydney'!E899*4,IF('Offshore - Sydney'!D899="Unit",'Offshore - Sydney'!E899*8,""))))))</f>
        <v>15900</v>
      </c>
      <c r="L1167" s="0" t="n">
        <f aca="false">IF(AND(ISNUMBER('Offshore - Sydney'!E899),ISNUMBER(K1167),ISNUMBER('Offshore - Sydney'!F899),ISNUMBER('Offshore - Sydney'!G899),OR('Offshore - Sydney'!F899&lt;&gt;0,ISNUMBER(SEARCH("Material 0 terverifikasi",'Offshore - Sydney'!N899))),OR('Offshore - Sydney'!G899&lt;&gt;0,ISNUMBER(SEARCH("Enrolment 0 terverifikasi",'Offshore - Sydney'!N899)))),1,0)</f>
        <v>0</v>
      </c>
      <c r="M1167" s="0" t="n">
        <f aca="false">IF(OR('Offshore - Sydney'!E899="",ISNUMBER(SEARCH("BSB80120",'Offshore - Sydney'!B899&amp;'Offshore - Sydney'!N899)),ISNUMBER(SEARCH("Management (Learning)",'Offshore - Sydney'!B899))),2,IF(ISNUMBER(SEARCH("CEK:",'Offshore - Sydney'!N899)),1,0))</f>
        <v>0</v>
      </c>
    </row>
    <row r="1168" customFormat="false" ht="15" hidden="false" customHeight="false" outlineLevel="0" collapsed="false">
      <c r="A1168" s="63" t="s">
        <v>3533</v>
      </c>
      <c r="B1168" s="64" t="s">
        <v>4207</v>
      </c>
      <c r="C1168" s="63" t="s">
        <v>3707</v>
      </c>
      <c r="D1168" s="64" t="str">
        <f aca="false">TRIM(LEFT('Offshore - Sydney'!A982,FIND(CHAR(10),'Offshore - Sydney'!A982&amp;CHAR(10))-1))</f>
        <v>Western Sydney University</v>
      </c>
      <c r="E1168" s="63" t="str">
        <f aca="false">'Offshore - Sydney'!C1117&amp;""</f>
        <v>0,5 year</v>
      </c>
      <c r="F1168" s="63" t="str">
        <f aca="false">IF('Offshore - Sydney'!D1117="","Belum tercatat",'Offshore - Sydney'!D1117)</f>
        <v>Term</v>
      </c>
      <c r="G1168" s="65" t="n">
        <f aca="false">IF('Offshore - Sydney'!E1117="","-",'Offshore - Sydney'!E1117)</f>
        <v>4657</v>
      </c>
      <c r="H1168" s="63" t="n">
        <f aca="false">IF(ISNUMBER(K1168),COUNTIFS($J$6:$J$1854,J1168,$K$6:$K$1854,"&lt;"&amp;K1168)+1,"-")</f>
        <v>2</v>
      </c>
      <c r="I1168" s="64" t="str">
        <f aca="false">IF('Offshore - Sydney'!E1117="","Harga belum tersedia - hubungi konsultan TEG",IF(M1168=2,"Saat ini tidak menerima pendaftaran siswa internasional baru",IF(M1168=1,"Harga perlu dikonfirmasi ke sekolah"&amp;IF(""="","","; "&amp;""),"")))</f>
        <v/>
      </c>
      <c r="J1168" s="0" t="s">
        <v>4281</v>
      </c>
      <c r="K1168" s="0" t="n">
        <f aca="false">IF(M1168=2,"",IF(ISNUMBER(SEARCH("rata-rata:",'Offshore - Sydney'!N1117)),VALUE(MID('Offshore - Sydney'!N1117,SEARCH("rata-rata:",'Offshore - Sydney'!N1117)+11,FIND(";",'Offshore - Sydney'!N1117&amp;";",SEARCH("rata-rata:",'Offshore - Sydney'!N1117))-SEARCH("rata-rata:",'Offshore - Sydney'!N1117)-11)),IF('Offshore - Sydney'!D1117="Semester",'Offshore - Sydney'!E1117*2,IF('Offshore - Sydney'!D1117="Trimester",'Offshore - Sydney'!E1117*3,IF('Offshore - Sydney'!D1117="Term",'Offshore - Sydney'!E1117*4,IF('Offshore - Sydney'!D1117="Unit",'Offshore - Sydney'!E1117*8,""))))))</f>
        <v>18628</v>
      </c>
      <c r="L1168" s="0" t="n">
        <f aca="false">IF(AND(ISNUMBER('Offshore - Sydney'!E1117),ISNUMBER(K1168),ISNUMBER('Offshore - Sydney'!F1117),ISNUMBER('Offshore - Sydney'!G1117),OR('Offshore - Sydney'!F1117&lt;&gt;0,ISNUMBER(SEARCH("Material 0 terverifikasi",'Offshore - Sydney'!N1117))),OR('Offshore - Sydney'!G1117&lt;&gt;0,ISNUMBER(SEARCH("Enrolment 0 terverifikasi",'Offshore - Sydney'!N1117)))),1,0)</f>
        <v>0</v>
      </c>
      <c r="M1168" s="0" t="n">
        <f aca="false">IF(OR('Offshore - Sydney'!E1117="",ISNUMBER(SEARCH("BSB80120",'Offshore - Sydney'!B1117&amp;'Offshore - Sydney'!N1117)),ISNUMBER(SEARCH("Management (Learning)",'Offshore - Sydney'!B1117))),2,IF(ISNUMBER(SEARCH("CEK:",'Offshore - Sydney'!N1117)),1,0))</f>
        <v>0</v>
      </c>
    </row>
    <row r="1169" customFormat="false" ht="15" hidden="false" customHeight="false" outlineLevel="0" collapsed="false">
      <c r="A1169" s="63" t="s">
        <v>3533</v>
      </c>
      <c r="B1169" s="64" t="s">
        <v>4207</v>
      </c>
      <c r="C1169" s="63" t="s">
        <v>3707</v>
      </c>
      <c r="D1169" s="64" t="str">
        <f aca="false">TRIM(LEFT('Offshore - Sydney'!A408,FIND(CHAR(10),'Offshore - Sydney'!A408&amp;CHAR(10))-1))</f>
        <v>ECA College of Health Sciences (CHS)</v>
      </c>
      <c r="E1169" s="63" t="str">
        <f aca="false">'Offshore - Sydney'!C408&amp;""</f>
        <v>0,75 year</v>
      </c>
      <c r="F1169" s="63" t="str">
        <f aca="false">IF('Offshore - Sydney'!D408="","Belum tercatat",'Offshore - Sydney'!D408)</f>
        <v>Trimester</v>
      </c>
      <c r="G1169" s="65" t="n">
        <f aca="false">IF('Offshore - Sydney'!E408="","-",'Offshore - Sydney'!E408)</f>
        <v>7800</v>
      </c>
      <c r="H1169" s="63" t="n">
        <f aca="false">IF(ISNUMBER(K1169),COUNTIFS($J$6:$J$1854,J1169,$K$6:$K$1854,"&lt;"&amp;K1169)+1,"-")</f>
        <v>3</v>
      </c>
      <c r="I1169" s="64" t="str">
        <f aca="false">IF('Offshore - Sydney'!E408="","Harga belum tersedia - hubungi konsultan TEG",IF(M1169=2,"Saat ini tidak menerima pendaftaran siswa internasional baru",IF(M1169=1,"Harga perlu dikonfirmasi ke sekolah"&amp;IF(""="","","; "&amp;""),"")))</f>
        <v/>
      </c>
      <c r="J1169" s="0" t="s">
        <v>4281</v>
      </c>
      <c r="K1169" s="0" t="n">
        <f aca="false">IF(M1169=2,"",IF(ISNUMBER(SEARCH("rata-rata:",'Offshore - Sydney'!N408)),VALUE(MID('Offshore - Sydney'!N408,SEARCH("rata-rata:",'Offshore - Sydney'!N408)+11,FIND(";",'Offshore - Sydney'!N408&amp;";",SEARCH("rata-rata:",'Offshore - Sydney'!N408))-SEARCH("rata-rata:",'Offshore - Sydney'!N408)-11)),IF('Offshore - Sydney'!D408="Semester",'Offshore - Sydney'!E408*2,IF('Offshore - Sydney'!D408="Trimester",'Offshore - Sydney'!E408*3,IF('Offshore - Sydney'!D408="Term",'Offshore - Sydney'!E408*4,IF('Offshore - Sydney'!D408="Unit",'Offshore - Sydney'!E408*8,""))))))</f>
        <v>23400</v>
      </c>
      <c r="L1169" s="0" t="n">
        <f aca="false">IF(AND(ISNUMBER('Offshore - Sydney'!E408),ISNUMBER(K1169),ISNUMBER('Offshore - Sydney'!F408),ISNUMBER('Offshore - Sydney'!G408),OR('Offshore - Sydney'!F408&lt;&gt;0,ISNUMBER(SEARCH("Material 0 terverifikasi",'Offshore - Sydney'!N408))),OR('Offshore - Sydney'!G408&lt;&gt;0,ISNUMBER(SEARCH("Enrolment 0 terverifikasi",'Offshore - Sydney'!N408)))),1,0)</f>
        <v>0</v>
      </c>
      <c r="M1169" s="0" t="n">
        <f aca="false">IF(OR('Offshore - Sydney'!E408="",ISNUMBER(SEARCH("BSB80120",'Offshore - Sydney'!B408&amp;'Offshore - Sydney'!N408)),ISNUMBER(SEARCH("Management (Learning)",'Offshore - Sydney'!B408))),2,IF(ISNUMBER(SEARCH("CEK:",'Offshore - Sydney'!N408)),1,0))</f>
        <v>0</v>
      </c>
    </row>
    <row r="1170" customFormat="false" ht="15" hidden="false" customHeight="false" outlineLevel="0" collapsed="false">
      <c r="A1170" s="63" t="s">
        <v>3533</v>
      </c>
      <c r="B1170" s="64" t="s">
        <v>4207</v>
      </c>
      <c r="C1170" s="63" t="s">
        <v>3707</v>
      </c>
      <c r="D1170" s="64" t="str">
        <f aca="false">TRIM(LEFT('Offshore - Sydney'!A156,FIND(CHAR(10),'Offshore - Sydney'!A156&amp;CHAR(10))-1))</f>
        <v>Australian Catholic University (ACU)</v>
      </c>
      <c r="E1170" s="63" t="str">
        <f aca="false">'Offshore - Sydney'!C234&amp;""</f>
        <v>1 year</v>
      </c>
      <c r="F1170" s="63" t="str">
        <f aca="false">IF('Offshore - Sydney'!D234="","Belum tercatat",'Offshore - Sydney'!D234)</f>
        <v>Term</v>
      </c>
      <c r="G1170" s="65" t="n">
        <f aca="false">IF('Offshore - Sydney'!E234="","-",'Offshore - Sydney'!E234)</f>
        <v>8018</v>
      </c>
      <c r="H1170" s="63" t="n">
        <f aca="false">IF(ISNUMBER(K1170),COUNTIFS($J$6:$J$1854,J1170,$K$6:$K$1854,"&lt;"&amp;K1170)+1,"-")</f>
        <v>4</v>
      </c>
      <c r="I1170" s="64" t="str">
        <f aca="false">IF('Offshore - Sydney'!E234="","Harga belum tersedia - hubungi konsultan TEG",IF(M1170=2,"Saat ini tidak menerima pendaftaran siswa internasional baru",IF(M1170=1,"Harga perlu dikonfirmasi ke sekolah"&amp;IF(""="","","; "&amp;""),"")))</f>
        <v/>
      </c>
      <c r="J1170" s="0" t="s">
        <v>4281</v>
      </c>
      <c r="K1170" s="0" t="n">
        <f aca="false">IF(M1170=2,"",IF(ISNUMBER(SEARCH("rata-rata:",'Offshore - Sydney'!N234)),VALUE(MID('Offshore - Sydney'!N234,SEARCH("rata-rata:",'Offshore - Sydney'!N234)+11,FIND(";",'Offshore - Sydney'!N234&amp;";",SEARCH("rata-rata:",'Offshore - Sydney'!N234))-SEARCH("rata-rata:",'Offshore - Sydney'!N234)-11)),IF('Offshore - Sydney'!D234="Semester",'Offshore - Sydney'!E234*2,IF('Offshore - Sydney'!D234="Trimester",'Offshore - Sydney'!E234*3,IF('Offshore - Sydney'!D234="Term",'Offshore - Sydney'!E234*4,IF('Offshore - Sydney'!D234="Unit",'Offshore - Sydney'!E234*8,""))))))</f>
        <v>32072</v>
      </c>
      <c r="L1170" s="0" t="n">
        <f aca="false">IF(AND(ISNUMBER('Offshore - Sydney'!E234),ISNUMBER(K1170),ISNUMBER('Offshore - Sydney'!F234),ISNUMBER('Offshore - Sydney'!G234),OR('Offshore - Sydney'!F234&lt;&gt;0,ISNUMBER(SEARCH("Material 0 terverifikasi",'Offshore - Sydney'!N234))),OR('Offshore - Sydney'!G234&lt;&gt;0,ISNUMBER(SEARCH("Enrolment 0 terverifikasi",'Offshore - Sydney'!N234)))),1,0)</f>
        <v>0</v>
      </c>
      <c r="M1170" s="0" t="n">
        <f aca="false">IF(OR('Offshore - Sydney'!E234="",ISNUMBER(SEARCH("BSB80120",'Offshore - Sydney'!B234&amp;'Offshore - Sydney'!N234)),ISNUMBER(SEARCH("Management (Learning)",'Offshore - Sydney'!B234))),2,IF(ISNUMBER(SEARCH("CEK:",'Offshore - Sydney'!N234)),1,0))</f>
        <v>0</v>
      </c>
    </row>
    <row r="1171" customFormat="false" ht="15" hidden="false" customHeight="false" outlineLevel="0" collapsed="false">
      <c r="A1171" s="61" t="s">
        <v>4282</v>
      </c>
      <c r="B1171" s="62"/>
      <c r="C1171" s="62"/>
      <c r="D1171" s="62"/>
      <c r="E1171" s="62"/>
      <c r="F1171" s="62"/>
      <c r="G1171" s="62"/>
      <c r="H1171" s="62"/>
      <c r="I1171" s="62"/>
    </row>
    <row r="1172" customFormat="false" ht="15" hidden="false" customHeight="false" outlineLevel="0" collapsed="false">
      <c r="A1172" s="63" t="s">
        <v>3533</v>
      </c>
      <c r="B1172" s="64" t="s">
        <v>4207</v>
      </c>
      <c r="C1172" s="63" t="s">
        <v>46</v>
      </c>
      <c r="D1172" s="64" t="str">
        <f aca="false">TRIM(LEFT('Offshore - Sydney'!A408,FIND(CHAR(10),'Offshore - Sydney'!A408&amp;CHAR(10))-1))</f>
        <v>ECA College of Health Sciences (CHS)</v>
      </c>
      <c r="E1172" s="63" t="str">
        <f aca="false">'Offshore - Sydney'!C410&amp;""</f>
        <v>2 years</v>
      </c>
      <c r="F1172" s="63" t="str">
        <f aca="false">IF('Offshore - Sydney'!D410="","Belum tercatat",'Offshore - Sydney'!D410)</f>
        <v>Trimester</v>
      </c>
      <c r="G1172" s="65" t="n">
        <f aca="false">IF('Offshore - Sydney'!E410="","-",'Offshore - Sydney'!E410)</f>
        <v>7800</v>
      </c>
      <c r="H1172" s="63" t="n">
        <f aca="false">IF(ISNUMBER(K1172),COUNTIFS($J$6:$J$1854,J1172,$K$6:$K$1854,"&lt;"&amp;K1172)+1,"-")</f>
        <v>1</v>
      </c>
      <c r="I1172" s="64" t="str">
        <f aca="false">IF('Offshore - Sydney'!E410="","Harga belum tersedia - hubungi konsultan TEG",IF(M1172=2,"Saat ini tidak menerima pendaftaran siswa internasional baru",IF(M1172=1,"Harga perlu dikonfirmasi ke sekolah"&amp;IF(""="","","; "&amp;""),"")))</f>
        <v/>
      </c>
      <c r="J1172" s="0" t="s">
        <v>4283</v>
      </c>
      <c r="K1172" s="0" t="n">
        <f aca="false">IF(M1172=2,"",IF(ISNUMBER(SEARCH("rata-rata:",'Offshore - Sydney'!N410)),VALUE(MID('Offshore - Sydney'!N410,SEARCH("rata-rata:",'Offshore - Sydney'!N410)+11,FIND(";",'Offshore - Sydney'!N410&amp;";",SEARCH("rata-rata:",'Offshore - Sydney'!N410))-SEARCH("rata-rata:",'Offshore - Sydney'!N410)-11)),IF('Offshore - Sydney'!D410="Semester",'Offshore - Sydney'!E410*2,IF('Offshore - Sydney'!D410="Trimester",'Offshore - Sydney'!E410*3,IF('Offshore - Sydney'!D410="Term",'Offshore - Sydney'!E410*4,IF('Offshore - Sydney'!D410="Unit",'Offshore - Sydney'!E410*8,""))))))</f>
        <v>23400</v>
      </c>
      <c r="L1172" s="0" t="n">
        <f aca="false">IF(AND(ISNUMBER('Offshore - Sydney'!E410),ISNUMBER(K1172),ISNUMBER('Offshore - Sydney'!F410),ISNUMBER('Offshore - Sydney'!G410),OR('Offshore - Sydney'!F410&lt;&gt;0,ISNUMBER(SEARCH("Material 0 terverifikasi",'Offshore - Sydney'!N410))),OR('Offshore - Sydney'!G410&lt;&gt;0,ISNUMBER(SEARCH("Enrolment 0 terverifikasi",'Offshore - Sydney'!N410)))),1,0)</f>
        <v>0</v>
      </c>
      <c r="M1172" s="0" t="n">
        <f aca="false">IF(OR('Offshore - Sydney'!E410="",ISNUMBER(SEARCH("BSB80120",'Offshore - Sydney'!B410&amp;'Offshore - Sydney'!N410)),ISNUMBER(SEARCH("Management (Learning)",'Offshore - Sydney'!B410))),2,IF(ISNUMBER(SEARCH("CEK:",'Offshore - Sydney'!N410)),1,0))</f>
        <v>0</v>
      </c>
    </row>
    <row r="1173" customFormat="false" ht="15" hidden="false" customHeight="false" outlineLevel="0" collapsed="false">
      <c r="A1173" s="63" t="s">
        <v>3533</v>
      </c>
      <c r="B1173" s="64" t="s">
        <v>4207</v>
      </c>
      <c r="C1173" s="63" t="s">
        <v>46</v>
      </c>
      <c r="D1173" s="64" t="str">
        <f aca="false">TRIM(LEFT('Offshore - Sydney'!A923,FIND(CHAR(10),'Offshore - Sydney'!A923&amp;CHAR(10))-1))</f>
        <v>University of Tasmania (UTAS)</v>
      </c>
      <c r="E1173" s="63" t="str">
        <f aca="false">'Offshore - Sydney'!C928&amp;""</f>
        <v>2 years</v>
      </c>
      <c r="F1173" s="63" t="str">
        <f aca="false">IF('Offshore - Sydney'!D928="","Belum tercatat",'Offshore - Sydney'!D928)</f>
        <v>Term</v>
      </c>
      <c r="G1173" s="65" t="n">
        <f aca="false">IF('Offshore - Sydney'!E928="","-",'Offshore - Sydney'!E928)</f>
        <v>6647</v>
      </c>
      <c r="H1173" s="63" t="n">
        <f aca="false">IF(ISNUMBER(K1173),COUNTIFS($J$6:$J$1854,J1173,$K$6:$K$1854,"&lt;"&amp;K1173)+1,"-")</f>
        <v>2</v>
      </c>
      <c r="I1173" s="64" t="str">
        <f aca="false">IF('Offshore - Sydney'!E928="","Harga belum tersedia - hubungi konsultan TEG",IF(M1173=2,"Saat ini tidak menerima pendaftaran siswa internasional baru",IF(M1173=1,"Harga perlu dikonfirmasi ke sekolah"&amp;IF(""="","","; "&amp;""),"")))</f>
        <v/>
      </c>
      <c r="J1173" s="0" t="s">
        <v>4283</v>
      </c>
      <c r="K1173" s="0" t="n">
        <f aca="false">IF(M1173=2,"",IF(ISNUMBER(SEARCH("rata-rata:",'Offshore - Sydney'!N928)),VALUE(MID('Offshore - Sydney'!N928,SEARCH("rata-rata:",'Offshore - Sydney'!N928)+11,FIND(";",'Offshore - Sydney'!N928&amp;";",SEARCH("rata-rata:",'Offshore - Sydney'!N928))-SEARCH("rata-rata:",'Offshore - Sydney'!N928)-11)),IF('Offshore - Sydney'!D928="Semester",'Offshore - Sydney'!E928*2,IF('Offshore - Sydney'!D928="Trimester",'Offshore - Sydney'!E928*3,IF('Offshore - Sydney'!D928="Term",'Offshore - Sydney'!E928*4,IF('Offshore - Sydney'!D928="Unit",'Offshore - Sydney'!E928*8,""))))))</f>
        <v>26588</v>
      </c>
      <c r="L1173" s="0" t="n">
        <f aca="false">IF(AND(ISNUMBER('Offshore - Sydney'!E928),ISNUMBER(K1173),ISNUMBER('Offshore - Sydney'!F928),ISNUMBER('Offshore - Sydney'!G928),OR('Offshore - Sydney'!F928&lt;&gt;0,ISNUMBER(SEARCH("Material 0 terverifikasi",'Offshore - Sydney'!N928))),OR('Offshore - Sydney'!G928&lt;&gt;0,ISNUMBER(SEARCH("Enrolment 0 terverifikasi",'Offshore - Sydney'!N928)))),1,0)</f>
        <v>0</v>
      </c>
      <c r="M1173" s="0" t="n">
        <f aca="false">IF(OR('Offshore - Sydney'!E928="",ISNUMBER(SEARCH("BSB80120",'Offshore - Sydney'!B928&amp;'Offshore - Sydney'!N928)),ISNUMBER(SEARCH("Management (Learning)",'Offshore - Sydney'!B928))),2,IF(ISNUMBER(SEARCH("CEK:",'Offshore - Sydney'!N928)),1,0))</f>
        <v>0</v>
      </c>
    </row>
    <row r="1174" customFormat="false" ht="15" hidden="false" customHeight="false" outlineLevel="0" collapsed="false">
      <c r="A1174" s="63" t="s">
        <v>3533</v>
      </c>
      <c r="B1174" s="64" t="s">
        <v>4207</v>
      </c>
      <c r="C1174" s="63" t="s">
        <v>46</v>
      </c>
      <c r="D1174" s="64" t="str">
        <f aca="false">TRIM(LEFT('Offshore - Sydney'!A814,FIND(CHAR(10),'Offshore - Sydney'!A814&amp;CHAR(10))-1))</f>
        <v>Torrens University Australia</v>
      </c>
      <c r="E1174" s="63" t="str">
        <f aca="false">'Offshore - Sydney'!C832&amp;""</f>
        <v>2 years</v>
      </c>
      <c r="F1174" s="63" t="str">
        <f aca="false">IF('Offshore - Sydney'!D832="","Belum tercatat",'Offshore - Sydney'!D832)</f>
        <v>Term</v>
      </c>
      <c r="G1174" s="65" t="n">
        <f aca="false">IF('Offshore - Sydney'!E832="","-",'Offshore - Sydney'!E832)</f>
        <v>7950</v>
      </c>
      <c r="H1174" s="63" t="n">
        <f aca="false">IF(ISNUMBER(K1174),COUNTIFS($J$6:$J$1854,J1174,$K$6:$K$1854,"&lt;"&amp;K1174)+1,"-")</f>
        <v>3</v>
      </c>
      <c r="I1174" s="64" t="str">
        <f aca="false">IF('Offshore - Sydney'!E832="","Harga belum tersedia - hubungi konsultan TEG",IF(M1174=2,"Saat ini tidak menerima pendaftaran siswa internasional baru",IF(M1174=1,"Harga perlu dikonfirmasi ke sekolah"&amp;IF(""="","","; "&amp;""),"")))</f>
        <v/>
      </c>
      <c r="J1174" s="0" t="s">
        <v>4283</v>
      </c>
      <c r="K1174" s="0" t="n">
        <f aca="false">IF(M1174=2,"",IF(ISNUMBER(SEARCH("rata-rata:",'Offshore - Sydney'!N832)),VALUE(MID('Offshore - Sydney'!N832,SEARCH("rata-rata:",'Offshore - Sydney'!N832)+11,FIND(";",'Offshore - Sydney'!N832&amp;";",SEARCH("rata-rata:",'Offshore - Sydney'!N832))-SEARCH("rata-rata:",'Offshore - Sydney'!N832)-11)),IF('Offshore - Sydney'!D832="Semester",'Offshore - Sydney'!E832*2,IF('Offshore - Sydney'!D832="Trimester",'Offshore - Sydney'!E832*3,IF('Offshore - Sydney'!D832="Term",'Offshore - Sydney'!E832*4,IF('Offshore - Sydney'!D832="Unit",'Offshore - Sydney'!E832*8,""))))))</f>
        <v>31800</v>
      </c>
      <c r="L1174" s="0" t="n">
        <f aca="false">IF(AND(ISNUMBER('Offshore - Sydney'!E832),ISNUMBER(K1174),ISNUMBER('Offshore - Sydney'!F832),ISNUMBER('Offshore - Sydney'!G832),OR('Offshore - Sydney'!F832&lt;&gt;0,ISNUMBER(SEARCH("Material 0 terverifikasi",'Offshore - Sydney'!N832))),OR('Offshore - Sydney'!G832&lt;&gt;0,ISNUMBER(SEARCH("Enrolment 0 terverifikasi",'Offshore - Sydney'!N832)))),1,0)</f>
        <v>0</v>
      </c>
      <c r="M1174" s="0" t="n">
        <f aca="false">IF(OR('Offshore - Sydney'!E832="",ISNUMBER(SEARCH("BSB80120",'Offshore - Sydney'!B832&amp;'Offshore - Sydney'!N832)),ISNUMBER(SEARCH("Management (Learning)",'Offshore - Sydney'!B832))),2,IF(ISNUMBER(SEARCH("CEK:",'Offshore - Sydney'!N832)),1,0))</f>
        <v>0</v>
      </c>
    </row>
    <row r="1175" customFormat="false" ht="15" hidden="false" customHeight="false" outlineLevel="0" collapsed="false">
      <c r="A1175" s="63" t="s">
        <v>3533</v>
      </c>
      <c r="B1175" s="64" t="s">
        <v>4207</v>
      </c>
      <c r="C1175" s="63" t="s">
        <v>46</v>
      </c>
      <c r="D1175" s="64" t="str">
        <f aca="false">TRIM(LEFT('Offshore - Sydney'!A156,FIND(CHAR(10),'Offshore - Sydney'!A156&amp;CHAR(10))-1))</f>
        <v>Australian Catholic University (ACU)</v>
      </c>
      <c r="E1175" s="63" t="str">
        <f aca="false">'Offshore - Sydney'!C235&amp;""</f>
        <v>2 years</v>
      </c>
      <c r="F1175" s="63" t="str">
        <f aca="false">IF('Offshore - Sydney'!D235="","Belum tercatat",'Offshore - Sydney'!D235)</f>
        <v>Term</v>
      </c>
      <c r="G1175" s="65" t="n">
        <f aca="false">IF('Offshore - Sydney'!E235="","-",'Offshore - Sydney'!E235)</f>
        <v>8018</v>
      </c>
      <c r="H1175" s="63" t="n">
        <f aca="false">IF(ISNUMBER(K1175),COUNTIFS($J$6:$J$1854,J1175,$K$6:$K$1854,"&lt;"&amp;K1175)+1,"-")</f>
        <v>4</v>
      </c>
      <c r="I1175" s="64" t="str">
        <f aca="false">IF('Offshore - Sydney'!E235="","Harga belum tersedia - hubungi konsultan TEG",IF(M1175=2,"Saat ini tidak menerima pendaftaran siswa internasional baru",IF(M1175=1,"Harga perlu dikonfirmasi ke sekolah"&amp;IF(""="","","; "&amp;""),"")))</f>
        <v/>
      </c>
      <c r="J1175" s="0" t="s">
        <v>4283</v>
      </c>
      <c r="K1175" s="0" t="n">
        <f aca="false">IF(M1175=2,"",IF(ISNUMBER(SEARCH("rata-rata:",'Offshore - Sydney'!N235)),VALUE(MID('Offshore - Sydney'!N235,SEARCH("rata-rata:",'Offshore - Sydney'!N235)+11,FIND(";",'Offshore - Sydney'!N235&amp;";",SEARCH("rata-rata:",'Offshore - Sydney'!N235))-SEARCH("rata-rata:",'Offshore - Sydney'!N235)-11)),IF('Offshore - Sydney'!D235="Semester",'Offshore - Sydney'!E235*2,IF('Offshore - Sydney'!D235="Trimester",'Offshore - Sydney'!E235*3,IF('Offshore - Sydney'!D235="Term",'Offshore - Sydney'!E235*4,IF('Offshore - Sydney'!D235="Unit",'Offshore - Sydney'!E235*8,""))))))</f>
        <v>32072</v>
      </c>
      <c r="L1175" s="0" t="n">
        <f aca="false">IF(AND(ISNUMBER('Offshore - Sydney'!E235),ISNUMBER(K1175),ISNUMBER('Offshore - Sydney'!F235),ISNUMBER('Offshore - Sydney'!G235),OR('Offshore - Sydney'!F235&lt;&gt;0,ISNUMBER(SEARCH("Material 0 terverifikasi",'Offshore - Sydney'!N235))),OR('Offshore - Sydney'!G235&lt;&gt;0,ISNUMBER(SEARCH("Enrolment 0 terverifikasi",'Offshore - Sydney'!N235)))),1,0)</f>
        <v>0</v>
      </c>
      <c r="M1175" s="0" t="n">
        <f aca="false">IF(OR('Offshore - Sydney'!E235="",ISNUMBER(SEARCH("BSB80120",'Offshore - Sydney'!B235&amp;'Offshore - Sydney'!N235)),ISNUMBER(SEARCH("Management (Learning)",'Offshore - Sydney'!B235))),2,IF(ISNUMBER(SEARCH("CEK:",'Offshore - Sydney'!N235)),1,0))</f>
        <v>0</v>
      </c>
    </row>
    <row r="1176" customFormat="false" ht="15" hidden="false" customHeight="false" outlineLevel="0" collapsed="false">
      <c r="A1176" s="63" t="s">
        <v>3533</v>
      </c>
      <c r="B1176" s="64" t="s">
        <v>4207</v>
      </c>
      <c r="C1176" s="63" t="s">
        <v>46</v>
      </c>
      <c r="D1176" s="64" t="str">
        <f aca="false">TRIM(LEFT('Offshore - Sydney'!A982,FIND(CHAR(10),'Offshore - Sydney'!A982&amp;CHAR(10))-1))</f>
        <v>Western Sydney University</v>
      </c>
      <c r="E1176" s="63" t="str">
        <f aca="false">'Offshore - Sydney'!C1107&amp;""</f>
        <v>2 years</v>
      </c>
      <c r="F1176" s="63" t="str">
        <f aca="false">IF('Offshore - Sydney'!D1107="","Belum tercatat",'Offshore - Sydney'!D1107)</f>
        <v>Term</v>
      </c>
      <c r="G1176" s="65" t="n">
        <f aca="false">IF('Offshore - Sydney'!E1107="","-",'Offshore - Sydney'!E1107)</f>
        <v>8694</v>
      </c>
      <c r="H1176" s="63" t="n">
        <f aca="false">IF(ISNUMBER(K1176),COUNTIFS($J$6:$J$1854,J1176,$K$6:$K$1854,"&lt;"&amp;K1176)+1,"-")</f>
        <v>5</v>
      </c>
      <c r="I1176" s="64" t="str">
        <f aca="false">IF('Offshore - Sydney'!E1107="","Harga belum tersedia - hubungi konsultan TEG",IF(M1176=2,"Saat ini tidak menerima pendaftaran siswa internasional baru",IF(M1176=1,"Harga perlu dikonfirmasi ke sekolah"&amp;IF(""="","","; "&amp;""),"")))</f>
        <v/>
      </c>
      <c r="J1176" s="0" t="s">
        <v>4283</v>
      </c>
      <c r="K1176" s="0" t="n">
        <f aca="false">IF(M1176=2,"",IF(ISNUMBER(SEARCH("rata-rata:",'Offshore - Sydney'!N1107)),VALUE(MID('Offshore - Sydney'!N1107,SEARCH("rata-rata:",'Offshore - Sydney'!N1107)+11,FIND(";",'Offshore - Sydney'!N1107&amp;";",SEARCH("rata-rata:",'Offshore - Sydney'!N1107))-SEARCH("rata-rata:",'Offshore - Sydney'!N1107)-11)),IF('Offshore - Sydney'!D1107="Semester",'Offshore - Sydney'!E1107*2,IF('Offshore - Sydney'!D1107="Trimester",'Offshore - Sydney'!E1107*3,IF('Offshore - Sydney'!D1107="Term",'Offshore - Sydney'!E1107*4,IF('Offshore - Sydney'!D1107="Unit",'Offshore - Sydney'!E1107*8,""))))))</f>
        <v>34776</v>
      </c>
      <c r="L1176" s="0" t="n">
        <f aca="false">IF(AND(ISNUMBER('Offshore - Sydney'!E1107),ISNUMBER(K1176),ISNUMBER('Offshore - Sydney'!F1107),ISNUMBER('Offshore - Sydney'!G1107),OR('Offshore - Sydney'!F1107&lt;&gt;0,ISNUMBER(SEARCH("Material 0 terverifikasi",'Offshore - Sydney'!N1107))),OR('Offshore - Sydney'!G1107&lt;&gt;0,ISNUMBER(SEARCH("Enrolment 0 terverifikasi",'Offshore - Sydney'!N1107)))),1,0)</f>
        <v>0</v>
      </c>
      <c r="M1176" s="0" t="n">
        <f aca="false">IF(OR('Offshore - Sydney'!E1107="",ISNUMBER(SEARCH("BSB80120",'Offshore - Sydney'!B1107&amp;'Offshore - Sydney'!N1107)),ISNUMBER(SEARCH("Management (Learning)",'Offshore - Sydney'!B1107))),2,IF(ISNUMBER(SEARCH("CEK:",'Offshore - Sydney'!N1107)),1,0))</f>
        <v>0</v>
      </c>
    </row>
    <row r="1177" customFormat="false" ht="15" hidden="false" customHeight="false" outlineLevel="0" collapsed="false">
      <c r="A1177" s="63" t="s">
        <v>3533</v>
      </c>
      <c r="B1177" s="64" t="s">
        <v>4207</v>
      </c>
      <c r="C1177" s="63" t="s">
        <v>46</v>
      </c>
      <c r="D1177" s="64" t="str">
        <f aca="false">TRIM(LEFT('Offshore - Sydney'!A354,FIND(CHAR(10),'Offshore - Sydney'!A354&amp;CHAR(10))-1))</f>
        <v>Charles Darwin University (CDU)</v>
      </c>
      <c r="E1177" s="63" t="str">
        <f aca="false">'Offshore - Sydney'!C361&amp;""</f>
        <v>2 years</v>
      </c>
      <c r="F1177" s="63" t="str">
        <f aca="false">IF('Offshore - Sydney'!D361="","Belum tercatat",'Offshore - Sydney'!D361)</f>
        <v>Term</v>
      </c>
      <c r="G1177" s="65" t="n">
        <f aca="false">IF('Offshore - Sydney'!E361="","-",'Offshore - Sydney'!E361)</f>
        <v>10104</v>
      </c>
      <c r="H1177" s="63" t="n">
        <f aca="false">IF(ISNUMBER(K1177),COUNTIFS($J$6:$J$1854,J1177,$K$6:$K$1854,"&lt;"&amp;K1177)+1,"-")</f>
        <v>6</v>
      </c>
      <c r="I1177" s="64" t="str">
        <f aca="false">IF('Offshore - Sydney'!E361="","Harga belum tersedia - hubungi konsultan TEG",IF(M1177=2,"Saat ini tidak menerima pendaftaran siswa internasional baru",IF(M1177=1,"Harga perlu dikonfirmasi ke sekolah"&amp;IF(""="","","; "&amp;""),"")))</f>
        <v/>
      </c>
      <c r="J1177" s="0" t="s">
        <v>4283</v>
      </c>
      <c r="K1177" s="0" t="n">
        <f aca="false">IF(M1177=2,"",IF(ISNUMBER(SEARCH("rata-rata:",'Offshore - Sydney'!N361)),VALUE(MID('Offshore - Sydney'!N361,SEARCH("rata-rata:",'Offshore - Sydney'!N361)+11,FIND(";",'Offshore - Sydney'!N361&amp;";",SEARCH("rata-rata:",'Offshore - Sydney'!N361))-SEARCH("rata-rata:",'Offshore - Sydney'!N361)-11)),IF('Offshore - Sydney'!D361="Semester",'Offshore - Sydney'!E361*2,IF('Offshore - Sydney'!D361="Trimester",'Offshore - Sydney'!E361*3,IF('Offshore - Sydney'!D361="Term",'Offshore - Sydney'!E361*4,IF('Offshore - Sydney'!D361="Unit",'Offshore - Sydney'!E361*8,""))))))</f>
        <v>40416</v>
      </c>
      <c r="L1177" s="0" t="n">
        <f aca="false">IF(AND(ISNUMBER('Offshore - Sydney'!E361),ISNUMBER(K1177),ISNUMBER('Offshore - Sydney'!F361),ISNUMBER('Offshore - Sydney'!G361),OR('Offshore - Sydney'!F361&lt;&gt;0,ISNUMBER(SEARCH("Material 0 terverifikasi",'Offshore - Sydney'!N361))),OR('Offshore - Sydney'!G361&lt;&gt;0,ISNUMBER(SEARCH("Enrolment 0 terverifikasi",'Offshore - Sydney'!N361)))),1,0)</f>
        <v>0</v>
      </c>
      <c r="M1177" s="0" t="n">
        <f aca="false">IF(OR('Offshore - Sydney'!E361="",ISNUMBER(SEARCH("BSB80120",'Offshore - Sydney'!B361&amp;'Offshore - Sydney'!N361)),ISNUMBER(SEARCH("Management (Learning)",'Offshore - Sydney'!B361))),2,IF(ISNUMBER(SEARCH("CEK:",'Offshore - Sydney'!N361)),1,0))</f>
        <v>0</v>
      </c>
    </row>
    <row r="1178" customFormat="false" ht="15" hidden="false" customHeight="false" outlineLevel="0" collapsed="false">
      <c r="A1178" s="61" t="s">
        <v>4284</v>
      </c>
      <c r="B1178" s="62"/>
      <c r="C1178" s="62"/>
      <c r="D1178" s="62"/>
      <c r="E1178" s="62"/>
      <c r="F1178" s="62"/>
      <c r="G1178" s="62"/>
      <c r="H1178" s="62"/>
      <c r="I1178" s="62"/>
    </row>
    <row r="1179" customFormat="false" ht="15" hidden="false" customHeight="false" outlineLevel="0" collapsed="false">
      <c r="A1179" s="63" t="s">
        <v>3533</v>
      </c>
      <c r="B1179" s="64" t="s">
        <v>4207</v>
      </c>
      <c r="C1179" s="63" t="s">
        <v>4222</v>
      </c>
      <c r="D1179" s="64" t="str">
        <f aca="false">TRIM(LEFT('Offshore - Sydney'!A982,FIND(CHAR(10),'Offshore - Sydney'!A982&amp;CHAR(10))-1))</f>
        <v>Western Sydney University</v>
      </c>
      <c r="E1179" s="63" t="str">
        <f aca="false">'Offshore - Sydney'!C1032&amp;""</f>
        <v>5 years</v>
      </c>
      <c r="F1179" s="63" t="str">
        <f aca="false">IF('Offshore - Sydney'!D1032="","Belum tercatat",'Offshore - Sydney'!D1032)</f>
        <v>Term</v>
      </c>
      <c r="G1179" s="65" t="n">
        <f aca="false">IF('Offshore - Sydney'!E1032="","-",'Offshore - Sydney'!E1032)</f>
        <v>21380</v>
      </c>
      <c r="H1179" s="63" t="n">
        <f aca="false">IF(ISNUMBER(K1179),COUNTIFS($J$6:$J$1854,J1179,$K$6:$K$1854,"&lt;"&amp;K1179)+1,"-")</f>
        <v>1</v>
      </c>
      <c r="I1179" s="64" t="str">
        <f aca="false">IF('Offshore - Sydney'!E1032="","Harga belum tersedia - hubungi konsultan TEG",IF(M1179=2,"Saat ini tidak menerima pendaftaran siswa internasional baru",IF(M1179=1,"Harga perlu dikonfirmasi ke sekolah"&amp;IF(""="","","; "&amp;""),"")))</f>
        <v/>
      </c>
      <c r="J1179" s="0" t="s">
        <v>4285</v>
      </c>
      <c r="K1179" s="0" t="n">
        <f aca="false">IF(M1179=2,"",IF(ISNUMBER(SEARCH("rata-rata:",'Offshore - Sydney'!N1032)),VALUE(MID('Offshore - Sydney'!N1032,SEARCH("rata-rata:",'Offshore - Sydney'!N1032)+11,FIND(";",'Offshore - Sydney'!N1032&amp;";",SEARCH("rata-rata:",'Offshore - Sydney'!N1032))-SEARCH("rata-rata:",'Offshore - Sydney'!N1032)-11)),IF('Offshore - Sydney'!D1032="Semester",'Offshore - Sydney'!E1032*2,IF('Offshore - Sydney'!D1032="Trimester",'Offshore - Sydney'!E1032*3,IF('Offshore - Sydney'!D1032="Term",'Offshore - Sydney'!E1032*4,IF('Offshore - Sydney'!D1032="Unit",'Offshore - Sydney'!E1032*8,""))))))</f>
        <v>85520</v>
      </c>
      <c r="L1179" s="0" t="n">
        <f aca="false">IF(AND(ISNUMBER('Offshore - Sydney'!E1032),ISNUMBER(K1179),ISNUMBER('Offshore - Sydney'!F1032),ISNUMBER('Offshore - Sydney'!G1032),OR('Offshore - Sydney'!F1032&lt;&gt;0,ISNUMBER(SEARCH("Material 0 terverifikasi",'Offshore - Sydney'!N1032))),OR('Offshore - Sydney'!G1032&lt;&gt;0,ISNUMBER(SEARCH("Enrolment 0 terverifikasi",'Offshore - Sydney'!N1032)))),1,0)</f>
        <v>0</v>
      </c>
      <c r="M1179" s="0" t="n">
        <f aca="false">IF(OR('Offshore - Sydney'!E1032="",ISNUMBER(SEARCH("BSB80120",'Offshore - Sydney'!B1032&amp;'Offshore - Sydney'!N1032)),ISNUMBER(SEARCH("Management (Learning)",'Offshore - Sydney'!B1032))),2,IF(ISNUMBER(SEARCH("CEK:",'Offshore - Sydney'!N1032)),1,0))</f>
        <v>0</v>
      </c>
    </row>
    <row r="1180" customFormat="false" ht="15" hidden="false" customHeight="false" outlineLevel="0" collapsed="false">
      <c r="A1180" s="61" t="s">
        <v>4286</v>
      </c>
      <c r="B1180" s="62"/>
      <c r="C1180" s="62"/>
      <c r="D1180" s="62"/>
      <c r="E1180" s="62"/>
      <c r="F1180" s="62"/>
      <c r="G1180" s="62"/>
      <c r="H1180" s="62"/>
      <c r="I1180" s="62"/>
    </row>
    <row r="1181" customFormat="false" ht="15" hidden="false" customHeight="false" outlineLevel="0" collapsed="false">
      <c r="A1181" s="63" t="s">
        <v>3753</v>
      </c>
      <c r="B1181" s="64" t="s">
        <v>4207</v>
      </c>
      <c r="C1181" s="63" t="s">
        <v>40</v>
      </c>
      <c r="D1181" s="64" t="str">
        <f aca="false">TRIM(LEFT('Offshore - Tasmania Hobart'!A8,FIND(CHAR(10),'Offshore - Tasmania Hobart'!A8&amp;CHAR(10))-1))</f>
        <v>Australian Sovereign College (AuSC)</v>
      </c>
      <c r="E1181" s="63" t="str">
        <f aca="false">'Offshore - Tasmania Hobart'!C8&amp;""</f>
        <v>2 years</v>
      </c>
      <c r="F1181" s="63" t="str">
        <f aca="false">IF('Offshore - Tasmania Hobart'!D8="","Belum tercatat",'Offshore - Tasmania Hobart'!D8)</f>
        <v>Term</v>
      </c>
      <c r="G1181" s="65" t="n">
        <f aca="false">IF('Offshore - Tasmania Hobart'!E8="","-",'Offshore - Tasmania Hobart'!E8)</f>
        <v>3450</v>
      </c>
      <c r="H1181" s="63" t="n">
        <f aca="false">IF(ISNUMBER(K1181),COUNTIFS($J$6:$J$1854,J1181,$K$6:$K$1854,"&lt;"&amp;K1181)+1,"-")</f>
        <v>1</v>
      </c>
      <c r="I1181" s="64" t="str">
        <f aca="false">IF('Offshore - Tasmania Hobart'!E8="","Harga belum tersedia - hubungi konsultan TEG",IF(M1181=2,"Saat ini tidak menerima pendaftaran siswa internasional baru",IF(M1181=1,"Harga perlu dikonfirmasi ke sekolah"&amp;IF(""="","","; "&amp;""),"")))</f>
        <v/>
      </c>
      <c r="J1181" s="0" t="s">
        <v>4287</v>
      </c>
      <c r="K1181" s="0" t="n">
        <f aca="false">IF(M1181=2,"",IF(ISNUMBER(SEARCH("rata-rata:",'Offshore - Tasmania Hobart'!N8)),VALUE(MID('Offshore - Tasmania Hobart'!N8,SEARCH("rata-rata:",'Offshore - Tasmania Hobart'!N8)+11,FIND(";",'Offshore - Tasmania Hobart'!N8&amp;";",SEARCH("rata-rata:",'Offshore - Tasmania Hobart'!N8))-SEARCH("rata-rata:",'Offshore - Tasmania Hobart'!N8)-11)),IF('Offshore - Tasmania Hobart'!D8="Semester",'Offshore - Tasmania Hobart'!E8*2,IF('Offshore - Tasmania Hobart'!D8="Trimester",'Offshore - Tasmania Hobart'!E8*3,IF('Offshore - Tasmania Hobart'!D8="Term",'Offshore - Tasmania Hobart'!E8*4,IF('Offshore - Tasmania Hobart'!D8="Unit",'Offshore - Tasmania Hobart'!E8*8,""))))))</f>
        <v>13800</v>
      </c>
      <c r="L1181" s="0" t="n">
        <f aca="false">IF(AND(ISNUMBER('Offshore - Tasmania Hobart'!E8),ISNUMBER(K1181),ISNUMBER('Offshore - Tasmania Hobart'!F8),ISNUMBER('Offshore - Tasmania Hobart'!G8),OR('Offshore - Tasmania Hobart'!F8&lt;&gt;0,ISNUMBER(SEARCH("Material 0 terverifikasi",'Offshore - Tasmania Hobart'!N8))),OR('Offshore - Tasmania Hobart'!G8&lt;&gt;0,ISNUMBER(SEARCH("Enrolment 0 terverifikasi",'Offshore - Tasmania Hobart'!N8)))),1,0)</f>
        <v>1</v>
      </c>
      <c r="M1181" s="0" t="n">
        <f aca="false">IF(OR('Offshore - Tasmania Hobart'!E8="",ISNUMBER(SEARCH("BSB80120",'Offshore - Tasmania Hobart'!B8&amp;'Offshore - Tasmania Hobart'!N8)),ISNUMBER(SEARCH("Management (Learning)",'Offshore - Tasmania Hobart'!B8))),2,IF(ISNUMBER(SEARCH("CEK:",'Offshore - Tasmania Hobart'!N8)),1,0))</f>
        <v>0</v>
      </c>
    </row>
    <row r="1182" customFormat="false" ht="15" hidden="false" customHeight="false" outlineLevel="0" collapsed="false">
      <c r="A1182" s="61" t="s">
        <v>4288</v>
      </c>
      <c r="B1182" s="62"/>
      <c r="C1182" s="62"/>
      <c r="D1182" s="62"/>
      <c r="E1182" s="62"/>
      <c r="F1182" s="62"/>
      <c r="G1182" s="62"/>
      <c r="H1182" s="62"/>
      <c r="I1182" s="62"/>
    </row>
    <row r="1183" customFormat="false" ht="15" hidden="false" customHeight="false" outlineLevel="0" collapsed="false">
      <c r="A1183" s="63" t="s">
        <v>3753</v>
      </c>
      <c r="B1183" s="64" t="s">
        <v>4207</v>
      </c>
      <c r="C1183" s="63" t="s">
        <v>43</v>
      </c>
      <c r="D1183" s="64" t="str">
        <f aca="false">TRIM(LEFT('Offshore - Tasmania Hobart'!A21,FIND(CHAR(10),'Offshore - Tasmania Hobart'!A21&amp;CHAR(10))-1))</f>
        <v>University of Tasmania (UTAS)</v>
      </c>
      <c r="E1183" s="63" t="str">
        <f aca="false">'Offshore - Tasmania Hobart'!C84&amp;""</f>
        <v>3 years</v>
      </c>
      <c r="F1183" s="63" t="str">
        <f aca="false">IF('Offshore - Tasmania Hobart'!D84="","Belum tercatat",'Offshore - Tasmania Hobart'!D84)</f>
        <v>Term</v>
      </c>
      <c r="G1183" s="65" t="n">
        <f aca="false">IF('Offshore - Tasmania Hobart'!E84="","-",'Offshore - Tasmania Hobart'!E84)</f>
        <v>10737.5</v>
      </c>
      <c r="H1183" s="63" t="n">
        <f aca="false">IF(ISNUMBER(K1183),COUNTIFS($J$6:$J$1854,J1183,$K$6:$K$1854,"&lt;"&amp;K1183)+1,"-")</f>
        <v>1</v>
      </c>
      <c r="I1183" s="64" t="str">
        <f aca="false">IF('Offshore - Tasmania Hobart'!E84="","Harga belum tersedia - hubungi konsultan TEG",IF(M1183=2,"Saat ini tidak menerima pendaftaran siswa internasional baru",IF(M1183=1,"Harga perlu dikonfirmasi ke sekolah"&amp;IF(""="","","; "&amp;""),"")))</f>
        <v/>
      </c>
      <c r="J1183" s="0" t="s">
        <v>4289</v>
      </c>
      <c r="K1183" s="0" t="n">
        <f aca="false">IF(M1183=2,"",IF(ISNUMBER(SEARCH("rata-rata:",'Offshore - Tasmania Hobart'!N84)),VALUE(MID('Offshore - Tasmania Hobart'!N84,SEARCH("rata-rata:",'Offshore - Tasmania Hobart'!N84)+11,FIND(";",'Offshore - Tasmania Hobart'!N84&amp;";",SEARCH("rata-rata:",'Offshore - Tasmania Hobart'!N84))-SEARCH("rata-rata:",'Offshore - Tasmania Hobart'!N84)-11)),IF('Offshore - Tasmania Hobart'!D84="Semester",'Offshore - Tasmania Hobart'!E84*2,IF('Offshore - Tasmania Hobart'!D84="Trimester",'Offshore - Tasmania Hobart'!E84*3,IF('Offshore - Tasmania Hobart'!D84="Term",'Offshore - Tasmania Hobart'!E84*4,IF('Offshore - Tasmania Hobart'!D84="Unit",'Offshore - Tasmania Hobart'!E84*8,""))))))</f>
        <v>42950</v>
      </c>
      <c r="L1183" s="0" t="n">
        <f aca="false">IF(AND(ISNUMBER('Offshore - Tasmania Hobart'!E84),ISNUMBER(K1183),ISNUMBER('Offshore - Tasmania Hobart'!F84),ISNUMBER('Offshore - Tasmania Hobart'!G84),OR('Offshore - Tasmania Hobart'!F84&lt;&gt;0,ISNUMBER(SEARCH("Material 0 terverifikasi",'Offshore - Tasmania Hobart'!N84))),OR('Offshore - Tasmania Hobart'!G84&lt;&gt;0,ISNUMBER(SEARCH("Enrolment 0 terverifikasi",'Offshore - Tasmania Hobart'!N84)))),1,0)</f>
        <v>0</v>
      </c>
      <c r="M1183" s="0" t="n">
        <f aca="false">IF(OR('Offshore - Tasmania Hobart'!E84="",ISNUMBER(SEARCH("BSB80120",'Offshore - Tasmania Hobart'!B84&amp;'Offshore - Tasmania Hobart'!N84)),ISNUMBER(SEARCH("Management (Learning)",'Offshore - Tasmania Hobart'!B84))),2,IF(ISNUMBER(SEARCH("CEK:",'Offshore - Tasmania Hobart'!N84)),1,0))</f>
        <v>0</v>
      </c>
    </row>
    <row r="1184" customFormat="false" ht="15" hidden="false" customHeight="false" outlineLevel="0" collapsed="false">
      <c r="A1184" s="61" t="s">
        <v>4290</v>
      </c>
      <c r="B1184" s="62"/>
      <c r="C1184" s="62"/>
      <c r="D1184" s="62"/>
      <c r="E1184" s="62"/>
      <c r="F1184" s="62"/>
      <c r="G1184" s="62"/>
      <c r="H1184" s="62"/>
      <c r="I1184" s="62"/>
    </row>
    <row r="1185" customFormat="false" ht="15" hidden="false" customHeight="false" outlineLevel="0" collapsed="false">
      <c r="A1185" s="63" t="s">
        <v>3753</v>
      </c>
      <c r="B1185" s="64" t="s">
        <v>4207</v>
      </c>
      <c r="C1185" s="63" t="s">
        <v>3707</v>
      </c>
      <c r="D1185" s="64" t="str">
        <f aca="false">TRIM(LEFT('Offshore - Tasmania Hobart'!A21,FIND(CHAR(10),'Offshore - Tasmania Hobart'!A21&amp;CHAR(10))-1))</f>
        <v>University of Tasmania (UTAS)</v>
      </c>
      <c r="E1185" s="63" t="str">
        <f aca="false">'Offshore - Tasmania Hobart'!C105&amp;""</f>
        <v>1 year</v>
      </c>
      <c r="F1185" s="63" t="str">
        <f aca="false">IF('Offshore - Tasmania Hobart'!D105="","Belum tercatat",'Offshore - Tasmania Hobart'!D105)</f>
        <v>Term</v>
      </c>
      <c r="G1185" s="65" t="n">
        <f aca="false">IF('Offshore - Tasmania Hobart'!E105="","-",'Offshore - Tasmania Hobart'!E105)</f>
        <v>5118.75</v>
      </c>
      <c r="H1185" s="63" t="n">
        <f aca="false">IF(ISNUMBER(K1185),COUNTIFS($J$6:$J$1854,J1185,$K$6:$K$1854,"&lt;"&amp;K1185)+1,"-")</f>
        <v>1</v>
      </c>
      <c r="I1185" s="64" t="str">
        <f aca="false">IF('Offshore - Tasmania Hobart'!E105="","Harga belum tersedia - hubungi konsultan TEG",IF(M1185=2,"Saat ini tidak menerima pendaftaran siswa internasional baru",IF(M1185=1,"Harga perlu dikonfirmasi ke sekolah"&amp;IF(""="","","; "&amp;""),"")))</f>
        <v/>
      </c>
      <c r="J1185" s="0" t="s">
        <v>4291</v>
      </c>
      <c r="K1185" s="0" t="n">
        <f aca="false">IF(M1185=2,"",IF(ISNUMBER(SEARCH("rata-rata:",'Offshore - Tasmania Hobart'!N105)),VALUE(MID('Offshore - Tasmania Hobart'!N105,SEARCH("rata-rata:",'Offshore - Tasmania Hobart'!N105)+11,FIND(";",'Offshore - Tasmania Hobart'!N105&amp;";",SEARCH("rata-rata:",'Offshore - Tasmania Hobart'!N105))-SEARCH("rata-rata:",'Offshore - Tasmania Hobart'!N105)-11)),IF('Offshore - Tasmania Hobart'!D105="Semester",'Offshore - Tasmania Hobart'!E105*2,IF('Offshore - Tasmania Hobart'!D105="Trimester",'Offshore - Tasmania Hobart'!E105*3,IF('Offshore - Tasmania Hobart'!D105="Term",'Offshore - Tasmania Hobart'!E105*4,IF('Offshore - Tasmania Hobart'!D105="Unit",'Offshore - Tasmania Hobart'!E105*8,""))))))</f>
        <v>20475</v>
      </c>
      <c r="L1185" s="0" t="n">
        <f aca="false">IF(AND(ISNUMBER('Offshore - Tasmania Hobart'!E105),ISNUMBER(K1185),ISNUMBER('Offshore - Tasmania Hobart'!F105),ISNUMBER('Offshore - Tasmania Hobart'!G105),OR('Offshore - Tasmania Hobart'!F105&lt;&gt;0,ISNUMBER(SEARCH("Material 0 terverifikasi",'Offshore - Tasmania Hobart'!N105))),OR('Offshore - Tasmania Hobart'!G105&lt;&gt;0,ISNUMBER(SEARCH("Enrolment 0 terverifikasi",'Offshore - Tasmania Hobart'!N105)))),1,0)</f>
        <v>0</v>
      </c>
      <c r="M1185" s="0" t="n">
        <f aca="false">IF(OR('Offshore - Tasmania Hobart'!E105="",ISNUMBER(SEARCH("BSB80120",'Offshore - Tasmania Hobart'!B105&amp;'Offshore - Tasmania Hobart'!N105)),ISNUMBER(SEARCH("Management (Learning)",'Offshore - Tasmania Hobart'!B105))),2,IF(ISNUMBER(SEARCH("CEK:",'Offshore - Tasmania Hobart'!N105)),1,0))</f>
        <v>0</v>
      </c>
    </row>
    <row r="1186" customFormat="false" ht="15" hidden="false" customHeight="false" outlineLevel="0" collapsed="false">
      <c r="A1186" s="61" t="s">
        <v>4292</v>
      </c>
      <c r="B1186" s="62"/>
      <c r="C1186" s="62"/>
      <c r="D1186" s="62"/>
      <c r="E1186" s="62"/>
      <c r="F1186" s="62"/>
      <c r="G1186" s="62"/>
      <c r="H1186" s="62"/>
      <c r="I1186" s="62"/>
    </row>
    <row r="1187" customFormat="false" ht="15" hidden="false" customHeight="false" outlineLevel="0" collapsed="false">
      <c r="A1187" s="63" t="s">
        <v>3753</v>
      </c>
      <c r="B1187" s="64" t="s">
        <v>4207</v>
      </c>
      <c r="C1187" s="63" t="s">
        <v>46</v>
      </c>
      <c r="D1187" s="64" t="str">
        <f aca="false">TRIM(LEFT('Offshore - Tasmania Hobart'!A21,FIND(CHAR(10),'Offshore - Tasmania Hobart'!A21&amp;CHAR(10))-1))</f>
        <v>University of Tasmania (UTAS)</v>
      </c>
      <c r="E1187" s="63" t="str">
        <f aca="false">'Offshore - Tasmania Hobart'!C95&amp;""</f>
        <v>1 year</v>
      </c>
      <c r="F1187" s="63" t="str">
        <f aca="false">IF('Offshore - Tasmania Hobart'!D95="","Belum tercatat",'Offshore - Tasmania Hobart'!D95)</f>
        <v>Term</v>
      </c>
      <c r="G1187" s="65" t="n">
        <f aca="false">IF('Offshore - Tasmania Hobart'!E95="","-",'Offshore - Tasmania Hobart'!E95)</f>
        <v>10987.5</v>
      </c>
      <c r="H1187" s="63" t="n">
        <f aca="false">IF(ISNUMBER(K1187),COUNTIFS($J$6:$J$1854,J1187,$K$6:$K$1854,"&lt;"&amp;K1187)+1,"-")</f>
        <v>1</v>
      </c>
      <c r="I1187" s="64" t="str">
        <f aca="false">IF('Offshore - Tasmania Hobart'!E95="","Harga belum tersedia - hubungi konsultan TEG",IF(M1187=2,"Saat ini tidak menerima pendaftaran siswa internasional baru",IF(M1187=1,"Harga perlu dikonfirmasi ke sekolah"&amp;IF(""="","","; "&amp;""),"")))</f>
        <v/>
      </c>
      <c r="J1187" s="0" t="s">
        <v>4293</v>
      </c>
      <c r="K1187" s="0" t="n">
        <f aca="false">IF(M1187=2,"",IF(ISNUMBER(SEARCH("rata-rata:",'Offshore - Tasmania Hobart'!N95)),VALUE(MID('Offshore - Tasmania Hobart'!N95,SEARCH("rata-rata:",'Offshore - Tasmania Hobart'!N95)+11,FIND(";",'Offshore - Tasmania Hobart'!N95&amp;";",SEARCH("rata-rata:",'Offshore - Tasmania Hobart'!N95))-SEARCH("rata-rata:",'Offshore - Tasmania Hobart'!N95)-11)),IF('Offshore - Tasmania Hobart'!D95="Semester",'Offshore - Tasmania Hobart'!E95*2,IF('Offshore - Tasmania Hobart'!D95="Trimester",'Offshore - Tasmania Hobart'!E95*3,IF('Offshore - Tasmania Hobart'!D95="Term",'Offshore - Tasmania Hobart'!E95*4,IF('Offshore - Tasmania Hobart'!D95="Unit",'Offshore - Tasmania Hobart'!E95*8,""))))))</f>
        <v>43950</v>
      </c>
      <c r="L1187" s="0" t="n">
        <f aca="false">IF(AND(ISNUMBER('Offshore - Tasmania Hobart'!E95),ISNUMBER(K1187),ISNUMBER('Offshore - Tasmania Hobart'!F95),ISNUMBER('Offshore - Tasmania Hobart'!G95),OR('Offshore - Tasmania Hobart'!F95&lt;&gt;0,ISNUMBER(SEARCH("Material 0 terverifikasi",'Offshore - Tasmania Hobart'!N95))),OR('Offshore - Tasmania Hobart'!G95&lt;&gt;0,ISNUMBER(SEARCH("Enrolment 0 terverifikasi",'Offshore - Tasmania Hobart'!N95)))),1,0)</f>
        <v>0</v>
      </c>
      <c r="M1187" s="0" t="n">
        <f aca="false">IF(OR('Offshore - Tasmania Hobart'!E95="",ISNUMBER(SEARCH("BSB80120",'Offshore - Tasmania Hobart'!B95&amp;'Offshore - Tasmania Hobart'!N95)),ISNUMBER(SEARCH("Management (Learning)",'Offshore - Tasmania Hobart'!B95))),2,IF(ISNUMBER(SEARCH("CEK:",'Offshore - Tasmania Hobart'!N95)),1,0))</f>
        <v>0</v>
      </c>
    </row>
    <row r="1188" customFormat="false" ht="15" hidden="false" customHeight="false" outlineLevel="0" collapsed="false">
      <c r="A1188" s="61" t="s">
        <v>4294</v>
      </c>
      <c r="B1188" s="62"/>
      <c r="C1188" s="62"/>
      <c r="D1188" s="62"/>
      <c r="E1188" s="62"/>
      <c r="F1188" s="62"/>
      <c r="G1188" s="62"/>
      <c r="H1188" s="62"/>
      <c r="I1188" s="62"/>
    </row>
    <row r="1189" customFormat="false" ht="15" hidden="false" customHeight="false" outlineLevel="0" collapsed="false">
      <c r="A1189" s="63" t="s">
        <v>3753</v>
      </c>
      <c r="B1189" s="64" t="s">
        <v>4207</v>
      </c>
      <c r="C1189" s="63" t="s">
        <v>4222</v>
      </c>
      <c r="D1189" s="64" t="str">
        <f aca="false">TRIM(LEFT('Offshore - Tasmania Hobart'!A21,FIND(CHAR(10),'Offshore - Tasmania Hobart'!A21&amp;CHAR(10))-1))</f>
        <v>University of Tasmania (UTAS)</v>
      </c>
      <c r="E1189" s="63" t="str">
        <f aca="false">'Offshore - Tasmania Hobart'!C83&amp;""</f>
        <v>5 years</v>
      </c>
      <c r="F1189" s="63" t="str">
        <f aca="false">IF('Offshore - Tasmania Hobart'!D83="","Belum tercatat",'Offshore - Tasmania Hobart'!D83)</f>
        <v>Term</v>
      </c>
      <c r="G1189" s="65" t="n">
        <f aca="false">IF('Offshore - Tasmania Hobart'!E83="","-",'Offshore - Tasmania Hobart'!E83)</f>
        <v>23237.5</v>
      </c>
      <c r="H1189" s="63" t="n">
        <f aca="false">IF(ISNUMBER(K1189),COUNTIFS($J$6:$J$1854,J1189,$K$6:$K$1854,"&lt;"&amp;K1189)+1,"-")</f>
        <v>1</v>
      </c>
      <c r="I1189" s="64" t="str">
        <f aca="false">IF('Offshore - Tasmania Hobart'!E83="","Harga belum tersedia - hubungi konsultan TEG",IF(M1189=2,"Saat ini tidak menerima pendaftaran siswa internasional baru",IF(M1189=1,"Harga perlu dikonfirmasi ke sekolah"&amp;IF(""="","","; "&amp;""),"")))</f>
        <v>Harga perlu dikonfirmasi ke sekolah</v>
      </c>
      <c r="J1189" s="0" t="s">
        <v>4295</v>
      </c>
      <c r="K1189" s="0" t="n">
        <f aca="false">IF(M1189=2,"",IF(ISNUMBER(SEARCH("rata-rata:",'Offshore - Tasmania Hobart'!N83)),VALUE(MID('Offshore - Tasmania Hobart'!N83,SEARCH("rata-rata:",'Offshore - Tasmania Hobart'!N83)+11,FIND(";",'Offshore - Tasmania Hobart'!N83&amp;";",SEARCH("rata-rata:",'Offshore - Tasmania Hobart'!N83))-SEARCH("rata-rata:",'Offshore - Tasmania Hobart'!N83)-11)),IF('Offshore - Tasmania Hobart'!D83="Semester",'Offshore - Tasmania Hobart'!E83*2,IF('Offshore - Tasmania Hobart'!D83="Trimester",'Offshore - Tasmania Hobart'!E83*3,IF('Offshore - Tasmania Hobart'!D83="Term",'Offshore - Tasmania Hobart'!E83*4,IF('Offshore - Tasmania Hobart'!D83="Unit",'Offshore - Tasmania Hobart'!E83*8,""))))))</f>
        <v>92950</v>
      </c>
      <c r="L1189" s="0" t="n">
        <f aca="false">IF(AND(ISNUMBER('Offshore - Tasmania Hobart'!E83),ISNUMBER(K1189),ISNUMBER('Offshore - Tasmania Hobart'!F83),ISNUMBER('Offshore - Tasmania Hobart'!G83),OR('Offshore - Tasmania Hobart'!F83&lt;&gt;0,ISNUMBER(SEARCH("Material 0 terverifikasi",'Offshore - Tasmania Hobart'!N83))),OR('Offshore - Tasmania Hobart'!G83&lt;&gt;0,ISNUMBER(SEARCH("Enrolment 0 terverifikasi",'Offshore - Tasmania Hobart'!N83)))),1,0)</f>
        <v>0</v>
      </c>
      <c r="M1189" s="0" t="n">
        <f aca="false">IF(OR('Offshore - Tasmania Hobart'!E83="",ISNUMBER(SEARCH("BSB80120",'Offshore - Tasmania Hobart'!B83&amp;'Offshore - Tasmania Hobart'!N83)),ISNUMBER(SEARCH("Management (Learning)",'Offshore - Tasmania Hobart'!B83))),2,IF(ISNUMBER(SEARCH("CEK:",'Offshore - Tasmania Hobart'!N83)),1,0))</f>
        <v>1</v>
      </c>
    </row>
    <row r="1190" customFormat="false" ht="15" hidden="false" customHeight="false" outlineLevel="0" collapsed="false">
      <c r="A1190" s="61" t="s">
        <v>4296</v>
      </c>
      <c r="B1190" s="62"/>
      <c r="C1190" s="62"/>
      <c r="D1190" s="62"/>
      <c r="E1190" s="62"/>
      <c r="F1190" s="62"/>
      <c r="G1190" s="62"/>
      <c r="H1190" s="62"/>
      <c r="I1190" s="62"/>
    </row>
    <row r="1191" customFormat="false" ht="15" hidden="false" customHeight="false" outlineLevel="0" collapsed="false">
      <c r="A1191" s="63" t="s">
        <v>3659</v>
      </c>
      <c r="B1191" s="64" t="s">
        <v>4297</v>
      </c>
      <c r="C1191" s="63" t="s">
        <v>39</v>
      </c>
      <c r="D1191" s="64" t="str">
        <f aca="false">TRIM(LEFT('Offshore - Adelaide'!A484,FIND(CHAR(10),'Offshore - Adelaide'!A484&amp;CHAR(10))-1))</f>
        <v>TAFE SA</v>
      </c>
      <c r="E1191" s="63" t="str">
        <f aca="false">'Offshore - Adelaide'!C510&amp;""</f>
        <v>0,5 year</v>
      </c>
      <c r="F1191" s="63" t="str">
        <f aca="false">IF('Offshore - Adelaide'!D510="","Belum tercatat",'Offshore - Adelaide'!D510)</f>
        <v>Semester</v>
      </c>
      <c r="G1191" s="65" t="n">
        <f aca="false">IF('Offshore - Adelaide'!E510="","-",'Offshore - Adelaide'!E510)</f>
        <v>8130</v>
      </c>
      <c r="H1191" s="63" t="n">
        <f aca="false">IF(ISNUMBER(K1191),COUNTIFS($J$6:$J$1854,J1191,$K$6:$K$1854,"&lt;"&amp;K1191)+1,"-")</f>
        <v>1</v>
      </c>
      <c r="I1191" s="64" t="str">
        <f aca="false">IF('Offshore - Adelaide'!E510="","Harga belum tersedia - hubungi konsultan TEG",IF(M1191=2,"Saat ini tidak menerima pendaftaran siswa internasional baru",IF(M1191=1,"Harga perlu dikonfirmasi ke sekolah"&amp;IF(""="","","; "&amp;""),"")))</f>
        <v/>
      </c>
      <c r="J1191" s="0" t="s">
        <v>4298</v>
      </c>
      <c r="K1191" s="0" t="n">
        <f aca="false">IF(M1191=2,"",IF(ISNUMBER(SEARCH("rata-rata:",'Offshore - Adelaide'!N510)),VALUE(MID('Offshore - Adelaide'!N510,SEARCH("rata-rata:",'Offshore - Adelaide'!N510)+11,FIND(";",'Offshore - Adelaide'!N510&amp;";",SEARCH("rata-rata:",'Offshore - Adelaide'!N510))-SEARCH("rata-rata:",'Offshore - Adelaide'!N510)-11)),IF('Offshore - Adelaide'!D510="Semester",'Offshore - Adelaide'!E510*2,IF('Offshore - Adelaide'!D510="Trimester",'Offshore - Adelaide'!E510*3,IF('Offshore - Adelaide'!D510="Term",'Offshore - Adelaide'!E510*4,IF('Offshore - Adelaide'!D510="Unit",'Offshore - Adelaide'!E510*8,""))))))</f>
        <v>16260</v>
      </c>
      <c r="L1191" s="0" t="n">
        <f aca="false">IF(AND(ISNUMBER('Offshore - Adelaide'!E510),ISNUMBER(K1191),ISNUMBER('Offshore - Adelaide'!F510),ISNUMBER('Offshore - Adelaide'!G510),OR('Offshore - Adelaide'!F510&lt;&gt;0,ISNUMBER(SEARCH("Material 0 terverifikasi",'Offshore - Adelaide'!N510))),OR('Offshore - Adelaide'!G510&lt;&gt;0,ISNUMBER(SEARCH("Enrolment 0 terverifikasi",'Offshore - Adelaide'!N510)))),1,0)</f>
        <v>0</v>
      </c>
      <c r="M1191" s="0" t="n">
        <f aca="false">IF(OR('Offshore - Adelaide'!E510="",ISNUMBER(SEARCH("BSB80120",'Offshore - Adelaide'!B510&amp;'Offshore - Adelaide'!N510)),ISNUMBER(SEARCH("Management (Learning)",'Offshore - Adelaide'!B510))),2,IF(ISNUMBER(SEARCH("CEK:",'Offshore - Adelaide'!N510)),1,0))</f>
        <v>0</v>
      </c>
    </row>
    <row r="1192" customFormat="false" ht="15" hidden="false" customHeight="false" outlineLevel="0" collapsed="false">
      <c r="A1192" s="63" t="s">
        <v>3659</v>
      </c>
      <c r="B1192" s="64" t="s">
        <v>4297</v>
      </c>
      <c r="C1192" s="63" t="s">
        <v>39</v>
      </c>
      <c r="D1192" s="64" t="str">
        <f aca="false">TRIM(LEFT('Offshore - Adelaide'!A459,FIND(CHAR(10),'Offshore - Adelaide'!A459&amp;CHAR(10))-1))</f>
        <v>Le Cordon Bleu Australia</v>
      </c>
      <c r="E1192" s="63" t="str">
        <f aca="false">'Offshore - Adelaide'!C459&amp;""</f>
        <v>1,5 years</v>
      </c>
      <c r="F1192" s="63" t="str">
        <f aca="false">IF('Offshore - Adelaide'!D459="","Belum tercatat",'Offshore - Adelaide'!D459)</f>
        <v>Term</v>
      </c>
      <c r="G1192" s="65" t="n">
        <f aca="false">IF('Offshore - Adelaide'!E459="","-",'Offshore - Adelaide'!E459)</f>
        <v>6997.5</v>
      </c>
      <c r="H1192" s="63" t="n">
        <f aca="false">IF(ISNUMBER(K1192),COUNTIFS($J$6:$J$1854,J1192,$K$6:$K$1854,"&lt;"&amp;K1192)+1,"-")</f>
        <v>2</v>
      </c>
      <c r="I1192" s="64" t="str">
        <f aca="false">IF('Offshore - Adelaide'!E459="","Harga belum tersedia - hubungi konsultan TEG",IF(M1192=2,"Saat ini tidak menerima pendaftaran siswa internasional baru",IF(M1192=1,"Harga perlu dikonfirmasi ke sekolah"&amp;IF(""="","","; "&amp;""),"")))</f>
        <v/>
      </c>
      <c r="J1192" s="0" t="s">
        <v>4298</v>
      </c>
      <c r="K1192" s="0" t="n">
        <f aca="false">IF(M1192=2,"",IF(ISNUMBER(SEARCH("rata-rata:",'Offshore - Adelaide'!N459)),VALUE(MID('Offshore - Adelaide'!N459,SEARCH("rata-rata:",'Offshore - Adelaide'!N459)+11,FIND(";",'Offshore - Adelaide'!N459&amp;";",SEARCH("rata-rata:",'Offshore - Adelaide'!N459))-SEARCH("rata-rata:",'Offshore - Adelaide'!N459)-11)),IF('Offshore - Adelaide'!D459="Semester",'Offshore - Adelaide'!E459*2,IF('Offshore - Adelaide'!D459="Trimester",'Offshore - Adelaide'!E459*3,IF('Offshore - Adelaide'!D459="Term",'Offshore - Adelaide'!E459*4,IF('Offshore - Adelaide'!D459="Unit",'Offshore - Adelaide'!E459*8,""))))))</f>
        <v>27990</v>
      </c>
      <c r="L1192" s="0" t="n">
        <f aca="false">IF(AND(ISNUMBER('Offshore - Adelaide'!E459),ISNUMBER(K1192),ISNUMBER('Offshore - Adelaide'!F459),ISNUMBER('Offshore - Adelaide'!G459),OR('Offshore - Adelaide'!F459&lt;&gt;0,ISNUMBER(SEARCH("Material 0 terverifikasi",'Offshore - Adelaide'!N459))),OR('Offshore - Adelaide'!G459&lt;&gt;0,ISNUMBER(SEARCH("Enrolment 0 terverifikasi",'Offshore - Adelaide'!N459)))),1,0)</f>
        <v>0</v>
      </c>
      <c r="M1192" s="0" t="n">
        <f aca="false">IF(OR('Offshore - Adelaide'!E459="",ISNUMBER(SEARCH("BSB80120",'Offshore - Adelaide'!B459&amp;'Offshore - Adelaide'!N459)),ISNUMBER(SEARCH("Management (Learning)",'Offshore - Adelaide'!B459))),2,IF(ISNUMBER(SEARCH("CEK:",'Offshore - Adelaide'!N459)),1,0))</f>
        <v>0</v>
      </c>
    </row>
    <row r="1193" customFormat="false" ht="15" hidden="false" customHeight="false" outlineLevel="0" collapsed="false">
      <c r="A1193" s="61" t="s">
        <v>4299</v>
      </c>
      <c r="B1193" s="62"/>
      <c r="C1193" s="62"/>
      <c r="D1193" s="62"/>
      <c r="E1193" s="62"/>
      <c r="F1193" s="62"/>
      <c r="G1193" s="62"/>
      <c r="H1193" s="62"/>
      <c r="I1193" s="62"/>
    </row>
    <row r="1194" customFormat="false" ht="28.35" hidden="false" customHeight="false" outlineLevel="0" collapsed="false">
      <c r="A1194" s="63" t="s">
        <v>3659</v>
      </c>
      <c r="B1194" s="64" t="s">
        <v>4297</v>
      </c>
      <c r="C1194" s="63" t="s">
        <v>40</v>
      </c>
      <c r="D1194" s="64" t="str">
        <f aca="false">TRIM(LEFT('Offshore - Adelaide'!A395,FIND(CHAR(10),'Offshore - Adelaide'!A395&amp;CHAR(10))-1))</f>
        <v>Australian Business &amp; Culinary Institute (ABC Institute)</v>
      </c>
      <c r="E1194" s="63" t="str">
        <f aca="false">'Offshore - Adelaide'!C396&amp;""</f>
        <v>1,5 years</v>
      </c>
      <c r="F1194" s="63" t="str">
        <f aca="false">IF('Offshore - Adelaide'!D396="","Belum tercatat",'Offshore - Adelaide'!D396)</f>
        <v>Term</v>
      </c>
      <c r="G1194" s="65" t="n">
        <f aca="false">IF('Offshore - Adelaide'!E396="","-",'Offshore - Adelaide'!E396)</f>
        <v>2833.33</v>
      </c>
      <c r="H1194" s="63" t="n">
        <f aca="false">IF(ISNUMBER(K1194),COUNTIFS($J$6:$J$1854,J1194,$K$6:$K$1854,"&lt;"&amp;K1194)+1,"-")</f>
        <v>1</v>
      </c>
      <c r="I1194" s="64" t="str">
        <f aca="false">IF('Offshore - Adelaide'!E396="","Harga belum tersedia - hubungi konsultan TEG",IF(M1194=2,"Saat ini tidak menerima pendaftaran siswa internasional baru",IF(M1194=1,"Harga perlu dikonfirmasi ke sekolah"&amp;IF(""="","","; "&amp;""),"")))</f>
        <v/>
      </c>
      <c r="J1194" s="0" t="s">
        <v>4300</v>
      </c>
      <c r="K1194" s="0" t="n">
        <f aca="false">IF(M1194=2,"",IF(ISNUMBER(SEARCH("rata-rata:",'Offshore - Adelaide'!N396)),VALUE(MID('Offshore - Adelaide'!N396,SEARCH("rata-rata:",'Offshore - Adelaide'!N396)+11,FIND(";",'Offshore - Adelaide'!N396&amp;";",SEARCH("rata-rata:",'Offshore - Adelaide'!N396))-SEARCH("rata-rata:",'Offshore - Adelaide'!N396)-11)),IF('Offshore - Adelaide'!D396="Semester",'Offshore - Adelaide'!E396*2,IF('Offshore - Adelaide'!D396="Trimester",'Offshore - Adelaide'!E396*3,IF('Offshore - Adelaide'!D396="Term",'Offshore - Adelaide'!E396*4,IF('Offshore - Adelaide'!D396="Unit",'Offshore - Adelaide'!E396*8,""))))))</f>
        <v>11333.32</v>
      </c>
      <c r="L1194" s="0" t="n">
        <f aca="false">IF(AND(ISNUMBER('Offshore - Adelaide'!E396),ISNUMBER(K1194),ISNUMBER('Offshore - Adelaide'!F396),ISNUMBER('Offshore - Adelaide'!G396),OR('Offshore - Adelaide'!F396&lt;&gt;0,ISNUMBER(SEARCH("Material 0 terverifikasi",'Offshore - Adelaide'!N396))),OR('Offshore - Adelaide'!G396&lt;&gt;0,ISNUMBER(SEARCH("Enrolment 0 terverifikasi",'Offshore - Adelaide'!N396)))),1,0)</f>
        <v>1</v>
      </c>
      <c r="M1194" s="0" t="n">
        <f aca="false">IF(OR('Offshore - Adelaide'!E396="",ISNUMBER(SEARCH("BSB80120",'Offshore - Adelaide'!B396&amp;'Offshore - Adelaide'!N396)),ISNUMBER(SEARCH("Management (Learning)",'Offshore - Adelaide'!B396))),2,IF(ISNUMBER(SEARCH("CEK:",'Offshore - Adelaide'!N396)),1,0))</f>
        <v>0</v>
      </c>
    </row>
    <row r="1195" customFormat="false" ht="15" hidden="false" customHeight="false" outlineLevel="0" collapsed="false">
      <c r="A1195" s="63" t="s">
        <v>3659</v>
      </c>
      <c r="B1195" s="64" t="s">
        <v>4297</v>
      </c>
      <c r="C1195" s="63" t="s">
        <v>40</v>
      </c>
      <c r="D1195" s="64" t="str">
        <f aca="false">TRIM(LEFT('Offshore - Adelaide'!A379,FIND(CHAR(10),'Offshore - Adelaide'!A379&amp;CHAR(10))-1))</f>
        <v>Alliance College</v>
      </c>
      <c r="E1195" s="63" t="str">
        <f aca="false">'Offshore - Adelaide'!C381&amp;""</f>
        <v>2 years</v>
      </c>
      <c r="F1195" s="63" t="str">
        <f aca="false">IF('Offshore - Adelaide'!D381="","Belum tercatat",'Offshore - Adelaide'!D381)</f>
        <v>Term</v>
      </c>
      <c r="G1195" s="65" t="n">
        <f aca="false">IF('Offshore - Adelaide'!E381="","-",'Offshore - Adelaide'!E381)</f>
        <v>3850</v>
      </c>
      <c r="H1195" s="63" t="n">
        <f aca="false">IF(ISNUMBER(K1195),COUNTIFS($J$6:$J$1854,J1195,$K$6:$K$1854,"&lt;"&amp;K1195)+1,"-")</f>
        <v>2</v>
      </c>
      <c r="I1195" s="64" t="str">
        <f aca="false">IF('Offshore - Adelaide'!E381="","Harga belum tersedia - hubungi konsultan TEG",IF(M1195=2,"Saat ini tidak menerima pendaftaran siswa internasional baru",IF(M1195=1,"Harga perlu dikonfirmasi ke sekolah"&amp;IF(""="","","; "&amp;""),"")))</f>
        <v/>
      </c>
      <c r="J1195" s="0" t="s">
        <v>4300</v>
      </c>
      <c r="K1195" s="0" t="n">
        <f aca="false">IF(M1195=2,"",IF(ISNUMBER(SEARCH("rata-rata:",'Offshore - Adelaide'!N381)),VALUE(MID('Offshore - Adelaide'!N381,SEARCH("rata-rata:",'Offshore - Adelaide'!N381)+11,FIND(";",'Offshore - Adelaide'!N381&amp;";",SEARCH("rata-rata:",'Offshore - Adelaide'!N381))-SEARCH("rata-rata:",'Offshore - Adelaide'!N381)-11)),IF('Offshore - Adelaide'!D381="Semester",'Offshore - Adelaide'!E381*2,IF('Offshore - Adelaide'!D381="Trimester",'Offshore - Adelaide'!E381*3,IF('Offshore - Adelaide'!D381="Term",'Offshore - Adelaide'!E381*4,IF('Offshore - Adelaide'!D381="Unit",'Offshore - Adelaide'!E381*8,""))))))</f>
        <v>15400</v>
      </c>
      <c r="L1195" s="0" t="n">
        <f aca="false">IF(AND(ISNUMBER('Offshore - Adelaide'!E381),ISNUMBER(K1195),ISNUMBER('Offshore - Adelaide'!F381),ISNUMBER('Offshore - Adelaide'!G381),OR('Offshore - Adelaide'!F381&lt;&gt;0,ISNUMBER(SEARCH("Material 0 terverifikasi",'Offshore - Adelaide'!N381))),OR('Offshore - Adelaide'!G381&lt;&gt;0,ISNUMBER(SEARCH("Enrolment 0 terverifikasi",'Offshore - Adelaide'!N381)))),1,0)</f>
        <v>1</v>
      </c>
      <c r="M1195" s="0" t="n">
        <f aca="false">IF(OR('Offshore - Adelaide'!E381="",ISNUMBER(SEARCH("BSB80120",'Offshore - Adelaide'!B381&amp;'Offshore - Adelaide'!N381)),ISNUMBER(SEARCH("Management (Learning)",'Offshore - Adelaide'!B381))),2,IF(ISNUMBER(SEARCH("CEK:",'Offshore - Adelaide'!N381)),1,0))</f>
        <v>0</v>
      </c>
    </row>
    <row r="1196" customFormat="false" ht="15" hidden="false" customHeight="false" outlineLevel="0" collapsed="false">
      <c r="A1196" s="63" t="s">
        <v>3659</v>
      </c>
      <c r="B1196" s="64" t="s">
        <v>4297</v>
      </c>
      <c r="C1196" s="63" t="s">
        <v>40</v>
      </c>
      <c r="D1196" s="64" t="str">
        <f aca="false">TRIM(LEFT('Offshore - Adelaide'!A484,FIND(CHAR(10),'Offshore - Adelaide'!A484&amp;CHAR(10))-1))</f>
        <v>TAFE SA</v>
      </c>
      <c r="E1196" s="63" t="str">
        <f aca="false">'Offshore - Adelaide'!C516&amp;""</f>
        <v>0,5 year</v>
      </c>
      <c r="F1196" s="63" t="str">
        <f aca="false">IF('Offshore - Adelaide'!D516="","Belum tercatat",'Offshore - Adelaide'!D516)</f>
        <v>Semester</v>
      </c>
      <c r="G1196" s="65" t="n">
        <f aca="false">IF('Offshore - Adelaide'!E516="","-",'Offshore - Adelaide'!E516)</f>
        <v>12435</v>
      </c>
      <c r="H1196" s="63" t="n">
        <f aca="false">IF(ISNUMBER(K1196),COUNTIFS($J$6:$J$1854,J1196,$K$6:$K$1854,"&lt;"&amp;K1196)+1,"-")</f>
        <v>3</v>
      </c>
      <c r="I1196" s="64" t="str">
        <f aca="false">IF('Offshore - Adelaide'!E516="","Harga belum tersedia - hubungi konsultan TEG",IF(M1196=2,"Saat ini tidak menerima pendaftaran siswa internasional baru",IF(M1196=1,"Harga perlu dikonfirmasi ke sekolah"&amp;IF(""="","","; "&amp;""),"")))</f>
        <v/>
      </c>
      <c r="J1196" s="0" t="s">
        <v>4300</v>
      </c>
      <c r="K1196" s="0" t="n">
        <f aca="false">IF(M1196=2,"",IF(ISNUMBER(SEARCH("rata-rata:",'Offshore - Adelaide'!N516)),VALUE(MID('Offshore - Adelaide'!N516,SEARCH("rata-rata:",'Offshore - Adelaide'!N516)+11,FIND(";",'Offshore - Adelaide'!N516&amp;";",SEARCH("rata-rata:",'Offshore - Adelaide'!N516))-SEARCH("rata-rata:",'Offshore - Adelaide'!N516)-11)),IF('Offshore - Adelaide'!D516="Semester",'Offshore - Adelaide'!E516*2,IF('Offshore - Adelaide'!D516="Trimester",'Offshore - Adelaide'!E516*3,IF('Offshore - Adelaide'!D516="Term",'Offshore - Adelaide'!E516*4,IF('Offshore - Adelaide'!D516="Unit",'Offshore - Adelaide'!E516*8,""))))))</f>
        <v>24870</v>
      </c>
      <c r="L1196" s="0" t="n">
        <f aca="false">IF(AND(ISNUMBER('Offshore - Adelaide'!E516),ISNUMBER(K1196),ISNUMBER('Offshore - Adelaide'!F516),ISNUMBER('Offshore - Adelaide'!G516),OR('Offshore - Adelaide'!F516&lt;&gt;0,ISNUMBER(SEARCH("Material 0 terverifikasi",'Offshore - Adelaide'!N516))),OR('Offshore - Adelaide'!G516&lt;&gt;0,ISNUMBER(SEARCH("Enrolment 0 terverifikasi",'Offshore - Adelaide'!N516)))),1,0)</f>
        <v>0</v>
      </c>
      <c r="M1196" s="0" t="n">
        <f aca="false">IF(OR('Offshore - Adelaide'!E516="",ISNUMBER(SEARCH("BSB80120",'Offshore - Adelaide'!B516&amp;'Offshore - Adelaide'!N516)),ISNUMBER(SEARCH("Management (Learning)",'Offshore - Adelaide'!B516))),2,IF(ISNUMBER(SEARCH("CEK:",'Offshore - Adelaide'!N516)),1,0))</f>
        <v>0</v>
      </c>
    </row>
    <row r="1197" customFormat="false" ht="15" hidden="false" customHeight="false" outlineLevel="0" collapsed="false">
      <c r="A1197" s="63" t="s">
        <v>3659</v>
      </c>
      <c r="B1197" s="64" t="s">
        <v>4297</v>
      </c>
      <c r="C1197" s="63" t="s">
        <v>40</v>
      </c>
      <c r="D1197" s="64" t="str">
        <f aca="false">TRIM(LEFT('Offshore - Adelaide'!A459,FIND(CHAR(10),'Offshore - Adelaide'!A459&amp;CHAR(10))-1))</f>
        <v>Le Cordon Bleu Australia</v>
      </c>
      <c r="E1197" s="63" t="str">
        <f aca="false">'Offshore - Adelaide'!C460&amp;""</f>
        <v>0,5 year</v>
      </c>
      <c r="F1197" s="63" t="str">
        <f aca="false">IF('Offshore - Adelaide'!D460="","Belum tercatat",'Offshore - Adelaide'!D460)</f>
        <v>Term</v>
      </c>
      <c r="G1197" s="65" t="n">
        <f aca="false">IF('Offshore - Adelaide'!E460="","-",'Offshore - Adelaide'!E460)</f>
        <v>6737</v>
      </c>
      <c r="H1197" s="63" t="n">
        <f aca="false">IF(ISNUMBER(K1197),COUNTIFS($J$6:$J$1854,J1197,$K$6:$K$1854,"&lt;"&amp;K1197)+1,"-")</f>
        <v>4</v>
      </c>
      <c r="I1197" s="64" t="str">
        <f aca="false">IF('Offshore - Adelaide'!E460="","Harga belum tersedia - hubungi konsultan TEG",IF(M1197=2,"Saat ini tidak menerima pendaftaran siswa internasional baru",IF(M1197=1,"Harga perlu dikonfirmasi ke sekolah"&amp;IF(""="","","; "&amp;""),"")))</f>
        <v/>
      </c>
      <c r="J1197" s="0" t="s">
        <v>4300</v>
      </c>
      <c r="K1197" s="0" t="n">
        <f aca="false">IF(M1197=2,"",IF(ISNUMBER(SEARCH("rata-rata:",'Offshore - Adelaide'!N460)),VALUE(MID('Offshore - Adelaide'!N460,SEARCH("rata-rata:",'Offshore - Adelaide'!N460)+11,FIND(";",'Offshore - Adelaide'!N460&amp;";",SEARCH("rata-rata:",'Offshore - Adelaide'!N460))-SEARCH("rata-rata:",'Offshore - Adelaide'!N460)-11)),IF('Offshore - Adelaide'!D460="Semester",'Offshore - Adelaide'!E460*2,IF('Offshore - Adelaide'!D460="Trimester",'Offshore - Adelaide'!E460*3,IF('Offshore - Adelaide'!D460="Term",'Offshore - Adelaide'!E460*4,IF('Offshore - Adelaide'!D460="Unit",'Offshore - Adelaide'!E460*8,""))))))</f>
        <v>26948</v>
      </c>
      <c r="L1197" s="0" t="n">
        <f aca="false">IF(AND(ISNUMBER('Offshore - Adelaide'!E460),ISNUMBER(K1197),ISNUMBER('Offshore - Adelaide'!F460),ISNUMBER('Offshore - Adelaide'!G460),OR('Offshore - Adelaide'!F460&lt;&gt;0,ISNUMBER(SEARCH("Material 0 terverifikasi",'Offshore - Adelaide'!N460))),OR('Offshore - Adelaide'!G460&lt;&gt;0,ISNUMBER(SEARCH("Enrolment 0 terverifikasi",'Offshore - Adelaide'!N460)))),1,0)</f>
        <v>0</v>
      </c>
      <c r="M1197" s="0" t="n">
        <f aca="false">IF(OR('Offshore - Adelaide'!E460="",ISNUMBER(SEARCH("BSB80120",'Offshore - Adelaide'!B460&amp;'Offshore - Adelaide'!N460)),ISNUMBER(SEARCH("Management (Learning)",'Offshore - Adelaide'!B460))),2,IF(ISNUMBER(SEARCH("CEK:",'Offshore - Adelaide'!N460)),1,0))</f>
        <v>0</v>
      </c>
    </row>
    <row r="1198" customFormat="false" ht="15" hidden="false" customHeight="false" outlineLevel="0" collapsed="false">
      <c r="A1198" s="61" t="s">
        <v>4301</v>
      </c>
      <c r="B1198" s="62"/>
      <c r="C1198" s="62"/>
      <c r="D1198" s="62"/>
      <c r="E1198" s="62"/>
      <c r="F1198" s="62"/>
      <c r="G1198" s="62"/>
      <c r="H1198" s="62"/>
      <c r="I1198" s="62"/>
    </row>
    <row r="1199" customFormat="false" ht="28.35" hidden="false" customHeight="false" outlineLevel="0" collapsed="false">
      <c r="A1199" s="63" t="s">
        <v>3659</v>
      </c>
      <c r="B1199" s="64" t="s">
        <v>4297</v>
      </c>
      <c r="C1199" s="63" t="s">
        <v>41</v>
      </c>
      <c r="D1199" s="64" t="str">
        <f aca="false">TRIM(LEFT('Offshore - Adelaide'!A374,FIND(CHAR(10),'Offshore - Adelaide'!A374&amp;CHAR(10))-1))</f>
        <v>Albright Institute of Business and Language (AIBL)</v>
      </c>
      <c r="E1199" s="63" t="str">
        <f aca="false">'Offshore - Adelaide'!C377&amp;""</f>
        <v>2 years</v>
      </c>
      <c r="F1199" s="63" t="str">
        <f aca="false">IF('Offshore - Adelaide'!D377="","Belum tercatat",'Offshore - Adelaide'!D377)</f>
        <v>Term</v>
      </c>
      <c r="G1199" s="65" t="n">
        <f aca="false">IF('Offshore - Adelaide'!E377="","-",'Offshore - Adelaide'!E377)</f>
        <v>2250</v>
      </c>
      <c r="H1199" s="63" t="n">
        <f aca="false">IF(ISNUMBER(K1199),COUNTIFS($J$6:$J$1854,J1199,$K$6:$K$1854,"&lt;"&amp;K1199)+1,"-")</f>
        <v>1</v>
      </c>
      <c r="I1199" s="64" t="str">
        <f aca="false">IF('Offshore - Adelaide'!E377="","Harga belum tersedia - hubungi konsultan TEG",IF(M1199=2,"Saat ini tidak menerima pendaftaran siswa internasional baru",IF(M1199=1,"Harga perlu dikonfirmasi ke sekolah"&amp;IF(""="","","; "&amp;""),"")))</f>
        <v/>
      </c>
      <c r="J1199" s="0" t="s">
        <v>4302</v>
      </c>
      <c r="K1199" s="0" t="n">
        <f aca="false">IF(M1199=2,"",IF(ISNUMBER(SEARCH("rata-rata:",'Offshore - Adelaide'!N377)),VALUE(MID('Offshore - Adelaide'!N377,SEARCH("rata-rata:",'Offshore - Adelaide'!N377)+11,FIND(";",'Offshore - Adelaide'!N377&amp;";",SEARCH("rata-rata:",'Offshore - Adelaide'!N377))-SEARCH("rata-rata:",'Offshore - Adelaide'!N377)-11)),IF('Offshore - Adelaide'!D377="Semester",'Offshore - Adelaide'!E377*2,IF('Offshore - Adelaide'!D377="Trimester",'Offshore - Adelaide'!E377*3,IF('Offshore - Adelaide'!D377="Term",'Offshore - Adelaide'!E377*4,IF('Offshore - Adelaide'!D377="Unit",'Offshore - Adelaide'!E377*8,""))))))</f>
        <v>9000</v>
      </c>
      <c r="L1199" s="0" t="n">
        <f aca="false">IF(AND(ISNUMBER('Offshore - Adelaide'!E377),ISNUMBER(K1199),ISNUMBER('Offshore - Adelaide'!F377),ISNUMBER('Offshore - Adelaide'!G377),OR('Offshore - Adelaide'!F377&lt;&gt;0,ISNUMBER(SEARCH("Material 0 terverifikasi",'Offshore - Adelaide'!N377))),OR('Offshore - Adelaide'!G377&lt;&gt;0,ISNUMBER(SEARCH("Enrolment 0 terverifikasi",'Offshore - Adelaide'!N377)))),1,0)</f>
        <v>1</v>
      </c>
      <c r="M1199" s="0" t="n">
        <f aca="false">IF(OR('Offshore - Adelaide'!E377="",ISNUMBER(SEARCH("BSB80120",'Offshore - Adelaide'!B377&amp;'Offshore - Adelaide'!N377)),ISNUMBER(SEARCH("Management (Learning)",'Offshore - Adelaide'!B377))),2,IF(ISNUMBER(SEARCH("CEK:",'Offshore - Adelaide'!N377)),1,0))</f>
        <v>0</v>
      </c>
    </row>
    <row r="1200" customFormat="false" ht="28.35" hidden="false" customHeight="false" outlineLevel="0" collapsed="false">
      <c r="A1200" s="63" t="s">
        <v>3659</v>
      </c>
      <c r="B1200" s="64" t="s">
        <v>4297</v>
      </c>
      <c r="C1200" s="63" t="s">
        <v>41</v>
      </c>
      <c r="D1200" s="64" t="str">
        <f aca="false">TRIM(LEFT('Offshore - Adelaide'!A395,FIND(CHAR(10),'Offshore - Adelaide'!A395&amp;CHAR(10))-1))</f>
        <v>Australian Business &amp; Culinary Institute (ABC Institute)</v>
      </c>
      <c r="E1200" s="63" t="str">
        <f aca="false">'Offshore - Adelaide'!C397&amp;""</f>
        <v>2 years</v>
      </c>
      <c r="F1200" s="63" t="str">
        <f aca="false">IF('Offshore - Adelaide'!D397="","Belum tercatat",'Offshore - Adelaide'!D397)</f>
        <v>Term</v>
      </c>
      <c r="G1200" s="65" t="n">
        <f aca="false">IF('Offshore - Adelaide'!E397="","-",'Offshore - Adelaide'!E397)</f>
        <v>2631.25</v>
      </c>
      <c r="H1200" s="63" t="n">
        <f aca="false">IF(ISNUMBER(K1200),COUNTIFS($J$6:$J$1854,J1200,$K$6:$K$1854,"&lt;"&amp;K1200)+1,"-")</f>
        <v>2</v>
      </c>
      <c r="I1200" s="64" t="str">
        <f aca="false">IF('Offshore - Adelaide'!E397="","Harga belum tersedia - hubungi konsultan TEG",IF(M1200=2,"Saat ini tidak menerima pendaftaran siswa internasional baru",IF(M1200=1,"Harga perlu dikonfirmasi ke sekolah"&amp;IF(""="","","; "&amp;""),"")))</f>
        <v/>
      </c>
      <c r="J1200" s="0" t="s">
        <v>4302</v>
      </c>
      <c r="K1200" s="0" t="n">
        <f aca="false">IF(M1200=2,"",IF(ISNUMBER(SEARCH("rata-rata:",'Offshore - Adelaide'!N397)),VALUE(MID('Offshore - Adelaide'!N397,SEARCH("rata-rata:",'Offshore - Adelaide'!N397)+11,FIND(";",'Offshore - Adelaide'!N397&amp;";",SEARCH("rata-rata:",'Offshore - Adelaide'!N397))-SEARCH("rata-rata:",'Offshore - Adelaide'!N397)-11)),IF('Offshore - Adelaide'!D397="Semester",'Offshore - Adelaide'!E397*2,IF('Offshore - Adelaide'!D397="Trimester",'Offshore - Adelaide'!E397*3,IF('Offshore - Adelaide'!D397="Term",'Offshore - Adelaide'!E397*4,IF('Offshore - Adelaide'!D397="Unit",'Offshore - Adelaide'!E397*8,""))))))</f>
        <v>10525</v>
      </c>
      <c r="L1200" s="0" t="n">
        <f aca="false">IF(AND(ISNUMBER('Offshore - Adelaide'!E397),ISNUMBER(K1200),ISNUMBER('Offshore - Adelaide'!F397),ISNUMBER('Offshore - Adelaide'!G397),OR('Offshore - Adelaide'!F397&lt;&gt;0,ISNUMBER(SEARCH("Material 0 terverifikasi",'Offshore - Adelaide'!N397))),OR('Offshore - Adelaide'!G397&lt;&gt;0,ISNUMBER(SEARCH("Enrolment 0 terverifikasi",'Offshore - Adelaide'!N397)))),1,0)</f>
        <v>1</v>
      </c>
      <c r="M1200" s="0" t="n">
        <f aca="false">IF(OR('Offshore - Adelaide'!E397="",ISNUMBER(SEARCH("BSB80120",'Offshore - Adelaide'!B397&amp;'Offshore - Adelaide'!N397)),ISNUMBER(SEARCH("Management (Learning)",'Offshore - Adelaide'!B397))),2,IF(ISNUMBER(SEARCH("CEK:",'Offshore - Adelaide'!N397)),1,0))</f>
        <v>0</v>
      </c>
    </row>
    <row r="1201" customFormat="false" ht="15" hidden="false" customHeight="false" outlineLevel="0" collapsed="false">
      <c r="A1201" s="63" t="s">
        <v>3659</v>
      </c>
      <c r="B1201" s="64" t="s">
        <v>4297</v>
      </c>
      <c r="C1201" s="63" t="s">
        <v>41</v>
      </c>
      <c r="D1201" s="64" t="str">
        <f aca="false">TRIM(LEFT('Offshore - Adelaide'!A484,FIND(CHAR(10),'Offshore - Adelaide'!A484&amp;CHAR(10))-1))</f>
        <v>TAFE SA</v>
      </c>
      <c r="E1201" s="63" t="str">
        <f aca="false">'Offshore - Adelaide'!C520&amp;""</f>
        <v>0,5 year</v>
      </c>
      <c r="F1201" s="63" t="str">
        <f aca="false">IF('Offshore - Adelaide'!D520="","Belum tercatat",'Offshore - Adelaide'!D520)</f>
        <v>Semester</v>
      </c>
      <c r="G1201" s="65" t="n">
        <f aca="false">IF('Offshore - Adelaide'!E520="","-",'Offshore - Adelaide'!E520)</f>
        <v>6065</v>
      </c>
      <c r="H1201" s="63" t="n">
        <f aca="false">IF(ISNUMBER(K1201),COUNTIFS($J$6:$J$1854,J1201,$K$6:$K$1854,"&lt;"&amp;K1201)+1,"-")</f>
        <v>3</v>
      </c>
      <c r="I1201" s="64" t="str">
        <f aca="false">IF('Offshore - Adelaide'!E520="","Harga belum tersedia - hubungi konsultan TEG",IF(M1201=2,"Saat ini tidak menerima pendaftaran siswa internasional baru",IF(M1201=1,"Harga perlu dikonfirmasi ke sekolah"&amp;IF(""="","","; "&amp;""),"")))</f>
        <v/>
      </c>
      <c r="J1201" s="0" t="s">
        <v>4302</v>
      </c>
      <c r="K1201" s="0" t="n">
        <f aca="false">IF(M1201=2,"",IF(ISNUMBER(SEARCH("rata-rata:",'Offshore - Adelaide'!N520)),VALUE(MID('Offshore - Adelaide'!N520,SEARCH("rata-rata:",'Offshore - Adelaide'!N520)+11,FIND(";",'Offshore - Adelaide'!N520&amp;";",SEARCH("rata-rata:",'Offshore - Adelaide'!N520))-SEARCH("rata-rata:",'Offshore - Adelaide'!N520)-11)),IF('Offshore - Adelaide'!D520="Semester",'Offshore - Adelaide'!E520*2,IF('Offshore - Adelaide'!D520="Trimester",'Offshore - Adelaide'!E520*3,IF('Offshore - Adelaide'!D520="Term",'Offshore - Adelaide'!E520*4,IF('Offshore - Adelaide'!D520="Unit",'Offshore - Adelaide'!E520*8,""))))))</f>
        <v>12130</v>
      </c>
      <c r="L1201" s="0" t="n">
        <f aca="false">IF(AND(ISNUMBER('Offshore - Adelaide'!E520),ISNUMBER(K1201),ISNUMBER('Offshore - Adelaide'!F520),ISNUMBER('Offshore - Adelaide'!G520),OR('Offshore - Adelaide'!F520&lt;&gt;0,ISNUMBER(SEARCH("Material 0 terverifikasi",'Offshore - Adelaide'!N520))),OR('Offshore - Adelaide'!G520&lt;&gt;0,ISNUMBER(SEARCH("Enrolment 0 terverifikasi",'Offshore - Adelaide'!N520)))),1,0)</f>
        <v>0</v>
      </c>
      <c r="M1201" s="0" t="n">
        <f aca="false">IF(OR('Offshore - Adelaide'!E520="",ISNUMBER(SEARCH("BSB80120",'Offshore - Adelaide'!B520&amp;'Offshore - Adelaide'!N520)),ISNUMBER(SEARCH("Management (Learning)",'Offshore - Adelaide'!B520))),2,IF(ISNUMBER(SEARCH("CEK:",'Offshore - Adelaide'!N520)),1,0))</f>
        <v>0</v>
      </c>
    </row>
    <row r="1202" customFormat="false" ht="15" hidden="false" customHeight="false" outlineLevel="0" collapsed="false">
      <c r="A1202" s="63" t="s">
        <v>3659</v>
      </c>
      <c r="B1202" s="64" t="s">
        <v>4297</v>
      </c>
      <c r="C1202" s="63" t="s">
        <v>41</v>
      </c>
      <c r="D1202" s="64" t="str">
        <f aca="false">TRIM(LEFT('Offshore - Adelaide'!A379,FIND(CHAR(10),'Offshore - Adelaide'!A379&amp;CHAR(10))-1))</f>
        <v>Alliance College</v>
      </c>
      <c r="E1202" s="63" t="str">
        <f aca="false">'Offshore - Adelaide'!C379&amp;""</f>
        <v>2 years</v>
      </c>
      <c r="F1202" s="63" t="str">
        <f aca="false">IF('Offshore - Adelaide'!D379="","Belum tercatat",'Offshore - Adelaide'!D379)</f>
        <v>Term</v>
      </c>
      <c r="G1202" s="65" t="n">
        <f aca="false">IF('Offshore - Adelaide'!E379="","-",'Offshore - Adelaide'!E379)</f>
        <v>3560</v>
      </c>
      <c r="H1202" s="63" t="n">
        <f aca="false">IF(ISNUMBER(K1202),COUNTIFS($J$6:$J$1854,J1202,$K$6:$K$1854,"&lt;"&amp;K1202)+1,"-")</f>
        <v>4</v>
      </c>
      <c r="I1202" s="64" t="str">
        <f aca="false">IF('Offshore - Adelaide'!E379="","Harga belum tersedia - hubungi konsultan TEG",IF(M1202=2,"Saat ini tidak menerima pendaftaran siswa internasional baru",IF(M1202=1,"Harga perlu dikonfirmasi ke sekolah"&amp;IF(""="","","; "&amp;""),"")))</f>
        <v/>
      </c>
      <c r="J1202" s="0" t="s">
        <v>4302</v>
      </c>
      <c r="K1202" s="0" t="n">
        <f aca="false">IF(M1202=2,"",IF(ISNUMBER(SEARCH("rata-rata:",'Offshore - Adelaide'!N379)),VALUE(MID('Offshore - Adelaide'!N379,SEARCH("rata-rata:",'Offshore - Adelaide'!N379)+11,FIND(";",'Offshore - Adelaide'!N379&amp;";",SEARCH("rata-rata:",'Offshore - Adelaide'!N379))-SEARCH("rata-rata:",'Offshore - Adelaide'!N379)-11)),IF('Offshore - Adelaide'!D379="Semester",'Offshore - Adelaide'!E379*2,IF('Offshore - Adelaide'!D379="Trimester",'Offshore - Adelaide'!E379*3,IF('Offshore - Adelaide'!D379="Term",'Offshore - Adelaide'!E379*4,IF('Offshore - Adelaide'!D379="Unit",'Offshore - Adelaide'!E379*8,""))))))</f>
        <v>14240</v>
      </c>
      <c r="L1202" s="0" t="n">
        <f aca="false">IF(AND(ISNUMBER('Offshore - Adelaide'!E379),ISNUMBER(K1202),ISNUMBER('Offshore - Adelaide'!F379),ISNUMBER('Offshore - Adelaide'!G379),OR('Offshore - Adelaide'!F379&lt;&gt;0,ISNUMBER(SEARCH("Material 0 terverifikasi",'Offshore - Adelaide'!N379))),OR('Offshore - Adelaide'!G379&lt;&gt;0,ISNUMBER(SEARCH("Enrolment 0 terverifikasi",'Offshore - Adelaide'!N379)))),1,0)</f>
        <v>1</v>
      </c>
      <c r="M1202" s="0" t="n">
        <f aca="false">IF(OR('Offshore - Adelaide'!E379="",ISNUMBER(SEARCH("BSB80120",'Offshore - Adelaide'!B379&amp;'Offshore - Adelaide'!N379)),ISNUMBER(SEARCH("Management (Learning)",'Offshore - Adelaide'!B379))),2,IF(ISNUMBER(SEARCH("CEK:",'Offshore - Adelaide'!N379)),1,0))</f>
        <v>0</v>
      </c>
    </row>
    <row r="1203" customFormat="false" ht="15" hidden="false" customHeight="false" outlineLevel="0" collapsed="false">
      <c r="A1203" s="63" t="s">
        <v>3659</v>
      </c>
      <c r="B1203" s="64" t="s">
        <v>4297</v>
      </c>
      <c r="C1203" s="63" t="s">
        <v>41</v>
      </c>
      <c r="D1203" s="64" t="str">
        <f aca="false">TRIM(LEFT('Offshore - Adelaide'!A459,FIND(CHAR(10),'Offshore - Adelaide'!A459&amp;CHAR(10))-1))</f>
        <v>Le Cordon Bleu Australia</v>
      </c>
      <c r="E1203" s="63" t="str">
        <f aca="false">'Offshore - Adelaide'!C462&amp;""</f>
        <v>2,5 years</v>
      </c>
      <c r="F1203" s="63" t="str">
        <f aca="false">IF('Offshore - Adelaide'!D462="","Belum tercatat",'Offshore - Adelaide'!D462)</f>
        <v>Term</v>
      </c>
      <c r="G1203" s="65" t="n">
        <f aca="false">IF('Offshore - Adelaide'!E462="","-",'Offshore - Adelaide'!E462)</f>
        <v>7005.6</v>
      </c>
      <c r="H1203" s="63" t="n">
        <f aca="false">IF(ISNUMBER(K1203),COUNTIFS($J$6:$J$1854,J1203,$K$6:$K$1854,"&lt;"&amp;K1203)+1,"-")</f>
        <v>5</v>
      </c>
      <c r="I1203" s="64" t="str">
        <f aca="false">IF('Offshore - Adelaide'!E462="","Harga belum tersedia - hubungi konsultan TEG",IF(M1203=2,"Saat ini tidak menerima pendaftaran siswa internasional baru",IF(M1203=1,"Harga perlu dikonfirmasi ke sekolah"&amp;IF(""="","","; "&amp;""),"")))</f>
        <v>Harga perlu dikonfirmasi ke sekolah</v>
      </c>
      <c r="J1203" s="0" t="s">
        <v>4302</v>
      </c>
      <c r="K1203" s="0" t="n">
        <f aca="false">IF(M1203=2,"",IF(ISNUMBER(SEARCH("rata-rata:",'Offshore - Adelaide'!N462)),VALUE(MID('Offshore - Adelaide'!N462,SEARCH("rata-rata:",'Offshore - Adelaide'!N462)+11,FIND(";",'Offshore - Adelaide'!N462&amp;";",SEARCH("rata-rata:",'Offshore - Adelaide'!N462))-SEARCH("rata-rata:",'Offshore - Adelaide'!N462)-11)),IF('Offshore - Adelaide'!D462="Semester",'Offshore - Adelaide'!E462*2,IF('Offshore - Adelaide'!D462="Trimester",'Offshore - Adelaide'!E462*3,IF('Offshore - Adelaide'!D462="Term",'Offshore - Adelaide'!E462*4,IF('Offshore - Adelaide'!D462="Unit",'Offshore - Adelaide'!E462*8,""))))))</f>
        <v>28022.4</v>
      </c>
      <c r="L1203" s="0" t="n">
        <f aca="false">IF(AND(ISNUMBER('Offshore - Adelaide'!E462),ISNUMBER(K1203),ISNUMBER('Offshore - Adelaide'!F462),ISNUMBER('Offshore - Adelaide'!G462),OR('Offshore - Adelaide'!F462&lt;&gt;0,ISNUMBER(SEARCH("Material 0 terverifikasi",'Offshore - Adelaide'!N462))),OR('Offshore - Adelaide'!G462&lt;&gt;0,ISNUMBER(SEARCH("Enrolment 0 terverifikasi",'Offshore - Adelaide'!N462)))),1,0)</f>
        <v>0</v>
      </c>
      <c r="M1203" s="0" t="n">
        <f aca="false">IF(OR('Offshore - Adelaide'!E462="",ISNUMBER(SEARCH("BSB80120",'Offshore - Adelaide'!B462&amp;'Offshore - Adelaide'!N462)),ISNUMBER(SEARCH("Management (Learning)",'Offshore - Adelaide'!B462))),2,IF(ISNUMBER(SEARCH("CEK:",'Offshore - Adelaide'!N462)),1,0))</f>
        <v>1</v>
      </c>
    </row>
    <row r="1204" customFormat="false" ht="15" hidden="false" customHeight="false" outlineLevel="0" collapsed="false">
      <c r="A1204" s="61" t="s">
        <v>4303</v>
      </c>
      <c r="B1204" s="62"/>
      <c r="C1204" s="62"/>
      <c r="D1204" s="62"/>
      <c r="E1204" s="62"/>
      <c r="F1204" s="62"/>
      <c r="G1204" s="62"/>
      <c r="H1204" s="62"/>
      <c r="I1204" s="62"/>
    </row>
    <row r="1205" customFormat="false" ht="15" hidden="false" customHeight="false" outlineLevel="0" collapsed="false">
      <c r="A1205" s="63" t="s">
        <v>3659</v>
      </c>
      <c r="B1205" s="64" t="s">
        <v>4297</v>
      </c>
      <c r="C1205" s="63" t="s">
        <v>42</v>
      </c>
      <c r="D1205" s="64" t="str">
        <f aca="false">TRIM(LEFT('Offshore - Adelaide'!A399,FIND(CHAR(10),'Offshore - Adelaide'!A399&amp;CHAR(10))-1))</f>
        <v>Australian Ideal College (AIC)</v>
      </c>
      <c r="E1205" s="63" t="str">
        <f aca="false">'Offshore - Adelaide'!C408&amp;""</f>
        <v>3 years</v>
      </c>
      <c r="F1205" s="63" t="str">
        <f aca="false">IF('Offshore - Adelaide'!D408="","Belum tercatat",'Offshore - Adelaide'!D408)</f>
        <v>Term</v>
      </c>
      <c r="G1205" s="65" t="n">
        <f aca="false">IF('Offshore - Adelaide'!E408="","-",'Offshore - Adelaide'!E408)</f>
        <v>1750</v>
      </c>
      <c r="H1205" s="63" t="n">
        <f aca="false">IF(ISNUMBER(K1205),COUNTIFS($J$6:$J$1854,J1205,$K$6:$K$1854,"&lt;"&amp;K1205)+1,"-")</f>
        <v>1</v>
      </c>
      <c r="I1205" s="64" t="str">
        <f aca="false">IF('Offshore - Adelaide'!E408="","Harga belum tersedia - hubungi konsultan TEG",IF(M1205=2,"Saat ini tidak menerima pendaftaran siswa internasional baru",IF(M1205=1,"Harga perlu dikonfirmasi ke sekolah"&amp;IF(""="","","; "&amp;""),"")))</f>
        <v/>
      </c>
      <c r="J1205" s="0" t="s">
        <v>4304</v>
      </c>
      <c r="K1205" s="0" t="n">
        <f aca="false">IF(M1205=2,"",IF(ISNUMBER(SEARCH("rata-rata:",'Offshore - Adelaide'!N408)),VALUE(MID('Offshore - Adelaide'!N408,SEARCH("rata-rata:",'Offshore - Adelaide'!N408)+11,FIND(";",'Offshore - Adelaide'!N408&amp;";",SEARCH("rata-rata:",'Offshore - Adelaide'!N408))-SEARCH("rata-rata:",'Offshore - Adelaide'!N408)-11)),IF('Offshore - Adelaide'!D408="Semester",'Offshore - Adelaide'!E408*2,IF('Offshore - Adelaide'!D408="Trimester",'Offshore - Adelaide'!E408*3,IF('Offshore - Adelaide'!D408="Term",'Offshore - Adelaide'!E408*4,IF('Offshore - Adelaide'!D408="Unit",'Offshore - Adelaide'!E408*8,""))))))</f>
        <v>7000</v>
      </c>
      <c r="L1205" s="0" t="n">
        <f aca="false">IF(AND(ISNUMBER('Offshore - Adelaide'!E408),ISNUMBER(K1205),ISNUMBER('Offshore - Adelaide'!F408),ISNUMBER('Offshore - Adelaide'!G408),OR('Offshore - Adelaide'!F408&lt;&gt;0,ISNUMBER(SEARCH("Material 0 terverifikasi",'Offshore - Adelaide'!N408))),OR('Offshore - Adelaide'!G408&lt;&gt;0,ISNUMBER(SEARCH("Enrolment 0 terverifikasi",'Offshore - Adelaide'!N408)))),1,0)</f>
        <v>1</v>
      </c>
      <c r="M1205" s="0" t="n">
        <f aca="false">IF(OR('Offshore - Adelaide'!E408="",ISNUMBER(SEARCH("BSB80120",'Offshore - Adelaide'!B408&amp;'Offshore - Adelaide'!N408)),ISNUMBER(SEARCH("Management (Learning)",'Offshore - Adelaide'!B408))),2,IF(ISNUMBER(SEARCH("CEK:",'Offshore - Adelaide'!N408)),1,0))</f>
        <v>0</v>
      </c>
    </row>
    <row r="1206" customFormat="false" ht="15" hidden="false" customHeight="false" outlineLevel="0" collapsed="false">
      <c r="A1206" s="63" t="s">
        <v>3659</v>
      </c>
      <c r="B1206" s="64" t="s">
        <v>4297</v>
      </c>
      <c r="C1206" s="63" t="s">
        <v>42</v>
      </c>
      <c r="D1206" s="64" t="str">
        <f aca="false">TRIM(LEFT('Offshore - Adelaide'!A379,FIND(CHAR(10),'Offshore - Adelaide'!A379&amp;CHAR(10))-1))</f>
        <v>Alliance College</v>
      </c>
      <c r="E1206" s="63" t="str">
        <f aca="false">'Offshore - Adelaide'!C384&amp;""</f>
        <v>2 years</v>
      </c>
      <c r="F1206" s="63" t="str">
        <f aca="false">IF('Offshore - Adelaide'!D384="","Belum tercatat",'Offshore - Adelaide'!D384)</f>
        <v>Term</v>
      </c>
      <c r="G1206" s="65" t="n">
        <f aca="false">IF('Offshore - Adelaide'!E384="","-",'Offshore - Adelaide'!E384)</f>
        <v>2220</v>
      </c>
      <c r="H1206" s="63" t="n">
        <f aca="false">IF(ISNUMBER(K1206),COUNTIFS($J$6:$J$1854,J1206,$K$6:$K$1854,"&lt;"&amp;K1206)+1,"-")</f>
        <v>2</v>
      </c>
      <c r="I1206" s="64" t="str">
        <f aca="false">IF('Offshore - Adelaide'!E384="","Harga belum tersedia - hubungi konsultan TEG",IF(M1206=2,"Saat ini tidak menerima pendaftaran siswa internasional baru",IF(M1206=1,"Harga perlu dikonfirmasi ke sekolah"&amp;IF(""="","","; "&amp;""),"")))</f>
        <v/>
      </c>
      <c r="J1206" s="0" t="s">
        <v>4304</v>
      </c>
      <c r="K1206" s="0" t="n">
        <f aca="false">IF(M1206=2,"",IF(ISNUMBER(SEARCH("rata-rata:",'Offshore - Adelaide'!N384)),VALUE(MID('Offshore - Adelaide'!N384,SEARCH("rata-rata:",'Offshore - Adelaide'!N384)+11,FIND(";",'Offshore - Adelaide'!N384&amp;";",SEARCH("rata-rata:",'Offshore - Adelaide'!N384))-SEARCH("rata-rata:",'Offshore - Adelaide'!N384)-11)),IF('Offshore - Adelaide'!D384="Semester",'Offshore - Adelaide'!E384*2,IF('Offshore - Adelaide'!D384="Trimester",'Offshore - Adelaide'!E384*3,IF('Offshore - Adelaide'!D384="Term",'Offshore - Adelaide'!E384*4,IF('Offshore - Adelaide'!D384="Unit",'Offshore - Adelaide'!E384*8,""))))))</f>
        <v>8880</v>
      </c>
      <c r="L1206" s="0" t="n">
        <f aca="false">IF(AND(ISNUMBER('Offshore - Adelaide'!E384),ISNUMBER(K1206),ISNUMBER('Offshore - Adelaide'!F384),ISNUMBER('Offshore - Adelaide'!G384),OR('Offshore - Adelaide'!F384&lt;&gt;0,ISNUMBER(SEARCH("Material 0 terverifikasi",'Offshore - Adelaide'!N384))),OR('Offshore - Adelaide'!G384&lt;&gt;0,ISNUMBER(SEARCH("Enrolment 0 terverifikasi",'Offshore - Adelaide'!N384)))),1,0)</f>
        <v>1</v>
      </c>
      <c r="M1206" s="0" t="n">
        <f aca="false">IF(OR('Offshore - Adelaide'!E384="",ISNUMBER(SEARCH("BSB80120",'Offshore - Adelaide'!B384&amp;'Offshore - Adelaide'!N384)),ISNUMBER(SEARCH("Management (Learning)",'Offshore - Adelaide'!B384))),2,IF(ISNUMBER(SEARCH("CEK:",'Offshore - Adelaide'!N384)),1,0))</f>
        <v>0</v>
      </c>
    </row>
    <row r="1207" customFormat="false" ht="28.35" hidden="false" customHeight="false" outlineLevel="0" collapsed="false">
      <c r="A1207" s="63" t="s">
        <v>3659</v>
      </c>
      <c r="B1207" s="64" t="s">
        <v>4297</v>
      </c>
      <c r="C1207" s="63" t="s">
        <v>42</v>
      </c>
      <c r="D1207" s="64" t="str">
        <f aca="false">TRIM(LEFT('Offshore - Adelaide'!A395,FIND(CHAR(10),'Offshore - Adelaide'!A395&amp;CHAR(10))-1))</f>
        <v>Australian Business &amp; Culinary Institute (ABC Institute)</v>
      </c>
      <c r="E1207" s="63" t="str">
        <f aca="false">'Offshore - Adelaide'!C398&amp;""</f>
        <v>2,5 years</v>
      </c>
      <c r="F1207" s="63" t="str">
        <f aca="false">IF('Offshore - Adelaide'!D398="","Belum tercatat",'Offshore - Adelaide'!D398)</f>
        <v>Term</v>
      </c>
      <c r="G1207" s="65" t="n">
        <f aca="false">IF('Offshore - Adelaide'!E398="","-",'Offshore - Adelaide'!E398)</f>
        <v>2325</v>
      </c>
      <c r="H1207" s="63" t="n">
        <f aca="false">IF(ISNUMBER(K1207),COUNTIFS($J$6:$J$1854,J1207,$K$6:$K$1854,"&lt;"&amp;K1207)+1,"-")</f>
        <v>3</v>
      </c>
      <c r="I1207" s="64" t="str">
        <f aca="false">IF('Offshore - Adelaide'!E398="","Harga belum tersedia - hubungi konsultan TEG",IF(M1207=2,"Saat ini tidak menerima pendaftaran siswa internasional baru",IF(M1207=1,"Harga perlu dikonfirmasi ke sekolah"&amp;IF(""="","","; "&amp;""),"")))</f>
        <v/>
      </c>
      <c r="J1207" s="0" t="s">
        <v>4304</v>
      </c>
      <c r="K1207" s="0" t="n">
        <f aca="false">IF(M1207=2,"",IF(ISNUMBER(SEARCH("rata-rata:",'Offshore - Adelaide'!N398)),VALUE(MID('Offshore - Adelaide'!N398,SEARCH("rata-rata:",'Offshore - Adelaide'!N398)+11,FIND(";",'Offshore - Adelaide'!N398&amp;";",SEARCH("rata-rata:",'Offshore - Adelaide'!N398))-SEARCH("rata-rata:",'Offshore - Adelaide'!N398)-11)),IF('Offshore - Adelaide'!D398="Semester",'Offshore - Adelaide'!E398*2,IF('Offshore - Adelaide'!D398="Trimester",'Offshore - Adelaide'!E398*3,IF('Offshore - Adelaide'!D398="Term",'Offshore - Adelaide'!E398*4,IF('Offshore - Adelaide'!D398="Unit",'Offshore - Adelaide'!E398*8,""))))))</f>
        <v>9300</v>
      </c>
      <c r="L1207" s="0" t="n">
        <f aca="false">IF(AND(ISNUMBER('Offshore - Adelaide'!E398),ISNUMBER(K1207),ISNUMBER('Offshore - Adelaide'!F398),ISNUMBER('Offshore - Adelaide'!G398),OR('Offshore - Adelaide'!F398&lt;&gt;0,ISNUMBER(SEARCH("Material 0 terverifikasi",'Offshore - Adelaide'!N398))),OR('Offshore - Adelaide'!G398&lt;&gt;0,ISNUMBER(SEARCH("Enrolment 0 terverifikasi",'Offshore - Adelaide'!N398)))),1,0)</f>
        <v>1</v>
      </c>
      <c r="M1207" s="0" t="n">
        <f aca="false">IF(OR('Offshore - Adelaide'!E398="",ISNUMBER(SEARCH("BSB80120",'Offshore - Adelaide'!B398&amp;'Offshore - Adelaide'!N398)),ISNUMBER(SEARCH("Management (Learning)",'Offshore - Adelaide'!B398))),2,IF(ISNUMBER(SEARCH("CEK:",'Offshore - Adelaide'!N398)),1,0))</f>
        <v>0</v>
      </c>
    </row>
    <row r="1208" customFormat="false" ht="15" hidden="false" customHeight="false" outlineLevel="0" collapsed="false">
      <c r="A1208" s="63" t="s">
        <v>3659</v>
      </c>
      <c r="B1208" s="64" t="s">
        <v>4297</v>
      </c>
      <c r="C1208" s="63" t="s">
        <v>42</v>
      </c>
      <c r="D1208" s="64" t="str">
        <f aca="false">TRIM(LEFT('Offshore - Adelaide'!A480,FIND(CHAR(10),'Offshore - Adelaide'!A480&amp;CHAR(10))-1))</f>
        <v>Sydney City College of Management</v>
      </c>
      <c r="E1208" s="63" t="str">
        <f aca="false">'Offshore - Adelaide'!C483&amp;""</f>
        <v>2,5 years</v>
      </c>
      <c r="F1208" s="63" t="str">
        <f aca="false">IF('Offshore - Adelaide'!D483="","Belum tercatat",'Offshore - Adelaide'!D483)</f>
        <v>Term</v>
      </c>
      <c r="G1208" s="65" t="n">
        <f aca="false">IF('Offshore - Adelaide'!E483="","-",'Offshore - Adelaide'!E483)</f>
        <v>4300</v>
      </c>
      <c r="H1208" s="63" t="n">
        <f aca="false">IF(ISNUMBER(K1208),COUNTIFS($J$6:$J$1854,J1208,$K$6:$K$1854,"&lt;"&amp;K1208)+1,"-")</f>
        <v>4</v>
      </c>
      <c r="I1208" s="64" t="str">
        <f aca="false">IF('Offshore - Adelaide'!E483="","Harga belum tersedia - hubungi konsultan TEG",IF(M1208=2,"Saat ini tidak menerima pendaftaran siswa internasional baru",IF(M1208=1,"Harga perlu dikonfirmasi ke sekolah"&amp;IF(""="","","; "&amp;""),"")))</f>
        <v/>
      </c>
      <c r="J1208" s="0" t="s">
        <v>4304</v>
      </c>
      <c r="K1208" s="0" t="n">
        <f aca="false">IF(M1208=2,"",IF(ISNUMBER(SEARCH("rata-rata:",'Offshore - Adelaide'!N483)),VALUE(MID('Offshore - Adelaide'!N483,SEARCH("rata-rata:",'Offshore - Adelaide'!N483)+11,FIND(";",'Offshore - Adelaide'!N483&amp;";",SEARCH("rata-rata:",'Offshore - Adelaide'!N483))-SEARCH("rata-rata:",'Offshore - Adelaide'!N483)-11)),IF('Offshore - Adelaide'!D483="Semester",'Offshore - Adelaide'!E483*2,IF('Offshore - Adelaide'!D483="Trimester",'Offshore - Adelaide'!E483*3,IF('Offshore - Adelaide'!D483="Term",'Offshore - Adelaide'!E483*4,IF('Offshore - Adelaide'!D483="Unit",'Offshore - Adelaide'!E483*8,""))))))</f>
        <v>17200</v>
      </c>
      <c r="L1208" s="0" t="n">
        <f aca="false">IF(AND(ISNUMBER('Offshore - Adelaide'!E483),ISNUMBER(K1208),ISNUMBER('Offshore - Adelaide'!F483),ISNUMBER('Offshore - Adelaide'!G483),OR('Offshore - Adelaide'!F483&lt;&gt;0,ISNUMBER(SEARCH("Material 0 terverifikasi",'Offshore - Adelaide'!N483))),OR('Offshore - Adelaide'!G483&lt;&gt;0,ISNUMBER(SEARCH("Enrolment 0 terverifikasi",'Offshore - Adelaide'!N483)))),1,0)</f>
        <v>1</v>
      </c>
      <c r="M1208" s="0" t="n">
        <f aca="false">IF(OR('Offshore - Adelaide'!E483="",ISNUMBER(SEARCH("BSB80120",'Offshore - Adelaide'!B483&amp;'Offshore - Adelaide'!N483)),ISNUMBER(SEARCH("Management (Learning)",'Offshore - Adelaide'!B483))),2,IF(ISNUMBER(SEARCH("CEK:",'Offshore - Adelaide'!N483)),1,0))</f>
        <v>0</v>
      </c>
    </row>
    <row r="1209" customFormat="false" ht="15" hidden="false" customHeight="false" outlineLevel="0" collapsed="false">
      <c r="A1209" s="63" t="s">
        <v>3659</v>
      </c>
      <c r="B1209" s="64" t="s">
        <v>4297</v>
      </c>
      <c r="C1209" s="63" t="s">
        <v>42</v>
      </c>
      <c r="D1209" s="64" t="str">
        <f aca="false">TRIM(LEFT('Offshore - Adelaide'!A459,FIND(CHAR(10),'Offshore - Adelaide'!A459&amp;CHAR(10))-1))</f>
        <v>Le Cordon Bleu Australia</v>
      </c>
      <c r="E1209" s="63" t="str">
        <f aca="false">'Offshore - Adelaide'!C461&amp;""</f>
        <v>0,5 year</v>
      </c>
      <c r="F1209" s="63" t="str">
        <f aca="false">IF('Offshore - Adelaide'!D461="","Belum tercatat",'Offshore - Adelaide'!D461)</f>
        <v>Term</v>
      </c>
      <c r="G1209" s="65" t="n">
        <f aca="false">IF('Offshore - Adelaide'!E461="","-",'Offshore - Adelaide'!E461)</f>
        <v>7298.5</v>
      </c>
      <c r="H1209" s="63" t="n">
        <f aca="false">IF(ISNUMBER(K1209),COUNTIFS($J$6:$J$1854,J1209,$K$6:$K$1854,"&lt;"&amp;K1209)+1,"-")</f>
        <v>5</v>
      </c>
      <c r="I1209" s="64" t="str">
        <f aca="false">IF('Offshore - Adelaide'!E461="","Harga belum tersedia - hubungi konsultan TEG",IF(M1209=2,"Saat ini tidak menerima pendaftaran siswa internasional baru",IF(M1209=1,"Harga perlu dikonfirmasi ke sekolah"&amp;IF(""="","","; "&amp;""),"")))</f>
        <v/>
      </c>
      <c r="J1209" s="0" t="s">
        <v>4304</v>
      </c>
      <c r="K1209" s="0" t="n">
        <f aca="false">IF(M1209=2,"",IF(ISNUMBER(SEARCH("rata-rata:",'Offshore - Adelaide'!N461)),VALUE(MID('Offshore - Adelaide'!N461,SEARCH("rata-rata:",'Offshore - Adelaide'!N461)+11,FIND(";",'Offshore - Adelaide'!N461&amp;";",SEARCH("rata-rata:",'Offshore - Adelaide'!N461))-SEARCH("rata-rata:",'Offshore - Adelaide'!N461)-11)),IF('Offshore - Adelaide'!D461="Semester",'Offshore - Adelaide'!E461*2,IF('Offshore - Adelaide'!D461="Trimester",'Offshore - Adelaide'!E461*3,IF('Offshore - Adelaide'!D461="Term",'Offshore - Adelaide'!E461*4,IF('Offshore - Adelaide'!D461="Unit",'Offshore - Adelaide'!E461*8,""))))))</f>
        <v>29194</v>
      </c>
      <c r="L1209" s="0" t="n">
        <f aca="false">IF(AND(ISNUMBER('Offshore - Adelaide'!E461),ISNUMBER(K1209),ISNUMBER('Offshore - Adelaide'!F461),ISNUMBER('Offshore - Adelaide'!G461),OR('Offshore - Adelaide'!F461&lt;&gt;0,ISNUMBER(SEARCH("Material 0 terverifikasi",'Offshore - Adelaide'!N461))),OR('Offshore - Adelaide'!G461&lt;&gt;0,ISNUMBER(SEARCH("Enrolment 0 terverifikasi",'Offshore - Adelaide'!N461)))),1,0)</f>
        <v>0</v>
      </c>
      <c r="M1209" s="0" t="n">
        <f aca="false">IF(OR('Offshore - Adelaide'!E461="",ISNUMBER(SEARCH("BSB80120",'Offshore - Adelaide'!B461&amp;'Offshore - Adelaide'!N461)),ISNUMBER(SEARCH("Management (Learning)",'Offshore - Adelaide'!B461))),2,IF(ISNUMBER(SEARCH("CEK:",'Offshore - Adelaide'!N461)),1,0))</f>
        <v>0</v>
      </c>
    </row>
    <row r="1210" customFormat="false" ht="15" hidden="false" customHeight="false" outlineLevel="0" collapsed="false">
      <c r="A1210" s="61" t="s">
        <v>4305</v>
      </c>
      <c r="B1210" s="62"/>
      <c r="C1210" s="62"/>
      <c r="D1210" s="62"/>
      <c r="E1210" s="62"/>
      <c r="F1210" s="62"/>
      <c r="G1210" s="62"/>
      <c r="H1210" s="62"/>
      <c r="I1210" s="62"/>
    </row>
    <row r="1211" customFormat="false" ht="15" hidden="false" customHeight="false" outlineLevel="0" collapsed="false">
      <c r="A1211" s="63" t="s">
        <v>3659</v>
      </c>
      <c r="B1211" s="64" t="s">
        <v>4297</v>
      </c>
      <c r="C1211" s="63" t="s">
        <v>43</v>
      </c>
      <c r="D1211" s="64" t="str">
        <f aca="false">TRIM(LEFT('Offshore - Adelaide'!A459,FIND(CHAR(10),'Offshore - Adelaide'!A459&amp;CHAR(10))-1))</f>
        <v>Le Cordon Bleu Australia</v>
      </c>
      <c r="E1211" s="63" t="str">
        <f aca="false">'Offshore - Adelaide'!C467&amp;""</f>
        <v>3 years</v>
      </c>
      <c r="F1211" s="63" t="str">
        <f aca="false">IF('Offshore - Adelaide'!D467="","Belum tercatat",'Offshore - Adelaide'!D467)</f>
        <v>Term</v>
      </c>
      <c r="G1211" s="65" t="n">
        <f aca="false">IF('Offshore - Adelaide'!E467="","-",'Offshore - Adelaide'!E467)</f>
        <v>5688.58</v>
      </c>
      <c r="H1211" s="63" t="n">
        <f aca="false">IF(ISNUMBER(K1211),COUNTIFS($J$6:$J$1854,J1211,$K$6:$K$1854,"&lt;"&amp;K1211)+1,"-")</f>
        <v>1</v>
      </c>
      <c r="I1211" s="64" t="str">
        <f aca="false">IF('Offshore - Adelaide'!E467="","Harga belum tersedia - hubungi konsultan TEG",IF(M1211=2,"Saat ini tidak menerima pendaftaran siswa internasional baru",IF(M1211=1,"Harga perlu dikonfirmasi ke sekolah"&amp;IF(""="","","; "&amp;""),"")))</f>
        <v/>
      </c>
      <c r="J1211" s="0" t="s">
        <v>4306</v>
      </c>
      <c r="K1211" s="0" t="n">
        <f aca="false">IF(M1211=2,"",IF(ISNUMBER(SEARCH("rata-rata:",'Offshore - Adelaide'!N467)),VALUE(MID('Offshore - Adelaide'!N467,SEARCH("rata-rata:",'Offshore - Adelaide'!N467)+11,FIND(";",'Offshore - Adelaide'!N467&amp;";",SEARCH("rata-rata:",'Offshore - Adelaide'!N467))-SEARCH("rata-rata:",'Offshore - Adelaide'!N467)-11)),IF('Offshore - Adelaide'!D467="Semester",'Offshore - Adelaide'!E467*2,IF('Offshore - Adelaide'!D467="Trimester",'Offshore - Adelaide'!E467*3,IF('Offshore - Adelaide'!D467="Term",'Offshore - Adelaide'!E467*4,IF('Offshore - Adelaide'!D467="Unit",'Offshore - Adelaide'!E467*8,""))))))</f>
        <v>22754.32</v>
      </c>
      <c r="L1211" s="0" t="n">
        <f aca="false">IF(AND(ISNUMBER('Offshore - Adelaide'!E467),ISNUMBER(K1211),ISNUMBER('Offshore - Adelaide'!F467),ISNUMBER('Offshore - Adelaide'!G467),OR('Offshore - Adelaide'!F467&lt;&gt;0,ISNUMBER(SEARCH("Material 0 terverifikasi",'Offshore - Adelaide'!N467))),OR('Offshore - Adelaide'!G467&lt;&gt;0,ISNUMBER(SEARCH("Enrolment 0 terverifikasi",'Offshore - Adelaide'!N467)))),1,0)</f>
        <v>0</v>
      </c>
      <c r="M1211" s="0" t="n">
        <f aca="false">IF(OR('Offshore - Adelaide'!E467="",ISNUMBER(SEARCH("BSB80120",'Offshore - Adelaide'!B467&amp;'Offshore - Adelaide'!N467)),ISNUMBER(SEARCH("Management (Learning)",'Offshore - Adelaide'!B467))),2,IF(ISNUMBER(SEARCH("CEK:",'Offshore - Adelaide'!N467)),1,0))</f>
        <v>0</v>
      </c>
    </row>
    <row r="1212" customFormat="false" ht="15" hidden="false" customHeight="false" outlineLevel="0" collapsed="false">
      <c r="A1212" s="63" t="s">
        <v>3659</v>
      </c>
      <c r="B1212" s="64" t="s">
        <v>4297</v>
      </c>
      <c r="C1212" s="63" t="s">
        <v>43</v>
      </c>
      <c r="D1212" s="64" t="str">
        <f aca="false">TRIM(LEFT('Offshore - Adelaide'!A13,FIND(CHAR(10),'Offshore - Adelaide'!A13&amp;CHAR(10))-1))</f>
        <v>Adelaide University</v>
      </c>
      <c r="E1212" s="63" t="str">
        <f aca="false">'Offshore - Adelaide'!C267&amp;""</f>
        <v>3 years</v>
      </c>
      <c r="F1212" s="63" t="str">
        <f aca="false">IF('Offshore - Adelaide'!D267="","Belum tercatat",'Offshore - Adelaide'!D267)</f>
        <v>Term</v>
      </c>
      <c r="G1212" s="65" t="n">
        <f aca="false">IF('Offshore - Adelaide'!E267="","-",'Offshore - Adelaide'!E267)</f>
        <v>12625</v>
      </c>
      <c r="H1212" s="63" t="n">
        <f aca="false">IF(ISNUMBER(K1212),COUNTIFS($J$6:$J$1854,J1212,$K$6:$K$1854,"&lt;"&amp;K1212)+1,"-")</f>
        <v>2</v>
      </c>
      <c r="I1212" s="64" t="str">
        <f aca="false">IF('Offshore - Adelaide'!E267="","Harga belum tersedia - hubungi konsultan TEG",IF(M1212=2,"Saat ini tidak menerima pendaftaran siswa internasional baru",IF(M1212=1,"Harga perlu dikonfirmasi ke sekolah"&amp;IF(""="","","; "&amp;""),"")))</f>
        <v/>
      </c>
      <c r="J1212" s="0" t="s">
        <v>4306</v>
      </c>
      <c r="K1212" s="0" t="n">
        <f aca="false">IF(M1212=2,"",IF(ISNUMBER(SEARCH("rata-rata:",'Offshore - Adelaide'!N267)),VALUE(MID('Offshore - Adelaide'!N267,SEARCH("rata-rata:",'Offshore - Adelaide'!N267)+11,FIND(";",'Offshore - Adelaide'!N267&amp;";",SEARCH("rata-rata:",'Offshore - Adelaide'!N267))-SEARCH("rata-rata:",'Offshore - Adelaide'!N267)-11)),IF('Offshore - Adelaide'!D267="Semester",'Offshore - Adelaide'!E267*2,IF('Offshore - Adelaide'!D267="Trimester",'Offshore - Adelaide'!E267*3,IF('Offshore - Adelaide'!D267="Term",'Offshore - Adelaide'!E267*4,IF('Offshore - Adelaide'!D267="Unit",'Offshore - Adelaide'!E267*8,""))))))</f>
        <v>50500</v>
      </c>
      <c r="L1212" s="0" t="n">
        <f aca="false">IF(AND(ISNUMBER('Offshore - Adelaide'!E267),ISNUMBER(K1212),ISNUMBER('Offshore - Adelaide'!F267),ISNUMBER('Offshore - Adelaide'!G267),OR('Offshore - Adelaide'!F267&lt;&gt;0,ISNUMBER(SEARCH("Material 0 terverifikasi",'Offshore - Adelaide'!N267))),OR('Offshore - Adelaide'!G267&lt;&gt;0,ISNUMBER(SEARCH("Enrolment 0 terverifikasi",'Offshore - Adelaide'!N267)))),1,0)</f>
        <v>0</v>
      </c>
      <c r="M1212" s="0" t="n">
        <f aca="false">IF(OR('Offshore - Adelaide'!E267="",ISNUMBER(SEARCH("BSB80120",'Offshore - Adelaide'!B267&amp;'Offshore - Adelaide'!N267)),ISNUMBER(SEARCH("Management (Learning)",'Offshore - Adelaide'!B267))),2,IF(ISNUMBER(SEARCH("CEK:",'Offshore - Adelaide'!N267)),1,0))</f>
        <v>0</v>
      </c>
    </row>
    <row r="1213" customFormat="false" ht="15" hidden="false" customHeight="false" outlineLevel="0" collapsed="false">
      <c r="A1213" s="63" t="s">
        <v>3659</v>
      </c>
      <c r="B1213" s="64" t="s">
        <v>4297</v>
      </c>
      <c r="C1213" s="63" t="s">
        <v>43</v>
      </c>
      <c r="D1213" s="64" t="str">
        <f aca="false">TRIM(LEFT('Offshore - Adelaide'!A484,FIND(CHAR(10),'Offshore - Adelaide'!A484&amp;CHAR(10))-1))</f>
        <v>TAFE SA</v>
      </c>
      <c r="E1213" s="63" t="str">
        <f aca="false">'Offshore - Adelaide'!C521&amp;""</f>
        <v>3 years</v>
      </c>
      <c r="F1213" s="63" t="str">
        <f aca="false">IF('Offshore - Adelaide'!D521="","Belum tercatat",'Offshore - Adelaide'!D521)</f>
        <v>Term</v>
      </c>
      <c r="G1213" s="65" t="n">
        <f aca="false">IF('Offshore - Adelaide'!E521="","-",'Offshore - Adelaide'!E521)</f>
        <v>13614</v>
      </c>
      <c r="H1213" s="63" t="n">
        <f aca="false">IF(ISNUMBER(K1213),COUNTIFS($J$6:$J$1854,J1213,$K$6:$K$1854,"&lt;"&amp;K1213)+1,"-")</f>
        <v>3</v>
      </c>
      <c r="I1213" s="64" t="str">
        <f aca="false">IF('Offshore - Adelaide'!E521="","Harga belum tersedia - hubungi konsultan TEG",IF(M1213=2,"Saat ini tidak menerima pendaftaran siswa internasional baru",IF(M1213=1,"Harga perlu dikonfirmasi ke sekolah"&amp;IF(""="","","; "&amp;""),"")))</f>
        <v>Harga perlu dikonfirmasi ke sekolah</v>
      </c>
      <c r="J1213" s="0" t="s">
        <v>4306</v>
      </c>
      <c r="K1213" s="0" t="n">
        <f aca="false">IF(M1213=2,"",IF(ISNUMBER(SEARCH("rata-rata:",'Offshore - Adelaide'!N521)),VALUE(MID('Offshore - Adelaide'!N521,SEARCH("rata-rata:",'Offshore - Adelaide'!N521)+11,FIND(";",'Offshore - Adelaide'!N521&amp;";",SEARCH("rata-rata:",'Offshore - Adelaide'!N521))-SEARCH("rata-rata:",'Offshore - Adelaide'!N521)-11)),IF('Offshore - Adelaide'!D521="Semester",'Offshore - Adelaide'!E521*2,IF('Offshore - Adelaide'!D521="Trimester",'Offshore - Adelaide'!E521*3,IF('Offshore - Adelaide'!D521="Term",'Offshore - Adelaide'!E521*4,IF('Offshore - Adelaide'!D521="Unit",'Offshore - Adelaide'!E521*8,""))))))</f>
        <v>54456</v>
      </c>
      <c r="L1213" s="0" t="n">
        <f aca="false">IF(AND(ISNUMBER('Offshore - Adelaide'!E521),ISNUMBER(K1213),ISNUMBER('Offshore - Adelaide'!F521),ISNUMBER('Offshore - Adelaide'!G521),OR('Offshore - Adelaide'!F521&lt;&gt;0,ISNUMBER(SEARCH("Material 0 terverifikasi",'Offshore - Adelaide'!N521))),OR('Offshore - Adelaide'!G521&lt;&gt;0,ISNUMBER(SEARCH("Enrolment 0 terverifikasi",'Offshore - Adelaide'!N521)))),1,0)</f>
        <v>0</v>
      </c>
      <c r="M1213" s="0" t="n">
        <f aca="false">IF(OR('Offshore - Adelaide'!E521="",ISNUMBER(SEARCH("BSB80120",'Offshore - Adelaide'!B521&amp;'Offshore - Adelaide'!N521)),ISNUMBER(SEARCH("Management (Learning)",'Offshore - Adelaide'!B521))),2,IF(ISNUMBER(SEARCH("CEK:",'Offshore - Adelaide'!N521)),1,0))</f>
        <v>1</v>
      </c>
    </row>
    <row r="1214" customFormat="false" ht="15" hidden="false" customHeight="false" outlineLevel="0" collapsed="false">
      <c r="A1214" s="61" t="s">
        <v>4307</v>
      </c>
      <c r="B1214" s="62"/>
      <c r="C1214" s="62"/>
      <c r="D1214" s="62"/>
      <c r="E1214" s="62"/>
      <c r="F1214" s="62"/>
      <c r="G1214" s="62"/>
      <c r="H1214" s="62"/>
      <c r="I1214" s="62"/>
    </row>
    <row r="1215" customFormat="false" ht="15" hidden="false" customHeight="false" outlineLevel="0" collapsed="false">
      <c r="A1215" s="63" t="s">
        <v>3659</v>
      </c>
      <c r="B1215" s="64" t="s">
        <v>4297</v>
      </c>
      <c r="C1215" s="63" t="s">
        <v>3707</v>
      </c>
      <c r="D1215" s="64" t="str">
        <f aca="false">TRIM(LEFT('Offshore - Adelaide'!A545,FIND(CHAR(10),'Offshore - Adelaide'!A545&amp;CHAR(10))-1))</f>
        <v>Torrens University Australia</v>
      </c>
      <c r="E1215" s="63" t="str">
        <f aca="false">'Offshore - Adelaide'!C602&amp;""</f>
        <v>0,5 year</v>
      </c>
      <c r="F1215" s="63" t="str">
        <f aca="false">IF('Offshore - Adelaide'!D602="","Belum tercatat",'Offshore - Adelaide'!D602)</f>
        <v>Term</v>
      </c>
      <c r="G1215" s="65" t="n">
        <f aca="false">IF('Offshore - Adelaide'!E602="","-",'Offshore - Adelaide'!E602)</f>
        <v>5248</v>
      </c>
      <c r="H1215" s="63" t="n">
        <f aca="false">IF(ISNUMBER(K1215),COUNTIFS($J$6:$J$1854,J1215,$K$6:$K$1854,"&lt;"&amp;K1215)+1,"-")</f>
        <v>1</v>
      </c>
      <c r="I1215" s="64" t="str">
        <f aca="false">IF('Offshore - Adelaide'!E602="","Harga belum tersedia - hubungi konsultan TEG",IF(M1215=2,"Saat ini tidak menerima pendaftaran siswa internasional baru",IF(M1215=1,"Harga perlu dikonfirmasi ke sekolah"&amp;IF(""="","","; "&amp;""),"")))</f>
        <v>Harga perlu dikonfirmasi ke sekolah</v>
      </c>
      <c r="J1215" s="0" t="s">
        <v>4308</v>
      </c>
      <c r="K1215" s="0" t="n">
        <f aca="false">IF(M1215=2,"",IF(ISNUMBER(SEARCH("rata-rata:",'Offshore - Adelaide'!N602)),VALUE(MID('Offshore - Adelaide'!N602,SEARCH("rata-rata:",'Offshore - Adelaide'!N602)+11,FIND(";",'Offshore - Adelaide'!N602&amp;";",SEARCH("rata-rata:",'Offshore - Adelaide'!N602))-SEARCH("rata-rata:",'Offshore - Adelaide'!N602)-11)),IF('Offshore - Adelaide'!D602="Semester",'Offshore - Adelaide'!E602*2,IF('Offshore - Adelaide'!D602="Trimester",'Offshore - Adelaide'!E602*3,IF('Offshore - Adelaide'!D602="Term",'Offshore - Adelaide'!E602*4,IF('Offshore - Adelaide'!D602="Unit",'Offshore - Adelaide'!E602*8,""))))))</f>
        <v>20992</v>
      </c>
      <c r="L1215" s="0" t="n">
        <f aca="false">IF(AND(ISNUMBER('Offshore - Adelaide'!E602),ISNUMBER(K1215),ISNUMBER('Offshore - Adelaide'!F602),ISNUMBER('Offshore - Adelaide'!G602),OR('Offshore - Adelaide'!F602&lt;&gt;0,ISNUMBER(SEARCH("Material 0 terverifikasi",'Offshore - Adelaide'!N602))),OR('Offshore - Adelaide'!G602&lt;&gt;0,ISNUMBER(SEARCH("Enrolment 0 terverifikasi",'Offshore - Adelaide'!N602)))),1,0)</f>
        <v>0</v>
      </c>
      <c r="M1215" s="0" t="n">
        <f aca="false">IF(OR('Offshore - Adelaide'!E602="",ISNUMBER(SEARCH("BSB80120",'Offshore - Adelaide'!B602&amp;'Offshore - Adelaide'!N602)),ISNUMBER(SEARCH("Management (Learning)",'Offshore - Adelaide'!B602))),2,IF(ISNUMBER(SEARCH("CEK:",'Offshore - Adelaide'!N602)),1,0))</f>
        <v>1</v>
      </c>
    </row>
    <row r="1216" customFormat="false" ht="15" hidden="false" customHeight="false" outlineLevel="0" collapsed="false">
      <c r="A1216" s="61" t="s">
        <v>4309</v>
      </c>
      <c r="B1216" s="62"/>
      <c r="C1216" s="62"/>
      <c r="D1216" s="62"/>
      <c r="E1216" s="62"/>
      <c r="F1216" s="62"/>
      <c r="G1216" s="62"/>
      <c r="H1216" s="62"/>
      <c r="I1216" s="62"/>
    </row>
    <row r="1217" customFormat="false" ht="15" hidden="false" customHeight="false" outlineLevel="0" collapsed="false">
      <c r="A1217" s="63" t="s">
        <v>3659</v>
      </c>
      <c r="B1217" s="64" t="s">
        <v>4297</v>
      </c>
      <c r="C1217" s="63" t="s">
        <v>46</v>
      </c>
      <c r="D1217" s="64" t="str">
        <f aca="false">TRIM(LEFT('Offshore - Adelaide'!A459,FIND(CHAR(10),'Offshore - Adelaide'!A459&amp;CHAR(10))-1))</f>
        <v>Le Cordon Bleu Australia</v>
      </c>
      <c r="E1217" s="63" t="str">
        <f aca="false">'Offshore - Adelaide'!C469&amp;""</f>
        <v>2 years</v>
      </c>
      <c r="F1217" s="63" t="str">
        <f aca="false">IF('Offshore - Adelaide'!D469="","Belum tercatat",'Offshore - Adelaide'!D469)</f>
        <v>Term</v>
      </c>
      <c r="G1217" s="65" t="n">
        <f aca="false">IF('Offshore - Adelaide'!E469="","-",'Offshore - Adelaide'!E469)</f>
        <v>6818.75</v>
      </c>
      <c r="H1217" s="63" t="n">
        <f aca="false">IF(ISNUMBER(K1217),COUNTIFS($J$6:$J$1854,J1217,$K$6:$K$1854,"&lt;"&amp;K1217)+1,"-")</f>
        <v>1</v>
      </c>
      <c r="I1217" s="64" t="str">
        <f aca="false">IF('Offshore - Adelaide'!E469="","Harga belum tersedia - hubungi konsultan TEG",IF(M1217=2,"Saat ini tidak menerima pendaftaran siswa internasional baru",IF(M1217=1,"Harga perlu dikonfirmasi ke sekolah"&amp;IF(""="","","; "&amp;""),"")))</f>
        <v/>
      </c>
      <c r="J1217" s="0" t="s">
        <v>4310</v>
      </c>
      <c r="K1217" s="0" t="n">
        <f aca="false">IF(M1217=2,"",IF(ISNUMBER(SEARCH("rata-rata:",'Offshore - Adelaide'!N469)),VALUE(MID('Offshore - Adelaide'!N469,SEARCH("rata-rata:",'Offshore - Adelaide'!N469)+11,FIND(";",'Offshore - Adelaide'!N469&amp;";",SEARCH("rata-rata:",'Offshore - Adelaide'!N469))-SEARCH("rata-rata:",'Offshore - Adelaide'!N469)-11)),IF('Offshore - Adelaide'!D469="Semester",'Offshore - Adelaide'!E469*2,IF('Offshore - Adelaide'!D469="Trimester",'Offshore - Adelaide'!E469*3,IF('Offshore - Adelaide'!D469="Term",'Offshore - Adelaide'!E469*4,IF('Offshore - Adelaide'!D469="Unit",'Offshore - Adelaide'!E469*8,""))))))</f>
        <v>27275</v>
      </c>
      <c r="L1217" s="0" t="n">
        <f aca="false">IF(AND(ISNUMBER('Offshore - Adelaide'!E469),ISNUMBER(K1217),ISNUMBER('Offshore - Adelaide'!F469),ISNUMBER('Offshore - Adelaide'!G469),OR('Offshore - Adelaide'!F469&lt;&gt;0,ISNUMBER(SEARCH("Material 0 terverifikasi",'Offshore - Adelaide'!N469))),OR('Offshore - Adelaide'!G469&lt;&gt;0,ISNUMBER(SEARCH("Enrolment 0 terverifikasi",'Offshore - Adelaide'!N469)))),1,0)</f>
        <v>0</v>
      </c>
      <c r="M1217" s="0" t="n">
        <f aca="false">IF(OR('Offshore - Adelaide'!E469="",ISNUMBER(SEARCH("BSB80120",'Offshore - Adelaide'!B469&amp;'Offshore - Adelaide'!N469)),ISNUMBER(SEARCH("Management (Learning)",'Offshore - Adelaide'!B469))),2,IF(ISNUMBER(SEARCH("CEK:",'Offshore - Adelaide'!N469)),1,0))</f>
        <v>0</v>
      </c>
    </row>
    <row r="1218" customFormat="false" ht="15" hidden="false" customHeight="false" outlineLevel="0" collapsed="false">
      <c r="A1218" s="63" t="s">
        <v>3659</v>
      </c>
      <c r="B1218" s="64" t="s">
        <v>4297</v>
      </c>
      <c r="C1218" s="63" t="s">
        <v>46</v>
      </c>
      <c r="D1218" s="64" t="str">
        <f aca="false">TRIM(LEFT('Offshore - Adelaide'!A545,FIND(CHAR(10),'Offshore - Adelaide'!A545&amp;CHAR(10))-1))</f>
        <v>Torrens University Australia</v>
      </c>
      <c r="E1218" s="63" t="str">
        <f aca="false">'Offshore - Adelaide'!C603&amp;""</f>
        <v>2 years</v>
      </c>
      <c r="F1218" s="63" t="str">
        <f aca="false">IF('Offshore - Adelaide'!D603="","Belum tercatat",'Offshore - Adelaide'!D603)</f>
        <v>Term</v>
      </c>
      <c r="G1218" s="65" t="n">
        <f aca="false">IF('Offshore - Adelaide'!E603="","-",'Offshore - Adelaide'!E603)</f>
        <v>10495</v>
      </c>
      <c r="H1218" s="63" t="n">
        <f aca="false">IF(ISNUMBER(K1218),COUNTIFS($J$6:$J$1854,J1218,$K$6:$K$1854,"&lt;"&amp;K1218)+1,"-")</f>
        <v>2</v>
      </c>
      <c r="I1218" s="64" t="str">
        <f aca="false">IF('Offshore - Adelaide'!E603="","Harga belum tersedia - hubungi konsultan TEG",IF(M1218=2,"Saat ini tidak menerima pendaftaran siswa internasional baru",IF(M1218=1,"Harga perlu dikonfirmasi ke sekolah"&amp;IF(""="","","; "&amp;""),"")))</f>
        <v>Harga perlu dikonfirmasi ke sekolah</v>
      </c>
      <c r="J1218" s="0" t="s">
        <v>4310</v>
      </c>
      <c r="K1218" s="0" t="n">
        <f aca="false">IF(M1218=2,"",IF(ISNUMBER(SEARCH("rata-rata:",'Offshore - Adelaide'!N603)),VALUE(MID('Offshore - Adelaide'!N603,SEARCH("rata-rata:",'Offshore - Adelaide'!N603)+11,FIND(";",'Offshore - Adelaide'!N603&amp;";",SEARCH("rata-rata:",'Offshore - Adelaide'!N603))-SEARCH("rata-rata:",'Offshore - Adelaide'!N603)-11)),IF('Offshore - Adelaide'!D603="Semester",'Offshore - Adelaide'!E603*2,IF('Offshore - Adelaide'!D603="Trimester",'Offshore - Adelaide'!E603*3,IF('Offshore - Adelaide'!D603="Term",'Offshore - Adelaide'!E603*4,IF('Offshore - Adelaide'!D603="Unit",'Offshore - Adelaide'!E603*8,""))))))</f>
        <v>41980</v>
      </c>
      <c r="L1218" s="0" t="n">
        <f aca="false">IF(AND(ISNUMBER('Offshore - Adelaide'!E603),ISNUMBER(K1218),ISNUMBER('Offshore - Adelaide'!F603),ISNUMBER('Offshore - Adelaide'!G603),OR('Offshore - Adelaide'!F603&lt;&gt;0,ISNUMBER(SEARCH("Material 0 terverifikasi",'Offshore - Adelaide'!N603))),OR('Offshore - Adelaide'!G603&lt;&gt;0,ISNUMBER(SEARCH("Enrolment 0 terverifikasi",'Offshore - Adelaide'!N603)))),1,0)</f>
        <v>0</v>
      </c>
      <c r="M1218" s="0" t="n">
        <f aca="false">IF(OR('Offshore - Adelaide'!E603="",ISNUMBER(SEARCH("BSB80120",'Offshore - Adelaide'!B603&amp;'Offshore - Adelaide'!N603)),ISNUMBER(SEARCH("Management (Learning)",'Offshore - Adelaide'!B603))),2,IF(ISNUMBER(SEARCH("CEK:",'Offshore - Adelaide'!N603)),1,0))</f>
        <v>1</v>
      </c>
    </row>
    <row r="1219" customFormat="false" ht="15" hidden="false" customHeight="false" outlineLevel="0" collapsed="false">
      <c r="A1219" s="63" t="s">
        <v>3659</v>
      </c>
      <c r="B1219" s="64" t="s">
        <v>4297</v>
      </c>
      <c r="C1219" s="63" t="s">
        <v>46</v>
      </c>
      <c r="D1219" s="64" t="str">
        <f aca="false">TRIM(LEFT('Offshore - Adelaide'!A13,FIND(CHAR(10),'Offshore - Adelaide'!A13&amp;CHAR(10))-1))</f>
        <v>Adelaide University</v>
      </c>
      <c r="E1219" s="63" t="str">
        <f aca="false">'Offshore - Adelaide'!C373&amp;""</f>
        <v>2 years</v>
      </c>
      <c r="F1219" s="63" t="str">
        <f aca="false">IF('Offshore - Adelaide'!D373="","Belum tercatat",'Offshore - Adelaide'!D373)</f>
        <v>Term</v>
      </c>
      <c r="G1219" s="65" t="n">
        <f aca="false">IF('Offshore - Adelaide'!E373="","-",'Offshore - Adelaide'!E373)</f>
        <v>13125</v>
      </c>
      <c r="H1219" s="63" t="n">
        <f aca="false">IF(ISNUMBER(K1219),COUNTIFS($J$6:$J$1854,J1219,$K$6:$K$1854,"&lt;"&amp;K1219)+1,"-")</f>
        <v>3</v>
      </c>
      <c r="I1219" s="64" t="str">
        <f aca="false">IF('Offshore - Adelaide'!E373="","Harga belum tersedia - hubungi konsultan TEG",IF(M1219=2,"Saat ini tidak menerima pendaftaran siswa internasional baru",IF(M1219=1,"Harga perlu dikonfirmasi ke sekolah"&amp;IF(""="","","; "&amp;""),"")))</f>
        <v/>
      </c>
      <c r="J1219" s="0" t="s">
        <v>4310</v>
      </c>
      <c r="K1219" s="0" t="n">
        <f aca="false">IF(M1219=2,"",IF(ISNUMBER(SEARCH("rata-rata:",'Offshore - Adelaide'!N373)),VALUE(MID('Offshore - Adelaide'!N373,SEARCH("rata-rata:",'Offshore - Adelaide'!N373)+11,FIND(";",'Offshore - Adelaide'!N373&amp;";",SEARCH("rata-rata:",'Offshore - Adelaide'!N373))-SEARCH("rata-rata:",'Offshore - Adelaide'!N373)-11)),IF('Offshore - Adelaide'!D373="Semester",'Offshore - Adelaide'!E373*2,IF('Offshore - Adelaide'!D373="Trimester",'Offshore - Adelaide'!E373*3,IF('Offshore - Adelaide'!D373="Term",'Offshore - Adelaide'!E373*4,IF('Offshore - Adelaide'!D373="Unit",'Offshore - Adelaide'!E373*8,""))))))</f>
        <v>52500</v>
      </c>
      <c r="L1219" s="0" t="n">
        <f aca="false">IF(AND(ISNUMBER('Offshore - Adelaide'!E373),ISNUMBER(K1219),ISNUMBER('Offshore - Adelaide'!F373),ISNUMBER('Offshore - Adelaide'!G373),OR('Offshore - Adelaide'!F373&lt;&gt;0,ISNUMBER(SEARCH("Material 0 terverifikasi",'Offshore - Adelaide'!N373))),OR('Offshore - Adelaide'!G373&lt;&gt;0,ISNUMBER(SEARCH("Enrolment 0 terverifikasi",'Offshore - Adelaide'!N373)))),1,0)</f>
        <v>0</v>
      </c>
      <c r="M1219" s="0" t="n">
        <f aca="false">IF(OR('Offshore - Adelaide'!E373="",ISNUMBER(SEARCH("BSB80120",'Offshore - Adelaide'!B373&amp;'Offshore - Adelaide'!N373)),ISNUMBER(SEARCH("Management (Learning)",'Offshore - Adelaide'!B373))),2,IF(ISNUMBER(SEARCH("CEK:",'Offshore - Adelaide'!N373)),1,0))</f>
        <v>0</v>
      </c>
    </row>
    <row r="1220" customFormat="false" ht="15" hidden="false" customHeight="false" outlineLevel="0" collapsed="false">
      <c r="A1220" s="61" t="s">
        <v>4311</v>
      </c>
      <c r="B1220" s="62"/>
      <c r="C1220" s="62"/>
      <c r="D1220" s="62"/>
      <c r="E1220" s="62"/>
      <c r="F1220" s="62"/>
      <c r="G1220" s="62"/>
      <c r="H1220" s="62"/>
      <c r="I1220" s="62"/>
    </row>
    <row r="1221" customFormat="false" ht="15" hidden="false" customHeight="false" outlineLevel="0" collapsed="false">
      <c r="A1221" s="63" t="s">
        <v>3563</v>
      </c>
      <c r="B1221" s="64" t="s">
        <v>4297</v>
      </c>
      <c r="C1221" s="63" t="s">
        <v>39</v>
      </c>
      <c r="D1221" s="64" t="str">
        <f aca="false">TRIM(LEFT('Offshore - Brisbane'!A265,FIND(CHAR(10),'Offshore - Brisbane'!A265&amp;CHAR(10))-1))</f>
        <v>Le Cordon Bleu Australia</v>
      </c>
      <c r="E1221" s="63" t="str">
        <f aca="false">'Offshore - Brisbane'!C265&amp;""</f>
        <v>1,5 years</v>
      </c>
      <c r="F1221" s="63" t="str">
        <f aca="false">IF('Offshore - Brisbane'!D265="","Belum tercatat",'Offshore - Brisbane'!D265)</f>
        <v>Term</v>
      </c>
      <c r="G1221" s="65" t="n">
        <f aca="false">IF('Offshore - Brisbane'!E265="","-",'Offshore - Brisbane'!E265)</f>
        <v>6997.5</v>
      </c>
      <c r="H1221" s="63" t="n">
        <f aca="false">IF(ISNUMBER(K1221),COUNTIFS($J$6:$J$1854,J1221,$K$6:$K$1854,"&lt;"&amp;K1221)+1,"-")</f>
        <v>1</v>
      </c>
      <c r="I1221" s="64" t="str">
        <f aca="false">IF('Offshore - Brisbane'!E265="","Harga belum tersedia - hubungi konsultan TEG",IF(M1221=2,"Saat ini tidak menerima pendaftaran siswa internasional baru",IF(M1221=1,"Program perlu dikonfirmasi ketersediaannya"&amp;IF(""="","","; "&amp;""),"")))</f>
        <v>Program perlu dikonfirmasi ketersediaannya</v>
      </c>
      <c r="J1221" s="0" t="s">
        <v>4312</v>
      </c>
      <c r="K1221" s="0" t="n">
        <f aca="false">IF(M1221=2,"",IF(ISNUMBER(SEARCH("rata-rata:",'Offshore - Brisbane'!N265)),VALUE(MID('Offshore - Brisbane'!N265,SEARCH("rata-rata:",'Offshore - Brisbane'!N265)+11,FIND(";",'Offshore - Brisbane'!N265&amp;";",SEARCH("rata-rata:",'Offshore - Brisbane'!N265))-SEARCH("rata-rata:",'Offshore - Brisbane'!N265)-11)),IF('Offshore - Brisbane'!D265="Semester",'Offshore - Brisbane'!E265*2,IF('Offshore - Brisbane'!D265="Trimester",'Offshore - Brisbane'!E265*3,IF('Offshore - Brisbane'!D265="Term",'Offshore - Brisbane'!E265*4,IF('Offshore - Brisbane'!D265="Unit",'Offshore - Brisbane'!E265*8,""))))))</f>
        <v>27990</v>
      </c>
      <c r="L1221" s="0" t="n">
        <f aca="false">IF(AND(ISNUMBER('Offshore - Brisbane'!E265),ISNUMBER(K1221),ISNUMBER('Offshore - Brisbane'!F265),ISNUMBER('Offshore - Brisbane'!G265),OR('Offshore - Brisbane'!F265&lt;&gt;0,ISNUMBER(SEARCH("Material 0 terverifikasi",'Offshore - Brisbane'!N265))),OR('Offshore - Brisbane'!G265&lt;&gt;0,ISNUMBER(SEARCH("Enrolment 0 terverifikasi",'Offshore - Brisbane'!N265)))),1,0)</f>
        <v>0</v>
      </c>
      <c r="M1221" s="0" t="n">
        <f aca="false">IF(OR('Offshore - Brisbane'!E265="",ISNUMBER(SEARCH("BSB80120",'Offshore - Brisbane'!B265&amp;'Offshore - Brisbane'!N265)),ISNUMBER(SEARCH("Management (Learning)",'Offshore - Brisbane'!B265))),2,IF(ISNUMBER(SEARCH("CEK:",'Offshore - Brisbane'!N265)),1,0))</f>
        <v>1</v>
      </c>
    </row>
    <row r="1222" customFormat="false" ht="15" hidden="false" customHeight="false" outlineLevel="0" collapsed="false">
      <c r="A1222" s="61" t="s">
        <v>4313</v>
      </c>
      <c r="B1222" s="62"/>
      <c r="C1222" s="62"/>
      <c r="D1222" s="62"/>
      <c r="E1222" s="62"/>
      <c r="F1222" s="62"/>
      <c r="G1222" s="62"/>
      <c r="H1222" s="62"/>
      <c r="I1222" s="62"/>
    </row>
    <row r="1223" customFormat="false" ht="15" hidden="false" customHeight="false" outlineLevel="0" collapsed="false">
      <c r="A1223" s="63" t="s">
        <v>3563</v>
      </c>
      <c r="B1223" s="64" t="s">
        <v>4297</v>
      </c>
      <c r="C1223" s="63" t="s">
        <v>40</v>
      </c>
      <c r="D1223" s="64" t="str">
        <f aca="false">TRIM(LEFT('Offshore - Brisbane'!A265,FIND(CHAR(10),'Offshore - Brisbane'!A265&amp;CHAR(10))-1))</f>
        <v>Le Cordon Bleu Australia</v>
      </c>
      <c r="E1223" s="63" t="str">
        <f aca="false">'Offshore - Brisbane'!C266&amp;""</f>
        <v>0,5 year</v>
      </c>
      <c r="F1223" s="63" t="str">
        <f aca="false">IF('Offshore - Brisbane'!D266="","Belum tercatat",'Offshore - Brisbane'!D266)</f>
        <v>Term</v>
      </c>
      <c r="G1223" s="65" t="n">
        <f aca="false">IF('Offshore - Brisbane'!E266="","-",'Offshore - Brisbane'!E266)</f>
        <v>6737</v>
      </c>
      <c r="H1223" s="63" t="n">
        <f aca="false">IF(ISNUMBER(K1223),COUNTIFS($J$6:$J$1854,J1223,$K$6:$K$1854,"&lt;"&amp;K1223)+1,"-")</f>
        <v>1</v>
      </c>
      <c r="I1223" s="64" t="str">
        <f aca="false">IF('Offshore - Brisbane'!E266="","Harga belum tersedia - hubungi konsultan TEG",IF(M1223=2,"Saat ini tidak menerima pendaftaran siswa internasional baru",IF(M1223=1,"Program perlu dikonfirmasi ketersediaannya"&amp;IF(""="","","; "&amp;""),"")))</f>
        <v>Program perlu dikonfirmasi ketersediaannya</v>
      </c>
      <c r="J1223" s="0" t="s">
        <v>4314</v>
      </c>
      <c r="K1223" s="0" t="n">
        <f aca="false">IF(M1223=2,"",IF(ISNUMBER(SEARCH("rata-rata:",'Offshore - Brisbane'!N266)),VALUE(MID('Offshore - Brisbane'!N266,SEARCH("rata-rata:",'Offshore - Brisbane'!N266)+11,FIND(";",'Offshore - Brisbane'!N266&amp;";",SEARCH("rata-rata:",'Offshore - Brisbane'!N266))-SEARCH("rata-rata:",'Offshore - Brisbane'!N266)-11)),IF('Offshore - Brisbane'!D266="Semester",'Offshore - Brisbane'!E266*2,IF('Offshore - Brisbane'!D266="Trimester",'Offshore - Brisbane'!E266*3,IF('Offshore - Brisbane'!D266="Term",'Offshore - Brisbane'!E266*4,IF('Offshore - Brisbane'!D266="Unit",'Offshore - Brisbane'!E266*8,""))))))</f>
        <v>26948</v>
      </c>
      <c r="L1223" s="0" t="n">
        <f aca="false">IF(AND(ISNUMBER('Offshore - Brisbane'!E266),ISNUMBER(K1223),ISNUMBER('Offshore - Brisbane'!F266),ISNUMBER('Offshore - Brisbane'!G266),OR('Offshore - Brisbane'!F266&lt;&gt;0,ISNUMBER(SEARCH("Material 0 terverifikasi",'Offshore - Brisbane'!N266))),OR('Offshore - Brisbane'!G266&lt;&gt;0,ISNUMBER(SEARCH("Enrolment 0 terverifikasi",'Offshore - Brisbane'!N266)))),1,0)</f>
        <v>0</v>
      </c>
      <c r="M1223" s="0" t="n">
        <f aca="false">IF(OR('Offshore - Brisbane'!E266="",ISNUMBER(SEARCH("BSB80120",'Offshore - Brisbane'!B266&amp;'Offshore - Brisbane'!N266)),ISNUMBER(SEARCH("Management (Learning)",'Offshore - Brisbane'!B266))),2,IF(ISNUMBER(SEARCH("CEK:",'Offshore - Brisbane'!N266)),1,0))</f>
        <v>1</v>
      </c>
    </row>
    <row r="1224" customFormat="false" ht="15" hidden="false" customHeight="false" outlineLevel="0" collapsed="false">
      <c r="A1224" s="61" t="s">
        <v>4315</v>
      </c>
      <c r="B1224" s="62"/>
      <c r="C1224" s="62"/>
      <c r="D1224" s="62"/>
      <c r="E1224" s="62"/>
      <c r="F1224" s="62"/>
      <c r="G1224" s="62"/>
      <c r="H1224" s="62"/>
      <c r="I1224" s="62"/>
    </row>
    <row r="1225" customFormat="false" ht="15" hidden="false" customHeight="false" outlineLevel="0" collapsed="false">
      <c r="A1225" s="63" t="s">
        <v>3563</v>
      </c>
      <c r="B1225" s="64" t="s">
        <v>4297</v>
      </c>
      <c r="C1225" s="63" t="s">
        <v>41</v>
      </c>
      <c r="D1225" s="64" t="str">
        <f aca="false">TRIM(LEFT('Offshore - Brisbane'!A205,FIND(CHAR(10),'Offshore - Brisbane'!A205&amp;CHAR(10))-1))</f>
        <v>Greenwich College</v>
      </c>
      <c r="E1225" s="63" t="str">
        <f aca="false">'Offshore - Brisbane'!C215&amp;""</f>
        <v>110 weeks</v>
      </c>
      <c r="F1225" s="63" t="str">
        <f aca="false">IF('Offshore - Brisbane'!D215="","Belum tercatat",'Offshore - Brisbane'!D215)</f>
        <v>Term</v>
      </c>
      <c r="G1225" s="65" t="n">
        <f aca="false">IF('Offshore - Brisbane'!E215="","-",'Offshore - Brisbane'!E215)</f>
        <v>1650</v>
      </c>
      <c r="H1225" s="63" t="n">
        <f aca="false">IF(ISNUMBER(K1225),COUNTIFS($J$6:$J$1854,J1225,$K$6:$K$1854,"&lt;"&amp;K1225)+1,"-")</f>
        <v>1</v>
      </c>
      <c r="I1225" s="64" t="str">
        <f aca="false">IF('Offshore - Brisbane'!E215="","Harga belum tersedia - hubungi konsultan TEG",IF(M1225=2,"Saat ini tidak menerima pendaftaran siswa internasional baru",IF(M1225=1,"Harga perlu dikonfirmasi ke sekolah"&amp;IF(""="","","; "&amp;""),"")))</f>
        <v/>
      </c>
      <c r="J1225" s="0" t="s">
        <v>4316</v>
      </c>
      <c r="K1225" s="0" t="n">
        <f aca="false">IF(M1225=2,"",IF(ISNUMBER(SEARCH("rata-rata:",'Offshore - Brisbane'!N215)),VALUE(MID('Offshore - Brisbane'!N215,SEARCH("rata-rata:",'Offshore - Brisbane'!N215)+11,FIND(";",'Offshore - Brisbane'!N215&amp;";",SEARCH("rata-rata:",'Offshore - Brisbane'!N215))-SEARCH("rata-rata:",'Offshore - Brisbane'!N215)-11)),IF('Offshore - Brisbane'!D215="Semester",'Offshore - Brisbane'!E215*2,IF('Offshore - Brisbane'!D215="Trimester",'Offshore - Brisbane'!E215*3,IF('Offshore - Brisbane'!D215="Term",'Offshore - Brisbane'!E215*4,IF('Offshore - Brisbane'!D215="Unit",'Offshore - Brisbane'!E215*8,""))))))</f>
        <v>6600</v>
      </c>
      <c r="L1225" s="0" t="n">
        <f aca="false">IF(AND(ISNUMBER('Offshore - Brisbane'!E215),ISNUMBER(K1225),ISNUMBER('Offshore - Brisbane'!F215),ISNUMBER('Offshore - Brisbane'!G215),OR('Offshore - Brisbane'!F215&lt;&gt;0,ISNUMBER(SEARCH("Material 0 terverifikasi",'Offshore - Brisbane'!N215))),OR('Offshore - Brisbane'!G215&lt;&gt;0,ISNUMBER(SEARCH("Enrolment 0 terverifikasi",'Offshore - Brisbane'!N215)))),1,0)</f>
        <v>1</v>
      </c>
      <c r="M1225" s="0" t="n">
        <f aca="false">IF(OR('Offshore - Brisbane'!E215="",ISNUMBER(SEARCH("BSB80120",'Offshore - Brisbane'!B215&amp;'Offshore - Brisbane'!N215)),ISNUMBER(SEARCH("Management (Learning)",'Offshore - Brisbane'!B215))),2,IF(ISNUMBER(SEARCH("CEK:",'Offshore - Brisbane'!N215)),1,0))</f>
        <v>0</v>
      </c>
    </row>
    <row r="1226" customFormat="false" ht="15" hidden="false" customHeight="false" outlineLevel="0" collapsed="false">
      <c r="A1226" s="63" t="s">
        <v>3563</v>
      </c>
      <c r="B1226" s="64" t="s">
        <v>4297</v>
      </c>
      <c r="C1226" s="63" t="s">
        <v>41</v>
      </c>
      <c r="D1226" s="64" t="str">
        <f aca="false">TRIM(LEFT('Offshore - Brisbane'!A291,FIND(CHAR(10),'Offshore - Brisbane'!A291&amp;CHAR(10))-1))</f>
        <v>Shafston International College</v>
      </c>
      <c r="E1226" s="63" t="str">
        <f aca="false">'Offshore - Brisbane'!C291&amp;""</f>
        <v>2 years</v>
      </c>
      <c r="F1226" s="63" t="str">
        <f aca="false">IF('Offshore - Brisbane'!D291="","Belum tercatat",'Offshore - Brisbane'!D291)</f>
        <v>Term</v>
      </c>
      <c r="G1226" s="65" t="n">
        <f aca="false">IF('Offshore - Brisbane'!E291="","-",'Offshore - Brisbane'!E291)</f>
        <v>2150</v>
      </c>
      <c r="H1226" s="63" t="n">
        <f aca="false">IF(ISNUMBER(K1226),COUNTIFS($J$6:$J$1854,J1226,$K$6:$K$1854,"&lt;"&amp;K1226)+1,"-")</f>
        <v>2</v>
      </c>
      <c r="I1226" s="64" t="str">
        <f aca="false">IF('Offshore - Brisbane'!E291="","Harga belum tersedia - hubungi konsultan TEG",IF(M1226=2,"Saat ini tidak menerima pendaftaran siswa internasional baru",IF(M1226=1,"Harga perlu dikonfirmasi ke sekolah"&amp;IF(""="","","; "&amp;""),"")))</f>
        <v/>
      </c>
      <c r="J1226" s="0" t="s">
        <v>4316</v>
      </c>
      <c r="K1226" s="0" t="n">
        <f aca="false">IF(M1226=2,"",IF(ISNUMBER(SEARCH("rata-rata:",'Offshore - Brisbane'!N291)),VALUE(MID('Offshore - Brisbane'!N291,SEARCH("rata-rata:",'Offshore - Brisbane'!N291)+11,FIND(";",'Offshore - Brisbane'!N291&amp;";",SEARCH("rata-rata:",'Offshore - Brisbane'!N291))-SEARCH("rata-rata:",'Offshore - Brisbane'!N291)-11)),IF('Offshore - Brisbane'!D291="Semester",'Offshore - Brisbane'!E291*2,IF('Offshore - Brisbane'!D291="Trimester",'Offshore - Brisbane'!E291*3,IF('Offshore - Brisbane'!D291="Term",'Offshore - Brisbane'!E291*4,IF('Offshore - Brisbane'!D291="Unit",'Offshore - Brisbane'!E291*8,""))))))</f>
        <v>8600</v>
      </c>
      <c r="L1226" s="0" t="n">
        <f aca="false">IF(AND(ISNUMBER('Offshore - Brisbane'!E291),ISNUMBER(K1226),ISNUMBER('Offshore - Brisbane'!F291),ISNUMBER('Offshore - Brisbane'!G291),OR('Offshore - Brisbane'!F291&lt;&gt;0,ISNUMBER(SEARCH("Material 0 terverifikasi",'Offshore - Brisbane'!N291))),OR('Offshore - Brisbane'!G291&lt;&gt;0,ISNUMBER(SEARCH("Enrolment 0 terverifikasi",'Offshore - Brisbane'!N291)))),1,0)</f>
        <v>0</v>
      </c>
      <c r="M1226" s="0" t="n">
        <f aca="false">IF(OR('Offshore - Brisbane'!E291="",ISNUMBER(SEARCH("BSB80120",'Offshore - Brisbane'!B291&amp;'Offshore - Brisbane'!N291)),ISNUMBER(SEARCH("Management (Learning)",'Offshore - Brisbane'!B291))),2,IF(ISNUMBER(SEARCH("CEK:",'Offshore - Brisbane'!N291)),1,0))</f>
        <v>0</v>
      </c>
    </row>
    <row r="1227" customFormat="false" ht="15" hidden="false" customHeight="false" outlineLevel="0" collapsed="false">
      <c r="A1227" s="63" t="s">
        <v>3563</v>
      </c>
      <c r="B1227" s="64" t="s">
        <v>4297</v>
      </c>
      <c r="C1227" s="63" t="s">
        <v>41</v>
      </c>
      <c r="D1227" s="64" t="str">
        <f aca="false">TRIM(LEFT('Offshore - Brisbane'!A169,FIND(CHAR(10),'Offshore - Brisbane'!A169&amp;CHAR(10))-1))</f>
        <v>Cambridge College</v>
      </c>
      <c r="E1227" s="63" t="str">
        <f aca="false">'Offshore - Brisbane'!C169&amp;""</f>
        <v>2 years</v>
      </c>
      <c r="F1227" s="63" t="str">
        <f aca="false">IF('Offshore - Brisbane'!D169="","Belum tercatat",'Offshore - Brisbane'!D169)</f>
        <v>Term</v>
      </c>
      <c r="G1227" s="65" t="n">
        <f aca="false">IF('Offshore - Brisbane'!E169="","-",'Offshore - Brisbane'!E169)</f>
        <v>2250</v>
      </c>
      <c r="H1227" s="63" t="n">
        <f aca="false">IF(ISNUMBER(K1227),COUNTIFS($J$6:$J$1854,J1227,$K$6:$K$1854,"&lt;"&amp;K1227)+1,"-")</f>
        <v>3</v>
      </c>
      <c r="I1227" s="64" t="str">
        <f aca="false">IF('Offshore - Brisbane'!E169="","Harga belum tersedia - hubungi konsultan TEG",IF(M1227=2,"Saat ini tidak menerima pendaftaran siswa internasional baru",IF(M1227=1,"Program perlu dikonfirmasi ketersediaannya"&amp;IF(""="","","; "&amp;""),"")))</f>
        <v>Program perlu dikonfirmasi ketersediaannya</v>
      </c>
      <c r="J1227" s="0" t="s">
        <v>4316</v>
      </c>
      <c r="K1227" s="0" t="n">
        <f aca="false">IF(M1227=2,"",IF(ISNUMBER(SEARCH("rata-rata:",'Offshore - Brisbane'!N169)),VALUE(MID('Offshore - Brisbane'!N169,SEARCH("rata-rata:",'Offshore - Brisbane'!N169)+11,FIND(";",'Offshore - Brisbane'!N169&amp;";",SEARCH("rata-rata:",'Offshore - Brisbane'!N169))-SEARCH("rata-rata:",'Offshore - Brisbane'!N169)-11)),IF('Offshore - Brisbane'!D169="Semester",'Offshore - Brisbane'!E169*2,IF('Offshore - Brisbane'!D169="Trimester",'Offshore - Brisbane'!E169*3,IF('Offshore - Brisbane'!D169="Term",'Offshore - Brisbane'!E169*4,IF('Offshore - Brisbane'!D169="Unit",'Offshore - Brisbane'!E169*8,""))))))</f>
        <v>9000</v>
      </c>
      <c r="L1227" s="0" t="n">
        <f aca="false">IF(AND(ISNUMBER('Offshore - Brisbane'!E169),ISNUMBER(K1227),ISNUMBER('Offshore - Brisbane'!F169),ISNUMBER('Offshore - Brisbane'!G169),OR('Offshore - Brisbane'!F169&lt;&gt;0,ISNUMBER(SEARCH("Material 0 terverifikasi",'Offshore - Brisbane'!N169))),OR('Offshore - Brisbane'!G169&lt;&gt;0,ISNUMBER(SEARCH("Enrolment 0 terverifikasi",'Offshore - Brisbane'!N169)))),1,0)</f>
        <v>1</v>
      </c>
      <c r="M1227" s="0" t="n">
        <f aca="false">IF(OR('Offshore - Brisbane'!E169="",ISNUMBER(SEARCH("BSB80120",'Offshore - Brisbane'!B169&amp;'Offshore - Brisbane'!N169)),ISNUMBER(SEARCH("Management (Learning)",'Offshore - Brisbane'!B169))),2,IF(ISNUMBER(SEARCH("CEK:",'Offshore - Brisbane'!N169)),1,0))</f>
        <v>1</v>
      </c>
    </row>
    <row r="1228" customFormat="false" ht="15" hidden="false" customHeight="false" outlineLevel="0" collapsed="false">
      <c r="A1228" s="63" t="s">
        <v>3563</v>
      </c>
      <c r="B1228" s="64" t="s">
        <v>4297</v>
      </c>
      <c r="C1228" s="63" t="s">
        <v>41</v>
      </c>
      <c r="D1228" s="64" t="str">
        <f aca="false">TRIM(LEFT('Offshore - Brisbane'!A277,FIND(CHAR(10),'Offshore - Brisbane'!A277&amp;CHAR(10))-1))</f>
        <v>Million Brown's College (MBC)</v>
      </c>
      <c r="E1228" s="63" t="str">
        <f aca="false">'Offshore - Brisbane'!C277&amp;""</f>
        <v>2 years</v>
      </c>
      <c r="F1228" s="63" t="str">
        <f aca="false">IF('Offshore - Brisbane'!D277="","Belum tercatat",'Offshore - Brisbane'!D277)</f>
        <v>Term</v>
      </c>
      <c r="G1228" s="65" t="n">
        <f aca="false">IF('Offshore - Brisbane'!E277="","-",'Offshore - Brisbane'!E277)</f>
        <v>2340</v>
      </c>
      <c r="H1228" s="63" t="n">
        <f aca="false">IF(ISNUMBER(K1228),COUNTIFS($J$6:$J$1854,J1228,$K$6:$K$1854,"&lt;"&amp;K1228)+1,"-")</f>
        <v>4</v>
      </c>
      <c r="I1228" s="64" t="str">
        <f aca="false">IF('Offshore - Brisbane'!E277="","Harga belum tersedia - hubungi konsultan TEG",IF(M1228=2,"Saat ini tidak menerima pendaftaran siswa internasional baru",IF(M1228=1,"Harga perlu dikonfirmasi ke sekolah"&amp;IF(""="","","; "&amp;""),"")))</f>
        <v>Harga perlu dikonfirmasi ke sekolah</v>
      </c>
      <c r="J1228" s="0" t="s">
        <v>4316</v>
      </c>
      <c r="K1228" s="0" t="n">
        <f aca="false">IF(M1228=2,"",IF(ISNUMBER(SEARCH("rata-rata:",'Offshore - Brisbane'!N277)),VALUE(MID('Offshore - Brisbane'!N277,SEARCH("rata-rata:",'Offshore - Brisbane'!N277)+11,FIND(";",'Offshore - Brisbane'!N277&amp;";",SEARCH("rata-rata:",'Offshore - Brisbane'!N277))-SEARCH("rata-rata:",'Offshore - Brisbane'!N277)-11)),IF('Offshore - Brisbane'!D277="Semester",'Offshore - Brisbane'!E277*2,IF('Offshore - Brisbane'!D277="Trimester",'Offshore - Brisbane'!E277*3,IF('Offshore - Brisbane'!D277="Term",'Offshore - Brisbane'!E277*4,IF('Offshore - Brisbane'!D277="Unit",'Offshore - Brisbane'!E277*8,""))))))</f>
        <v>9360</v>
      </c>
      <c r="L1228" s="0" t="n">
        <f aca="false">IF(AND(ISNUMBER('Offshore - Brisbane'!E277),ISNUMBER(K1228),ISNUMBER('Offshore - Brisbane'!F277),ISNUMBER('Offshore - Brisbane'!G277),OR('Offshore - Brisbane'!F277&lt;&gt;0,ISNUMBER(SEARCH("Material 0 terverifikasi",'Offshore - Brisbane'!N277))),OR('Offshore - Brisbane'!G277&lt;&gt;0,ISNUMBER(SEARCH("Enrolment 0 terverifikasi",'Offshore - Brisbane'!N277)))),1,0)</f>
        <v>1</v>
      </c>
      <c r="M1228" s="0" t="n">
        <f aca="false">IF(OR('Offshore - Brisbane'!E277="",ISNUMBER(SEARCH("BSB80120",'Offshore - Brisbane'!B277&amp;'Offshore - Brisbane'!N277)),ISNUMBER(SEARCH("Management (Learning)",'Offshore - Brisbane'!B277))),2,IF(ISNUMBER(SEARCH("CEK:",'Offshore - Brisbane'!N277)),1,0))</f>
        <v>1</v>
      </c>
    </row>
    <row r="1229" customFormat="false" ht="15" hidden="false" customHeight="false" outlineLevel="0" collapsed="false">
      <c r="A1229" s="63" t="s">
        <v>3563</v>
      </c>
      <c r="B1229" s="64" t="s">
        <v>4297</v>
      </c>
      <c r="C1229" s="63" t="s">
        <v>41</v>
      </c>
      <c r="D1229" s="64" t="str">
        <f aca="false">TRIM(LEFT('Offshore - Brisbane'!A26,FIND(CHAR(10),'Offshore - Brisbane'!A26&amp;CHAR(10))-1))</f>
        <v>American College</v>
      </c>
      <c r="E1229" s="63" t="str">
        <f aca="false">'Offshore - Brisbane'!C29&amp;""</f>
        <v>2 years</v>
      </c>
      <c r="F1229" s="63" t="str">
        <f aca="false">IF('Offshore - Brisbane'!D29="","Belum tercatat",'Offshore - Brisbane'!D29)</f>
        <v>Term</v>
      </c>
      <c r="G1229" s="65" t="n">
        <f aca="false">IF('Offshore - Brisbane'!E29="","-",'Offshore - Brisbane'!E29)</f>
        <v>2350</v>
      </c>
      <c r="H1229" s="63" t="n">
        <f aca="false">IF(ISNUMBER(K1229),COUNTIFS($J$6:$J$1854,J1229,$K$6:$K$1854,"&lt;"&amp;K1229)+1,"-")</f>
        <v>5</v>
      </c>
      <c r="I1229" s="64" t="str">
        <f aca="false">IF('Offshore - Brisbane'!E29="","Harga belum tersedia - hubungi konsultan TEG",IF(M1229=2,"Saat ini tidak menerima pendaftaran siswa internasional baru",IF(M1229=1,"Harga perlu dikonfirmasi ke sekolah"&amp;IF(""="","","; "&amp;""),"")))</f>
        <v/>
      </c>
      <c r="J1229" s="0" t="s">
        <v>4316</v>
      </c>
      <c r="K1229" s="0" t="n">
        <f aca="false">IF(M1229=2,"",IF(ISNUMBER(SEARCH("rata-rata:",'Offshore - Brisbane'!N29)),VALUE(MID('Offshore - Brisbane'!N29,SEARCH("rata-rata:",'Offshore - Brisbane'!N29)+11,FIND(";",'Offshore - Brisbane'!N29&amp;";",SEARCH("rata-rata:",'Offshore - Brisbane'!N29))-SEARCH("rata-rata:",'Offshore - Brisbane'!N29)-11)),IF('Offshore - Brisbane'!D29="Semester",'Offshore - Brisbane'!E29*2,IF('Offshore - Brisbane'!D29="Trimester",'Offshore - Brisbane'!E29*3,IF('Offshore - Brisbane'!D29="Term",'Offshore - Brisbane'!E29*4,IF('Offshore - Brisbane'!D29="Unit",'Offshore - Brisbane'!E29*8,""))))))</f>
        <v>9400</v>
      </c>
      <c r="L1229" s="0" t="n">
        <f aca="false">IF(AND(ISNUMBER('Offshore - Brisbane'!E29),ISNUMBER(K1229),ISNUMBER('Offshore - Brisbane'!F29),ISNUMBER('Offshore - Brisbane'!G29),OR('Offshore - Brisbane'!F29&lt;&gt;0,ISNUMBER(SEARCH("Material 0 terverifikasi",'Offshore - Brisbane'!N29))),OR('Offshore - Brisbane'!G29&lt;&gt;0,ISNUMBER(SEARCH("Enrolment 0 terverifikasi",'Offshore - Brisbane'!N29)))),1,0)</f>
        <v>1</v>
      </c>
      <c r="M1229" s="0" t="n">
        <f aca="false">IF(OR('Offshore - Brisbane'!E29="",ISNUMBER(SEARCH("BSB80120",'Offshore - Brisbane'!B29&amp;'Offshore - Brisbane'!N29)),ISNUMBER(SEARCH("Management (Learning)",'Offshore - Brisbane'!B29))),2,IF(ISNUMBER(SEARCH("CEK:",'Offshore - Brisbane'!N29)),1,0))</f>
        <v>0</v>
      </c>
    </row>
    <row r="1230" customFormat="false" ht="15" hidden="false" customHeight="false" outlineLevel="0" collapsed="false">
      <c r="A1230" s="63" t="s">
        <v>3563</v>
      </c>
      <c r="B1230" s="64" t="s">
        <v>4297</v>
      </c>
      <c r="C1230" s="63" t="s">
        <v>41</v>
      </c>
      <c r="D1230" s="64" t="str">
        <f aca="false">TRIM(LEFT('Offshore - Brisbane'!A161,FIND(CHAR(10),'Offshore - Brisbane'!A161&amp;CHAR(10))-1))</f>
        <v>Australian Skills Management Institute (ASMI)</v>
      </c>
      <c r="E1230" s="63" t="str">
        <f aca="false">'Offshore - Brisbane'!C167&amp;""</f>
        <v>2 years</v>
      </c>
      <c r="F1230" s="63" t="str">
        <f aca="false">IF('Offshore - Brisbane'!D167="","Belum tercatat",'Offshore - Brisbane'!D167)</f>
        <v>Term</v>
      </c>
      <c r="G1230" s="65" t="n">
        <f aca="false">IF('Offshore - Brisbane'!E167="","-",'Offshore - Brisbane'!E167)</f>
        <v>2500</v>
      </c>
      <c r="H1230" s="63" t="n">
        <f aca="false">IF(ISNUMBER(K1230),COUNTIFS($J$6:$J$1854,J1230,$K$6:$K$1854,"&lt;"&amp;K1230)+1,"-")</f>
        <v>6</v>
      </c>
      <c r="I1230" s="64" t="str">
        <f aca="false">IF('Offshore - Brisbane'!E167="","Harga belum tersedia - hubungi konsultan TEG",IF(M1230=2,"Saat ini tidak menerima pendaftaran siswa internasional baru",IF(M1230=1,"Harga perlu dikonfirmasi ke sekolah"&amp;IF(""="","","; "&amp;""),"")))</f>
        <v/>
      </c>
      <c r="J1230" s="0" t="s">
        <v>4316</v>
      </c>
      <c r="K1230" s="0" t="n">
        <f aca="false">IF(M1230=2,"",IF(ISNUMBER(SEARCH("rata-rata:",'Offshore - Brisbane'!N167)),VALUE(MID('Offshore - Brisbane'!N167,SEARCH("rata-rata:",'Offshore - Brisbane'!N167)+11,FIND(";",'Offshore - Brisbane'!N167&amp;";",SEARCH("rata-rata:",'Offshore - Brisbane'!N167))-SEARCH("rata-rata:",'Offshore - Brisbane'!N167)-11)),IF('Offshore - Brisbane'!D167="Semester",'Offshore - Brisbane'!E167*2,IF('Offshore - Brisbane'!D167="Trimester",'Offshore - Brisbane'!E167*3,IF('Offshore - Brisbane'!D167="Term",'Offshore - Brisbane'!E167*4,IF('Offshore - Brisbane'!D167="Unit",'Offshore - Brisbane'!E167*8,""))))))</f>
        <v>10000</v>
      </c>
      <c r="L1230" s="0" t="n">
        <f aca="false">IF(AND(ISNUMBER('Offshore - Brisbane'!E167),ISNUMBER(K1230),ISNUMBER('Offshore - Brisbane'!F167),ISNUMBER('Offshore - Brisbane'!G167),OR('Offshore - Brisbane'!F167&lt;&gt;0,ISNUMBER(SEARCH("Material 0 terverifikasi",'Offshore - Brisbane'!N167))),OR('Offshore - Brisbane'!G167&lt;&gt;0,ISNUMBER(SEARCH("Enrolment 0 terverifikasi",'Offshore - Brisbane'!N167)))),1,0)</f>
        <v>1</v>
      </c>
      <c r="M1230" s="0" t="n">
        <f aca="false">IF(OR('Offshore - Brisbane'!E167="",ISNUMBER(SEARCH("BSB80120",'Offshore - Brisbane'!B167&amp;'Offshore - Brisbane'!N167)),ISNUMBER(SEARCH("Management (Learning)",'Offshore - Brisbane'!B167))),2,IF(ISNUMBER(SEARCH("CEK:",'Offshore - Brisbane'!N167)),1,0))</f>
        <v>0</v>
      </c>
    </row>
    <row r="1231" customFormat="false" ht="15" hidden="false" customHeight="false" outlineLevel="0" collapsed="false">
      <c r="A1231" s="63" t="s">
        <v>3563</v>
      </c>
      <c r="B1231" s="64" t="s">
        <v>4297</v>
      </c>
      <c r="C1231" s="63" t="s">
        <v>41</v>
      </c>
      <c r="D1231" s="64" t="str">
        <f aca="false">TRIM(LEFT('Offshore - Brisbane'!A237,FIND(CHAR(10),'Offshore - Brisbane'!A237&amp;CHAR(10))-1))</f>
        <v>Hospitality Training Academy (HTA)</v>
      </c>
      <c r="E1231" s="63" t="str">
        <f aca="false">'Offshore - Brisbane'!C237&amp;""</f>
        <v>2 years</v>
      </c>
      <c r="F1231" s="63" t="str">
        <f aca="false">IF('Offshore - Brisbane'!D237="","Belum tercatat",'Offshore - Brisbane'!D237)</f>
        <v>Term</v>
      </c>
      <c r="G1231" s="65" t="n">
        <f aca="false">IF('Offshore - Brisbane'!E237="","-",'Offshore - Brisbane'!E237)</f>
        <v>2500</v>
      </c>
      <c r="H1231" s="63" t="n">
        <f aca="false">IF(ISNUMBER(K1231),COUNTIFS($J$6:$J$1854,J1231,$K$6:$K$1854,"&lt;"&amp;K1231)+1,"-")</f>
        <v>6</v>
      </c>
      <c r="I1231" s="64" t="str">
        <f aca="false">IF('Offshore - Brisbane'!E237="","Harga belum tersedia - hubungi konsultan TEG",IF(M1231=2,"Saat ini tidak menerima pendaftaran siswa internasional baru",IF(M1231=1,"Harga perlu dikonfirmasi ke sekolah"&amp;IF(""="","","; "&amp;""),"")))</f>
        <v/>
      </c>
      <c r="J1231" s="0" t="s">
        <v>4316</v>
      </c>
      <c r="K1231" s="0" t="n">
        <f aca="false">IF(M1231=2,"",IF(ISNUMBER(SEARCH("rata-rata:",'Offshore - Brisbane'!N237)),VALUE(MID('Offshore - Brisbane'!N237,SEARCH("rata-rata:",'Offshore - Brisbane'!N237)+11,FIND(";",'Offshore - Brisbane'!N237&amp;";",SEARCH("rata-rata:",'Offshore - Brisbane'!N237))-SEARCH("rata-rata:",'Offshore - Brisbane'!N237)-11)),IF('Offshore - Brisbane'!D237="Semester",'Offshore - Brisbane'!E237*2,IF('Offshore - Brisbane'!D237="Trimester",'Offshore - Brisbane'!E237*3,IF('Offshore - Brisbane'!D237="Term",'Offshore - Brisbane'!E237*4,IF('Offshore - Brisbane'!D237="Unit",'Offshore - Brisbane'!E237*8,""))))))</f>
        <v>10000</v>
      </c>
      <c r="L1231" s="0" t="n">
        <f aca="false">IF(AND(ISNUMBER('Offshore - Brisbane'!E237),ISNUMBER(K1231),ISNUMBER('Offshore - Brisbane'!F237),ISNUMBER('Offshore - Brisbane'!G237),OR('Offshore - Brisbane'!F237&lt;&gt;0,ISNUMBER(SEARCH("Material 0 terverifikasi",'Offshore - Brisbane'!N237))),OR('Offshore - Brisbane'!G237&lt;&gt;0,ISNUMBER(SEARCH("Enrolment 0 terverifikasi",'Offshore - Brisbane'!N237)))),1,0)</f>
        <v>1</v>
      </c>
      <c r="M1231" s="0" t="n">
        <f aca="false">IF(OR('Offshore - Brisbane'!E237="",ISNUMBER(SEARCH("BSB80120",'Offshore - Brisbane'!B237&amp;'Offshore - Brisbane'!N237)),ISNUMBER(SEARCH("Management (Learning)",'Offshore - Brisbane'!B237))),2,IF(ISNUMBER(SEARCH("CEK:",'Offshore - Brisbane'!N237)),1,0))</f>
        <v>0</v>
      </c>
    </row>
    <row r="1232" customFormat="false" ht="15" hidden="false" customHeight="false" outlineLevel="0" collapsed="false">
      <c r="A1232" s="63" t="s">
        <v>3563</v>
      </c>
      <c r="B1232" s="64" t="s">
        <v>4297</v>
      </c>
      <c r="C1232" s="63" t="s">
        <v>41</v>
      </c>
      <c r="D1232" s="64" t="str">
        <f aca="false">TRIM(LEFT('Offshore - Brisbane'!A158,FIND(CHAR(10),'Offshore - Brisbane'!A158&amp;CHAR(10))-1))</f>
        <v>Australian Global Institute (AGI)</v>
      </c>
      <c r="E1232" s="63" t="str">
        <f aca="false">'Offshore - Brisbane'!C158&amp;""</f>
        <v>2,5 years</v>
      </c>
      <c r="F1232" s="63" t="str">
        <f aca="false">IF('Offshore - Brisbane'!D158="","Belum tercatat",'Offshore - Brisbane'!D158)</f>
        <v>Term</v>
      </c>
      <c r="G1232" s="65" t="n">
        <f aca="false">IF('Offshore - Brisbane'!E158="","-",'Offshore - Brisbane'!E158)</f>
        <v>2950</v>
      </c>
      <c r="H1232" s="63" t="n">
        <f aca="false">IF(ISNUMBER(K1232),COUNTIFS($J$6:$J$1854,J1232,$K$6:$K$1854,"&lt;"&amp;K1232)+1,"-")</f>
        <v>8</v>
      </c>
      <c r="I1232" s="64" t="str">
        <f aca="false">IF('Offshore - Brisbane'!E158="","Harga belum tersedia - hubungi konsultan TEG",IF(M1232=2,"Saat ini tidak menerima pendaftaran siswa internasional baru",IF(M1232=1,"Harga perlu dikonfirmasi ke sekolah"&amp;IF(""="","","; "&amp;""),"")))</f>
        <v/>
      </c>
      <c r="J1232" s="0" t="s">
        <v>4316</v>
      </c>
      <c r="K1232" s="0" t="n">
        <f aca="false">IF(M1232=2,"",IF(ISNUMBER(SEARCH("rata-rata:",'Offshore - Brisbane'!N158)),VALUE(MID('Offshore - Brisbane'!N158,SEARCH("rata-rata:",'Offshore - Brisbane'!N158)+11,FIND(";",'Offshore - Brisbane'!N158&amp;";",SEARCH("rata-rata:",'Offshore - Brisbane'!N158))-SEARCH("rata-rata:",'Offshore - Brisbane'!N158)-11)),IF('Offshore - Brisbane'!D158="Semester",'Offshore - Brisbane'!E158*2,IF('Offshore - Brisbane'!D158="Trimester",'Offshore - Brisbane'!E158*3,IF('Offshore - Brisbane'!D158="Term",'Offshore - Brisbane'!E158*4,IF('Offshore - Brisbane'!D158="Unit",'Offshore - Brisbane'!E158*8,""))))))</f>
        <v>11800</v>
      </c>
      <c r="L1232" s="0" t="n">
        <f aca="false">IF(AND(ISNUMBER('Offshore - Brisbane'!E158),ISNUMBER(K1232),ISNUMBER('Offshore - Brisbane'!F158),ISNUMBER('Offshore - Brisbane'!G158),OR('Offshore - Brisbane'!F158&lt;&gt;0,ISNUMBER(SEARCH("Material 0 terverifikasi",'Offshore - Brisbane'!N158))),OR('Offshore - Brisbane'!G158&lt;&gt;0,ISNUMBER(SEARCH("Enrolment 0 terverifikasi",'Offshore - Brisbane'!N158)))),1,0)</f>
        <v>1</v>
      </c>
      <c r="M1232" s="0" t="n">
        <f aca="false">IF(OR('Offshore - Brisbane'!E158="",ISNUMBER(SEARCH("BSB80120",'Offshore - Brisbane'!B158&amp;'Offshore - Brisbane'!N158)),ISNUMBER(SEARCH("Management (Learning)",'Offshore - Brisbane'!B158))),2,IF(ISNUMBER(SEARCH("CEK:",'Offshore - Brisbane'!N158)),1,0))</f>
        <v>0</v>
      </c>
    </row>
    <row r="1233" customFormat="false" ht="15" hidden="false" customHeight="false" outlineLevel="0" collapsed="false">
      <c r="A1233" s="63" t="s">
        <v>3563</v>
      </c>
      <c r="B1233" s="64" t="s">
        <v>4297</v>
      </c>
      <c r="C1233" s="63" t="s">
        <v>41</v>
      </c>
      <c r="D1233" s="64" t="str">
        <f aca="false">TRIM(LEFT('Offshore - Brisbane'!A297,FIND(CHAR(10),'Offshore - Brisbane'!A297&amp;CHAR(10))-1))</f>
        <v>Skills Institute Australia</v>
      </c>
      <c r="E1233" s="63" t="str">
        <f aca="false">'Offshore - Brisbane'!C297&amp;""</f>
        <v>2 years</v>
      </c>
      <c r="F1233" s="63" t="str">
        <f aca="false">IF('Offshore - Brisbane'!D297="","Belum tercatat",'Offshore - Brisbane'!D297)</f>
        <v>Term</v>
      </c>
      <c r="G1233" s="65" t="n">
        <f aca="false">IF('Offshore - Brisbane'!E297="","-",'Offshore - Brisbane'!E297)</f>
        <v>3300</v>
      </c>
      <c r="H1233" s="63" t="n">
        <f aca="false">IF(ISNUMBER(K1233),COUNTIFS($J$6:$J$1854,J1233,$K$6:$K$1854,"&lt;"&amp;K1233)+1,"-")</f>
        <v>9</v>
      </c>
      <c r="I1233" s="64" t="str">
        <f aca="false">IF('Offshore - Brisbane'!E297="","Harga belum tersedia - hubungi konsultan TEG",IF(M1233=2,"Saat ini tidak menerima pendaftaran siswa internasional baru",IF(M1233=1,"Harga perlu dikonfirmasi ke sekolah"&amp;IF(""="","","; "&amp;""),"")))</f>
        <v/>
      </c>
      <c r="J1233" s="0" t="s">
        <v>4316</v>
      </c>
      <c r="K1233" s="0" t="n">
        <f aca="false">IF(M1233=2,"",IF(ISNUMBER(SEARCH("rata-rata:",'Offshore - Brisbane'!N297)),VALUE(MID('Offshore - Brisbane'!N297,SEARCH("rata-rata:",'Offshore - Brisbane'!N297)+11,FIND(";",'Offshore - Brisbane'!N297&amp;";",SEARCH("rata-rata:",'Offshore - Brisbane'!N297))-SEARCH("rata-rata:",'Offshore - Brisbane'!N297)-11)),IF('Offshore - Brisbane'!D297="Semester",'Offshore - Brisbane'!E297*2,IF('Offshore - Brisbane'!D297="Trimester",'Offshore - Brisbane'!E297*3,IF('Offshore - Brisbane'!D297="Term",'Offshore - Brisbane'!E297*4,IF('Offshore - Brisbane'!D297="Unit",'Offshore - Brisbane'!E297*8,""))))))</f>
        <v>13200</v>
      </c>
      <c r="L1233" s="0" t="n">
        <f aca="false">IF(AND(ISNUMBER('Offshore - Brisbane'!E297),ISNUMBER(K1233),ISNUMBER('Offshore - Brisbane'!F297),ISNUMBER('Offshore - Brisbane'!G297),OR('Offshore - Brisbane'!F297&lt;&gt;0,ISNUMBER(SEARCH("Material 0 terverifikasi",'Offshore - Brisbane'!N297))),OR('Offshore - Brisbane'!G297&lt;&gt;0,ISNUMBER(SEARCH("Enrolment 0 terverifikasi",'Offshore - Brisbane'!N297)))),1,0)</f>
        <v>1</v>
      </c>
      <c r="M1233" s="0" t="n">
        <f aca="false">IF(OR('Offshore - Brisbane'!E297="",ISNUMBER(SEARCH("BSB80120",'Offshore - Brisbane'!B297&amp;'Offshore - Brisbane'!N297)),ISNUMBER(SEARCH("Management (Learning)",'Offshore - Brisbane'!B297))),2,IF(ISNUMBER(SEARCH("CEK:",'Offshore - Brisbane'!N297)),1,0))</f>
        <v>0</v>
      </c>
    </row>
    <row r="1234" customFormat="false" ht="15" hidden="false" customHeight="false" outlineLevel="0" collapsed="false">
      <c r="A1234" s="63" t="s">
        <v>3563</v>
      </c>
      <c r="B1234" s="64" t="s">
        <v>4297</v>
      </c>
      <c r="C1234" s="63" t="s">
        <v>41</v>
      </c>
      <c r="D1234" s="64" t="str">
        <f aca="false">TRIM(LEFT('Offshore - Brisbane'!A200,FIND(CHAR(10),'Offshore - Brisbane'!A200&amp;CHAR(10))-1))</f>
        <v>Federation Academy</v>
      </c>
      <c r="E1234" s="63" t="str">
        <f aca="false">'Offshore - Brisbane'!C204&amp;""</f>
        <v>2 years</v>
      </c>
      <c r="F1234" s="63" t="str">
        <f aca="false">IF('Offshore - Brisbane'!D204="","Belum tercatat",'Offshore - Brisbane'!D204)</f>
        <v>Term</v>
      </c>
      <c r="G1234" s="65" t="n">
        <f aca="false">IF('Offshore - Brisbane'!E204="","-",'Offshore - Brisbane'!E204)</f>
        <v>3650</v>
      </c>
      <c r="H1234" s="63" t="n">
        <f aca="false">IF(ISNUMBER(K1234),COUNTIFS($J$6:$J$1854,J1234,$K$6:$K$1854,"&lt;"&amp;K1234)+1,"-")</f>
        <v>10</v>
      </c>
      <c r="I1234" s="64" t="str">
        <f aca="false">IF('Offshore - Brisbane'!E204="","Harga belum tersedia - hubungi konsultan TEG",IF(M1234=2,"Saat ini tidak menerima pendaftaran siswa internasional baru",IF(M1234=1,"Harga perlu dikonfirmasi ke sekolah"&amp;IF(""="","","; "&amp;""),"")))</f>
        <v/>
      </c>
      <c r="J1234" s="0" t="s">
        <v>4316</v>
      </c>
      <c r="K1234" s="0" t="n">
        <f aca="false">IF(M1234=2,"",IF(ISNUMBER(SEARCH("rata-rata:",'Offshore - Brisbane'!N204)),VALUE(MID('Offshore - Brisbane'!N204,SEARCH("rata-rata:",'Offshore - Brisbane'!N204)+11,FIND(";",'Offshore - Brisbane'!N204&amp;";",SEARCH("rata-rata:",'Offshore - Brisbane'!N204))-SEARCH("rata-rata:",'Offshore - Brisbane'!N204)-11)),IF('Offshore - Brisbane'!D204="Semester",'Offshore - Brisbane'!E204*2,IF('Offshore - Brisbane'!D204="Trimester",'Offshore - Brisbane'!E204*3,IF('Offshore - Brisbane'!D204="Term",'Offshore - Brisbane'!E204*4,IF('Offshore - Brisbane'!D204="Unit",'Offshore - Brisbane'!E204*8,""))))))</f>
        <v>14600</v>
      </c>
      <c r="L1234" s="0" t="n">
        <f aca="false">IF(AND(ISNUMBER('Offshore - Brisbane'!E204),ISNUMBER(K1234),ISNUMBER('Offshore - Brisbane'!F204),ISNUMBER('Offshore - Brisbane'!G204),OR('Offshore - Brisbane'!F204&lt;&gt;0,ISNUMBER(SEARCH("Material 0 terverifikasi",'Offshore - Brisbane'!N204))),OR('Offshore - Brisbane'!G204&lt;&gt;0,ISNUMBER(SEARCH("Enrolment 0 terverifikasi",'Offshore - Brisbane'!N204)))),1,0)</f>
        <v>1</v>
      </c>
      <c r="M1234" s="0" t="n">
        <f aca="false">IF(OR('Offshore - Brisbane'!E204="",ISNUMBER(SEARCH("BSB80120",'Offshore - Brisbane'!B204&amp;'Offshore - Brisbane'!N204)),ISNUMBER(SEARCH("Management (Learning)",'Offshore - Brisbane'!B204))),2,IF(ISNUMBER(SEARCH("CEK:",'Offshore - Brisbane'!N204)),1,0))</f>
        <v>0</v>
      </c>
    </row>
    <row r="1235" customFormat="false" ht="15" hidden="false" customHeight="false" outlineLevel="0" collapsed="false">
      <c r="A1235" s="63" t="s">
        <v>3563</v>
      </c>
      <c r="B1235" s="64" t="s">
        <v>4297</v>
      </c>
      <c r="C1235" s="63" t="s">
        <v>41</v>
      </c>
      <c r="D1235" s="64" t="str">
        <f aca="false">TRIM(LEFT('Offshore - Brisbane'!A265,FIND(CHAR(10),'Offshore - Brisbane'!A265&amp;CHAR(10))-1))</f>
        <v>Le Cordon Bleu Australia</v>
      </c>
      <c r="E1235" s="63" t="str">
        <f aca="false">'Offshore - Brisbane'!C268&amp;""</f>
        <v>2,5 years</v>
      </c>
      <c r="F1235" s="63" t="str">
        <f aca="false">IF('Offshore - Brisbane'!D268="","Belum tercatat",'Offshore - Brisbane'!D268)</f>
        <v>Term</v>
      </c>
      <c r="G1235" s="65" t="n">
        <f aca="false">IF('Offshore - Brisbane'!E268="","-",'Offshore - Brisbane'!E268)</f>
        <v>7005.6</v>
      </c>
      <c r="H1235" s="63" t="n">
        <f aca="false">IF(ISNUMBER(K1235),COUNTIFS($J$6:$J$1854,J1235,$K$6:$K$1854,"&lt;"&amp;K1235)+1,"-")</f>
        <v>11</v>
      </c>
      <c r="I1235" s="64" t="str">
        <f aca="false">IF('Offshore - Brisbane'!E268="","Harga belum tersedia - hubungi konsultan TEG",IF(M1235=2,"Saat ini tidak menerima pendaftaran siswa internasional baru",IF(M1235=1,"Program perlu dikonfirmasi ketersediaannya"&amp;IF(""="","","; "&amp;""),"")))</f>
        <v>Program perlu dikonfirmasi ketersediaannya</v>
      </c>
      <c r="J1235" s="0" t="s">
        <v>4316</v>
      </c>
      <c r="K1235" s="0" t="n">
        <f aca="false">IF(M1235=2,"",IF(ISNUMBER(SEARCH("rata-rata:",'Offshore - Brisbane'!N268)),VALUE(MID('Offshore - Brisbane'!N268,SEARCH("rata-rata:",'Offshore - Brisbane'!N268)+11,FIND(";",'Offshore - Brisbane'!N268&amp;";",SEARCH("rata-rata:",'Offshore - Brisbane'!N268))-SEARCH("rata-rata:",'Offshore - Brisbane'!N268)-11)),IF('Offshore - Brisbane'!D268="Semester",'Offshore - Brisbane'!E268*2,IF('Offshore - Brisbane'!D268="Trimester",'Offshore - Brisbane'!E268*3,IF('Offshore - Brisbane'!D268="Term",'Offshore - Brisbane'!E268*4,IF('Offshore - Brisbane'!D268="Unit",'Offshore - Brisbane'!E268*8,""))))))</f>
        <v>28022.4</v>
      </c>
      <c r="L1235" s="0" t="n">
        <f aca="false">IF(AND(ISNUMBER('Offshore - Brisbane'!E268),ISNUMBER(K1235),ISNUMBER('Offshore - Brisbane'!F268),ISNUMBER('Offshore - Brisbane'!G268),OR('Offshore - Brisbane'!F268&lt;&gt;0,ISNUMBER(SEARCH("Material 0 terverifikasi",'Offshore - Brisbane'!N268))),OR('Offshore - Brisbane'!G268&lt;&gt;0,ISNUMBER(SEARCH("Enrolment 0 terverifikasi",'Offshore - Brisbane'!N268)))),1,0)</f>
        <v>0</v>
      </c>
      <c r="M1235" s="0" t="n">
        <f aca="false">IF(OR('Offshore - Brisbane'!E268="",ISNUMBER(SEARCH("BSB80120",'Offshore - Brisbane'!B268&amp;'Offshore - Brisbane'!N268)),ISNUMBER(SEARCH("Management (Learning)",'Offshore - Brisbane'!B268))),2,IF(ISNUMBER(SEARCH("CEK:",'Offshore - Brisbane'!N268)),1,0))</f>
        <v>1</v>
      </c>
    </row>
    <row r="1236" customFormat="false" ht="15" hidden="false" customHeight="false" outlineLevel="0" collapsed="false">
      <c r="A1236" s="61" t="s">
        <v>4317</v>
      </c>
      <c r="B1236" s="62"/>
      <c r="C1236" s="62"/>
      <c r="D1236" s="62"/>
      <c r="E1236" s="62"/>
      <c r="F1236" s="62"/>
      <c r="G1236" s="62"/>
      <c r="H1236" s="62"/>
      <c r="I1236" s="62"/>
    </row>
    <row r="1237" customFormat="false" ht="15" hidden="false" customHeight="false" outlineLevel="0" collapsed="false">
      <c r="A1237" s="63" t="s">
        <v>3563</v>
      </c>
      <c r="B1237" s="64" t="s">
        <v>4297</v>
      </c>
      <c r="C1237" s="63" t="s">
        <v>42</v>
      </c>
      <c r="D1237" s="64" t="str">
        <f aca="false">TRIM(LEFT('Offshore - Brisbane'!A205,FIND(CHAR(10),'Offshore - Brisbane'!A205&amp;CHAR(10))-1))</f>
        <v>Greenwich College</v>
      </c>
      <c r="E1237" s="63" t="str">
        <f aca="false">'Offshore - Brisbane'!C216&amp;""</f>
        <v>144 weeks</v>
      </c>
      <c r="F1237" s="63" t="str">
        <f aca="false">IF('Offshore - Brisbane'!D216="","Belum tercatat",'Offshore - Brisbane'!D216)</f>
        <v>Term</v>
      </c>
      <c r="G1237" s="65" t="n">
        <f aca="false">IF('Offshore - Brisbane'!E216="","-",'Offshore - Brisbane'!E216)</f>
        <v>1650</v>
      </c>
      <c r="H1237" s="63" t="n">
        <f aca="false">IF(ISNUMBER(K1237),COUNTIFS($J$6:$J$1854,J1237,$K$6:$K$1854,"&lt;"&amp;K1237)+1,"-")</f>
        <v>1</v>
      </c>
      <c r="I1237" s="64" t="str">
        <f aca="false">IF('Offshore - Brisbane'!E216="","Harga belum tersedia - hubungi konsultan TEG",IF(M1237=2,"Saat ini tidak menerima pendaftaran siswa internasional baru",IF(M1237=1,"Harga perlu dikonfirmasi ke sekolah"&amp;IF(""="","","; "&amp;""),"")))</f>
        <v/>
      </c>
      <c r="J1237" s="0" t="s">
        <v>4318</v>
      </c>
      <c r="K1237" s="0" t="n">
        <f aca="false">IF(M1237=2,"",IF(ISNUMBER(SEARCH("rata-rata:",'Offshore - Brisbane'!N216)),VALUE(MID('Offshore - Brisbane'!N216,SEARCH("rata-rata:",'Offshore - Brisbane'!N216)+11,FIND(";",'Offshore - Brisbane'!N216&amp;";",SEARCH("rata-rata:",'Offshore - Brisbane'!N216))-SEARCH("rata-rata:",'Offshore - Brisbane'!N216)-11)),IF('Offshore - Brisbane'!D216="Semester",'Offshore - Brisbane'!E216*2,IF('Offshore - Brisbane'!D216="Trimester",'Offshore - Brisbane'!E216*3,IF('Offshore - Brisbane'!D216="Term",'Offshore - Brisbane'!E216*4,IF('Offshore - Brisbane'!D216="Unit",'Offshore - Brisbane'!E216*8,""))))))</f>
        <v>6600</v>
      </c>
      <c r="L1237" s="0" t="n">
        <f aca="false">IF(AND(ISNUMBER('Offshore - Brisbane'!E216),ISNUMBER(K1237),ISNUMBER('Offshore - Brisbane'!F216),ISNUMBER('Offshore - Brisbane'!G216),OR('Offshore - Brisbane'!F216&lt;&gt;0,ISNUMBER(SEARCH("Material 0 terverifikasi",'Offshore - Brisbane'!N216))),OR('Offshore - Brisbane'!G216&lt;&gt;0,ISNUMBER(SEARCH("Enrolment 0 terverifikasi",'Offshore - Brisbane'!N216)))),1,0)</f>
        <v>1</v>
      </c>
      <c r="M1237" s="0" t="n">
        <f aca="false">IF(OR('Offshore - Brisbane'!E216="",ISNUMBER(SEARCH("BSB80120",'Offshore - Brisbane'!B216&amp;'Offshore - Brisbane'!N216)),ISNUMBER(SEARCH("Management (Learning)",'Offshore - Brisbane'!B216))),2,IF(ISNUMBER(SEARCH("CEK:",'Offshore - Brisbane'!N216)),1,0))</f>
        <v>0</v>
      </c>
    </row>
    <row r="1238" customFormat="false" ht="15" hidden="false" customHeight="false" outlineLevel="0" collapsed="false">
      <c r="A1238" s="63" t="s">
        <v>3563</v>
      </c>
      <c r="B1238" s="64" t="s">
        <v>4297</v>
      </c>
      <c r="C1238" s="63" t="s">
        <v>42</v>
      </c>
      <c r="D1238" s="64" t="str">
        <f aca="false">TRIM(LEFT('Offshore - Brisbane'!A26,FIND(CHAR(10),'Offshore - Brisbane'!A26&amp;CHAR(10))-1))</f>
        <v>American College</v>
      </c>
      <c r="E1238" s="63" t="str">
        <f aca="false">'Offshore - Brisbane'!C30&amp;""</f>
        <v>3 years</v>
      </c>
      <c r="F1238" s="63" t="str">
        <f aca="false">IF('Offshore - Brisbane'!D30="","Belum tercatat",'Offshore - Brisbane'!D30)</f>
        <v>Term</v>
      </c>
      <c r="G1238" s="65" t="n">
        <f aca="false">IF('Offshore - Brisbane'!E30="","-",'Offshore - Brisbane'!E30)</f>
        <v>2350</v>
      </c>
      <c r="H1238" s="63" t="n">
        <f aca="false">IF(ISNUMBER(K1238),COUNTIFS($J$6:$J$1854,J1238,$K$6:$K$1854,"&lt;"&amp;K1238)+1,"-")</f>
        <v>2</v>
      </c>
      <c r="I1238" s="64" t="str">
        <f aca="false">IF('Offshore - Brisbane'!E30="","Harga belum tersedia - hubungi konsultan TEG",IF(M1238=2,"Saat ini tidak menerima pendaftaran siswa internasional baru",IF(M1238=1,"Harga perlu dikonfirmasi ke sekolah"&amp;IF(""="","","; "&amp;""),"")))</f>
        <v/>
      </c>
      <c r="J1238" s="0" t="s">
        <v>4318</v>
      </c>
      <c r="K1238" s="0" t="n">
        <f aca="false">IF(M1238=2,"",IF(ISNUMBER(SEARCH("rata-rata:",'Offshore - Brisbane'!N30)),VALUE(MID('Offshore - Brisbane'!N30,SEARCH("rata-rata:",'Offshore - Brisbane'!N30)+11,FIND(";",'Offshore - Brisbane'!N30&amp;";",SEARCH("rata-rata:",'Offshore - Brisbane'!N30))-SEARCH("rata-rata:",'Offshore - Brisbane'!N30)-11)),IF('Offshore - Brisbane'!D30="Semester",'Offshore - Brisbane'!E30*2,IF('Offshore - Brisbane'!D30="Trimester",'Offshore - Brisbane'!E30*3,IF('Offshore - Brisbane'!D30="Term",'Offshore - Brisbane'!E30*4,IF('Offshore - Brisbane'!D30="Unit",'Offshore - Brisbane'!E30*8,""))))))</f>
        <v>9400</v>
      </c>
      <c r="L1238" s="0" t="n">
        <f aca="false">IF(AND(ISNUMBER('Offshore - Brisbane'!E30),ISNUMBER(K1238),ISNUMBER('Offshore - Brisbane'!F30),ISNUMBER('Offshore - Brisbane'!G30),OR('Offshore - Brisbane'!F30&lt;&gt;0,ISNUMBER(SEARCH("Material 0 terverifikasi",'Offshore - Brisbane'!N30))),OR('Offshore - Brisbane'!G30&lt;&gt;0,ISNUMBER(SEARCH("Enrolment 0 terverifikasi",'Offshore - Brisbane'!N30)))),1,0)</f>
        <v>1</v>
      </c>
      <c r="M1238" s="0" t="n">
        <f aca="false">IF(OR('Offshore - Brisbane'!E30="",ISNUMBER(SEARCH("BSB80120",'Offshore - Brisbane'!B30&amp;'Offshore - Brisbane'!N30)),ISNUMBER(SEARCH("Management (Learning)",'Offshore - Brisbane'!B30))),2,IF(ISNUMBER(SEARCH("CEK:",'Offshore - Brisbane'!N30)),1,0))</f>
        <v>0</v>
      </c>
    </row>
    <row r="1239" customFormat="false" ht="15" hidden="false" customHeight="false" outlineLevel="0" collapsed="false">
      <c r="A1239" s="63" t="s">
        <v>3563</v>
      </c>
      <c r="B1239" s="64" t="s">
        <v>4297</v>
      </c>
      <c r="C1239" s="63" t="s">
        <v>42</v>
      </c>
      <c r="D1239" s="64" t="str">
        <f aca="false">TRIM(LEFT('Offshore - Brisbane'!A237,FIND(CHAR(10),'Offshore - Brisbane'!A237&amp;CHAR(10))-1))</f>
        <v>Hospitality Training Academy (HTA)</v>
      </c>
      <c r="E1239" s="63" t="str">
        <f aca="false">'Offshore - Brisbane'!C238&amp;""</f>
        <v>2,5 years</v>
      </c>
      <c r="F1239" s="63" t="str">
        <f aca="false">IF('Offshore - Brisbane'!D238="","Belum tercatat",'Offshore - Brisbane'!D238)</f>
        <v>Term</v>
      </c>
      <c r="G1239" s="65" t="n">
        <f aca="false">IF('Offshore - Brisbane'!E238="","-",'Offshore - Brisbane'!E238)</f>
        <v>2500</v>
      </c>
      <c r="H1239" s="63" t="n">
        <f aca="false">IF(ISNUMBER(K1239),COUNTIFS($J$6:$J$1854,J1239,$K$6:$K$1854,"&lt;"&amp;K1239)+1,"-")</f>
        <v>3</v>
      </c>
      <c r="I1239" s="64" t="str">
        <f aca="false">IF('Offshore - Brisbane'!E238="","Harga belum tersedia - hubungi konsultan TEG",IF(M1239=2,"Saat ini tidak menerima pendaftaran siswa internasional baru",IF(M1239=1,"Harga perlu dikonfirmasi ke sekolah"&amp;IF(""="","","; "&amp;""),"")))</f>
        <v/>
      </c>
      <c r="J1239" s="0" t="s">
        <v>4318</v>
      </c>
      <c r="K1239" s="0" t="n">
        <f aca="false">IF(M1239=2,"",IF(ISNUMBER(SEARCH("rata-rata:",'Offshore - Brisbane'!N238)),VALUE(MID('Offshore - Brisbane'!N238,SEARCH("rata-rata:",'Offshore - Brisbane'!N238)+11,FIND(";",'Offshore - Brisbane'!N238&amp;";",SEARCH("rata-rata:",'Offshore - Brisbane'!N238))-SEARCH("rata-rata:",'Offshore - Brisbane'!N238)-11)),IF('Offshore - Brisbane'!D238="Semester",'Offshore - Brisbane'!E238*2,IF('Offshore - Brisbane'!D238="Trimester",'Offshore - Brisbane'!E238*3,IF('Offshore - Brisbane'!D238="Term",'Offshore - Brisbane'!E238*4,IF('Offshore - Brisbane'!D238="Unit",'Offshore - Brisbane'!E238*8,""))))))</f>
        <v>10000</v>
      </c>
      <c r="L1239" s="0" t="n">
        <f aca="false">IF(AND(ISNUMBER('Offshore - Brisbane'!E238),ISNUMBER(K1239),ISNUMBER('Offshore - Brisbane'!F238),ISNUMBER('Offshore - Brisbane'!G238),OR('Offshore - Brisbane'!F238&lt;&gt;0,ISNUMBER(SEARCH("Material 0 terverifikasi",'Offshore - Brisbane'!N238))),OR('Offshore - Brisbane'!G238&lt;&gt;0,ISNUMBER(SEARCH("Enrolment 0 terverifikasi",'Offshore - Brisbane'!N238)))),1,0)</f>
        <v>1</v>
      </c>
      <c r="M1239" s="0" t="n">
        <f aca="false">IF(OR('Offshore - Brisbane'!E238="",ISNUMBER(SEARCH("BSB80120",'Offshore - Brisbane'!B238&amp;'Offshore - Brisbane'!N238)),ISNUMBER(SEARCH("Management (Learning)",'Offshore - Brisbane'!B238))),2,IF(ISNUMBER(SEARCH("CEK:",'Offshore - Brisbane'!N238)),1,0))</f>
        <v>0</v>
      </c>
    </row>
    <row r="1240" customFormat="false" ht="15" hidden="false" customHeight="false" outlineLevel="0" collapsed="false">
      <c r="A1240" s="63" t="s">
        <v>3563</v>
      </c>
      <c r="B1240" s="64" t="s">
        <v>4297</v>
      </c>
      <c r="C1240" s="63" t="s">
        <v>42</v>
      </c>
      <c r="D1240" s="64" t="str">
        <f aca="false">TRIM(LEFT('Offshore - Brisbane'!A161,FIND(CHAR(10),'Offshore - Brisbane'!A161&amp;CHAR(10))-1))</f>
        <v>Australian Skills Management Institute (ASMI)</v>
      </c>
      <c r="E1240" s="63" t="str">
        <f aca="false">'Offshore - Brisbane'!C162&amp;""</f>
        <v>2,5 years</v>
      </c>
      <c r="F1240" s="63" t="str">
        <f aca="false">IF('Offshore - Brisbane'!D162="","Belum tercatat",'Offshore - Brisbane'!D162)</f>
        <v>Term</v>
      </c>
      <c r="G1240" s="65" t="n">
        <f aca="false">IF('Offshore - Brisbane'!E162="","-",'Offshore - Brisbane'!E162)</f>
        <v>2600</v>
      </c>
      <c r="H1240" s="63" t="n">
        <f aca="false">IF(ISNUMBER(K1240),COUNTIFS($J$6:$J$1854,J1240,$K$6:$K$1854,"&lt;"&amp;K1240)+1,"-")</f>
        <v>4</v>
      </c>
      <c r="I1240" s="64" t="str">
        <f aca="false">IF('Offshore - Brisbane'!E162="","Harga belum tersedia - hubungi konsultan TEG",IF(M1240=2,"Saat ini tidak menerima pendaftaran siswa internasional baru",IF(M1240=1,"Harga perlu dikonfirmasi ke sekolah"&amp;IF(""="","","; "&amp;""),"")))</f>
        <v/>
      </c>
      <c r="J1240" s="0" t="s">
        <v>4318</v>
      </c>
      <c r="K1240" s="0" t="n">
        <f aca="false">IF(M1240=2,"",IF(ISNUMBER(SEARCH("rata-rata:",'Offshore - Brisbane'!N162)),VALUE(MID('Offshore - Brisbane'!N162,SEARCH("rata-rata:",'Offshore - Brisbane'!N162)+11,FIND(";",'Offshore - Brisbane'!N162&amp;";",SEARCH("rata-rata:",'Offshore - Brisbane'!N162))-SEARCH("rata-rata:",'Offshore - Brisbane'!N162)-11)),IF('Offshore - Brisbane'!D162="Semester",'Offshore - Brisbane'!E162*2,IF('Offshore - Brisbane'!D162="Trimester",'Offshore - Brisbane'!E162*3,IF('Offshore - Brisbane'!D162="Term",'Offshore - Brisbane'!E162*4,IF('Offshore - Brisbane'!D162="Unit",'Offshore - Brisbane'!E162*8,""))))))</f>
        <v>10400</v>
      </c>
      <c r="L1240" s="0" t="n">
        <f aca="false">IF(AND(ISNUMBER('Offshore - Brisbane'!E162),ISNUMBER(K1240),ISNUMBER('Offshore - Brisbane'!F162),ISNUMBER('Offshore - Brisbane'!G162),OR('Offshore - Brisbane'!F162&lt;&gt;0,ISNUMBER(SEARCH("Material 0 terverifikasi",'Offshore - Brisbane'!N162))),OR('Offshore - Brisbane'!G162&lt;&gt;0,ISNUMBER(SEARCH("Enrolment 0 terverifikasi",'Offshore - Brisbane'!N162)))),1,0)</f>
        <v>1</v>
      </c>
      <c r="M1240" s="0" t="n">
        <f aca="false">IF(OR('Offshore - Brisbane'!E162="",ISNUMBER(SEARCH("BSB80120",'Offshore - Brisbane'!B162&amp;'Offshore - Brisbane'!N162)),ISNUMBER(SEARCH("Management (Learning)",'Offshore - Brisbane'!B162))),2,IF(ISNUMBER(SEARCH("CEK:",'Offshore - Brisbane'!N162)),1,0))</f>
        <v>0</v>
      </c>
    </row>
    <row r="1241" customFormat="false" ht="15" hidden="false" customHeight="false" outlineLevel="0" collapsed="false">
      <c r="A1241" s="63" t="s">
        <v>3563</v>
      </c>
      <c r="B1241" s="64" t="s">
        <v>4297</v>
      </c>
      <c r="C1241" s="63" t="s">
        <v>42</v>
      </c>
      <c r="D1241" s="64" t="str">
        <f aca="false">TRIM(LEFT('Offshore - Brisbane'!A297,FIND(CHAR(10),'Offshore - Brisbane'!A297&amp;CHAR(10))-1))</f>
        <v>Skills Institute Australia</v>
      </c>
      <c r="E1241" s="63" t="str">
        <f aca="false">'Offshore - Brisbane'!C298&amp;""</f>
        <v>3 years</v>
      </c>
      <c r="F1241" s="63" t="str">
        <f aca="false">IF('Offshore - Brisbane'!D298="","Belum tercatat",'Offshore - Brisbane'!D298)</f>
        <v>Term</v>
      </c>
      <c r="G1241" s="65" t="n">
        <f aca="false">IF('Offshore - Brisbane'!E298="","-",'Offshore - Brisbane'!E298)</f>
        <v>3300</v>
      </c>
      <c r="H1241" s="63" t="n">
        <f aca="false">IF(ISNUMBER(K1241),COUNTIFS($J$6:$J$1854,J1241,$K$6:$K$1854,"&lt;"&amp;K1241)+1,"-")</f>
        <v>5</v>
      </c>
      <c r="I1241" s="64" t="str">
        <f aca="false">IF('Offshore - Brisbane'!E298="","Harga belum tersedia - hubungi konsultan TEG",IF(M1241=2,"Saat ini tidak menerima pendaftaran siswa internasional baru",IF(M1241=1,"Harga perlu dikonfirmasi ke sekolah"&amp;IF(""="","","; "&amp;""),"")))</f>
        <v/>
      </c>
      <c r="J1241" s="0" t="s">
        <v>4318</v>
      </c>
      <c r="K1241" s="0" t="n">
        <f aca="false">IF(M1241=2,"",IF(ISNUMBER(SEARCH("rata-rata:",'Offshore - Brisbane'!N298)),VALUE(MID('Offshore - Brisbane'!N298,SEARCH("rata-rata:",'Offshore - Brisbane'!N298)+11,FIND(";",'Offshore - Brisbane'!N298&amp;";",SEARCH("rata-rata:",'Offshore - Brisbane'!N298))-SEARCH("rata-rata:",'Offshore - Brisbane'!N298)-11)),IF('Offshore - Brisbane'!D298="Semester",'Offshore - Brisbane'!E298*2,IF('Offshore - Brisbane'!D298="Trimester",'Offshore - Brisbane'!E298*3,IF('Offshore - Brisbane'!D298="Term",'Offshore - Brisbane'!E298*4,IF('Offshore - Brisbane'!D298="Unit",'Offshore - Brisbane'!E298*8,""))))))</f>
        <v>13200</v>
      </c>
      <c r="L1241" s="0" t="n">
        <f aca="false">IF(AND(ISNUMBER('Offshore - Brisbane'!E298),ISNUMBER(K1241),ISNUMBER('Offshore - Brisbane'!F298),ISNUMBER('Offshore - Brisbane'!G298),OR('Offshore - Brisbane'!F298&lt;&gt;0,ISNUMBER(SEARCH("Material 0 terverifikasi",'Offshore - Brisbane'!N298))),OR('Offshore - Brisbane'!G298&lt;&gt;0,ISNUMBER(SEARCH("Enrolment 0 terverifikasi",'Offshore - Brisbane'!N298)))),1,0)</f>
        <v>1</v>
      </c>
      <c r="M1241" s="0" t="n">
        <f aca="false">IF(OR('Offshore - Brisbane'!E298="",ISNUMBER(SEARCH("BSB80120",'Offshore - Brisbane'!B298&amp;'Offshore - Brisbane'!N298)),ISNUMBER(SEARCH("Management (Learning)",'Offshore - Brisbane'!B298))),2,IF(ISNUMBER(SEARCH("CEK:",'Offshore - Brisbane'!N298)),1,0))</f>
        <v>0</v>
      </c>
    </row>
    <row r="1242" customFormat="false" ht="15" hidden="false" customHeight="false" outlineLevel="0" collapsed="false">
      <c r="A1242" s="63" t="s">
        <v>3563</v>
      </c>
      <c r="B1242" s="64" t="s">
        <v>4297</v>
      </c>
      <c r="C1242" s="63" t="s">
        <v>42</v>
      </c>
      <c r="D1242" s="64" t="str">
        <f aca="false">TRIM(LEFT('Offshore - Brisbane'!A265,FIND(CHAR(10),'Offshore - Brisbane'!A265&amp;CHAR(10))-1))</f>
        <v>Le Cordon Bleu Australia</v>
      </c>
      <c r="E1242" s="63" t="str">
        <f aca="false">'Offshore - Brisbane'!C272&amp;""</f>
        <v>2,5 years</v>
      </c>
      <c r="F1242" s="63" t="str">
        <f aca="false">IF('Offshore - Brisbane'!D272="","Belum tercatat",'Offshore - Brisbane'!D272)</f>
        <v>Term</v>
      </c>
      <c r="G1242" s="65" t="n">
        <f aca="false">IF('Offshore - Brisbane'!E272="","-",'Offshore - Brisbane'!E272)</f>
        <v>7005.6</v>
      </c>
      <c r="H1242" s="63" t="n">
        <f aca="false">IF(ISNUMBER(K1242),COUNTIFS($J$6:$J$1854,J1242,$K$6:$K$1854,"&lt;"&amp;K1242)+1,"-")</f>
        <v>6</v>
      </c>
      <c r="I1242" s="64" t="str">
        <f aca="false">IF('Offshore - Brisbane'!E272="","Harga belum tersedia - hubungi konsultan TEG",IF(M1242=2,"Saat ini tidak menerima pendaftaran siswa internasional baru",IF(M1242=1,"Program perlu dikonfirmasi ketersediaannya"&amp;IF(""="","","; "&amp;""),"")))</f>
        <v>Program perlu dikonfirmasi ketersediaannya</v>
      </c>
      <c r="J1242" s="0" t="s">
        <v>4318</v>
      </c>
      <c r="K1242" s="0" t="n">
        <f aca="false">IF(M1242=2,"",IF(ISNUMBER(SEARCH("rata-rata:",'Offshore - Brisbane'!N272)),VALUE(MID('Offshore - Brisbane'!N272,SEARCH("rata-rata:",'Offshore - Brisbane'!N272)+11,FIND(";",'Offshore - Brisbane'!N272&amp;";",SEARCH("rata-rata:",'Offshore - Brisbane'!N272))-SEARCH("rata-rata:",'Offshore - Brisbane'!N272)-11)),IF('Offshore - Brisbane'!D272="Semester",'Offshore - Brisbane'!E272*2,IF('Offshore - Brisbane'!D272="Trimester",'Offshore - Brisbane'!E272*3,IF('Offshore - Brisbane'!D272="Term",'Offshore - Brisbane'!E272*4,IF('Offshore - Brisbane'!D272="Unit",'Offshore - Brisbane'!E272*8,""))))))</f>
        <v>28022.4</v>
      </c>
      <c r="L1242" s="0" t="n">
        <f aca="false">IF(AND(ISNUMBER('Offshore - Brisbane'!E272),ISNUMBER(K1242),ISNUMBER('Offshore - Brisbane'!F272),ISNUMBER('Offshore - Brisbane'!G272),OR('Offshore - Brisbane'!F272&lt;&gt;0,ISNUMBER(SEARCH("Material 0 terverifikasi",'Offshore - Brisbane'!N272))),OR('Offshore - Brisbane'!G272&lt;&gt;0,ISNUMBER(SEARCH("Enrolment 0 terverifikasi",'Offshore - Brisbane'!N272)))),1,0)</f>
        <v>0</v>
      </c>
      <c r="M1242" s="0" t="n">
        <f aca="false">IF(OR('Offshore - Brisbane'!E272="",ISNUMBER(SEARCH("BSB80120",'Offshore - Brisbane'!B272&amp;'Offshore - Brisbane'!N272)),ISNUMBER(SEARCH("Management (Learning)",'Offshore - Brisbane'!B272))),2,IF(ISNUMBER(SEARCH("CEK:",'Offshore - Brisbane'!N272)),1,0))</f>
        <v>1</v>
      </c>
    </row>
    <row r="1243" customFormat="false" ht="15" hidden="false" customHeight="false" outlineLevel="0" collapsed="false">
      <c r="A1243" s="61" t="s">
        <v>4319</v>
      </c>
      <c r="B1243" s="62"/>
      <c r="C1243" s="62"/>
      <c r="D1243" s="62"/>
      <c r="E1243" s="62"/>
      <c r="F1243" s="62"/>
      <c r="G1243" s="62"/>
      <c r="H1243" s="62"/>
      <c r="I1243" s="62"/>
    </row>
    <row r="1244" customFormat="false" ht="15" hidden="false" customHeight="false" outlineLevel="0" collapsed="false">
      <c r="A1244" s="63" t="s">
        <v>3563</v>
      </c>
      <c r="B1244" s="64" t="s">
        <v>4297</v>
      </c>
      <c r="C1244" s="63" t="s">
        <v>43</v>
      </c>
      <c r="D1244" s="64" t="str">
        <f aca="false">TRIM(LEFT('Offshore - Brisbane'!A265,FIND(CHAR(10),'Offshore - Brisbane'!A265&amp;CHAR(10))-1))</f>
        <v>Le Cordon Bleu Australia</v>
      </c>
      <c r="E1244" s="63" t="str">
        <f aca="false">'Offshore - Brisbane'!C273&amp;""</f>
        <v>3 years</v>
      </c>
      <c r="F1244" s="63" t="str">
        <f aca="false">IF('Offshore - Brisbane'!D273="","Belum tercatat",'Offshore - Brisbane'!D273)</f>
        <v>Term</v>
      </c>
      <c r="G1244" s="65" t="n">
        <f aca="false">IF('Offshore - Brisbane'!E273="","-",'Offshore - Brisbane'!E273)</f>
        <v>5688.58</v>
      </c>
      <c r="H1244" s="63" t="n">
        <f aca="false">IF(ISNUMBER(K1244),COUNTIFS($J$6:$J$1854,J1244,$K$6:$K$1854,"&lt;"&amp;K1244)+1,"-")</f>
        <v>1</v>
      </c>
      <c r="I1244" s="64" t="str">
        <f aca="false">IF('Offshore - Brisbane'!E273="","Harga belum tersedia - hubungi konsultan TEG",IF(M1244=2,"Saat ini tidak menerima pendaftaran siswa internasional baru",IF(M1244=1,"Program perlu dikonfirmasi ketersediaannya"&amp;IF(""="","","; "&amp;""),"")))</f>
        <v>Program perlu dikonfirmasi ketersediaannya</v>
      </c>
      <c r="J1244" s="0" t="s">
        <v>4320</v>
      </c>
      <c r="K1244" s="0" t="n">
        <f aca="false">IF(M1244=2,"",IF(ISNUMBER(SEARCH("rata-rata:",'Offshore - Brisbane'!N273)),VALUE(MID('Offshore - Brisbane'!N273,SEARCH("rata-rata:",'Offshore - Brisbane'!N273)+11,FIND(";",'Offshore - Brisbane'!N273&amp;";",SEARCH("rata-rata:",'Offshore - Brisbane'!N273))-SEARCH("rata-rata:",'Offshore - Brisbane'!N273)-11)),IF('Offshore - Brisbane'!D273="Semester",'Offshore - Brisbane'!E273*2,IF('Offshore - Brisbane'!D273="Trimester",'Offshore - Brisbane'!E273*3,IF('Offshore - Brisbane'!D273="Term",'Offshore - Brisbane'!E273*4,IF('Offshore - Brisbane'!D273="Unit",'Offshore - Brisbane'!E273*8,""))))))</f>
        <v>22754.32</v>
      </c>
      <c r="L1244" s="0" t="n">
        <f aca="false">IF(AND(ISNUMBER('Offshore - Brisbane'!E273),ISNUMBER(K1244),ISNUMBER('Offshore - Brisbane'!F273),ISNUMBER('Offshore - Brisbane'!G273),OR('Offshore - Brisbane'!F273&lt;&gt;0,ISNUMBER(SEARCH("Material 0 terverifikasi",'Offshore - Brisbane'!N273))),OR('Offshore - Brisbane'!G273&lt;&gt;0,ISNUMBER(SEARCH("Enrolment 0 terverifikasi",'Offshore - Brisbane'!N273)))),1,0)</f>
        <v>0</v>
      </c>
      <c r="M1244" s="0" t="n">
        <f aca="false">IF(OR('Offshore - Brisbane'!E273="",ISNUMBER(SEARCH("BSB80120",'Offshore - Brisbane'!B273&amp;'Offshore - Brisbane'!N273)),ISNUMBER(SEARCH("Management (Learning)",'Offshore - Brisbane'!B273))),2,IF(ISNUMBER(SEARCH("CEK:",'Offshore - Brisbane'!N273)),1,0))</f>
        <v>1</v>
      </c>
    </row>
    <row r="1245" customFormat="false" ht="15" hidden="false" customHeight="false" outlineLevel="0" collapsed="false">
      <c r="A1245" s="61" t="s">
        <v>4321</v>
      </c>
      <c r="B1245" s="62"/>
      <c r="C1245" s="62"/>
      <c r="D1245" s="62"/>
      <c r="E1245" s="62"/>
      <c r="F1245" s="62"/>
      <c r="G1245" s="62"/>
      <c r="H1245" s="62"/>
      <c r="I1245" s="62"/>
    </row>
    <row r="1246" customFormat="false" ht="15" hidden="false" customHeight="false" outlineLevel="0" collapsed="false">
      <c r="A1246" s="63" t="s">
        <v>3563</v>
      </c>
      <c r="B1246" s="64" t="s">
        <v>4297</v>
      </c>
      <c r="C1246" s="63" t="s">
        <v>46</v>
      </c>
      <c r="D1246" s="64" t="str">
        <f aca="false">TRIM(LEFT('Offshore - Brisbane'!A265,FIND(CHAR(10),'Offshore - Brisbane'!A265&amp;CHAR(10))-1))</f>
        <v>Le Cordon Bleu Australia</v>
      </c>
      <c r="E1246" s="63" t="str">
        <f aca="false">'Offshore - Brisbane'!C275&amp;""</f>
        <v>2 years</v>
      </c>
      <c r="F1246" s="63" t="str">
        <f aca="false">IF('Offshore - Brisbane'!D275="","Belum tercatat",'Offshore - Brisbane'!D275)</f>
        <v>Term</v>
      </c>
      <c r="G1246" s="65" t="n">
        <f aca="false">IF('Offshore - Brisbane'!E275="","-",'Offshore - Brisbane'!E275)</f>
        <v>6818.75</v>
      </c>
      <c r="H1246" s="63" t="n">
        <f aca="false">IF(ISNUMBER(K1246),COUNTIFS($J$6:$J$1854,J1246,$K$6:$K$1854,"&lt;"&amp;K1246)+1,"-")</f>
        <v>1</v>
      </c>
      <c r="I1246" s="64" t="str">
        <f aca="false">IF('Offshore - Brisbane'!E275="","Harga belum tersedia - hubungi konsultan TEG",IF(M1246=2,"Saat ini tidak menerima pendaftaran siswa internasional baru",IF(M1246=1,"Program perlu dikonfirmasi ketersediaannya"&amp;IF(""="","","; "&amp;""),"")))</f>
        <v>Program perlu dikonfirmasi ketersediaannya</v>
      </c>
      <c r="J1246" s="0" t="s">
        <v>4322</v>
      </c>
      <c r="K1246" s="0" t="n">
        <f aca="false">IF(M1246=2,"",IF(ISNUMBER(SEARCH("rata-rata:",'Offshore - Brisbane'!N275)),VALUE(MID('Offshore - Brisbane'!N275,SEARCH("rata-rata:",'Offshore - Brisbane'!N275)+11,FIND(";",'Offshore - Brisbane'!N275&amp;";",SEARCH("rata-rata:",'Offshore - Brisbane'!N275))-SEARCH("rata-rata:",'Offshore - Brisbane'!N275)-11)),IF('Offshore - Brisbane'!D275="Semester",'Offshore - Brisbane'!E275*2,IF('Offshore - Brisbane'!D275="Trimester",'Offshore - Brisbane'!E275*3,IF('Offshore - Brisbane'!D275="Term",'Offshore - Brisbane'!E275*4,IF('Offshore - Brisbane'!D275="Unit",'Offshore - Brisbane'!E275*8,""))))))</f>
        <v>27275</v>
      </c>
      <c r="L1246" s="0" t="n">
        <f aca="false">IF(AND(ISNUMBER('Offshore - Brisbane'!E275),ISNUMBER(K1246),ISNUMBER('Offshore - Brisbane'!F275),ISNUMBER('Offshore - Brisbane'!G275),OR('Offshore - Brisbane'!F275&lt;&gt;0,ISNUMBER(SEARCH("Material 0 terverifikasi",'Offshore - Brisbane'!N275))),OR('Offshore - Brisbane'!G275&lt;&gt;0,ISNUMBER(SEARCH("Enrolment 0 terverifikasi",'Offshore - Brisbane'!N275)))),1,0)</f>
        <v>0</v>
      </c>
      <c r="M1246" s="0" t="n">
        <f aca="false">IF(OR('Offshore - Brisbane'!E275="",ISNUMBER(SEARCH("BSB80120",'Offshore - Brisbane'!B275&amp;'Offshore - Brisbane'!N275)),ISNUMBER(SEARCH("Management (Learning)",'Offshore - Brisbane'!B275))),2,IF(ISNUMBER(SEARCH("CEK:",'Offshore - Brisbane'!N275)),1,0))</f>
        <v>1</v>
      </c>
    </row>
    <row r="1247" customFormat="false" ht="15" hidden="false" customHeight="false" outlineLevel="0" collapsed="false">
      <c r="A1247" s="61" t="s">
        <v>4323</v>
      </c>
      <c r="B1247" s="62"/>
      <c r="C1247" s="62"/>
      <c r="D1247" s="62"/>
      <c r="E1247" s="62"/>
      <c r="F1247" s="62"/>
      <c r="G1247" s="62"/>
      <c r="H1247" s="62"/>
      <c r="I1247" s="62"/>
    </row>
    <row r="1248" customFormat="false" ht="15" hidden="false" customHeight="false" outlineLevel="0" collapsed="false">
      <c r="A1248" s="63" t="s">
        <v>3718</v>
      </c>
      <c r="B1248" s="64" t="s">
        <v>4297</v>
      </c>
      <c r="C1248" s="63" t="s">
        <v>40</v>
      </c>
      <c r="D1248" s="64" t="str">
        <f aca="false">TRIM(LEFT('Offshore - Canberra'!A111,FIND(CHAR(10),'Offshore - Canberra'!A111&amp;CHAR(10))-1))</f>
        <v>Capital College</v>
      </c>
      <c r="E1248" s="63" t="str">
        <f aca="false">'Offshore - Canberra'!C112&amp;""</f>
        <v>1,5 years</v>
      </c>
      <c r="F1248" s="63" t="str">
        <f aca="false">IF('Offshore - Canberra'!D112="","Belum tercatat",'Offshore - Canberra'!D112)</f>
        <v>Term</v>
      </c>
      <c r="G1248" s="65" t="n">
        <f aca="false">IF('Offshore - Canberra'!E112="","-",'Offshore - Canberra'!E112)</f>
        <v>3875</v>
      </c>
      <c r="H1248" s="63" t="n">
        <f aca="false">IF(ISNUMBER(K1248),COUNTIFS($J$6:$J$1854,J1248,$K$6:$K$1854,"&lt;"&amp;K1248)+1,"-")</f>
        <v>1</v>
      </c>
      <c r="I1248" s="64" t="str">
        <f aca="false">IF('Offshore - Canberra'!E112="","Harga belum tersedia - hubungi konsultan TEG",IF(M1248=2,"Saat ini tidak menerima pendaftaran siswa internasional baru",IF(M1248=1,"Harga perlu dikonfirmasi ke sekolah"&amp;IF(""="","","; "&amp;""),"")))</f>
        <v>Harga perlu dikonfirmasi ke sekolah</v>
      </c>
      <c r="J1248" s="0" t="s">
        <v>4324</v>
      </c>
      <c r="K1248" s="0" t="n">
        <f aca="false">IF(M1248=2,"",IF(ISNUMBER(SEARCH("rata-rata:",'Offshore - Canberra'!N112)),VALUE(MID('Offshore - Canberra'!N112,SEARCH("rata-rata:",'Offshore - Canberra'!N112)+11,FIND(";",'Offshore - Canberra'!N112&amp;";",SEARCH("rata-rata:",'Offshore - Canberra'!N112))-SEARCH("rata-rata:",'Offshore - Canberra'!N112)-11)),IF('Offshore - Canberra'!D112="Semester",'Offshore - Canberra'!E112*2,IF('Offshore - Canberra'!D112="Trimester",'Offshore - Canberra'!E112*3,IF('Offshore - Canberra'!D112="Term",'Offshore - Canberra'!E112*4,IF('Offshore - Canberra'!D112="Unit",'Offshore - Canberra'!E112*8,""))))))</f>
        <v>15500</v>
      </c>
      <c r="L1248" s="0" t="n">
        <f aca="false">IF(AND(ISNUMBER('Offshore - Canberra'!E112),ISNUMBER(K1248),ISNUMBER('Offshore - Canberra'!F112),ISNUMBER('Offshore - Canberra'!G112),OR('Offshore - Canberra'!F112&lt;&gt;0,ISNUMBER(SEARCH("Material 0 terverifikasi",'Offshore - Canberra'!N112))),OR('Offshore - Canberra'!G112&lt;&gt;0,ISNUMBER(SEARCH("Enrolment 0 terverifikasi",'Offshore - Canberra'!N112)))),1,0)</f>
        <v>1</v>
      </c>
      <c r="M1248" s="0" t="n">
        <f aca="false">IF(OR('Offshore - Canberra'!E112="",ISNUMBER(SEARCH("BSB80120",'Offshore - Canberra'!B112&amp;'Offshore - Canberra'!N112)),ISNUMBER(SEARCH("Management (Learning)",'Offshore - Canberra'!B112))),2,IF(ISNUMBER(SEARCH("CEK:",'Offshore - Canberra'!N112)),1,0))</f>
        <v>1</v>
      </c>
    </row>
    <row r="1249" customFormat="false" ht="15" hidden="false" customHeight="false" outlineLevel="0" collapsed="false">
      <c r="A1249" s="61" t="s">
        <v>4325</v>
      </c>
      <c r="B1249" s="62"/>
      <c r="C1249" s="62"/>
      <c r="D1249" s="62"/>
      <c r="E1249" s="62"/>
      <c r="F1249" s="62"/>
      <c r="G1249" s="62"/>
      <c r="H1249" s="62"/>
      <c r="I1249" s="62"/>
    </row>
    <row r="1250" customFormat="false" ht="28.35" hidden="false" customHeight="false" outlineLevel="0" collapsed="false">
      <c r="A1250" s="63" t="s">
        <v>3718</v>
      </c>
      <c r="B1250" s="64" t="s">
        <v>4297</v>
      </c>
      <c r="C1250" s="63" t="s">
        <v>41</v>
      </c>
      <c r="D1250" s="64" t="str">
        <f aca="false">TRIM(LEFT('Offshore - Canberra'!A138,FIND(CHAR(10),'Offshore - Canberra'!A138&amp;CHAR(10))-1))</f>
        <v>Institute of Vision and Business &amp; Technology (IVBT)</v>
      </c>
      <c r="E1250" s="63" t="str">
        <f aca="false">'Offshore - Canberra'!C138&amp;""</f>
        <v>2 years</v>
      </c>
      <c r="F1250" s="63" t="str">
        <f aca="false">IF('Offshore - Canberra'!D138="","Belum tercatat",'Offshore - Canberra'!D138)</f>
        <v>Term</v>
      </c>
      <c r="G1250" s="65" t="n">
        <f aca="false">IF('Offshore - Canberra'!E138="","-",'Offshore - Canberra'!E138)</f>
        <v>1950</v>
      </c>
      <c r="H1250" s="63" t="n">
        <f aca="false">IF(ISNUMBER(K1250),COUNTIFS($J$6:$J$1854,J1250,$K$6:$K$1854,"&lt;"&amp;K1250)+1,"-")</f>
        <v>1</v>
      </c>
      <c r="I1250" s="64" t="str">
        <f aca="false">IF('Offshore - Canberra'!E138="","Harga belum tersedia - hubungi konsultan TEG",IF(M1250=2,"Saat ini tidak menerima pendaftaran siswa internasional baru",IF(M1250=1,"Harga perlu dikonfirmasi ke sekolah"&amp;IF(""="","","; "&amp;""),"")))</f>
        <v>Harga perlu dikonfirmasi ke sekolah</v>
      </c>
      <c r="J1250" s="0" t="s">
        <v>4326</v>
      </c>
      <c r="K1250" s="0" t="n">
        <f aca="false">IF(M1250=2,"",IF(ISNUMBER(SEARCH("rata-rata:",'Offshore - Canberra'!N138)),VALUE(MID('Offshore - Canberra'!N138,SEARCH("rata-rata:",'Offshore - Canberra'!N138)+11,FIND(";",'Offshore - Canberra'!N138&amp;";",SEARCH("rata-rata:",'Offshore - Canberra'!N138))-SEARCH("rata-rata:",'Offshore - Canberra'!N138)-11)),IF('Offshore - Canberra'!D138="Semester",'Offshore - Canberra'!E138*2,IF('Offshore - Canberra'!D138="Trimester",'Offshore - Canberra'!E138*3,IF('Offshore - Canberra'!D138="Term",'Offshore - Canberra'!E138*4,IF('Offshore - Canberra'!D138="Unit",'Offshore - Canberra'!E138*8,""))))))</f>
        <v>7800</v>
      </c>
      <c r="L1250" s="0" t="n">
        <f aca="false">IF(AND(ISNUMBER('Offshore - Canberra'!E138),ISNUMBER(K1250),ISNUMBER('Offshore - Canberra'!F138),ISNUMBER('Offshore - Canberra'!G138),OR('Offshore - Canberra'!F138&lt;&gt;0,ISNUMBER(SEARCH("Material 0 terverifikasi",'Offshore - Canberra'!N138))),OR('Offshore - Canberra'!G138&lt;&gt;0,ISNUMBER(SEARCH("Enrolment 0 terverifikasi",'Offshore - Canberra'!N138)))),1,0)</f>
        <v>1</v>
      </c>
      <c r="M1250" s="0" t="n">
        <f aca="false">IF(OR('Offshore - Canberra'!E138="",ISNUMBER(SEARCH("BSB80120",'Offshore - Canberra'!B138&amp;'Offshore - Canberra'!N138)),ISNUMBER(SEARCH("Management (Learning)",'Offshore - Canberra'!B138))),2,IF(ISNUMBER(SEARCH("CEK:",'Offshore - Canberra'!N138)),1,0))</f>
        <v>1</v>
      </c>
    </row>
    <row r="1251" customFormat="false" ht="15" hidden="false" customHeight="false" outlineLevel="0" collapsed="false">
      <c r="A1251" s="63" t="s">
        <v>3718</v>
      </c>
      <c r="B1251" s="64" t="s">
        <v>4297</v>
      </c>
      <c r="C1251" s="63" t="s">
        <v>41</v>
      </c>
      <c r="D1251" s="64" t="str">
        <f aca="false">TRIM(LEFT('Offshore - Canberra'!A144,FIND(CHAR(10),'Offshore - Canberra'!A144&amp;CHAR(10))-1))</f>
        <v>Opulence College</v>
      </c>
      <c r="E1251" s="63" t="str">
        <f aca="false">'Offshore - Canberra'!C145&amp;""</f>
        <v>2 years</v>
      </c>
      <c r="F1251" s="63" t="str">
        <f aca="false">IF('Offshore - Canberra'!D145="","Belum tercatat",'Offshore - Canberra'!D145)</f>
        <v>Term</v>
      </c>
      <c r="G1251" s="65" t="n">
        <f aca="false">IF('Offshore - Canberra'!E145="","-",'Offshore - Canberra'!E145)</f>
        <v>2815</v>
      </c>
      <c r="H1251" s="63" t="n">
        <f aca="false">IF(ISNUMBER(K1251),COUNTIFS($J$6:$J$1854,J1251,$K$6:$K$1854,"&lt;"&amp;K1251)+1,"-")</f>
        <v>2</v>
      </c>
      <c r="I1251" s="64" t="str">
        <f aca="false">IF('Offshore - Canberra'!E145="","Harga belum tersedia - hubungi konsultan TEG",IF(M1251=2,"Saat ini tidak menerima pendaftaran siswa internasional baru",IF(M1251=1,"Harga perlu dikonfirmasi ke sekolah"&amp;IF(""="","","; "&amp;""),"")))</f>
        <v/>
      </c>
      <c r="J1251" s="0" t="s">
        <v>4326</v>
      </c>
      <c r="K1251" s="0" t="n">
        <f aca="false">IF(M1251=2,"",IF(ISNUMBER(SEARCH("rata-rata:",'Offshore - Canberra'!N145)),VALUE(MID('Offshore - Canberra'!N145,SEARCH("rata-rata:",'Offshore - Canberra'!N145)+11,FIND(";",'Offshore - Canberra'!N145&amp;";",SEARCH("rata-rata:",'Offshore - Canberra'!N145))-SEARCH("rata-rata:",'Offshore - Canberra'!N145)-11)),IF('Offshore - Canberra'!D145="Semester",'Offshore - Canberra'!E145*2,IF('Offshore - Canberra'!D145="Trimester",'Offshore - Canberra'!E145*3,IF('Offshore - Canberra'!D145="Term",'Offshore - Canberra'!E145*4,IF('Offshore - Canberra'!D145="Unit",'Offshore - Canberra'!E145*8,""))))))</f>
        <v>11260</v>
      </c>
      <c r="L1251" s="0" t="n">
        <f aca="false">IF(AND(ISNUMBER('Offshore - Canberra'!E145),ISNUMBER(K1251),ISNUMBER('Offshore - Canberra'!F145),ISNUMBER('Offshore - Canberra'!G145),OR('Offshore - Canberra'!F145&lt;&gt;0,ISNUMBER(SEARCH("Material 0 terverifikasi",'Offshore - Canberra'!N145))),OR('Offshore - Canberra'!G145&lt;&gt;0,ISNUMBER(SEARCH("Enrolment 0 terverifikasi",'Offshore - Canberra'!N145)))),1,0)</f>
        <v>1</v>
      </c>
      <c r="M1251" s="0" t="n">
        <f aca="false">IF(OR('Offshore - Canberra'!E145="",ISNUMBER(SEARCH("BSB80120",'Offshore - Canberra'!B145&amp;'Offshore - Canberra'!N145)),ISNUMBER(SEARCH("Management (Learning)",'Offshore - Canberra'!B145))),2,IF(ISNUMBER(SEARCH("CEK:",'Offshore - Canberra'!N145)),1,0))</f>
        <v>0</v>
      </c>
    </row>
    <row r="1252" customFormat="false" ht="15" hidden="false" customHeight="false" outlineLevel="0" collapsed="false">
      <c r="A1252" s="63" t="s">
        <v>3718</v>
      </c>
      <c r="B1252" s="64" t="s">
        <v>4297</v>
      </c>
      <c r="C1252" s="63" t="s">
        <v>41</v>
      </c>
      <c r="D1252" s="64" t="str">
        <f aca="false">TRIM(LEFT('Offshore - Canberra'!A141,FIND(CHAR(10),'Offshore - Canberra'!A141&amp;CHAR(10))-1))</f>
        <v>Mid City College</v>
      </c>
      <c r="E1252" s="63" t="str">
        <f aca="false">'Offshore - Canberra'!C141&amp;""</f>
        <v>2 years</v>
      </c>
      <c r="F1252" s="63" t="str">
        <f aca="false">IF('Offshore - Canberra'!D141="","Belum tercatat",'Offshore - Canberra'!D141)</f>
        <v>Term</v>
      </c>
      <c r="G1252" s="65" t="n">
        <f aca="false">IF('Offshore - Canberra'!E141="","-",'Offshore - Canberra'!E141)</f>
        <v>3750</v>
      </c>
      <c r="H1252" s="63" t="n">
        <f aca="false">IF(ISNUMBER(K1252),COUNTIFS($J$6:$J$1854,J1252,$K$6:$K$1854,"&lt;"&amp;K1252)+1,"-")</f>
        <v>3</v>
      </c>
      <c r="I1252" s="64" t="str">
        <f aca="false">IF('Offshore - Canberra'!E141="","Harga belum tersedia - hubungi konsultan TEG",IF(M1252=2,"Saat ini tidak menerima pendaftaran siswa internasional baru",IF(M1252=1,"Harga perlu dikonfirmasi ke sekolah"&amp;IF(""="","","; "&amp;""),"")))</f>
        <v/>
      </c>
      <c r="J1252" s="0" t="s">
        <v>4326</v>
      </c>
      <c r="K1252" s="0" t="n">
        <f aca="false">IF(M1252=2,"",IF(ISNUMBER(SEARCH("rata-rata:",'Offshore - Canberra'!N141)),VALUE(MID('Offshore - Canberra'!N141,SEARCH("rata-rata:",'Offshore - Canberra'!N141)+11,FIND(";",'Offshore - Canberra'!N141&amp;";",SEARCH("rata-rata:",'Offshore - Canberra'!N141))-SEARCH("rata-rata:",'Offshore - Canberra'!N141)-11)),IF('Offshore - Canberra'!D141="Semester",'Offshore - Canberra'!E141*2,IF('Offshore - Canberra'!D141="Trimester",'Offshore - Canberra'!E141*3,IF('Offshore - Canberra'!D141="Term",'Offshore - Canberra'!E141*4,IF('Offshore - Canberra'!D141="Unit",'Offshore - Canberra'!E141*8,""))))))</f>
        <v>15000</v>
      </c>
      <c r="L1252" s="0" t="n">
        <f aca="false">IF(AND(ISNUMBER('Offshore - Canberra'!E141),ISNUMBER(K1252),ISNUMBER('Offshore - Canberra'!F141),ISNUMBER('Offshore - Canberra'!G141),OR('Offshore - Canberra'!F141&lt;&gt;0,ISNUMBER(SEARCH("Material 0 terverifikasi",'Offshore - Canberra'!N141))),OR('Offshore - Canberra'!G141&lt;&gt;0,ISNUMBER(SEARCH("Enrolment 0 terverifikasi",'Offshore - Canberra'!N141)))),1,0)</f>
        <v>1</v>
      </c>
      <c r="M1252" s="0" t="n">
        <f aca="false">IF(OR('Offshore - Canberra'!E141="",ISNUMBER(SEARCH("BSB80120",'Offshore - Canberra'!B141&amp;'Offshore - Canberra'!N141)),ISNUMBER(SEARCH("Management (Learning)",'Offshore - Canberra'!B141))),2,IF(ISNUMBER(SEARCH("CEK:",'Offshore - Canberra'!N141)),1,0))</f>
        <v>0</v>
      </c>
    </row>
    <row r="1253" customFormat="false" ht="15" hidden="false" customHeight="false" outlineLevel="0" collapsed="false">
      <c r="A1253" s="63" t="s">
        <v>3718</v>
      </c>
      <c r="B1253" s="64" t="s">
        <v>4297</v>
      </c>
      <c r="C1253" s="63" t="s">
        <v>41</v>
      </c>
      <c r="D1253" s="64" t="str">
        <f aca="false">TRIM(LEFT('Offshore - Canberra'!A111,FIND(CHAR(10),'Offshore - Canberra'!A111&amp;CHAR(10))-1))</f>
        <v>Capital College</v>
      </c>
      <c r="E1253" s="63" t="str">
        <f aca="false">'Offshore - Canberra'!C113&amp;""</f>
        <v>2 years</v>
      </c>
      <c r="F1253" s="63" t="str">
        <f aca="false">IF('Offshore - Canberra'!D113="","Belum tercatat",'Offshore - Canberra'!D113)</f>
        <v>Term</v>
      </c>
      <c r="G1253" s="65" t="n">
        <f aca="false">IF('Offshore - Canberra'!E113="","-",'Offshore - Canberra'!E113)</f>
        <v>4157</v>
      </c>
      <c r="H1253" s="63" t="n">
        <f aca="false">IF(ISNUMBER(K1253),COUNTIFS($J$6:$J$1854,J1253,$K$6:$K$1854,"&lt;"&amp;K1253)+1,"-")</f>
        <v>4</v>
      </c>
      <c r="I1253" s="64" t="str">
        <f aca="false">IF('Offshore - Canberra'!E113="","Harga belum tersedia - hubungi konsultan TEG",IF(M1253=2,"Saat ini tidak menerima pendaftaran siswa internasional baru",IF(M1253=1,"Harga perlu dikonfirmasi ke sekolah"&amp;IF(""="","","; "&amp;""),"")))</f>
        <v>Harga perlu dikonfirmasi ke sekolah</v>
      </c>
      <c r="J1253" s="0" t="s">
        <v>4326</v>
      </c>
      <c r="K1253" s="0" t="n">
        <f aca="false">IF(M1253=2,"",IF(ISNUMBER(SEARCH("rata-rata:",'Offshore - Canberra'!N113)),VALUE(MID('Offshore - Canberra'!N113,SEARCH("rata-rata:",'Offshore - Canberra'!N113)+11,FIND(";",'Offshore - Canberra'!N113&amp;";",SEARCH("rata-rata:",'Offshore - Canberra'!N113))-SEARCH("rata-rata:",'Offshore - Canberra'!N113)-11)),IF('Offshore - Canberra'!D113="Semester",'Offshore - Canberra'!E113*2,IF('Offshore - Canberra'!D113="Trimester",'Offshore - Canberra'!E113*3,IF('Offshore - Canberra'!D113="Term",'Offshore - Canberra'!E113*4,IF('Offshore - Canberra'!D113="Unit",'Offshore - Canberra'!E113*8,""))))))</f>
        <v>16628</v>
      </c>
      <c r="L1253" s="0" t="n">
        <f aca="false">IF(AND(ISNUMBER('Offshore - Canberra'!E113),ISNUMBER(K1253),ISNUMBER('Offshore - Canberra'!F113),ISNUMBER('Offshore - Canberra'!G113),OR('Offshore - Canberra'!F113&lt;&gt;0,ISNUMBER(SEARCH("Material 0 terverifikasi",'Offshore - Canberra'!N113))),OR('Offshore - Canberra'!G113&lt;&gt;0,ISNUMBER(SEARCH("Enrolment 0 terverifikasi",'Offshore - Canberra'!N113)))),1,0)</f>
        <v>1</v>
      </c>
      <c r="M1253" s="0" t="n">
        <f aca="false">IF(OR('Offshore - Canberra'!E113="",ISNUMBER(SEARCH("BSB80120",'Offshore - Canberra'!B113&amp;'Offshore - Canberra'!N113)),ISNUMBER(SEARCH("Management (Learning)",'Offshore - Canberra'!B113))),2,IF(ISNUMBER(SEARCH("CEK:",'Offshore - Canberra'!N113)),1,0))</f>
        <v>1</v>
      </c>
    </row>
    <row r="1254" customFormat="false" ht="15" hidden="false" customHeight="false" outlineLevel="0" collapsed="false">
      <c r="A1254" s="61" t="s">
        <v>4327</v>
      </c>
      <c r="B1254" s="62"/>
      <c r="C1254" s="62"/>
      <c r="D1254" s="62"/>
      <c r="E1254" s="62"/>
      <c r="F1254" s="62"/>
      <c r="G1254" s="62"/>
      <c r="H1254" s="62"/>
      <c r="I1254" s="62"/>
    </row>
    <row r="1255" customFormat="false" ht="15" hidden="false" customHeight="false" outlineLevel="0" collapsed="false">
      <c r="A1255" s="63" t="s">
        <v>3718</v>
      </c>
      <c r="B1255" s="64" t="s">
        <v>4297</v>
      </c>
      <c r="C1255" s="63" t="s">
        <v>42</v>
      </c>
      <c r="D1255" s="64" t="str">
        <f aca="false">TRIM(LEFT('Offshore - Canberra'!A111,FIND(CHAR(10),'Offshore - Canberra'!A111&amp;CHAR(10))-1))</f>
        <v>Capital College</v>
      </c>
      <c r="E1255" s="63" t="str">
        <f aca="false">'Offshore - Canberra'!C115&amp;""</f>
        <v>2 years</v>
      </c>
      <c r="F1255" s="63" t="str">
        <f aca="false">IF('Offshore - Canberra'!D115="","Belum tercatat",'Offshore - Canberra'!D115)</f>
        <v>Term</v>
      </c>
      <c r="G1255" s="65" t="n">
        <f aca="false">IF('Offshore - Canberra'!E115="","-",'Offshore - Canberra'!E115)</f>
        <v>2875</v>
      </c>
      <c r="H1255" s="63" t="n">
        <f aca="false">IF(ISNUMBER(K1255),COUNTIFS($J$6:$J$1854,J1255,$K$6:$K$1854,"&lt;"&amp;K1255)+1,"-")</f>
        <v>1</v>
      </c>
      <c r="I1255" s="64" t="str">
        <f aca="false">IF('Offshore - Canberra'!E115="","Harga belum tersedia - hubungi konsultan TEG",IF(M1255=2,"Saat ini tidak menerima pendaftaran siswa internasional baru",IF(M1255=1,"Harga perlu dikonfirmasi ke sekolah"&amp;IF(""="","","; "&amp;""),"")))</f>
        <v>Harga perlu dikonfirmasi ke sekolah</v>
      </c>
      <c r="J1255" s="0" t="s">
        <v>4328</v>
      </c>
      <c r="K1255" s="0" t="n">
        <f aca="false">IF(M1255=2,"",IF(ISNUMBER(SEARCH("rata-rata:",'Offshore - Canberra'!N115)),VALUE(MID('Offshore - Canberra'!N115,SEARCH("rata-rata:",'Offshore - Canberra'!N115)+11,FIND(";",'Offshore - Canberra'!N115&amp;";",SEARCH("rata-rata:",'Offshore - Canberra'!N115))-SEARCH("rata-rata:",'Offshore - Canberra'!N115)-11)),IF('Offshore - Canberra'!D115="Semester",'Offshore - Canberra'!E115*2,IF('Offshore - Canberra'!D115="Trimester",'Offshore - Canberra'!E115*3,IF('Offshore - Canberra'!D115="Term",'Offshore - Canberra'!E115*4,IF('Offshore - Canberra'!D115="Unit",'Offshore - Canberra'!E115*8,""))))))</f>
        <v>11500</v>
      </c>
      <c r="L1255" s="0" t="n">
        <f aca="false">IF(AND(ISNUMBER('Offshore - Canberra'!E115),ISNUMBER(K1255),ISNUMBER('Offshore - Canberra'!F115),ISNUMBER('Offshore - Canberra'!G115),OR('Offshore - Canberra'!F115&lt;&gt;0,ISNUMBER(SEARCH("Material 0 terverifikasi",'Offshore - Canberra'!N115))),OR('Offshore - Canberra'!G115&lt;&gt;0,ISNUMBER(SEARCH("Enrolment 0 terverifikasi",'Offshore - Canberra'!N115)))),1,0)</f>
        <v>1</v>
      </c>
      <c r="M1255" s="0" t="n">
        <f aca="false">IF(OR('Offshore - Canberra'!E115="",ISNUMBER(SEARCH("BSB80120",'Offshore - Canberra'!B115&amp;'Offshore - Canberra'!N115)),ISNUMBER(SEARCH("Management (Learning)",'Offshore - Canberra'!B115))),2,IF(ISNUMBER(SEARCH("CEK:",'Offshore - Canberra'!N115)),1,0))</f>
        <v>1</v>
      </c>
    </row>
    <row r="1256" customFormat="false" ht="15" hidden="false" customHeight="false" outlineLevel="0" collapsed="false">
      <c r="A1256" s="61" t="s">
        <v>4329</v>
      </c>
      <c r="B1256" s="62"/>
      <c r="C1256" s="62"/>
      <c r="D1256" s="62"/>
      <c r="E1256" s="62"/>
      <c r="F1256" s="62"/>
      <c r="G1256" s="62"/>
      <c r="H1256" s="62"/>
      <c r="I1256" s="62"/>
    </row>
    <row r="1257" customFormat="false" ht="15" hidden="false" customHeight="false" outlineLevel="0" collapsed="false">
      <c r="A1257" s="63" t="s">
        <v>3583</v>
      </c>
      <c r="B1257" s="64" t="s">
        <v>4297</v>
      </c>
      <c r="C1257" s="63" t="s">
        <v>41</v>
      </c>
      <c r="D1257" s="64" t="str">
        <f aca="false">TRIM(LEFT('Offshore - Darwin'!A6,FIND(CHAR(10),'Offshore - Darwin'!A6&amp;CHAR(10))-1))</f>
        <v>Alice Springs College of Australia (ASCA)</v>
      </c>
      <c r="E1257" s="63" t="str">
        <f aca="false">'Offshore - Darwin'!C6&amp;""</f>
        <v>3,5 years</v>
      </c>
      <c r="F1257" s="63" t="str">
        <f aca="false">IF('Offshore - Darwin'!D6="","Belum tercatat",'Offshore - Darwin'!D6)</f>
        <v>Term</v>
      </c>
      <c r="G1257" s="65" t="n">
        <f aca="false">IF('Offshore - Darwin'!E6="","-",'Offshore - Darwin'!E6)</f>
        <v>3333</v>
      </c>
      <c r="H1257" s="63" t="n">
        <f aca="false">IF(ISNUMBER(K1257),COUNTIFS($J$6:$J$1854,J1257,$K$6:$K$1854,"&lt;"&amp;K1257)+1,"-")</f>
        <v>1</v>
      </c>
      <c r="I1257" s="64" t="str">
        <f aca="false">IF('Offshore - Darwin'!E6="","Harga belum tersedia - hubungi konsultan TEG",IF(M1257=2,"Saat ini tidak menerima pendaftaran siswa internasional baru",IF(M1257=1,"Harga perlu dikonfirmasi ke sekolah"&amp;IF(""="","","; "&amp;""),"")))</f>
        <v/>
      </c>
      <c r="J1257" s="0" t="s">
        <v>4330</v>
      </c>
      <c r="K1257" s="0" t="n">
        <f aca="false">IF(M1257=2,"",IF(ISNUMBER(SEARCH("rata-rata:",'Offshore - Darwin'!N6)),VALUE(MID('Offshore - Darwin'!N6,SEARCH("rata-rata:",'Offshore - Darwin'!N6)+11,FIND(";",'Offshore - Darwin'!N6&amp;";",SEARCH("rata-rata:",'Offshore - Darwin'!N6))-SEARCH("rata-rata:",'Offshore - Darwin'!N6)-11)),IF('Offshore - Darwin'!D6="Semester",'Offshore - Darwin'!E6*2,IF('Offshore - Darwin'!D6="Trimester",'Offshore - Darwin'!E6*3,IF('Offshore - Darwin'!D6="Term",'Offshore - Darwin'!E6*4,IF('Offshore - Darwin'!D6="Unit",'Offshore - Darwin'!E6*8,""))))))</f>
        <v>13332</v>
      </c>
      <c r="L1257" s="0" t="n">
        <f aca="false">IF(AND(ISNUMBER('Offshore - Darwin'!E6),ISNUMBER(K1257),ISNUMBER('Offshore - Darwin'!F6),ISNUMBER('Offshore - Darwin'!G6),OR('Offshore - Darwin'!F6&lt;&gt;0,ISNUMBER(SEARCH("Material 0 terverifikasi",'Offshore - Darwin'!N6))),OR('Offshore - Darwin'!G6&lt;&gt;0,ISNUMBER(SEARCH("Enrolment 0 terverifikasi",'Offshore - Darwin'!N6)))),1,0)</f>
        <v>1</v>
      </c>
      <c r="M1257" s="0" t="n">
        <f aca="false">IF(OR('Offshore - Darwin'!E6="",ISNUMBER(SEARCH("BSB80120",'Offshore - Darwin'!B6&amp;'Offshore - Darwin'!N6)),ISNUMBER(SEARCH("Management (Learning)",'Offshore - Darwin'!B6))),2,IF(ISNUMBER(SEARCH("CEK:",'Offshore - Darwin'!N6)),1,0))</f>
        <v>0</v>
      </c>
    </row>
    <row r="1258" customFormat="false" ht="15" hidden="false" customHeight="false" outlineLevel="0" collapsed="false">
      <c r="A1258" s="61" t="s">
        <v>4331</v>
      </c>
      <c r="B1258" s="62"/>
      <c r="C1258" s="62"/>
      <c r="D1258" s="62"/>
      <c r="E1258" s="62"/>
      <c r="F1258" s="62"/>
      <c r="G1258" s="62"/>
      <c r="H1258" s="62"/>
      <c r="I1258" s="62"/>
    </row>
    <row r="1259" customFormat="false" ht="15" hidden="false" customHeight="false" outlineLevel="0" collapsed="false">
      <c r="A1259" s="63" t="s">
        <v>3583</v>
      </c>
      <c r="B1259" s="64" t="s">
        <v>4297</v>
      </c>
      <c r="C1259" s="63" t="s">
        <v>42</v>
      </c>
      <c r="D1259" s="64" t="str">
        <f aca="false">TRIM(LEFT('Offshore - Darwin'!A6,FIND(CHAR(10),'Offshore - Darwin'!A6&amp;CHAR(10))-1))</f>
        <v>Alice Springs College of Australia (ASCA)</v>
      </c>
      <c r="E1259" s="63" t="str">
        <f aca="false">'Offshore - Darwin'!C7&amp;""</f>
        <v>4,5 years</v>
      </c>
      <c r="F1259" s="63" t="str">
        <f aca="false">IF('Offshore - Darwin'!D7="","Belum tercatat",'Offshore - Darwin'!D7)</f>
        <v>Term</v>
      </c>
      <c r="G1259" s="65" t="n">
        <f aca="false">IF('Offshore - Darwin'!E7="","-",'Offshore - Darwin'!E7)</f>
        <v>3333</v>
      </c>
      <c r="H1259" s="63" t="n">
        <f aca="false">IF(ISNUMBER(K1259),COUNTIFS($J$6:$J$1854,J1259,$K$6:$K$1854,"&lt;"&amp;K1259)+1,"-")</f>
        <v>1</v>
      </c>
      <c r="I1259" s="64" t="str">
        <f aca="false">IF('Offshore - Darwin'!E7="","Harga belum tersedia - hubungi konsultan TEG",IF(M1259=2,"Saat ini tidak menerima pendaftaran siswa internasional baru",IF(M1259=1,"Harga perlu dikonfirmasi ke sekolah"&amp;IF(""="","","; "&amp;""),"")))</f>
        <v/>
      </c>
      <c r="J1259" s="0" t="s">
        <v>4332</v>
      </c>
      <c r="K1259" s="0" t="n">
        <f aca="false">IF(M1259=2,"",IF(ISNUMBER(SEARCH("rata-rata:",'Offshore - Darwin'!N7)),VALUE(MID('Offshore - Darwin'!N7,SEARCH("rata-rata:",'Offshore - Darwin'!N7)+11,FIND(";",'Offshore - Darwin'!N7&amp;";",SEARCH("rata-rata:",'Offshore - Darwin'!N7))-SEARCH("rata-rata:",'Offshore - Darwin'!N7)-11)),IF('Offshore - Darwin'!D7="Semester",'Offshore - Darwin'!E7*2,IF('Offshore - Darwin'!D7="Trimester",'Offshore - Darwin'!E7*3,IF('Offshore - Darwin'!D7="Term",'Offshore - Darwin'!E7*4,IF('Offshore - Darwin'!D7="Unit",'Offshore - Darwin'!E7*8,""))))))</f>
        <v>13332</v>
      </c>
      <c r="L1259" s="0" t="n">
        <f aca="false">IF(AND(ISNUMBER('Offshore - Darwin'!E7),ISNUMBER(K1259),ISNUMBER('Offshore - Darwin'!F7),ISNUMBER('Offshore - Darwin'!G7),OR('Offshore - Darwin'!F7&lt;&gt;0,ISNUMBER(SEARCH("Material 0 terverifikasi",'Offshore - Darwin'!N7))),OR('Offshore - Darwin'!G7&lt;&gt;0,ISNUMBER(SEARCH("Enrolment 0 terverifikasi",'Offshore - Darwin'!N7)))),1,0)</f>
        <v>1</v>
      </c>
      <c r="M1259" s="0" t="n">
        <f aca="false">IF(OR('Offshore - Darwin'!E7="",ISNUMBER(SEARCH("BSB80120",'Offshore - Darwin'!B7&amp;'Offshore - Darwin'!N7)),ISNUMBER(SEARCH("Management (Learning)",'Offshore - Darwin'!B7))),2,IF(ISNUMBER(SEARCH("CEK:",'Offshore - Darwin'!N7)),1,0))</f>
        <v>0</v>
      </c>
    </row>
    <row r="1260" customFormat="false" ht="15" hidden="false" customHeight="false" outlineLevel="0" collapsed="false">
      <c r="A1260" s="63" t="s">
        <v>3583</v>
      </c>
      <c r="B1260" s="64" t="s">
        <v>4297</v>
      </c>
      <c r="C1260" s="63" t="s">
        <v>42</v>
      </c>
      <c r="D1260" s="64" t="str">
        <f aca="false">TRIM(LEFT('Offshore - Darwin'!A136,FIND(CHAR(10),'Offshore - Darwin'!A136&amp;CHAR(10))-1))</f>
        <v>Sydney City College of Management</v>
      </c>
      <c r="E1260" s="63" t="str">
        <f aca="false">'Offshore - Darwin'!C139&amp;""</f>
        <v>2,5 years</v>
      </c>
      <c r="F1260" s="63" t="str">
        <f aca="false">IF('Offshore - Darwin'!D139="","Belum tercatat",'Offshore - Darwin'!D139)</f>
        <v>Term</v>
      </c>
      <c r="G1260" s="65" t="n">
        <f aca="false">IF('Offshore - Darwin'!E139="","-",'Offshore - Darwin'!E139)</f>
        <v>4300</v>
      </c>
      <c r="H1260" s="63" t="n">
        <f aca="false">IF(ISNUMBER(K1260),COUNTIFS($J$6:$J$1854,J1260,$K$6:$K$1854,"&lt;"&amp;K1260)+1,"-")</f>
        <v>2</v>
      </c>
      <c r="I1260" s="64" t="str">
        <f aca="false">IF('Offshore - Darwin'!E139="","Harga belum tersedia - hubungi konsultan TEG",IF(M1260=2,"Saat ini tidak menerima pendaftaran siswa internasional baru",IF(M1260=1,"Harga perlu dikonfirmasi ke sekolah"&amp;IF(""="","","; "&amp;""),"")))</f>
        <v/>
      </c>
      <c r="J1260" s="0" t="s">
        <v>4332</v>
      </c>
      <c r="K1260" s="0" t="n">
        <f aca="false">IF(M1260=2,"",IF(ISNUMBER(SEARCH("rata-rata:",'Offshore - Darwin'!N139)),VALUE(MID('Offshore - Darwin'!N139,SEARCH("rata-rata:",'Offshore - Darwin'!N139)+11,FIND(";",'Offshore - Darwin'!N139&amp;";",SEARCH("rata-rata:",'Offshore - Darwin'!N139))-SEARCH("rata-rata:",'Offshore - Darwin'!N139)-11)),IF('Offshore - Darwin'!D139="Semester",'Offshore - Darwin'!E139*2,IF('Offshore - Darwin'!D139="Trimester",'Offshore - Darwin'!E139*3,IF('Offshore - Darwin'!D139="Term",'Offshore - Darwin'!E139*4,IF('Offshore - Darwin'!D139="Unit",'Offshore - Darwin'!E139*8,""))))))</f>
        <v>17200</v>
      </c>
      <c r="L1260" s="0" t="n">
        <f aca="false">IF(AND(ISNUMBER('Offshore - Darwin'!E139),ISNUMBER(K1260),ISNUMBER('Offshore - Darwin'!F139),ISNUMBER('Offshore - Darwin'!G139),OR('Offshore - Darwin'!F139&lt;&gt;0,ISNUMBER(SEARCH("Material 0 terverifikasi",'Offshore - Darwin'!N139))),OR('Offshore - Darwin'!G139&lt;&gt;0,ISNUMBER(SEARCH("Enrolment 0 terverifikasi",'Offshore - Darwin'!N139)))),1,0)</f>
        <v>1</v>
      </c>
      <c r="M1260" s="0" t="n">
        <f aca="false">IF(OR('Offshore - Darwin'!E139="",ISNUMBER(SEARCH("BSB80120",'Offshore - Darwin'!B139&amp;'Offshore - Darwin'!N139)),ISNUMBER(SEARCH("Management (Learning)",'Offshore - Darwin'!B139))),2,IF(ISNUMBER(SEARCH("CEK:",'Offshore - Darwin'!N139)),1,0))</f>
        <v>0</v>
      </c>
    </row>
    <row r="1261" customFormat="false" ht="15" hidden="false" customHeight="false" outlineLevel="0" collapsed="false">
      <c r="A1261" s="61" t="s">
        <v>4333</v>
      </c>
      <c r="B1261" s="62"/>
      <c r="C1261" s="62"/>
      <c r="D1261" s="62"/>
      <c r="E1261" s="62"/>
      <c r="F1261" s="62"/>
      <c r="G1261" s="62"/>
      <c r="H1261" s="62"/>
      <c r="I1261" s="62"/>
    </row>
    <row r="1262" customFormat="false" ht="15" hidden="false" customHeight="false" outlineLevel="0" collapsed="false">
      <c r="A1262" s="63" t="s">
        <v>3544</v>
      </c>
      <c r="B1262" s="64" t="s">
        <v>4297</v>
      </c>
      <c r="C1262" s="63" t="s">
        <v>39</v>
      </c>
      <c r="D1262" s="64" t="str">
        <f aca="false">TRIM(LEFT('Offshore - Melbourne'!A556,FIND(CHAR(10),'Offshore - Melbourne'!A556&amp;CHAR(10))-1))</f>
        <v>William Angliss Institute</v>
      </c>
      <c r="E1262" s="63" t="str">
        <f aca="false">'Offshore - Melbourne'!C574&amp;""</f>
        <v>1 year</v>
      </c>
      <c r="F1262" s="63" t="str">
        <f aca="false">IF('Offshore - Melbourne'!D574="","Belum tercatat",'Offshore - Melbourne'!D574)</f>
        <v>Term</v>
      </c>
      <c r="G1262" s="65" t="n">
        <f aca="false">IF('Offshore - Melbourne'!E574="","-",'Offshore - Melbourne'!E574)</f>
        <v>5460</v>
      </c>
      <c r="H1262" s="63" t="n">
        <f aca="false">IF(ISNUMBER(K1262),COUNTIFS($J$6:$J$1854,J1262,$K$6:$K$1854,"&lt;"&amp;K1262)+1,"-")</f>
        <v>1</v>
      </c>
      <c r="I1262" s="64" t="str">
        <f aca="false">IF('Offshore - Melbourne'!E574="","Harga belum tersedia - hubungi konsultan TEG",IF(M1262=2,"Saat ini tidak menerima pendaftaran siswa internasional baru",IF(M1262=1,"Harga perlu dikonfirmasi ke sekolah"&amp;IF(""="","","; "&amp;""),"")))</f>
        <v/>
      </c>
      <c r="J1262" s="0" t="s">
        <v>4334</v>
      </c>
      <c r="K1262" s="0" t="n">
        <f aca="false">IF(M1262=2,"",IF(ISNUMBER(SEARCH("rata-rata:",'Offshore - Melbourne'!N574)),VALUE(MID('Offshore - Melbourne'!N574,SEARCH("rata-rata:",'Offshore - Melbourne'!N574)+11,FIND(";",'Offshore - Melbourne'!N574&amp;";",SEARCH("rata-rata:",'Offshore - Melbourne'!N574))-SEARCH("rata-rata:",'Offshore - Melbourne'!N574)-11)),IF('Offshore - Melbourne'!D574="Semester",'Offshore - Melbourne'!E574*2,IF('Offshore - Melbourne'!D574="Trimester",'Offshore - Melbourne'!E574*3,IF('Offshore - Melbourne'!D574="Term",'Offshore - Melbourne'!E574*4,IF('Offshore - Melbourne'!D574="Unit",'Offshore - Melbourne'!E574*8,""))))))</f>
        <v>21840</v>
      </c>
      <c r="L1262" s="0" t="n">
        <f aca="false">IF(AND(ISNUMBER('Offshore - Melbourne'!E574),ISNUMBER(K1262),ISNUMBER('Offshore - Melbourne'!F574),ISNUMBER('Offshore - Melbourne'!G574),OR('Offshore - Melbourne'!F574&lt;&gt;0,ISNUMBER(SEARCH("Material 0 terverifikasi",'Offshore - Melbourne'!N574))),OR('Offshore - Melbourne'!G574&lt;&gt;0,ISNUMBER(SEARCH("Enrolment 0 terverifikasi",'Offshore - Melbourne'!N574)))),1,0)</f>
        <v>1</v>
      </c>
      <c r="M1262" s="0" t="n">
        <f aca="false">IF(OR('Offshore - Melbourne'!E574="",ISNUMBER(SEARCH("BSB80120",'Offshore - Melbourne'!B574&amp;'Offshore - Melbourne'!N574)),ISNUMBER(SEARCH("Management (Learning)",'Offshore - Melbourne'!B574))),2,IF(ISNUMBER(SEARCH("CEK:",'Offshore - Melbourne'!N574)),1,0))</f>
        <v>0</v>
      </c>
    </row>
    <row r="1263" customFormat="false" ht="15" hidden="false" customHeight="false" outlineLevel="0" collapsed="false">
      <c r="A1263" s="63" t="s">
        <v>3544</v>
      </c>
      <c r="B1263" s="64" t="s">
        <v>4297</v>
      </c>
      <c r="C1263" s="63" t="s">
        <v>39</v>
      </c>
      <c r="D1263" s="64" t="str">
        <f aca="false">TRIM(LEFT('Offshore - Melbourne'!A324,FIND(CHAR(10),'Offshore - Melbourne'!A324&amp;CHAR(10))-1))</f>
        <v>Le Cordon Bleu Australia</v>
      </c>
      <c r="E1263" s="63" t="str">
        <f aca="false">'Offshore - Melbourne'!C324&amp;""</f>
        <v>1,5 years</v>
      </c>
      <c r="F1263" s="63" t="str">
        <f aca="false">IF('Offshore - Melbourne'!D324="","Belum tercatat",'Offshore - Melbourne'!D324)</f>
        <v>Term</v>
      </c>
      <c r="G1263" s="65" t="n">
        <f aca="false">IF('Offshore - Melbourne'!E324="","-",'Offshore - Melbourne'!E324)</f>
        <v>6997.5</v>
      </c>
      <c r="H1263" s="63" t="n">
        <f aca="false">IF(ISNUMBER(K1263),COUNTIFS($J$6:$J$1854,J1263,$K$6:$K$1854,"&lt;"&amp;K1263)+1,"-")</f>
        <v>2</v>
      </c>
      <c r="I1263" s="64" t="str">
        <f aca="false">IF('Offshore - Melbourne'!E324="","Harga belum tersedia - hubungi konsultan TEG",IF(M1263=2,"Saat ini tidak menerima pendaftaran siswa internasional baru",IF(M1263=1,"Harga perlu dikonfirmasi ke sekolah"&amp;IF(""="","","; "&amp;""),"")))</f>
        <v/>
      </c>
      <c r="J1263" s="0" t="s">
        <v>4334</v>
      </c>
      <c r="K1263" s="0" t="n">
        <f aca="false">IF(M1263=2,"",IF(ISNUMBER(SEARCH("rata-rata:",'Offshore - Melbourne'!N324)),VALUE(MID('Offshore - Melbourne'!N324,SEARCH("rata-rata:",'Offshore - Melbourne'!N324)+11,FIND(";",'Offshore - Melbourne'!N324&amp;";",SEARCH("rata-rata:",'Offshore - Melbourne'!N324))-SEARCH("rata-rata:",'Offshore - Melbourne'!N324)-11)),IF('Offshore - Melbourne'!D324="Semester",'Offshore - Melbourne'!E324*2,IF('Offshore - Melbourne'!D324="Trimester",'Offshore - Melbourne'!E324*3,IF('Offshore - Melbourne'!D324="Term",'Offshore - Melbourne'!E324*4,IF('Offshore - Melbourne'!D324="Unit",'Offshore - Melbourne'!E324*8,""))))))</f>
        <v>27990</v>
      </c>
      <c r="L1263" s="0" t="n">
        <f aca="false">IF(AND(ISNUMBER('Offshore - Melbourne'!E324),ISNUMBER(K1263),ISNUMBER('Offshore - Melbourne'!F324),ISNUMBER('Offshore - Melbourne'!G324),OR('Offshore - Melbourne'!F324&lt;&gt;0,ISNUMBER(SEARCH("Material 0 terverifikasi",'Offshore - Melbourne'!N324))),OR('Offshore - Melbourne'!G324&lt;&gt;0,ISNUMBER(SEARCH("Enrolment 0 terverifikasi",'Offshore - Melbourne'!N324)))),1,0)</f>
        <v>0</v>
      </c>
      <c r="M1263" s="0" t="n">
        <f aca="false">IF(OR('Offshore - Melbourne'!E324="",ISNUMBER(SEARCH("BSB80120",'Offshore - Melbourne'!B324&amp;'Offshore - Melbourne'!N324)),ISNUMBER(SEARCH("Management (Learning)",'Offshore - Melbourne'!B324))),2,IF(ISNUMBER(SEARCH("CEK:",'Offshore - Melbourne'!N324)),1,0))</f>
        <v>0</v>
      </c>
    </row>
    <row r="1264" customFormat="false" ht="15" hidden="false" customHeight="false" outlineLevel="0" collapsed="false">
      <c r="A1264" s="61" t="s">
        <v>4335</v>
      </c>
      <c r="B1264" s="62"/>
      <c r="C1264" s="62"/>
      <c r="D1264" s="62"/>
      <c r="E1264" s="62"/>
      <c r="F1264" s="62"/>
      <c r="G1264" s="62"/>
      <c r="H1264" s="62"/>
      <c r="I1264" s="62"/>
    </row>
    <row r="1265" customFormat="false" ht="15" hidden="false" customHeight="false" outlineLevel="0" collapsed="false">
      <c r="A1265" s="63" t="s">
        <v>3544</v>
      </c>
      <c r="B1265" s="64" t="s">
        <v>4297</v>
      </c>
      <c r="C1265" s="63" t="s">
        <v>40</v>
      </c>
      <c r="D1265" s="64" t="str">
        <f aca="false">TRIM(LEFT('Offshore - Melbourne'!A336,FIND(CHAR(10),'Offshore - Melbourne'!A336&amp;CHAR(10))-1))</f>
        <v>Le Suisse Academy</v>
      </c>
      <c r="E1265" s="63" t="str">
        <f aca="false">'Offshore - Melbourne'!C336&amp;""</f>
        <v>1,5 years</v>
      </c>
      <c r="F1265" s="63" t="str">
        <f aca="false">IF('Offshore - Melbourne'!D336="","Belum tercatat",'Offshore - Melbourne'!D336)</f>
        <v>Term</v>
      </c>
      <c r="G1265" s="65" t="n">
        <f aca="false">IF('Offshore - Melbourne'!E336="","-",'Offshore - Melbourne'!E336)</f>
        <v>2000</v>
      </c>
      <c r="H1265" s="63" t="n">
        <f aca="false">IF(ISNUMBER(K1265),COUNTIFS($J$6:$J$1854,J1265,$K$6:$K$1854,"&lt;"&amp;K1265)+1,"-")</f>
        <v>1</v>
      </c>
      <c r="I1265" s="64" t="str">
        <f aca="false">IF('Offshore - Melbourne'!E336="","Harga belum tersedia - hubungi konsultan TEG",IF(M1265=2,"Saat ini tidak menerima pendaftaran siswa internasional baru",IF(M1265=1,"Harga perlu dikonfirmasi ke sekolah"&amp;IF(""="","","; "&amp;""),"")))</f>
        <v/>
      </c>
      <c r="J1265" s="0" t="s">
        <v>4336</v>
      </c>
      <c r="K1265" s="0" t="n">
        <f aca="false">IF(M1265=2,"",IF(ISNUMBER(SEARCH("rata-rata:",'Offshore - Melbourne'!N336)),VALUE(MID('Offshore - Melbourne'!N336,SEARCH("rata-rata:",'Offshore - Melbourne'!N336)+11,FIND(";",'Offshore - Melbourne'!N336&amp;";",SEARCH("rata-rata:",'Offshore - Melbourne'!N336))-SEARCH("rata-rata:",'Offshore - Melbourne'!N336)-11)),IF('Offshore - Melbourne'!D336="Semester",'Offshore - Melbourne'!E336*2,IF('Offshore - Melbourne'!D336="Trimester",'Offshore - Melbourne'!E336*3,IF('Offshore - Melbourne'!D336="Term",'Offshore - Melbourne'!E336*4,IF('Offshore - Melbourne'!D336="Unit",'Offshore - Melbourne'!E336*8,""))))))</f>
        <v>8000</v>
      </c>
      <c r="L1265" s="0" t="n">
        <f aca="false">IF(AND(ISNUMBER('Offshore - Melbourne'!E336),ISNUMBER(K1265),ISNUMBER('Offshore - Melbourne'!F336),ISNUMBER('Offshore - Melbourne'!G336),OR('Offshore - Melbourne'!F336&lt;&gt;0,ISNUMBER(SEARCH("Material 0 terverifikasi",'Offshore - Melbourne'!N336))),OR('Offshore - Melbourne'!G336&lt;&gt;0,ISNUMBER(SEARCH("Enrolment 0 terverifikasi",'Offshore - Melbourne'!N336)))),1,0)</f>
        <v>1</v>
      </c>
      <c r="M1265" s="0" t="n">
        <f aca="false">IF(OR('Offshore - Melbourne'!E336="",ISNUMBER(SEARCH("BSB80120",'Offshore - Melbourne'!B336&amp;'Offshore - Melbourne'!N336)),ISNUMBER(SEARCH("Management (Learning)",'Offshore - Melbourne'!B336))),2,IF(ISNUMBER(SEARCH("CEK:",'Offshore - Melbourne'!N336)),1,0))</f>
        <v>0</v>
      </c>
    </row>
    <row r="1266" customFormat="false" ht="15" hidden="false" customHeight="false" outlineLevel="0" collapsed="false">
      <c r="A1266" s="63" t="s">
        <v>3544</v>
      </c>
      <c r="B1266" s="64" t="s">
        <v>4297</v>
      </c>
      <c r="C1266" s="63" t="s">
        <v>40</v>
      </c>
      <c r="D1266" s="64" t="str">
        <f aca="false">TRIM(LEFT('Offshore - Melbourne'!A417,FIND(CHAR(10),'Offshore - Melbourne'!A417&amp;CHAR(10))-1))</f>
        <v>The Centre of Excellence</v>
      </c>
      <c r="E1266" s="63" t="str">
        <f aca="false">'Offshore - Melbourne'!C424&amp;""</f>
        <v>2 years</v>
      </c>
      <c r="F1266" s="63" t="str">
        <f aca="false">IF('Offshore - Melbourne'!D424="","Belum tercatat",'Offshore - Melbourne'!D424)</f>
        <v>Term</v>
      </c>
      <c r="G1266" s="65" t="n">
        <f aca="false">IF('Offshore - Melbourne'!E424="","-",'Offshore - Melbourne'!E424)</f>
        <v>2600</v>
      </c>
      <c r="H1266" s="63" t="n">
        <f aca="false">IF(ISNUMBER(K1266),COUNTIFS($J$6:$J$1854,J1266,$K$6:$K$1854,"&lt;"&amp;K1266)+1,"-")</f>
        <v>2</v>
      </c>
      <c r="I1266" s="64" t="str">
        <f aca="false">IF('Offshore - Melbourne'!E424="","Harga belum tersedia - hubungi konsultan TEG",IF(M1266=2,"Saat ini tidak menerima pendaftaran siswa internasional baru",IF(M1266=1,"Harga perlu dikonfirmasi ke sekolah"&amp;IF(""="","","; "&amp;""),"")))</f>
        <v/>
      </c>
      <c r="J1266" s="0" t="s">
        <v>4336</v>
      </c>
      <c r="K1266" s="0" t="n">
        <f aca="false">IF(M1266=2,"",IF(ISNUMBER(SEARCH("rata-rata:",'Offshore - Melbourne'!N424)),VALUE(MID('Offshore - Melbourne'!N424,SEARCH("rata-rata:",'Offshore - Melbourne'!N424)+11,FIND(";",'Offshore - Melbourne'!N424&amp;";",SEARCH("rata-rata:",'Offshore - Melbourne'!N424))-SEARCH("rata-rata:",'Offshore - Melbourne'!N424)-11)),IF('Offshore - Melbourne'!D424="Semester",'Offshore - Melbourne'!E424*2,IF('Offshore - Melbourne'!D424="Trimester",'Offshore - Melbourne'!E424*3,IF('Offshore - Melbourne'!D424="Term",'Offshore - Melbourne'!E424*4,IF('Offshore - Melbourne'!D424="Unit",'Offshore - Melbourne'!E424*8,""))))))</f>
        <v>10400</v>
      </c>
      <c r="L1266" s="0" t="n">
        <f aca="false">IF(AND(ISNUMBER('Offshore - Melbourne'!E424),ISNUMBER(K1266),ISNUMBER('Offshore - Melbourne'!F424),ISNUMBER('Offshore - Melbourne'!G424),OR('Offshore - Melbourne'!F424&lt;&gt;0,ISNUMBER(SEARCH("Material 0 terverifikasi",'Offshore - Melbourne'!N424))),OR('Offshore - Melbourne'!G424&lt;&gt;0,ISNUMBER(SEARCH("Enrolment 0 terverifikasi",'Offshore - Melbourne'!N424)))),1,0)</f>
        <v>1</v>
      </c>
      <c r="M1266" s="0" t="n">
        <f aca="false">IF(OR('Offshore - Melbourne'!E424="",ISNUMBER(SEARCH("BSB80120",'Offshore - Melbourne'!B424&amp;'Offshore - Melbourne'!N424)),ISNUMBER(SEARCH("Management (Learning)",'Offshore - Melbourne'!B424))),2,IF(ISNUMBER(SEARCH("CEK:",'Offshore - Melbourne'!N424)),1,0))</f>
        <v>0</v>
      </c>
    </row>
    <row r="1267" customFormat="false" ht="15" hidden="false" customHeight="false" outlineLevel="0" collapsed="false">
      <c r="A1267" s="63" t="s">
        <v>3544</v>
      </c>
      <c r="B1267" s="64" t="s">
        <v>4297</v>
      </c>
      <c r="C1267" s="63" t="s">
        <v>40</v>
      </c>
      <c r="D1267" s="64" t="str">
        <f aca="false">TRIM(LEFT('Offshore - Melbourne'!A65,FIND(CHAR(10),'Offshore - Melbourne'!A65&amp;CHAR(10))-1))</f>
        <v>ALTEC College</v>
      </c>
      <c r="E1267" s="63" t="str">
        <f aca="false">'Offshore - Melbourne'!C72&amp;""</f>
        <v>1,5 years</v>
      </c>
      <c r="F1267" s="63" t="str">
        <f aca="false">IF('Offshore - Melbourne'!D72="","Belum tercatat",'Offshore - Melbourne'!D72)</f>
        <v>Term</v>
      </c>
      <c r="G1267" s="65" t="n">
        <f aca="false">IF('Offshore - Melbourne'!E72="","-",'Offshore - Melbourne'!E72)</f>
        <v>2625</v>
      </c>
      <c r="H1267" s="63" t="n">
        <f aca="false">IF(ISNUMBER(K1267),COUNTIFS($J$6:$J$1854,J1267,$K$6:$K$1854,"&lt;"&amp;K1267)+1,"-")</f>
        <v>3</v>
      </c>
      <c r="I1267" s="64" t="str">
        <f aca="false">IF('Offshore - Melbourne'!E72="","Harga belum tersedia - hubungi konsultan TEG",IF(M1267=2,"Saat ini tidak menerima pendaftaran siswa internasional baru",IF(M1267=1,"Harga perlu dikonfirmasi ke sekolah"&amp;IF(""="","","; "&amp;""),"")))</f>
        <v/>
      </c>
      <c r="J1267" s="0" t="s">
        <v>4336</v>
      </c>
      <c r="K1267" s="0" t="n">
        <f aca="false">IF(M1267=2,"",IF(ISNUMBER(SEARCH("rata-rata:",'Offshore - Melbourne'!N72)),VALUE(MID('Offshore - Melbourne'!N72,SEARCH("rata-rata:",'Offshore - Melbourne'!N72)+11,FIND(";",'Offshore - Melbourne'!N72&amp;";",SEARCH("rata-rata:",'Offshore - Melbourne'!N72))-SEARCH("rata-rata:",'Offshore - Melbourne'!N72)-11)),IF('Offshore - Melbourne'!D72="Semester",'Offshore - Melbourne'!E72*2,IF('Offshore - Melbourne'!D72="Trimester",'Offshore - Melbourne'!E72*3,IF('Offshore - Melbourne'!D72="Term",'Offshore - Melbourne'!E72*4,IF('Offshore - Melbourne'!D72="Unit",'Offshore - Melbourne'!E72*8,""))))))</f>
        <v>10500</v>
      </c>
      <c r="L1267" s="0" t="n">
        <f aca="false">IF(AND(ISNUMBER('Offshore - Melbourne'!E72),ISNUMBER(K1267),ISNUMBER('Offshore - Melbourne'!F72),ISNUMBER('Offshore - Melbourne'!G72),OR('Offshore - Melbourne'!F72&lt;&gt;0,ISNUMBER(SEARCH("Material 0 terverifikasi",'Offshore - Melbourne'!N72))),OR('Offshore - Melbourne'!G72&lt;&gt;0,ISNUMBER(SEARCH("Enrolment 0 terverifikasi",'Offshore - Melbourne'!N72)))),1,0)</f>
        <v>1</v>
      </c>
      <c r="M1267" s="0" t="n">
        <f aca="false">IF(OR('Offshore - Melbourne'!E72="",ISNUMBER(SEARCH("BSB80120",'Offshore - Melbourne'!B72&amp;'Offshore - Melbourne'!N72)),ISNUMBER(SEARCH("Management (Learning)",'Offshore - Melbourne'!B72))),2,IF(ISNUMBER(SEARCH("CEK:",'Offshore - Melbourne'!N72)),1,0))</f>
        <v>0</v>
      </c>
    </row>
    <row r="1268" customFormat="false" ht="15" hidden="false" customHeight="false" outlineLevel="0" collapsed="false">
      <c r="A1268" s="63" t="s">
        <v>3544</v>
      </c>
      <c r="B1268" s="64" t="s">
        <v>4297</v>
      </c>
      <c r="C1268" s="63" t="s">
        <v>40</v>
      </c>
      <c r="D1268" s="64" t="str">
        <f aca="false">TRIM(LEFT('Offshore - Melbourne'!A6,FIND(CHAR(10),'Offshore - Melbourne'!A6&amp;CHAR(10))-1))</f>
        <v>Academies Australasia</v>
      </c>
      <c r="E1268" s="63" t="str">
        <f aca="false">'Offshore - Melbourne'!C12&amp;""</f>
        <v>1,5 years</v>
      </c>
      <c r="F1268" s="63" t="str">
        <f aca="false">IF('Offshore - Melbourne'!D12="","Belum tercatat",'Offshore - Melbourne'!D12)</f>
        <v>Term</v>
      </c>
      <c r="G1268" s="65" t="n">
        <f aca="false">IF('Offshore - Melbourne'!E12="","-",'Offshore - Melbourne'!E12)</f>
        <v>2700</v>
      </c>
      <c r="H1268" s="63" t="n">
        <f aca="false">IF(ISNUMBER(K1268),COUNTIFS($J$6:$J$1854,J1268,$K$6:$K$1854,"&lt;"&amp;K1268)+1,"-")</f>
        <v>4</v>
      </c>
      <c r="I1268" s="64" t="str">
        <f aca="false">IF('Offshore - Melbourne'!E12="","Harga belum tersedia - hubungi konsultan TEG",IF(M1268=2,"Saat ini tidak menerima pendaftaran siswa internasional baru",IF(M1268=1,"Harga perlu dikonfirmasi ke sekolah"&amp;IF(""="","","; "&amp;""),"")))</f>
        <v/>
      </c>
      <c r="J1268" s="0" t="s">
        <v>4336</v>
      </c>
      <c r="K1268" s="0" t="n">
        <f aca="false">IF(M1268=2,"",IF(ISNUMBER(SEARCH("rata-rata:",'Offshore - Melbourne'!N12)),VALUE(MID('Offshore - Melbourne'!N12,SEARCH("rata-rata:",'Offshore - Melbourne'!N12)+11,FIND(";",'Offshore - Melbourne'!N12&amp;";",SEARCH("rata-rata:",'Offshore - Melbourne'!N12))-SEARCH("rata-rata:",'Offshore - Melbourne'!N12)-11)),IF('Offshore - Melbourne'!D12="Semester",'Offshore - Melbourne'!E12*2,IF('Offshore - Melbourne'!D12="Trimester",'Offshore - Melbourne'!E12*3,IF('Offshore - Melbourne'!D12="Term",'Offshore - Melbourne'!E12*4,IF('Offshore - Melbourne'!D12="Unit",'Offshore - Melbourne'!E12*8,""))))))</f>
        <v>10800</v>
      </c>
      <c r="L1268" s="0" t="n">
        <f aca="false">IF(AND(ISNUMBER('Offshore - Melbourne'!E12),ISNUMBER(K1268),ISNUMBER('Offshore - Melbourne'!F12),ISNUMBER('Offshore - Melbourne'!G12),OR('Offshore - Melbourne'!F12&lt;&gt;0,ISNUMBER(SEARCH("Material 0 terverifikasi",'Offshore - Melbourne'!N12))),OR('Offshore - Melbourne'!G12&lt;&gt;0,ISNUMBER(SEARCH("Enrolment 0 terverifikasi",'Offshore - Melbourne'!N12)))),1,0)</f>
        <v>1</v>
      </c>
      <c r="M1268" s="0" t="n">
        <f aca="false">IF(OR('Offshore - Melbourne'!E12="",ISNUMBER(SEARCH("BSB80120",'Offshore - Melbourne'!B12&amp;'Offshore - Melbourne'!N12)),ISNUMBER(SEARCH("Management (Learning)",'Offshore - Melbourne'!B12))),2,IF(ISNUMBER(SEARCH("CEK:",'Offshore - Melbourne'!N12)),1,0))</f>
        <v>0</v>
      </c>
    </row>
    <row r="1269" customFormat="false" ht="28.35" hidden="false" customHeight="false" outlineLevel="0" collapsed="false">
      <c r="A1269" s="63" t="s">
        <v>3544</v>
      </c>
      <c r="B1269" s="64" t="s">
        <v>4297</v>
      </c>
      <c r="C1269" s="63" t="s">
        <v>40</v>
      </c>
      <c r="D1269" s="64" t="str">
        <f aca="false">TRIM(LEFT('Offshore - Melbourne'!A91,FIND(CHAR(10),'Offshore - Melbourne'!A91&amp;CHAR(10))-1))</f>
        <v>Australian Business &amp; Culinary Institute (ABC Institute)</v>
      </c>
      <c r="E1269" s="63" t="str">
        <f aca="false">'Offshore - Melbourne'!C92&amp;""</f>
        <v>1,5 years</v>
      </c>
      <c r="F1269" s="63" t="str">
        <f aca="false">IF('Offshore - Melbourne'!D92="","Belum tercatat",'Offshore - Melbourne'!D92)</f>
        <v>Term</v>
      </c>
      <c r="G1269" s="65" t="n">
        <f aca="false">IF('Offshore - Melbourne'!E92="","-",'Offshore - Melbourne'!E92)</f>
        <v>2833.33</v>
      </c>
      <c r="H1269" s="63" t="n">
        <f aca="false">IF(ISNUMBER(K1269),COUNTIFS($J$6:$J$1854,J1269,$K$6:$K$1854,"&lt;"&amp;K1269)+1,"-")</f>
        <v>5</v>
      </c>
      <c r="I1269" s="64" t="str">
        <f aca="false">IF('Offshore - Melbourne'!E92="","Harga belum tersedia - hubungi konsultan TEG",IF(M1269=2,"Saat ini tidak menerima pendaftaran siswa internasional baru",IF(M1269=1,"Harga perlu dikonfirmasi ke sekolah"&amp;IF(""="","","; "&amp;""),"")))</f>
        <v/>
      </c>
      <c r="J1269" s="0" t="s">
        <v>4336</v>
      </c>
      <c r="K1269" s="0" t="n">
        <f aca="false">IF(M1269=2,"",IF(ISNUMBER(SEARCH("rata-rata:",'Offshore - Melbourne'!N92)),VALUE(MID('Offshore - Melbourne'!N92,SEARCH("rata-rata:",'Offshore - Melbourne'!N92)+11,FIND(";",'Offshore - Melbourne'!N92&amp;";",SEARCH("rata-rata:",'Offshore - Melbourne'!N92))-SEARCH("rata-rata:",'Offshore - Melbourne'!N92)-11)),IF('Offshore - Melbourne'!D92="Semester",'Offshore - Melbourne'!E92*2,IF('Offshore - Melbourne'!D92="Trimester",'Offshore - Melbourne'!E92*3,IF('Offshore - Melbourne'!D92="Term",'Offshore - Melbourne'!E92*4,IF('Offshore - Melbourne'!D92="Unit",'Offshore - Melbourne'!E92*8,""))))))</f>
        <v>11333.32</v>
      </c>
      <c r="L1269" s="0" t="n">
        <f aca="false">IF(AND(ISNUMBER('Offshore - Melbourne'!E92),ISNUMBER(K1269),ISNUMBER('Offshore - Melbourne'!F92),ISNUMBER('Offshore - Melbourne'!G92),OR('Offshore - Melbourne'!F92&lt;&gt;0,ISNUMBER(SEARCH("Material 0 terverifikasi",'Offshore - Melbourne'!N92))),OR('Offshore - Melbourne'!G92&lt;&gt;0,ISNUMBER(SEARCH("Enrolment 0 terverifikasi",'Offshore - Melbourne'!N92)))),1,0)</f>
        <v>1</v>
      </c>
      <c r="M1269" s="0" t="n">
        <f aca="false">IF(OR('Offshore - Melbourne'!E92="",ISNUMBER(SEARCH("BSB80120",'Offshore - Melbourne'!B92&amp;'Offshore - Melbourne'!N92)),ISNUMBER(SEARCH("Management (Learning)",'Offshore - Melbourne'!B92))),2,IF(ISNUMBER(SEARCH("CEK:",'Offshore - Melbourne'!N92)),1,0))</f>
        <v>0</v>
      </c>
    </row>
    <row r="1270" customFormat="false" ht="15" hidden="false" customHeight="false" outlineLevel="0" collapsed="false">
      <c r="A1270" s="63" t="s">
        <v>3544</v>
      </c>
      <c r="B1270" s="64" t="s">
        <v>4297</v>
      </c>
      <c r="C1270" s="63" t="s">
        <v>40</v>
      </c>
      <c r="D1270" s="64" t="str">
        <f aca="false">TRIM(LEFT('Offshore - Melbourne'!A206,FIND(CHAR(10),'Offshore - Melbourne'!A206&amp;CHAR(10))-1))</f>
        <v>Australian Sovereign College (AuSC)</v>
      </c>
      <c r="E1270" s="63" t="str">
        <f aca="false">'Offshore - Melbourne'!C225&amp;""</f>
        <v>1,5 years</v>
      </c>
      <c r="F1270" s="63" t="str">
        <f aca="false">IF('Offshore - Melbourne'!D225="","Belum tercatat",'Offshore - Melbourne'!D225)</f>
        <v>Term</v>
      </c>
      <c r="G1270" s="65" t="n">
        <f aca="false">IF('Offshore - Melbourne'!E225="","-",'Offshore - Melbourne'!E225)</f>
        <v>3200</v>
      </c>
      <c r="H1270" s="63" t="n">
        <f aca="false">IF(ISNUMBER(K1270),COUNTIFS($J$6:$J$1854,J1270,$K$6:$K$1854,"&lt;"&amp;K1270)+1,"-")</f>
        <v>6</v>
      </c>
      <c r="I1270" s="64" t="str">
        <f aca="false">IF('Offshore - Melbourne'!E225="","Harga belum tersedia - hubungi konsultan TEG",IF(M1270=2,"Saat ini tidak menerima pendaftaran siswa internasional baru",IF(M1270=1,"Harga perlu dikonfirmasi ke sekolah"&amp;IF(""="","","; "&amp;""),"")))</f>
        <v/>
      </c>
      <c r="J1270" s="0" t="s">
        <v>4336</v>
      </c>
      <c r="K1270" s="0" t="n">
        <f aca="false">IF(M1270=2,"",IF(ISNUMBER(SEARCH("rata-rata:",'Offshore - Melbourne'!N225)),VALUE(MID('Offshore - Melbourne'!N225,SEARCH("rata-rata:",'Offshore - Melbourne'!N225)+11,FIND(";",'Offshore - Melbourne'!N225&amp;";",SEARCH("rata-rata:",'Offshore - Melbourne'!N225))-SEARCH("rata-rata:",'Offshore - Melbourne'!N225)-11)),IF('Offshore - Melbourne'!D225="Semester",'Offshore - Melbourne'!E225*2,IF('Offshore - Melbourne'!D225="Trimester",'Offshore - Melbourne'!E225*3,IF('Offshore - Melbourne'!D225="Term",'Offshore - Melbourne'!E225*4,IF('Offshore - Melbourne'!D225="Unit",'Offshore - Melbourne'!E225*8,""))))))</f>
        <v>12800</v>
      </c>
      <c r="L1270" s="0" t="n">
        <f aca="false">IF(AND(ISNUMBER('Offshore - Melbourne'!E225),ISNUMBER(K1270),ISNUMBER('Offshore - Melbourne'!F225),ISNUMBER('Offshore - Melbourne'!G225),OR('Offshore - Melbourne'!F225&lt;&gt;0,ISNUMBER(SEARCH("Material 0 terverifikasi",'Offshore - Melbourne'!N225))),OR('Offshore - Melbourne'!G225&lt;&gt;0,ISNUMBER(SEARCH("Enrolment 0 terverifikasi",'Offshore - Melbourne'!N225)))),1,0)</f>
        <v>1</v>
      </c>
      <c r="M1270" s="0" t="n">
        <f aca="false">IF(OR('Offshore - Melbourne'!E225="",ISNUMBER(SEARCH("BSB80120",'Offshore - Melbourne'!B225&amp;'Offshore - Melbourne'!N225)),ISNUMBER(SEARCH("Management (Learning)",'Offshore - Melbourne'!B225))),2,IF(ISNUMBER(SEARCH("CEK:",'Offshore - Melbourne'!N225)),1,0))</f>
        <v>0</v>
      </c>
    </row>
    <row r="1271" customFormat="false" ht="15" hidden="false" customHeight="false" outlineLevel="0" collapsed="false">
      <c r="A1271" s="63" t="s">
        <v>3544</v>
      </c>
      <c r="B1271" s="64" t="s">
        <v>4297</v>
      </c>
      <c r="C1271" s="63" t="s">
        <v>40</v>
      </c>
      <c r="D1271" s="64" t="str">
        <f aca="false">TRIM(LEFT('Offshore - Melbourne'!A556,FIND(CHAR(10),'Offshore - Melbourne'!A556&amp;CHAR(10))-1))</f>
        <v>William Angliss Institute</v>
      </c>
      <c r="E1271" s="63" t="str">
        <f aca="false">'Offshore - Melbourne'!C565&amp;""</f>
        <v>1,5 years</v>
      </c>
      <c r="F1271" s="63" t="str">
        <f aca="false">IF('Offshore - Melbourne'!D565="","Belum tercatat",'Offshore - Melbourne'!D565)</f>
        <v>Term</v>
      </c>
      <c r="G1271" s="65" t="n">
        <f aca="false">IF('Offshore - Melbourne'!E565="","-",'Offshore - Melbourne'!E565)</f>
        <v>5460</v>
      </c>
      <c r="H1271" s="63" t="n">
        <f aca="false">IF(ISNUMBER(K1271),COUNTIFS($J$6:$J$1854,J1271,$K$6:$K$1854,"&lt;"&amp;K1271)+1,"-")</f>
        <v>7</v>
      </c>
      <c r="I1271" s="64" t="str">
        <f aca="false">IF('Offshore - Melbourne'!E565="","Harga belum tersedia - hubungi konsultan TEG",IF(M1271=2,"Saat ini tidak menerima pendaftaran siswa internasional baru",IF(M1271=1,"Harga perlu dikonfirmasi ke sekolah"&amp;IF(""="","","; "&amp;""),"")))</f>
        <v/>
      </c>
      <c r="J1271" s="0" t="s">
        <v>4336</v>
      </c>
      <c r="K1271" s="0" t="n">
        <f aca="false">IF(M1271=2,"",IF(ISNUMBER(SEARCH("rata-rata:",'Offshore - Melbourne'!N565)),VALUE(MID('Offshore - Melbourne'!N565,SEARCH("rata-rata:",'Offshore - Melbourne'!N565)+11,FIND(";",'Offshore - Melbourne'!N565&amp;";",SEARCH("rata-rata:",'Offshore - Melbourne'!N565))-SEARCH("rata-rata:",'Offshore - Melbourne'!N565)-11)),IF('Offshore - Melbourne'!D565="Semester",'Offshore - Melbourne'!E565*2,IF('Offshore - Melbourne'!D565="Trimester",'Offshore - Melbourne'!E565*3,IF('Offshore - Melbourne'!D565="Term",'Offshore - Melbourne'!E565*4,IF('Offshore - Melbourne'!D565="Unit",'Offshore - Melbourne'!E565*8,""))))))</f>
        <v>21840</v>
      </c>
      <c r="L1271" s="0" t="n">
        <f aca="false">IF(AND(ISNUMBER('Offshore - Melbourne'!E565),ISNUMBER(K1271),ISNUMBER('Offshore - Melbourne'!F565),ISNUMBER('Offshore - Melbourne'!G565),OR('Offshore - Melbourne'!F565&lt;&gt;0,ISNUMBER(SEARCH("Material 0 terverifikasi",'Offshore - Melbourne'!N565))),OR('Offshore - Melbourne'!G565&lt;&gt;0,ISNUMBER(SEARCH("Enrolment 0 terverifikasi",'Offshore - Melbourne'!N565)))),1,0)</f>
        <v>1</v>
      </c>
      <c r="M1271" s="0" t="n">
        <f aca="false">IF(OR('Offshore - Melbourne'!E565="",ISNUMBER(SEARCH("BSB80120",'Offshore - Melbourne'!B565&amp;'Offshore - Melbourne'!N565)),ISNUMBER(SEARCH("Management (Learning)",'Offshore - Melbourne'!B565))),2,IF(ISNUMBER(SEARCH("CEK:",'Offshore - Melbourne'!N565)),1,0))</f>
        <v>0</v>
      </c>
    </row>
    <row r="1272" customFormat="false" ht="15" hidden="false" customHeight="false" outlineLevel="0" collapsed="false">
      <c r="A1272" s="63" t="s">
        <v>3544</v>
      </c>
      <c r="B1272" s="64" t="s">
        <v>4297</v>
      </c>
      <c r="C1272" s="63" t="s">
        <v>40</v>
      </c>
      <c r="D1272" s="64" t="str">
        <f aca="false">TRIM(LEFT('Offshore - Melbourne'!A324,FIND(CHAR(10),'Offshore - Melbourne'!A324&amp;CHAR(10))-1))</f>
        <v>Le Cordon Bleu Australia</v>
      </c>
      <c r="E1272" s="63" t="str">
        <f aca="false">'Offshore - Melbourne'!C325&amp;""</f>
        <v>0,5 year</v>
      </c>
      <c r="F1272" s="63" t="str">
        <f aca="false">IF('Offshore - Melbourne'!D325="","Belum tercatat",'Offshore - Melbourne'!D325)</f>
        <v>Term</v>
      </c>
      <c r="G1272" s="65" t="n">
        <f aca="false">IF('Offshore - Melbourne'!E325="","-",'Offshore - Melbourne'!E325)</f>
        <v>6737</v>
      </c>
      <c r="H1272" s="63" t="n">
        <f aca="false">IF(ISNUMBER(K1272),COUNTIFS($J$6:$J$1854,J1272,$K$6:$K$1854,"&lt;"&amp;K1272)+1,"-")</f>
        <v>8</v>
      </c>
      <c r="I1272" s="64" t="str">
        <f aca="false">IF('Offshore - Melbourne'!E325="","Harga belum tersedia - hubungi konsultan TEG",IF(M1272=2,"Saat ini tidak menerima pendaftaran siswa internasional baru",IF(M1272=1,"Harga perlu dikonfirmasi ke sekolah"&amp;IF(""="","","; "&amp;""),"")))</f>
        <v/>
      </c>
      <c r="J1272" s="0" t="s">
        <v>4336</v>
      </c>
      <c r="K1272" s="0" t="n">
        <f aca="false">IF(M1272=2,"",IF(ISNUMBER(SEARCH("rata-rata:",'Offshore - Melbourne'!N325)),VALUE(MID('Offshore - Melbourne'!N325,SEARCH("rata-rata:",'Offshore - Melbourne'!N325)+11,FIND(";",'Offshore - Melbourne'!N325&amp;";",SEARCH("rata-rata:",'Offshore - Melbourne'!N325))-SEARCH("rata-rata:",'Offshore - Melbourne'!N325)-11)),IF('Offshore - Melbourne'!D325="Semester",'Offshore - Melbourne'!E325*2,IF('Offshore - Melbourne'!D325="Trimester",'Offshore - Melbourne'!E325*3,IF('Offshore - Melbourne'!D325="Term",'Offshore - Melbourne'!E325*4,IF('Offshore - Melbourne'!D325="Unit",'Offshore - Melbourne'!E325*8,""))))))</f>
        <v>26948</v>
      </c>
      <c r="L1272" s="0" t="n">
        <f aca="false">IF(AND(ISNUMBER('Offshore - Melbourne'!E325),ISNUMBER(K1272),ISNUMBER('Offshore - Melbourne'!F325),ISNUMBER('Offshore - Melbourne'!G325),OR('Offshore - Melbourne'!F325&lt;&gt;0,ISNUMBER(SEARCH("Material 0 terverifikasi",'Offshore - Melbourne'!N325))),OR('Offshore - Melbourne'!G325&lt;&gt;0,ISNUMBER(SEARCH("Enrolment 0 terverifikasi",'Offshore - Melbourne'!N325)))),1,0)</f>
        <v>0</v>
      </c>
      <c r="M1272" s="0" t="n">
        <f aca="false">IF(OR('Offshore - Melbourne'!E325="",ISNUMBER(SEARCH("BSB80120",'Offshore - Melbourne'!B325&amp;'Offshore - Melbourne'!N325)),ISNUMBER(SEARCH("Management (Learning)",'Offshore - Melbourne'!B325))),2,IF(ISNUMBER(SEARCH("CEK:",'Offshore - Melbourne'!N325)),1,0))</f>
        <v>0</v>
      </c>
    </row>
    <row r="1273" customFormat="false" ht="15" hidden="false" customHeight="false" outlineLevel="0" collapsed="false">
      <c r="A1273" s="61" t="s">
        <v>4337</v>
      </c>
      <c r="B1273" s="62"/>
      <c r="C1273" s="62"/>
      <c r="D1273" s="62"/>
      <c r="E1273" s="62"/>
      <c r="F1273" s="62"/>
      <c r="G1273" s="62"/>
      <c r="H1273" s="62"/>
      <c r="I1273" s="62"/>
    </row>
    <row r="1274" customFormat="false" ht="15" hidden="false" customHeight="false" outlineLevel="0" collapsed="false">
      <c r="A1274" s="63" t="s">
        <v>3544</v>
      </c>
      <c r="B1274" s="64" t="s">
        <v>4297</v>
      </c>
      <c r="C1274" s="63" t="s">
        <v>41</v>
      </c>
      <c r="D1274" s="64" t="str">
        <f aca="false">TRIM(LEFT('Offshore - Melbourne'!A263,FIND(CHAR(10),'Offshore - Melbourne'!A263&amp;CHAR(10))-1))</f>
        <v>Greenwich College</v>
      </c>
      <c r="E1274" s="63" t="str">
        <f aca="false">'Offshore - Melbourne'!C274&amp;""</f>
        <v>110 weeks</v>
      </c>
      <c r="F1274" s="63" t="str">
        <f aca="false">IF('Offshore - Melbourne'!D274="","Belum tercatat",'Offshore - Melbourne'!D274)</f>
        <v>Term</v>
      </c>
      <c r="G1274" s="65" t="n">
        <f aca="false">IF('Offshore - Melbourne'!E274="","-",'Offshore - Melbourne'!E274)</f>
        <v>1950</v>
      </c>
      <c r="H1274" s="63" t="n">
        <f aca="false">IF(ISNUMBER(K1274),COUNTIFS($J$6:$J$1854,J1274,$K$6:$K$1854,"&lt;"&amp;K1274)+1,"-")</f>
        <v>1</v>
      </c>
      <c r="I1274" s="64" t="str">
        <f aca="false">IF('Offshore - Melbourne'!E274="","Harga belum tersedia - hubungi konsultan TEG",IF(M1274=2,"Saat ini tidak menerima pendaftaran siswa internasional baru",IF(M1274=1,"Harga perlu dikonfirmasi ke sekolah"&amp;IF(""="","","; "&amp;""),"")))</f>
        <v/>
      </c>
      <c r="J1274" s="0" t="s">
        <v>4338</v>
      </c>
      <c r="K1274" s="0" t="n">
        <f aca="false">IF(M1274=2,"",IF(ISNUMBER(SEARCH("rata-rata:",'Offshore - Melbourne'!N274)),VALUE(MID('Offshore - Melbourne'!N274,SEARCH("rata-rata:",'Offshore - Melbourne'!N274)+11,FIND(";",'Offshore - Melbourne'!N274&amp;";",SEARCH("rata-rata:",'Offshore - Melbourne'!N274))-SEARCH("rata-rata:",'Offshore - Melbourne'!N274)-11)),IF('Offshore - Melbourne'!D274="Semester",'Offshore - Melbourne'!E274*2,IF('Offshore - Melbourne'!D274="Trimester",'Offshore - Melbourne'!E274*3,IF('Offshore - Melbourne'!D274="Term",'Offshore - Melbourne'!E274*4,IF('Offshore - Melbourne'!D274="Unit",'Offshore - Melbourne'!E274*8,""))))))</f>
        <v>7800</v>
      </c>
      <c r="L1274" s="0" t="n">
        <f aca="false">IF(AND(ISNUMBER('Offshore - Melbourne'!E274),ISNUMBER(K1274),ISNUMBER('Offshore - Melbourne'!F274),ISNUMBER('Offshore - Melbourne'!G274),OR('Offshore - Melbourne'!F274&lt;&gt;0,ISNUMBER(SEARCH("Material 0 terverifikasi",'Offshore - Melbourne'!N274))),OR('Offshore - Melbourne'!G274&lt;&gt;0,ISNUMBER(SEARCH("Enrolment 0 terverifikasi",'Offshore - Melbourne'!N274)))),1,0)</f>
        <v>1</v>
      </c>
      <c r="M1274" s="0" t="n">
        <f aca="false">IF(OR('Offshore - Melbourne'!E274="",ISNUMBER(SEARCH("BSB80120",'Offshore - Melbourne'!B274&amp;'Offshore - Melbourne'!N274)),ISNUMBER(SEARCH("Management (Learning)",'Offshore - Melbourne'!B274))),2,IF(ISNUMBER(SEARCH("CEK:",'Offshore - Melbourne'!N274)),1,0))</f>
        <v>0</v>
      </c>
    </row>
    <row r="1275" customFormat="false" ht="15" hidden="false" customHeight="false" outlineLevel="0" collapsed="false">
      <c r="A1275" s="63" t="s">
        <v>3544</v>
      </c>
      <c r="B1275" s="64" t="s">
        <v>4297</v>
      </c>
      <c r="C1275" s="63" t="s">
        <v>41</v>
      </c>
      <c r="D1275" s="64" t="str">
        <f aca="false">TRIM(LEFT('Offshore - Melbourne'!A244,FIND(CHAR(10),'Offshore - Melbourne'!A244&amp;CHAR(10))-1))</f>
        <v>Collins International College</v>
      </c>
      <c r="E1275" s="63" t="str">
        <f aca="false">'Offshore - Melbourne'!C244&amp;""</f>
        <v>2 years</v>
      </c>
      <c r="F1275" s="63" t="str">
        <f aca="false">IF('Offshore - Melbourne'!D244="","Belum tercatat",'Offshore - Melbourne'!D244)</f>
        <v>Term</v>
      </c>
      <c r="G1275" s="65" t="n">
        <f aca="false">IF('Offshore - Melbourne'!E244="","-",'Offshore - Melbourne'!E244)</f>
        <v>2000</v>
      </c>
      <c r="H1275" s="63" t="n">
        <f aca="false">IF(ISNUMBER(K1275),COUNTIFS($J$6:$J$1854,J1275,$K$6:$K$1854,"&lt;"&amp;K1275)+1,"-")</f>
        <v>2</v>
      </c>
      <c r="I1275" s="64" t="str">
        <f aca="false">IF('Offshore - Melbourne'!E244="","Harga belum tersedia - hubungi konsultan TEG",IF(M1275=2,"Saat ini tidak menerima pendaftaran siswa internasional baru",IF(M1275=1,"Harga perlu dikonfirmasi ke sekolah"&amp;IF(""="","","; "&amp;""),"")))</f>
        <v>Harga perlu dikonfirmasi ke sekolah</v>
      </c>
      <c r="J1275" s="0" t="s">
        <v>4338</v>
      </c>
      <c r="K1275" s="0" t="n">
        <f aca="false">IF(M1275=2,"",IF(ISNUMBER(SEARCH("rata-rata:",'Offshore - Melbourne'!N244)),VALUE(MID('Offshore - Melbourne'!N244,SEARCH("rata-rata:",'Offshore - Melbourne'!N244)+11,FIND(";",'Offshore - Melbourne'!N244&amp;";",SEARCH("rata-rata:",'Offshore - Melbourne'!N244))-SEARCH("rata-rata:",'Offshore - Melbourne'!N244)-11)),IF('Offshore - Melbourne'!D244="Semester",'Offshore - Melbourne'!E244*2,IF('Offshore - Melbourne'!D244="Trimester",'Offshore - Melbourne'!E244*3,IF('Offshore - Melbourne'!D244="Term",'Offshore - Melbourne'!E244*4,IF('Offshore - Melbourne'!D244="Unit",'Offshore - Melbourne'!E244*8,""))))))</f>
        <v>8000</v>
      </c>
      <c r="L1275" s="0" t="n">
        <f aca="false">IF(AND(ISNUMBER('Offshore - Melbourne'!E244),ISNUMBER(K1275),ISNUMBER('Offshore - Melbourne'!F244),ISNUMBER('Offshore - Melbourne'!G244),OR('Offshore - Melbourne'!F244&lt;&gt;0,ISNUMBER(SEARCH("Material 0 terverifikasi",'Offshore - Melbourne'!N244))),OR('Offshore - Melbourne'!G244&lt;&gt;0,ISNUMBER(SEARCH("Enrolment 0 terverifikasi",'Offshore - Melbourne'!N244)))),1,0)</f>
        <v>1</v>
      </c>
      <c r="M1275" s="0" t="n">
        <f aca="false">IF(OR('Offshore - Melbourne'!E244="",ISNUMBER(SEARCH("BSB80120",'Offshore - Melbourne'!B244&amp;'Offshore - Melbourne'!N244)),ISNUMBER(SEARCH("Management (Learning)",'Offshore - Melbourne'!B244))),2,IF(ISNUMBER(SEARCH("CEK:",'Offshore - Melbourne'!N244)),1,0))</f>
        <v>1</v>
      </c>
    </row>
    <row r="1276" customFormat="false" ht="15" hidden="false" customHeight="false" outlineLevel="0" collapsed="false">
      <c r="A1276" s="63" t="s">
        <v>3544</v>
      </c>
      <c r="B1276" s="64" t="s">
        <v>4297</v>
      </c>
      <c r="C1276" s="63" t="s">
        <v>41</v>
      </c>
      <c r="D1276" s="64" t="str">
        <f aca="false">TRIM(LEFT('Offshore - Melbourne'!A336,FIND(CHAR(10),'Offshore - Melbourne'!A336&amp;CHAR(10))-1))</f>
        <v>Le Suisse Academy</v>
      </c>
      <c r="E1276" s="63" t="str">
        <f aca="false">'Offshore - Melbourne'!C337&amp;""</f>
        <v>2 years</v>
      </c>
      <c r="F1276" s="63" t="str">
        <f aca="false">IF('Offshore - Melbourne'!D337="","Belum tercatat",'Offshore - Melbourne'!D337)</f>
        <v>Term</v>
      </c>
      <c r="G1276" s="65" t="n">
        <f aca="false">IF('Offshore - Melbourne'!E337="","-",'Offshore - Melbourne'!E337)</f>
        <v>2000</v>
      </c>
      <c r="H1276" s="63" t="n">
        <f aca="false">IF(ISNUMBER(K1276),COUNTIFS($J$6:$J$1854,J1276,$K$6:$K$1854,"&lt;"&amp;K1276)+1,"-")</f>
        <v>2</v>
      </c>
      <c r="I1276" s="64" t="str">
        <f aca="false">IF('Offshore - Melbourne'!E337="","Harga belum tersedia - hubungi konsultan TEG",IF(M1276=2,"Saat ini tidak menerima pendaftaran siswa internasional baru",IF(M1276=1,"Harga perlu dikonfirmasi ke sekolah"&amp;IF(""="","","; "&amp;""),"")))</f>
        <v/>
      </c>
      <c r="J1276" s="0" t="s">
        <v>4338</v>
      </c>
      <c r="K1276" s="0" t="n">
        <f aca="false">IF(M1276=2,"",IF(ISNUMBER(SEARCH("rata-rata:",'Offshore - Melbourne'!N337)),VALUE(MID('Offshore - Melbourne'!N337,SEARCH("rata-rata:",'Offshore - Melbourne'!N337)+11,FIND(";",'Offshore - Melbourne'!N337&amp;";",SEARCH("rata-rata:",'Offshore - Melbourne'!N337))-SEARCH("rata-rata:",'Offshore - Melbourne'!N337)-11)),IF('Offshore - Melbourne'!D337="Semester",'Offshore - Melbourne'!E337*2,IF('Offshore - Melbourne'!D337="Trimester",'Offshore - Melbourne'!E337*3,IF('Offshore - Melbourne'!D337="Term",'Offshore - Melbourne'!E337*4,IF('Offshore - Melbourne'!D337="Unit",'Offshore - Melbourne'!E337*8,""))))))</f>
        <v>8000</v>
      </c>
      <c r="L1276" s="0" t="n">
        <f aca="false">IF(AND(ISNUMBER('Offshore - Melbourne'!E337),ISNUMBER(K1276),ISNUMBER('Offshore - Melbourne'!F337),ISNUMBER('Offshore - Melbourne'!G337),OR('Offshore - Melbourne'!F337&lt;&gt;0,ISNUMBER(SEARCH("Material 0 terverifikasi",'Offshore - Melbourne'!N337))),OR('Offshore - Melbourne'!G337&lt;&gt;0,ISNUMBER(SEARCH("Enrolment 0 terverifikasi",'Offshore - Melbourne'!N337)))),1,0)</f>
        <v>1</v>
      </c>
      <c r="M1276" s="0" t="n">
        <f aca="false">IF(OR('Offshore - Melbourne'!E337="",ISNUMBER(SEARCH("BSB80120",'Offshore - Melbourne'!B337&amp;'Offshore - Melbourne'!N337)),ISNUMBER(SEARCH("Management (Learning)",'Offshore - Melbourne'!B337))),2,IF(ISNUMBER(SEARCH("CEK:",'Offshore - Melbourne'!N337)),1,0))</f>
        <v>0</v>
      </c>
    </row>
    <row r="1277" customFormat="false" ht="15" hidden="false" customHeight="false" outlineLevel="0" collapsed="false">
      <c r="A1277" s="63" t="s">
        <v>3544</v>
      </c>
      <c r="B1277" s="64" t="s">
        <v>4297</v>
      </c>
      <c r="C1277" s="63" t="s">
        <v>41</v>
      </c>
      <c r="D1277" s="64" t="str">
        <f aca="false">TRIM(LEFT('Offshore - Melbourne'!A410,FIND(CHAR(10),'Offshore - Melbourne'!A410&amp;CHAR(10))-1))</f>
        <v>States College Australia</v>
      </c>
      <c r="E1277" s="63" t="str">
        <f aca="false">'Offshore - Melbourne'!C410&amp;""</f>
        <v>2,5 years</v>
      </c>
      <c r="F1277" s="63" t="str">
        <f aca="false">IF('Offshore - Melbourne'!D410="","Belum tercatat",'Offshore - Melbourne'!D410)</f>
        <v>Term</v>
      </c>
      <c r="G1277" s="65" t="n">
        <f aca="false">IF('Offshore - Melbourne'!E410="","-",'Offshore - Melbourne'!E410)</f>
        <v>2100</v>
      </c>
      <c r="H1277" s="63" t="n">
        <f aca="false">IF(ISNUMBER(K1277),COUNTIFS($J$6:$J$1854,J1277,$K$6:$K$1854,"&lt;"&amp;K1277)+1,"-")</f>
        <v>4</v>
      </c>
      <c r="I1277" s="64" t="str">
        <f aca="false">IF('Offshore - Melbourne'!E410="","Harga belum tersedia - hubungi konsultan TEG",IF(M1277=2,"Saat ini tidak menerima pendaftaran siswa internasional baru",IF(M1277=1,"Harga perlu dikonfirmasi ke sekolah"&amp;IF(""="","","; "&amp;""),"")))</f>
        <v/>
      </c>
      <c r="J1277" s="0" t="s">
        <v>4338</v>
      </c>
      <c r="K1277" s="0" t="n">
        <f aca="false">IF(M1277=2,"",IF(ISNUMBER(SEARCH("rata-rata:",'Offshore - Melbourne'!N410)),VALUE(MID('Offshore - Melbourne'!N410,SEARCH("rata-rata:",'Offshore - Melbourne'!N410)+11,FIND(";",'Offshore - Melbourne'!N410&amp;";",SEARCH("rata-rata:",'Offshore - Melbourne'!N410))-SEARCH("rata-rata:",'Offshore - Melbourne'!N410)-11)),IF('Offshore - Melbourne'!D410="Semester",'Offshore - Melbourne'!E410*2,IF('Offshore - Melbourne'!D410="Trimester",'Offshore - Melbourne'!E410*3,IF('Offshore - Melbourne'!D410="Term",'Offshore - Melbourne'!E410*4,IF('Offshore - Melbourne'!D410="Unit",'Offshore - Melbourne'!E410*8,""))))))</f>
        <v>8400</v>
      </c>
      <c r="L1277" s="0" t="n">
        <f aca="false">IF(AND(ISNUMBER('Offshore - Melbourne'!E410),ISNUMBER(K1277),ISNUMBER('Offshore - Melbourne'!F410),ISNUMBER('Offshore - Melbourne'!G410),OR('Offshore - Melbourne'!F410&lt;&gt;0,ISNUMBER(SEARCH("Material 0 terverifikasi",'Offshore - Melbourne'!N410))),OR('Offshore - Melbourne'!G410&lt;&gt;0,ISNUMBER(SEARCH("Enrolment 0 terverifikasi",'Offshore - Melbourne'!N410)))),1,0)</f>
        <v>1</v>
      </c>
      <c r="M1277" s="0" t="n">
        <f aca="false">IF(OR('Offshore - Melbourne'!E410="",ISNUMBER(SEARCH("BSB80120",'Offshore - Melbourne'!B410&amp;'Offshore - Melbourne'!N410)),ISNUMBER(SEARCH("Management (Learning)",'Offshore - Melbourne'!B410))),2,IF(ISNUMBER(SEARCH("CEK:",'Offshore - Melbourne'!N410)),1,0))</f>
        <v>0</v>
      </c>
    </row>
    <row r="1278" customFormat="false" ht="15" hidden="false" customHeight="false" outlineLevel="0" collapsed="false">
      <c r="A1278" s="63" t="s">
        <v>3544</v>
      </c>
      <c r="B1278" s="64" t="s">
        <v>4297</v>
      </c>
      <c r="C1278" s="63" t="s">
        <v>41</v>
      </c>
      <c r="D1278" s="64" t="str">
        <f aca="false">TRIM(LEFT('Offshore - Melbourne'!A360,FIND(CHAR(10),'Offshore - Melbourne'!A360&amp;CHAR(10))-1))</f>
        <v>National Training College of Australia (NTCA)</v>
      </c>
      <c r="E1278" s="63" t="str">
        <f aca="false">'Offshore - Melbourne'!C367&amp;""</f>
        <v>2,5 years</v>
      </c>
      <c r="F1278" s="63" t="str">
        <f aca="false">IF('Offshore - Melbourne'!D367="","Belum tercatat",'Offshore - Melbourne'!D367)</f>
        <v>Term</v>
      </c>
      <c r="G1278" s="65" t="n">
        <f aca="false">IF('Offshore - Melbourne'!E367="","-",'Offshore - Melbourne'!E367)</f>
        <v>2125</v>
      </c>
      <c r="H1278" s="63" t="n">
        <f aca="false">IF(ISNUMBER(K1278),COUNTIFS($J$6:$J$1854,J1278,$K$6:$K$1854,"&lt;"&amp;K1278)+1,"-")</f>
        <v>5</v>
      </c>
      <c r="I1278" s="64" t="str">
        <f aca="false">IF('Offshore - Melbourne'!E367="","Harga belum tersedia - hubungi konsultan TEG",IF(M1278=2,"Saat ini tidak menerima pendaftaran siswa internasional baru",IF(M1278=1,"Harga perlu dikonfirmasi ke sekolah"&amp;IF(""="","","; "&amp;""),"")))</f>
        <v/>
      </c>
      <c r="J1278" s="0" t="s">
        <v>4338</v>
      </c>
      <c r="K1278" s="0" t="n">
        <f aca="false">IF(M1278=2,"",IF(ISNUMBER(SEARCH("rata-rata:",'Offshore - Melbourne'!N367)),VALUE(MID('Offshore - Melbourne'!N367,SEARCH("rata-rata:",'Offshore - Melbourne'!N367)+11,FIND(";",'Offshore - Melbourne'!N367&amp;";",SEARCH("rata-rata:",'Offshore - Melbourne'!N367))-SEARCH("rata-rata:",'Offshore - Melbourne'!N367)-11)),IF('Offshore - Melbourne'!D367="Semester",'Offshore - Melbourne'!E367*2,IF('Offshore - Melbourne'!D367="Trimester",'Offshore - Melbourne'!E367*3,IF('Offshore - Melbourne'!D367="Term",'Offshore - Melbourne'!E367*4,IF('Offshore - Melbourne'!D367="Unit",'Offshore - Melbourne'!E367*8,""))))))</f>
        <v>8500</v>
      </c>
      <c r="L1278" s="0" t="n">
        <f aca="false">IF(AND(ISNUMBER('Offshore - Melbourne'!E367),ISNUMBER(K1278),ISNUMBER('Offshore - Melbourne'!F367),ISNUMBER('Offshore - Melbourne'!G367),OR('Offshore - Melbourne'!F367&lt;&gt;0,ISNUMBER(SEARCH("Material 0 terverifikasi",'Offshore - Melbourne'!N367))),OR('Offshore - Melbourne'!G367&lt;&gt;0,ISNUMBER(SEARCH("Enrolment 0 terverifikasi",'Offshore - Melbourne'!N367)))),1,0)</f>
        <v>1</v>
      </c>
      <c r="M1278" s="0" t="n">
        <f aca="false">IF(OR('Offshore - Melbourne'!E367="",ISNUMBER(SEARCH("BSB80120",'Offshore - Melbourne'!B367&amp;'Offshore - Melbourne'!N367)),ISNUMBER(SEARCH("Management (Learning)",'Offshore - Melbourne'!B367))),2,IF(ISNUMBER(SEARCH("CEK:",'Offshore - Melbourne'!N367)),1,0))</f>
        <v>0</v>
      </c>
    </row>
    <row r="1279" customFormat="false" ht="28.35" hidden="false" customHeight="false" outlineLevel="0" collapsed="false">
      <c r="A1279" s="63" t="s">
        <v>3544</v>
      </c>
      <c r="B1279" s="64" t="s">
        <v>4297</v>
      </c>
      <c r="C1279" s="63" t="s">
        <v>41</v>
      </c>
      <c r="D1279" s="64" t="str">
        <f aca="false">TRIM(LEFT('Offshore - Melbourne'!A53,FIND(CHAR(10),'Offshore - Melbourne'!A53&amp;CHAR(10))-1))</f>
        <v>Albright Institute of Business and Language (AIBL)</v>
      </c>
      <c r="E1279" s="63" t="str">
        <f aca="false">'Offshore - Melbourne'!C58&amp;""</f>
        <v>2 years</v>
      </c>
      <c r="F1279" s="63" t="str">
        <f aca="false">IF('Offshore - Melbourne'!D58="","Belum tercatat",'Offshore - Melbourne'!D58)</f>
        <v>Term</v>
      </c>
      <c r="G1279" s="65" t="n">
        <f aca="false">IF('Offshore - Melbourne'!E58="","-",'Offshore - Melbourne'!E58)</f>
        <v>2250</v>
      </c>
      <c r="H1279" s="63" t="n">
        <f aca="false">IF(ISNUMBER(K1279),COUNTIFS($J$6:$J$1854,J1279,$K$6:$K$1854,"&lt;"&amp;K1279)+1,"-")</f>
        <v>6</v>
      </c>
      <c r="I1279" s="64" t="str">
        <f aca="false">IF('Offshore - Melbourne'!E58="","Harga belum tersedia - hubungi konsultan TEG",IF(M1279=2,"Saat ini tidak menerima pendaftaran siswa internasional baru",IF(M1279=1,"Harga perlu dikonfirmasi ke sekolah"&amp;IF(""="","","; "&amp;""),"")))</f>
        <v/>
      </c>
      <c r="J1279" s="0" t="s">
        <v>4338</v>
      </c>
      <c r="K1279" s="0" t="n">
        <f aca="false">IF(M1279=2,"",IF(ISNUMBER(SEARCH("rata-rata:",'Offshore - Melbourne'!N58)),VALUE(MID('Offshore - Melbourne'!N58,SEARCH("rata-rata:",'Offshore - Melbourne'!N58)+11,FIND(";",'Offshore - Melbourne'!N58&amp;";",SEARCH("rata-rata:",'Offshore - Melbourne'!N58))-SEARCH("rata-rata:",'Offshore - Melbourne'!N58)-11)),IF('Offshore - Melbourne'!D58="Semester",'Offshore - Melbourne'!E58*2,IF('Offshore - Melbourne'!D58="Trimester",'Offshore - Melbourne'!E58*3,IF('Offshore - Melbourne'!D58="Term",'Offshore - Melbourne'!E58*4,IF('Offshore - Melbourne'!D58="Unit",'Offshore - Melbourne'!E58*8,""))))))</f>
        <v>9000</v>
      </c>
      <c r="L1279" s="0" t="n">
        <f aca="false">IF(AND(ISNUMBER('Offshore - Melbourne'!E58),ISNUMBER(K1279),ISNUMBER('Offshore - Melbourne'!F58),ISNUMBER('Offshore - Melbourne'!G58),OR('Offshore - Melbourne'!F58&lt;&gt;0,ISNUMBER(SEARCH("Material 0 terverifikasi",'Offshore - Melbourne'!N58))),OR('Offshore - Melbourne'!G58&lt;&gt;0,ISNUMBER(SEARCH("Enrolment 0 terverifikasi",'Offshore - Melbourne'!N58)))),1,0)</f>
        <v>1</v>
      </c>
      <c r="M1279" s="0" t="n">
        <f aca="false">IF(OR('Offshore - Melbourne'!E58="",ISNUMBER(SEARCH("BSB80120",'Offshore - Melbourne'!B58&amp;'Offshore - Melbourne'!N58)),ISNUMBER(SEARCH("Management (Learning)",'Offshore - Melbourne'!B58))),2,IF(ISNUMBER(SEARCH("CEK:",'Offshore - Melbourne'!N58)),1,0))</f>
        <v>0</v>
      </c>
    </row>
    <row r="1280" customFormat="false" ht="28.35" hidden="false" customHeight="false" outlineLevel="0" collapsed="false">
      <c r="A1280" s="63" t="s">
        <v>3544</v>
      </c>
      <c r="B1280" s="64" t="s">
        <v>4297</v>
      </c>
      <c r="C1280" s="63" t="s">
        <v>41</v>
      </c>
      <c r="D1280" s="64" t="str">
        <f aca="false">TRIM(LEFT('Offshore - Melbourne'!A435,FIND(CHAR(10),'Offshore - Melbourne'!A435&amp;CHAR(10))-1))</f>
        <v>TKL College (Training for Knowledge and Livelihood)</v>
      </c>
      <c r="E1280" s="63" t="str">
        <f aca="false">'Offshore - Melbourne'!C440&amp;""</f>
        <v>3 years</v>
      </c>
      <c r="F1280" s="63" t="str">
        <f aca="false">IF('Offshore - Melbourne'!D440="","Belum tercatat",'Offshore - Melbourne'!D440)</f>
        <v>Term</v>
      </c>
      <c r="G1280" s="65" t="n">
        <f aca="false">IF('Offshore - Melbourne'!E440="","-",'Offshore - Melbourne'!E440)</f>
        <v>2250</v>
      </c>
      <c r="H1280" s="63" t="n">
        <f aca="false">IF(ISNUMBER(K1280),COUNTIFS($J$6:$J$1854,J1280,$K$6:$K$1854,"&lt;"&amp;K1280)+1,"-")</f>
        <v>6</v>
      </c>
      <c r="I1280" s="64" t="str">
        <f aca="false">IF('Offshore - Melbourne'!E440="","Harga belum tersedia - hubungi konsultan TEG",IF(M1280=2,"Saat ini tidak menerima pendaftaran siswa internasional baru",IF(M1280=1,"Program perlu dikonfirmasi ketersediaannya"&amp;IF(""="","","; "&amp;""),"")))</f>
        <v>Program perlu dikonfirmasi ketersediaannya</v>
      </c>
      <c r="J1280" s="0" t="s">
        <v>4338</v>
      </c>
      <c r="K1280" s="0" t="n">
        <f aca="false">IF(M1280=2,"",IF(ISNUMBER(SEARCH("rata-rata:",'Offshore - Melbourne'!N440)),VALUE(MID('Offshore - Melbourne'!N440,SEARCH("rata-rata:",'Offshore - Melbourne'!N440)+11,FIND(";",'Offshore - Melbourne'!N440&amp;";",SEARCH("rata-rata:",'Offshore - Melbourne'!N440))-SEARCH("rata-rata:",'Offshore - Melbourne'!N440)-11)),IF('Offshore - Melbourne'!D440="Semester",'Offshore - Melbourne'!E440*2,IF('Offshore - Melbourne'!D440="Trimester",'Offshore - Melbourne'!E440*3,IF('Offshore - Melbourne'!D440="Term",'Offshore - Melbourne'!E440*4,IF('Offshore - Melbourne'!D440="Unit",'Offshore - Melbourne'!E440*8,""))))))</f>
        <v>9000</v>
      </c>
      <c r="L1280" s="0" t="n">
        <f aca="false">IF(AND(ISNUMBER('Offshore - Melbourne'!E440),ISNUMBER(K1280),ISNUMBER('Offshore - Melbourne'!F440),ISNUMBER('Offshore - Melbourne'!G440),OR('Offshore - Melbourne'!F440&lt;&gt;0,ISNUMBER(SEARCH("Material 0 terverifikasi",'Offshore - Melbourne'!N440))),OR('Offshore - Melbourne'!G440&lt;&gt;0,ISNUMBER(SEARCH("Enrolment 0 terverifikasi",'Offshore - Melbourne'!N440)))),1,0)</f>
        <v>1</v>
      </c>
      <c r="M1280" s="0" t="n">
        <f aca="false">IF(OR('Offshore - Melbourne'!E440="",ISNUMBER(SEARCH("BSB80120",'Offshore - Melbourne'!B440&amp;'Offshore - Melbourne'!N440)),ISNUMBER(SEARCH("Management (Learning)",'Offshore - Melbourne'!B440))),2,IF(ISNUMBER(SEARCH("CEK:",'Offshore - Melbourne'!N440)),1,0))</f>
        <v>1</v>
      </c>
    </row>
    <row r="1281" customFormat="false" ht="15" hidden="false" customHeight="false" outlineLevel="0" collapsed="false">
      <c r="A1281" s="63" t="s">
        <v>3544</v>
      </c>
      <c r="B1281" s="64" t="s">
        <v>4297</v>
      </c>
      <c r="C1281" s="63" t="s">
        <v>41</v>
      </c>
      <c r="D1281" s="64" t="str">
        <f aca="false">TRIM(LEFT('Offshore - Melbourne'!A387,FIND(CHAR(10),'Offshore - Melbourne'!A387&amp;CHAR(10))-1))</f>
        <v>Pax Institute of Education</v>
      </c>
      <c r="E1281" s="63" t="str">
        <f aca="false">'Offshore - Melbourne'!C387&amp;""</f>
        <v>2 years</v>
      </c>
      <c r="F1281" s="63" t="str">
        <f aca="false">IF('Offshore - Melbourne'!D387="","Belum tercatat",'Offshore - Melbourne'!D387)</f>
        <v>Term</v>
      </c>
      <c r="G1281" s="65" t="n">
        <f aca="false">IF('Offshore - Melbourne'!E387="","-",'Offshore - Melbourne'!E387)</f>
        <v>2500</v>
      </c>
      <c r="H1281" s="63" t="n">
        <f aca="false">IF(ISNUMBER(K1281),COUNTIFS($J$6:$J$1854,J1281,$K$6:$K$1854,"&lt;"&amp;K1281)+1,"-")</f>
        <v>8</v>
      </c>
      <c r="I1281" s="64" t="str">
        <f aca="false">IF('Offshore - Melbourne'!E387="","Harga belum tersedia - hubungi konsultan TEG",IF(M1281=2,"Saat ini tidak menerima pendaftaran siswa internasional baru",IF(M1281=1,"Harga perlu dikonfirmasi ke sekolah"&amp;IF(""="","","; "&amp;""),"")))</f>
        <v/>
      </c>
      <c r="J1281" s="0" t="s">
        <v>4338</v>
      </c>
      <c r="K1281" s="0" t="n">
        <f aca="false">IF(M1281=2,"",IF(ISNUMBER(SEARCH("rata-rata:",'Offshore - Melbourne'!N387)),VALUE(MID('Offshore - Melbourne'!N387,SEARCH("rata-rata:",'Offshore - Melbourne'!N387)+11,FIND(";",'Offshore - Melbourne'!N387&amp;";",SEARCH("rata-rata:",'Offshore - Melbourne'!N387))-SEARCH("rata-rata:",'Offshore - Melbourne'!N387)-11)),IF('Offshore - Melbourne'!D387="Semester",'Offshore - Melbourne'!E387*2,IF('Offshore - Melbourne'!D387="Trimester",'Offshore - Melbourne'!E387*3,IF('Offshore - Melbourne'!D387="Term",'Offshore - Melbourne'!E387*4,IF('Offshore - Melbourne'!D387="Unit",'Offshore - Melbourne'!E387*8,""))))))</f>
        <v>10000</v>
      </c>
      <c r="L1281" s="0" t="n">
        <f aca="false">IF(AND(ISNUMBER('Offshore - Melbourne'!E387),ISNUMBER(K1281),ISNUMBER('Offshore - Melbourne'!F387),ISNUMBER('Offshore - Melbourne'!G387),OR('Offshore - Melbourne'!F387&lt;&gt;0,ISNUMBER(SEARCH("Material 0 terverifikasi",'Offshore - Melbourne'!N387))),OR('Offshore - Melbourne'!G387&lt;&gt;0,ISNUMBER(SEARCH("Enrolment 0 terverifikasi",'Offshore - Melbourne'!N387)))),1,0)</f>
        <v>1</v>
      </c>
      <c r="M1281" s="0" t="n">
        <f aca="false">IF(OR('Offshore - Melbourne'!E387="",ISNUMBER(SEARCH("BSB80120",'Offshore - Melbourne'!B387&amp;'Offshore - Melbourne'!N387)),ISNUMBER(SEARCH("Management (Learning)",'Offshore - Melbourne'!B387))),2,IF(ISNUMBER(SEARCH("CEK:",'Offshore - Melbourne'!N387)),1,0))</f>
        <v>0</v>
      </c>
    </row>
    <row r="1282" customFormat="false" ht="15" hidden="false" customHeight="false" outlineLevel="0" collapsed="false">
      <c r="A1282" s="63" t="s">
        <v>3544</v>
      </c>
      <c r="B1282" s="64" t="s">
        <v>4297</v>
      </c>
      <c r="C1282" s="63" t="s">
        <v>41</v>
      </c>
      <c r="D1282" s="64" t="str">
        <f aca="false">TRIM(LEFT('Offshore - Melbourne'!A552,FIND(CHAR(10),'Offshore - Melbourne'!A552&amp;CHAR(10))-1))</f>
        <v>Wattle College</v>
      </c>
      <c r="E1282" s="63" t="str">
        <f aca="false">'Offshore - Melbourne'!C553&amp;""</f>
        <v>2 years</v>
      </c>
      <c r="F1282" s="63" t="str">
        <f aca="false">IF('Offshore - Melbourne'!D553="","Belum tercatat",'Offshore - Melbourne'!D553)</f>
        <v>Term</v>
      </c>
      <c r="G1282" s="65" t="n">
        <f aca="false">IF('Offshore - Melbourne'!E553="","-",'Offshore - Melbourne'!E553)</f>
        <v>2500</v>
      </c>
      <c r="H1282" s="63" t="n">
        <f aca="false">IF(ISNUMBER(K1282),COUNTIFS($J$6:$J$1854,J1282,$K$6:$K$1854,"&lt;"&amp;K1282)+1,"-")</f>
        <v>8</v>
      </c>
      <c r="I1282" s="64" t="str">
        <f aca="false">IF('Offshore - Melbourne'!E553="","Harga belum tersedia - hubungi konsultan TEG",IF(M1282=2,"Saat ini tidak menerima pendaftaran siswa internasional baru",IF(M1282=1,"Harga perlu dikonfirmasi ke sekolah"&amp;IF(""="","","; "&amp;""),"")))</f>
        <v/>
      </c>
      <c r="J1282" s="0" t="s">
        <v>4338</v>
      </c>
      <c r="K1282" s="0" t="n">
        <f aca="false">IF(M1282=2,"",IF(ISNUMBER(SEARCH("rata-rata:",'Offshore - Melbourne'!N553)),VALUE(MID('Offshore - Melbourne'!N553,SEARCH("rata-rata:",'Offshore - Melbourne'!N553)+11,FIND(";",'Offshore - Melbourne'!N553&amp;";",SEARCH("rata-rata:",'Offshore - Melbourne'!N553))-SEARCH("rata-rata:",'Offshore - Melbourne'!N553)-11)),IF('Offshore - Melbourne'!D553="Semester",'Offshore - Melbourne'!E553*2,IF('Offshore - Melbourne'!D553="Trimester",'Offshore - Melbourne'!E553*3,IF('Offshore - Melbourne'!D553="Term",'Offshore - Melbourne'!E553*4,IF('Offshore - Melbourne'!D553="Unit",'Offshore - Melbourne'!E553*8,""))))))</f>
        <v>10000</v>
      </c>
      <c r="L1282" s="0" t="n">
        <f aca="false">IF(AND(ISNUMBER('Offshore - Melbourne'!E553),ISNUMBER(K1282),ISNUMBER('Offshore - Melbourne'!F553),ISNUMBER('Offshore - Melbourne'!G553),OR('Offshore - Melbourne'!F553&lt;&gt;0,ISNUMBER(SEARCH("Material 0 terverifikasi",'Offshore - Melbourne'!N553))),OR('Offshore - Melbourne'!G553&lt;&gt;0,ISNUMBER(SEARCH("Enrolment 0 terverifikasi",'Offshore - Melbourne'!N553)))),1,0)</f>
        <v>1</v>
      </c>
      <c r="M1282" s="0" t="n">
        <f aca="false">IF(OR('Offshore - Melbourne'!E553="",ISNUMBER(SEARCH("BSB80120",'Offshore - Melbourne'!B553&amp;'Offshore - Melbourne'!N553)),ISNUMBER(SEARCH("Management (Learning)",'Offshore - Melbourne'!B553))),2,IF(ISNUMBER(SEARCH("CEK:",'Offshore - Melbourne'!N553)),1,0))</f>
        <v>0</v>
      </c>
    </row>
    <row r="1283" customFormat="false" ht="15" hidden="false" customHeight="false" outlineLevel="0" collapsed="false">
      <c r="A1283" s="63" t="s">
        <v>3544</v>
      </c>
      <c r="B1283" s="64" t="s">
        <v>4297</v>
      </c>
      <c r="C1283" s="63" t="s">
        <v>41</v>
      </c>
      <c r="D1283" s="64" t="str">
        <f aca="false">TRIM(LEFT('Offshore - Melbourne'!A417,FIND(CHAR(10),'Offshore - Melbourne'!A417&amp;CHAR(10))-1))</f>
        <v>The Centre of Excellence</v>
      </c>
      <c r="E1283" s="63" t="str">
        <f aca="false">'Offshore - Melbourne'!C418&amp;""</f>
        <v>2 years</v>
      </c>
      <c r="F1283" s="63" t="str">
        <f aca="false">IF('Offshore - Melbourne'!D418="","Belum tercatat",'Offshore - Melbourne'!D418)</f>
        <v>Term</v>
      </c>
      <c r="G1283" s="65" t="n">
        <f aca="false">IF('Offshore - Melbourne'!E418="","-",'Offshore - Melbourne'!E418)</f>
        <v>2600</v>
      </c>
      <c r="H1283" s="63" t="n">
        <f aca="false">IF(ISNUMBER(K1283),COUNTIFS($J$6:$J$1854,J1283,$K$6:$K$1854,"&lt;"&amp;K1283)+1,"-")</f>
        <v>10</v>
      </c>
      <c r="I1283" s="64" t="str">
        <f aca="false">IF('Offshore - Melbourne'!E418="","Harga belum tersedia - hubungi konsultan TEG",IF(M1283=2,"Saat ini tidak menerima pendaftaran siswa internasional baru",IF(M1283=1,"Harga perlu dikonfirmasi ke sekolah"&amp;IF(""="","","; "&amp;""),"")))</f>
        <v/>
      </c>
      <c r="J1283" s="0" t="s">
        <v>4338</v>
      </c>
      <c r="K1283" s="0" t="n">
        <f aca="false">IF(M1283=2,"",IF(ISNUMBER(SEARCH("rata-rata:",'Offshore - Melbourne'!N418)),VALUE(MID('Offshore - Melbourne'!N418,SEARCH("rata-rata:",'Offshore - Melbourne'!N418)+11,FIND(";",'Offshore - Melbourne'!N418&amp;";",SEARCH("rata-rata:",'Offshore - Melbourne'!N418))-SEARCH("rata-rata:",'Offshore - Melbourne'!N418)-11)),IF('Offshore - Melbourne'!D418="Semester",'Offshore - Melbourne'!E418*2,IF('Offshore - Melbourne'!D418="Trimester",'Offshore - Melbourne'!E418*3,IF('Offshore - Melbourne'!D418="Term",'Offshore - Melbourne'!E418*4,IF('Offshore - Melbourne'!D418="Unit",'Offshore - Melbourne'!E418*8,""))))))</f>
        <v>10400</v>
      </c>
      <c r="L1283" s="0" t="n">
        <f aca="false">IF(AND(ISNUMBER('Offshore - Melbourne'!E418),ISNUMBER(K1283),ISNUMBER('Offshore - Melbourne'!F418),ISNUMBER('Offshore - Melbourne'!G418),OR('Offshore - Melbourne'!F418&lt;&gt;0,ISNUMBER(SEARCH("Material 0 terverifikasi",'Offshore - Melbourne'!N418))),OR('Offshore - Melbourne'!G418&lt;&gt;0,ISNUMBER(SEARCH("Enrolment 0 terverifikasi",'Offshore - Melbourne'!N418)))),1,0)</f>
        <v>1</v>
      </c>
      <c r="M1283" s="0" t="n">
        <f aca="false">IF(OR('Offshore - Melbourne'!E418="",ISNUMBER(SEARCH("BSB80120",'Offshore - Melbourne'!B418&amp;'Offshore - Melbourne'!N418)),ISNUMBER(SEARCH("Management (Learning)",'Offshore - Melbourne'!B418))),2,IF(ISNUMBER(SEARCH("CEK:",'Offshore - Melbourne'!N418)),1,0))</f>
        <v>0</v>
      </c>
    </row>
    <row r="1284" customFormat="false" ht="15" hidden="false" customHeight="false" outlineLevel="0" collapsed="false">
      <c r="A1284" s="63" t="s">
        <v>3544</v>
      </c>
      <c r="B1284" s="64" t="s">
        <v>4297</v>
      </c>
      <c r="C1284" s="63" t="s">
        <v>41</v>
      </c>
      <c r="D1284" s="64" t="str">
        <f aca="false">TRIM(LEFT('Offshore - Melbourne'!A65,FIND(CHAR(10),'Offshore - Melbourne'!A65&amp;CHAR(10))-1))</f>
        <v>ALTEC College</v>
      </c>
      <c r="E1284" s="63" t="str">
        <f aca="false">'Offshore - Melbourne'!C73&amp;""</f>
        <v>2 years</v>
      </c>
      <c r="F1284" s="63" t="str">
        <f aca="false">IF('Offshore - Melbourne'!D73="","Belum tercatat",'Offshore - Melbourne'!D73)</f>
        <v>Term</v>
      </c>
      <c r="G1284" s="65" t="n">
        <f aca="false">IF('Offshore - Melbourne'!E73="","-",'Offshore - Melbourne'!E73)</f>
        <v>2625</v>
      </c>
      <c r="H1284" s="63" t="n">
        <f aca="false">IF(ISNUMBER(K1284),COUNTIFS($J$6:$J$1854,J1284,$K$6:$K$1854,"&lt;"&amp;K1284)+1,"-")</f>
        <v>11</v>
      </c>
      <c r="I1284" s="64" t="str">
        <f aca="false">IF('Offshore - Melbourne'!E73="","Harga belum tersedia - hubungi konsultan TEG",IF(M1284=2,"Saat ini tidak menerima pendaftaran siswa internasional baru",IF(M1284=1,"Harga perlu dikonfirmasi ke sekolah"&amp;IF(""="","","; "&amp;""),"")))</f>
        <v/>
      </c>
      <c r="J1284" s="0" t="s">
        <v>4338</v>
      </c>
      <c r="K1284" s="0" t="n">
        <f aca="false">IF(M1284=2,"",IF(ISNUMBER(SEARCH("rata-rata:",'Offshore - Melbourne'!N73)),VALUE(MID('Offshore - Melbourne'!N73,SEARCH("rata-rata:",'Offshore - Melbourne'!N73)+11,FIND(";",'Offshore - Melbourne'!N73&amp;";",SEARCH("rata-rata:",'Offshore - Melbourne'!N73))-SEARCH("rata-rata:",'Offshore - Melbourne'!N73)-11)),IF('Offshore - Melbourne'!D73="Semester",'Offshore - Melbourne'!E73*2,IF('Offshore - Melbourne'!D73="Trimester",'Offshore - Melbourne'!E73*3,IF('Offshore - Melbourne'!D73="Term",'Offshore - Melbourne'!E73*4,IF('Offshore - Melbourne'!D73="Unit",'Offshore - Melbourne'!E73*8,""))))))</f>
        <v>10500</v>
      </c>
      <c r="L1284" s="0" t="n">
        <f aca="false">IF(AND(ISNUMBER('Offshore - Melbourne'!E73),ISNUMBER(K1284),ISNUMBER('Offshore - Melbourne'!F73),ISNUMBER('Offshore - Melbourne'!G73),OR('Offshore - Melbourne'!F73&lt;&gt;0,ISNUMBER(SEARCH("Material 0 terverifikasi",'Offshore - Melbourne'!N73))),OR('Offshore - Melbourne'!G73&lt;&gt;0,ISNUMBER(SEARCH("Enrolment 0 terverifikasi",'Offshore - Melbourne'!N73)))),1,0)</f>
        <v>1</v>
      </c>
      <c r="M1284" s="0" t="n">
        <f aca="false">IF(OR('Offshore - Melbourne'!E73="",ISNUMBER(SEARCH("BSB80120",'Offshore - Melbourne'!B73&amp;'Offshore - Melbourne'!N73)),ISNUMBER(SEARCH("Management (Learning)",'Offshore - Melbourne'!B73))),2,IF(ISNUMBER(SEARCH("CEK:",'Offshore - Melbourne'!N73)),1,0))</f>
        <v>0</v>
      </c>
    </row>
    <row r="1285" customFormat="false" ht="28.35" hidden="false" customHeight="false" outlineLevel="0" collapsed="false">
      <c r="A1285" s="63" t="s">
        <v>3544</v>
      </c>
      <c r="B1285" s="64" t="s">
        <v>4297</v>
      </c>
      <c r="C1285" s="63" t="s">
        <v>41</v>
      </c>
      <c r="D1285" s="64" t="str">
        <f aca="false">TRIM(LEFT('Offshore - Melbourne'!A91,FIND(CHAR(10),'Offshore - Melbourne'!A91&amp;CHAR(10))-1))</f>
        <v>Australian Business &amp; Culinary Institute (ABC Institute)</v>
      </c>
      <c r="E1285" s="63" t="str">
        <f aca="false">'Offshore - Melbourne'!C93&amp;""</f>
        <v>2 years</v>
      </c>
      <c r="F1285" s="63" t="str">
        <f aca="false">IF('Offshore - Melbourne'!D93="","Belum tercatat",'Offshore - Melbourne'!D93)</f>
        <v>Term</v>
      </c>
      <c r="G1285" s="65" t="n">
        <f aca="false">IF('Offshore - Melbourne'!E93="","-",'Offshore - Melbourne'!E93)</f>
        <v>2631.25</v>
      </c>
      <c r="H1285" s="63" t="n">
        <f aca="false">IF(ISNUMBER(K1285),COUNTIFS($J$6:$J$1854,J1285,$K$6:$K$1854,"&lt;"&amp;K1285)+1,"-")</f>
        <v>12</v>
      </c>
      <c r="I1285" s="64" t="str">
        <f aca="false">IF('Offshore - Melbourne'!E93="","Harga belum tersedia - hubungi konsultan TEG",IF(M1285=2,"Saat ini tidak menerima pendaftaran siswa internasional baru",IF(M1285=1,"Harga perlu dikonfirmasi ke sekolah"&amp;IF(""="","","; "&amp;""),"")))</f>
        <v/>
      </c>
      <c r="J1285" s="0" t="s">
        <v>4338</v>
      </c>
      <c r="K1285" s="0" t="n">
        <f aca="false">IF(M1285=2,"",IF(ISNUMBER(SEARCH("rata-rata:",'Offshore - Melbourne'!N93)),VALUE(MID('Offshore - Melbourne'!N93,SEARCH("rata-rata:",'Offshore - Melbourne'!N93)+11,FIND(";",'Offshore - Melbourne'!N93&amp;";",SEARCH("rata-rata:",'Offshore - Melbourne'!N93))-SEARCH("rata-rata:",'Offshore - Melbourne'!N93)-11)),IF('Offshore - Melbourne'!D93="Semester",'Offshore - Melbourne'!E93*2,IF('Offshore - Melbourne'!D93="Trimester",'Offshore - Melbourne'!E93*3,IF('Offshore - Melbourne'!D93="Term",'Offshore - Melbourne'!E93*4,IF('Offshore - Melbourne'!D93="Unit",'Offshore - Melbourne'!E93*8,""))))))</f>
        <v>10525</v>
      </c>
      <c r="L1285" s="0" t="n">
        <f aca="false">IF(AND(ISNUMBER('Offshore - Melbourne'!E93),ISNUMBER(K1285),ISNUMBER('Offshore - Melbourne'!F93),ISNUMBER('Offshore - Melbourne'!G93),OR('Offshore - Melbourne'!F93&lt;&gt;0,ISNUMBER(SEARCH("Material 0 terverifikasi",'Offshore - Melbourne'!N93))),OR('Offshore - Melbourne'!G93&lt;&gt;0,ISNUMBER(SEARCH("Enrolment 0 terverifikasi",'Offshore - Melbourne'!N93)))),1,0)</f>
        <v>1</v>
      </c>
      <c r="M1285" s="0" t="n">
        <f aca="false">IF(OR('Offshore - Melbourne'!E93="",ISNUMBER(SEARCH("BSB80120",'Offshore - Melbourne'!B93&amp;'Offshore - Melbourne'!N93)),ISNUMBER(SEARCH("Management (Learning)",'Offshore - Melbourne'!B93))),2,IF(ISNUMBER(SEARCH("CEK:",'Offshore - Melbourne'!N93)),1,0))</f>
        <v>0</v>
      </c>
    </row>
    <row r="1286" customFormat="false" ht="15" hidden="false" customHeight="false" outlineLevel="0" collapsed="false">
      <c r="A1286" s="63" t="s">
        <v>3544</v>
      </c>
      <c r="B1286" s="64" t="s">
        <v>4297</v>
      </c>
      <c r="C1286" s="63" t="s">
        <v>41</v>
      </c>
      <c r="D1286" s="64" t="str">
        <f aca="false">TRIM(LEFT('Offshore - Melbourne'!A6,FIND(CHAR(10),'Offshore - Melbourne'!A6&amp;CHAR(10))-1))</f>
        <v>Academies Australasia</v>
      </c>
      <c r="E1286" s="63" t="str">
        <f aca="false">'Offshore - Melbourne'!C13&amp;""</f>
        <v>3 years</v>
      </c>
      <c r="F1286" s="63" t="str">
        <f aca="false">IF('Offshore - Melbourne'!D13="","Belum tercatat",'Offshore - Melbourne'!D13)</f>
        <v>Term</v>
      </c>
      <c r="G1286" s="65" t="n">
        <f aca="false">IF('Offshore - Melbourne'!E13="","-",'Offshore - Melbourne'!E13)</f>
        <v>2700</v>
      </c>
      <c r="H1286" s="63" t="n">
        <f aca="false">IF(ISNUMBER(K1286),COUNTIFS($J$6:$J$1854,J1286,$K$6:$K$1854,"&lt;"&amp;K1286)+1,"-")</f>
        <v>13</v>
      </c>
      <c r="I1286" s="64" t="str">
        <f aca="false">IF('Offshore - Melbourne'!E13="","Harga belum tersedia - hubungi konsultan TEG",IF(M1286=2,"Saat ini tidak menerima pendaftaran siswa internasional baru",IF(M1286=1,"Harga perlu dikonfirmasi ke sekolah"&amp;IF(""="","","; "&amp;""),"")))</f>
        <v/>
      </c>
      <c r="J1286" s="0" t="s">
        <v>4338</v>
      </c>
      <c r="K1286" s="0" t="n">
        <f aca="false">IF(M1286=2,"",IF(ISNUMBER(SEARCH("rata-rata:",'Offshore - Melbourne'!N13)),VALUE(MID('Offshore - Melbourne'!N13,SEARCH("rata-rata:",'Offshore - Melbourne'!N13)+11,FIND(";",'Offshore - Melbourne'!N13&amp;";",SEARCH("rata-rata:",'Offshore - Melbourne'!N13))-SEARCH("rata-rata:",'Offshore - Melbourne'!N13)-11)),IF('Offshore - Melbourne'!D13="Semester",'Offshore - Melbourne'!E13*2,IF('Offshore - Melbourne'!D13="Trimester",'Offshore - Melbourne'!E13*3,IF('Offshore - Melbourne'!D13="Term",'Offshore - Melbourne'!E13*4,IF('Offshore - Melbourne'!D13="Unit",'Offshore - Melbourne'!E13*8,""))))))</f>
        <v>10800</v>
      </c>
      <c r="L1286" s="0" t="n">
        <f aca="false">IF(AND(ISNUMBER('Offshore - Melbourne'!E13),ISNUMBER(K1286),ISNUMBER('Offshore - Melbourne'!F13),ISNUMBER('Offshore - Melbourne'!G13),OR('Offshore - Melbourne'!F13&lt;&gt;0,ISNUMBER(SEARCH("Material 0 terverifikasi",'Offshore - Melbourne'!N13))),OR('Offshore - Melbourne'!G13&lt;&gt;0,ISNUMBER(SEARCH("Enrolment 0 terverifikasi",'Offshore - Melbourne'!N13)))),1,0)</f>
        <v>1</v>
      </c>
      <c r="M1286" s="0" t="n">
        <f aca="false">IF(OR('Offshore - Melbourne'!E13="",ISNUMBER(SEARCH("BSB80120",'Offshore - Melbourne'!B13&amp;'Offshore - Melbourne'!N13)),ISNUMBER(SEARCH("Management (Learning)",'Offshore - Melbourne'!B13))),2,IF(ISNUMBER(SEARCH("CEK:",'Offshore - Melbourne'!N13)),1,0))</f>
        <v>0</v>
      </c>
    </row>
    <row r="1287" customFormat="false" ht="15" hidden="false" customHeight="false" outlineLevel="0" collapsed="false">
      <c r="A1287" s="63" t="s">
        <v>3544</v>
      </c>
      <c r="B1287" s="64" t="s">
        <v>4297</v>
      </c>
      <c r="C1287" s="63" t="s">
        <v>41</v>
      </c>
      <c r="D1287" s="64" t="str">
        <f aca="false">TRIM(LEFT('Offshore - Melbourne'!A206,FIND(CHAR(10),'Offshore - Melbourne'!A206&amp;CHAR(10))-1))</f>
        <v>Australian Sovereign College (AuSC)</v>
      </c>
      <c r="E1287" s="63" t="str">
        <f aca="false">'Offshore - Melbourne'!C226&amp;""</f>
        <v>2 years</v>
      </c>
      <c r="F1287" s="63" t="str">
        <f aca="false">IF('Offshore - Melbourne'!D226="","Belum tercatat",'Offshore - Melbourne'!D226)</f>
        <v>Term</v>
      </c>
      <c r="G1287" s="65" t="n">
        <f aca="false">IF('Offshore - Melbourne'!E226="","-",'Offshore - Melbourne'!E226)</f>
        <v>2750</v>
      </c>
      <c r="H1287" s="63" t="n">
        <f aca="false">IF(ISNUMBER(K1287),COUNTIFS($J$6:$J$1854,J1287,$K$6:$K$1854,"&lt;"&amp;K1287)+1,"-")</f>
        <v>14</v>
      </c>
      <c r="I1287" s="64" t="str">
        <f aca="false">IF('Offshore - Melbourne'!E226="","Harga belum tersedia - hubungi konsultan TEG",IF(M1287=2,"Saat ini tidak menerima pendaftaran siswa internasional baru",IF(M1287=1,"Harga perlu dikonfirmasi ke sekolah"&amp;IF(""="","","; "&amp;""),"")))</f>
        <v/>
      </c>
      <c r="J1287" s="0" t="s">
        <v>4338</v>
      </c>
      <c r="K1287" s="0" t="n">
        <f aca="false">IF(M1287=2,"",IF(ISNUMBER(SEARCH("rata-rata:",'Offshore - Melbourne'!N226)),VALUE(MID('Offshore - Melbourne'!N226,SEARCH("rata-rata:",'Offshore - Melbourne'!N226)+11,FIND(";",'Offshore - Melbourne'!N226&amp;";",SEARCH("rata-rata:",'Offshore - Melbourne'!N226))-SEARCH("rata-rata:",'Offshore - Melbourne'!N226)-11)),IF('Offshore - Melbourne'!D226="Semester",'Offshore - Melbourne'!E226*2,IF('Offshore - Melbourne'!D226="Trimester",'Offshore - Melbourne'!E226*3,IF('Offshore - Melbourne'!D226="Term",'Offshore - Melbourne'!E226*4,IF('Offshore - Melbourne'!D226="Unit",'Offshore - Melbourne'!E226*8,""))))))</f>
        <v>11000</v>
      </c>
      <c r="L1287" s="0" t="n">
        <f aca="false">IF(AND(ISNUMBER('Offshore - Melbourne'!E226),ISNUMBER(K1287),ISNUMBER('Offshore - Melbourne'!F226),ISNUMBER('Offshore - Melbourne'!G226),OR('Offshore - Melbourne'!F226&lt;&gt;0,ISNUMBER(SEARCH("Material 0 terverifikasi",'Offshore - Melbourne'!N226))),OR('Offshore - Melbourne'!G226&lt;&gt;0,ISNUMBER(SEARCH("Enrolment 0 terverifikasi",'Offshore - Melbourne'!N226)))),1,0)</f>
        <v>1</v>
      </c>
      <c r="M1287" s="0" t="n">
        <f aca="false">IF(OR('Offshore - Melbourne'!E226="",ISNUMBER(SEARCH("BSB80120",'Offshore - Melbourne'!B226&amp;'Offshore - Melbourne'!N226)),ISNUMBER(SEARCH("Management (Learning)",'Offshore - Melbourne'!B226))),2,IF(ISNUMBER(SEARCH("CEK:",'Offshore - Melbourne'!N226)),1,0))</f>
        <v>0</v>
      </c>
    </row>
    <row r="1288" customFormat="false" ht="15" hidden="false" customHeight="false" outlineLevel="0" collapsed="false">
      <c r="A1288" s="63" t="s">
        <v>3544</v>
      </c>
      <c r="B1288" s="64" t="s">
        <v>4297</v>
      </c>
      <c r="C1288" s="63" t="s">
        <v>41</v>
      </c>
      <c r="D1288" s="64" t="str">
        <f aca="false">TRIM(LEFT('Offshore - Melbourne'!A370,FIND(CHAR(10),'Offshore - Melbourne'!A370&amp;CHAR(10))-1))</f>
        <v>Opulence College</v>
      </c>
      <c r="E1288" s="63" t="str">
        <f aca="false">'Offshore - Melbourne'!C371&amp;""</f>
        <v>2 years</v>
      </c>
      <c r="F1288" s="63" t="str">
        <f aca="false">IF('Offshore - Melbourne'!D371="","Belum tercatat",'Offshore - Melbourne'!D371)</f>
        <v>Term</v>
      </c>
      <c r="G1288" s="65" t="n">
        <f aca="false">IF('Offshore - Melbourne'!E371="","-",'Offshore - Melbourne'!E371)</f>
        <v>2815</v>
      </c>
      <c r="H1288" s="63" t="n">
        <f aca="false">IF(ISNUMBER(K1288),COUNTIFS($J$6:$J$1854,J1288,$K$6:$K$1854,"&lt;"&amp;K1288)+1,"-")</f>
        <v>15</v>
      </c>
      <c r="I1288" s="64" t="str">
        <f aca="false">IF('Offshore - Melbourne'!E371="","Harga belum tersedia - hubungi konsultan TEG",IF(M1288=2,"Saat ini tidak menerima pendaftaran siswa internasional baru",IF(M1288=1,"Harga perlu dikonfirmasi ke sekolah"&amp;IF(""="","","; "&amp;""),"")))</f>
        <v/>
      </c>
      <c r="J1288" s="0" t="s">
        <v>4338</v>
      </c>
      <c r="K1288" s="0" t="n">
        <f aca="false">IF(M1288=2,"",IF(ISNUMBER(SEARCH("rata-rata:",'Offshore - Melbourne'!N371)),VALUE(MID('Offshore - Melbourne'!N371,SEARCH("rata-rata:",'Offshore - Melbourne'!N371)+11,FIND(";",'Offshore - Melbourne'!N371&amp;";",SEARCH("rata-rata:",'Offshore - Melbourne'!N371))-SEARCH("rata-rata:",'Offshore - Melbourne'!N371)-11)),IF('Offshore - Melbourne'!D371="Semester",'Offshore - Melbourne'!E371*2,IF('Offshore - Melbourne'!D371="Trimester",'Offshore - Melbourne'!E371*3,IF('Offshore - Melbourne'!D371="Term",'Offshore - Melbourne'!E371*4,IF('Offshore - Melbourne'!D371="Unit",'Offshore - Melbourne'!E371*8,""))))))</f>
        <v>11260</v>
      </c>
      <c r="L1288" s="0" t="n">
        <f aca="false">IF(AND(ISNUMBER('Offshore - Melbourne'!E371),ISNUMBER(K1288),ISNUMBER('Offshore - Melbourne'!F371),ISNUMBER('Offshore - Melbourne'!G371),OR('Offshore - Melbourne'!F371&lt;&gt;0,ISNUMBER(SEARCH("Material 0 terverifikasi",'Offshore - Melbourne'!N371))),OR('Offshore - Melbourne'!G371&lt;&gt;0,ISNUMBER(SEARCH("Enrolment 0 terverifikasi",'Offshore - Melbourne'!N371)))),1,0)</f>
        <v>1</v>
      </c>
      <c r="M1288" s="0" t="n">
        <f aca="false">IF(OR('Offshore - Melbourne'!E371="",ISNUMBER(SEARCH("BSB80120",'Offshore - Melbourne'!B371&amp;'Offshore - Melbourne'!N371)),ISNUMBER(SEARCH("Management (Learning)",'Offshore - Melbourne'!B371))),2,IF(ISNUMBER(SEARCH("CEK:",'Offshore - Melbourne'!N371)),1,0))</f>
        <v>0</v>
      </c>
    </row>
    <row r="1289" customFormat="false" ht="15" hidden="false" customHeight="false" outlineLevel="0" collapsed="false">
      <c r="A1289" s="63" t="s">
        <v>3544</v>
      </c>
      <c r="B1289" s="64" t="s">
        <v>4297</v>
      </c>
      <c r="C1289" s="63" t="s">
        <v>41</v>
      </c>
      <c r="D1289" s="64" t="str">
        <f aca="false">TRIM(LEFT('Offshore - Melbourne'!A339,FIND(CHAR(10),'Offshore - Melbourne'!A339&amp;CHAR(10))-1))</f>
        <v>Melbourne Metro College</v>
      </c>
      <c r="E1289" s="63" t="str">
        <f aca="false">'Offshore - Melbourne'!C339&amp;""</f>
        <v>2 years</v>
      </c>
      <c r="F1289" s="63" t="str">
        <f aca="false">IF('Offshore - Melbourne'!D339="","Belum tercatat",'Offshore - Melbourne'!D339)</f>
        <v>Term</v>
      </c>
      <c r="G1289" s="65" t="n">
        <f aca="false">IF('Offshore - Melbourne'!E339="","-",'Offshore - Melbourne'!E339)</f>
        <v>2875</v>
      </c>
      <c r="H1289" s="63" t="n">
        <f aca="false">IF(ISNUMBER(K1289),COUNTIFS($J$6:$J$1854,J1289,$K$6:$K$1854,"&lt;"&amp;K1289)+1,"-")</f>
        <v>16</v>
      </c>
      <c r="I1289" s="64" t="str">
        <f aca="false">IF('Offshore - Melbourne'!E339="","Harga belum tersedia - hubungi konsultan TEG",IF(M1289=2,"Saat ini tidak menerima pendaftaran siswa internasional baru",IF(M1289=1,"Harga perlu dikonfirmasi ke sekolah"&amp;IF(""="","","; "&amp;""),"")))</f>
        <v/>
      </c>
      <c r="J1289" s="0" t="s">
        <v>4338</v>
      </c>
      <c r="K1289" s="0" t="n">
        <f aca="false">IF(M1289=2,"",IF(ISNUMBER(SEARCH("rata-rata:",'Offshore - Melbourne'!N339)),VALUE(MID('Offshore - Melbourne'!N339,SEARCH("rata-rata:",'Offshore - Melbourne'!N339)+11,FIND(";",'Offshore - Melbourne'!N339&amp;";",SEARCH("rata-rata:",'Offshore - Melbourne'!N339))-SEARCH("rata-rata:",'Offshore - Melbourne'!N339)-11)),IF('Offshore - Melbourne'!D339="Semester",'Offshore - Melbourne'!E339*2,IF('Offshore - Melbourne'!D339="Trimester",'Offshore - Melbourne'!E339*3,IF('Offshore - Melbourne'!D339="Term",'Offshore - Melbourne'!E339*4,IF('Offshore - Melbourne'!D339="Unit",'Offshore - Melbourne'!E339*8,""))))))</f>
        <v>11500</v>
      </c>
      <c r="L1289" s="0" t="n">
        <f aca="false">IF(AND(ISNUMBER('Offshore - Melbourne'!E339),ISNUMBER(K1289),ISNUMBER('Offshore - Melbourne'!F339),ISNUMBER('Offshore - Melbourne'!G339),OR('Offshore - Melbourne'!F339&lt;&gt;0,ISNUMBER(SEARCH("Material 0 terverifikasi",'Offshore - Melbourne'!N339))),OR('Offshore - Melbourne'!G339&lt;&gt;0,ISNUMBER(SEARCH("Enrolment 0 terverifikasi",'Offshore - Melbourne'!N339)))),1,0)</f>
        <v>1</v>
      </c>
      <c r="M1289" s="0" t="n">
        <f aca="false">IF(OR('Offshore - Melbourne'!E339="",ISNUMBER(SEARCH("BSB80120",'Offshore - Melbourne'!B339&amp;'Offshore - Melbourne'!N339)),ISNUMBER(SEARCH("Management (Learning)",'Offshore - Melbourne'!B339))),2,IF(ISNUMBER(SEARCH("CEK:",'Offshore - Melbourne'!N339)),1,0))</f>
        <v>0</v>
      </c>
    </row>
    <row r="1290" customFormat="false" ht="15" hidden="false" customHeight="false" outlineLevel="0" collapsed="false">
      <c r="A1290" s="63" t="s">
        <v>3544</v>
      </c>
      <c r="B1290" s="64" t="s">
        <v>4297</v>
      </c>
      <c r="C1290" s="63" t="s">
        <v>41</v>
      </c>
      <c r="D1290" s="64" t="str">
        <f aca="false">TRIM(LEFT('Offshore - Melbourne'!A556,FIND(CHAR(10),'Offshore - Melbourne'!A556&amp;CHAR(10))-1))</f>
        <v>William Angliss Institute</v>
      </c>
      <c r="E1290" s="63" t="str">
        <f aca="false">'Offshore - Melbourne'!C576&amp;""</f>
        <v>1 year</v>
      </c>
      <c r="F1290" s="63" t="str">
        <f aca="false">IF('Offshore - Melbourne'!D576="","Belum tercatat",'Offshore - Melbourne'!D576)</f>
        <v>Term</v>
      </c>
      <c r="G1290" s="65" t="n">
        <f aca="false">IF('Offshore - Melbourne'!E576="","-",'Offshore - Melbourne'!E576)</f>
        <v>4475</v>
      </c>
      <c r="H1290" s="63" t="n">
        <f aca="false">IF(ISNUMBER(K1290),COUNTIFS($J$6:$J$1854,J1290,$K$6:$K$1854,"&lt;"&amp;K1290)+1,"-")</f>
        <v>17</v>
      </c>
      <c r="I1290" s="64" t="str">
        <f aca="false">IF('Offshore - Melbourne'!E576="","Harga belum tersedia - hubungi konsultan TEG",IF(M1290=2,"Saat ini tidak menerima pendaftaran siswa internasional baru",IF(M1290=1,"Harga perlu dikonfirmasi ke sekolah"&amp;IF(""="","","; "&amp;""),"")))</f>
        <v/>
      </c>
      <c r="J1290" s="0" t="s">
        <v>4338</v>
      </c>
      <c r="K1290" s="0" t="n">
        <f aca="false">IF(M1290=2,"",IF(ISNUMBER(SEARCH("rata-rata:",'Offshore - Melbourne'!N576)),VALUE(MID('Offshore - Melbourne'!N576,SEARCH("rata-rata:",'Offshore - Melbourne'!N576)+11,FIND(";",'Offshore - Melbourne'!N576&amp;";",SEARCH("rata-rata:",'Offshore - Melbourne'!N576))-SEARCH("rata-rata:",'Offshore - Melbourne'!N576)-11)),IF('Offshore - Melbourne'!D576="Semester",'Offshore - Melbourne'!E576*2,IF('Offshore - Melbourne'!D576="Trimester",'Offshore - Melbourne'!E576*3,IF('Offshore - Melbourne'!D576="Term",'Offshore - Melbourne'!E576*4,IF('Offshore - Melbourne'!D576="Unit",'Offshore - Melbourne'!E576*8,""))))))</f>
        <v>17900</v>
      </c>
      <c r="L1290" s="0" t="n">
        <f aca="false">IF(AND(ISNUMBER('Offshore - Melbourne'!E576),ISNUMBER(K1290),ISNUMBER('Offshore - Melbourne'!F576),ISNUMBER('Offshore - Melbourne'!G576),OR('Offshore - Melbourne'!F576&lt;&gt;0,ISNUMBER(SEARCH("Material 0 terverifikasi",'Offshore - Melbourne'!N576))),OR('Offshore - Melbourne'!G576&lt;&gt;0,ISNUMBER(SEARCH("Enrolment 0 terverifikasi",'Offshore - Melbourne'!N576)))),1,0)</f>
        <v>1</v>
      </c>
      <c r="M1290" s="0" t="n">
        <f aca="false">IF(OR('Offshore - Melbourne'!E576="",ISNUMBER(SEARCH("BSB80120",'Offshore - Melbourne'!B576&amp;'Offshore - Melbourne'!N576)),ISNUMBER(SEARCH("Management (Learning)",'Offshore - Melbourne'!B576))),2,IF(ISNUMBER(SEARCH("CEK:",'Offshore - Melbourne'!N576)),1,0))</f>
        <v>0</v>
      </c>
    </row>
    <row r="1291" customFormat="false" ht="15" hidden="false" customHeight="false" outlineLevel="0" collapsed="false">
      <c r="A1291" s="63" t="s">
        <v>3544</v>
      </c>
      <c r="B1291" s="64" t="s">
        <v>4297</v>
      </c>
      <c r="C1291" s="63" t="s">
        <v>41</v>
      </c>
      <c r="D1291" s="64" t="str">
        <f aca="false">TRIM(LEFT('Offshore - Melbourne'!A324,FIND(CHAR(10),'Offshore - Melbourne'!A324&amp;CHAR(10))-1))</f>
        <v>Le Cordon Bleu Australia</v>
      </c>
      <c r="E1291" s="63" t="str">
        <f aca="false">'Offshore - Melbourne'!C327&amp;""</f>
        <v>2,5 years</v>
      </c>
      <c r="F1291" s="63" t="str">
        <f aca="false">IF('Offshore - Melbourne'!D327="","Belum tercatat",'Offshore - Melbourne'!D327)</f>
        <v>Term</v>
      </c>
      <c r="G1291" s="65" t="n">
        <f aca="false">IF('Offshore - Melbourne'!E327="","-",'Offshore - Melbourne'!E327)</f>
        <v>7005.6</v>
      </c>
      <c r="H1291" s="63" t="n">
        <f aca="false">IF(ISNUMBER(K1291),COUNTIFS($J$6:$J$1854,J1291,$K$6:$K$1854,"&lt;"&amp;K1291)+1,"-")</f>
        <v>18</v>
      </c>
      <c r="I1291" s="64" t="str">
        <f aca="false">IF('Offshore - Melbourne'!E327="","Harga belum tersedia - hubungi konsultan TEG",IF(M1291=2,"Saat ini tidak menerima pendaftaran siswa internasional baru",IF(M1291=1,"Harga perlu dikonfirmasi ke sekolah"&amp;IF(""="","","; "&amp;""),"")))</f>
        <v>Harga perlu dikonfirmasi ke sekolah</v>
      </c>
      <c r="J1291" s="0" t="s">
        <v>4338</v>
      </c>
      <c r="K1291" s="0" t="n">
        <f aca="false">IF(M1291=2,"",IF(ISNUMBER(SEARCH("rata-rata:",'Offshore - Melbourne'!N327)),VALUE(MID('Offshore - Melbourne'!N327,SEARCH("rata-rata:",'Offshore - Melbourne'!N327)+11,FIND(";",'Offshore - Melbourne'!N327&amp;";",SEARCH("rata-rata:",'Offshore - Melbourne'!N327))-SEARCH("rata-rata:",'Offshore - Melbourne'!N327)-11)),IF('Offshore - Melbourne'!D327="Semester",'Offshore - Melbourne'!E327*2,IF('Offshore - Melbourne'!D327="Trimester",'Offshore - Melbourne'!E327*3,IF('Offshore - Melbourne'!D327="Term",'Offshore - Melbourne'!E327*4,IF('Offshore - Melbourne'!D327="Unit",'Offshore - Melbourne'!E327*8,""))))))</f>
        <v>28022.4</v>
      </c>
      <c r="L1291" s="0" t="n">
        <f aca="false">IF(AND(ISNUMBER('Offshore - Melbourne'!E327),ISNUMBER(K1291),ISNUMBER('Offshore - Melbourne'!F327),ISNUMBER('Offshore - Melbourne'!G327),OR('Offshore - Melbourne'!F327&lt;&gt;0,ISNUMBER(SEARCH("Material 0 terverifikasi",'Offshore - Melbourne'!N327))),OR('Offshore - Melbourne'!G327&lt;&gt;0,ISNUMBER(SEARCH("Enrolment 0 terverifikasi",'Offshore - Melbourne'!N327)))),1,0)</f>
        <v>0</v>
      </c>
      <c r="M1291" s="0" t="n">
        <f aca="false">IF(OR('Offshore - Melbourne'!E327="",ISNUMBER(SEARCH("BSB80120",'Offshore - Melbourne'!B327&amp;'Offshore - Melbourne'!N327)),ISNUMBER(SEARCH("Management (Learning)",'Offshore - Melbourne'!B327))),2,IF(ISNUMBER(SEARCH("CEK:",'Offshore - Melbourne'!N327)),1,0))</f>
        <v>1</v>
      </c>
    </row>
    <row r="1292" customFormat="false" ht="15" hidden="false" customHeight="false" outlineLevel="0" collapsed="false">
      <c r="A1292" s="61" t="s">
        <v>4339</v>
      </c>
      <c r="B1292" s="62"/>
      <c r="C1292" s="62"/>
      <c r="D1292" s="62"/>
      <c r="E1292" s="62"/>
      <c r="F1292" s="62"/>
      <c r="G1292" s="62"/>
      <c r="H1292" s="62"/>
      <c r="I1292" s="62"/>
    </row>
    <row r="1293" customFormat="false" ht="15" hidden="false" customHeight="false" outlineLevel="0" collapsed="false">
      <c r="A1293" s="63" t="s">
        <v>3544</v>
      </c>
      <c r="B1293" s="64" t="s">
        <v>4297</v>
      </c>
      <c r="C1293" s="63" t="s">
        <v>42</v>
      </c>
      <c r="D1293" s="64" t="str">
        <f aca="false">TRIM(LEFT('Offshore - Melbourne'!A263,FIND(CHAR(10),'Offshore - Melbourne'!A263&amp;CHAR(10))-1))</f>
        <v>Greenwich College</v>
      </c>
      <c r="E1293" s="63" t="str">
        <f aca="false">'Offshore - Melbourne'!C275&amp;""</f>
        <v>144 weeks</v>
      </c>
      <c r="F1293" s="63" t="str">
        <f aca="false">IF('Offshore - Melbourne'!D275="","Belum tercatat",'Offshore - Melbourne'!D275)</f>
        <v>Term</v>
      </c>
      <c r="G1293" s="65" t="n">
        <f aca="false">IF('Offshore - Melbourne'!E275="","-",'Offshore - Melbourne'!E275)</f>
        <v>1950</v>
      </c>
      <c r="H1293" s="63" t="n">
        <f aca="false">IF(ISNUMBER(K1293),COUNTIFS($J$6:$J$1854,J1293,$K$6:$K$1854,"&lt;"&amp;K1293)+1,"-")</f>
        <v>1</v>
      </c>
      <c r="I1293" s="64" t="str">
        <f aca="false">IF('Offshore - Melbourne'!E275="","Harga belum tersedia - hubungi konsultan TEG",IF(M1293=2,"Saat ini tidak menerima pendaftaran siswa internasional baru",IF(M1293=1,"Harga perlu dikonfirmasi ke sekolah"&amp;IF(""="","","; "&amp;""),"")))</f>
        <v/>
      </c>
      <c r="J1293" s="0" t="s">
        <v>4340</v>
      </c>
      <c r="K1293" s="0" t="n">
        <f aca="false">IF(M1293=2,"",IF(ISNUMBER(SEARCH("rata-rata:",'Offshore - Melbourne'!N275)),VALUE(MID('Offshore - Melbourne'!N275,SEARCH("rata-rata:",'Offshore - Melbourne'!N275)+11,FIND(";",'Offshore - Melbourne'!N275&amp;";",SEARCH("rata-rata:",'Offshore - Melbourne'!N275))-SEARCH("rata-rata:",'Offshore - Melbourne'!N275)-11)),IF('Offshore - Melbourne'!D275="Semester",'Offshore - Melbourne'!E275*2,IF('Offshore - Melbourne'!D275="Trimester",'Offshore - Melbourne'!E275*3,IF('Offshore - Melbourne'!D275="Term",'Offshore - Melbourne'!E275*4,IF('Offshore - Melbourne'!D275="Unit",'Offshore - Melbourne'!E275*8,""))))))</f>
        <v>7800</v>
      </c>
      <c r="L1293" s="0" t="n">
        <f aca="false">IF(AND(ISNUMBER('Offshore - Melbourne'!E275),ISNUMBER(K1293),ISNUMBER('Offshore - Melbourne'!F275),ISNUMBER('Offshore - Melbourne'!G275),OR('Offshore - Melbourne'!F275&lt;&gt;0,ISNUMBER(SEARCH("Material 0 terverifikasi",'Offshore - Melbourne'!N275))),OR('Offshore - Melbourne'!G275&lt;&gt;0,ISNUMBER(SEARCH("Enrolment 0 terverifikasi",'Offshore - Melbourne'!N275)))),1,0)</f>
        <v>1</v>
      </c>
      <c r="M1293" s="0" t="n">
        <f aca="false">IF(OR('Offshore - Melbourne'!E275="",ISNUMBER(SEARCH("BSB80120",'Offshore - Melbourne'!B275&amp;'Offshore - Melbourne'!N275)),ISNUMBER(SEARCH("Management (Learning)",'Offshore - Melbourne'!B275))),2,IF(ISNUMBER(SEARCH("CEK:",'Offshore - Melbourne'!N275)),1,0))</f>
        <v>0</v>
      </c>
    </row>
    <row r="1294" customFormat="false" ht="15" hidden="false" customHeight="false" outlineLevel="0" collapsed="false">
      <c r="A1294" s="63" t="s">
        <v>3544</v>
      </c>
      <c r="B1294" s="64" t="s">
        <v>4297</v>
      </c>
      <c r="C1294" s="63" t="s">
        <v>42</v>
      </c>
      <c r="D1294" s="64" t="str">
        <f aca="false">TRIM(LEFT('Offshore - Melbourne'!A336,FIND(CHAR(10),'Offshore - Melbourne'!A336&amp;CHAR(10))-1))</f>
        <v>Le Suisse Academy</v>
      </c>
      <c r="E1294" s="63" t="str">
        <f aca="false">'Offshore - Melbourne'!C338&amp;""</f>
        <v>2,5 years</v>
      </c>
      <c r="F1294" s="63" t="str">
        <f aca="false">IF('Offshore - Melbourne'!D338="","Belum tercatat",'Offshore - Melbourne'!D338)</f>
        <v>Term</v>
      </c>
      <c r="G1294" s="65" t="n">
        <f aca="false">IF('Offshore - Melbourne'!E338="","-",'Offshore - Melbourne'!E338)</f>
        <v>2000</v>
      </c>
      <c r="H1294" s="63" t="n">
        <f aca="false">IF(ISNUMBER(K1294),COUNTIFS($J$6:$J$1854,J1294,$K$6:$K$1854,"&lt;"&amp;K1294)+1,"-")</f>
        <v>2</v>
      </c>
      <c r="I1294" s="64" t="str">
        <f aca="false">IF('Offshore - Melbourne'!E338="","Harga belum tersedia - hubungi konsultan TEG",IF(M1294=2,"Saat ini tidak menerima pendaftaran siswa internasional baru",IF(M1294=1,"Harga perlu dikonfirmasi ke sekolah"&amp;IF(""="","","; "&amp;""),"")))</f>
        <v/>
      </c>
      <c r="J1294" s="0" t="s">
        <v>4340</v>
      </c>
      <c r="K1294" s="0" t="n">
        <f aca="false">IF(M1294=2,"",IF(ISNUMBER(SEARCH("rata-rata:",'Offshore - Melbourne'!N338)),VALUE(MID('Offshore - Melbourne'!N338,SEARCH("rata-rata:",'Offshore - Melbourne'!N338)+11,FIND(";",'Offshore - Melbourne'!N338&amp;";",SEARCH("rata-rata:",'Offshore - Melbourne'!N338))-SEARCH("rata-rata:",'Offshore - Melbourne'!N338)-11)),IF('Offshore - Melbourne'!D338="Semester",'Offshore - Melbourne'!E338*2,IF('Offshore - Melbourne'!D338="Trimester",'Offshore - Melbourne'!E338*3,IF('Offshore - Melbourne'!D338="Term",'Offshore - Melbourne'!E338*4,IF('Offshore - Melbourne'!D338="Unit",'Offshore - Melbourne'!E338*8,""))))))</f>
        <v>8000</v>
      </c>
      <c r="L1294" s="0" t="n">
        <f aca="false">IF(AND(ISNUMBER('Offshore - Melbourne'!E338),ISNUMBER(K1294),ISNUMBER('Offshore - Melbourne'!F338),ISNUMBER('Offshore - Melbourne'!G338),OR('Offshore - Melbourne'!F338&lt;&gt;0,ISNUMBER(SEARCH("Material 0 terverifikasi",'Offshore - Melbourne'!N338))),OR('Offshore - Melbourne'!G338&lt;&gt;0,ISNUMBER(SEARCH("Enrolment 0 terverifikasi",'Offshore - Melbourne'!N338)))),1,0)</f>
        <v>1</v>
      </c>
      <c r="M1294" s="0" t="n">
        <f aca="false">IF(OR('Offshore - Melbourne'!E338="",ISNUMBER(SEARCH("BSB80120",'Offshore - Melbourne'!B338&amp;'Offshore - Melbourne'!N338)),ISNUMBER(SEARCH("Management (Learning)",'Offshore - Melbourne'!B338))),2,IF(ISNUMBER(SEARCH("CEK:",'Offshore - Melbourne'!N338)),1,0))</f>
        <v>0</v>
      </c>
    </row>
    <row r="1295" customFormat="false" ht="28.35" hidden="false" customHeight="false" outlineLevel="0" collapsed="false">
      <c r="A1295" s="63" t="s">
        <v>3544</v>
      </c>
      <c r="B1295" s="64" t="s">
        <v>4297</v>
      </c>
      <c r="C1295" s="63" t="s">
        <v>42</v>
      </c>
      <c r="D1295" s="64" t="str">
        <f aca="false">TRIM(LEFT('Offshore - Melbourne'!A435,FIND(CHAR(10),'Offshore - Melbourne'!A435&amp;CHAR(10))-1))</f>
        <v>TKL College (Training for Knowledge and Livelihood)</v>
      </c>
      <c r="E1295" s="63" t="str">
        <f aca="false">'Offshore - Melbourne'!C441&amp;""</f>
        <v>5 years</v>
      </c>
      <c r="F1295" s="63" t="str">
        <f aca="false">IF('Offshore - Melbourne'!D441="","Belum tercatat",'Offshore - Melbourne'!D441)</f>
        <v>Term</v>
      </c>
      <c r="G1295" s="65" t="n">
        <f aca="false">IF('Offshore - Melbourne'!E441="","-",'Offshore - Melbourne'!E441)</f>
        <v>2250</v>
      </c>
      <c r="H1295" s="63" t="n">
        <f aca="false">IF(ISNUMBER(K1295),COUNTIFS($J$6:$J$1854,J1295,$K$6:$K$1854,"&lt;"&amp;K1295)+1,"-")</f>
        <v>3</v>
      </c>
      <c r="I1295" s="64" t="str">
        <f aca="false">IF('Offshore - Melbourne'!E441="","Harga belum tersedia - hubungi konsultan TEG",IF(M1295=2,"Saat ini tidak menerima pendaftaran siswa internasional baru",IF(M1295=1,"Program perlu dikonfirmasi ketersediaannya"&amp;IF(""="","","; "&amp;""),"")))</f>
        <v>Program perlu dikonfirmasi ketersediaannya</v>
      </c>
      <c r="J1295" s="0" t="s">
        <v>4340</v>
      </c>
      <c r="K1295" s="0" t="n">
        <f aca="false">IF(M1295=2,"",IF(ISNUMBER(SEARCH("rata-rata:",'Offshore - Melbourne'!N441)),VALUE(MID('Offshore - Melbourne'!N441,SEARCH("rata-rata:",'Offshore - Melbourne'!N441)+11,FIND(";",'Offshore - Melbourne'!N441&amp;";",SEARCH("rata-rata:",'Offshore - Melbourne'!N441))-SEARCH("rata-rata:",'Offshore - Melbourne'!N441)-11)),IF('Offshore - Melbourne'!D441="Semester",'Offshore - Melbourne'!E441*2,IF('Offshore - Melbourne'!D441="Trimester",'Offshore - Melbourne'!E441*3,IF('Offshore - Melbourne'!D441="Term",'Offshore - Melbourne'!E441*4,IF('Offshore - Melbourne'!D441="Unit",'Offshore - Melbourne'!E441*8,""))))))</f>
        <v>9000</v>
      </c>
      <c r="L1295" s="0" t="n">
        <f aca="false">IF(AND(ISNUMBER('Offshore - Melbourne'!E441),ISNUMBER(K1295),ISNUMBER('Offshore - Melbourne'!F441),ISNUMBER('Offshore - Melbourne'!G441),OR('Offshore - Melbourne'!F441&lt;&gt;0,ISNUMBER(SEARCH("Material 0 terverifikasi",'Offshore - Melbourne'!N441))),OR('Offshore - Melbourne'!G441&lt;&gt;0,ISNUMBER(SEARCH("Enrolment 0 terverifikasi",'Offshore - Melbourne'!N441)))),1,0)</f>
        <v>1</v>
      </c>
      <c r="M1295" s="0" t="n">
        <f aca="false">IF(OR('Offshore - Melbourne'!E441="",ISNUMBER(SEARCH("BSB80120",'Offshore - Melbourne'!B441&amp;'Offshore - Melbourne'!N441)),ISNUMBER(SEARCH("Management (Learning)",'Offshore - Melbourne'!B441))),2,IF(ISNUMBER(SEARCH("CEK:",'Offshore - Melbourne'!N441)),1,0))</f>
        <v>1</v>
      </c>
    </row>
    <row r="1296" customFormat="false" ht="28.35" hidden="false" customHeight="false" outlineLevel="0" collapsed="false">
      <c r="A1296" s="63" t="s">
        <v>3544</v>
      </c>
      <c r="B1296" s="64" t="s">
        <v>4297</v>
      </c>
      <c r="C1296" s="63" t="s">
        <v>42</v>
      </c>
      <c r="D1296" s="64" t="str">
        <f aca="false">TRIM(LEFT('Offshore - Melbourne'!A91,FIND(CHAR(10),'Offshore - Melbourne'!A91&amp;CHAR(10))-1))</f>
        <v>Australian Business &amp; Culinary Institute (ABC Institute)</v>
      </c>
      <c r="E1296" s="63" t="str">
        <f aca="false">'Offshore - Melbourne'!C94&amp;""</f>
        <v>2,5 years</v>
      </c>
      <c r="F1296" s="63" t="str">
        <f aca="false">IF('Offshore - Melbourne'!D94="","Belum tercatat",'Offshore - Melbourne'!D94)</f>
        <v>Term</v>
      </c>
      <c r="G1296" s="65" t="n">
        <f aca="false">IF('Offshore - Melbourne'!E94="","-",'Offshore - Melbourne'!E94)</f>
        <v>2325</v>
      </c>
      <c r="H1296" s="63" t="n">
        <f aca="false">IF(ISNUMBER(K1296),COUNTIFS($J$6:$J$1854,J1296,$K$6:$K$1854,"&lt;"&amp;K1296)+1,"-")</f>
        <v>4</v>
      </c>
      <c r="I1296" s="64" t="str">
        <f aca="false">IF('Offshore - Melbourne'!E94="","Harga belum tersedia - hubungi konsultan TEG",IF(M1296=2,"Saat ini tidak menerima pendaftaran siswa internasional baru",IF(M1296=1,"Harga perlu dikonfirmasi ke sekolah"&amp;IF(""="","","; "&amp;""),"")))</f>
        <v/>
      </c>
      <c r="J1296" s="0" t="s">
        <v>4340</v>
      </c>
      <c r="K1296" s="0" t="n">
        <f aca="false">IF(M1296=2,"",IF(ISNUMBER(SEARCH("rata-rata:",'Offshore - Melbourne'!N94)),VALUE(MID('Offshore - Melbourne'!N94,SEARCH("rata-rata:",'Offshore - Melbourne'!N94)+11,FIND(";",'Offshore - Melbourne'!N94&amp;";",SEARCH("rata-rata:",'Offshore - Melbourne'!N94))-SEARCH("rata-rata:",'Offshore - Melbourne'!N94)-11)),IF('Offshore - Melbourne'!D94="Semester",'Offshore - Melbourne'!E94*2,IF('Offshore - Melbourne'!D94="Trimester",'Offshore - Melbourne'!E94*3,IF('Offshore - Melbourne'!D94="Term",'Offshore - Melbourne'!E94*4,IF('Offshore - Melbourne'!D94="Unit",'Offshore - Melbourne'!E94*8,""))))))</f>
        <v>9300</v>
      </c>
      <c r="L1296" s="0" t="n">
        <f aca="false">IF(AND(ISNUMBER('Offshore - Melbourne'!E94),ISNUMBER(K1296),ISNUMBER('Offshore - Melbourne'!F94),ISNUMBER('Offshore - Melbourne'!G94),OR('Offshore - Melbourne'!F94&lt;&gt;0,ISNUMBER(SEARCH("Material 0 terverifikasi",'Offshore - Melbourne'!N94))),OR('Offshore - Melbourne'!G94&lt;&gt;0,ISNUMBER(SEARCH("Enrolment 0 terverifikasi",'Offshore - Melbourne'!N94)))),1,0)</f>
        <v>1</v>
      </c>
      <c r="M1296" s="0" t="n">
        <f aca="false">IF(OR('Offshore - Melbourne'!E94="",ISNUMBER(SEARCH("BSB80120",'Offshore - Melbourne'!B94&amp;'Offshore - Melbourne'!N94)),ISNUMBER(SEARCH("Management (Learning)",'Offshore - Melbourne'!B94))),2,IF(ISNUMBER(SEARCH("CEK:",'Offshore - Melbourne'!N94)),1,0))</f>
        <v>0</v>
      </c>
    </row>
    <row r="1297" customFormat="false" ht="15" hidden="false" customHeight="false" outlineLevel="0" collapsed="false">
      <c r="A1297" s="63" t="s">
        <v>3544</v>
      </c>
      <c r="B1297" s="64" t="s">
        <v>4297</v>
      </c>
      <c r="C1297" s="63" t="s">
        <v>42</v>
      </c>
      <c r="D1297" s="64" t="str">
        <f aca="false">TRIM(LEFT('Offshore - Melbourne'!A65,FIND(CHAR(10),'Offshore - Melbourne'!A65&amp;CHAR(10))-1))</f>
        <v>ALTEC College</v>
      </c>
      <c r="E1297" s="63" t="str">
        <f aca="false">'Offshore - Melbourne'!C74&amp;""</f>
        <v>3 years</v>
      </c>
      <c r="F1297" s="63" t="str">
        <f aca="false">IF('Offshore - Melbourne'!D74="","Belum tercatat",'Offshore - Melbourne'!D74)</f>
        <v>Term</v>
      </c>
      <c r="G1297" s="65" t="n">
        <f aca="false">IF('Offshore - Melbourne'!E74="","-",'Offshore - Melbourne'!E74)</f>
        <v>2625</v>
      </c>
      <c r="H1297" s="63" t="n">
        <f aca="false">IF(ISNUMBER(K1297),COUNTIFS($J$6:$J$1854,J1297,$K$6:$K$1854,"&lt;"&amp;K1297)+1,"-")</f>
        <v>5</v>
      </c>
      <c r="I1297" s="64" t="str">
        <f aca="false">IF('Offshore - Melbourne'!E74="","Harga belum tersedia - hubungi konsultan TEG",IF(M1297=2,"Saat ini tidak menerima pendaftaran siswa internasional baru",IF(M1297=1,"Harga perlu dikonfirmasi ke sekolah"&amp;IF(""="","","; "&amp;""),"")))</f>
        <v/>
      </c>
      <c r="J1297" s="0" t="s">
        <v>4340</v>
      </c>
      <c r="K1297" s="0" t="n">
        <f aca="false">IF(M1297=2,"",IF(ISNUMBER(SEARCH("rata-rata:",'Offshore - Melbourne'!N74)),VALUE(MID('Offshore - Melbourne'!N74,SEARCH("rata-rata:",'Offshore - Melbourne'!N74)+11,FIND(";",'Offshore - Melbourne'!N74&amp;";",SEARCH("rata-rata:",'Offshore - Melbourne'!N74))-SEARCH("rata-rata:",'Offshore - Melbourne'!N74)-11)),IF('Offshore - Melbourne'!D74="Semester",'Offshore - Melbourne'!E74*2,IF('Offshore - Melbourne'!D74="Trimester",'Offshore - Melbourne'!E74*3,IF('Offshore - Melbourne'!D74="Term",'Offshore - Melbourne'!E74*4,IF('Offshore - Melbourne'!D74="Unit",'Offshore - Melbourne'!E74*8,""))))))</f>
        <v>10500</v>
      </c>
      <c r="L1297" s="0" t="n">
        <f aca="false">IF(AND(ISNUMBER('Offshore - Melbourne'!E74),ISNUMBER(K1297),ISNUMBER('Offshore - Melbourne'!F74),ISNUMBER('Offshore - Melbourne'!G74),OR('Offshore - Melbourne'!F74&lt;&gt;0,ISNUMBER(SEARCH("Material 0 terverifikasi",'Offshore - Melbourne'!N74))),OR('Offshore - Melbourne'!G74&lt;&gt;0,ISNUMBER(SEARCH("Enrolment 0 terverifikasi",'Offshore - Melbourne'!N74)))),1,0)</f>
        <v>1</v>
      </c>
      <c r="M1297" s="0" t="n">
        <f aca="false">IF(OR('Offshore - Melbourne'!E74="",ISNUMBER(SEARCH("BSB80120",'Offshore - Melbourne'!B74&amp;'Offshore - Melbourne'!N74)),ISNUMBER(SEARCH("Management (Learning)",'Offshore - Melbourne'!B74))),2,IF(ISNUMBER(SEARCH("CEK:",'Offshore - Melbourne'!N74)),1,0))</f>
        <v>0</v>
      </c>
    </row>
    <row r="1298" customFormat="false" ht="15" hidden="false" customHeight="false" outlineLevel="0" collapsed="false">
      <c r="A1298" s="63" t="s">
        <v>3544</v>
      </c>
      <c r="B1298" s="64" t="s">
        <v>4297</v>
      </c>
      <c r="C1298" s="63" t="s">
        <v>42</v>
      </c>
      <c r="D1298" s="64" t="str">
        <f aca="false">TRIM(LEFT('Offshore - Melbourne'!A360,FIND(CHAR(10),'Offshore - Melbourne'!A360&amp;CHAR(10))-1))</f>
        <v>National Training College of Australia (NTCA)</v>
      </c>
      <c r="E1298" s="63" t="str">
        <f aca="false">'Offshore - Melbourne'!C368&amp;""</f>
        <v>2,5 years</v>
      </c>
      <c r="F1298" s="63" t="str">
        <f aca="false">IF('Offshore - Melbourne'!D368="","Belum tercatat",'Offshore - Melbourne'!D368)</f>
        <v>Term</v>
      </c>
      <c r="G1298" s="65" t="n">
        <f aca="false">IF('Offshore - Melbourne'!E368="","-",'Offshore - Melbourne'!E368)</f>
        <v>2688</v>
      </c>
      <c r="H1298" s="63" t="n">
        <f aca="false">IF(ISNUMBER(K1298),COUNTIFS($J$6:$J$1854,J1298,$K$6:$K$1854,"&lt;"&amp;K1298)+1,"-")</f>
        <v>6</v>
      </c>
      <c r="I1298" s="64" t="str">
        <f aca="false">IF('Offshore - Melbourne'!E368="","Harga belum tersedia - hubungi konsultan TEG",IF(M1298=2,"Saat ini tidak menerima pendaftaran siswa internasional baru",IF(M1298=1,"Harga perlu dikonfirmasi ke sekolah"&amp;IF(""="","","; "&amp;""),"")))</f>
        <v/>
      </c>
      <c r="J1298" s="0" t="s">
        <v>4340</v>
      </c>
      <c r="K1298" s="0" t="n">
        <f aca="false">IF(M1298=2,"",IF(ISNUMBER(SEARCH("rata-rata:",'Offshore - Melbourne'!N368)),VALUE(MID('Offshore - Melbourne'!N368,SEARCH("rata-rata:",'Offshore - Melbourne'!N368)+11,FIND(";",'Offshore - Melbourne'!N368&amp;";",SEARCH("rata-rata:",'Offshore - Melbourne'!N368))-SEARCH("rata-rata:",'Offshore - Melbourne'!N368)-11)),IF('Offshore - Melbourne'!D368="Semester",'Offshore - Melbourne'!E368*2,IF('Offshore - Melbourne'!D368="Trimester",'Offshore - Melbourne'!E368*3,IF('Offshore - Melbourne'!D368="Term",'Offshore - Melbourne'!E368*4,IF('Offshore - Melbourne'!D368="Unit",'Offshore - Melbourne'!E368*8,""))))))</f>
        <v>10752</v>
      </c>
      <c r="L1298" s="0" t="n">
        <f aca="false">IF(AND(ISNUMBER('Offshore - Melbourne'!E368),ISNUMBER(K1298),ISNUMBER('Offshore - Melbourne'!F368),ISNUMBER('Offshore - Melbourne'!G368),OR('Offshore - Melbourne'!F368&lt;&gt;0,ISNUMBER(SEARCH("Material 0 terverifikasi",'Offshore - Melbourne'!N368))),OR('Offshore - Melbourne'!G368&lt;&gt;0,ISNUMBER(SEARCH("Enrolment 0 terverifikasi",'Offshore - Melbourne'!N368)))),1,0)</f>
        <v>1</v>
      </c>
      <c r="M1298" s="0" t="n">
        <f aca="false">IF(OR('Offshore - Melbourne'!E368="",ISNUMBER(SEARCH("BSB80120",'Offshore - Melbourne'!B368&amp;'Offshore - Melbourne'!N368)),ISNUMBER(SEARCH("Management (Learning)",'Offshore - Melbourne'!B368))),2,IF(ISNUMBER(SEARCH("CEK:",'Offshore - Melbourne'!N368)),1,0))</f>
        <v>0</v>
      </c>
    </row>
    <row r="1299" customFormat="false" ht="15" hidden="false" customHeight="false" outlineLevel="0" collapsed="false">
      <c r="A1299" s="63" t="s">
        <v>3544</v>
      </c>
      <c r="B1299" s="64" t="s">
        <v>4297</v>
      </c>
      <c r="C1299" s="63" t="s">
        <v>42</v>
      </c>
      <c r="D1299" s="64" t="str">
        <f aca="false">TRIM(LEFT('Offshore - Melbourne'!A6,FIND(CHAR(10),'Offshore - Melbourne'!A6&amp;CHAR(10))-1))</f>
        <v>Academies Australasia</v>
      </c>
      <c r="E1299" s="63" t="str">
        <f aca="false">'Offshore - Melbourne'!C14&amp;""</f>
        <v>3,5 years</v>
      </c>
      <c r="F1299" s="63" t="str">
        <f aca="false">IF('Offshore - Melbourne'!D14="","Belum tercatat",'Offshore - Melbourne'!D14)</f>
        <v>Term</v>
      </c>
      <c r="G1299" s="65" t="n">
        <f aca="false">IF('Offshore - Melbourne'!E14="","-",'Offshore - Melbourne'!E14)</f>
        <v>2700</v>
      </c>
      <c r="H1299" s="63" t="n">
        <f aca="false">IF(ISNUMBER(K1299),COUNTIFS($J$6:$J$1854,J1299,$K$6:$K$1854,"&lt;"&amp;K1299)+1,"-")</f>
        <v>7</v>
      </c>
      <c r="I1299" s="64" t="str">
        <f aca="false">IF('Offshore - Melbourne'!E14="","Harga belum tersedia - hubungi konsultan TEG",IF(M1299=2,"Saat ini tidak menerima pendaftaran siswa internasional baru",IF(M1299=1,"Harga perlu dikonfirmasi ke sekolah"&amp;IF(""="","","; "&amp;""),"")))</f>
        <v/>
      </c>
      <c r="J1299" s="0" t="s">
        <v>4340</v>
      </c>
      <c r="K1299" s="0" t="n">
        <f aca="false">IF(M1299=2,"",IF(ISNUMBER(SEARCH("rata-rata:",'Offshore - Melbourne'!N14)),VALUE(MID('Offshore - Melbourne'!N14,SEARCH("rata-rata:",'Offshore - Melbourne'!N14)+11,FIND(";",'Offshore - Melbourne'!N14&amp;";",SEARCH("rata-rata:",'Offshore - Melbourne'!N14))-SEARCH("rata-rata:",'Offshore - Melbourne'!N14)-11)),IF('Offshore - Melbourne'!D14="Semester",'Offshore - Melbourne'!E14*2,IF('Offshore - Melbourne'!D14="Trimester",'Offshore - Melbourne'!E14*3,IF('Offshore - Melbourne'!D14="Term",'Offshore - Melbourne'!E14*4,IF('Offshore - Melbourne'!D14="Unit",'Offshore - Melbourne'!E14*8,""))))))</f>
        <v>10800</v>
      </c>
      <c r="L1299" s="0" t="n">
        <f aca="false">IF(AND(ISNUMBER('Offshore - Melbourne'!E14),ISNUMBER(K1299),ISNUMBER('Offshore - Melbourne'!F14),ISNUMBER('Offshore - Melbourne'!G14),OR('Offshore - Melbourne'!F14&lt;&gt;0,ISNUMBER(SEARCH("Material 0 terverifikasi",'Offshore - Melbourne'!N14))),OR('Offshore - Melbourne'!G14&lt;&gt;0,ISNUMBER(SEARCH("Enrolment 0 terverifikasi",'Offshore - Melbourne'!N14)))),1,0)</f>
        <v>1</v>
      </c>
      <c r="M1299" s="0" t="n">
        <f aca="false">IF(OR('Offshore - Melbourne'!E14="",ISNUMBER(SEARCH("BSB80120",'Offshore - Melbourne'!B14&amp;'Offshore - Melbourne'!N14)),ISNUMBER(SEARCH("Management (Learning)",'Offshore - Melbourne'!B14))),2,IF(ISNUMBER(SEARCH("CEK:",'Offshore - Melbourne'!N14)),1,0))</f>
        <v>0</v>
      </c>
    </row>
    <row r="1300" customFormat="false" ht="15" hidden="false" customHeight="false" outlineLevel="0" collapsed="false">
      <c r="A1300" s="63" t="s">
        <v>3544</v>
      </c>
      <c r="B1300" s="64" t="s">
        <v>4297</v>
      </c>
      <c r="C1300" s="63" t="s">
        <v>42</v>
      </c>
      <c r="D1300" s="64" t="str">
        <f aca="false">TRIM(LEFT('Offshore - Melbourne'!A339,FIND(CHAR(10),'Offshore - Melbourne'!A339&amp;CHAR(10))-1))</f>
        <v>Melbourne Metro College</v>
      </c>
      <c r="E1300" s="63" t="str">
        <f aca="false">'Offshore - Melbourne'!C340&amp;""</f>
        <v>2,5 years</v>
      </c>
      <c r="F1300" s="63" t="str">
        <f aca="false">IF('Offshore - Melbourne'!D340="","Belum tercatat",'Offshore - Melbourne'!D340)</f>
        <v>Term</v>
      </c>
      <c r="G1300" s="65" t="n">
        <f aca="false">IF('Offshore - Melbourne'!E340="","-",'Offshore - Melbourne'!E340)</f>
        <v>3200</v>
      </c>
      <c r="H1300" s="63" t="n">
        <f aca="false">IF(ISNUMBER(K1300),COUNTIFS($J$6:$J$1854,J1300,$K$6:$K$1854,"&lt;"&amp;K1300)+1,"-")</f>
        <v>8</v>
      </c>
      <c r="I1300" s="64" t="str">
        <f aca="false">IF('Offshore - Melbourne'!E340="","Harga belum tersedia - hubungi konsultan TEG",IF(M1300=2,"Saat ini tidak menerima pendaftaran siswa internasional baru",IF(M1300=1,"Harga perlu dikonfirmasi ke sekolah"&amp;IF(""="","","; "&amp;""),"")))</f>
        <v/>
      </c>
      <c r="J1300" s="0" t="s">
        <v>4340</v>
      </c>
      <c r="K1300" s="0" t="n">
        <f aca="false">IF(M1300=2,"",IF(ISNUMBER(SEARCH("rata-rata:",'Offshore - Melbourne'!N340)),VALUE(MID('Offshore - Melbourne'!N340,SEARCH("rata-rata:",'Offshore - Melbourne'!N340)+11,FIND(";",'Offshore - Melbourne'!N340&amp;";",SEARCH("rata-rata:",'Offshore - Melbourne'!N340))-SEARCH("rata-rata:",'Offshore - Melbourne'!N340)-11)),IF('Offshore - Melbourne'!D340="Semester",'Offshore - Melbourne'!E340*2,IF('Offshore - Melbourne'!D340="Trimester",'Offshore - Melbourne'!E340*3,IF('Offshore - Melbourne'!D340="Term",'Offshore - Melbourne'!E340*4,IF('Offshore - Melbourne'!D340="Unit",'Offshore - Melbourne'!E340*8,""))))))</f>
        <v>12800</v>
      </c>
      <c r="L1300" s="0" t="n">
        <f aca="false">IF(AND(ISNUMBER('Offshore - Melbourne'!E340),ISNUMBER(K1300),ISNUMBER('Offshore - Melbourne'!F340),ISNUMBER('Offshore - Melbourne'!G340),OR('Offshore - Melbourne'!F340&lt;&gt;0,ISNUMBER(SEARCH("Material 0 terverifikasi",'Offshore - Melbourne'!N340))),OR('Offshore - Melbourne'!G340&lt;&gt;0,ISNUMBER(SEARCH("Enrolment 0 terverifikasi",'Offshore - Melbourne'!N340)))),1,0)</f>
        <v>1</v>
      </c>
      <c r="M1300" s="0" t="n">
        <f aca="false">IF(OR('Offshore - Melbourne'!E340="",ISNUMBER(SEARCH("BSB80120",'Offshore - Melbourne'!B340&amp;'Offshore - Melbourne'!N340)),ISNUMBER(SEARCH("Management (Learning)",'Offshore - Melbourne'!B340))),2,IF(ISNUMBER(SEARCH("CEK:",'Offshore - Melbourne'!N340)),1,0))</f>
        <v>0</v>
      </c>
    </row>
    <row r="1301" customFormat="false" ht="15" hidden="false" customHeight="false" outlineLevel="0" collapsed="false">
      <c r="A1301" s="63" t="s">
        <v>3544</v>
      </c>
      <c r="B1301" s="64" t="s">
        <v>4297</v>
      </c>
      <c r="C1301" s="63" t="s">
        <v>42</v>
      </c>
      <c r="D1301" s="64" t="str">
        <f aca="false">TRIM(LEFT('Offshore - Melbourne'!A556,FIND(CHAR(10),'Offshore - Melbourne'!A556&amp;CHAR(10))-1))</f>
        <v>William Angliss Institute</v>
      </c>
      <c r="E1301" s="63" t="str">
        <f aca="false">'Offshore - Melbourne'!C583&amp;""</f>
        <v>3 years</v>
      </c>
      <c r="F1301" s="63" t="str">
        <f aca="false">IF('Offshore - Melbourne'!D583="","Belum tercatat",'Offshore - Melbourne'!D583)</f>
        <v>Term</v>
      </c>
      <c r="G1301" s="65" t="n">
        <f aca="false">IF('Offshore - Melbourne'!E583="","-",'Offshore - Melbourne'!E583)</f>
        <v>4610</v>
      </c>
      <c r="H1301" s="63" t="n">
        <f aca="false">IF(ISNUMBER(K1301),COUNTIFS($J$6:$J$1854,J1301,$K$6:$K$1854,"&lt;"&amp;K1301)+1,"-")</f>
        <v>9</v>
      </c>
      <c r="I1301" s="64" t="str">
        <f aca="false">IF('Offshore - Melbourne'!E583="","Harga belum tersedia - hubungi konsultan TEG",IF(M1301=2,"Saat ini tidak menerima pendaftaran siswa internasional baru",IF(M1301=1,"Harga perlu dikonfirmasi ke sekolah"&amp;IF(""="","","; "&amp;""),"")))</f>
        <v/>
      </c>
      <c r="J1301" s="0" t="s">
        <v>4340</v>
      </c>
      <c r="K1301" s="0" t="n">
        <f aca="false">IF(M1301=2,"",IF(ISNUMBER(SEARCH("rata-rata:",'Offshore - Melbourne'!N583)),VALUE(MID('Offshore - Melbourne'!N583,SEARCH("rata-rata:",'Offshore - Melbourne'!N583)+11,FIND(";",'Offshore - Melbourne'!N583&amp;";",SEARCH("rata-rata:",'Offshore - Melbourne'!N583))-SEARCH("rata-rata:",'Offshore - Melbourne'!N583)-11)),IF('Offshore - Melbourne'!D583="Semester",'Offshore - Melbourne'!E583*2,IF('Offshore - Melbourne'!D583="Trimester",'Offshore - Melbourne'!E583*3,IF('Offshore - Melbourne'!D583="Term",'Offshore - Melbourne'!E583*4,IF('Offshore - Melbourne'!D583="Unit",'Offshore - Melbourne'!E583*8,""))))))</f>
        <v>18440</v>
      </c>
      <c r="L1301" s="0" t="n">
        <f aca="false">IF(AND(ISNUMBER('Offshore - Melbourne'!E583),ISNUMBER(K1301),ISNUMBER('Offshore - Melbourne'!F583),ISNUMBER('Offshore - Melbourne'!G583),OR('Offshore - Melbourne'!F583&lt;&gt;0,ISNUMBER(SEARCH("Material 0 terverifikasi",'Offshore - Melbourne'!N583))),OR('Offshore - Melbourne'!G583&lt;&gt;0,ISNUMBER(SEARCH("Enrolment 0 terverifikasi",'Offshore - Melbourne'!N583)))),1,0)</f>
        <v>1</v>
      </c>
      <c r="M1301" s="0" t="n">
        <f aca="false">IF(OR('Offshore - Melbourne'!E583="",ISNUMBER(SEARCH("BSB80120",'Offshore - Melbourne'!B583&amp;'Offshore - Melbourne'!N583)),ISNUMBER(SEARCH("Management (Learning)",'Offshore - Melbourne'!B583))),2,IF(ISNUMBER(SEARCH("CEK:",'Offshore - Melbourne'!N583)),1,0))</f>
        <v>0</v>
      </c>
    </row>
    <row r="1302" customFormat="false" ht="15" hidden="false" customHeight="false" outlineLevel="0" collapsed="false">
      <c r="A1302" s="63" t="s">
        <v>3544</v>
      </c>
      <c r="B1302" s="64" t="s">
        <v>4297</v>
      </c>
      <c r="C1302" s="63" t="s">
        <v>42</v>
      </c>
      <c r="D1302" s="64" t="str">
        <f aca="false">TRIM(LEFT('Offshore - Melbourne'!A324,FIND(CHAR(10),'Offshore - Melbourne'!A324&amp;CHAR(10))-1))</f>
        <v>Le Cordon Bleu Australia</v>
      </c>
      <c r="E1302" s="63" t="str">
        <f aca="false">'Offshore - Melbourne'!C326&amp;""</f>
        <v>0,5 year</v>
      </c>
      <c r="F1302" s="63" t="str">
        <f aca="false">IF('Offshore - Melbourne'!D326="","Belum tercatat",'Offshore - Melbourne'!D326)</f>
        <v>Term</v>
      </c>
      <c r="G1302" s="65" t="n">
        <f aca="false">IF('Offshore - Melbourne'!E326="","-",'Offshore - Melbourne'!E326)</f>
        <v>7298.5</v>
      </c>
      <c r="H1302" s="63" t="n">
        <f aca="false">IF(ISNUMBER(K1302),COUNTIFS($J$6:$J$1854,J1302,$K$6:$K$1854,"&lt;"&amp;K1302)+1,"-")</f>
        <v>10</v>
      </c>
      <c r="I1302" s="64" t="str">
        <f aca="false">IF('Offshore - Melbourne'!E326="","Harga belum tersedia - hubungi konsultan TEG",IF(M1302=2,"Saat ini tidak menerima pendaftaran siswa internasional baru",IF(M1302=1,"Harga perlu dikonfirmasi ke sekolah"&amp;IF(""="","","; "&amp;""),"")))</f>
        <v/>
      </c>
      <c r="J1302" s="0" t="s">
        <v>4340</v>
      </c>
      <c r="K1302" s="0" t="n">
        <f aca="false">IF(M1302=2,"",IF(ISNUMBER(SEARCH("rata-rata:",'Offshore - Melbourne'!N326)),VALUE(MID('Offshore - Melbourne'!N326,SEARCH("rata-rata:",'Offshore - Melbourne'!N326)+11,FIND(";",'Offshore - Melbourne'!N326&amp;";",SEARCH("rata-rata:",'Offshore - Melbourne'!N326))-SEARCH("rata-rata:",'Offshore - Melbourne'!N326)-11)),IF('Offshore - Melbourne'!D326="Semester",'Offshore - Melbourne'!E326*2,IF('Offshore - Melbourne'!D326="Trimester",'Offshore - Melbourne'!E326*3,IF('Offshore - Melbourne'!D326="Term",'Offshore - Melbourne'!E326*4,IF('Offshore - Melbourne'!D326="Unit",'Offshore - Melbourne'!E326*8,""))))))</f>
        <v>29194</v>
      </c>
      <c r="L1302" s="0" t="n">
        <f aca="false">IF(AND(ISNUMBER('Offshore - Melbourne'!E326),ISNUMBER(K1302),ISNUMBER('Offshore - Melbourne'!F326),ISNUMBER('Offshore - Melbourne'!G326),OR('Offshore - Melbourne'!F326&lt;&gt;0,ISNUMBER(SEARCH("Material 0 terverifikasi",'Offshore - Melbourne'!N326))),OR('Offshore - Melbourne'!G326&lt;&gt;0,ISNUMBER(SEARCH("Enrolment 0 terverifikasi",'Offshore - Melbourne'!N326)))),1,0)</f>
        <v>0</v>
      </c>
      <c r="M1302" s="0" t="n">
        <f aca="false">IF(OR('Offshore - Melbourne'!E326="",ISNUMBER(SEARCH("BSB80120",'Offshore - Melbourne'!B326&amp;'Offshore - Melbourne'!N326)),ISNUMBER(SEARCH("Management (Learning)",'Offshore - Melbourne'!B326))),2,IF(ISNUMBER(SEARCH("CEK:",'Offshore - Melbourne'!N326)),1,0))</f>
        <v>0</v>
      </c>
    </row>
    <row r="1303" customFormat="false" ht="15" hidden="false" customHeight="false" outlineLevel="0" collapsed="false">
      <c r="A1303" s="61" t="s">
        <v>4341</v>
      </c>
      <c r="B1303" s="62"/>
      <c r="C1303" s="62"/>
      <c r="D1303" s="62"/>
      <c r="E1303" s="62"/>
      <c r="F1303" s="62"/>
      <c r="G1303" s="62"/>
      <c r="H1303" s="62"/>
      <c r="I1303" s="62"/>
    </row>
    <row r="1304" customFormat="false" ht="15" hidden="false" customHeight="false" outlineLevel="0" collapsed="false">
      <c r="A1304" s="63" t="s">
        <v>3544</v>
      </c>
      <c r="B1304" s="64" t="s">
        <v>4297</v>
      </c>
      <c r="C1304" s="63" t="s">
        <v>43</v>
      </c>
      <c r="D1304" s="64" t="str">
        <f aca="false">TRIM(LEFT('Offshore - Melbourne'!A6,FIND(CHAR(10),'Offshore - Melbourne'!A6&amp;CHAR(10))-1))</f>
        <v>Academies Australasia</v>
      </c>
      <c r="E1304" s="63" t="str">
        <f aca="false">'Offshore - Melbourne'!C16&amp;""</f>
        <v>3 years</v>
      </c>
      <c r="F1304" s="63" t="str">
        <f aca="false">IF('Offshore - Melbourne'!D16="","Belum tercatat",'Offshore - Melbourne'!D16)</f>
        <v>Term</v>
      </c>
      <c r="G1304" s="65" t="n">
        <f aca="false">IF('Offshore - Melbourne'!E16="","-",'Offshore - Melbourne'!E16)</f>
        <v>5000</v>
      </c>
      <c r="H1304" s="63" t="n">
        <f aca="false">IF(ISNUMBER(K1304),COUNTIFS($J$6:$J$1854,J1304,$K$6:$K$1854,"&lt;"&amp;K1304)+1,"-")</f>
        <v>1</v>
      </c>
      <c r="I1304" s="64" t="str">
        <f aca="false">IF('Offshore - Melbourne'!E16="","Harga belum tersedia - hubungi konsultan TEG",IF(M1304=2,"Saat ini tidak menerima pendaftaran siswa internasional baru",IF(M1304=1,"Harga perlu dikonfirmasi ke sekolah"&amp;IF(""="","","; "&amp;""),"")))</f>
        <v/>
      </c>
      <c r="J1304" s="0" t="s">
        <v>4342</v>
      </c>
      <c r="K1304" s="0" t="n">
        <f aca="false">IF(M1304=2,"",IF(ISNUMBER(SEARCH("rata-rata:",'Offshore - Melbourne'!N16)),VALUE(MID('Offshore - Melbourne'!N16,SEARCH("rata-rata:",'Offshore - Melbourne'!N16)+11,FIND(";",'Offshore - Melbourne'!N16&amp;";",SEARCH("rata-rata:",'Offshore - Melbourne'!N16))-SEARCH("rata-rata:",'Offshore - Melbourne'!N16)-11)),IF('Offshore - Melbourne'!D16="Semester",'Offshore - Melbourne'!E16*2,IF('Offshore - Melbourne'!D16="Trimester",'Offshore - Melbourne'!E16*3,IF('Offshore - Melbourne'!D16="Term",'Offshore - Melbourne'!E16*4,IF('Offshore - Melbourne'!D16="Unit",'Offshore - Melbourne'!E16*8,""))))))</f>
        <v>20000</v>
      </c>
      <c r="L1304" s="0" t="n">
        <f aca="false">IF(AND(ISNUMBER('Offshore - Melbourne'!E16),ISNUMBER(K1304),ISNUMBER('Offshore - Melbourne'!F16),ISNUMBER('Offshore - Melbourne'!G16),OR('Offshore - Melbourne'!F16&lt;&gt;0,ISNUMBER(SEARCH("Material 0 terverifikasi",'Offshore - Melbourne'!N16))),OR('Offshore - Melbourne'!G16&lt;&gt;0,ISNUMBER(SEARCH("Enrolment 0 terverifikasi",'Offshore - Melbourne'!N16)))),1,0)</f>
        <v>1</v>
      </c>
      <c r="M1304" s="0" t="n">
        <f aca="false">IF(OR('Offshore - Melbourne'!E16="",ISNUMBER(SEARCH("BSB80120",'Offshore - Melbourne'!B16&amp;'Offshore - Melbourne'!N16)),ISNUMBER(SEARCH("Management (Learning)",'Offshore - Melbourne'!B16))),2,IF(ISNUMBER(SEARCH("CEK:",'Offshore - Melbourne'!N16)),1,0))</f>
        <v>0</v>
      </c>
    </row>
    <row r="1305" customFormat="false" ht="15" hidden="false" customHeight="false" outlineLevel="0" collapsed="false">
      <c r="A1305" s="63" t="s">
        <v>3544</v>
      </c>
      <c r="B1305" s="64" t="s">
        <v>4297</v>
      </c>
      <c r="C1305" s="63" t="s">
        <v>43</v>
      </c>
      <c r="D1305" s="64" t="str">
        <f aca="false">TRIM(LEFT('Offshore - Melbourne'!A556,FIND(CHAR(10),'Offshore - Melbourne'!A556&amp;CHAR(10))-1))</f>
        <v>William Angliss Institute</v>
      </c>
      <c r="E1305" s="63" t="str">
        <f aca="false">'Offshore - Melbourne'!C564&amp;""</f>
        <v>3 years</v>
      </c>
      <c r="F1305" s="63" t="str">
        <f aca="false">IF('Offshore - Melbourne'!D564="","Belum tercatat",'Offshore - Melbourne'!D564)</f>
        <v>Term</v>
      </c>
      <c r="G1305" s="65" t="n">
        <f aca="false">IF('Offshore - Melbourne'!E564="","-",'Offshore - Melbourne'!E564)</f>
        <v>5550</v>
      </c>
      <c r="H1305" s="63" t="n">
        <f aca="false">IF(ISNUMBER(K1305),COUNTIFS($J$6:$J$1854,J1305,$K$6:$K$1854,"&lt;"&amp;K1305)+1,"-")</f>
        <v>2</v>
      </c>
      <c r="I1305" s="64" t="str">
        <f aca="false">IF('Offshore - Melbourne'!E564="","Harga belum tersedia - hubungi konsultan TEG",IF(M1305=2,"Saat ini tidak menerima pendaftaran siswa internasional baru",IF(M1305=1,"Harga perlu dikonfirmasi ke sekolah"&amp;IF(""="","","; "&amp;""),"")))</f>
        <v/>
      </c>
      <c r="J1305" s="0" t="s">
        <v>4342</v>
      </c>
      <c r="K1305" s="0" t="n">
        <f aca="false">IF(M1305=2,"",IF(ISNUMBER(SEARCH("rata-rata:",'Offshore - Melbourne'!N564)),VALUE(MID('Offshore - Melbourne'!N564,SEARCH("rata-rata:",'Offshore - Melbourne'!N564)+11,FIND(";",'Offshore - Melbourne'!N564&amp;";",SEARCH("rata-rata:",'Offshore - Melbourne'!N564))-SEARCH("rata-rata:",'Offshore - Melbourne'!N564)-11)),IF('Offshore - Melbourne'!D564="Semester",'Offshore - Melbourne'!E564*2,IF('Offshore - Melbourne'!D564="Trimester",'Offshore - Melbourne'!E564*3,IF('Offshore - Melbourne'!D564="Term",'Offshore - Melbourne'!E564*4,IF('Offshore - Melbourne'!D564="Unit",'Offshore - Melbourne'!E564*8,""))))))</f>
        <v>22200</v>
      </c>
      <c r="L1305" s="0" t="n">
        <f aca="false">IF(AND(ISNUMBER('Offshore - Melbourne'!E564),ISNUMBER(K1305),ISNUMBER('Offshore - Melbourne'!F564),ISNUMBER('Offshore - Melbourne'!G564),OR('Offshore - Melbourne'!F564&lt;&gt;0,ISNUMBER(SEARCH("Material 0 terverifikasi",'Offshore - Melbourne'!N564))),OR('Offshore - Melbourne'!G564&lt;&gt;0,ISNUMBER(SEARCH("Enrolment 0 terverifikasi",'Offshore - Melbourne'!N564)))),1,0)</f>
        <v>1</v>
      </c>
      <c r="M1305" s="0" t="n">
        <f aca="false">IF(OR('Offshore - Melbourne'!E564="",ISNUMBER(SEARCH("BSB80120",'Offshore - Melbourne'!B564&amp;'Offshore - Melbourne'!N564)),ISNUMBER(SEARCH("Management (Learning)",'Offshore - Melbourne'!B564))),2,IF(ISNUMBER(SEARCH("CEK:",'Offshore - Melbourne'!N564)),1,0))</f>
        <v>0</v>
      </c>
    </row>
    <row r="1306" customFormat="false" ht="15" hidden="false" customHeight="false" outlineLevel="0" collapsed="false">
      <c r="A1306" s="63" t="s">
        <v>3544</v>
      </c>
      <c r="B1306" s="64" t="s">
        <v>4297</v>
      </c>
      <c r="C1306" s="63" t="s">
        <v>43</v>
      </c>
      <c r="D1306" s="64" t="str">
        <f aca="false">TRIM(LEFT('Offshore - Melbourne'!A324,FIND(CHAR(10),'Offshore - Melbourne'!A324&amp;CHAR(10))-1))</f>
        <v>Le Cordon Bleu Australia</v>
      </c>
      <c r="E1306" s="63" t="str">
        <f aca="false">'Offshore - Melbourne'!C332&amp;""</f>
        <v>3 years</v>
      </c>
      <c r="F1306" s="63" t="str">
        <f aca="false">IF('Offshore - Melbourne'!D332="","Belum tercatat",'Offshore - Melbourne'!D332)</f>
        <v>Term</v>
      </c>
      <c r="G1306" s="65" t="n">
        <f aca="false">IF('Offshore - Melbourne'!E332="","-",'Offshore - Melbourne'!E332)</f>
        <v>5688.58</v>
      </c>
      <c r="H1306" s="63" t="n">
        <f aca="false">IF(ISNUMBER(K1306),COUNTIFS($J$6:$J$1854,J1306,$K$6:$K$1854,"&lt;"&amp;K1306)+1,"-")</f>
        <v>3</v>
      </c>
      <c r="I1306" s="64" t="str">
        <f aca="false">IF('Offshore - Melbourne'!E332="","Harga belum tersedia - hubungi konsultan TEG",IF(M1306=2,"Saat ini tidak menerima pendaftaran siswa internasional baru",IF(M1306=1,"Harga perlu dikonfirmasi ke sekolah"&amp;IF(""="","","; "&amp;""),"")))</f>
        <v/>
      </c>
      <c r="J1306" s="0" t="s">
        <v>4342</v>
      </c>
      <c r="K1306" s="0" t="n">
        <f aca="false">IF(M1306=2,"",IF(ISNUMBER(SEARCH("rata-rata:",'Offshore - Melbourne'!N332)),VALUE(MID('Offshore - Melbourne'!N332,SEARCH("rata-rata:",'Offshore - Melbourne'!N332)+11,FIND(";",'Offshore - Melbourne'!N332&amp;";",SEARCH("rata-rata:",'Offshore - Melbourne'!N332))-SEARCH("rata-rata:",'Offshore - Melbourne'!N332)-11)),IF('Offshore - Melbourne'!D332="Semester",'Offshore - Melbourne'!E332*2,IF('Offshore - Melbourne'!D332="Trimester",'Offshore - Melbourne'!E332*3,IF('Offshore - Melbourne'!D332="Term",'Offshore - Melbourne'!E332*4,IF('Offshore - Melbourne'!D332="Unit",'Offshore - Melbourne'!E332*8,""))))))</f>
        <v>22754.32</v>
      </c>
      <c r="L1306" s="0" t="n">
        <f aca="false">IF(AND(ISNUMBER('Offshore - Melbourne'!E332),ISNUMBER(K1306),ISNUMBER('Offshore - Melbourne'!F332),ISNUMBER('Offshore - Melbourne'!G332),OR('Offshore - Melbourne'!F332&lt;&gt;0,ISNUMBER(SEARCH("Material 0 terverifikasi",'Offshore - Melbourne'!N332))),OR('Offshore - Melbourne'!G332&lt;&gt;0,ISNUMBER(SEARCH("Enrolment 0 terverifikasi",'Offshore - Melbourne'!N332)))),1,0)</f>
        <v>0</v>
      </c>
      <c r="M1306" s="0" t="n">
        <f aca="false">IF(OR('Offshore - Melbourne'!E332="",ISNUMBER(SEARCH("BSB80120",'Offshore - Melbourne'!B332&amp;'Offshore - Melbourne'!N332)),ISNUMBER(SEARCH("Management (Learning)",'Offshore - Melbourne'!B332))),2,IF(ISNUMBER(SEARCH("CEK:",'Offshore - Melbourne'!N332)),1,0))</f>
        <v>0</v>
      </c>
    </row>
    <row r="1307" customFormat="false" ht="15" hidden="false" customHeight="false" outlineLevel="0" collapsed="false">
      <c r="A1307" s="61" t="s">
        <v>4343</v>
      </c>
      <c r="B1307" s="62"/>
      <c r="C1307" s="62"/>
      <c r="D1307" s="62"/>
      <c r="E1307" s="62"/>
      <c r="F1307" s="62"/>
      <c r="G1307" s="62"/>
      <c r="H1307" s="62"/>
      <c r="I1307" s="62"/>
    </row>
    <row r="1308" customFormat="false" ht="15" hidden="false" customHeight="false" outlineLevel="0" collapsed="false">
      <c r="A1308" s="63" t="s">
        <v>3544</v>
      </c>
      <c r="B1308" s="64" t="s">
        <v>4297</v>
      </c>
      <c r="C1308" s="63" t="s">
        <v>3707</v>
      </c>
      <c r="D1308" s="64" t="str">
        <f aca="false">TRIM(LEFT('Offshore - Melbourne'!A443,FIND(CHAR(10),'Offshore - Melbourne'!A443&amp;CHAR(10))-1))</f>
        <v>Torrens University Australia</v>
      </c>
      <c r="E1308" s="63" t="str">
        <f aca="false">'Offshore - Melbourne'!C533&amp;""</f>
        <v>0,5 year</v>
      </c>
      <c r="F1308" s="63" t="str">
        <f aca="false">IF('Offshore - Melbourne'!D533="","Belum tercatat",'Offshore - Melbourne'!D533)</f>
        <v>Term</v>
      </c>
      <c r="G1308" s="65" t="n">
        <f aca="false">IF('Offshore - Melbourne'!E533="","-",'Offshore - Melbourne'!E533)</f>
        <v>5700</v>
      </c>
      <c r="H1308" s="63" t="n">
        <f aca="false">IF(ISNUMBER(K1308),COUNTIFS($J$6:$J$1854,J1308,$K$6:$K$1854,"&lt;"&amp;K1308)+1,"-")</f>
        <v>1</v>
      </c>
      <c r="I1308" s="64" t="str">
        <f aca="false">IF('Offshore - Melbourne'!E533="","Harga belum tersedia - hubungi konsultan TEG",IF(M1308=2,"Saat ini tidak menerima pendaftaran siswa internasional baru",IF(M1308=1,"Harga perlu dikonfirmasi ke sekolah"&amp;IF(""="","","; "&amp;""),"")))</f>
        <v/>
      </c>
      <c r="J1308" s="0" t="s">
        <v>4344</v>
      </c>
      <c r="K1308" s="0" t="n">
        <f aca="false">IF(M1308=2,"",IF(ISNUMBER(SEARCH("rata-rata:",'Offshore - Melbourne'!N533)),VALUE(MID('Offshore - Melbourne'!N533,SEARCH("rata-rata:",'Offshore - Melbourne'!N533)+11,FIND(";",'Offshore - Melbourne'!N533&amp;";",SEARCH("rata-rata:",'Offshore - Melbourne'!N533))-SEARCH("rata-rata:",'Offshore - Melbourne'!N533)-11)),IF('Offshore - Melbourne'!D533="Semester",'Offshore - Melbourne'!E533*2,IF('Offshore - Melbourne'!D533="Trimester",'Offshore - Melbourne'!E533*3,IF('Offshore - Melbourne'!D533="Term",'Offshore - Melbourne'!E533*4,IF('Offshore - Melbourne'!D533="Unit",'Offshore - Melbourne'!E533*8,""))))))</f>
        <v>22800</v>
      </c>
      <c r="L1308" s="0" t="n">
        <f aca="false">IF(AND(ISNUMBER('Offshore - Melbourne'!E533),ISNUMBER(K1308),ISNUMBER('Offshore - Melbourne'!F533),ISNUMBER('Offshore - Melbourne'!G533),OR('Offshore - Melbourne'!F533&lt;&gt;0,ISNUMBER(SEARCH("Material 0 terverifikasi",'Offshore - Melbourne'!N533))),OR('Offshore - Melbourne'!G533&lt;&gt;0,ISNUMBER(SEARCH("Enrolment 0 terverifikasi",'Offshore - Melbourne'!N533)))),1,0)</f>
        <v>0</v>
      </c>
      <c r="M1308" s="0" t="n">
        <f aca="false">IF(OR('Offshore - Melbourne'!E533="",ISNUMBER(SEARCH("BSB80120",'Offshore - Melbourne'!B533&amp;'Offshore - Melbourne'!N533)),ISNUMBER(SEARCH("Management (Learning)",'Offshore - Melbourne'!B533))),2,IF(ISNUMBER(SEARCH("CEK:",'Offshore - Melbourne'!N533)),1,0))</f>
        <v>0</v>
      </c>
    </row>
    <row r="1309" customFormat="false" ht="15" hidden="false" customHeight="false" outlineLevel="0" collapsed="false">
      <c r="A1309" s="61" t="s">
        <v>4345</v>
      </c>
      <c r="B1309" s="62"/>
      <c r="C1309" s="62"/>
      <c r="D1309" s="62"/>
      <c r="E1309" s="62"/>
      <c r="F1309" s="62"/>
      <c r="G1309" s="62"/>
      <c r="H1309" s="62"/>
      <c r="I1309" s="62"/>
    </row>
    <row r="1310" customFormat="false" ht="15" hidden="false" customHeight="false" outlineLevel="0" collapsed="false">
      <c r="A1310" s="63" t="s">
        <v>3544</v>
      </c>
      <c r="B1310" s="64" t="s">
        <v>4297</v>
      </c>
      <c r="C1310" s="63" t="s">
        <v>46</v>
      </c>
      <c r="D1310" s="64" t="str">
        <f aca="false">TRIM(LEFT('Offshore - Melbourne'!A324,FIND(CHAR(10),'Offshore - Melbourne'!A324&amp;CHAR(10))-1))</f>
        <v>Le Cordon Bleu Australia</v>
      </c>
      <c r="E1310" s="63" t="str">
        <f aca="false">'Offshore - Melbourne'!C334&amp;""</f>
        <v>2 years</v>
      </c>
      <c r="F1310" s="63" t="str">
        <f aca="false">IF('Offshore - Melbourne'!D334="","Belum tercatat",'Offshore - Melbourne'!D334)</f>
        <v>Term</v>
      </c>
      <c r="G1310" s="65" t="n">
        <f aca="false">IF('Offshore - Melbourne'!E334="","-",'Offshore - Melbourne'!E334)</f>
        <v>6818.75</v>
      </c>
      <c r="H1310" s="63" t="n">
        <f aca="false">IF(ISNUMBER(K1310),COUNTIFS($J$6:$J$1854,J1310,$K$6:$K$1854,"&lt;"&amp;K1310)+1,"-")</f>
        <v>1</v>
      </c>
      <c r="I1310" s="64" t="str">
        <f aca="false">IF('Offshore - Melbourne'!E334="","Harga belum tersedia - hubungi konsultan TEG",IF(M1310=2,"Saat ini tidak menerima pendaftaran siswa internasional baru",IF(M1310=1,"Harga perlu dikonfirmasi ke sekolah"&amp;IF(""="","","; "&amp;""),"")))</f>
        <v/>
      </c>
      <c r="J1310" s="0" t="s">
        <v>4346</v>
      </c>
      <c r="K1310" s="0" t="n">
        <f aca="false">IF(M1310=2,"",IF(ISNUMBER(SEARCH("rata-rata:",'Offshore - Melbourne'!N334)),VALUE(MID('Offshore - Melbourne'!N334,SEARCH("rata-rata:",'Offshore - Melbourne'!N334)+11,FIND(";",'Offshore - Melbourne'!N334&amp;";",SEARCH("rata-rata:",'Offshore - Melbourne'!N334))-SEARCH("rata-rata:",'Offshore - Melbourne'!N334)-11)),IF('Offshore - Melbourne'!D334="Semester",'Offshore - Melbourne'!E334*2,IF('Offshore - Melbourne'!D334="Trimester",'Offshore - Melbourne'!E334*3,IF('Offshore - Melbourne'!D334="Term",'Offshore - Melbourne'!E334*4,IF('Offshore - Melbourne'!D334="Unit",'Offshore - Melbourne'!E334*8,""))))))</f>
        <v>27275</v>
      </c>
      <c r="L1310" s="0" t="n">
        <f aca="false">IF(AND(ISNUMBER('Offshore - Melbourne'!E334),ISNUMBER(K1310),ISNUMBER('Offshore - Melbourne'!F334),ISNUMBER('Offshore - Melbourne'!G334),OR('Offshore - Melbourne'!F334&lt;&gt;0,ISNUMBER(SEARCH("Material 0 terverifikasi",'Offshore - Melbourne'!N334))),OR('Offshore - Melbourne'!G334&lt;&gt;0,ISNUMBER(SEARCH("Enrolment 0 terverifikasi",'Offshore - Melbourne'!N334)))),1,0)</f>
        <v>0</v>
      </c>
      <c r="M1310" s="0" t="n">
        <f aca="false">IF(OR('Offshore - Melbourne'!E334="",ISNUMBER(SEARCH("BSB80120",'Offshore - Melbourne'!B334&amp;'Offshore - Melbourne'!N334)),ISNUMBER(SEARCH("Management (Learning)",'Offshore - Melbourne'!B334))),2,IF(ISNUMBER(SEARCH("CEK:",'Offshore - Melbourne'!N334)),1,0))</f>
        <v>0</v>
      </c>
    </row>
    <row r="1311" customFormat="false" ht="15" hidden="false" customHeight="false" outlineLevel="0" collapsed="false">
      <c r="A1311" s="63" t="s">
        <v>3544</v>
      </c>
      <c r="B1311" s="64" t="s">
        <v>4297</v>
      </c>
      <c r="C1311" s="63" t="s">
        <v>46</v>
      </c>
      <c r="D1311" s="64" t="str">
        <f aca="false">TRIM(LEFT('Offshore - Melbourne'!A556,FIND(CHAR(10),'Offshore - Melbourne'!A556&amp;CHAR(10))-1))</f>
        <v>William Angliss Institute</v>
      </c>
      <c r="E1311" s="63" t="str">
        <f aca="false">'Offshore - Melbourne'!C556&amp;""</f>
        <v>2 years</v>
      </c>
      <c r="F1311" s="63" t="str">
        <f aca="false">IF('Offshore - Melbourne'!D556="","Belum tercatat",'Offshore - Melbourne'!D556)</f>
        <v>Term</v>
      </c>
      <c r="G1311" s="65" t="n">
        <f aca="false">IF('Offshore - Melbourne'!E556="","-",'Offshore - Melbourne'!E556)</f>
        <v>7490</v>
      </c>
      <c r="H1311" s="63" t="n">
        <f aca="false">IF(ISNUMBER(K1311),COUNTIFS($J$6:$J$1854,J1311,$K$6:$K$1854,"&lt;"&amp;K1311)+1,"-")</f>
        <v>2</v>
      </c>
      <c r="I1311" s="64" t="str">
        <f aca="false">IF('Offshore - Melbourne'!E556="","Harga belum tersedia - hubungi konsultan TEG",IF(M1311=2,"Saat ini tidak menerima pendaftaran siswa internasional baru",IF(M1311=1,"Harga perlu dikonfirmasi ke sekolah"&amp;IF(""="","","; "&amp;""),"")))</f>
        <v/>
      </c>
      <c r="J1311" s="0" t="s">
        <v>4346</v>
      </c>
      <c r="K1311" s="0" t="n">
        <f aca="false">IF(M1311=2,"",IF(ISNUMBER(SEARCH("rata-rata:",'Offshore - Melbourne'!N556)),VALUE(MID('Offshore - Melbourne'!N556,SEARCH("rata-rata:",'Offshore - Melbourne'!N556)+11,FIND(";",'Offshore - Melbourne'!N556&amp;";",SEARCH("rata-rata:",'Offshore - Melbourne'!N556))-SEARCH("rata-rata:",'Offshore - Melbourne'!N556)-11)),IF('Offshore - Melbourne'!D556="Semester",'Offshore - Melbourne'!E556*2,IF('Offshore - Melbourne'!D556="Trimester",'Offshore - Melbourne'!E556*3,IF('Offshore - Melbourne'!D556="Term",'Offshore - Melbourne'!E556*4,IF('Offshore - Melbourne'!D556="Unit",'Offshore - Melbourne'!E556*8,""))))))</f>
        <v>29960</v>
      </c>
      <c r="L1311" s="0" t="n">
        <f aca="false">IF(AND(ISNUMBER('Offshore - Melbourne'!E556),ISNUMBER(K1311),ISNUMBER('Offshore - Melbourne'!F556),ISNUMBER('Offshore - Melbourne'!G556),OR('Offshore - Melbourne'!F556&lt;&gt;0,ISNUMBER(SEARCH("Material 0 terverifikasi",'Offshore - Melbourne'!N556))),OR('Offshore - Melbourne'!G556&lt;&gt;0,ISNUMBER(SEARCH("Enrolment 0 terverifikasi",'Offshore - Melbourne'!N556)))),1,0)</f>
        <v>1</v>
      </c>
      <c r="M1311" s="0" t="n">
        <f aca="false">IF(OR('Offshore - Melbourne'!E556="",ISNUMBER(SEARCH("BSB80120",'Offshore - Melbourne'!B556&amp;'Offshore - Melbourne'!N556)),ISNUMBER(SEARCH("Management (Learning)",'Offshore - Melbourne'!B556))),2,IF(ISNUMBER(SEARCH("CEK:",'Offshore - Melbourne'!N556)),1,0))</f>
        <v>0</v>
      </c>
    </row>
    <row r="1312" customFormat="false" ht="15" hidden="false" customHeight="false" outlineLevel="0" collapsed="false">
      <c r="A1312" s="63" t="s">
        <v>3544</v>
      </c>
      <c r="B1312" s="64" t="s">
        <v>4297</v>
      </c>
      <c r="C1312" s="63" t="s">
        <v>46</v>
      </c>
      <c r="D1312" s="64" t="str">
        <f aca="false">TRIM(LEFT('Offshore - Melbourne'!A443,FIND(CHAR(10),'Offshore - Melbourne'!A443&amp;CHAR(10))-1))</f>
        <v>Torrens University Australia</v>
      </c>
      <c r="E1312" s="63" t="str">
        <f aca="false">'Offshore - Melbourne'!C534&amp;""</f>
        <v>2 years</v>
      </c>
      <c r="F1312" s="63" t="str">
        <f aca="false">IF('Offshore - Melbourne'!D534="","Belum tercatat",'Offshore - Melbourne'!D534)</f>
        <v>Term</v>
      </c>
      <c r="G1312" s="65" t="n">
        <f aca="false">IF('Offshore - Melbourne'!E534="","-",'Offshore - Melbourne'!E534)</f>
        <v>10495</v>
      </c>
      <c r="H1312" s="63" t="n">
        <f aca="false">IF(ISNUMBER(K1312),COUNTIFS($J$6:$J$1854,J1312,$K$6:$K$1854,"&lt;"&amp;K1312)+1,"-")</f>
        <v>3</v>
      </c>
      <c r="I1312" s="64" t="str">
        <f aca="false">IF('Offshore - Melbourne'!E534="","Harga belum tersedia - hubungi konsultan TEG",IF(M1312=2,"Saat ini tidak menerima pendaftaran siswa internasional baru",IF(M1312=1,"Harga perlu dikonfirmasi ke sekolah"&amp;IF(""="","","; "&amp;""),"")))</f>
        <v>Harga perlu dikonfirmasi ke sekolah</v>
      </c>
      <c r="J1312" s="0" t="s">
        <v>4346</v>
      </c>
      <c r="K1312" s="0" t="n">
        <f aca="false">IF(M1312=2,"",IF(ISNUMBER(SEARCH("rata-rata:",'Offshore - Melbourne'!N534)),VALUE(MID('Offshore - Melbourne'!N534,SEARCH("rata-rata:",'Offshore - Melbourne'!N534)+11,FIND(";",'Offshore - Melbourne'!N534&amp;";",SEARCH("rata-rata:",'Offshore - Melbourne'!N534))-SEARCH("rata-rata:",'Offshore - Melbourne'!N534)-11)),IF('Offshore - Melbourne'!D534="Semester",'Offshore - Melbourne'!E534*2,IF('Offshore - Melbourne'!D534="Trimester",'Offshore - Melbourne'!E534*3,IF('Offshore - Melbourne'!D534="Term",'Offshore - Melbourne'!E534*4,IF('Offshore - Melbourne'!D534="Unit",'Offshore - Melbourne'!E534*8,""))))))</f>
        <v>41980</v>
      </c>
      <c r="L1312" s="0" t="n">
        <f aca="false">IF(AND(ISNUMBER('Offshore - Melbourne'!E534),ISNUMBER(K1312),ISNUMBER('Offshore - Melbourne'!F534),ISNUMBER('Offshore - Melbourne'!G534),OR('Offshore - Melbourne'!F534&lt;&gt;0,ISNUMBER(SEARCH("Material 0 terverifikasi",'Offshore - Melbourne'!N534))),OR('Offshore - Melbourne'!G534&lt;&gt;0,ISNUMBER(SEARCH("Enrolment 0 terverifikasi",'Offshore - Melbourne'!N534)))),1,0)</f>
        <v>0</v>
      </c>
      <c r="M1312" s="0" t="n">
        <f aca="false">IF(OR('Offshore - Melbourne'!E534="",ISNUMBER(SEARCH("BSB80120",'Offshore - Melbourne'!B534&amp;'Offshore - Melbourne'!N534)),ISNUMBER(SEARCH("Management (Learning)",'Offshore - Melbourne'!B534))),2,IF(ISNUMBER(SEARCH("CEK:",'Offshore - Melbourne'!N534)),1,0))</f>
        <v>1</v>
      </c>
    </row>
    <row r="1313" customFormat="false" ht="15" hidden="false" customHeight="false" outlineLevel="0" collapsed="false">
      <c r="A1313" s="61" t="s">
        <v>4347</v>
      </c>
      <c r="B1313" s="62"/>
      <c r="C1313" s="62"/>
      <c r="D1313" s="62"/>
      <c r="E1313" s="62"/>
      <c r="F1313" s="62"/>
      <c r="G1313" s="62"/>
      <c r="H1313" s="62"/>
      <c r="I1313" s="62"/>
    </row>
    <row r="1314" customFormat="false" ht="15" hidden="false" customHeight="false" outlineLevel="0" collapsed="false">
      <c r="A1314" s="63" t="s">
        <v>3573</v>
      </c>
      <c r="B1314" s="64" t="s">
        <v>4297</v>
      </c>
      <c r="C1314" s="63" t="s">
        <v>41</v>
      </c>
      <c r="D1314" s="64" t="str">
        <f aca="false">TRIM(LEFT('Offshore - Perth'!A74,FIND(CHAR(10),'Offshore - Perth'!A74&amp;CHAR(10))-1))</f>
        <v>Greenwich College</v>
      </c>
      <c r="E1314" s="63" t="str">
        <f aca="false">'Offshore - Perth'!C81&amp;""</f>
        <v>110 weeks</v>
      </c>
      <c r="F1314" s="63" t="str">
        <f aca="false">IF('Offshore - Perth'!D81="","Belum tercatat",'Offshore - Perth'!D81)</f>
        <v>Term</v>
      </c>
      <c r="G1314" s="65" t="n">
        <f aca="false">IF('Offshore - Perth'!E81="","-",'Offshore - Perth'!E81)</f>
        <v>1950</v>
      </c>
      <c r="H1314" s="63" t="n">
        <f aca="false">IF(ISNUMBER(K1314),COUNTIFS($J$6:$J$1854,J1314,$K$6:$K$1854,"&lt;"&amp;K1314)+1,"-")</f>
        <v>1</v>
      </c>
      <c r="I1314" s="64" t="str">
        <f aca="false">IF('Offshore - Perth'!E81="","Harga belum tersedia - hubungi konsultan TEG",IF(M1314=2,"Saat ini tidak menerima pendaftaran siswa internasional baru",IF(M1314=1,"Harga perlu dikonfirmasi ke sekolah"&amp;IF(""="","","; "&amp;""),"")))</f>
        <v/>
      </c>
      <c r="J1314" s="0" t="s">
        <v>4348</v>
      </c>
      <c r="K1314" s="0" t="n">
        <f aca="false">IF(M1314=2,"",IF(ISNUMBER(SEARCH("rata-rata:",'Offshore - Perth'!N81)),VALUE(MID('Offshore - Perth'!N81,SEARCH("rata-rata:",'Offshore - Perth'!N81)+11,FIND(";",'Offshore - Perth'!N81&amp;";",SEARCH("rata-rata:",'Offshore - Perth'!N81))-SEARCH("rata-rata:",'Offshore - Perth'!N81)-11)),IF('Offshore - Perth'!D81="Semester",'Offshore - Perth'!E81*2,IF('Offshore - Perth'!D81="Trimester",'Offshore - Perth'!E81*3,IF('Offshore - Perth'!D81="Term",'Offshore - Perth'!E81*4,IF('Offshore - Perth'!D81="Unit",'Offshore - Perth'!E81*8,""))))))</f>
        <v>7800</v>
      </c>
      <c r="L1314" s="0" t="n">
        <f aca="false">IF(AND(ISNUMBER('Offshore - Perth'!E81),ISNUMBER(K1314),ISNUMBER('Offshore - Perth'!F81),ISNUMBER('Offshore - Perth'!G81),OR('Offshore - Perth'!F81&lt;&gt;0,ISNUMBER(SEARCH("Material 0 terverifikasi",'Offshore - Perth'!N81))),OR('Offshore - Perth'!G81&lt;&gt;0,ISNUMBER(SEARCH("Enrolment 0 terverifikasi",'Offshore - Perth'!N81)))),1,0)</f>
        <v>1</v>
      </c>
      <c r="M1314" s="0" t="n">
        <f aca="false">IF(OR('Offshore - Perth'!E81="",ISNUMBER(SEARCH("BSB80120",'Offshore - Perth'!B81&amp;'Offshore - Perth'!N81)),ISNUMBER(SEARCH("Management (Learning)",'Offshore - Perth'!B81))),2,IF(ISNUMBER(SEARCH("CEK:",'Offshore - Perth'!N81)),1,0))</f>
        <v>0</v>
      </c>
    </row>
    <row r="1315" customFormat="false" ht="28.35" hidden="false" customHeight="false" outlineLevel="0" collapsed="false">
      <c r="A1315" s="63" t="s">
        <v>3573</v>
      </c>
      <c r="B1315" s="64" t="s">
        <v>4297</v>
      </c>
      <c r="C1315" s="63" t="s">
        <v>41</v>
      </c>
      <c r="D1315" s="64" t="str">
        <f aca="false">TRIM(LEFT('Offshore - Perth'!A106,FIND(CHAR(10),'Offshore - Perth'!A106&amp;CHAR(10))-1))</f>
        <v>Keystone College of Business and Technology (KCBT)</v>
      </c>
      <c r="E1315" s="63" t="str">
        <f aca="false">'Offshore - Perth'!C115&amp;""</f>
        <v>2 years</v>
      </c>
      <c r="F1315" s="63" t="str">
        <f aca="false">IF('Offshore - Perth'!D115="","Belum tercatat",'Offshore - Perth'!D115)</f>
        <v>Term</v>
      </c>
      <c r="G1315" s="65" t="n">
        <f aca="false">IF('Offshore - Perth'!E115="","-",'Offshore - Perth'!E115)</f>
        <v>2500</v>
      </c>
      <c r="H1315" s="63" t="n">
        <f aca="false">IF(ISNUMBER(K1315),COUNTIFS($J$6:$J$1854,J1315,$K$6:$K$1854,"&lt;"&amp;K1315)+1,"-")</f>
        <v>2</v>
      </c>
      <c r="I1315" s="64" t="str">
        <f aca="false">IF('Offshore - Perth'!E115="","Harga belum tersedia - hubungi konsultan TEG",IF(M1315=2,"Saat ini tidak menerima pendaftaran siswa internasional baru",IF(M1315=1,"Harga perlu dikonfirmasi ke sekolah"&amp;IF(""="","","; "&amp;""),"")))</f>
        <v/>
      </c>
      <c r="J1315" s="0" t="s">
        <v>4348</v>
      </c>
      <c r="K1315" s="0" t="n">
        <f aca="false">IF(M1315=2,"",IF(ISNUMBER(SEARCH("rata-rata:",'Offshore - Perth'!N115)),VALUE(MID('Offshore - Perth'!N115,SEARCH("rata-rata:",'Offshore - Perth'!N115)+11,FIND(";",'Offshore - Perth'!N115&amp;";",SEARCH("rata-rata:",'Offshore - Perth'!N115))-SEARCH("rata-rata:",'Offshore - Perth'!N115)-11)),IF('Offshore - Perth'!D115="Semester",'Offshore - Perth'!E115*2,IF('Offshore - Perth'!D115="Trimester",'Offshore - Perth'!E115*3,IF('Offshore - Perth'!D115="Term",'Offshore - Perth'!E115*4,IF('Offshore - Perth'!D115="Unit",'Offshore - Perth'!E115*8,""))))))</f>
        <v>10000</v>
      </c>
      <c r="L1315" s="0" t="n">
        <f aca="false">IF(AND(ISNUMBER('Offshore - Perth'!E115),ISNUMBER(K1315),ISNUMBER('Offshore - Perth'!F115),ISNUMBER('Offshore - Perth'!G115),OR('Offshore - Perth'!F115&lt;&gt;0,ISNUMBER(SEARCH("Material 0 terverifikasi",'Offshore - Perth'!N115))),OR('Offshore - Perth'!G115&lt;&gt;0,ISNUMBER(SEARCH("Enrolment 0 terverifikasi",'Offshore - Perth'!N115)))),1,0)</f>
        <v>1</v>
      </c>
      <c r="M1315" s="0" t="n">
        <f aca="false">IF(OR('Offshore - Perth'!E115="",ISNUMBER(SEARCH("BSB80120",'Offshore - Perth'!B115&amp;'Offshore - Perth'!N115)),ISNUMBER(SEARCH("Management (Learning)",'Offshore - Perth'!B115))),2,IF(ISNUMBER(SEARCH("CEK:",'Offshore - Perth'!N115)),1,0))</f>
        <v>0</v>
      </c>
    </row>
    <row r="1316" customFormat="false" ht="15" hidden="false" customHeight="false" outlineLevel="0" collapsed="false">
      <c r="A1316" s="63" t="s">
        <v>3573</v>
      </c>
      <c r="B1316" s="64" t="s">
        <v>4297</v>
      </c>
      <c r="C1316" s="63" t="s">
        <v>41</v>
      </c>
      <c r="D1316" s="64" t="str">
        <f aca="false">TRIM(LEFT('Offshore - Perth'!A120,FIND(CHAR(10),'Offshore - Perth'!A120&amp;CHAR(10))-1))</f>
        <v>Kingston International College</v>
      </c>
      <c r="E1316" s="63" t="str">
        <f aca="false">'Offshore - Perth'!C120&amp;""</f>
        <v>2 years</v>
      </c>
      <c r="F1316" s="63" t="str">
        <f aca="false">IF('Offshore - Perth'!D120="","Belum tercatat",'Offshore - Perth'!D120)</f>
        <v>Term</v>
      </c>
      <c r="G1316" s="65" t="n">
        <f aca="false">IF('Offshore - Perth'!E120="","-",'Offshore - Perth'!E120)</f>
        <v>2625</v>
      </c>
      <c r="H1316" s="63" t="n">
        <f aca="false">IF(ISNUMBER(K1316),COUNTIFS($J$6:$J$1854,J1316,$K$6:$K$1854,"&lt;"&amp;K1316)+1,"-")</f>
        <v>3</v>
      </c>
      <c r="I1316" s="64" t="str">
        <f aca="false">IF('Offshore - Perth'!E120="","Harga belum tersedia - hubungi konsultan TEG",IF(M1316=2,"Saat ini tidak menerima pendaftaran siswa internasional baru",IF(M1316=1,"Harga perlu dikonfirmasi ke sekolah"&amp;IF(""="","","; "&amp;""),"")))</f>
        <v/>
      </c>
      <c r="J1316" s="0" t="s">
        <v>4348</v>
      </c>
      <c r="K1316" s="0" t="n">
        <f aca="false">IF(M1316=2,"",IF(ISNUMBER(SEARCH("rata-rata:",'Offshore - Perth'!N120)),VALUE(MID('Offshore - Perth'!N120,SEARCH("rata-rata:",'Offshore - Perth'!N120)+11,FIND(";",'Offshore - Perth'!N120&amp;";",SEARCH("rata-rata:",'Offshore - Perth'!N120))-SEARCH("rata-rata:",'Offshore - Perth'!N120)-11)),IF('Offshore - Perth'!D120="Semester",'Offshore - Perth'!E120*2,IF('Offshore - Perth'!D120="Trimester",'Offshore - Perth'!E120*3,IF('Offshore - Perth'!D120="Term",'Offshore - Perth'!E120*4,IF('Offshore - Perth'!D120="Unit",'Offshore - Perth'!E120*8,""))))))</f>
        <v>10500</v>
      </c>
      <c r="L1316" s="0" t="n">
        <f aca="false">IF(AND(ISNUMBER('Offshore - Perth'!E120),ISNUMBER(K1316),ISNUMBER('Offshore - Perth'!F120),ISNUMBER('Offshore - Perth'!G120),OR('Offshore - Perth'!F120&lt;&gt;0,ISNUMBER(SEARCH("Material 0 terverifikasi",'Offshore - Perth'!N120))),OR('Offshore - Perth'!G120&lt;&gt;0,ISNUMBER(SEARCH("Enrolment 0 terverifikasi",'Offshore - Perth'!N120)))),1,0)</f>
        <v>1</v>
      </c>
      <c r="M1316" s="0" t="n">
        <f aca="false">IF(OR('Offshore - Perth'!E120="",ISNUMBER(SEARCH("BSB80120",'Offshore - Perth'!B120&amp;'Offshore - Perth'!N120)),ISNUMBER(SEARCH("Management (Learning)",'Offshore - Perth'!B120))),2,IF(ISNUMBER(SEARCH("CEK:",'Offshore - Perth'!N120)),1,0))</f>
        <v>0</v>
      </c>
    </row>
    <row r="1317" customFormat="false" ht="15" hidden="false" customHeight="false" outlineLevel="0" collapsed="false">
      <c r="A1317" s="63" t="s">
        <v>3573</v>
      </c>
      <c r="B1317" s="64" t="s">
        <v>4297</v>
      </c>
      <c r="C1317" s="63" t="s">
        <v>41</v>
      </c>
      <c r="D1317" s="64" t="str">
        <f aca="false">TRIM(LEFT('Offshore - Perth'!A59,FIND(CHAR(10),'Offshore - Perth'!A59&amp;CHAR(10))-1))</f>
        <v>Global College Australasia</v>
      </c>
      <c r="E1317" s="63" t="str">
        <f aca="false">'Offshore - Perth'!C63&amp;""</f>
        <v>2 years</v>
      </c>
      <c r="F1317" s="63" t="str">
        <f aca="false">IF('Offshore - Perth'!D63="","Belum tercatat",'Offshore - Perth'!D63)</f>
        <v>Term</v>
      </c>
      <c r="G1317" s="65" t="n">
        <f aca="false">IF('Offshore - Perth'!E63="","-",'Offshore - Perth'!E63)</f>
        <v>3120</v>
      </c>
      <c r="H1317" s="63" t="n">
        <f aca="false">IF(ISNUMBER(K1317),COUNTIFS($J$6:$J$1854,J1317,$K$6:$K$1854,"&lt;"&amp;K1317)+1,"-")</f>
        <v>4</v>
      </c>
      <c r="I1317" s="64" t="str">
        <f aca="false">IF('Offshore - Perth'!E63="","Harga belum tersedia - hubungi konsultan TEG",IF(M1317=2,"Saat ini tidak menerima pendaftaran siswa internasional baru",IF(M1317=1,"Harga perlu dikonfirmasi ke sekolah"&amp;IF(""="","","; "&amp;""),"")))</f>
        <v/>
      </c>
      <c r="J1317" s="0" t="s">
        <v>4348</v>
      </c>
      <c r="K1317" s="0" t="n">
        <f aca="false">IF(M1317=2,"",IF(ISNUMBER(SEARCH("rata-rata:",'Offshore - Perth'!N63)),VALUE(MID('Offshore - Perth'!N63,SEARCH("rata-rata:",'Offshore - Perth'!N63)+11,FIND(";",'Offshore - Perth'!N63&amp;";",SEARCH("rata-rata:",'Offshore - Perth'!N63))-SEARCH("rata-rata:",'Offshore - Perth'!N63)-11)),IF('Offshore - Perth'!D63="Semester",'Offshore - Perth'!E63*2,IF('Offshore - Perth'!D63="Trimester",'Offshore - Perth'!E63*3,IF('Offshore - Perth'!D63="Term",'Offshore - Perth'!E63*4,IF('Offshore - Perth'!D63="Unit",'Offshore - Perth'!E63*8,""))))))</f>
        <v>12480</v>
      </c>
      <c r="L1317" s="0" t="n">
        <f aca="false">IF(AND(ISNUMBER('Offshore - Perth'!E63),ISNUMBER(K1317),ISNUMBER('Offshore - Perth'!F63),ISNUMBER('Offshore - Perth'!G63),OR('Offshore - Perth'!F63&lt;&gt;0,ISNUMBER(SEARCH("Material 0 terverifikasi",'Offshore - Perth'!N63))),OR('Offshore - Perth'!G63&lt;&gt;0,ISNUMBER(SEARCH("Enrolment 0 terverifikasi",'Offshore - Perth'!N63)))),1,0)</f>
        <v>1</v>
      </c>
      <c r="M1317" s="0" t="n">
        <f aca="false">IF(OR('Offshore - Perth'!E63="",ISNUMBER(SEARCH("BSB80120",'Offshore - Perth'!B63&amp;'Offshore - Perth'!N63)),ISNUMBER(SEARCH("Management (Learning)",'Offshore - Perth'!B63))),2,IF(ISNUMBER(SEARCH("CEK:",'Offshore - Perth'!N63)),1,0))</f>
        <v>0</v>
      </c>
    </row>
    <row r="1318" customFormat="false" ht="15" hidden="false" customHeight="false" outlineLevel="0" collapsed="false">
      <c r="A1318" s="63" t="s">
        <v>3573</v>
      </c>
      <c r="B1318" s="64" t="s">
        <v>4297</v>
      </c>
      <c r="C1318" s="63" t="s">
        <v>41</v>
      </c>
      <c r="D1318" s="64" t="str">
        <f aca="false">TRIM(LEFT('Offshore - Perth'!A135,FIND(CHAR(10),'Offshore - Perth'!A135&amp;CHAR(10))-1))</f>
        <v>Skills Institute Australia</v>
      </c>
      <c r="E1318" s="63" t="str">
        <f aca="false">'Offshore - Perth'!C135&amp;""</f>
        <v>2 years</v>
      </c>
      <c r="F1318" s="63" t="str">
        <f aca="false">IF('Offshore - Perth'!D135="","Belum tercatat",'Offshore - Perth'!D135)</f>
        <v>Term</v>
      </c>
      <c r="G1318" s="65" t="n">
        <f aca="false">IF('Offshore - Perth'!E135="","-",'Offshore - Perth'!E135)</f>
        <v>3300</v>
      </c>
      <c r="H1318" s="63" t="n">
        <f aca="false">IF(ISNUMBER(K1318),COUNTIFS($J$6:$J$1854,J1318,$K$6:$K$1854,"&lt;"&amp;K1318)+1,"-")</f>
        <v>5</v>
      </c>
      <c r="I1318" s="64" t="str">
        <f aca="false">IF('Offshore - Perth'!E135="","Harga belum tersedia - hubungi konsultan TEG",IF(M1318=2,"Saat ini tidak menerima pendaftaran siswa internasional baru",IF(M1318=1,"Harga perlu dikonfirmasi ke sekolah"&amp;IF(""="","","; "&amp;""),"")))</f>
        <v/>
      </c>
      <c r="J1318" s="0" t="s">
        <v>4348</v>
      </c>
      <c r="K1318" s="0" t="n">
        <f aca="false">IF(M1318=2,"",IF(ISNUMBER(SEARCH("rata-rata:",'Offshore - Perth'!N135)),VALUE(MID('Offshore - Perth'!N135,SEARCH("rata-rata:",'Offshore - Perth'!N135)+11,FIND(";",'Offshore - Perth'!N135&amp;";",SEARCH("rata-rata:",'Offshore - Perth'!N135))-SEARCH("rata-rata:",'Offshore - Perth'!N135)-11)),IF('Offshore - Perth'!D135="Semester",'Offshore - Perth'!E135*2,IF('Offshore - Perth'!D135="Trimester",'Offshore - Perth'!E135*3,IF('Offshore - Perth'!D135="Term",'Offshore - Perth'!E135*4,IF('Offshore - Perth'!D135="Unit",'Offshore - Perth'!E135*8,""))))))</f>
        <v>13200</v>
      </c>
      <c r="L1318" s="0" t="n">
        <f aca="false">IF(AND(ISNUMBER('Offshore - Perth'!E135),ISNUMBER(K1318),ISNUMBER('Offshore - Perth'!F135),ISNUMBER('Offshore - Perth'!G135),OR('Offshore - Perth'!F135&lt;&gt;0,ISNUMBER(SEARCH("Material 0 terverifikasi",'Offshore - Perth'!N135))),OR('Offshore - Perth'!G135&lt;&gt;0,ISNUMBER(SEARCH("Enrolment 0 terverifikasi",'Offshore - Perth'!N135)))),1,0)</f>
        <v>1</v>
      </c>
      <c r="M1318" s="0" t="n">
        <f aca="false">IF(OR('Offshore - Perth'!E135="",ISNUMBER(SEARCH("BSB80120",'Offshore - Perth'!B135&amp;'Offshore - Perth'!N135)),ISNUMBER(SEARCH("Management (Learning)",'Offshore - Perth'!B135))),2,IF(ISNUMBER(SEARCH("CEK:",'Offshore - Perth'!N135)),1,0))</f>
        <v>0</v>
      </c>
    </row>
    <row r="1319" customFormat="false" ht="15" hidden="false" customHeight="false" outlineLevel="0" collapsed="false">
      <c r="A1319" s="61" t="s">
        <v>4349</v>
      </c>
      <c r="B1319" s="62"/>
      <c r="C1319" s="62"/>
      <c r="D1319" s="62"/>
      <c r="E1319" s="62"/>
      <c r="F1319" s="62"/>
      <c r="G1319" s="62"/>
      <c r="H1319" s="62"/>
      <c r="I1319" s="62"/>
    </row>
    <row r="1320" customFormat="false" ht="15" hidden="false" customHeight="false" outlineLevel="0" collapsed="false">
      <c r="A1320" s="63" t="s">
        <v>3573</v>
      </c>
      <c r="B1320" s="64" t="s">
        <v>4297</v>
      </c>
      <c r="C1320" s="63" t="s">
        <v>42</v>
      </c>
      <c r="D1320" s="64" t="str">
        <f aca="false">TRIM(LEFT('Offshore - Perth'!A6,FIND(CHAR(10),'Offshore - Perth'!A6&amp;CHAR(10))-1))</f>
        <v>Academies Australasia</v>
      </c>
      <c r="E1320" s="63" t="str">
        <f aca="false">'Offshore - Perth'!C12&amp;""</f>
        <v>1,5 year</v>
      </c>
      <c r="F1320" s="63" t="str">
        <f aca="false">IF('Offshore - Perth'!D12="","Belum tercatat",'Offshore - Perth'!D12)</f>
        <v>Term</v>
      </c>
      <c r="G1320" s="65" t="n">
        <f aca="false">IF('Offshore - Perth'!E12="","-",'Offshore - Perth'!E12)</f>
        <v>1500</v>
      </c>
      <c r="H1320" s="63" t="n">
        <f aca="false">IF(ISNUMBER(K1320),COUNTIFS($J$6:$J$1854,J1320,$K$6:$K$1854,"&lt;"&amp;K1320)+1,"-")</f>
        <v>1</v>
      </c>
      <c r="I1320" s="64" t="str">
        <f aca="false">IF('Offshore - Perth'!E12="","Harga belum tersedia - hubungi konsultan TEG",IF(M1320=2,"Saat ini tidak menerima pendaftaran siswa internasional baru",IF(M1320=1,"Harga perlu dikonfirmasi ke sekolah"&amp;IF(""="","","; "&amp;""),"")))</f>
        <v>Harga perlu dikonfirmasi ke sekolah</v>
      </c>
      <c r="J1320" s="0" t="s">
        <v>4350</v>
      </c>
      <c r="K1320" s="0" t="n">
        <f aca="false">IF(M1320=2,"",IF(ISNUMBER(SEARCH("rata-rata:",'Offshore - Perth'!N12)),VALUE(MID('Offshore - Perth'!N12,SEARCH("rata-rata:",'Offshore - Perth'!N12)+11,FIND(";",'Offshore - Perth'!N12&amp;";",SEARCH("rata-rata:",'Offshore - Perth'!N12))-SEARCH("rata-rata:",'Offshore - Perth'!N12)-11)),IF('Offshore - Perth'!D12="Semester",'Offshore - Perth'!E12*2,IF('Offshore - Perth'!D12="Trimester",'Offshore - Perth'!E12*3,IF('Offshore - Perth'!D12="Term",'Offshore - Perth'!E12*4,IF('Offshore - Perth'!D12="Unit",'Offshore - Perth'!E12*8,""))))))</f>
        <v>6000</v>
      </c>
      <c r="L1320" s="0" t="n">
        <f aca="false">IF(AND(ISNUMBER('Offshore - Perth'!E12),ISNUMBER(K1320),ISNUMBER('Offshore - Perth'!F12),ISNUMBER('Offshore - Perth'!G12),OR('Offshore - Perth'!F12&lt;&gt;0,ISNUMBER(SEARCH("Material 0 terverifikasi",'Offshore - Perth'!N12))),OR('Offshore - Perth'!G12&lt;&gt;0,ISNUMBER(SEARCH("Enrolment 0 terverifikasi",'Offshore - Perth'!N12)))),1,0)</f>
        <v>1</v>
      </c>
      <c r="M1320" s="0" t="n">
        <f aca="false">IF(OR('Offshore - Perth'!E12="",ISNUMBER(SEARCH("BSB80120",'Offshore - Perth'!B12&amp;'Offshore - Perth'!N12)),ISNUMBER(SEARCH("Management (Learning)",'Offshore - Perth'!B12))),2,IF(ISNUMBER(SEARCH("CEK:",'Offshore - Perth'!N12)),1,0))</f>
        <v>1</v>
      </c>
    </row>
    <row r="1321" customFormat="false" ht="15" hidden="false" customHeight="false" outlineLevel="0" collapsed="false">
      <c r="A1321" s="63" t="s">
        <v>3573</v>
      </c>
      <c r="B1321" s="64" t="s">
        <v>4297</v>
      </c>
      <c r="C1321" s="63" t="s">
        <v>42</v>
      </c>
      <c r="D1321" s="64" t="str">
        <f aca="false">TRIM(LEFT('Offshore - Perth'!A74,FIND(CHAR(10),'Offshore - Perth'!A74&amp;CHAR(10))-1))</f>
        <v>Greenwich College</v>
      </c>
      <c r="E1321" s="63" t="str">
        <f aca="false">'Offshore - Perth'!C82&amp;""</f>
        <v>144 weeks</v>
      </c>
      <c r="F1321" s="63" t="str">
        <f aca="false">IF('Offshore - Perth'!D82="","Belum tercatat",'Offshore - Perth'!D82)</f>
        <v>Term</v>
      </c>
      <c r="G1321" s="65" t="n">
        <f aca="false">IF('Offshore - Perth'!E82="","-",'Offshore - Perth'!E82)</f>
        <v>1950</v>
      </c>
      <c r="H1321" s="63" t="n">
        <f aca="false">IF(ISNUMBER(K1321),COUNTIFS($J$6:$J$1854,J1321,$K$6:$K$1854,"&lt;"&amp;K1321)+1,"-")</f>
        <v>2</v>
      </c>
      <c r="I1321" s="64" t="str">
        <f aca="false">IF('Offshore - Perth'!E82="","Harga belum tersedia - hubungi konsultan TEG",IF(M1321=2,"Saat ini tidak menerima pendaftaran siswa internasional baru",IF(M1321=1,"Harga perlu dikonfirmasi ke sekolah"&amp;IF(""="","","; "&amp;""),"")))</f>
        <v/>
      </c>
      <c r="J1321" s="0" t="s">
        <v>4350</v>
      </c>
      <c r="K1321" s="0" t="n">
        <f aca="false">IF(M1321=2,"",IF(ISNUMBER(SEARCH("rata-rata:",'Offshore - Perth'!N82)),VALUE(MID('Offshore - Perth'!N82,SEARCH("rata-rata:",'Offshore - Perth'!N82)+11,FIND(";",'Offshore - Perth'!N82&amp;";",SEARCH("rata-rata:",'Offshore - Perth'!N82))-SEARCH("rata-rata:",'Offshore - Perth'!N82)-11)),IF('Offshore - Perth'!D82="Semester",'Offshore - Perth'!E82*2,IF('Offshore - Perth'!D82="Trimester",'Offshore - Perth'!E82*3,IF('Offshore - Perth'!D82="Term",'Offshore - Perth'!E82*4,IF('Offshore - Perth'!D82="Unit",'Offshore - Perth'!E82*8,""))))))</f>
        <v>7800</v>
      </c>
      <c r="L1321" s="0" t="n">
        <f aca="false">IF(AND(ISNUMBER('Offshore - Perth'!E82),ISNUMBER(K1321),ISNUMBER('Offshore - Perth'!F82),ISNUMBER('Offshore - Perth'!G82),OR('Offshore - Perth'!F82&lt;&gt;0,ISNUMBER(SEARCH("Material 0 terverifikasi",'Offshore - Perth'!N82))),OR('Offshore - Perth'!G82&lt;&gt;0,ISNUMBER(SEARCH("Enrolment 0 terverifikasi",'Offshore - Perth'!N82)))),1,0)</f>
        <v>1</v>
      </c>
      <c r="M1321" s="0" t="n">
        <f aca="false">IF(OR('Offshore - Perth'!E82="",ISNUMBER(SEARCH("BSB80120",'Offshore - Perth'!B82&amp;'Offshore - Perth'!N82)),ISNUMBER(SEARCH("Management (Learning)",'Offshore - Perth'!B82))),2,IF(ISNUMBER(SEARCH("CEK:",'Offshore - Perth'!N82)),1,0))</f>
        <v>0</v>
      </c>
    </row>
    <row r="1322" customFormat="false" ht="28.35" hidden="false" customHeight="false" outlineLevel="0" collapsed="false">
      <c r="A1322" s="63" t="s">
        <v>3573</v>
      </c>
      <c r="B1322" s="64" t="s">
        <v>4297</v>
      </c>
      <c r="C1322" s="63" t="s">
        <v>42</v>
      </c>
      <c r="D1322" s="64" t="str">
        <f aca="false">TRIM(LEFT('Offshore - Perth'!A106,FIND(CHAR(10),'Offshore - Perth'!A106&amp;CHAR(10))-1))</f>
        <v>Keystone College of Business and Technology (KCBT)</v>
      </c>
      <c r="E1322" s="63" t="str">
        <f aca="false">'Offshore - Perth'!C116&amp;""</f>
        <v>2,5 years</v>
      </c>
      <c r="F1322" s="63" t="str">
        <f aca="false">IF('Offshore - Perth'!D116="","Belum tercatat",'Offshore - Perth'!D116)</f>
        <v>Term</v>
      </c>
      <c r="G1322" s="65" t="n">
        <f aca="false">IF('Offshore - Perth'!E116="","-",'Offshore - Perth'!E116)</f>
        <v>2500</v>
      </c>
      <c r="H1322" s="63" t="n">
        <f aca="false">IF(ISNUMBER(K1322),COUNTIFS($J$6:$J$1854,J1322,$K$6:$K$1854,"&lt;"&amp;K1322)+1,"-")</f>
        <v>3</v>
      </c>
      <c r="I1322" s="64" t="str">
        <f aca="false">IF('Offshore - Perth'!E116="","Harga belum tersedia - hubungi konsultan TEG",IF(M1322=2,"Saat ini tidak menerima pendaftaran siswa internasional baru",IF(M1322=1,"Harga perlu dikonfirmasi ke sekolah"&amp;IF(""="","","; "&amp;""),"")))</f>
        <v/>
      </c>
      <c r="J1322" s="0" t="s">
        <v>4350</v>
      </c>
      <c r="K1322" s="0" t="n">
        <f aca="false">IF(M1322=2,"",IF(ISNUMBER(SEARCH("rata-rata:",'Offshore - Perth'!N116)),VALUE(MID('Offshore - Perth'!N116,SEARCH("rata-rata:",'Offshore - Perth'!N116)+11,FIND(";",'Offshore - Perth'!N116&amp;";",SEARCH("rata-rata:",'Offshore - Perth'!N116))-SEARCH("rata-rata:",'Offshore - Perth'!N116)-11)),IF('Offshore - Perth'!D116="Semester",'Offshore - Perth'!E116*2,IF('Offshore - Perth'!D116="Trimester",'Offshore - Perth'!E116*3,IF('Offshore - Perth'!D116="Term",'Offshore - Perth'!E116*4,IF('Offshore - Perth'!D116="Unit",'Offshore - Perth'!E116*8,""))))))</f>
        <v>10000</v>
      </c>
      <c r="L1322" s="0" t="n">
        <f aca="false">IF(AND(ISNUMBER('Offshore - Perth'!E116),ISNUMBER(K1322),ISNUMBER('Offshore - Perth'!F116),ISNUMBER('Offshore - Perth'!G116),OR('Offshore - Perth'!F116&lt;&gt;0,ISNUMBER(SEARCH("Material 0 terverifikasi",'Offshore - Perth'!N116))),OR('Offshore - Perth'!G116&lt;&gt;0,ISNUMBER(SEARCH("Enrolment 0 terverifikasi",'Offshore - Perth'!N116)))),1,0)</f>
        <v>1</v>
      </c>
      <c r="M1322" s="0" t="n">
        <f aca="false">IF(OR('Offshore - Perth'!E116="",ISNUMBER(SEARCH("BSB80120",'Offshore - Perth'!B116&amp;'Offshore - Perth'!N116)),ISNUMBER(SEARCH("Management (Learning)",'Offshore - Perth'!B116))),2,IF(ISNUMBER(SEARCH("CEK:",'Offshore - Perth'!N116)),1,0))</f>
        <v>0</v>
      </c>
    </row>
    <row r="1323" customFormat="false" ht="15" hidden="false" customHeight="false" outlineLevel="0" collapsed="false">
      <c r="A1323" s="63" t="s">
        <v>3573</v>
      </c>
      <c r="B1323" s="64" t="s">
        <v>4297</v>
      </c>
      <c r="C1323" s="63" t="s">
        <v>42</v>
      </c>
      <c r="D1323" s="64" t="str">
        <f aca="false">TRIM(LEFT('Offshore - Perth'!A120,FIND(CHAR(10),'Offshore - Perth'!A120&amp;CHAR(10))-1))</f>
        <v>Kingston International College</v>
      </c>
      <c r="E1323" s="63" t="str">
        <f aca="false">'Offshore - Perth'!C121&amp;""</f>
        <v>2,5 years</v>
      </c>
      <c r="F1323" s="63" t="str">
        <f aca="false">IF('Offshore - Perth'!D121="","Belum tercatat",'Offshore - Perth'!D121)</f>
        <v>Term</v>
      </c>
      <c r="G1323" s="65" t="n">
        <f aca="false">IF('Offshore - Perth'!E121="","-",'Offshore - Perth'!E121)</f>
        <v>2625</v>
      </c>
      <c r="H1323" s="63" t="n">
        <f aca="false">IF(ISNUMBER(K1323),COUNTIFS($J$6:$J$1854,J1323,$K$6:$K$1854,"&lt;"&amp;K1323)+1,"-")</f>
        <v>4</v>
      </c>
      <c r="I1323" s="64" t="str">
        <f aca="false">IF('Offshore - Perth'!E121="","Harga belum tersedia - hubungi konsultan TEG",IF(M1323=2,"Saat ini tidak menerima pendaftaran siswa internasional baru",IF(M1323=1,"Harga perlu dikonfirmasi ke sekolah"&amp;IF(""="","","; "&amp;""),"")))</f>
        <v/>
      </c>
      <c r="J1323" s="0" t="s">
        <v>4350</v>
      </c>
      <c r="K1323" s="0" t="n">
        <f aca="false">IF(M1323=2,"",IF(ISNUMBER(SEARCH("rata-rata:",'Offshore - Perth'!N121)),VALUE(MID('Offshore - Perth'!N121,SEARCH("rata-rata:",'Offshore - Perth'!N121)+11,FIND(";",'Offshore - Perth'!N121&amp;";",SEARCH("rata-rata:",'Offshore - Perth'!N121))-SEARCH("rata-rata:",'Offshore - Perth'!N121)-11)),IF('Offshore - Perth'!D121="Semester",'Offshore - Perth'!E121*2,IF('Offshore - Perth'!D121="Trimester",'Offshore - Perth'!E121*3,IF('Offshore - Perth'!D121="Term",'Offshore - Perth'!E121*4,IF('Offshore - Perth'!D121="Unit",'Offshore - Perth'!E121*8,""))))))</f>
        <v>10500</v>
      </c>
      <c r="L1323" s="0" t="n">
        <f aca="false">IF(AND(ISNUMBER('Offshore - Perth'!E121),ISNUMBER(K1323),ISNUMBER('Offshore - Perth'!F121),ISNUMBER('Offshore - Perth'!G121),OR('Offshore - Perth'!F121&lt;&gt;0,ISNUMBER(SEARCH("Material 0 terverifikasi",'Offshore - Perth'!N121))),OR('Offshore - Perth'!G121&lt;&gt;0,ISNUMBER(SEARCH("Enrolment 0 terverifikasi",'Offshore - Perth'!N121)))),1,0)</f>
        <v>1</v>
      </c>
      <c r="M1323" s="0" t="n">
        <f aca="false">IF(OR('Offshore - Perth'!E121="",ISNUMBER(SEARCH("BSB80120",'Offshore - Perth'!B121&amp;'Offshore - Perth'!N121)),ISNUMBER(SEARCH("Management (Learning)",'Offshore - Perth'!B121))),2,IF(ISNUMBER(SEARCH("CEK:",'Offshore - Perth'!N121)),1,0))</f>
        <v>0</v>
      </c>
    </row>
    <row r="1324" customFormat="false" ht="15" hidden="false" customHeight="false" outlineLevel="0" collapsed="false">
      <c r="A1324" s="63" t="s">
        <v>3573</v>
      </c>
      <c r="B1324" s="64" t="s">
        <v>4297</v>
      </c>
      <c r="C1324" s="63" t="s">
        <v>42</v>
      </c>
      <c r="D1324" s="64" t="str">
        <f aca="false">TRIM(LEFT('Offshore - Perth'!A59,FIND(CHAR(10),'Offshore - Perth'!A59&amp;CHAR(10))-1))</f>
        <v>Global College Australasia</v>
      </c>
      <c r="E1324" s="63" t="str">
        <f aca="false">'Offshore - Perth'!C64&amp;""</f>
        <v>2,5 years</v>
      </c>
      <c r="F1324" s="63" t="str">
        <f aca="false">IF('Offshore - Perth'!D64="","Belum tercatat",'Offshore - Perth'!D64)</f>
        <v>Term</v>
      </c>
      <c r="G1324" s="65" t="n">
        <f aca="false">IF('Offshore - Perth'!E64="","-",'Offshore - Perth'!E64)</f>
        <v>3195</v>
      </c>
      <c r="H1324" s="63" t="n">
        <f aca="false">IF(ISNUMBER(K1324),COUNTIFS($J$6:$J$1854,J1324,$K$6:$K$1854,"&lt;"&amp;K1324)+1,"-")</f>
        <v>5</v>
      </c>
      <c r="I1324" s="64" t="str">
        <f aca="false">IF('Offshore - Perth'!E64="","Harga belum tersedia - hubungi konsultan TEG",IF(M1324=2,"Saat ini tidak menerima pendaftaran siswa internasional baru",IF(M1324=1,"Harga perlu dikonfirmasi ke sekolah"&amp;IF(""="","","; "&amp;""),"")))</f>
        <v/>
      </c>
      <c r="J1324" s="0" t="s">
        <v>4350</v>
      </c>
      <c r="K1324" s="0" t="n">
        <f aca="false">IF(M1324=2,"",IF(ISNUMBER(SEARCH("rata-rata:",'Offshore - Perth'!N64)),VALUE(MID('Offshore - Perth'!N64,SEARCH("rata-rata:",'Offshore - Perth'!N64)+11,FIND(";",'Offshore - Perth'!N64&amp;";",SEARCH("rata-rata:",'Offshore - Perth'!N64))-SEARCH("rata-rata:",'Offshore - Perth'!N64)-11)),IF('Offshore - Perth'!D64="Semester",'Offshore - Perth'!E64*2,IF('Offshore - Perth'!D64="Trimester",'Offshore - Perth'!E64*3,IF('Offshore - Perth'!D64="Term",'Offshore - Perth'!E64*4,IF('Offshore - Perth'!D64="Unit",'Offshore - Perth'!E64*8,""))))))</f>
        <v>12780</v>
      </c>
      <c r="L1324" s="0" t="n">
        <f aca="false">IF(AND(ISNUMBER('Offshore - Perth'!E64),ISNUMBER(K1324),ISNUMBER('Offshore - Perth'!F64),ISNUMBER('Offshore - Perth'!G64),OR('Offshore - Perth'!F64&lt;&gt;0,ISNUMBER(SEARCH("Material 0 terverifikasi",'Offshore - Perth'!N64))),OR('Offshore - Perth'!G64&lt;&gt;0,ISNUMBER(SEARCH("Enrolment 0 terverifikasi",'Offshore - Perth'!N64)))),1,0)</f>
        <v>1</v>
      </c>
      <c r="M1324" s="0" t="n">
        <f aca="false">IF(OR('Offshore - Perth'!E64="",ISNUMBER(SEARCH("BSB80120",'Offshore - Perth'!B64&amp;'Offshore - Perth'!N64)),ISNUMBER(SEARCH("Management (Learning)",'Offshore - Perth'!B64))),2,IF(ISNUMBER(SEARCH("CEK:",'Offshore - Perth'!N64)),1,0))</f>
        <v>0</v>
      </c>
    </row>
    <row r="1325" customFormat="false" ht="15" hidden="false" customHeight="false" outlineLevel="0" collapsed="false">
      <c r="A1325" s="63" t="s">
        <v>3573</v>
      </c>
      <c r="B1325" s="64" t="s">
        <v>4297</v>
      </c>
      <c r="C1325" s="63" t="s">
        <v>42</v>
      </c>
      <c r="D1325" s="64" t="str">
        <f aca="false">TRIM(LEFT('Offshore - Perth'!A135,FIND(CHAR(10),'Offshore - Perth'!A135&amp;CHAR(10))-1))</f>
        <v>Skills Institute Australia</v>
      </c>
      <c r="E1325" s="63" t="str">
        <f aca="false">'Offshore - Perth'!C136&amp;""</f>
        <v>3 years</v>
      </c>
      <c r="F1325" s="63" t="str">
        <f aca="false">IF('Offshore - Perth'!D136="","Belum tercatat",'Offshore - Perth'!D136)</f>
        <v>Term</v>
      </c>
      <c r="G1325" s="65" t="n">
        <f aca="false">IF('Offshore - Perth'!E136="","-",'Offshore - Perth'!E136)</f>
        <v>3300</v>
      </c>
      <c r="H1325" s="63" t="n">
        <f aca="false">IF(ISNUMBER(K1325),COUNTIFS($J$6:$J$1854,J1325,$K$6:$K$1854,"&lt;"&amp;K1325)+1,"-")</f>
        <v>6</v>
      </c>
      <c r="I1325" s="64" t="str">
        <f aca="false">IF('Offshore - Perth'!E136="","Harga belum tersedia - hubungi konsultan TEG",IF(M1325=2,"Saat ini tidak menerima pendaftaran siswa internasional baru",IF(M1325=1,"Harga perlu dikonfirmasi ke sekolah"&amp;IF(""="","","; "&amp;""),"")))</f>
        <v/>
      </c>
      <c r="J1325" s="0" t="s">
        <v>4350</v>
      </c>
      <c r="K1325" s="0" t="n">
        <f aca="false">IF(M1325=2,"",IF(ISNUMBER(SEARCH("rata-rata:",'Offshore - Perth'!N136)),VALUE(MID('Offshore - Perth'!N136,SEARCH("rata-rata:",'Offshore - Perth'!N136)+11,FIND(";",'Offshore - Perth'!N136&amp;";",SEARCH("rata-rata:",'Offshore - Perth'!N136))-SEARCH("rata-rata:",'Offshore - Perth'!N136)-11)),IF('Offshore - Perth'!D136="Semester",'Offshore - Perth'!E136*2,IF('Offshore - Perth'!D136="Trimester",'Offshore - Perth'!E136*3,IF('Offshore - Perth'!D136="Term",'Offshore - Perth'!E136*4,IF('Offshore - Perth'!D136="Unit",'Offshore - Perth'!E136*8,""))))))</f>
        <v>13200</v>
      </c>
      <c r="L1325" s="0" t="n">
        <f aca="false">IF(AND(ISNUMBER('Offshore - Perth'!E136),ISNUMBER(K1325),ISNUMBER('Offshore - Perth'!F136),ISNUMBER('Offshore - Perth'!G136),OR('Offshore - Perth'!F136&lt;&gt;0,ISNUMBER(SEARCH("Material 0 terverifikasi",'Offshore - Perth'!N136))),OR('Offshore - Perth'!G136&lt;&gt;0,ISNUMBER(SEARCH("Enrolment 0 terverifikasi",'Offshore - Perth'!N136)))),1,0)</f>
        <v>1</v>
      </c>
      <c r="M1325" s="0" t="n">
        <f aca="false">IF(OR('Offshore - Perth'!E136="",ISNUMBER(SEARCH("BSB80120",'Offshore - Perth'!B136&amp;'Offshore - Perth'!N136)),ISNUMBER(SEARCH("Management (Learning)",'Offshore - Perth'!B136))),2,IF(ISNUMBER(SEARCH("CEK:",'Offshore - Perth'!N136)),1,0))</f>
        <v>0</v>
      </c>
    </row>
    <row r="1326" customFormat="false" ht="15" hidden="false" customHeight="false" outlineLevel="0" collapsed="false">
      <c r="A1326" s="61" t="s">
        <v>4351</v>
      </c>
      <c r="B1326" s="62"/>
      <c r="C1326" s="62"/>
      <c r="D1326" s="62"/>
      <c r="E1326" s="62"/>
      <c r="F1326" s="62"/>
      <c r="G1326" s="62"/>
      <c r="H1326" s="62"/>
      <c r="I1326" s="62"/>
    </row>
    <row r="1327" customFormat="false" ht="15" hidden="false" customHeight="false" outlineLevel="0" collapsed="false">
      <c r="A1327" s="63" t="s">
        <v>3573</v>
      </c>
      <c r="B1327" s="64" t="s">
        <v>4297</v>
      </c>
      <c r="C1327" s="63" t="s">
        <v>43</v>
      </c>
      <c r="D1327" s="64" t="str">
        <f aca="false">TRIM(LEFT('Offshore - Perth'!A6,FIND(CHAR(10),'Offshore - Perth'!A6&amp;CHAR(10))-1))</f>
        <v>Academies Australasia</v>
      </c>
      <c r="E1327" s="63" t="str">
        <f aca="false">'Offshore - Perth'!C7&amp;""</f>
        <v>3 years</v>
      </c>
      <c r="F1327" s="63" t="str">
        <f aca="false">IF('Offshore - Perth'!D7="","Belum tercatat",'Offshore - Perth'!D7)</f>
        <v>Term</v>
      </c>
      <c r="G1327" s="65" t="n">
        <f aca="false">IF('Offshore - Perth'!E7="","-",'Offshore - Perth'!E7)</f>
        <v>5000</v>
      </c>
      <c r="H1327" s="63" t="n">
        <f aca="false">IF(ISNUMBER(K1327),COUNTIFS($J$6:$J$1854,J1327,$K$6:$K$1854,"&lt;"&amp;K1327)+1,"-")</f>
        <v>1</v>
      </c>
      <c r="I1327" s="64" t="str">
        <f aca="false">IF('Offshore - Perth'!E7="","Harga belum tersedia - hubungi konsultan TEG",IF(M1327=2,"Saat ini tidak menerima pendaftaran siswa internasional baru",IF(M1327=1,"Harga perlu dikonfirmasi ke sekolah"&amp;IF(""="","","; "&amp;""),"")))</f>
        <v/>
      </c>
      <c r="J1327" s="0" t="s">
        <v>4352</v>
      </c>
      <c r="K1327" s="0" t="n">
        <f aca="false">IF(M1327=2,"",IF(ISNUMBER(SEARCH("rata-rata:",'Offshore - Perth'!N7)),VALUE(MID('Offshore - Perth'!N7,SEARCH("rata-rata:",'Offshore - Perth'!N7)+11,FIND(";",'Offshore - Perth'!N7&amp;";",SEARCH("rata-rata:",'Offshore - Perth'!N7))-SEARCH("rata-rata:",'Offshore - Perth'!N7)-11)),IF('Offshore - Perth'!D7="Semester",'Offshore - Perth'!E7*2,IF('Offshore - Perth'!D7="Trimester",'Offshore - Perth'!E7*3,IF('Offshore - Perth'!D7="Term",'Offshore - Perth'!E7*4,IF('Offshore - Perth'!D7="Unit",'Offshore - Perth'!E7*8,""))))))</f>
        <v>20000</v>
      </c>
      <c r="L1327" s="0" t="n">
        <f aca="false">IF(AND(ISNUMBER('Offshore - Perth'!E7),ISNUMBER(K1327),ISNUMBER('Offshore - Perth'!F7),ISNUMBER('Offshore - Perth'!G7),OR('Offshore - Perth'!F7&lt;&gt;0,ISNUMBER(SEARCH("Material 0 terverifikasi",'Offshore - Perth'!N7))),OR('Offshore - Perth'!G7&lt;&gt;0,ISNUMBER(SEARCH("Enrolment 0 terverifikasi",'Offshore - Perth'!N7)))),1,0)</f>
        <v>1</v>
      </c>
      <c r="M1327" s="0" t="n">
        <f aca="false">IF(OR('Offshore - Perth'!E7="",ISNUMBER(SEARCH("BSB80120",'Offshore - Perth'!B7&amp;'Offshore - Perth'!N7)),ISNUMBER(SEARCH("Management (Learning)",'Offshore - Perth'!B7))),2,IF(ISNUMBER(SEARCH("CEK:",'Offshore - Perth'!N7)),1,0))</f>
        <v>0</v>
      </c>
    </row>
    <row r="1328" customFormat="false" ht="15" hidden="false" customHeight="false" outlineLevel="0" collapsed="false">
      <c r="A1328" s="61" t="s">
        <v>4353</v>
      </c>
      <c r="B1328" s="62"/>
      <c r="C1328" s="62"/>
      <c r="D1328" s="62"/>
      <c r="E1328" s="62"/>
      <c r="F1328" s="62"/>
      <c r="G1328" s="62"/>
      <c r="H1328" s="62"/>
      <c r="I1328" s="62"/>
    </row>
    <row r="1329" customFormat="false" ht="15" hidden="false" customHeight="false" outlineLevel="0" collapsed="false">
      <c r="A1329" s="63" t="s">
        <v>3533</v>
      </c>
      <c r="B1329" s="64" t="s">
        <v>4297</v>
      </c>
      <c r="C1329" s="63" t="s">
        <v>39</v>
      </c>
      <c r="D1329" s="64" t="str">
        <f aca="false">TRIM(LEFT('Offshore - Sydney'!A539,FIND(CHAR(10),'Offshore - Sydney'!A539&amp;CHAR(10))-1))</f>
        <v>Le Cordon Bleu Australia</v>
      </c>
      <c r="E1329" s="63" t="str">
        <f aca="false">'Offshore - Sydney'!C539&amp;""</f>
        <v>1,5 years</v>
      </c>
      <c r="F1329" s="63" t="str">
        <f aca="false">IF('Offshore - Sydney'!D539="","Belum tercatat",'Offshore - Sydney'!D539)</f>
        <v>Term</v>
      </c>
      <c r="G1329" s="65" t="n">
        <f aca="false">IF('Offshore - Sydney'!E539="","-",'Offshore - Sydney'!E539)</f>
        <v>6997.5</v>
      </c>
      <c r="H1329" s="63" t="n">
        <f aca="false">IF(ISNUMBER(K1329),COUNTIFS($J$6:$J$1854,J1329,$K$6:$K$1854,"&lt;"&amp;K1329)+1,"-")</f>
        <v>1</v>
      </c>
      <c r="I1329" s="64" t="str">
        <f aca="false">IF('Offshore - Sydney'!E539="","Harga belum tersedia - hubungi konsultan TEG",IF(M1329=2,"Saat ini tidak menerima pendaftaran siswa internasional baru",IF(M1329=1,"Harga perlu dikonfirmasi ke sekolah"&amp;IF(""="","","; "&amp;""),"")))</f>
        <v/>
      </c>
      <c r="J1329" s="0" t="s">
        <v>4354</v>
      </c>
      <c r="K1329" s="0" t="n">
        <f aca="false">IF(M1329=2,"",IF(ISNUMBER(SEARCH("rata-rata:",'Offshore - Sydney'!N539)),VALUE(MID('Offshore - Sydney'!N539,SEARCH("rata-rata:",'Offshore - Sydney'!N539)+11,FIND(";",'Offshore - Sydney'!N539&amp;";",SEARCH("rata-rata:",'Offshore - Sydney'!N539))-SEARCH("rata-rata:",'Offshore - Sydney'!N539)-11)),IF('Offshore - Sydney'!D539="Semester",'Offshore - Sydney'!E539*2,IF('Offshore - Sydney'!D539="Trimester",'Offshore - Sydney'!E539*3,IF('Offshore - Sydney'!D539="Term",'Offshore - Sydney'!E539*4,IF('Offshore - Sydney'!D539="Unit",'Offshore - Sydney'!E539*8,""))))))</f>
        <v>27990</v>
      </c>
      <c r="L1329" s="0" t="n">
        <f aca="false">IF(AND(ISNUMBER('Offshore - Sydney'!E539),ISNUMBER(K1329),ISNUMBER('Offshore - Sydney'!F539),ISNUMBER('Offshore - Sydney'!G539),OR('Offshore - Sydney'!F539&lt;&gt;0,ISNUMBER(SEARCH("Material 0 terverifikasi",'Offshore - Sydney'!N539))),OR('Offshore - Sydney'!G539&lt;&gt;0,ISNUMBER(SEARCH("Enrolment 0 terverifikasi",'Offshore - Sydney'!N539)))),1,0)</f>
        <v>0</v>
      </c>
      <c r="M1329" s="0" t="n">
        <f aca="false">IF(OR('Offshore - Sydney'!E539="",ISNUMBER(SEARCH("BSB80120",'Offshore - Sydney'!B539&amp;'Offshore - Sydney'!N539)),ISNUMBER(SEARCH("Management (Learning)",'Offshore - Sydney'!B539))),2,IF(ISNUMBER(SEARCH("CEK:",'Offshore - Sydney'!N539)),1,0))</f>
        <v>0</v>
      </c>
    </row>
    <row r="1330" customFormat="false" ht="15" hidden="false" customHeight="false" outlineLevel="0" collapsed="false">
      <c r="A1330" s="61" t="s">
        <v>4355</v>
      </c>
      <c r="B1330" s="62"/>
      <c r="C1330" s="62"/>
      <c r="D1330" s="62"/>
      <c r="E1330" s="62"/>
      <c r="F1330" s="62"/>
      <c r="G1330" s="62"/>
      <c r="H1330" s="62"/>
      <c r="I1330" s="62"/>
    </row>
    <row r="1331" customFormat="false" ht="15" hidden="false" customHeight="false" outlineLevel="0" collapsed="false">
      <c r="A1331" s="63" t="s">
        <v>3533</v>
      </c>
      <c r="B1331" s="64" t="s">
        <v>4297</v>
      </c>
      <c r="C1331" s="63" t="s">
        <v>40</v>
      </c>
      <c r="D1331" s="64" t="str">
        <f aca="false">TRIM(LEFT('Offshore - Sydney'!A959,FIND(CHAR(10),'Offshore - Sydney'!A959&amp;CHAR(10))-1))</f>
        <v>Wells International College (WIC)</v>
      </c>
      <c r="E1331" s="63" t="str">
        <f aca="false">'Offshore - Sydney'!C961&amp;""</f>
        <v>1.5 years</v>
      </c>
      <c r="F1331" s="63" t="str">
        <f aca="false">IF('Offshore - Sydney'!D961="","Belum tercatat",'Offshore - Sydney'!D961)</f>
        <v>Term</v>
      </c>
      <c r="G1331" s="65" t="n">
        <f aca="false">IF('Offshore - Sydney'!E961="","-",'Offshore - Sydney'!E961)</f>
        <v>2000</v>
      </c>
      <c r="H1331" s="63" t="n">
        <f aca="false">IF(ISNUMBER(K1331),COUNTIFS($J$6:$J$1854,J1331,$K$6:$K$1854,"&lt;"&amp;K1331)+1,"-")</f>
        <v>1</v>
      </c>
      <c r="I1331" s="64" t="str">
        <f aca="false">IF('Offshore - Sydney'!E961="","Harga belum tersedia - hubungi konsultan TEG",IF(M1331=2,"Saat ini tidak menerima pendaftaran siswa internasional baru",IF(M1331=1,"Harga perlu dikonfirmasi ke sekolah"&amp;IF(""="","","; "&amp;""),"")))</f>
        <v/>
      </c>
      <c r="J1331" s="0" t="s">
        <v>4356</v>
      </c>
      <c r="K1331" s="0" t="n">
        <f aca="false">IF(M1331=2,"",IF(ISNUMBER(SEARCH("rata-rata:",'Offshore - Sydney'!N961)),VALUE(MID('Offshore - Sydney'!N961,SEARCH("rata-rata:",'Offshore - Sydney'!N961)+11,FIND(";",'Offshore - Sydney'!N961&amp;";",SEARCH("rata-rata:",'Offshore - Sydney'!N961))-SEARCH("rata-rata:",'Offshore - Sydney'!N961)-11)),IF('Offshore - Sydney'!D961="Semester",'Offshore - Sydney'!E961*2,IF('Offshore - Sydney'!D961="Trimester",'Offshore - Sydney'!E961*3,IF('Offshore - Sydney'!D961="Term",'Offshore - Sydney'!E961*4,IF('Offshore - Sydney'!D961="Unit",'Offshore - Sydney'!E961*8,""))))))</f>
        <v>8000</v>
      </c>
      <c r="L1331" s="0" t="n">
        <f aca="false">IF(AND(ISNUMBER('Offshore - Sydney'!E961),ISNUMBER(K1331),ISNUMBER('Offshore - Sydney'!F961),ISNUMBER('Offshore - Sydney'!G961),OR('Offshore - Sydney'!F961&lt;&gt;0,ISNUMBER(SEARCH("Material 0 terverifikasi",'Offshore - Sydney'!N961))),OR('Offshore - Sydney'!G961&lt;&gt;0,ISNUMBER(SEARCH("Enrolment 0 terverifikasi",'Offshore - Sydney'!N961)))),1,0)</f>
        <v>1</v>
      </c>
      <c r="M1331" s="0" t="n">
        <f aca="false">IF(OR('Offshore - Sydney'!E961="",ISNUMBER(SEARCH("BSB80120",'Offshore - Sydney'!B961&amp;'Offshore - Sydney'!N961)),ISNUMBER(SEARCH("Management (Learning)",'Offshore - Sydney'!B961))),2,IF(ISNUMBER(SEARCH("CEK:",'Offshore - Sydney'!N961)),1,0))</f>
        <v>0</v>
      </c>
    </row>
    <row r="1332" customFormat="false" ht="15" hidden="false" customHeight="false" outlineLevel="0" collapsed="false">
      <c r="A1332" s="63" t="s">
        <v>3533</v>
      </c>
      <c r="B1332" s="64" t="s">
        <v>4297</v>
      </c>
      <c r="C1332" s="63" t="s">
        <v>40</v>
      </c>
      <c r="D1332" s="64" t="str">
        <f aca="false">TRIM(LEFT('Offshore - Sydney'!A430,FIND(CHAR(10),'Offshore - Sydney'!A430&amp;CHAR(10))-1))</f>
        <v>George Brown College</v>
      </c>
      <c r="E1332" s="63" t="str">
        <f aca="false">'Offshore - Sydney'!C443&amp;""</f>
        <v>2 years</v>
      </c>
      <c r="F1332" s="63" t="str">
        <f aca="false">IF('Offshore - Sydney'!D443="","Belum tercatat",'Offshore - Sydney'!D443)</f>
        <v>Term</v>
      </c>
      <c r="G1332" s="65" t="n">
        <f aca="false">IF('Offshore - Sydney'!E443="","-",'Offshore - Sydney'!E443)</f>
        <v>2200</v>
      </c>
      <c r="H1332" s="63" t="n">
        <f aca="false">IF(ISNUMBER(K1332),COUNTIFS($J$6:$J$1854,J1332,$K$6:$K$1854,"&lt;"&amp;K1332)+1,"-")</f>
        <v>2</v>
      </c>
      <c r="I1332" s="64" t="str">
        <f aca="false">IF('Offshore - Sydney'!E443="","Harga belum tersedia - hubungi konsultan TEG",IF(M1332=2,"Saat ini tidak menerima pendaftaran siswa internasional baru",IF(M1332=1,"Harga perlu dikonfirmasi ke sekolah"&amp;IF(""="","","; "&amp;""),"")))</f>
        <v/>
      </c>
      <c r="J1332" s="0" t="s">
        <v>4356</v>
      </c>
      <c r="K1332" s="0" t="n">
        <f aca="false">IF(M1332=2,"",IF(ISNUMBER(SEARCH("rata-rata:",'Offshore - Sydney'!N443)),VALUE(MID('Offshore - Sydney'!N443,SEARCH("rata-rata:",'Offshore - Sydney'!N443)+11,FIND(";",'Offshore - Sydney'!N443&amp;";",SEARCH("rata-rata:",'Offshore - Sydney'!N443))-SEARCH("rata-rata:",'Offshore - Sydney'!N443)-11)),IF('Offshore - Sydney'!D443="Semester",'Offshore - Sydney'!E443*2,IF('Offshore - Sydney'!D443="Trimester",'Offshore - Sydney'!E443*3,IF('Offshore - Sydney'!D443="Term",'Offshore - Sydney'!E443*4,IF('Offshore - Sydney'!D443="Unit",'Offshore - Sydney'!E443*8,""))))))</f>
        <v>8800</v>
      </c>
      <c r="L1332" s="0" t="n">
        <f aca="false">IF(AND(ISNUMBER('Offshore - Sydney'!E443),ISNUMBER(K1332),ISNUMBER('Offshore - Sydney'!F443),ISNUMBER('Offshore - Sydney'!G443),OR('Offshore - Sydney'!F443&lt;&gt;0,ISNUMBER(SEARCH("Material 0 terverifikasi",'Offshore - Sydney'!N443))),OR('Offshore - Sydney'!G443&lt;&gt;0,ISNUMBER(SEARCH("Enrolment 0 terverifikasi",'Offshore - Sydney'!N443)))),1,0)</f>
        <v>1</v>
      </c>
      <c r="M1332" s="0" t="n">
        <f aca="false">IF(OR('Offshore - Sydney'!E443="",ISNUMBER(SEARCH("BSB80120",'Offshore - Sydney'!B443&amp;'Offshore - Sydney'!N443)),ISNUMBER(SEARCH("Management (Learning)",'Offshore - Sydney'!B443))),2,IF(ISNUMBER(SEARCH("CEK:",'Offshore - Sydney'!N443)),1,0))</f>
        <v>0</v>
      </c>
    </row>
    <row r="1333" customFormat="false" ht="15" hidden="false" customHeight="false" outlineLevel="0" collapsed="false">
      <c r="A1333" s="63" t="s">
        <v>3533</v>
      </c>
      <c r="B1333" s="64" t="s">
        <v>4297</v>
      </c>
      <c r="C1333" s="63" t="s">
        <v>40</v>
      </c>
      <c r="D1333" s="64" t="str">
        <f aca="false">TRIM(LEFT('Offshore - Sydney'!A414,FIND(CHAR(10),'Offshore - Sydney'!A414&amp;CHAR(10))-1))</f>
        <v>Evolution Hospitality Institute</v>
      </c>
      <c r="E1333" s="63" t="str">
        <f aca="false">'Offshore - Sydney'!C424&amp;""</f>
        <v>1 years</v>
      </c>
      <c r="F1333" s="63" t="str">
        <f aca="false">IF('Offshore - Sydney'!D424="","Belum tercatat",'Offshore - Sydney'!D424)</f>
        <v>Term</v>
      </c>
      <c r="G1333" s="65" t="n">
        <f aca="false">IF('Offshore - Sydney'!E424="","-",'Offshore - Sydney'!E424)</f>
        <v>2550</v>
      </c>
      <c r="H1333" s="63" t="n">
        <f aca="false">IF(ISNUMBER(K1333),COUNTIFS($J$6:$J$1854,J1333,$K$6:$K$1854,"&lt;"&amp;K1333)+1,"-")</f>
        <v>3</v>
      </c>
      <c r="I1333" s="64" t="str">
        <f aca="false">IF('Offshore - Sydney'!E424="","Harga belum tersedia - hubungi konsultan TEG",IF(M1333=2,"Saat ini tidak menerima pendaftaran siswa internasional baru",IF(M1333=1,"Harga perlu dikonfirmasi ke sekolah"&amp;IF(""="","","; "&amp;""),"")))</f>
        <v>Harga perlu dikonfirmasi ke sekolah</v>
      </c>
      <c r="J1333" s="0" t="s">
        <v>4356</v>
      </c>
      <c r="K1333" s="0" t="n">
        <f aca="false">IF(M1333=2,"",IF(ISNUMBER(SEARCH("rata-rata:",'Offshore - Sydney'!N424)),VALUE(MID('Offshore - Sydney'!N424,SEARCH("rata-rata:",'Offshore - Sydney'!N424)+11,FIND(";",'Offshore - Sydney'!N424&amp;";",SEARCH("rata-rata:",'Offshore - Sydney'!N424))-SEARCH("rata-rata:",'Offshore - Sydney'!N424)-11)),IF('Offshore - Sydney'!D424="Semester",'Offshore - Sydney'!E424*2,IF('Offshore - Sydney'!D424="Trimester",'Offshore - Sydney'!E424*3,IF('Offshore - Sydney'!D424="Term",'Offshore - Sydney'!E424*4,IF('Offshore - Sydney'!D424="Unit",'Offshore - Sydney'!E424*8,""))))))</f>
        <v>10200</v>
      </c>
      <c r="L1333" s="0" t="n">
        <f aca="false">IF(AND(ISNUMBER('Offshore - Sydney'!E424),ISNUMBER(K1333),ISNUMBER('Offshore - Sydney'!F424),ISNUMBER('Offshore - Sydney'!G424),OR('Offshore - Sydney'!F424&lt;&gt;0,ISNUMBER(SEARCH("Material 0 terverifikasi",'Offshore - Sydney'!N424))),OR('Offshore - Sydney'!G424&lt;&gt;0,ISNUMBER(SEARCH("Enrolment 0 terverifikasi",'Offshore - Sydney'!N424)))),1,0)</f>
        <v>1</v>
      </c>
      <c r="M1333" s="0" t="n">
        <f aca="false">IF(OR('Offshore - Sydney'!E424="",ISNUMBER(SEARCH("BSB80120",'Offshore - Sydney'!B424&amp;'Offshore - Sydney'!N424)),ISNUMBER(SEARCH("Management (Learning)",'Offshore - Sydney'!B424))),2,IF(ISNUMBER(SEARCH("CEK:",'Offshore - Sydney'!N424)),1,0))</f>
        <v>1</v>
      </c>
    </row>
    <row r="1334" customFormat="false" ht="15" hidden="false" customHeight="false" outlineLevel="0" collapsed="false">
      <c r="A1334" s="63" t="s">
        <v>3533</v>
      </c>
      <c r="B1334" s="64" t="s">
        <v>4297</v>
      </c>
      <c r="C1334" s="63" t="s">
        <v>40</v>
      </c>
      <c r="D1334" s="64" t="str">
        <f aca="false">TRIM(LEFT('Offshore - Sydney'!A551,FIND(CHAR(10),'Offshore - Sydney'!A551&amp;CHAR(10))-1))</f>
        <v>Le Culinaire Hospitality Institute</v>
      </c>
      <c r="E1334" s="63" t="str">
        <f aca="false">'Offshore - Sydney'!C558&amp;""</f>
        <v>1,5 years (6 terms)</v>
      </c>
      <c r="F1334" s="63" t="str">
        <f aca="false">IF('Offshore - Sydney'!D558="","Belum tercatat",'Offshore - Sydney'!D558)</f>
        <v>Term</v>
      </c>
      <c r="G1334" s="65" t="n">
        <f aca="false">IF('Offshore - Sydney'!E558="","-",'Offshore - Sydney'!E558)</f>
        <v>2800</v>
      </c>
      <c r="H1334" s="63" t="n">
        <f aca="false">IF(ISNUMBER(K1334),COUNTIFS($J$6:$J$1854,J1334,$K$6:$K$1854,"&lt;"&amp;K1334)+1,"-")</f>
        <v>4</v>
      </c>
      <c r="I1334" s="64" t="str">
        <f aca="false">IF('Offshore - Sydney'!E558="","Harga belum tersedia - hubungi konsultan TEG",IF(M1334=2,"Saat ini tidak menerima pendaftaran siswa internasional baru",IF(M1334=1,"Harga perlu dikonfirmasi ke sekolah"&amp;IF(""="","","; "&amp;""),"")))</f>
        <v/>
      </c>
      <c r="J1334" s="0" t="s">
        <v>4356</v>
      </c>
      <c r="K1334" s="0" t="n">
        <f aca="false">IF(M1334=2,"",IF(ISNUMBER(SEARCH("rata-rata:",'Offshore - Sydney'!N558)),VALUE(MID('Offshore - Sydney'!N558,SEARCH("rata-rata:",'Offshore - Sydney'!N558)+11,FIND(";",'Offshore - Sydney'!N558&amp;";",SEARCH("rata-rata:",'Offshore - Sydney'!N558))-SEARCH("rata-rata:",'Offshore - Sydney'!N558)-11)),IF('Offshore - Sydney'!D558="Semester",'Offshore - Sydney'!E558*2,IF('Offshore - Sydney'!D558="Trimester",'Offshore - Sydney'!E558*3,IF('Offshore - Sydney'!D558="Term",'Offshore - Sydney'!E558*4,IF('Offshore - Sydney'!D558="Unit",'Offshore - Sydney'!E558*8,""))))))</f>
        <v>11200</v>
      </c>
      <c r="L1334" s="0" t="n">
        <f aca="false">IF(AND(ISNUMBER('Offshore - Sydney'!E558),ISNUMBER(K1334),ISNUMBER('Offshore - Sydney'!F558),ISNUMBER('Offshore - Sydney'!G558),OR('Offshore - Sydney'!F558&lt;&gt;0,ISNUMBER(SEARCH("Material 0 terverifikasi",'Offshore - Sydney'!N558))),OR('Offshore - Sydney'!G558&lt;&gt;0,ISNUMBER(SEARCH("Enrolment 0 terverifikasi",'Offshore - Sydney'!N558)))),1,0)</f>
        <v>1</v>
      </c>
      <c r="M1334" s="0" t="n">
        <f aca="false">IF(OR('Offshore - Sydney'!E558="",ISNUMBER(SEARCH("BSB80120",'Offshore - Sydney'!B558&amp;'Offshore - Sydney'!N558)),ISNUMBER(SEARCH("Management (Learning)",'Offshore - Sydney'!B558))),2,IF(ISNUMBER(SEARCH("CEK:",'Offshore - Sydney'!N558)),1,0))</f>
        <v>0</v>
      </c>
    </row>
    <row r="1335" customFormat="false" ht="15" hidden="false" customHeight="false" outlineLevel="0" collapsed="false">
      <c r="A1335" s="63" t="s">
        <v>3533</v>
      </c>
      <c r="B1335" s="64" t="s">
        <v>4297</v>
      </c>
      <c r="C1335" s="63" t="s">
        <v>40</v>
      </c>
      <c r="D1335" s="64" t="str">
        <f aca="false">TRIM(LEFT('Offshore - Sydney'!A13,FIND(CHAR(10),'Offshore - Sydney'!A13&amp;CHAR(10))-1))</f>
        <v>ABM Further Education</v>
      </c>
      <c r="E1335" s="63" t="str">
        <f aca="false">'Offshore - Sydney'!C21&amp;""</f>
        <v>2 years</v>
      </c>
      <c r="F1335" s="63" t="str">
        <f aca="false">IF('Offshore - Sydney'!D21="","Belum tercatat",'Offshore - Sydney'!D21)</f>
        <v>Term</v>
      </c>
      <c r="G1335" s="65" t="n">
        <f aca="false">IF('Offshore - Sydney'!E21="","-",'Offshore - Sydney'!E21)</f>
        <v>3125</v>
      </c>
      <c r="H1335" s="63" t="n">
        <f aca="false">IF(ISNUMBER(K1335),COUNTIFS($J$6:$J$1854,J1335,$K$6:$K$1854,"&lt;"&amp;K1335)+1,"-")</f>
        <v>5</v>
      </c>
      <c r="I1335" s="64" t="str">
        <f aca="false">IF('Offshore - Sydney'!E21="","Harga belum tersedia - hubungi konsultan TEG",IF(M1335=2,"Saat ini tidak menerima pendaftaran siswa internasional baru",IF(M1335=1,"Harga perlu dikonfirmasi ke sekolah"&amp;IF(""="","","; "&amp;""),"")))</f>
        <v/>
      </c>
      <c r="J1335" s="0" t="s">
        <v>4356</v>
      </c>
      <c r="K1335" s="0" t="n">
        <f aca="false">IF(M1335=2,"",IF(ISNUMBER(SEARCH("rata-rata:",'Offshore - Sydney'!N21)),VALUE(MID('Offshore - Sydney'!N21,SEARCH("rata-rata:",'Offshore - Sydney'!N21)+11,FIND(";",'Offshore - Sydney'!N21&amp;";",SEARCH("rata-rata:",'Offshore - Sydney'!N21))-SEARCH("rata-rata:",'Offshore - Sydney'!N21)-11)),IF('Offshore - Sydney'!D21="Semester",'Offshore - Sydney'!E21*2,IF('Offshore - Sydney'!D21="Trimester",'Offshore - Sydney'!E21*3,IF('Offshore - Sydney'!D21="Term",'Offshore - Sydney'!E21*4,IF('Offshore - Sydney'!D21="Unit",'Offshore - Sydney'!E21*8,""))))))</f>
        <v>12500</v>
      </c>
      <c r="L1335" s="0" t="n">
        <f aca="false">IF(AND(ISNUMBER('Offshore - Sydney'!E21),ISNUMBER(K1335),ISNUMBER('Offshore - Sydney'!F21),ISNUMBER('Offshore - Sydney'!G21),OR('Offshore - Sydney'!F21&lt;&gt;0,ISNUMBER(SEARCH("Material 0 terverifikasi",'Offshore - Sydney'!N21))),OR('Offshore - Sydney'!G21&lt;&gt;0,ISNUMBER(SEARCH("Enrolment 0 terverifikasi",'Offshore - Sydney'!N21)))),1,0)</f>
        <v>1</v>
      </c>
      <c r="M1335" s="0" t="n">
        <f aca="false">IF(OR('Offshore - Sydney'!E21="",ISNUMBER(SEARCH("BSB80120",'Offshore - Sydney'!B21&amp;'Offshore - Sydney'!N21)),ISNUMBER(SEARCH("Management (Learning)",'Offshore - Sydney'!B21))),2,IF(ISNUMBER(SEARCH("CEK:",'Offshore - Sydney'!N21)),1,0))</f>
        <v>0</v>
      </c>
    </row>
    <row r="1336" customFormat="false" ht="15" hidden="false" customHeight="false" outlineLevel="0" collapsed="false">
      <c r="A1336" s="63" t="s">
        <v>3533</v>
      </c>
      <c r="B1336" s="64" t="s">
        <v>4297</v>
      </c>
      <c r="C1336" s="63" t="s">
        <v>40</v>
      </c>
      <c r="D1336" s="64" t="str">
        <f aca="false">TRIM(LEFT('Offshore - Sydney'!A529,FIND(CHAR(10),'Offshore - Sydney'!A529&amp;CHAR(10))-1))</f>
        <v>King's School of Culinary Arts</v>
      </c>
      <c r="E1336" s="63" t="str">
        <f aca="false">'Offshore - Sydney'!C535&amp;""</f>
        <v>78 weeks</v>
      </c>
      <c r="F1336" s="63" t="str">
        <f aca="false">IF('Offshore - Sydney'!D535="","Belum tercatat",'Offshore - Sydney'!D535)</f>
        <v>Term</v>
      </c>
      <c r="G1336" s="65" t="n">
        <f aca="false">IF('Offshore - Sydney'!E535="","-",'Offshore - Sydney'!E535)</f>
        <v>3300</v>
      </c>
      <c r="H1336" s="63" t="n">
        <f aca="false">IF(ISNUMBER(K1336),COUNTIFS($J$6:$J$1854,J1336,$K$6:$K$1854,"&lt;"&amp;K1336)+1,"-")</f>
        <v>6</v>
      </c>
      <c r="I1336" s="64" t="str">
        <f aca="false">IF('Offshore - Sydney'!E535="","Harga belum tersedia - hubungi konsultan TEG",IF(M1336=2,"Saat ini tidak menerima pendaftaran siswa internasional baru",IF(M1336=1,"Harga perlu dikonfirmasi ke sekolah"&amp;IF(""="","","; "&amp;""),"")))</f>
        <v/>
      </c>
      <c r="J1336" s="0" t="s">
        <v>4356</v>
      </c>
      <c r="K1336" s="0" t="n">
        <f aca="false">IF(M1336=2,"",IF(ISNUMBER(SEARCH("rata-rata:",'Offshore - Sydney'!N535)),VALUE(MID('Offshore - Sydney'!N535,SEARCH("rata-rata:",'Offshore - Sydney'!N535)+11,FIND(";",'Offshore - Sydney'!N535&amp;";",SEARCH("rata-rata:",'Offshore - Sydney'!N535))-SEARCH("rata-rata:",'Offshore - Sydney'!N535)-11)),IF('Offshore - Sydney'!D535="Semester",'Offshore - Sydney'!E535*2,IF('Offshore - Sydney'!D535="Trimester",'Offshore - Sydney'!E535*3,IF('Offshore - Sydney'!D535="Term",'Offshore - Sydney'!E535*4,IF('Offshore - Sydney'!D535="Unit",'Offshore - Sydney'!E535*8,""))))))</f>
        <v>13200</v>
      </c>
      <c r="L1336" s="0" t="n">
        <f aca="false">IF(AND(ISNUMBER('Offshore - Sydney'!E535),ISNUMBER(K1336),ISNUMBER('Offshore - Sydney'!F535),ISNUMBER('Offshore - Sydney'!G535),OR('Offshore - Sydney'!F535&lt;&gt;0,ISNUMBER(SEARCH("Material 0 terverifikasi",'Offshore - Sydney'!N535))),OR('Offshore - Sydney'!G535&lt;&gt;0,ISNUMBER(SEARCH("Enrolment 0 terverifikasi",'Offshore - Sydney'!N535)))),1,0)</f>
        <v>1</v>
      </c>
      <c r="M1336" s="0" t="n">
        <f aca="false">IF(OR('Offshore - Sydney'!E535="",ISNUMBER(SEARCH("BSB80120",'Offshore - Sydney'!B535&amp;'Offshore - Sydney'!N535)),ISNUMBER(SEARCH("Management (Learning)",'Offshore - Sydney'!B535))),2,IF(ISNUMBER(SEARCH("CEK:",'Offshore - Sydney'!N535)),1,0))</f>
        <v>0</v>
      </c>
    </row>
    <row r="1337" customFormat="false" ht="15" hidden="false" customHeight="false" outlineLevel="0" collapsed="false">
      <c r="A1337" s="63" t="s">
        <v>3533</v>
      </c>
      <c r="B1337" s="64" t="s">
        <v>4297</v>
      </c>
      <c r="C1337" s="63" t="s">
        <v>40</v>
      </c>
      <c r="D1337" s="64" t="str">
        <f aca="false">TRIM(LEFT('Offshore - Sydney'!A539,FIND(CHAR(10),'Offshore - Sydney'!A539&amp;CHAR(10))-1))</f>
        <v>Le Cordon Bleu Australia</v>
      </c>
      <c r="E1337" s="63" t="str">
        <f aca="false">'Offshore - Sydney'!C540&amp;""</f>
        <v>0,5 year</v>
      </c>
      <c r="F1337" s="63" t="str">
        <f aca="false">IF('Offshore - Sydney'!D540="","Belum tercatat",'Offshore - Sydney'!D540)</f>
        <v>Term</v>
      </c>
      <c r="G1337" s="65" t="n">
        <f aca="false">IF('Offshore - Sydney'!E540="","-",'Offshore - Sydney'!E540)</f>
        <v>6737</v>
      </c>
      <c r="H1337" s="63" t="n">
        <f aca="false">IF(ISNUMBER(K1337),COUNTIFS($J$6:$J$1854,J1337,$K$6:$K$1854,"&lt;"&amp;K1337)+1,"-")</f>
        <v>7</v>
      </c>
      <c r="I1337" s="64" t="str">
        <f aca="false">IF('Offshore - Sydney'!E540="","Harga belum tersedia - hubungi konsultan TEG",IF(M1337=2,"Saat ini tidak menerima pendaftaran siswa internasional baru",IF(M1337=1,"Harga perlu dikonfirmasi ke sekolah"&amp;IF(""="","","; "&amp;""),"")))</f>
        <v/>
      </c>
      <c r="J1337" s="0" t="s">
        <v>4356</v>
      </c>
      <c r="K1337" s="0" t="n">
        <f aca="false">IF(M1337=2,"",IF(ISNUMBER(SEARCH("rata-rata:",'Offshore - Sydney'!N540)),VALUE(MID('Offshore - Sydney'!N540,SEARCH("rata-rata:",'Offshore - Sydney'!N540)+11,FIND(";",'Offshore - Sydney'!N540&amp;";",SEARCH("rata-rata:",'Offshore - Sydney'!N540))-SEARCH("rata-rata:",'Offshore - Sydney'!N540)-11)),IF('Offshore - Sydney'!D540="Semester",'Offshore - Sydney'!E540*2,IF('Offshore - Sydney'!D540="Trimester",'Offshore - Sydney'!E540*3,IF('Offshore - Sydney'!D540="Term",'Offshore - Sydney'!E540*4,IF('Offshore - Sydney'!D540="Unit",'Offshore - Sydney'!E540*8,""))))))</f>
        <v>26948</v>
      </c>
      <c r="L1337" s="0" t="n">
        <f aca="false">IF(AND(ISNUMBER('Offshore - Sydney'!E540),ISNUMBER(K1337),ISNUMBER('Offshore - Sydney'!F540),ISNUMBER('Offshore - Sydney'!G540),OR('Offshore - Sydney'!F540&lt;&gt;0,ISNUMBER(SEARCH("Material 0 terverifikasi",'Offshore - Sydney'!N540))),OR('Offshore - Sydney'!G540&lt;&gt;0,ISNUMBER(SEARCH("Enrolment 0 terverifikasi",'Offshore - Sydney'!N540)))),1,0)</f>
        <v>0</v>
      </c>
      <c r="M1337" s="0" t="n">
        <f aca="false">IF(OR('Offshore - Sydney'!E540="",ISNUMBER(SEARCH("BSB80120",'Offshore - Sydney'!B540&amp;'Offshore - Sydney'!N540)),ISNUMBER(SEARCH("Management (Learning)",'Offshore - Sydney'!B540))),2,IF(ISNUMBER(SEARCH("CEK:",'Offshore - Sydney'!N540)),1,0))</f>
        <v>0</v>
      </c>
    </row>
    <row r="1338" customFormat="false" ht="15" hidden="false" customHeight="false" outlineLevel="0" collapsed="false">
      <c r="A1338" s="61" t="s">
        <v>4357</v>
      </c>
      <c r="B1338" s="62"/>
      <c r="C1338" s="62"/>
      <c r="D1338" s="62"/>
      <c r="E1338" s="62"/>
      <c r="F1338" s="62"/>
      <c r="G1338" s="62"/>
      <c r="H1338" s="62"/>
      <c r="I1338" s="62"/>
    </row>
    <row r="1339" customFormat="false" ht="15" hidden="false" customHeight="false" outlineLevel="0" collapsed="false">
      <c r="A1339" s="63" t="s">
        <v>3533</v>
      </c>
      <c r="B1339" s="64" t="s">
        <v>4297</v>
      </c>
      <c r="C1339" s="63" t="s">
        <v>41</v>
      </c>
      <c r="D1339" s="64" t="str">
        <f aca="false">TRIM(LEFT('Offshore - Sydney'!A1151,FIND(CHAR(10),'Offshore - Sydney'!A1151&amp;CHAR(10))-1))</f>
        <v>York Business Institute</v>
      </c>
      <c r="E1339" s="63" t="str">
        <f aca="false">'Offshore - Sydney'!C1156&amp;""</f>
        <v>2,5 years</v>
      </c>
      <c r="F1339" s="63" t="str">
        <f aca="false">IF('Offshore - Sydney'!D1156="","Belum tercatat",'Offshore - Sydney'!D1156)</f>
        <v>Term</v>
      </c>
      <c r="G1339" s="65" t="n">
        <f aca="false">IF('Offshore - Sydney'!E1156="","-",'Offshore - Sydney'!E1156)</f>
        <v>1500</v>
      </c>
      <c r="H1339" s="63" t="n">
        <f aca="false">IF(ISNUMBER(K1339),COUNTIFS($J$6:$J$1854,J1339,$K$6:$K$1854,"&lt;"&amp;K1339)+1,"-")</f>
        <v>1</v>
      </c>
      <c r="I1339" s="64" t="str">
        <f aca="false">IF('Offshore - Sydney'!E1156="","Harga belum tersedia - hubungi konsultan TEG",IF(M1339=2,"Saat ini tidak menerima pendaftaran siswa internasional baru",IF(M1339=1,"Harga perlu dikonfirmasi ke sekolah"&amp;IF(""="","","; "&amp;""),"")))</f>
        <v>Harga perlu dikonfirmasi ke sekolah</v>
      </c>
      <c r="J1339" s="0" t="s">
        <v>4358</v>
      </c>
      <c r="K1339" s="0" t="n">
        <f aca="false">IF(M1339=2,"",IF(ISNUMBER(SEARCH("rata-rata:",'Offshore - Sydney'!N1156)),VALUE(MID('Offshore - Sydney'!N1156,SEARCH("rata-rata:",'Offshore - Sydney'!N1156)+11,FIND(";",'Offshore - Sydney'!N1156&amp;";",SEARCH("rata-rata:",'Offshore - Sydney'!N1156))-SEARCH("rata-rata:",'Offshore - Sydney'!N1156)-11)),IF('Offshore - Sydney'!D1156="Semester",'Offshore - Sydney'!E1156*2,IF('Offshore - Sydney'!D1156="Trimester",'Offshore - Sydney'!E1156*3,IF('Offshore - Sydney'!D1156="Term",'Offshore - Sydney'!E1156*4,IF('Offshore - Sydney'!D1156="Unit",'Offshore - Sydney'!E1156*8,""))))))</f>
        <v>6000</v>
      </c>
      <c r="L1339" s="0" t="n">
        <f aca="false">IF(AND(ISNUMBER('Offshore - Sydney'!E1156),ISNUMBER(K1339),ISNUMBER('Offshore - Sydney'!F1156),ISNUMBER('Offshore - Sydney'!G1156),OR('Offshore - Sydney'!F1156&lt;&gt;0,ISNUMBER(SEARCH("Material 0 terverifikasi",'Offshore - Sydney'!N1156))),OR('Offshore - Sydney'!G1156&lt;&gt;0,ISNUMBER(SEARCH("Enrolment 0 terverifikasi",'Offshore - Sydney'!N1156)))),1,0)</f>
        <v>1</v>
      </c>
      <c r="M1339" s="0" t="n">
        <f aca="false">IF(OR('Offshore - Sydney'!E1156="",ISNUMBER(SEARCH("BSB80120",'Offshore - Sydney'!B1156&amp;'Offshore - Sydney'!N1156)),ISNUMBER(SEARCH("Management (Learning)",'Offshore - Sydney'!B1156))),2,IF(ISNUMBER(SEARCH("CEK:",'Offshore - Sydney'!N1156)),1,0))</f>
        <v>1</v>
      </c>
    </row>
    <row r="1340" customFormat="false" ht="15" hidden="false" customHeight="false" outlineLevel="0" collapsed="false">
      <c r="A1340" s="63" t="s">
        <v>3533</v>
      </c>
      <c r="B1340" s="64" t="s">
        <v>4297</v>
      </c>
      <c r="C1340" s="63" t="s">
        <v>41</v>
      </c>
      <c r="D1340" s="64" t="str">
        <f aca="false">TRIM(LEFT('Offshore - Sydney'!A929,FIND(CHAR(10),'Offshore - Sydney'!A929&amp;CHAR(10))-1))</f>
        <v>VIA Education</v>
      </c>
      <c r="E1340" s="63" t="str">
        <f aca="false">'Offshore - Sydney'!C937&amp;""</f>
        <v>4 years</v>
      </c>
      <c r="F1340" s="63" t="str">
        <f aca="false">IF('Offshore - Sydney'!D937="","Belum tercatat",'Offshore - Sydney'!D937)</f>
        <v>Term</v>
      </c>
      <c r="G1340" s="65" t="n">
        <f aca="false">IF('Offshore - Sydney'!E937="","-",'Offshore - Sydney'!E937)</f>
        <v>1600</v>
      </c>
      <c r="H1340" s="63" t="n">
        <f aca="false">IF(ISNUMBER(K1340),COUNTIFS($J$6:$J$1854,J1340,$K$6:$K$1854,"&lt;"&amp;K1340)+1,"-")</f>
        <v>2</v>
      </c>
      <c r="I1340" s="64" t="str">
        <f aca="false">IF('Offshore - Sydney'!E937="","Harga belum tersedia - hubungi konsultan TEG",IF(M1340=2,"Saat ini tidak menerima pendaftaran siswa internasional baru",IF(M1340=1,"Harga perlu dikonfirmasi ke sekolah"&amp;IF(""="","","; "&amp;""),"")))</f>
        <v/>
      </c>
      <c r="J1340" s="0" t="s">
        <v>4358</v>
      </c>
      <c r="K1340" s="0" t="n">
        <f aca="false">IF(M1340=2,"",IF(ISNUMBER(SEARCH("rata-rata:",'Offshore - Sydney'!N937)),VALUE(MID('Offshore - Sydney'!N937,SEARCH("rata-rata:",'Offshore - Sydney'!N937)+11,FIND(";",'Offshore - Sydney'!N937&amp;";",SEARCH("rata-rata:",'Offshore - Sydney'!N937))-SEARCH("rata-rata:",'Offshore - Sydney'!N937)-11)),IF('Offshore - Sydney'!D937="Semester",'Offshore - Sydney'!E937*2,IF('Offshore - Sydney'!D937="Trimester",'Offshore - Sydney'!E937*3,IF('Offshore - Sydney'!D937="Term",'Offshore - Sydney'!E937*4,IF('Offshore - Sydney'!D937="Unit",'Offshore - Sydney'!E937*8,""))))))</f>
        <v>6400</v>
      </c>
      <c r="L1340" s="0" t="n">
        <f aca="false">IF(AND(ISNUMBER('Offshore - Sydney'!E937),ISNUMBER(K1340),ISNUMBER('Offshore - Sydney'!F937),ISNUMBER('Offshore - Sydney'!G937),OR('Offshore - Sydney'!F937&lt;&gt;0,ISNUMBER(SEARCH("Material 0 terverifikasi",'Offshore - Sydney'!N937))),OR('Offshore - Sydney'!G937&lt;&gt;0,ISNUMBER(SEARCH("Enrolment 0 terverifikasi",'Offshore - Sydney'!N937)))),1,0)</f>
        <v>1</v>
      </c>
      <c r="M1340" s="0" t="n">
        <f aca="false">IF(OR('Offshore - Sydney'!E937="",ISNUMBER(SEARCH("BSB80120",'Offshore - Sydney'!B937&amp;'Offshore - Sydney'!N937)),ISNUMBER(SEARCH("Management (Learning)",'Offshore - Sydney'!B937))),2,IF(ISNUMBER(SEARCH("CEK:",'Offshore - Sydney'!N937)),1,0))</f>
        <v>0</v>
      </c>
    </row>
    <row r="1341" customFormat="false" ht="15" hidden="false" customHeight="false" outlineLevel="0" collapsed="false">
      <c r="A1341" s="63" t="s">
        <v>3533</v>
      </c>
      <c r="B1341" s="64" t="s">
        <v>4297</v>
      </c>
      <c r="C1341" s="63" t="s">
        <v>41</v>
      </c>
      <c r="D1341" s="64" t="str">
        <f aca="false">TRIM(LEFT('Offshore - Sydney'!A529,FIND(CHAR(10),'Offshore - Sydney'!A529&amp;CHAR(10))-1))</f>
        <v>King's School of Culinary Arts</v>
      </c>
      <c r="E1341" s="63" t="str">
        <f aca="false">'Offshore - Sydney'!C537&amp;""</f>
        <v>104 weeks</v>
      </c>
      <c r="F1341" s="63" t="str">
        <f aca="false">IF('Offshore - Sydney'!D537="","Belum tercatat",'Offshore - Sydney'!D537)</f>
        <v>Term</v>
      </c>
      <c r="G1341" s="65" t="n">
        <f aca="false">IF('Offshore - Sydney'!E537="","-",'Offshore - Sydney'!E537)</f>
        <v>1800</v>
      </c>
      <c r="H1341" s="63" t="n">
        <f aca="false">IF(ISNUMBER(K1341),COUNTIFS($J$6:$J$1854,J1341,$K$6:$K$1854,"&lt;"&amp;K1341)+1,"-")</f>
        <v>3</v>
      </c>
      <c r="I1341" s="64" t="str">
        <f aca="false">IF('Offshore - Sydney'!E537="","Harga belum tersedia - hubungi konsultan TEG",IF(M1341=2,"Saat ini tidak menerima pendaftaran siswa internasional baru",IF(M1341=1,"Harga perlu dikonfirmasi ke sekolah"&amp;IF("Harga promo s.d. 31/12/2026"="","","; "&amp;"Harga promo s.d. 31/12/2026"),"Harga promo s.d. 31/12/2026")))</f>
        <v>Harga promo s.d. 31/12/2026</v>
      </c>
      <c r="J1341" s="0" t="s">
        <v>4358</v>
      </c>
      <c r="K1341" s="0" t="n">
        <f aca="false">IF(M1341=2,"",IF(ISNUMBER(SEARCH("rata-rata:",'Offshore - Sydney'!N537)),VALUE(MID('Offshore - Sydney'!N537,SEARCH("rata-rata:",'Offshore - Sydney'!N537)+11,FIND(";",'Offshore - Sydney'!N537&amp;";",SEARCH("rata-rata:",'Offshore - Sydney'!N537))-SEARCH("rata-rata:",'Offshore - Sydney'!N537)-11)),IF('Offshore - Sydney'!D537="Semester",'Offshore - Sydney'!E537*2,IF('Offshore - Sydney'!D537="Trimester",'Offshore - Sydney'!E537*3,IF('Offshore - Sydney'!D537="Term",'Offshore - Sydney'!E537*4,IF('Offshore - Sydney'!D537="Unit",'Offshore - Sydney'!E537*8,""))))))</f>
        <v>7200</v>
      </c>
      <c r="L1341" s="0" t="n">
        <f aca="false">IF(AND(ISNUMBER('Offshore - Sydney'!E537),ISNUMBER(K1341),ISNUMBER('Offshore - Sydney'!F537),ISNUMBER('Offshore - Sydney'!G537),OR('Offshore - Sydney'!F537&lt;&gt;0,ISNUMBER(SEARCH("Material 0 terverifikasi",'Offshore - Sydney'!N537))),OR('Offshore - Sydney'!G537&lt;&gt;0,ISNUMBER(SEARCH("Enrolment 0 terverifikasi",'Offshore - Sydney'!N537)))),1,0)</f>
        <v>1</v>
      </c>
      <c r="M1341" s="0" t="n">
        <f aca="false">IF(OR('Offshore - Sydney'!E537="",ISNUMBER(SEARCH("BSB80120",'Offshore - Sydney'!B537&amp;'Offshore - Sydney'!N537)),ISNUMBER(SEARCH("Management (Learning)",'Offshore - Sydney'!B537))),2,IF(ISNUMBER(SEARCH("CEK:",'Offshore - Sydney'!N537)),1,0))</f>
        <v>0</v>
      </c>
    </row>
    <row r="1342" customFormat="false" ht="15" hidden="false" customHeight="false" outlineLevel="0" collapsed="false">
      <c r="A1342" s="63" t="s">
        <v>3533</v>
      </c>
      <c r="B1342" s="64" t="s">
        <v>4297</v>
      </c>
      <c r="C1342" s="63" t="s">
        <v>41</v>
      </c>
      <c r="D1342" s="64" t="str">
        <f aca="false">TRIM(LEFT('Offshore - Sydney'!A551,FIND(CHAR(10),'Offshore - Sydney'!A551&amp;CHAR(10))-1))</f>
        <v>Le Culinaire Hospitality Institute</v>
      </c>
      <c r="E1342" s="63" t="str">
        <f aca="false">'Offshore - Sydney'!C560&amp;""</f>
        <v>2 years (8 terms)</v>
      </c>
      <c r="F1342" s="63" t="str">
        <f aca="false">IF('Offshore - Sydney'!D560="","Belum tercatat",'Offshore - Sydney'!D560)</f>
        <v>Term</v>
      </c>
      <c r="G1342" s="65" t="n">
        <f aca="false">IF('Offshore - Sydney'!E560="","-",'Offshore - Sydney'!E560)</f>
        <v>1800</v>
      </c>
      <c r="H1342" s="63" t="n">
        <f aca="false">IF(ISNUMBER(K1342),COUNTIFS($J$6:$J$1854,J1342,$K$6:$K$1854,"&lt;"&amp;K1342)+1,"-")</f>
        <v>3</v>
      </c>
      <c r="I1342" s="64" t="str">
        <f aca="false">IF('Offshore - Sydney'!E560="","Harga belum tersedia - hubungi konsultan TEG",IF(M1342=2,"Saat ini tidak menerima pendaftaran siswa internasional baru",IF(M1342=1,"Harga perlu dikonfirmasi ke sekolah"&amp;IF(""="","","; "&amp;""),"")))</f>
        <v/>
      </c>
      <c r="J1342" s="0" t="s">
        <v>4358</v>
      </c>
      <c r="K1342" s="0" t="n">
        <f aca="false">IF(M1342=2,"",IF(ISNUMBER(SEARCH("rata-rata:",'Offshore - Sydney'!N560)),VALUE(MID('Offshore - Sydney'!N560,SEARCH("rata-rata:",'Offshore - Sydney'!N560)+11,FIND(";",'Offshore - Sydney'!N560&amp;";",SEARCH("rata-rata:",'Offshore - Sydney'!N560))-SEARCH("rata-rata:",'Offshore - Sydney'!N560)-11)),IF('Offshore - Sydney'!D560="Semester",'Offshore - Sydney'!E560*2,IF('Offshore - Sydney'!D560="Trimester",'Offshore - Sydney'!E560*3,IF('Offshore - Sydney'!D560="Term",'Offshore - Sydney'!E560*4,IF('Offshore - Sydney'!D560="Unit",'Offshore - Sydney'!E560*8,""))))))</f>
        <v>7200</v>
      </c>
      <c r="L1342" s="0" t="n">
        <f aca="false">IF(AND(ISNUMBER('Offshore - Sydney'!E560),ISNUMBER(K1342),ISNUMBER('Offshore - Sydney'!F560),ISNUMBER('Offshore - Sydney'!G560),OR('Offshore - Sydney'!F560&lt;&gt;0,ISNUMBER(SEARCH("Material 0 terverifikasi",'Offshore - Sydney'!N560))),OR('Offshore - Sydney'!G560&lt;&gt;0,ISNUMBER(SEARCH("Enrolment 0 terverifikasi",'Offshore - Sydney'!N560)))),1,0)</f>
        <v>1</v>
      </c>
      <c r="M1342" s="0" t="n">
        <f aca="false">IF(OR('Offshore - Sydney'!E560="",ISNUMBER(SEARCH("BSB80120",'Offshore - Sydney'!B560&amp;'Offshore - Sydney'!N560)),ISNUMBER(SEARCH("Management (Learning)",'Offshore - Sydney'!B560))),2,IF(ISNUMBER(SEARCH("CEK:",'Offshore - Sydney'!N560)),1,0))</f>
        <v>0</v>
      </c>
    </row>
    <row r="1343" customFormat="false" ht="15" hidden="false" customHeight="false" outlineLevel="0" collapsed="false">
      <c r="A1343" s="63" t="s">
        <v>3533</v>
      </c>
      <c r="B1343" s="64" t="s">
        <v>4297</v>
      </c>
      <c r="C1343" s="63" t="s">
        <v>41</v>
      </c>
      <c r="D1343" s="64" t="str">
        <f aca="false">TRIM(LEFT('Offshore - Sydney'!A13,FIND(CHAR(10),'Offshore - Sydney'!A13&amp;CHAR(10))-1))</f>
        <v>ABM Further Education</v>
      </c>
      <c r="E1343" s="63" t="str">
        <f aca="false">'Offshore - Sydney'!C24&amp;""</f>
        <v>1,5 years</v>
      </c>
      <c r="F1343" s="63" t="str">
        <f aca="false">IF('Offshore - Sydney'!D24="","Belum tercatat",'Offshore - Sydney'!D24)</f>
        <v>Term</v>
      </c>
      <c r="G1343" s="65" t="n">
        <f aca="false">IF('Offshore - Sydney'!E24="","-",'Offshore - Sydney'!E24)</f>
        <v>1850</v>
      </c>
      <c r="H1343" s="63" t="n">
        <f aca="false">IF(ISNUMBER(K1343),COUNTIFS($J$6:$J$1854,J1343,$K$6:$K$1854,"&lt;"&amp;K1343)+1,"-")</f>
        <v>5</v>
      </c>
      <c r="I1343" s="64" t="str">
        <f aca="false">IF('Offshore - Sydney'!E24="","Harga belum tersedia - hubungi konsultan TEG",IF(M1343=2,"Saat ini tidak menerima pendaftaran siswa internasional baru",IF(M1343=1,"Harga perlu dikonfirmasi ke sekolah"&amp;IF(""="","","; "&amp;""),"")))</f>
        <v/>
      </c>
      <c r="J1343" s="0" t="s">
        <v>4358</v>
      </c>
      <c r="K1343" s="0" t="n">
        <f aca="false">IF(M1343=2,"",IF(ISNUMBER(SEARCH("rata-rata:",'Offshore - Sydney'!N24)),VALUE(MID('Offshore - Sydney'!N24,SEARCH("rata-rata:",'Offshore - Sydney'!N24)+11,FIND(";",'Offshore - Sydney'!N24&amp;";",SEARCH("rata-rata:",'Offshore - Sydney'!N24))-SEARCH("rata-rata:",'Offshore - Sydney'!N24)-11)),IF('Offshore - Sydney'!D24="Semester",'Offshore - Sydney'!E24*2,IF('Offshore - Sydney'!D24="Trimester",'Offshore - Sydney'!E24*3,IF('Offshore - Sydney'!D24="Term",'Offshore - Sydney'!E24*4,IF('Offshore - Sydney'!D24="Unit",'Offshore - Sydney'!E24*8,""))))))</f>
        <v>7400</v>
      </c>
      <c r="L1343" s="0" t="n">
        <f aca="false">IF(AND(ISNUMBER('Offshore - Sydney'!E24),ISNUMBER(K1343),ISNUMBER('Offshore - Sydney'!F24),ISNUMBER('Offshore - Sydney'!G24),OR('Offshore - Sydney'!F24&lt;&gt;0,ISNUMBER(SEARCH("Material 0 terverifikasi",'Offshore - Sydney'!N24))),OR('Offshore - Sydney'!G24&lt;&gt;0,ISNUMBER(SEARCH("Enrolment 0 terverifikasi",'Offshore - Sydney'!N24)))),1,0)</f>
        <v>1</v>
      </c>
      <c r="M1343" s="0" t="n">
        <f aca="false">IF(OR('Offshore - Sydney'!E24="",ISNUMBER(SEARCH("BSB80120",'Offshore - Sydney'!B24&amp;'Offshore - Sydney'!N24)),ISNUMBER(SEARCH("Management (Learning)",'Offshore - Sydney'!B24))),2,IF(ISNUMBER(SEARCH("CEK:",'Offshore - Sydney'!N24)),1,0))</f>
        <v>0</v>
      </c>
    </row>
    <row r="1344" customFormat="false" ht="15" hidden="false" customHeight="false" outlineLevel="0" collapsed="false">
      <c r="A1344" s="63" t="s">
        <v>3533</v>
      </c>
      <c r="B1344" s="64" t="s">
        <v>4297</v>
      </c>
      <c r="C1344" s="63" t="s">
        <v>41</v>
      </c>
      <c r="D1344" s="64" t="str">
        <f aca="false">TRIM(LEFT('Offshore - Sydney'!A448,FIND(CHAR(10),'Offshore - Sydney'!A448&amp;CHAR(10))-1))</f>
        <v>Greenwich College</v>
      </c>
      <c r="E1344" s="63" t="str">
        <f aca="false">'Offshore - Sydney'!C459&amp;""</f>
        <v>110 weeks</v>
      </c>
      <c r="F1344" s="63" t="str">
        <f aca="false">IF('Offshore - Sydney'!D459="","Belum tercatat",'Offshore - Sydney'!D459)</f>
        <v>Term</v>
      </c>
      <c r="G1344" s="65" t="n">
        <f aca="false">IF('Offshore - Sydney'!E459="","-",'Offshore - Sydney'!E459)</f>
        <v>1850</v>
      </c>
      <c r="H1344" s="63" t="n">
        <f aca="false">IF(ISNUMBER(K1344),COUNTIFS($J$6:$J$1854,J1344,$K$6:$K$1854,"&lt;"&amp;K1344)+1,"-")</f>
        <v>5</v>
      </c>
      <c r="I1344" s="64" t="str">
        <f aca="false">IF('Offshore - Sydney'!E459="","Harga belum tersedia - hubungi konsultan TEG",IF(M1344=2,"Saat ini tidak menerima pendaftaran siswa internasional baru",IF(M1344=1,"Harga perlu dikonfirmasi ke sekolah"&amp;IF(""="","","; "&amp;""),"")))</f>
        <v/>
      </c>
      <c r="J1344" s="0" t="s">
        <v>4358</v>
      </c>
      <c r="K1344" s="0" t="n">
        <f aca="false">IF(M1344=2,"",IF(ISNUMBER(SEARCH("rata-rata:",'Offshore - Sydney'!N459)),VALUE(MID('Offshore - Sydney'!N459,SEARCH("rata-rata:",'Offshore - Sydney'!N459)+11,FIND(";",'Offshore - Sydney'!N459&amp;";",SEARCH("rata-rata:",'Offshore - Sydney'!N459))-SEARCH("rata-rata:",'Offshore - Sydney'!N459)-11)),IF('Offshore - Sydney'!D459="Semester",'Offshore - Sydney'!E459*2,IF('Offshore - Sydney'!D459="Trimester",'Offshore - Sydney'!E459*3,IF('Offshore - Sydney'!D459="Term",'Offshore - Sydney'!E459*4,IF('Offshore - Sydney'!D459="Unit",'Offshore - Sydney'!E459*8,""))))))</f>
        <v>7400</v>
      </c>
      <c r="L1344" s="0" t="n">
        <f aca="false">IF(AND(ISNUMBER('Offshore - Sydney'!E459),ISNUMBER(K1344),ISNUMBER('Offshore - Sydney'!F459),ISNUMBER('Offshore - Sydney'!G459),OR('Offshore - Sydney'!F459&lt;&gt;0,ISNUMBER(SEARCH("Material 0 terverifikasi",'Offshore - Sydney'!N459))),OR('Offshore - Sydney'!G459&lt;&gt;0,ISNUMBER(SEARCH("Enrolment 0 terverifikasi",'Offshore - Sydney'!N459)))),1,0)</f>
        <v>1</v>
      </c>
      <c r="M1344" s="0" t="n">
        <f aca="false">IF(OR('Offshore - Sydney'!E459="",ISNUMBER(SEARCH("BSB80120",'Offshore - Sydney'!B459&amp;'Offshore - Sydney'!N459)),ISNUMBER(SEARCH("Management (Learning)",'Offshore - Sydney'!B459))),2,IF(ISNUMBER(SEARCH("CEK:",'Offshore - Sydney'!N459)),1,0))</f>
        <v>0</v>
      </c>
    </row>
    <row r="1345" customFormat="false" ht="15" hidden="false" customHeight="false" outlineLevel="0" collapsed="false">
      <c r="A1345" s="63" t="s">
        <v>3533</v>
      </c>
      <c r="B1345" s="64" t="s">
        <v>4297</v>
      </c>
      <c r="C1345" s="63" t="s">
        <v>41</v>
      </c>
      <c r="D1345" s="64" t="str">
        <f aca="false">TRIM(LEFT('Offshore - Sydney'!A959,FIND(CHAR(10),'Offshore - Sydney'!A959&amp;CHAR(10))-1))</f>
        <v>Wells International College (WIC)</v>
      </c>
      <c r="E1345" s="63" t="str">
        <f aca="false">'Offshore - Sydney'!C959&amp;""</f>
        <v>2,5 years</v>
      </c>
      <c r="F1345" s="63" t="str">
        <f aca="false">IF('Offshore - Sydney'!D959="","Belum tercatat",'Offshore - Sydney'!D959)</f>
        <v>Term</v>
      </c>
      <c r="G1345" s="65" t="n">
        <f aca="false">IF('Offshore - Sydney'!E959="","-",'Offshore - Sydney'!E959)</f>
        <v>2000</v>
      </c>
      <c r="H1345" s="63" t="n">
        <f aca="false">IF(ISNUMBER(K1345),COUNTIFS($J$6:$J$1854,J1345,$K$6:$K$1854,"&lt;"&amp;K1345)+1,"-")</f>
        <v>7</v>
      </c>
      <c r="I1345" s="64" t="str">
        <f aca="false">IF('Offshore - Sydney'!E959="","Harga belum tersedia - hubungi konsultan TEG",IF(M1345=2,"Saat ini tidak menerima pendaftaran siswa internasional baru",IF(M1345=1,"Harga perlu dikonfirmasi ke sekolah"&amp;IF(""="","","; "&amp;""),"")))</f>
        <v/>
      </c>
      <c r="J1345" s="0" t="s">
        <v>4358</v>
      </c>
      <c r="K1345" s="0" t="n">
        <f aca="false">IF(M1345=2,"",IF(ISNUMBER(SEARCH("rata-rata:",'Offshore - Sydney'!N959)),VALUE(MID('Offshore - Sydney'!N959,SEARCH("rata-rata:",'Offshore - Sydney'!N959)+11,FIND(";",'Offshore - Sydney'!N959&amp;";",SEARCH("rata-rata:",'Offshore - Sydney'!N959))-SEARCH("rata-rata:",'Offshore - Sydney'!N959)-11)),IF('Offshore - Sydney'!D959="Semester",'Offshore - Sydney'!E959*2,IF('Offshore - Sydney'!D959="Trimester",'Offshore - Sydney'!E959*3,IF('Offshore - Sydney'!D959="Term",'Offshore - Sydney'!E959*4,IF('Offshore - Sydney'!D959="Unit",'Offshore - Sydney'!E959*8,""))))))</f>
        <v>8000</v>
      </c>
      <c r="L1345" s="0" t="n">
        <f aca="false">IF(AND(ISNUMBER('Offshore - Sydney'!E959),ISNUMBER(K1345),ISNUMBER('Offshore - Sydney'!F959),ISNUMBER('Offshore - Sydney'!G959),OR('Offshore - Sydney'!F959&lt;&gt;0,ISNUMBER(SEARCH("Material 0 terverifikasi",'Offshore - Sydney'!N959))),OR('Offshore - Sydney'!G959&lt;&gt;0,ISNUMBER(SEARCH("Enrolment 0 terverifikasi",'Offshore - Sydney'!N959)))),1,0)</f>
        <v>1</v>
      </c>
      <c r="M1345" s="0" t="n">
        <f aca="false">IF(OR('Offshore - Sydney'!E959="",ISNUMBER(SEARCH("BSB80120",'Offshore - Sydney'!B959&amp;'Offshore - Sydney'!N959)),ISNUMBER(SEARCH("Management (Learning)",'Offshore - Sydney'!B959))),2,IF(ISNUMBER(SEARCH("CEK:",'Offshore - Sydney'!N959)),1,0))</f>
        <v>0</v>
      </c>
    </row>
    <row r="1346" customFormat="false" ht="15" hidden="false" customHeight="false" outlineLevel="0" collapsed="false">
      <c r="A1346" s="63" t="s">
        <v>3533</v>
      </c>
      <c r="B1346" s="64" t="s">
        <v>4297</v>
      </c>
      <c r="C1346" s="63" t="s">
        <v>41</v>
      </c>
      <c r="D1346" s="64" t="str">
        <f aca="false">TRIM(LEFT('Offshore - Sydney'!A430,FIND(CHAR(10),'Offshore - Sydney'!A430&amp;CHAR(10))-1))</f>
        <v>George Brown College</v>
      </c>
      <c r="E1346" s="63" t="str">
        <f aca="false">'Offshore - Sydney'!C444&amp;""</f>
        <v>2,5 years</v>
      </c>
      <c r="F1346" s="63" t="str">
        <f aca="false">IF('Offshore - Sydney'!D444="","Belum tercatat",'Offshore - Sydney'!D444)</f>
        <v>Term</v>
      </c>
      <c r="G1346" s="65" t="n">
        <f aca="false">IF('Offshore - Sydney'!E444="","-",'Offshore - Sydney'!E444)</f>
        <v>2200</v>
      </c>
      <c r="H1346" s="63" t="n">
        <f aca="false">IF(ISNUMBER(K1346),COUNTIFS($J$6:$J$1854,J1346,$K$6:$K$1854,"&lt;"&amp;K1346)+1,"-")</f>
        <v>8</v>
      </c>
      <c r="I1346" s="64" t="str">
        <f aca="false">IF('Offshore - Sydney'!E444="","Harga belum tersedia - hubungi konsultan TEG",IF(M1346=2,"Saat ini tidak menerima pendaftaran siswa internasional baru",IF(M1346=1,"Harga perlu dikonfirmasi ke sekolah"&amp;IF(""="","","; "&amp;""),"")))</f>
        <v/>
      </c>
      <c r="J1346" s="0" t="s">
        <v>4358</v>
      </c>
      <c r="K1346" s="0" t="n">
        <f aca="false">IF(M1346=2,"",IF(ISNUMBER(SEARCH("rata-rata:",'Offshore - Sydney'!N444)),VALUE(MID('Offshore - Sydney'!N444,SEARCH("rata-rata:",'Offshore - Sydney'!N444)+11,FIND(";",'Offshore - Sydney'!N444&amp;";",SEARCH("rata-rata:",'Offshore - Sydney'!N444))-SEARCH("rata-rata:",'Offshore - Sydney'!N444)-11)),IF('Offshore - Sydney'!D444="Semester",'Offshore - Sydney'!E444*2,IF('Offshore - Sydney'!D444="Trimester",'Offshore - Sydney'!E444*3,IF('Offshore - Sydney'!D444="Term",'Offshore - Sydney'!E444*4,IF('Offshore - Sydney'!D444="Unit",'Offshore - Sydney'!E444*8,""))))))</f>
        <v>8800</v>
      </c>
      <c r="L1346" s="0" t="n">
        <f aca="false">IF(AND(ISNUMBER('Offshore - Sydney'!E444),ISNUMBER(K1346),ISNUMBER('Offshore - Sydney'!F444),ISNUMBER('Offshore - Sydney'!G444),OR('Offshore - Sydney'!F444&lt;&gt;0,ISNUMBER(SEARCH("Material 0 terverifikasi",'Offshore - Sydney'!N444))),OR('Offshore - Sydney'!G444&lt;&gt;0,ISNUMBER(SEARCH("Enrolment 0 terverifikasi",'Offshore - Sydney'!N444)))),1,0)</f>
        <v>1</v>
      </c>
      <c r="M1346" s="0" t="n">
        <f aca="false">IF(OR('Offshore - Sydney'!E444="",ISNUMBER(SEARCH("BSB80120",'Offshore - Sydney'!B444&amp;'Offshore - Sydney'!N444)),ISNUMBER(SEARCH("Management (Learning)",'Offshore - Sydney'!B444))),2,IF(ISNUMBER(SEARCH("CEK:",'Offshore - Sydney'!N444)),1,0))</f>
        <v>0</v>
      </c>
    </row>
    <row r="1347" customFormat="false" ht="15" hidden="false" customHeight="false" outlineLevel="0" collapsed="false">
      <c r="A1347" s="63" t="s">
        <v>3533</v>
      </c>
      <c r="B1347" s="64" t="s">
        <v>4297</v>
      </c>
      <c r="C1347" s="63" t="s">
        <v>41</v>
      </c>
      <c r="D1347" s="64" t="str">
        <f aca="false">TRIM(LEFT('Offshore - Sydney'!A703,FIND(CHAR(10),'Offshore - Sydney'!A703&amp;CHAR(10))-1))</f>
        <v>Sydney Metro College (SMC)</v>
      </c>
      <c r="E1347" s="63" t="str">
        <f aca="false">'Offshore - Sydney'!C703&amp;""</f>
        <v>2 years</v>
      </c>
      <c r="F1347" s="63" t="str">
        <f aca="false">IF('Offshore - Sydney'!D703="","Belum tercatat",'Offshore - Sydney'!D703)</f>
        <v>Term</v>
      </c>
      <c r="G1347" s="65" t="n">
        <f aca="false">IF('Offshore - Sydney'!E703="","-",'Offshore - Sydney'!E703)</f>
        <v>2200</v>
      </c>
      <c r="H1347" s="63" t="n">
        <f aca="false">IF(ISNUMBER(K1347),COUNTIFS($J$6:$J$1854,J1347,$K$6:$K$1854,"&lt;"&amp;K1347)+1,"-")</f>
        <v>8</v>
      </c>
      <c r="I1347" s="64" t="str">
        <f aca="false">IF('Offshore - Sydney'!E703="","Harga belum tersedia - hubungi konsultan TEG",IF(M1347=2,"Saat ini tidak menerima pendaftaran siswa internasional baru",IF(M1347=1,"Harga perlu dikonfirmasi ke sekolah"&amp;IF(""="","","; "&amp;""),"")))</f>
        <v/>
      </c>
      <c r="J1347" s="0" t="s">
        <v>4358</v>
      </c>
      <c r="K1347" s="0" t="n">
        <f aca="false">IF(M1347=2,"",IF(ISNUMBER(SEARCH("rata-rata:",'Offshore - Sydney'!N703)),VALUE(MID('Offshore - Sydney'!N703,SEARCH("rata-rata:",'Offshore - Sydney'!N703)+11,FIND(";",'Offshore - Sydney'!N703&amp;";",SEARCH("rata-rata:",'Offshore - Sydney'!N703))-SEARCH("rata-rata:",'Offshore - Sydney'!N703)-11)),IF('Offshore - Sydney'!D703="Semester",'Offshore - Sydney'!E703*2,IF('Offshore - Sydney'!D703="Trimester",'Offshore - Sydney'!E703*3,IF('Offshore - Sydney'!D703="Term",'Offshore - Sydney'!E703*4,IF('Offshore - Sydney'!D703="Unit",'Offshore - Sydney'!E703*8,""))))))</f>
        <v>8800</v>
      </c>
      <c r="L1347" s="0" t="n">
        <f aca="false">IF(AND(ISNUMBER('Offshore - Sydney'!E703),ISNUMBER(K1347),ISNUMBER('Offshore - Sydney'!F703),ISNUMBER('Offshore - Sydney'!G703),OR('Offshore - Sydney'!F703&lt;&gt;0,ISNUMBER(SEARCH("Material 0 terverifikasi",'Offshore - Sydney'!N703))),OR('Offshore - Sydney'!G703&lt;&gt;0,ISNUMBER(SEARCH("Enrolment 0 terverifikasi",'Offshore - Sydney'!N703)))),1,0)</f>
        <v>1</v>
      </c>
      <c r="M1347" s="0" t="n">
        <f aca="false">IF(OR('Offshore - Sydney'!E703="",ISNUMBER(SEARCH("BSB80120",'Offshore - Sydney'!B703&amp;'Offshore - Sydney'!N703)),ISNUMBER(SEARCH("Management (Learning)",'Offshore - Sydney'!B703))),2,IF(ISNUMBER(SEARCH("CEK:",'Offshore - Sydney'!N703)),1,0))</f>
        <v>0</v>
      </c>
    </row>
    <row r="1348" customFormat="false" ht="28.35" hidden="false" customHeight="false" outlineLevel="0" collapsed="false">
      <c r="A1348" s="63" t="s">
        <v>3533</v>
      </c>
      <c r="B1348" s="64" t="s">
        <v>4297</v>
      </c>
      <c r="C1348" s="63" t="s">
        <v>41</v>
      </c>
      <c r="D1348" s="64" t="str">
        <f aca="false">TRIM(LEFT('Offshore - Sydney'!A88,FIND(CHAR(10),'Offshore - Sydney'!A88&amp;CHAR(10))-1))</f>
        <v>Albright Institute of Business and Language (AIBL)</v>
      </c>
      <c r="E1348" s="63" t="str">
        <f aca="false">'Offshore - Sydney'!C91&amp;""</f>
        <v>2 years</v>
      </c>
      <c r="F1348" s="63" t="str">
        <f aca="false">IF('Offshore - Sydney'!D91="","Belum tercatat",'Offshore - Sydney'!D91)</f>
        <v>Term</v>
      </c>
      <c r="G1348" s="65" t="n">
        <f aca="false">IF('Offshore - Sydney'!E91="","-",'Offshore - Sydney'!E91)</f>
        <v>2250</v>
      </c>
      <c r="H1348" s="63" t="n">
        <f aca="false">IF(ISNUMBER(K1348),COUNTIFS($J$6:$J$1854,J1348,$K$6:$K$1854,"&lt;"&amp;K1348)+1,"-")</f>
        <v>10</v>
      </c>
      <c r="I1348" s="64" t="str">
        <f aca="false">IF('Offshore - Sydney'!E91="","Harga belum tersedia - hubungi konsultan TEG",IF(M1348=2,"Saat ini tidak menerima pendaftaran siswa internasional baru",IF(M1348=1,"Harga perlu dikonfirmasi ke sekolah"&amp;IF(""="","","; "&amp;""),"")))</f>
        <v/>
      </c>
      <c r="J1348" s="0" t="s">
        <v>4358</v>
      </c>
      <c r="K1348" s="0" t="n">
        <f aca="false">IF(M1348=2,"",IF(ISNUMBER(SEARCH("rata-rata:",'Offshore - Sydney'!N91)),VALUE(MID('Offshore - Sydney'!N91,SEARCH("rata-rata:",'Offshore - Sydney'!N91)+11,FIND(";",'Offshore - Sydney'!N91&amp;";",SEARCH("rata-rata:",'Offshore - Sydney'!N91))-SEARCH("rata-rata:",'Offshore - Sydney'!N91)-11)),IF('Offshore - Sydney'!D91="Semester",'Offshore - Sydney'!E91*2,IF('Offshore - Sydney'!D91="Trimester",'Offshore - Sydney'!E91*3,IF('Offshore - Sydney'!D91="Term",'Offshore - Sydney'!E91*4,IF('Offshore - Sydney'!D91="Unit",'Offshore - Sydney'!E91*8,""))))))</f>
        <v>9000</v>
      </c>
      <c r="L1348" s="0" t="n">
        <f aca="false">IF(AND(ISNUMBER('Offshore - Sydney'!E91),ISNUMBER(K1348),ISNUMBER('Offshore - Sydney'!F91),ISNUMBER('Offshore - Sydney'!G91),OR('Offshore - Sydney'!F91&lt;&gt;0,ISNUMBER(SEARCH("Material 0 terverifikasi",'Offshore - Sydney'!N91))),OR('Offshore - Sydney'!G91&lt;&gt;0,ISNUMBER(SEARCH("Enrolment 0 terverifikasi",'Offshore - Sydney'!N91)))),1,0)</f>
        <v>1</v>
      </c>
      <c r="M1348" s="0" t="n">
        <f aca="false">IF(OR('Offshore - Sydney'!E91="",ISNUMBER(SEARCH("BSB80120",'Offshore - Sydney'!B91&amp;'Offshore - Sydney'!N91)),ISNUMBER(SEARCH("Management (Learning)",'Offshore - Sydney'!B91))),2,IF(ISNUMBER(SEARCH("CEK:",'Offshore - Sydney'!N91)),1,0))</f>
        <v>0</v>
      </c>
    </row>
    <row r="1349" customFormat="false" ht="28.35" hidden="false" customHeight="false" outlineLevel="0" collapsed="false">
      <c r="A1349" s="63" t="s">
        <v>3533</v>
      </c>
      <c r="B1349" s="64" t="s">
        <v>4297</v>
      </c>
      <c r="C1349" s="63" t="s">
        <v>41</v>
      </c>
      <c r="D1349" s="64" t="str">
        <f aca="false">TRIM(LEFT('Offshore - Sydney'!A807,FIND(CHAR(10),'Offshore - Sydney'!A807&amp;CHAR(10))-1))</f>
        <v>TKL College (Training for Knowledge and Livelihood)</v>
      </c>
      <c r="E1349" s="63" t="str">
        <f aca="false">'Offshore - Sydney'!C811&amp;""</f>
        <v>3 years</v>
      </c>
      <c r="F1349" s="63" t="str">
        <f aca="false">IF('Offshore - Sydney'!D811="","Belum tercatat",'Offshore - Sydney'!D811)</f>
        <v>Term</v>
      </c>
      <c r="G1349" s="65" t="n">
        <f aca="false">IF('Offshore - Sydney'!E811="","-",'Offshore - Sydney'!E811)</f>
        <v>2250</v>
      </c>
      <c r="H1349" s="63" t="n">
        <f aca="false">IF(ISNUMBER(K1349),COUNTIFS($J$6:$J$1854,J1349,$K$6:$K$1854,"&lt;"&amp;K1349)+1,"-")</f>
        <v>10</v>
      </c>
      <c r="I1349" s="64" t="str">
        <f aca="false">IF('Offshore - Sydney'!E811="","Harga belum tersedia - hubungi konsultan TEG",IF(M1349=2,"Saat ini tidak menerima pendaftaran siswa internasional baru",IF(M1349=1,"Harga perlu dikonfirmasi ke sekolah"&amp;IF(""="","","; "&amp;""),"")))</f>
        <v/>
      </c>
      <c r="J1349" s="0" t="s">
        <v>4358</v>
      </c>
      <c r="K1349" s="0" t="n">
        <f aca="false">IF(M1349=2,"",IF(ISNUMBER(SEARCH("rata-rata:",'Offshore - Sydney'!N811)),VALUE(MID('Offshore - Sydney'!N811,SEARCH("rata-rata:",'Offshore - Sydney'!N811)+11,FIND(";",'Offshore - Sydney'!N811&amp;";",SEARCH("rata-rata:",'Offshore - Sydney'!N811))-SEARCH("rata-rata:",'Offshore - Sydney'!N811)-11)),IF('Offshore - Sydney'!D811="Semester",'Offshore - Sydney'!E811*2,IF('Offshore - Sydney'!D811="Trimester",'Offshore - Sydney'!E811*3,IF('Offshore - Sydney'!D811="Term",'Offshore - Sydney'!E811*4,IF('Offshore - Sydney'!D811="Unit",'Offshore - Sydney'!E811*8,""))))))</f>
        <v>9000</v>
      </c>
      <c r="L1349" s="0" t="n">
        <f aca="false">IF(AND(ISNUMBER('Offshore - Sydney'!E811),ISNUMBER(K1349),ISNUMBER('Offshore - Sydney'!F811),ISNUMBER('Offshore - Sydney'!G811),OR('Offshore - Sydney'!F811&lt;&gt;0,ISNUMBER(SEARCH("Material 0 terverifikasi",'Offshore - Sydney'!N811))),OR('Offshore - Sydney'!G811&lt;&gt;0,ISNUMBER(SEARCH("Enrolment 0 terverifikasi",'Offshore - Sydney'!N811)))),1,0)</f>
        <v>1</v>
      </c>
      <c r="M1349" s="0" t="n">
        <f aca="false">IF(OR('Offshore - Sydney'!E811="",ISNUMBER(SEARCH("BSB80120",'Offshore - Sydney'!B811&amp;'Offshore - Sydney'!N811)),ISNUMBER(SEARCH("Management (Learning)",'Offshore - Sydney'!B811))),2,IF(ISNUMBER(SEARCH("CEK:",'Offshore - Sydney'!N811)),1,0))</f>
        <v>0</v>
      </c>
    </row>
    <row r="1350" customFormat="false" ht="15" hidden="false" customHeight="false" outlineLevel="0" collapsed="false">
      <c r="A1350" s="63" t="s">
        <v>3533</v>
      </c>
      <c r="B1350" s="64" t="s">
        <v>4297</v>
      </c>
      <c r="C1350" s="63" t="s">
        <v>41</v>
      </c>
      <c r="D1350" s="64" t="str">
        <f aca="false">TRIM(LEFT('Offshore - Sydney'!A94,FIND(CHAR(10),'Offshore - Sydney'!A94&amp;CHAR(10))-1))</f>
        <v>Albury College</v>
      </c>
      <c r="E1350" s="63" t="str">
        <f aca="false">'Offshore - Sydney'!C97&amp;""</f>
        <v>2 years</v>
      </c>
      <c r="F1350" s="63" t="str">
        <f aca="false">IF('Offshore - Sydney'!D97="","Belum tercatat",'Offshore - Sydney'!D97)</f>
        <v>Term</v>
      </c>
      <c r="G1350" s="65" t="n">
        <f aca="false">IF('Offshore - Sydney'!E97="","-",'Offshore - Sydney'!E97)</f>
        <v>2350</v>
      </c>
      <c r="H1350" s="63" t="n">
        <f aca="false">IF(ISNUMBER(K1350),COUNTIFS($J$6:$J$1854,J1350,$K$6:$K$1854,"&lt;"&amp;K1350)+1,"-")</f>
        <v>12</v>
      </c>
      <c r="I1350" s="64" t="str">
        <f aca="false">IF('Offshore - Sydney'!E97="","Harga belum tersedia - hubungi konsultan TEG",IF(M1350=2,"Saat ini tidak menerima pendaftaran siswa internasional baru",IF(M1350=1,"Harga perlu dikonfirmasi ke sekolah"&amp;IF(""="","","; "&amp;""),"")))</f>
        <v/>
      </c>
      <c r="J1350" s="0" t="s">
        <v>4358</v>
      </c>
      <c r="K1350" s="0" t="n">
        <f aca="false">IF(M1350=2,"",IF(ISNUMBER(SEARCH("rata-rata:",'Offshore - Sydney'!N97)),VALUE(MID('Offshore - Sydney'!N97,SEARCH("rata-rata:",'Offshore - Sydney'!N97)+11,FIND(";",'Offshore - Sydney'!N97&amp;";",SEARCH("rata-rata:",'Offshore - Sydney'!N97))-SEARCH("rata-rata:",'Offshore - Sydney'!N97)-11)),IF('Offshore - Sydney'!D97="Semester",'Offshore - Sydney'!E97*2,IF('Offshore - Sydney'!D97="Trimester",'Offshore - Sydney'!E97*3,IF('Offshore - Sydney'!D97="Term",'Offshore - Sydney'!E97*4,IF('Offshore - Sydney'!D97="Unit",'Offshore - Sydney'!E97*8,""))))))</f>
        <v>9400</v>
      </c>
      <c r="L1350" s="0" t="n">
        <f aca="false">IF(AND(ISNUMBER('Offshore - Sydney'!E97),ISNUMBER(K1350),ISNUMBER('Offshore - Sydney'!F97),ISNUMBER('Offshore - Sydney'!G97),OR('Offshore - Sydney'!F97&lt;&gt;0,ISNUMBER(SEARCH("Material 0 terverifikasi",'Offshore - Sydney'!N97))),OR('Offshore - Sydney'!G97&lt;&gt;0,ISNUMBER(SEARCH("Enrolment 0 terverifikasi",'Offshore - Sydney'!N97)))),1,0)</f>
        <v>1</v>
      </c>
      <c r="M1350" s="0" t="n">
        <f aca="false">IF(OR('Offshore - Sydney'!E97="",ISNUMBER(SEARCH("BSB80120",'Offshore - Sydney'!B97&amp;'Offshore - Sydney'!N97)),ISNUMBER(SEARCH("Management (Learning)",'Offshore - Sydney'!B97))),2,IF(ISNUMBER(SEARCH("CEK:",'Offshore - Sydney'!N97)),1,0))</f>
        <v>0</v>
      </c>
    </row>
    <row r="1351" customFormat="false" ht="28.35" hidden="false" customHeight="false" outlineLevel="0" collapsed="false">
      <c r="A1351" s="63" t="s">
        <v>3533</v>
      </c>
      <c r="B1351" s="64" t="s">
        <v>4297</v>
      </c>
      <c r="C1351" s="63" t="s">
        <v>41</v>
      </c>
      <c r="D1351" s="64" t="str">
        <f aca="false">TRIM(LEFT('Offshore - Sydney'!A313,FIND(CHAR(10),'Offshore - Sydney'!A313&amp;CHAR(10))-1))</f>
        <v>Australian International College of Skills &amp; Education (AICSE)</v>
      </c>
      <c r="E1351" s="63" t="str">
        <f aca="false">'Offshore - Sydney'!C326&amp;""</f>
        <v>2,5 years</v>
      </c>
      <c r="F1351" s="63" t="str">
        <f aca="false">IF('Offshore - Sydney'!D326="","Belum tercatat",'Offshore - Sydney'!D326)</f>
        <v>Term</v>
      </c>
      <c r="G1351" s="65" t="n">
        <f aca="false">IF('Offshore - Sydney'!E326="","-",'Offshore - Sydney'!E326)</f>
        <v>2420</v>
      </c>
      <c r="H1351" s="63" t="n">
        <f aca="false">IF(ISNUMBER(K1351),COUNTIFS($J$6:$J$1854,J1351,$K$6:$K$1854,"&lt;"&amp;K1351)+1,"-")</f>
        <v>13</v>
      </c>
      <c r="I1351" s="64" t="str">
        <f aca="false">IF('Offshore - Sydney'!E326="","Harga belum tersedia - hubungi konsultan TEG",IF(M1351=2,"Saat ini tidak menerima pendaftaran siswa internasional baru",IF(M1351=1,"Harga perlu dikonfirmasi ke sekolah"&amp;IF(""="","","; "&amp;""),"")))</f>
        <v/>
      </c>
      <c r="J1351" s="0" t="s">
        <v>4358</v>
      </c>
      <c r="K1351" s="0" t="n">
        <f aca="false">IF(M1351=2,"",IF(ISNUMBER(SEARCH("rata-rata:",'Offshore - Sydney'!N326)),VALUE(MID('Offshore - Sydney'!N326,SEARCH("rata-rata:",'Offshore - Sydney'!N326)+11,FIND(";",'Offshore - Sydney'!N326&amp;";",SEARCH("rata-rata:",'Offshore - Sydney'!N326))-SEARCH("rata-rata:",'Offshore - Sydney'!N326)-11)),IF('Offshore - Sydney'!D326="Semester",'Offshore - Sydney'!E326*2,IF('Offshore - Sydney'!D326="Trimester",'Offshore - Sydney'!E326*3,IF('Offshore - Sydney'!D326="Term",'Offshore - Sydney'!E326*4,IF('Offshore - Sydney'!D326="Unit",'Offshore - Sydney'!E326*8,""))))))</f>
        <v>9680</v>
      </c>
      <c r="L1351" s="0" t="n">
        <f aca="false">IF(AND(ISNUMBER('Offshore - Sydney'!E326),ISNUMBER(K1351),ISNUMBER('Offshore - Sydney'!F326),ISNUMBER('Offshore - Sydney'!G326),OR('Offshore - Sydney'!F326&lt;&gt;0,ISNUMBER(SEARCH("Material 0 terverifikasi",'Offshore - Sydney'!N326))),OR('Offshore - Sydney'!G326&lt;&gt;0,ISNUMBER(SEARCH("Enrolment 0 terverifikasi",'Offshore - Sydney'!N326)))),1,0)</f>
        <v>1</v>
      </c>
      <c r="M1351" s="0" t="n">
        <f aca="false">IF(OR('Offshore - Sydney'!E326="",ISNUMBER(SEARCH("BSB80120",'Offshore - Sydney'!B326&amp;'Offshore - Sydney'!N326)),ISNUMBER(SEARCH("Management (Learning)",'Offshore - Sydney'!B326))),2,IF(ISNUMBER(SEARCH("CEK:",'Offshore - Sydney'!N326)),1,0))</f>
        <v>0</v>
      </c>
    </row>
    <row r="1352" customFormat="false" ht="15" hidden="false" customHeight="false" outlineLevel="0" collapsed="false">
      <c r="A1352" s="63" t="s">
        <v>3533</v>
      </c>
      <c r="B1352" s="64" t="s">
        <v>4297</v>
      </c>
      <c r="C1352" s="63" t="s">
        <v>41</v>
      </c>
      <c r="D1352" s="64" t="str">
        <f aca="false">TRIM(LEFT('Offshore - Sydney'!A479,FIND(CHAR(10),'Offshore - Sydney'!A479&amp;CHAR(10))-1))</f>
        <v>Hospitality Training Academy (HTA)</v>
      </c>
      <c r="E1352" s="63" t="str">
        <f aca="false">'Offshore - Sydney'!C479&amp;""</f>
        <v>2 years</v>
      </c>
      <c r="F1352" s="63" t="str">
        <f aca="false">IF('Offshore - Sydney'!D479="","Belum tercatat",'Offshore - Sydney'!D479)</f>
        <v>Term</v>
      </c>
      <c r="G1352" s="65" t="n">
        <f aca="false">IF('Offshore - Sydney'!E479="","-",'Offshore - Sydney'!E479)</f>
        <v>2500</v>
      </c>
      <c r="H1352" s="63" t="n">
        <f aca="false">IF(ISNUMBER(K1352),COUNTIFS($J$6:$J$1854,J1352,$K$6:$K$1854,"&lt;"&amp;K1352)+1,"-")</f>
        <v>14</v>
      </c>
      <c r="I1352" s="64" t="str">
        <f aca="false">IF('Offshore - Sydney'!E479="","Harga belum tersedia - hubungi konsultan TEG",IF(M1352=2,"Saat ini tidak menerima pendaftaran siswa internasional baru",IF(M1352=1,"Harga perlu dikonfirmasi ke sekolah"&amp;IF(""="","","; "&amp;""),"")))</f>
        <v/>
      </c>
      <c r="J1352" s="0" t="s">
        <v>4358</v>
      </c>
      <c r="K1352" s="0" t="n">
        <f aca="false">IF(M1352=2,"",IF(ISNUMBER(SEARCH("rata-rata:",'Offshore - Sydney'!N479)),VALUE(MID('Offshore - Sydney'!N479,SEARCH("rata-rata:",'Offshore - Sydney'!N479)+11,FIND(";",'Offshore - Sydney'!N479&amp;";",SEARCH("rata-rata:",'Offshore - Sydney'!N479))-SEARCH("rata-rata:",'Offshore - Sydney'!N479)-11)),IF('Offshore - Sydney'!D479="Semester",'Offshore - Sydney'!E479*2,IF('Offshore - Sydney'!D479="Trimester",'Offshore - Sydney'!E479*3,IF('Offshore - Sydney'!D479="Term",'Offshore - Sydney'!E479*4,IF('Offshore - Sydney'!D479="Unit",'Offshore - Sydney'!E479*8,""))))))</f>
        <v>10000</v>
      </c>
      <c r="L1352" s="0" t="n">
        <f aca="false">IF(AND(ISNUMBER('Offshore - Sydney'!E479),ISNUMBER(K1352),ISNUMBER('Offshore - Sydney'!F479),ISNUMBER('Offshore - Sydney'!G479),OR('Offshore - Sydney'!F479&lt;&gt;0,ISNUMBER(SEARCH("Material 0 terverifikasi",'Offshore - Sydney'!N479))),OR('Offshore - Sydney'!G479&lt;&gt;0,ISNUMBER(SEARCH("Enrolment 0 terverifikasi",'Offshore - Sydney'!N479)))),1,0)</f>
        <v>1</v>
      </c>
      <c r="M1352" s="0" t="n">
        <f aca="false">IF(OR('Offshore - Sydney'!E479="",ISNUMBER(SEARCH("BSB80120",'Offshore - Sydney'!B479&amp;'Offshore - Sydney'!N479)),ISNUMBER(SEARCH("Management (Learning)",'Offshore - Sydney'!B479))),2,IF(ISNUMBER(SEARCH("CEK:",'Offshore - Sydney'!N479)),1,0))</f>
        <v>0</v>
      </c>
    </row>
    <row r="1353" customFormat="false" ht="15" hidden="false" customHeight="false" outlineLevel="0" collapsed="false">
      <c r="A1353" s="63" t="s">
        <v>3533</v>
      </c>
      <c r="B1353" s="64" t="s">
        <v>4297</v>
      </c>
      <c r="C1353" s="63" t="s">
        <v>41</v>
      </c>
      <c r="D1353" s="64" t="str">
        <f aca="false">TRIM(LEFT('Offshore - Sydney'!A673,FIND(CHAR(10),'Offshore - Sydney'!A673&amp;CHAR(10))-1))</f>
        <v>Rosewood International College</v>
      </c>
      <c r="E1353" s="63" t="str">
        <f aca="false">'Offshore - Sydney'!C676&amp;""</f>
        <v>2 years</v>
      </c>
      <c r="F1353" s="63" t="str">
        <f aca="false">IF('Offshore - Sydney'!D676="","Belum tercatat",'Offshore - Sydney'!D676)</f>
        <v>Term</v>
      </c>
      <c r="G1353" s="65" t="n">
        <f aca="false">IF('Offshore - Sydney'!E676="","-",'Offshore - Sydney'!E676)</f>
        <v>2500</v>
      </c>
      <c r="H1353" s="63" t="n">
        <f aca="false">IF(ISNUMBER(K1353),COUNTIFS($J$6:$J$1854,J1353,$K$6:$K$1854,"&lt;"&amp;K1353)+1,"-")</f>
        <v>14</v>
      </c>
      <c r="I1353" s="64" t="str">
        <f aca="false">IF('Offshore - Sydney'!E676="","Harga belum tersedia - hubungi konsultan TEG",IF(M1353=2,"Saat ini tidak menerima pendaftaran siswa internasional baru",IF(M1353=1,"Harga perlu dikonfirmasi ke sekolah"&amp;IF(""="","","; "&amp;""),"")))</f>
        <v/>
      </c>
      <c r="J1353" s="0" t="s">
        <v>4358</v>
      </c>
      <c r="K1353" s="0" t="n">
        <f aca="false">IF(M1353=2,"",IF(ISNUMBER(SEARCH("rata-rata:",'Offshore - Sydney'!N676)),VALUE(MID('Offshore - Sydney'!N676,SEARCH("rata-rata:",'Offshore - Sydney'!N676)+11,FIND(";",'Offshore - Sydney'!N676&amp;";",SEARCH("rata-rata:",'Offshore - Sydney'!N676))-SEARCH("rata-rata:",'Offshore - Sydney'!N676)-11)),IF('Offshore - Sydney'!D676="Semester",'Offshore - Sydney'!E676*2,IF('Offshore - Sydney'!D676="Trimester",'Offshore - Sydney'!E676*3,IF('Offshore - Sydney'!D676="Term",'Offshore - Sydney'!E676*4,IF('Offshore - Sydney'!D676="Unit",'Offshore - Sydney'!E676*8,""))))))</f>
        <v>10000</v>
      </c>
      <c r="L1353" s="0" t="n">
        <f aca="false">IF(AND(ISNUMBER('Offshore - Sydney'!E676),ISNUMBER(K1353),ISNUMBER('Offshore - Sydney'!F676),ISNUMBER('Offshore - Sydney'!G676),OR('Offshore - Sydney'!F676&lt;&gt;0,ISNUMBER(SEARCH("Material 0 terverifikasi",'Offshore - Sydney'!N676))),OR('Offshore - Sydney'!G676&lt;&gt;0,ISNUMBER(SEARCH("Enrolment 0 terverifikasi",'Offshore - Sydney'!N676)))),1,0)</f>
        <v>1</v>
      </c>
      <c r="M1353" s="0" t="n">
        <f aca="false">IF(OR('Offshore - Sydney'!E676="",ISNUMBER(SEARCH("BSB80120",'Offshore - Sydney'!B676&amp;'Offshore - Sydney'!N676)),ISNUMBER(SEARCH("Management (Learning)",'Offshore - Sydney'!B676))),2,IF(ISNUMBER(SEARCH("CEK:",'Offshore - Sydney'!N676)),1,0))</f>
        <v>0</v>
      </c>
    </row>
    <row r="1354" customFormat="false" ht="15" hidden="false" customHeight="false" outlineLevel="0" collapsed="false">
      <c r="A1354" s="63" t="s">
        <v>3533</v>
      </c>
      <c r="B1354" s="64" t="s">
        <v>4297</v>
      </c>
      <c r="C1354" s="63" t="s">
        <v>41</v>
      </c>
      <c r="D1354" s="64" t="str">
        <f aca="false">TRIM(LEFT('Offshore - Sydney'!A414,FIND(CHAR(10),'Offshore - Sydney'!A414&amp;CHAR(10))-1))</f>
        <v>Evolution Hospitality Institute</v>
      </c>
      <c r="E1354" s="63" t="str">
        <f aca="false">'Offshore - Sydney'!C425&amp;""</f>
        <v>1,5 years</v>
      </c>
      <c r="F1354" s="63" t="str">
        <f aca="false">IF('Offshore - Sydney'!D425="","Belum tercatat",'Offshore - Sydney'!D425)</f>
        <v>Term</v>
      </c>
      <c r="G1354" s="65" t="n">
        <f aca="false">IF('Offshore - Sydney'!E425="","-",'Offshore - Sydney'!E425)</f>
        <v>2550</v>
      </c>
      <c r="H1354" s="63" t="n">
        <f aca="false">IF(ISNUMBER(K1354),COUNTIFS($J$6:$J$1854,J1354,$K$6:$K$1854,"&lt;"&amp;K1354)+1,"-")</f>
        <v>16</v>
      </c>
      <c r="I1354" s="64" t="str">
        <f aca="false">IF('Offshore - Sydney'!E425="","Harga belum tersedia - hubungi konsultan TEG",IF(M1354=2,"Saat ini tidak menerima pendaftaran siswa internasional baru",IF(M1354=1,"Harga perlu dikonfirmasi ke sekolah"&amp;IF(""="","","; "&amp;""),"")))</f>
        <v>Harga perlu dikonfirmasi ke sekolah</v>
      </c>
      <c r="J1354" s="0" t="s">
        <v>4358</v>
      </c>
      <c r="K1354" s="0" t="n">
        <f aca="false">IF(M1354=2,"",IF(ISNUMBER(SEARCH("rata-rata:",'Offshore - Sydney'!N425)),VALUE(MID('Offshore - Sydney'!N425,SEARCH("rata-rata:",'Offshore - Sydney'!N425)+11,FIND(";",'Offshore - Sydney'!N425&amp;";",SEARCH("rata-rata:",'Offshore - Sydney'!N425))-SEARCH("rata-rata:",'Offshore - Sydney'!N425)-11)),IF('Offshore - Sydney'!D425="Semester",'Offshore - Sydney'!E425*2,IF('Offshore - Sydney'!D425="Trimester",'Offshore - Sydney'!E425*3,IF('Offshore - Sydney'!D425="Term",'Offshore - Sydney'!E425*4,IF('Offshore - Sydney'!D425="Unit",'Offshore - Sydney'!E425*8,""))))))</f>
        <v>10200</v>
      </c>
      <c r="L1354" s="0" t="n">
        <f aca="false">IF(AND(ISNUMBER('Offshore - Sydney'!E425),ISNUMBER(K1354),ISNUMBER('Offshore - Sydney'!F425),ISNUMBER('Offshore - Sydney'!G425),OR('Offshore - Sydney'!F425&lt;&gt;0,ISNUMBER(SEARCH("Material 0 terverifikasi",'Offshore - Sydney'!N425))),OR('Offshore - Sydney'!G425&lt;&gt;0,ISNUMBER(SEARCH("Enrolment 0 terverifikasi",'Offshore - Sydney'!N425)))),1,0)</f>
        <v>1</v>
      </c>
      <c r="M1354" s="0" t="n">
        <f aca="false">IF(OR('Offshore - Sydney'!E425="",ISNUMBER(SEARCH("BSB80120",'Offshore - Sydney'!B425&amp;'Offshore - Sydney'!N425)),ISNUMBER(SEARCH("Management (Learning)",'Offshore - Sydney'!B425))),2,IF(ISNUMBER(SEARCH("CEK:",'Offshore - Sydney'!N425)),1,0))</f>
        <v>1</v>
      </c>
    </row>
    <row r="1355" customFormat="false" ht="15" hidden="false" customHeight="false" outlineLevel="0" collapsed="false">
      <c r="A1355" s="63" t="s">
        <v>3533</v>
      </c>
      <c r="B1355" s="64" t="s">
        <v>4297</v>
      </c>
      <c r="C1355" s="63" t="s">
        <v>41</v>
      </c>
      <c r="D1355" s="64" t="str">
        <f aca="false">TRIM(LEFT('Offshore - Sydney'!A349,FIND(CHAR(10),'Offshore - Sydney'!A349&amp;CHAR(10))-1))</f>
        <v>Capstone Institute of Australia (CIA)</v>
      </c>
      <c r="E1355" s="63" t="str">
        <f aca="false">'Offshore - Sydney'!C349&amp;""</f>
        <v>2 years</v>
      </c>
      <c r="F1355" s="63" t="str">
        <f aca="false">IF('Offshore - Sydney'!D349="","Belum tercatat",'Offshore - Sydney'!D349)</f>
        <v>Term</v>
      </c>
      <c r="G1355" s="65" t="n">
        <f aca="false">IF('Offshore - Sydney'!E349="","-",'Offshore - Sydney'!E349)</f>
        <v>2700</v>
      </c>
      <c r="H1355" s="63" t="n">
        <f aca="false">IF(ISNUMBER(K1355),COUNTIFS($J$6:$J$1854,J1355,$K$6:$K$1854,"&lt;"&amp;K1355)+1,"-")</f>
        <v>17</v>
      </c>
      <c r="I1355" s="64" t="str">
        <f aca="false">IF('Offshore - Sydney'!E349="","Harga belum tersedia - hubungi konsultan TEG",IF(M1355=2,"Saat ini tidak menerima pendaftaran siswa internasional baru",IF(M1355=1,"Harga perlu dikonfirmasi ke sekolah"&amp;IF(""="","","; "&amp;""),"")))</f>
        <v/>
      </c>
      <c r="J1355" s="0" t="s">
        <v>4358</v>
      </c>
      <c r="K1355" s="0" t="n">
        <f aca="false">IF(M1355=2,"",IF(ISNUMBER(SEARCH("rata-rata:",'Offshore - Sydney'!N349)),VALUE(MID('Offshore - Sydney'!N349,SEARCH("rata-rata:",'Offshore - Sydney'!N349)+11,FIND(";",'Offshore - Sydney'!N349&amp;";",SEARCH("rata-rata:",'Offshore - Sydney'!N349))-SEARCH("rata-rata:",'Offshore - Sydney'!N349)-11)),IF('Offshore - Sydney'!D349="Semester",'Offshore - Sydney'!E349*2,IF('Offshore - Sydney'!D349="Trimester",'Offshore - Sydney'!E349*3,IF('Offshore - Sydney'!D349="Term",'Offshore - Sydney'!E349*4,IF('Offshore - Sydney'!D349="Unit",'Offshore - Sydney'!E349*8,""))))))</f>
        <v>10800</v>
      </c>
      <c r="L1355" s="0" t="n">
        <f aca="false">IF(AND(ISNUMBER('Offshore - Sydney'!E349),ISNUMBER(K1355),ISNUMBER('Offshore - Sydney'!F349),ISNUMBER('Offshore - Sydney'!G349),OR('Offshore - Sydney'!F349&lt;&gt;0,ISNUMBER(SEARCH("Material 0 terverifikasi",'Offshore - Sydney'!N349))),OR('Offshore - Sydney'!G349&lt;&gt;0,ISNUMBER(SEARCH("Enrolment 0 terverifikasi",'Offshore - Sydney'!N349)))),1,0)</f>
        <v>1</v>
      </c>
      <c r="M1355" s="0" t="n">
        <f aca="false">IF(OR('Offshore - Sydney'!E349="",ISNUMBER(SEARCH("BSB80120",'Offshore - Sydney'!B349&amp;'Offshore - Sydney'!N349)),ISNUMBER(SEARCH("Management (Learning)",'Offshore - Sydney'!B349))),2,IF(ISNUMBER(SEARCH("CEK:",'Offshore - Sydney'!N349)),1,0))</f>
        <v>0</v>
      </c>
    </row>
    <row r="1356" customFormat="false" ht="15" hidden="false" customHeight="false" outlineLevel="0" collapsed="false">
      <c r="A1356" s="63" t="s">
        <v>3533</v>
      </c>
      <c r="B1356" s="64" t="s">
        <v>4297</v>
      </c>
      <c r="C1356" s="63" t="s">
        <v>41</v>
      </c>
      <c r="D1356" s="64" t="str">
        <f aca="false">TRIM(LEFT('Offshore - Sydney'!A111,FIND(CHAR(10),'Offshore - Sydney'!A111&amp;CHAR(10))-1))</f>
        <v>Alliance College</v>
      </c>
      <c r="E1356" s="63" t="str">
        <f aca="false">'Offshore - Sydney'!C111&amp;""</f>
        <v>2 years</v>
      </c>
      <c r="F1356" s="63" t="str">
        <f aca="false">IF('Offshore - Sydney'!D111="","Belum tercatat",'Offshore - Sydney'!D111)</f>
        <v>Term</v>
      </c>
      <c r="G1356" s="65" t="n">
        <f aca="false">IF('Offshore - Sydney'!E111="","-",'Offshore - Sydney'!E111)</f>
        <v>2875</v>
      </c>
      <c r="H1356" s="63" t="n">
        <f aca="false">IF(ISNUMBER(K1356),COUNTIFS($J$6:$J$1854,J1356,$K$6:$K$1854,"&lt;"&amp;K1356)+1,"-")</f>
        <v>18</v>
      </c>
      <c r="I1356" s="64" t="str">
        <f aca="false">IF('Offshore - Sydney'!E111="","Harga belum tersedia - hubungi konsultan TEG",IF(M1356=2,"Saat ini tidak menerima pendaftaran siswa internasional baru",IF(M1356=1,"Harga perlu dikonfirmasi ke sekolah"&amp;IF(""="","","; "&amp;""),"")))</f>
        <v/>
      </c>
      <c r="J1356" s="0" t="s">
        <v>4358</v>
      </c>
      <c r="K1356" s="0" t="n">
        <f aca="false">IF(M1356=2,"",IF(ISNUMBER(SEARCH("rata-rata:",'Offshore - Sydney'!N111)),VALUE(MID('Offshore - Sydney'!N111,SEARCH("rata-rata:",'Offshore - Sydney'!N111)+11,FIND(";",'Offshore - Sydney'!N111&amp;";",SEARCH("rata-rata:",'Offshore - Sydney'!N111))-SEARCH("rata-rata:",'Offshore - Sydney'!N111)-11)),IF('Offshore - Sydney'!D111="Semester",'Offshore - Sydney'!E111*2,IF('Offshore - Sydney'!D111="Trimester",'Offshore - Sydney'!E111*3,IF('Offshore - Sydney'!D111="Term",'Offshore - Sydney'!E111*4,IF('Offshore - Sydney'!D111="Unit",'Offshore - Sydney'!E111*8,""))))))</f>
        <v>11500</v>
      </c>
      <c r="L1356" s="0" t="n">
        <f aca="false">IF(AND(ISNUMBER('Offshore - Sydney'!E111),ISNUMBER(K1356),ISNUMBER('Offshore - Sydney'!F111),ISNUMBER('Offshore - Sydney'!G111),OR('Offshore - Sydney'!F111&lt;&gt;0,ISNUMBER(SEARCH("Material 0 terverifikasi",'Offshore - Sydney'!N111))),OR('Offshore - Sydney'!G111&lt;&gt;0,ISNUMBER(SEARCH("Enrolment 0 terverifikasi",'Offshore - Sydney'!N111)))),1,0)</f>
        <v>1</v>
      </c>
      <c r="M1356" s="0" t="n">
        <f aca="false">IF(OR('Offshore - Sydney'!E111="",ISNUMBER(SEARCH("BSB80120",'Offshore - Sydney'!B111&amp;'Offshore - Sydney'!N111)),ISNUMBER(SEARCH("Management (Learning)",'Offshore - Sydney'!B111))),2,IF(ISNUMBER(SEARCH("CEK:",'Offshore - Sydney'!N111)),1,0))</f>
        <v>0</v>
      </c>
    </row>
    <row r="1357" customFormat="false" ht="15" hidden="false" customHeight="false" outlineLevel="0" collapsed="false">
      <c r="A1357" s="63" t="s">
        <v>3533</v>
      </c>
      <c r="B1357" s="64" t="s">
        <v>4297</v>
      </c>
      <c r="C1357" s="63" t="s">
        <v>41</v>
      </c>
      <c r="D1357" s="64" t="str">
        <f aca="false">TRIM(LEFT('Offshore - Sydney'!A33,FIND(CHAR(10),'Offshore - Sydney'!A33&amp;CHAR(10))-1))</f>
        <v>Academia of Trade</v>
      </c>
      <c r="E1357" s="63" t="str">
        <f aca="false">'Offshore - Sydney'!C39&amp;""</f>
        <v>2 years</v>
      </c>
      <c r="F1357" s="63" t="str">
        <f aca="false">IF('Offshore - Sydney'!D39="","Belum tercatat",'Offshore - Sydney'!D39)</f>
        <v>Term</v>
      </c>
      <c r="G1357" s="65" t="n">
        <f aca="false">IF('Offshore - Sydney'!E39="","-",'Offshore - Sydney'!E39)</f>
        <v>3000</v>
      </c>
      <c r="H1357" s="63" t="n">
        <f aca="false">IF(ISNUMBER(K1357),COUNTIFS($J$6:$J$1854,J1357,$K$6:$K$1854,"&lt;"&amp;K1357)+1,"-")</f>
        <v>19</v>
      </c>
      <c r="I1357" s="64" t="str">
        <f aca="false">IF('Offshore - Sydney'!E39="","Harga belum tersedia - hubungi konsultan TEG",IF(M1357=2,"Saat ini tidak menerima pendaftaran siswa internasional baru",IF(M1357=1,"Harga perlu dikonfirmasi ke sekolah"&amp;IF(""="","","; "&amp;""),"")))</f>
        <v/>
      </c>
      <c r="J1357" s="0" t="s">
        <v>4358</v>
      </c>
      <c r="K1357" s="0" t="n">
        <f aca="false">IF(M1357=2,"",IF(ISNUMBER(SEARCH("rata-rata:",'Offshore - Sydney'!N39)),VALUE(MID('Offshore - Sydney'!N39,SEARCH("rata-rata:",'Offshore - Sydney'!N39)+11,FIND(";",'Offshore - Sydney'!N39&amp;";",SEARCH("rata-rata:",'Offshore - Sydney'!N39))-SEARCH("rata-rata:",'Offshore - Sydney'!N39)-11)),IF('Offshore - Sydney'!D39="Semester",'Offshore - Sydney'!E39*2,IF('Offshore - Sydney'!D39="Trimester",'Offshore - Sydney'!E39*3,IF('Offshore - Sydney'!D39="Term",'Offshore - Sydney'!E39*4,IF('Offshore - Sydney'!D39="Unit",'Offshore - Sydney'!E39*8,""))))))</f>
        <v>12000</v>
      </c>
      <c r="L1357" s="0" t="n">
        <f aca="false">IF(AND(ISNUMBER('Offshore - Sydney'!E39),ISNUMBER(K1357),ISNUMBER('Offshore - Sydney'!F39),ISNUMBER('Offshore - Sydney'!G39),OR('Offshore - Sydney'!F39&lt;&gt;0,ISNUMBER(SEARCH("Material 0 terverifikasi",'Offshore - Sydney'!N39))),OR('Offshore - Sydney'!G39&lt;&gt;0,ISNUMBER(SEARCH("Enrolment 0 terverifikasi",'Offshore - Sydney'!N39)))),1,0)</f>
        <v>1</v>
      </c>
      <c r="M1357" s="0" t="n">
        <f aca="false">IF(OR('Offshore - Sydney'!E39="",ISNUMBER(SEARCH("BSB80120",'Offshore - Sydney'!B39&amp;'Offshore - Sydney'!N39)),ISNUMBER(SEARCH("Management (Learning)",'Offshore - Sydney'!B39))),2,IF(ISNUMBER(SEARCH("CEK:",'Offshore - Sydney'!N39)),1,0))</f>
        <v>0</v>
      </c>
    </row>
    <row r="1358" customFormat="false" ht="28.35" hidden="false" customHeight="false" outlineLevel="0" collapsed="false">
      <c r="A1358" s="63" t="s">
        <v>3533</v>
      </c>
      <c r="B1358" s="64" t="s">
        <v>4297</v>
      </c>
      <c r="C1358" s="63" t="s">
        <v>41</v>
      </c>
      <c r="D1358" s="64" t="str">
        <f aca="false">TRIM(LEFT('Offshore - Sydney'!A282,FIND(CHAR(10),'Offshore - Sydney'!A282&amp;CHAR(10))-1))</f>
        <v>Australian Harbour International College (AHIC)</v>
      </c>
      <c r="E1358" s="63" t="str">
        <f aca="false">'Offshore - Sydney'!C291&amp;""</f>
        <v>3 years</v>
      </c>
      <c r="F1358" s="63" t="str">
        <f aca="false">IF('Offshore - Sydney'!D291="","Belum tercatat",'Offshore - Sydney'!D291)</f>
        <v>Term</v>
      </c>
      <c r="G1358" s="65" t="n">
        <f aca="false">IF('Offshore - Sydney'!E291="","-",'Offshore - Sydney'!E291)</f>
        <v>3000</v>
      </c>
      <c r="H1358" s="63" t="n">
        <f aca="false">IF(ISNUMBER(K1358),COUNTIFS($J$6:$J$1854,J1358,$K$6:$K$1854,"&lt;"&amp;K1358)+1,"-")</f>
        <v>19</v>
      </c>
      <c r="I1358" s="64" t="str">
        <f aca="false">IF('Offshore - Sydney'!E291="","Harga belum tersedia - hubungi konsultan TEG",IF(M1358=2,"Saat ini tidak menerima pendaftaran siswa internasional baru",IF(M1358=1,"Harga perlu dikonfirmasi ke sekolah"&amp;IF(""="","","; "&amp;""),"")))</f>
        <v/>
      </c>
      <c r="J1358" s="0" t="s">
        <v>4358</v>
      </c>
      <c r="K1358" s="0" t="n">
        <f aca="false">IF(M1358=2,"",IF(ISNUMBER(SEARCH("rata-rata:",'Offshore - Sydney'!N291)),VALUE(MID('Offshore - Sydney'!N291,SEARCH("rata-rata:",'Offshore - Sydney'!N291)+11,FIND(";",'Offshore - Sydney'!N291&amp;";",SEARCH("rata-rata:",'Offshore - Sydney'!N291))-SEARCH("rata-rata:",'Offshore - Sydney'!N291)-11)),IF('Offshore - Sydney'!D291="Semester",'Offshore - Sydney'!E291*2,IF('Offshore - Sydney'!D291="Trimester",'Offshore - Sydney'!E291*3,IF('Offshore - Sydney'!D291="Term",'Offshore - Sydney'!E291*4,IF('Offshore - Sydney'!D291="Unit",'Offshore - Sydney'!E291*8,""))))))</f>
        <v>12000</v>
      </c>
      <c r="L1358" s="0" t="n">
        <f aca="false">IF(AND(ISNUMBER('Offshore - Sydney'!E291),ISNUMBER(K1358),ISNUMBER('Offshore - Sydney'!F291),ISNUMBER('Offshore - Sydney'!G291),OR('Offshore - Sydney'!F291&lt;&gt;0,ISNUMBER(SEARCH("Material 0 terverifikasi",'Offshore - Sydney'!N291))),OR('Offshore - Sydney'!G291&lt;&gt;0,ISNUMBER(SEARCH("Enrolment 0 terverifikasi",'Offshore - Sydney'!N291)))),1,0)</f>
        <v>1</v>
      </c>
      <c r="M1358" s="0" t="n">
        <f aca="false">IF(OR('Offshore - Sydney'!E291="",ISNUMBER(SEARCH("BSB80120",'Offshore - Sydney'!B291&amp;'Offshore - Sydney'!N291)),ISNUMBER(SEARCH("Management (Learning)",'Offshore - Sydney'!B291))),2,IF(ISNUMBER(SEARCH("CEK:",'Offshore - Sydney'!N291)),1,0))</f>
        <v>0</v>
      </c>
    </row>
    <row r="1359" customFormat="false" ht="15" hidden="false" customHeight="false" outlineLevel="0" collapsed="false">
      <c r="A1359" s="63" t="s">
        <v>3533</v>
      </c>
      <c r="B1359" s="64" t="s">
        <v>4297</v>
      </c>
      <c r="C1359" s="63" t="s">
        <v>41</v>
      </c>
      <c r="D1359" s="64" t="str">
        <f aca="false">TRIM(LEFT('Offshore - Sydney'!A609,FIND(CHAR(10),'Offshore - Sydney'!A609&amp;CHAR(10))-1))</f>
        <v>New Era Institute</v>
      </c>
      <c r="E1359" s="63" t="str">
        <f aca="false">'Offshore - Sydney'!C612&amp;""</f>
        <v>2 years</v>
      </c>
      <c r="F1359" s="63" t="str">
        <f aca="false">IF('Offshore - Sydney'!D612="","Belum tercatat",'Offshore - Sydney'!D612)</f>
        <v>Term</v>
      </c>
      <c r="G1359" s="65" t="n">
        <f aca="false">IF('Offshore - Sydney'!E612="","-",'Offshore - Sydney'!E612)</f>
        <v>3080</v>
      </c>
      <c r="H1359" s="63" t="n">
        <f aca="false">IF(ISNUMBER(K1359),COUNTIFS($J$6:$J$1854,J1359,$K$6:$K$1854,"&lt;"&amp;K1359)+1,"-")</f>
        <v>21</v>
      </c>
      <c r="I1359" s="64" t="str">
        <f aca="false">IF('Offshore - Sydney'!E612="","Harga belum tersedia - hubungi konsultan TEG",IF(M1359=2,"Saat ini tidak menerima pendaftaran siswa internasional baru",IF(M1359=1,"Harga perlu dikonfirmasi ke sekolah"&amp;IF(""="","","; "&amp;""),"")))</f>
        <v/>
      </c>
      <c r="J1359" s="0" t="s">
        <v>4358</v>
      </c>
      <c r="K1359" s="0" t="n">
        <f aca="false">IF(M1359=2,"",IF(ISNUMBER(SEARCH("rata-rata:",'Offshore - Sydney'!N612)),VALUE(MID('Offshore - Sydney'!N612,SEARCH("rata-rata:",'Offshore - Sydney'!N612)+11,FIND(";",'Offshore - Sydney'!N612&amp;";",SEARCH("rata-rata:",'Offshore - Sydney'!N612))-SEARCH("rata-rata:",'Offshore - Sydney'!N612)-11)),IF('Offshore - Sydney'!D612="Semester",'Offshore - Sydney'!E612*2,IF('Offshore - Sydney'!D612="Trimester",'Offshore - Sydney'!E612*3,IF('Offshore - Sydney'!D612="Term",'Offshore - Sydney'!E612*4,IF('Offshore - Sydney'!D612="Unit",'Offshore - Sydney'!E612*8,""))))))</f>
        <v>12320</v>
      </c>
      <c r="L1359" s="0" t="n">
        <f aca="false">IF(AND(ISNUMBER('Offshore - Sydney'!E612),ISNUMBER(K1359),ISNUMBER('Offshore - Sydney'!F612),ISNUMBER('Offshore - Sydney'!G612),OR('Offshore - Sydney'!F612&lt;&gt;0,ISNUMBER(SEARCH("Material 0 terverifikasi",'Offshore - Sydney'!N612))),OR('Offshore - Sydney'!G612&lt;&gt;0,ISNUMBER(SEARCH("Enrolment 0 terverifikasi",'Offshore - Sydney'!N612)))),1,0)</f>
        <v>1</v>
      </c>
      <c r="M1359" s="0" t="n">
        <f aca="false">IF(OR('Offshore - Sydney'!E612="",ISNUMBER(SEARCH("BSB80120",'Offshore - Sydney'!B612&amp;'Offshore - Sydney'!N612)),ISNUMBER(SEARCH("Management (Learning)",'Offshore - Sydney'!B612))),2,IF(ISNUMBER(SEARCH("CEK:",'Offshore - Sydney'!N612)),1,0))</f>
        <v>0</v>
      </c>
    </row>
    <row r="1360" customFormat="false" ht="15" hidden="false" customHeight="false" outlineLevel="0" collapsed="false">
      <c r="A1360" s="63" t="s">
        <v>3533</v>
      </c>
      <c r="B1360" s="64" t="s">
        <v>4297</v>
      </c>
      <c r="C1360" s="63" t="s">
        <v>41</v>
      </c>
      <c r="D1360" s="64" t="str">
        <f aca="false">TRIM(LEFT('Offshore - Sydney'!A968,FIND(CHAR(10),'Offshore - Sydney'!A968&amp;CHAR(10))-1))</f>
        <v>Western Sydney College (WSC)</v>
      </c>
      <c r="E1360" s="63" t="str">
        <f aca="false">'Offshore - Sydney'!C976&amp;""</f>
        <v>2 years</v>
      </c>
      <c r="F1360" s="63" t="str">
        <f aca="false">IF('Offshore - Sydney'!D976="","Belum tercatat",'Offshore - Sydney'!D976)</f>
        <v>Term</v>
      </c>
      <c r="G1360" s="65" t="n">
        <f aca="false">IF('Offshore - Sydney'!E976="","-",'Offshore - Sydney'!E976)</f>
        <v>3250</v>
      </c>
      <c r="H1360" s="63" t="n">
        <f aca="false">IF(ISNUMBER(K1360),COUNTIFS($J$6:$J$1854,J1360,$K$6:$K$1854,"&lt;"&amp;K1360)+1,"-")</f>
        <v>22</v>
      </c>
      <c r="I1360" s="64" t="str">
        <f aca="false">IF('Offshore - Sydney'!E976="","Harga belum tersedia - hubungi konsultan TEG",IF(M1360=2,"Saat ini tidak menerima pendaftaran siswa internasional baru",IF(M1360=1,"Program perlu dikonfirmasi ketersediaannya"&amp;IF(""="","","; "&amp;""),"")))</f>
        <v>Program perlu dikonfirmasi ketersediaannya</v>
      </c>
      <c r="J1360" s="0" t="s">
        <v>4358</v>
      </c>
      <c r="K1360" s="0" t="n">
        <f aca="false">IF(M1360=2,"",IF(ISNUMBER(SEARCH("rata-rata:",'Offshore - Sydney'!N976)),VALUE(MID('Offshore - Sydney'!N976,SEARCH("rata-rata:",'Offshore - Sydney'!N976)+11,FIND(";",'Offshore - Sydney'!N976&amp;";",SEARCH("rata-rata:",'Offshore - Sydney'!N976))-SEARCH("rata-rata:",'Offshore - Sydney'!N976)-11)),IF('Offshore - Sydney'!D976="Semester",'Offshore - Sydney'!E976*2,IF('Offshore - Sydney'!D976="Trimester",'Offshore - Sydney'!E976*3,IF('Offshore - Sydney'!D976="Term",'Offshore - Sydney'!E976*4,IF('Offshore - Sydney'!D976="Unit",'Offshore - Sydney'!E976*8,""))))))</f>
        <v>13000</v>
      </c>
      <c r="L1360" s="0" t="n">
        <f aca="false">IF(AND(ISNUMBER('Offshore - Sydney'!E976),ISNUMBER(K1360),ISNUMBER('Offshore - Sydney'!F976),ISNUMBER('Offshore - Sydney'!G976),OR('Offshore - Sydney'!F976&lt;&gt;0,ISNUMBER(SEARCH("Material 0 terverifikasi",'Offshore - Sydney'!N976))),OR('Offshore - Sydney'!G976&lt;&gt;0,ISNUMBER(SEARCH("Enrolment 0 terverifikasi",'Offshore - Sydney'!N976)))),1,0)</f>
        <v>1</v>
      </c>
      <c r="M1360" s="0" t="n">
        <f aca="false">IF(OR('Offshore - Sydney'!E976="",ISNUMBER(SEARCH("BSB80120",'Offshore - Sydney'!B976&amp;'Offshore - Sydney'!N976)),ISNUMBER(SEARCH("Management (Learning)",'Offshore - Sydney'!B976))),2,IF(ISNUMBER(SEARCH("CEK:",'Offshore - Sydney'!N976)),1,0))</f>
        <v>1</v>
      </c>
    </row>
    <row r="1361" customFormat="false" ht="15" hidden="false" customHeight="false" outlineLevel="0" collapsed="false">
      <c r="A1361" s="63" t="s">
        <v>3533</v>
      </c>
      <c r="B1361" s="64" t="s">
        <v>4297</v>
      </c>
      <c r="C1361" s="63" t="s">
        <v>41</v>
      </c>
      <c r="D1361" s="64" t="str">
        <f aca="false">TRIM(LEFT('Offshore - Sydney'!A102,FIND(CHAR(10),'Offshore - Sydney'!A102&amp;CHAR(10))-1))</f>
        <v>Alice Springs College of Australia (ASCA)</v>
      </c>
      <c r="E1361" s="63" t="str">
        <f aca="false">'Offshore - Sydney'!C102&amp;""</f>
        <v>3,5 years</v>
      </c>
      <c r="F1361" s="63" t="str">
        <f aca="false">IF('Offshore - Sydney'!D102="","Belum tercatat",'Offshore - Sydney'!D102)</f>
        <v>Term</v>
      </c>
      <c r="G1361" s="65" t="n">
        <f aca="false">IF('Offshore - Sydney'!E102="","-",'Offshore - Sydney'!E102)</f>
        <v>3333</v>
      </c>
      <c r="H1361" s="63" t="n">
        <f aca="false">IF(ISNUMBER(K1361),COUNTIFS($J$6:$J$1854,J1361,$K$6:$K$1854,"&lt;"&amp;K1361)+1,"-")</f>
        <v>23</v>
      </c>
      <c r="I1361" s="64" t="str">
        <f aca="false">IF('Offshore - Sydney'!E102="","Harga belum tersedia - hubungi konsultan TEG",IF(M1361=2,"Saat ini tidak menerima pendaftaran siswa internasional baru",IF(M1361=1,"Harga perlu dikonfirmasi ke sekolah"&amp;IF(""="","","; "&amp;""),"")))</f>
        <v/>
      </c>
      <c r="J1361" s="0" t="s">
        <v>4358</v>
      </c>
      <c r="K1361" s="0" t="n">
        <f aca="false">IF(M1361=2,"",IF(ISNUMBER(SEARCH("rata-rata:",'Offshore - Sydney'!N102)),VALUE(MID('Offshore - Sydney'!N102,SEARCH("rata-rata:",'Offshore - Sydney'!N102)+11,FIND(";",'Offshore - Sydney'!N102&amp;";",SEARCH("rata-rata:",'Offshore - Sydney'!N102))-SEARCH("rata-rata:",'Offshore - Sydney'!N102)-11)),IF('Offshore - Sydney'!D102="Semester",'Offshore - Sydney'!E102*2,IF('Offshore - Sydney'!D102="Trimester",'Offshore - Sydney'!E102*3,IF('Offshore - Sydney'!D102="Term",'Offshore - Sydney'!E102*4,IF('Offshore - Sydney'!D102="Unit",'Offshore - Sydney'!E102*8,""))))))</f>
        <v>13332</v>
      </c>
      <c r="L1361" s="0" t="n">
        <f aca="false">IF(AND(ISNUMBER('Offshore - Sydney'!E102),ISNUMBER(K1361),ISNUMBER('Offshore - Sydney'!F102),ISNUMBER('Offshore - Sydney'!G102),OR('Offshore - Sydney'!F102&lt;&gt;0,ISNUMBER(SEARCH("Material 0 terverifikasi",'Offshore - Sydney'!N102))),OR('Offshore - Sydney'!G102&lt;&gt;0,ISNUMBER(SEARCH("Enrolment 0 terverifikasi",'Offshore - Sydney'!N102)))),1,0)</f>
        <v>1</v>
      </c>
      <c r="M1361" s="0" t="n">
        <f aca="false">IF(OR('Offshore - Sydney'!E102="",ISNUMBER(SEARCH("BSB80120",'Offshore - Sydney'!B102&amp;'Offshore - Sydney'!N102)),ISNUMBER(SEARCH("Management (Learning)",'Offshore - Sydney'!B102))),2,IF(ISNUMBER(SEARCH("CEK:",'Offshore - Sydney'!N102)),1,0))</f>
        <v>0</v>
      </c>
    </row>
    <row r="1362" customFormat="false" ht="15" hidden="false" customHeight="false" outlineLevel="0" collapsed="false">
      <c r="A1362" s="63" t="s">
        <v>3533</v>
      </c>
      <c r="B1362" s="64" t="s">
        <v>4297</v>
      </c>
      <c r="C1362" s="63" t="s">
        <v>41</v>
      </c>
      <c r="D1362" s="64" t="str">
        <f aca="false">TRIM(LEFT('Offshore - Sydney'!A721,FIND(CHAR(10),'Offshore - Sydney'!A721&amp;CHAR(10))-1))</f>
        <v>TAFE NSW</v>
      </c>
      <c r="E1362" s="63" t="str">
        <f aca="false">'Offshore - Sydney'!C749&amp;""</f>
        <v>1 year</v>
      </c>
      <c r="F1362" s="63" t="str">
        <f aca="false">IF('Offshore - Sydney'!D749="","Belum tercatat",'Offshore - Sydney'!D749)</f>
        <v>Term</v>
      </c>
      <c r="G1362" s="65" t="n">
        <f aca="false">IF('Offshore - Sydney'!E749="","-",'Offshore - Sydney'!E749)</f>
        <v>3732</v>
      </c>
      <c r="H1362" s="63" t="n">
        <f aca="false">IF(ISNUMBER(K1362),COUNTIFS($J$6:$J$1854,J1362,$K$6:$K$1854,"&lt;"&amp;K1362)+1,"-")</f>
        <v>24</v>
      </c>
      <c r="I1362" s="64" t="str">
        <f aca="false">IF('Offshore - Sydney'!E749="","Harga belum tersedia - hubungi konsultan TEG",IF(M1362=2,"Saat ini tidak menerima pendaftaran siswa internasional baru",IF(M1362=1,"Harga perlu dikonfirmasi ke sekolah"&amp;IF(""="","","; "&amp;""),"")))</f>
        <v/>
      </c>
      <c r="J1362" s="0" t="s">
        <v>4358</v>
      </c>
      <c r="K1362" s="0" t="n">
        <f aca="false">IF(M1362=2,"",IF(ISNUMBER(SEARCH("rata-rata:",'Offshore - Sydney'!N749)),VALUE(MID('Offshore - Sydney'!N749,SEARCH("rata-rata:",'Offshore - Sydney'!N749)+11,FIND(";",'Offshore - Sydney'!N749&amp;";",SEARCH("rata-rata:",'Offshore - Sydney'!N749))-SEARCH("rata-rata:",'Offshore - Sydney'!N749)-11)),IF('Offshore - Sydney'!D749="Semester",'Offshore - Sydney'!E749*2,IF('Offshore - Sydney'!D749="Trimester",'Offshore - Sydney'!E749*3,IF('Offshore - Sydney'!D749="Term",'Offshore - Sydney'!E749*4,IF('Offshore - Sydney'!D749="Unit",'Offshore - Sydney'!E749*8,""))))))</f>
        <v>14928</v>
      </c>
      <c r="L1362" s="0" t="n">
        <f aca="false">IF(AND(ISNUMBER('Offshore - Sydney'!E749),ISNUMBER(K1362),ISNUMBER('Offshore - Sydney'!F749),ISNUMBER('Offshore - Sydney'!G749),OR('Offshore - Sydney'!F749&lt;&gt;0,ISNUMBER(SEARCH("Material 0 terverifikasi",'Offshore - Sydney'!N749))),OR('Offshore - Sydney'!G749&lt;&gt;0,ISNUMBER(SEARCH("Enrolment 0 terverifikasi",'Offshore - Sydney'!N749)))),1,0)</f>
        <v>0</v>
      </c>
      <c r="M1362" s="0" t="n">
        <f aca="false">IF(OR('Offshore - Sydney'!E749="",ISNUMBER(SEARCH("BSB80120",'Offshore - Sydney'!B749&amp;'Offshore - Sydney'!N749)),ISNUMBER(SEARCH("Management (Learning)",'Offshore - Sydney'!B749))),2,IF(ISNUMBER(SEARCH("CEK:",'Offshore - Sydney'!N749)),1,0))</f>
        <v>0</v>
      </c>
    </row>
    <row r="1363" customFormat="false" ht="15" hidden="false" customHeight="false" outlineLevel="0" collapsed="false">
      <c r="A1363" s="63" t="s">
        <v>3533</v>
      </c>
      <c r="B1363" s="64" t="s">
        <v>4297</v>
      </c>
      <c r="C1363" s="63" t="s">
        <v>41</v>
      </c>
      <c r="D1363" s="64" t="str">
        <f aca="false">TRIM(LEFT('Offshore - Sydney'!A481,FIND(CHAR(10),'Offshore - Sydney'!A481&amp;CHAR(10))-1))</f>
        <v>Hunter Education Group</v>
      </c>
      <c r="E1363" s="63" t="str">
        <f aca="false">'Offshore - Sydney'!C485&amp;""</f>
        <v>1,5 years</v>
      </c>
      <c r="F1363" s="63" t="str">
        <f aca="false">IF('Offshore - Sydney'!D485="","Belum tercatat",'Offshore - Sydney'!D485)</f>
        <v>Term</v>
      </c>
      <c r="G1363" s="65" t="n">
        <f aca="false">IF('Offshore - Sydney'!E485="","-",'Offshore - Sydney'!E485)</f>
        <v>4500</v>
      </c>
      <c r="H1363" s="63" t="n">
        <f aca="false">IF(ISNUMBER(K1363),COUNTIFS($J$6:$J$1854,J1363,$K$6:$K$1854,"&lt;"&amp;K1363)+1,"-")</f>
        <v>25</v>
      </c>
      <c r="I1363" s="64" t="str">
        <f aca="false">IF('Offshore - Sydney'!E485="","Harga belum tersedia - hubungi konsultan TEG",IF(M1363=2,"Saat ini tidak menerima pendaftaran siswa internasional baru",IF(M1363=1,"Program perlu dikonfirmasi ketersediaannya"&amp;IF(""="","","; "&amp;""),"")))</f>
        <v>Program perlu dikonfirmasi ketersediaannya</v>
      </c>
      <c r="J1363" s="0" t="s">
        <v>4358</v>
      </c>
      <c r="K1363" s="0" t="n">
        <f aca="false">IF(M1363=2,"",IF(ISNUMBER(SEARCH("rata-rata:",'Offshore - Sydney'!N485)),VALUE(MID('Offshore - Sydney'!N485,SEARCH("rata-rata:",'Offshore - Sydney'!N485)+11,FIND(";",'Offshore - Sydney'!N485&amp;";",SEARCH("rata-rata:",'Offshore - Sydney'!N485))-SEARCH("rata-rata:",'Offshore - Sydney'!N485)-11)),IF('Offshore - Sydney'!D485="Semester",'Offshore - Sydney'!E485*2,IF('Offshore - Sydney'!D485="Trimester",'Offshore - Sydney'!E485*3,IF('Offshore - Sydney'!D485="Term",'Offshore - Sydney'!E485*4,IF('Offshore - Sydney'!D485="Unit",'Offshore - Sydney'!E485*8,""))))))</f>
        <v>18000</v>
      </c>
      <c r="L1363" s="0" t="n">
        <f aca="false">IF(AND(ISNUMBER('Offshore - Sydney'!E485),ISNUMBER(K1363),ISNUMBER('Offshore - Sydney'!F485),ISNUMBER('Offshore - Sydney'!G485),OR('Offshore - Sydney'!F485&lt;&gt;0,ISNUMBER(SEARCH("Material 0 terverifikasi",'Offshore - Sydney'!N485))),OR('Offshore - Sydney'!G485&lt;&gt;0,ISNUMBER(SEARCH("Enrolment 0 terverifikasi",'Offshore - Sydney'!N485)))),1,0)</f>
        <v>0</v>
      </c>
      <c r="M1363" s="0" t="n">
        <f aca="false">IF(OR('Offshore - Sydney'!E485="",ISNUMBER(SEARCH("BSB80120",'Offshore - Sydney'!B485&amp;'Offshore - Sydney'!N485)),ISNUMBER(SEARCH("Management (Learning)",'Offshore - Sydney'!B485))),2,IF(ISNUMBER(SEARCH("CEK:",'Offshore - Sydney'!N485)),1,0))</f>
        <v>1</v>
      </c>
    </row>
    <row r="1364" customFormat="false" ht="15" hidden="false" customHeight="false" outlineLevel="0" collapsed="false">
      <c r="A1364" s="63" t="s">
        <v>3533</v>
      </c>
      <c r="B1364" s="64" t="s">
        <v>4297</v>
      </c>
      <c r="C1364" s="63" t="s">
        <v>41</v>
      </c>
      <c r="D1364" s="64" t="str">
        <f aca="false">TRIM(LEFT('Offshore - Sydney'!A539,FIND(CHAR(10),'Offshore - Sydney'!A539&amp;CHAR(10))-1))</f>
        <v>Le Cordon Bleu Australia</v>
      </c>
      <c r="E1364" s="63" t="str">
        <f aca="false">'Offshore - Sydney'!C542&amp;""</f>
        <v>2,5 years</v>
      </c>
      <c r="F1364" s="63" t="str">
        <f aca="false">IF('Offshore - Sydney'!D542="","Belum tercatat",'Offshore - Sydney'!D542)</f>
        <v>Term</v>
      </c>
      <c r="G1364" s="65" t="n">
        <f aca="false">IF('Offshore - Sydney'!E542="","-",'Offshore - Sydney'!E542)</f>
        <v>7005.6</v>
      </c>
      <c r="H1364" s="63" t="n">
        <f aca="false">IF(ISNUMBER(K1364),COUNTIFS($J$6:$J$1854,J1364,$K$6:$K$1854,"&lt;"&amp;K1364)+1,"-")</f>
        <v>26</v>
      </c>
      <c r="I1364" s="64" t="str">
        <f aca="false">IF('Offshore - Sydney'!E542="","Harga belum tersedia - hubungi konsultan TEG",IF(M1364=2,"Saat ini tidak menerima pendaftaran siswa internasional baru",IF(M1364=1,"Harga perlu dikonfirmasi ke sekolah"&amp;IF(""="","","; "&amp;""),"")))</f>
        <v>Harga perlu dikonfirmasi ke sekolah</v>
      </c>
      <c r="J1364" s="0" t="s">
        <v>4358</v>
      </c>
      <c r="K1364" s="0" t="n">
        <f aca="false">IF(M1364=2,"",IF(ISNUMBER(SEARCH("rata-rata:",'Offshore - Sydney'!N542)),VALUE(MID('Offshore - Sydney'!N542,SEARCH("rata-rata:",'Offshore - Sydney'!N542)+11,FIND(";",'Offshore - Sydney'!N542&amp;";",SEARCH("rata-rata:",'Offshore - Sydney'!N542))-SEARCH("rata-rata:",'Offshore - Sydney'!N542)-11)),IF('Offshore - Sydney'!D542="Semester",'Offshore - Sydney'!E542*2,IF('Offshore - Sydney'!D542="Trimester",'Offshore - Sydney'!E542*3,IF('Offshore - Sydney'!D542="Term",'Offshore - Sydney'!E542*4,IF('Offshore - Sydney'!D542="Unit",'Offshore - Sydney'!E542*8,""))))))</f>
        <v>28022.4</v>
      </c>
      <c r="L1364" s="0" t="n">
        <f aca="false">IF(AND(ISNUMBER('Offshore - Sydney'!E542),ISNUMBER(K1364),ISNUMBER('Offshore - Sydney'!F542),ISNUMBER('Offshore - Sydney'!G542),OR('Offshore - Sydney'!F542&lt;&gt;0,ISNUMBER(SEARCH("Material 0 terverifikasi",'Offshore - Sydney'!N542))),OR('Offshore - Sydney'!G542&lt;&gt;0,ISNUMBER(SEARCH("Enrolment 0 terverifikasi",'Offshore - Sydney'!N542)))),1,0)</f>
        <v>0</v>
      </c>
      <c r="M1364" s="0" t="n">
        <f aca="false">IF(OR('Offshore - Sydney'!E542="",ISNUMBER(SEARCH("BSB80120",'Offshore - Sydney'!B542&amp;'Offshore - Sydney'!N542)),ISNUMBER(SEARCH("Management (Learning)",'Offshore - Sydney'!B542))),2,IF(ISNUMBER(SEARCH("CEK:",'Offshore - Sydney'!N542)),1,0))</f>
        <v>1</v>
      </c>
    </row>
    <row r="1365" customFormat="false" ht="15" hidden="false" customHeight="false" outlineLevel="0" collapsed="false">
      <c r="A1365" s="61" t="s">
        <v>4359</v>
      </c>
      <c r="B1365" s="62"/>
      <c r="C1365" s="62"/>
      <c r="D1365" s="62"/>
      <c r="E1365" s="62"/>
      <c r="F1365" s="62"/>
      <c r="G1365" s="62"/>
      <c r="H1365" s="62"/>
      <c r="I1365" s="62"/>
    </row>
    <row r="1366" customFormat="false" ht="15" hidden="false" customHeight="false" outlineLevel="0" collapsed="false">
      <c r="A1366" s="63" t="s">
        <v>3533</v>
      </c>
      <c r="B1366" s="64" t="s">
        <v>4297</v>
      </c>
      <c r="C1366" s="63" t="s">
        <v>42</v>
      </c>
      <c r="D1366" s="64" t="str">
        <f aca="false">TRIM(LEFT('Offshore - Sydney'!A40,FIND(CHAR(10),'Offshore - Sydney'!A40&amp;CHAR(10))-1))</f>
        <v>Academies Australasia</v>
      </c>
      <c r="E1366" s="63" t="str">
        <f aca="false">'Offshore - Sydney'!C48&amp;""</f>
        <v>2 years</v>
      </c>
      <c r="F1366" s="63" t="str">
        <f aca="false">IF('Offshore - Sydney'!D48="","Belum tercatat",'Offshore - Sydney'!D48)</f>
        <v>Term</v>
      </c>
      <c r="G1366" s="65" t="n">
        <f aca="false">IF('Offshore - Sydney'!E48="","-",'Offshore - Sydney'!E48)</f>
        <v>1500</v>
      </c>
      <c r="H1366" s="63" t="n">
        <f aca="false">IF(ISNUMBER(K1366),COUNTIFS($J$6:$J$1854,J1366,$K$6:$K$1854,"&lt;"&amp;K1366)+1,"-")</f>
        <v>1</v>
      </c>
      <c r="I1366" s="64" t="str">
        <f aca="false">IF('Offshore - Sydney'!E48="","Harga belum tersedia - hubungi konsultan TEG",IF(M1366=2,"Saat ini tidak menerima pendaftaran siswa internasional baru",IF(M1366=1,"Harga perlu dikonfirmasi ke sekolah"&amp;IF(""="","","; "&amp;""),"")))</f>
        <v/>
      </c>
      <c r="J1366" s="0" t="s">
        <v>4360</v>
      </c>
      <c r="K1366" s="0" t="n">
        <f aca="false">IF(M1366=2,"",IF(ISNUMBER(SEARCH("rata-rata:",'Offshore - Sydney'!N48)),VALUE(MID('Offshore - Sydney'!N48,SEARCH("rata-rata:",'Offshore - Sydney'!N48)+11,FIND(";",'Offshore - Sydney'!N48&amp;";",SEARCH("rata-rata:",'Offshore - Sydney'!N48))-SEARCH("rata-rata:",'Offshore - Sydney'!N48)-11)),IF('Offshore - Sydney'!D48="Semester",'Offshore - Sydney'!E48*2,IF('Offshore - Sydney'!D48="Trimester",'Offshore - Sydney'!E48*3,IF('Offshore - Sydney'!D48="Term",'Offshore - Sydney'!E48*4,IF('Offshore - Sydney'!D48="Unit",'Offshore - Sydney'!E48*8,""))))))</f>
        <v>6000</v>
      </c>
      <c r="L1366" s="0" t="n">
        <f aca="false">IF(AND(ISNUMBER('Offshore - Sydney'!E48),ISNUMBER(K1366),ISNUMBER('Offshore - Sydney'!F48),ISNUMBER('Offshore - Sydney'!G48),OR('Offshore - Sydney'!F48&lt;&gt;0,ISNUMBER(SEARCH("Material 0 terverifikasi",'Offshore - Sydney'!N48))),OR('Offshore - Sydney'!G48&lt;&gt;0,ISNUMBER(SEARCH("Enrolment 0 terverifikasi",'Offshore - Sydney'!N48)))),1,0)</f>
        <v>1</v>
      </c>
      <c r="M1366" s="0" t="n">
        <f aca="false">IF(OR('Offshore - Sydney'!E48="",ISNUMBER(SEARCH("BSB80120",'Offshore - Sydney'!B48&amp;'Offshore - Sydney'!N48)),ISNUMBER(SEARCH("Management (Learning)",'Offshore - Sydney'!B48))),2,IF(ISNUMBER(SEARCH("CEK:",'Offshore - Sydney'!N48)),1,0))</f>
        <v>0</v>
      </c>
    </row>
    <row r="1367" customFormat="false" ht="15" hidden="false" customHeight="false" outlineLevel="0" collapsed="false">
      <c r="A1367" s="63" t="s">
        <v>3533</v>
      </c>
      <c r="B1367" s="64" t="s">
        <v>4297</v>
      </c>
      <c r="C1367" s="63" t="s">
        <v>42</v>
      </c>
      <c r="D1367" s="64" t="str">
        <f aca="false">TRIM(LEFT('Offshore - Sydney'!A1151,FIND(CHAR(10),'Offshore - Sydney'!A1151&amp;CHAR(10))-1))</f>
        <v>York Business Institute</v>
      </c>
      <c r="E1367" s="63" t="str">
        <f aca="false">'Offshore - Sydney'!C1157&amp;""</f>
        <v>4,5 years</v>
      </c>
      <c r="F1367" s="63" t="str">
        <f aca="false">IF('Offshore - Sydney'!D1157="","Belum tercatat",'Offshore - Sydney'!D1157)</f>
        <v>Term</v>
      </c>
      <c r="G1367" s="65" t="n">
        <f aca="false">IF('Offshore - Sydney'!E1157="","-",'Offshore - Sydney'!E1157)</f>
        <v>1500</v>
      </c>
      <c r="H1367" s="63" t="n">
        <f aca="false">IF(ISNUMBER(K1367),COUNTIFS($J$6:$J$1854,J1367,$K$6:$K$1854,"&lt;"&amp;K1367)+1,"-")</f>
        <v>1</v>
      </c>
      <c r="I1367" s="64" t="str">
        <f aca="false">IF('Offshore - Sydney'!E1157="","Harga belum tersedia - hubungi konsultan TEG",IF(M1367=2,"Saat ini tidak menerima pendaftaran siswa internasional baru",IF(M1367=1,"Harga perlu dikonfirmasi ke sekolah"&amp;IF(""="","","; "&amp;""),"")))</f>
        <v>Harga perlu dikonfirmasi ke sekolah</v>
      </c>
      <c r="J1367" s="0" t="s">
        <v>4360</v>
      </c>
      <c r="K1367" s="0" t="n">
        <f aca="false">IF(M1367=2,"",IF(ISNUMBER(SEARCH("rata-rata:",'Offshore - Sydney'!N1157)),VALUE(MID('Offshore - Sydney'!N1157,SEARCH("rata-rata:",'Offshore - Sydney'!N1157)+11,FIND(";",'Offshore - Sydney'!N1157&amp;";",SEARCH("rata-rata:",'Offshore - Sydney'!N1157))-SEARCH("rata-rata:",'Offshore - Sydney'!N1157)-11)),IF('Offshore - Sydney'!D1157="Semester",'Offshore - Sydney'!E1157*2,IF('Offshore - Sydney'!D1157="Trimester",'Offshore - Sydney'!E1157*3,IF('Offshore - Sydney'!D1157="Term",'Offshore - Sydney'!E1157*4,IF('Offshore - Sydney'!D1157="Unit",'Offshore - Sydney'!E1157*8,""))))))</f>
        <v>6000</v>
      </c>
      <c r="L1367" s="0" t="n">
        <f aca="false">IF(AND(ISNUMBER('Offshore - Sydney'!E1157),ISNUMBER(K1367),ISNUMBER('Offshore - Sydney'!F1157),ISNUMBER('Offshore - Sydney'!G1157),OR('Offshore - Sydney'!F1157&lt;&gt;0,ISNUMBER(SEARCH("Material 0 terverifikasi",'Offshore - Sydney'!N1157))),OR('Offshore - Sydney'!G1157&lt;&gt;0,ISNUMBER(SEARCH("Enrolment 0 terverifikasi",'Offshore - Sydney'!N1157)))),1,0)</f>
        <v>1</v>
      </c>
      <c r="M1367" s="0" t="n">
        <f aca="false">IF(OR('Offshore - Sydney'!E1157="",ISNUMBER(SEARCH("BSB80120",'Offshore - Sydney'!B1157&amp;'Offshore - Sydney'!N1157)),ISNUMBER(SEARCH("Management (Learning)",'Offshore - Sydney'!B1157))),2,IF(ISNUMBER(SEARCH("CEK:",'Offshore - Sydney'!N1157)),1,0))</f>
        <v>1</v>
      </c>
    </row>
    <row r="1368" customFormat="false" ht="15" hidden="false" customHeight="false" outlineLevel="0" collapsed="false">
      <c r="A1368" s="63" t="s">
        <v>3533</v>
      </c>
      <c r="B1368" s="64" t="s">
        <v>4297</v>
      </c>
      <c r="C1368" s="63" t="s">
        <v>42</v>
      </c>
      <c r="D1368" s="64" t="str">
        <f aca="false">TRIM(LEFT('Offshore - Sydney'!A929,FIND(CHAR(10),'Offshore - Sydney'!A929&amp;CHAR(10))-1))</f>
        <v>VIA Education</v>
      </c>
      <c r="E1368" s="63" t="str">
        <f aca="false">'Offshore - Sydney'!C938&amp;""</f>
        <v>4,5 years</v>
      </c>
      <c r="F1368" s="63" t="str">
        <f aca="false">IF('Offshore - Sydney'!D938="","Belum tercatat",'Offshore - Sydney'!D938)</f>
        <v>Term</v>
      </c>
      <c r="G1368" s="65" t="n">
        <f aca="false">IF('Offshore - Sydney'!E938="","-",'Offshore - Sydney'!E938)</f>
        <v>1600</v>
      </c>
      <c r="H1368" s="63" t="n">
        <f aca="false">IF(ISNUMBER(K1368),COUNTIFS($J$6:$J$1854,J1368,$K$6:$K$1854,"&lt;"&amp;K1368)+1,"-")</f>
        <v>3</v>
      </c>
      <c r="I1368" s="64" t="str">
        <f aca="false">IF('Offshore - Sydney'!E938="","Harga belum tersedia - hubungi konsultan TEG",IF(M1368=2,"Saat ini tidak menerima pendaftaran siswa internasional baru",IF(M1368=1,"Harga perlu dikonfirmasi ke sekolah"&amp;IF(""="","","; "&amp;""),"")))</f>
        <v/>
      </c>
      <c r="J1368" s="0" t="s">
        <v>4360</v>
      </c>
      <c r="K1368" s="0" t="n">
        <f aca="false">IF(M1368=2,"",IF(ISNUMBER(SEARCH("rata-rata:",'Offshore - Sydney'!N938)),VALUE(MID('Offshore - Sydney'!N938,SEARCH("rata-rata:",'Offshore - Sydney'!N938)+11,FIND(";",'Offshore - Sydney'!N938&amp;";",SEARCH("rata-rata:",'Offshore - Sydney'!N938))-SEARCH("rata-rata:",'Offshore - Sydney'!N938)-11)),IF('Offshore - Sydney'!D938="Semester",'Offshore - Sydney'!E938*2,IF('Offshore - Sydney'!D938="Trimester",'Offshore - Sydney'!E938*3,IF('Offshore - Sydney'!D938="Term",'Offshore - Sydney'!E938*4,IF('Offshore - Sydney'!D938="Unit",'Offshore - Sydney'!E938*8,""))))))</f>
        <v>6400</v>
      </c>
      <c r="L1368" s="0" t="n">
        <f aca="false">IF(AND(ISNUMBER('Offshore - Sydney'!E938),ISNUMBER(K1368),ISNUMBER('Offshore - Sydney'!F938),ISNUMBER('Offshore - Sydney'!G938),OR('Offshore - Sydney'!F938&lt;&gt;0,ISNUMBER(SEARCH("Material 0 terverifikasi",'Offshore - Sydney'!N938))),OR('Offshore - Sydney'!G938&lt;&gt;0,ISNUMBER(SEARCH("Enrolment 0 terverifikasi",'Offshore - Sydney'!N938)))),1,0)</f>
        <v>1</v>
      </c>
      <c r="M1368" s="0" t="n">
        <f aca="false">IF(OR('Offshore - Sydney'!E938="",ISNUMBER(SEARCH("BSB80120",'Offshore - Sydney'!B938&amp;'Offshore - Sydney'!N938)),ISNUMBER(SEARCH("Management (Learning)",'Offshore - Sydney'!B938))),2,IF(ISNUMBER(SEARCH("CEK:",'Offshore - Sydney'!N938)),1,0))</f>
        <v>0</v>
      </c>
    </row>
    <row r="1369" customFormat="false" ht="15" hidden="false" customHeight="false" outlineLevel="0" collapsed="false">
      <c r="A1369" s="63" t="s">
        <v>3533</v>
      </c>
      <c r="B1369" s="64" t="s">
        <v>4297</v>
      </c>
      <c r="C1369" s="63" t="s">
        <v>42</v>
      </c>
      <c r="D1369" s="64" t="str">
        <f aca="false">TRIM(LEFT('Offshore - Sydney'!A111,FIND(CHAR(10),'Offshore - Sydney'!A111&amp;CHAR(10))-1))</f>
        <v>Alliance College</v>
      </c>
      <c r="E1369" s="63" t="str">
        <f aca="false">'Offshore - Sydney'!C113&amp;""</f>
        <v>2 years</v>
      </c>
      <c r="F1369" s="63" t="str">
        <f aca="false">IF('Offshore - Sydney'!D113="","Belum tercatat",'Offshore - Sydney'!D113)</f>
        <v>Term</v>
      </c>
      <c r="G1369" s="65" t="n">
        <f aca="false">IF('Offshore - Sydney'!E113="","-",'Offshore - Sydney'!E113)</f>
        <v>1715</v>
      </c>
      <c r="H1369" s="63" t="n">
        <f aca="false">IF(ISNUMBER(K1369),COUNTIFS($J$6:$J$1854,J1369,$K$6:$K$1854,"&lt;"&amp;K1369)+1,"-")</f>
        <v>4</v>
      </c>
      <c r="I1369" s="64" t="str">
        <f aca="false">IF('Offshore - Sydney'!E113="","Harga belum tersedia - hubungi konsultan TEG",IF(M1369=2,"Saat ini tidak menerima pendaftaran siswa internasional baru",IF(M1369=1,"Harga perlu dikonfirmasi ke sekolah"&amp;IF(""="","","; "&amp;""),"")))</f>
        <v/>
      </c>
      <c r="J1369" s="0" t="s">
        <v>4360</v>
      </c>
      <c r="K1369" s="0" t="n">
        <f aca="false">IF(M1369=2,"",IF(ISNUMBER(SEARCH("rata-rata:",'Offshore - Sydney'!N113)),VALUE(MID('Offshore - Sydney'!N113,SEARCH("rata-rata:",'Offshore - Sydney'!N113)+11,FIND(";",'Offshore - Sydney'!N113&amp;";",SEARCH("rata-rata:",'Offshore - Sydney'!N113))-SEARCH("rata-rata:",'Offshore - Sydney'!N113)-11)),IF('Offshore - Sydney'!D113="Semester",'Offshore - Sydney'!E113*2,IF('Offshore - Sydney'!D113="Trimester",'Offshore - Sydney'!E113*3,IF('Offshore - Sydney'!D113="Term",'Offshore - Sydney'!E113*4,IF('Offshore - Sydney'!D113="Unit",'Offshore - Sydney'!E113*8,""))))))</f>
        <v>6860</v>
      </c>
      <c r="L1369" s="0" t="n">
        <f aca="false">IF(AND(ISNUMBER('Offshore - Sydney'!E113),ISNUMBER(K1369),ISNUMBER('Offshore - Sydney'!F113),ISNUMBER('Offshore - Sydney'!G113),OR('Offshore - Sydney'!F113&lt;&gt;0,ISNUMBER(SEARCH("Material 0 terverifikasi",'Offshore - Sydney'!N113))),OR('Offshore - Sydney'!G113&lt;&gt;0,ISNUMBER(SEARCH("Enrolment 0 terverifikasi",'Offshore - Sydney'!N113)))),1,0)</f>
        <v>1</v>
      </c>
      <c r="M1369" s="0" t="n">
        <f aca="false">IF(OR('Offshore - Sydney'!E113="",ISNUMBER(SEARCH("BSB80120",'Offshore - Sydney'!B113&amp;'Offshore - Sydney'!N113)),ISNUMBER(SEARCH("Management (Learning)",'Offshore - Sydney'!B113))),2,IF(ISNUMBER(SEARCH("CEK:",'Offshore - Sydney'!N113)),1,0))</f>
        <v>0</v>
      </c>
    </row>
    <row r="1370" customFormat="false" ht="15" hidden="false" customHeight="false" outlineLevel="0" collapsed="false">
      <c r="A1370" s="63" t="s">
        <v>3533</v>
      </c>
      <c r="B1370" s="64" t="s">
        <v>4297</v>
      </c>
      <c r="C1370" s="63" t="s">
        <v>42</v>
      </c>
      <c r="D1370" s="64" t="str">
        <f aca="false">TRIM(LEFT('Offshore - Sydney'!A296,FIND(CHAR(10),'Offshore - Sydney'!A296&amp;CHAR(10))-1))</f>
        <v>Australian Ideal College (AIC)</v>
      </c>
      <c r="E1370" s="63" t="str">
        <f aca="false">'Offshore - Sydney'!C305&amp;""</f>
        <v>3 years</v>
      </c>
      <c r="F1370" s="63" t="str">
        <f aca="false">IF('Offshore - Sydney'!D305="","Belum tercatat",'Offshore - Sydney'!D305)</f>
        <v>Term</v>
      </c>
      <c r="G1370" s="65" t="n">
        <f aca="false">IF('Offshore - Sydney'!E305="","-",'Offshore - Sydney'!E305)</f>
        <v>1750</v>
      </c>
      <c r="H1370" s="63" t="n">
        <f aca="false">IF(ISNUMBER(K1370),COUNTIFS($J$6:$J$1854,J1370,$K$6:$K$1854,"&lt;"&amp;K1370)+1,"-")</f>
        <v>5</v>
      </c>
      <c r="I1370" s="64" t="str">
        <f aca="false">IF('Offshore - Sydney'!E305="","Harga belum tersedia - hubungi konsultan TEG",IF(M1370=2,"Saat ini tidak menerima pendaftaran siswa internasional baru",IF(M1370=1,"Harga perlu dikonfirmasi ke sekolah"&amp;IF(""="","","; "&amp;""),"")))</f>
        <v/>
      </c>
      <c r="J1370" s="0" t="s">
        <v>4360</v>
      </c>
      <c r="K1370" s="0" t="n">
        <f aca="false">IF(M1370=2,"",IF(ISNUMBER(SEARCH("rata-rata:",'Offshore - Sydney'!N305)),VALUE(MID('Offshore - Sydney'!N305,SEARCH("rata-rata:",'Offshore - Sydney'!N305)+11,FIND(";",'Offshore - Sydney'!N305&amp;";",SEARCH("rata-rata:",'Offshore - Sydney'!N305))-SEARCH("rata-rata:",'Offshore - Sydney'!N305)-11)),IF('Offshore - Sydney'!D305="Semester",'Offshore - Sydney'!E305*2,IF('Offshore - Sydney'!D305="Trimester",'Offshore - Sydney'!E305*3,IF('Offshore - Sydney'!D305="Term",'Offshore - Sydney'!E305*4,IF('Offshore - Sydney'!D305="Unit",'Offshore - Sydney'!E305*8,""))))))</f>
        <v>7000</v>
      </c>
      <c r="L1370" s="0" t="n">
        <f aca="false">IF(AND(ISNUMBER('Offshore - Sydney'!E305),ISNUMBER(K1370),ISNUMBER('Offshore - Sydney'!F305),ISNUMBER('Offshore - Sydney'!G305),OR('Offshore - Sydney'!F305&lt;&gt;0,ISNUMBER(SEARCH("Material 0 terverifikasi",'Offshore - Sydney'!N305))),OR('Offshore - Sydney'!G305&lt;&gt;0,ISNUMBER(SEARCH("Enrolment 0 terverifikasi",'Offshore - Sydney'!N305)))),1,0)</f>
        <v>1</v>
      </c>
      <c r="M1370" s="0" t="n">
        <f aca="false">IF(OR('Offshore - Sydney'!E305="",ISNUMBER(SEARCH("BSB80120",'Offshore - Sydney'!B305&amp;'Offshore - Sydney'!N305)),ISNUMBER(SEARCH("Management (Learning)",'Offshore - Sydney'!B305))),2,IF(ISNUMBER(SEARCH("CEK:",'Offshore - Sydney'!N305)),1,0))</f>
        <v>0</v>
      </c>
    </row>
    <row r="1371" customFormat="false" ht="15" hidden="false" customHeight="false" outlineLevel="0" collapsed="false">
      <c r="A1371" s="63" t="s">
        <v>3533</v>
      </c>
      <c r="B1371" s="64" t="s">
        <v>4297</v>
      </c>
      <c r="C1371" s="63" t="s">
        <v>42</v>
      </c>
      <c r="D1371" s="64" t="str">
        <f aca="false">TRIM(LEFT('Offshore - Sydney'!A529,FIND(CHAR(10),'Offshore - Sydney'!A529&amp;CHAR(10))-1))</f>
        <v>King's School of Culinary Arts</v>
      </c>
      <c r="E1371" s="63" t="str">
        <f aca="false">'Offshore - Sydney'!C538&amp;""</f>
        <v>156 weeks</v>
      </c>
      <c r="F1371" s="63" t="str">
        <f aca="false">IF('Offshore - Sydney'!D538="","Belum tercatat",'Offshore - Sydney'!D538)</f>
        <v>Term</v>
      </c>
      <c r="G1371" s="65" t="n">
        <f aca="false">IF('Offshore - Sydney'!E538="","-",'Offshore - Sydney'!E538)</f>
        <v>1800</v>
      </c>
      <c r="H1371" s="63" t="n">
        <f aca="false">IF(ISNUMBER(K1371),COUNTIFS($J$6:$J$1854,J1371,$K$6:$K$1854,"&lt;"&amp;K1371)+1,"-")</f>
        <v>6</v>
      </c>
      <c r="I1371" s="64" t="str">
        <f aca="false">IF('Offshore - Sydney'!E538="","Harga belum tersedia - hubungi konsultan TEG",IF(M1371=2,"Saat ini tidak menerima pendaftaran siswa internasional baru",IF(M1371=1,"Harga perlu dikonfirmasi ke sekolah"&amp;IF("Harga promo s.d. 31/12/2026"="","","; "&amp;"Harga promo s.d. 31/12/2026"),"Harga promo s.d. 31/12/2026")))</f>
        <v>Harga promo s.d. 31/12/2026</v>
      </c>
      <c r="J1371" s="0" t="s">
        <v>4360</v>
      </c>
      <c r="K1371" s="0" t="n">
        <f aca="false">IF(M1371=2,"",IF(ISNUMBER(SEARCH("rata-rata:",'Offshore - Sydney'!N538)),VALUE(MID('Offshore - Sydney'!N538,SEARCH("rata-rata:",'Offshore - Sydney'!N538)+11,FIND(";",'Offshore - Sydney'!N538&amp;";",SEARCH("rata-rata:",'Offshore - Sydney'!N538))-SEARCH("rata-rata:",'Offshore - Sydney'!N538)-11)),IF('Offshore - Sydney'!D538="Semester",'Offshore - Sydney'!E538*2,IF('Offshore - Sydney'!D538="Trimester",'Offshore - Sydney'!E538*3,IF('Offshore - Sydney'!D538="Term",'Offshore - Sydney'!E538*4,IF('Offshore - Sydney'!D538="Unit",'Offshore - Sydney'!E538*8,""))))))</f>
        <v>7200</v>
      </c>
      <c r="L1371" s="0" t="n">
        <f aca="false">IF(AND(ISNUMBER('Offshore - Sydney'!E538),ISNUMBER(K1371),ISNUMBER('Offshore - Sydney'!F538),ISNUMBER('Offshore - Sydney'!G538),OR('Offshore - Sydney'!F538&lt;&gt;0,ISNUMBER(SEARCH("Material 0 terverifikasi",'Offshore - Sydney'!N538))),OR('Offshore - Sydney'!G538&lt;&gt;0,ISNUMBER(SEARCH("Enrolment 0 terverifikasi",'Offshore - Sydney'!N538)))),1,0)</f>
        <v>1</v>
      </c>
      <c r="M1371" s="0" t="n">
        <f aca="false">IF(OR('Offshore - Sydney'!E538="",ISNUMBER(SEARCH("BSB80120",'Offshore - Sydney'!B538&amp;'Offshore - Sydney'!N538)),ISNUMBER(SEARCH("Management (Learning)",'Offshore - Sydney'!B538))),2,IF(ISNUMBER(SEARCH("CEK:",'Offshore - Sydney'!N538)),1,0))</f>
        <v>0</v>
      </c>
    </row>
    <row r="1372" customFormat="false" ht="15" hidden="false" customHeight="false" outlineLevel="0" collapsed="false">
      <c r="A1372" s="63" t="s">
        <v>3533</v>
      </c>
      <c r="B1372" s="64" t="s">
        <v>4297</v>
      </c>
      <c r="C1372" s="63" t="s">
        <v>42</v>
      </c>
      <c r="D1372" s="64" t="str">
        <f aca="false">TRIM(LEFT('Offshore - Sydney'!A551,FIND(CHAR(10),'Offshore - Sydney'!A551&amp;CHAR(10))-1))</f>
        <v>Le Culinaire Hospitality Institute</v>
      </c>
      <c r="E1372" s="63" t="str">
        <f aca="false">'Offshore - Sydney'!C561&amp;""</f>
        <v>2,25 years (9 terms)</v>
      </c>
      <c r="F1372" s="63" t="str">
        <f aca="false">IF('Offshore - Sydney'!D561="","Belum tercatat",'Offshore - Sydney'!D561)</f>
        <v>Term</v>
      </c>
      <c r="G1372" s="65" t="n">
        <f aca="false">IF('Offshore - Sydney'!E561="","-",'Offshore - Sydney'!E561)</f>
        <v>1800</v>
      </c>
      <c r="H1372" s="63" t="n">
        <f aca="false">IF(ISNUMBER(K1372),COUNTIFS($J$6:$J$1854,J1372,$K$6:$K$1854,"&lt;"&amp;K1372)+1,"-")</f>
        <v>6</v>
      </c>
      <c r="I1372" s="64" t="str">
        <f aca="false">IF('Offshore - Sydney'!E561="","Harga belum tersedia - hubungi konsultan TEG",IF(M1372=2,"Saat ini tidak menerima pendaftaran siswa internasional baru",IF(M1372=1,"Harga perlu dikonfirmasi ke sekolah"&amp;IF(""="","","; "&amp;""),"")))</f>
        <v/>
      </c>
      <c r="J1372" s="0" t="s">
        <v>4360</v>
      </c>
      <c r="K1372" s="0" t="n">
        <f aca="false">IF(M1372=2,"",IF(ISNUMBER(SEARCH("rata-rata:",'Offshore - Sydney'!N561)),VALUE(MID('Offshore - Sydney'!N561,SEARCH("rata-rata:",'Offshore - Sydney'!N561)+11,FIND(";",'Offshore - Sydney'!N561&amp;";",SEARCH("rata-rata:",'Offshore - Sydney'!N561))-SEARCH("rata-rata:",'Offshore - Sydney'!N561)-11)),IF('Offshore - Sydney'!D561="Semester",'Offshore - Sydney'!E561*2,IF('Offshore - Sydney'!D561="Trimester",'Offshore - Sydney'!E561*3,IF('Offshore - Sydney'!D561="Term",'Offshore - Sydney'!E561*4,IF('Offshore - Sydney'!D561="Unit",'Offshore - Sydney'!E561*8,""))))))</f>
        <v>7200</v>
      </c>
      <c r="L1372" s="0" t="n">
        <f aca="false">IF(AND(ISNUMBER('Offshore - Sydney'!E561),ISNUMBER(K1372),ISNUMBER('Offshore - Sydney'!F561),ISNUMBER('Offshore - Sydney'!G561),OR('Offshore - Sydney'!F561&lt;&gt;0,ISNUMBER(SEARCH("Material 0 terverifikasi",'Offshore - Sydney'!N561))),OR('Offshore - Sydney'!G561&lt;&gt;0,ISNUMBER(SEARCH("Enrolment 0 terverifikasi",'Offshore - Sydney'!N561)))),1,0)</f>
        <v>1</v>
      </c>
      <c r="M1372" s="0" t="n">
        <f aca="false">IF(OR('Offshore - Sydney'!E561="",ISNUMBER(SEARCH("BSB80120",'Offshore - Sydney'!B561&amp;'Offshore - Sydney'!N561)),ISNUMBER(SEARCH("Management (Learning)",'Offshore - Sydney'!B561))),2,IF(ISNUMBER(SEARCH("CEK:",'Offshore - Sydney'!N561)),1,0))</f>
        <v>0</v>
      </c>
    </row>
    <row r="1373" customFormat="false" ht="15" hidden="false" customHeight="false" outlineLevel="0" collapsed="false">
      <c r="A1373" s="63" t="s">
        <v>3533</v>
      </c>
      <c r="B1373" s="64" t="s">
        <v>4297</v>
      </c>
      <c r="C1373" s="63" t="s">
        <v>42</v>
      </c>
      <c r="D1373" s="64" t="str">
        <f aca="false">TRIM(LEFT('Offshore - Sydney'!A13,FIND(CHAR(10),'Offshore - Sydney'!A13&amp;CHAR(10))-1))</f>
        <v>ABM Further Education</v>
      </c>
      <c r="E1373" s="63" t="str">
        <f aca="false">'Offshore - Sydney'!C25&amp;""</f>
        <v>2 years</v>
      </c>
      <c r="F1373" s="63" t="str">
        <f aca="false">IF('Offshore - Sydney'!D25="","Belum tercatat",'Offshore - Sydney'!D25)</f>
        <v>Term</v>
      </c>
      <c r="G1373" s="65" t="n">
        <f aca="false">IF('Offshore - Sydney'!E25="","-",'Offshore - Sydney'!E25)</f>
        <v>1850</v>
      </c>
      <c r="H1373" s="63" t="n">
        <f aca="false">IF(ISNUMBER(K1373),COUNTIFS($J$6:$J$1854,J1373,$K$6:$K$1854,"&lt;"&amp;K1373)+1,"-")</f>
        <v>8</v>
      </c>
      <c r="I1373" s="64" t="str">
        <f aca="false">IF('Offshore - Sydney'!E25="","Harga belum tersedia - hubungi konsultan TEG",IF(M1373=2,"Saat ini tidak menerima pendaftaran siswa internasional baru",IF(M1373=1,"Harga perlu dikonfirmasi ke sekolah"&amp;IF(""="","","; "&amp;""),"")))</f>
        <v/>
      </c>
      <c r="J1373" s="0" t="s">
        <v>4360</v>
      </c>
      <c r="K1373" s="0" t="n">
        <f aca="false">IF(M1373=2,"",IF(ISNUMBER(SEARCH("rata-rata:",'Offshore - Sydney'!N25)),VALUE(MID('Offshore - Sydney'!N25,SEARCH("rata-rata:",'Offshore - Sydney'!N25)+11,FIND(";",'Offshore - Sydney'!N25&amp;";",SEARCH("rata-rata:",'Offshore - Sydney'!N25))-SEARCH("rata-rata:",'Offshore - Sydney'!N25)-11)),IF('Offshore - Sydney'!D25="Semester",'Offshore - Sydney'!E25*2,IF('Offshore - Sydney'!D25="Trimester",'Offshore - Sydney'!E25*3,IF('Offshore - Sydney'!D25="Term",'Offshore - Sydney'!E25*4,IF('Offshore - Sydney'!D25="Unit",'Offshore - Sydney'!E25*8,""))))))</f>
        <v>7400</v>
      </c>
      <c r="L1373" s="0" t="n">
        <f aca="false">IF(AND(ISNUMBER('Offshore - Sydney'!E25),ISNUMBER(K1373),ISNUMBER('Offshore - Sydney'!F25),ISNUMBER('Offshore - Sydney'!G25),OR('Offshore - Sydney'!F25&lt;&gt;0,ISNUMBER(SEARCH("Material 0 terverifikasi",'Offshore - Sydney'!N25))),OR('Offshore - Sydney'!G25&lt;&gt;0,ISNUMBER(SEARCH("Enrolment 0 terverifikasi",'Offshore - Sydney'!N25)))),1,0)</f>
        <v>1</v>
      </c>
      <c r="M1373" s="0" t="n">
        <f aca="false">IF(OR('Offshore - Sydney'!E25="",ISNUMBER(SEARCH("BSB80120",'Offshore - Sydney'!B25&amp;'Offshore - Sydney'!N25)),ISNUMBER(SEARCH("Management (Learning)",'Offshore - Sydney'!B25))),2,IF(ISNUMBER(SEARCH("CEK:",'Offshore - Sydney'!N25)),1,0))</f>
        <v>0</v>
      </c>
    </row>
    <row r="1374" customFormat="false" ht="15" hidden="false" customHeight="false" outlineLevel="0" collapsed="false">
      <c r="A1374" s="63" t="s">
        <v>3533</v>
      </c>
      <c r="B1374" s="64" t="s">
        <v>4297</v>
      </c>
      <c r="C1374" s="63" t="s">
        <v>42</v>
      </c>
      <c r="D1374" s="64" t="str">
        <f aca="false">TRIM(LEFT('Offshore - Sydney'!A448,FIND(CHAR(10),'Offshore - Sydney'!A448&amp;CHAR(10))-1))</f>
        <v>Greenwich College</v>
      </c>
      <c r="E1374" s="63" t="str">
        <f aca="false">'Offshore - Sydney'!C460&amp;""</f>
        <v>144 weeks</v>
      </c>
      <c r="F1374" s="63" t="str">
        <f aca="false">IF('Offshore - Sydney'!D460="","Belum tercatat",'Offshore - Sydney'!D460)</f>
        <v>Term</v>
      </c>
      <c r="G1374" s="65" t="n">
        <f aca="false">IF('Offshore - Sydney'!E460="","-",'Offshore - Sydney'!E460)</f>
        <v>1850</v>
      </c>
      <c r="H1374" s="63" t="n">
        <f aca="false">IF(ISNUMBER(K1374),COUNTIFS($J$6:$J$1854,J1374,$K$6:$K$1854,"&lt;"&amp;K1374)+1,"-")</f>
        <v>8</v>
      </c>
      <c r="I1374" s="64" t="str">
        <f aca="false">IF('Offshore - Sydney'!E460="","Harga belum tersedia - hubungi konsultan TEG",IF(M1374=2,"Saat ini tidak menerima pendaftaran siswa internasional baru",IF(M1374=1,"Harga perlu dikonfirmasi ke sekolah"&amp;IF(""="","","; "&amp;""),"")))</f>
        <v/>
      </c>
      <c r="J1374" s="0" t="s">
        <v>4360</v>
      </c>
      <c r="K1374" s="0" t="n">
        <f aca="false">IF(M1374=2,"",IF(ISNUMBER(SEARCH("rata-rata:",'Offshore - Sydney'!N460)),VALUE(MID('Offshore - Sydney'!N460,SEARCH("rata-rata:",'Offshore - Sydney'!N460)+11,FIND(";",'Offshore - Sydney'!N460&amp;";",SEARCH("rata-rata:",'Offshore - Sydney'!N460))-SEARCH("rata-rata:",'Offshore - Sydney'!N460)-11)),IF('Offshore - Sydney'!D460="Semester",'Offshore - Sydney'!E460*2,IF('Offshore - Sydney'!D460="Trimester",'Offshore - Sydney'!E460*3,IF('Offshore - Sydney'!D460="Term",'Offshore - Sydney'!E460*4,IF('Offshore - Sydney'!D460="Unit",'Offshore - Sydney'!E460*8,""))))))</f>
        <v>7400</v>
      </c>
      <c r="L1374" s="0" t="n">
        <f aca="false">IF(AND(ISNUMBER('Offshore - Sydney'!E460),ISNUMBER(K1374),ISNUMBER('Offshore - Sydney'!F460),ISNUMBER('Offshore - Sydney'!G460),OR('Offshore - Sydney'!F460&lt;&gt;0,ISNUMBER(SEARCH("Material 0 terverifikasi",'Offshore - Sydney'!N460))),OR('Offshore - Sydney'!G460&lt;&gt;0,ISNUMBER(SEARCH("Enrolment 0 terverifikasi",'Offshore - Sydney'!N460)))),1,0)</f>
        <v>1</v>
      </c>
      <c r="M1374" s="0" t="n">
        <f aca="false">IF(OR('Offshore - Sydney'!E460="",ISNUMBER(SEARCH("BSB80120",'Offshore - Sydney'!B460&amp;'Offshore - Sydney'!N460)),ISNUMBER(SEARCH("Management (Learning)",'Offshore - Sydney'!B460))),2,IF(ISNUMBER(SEARCH("CEK:",'Offshore - Sydney'!N460)),1,0))</f>
        <v>0</v>
      </c>
    </row>
    <row r="1375" customFormat="false" ht="15" hidden="false" customHeight="false" outlineLevel="0" collapsed="false">
      <c r="A1375" s="63" t="s">
        <v>3533</v>
      </c>
      <c r="B1375" s="64" t="s">
        <v>4297</v>
      </c>
      <c r="C1375" s="63" t="s">
        <v>42</v>
      </c>
      <c r="D1375" s="64" t="str">
        <f aca="false">TRIM(LEFT('Offshore - Sydney'!A959,FIND(CHAR(10),'Offshore - Sydney'!A959&amp;CHAR(10))-1))</f>
        <v>Wells International College (WIC)</v>
      </c>
      <c r="E1375" s="63" t="str">
        <f aca="false">'Offshore - Sydney'!C960&amp;""</f>
        <v>3,5 years</v>
      </c>
      <c r="F1375" s="63" t="str">
        <f aca="false">IF('Offshore - Sydney'!D960="","Belum tercatat",'Offshore - Sydney'!D960)</f>
        <v>Term</v>
      </c>
      <c r="G1375" s="65" t="n">
        <f aca="false">IF('Offshore - Sydney'!E960="","-",'Offshore - Sydney'!E960)</f>
        <v>2000</v>
      </c>
      <c r="H1375" s="63" t="n">
        <f aca="false">IF(ISNUMBER(K1375),COUNTIFS($J$6:$J$1854,J1375,$K$6:$K$1854,"&lt;"&amp;K1375)+1,"-")</f>
        <v>10</v>
      </c>
      <c r="I1375" s="64" t="str">
        <f aca="false">IF('Offshore - Sydney'!E960="","Harga belum tersedia - hubungi konsultan TEG",IF(M1375=2,"Saat ini tidak menerima pendaftaran siswa internasional baru",IF(M1375=1,"Harga perlu dikonfirmasi ke sekolah"&amp;IF(""="","","; "&amp;""),"")))</f>
        <v/>
      </c>
      <c r="J1375" s="0" t="s">
        <v>4360</v>
      </c>
      <c r="K1375" s="0" t="n">
        <f aca="false">IF(M1375=2,"",IF(ISNUMBER(SEARCH("rata-rata:",'Offshore - Sydney'!N960)),VALUE(MID('Offshore - Sydney'!N960,SEARCH("rata-rata:",'Offshore - Sydney'!N960)+11,FIND(";",'Offshore - Sydney'!N960&amp;";",SEARCH("rata-rata:",'Offshore - Sydney'!N960))-SEARCH("rata-rata:",'Offshore - Sydney'!N960)-11)),IF('Offshore - Sydney'!D960="Semester",'Offshore - Sydney'!E960*2,IF('Offshore - Sydney'!D960="Trimester",'Offshore - Sydney'!E960*3,IF('Offshore - Sydney'!D960="Term",'Offshore - Sydney'!E960*4,IF('Offshore - Sydney'!D960="Unit",'Offshore - Sydney'!E960*8,""))))))</f>
        <v>8000</v>
      </c>
      <c r="L1375" s="0" t="n">
        <f aca="false">IF(AND(ISNUMBER('Offshore - Sydney'!E960),ISNUMBER(K1375),ISNUMBER('Offshore - Sydney'!F960),ISNUMBER('Offshore - Sydney'!G960),OR('Offshore - Sydney'!F960&lt;&gt;0,ISNUMBER(SEARCH("Material 0 terverifikasi",'Offshore - Sydney'!N960))),OR('Offshore - Sydney'!G960&lt;&gt;0,ISNUMBER(SEARCH("Enrolment 0 terverifikasi",'Offshore - Sydney'!N960)))),1,0)</f>
        <v>1</v>
      </c>
      <c r="M1375" s="0" t="n">
        <f aca="false">IF(OR('Offshore - Sydney'!E960="",ISNUMBER(SEARCH("BSB80120",'Offshore - Sydney'!B960&amp;'Offshore - Sydney'!N960)),ISNUMBER(SEARCH("Management (Learning)",'Offshore - Sydney'!B960))),2,IF(ISNUMBER(SEARCH("CEK:",'Offshore - Sydney'!N960)),1,0))</f>
        <v>0</v>
      </c>
    </row>
    <row r="1376" customFormat="false" ht="15" hidden="false" customHeight="false" outlineLevel="0" collapsed="false">
      <c r="A1376" s="63" t="s">
        <v>3533</v>
      </c>
      <c r="B1376" s="64" t="s">
        <v>4297</v>
      </c>
      <c r="C1376" s="63" t="s">
        <v>42</v>
      </c>
      <c r="D1376" s="64" t="str">
        <f aca="false">TRIM(LEFT('Offshore - Sydney'!A703,FIND(CHAR(10),'Offshore - Sydney'!A703&amp;CHAR(10))-1))</f>
        <v>Sydney Metro College (SMC)</v>
      </c>
      <c r="E1376" s="63" t="str">
        <f aca="false">'Offshore - Sydney'!C704&amp;""</f>
        <v>2,5 years</v>
      </c>
      <c r="F1376" s="63" t="str">
        <f aca="false">IF('Offshore - Sydney'!D704="","Belum tercatat",'Offshore - Sydney'!D704)</f>
        <v>Term</v>
      </c>
      <c r="G1376" s="65" t="n">
        <f aca="false">IF('Offshore - Sydney'!E704="","-",'Offshore - Sydney'!E704)</f>
        <v>2200</v>
      </c>
      <c r="H1376" s="63" t="n">
        <f aca="false">IF(ISNUMBER(K1376),COUNTIFS($J$6:$J$1854,J1376,$K$6:$K$1854,"&lt;"&amp;K1376)+1,"-")</f>
        <v>11</v>
      </c>
      <c r="I1376" s="64" t="str">
        <f aca="false">IF('Offshore - Sydney'!E704="","Harga belum tersedia - hubungi konsultan TEG",IF(M1376=2,"Saat ini tidak menerima pendaftaran siswa internasional baru",IF(M1376=1,"Harga perlu dikonfirmasi ke sekolah"&amp;IF(""="","","; "&amp;""),"")))</f>
        <v/>
      </c>
      <c r="J1376" s="0" t="s">
        <v>4360</v>
      </c>
      <c r="K1376" s="0" t="n">
        <f aca="false">IF(M1376=2,"",IF(ISNUMBER(SEARCH("rata-rata:",'Offshore - Sydney'!N704)),VALUE(MID('Offshore - Sydney'!N704,SEARCH("rata-rata:",'Offshore - Sydney'!N704)+11,FIND(";",'Offshore - Sydney'!N704&amp;";",SEARCH("rata-rata:",'Offshore - Sydney'!N704))-SEARCH("rata-rata:",'Offshore - Sydney'!N704)-11)),IF('Offshore - Sydney'!D704="Semester",'Offshore - Sydney'!E704*2,IF('Offshore - Sydney'!D704="Trimester",'Offshore - Sydney'!E704*3,IF('Offshore - Sydney'!D704="Term",'Offshore - Sydney'!E704*4,IF('Offshore - Sydney'!D704="Unit",'Offshore - Sydney'!E704*8,""))))))</f>
        <v>8800</v>
      </c>
      <c r="L1376" s="0" t="n">
        <f aca="false">IF(AND(ISNUMBER('Offshore - Sydney'!E704),ISNUMBER(K1376),ISNUMBER('Offshore - Sydney'!F704),ISNUMBER('Offshore - Sydney'!G704),OR('Offshore - Sydney'!F704&lt;&gt;0,ISNUMBER(SEARCH("Material 0 terverifikasi",'Offshore - Sydney'!N704))),OR('Offshore - Sydney'!G704&lt;&gt;0,ISNUMBER(SEARCH("Enrolment 0 terverifikasi",'Offshore - Sydney'!N704)))),1,0)</f>
        <v>1</v>
      </c>
      <c r="M1376" s="0" t="n">
        <f aca="false">IF(OR('Offshore - Sydney'!E704="",ISNUMBER(SEARCH("BSB80120",'Offshore - Sydney'!B704&amp;'Offshore - Sydney'!N704)),ISNUMBER(SEARCH("Management (Learning)",'Offshore - Sydney'!B704))),2,IF(ISNUMBER(SEARCH("CEK:",'Offshore - Sydney'!N704)),1,0))</f>
        <v>0</v>
      </c>
    </row>
    <row r="1377" customFormat="false" ht="28.35" hidden="false" customHeight="false" outlineLevel="0" collapsed="false">
      <c r="A1377" s="63" t="s">
        <v>3533</v>
      </c>
      <c r="B1377" s="64" t="s">
        <v>4297</v>
      </c>
      <c r="C1377" s="63" t="s">
        <v>42</v>
      </c>
      <c r="D1377" s="64" t="str">
        <f aca="false">TRIM(LEFT('Offshore - Sydney'!A807,FIND(CHAR(10),'Offshore - Sydney'!A807&amp;CHAR(10))-1))</f>
        <v>TKL College (Training for Knowledge and Livelihood)</v>
      </c>
      <c r="E1377" s="63" t="str">
        <f aca="false">'Offshore - Sydney'!C812&amp;""</f>
        <v>5 years</v>
      </c>
      <c r="F1377" s="63" t="str">
        <f aca="false">IF('Offshore - Sydney'!D812="","Belum tercatat",'Offshore - Sydney'!D812)</f>
        <v>Term</v>
      </c>
      <c r="G1377" s="65" t="n">
        <f aca="false">IF('Offshore - Sydney'!E812="","-",'Offshore - Sydney'!E812)</f>
        <v>2250</v>
      </c>
      <c r="H1377" s="63" t="n">
        <f aca="false">IF(ISNUMBER(K1377),COUNTIFS($J$6:$J$1854,J1377,$K$6:$K$1854,"&lt;"&amp;K1377)+1,"-")</f>
        <v>12</v>
      </c>
      <c r="I1377" s="64" t="str">
        <f aca="false">IF('Offshore - Sydney'!E812="","Harga belum tersedia - hubungi konsultan TEG",IF(M1377=2,"Saat ini tidak menerima pendaftaran siswa internasional baru",IF(M1377=1,"Harga perlu dikonfirmasi ke sekolah"&amp;IF(""="","","; "&amp;""),"")))</f>
        <v/>
      </c>
      <c r="J1377" s="0" t="s">
        <v>4360</v>
      </c>
      <c r="K1377" s="0" t="n">
        <f aca="false">IF(M1377=2,"",IF(ISNUMBER(SEARCH("rata-rata:",'Offshore - Sydney'!N812)),VALUE(MID('Offshore - Sydney'!N812,SEARCH("rata-rata:",'Offshore - Sydney'!N812)+11,FIND(";",'Offshore - Sydney'!N812&amp;";",SEARCH("rata-rata:",'Offshore - Sydney'!N812))-SEARCH("rata-rata:",'Offshore - Sydney'!N812)-11)),IF('Offshore - Sydney'!D812="Semester",'Offshore - Sydney'!E812*2,IF('Offshore - Sydney'!D812="Trimester",'Offshore - Sydney'!E812*3,IF('Offshore - Sydney'!D812="Term",'Offshore - Sydney'!E812*4,IF('Offshore - Sydney'!D812="Unit",'Offshore - Sydney'!E812*8,""))))))</f>
        <v>9000</v>
      </c>
      <c r="L1377" s="0" t="n">
        <f aca="false">IF(AND(ISNUMBER('Offshore - Sydney'!E812),ISNUMBER(K1377),ISNUMBER('Offshore - Sydney'!F812),ISNUMBER('Offshore - Sydney'!G812),OR('Offshore - Sydney'!F812&lt;&gt;0,ISNUMBER(SEARCH("Material 0 terverifikasi",'Offshore - Sydney'!N812))),OR('Offshore - Sydney'!G812&lt;&gt;0,ISNUMBER(SEARCH("Enrolment 0 terverifikasi",'Offshore - Sydney'!N812)))),1,0)</f>
        <v>1</v>
      </c>
      <c r="M1377" s="0" t="n">
        <f aca="false">IF(OR('Offshore - Sydney'!E812="",ISNUMBER(SEARCH("BSB80120",'Offshore - Sydney'!B812&amp;'Offshore - Sydney'!N812)),ISNUMBER(SEARCH("Management (Learning)",'Offshore - Sydney'!B812))),2,IF(ISNUMBER(SEARCH("CEK:",'Offshore - Sydney'!N812)),1,0))</f>
        <v>0</v>
      </c>
    </row>
    <row r="1378" customFormat="false" ht="15" hidden="false" customHeight="false" outlineLevel="0" collapsed="false">
      <c r="A1378" s="63" t="s">
        <v>3533</v>
      </c>
      <c r="B1378" s="64" t="s">
        <v>4297</v>
      </c>
      <c r="C1378" s="63" t="s">
        <v>42</v>
      </c>
      <c r="D1378" s="64" t="str">
        <f aca="false">TRIM(LEFT('Offshore - Sydney'!A94,FIND(CHAR(10),'Offshore - Sydney'!A94&amp;CHAR(10))-1))</f>
        <v>Albury College</v>
      </c>
      <c r="E1378" s="63" t="str">
        <f aca="false">'Offshore - Sydney'!C98&amp;""</f>
        <v>3 years</v>
      </c>
      <c r="F1378" s="63" t="str">
        <f aca="false">IF('Offshore - Sydney'!D98="","Belum tercatat",'Offshore - Sydney'!D98)</f>
        <v>Term</v>
      </c>
      <c r="G1378" s="65" t="n">
        <f aca="false">IF('Offshore - Sydney'!E98="","-",'Offshore - Sydney'!E98)</f>
        <v>2350</v>
      </c>
      <c r="H1378" s="63" t="n">
        <f aca="false">IF(ISNUMBER(K1378),COUNTIFS($J$6:$J$1854,J1378,$K$6:$K$1854,"&lt;"&amp;K1378)+1,"-")</f>
        <v>13</v>
      </c>
      <c r="I1378" s="64" t="str">
        <f aca="false">IF('Offshore - Sydney'!E98="","Harga belum tersedia - hubungi konsultan TEG",IF(M1378=2,"Saat ini tidak menerima pendaftaran siswa internasional baru",IF(M1378=1,"Harga perlu dikonfirmasi ke sekolah"&amp;IF(""="","","; "&amp;""),"")))</f>
        <v/>
      </c>
      <c r="J1378" s="0" t="s">
        <v>4360</v>
      </c>
      <c r="K1378" s="0" t="n">
        <f aca="false">IF(M1378=2,"",IF(ISNUMBER(SEARCH("rata-rata:",'Offshore - Sydney'!N98)),VALUE(MID('Offshore - Sydney'!N98,SEARCH("rata-rata:",'Offshore - Sydney'!N98)+11,FIND(";",'Offshore - Sydney'!N98&amp;";",SEARCH("rata-rata:",'Offshore - Sydney'!N98))-SEARCH("rata-rata:",'Offshore - Sydney'!N98)-11)),IF('Offshore - Sydney'!D98="Semester",'Offshore - Sydney'!E98*2,IF('Offshore - Sydney'!D98="Trimester",'Offshore - Sydney'!E98*3,IF('Offshore - Sydney'!D98="Term",'Offshore - Sydney'!E98*4,IF('Offshore - Sydney'!D98="Unit",'Offshore - Sydney'!E98*8,""))))))</f>
        <v>9400</v>
      </c>
      <c r="L1378" s="0" t="n">
        <f aca="false">IF(AND(ISNUMBER('Offshore - Sydney'!E98),ISNUMBER(K1378),ISNUMBER('Offshore - Sydney'!F98),ISNUMBER('Offshore - Sydney'!G98),OR('Offshore - Sydney'!F98&lt;&gt;0,ISNUMBER(SEARCH("Material 0 terverifikasi",'Offshore - Sydney'!N98))),OR('Offshore - Sydney'!G98&lt;&gt;0,ISNUMBER(SEARCH("Enrolment 0 terverifikasi",'Offshore - Sydney'!N98)))),1,0)</f>
        <v>1</v>
      </c>
      <c r="M1378" s="0" t="n">
        <f aca="false">IF(OR('Offshore - Sydney'!E98="",ISNUMBER(SEARCH("BSB80120",'Offshore - Sydney'!B98&amp;'Offshore - Sydney'!N98)),ISNUMBER(SEARCH("Management (Learning)",'Offshore - Sydney'!B98))),2,IF(ISNUMBER(SEARCH("CEK:",'Offshore - Sydney'!N98)),1,0))</f>
        <v>0</v>
      </c>
    </row>
    <row r="1379" customFormat="false" ht="15" hidden="false" customHeight="false" outlineLevel="0" collapsed="false">
      <c r="A1379" s="63" t="s">
        <v>3533</v>
      </c>
      <c r="B1379" s="64" t="s">
        <v>4297</v>
      </c>
      <c r="C1379" s="63" t="s">
        <v>42</v>
      </c>
      <c r="D1379" s="64" t="str">
        <f aca="false">TRIM(LEFT('Offshore - Sydney'!A414,FIND(CHAR(10),'Offshore - Sydney'!A414&amp;CHAR(10))-1))</f>
        <v>Evolution Hospitality Institute</v>
      </c>
      <c r="E1379" s="63" t="str">
        <f aca="false">'Offshore - Sydney'!C423&amp;""</f>
        <v>2,5 years</v>
      </c>
      <c r="F1379" s="63" t="str">
        <f aca="false">IF('Offshore - Sydney'!D423="","Belum tercatat",'Offshore - Sydney'!D423)</f>
        <v>Term</v>
      </c>
      <c r="G1379" s="65" t="n">
        <f aca="false">IF('Offshore - Sydney'!E423="","-",'Offshore - Sydney'!E423)</f>
        <v>2550</v>
      </c>
      <c r="H1379" s="63" t="n">
        <f aca="false">IF(ISNUMBER(K1379),COUNTIFS($J$6:$J$1854,J1379,$K$6:$K$1854,"&lt;"&amp;K1379)+1,"-")</f>
        <v>14</v>
      </c>
      <c r="I1379" s="64" t="str">
        <f aca="false">IF('Offshore - Sydney'!E423="","Harga belum tersedia - hubungi konsultan TEG",IF(M1379=2,"Saat ini tidak menerima pendaftaran siswa internasional baru",IF(M1379=1,"Harga perlu dikonfirmasi ke sekolah"&amp;IF(""="","","; "&amp;""),"")))</f>
        <v/>
      </c>
      <c r="J1379" s="0" t="s">
        <v>4360</v>
      </c>
      <c r="K1379" s="0" t="n">
        <f aca="false">IF(M1379=2,"",IF(ISNUMBER(SEARCH("rata-rata:",'Offshore - Sydney'!N423)),VALUE(MID('Offshore - Sydney'!N423,SEARCH("rata-rata:",'Offshore - Sydney'!N423)+11,FIND(";",'Offshore - Sydney'!N423&amp;";",SEARCH("rata-rata:",'Offshore - Sydney'!N423))-SEARCH("rata-rata:",'Offshore - Sydney'!N423)-11)),IF('Offshore - Sydney'!D423="Semester",'Offshore - Sydney'!E423*2,IF('Offshore - Sydney'!D423="Trimester",'Offshore - Sydney'!E423*3,IF('Offshore - Sydney'!D423="Term",'Offshore - Sydney'!E423*4,IF('Offshore - Sydney'!D423="Unit",'Offshore - Sydney'!E423*8,""))))))</f>
        <v>10200</v>
      </c>
      <c r="L1379" s="0" t="n">
        <f aca="false">IF(AND(ISNUMBER('Offshore - Sydney'!E423),ISNUMBER(K1379),ISNUMBER('Offshore - Sydney'!F423),ISNUMBER('Offshore - Sydney'!G423),OR('Offshore - Sydney'!F423&lt;&gt;0,ISNUMBER(SEARCH("Material 0 terverifikasi",'Offshore - Sydney'!N423))),OR('Offshore - Sydney'!G423&lt;&gt;0,ISNUMBER(SEARCH("Enrolment 0 terverifikasi",'Offshore - Sydney'!N423)))),1,0)</f>
        <v>1</v>
      </c>
      <c r="M1379" s="0" t="n">
        <f aca="false">IF(OR('Offshore - Sydney'!E423="",ISNUMBER(SEARCH("BSB80120",'Offshore - Sydney'!B423&amp;'Offshore - Sydney'!N423)),ISNUMBER(SEARCH("Management (Learning)",'Offshore - Sydney'!B423))),2,IF(ISNUMBER(SEARCH("CEK:",'Offshore - Sydney'!N423)),1,0))</f>
        <v>0</v>
      </c>
    </row>
    <row r="1380" customFormat="false" ht="15" hidden="false" customHeight="false" outlineLevel="0" collapsed="false">
      <c r="A1380" s="63" t="s">
        <v>3533</v>
      </c>
      <c r="B1380" s="64" t="s">
        <v>4297</v>
      </c>
      <c r="C1380" s="63" t="s">
        <v>42</v>
      </c>
      <c r="D1380" s="64" t="str">
        <f aca="false">TRIM(LEFT('Offshore - Sydney'!A562,FIND(CHAR(10),'Offshore - Sydney'!A562&amp;CHAR(10))-1))</f>
        <v>Le Rosey Hospitality Institute</v>
      </c>
      <c r="E1380" s="63" t="str">
        <f aca="false">'Offshore - Sydney'!C562&amp;""</f>
        <v>2 years</v>
      </c>
      <c r="F1380" s="63" t="str">
        <f aca="false">IF('Offshore - Sydney'!D562="","Belum tercatat",'Offshore - Sydney'!D562)</f>
        <v>Term</v>
      </c>
      <c r="G1380" s="65" t="n">
        <f aca="false">IF('Offshore - Sydney'!E562="","-",'Offshore - Sydney'!E562)</f>
        <v>2550</v>
      </c>
      <c r="H1380" s="63" t="n">
        <f aca="false">IF(ISNUMBER(K1380),COUNTIFS($J$6:$J$1854,J1380,$K$6:$K$1854,"&lt;"&amp;K1380)+1,"-")</f>
        <v>14</v>
      </c>
      <c r="I1380" s="64" t="str">
        <f aca="false">IF('Offshore - Sydney'!E562="","Harga belum tersedia - hubungi konsultan TEG",IF(M1380=2,"Saat ini tidak menerima pendaftaran siswa internasional baru",IF(M1380=1,"Harga perlu dikonfirmasi ke sekolah"&amp;IF(""="","","; "&amp;""),"")))</f>
        <v>Harga perlu dikonfirmasi ke sekolah</v>
      </c>
      <c r="J1380" s="0" t="s">
        <v>4360</v>
      </c>
      <c r="K1380" s="0" t="n">
        <f aca="false">IF(M1380=2,"",IF(ISNUMBER(SEARCH("rata-rata:",'Offshore - Sydney'!N562)),VALUE(MID('Offshore - Sydney'!N562,SEARCH("rata-rata:",'Offshore - Sydney'!N562)+11,FIND(";",'Offshore - Sydney'!N562&amp;";",SEARCH("rata-rata:",'Offshore - Sydney'!N562))-SEARCH("rata-rata:",'Offshore - Sydney'!N562)-11)),IF('Offshore - Sydney'!D562="Semester",'Offshore - Sydney'!E562*2,IF('Offshore - Sydney'!D562="Trimester",'Offshore - Sydney'!E562*3,IF('Offshore - Sydney'!D562="Term",'Offshore - Sydney'!E562*4,IF('Offshore - Sydney'!D562="Unit",'Offshore - Sydney'!E562*8,""))))))</f>
        <v>10200</v>
      </c>
      <c r="L1380" s="0" t="n">
        <f aca="false">IF(AND(ISNUMBER('Offshore - Sydney'!E562),ISNUMBER(K1380),ISNUMBER('Offshore - Sydney'!F562),ISNUMBER('Offshore - Sydney'!G562),OR('Offshore - Sydney'!F562&lt;&gt;0,ISNUMBER(SEARCH("Material 0 terverifikasi",'Offshore - Sydney'!N562))),OR('Offshore - Sydney'!G562&lt;&gt;0,ISNUMBER(SEARCH("Enrolment 0 terverifikasi",'Offshore - Sydney'!N562)))),1,0)</f>
        <v>1</v>
      </c>
      <c r="M1380" s="0" t="n">
        <f aca="false">IF(OR('Offshore - Sydney'!E562="",ISNUMBER(SEARCH("BSB80120",'Offshore - Sydney'!B562&amp;'Offshore - Sydney'!N562)),ISNUMBER(SEARCH("Management (Learning)",'Offshore - Sydney'!B562))),2,IF(ISNUMBER(SEARCH("CEK:",'Offshore - Sydney'!N562)),1,0))</f>
        <v>1</v>
      </c>
    </row>
    <row r="1381" customFormat="false" ht="15" hidden="false" customHeight="false" outlineLevel="0" collapsed="false">
      <c r="A1381" s="63" t="s">
        <v>3533</v>
      </c>
      <c r="B1381" s="64" t="s">
        <v>4297</v>
      </c>
      <c r="C1381" s="63" t="s">
        <v>42</v>
      </c>
      <c r="D1381" s="64" t="str">
        <f aca="false">TRIM(LEFT('Offshore - Sydney'!A349,FIND(CHAR(10),'Offshore - Sydney'!A349&amp;CHAR(10))-1))</f>
        <v>Capstone Institute of Australia (CIA)</v>
      </c>
      <c r="E1381" s="63" t="str">
        <f aca="false">'Offshore - Sydney'!C350&amp;""</f>
        <v>3 years</v>
      </c>
      <c r="F1381" s="63" t="str">
        <f aca="false">IF('Offshore - Sydney'!D350="","Belum tercatat",'Offshore - Sydney'!D350)</f>
        <v>Term</v>
      </c>
      <c r="G1381" s="65" t="n">
        <f aca="false">IF('Offshore - Sydney'!E350="","-",'Offshore - Sydney'!E350)</f>
        <v>2700</v>
      </c>
      <c r="H1381" s="63" t="n">
        <f aca="false">IF(ISNUMBER(K1381),COUNTIFS($J$6:$J$1854,J1381,$K$6:$K$1854,"&lt;"&amp;K1381)+1,"-")</f>
        <v>16</v>
      </c>
      <c r="I1381" s="64" t="str">
        <f aca="false">IF('Offshore - Sydney'!E350="","Harga belum tersedia - hubungi konsultan TEG",IF(M1381=2,"Saat ini tidak menerima pendaftaran siswa internasional baru",IF(M1381=1,"Harga perlu dikonfirmasi ke sekolah"&amp;IF(""="","","; "&amp;""),"")))</f>
        <v/>
      </c>
      <c r="J1381" s="0" t="s">
        <v>4360</v>
      </c>
      <c r="K1381" s="0" t="n">
        <f aca="false">IF(M1381=2,"",IF(ISNUMBER(SEARCH("rata-rata:",'Offshore - Sydney'!N350)),VALUE(MID('Offshore - Sydney'!N350,SEARCH("rata-rata:",'Offshore - Sydney'!N350)+11,FIND(";",'Offshore - Sydney'!N350&amp;";",SEARCH("rata-rata:",'Offshore - Sydney'!N350))-SEARCH("rata-rata:",'Offshore - Sydney'!N350)-11)),IF('Offshore - Sydney'!D350="Semester",'Offshore - Sydney'!E350*2,IF('Offshore - Sydney'!D350="Trimester",'Offshore - Sydney'!E350*3,IF('Offshore - Sydney'!D350="Term",'Offshore - Sydney'!E350*4,IF('Offshore - Sydney'!D350="Unit",'Offshore - Sydney'!E350*8,""))))))</f>
        <v>10800</v>
      </c>
      <c r="L1381" s="0" t="n">
        <f aca="false">IF(AND(ISNUMBER('Offshore - Sydney'!E350),ISNUMBER(K1381),ISNUMBER('Offshore - Sydney'!F350),ISNUMBER('Offshore - Sydney'!G350),OR('Offshore - Sydney'!F350&lt;&gt;0,ISNUMBER(SEARCH("Material 0 terverifikasi",'Offshore - Sydney'!N350))),OR('Offshore - Sydney'!G350&lt;&gt;0,ISNUMBER(SEARCH("Enrolment 0 terverifikasi",'Offshore - Sydney'!N350)))),1,0)</f>
        <v>1</v>
      </c>
      <c r="M1381" s="0" t="n">
        <f aca="false">IF(OR('Offshore - Sydney'!E350="",ISNUMBER(SEARCH("BSB80120",'Offshore - Sydney'!B350&amp;'Offshore - Sydney'!N350)),ISNUMBER(SEARCH("Management (Learning)",'Offshore - Sydney'!B350))),2,IF(ISNUMBER(SEARCH("CEK:",'Offshore - Sydney'!N350)),1,0))</f>
        <v>0</v>
      </c>
    </row>
    <row r="1382" customFormat="false" ht="28.35" hidden="false" customHeight="false" outlineLevel="0" collapsed="false">
      <c r="A1382" s="63" t="s">
        <v>3533</v>
      </c>
      <c r="B1382" s="64" t="s">
        <v>4297</v>
      </c>
      <c r="C1382" s="63" t="s">
        <v>42</v>
      </c>
      <c r="D1382" s="64" t="str">
        <f aca="false">TRIM(LEFT('Offshore - Sydney'!A282,FIND(CHAR(10),'Offshore - Sydney'!A282&amp;CHAR(10))-1))</f>
        <v>Australian Harbour International College (AHIC)</v>
      </c>
      <c r="E1382" s="63" t="str">
        <f aca="false">'Offshore - Sydney'!C292&amp;""</f>
        <v>5 years</v>
      </c>
      <c r="F1382" s="63" t="str">
        <f aca="false">IF('Offshore - Sydney'!D292="","Belum tercatat",'Offshore - Sydney'!D292)</f>
        <v>Term</v>
      </c>
      <c r="G1382" s="65" t="n">
        <f aca="false">IF('Offshore - Sydney'!E292="","-",'Offshore - Sydney'!E292)</f>
        <v>3000</v>
      </c>
      <c r="H1382" s="63" t="n">
        <f aca="false">IF(ISNUMBER(K1382),COUNTIFS($J$6:$J$1854,J1382,$K$6:$K$1854,"&lt;"&amp;K1382)+1,"-")</f>
        <v>17</v>
      </c>
      <c r="I1382" s="64" t="str">
        <f aca="false">IF('Offshore - Sydney'!E292="","Harga belum tersedia - hubungi konsultan TEG",IF(M1382=2,"Saat ini tidak menerima pendaftaran siswa internasional baru",IF(M1382=1,"Harga perlu dikonfirmasi ke sekolah"&amp;IF(""="","","; "&amp;""),"")))</f>
        <v/>
      </c>
      <c r="J1382" s="0" t="s">
        <v>4360</v>
      </c>
      <c r="K1382" s="0" t="n">
        <f aca="false">IF(M1382=2,"",IF(ISNUMBER(SEARCH("rata-rata:",'Offshore - Sydney'!N292)),VALUE(MID('Offshore - Sydney'!N292,SEARCH("rata-rata:",'Offshore - Sydney'!N292)+11,FIND(";",'Offshore - Sydney'!N292&amp;";",SEARCH("rata-rata:",'Offshore - Sydney'!N292))-SEARCH("rata-rata:",'Offshore - Sydney'!N292)-11)),IF('Offshore - Sydney'!D292="Semester",'Offshore - Sydney'!E292*2,IF('Offshore - Sydney'!D292="Trimester",'Offshore - Sydney'!E292*3,IF('Offshore - Sydney'!D292="Term",'Offshore - Sydney'!E292*4,IF('Offshore - Sydney'!D292="Unit",'Offshore - Sydney'!E292*8,""))))))</f>
        <v>12000</v>
      </c>
      <c r="L1382" s="0" t="n">
        <f aca="false">IF(AND(ISNUMBER('Offshore - Sydney'!E292),ISNUMBER(K1382),ISNUMBER('Offshore - Sydney'!F292),ISNUMBER('Offshore - Sydney'!G292),OR('Offshore - Sydney'!F292&lt;&gt;0,ISNUMBER(SEARCH("Material 0 terverifikasi",'Offshore - Sydney'!N292))),OR('Offshore - Sydney'!G292&lt;&gt;0,ISNUMBER(SEARCH("Enrolment 0 terverifikasi",'Offshore - Sydney'!N292)))),1,0)</f>
        <v>1</v>
      </c>
      <c r="M1382" s="0" t="n">
        <f aca="false">IF(OR('Offshore - Sydney'!E292="",ISNUMBER(SEARCH("BSB80120",'Offshore - Sydney'!B292&amp;'Offshore - Sydney'!N292)),ISNUMBER(SEARCH("Management (Learning)",'Offshore - Sydney'!B292))),2,IF(ISNUMBER(SEARCH("CEK:",'Offshore - Sydney'!N292)),1,0))</f>
        <v>0</v>
      </c>
    </row>
    <row r="1383" customFormat="false" ht="15" hidden="false" customHeight="false" outlineLevel="0" collapsed="false">
      <c r="A1383" s="63" t="s">
        <v>3533</v>
      </c>
      <c r="B1383" s="64" t="s">
        <v>4297</v>
      </c>
      <c r="C1383" s="63" t="s">
        <v>42</v>
      </c>
      <c r="D1383" s="64" t="str">
        <f aca="false">TRIM(LEFT('Offshore - Sydney'!A968,FIND(CHAR(10),'Offshore - Sydney'!A968&amp;CHAR(10))-1))</f>
        <v>Western Sydney College (WSC)</v>
      </c>
      <c r="E1383" s="63" t="str">
        <f aca="false">'Offshore - Sydney'!C977&amp;""</f>
        <v>3.5 years</v>
      </c>
      <c r="F1383" s="63" t="str">
        <f aca="false">IF('Offshore - Sydney'!D977="","Belum tercatat",'Offshore - Sydney'!D977)</f>
        <v>Term</v>
      </c>
      <c r="G1383" s="65" t="n">
        <f aca="false">IF('Offshore - Sydney'!E977="","-",'Offshore - Sydney'!E977)</f>
        <v>3250</v>
      </c>
      <c r="H1383" s="63" t="n">
        <f aca="false">IF(ISNUMBER(K1383),COUNTIFS($J$6:$J$1854,J1383,$K$6:$K$1854,"&lt;"&amp;K1383)+1,"-")</f>
        <v>18</v>
      </c>
      <c r="I1383" s="64" t="str">
        <f aca="false">IF('Offshore - Sydney'!E977="","Harga belum tersedia - hubungi konsultan TEG",IF(M1383=2,"Saat ini tidak menerima pendaftaran siswa internasional baru",IF(M1383=1,"Program perlu dikonfirmasi ketersediaannya"&amp;IF(""="","","; "&amp;""),"")))</f>
        <v>Program perlu dikonfirmasi ketersediaannya</v>
      </c>
      <c r="J1383" s="0" t="s">
        <v>4360</v>
      </c>
      <c r="K1383" s="0" t="n">
        <f aca="false">IF(M1383=2,"",IF(ISNUMBER(SEARCH("rata-rata:",'Offshore - Sydney'!N977)),VALUE(MID('Offshore - Sydney'!N977,SEARCH("rata-rata:",'Offshore - Sydney'!N977)+11,FIND(";",'Offshore - Sydney'!N977&amp;";",SEARCH("rata-rata:",'Offshore - Sydney'!N977))-SEARCH("rata-rata:",'Offshore - Sydney'!N977)-11)),IF('Offshore - Sydney'!D977="Semester",'Offshore - Sydney'!E977*2,IF('Offshore - Sydney'!D977="Trimester",'Offshore - Sydney'!E977*3,IF('Offshore - Sydney'!D977="Term",'Offshore - Sydney'!E977*4,IF('Offshore - Sydney'!D977="Unit",'Offshore - Sydney'!E977*8,""))))))</f>
        <v>13000</v>
      </c>
      <c r="L1383" s="0" t="n">
        <f aca="false">IF(AND(ISNUMBER('Offshore - Sydney'!E977),ISNUMBER(K1383),ISNUMBER('Offshore - Sydney'!F977),ISNUMBER('Offshore - Sydney'!G977),OR('Offshore - Sydney'!F977&lt;&gt;0,ISNUMBER(SEARCH("Material 0 terverifikasi",'Offshore - Sydney'!N977))),OR('Offshore - Sydney'!G977&lt;&gt;0,ISNUMBER(SEARCH("Enrolment 0 terverifikasi",'Offshore - Sydney'!N977)))),1,0)</f>
        <v>1</v>
      </c>
      <c r="M1383" s="0" t="n">
        <f aca="false">IF(OR('Offshore - Sydney'!E977="",ISNUMBER(SEARCH("BSB80120",'Offshore - Sydney'!B977&amp;'Offshore - Sydney'!N977)),ISNUMBER(SEARCH("Management (Learning)",'Offshore - Sydney'!B977))),2,IF(ISNUMBER(SEARCH("CEK:",'Offshore - Sydney'!N977)),1,0))</f>
        <v>1</v>
      </c>
    </row>
    <row r="1384" customFormat="false" ht="15" hidden="false" customHeight="false" outlineLevel="0" collapsed="false">
      <c r="A1384" s="63" t="s">
        <v>3533</v>
      </c>
      <c r="B1384" s="64" t="s">
        <v>4297</v>
      </c>
      <c r="C1384" s="63" t="s">
        <v>42</v>
      </c>
      <c r="D1384" s="64" t="str">
        <f aca="false">TRIM(LEFT('Offshore - Sydney'!A102,FIND(CHAR(10),'Offshore - Sydney'!A102&amp;CHAR(10))-1))</f>
        <v>Alice Springs College of Australia (ASCA)</v>
      </c>
      <c r="E1384" s="63" t="str">
        <f aca="false">'Offshore - Sydney'!C103&amp;""</f>
        <v>4,5 years</v>
      </c>
      <c r="F1384" s="63" t="str">
        <f aca="false">IF('Offshore - Sydney'!D103="","Belum tercatat",'Offshore - Sydney'!D103)</f>
        <v>Term</v>
      </c>
      <c r="G1384" s="65" t="n">
        <f aca="false">IF('Offshore - Sydney'!E103="","-",'Offshore - Sydney'!E103)</f>
        <v>3333</v>
      </c>
      <c r="H1384" s="63" t="n">
        <f aca="false">IF(ISNUMBER(K1384),COUNTIFS($J$6:$J$1854,J1384,$K$6:$K$1854,"&lt;"&amp;K1384)+1,"-")</f>
        <v>19</v>
      </c>
      <c r="I1384" s="64" t="str">
        <f aca="false">IF('Offshore - Sydney'!E103="","Harga belum tersedia - hubungi konsultan TEG",IF(M1384=2,"Saat ini tidak menerima pendaftaran siswa internasional baru",IF(M1384=1,"Harga perlu dikonfirmasi ke sekolah"&amp;IF(""="","","; "&amp;""),"")))</f>
        <v/>
      </c>
      <c r="J1384" s="0" t="s">
        <v>4360</v>
      </c>
      <c r="K1384" s="0" t="n">
        <f aca="false">IF(M1384=2,"",IF(ISNUMBER(SEARCH("rata-rata:",'Offshore - Sydney'!N103)),VALUE(MID('Offshore - Sydney'!N103,SEARCH("rata-rata:",'Offshore - Sydney'!N103)+11,FIND(";",'Offshore - Sydney'!N103&amp;";",SEARCH("rata-rata:",'Offshore - Sydney'!N103))-SEARCH("rata-rata:",'Offshore - Sydney'!N103)-11)),IF('Offshore - Sydney'!D103="Semester",'Offshore - Sydney'!E103*2,IF('Offshore - Sydney'!D103="Trimester",'Offshore - Sydney'!E103*3,IF('Offshore - Sydney'!D103="Term",'Offshore - Sydney'!E103*4,IF('Offshore - Sydney'!D103="Unit",'Offshore - Sydney'!E103*8,""))))))</f>
        <v>13332</v>
      </c>
      <c r="L1384" s="0" t="n">
        <f aca="false">IF(AND(ISNUMBER('Offshore - Sydney'!E103),ISNUMBER(K1384),ISNUMBER('Offshore - Sydney'!F103),ISNUMBER('Offshore - Sydney'!G103),OR('Offshore - Sydney'!F103&lt;&gt;0,ISNUMBER(SEARCH("Material 0 terverifikasi",'Offshore - Sydney'!N103))),OR('Offshore - Sydney'!G103&lt;&gt;0,ISNUMBER(SEARCH("Enrolment 0 terverifikasi",'Offshore - Sydney'!N103)))),1,0)</f>
        <v>1</v>
      </c>
      <c r="M1384" s="0" t="n">
        <f aca="false">IF(OR('Offshore - Sydney'!E103="",ISNUMBER(SEARCH("BSB80120",'Offshore - Sydney'!B103&amp;'Offshore - Sydney'!N103)),ISNUMBER(SEARCH("Management (Learning)",'Offshore - Sydney'!B103))),2,IF(ISNUMBER(SEARCH("CEK:",'Offshore - Sydney'!N103)),1,0))</f>
        <v>0</v>
      </c>
    </row>
    <row r="1385" customFormat="false" ht="15" hidden="false" customHeight="false" outlineLevel="0" collapsed="false">
      <c r="A1385" s="63" t="s">
        <v>3533</v>
      </c>
      <c r="B1385" s="64" t="s">
        <v>4297</v>
      </c>
      <c r="C1385" s="63" t="s">
        <v>42</v>
      </c>
      <c r="D1385" s="64" t="str">
        <f aca="false">TRIM(LEFT('Offshore - Sydney'!A691,FIND(CHAR(10),'Offshore - Sydney'!A691&amp;CHAR(10))-1))</f>
        <v>Sydney City College of Management</v>
      </c>
      <c r="E1385" s="63" t="str">
        <f aca="false">'Offshore - Sydney'!C694&amp;""</f>
        <v>2,5 years</v>
      </c>
      <c r="F1385" s="63" t="str">
        <f aca="false">IF('Offshore - Sydney'!D694="","Belum tercatat",'Offshore - Sydney'!D694)</f>
        <v>Term</v>
      </c>
      <c r="G1385" s="65" t="n">
        <f aca="false">IF('Offshore - Sydney'!E694="","-",'Offshore - Sydney'!E694)</f>
        <v>4300</v>
      </c>
      <c r="H1385" s="63" t="n">
        <f aca="false">IF(ISNUMBER(K1385),COUNTIFS($J$6:$J$1854,J1385,$K$6:$K$1854,"&lt;"&amp;K1385)+1,"-")</f>
        <v>20</v>
      </c>
      <c r="I1385" s="64" t="str">
        <f aca="false">IF('Offshore - Sydney'!E694="","Harga belum tersedia - hubungi konsultan TEG",IF(M1385=2,"Saat ini tidak menerima pendaftaran siswa internasional baru",IF(M1385=1,"Harga perlu dikonfirmasi ke sekolah"&amp;IF(""="","","; "&amp;""),"")))</f>
        <v/>
      </c>
      <c r="J1385" s="0" t="s">
        <v>4360</v>
      </c>
      <c r="K1385" s="0" t="n">
        <f aca="false">IF(M1385=2,"",IF(ISNUMBER(SEARCH("rata-rata:",'Offshore - Sydney'!N694)),VALUE(MID('Offshore - Sydney'!N694,SEARCH("rata-rata:",'Offshore - Sydney'!N694)+11,FIND(";",'Offshore - Sydney'!N694&amp;";",SEARCH("rata-rata:",'Offshore - Sydney'!N694))-SEARCH("rata-rata:",'Offshore - Sydney'!N694)-11)),IF('Offshore - Sydney'!D694="Semester",'Offshore - Sydney'!E694*2,IF('Offshore - Sydney'!D694="Trimester",'Offshore - Sydney'!E694*3,IF('Offshore - Sydney'!D694="Term",'Offshore - Sydney'!E694*4,IF('Offshore - Sydney'!D694="Unit",'Offshore - Sydney'!E694*8,""))))))</f>
        <v>17200</v>
      </c>
      <c r="L1385" s="0" t="n">
        <f aca="false">IF(AND(ISNUMBER('Offshore - Sydney'!E694),ISNUMBER(K1385),ISNUMBER('Offshore - Sydney'!F694),ISNUMBER('Offshore - Sydney'!G694),OR('Offshore - Sydney'!F694&lt;&gt;0,ISNUMBER(SEARCH("Material 0 terverifikasi",'Offshore - Sydney'!N694))),OR('Offshore - Sydney'!G694&lt;&gt;0,ISNUMBER(SEARCH("Enrolment 0 terverifikasi",'Offshore - Sydney'!N694)))),1,0)</f>
        <v>1</v>
      </c>
      <c r="M1385" s="0" t="n">
        <f aca="false">IF(OR('Offshore - Sydney'!E694="",ISNUMBER(SEARCH("BSB80120",'Offshore - Sydney'!B694&amp;'Offshore - Sydney'!N694)),ISNUMBER(SEARCH("Management (Learning)",'Offshore - Sydney'!B694))),2,IF(ISNUMBER(SEARCH("CEK:",'Offshore - Sydney'!N694)),1,0))</f>
        <v>0</v>
      </c>
    </row>
    <row r="1386" customFormat="false" ht="15" hidden="false" customHeight="false" outlineLevel="0" collapsed="false">
      <c r="A1386" s="63" t="s">
        <v>3533</v>
      </c>
      <c r="B1386" s="64" t="s">
        <v>4297</v>
      </c>
      <c r="C1386" s="63" t="s">
        <v>42</v>
      </c>
      <c r="D1386" s="64" t="str">
        <f aca="false">TRIM(LEFT('Offshore - Sydney'!A481,FIND(CHAR(10),'Offshore - Sydney'!A481&amp;CHAR(10))-1))</f>
        <v>Hunter Education Group</v>
      </c>
      <c r="E1386" s="63" t="str">
        <f aca="false">'Offshore - Sydney'!C486&amp;""</f>
        <v>2,5 years</v>
      </c>
      <c r="F1386" s="63" t="str">
        <f aca="false">IF('Offshore - Sydney'!D486="","Belum tercatat",'Offshore - Sydney'!D486)</f>
        <v>Term</v>
      </c>
      <c r="G1386" s="65" t="n">
        <f aca="false">IF('Offshore - Sydney'!E486="","-",'Offshore - Sydney'!E486)</f>
        <v>4500</v>
      </c>
      <c r="H1386" s="63" t="n">
        <f aca="false">IF(ISNUMBER(K1386),COUNTIFS($J$6:$J$1854,J1386,$K$6:$K$1854,"&lt;"&amp;K1386)+1,"-")</f>
        <v>21</v>
      </c>
      <c r="I1386" s="64" t="str">
        <f aca="false">IF('Offshore - Sydney'!E486="","Harga belum tersedia - hubungi konsultan TEG",IF(M1386=2,"Saat ini tidak menerima pendaftaran siswa internasional baru",IF(M1386=1,"Program perlu dikonfirmasi ketersediaannya"&amp;IF(""="","","; "&amp;""),"")))</f>
        <v>Program perlu dikonfirmasi ketersediaannya</v>
      </c>
      <c r="J1386" s="0" t="s">
        <v>4360</v>
      </c>
      <c r="K1386" s="0" t="n">
        <f aca="false">IF(M1386=2,"",IF(ISNUMBER(SEARCH("rata-rata:",'Offshore - Sydney'!N486)),VALUE(MID('Offshore - Sydney'!N486,SEARCH("rata-rata:",'Offshore - Sydney'!N486)+11,FIND(";",'Offshore - Sydney'!N486&amp;";",SEARCH("rata-rata:",'Offshore - Sydney'!N486))-SEARCH("rata-rata:",'Offshore - Sydney'!N486)-11)),IF('Offshore - Sydney'!D486="Semester",'Offshore - Sydney'!E486*2,IF('Offshore - Sydney'!D486="Trimester",'Offshore - Sydney'!E486*3,IF('Offshore - Sydney'!D486="Term",'Offshore - Sydney'!E486*4,IF('Offshore - Sydney'!D486="Unit",'Offshore - Sydney'!E486*8,""))))))</f>
        <v>18000</v>
      </c>
      <c r="L1386" s="0" t="n">
        <f aca="false">IF(AND(ISNUMBER('Offshore - Sydney'!E486),ISNUMBER(K1386),ISNUMBER('Offshore - Sydney'!F486),ISNUMBER('Offshore - Sydney'!G486),OR('Offshore - Sydney'!F486&lt;&gt;0,ISNUMBER(SEARCH("Material 0 terverifikasi",'Offshore - Sydney'!N486))),OR('Offshore - Sydney'!G486&lt;&gt;0,ISNUMBER(SEARCH("Enrolment 0 terverifikasi",'Offshore - Sydney'!N486)))),1,0)</f>
        <v>0</v>
      </c>
      <c r="M1386" s="0" t="n">
        <f aca="false">IF(OR('Offshore - Sydney'!E486="",ISNUMBER(SEARCH("BSB80120",'Offshore - Sydney'!B486&amp;'Offshore - Sydney'!N486)),ISNUMBER(SEARCH("Management (Learning)",'Offshore - Sydney'!B486))),2,IF(ISNUMBER(SEARCH("CEK:",'Offshore - Sydney'!N486)),1,0))</f>
        <v>1</v>
      </c>
    </row>
    <row r="1387" customFormat="false" ht="15" hidden="false" customHeight="false" outlineLevel="0" collapsed="false">
      <c r="A1387" s="63" t="s">
        <v>3533</v>
      </c>
      <c r="B1387" s="64" t="s">
        <v>4297</v>
      </c>
      <c r="C1387" s="63" t="s">
        <v>42</v>
      </c>
      <c r="D1387" s="64" t="str">
        <f aca="false">TRIM(LEFT('Offshore - Sydney'!A539,FIND(CHAR(10),'Offshore - Sydney'!A539&amp;CHAR(10))-1))</f>
        <v>Le Cordon Bleu Australia</v>
      </c>
      <c r="E1387" s="63" t="str">
        <f aca="false">'Offshore - Sydney'!C541&amp;""</f>
        <v>0,5 year</v>
      </c>
      <c r="F1387" s="63" t="str">
        <f aca="false">IF('Offshore - Sydney'!D541="","Belum tercatat",'Offshore - Sydney'!D541)</f>
        <v>Term</v>
      </c>
      <c r="G1387" s="65" t="n">
        <f aca="false">IF('Offshore - Sydney'!E541="","-",'Offshore - Sydney'!E541)</f>
        <v>7298.5</v>
      </c>
      <c r="H1387" s="63" t="n">
        <f aca="false">IF(ISNUMBER(K1387),COUNTIFS($J$6:$J$1854,J1387,$K$6:$K$1854,"&lt;"&amp;K1387)+1,"-")</f>
        <v>22</v>
      </c>
      <c r="I1387" s="64" t="str">
        <f aca="false">IF('Offshore - Sydney'!E541="","Harga belum tersedia - hubungi konsultan TEG",IF(M1387=2,"Saat ini tidak menerima pendaftaran siswa internasional baru",IF(M1387=1,"Harga perlu dikonfirmasi ke sekolah"&amp;IF(""="","","; "&amp;""),"")))</f>
        <v/>
      </c>
      <c r="J1387" s="0" t="s">
        <v>4360</v>
      </c>
      <c r="K1387" s="0" t="n">
        <f aca="false">IF(M1387=2,"",IF(ISNUMBER(SEARCH("rata-rata:",'Offshore - Sydney'!N541)),VALUE(MID('Offshore - Sydney'!N541,SEARCH("rata-rata:",'Offshore - Sydney'!N541)+11,FIND(";",'Offshore - Sydney'!N541&amp;";",SEARCH("rata-rata:",'Offshore - Sydney'!N541))-SEARCH("rata-rata:",'Offshore - Sydney'!N541)-11)),IF('Offshore - Sydney'!D541="Semester",'Offshore - Sydney'!E541*2,IF('Offshore - Sydney'!D541="Trimester",'Offshore - Sydney'!E541*3,IF('Offshore - Sydney'!D541="Term",'Offshore - Sydney'!E541*4,IF('Offshore - Sydney'!D541="Unit",'Offshore - Sydney'!E541*8,""))))))</f>
        <v>29194</v>
      </c>
      <c r="L1387" s="0" t="n">
        <f aca="false">IF(AND(ISNUMBER('Offshore - Sydney'!E541),ISNUMBER(K1387),ISNUMBER('Offshore - Sydney'!F541),ISNUMBER('Offshore - Sydney'!G541),OR('Offshore - Sydney'!F541&lt;&gt;0,ISNUMBER(SEARCH("Material 0 terverifikasi",'Offshore - Sydney'!N541))),OR('Offshore - Sydney'!G541&lt;&gt;0,ISNUMBER(SEARCH("Enrolment 0 terverifikasi",'Offshore - Sydney'!N541)))),1,0)</f>
        <v>0</v>
      </c>
      <c r="M1387" s="0" t="n">
        <f aca="false">IF(OR('Offshore - Sydney'!E541="",ISNUMBER(SEARCH("BSB80120",'Offshore - Sydney'!B541&amp;'Offshore - Sydney'!N541)),ISNUMBER(SEARCH("Management (Learning)",'Offshore - Sydney'!B541))),2,IF(ISNUMBER(SEARCH("CEK:",'Offshore - Sydney'!N541)),1,0))</f>
        <v>0</v>
      </c>
    </row>
    <row r="1388" customFormat="false" ht="15" hidden="false" customHeight="false" outlineLevel="0" collapsed="false">
      <c r="A1388" s="61" t="s">
        <v>4361</v>
      </c>
      <c r="B1388" s="62"/>
      <c r="C1388" s="62"/>
      <c r="D1388" s="62"/>
      <c r="E1388" s="62"/>
      <c r="F1388" s="62"/>
      <c r="G1388" s="62"/>
      <c r="H1388" s="62"/>
      <c r="I1388" s="62"/>
    </row>
    <row r="1389" customFormat="false" ht="15" hidden="false" customHeight="false" outlineLevel="0" collapsed="false">
      <c r="A1389" s="63" t="s">
        <v>3533</v>
      </c>
      <c r="B1389" s="64" t="s">
        <v>4297</v>
      </c>
      <c r="C1389" s="63" t="s">
        <v>43</v>
      </c>
      <c r="D1389" s="64" t="str">
        <f aca="false">TRIM(LEFT('Offshore - Sydney'!A721,FIND(CHAR(10),'Offshore - Sydney'!A721&amp;CHAR(10))-1))</f>
        <v>TAFE NSW</v>
      </c>
      <c r="E1389" s="63" t="str">
        <f aca="false">'Offshore - Sydney'!C735&amp;""</f>
        <v>2 years</v>
      </c>
      <c r="F1389" s="63" t="str">
        <f aca="false">IF('Offshore - Sydney'!D735="","Belum tercatat",'Offshore - Sydney'!D735)</f>
        <v>Term</v>
      </c>
      <c r="G1389" s="65" t="n">
        <f aca="false">IF('Offshore - Sydney'!E735="","-",'Offshore - Sydney'!E735)</f>
        <v>4340</v>
      </c>
      <c r="H1389" s="63" t="n">
        <f aca="false">IF(ISNUMBER(K1389),COUNTIFS($J$6:$J$1854,J1389,$K$6:$K$1854,"&lt;"&amp;K1389)+1,"-")</f>
        <v>1</v>
      </c>
      <c r="I1389" s="64" t="str">
        <f aca="false">IF('Offshore - Sydney'!E735="","Harga belum tersedia - hubungi konsultan TEG",IF(M1389=2,"Saat ini tidak menerima pendaftaran siswa internasional baru",IF(M1389=1,"Harga perlu dikonfirmasi ke sekolah"&amp;IF(""="","","; "&amp;""),"")))</f>
        <v/>
      </c>
      <c r="J1389" s="0" t="s">
        <v>4362</v>
      </c>
      <c r="K1389" s="0" t="n">
        <f aca="false">IF(M1389=2,"",IF(ISNUMBER(SEARCH("rata-rata:",'Offshore - Sydney'!N735)),VALUE(MID('Offshore - Sydney'!N735,SEARCH("rata-rata:",'Offshore - Sydney'!N735)+11,FIND(";",'Offshore - Sydney'!N735&amp;";",SEARCH("rata-rata:",'Offshore - Sydney'!N735))-SEARCH("rata-rata:",'Offshore - Sydney'!N735)-11)),IF('Offshore - Sydney'!D735="Semester",'Offshore - Sydney'!E735*2,IF('Offshore - Sydney'!D735="Trimester",'Offshore - Sydney'!E735*3,IF('Offshore - Sydney'!D735="Term",'Offshore - Sydney'!E735*4,IF('Offshore - Sydney'!D735="Unit",'Offshore - Sydney'!E735*8,""))))))</f>
        <v>17360</v>
      </c>
      <c r="L1389" s="0" t="n">
        <f aca="false">IF(AND(ISNUMBER('Offshore - Sydney'!E735),ISNUMBER(K1389),ISNUMBER('Offshore - Sydney'!F735),ISNUMBER('Offshore - Sydney'!G735),OR('Offshore - Sydney'!F735&lt;&gt;0,ISNUMBER(SEARCH("Material 0 terverifikasi",'Offshore - Sydney'!N735))),OR('Offshore - Sydney'!G735&lt;&gt;0,ISNUMBER(SEARCH("Enrolment 0 terverifikasi",'Offshore - Sydney'!N735)))),1,0)</f>
        <v>0</v>
      </c>
      <c r="M1389" s="0" t="n">
        <f aca="false">IF(OR('Offshore - Sydney'!E735="",ISNUMBER(SEARCH("BSB80120",'Offshore - Sydney'!B735&amp;'Offshore - Sydney'!N735)),ISNUMBER(SEARCH("Management (Learning)",'Offshore - Sydney'!B735))),2,IF(ISNUMBER(SEARCH("CEK:",'Offshore - Sydney'!N735)),1,0))</f>
        <v>0</v>
      </c>
    </row>
    <row r="1390" customFormat="false" ht="15" hidden="false" customHeight="false" outlineLevel="0" collapsed="false">
      <c r="A1390" s="63" t="s">
        <v>3533</v>
      </c>
      <c r="B1390" s="64" t="s">
        <v>4297</v>
      </c>
      <c r="C1390" s="63" t="s">
        <v>43</v>
      </c>
      <c r="D1390" s="64" t="str">
        <f aca="false">TRIM(LEFT('Offshore - Sydney'!A40,FIND(CHAR(10),'Offshore - Sydney'!A40&amp;CHAR(10))-1))</f>
        <v>Academies Australasia</v>
      </c>
      <c r="E1390" s="63" t="str">
        <f aca="false">'Offshore - Sydney'!C49&amp;""</f>
        <v>3 years</v>
      </c>
      <c r="F1390" s="63" t="str">
        <f aca="false">IF('Offshore - Sydney'!D49="","Belum tercatat",'Offshore - Sydney'!D49)</f>
        <v>Term</v>
      </c>
      <c r="G1390" s="65" t="n">
        <f aca="false">IF('Offshore - Sydney'!E49="","-",'Offshore - Sydney'!E49)</f>
        <v>5000</v>
      </c>
      <c r="H1390" s="63" t="n">
        <f aca="false">IF(ISNUMBER(K1390),COUNTIFS($J$6:$J$1854,J1390,$K$6:$K$1854,"&lt;"&amp;K1390)+1,"-")</f>
        <v>2</v>
      </c>
      <c r="I1390" s="64" t="str">
        <f aca="false">IF('Offshore - Sydney'!E49="","Harga belum tersedia - hubungi konsultan TEG",IF(M1390=2,"Saat ini tidak menerima pendaftaran siswa internasional baru",IF(M1390=1,"Harga perlu dikonfirmasi ke sekolah"&amp;IF(""="","","; "&amp;""),"")))</f>
        <v/>
      </c>
      <c r="J1390" s="0" t="s">
        <v>4362</v>
      </c>
      <c r="K1390" s="0" t="n">
        <f aca="false">IF(M1390=2,"",IF(ISNUMBER(SEARCH("rata-rata:",'Offshore - Sydney'!N49)),VALUE(MID('Offshore - Sydney'!N49,SEARCH("rata-rata:",'Offshore - Sydney'!N49)+11,FIND(";",'Offshore - Sydney'!N49&amp;";",SEARCH("rata-rata:",'Offshore - Sydney'!N49))-SEARCH("rata-rata:",'Offshore - Sydney'!N49)-11)),IF('Offshore - Sydney'!D49="Semester",'Offshore - Sydney'!E49*2,IF('Offshore - Sydney'!D49="Trimester",'Offshore - Sydney'!E49*3,IF('Offshore - Sydney'!D49="Term",'Offshore - Sydney'!E49*4,IF('Offshore - Sydney'!D49="Unit",'Offshore - Sydney'!E49*8,""))))))</f>
        <v>20000</v>
      </c>
      <c r="L1390" s="0" t="n">
        <f aca="false">IF(AND(ISNUMBER('Offshore - Sydney'!E49),ISNUMBER(K1390),ISNUMBER('Offshore - Sydney'!F49),ISNUMBER('Offshore - Sydney'!G49),OR('Offshore - Sydney'!F49&lt;&gt;0,ISNUMBER(SEARCH("Material 0 terverifikasi",'Offshore - Sydney'!N49))),OR('Offshore - Sydney'!G49&lt;&gt;0,ISNUMBER(SEARCH("Enrolment 0 terverifikasi",'Offshore - Sydney'!N49)))),1,0)</f>
        <v>1</v>
      </c>
      <c r="M1390" s="0" t="n">
        <f aca="false">IF(OR('Offshore - Sydney'!E49="",ISNUMBER(SEARCH("BSB80120",'Offshore - Sydney'!B49&amp;'Offshore - Sydney'!N49)),ISNUMBER(SEARCH("Management (Learning)",'Offshore - Sydney'!B49))),2,IF(ISNUMBER(SEARCH("CEK:",'Offshore - Sydney'!N49)),1,0))</f>
        <v>0</v>
      </c>
    </row>
    <row r="1391" customFormat="false" ht="15" hidden="false" customHeight="false" outlineLevel="0" collapsed="false">
      <c r="A1391" s="63" t="s">
        <v>3533</v>
      </c>
      <c r="B1391" s="64" t="s">
        <v>4297</v>
      </c>
      <c r="C1391" s="63" t="s">
        <v>43</v>
      </c>
      <c r="D1391" s="64" t="str">
        <f aca="false">TRIM(LEFT('Offshore - Sydney'!A539,FIND(CHAR(10),'Offshore - Sydney'!A539&amp;CHAR(10))-1))</f>
        <v>Le Cordon Bleu Australia</v>
      </c>
      <c r="E1391" s="63" t="str">
        <f aca="false">'Offshore - Sydney'!C547&amp;""</f>
        <v>3 years</v>
      </c>
      <c r="F1391" s="63" t="str">
        <f aca="false">IF('Offshore - Sydney'!D547="","Belum tercatat",'Offshore - Sydney'!D547)</f>
        <v>Term</v>
      </c>
      <c r="G1391" s="65" t="n">
        <f aca="false">IF('Offshore - Sydney'!E547="","-",'Offshore - Sydney'!E547)</f>
        <v>5688.58</v>
      </c>
      <c r="H1391" s="63" t="n">
        <f aca="false">IF(ISNUMBER(K1391),COUNTIFS($J$6:$J$1854,J1391,$K$6:$K$1854,"&lt;"&amp;K1391)+1,"-")</f>
        <v>3</v>
      </c>
      <c r="I1391" s="64" t="str">
        <f aca="false">IF('Offshore - Sydney'!E547="","Harga belum tersedia - hubungi konsultan TEG",IF(M1391=2,"Saat ini tidak menerima pendaftaran siswa internasional baru",IF(M1391=1,"Harga perlu dikonfirmasi ke sekolah"&amp;IF(""="","","; "&amp;""),"")))</f>
        <v/>
      </c>
      <c r="J1391" s="0" t="s">
        <v>4362</v>
      </c>
      <c r="K1391" s="0" t="n">
        <f aca="false">IF(M1391=2,"",IF(ISNUMBER(SEARCH("rata-rata:",'Offshore - Sydney'!N547)),VALUE(MID('Offshore - Sydney'!N547,SEARCH("rata-rata:",'Offshore - Sydney'!N547)+11,FIND(";",'Offshore - Sydney'!N547&amp;";",SEARCH("rata-rata:",'Offshore - Sydney'!N547))-SEARCH("rata-rata:",'Offshore - Sydney'!N547)-11)),IF('Offshore - Sydney'!D547="Semester",'Offshore - Sydney'!E547*2,IF('Offshore - Sydney'!D547="Trimester",'Offshore - Sydney'!E547*3,IF('Offshore - Sydney'!D547="Term",'Offshore - Sydney'!E547*4,IF('Offshore - Sydney'!D547="Unit",'Offshore - Sydney'!E547*8,""))))))</f>
        <v>22754.32</v>
      </c>
      <c r="L1391" s="0" t="n">
        <f aca="false">IF(AND(ISNUMBER('Offshore - Sydney'!E547),ISNUMBER(K1391),ISNUMBER('Offshore - Sydney'!F547),ISNUMBER('Offshore - Sydney'!G547),OR('Offshore - Sydney'!F547&lt;&gt;0,ISNUMBER(SEARCH("Material 0 terverifikasi",'Offshore - Sydney'!N547))),OR('Offshore - Sydney'!G547&lt;&gt;0,ISNUMBER(SEARCH("Enrolment 0 terverifikasi",'Offshore - Sydney'!N547)))),1,0)</f>
        <v>0</v>
      </c>
      <c r="M1391" s="0" t="n">
        <f aca="false">IF(OR('Offshore - Sydney'!E547="",ISNUMBER(SEARCH("BSB80120",'Offshore - Sydney'!B547&amp;'Offshore - Sydney'!N547)),ISNUMBER(SEARCH("Management (Learning)",'Offshore - Sydney'!B547))),2,IF(ISNUMBER(SEARCH("CEK:",'Offshore - Sydney'!N547)),1,0))</f>
        <v>0</v>
      </c>
    </row>
    <row r="1392" customFormat="false" ht="15" hidden="false" customHeight="false" outlineLevel="0" collapsed="false">
      <c r="A1392" s="63" t="s">
        <v>3533</v>
      </c>
      <c r="B1392" s="64" t="s">
        <v>4297</v>
      </c>
      <c r="C1392" s="63" t="s">
        <v>43</v>
      </c>
      <c r="D1392" s="64" t="str">
        <f aca="false">TRIM(LEFT('Offshore - Sydney'!A982,FIND(CHAR(10),'Offshore - Sydney'!A982&amp;CHAR(10))-1))</f>
        <v>Western Sydney University</v>
      </c>
      <c r="E1392" s="63" t="str">
        <f aca="false">'Offshore - Sydney'!C1059&amp;""</f>
        <v>3 years</v>
      </c>
      <c r="F1392" s="63" t="str">
        <f aca="false">IF('Offshore - Sydney'!D1059="","Belum tercatat",'Offshore - Sydney'!D1059)</f>
        <v>Term</v>
      </c>
      <c r="G1392" s="65" t="n">
        <f aca="false">IF('Offshore - Sydney'!E1059="","-",'Offshore - Sydney'!E1059)</f>
        <v>8125</v>
      </c>
      <c r="H1392" s="63" t="n">
        <f aca="false">IF(ISNUMBER(K1392),COUNTIFS($J$6:$J$1854,J1392,$K$6:$K$1854,"&lt;"&amp;K1392)+1,"-")</f>
        <v>4</v>
      </c>
      <c r="I1392" s="64" t="str">
        <f aca="false">IF('Offshore - Sydney'!E1059="","Harga belum tersedia - hubungi konsultan TEG",IF(M1392=2,"Saat ini tidak menerima pendaftaran siswa internasional baru",IF(M1392=1,"Harga perlu dikonfirmasi ke sekolah"&amp;IF(""="","","; "&amp;""),"")))</f>
        <v/>
      </c>
      <c r="J1392" s="0" t="s">
        <v>4362</v>
      </c>
      <c r="K1392" s="0" t="n">
        <f aca="false">IF(M1392=2,"",IF(ISNUMBER(SEARCH("rata-rata:",'Offshore - Sydney'!N1059)),VALUE(MID('Offshore - Sydney'!N1059,SEARCH("rata-rata:",'Offshore - Sydney'!N1059)+11,FIND(";",'Offshore - Sydney'!N1059&amp;";",SEARCH("rata-rata:",'Offshore - Sydney'!N1059))-SEARCH("rata-rata:",'Offshore - Sydney'!N1059)-11)),IF('Offshore - Sydney'!D1059="Semester",'Offshore - Sydney'!E1059*2,IF('Offshore - Sydney'!D1059="Trimester",'Offshore - Sydney'!E1059*3,IF('Offshore - Sydney'!D1059="Term",'Offshore - Sydney'!E1059*4,IF('Offshore - Sydney'!D1059="Unit",'Offshore - Sydney'!E1059*8,""))))))</f>
        <v>32500</v>
      </c>
      <c r="L1392" s="0" t="n">
        <f aca="false">IF(AND(ISNUMBER('Offshore - Sydney'!E1059),ISNUMBER(K1392),ISNUMBER('Offshore - Sydney'!F1059),ISNUMBER('Offshore - Sydney'!G1059),OR('Offshore - Sydney'!F1059&lt;&gt;0,ISNUMBER(SEARCH("Material 0 terverifikasi",'Offshore - Sydney'!N1059))),OR('Offshore - Sydney'!G1059&lt;&gt;0,ISNUMBER(SEARCH("Enrolment 0 terverifikasi",'Offshore - Sydney'!N1059)))),1,0)</f>
        <v>0</v>
      </c>
      <c r="M1392" s="0" t="n">
        <f aca="false">IF(OR('Offshore - Sydney'!E1059="",ISNUMBER(SEARCH("BSB80120",'Offshore - Sydney'!B1059&amp;'Offshore - Sydney'!N1059)),ISNUMBER(SEARCH("Management (Learning)",'Offshore - Sydney'!B1059))),2,IF(ISNUMBER(SEARCH("CEK:",'Offshore - Sydney'!N1059)),1,0))</f>
        <v>0</v>
      </c>
    </row>
    <row r="1393" customFormat="false" ht="15" hidden="false" customHeight="false" outlineLevel="0" collapsed="false">
      <c r="A1393" s="63" t="s">
        <v>3533</v>
      </c>
      <c r="B1393" s="64" t="s">
        <v>4297</v>
      </c>
      <c r="C1393" s="63" t="s">
        <v>43</v>
      </c>
      <c r="D1393" s="64" t="str">
        <f aca="false">TRIM(LEFT('Offshore - Sydney'!A481,FIND(CHAR(10),'Offshore - Sydney'!A481&amp;CHAR(10))-1))</f>
        <v>Hunter Education Group</v>
      </c>
      <c r="E1393" s="63" t="str">
        <f aca="false">'Offshore - Sydney'!C481&amp;""</f>
        <v>3 years</v>
      </c>
      <c r="F1393" s="63" t="str">
        <f aca="false">IF('Offshore - Sydney'!D481="","Belum tercatat",'Offshore - Sydney'!D481)</f>
        <v>Term</v>
      </c>
      <c r="G1393" s="65" t="n">
        <f aca="false">IF('Offshore - Sydney'!E481="","-",'Offshore - Sydney'!E481)</f>
        <v>9595</v>
      </c>
      <c r="H1393" s="63" t="n">
        <f aca="false">IF(ISNUMBER(K1393),COUNTIFS($J$6:$J$1854,J1393,$K$6:$K$1854,"&lt;"&amp;K1393)+1,"-")</f>
        <v>5</v>
      </c>
      <c r="I1393" s="64" t="str">
        <f aca="false">IF('Offshore - Sydney'!E481="","Harga belum tersedia - hubungi konsultan TEG",IF(M1393=2,"Saat ini tidak menerima pendaftaran siswa internasional baru",IF(M1393=1,"Program perlu dikonfirmasi ketersediaannya"&amp;IF(""="","","; "&amp;""),"")))</f>
        <v>Program perlu dikonfirmasi ketersediaannya</v>
      </c>
      <c r="J1393" s="0" t="s">
        <v>4362</v>
      </c>
      <c r="K1393" s="0" t="n">
        <f aca="false">IF(M1393=2,"",IF(ISNUMBER(SEARCH("rata-rata:",'Offshore - Sydney'!N481)),VALUE(MID('Offshore - Sydney'!N481,SEARCH("rata-rata:",'Offshore - Sydney'!N481)+11,FIND(";",'Offshore - Sydney'!N481&amp;";",SEARCH("rata-rata:",'Offshore - Sydney'!N481))-SEARCH("rata-rata:",'Offshore - Sydney'!N481)-11)),IF('Offshore - Sydney'!D481="Semester",'Offshore - Sydney'!E481*2,IF('Offshore - Sydney'!D481="Trimester",'Offshore - Sydney'!E481*3,IF('Offshore - Sydney'!D481="Term",'Offshore - Sydney'!E481*4,IF('Offshore - Sydney'!D481="Unit",'Offshore - Sydney'!E481*8,""))))))</f>
        <v>38380</v>
      </c>
      <c r="L1393" s="0" t="n">
        <f aca="false">IF(AND(ISNUMBER('Offshore - Sydney'!E481),ISNUMBER(K1393),ISNUMBER('Offshore - Sydney'!F481),ISNUMBER('Offshore - Sydney'!G481),OR('Offshore - Sydney'!F481&lt;&gt;0,ISNUMBER(SEARCH("Material 0 terverifikasi",'Offshore - Sydney'!N481))),OR('Offshore - Sydney'!G481&lt;&gt;0,ISNUMBER(SEARCH("Enrolment 0 terverifikasi",'Offshore - Sydney'!N481)))),1,0)</f>
        <v>0</v>
      </c>
      <c r="M1393" s="0" t="n">
        <f aca="false">IF(OR('Offshore - Sydney'!E481="",ISNUMBER(SEARCH("BSB80120",'Offshore - Sydney'!B481&amp;'Offshore - Sydney'!N481)),ISNUMBER(SEARCH("Management (Learning)",'Offshore - Sydney'!B481))),2,IF(ISNUMBER(SEARCH("CEK:",'Offshore - Sydney'!N481)),1,0))</f>
        <v>1</v>
      </c>
    </row>
    <row r="1394" customFormat="false" ht="15" hidden="false" customHeight="false" outlineLevel="0" collapsed="false">
      <c r="A1394" s="61" t="s">
        <v>4363</v>
      </c>
      <c r="B1394" s="62"/>
      <c r="C1394" s="62"/>
      <c r="D1394" s="62"/>
      <c r="E1394" s="62"/>
      <c r="F1394" s="62"/>
      <c r="G1394" s="62"/>
      <c r="H1394" s="62"/>
      <c r="I1394" s="62"/>
    </row>
    <row r="1395" customFormat="false" ht="15" hidden="false" customHeight="false" outlineLevel="0" collapsed="false">
      <c r="A1395" s="63" t="s">
        <v>3533</v>
      </c>
      <c r="B1395" s="64" t="s">
        <v>4297</v>
      </c>
      <c r="C1395" s="63" t="s">
        <v>3707</v>
      </c>
      <c r="D1395" s="64" t="str">
        <f aca="false">TRIM(LEFT('Offshore - Sydney'!A982,FIND(CHAR(10),'Offshore - Sydney'!A982&amp;CHAR(10))-1))</f>
        <v>Western Sydney University</v>
      </c>
      <c r="E1395" s="63" t="str">
        <f aca="false">'Offshore - Sydney'!C1125&amp;""</f>
        <v>0,5 year</v>
      </c>
      <c r="F1395" s="63" t="str">
        <f aca="false">IF('Offshore - Sydney'!D1125="","Belum tercatat",'Offshore - Sydney'!D1125)</f>
        <v>Term</v>
      </c>
      <c r="G1395" s="65" t="n">
        <f aca="false">IF('Offshore - Sydney'!E1125="","-",'Offshore - Sydney'!E1125)</f>
        <v>4347</v>
      </c>
      <c r="H1395" s="63" t="n">
        <f aca="false">IF(ISNUMBER(K1395),COUNTIFS($J$6:$J$1854,J1395,$K$6:$K$1854,"&lt;"&amp;K1395)+1,"-")</f>
        <v>1</v>
      </c>
      <c r="I1395" s="64" t="str">
        <f aca="false">IF('Offshore - Sydney'!E1125="","Harga belum tersedia - hubungi konsultan TEG",IF(M1395=2,"Saat ini tidak menerima pendaftaran siswa internasional baru",IF(M1395=1,"Harga perlu dikonfirmasi ke sekolah"&amp;IF(""="","","; "&amp;""),"")))</f>
        <v/>
      </c>
      <c r="J1395" s="0" t="s">
        <v>4364</v>
      </c>
      <c r="K1395" s="0" t="n">
        <f aca="false">IF(M1395=2,"",IF(ISNUMBER(SEARCH("rata-rata:",'Offshore - Sydney'!N1125)),VALUE(MID('Offshore - Sydney'!N1125,SEARCH("rata-rata:",'Offshore - Sydney'!N1125)+11,FIND(";",'Offshore - Sydney'!N1125&amp;";",SEARCH("rata-rata:",'Offshore - Sydney'!N1125))-SEARCH("rata-rata:",'Offshore - Sydney'!N1125)-11)),IF('Offshore - Sydney'!D1125="Semester",'Offshore - Sydney'!E1125*2,IF('Offshore - Sydney'!D1125="Trimester",'Offshore - Sydney'!E1125*3,IF('Offshore - Sydney'!D1125="Term",'Offshore - Sydney'!E1125*4,IF('Offshore - Sydney'!D1125="Unit",'Offshore - Sydney'!E1125*8,""))))))</f>
        <v>17388</v>
      </c>
      <c r="L1395" s="0" t="n">
        <f aca="false">IF(AND(ISNUMBER('Offshore - Sydney'!E1125),ISNUMBER(K1395),ISNUMBER('Offshore - Sydney'!F1125),ISNUMBER('Offshore - Sydney'!G1125),OR('Offshore - Sydney'!F1125&lt;&gt;0,ISNUMBER(SEARCH("Material 0 terverifikasi",'Offshore - Sydney'!N1125))),OR('Offshore - Sydney'!G1125&lt;&gt;0,ISNUMBER(SEARCH("Enrolment 0 terverifikasi",'Offshore - Sydney'!N1125)))),1,0)</f>
        <v>0</v>
      </c>
      <c r="M1395" s="0" t="n">
        <f aca="false">IF(OR('Offshore - Sydney'!E1125="",ISNUMBER(SEARCH("BSB80120",'Offshore - Sydney'!B1125&amp;'Offshore - Sydney'!N1125)),ISNUMBER(SEARCH("Management (Learning)",'Offshore - Sydney'!B1125))),2,IF(ISNUMBER(SEARCH("CEK:",'Offshore - Sydney'!N1125)),1,0))</f>
        <v>0</v>
      </c>
    </row>
    <row r="1396" customFormat="false" ht="15" hidden="false" customHeight="false" outlineLevel="0" collapsed="false">
      <c r="A1396" s="63" t="s">
        <v>3533</v>
      </c>
      <c r="B1396" s="64" t="s">
        <v>4297</v>
      </c>
      <c r="C1396" s="63" t="s">
        <v>3707</v>
      </c>
      <c r="D1396" s="64" t="str">
        <f aca="false">TRIM(LEFT('Offshore - Sydney'!A814,FIND(CHAR(10),'Offshore - Sydney'!A814&amp;CHAR(10))-1))</f>
        <v>Torrens University Australia</v>
      </c>
      <c r="E1396" s="63" t="str">
        <f aca="false">'Offshore - Sydney'!C913&amp;""</f>
        <v>0,5 year</v>
      </c>
      <c r="F1396" s="63" t="str">
        <f aca="false">IF('Offshore - Sydney'!D913="","Belum tercatat",'Offshore - Sydney'!D913)</f>
        <v>Term</v>
      </c>
      <c r="G1396" s="65" t="n">
        <f aca="false">IF('Offshore - Sydney'!E913="","-",'Offshore - Sydney'!E913)</f>
        <v>5700</v>
      </c>
      <c r="H1396" s="63" t="n">
        <f aca="false">IF(ISNUMBER(K1396),COUNTIFS($J$6:$J$1854,J1396,$K$6:$K$1854,"&lt;"&amp;K1396)+1,"-")</f>
        <v>2</v>
      </c>
      <c r="I1396" s="64" t="str">
        <f aca="false">IF('Offshore - Sydney'!E913="","Harga belum tersedia - hubungi konsultan TEG",IF(M1396=2,"Saat ini tidak menerima pendaftaran siswa internasional baru",IF(M1396=1,"Harga perlu dikonfirmasi ke sekolah"&amp;IF(""="","","; "&amp;""),"")))</f>
        <v/>
      </c>
      <c r="J1396" s="0" t="s">
        <v>4364</v>
      </c>
      <c r="K1396" s="0" t="n">
        <f aca="false">IF(M1396=2,"",IF(ISNUMBER(SEARCH("rata-rata:",'Offshore - Sydney'!N913)),VALUE(MID('Offshore - Sydney'!N913,SEARCH("rata-rata:",'Offshore - Sydney'!N913)+11,FIND(";",'Offshore - Sydney'!N913&amp;";",SEARCH("rata-rata:",'Offshore - Sydney'!N913))-SEARCH("rata-rata:",'Offshore - Sydney'!N913)-11)),IF('Offshore - Sydney'!D913="Semester",'Offshore - Sydney'!E913*2,IF('Offshore - Sydney'!D913="Trimester",'Offshore - Sydney'!E913*3,IF('Offshore - Sydney'!D913="Term",'Offshore - Sydney'!E913*4,IF('Offshore - Sydney'!D913="Unit",'Offshore - Sydney'!E913*8,""))))))</f>
        <v>22800</v>
      </c>
      <c r="L1396" s="0" t="n">
        <f aca="false">IF(AND(ISNUMBER('Offshore - Sydney'!E913),ISNUMBER(K1396),ISNUMBER('Offshore - Sydney'!F913),ISNUMBER('Offshore - Sydney'!G913),OR('Offshore - Sydney'!F913&lt;&gt;0,ISNUMBER(SEARCH("Material 0 terverifikasi",'Offshore - Sydney'!N913))),OR('Offshore - Sydney'!G913&lt;&gt;0,ISNUMBER(SEARCH("Enrolment 0 terverifikasi",'Offshore - Sydney'!N913)))),1,0)</f>
        <v>0</v>
      </c>
      <c r="M1396" s="0" t="n">
        <f aca="false">IF(OR('Offshore - Sydney'!E913="",ISNUMBER(SEARCH("BSB80120",'Offshore - Sydney'!B913&amp;'Offshore - Sydney'!N913)),ISNUMBER(SEARCH("Management (Learning)",'Offshore - Sydney'!B913))),2,IF(ISNUMBER(SEARCH("CEK:",'Offshore - Sydney'!N913)),1,0))</f>
        <v>0</v>
      </c>
    </row>
    <row r="1397" customFormat="false" ht="15" hidden="false" customHeight="false" outlineLevel="0" collapsed="false">
      <c r="A1397" s="61" t="s">
        <v>4365</v>
      </c>
      <c r="B1397" s="62"/>
      <c r="C1397" s="62"/>
      <c r="D1397" s="62"/>
      <c r="E1397" s="62"/>
      <c r="F1397" s="62"/>
      <c r="G1397" s="62"/>
      <c r="H1397" s="62"/>
      <c r="I1397" s="62"/>
    </row>
    <row r="1398" customFormat="false" ht="15" hidden="false" customHeight="false" outlineLevel="0" collapsed="false">
      <c r="A1398" s="63" t="s">
        <v>3533</v>
      </c>
      <c r="B1398" s="64" t="s">
        <v>4297</v>
      </c>
      <c r="C1398" s="63" t="s">
        <v>46</v>
      </c>
      <c r="D1398" s="64" t="str">
        <f aca="false">TRIM(LEFT('Offshore - Sydney'!A539,FIND(CHAR(10),'Offshore - Sydney'!A539&amp;CHAR(10))-1))</f>
        <v>Le Cordon Bleu Australia</v>
      </c>
      <c r="E1398" s="63" t="str">
        <f aca="false">'Offshore - Sydney'!C549&amp;""</f>
        <v>2 years</v>
      </c>
      <c r="F1398" s="63" t="str">
        <f aca="false">IF('Offshore - Sydney'!D549="","Belum tercatat",'Offshore - Sydney'!D549)</f>
        <v>Term</v>
      </c>
      <c r="G1398" s="65" t="n">
        <f aca="false">IF('Offshore - Sydney'!E549="","-",'Offshore - Sydney'!E549)</f>
        <v>6818.75</v>
      </c>
      <c r="H1398" s="63" t="n">
        <f aca="false">IF(ISNUMBER(K1398),COUNTIFS($J$6:$J$1854,J1398,$K$6:$K$1854,"&lt;"&amp;K1398)+1,"-")</f>
        <v>1</v>
      </c>
      <c r="I1398" s="64" t="str">
        <f aca="false">IF('Offshore - Sydney'!E549="","Harga belum tersedia - hubungi konsultan TEG",IF(M1398=2,"Saat ini tidak menerima pendaftaran siswa internasional baru",IF(M1398=1,"Harga perlu dikonfirmasi ke sekolah"&amp;IF(""="","","; "&amp;""),"")))</f>
        <v/>
      </c>
      <c r="J1398" s="0" t="s">
        <v>4366</v>
      </c>
      <c r="K1398" s="0" t="n">
        <f aca="false">IF(M1398=2,"",IF(ISNUMBER(SEARCH("rata-rata:",'Offshore - Sydney'!N549)),VALUE(MID('Offshore - Sydney'!N549,SEARCH("rata-rata:",'Offshore - Sydney'!N549)+11,FIND(";",'Offshore - Sydney'!N549&amp;";",SEARCH("rata-rata:",'Offshore - Sydney'!N549))-SEARCH("rata-rata:",'Offshore - Sydney'!N549)-11)),IF('Offshore - Sydney'!D549="Semester",'Offshore - Sydney'!E549*2,IF('Offshore - Sydney'!D549="Trimester",'Offshore - Sydney'!E549*3,IF('Offshore - Sydney'!D549="Term",'Offshore - Sydney'!E549*4,IF('Offshore - Sydney'!D549="Unit",'Offshore - Sydney'!E549*8,""))))))</f>
        <v>27275</v>
      </c>
      <c r="L1398" s="0" t="n">
        <f aca="false">IF(AND(ISNUMBER('Offshore - Sydney'!E549),ISNUMBER(K1398),ISNUMBER('Offshore - Sydney'!F549),ISNUMBER('Offshore - Sydney'!G549),OR('Offshore - Sydney'!F549&lt;&gt;0,ISNUMBER(SEARCH("Material 0 terverifikasi",'Offshore - Sydney'!N549))),OR('Offshore - Sydney'!G549&lt;&gt;0,ISNUMBER(SEARCH("Enrolment 0 terverifikasi",'Offshore - Sydney'!N549)))),1,0)</f>
        <v>0</v>
      </c>
      <c r="M1398" s="0" t="n">
        <f aca="false">IF(OR('Offshore - Sydney'!E549="",ISNUMBER(SEARCH("BSB80120",'Offshore - Sydney'!B549&amp;'Offshore - Sydney'!N549)),ISNUMBER(SEARCH("Management (Learning)",'Offshore - Sydney'!B549))),2,IF(ISNUMBER(SEARCH("CEK:",'Offshore - Sydney'!N549)),1,0))</f>
        <v>0</v>
      </c>
    </row>
    <row r="1399" customFormat="false" ht="15" hidden="false" customHeight="false" outlineLevel="0" collapsed="false">
      <c r="A1399" s="63" t="s">
        <v>3533</v>
      </c>
      <c r="B1399" s="64" t="s">
        <v>4297</v>
      </c>
      <c r="C1399" s="63" t="s">
        <v>46</v>
      </c>
      <c r="D1399" s="64" t="str">
        <f aca="false">TRIM(LEFT('Offshore - Sydney'!A982,FIND(CHAR(10),'Offshore - Sydney'!A982&amp;CHAR(10))-1))</f>
        <v>Western Sydney University</v>
      </c>
      <c r="E1399" s="63" t="str">
        <f aca="false">'Offshore - Sydney'!C1124&amp;""</f>
        <v>2 years</v>
      </c>
      <c r="F1399" s="63" t="str">
        <f aca="false">IF('Offshore - Sydney'!D1124="","Belum tercatat",'Offshore - Sydney'!D1124)</f>
        <v>Term</v>
      </c>
      <c r="G1399" s="65" t="n">
        <f aca="false">IF('Offshore - Sydney'!E1124="","-",'Offshore - Sydney'!E1124)</f>
        <v>8694</v>
      </c>
      <c r="H1399" s="63" t="n">
        <f aca="false">IF(ISNUMBER(K1399),COUNTIFS($J$6:$J$1854,J1399,$K$6:$K$1854,"&lt;"&amp;K1399)+1,"-")</f>
        <v>2</v>
      </c>
      <c r="I1399" s="64" t="str">
        <f aca="false">IF('Offshore - Sydney'!E1124="","Harga belum tersedia - hubungi konsultan TEG",IF(M1399=2,"Saat ini tidak menerima pendaftaran siswa internasional baru",IF(M1399=1,"Harga perlu dikonfirmasi ke sekolah"&amp;IF(""="","","; "&amp;""),"")))</f>
        <v/>
      </c>
      <c r="J1399" s="0" t="s">
        <v>4366</v>
      </c>
      <c r="K1399" s="0" t="n">
        <f aca="false">IF(M1399=2,"",IF(ISNUMBER(SEARCH("rata-rata:",'Offshore - Sydney'!N1124)),VALUE(MID('Offshore - Sydney'!N1124,SEARCH("rata-rata:",'Offshore - Sydney'!N1124)+11,FIND(";",'Offshore - Sydney'!N1124&amp;";",SEARCH("rata-rata:",'Offshore - Sydney'!N1124))-SEARCH("rata-rata:",'Offshore - Sydney'!N1124)-11)),IF('Offshore - Sydney'!D1124="Semester",'Offshore - Sydney'!E1124*2,IF('Offshore - Sydney'!D1124="Trimester",'Offshore - Sydney'!E1124*3,IF('Offshore - Sydney'!D1124="Term",'Offshore - Sydney'!E1124*4,IF('Offshore - Sydney'!D1124="Unit",'Offshore - Sydney'!E1124*8,""))))))</f>
        <v>34776</v>
      </c>
      <c r="L1399" s="0" t="n">
        <f aca="false">IF(AND(ISNUMBER('Offshore - Sydney'!E1124),ISNUMBER(K1399),ISNUMBER('Offshore - Sydney'!F1124),ISNUMBER('Offshore - Sydney'!G1124),OR('Offshore - Sydney'!F1124&lt;&gt;0,ISNUMBER(SEARCH("Material 0 terverifikasi",'Offshore - Sydney'!N1124))),OR('Offshore - Sydney'!G1124&lt;&gt;0,ISNUMBER(SEARCH("Enrolment 0 terverifikasi",'Offshore - Sydney'!N1124)))),1,0)</f>
        <v>0</v>
      </c>
      <c r="M1399" s="0" t="n">
        <f aca="false">IF(OR('Offshore - Sydney'!E1124="",ISNUMBER(SEARCH("BSB80120",'Offshore - Sydney'!B1124&amp;'Offshore - Sydney'!N1124)),ISNUMBER(SEARCH("Management (Learning)",'Offshore - Sydney'!B1124))),2,IF(ISNUMBER(SEARCH("CEK:",'Offshore - Sydney'!N1124)),1,0))</f>
        <v>0</v>
      </c>
    </row>
    <row r="1400" customFormat="false" ht="15" hidden="false" customHeight="false" outlineLevel="0" collapsed="false">
      <c r="A1400" s="63" t="s">
        <v>3533</v>
      </c>
      <c r="B1400" s="64" t="s">
        <v>4297</v>
      </c>
      <c r="C1400" s="63" t="s">
        <v>46</v>
      </c>
      <c r="D1400" s="64" t="str">
        <f aca="false">TRIM(LEFT('Offshore - Sydney'!A814,FIND(CHAR(10),'Offshore - Sydney'!A814&amp;CHAR(10))-1))</f>
        <v>Torrens University Australia</v>
      </c>
      <c r="E1400" s="63" t="str">
        <f aca="false">'Offshore - Sydney'!C914&amp;""</f>
        <v>2 years</v>
      </c>
      <c r="F1400" s="63" t="str">
        <f aca="false">IF('Offshore - Sydney'!D914="","Belum tercatat",'Offshore - Sydney'!D914)</f>
        <v>Term</v>
      </c>
      <c r="G1400" s="65" t="n">
        <f aca="false">IF('Offshore - Sydney'!E914="","-",'Offshore - Sydney'!E914)</f>
        <v>10495</v>
      </c>
      <c r="H1400" s="63" t="n">
        <f aca="false">IF(ISNUMBER(K1400),COUNTIFS($J$6:$J$1854,J1400,$K$6:$K$1854,"&lt;"&amp;K1400)+1,"-")</f>
        <v>3</v>
      </c>
      <c r="I1400" s="64" t="str">
        <f aca="false">IF('Offshore - Sydney'!E914="","Harga belum tersedia - hubungi konsultan TEG",IF(M1400=2,"Saat ini tidak menerima pendaftaran siswa internasional baru",IF(M1400=1,"Harga perlu dikonfirmasi ke sekolah"&amp;IF(""="","","; "&amp;""),"")))</f>
        <v>Harga perlu dikonfirmasi ke sekolah</v>
      </c>
      <c r="J1400" s="0" t="s">
        <v>4366</v>
      </c>
      <c r="K1400" s="0" t="n">
        <f aca="false">IF(M1400=2,"",IF(ISNUMBER(SEARCH("rata-rata:",'Offshore - Sydney'!N914)),VALUE(MID('Offshore - Sydney'!N914,SEARCH("rata-rata:",'Offshore - Sydney'!N914)+11,FIND(";",'Offshore - Sydney'!N914&amp;";",SEARCH("rata-rata:",'Offshore - Sydney'!N914))-SEARCH("rata-rata:",'Offshore - Sydney'!N914)-11)),IF('Offshore - Sydney'!D914="Semester",'Offshore - Sydney'!E914*2,IF('Offshore - Sydney'!D914="Trimester",'Offshore - Sydney'!E914*3,IF('Offshore - Sydney'!D914="Term",'Offshore - Sydney'!E914*4,IF('Offshore - Sydney'!D914="Unit",'Offshore - Sydney'!E914*8,""))))))</f>
        <v>41980</v>
      </c>
      <c r="L1400" s="0" t="n">
        <f aca="false">IF(AND(ISNUMBER('Offshore - Sydney'!E914),ISNUMBER(K1400),ISNUMBER('Offshore - Sydney'!F914),ISNUMBER('Offshore - Sydney'!G914),OR('Offshore - Sydney'!F914&lt;&gt;0,ISNUMBER(SEARCH("Material 0 terverifikasi",'Offshore - Sydney'!N914))),OR('Offshore - Sydney'!G914&lt;&gt;0,ISNUMBER(SEARCH("Enrolment 0 terverifikasi",'Offshore - Sydney'!N914)))),1,0)</f>
        <v>0</v>
      </c>
      <c r="M1400" s="0" t="n">
        <f aca="false">IF(OR('Offshore - Sydney'!E914="",ISNUMBER(SEARCH("BSB80120",'Offshore - Sydney'!B914&amp;'Offshore - Sydney'!N914)),ISNUMBER(SEARCH("Management (Learning)",'Offshore - Sydney'!B914))),2,IF(ISNUMBER(SEARCH("CEK:",'Offshore - Sydney'!N914)),1,0))</f>
        <v>1</v>
      </c>
    </row>
    <row r="1401" customFormat="false" ht="15" hidden="false" customHeight="false" outlineLevel="0" collapsed="false">
      <c r="A1401" s="61" t="s">
        <v>4367</v>
      </c>
      <c r="B1401" s="62"/>
      <c r="C1401" s="62"/>
      <c r="D1401" s="62"/>
      <c r="E1401" s="62"/>
      <c r="F1401" s="62"/>
      <c r="G1401" s="62"/>
      <c r="H1401" s="62"/>
      <c r="I1401" s="62"/>
    </row>
    <row r="1402" customFormat="false" ht="15" hidden="false" customHeight="false" outlineLevel="0" collapsed="false">
      <c r="A1402" s="63" t="s">
        <v>3753</v>
      </c>
      <c r="B1402" s="64" t="s">
        <v>4297</v>
      </c>
      <c r="C1402" s="63" t="s">
        <v>40</v>
      </c>
      <c r="D1402" s="64" t="str">
        <f aca="false">TRIM(LEFT('Offshore - Tasmania Hobart'!A8,FIND(CHAR(10),'Offshore - Tasmania Hobart'!A8&amp;CHAR(10))-1))</f>
        <v>Australian Sovereign College (AuSC)</v>
      </c>
      <c r="E1402" s="63" t="str">
        <f aca="false">'Offshore - Tasmania Hobart'!C18&amp;""</f>
        <v>1,5 years</v>
      </c>
      <c r="F1402" s="63" t="str">
        <f aca="false">IF('Offshore - Tasmania Hobart'!D18="","Belum tercatat",'Offshore - Tasmania Hobart'!D18)</f>
        <v>Term</v>
      </c>
      <c r="G1402" s="65" t="n">
        <f aca="false">IF('Offshore - Tasmania Hobart'!E18="","-",'Offshore - Tasmania Hobart'!E18)</f>
        <v>3200</v>
      </c>
      <c r="H1402" s="63" t="n">
        <f aca="false">IF(ISNUMBER(K1402),COUNTIFS($J$6:$J$1854,J1402,$K$6:$K$1854,"&lt;"&amp;K1402)+1,"-")</f>
        <v>1</v>
      </c>
      <c r="I1402" s="64" t="str">
        <f aca="false">IF('Offshore - Tasmania Hobart'!E18="","Harga belum tersedia - hubungi konsultan TEG",IF(M1402=2,"Saat ini tidak menerima pendaftaran siswa internasional baru",IF(M1402=1,"Harga perlu dikonfirmasi ke sekolah"&amp;IF(""="","","; "&amp;""),"")))</f>
        <v/>
      </c>
      <c r="J1402" s="0" t="s">
        <v>4368</v>
      </c>
      <c r="K1402" s="0" t="n">
        <f aca="false">IF(M1402=2,"",IF(ISNUMBER(SEARCH("rata-rata:",'Offshore - Tasmania Hobart'!N18)),VALUE(MID('Offshore - Tasmania Hobart'!N18,SEARCH("rata-rata:",'Offshore - Tasmania Hobart'!N18)+11,FIND(";",'Offshore - Tasmania Hobart'!N18&amp;";",SEARCH("rata-rata:",'Offshore - Tasmania Hobart'!N18))-SEARCH("rata-rata:",'Offshore - Tasmania Hobart'!N18)-11)),IF('Offshore - Tasmania Hobart'!D18="Semester",'Offshore - Tasmania Hobart'!E18*2,IF('Offshore - Tasmania Hobart'!D18="Trimester",'Offshore - Tasmania Hobart'!E18*3,IF('Offshore - Tasmania Hobart'!D18="Term",'Offshore - Tasmania Hobart'!E18*4,IF('Offshore - Tasmania Hobart'!D18="Unit",'Offshore - Tasmania Hobart'!E18*8,""))))))</f>
        <v>12800</v>
      </c>
      <c r="L1402" s="0" t="n">
        <f aca="false">IF(AND(ISNUMBER('Offshore - Tasmania Hobart'!E18),ISNUMBER(K1402),ISNUMBER('Offshore - Tasmania Hobart'!F18),ISNUMBER('Offshore - Tasmania Hobart'!G18),OR('Offshore - Tasmania Hobart'!F18&lt;&gt;0,ISNUMBER(SEARCH("Material 0 terverifikasi",'Offshore - Tasmania Hobart'!N18))),OR('Offshore - Tasmania Hobart'!G18&lt;&gt;0,ISNUMBER(SEARCH("Enrolment 0 terverifikasi",'Offshore - Tasmania Hobart'!N18)))),1,0)</f>
        <v>1</v>
      </c>
      <c r="M1402" s="0" t="n">
        <f aca="false">IF(OR('Offshore - Tasmania Hobart'!E18="",ISNUMBER(SEARCH("BSB80120",'Offshore - Tasmania Hobart'!B18&amp;'Offshore - Tasmania Hobart'!N18)),ISNUMBER(SEARCH("Management (Learning)",'Offshore - Tasmania Hobart'!B18))),2,IF(ISNUMBER(SEARCH("CEK:",'Offshore - Tasmania Hobart'!N18)),1,0))</f>
        <v>0</v>
      </c>
    </row>
    <row r="1403" customFormat="false" ht="15" hidden="false" customHeight="false" outlineLevel="0" collapsed="false">
      <c r="A1403" s="61" t="s">
        <v>4369</v>
      </c>
      <c r="B1403" s="62"/>
      <c r="C1403" s="62"/>
      <c r="D1403" s="62"/>
      <c r="E1403" s="62"/>
      <c r="F1403" s="62"/>
      <c r="G1403" s="62"/>
      <c r="H1403" s="62"/>
      <c r="I1403" s="62"/>
    </row>
    <row r="1404" customFormat="false" ht="15" hidden="false" customHeight="false" outlineLevel="0" collapsed="false">
      <c r="A1404" s="63" t="s">
        <v>3753</v>
      </c>
      <c r="B1404" s="64" t="s">
        <v>4297</v>
      </c>
      <c r="C1404" s="63" t="s">
        <v>41</v>
      </c>
      <c r="D1404" s="64" t="str">
        <f aca="false">TRIM(LEFT('Offshore - Tasmania Hobart'!A8,FIND(CHAR(10),'Offshore - Tasmania Hobart'!A8&amp;CHAR(10))-1))</f>
        <v>Australian Sovereign College (AuSC)</v>
      </c>
      <c r="E1404" s="63" t="str">
        <f aca="false">'Offshore - Tasmania Hobart'!C19&amp;""</f>
        <v>2 years</v>
      </c>
      <c r="F1404" s="63" t="str">
        <f aca="false">IF('Offshore - Tasmania Hobart'!D19="","Belum tercatat",'Offshore - Tasmania Hobart'!D19)</f>
        <v>Term</v>
      </c>
      <c r="G1404" s="65" t="n">
        <f aca="false">IF('Offshore - Tasmania Hobart'!E19="","-",'Offshore - Tasmania Hobart'!E19)</f>
        <v>2750</v>
      </c>
      <c r="H1404" s="63" t="n">
        <f aca="false">IF(ISNUMBER(K1404),COUNTIFS($J$6:$J$1854,J1404,$K$6:$K$1854,"&lt;"&amp;K1404)+1,"-")</f>
        <v>1</v>
      </c>
      <c r="I1404" s="64" t="str">
        <f aca="false">IF('Offshore - Tasmania Hobart'!E19="","Harga belum tersedia - hubungi konsultan TEG",IF(M1404=2,"Saat ini tidak menerima pendaftaran siswa internasional baru",IF(M1404=1,"Harga perlu dikonfirmasi ke sekolah"&amp;IF(""="","","; "&amp;""),"")))</f>
        <v/>
      </c>
      <c r="J1404" s="0" t="s">
        <v>4370</v>
      </c>
      <c r="K1404" s="0" t="n">
        <f aca="false">IF(M1404=2,"",IF(ISNUMBER(SEARCH("rata-rata:",'Offshore - Tasmania Hobart'!N19)),VALUE(MID('Offshore - Tasmania Hobart'!N19,SEARCH("rata-rata:",'Offshore - Tasmania Hobart'!N19)+11,FIND(";",'Offshore - Tasmania Hobart'!N19&amp;";",SEARCH("rata-rata:",'Offshore - Tasmania Hobart'!N19))-SEARCH("rata-rata:",'Offshore - Tasmania Hobart'!N19)-11)),IF('Offshore - Tasmania Hobart'!D19="Semester",'Offshore - Tasmania Hobart'!E19*2,IF('Offshore - Tasmania Hobart'!D19="Trimester",'Offshore - Tasmania Hobart'!E19*3,IF('Offshore - Tasmania Hobart'!D19="Term",'Offshore - Tasmania Hobart'!E19*4,IF('Offshore - Tasmania Hobart'!D19="Unit",'Offshore - Tasmania Hobart'!E19*8,""))))))</f>
        <v>11000</v>
      </c>
      <c r="L1404" s="0" t="n">
        <f aca="false">IF(AND(ISNUMBER('Offshore - Tasmania Hobart'!E19),ISNUMBER(K1404),ISNUMBER('Offshore - Tasmania Hobart'!F19),ISNUMBER('Offshore - Tasmania Hobart'!G19),OR('Offshore - Tasmania Hobart'!F19&lt;&gt;0,ISNUMBER(SEARCH("Material 0 terverifikasi",'Offshore - Tasmania Hobart'!N19))),OR('Offshore - Tasmania Hobart'!G19&lt;&gt;0,ISNUMBER(SEARCH("Enrolment 0 terverifikasi",'Offshore - Tasmania Hobart'!N19)))),1,0)</f>
        <v>1</v>
      </c>
      <c r="M1404" s="0" t="n">
        <f aca="false">IF(OR('Offshore - Tasmania Hobart'!E19="",ISNUMBER(SEARCH("BSB80120",'Offshore - Tasmania Hobart'!B19&amp;'Offshore - Tasmania Hobart'!N19)),ISNUMBER(SEARCH("Management (Learning)",'Offshore - Tasmania Hobart'!B19))),2,IF(ISNUMBER(SEARCH("CEK:",'Offshore - Tasmania Hobart'!N19)),1,0))</f>
        <v>0</v>
      </c>
    </row>
    <row r="1405" customFormat="false" ht="15" hidden="false" customHeight="false" outlineLevel="0" collapsed="false">
      <c r="A1405" s="61" t="s">
        <v>4371</v>
      </c>
      <c r="B1405" s="62"/>
      <c r="C1405" s="62"/>
      <c r="D1405" s="62"/>
      <c r="E1405" s="62"/>
      <c r="F1405" s="62"/>
      <c r="G1405" s="62"/>
      <c r="H1405" s="62"/>
      <c r="I1405" s="62"/>
    </row>
    <row r="1406" customFormat="false" ht="15" hidden="false" customHeight="false" outlineLevel="0" collapsed="false">
      <c r="A1406" s="63" t="s">
        <v>3753</v>
      </c>
      <c r="B1406" s="64" t="s">
        <v>4297</v>
      </c>
      <c r="C1406" s="63" t="s">
        <v>42</v>
      </c>
      <c r="D1406" s="64" t="str">
        <f aca="false">TRIM(LEFT('Offshore - Tasmania Hobart'!A6,FIND(CHAR(10),'Offshore - Tasmania Hobart'!A6&amp;CHAR(10))-1))</f>
        <v>Australian Ideal College (AIC)</v>
      </c>
      <c r="E1406" s="63" t="str">
        <f aca="false">'Offshore - Tasmania Hobart'!C6&amp;""</f>
        <v>3 years</v>
      </c>
      <c r="F1406" s="63" t="str">
        <f aca="false">IF('Offshore - Tasmania Hobart'!D6="","Belum tercatat",'Offshore - Tasmania Hobart'!D6)</f>
        <v>Term</v>
      </c>
      <c r="G1406" s="65" t="n">
        <f aca="false">IF('Offshore - Tasmania Hobart'!E6="","-",'Offshore - Tasmania Hobart'!E6)</f>
        <v>2250</v>
      </c>
      <c r="H1406" s="63" t="n">
        <f aca="false">IF(ISNUMBER(K1406),COUNTIFS($J$6:$J$1854,J1406,$K$6:$K$1854,"&lt;"&amp;K1406)+1,"-")</f>
        <v>1</v>
      </c>
      <c r="I1406" s="64" t="str">
        <f aca="false">IF('Offshore - Tasmania Hobart'!E6="","Harga belum tersedia - hubungi konsultan TEG",IF(M1406=2,"Saat ini tidak menerima pendaftaran siswa internasional baru",IF(M1406=1,"Harga perlu dikonfirmasi ke sekolah"&amp;IF(""="","","; "&amp;""),"")))</f>
        <v>Harga perlu dikonfirmasi ke sekolah</v>
      </c>
      <c r="J1406" s="0" t="s">
        <v>4372</v>
      </c>
      <c r="K1406" s="0" t="n">
        <f aca="false">IF(M1406=2,"",IF(ISNUMBER(SEARCH("rata-rata:",'Offshore - Tasmania Hobart'!N6)),VALUE(MID('Offshore - Tasmania Hobart'!N6,SEARCH("rata-rata:",'Offshore - Tasmania Hobart'!N6)+11,FIND(";",'Offshore - Tasmania Hobart'!N6&amp;";",SEARCH("rata-rata:",'Offshore - Tasmania Hobart'!N6))-SEARCH("rata-rata:",'Offshore - Tasmania Hobart'!N6)-11)),IF('Offshore - Tasmania Hobart'!D6="Semester",'Offshore - Tasmania Hobart'!E6*2,IF('Offshore - Tasmania Hobart'!D6="Trimester",'Offshore - Tasmania Hobart'!E6*3,IF('Offshore - Tasmania Hobart'!D6="Term",'Offshore - Tasmania Hobart'!E6*4,IF('Offshore - Tasmania Hobart'!D6="Unit",'Offshore - Tasmania Hobart'!E6*8,""))))))</f>
        <v>9000</v>
      </c>
      <c r="L1406" s="0" t="n">
        <f aca="false">IF(AND(ISNUMBER('Offshore - Tasmania Hobart'!E6),ISNUMBER(K1406),ISNUMBER('Offshore - Tasmania Hobart'!F6),ISNUMBER('Offshore - Tasmania Hobart'!G6),OR('Offshore - Tasmania Hobart'!F6&lt;&gt;0,ISNUMBER(SEARCH("Material 0 terverifikasi",'Offshore - Tasmania Hobart'!N6))),OR('Offshore - Tasmania Hobart'!G6&lt;&gt;0,ISNUMBER(SEARCH("Enrolment 0 terverifikasi",'Offshore - Tasmania Hobart'!N6)))),1,0)</f>
        <v>1</v>
      </c>
      <c r="M1406" s="0" t="n">
        <f aca="false">IF(OR('Offshore - Tasmania Hobart'!E6="",ISNUMBER(SEARCH("BSB80120",'Offshore - Tasmania Hobart'!B6&amp;'Offshore - Tasmania Hobart'!N6)),ISNUMBER(SEARCH("Management (Learning)",'Offshore - Tasmania Hobart'!B6))),2,IF(ISNUMBER(SEARCH("CEK:",'Offshore - Tasmania Hobart'!N6)),1,0))</f>
        <v>1</v>
      </c>
    </row>
    <row r="1407" customFormat="false" ht="15" hidden="false" customHeight="false" outlineLevel="0" collapsed="false">
      <c r="A1407" s="61" t="s">
        <v>4373</v>
      </c>
      <c r="B1407" s="62"/>
      <c r="C1407" s="62"/>
      <c r="D1407" s="62"/>
      <c r="E1407" s="62"/>
      <c r="F1407" s="62"/>
      <c r="G1407" s="62"/>
      <c r="H1407" s="62"/>
      <c r="I1407" s="62"/>
    </row>
    <row r="1408" customFormat="false" ht="15" hidden="false" customHeight="false" outlineLevel="0" collapsed="false">
      <c r="A1408" s="63" t="s">
        <v>3659</v>
      </c>
      <c r="B1408" s="64" t="s">
        <v>4374</v>
      </c>
      <c r="C1408" s="63" t="s">
        <v>39</v>
      </c>
      <c r="D1408" s="64" t="str">
        <f aca="false">TRIM(LEFT('Offshore - Adelaide'!A484,FIND(CHAR(10),'Offshore - Adelaide'!A484&amp;CHAR(10))-1))</f>
        <v>TAFE SA</v>
      </c>
      <c r="E1408" s="63" t="str">
        <f aca="false">'Offshore - Adelaide'!C522&amp;""</f>
        <v>0,5 year</v>
      </c>
      <c r="F1408" s="63" t="str">
        <f aca="false">IF('Offshore - Adelaide'!D522="","Belum tercatat",'Offshore - Adelaide'!D522)</f>
        <v>Semester</v>
      </c>
      <c r="G1408" s="65" t="n">
        <f aca="false">IF('Offshore - Adelaide'!E522="","-",'Offshore - Adelaide'!E522)</f>
        <v>8130</v>
      </c>
      <c r="H1408" s="63" t="n">
        <f aca="false">IF(ISNUMBER(K1408),COUNTIFS($J$6:$J$1854,J1408,$K$6:$K$1854,"&lt;"&amp;K1408)+1,"-")</f>
        <v>1</v>
      </c>
      <c r="I1408" s="64" t="str">
        <f aca="false">IF('Offshore - Adelaide'!E522="","Harga belum tersedia - hubungi konsultan TEG",IF(M1408=2,"Saat ini tidak menerima pendaftaran siswa internasional baru",IF(M1408=1,"Harga perlu dikonfirmasi ke sekolah"&amp;IF(""="","","; "&amp;""),"")))</f>
        <v/>
      </c>
      <c r="J1408" s="0" t="s">
        <v>4375</v>
      </c>
      <c r="K1408" s="0" t="n">
        <f aca="false">IF(M1408=2,"",IF(ISNUMBER(SEARCH("rata-rata:",'Offshore - Adelaide'!N522)),VALUE(MID('Offshore - Adelaide'!N522,SEARCH("rata-rata:",'Offshore - Adelaide'!N522)+11,FIND(";",'Offshore - Adelaide'!N522&amp;";",SEARCH("rata-rata:",'Offshore - Adelaide'!N522))-SEARCH("rata-rata:",'Offshore - Adelaide'!N522)-11)),IF('Offshore - Adelaide'!D522="Semester",'Offshore - Adelaide'!E522*2,IF('Offshore - Adelaide'!D522="Trimester",'Offshore - Adelaide'!E522*3,IF('Offshore - Adelaide'!D522="Term",'Offshore - Adelaide'!E522*4,IF('Offshore - Adelaide'!D522="Unit",'Offshore - Adelaide'!E522*8,""))))))</f>
        <v>16260</v>
      </c>
      <c r="L1408" s="0" t="n">
        <f aca="false">IF(AND(ISNUMBER('Offshore - Adelaide'!E522),ISNUMBER(K1408),ISNUMBER('Offshore - Adelaide'!F522),ISNUMBER('Offshore - Adelaide'!G522),OR('Offshore - Adelaide'!F522&lt;&gt;0,ISNUMBER(SEARCH("Material 0 terverifikasi",'Offshore - Adelaide'!N522))),OR('Offshore - Adelaide'!G522&lt;&gt;0,ISNUMBER(SEARCH("Enrolment 0 terverifikasi",'Offshore - Adelaide'!N522)))),1,0)</f>
        <v>0</v>
      </c>
      <c r="M1408" s="0" t="n">
        <f aca="false">IF(OR('Offshore - Adelaide'!E522="",ISNUMBER(SEARCH("BSB80120",'Offshore - Adelaide'!B522&amp;'Offshore - Adelaide'!N522)),ISNUMBER(SEARCH("Management (Learning)",'Offshore - Adelaide'!B522))),2,IF(ISNUMBER(SEARCH("CEK:",'Offshore - Adelaide'!N522)),1,0))</f>
        <v>0</v>
      </c>
    </row>
    <row r="1409" customFormat="false" ht="15" hidden="false" customHeight="false" outlineLevel="0" collapsed="false">
      <c r="A1409" s="61" t="s">
        <v>4376</v>
      </c>
      <c r="B1409" s="62"/>
      <c r="C1409" s="62"/>
      <c r="D1409" s="62"/>
      <c r="E1409" s="62"/>
      <c r="F1409" s="62"/>
      <c r="G1409" s="62"/>
      <c r="H1409" s="62"/>
      <c r="I1409" s="62"/>
    </row>
    <row r="1410" customFormat="false" ht="15" hidden="false" customHeight="false" outlineLevel="0" collapsed="false">
      <c r="A1410" s="63" t="s">
        <v>3659</v>
      </c>
      <c r="B1410" s="64" t="s">
        <v>4374</v>
      </c>
      <c r="C1410" s="63" t="s">
        <v>40</v>
      </c>
      <c r="D1410" s="64" t="str">
        <f aca="false">TRIM(LEFT('Offshore - Adelaide'!A484,FIND(CHAR(10),'Offshore - Adelaide'!A484&amp;CHAR(10))-1))</f>
        <v>TAFE SA</v>
      </c>
      <c r="E1410" s="63" t="str">
        <f aca="false">'Offshore - Adelaide'!C523&amp;""</f>
        <v>1 year</v>
      </c>
      <c r="F1410" s="63" t="str">
        <f aca="false">IF('Offshore - Adelaide'!D523="","Belum tercatat",'Offshore - Adelaide'!D523)</f>
        <v>Semester</v>
      </c>
      <c r="G1410" s="65" t="n">
        <f aca="false">IF('Offshore - Adelaide'!E523="","-",'Offshore - Adelaide'!E523)</f>
        <v>8135</v>
      </c>
      <c r="H1410" s="63" t="n">
        <f aca="false">IF(ISNUMBER(K1410),COUNTIFS($J$6:$J$1854,J1410,$K$6:$K$1854,"&lt;"&amp;K1410)+1,"-")</f>
        <v>1</v>
      </c>
      <c r="I1410" s="64" t="str">
        <f aca="false">IF('Offshore - Adelaide'!E523="","Harga belum tersedia - hubungi konsultan TEG",IF(M1410=2,"Saat ini tidak menerima pendaftaran siswa internasional baru",IF(M1410=1,"Harga perlu dikonfirmasi ke sekolah"&amp;IF(""="","","; "&amp;""),"")))</f>
        <v/>
      </c>
      <c r="J1410" s="0" t="s">
        <v>4377</v>
      </c>
      <c r="K1410" s="0" t="n">
        <f aca="false">IF(M1410=2,"",IF(ISNUMBER(SEARCH("rata-rata:",'Offshore - Adelaide'!N523)),VALUE(MID('Offshore - Adelaide'!N523,SEARCH("rata-rata:",'Offshore - Adelaide'!N523)+11,FIND(";",'Offshore - Adelaide'!N523&amp;";",SEARCH("rata-rata:",'Offshore - Adelaide'!N523))-SEARCH("rata-rata:",'Offshore - Adelaide'!N523)-11)),IF('Offshore - Adelaide'!D523="Semester",'Offshore - Adelaide'!E523*2,IF('Offshore - Adelaide'!D523="Trimester",'Offshore - Adelaide'!E523*3,IF('Offshore - Adelaide'!D523="Term",'Offshore - Adelaide'!E523*4,IF('Offshore - Adelaide'!D523="Unit",'Offshore - Adelaide'!E523*8,""))))))</f>
        <v>16270</v>
      </c>
      <c r="L1410" s="0" t="n">
        <f aca="false">IF(AND(ISNUMBER('Offshore - Adelaide'!E523),ISNUMBER(K1410),ISNUMBER('Offshore - Adelaide'!F523),ISNUMBER('Offshore - Adelaide'!G523),OR('Offshore - Adelaide'!F523&lt;&gt;0,ISNUMBER(SEARCH("Material 0 terverifikasi",'Offshore - Adelaide'!N523))),OR('Offshore - Adelaide'!G523&lt;&gt;0,ISNUMBER(SEARCH("Enrolment 0 terverifikasi",'Offshore - Adelaide'!N523)))),1,0)</f>
        <v>0</v>
      </c>
      <c r="M1410" s="0" t="n">
        <f aca="false">IF(OR('Offshore - Adelaide'!E523="",ISNUMBER(SEARCH("BSB80120",'Offshore - Adelaide'!B523&amp;'Offshore - Adelaide'!N523)),ISNUMBER(SEARCH("Management (Learning)",'Offshore - Adelaide'!B523))),2,IF(ISNUMBER(SEARCH("CEK:",'Offshore - Adelaide'!N523)),1,0))</f>
        <v>0</v>
      </c>
    </row>
    <row r="1411" customFormat="false" ht="15" hidden="false" customHeight="false" outlineLevel="0" collapsed="false">
      <c r="A1411" s="61" t="s">
        <v>4378</v>
      </c>
      <c r="B1411" s="62"/>
      <c r="C1411" s="62"/>
      <c r="D1411" s="62"/>
      <c r="E1411" s="62"/>
      <c r="F1411" s="62"/>
      <c r="G1411" s="62"/>
      <c r="H1411" s="62"/>
      <c r="I1411" s="62"/>
    </row>
    <row r="1412" customFormat="false" ht="15" hidden="false" customHeight="false" outlineLevel="0" collapsed="false">
      <c r="A1412" s="63" t="s">
        <v>3659</v>
      </c>
      <c r="B1412" s="64" t="s">
        <v>4374</v>
      </c>
      <c r="C1412" s="63" t="s">
        <v>41</v>
      </c>
      <c r="D1412" s="64" t="str">
        <f aca="false">TRIM(LEFT('Offshore - Adelaide'!A484,FIND(CHAR(10),'Offshore - Adelaide'!A484&amp;CHAR(10))-1))</f>
        <v>TAFE SA</v>
      </c>
      <c r="E1412" s="63" t="str">
        <f aca="false">'Offshore - Adelaide'!C528&amp;""</f>
        <v>1 year</v>
      </c>
      <c r="F1412" s="63" t="str">
        <f aca="false">IF('Offshore - Adelaide'!D528="","Belum tercatat",'Offshore - Adelaide'!D528)</f>
        <v>Semester</v>
      </c>
      <c r="G1412" s="65" t="n">
        <f aca="false">IF('Offshore - Adelaide'!E528="","-",'Offshore - Adelaide'!E528)</f>
        <v>8135</v>
      </c>
      <c r="H1412" s="63" t="n">
        <f aca="false">IF(ISNUMBER(K1412),COUNTIFS($J$6:$J$1854,J1412,$K$6:$K$1854,"&lt;"&amp;K1412)+1,"-")</f>
        <v>1</v>
      </c>
      <c r="I1412" s="64" t="str">
        <f aca="false">IF('Offshore - Adelaide'!E528="","Harga belum tersedia - hubungi konsultan TEG",IF(M1412=2,"Saat ini tidak menerima pendaftaran siswa internasional baru",IF(M1412=1,"Harga perlu dikonfirmasi ke sekolah"&amp;IF(""="","","; "&amp;""),"")))</f>
        <v/>
      </c>
      <c r="J1412" s="0" t="s">
        <v>4379</v>
      </c>
      <c r="K1412" s="0" t="n">
        <f aca="false">IF(M1412=2,"",IF(ISNUMBER(SEARCH("rata-rata:",'Offshore - Adelaide'!N528)),VALUE(MID('Offshore - Adelaide'!N528,SEARCH("rata-rata:",'Offshore - Adelaide'!N528)+11,FIND(";",'Offshore - Adelaide'!N528&amp;";",SEARCH("rata-rata:",'Offshore - Adelaide'!N528))-SEARCH("rata-rata:",'Offshore - Adelaide'!N528)-11)),IF('Offshore - Adelaide'!D528="Semester",'Offshore - Adelaide'!E528*2,IF('Offshore - Adelaide'!D528="Trimester",'Offshore - Adelaide'!E528*3,IF('Offshore - Adelaide'!D528="Term",'Offshore - Adelaide'!E528*4,IF('Offshore - Adelaide'!D528="Unit",'Offshore - Adelaide'!E528*8,""))))))</f>
        <v>16270</v>
      </c>
      <c r="L1412" s="0" t="n">
        <f aca="false">IF(AND(ISNUMBER('Offshore - Adelaide'!E528),ISNUMBER(K1412),ISNUMBER('Offshore - Adelaide'!F528),ISNUMBER('Offshore - Adelaide'!G528),OR('Offshore - Adelaide'!F528&lt;&gt;0,ISNUMBER(SEARCH("Material 0 terverifikasi",'Offshore - Adelaide'!N528))),OR('Offshore - Adelaide'!G528&lt;&gt;0,ISNUMBER(SEARCH("Enrolment 0 terverifikasi",'Offshore - Adelaide'!N528)))),1,0)</f>
        <v>0</v>
      </c>
      <c r="M1412" s="0" t="n">
        <f aca="false">IF(OR('Offshore - Adelaide'!E528="",ISNUMBER(SEARCH("BSB80120",'Offshore - Adelaide'!B528&amp;'Offshore - Adelaide'!N528)),ISNUMBER(SEARCH("Management (Learning)",'Offshore - Adelaide'!B528))),2,IF(ISNUMBER(SEARCH("CEK:",'Offshore - Adelaide'!N528)),1,0))</f>
        <v>0</v>
      </c>
    </row>
    <row r="1413" customFormat="false" ht="15" hidden="false" customHeight="false" outlineLevel="0" collapsed="false">
      <c r="A1413" s="63" t="s">
        <v>3659</v>
      </c>
      <c r="B1413" s="64" t="s">
        <v>4374</v>
      </c>
      <c r="C1413" s="63" t="s">
        <v>41</v>
      </c>
      <c r="D1413" s="64" t="str">
        <f aca="false">TRIM(LEFT('Offshore - Adelaide'!A545,FIND(CHAR(10),'Offshore - Adelaide'!A545&amp;CHAR(10))-1))</f>
        <v>Torrens University Australia</v>
      </c>
      <c r="E1413" s="63" t="str">
        <f aca="false">'Offshore - Adelaide'!C579&amp;""</f>
        <v>1 year</v>
      </c>
      <c r="F1413" s="63" t="str">
        <f aca="false">IF('Offshore - Adelaide'!D579="","Belum tercatat",'Offshore - Adelaide'!D579)</f>
        <v>Term</v>
      </c>
      <c r="G1413" s="65" t="n">
        <f aca="false">IF('Offshore - Adelaide'!E579="","-",'Offshore - Adelaide'!E579)</f>
        <v>7900</v>
      </c>
      <c r="H1413" s="63" t="n">
        <f aca="false">IF(ISNUMBER(K1413),COUNTIFS($J$6:$J$1854,J1413,$K$6:$K$1854,"&lt;"&amp;K1413)+1,"-")</f>
        <v>2</v>
      </c>
      <c r="I1413" s="64" t="str">
        <f aca="false">IF('Offshore - Adelaide'!E579="","Harga belum tersedia - hubungi konsultan TEG",IF(M1413=2,"Saat ini tidak menerima pendaftaran siswa internasional baru",IF(M1413=1,"Harga perlu dikonfirmasi ke sekolah"&amp;IF(""="","","; "&amp;""),"")))</f>
        <v/>
      </c>
      <c r="J1413" s="0" t="s">
        <v>4379</v>
      </c>
      <c r="K1413" s="0" t="n">
        <f aca="false">IF(M1413=2,"",IF(ISNUMBER(SEARCH("rata-rata:",'Offshore - Adelaide'!N579)),VALUE(MID('Offshore - Adelaide'!N579,SEARCH("rata-rata:",'Offshore - Adelaide'!N579)+11,FIND(";",'Offshore - Adelaide'!N579&amp;";",SEARCH("rata-rata:",'Offshore - Adelaide'!N579))-SEARCH("rata-rata:",'Offshore - Adelaide'!N579)-11)),IF('Offshore - Adelaide'!D579="Semester",'Offshore - Adelaide'!E579*2,IF('Offshore - Adelaide'!D579="Trimester",'Offshore - Adelaide'!E579*3,IF('Offshore - Adelaide'!D579="Term",'Offshore - Adelaide'!E579*4,IF('Offshore - Adelaide'!D579="Unit",'Offshore - Adelaide'!E579*8,""))))))</f>
        <v>31600</v>
      </c>
      <c r="L1413" s="0" t="n">
        <f aca="false">IF(AND(ISNUMBER('Offshore - Adelaide'!E579),ISNUMBER(K1413),ISNUMBER('Offshore - Adelaide'!F579),ISNUMBER('Offshore - Adelaide'!G579),OR('Offshore - Adelaide'!F579&lt;&gt;0,ISNUMBER(SEARCH("Material 0 terverifikasi",'Offshore - Adelaide'!N579))),OR('Offshore - Adelaide'!G579&lt;&gt;0,ISNUMBER(SEARCH("Enrolment 0 terverifikasi",'Offshore - Adelaide'!N579)))),1,0)</f>
        <v>0</v>
      </c>
      <c r="M1413" s="0" t="n">
        <f aca="false">IF(OR('Offshore - Adelaide'!E579="",ISNUMBER(SEARCH("BSB80120",'Offshore - Adelaide'!B579&amp;'Offshore - Adelaide'!N579)),ISNUMBER(SEARCH("Management (Learning)",'Offshore - Adelaide'!B579))),2,IF(ISNUMBER(SEARCH("CEK:",'Offshore - Adelaide'!N579)),1,0))</f>
        <v>0</v>
      </c>
    </row>
    <row r="1414" customFormat="false" ht="15" hidden="false" customHeight="false" outlineLevel="0" collapsed="false">
      <c r="A1414" s="61" t="s">
        <v>4380</v>
      </c>
      <c r="B1414" s="62"/>
      <c r="C1414" s="62"/>
      <c r="D1414" s="62"/>
      <c r="E1414" s="62"/>
      <c r="F1414" s="62"/>
      <c r="G1414" s="62"/>
      <c r="H1414" s="62"/>
      <c r="I1414" s="62"/>
    </row>
    <row r="1415" customFormat="false" ht="15" hidden="false" customHeight="false" outlineLevel="0" collapsed="false">
      <c r="A1415" s="63" t="s">
        <v>3659</v>
      </c>
      <c r="B1415" s="64" t="s">
        <v>4374</v>
      </c>
      <c r="C1415" s="63" t="s">
        <v>42</v>
      </c>
      <c r="D1415" s="64" t="str">
        <f aca="false">TRIM(LEFT('Offshore - Adelaide'!A431,FIND(CHAR(10),'Offshore - Adelaide'!A431&amp;CHAR(10))-1))</f>
        <v>Greenwich College</v>
      </c>
      <c r="E1415" s="63" t="str">
        <f aca="false">'Offshore - Adelaide'!C437&amp;""</f>
        <v>2 years</v>
      </c>
      <c r="F1415" s="63" t="str">
        <f aca="false">IF('Offshore - Adelaide'!D437="","Belum tercatat",'Offshore - Adelaide'!D437)</f>
        <v>Term</v>
      </c>
      <c r="G1415" s="65" t="n">
        <f aca="false">IF('Offshore - Adelaide'!E437="","-",'Offshore - Adelaide'!E437)</f>
        <v>1250</v>
      </c>
      <c r="H1415" s="63" t="n">
        <f aca="false">IF(ISNUMBER(K1415),COUNTIFS($J$6:$J$1854,J1415,$K$6:$K$1854,"&lt;"&amp;K1415)+1,"-")</f>
        <v>1</v>
      </c>
      <c r="I1415" s="64" t="str">
        <f aca="false">IF('Offshore - Adelaide'!E437="","Harga belum tersedia - hubungi konsultan TEG",IF(M1415=2,"Saat ini tidak menerima pendaftaran siswa internasional baru",IF(M1415=1,"Harga perlu dikonfirmasi ke sekolah"&amp;IF(""="","","; "&amp;""),"")))</f>
        <v/>
      </c>
      <c r="J1415" s="0" t="s">
        <v>4381</v>
      </c>
      <c r="K1415" s="0" t="n">
        <f aca="false">IF(M1415=2,"",IF(ISNUMBER(SEARCH("rata-rata:",'Offshore - Adelaide'!N437)),VALUE(MID('Offshore - Adelaide'!N437,SEARCH("rata-rata:",'Offshore - Adelaide'!N437)+11,FIND(";",'Offshore - Adelaide'!N437&amp;";",SEARCH("rata-rata:",'Offshore - Adelaide'!N437))-SEARCH("rata-rata:",'Offshore - Adelaide'!N437)-11)),IF('Offshore - Adelaide'!D437="Semester",'Offshore - Adelaide'!E437*2,IF('Offshore - Adelaide'!D437="Trimester",'Offshore - Adelaide'!E437*3,IF('Offshore - Adelaide'!D437="Term",'Offshore - Adelaide'!E437*4,IF('Offshore - Adelaide'!D437="Unit",'Offshore - Adelaide'!E437*8,""))))))</f>
        <v>5000</v>
      </c>
      <c r="L1415" s="0" t="n">
        <f aca="false">IF(AND(ISNUMBER('Offshore - Adelaide'!E437),ISNUMBER(K1415),ISNUMBER('Offshore - Adelaide'!F437),ISNUMBER('Offshore - Adelaide'!G437),OR('Offshore - Adelaide'!F437&lt;&gt;0,ISNUMBER(SEARCH("Material 0 terverifikasi",'Offshore - Adelaide'!N437))),OR('Offshore - Adelaide'!G437&lt;&gt;0,ISNUMBER(SEARCH("Enrolment 0 terverifikasi",'Offshore - Adelaide'!N437)))),1,0)</f>
        <v>1</v>
      </c>
      <c r="M1415" s="0" t="n">
        <f aca="false">IF(OR('Offshore - Adelaide'!E437="",ISNUMBER(SEARCH("BSB80120",'Offshore - Adelaide'!B437&amp;'Offshore - Adelaide'!N437)),ISNUMBER(SEARCH("Management (Learning)",'Offshore - Adelaide'!B437))),2,IF(ISNUMBER(SEARCH("CEK:",'Offshore - Adelaide'!N437)),1,0))</f>
        <v>0</v>
      </c>
    </row>
    <row r="1416" customFormat="false" ht="15" hidden="false" customHeight="false" outlineLevel="0" collapsed="false">
      <c r="A1416" s="63" t="s">
        <v>3659</v>
      </c>
      <c r="B1416" s="64" t="s">
        <v>4374</v>
      </c>
      <c r="C1416" s="63" t="s">
        <v>42</v>
      </c>
      <c r="D1416" s="64" t="str">
        <f aca="false">TRIM(LEFT('Offshore - Adelaide'!A6,FIND(CHAR(10),'Offshore - Adelaide'!A6&amp;CHAR(10))-1))</f>
        <v>Abbey College Australia</v>
      </c>
      <c r="E1416" s="63" t="str">
        <f aca="false">'Offshore - Adelaide'!C6&amp;""</f>
        <v>4 years</v>
      </c>
      <c r="F1416" s="63" t="str">
        <f aca="false">IF('Offshore - Adelaide'!D6="","Belum tercatat",'Offshore - Adelaide'!D6)</f>
        <v>Term</v>
      </c>
      <c r="G1416" s="65" t="n">
        <f aca="false">IF('Offshore - Adelaide'!E6="","-",'Offshore - Adelaide'!E6)</f>
        <v>2000</v>
      </c>
      <c r="H1416" s="63" t="n">
        <f aca="false">IF(ISNUMBER(K1416),COUNTIFS($J$6:$J$1854,J1416,$K$6:$K$1854,"&lt;"&amp;K1416)+1,"-")</f>
        <v>2</v>
      </c>
      <c r="I1416" s="64" t="str">
        <f aca="false">IF('Offshore - Adelaide'!E6="","Harga belum tersedia - hubungi konsultan TEG",IF(M1416=2,"Saat ini tidak menerima pendaftaran siswa internasional baru",IF(M1416=1,"Harga perlu dikonfirmasi ke sekolah"&amp;IF(""="","","; "&amp;""),"")))</f>
        <v/>
      </c>
      <c r="J1416" s="0" t="s">
        <v>4381</v>
      </c>
      <c r="K1416" s="0" t="n">
        <f aca="false">IF(M1416=2,"",IF(ISNUMBER(SEARCH("rata-rata:",'Offshore - Adelaide'!N6)),VALUE(MID('Offshore - Adelaide'!N6,SEARCH("rata-rata:",'Offshore - Adelaide'!N6)+11,FIND(";",'Offshore - Adelaide'!N6&amp;";",SEARCH("rata-rata:",'Offshore - Adelaide'!N6))-SEARCH("rata-rata:",'Offshore - Adelaide'!N6)-11)),IF('Offshore - Adelaide'!D6="Semester",'Offshore - Adelaide'!E6*2,IF('Offshore - Adelaide'!D6="Trimester",'Offshore - Adelaide'!E6*3,IF('Offshore - Adelaide'!D6="Term",'Offshore - Adelaide'!E6*4,IF('Offshore - Adelaide'!D6="Unit",'Offshore - Adelaide'!E6*8,""))))))</f>
        <v>8000</v>
      </c>
      <c r="L1416" s="0" t="n">
        <f aca="false">IF(AND(ISNUMBER('Offshore - Adelaide'!E6),ISNUMBER(K1416),ISNUMBER('Offshore - Adelaide'!F6),ISNUMBER('Offshore - Adelaide'!G6),OR('Offshore - Adelaide'!F6&lt;&gt;0,ISNUMBER(SEARCH("Material 0 terverifikasi",'Offshore - Adelaide'!N6))),OR('Offshore - Adelaide'!G6&lt;&gt;0,ISNUMBER(SEARCH("Enrolment 0 terverifikasi",'Offshore - Adelaide'!N6)))),1,0)</f>
        <v>1</v>
      </c>
      <c r="M1416" s="0" t="n">
        <f aca="false">IF(OR('Offshore - Adelaide'!E6="",ISNUMBER(SEARCH("BSB80120",'Offshore - Adelaide'!B6&amp;'Offshore - Adelaide'!N6)),ISNUMBER(SEARCH("Management (Learning)",'Offshore - Adelaide'!B6))),2,IF(ISNUMBER(SEARCH("CEK:",'Offshore - Adelaide'!N6)),1,0))</f>
        <v>0</v>
      </c>
    </row>
    <row r="1417" customFormat="false" ht="15" hidden="false" customHeight="false" outlineLevel="0" collapsed="false">
      <c r="A1417" s="63" t="s">
        <v>3659</v>
      </c>
      <c r="B1417" s="64" t="s">
        <v>4374</v>
      </c>
      <c r="C1417" s="63" t="s">
        <v>42</v>
      </c>
      <c r="D1417" s="64" t="str">
        <f aca="false">TRIM(LEFT('Offshore - Adelaide'!A427,FIND(CHAR(10),'Offshore - Adelaide'!A427&amp;CHAR(10))-1))</f>
        <v>Concord Institute</v>
      </c>
      <c r="E1417" s="63" t="str">
        <f aca="false">'Offshore - Adelaide'!C430&amp;""</f>
        <v>2 years</v>
      </c>
      <c r="F1417" s="63" t="str">
        <f aca="false">IF('Offshore - Adelaide'!D430="","Belum tercatat",'Offshore - Adelaide'!D430)</f>
        <v>Term</v>
      </c>
      <c r="G1417" s="65" t="n">
        <f aca="false">IF('Offshore - Adelaide'!E430="","-",'Offshore - Adelaide'!E430)</f>
        <v>2200</v>
      </c>
      <c r="H1417" s="63" t="n">
        <f aca="false">IF(ISNUMBER(K1417),COUNTIFS($J$6:$J$1854,J1417,$K$6:$K$1854,"&lt;"&amp;K1417)+1,"-")</f>
        <v>3</v>
      </c>
      <c r="I1417" s="64" t="str">
        <f aca="false">IF('Offshore - Adelaide'!E430="","Harga belum tersedia - hubungi konsultan TEG",IF(M1417=2,"Saat ini tidak menerima pendaftaran siswa internasional baru",IF(M1417=1,"Program perlu dikonfirmasi ketersediaannya"&amp;IF(""="","","; "&amp;""),"")))</f>
        <v>Program perlu dikonfirmasi ketersediaannya</v>
      </c>
      <c r="J1417" s="0" t="s">
        <v>4381</v>
      </c>
      <c r="K1417" s="0" t="n">
        <f aca="false">IF(M1417=2,"",IF(ISNUMBER(SEARCH("rata-rata:",'Offshore - Adelaide'!N430)),VALUE(MID('Offshore - Adelaide'!N430,SEARCH("rata-rata:",'Offshore - Adelaide'!N430)+11,FIND(";",'Offshore - Adelaide'!N430&amp;";",SEARCH("rata-rata:",'Offshore - Adelaide'!N430))-SEARCH("rata-rata:",'Offshore - Adelaide'!N430)-11)),IF('Offshore - Adelaide'!D430="Semester",'Offshore - Adelaide'!E430*2,IF('Offshore - Adelaide'!D430="Trimester",'Offshore - Adelaide'!E430*3,IF('Offshore - Adelaide'!D430="Term",'Offshore - Adelaide'!E430*4,IF('Offshore - Adelaide'!D430="Unit",'Offshore - Adelaide'!E430*8,""))))))</f>
        <v>8800</v>
      </c>
      <c r="L1417" s="0" t="n">
        <f aca="false">IF(AND(ISNUMBER('Offshore - Adelaide'!E430),ISNUMBER(K1417),ISNUMBER('Offshore - Adelaide'!F430),ISNUMBER('Offshore - Adelaide'!G430),OR('Offshore - Adelaide'!F430&lt;&gt;0,ISNUMBER(SEARCH("Material 0 terverifikasi",'Offshore - Adelaide'!N430))),OR('Offshore - Adelaide'!G430&lt;&gt;0,ISNUMBER(SEARCH("Enrolment 0 terverifikasi",'Offshore - Adelaide'!N430)))),1,0)</f>
        <v>1</v>
      </c>
      <c r="M1417" s="0" t="n">
        <f aca="false">IF(OR('Offshore - Adelaide'!E430="",ISNUMBER(SEARCH("BSB80120",'Offshore - Adelaide'!B430&amp;'Offshore - Adelaide'!N430)),ISNUMBER(SEARCH("Management (Learning)",'Offshore - Adelaide'!B430))),2,IF(ISNUMBER(SEARCH("CEK:",'Offshore - Adelaide'!N430)),1,0))</f>
        <v>1</v>
      </c>
    </row>
    <row r="1418" customFormat="false" ht="28.35" hidden="false" customHeight="false" outlineLevel="0" collapsed="false">
      <c r="A1418" s="63" t="s">
        <v>3659</v>
      </c>
      <c r="B1418" s="64" t="s">
        <v>4374</v>
      </c>
      <c r="C1418" s="63" t="s">
        <v>42</v>
      </c>
      <c r="D1418" s="64" t="str">
        <f aca="false">TRIM(LEFT('Offshore - Adelaide'!A374,FIND(CHAR(10),'Offshore - Adelaide'!A374&amp;CHAR(10))-1))</f>
        <v>Albright Institute of Business and Language (AIBL)</v>
      </c>
      <c r="E1418" s="63" t="str">
        <f aca="false">'Offshore - Adelaide'!C378&amp;""</f>
        <v>2 years</v>
      </c>
      <c r="F1418" s="63" t="str">
        <f aca="false">IF('Offshore - Adelaide'!D378="","Belum tercatat",'Offshore - Adelaide'!D378)</f>
        <v>Term</v>
      </c>
      <c r="G1418" s="65" t="n">
        <f aca="false">IF('Offshore - Adelaide'!E378="","-",'Offshore - Adelaide'!E378)</f>
        <v>2250</v>
      </c>
      <c r="H1418" s="63" t="n">
        <f aca="false">IF(ISNUMBER(K1418),COUNTIFS($J$6:$J$1854,J1418,$K$6:$K$1854,"&lt;"&amp;K1418)+1,"-")</f>
        <v>4</v>
      </c>
      <c r="I1418" s="64" t="str">
        <f aca="false">IF('Offshore - Adelaide'!E378="","Harga belum tersedia - hubungi konsultan TEG",IF(M1418=2,"Saat ini tidak menerima pendaftaran siswa internasional baru",IF(M1418=1,"Harga perlu dikonfirmasi ke sekolah"&amp;IF(""="","","; "&amp;""),"")))</f>
        <v/>
      </c>
      <c r="J1418" s="0" t="s">
        <v>4381</v>
      </c>
      <c r="K1418" s="0" t="n">
        <f aca="false">IF(M1418=2,"",IF(ISNUMBER(SEARCH("rata-rata:",'Offshore - Adelaide'!N378)),VALUE(MID('Offshore - Adelaide'!N378,SEARCH("rata-rata:",'Offshore - Adelaide'!N378)+11,FIND(";",'Offshore - Adelaide'!N378&amp;";",SEARCH("rata-rata:",'Offshore - Adelaide'!N378))-SEARCH("rata-rata:",'Offshore - Adelaide'!N378)-11)),IF('Offshore - Adelaide'!D378="Semester",'Offshore - Adelaide'!E378*2,IF('Offshore - Adelaide'!D378="Trimester",'Offshore - Adelaide'!E378*3,IF('Offshore - Adelaide'!D378="Term",'Offshore - Adelaide'!E378*4,IF('Offshore - Adelaide'!D378="Unit",'Offshore - Adelaide'!E378*8,""))))))</f>
        <v>9000</v>
      </c>
      <c r="L1418" s="0" t="n">
        <f aca="false">IF(AND(ISNUMBER('Offshore - Adelaide'!E378),ISNUMBER(K1418),ISNUMBER('Offshore - Adelaide'!F378),ISNUMBER('Offshore - Adelaide'!G378),OR('Offshore - Adelaide'!F378&lt;&gt;0,ISNUMBER(SEARCH("Material 0 terverifikasi",'Offshore - Adelaide'!N378))),OR('Offshore - Adelaide'!G378&lt;&gt;0,ISNUMBER(SEARCH("Enrolment 0 terverifikasi",'Offshore - Adelaide'!N378)))),1,0)</f>
        <v>1</v>
      </c>
      <c r="M1418" s="0" t="n">
        <f aca="false">IF(OR('Offshore - Adelaide'!E378="",ISNUMBER(SEARCH("BSB80120",'Offshore - Adelaide'!B378&amp;'Offshore - Adelaide'!N378)),ISNUMBER(SEARCH("Management (Learning)",'Offshore - Adelaide'!B378))),2,IF(ISNUMBER(SEARCH("CEK:",'Offshore - Adelaide'!N378)),1,0))</f>
        <v>0</v>
      </c>
    </row>
    <row r="1419" customFormat="false" ht="15" hidden="false" customHeight="false" outlineLevel="0" collapsed="false">
      <c r="A1419" s="63" t="s">
        <v>3659</v>
      </c>
      <c r="B1419" s="64" t="s">
        <v>4374</v>
      </c>
      <c r="C1419" s="63" t="s">
        <v>42</v>
      </c>
      <c r="D1419" s="64" t="str">
        <f aca="false">TRIM(LEFT('Offshore - Adelaide'!A480,FIND(CHAR(10),'Offshore - Adelaide'!A480&amp;CHAR(10))-1))</f>
        <v>Sydney City College of Management</v>
      </c>
      <c r="E1419" s="63" t="str">
        <f aca="false">'Offshore - Adelaide'!C481&amp;""</f>
        <v>2,5 years</v>
      </c>
      <c r="F1419" s="63" t="str">
        <f aca="false">IF('Offshore - Adelaide'!D481="","Belum tercatat",'Offshore - Adelaide'!D481)</f>
        <v>Term</v>
      </c>
      <c r="G1419" s="65" t="n">
        <f aca="false">IF('Offshore - Adelaide'!E481="","-",'Offshore - Adelaide'!E481)</f>
        <v>3000</v>
      </c>
      <c r="H1419" s="63" t="n">
        <f aca="false">IF(ISNUMBER(K1419),COUNTIFS($J$6:$J$1854,J1419,$K$6:$K$1854,"&lt;"&amp;K1419)+1,"-")</f>
        <v>5</v>
      </c>
      <c r="I1419" s="64" t="str">
        <f aca="false">IF('Offshore - Adelaide'!E481="","Harga belum tersedia - hubungi konsultan TEG",IF(M1419=2,"Saat ini tidak menerima pendaftaran siswa internasional baru",IF(M1419=1,"Harga perlu dikonfirmasi ke sekolah"&amp;IF(""="","","; "&amp;""),"")))</f>
        <v/>
      </c>
      <c r="J1419" s="0" t="s">
        <v>4381</v>
      </c>
      <c r="K1419" s="0" t="n">
        <f aca="false">IF(M1419=2,"",IF(ISNUMBER(SEARCH("rata-rata:",'Offshore - Adelaide'!N481)),VALUE(MID('Offshore - Adelaide'!N481,SEARCH("rata-rata:",'Offshore - Adelaide'!N481)+11,FIND(";",'Offshore - Adelaide'!N481&amp;";",SEARCH("rata-rata:",'Offshore - Adelaide'!N481))-SEARCH("rata-rata:",'Offshore - Adelaide'!N481)-11)),IF('Offshore - Adelaide'!D481="Semester",'Offshore - Adelaide'!E481*2,IF('Offshore - Adelaide'!D481="Trimester",'Offshore - Adelaide'!E481*3,IF('Offshore - Adelaide'!D481="Term",'Offshore - Adelaide'!E481*4,IF('Offshore - Adelaide'!D481="Unit",'Offshore - Adelaide'!E481*8,""))))))</f>
        <v>12000</v>
      </c>
      <c r="L1419" s="0" t="n">
        <f aca="false">IF(AND(ISNUMBER('Offshore - Adelaide'!E481),ISNUMBER(K1419),ISNUMBER('Offshore - Adelaide'!F481),ISNUMBER('Offshore - Adelaide'!G481),OR('Offshore - Adelaide'!F481&lt;&gt;0,ISNUMBER(SEARCH("Material 0 terverifikasi",'Offshore - Adelaide'!N481))),OR('Offshore - Adelaide'!G481&lt;&gt;0,ISNUMBER(SEARCH("Enrolment 0 terverifikasi",'Offshore - Adelaide'!N481)))),1,0)</f>
        <v>1</v>
      </c>
      <c r="M1419" s="0" t="n">
        <f aca="false">IF(OR('Offshore - Adelaide'!E481="",ISNUMBER(SEARCH("BSB80120",'Offshore - Adelaide'!B481&amp;'Offshore - Adelaide'!N481)),ISNUMBER(SEARCH("Management (Learning)",'Offshore - Adelaide'!B481))),2,IF(ISNUMBER(SEARCH("CEK:",'Offshore - Adelaide'!N481)),1,0))</f>
        <v>0</v>
      </c>
    </row>
    <row r="1420" customFormat="false" ht="15" hidden="false" customHeight="false" outlineLevel="0" collapsed="false">
      <c r="A1420" s="61" t="s">
        <v>4382</v>
      </c>
      <c r="B1420" s="62"/>
      <c r="C1420" s="62"/>
      <c r="D1420" s="62"/>
      <c r="E1420" s="62"/>
      <c r="F1420" s="62"/>
      <c r="G1420" s="62"/>
      <c r="H1420" s="62"/>
      <c r="I1420" s="62"/>
    </row>
    <row r="1421" customFormat="false" ht="28.35" hidden="false" customHeight="false" outlineLevel="0" collapsed="false">
      <c r="A1421" s="63" t="s">
        <v>3659</v>
      </c>
      <c r="B1421" s="64" t="s">
        <v>4374</v>
      </c>
      <c r="C1421" s="63" t="s">
        <v>43</v>
      </c>
      <c r="D1421" s="64" t="str">
        <f aca="false">TRIM(LEFT('Offshore - Adelaide'!A416,FIND(CHAR(10),'Offshore - Adelaide'!A416&amp;CHAR(10))-1))</f>
        <v>Australian Institute of Advanced Technologies (AIAT)</v>
      </c>
      <c r="E1421" s="63" t="str">
        <f aca="false">'Offshore - Adelaide'!C420&amp;""</f>
        <v>3 years</v>
      </c>
      <c r="F1421" s="63" t="str">
        <f aca="false">IF('Offshore - Adelaide'!D420="","Belum tercatat",'Offshore - Adelaide'!D420)</f>
        <v>Term</v>
      </c>
      <c r="G1421" s="65" t="n">
        <f aca="false">IF('Offshore - Adelaide'!E420="","-",'Offshore - Adelaide'!E420)</f>
        <v>3000</v>
      </c>
      <c r="H1421" s="63" t="n">
        <f aca="false">IF(ISNUMBER(K1421),COUNTIFS($J$6:$J$1854,J1421,$K$6:$K$1854,"&lt;"&amp;K1421)+1,"-")</f>
        <v>1</v>
      </c>
      <c r="I1421" s="64" t="str">
        <f aca="false">IF('Offshore - Adelaide'!E420="","Harga belum tersedia - hubungi konsultan TEG",IF(M1421=2,"Saat ini tidak menerima pendaftaran siswa internasional baru",IF(M1421=1,"Harga perlu dikonfirmasi ke sekolah"&amp;IF(""="","","; "&amp;""),"")))</f>
        <v/>
      </c>
      <c r="J1421" s="0" t="s">
        <v>4383</v>
      </c>
      <c r="K1421" s="0" t="n">
        <f aca="false">IF(M1421=2,"",IF(ISNUMBER(SEARCH("rata-rata:",'Offshore - Adelaide'!N420)),VALUE(MID('Offshore - Adelaide'!N420,SEARCH("rata-rata:",'Offshore - Adelaide'!N420)+11,FIND(";",'Offshore - Adelaide'!N420&amp;";",SEARCH("rata-rata:",'Offshore - Adelaide'!N420))-SEARCH("rata-rata:",'Offshore - Adelaide'!N420)-11)),IF('Offshore - Adelaide'!D420="Semester",'Offshore - Adelaide'!E420*2,IF('Offshore - Adelaide'!D420="Trimester",'Offshore - Adelaide'!E420*3,IF('Offshore - Adelaide'!D420="Term",'Offshore - Adelaide'!E420*4,IF('Offshore - Adelaide'!D420="Unit",'Offshore - Adelaide'!E420*8,""))))))</f>
        <v>12000</v>
      </c>
      <c r="L1421" s="0" t="n">
        <f aca="false">IF(AND(ISNUMBER('Offshore - Adelaide'!E420),ISNUMBER(K1421),ISNUMBER('Offshore - Adelaide'!F420),ISNUMBER('Offshore - Adelaide'!G420),OR('Offshore - Adelaide'!F420&lt;&gt;0,ISNUMBER(SEARCH("Material 0 terverifikasi",'Offshore - Adelaide'!N420))),OR('Offshore - Adelaide'!G420&lt;&gt;0,ISNUMBER(SEARCH("Enrolment 0 terverifikasi",'Offshore - Adelaide'!N420)))),1,0)</f>
        <v>0</v>
      </c>
      <c r="M1421" s="0" t="n">
        <f aca="false">IF(OR('Offshore - Adelaide'!E420="",ISNUMBER(SEARCH("BSB80120",'Offshore - Adelaide'!B420&amp;'Offshore - Adelaide'!N420)),ISNUMBER(SEARCH("Management (Learning)",'Offshore - Adelaide'!B420))),2,IF(ISNUMBER(SEARCH("CEK:",'Offshore - Adelaide'!N420)),1,0))</f>
        <v>0</v>
      </c>
    </row>
    <row r="1422" customFormat="false" ht="28.35" hidden="false" customHeight="false" outlineLevel="0" collapsed="false">
      <c r="A1422" s="63" t="s">
        <v>3659</v>
      </c>
      <c r="B1422" s="64" t="s">
        <v>4374</v>
      </c>
      <c r="C1422" s="63" t="s">
        <v>43</v>
      </c>
      <c r="D1422" s="64" t="str">
        <f aca="false">TRIM(LEFT('Offshore - Adelaide'!A438,FIND(CHAR(10),'Offshore - Adelaide'!A438&amp;CHAR(10))-1))</f>
        <v>Greenwich Higher Education (Academy of Interactive Technology Pty Ltd)</v>
      </c>
      <c r="E1422" s="63" t="str">
        <f aca="false">'Offshore - Adelaide'!C438&amp;""</f>
        <v>3 years</v>
      </c>
      <c r="F1422" s="63" t="str">
        <f aca="false">IF('Offshore - Adelaide'!D438="","Belum tercatat",'Offshore - Adelaide'!D438)</f>
        <v>Term</v>
      </c>
      <c r="G1422" s="65" t="n">
        <f aca="false">IF('Offshore - Adelaide'!E438="","-",'Offshore - Adelaide'!E438)</f>
        <v>4025</v>
      </c>
      <c r="H1422" s="63" t="n">
        <f aca="false">IF(ISNUMBER(K1422),COUNTIFS($J$6:$J$1854,J1422,$K$6:$K$1854,"&lt;"&amp;K1422)+1,"-")</f>
        <v>2</v>
      </c>
      <c r="I1422" s="64" t="str">
        <f aca="false">IF('Offshore - Adelaide'!E438="","Harga belum tersedia - hubungi konsultan TEG",IF(M1422=2,"Saat ini tidak menerima pendaftaran siswa internasional baru",IF(M1422=1,"Program perlu dikonfirmasi ketersediaannya"&amp;IF(""="","","; "&amp;""),"")))</f>
        <v>Program perlu dikonfirmasi ketersediaannya</v>
      </c>
      <c r="J1422" s="0" t="s">
        <v>4383</v>
      </c>
      <c r="K1422" s="0" t="n">
        <f aca="false">IF(M1422=2,"",IF(ISNUMBER(SEARCH("rata-rata:",'Offshore - Adelaide'!N438)),VALUE(MID('Offshore - Adelaide'!N438,SEARCH("rata-rata:",'Offshore - Adelaide'!N438)+11,FIND(";",'Offshore - Adelaide'!N438&amp;";",SEARCH("rata-rata:",'Offshore - Adelaide'!N438))-SEARCH("rata-rata:",'Offshore - Adelaide'!N438)-11)),IF('Offshore - Adelaide'!D438="Semester",'Offshore - Adelaide'!E438*2,IF('Offshore - Adelaide'!D438="Trimester",'Offshore - Adelaide'!E438*3,IF('Offshore - Adelaide'!D438="Term",'Offshore - Adelaide'!E438*4,IF('Offshore - Adelaide'!D438="Unit",'Offshore - Adelaide'!E438*8,""))))))</f>
        <v>16100</v>
      </c>
      <c r="L1422" s="0" t="n">
        <f aca="false">IF(AND(ISNUMBER('Offshore - Adelaide'!E438),ISNUMBER(K1422),ISNUMBER('Offshore - Adelaide'!F438),ISNUMBER('Offshore - Adelaide'!G438),OR('Offshore - Adelaide'!F438&lt;&gt;0,ISNUMBER(SEARCH("Material 0 terverifikasi",'Offshore - Adelaide'!N438))),OR('Offshore - Adelaide'!G438&lt;&gt;0,ISNUMBER(SEARCH("Enrolment 0 terverifikasi",'Offshore - Adelaide'!N438)))),1,0)</f>
        <v>1</v>
      </c>
      <c r="M1422" s="0" t="n">
        <f aca="false">IF(OR('Offshore - Adelaide'!E438="",ISNUMBER(SEARCH("BSB80120",'Offshore - Adelaide'!B438&amp;'Offshore - Adelaide'!N438)),ISNUMBER(SEARCH("Management (Learning)",'Offshore - Adelaide'!B438))),2,IF(ISNUMBER(SEARCH("CEK:",'Offshore - Adelaide'!N438)),1,0))</f>
        <v>1</v>
      </c>
    </row>
    <row r="1423" customFormat="false" ht="28.35" hidden="false" customHeight="false" outlineLevel="0" collapsed="false">
      <c r="A1423" s="63" t="s">
        <v>3659</v>
      </c>
      <c r="B1423" s="64" t="s">
        <v>4374</v>
      </c>
      <c r="C1423" s="63" t="s">
        <v>43</v>
      </c>
      <c r="D1423" s="64" t="str">
        <f aca="false">TRIM(LEFT('Offshore - Adelaide'!A611,FIND(CHAR(10),'Offshore - Adelaide'!A611&amp;CHAR(10))-1))</f>
        <v>UniSC (University of the Sunshine Coast) - Adelaide</v>
      </c>
      <c r="E1423" s="63" t="str">
        <f aca="false">'Offshore - Adelaide'!C611&amp;""</f>
        <v>3 years</v>
      </c>
      <c r="F1423" s="63" t="str">
        <f aca="false">IF('Offshore - Adelaide'!D611="","Belum tercatat",'Offshore - Adelaide'!D611)</f>
        <v>Term</v>
      </c>
      <c r="G1423" s="65" t="n">
        <f aca="false">IF('Offshore - Adelaide'!E611="","-",'Offshore - Adelaide'!E611)</f>
        <v>5700</v>
      </c>
      <c r="H1423" s="63" t="n">
        <f aca="false">IF(ISNUMBER(K1423),COUNTIFS($J$6:$J$1854,J1423,$K$6:$K$1854,"&lt;"&amp;K1423)+1,"-")</f>
        <v>3</v>
      </c>
      <c r="I1423" s="64" t="str">
        <f aca="false">IF('Offshore - Adelaide'!E611="","Harga belum tersedia - hubungi konsultan TEG",IF(M1423=2,"Saat ini tidak menerima pendaftaran siswa internasional baru",IF(M1423=1,"Harga perlu dikonfirmasi ke sekolah"&amp;IF(""="","","; "&amp;""),"")))</f>
        <v>Harga perlu dikonfirmasi ke sekolah</v>
      </c>
      <c r="J1423" s="0" t="s">
        <v>4383</v>
      </c>
      <c r="K1423" s="0" t="n">
        <f aca="false">IF(M1423=2,"",IF(ISNUMBER(SEARCH("rata-rata:",'Offshore - Adelaide'!N611)),VALUE(MID('Offshore - Adelaide'!N611,SEARCH("rata-rata:",'Offshore - Adelaide'!N611)+11,FIND(";",'Offshore - Adelaide'!N611&amp;";",SEARCH("rata-rata:",'Offshore - Adelaide'!N611))-SEARCH("rata-rata:",'Offshore - Adelaide'!N611)-11)),IF('Offshore - Adelaide'!D611="Semester",'Offshore - Adelaide'!E611*2,IF('Offshore - Adelaide'!D611="Trimester",'Offshore - Adelaide'!E611*3,IF('Offshore - Adelaide'!D611="Term",'Offshore - Adelaide'!E611*4,IF('Offshore - Adelaide'!D611="Unit",'Offshore - Adelaide'!E611*8,""))))))</f>
        <v>22800</v>
      </c>
      <c r="L1423" s="0" t="n">
        <f aca="false">IF(AND(ISNUMBER('Offshore - Adelaide'!E611),ISNUMBER(K1423),ISNUMBER('Offshore - Adelaide'!F611),ISNUMBER('Offshore - Adelaide'!G611),OR('Offshore - Adelaide'!F611&lt;&gt;0,ISNUMBER(SEARCH("Material 0 terverifikasi",'Offshore - Adelaide'!N611))),OR('Offshore - Adelaide'!G611&lt;&gt;0,ISNUMBER(SEARCH("Enrolment 0 terverifikasi",'Offshore - Adelaide'!N611)))),1,0)</f>
        <v>0</v>
      </c>
      <c r="M1423" s="0" t="n">
        <f aca="false">IF(OR('Offshore - Adelaide'!E611="",ISNUMBER(SEARCH("BSB80120",'Offshore - Adelaide'!B611&amp;'Offshore - Adelaide'!N611)),ISNUMBER(SEARCH("Management (Learning)",'Offshore - Adelaide'!B611))),2,IF(ISNUMBER(SEARCH("CEK:",'Offshore - Adelaide'!N611)),1,0))</f>
        <v>1</v>
      </c>
    </row>
    <row r="1424" customFormat="false" ht="15" hidden="false" customHeight="false" outlineLevel="0" collapsed="false">
      <c r="A1424" s="63" t="s">
        <v>3659</v>
      </c>
      <c r="B1424" s="64" t="s">
        <v>4374</v>
      </c>
      <c r="C1424" s="63" t="s">
        <v>43</v>
      </c>
      <c r="D1424" s="64" t="str">
        <f aca="false">TRIM(LEFT('Offshore - Adelaide'!A545,FIND(CHAR(10),'Offshore - Adelaide'!A545&amp;CHAR(10))-1))</f>
        <v>Torrens University Australia</v>
      </c>
      <c r="E1424" s="63" t="str">
        <f aca="false">'Offshore - Adelaide'!C580&amp;""</f>
        <v>3 years</v>
      </c>
      <c r="F1424" s="63" t="str">
        <f aca="false">IF('Offshore - Adelaide'!D580="","Belum tercatat",'Offshore - Adelaide'!D580)</f>
        <v>Term</v>
      </c>
      <c r="G1424" s="65" t="n">
        <f aca="false">IF('Offshore - Adelaide'!E580="","-",'Offshore - Adelaide'!E580)</f>
        <v>7900</v>
      </c>
      <c r="H1424" s="63" t="n">
        <f aca="false">IF(ISNUMBER(K1424),COUNTIFS($J$6:$J$1854,J1424,$K$6:$K$1854,"&lt;"&amp;K1424)+1,"-")</f>
        <v>4</v>
      </c>
      <c r="I1424" s="64" t="str">
        <f aca="false">IF('Offshore - Adelaide'!E580="","Harga belum tersedia - hubungi konsultan TEG",IF(M1424=2,"Saat ini tidak menerima pendaftaran siswa internasional baru",IF(M1424=1,"Harga perlu dikonfirmasi ke sekolah"&amp;IF(""="","","; "&amp;""),"")))</f>
        <v/>
      </c>
      <c r="J1424" s="0" t="s">
        <v>4383</v>
      </c>
      <c r="K1424" s="0" t="n">
        <f aca="false">IF(M1424=2,"",IF(ISNUMBER(SEARCH("rata-rata:",'Offshore - Adelaide'!N580)),VALUE(MID('Offshore - Adelaide'!N580,SEARCH("rata-rata:",'Offshore - Adelaide'!N580)+11,FIND(";",'Offshore - Adelaide'!N580&amp;";",SEARCH("rata-rata:",'Offshore - Adelaide'!N580))-SEARCH("rata-rata:",'Offshore - Adelaide'!N580)-11)),IF('Offshore - Adelaide'!D580="Semester",'Offshore - Adelaide'!E580*2,IF('Offshore - Adelaide'!D580="Trimester",'Offshore - Adelaide'!E580*3,IF('Offshore - Adelaide'!D580="Term",'Offshore - Adelaide'!E580*4,IF('Offshore - Adelaide'!D580="Unit",'Offshore - Adelaide'!E580*8,""))))))</f>
        <v>31600</v>
      </c>
      <c r="L1424" s="0" t="n">
        <f aca="false">IF(AND(ISNUMBER('Offshore - Adelaide'!E580),ISNUMBER(K1424),ISNUMBER('Offshore - Adelaide'!F580),ISNUMBER('Offshore - Adelaide'!G580),OR('Offshore - Adelaide'!F580&lt;&gt;0,ISNUMBER(SEARCH("Material 0 terverifikasi",'Offshore - Adelaide'!N580))),OR('Offshore - Adelaide'!G580&lt;&gt;0,ISNUMBER(SEARCH("Enrolment 0 terverifikasi",'Offshore - Adelaide'!N580)))),1,0)</f>
        <v>0</v>
      </c>
      <c r="M1424" s="0" t="n">
        <f aca="false">IF(OR('Offshore - Adelaide'!E580="",ISNUMBER(SEARCH("BSB80120",'Offshore - Adelaide'!B580&amp;'Offshore - Adelaide'!N580)),ISNUMBER(SEARCH("Management (Learning)",'Offshore - Adelaide'!B580))),2,IF(ISNUMBER(SEARCH("CEK:",'Offshore - Adelaide'!N580)),1,0))</f>
        <v>0</v>
      </c>
    </row>
    <row r="1425" customFormat="false" ht="15" hidden="false" customHeight="false" outlineLevel="0" collapsed="false">
      <c r="A1425" s="63" t="s">
        <v>3659</v>
      </c>
      <c r="B1425" s="64" t="s">
        <v>4374</v>
      </c>
      <c r="C1425" s="63" t="s">
        <v>43</v>
      </c>
      <c r="D1425" s="64" t="str">
        <f aca="false">TRIM(LEFT('Offshore - Adelaide'!A13,FIND(CHAR(10),'Offshore - Adelaide'!A13&amp;CHAR(10))-1))</f>
        <v>Adelaide University</v>
      </c>
      <c r="E1425" s="63" t="str">
        <f aca="false">'Offshore - Adelaide'!C123&amp;""</f>
        <v>3 years</v>
      </c>
      <c r="F1425" s="63" t="str">
        <f aca="false">IF('Offshore - Adelaide'!D123="","Belum tercatat",'Offshore - Adelaide'!D123)</f>
        <v>Term</v>
      </c>
      <c r="G1425" s="65" t="n">
        <f aca="false">IF('Offshore - Adelaide'!E123="","-",'Offshore - Adelaide'!E123)</f>
        <v>10850</v>
      </c>
      <c r="H1425" s="63" t="n">
        <f aca="false">IF(ISNUMBER(K1425),COUNTIFS($J$6:$J$1854,J1425,$K$6:$K$1854,"&lt;"&amp;K1425)+1,"-")</f>
        <v>5</v>
      </c>
      <c r="I1425" s="64" t="str">
        <f aca="false">IF('Offshore - Adelaide'!E123="","Harga belum tersedia - hubungi konsultan TEG",IF(M1425=2,"Saat ini tidak menerima pendaftaran siswa internasional baru",IF(M1425=1,"Harga perlu dikonfirmasi ke sekolah"&amp;IF(""="","","; "&amp;""),"")))</f>
        <v/>
      </c>
      <c r="J1425" s="0" t="s">
        <v>4383</v>
      </c>
      <c r="K1425" s="0" t="n">
        <f aca="false">IF(M1425=2,"",IF(ISNUMBER(SEARCH("rata-rata:",'Offshore - Adelaide'!N123)),VALUE(MID('Offshore - Adelaide'!N123,SEARCH("rata-rata:",'Offshore - Adelaide'!N123)+11,FIND(";",'Offshore - Adelaide'!N123&amp;";",SEARCH("rata-rata:",'Offshore - Adelaide'!N123))-SEARCH("rata-rata:",'Offshore - Adelaide'!N123)-11)),IF('Offshore - Adelaide'!D123="Semester",'Offshore - Adelaide'!E123*2,IF('Offshore - Adelaide'!D123="Trimester",'Offshore - Adelaide'!E123*3,IF('Offshore - Adelaide'!D123="Term",'Offshore - Adelaide'!E123*4,IF('Offshore - Adelaide'!D123="Unit",'Offshore - Adelaide'!E123*8,""))))))</f>
        <v>43400</v>
      </c>
      <c r="L1425" s="0" t="n">
        <f aca="false">IF(AND(ISNUMBER('Offshore - Adelaide'!E123),ISNUMBER(K1425),ISNUMBER('Offshore - Adelaide'!F123),ISNUMBER('Offshore - Adelaide'!G123),OR('Offshore - Adelaide'!F123&lt;&gt;0,ISNUMBER(SEARCH("Material 0 terverifikasi",'Offshore - Adelaide'!N123))),OR('Offshore - Adelaide'!G123&lt;&gt;0,ISNUMBER(SEARCH("Enrolment 0 terverifikasi",'Offshore - Adelaide'!N123)))),1,0)</f>
        <v>0</v>
      </c>
      <c r="M1425" s="0" t="n">
        <f aca="false">IF(OR('Offshore - Adelaide'!E123="",ISNUMBER(SEARCH("BSB80120",'Offshore - Adelaide'!B123&amp;'Offshore - Adelaide'!N123)),ISNUMBER(SEARCH("Management (Learning)",'Offshore - Adelaide'!B123))),2,IF(ISNUMBER(SEARCH("CEK:",'Offshore - Adelaide'!N123)),1,0))</f>
        <v>0</v>
      </c>
    </row>
    <row r="1426" customFormat="false" ht="15" hidden="false" customHeight="false" outlineLevel="0" collapsed="false">
      <c r="A1426" s="61" t="s">
        <v>4384</v>
      </c>
      <c r="B1426" s="62"/>
      <c r="C1426" s="62"/>
      <c r="D1426" s="62"/>
      <c r="E1426" s="62"/>
      <c r="F1426" s="62"/>
      <c r="G1426" s="62"/>
      <c r="H1426" s="62"/>
      <c r="I1426" s="62"/>
    </row>
    <row r="1427" customFormat="false" ht="15" hidden="false" customHeight="false" outlineLevel="0" collapsed="false">
      <c r="A1427" s="63" t="s">
        <v>3659</v>
      </c>
      <c r="B1427" s="64" t="s">
        <v>4374</v>
      </c>
      <c r="C1427" s="63" t="s">
        <v>3707</v>
      </c>
      <c r="D1427" s="64" t="str">
        <f aca="false">TRIM(LEFT('Offshore - Adelaide'!A545,FIND(CHAR(10),'Offshore - Adelaide'!A545&amp;CHAR(10))-1))</f>
        <v>Torrens University Australia</v>
      </c>
      <c r="E1427" s="63" t="str">
        <f aca="false">'Offshore - Adelaide'!C562&amp;""</f>
        <v>1 year</v>
      </c>
      <c r="F1427" s="63" t="str">
        <f aca="false">IF('Offshore - Adelaide'!D562="","Belum tercatat",'Offshore - Adelaide'!D562)</f>
        <v>Term</v>
      </c>
      <c r="G1427" s="65" t="n">
        <f aca="false">IF('Offshore - Adelaide'!E562="","-",'Offshore - Adelaide'!E562)</f>
        <v>4500</v>
      </c>
      <c r="H1427" s="63" t="n">
        <f aca="false">IF(ISNUMBER(K1427),COUNTIFS($J$6:$J$1854,J1427,$K$6:$K$1854,"&lt;"&amp;K1427)+1,"-")</f>
        <v>1</v>
      </c>
      <c r="I1427" s="64" t="str">
        <f aca="false">IF('Offshore - Adelaide'!E562="","Harga belum tersedia - hubungi konsultan TEG",IF(M1427=2,"Saat ini tidak menerima pendaftaran siswa internasional baru",IF(M1427=1,"Harga perlu dikonfirmasi ke sekolah"&amp;IF(""="","","; "&amp;""),"")))</f>
        <v/>
      </c>
      <c r="J1427" s="0" t="s">
        <v>4385</v>
      </c>
      <c r="K1427" s="0" t="n">
        <f aca="false">IF(M1427=2,"",IF(ISNUMBER(SEARCH("rata-rata:",'Offshore - Adelaide'!N562)),VALUE(MID('Offshore - Adelaide'!N562,SEARCH("rata-rata:",'Offshore - Adelaide'!N562)+11,FIND(";",'Offshore - Adelaide'!N562&amp;";",SEARCH("rata-rata:",'Offshore - Adelaide'!N562))-SEARCH("rata-rata:",'Offshore - Adelaide'!N562)-11)),IF('Offshore - Adelaide'!D562="Semester",'Offshore - Adelaide'!E562*2,IF('Offshore - Adelaide'!D562="Trimester",'Offshore - Adelaide'!E562*3,IF('Offshore - Adelaide'!D562="Term",'Offshore - Adelaide'!E562*4,IF('Offshore - Adelaide'!D562="Unit",'Offshore - Adelaide'!E562*8,""))))))</f>
        <v>18000</v>
      </c>
      <c r="L1427" s="0" t="n">
        <f aca="false">IF(AND(ISNUMBER('Offshore - Adelaide'!E562),ISNUMBER(K1427),ISNUMBER('Offshore - Adelaide'!F562),ISNUMBER('Offshore - Adelaide'!G562),OR('Offshore - Adelaide'!F562&lt;&gt;0,ISNUMBER(SEARCH("Material 0 terverifikasi",'Offshore - Adelaide'!N562))),OR('Offshore - Adelaide'!G562&lt;&gt;0,ISNUMBER(SEARCH("Enrolment 0 terverifikasi",'Offshore - Adelaide'!N562)))),1,0)</f>
        <v>0</v>
      </c>
      <c r="M1427" s="0" t="n">
        <f aca="false">IF(OR('Offshore - Adelaide'!E562="",ISNUMBER(SEARCH("BSB80120",'Offshore - Adelaide'!B562&amp;'Offshore - Adelaide'!N562)),ISNUMBER(SEARCH("Management (Learning)",'Offshore - Adelaide'!B562))),2,IF(ISNUMBER(SEARCH("CEK:",'Offshore - Adelaide'!N562)),1,0))</f>
        <v>0</v>
      </c>
    </row>
    <row r="1428" customFormat="false" ht="15" hidden="false" customHeight="false" outlineLevel="0" collapsed="false">
      <c r="A1428" s="63" t="s">
        <v>3659</v>
      </c>
      <c r="B1428" s="64" t="s">
        <v>4374</v>
      </c>
      <c r="C1428" s="63" t="s">
        <v>3707</v>
      </c>
      <c r="D1428" s="64" t="str">
        <f aca="false">TRIM(LEFT('Offshore - Adelaide'!A441,FIND(CHAR(10),'Offshore - Adelaide'!A441&amp;CHAR(10))-1))</f>
        <v>Kaplan Business School</v>
      </c>
      <c r="E1428" s="63" t="str">
        <f aca="false">'Offshore - Adelaide'!C452&amp;""</f>
        <v>0,5 year</v>
      </c>
      <c r="F1428" s="63" t="str">
        <f aca="false">IF('Offshore - Adelaide'!D452="","Belum tercatat",'Offshore - Adelaide'!D452)</f>
        <v>Trimester</v>
      </c>
      <c r="G1428" s="65" t="n">
        <f aca="false">IF('Offshore - Adelaide'!E452="","-",'Offshore - Adelaide'!E452)</f>
        <v>14560</v>
      </c>
      <c r="H1428" s="63" t="n">
        <f aca="false">IF(ISNUMBER(K1428),COUNTIFS($J$6:$J$1854,J1428,$K$6:$K$1854,"&lt;"&amp;K1428)+1,"-")</f>
        <v>2</v>
      </c>
      <c r="I1428" s="64" t="str">
        <f aca="false">IF('Offshore - Adelaide'!E452="","Harga belum tersedia - hubungi konsultan TEG",IF(M1428=2,"Saat ini tidak menerima pendaftaran siswa internasional baru",IF(M1428=1,"Harga perlu dikonfirmasi ke sekolah"&amp;IF(""="","","; "&amp;""),"")))</f>
        <v>Harga perlu dikonfirmasi ke sekolah</v>
      </c>
      <c r="J1428" s="0" t="s">
        <v>4385</v>
      </c>
      <c r="K1428" s="0" t="n">
        <f aca="false">IF(M1428=2,"",IF(ISNUMBER(SEARCH("rata-rata:",'Offshore - Adelaide'!N452)),VALUE(MID('Offshore - Adelaide'!N452,SEARCH("rata-rata:",'Offshore - Adelaide'!N452)+11,FIND(";",'Offshore - Adelaide'!N452&amp;";",SEARCH("rata-rata:",'Offshore - Adelaide'!N452))-SEARCH("rata-rata:",'Offshore - Adelaide'!N452)-11)),IF('Offshore - Adelaide'!D452="Semester",'Offshore - Adelaide'!E452*2,IF('Offshore - Adelaide'!D452="Trimester",'Offshore - Adelaide'!E452*3,IF('Offshore - Adelaide'!D452="Term",'Offshore - Adelaide'!E452*4,IF('Offshore - Adelaide'!D452="Unit",'Offshore - Adelaide'!E452*8,""))))))</f>
        <v>43680</v>
      </c>
      <c r="L1428" s="0" t="n">
        <f aca="false">IF(AND(ISNUMBER('Offshore - Adelaide'!E452),ISNUMBER(K1428),ISNUMBER('Offshore - Adelaide'!F452),ISNUMBER('Offshore - Adelaide'!G452),OR('Offshore - Adelaide'!F452&lt;&gt;0,ISNUMBER(SEARCH("Material 0 terverifikasi",'Offshore - Adelaide'!N452))),OR('Offshore - Adelaide'!G452&lt;&gt;0,ISNUMBER(SEARCH("Enrolment 0 terverifikasi",'Offshore - Adelaide'!N452)))),1,0)</f>
        <v>1</v>
      </c>
      <c r="M1428" s="0" t="n">
        <f aca="false">IF(OR('Offshore - Adelaide'!E452="",ISNUMBER(SEARCH("BSB80120",'Offshore - Adelaide'!B452&amp;'Offshore - Adelaide'!N452)),ISNUMBER(SEARCH("Management (Learning)",'Offshore - Adelaide'!B452))),2,IF(ISNUMBER(SEARCH("CEK:",'Offshore - Adelaide'!N452)),1,0))</f>
        <v>1</v>
      </c>
    </row>
    <row r="1429" customFormat="false" ht="15" hidden="false" customHeight="false" outlineLevel="0" collapsed="false">
      <c r="A1429" s="61" t="s">
        <v>4386</v>
      </c>
      <c r="B1429" s="62"/>
      <c r="C1429" s="62"/>
      <c r="D1429" s="62"/>
      <c r="E1429" s="62"/>
      <c r="F1429" s="62"/>
      <c r="G1429" s="62"/>
      <c r="H1429" s="62"/>
      <c r="I1429" s="62"/>
    </row>
    <row r="1430" customFormat="false" ht="28.35" hidden="false" customHeight="false" outlineLevel="0" collapsed="false">
      <c r="A1430" s="63" t="s">
        <v>3659</v>
      </c>
      <c r="B1430" s="64" t="s">
        <v>4374</v>
      </c>
      <c r="C1430" s="63" t="s">
        <v>46</v>
      </c>
      <c r="D1430" s="64" t="str">
        <f aca="false">TRIM(LEFT('Offshore - Adelaide'!A416,FIND(CHAR(10),'Offshore - Adelaide'!A416&amp;CHAR(10))-1))</f>
        <v>Australian Institute of Advanced Technologies (AIAT)</v>
      </c>
      <c r="E1430" s="63" t="str">
        <f aca="false">'Offshore - Adelaide'!C417&amp;""</f>
        <v>2 years</v>
      </c>
      <c r="F1430" s="63" t="str">
        <f aca="false">IF('Offshore - Adelaide'!D417="","Belum tercatat",'Offshore - Adelaide'!D417)</f>
        <v>Term</v>
      </c>
      <c r="G1430" s="65" t="n">
        <f aca="false">IF('Offshore - Adelaide'!E417="","-",'Offshore - Adelaide'!E417)</f>
        <v>3862.5</v>
      </c>
      <c r="H1430" s="63" t="n">
        <f aca="false">IF(ISNUMBER(K1430),COUNTIFS($J$6:$J$1854,J1430,$K$6:$K$1854,"&lt;"&amp;K1430)+1,"-")</f>
        <v>1</v>
      </c>
      <c r="I1430" s="64" t="str">
        <f aca="false">IF('Offshore - Adelaide'!E417="","Harga belum tersedia - hubungi konsultan TEG",IF(M1430=2,"Saat ini tidak menerima pendaftaran siswa internasional baru",IF(M1430=1,"Harga perlu dikonfirmasi ke sekolah"&amp;IF(""="","","; "&amp;""),"")))</f>
        <v/>
      </c>
      <c r="J1430" s="0" t="s">
        <v>4387</v>
      </c>
      <c r="K1430" s="0" t="n">
        <f aca="false">IF(M1430=2,"",IF(ISNUMBER(SEARCH("rata-rata:",'Offshore - Adelaide'!N417)),VALUE(MID('Offshore - Adelaide'!N417,SEARCH("rata-rata:",'Offshore - Adelaide'!N417)+11,FIND(";",'Offshore - Adelaide'!N417&amp;";",SEARCH("rata-rata:",'Offshore - Adelaide'!N417))-SEARCH("rata-rata:",'Offshore - Adelaide'!N417)-11)),IF('Offshore - Adelaide'!D417="Semester",'Offshore - Adelaide'!E417*2,IF('Offshore - Adelaide'!D417="Trimester",'Offshore - Adelaide'!E417*3,IF('Offshore - Adelaide'!D417="Term",'Offshore - Adelaide'!E417*4,IF('Offshore - Adelaide'!D417="Unit",'Offshore - Adelaide'!E417*8,""))))))</f>
        <v>15450</v>
      </c>
      <c r="L1430" s="0" t="n">
        <f aca="false">IF(AND(ISNUMBER('Offshore - Adelaide'!E417),ISNUMBER(K1430),ISNUMBER('Offshore - Adelaide'!F417),ISNUMBER('Offshore - Adelaide'!G417),OR('Offshore - Adelaide'!F417&lt;&gt;0,ISNUMBER(SEARCH("Material 0 terverifikasi",'Offshore - Adelaide'!N417))),OR('Offshore - Adelaide'!G417&lt;&gt;0,ISNUMBER(SEARCH("Enrolment 0 terverifikasi",'Offshore - Adelaide'!N417)))),1,0)</f>
        <v>0</v>
      </c>
      <c r="M1430" s="0" t="n">
        <f aca="false">IF(OR('Offshore - Adelaide'!E417="",ISNUMBER(SEARCH("BSB80120",'Offshore - Adelaide'!B417&amp;'Offshore - Adelaide'!N417)),ISNUMBER(SEARCH("Management (Learning)",'Offshore - Adelaide'!B417))),2,IF(ISNUMBER(SEARCH("CEK:",'Offshore - Adelaide'!N417)),1,0))</f>
        <v>0</v>
      </c>
    </row>
    <row r="1431" customFormat="false" ht="28.35" hidden="false" customHeight="false" outlineLevel="0" collapsed="false">
      <c r="A1431" s="63" t="s">
        <v>3659</v>
      </c>
      <c r="B1431" s="64" t="s">
        <v>4374</v>
      </c>
      <c r="C1431" s="63" t="s">
        <v>46</v>
      </c>
      <c r="D1431" s="64" t="str">
        <f aca="false">TRIM(LEFT('Offshore - Adelaide'!A611,FIND(CHAR(10),'Offshore - Adelaide'!A611&amp;CHAR(10))-1))</f>
        <v>UniSC (University of the Sunshine Coast) - Adelaide</v>
      </c>
      <c r="E1431" s="63" t="str">
        <f aca="false">'Offshore - Adelaide'!C613&amp;""</f>
        <v>2 years</v>
      </c>
      <c r="F1431" s="63" t="str">
        <f aca="false">IF('Offshore - Adelaide'!D613="","Belum tercatat",'Offshore - Adelaide'!D613)</f>
        <v>Term</v>
      </c>
      <c r="G1431" s="65" t="n">
        <f aca="false">IF('Offshore - Adelaide'!E613="","-",'Offshore - Adelaide'!E613)</f>
        <v>6300</v>
      </c>
      <c r="H1431" s="63" t="n">
        <f aca="false">IF(ISNUMBER(K1431),COUNTIFS($J$6:$J$1854,J1431,$K$6:$K$1854,"&lt;"&amp;K1431)+1,"-")</f>
        <v>2</v>
      </c>
      <c r="I1431" s="64" t="str">
        <f aca="false">IF('Offshore - Adelaide'!E613="","Harga belum tersedia - hubungi konsultan TEG",IF(M1431=2,"Saat ini tidak menerima pendaftaran siswa internasional baru",IF(M1431=1,"Harga perlu dikonfirmasi ke sekolah"&amp;IF(""="","","; "&amp;""),"")))</f>
        <v>Harga perlu dikonfirmasi ke sekolah</v>
      </c>
      <c r="J1431" s="0" t="s">
        <v>4387</v>
      </c>
      <c r="K1431" s="0" t="n">
        <f aca="false">IF(M1431=2,"",IF(ISNUMBER(SEARCH("rata-rata:",'Offshore - Adelaide'!N613)),VALUE(MID('Offshore - Adelaide'!N613,SEARCH("rata-rata:",'Offshore - Adelaide'!N613)+11,FIND(";",'Offshore - Adelaide'!N613&amp;";",SEARCH("rata-rata:",'Offshore - Adelaide'!N613))-SEARCH("rata-rata:",'Offshore - Adelaide'!N613)-11)),IF('Offshore - Adelaide'!D613="Semester",'Offshore - Adelaide'!E613*2,IF('Offshore - Adelaide'!D613="Trimester",'Offshore - Adelaide'!E613*3,IF('Offshore - Adelaide'!D613="Term",'Offshore - Adelaide'!E613*4,IF('Offshore - Adelaide'!D613="Unit",'Offshore - Adelaide'!E613*8,""))))))</f>
        <v>25200</v>
      </c>
      <c r="L1431" s="0" t="n">
        <f aca="false">IF(AND(ISNUMBER('Offshore - Adelaide'!E613),ISNUMBER(K1431),ISNUMBER('Offshore - Adelaide'!F613),ISNUMBER('Offshore - Adelaide'!G613),OR('Offshore - Adelaide'!F613&lt;&gt;0,ISNUMBER(SEARCH("Material 0 terverifikasi",'Offshore - Adelaide'!N613))),OR('Offshore - Adelaide'!G613&lt;&gt;0,ISNUMBER(SEARCH("Enrolment 0 terverifikasi",'Offshore - Adelaide'!N613)))),1,0)</f>
        <v>0</v>
      </c>
      <c r="M1431" s="0" t="n">
        <f aca="false">IF(OR('Offshore - Adelaide'!E613="",ISNUMBER(SEARCH("BSB80120",'Offshore - Adelaide'!B613&amp;'Offshore - Adelaide'!N613)),ISNUMBER(SEARCH("Management (Learning)",'Offshore - Adelaide'!B613))),2,IF(ISNUMBER(SEARCH("CEK:",'Offshore - Adelaide'!N613)),1,0))</f>
        <v>1</v>
      </c>
    </row>
    <row r="1432" customFormat="false" ht="15" hidden="false" customHeight="false" outlineLevel="0" collapsed="false">
      <c r="A1432" s="63" t="s">
        <v>3659</v>
      </c>
      <c r="B1432" s="64" t="s">
        <v>4374</v>
      </c>
      <c r="C1432" s="63" t="s">
        <v>46</v>
      </c>
      <c r="D1432" s="64" t="str">
        <f aca="false">TRIM(LEFT('Offshore - Adelaide'!A545,FIND(CHAR(10),'Offshore - Adelaide'!A545&amp;CHAR(10))-1))</f>
        <v>Torrens University Australia</v>
      </c>
      <c r="E1432" s="63" t="str">
        <f aca="false">'Offshore - Adelaide'!C560&amp;""</f>
        <v>1,5 years</v>
      </c>
      <c r="F1432" s="63" t="str">
        <f aca="false">IF('Offshore - Adelaide'!D560="","Belum tercatat",'Offshore - Adelaide'!D560)</f>
        <v>Term</v>
      </c>
      <c r="G1432" s="65" t="n">
        <f aca="false">IF('Offshore - Adelaide'!E560="","-",'Offshore - Adelaide'!E560)</f>
        <v>9000</v>
      </c>
      <c r="H1432" s="63" t="n">
        <f aca="false">IF(ISNUMBER(K1432),COUNTIFS($J$6:$J$1854,J1432,$K$6:$K$1854,"&lt;"&amp;K1432)+1,"-")</f>
        <v>3</v>
      </c>
      <c r="I1432" s="64" t="str">
        <f aca="false">IF('Offshore - Adelaide'!E560="","Harga belum tersedia - hubungi konsultan TEG",IF(M1432=2,"Saat ini tidak menerima pendaftaran siswa internasional baru",IF(M1432=1,"Harga perlu dikonfirmasi ke sekolah"&amp;IF(""="","","; "&amp;""),"")))</f>
        <v/>
      </c>
      <c r="J1432" s="0" t="s">
        <v>4387</v>
      </c>
      <c r="K1432" s="0" t="n">
        <f aca="false">IF(M1432=2,"",IF(ISNUMBER(SEARCH("rata-rata:",'Offshore - Adelaide'!N560)),VALUE(MID('Offshore - Adelaide'!N560,SEARCH("rata-rata:",'Offshore - Adelaide'!N560)+11,FIND(";",'Offshore - Adelaide'!N560&amp;";",SEARCH("rata-rata:",'Offshore - Adelaide'!N560))-SEARCH("rata-rata:",'Offshore - Adelaide'!N560)-11)),IF('Offshore - Adelaide'!D560="Semester",'Offshore - Adelaide'!E560*2,IF('Offshore - Adelaide'!D560="Trimester",'Offshore - Adelaide'!E560*3,IF('Offshore - Adelaide'!D560="Term",'Offshore - Adelaide'!E560*4,IF('Offshore - Adelaide'!D560="Unit",'Offshore - Adelaide'!E560*8,""))))))</f>
        <v>36000</v>
      </c>
      <c r="L1432" s="0" t="n">
        <f aca="false">IF(AND(ISNUMBER('Offshore - Adelaide'!E560),ISNUMBER(K1432),ISNUMBER('Offshore - Adelaide'!F560),ISNUMBER('Offshore - Adelaide'!G560),OR('Offshore - Adelaide'!F560&lt;&gt;0,ISNUMBER(SEARCH("Material 0 terverifikasi",'Offshore - Adelaide'!N560))),OR('Offshore - Adelaide'!G560&lt;&gt;0,ISNUMBER(SEARCH("Enrolment 0 terverifikasi",'Offshore - Adelaide'!N560)))),1,0)</f>
        <v>0</v>
      </c>
      <c r="M1432" s="0" t="n">
        <f aca="false">IF(OR('Offshore - Adelaide'!E560="",ISNUMBER(SEARCH("BSB80120",'Offshore - Adelaide'!B560&amp;'Offshore - Adelaide'!N560)),ISNUMBER(SEARCH("Management (Learning)",'Offshore - Adelaide'!B560))),2,IF(ISNUMBER(SEARCH("CEK:",'Offshore - Adelaide'!N560)),1,0))</f>
        <v>0</v>
      </c>
    </row>
    <row r="1433" customFormat="false" ht="15" hidden="false" customHeight="false" outlineLevel="0" collapsed="false">
      <c r="A1433" s="63" t="s">
        <v>3659</v>
      </c>
      <c r="B1433" s="64" t="s">
        <v>4374</v>
      </c>
      <c r="C1433" s="63" t="s">
        <v>46</v>
      </c>
      <c r="D1433" s="64" t="str">
        <f aca="false">TRIM(LEFT('Offshore - Adelaide'!A441,FIND(CHAR(10),'Offshore - Adelaide'!A441&amp;CHAR(10))-1))</f>
        <v>Kaplan Business School</v>
      </c>
      <c r="E1433" s="63" t="str">
        <f aca="false">'Offshore - Adelaide'!C449&amp;""</f>
        <v>1,5 years</v>
      </c>
      <c r="F1433" s="63" t="str">
        <f aca="false">IF('Offshore - Adelaide'!D449="","Belum tercatat",'Offshore - Adelaide'!D449)</f>
        <v>Trimester</v>
      </c>
      <c r="G1433" s="65" t="n">
        <f aca="false">IF('Offshore - Adelaide'!E449="","-",'Offshore - Adelaide'!E449)</f>
        <v>13600</v>
      </c>
      <c r="H1433" s="63" t="n">
        <f aca="false">IF(ISNUMBER(K1433),COUNTIFS($J$6:$J$1854,J1433,$K$6:$K$1854,"&lt;"&amp;K1433)+1,"-")</f>
        <v>4</v>
      </c>
      <c r="I1433" s="64" t="str">
        <f aca="false">IF('Offshore - Adelaide'!E449="","Harga belum tersedia - hubungi konsultan TEG",IF(M1433=2,"Saat ini tidak menerima pendaftaran siswa internasional baru",IF(M1433=1,"Harga perlu dikonfirmasi ke sekolah"&amp;IF(""="","","; "&amp;""),"")))</f>
        <v>Harga perlu dikonfirmasi ke sekolah</v>
      </c>
      <c r="J1433" s="0" t="s">
        <v>4387</v>
      </c>
      <c r="K1433" s="0" t="n">
        <f aca="false">IF(M1433=2,"",IF(ISNUMBER(SEARCH("rata-rata:",'Offshore - Adelaide'!N449)),VALUE(MID('Offshore - Adelaide'!N449,SEARCH("rata-rata:",'Offshore - Adelaide'!N449)+11,FIND(";",'Offshore - Adelaide'!N449&amp;";",SEARCH("rata-rata:",'Offshore - Adelaide'!N449))-SEARCH("rata-rata:",'Offshore - Adelaide'!N449)-11)),IF('Offshore - Adelaide'!D449="Semester",'Offshore - Adelaide'!E449*2,IF('Offshore - Adelaide'!D449="Trimester",'Offshore - Adelaide'!E449*3,IF('Offshore - Adelaide'!D449="Term",'Offshore - Adelaide'!E449*4,IF('Offshore - Adelaide'!D449="Unit",'Offshore - Adelaide'!E449*8,""))))))</f>
        <v>40800</v>
      </c>
      <c r="L1433" s="0" t="n">
        <f aca="false">IF(AND(ISNUMBER('Offshore - Adelaide'!E449),ISNUMBER(K1433),ISNUMBER('Offshore - Adelaide'!F449),ISNUMBER('Offshore - Adelaide'!G449),OR('Offshore - Adelaide'!F449&lt;&gt;0,ISNUMBER(SEARCH("Material 0 terverifikasi",'Offshore - Adelaide'!N449))),OR('Offshore - Adelaide'!G449&lt;&gt;0,ISNUMBER(SEARCH("Enrolment 0 terverifikasi",'Offshore - Adelaide'!N449)))),1,0)</f>
        <v>1</v>
      </c>
      <c r="M1433" s="0" t="n">
        <f aca="false">IF(OR('Offshore - Adelaide'!E449="",ISNUMBER(SEARCH("BSB80120",'Offshore - Adelaide'!B449&amp;'Offshore - Adelaide'!N449)),ISNUMBER(SEARCH("Management (Learning)",'Offshore - Adelaide'!B449))),2,IF(ISNUMBER(SEARCH("CEK:",'Offshore - Adelaide'!N449)),1,0))</f>
        <v>1</v>
      </c>
    </row>
    <row r="1434" customFormat="false" ht="15" hidden="false" customHeight="false" outlineLevel="0" collapsed="false">
      <c r="A1434" s="63" t="s">
        <v>3659</v>
      </c>
      <c r="B1434" s="64" t="s">
        <v>4374</v>
      </c>
      <c r="C1434" s="63" t="s">
        <v>46</v>
      </c>
      <c r="D1434" s="64" t="str">
        <f aca="false">TRIM(LEFT('Offshore - Adelaide'!A13,FIND(CHAR(10),'Offshore - Adelaide'!A13&amp;CHAR(10))-1))</f>
        <v>Adelaide University</v>
      </c>
      <c r="E1434" s="63" t="str">
        <f aca="false">'Offshore - Adelaide'!C308&amp;""</f>
        <v>2 years</v>
      </c>
      <c r="F1434" s="63" t="str">
        <f aca="false">IF('Offshore - Adelaide'!D308="","Belum tercatat",'Offshore - Adelaide'!D308)</f>
        <v>Term</v>
      </c>
      <c r="G1434" s="65" t="n">
        <f aca="false">IF('Offshore - Adelaide'!E308="","-",'Offshore - Adelaide'!E308)</f>
        <v>12425</v>
      </c>
      <c r="H1434" s="63" t="n">
        <f aca="false">IF(ISNUMBER(K1434),COUNTIFS($J$6:$J$1854,J1434,$K$6:$K$1854,"&lt;"&amp;K1434)+1,"-")</f>
        <v>5</v>
      </c>
      <c r="I1434" s="64" t="str">
        <f aca="false">IF('Offshore - Adelaide'!E308="","Harga belum tersedia - hubungi konsultan TEG",IF(M1434=2,"Saat ini tidak menerima pendaftaran siswa internasional baru",IF(M1434=1,"Harga perlu dikonfirmasi ke sekolah"&amp;IF(""="","","; "&amp;""),"")))</f>
        <v/>
      </c>
      <c r="J1434" s="0" t="s">
        <v>4387</v>
      </c>
      <c r="K1434" s="0" t="n">
        <f aca="false">IF(M1434=2,"",IF(ISNUMBER(SEARCH("rata-rata:",'Offshore - Adelaide'!N308)),VALUE(MID('Offshore - Adelaide'!N308,SEARCH("rata-rata:",'Offshore - Adelaide'!N308)+11,FIND(";",'Offshore - Adelaide'!N308&amp;";",SEARCH("rata-rata:",'Offshore - Adelaide'!N308))-SEARCH("rata-rata:",'Offshore - Adelaide'!N308)-11)),IF('Offshore - Adelaide'!D308="Semester",'Offshore - Adelaide'!E308*2,IF('Offshore - Adelaide'!D308="Trimester",'Offshore - Adelaide'!E308*3,IF('Offshore - Adelaide'!D308="Term",'Offshore - Adelaide'!E308*4,IF('Offshore - Adelaide'!D308="Unit",'Offshore - Adelaide'!E308*8,""))))))</f>
        <v>49700</v>
      </c>
      <c r="L1434" s="0" t="n">
        <f aca="false">IF(AND(ISNUMBER('Offshore - Adelaide'!E308),ISNUMBER(K1434),ISNUMBER('Offshore - Adelaide'!F308),ISNUMBER('Offshore - Adelaide'!G308),OR('Offshore - Adelaide'!F308&lt;&gt;0,ISNUMBER(SEARCH("Material 0 terverifikasi",'Offshore - Adelaide'!N308))),OR('Offshore - Adelaide'!G308&lt;&gt;0,ISNUMBER(SEARCH("Enrolment 0 terverifikasi",'Offshore - Adelaide'!N308)))),1,0)</f>
        <v>0</v>
      </c>
      <c r="M1434" s="0" t="n">
        <f aca="false">IF(OR('Offshore - Adelaide'!E308="",ISNUMBER(SEARCH("BSB80120",'Offshore - Adelaide'!B308&amp;'Offshore - Adelaide'!N308)),ISNUMBER(SEARCH("Management (Learning)",'Offshore - Adelaide'!B308))),2,IF(ISNUMBER(SEARCH("CEK:",'Offshore - Adelaide'!N308)),1,0))</f>
        <v>0</v>
      </c>
    </row>
    <row r="1435" customFormat="false" ht="15" hidden="false" customHeight="false" outlineLevel="0" collapsed="false">
      <c r="A1435" s="61" t="s">
        <v>4388</v>
      </c>
      <c r="B1435" s="62"/>
      <c r="C1435" s="62"/>
      <c r="D1435" s="62"/>
      <c r="E1435" s="62"/>
      <c r="F1435" s="62"/>
      <c r="G1435" s="62"/>
      <c r="H1435" s="62"/>
      <c r="I1435" s="62"/>
    </row>
    <row r="1436" customFormat="false" ht="15" hidden="false" customHeight="false" outlineLevel="0" collapsed="false">
      <c r="A1436" s="63" t="s">
        <v>3563</v>
      </c>
      <c r="B1436" s="64" t="s">
        <v>4374</v>
      </c>
      <c r="C1436" s="63" t="s">
        <v>41</v>
      </c>
      <c r="D1436" s="64" t="str">
        <f aca="false">TRIM(LEFT('Offshore - Brisbane'!A205,FIND(CHAR(10),'Offshore - Brisbane'!A205&amp;CHAR(10))-1))</f>
        <v>Greenwich College</v>
      </c>
      <c r="E1436" s="63" t="str">
        <f aca="false">'Offshore - Brisbane'!C213&amp;""</f>
        <v>1 years</v>
      </c>
      <c r="F1436" s="63" t="str">
        <f aca="false">IF('Offshore - Brisbane'!D213="","Belum tercatat",'Offshore - Brisbane'!D213)</f>
        <v>Term</v>
      </c>
      <c r="G1436" s="65" t="n">
        <f aca="false">IF('Offshore - Brisbane'!E213="","-",'Offshore - Brisbane'!E213)</f>
        <v>1250</v>
      </c>
      <c r="H1436" s="63" t="n">
        <f aca="false">IF(ISNUMBER(K1436),COUNTIFS($J$6:$J$1854,J1436,$K$6:$K$1854,"&lt;"&amp;K1436)+1,"-")</f>
        <v>1</v>
      </c>
      <c r="I1436" s="64" t="str">
        <f aca="false">IF('Offshore - Brisbane'!E213="","Harga belum tersedia - hubungi konsultan TEG",IF(M1436=2,"Saat ini tidak menerima pendaftaran siswa internasional baru",IF(M1436=1,"Harga perlu dikonfirmasi ke sekolah"&amp;IF(""="","","; "&amp;""),"")))</f>
        <v/>
      </c>
      <c r="J1436" s="0" t="s">
        <v>4389</v>
      </c>
      <c r="K1436" s="0" t="n">
        <f aca="false">IF(M1436=2,"",IF(ISNUMBER(SEARCH("rata-rata:",'Offshore - Brisbane'!N213)),VALUE(MID('Offshore - Brisbane'!N213,SEARCH("rata-rata:",'Offshore - Brisbane'!N213)+11,FIND(";",'Offshore - Brisbane'!N213&amp;";",SEARCH("rata-rata:",'Offshore - Brisbane'!N213))-SEARCH("rata-rata:",'Offshore - Brisbane'!N213)-11)),IF('Offshore - Brisbane'!D213="Semester",'Offshore - Brisbane'!E213*2,IF('Offshore - Brisbane'!D213="Trimester",'Offshore - Brisbane'!E213*3,IF('Offshore - Brisbane'!D213="Term",'Offshore - Brisbane'!E213*4,IF('Offshore - Brisbane'!D213="Unit",'Offshore - Brisbane'!E213*8,""))))))</f>
        <v>5000</v>
      </c>
      <c r="L1436" s="0" t="n">
        <f aca="false">IF(AND(ISNUMBER('Offshore - Brisbane'!E213),ISNUMBER(K1436),ISNUMBER('Offshore - Brisbane'!F213),ISNUMBER('Offshore - Brisbane'!G213),OR('Offshore - Brisbane'!F213&lt;&gt;0,ISNUMBER(SEARCH("Material 0 terverifikasi",'Offshore - Brisbane'!N213))),OR('Offshore - Brisbane'!G213&lt;&gt;0,ISNUMBER(SEARCH("Enrolment 0 terverifikasi",'Offshore - Brisbane'!N213)))),1,0)</f>
        <v>1</v>
      </c>
      <c r="M1436" s="0" t="n">
        <f aca="false">IF(OR('Offshore - Brisbane'!E213="",ISNUMBER(SEARCH("BSB80120",'Offshore - Brisbane'!B213&amp;'Offshore - Brisbane'!N213)),ISNUMBER(SEARCH("Management (Learning)",'Offshore - Brisbane'!B213))),2,IF(ISNUMBER(SEARCH("CEK:",'Offshore - Brisbane'!N213)),1,0))</f>
        <v>0</v>
      </c>
    </row>
    <row r="1437" customFormat="false" ht="15" hidden="false" customHeight="false" outlineLevel="0" collapsed="false">
      <c r="A1437" s="63" t="s">
        <v>3563</v>
      </c>
      <c r="B1437" s="64" t="s">
        <v>4374</v>
      </c>
      <c r="C1437" s="63" t="s">
        <v>41</v>
      </c>
      <c r="D1437" s="64" t="str">
        <f aca="false">TRIM(LEFT('Offshore - Brisbane'!A291,FIND(CHAR(10),'Offshore - Brisbane'!A291&amp;CHAR(10))-1))</f>
        <v>Shafston International College</v>
      </c>
      <c r="E1437" s="63" t="str">
        <f aca="false">'Offshore - Brisbane'!C294&amp;""</f>
        <v>2 years</v>
      </c>
      <c r="F1437" s="63" t="str">
        <f aca="false">IF('Offshore - Brisbane'!D294="","Belum tercatat",'Offshore - Brisbane'!D294)</f>
        <v>Term</v>
      </c>
      <c r="G1437" s="65" t="n">
        <f aca="false">IF('Offshore - Brisbane'!E294="","-",'Offshore - Brisbane'!E294)</f>
        <v>1700</v>
      </c>
      <c r="H1437" s="63" t="n">
        <f aca="false">IF(ISNUMBER(K1437),COUNTIFS($J$6:$J$1854,J1437,$K$6:$K$1854,"&lt;"&amp;K1437)+1,"-")</f>
        <v>2</v>
      </c>
      <c r="I1437" s="64" t="str">
        <f aca="false">IF('Offshore - Brisbane'!E294="","Harga belum tersedia - hubungi konsultan TEG",IF(M1437=2,"Saat ini tidak menerima pendaftaran siswa internasional baru",IF(M1437=1,"Harga perlu dikonfirmasi ke sekolah"&amp;IF(""="","","; "&amp;""),"")))</f>
        <v/>
      </c>
      <c r="J1437" s="0" t="s">
        <v>4389</v>
      </c>
      <c r="K1437" s="0" t="n">
        <f aca="false">IF(M1437=2,"",IF(ISNUMBER(SEARCH("rata-rata:",'Offshore - Brisbane'!N294)),VALUE(MID('Offshore - Brisbane'!N294,SEARCH("rata-rata:",'Offshore - Brisbane'!N294)+11,FIND(";",'Offshore - Brisbane'!N294&amp;";",SEARCH("rata-rata:",'Offshore - Brisbane'!N294))-SEARCH("rata-rata:",'Offshore - Brisbane'!N294)-11)),IF('Offshore - Brisbane'!D294="Semester",'Offshore - Brisbane'!E294*2,IF('Offshore - Brisbane'!D294="Trimester",'Offshore - Brisbane'!E294*3,IF('Offshore - Brisbane'!D294="Term",'Offshore - Brisbane'!E294*4,IF('Offshore - Brisbane'!D294="Unit",'Offshore - Brisbane'!E294*8,""))))))</f>
        <v>6800</v>
      </c>
      <c r="L1437" s="0" t="n">
        <f aca="false">IF(AND(ISNUMBER('Offshore - Brisbane'!E294),ISNUMBER(K1437),ISNUMBER('Offshore - Brisbane'!F294),ISNUMBER('Offshore - Brisbane'!G294),OR('Offshore - Brisbane'!F294&lt;&gt;0,ISNUMBER(SEARCH("Material 0 terverifikasi",'Offshore - Brisbane'!N294))),OR('Offshore - Brisbane'!G294&lt;&gt;0,ISNUMBER(SEARCH("Enrolment 0 terverifikasi",'Offshore - Brisbane'!N294)))),1,0)</f>
        <v>0</v>
      </c>
      <c r="M1437" s="0" t="n">
        <f aca="false">IF(OR('Offshore - Brisbane'!E294="",ISNUMBER(SEARCH("BSB80120",'Offshore - Brisbane'!B294&amp;'Offshore - Brisbane'!N294)),ISNUMBER(SEARCH("Management (Learning)",'Offshore - Brisbane'!B294))),2,IF(ISNUMBER(SEARCH("CEK:",'Offshore - Brisbane'!N294)),1,0))</f>
        <v>0</v>
      </c>
    </row>
    <row r="1438" customFormat="false" ht="15" hidden="false" customHeight="false" outlineLevel="0" collapsed="false">
      <c r="A1438" s="63" t="s">
        <v>3563</v>
      </c>
      <c r="B1438" s="64" t="s">
        <v>4374</v>
      </c>
      <c r="C1438" s="63" t="s">
        <v>41</v>
      </c>
      <c r="D1438" s="64" t="str">
        <f aca="false">TRIM(LEFT('Offshore - Brisbane'!A158,FIND(CHAR(10),'Offshore - Brisbane'!A158&amp;CHAR(10))-1))</f>
        <v>Australian Global Institute (AGI)</v>
      </c>
      <c r="E1438" s="63" t="str">
        <f aca="false">'Offshore - Brisbane'!C160&amp;""</f>
        <v>2 years</v>
      </c>
      <c r="F1438" s="63" t="str">
        <f aca="false">IF('Offshore - Brisbane'!D160="","Belum tercatat",'Offshore - Brisbane'!D160)</f>
        <v>Term</v>
      </c>
      <c r="G1438" s="65" t="n">
        <f aca="false">IF('Offshore - Brisbane'!E160="","-",'Offshore - Brisbane'!E160)</f>
        <v>2100</v>
      </c>
      <c r="H1438" s="63" t="n">
        <f aca="false">IF(ISNUMBER(K1438),COUNTIFS($J$6:$J$1854,J1438,$K$6:$K$1854,"&lt;"&amp;K1438)+1,"-")</f>
        <v>3</v>
      </c>
      <c r="I1438" s="64" t="str">
        <f aca="false">IF('Offshore - Brisbane'!E160="","Harga belum tersedia - hubungi konsultan TEG",IF(M1438=2,"Saat ini tidak menerima pendaftaran siswa internasional baru",IF(M1438=1,"Harga perlu dikonfirmasi ke sekolah"&amp;IF(""="","","; "&amp;""),"")))</f>
        <v/>
      </c>
      <c r="J1438" s="0" t="s">
        <v>4389</v>
      </c>
      <c r="K1438" s="0" t="n">
        <f aca="false">IF(M1438=2,"",IF(ISNUMBER(SEARCH("rata-rata:",'Offshore - Brisbane'!N160)),VALUE(MID('Offshore - Brisbane'!N160,SEARCH("rata-rata:",'Offshore - Brisbane'!N160)+11,FIND(";",'Offshore - Brisbane'!N160&amp;";",SEARCH("rata-rata:",'Offshore - Brisbane'!N160))-SEARCH("rata-rata:",'Offshore - Brisbane'!N160)-11)),IF('Offshore - Brisbane'!D160="Semester",'Offshore - Brisbane'!E160*2,IF('Offshore - Brisbane'!D160="Trimester",'Offshore - Brisbane'!E160*3,IF('Offshore - Brisbane'!D160="Term",'Offshore - Brisbane'!E160*4,IF('Offshore - Brisbane'!D160="Unit",'Offshore - Brisbane'!E160*8,""))))))</f>
        <v>8400</v>
      </c>
      <c r="L1438" s="0" t="n">
        <f aca="false">IF(AND(ISNUMBER('Offshore - Brisbane'!E160),ISNUMBER(K1438),ISNUMBER('Offshore - Brisbane'!F160),ISNUMBER('Offshore - Brisbane'!G160),OR('Offshore - Brisbane'!F160&lt;&gt;0,ISNUMBER(SEARCH("Material 0 terverifikasi",'Offshore - Brisbane'!N160))),OR('Offshore - Brisbane'!G160&lt;&gt;0,ISNUMBER(SEARCH("Enrolment 0 terverifikasi",'Offshore - Brisbane'!N160)))),1,0)</f>
        <v>1</v>
      </c>
      <c r="M1438" s="0" t="n">
        <f aca="false">IF(OR('Offshore - Brisbane'!E160="",ISNUMBER(SEARCH("BSB80120",'Offshore - Brisbane'!B160&amp;'Offshore - Brisbane'!N160)),ISNUMBER(SEARCH("Management (Learning)",'Offshore - Brisbane'!B160))),2,IF(ISNUMBER(SEARCH("CEK:",'Offshore - Brisbane'!N160)),1,0))</f>
        <v>0</v>
      </c>
    </row>
    <row r="1439" customFormat="false" ht="15" hidden="false" customHeight="false" outlineLevel="0" collapsed="false">
      <c r="A1439" s="63" t="s">
        <v>3563</v>
      </c>
      <c r="B1439" s="64" t="s">
        <v>4374</v>
      </c>
      <c r="C1439" s="63" t="s">
        <v>41</v>
      </c>
      <c r="D1439" s="64" t="str">
        <f aca="false">TRIM(LEFT('Offshore - Brisbane'!A33,FIND(CHAR(10),'Offshore - Brisbane'!A33&amp;CHAR(10))-1))</f>
        <v>Asia Pacific International College (APIC)</v>
      </c>
      <c r="E1439" s="63" t="str">
        <f aca="false">'Offshore - Brisbane'!C33&amp;""</f>
        <v>1 year</v>
      </c>
      <c r="F1439" s="63" t="str">
        <f aca="false">IF('Offshore - Brisbane'!D33="","Belum tercatat",'Offshore - Brisbane'!D33)</f>
        <v>Trimester</v>
      </c>
      <c r="G1439" s="65" t="n">
        <f aca="false">IF('Offshore - Brisbane'!E33="","-",'Offshore - Brisbane'!E33)</f>
        <v>3000</v>
      </c>
      <c r="H1439" s="63" t="n">
        <f aca="false">IF(ISNUMBER(K1439),COUNTIFS($J$6:$J$1854,J1439,$K$6:$K$1854,"&lt;"&amp;K1439)+1,"-")</f>
        <v>4</v>
      </c>
      <c r="I1439" s="64" t="str">
        <f aca="false">IF('Offshore - Brisbane'!E33="","Harga belum tersedia - hubungi konsultan TEG",IF(M1439=2,"Saat ini tidak menerima pendaftaran siswa internasional baru",IF(M1439=1,"Harga perlu dikonfirmasi ke sekolah"&amp;IF(""="","","; "&amp;""),"")))</f>
        <v/>
      </c>
      <c r="J1439" s="0" t="s">
        <v>4389</v>
      </c>
      <c r="K1439" s="0" t="n">
        <f aca="false">IF(M1439=2,"",IF(ISNUMBER(SEARCH("rata-rata:",'Offshore - Brisbane'!N33)),VALUE(MID('Offshore - Brisbane'!N33,SEARCH("rata-rata:",'Offshore - Brisbane'!N33)+11,FIND(";",'Offshore - Brisbane'!N33&amp;";",SEARCH("rata-rata:",'Offshore - Brisbane'!N33))-SEARCH("rata-rata:",'Offshore - Brisbane'!N33)-11)),IF('Offshore - Brisbane'!D33="Semester",'Offshore - Brisbane'!E33*2,IF('Offshore - Brisbane'!D33="Trimester",'Offshore - Brisbane'!E33*3,IF('Offshore - Brisbane'!D33="Term",'Offshore - Brisbane'!E33*4,IF('Offshore - Brisbane'!D33="Unit",'Offshore - Brisbane'!E33*8,""))))))</f>
        <v>9000</v>
      </c>
      <c r="L1439" s="0" t="n">
        <f aca="false">IF(AND(ISNUMBER('Offshore - Brisbane'!E33),ISNUMBER(K1439),ISNUMBER('Offshore - Brisbane'!F33),ISNUMBER('Offshore - Brisbane'!G33),OR('Offshore - Brisbane'!F33&lt;&gt;0,ISNUMBER(SEARCH("Material 0 terverifikasi",'Offshore - Brisbane'!N33))),OR('Offshore - Brisbane'!G33&lt;&gt;0,ISNUMBER(SEARCH("Enrolment 0 terverifikasi",'Offshore - Brisbane'!N33)))),1,0)</f>
        <v>0</v>
      </c>
      <c r="M1439" s="0" t="n">
        <f aca="false">IF(OR('Offshore - Brisbane'!E33="",ISNUMBER(SEARCH("BSB80120",'Offshore - Brisbane'!B33&amp;'Offshore - Brisbane'!N33)),ISNUMBER(SEARCH("Management (Learning)",'Offshore - Brisbane'!B33))),2,IF(ISNUMBER(SEARCH("CEK:",'Offshore - Brisbane'!N33)),1,0))</f>
        <v>0</v>
      </c>
    </row>
    <row r="1440" customFormat="false" ht="15" hidden="false" customHeight="false" outlineLevel="0" collapsed="false">
      <c r="A1440" s="63" t="s">
        <v>3563</v>
      </c>
      <c r="B1440" s="64" t="s">
        <v>4374</v>
      </c>
      <c r="C1440" s="63" t="s">
        <v>41</v>
      </c>
      <c r="D1440" s="64" t="str">
        <f aca="false">TRIM(LEFT('Offshore - Brisbane'!A308,FIND(CHAR(10),'Offshore - Brisbane'!A308&amp;CHAR(10))-1))</f>
        <v>Torrens University Australia</v>
      </c>
      <c r="E1440" s="63" t="str">
        <f aca="false">'Offshore - Brisbane'!C352&amp;""</f>
        <v>1 year</v>
      </c>
      <c r="F1440" s="63" t="str">
        <f aca="false">IF('Offshore - Brisbane'!D352="","Belum tercatat",'Offshore - Brisbane'!D352)</f>
        <v>Term</v>
      </c>
      <c r="G1440" s="65" t="n">
        <f aca="false">IF('Offshore - Brisbane'!E352="","-",'Offshore - Brisbane'!E352)</f>
        <v>7900</v>
      </c>
      <c r="H1440" s="63" t="n">
        <f aca="false">IF(ISNUMBER(K1440),COUNTIFS($J$6:$J$1854,J1440,$K$6:$K$1854,"&lt;"&amp;K1440)+1,"-")</f>
        <v>5</v>
      </c>
      <c r="I1440" s="64" t="str">
        <f aca="false">IF('Offshore - Brisbane'!E352="","Harga belum tersedia - hubungi konsultan TEG",IF(M1440=2,"Saat ini tidak menerima pendaftaran siswa internasional baru",IF(M1440=1,"Harga perlu dikonfirmasi ke sekolah"&amp;IF(""="","","; "&amp;""),"")))</f>
        <v/>
      </c>
      <c r="J1440" s="0" t="s">
        <v>4389</v>
      </c>
      <c r="K1440" s="0" t="n">
        <f aca="false">IF(M1440=2,"",IF(ISNUMBER(SEARCH("rata-rata:",'Offshore - Brisbane'!N352)),VALUE(MID('Offshore - Brisbane'!N352,SEARCH("rata-rata:",'Offshore - Brisbane'!N352)+11,FIND(";",'Offshore - Brisbane'!N352&amp;";",SEARCH("rata-rata:",'Offshore - Brisbane'!N352))-SEARCH("rata-rata:",'Offshore - Brisbane'!N352)-11)),IF('Offshore - Brisbane'!D352="Semester",'Offshore - Brisbane'!E352*2,IF('Offshore - Brisbane'!D352="Trimester",'Offshore - Brisbane'!E352*3,IF('Offshore - Brisbane'!D352="Term",'Offshore - Brisbane'!E352*4,IF('Offshore - Brisbane'!D352="Unit",'Offshore - Brisbane'!E352*8,""))))))</f>
        <v>31600</v>
      </c>
      <c r="L1440" s="0" t="n">
        <f aca="false">IF(AND(ISNUMBER('Offshore - Brisbane'!E352),ISNUMBER(K1440),ISNUMBER('Offshore - Brisbane'!F352),ISNUMBER('Offshore - Brisbane'!G352),OR('Offshore - Brisbane'!F352&lt;&gt;0,ISNUMBER(SEARCH("Material 0 terverifikasi",'Offshore - Brisbane'!N352))),OR('Offshore - Brisbane'!G352&lt;&gt;0,ISNUMBER(SEARCH("Enrolment 0 terverifikasi",'Offshore - Brisbane'!N352)))),1,0)</f>
        <v>0</v>
      </c>
      <c r="M1440" s="0" t="n">
        <f aca="false">IF(OR('Offshore - Brisbane'!E352="",ISNUMBER(SEARCH("BSB80120",'Offshore - Brisbane'!B352&amp;'Offshore - Brisbane'!N352)),ISNUMBER(SEARCH("Management (Learning)",'Offshore - Brisbane'!B352))),2,IF(ISNUMBER(SEARCH("CEK:",'Offshore - Brisbane'!N352)),1,0))</f>
        <v>0</v>
      </c>
    </row>
    <row r="1441" customFormat="false" ht="15" hidden="false" customHeight="false" outlineLevel="0" collapsed="false">
      <c r="A1441" s="63" t="s">
        <v>3563</v>
      </c>
      <c r="B1441" s="64" t="s">
        <v>4374</v>
      </c>
      <c r="C1441" s="63" t="s">
        <v>41</v>
      </c>
      <c r="D1441" s="64" t="str">
        <f aca="false">TRIM(LEFT('Offshore - Brisbane'!A53,FIND(CHAR(10),'Offshore - Brisbane'!A53&amp;CHAR(10))-1))</f>
        <v>Australian Catholic University (ACU)</v>
      </c>
      <c r="E1441" s="63" t="str">
        <f aca="false">'Offshore - Brisbane'!C151&amp;""</f>
        <v>1 year</v>
      </c>
      <c r="F1441" s="63" t="str">
        <f aca="false">IF('Offshore - Brisbane'!D151="","Belum tercatat",'Offshore - Brisbane'!D151)</f>
        <v>Term</v>
      </c>
      <c r="G1441" s="65" t="n">
        <f aca="false">IF('Offshore - Brisbane'!E151="","-",'Offshore - Brisbane'!E151)</f>
        <v>8058</v>
      </c>
      <c r="H1441" s="63" t="n">
        <f aca="false">IF(ISNUMBER(K1441),COUNTIFS($J$6:$J$1854,J1441,$K$6:$K$1854,"&lt;"&amp;K1441)+1,"-")</f>
        <v>6</v>
      </c>
      <c r="I1441" s="64" t="str">
        <f aca="false">IF('Offshore - Brisbane'!E151="","Harga belum tersedia - hubungi konsultan TEG",IF(M1441=2,"Saat ini tidak menerima pendaftaran siswa internasional baru",IF(M1441=1,"Harga perlu dikonfirmasi ke sekolah"&amp;IF(""="","","; "&amp;""),"")))</f>
        <v/>
      </c>
      <c r="J1441" s="0" t="s">
        <v>4389</v>
      </c>
      <c r="K1441" s="0" t="n">
        <f aca="false">IF(M1441=2,"",IF(ISNUMBER(SEARCH("rata-rata:",'Offshore - Brisbane'!N151)),VALUE(MID('Offshore - Brisbane'!N151,SEARCH("rata-rata:",'Offshore - Brisbane'!N151)+11,FIND(";",'Offshore - Brisbane'!N151&amp;";",SEARCH("rata-rata:",'Offshore - Brisbane'!N151))-SEARCH("rata-rata:",'Offshore - Brisbane'!N151)-11)),IF('Offshore - Brisbane'!D151="Semester",'Offshore - Brisbane'!E151*2,IF('Offshore - Brisbane'!D151="Trimester",'Offshore - Brisbane'!E151*3,IF('Offshore - Brisbane'!D151="Term",'Offshore - Brisbane'!E151*4,IF('Offshore - Brisbane'!D151="Unit",'Offshore - Brisbane'!E151*8,""))))))</f>
        <v>32232</v>
      </c>
      <c r="L1441" s="0" t="n">
        <f aca="false">IF(AND(ISNUMBER('Offshore - Brisbane'!E151),ISNUMBER(K1441),ISNUMBER('Offshore - Brisbane'!F151),ISNUMBER('Offshore - Brisbane'!G151),OR('Offshore - Brisbane'!F151&lt;&gt;0,ISNUMBER(SEARCH("Material 0 terverifikasi",'Offshore - Brisbane'!N151))),OR('Offshore - Brisbane'!G151&lt;&gt;0,ISNUMBER(SEARCH("Enrolment 0 terverifikasi",'Offshore - Brisbane'!N151)))),1,0)</f>
        <v>0</v>
      </c>
      <c r="M1441" s="0" t="n">
        <f aca="false">IF(OR('Offshore - Brisbane'!E151="",ISNUMBER(SEARCH("BSB80120",'Offshore - Brisbane'!B151&amp;'Offshore - Brisbane'!N151)),ISNUMBER(SEARCH("Management (Learning)",'Offshore - Brisbane'!B151))),2,IF(ISNUMBER(SEARCH("CEK:",'Offshore - Brisbane'!N151)),1,0))</f>
        <v>0</v>
      </c>
    </row>
    <row r="1442" customFormat="false" ht="15" hidden="false" customHeight="false" outlineLevel="0" collapsed="false">
      <c r="A1442" s="61" t="s">
        <v>4390</v>
      </c>
      <c r="B1442" s="62"/>
      <c r="C1442" s="62"/>
      <c r="D1442" s="62"/>
      <c r="E1442" s="62"/>
      <c r="F1442" s="62"/>
      <c r="G1442" s="62"/>
      <c r="H1442" s="62"/>
      <c r="I1442" s="62"/>
    </row>
    <row r="1443" customFormat="false" ht="15" hidden="false" customHeight="false" outlineLevel="0" collapsed="false">
      <c r="A1443" s="63" t="s">
        <v>3563</v>
      </c>
      <c r="B1443" s="64" t="s">
        <v>4374</v>
      </c>
      <c r="C1443" s="63" t="s">
        <v>42</v>
      </c>
      <c r="D1443" s="64" t="str">
        <f aca="false">TRIM(LEFT('Offshore - Brisbane'!A205,FIND(CHAR(10),'Offshore - Brisbane'!A205&amp;CHAR(10))-1))</f>
        <v>Greenwich College</v>
      </c>
      <c r="E1443" s="63" t="str">
        <f aca="false">'Offshore - Brisbane'!C227&amp;""</f>
        <v>2 years</v>
      </c>
      <c r="F1443" s="63" t="str">
        <f aca="false">IF('Offshore - Brisbane'!D227="","Belum tercatat",'Offshore - Brisbane'!D227)</f>
        <v>Term</v>
      </c>
      <c r="G1443" s="65" t="n">
        <f aca="false">IF('Offshore - Brisbane'!E227="","-",'Offshore - Brisbane'!E227)</f>
        <v>1250</v>
      </c>
      <c r="H1443" s="63" t="n">
        <f aca="false">IF(ISNUMBER(K1443),COUNTIFS($J$6:$J$1854,J1443,$K$6:$K$1854,"&lt;"&amp;K1443)+1,"-")</f>
        <v>1</v>
      </c>
      <c r="I1443" s="64" t="str">
        <f aca="false">IF('Offshore - Brisbane'!E227="","Harga belum tersedia - hubungi konsultan TEG",IF(M1443=2,"Saat ini tidak menerima pendaftaran siswa internasional baru",IF(M1443=1,"Program perlu dikonfirmasi ketersediaannya"&amp;IF(""="","","; "&amp;""),"")))</f>
        <v>Program perlu dikonfirmasi ketersediaannya</v>
      </c>
      <c r="J1443" s="0" t="s">
        <v>4391</v>
      </c>
      <c r="K1443" s="0" t="n">
        <f aca="false">IF(M1443=2,"",IF(ISNUMBER(SEARCH("rata-rata:",'Offshore - Brisbane'!N227)),VALUE(MID('Offshore - Brisbane'!N227,SEARCH("rata-rata:",'Offshore - Brisbane'!N227)+11,FIND(";",'Offshore - Brisbane'!N227&amp;";",SEARCH("rata-rata:",'Offshore - Brisbane'!N227))-SEARCH("rata-rata:",'Offshore - Brisbane'!N227)-11)),IF('Offshore - Brisbane'!D227="Semester",'Offshore - Brisbane'!E227*2,IF('Offshore - Brisbane'!D227="Trimester",'Offshore - Brisbane'!E227*3,IF('Offshore - Brisbane'!D227="Term",'Offshore - Brisbane'!E227*4,IF('Offshore - Brisbane'!D227="Unit",'Offshore - Brisbane'!E227*8,""))))))</f>
        <v>5000</v>
      </c>
      <c r="L1443" s="0" t="n">
        <f aca="false">IF(AND(ISNUMBER('Offshore - Brisbane'!E227),ISNUMBER(K1443),ISNUMBER('Offshore - Brisbane'!F227),ISNUMBER('Offshore - Brisbane'!G227),OR('Offshore - Brisbane'!F227&lt;&gt;0,ISNUMBER(SEARCH("Material 0 terverifikasi",'Offshore - Brisbane'!N227))),OR('Offshore - Brisbane'!G227&lt;&gt;0,ISNUMBER(SEARCH("Enrolment 0 terverifikasi",'Offshore - Brisbane'!N227)))),1,0)</f>
        <v>1</v>
      </c>
      <c r="M1443" s="0" t="n">
        <f aca="false">IF(OR('Offshore - Brisbane'!E227="",ISNUMBER(SEARCH("BSB80120",'Offshore - Brisbane'!B227&amp;'Offshore - Brisbane'!N227)),ISNUMBER(SEARCH("Management (Learning)",'Offshore - Brisbane'!B227))),2,IF(ISNUMBER(SEARCH("CEK:",'Offshore - Brisbane'!N227)),1,0))</f>
        <v>1</v>
      </c>
    </row>
    <row r="1444" customFormat="false" ht="15" hidden="false" customHeight="false" outlineLevel="0" collapsed="false">
      <c r="A1444" s="63" t="s">
        <v>3563</v>
      </c>
      <c r="B1444" s="64" t="s">
        <v>4374</v>
      </c>
      <c r="C1444" s="63" t="s">
        <v>42</v>
      </c>
      <c r="D1444" s="64" t="str">
        <f aca="false">TRIM(LEFT('Offshore - Brisbane'!A182,FIND(CHAR(10),'Offshore - Brisbane'!A182&amp;CHAR(10))-1))</f>
        <v>ECA College</v>
      </c>
      <c r="E1444" s="63" t="str">
        <f aca="false">'Offshore - Brisbane'!C185&amp;""</f>
        <v>3 years</v>
      </c>
      <c r="F1444" s="63" t="str">
        <f aca="false">IF('Offshore - Brisbane'!D185="","Belum tercatat",'Offshore - Brisbane'!D185)</f>
        <v>Term</v>
      </c>
      <c r="G1444" s="65" t="n">
        <f aca="false">IF('Offshore - Brisbane'!E185="","-",'Offshore - Brisbane'!E185)</f>
        <v>1700</v>
      </c>
      <c r="H1444" s="63" t="n">
        <f aca="false">IF(ISNUMBER(K1444),COUNTIFS($J$6:$J$1854,J1444,$K$6:$K$1854,"&lt;"&amp;K1444)+1,"-")</f>
        <v>2</v>
      </c>
      <c r="I1444" s="64" t="str">
        <f aca="false">IF('Offshore - Brisbane'!E185="","Harga belum tersedia - hubungi konsultan TEG",IF(M1444=2,"Saat ini tidak menerima pendaftaran siswa internasional baru",IF(M1444=1,"Harga perlu dikonfirmasi ke sekolah"&amp;IF(""="","","; "&amp;""),"")))</f>
        <v/>
      </c>
      <c r="J1444" s="0" t="s">
        <v>4391</v>
      </c>
      <c r="K1444" s="0" t="n">
        <f aca="false">IF(M1444=2,"",IF(ISNUMBER(SEARCH("rata-rata:",'Offshore - Brisbane'!N185)),VALUE(MID('Offshore - Brisbane'!N185,SEARCH("rata-rata:",'Offshore - Brisbane'!N185)+11,FIND(";",'Offshore - Brisbane'!N185&amp;";",SEARCH("rata-rata:",'Offshore - Brisbane'!N185))-SEARCH("rata-rata:",'Offshore - Brisbane'!N185)-11)),IF('Offshore - Brisbane'!D185="Semester",'Offshore - Brisbane'!E185*2,IF('Offshore - Brisbane'!D185="Trimester",'Offshore - Brisbane'!E185*3,IF('Offshore - Brisbane'!D185="Term",'Offshore - Brisbane'!E185*4,IF('Offshore - Brisbane'!D185="Unit",'Offshore - Brisbane'!E185*8,""))))))</f>
        <v>6800</v>
      </c>
      <c r="L1444" s="0" t="n">
        <f aca="false">IF(AND(ISNUMBER('Offshore - Brisbane'!E185),ISNUMBER(K1444),ISNUMBER('Offshore - Brisbane'!F185),ISNUMBER('Offshore - Brisbane'!G185),OR('Offshore - Brisbane'!F185&lt;&gt;0,ISNUMBER(SEARCH("Material 0 terverifikasi",'Offshore - Brisbane'!N185))),OR('Offshore - Brisbane'!G185&lt;&gt;0,ISNUMBER(SEARCH("Enrolment 0 terverifikasi",'Offshore - Brisbane'!N185)))),1,0)</f>
        <v>0</v>
      </c>
      <c r="M1444" s="0" t="n">
        <f aca="false">IF(OR('Offshore - Brisbane'!E185="",ISNUMBER(SEARCH("BSB80120",'Offshore - Brisbane'!B185&amp;'Offshore - Brisbane'!N185)),ISNUMBER(SEARCH("Management (Learning)",'Offshore - Brisbane'!B185))),2,IF(ISNUMBER(SEARCH("CEK:",'Offshore - Brisbane'!N185)),1,0))</f>
        <v>0</v>
      </c>
    </row>
    <row r="1445" customFormat="false" ht="28.35" hidden="false" customHeight="false" outlineLevel="0" collapsed="false">
      <c r="A1445" s="63" t="s">
        <v>3563</v>
      </c>
      <c r="B1445" s="64" t="s">
        <v>4374</v>
      </c>
      <c r="C1445" s="63" t="s">
        <v>42</v>
      </c>
      <c r="D1445" s="64" t="str">
        <f aca="false">TRIM(LEFT('Offshore - Brisbane'!A22,FIND(CHAR(10),'Offshore - Brisbane'!A22&amp;CHAR(10))-1))</f>
        <v>Albright Institute of Business and Language (AIBL)</v>
      </c>
      <c r="E1445" s="63" t="str">
        <f aca="false">'Offshore - Brisbane'!C25&amp;""</f>
        <v>2 years</v>
      </c>
      <c r="F1445" s="63" t="str">
        <f aca="false">IF('Offshore - Brisbane'!D25="","Belum tercatat",'Offshore - Brisbane'!D25)</f>
        <v>Term</v>
      </c>
      <c r="G1445" s="65" t="n">
        <f aca="false">IF('Offshore - Brisbane'!E25="","-",'Offshore - Brisbane'!E25)</f>
        <v>2000</v>
      </c>
      <c r="H1445" s="63" t="n">
        <f aca="false">IF(ISNUMBER(K1445),COUNTIFS($J$6:$J$1854,J1445,$K$6:$K$1854,"&lt;"&amp;K1445)+1,"-")</f>
        <v>3</v>
      </c>
      <c r="I1445" s="64" t="str">
        <f aca="false">IF('Offshore - Brisbane'!E25="","Harga belum tersedia - hubungi konsultan TEG",IF(M1445=2,"Saat ini tidak menerima pendaftaran siswa internasional baru",IF(M1445=1,"Harga perlu dikonfirmasi ke sekolah"&amp;IF(""="","","; "&amp;""),"")))</f>
        <v/>
      </c>
      <c r="J1445" s="0" t="s">
        <v>4391</v>
      </c>
      <c r="K1445" s="0" t="n">
        <f aca="false">IF(M1445=2,"",IF(ISNUMBER(SEARCH("rata-rata:",'Offshore - Brisbane'!N25)),VALUE(MID('Offshore - Brisbane'!N25,SEARCH("rata-rata:",'Offshore - Brisbane'!N25)+11,FIND(";",'Offshore - Brisbane'!N25&amp;";",SEARCH("rata-rata:",'Offshore - Brisbane'!N25))-SEARCH("rata-rata:",'Offshore - Brisbane'!N25)-11)),IF('Offshore - Brisbane'!D25="Semester",'Offshore - Brisbane'!E25*2,IF('Offshore - Brisbane'!D25="Trimester",'Offshore - Brisbane'!E25*3,IF('Offshore - Brisbane'!D25="Term",'Offshore - Brisbane'!E25*4,IF('Offshore - Brisbane'!D25="Unit",'Offshore - Brisbane'!E25*8,""))))))</f>
        <v>8000</v>
      </c>
      <c r="L1445" s="0" t="n">
        <f aca="false">IF(AND(ISNUMBER('Offshore - Brisbane'!E25),ISNUMBER(K1445),ISNUMBER('Offshore - Brisbane'!F25),ISNUMBER('Offshore - Brisbane'!G25),OR('Offshore - Brisbane'!F25&lt;&gt;0,ISNUMBER(SEARCH("Material 0 terverifikasi",'Offshore - Brisbane'!N25))),OR('Offshore - Brisbane'!G25&lt;&gt;0,ISNUMBER(SEARCH("Enrolment 0 terverifikasi",'Offshore - Brisbane'!N25)))),1,0)</f>
        <v>1</v>
      </c>
      <c r="M1445" s="0" t="n">
        <f aca="false">IF(OR('Offshore - Brisbane'!E25="",ISNUMBER(SEARCH("BSB80120",'Offshore - Brisbane'!B25&amp;'Offshore - Brisbane'!N25)),ISNUMBER(SEARCH("Management (Learning)",'Offshore - Brisbane'!B25))),2,IF(ISNUMBER(SEARCH("CEK:",'Offshore - Brisbane'!N25)),1,0))</f>
        <v>0</v>
      </c>
    </row>
    <row r="1446" customFormat="false" ht="15" hidden="false" customHeight="false" outlineLevel="0" collapsed="false">
      <c r="A1446" s="63" t="s">
        <v>3563</v>
      </c>
      <c r="B1446" s="64" t="s">
        <v>4374</v>
      </c>
      <c r="C1446" s="63" t="s">
        <v>42</v>
      </c>
      <c r="D1446" s="64" t="str">
        <f aca="false">TRIM(LEFT('Offshore - Brisbane'!A169,FIND(CHAR(10),'Offshore - Brisbane'!A169&amp;CHAR(10))-1))</f>
        <v>Cambridge College</v>
      </c>
      <c r="E1446" s="63" t="str">
        <f aca="false">'Offshore - Brisbane'!C173&amp;""</f>
        <v>2 years</v>
      </c>
      <c r="F1446" s="63" t="str">
        <f aca="false">IF('Offshore - Brisbane'!D173="","Belum tercatat",'Offshore - Brisbane'!D173)</f>
        <v>Term</v>
      </c>
      <c r="G1446" s="65" t="n">
        <f aca="false">IF('Offshore - Brisbane'!E173="","-",'Offshore - Brisbane'!E173)</f>
        <v>2500</v>
      </c>
      <c r="H1446" s="63" t="n">
        <f aca="false">IF(ISNUMBER(K1446),COUNTIFS($J$6:$J$1854,J1446,$K$6:$K$1854,"&lt;"&amp;K1446)+1,"-")</f>
        <v>4</v>
      </c>
      <c r="I1446" s="64" t="str">
        <f aca="false">IF('Offshore - Brisbane'!E173="","Harga belum tersedia - hubungi konsultan TEG",IF(M1446=2,"Saat ini tidak menerima pendaftaran siswa internasional baru",IF(M1446=1,"Program perlu dikonfirmasi ketersediaannya"&amp;IF(""="","","; "&amp;""),"")))</f>
        <v>Program perlu dikonfirmasi ketersediaannya</v>
      </c>
      <c r="J1446" s="0" t="s">
        <v>4391</v>
      </c>
      <c r="K1446" s="0" t="n">
        <f aca="false">IF(M1446=2,"",IF(ISNUMBER(SEARCH("rata-rata:",'Offshore - Brisbane'!N173)),VALUE(MID('Offshore - Brisbane'!N173,SEARCH("rata-rata:",'Offshore - Brisbane'!N173)+11,FIND(";",'Offshore - Brisbane'!N173&amp;";",SEARCH("rata-rata:",'Offshore - Brisbane'!N173))-SEARCH("rata-rata:",'Offshore - Brisbane'!N173)-11)),IF('Offshore - Brisbane'!D173="Semester",'Offshore - Brisbane'!E173*2,IF('Offshore - Brisbane'!D173="Trimester",'Offshore - Brisbane'!E173*3,IF('Offshore - Brisbane'!D173="Term",'Offshore - Brisbane'!E173*4,IF('Offshore - Brisbane'!D173="Unit",'Offshore - Brisbane'!E173*8,""))))))</f>
        <v>10000</v>
      </c>
      <c r="L1446" s="0" t="n">
        <f aca="false">IF(AND(ISNUMBER('Offshore - Brisbane'!E173),ISNUMBER(K1446),ISNUMBER('Offshore - Brisbane'!F173),ISNUMBER('Offshore - Brisbane'!G173),OR('Offshore - Brisbane'!F173&lt;&gt;0,ISNUMBER(SEARCH("Material 0 terverifikasi",'Offshore - Brisbane'!N173))),OR('Offshore - Brisbane'!G173&lt;&gt;0,ISNUMBER(SEARCH("Enrolment 0 terverifikasi",'Offshore - Brisbane'!N173)))),1,0)</f>
        <v>1</v>
      </c>
      <c r="M1446" s="0" t="n">
        <f aca="false">IF(OR('Offshore - Brisbane'!E173="",ISNUMBER(SEARCH("BSB80120",'Offshore - Brisbane'!B173&amp;'Offshore - Brisbane'!N173)),ISNUMBER(SEARCH("Management (Learning)",'Offshore - Brisbane'!B173))),2,IF(ISNUMBER(SEARCH("CEK:",'Offshore - Brisbane'!N173)),1,0))</f>
        <v>1</v>
      </c>
    </row>
    <row r="1447" customFormat="false" ht="15" hidden="false" customHeight="false" outlineLevel="0" collapsed="false">
      <c r="A1447" s="63" t="s">
        <v>3563</v>
      </c>
      <c r="B1447" s="64" t="s">
        <v>4374</v>
      </c>
      <c r="C1447" s="63" t="s">
        <v>42</v>
      </c>
      <c r="D1447" s="64" t="str">
        <f aca="false">TRIM(LEFT('Offshore - Brisbane'!A297,FIND(CHAR(10),'Offshore - Brisbane'!A297&amp;CHAR(10))-1))</f>
        <v>Skills Institute Australia</v>
      </c>
      <c r="E1447" s="63" t="str">
        <f aca="false">'Offshore - Brisbane'!C307&amp;""</f>
        <v>2 years</v>
      </c>
      <c r="F1447" s="63" t="str">
        <f aca="false">IF('Offshore - Brisbane'!D307="","Belum tercatat",'Offshore - Brisbane'!D307)</f>
        <v>Term</v>
      </c>
      <c r="G1447" s="65" t="n">
        <f aca="false">IF('Offshore - Brisbane'!E307="","-",'Offshore - Brisbane'!E307)</f>
        <v>3250</v>
      </c>
      <c r="H1447" s="63" t="n">
        <f aca="false">IF(ISNUMBER(K1447),COUNTIFS($J$6:$J$1854,J1447,$K$6:$K$1854,"&lt;"&amp;K1447)+1,"-")</f>
        <v>5</v>
      </c>
      <c r="I1447" s="64" t="str">
        <f aca="false">IF('Offshore - Brisbane'!E307="","Harga belum tersedia - hubungi konsultan TEG",IF(M1447=2,"Saat ini tidak menerima pendaftaran siswa internasional baru",IF(M1447=1,"Harga perlu dikonfirmasi ke sekolah"&amp;IF(""="","","; "&amp;""),"")))</f>
        <v/>
      </c>
      <c r="J1447" s="0" t="s">
        <v>4391</v>
      </c>
      <c r="K1447" s="0" t="n">
        <f aca="false">IF(M1447=2,"",IF(ISNUMBER(SEARCH("rata-rata:",'Offshore - Brisbane'!N307)),VALUE(MID('Offshore - Brisbane'!N307,SEARCH("rata-rata:",'Offshore - Brisbane'!N307)+11,FIND(";",'Offshore - Brisbane'!N307&amp;";",SEARCH("rata-rata:",'Offshore - Brisbane'!N307))-SEARCH("rata-rata:",'Offshore - Brisbane'!N307)-11)),IF('Offshore - Brisbane'!D307="Semester",'Offshore - Brisbane'!E307*2,IF('Offshore - Brisbane'!D307="Trimester",'Offshore - Brisbane'!E307*3,IF('Offshore - Brisbane'!D307="Term",'Offshore - Brisbane'!E307*4,IF('Offshore - Brisbane'!D307="Unit",'Offshore - Brisbane'!E307*8,""))))))</f>
        <v>13000</v>
      </c>
      <c r="L1447" s="0" t="n">
        <f aca="false">IF(AND(ISNUMBER('Offshore - Brisbane'!E307),ISNUMBER(K1447),ISNUMBER('Offshore - Brisbane'!F307),ISNUMBER('Offshore - Brisbane'!G307),OR('Offshore - Brisbane'!F307&lt;&gt;0,ISNUMBER(SEARCH("Material 0 terverifikasi",'Offshore - Brisbane'!N307))),OR('Offshore - Brisbane'!G307&lt;&gt;0,ISNUMBER(SEARCH("Enrolment 0 terverifikasi",'Offshore - Brisbane'!N307)))),1,0)</f>
        <v>1</v>
      </c>
      <c r="M1447" s="0" t="n">
        <f aca="false">IF(OR('Offshore - Brisbane'!E307="",ISNUMBER(SEARCH("BSB80120",'Offshore - Brisbane'!B307&amp;'Offshore - Brisbane'!N307)),ISNUMBER(SEARCH("Management (Learning)",'Offshore - Brisbane'!B307))),2,IF(ISNUMBER(SEARCH("CEK:",'Offshore - Brisbane'!N307)),1,0))</f>
        <v>0</v>
      </c>
    </row>
    <row r="1448" customFormat="false" ht="15" hidden="false" customHeight="false" outlineLevel="0" collapsed="false">
      <c r="A1448" s="63" t="s">
        <v>3563</v>
      </c>
      <c r="B1448" s="64" t="s">
        <v>4374</v>
      </c>
      <c r="C1448" s="63" t="s">
        <v>42</v>
      </c>
      <c r="D1448" s="64" t="str">
        <f aca="false">TRIM(LEFT('Offshore - Brisbane'!A200,FIND(CHAR(10),'Offshore - Brisbane'!A200&amp;CHAR(10))-1))</f>
        <v>Federation Academy</v>
      </c>
      <c r="E1448" s="63" t="str">
        <f aca="false">'Offshore - Brisbane'!C202&amp;""</f>
        <v>2 years</v>
      </c>
      <c r="F1448" s="63" t="str">
        <f aca="false">IF('Offshore - Brisbane'!D202="","Belum tercatat",'Offshore - Brisbane'!D202)</f>
        <v>Term</v>
      </c>
      <c r="G1448" s="65" t="n">
        <f aca="false">IF('Offshore - Brisbane'!E202="","-",'Offshore - Brisbane'!E202)</f>
        <v>3860</v>
      </c>
      <c r="H1448" s="63" t="n">
        <f aca="false">IF(ISNUMBER(K1448),COUNTIFS($J$6:$J$1854,J1448,$K$6:$K$1854,"&lt;"&amp;K1448)+1,"-")</f>
        <v>6</v>
      </c>
      <c r="I1448" s="64" t="str">
        <f aca="false">IF('Offshore - Brisbane'!E202="","Harga belum tersedia - hubungi konsultan TEG",IF(M1448=2,"Saat ini tidak menerima pendaftaran siswa internasional baru",IF(M1448=1,"Harga perlu dikonfirmasi ke sekolah"&amp;IF(""="","","; "&amp;""),"")))</f>
        <v/>
      </c>
      <c r="J1448" s="0" t="s">
        <v>4391</v>
      </c>
      <c r="K1448" s="0" t="n">
        <f aca="false">IF(M1448=2,"",IF(ISNUMBER(SEARCH("rata-rata:",'Offshore - Brisbane'!N202)),VALUE(MID('Offshore - Brisbane'!N202,SEARCH("rata-rata:",'Offshore - Brisbane'!N202)+11,FIND(";",'Offshore - Brisbane'!N202&amp;";",SEARCH("rata-rata:",'Offshore - Brisbane'!N202))-SEARCH("rata-rata:",'Offshore - Brisbane'!N202)-11)),IF('Offshore - Brisbane'!D202="Semester",'Offshore - Brisbane'!E202*2,IF('Offshore - Brisbane'!D202="Trimester",'Offshore - Brisbane'!E202*3,IF('Offshore - Brisbane'!D202="Term",'Offshore - Brisbane'!E202*4,IF('Offshore - Brisbane'!D202="Unit",'Offshore - Brisbane'!E202*8,""))))))</f>
        <v>15440</v>
      </c>
      <c r="L1448" s="0" t="n">
        <f aca="false">IF(AND(ISNUMBER('Offshore - Brisbane'!E202),ISNUMBER(K1448),ISNUMBER('Offshore - Brisbane'!F202),ISNUMBER('Offshore - Brisbane'!G202),OR('Offshore - Brisbane'!F202&lt;&gt;0,ISNUMBER(SEARCH("Material 0 terverifikasi",'Offshore - Brisbane'!N202))),OR('Offshore - Brisbane'!G202&lt;&gt;0,ISNUMBER(SEARCH("Enrolment 0 terverifikasi",'Offshore - Brisbane'!N202)))),1,0)</f>
        <v>1</v>
      </c>
      <c r="M1448" s="0" t="n">
        <f aca="false">IF(OR('Offshore - Brisbane'!E202="",ISNUMBER(SEARCH("BSB80120",'Offshore - Brisbane'!B202&amp;'Offshore - Brisbane'!N202)),ISNUMBER(SEARCH("Management (Learning)",'Offshore - Brisbane'!B202))),2,IF(ISNUMBER(SEARCH("CEK:",'Offshore - Brisbane'!N202)),1,0))</f>
        <v>0</v>
      </c>
    </row>
    <row r="1449" customFormat="false" ht="15" hidden="false" customHeight="false" outlineLevel="0" collapsed="false">
      <c r="A1449" s="61" t="s">
        <v>4392</v>
      </c>
      <c r="B1449" s="62"/>
      <c r="C1449" s="62"/>
      <c r="D1449" s="62"/>
      <c r="E1449" s="62"/>
      <c r="F1449" s="62"/>
      <c r="G1449" s="62"/>
      <c r="H1449" s="62"/>
      <c r="I1449" s="62"/>
    </row>
    <row r="1450" customFormat="false" ht="15" hidden="false" customHeight="false" outlineLevel="0" collapsed="false">
      <c r="A1450" s="63" t="s">
        <v>3563</v>
      </c>
      <c r="B1450" s="64" t="s">
        <v>4374</v>
      </c>
      <c r="C1450" s="63" t="s">
        <v>43</v>
      </c>
      <c r="D1450" s="64" t="str">
        <f aca="false">TRIM(LEFT('Offshore - Brisbane'!A33,FIND(CHAR(10),'Offshore - Brisbane'!A33&amp;CHAR(10))-1))</f>
        <v>Asia Pacific International College (APIC)</v>
      </c>
      <c r="E1450" s="63" t="str">
        <f aca="false">'Offshore - Brisbane'!C34&amp;""</f>
        <v>3 years</v>
      </c>
      <c r="F1450" s="63" t="str">
        <f aca="false">IF('Offshore - Brisbane'!D34="","Belum tercatat",'Offshore - Brisbane'!D34)</f>
        <v>Trimester</v>
      </c>
      <c r="G1450" s="65" t="n">
        <f aca="false">IF('Offshore - Brisbane'!E34="","-",'Offshore - Brisbane'!E34)</f>
        <v>4500</v>
      </c>
      <c r="H1450" s="63" t="n">
        <f aca="false">IF(ISNUMBER(K1450),COUNTIFS($J$6:$J$1854,J1450,$K$6:$K$1854,"&lt;"&amp;K1450)+1,"-")</f>
        <v>1</v>
      </c>
      <c r="I1450" s="64" t="str">
        <f aca="false">IF('Offshore - Brisbane'!E34="","Harga belum tersedia - hubungi konsultan TEG",IF(M1450=2,"Saat ini tidak menerima pendaftaran siswa internasional baru",IF(M1450=1,"Harga perlu dikonfirmasi ke sekolah"&amp;IF("Harga promo s.d. 31/12/2026"="","","; "&amp;"Harga promo s.d. 31/12/2026"),"Harga promo s.d. 31/12/2026")))</f>
        <v>Harga promo s.d. 31/12/2026</v>
      </c>
      <c r="J1450" s="0" t="s">
        <v>4393</v>
      </c>
      <c r="K1450" s="0" t="n">
        <f aca="false">IF(M1450=2,"",IF(ISNUMBER(SEARCH("rata-rata:",'Offshore - Brisbane'!N34)),VALUE(MID('Offshore - Brisbane'!N34,SEARCH("rata-rata:",'Offshore - Brisbane'!N34)+11,FIND(";",'Offshore - Brisbane'!N34&amp;";",SEARCH("rata-rata:",'Offshore - Brisbane'!N34))-SEARCH("rata-rata:",'Offshore - Brisbane'!N34)-11)),IF('Offshore - Brisbane'!D34="Semester",'Offshore - Brisbane'!E34*2,IF('Offshore - Brisbane'!D34="Trimester",'Offshore - Brisbane'!E34*3,IF('Offshore - Brisbane'!D34="Term",'Offshore - Brisbane'!E34*4,IF('Offshore - Brisbane'!D34="Unit",'Offshore - Brisbane'!E34*8,""))))))</f>
        <v>13500</v>
      </c>
      <c r="L1450" s="0" t="n">
        <f aca="false">IF(AND(ISNUMBER('Offshore - Brisbane'!E34),ISNUMBER(K1450),ISNUMBER('Offshore - Brisbane'!F34),ISNUMBER('Offshore - Brisbane'!G34),OR('Offshore - Brisbane'!F34&lt;&gt;0,ISNUMBER(SEARCH("Material 0 terverifikasi",'Offshore - Brisbane'!N34))),OR('Offshore - Brisbane'!G34&lt;&gt;0,ISNUMBER(SEARCH("Enrolment 0 terverifikasi",'Offshore - Brisbane'!N34)))),1,0)</f>
        <v>0</v>
      </c>
      <c r="M1450" s="0" t="n">
        <f aca="false">IF(OR('Offshore - Brisbane'!E34="",ISNUMBER(SEARCH("BSB80120",'Offshore - Brisbane'!B34&amp;'Offshore - Brisbane'!N34)),ISNUMBER(SEARCH("Management (Learning)",'Offshore - Brisbane'!B34))),2,IF(ISNUMBER(SEARCH("CEK:",'Offshore - Brisbane'!N34)),1,0))</f>
        <v>0</v>
      </c>
    </row>
    <row r="1451" customFormat="false" ht="28.35" hidden="false" customHeight="false" outlineLevel="0" collapsed="false">
      <c r="A1451" s="63" t="s">
        <v>3563</v>
      </c>
      <c r="B1451" s="64" t="s">
        <v>4374</v>
      </c>
      <c r="C1451" s="63" t="s">
        <v>43</v>
      </c>
      <c r="D1451" s="64" t="str">
        <f aca="false">TRIM(LEFT('Offshore - Brisbane'!A234,FIND(CHAR(10),'Offshore - Brisbane'!A234&amp;CHAR(10))-1))</f>
        <v>Greenwich Higher Education (Academy of Interactive Technology Pty Ltd)</v>
      </c>
      <c r="E1451" s="63" t="str">
        <f aca="false">'Offshore - Brisbane'!C234&amp;""</f>
        <v>3 years</v>
      </c>
      <c r="F1451" s="63" t="str">
        <f aca="false">IF('Offshore - Brisbane'!D234="","Belum tercatat",'Offshore - Brisbane'!D234)</f>
        <v>Term</v>
      </c>
      <c r="G1451" s="65" t="n">
        <f aca="false">IF('Offshore - Brisbane'!E234="","-",'Offshore - Brisbane'!E234)</f>
        <v>4025</v>
      </c>
      <c r="H1451" s="63" t="n">
        <f aca="false">IF(ISNUMBER(K1451),COUNTIFS($J$6:$J$1854,J1451,$K$6:$K$1854,"&lt;"&amp;K1451)+1,"-")</f>
        <v>2</v>
      </c>
      <c r="I1451" s="64" t="str">
        <f aca="false">IF('Offshore - Brisbane'!E234="","Harga belum tersedia - hubungi konsultan TEG",IF(M1451=2,"Saat ini tidak menerima pendaftaran siswa internasional baru",IF(M1451=1,"Program perlu dikonfirmasi ketersediaannya"&amp;IF(""="","","; "&amp;""),"")))</f>
        <v>Program perlu dikonfirmasi ketersediaannya</v>
      </c>
      <c r="J1451" s="0" t="s">
        <v>4393</v>
      </c>
      <c r="K1451" s="0" t="n">
        <f aca="false">IF(M1451=2,"",IF(ISNUMBER(SEARCH("rata-rata:",'Offshore - Brisbane'!N234)),VALUE(MID('Offshore - Brisbane'!N234,SEARCH("rata-rata:",'Offshore - Brisbane'!N234)+11,FIND(";",'Offshore - Brisbane'!N234&amp;";",SEARCH("rata-rata:",'Offshore - Brisbane'!N234))-SEARCH("rata-rata:",'Offshore - Brisbane'!N234)-11)),IF('Offshore - Brisbane'!D234="Semester",'Offshore - Brisbane'!E234*2,IF('Offshore - Brisbane'!D234="Trimester",'Offshore - Brisbane'!E234*3,IF('Offshore - Brisbane'!D234="Term",'Offshore - Brisbane'!E234*4,IF('Offshore - Brisbane'!D234="Unit",'Offshore - Brisbane'!E234*8,""))))))</f>
        <v>16100</v>
      </c>
      <c r="L1451" s="0" t="n">
        <f aca="false">IF(AND(ISNUMBER('Offshore - Brisbane'!E234),ISNUMBER(K1451),ISNUMBER('Offshore - Brisbane'!F234),ISNUMBER('Offshore - Brisbane'!G234),OR('Offshore - Brisbane'!F234&lt;&gt;0,ISNUMBER(SEARCH("Material 0 terverifikasi",'Offshore - Brisbane'!N234))),OR('Offshore - Brisbane'!G234&lt;&gt;0,ISNUMBER(SEARCH("Enrolment 0 terverifikasi",'Offshore - Brisbane'!N234)))),1,0)</f>
        <v>1</v>
      </c>
      <c r="M1451" s="0" t="n">
        <f aca="false">IF(OR('Offshore - Brisbane'!E234="",ISNUMBER(SEARCH("BSB80120",'Offshore - Brisbane'!B234&amp;'Offshore - Brisbane'!N234)),ISNUMBER(SEARCH("Management (Learning)",'Offshore - Brisbane'!B234))),2,IF(ISNUMBER(SEARCH("CEK:",'Offshore - Brisbane'!N234)),1,0))</f>
        <v>1</v>
      </c>
    </row>
    <row r="1452" customFormat="false" ht="15" hidden="false" customHeight="false" outlineLevel="0" collapsed="false">
      <c r="A1452" s="63" t="s">
        <v>3563</v>
      </c>
      <c r="B1452" s="64" t="s">
        <v>4374</v>
      </c>
      <c r="C1452" s="63" t="s">
        <v>43</v>
      </c>
      <c r="D1452" s="64" t="str">
        <f aca="false">TRIM(LEFT('Offshore - Brisbane'!A8,FIND(CHAR(10),'Offshore - Brisbane'!A8&amp;CHAR(10))-1))</f>
        <v>AIBI Higher Education</v>
      </c>
      <c r="E1452" s="63" t="str">
        <f aca="false">'Offshore - Brisbane'!C8&amp;""</f>
        <v>3 years</v>
      </c>
      <c r="F1452" s="63" t="str">
        <f aca="false">IF('Offshore - Brisbane'!D8="","Belum tercatat",'Offshore - Brisbane'!D8)</f>
        <v>Term</v>
      </c>
      <c r="G1452" s="65" t="n">
        <f aca="false">IF('Offshore - Brisbane'!E8="","-",'Offshore - Brisbane'!E8)</f>
        <v>4995</v>
      </c>
      <c r="H1452" s="63" t="n">
        <f aca="false">IF(ISNUMBER(K1452),COUNTIFS($J$6:$J$1854,J1452,$K$6:$K$1854,"&lt;"&amp;K1452)+1,"-")</f>
        <v>3</v>
      </c>
      <c r="I1452" s="64" t="str">
        <f aca="false">IF('Offshore - Brisbane'!E8="","Harga belum tersedia - hubungi konsultan TEG",IF(M1452=2,"Saat ini tidak menerima pendaftaran siswa internasional baru",IF(M1452=1,"Harga perlu dikonfirmasi ke sekolah"&amp;IF(""="","","; "&amp;""),"")))</f>
        <v>Harga perlu dikonfirmasi ke sekolah</v>
      </c>
      <c r="J1452" s="0" t="s">
        <v>4393</v>
      </c>
      <c r="K1452" s="0" t="n">
        <f aca="false">IF(M1452=2,"",IF(ISNUMBER(SEARCH("rata-rata:",'Offshore - Brisbane'!N8)),VALUE(MID('Offshore - Brisbane'!N8,SEARCH("rata-rata:",'Offshore - Brisbane'!N8)+11,FIND(";",'Offshore - Brisbane'!N8&amp;";",SEARCH("rata-rata:",'Offshore - Brisbane'!N8))-SEARCH("rata-rata:",'Offshore - Brisbane'!N8)-11)),IF('Offshore - Brisbane'!D8="Semester",'Offshore - Brisbane'!E8*2,IF('Offshore - Brisbane'!D8="Trimester",'Offshore - Brisbane'!E8*3,IF('Offshore - Brisbane'!D8="Term",'Offshore - Brisbane'!E8*4,IF('Offshore - Brisbane'!D8="Unit",'Offshore - Brisbane'!E8*8,""))))))</f>
        <v>19980</v>
      </c>
      <c r="L1452" s="0" t="n">
        <f aca="false">IF(AND(ISNUMBER('Offshore - Brisbane'!E8),ISNUMBER(K1452),ISNUMBER('Offshore - Brisbane'!F8),ISNUMBER('Offshore - Brisbane'!G8),OR('Offshore - Brisbane'!F8&lt;&gt;0,ISNUMBER(SEARCH("Material 0 terverifikasi",'Offshore - Brisbane'!N8))),OR('Offshore - Brisbane'!G8&lt;&gt;0,ISNUMBER(SEARCH("Enrolment 0 terverifikasi",'Offshore - Brisbane'!N8)))),1,0)</f>
        <v>0</v>
      </c>
      <c r="M1452" s="0" t="n">
        <f aca="false">IF(OR('Offshore - Brisbane'!E8="",ISNUMBER(SEARCH("BSB80120",'Offshore - Brisbane'!B8&amp;'Offshore - Brisbane'!N8)),ISNUMBER(SEARCH("Management (Learning)",'Offshore - Brisbane'!B8))),2,IF(ISNUMBER(SEARCH("CEK:",'Offshore - Brisbane'!N8)),1,0))</f>
        <v>1</v>
      </c>
    </row>
    <row r="1453" customFormat="false" ht="15" hidden="false" customHeight="false" outlineLevel="0" collapsed="false">
      <c r="A1453" s="63" t="s">
        <v>3563</v>
      </c>
      <c r="B1453" s="64" t="s">
        <v>4374</v>
      </c>
      <c r="C1453" s="63" t="s">
        <v>43</v>
      </c>
      <c r="D1453" s="64" t="str">
        <f aca="false">TRIM(LEFT('Offshore - Brisbane'!A308,FIND(CHAR(10),'Offshore - Brisbane'!A308&amp;CHAR(10))-1))</f>
        <v>Torrens University Australia</v>
      </c>
      <c r="E1453" s="63" t="str">
        <f aca="false">'Offshore - Brisbane'!C353&amp;""</f>
        <v>3 years</v>
      </c>
      <c r="F1453" s="63" t="str">
        <f aca="false">IF('Offshore - Brisbane'!D353="","Belum tercatat",'Offshore - Brisbane'!D353)</f>
        <v>Term</v>
      </c>
      <c r="G1453" s="65" t="n">
        <f aca="false">IF('Offshore - Brisbane'!E353="","-",'Offshore - Brisbane'!E353)</f>
        <v>7900</v>
      </c>
      <c r="H1453" s="63" t="n">
        <f aca="false">IF(ISNUMBER(K1453),COUNTIFS($J$6:$J$1854,J1453,$K$6:$K$1854,"&lt;"&amp;K1453)+1,"-")</f>
        <v>4</v>
      </c>
      <c r="I1453" s="64" t="str">
        <f aca="false">IF('Offshore - Brisbane'!E353="","Harga belum tersedia - hubungi konsultan TEG",IF(M1453=2,"Saat ini tidak menerima pendaftaran siswa internasional baru",IF(M1453=1,"Harga perlu dikonfirmasi ke sekolah"&amp;IF(""="","","; "&amp;""),"")))</f>
        <v/>
      </c>
      <c r="J1453" s="0" t="s">
        <v>4393</v>
      </c>
      <c r="K1453" s="0" t="n">
        <f aca="false">IF(M1453=2,"",IF(ISNUMBER(SEARCH("rata-rata:",'Offshore - Brisbane'!N353)),VALUE(MID('Offshore - Brisbane'!N353,SEARCH("rata-rata:",'Offshore - Brisbane'!N353)+11,FIND(";",'Offshore - Brisbane'!N353&amp;";",SEARCH("rata-rata:",'Offshore - Brisbane'!N353))-SEARCH("rata-rata:",'Offshore - Brisbane'!N353)-11)),IF('Offshore - Brisbane'!D353="Semester",'Offshore - Brisbane'!E353*2,IF('Offshore - Brisbane'!D353="Trimester",'Offshore - Brisbane'!E353*3,IF('Offshore - Brisbane'!D353="Term",'Offshore - Brisbane'!E353*4,IF('Offshore - Brisbane'!D353="Unit",'Offshore - Brisbane'!E353*8,""))))))</f>
        <v>31600</v>
      </c>
      <c r="L1453" s="0" t="n">
        <f aca="false">IF(AND(ISNUMBER('Offshore - Brisbane'!E353),ISNUMBER(K1453),ISNUMBER('Offshore - Brisbane'!F353),ISNUMBER('Offshore - Brisbane'!G353),OR('Offshore - Brisbane'!F353&lt;&gt;0,ISNUMBER(SEARCH("Material 0 terverifikasi",'Offshore - Brisbane'!N353))),OR('Offshore - Brisbane'!G353&lt;&gt;0,ISNUMBER(SEARCH("Enrolment 0 terverifikasi",'Offshore - Brisbane'!N353)))),1,0)</f>
        <v>0</v>
      </c>
      <c r="M1453" s="0" t="n">
        <f aca="false">IF(OR('Offshore - Brisbane'!E353="",ISNUMBER(SEARCH("BSB80120",'Offshore - Brisbane'!B353&amp;'Offshore - Brisbane'!N353)),ISNUMBER(SEARCH("Management (Learning)",'Offshore - Brisbane'!B353))),2,IF(ISNUMBER(SEARCH("CEK:",'Offshore - Brisbane'!N353)),1,0))</f>
        <v>0</v>
      </c>
    </row>
    <row r="1454" customFormat="false" ht="15" hidden="false" customHeight="false" outlineLevel="0" collapsed="false">
      <c r="A1454" s="63" t="s">
        <v>3563</v>
      </c>
      <c r="B1454" s="64" t="s">
        <v>4374</v>
      </c>
      <c r="C1454" s="63" t="s">
        <v>43</v>
      </c>
      <c r="D1454" s="64" t="str">
        <f aca="false">TRIM(LEFT('Offshore - Brisbane'!A53,FIND(CHAR(10),'Offshore - Brisbane'!A53&amp;CHAR(10))-1))</f>
        <v>Australian Catholic University (ACU)</v>
      </c>
      <c r="E1454" s="63" t="str">
        <f aca="false">'Offshore - Brisbane'!C67&amp;""</f>
        <v>3 years</v>
      </c>
      <c r="F1454" s="63" t="str">
        <f aca="false">IF('Offshore - Brisbane'!D67="","Belum tercatat",'Offshore - Brisbane'!D67)</f>
        <v>Term</v>
      </c>
      <c r="G1454" s="65" t="n">
        <f aca="false">IF('Offshore - Brisbane'!E67="","-",'Offshore - Brisbane'!E67)</f>
        <v>8742</v>
      </c>
      <c r="H1454" s="63" t="n">
        <f aca="false">IF(ISNUMBER(K1454),COUNTIFS($J$6:$J$1854,J1454,$K$6:$K$1854,"&lt;"&amp;K1454)+1,"-")</f>
        <v>5</v>
      </c>
      <c r="I1454" s="64" t="str">
        <f aca="false">IF('Offshore - Brisbane'!E67="","Harga belum tersedia - hubungi konsultan TEG",IF(M1454=2,"Saat ini tidak menerima pendaftaran siswa internasional baru",IF(M1454=1,"Harga perlu dikonfirmasi ke sekolah"&amp;IF(""="","","; "&amp;""),"")))</f>
        <v/>
      </c>
      <c r="J1454" s="0" t="s">
        <v>4393</v>
      </c>
      <c r="K1454" s="0" t="n">
        <f aca="false">IF(M1454=2,"",IF(ISNUMBER(SEARCH("rata-rata:",'Offshore - Brisbane'!N67)),VALUE(MID('Offshore - Brisbane'!N67,SEARCH("rata-rata:",'Offshore - Brisbane'!N67)+11,FIND(";",'Offshore - Brisbane'!N67&amp;";",SEARCH("rata-rata:",'Offshore - Brisbane'!N67))-SEARCH("rata-rata:",'Offshore - Brisbane'!N67)-11)),IF('Offshore - Brisbane'!D67="Semester",'Offshore - Brisbane'!E67*2,IF('Offshore - Brisbane'!D67="Trimester",'Offshore - Brisbane'!E67*3,IF('Offshore - Brisbane'!D67="Term",'Offshore - Brisbane'!E67*4,IF('Offshore - Brisbane'!D67="Unit",'Offshore - Brisbane'!E67*8,""))))))</f>
        <v>34968</v>
      </c>
      <c r="L1454" s="0" t="n">
        <f aca="false">IF(AND(ISNUMBER('Offshore - Brisbane'!E67),ISNUMBER(K1454),ISNUMBER('Offshore - Brisbane'!F67),ISNUMBER('Offshore - Brisbane'!G67),OR('Offshore - Brisbane'!F67&lt;&gt;0,ISNUMBER(SEARCH("Material 0 terverifikasi",'Offshore - Brisbane'!N67))),OR('Offshore - Brisbane'!G67&lt;&gt;0,ISNUMBER(SEARCH("Enrolment 0 terverifikasi",'Offshore - Brisbane'!N67)))),1,0)</f>
        <v>0</v>
      </c>
      <c r="M1454" s="0" t="n">
        <f aca="false">IF(OR('Offshore - Brisbane'!E67="",ISNUMBER(SEARCH("BSB80120",'Offshore - Brisbane'!B67&amp;'Offshore - Brisbane'!N67)),ISNUMBER(SEARCH("Management (Learning)",'Offshore - Brisbane'!B67))),2,IF(ISNUMBER(SEARCH("CEK:",'Offshore - Brisbane'!N67)),1,0))</f>
        <v>0</v>
      </c>
    </row>
    <row r="1455" customFormat="false" ht="15" hidden="false" customHeight="false" outlineLevel="0" collapsed="false">
      <c r="A1455" s="61" t="s">
        <v>4394</v>
      </c>
      <c r="B1455" s="62"/>
      <c r="C1455" s="62"/>
      <c r="D1455" s="62"/>
      <c r="E1455" s="62"/>
      <c r="F1455" s="62"/>
      <c r="G1455" s="62"/>
      <c r="H1455" s="62"/>
      <c r="I1455" s="62"/>
    </row>
    <row r="1456" customFormat="false" ht="15" hidden="false" customHeight="false" outlineLevel="0" collapsed="false">
      <c r="A1456" s="63" t="s">
        <v>3563</v>
      </c>
      <c r="B1456" s="64" t="s">
        <v>4374</v>
      </c>
      <c r="C1456" s="63" t="s">
        <v>3707</v>
      </c>
      <c r="D1456" s="64" t="str">
        <f aca="false">TRIM(LEFT('Offshore - Brisbane'!A8,FIND(CHAR(10),'Offshore - Brisbane'!A8&amp;CHAR(10))-1))</f>
        <v>AIBI Higher Education</v>
      </c>
      <c r="E1456" s="63" t="str">
        <f aca="false">'Offshore - Brisbane'!C21&amp;""</f>
        <v>8 months</v>
      </c>
      <c r="F1456" s="63" t="str">
        <f aca="false">IF('Offshore - Brisbane'!D21="","Belum tercatat",'Offshore - Brisbane'!D21)</f>
        <v>Term</v>
      </c>
      <c r="G1456" s="65" t="n">
        <f aca="false">IF('Offshore - Brisbane'!E21="","-",'Offshore - Brisbane'!E21)</f>
        <v>2700</v>
      </c>
      <c r="H1456" s="63" t="n">
        <f aca="false">IF(ISNUMBER(K1456),COUNTIFS($J$6:$J$1854,J1456,$K$6:$K$1854,"&lt;"&amp;K1456)+1,"-")</f>
        <v>1</v>
      </c>
      <c r="I1456" s="64" t="str">
        <f aca="false">IF('Offshore - Brisbane'!E21="","Harga belum tersedia - hubungi konsultan TEG",IF(M1456=2,"Saat ini tidak menerima pendaftaran siswa internasional baru",IF(M1456=1,"Harga perlu dikonfirmasi ke sekolah"&amp;IF(""="","","; "&amp;""),"")))</f>
        <v>Harga perlu dikonfirmasi ke sekolah</v>
      </c>
      <c r="J1456" s="0" t="s">
        <v>4395</v>
      </c>
      <c r="K1456" s="0" t="n">
        <f aca="false">IF(M1456=2,"",IF(ISNUMBER(SEARCH("rata-rata:",'Offshore - Brisbane'!N21)),VALUE(MID('Offshore - Brisbane'!N21,SEARCH("rata-rata:",'Offshore - Brisbane'!N21)+11,FIND(";",'Offshore - Brisbane'!N21&amp;";",SEARCH("rata-rata:",'Offshore - Brisbane'!N21))-SEARCH("rata-rata:",'Offshore - Brisbane'!N21)-11)),IF('Offshore - Brisbane'!D21="Semester",'Offshore - Brisbane'!E21*2,IF('Offshore - Brisbane'!D21="Trimester",'Offshore - Brisbane'!E21*3,IF('Offshore - Brisbane'!D21="Term",'Offshore - Brisbane'!E21*4,IF('Offshore - Brisbane'!D21="Unit",'Offshore - Brisbane'!E21*8,""))))))</f>
        <v>10800</v>
      </c>
      <c r="L1456" s="0" t="n">
        <f aca="false">IF(AND(ISNUMBER('Offshore - Brisbane'!E21),ISNUMBER(K1456),ISNUMBER('Offshore - Brisbane'!F21),ISNUMBER('Offshore - Brisbane'!G21),OR('Offshore - Brisbane'!F21&lt;&gt;0,ISNUMBER(SEARCH("Material 0 terverifikasi",'Offshore - Brisbane'!N21))),OR('Offshore - Brisbane'!G21&lt;&gt;0,ISNUMBER(SEARCH("Enrolment 0 terverifikasi",'Offshore - Brisbane'!N21)))),1,0)</f>
        <v>0</v>
      </c>
      <c r="M1456" s="0" t="n">
        <f aca="false">IF(OR('Offshore - Brisbane'!E21="",ISNUMBER(SEARCH("BSB80120",'Offshore - Brisbane'!B21&amp;'Offshore - Brisbane'!N21)),ISNUMBER(SEARCH("Management (Learning)",'Offshore - Brisbane'!B21))),2,IF(ISNUMBER(SEARCH("CEK:",'Offshore - Brisbane'!N21)),1,0))</f>
        <v>1</v>
      </c>
    </row>
    <row r="1457" customFormat="false" ht="15" hidden="false" customHeight="false" outlineLevel="0" collapsed="false">
      <c r="A1457" s="63" t="s">
        <v>3563</v>
      </c>
      <c r="B1457" s="64" t="s">
        <v>4374</v>
      </c>
      <c r="C1457" s="63" t="s">
        <v>3707</v>
      </c>
      <c r="D1457" s="64" t="str">
        <f aca="false">TRIM(LEFT('Offshore - Brisbane'!A308,FIND(CHAR(10),'Offshore - Brisbane'!A308&amp;CHAR(10))-1))</f>
        <v>Torrens University Australia</v>
      </c>
      <c r="E1457" s="63" t="str">
        <f aca="false">'Offshore - Brisbane'!C325&amp;""</f>
        <v>1 year</v>
      </c>
      <c r="F1457" s="63" t="str">
        <f aca="false">IF('Offshore - Brisbane'!D325="","Belum tercatat",'Offshore - Brisbane'!D325)</f>
        <v>Term</v>
      </c>
      <c r="G1457" s="65" t="n">
        <f aca="false">IF('Offshore - Brisbane'!E325="","-",'Offshore - Brisbane'!E325)</f>
        <v>4500</v>
      </c>
      <c r="H1457" s="63" t="n">
        <f aca="false">IF(ISNUMBER(K1457),COUNTIFS($J$6:$J$1854,J1457,$K$6:$K$1854,"&lt;"&amp;K1457)+1,"-")</f>
        <v>2</v>
      </c>
      <c r="I1457" s="64" t="str">
        <f aca="false">IF('Offshore - Brisbane'!E325="","Harga belum tersedia - hubungi konsultan TEG",IF(M1457=2,"Saat ini tidak menerima pendaftaran siswa internasional baru",IF(M1457=1,"Harga perlu dikonfirmasi ke sekolah"&amp;IF(""="","","; "&amp;""),"")))</f>
        <v/>
      </c>
      <c r="J1457" s="0" t="s">
        <v>4395</v>
      </c>
      <c r="K1457" s="0" t="n">
        <f aca="false">IF(M1457=2,"",IF(ISNUMBER(SEARCH("rata-rata:",'Offshore - Brisbane'!N325)),VALUE(MID('Offshore - Brisbane'!N325,SEARCH("rata-rata:",'Offshore - Brisbane'!N325)+11,FIND(";",'Offshore - Brisbane'!N325&amp;";",SEARCH("rata-rata:",'Offshore - Brisbane'!N325))-SEARCH("rata-rata:",'Offshore - Brisbane'!N325)-11)),IF('Offshore - Brisbane'!D325="Semester",'Offshore - Brisbane'!E325*2,IF('Offshore - Brisbane'!D325="Trimester",'Offshore - Brisbane'!E325*3,IF('Offshore - Brisbane'!D325="Term",'Offshore - Brisbane'!E325*4,IF('Offshore - Brisbane'!D325="Unit",'Offshore - Brisbane'!E325*8,""))))))</f>
        <v>18000</v>
      </c>
      <c r="L1457" s="0" t="n">
        <f aca="false">IF(AND(ISNUMBER('Offshore - Brisbane'!E325),ISNUMBER(K1457),ISNUMBER('Offshore - Brisbane'!F325),ISNUMBER('Offshore - Brisbane'!G325),OR('Offshore - Brisbane'!F325&lt;&gt;0,ISNUMBER(SEARCH("Material 0 terverifikasi",'Offshore - Brisbane'!N325))),OR('Offshore - Brisbane'!G325&lt;&gt;0,ISNUMBER(SEARCH("Enrolment 0 terverifikasi",'Offshore - Brisbane'!N325)))),1,0)</f>
        <v>0</v>
      </c>
      <c r="M1457" s="0" t="n">
        <f aca="false">IF(OR('Offshore - Brisbane'!E325="",ISNUMBER(SEARCH("BSB80120",'Offshore - Brisbane'!B325&amp;'Offshore - Brisbane'!N325)),ISNUMBER(SEARCH("Management (Learning)",'Offshore - Brisbane'!B325))),2,IF(ISNUMBER(SEARCH("CEK:",'Offshore - Brisbane'!N325)),1,0))</f>
        <v>0</v>
      </c>
    </row>
    <row r="1458" customFormat="false" ht="15" hidden="false" customHeight="false" outlineLevel="0" collapsed="false">
      <c r="A1458" s="63" t="s">
        <v>3563</v>
      </c>
      <c r="B1458" s="64" t="s">
        <v>4374</v>
      </c>
      <c r="C1458" s="63" t="s">
        <v>3707</v>
      </c>
      <c r="D1458" s="64" t="str">
        <f aca="false">TRIM(LEFT('Offshore - Brisbane'!A53,FIND(CHAR(10),'Offshore - Brisbane'!A53&amp;CHAR(10))-1))</f>
        <v>Australian Catholic University (ACU)</v>
      </c>
      <c r="E1458" s="63" t="str">
        <f aca="false">'Offshore - Brisbane'!C77&amp;""</f>
        <v>0,5 year</v>
      </c>
      <c r="F1458" s="63" t="str">
        <f aca="false">IF('Offshore - Brisbane'!D77="","Belum tercatat",'Offshore - Brisbane'!D77)</f>
        <v>Term</v>
      </c>
      <c r="G1458" s="65" t="n">
        <f aca="false">IF('Offshore - Brisbane'!E77="","-",'Offshore - Brisbane'!E77)</f>
        <v>4762</v>
      </c>
      <c r="H1458" s="63" t="n">
        <f aca="false">IF(ISNUMBER(K1458),COUNTIFS($J$6:$J$1854,J1458,$K$6:$K$1854,"&lt;"&amp;K1458)+1,"-")</f>
        <v>3</v>
      </c>
      <c r="I1458" s="64" t="str">
        <f aca="false">IF('Offshore - Brisbane'!E77="","Harga belum tersedia - hubungi konsultan TEG",IF(M1458=2,"Saat ini tidak menerima pendaftaran siswa internasional baru",IF(M1458=1,"Harga perlu dikonfirmasi ke sekolah"&amp;IF(""="","","; "&amp;""),"")))</f>
        <v>Harga perlu dikonfirmasi ke sekolah</v>
      </c>
      <c r="J1458" s="0" t="s">
        <v>4395</v>
      </c>
      <c r="K1458" s="0" t="n">
        <f aca="false">IF(M1458=2,"",IF(ISNUMBER(SEARCH("rata-rata:",'Offshore - Brisbane'!N77)),VALUE(MID('Offshore - Brisbane'!N77,SEARCH("rata-rata:",'Offshore - Brisbane'!N77)+11,FIND(";",'Offshore - Brisbane'!N77&amp;";",SEARCH("rata-rata:",'Offshore - Brisbane'!N77))-SEARCH("rata-rata:",'Offshore - Brisbane'!N77)-11)),IF('Offshore - Brisbane'!D77="Semester",'Offshore - Brisbane'!E77*2,IF('Offshore - Brisbane'!D77="Trimester",'Offshore - Brisbane'!E77*3,IF('Offshore - Brisbane'!D77="Term",'Offshore - Brisbane'!E77*4,IF('Offshore - Brisbane'!D77="Unit",'Offshore - Brisbane'!E77*8,""))))))</f>
        <v>19048</v>
      </c>
      <c r="L1458" s="0" t="n">
        <f aca="false">IF(AND(ISNUMBER('Offshore - Brisbane'!E77),ISNUMBER(K1458),ISNUMBER('Offshore - Brisbane'!F77),ISNUMBER('Offshore - Brisbane'!G77),OR('Offshore - Brisbane'!F77&lt;&gt;0,ISNUMBER(SEARCH("Material 0 terverifikasi",'Offshore - Brisbane'!N77))),OR('Offshore - Brisbane'!G77&lt;&gt;0,ISNUMBER(SEARCH("Enrolment 0 terverifikasi",'Offshore - Brisbane'!N77)))),1,0)</f>
        <v>0</v>
      </c>
      <c r="M1458" s="0" t="n">
        <f aca="false">IF(OR('Offshore - Brisbane'!E77="",ISNUMBER(SEARCH("BSB80120",'Offshore - Brisbane'!B77&amp;'Offshore - Brisbane'!N77)),ISNUMBER(SEARCH("Management (Learning)",'Offshore - Brisbane'!B77))),2,IF(ISNUMBER(SEARCH("CEK:",'Offshore - Brisbane'!N77)),1,0))</f>
        <v>1</v>
      </c>
    </row>
    <row r="1459" customFormat="false" ht="15" hidden="false" customHeight="false" outlineLevel="0" collapsed="false">
      <c r="A1459" s="63" t="s">
        <v>3563</v>
      </c>
      <c r="B1459" s="64" t="s">
        <v>4374</v>
      </c>
      <c r="C1459" s="63" t="s">
        <v>3707</v>
      </c>
      <c r="D1459" s="64" t="str">
        <f aca="false">TRIM(LEFT('Offshore - Brisbane'!A33,FIND(CHAR(10),'Offshore - Brisbane'!A33&amp;CHAR(10))-1))</f>
        <v>Asia Pacific International College (APIC)</v>
      </c>
      <c r="E1459" s="63" t="str">
        <f aca="false">'Offshore - Brisbane'!C41&amp;""</f>
        <v>0,5 year</v>
      </c>
      <c r="F1459" s="63" t="str">
        <f aca="false">IF('Offshore - Brisbane'!D41="","Belum tercatat",'Offshore - Brisbane'!D41)</f>
        <v>Trimester</v>
      </c>
      <c r="G1459" s="65" t="n">
        <f aca="false">IF('Offshore - Brisbane'!E41="","-",'Offshore - Brisbane'!E41)</f>
        <v>7800</v>
      </c>
      <c r="H1459" s="63" t="n">
        <f aca="false">IF(ISNUMBER(K1459),COUNTIFS($J$6:$J$1854,J1459,$K$6:$K$1854,"&lt;"&amp;K1459)+1,"-")</f>
        <v>4</v>
      </c>
      <c r="I1459" s="64" t="str">
        <f aca="false">IF('Offshore - Brisbane'!E41="","Harga belum tersedia - hubungi konsultan TEG",IF(M1459=2,"Saat ini tidak menerima pendaftaran siswa internasional baru",IF(M1459=1,"Harga perlu dikonfirmasi ke sekolah"&amp;IF(""="","","; "&amp;""),"")))</f>
        <v>Harga perlu dikonfirmasi ke sekolah</v>
      </c>
      <c r="J1459" s="0" t="s">
        <v>4395</v>
      </c>
      <c r="K1459" s="0" t="n">
        <f aca="false">IF(M1459=2,"",IF(ISNUMBER(SEARCH("rata-rata:",'Offshore - Brisbane'!N41)),VALUE(MID('Offshore - Brisbane'!N41,SEARCH("rata-rata:",'Offshore - Brisbane'!N41)+11,FIND(";",'Offshore - Brisbane'!N41&amp;";",SEARCH("rata-rata:",'Offshore - Brisbane'!N41))-SEARCH("rata-rata:",'Offshore - Brisbane'!N41)-11)),IF('Offshore - Brisbane'!D41="Semester",'Offshore - Brisbane'!E41*2,IF('Offshore - Brisbane'!D41="Trimester",'Offshore - Brisbane'!E41*3,IF('Offshore - Brisbane'!D41="Term",'Offshore - Brisbane'!E41*4,IF('Offshore - Brisbane'!D41="Unit",'Offshore - Brisbane'!E41*8,""))))))</f>
        <v>23400</v>
      </c>
      <c r="L1459" s="0" t="n">
        <f aca="false">IF(AND(ISNUMBER('Offshore - Brisbane'!E41),ISNUMBER(K1459),ISNUMBER('Offshore - Brisbane'!F41),ISNUMBER('Offshore - Brisbane'!G41),OR('Offshore - Brisbane'!F41&lt;&gt;0,ISNUMBER(SEARCH("Material 0 terverifikasi",'Offshore - Brisbane'!N41))),OR('Offshore - Brisbane'!G41&lt;&gt;0,ISNUMBER(SEARCH("Enrolment 0 terverifikasi",'Offshore - Brisbane'!N41)))),1,0)</f>
        <v>0</v>
      </c>
      <c r="M1459" s="0" t="n">
        <f aca="false">IF(OR('Offshore - Brisbane'!E41="",ISNUMBER(SEARCH("BSB80120",'Offshore - Brisbane'!B41&amp;'Offshore - Brisbane'!N41)),ISNUMBER(SEARCH("Management (Learning)",'Offshore - Brisbane'!B41))),2,IF(ISNUMBER(SEARCH("CEK:",'Offshore - Brisbane'!N41)),1,0))</f>
        <v>1</v>
      </c>
    </row>
    <row r="1460" customFormat="false" ht="15" hidden="false" customHeight="false" outlineLevel="0" collapsed="false">
      <c r="A1460" s="63" t="s">
        <v>3563</v>
      </c>
      <c r="B1460" s="64" t="s">
        <v>4374</v>
      </c>
      <c r="C1460" s="63" t="s">
        <v>3707</v>
      </c>
      <c r="D1460" s="64" t="str">
        <f aca="false">TRIM(LEFT('Offshore - Brisbane'!A250,FIND(CHAR(10),'Offshore - Brisbane'!A250&amp;CHAR(10))-1))</f>
        <v>Kaplan Business School</v>
      </c>
      <c r="E1460" s="63" t="str">
        <f aca="false">'Offshore - Brisbane'!C261&amp;""</f>
        <v>0,5 year</v>
      </c>
      <c r="F1460" s="63" t="str">
        <f aca="false">IF('Offshore - Brisbane'!D261="","Belum tercatat",'Offshore - Brisbane'!D261)</f>
        <v>Trimester</v>
      </c>
      <c r="G1460" s="65" t="n">
        <f aca="false">IF('Offshore - Brisbane'!E261="","-",'Offshore - Brisbane'!E261)</f>
        <v>14560</v>
      </c>
      <c r="H1460" s="63" t="n">
        <f aca="false">IF(ISNUMBER(K1460),COUNTIFS($J$6:$J$1854,J1460,$K$6:$K$1854,"&lt;"&amp;K1460)+1,"-")</f>
        <v>5</v>
      </c>
      <c r="I1460" s="64" t="str">
        <f aca="false">IF('Offshore - Brisbane'!E261="","Harga belum tersedia - hubungi konsultan TEG",IF(M1460=2,"Saat ini tidak menerima pendaftaran siswa internasional baru",IF(M1460=1,"Harga perlu dikonfirmasi ke sekolah"&amp;IF(""="","","; "&amp;""),"")))</f>
        <v>Harga perlu dikonfirmasi ke sekolah</v>
      </c>
      <c r="J1460" s="0" t="s">
        <v>4395</v>
      </c>
      <c r="K1460" s="0" t="n">
        <f aca="false">IF(M1460=2,"",IF(ISNUMBER(SEARCH("rata-rata:",'Offshore - Brisbane'!N261)),VALUE(MID('Offshore - Brisbane'!N261,SEARCH("rata-rata:",'Offshore - Brisbane'!N261)+11,FIND(";",'Offshore - Brisbane'!N261&amp;";",SEARCH("rata-rata:",'Offshore - Brisbane'!N261))-SEARCH("rata-rata:",'Offshore - Brisbane'!N261)-11)),IF('Offshore - Brisbane'!D261="Semester",'Offshore - Brisbane'!E261*2,IF('Offshore - Brisbane'!D261="Trimester",'Offshore - Brisbane'!E261*3,IF('Offshore - Brisbane'!D261="Term",'Offshore - Brisbane'!E261*4,IF('Offshore - Brisbane'!D261="Unit",'Offshore - Brisbane'!E261*8,""))))))</f>
        <v>43680</v>
      </c>
      <c r="L1460" s="0" t="n">
        <f aca="false">IF(AND(ISNUMBER('Offshore - Brisbane'!E261),ISNUMBER(K1460),ISNUMBER('Offshore - Brisbane'!F261),ISNUMBER('Offshore - Brisbane'!G261),OR('Offshore - Brisbane'!F261&lt;&gt;0,ISNUMBER(SEARCH("Material 0 terverifikasi",'Offshore - Brisbane'!N261))),OR('Offshore - Brisbane'!G261&lt;&gt;0,ISNUMBER(SEARCH("Enrolment 0 terverifikasi",'Offshore - Brisbane'!N261)))),1,0)</f>
        <v>1</v>
      </c>
      <c r="M1460" s="0" t="n">
        <f aca="false">IF(OR('Offshore - Brisbane'!E261="",ISNUMBER(SEARCH("BSB80120",'Offshore - Brisbane'!B261&amp;'Offshore - Brisbane'!N261)),ISNUMBER(SEARCH("Management (Learning)",'Offshore - Brisbane'!B261))),2,IF(ISNUMBER(SEARCH("CEK:",'Offshore - Brisbane'!N261)),1,0))</f>
        <v>1</v>
      </c>
    </row>
    <row r="1461" customFormat="false" ht="15" hidden="false" customHeight="false" outlineLevel="0" collapsed="false">
      <c r="A1461" s="61" t="s">
        <v>4396</v>
      </c>
      <c r="B1461" s="62"/>
      <c r="C1461" s="62"/>
      <c r="D1461" s="62"/>
      <c r="E1461" s="62"/>
      <c r="F1461" s="62"/>
      <c r="G1461" s="62"/>
      <c r="H1461" s="62"/>
      <c r="I1461" s="62"/>
    </row>
    <row r="1462" customFormat="false" ht="15" hidden="false" customHeight="false" outlineLevel="0" collapsed="false">
      <c r="A1462" s="63" t="s">
        <v>3563</v>
      </c>
      <c r="B1462" s="64" t="s">
        <v>4374</v>
      </c>
      <c r="C1462" s="63" t="s">
        <v>46</v>
      </c>
      <c r="D1462" s="64" t="str">
        <f aca="false">TRIM(LEFT('Offshore - Brisbane'!A8,FIND(CHAR(10),'Offshore - Brisbane'!A8&amp;CHAR(10))-1))</f>
        <v>AIBI Higher Education</v>
      </c>
      <c r="E1462" s="63" t="str">
        <f aca="false">'Offshore - Brisbane'!C14&amp;""</f>
        <v>2 years</v>
      </c>
      <c r="F1462" s="63" t="str">
        <f aca="false">IF('Offshore - Brisbane'!D14="","Belum tercatat",'Offshore - Brisbane'!D14)</f>
        <v>Term</v>
      </c>
      <c r="G1462" s="65" t="n">
        <f aca="false">IF('Offshore - Brisbane'!E14="","-",'Offshore - Brisbane'!E14)</f>
        <v>4050</v>
      </c>
      <c r="H1462" s="63" t="n">
        <f aca="false">IF(ISNUMBER(K1462),COUNTIFS($J$6:$J$1854,J1462,$K$6:$K$1854,"&lt;"&amp;K1462)+1,"-")</f>
        <v>1</v>
      </c>
      <c r="I1462" s="64" t="str">
        <f aca="false">IF('Offshore - Brisbane'!E14="","Harga belum tersedia - hubungi konsultan TEG",IF(M1462=2,"Saat ini tidak menerima pendaftaran siswa internasional baru",IF(M1462=1,"Harga perlu dikonfirmasi ke sekolah"&amp;IF(""="","","; "&amp;""),"")))</f>
        <v>Harga perlu dikonfirmasi ke sekolah</v>
      </c>
      <c r="J1462" s="0" t="s">
        <v>4397</v>
      </c>
      <c r="K1462" s="0" t="n">
        <f aca="false">IF(M1462=2,"",IF(ISNUMBER(SEARCH("rata-rata:",'Offshore - Brisbane'!N14)),VALUE(MID('Offshore - Brisbane'!N14,SEARCH("rata-rata:",'Offshore - Brisbane'!N14)+11,FIND(";",'Offshore - Brisbane'!N14&amp;";",SEARCH("rata-rata:",'Offshore - Brisbane'!N14))-SEARCH("rata-rata:",'Offshore - Brisbane'!N14)-11)),IF('Offshore - Brisbane'!D14="Semester",'Offshore - Brisbane'!E14*2,IF('Offshore - Brisbane'!D14="Trimester",'Offshore - Brisbane'!E14*3,IF('Offshore - Brisbane'!D14="Term",'Offshore - Brisbane'!E14*4,IF('Offshore - Brisbane'!D14="Unit",'Offshore - Brisbane'!E14*8,""))))))</f>
        <v>16200</v>
      </c>
      <c r="L1462" s="0" t="n">
        <f aca="false">IF(AND(ISNUMBER('Offshore - Brisbane'!E14),ISNUMBER(K1462),ISNUMBER('Offshore - Brisbane'!F14),ISNUMBER('Offshore - Brisbane'!G14),OR('Offshore - Brisbane'!F14&lt;&gt;0,ISNUMBER(SEARCH("Material 0 terverifikasi",'Offshore - Brisbane'!N14))),OR('Offshore - Brisbane'!G14&lt;&gt;0,ISNUMBER(SEARCH("Enrolment 0 terverifikasi",'Offshore - Brisbane'!N14)))),1,0)</f>
        <v>0</v>
      </c>
      <c r="M1462" s="0" t="n">
        <f aca="false">IF(OR('Offshore - Brisbane'!E14="",ISNUMBER(SEARCH("BSB80120",'Offshore - Brisbane'!B14&amp;'Offshore - Brisbane'!N14)),ISNUMBER(SEARCH("Management (Learning)",'Offshore - Brisbane'!B14))),2,IF(ISNUMBER(SEARCH("CEK:",'Offshore - Brisbane'!N14)),1,0))</f>
        <v>1</v>
      </c>
    </row>
    <row r="1463" customFormat="false" ht="15" hidden="false" customHeight="false" outlineLevel="0" collapsed="false">
      <c r="A1463" s="63" t="s">
        <v>3563</v>
      </c>
      <c r="B1463" s="64" t="s">
        <v>4374</v>
      </c>
      <c r="C1463" s="63" t="s">
        <v>46</v>
      </c>
      <c r="D1463" s="64" t="str">
        <f aca="false">TRIM(LEFT('Offshore - Brisbane'!A33,FIND(CHAR(10),'Offshore - Brisbane'!A33&amp;CHAR(10))-1))</f>
        <v>Asia Pacific International College (APIC)</v>
      </c>
      <c r="E1463" s="63" t="str">
        <f aca="false">'Offshore - Brisbane'!C42&amp;""</f>
        <v>2 years</v>
      </c>
      <c r="F1463" s="63" t="str">
        <f aca="false">IF('Offshore - Brisbane'!D42="","Belum tercatat",'Offshore - Brisbane'!D42)</f>
        <v>Trimester</v>
      </c>
      <c r="G1463" s="65" t="n">
        <f aca="false">IF('Offshore - Brisbane'!E42="","-",'Offshore - Brisbane'!E42)</f>
        <v>7800</v>
      </c>
      <c r="H1463" s="63" t="n">
        <f aca="false">IF(ISNUMBER(K1463),COUNTIFS($J$6:$J$1854,J1463,$K$6:$K$1854,"&lt;"&amp;K1463)+1,"-")</f>
        <v>2</v>
      </c>
      <c r="I1463" s="64" t="str">
        <f aca="false">IF('Offshore - Brisbane'!E42="","Harga belum tersedia - hubungi konsultan TEG",IF(M1463=2,"Saat ini tidak menerima pendaftaran siswa internasional baru",IF(M1463=1,"Harga perlu dikonfirmasi ke sekolah"&amp;IF("Harga promo s.d. 31/12/2026"="","","; "&amp;"Harga promo s.d. 31/12/2026"),"Harga promo s.d. 31/12/2026")))</f>
        <v>Harga promo s.d. 31/12/2026</v>
      </c>
      <c r="J1463" s="0" t="s">
        <v>4397</v>
      </c>
      <c r="K1463" s="0" t="n">
        <f aca="false">IF(M1463=2,"",IF(ISNUMBER(SEARCH("rata-rata:",'Offshore - Brisbane'!N42)),VALUE(MID('Offshore - Brisbane'!N42,SEARCH("rata-rata:",'Offshore - Brisbane'!N42)+11,FIND(";",'Offshore - Brisbane'!N42&amp;";",SEARCH("rata-rata:",'Offshore - Brisbane'!N42))-SEARCH("rata-rata:",'Offshore - Brisbane'!N42)-11)),IF('Offshore - Brisbane'!D42="Semester",'Offshore - Brisbane'!E42*2,IF('Offshore - Brisbane'!D42="Trimester",'Offshore - Brisbane'!E42*3,IF('Offshore - Brisbane'!D42="Term",'Offshore - Brisbane'!E42*4,IF('Offshore - Brisbane'!D42="Unit",'Offshore - Brisbane'!E42*8,""))))))</f>
        <v>23400</v>
      </c>
      <c r="L1463" s="0" t="n">
        <f aca="false">IF(AND(ISNUMBER('Offshore - Brisbane'!E42),ISNUMBER(K1463),ISNUMBER('Offshore - Brisbane'!F42),ISNUMBER('Offshore - Brisbane'!G42),OR('Offshore - Brisbane'!F42&lt;&gt;0,ISNUMBER(SEARCH("Material 0 terverifikasi",'Offshore - Brisbane'!N42))),OR('Offshore - Brisbane'!G42&lt;&gt;0,ISNUMBER(SEARCH("Enrolment 0 terverifikasi",'Offshore - Brisbane'!N42)))),1,0)</f>
        <v>0</v>
      </c>
      <c r="M1463" s="0" t="n">
        <f aca="false">IF(OR('Offshore - Brisbane'!E42="",ISNUMBER(SEARCH("BSB80120",'Offshore - Brisbane'!B42&amp;'Offshore - Brisbane'!N42)),ISNUMBER(SEARCH("Management (Learning)",'Offshore - Brisbane'!B42))),2,IF(ISNUMBER(SEARCH("CEK:",'Offshore - Brisbane'!N42)),1,0))</f>
        <v>0</v>
      </c>
    </row>
    <row r="1464" customFormat="false" ht="15" hidden="false" customHeight="false" outlineLevel="0" collapsed="false">
      <c r="A1464" s="63" t="s">
        <v>3563</v>
      </c>
      <c r="B1464" s="64" t="s">
        <v>4374</v>
      </c>
      <c r="C1464" s="63" t="s">
        <v>46</v>
      </c>
      <c r="D1464" s="64" t="str">
        <f aca="false">TRIM(LEFT('Offshore - Brisbane'!A308,FIND(CHAR(10),'Offshore - Brisbane'!A308&amp;CHAR(10))-1))</f>
        <v>Torrens University Australia</v>
      </c>
      <c r="E1464" s="63" t="str">
        <f aca="false">'Offshore - Brisbane'!C323&amp;""</f>
        <v>1,5 years</v>
      </c>
      <c r="F1464" s="63" t="str">
        <f aca="false">IF('Offshore - Brisbane'!D323="","Belum tercatat",'Offshore - Brisbane'!D323)</f>
        <v>Term</v>
      </c>
      <c r="G1464" s="65" t="n">
        <f aca="false">IF('Offshore - Brisbane'!E323="","-",'Offshore - Brisbane'!E323)</f>
        <v>9000</v>
      </c>
      <c r="H1464" s="63" t="n">
        <f aca="false">IF(ISNUMBER(K1464),COUNTIFS($J$6:$J$1854,J1464,$K$6:$K$1854,"&lt;"&amp;K1464)+1,"-")</f>
        <v>3</v>
      </c>
      <c r="I1464" s="64" t="str">
        <f aca="false">IF('Offshore - Brisbane'!E323="","Harga belum tersedia - hubungi konsultan TEG",IF(M1464=2,"Saat ini tidak menerima pendaftaran siswa internasional baru",IF(M1464=1,"Harga perlu dikonfirmasi ke sekolah"&amp;IF(""="","","; "&amp;""),"")))</f>
        <v/>
      </c>
      <c r="J1464" s="0" t="s">
        <v>4397</v>
      </c>
      <c r="K1464" s="0" t="n">
        <f aca="false">IF(M1464=2,"",IF(ISNUMBER(SEARCH("rata-rata:",'Offshore - Brisbane'!N323)),VALUE(MID('Offshore - Brisbane'!N323,SEARCH("rata-rata:",'Offshore - Brisbane'!N323)+11,FIND(";",'Offshore - Brisbane'!N323&amp;";",SEARCH("rata-rata:",'Offshore - Brisbane'!N323))-SEARCH("rata-rata:",'Offshore - Brisbane'!N323)-11)),IF('Offshore - Brisbane'!D323="Semester",'Offshore - Brisbane'!E323*2,IF('Offshore - Brisbane'!D323="Trimester",'Offshore - Brisbane'!E323*3,IF('Offshore - Brisbane'!D323="Term",'Offshore - Brisbane'!E323*4,IF('Offshore - Brisbane'!D323="Unit",'Offshore - Brisbane'!E323*8,""))))))</f>
        <v>36000</v>
      </c>
      <c r="L1464" s="0" t="n">
        <f aca="false">IF(AND(ISNUMBER('Offshore - Brisbane'!E323),ISNUMBER(K1464),ISNUMBER('Offshore - Brisbane'!F323),ISNUMBER('Offshore - Brisbane'!G323),OR('Offshore - Brisbane'!F323&lt;&gt;0,ISNUMBER(SEARCH("Material 0 terverifikasi",'Offshore - Brisbane'!N323))),OR('Offshore - Brisbane'!G323&lt;&gt;0,ISNUMBER(SEARCH("Enrolment 0 terverifikasi",'Offshore - Brisbane'!N323)))),1,0)</f>
        <v>0</v>
      </c>
      <c r="M1464" s="0" t="n">
        <f aca="false">IF(OR('Offshore - Brisbane'!E323="",ISNUMBER(SEARCH("BSB80120",'Offshore - Brisbane'!B323&amp;'Offshore - Brisbane'!N323)),ISNUMBER(SEARCH("Management (Learning)",'Offshore - Brisbane'!B323))),2,IF(ISNUMBER(SEARCH("CEK:",'Offshore - Brisbane'!N323)),1,0))</f>
        <v>0</v>
      </c>
    </row>
    <row r="1465" customFormat="false" ht="15" hidden="false" customHeight="false" outlineLevel="0" collapsed="false">
      <c r="A1465" s="63" t="s">
        <v>3563</v>
      </c>
      <c r="B1465" s="64" t="s">
        <v>4374</v>
      </c>
      <c r="C1465" s="63" t="s">
        <v>46</v>
      </c>
      <c r="D1465" s="64" t="str">
        <f aca="false">TRIM(LEFT('Offshore - Brisbane'!A53,FIND(CHAR(10),'Offshore - Brisbane'!A53&amp;CHAR(10))-1))</f>
        <v>Australian Catholic University (ACU)</v>
      </c>
      <c r="E1465" s="63" t="str">
        <f aca="false">'Offshore - Brisbane'!C80&amp;""</f>
        <v>2 years</v>
      </c>
      <c r="F1465" s="63" t="str">
        <f aca="false">IF('Offshore - Brisbane'!D80="","Belum tercatat",'Offshore - Brisbane'!D80)</f>
        <v>Term</v>
      </c>
      <c r="G1465" s="65" t="n">
        <f aca="false">IF('Offshore - Brisbane'!E80="","-",'Offshore - Brisbane'!E80)</f>
        <v>9524</v>
      </c>
      <c r="H1465" s="63" t="n">
        <f aca="false">IF(ISNUMBER(K1465),COUNTIFS($J$6:$J$1854,J1465,$K$6:$K$1854,"&lt;"&amp;K1465)+1,"-")</f>
        <v>4</v>
      </c>
      <c r="I1465" s="64" t="str">
        <f aca="false">IF('Offshore - Brisbane'!E80="","Harga belum tersedia - hubungi konsultan TEG",IF(M1465=2,"Saat ini tidak menerima pendaftaran siswa internasional baru",IF(M1465=1,"Harga perlu dikonfirmasi ke sekolah"&amp;IF(""="","","; "&amp;""),"")))</f>
        <v/>
      </c>
      <c r="J1465" s="0" t="s">
        <v>4397</v>
      </c>
      <c r="K1465" s="0" t="n">
        <f aca="false">IF(M1465=2,"",IF(ISNUMBER(SEARCH("rata-rata:",'Offshore - Brisbane'!N80)),VALUE(MID('Offshore - Brisbane'!N80,SEARCH("rata-rata:",'Offshore - Brisbane'!N80)+11,FIND(";",'Offshore - Brisbane'!N80&amp;";",SEARCH("rata-rata:",'Offshore - Brisbane'!N80))-SEARCH("rata-rata:",'Offshore - Brisbane'!N80)-11)),IF('Offshore - Brisbane'!D80="Semester",'Offshore - Brisbane'!E80*2,IF('Offshore - Brisbane'!D80="Trimester",'Offshore - Brisbane'!E80*3,IF('Offshore - Brisbane'!D80="Term",'Offshore - Brisbane'!E80*4,IF('Offshore - Brisbane'!D80="Unit",'Offshore - Brisbane'!E80*8,""))))))</f>
        <v>38096</v>
      </c>
      <c r="L1465" s="0" t="n">
        <f aca="false">IF(AND(ISNUMBER('Offshore - Brisbane'!E80),ISNUMBER(K1465),ISNUMBER('Offshore - Brisbane'!F80),ISNUMBER('Offshore - Brisbane'!G80),OR('Offshore - Brisbane'!F80&lt;&gt;0,ISNUMBER(SEARCH("Material 0 terverifikasi",'Offshore - Brisbane'!N80))),OR('Offshore - Brisbane'!G80&lt;&gt;0,ISNUMBER(SEARCH("Enrolment 0 terverifikasi",'Offshore - Brisbane'!N80)))),1,0)</f>
        <v>0</v>
      </c>
      <c r="M1465" s="0" t="n">
        <f aca="false">IF(OR('Offshore - Brisbane'!E80="",ISNUMBER(SEARCH("BSB80120",'Offshore - Brisbane'!B80&amp;'Offshore - Brisbane'!N80)),ISNUMBER(SEARCH("Management (Learning)",'Offshore - Brisbane'!B80))),2,IF(ISNUMBER(SEARCH("CEK:",'Offshore - Brisbane'!N80)),1,0))</f>
        <v>0</v>
      </c>
    </row>
    <row r="1466" customFormat="false" ht="15" hidden="false" customHeight="false" outlineLevel="0" collapsed="false">
      <c r="A1466" s="63" t="s">
        <v>3563</v>
      </c>
      <c r="B1466" s="64" t="s">
        <v>4374</v>
      </c>
      <c r="C1466" s="63" t="s">
        <v>46</v>
      </c>
      <c r="D1466" s="64" t="str">
        <f aca="false">TRIM(LEFT('Offshore - Brisbane'!A250,FIND(CHAR(10),'Offshore - Brisbane'!A250&amp;CHAR(10))-1))</f>
        <v>Kaplan Business School</v>
      </c>
      <c r="E1466" s="63" t="str">
        <f aca="false">'Offshore - Brisbane'!C258&amp;""</f>
        <v>1,5 years</v>
      </c>
      <c r="F1466" s="63" t="str">
        <f aca="false">IF('Offshore - Brisbane'!D258="","Belum tercatat",'Offshore - Brisbane'!D258)</f>
        <v>Trimester</v>
      </c>
      <c r="G1466" s="65" t="n">
        <f aca="false">IF('Offshore - Brisbane'!E258="","-",'Offshore - Brisbane'!E258)</f>
        <v>13600</v>
      </c>
      <c r="H1466" s="63" t="n">
        <f aca="false">IF(ISNUMBER(K1466),COUNTIFS($J$6:$J$1854,J1466,$K$6:$K$1854,"&lt;"&amp;K1466)+1,"-")</f>
        <v>5</v>
      </c>
      <c r="I1466" s="64" t="str">
        <f aca="false">IF('Offshore - Brisbane'!E258="","Harga belum tersedia - hubungi konsultan TEG",IF(M1466=2,"Saat ini tidak menerima pendaftaran siswa internasional baru",IF(M1466=1,"Harga perlu dikonfirmasi ke sekolah"&amp;IF(""="","","; "&amp;""),"")))</f>
        <v>Harga perlu dikonfirmasi ke sekolah</v>
      </c>
      <c r="J1466" s="0" t="s">
        <v>4397</v>
      </c>
      <c r="K1466" s="0" t="n">
        <f aca="false">IF(M1466=2,"",IF(ISNUMBER(SEARCH("rata-rata:",'Offshore - Brisbane'!N258)),VALUE(MID('Offshore - Brisbane'!N258,SEARCH("rata-rata:",'Offshore - Brisbane'!N258)+11,FIND(";",'Offshore - Brisbane'!N258&amp;";",SEARCH("rata-rata:",'Offshore - Brisbane'!N258))-SEARCH("rata-rata:",'Offshore - Brisbane'!N258)-11)),IF('Offshore - Brisbane'!D258="Semester",'Offshore - Brisbane'!E258*2,IF('Offshore - Brisbane'!D258="Trimester",'Offshore - Brisbane'!E258*3,IF('Offshore - Brisbane'!D258="Term",'Offshore - Brisbane'!E258*4,IF('Offshore - Brisbane'!D258="Unit",'Offshore - Brisbane'!E258*8,""))))))</f>
        <v>40800</v>
      </c>
      <c r="L1466" s="0" t="n">
        <f aca="false">IF(AND(ISNUMBER('Offshore - Brisbane'!E258),ISNUMBER(K1466),ISNUMBER('Offshore - Brisbane'!F258),ISNUMBER('Offshore - Brisbane'!G258),OR('Offshore - Brisbane'!F258&lt;&gt;0,ISNUMBER(SEARCH("Material 0 terverifikasi",'Offshore - Brisbane'!N258))),OR('Offshore - Brisbane'!G258&lt;&gt;0,ISNUMBER(SEARCH("Enrolment 0 terverifikasi",'Offshore - Brisbane'!N258)))),1,0)</f>
        <v>1</v>
      </c>
      <c r="M1466" s="0" t="n">
        <f aca="false">IF(OR('Offshore - Brisbane'!E258="",ISNUMBER(SEARCH("BSB80120",'Offshore - Brisbane'!B258&amp;'Offshore - Brisbane'!N258)),ISNUMBER(SEARCH("Management (Learning)",'Offshore - Brisbane'!B258))),2,IF(ISNUMBER(SEARCH("CEK:",'Offshore - Brisbane'!N258)),1,0))</f>
        <v>1</v>
      </c>
    </row>
    <row r="1467" customFormat="false" ht="15" hidden="false" customHeight="false" outlineLevel="0" collapsed="false">
      <c r="A1467" s="61" t="s">
        <v>4398</v>
      </c>
      <c r="B1467" s="62"/>
      <c r="C1467" s="62"/>
      <c r="D1467" s="62"/>
      <c r="E1467" s="62"/>
      <c r="F1467" s="62"/>
      <c r="G1467" s="62"/>
      <c r="H1467" s="62"/>
      <c r="I1467" s="62"/>
    </row>
    <row r="1468" customFormat="false" ht="15" hidden="false" customHeight="false" outlineLevel="0" collapsed="false">
      <c r="A1468" s="63" t="s">
        <v>3718</v>
      </c>
      <c r="B1468" s="64" t="s">
        <v>4374</v>
      </c>
      <c r="C1468" s="63" t="s">
        <v>41</v>
      </c>
      <c r="D1468" s="64" t="str">
        <f aca="false">TRIM(LEFT('Offshore - Canberra'!A6,FIND(CHAR(10),'Offshore - Canberra'!A6&amp;CHAR(10))-1))</f>
        <v>Australian Catholic University (ACU)</v>
      </c>
      <c r="E1468" s="63" t="str">
        <f aca="false">'Offshore - Canberra'!C104&amp;""</f>
        <v>1 year</v>
      </c>
      <c r="F1468" s="63" t="str">
        <f aca="false">IF('Offshore - Canberra'!D104="","Belum tercatat",'Offshore - Canberra'!D104)</f>
        <v>Term</v>
      </c>
      <c r="G1468" s="65" t="n">
        <f aca="false">IF('Offshore - Canberra'!E104="","-",'Offshore - Canberra'!E104)</f>
        <v>8058</v>
      </c>
      <c r="H1468" s="63" t="n">
        <f aca="false">IF(ISNUMBER(K1468),COUNTIFS($J$6:$J$1854,J1468,$K$6:$K$1854,"&lt;"&amp;K1468)+1,"-")</f>
        <v>1</v>
      </c>
      <c r="I1468" s="64" t="str">
        <f aca="false">IF('Offshore - Canberra'!E104="","Harga belum tersedia - hubungi konsultan TEG",IF(M1468=2,"Saat ini tidak menerima pendaftaran siswa internasional baru",IF(M1468=1,"Harga perlu dikonfirmasi ke sekolah"&amp;IF(""="","","; "&amp;""),"")))</f>
        <v/>
      </c>
      <c r="J1468" s="0" t="s">
        <v>4399</v>
      </c>
      <c r="K1468" s="0" t="n">
        <f aca="false">IF(M1468=2,"",IF(ISNUMBER(SEARCH("rata-rata:",'Offshore - Canberra'!N104)),VALUE(MID('Offshore - Canberra'!N104,SEARCH("rata-rata:",'Offshore - Canberra'!N104)+11,FIND(";",'Offshore - Canberra'!N104&amp;";",SEARCH("rata-rata:",'Offshore - Canberra'!N104))-SEARCH("rata-rata:",'Offshore - Canberra'!N104)-11)),IF('Offshore - Canberra'!D104="Semester",'Offshore - Canberra'!E104*2,IF('Offshore - Canberra'!D104="Trimester",'Offshore - Canberra'!E104*3,IF('Offshore - Canberra'!D104="Term",'Offshore - Canberra'!E104*4,IF('Offshore - Canberra'!D104="Unit",'Offshore - Canberra'!E104*8,""))))))</f>
        <v>32232</v>
      </c>
      <c r="L1468" s="0" t="n">
        <f aca="false">IF(AND(ISNUMBER('Offshore - Canberra'!E104),ISNUMBER(K1468),ISNUMBER('Offshore - Canberra'!F104),ISNUMBER('Offshore - Canberra'!G104),OR('Offshore - Canberra'!F104&lt;&gt;0,ISNUMBER(SEARCH("Material 0 terverifikasi",'Offshore - Canberra'!N104))),OR('Offshore - Canberra'!G104&lt;&gt;0,ISNUMBER(SEARCH("Enrolment 0 terverifikasi",'Offshore - Canberra'!N104)))),1,0)</f>
        <v>0</v>
      </c>
      <c r="M1468" s="0" t="n">
        <f aca="false">IF(OR('Offshore - Canberra'!E104="",ISNUMBER(SEARCH("BSB80120",'Offshore - Canberra'!B104&amp;'Offshore - Canberra'!N104)),ISNUMBER(SEARCH("Management (Learning)",'Offshore - Canberra'!B104))),2,IF(ISNUMBER(SEARCH("CEK:",'Offshore - Canberra'!N104)),1,0))</f>
        <v>0</v>
      </c>
    </row>
    <row r="1469" customFormat="false" ht="15" hidden="false" customHeight="false" outlineLevel="0" collapsed="false">
      <c r="A1469" s="61" t="s">
        <v>4400</v>
      </c>
      <c r="B1469" s="62"/>
      <c r="C1469" s="62"/>
      <c r="D1469" s="62"/>
      <c r="E1469" s="62"/>
      <c r="F1469" s="62"/>
      <c r="G1469" s="62"/>
      <c r="H1469" s="62"/>
      <c r="I1469" s="62"/>
    </row>
    <row r="1470" customFormat="false" ht="15" hidden="false" customHeight="false" outlineLevel="0" collapsed="false">
      <c r="A1470" s="63" t="s">
        <v>3718</v>
      </c>
      <c r="B1470" s="64" t="s">
        <v>4374</v>
      </c>
      <c r="C1470" s="63" t="s">
        <v>42</v>
      </c>
      <c r="D1470" s="64" t="str">
        <f aca="false">TRIM(LEFT('Offshore - Canberra'!A144,FIND(CHAR(10),'Offshore - Canberra'!A144&amp;CHAR(10))-1))</f>
        <v>Opulence College</v>
      </c>
      <c r="E1470" s="63" t="str">
        <f aca="false">'Offshore - Canberra'!C146&amp;""</f>
        <v>3 years</v>
      </c>
      <c r="F1470" s="63" t="str">
        <f aca="false">IF('Offshore - Canberra'!D146="","Belum tercatat",'Offshore - Canberra'!D146)</f>
        <v>Term</v>
      </c>
      <c r="G1470" s="65" t="n">
        <f aca="false">IF('Offshore - Canberra'!E146="","-",'Offshore - Canberra'!E146)</f>
        <v>2375</v>
      </c>
      <c r="H1470" s="63" t="n">
        <f aca="false">IF(ISNUMBER(K1470),COUNTIFS($J$6:$J$1854,J1470,$K$6:$K$1854,"&lt;"&amp;K1470)+1,"-")</f>
        <v>1</v>
      </c>
      <c r="I1470" s="64" t="str">
        <f aca="false">IF('Offshore - Canberra'!E146="","Harga belum tersedia - hubungi konsultan TEG",IF(M1470=2,"Saat ini tidak menerima pendaftaran siswa internasional baru",IF(M1470=1,"Harga perlu dikonfirmasi ke sekolah"&amp;IF(""="","","; "&amp;""),"")))</f>
        <v/>
      </c>
      <c r="J1470" s="0" t="s">
        <v>4401</v>
      </c>
      <c r="K1470" s="0" t="n">
        <f aca="false">IF(M1470=2,"",IF(ISNUMBER(SEARCH("rata-rata:",'Offshore - Canberra'!N146)),VALUE(MID('Offshore - Canberra'!N146,SEARCH("rata-rata:",'Offshore - Canberra'!N146)+11,FIND(";",'Offshore - Canberra'!N146&amp;";",SEARCH("rata-rata:",'Offshore - Canberra'!N146))-SEARCH("rata-rata:",'Offshore - Canberra'!N146)-11)),IF('Offshore - Canberra'!D146="Semester",'Offshore - Canberra'!E146*2,IF('Offshore - Canberra'!D146="Trimester",'Offshore - Canberra'!E146*3,IF('Offshore - Canberra'!D146="Term",'Offshore - Canberra'!E146*4,IF('Offshore - Canberra'!D146="Unit",'Offshore - Canberra'!E146*8,""))))))</f>
        <v>9500</v>
      </c>
      <c r="L1470" s="0" t="n">
        <f aca="false">IF(AND(ISNUMBER('Offshore - Canberra'!E146),ISNUMBER(K1470),ISNUMBER('Offshore - Canberra'!F146),ISNUMBER('Offshore - Canberra'!G146),OR('Offshore - Canberra'!F146&lt;&gt;0,ISNUMBER(SEARCH("Material 0 terverifikasi",'Offshore - Canberra'!N146))),OR('Offshore - Canberra'!G146&lt;&gt;0,ISNUMBER(SEARCH("Enrolment 0 terverifikasi",'Offshore - Canberra'!N146)))),1,0)</f>
        <v>1</v>
      </c>
      <c r="M1470" s="0" t="n">
        <f aca="false">IF(OR('Offshore - Canberra'!E146="",ISNUMBER(SEARCH("BSB80120",'Offshore - Canberra'!B146&amp;'Offshore - Canberra'!N146)),ISNUMBER(SEARCH("Management (Learning)",'Offshore - Canberra'!B146))),2,IF(ISNUMBER(SEARCH("CEK:",'Offshore - Canberra'!N146)),1,0))</f>
        <v>0</v>
      </c>
    </row>
    <row r="1471" customFormat="false" ht="15" hidden="false" customHeight="false" outlineLevel="0" collapsed="false">
      <c r="A1471" s="63" t="s">
        <v>3718</v>
      </c>
      <c r="B1471" s="64" t="s">
        <v>4374</v>
      </c>
      <c r="C1471" s="63" t="s">
        <v>42</v>
      </c>
      <c r="D1471" s="64" t="str">
        <f aca="false">TRIM(LEFT('Offshore - Canberra'!A111,FIND(CHAR(10),'Offshore - Canberra'!A111&amp;CHAR(10))-1))</f>
        <v>Capital College</v>
      </c>
      <c r="E1471" s="63" t="str">
        <f aca="false">'Offshore - Canberra'!C116&amp;""</f>
        <v>3 years</v>
      </c>
      <c r="F1471" s="63" t="str">
        <f aca="false">IF('Offshore - Canberra'!D116="","Belum tercatat",'Offshore - Canberra'!D116)</f>
        <v>Term</v>
      </c>
      <c r="G1471" s="65" t="n">
        <f aca="false">IF('Offshore - Canberra'!E116="","-",'Offshore - Canberra'!E116)</f>
        <v>2835</v>
      </c>
      <c r="H1471" s="63" t="n">
        <f aca="false">IF(ISNUMBER(K1471),COUNTIFS($J$6:$J$1854,J1471,$K$6:$K$1854,"&lt;"&amp;K1471)+1,"-")</f>
        <v>2</v>
      </c>
      <c r="I1471" s="64" t="str">
        <f aca="false">IF('Offshore - Canberra'!E116="","Harga belum tersedia - hubungi konsultan TEG",IF(M1471=2,"Saat ini tidak menerima pendaftaran siswa internasional baru",IF(M1471=1,"Harga perlu dikonfirmasi ke sekolah"&amp;IF(""="","","; "&amp;""),"")))</f>
        <v>Harga perlu dikonfirmasi ke sekolah</v>
      </c>
      <c r="J1471" s="0" t="s">
        <v>4401</v>
      </c>
      <c r="K1471" s="0" t="n">
        <f aca="false">IF(M1471=2,"",IF(ISNUMBER(SEARCH("rata-rata:",'Offshore - Canberra'!N116)),VALUE(MID('Offshore - Canberra'!N116,SEARCH("rata-rata:",'Offshore - Canberra'!N116)+11,FIND(";",'Offshore - Canberra'!N116&amp;";",SEARCH("rata-rata:",'Offshore - Canberra'!N116))-SEARCH("rata-rata:",'Offshore - Canberra'!N116)-11)),IF('Offshore - Canberra'!D116="Semester",'Offshore - Canberra'!E116*2,IF('Offshore - Canberra'!D116="Trimester",'Offshore - Canberra'!E116*3,IF('Offshore - Canberra'!D116="Term",'Offshore - Canberra'!E116*4,IF('Offshore - Canberra'!D116="Unit",'Offshore - Canberra'!E116*8,""))))))</f>
        <v>11340</v>
      </c>
      <c r="L1471" s="0" t="n">
        <f aca="false">IF(AND(ISNUMBER('Offshore - Canberra'!E116),ISNUMBER(K1471),ISNUMBER('Offshore - Canberra'!F116),ISNUMBER('Offshore - Canberra'!G116),OR('Offshore - Canberra'!F116&lt;&gt;0,ISNUMBER(SEARCH("Material 0 terverifikasi",'Offshore - Canberra'!N116))),OR('Offshore - Canberra'!G116&lt;&gt;0,ISNUMBER(SEARCH("Enrolment 0 terverifikasi",'Offshore - Canberra'!N116)))),1,0)</f>
        <v>1</v>
      </c>
      <c r="M1471" s="0" t="n">
        <f aca="false">IF(OR('Offshore - Canberra'!E116="",ISNUMBER(SEARCH("BSB80120",'Offshore - Canberra'!B116&amp;'Offshore - Canberra'!N116)),ISNUMBER(SEARCH("Management (Learning)",'Offshore - Canberra'!B116))),2,IF(ISNUMBER(SEARCH("CEK:",'Offshore - Canberra'!N116)),1,0))</f>
        <v>1</v>
      </c>
    </row>
    <row r="1472" customFormat="false" ht="15" hidden="false" customHeight="false" outlineLevel="0" collapsed="false">
      <c r="A1472" s="61" t="s">
        <v>4402</v>
      </c>
      <c r="B1472" s="62"/>
      <c r="C1472" s="62"/>
      <c r="D1472" s="62"/>
      <c r="E1472" s="62"/>
      <c r="F1472" s="62"/>
      <c r="G1472" s="62"/>
      <c r="H1472" s="62"/>
      <c r="I1472" s="62"/>
    </row>
    <row r="1473" customFormat="false" ht="15" hidden="false" customHeight="false" outlineLevel="0" collapsed="false">
      <c r="A1473" s="63" t="s">
        <v>3718</v>
      </c>
      <c r="B1473" s="64" t="s">
        <v>4374</v>
      </c>
      <c r="C1473" s="63" t="s">
        <v>43</v>
      </c>
      <c r="D1473" s="64" t="str">
        <f aca="false">TRIM(LEFT('Offshore - Canberra'!A123,FIND(CHAR(10),'Offshore - Canberra'!A123&amp;CHAR(10))-1))</f>
        <v>CIHE Australia</v>
      </c>
      <c r="E1473" s="63" t="str">
        <f aca="false">'Offshore - Canberra'!C133&amp;""</f>
        <v>3 years</v>
      </c>
      <c r="F1473" s="63" t="str">
        <f aca="false">IF('Offshore - Canberra'!D133="","Belum tercatat",'Offshore - Canberra'!D133)</f>
        <v>Term</v>
      </c>
      <c r="G1473" s="65" t="n">
        <f aca="false">IF('Offshore - Canberra'!E133="","-",'Offshore - Canberra'!E133)</f>
        <v>3825</v>
      </c>
      <c r="H1473" s="63" t="n">
        <f aca="false">IF(ISNUMBER(K1473),COUNTIFS($J$6:$J$1854,J1473,$K$6:$K$1854,"&lt;"&amp;K1473)+1,"-")</f>
        <v>1</v>
      </c>
      <c r="I1473" s="64" t="str">
        <f aca="false">IF('Offshore - Canberra'!E133="","Harga belum tersedia - hubungi konsultan TEG",IF(M1473=2,"Saat ini tidak menerima pendaftaran siswa internasional baru",IF(M1473=1,"Harga perlu dikonfirmasi ke sekolah"&amp;IF(""="","","; "&amp;""),"")))</f>
        <v>Harga perlu dikonfirmasi ke sekolah</v>
      </c>
      <c r="J1473" s="0" t="s">
        <v>4403</v>
      </c>
      <c r="K1473" s="0" t="n">
        <f aca="false">IF(M1473=2,"",IF(ISNUMBER(SEARCH("rata-rata:",'Offshore - Canberra'!N133)),VALUE(MID('Offshore - Canberra'!N133,SEARCH("rata-rata:",'Offshore - Canberra'!N133)+11,FIND(";",'Offshore - Canberra'!N133&amp;";",SEARCH("rata-rata:",'Offshore - Canberra'!N133))-SEARCH("rata-rata:",'Offshore - Canberra'!N133)-11)),IF('Offshore - Canberra'!D133="Semester",'Offshore - Canberra'!E133*2,IF('Offshore - Canberra'!D133="Trimester",'Offshore - Canberra'!E133*3,IF('Offshore - Canberra'!D133="Term",'Offshore - Canberra'!E133*4,IF('Offshore - Canberra'!D133="Unit",'Offshore - Canberra'!E133*8,""))))))</f>
        <v>15300</v>
      </c>
      <c r="L1473" s="0" t="n">
        <f aca="false">IF(AND(ISNUMBER('Offshore - Canberra'!E133),ISNUMBER(K1473),ISNUMBER('Offshore - Canberra'!F133),ISNUMBER('Offshore - Canberra'!G133),OR('Offshore - Canberra'!F133&lt;&gt;0,ISNUMBER(SEARCH("Material 0 terverifikasi",'Offshore - Canberra'!N133))),OR('Offshore - Canberra'!G133&lt;&gt;0,ISNUMBER(SEARCH("Enrolment 0 terverifikasi",'Offshore - Canberra'!N133)))),1,0)</f>
        <v>1</v>
      </c>
      <c r="M1473" s="0" t="n">
        <f aca="false">IF(OR('Offshore - Canberra'!E133="",ISNUMBER(SEARCH("BSB80120",'Offshore - Canberra'!B133&amp;'Offshore - Canberra'!N133)),ISNUMBER(SEARCH("Management (Learning)",'Offshore - Canberra'!B133))),2,IF(ISNUMBER(SEARCH("CEK:",'Offshore - Canberra'!N133)),1,0))</f>
        <v>1</v>
      </c>
    </row>
    <row r="1474" customFormat="false" ht="15" hidden="false" customHeight="false" outlineLevel="0" collapsed="false">
      <c r="A1474" s="63" t="s">
        <v>3718</v>
      </c>
      <c r="B1474" s="64" t="s">
        <v>4374</v>
      </c>
      <c r="C1474" s="63" t="s">
        <v>43</v>
      </c>
      <c r="D1474" s="64" t="str">
        <f aca="false">TRIM(LEFT('Offshore - Canberra'!A6,FIND(CHAR(10),'Offshore - Canberra'!A6&amp;CHAR(10))-1))</f>
        <v>Australian Catholic University (ACU)</v>
      </c>
      <c r="E1474" s="63" t="str">
        <f aca="false">'Offshore - Canberra'!C20&amp;""</f>
        <v>3 years</v>
      </c>
      <c r="F1474" s="63" t="str">
        <f aca="false">IF('Offshore - Canberra'!D20="","Belum tercatat",'Offshore - Canberra'!D20)</f>
        <v>Term</v>
      </c>
      <c r="G1474" s="65" t="n">
        <f aca="false">IF('Offshore - Canberra'!E20="","-",'Offshore - Canberra'!E20)</f>
        <v>8742</v>
      </c>
      <c r="H1474" s="63" t="n">
        <f aca="false">IF(ISNUMBER(K1474),COUNTIFS($J$6:$J$1854,J1474,$K$6:$K$1854,"&lt;"&amp;K1474)+1,"-")</f>
        <v>2</v>
      </c>
      <c r="I1474" s="64" t="str">
        <f aca="false">IF('Offshore - Canberra'!E20="","Harga belum tersedia - hubungi konsultan TEG",IF(M1474=2,"Saat ini tidak menerima pendaftaran siswa internasional baru",IF(M1474=1,"Harga perlu dikonfirmasi ke sekolah"&amp;IF(""="","","; "&amp;""),"")))</f>
        <v/>
      </c>
      <c r="J1474" s="0" t="s">
        <v>4403</v>
      </c>
      <c r="K1474" s="0" t="n">
        <f aca="false">IF(M1474=2,"",IF(ISNUMBER(SEARCH("rata-rata:",'Offshore - Canberra'!N20)),VALUE(MID('Offshore - Canberra'!N20,SEARCH("rata-rata:",'Offshore - Canberra'!N20)+11,FIND(";",'Offshore - Canberra'!N20&amp;";",SEARCH("rata-rata:",'Offshore - Canberra'!N20))-SEARCH("rata-rata:",'Offshore - Canberra'!N20)-11)),IF('Offshore - Canberra'!D20="Semester",'Offshore - Canberra'!E20*2,IF('Offshore - Canberra'!D20="Trimester",'Offshore - Canberra'!E20*3,IF('Offshore - Canberra'!D20="Term",'Offshore - Canberra'!E20*4,IF('Offshore - Canberra'!D20="Unit",'Offshore - Canberra'!E20*8,""))))))</f>
        <v>34968</v>
      </c>
      <c r="L1474" s="0" t="n">
        <f aca="false">IF(AND(ISNUMBER('Offshore - Canberra'!E20),ISNUMBER(K1474),ISNUMBER('Offshore - Canberra'!F20),ISNUMBER('Offshore - Canberra'!G20),OR('Offshore - Canberra'!F20&lt;&gt;0,ISNUMBER(SEARCH("Material 0 terverifikasi",'Offshore - Canberra'!N20))),OR('Offshore - Canberra'!G20&lt;&gt;0,ISNUMBER(SEARCH("Enrolment 0 terverifikasi",'Offshore - Canberra'!N20)))),1,0)</f>
        <v>0</v>
      </c>
      <c r="M1474" s="0" t="n">
        <f aca="false">IF(OR('Offshore - Canberra'!E20="",ISNUMBER(SEARCH("BSB80120",'Offshore - Canberra'!B20&amp;'Offshore - Canberra'!N20)),ISNUMBER(SEARCH("Management (Learning)",'Offshore - Canberra'!B20))),2,IF(ISNUMBER(SEARCH("CEK:",'Offshore - Canberra'!N20)),1,0))</f>
        <v>0</v>
      </c>
    </row>
    <row r="1475" customFormat="false" ht="15" hidden="false" customHeight="false" outlineLevel="0" collapsed="false">
      <c r="A1475" s="61" t="s">
        <v>4404</v>
      </c>
      <c r="B1475" s="62"/>
      <c r="C1475" s="62"/>
      <c r="D1475" s="62"/>
      <c r="E1475" s="62"/>
      <c r="F1475" s="62"/>
      <c r="G1475" s="62"/>
      <c r="H1475" s="62"/>
      <c r="I1475" s="62"/>
    </row>
    <row r="1476" customFormat="false" ht="15" hidden="false" customHeight="false" outlineLevel="0" collapsed="false">
      <c r="A1476" s="63" t="s">
        <v>3718</v>
      </c>
      <c r="B1476" s="64" t="s">
        <v>4374</v>
      </c>
      <c r="C1476" s="63" t="s">
        <v>3707</v>
      </c>
      <c r="D1476" s="64" t="str">
        <f aca="false">TRIM(LEFT('Offshore - Canberra'!A6,FIND(CHAR(10),'Offshore - Canberra'!A6&amp;CHAR(10))-1))</f>
        <v>Australian Catholic University (ACU)</v>
      </c>
      <c r="E1476" s="63" t="str">
        <f aca="false">'Offshore - Canberra'!C30&amp;""</f>
        <v>0,5 year</v>
      </c>
      <c r="F1476" s="63" t="str">
        <f aca="false">IF('Offshore - Canberra'!D30="","Belum tercatat",'Offshore - Canberra'!D30)</f>
        <v>Term</v>
      </c>
      <c r="G1476" s="65" t="n">
        <f aca="false">IF('Offshore - Canberra'!E30="","-",'Offshore - Canberra'!E30)</f>
        <v>4762</v>
      </c>
      <c r="H1476" s="63" t="n">
        <f aca="false">IF(ISNUMBER(K1476),COUNTIFS($J$6:$J$1854,J1476,$K$6:$K$1854,"&lt;"&amp;K1476)+1,"-")</f>
        <v>1</v>
      </c>
      <c r="I1476" s="64" t="str">
        <f aca="false">IF('Offshore - Canberra'!E30="","Harga belum tersedia - hubungi konsultan TEG",IF(M1476=2,"Saat ini tidak menerima pendaftaran siswa internasional baru",IF(M1476=1,"Harga perlu dikonfirmasi ke sekolah"&amp;IF(""="","","; "&amp;""),"")))</f>
        <v>Harga perlu dikonfirmasi ke sekolah</v>
      </c>
      <c r="J1476" s="0" t="s">
        <v>4405</v>
      </c>
      <c r="K1476" s="0" t="n">
        <f aca="false">IF(M1476=2,"",IF(ISNUMBER(SEARCH("rata-rata:",'Offshore - Canberra'!N30)),VALUE(MID('Offshore - Canberra'!N30,SEARCH("rata-rata:",'Offshore - Canberra'!N30)+11,FIND(";",'Offshore - Canberra'!N30&amp;";",SEARCH("rata-rata:",'Offshore - Canberra'!N30))-SEARCH("rata-rata:",'Offshore - Canberra'!N30)-11)),IF('Offshore - Canberra'!D30="Semester",'Offshore - Canberra'!E30*2,IF('Offshore - Canberra'!D30="Trimester",'Offshore - Canberra'!E30*3,IF('Offshore - Canberra'!D30="Term",'Offshore - Canberra'!E30*4,IF('Offshore - Canberra'!D30="Unit",'Offshore - Canberra'!E30*8,""))))))</f>
        <v>19048</v>
      </c>
      <c r="L1476" s="0" t="n">
        <f aca="false">IF(AND(ISNUMBER('Offshore - Canberra'!E30),ISNUMBER(K1476),ISNUMBER('Offshore - Canberra'!F30),ISNUMBER('Offshore - Canberra'!G30),OR('Offshore - Canberra'!F30&lt;&gt;0,ISNUMBER(SEARCH("Material 0 terverifikasi",'Offshore - Canberra'!N30))),OR('Offshore - Canberra'!G30&lt;&gt;0,ISNUMBER(SEARCH("Enrolment 0 terverifikasi",'Offshore - Canberra'!N30)))),1,0)</f>
        <v>0</v>
      </c>
      <c r="M1476" s="0" t="n">
        <f aca="false">IF(OR('Offshore - Canberra'!E30="",ISNUMBER(SEARCH("BSB80120",'Offshore - Canberra'!B30&amp;'Offshore - Canberra'!N30)),ISNUMBER(SEARCH("Management (Learning)",'Offshore - Canberra'!B30))),2,IF(ISNUMBER(SEARCH("CEK:",'Offshore - Canberra'!N30)),1,0))</f>
        <v>1</v>
      </c>
    </row>
    <row r="1477" customFormat="false" ht="15" hidden="false" customHeight="false" outlineLevel="0" collapsed="false">
      <c r="A1477" s="61" t="s">
        <v>4406</v>
      </c>
      <c r="B1477" s="62"/>
      <c r="C1477" s="62"/>
      <c r="D1477" s="62"/>
      <c r="E1477" s="62"/>
      <c r="F1477" s="62"/>
      <c r="G1477" s="62"/>
      <c r="H1477" s="62"/>
      <c r="I1477" s="62"/>
    </row>
    <row r="1478" customFormat="false" ht="15" hidden="false" customHeight="false" outlineLevel="0" collapsed="false">
      <c r="A1478" s="63" t="s">
        <v>3718</v>
      </c>
      <c r="B1478" s="64" t="s">
        <v>4374</v>
      </c>
      <c r="C1478" s="63" t="s">
        <v>46</v>
      </c>
      <c r="D1478" s="64" t="str">
        <f aca="false">TRIM(LEFT('Offshore - Canberra'!A123,FIND(CHAR(10),'Offshore - Canberra'!A123&amp;CHAR(10))-1))</f>
        <v>CIHE Australia</v>
      </c>
      <c r="E1478" s="63" t="str">
        <f aca="false">'Offshore - Canberra'!C132&amp;""</f>
        <v>2 years</v>
      </c>
      <c r="F1478" s="63" t="str">
        <f aca="false">IF('Offshore - Canberra'!D132="","Belum tercatat",'Offshore - Canberra'!D132)</f>
        <v>Term</v>
      </c>
      <c r="G1478" s="65" t="n">
        <f aca="false">IF('Offshore - Canberra'!E132="","-",'Offshore - Canberra'!E132)</f>
        <v>5225</v>
      </c>
      <c r="H1478" s="63" t="n">
        <f aca="false">IF(ISNUMBER(K1478),COUNTIFS($J$6:$J$1854,J1478,$K$6:$K$1854,"&lt;"&amp;K1478)+1,"-")</f>
        <v>1</v>
      </c>
      <c r="I1478" s="64" t="str">
        <f aca="false">IF('Offshore - Canberra'!E132="","Harga belum tersedia - hubungi konsultan TEG",IF(M1478=2,"Saat ini tidak menerima pendaftaran siswa internasional baru",IF(M1478=1,"Harga perlu dikonfirmasi ke sekolah"&amp;IF(""="","","; "&amp;""),"")))</f>
        <v>Harga perlu dikonfirmasi ke sekolah</v>
      </c>
      <c r="J1478" s="0" t="s">
        <v>4407</v>
      </c>
      <c r="K1478" s="0" t="n">
        <f aca="false">IF(M1478=2,"",IF(ISNUMBER(SEARCH("rata-rata:",'Offshore - Canberra'!N132)),VALUE(MID('Offshore - Canberra'!N132,SEARCH("rata-rata:",'Offshore - Canberra'!N132)+11,FIND(";",'Offshore - Canberra'!N132&amp;";",SEARCH("rata-rata:",'Offshore - Canberra'!N132))-SEARCH("rata-rata:",'Offshore - Canberra'!N132)-11)),IF('Offshore - Canberra'!D132="Semester",'Offshore - Canberra'!E132*2,IF('Offshore - Canberra'!D132="Trimester",'Offshore - Canberra'!E132*3,IF('Offshore - Canberra'!D132="Term",'Offshore - Canberra'!E132*4,IF('Offshore - Canberra'!D132="Unit",'Offshore - Canberra'!E132*8,""))))))</f>
        <v>20900</v>
      </c>
      <c r="L1478" s="0" t="n">
        <f aca="false">IF(AND(ISNUMBER('Offshore - Canberra'!E132),ISNUMBER(K1478),ISNUMBER('Offshore - Canberra'!F132),ISNUMBER('Offshore - Canberra'!G132),OR('Offshore - Canberra'!F132&lt;&gt;0,ISNUMBER(SEARCH("Material 0 terverifikasi",'Offshore - Canberra'!N132))),OR('Offshore - Canberra'!G132&lt;&gt;0,ISNUMBER(SEARCH("Enrolment 0 terverifikasi",'Offshore - Canberra'!N132)))),1,0)</f>
        <v>1</v>
      </c>
      <c r="M1478" s="0" t="n">
        <f aca="false">IF(OR('Offshore - Canberra'!E132="",ISNUMBER(SEARCH("BSB80120",'Offshore - Canberra'!B132&amp;'Offshore - Canberra'!N132)),ISNUMBER(SEARCH("Management (Learning)",'Offshore - Canberra'!B132))),2,IF(ISNUMBER(SEARCH("CEK:",'Offshore - Canberra'!N132)),1,0))</f>
        <v>1</v>
      </c>
    </row>
    <row r="1479" customFormat="false" ht="15" hidden="false" customHeight="false" outlineLevel="0" collapsed="false">
      <c r="A1479" s="63" t="s">
        <v>3718</v>
      </c>
      <c r="B1479" s="64" t="s">
        <v>4374</v>
      </c>
      <c r="C1479" s="63" t="s">
        <v>46</v>
      </c>
      <c r="D1479" s="64" t="str">
        <f aca="false">TRIM(LEFT('Offshore - Canberra'!A6,FIND(CHAR(10),'Offshore - Canberra'!A6&amp;CHAR(10))-1))</f>
        <v>Australian Catholic University (ACU)</v>
      </c>
      <c r="E1479" s="63" t="str">
        <f aca="false">'Offshore - Canberra'!C33&amp;""</f>
        <v>2 years</v>
      </c>
      <c r="F1479" s="63" t="str">
        <f aca="false">IF('Offshore - Canberra'!D33="","Belum tercatat",'Offshore - Canberra'!D33)</f>
        <v>Term</v>
      </c>
      <c r="G1479" s="65" t="n">
        <f aca="false">IF('Offshore - Canberra'!E33="","-",'Offshore - Canberra'!E33)</f>
        <v>9524</v>
      </c>
      <c r="H1479" s="63" t="n">
        <f aca="false">IF(ISNUMBER(K1479),COUNTIFS($J$6:$J$1854,J1479,$K$6:$K$1854,"&lt;"&amp;K1479)+1,"-")</f>
        <v>2</v>
      </c>
      <c r="I1479" s="64" t="str">
        <f aca="false">IF('Offshore - Canberra'!E33="","Harga belum tersedia - hubungi konsultan TEG",IF(M1479=2,"Saat ini tidak menerima pendaftaran siswa internasional baru",IF(M1479=1,"Harga perlu dikonfirmasi ke sekolah"&amp;IF(""="","","; "&amp;""),"")))</f>
        <v/>
      </c>
      <c r="J1479" s="0" t="s">
        <v>4407</v>
      </c>
      <c r="K1479" s="0" t="n">
        <f aca="false">IF(M1479=2,"",IF(ISNUMBER(SEARCH("rata-rata:",'Offshore - Canberra'!N33)),VALUE(MID('Offshore - Canberra'!N33,SEARCH("rata-rata:",'Offshore - Canberra'!N33)+11,FIND(";",'Offshore - Canberra'!N33&amp;";",SEARCH("rata-rata:",'Offshore - Canberra'!N33))-SEARCH("rata-rata:",'Offshore - Canberra'!N33)-11)),IF('Offshore - Canberra'!D33="Semester",'Offshore - Canberra'!E33*2,IF('Offshore - Canberra'!D33="Trimester",'Offshore - Canberra'!E33*3,IF('Offshore - Canberra'!D33="Term",'Offshore - Canberra'!E33*4,IF('Offshore - Canberra'!D33="Unit",'Offshore - Canberra'!E33*8,""))))))</f>
        <v>38096</v>
      </c>
      <c r="L1479" s="0" t="n">
        <f aca="false">IF(AND(ISNUMBER('Offshore - Canberra'!E33),ISNUMBER(K1479),ISNUMBER('Offshore - Canberra'!F33),ISNUMBER('Offshore - Canberra'!G33),OR('Offshore - Canberra'!F33&lt;&gt;0,ISNUMBER(SEARCH("Material 0 terverifikasi",'Offshore - Canberra'!N33))),OR('Offshore - Canberra'!G33&lt;&gt;0,ISNUMBER(SEARCH("Enrolment 0 terverifikasi",'Offshore - Canberra'!N33)))),1,0)</f>
        <v>0</v>
      </c>
      <c r="M1479" s="0" t="n">
        <f aca="false">IF(OR('Offshore - Canberra'!E33="",ISNUMBER(SEARCH("BSB80120",'Offshore - Canberra'!B33&amp;'Offshore - Canberra'!N33)),ISNUMBER(SEARCH("Management (Learning)",'Offshore - Canberra'!B33))),2,IF(ISNUMBER(SEARCH("CEK:",'Offshore - Canberra'!N33)),1,0))</f>
        <v>0</v>
      </c>
    </row>
    <row r="1480" customFormat="false" ht="15" hidden="false" customHeight="false" outlineLevel="0" collapsed="false">
      <c r="A1480" s="61" t="s">
        <v>4408</v>
      </c>
      <c r="B1480" s="62"/>
      <c r="C1480" s="62"/>
      <c r="D1480" s="62"/>
      <c r="E1480" s="62"/>
      <c r="F1480" s="62"/>
      <c r="G1480" s="62"/>
      <c r="H1480" s="62"/>
      <c r="I1480" s="62"/>
    </row>
    <row r="1481" customFormat="false" ht="15" hidden="false" customHeight="false" outlineLevel="0" collapsed="false">
      <c r="A1481" s="63" t="s">
        <v>3583</v>
      </c>
      <c r="B1481" s="64" t="s">
        <v>4374</v>
      </c>
      <c r="C1481" s="63" t="s">
        <v>41</v>
      </c>
      <c r="D1481" s="64" t="str">
        <f aca="false">TRIM(LEFT('Offshore - Darwin'!A20,FIND(CHAR(10),'Offshore - Darwin'!A20&amp;CHAR(10))-1))</f>
        <v>Charles Darwin University (CDU)</v>
      </c>
      <c r="E1481" s="63" t="str">
        <f aca="false">'Offshore - Darwin'!C118&amp;""</f>
        <v>1 year</v>
      </c>
      <c r="F1481" s="63" t="str">
        <f aca="false">IF('Offshore - Darwin'!D118="","Belum tercatat",'Offshore - Darwin'!D118)</f>
        <v>Term</v>
      </c>
      <c r="G1481" s="65" t="n">
        <f aca="false">IF('Offshore - Darwin'!E118="","-",'Offshore - Darwin'!E118)</f>
        <v>8568</v>
      </c>
      <c r="H1481" s="63" t="n">
        <f aca="false">IF(ISNUMBER(K1481),COUNTIFS($J$6:$J$1854,J1481,$K$6:$K$1854,"&lt;"&amp;K1481)+1,"-")</f>
        <v>1</v>
      </c>
      <c r="I1481" s="64" t="str">
        <f aca="false">IF('Offshore - Darwin'!E118="","Harga belum tersedia - hubungi konsultan TEG",IF(M1481=2,"Saat ini tidak menerima pendaftaran siswa internasional baru",IF(M1481=1,"Harga perlu dikonfirmasi ke sekolah"&amp;IF(""="","","; "&amp;""),"")))</f>
        <v/>
      </c>
      <c r="J1481" s="0" t="s">
        <v>4409</v>
      </c>
      <c r="K1481" s="0" t="n">
        <f aca="false">IF(M1481=2,"",IF(ISNUMBER(SEARCH("rata-rata:",'Offshore - Darwin'!N118)),VALUE(MID('Offshore - Darwin'!N118,SEARCH("rata-rata:",'Offshore - Darwin'!N118)+11,FIND(";",'Offshore - Darwin'!N118&amp;";",SEARCH("rata-rata:",'Offshore - Darwin'!N118))-SEARCH("rata-rata:",'Offshore - Darwin'!N118)-11)),IF('Offshore - Darwin'!D118="Semester",'Offshore - Darwin'!E118*2,IF('Offshore - Darwin'!D118="Trimester",'Offshore - Darwin'!E118*3,IF('Offshore - Darwin'!D118="Term",'Offshore - Darwin'!E118*4,IF('Offshore - Darwin'!D118="Unit",'Offshore - Darwin'!E118*8,""))))))</f>
        <v>34272</v>
      </c>
      <c r="L1481" s="0" t="n">
        <f aca="false">IF(AND(ISNUMBER('Offshore - Darwin'!E118),ISNUMBER(K1481),ISNUMBER('Offshore - Darwin'!F118),ISNUMBER('Offshore - Darwin'!G118),OR('Offshore - Darwin'!F118&lt;&gt;0,ISNUMBER(SEARCH("Material 0 terverifikasi",'Offshore - Darwin'!N118))),OR('Offshore - Darwin'!G118&lt;&gt;0,ISNUMBER(SEARCH("Enrolment 0 terverifikasi",'Offshore - Darwin'!N118)))),1,0)</f>
        <v>0</v>
      </c>
      <c r="M1481" s="0" t="n">
        <f aca="false">IF(OR('Offshore - Darwin'!E118="",ISNUMBER(SEARCH("BSB80120",'Offshore - Darwin'!B118&amp;'Offshore - Darwin'!N118)),ISNUMBER(SEARCH("Management (Learning)",'Offshore - Darwin'!B118))),2,IF(ISNUMBER(SEARCH("CEK:",'Offshore - Darwin'!N118)),1,0))</f>
        <v>0</v>
      </c>
    </row>
    <row r="1482" customFormat="false" ht="15" hidden="false" customHeight="false" outlineLevel="0" collapsed="false">
      <c r="A1482" s="61" t="s">
        <v>4410</v>
      </c>
      <c r="B1482" s="62"/>
      <c r="C1482" s="62"/>
      <c r="D1482" s="62"/>
      <c r="E1482" s="62"/>
      <c r="F1482" s="62"/>
      <c r="G1482" s="62"/>
      <c r="H1482" s="62"/>
      <c r="I1482" s="62"/>
    </row>
    <row r="1483" customFormat="false" ht="15" hidden="false" customHeight="false" outlineLevel="0" collapsed="false">
      <c r="A1483" s="63" t="s">
        <v>3583</v>
      </c>
      <c r="B1483" s="64" t="s">
        <v>4374</v>
      </c>
      <c r="C1483" s="63" t="s">
        <v>42</v>
      </c>
      <c r="D1483" s="64" t="str">
        <f aca="false">TRIM(LEFT('Offshore - Darwin'!A136,FIND(CHAR(10),'Offshore - Darwin'!A136&amp;CHAR(10))-1))</f>
        <v>Sydney City College of Management</v>
      </c>
      <c r="E1483" s="63" t="str">
        <f aca="false">'Offshore - Darwin'!C137&amp;""</f>
        <v>2,5 years</v>
      </c>
      <c r="F1483" s="63" t="str">
        <f aca="false">IF('Offshore - Darwin'!D137="","Belum tercatat",'Offshore - Darwin'!D137)</f>
        <v>Term</v>
      </c>
      <c r="G1483" s="65" t="n">
        <f aca="false">IF('Offshore - Darwin'!E137="","-",'Offshore - Darwin'!E137)</f>
        <v>3000</v>
      </c>
      <c r="H1483" s="63" t="n">
        <f aca="false">IF(ISNUMBER(K1483),COUNTIFS($J$6:$J$1854,J1483,$K$6:$K$1854,"&lt;"&amp;K1483)+1,"-")</f>
        <v>1</v>
      </c>
      <c r="I1483" s="64" t="str">
        <f aca="false">IF('Offshore - Darwin'!E137="","Harga belum tersedia - hubungi konsultan TEG",IF(M1483=2,"Saat ini tidak menerima pendaftaran siswa internasional baru",IF(M1483=1,"Harga perlu dikonfirmasi ke sekolah"&amp;IF(""="","","; "&amp;""),"")))</f>
        <v/>
      </c>
      <c r="J1483" s="0" t="s">
        <v>4411</v>
      </c>
      <c r="K1483" s="0" t="n">
        <f aca="false">IF(M1483=2,"",IF(ISNUMBER(SEARCH("rata-rata:",'Offshore - Darwin'!N137)),VALUE(MID('Offshore - Darwin'!N137,SEARCH("rata-rata:",'Offshore - Darwin'!N137)+11,FIND(";",'Offshore - Darwin'!N137&amp;";",SEARCH("rata-rata:",'Offshore - Darwin'!N137))-SEARCH("rata-rata:",'Offshore - Darwin'!N137)-11)),IF('Offshore - Darwin'!D137="Semester",'Offshore - Darwin'!E137*2,IF('Offshore - Darwin'!D137="Trimester",'Offshore - Darwin'!E137*3,IF('Offshore - Darwin'!D137="Term",'Offshore - Darwin'!E137*4,IF('Offshore - Darwin'!D137="Unit",'Offshore - Darwin'!E137*8,""))))))</f>
        <v>12000</v>
      </c>
      <c r="L1483" s="0" t="n">
        <f aca="false">IF(AND(ISNUMBER('Offshore - Darwin'!E137),ISNUMBER(K1483),ISNUMBER('Offshore - Darwin'!F137),ISNUMBER('Offshore - Darwin'!G137),OR('Offshore - Darwin'!F137&lt;&gt;0,ISNUMBER(SEARCH("Material 0 terverifikasi",'Offshore - Darwin'!N137))),OR('Offshore - Darwin'!G137&lt;&gt;0,ISNUMBER(SEARCH("Enrolment 0 terverifikasi",'Offshore - Darwin'!N137)))),1,0)</f>
        <v>1</v>
      </c>
      <c r="M1483" s="0" t="n">
        <f aca="false">IF(OR('Offshore - Darwin'!E137="",ISNUMBER(SEARCH("BSB80120",'Offshore - Darwin'!B137&amp;'Offshore - Darwin'!N137)),ISNUMBER(SEARCH("Management (Learning)",'Offshore - Darwin'!B137))),2,IF(ISNUMBER(SEARCH("CEK:",'Offshore - Darwin'!N137)),1,0))</f>
        <v>0</v>
      </c>
    </row>
    <row r="1484" customFormat="false" ht="15" hidden="false" customHeight="false" outlineLevel="0" collapsed="false">
      <c r="A1484" s="63" t="s">
        <v>3583</v>
      </c>
      <c r="B1484" s="64" t="s">
        <v>4374</v>
      </c>
      <c r="C1484" s="63" t="s">
        <v>42</v>
      </c>
      <c r="D1484" s="64" t="str">
        <f aca="false">TRIM(LEFT('Offshore - Darwin'!A20,FIND(CHAR(10),'Offshore - Darwin'!A20&amp;CHAR(10))-1))</f>
        <v>Charles Darwin University (CDU)</v>
      </c>
      <c r="E1484" s="63" t="str">
        <f aca="false">'Offshore - Darwin'!C72&amp;""</f>
        <v>2 years</v>
      </c>
      <c r="F1484" s="63" t="str">
        <f aca="false">IF('Offshore - Darwin'!D72="","Belum tercatat",'Offshore - Darwin'!D72)</f>
        <v>Term</v>
      </c>
      <c r="G1484" s="65" t="n">
        <f aca="false">IF('Offshore - Darwin'!E72="","-",'Offshore - Darwin'!E72)</f>
        <v>8714</v>
      </c>
      <c r="H1484" s="63" t="n">
        <f aca="false">IF(ISNUMBER(K1484),COUNTIFS($J$6:$J$1854,J1484,$K$6:$K$1854,"&lt;"&amp;K1484)+1,"-")</f>
        <v>2</v>
      </c>
      <c r="I1484" s="64" t="str">
        <f aca="false">IF('Offshore - Darwin'!E72="","Harga belum tersedia - hubungi konsultan TEG",IF(M1484=2,"Saat ini tidak menerima pendaftaran siswa internasional baru",IF(M1484=1,"Harga perlu dikonfirmasi ke sekolah"&amp;IF(""="","","; "&amp;""),"")))</f>
        <v/>
      </c>
      <c r="J1484" s="0" t="s">
        <v>4411</v>
      </c>
      <c r="K1484" s="0" t="n">
        <f aca="false">IF(M1484=2,"",IF(ISNUMBER(SEARCH("rata-rata:",'Offshore - Darwin'!N72)),VALUE(MID('Offshore - Darwin'!N72,SEARCH("rata-rata:",'Offshore - Darwin'!N72)+11,FIND(";",'Offshore - Darwin'!N72&amp;";",SEARCH("rata-rata:",'Offshore - Darwin'!N72))-SEARCH("rata-rata:",'Offshore - Darwin'!N72)-11)),IF('Offshore - Darwin'!D72="Semester",'Offshore - Darwin'!E72*2,IF('Offshore - Darwin'!D72="Trimester",'Offshore - Darwin'!E72*3,IF('Offshore - Darwin'!D72="Term",'Offshore - Darwin'!E72*4,IF('Offshore - Darwin'!D72="Unit",'Offshore - Darwin'!E72*8,""))))))</f>
        <v>34856</v>
      </c>
      <c r="L1484" s="0" t="n">
        <f aca="false">IF(AND(ISNUMBER('Offshore - Darwin'!E72),ISNUMBER(K1484),ISNUMBER('Offshore - Darwin'!F72),ISNUMBER('Offshore - Darwin'!G72),OR('Offshore - Darwin'!F72&lt;&gt;0,ISNUMBER(SEARCH("Material 0 terverifikasi",'Offshore - Darwin'!N72))),OR('Offshore - Darwin'!G72&lt;&gt;0,ISNUMBER(SEARCH("Enrolment 0 terverifikasi",'Offshore - Darwin'!N72)))),1,0)</f>
        <v>0</v>
      </c>
      <c r="M1484" s="0" t="n">
        <f aca="false">IF(OR('Offshore - Darwin'!E72="",ISNUMBER(SEARCH("BSB80120",'Offshore - Darwin'!B72&amp;'Offshore - Darwin'!N72)),ISNUMBER(SEARCH("Management (Learning)",'Offshore - Darwin'!B72))),2,IF(ISNUMBER(SEARCH("CEK:",'Offshore - Darwin'!N72)),1,0))</f>
        <v>0</v>
      </c>
    </row>
    <row r="1485" customFormat="false" ht="15" hidden="false" customHeight="false" outlineLevel="0" collapsed="false">
      <c r="A1485" s="61" t="s">
        <v>4412</v>
      </c>
      <c r="B1485" s="62"/>
      <c r="C1485" s="62"/>
      <c r="D1485" s="62"/>
      <c r="E1485" s="62"/>
      <c r="F1485" s="62"/>
      <c r="G1485" s="62"/>
      <c r="H1485" s="62"/>
      <c r="I1485" s="62"/>
    </row>
    <row r="1486" customFormat="false" ht="15" hidden="false" customHeight="false" outlineLevel="0" collapsed="false">
      <c r="A1486" s="63" t="s">
        <v>3583</v>
      </c>
      <c r="B1486" s="64" t="s">
        <v>4374</v>
      </c>
      <c r="C1486" s="63" t="s">
        <v>43</v>
      </c>
      <c r="D1486" s="64" t="str">
        <f aca="false">TRIM(LEFT('Offshore - Darwin'!A20,FIND(CHAR(10),'Offshore - Darwin'!A20&amp;CHAR(10))-1))</f>
        <v>Charles Darwin University (CDU)</v>
      </c>
      <c r="E1486" s="63" t="str">
        <f aca="false">'Offshore - Darwin'!C120&amp;""</f>
        <v>3 years</v>
      </c>
      <c r="F1486" s="63" t="str">
        <f aca="false">IF('Offshore - Darwin'!D120="","Belum tercatat",'Offshore - Darwin'!D120)</f>
        <v>Term</v>
      </c>
      <c r="G1486" s="65" t="n">
        <f aca="false">IF('Offshore - Darwin'!E120="","-",'Offshore - Darwin'!E120)</f>
        <v>8714</v>
      </c>
      <c r="H1486" s="63" t="n">
        <f aca="false">IF(ISNUMBER(K1486),COUNTIFS($J$6:$J$1854,J1486,$K$6:$K$1854,"&lt;"&amp;K1486)+1,"-")</f>
        <v>1</v>
      </c>
      <c r="I1486" s="64" t="str">
        <f aca="false">IF('Offshore - Darwin'!E120="","Harga belum tersedia - hubungi konsultan TEG",IF(M1486=2,"Saat ini tidak menerima pendaftaran siswa internasional baru",IF(M1486=1,"Harga perlu dikonfirmasi ke sekolah"&amp;IF(""="","","; "&amp;""),"")))</f>
        <v/>
      </c>
      <c r="J1486" s="0" t="s">
        <v>4413</v>
      </c>
      <c r="K1486" s="0" t="n">
        <f aca="false">IF(M1486=2,"",IF(ISNUMBER(SEARCH("rata-rata:",'Offshore - Darwin'!N120)),VALUE(MID('Offshore - Darwin'!N120,SEARCH("rata-rata:",'Offshore - Darwin'!N120)+11,FIND(";",'Offshore - Darwin'!N120&amp;";",SEARCH("rata-rata:",'Offshore - Darwin'!N120))-SEARCH("rata-rata:",'Offshore - Darwin'!N120)-11)),IF('Offshore - Darwin'!D120="Semester",'Offshore - Darwin'!E120*2,IF('Offshore - Darwin'!D120="Trimester",'Offshore - Darwin'!E120*3,IF('Offshore - Darwin'!D120="Term",'Offshore - Darwin'!E120*4,IF('Offshore - Darwin'!D120="Unit",'Offshore - Darwin'!E120*8,""))))))</f>
        <v>34856</v>
      </c>
      <c r="L1486" s="0" t="n">
        <f aca="false">IF(AND(ISNUMBER('Offshore - Darwin'!E120),ISNUMBER(K1486),ISNUMBER('Offshore - Darwin'!F120),ISNUMBER('Offshore - Darwin'!G120),OR('Offshore - Darwin'!F120&lt;&gt;0,ISNUMBER(SEARCH("Material 0 terverifikasi",'Offshore - Darwin'!N120))),OR('Offshore - Darwin'!G120&lt;&gt;0,ISNUMBER(SEARCH("Enrolment 0 terverifikasi",'Offshore - Darwin'!N120)))),1,0)</f>
        <v>0</v>
      </c>
      <c r="M1486" s="0" t="n">
        <f aca="false">IF(OR('Offshore - Darwin'!E120="",ISNUMBER(SEARCH("BSB80120",'Offshore - Darwin'!B120&amp;'Offshore - Darwin'!N120)),ISNUMBER(SEARCH("Management (Learning)",'Offshore - Darwin'!B120))),2,IF(ISNUMBER(SEARCH("CEK:",'Offshore - Darwin'!N120)),1,0))</f>
        <v>0</v>
      </c>
    </row>
    <row r="1487" customFormat="false" ht="15" hidden="false" customHeight="false" outlineLevel="0" collapsed="false">
      <c r="A1487" s="61" t="s">
        <v>4414</v>
      </c>
      <c r="B1487" s="62"/>
      <c r="C1487" s="62"/>
      <c r="D1487" s="62"/>
      <c r="E1487" s="62"/>
      <c r="F1487" s="62"/>
      <c r="G1487" s="62"/>
      <c r="H1487" s="62"/>
      <c r="I1487" s="62"/>
    </row>
    <row r="1488" customFormat="false" ht="15" hidden="false" customHeight="false" outlineLevel="0" collapsed="false">
      <c r="A1488" s="63" t="s">
        <v>3583</v>
      </c>
      <c r="B1488" s="64" t="s">
        <v>4374</v>
      </c>
      <c r="C1488" s="63" t="s">
        <v>46</v>
      </c>
      <c r="D1488" s="64" t="str">
        <f aca="false">TRIM(LEFT('Offshore - Darwin'!A20,FIND(CHAR(10),'Offshore - Darwin'!A20&amp;CHAR(10))-1))</f>
        <v>Charles Darwin University (CDU)</v>
      </c>
      <c r="E1488" s="63" t="str">
        <f aca="false">'Offshore - Darwin'!C123&amp;""</f>
        <v>2 years</v>
      </c>
      <c r="F1488" s="63" t="str">
        <f aca="false">IF('Offshore - Darwin'!D123="","Belum tercatat",'Offshore - Darwin'!D123)</f>
        <v>Term</v>
      </c>
      <c r="G1488" s="65" t="n">
        <f aca="false">IF('Offshore - Darwin'!E123="","-",'Offshore - Darwin'!E123)</f>
        <v>9110</v>
      </c>
      <c r="H1488" s="63" t="n">
        <f aca="false">IF(ISNUMBER(K1488),COUNTIFS($J$6:$J$1854,J1488,$K$6:$K$1854,"&lt;"&amp;K1488)+1,"-")</f>
        <v>1</v>
      </c>
      <c r="I1488" s="64" t="str">
        <f aca="false">IF('Offshore - Darwin'!E123="","Harga belum tersedia - hubungi konsultan TEG",IF(M1488=2,"Saat ini tidak menerima pendaftaran siswa internasional baru",IF(M1488=1,"Harga perlu dikonfirmasi ke sekolah"&amp;IF(""="","","; "&amp;""),"")))</f>
        <v/>
      </c>
      <c r="J1488" s="0" t="s">
        <v>4415</v>
      </c>
      <c r="K1488" s="0" t="n">
        <f aca="false">IF(M1488=2,"",IF(ISNUMBER(SEARCH("rata-rata:",'Offshore - Darwin'!N123)),VALUE(MID('Offshore - Darwin'!N123,SEARCH("rata-rata:",'Offshore - Darwin'!N123)+11,FIND(";",'Offshore - Darwin'!N123&amp;";",SEARCH("rata-rata:",'Offshore - Darwin'!N123))-SEARCH("rata-rata:",'Offshore - Darwin'!N123)-11)),IF('Offshore - Darwin'!D123="Semester",'Offshore - Darwin'!E123*2,IF('Offshore - Darwin'!D123="Trimester",'Offshore - Darwin'!E123*3,IF('Offshore - Darwin'!D123="Term",'Offshore - Darwin'!E123*4,IF('Offshore - Darwin'!D123="Unit",'Offshore - Darwin'!E123*8,""))))))</f>
        <v>36440</v>
      </c>
      <c r="L1488" s="0" t="n">
        <f aca="false">IF(AND(ISNUMBER('Offshore - Darwin'!E123),ISNUMBER(K1488),ISNUMBER('Offshore - Darwin'!F123),ISNUMBER('Offshore - Darwin'!G123),OR('Offshore - Darwin'!F123&lt;&gt;0,ISNUMBER(SEARCH("Material 0 terverifikasi",'Offshore - Darwin'!N123))),OR('Offshore - Darwin'!G123&lt;&gt;0,ISNUMBER(SEARCH("Enrolment 0 terverifikasi",'Offshore - Darwin'!N123)))),1,0)</f>
        <v>0</v>
      </c>
      <c r="M1488" s="0" t="n">
        <f aca="false">IF(OR('Offshore - Darwin'!E123="",ISNUMBER(SEARCH("BSB80120",'Offshore - Darwin'!B123&amp;'Offshore - Darwin'!N123)),ISNUMBER(SEARCH("Management (Learning)",'Offshore - Darwin'!B123))),2,IF(ISNUMBER(SEARCH("CEK:",'Offshore - Darwin'!N123)),1,0))</f>
        <v>0</v>
      </c>
    </row>
    <row r="1489" customFormat="false" ht="15" hidden="false" customHeight="false" outlineLevel="0" collapsed="false">
      <c r="A1489" s="61" t="s">
        <v>4416</v>
      </c>
      <c r="B1489" s="62"/>
      <c r="C1489" s="62"/>
      <c r="D1489" s="62"/>
      <c r="E1489" s="62"/>
      <c r="F1489" s="62"/>
      <c r="G1489" s="62"/>
      <c r="H1489" s="62"/>
      <c r="I1489" s="62"/>
    </row>
    <row r="1490" customFormat="false" ht="15" hidden="false" customHeight="false" outlineLevel="0" collapsed="false">
      <c r="A1490" s="63" t="s">
        <v>3544</v>
      </c>
      <c r="B1490" s="64" t="s">
        <v>4374</v>
      </c>
      <c r="C1490" s="63" t="s">
        <v>41</v>
      </c>
      <c r="D1490" s="64" t="str">
        <f aca="false">TRIM(LEFT('Offshore - Melbourne'!A240,FIND(CHAR(10),'Offshore - Melbourne'!A240&amp;CHAR(10))-1))</f>
        <v>Collins Academy</v>
      </c>
      <c r="E1490" s="63" t="str">
        <f aca="false">'Offshore - Melbourne'!C241&amp;""</f>
        <v>1,5 years</v>
      </c>
      <c r="F1490" s="63" t="str">
        <f aca="false">IF('Offshore - Melbourne'!D241="","Belum tercatat",'Offshore - Melbourne'!D241)</f>
        <v>Term</v>
      </c>
      <c r="G1490" s="65" t="n">
        <f aca="false">IF('Offshore - Melbourne'!E241="","-",'Offshore - Melbourne'!E241)</f>
        <v>1950</v>
      </c>
      <c r="H1490" s="63" t="n">
        <f aca="false">IF(ISNUMBER(K1490),COUNTIFS($J$6:$J$1854,J1490,$K$6:$K$1854,"&lt;"&amp;K1490)+1,"-")</f>
        <v>1</v>
      </c>
      <c r="I1490" s="64" t="str">
        <f aca="false">IF('Offshore - Melbourne'!E241="","Harga belum tersedia - hubungi konsultan TEG",IF(M1490=2,"Saat ini tidak menerima pendaftaran siswa internasional baru",IF(M1490=1,"Harga perlu dikonfirmasi ke sekolah"&amp;IF(""="","","; "&amp;""),"")))</f>
        <v>Harga perlu dikonfirmasi ke sekolah</v>
      </c>
      <c r="J1490" s="0" t="s">
        <v>4417</v>
      </c>
      <c r="K1490" s="0" t="n">
        <f aca="false">IF(M1490=2,"",IF(ISNUMBER(SEARCH("rata-rata:",'Offshore - Melbourne'!N241)),VALUE(MID('Offshore - Melbourne'!N241,SEARCH("rata-rata:",'Offshore - Melbourne'!N241)+11,FIND(";",'Offshore - Melbourne'!N241&amp;";",SEARCH("rata-rata:",'Offshore - Melbourne'!N241))-SEARCH("rata-rata:",'Offshore - Melbourne'!N241)-11)),IF('Offshore - Melbourne'!D241="Semester",'Offshore - Melbourne'!E241*2,IF('Offshore - Melbourne'!D241="Trimester",'Offshore - Melbourne'!E241*3,IF('Offshore - Melbourne'!D241="Term",'Offshore - Melbourne'!E241*4,IF('Offshore - Melbourne'!D241="Unit",'Offshore - Melbourne'!E241*8,""))))))</f>
        <v>7800</v>
      </c>
      <c r="L1490" s="0" t="n">
        <f aca="false">IF(AND(ISNUMBER('Offshore - Melbourne'!E241),ISNUMBER(K1490),ISNUMBER('Offshore - Melbourne'!F241),ISNUMBER('Offshore - Melbourne'!G241),OR('Offshore - Melbourne'!F241&lt;&gt;0,ISNUMBER(SEARCH("Material 0 terverifikasi",'Offshore - Melbourne'!N241))),OR('Offshore - Melbourne'!G241&lt;&gt;0,ISNUMBER(SEARCH("Enrolment 0 terverifikasi",'Offshore - Melbourne'!N241)))),1,0)</f>
        <v>1</v>
      </c>
      <c r="M1490" s="0" t="n">
        <f aca="false">IF(OR('Offshore - Melbourne'!E241="",ISNUMBER(SEARCH("BSB80120",'Offshore - Melbourne'!B241&amp;'Offshore - Melbourne'!N241)),ISNUMBER(SEARCH("Management (Learning)",'Offshore - Melbourne'!B241))),2,IF(ISNUMBER(SEARCH("CEK:",'Offshore - Melbourne'!N241)),1,0))</f>
        <v>1</v>
      </c>
    </row>
    <row r="1491" customFormat="false" ht="28.35" hidden="false" customHeight="false" outlineLevel="0" collapsed="false">
      <c r="A1491" s="63" t="s">
        <v>3544</v>
      </c>
      <c r="B1491" s="64" t="s">
        <v>4374</v>
      </c>
      <c r="C1491" s="63" t="s">
        <v>41</v>
      </c>
      <c r="D1491" s="64" t="str">
        <f aca="false">TRIM(LEFT('Offshore - Melbourne'!A53,FIND(CHAR(10),'Offshore - Melbourne'!A53&amp;CHAR(10))-1))</f>
        <v>Albright Institute of Business and Language (AIBL)</v>
      </c>
      <c r="E1491" s="63" t="str">
        <f aca="false">'Offshore - Melbourne'!C59&amp;""</f>
        <v>2 years</v>
      </c>
      <c r="F1491" s="63" t="str">
        <f aca="false">IF('Offshore - Melbourne'!D59="","Belum tercatat",'Offshore - Melbourne'!D59)</f>
        <v>Term</v>
      </c>
      <c r="G1491" s="65" t="n">
        <f aca="false">IF('Offshore - Melbourne'!E59="","-",'Offshore - Melbourne'!E59)</f>
        <v>2250</v>
      </c>
      <c r="H1491" s="63" t="n">
        <f aca="false">IF(ISNUMBER(K1491),COUNTIFS($J$6:$J$1854,J1491,$K$6:$K$1854,"&lt;"&amp;K1491)+1,"-")</f>
        <v>2</v>
      </c>
      <c r="I1491" s="64" t="str">
        <f aca="false">IF('Offshore - Melbourne'!E59="","Harga belum tersedia - hubungi konsultan TEG",IF(M1491=2,"Saat ini tidak menerima pendaftaran siswa internasional baru",IF(M1491=1,"Harga perlu dikonfirmasi ke sekolah"&amp;IF(""="","","; "&amp;""),"")))</f>
        <v/>
      </c>
      <c r="J1491" s="0" t="s">
        <v>4417</v>
      </c>
      <c r="K1491" s="0" t="n">
        <f aca="false">IF(M1491=2,"",IF(ISNUMBER(SEARCH("rata-rata:",'Offshore - Melbourne'!N59)),VALUE(MID('Offshore - Melbourne'!N59,SEARCH("rata-rata:",'Offshore - Melbourne'!N59)+11,FIND(";",'Offshore - Melbourne'!N59&amp;";",SEARCH("rata-rata:",'Offshore - Melbourne'!N59))-SEARCH("rata-rata:",'Offshore - Melbourne'!N59)-11)),IF('Offshore - Melbourne'!D59="Semester",'Offshore - Melbourne'!E59*2,IF('Offshore - Melbourne'!D59="Trimester",'Offshore - Melbourne'!E59*3,IF('Offshore - Melbourne'!D59="Term",'Offshore - Melbourne'!E59*4,IF('Offshore - Melbourne'!D59="Unit",'Offshore - Melbourne'!E59*8,""))))))</f>
        <v>9000</v>
      </c>
      <c r="L1491" s="0" t="n">
        <f aca="false">IF(AND(ISNUMBER('Offshore - Melbourne'!E59),ISNUMBER(K1491),ISNUMBER('Offshore - Melbourne'!F59),ISNUMBER('Offshore - Melbourne'!G59),OR('Offshore - Melbourne'!F59&lt;&gt;0,ISNUMBER(SEARCH("Material 0 terverifikasi",'Offshore - Melbourne'!N59))),OR('Offshore - Melbourne'!G59&lt;&gt;0,ISNUMBER(SEARCH("Enrolment 0 terverifikasi",'Offshore - Melbourne'!N59)))),1,0)</f>
        <v>1</v>
      </c>
      <c r="M1491" s="0" t="n">
        <f aca="false">IF(OR('Offshore - Melbourne'!E59="",ISNUMBER(SEARCH("BSB80120",'Offshore - Melbourne'!B59&amp;'Offshore - Melbourne'!N59)),ISNUMBER(SEARCH("Management (Learning)",'Offshore - Melbourne'!B59))),2,IF(ISNUMBER(SEARCH("CEK:",'Offshore - Melbourne'!N59)),1,0))</f>
        <v>0</v>
      </c>
    </row>
    <row r="1492" customFormat="false" ht="15" hidden="false" customHeight="false" outlineLevel="0" collapsed="false">
      <c r="A1492" s="63" t="s">
        <v>3544</v>
      </c>
      <c r="B1492" s="64" t="s">
        <v>4374</v>
      </c>
      <c r="C1492" s="63" t="s">
        <v>41</v>
      </c>
      <c r="D1492" s="64" t="str">
        <f aca="false">TRIM(LEFT('Offshore - Melbourne'!A78,FIND(CHAR(10),'Offshore - Melbourne'!A78&amp;CHAR(10))-1))</f>
        <v>Asia Pacific International College (APIC)</v>
      </c>
      <c r="E1492" s="63" t="str">
        <f aca="false">'Offshore - Melbourne'!C78&amp;""</f>
        <v>1 year</v>
      </c>
      <c r="F1492" s="63" t="str">
        <f aca="false">IF('Offshore - Melbourne'!D78="","Belum tercatat",'Offshore - Melbourne'!D78)</f>
        <v>Trimester</v>
      </c>
      <c r="G1492" s="65" t="n">
        <f aca="false">IF('Offshore - Melbourne'!E78="","-",'Offshore - Melbourne'!E78)</f>
        <v>3000</v>
      </c>
      <c r="H1492" s="63" t="n">
        <f aca="false">IF(ISNUMBER(K1492),COUNTIFS($J$6:$J$1854,J1492,$K$6:$K$1854,"&lt;"&amp;K1492)+1,"-")</f>
        <v>2</v>
      </c>
      <c r="I1492" s="64" t="str">
        <f aca="false">IF('Offshore - Melbourne'!E78="","Harga belum tersedia - hubungi konsultan TEG",IF(M1492=2,"Saat ini tidak menerima pendaftaran siswa internasional baru",IF(M1492=1,"Harga perlu dikonfirmasi ke sekolah"&amp;IF(""="","","; "&amp;""),"")))</f>
        <v/>
      </c>
      <c r="J1492" s="0" t="s">
        <v>4417</v>
      </c>
      <c r="K1492" s="0" t="n">
        <f aca="false">IF(M1492=2,"",IF(ISNUMBER(SEARCH("rata-rata:",'Offshore - Melbourne'!N78)),VALUE(MID('Offshore - Melbourne'!N78,SEARCH("rata-rata:",'Offshore - Melbourne'!N78)+11,FIND(";",'Offshore - Melbourne'!N78&amp;";",SEARCH("rata-rata:",'Offshore - Melbourne'!N78))-SEARCH("rata-rata:",'Offshore - Melbourne'!N78)-11)),IF('Offshore - Melbourne'!D78="Semester",'Offshore - Melbourne'!E78*2,IF('Offshore - Melbourne'!D78="Trimester",'Offshore - Melbourne'!E78*3,IF('Offshore - Melbourne'!D78="Term",'Offshore - Melbourne'!E78*4,IF('Offshore - Melbourne'!D78="Unit",'Offshore - Melbourne'!E78*8,""))))))</f>
        <v>9000</v>
      </c>
      <c r="L1492" s="0" t="n">
        <f aca="false">IF(AND(ISNUMBER('Offshore - Melbourne'!E78),ISNUMBER(K1492),ISNUMBER('Offshore - Melbourne'!F78),ISNUMBER('Offshore - Melbourne'!G78),OR('Offshore - Melbourne'!F78&lt;&gt;0,ISNUMBER(SEARCH("Material 0 terverifikasi",'Offshore - Melbourne'!N78))),OR('Offshore - Melbourne'!G78&lt;&gt;0,ISNUMBER(SEARCH("Enrolment 0 terverifikasi",'Offshore - Melbourne'!N78)))),1,0)</f>
        <v>0</v>
      </c>
      <c r="M1492" s="0" t="n">
        <f aca="false">IF(OR('Offshore - Melbourne'!E78="",ISNUMBER(SEARCH("BSB80120",'Offshore - Melbourne'!B78&amp;'Offshore - Melbourne'!N78)),ISNUMBER(SEARCH("Management (Learning)",'Offshore - Melbourne'!B78))),2,IF(ISNUMBER(SEARCH("CEK:",'Offshore - Melbourne'!N78)),1,0))</f>
        <v>0</v>
      </c>
    </row>
    <row r="1493" customFormat="false" ht="15" hidden="false" customHeight="false" outlineLevel="0" collapsed="false">
      <c r="A1493" s="63" t="s">
        <v>3544</v>
      </c>
      <c r="B1493" s="64" t="s">
        <v>4374</v>
      </c>
      <c r="C1493" s="63" t="s">
        <v>41</v>
      </c>
      <c r="D1493" s="64" t="str">
        <f aca="false">TRIM(LEFT('Offshore - Melbourne'!A287,FIND(CHAR(10),'Offshore - Melbourne'!A287&amp;CHAR(10))-1))</f>
        <v>INUS / ZOI (Nuture Education Group)</v>
      </c>
      <c r="E1493" s="63" t="str">
        <f aca="false">'Offshore - Melbourne'!C288&amp;""</f>
        <v>2 years</v>
      </c>
      <c r="F1493" s="63" t="str">
        <f aca="false">IF('Offshore - Melbourne'!D288="","Belum tercatat",'Offshore - Melbourne'!D288)</f>
        <v>Term</v>
      </c>
      <c r="G1493" s="65" t="n">
        <f aca="false">IF('Offshore - Melbourne'!E288="","-",'Offshore - Melbourne'!E288)</f>
        <v>2500</v>
      </c>
      <c r="H1493" s="63" t="n">
        <f aca="false">IF(ISNUMBER(K1493),COUNTIFS($J$6:$J$1854,J1493,$K$6:$K$1854,"&lt;"&amp;K1493)+1,"-")</f>
        <v>4</v>
      </c>
      <c r="I1493" s="64" t="str">
        <f aca="false">IF('Offshore - Melbourne'!E288="","Harga belum tersedia - hubungi konsultan TEG",IF(M1493=2,"Saat ini tidak menerima pendaftaran siswa internasional baru",IF(M1493=1,"Harga perlu dikonfirmasi ke sekolah"&amp;IF(""="","","; "&amp;""),"")))</f>
        <v>Harga perlu dikonfirmasi ke sekolah</v>
      </c>
      <c r="J1493" s="0" t="s">
        <v>4417</v>
      </c>
      <c r="K1493" s="0" t="n">
        <f aca="false">IF(M1493=2,"",IF(ISNUMBER(SEARCH("rata-rata:",'Offshore - Melbourne'!N288)),VALUE(MID('Offshore - Melbourne'!N288,SEARCH("rata-rata:",'Offshore - Melbourne'!N288)+11,FIND(";",'Offshore - Melbourne'!N288&amp;";",SEARCH("rata-rata:",'Offshore - Melbourne'!N288))-SEARCH("rata-rata:",'Offshore - Melbourne'!N288)-11)),IF('Offshore - Melbourne'!D288="Semester",'Offshore - Melbourne'!E288*2,IF('Offshore - Melbourne'!D288="Trimester",'Offshore - Melbourne'!E288*3,IF('Offshore - Melbourne'!D288="Term",'Offshore - Melbourne'!E288*4,IF('Offshore - Melbourne'!D288="Unit",'Offshore - Melbourne'!E288*8,""))))))</f>
        <v>10000</v>
      </c>
      <c r="L1493" s="0" t="n">
        <f aca="false">IF(AND(ISNUMBER('Offshore - Melbourne'!E288),ISNUMBER(K1493),ISNUMBER('Offshore - Melbourne'!F288),ISNUMBER('Offshore - Melbourne'!G288),OR('Offshore - Melbourne'!F288&lt;&gt;0,ISNUMBER(SEARCH("Material 0 terverifikasi",'Offshore - Melbourne'!N288))),OR('Offshore - Melbourne'!G288&lt;&gt;0,ISNUMBER(SEARCH("Enrolment 0 terverifikasi",'Offshore - Melbourne'!N288)))),1,0)</f>
        <v>1</v>
      </c>
      <c r="M1493" s="0" t="n">
        <f aca="false">IF(OR('Offshore - Melbourne'!E288="",ISNUMBER(SEARCH("BSB80120",'Offshore - Melbourne'!B288&amp;'Offshore - Melbourne'!N288)),ISNUMBER(SEARCH("Management (Learning)",'Offshore - Melbourne'!B288))),2,IF(ISNUMBER(SEARCH("CEK:",'Offshore - Melbourne'!N288)),1,0))</f>
        <v>1</v>
      </c>
    </row>
    <row r="1494" customFormat="false" ht="15" hidden="false" customHeight="false" outlineLevel="0" collapsed="false">
      <c r="A1494" s="63" t="s">
        <v>3544</v>
      </c>
      <c r="B1494" s="64" t="s">
        <v>4374</v>
      </c>
      <c r="C1494" s="63" t="s">
        <v>41</v>
      </c>
      <c r="D1494" s="64" t="str">
        <f aca="false">TRIM(LEFT('Offshore - Melbourne'!A18,FIND(CHAR(10),'Offshore - Melbourne'!A18&amp;CHAR(10))-1))</f>
        <v>Academy of Interactive Technology (AIT)</v>
      </c>
      <c r="E1494" s="63" t="str">
        <f aca="false">'Offshore - Melbourne'!C27&amp;""</f>
        <v>1 year</v>
      </c>
      <c r="F1494" s="63" t="str">
        <f aca="false">IF('Offshore - Melbourne'!D27="","Belum tercatat",'Offshore - Melbourne'!D27)</f>
        <v>Term</v>
      </c>
      <c r="G1494" s="65" t="n">
        <f aca="false">IF('Offshore - Melbourne'!E27="","-",'Offshore - Melbourne'!E27)</f>
        <v>5750</v>
      </c>
      <c r="H1494" s="63" t="n">
        <f aca="false">IF(ISNUMBER(K1494),COUNTIFS($J$6:$J$1854,J1494,$K$6:$K$1854,"&lt;"&amp;K1494)+1,"-")</f>
        <v>5</v>
      </c>
      <c r="I1494" s="64" t="str">
        <f aca="false">IF('Offshore - Melbourne'!E27="","Harga belum tersedia - hubungi konsultan TEG",IF(M1494=2,"Saat ini tidak menerima pendaftaran siswa internasional baru",IF(M1494=1,"Program perlu dikonfirmasi ketersediaannya"&amp;IF(""="","","; "&amp;""),"")))</f>
        <v>Program perlu dikonfirmasi ketersediaannya</v>
      </c>
      <c r="J1494" s="0" t="s">
        <v>4417</v>
      </c>
      <c r="K1494" s="0" t="n">
        <f aca="false">IF(M1494=2,"",IF(ISNUMBER(SEARCH("rata-rata:",'Offshore - Melbourne'!N27)),VALUE(MID('Offshore - Melbourne'!N27,SEARCH("rata-rata:",'Offshore - Melbourne'!N27)+11,FIND(";",'Offshore - Melbourne'!N27&amp;";",SEARCH("rata-rata:",'Offshore - Melbourne'!N27))-SEARCH("rata-rata:",'Offshore - Melbourne'!N27)-11)),IF('Offshore - Melbourne'!D27="Semester",'Offshore - Melbourne'!E27*2,IF('Offshore - Melbourne'!D27="Trimester",'Offshore - Melbourne'!E27*3,IF('Offshore - Melbourne'!D27="Term",'Offshore - Melbourne'!E27*4,IF('Offshore - Melbourne'!D27="Unit",'Offshore - Melbourne'!E27*8,""))))))</f>
        <v>23000</v>
      </c>
      <c r="L1494" s="0" t="n">
        <f aca="false">IF(AND(ISNUMBER('Offshore - Melbourne'!E27),ISNUMBER(K1494),ISNUMBER('Offshore - Melbourne'!F27),ISNUMBER('Offshore - Melbourne'!G27),OR('Offshore - Melbourne'!F27&lt;&gt;0,ISNUMBER(SEARCH("Material 0 terverifikasi",'Offshore - Melbourne'!N27))),OR('Offshore - Melbourne'!G27&lt;&gt;0,ISNUMBER(SEARCH("Enrolment 0 terverifikasi",'Offshore - Melbourne'!N27)))),1,0)</f>
        <v>0</v>
      </c>
      <c r="M1494" s="0" t="n">
        <f aca="false">IF(OR('Offshore - Melbourne'!E27="",ISNUMBER(SEARCH("BSB80120",'Offshore - Melbourne'!B27&amp;'Offshore - Melbourne'!N27)),ISNUMBER(SEARCH("Management (Learning)",'Offshore - Melbourne'!B27))),2,IF(ISNUMBER(SEARCH("CEK:",'Offshore - Melbourne'!N27)),1,0))</f>
        <v>1</v>
      </c>
    </row>
    <row r="1495" customFormat="false" ht="15" hidden="false" customHeight="false" outlineLevel="0" collapsed="false">
      <c r="A1495" s="63" t="s">
        <v>3544</v>
      </c>
      <c r="B1495" s="64" t="s">
        <v>4374</v>
      </c>
      <c r="C1495" s="63" t="s">
        <v>41</v>
      </c>
      <c r="D1495" s="64" t="str">
        <f aca="false">TRIM(LEFT('Offshore - Melbourne'!A443,FIND(CHAR(10),'Offshore - Melbourne'!A443&amp;CHAR(10))-1))</f>
        <v>Torrens University Australia</v>
      </c>
      <c r="E1495" s="63" t="str">
        <f aca="false">'Offshore - Melbourne'!C492&amp;""</f>
        <v>1 year</v>
      </c>
      <c r="F1495" s="63" t="str">
        <f aca="false">IF('Offshore - Melbourne'!D492="","Belum tercatat",'Offshore - Melbourne'!D492)</f>
        <v>Term</v>
      </c>
      <c r="G1495" s="65" t="n">
        <f aca="false">IF('Offshore - Melbourne'!E492="","-",'Offshore - Melbourne'!E492)</f>
        <v>7900</v>
      </c>
      <c r="H1495" s="63" t="n">
        <f aca="false">IF(ISNUMBER(K1495),COUNTIFS($J$6:$J$1854,J1495,$K$6:$K$1854,"&lt;"&amp;K1495)+1,"-")</f>
        <v>6</v>
      </c>
      <c r="I1495" s="64" t="str">
        <f aca="false">IF('Offshore - Melbourne'!E492="","Harga belum tersedia - hubungi konsultan TEG",IF(M1495=2,"Saat ini tidak menerima pendaftaran siswa internasional baru",IF(M1495=1,"Harga perlu dikonfirmasi ke sekolah"&amp;IF(""="","","; "&amp;""),"")))</f>
        <v/>
      </c>
      <c r="J1495" s="0" t="s">
        <v>4417</v>
      </c>
      <c r="K1495" s="0" t="n">
        <f aca="false">IF(M1495=2,"",IF(ISNUMBER(SEARCH("rata-rata:",'Offshore - Melbourne'!N492)),VALUE(MID('Offshore - Melbourne'!N492,SEARCH("rata-rata:",'Offshore - Melbourne'!N492)+11,FIND(";",'Offshore - Melbourne'!N492&amp;";",SEARCH("rata-rata:",'Offshore - Melbourne'!N492))-SEARCH("rata-rata:",'Offshore - Melbourne'!N492)-11)),IF('Offshore - Melbourne'!D492="Semester",'Offshore - Melbourne'!E492*2,IF('Offshore - Melbourne'!D492="Trimester",'Offshore - Melbourne'!E492*3,IF('Offshore - Melbourne'!D492="Term",'Offshore - Melbourne'!E492*4,IF('Offshore - Melbourne'!D492="Unit",'Offshore - Melbourne'!E492*8,""))))))</f>
        <v>31600</v>
      </c>
      <c r="L1495" s="0" t="n">
        <f aca="false">IF(AND(ISNUMBER('Offshore - Melbourne'!E492),ISNUMBER(K1495),ISNUMBER('Offshore - Melbourne'!F492),ISNUMBER('Offshore - Melbourne'!G492),OR('Offshore - Melbourne'!F492&lt;&gt;0,ISNUMBER(SEARCH("Material 0 terverifikasi",'Offshore - Melbourne'!N492))),OR('Offshore - Melbourne'!G492&lt;&gt;0,ISNUMBER(SEARCH("Enrolment 0 terverifikasi",'Offshore - Melbourne'!N492)))),1,0)</f>
        <v>0</v>
      </c>
      <c r="M1495" s="0" t="n">
        <f aca="false">IF(OR('Offshore - Melbourne'!E492="",ISNUMBER(SEARCH("BSB80120",'Offshore - Melbourne'!B492&amp;'Offshore - Melbourne'!N492)),ISNUMBER(SEARCH("Management (Learning)",'Offshore - Melbourne'!B492))),2,IF(ISNUMBER(SEARCH("CEK:",'Offshore - Melbourne'!N492)),1,0))</f>
        <v>0</v>
      </c>
    </row>
    <row r="1496" customFormat="false" ht="15" hidden="false" customHeight="false" outlineLevel="0" collapsed="false">
      <c r="A1496" s="63" t="s">
        <v>3544</v>
      </c>
      <c r="B1496" s="64" t="s">
        <v>4374</v>
      </c>
      <c r="C1496" s="63" t="s">
        <v>41</v>
      </c>
      <c r="D1496" s="64" t="str">
        <f aca="false">TRIM(LEFT('Offshore - Melbourne'!A95,FIND(CHAR(10),'Offshore - Melbourne'!A95&amp;CHAR(10))-1))</f>
        <v>Australian Catholic University (ACU)</v>
      </c>
      <c r="E1496" s="63" t="str">
        <f aca="false">'Offshore - Melbourne'!C193&amp;""</f>
        <v>1 year</v>
      </c>
      <c r="F1496" s="63" t="str">
        <f aca="false">IF('Offshore - Melbourne'!D193="","Belum tercatat",'Offshore - Melbourne'!D193)</f>
        <v>Term</v>
      </c>
      <c r="G1496" s="65" t="n">
        <f aca="false">IF('Offshore - Melbourne'!E193="","-",'Offshore - Melbourne'!E193)</f>
        <v>8058</v>
      </c>
      <c r="H1496" s="63" t="n">
        <f aca="false">IF(ISNUMBER(K1496),COUNTIFS($J$6:$J$1854,J1496,$K$6:$K$1854,"&lt;"&amp;K1496)+1,"-")</f>
        <v>7</v>
      </c>
      <c r="I1496" s="64" t="str">
        <f aca="false">IF('Offshore - Melbourne'!E193="","Harga belum tersedia - hubungi konsultan TEG",IF(M1496=2,"Saat ini tidak menerima pendaftaran siswa internasional baru",IF(M1496=1,"Harga perlu dikonfirmasi ke sekolah"&amp;IF(""="","","; "&amp;""),"")))</f>
        <v/>
      </c>
      <c r="J1496" s="0" t="s">
        <v>4417</v>
      </c>
      <c r="K1496" s="0" t="n">
        <f aca="false">IF(M1496=2,"",IF(ISNUMBER(SEARCH("rata-rata:",'Offshore - Melbourne'!N193)),VALUE(MID('Offshore - Melbourne'!N193,SEARCH("rata-rata:",'Offshore - Melbourne'!N193)+11,FIND(";",'Offshore - Melbourne'!N193&amp;";",SEARCH("rata-rata:",'Offshore - Melbourne'!N193))-SEARCH("rata-rata:",'Offshore - Melbourne'!N193)-11)),IF('Offshore - Melbourne'!D193="Semester",'Offshore - Melbourne'!E193*2,IF('Offshore - Melbourne'!D193="Trimester",'Offshore - Melbourne'!E193*3,IF('Offshore - Melbourne'!D193="Term",'Offshore - Melbourne'!E193*4,IF('Offshore - Melbourne'!D193="Unit",'Offshore - Melbourne'!E193*8,""))))))</f>
        <v>32232</v>
      </c>
      <c r="L1496" s="0" t="n">
        <f aca="false">IF(AND(ISNUMBER('Offshore - Melbourne'!E193),ISNUMBER(K1496),ISNUMBER('Offshore - Melbourne'!F193),ISNUMBER('Offshore - Melbourne'!G193),OR('Offshore - Melbourne'!F193&lt;&gt;0,ISNUMBER(SEARCH("Material 0 terverifikasi",'Offshore - Melbourne'!N193))),OR('Offshore - Melbourne'!G193&lt;&gt;0,ISNUMBER(SEARCH("Enrolment 0 terverifikasi",'Offshore - Melbourne'!N193)))),1,0)</f>
        <v>0</v>
      </c>
      <c r="M1496" s="0" t="n">
        <f aca="false">IF(OR('Offshore - Melbourne'!E193="",ISNUMBER(SEARCH("BSB80120",'Offshore - Melbourne'!B193&amp;'Offshore - Melbourne'!N193)),ISNUMBER(SEARCH("Management (Learning)",'Offshore - Melbourne'!B193))),2,IF(ISNUMBER(SEARCH("CEK:",'Offshore - Melbourne'!N193)),1,0))</f>
        <v>0</v>
      </c>
    </row>
    <row r="1497" customFormat="false" ht="15" hidden="false" customHeight="false" outlineLevel="0" collapsed="false">
      <c r="A1497" s="61" t="s">
        <v>4418</v>
      </c>
      <c r="B1497" s="62"/>
      <c r="C1497" s="62"/>
      <c r="D1497" s="62"/>
      <c r="E1497" s="62"/>
      <c r="F1497" s="62"/>
      <c r="G1497" s="62"/>
      <c r="H1497" s="62"/>
      <c r="I1497" s="62"/>
    </row>
    <row r="1498" customFormat="false" ht="15" hidden="false" customHeight="false" outlineLevel="0" collapsed="false">
      <c r="A1498" s="63" t="s">
        <v>3544</v>
      </c>
      <c r="B1498" s="64" t="s">
        <v>4374</v>
      </c>
      <c r="C1498" s="63" t="s">
        <v>42</v>
      </c>
      <c r="D1498" s="64" t="str">
        <f aca="false">TRIM(LEFT('Offshore - Melbourne'!A263,FIND(CHAR(10),'Offshore - Melbourne'!A263&amp;CHAR(10))-1))</f>
        <v>Greenwich College</v>
      </c>
      <c r="E1498" s="63" t="str">
        <f aca="false">'Offshore - Melbourne'!C271&amp;""</f>
        <v>3 years</v>
      </c>
      <c r="F1498" s="63" t="str">
        <f aca="false">IF('Offshore - Melbourne'!D271="","Belum tercatat",'Offshore - Melbourne'!D271)</f>
        <v>Term</v>
      </c>
      <c r="G1498" s="65" t="n">
        <f aca="false">IF('Offshore - Melbourne'!E271="","-",'Offshore - Melbourne'!E271)</f>
        <v>1250</v>
      </c>
      <c r="H1498" s="63" t="n">
        <f aca="false">IF(ISNUMBER(K1498),COUNTIFS($J$6:$J$1854,J1498,$K$6:$K$1854,"&lt;"&amp;K1498)+1,"-")</f>
        <v>1</v>
      </c>
      <c r="I1498" s="64" t="str">
        <f aca="false">IF('Offshore - Melbourne'!E271="","Harga belum tersedia - hubungi konsultan TEG",IF(M1498=2,"Saat ini tidak menerima pendaftaran siswa internasional baru",IF(M1498=1,"Harga perlu dikonfirmasi ke sekolah"&amp;IF(""="","","; "&amp;""),"")))</f>
        <v/>
      </c>
      <c r="J1498" s="0" t="s">
        <v>4419</v>
      </c>
      <c r="K1498" s="0" t="n">
        <f aca="false">IF(M1498=2,"",IF(ISNUMBER(SEARCH("rata-rata:",'Offshore - Melbourne'!N271)),VALUE(MID('Offshore - Melbourne'!N271,SEARCH("rata-rata:",'Offshore - Melbourne'!N271)+11,FIND(";",'Offshore - Melbourne'!N271&amp;";",SEARCH("rata-rata:",'Offshore - Melbourne'!N271))-SEARCH("rata-rata:",'Offshore - Melbourne'!N271)-11)),IF('Offshore - Melbourne'!D271="Semester",'Offshore - Melbourne'!E271*2,IF('Offshore - Melbourne'!D271="Trimester",'Offshore - Melbourne'!E271*3,IF('Offshore - Melbourne'!D271="Term",'Offshore - Melbourne'!E271*4,IF('Offshore - Melbourne'!D271="Unit",'Offshore - Melbourne'!E271*8,""))))))</f>
        <v>5000</v>
      </c>
      <c r="L1498" s="0" t="n">
        <f aca="false">IF(AND(ISNUMBER('Offshore - Melbourne'!E271),ISNUMBER(K1498),ISNUMBER('Offshore - Melbourne'!F271),ISNUMBER('Offshore - Melbourne'!G271),OR('Offshore - Melbourne'!F271&lt;&gt;0,ISNUMBER(SEARCH("Material 0 terverifikasi",'Offshore - Melbourne'!N271))),OR('Offshore - Melbourne'!G271&lt;&gt;0,ISNUMBER(SEARCH("Enrolment 0 terverifikasi",'Offshore - Melbourne'!N271)))),1,0)</f>
        <v>1</v>
      </c>
      <c r="M1498" s="0" t="n">
        <f aca="false">IF(OR('Offshore - Melbourne'!E271="",ISNUMBER(SEARCH("BSB80120",'Offshore - Melbourne'!B271&amp;'Offshore - Melbourne'!N271)),ISNUMBER(SEARCH("Management (Learning)",'Offshore - Melbourne'!B271))),2,IF(ISNUMBER(SEARCH("CEK:",'Offshore - Melbourne'!N271)),1,0))</f>
        <v>0</v>
      </c>
    </row>
    <row r="1499" customFormat="false" ht="15" hidden="false" customHeight="false" outlineLevel="0" collapsed="false">
      <c r="A1499" s="63" t="s">
        <v>3544</v>
      </c>
      <c r="B1499" s="64" t="s">
        <v>4374</v>
      </c>
      <c r="C1499" s="63" t="s">
        <v>42</v>
      </c>
      <c r="D1499" s="64" t="str">
        <f aca="false">TRIM(LEFT('Offshore - Melbourne'!A6,FIND(CHAR(10),'Offshore - Melbourne'!A6&amp;CHAR(10))-1))</f>
        <v>Academies Australasia</v>
      </c>
      <c r="E1499" s="63" t="str">
        <f aca="false">'Offshore - Melbourne'!C9&amp;""</f>
        <v>1,5 years</v>
      </c>
      <c r="F1499" s="63" t="str">
        <f aca="false">IF('Offshore - Melbourne'!D9="","Belum tercatat",'Offshore - Melbourne'!D9)</f>
        <v>Term</v>
      </c>
      <c r="G1499" s="65" t="n">
        <f aca="false">IF('Offshore - Melbourne'!E9="","-",'Offshore - Melbourne'!E9)</f>
        <v>1500</v>
      </c>
      <c r="H1499" s="63" t="n">
        <f aca="false">IF(ISNUMBER(K1499),COUNTIFS($J$6:$J$1854,J1499,$K$6:$K$1854,"&lt;"&amp;K1499)+1,"-")</f>
        <v>2</v>
      </c>
      <c r="I1499" s="64" t="str">
        <f aca="false">IF('Offshore - Melbourne'!E9="","Harga belum tersedia - hubungi konsultan TEG",IF(M1499=2,"Saat ini tidak menerima pendaftaran siswa internasional baru",IF(M1499=1,"Harga perlu dikonfirmasi ke sekolah"&amp;IF(""="","","; "&amp;""),"")))</f>
        <v>Harga perlu dikonfirmasi ke sekolah</v>
      </c>
      <c r="J1499" s="0" t="s">
        <v>4419</v>
      </c>
      <c r="K1499" s="0" t="n">
        <f aca="false">IF(M1499=2,"",IF(ISNUMBER(SEARCH("rata-rata:",'Offshore - Melbourne'!N9)),VALUE(MID('Offshore - Melbourne'!N9,SEARCH("rata-rata:",'Offshore - Melbourne'!N9)+11,FIND(";",'Offshore - Melbourne'!N9&amp;";",SEARCH("rata-rata:",'Offshore - Melbourne'!N9))-SEARCH("rata-rata:",'Offshore - Melbourne'!N9)-11)),IF('Offshore - Melbourne'!D9="Semester",'Offshore - Melbourne'!E9*2,IF('Offshore - Melbourne'!D9="Trimester",'Offshore - Melbourne'!E9*3,IF('Offshore - Melbourne'!D9="Term",'Offshore - Melbourne'!E9*4,IF('Offshore - Melbourne'!D9="Unit",'Offshore - Melbourne'!E9*8,""))))))</f>
        <v>6000</v>
      </c>
      <c r="L1499" s="0" t="n">
        <f aca="false">IF(AND(ISNUMBER('Offshore - Melbourne'!E9),ISNUMBER(K1499),ISNUMBER('Offshore - Melbourne'!F9),ISNUMBER('Offshore - Melbourne'!G9),OR('Offshore - Melbourne'!F9&lt;&gt;0,ISNUMBER(SEARCH("Material 0 terverifikasi",'Offshore - Melbourne'!N9))),OR('Offshore - Melbourne'!G9&lt;&gt;0,ISNUMBER(SEARCH("Enrolment 0 terverifikasi",'Offshore - Melbourne'!N9)))),1,0)</f>
        <v>1</v>
      </c>
      <c r="M1499" s="0" t="n">
        <f aca="false">IF(OR('Offshore - Melbourne'!E9="",ISNUMBER(SEARCH("BSB80120",'Offshore - Melbourne'!B9&amp;'Offshore - Melbourne'!N9)),ISNUMBER(SEARCH("Management (Learning)",'Offshore - Melbourne'!B9))),2,IF(ISNUMBER(SEARCH("CEK:",'Offshore - Melbourne'!N9)),1,0))</f>
        <v>1</v>
      </c>
    </row>
    <row r="1500" customFormat="false" ht="28.35" hidden="false" customHeight="false" outlineLevel="0" collapsed="false">
      <c r="A1500" s="63" t="s">
        <v>3544</v>
      </c>
      <c r="B1500" s="64" t="s">
        <v>4374</v>
      </c>
      <c r="C1500" s="63" t="s">
        <v>42</v>
      </c>
      <c r="D1500" s="64" t="str">
        <f aca="false">TRIM(LEFT('Offshore - Melbourne'!A435,FIND(CHAR(10),'Offshore - Melbourne'!A435&amp;CHAR(10))-1))</f>
        <v>TKL College (Training for Knowledge and Livelihood)</v>
      </c>
      <c r="E1500" s="63" t="str">
        <f aca="false">'Offshore - Melbourne'!C439&amp;""</f>
        <v>3 years</v>
      </c>
      <c r="F1500" s="63" t="str">
        <f aca="false">IF('Offshore - Melbourne'!D439="","Belum tercatat",'Offshore - Melbourne'!D439)</f>
        <v>Term</v>
      </c>
      <c r="G1500" s="65" t="n">
        <f aca="false">IF('Offshore - Melbourne'!E439="","-",'Offshore - Melbourne'!E439)</f>
        <v>1500</v>
      </c>
      <c r="H1500" s="63" t="n">
        <f aca="false">IF(ISNUMBER(K1500),COUNTIFS($J$6:$J$1854,J1500,$K$6:$K$1854,"&lt;"&amp;K1500)+1,"-")</f>
        <v>2</v>
      </c>
      <c r="I1500" s="64" t="str">
        <f aca="false">IF('Offshore - Melbourne'!E439="","Harga belum tersedia - hubungi konsultan TEG",IF(M1500=2,"Saat ini tidak menerima pendaftaran siswa internasional baru",IF(M1500=1,"Program perlu dikonfirmasi ketersediaannya"&amp;IF(""="","","; "&amp;""),"")))</f>
        <v>Program perlu dikonfirmasi ketersediaannya</v>
      </c>
      <c r="J1500" s="0" t="s">
        <v>4419</v>
      </c>
      <c r="K1500" s="0" t="n">
        <f aca="false">IF(M1500=2,"",IF(ISNUMBER(SEARCH("rata-rata:",'Offshore - Melbourne'!N439)),VALUE(MID('Offshore - Melbourne'!N439,SEARCH("rata-rata:",'Offshore - Melbourne'!N439)+11,FIND(";",'Offshore - Melbourne'!N439&amp;";",SEARCH("rata-rata:",'Offshore - Melbourne'!N439))-SEARCH("rata-rata:",'Offshore - Melbourne'!N439)-11)),IF('Offshore - Melbourne'!D439="Semester",'Offshore - Melbourne'!E439*2,IF('Offshore - Melbourne'!D439="Trimester",'Offshore - Melbourne'!E439*3,IF('Offshore - Melbourne'!D439="Term",'Offshore - Melbourne'!E439*4,IF('Offshore - Melbourne'!D439="Unit",'Offshore - Melbourne'!E439*8,""))))))</f>
        <v>6000</v>
      </c>
      <c r="L1500" s="0" t="n">
        <f aca="false">IF(AND(ISNUMBER('Offshore - Melbourne'!E439),ISNUMBER(K1500),ISNUMBER('Offshore - Melbourne'!F439),ISNUMBER('Offshore - Melbourne'!G439),OR('Offshore - Melbourne'!F439&lt;&gt;0,ISNUMBER(SEARCH("Material 0 terverifikasi",'Offshore - Melbourne'!N439))),OR('Offshore - Melbourne'!G439&lt;&gt;0,ISNUMBER(SEARCH("Enrolment 0 terverifikasi",'Offshore - Melbourne'!N439)))),1,0)</f>
        <v>1</v>
      </c>
      <c r="M1500" s="0" t="n">
        <f aca="false">IF(OR('Offshore - Melbourne'!E439="",ISNUMBER(SEARCH("BSB80120",'Offshore - Melbourne'!B439&amp;'Offshore - Melbourne'!N439)),ISNUMBER(SEARCH("Management (Learning)",'Offshore - Melbourne'!B439))),2,IF(ISNUMBER(SEARCH("CEK:",'Offshore - Melbourne'!N439)),1,0))</f>
        <v>1</v>
      </c>
    </row>
    <row r="1501" customFormat="false" ht="15" hidden="false" customHeight="false" outlineLevel="0" collapsed="false">
      <c r="A1501" s="63" t="s">
        <v>3544</v>
      </c>
      <c r="B1501" s="64" t="s">
        <v>4374</v>
      </c>
      <c r="C1501" s="63" t="s">
        <v>42</v>
      </c>
      <c r="D1501" s="64" t="str">
        <f aca="false">TRIM(LEFT('Offshore - Melbourne'!A252,FIND(CHAR(10),'Offshore - Melbourne'!A252&amp;CHAR(10))-1))</f>
        <v>ECA College</v>
      </c>
      <c r="E1501" s="63" t="str">
        <f aca="false">'Offshore - Melbourne'!C255&amp;""</f>
        <v>3 years</v>
      </c>
      <c r="F1501" s="63" t="str">
        <f aca="false">IF('Offshore - Melbourne'!D255="","Belum tercatat",'Offshore - Melbourne'!D255)</f>
        <v>Term</v>
      </c>
      <c r="G1501" s="65" t="n">
        <f aca="false">IF('Offshore - Melbourne'!E255="","-",'Offshore - Melbourne'!E255)</f>
        <v>1700</v>
      </c>
      <c r="H1501" s="63" t="n">
        <f aca="false">IF(ISNUMBER(K1501),COUNTIFS($J$6:$J$1854,J1501,$K$6:$K$1854,"&lt;"&amp;K1501)+1,"-")</f>
        <v>4</v>
      </c>
      <c r="I1501" s="64" t="str">
        <f aca="false">IF('Offshore - Melbourne'!E255="","Harga belum tersedia - hubungi konsultan TEG",IF(M1501=2,"Saat ini tidak menerima pendaftaran siswa internasional baru",IF(M1501=1,"Harga perlu dikonfirmasi ke sekolah"&amp;IF(""="","","; "&amp;""),"")))</f>
        <v/>
      </c>
      <c r="J1501" s="0" t="s">
        <v>4419</v>
      </c>
      <c r="K1501" s="0" t="n">
        <f aca="false">IF(M1501=2,"",IF(ISNUMBER(SEARCH("rata-rata:",'Offshore - Melbourne'!N255)),VALUE(MID('Offshore - Melbourne'!N255,SEARCH("rata-rata:",'Offshore - Melbourne'!N255)+11,FIND(";",'Offshore - Melbourne'!N255&amp;";",SEARCH("rata-rata:",'Offshore - Melbourne'!N255))-SEARCH("rata-rata:",'Offshore - Melbourne'!N255)-11)),IF('Offshore - Melbourne'!D255="Semester",'Offshore - Melbourne'!E255*2,IF('Offshore - Melbourne'!D255="Trimester",'Offshore - Melbourne'!E255*3,IF('Offshore - Melbourne'!D255="Term",'Offshore - Melbourne'!E255*4,IF('Offshore - Melbourne'!D255="Unit",'Offshore - Melbourne'!E255*8,""))))))</f>
        <v>6800</v>
      </c>
      <c r="L1501" s="0" t="n">
        <f aca="false">IF(AND(ISNUMBER('Offshore - Melbourne'!E255),ISNUMBER(K1501),ISNUMBER('Offshore - Melbourne'!F255),ISNUMBER('Offshore - Melbourne'!G255),OR('Offshore - Melbourne'!F255&lt;&gt;0,ISNUMBER(SEARCH("Material 0 terverifikasi",'Offshore - Melbourne'!N255))),OR('Offshore - Melbourne'!G255&lt;&gt;0,ISNUMBER(SEARCH("Enrolment 0 terverifikasi",'Offshore - Melbourne'!N255)))),1,0)</f>
        <v>0</v>
      </c>
      <c r="M1501" s="0" t="n">
        <f aca="false">IF(OR('Offshore - Melbourne'!E255="",ISNUMBER(SEARCH("BSB80120",'Offshore - Melbourne'!B255&amp;'Offshore - Melbourne'!N255)),ISNUMBER(SEARCH("Management (Learning)",'Offshore - Melbourne'!B255))),2,IF(ISNUMBER(SEARCH("CEK:",'Offshore - Melbourne'!N255)),1,0))</f>
        <v>0</v>
      </c>
    </row>
    <row r="1502" customFormat="false" ht="15" hidden="false" customHeight="false" outlineLevel="0" collapsed="false">
      <c r="A1502" s="63" t="s">
        <v>3544</v>
      </c>
      <c r="B1502" s="64" t="s">
        <v>4374</v>
      </c>
      <c r="C1502" s="63" t="s">
        <v>42</v>
      </c>
      <c r="D1502" s="64" t="str">
        <f aca="false">TRIM(LEFT('Offshore - Melbourne'!A410,FIND(CHAR(10),'Offshore - Melbourne'!A410&amp;CHAR(10))-1))</f>
        <v>States College Australia</v>
      </c>
      <c r="E1502" s="63" t="str">
        <f aca="false">'Offshore - Melbourne'!C412&amp;""</f>
        <v>2 years</v>
      </c>
      <c r="F1502" s="63" t="str">
        <f aca="false">IF('Offshore - Melbourne'!D412="","Belum tercatat",'Offshore - Melbourne'!D412)</f>
        <v>Term</v>
      </c>
      <c r="G1502" s="65" t="n">
        <f aca="false">IF('Offshore - Melbourne'!E412="","-",'Offshore - Melbourne'!E412)</f>
        <v>2000</v>
      </c>
      <c r="H1502" s="63" t="n">
        <f aca="false">IF(ISNUMBER(K1502),COUNTIFS($J$6:$J$1854,J1502,$K$6:$K$1854,"&lt;"&amp;K1502)+1,"-")</f>
        <v>5</v>
      </c>
      <c r="I1502" s="64" t="str">
        <f aca="false">IF('Offshore - Melbourne'!E412="","Harga belum tersedia - hubungi konsultan TEG",IF(M1502=2,"Saat ini tidak menerima pendaftaran siswa internasional baru",IF(M1502=1,"Harga perlu dikonfirmasi ke sekolah"&amp;IF(""="","","; "&amp;""),"")))</f>
        <v/>
      </c>
      <c r="J1502" s="0" t="s">
        <v>4419</v>
      </c>
      <c r="K1502" s="0" t="n">
        <f aca="false">IF(M1502=2,"",IF(ISNUMBER(SEARCH("rata-rata:",'Offshore - Melbourne'!N412)),VALUE(MID('Offshore - Melbourne'!N412,SEARCH("rata-rata:",'Offshore - Melbourne'!N412)+11,FIND(";",'Offshore - Melbourne'!N412&amp;";",SEARCH("rata-rata:",'Offshore - Melbourne'!N412))-SEARCH("rata-rata:",'Offshore - Melbourne'!N412)-11)),IF('Offshore - Melbourne'!D412="Semester",'Offshore - Melbourne'!E412*2,IF('Offshore - Melbourne'!D412="Trimester",'Offshore - Melbourne'!E412*3,IF('Offshore - Melbourne'!D412="Term",'Offshore - Melbourne'!E412*4,IF('Offshore - Melbourne'!D412="Unit",'Offshore - Melbourne'!E412*8,""))))))</f>
        <v>8000</v>
      </c>
      <c r="L1502" s="0" t="n">
        <f aca="false">IF(AND(ISNUMBER('Offshore - Melbourne'!E412),ISNUMBER(K1502),ISNUMBER('Offshore - Melbourne'!F412),ISNUMBER('Offshore - Melbourne'!G412),OR('Offshore - Melbourne'!F412&lt;&gt;0,ISNUMBER(SEARCH("Material 0 terverifikasi",'Offshore - Melbourne'!N412))),OR('Offshore - Melbourne'!G412&lt;&gt;0,ISNUMBER(SEARCH("Enrolment 0 terverifikasi",'Offshore - Melbourne'!N412)))),1,0)</f>
        <v>1</v>
      </c>
      <c r="M1502" s="0" t="n">
        <f aca="false">IF(OR('Offshore - Melbourne'!E412="",ISNUMBER(SEARCH("BSB80120",'Offshore - Melbourne'!B412&amp;'Offshore - Melbourne'!N412)),ISNUMBER(SEARCH("Management (Learning)",'Offshore - Melbourne'!B412))),2,IF(ISNUMBER(SEARCH("CEK:",'Offshore - Melbourne'!N412)),1,0))</f>
        <v>0</v>
      </c>
    </row>
    <row r="1503" customFormat="false" ht="28.35" hidden="false" customHeight="false" outlineLevel="0" collapsed="false">
      <c r="A1503" s="63" t="s">
        <v>3544</v>
      </c>
      <c r="B1503" s="64" t="s">
        <v>4374</v>
      </c>
      <c r="C1503" s="63" t="s">
        <v>42</v>
      </c>
      <c r="D1503" s="64" t="str">
        <f aca="false">TRIM(LEFT('Offshore - Melbourne'!A53,FIND(CHAR(10),'Offshore - Melbourne'!A53&amp;CHAR(10))-1))</f>
        <v>Albright Institute of Business and Language (AIBL)</v>
      </c>
      <c r="E1503" s="63" t="str">
        <f aca="false">'Offshore - Melbourne'!C60&amp;""</f>
        <v>2 years</v>
      </c>
      <c r="F1503" s="63" t="str">
        <f aca="false">IF('Offshore - Melbourne'!D60="","Belum tercatat",'Offshore - Melbourne'!D60)</f>
        <v>Term</v>
      </c>
      <c r="G1503" s="65" t="n">
        <f aca="false">IF('Offshore - Melbourne'!E60="","-",'Offshore - Melbourne'!E60)</f>
        <v>2250</v>
      </c>
      <c r="H1503" s="63" t="n">
        <f aca="false">IF(ISNUMBER(K1503),COUNTIFS($J$6:$J$1854,J1503,$K$6:$K$1854,"&lt;"&amp;K1503)+1,"-")</f>
        <v>6</v>
      </c>
      <c r="I1503" s="64" t="str">
        <f aca="false">IF('Offshore - Melbourne'!E60="","Harga belum tersedia - hubungi konsultan TEG",IF(M1503=2,"Saat ini tidak menerima pendaftaran siswa internasional baru",IF(M1503=1,"Harga perlu dikonfirmasi ke sekolah"&amp;IF(""="","","; "&amp;""),"")))</f>
        <v/>
      </c>
      <c r="J1503" s="0" t="s">
        <v>4419</v>
      </c>
      <c r="K1503" s="0" t="n">
        <f aca="false">IF(M1503=2,"",IF(ISNUMBER(SEARCH("rata-rata:",'Offshore - Melbourne'!N60)),VALUE(MID('Offshore - Melbourne'!N60,SEARCH("rata-rata:",'Offshore - Melbourne'!N60)+11,FIND(";",'Offshore - Melbourne'!N60&amp;";",SEARCH("rata-rata:",'Offshore - Melbourne'!N60))-SEARCH("rata-rata:",'Offshore - Melbourne'!N60)-11)),IF('Offshore - Melbourne'!D60="Semester",'Offshore - Melbourne'!E60*2,IF('Offshore - Melbourne'!D60="Trimester",'Offshore - Melbourne'!E60*3,IF('Offshore - Melbourne'!D60="Term",'Offshore - Melbourne'!E60*4,IF('Offshore - Melbourne'!D60="Unit",'Offshore - Melbourne'!E60*8,""))))))</f>
        <v>9000</v>
      </c>
      <c r="L1503" s="0" t="n">
        <f aca="false">IF(AND(ISNUMBER('Offshore - Melbourne'!E60),ISNUMBER(K1503),ISNUMBER('Offshore - Melbourne'!F60),ISNUMBER('Offshore - Melbourne'!G60),OR('Offshore - Melbourne'!F60&lt;&gt;0,ISNUMBER(SEARCH("Material 0 terverifikasi",'Offshore - Melbourne'!N60))),OR('Offshore - Melbourne'!G60&lt;&gt;0,ISNUMBER(SEARCH("Enrolment 0 terverifikasi",'Offshore - Melbourne'!N60)))),1,0)</f>
        <v>1</v>
      </c>
      <c r="M1503" s="0" t="n">
        <f aca="false">IF(OR('Offshore - Melbourne'!E60="",ISNUMBER(SEARCH("BSB80120",'Offshore - Melbourne'!B60&amp;'Offshore - Melbourne'!N60)),ISNUMBER(SEARCH("Management (Learning)",'Offshore - Melbourne'!B60))),2,IF(ISNUMBER(SEARCH("CEK:",'Offshore - Melbourne'!N60)),1,0))</f>
        <v>0</v>
      </c>
    </row>
    <row r="1504" customFormat="false" ht="15" hidden="false" customHeight="false" outlineLevel="0" collapsed="false">
      <c r="A1504" s="63" t="s">
        <v>3544</v>
      </c>
      <c r="B1504" s="64" t="s">
        <v>4374</v>
      </c>
      <c r="C1504" s="63" t="s">
        <v>42</v>
      </c>
      <c r="D1504" s="64" t="str">
        <f aca="false">TRIM(LEFT('Offshore - Melbourne'!A360,FIND(CHAR(10),'Offshore - Melbourne'!A360&amp;CHAR(10))-1))</f>
        <v>National Training College of Australia (NTCA)</v>
      </c>
      <c r="E1504" s="63" t="str">
        <f aca="false">'Offshore - Melbourne'!C363&amp;""</f>
        <v>2 years</v>
      </c>
      <c r="F1504" s="63" t="str">
        <f aca="false">IF('Offshore - Melbourne'!D363="","Belum tercatat",'Offshore - Melbourne'!D363)</f>
        <v>Term</v>
      </c>
      <c r="G1504" s="65" t="n">
        <f aca="false">IF('Offshore - Melbourne'!E363="","-",'Offshore - Melbourne'!E363)</f>
        <v>2250</v>
      </c>
      <c r="H1504" s="63" t="n">
        <f aca="false">IF(ISNUMBER(K1504),COUNTIFS($J$6:$J$1854,J1504,$K$6:$K$1854,"&lt;"&amp;K1504)+1,"-")</f>
        <v>6</v>
      </c>
      <c r="I1504" s="64" t="str">
        <f aca="false">IF('Offshore - Melbourne'!E363="","Harga belum tersedia - hubungi konsultan TEG",IF(M1504=2,"Saat ini tidak menerima pendaftaran siswa internasional baru",IF(M1504=1,"Harga perlu dikonfirmasi ke sekolah"&amp;IF(""="","","; "&amp;""),"")))</f>
        <v/>
      </c>
      <c r="J1504" s="0" t="s">
        <v>4419</v>
      </c>
      <c r="K1504" s="0" t="n">
        <f aca="false">IF(M1504=2,"",IF(ISNUMBER(SEARCH("rata-rata:",'Offshore - Melbourne'!N363)),VALUE(MID('Offshore - Melbourne'!N363,SEARCH("rata-rata:",'Offshore - Melbourne'!N363)+11,FIND(";",'Offshore - Melbourne'!N363&amp;";",SEARCH("rata-rata:",'Offshore - Melbourne'!N363))-SEARCH("rata-rata:",'Offshore - Melbourne'!N363)-11)),IF('Offshore - Melbourne'!D363="Semester",'Offshore - Melbourne'!E363*2,IF('Offshore - Melbourne'!D363="Trimester",'Offshore - Melbourne'!E363*3,IF('Offshore - Melbourne'!D363="Term",'Offshore - Melbourne'!E363*4,IF('Offshore - Melbourne'!D363="Unit",'Offshore - Melbourne'!E363*8,""))))))</f>
        <v>9000</v>
      </c>
      <c r="L1504" s="0" t="n">
        <f aca="false">IF(AND(ISNUMBER('Offshore - Melbourne'!E363),ISNUMBER(K1504),ISNUMBER('Offshore - Melbourne'!F363),ISNUMBER('Offshore - Melbourne'!G363),OR('Offshore - Melbourne'!F363&lt;&gt;0,ISNUMBER(SEARCH("Material 0 terverifikasi",'Offshore - Melbourne'!N363))),OR('Offshore - Melbourne'!G363&lt;&gt;0,ISNUMBER(SEARCH("Enrolment 0 terverifikasi",'Offshore - Melbourne'!N363)))),1,0)</f>
        <v>1</v>
      </c>
      <c r="M1504" s="0" t="n">
        <f aca="false">IF(OR('Offshore - Melbourne'!E363="",ISNUMBER(SEARCH("BSB80120",'Offshore - Melbourne'!B363&amp;'Offshore - Melbourne'!N363)),ISNUMBER(SEARCH("Management (Learning)",'Offshore - Melbourne'!B363))),2,IF(ISNUMBER(SEARCH("CEK:",'Offshore - Melbourne'!N363)),1,0))</f>
        <v>0</v>
      </c>
    </row>
    <row r="1505" customFormat="false" ht="28.35" hidden="false" customHeight="false" outlineLevel="0" collapsed="false">
      <c r="A1505" s="63" t="s">
        <v>3544</v>
      </c>
      <c r="B1505" s="64" t="s">
        <v>4374</v>
      </c>
      <c r="C1505" s="63" t="s">
        <v>42</v>
      </c>
      <c r="D1505" s="64" t="str">
        <f aca="false">TRIM(LEFT('Offshore - Melbourne'!A389,FIND(CHAR(10),'Offshore - Melbourne'!A389&amp;CHAR(10))-1))</f>
        <v>Sacred Heart International College (SHIC)</v>
      </c>
      <c r="E1505" s="63" t="str">
        <f aca="false">'Offshore - Melbourne'!C391&amp;""</f>
        <v>2 years</v>
      </c>
      <c r="F1505" s="63" t="str">
        <f aca="false">IF('Offshore - Melbourne'!D391="","Belum tercatat",'Offshore - Melbourne'!D391)</f>
        <v>Term</v>
      </c>
      <c r="G1505" s="65" t="n">
        <f aca="false">IF('Offshore - Melbourne'!E391="","-",'Offshore - Melbourne'!E391)</f>
        <v>2312</v>
      </c>
      <c r="H1505" s="63" t="n">
        <f aca="false">IF(ISNUMBER(K1505),COUNTIFS($J$6:$J$1854,J1505,$K$6:$K$1854,"&lt;"&amp;K1505)+1,"-")</f>
        <v>8</v>
      </c>
      <c r="I1505" s="64" t="str">
        <f aca="false">IF('Offshore - Melbourne'!E391="","Harga belum tersedia - hubungi konsultan TEG",IF(M1505=2,"Saat ini tidak menerima pendaftaran siswa internasional baru",IF(M1505=1,"Harga promo sudah berakhir - konfirmasi harga terbaru"&amp;IF(""="","","; "&amp;""),"")))</f>
        <v>Harga promo sudah berakhir - konfirmasi harga terbaru</v>
      </c>
      <c r="J1505" s="0" t="s">
        <v>4419</v>
      </c>
      <c r="K1505" s="0" t="n">
        <f aca="false">IF(M1505=2,"",IF(ISNUMBER(SEARCH("rata-rata:",'Offshore - Melbourne'!N391)),VALUE(MID('Offshore - Melbourne'!N391,SEARCH("rata-rata:",'Offshore - Melbourne'!N391)+11,FIND(";",'Offshore - Melbourne'!N391&amp;";",SEARCH("rata-rata:",'Offshore - Melbourne'!N391))-SEARCH("rata-rata:",'Offshore - Melbourne'!N391)-11)),IF('Offshore - Melbourne'!D391="Semester",'Offshore - Melbourne'!E391*2,IF('Offshore - Melbourne'!D391="Trimester",'Offshore - Melbourne'!E391*3,IF('Offshore - Melbourne'!D391="Term",'Offshore - Melbourne'!E391*4,IF('Offshore - Melbourne'!D391="Unit",'Offshore - Melbourne'!E391*8,""))))))</f>
        <v>9248</v>
      </c>
      <c r="L1505" s="0" t="n">
        <f aca="false">IF(AND(ISNUMBER('Offshore - Melbourne'!E391),ISNUMBER(K1505),ISNUMBER('Offshore - Melbourne'!F391),ISNUMBER('Offshore - Melbourne'!G391),OR('Offshore - Melbourne'!F391&lt;&gt;0,ISNUMBER(SEARCH("Material 0 terverifikasi",'Offshore - Melbourne'!N391))),OR('Offshore - Melbourne'!G391&lt;&gt;0,ISNUMBER(SEARCH("Enrolment 0 terverifikasi",'Offshore - Melbourne'!N391)))),1,0)</f>
        <v>0</v>
      </c>
      <c r="M1505" s="0" t="n">
        <f aca="false">IF(OR('Offshore - Melbourne'!E391="",ISNUMBER(SEARCH("BSB80120",'Offshore - Melbourne'!B391&amp;'Offshore - Melbourne'!N391)),ISNUMBER(SEARCH("Management (Learning)",'Offshore - Melbourne'!B391))),2,IF(ISNUMBER(SEARCH("CEK:",'Offshore - Melbourne'!N391)),1,0))</f>
        <v>1</v>
      </c>
    </row>
    <row r="1506" customFormat="false" ht="15" hidden="false" customHeight="false" outlineLevel="0" collapsed="false">
      <c r="A1506" s="63" t="s">
        <v>3544</v>
      </c>
      <c r="B1506" s="64" t="s">
        <v>4374</v>
      </c>
      <c r="C1506" s="63" t="s">
        <v>42</v>
      </c>
      <c r="D1506" s="64" t="str">
        <f aca="false">TRIM(LEFT('Offshore - Melbourne'!A370,FIND(CHAR(10),'Offshore - Melbourne'!A370&amp;CHAR(10))-1))</f>
        <v>Opulence College</v>
      </c>
      <c r="E1506" s="63" t="str">
        <f aca="false">'Offshore - Melbourne'!C372&amp;""</f>
        <v>3 years</v>
      </c>
      <c r="F1506" s="63" t="str">
        <f aca="false">IF('Offshore - Melbourne'!D372="","Belum tercatat",'Offshore - Melbourne'!D372)</f>
        <v>Term</v>
      </c>
      <c r="G1506" s="65" t="n">
        <f aca="false">IF('Offshore - Melbourne'!E372="","-",'Offshore - Melbourne'!E372)</f>
        <v>2375</v>
      </c>
      <c r="H1506" s="63" t="n">
        <f aca="false">IF(ISNUMBER(K1506),COUNTIFS($J$6:$J$1854,J1506,$K$6:$K$1854,"&lt;"&amp;K1506)+1,"-")</f>
        <v>9</v>
      </c>
      <c r="I1506" s="64" t="str">
        <f aca="false">IF('Offshore - Melbourne'!E372="","Harga belum tersedia - hubungi konsultan TEG",IF(M1506=2,"Saat ini tidak menerima pendaftaran siswa internasional baru",IF(M1506=1,"Harga perlu dikonfirmasi ke sekolah"&amp;IF(""="","","; "&amp;""),"")))</f>
        <v/>
      </c>
      <c r="J1506" s="0" t="s">
        <v>4419</v>
      </c>
      <c r="K1506" s="0" t="n">
        <f aca="false">IF(M1506=2,"",IF(ISNUMBER(SEARCH("rata-rata:",'Offshore - Melbourne'!N372)),VALUE(MID('Offshore - Melbourne'!N372,SEARCH("rata-rata:",'Offshore - Melbourne'!N372)+11,FIND(";",'Offshore - Melbourne'!N372&amp;";",SEARCH("rata-rata:",'Offshore - Melbourne'!N372))-SEARCH("rata-rata:",'Offshore - Melbourne'!N372)-11)),IF('Offshore - Melbourne'!D372="Semester",'Offshore - Melbourne'!E372*2,IF('Offshore - Melbourne'!D372="Trimester",'Offshore - Melbourne'!E372*3,IF('Offshore - Melbourne'!D372="Term",'Offshore - Melbourne'!E372*4,IF('Offshore - Melbourne'!D372="Unit",'Offshore - Melbourne'!E372*8,""))))))</f>
        <v>9500</v>
      </c>
      <c r="L1506" s="0" t="n">
        <f aca="false">IF(AND(ISNUMBER('Offshore - Melbourne'!E372),ISNUMBER(K1506),ISNUMBER('Offshore - Melbourne'!F372),ISNUMBER('Offshore - Melbourne'!G372),OR('Offshore - Melbourne'!F372&lt;&gt;0,ISNUMBER(SEARCH("Material 0 terverifikasi",'Offshore - Melbourne'!N372))),OR('Offshore - Melbourne'!G372&lt;&gt;0,ISNUMBER(SEARCH("Enrolment 0 terverifikasi",'Offshore - Melbourne'!N372)))),1,0)</f>
        <v>1</v>
      </c>
      <c r="M1506" s="0" t="n">
        <f aca="false">IF(OR('Offshore - Melbourne'!E372="",ISNUMBER(SEARCH("BSB80120",'Offshore - Melbourne'!B372&amp;'Offshore - Melbourne'!N372)),ISNUMBER(SEARCH("Management (Learning)",'Offshore - Melbourne'!B372))),2,IF(ISNUMBER(SEARCH("CEK:",'Offshore - Melbourne'!N372)),1,0))</f>
        <v>0</v>
      </c>
    </row>
    <row r="1507" customFormat="false" ht="15" hidden="false" customHeight="false" outlineLevel="0" collapsed="false">
      <c r="A1507" s="63" t="s">
        <v>3544</v>
      </c>
      <c r="B1507" s="64" t="s">
        <v>4374</v>
      </c>
      <c r="C1507" s="63" t="s">
        <v>42</v>
      </c>
      <c r="D1507" s="64" t="str">
        <f aca="false">TRIM(LEFT('Offshore - Melbourne'!A206,FIND(CHAR(10),'Offshore - Melbourne'!A206&amp;CHAR(10))-1))</f>
        <v>Australian Sovereign College (AuSC)</v>
      </c>
      <c r="E1507" s="63" t="str">
        <f aca="false">'Offshore - Melbourne'!C221&amp;""</f>
        <v>2 years</v>
      </c>
      <c r="F1507" s="63" t="str">
        <f aca="false">IF('Offshore - Melbourne'!D221="","Belum tercatat",'Offshore - Melbourne'!D221)</f>
        <v>Term</v>
      </c>
      <c r="G1507" s="65" t="n">
        <f aca="false">IF('Offshore - Melbourne'!E221="","-",'Offshore - Melbourne'!E221)</f>
        <v>2750</v>
      </c>
      <c r="H1507" s="63" t="n">
        <f aca="false">IF(ISNUMBER(K1507),COUNTIFS($J$6:$J$1854,J1507,$K$6:$K$1854,"&lt;"&amp;K1507)+1,"-")</f>
        <v>10</v>
      </c>
      <c r="I1507" s="64" t="str">
        <f aca="false">IF('Offshore - Melbourne'!E221="","Harga belum tersedia - hubungi konsultan TEG",IF(M1507=2,"Saat ini tidak menerima pendaftaran siswa internasional baru",IF(M1507=1,"Harga perlu dikonfirmasi ke sekolah"&amp;IF(""="","","; "&amp;""),"")))</f>
        <v/>
      </c>
      <c r="J1507" s="0" t="s">
        <v>4419</v>
      </c>
      <c r="K1507" s="0" t="n">
        <f aca="false">IF(M1507=2,"",IF(ISNUMBER(SEARCH("rata-rata:",'Offshore - Melbourne'!N221)),VALUE(MID('Offshore - Melbourne'!N221,SEARCH("rata-rata:",'Offshore - Melbourne'!N221)+11,FIND(";",'Offshore - Melbourne'!N221&amp;";",SEARCH("rata-rata:",'Offshore - Melbourne'!N221))-SEARCH("rata-rata:",'Offshore - Melbourne'!N221)-11)),IF('Offshore - Melbourne'!D221="Semester",'Offshore - Melbourne'!E221*2,IF('Offshore - Melbourne'!D221="Trimester",'Offshore - Melbourne'!E221*3,IF('Offshore - Melbourne'!D221="Term",'Offshore - Melbourne'!E221*4,IF('Offshore - Melbourne'!D221="Unit",'Offshore - Melbourne'!E221*8,""))))))</f>
        <v>11000</v>
      </c>
      <c r="L1507" s="0" t="n">
        <f aca="false">IF(AND(ISNUMBER('Offshore - Melbourne'!E221),ISNUMBER(K1507),ISNUMBER('Offshore - Melbourne'!F221),ISNUMBER('Offshore - Melbourne'!G221),OR('Offshore - Melbourne'!F221&lt;&gt;0,ISNUMBER(SEARCH("Material 0 terverifikasi",'Offshore - Melbourne'!N221))),OR('Offshore - Melbourne'!G221&lt;&gt;0,ISNUMBER(SEARCH("Enrolment 0 terverifikasi",'Offshore - Melbourne'!N221)))),1,0)</f>
        <v>1</v>
      </c>
      <c r="M1507" s="0" t="n">
        <f aca="false">IF(OR('Offshore - Melbourne'!E221="",ISNUMBER(SEARCH("BSB80120",'Offshore - Melbourne'!B221&amp;'Offshore - Melbourne'!N221)),ISNUMBER(SEARCH("Management (Learning)",'Offshore - Melbourne'!B221))),2,IF(ISNUMBER(SEARCH("CEK:",'Offshore - Melbourne'!N221)),1,0))</f>
        <v>0</v>
      </c>
    </row>
    <row r="1508" customFormat="false" ht="15" hidden="false" customHeight="false" outlineLevel="0" collapsed="false">
      <c r="A1508" s="63" t="s">
        <v>3544</v>
      </c>
      <c r="B1508" s="64" t="s">
        <v>4374</v>
      </c>
      <c r="C1508" s="63" t="s">
        <v>42</v>
      </c>
      <c r="D1508" s="64" t="str">
        <f aca="false">TRIM(LEFT('Offshore - Melbourne'!A228,FIND(CHAR(10),'Offshore - Melbourne'!A228&amp;CHAR(10))-1))</f>
        <v>Baxter Institute</v>
      </c>
      <c r="E1508" s="63" t="str">
        <f aca="false">'Offshore - Melbourne'!C231&amp;""</f>
        <v>2 years</v>
      </c>
      <c r="F1508" s="63" t="str">
        <f aca="false">IF('Offshore - Melbourne'!D231="","Belum tercatat",'Offshore - Melbourne'!D231)</f>
        <v>Term</v>
      </c>
      <c r="G1508" s="65" t="n">
        <f aca="false">IF('Offshore - Melbourne'!E231="","-",'Offshore - Melbourne'!E231)</f>
        <v>3750</v>
      </c>
      <c r="H1508" s="63" t="n">
        <f aca="false">IF(ISNUMBER(K1508),COUNTIFS($J$6:$J$1854,J1508,$K$6:$K$1854,"&lt;"&amp;K1508)+1,"-")</f>
        <v>11</v>
      </c>
      <c r="I1508" s="64" t="str">
        <f aca="false">IF('Offshore - Melbourne'!E231="","Harga belum tersedia - hubungi konsultan TEG",IF(M1508=2,"Saat ini tidak menerima pendaftaran siswa internasional baru",IF(M1508=1,"Harga perlu dikonfirmasi ke sekolah"&amp;IF(""="","","; "&amp;""),"")))</f>
        <v/>
      </c>
      <c r="J1508" s="0" t="s">
        <v>4419</v>
      </c>
      <c r="K1508" s="0" t="n">
        <f aca="false">IF(M1508=2,"",IF(ISNUMBER(SEARCH("rata-rata:",'Offshore - Melbourne'!N231)),VALUE(MID('Offshore - Melbourne'!N231,SEARCH("rata-rata:",'Offshore - Melbourne'!N231)+11,FIND(";",'Offshore - Melbourne'!N231&amp;";",SEARCH("rata-rata:",'Offshore - Melbourne'!N231))-SEARCH("rata-rata:",'Offshore - Melbourne'!N231)-11)),IF('Offshore - Melbourne'!D231="Semester",'Offshore - Melbourne'!E231*2,IF('Offshore - Melbourne'!D231="Trimester",'Offshore - Melbourne'!E231*3,IF('Offshore - Melbourne'!D231="Term",'Offshore - Melbourne'!E231*4,IF('Offshore - Melbourne'!D231="Unit",'Offshore - Melbourne'!E231*8,""))))))</f>
        <v>15000</v>
      </c>
      <c r="L1508" s="0" t="n">
        <f aca="false">IF(AND(ISNUMBER('Offshore - Melbourne'!E231),ISNUMBER(K1508),ISNUMBER('Offshore - Melbourne'!F231),ISNUMBER('Offshore - Melbourne'!G231),OR('Offshore - Melbourne'!F231&lt;&gt;0,ISNUMBER(SEARCH("Material 0 terverifikasi",'Offshore - Melbourne'!N231))),OR('Offshore - Melbourne'!G231&lt;&gt;0,ISNUMBER(SEARCH("Enrolment 0 terverifikasi",'Offshore - Melbourne'!N231)))),1,0)</f>
        <v>1</v>
      </c>
      <c r="M1508" s="0" t="n">
        <f aca="false">IF(OR('Offshore - Melbourne'!E231="",ISNUMBER(SEARCH("BSB80120",'Offshore - Melbourne'!B231&amp;'Offshore - Melbourne'!N231)),ISNUMBER(SEARCH("Management (Learning)",'Offshore - Melbourne'!B231))),2,IF(ISNUMBER(SEARCH("CEK:",'Offshore - Melbourne'!N231)),1,0))</f>
        <v>0</v>
      </c>
    </row>
    <row r="1509" customFormat="false" ht="15" hidden="false" customHeight="false" outlineLevel="0" collapsed="false">
      <c r="A1509" s="61" t="s">
        <v>4420</v>
      </c>
      <c r="B1509" s="62"/>
      <c r="C1509" s="62"/>
      <c r="D1509" s="62"/>
      <c r="E1509" s="62"/>
      <c r="F1509" s="62"/>
      <c r="G1509" s="62"/>
      <c r="H1509" s="62"/>
      <c r="I1509" s="62"/>
    </row>
    <row r="1510" customFormat="false" ht="28.35" hidden="false" customHeight="false" outlineLevel="0" collapsed="false">
      <c r="A1510" s="63" t="s">
        <v>3544</v>
      </c>
      <c r="B1510" s="64" t="s">
        <v>4374</v>
      </c>
      <c r="C1510" s="63" t="s">
        <v>43</v>
      </c>
      <c r="D1510" s="64" t="str">
        <f aca="false">TRIM(LEFT('Offshore - Melbourne'!A200,FIND(CHAR(10),'Offshore - Melbourne'!A200&amp;CHAR(10))-1))</f>
        <v>Australian Institute of Advanced Technologies (AIAT)</v>
      </c>
      <c r="E1510" s="63" t="str">
        <f aca="false">'Offshore - Melbourne'!C205&amp;""</f>
        <v>3 years</v>
      </c>
      <c r="F1510" s="63" t="str">
        <f aca="false">IF('Offshore - Melbourne'!D205="","Belum tercatat",'Offshore - Melbourne'!D205)</f>
        <v>Term</v>
      </c>
      <c r="G1510" s="65" t="n">
        <f aca="false">IF('Offshore - Melbourne'!E205="","-",'Offshore - Melbourne'!E205)</f>
        <v>3000</v>
      </c>
      <c r="H1510" s="63" t="n">
        <f aca="false">IF(ISNUMBER(K1510),COUNTIFS($J$6:$J$1854,J1510,$K$6:$K$1854,"&lt;"&amp;K1510)+1,"-")</f>
        <v>1</v>
      </c>
      <c r="I1510" s="64" t="str">
        <f aca="false">IF('Offshore - Melbourne'!E205="","Harga belum tersedia - hubungi konsultan TEG",IF(M1510=2,"Saat ini tidak menerima pendaftaran siswa internasional baru",IF(M1510=1,"Harga perlu dikonfirmasi ke sekolah"&amp;IF(""="","","; "&amp;""),"")))</f>
        <v/>
      </c>
      <c r="J1510" s="0" t="s">
        <v>4421</v>
      </c>
      <c r="K1510" s="0" t="n">
        <f aca="false">IF(M1510=2,"",IF(ISNUMBER(SEARCH("rata-rata:",'Offshore - Melbourne'!N205)),VALUE(MID('Offshore - Melbourne'!N205,SEARCH("rata-rata:",'Offshore - Melbourne'!N205)+11,FIND(";",'Offshore - Melbourne'!N205&amp;";",SEARCH("rata-rata:",'Offshore - Melbourne'!N205))-SEARCH("rata-rata:",'Offshore - Melbourne'!N205)-11)),IF('Offshore - Melbourne'!D205="Semester",'Offshore - Melbourne'!E205*2,IF('Offshore - Melbourne'!D205="Trimester",'Offshore - Melbourne'!E205*3,IF('Offshore - Melbourne'!D205="Term",'Offshore - Melbourne'!E205*4,IF('Offshore - Melbourne'!D205="Unit",'Offshore - Melbourne'!E205*8,""))))))</f>
        <v>12000</v>
      </c>
      <c r="L1510" s="0" t="n">
        <f aca="false">IF(AND(ISNUMBER('Offshore - Melbourne'!E205),ISNUMBER(K1510),ISNUMBER('Offshore - Melbourne'!F205),ISNUMBER('Offshore - Melbourne'!G205),OR('Offshore - Melbourne'!F205&lt;&gt;0,ISNUMBER(SEARCH("Material 0 terverifikasi",'Offshore - Melbourne'!N205))),OR('Offshore - Melbourne'!G205&lt;&gt;0,ISNUMBER(SEARCH("Enrolment 0 terverifikasi",'Offshore - Melbourne'!N205)))),1,0)</f>
        <v>0</v>
      </c>
      <c r="M1510" s="0" t="n">
        <f aca="false">IF(OR('Offshore - Melbourne'!E205="",ISNUMBER(SEARCH("BSB80120",'Offshore - Melbourne'!B205&amp;'Offshore - Melbourne'!N205)),ISNUMBER(SEARCH("Management (Learning)",'Offshore - Melbourne'!B205))),2,IF(ISNUMBER(SEARCH("CEK:",'Offshore - Melbourne'!N205)),1,0))</f>
        <v>0</v>
      </c>
    </row>
    <row r="1511" customFormat="false" ht="55.2" hidden="false" customHeight="false" outlineLevel="0" collapsed="false">
      <c r="A1511" s="63" t="s">
        <v>3544</v>
      </c>
      <c r="B1511" s="64" t="s">
        <v>4374</v>
      </c>
      <c r="C1511" s="63" t="s">
        <v>43</v>
      </c>
      <c r="D1511" s="64" t="str">
        <f aca="false">TRIM(LEFT('Offshore - Melbourne'!A43,FIND(CHAR(10),'Offshore - Melbourne'!A43&amp;CHAR(10))-1))</f>
        <v>AIH Higher Education (Australian Institute of Higher Education)</v>
      </c>
      <c r="E1511" s="63" t="str">
        <f aca="false">'Offshore - Melbourne'!C47&amp;""</f>
        <v>3 years</v>
      </c>
      <c r="F1511" s="63" t="str">
        <f aca="false">IF('Offshore - Melbourne'!D47="","Belum tercatat",'Offshore - Melbourne'!D47)</f>
        <v>Unit</v>
      </c>
      <c r="G1511" s="65" t="n">
        <f aca="false">IF('Offshore - Melbourne'!E47="","-",'Offshore - Melbourne'!E47)</f>
        <v>1560</v>
      </c>
      <c r="H1511" s="63" t="n">
        <f aca="false">IF(ISNUMBER(K1511),COUNTIFS($J$6:$J$1854,J1511,$K$6:$K$1854,"&lt;"&amp;K1511)+1,"-")</f>
        <v>2</v>
      </c>
      <c r="I1511" s="64" t="str">
        <f aca="false">IF('Offshore - Melbourne'!E47="","Harga belum tersedia - hubungi konsultan TEG",IF(M1511=2,"Saat ini tidak menerima pendaftaran siswa internasional baru",IF(M1511=1,"Harga perlu dikonfirmasi ke sekolah"&amp;IF("Harga promo s.d. 31/12/2026; Harga dihitung per unit; total tergantung jumlah unit yang diambil; Sudah termasuk beasiswa 30% (syarat berlaku)"="","","; "&amp;"Harga promo s.d. 31/12/2026; Harga dihitung per unit; total tergantung jumlah unit yang diambil; Sudah termasuk beasiswa 30% (syarat berlaku)"),"Harga promo s.d. 31/12/2026; Harga dihitung per unit; total tergantung jumlah unit yang diambil; Sudah termasuk beasiswa 30% (syarat berlaku)")))</f>
        <v>Harga promo s.d. 31/12/2026; Harga dihitung per unit; total tergantung jumlah unit yang diambil; Sudah termasuk beasiswa 30% (syarat berlaku)</v>
      </c>
      <c r="J1511" s="0" t="s">
        <v>4421</v>
      </c>
      <c r="K1511" s="0" t="n">
        <f aca="false">IF(M1511=2,"",IF(ISNUMBER(SEARCH("rata-rata:",'Offshore - Melbourne'!N47)),VALUE(MID('Offshore - Melbourne'!N47,SEARCH("rata-rata:",'Offshore - Melbourne'!N47)+11,FIND(";",'Offshore - Melbourne'!N47&amp;";",SEARCH("rata-rata:",'Offshore - Melbourne'!N47))-SEARCH("rata-rata:",'Offshore - Melbourne'!N47)-11)),IF('Offshore - Melbourne'!D47="Semester",'Offshore - Melbourne'!E47*2,IF('Offshore - Melbourne'!D47="Trimester",'Offshore - Melbourne'!E47*3,IF('Offshore - Melbourne'!D47="Term",'Offshore - Melbourne'!E47*4,IF('Offshore - Melbourne'!D47="Unit",'Offshore - Melbourne'!E47*8,""))))))</f>
        <v>12480</v>
      </c>
      <c r="L1511" s="0" t="n">
        <f aca="false">IF(AND(ISNUMBER('Offshore - Melbourne'!E47),ISNUMBER(K1511),ISNUMBER('Offshore - Melbourne'!F47),ISNUMBER('Offshore - Melbourne'!G47),OR('Offshore - Melbourne'!F47&lt;&gt;0,ISNUMBER(SEARCH("Material 0 terverifikasi",'Offshore - Melbourne'!N47))),OR('Offshore - Melbourne'!G47&lt;&gt;0,ISNUMBER(SEARCH("Enrolment 0 terverifikasi",'Offshore - Melbourne'!N47)))),1,0)</f>
        <v>1</v>
      </c>
      <c r="M1511" s="0" t="n">
        <f aca="false">IF(OR('Offshore - Melbourne'!E47="",ISNUMBER(SEARCH("BSB80120",'Offshore - Melbourne'!B47&amp;'Offshore - Melbourne'!N47)),ISNUMBER(SEARCH("Management (Learning)",'Offshore - Melbourne'!B47))),2,IF(ISNUMBER(SEARCH("CEK:",'Offshore - Melbourne'!N47)),1,0))</f>
        <v>0</v>
      </c>
    </row>
    <row r="1512" customFormat="false" ht="15" hidden="false" customHeight="false" outlineLevel="0" collapsed="false">
      <c r="A1512" s="63" t="s">
        <v>3544</v>
      </c>
      <c r="B1512" s="64" t="s">
        <v>4374</v>
      </c>
      <c r="C1512" s="63" t="s">
        <v>43</v>
      </c>
      <c r="D1512" s="64" t="str">
        <f aca="false">TRIM(LEFT('Offshore - Melbourne'!A78,FIND(CHAR(10),'Offshore - Melbourne'!A78&amp;CHAR(10))-1))</f>
        <v>Asia Pacific International College (APIC)</v>
      </c>
      <c r="E1512" s="63" t="str">
        <f aca="false">'Offshore - Melbourne'!C79&amp;""</f>
        <v>3 years</v>
      </c>
      <c r="F1512" s="63" t="str">
        <f aca="false">IF('Offshore - Melbourne'!D79="","Belum tercatat",'Offshore - Melbourne'!D79)</f>
        <v>Trimester</v>
      </c>
      <c r="G1512" s="65" t="n">
        <f aca="false">IF('Offshore - Melbourne'!E79="","-",'Offshore - Melbourne'!E79)</f>
        <v>4500</v>
      </c>
      <c r="H1512" s="63" t="n">
        <f aca="false">IF(ISNUMBER(K1512),COUNTIFS($J$6:$J$1854,J1512,$K$6:$K$1854,"&lt;"&amp;K1512)+1,"-")</f>
        <v>3</v>
      </c>
      <c r="I1512" s="64" t="str">
        <f aca="false">IF('Offshore - Melbourne'!E79="","Harga belum tersedia - hubungi konsultan TEG",IF(M1512=2,"Saat ini tidak menerima pendaftaran siswa internasional baru",IF(M1512=1,"Harga perlu dikonfirmasi ke sekolah"&amp;IF("Harga promo s.d. 31/12/2026"="","","; "&amp;"Harga promo s.d. 31/12/2026"),"Harga promo s.d. 31/12/2026")))</f>
        <v>Harga promo s.d. 31/12/2026</v>
      </c>
      <c r="J1512" s="0" t="s">
        <v>4421</v>
      </c>
      <c r="K1512" s="0" t="n">
        <f aca="false">IF(M1512=2,"",IF(ISNUMBER(SEARCH("rata-rata:",'Offshore - Melbourne'!N79)),VALUE(MID('Offshore - Melbourne'!N79,SEARCH("rata-rata:",'Offshore - Melbourne'!N79)+11,FIND(";",'Offshore - Melbourne'!N79&amp;";",SEARCH("rata-rata:",'Offshore - Melbourne'!N79))-SEARCH("rata-rata:",'Offshore - Melbourne'!N79)-11)),IF('Offshore - Melbourne'!D79="Semester",'Offshore - Melbourne'!E79*2,IF('Offshore - Melbourne'!D79="Trimester",'Offshore - Melbourne'!E79*3,IF('Offshore - Melbourne'!D79="Term",'Offshore - Melbourne'!E79*4,IF('Offshore - Melbourne'!D79="Unit",'Offshore - Melbourne'!E79*8,""))))))</f>
        <v>13500</v>
      </c>
      <c r="L1512" s="0" t="n">
        <f aca="false">IF(AND(ISNUMBER('Offshore - Melbourne'!E79),ISNUMBER(K1512),ISNUMBER('Offshore - Melbourne'!F79),ISNUMBER('Offshore - Melbourne'!G79),OR('Offshore - Melbourne'!F79&lt;&gt;0,ISNUMBER(SEARCH("Material 0 terverifikasi",'Offshore - Melbourne'!N79))),OR('Offshore - Melbourne'!G79&lt;&gt;0,ISNUMBER(SEARCH("Enrolment 0 terverifikasi",'Offshore - Melbourne'!N79)))),1,0)</f>
        <v>0</v>
      </c>
      <c r="M1512" s="0" t="n">
        <f aca="false">IF(OR('Offshore - Melbourne'!E79="",ISNUMBER(SEARCH("BSB80120",'Offshore - Melbourne'!B79&amp;'Offshore - Melbourne'!N79)),ISNUMBER(SEARCH("Management (Learning)",'Offshore - Melbourne'!B79))),2,IF(ISNUMBER(SEARCH("CEK:",'Offshore - Melbourne'!N79)),1,0))</f>
        <v>0</v>
      </c>
    </row>
    <row r="1513" customFormat="false" ht="15" hidden="false" customHeight="false" outlineLevel="0" collapsed="false">
      <c r="A1513" s="63" t="s">
        <v>3544</v>
      </c>
      <c r="B1513" s="64" t="s">
        <v>4374</v>
      </c>
      <c r="C1513" s="63" t="s">
        <v>43</v>
      </c>
      <c r="D1513" s="64" t="str">
        <f aca="false">TRIM(LEFT('Offshore - Melbourne'!A75,FIND(CHAR(10),'Offshore - Melbourne'!A75&amp;CHAR(10))-1))</f>
        <v>Analytics Institute of Australia (AIA)</v>
      </c>
      <c r="E1513" s="63" t="str">
        <f aca="false">'Offshore - Melbourne'!C75&amp;""</f>
        <v>2 years</v>
      </c>
      <c r="F1513" s="63" t="str">
        <f aca="false">IF('Offshore - Melbourne'!D75="","Belum tercatat",'Offshore - Melbourne'!D75)</f>
        <v>Term</v>
      </c>
      <c r="G1513" s="65" t="n">
        <f aca="false">IF('Offshore - Melbourne'!E75="","-",'Offshore - Melbourne'!E75)</f>
        <v>3730</v>
      </c>
      <c r="H1513" s="63" t="n">
        <f aca="false">IF(ISNUMBER(K1513),COUNTIFS($J$6:$J$1854,J1513,$K$6:$K$1854,"&lt;"&amp;K1513)+1,"-")</f>
        <v>4</v>
      </c>
      <c r="I1513" s="64" t="str">
        <f aca="false">IF('Offshore - Melbourne'!E75="","Harga belum tersedia - hubungi konsultan TEG",IF(M1513=2,"Saat ini tidak menerima pendaftaran siswa internasional baru",IF(M1513=1,"Harga perlu dikonfirmasi ke sekolah"&amp;IF(""="","","; "&amp;""),"")))</f>
        <v>Harga perlu dikonfirmasi ke sekolah</v>
      </c>
      <c r="J1513" s="0" t="s">
        <v>4421</v>
      </c>
      <c r="K1513" s="0" t="n">
        <f aca="false">IF(M1513=2,"",IF(ISNUMBER(SEARCH("rata-rata:",'Offshore - Melbourne'!N75)),VALUE(MID('Offshore - Melbourne'!N75,SEARCH("rata-rata:",'Offshore - Melbourne'!N75)+11,FIND(";",'Offshore - Melbourne'!N75&amp;";",SEARCH("rata-rata:",'Offshore - Melbourne'!N75))-SEARCH("rata-rata:",'Offshore - Melbourne'!N75)-11)),IF('Offshore - Melbourne'!D75="Semester",'Offshore - Melbourne'!E75*2,IF('Offshore - Melbourne'!D75="Trimester",'Offshore - Melbourne'!E75*3,IF('Offshore - Melbourne'!D75="Term",'Offshore - Melbourne'!E75*4,IF('Offshore - Melbourne'!D75="Unit",'Offshore - Melbourne'!E75*8,""))))))</f>
        <v>14920</v>
      </c>
      <c r="L1513" s="0" t="n">
        <f aca="false">IF(AND(ISNUMBER('Offshore - Melbourne'!E75),ISNUMBER(K1513),ISNUMBER('Offshore - Melbourne'!F75),ISNUMBER('Offshore - Melbourne'!G75),OR('Offshore - Melbourne'!F75&lt;&gt;0,ISNUMBER(SEARCH("Material 0 terverifikasi",'Offshore - Melbourne'!N75))),OR('Offshore - Melbourne'!G75&lt;&gt;0,ISNUMBER(SEARCH("Enrolment 0 terverifikasi",'Offshore - Melbourne'!N75)))),1,0)</f>
        <v>0</v>
      </c>
      <c r="M1513" s="0" t="n">
        <f aca="false">IF(OR('Offshore - Melbourne'!E75="",ISNUMBER(SEARCH("BSB80120",'Offshore - Melbourne'!B75&amp;'Offshore - Melbourne'!N75)),ISNUMBER(SEARCH("Management (Learning)",'Offshore - Melbourne'!B75))),2,IF(ISNUMBER(SEARCH("CEK:",'Offshore - Melbourne'!N75)),1,0))</f>
        <v>1</v>
      </c>
    </row>
    <row r="1514" customFormat="false" ht="55.2" hidden="false" customHeight="false" outlineLevel="0" collapsed="false">
      <c r="A1514" s="63" t="s">
        <v>3544</v>
      </c>
      <c r="B1514" s="64" t="s">
        <v>4374</v>
      </c>
      <c r="C1514" s="63" t="s">
        <v>43</v>
      </c>
      <c r="D1514" s="64" t="str">
        <f aca="false">TRIM(LEFT('Offshore - Melbourne'!A280,FIND(CHAR(10),'Offshore - Melbourne'!A280&amp;CHAR(10))-1))</f>
        <v>Greenwich Higher Education (Academy of Interactive Technology Pty Ltd)</v>
      </c>
      <c r="E1514" s="63" t="str">
        <f aca="false">'Offshore - Melbourne'!C280&amp;""</f>
        <v>3 years</v>
      </c>
      <c r="F1514" s="63" t="str">
        <f aca="false">IF('Offshore - Melbourne'!D280="","Belum tercatat",'Offshore - Melbourne'!D280)</f>
        <v>Unit</v>
      </c>
      <c r="G1514" s="65" t="n">
        <f aca="false">IF('Offshore - Melbourne'!E280="","-",'Offshore - Melbourne'!E280)</f>
        <v>2012.5</v>
      </c>
      <c r="H1514" s="63" t="n">
        <f aca="false">IF(ISNUMBER(K1514),COUNTIFS($J$6:$J$1854,J1514,$K$6:$K$1854,"&lt;"&amp;K1514)+1,"-")</f>
        <v>5</v>
      </c>
      <c r="I1514" s="64" t="str">
        <f aca="false">IF('Offshore - Melbourne'!E280="","Harga belum tersedia - hubungi konsultan TEG",IF(M1514=2,"Saat ini tidak menerima pendaftaran siswa internasional baru",IF(M1514=1,"Harga perlu dikonfirmasi ke sekolah"&amp;IF("Harga promo s.d. 13/09/2027; Harga dihitung per unit; total tergantung jumlah unit yang diambil; Sudah termasuk beasiswa 30% (syarat berlaku)"="","","; "&amp;"Harga promo s.d. 13/09/2027; Harga dihitung per unit; total tergantung jumlah unit yang diambil; Sudah termasuk beasiswa 30% (syarat berlaku)"),"Harga promo s.d. 13/09/2027; Harga dihitung per unit; total tergantung jumlah unit yang diambil; Sudah termasuk beasiswa 30% (syarat berlaku)")))</f>
        <v>Harga promo s.d. 13/09/2027; Harga dihitung per unit; total tergantung jumlah unit yang diambil; Sudah termasuk beasiswa 30% (syarat berlaku)</v>
      </c>
      <c r="J1514" s="0" t="s">
        <v>4421</v>
      </c>
      <c r="K1514" s="0" t="n">
        <f aca="false">IF(M1514=2,"",IF(ISNUMBER(SEARCH("rata-rata:",'Offshore - Melbourne'!N280)),VALUE(MID('Offshore - Melbourne'!N280,SEARCH("rata-rata:",'Offshore - Melbourne'!N280)+11,FIND(";",'Offshore - Melbourne'!N280&amp;";",SEARCH("rata-rata:",'Offshore - Melbourne'!N280))-SEARCH("rata-rata:",'Offshore - Melbourne'!N280)-11)),IF('Offshore - Melbourne'!D280="Semester",'Offshore - Melbourne'!E280*2,IF('Offshore - Melbourne'!D280="Trimester",'Offshore - Melbourne'!E280*3,IF('Offshore - Melbourne'!D280="Term",'Offshore - Melbourne'!E280*4,IF('Offshore - Melbourne'!D280="Unit",'Offshore - Melbourne'!E280*8,""))))))</f>
        <v>16100</v>
      </c>
      <c r="L1514" s="0" t="n">
        <f aca="false">IF(AND(ISNUMBER('Offshore - Melbourne'!E280),ISNUMBER(K1514),ISNUMBER('Offshore - Melbourne'!F280),ISNUMBER('Offshore - Melbourne'!G280),OR('Offshore - Melbourne'!F280&lt;&gt;0,ISNUMBER(SEARCH("Material 0 terverifikasi",'Offshore - Melbourne'!N280))),OR('Offshore - Melbourne'!G280&lt;&gt;0,ISNUMBER(SEARCH("Enrolment 0 terverifikasi",'Offshore - Melbourne'!N280)))),1,0)</f>
        <v>1</v>
      </c>
      <c r="M1514" s="0" t="n">
        <f aca="false">IF(OR('Offshore - Melbourne'!E280="",ISNUMBER(SEARCH("BSB80120",'Offshore - Melbourne'!B280&amp;'Offshore - Melbourne'!N280)),ISNUMBER(SEARCH("Management (Learning)",'Offshore - Melbourne'!B280))),2,IF(ISNUMBER(SEARCH("CEK:",'Offshore - Melbourne'!N280)),1,0))</f>
        <v>0</v>
      </c>
    </row>
    <row r="1515" customFormat="false" ht="15" hidden="false" customHeight="false" outlineLevel="0" collapsed="false">
      <c r="A1515" s="63" t="s">
        <v>3544</v>
      </c>
      <c r="B1515" s="64" t="s">
        <v>4374</v>
      </c>
      <c r="C1515" s="63" t="s">
        <v>43</v>
      </c>
      <c r="D1515" s="64" t="str">
        <f aca="false">TRIM(LEFT('Offshore - Melbourne'!A426,FIND(CHAR(10),'Offshore - Melbourne'!A426&amp;CHAR(10))-1))</f>
        <v>The Institute of International Studies (TIIS)</v>
      </c>
      <c r="E1515" s="63" t="str">
        <f aca="false">'Offshore - Melbourne'!C433&amp;""</f>
        <v>3 years</v>
      </c>
      <c r="F1515" s="63" t="str">
        <f aca="false">IF('Offshore - Melbourne'!D433="","Belum tercatat",'Offshore - Melbourne'!D433)</f>
        <v>Term</v>
      </c>
      <c r="G1515" s="65" t="n">
        <f aca="false">IF('Offshore - Melbourne'!E433="","-",'Offshore - Melbourne'!E433)</f>
        <v>4300</v>
      </c>
      <c r="H1515" s="63" t="n">
        <f aca="false">IF(ISNUMBER(K1515),COUNTIFS($J$6:$J$1854,J1515,$K$6:$K$1854,"&lt;"&amp;K1515)+1,"-")</f>
        <v>6</v>
      </c>
      <c r="I1515" s="64" t="str">
        <f aca="false">IF('Offshore - Melbourne'!E433="","Harga belum tersedia - hubungi konsultan TEG",IF(M1515=2,"Saat ini tidak menerima pendaftaran siswa internasional baru",IF(M1515=1,"Harga perlu dikonfirmasi ke sekolah"&amp;IF(""="","","; "&amp;""),"")))</f>
        <v/>
      </c>
      <c r="J1515" s="0" t="s">
        <v>4421</v>
      </c>
      <c r="K1515" s="0" t="n">
        <f aca="false">IF(M1515=2,"",IF(ISNUMBER(SEARCH("rata-rata:",'Offshore - Melbourne'!N433)),VALUE(MID('Offshore - Melbourne'!N433,SEARCH("rata-rata:",'Offshore - Melbourne'!N433)+11,FIND(";",'Offshore - Melbourne'!N433&amp;";",SEARCH("rata-rata:",'Offshore - Melbourne'!N433))-SEARCH("rata-rata:",'Offshore - Melbourne'!N433)-11)),IF('Offshore - Melbourne'!D433="Semester",'Offshore - Melbourne'!E433*2,IF('Offshore - Melbourne'!D433="Trimester",'Offshore - Melbourne'!E433*3,IF('Offshore - Melbourne'!D433="Term",'Offshore - Melbourne'!E433*4,IF('Offshore - Melbourne'!D433="Unit",'Offshore - Melbourne'!E433*8,""))))))</f>
        <v>17200</v>
      </c>
      <c r="L1515" s="0" t="n">
        <f aca="false">IF(AND(ISNUMBER('Offshore - Melbourne'!E433),ISNUMBER(K1515),ISNUMBER('Offshore - Melbourne'!F433),ISNUMBER('Offshore - Melbourne'!G433),OR('Offshore - Melbourne'!F433&lt;&gt;0,ISNUMBER(SEARCH("Material 0 terverifikasi",'Offshore - Melbourne'!N433))),OR('Offshore - Melbourne'!G433&lt;&gt;0,ISNUMBER(SEARCH("Enrolment 0 terverifikasi",'Offshore - Melbourne'!N433)))),1,0)</f>
        <v>0</v>
      </c>
      <c r="M1515" s="0" t="n">
        <f aca="false">IF(OR('Offshore - Melbourne'!E433="",ISNUMBER(SEARCH("BSB80120",'Offshore - Melbourne'!B433&amp;'Offshore - Melbourne'!N433)),ISNUMBER(SEARCH("Management (Learning)",'Offshore - Melbourne'!B433))),2,IF(ISNUMBER(SEARCH("CEK:",'Offshore - Melbourne'!N433)),1,0))</f>
        <v>0</v>
      </c>
    </row>
    <row r="1516" customFormat="false" ht="28.35" hidden="false" customHeight="false" outlineLevel="0" collapsed="false">
      <c r="A1516" s="63" t="s">
        <v>3544</v>
      </c>
      <c r="B1516" s="64" t="s">
        <v>4374</v>
      </c>
      <c r="C1516" s="63" t="s">
        <v>43</v>
      </c>
      <c r="D1516" s="64" t="str">
        <f aca="false">TRIM(LEFT('Offshore - Melbourne'!A351,FIND(CHAR(10),'Offshore - Melbourne'!A351&amp;CHAR(10))-1))</f>
        <v>National Academy of Professional Studies (NAPS)</v>
      </c>
      <c r="E1516" s="63" t="str">
        <f aca="false">'Offshore - Melbourne'!C351&amp;""</f>
        <v>3 years</v>
      </c>
      <c r="F1516" s="63" t="str">
        <f aca="false">IF('Offshore - Melbourne'!D351="","Belum tercatat",'Offshore - Melbourne'!D351)</f>
        <v>Term</v>
      </c>
      <c r="G1516" s="65" t="n">
        <f aca="false">IF('Offshore - Melbourne'!E351="","-",'Offshore - Melbourne'!E351)</f>
        <v>4500</v>
      </c>
      <c r="H1516" s="63" t="n">
        <f aca="false">IF(ISNUMBER(K1516),COUNTIFS($J$6:$J$1854,J1516,$K$6:$K$1854,"&lt;"&amp;K1516)+1,"-")</f>
        <v>7</v>
      </c>
      <c r="I1516" s="64" t="str">
        <f aca="false">IF('Offshore - Melbourne'!E351="","Harga belum tersedia - hubungi konsultan TEG",IF(M1516=2,"Saat ini tidak menerima pendaftaran siswa internasional baru",IF(M1516=1,"Harga perlu dikonfirmasi ke sekolah"&amp;IF(""="","","; "&amp;""),"")))</f>
        <v>Harga perlu dikonfirmasi ke sekolah</v>
      </c>
      <c r="J1516" s="0" t="s">
        <v>4421</v>
      </c>
      <c r="K1516" s="0" t="n">
        <f aca="false">IF(M1516=2,"",IF(ISNUMBER(SEARCH("rata-rata:",'Offshore - Melbourne'!N351)),VALUE(MID('Offshore - Melbourne'!N351,SEARCH("rata-rata:",'Offshore - Melbourne'!N351)+11,FIND(";",'Offshore - Melbourne'!N351&amp;";",SEARCH("rata-rata:",'Offshore - Melbourne'!N351))-SEARCH("rata-rata:",'Offshore - Melbourne'!N351)-11)),IF('Offshore - Melbourne'!D351="Semester",'Offshore - Melbourne'!E351*2,IF('Offshore - Melbourne'!D351="Trimester",'Offshore - Melbourne'!E351*3,IF('Offshore - Melbourne'!D351="Term",'Offshore - Melbourne'!E351*4,IF('Offshore - Melbourne'!D351="Unit",'Offshore - Melbourne'!E351*8,""))))))</f>
        <v>18000</v>
      </c>
      <c r="L1516" s="0" t="n">
        <f aca="false">IF(AND(ISNUMBER('Offshore - Melbourne'!E351),ISNUMBER(K1516),ISNUMBER('Offshore - Melbourne'!F351),ISNUMBER('Offshore - Melbourne'!G351),OR('Offshore - Melbourne'!F351&lt;&gt;0,ISNUMBER(SEARCH("Material 0 terverifikasi",'Offshore - Melbourne'!N351))),OR('Offshore - Melbourne'!G351&lt;&gt;0,ISNUMBER(SEARCH("Enrolment 0 terverifikasi",'Offshore - Melbourne'!N351)))),1,0)</f>
        <v>1</v>
      </c>
      <c r="M1516" s="0" t="n">
        <f aca="false">IF(OR('Offshore - Melbourne'!E351="",ISNUMBER(SEARCH("BSB80120",'Offshore - Melbourne'!B351&amp;'Offshore - Melbourne'!N351)),ISNUMBER(SEARCH("Management (Learning)",'Offshore - Melbourne'!B351))),2,IF(ISNUMBER(SEARCH("CEK:",'Offshore - Melbourne'!N351)),1,0))</f>
        <v>1</v>
      </c>
    </row>
    <row r="1517" customFormat="false" ht="15" hidden="false" customHeight="false" outlineLevel="0" collapsed="false">
      <c r="A1517" s="63" t="s">
        <v>3544</v>
      </c>
      <c r="B1517" s="64" t="s">
        <v>4374</v>
      </c>
      <c r="C1517" s="63" t="s">
        <v>43</v>
      </c>
      <c r="D1517" s="64" t="str">
        <f aca="false">TRIM(LEFT('Offshore - Melbourne'!A374,FIND(CHAR(10),'Offshore - Melbourne'!A374&amp;CHAR(10))-1))</f>
        <v>Ozford Institute of Higher Education</v>
      </c>
      <c r="E1517" s="63" t="str">
        <f aca="false">'Offshore - Melbourne'!C378&amp;""</f>
        <v>3 years</v>
      </c>
      <c r="F1517" s="63" t="str">
        <f aca="false">IF('Offshore - Melbourne'!D378="","Belum tercatat",'Offshore - Melbourne'!D378)</f>
        <v>Term</v>
      </c>
      <c r="G1517" s="65" t="n">
        <f aca="false">IF('Offshore - Melbourne'!E378="","-",'Offshore - Melbourne'!E378)</f>
        <v>4950</v>
      </c>
      <c r="H1517" s="63" t="n">
        <f aca="false">IF(ISNUMBER(K1517),COUNTIFS($J$6:$J$1854,J1517,$K$6:$K$1854,"&lt;"&amp;K1517)+1,"-")</f>
        <v>8</v>
      </c>
      <c r="I1517" s="64" t="str">
        <f aca="false">IF('Offshore - Melbourne'!E378="","Harga belum tersedia - hubungi konsultan TEG",IF(M1517=2,"Saat ini tidak menerima pendaftaran siswa internasional baru",IF(M1517=1,"Harga perlu dikonfirmasi ke sekolah"&amp;IF(""="","","; "&amp;""),"")))</f>
        <v>Harga perlu dikonfirmasi ke sekolah</v>
      </c>
      <c r="J1517" s="0" t="s">
        <v>4421</v>
      </c>
      <c r="K1517" s="0" t="n">
        <f aca="false">IF(M1517=2,"",IF(ISNUMBER(SEARCH("rata-rata:",'Offshore - Melbourne'!N378)),VALUE(MID('Offshore - Melbourne'!N378,SEARCH("rata-rata:",'Offshore - Melbourne'!N378)+11,FIND(";",'Offshore - Melbourne'!N378&amp;";",SEARCH("rata-rata:",'Offshore - Melbourne'!N378))-SEARCH("rata-rata:",'Offshore - Melbourne'!N378)-11)),IF('Offshore - Melbourne'!D378="Semester",'Offshore - Melbourne'!E378*2,IF('Offshore - Melbourne'!D378="Trimester",'Offshore - Melbourne'!E378*3,IF('Offshore - Melbourne'!D378="Term",'Offshore - Melbourne'!E378*4,IF('Offshore - Melbourne'!D378="Unit",'Offshore - Melbourne'!E378*8,""))))))</f>
        <v>19800</v>
      </c>
      <c r="L1517" s="0" t="n">
        <f aca="false">IF(AND(ISNUMBER('Offshore - Melbourne'!E378),ISNUMBER(K1517),ISNUMBER('Offshore - Melbourne'!F378),ISNUMBER('Offshore - Melbourne'!G378),OR('Offshore - Melbourne'!F378&lt;&gt;0,ISNUMBER(SEARCH("Material 0 terverifikasi",'Offshore - Melbourne'!N378))),OR('Offshore - Melbourne'!G378&lt;&gt;0,ISNUMBER(SEARCH("Enrolment 0 terverifikasi",'Offshore - Melbourne'!N378)))),1,0)</f>
        <v>1</v>
      </c>
      <c r="M1517" s="0" t="n">
        <f aca="false">IF(OR('Offshore - Melbourne'!E378="",ISNUMBER(SEARCH("BSB80120",'Offshore - Melbourne'!B378&amp;'Offshore - Melbourne'!N378)),ISNUMBER(SEARCH("Management (Learning)",'Offshore - Melbourne'!B378))),2,IF(ISNUMBER(SEARCH("CEK:",'Offshore - Melbourne'!N378)),1,0))</f>
        <v>1</v>
      </c>
    </row>
    <row r="1518" customFormat="false" ht="15" hidden="false" customHeight="false" outlineLevel="0" collapsed="false">
      <c r="A1518" s="63" t="s">
        <v>3544</v>
      </c>
      <c r="B1518" s="64" t="s">
        <v>4374</v>
      </c>
      <c r="C1518" s="63" t="s">
        <v>43</v>
      </c>
      <c r="D1518" s="64" t="str">
        <f aca="false">TRIM(LEFT('Offshore - Melbourne'!A29,FIND(CHAR(10),'Offshore - Melbourne'!A29&amp;CHAR(10))-1))</f>
        <v>AIBI Higher Education</v>
      </c>
      <c r="E1518" s="63" t="str">
        <f aca="false">'Offshore - Melbourne'!C29&amp;""</f>
        <v>3 years</v>
      </c>
      <c r="F1518" s="63" t="str">
        <f aca="false">IF('Offshore - Melbourne'!D29="","Belum tercatat",'Offshore - Melbourne'!D29)</f>
        <v>Term</v>
      </c>
      <c r="G1518" s="65" t="n">
        <f aca="false">IF('Offshore - Melbourne'!E29="","-",'Offshore - Melbourne'!E29)</f>
        <v>4995</v>
      </c>
      <c r="H1518" s="63" t="n">
        <f aca="false">IF(ISNUMBER(K1518),COUNTIFS($J$6:$J$1854,J1518,$K$6:$K$1854,"&lt;"&amp;K1518)+1,"-")</f>
        <v>9</v>
      </c>
      <c r="I1518" s="64" t="str">
        <f aca="false">IF('Offshore - Melbourne'!E29="","Harga belum tersedia - hubungi konsultan TEG",IF(M1518=2,"Saat ini tidak menerima pendaftaran siswa internasional baru",IF(M1518=1,"Harga perlu dikonfirmasi ke sekolah"&amp;IF(""="","","; "&amp;""),"")))</f>
        <v>Harga perlu dikonfirmasi ke sekolah</v>
      </c>
      <c r="J1518" s="0" t="s">
        <v>4421</v>
      </c>
      <c r="K1518" s="0" t="n">
        <f aca="false">IF(M1518=2,"",IF(ISNUMBER(SEARCH("rata-rata:",'Offshore - Melbourne'!N29)),VALUE(MID('Offshore - Melbourne'!N29,SEARCH("rata-rata:",'Offshore - Melbourne'!N29)+11,FIND(";",'Offshore - Melbourne'!N29&amp;";",SEARCH("rata-rata:",'Offshore - Melbourne'!N29))-SEARCH("rata-rata:",'Offshore - Melbourne'!N29)-11)),IF('Offshore - Melbourne'!D29="Semester",'Offshore - Melbourne'!E29*2,IF('Offshore - Melbourne'!D29="Trimester",'Offshore - Melbourne'!E29*3,IF('Offshore - Melbourne'!D29="Term",'Offshore - Melbourne'!E29*4,IF('Offshore - Melbourne'!D29="Unit",'Offshore - Melbourne'!E29*8,""))))))</f>
        <v>19980</v>
      </c>
      <c r="L1518" s="0" t="n">
        <f aca="false">IF(AND(ISNUMBER('Offshore - Melbourne'!E29),ISNUMBER(K1518),ISNUMBER('Offshore - Melbourne'!F29),ISNUMBER('Offshore - Melbourne'!G29),OR('Offshore - Melbourne'!F29&lt;&gt;0,ISNUMBER(SEARCH("Material 0 terverifikasi",'Offshore - Melbourne'!N29))),OR('Offshore - Melbourne'!G29&lt;&gt;0,ISNUMBER(SEARCH("Enrolment 0 terverifikasi",'Offshore - Melbourne'!N29)))),1,0)</f>
        <v>0</v>
      </c>
      <c r="M1518" s="0" t="n">
        <f aca="false">IF(OR('Offshore - Melbourne'!E29="",ISNUMBER(SEARCH("BSB80120",'Offshore - Melbourne'!B29&amp;'Offshore - Melbourne'!N29)),ISNUMBER(SEARCH("Management (Learning)",'Offshore - Melbourne'!B29))),2,IF(ISNUMBER(SEARCH("CEK:",'Offshore - Melbourne'!N29)),1,0))</f>
        <v>1</v>
      </c>
    </row>
    <row r="1519" customFormat="false" ht="15" hidden="false" customHeight="false" outlineLevel="0" collapsed="false">
      <c r="A1519" s="63" t="s">
        <v>3544</v>
      </c>
      <c r="B1519" s="64" t="s">
        <v>4374</v>
      </c>
      <c r="C1519" s="63" t="s">
        <v>43</v>
      </c>
      <c r="D1519" s="64" t="str">
        <f aca="false">TRIM(LEFT('Offshore - Melbourne'!A6,FIND(CHAR(10),'Offshore - Melbourne'!A6&amp;CHAR(10))-1))</f>
        <v>Academies Australasia</v>
      </c>
      <c r="E1519" s="63" t="str">
        <f aca="false">'Offshore - Melbourne'!C10&amp;""</f>
        <v>3 years</v>
      </c>
      <c r="F1519" s="63" t="str">
        <f aca="false">IF('Offshore - Melbourne'!D10="","Belum tercatat",'Offshore - Melbourne'!D10)</f>
        <v>Term</v>
      </c>
      <c r="G1519" s="65" t="n">
        <f aca="false">IF('Offshore - Melbourne'!E10="","-",'Offshore - Melbourne'!E10)</f>
        <v>5000</v>
      </c>
      <c r="H1519" s="63" t="n">
        <f aca="false">IF(ISNUMBER(K1519),COUNTIFS($J$6:$J$1854,J1519,$K$6:$K$1854,"&lt;"&amp;K1519)+1,"-")</f>
        <v>10</v>
      </c>
      <c r="I1519" s="64" t="str">
        <f aca="false">IF('Offshore - Melbourne'!E10="","Harga belum tersedia - hubungi konsultan TEG",IF(M1519=2,"Saat ini tidak menerima pendaftaran siswa internasional baru",IF(M1519=1,"Harga perlu dikonfirmasi ke sekolah"&amp;IF(""="","","; "&amp;""),"")))</f>
        <v/>
      </c>
      <c r="J1519" s="0" t="s">
        <v>4421</v>
      </c>
      <c r="K1519" s="0" t="n">
        <f aca="false">IF(M1519=2,"",IF(ISNUMBER(SEARCH("rata-rata:",'Offshore - Melbourne'!N10)),VALUE(MID('Offshore - Melbourne'!N10,SEARCH("rata-rata:",'Offshore - Melbourne'!N10)+11,FIND(";",'Offshore - Melbourne'!N10&amp;";",SEARCH("rata-rata:",'Offshore - Melbourne'!N10))-SEARCH("rata-rata:",'Offshore - Melbourne'!N10)-11)),IF('Offshore - Melbourne'!D10="Semester",'Offshore - Melbourne'!E10*2,IF('Offshore - Melbourne'!D10="Trimester",'Offshore - Melbourne'!E10*3,IF('Offshore - Melbourne'!D10="Term",'Offshore - Melbourne'!E10*4,IF('Offshore - Melbourne'!D10="Unit",'Offshore - Melbourne'!E10*8,""))))))</f>
        <v>20000</v>
      </c>
      <c r="L1519" s="0" t="n">
        <f aca="false">IF(AND(ISNUMBER('Offshore - Melbourne'!E10),ISNUMBER(K1519),ISNUMBER('Offshore - Melbourne'!F10),ISNUMBER('Offshore - Melbourne'!G10),OR('Offshore - Melbourne'!F10&lt;&gt;0,ISNUMBER(SEARCH("Material 0 terverifikasi",'Offshore - Melbourne'!N10))),OR('Offshore - Melbourne'!G10&lt;&gt;0,ISNUMBER(SEARCH("Enrolment 0 terverifikasi",'Offshore - Melbourne'!N10)))),1,0)</f>
        <v>1</v>
      </c>
      <c r="M1519" s="0" t="n">
        <f aca="false">IF(OR('Offshore - Melbourne'!E10="",ISNUMBER(SEARCH("BSB80120",'Offshore - Melbourne'!B10&amp;'Offshore - Melbourne'!N10)),ISNUMBER(SEARCH("Management (Learning)",'Offshore - Melbourne'!B10))),2,IF(ISNUMBER(SEARCH("CEK:",'Offshore - Melbourne'!N10)),1,0))</f>
        <v>0</v>
      </c>
    </row>
    <row r="1520" customFormat="false" ht="15" hidden="false" customHeight="false" outlineLevel="0" collapsed="false">
      <c r="A1520" s="63" t="s">
        <v>3544</v>
      </c>
      <c r="B1520" s="64" t="s">
        <v>4374</v>
      </c>
      <c r="C1520" s="63" t="s">
        <v>43</v>
      </c>
      <c r="D1520" s="64" t="str">
        <f aca="false">TRIM(LEFT('Offshore - Melbourne'!A18,FIND(CHAR(10),'Offshore - Melbourne'!A18&amp;CHAR(10))-1))</f>
        <v>Academy of Interactive Technology (AIT)</v>
      </c>
      <c r="E1520" s="63" t="str">
        <f aca="false">'Offshore - Melbourne'!C22&amp;""</f>
        <v>3 years</v>
      </c>
      <c r="F1520" s="63" t="str">
        <f aca="false">IF('Offshore - Melbourne'!D22="","Belum tercatat",'Offshore - Melbourne'!D22)</f>
        <v>Term</v>
      </c>
      <c r="G1520" s="65" t="n">
        <f aca="false">IF('Offshore - Melbourne'!E22="","-",'Offshore - Melbourne'!E22)</f>
        <v>5750</v>
      </c>
      <c r="H1520" s="63" t="n">
        <f aca="false">IF(ISNUMBER(K1520),COUNTIFS($J$6:$J$1854,J1520,$K$6:$K$1854,"&lt;"&amp;K1520)+1,"-")</f>
        <v>11</v>
      </c>
      <c r="I1520" s="64" t="str">
        <f aca="false">IF('Offshore - Melbourne'!E22="","Harga belum tersedia - hubungi konsultan TEG",IF(M1520=2,"Saat ini tidak menerima pendaftaran siswa internasional baru",IF(M1520=1,"Program perlu dikonfirmasi ketersediaannya"&amp;IF(""="","","; "&amp;""),"")))</f>
        <v>Program perlu dikonfirmasi ketersediaannya</v>
      </c>
      <c r="J1520" s="0" t="s">
        <v>4421</v>
      </c>
      <c r="K1520" s="0" t="n">
        <f aca="false">IF(M1520=2,"",IF(ISNUMBER(SEARCH("rata-rata:",'Offshore - Melbourne'!N22)),VALUE(MID('Offshore - Melbourne'!N22,SEARCH("rata-rata:",'Offshore - Melbourne'!N22)+11,FIND(";",'Offshore - Melbourne'!N22&amp;";",SEARCH("rata-rata:",'Offshore - Melbourne'!N22))-SEARCH("rata-rata:",'Offshore - Melbourne'!N22)-11)),IF('Offshore - Melbourne'!D22="Semester",'Offshore - Melbourne'!E22*2,IF('Offshore - Melbourne'!D22="Trimester",'Offshore - Melbourne'!E22*3,IF('Offshore - Melbourne'!D22="Term",'Offshore - Melbourne'!E22*4,IF('Offshore - Melbourne'!D22="Unit",'Offshore - Melbourne'!E22*8,""))))))</f>
        <v>23000</v>
      </c>
      <c r="L1520" s="0" t="n">
        <f aca="false">IF(AND(ISNUMBER('Offshore - Melbourne'!E22),ISNUMBER(K1520),ISNUMBER('Offshore - Melbourne'!F22),ISNUMBER('Offshore - Melbourne'!G22),OR('Offshore - Melbourne'!F22&lt;&gt;0,ISNUMBER(SEARCH("Material 0 terverifikasi",'Offshore - Melbourne'!N22))),OR('Offshore - Melbourne'!G22&lt;&gt;0,ISNUMBER(SEARCH("Enrolment 0 terverifikasi",'Offshore - Melbourne'!N22)))),1,0)</f>
        <v>0</v>
      </c>
      <c r="M1520" s="0" t="n">
        <f aca="false">IF(OR('Offshore - Melbourne'!E22="",ISNUMBER(SEARCH("BSB80120",'Offshore - Melbourne'!B22&amp;'Offshore - Melbourne'!N22)),ISNUMBER(SEARCH("Management (Learning)",'Offshore - Melbourne'!B22))),2,IF(ISNUMBER(SEARCH("CEK:",'Offshore - Melbourne'!N22)),1,0))</f>
        <v>1</v>
      </c>
    </row>
    <row r="1521" customFormat="false" ht="15" hidden="false" customHeight="false" outlineLevel="0" collapsed="false">
      <c r="A1521" s="63" t="s">
        <v>3544</v>
      </c>
      <c r="B1521" s="64" t="s">
        <v>4374</v>
      </c>
      <c r="C1521" s="63" t="s">
        <v>43</v>
      </c>
      <c r="D1521" s="64" t="str">
        <f aca="false">TRIM(LEFT('Offshore - Melbourne'!A305,FIND(CHAR(10),'Offshore - Melbourne'!A305&amp;CHAR(10))-1))</f>
        <v>Kent Institute Australia</v>
      </c>
      <c r="E1521" s="63" t="str">
        <f aca="false">'Offshore - Melbourne'!C315&amp;""</f>
        <v>3 years</v>
      </c>
      <c r="F1521" s="63" t="str">
        <f aca="false">IF('Offshore - Melbourne'!D315="","Belum tercatat",'Offshore - Melbourne'!D315)</f>
        <v>Trimester</v>
      </c>
      <c r="G1521" s="65" t="n">
        <f aca="false">IF('Offshore - Melbourne'!E315="","-",'Offshore - Melbourne'!E315)</f>
        <v>8800</v>
      </c>
      <c r="H1521" s="63" t="n">
        <f aca="false">IF(ISNUMBER(K1521),COUNTIFS($J$6:$J$1854,J1521,$K$6:$K$1854,"&lt;"&amp;K1521)+1,"-")</f>
        <v>12</v>
      </c>
      <c r="I1521" s="64" t="str">
        <f aca="false">IF('Offshore - Melbourne'!E315="","Harga belum tersedia - hubungi konsultan TEG",IF(M1521=2,"Saat ini tidak menerima pendaftaran siswa internasional baru",IF(M1521=1,"Harga perlu dikonfirmasi ke sekolah"&amp;IF(""="","","; "&amp;""),"")))</f>
        <v>Harga perlu dikonfirmasi ke sekolah</v>
      </c>
      <c r="J1521" s="0" t="s">
        <v>4421</v>
      </c>
      <c r="K1521" s="0" t="n">
        <f aca="false">IF(M1521=2,"",IF(ISNUMBER(SEARCH("rata-rata:",'Offshore - Melbourne'!N315)),VALUE(MID('Offshore - Melbourne'!N315,SEARCH("rata-rata:",'Offshore - Melbourne'!N315)+11,FIND(";",'Offshore - Melbourne'!N315&amp;";",SEARCH("rata-rata:",'Offshore - Melbourne'!N315))-SEARCH("rata-rata:",'Offshore - Melbourne'!N315)-11)),IF('Offshore - Melbourne'!D315="Semester",'Offshore - Melbourne'!E315*2,IF('Offshore - Melbourne'!D315="Trimester",'Offshore - Melbourne'!E315*3,IF('Offshore - Melbourne'!D315="Term",'Offshore - Melbourne'!E315*4,IF('Offshore - Melbourne'!D315="Unit",'Offshore - Melbourne'!E315*8,""))))))</f>
        <v>26400</v>
      </c>
      <c r="L1521" s="0" t="n">
        <f aca="false">IF(AND(ISNUMBER('Offshore - Melbourne'!E315),ISNUMBER(K1521),ISNUMBER('Offshore - Melbourne'!F315),ISNUMBER('Offshore - Melbourne'!G315),OR('Offshore - Melbourne'!F315&lt;&gt;0,ISNUMBER(SEARCH("Material 0 terverifikasi",'Offshore - Melbourne'!N315))),OR('Offshore - Melbourne'!G315&lt;&gt;0,ISNUMBER(SEARCH("Enrolment 0 terverifikasi",'Offshore - Melbourne'!N315)))),1,0)</f>
        <v>0</v>
      </c>
      <c r="M1521" s="0" t="n">
        <f aca="false">IF(OR('Offshore - Melbourne'!E315="",ISNUMBER(SEARCH("BSB80120",'Offshore - Melbourne'!B315&amp;'Offshore - Melbourne'!N315)),ISNUMBER(SEARCH("Management (Learning)",'Offshore - Melbourne'!B315))),2,IF(ISNUMBER(SEARCH("CEK:",'Offshore - Melbourne'!N315)),1,0))</f>
        <v>1</v>
      </c>
    </row>
    <row r="1522" customFormat="false" ht="15" hidden="false" customHeight="false" outlineLevel="0" collapsed="false">
      <c r="A1522" s="63" t="s">
        <v>3544</v>
      </c>
      <c r="B1522" s="64" t="s">
        <v>4374</v>
      </c>
      <c r="C1522" s="63" t="s">
        <v>43</v>
      </c>
      <c r="D1522" s="64" t="str">
        <f aca="false">TRIM(LEFT('Offshore - Melbourne'!A443,FIND(CHAR(10),'Offshore - Melbourne'!A443&amp;CHAR(10))-1))</f>
        <v>Torrens University Australia</v>
      </c>
      <c r="E1522" s="63" t="str">
        <f aca="false">'Offshore - Melbourne'!C493&amp;""</f>
        <v>3 years</v>
      </c>
      <c r="F1522" s="63" t="str">
        <f aca="false">IF('Offshore - Melbourne'!D493="","Belum tercatat",'Offshore - Melbourne'!D493)</f>
        <v>Term</v>
      </c>
      <c r="G1522" s="65" t="n">
        <f aca="false">IF('Offshore - Melbourne'!E493="","-",'Offshore - Melbourne'!E493)</f>
        <v>7900</v>
      </c>
      <c r="H1522" s="63" t="n">
        <f aca="false">IF(ISNUMBER(K1522),COUNTIFS($J$6:$J$1854,J1522,$K$6:$K$1854,"&lt;"&amp;K1522)+1,"-")</f>
        <v>13</v>
      </c>
      <c r="I1522" s="64" t="str">
        <f aca="false">IF('Offshore - Melbourne'!E493="","Harga belum tersedia - hubungi konsultan TEG",IF(M1522=2,"Saat ini tidak menerima pendaftaran siswa internasional baru",IF(M1522=1,"Harga perlu dikonfirmasi ke sekolah"&amp;IF(""="","","; "&amp;""),"")))</f>
        <v/>
      </c>
      <c r="J1522" s="0" t="s">
        <v>4421</v>
      </c>
      <c r="K1522" s="0" t="n">
        <f aca="false">IF(M1522=2,"",IF(ISNUMBER(SEARCH("rata-rata:",'Offshore - Melbourne'!N493)),VALUE(MID('Offshore - Melbourne'!N493,SEARCH("rata-rata:",'Offshore - Melbourne'!N493)+11,FIND(";",'Offshore - Melbourne'!N493&amp;";",SEARCH("rata-rata:",'Offshore - Melbourne'!N493))-SEARCH("rata-rata:",'Offshore - Melbourne'!N493)-11)),IF('Offshore - Melbourne'!D493="Semester",'Offshore - Melbourne'!E493*2,IF('Offshore - Melbourne'!D493="Trimester",'Offshore - Melbourne'!E493*3,IF('Offshore - Melbourne'!D493="Term",'Offshore - Melbourne'!E493*4,IF('Offshore - Melbourne'!D493="Unit",'Offshore - Melbourne'!E493*8,""))))))</f>
        <v>31600</v>
      </c>
      <c r="L1522" s="0" t="n">
        <f aca="false">IF(AND(ISNUMBER('Offshore - Melbourne'!E493),ISNUMBER(K1522),ISNUMBER('Offshore - Melbourne'!F493),ISNUMBER('Offshore - Melbourne'!G493),OR('Offshore - Melbourne'!F493&lt;&gt;0,ISNUMBER(SEARCH("Material 0 terverifikasi",'Offshore - Melbourne'!N493))),OR('Offshore - Melbourne'!G493&lt;&gt;0,ISNUMBER(SEARCH("Enrolment 0 terverifikasi",'Offshore - Melbourne'!N493)))),1,0)</f>
        <v>0</v>
      </c>
      <c r="M1522" s="0" t="n">
        <f aca="false">IF(OR('Offshore - Melbourne'!E493="",ISNUMBER(SEARCH("BSB80120",'Offshore - Melbourne'!B493&amp;'Offshore - Melbourne'!N493)),ISNUMBER(SEARCH("Management (Learning)",'Offshore - Melbourne'!B493))),2,IF(ISNUMBER(SEARCH("CEK:",'Offshore - Melbourne'!N493)),1,0))</f>
        <v>0</v>
      </c>
    </row>
    <row r="1523" customFormat="false" ht="15" hidden="false" customHeight="false" outlineLevel="0" collapsed="false">
      <c r="A1523" s="63" t="s">
        <v>3544</v>
      </c>
      <c r="B1523" s="64" t="s">
        <v>4374</v>
      </c>
      <c r="C1523" s="63" t="s">
        <v>43</v>
      </c>
      <c r="D1523" s="64" t="str">
        <f aca="false">TRIM(LEFT('Offshore - Melbourne'!A95,FIND(CHAR(10),'Offshore - Melbourne'!A95&amp;CHAR(10))-1))</f>
        <v>Australian Catholic University (ACU)</v>
      </c>
      <c r="E1523" s="63" t="str">
        <f aca="false">'Offshore - Melbourne'!C109&amp;""</f>
        <v>3 years</v>
      </c>
      <c r="F1523" s="63" t="str">
        <f aca="false">IF('Offshore - Melbourne'!D109="","Belum tercatat",'Offshore - Melbourne'!D109)</f>
        <v>Term</v>
      </c>
      <c r="G1523" s="65" t="n">
        <f aca="false">IF('Offshore - Melbourne'!E109="","-",'Offshore - Melbourne'!E109)</f>
        <v>8742</v>
      </c>
      <c r="H1523" s="63" t="n">
        <f aca="false">IF(ISNUMBER(K1523),COUNTIFS($J$6:$J$1854,J1523,$K$6:$K$1854,"&lt;"&amp;K1523)+1,"-")</f>
        <v>14</v>
      </c>
      <c r="I1523" s="64" t="str">
        <f aca="false">IF('Offshore - Melbourne'!E109="","Harga belum tersedia - hubungi konsultan TEG",IF(M1523=2,"Saat ini tidak menerima pendaftaran siswa internasional baru",IF(M1523=1,"Harga perlu dikonfirmasi ke sekolah"&amp;IF(""="","","; "&amp;""),"")))</f>
        <v/>
      </c>
      <c r="J1523" s="0" t="s">
        <v>4421</v>
      </c>
      <c r="K1523" s="0" t="n">
        <f aca="false">IF(M1523=2,"",IF(ISNUMBER(SEARCH("rata-rata:",'Offshore - Melbourne'!N109)),VALUE(MID('Offshore - Melbourne'!N109,SEARCH("rata-rata:",'Offshore - Melbourne'!N109)+11,FIND(";",'Offshore - Melbourne'!N109&amp;";",SEARCH("rata-rata:",'Offshore - Melbourne'!N109))-SEARCH("rata-rata:",'Offshore - Melbourne'!N109)-11)),IF('Offshore - Melbourne'!D109="Semester",'Offshore - Melbourne'!E109*2,IF('Offshore - Melbourne'!D109="Trimester",'Offshore - Melbourne'!E109*3,IF('Offshore - Melbourne'!D109="Term",'Offshore - Melbourne'!E109*4,IF('Offshore - Melbourne'!D109="Unit",'Offshore - Melbourne'!E109*8,""))))))</f>
        <v>34968</v>
      </c>
      <c r="L1523" s="0" t="n">
        <f aca="false">IF(AND(ISNUMBER('Offshore - Melbourne'!E109),ISNUMBER(K1523),ISNUMBER('Offshore - Melbourne'!F109),ISNUMBER('Offshore - Melbourne'!G109),OR('Offshore - Melbourne'!F109&lt;&gt;0,ISNUMBER(SEARCH("Material 0 terverifikasi",'Offshore - Melbourne'!N109))),OR('Offshore - Melbourne'!G109&lt;&gt;0,ISNUMBER(SEARCH("Enrolment 0 terverifikasi",'Offshore - Melbourne'!N109)))),1,0)</f>
        <v>0</v>
      </c>
      <c r="M1523" s="0" t="n">
        <f aca="false">IF(OR('Offshore - Melbourne'!E109="",ISNUMBER(SEARCH("BSB80120",'Offshore - Melbourne'!B109&amp;'Offshore - Melbourne'!N109)),ISNUMBER(SEARCH("Management (Learning)",'Offshore - Melbourne'!B109))),2,IF(ISNUMBER(SEARCH("CEK:",'Offshore - Melbourne'!N109)),1,0))</f>
        <v>0</v>
      </c>
    </row>
    <row r="1524" customFormat="false" ht="15" hidden="false" customHeight="false" outlineLevel="0" collapsed="false">
      <c r="A1524" s="63" t="s">
        <v>3544</v>
      </c>
      <c r="B1524" s="64" t="s">
        <v>4374</v>
      </c>
      <c r="C1524" s="63" t="s">
        <v>43</v>
      </c>
      <c r="D1524" s="64" t="str">
        <f aca="false">TRIM(LEFT('Offshore - Melbourne'!A547,FIND(CHAR(10),'Offshore - Melbourne'!A547&amp;CHAR(10))-1))</f>
        <v>University of Tasmania (UTAS)</v>
      </c>
      <c r="E1524" s="63" t="str">
        <f aca="false">'Offshore - Melbourne'!C548&amp;""</f>
        <v>3 years</v>
      </c>
      <c r="F1524" s="63" t="str">
        <f aca="false">IF('Offshore - Melbourne'!D548="","Belum tercatat",'Offshore - Melbourne'!D548)</f>
        <v>Term</v>
      </c>
      <c r="G1524" s="65" t="n">
        <f aca="false">IF('Offshore - Melbourne'!E548="","-",'Offshore - Melbourne'!E548)</f>
        <v>9987.5</v>
      </c>
      <c r="H1524" s="63" t="n">
        <f aca="false">IF(ISNUMBER(K1524),COUNTIFS($J$6:$J$1854,J1524,$K$6:$K$1854,"&lt;"&amp;K1524)+1,"-")</f>
        <v>15</v>
      </c>
      <c r="I1524" s="64" t="str">
        <f aca="false">IF('Offshore - Melbourne'!E548="","Harga belum tersedia - hubungi konsultan TEG",IF(M1524=2,"Saat ini tidak menerima pendaftaran siswa internasional baru",IF(M1524=1,"Harga perlu dikonfirmasi ke sekolah"&amp;IF(""="","","; "&amp;""),"")))</f>
        <v>Harga perlu dikonfirmasi ke sekolah</v>
      </c>
      <c r="J1524" s="0" t="s">
        <v>4421</v>
      </c>
      <c r="K1524" s="0" t="n">
        <f aca="false">IF(M1524=2,"",IF(ISNUMBER(SEARCH("rata-rata:",'Offshore - Melbourne'!N548)),VALUE(MID('Offshore - Melbourne'!N548,SEARCH("rata-rata:",'Offshore - Melbourne'!N548)+11,FIND(";",'Offshore - Melbourne'!N548&amp;";",SEARCH("rata-rata:",'Offshore - Melbourne'!N548))-SEARCH("rata-rata:",'Offshore - Melbourne'!N548)-11)),IF('Offshore - Melbourne'!D548="Semester",'Offshore - Melbourne'!E548*2,IF('Offshore - Melbourne'!D548="Trimester",'Offshore - Melbourne'!E548*3,IF('Offshore - Melbourne'!D548="Term",'Offshore - Melbourne'!E548*4,IF('Offshore - Melbourne'!D548="Unit",'Offshore - Melbourne'!E548*8,""))))))</f>
        <v>39950</v>
      </c>
      <c r="L1524" s="0" t="n">
        <f aca="false">IF(AND(ISNUMBER('Offshore - Melbourne'!E548),ISNUMBER(K1524),ISNUMBER('Offshore - Melbourne'!F548),ISNUMBER('Offshore - Melbourne'!G548),OR('Offshore - Melbourne'!F548&lt;&gt;0,ISNUMBER(SEARCH("Material 0 terverifikasi",'Offshore - Melbourne'!N548))),OR('Offshore - Melbourne'!G548&lt;&gt;0,ISNUMBER(SEARCH("Enrolment 0 terverifikasi",'Offshore - Melbourne'!N548)))),1,0)</f>
        <v>0</v>
      </c>
      <c r="M1524" s="0" t="n">
        <f aca="false">IF(OR('Offshore - Melbourne'!E548="",ISNUMBER(SEARCH("BSB80120",'Offshore - Melbourne'!B548&amp;'Offshore - Melbourne'!N548)),ISNUMBER(SEARCH("Management (Learning)",'Offshore - Melbourne'!B548))),2,IF(ISNUMBER(SEARCH("CEK:",'Offshore - Melbourne'!N548)),1,0))</f>
        <v>1</v>
      </c>
    </row>
    <row r="1525" customFormat="false" ht="15" hidden="false" customHeight="false" outlineLevel="0" collapsed="false">
      <c r="A1525" s="61" t="s">
        <v>4422</v>
      </c>
      <c r="B1525" s="62"/>
      <c r="C1525" s="62"/>
      <c r="D1525" s="62"/>
      <c r="E1525" s="62"/>
      <c r="F1525" s="62"/>
      <c r="G1525" s="62"/>
      <c r="H1525" s="62"/>
      <c r="I1525" s="62"/>
    </row>
    <row r="1526" customFormat="false" ht="15" hidden="false" customHeight="false" outlineLevel="0" collapsed="false">
      <c r="A1526" s="63" t="s">
        <v>3544</v>
      </c>
      <c r="B1526" s="64" t="s">
        <v>4374</v>
      </c>
      <c r="C1526" s="63" t="s">
        <v>3707</v>
      </c>
      <c r="D1526" s="64" t="str">
        <f aca="false">TRIM(LEFT('Offshore - Melbourne'!A29,FIND(CHAR(10),'Offshore - Melbourne'!A29&amp;CHAR(10))-1))</f>
        <v>AIBI Higher Education</v>
      </c>
      <c r="E1526" s="63" t="str">
        <f aca="false">'Offshore - Melbourne'!C42&amp;""</f>
        <v>8 months</v>
      </c>
      <c r="F1526" s="63" t="str">
        <f aca="false">IF('Offshore - Melbourne'!D42="","Belum tercatat",'Offshore - Melbourne'!D42)</f>
        <v>Term</v>
      </c>
      <c r="G1526" s="65" t="n">
        <f aca="false">IF('Offshore - Melbourne'!E42="","-",'Offshore - Melbourne'!E42)</f>
        <v>2700</v>
      </c>
      <c r="H1526" s="63" t="n">
        <f aca="false">IF(ISNUMBER(K1526),COUNTIFS($J$6:$J$1854,J1526,$K$6:$K$1854,"&lt;"&amp;K1526)+1,"-")</f>
        <v>1</v>
      </c>
      <c r="I1526" s="64" t="str">
        <f aca="false">IF('Offshore - Melbourne'!E42="","Harga belum tersedia - hubungi konsultan TEG",IF(M1526=2,"Saat ini tidak menerima pendaftaran siswa internasional baru",IF(M1526=1,"Harga perlu dikonfirmasi ke sekolah"&amp;IF(""="","","; "&amp;""),"")))</f>
        <v>Harga perlu dikonfirmasi ke sekolah</v>
      </c>
      <c r="J1526" s="0" t="s">
        <v>4423</v>
      </c>
      <c r="K1526" s="0" t="n">
        <f aca="false">IF(M1526=2,"",IF(ISNUMBER(SEARCH("rata-rata:",'Offshore - Melbourne'!N42)),VALUE(MID('Offshore - Melbourne'!N42,SEARCH("rata-rata:",'Offshore - Melbourne'!N42)+11,FIND(";",'Offshore - Melbourne'!N42&amp;";",SEARCH("rata-rata:",'Offshore - Melbourne'!N42))-SEARCH("rata-rata:",'Offshore - Melbourne'!N42)-11)),IF('Offshore - Melbourne'!D42="Semester",'Offshore - Melbourne'!E42*2,IF('Offshore - Melbourne'!D42="Trimester",'Offshore - Melbourne'!E42*3,IF('Offshore - Melbourne'!D42="Term",'Offshore - Melbourne'!E42*4,IF('Offshore - Melbourne'!D42="Unit",'Offshore - Melbourne'!E42*8,""))))))</f>
        <v>10800</v>
      </c>
      <c r="L1526" s="0" t="n">
        <f aca="false">IF(AND(ISNUMBER('Offshore - Melbourne'!E42),ISNUMBER(K1526),ISNUMBER('Offshore - Melbourne'!F42),ISNUMBER('Offshore - Melbourne'!G42),OR('Offshore - Melbourne'!F42&lt;&gt;0,ISNUMBER(SEARCH("Material 0 terverifikasi",'Offshore - Melbourne'!N42))),OR('Offshore - Melbourne'!G42&lt;&gt;0,ISNUMBER(SEARCH("Enrolment 0 terverifikasi",'Offshore - Melbourne'!N42)))),1,0)</f>
        <v>0</v>
      </c>
      <c r="M1526" s="0" t="n">
        <f aca="false">IF(OR('Offshore - Melbourne'!E42="",ISNUMBER(SEARCH("BSB80120",'Offshore - Melbourne'!B42&amp;'Offshore - Melbourne'!N42)),ISNUMBER(SEARCH("Management (Learning)",'Offshore - Melbourne'!B42))),2,IF(ISNUMBER(SEARCH("CEK:",'Offshore - Melbourne'!N42)),1,0))</f>
        <v>1</v>
      </c>
    </row>
    <row r="1527" customFormat="false" ht="15" hidden="false" customHeight="false" outlineLevel="0" collapsed="false">
      <c r="A1527" s="63" t="s">
        <v>3544</v>
      </c>
      <c r="B1527" s="64" t="s">
        <v>4374</v>
      </c>
      <c r="C1527" s="63" t="s">
        <v>3707</v>
      </c>
      <c r="D1527" s="64" t="str">
        <f aca="false">TRIM(LEFT('Offshore - Melbourne'!A443,FIND(CHAR(10),'Offshore - Melbourne'!A443&amp;CHAR(10))-1))</f>
        <v>Torrens University Australia</v>
      </c>
      <c r="E1527" s="63" t="str">
        <f aca="false">'Offshore - Melbourne'!C464&amp;""</f>
        <v>1 year</v>
      </c>
      <c r="F1527" s="63" t="str">
        <f aca="false">IF('Offshore - Melbourne'!D464="","Belum tercatat",'Offshore - Melbourne'!D464)</f>
        <v>Term</v>
      </c>
      <c r="G1527" s="65" t="n">
        <f aca="false">IF('Offshore - Melbourne'!E464="","-",'Offshore - Melbourne'!E464)</f>
        <v>4500</v>
      </c>
      <c r="H1527" s="63" t="n">
        <f aca="false">IF(ISNUMBER(K1527),COUNTIFS($J$6:$J$1854,J1527,$K$6:$K$1854,"&lt;"&amp;K1527)+1,"-")</f>
        <v>2</v>
      </c>
      <c r="I1527" s="64" t="str">
        <f aca="false">IF('Offshore - Melbourne'!E464="","Harga belum tersedia - hubungi konsultan TEG",IF(M1527=2,"Saat ini tidak menerima pendaftaran siswa internasional baru",IF(M1527=1,"Harga perlu dikonfirmasi ke sekolah"&amp;IF(""="","","; "&amp;""),"")))</f>
        <v/>
      </c>
      <c r="J1527" s="0" t="s">
        <v>4423</v>
      </c>
      <c r="K1527" s="0" t="n">
        <f aca="false">IF(M1527=2,"",IF(ISNUMBER(SEARCH("rata-rata:",'Offshore - Melbourne'!N464)),VALUE(MID('Offshore - Melbourne'!N464,SEARCH("rata-rata:",'Offshore - Melbourne'!N464)+11,FIND(";",'Offshore - Melbourne'!N464&amp;";",SEARCH("rata-rata:",'Offshore - Melbourne'!N464))-SEARCH("rata-rata:",'Offshore - Melbourne'!N464)-11)),IF('Offshore - Melbourne'!D464="Semester",'Offshore - Melbourne'!E464*2,IF('Offshore - Melbourne'!D464="Trimester",'Offshore - Melbourne'!E464*3,IF('Offshore - Melbourne'!D464="Term",'Offshore - Melbourne'!E464*4,IF('Offshore - Melbourne'!D464="Unit",'Offshore - Melbourne'!E464*8,""))))))</f>
        <v>18000</v>
      </c>
      <c r="L1527" s="0" t="n">
        <f aca="false">IF(AND(ISNUMBER('Offshore - Melbourne'!E464),ISNUMBER(K1527),ISNUMBER('Offshore - Melbourne'!F464),ISNUMBER('Offshore - Melbourne'!G464),OR('Offshore - Melbourne'!F464&lt;&gt;0,ISNUMBER(SEARCH("Material 0 terverifikasi",'Offshore - Melbourne'!N464))),OR('Offshore - Melbourne'!G464&lt;&gt;0,ISNUMBER(SEARCH("Enrolment 0 terverifikasi",'Offshore - Melbourne'!N464)))),1,0)</f>
        <v>0</v>
      </c>
      <c r="M1527" s="0" t="n">
        <f aca="false">IF(OR('Offshore - Melbourne'!E464="",ISNUMBER(SEARCH("BSB80120",'Offshore - Melbourne'!B464&amp;'Offshore - Melbourne'!N464)),ISNUMBER(SEARCH("Management (Learning)",'Offshore - Melbourne'!B464))),2,IF(ISNUMBER(SEARCH("CEK:",'Offshore - Melbourne'!N464)),1,0))</f>
        <v>0</v>
      </c>
    </row>
    <row r="1528" customFormat="false" ht="15" hidden="false" customHeight="false" outlineLevel="0" collapsed="false">
      <c r="A1528" s="63" t="s">
        <v>3544</v>
      </c>
      <c r="B1528" s="64" t="s">
        <v>4374</v>
      </c>
      <c r="C1528" s="63" t="s">
        <v>3707</v>
      </c>
      <c r="D1528" s="64" t="str">
        <f aca="false">TRIM(LEFT('Offshore - Melbourne'!A374,FIND(CHAR(10),'Offshore - Melbourne'!A374&amp;CHAR(10))-1))</f>
        <v>Ozford Institute of Higher Education</v>
      </c>
      <c r="E1528" s="63" t="str">
        <f aca="false">'Offshore - Melbourne'!C380&amp;""</f>
        <v>1 year</v>
      </c>
      <c r="F1528" s="63" t="str">
        <f aca="false">IF('Offshore - Melbourne'!D380="","Belum tercatat",'Offshore - Melbourne'!D380)</f>
        <v>Term</v>
      </c>
      <c r="G1528" s="65" t="n">
        <f aca="false">IF('Offshore - Melbourne'!E380="","-",'Offshore - Melbourne'!E380)</f>
        <v>4740</v>
      </c>
      <c r="H1528" s="63" t="n">
        <f aca="false">IF(ISNUMBER(K1528),COUNTIFS($J$6:$J$1854,J1528,$K$6:$K$1854,"&lt;"&amp;K1528)+1,"-")</f>
        <v>3</v>
      </c>
      <c r="I1528" s="64" t="str">
        <f aca="false">IF('Offshore - Melbourne'!E380="","Harga belum tersedia - hubungi konsultan TEG",IF(M1528=2,"Saat ini tidak menerima pendaftaran siswa internasional baru",IF(M1528=1,"Harga perlu dikonfirmasi ke sekolah"&amp;IF(""="","","; "&amp;""),"")))</f>
        <v>Harga perlu dikonfirmasi ke sekolah</v>
      </c>
      <c r="J1528" s="0" t="s">
        <v>4423</v>
      </c>
      <c r="K1528" s="0" t="n">
        <f aca="false">IF(M1528=2,"",IF(ISNUMBER(SEARCH("rata-rata:",'Offshore - Melbourne'!N380)),VALUE(MID('Offshore - Melbourne'!N380,SEARCH("rata-rata:",'Offshore - Melbourne'!N380)+11,FIND(";",'Offshore - Melbourne'!N380&amp;";",SEARCH("rata-rata:",'Offshore - Melbourne'!N380))-SEARCH("rata-rata:",'Offshore - Melbourne'!N380)-11)),IF('Offshore - Melbourne'!D380="Semester",'Offshore - Melbourne'!E380*2,IF('Offshore - Melbourne'!D380="Trimester",'Offshore - Melbourne'!E380*3,IF('Offshore - Melbourne'!D380="Term",'Offshore - Melbourne'!E380*4,IF('Offshore - Melbourne'!D380="Unit",'Offshore - Melbourne'!E380*8,""))))))</f>
        <v>18960</v>
      </c>
      <c r="L1528" s="0" t="n">
        <f aca="false">IF(AND(ISNUMBER('Offshore - Melbourne'!E380),ISNUMBER(K1528),ISNUMBER('Offshore - Melbourne'!F380),ISNUMBER('Offshore - Melbourne'!G380),OR('Offshore - Melbourne'!F380&lt;&gt;0,ISNUMBER(SEARCH("Material 0 terverifikasi",'Offshore - Melbourne'!N380))),OR('Offshore - Melbourne'!G380&lt;&gt;0,ISNUMBER(SEARCH("Enrolment 0 terverifikasi",'Offshore - Melbourne'!N380)))),1,0)</f>
        <v>1</v>
      </c>
      <c r="M1528" s="0" t="n">
        <f aca="false">IF(OR('Offshore - Melbourne'!E380="",ISNUMBER(SEARCH("BSB80120",'Offshore - Melbourne'!B380&amp;'Offshore - Melbourne'!N380)),ISNUMBER(SEARCH("Management (Learning)",'Offshore - Melbourne'!B380))),2,IF(ISNUMBER(SEARCH("CEK:",'Offshore - Melbourne'!N380)),1,0))</f>
        <v>1</v>
      </c>
    </row>
    <row r="1529" customFormat="false" ht="15" hidden="false" customHeight="false" outlineLevel="0" collapsed="false">
      <c r="A1529" s="63" t="s">
        <v>3544</v>
      </c>
      <c r="B1529" s="64" t="s">
        <v>4374</v>
      </c>
      <c r="C1529" s="63" t="s">
        <v>3707</v>
      </c>
      <c r="D1529" s="64" t="str">
        <f aca="false">TRIM(LEFT('Offshore - Melbourne'!A95,FIND(CHAR(10),'Offshore - Melbourne'!A95&amp;CHAR(10))-1))</f>
        <v>Australian Catholic University (ACU)</v>
      </c>
      <c r="E1529" s="63" t="str">
        <f aca="false">'Offshore - Melbourne'!C119&amp;""</f>
        <v>0,5 year</v>
      </c>
      <c r="F1529" s="63" t="str">
        <f aca="false">IF('Offshore - Melbourne'!D119="","Belum tercatat",'Offshore - Melbourne'!D119)</f>
        <v>Term</v>
      </c>
      <c r="G1529" s="65" t="n">
        <f aca="false">IF('Offshore - Melbourne'!E119="","-",'Offshore - Melbourne'!E119)</f>
        <v>4762</v>
      </c>
      <c r="H1529" s="63" t="n">
        <f aca="false">IF(ISNUMBER(K1529),COUNTIFS($J$6:$J$1854,J1529,$K$6:$K$1854,"&lt;"&amp;K1529)+1,"-")</f>
        <v>4</v>
      </c>
      <c r="I1529" s="64" t="str">
        <f aca="false">IF('Offshore - Melbourne'!E119="","Harga belum tersedia - hubungi konsultan TEG",IF(M1529=2,"Saat ini tidak menerima pendaftaran siswa internasional baru",IF(M1529=1,"Harga perlu dikonfirmasi ke sekolah"&amp;IF(""="","","; "&amp;""),"")))</f>
        <v>Harga perlu dikonfirmasi ke sekolah</v>
      </c>
      <c r="J1529" s="0" t="s">
        <v>4423</v>
      </c>
      <c r="K1529" s="0" t="n">
        <f aca="false">IF(M1529=2,"",IF(ISNUMBER(SEARCH("rata-rata:",'Offshore - Melbourne'!N119)),VALUE(MID('Offshore - Melbourne'!N119,SEARCH("rata-rata:",'Offshore - Melbourne'!N119)+11,FIND(";",'Offshore - Melbourne'!N119&amp;";",SEARCH("rata-rata:",'Offshore - Melbourne'!N119))-SEARCH("rata-rata:",'Offshore - Melbourne'!N119)-11)),IF('Offshore - Melbourne'!D119="Semester",'Offshore - Melbourne'!E119*2,IF('Offshore - Melbourne'!D119="Trimester",'Offshore - Melbourne'!E119*3,IF('Offshore - Melbourne'!D119="Term",'Offshore - Melbourne'!E119*4,IF('Offshore - Melbourne'!D119="Unit",'Offshore - Melbourne'!E119*8,""))))))</f>
        <v>19048</v>
      </c>
      <c r="L1529" s="0" t="n">
        <f aca="false">IF(AND(ISNUMBER('Offshore - Melbourne'!E119),ISNUMBER(K1529),ISNUMBER('Offshore - Melbourne'!F119),ISNUMBER('Offshore - Melbourne'!G119),OR('Offshore - Melbourne'!F119&lt;&gt;0,ISNUMBER(SEARCH("Material 0 terverifikasi",'Offshore - Melbourne'!N119))),OR('Offshore - Melbourne'!G119&lt;&gt;0,ISNUMBER(SEARCH("Enrolment 0 terverifikasi",'Offshore - Melbourne'!N119)))),1,0)</f>
        <v>0</v>
      </c>
      <c r="M1529" s="0" t="n">
        <f aca="false">IF(OR('Offshore - Melbourne'!E119="",ISNUMBER(SEARCH("BSB80120",'Offshore - Melbourne'!B119&amp;'Offshore - Melbourne'!N119)),ISNUMBER(SEARCH("Management (Learning)",'Offshore - Melbourne'!B119))),2,IF(ISNUMBER(SEARCH("CEK:",'Offshore - Melbourne'!N119)),1,0))</f>
        <v>1</v>
      </c>
    </row>
    <row r="1530" customFormat="false" ht="15" hidden="false" customHeight="false" outlineLevel="0" collapsed="false">
      <c r="A1530" s="63" t="s">
        <v>3544</v>
      </c>
      <c r="B1530" s="64" t="s">
        <v>4374</v>
      </c>
      <c r="C1530" s="63" t="s">
        <v>3707</v>
      </c>
      <c r="D1530" s="64" t="str">
        <f aca="false">TRIM(LEFT('Offshore - Melbourne'!A426,FIND(CHAR(10),'Offshore - Melbourne'!A426&amp;CHAR(10))-1))</f>
        <v>The Institute of International Studies (TIIS)</v>
      </c>
      <c r="E1530" s="63" t="str">
        <f aca="false">'Offshore - Melbourne'!C426&amp;""</f>
        <v>0,5 years</v>
      </c>
      <c r="F1530" s="63" t="str">
        <f aca="false">IF('Offshore - Melbourne'!D426="","Belum tercatat",'Offshore - Melbourne'!D426)</f>
        <v>Term</v>
      </c>
      <c r="G1530" s="65" t="n">
        <f aca="false">IF('Offshore - Melbourne'!E426="","-",'Offshore - Melbourne'!E426)</f>
        <v>5500</v>
      </c>
      <c r="H1530" s="63" t="n">
        <f aca="false">IF(ISNUMBER(K1530),COUNTIFS($J$6:$J$1854,J1530,$K$6:$K$1854,"&lt;"&amp;K1530)+1,"-")</f>
        <v>5</v>
      </c>
      <c r="I1530" s="64" t="str">
        <f aca="false">IF('Offshore - Melbourne'!E426="","Harga belum tersedia - hubungi konsultan TEG",IF(M1530=2,"Saat ini tidak menerima pendaftaran siswa internasional baru",IF(M1530=1,"Harga perlu dikonfirmasi ke sekolah"&amp;IF(""="","","; "&amp;""),"")))</f>
        <v/>
      </c>
      <c r="J1530" s="0" t="s">
        <v>4423</v>
      </c>
      <c r="K1530" s="0" t="n">
        <f aca="false">IF(M1530=2,"",IF(ISNUMBER(SEARCH("rata-rata:",'Offshore - Melbourne'!N426)),VALUE(MID('Offshore - Melbourne'!N426,SEARCH("rata-rata:",'Offshore - Melbourne'!N426)+11,FIND(";",'Offshore - Melbourne'!N426&amp;";",SEARCH("rata-rata:",'Offshore - Melbourne'!N426))-SEARCH("rata-rata:",'Offshore - Melbourne'!N426)-11)),IF('Offshore - Melbourne'!D426="Semester",'Offshore - Melbourne'!E426*2,IF('Offshore - Melbourne'!D426="Trimester",'Offshore - Melbourne'!E426*3,IF('Offshore - Melbourne'!D426="Term",'Offshore - Melbourne'!E426*4,IF('Offshore - Melbourne'!D426="Unit",'Offshore - Melbourne'!E426*8,""))))))</f>
        <v>22000</v>
      </c>
      <c r="L1530" s="0" t="n">
        <f aca="false">IF(AND(ISNUMBER('Offshore - Melbourne'!E426),ISNUMBER(K1530),ISNUMBER('Offshore - Melbourne'!F426),ISNUMBER('Offshore - Melbourne'!G426),OR('Offshore - Melbourne'!F426&lt;&gt;0,ISNUMBER(SEARCH("Material 0 terverifikasi",'Offshore - Melbourne'!N426))),OR('Offshore - Melbourne'!G426&lt;&gt;0,ISNUMBER(SEARCH("Enrolment 0 terverifikasi",'Offshore - Melbourne'!N426)))),1,0)</f>
        <v>0</v>
      </c>
      <c r="M1530" s="0" t="n">
        <f aca="false">IF(OR('Offshore - Melbourne'!E426="",ISNUMBER(SEARCH("BSB80120",'Offshore - Melbourne'!B426&amp;'Offshore - Melbourne'!N426)),ISNUMBER(SEARCH("Management (Learning)",'Offshore - Melbourne'!B426))),2,IF(ISNUMBER(SEARCH("CEK:",'Offshore - Melbourne'!N426)),1,0))</f>
        <v>0</v>
      </c>
    </row>
    <row r="1531" customFormat="false" ht="15" hidden="false" customHeight="false" outlineLevel="0" collapsed="false">
      <c r="A1531" s="63" t="s">
        <v>3544</v>
      </c>
      <c r="B1531" s="64" t="s">
        <v>4374</v>
      </c>
      <c r="C1531" s="63" t="s">
        <v>3707</v>
      </c>
      <c r="D1531" s="64" t="str">
        <f aca="false">TRIM(LEFT('Offshore - Melbourne'!A78,FIND(CHAR(10),'Offshore - Melbourne'!A78&amp;CHAR(10))-1))</f>
        <v>Asia Pacific International College (APIC)</v>
      </c>
      <c r="E1531" s="63" t="str">
        <f aca="false">'Offshore - Melbourne'!C86&amp;""</f>
        <v>0,5 year</v>
      </c>
      <c r="F1531" s="63" t="str">
        <f aca="false">IF('Offshore - Melbourne'!D86="","Belum tercatat",'Offshore - Melbourne'!D86)</f>
        <v>Trimester</v>
      </c>
      <c r="G1531" s="65" t="n">
        <f aca="false">IF('Offshore - Melbourne'!E86="","-",'Offshore - Melbourne'!E86)</f>
        <v>7800</v>
      </c>
      <c r="H1531" s="63" t="n">
        <f aca="false">IF(ISNUMBER(K1531),COUNTIFS($J$6:$J$1854,J1531,$K$6:$K$1854,"&lt;"&amp;K1531)+1,"-")</f>
        <v>6</v>
      </c>
      <c r="I1531" s="64" t="str">
        <f aca="false">IF('Offshore - Melbourne'!E86="","Harga belum tersedia - hubungi konsultan TEG",IF(M1531=2,"Saat ini tidak menerima pendaftaran siswa internasional baru",IF(M1531=1,"Harga perlu dikonfirmasi ke sekolah"&amp;IF(""="","","; "&amp;""),"")))</f>
        <v>Harga perlu dikonfirmasi ke sekolah</v>
      </c>
      <c r="J1531" s="0" t="s">
        <v>4423</v>
      </c>
      <c r="K1531" s="0" t="n">
        <f aca="false">IF(M1531=2,"",IF(ISNUMBER(SEARCH("rata-rata:",'Offshore - Melbourne'!N86)),VALUE(MID('Offshore - Melbourne'!N86,SEARCH("rata-rata:",'Offshore - Melbourne'!N86)+11,FIND(";",'Offshore - Melbourne'!N86&amp;";",SEARCH("rata-rata:",'Offshore - Melbourne'!N86))-SEARCH("rata-rata:",'Offshore - Melbourne'!N86)-11)),IF('Offshore - Melbourne'!D86="Semester",'Offshore - Melbourne'!E86*2,IF('Offshore - Melbourne'!D86="Trimester",'Offshore - Melbourne'!E86*3,IF('Offshore - Melbourne'!D86="Term",'Offshore - Melbourne'!E86*4,IF('Offshore - Melbourne'!D86="Unit",'Offshore - Melbourne'!E86*8,""))))))</f>
        <v>23400</v>
      </c>
      <c r="L1531" s="0" t="n">
        <f aca="false">IF(AND(ISNUMBER('Offshore - Melbourne'!E86),ISNUMBER(K1531),ISNUMBER('Offshore - Melbourne'!F86),ISNUMBER('Offshore - Melbourne'!G86),OR('Offshore - Melbourne'!F86&lt;&gt;0,ISNUMBER(SEARCH("Material 0 terverifikasi",'Offshore - Melbourne'!N86))),OR('Offshore - Melbourne'!G86&lt;&gt;0,ISNUMBER(SEARCH("Enrolment 0 terverifikasi",'Offshore - Melbourne'!N86)))),1,0)</f>
        <v>0</v>
      </c>
      <c r="M1531" s="0" t="n">
        <f aca="false">IF(OR('Offshore - Melbourne'!E86="",ISNUMBER(SEARCH("BSB80120",'Offshore - Melbourne'!B86&amp;'Offshore - Melbourne'!N86)),ISNUMBER(SEARCH("Management (Learning)",'Offshore - Melbourne'!B86))),2,IF(ISNUMBER(SEARCH("CEK:",'Offshore - Melbourne'!N86)),1,0))</f>
        <v>1</v>
      </c>
    </row>
    <row r="1532" customFormat="false" ht="15" hidden="false" customHeight="false" outlineLevel="0" collapsed="false">
      <c r="A1532" s="63" t="s">
        <v>3544</v>
      </c>
      <c r="B1532" s="64" t="s">
        <v>4374</v>
      </c>
      <c r="C1532" s="63" t="s">
        <v>3707</v>
      </c>
      <c r="D1532" s="64" t="str">
        <f aca="false">TRIM(LEFT('Offshore - Melbourne'!A290,FIND(CHAR(10),'Offshore - Melbourne'!A290&amp;CHAR(10))-1))</f>
        <v>Kaplan Business School</v>
      </c>
      <c r="E1532" s="63" t="str">
        <f aca="false">'Offshore - Melbourne'!C301&amp;""</f>
        <v>0,5 year</v>
      </c>
      <c r="F1532" s="63" t="str">
        <f aca="false">IF('Offshore - Melbourne'!D301="","Belum tercatat",'Offshore - Melbourne'!D301)</f>
        <v>Trimester</v>
      </c>
      <c r="G1532" s="65" t="n">
        <f aca="false">IF('Offshore - Melbourne'!E301="","-",'Offshore - Melbourne'!E301)</f>
        <v>14560</v>
      </c>
      <c r="H1532" s="63" t="n">
        <f aca="false">IF(ISNUMBER(K1532),COUNTIFS($J$6:$J$1854,J1532,$K$6:$K$1854,"&lt;"&amp;K1532)+1,"-")</f>
        <v>7</v>
      </c>
      <c r="I1532" s="64" t="str">
        <f aca="false">IF('Offshore - Melbourne'!E301="","Harga belum tersedia - hubungi konsultan TEG",IF(M1532=2,"Saat ini tidak menerima pendaftaran siswa internasional baru",IF(M1532=1,"Harga perlu dikonfirmasi ke sekolah"&amp;IF(""="","","; "&amp;""),"")))</f>
        <v>Harga perlu dikonfirmasi ke sekolah</v>
      </c>
      <c r="J1532" s="0" t="s">
        <v>4423</v>
      </c>
      <c r="K1532" s="0" t="n">
        <f aca="false">IF(M1532=2,"",IF(ISNUMBER(SEARCH("rata-rata:",'Offshore - Melbourne'!N301)),VALUE(MID('Offshore - Melbourne'!N301,SEARCH("rata-rata:",'Offshore - Melbourne'!N301)+11,FIND(";",'Offshore - Melbourne'!N301&amp;";",SEARCH("rata-rata:",'Offshore - Melbourne'!N301))-SEARCH("rata-rata:",'Offshore - Melbourne'!N301)-11)),IF('Offshore - Melbourne'!D301="Semester",'Offshore - Melbourne'!E301*2,IF('Offshore - Melbourne'!D301="Trimester",'Offshore - Melbourne'!E301*3,IF('Offshore - Melbourne'!D301="Term",'Offshore - Melbourne'!E301*4,IF('Offshore - Melbourne'!D301="Unit",'Offshore - Melbourne'!E301*8,""))))))</f>
        <v>43680</v>
      </c>
      <c r="L1532" s="0" t="n">
        <f aca="false">IF(AND(ISNUMBER('Offshore - Melbourne'!E301),ISNUMBER(K1532),ISNUMBER('Offshore - Melbourne'!F301),ISNUMBER('Offshore - Melbourne'!G301),OR('Offshore - Melbourne'!F301&lt;&gt;0,ISNUMBER(SEARCH("Material 0 terverifikasi",'Offshore - Melbourne'!N301))),OR('Offshore - Melbourne'!G301&lt;&gt;0,ISNUMBER(SEARCH("Enrolment 0 terverifikasi",'Offshore - Melbourne'!N301)))),1,0)</f>
        <v>1</v>
      </c>
      <c r="M1532" s="0" t="n">
        <f aca="false">IF(OR('Offshore - Melbourne'!E301="",ISNUMBER(SEARCH("BSB80120",'Offshore - Melbourne'!B301&amp;'Offshore - Melbourne'!N301)),ISNUMBER(SEARCH("Management (Learning)",'Offshore - Melbourne'!B301))),2,IF(ISNUMBER(SEARCH("CEK:",'Offshore - Melbourne'!N301)),1,0))</f>
        <v>1</v>
      </c>
    </row>
    <row r="1533" customFormat="false" ht="15" hidden="false" customHeight="false" outlineLevel="0" collapsed="false">
      <c r="A1533" s="61" t="s">
        <v>4424</v>
      </c>
      <c r="B1533" s="62"/>
      <c r="C1533" s="62"/>
      <c r="D1533" s="62"/>
      <c r="E1533" s="62"/>
      <c r="F1533" s="62"/>
      <c r="G1533" s="62"/>
      <c r="H1533" s="62"/>
      <c r="I1533" s="62"/>
    </row>
    <row r="1534" customFormat="false" ht="28.35" hidden="false" customHeight="false" outlineLevel="0" collapsed="false">
      <c r="A1534" s="63" t="s">
        <v>3544</v>
      </c>
      <c r="B1534" s="64" t="s">
        <v>4374</v>
      </c>
      <c r="C1534" s="63" t="s">
        <v>46</v>
      </c>
      <c r="D1534" s="64" t="str">
        <f aca="false">TRIM(LEFT('Offshore - Melbourne'!A200,FIND(CHAR(10),'Offshore - Melbourne'!A200&amp;CHAR(10))-1))</f>
        <v>Australian Institute of Advanced Technologies (AIAT)</v>
      </c>
      <c r="E1534" s="63" t="str">
        <f aca="false">'Offshore - Melbourne'!C202&amp;""</f>
        <v>2 years</v>
      </c>
      <c r="F1534" s="63" t="str">
        <f aca="false">IF('Offshore - Melbourne'!D202="","Belum tercatat",'Offshore - Melbourne'!D202)</f>
        <v>Term</v>
      </c>
      <c r="G1534" s="65" t="n">
        <f aca="false">IF('Offshore - Melbourne'!E202="","-",'Offshore - Melbourne'!E202)</f>
        <v>3862.5</v>
      </c>
      <c r="H1534" s="63" t="n">
        <f aca="false">IF(ISNUMBER(K1534),COUNTIFS($J$6:$J$1854,J1534,$K$6:$K$1854,"&lt;"&amp;K1534)+1,"-")</f>
        <v>1</v>
      </c>
      <c r="I1534" s="64" t="str">
        <f aca="false">IF('Offshore - Melbourne'!E202="","Harga belum tersedia - hubungi konsultan TEG",IF(M1534=2,"Saat ini tidak menerima pendaftaran siswa internasional baru",IF(M1534=1,"Harga perlu dikonfirmasi ke sekolah"&amp;IF(""="","","; "&amp;""),"")))</f>
        <v/>
      </c>
      <c r="J1534" s="0" t="s">
        <v>4425</v>
      </c>
      <c r="K1534" s="0" t="n">
        <f aca="false">IF(M1534=2,"",IF(ISNUMBER(SEARCH("rata-rata:",'Offshore - Melbourne'!N202)),VALUE(MID('Offshore - Melbourne'!N202,SEARCH("rata-rata:",'Offshore - Melbourne'!N202)+11,FIND(";",'Offshore - Melbourne'!N202&amp;";",SEARCH("rata-rata:",'Offshore - Melbourne'!N202))-SEARCH("rata-rata:",'Offshore - Melbourne'!N202)-11)),IF('Offshore - Melbourne'!D202="Semester",'Offshore - Melbourne'!E202*2,IF('Offshore - Melbourne'!D202="Trimester",'Offshore - Melbourne'!E202*3,IF('Offshore - Melbourne'!D202="Term",'Offshore - Melbourne'!E202*4,IF('Offshore - Melbourne'!D202="Unit",'Offshore - Melbourne'!E202*8,""))))))</f>
        <v>15450</v>
      </c>
      <c r="L1534" s="0" t="n">
        <f aca="false">IF(AND(ISNUMBER('Offshore - Melbourne'!E202),ISNUMBER(K1534),ISNUMBER('Offshore - Melbourne'!F202),ISNUMBER('Offshore - Melbourne'!G202),OR('Offshore - Melbourne'!F202&lt;&gt;0,ISNUMBER(SEARCH("Material 0 terverifikasi",'Offshore - Melbourne'!N202))),OR('Offshore - Melbourne'!G202&lt;&gt;0,ISNUMBER(SEARCH("Enrolment 0 terverifikasi",'Offshore - Melbourne'!N202)))),1,0)</f>
        <v>0</v>
      </c>
      <c r="M1534" s="0" t="n">
        <f aca="false">IF(OR('Offshore - Melbourne'!E202="",ISNUMBER(SEARCH("BSB80120",'Offshore - Melbourne'!B202&amp;'Offshore - Melbourne'!N202)),ISNUMBER(SEARCH("Management (Learning)",'Offshore - Melbourne'!B202))),2,IF(ISNUMBER(SEARCH("CEK:",'Offshore - Melbourne'!N202)),1,0))</f>
        <v>0</v>
      </c>
    </row>
    <row r="1535" customFormat="false" ht="15" hidden="false" customHeight="false" outlineLevel="0" collapsed="false">
      <c r="A1535" s="63" t="s">
        <v>3544</v>
      </c>
      <c r="B1535" s="64" t="s">
        <v>4374</v>
      </c>
      <c r="C1535" s="63" t="s">
        <v>46</v>
      </c>
      <c r="D1535" s="64" t="str">
        <f aca="false">TRIM(LEFT('Offshore - Melbourne'!A29,FIND(CHAR(10),'Offshore - Melbourne'!A29&amp;CHAR(10))-1))</f>
        <v>AIBI Higher Education</v>
      </c>
      <c r="E1535" s="63" t="str">
        <f aca="false">'Offshore - Melbourne'!C35&amp;""</f>
        <v>2 years</v>
      </c>
      <c r="F1535" s="63" t="str">
        <f aca="false">IF('Offshore - Melbourne'!D35="","Belum tercatat",'Offshore - Melbourne'!D35)</f>
        <v>Term</v>
      </c>
      <c r="G1535" s="65" t="n">
        <f aca="false">IF('Offshore - Melbourne'!E35="","-",'Offshore - Melbourne'!E35)</f>
        <v>4050</v>
      </c>
      <c r="H1535" s="63" t="n">
        <f aca="false">IF(ISNUMBER(K1535),COUNTIFS($J$6:$J$1854,J1535,$K$6:$K$1854,"&lt;"&amp;K1535)+1,"-")</f>
        <v>2</v>
      </c>
      <c r="I1535" s="64" t="str">
        <f aca="false">IF('Offshore - Melbourne'!E35="","Harga belum tersedia - hubungi konsultan TEG",IF(M1535=2,"Saat ini tidak menerima pendaftaran siswa internasional baru",IF(M1535=1,"Harga perlu dikonfirmasi ke sekolah"&amp;IF(""="","","; "&amp;""),"")))</f>
        <v>Harga perlu dikonfirmasi ke sekolah</v>
      </c>
      <c r="J1535" s="0" t="s">
        <v>4425</v>
      </c>
      <c r="K1535" s="0" t="n">
        <f aca="false">IF(M1535=2,"",IF(ISNUMBER(SEARCH("rata-rata:",'Offshore - Melbourne'!N35)),VALUE(MID('Offshore - Melbourne'!N35,SEARCH("rata-rata:",'Offshore - Melbourne'!N35)+11,FIND(";",'Offshore - Melbourne'!N35&amp;";",SEARCH("rata-rata:",'Offshore - Melbourne'!N35))-SEARCH("rata-rata:",'Offshore - Melbourne'!N35)-11)),IF('Offshore - Melbourne'!D35="Semester",'Offshore - Melbourne'!E35*2,IF('Offshore - Melbourne'!D35="Trimester",'Offshore - Melbourne'!E35*3,IF('Offshore - Melbourne'!D35="Term",'Offshore - Melbourne'!E35*4,IF('Offshore - Melbourne'!D35="Unit",'Offshore - Melbourne'!E35*8,""))))))</f>
        <v>16200</v>
      </c>
      <c r="L1535" s="0" t="n">
        <f aca="false">IF(AND(ISNUMBER('Offshore - Melbourne'!E35),ISNUMBER(K1535),ISNUMBER('Offshore - Melbourne'!F35),ISNUMBER('Offshore - Melbourne'!G35),OR('Offshore - Melbourne'!F35&lt;&gt;0,ISNUMBER(SEARCH("Material 0 terverifikasi",'Offshore - Melbourne'!N35))),OR('Offshore - Melbourne'!G35&lt;&gt;0,ISNUMBER(SEARCH("Enrolment 0 terverifikasi",'Offshore - Melbourne'!N35)))),1,0)</f>
        <v>0</v>
      </c>
      <c r="M1535" s="0" t="n">
        <f aca="false">IF(OR('Offshore - Melbourne'!E35="",ISNUMBER(SEARCH("BSB80120",'Offshore - Melbourne'!B35&amp;'Offshore - Melbourne'!N35)),ISNUMBER(SEARCH("Management (Learning)",'Offshore - Melbourne'!B35))),2,IF(ISNUMBER(SEARCH("CEK:",'Offshore - Melbourne'!N35)),1,0))</f>
        <v>1</v>
      </c>
    </row>
    <row r="1536" customFormat="false" ht="55.2" hidden="false" customHeight="false" outlineLevel="0" collapsed="false">
      <c r="A1536" s="63" t="s">
        <v>3544</v>
      </c>
      <c r="B1536" s="64" t="s">
        <v>4374</v>
      </c>
      <c r="C1536" s="63" t="s">
        <v>46</v>
      </c>
      <c r="D1536" s="64" t="str">
        <f aca="false">TRIM(LEFT('Offshore - Melbourne'!A43,FIND(CHAR(10),'Offshore - Melbourne'!A43&amp;CHAR(10))-1))</f>
        <v>AIH Higher Education (Australian Institute of Higher Education)</v>
      </c>
      <c r="E1536" s="63" t="str">
        <f aca="false">'Offshore - Melbourne'!C48&amp;""</f>
        <v>2 years</v>
      </c>
      <c r="F1536" s="63" t="str">
        <f aca="false">IF('Offshore - Melbourne'!D48="","Belum tercatat",'Offshore - Melbourne'!D48)</f>
        <v>Unit</v>
      </c>
      <c r="G1536" s="65" t="n">
        <f aca="false">IF('Offshore - Melbourne'!E48="","-",'Offshore - Melbourne'!E48)</f>
        <v>2280</v>
      </c>
      <c r="H1536" s="63" t="n">
        <f aca="false">IF(ISNUMBER(K1536),COUNTIFS($J$6:$J$1854,J1536,$K$6:$K$1854,"&lt;"&amp;K1536)+1,"-")</f>
        <v>3</v>
      </c>
      <c r="I1536" s="64" t="str">
        <f aca="false">IF('Offshore - Melbourne'!E48="","Harga belum tersedia - hubungi konsultan TEG",IF(M1536=2,"Saat ini tidak menerima pendaftaran siswa internasional baru",IF(M1536=1,"Harga perlu dikonfirmasi ke sekolah"&amp;IF("Harga promo s.d. 31/12/2026; Harga dihitung per unit; total tergantung jumlah unit yang diambil; Sudah termasuk beasiswa 15% (syarat berlaku)"="","","; "&amp;"Harga promo s.d. 31/12/2026; Harga dihitung per unit; total tergantung jumlah unit yang diambil; Sudah termasuk beasiswa 15% (syarat berlaku)"),"Harga promo s.d. 31/12/2026; Harga dihitung per unit; total tergantung jumlah unit yang diambil; Sudah termasuk beasiswa 15% (syarat berlaku)")))</f>
        <v>Harga promo s.d. 31/12/2026; Harga dihitung per unit; total tergantung jumlah unit yang diambil; Sudah termasuk beasiswa 15% (syarat berlaku)</v>
      </c>
      <c r="J1536" s="0" t="s">
        <v>4425</v>
      </c>
      <c r="K1536" s="0" t="n">
        <f aca="false">IF(M1536=2,"",IF(ISNUMBER(SEARCH("rata-rata:",'Offshore - Melbourne'!N48)),VALUE(MID('Offshore - Melbourne'!N48,SEARCH("rata-rata:",'Offshore - Melbourne'!N48)+11,FIND(";",'Offshore - Melbourne'!N48&amp;";",SEARCH("rata-rata:",'Offshore - Melbourne'!N48))-SEARCH("rata-rata:",'Offshore - Melbourne'!N48)-11)),IF('Offshore - Melbourne'!D48="Semester",'Offshore - Melbourne'!E48*2,IF('Offshore - Melbourne'!D48="Trimester",'Offshore - Melbourne'!E48*3,IF('Offshore - Melbourne'!D48="Term",'Offshore - Melbourne'!E48*4,IF('Offshore - Melbourne'!D48="Unit",'Offshore - Melbourne'!E48*8,""))))))</f>
        <v>18240</v>
      </c>
      <c r="L1536" s="0" t="n">
        <f aca="false">IF(AND(ISNUMBER('Offshore - Melbourne'!E48),ISNUMBER(K1536),ISNUMBER('Offshore - Melbourne'!F48),ISNUMBER('Offshore - Melbourne'!G48),OR('Offshore - Melbourne'!F48&lt;&gt;0,ISNUMBER(SEARCH("Material 0 terverifikasi",'Offshore - Melbourne'!N48))),OR('Offshore - Melbourne'!G48&lt;&gt;0,ISNUMBER(SEARCH("Enrolment 0 terverifikasi",'Offshore - Melbourne'!N48)))),1,0)</f>
        <v>1</v>
      </c>
      <c r="M1536" s="0" t="n">
        <f aca="false">IF(OR('Offshore - Melbourne'!E48="",ISNUMBER(SEARCH("BSB80120",'Offshore - Melbourne'!B48&amp;'Offshore - Melbourne'!N48)),ISNUMBER(SEARCH("Management (Learning)",'Offshore - Melbourne'!B48))),2,IF(ISNUMBER(SEARCH("CEK:",'Offshore - Melbourne'!N48)),1,0))</f>
        <v>0</v>
      </c>
    </row>
    <row r="1537" customFormat="false" ht="15" hidden="false" customHeight="false" outlineLevel="0" collapsed="false">
      <c r="A1537" s="63" t="s">
        <v>3544</v>
      </c>
      <c r="B1537" s="64" t="s">
        <v>4374</v>
      </c>
      <c r="C1537" s="63" t="s">
        <v>46</v>
      </c>
      <c r="D1537" s="64" t="str">
        <f aca="false">TRIM(LEFT('Offshore - Melbourne'!A374,FIND(CHAR(10),'Offshore - Melbourne'!A374&amp;CHAR(10))-1))</f>
        <v>Ozford Institute of Higher Education</v>
      </c>
      <c r="E1537" s="63" t="str">
        <f aca="false">'Offshore - Melbourne'!C381&amp;""</f>
        <v>2 years</v>
      </c>
      <c r="F1537" s="63" t="str">
        <f aca="false">IF('Offshore - Melbourne'!D381="","Belum tercatat",'Offshore - Melbourne'!D381)</f>
        <v>Term</v>
      </c>
      <c r="G1537" s="65" t="n">
        <f aca="false">IF('Offshore - Melbourne'!E381="","-",'Offshore - Melbourne'!E381)</f>
        <v>4740</v>
      </c>
      <c r="H1537" s="63" t="n">
        <f aca="false">IF(ISNUMBER(K1537),COUNTIFS($J$6:$J$1854,J1537,$K$6:$K$1854,"&lt;"&amp;K1537)+1,"-")</f>
        <v>4</v>
      </c>
      <c r="I1537" s="64" t="str">
        <f aca="false">IF('Offshore - Melbourne'!E381="","Harga belum tersedia - hubungi konsultan TEG",IF(M1537=2,"Saat ini tidak menerima pendaftaran siswa internasional baru",IF(M1537=1,"Harga perlu dikonfirmasi ke sekolah"&amp;IF(""="","","; "&amp;""),"")))</f>
        <v>Harga perlu dikonfirmasi ke sekolah</v>
      </c>
      <c r="J1537" s="0" t="s">
        <v>4425</v>
      </c>
      <c r="K1537" s="0" t="n">
        <f aca="false">IF(M1537=2,"",IF(ISNUMBER(SEARCH("rata-rata:",'Offshore - Melbourne'!N381)),VALUE(MID('Offshore - Melbourne'!N381,SEARCH("rata-rata:",'Offshore - Melbourne'!N381)+11,FIND(";",'Offshore - Melbourne'!N381&amp;";",SEARCH("rata-rata:",'Offshore - Melbourne'!N381))-SEARCH("rata-rata:",'Offshore - Melbourne'!N381)-11)),IF('Offshore - Melbourne'!D381="Semester",'Offshore - Melbourne'!E381*2,IF('Offshore - Melbourne'!D381="Trimester",'Offshore - Melbourne'!E381*3,IF('Offshore - Melbourne'!D381="Term",'Offshore - Melbourne'!E381*4,IF('Offshore - Melbourne'!D381="Unit",'Offshore - Melbourne'!E381*8,""))))))</f>
        <v>18960</v>
      </c>
      <c r="L1537" s="0" t="n">
        <f aca="false">IF(AND(ISNUMBER('Offshore - Melbourne'!E381),ISNUMBER(K1537),ISNUMBER('Offshore - Melbourne'!F381),ISNUMBER('Offshore - Melbourne'!G381),OR('Offshore - Melbourne'!F381&lt;&gt;0,ISNUMBER(SEARCH("Material 0 terverifikasi",'Offshore - Melbourne'!N381))),OR('Offshore - Melbourne'!G381&lt;&gt;0,ISNUMBER(SEARCH("Enrolment 0 terverifikasi",'Offshore - Melbourne'!N381)))),1,0)</f>
        <v>1</v>
      </c>
      <c r="M1537" s="0" t="n">
        <f aca="false">IF(OR('Offshore - Melbourne'!E381="",ISNUMBER(SEARCH("BSB80120",'Offshore - Melbourne'!B381&amp;'Offshore - Melbourne'!N381)),ISNUMBER(SEARCH("Management (Learning)",'Offshore - Melbourne'!B381))),2,IF(ISNUMBER(SEARCH("CEK:",'Offshore - Melbourne'!N381)),1,0))</f>
        <v>1</v>
      </c>
    </row>
    <row r="1538" customFormat="false" ht="15" hidden="false" customHeight="false" outlineLevel="0" collapsed="false">
      <c r="A1538" s="63" t="s">
        <v>3544</v>
      </c>
      <c r="B1538" s="64" t="s">
        <v>4374</v>
      </c>
      <c r="C1538" s="63" t="s">
        <v>46</v>
      </c>
      <c r="D1538" s="64" t="str">
        <f aca="false">TRIM(LEFT('Offshore - Melbourne'!A6,FIND(CHAR(10),'Offshore - Melbourne'!A6&amp;CHAR(10))-1))</f>
        <v>Academies Australasia</v>
      </c>
      <c r="E1538" s="63" t="str">
        <f aca="false">'Offshore - Melbourne'!C11&amp;""</f>
        <v>2 years</v>
      </c>
      <c r="F1538" s="63" t="str">
        <f aca="false">IF('Offshore - Melbourne'!D11="","Belum tercatat",'Offshore - Melbourne'!D11)</f>
        <v>Term</v>
      </c>
      <c r="G1538" s="65" t="n">
        <f aca="false">IF('Offshore - Melbourne'!E11="","-",'Offshore - Melbourne'!E11)</f>
        <v>5000</v>
      </c>
      <c r="H1538" s="63" t="n">
        <f aca="false">IF(ISNUMBER(K1538),COUNTIFS($J$6:$J$1854,J1538,$K$6:$K$1854,"&lt;"&amp;K1538)+1,"-")</f>
        <v>5</v>
      </c>
      <c r="I1538" s="64" t="str">
        <f aca="false">IF('Offshore - Melbourne'!E11="","Harga belum tersedia - hubungi konsultan TEG",IF(M1538=2,"Saat ini tidak menerima pendaftaran siswa internasional baru",IF(M1538=1,"Harga perlu dikonfirmasi ke sekolah"&amp;IF(""="","","; "&amp;""),"")))</f>
        <v/>
      </c>
      <c r="J1538" s="0" t="s">
        <v>4425</v>
      </c>
      <c r="K1538" s="0" t="n">
        <f aca="false">IF(M1538=2,"",IF(ISNUMBER(SEARCH("rata-rata:",'Offshore - Melbourne'!N11)),VALUE(MID('Offshore - Melbourne'!N11,SEARCH("rata-rata:",'Offshore - Melbourne'!N11)+11,FIND(";",'Offshore - Melbourne'!N11&amp;";",SEARCH("rata-rata:",'Offshore - Melbourne'!N11))-SEARCH("rata-rata:",'Offshore - Melbourne'!N11)-11)),IF('Offshore - Melbourne'!D11="Semester",'Offshore - Melbourne'!E11*2,IF('Offshore - Melbourne'!D11="Trimester",'Offshore - Melbourne'!E11*3,IF('Offshore - Melbourne'!D11="Term",'Offshore - Melbourne'!E11*4,IF('Offshore - Melbourne'!D11="Unit",'Offshore - Melbourne'!E11*8,""))))))</f>
        <v>20000</v>
      </c>
      <c r="L1538" s="0" t="n">
        <f aca="false">IF(AND(ISNUMBER('Offshore - Melbourne'!E11),ISNUMBER(K1538),ISNUMBER('Offshore - Melbourne'!F11),ISNUMBER('Offshore - Melbourne'!G11),OR('Offshore - Melbourne'!F11&lt;&gt;0,ISNUMBER(SEARCH("Material 0 terverifikasi",'Offshore - Melbourne'!N11))),OR('Offshore - Melbourne'!G11&lt;&gt;0,ISNUMBER(SEARCH("Enrolment 0 terverifikasi",'Offshore - Melbourne'!N11)))),1,0)</f>
        <v>1</v>
      </c>
      <c r="M1538" s="0" t="n">
        <f aca="false">IF(OR('Offshore - Melbourne'!E11="",ISNUMBER(SEARCH("BSB80120",'Offshore - Melbourne'!B11&amp;'Offshore - Melbourne'!N11)),ISNUMBER(SEARCH("Management (Learning)",'Offshore - Melbourne'!B11))),2,IF(ISNUMBER(SEARCH("CEK:",'Offshore - Melbourne'!N11)),1,0))</f>
        <v>0</v>
      </c>
    </row>
    <row r="1539" customFormat="false" ht="28.35" hidden="false" customHeight="false" outlineLevel="0" collapsed="false">
      <c r="A1539" s="63" t="s">
        <v>3544</v>
      </c>
      <c r="B1539" s="64" t="s">
        <v>4374</v>
      </c>
      <c r="C1539" s="63" t="s">
        <v>46</v>
      </c>
      <c r="D1539" s="64" t="str">
        <f aca="false">TRIM(LEFT('Offshore - Melbourne'!A351,FIND(CHAR(10),'Offshore - Melbourne'!A351&amp;CHAR(10))-1))</f>
        <v>National Academy of Professional Studies (NAPS)</v>
      </c>
      <c r="E1539" s="63" t="str">
        <f aca="false">'Offshore - Melbourne'!C352&amp;""</f>
        <v>2 years</v>
      </c>
      <c r="F1539" s="63" t="str">
        <f aca="false">IF('Offshore - Melbourne'!D352="","Belum tercatat",'Offshore - Melbourne'!D352)</f>
        <v>Term</v>
      </c>
      <c r="G1539" s="65" t="n">
        <f aca="false">IF('Offshore - Melbourne'!E352="","-",'Offshore - Melbourne'!E352)</f>
        <v>5500</v>
      </c>
      <c r="H1539" s="63" t="n">
        <f aca="false">IF(ISNUMBER(K1539),COUNTIFS($J$6:$J$1854,J1539,$K$6:$K$1854,"&lt;"&amp;K1539)+1,"-")</f>
        <v>6</v>
      </c>
      <c r="I1539" s="64" t="str">
        <f aca="false">IF('Offshore - Melbourne'!E352="","Harga belum tersedia - hubungi konsultan TEG",IF(M1539=2,"Saat ini tidak menerima pendaftaran siswa internasional baru",IF(M1539=1,"Harga perlu dikonfirmasi ke sekolah"&amp;IF(""="","","; "&amp;""),"")))</f>
        <v>Harga perlu dikonfirmasi ke sekolah</v>
      </c>
      <c r="J1539" s="0" t="s">
        <v>4425</v>
      </c>
      <c r="K1539" s="0" t="n">
        <f aca="false">IF(M1539=2,"",IF(ISNUMBER(SEARCH("rata-rata:",'Offshore - Melbourne'!N352)),VALUE(MID('Offshore - Melbourne'!N352,SEARCH("rata-rata:",'Offshore - Melbourne'!N352)+11,FIND(";",'Offshore - Melbourne'!N352&amp;";",SEARCH("rata-rata:",'Offshore - Melbourne'!N352))-SEARCH("rata-rata:",'Offshore - Melbourne'!N352)-11)),IF('Offshore - Melbourne'!D352="Semester",'Offshore - Melbourne'!E352*2,IF('Offshore - Melbourne'!D352="Trimester",'Offshore - Melbourne'!E352*3,IF('Offshore - Melbourne'!D352="Term",'Offshore - Melbourne'!E352*4,IF('Offshore - Melbourne'!D352="Unit",'Offshore - Melbourne'!E352*8,""))))))</f>
        <v>22000</v>
      </c>
      <c r="L1539" s="0" t="n">
        <f aca="false">IF(AND(ISNUMBER('Offshore - Melbourne'!E352),ISNUMBER(K1539),ISNUMBER('Offshore - Melbourne'!F352),ISNUMBER('Offshore - Melbourne'!G352),OR('Offshore - Melbourne'!F352&lt;&gt;0,ISNUMBER(SEARCH("Material 0 terverifikasi",'Offshore - Melbourne'!N352))),OR('Offshore - Melbourne'!G352&lt;&gt;0,ISNUMBER(SEARCH("Enrolment 0 terverifikasi",'Offshore - Melbourne'!N352)))),1,0)</f>
        <v>1</v>
      </c>
      <c r="M1539" s="0" t="n">
        <f aca="false">IF(OR('Offshore - Melbourne'!E352="",ISNUMBER(SEARCH("BSB80120",'Offshore - Melbourne'!B352&amp;'Offshore - Melbourne'!N352)),ISNUMBER(SEARCH("Management (Learning)",'Offshore - Melbourne'!B352))),2,IF(ISNUMBER(SEARCH("CEK:",'Offshore - Melbourne'!N352)),1,0))</f>
        <v>1</v>
      </c>
    </row>
    <row r="1540" customFormat="false" ht="15" hidden="false" customHeight="false" outlineLevel="0" collapsed="false">
      <c r="A1540" s="63" t="s">
        <v>3544</v>
      </c>
      <c r="B1540" s="64" t="s">
        <v>4374</v>
      </c>
      <c r="C1540" s="63" t="s">
        <v>46</v>
      </c>
      <c r="D1540" s="64" t="str">
        <f aca="false">TRIM(LEFT('Offshore - Melbourne'!A426,FIND(CHAR(10),'Offshore - Melbourne'!A426&amp;CHAR(10))-1))</f>
        <v>The Institute of International Studies (TIIS)</v>
      </c>
      <c r="E1540" s="63" t="str">
        <f aca="false">'Offshore - Melbourne'!C429&amp;""</f>
        <v>2 years</v>
      </c>
      <c r="F1540" s="63" t="str">
        <f aca="false">IF('Offshore - Melbourne'!D429="","Belum tercatat",'Offshore - Melbourne'!D429)</f>
        <v>Term</v>
      </c>
      <c r="G1540" s="65" t="n">
        <f aca="false">IF('Offshore - Melbourne'!E429="","-",'Offshore - Melbourne'!E429)</f>
        <v>5500</v>
      </c>
      <c r="H1540" s="63" t="n">
        <f aca="false">IF(ISNUMBER(K1540),COUNTIFS($J$6:$J$1854,J1540,$K$6:$K$1854,"&lt;"&amp;K1540)+1,"-")</f>
        <v>6</v>
      </c>
      <c r="I1540" s="64" t="str">
        <f aca="false">IF('Offshore - Melbourne'!E429="","Harga belum tersedia - hubungi konsultan TEG",IF(M1540=2,"Saat ini tidak menerima pendaftaran siswa internasional baru",IF(M1540=1,"Harga perlu dikonfirmasi ke sekolah"&amp;IF(""="","","; "&amp;""),"")))</f>
        <v/>
      </c>
      <c r="J1540" s="0" t="s">
        <v>4425</v>
      </c>
      <c r="K1540" s="0" t="n">
        <f aca="false">IF(M1540=2,"",IF(ISNUMBER(SEARCH("rata-rata:",'Offshore - Melbourne'!N429)),VALUE(MID('Offshore - Melbourne'!N429,SEARCH("rata-rata:",'Offshore - Melbourne'!N429)+11,FIND(";",'Offshore - Melbourne'!N429&amp;";",SEARCH("rata-rata:",'Offshore - Melbourne'!N429))-SEARCH("rata-rata:",'Offshore - Melbourne'!N429)-11)),IF('Offshore - Melbourne'!D429="Semester",'Offshore - Melbourne'!E429*2,IF('Offshore - Melbourne'!D429="Trimester",'Offshore - Melbourne'!E429*3,IF('Offshore - Melbourne'!D429="Term",'Offshore - Melbourne'!E429*4,IF('Offshore - Melbourne'!D429="Unit",'Offshore - Melbourne'!E429*8,""))))))</f>
        <v>22000</v>
      </c>
      <c r="L1540" s="0" t="n">
        <f aca="false">IF(AND(ISNUMBER('Offshore - Melbourne'!E429),ISNUMBER(K1540),ISNUMBER('Offshore - Melbourne'!F429),ISNUMBER('Offshore - Melbourne'!G429),OR('Offshore - Melbourne'!F429&lt;&gt;0,ISNUMBER(SEARCH("Material 0 terverifikasi",'Offshore - Melbourne'!N429))),OR('Offshore - Melbourne'!G429&lt;&gt;0,ISNUMBER(SEARCH("Enrolment 0 terverifikasi",'Offshore - Melbourne'!N429)))),1,0)</f>
        <v>0</v>
      </c>
      <c r="M1540" s="0" t="n">
        <f aca="false">IF(OR('Offshore - Melbourne'!E429="",ISNUMBER(SEARCH("BSB80120",'Offshore - Melbourne'!B429&amp;'Offshore - Melbourne'!N429)),ISNUMBER(SEARCH("Management (Learning)",'Offshore - Melbourne'!B429))),2,IF(ISNUMBER(SEARCH("CEK:",'Offshore - Melbourne'!N429)),1,0))</f>
        <v>0</v>
      </c>
    </row>
    <row r="1541" customFormat="false" ht="15" hidden="false" customHeight="false" outlineLevel="0" collapsed="false">
      <c r="A1541" s="63" t="s">
        <v>3544</v>
      </c>
      <c r="B1541" s="64" t="s">
        <v>4374</v>
      </c>
      <c r="C1541" s="63" t="s">
        <v>46</v>
      </c>
      <c r="D1541" s="64" t="str">
        <f aca="false">TRIM(LEFT('Offshore - Melbourne'!A78,FIND(CHAR(10),'Offshore - Melbourne'!A78&amp;CHAR(10))-1))</f>
        <v>Asia Pacific International College (APIC)</v>
      </c>
      <c r="E1541" s="63" t="str">
        <f aca="false">'Offshore - Melbourne'!C87&amp;""</f>
        <v>2 years</v>
      </c>
      <c r="F1541" s="63" t="str">
        <f aca="false">IF('Offshore - Melbourne'!D87="","Belum tercatat",'Offshore - Melbourne'!D87)</f>
        <v>Trimester</v>
      </c>
      <c r="G1541" s="65" t="n">
        <f aca="false">IF('Offshore - Melbourne'!E87="","-",'Offshore - Melbourne'!E87)</f>
        <v>7800</v>
      </c>
      <c r="H1541" s="63" t="n">
        <f aca="false">IF(ISNUMBER(K1541),COUNTIFS($J$6:$J$1854,J1541,$K$6:$K$1854,"&lt;"&amp;K1541)+1,"-")</f>
        <v>8</v>
      </c>
      <c r="I1541" s="64" t="str">
        <f aca="false">IF('Offshore - Melbourne'!E87="","Harga belum tersedia - hubungi konsultan TEG",IF(M1541=2,"Saat ini tidak menerima pendaftaran siswa internasional baru",IF(M1541=1,"Harga perlu dikonfirmasi ke sekolah"&amp;IF("Harga promo s.d. 31/12/2026"="","","; "&amp;"Harga promo s.d. 31/12/2026"),"Harga promo s.d. 31/12/2026")))</f>
        <v>Harga promo s.d. 31/12/2026</v>
      </c>
      <c r="J1541" s="0" t="s">
        <v>4425</v>
      </c>
      <c r="K1541" s="0" t="n">
        <f aca="false">IF(M1541=2,"",IF(ISNUMBER(SEARCH("rata-rata:",'Offshore - Melbourne'!N87)),VALUE(MID('Offshore - Melbourne'!N87,SEARCH("rata-rata:",'Offshore - Melbourne'!N87)+11,FIND(";",'Offshore - Melbourne'!N87&amp;";",SEARCH("rata-rata:",'Offshore - Melbourne'!N87))-SEARCH("rata-rata:",'Offshore - Melbourne'!N87)-11)),IF('Offshore - Melbourne'!D87="Semester",'Offshore - Melbourne'!E87*2,IF('Offshore - Melbourne'!D87="Trimester",'Offshore - Melbourne'!E87*3,IF('Offshore - Melbourne'!D87="Term",'Offshore - Melbourne'!E87*4,IF('Offshore - Melbourne'!D87="Unit",'Offshore - Melbourne'!E87*8,""))))))</f>
        <v>23400</v>
      </c>
      <c r="L1541" s="0" t="n">
        <f aca="false">IF(AND(ISNUMBER('Offshore - Melbourne'!E87),ISNUMBER(K1541),ISNUMBER('Offshore - Melbourne'!F87),ISNUMBER('Offshore - Melbourne'!G87),OR('Offshore - Melbourne'!F87&lt;&gt;0,ISNUMBER(SEARCH("Material 0 terverifikasi",'Offshore - Melbourne'!N87))),OR('Offshore - Melbourne'!G87&lt;&gt;0,ISNUMBER(SEARCH("Enrolment 0 terverifikasi",'Offshore - Melbourne'!N87)))),1,0)</f>
        <v>0</v>
      </c>
      <c r="M1541" s="0" t="n">
        <f aca="false">IF(OR('Offshore - Melbourne'!E87="",ISNUMBER(SEARCH("BSB80120",'Offshore - Melbourne'!B87&amp;'Offshore - Melbourne'!N87)),ISNUMBER(SEARCH("Management (Learning)",'Offshore - Melbourne'!B87))),2,IF(ISNUMBER(SEARCH("CEK:",'Offshore - Melbourne'!N87)),1,0))</f>
        <v>0</v>
      </c>
    </row>
    <row r="1542" customFormat="false" ht="15" hidden="false" customHeight="false" outlineLevel="0" collapsed="false">
      <c r="A1542" s="63" t="s">
        <v>3544</v>
      </c>
      <c r="B1542" s="64" t="s">
        <v>4374</v>
      </c>
      <c r="C1542" s="63" t="s">
        <v>46</v>
      </c>
      <c r="D1542" s="64" t="str">
        <f aca="false">TRIM(LEFT('Offshore - Melbourne'!A443,FIND(CHAR(10),'Offshore - Melbourne'!A443&amp;CHAR(10))-1))</f>
        <v>Torrens University Australia</v>
      </c>
      <c r="E1542" s="63" t="str">
        <f aca="false">'Offshore - Melbourne'!C462&amp;""</f>
        <v>1,5 years</v>
      </c>
      <c r="F1542" s="63" t="str">
        <f aca="false">IF('Offshore - Melbourne'!D462="","Belum tercatat",'Offshore - Melbourne'!D462)</f>
        <v>Term</v>
      </c>
      <c r="G1542" s="65" t="n">
        <f aca="false">IF('Offshore - Melbourne'!E462="","-",'Offshore - Melbourne'!E462)</f>
        <v>9000</v>
      </c>
      <c r="H1542" s="63" t="n">
        <f aca="false">IF(ISNUMBER(K1542),COUNTIFS($J$6:$J$1854,J1542,$K$6:$K$1854,"&lt;"&amp;K1542)+1,"-")</f>
        <v>9</v>
      </c>
      <c r="I1542" s="64" t="str">
        <f aca="false">IF('Offshore - Melbourne'!E462="","Harga belum tersedia - hubungi konsultan TEG",IF(M1542=2,"Saat ini tidak menerima pendaftaran siswa internasional baru",IF(M1542=1,"Harga perlu dikonfirmasi ke sekolah"&amp;IF(""="","","; "&amp;""),"")))</f>
        <v/>
      </c>
      <c r="J1542" s="0" t="s">
        <v>4425</v>
      </c>
      <c r="K1542" s="0" t="n">
        <f aca="false">IF(M1542=2,"",IF(ISNUMBER(SEARCH("rata-rata:",'Offshore - Melbourne'!N462)),VALUE(MID('Offshore - Melbourne'!N462,SEARCH("rata-rata:",'Offshore - Melbourne'!N462)+11,FIND(";",'Offshore - Melbourne'!N462&amp;";",SEARCH("rata-rata:",'Offshore - Melbourne'!N462))-SEARCH("rata-rata:",'Offshore - Melbourne'!N462)-11)),IF('Offshore - Melbourne'!D462="Semester",'Offshore - Melbourne'!E462*2,IF('Offshore - Melbourne'!D462="Trimester",'Offshore - Melbourne'!E462*3,IF('Offshore - Melbourne'!D462="Term",'Offshore - Melbourne'!E462*4,IF('Offshore - Melbourne'!D462="Unit",'Offshore - Melbourne'!E462*8,""))))))</f>
        <v>36000</v>
      </c>
      <c r="L1542" s="0" t="n">
        <f aca="false">IF(AND(ISNUMBER('Offshore - Melbourne'!E462),ISNUMBER(K1542),ISNUMBER('Offshore - Melbourne'!F462),ISNUMBER('Offshore - Melbourne'!G462),OR('Offshore - Melbourne'!F462&lt;&gt;0,ISNUMBER(SEARCH("Material 0 terverifikasi",'Offshore - Melbourne'!N462))),OR('Offshore - Melbourne'!G462&lt;&gt;0,ISNUMBER(SEARCH("Enrolment 0 terverifikasi",'Offshore - Melbourne'!N462)))),1,0)</f>
        <v>0</v>
      </c>
      <c r="M1542" s="0" t="n">
        <f aca="false">IF(OR('Offshore - Melbourne'!E462="",ISNUMBER(SEARCH("BSB80120",'Offshore - Melbourne'!B462&amp;'Offshore - Melbourne'!N462)),ISNUMBER(SEARCH("Management (Learning)",'Offshore - Melbourne'!B462))),2,IF(ISNUMBER(SEARCH("CEK:",'Offshore - Melbourne'!N462)),1,0))</f>
        <v>0</v>
      </c>
    </row>
    <row r="1543" customFormat="false" ht="15" hidden="false" customHeight="false" outlineLevel="0" collapsed="false">
      <c r="A1543" s="63" t="s">
        <v>3544</v>
      </c>
      <c r="B1543" s="64" t="s">
        <v>4374</v>
      </c>
      <c r="C1543" s="63" t="s">
        <v>46</v>
      </c>
      <c r="D1543" s="64" t="str">
        <f aca="false">TRIM(LEFT('Offshore - Melbourne'!A95,FIND(CHAR(10),'Offshore - Melbourne'!A95&amp;CHAR(10))-1))</f>
        <v>Australian Catholic University (ACU)</v>
      </c>
      <c r="E1543" s="63" t="str">
        <f aca="false">'Offshore - Melbourne'!C122&amp;""</f>
        <v>2 years</v>
      </c>
      <c r="F1543" s="63" t="str">
        <f aca="false">IF('Offshore - Melbourne'!D122="","Belum tercatat",'Offshore - Melbourne'!D122)</f>
        <v>Term</v>
      </c>
      <c r="G1543" s="65" t="n">
        <f aca="false">IF('Offshore - Melbourne'!E122="","-",'Offshore - Melbourne'!E122)</f>
        <v>9524</v>
      </c>
      <c r="H1543" s="63" t="n">
        <f aca="false">IF(ISNUMBER(K1543),COUNTIFS($J$6:$J$1854,J1543,$K$6:$K$1854,"&lt;"&amp;K1543)+1,"-")</f>
        <v>10</v>
      </c>
      <c r="I1543" s="64" t="str">
        <f aca="false">IF('Offshore - Melbourne'!E122="","Harga belum tersedia - hubungi konsultan TEG",IF(M1543=2,"Saat ini tidak menerima pendaftaran siswa internasional baru",IF(M1543=1,"Harga perlu dikonfirmasi ke sekolah"&amp;IF(""="","","; "&amp;""),"")))</f>
        <v/>
      </c>
      <c r="J1543" s="0" t="s">
        <v>4425</v>
      </c>
      <c r="K1543" s="0" t="n">
        <f aca="false">IF(M1543=2,"",IF(ISNUMBER(SEARCH("rata-rata:",'Offshore - Melbourne'!N122)),VALUE(MID('Offshore - Melbourne'!N122,SEARCH("rata-rata:",'Offshore - Melbourne'!N122)+11,FIND(";",'Offshore - Melbourne'!N122&amp;";",SEARCH("rata-rata:",'Offshore - Melbourne'!N122))-SEARCH("rata-rata:",'Offshore - Melbourne'!N122)-11)),IF('Offshore - Melbourne'!D122="Semester",'Offshore - Melbourne'!E122*2,IF('Offshore - Melbourne'!D122="Trimester",'Offshore - Melbourne'!E122*3,IF('Offshore - Melbourne'!D122="Term",'Offshore - Melbourne'!E122*4,IF('Offshore - Melbourne'!D122="Unit",'Offshore - Melbourne'!E122*8,""))))))</f>
        <v>38096</v>
      </c>
      <c r="L1543" s="0" t="n">
        <f aca="false">IF(AND(ISNUMBER('Offshore - Melbourne'!E122),ISNUMBER(K1543),ISNUMBER('Offshore - Melbourne'!F122),ISNUMBER('Offshore - Melbourne'!G122),OR('Offshore - Melbourne'!F122&lt;&gt;0,ISNUMBER(SEARCH("Material 0 terverifikasi",'Offshore - Melbourne'!N122))),OR('Offshore - Melbourne'!G122&lt;&gt;0,ISNUMBER(SEARCH("Enrolment 0 terverifikasi",'Offshore - Melbourne'!N122)))),1,0)</f>
        <v>0</v>
      </c>
      <c r="M1543" s="0" t="n">
        <f aca="false">IF(OR('Offshore - Melbourne'!E122="",ISNUMBER(SEARCH("BSB80120",'Offshore - Melbourne'!B122&amp;'Offshore - Melbourne'!N122)),ISNUMBER(SEARCH("Management (Learning)",'Offshore - Melbourne'!B122))),2,IF(ISNUMBER(SEARCH("CEK:",'Offshore - Melbourne'!N122)),1,0))</f>
        <v>0</v>
      </c>
    </row>
    <row r="1544" customFormat="false" ht="15" hidden="false" customHeight="false" outlineLevel="0" collapsed="false">
      <c r="A1544" s="63" t="s">
        <v>3544</v>
      </c>
      <c r="B1544" s="64" t="s">
        <v>4374</v>
      </c>
      <c r="C1544" s="63" t="s">
        <v>46</v>
      </c>
      <c r="D1544" s="64" t="str">
        <f aca="false">TRIM(LEFT('Offshore - Melbourne'!A547,FIND(CHAR(10),'Offshore - Melbourne'!A547&amp;CHAR(10))-1))</f>
        <v>University of Tasmania (UTAS)</v>
      </c>
      <c r="E1544" s="63" t="str">
        <f aca="false">'Offshore - Melbourne'!C550&amp;""</f>
        <v>2 years</v>
      </c>
      <c r="F1544" s="63" t="str">
        <f aca="false">IF('Offshore - Melbourne'!D550="","Belum tercatat",'Offshore - Melbourne'!D550)</f>
        <v>Term</v>
      </c>
      <c r="G1544" s="65" t="n">
        <f aca="false">IF('Offshore - Melbourne'!E550="","-",'Offshore - Melbourne'!E550)</f>
        <v>9987.5</v>
      </c>
      <c r="H1544" s="63" t="n">
        <f aca="false">IF(ISNUMBER(K1544),COUNTIFS($J$6:$J$1854,J1544,$K$6:$K$1854,"&lt;"&amp;K1544)+1,"-")</f>
        <v>11</v>
      </c>
      <c r="I1544" s="64" t="str">
        <f aca="false">IF('Offshore - Melbourne'!E550="","Harga belum tersedia - hubungi konsultan TEG",IF(M1544=2,"Saat ini tidak menerima pendaftaran siswa internasional baru",IF(M1544=1,"Harga perlu dikonfirmasi ke sekolah"&amp;IF(""="","","; "&amp;""),"")))</f>
        <v/>
      </c>
      <c r="J1544" s="0" t="s">
        <v>4425</v>
      </c>
      <c r="K1544" s="0" t="n">
        <f aca="false">IF(M1544=2,"",IF(ISNUMBER(SEARCH("rata-rata:",'Offshore - Melbourne'!N550)),VALUE(MID('Offshore - Melbourne'!N550,SEARCH("rata-rata:",'Offshore - Melbourne'!N550)+11,FIND(";",'Offshore - Melbourne'!N550&amp;";",SEARCH("rata-rata:",'Offshore - Melbourne'!N550))-SEARCH("rata-rata:",'Offshore - Melbourne'!N550)-11)),IF('Offshore - Melbourne'!D550="Semester",'Offshore - Melbourne'!E550*2,IF('Offshore - Melbourne'!D550="Trimester",'Offshore - Melbourne'!E550*3,IF('Offshore - Melbourne'!D550="Term",'Offshore - Melbourne'!E550*4,IF('Offshore - Melbourne'!D550="Unit",'Offshore - Melbourne'!E550*8,""))))))</f>
        <v>39950</v>
      </c>
      <c r="L1544" s="0" t="n">
        <f aca="false">IF(AND(ISNUMBER('Offshore - Melbourne'!E550),ISNUMBER(K1544),ISNUMBER('Offshore - Melbourne'!F550),ISNUMBER('Offshore - Melbourne'!G550),OR('Offshore - Melbourne'!F550&lt;&gt;0,ISNUMBER(SEARCH("Material 0 terverifikasi",'Offshore - Melbourne'!N550))),OR('Offshore - Melbourne'!G550&lt;&gt;0,ISNUMBER(SEARCH("Enrolment 0 terverifikasi",'Offshore - Melbourne'!N550)))),1,0)</f>
        <v>0</v>
      </c>
      <c r="M1544" s="0" t="n">
        <f aca="false">IF(OR('Offshore - Melbourne'!E550="",ISNUMBER(SEARCH("BSB80120",'Offshore - Melbourne'!B550&amp;'Offshore - Melbourne'!N550)),ISNUMBER(SEARCH("Management (Learning)",'Offshore - Melbourne'!B550))),2,IF(ISNUMBER(SEARCH("CEK:",'Offshore - Melbourne'!N550)),1,0))</f>
        <v>0</v>
      </c>
    </row>
    <row r="1545" customFormat="false" ht="15" hidden="false" customHeight="false" outlineLevel="0" collapsed="false">
      <c r="A1545" s="63" t="s">
        <v>3544</v>
      </c>
      <c r="B1545" s="64" t="s">
        <v>4374</v>
      </c>
      <c r="C1545" s="63" t="s">
        <v>46</v>
      </c>
      <c r="D1545" s="64" t="str">
        <f aca="false">TRIM(LEFT('Offshore - Melbourne'!A290,FIND(CHAR(10),'Offshore - Melbourne'!A290&amp;CHAR(10))-1))</f>
        <v>Kaplan Business School</v>
      </c>
      <c r="E1545" s="63" t="str">
        <f aca="false">'Offshore - Melbourne'!C298&amp;""</f>
        <v>1,5 years</v>
      </c>
      <c r="F1545" s="63" t="str">
        <f aca="false">IF('Offshore - Melbourne'!D298="","Belum tercatat",'Offshore - Melbourne'!D298)</f>
        <v>Trimester</v>
      </c>
      <c r="G1545" s="65" t="n">
        <f aca="false">IF('Offshore - Melbourne'!E298="","-",'Offshore - Melbourne'!E298)</f>
        <v>13600</v>
      </c>
      <c r="H1545" s="63" t="n">
        <f aca="false">IF(ISNUMBER(K1545),COUNTIFS($J$6:$J$1854,J1545,$K$6:$K$1854,"&lt;"&amp;K1545)+1,"-")</f>
        <v>12</v>
      </c>
      <c r="I1545" s="64" t="str">
        <f aca="false">IF('Offshore - Melbourne'!E298="","Harga belum tersedia - hubungi konsultan TEG",IF(M1545=2,"Saat ini tidak menerima pendaftaran siswa internasional baru",IF(M1545=1,"Harga perlu dikonfirmasi ke sekolah"&amp;IF(""="","","; "&amp;""),"")))</f>
        <v>Harga perlu dikonfirmasi ke sekolah</v>
      </c>
      <c r="J1545" s="0" t="s">
        <v>4425</v>
      </c>
      <c r="K1545" s="0" t="n">
        <f aca="false">IF(M1545=2,"",IF(ISNUMBER(SEARCH("rata-rata:",'Offshore - Melbourne'!N298)),VALUE(MID('Offshore - Melbourne'!N298,SEARCH("rata-rata:",'Offshore - Melbourne'!N298)+11,FIND(";",'Offshore - Melbourne'!N298&amp;";",SEARCH("rata-rata:",'Offshore - Melbourne'!N298))-SEARCH("rata-rata:",'Offshore - Melbourne'!N298)-11)),IF('Offshore - Melbourne'!D298="Semester",'Offshore - Melbourne'!E298*2,IF('Offshore - Melbourne'!D298="Trimester",'Offshore - Melbourne'!E298*3,IF('Offshore - Melbourne'!D298="Term",'Offshore - Melbourne'!E298*4,IF('Offshore - Melbourne'!D298="Unit",'Offshore - Melbourne'!E298*8,""))))))</f>
        <v>40800</v>
      </c>
      <c r="L1545" s="0" t="n">
        <f aca="false">IF(AND(ISNUMBER('Offshore - Melbourne'!E298),ISNUMBER(K1545),ISNUMBER('Offshore - Melbourne'!F298),ISNUMBER('Offshore - Melbourne'!G298),OR('Offshore - Melbourne'!F298&lt;&gt;0,ISNUMBER(SEARCH("Material 0 terverifikasi",'Offshore - Melbourne'!N298))),OR('Offshore - Melbourne'!G298&lt;&gt;0,ISNUMBER(SEARCH("Enrolment 0 terverifikasi",'Offshore - Melbourne'!N298)))),1,0)</f>
        <v>1</v>
      </c>
      <c r="M1545" s="0" t="n">
        <f aca="false">IF(OR('Offshore - Melbourne'!E298="",ISNUMBER(SEARCH("BSB80120",'Offshore - Melbourne'!B298&amp;'Offshore - Melbourne'!N298)),ISNUMBER(SEARCH("Management (Learning)",'Offshore - Melbourne'!B298))),2,IF(ISNUMBER(SEARCH("CEK:",'Offshore - Melbourne'!N298)),1,0))</f>
        <v>1</v>
      </c>
    </row>
    <row r="1546" customFormat="false" ht="15" hidden="false" customHeight="false" outlineLevel="0" collapsed="false">
      <c r="A1546" s="63" t="s">
        <v>3544</v>
      </c>
      <c r="B1546" s="64" t="s">
        <v>4374</v>
      </c>
      <c r="C1546" s="63" t="s">
        <v>46</v>
      </c>
      <c r="D1546" s="64" t="str">
        <f aca="false">TRIM(LEFT('Offshore - Melbourne'!A305,FIND(CHAR(10),'Offshore - Melbourne'!A305&amp;CHAR(10))-1))</f>
        <v>Kent Institute Australia</v>
      </c>
      <c r="E1546" s="63" t="str">
        <f aca="false">'Offshore - Melbourne'!C320&amp;""</f>
        <v>2 years</v>
      </c>
      <c r="F1546" s="63" t="str">
        <f aca="false">IF('Offshore - Melbourne'!D320="","Belum tercatat",'Offshore - Melbourne'!D320)</f>
        <v>Trimester</v>
      </c>
      <c r="G1546" s="65" t="str">
        <f aca="false">IF('Offshore - Melbourne'!E320="","-",'Offshore - Melbourne'!E320)</f>
        <v>-</v>
      </c>
      <c r="H1546" s="63" t="str">
        <f aca="false">IF(ISNUMBER(K1546),COUNTIFS($J$6:$J$1854,J1546,$K$6:$K$1854,"&lt;"&amp;K1546)+1,"-")</f>
        <v>-</v>
      </c>
      <c r="I1546" s="64" t="str">
        <f aca="false">IF('Offshore - Melbourne'!E320="","Harga belum tersedia - hubungi konsultan TEG",IF(M1546=2,"Saat ini tidak menerima pendaftaran siswa internasional baru",IF(M1546=1,"Harga perlu dikonfirmasi ke sekolah"&amp;IF(""="","","; "&amp;""),"")))</f>
        <v>Harga belum tersedia - hubungi konsultan TEG</v>
      </c>
      <c r="J1546" s="0" t="s">
        <v>4425</v>
      </c>
      <c r="K1546" s="0" t="str">
        <f aca="false">IF(M1546=2,"",IF(ISNUMBER(SEARCH("rata-rata:",'Offshore - Melbourne'!N320)),VALUE(MID('Offshore - Melbourne'!N320,SEARCH("rata-rata:",'Offshore - Melbourne'!N320)+11,FIND(";",'Offshore - Melbourne'!N320&amp;";",SEARCH("rata-rata:",'Offshore - Melbourne'!N320))-SEARCH("rata-rata:",'Offshore - Melbourne'!N320)-11)),IF('Offshore - Melbourne'!D320="Semester",'Offshore - Melbourne'!E320*2,IF('Offshore - Melbourne'!D320="Trimester",'Offshore - Melbourne'!E320*3,IF('Offshore - Melbourne'!D320="Term",'Offshore - Melbourne'!E320*4,IF('Offshore - Melbourne'!D320="Unit",'Offshore - Melbourne'!E320*8,""))))))</f>
        <v/>
      </c>
      <c r="L1546" s="0" t="n">
        <f aca="false">IF(AND(ISNUMBER('Offshore - Melbourne'!E320),ISNUMBER(K1546),ISNUMBER('Offshore - Melbourne'!F320),ISNUMBER('Offshore - Melbourne'!G320),OR('Offshore - Melbourne'!F320&lt;&gt;0,ISNUMBER(SEARCH("Material 0 terverifikasi",'Offshore - Melbourne'!N320))),OR('Offshore - Melbourne'!G320&lt;&gt;0,ISNUMBER(SEARCH("Enrolment 0 terverifikasi",'Offshore - Melbourne'!N320)))),1,0)</f>
        <v>0</v>
      </c>
      <c r="M1546" s="0" t="n">
        <f aca="false">IF(OR('Offshore - Melbourne'!E320="",ISNUMBER(SEARCH("BSB80120",'Offshore - Melbourne'!B320&amp;'Offshore - Melbourne'!N320)),ISNUMBER(SEARCH("Management (Learning)",'Offshore - Melbourne'!B320))),2,IF(ISNUMBER(SEARCH("CEK:",'Offshore - Melbourne'!N320)),1,0))</f>
        <v>2</v>
      </c>
    </row>
    <row r="1547" customFormat="false" ht="15" hidden="false" customHeight="false" outlineLevel="0" collapsed="false">
      <c r="A1547" s="61" t="s">
        <v>4426</v>
      </c>
      <c r="B1547" s="62"/>
      <c r="C1547" s="62"/>
      <c r="D1547" s="62"/>
      <c r="E1547" s="62"/>
      <c r="F1547" s="62"/>
      <c r="G1547" s="62"/>
      <c r="H1547" s="62"/>
      <c r="I1547" s="62"/>
    </row>
    <row r="1548" customFormat="false" ht="15" hidden="false" customHeight="false" outlineLevel="0" collapsed="false">
      <c r="A1548" s="63" t="s">
        <v>3573</v>
      </c>
      <c r="B1548" s="64" t="s">
        <v>4374</v>
      </c>
      <c r="C1548" s="63" t="s">
        <v>41</v>
      </c>
      <c r="D1548" s="64" t="str">
        <f aca="false">TRIM(LEFT('Offshore - Perth'!A35,FIND(CHAR(10),'Offshore - Perth'!A35&amp;CHAR(10))-1))</f>
        <v>Baxter Institute</v>
      </c>
      <c r="E1548" s="63" t="str">
        <f aca="false">'Offshore - Perth'!C40&amp;""</f>
        <v>1 year</v>
      </c>
      <c r="F1548" s="63" t="str">
        <f aca="false">IF('Offshore - Perth'!D40="","Belum tercatat",'Offshore - Perth'!D40)</f>
        <v>Term</v>
      </c>
      <c r="G1548" s="65" t="n">
        <f aca="false">IF('Offshore - Perth'!E40="","-",'Offshore - Perth'!E40)</f>
        <v>3500</v>
      </c>
      <c r="H1548" s="63" t="n">
        <f aca="false">IF(ISNUMBER(K1548),COUNTIFS($J$6:$J$1854,J1548,$K$6:$K$1854,"&lt;"&amp;K1548)+1,"-")</f>
        <v>1</v>
      </c>
      <c r="I1548" s="64" t="str">
        <f aca="false">IF('Offshore - Perth'!E40="","Harga belum tersedia - hubungi konsultan TEG",IF(M1548=2,"Saat ini tidak menerima pendaftaran siswa internasional baru",IF(M1548=1,"Harga perlu dikonfirmasi ke sekolah"&amp;IF(""="","","; "&amp;""),"")))</f>
        <v/>
      </c>
      <c r="J1548" s="0" t="s">
        <v>4427</v>
      </c>
      <c r="K1548" s="0" t="n">
        <f aca="false">IF(M1548=2,"",IF(ISNUMBER(SEARCH("rata-rata:",'Offshore - Perth'!N40)),VALUE(MID('Offshore - Perth'!N40,SEARCH("rata-rata:",'Offshore - Perth'!N40)+11,FIND(";",'Offshore - Perth'!N40&amp;";",SEARCH("rata-rata:",'Offshore - Perth'!N40))-SEARCH("rata-rata:",'Offshore - Perth'!N40)-11)),IF('Offshore - Perth'!D40="Semester",'Offshore - Perth'!E40*2,IF('Offshore - Perth'!D40="Trimester",'Offshore - Perth'!E40*3,IF('Offshore - Perth'!D40="Term",'Offshore - Perth'!E40*4,IF('Offshore - Perth'!D40="Unit",'Offshore - Perth'!E40*8,""))))))</f>
        <v>14000</v>
      </c>
      <c r="L1548" s="0" t="n">
        <f aca="false">IF(AND(ISNUMBER('Offshore - Perth'!E40),ISNUMBER(K1548),ISNUMBER('Offshore - Perth'!F40),ISNUMBER('Offshore - Perth'!G40),OR('Offshore - Perth'!F40&lt;&gt;0,ISNUMBER(SEARCH("Material 0 terverifikasi",'Offshore - Perth'!N40))),OR('Offshore - Perth'!G40&lt;&gt;0,ISNUMBER(SEARCH("Enrolment 0 terverifikasi",'Offshore - Perth'!N40)))),1,0)</f>
        <v>1</v>
      </c>
      <c r="M1548" s="0" t="n">
        <f aca="false">IF(OR('Offshore - Perth'!E40="",ISNUMBER(SEARCH("BSB80120",'Offshore - Perth'!B40&amp;'Offshore - Perth'!N40)),ISNUMBER(SEARCH("Management (Learning)",'Offshore - Perth'!B40))),2,IF(ISNUMBER(SEARCH("CEK:",'Offshore - Perth'!N40)),1,0))</f>
        <v>0</v>
      </c>
    </row>
    <row r="1549" customFormat="false" ht="28.35" hidden="false" customHeight="false" outlineLevel="0" collapsed="false">
      <c r="A1549" s="63" t="s">
        <v>3573</v>
      </c>
      <c r="B1549" s="64" t="s">
        <v>4374</v>
      </c>
      <c r="C1549" s="63" t="s">
        <v>41</v>
      </c>
      <c r="D1549" s="64" t="str">
        <f aca="false">TRIM(LEFT('Offshore - Perth'!A88,FIND(CHAR(10),'Offshore - Perth'!A88&amp;CHAR(10))-1))</f>
        <v>International Institute of Business and Technology (IIBT)</v>
      </c>
      <c r="E1549" s="63" t="str">
        <f aca="false">'Offshore - Perth'!C89&amp;""</f>
        <v>1 year</v>
      </c>
      <c r="F1549" s="63" t="str">
        <f aca="false">IF('Offshore - Perth'!D89="","Belum tercatat",'Offshore - Perth'!D89)</f>
        <v>Term</v>
      </c>
      <c r="G1549" s="65" t="n">
        <f aca="false">IF('Offshore - Perth'!E89="","-",'Offshore - Perth'!E89)</f>
        <v>3750</v>
      </c>
      <c r="H1549" s="63" t="n">
        <f aca="false">IF(ISNUMBER(K1549),COUNTIFS($J$6:$J$1854,J1549,$K$6:$K$1854,"&lt;"&amp;K1549)+1,"-")</f>
        <v>2</v>
      </c>
      <c r="I1549" s="64" t="str">
        <f aca="false">IF('Offshore - Perth'!E89="","Harga belum tersedia - hubungi konsultan TEG",IF(M1549=2,"Saat ini tidak menerima pendaftaran siswa internasional baru",IF(M1549=1,"Harga perlu dikonfirmasi ke sekolah"&amp;IF(""="","","; "&amp;""),"")))</f>
        <v/>
      </c>
      <c r="J1549" s="0" t="s">
        <v>4427</v>
      </c>
      <c r="K1549" s="0" t="n">
        <f aca="false">IF(M1549=2,"",IF(ISNUMBER(SEARCH("rata-rata:",'Offshore - Perth'!N89)),VALUE(MID('Offshore - Perth'!N89,SEARCH("rata-rata:",'Offshore - Perth'!N89)+11,FIND(";",'Offshore - Perth'!N89&amp;";",SEARCH("rata-rata:",'Offshore - Perth'!N89))-SEARCH("rata-rata:",'Offshore - Perth'!N89)-11)),IF('Offshore - Perth'!D89="Semester",'Offshore - Perth'!E89*2,IF('Offshore - Perth'!D89="Trimester",'Offshore - Perth'!E89*3,IF('Offshore - Perth'!D89="Term",'Offshore - Perth'!E89*4,IF('Offshore - Perth'!D89="Unit",'Offshore - Perth'!E89*8,""))))))</f>
        <v>15000</v>
      </c>
      <c r="L1549" s="0" t="n">
        <f aca="false">IF(AND(ISNUMBER('Offshore - Perth'!E89),ISNUMBER(K1549),ISNUMBER('Offshore - Perth'!F89),ISNUMBER('Offshore - Perth'!G89),OR('Offshore - Perth'!F89&lt;&gt;0,ISNUMBER(SEARCH("Material 0 terverifikasi",'Offshore - Perth'!N89))),OR('Offshore - Perth'!G89&lt;&gt;0,ISNUMBER(SEARCH("Enrolment 0 terverifikasi",'Offshore - Perth'!N89)))),1,0)</f>
        <v>1</v>
      </c>
      <c r="M1549" s="0" t="n">
        <f aca="false">IF(OR('Offshore - Perth'!E89="",ISNUMBER(SEARCH("BSB80120",'Offshore - Perth'!B89&amp;'Offshore - Perth'!N89)),ISNUMBER(SEARCH("Management (Learning)",'Offshore - Perth'!B89))),2,IF(ISNUMBER(SEARCH("CEK:",'Offshore - Perth'!N89)),1,0))</f>
        <v>0</v>
      </c>
    </row>
    <row r="1550" customFormat="false" ht="15" hidden="false" customHeight="false" outlineLevel="0" collapsed="false">
      <c r="A1550" s="61" t="s">
        <v>4428</v>
      </c>
      <c r="B1550" s="62"/>
      <c r="C1550" s="62"/>
      <c r="D1550" s="62"/>
      <c r="E1550" s="62"/>
      <c r="F1550" s="62"/>
      <c r="G1550" s="62"/>
      <c r="H1550" s="62"/>
      <c r="I1550" s="62"/>
    </row>
    <row r="1551" customFormat="false" ht="15" hidden="false" customHeight="false" outlineLevel="0" collapsed="false">
      <c r="A1551" s="63" t="s">
        <v>3573</v>
      </c>
      <c r="B1551" s="64" t="s">
        <v>4374</v>
      </c>
      <c r="C1551" s="63" t="s">
        <v>42</v>
      </c>
      <c r="D1551" s="64" t="str">
        <f aca="false">TRIM(LEFT('Offshore - Perth'!A135,FIND(CHAR(10),'Offshore - Perth'!A135&amp;CHAR(10))-1))</f>
        <v>Skills Institute Australia</v>
      </c>
      <c r="E1551" s="63" t="str">
        <f aca="false">'Offshore - Perth'!C144&amp;""</f>
        <v>2 years</v>
      </c>
      <c r="F1551" s="63" t="str">
        <f aca="false">IF('Offshore - Perth'!D144="","Belum tercatat",'Offshore - Perth'!D144)</f>
        <v>Term</v>
      </c>
      <c r="G1551" s="65" t="n">
        <f aca="false">IF('Offshore - Perth'!E144="","-",'Offshore - Perth'!E144)</f>
        <v>3250</v>
      </c>
      <c r="H1551" s="63" t="n">
        <f aca="false">IF(ISNUMBER(K1551),COUNTIFS($J$6:$J$1854,J1551,$K$6:$K$1854,"&lt;"&amp;K1551)+1,"-")</f>
        <v>1</v>
      </c>
      <c r="I1551" s="64" t="str">
        <f aca="false">IF('Offshore - Perth'!E144="","Harga belum tersedia - hubungi konsultan TEG",IF(M1551=2,"Saat ini tidak menerima pendaftaran siswa internasional baru",IF(M1551=1,"Harga perlu dikonfirmasi ke sekolah"&amp;IF(""="","","; "&amp;""),"")))</f>
        <v/>
      </c>
      <c r="J1551" s="0" t="s">
        <v>4429</v>
      </c>
      <c r="K1551" s="0" t="n">
        <f aca="false">IF(M1551=2,"",IF(ISNUMBER(SEARCH("rata-rata:",'Offshore - Perth'!N144)),VALUE(MID('Offshore - Perth'!N144,SEARCH("rata-rata:",'Offshore - Perth'!N144)+11,FIND(";",'Offshore - Perth'!N144&amp;";",SEARCH("rata-rata:",'Offshore - Perth'!N144))-SEARCH("rata-rata:",'Offshore - Perth'!N144)-11)),IF('Offshore - Perth'!D144="Semester",'Offshore - Perth'!E144*2,IF('Offshore - Perth'!D144="Trimester",'Offshore - Perth'!E144*3,IF('Offshore - Perth'!D144="Term",'Offshore - Perth'!E144*4,IF('Offshore - Perth'!D144="Unit",'Offshore - Perth'!E144*8,""))))))</f>
        <v>13000</v>
      </c>
      <c r="L1551" s="0" t="n">
        <f aca="false">IF(AND(ISNUMBER('Offshore - Perth'!E144),ISNUMBER(K1551),ISNUMBER('Offshore - Perth'!F144),ISNUMBER('Offshore - Perth'!G144),OR('Offshore - Perth'!F144&lt;&gt;0,ISNUMBER(SEARCH("Material 0 terverifikasi",'Offshore - Perth'!N144))),OR('Offshore - Perth'!G144&lt;&gt;0,ISNUMBER(SEARCH("Enrolment 0 terverifikasi",'Offshore - Perth'!N144)))),1,0)</f>
        <v>1</v>
      </c>
      <c r="M1551" s="0" t="n">
        <f aca="false">IF(OR('Offshore - Perth'!E144="",ISNUMBER(SEARCH("BSB80120",'Offshore - Perth'!B144&amp;'Offshore - Perth'!N144)),ISNUMBER(SEARCH("Management (Learning)",'Offshore - Perth'!B144))),2,IF(ISNUMBER(SEARCH("CEK:",'Offshore - Perth'!N144)),1,0))</f>
        <v>0</v>
      </c>
    </row>
    <row r="1552" customFormat="false" ht="15" hidden="false" customHeight="false" outlineLevel="0" collapsed="false">
      <c r="A1552" s="63" t="s">
        <v>3573</v>
      </c>
      <c r="B1552" s="64" t="s">
        <v>4374</v>
      </c>
      <c r="C1552" s="63" t="s">
        <v>42</v>
      </c>
      <c r="D1552" s="64" t="str">
        <f aca="false">TRIM(LEFT('Offshore - Perth'!A35,FIND(CHAR(10),'Offshore - Perth'!A35&amp;CHAR(10))-1))</f>
        <v>Baxter Institute</v>
      </c>
      <c r="E1552" s="63" t="str">
        <f aca="false">'Offshore - Perth'!C39&amp;""</f>
        <v>2 years</v>
      </c>
      <c r="F1552" s="63" t="str">
        <f aca="false">IF('Offshore - Perth'!D39="","Belum tercatat",'Offshore - Perth'!D39)</f>
        <v>Term</v>
      </c>
      <c r="G1552" s="65" t="n">
        <f aca="false">IF('Offshore - Perth'!E39="","-",'Offshore - Perth'!E39)</f>
        <v>3750</v>
      </c>
      <c r="H1552" s="63" t="n">
        <f aca="false">IF(ISNUMBER(K1552),COUNTIFS($J$6:$J$1854,J1552,$K$6:$K$1854,"&lt;"&amp;K1552)+1,"-")</f>
        <v>2</v>
      </c>
      <c r="I1552" s="64" t="str">
        <f aca="false">IF('Offshore - Perth'!E39="","Harga belum tersedia - hubungi konsultan TEG",IF(M1552=2,"Saat ini tidak menerima pendaftaran siswa internasional baru",IF(M1552=1,"Harga perlu dikonfirmasi ke sekolah"&amp;IF(""="","","; "&amp;""),"")))</f>
        <v/>
      </c>
      <c r="J1552" s="0" t="s">
        <v>4429</v>
      </c>
      <c r="K1552" s="0" t="n">
        <f aca="false">IF(M1552=2,"",IF(ISNUMBER(SEARCH("rata-rata:",'Offshore - Perth'!N39)),VALUE(MID('Offshore - Perth'!N39,SEARCH("rata-rata:",'Offshore - Perth'!N39)+11,FIND(";",'Offshore - Perth'!N39&amp;";",SEARCH("rata-rata:",'Offshore - Perth'!N39))-SEARCH("rata-rata:",'Offshore - Perth'!N39)-11)),IF('Offshore - Perth'!D39="Semester",'Offshore - Perth'!E39*2,IF('Offshore - Perth'!D39="Trimester",'Offshore - Perth'!E39*3,IF('Offshore - Perth'!D39="Term",'Offshore - Perth'!E39*4,IF('Offshore - Perth'!D39="Unit",'Offshore - Perth'!E39*8,""))))))</f>
        <v>15000</v>
      </c>
      <c r="L1552" s="0" t="n">
        <f aca="false">IF(AND(ISNUMBER('Offshore - Perth'!E39),ISNUMBER(K1552),ISNUMBER('Offshore - Perth'!F39),ISNUMBER('Offshore - Perth'!G39),OR('Offshore - Perth'!F39&lt;&gt;0,ISNUMBER(SEARCH("Material 0 terverifikasi",'Offshore - Perth'!N39))),OR('Offshore - Perth'!G39&lt;&gt;0,ISNUMBER(SEARCH("Enrolment 0 terverifikasi",'Offshore - Perth'!N39)))),1,0)</f>
        <v>1</v>
      </c>
      <c r="M1552" s="0" t="n">
        <f aca="false">IF(OR('Offshore - Perth'!E39="",ISNUMBER(SEARCH("BSB80120",'Offshore - Perth'!B39&amp;'Offshore - Perth'!N39)),ISNUMBER(SEARCH("Management (Learning)",'Offshore - Perth'!B39))),2,IF(ISNUMBER(SEARCH("CEK:",'Offshore - Perth'!N39)),1,0))</f>
        <v>0</v>
      </c>
    </row>
    <row r="1553" customFormat="false" ht="15" hidden="false" customHeight="false" outlineLevel="0" collapsed="false">
      <c r="A1553" s="61" t="s">
        <v>4430</v>
      </c>
      <c r="B1553" s="62"/>
      <c r="C1553" s="62"/>
      <c r="D1553" s="62"/>
      <c r="E1553" s="62"/>
      <c r="F1553" s="62"/>
      <c r="G1553" s="62"/>
      <c r="H1553" s="62"/>
      <c r="I1553" s="62"/>
    </row>
    <row r="1554" customFormat="false" ht="28.35" hidden="false" customHeight="false" outlineLevel="0" collapsed="false">
      <c r="A1554" s="63" t="s">
        <v>3573</v>
      </c>
      <c r="B1554" s="64" t="s">
        <v>4374</v>
      </c>
      <c r="C1554" s="63" t="s">
        <v>43</v>
      </c>
      <c r="D1554" s="64" t="str">
        <f aca="false">TRIM(LEFT('Offshore - Perth'!A85,FIND(CHAR(10),'Offshore - Perth'!A85&amp;CHAR(10))-1))</f>
        <v>Greenwich Higher Education (Academy of Interactive Technology Pty Ltd)</v>
      </c>
      <c r="E1554" s="63" t="str">
        <f aca="false">'Offshore - Perth'!C85&amp;""</f>
        <v>3 years</v>
      </c>
      <c r="F1554" s="63" t="str">
        <f aca="false">IF('Offshore - Perth'!D85="","Belum tercatat",'Offshore - Perth'!D85)</f>
        <v>Term</v>
      </c>
      <c r="G1554" s="65" t="n">
        <f aca="false">IF('Offshore - Perth'!E85="","-",'Offshore - Perth'!E85)</f>
        <v>4025</v>
      </c>
      <c r="H1554" s="63" t="n">
        <f aca="false">IF(ISNUMBER(K1554),COUNTIFS($J$6:$J$1854,J1554,$K$6:$K$1854,"&lt;"&amp;K1554)+1,"-")</f>
        <v>1</v>
      </c>
      <c r="I1554" s="64" t="str">
        <f aca="false">IF('Offshore - Perth'!E85="","Harga belum tersedia - hubungi konsultan TEG",IF(M1554=2,"Saat ini tidak menerima pendaftaran siswa internasional baru",IF(M1554=1,"Program perlu dikonfirmasi ketersediaannya"&amp;IF(""="","","; "&amp;""),"")))</f>
        <v>Program perlu dikonfirmasi ketersediaannya</v>
      </c>
      <c r="J1554" s="0" t="s">
        <v>4431</v>
      </c>
      <c r="K1554" s="0" t="n">
        <f aca="false">IF(M1554=2,"",IF(ISNUMBER(SEARCH("rata-rata:",'Offshore - Perth'!N85)),VALUE(MID('Offshore - Perth'!N85,SEARCH("rata-rata:",'Offshore - Perth'!N85)+11,FIND(";",'Offshore - Perth'!N85&amp;";",SEARCH("rata-rata:",'Offshore - Perth'!N85))-SEARCH("rata-rata:",'Offshore - Perth'!N85)-11)),IF('Offshore - Perth'!D85="Semester",'Offshore - Perth'!E85*2,IF('Offshore - Perth'!D85="Trimester",'Offshore - Perth'!E85*3,IF('Offshore - Perth'!D85="Term",'Offshore - Perth'!E85*4,IF('Offshore - Perth'!D85="Unit",'Offshore - Perth'!E85*8,""))))))</f>
        <v>16100</v>
      </c>
      <c r="L1554" s="0" t="n">
        <f aca="false">IF(AND(ISNUMBER('Offshore - Perth'!E85),ISNUMBER(K1554),ISNUMBER('Offshore - Perth'!F85),ISNUMBER('Offshore - Perth'!G85),OR('Offshore - Perth'!F85&lt;&gt;0,ISNUMBER(SEARCH("Material 0 terverifikasi",'Offshore - Perth'!N85))),OR('Offshore - Perth'!G85&lt;&gt;0,ISNUMBER(SEARCH("Enrolment 0 terverifikasi",'Offshore - Perth'!N85)))),1,0)</f>
        <v>1</v>
      </c>
      <c r="M1554" s="0" t="n">
        <f aca="false">IF(OR('Offshore - Perth'!E85="",ISNUMBER(SEARCH("BSB80120",'Offshore - Perth'!B85&amp;'Offshore - Perth'!N85)),ISNUMBER(SEARCH("Management (Learning)",'Offshore - Perth'!B85))),2,IF(ISNUMBER(SEARCH("CEK:",'Offshore - Perth'!N85)),1,0))</f>
        <v>1</v>
      </c>
    </row>
    <row r="1555" customFormat="false" ht="15" hidden="false" customHeight="false" outlineLevel="0" collapsed="false">
      <c r="A1555" s="63" t="s">
        <v>3573</v>
      </c>
      <c r="B1555" s="64" t="s">
        <v>4374</v>
      </c>
      <c r="C1555" s="63" t="s">
        <v>43</v>
      </c>
      <c r="D1555" s="64" t="str">
        <f aca="false">TRIM(LEFT('Offshore - Perth'!A13,FIND(CHAR(10),'Offshore - Perth'!A13&amp;CHAR(10))-1))</f>
        <v>AIBI Higher Education</v>
      </c>
      <c r="E1555" s="63" t="str">
        <f aca="false">'Offshore - Perth'!C13&amp;""</f>
        <v>3 years</v>
      </c>
      <c r="F1555" s="63" t="str">
        <f aca="false">IF('Offshore - Perth'!D13="","Belum tercatat",'Offshore - Perth'!D13)</f>
        <v>Term</v>
      </c>
      <c r="G1555" s="65" t="n">
        <f aca="false">IF('Offshore - Perth'!E13="","-",'Offshore - Perth'!E13)</f>
        <v>4995</v>
      </c>
      <c r="H1555" s="63" t="n">
        <f aca="false">IF(ISNUMBER(K1555),COUNTIFS($J$6:$J$1854,J1555,$K$6:$K$1854,"&lt;"&amp;K1555)+1,"-")</f>
        <v>2</v>
      </c>
      <c r="I1555" s="64" t="str">
        <f aca="false">IF('Offshore - Perth'!E13="","Harga belum tersedia - hubungi konsultan TEG",IF(M1555=2,"Saat ini tidak menerima pendaftaran siswa internasional baru",IF(M1555=1,"Harga perlu dikonfirmasi ke sekolah"&amp;IF(""="","","; "&amp;""),"")))</f>
        <v>Harga perlu dikonfirmasi ke sekolah</v>
      </c>
      <c r="J1555" s="0" t="s">
        <v>4431</v>
      </c>
      <c r="K1555" s="0" t="n">
        <f aca="false">IF(M1555=2,"",IF(ISNUMBER(SEARCH("rata-rata:",'Offshore - Perth'!N13)),VALUE(MID('Offshore - Perth'!N13,SEARCH("rata-rata:",'Offshore - Perth'!N13)+11,FIND(";",'Offshore - Perth'!N13&amp;";",SEARCH("rata-rata:",'Offshore - Perth'!N13))-SEARCH("rata-rata:",'Offshore - Perth'!N13)-11)),IF('Offshore - Perth'!D13="Semester",'Offshore - Perth'!E13*2,IF('Offshore - Perth'!D13="Trimester",'Offshore - Perth'!E13*3,IF('Offshore - Perth'!D13="Term",'Offshore - Perth'!E13*4,IF('Offshore - Perth'!D13="Unit",'Offshore - Perth'!E13*8,""))))))</f>
        <v>19980</v>
      </c>
      <c r="L1555" s="0" t="n">
        <f aca="false">IF(AND(ISNUMBER('Offshore - Perth'!E13),ISNUMBER(K1555),ISNUMBER('Offshore - Perth'!F13),ISNUMBER('Offshore - Perth'!G13),OR('Offshore - Perth'!F13&lt;&gt;0,ISNUMBER(SEARCH("Material 0 terverifikasi",'Offshore - Perth'!N13))),OR('Offshore - Perth'!G13&lt;&gt;0,ISNUMBER(SEARCH("Enrolment 0 terverifikasi",'Offshore - Perth'!N13)))),1,0)</f>
        <v>0</v>
      </c>
      <c r="M1555" s="0" t="n">
        <f aca="false">IF(OR('Offshore - Perth'!E13="",ISNUMBER(SEARCH("BSB80120",'Offshore - Perth'!B13&amp;'Offshore - Perth'!N13)),ISNUMBER(SEARCH("Management (Learning)",'Offshore - Perth'!B13))),2,IF(ISNUMBER(SEARCH("CEK:",'Offshore - Perth'!N13)),1,0))</f>
        <v>1</v>
      </c>
    </row>
    <row r="1556" customFormat="false" ht="15" hidden="false" customHeight="false" outlineLevel="0" collapsed="false">
      <c r="A1556" s="63" t="s">
        <v>3573</v>
      </c>
      <c r="B1556" s="64" t="s">
        <v>4374</v>
      </c>
      <c r="C1556" s="63" t="s">
        <v>43</v>
      </c>
      <c r="D1556" s="64" t="str">
        <f aca="false">TRIM(LEFT('Offshore - Perth'!A6,FIND(CHAR(10),'Offshore - Perth'!A6&amp;CHAR(10))-1))</f>
        <v>Academies Australasia</v>
      </c>
      <c r="E1556" s="63" t="str">
        <f aca="false">'Offshore - Perth'!C9&amp;""</f>
        <v>3 years</v>
      </c>
      <c r="F1556" s="63" t="str">
        <f aca="false">IF('Offshore - Perth'!D9="","Belum tercatat",'Offshore - Perth'!D9)</f>
        <v>Term</v>
      </c>
      <c r="G1556" s="65" t="n">
        <f aca="false">IF('Offshore - Perth'!E9="","-",'Offshore - Perth'!E9)</f>
        <v>5000</v>
      </c>
      <c r="H1556" s="63" t="n">
        <f aca="false">IF(ISNUMBER(K1556),COUNTIFS($J$6:$J$1854,J1556,$K$6:$K$1854,"&lt;"&amp;K1556)+1,"-")</f>
        <v>3</v>
      </c>
      <c r="I1556" s="64" t="str">
        <f aca="false">IF('Offshore - Perth'!E9="","Harga belum tersedia - hubungi konsultan TEG",IF(M1556=2,"Saat ini tidak menerima pendaftaran siswa internasional baru",IF(M1556=1,"Harga perlu dikonfirmasi ke sekolah"&amp;IF(""="","","; "&amp;""),"")))</f>
        <v/>
      </c>
      <c r="J1556" s="0" t="s">
        <v>4431</v>
      </c>
      <c r="K1556" s="0" t="n">
        <f aca="false">IF(M1556=2,"",IF(ISNUMBER(SEARCH("rata-rata:",'Offshore - Perth'!N9)),VALUE(MID('Offshore - Perth'!N9,SEARCH("rata-rata:",'Offshore - Perth'!N9)+11,FIND(";",'Offshore - Perth'!N9&amp;";",SEARCH("rata-rata:",'Offshore - Perth'!N9))-SEARCH("rata-rata:",'Offshore - Perth'!N9)-11)),IF('Offshore - Perth'!D9="Semester",'Offshore - Perth'!E9*2,IF('Offshore - Perth'!D9="Trimester",'Offshore - Perth'!E9*3,IF('Offshore - Perth'!D9="Term",'Offshore - Perth'!E9*4,IF('Offshore - Perth'!D9="Unit",'Offshore - Perth'!E9*8,""))))))</f>
        <v>20000</v>
      </c>
      <c r="L1556" s="0" t="n">
        <f aca="false">IF(AND(ISNUMBER('Offshore - Perth'!E9),ISNUMBER(K1556),ISNUMBER('Offshore - Perth'!F9),ISNUMBER('Offshore - Perth'!G9),OR('Offshore - Perth'!F9&lt;&gt;0,ISNUMBER(SEARCH("Material 0 terverifikasi",'Offshore - Perth'!N9))),OR('Offshore - Perth'!G9&lt;&gt;0,ISNUMBER(SEARCH("Enrolment 0 terverifikasi",'Offshore - Perth'!N9)))),1,0)</f>
        <v>1</v>
      </c>
      <c r="M1556" s="0" t="n">
        <f aca="false">IF(OR('Offshore - Perth'!E9="",ISNUMBER(SEARCH("BSB80120",'Offshore - Perth'!B9&amp;'Offshore - Perth'!N9)),ISNUMBER(SEARCH("Management (Learning)",'Offshore - Perth'!B9))),2,IF(ISNUMBER(SEARCH("CEK:",'Offshore - Perth'!N9)),1,0))</f>
        <v>0</v>
      </c>
    </row>
    <row r="1557" customFormat="false" ht="15" hidden="false" customHeight="false" outlineLevel="0" collapsed="false">
      <c r="A1557" s="63" t="s">
        <v>3573</v>
      </c>
      <c r="B1557" s="64" t="s">
        <v>4374</v>
      </c>
      <c r="C1557" s="63" t="s">
        <v>43</v>
      </c>
      <c r="D1557" s="64" t="str">
        <f aca="false">TRIM(LEFT('Offshore - Perth'!A148,FIND(CHAR(10),'Offshore - Perth'!A148&amp;CHAR(10))-1))</f>
        <v>The Australian Data and Cyber Institute (ADCI)</v>
      </c>
      <c r="E1557" s="63" t="str">
        <f aca="false">'Offshore - Perth'!C148&amp;""</f>
        <v>3 years</v>
      </c>
      <c r="F1557" s="63" t="str">
        <f aca="false">IF('Offshore - Perth'!D148="","Belum tercatat",'Offshore - Perth'!D148)</f>
        <v>Term</v>
      </c>
      <c r="G1557" s="65" t="n">
        <f aca="false">IF('Offshore - Perth'!E148="","-",'Offshore - Perth'!E148)</f>
        <v>6300</v>
      </c>
      <c r="H1557" s="63" t="n">
        <f aca="false">IF(ISNUMBER(K1557),COUNTIFS($J$6:$J$1854,J1557,$K$6:$K$1854,"&lt;"&amp;K1557)+1,"-")</f>
        <v>4</v>
      </c>
      <c r="I1557" s="64" t="str">
        <f aca="false">IF('Offshore - Perth'!E148="","Harga belum tersedia - hubungi konsultan TEG",IF(M1557=2,"Saat ini tidak menerima pendaftaran siswa internasional baru",IF(M1557=1,"Harga perlu dikonfirmasi ke sekolah"&amp;IF(""="","","; "&amp;""),"")))</f>
        <v>Harga perlu dikonfirmasi ke sekolah</v>
      </c>
      <c r="J1557" s="0" t="s">
        <v>4431</v>
      </c>
      <c r="K1557" s="0" t="n">
        <f aca="false">IF(M1557=2,"",IF(ISNUMBER(SEARCH("rata-rata:",'Offshore - Perth'!N148)),VALUE(MID('Offshore - Perth'!N148,SEARCH("rata-rata:",'Offshore - Perth'!N148)+11,FIND(";",'Offshore - Perth'!N148&amp;";",SEARCH("rata-rata:",'Offshore - Perth'!N148))-SEARCH("rata-rata:",'Offshore - Perth'!N148)-11)),IF('Offshore - Perth'!D148="Semester",'Offshore - Perth'!E148*2,IF('Offshore - Perth'!D148="Trimester",'Offshore - Perth'!E148*3,IF('Offshore - Perth'!D148="Term",'Offshore - Perth'!E148*4,IF('Offshore - Perth'!D148="Unit",'Offshore - Perth'!E148*8,""))))))</f>
        <v>25200</v>
      </c>
      <c r="L1557" s="0" t="n">
        <f aca="false">IF(AND(ISNUMBER('Offshore - Perth'!E148),ISNUMBER(K1557),ISNUMBER('Offshore - Perth'!F148),ISNUMBER('Offshore - Perth'!G148),OR('Offshore - Perth'!F148&lt;&gt;0,ISNUMBER(SEARCH("Material 0 terverifikasi",'Offshore - Perth'!N148))),OR('Offshore - Perth'!G148&lt;&gt;0,ISNUMBER(SEARCH("Enrolment 0 terverifikasi",'Offshore - Perth'!N148)))),1,0)</f>
        <v>0</v>
      </c>
      <c r="M1557" s="0" t="n">
        <f aca="false">IF(OR('Offshore - Perth'!E148="",ISNUMBER(SEARCH("BSB80120",'Offshore - Perth'!B148&amp;'Offshore - Perth'!N148)),ISNUMBER(SEARCH("Management (Learning)",'Offshore - Perth'!B148))),2,IF(ISNUMBER(SEARCH("CEK:",'Offshore - Perth'!N148)),1,0))</f>
        <v>1</v>
      </c>
    </row>
    <row r="1558" customFormat="false" ht="15" hidden="false" customHeight="false" outlineLevel="0" collapsed="false">
      <c r="A1558" s="61" t="s">
        <v>4432</v>
      </c>
      <c r="B1558" s="62"/>
      <c r="C1558" s="62"/>
      <c r="D1558" s="62"/>
      <c r="E1558" s="62"/>
      <c r="F1558" s="62"/>
      <c r="G1558" s="62"/>
      <c r="H1558" s="62"/>
      <c r="I1558" s="62"/>
    </row>
    <row r="1559" customFormat="false" ht="15" hidden="false" customHeight="false" outlineLevel="0" collapsed="false">
      <c r="A1559" s="63" t="s">
        <v>3573</v>
      </c>
      <c r="B1559" s="64" t="s">
        <v>4374</v>
      </c>
      <c r="C1559" s="63" t="s">
        <v>3707</v>
      </c>
      <c r="D1559" s="64" t="str">
        <f aca="false">TRIM(LEFT('Offshore - Perth'!A13,FIND(CHAR(10),'Offshore - Perth'!A13&amp;CHAR(10))-1))</f>
        <v>AIBI Higher Education</v>
      </c>
      <c r="E1559" s="63" t="str">
        <f aca="false">'Offshore - Perth'!C26&amp;""</f>
        <v>8 months</v>
      </c>
      <c r="F1559" s="63" t="str">
        <f aca="false">IF('Offshore - Perth'!D26="","Belum tercatat",'Offshore - Perth'!D26)</f>
        <v>Term</v>
      </c>
      <c r="G1559" s="65" t="n">
        <f aca="false">IF('Offshore - Perth'!E26="","-",'Offshore - Perth'!E26)</f>
        <v>2700</v>
      </c>
      <c r="H1559" s="63" t="n">
        <f aca="false">IF(ISNUMBER(K1559),COUNTIFS($J$6:$J$1854,J1559,$K$6:$K$1854,"&lt;"&amp;K1559)+1,"-")</f>
        <v>1</v>
      </c>
      <c r="I1559" s="64" t="str">
        <f aca="false">IF('Offshore - Perth'!E26="","Harga belum tersedia - hubungi konsultan TEG",IF(M1559=2,"Saat ini tidak menerima pendaftaran siswa internasional baru",IF(M1559=1,"Harga perlu dikonfirmasi ke sekolah"&amp;IF(""="","","; "&amp;""),"")))</f>
        <v>Harga perlu dikonfirmasi ke sekolah</v>
      </c>
      <c r="J1559" s="0" t="s">
        <v>4433</v>
      </c>
      <c r="K1559" s="0" t="n">
        <f aca="false">IF(M1559=2,"",IF(ISNUMBER(SEARCH("rata-rata:",'Offshore - Perth'!N26)),VALUE(MID('Offshore - Perth'!N26,SEARCH("rata-rata:",'Offshore - Perth'!N26)+11,FIND(";",'Offshore - Perth'!N26&amp;";",SEARCH("rata-rata:",'Offshore - Perth'!N26))-SEARCH("rata-rata:",'Offshore - Perth'!N26)-11)),IF('Offshore - Perth'!D26="Semester",'Offshore - Perth'!E26*2,IF('Offshore - Perth'!D26="Trimester",'Offshore - Perth'!E26*3,IF('Offshore - Perth'!D26="Term",'Offshore - Perth'!E26*4,IF('Offshore - Perth'!D26="Unit",'Offshore - Perth'!E26*8,""))))))</f>
        <v>10800</v>
      </c>
      <c r="L1559" s="0" t="n">
        <f aca="false">IF(AND(ISNUMBER('Offshore - Perth'!E26),ISNUMBER(K1559),ISNUMBER('Offshore - Perth'!F26),ISNUMBER('Offshore - Perth'!G26),OR('Offshore - Perth'!F26&lt;&gt;0,ISNUMBER(SEARCH("Material 0 terverifikasi",'Offshore - Perth'!N26))),OR('Offshore - Perth'!G26&lt;&gt;0,ISNUMBER(SEARCH("Enrolment 0 terverifikasi",'Offshore - Perth'!N26)))),1,0)</f>
        <v>0</v>
      </c>
      <c r="M1559" s="0" t="n">
        <f aca="false">IF(OR('Offshore - Perth'!E26="",ISNUMBER(SEARCH("BSB80120",'Offshore - Perth'!B26&amp;'Offshore - Perth'!N26)),ISNUMBER(SEARCH("Management (Learning)",'Offshore - Perth'!B26))),2,IF(ISNUMBER(SEARCH("CEK:",'Offshore - Perth'!N26)),1,0))</f>
        <v>1</v>
      </c>
    </row>
    <row r="1560" customFormat="false" ht="15" hidden="false" customHeight="false" outlineLevel="0" collapsed="false">
      <c r="A1560" s="63" t="s">
        <v>3573</v>
      </c>
      <c r="B1560" s="64" t="s">
        <v>4374</v>
      </c>
      <c r="C1560" s="63" t="s">
        <v>3707</v>
      </c>
      <c r="D1560" s="64" t="str">
        <f aca="false">TRIM(LEFT('Offshore - Perth'!A91,FIND(CHAR(10),'Offshore - Perth'!A91&amp;CHAR(10))-1))</f>
        <v>Kaplan Business School</v>
      </c>
      <c r="E1560" s="63" t="str">
        <f aca="false">'Offshore - Perth'!C102&amp;""</f>
        <v>0,5 year</v>
      </c>
      <c r="F1560" s="63" t="str">
        <f aca="false">IF('Offshore - Perth'!D102="","Belum tercatat",'Offshore - Perth'!D102)</f>
        <v>Trimester</v>
      </c>
      <c r="G1560" s="65" t="n">
        <f aca="false">IF('Offshore - Perth'!E102="","-",'Offshore - Perth'!E102)</f>
        <v>14560</v>
      </c>
      <c r="H1560" s="63" t="n">
        <f aca="false">IF(ISNUMBER(K1560),COUNTIFS($J$6:$J$1854,J1560,$K$6:$K$1854,"&lt;"&amp;K1560)+1,"-")</f>
        <v>2</v>
      </c>
      <c r="I1560" s="64" t="str">
        <f aca="false">IF('Offshore - Perth'!E102="","Harga belum tersedia - hubungi konsultan TEG",IF(M1560=2,"Saat ini tidak menerima pendaftaran siswa internasional baru",IF(M1560=1,"Harga perlu dikonfirmasi ke sekolah"&amp;IF(""="","","; "&amp;""),"")))</f>
        <v>Harga perlu dikonfirmasi ke sekolah</v>
      </c>
      <c r="J1560" s="0" t="s">
        <v>4433</v>
      </c>
      <c r="K1560" s="0" t="n">
        <f aca="false">IF(M1560=2,"",IF(ISNUMBER(SEARCH("rata-rata:",'Offshore - Perth'!N102)),VALUE(MID('Offshore - Perth'!N102,SEARCH("rata-rata:",'Offshore - Perth'!N102)+11,FIND(";",'Offshore - Perth'!N102&amp;";",SEARCH("rata-rata:",'Offshore - Perth'!N102))-SEARCH("rata-rata:",'Offshore - Perth'!N102)-11)),IF('Offshore - Perth'!D102="Semester",'Offshore - Perth'!E102*2,IF('Offshore - Perth'!D102="Trimester",'Offshore - Perth'!E102*3,IF('Offshore - Perth'!D102="Term",'Offshore - Perth'!E102*4,IF('Offshore - Perth'!D102="Unit",'Offshore - Perth'!E102*8,""))))))</f>
        <v>43680</v>
      </c>
      <c r="L1560" s="0" t="n">
        <f aca="false">IF(AND(ISNUMBER('Offshore - Perth'!E102),ISNUMBER(K1560),ISNUMBER('Offshore - Perth'!F102),ISNUMBER('Offshore - Perth'!G102),OR('Offshore - Perth'!F102&lt;&gt;0,ISNUMBER(SEARCH("Material 0 terverifikasi",'Offshore - Perth'!N102))),OR('Offshore - Perth'!G102&lt;&gt;0,ISNUMBER(SEARCH("Enrolment 0 terverifikasi",'Offshore - Perth'!N102)))),1,0)</f>
        <v>1</v>
      </c>
      <c r="M1560" s="0" t="n">
        <f aca="false">IF(OR('Offshore - Perth'!E102="",ISNUMBER(SEARCH("BSB80120",'Offshore - Perth'!B102&amp;'Offshore - Perth'!N102)),ISNUMBER(SEARCH("Management (Learning)",'Offshore - Perth'!B102))),2,IF(ISNUMBER(SEARCH("CEK:",'Offshore - Perth'!N102)),1,0))</f>
        <v>1</v>
      </c>
    </row>
    <row r="1561" customFormat="false" ht="15" hidden="false" customHeight="false" outlineLevel="0" collapsed="false">
      <c r="A1561" s="61" t="s">
        <v>4434</v>
      </c>
      <c r="B1561" s="62"/>
      <c r="C1561" s="62"/>
      <c r="D1561" s="62"/>
      <c r="E1561" s="62"/>
      <c r="F1561" s="62"/>
      <c r="G1561" s="62"/>
      <c r="H1561" s="62"/>
      <c r="I1561" s="62"/>
    </row>
    <row r="1562" customFormat="false" ht="15" hidden="false" customHeight="false" outlineLevel="0" collapsed="false">
      <c r="A1562" s="63" t="s">
        <v>3573</v>
      </c>
      <c r="B1562" s="64" t="s">
        <v>4374</v>
      </c>
      <c r="C1562" s="63" t="s">
        <v>46</v>
      </c>
      <c r="D1562" s="64" t="str">
        <f aca="false">TRIM(LEFT('Offshore - Perth'!A13,FIND(CHAR(10),'Offshore - Perth'!A13&amp;CHAR(10))-1))</f>
        <v>AIBI Higher Education</v>
      </c>
      <c r="E1562" s="63" t="str">
        <f aca="false">'Offshore - Perth'!C19&amp;""</f>
        <v>2 years</v>
      </c>
      <c r="F1562" s="63" t="str">
        <f aca="false">IF('Offshore - Perth'!D19="","Belum tercatat",'Offshore - Perth'!D19)</f>
        <v>Term</v>
      </c>
      <c r="G1562" s="65" t="n">
        <f aca="false">IF('Offshore - Perth'!E19="","-",'Offshore - Perth'!E19)</f>
        <v>4050</v>
      </c>
      <c r="H1562" s="63" t="n">
        <f aca="false">IF(ISNUMBER(K1562),COUNTIFS($J$6:$J$1854,J1562,$K$6:$K$1854,"&lt;"&amp;K1562)+1,"-")</f>
        <v>1</v>
      </c>
      <c r="I1562" s="64" t="str">
        <f aca="false">IF('Offshore - Perth'!E19="","Harga belum tersedia - hubungi konsultan TEG",IF(M1562=2,"Saat ini tidak menerima pendaftaran siswa internasional baru",IF(M1562=1,"Harga perlu dikonfirmasi ke sekolah"&amp;IF(""="","","; "&amp;""),"")))</f>
        <v>Harga perlu dikonfirmasi ke sekolah</v>
      </c>
      <c r="J1562" s="0" t="s">
        <v>4435</v>
      </c>
      <c r="K1562" s="0" t="n">
        <f aca="false">IF(M1562=2,"",IF(ISNUMBER(SEARCH("rata-rata:",'Offshore - Perth'!N19)),VALUE(MID('Offshore - Perth'!N19,SEARCH("rata-rata:",'Offshore - Perth'!N19)+11,FIND(";",'Offshore - Perth'!N19&amp;";",SEARCH("rata-rata:",'Offshore - Perth'!N19))-SEARCH("rata-rata:",'Offshore - Perth'!N19)-11)),IF('Offshore - Perth'!D19="Semester",'Offshore - Perth'!E19*2,IF('Offshore - Perth'!D19="Trimester",'Offshore - Perth'!E19*3,IF('Offshore - Perth'!D19="Term",'Offshore - Perth'!E19*4,IF('Offshore - Perth'!D19="Unit",'Offshore - Perth'!E19*8,""))))))</f>
        <v>16200</v>
      </c>
      <c r="L1562" s="0" t="n">
        <f aca="false">IF(AND(ISNUMBER('Offshore - Perth'!E19),ISNUMBER(K1562),ISNUMBER('Offshore - Perth'!F19),ISNUMBER('Offshore - Perth'!G19),OR('Offshore - Perth'!F19&lt;&gt;0,ISNUMBER(SEARCH("Material 0 terverifikasi",'Offshore - Perth'!N19))),OR('Offshore - Perth'!G19&lt;&gt;0,ISNUMBER(SEARCH("Enrolment 0 terverifikasi",'Offshore - Perth'!N19)))),1,0)</f>
        <v>0</v>
      </c>
      <c r="M1562" s="0" t="n">
        <f aca="false">IF(OR('Offshore - Perth'!E19="",ISNUMBER(SEARCH("BSB80120",'Offshore - Perth'!B19&amp;'Offshore - Perth'!N19)),ISNUMBER(SEARCH("Management (Learning)",'Offshore - Perth'!B19))),2,IF(ISNUMBER(SEARCH("CEK:",'Offshore - Perth'!N19)),1,0))</f>
        <v>1</v>
      </c>
    </row>
    <row r="1563" customFormat="false" ht="15" hidden="false" customHeight="false" outlineLevel="0" collapsed="false">
      <c r="A1563" s="63" t="s">
        <v>3573</v>
      </c>
      <c r="B1563" s="64" t="s">
        <v>4374</v>
      </c>
      <c r="C1563" s="63" t="s">
        <v>46</v>
      </c>
      <c r="D1563" s="64" t="str">
        <f aca="false">TRIM(LEFT('Offshore - Perth'!A41,FIND(CHAR(10),'Offshore - Perth'!A41&amp;CHAR(10))-1))</f>
        <v>CIHE Australia</v>
      </c>
      <c r="E1563" s="63" t="str">
        <f aca="false">'Offshore - Perth'!C47&amp;""</f>
        <v>2 years</v>
      </c>
      <c r="F1563" s="63" t="str">
        <f aca="false">IF('Offshore - Perth'!D47="","Belum tercatat",'Offshore - Perth'!D47)</f>
        <v>Term</v>
      </c>
      <c r="G1563" s="65" t="n">
        <f aca="false">IF('Offshore - Perth'!E47="","-",'Offshore - Perth'!E47)</f>
        <v>4400</v>
      </c>
      <c r="H1563" s="63" t="n">
        <f aca="false">IF(ISNUMBER(K1563),COUNTIFS($J$6:$J$1854,J1563,$K$6:$K$1854,"&lt;"&amp;K1563)+1,"-")</f>
        <v>2</v>
      </c>
      <c r="I1563" s="64" t="str">
        <f aca="false">IF('Offshore - Perth'!E47="","Harga belum tersedia - hubungi konsultan TEG",IF(M1563=2,"Saat ini tidak menerima pendaftaran siswa internasional baru",IF(M1563=1,"Harga perlu dikonfirmasi ke sekolah"&amp;IF(""="","","; "&amp;""),"")))</f>
        <v>Harga perlu dikonfirmasi ke sekolah</v>
      </c>
      <c r="J1563" s="0" t="s">
        <v>4435</v>
      </c>
      <c r="K1563" s="0" t="n">
        <f aca="false">IF(M1563=2,"",IF(ISNUMBER(SEARCH("rata-rata:",'Offshore - Perth'!N47)),VALUE(MID('Offshore - Perth'!N47,SEARCH("rata-rata:",'Offshore - Perth'!N47)+11,FIND(";",'Offshore - Perth'!N47&amp;";",SEARCH("rata-rata:",'Offshore - Perth'!N47))-SEARCH("rata-rata:",'Offshore - Perth'!N47)-11)),IF('Offshore - Perth'!D47="Semester",'Offshore - Perth'!E47*2,IF('Offshore - Perth'!D47="Trimester",'Offshore - Perth'!E47*3,IF('Offshore - Perth'!D47="Term",'Offshore - Perth'!E47*4,IF('Offshore - Perth'!D47="Unit",'Offshore - Perth'!E47*8,""))))))</f>
        <v>17600</v>
      </c>
      <c r="L1563" s="0" t="n">
        <f aca="false">IF(AND(ISNUMBER('Offshore - Perth'!E47),ISNUMBER(K1563),ISNUMBER('Offshore - Perth'!F47),ISNUMBER('Offshore - Perth'!G47),OR('Offshore - Perth'!F47&lt;&gt;0,ISNUMBER(SEARCH("Material 0 terverifikasi",'Offshore - Perth'!N47))),OR('Offshore - Perth'!G47&lt;&gt;0,ISNUMBER(SEARCH("Enrolment 0 terverifikasi",'Offshore - Perth'!N47)))),1,0)</f>
        <v>1</v>
      </c>
      <c r="M1563" s="0" t="n">
        <f aca="false">IF(OR('Offshore - Perth'!E47="",ISNUMBER(SEARCH("BSB80120",'Offshore - Perth'!B47&amp;'Offshore - Perth'!N47)),ISNUMBER(SEARCH("Management (Learning)",'Offshore - Perth'!B47))),2,IF(ISNUMBER(SEARCH("CEK:",'Offshore - Perth'!N47)),1,0))</f>
        <v>1</v>
      </c>
    </row>
    <row r="1564" customFormat="false" ht="15" hidden="false" customHeight="false" outlineLevel="0" collapsed="false">
      <c r="A1564" s="63" t="s">
        <v>3573</v>
      </c>
      <c r="B1564" s="64" t="s">
        <v>4374</v>
      </c>
      <c r="C1564" s="63" t="s">
        <v>46</v>
      </c>
      <c r="D1564" s="64" t="str">
        <f aca="false">TRIM(LEFT('Offshore - Perth'!A6,FIND(CHAR(10),'Offshore - Perth'!A6&amp;CHAR(10))-1))</f>
        <v>Academies Australasia</v>
      </c>
      <c r="E1564" s="63" t="str">
        <f aca="false">'Offshore - Perth'!C10&amp;""</f>
        <v>2 years</v>
      </c>
      <c r="F1564" s="63" t="str">
        <f aca="false">IF('Offshore - Perth'!D10="","Belum tercatat",'Offshore - Perth'!D10)</f>
        <v>Term</v>
      </c>
      <c r="G1564" s="65" t="n">
        <f aca="false">IF('Offshore - Perth'!E10="","-",'Offshore - Perth'!E10)</f>
        <v>5000</v>
      </c>
      <c r="H1564" s="63" t="n">
        <f aca="false">IF(ISNUMBER(K1564),COUNTIFS($J$6:$J$1854,J1564,$K$6:$K$1854,"&lt;"&amp;K1564)+1,"-")</f>
        <v>3</v>
      </c>
      <c r="I1564" s="64" t="str">
        <f aca="false">IF('Offshore - Perth'!E10="","Harga belum tersedia - hubungi konsultan TEG",IF(M1564=2,"Saat ini tidak menerima pendaftaran siswa internasional baru",IF(M1564=1,"Harga perlu dikonfirmasi ke sekolah"&amp;IF(""="","","; "&amp;""),"")))</f>
        <v/>
      </c>
      <c r="J1564" s="0" t="s">
        <v>4435</v>
      </c>
      <c r="K1564" s="0" t="n">
        <f aca="false">IF(M1564=2,"",IF(ISNUMBER(SEARCH("rata-rata:",'Offshore - Perth'!N10)),VALUE(MID('Offshore - Perth'!N10,SEARCH("rata-rata:",'Offshore - Perth'!N10)+11,FIND(";",'Offshore - Perth'!N10&amp;";",SEARCH("rata-rata:",'Offshore - Perth'!N10))-SEARCH("rata-rata:",'Offshore - Perth'!N10)-11)),IF('Offshore - Perth'!D10="Semester",'Offshore - Perth'!E10*2,IF('Offshore - Perth'!D10="Trimester",'Offshore - Perth'!E10*3,IF('Offshore - Perth'!D10="Term",'Offshore - Perth'!E10*4,IF('Offshore - Perth'!D10="Unit",'Offshore - Perth'!E10*8,""))))))</f>
        <v>20000</v>
      </c>
      <c r="L1564" s="0" t="n">
        <f aca="false">IF(AND(ISNUMBER('Offshore - Perth'!E10),ISNUMBER(K1564),ISNUMBER('Offshore - Perth'!F10),ISNUMBER('Offshore - Perth'!G10),OR('Offshore - Perth'!F10&lt;&gt;0,ISNUMBER(SEARCH("Material 0 terverifikasi",'Offshore - Perth'!N10))),OR('Offshore - Perth'!G10&lt;&gt;0,ISNUMBER(SEARCH("Enrolment 0 terverifikasi",'Offshore - Perth'!N10)))),1,0)</f>
        <v>1</v>
      </c>
      <c r="M1564" s="0" t="n">
        <f aca="false">IF(OR('Offshore - Perth'!E10="",ISNUMBER(SEARCH("BSB80120",'Offshore - Perth'!B10&amp;'Offshore - Perth'!N10)),ISNUMBER(SEARCH("Management (Learning)",'Offshore - Perth'!B10))),2,IF(ISNUMBER(SEARCH("CEK:",'Offshore - Perth'!N10)),1,0))</f>
        <v>0</v>
      </c>
    </row>
    <row r="1565" customFormat="false" ht="15" hidden="false" customHeight="false" outlineLevel="0" collapsed="false">
      <c r="A1565" s="63" t="s">
        <v>3573</v>
      </c>
      <c r="B1565" s="64" t="s">
        <v>4374</v>
      </c>
      <c r="C1565" s="63" t="s">
        <v>46</v>
      </c>
      <c r="D1565" s="64" t="str">
        <f aca="false">TRIM(LEFT('Offshore - Perth'!A91,FIND(CHAR(10),'Offshore - Perth'!A91&amp;CHAR(10))-1))</f>
        <v>Kaplan Business School</v>
      </c>
      <c r="E1565" s="63" t="str">
        <f aca="false">'Offshore - Perth'!C99&amp;""</f>
        <v>1,5 years</v>
      </c>
      <c r="F1565" s="63" t="str">
        <f aca="false">IF('Offshore - Perth'!D99="","Belum tercatat",'Offshore - Perth'!D99)</f>
        <v>Trimester</v>
      </c>
      <c r="G1565" s="65" t="n">
        <f aca="false">IF('Offshore - Perth'!E99="","-",'Offshore - Perth'!E99)</f>
        <v>13600</v>
      </c>
      <c r="H1565" s="63" t="n">
        <f aca="false">IF(ISNUMBER(K1565),COUNTIFS($J$6:$J$1854,J1565,$K$6:$K$1854,"&lt;"&amp;K1565)+1,"-")</f>
        <v>4</v>
      </c>
      <c r="I1565" s="64" t="str">
        <f aca="false">IF('Offshore - Perth'!E99="","Harga belum tersedia - hubungi konsultan TEG",IF(M1565=2,"Saat ini tidak menerima pendaftaran siswa internasional baru",IF(M1565=1,"Harga perlu dikonfirmasi ke sekolah"&amp;IF(""="","","; "&amp;""),"")))</f>
        <v>Harga perlu dikonfirmasi ke sekolah</v>
      </c>
      <c r="J1565" s="0" t="s">
        <v>4435</v>
      </c>
      <c r="K1565" s="0" t="n">
        <f aca="false">IF(M1565=2,"",IF(ISNUMBER(SEARCH("rata-rata:",'Offshore - Perth'!N99)),VALUE(MID('Offshore - Perth'!N99,SEARCH("rata-rata:",'Offshore - Perth'!N99)+11,FIND(";",'Offshore - Perth'!N99&amp;";",SEARCH("rata-rata:",'Offshore - Perth'!N99))-SEARCH("rata-rata:",'Offshore - Perth'!N99)-11)),IF('Offshore - Perth'!D99="Semester",'Offshore - Perth'!E99*2,IF('Offshore - Perth'!D99="Trimester",'Offshore - Perth'!E99*3,IF('Offshore - Perth'!D99="Term",'Offshore - Perth'!E99*4,IF('Offshore - Perth'!D99="Unit",'Offshore - Perth'!E99*8,""))))))</f>
        <v>40800</v>
      </c>
      <c r="L1565" s="0" t="n">
        <f aca="false">IF(AND(ISNUMBER('Offshore - Perth'!E99),ISNUMBER(K1565),ISNUMBER('Offshore - Perth'!F99),ISNUMBER('Offshore - Perth'!G99),OR('Offshore - Perth'!F99&lt;&gt;0,ISNUMBER(SEARCH("Material 0 terverifikasi",'Offshore - Perth'!N99))),OR('Offshore - Perth'!G99&lt;&gt;0,ISNUMBER(SEARCH("Enrolment 0 terverifikasi",'Offshore - Perth'!N99)))),1,0)</f>
        <v>1</v>
      </c>
      <c r="M1565" s="0" t="n">
        <f aca="false">IF(OR('Offshore - Perth'!E99="",ISNUMBER(SEARCH("BSB80120",'Offshore - Perth'!B99&amp;'Offshore - Perth'!N99)),ISNUMBER(SEARCH("Management (Learning)",'Offshore - Perth'!B99))),2,IF(ISNUMBER(SEARCH("CEK:",'Offshore - Perth'!N99)),1,0))</f>
        <v>1</v>
      </c>
    </row>
    <row r="1566" customFormat="false" ht="15" hidden="false" customHeight="false" outlineLevel="0" collapsed="false">
      <c r="A1566" s="61" t="s">
        <v>4436</v>
      </c>
      <c r="B1566" s="62"/>
      <c r="C1566" s="62"/>
      <c r="D1566" s="62"/>
      <c r="E1566" s="62"/>
      <c r="F1566" s="62"/>
      <c r="G1566" s="62"/>
      <c r="H1566" s="62"/>
      <c r="I1566" s="62"/>
    </row>
    <row r="1567" customFormat="false" ht="28.35" hidden="false" customHeight="false" outlineLevel="0" collapsed="false">
      <c r="A1567" s="63" t="s">
        <v>3533</v>
      </c>
      <c r="B1567" s="64" t="s">
        <v>4374</v>
      </c>
      <c r="C1567" s="63" t="s">
        <v>40</v>
      </c>
      <c r="D1567" s="64" t="str">
        <f aca="false">TRIM(LEFT('Offshore - Sydney'!A261,FIND(CHAR(10),'Offshore - Sydney'!A261&amp;CHAR(10))-1))</f>
        <v>Australian College of Business Intelligence (ACBI)</v>
      </c>
      <c r="E1567" s="63" t="str">
        <f aca="false">'Offshore - Sydney'!C277&amp;""</f>
        <v>52 weeks (4 terms)</v>
      </c>
      <c r="F1567" s="63" t="str">
        <f aca="false">IF('Offshore - Sydney'!D277="","Belum tercatat",'Offshore - Sydney'!D277)</f>
        <v>Term</v>
      </c>
      <c r="G1567" s="65" t="n">
        <f aca="false">IF('Offshore - Sydney'!E277="","-",'Offshore - Sydney'!E277)</f>
        <v>1710</v>
      </c>
      <c r="H1567" s="63" t="n">
        <f aca="false">IF(ISNUMBER(K1567),COUNTIFS($J$6:$J$1854,J1567,$K$6:$K$1854,"&lt;"&amp;K1567)+1,"-")</f>
        <v>1</v>
      </c>
      <c r="I1567" s="64" t="str">
        <f aca="false">IF('Offshore - Sydney'!E277="","Harga belum tersedia - hubungi konsultan TEG",IF(M1567=2,"Saat ini tidak menerima pendaftaran siswa internasional baru",IF(M1567=1,"Harga perlu dikonfirmasi ke sekolah"&amp;IF(""="","","; "&amp;""),"")))</f>
        <v/>
      </c>
      <c r="J1567" s="0" t="s">
        <v>4437</v>
      </c>
      <c r="K1567" s="0" t="n">
        <f aca="false">IF(M1567=2,"",IF(ISNUMBER(SEARCH("rata-rata:",'Offshore - Sydney'!N277)),VALUE(MID('Offshore - Sydney'!N277,SEARCH("rata-rata:",'Offshore - Sydney'!N277)+11,FIND(";",'Offshore - Sydney'!N277&amp;";",SEARCH("rata-rata:",'Offshore - Sydney'!N277))-SEARCH("rata-rata:",'Offshore - Sydney'!N277)-11)),IF('Offshore - Sydney'!D277="Semester",'Offshore - Sydney'!E277*2,IF('Offshore - Sydney'!D277="Trimester",'Offshore - Sydney'!E277*3,IF('Offshore - Sydney'!D277="Term",'Offshore - Sydney'!E277*4,IF('Offshore - Sydney'!D277="Unit",'Offshore - Sydney'!E277*8,""))))))</f>
        <v>6840</v>
      </c>
      <c r="L1567" s="0" t="n">
        <f aca="false">IF(AND(ISNUMBER('Offshore - Sydney'!E277),ISNUMBER(K1567),ISNUMBER('Offshore - Sydney'!F277),ISNUMBER('Offshore - Sydney'!G277),OR('Offshore - Sydney'!F277&lt;&gt;0,ISNUMBER(SEARCH("Material 0 terverifikasi",'Offshore - Sydney'!N277))),OR('Offshore - Sydney'!G277&lt;&gt;0,ISNUMBER(SEARCH("Enrolment 0 terverifikasi",'Offshore - Sydney'!N277)))),1,0)</f>
        <v>1</v>
      </c>
      <c r="M1567" s="0" t="n">
        <f aca="false">IF(OR('Offshore - Sydney'!E277="",ISNUMBER(SEARCH("BSB80120",'Offshore - Sydney'!B277&amp;'Offshore - Sydney'!N277)),ISNUMBER(SEARCH("Management (Learning)",'Offshore - Sydney'!B277))),2,IF(ISNUMBER(SEARCH("CEK:",'Offshore - Sydney'!N277)),1,0))</f>
        <v>0</v>
      </c>
    </row>
    <row r="1568" customFormat="false" ht="15" hidden="false" customHeight="false" outlineLevel="0" collapsed="false">
      <c r="A1568" s="63" t="s">
        <v>3533</v>
      </c>
      <c r="B1568" s="64" t="s">
        <v>4374</v>
      </c>
      <c r="C1568" s="63" t="s">
        <v>40</v>
      </c>
      <c r="D1568" s="64" t="str">
        <f aca="false">TRIM(LEFT('Offshore - Sydney'!A721,FIND(CHAR(10),'Offshore - Sydney'!A721&amp;CHAR(10))-1))</f>
        <v>TAFE NSW</v>
      </c>
      <c r="E1568" s="63" t="str">
        <f aca="false">'Offshore - Sydney'!C765&amp;""</f>
        <v>0,5 year</v>
      </c>
      <c r="F1568" s="63" t="str">
        <f aca="false">IF('Offshore - Sydney'!D765="","Belum tercatat",'Offshore - Sydney'!D765)</f>
        <v>Term</v>
      </c>
      <c r="G1568" s="65" t="n">
        <f aca="false">IF('Offshore - Sydney'!E765="","-",'Offshore - Sydney'!E765)</f>
        <v>6675</v>
      </c>
      <c r="H1568" s="63" t="n">
        <f aca="false">IF(ISNUMBER(K1568),COUNTIFS($J$6:$J$1854,J1568,$K$6:$K$1854,"&lt;"&amp;K1568)+1,"-")</f>
        <v>2</v>
      </c>
      <c r="I1568" s="64" t="str">
        <f aca="false">IF('Offshore - Sydney'!E765="","Harga belum tersedia - hubungi konsultan TEG",IF(M1568=2,"Saat ini tidak menerima pendaftaran siswa internasional baru",IF(M1568=1,"Harga perlu dikonfirmasi ke sekolah"&amp;IF(""="","","; "&amp;""),"")))</f>
        <v/>
      </c>
      <c r="J1568" s="0" t="s">
        <v>4437</v>
      </c>
      <c r="K1568" s="0" t="n">
        <f aca="false">IF(M1568=2,"",IF(ISNUMBER(SEARCH("rata-rata:",'Offshore - Sydney'!N765)),VALUE(MID('Offshore - Sydney'!N765,SEARCH("rata-rata:",'Offshore - Sydney'!N765)+11,FIND(";",'Offshore - Sydney'!N765&amp;";",SEARCH("rata-rata:",'Offshore - Sydney'!N765))-SEARCH("rata-rata:",'Offshore - Sydney'!N765)-11)),IF('Offshore - Sydney'!D765="Semester",'Offshore - Sydney'!E765*2,IF('Offshore - Sydney'!D765="Trimester",'Offshore - Sydney'!E765*3,IF('Offshore - Sydney'!D765="Term",'Offshore - Sydney'!E765*4,IF('Offshore - Sydney'!D765="Unit",'Offshore - Sydney'!E765*8,""))))))</f>
        <v>26700</v>
      </c>
      <c r="L1568" s="0" t="n">
        <f aca="false">IF(AND(ISNUMBER('Offshore - Sydney'!E765),ISNUMBER(K1568),ISNUMBER('Offshore - Sydney'!F765),ISNUMBER('Offshore - Sydney'!G765),OR('Offshore - Sydney'!F765&lt;&gt;0,ISNUMBER(SEARCH("Material 0 terverifikasi",'Offshore - Sydney'!N765))),OR('Offshore - Sydney'!G765&lt;&gt;0,ISNUMBER(SEARCH("Enrolment 0 terverifikasi",'Offshore - Sydney'!N765)))),1,0)</f>
        <v>0</v>
      </c>
      <c r="M1568" s="0" t="n">
        <f aca="false">IF(OR('Offshore - Sydney'!E765="",ISNUMBER(SEARCH("BSB80120",'Offshore - Sydney'!B765&amp;'Offshore - Sydney'!N765)),ISNUMBER(SEARCH("Management (Learning)",'Offshore - Sydney'!B765))),2,IF(ISNUMBER(SEARCH("CEK:",'Offshore - Sydney'!N765)),1,0))</f>
        <v>0</v>
      </c>
    </row>
    <row r="1569" customFormat="false" ht="15" hidden="false" customHeight="false" outlineLevel="0" collapsed="false">
      <c r="A1569" s="61" t="s">
        <v>4438</v>
      </c>
      <c r="B1569" s="62"/>
      <c r="C1569" s="62"/>
      <c r="D1569" s="62"/>
      <c r="E1569" s="62"/>
      <c r="F1569" s="62"/>
      <c r="G1569" s="62"/>
      <c r="H1569" s="62"/>
      <c r="I1569" s="62"/>
    </row>
    <row r="1570" customFormat="false" ht="15" hidden="false" customHeight="false" outlineLevel="0" collapsed="false">
      <c r="A1570" s="63" t="s">
        <v>3533</v>
      </c>
      <c r="B1570" s="64" t="s">
        <v>4374</v>
      </c>
      <c r="C1570" s="63" t="s">
        <v>41</v>
      </c>
      <c r="D1570" s="64" t="str">
        <f aca="false">TRIM(LEFT('Offshore - Sydney'!A948,FIND(CHAR(10),'Offshore - Sydney'!A948&amp;CHAR(10))-1))</f>
        <v>Warwick Institute of Australia</v>
      </c>
      <c r="E1570" s="63" t="str">
        <f aca="false">'Offshore - Sydney'!C948&amp;""</f>
        <v>2,5 years</v>
      </c>
      <c r="F1570" s="63" t="str">
        <f aca="false">IF('Offshore - Sydney'!D948="","Belum tercatat",'Offshore - Sydney'!D948)</f>
        <v>Term</v>
      </c>
      <c r="G1570" s="65" t="n">
        <f aca="false">IF('Offshore - Sydney'!E948="","-",'Offshore - Sydney'!E948)</f>
        <v>1500</v>
      </c>
      <c r="H1570" s="63" t="n">
        <f aca="false">IF(ISNUMBER(K1570),COUNTIFS($J$6:$J$1854,J1570,$K$6:$K$1854,"&lt;"&amp;K1570)+1,"-")</f>
        <v>1</v>
      </c>
      <c r="I1570" s="64" t="str">
        <f aca="false">IF('Offshore - Sydney'!E948="","Harga belum tersedia - hubungi konsultan TEG",IF(M1570=2,"Saat ini tidak menerima pendaftaran siswa internasional baru",IF(M1570=1,"Harga perlu dikonfirmasi ke sekolah"&amp;IF(""="","","; "&amp;""),"")))</f>
        <v/>
      </c>
      <c r="J1570" s="0" t="s">
        <v>4439</v>
      </c>
      <c r="K1570" s="0" t="n">
        <f aca="false">IF(M1570=2,"",IF(ISNUMBER(SEARCH("rata-rata:",'Offshore - Sydney'!N948)),VALUE(MID('Offshore - Sydney'!N948,SEARCH("rata-rata:",'Offshore - Sydney'!N948)+11,FIND(";",'Offshore - Sydney'!N948&amp;";",SEARCH("rata-rata:",'Offshore - Sydney'!N948))-SEARCH("rata-rata:",'Offshore - Sydney'!N948)-11)),IF('Offshore - Sydney'!D948="Semester",'Offshore - Sydney'!E948*2,IF('Offshore - Sydney'!D948="Trimester",'Offshore - Sydney'!E948*3,IF('Offshore - Sydney'!D948="Term",'Offshore - Sydney'!E948*4,IF('Offshore - Sydney'!D948="Unit",'Offshore - Sydney'!E948*8,""))))))</f>
        <v>6000</v>
      </c>
      <c r="L1570" s="0" t="n">
        <f aca="false">IF(AND(ISNUMBER('Offshore - Sydney'!E948),ISNUMBER(K1570),ISNUMBER('Offshore - Sydney'!F948),ISNUMBER('Offshore - Sydney'!G948),OR('Offshore - Sydney'!F948&lt;&gt;0,ISNUMBER(SEARCH("Material 0 terverifikasi",'Offshore - Sydney'!N948))),OR('Offshore - Sydney'!G948&lt;&gt;0,ISNUMBER(SEARCH("Enrolment 0 terverifikasi",'Offshore - Sydney'!N948)))),1,0)</f>
        <v>1</v>
      </c>
      <c r="M1570" s="0" t="n">
        <f aca="false">IF(OR('Offshore - Sydney'!E948="",ISNUMBER(SEARCH("BSB80120",'Offshore - Sydney'!B948&amp;'Offshore - Sydney'!N948)),ISNUMBER(SEARCH("Management (Learning)",'Offshore - Sydney'!B948))),2,IF(ISNUMBER(SEARCH("CEK:",'Offshore - Sydney'!N948)),1,0))</f>
        <v>0</v>
      </c>
    </row>
    <row r="1571" customFormat="false" ht="15" hidden="false" customHeight="false" outlineLevel="0" collapsed="false">
      <c r="A1571" s="63" t="s">
        <v>3533</v>
      </c>
      <c r="B1571" s="64" t="s">
        <v>4374</v>
      </c>
      <c r="C1571" s="63" t="s">
        <v>41</v>
      </c>
      <c r="D1571" s="64" t="str">
        <f aca="false">TRIM(LEFT('Offshore - Sydney'!A959,FIND(CHAR(10),'Offshore - Sydney'!A959&amp;CHAR(10))-1))</f>
        <v>Wells International College (WIC)</v>
      </c>
      <c r="E1571" s="63" t="str">
        <f aca="false">'Offshore - Sydney'!C964&amp;""</f>
        <v>2 years</v>
      </c>
      <c r="F1571" s="63" t="str">
        <f aca="false">IF('Offshore - Sydney'!D964="","Belum tercatat",'Offshore - Sydney'!D964)</f>
        <v>Term</v>
      </c>
      <c r="G1571" s="65" t="n">
        <f aca="false">IF('Offshore - Sydney'!E964="","-",'Offshore - Sydney'!E964)</f>
        <v>1500</v>
      </c>
      <c r="H1571" s="63" t="n">
        <f aca="false">IF(ISNUMBER(K1571),COUNTIFS($J$6:$J$1854,J1571,$K$6:$K$1854,"&lt;"&amp;K1571)+1,"-")</f>
        <v>1</v>
      </c>
      <c r="I1571" s="64" t="str">
        <f aca="false">IF('Offshore - Sydney'!E964="","Harga belum tersedia - hubungi konsultan TEG",IF(M1571=2,"Saat ini tidak menerima pendaftaran siswa internasional baru",IF(M1571=1,"Harga perlu dikonfirmasi ke sekolah"&amp;IF(""="","","; "&amp;""),"")))</f>
        <v/>
      </c>
      <c r="J1571" s="0" t="s">
        <v>4439</v>
      </c>
      <c r="K1571" s="0" t="n">
        <f aca="false">IF(M1571=2,"",IF(ISNUMBER(SEARCH("rata-rata:",'Offshore - Sydney'!N964)),VALUE(MID('Offshore - Sydney'!N964,SEARCH("rata-rata:",'Offshore - Sydney'!N964)+11,FIND(";",'Offshore - Sydney'!N964&amp;";",SEARCH("rata-rata:",'Offshore - Sydney'!N964))-SEARCH("rata-rata:",'Offshore - Sydney'!N964)-11)),IF('Offshore - Sydney'!D964="Semester",'Offshore - Sydney'!E964*2,IF('Offshore - Sydney'!D964="Trimester",'Offshore - Sydney'!E964*3,IF('Offshore - Sydney'!D964="Term",'Offshore - Sydney'!E964*4,IF('Offshore - Sydney'!D964="Unit",'Offshore - Sydney'!E964*8,""))))))</f>
        <v>6000</v>
      </c>
      <c r="L1571" s="0" t="n">
        <f aca="false">IF(AND(ISNUMBER('Offshore - Sydney'!E964),ISNUMBER(K1571),ISNUMBER('Offshore - Sydney'!F964),ISNUMBER('Offshore - Sydney'!G964),OR('Offshore - Sydney'!F964&lt;&gt;0,ISNUMBER(SEARCH("Material 0 terverifikasi",'Offshore - Sydney'!N964))),OR('Offshore - Sydney'!G964&lt;&gt;0,ISNUMBER(SEARCH("Enrolment 0 terverifikasi",'Offshore - Sydney'!N964)))),1,0)</f>
        <v>1</v>
      </c>
      <c r="M1571" s="0" t="n">
        <f aca="false">IF(OR('Offshore - Sydney'!E964="",ISNUMBER(SEARCH("BSB80120",'Offshore - Sydney'!B964&amp;'Offshore - Sydney'!N964)),ISNUMBER(SEARCH("Management (Learning)",'Offshore - Sydney'!B964))),2,IF(ISNUMBER(SEARCH("CEK:",'Offshore - Sydney'!N964)),1,0))</f>
        <v>0</v>
      </c>
    </row>
    <row r="1572" customFormat="false" ht="15" hidden="false" customHeight="false" outlineLevel="0" collapsed="false">
      <c r="A1572" s="63" t="s">
        <v>3533</v>
      </c>
      <c r="B1572" s="64" t="s">
        <v>4374</v>
      </c>
      <c r="C1572" s="63" t="s">
        <v>41</v>
      </c>
      <c r="D1572" s="64" t="str">
        <f aca="false">TRIM(LEFT('Offshore - Sydney'!A1151,FIND(CHAR(10),'Offshore - Sydney'!A1151&amp;CHAR(10))-1))</f>
        <v>York Business Institute</v>
      </c>
      <c r="E1572" s="63" t="str">
        <f aca="false">'Offshore - Sydney'!C1160&amp;""</f>
        <v>3,5 years</v>
      </c>
      <c r="F1572" s="63" t="str">
        <f aca="false">IF('Offshore - Sydney'!D1160="","Belum tercatat",'Offshore - Sydney'!D1160)</f>
        <v>Term</v>
      </c>
      <c r="G1572" s="65" t="n">
        <f aca="false">IF('Offshore - Sydney'!E1160="","-",'Offshore - Sydney'!E1160)</f>
        <v>1500</v>
      </c>
      <c r="H1572" s="63" t="n">
        <f aca="false">IF(ISNUMBER(K1572),COUNTIFS($J$6:$J$1854,J1572,$K$6:$K$1854,"&lt;"&amp;K1572)+1,"-")</f>
        <v>1</v>
      </c>
      <c r="I1572" s="64" t="str">
        <f aca="false">IF('Offshore - Sydney'!E1160="","Harga belum tersedia - hubungi konsultan TEG",IF(M1572=2,"Saat ini tidak menerima pendaftaran siswa internasional baru",IF(M1572=1,"Harga perlu dikonfirmasi ke sekolah"&amp;IF(""="","","; "&amp;""),"")))</f>
        <v>Harga perlu dikonfirmasi ke sekolah</v>
      </c>
      <c r="J1572" s="0" t="s">
        <v>4439</v>
      </c>
      <c r="K1572" s="0" t="n">
        <f aca="false">IF(M1572=2,"",IF(ISNUMBER(SEARCH("rata-rata:",'Offshore - Sydney'!N1160)),VALUE(MID('Offshore - Sydney'!N1160,SEARCH("rata-rata:",'Offshore - Sydney'!N1160)+11,FIND(";",'Offshore - Sydney'!N1160&amp;";",SEARCH("rata-rata:",'Offshore - Sydney'!N1160))-SEARCH("rata-rata:",'Offshore - Sydney'!N1160)-11)),IF('Offshore - Sydney'!D1160="Semester",'Offshore - Sydney'!E1160*2,IF('Offshore - Sydney'!D1160="Trimester",'Offshore - Sydney'!E1160*3,IF('Offshore - Sydney'!D1160="Term",'Offshore - Sydney'!E1160*4,IF('Offshore - Sydney'!D1160="Unit",'Offshore - Sydney'!E1160*8,""))))))</f>
        <v>6000</v>
      </c>
      <c r="L1572" s="0" t="n">
        <f aca="false">IF(AND(ISNUMBER('Offshore - Sydney'!E1160),ISNUMBER(K1572),ISNUMBER('Offshore - Sydney'!F1160),ISNUMBER('Offshore - Sydney'!G1160),OR('Offshore - Sydney'!F1160&lt;&gt;0,ISNUMBER(SEARCH("Material 0 terverifikasi",'Offshore - Sydney'!N1160))),OR('Offshore - Sydney'!G1160&lt;&gt;0,ISNUMBER(SEARCH("Enrolment 0 terverifikasi",'Offshore - Sydney'!N1160)))),1,0)</f>
        <v>1</v>
      </c>
      <c r="M1572" s="0" t="n">
        <f aca="false">IF(OR('Offshore - Sydney'!E1160="",ISNUMBER(SEARCH("BSB80120",'Offshore - Sydney'!B1160&amp;'Offshore - Sydney'!N1160)),ISNUMBER(SEARCH("Management (Learning)",'Offshore - Sydney'!B1160))),2,IF(ISNUMBER(SEARCH("CEK:",'Offshore - Sydney'!N1160)),1,0))</f>
        <v>1</v>
      </c>
    </row>
    <row r="1573" customFormat="false" ht="15" hidden="false" customHeight="false" outlineLevel="0" collapsed="false">
      <c r="A1573" s="63" t="s">
        <v>3533</v>
      </c>
      <c r="B1573" s="64" t="s">
        <v>4374</v>
      </c>
      <c r="C1573" s="63" t="s">
        <v>41</v>
      </c>
      <c r="D1573" s="64" t="str">
        <f aca="false">TRIM(LEFT('Offshore - Sydney'!A411,FIND(CHAR(10),'Offshore - Sydney'!A411&amp;CHAR(10))-1))</f>
        <v>Eton College</v>
      </c>
      <c r="E1573" s="63" t="str">
        <f aca="false">'Offshore - Sydney'!C411&amp;""</f>
        <v>2 years</v>
      </c>
      <c r="F1573" s="63" t="str">
        <f aca="false">IF('Offshore - Sydney'!D411="","Belum tercatat",'Offshore - Sydney'!D411)</f>
        <v>Term</v>
      </c>
      <c r="G1573" s="65" t="n">
        <f aca="false">IF('Offshore - Sydney'!E411="","-",'Offshore - Sydney'!E411)</f>
        <v>1750</v>
      </c>
      <c r="H1573" s="63" t="n">
        <f aca="false">IF(ISNUMBER(K1573),COUNTIFS($J$6:$J$1854,J1573,$K$6:$K$1854,"&lt;"&amp;K1573)+1,"-")</f>
        <v>4</v>
      </c>
      <c r="I1573" s="64" t="str">
        <f aca="false">IF('Offshore - Sydney'!E411="","Harga belum tersedia - hubungi konsultan TEG",IF(M1573=2,"Saat ini tidak menerima pendaftaran siswa internasional baru",IF(M1573=1,"Harga perlu dikonfirmasi ke sekolah"&amp;IF(""="","","; "&amp;""),"")))</f>
        <v/>
      </c>
      <c r="J1573" s="0" t="s">
        <v>4439</v>
      </c>
      <c r="K1573" s="0" t="n">
        <f aca="false">IF(M1573=2,"",IF(ISNUMBER(SEARCH("rata-rata:",'Offshore - Sydney'!N411)),VALUE(MID('Offshore - Sydney'!N411,SEARCH("rata-rata:",'Offshore - Sydney'!N411)+11,FIND(";",'Offshore - Sydney'!N411&amp;";",SEARCH("rata-rata:",'Offshore - Sydney'!N411))-SEARCH("rata-rata:",'Offshore - Sydney'!N411)-11)),IF('Offshore - Sydney'!D411="Semester",'Offshore - Sydney'!E411*2,IF('Offshore - Sydney'!D411="Trimester",'Offshore - Sydney'!E411*3,IF('Offshore - Sydney'!D411="Term",'Offshore - Sydney'!E411*4,IF('Offshore - Sydney'!D411="Unit",'Offshore - Sydney'!E411*8,""))))))</f>
        <v>7000</v>
      </c>
      <c r="L1573" s="0" t="n">
        <f aca="false">IF(AND(ISNUMBER('Offshore - Sydney'!E411),ISNUMBER(K1573),ISNUMBER('Offshore - Sydney'!F411),ISNUMBER('Offshore - Sydney'!G411),OR('Offshore - Sydney'!F411&lt;&gt;0,ISNUMBER(SEARCH("Material 0 terverifikasi",'Offshore - Sydney'!N411))),OR('Offshore - Sydney'!G411&lt;&gt;0,ISNUMBER(SEARCH("Enrolment 0 terverifikasi",'Offshore - Sydney'!N411)))),1,0)</f>
        <v>1</v>
      </c>
      <c r="M1573" s="0" t="n">
        <f aca="false">IF(OR('Offshore - Sydney'!E411="",ISNUMBER(SEARCH("BSB80120",'Offshore - Sydney'!B411&amp;'Offshore - Sydney'!N411)),ISNUMBER(SEARCH("Management (Learning)",'Offshore - Sydney'!B411))),2,IF(ISNUMBER(SEARCH("CEK:",'Offshore - Sydney'!N411)),1,0))</f>
        <v>0</v>
      </c>
    </row>
    <row r="1574" customFormat="false" ht="28.35" hidden="false" customHeight="false" outlineLevel="0" collapsed="false">
      <c r="A1574" s="63" t="s">
        <v>3533</v>
      </c>
      <c r="B1574" s="64" t="s">
        <v>4374</v>
      </c>
      <c r="C1574" s="63" t="s">
        <v>41</v>
      </c>
      <c r="D1574" s="64" t="str">
        <f aca="false">TRIM(LEFT('Offshore - Sydney'!A261,FIND(CHAR(10),'Offshore - Sydney'!A261&amp;CHAR(10))-1))</f>
        <v>Australian College of Business Intelligence (ACBI)</v>
      </c>
      <c r="E1574" s="63" t="str">
        <f aca="false">'Offshore - Sydney'!C269&amp;""</f>
        <v>52 weeks (4 terms)</v>
      </c>
      <c r="F1574" s="63" t="str">
        <f aca="false">IF('Offshore - Sydney'!D269="","Belum tercatat",'Offshore - Sydney'!D269)</f>
        <v>Term</v>
      </c>
      <c r="G1574" s="65" t="n">
        <f aca="false">IF('Offshore - Sydney'!E269="","-",'Offshore - Sydney'!E269)</f>
        <v>1800</v>
      </c>
      <c r="H1574" s="63" t="n">
        <f aca="false">IF(ISNUMBER(K1574),COUNTIFS($J$6:$J$1854,J1574,$K$6:$K$1854,"&lt;"&amp;K1574)+1,"-")</f>
        <v>5</v>
      </c>
      <c r="I1574" s="64" t="str">
        <f aca="false">IF('Offshore - Sydney'!E269="","Harga belum tersedia - hubungi konsultan TEG",IF(M1574=2,"Saat ini tidak menerima pendaftaran siswa internasional baru",IF(M1574=1,"Harga perlu dikonfirmasi ke sekolah"&amp;IF(""="","","; "&amp;""),"")))</f>
        <v/>
      </c>
      <c r="J1574" s="0" t="s">
        <v>4439</v>
      </c>
      <c r="K1574" s="0" t="n">
        <f aca="false">IF(M1574=2,"",IF(ISNUMBER(SEARCH("rata-rata:",'Offshore - Sydney'!N269)),VALUE(MID('Offshore - Sydney'!N269,SEARCH("rata-rata:",'Offshore - Sydney'!N269)+11,FIND(";",'Offshore - Sydney'!N269&amp;";",SEARCH("rata-rata:",'Offshore - Sydney'!N269))-SEARCH("rata-rata:",'Offshore - Sydney'!N269)-11)),IF('Offshore - Sydney'!D269="Semester",'Offshore - Sydney'!E269*2,IF('Offshore - Sydney'!D269="Trimester",'Offshore - Sydney'!E269*3,IF('Offshore - Sydney'!D269="Term",'Offshore - Sydney'!E269*4,IF('Offshore - Sydney'!D269="Unit",'Offshore - Sydney'!E269*8,""))))))</f>
        <v>7200</v>
      </c>
      <c r="L1574" s="0" t="n">
        <f aca="false">IF(AND(ISNUMBER('Offshore - Sydney'!E269),ISNUMBER(K1574),ISNUMBER('Offshore - Sydney'!F269),ISNUMBER('Offshore - Sydney'!G269),OR('Offshore - Sydney'!F269&lt;&gt;0,ISNUMBER(SEARCH("Material 0 terverifikasi",'Offshore - Sydney'!N269))),OR('Offshore - Sydney'!G269&lt;&gt;0,ISNUMBER(SEARCH("Enrolment 0 terverifikasi",'Offshore - Sydney'!N269)))),1,0)</f>
        <v>1</v>
      </c>
      <c r="M1574" s="0" t="n">
        <f aca="false">IF(OR('Offshore - Sydney'!E269="",ISNUMBER(SEARCH("BSB80120",'Offshore - Sydney'!B269&amp;'Offshore - Sydney'!N269)),ISNUMBER(SEARCH("Management (Learning)",'Offshore - Sydney'!B269))),2,IF(ISNUMBER(SEARCH("CEK:",'Offshore - Sydney'!N269)),1,0))</f>
        <v>0</v>
      </c>
    </row>
    <row r="1575" customFormat="false" ht="15" hidden="false" customHeight="false" outlineLevel="0" collapsed="false">
      <c r="A1575" s="63" t="s">
        <v>3533</v>
      </c>
      <c r="B1575" s="64" t="s">
        <v>4374</v>
      </c>
      <c r="C1575" s="63" t="s">
        <v>41</v>
      </c>
      <c r="D1575" s="64" t="str">
        <f aca="false">TRIM(LEFT('Offshore - Sydney'!A494,FIND(CHAR(10),'Offshore - Sydney'!A494&amp;CHAR(10))-1))</f>
        <v>INUS / ZOI (Nuture Education Group)</v>
      </c>
      <c r="E1575" s="63" t="str">
        <f aca="false">'Offshore - Sydney'!C495&amp;""</f>
        <v>2 years</v>
      </c>
      <c r="F1575" s="63" t="str">
        <f aca="false">IF('Offshore - Sydney'!D495="","Belum tercatat",'Offshore - Sydney'!D495)</f>
        <v>Term</v>
      </c>
      <c r="G1575" s="65" t="n">
        <f aca="false">IF('Offshore - Sydney'!E495="","-",'Offshore - Sydney'!E495)</f>
        <v>2000</v>
      </c>
      <c r="H1575" s="63" t="n">
        <f aca="false">IF(ISNUMBER(K1575),COUNTIFS($J$6:$J$1854,J1575,$K$6:$K$1854,"&lt;"&amp;K1575)+1,"-")</f>
        <v>6</v>
      </c>
      <c r="I1575" s="64" t="str">
        <f aca="false">IF('Offshore - Sydney'!E495="","Harga belum tersedia - hubungi konsultan TEG",IF(M1575=2,"Saat ini tidak menerima pendaftaran siswa internasional baru",IF(M1575=1,"Harga perlu dikonfirmasi ke sekolah"&amp;IF(""="","","; "&amp;""),"")))</f>
        <v>Harga perlu dikonfirmasi ke sekolah</v>
      </c>
      <c r="J1575" s="0" t="s">
        <v>4439</v>
      </c>
      <c r="K1575" s="0" t="n">
        <f aca="false">IF(M1575=2,"",IF(ISNUMBER(SEARCH("rata-rata:",'Offshore - Sydney'!N495)),VALUE(MID('Offshore - Sydney'!N495,SEARCH("rata-rata:",'Offshore - Sydney'!N495)+11,FIND(";",'Offshore - Sydney'!N495&amp;";",SEARCH("rata-rata:",'Offshore - Sydney'!N495))-SEARCH("rata-rata:",'Offshore - Sydney'!N495)-11)),IF('Offshore - Sydney'!D495="Semester",'Offshore - Sydney'!E495*2,IF('Offshore - Sydney'!D495="Trimester",'Offshore - Sydney'!E495*3,IF('Offshore - Sydney'!D495="Term",'Offshore - Sydney'!E495*4,IF('Offshore - Sydney'!D495="Unit",'Offshore - Sydney'!E495*8,""))))))</f>
        <v>8000</v>
      </c>
      <c r="L1575" s="0" t="n">
        <f aca="false">IF(AND(ISNUMBER('Offshore - Sydney'!E495),ISNUMBER(K1575),ISNUMBER('Offshore - Sydney'!F495),ISNUMBER('Offshore - Sydney'!G495),OR('Offshore - Sydney'!F495&lt;&gt;0,ISNUMBER(SEARCH("Material 0 terverifikasi",'Offshore - Sydney'!N495))),OR('Offshore - Sydney'!G495&lt;&gt;0,ISNUMBER(SEARCH("Enrolment 0 terverifikasi",'Offshore - Sydney'!N495)))),1,0)</f>
        <v>1</v>
      </c>
      <c r="M1575" s="0" t="n">
        <f aca="false">IF(OR('Offshore - Sydney'!E495="",ISNUMBER(SEARCH("BSB80120",'Offshore - Sydney'!B495&amp;'Offshore - Sydney'!N495)),ISNUMBER(SEARCH("Management (Learning)",'Offshore - Sydney'!B495))),2,IF(ISNUMBER(SEARCH("CEK:",'Offshore - Sydney'!N495)),1,0))</f>
        <v>1</v>
      </c>
    </row>
    <row r="1576" customFormat="false" ht="15" hidden="false" customHeight="false" outlineLevel="0" collapsed="false">
      <c r="A1576" s="63" t="s">
        <v>3533</v>
      </c>
      <c r="B1576" s="64" t="s">
        <v>4374</v>
      </c>
      <c r="C1576" s="63" t="s">
        <v>41</v>
      </c>
      <c r="D1576" s="64" t="str">
        <f aca="false">TRIM(LEFT('Offshore - Sydney'!A703,FIND(CHAR(10),'Offshore - Sydney'!A703&amp;CHAR(10))-1))</f>
        <v>Sydney Metro College (SMC)</v>
      </c>
      <c r="E1576" s="63" t="str">
        <f aca="false">'Offshore - Sydney'!C707&amp;""</f>
        <v>2 years</v>
      </c>
      <c r="F1576" s="63" t="str">
        <f aca="false">IF('Offshore - Sydney'!D707="","Belum tercatat",'Offshore - Sydney'!D707)</f>
        <v>Term</v>
      </c>
      <c r="G1576" s="65" t="n">
        <f aca="false">IF('Offshore - Sydney'!E707="","-",'Offshore - Sydney'!E707)</f>
        <v>2200</v>
      </c>
      <c r="H1576" s="63" t="n">
        <f aca="false">IF(ISNUMBER(K1576),COUNTIFS($J$6:$J$1854,J1576,$K$6:$K$1854,"&lt;"&amp;K1576)+1,"-")</f>
        <v>7</v>
      </c>
      <c r="I1576" s="64" t="str">
        <f aca="false">IF('Offshore - Sydney'!E707="","Harga belum tersedia - hubungi konsultan TEG",IF(M1576=2,"Saat ini tidak menerima pendaftaran siswa internasional baru",IF(M1576=1,"Harga perlu dikonfirmasi ke sekolah"&amp;IF(""="","","; "&amp;""),"")))</f>
        <v/>
      </c>
      <c r="J1576" s="0" t="s">
        <v>4439</v>
      </c>
      <c r="K1576" s="0" t="n">
        <f aca="false">IF(M1576=2,"",IF(ISNUMBER(SEARCH("rata-rata:",'Offshore - Sydney'!N707)),VALUE(MID('Offshore - Sydney'!N707,SEARCH("rata-rata:",'Offshore - Sydney'!N707)+11,FIND(";",'Offshore - Sydney'!N707&amp;";",SEARCH("rata-rata:",'Offshore - Sydney'!N707))-SEARCH("rata-rata:",'Offshore - Sydney'!N707)-11)),IF('Offshore - Sydney'!D707="Semester",'Offshore - Sydney'!E707*2,IF('Offshore - Sydney'!D707="Trimester",'Offshore - Sydney'!E707*3,IF('Offshore - Sydney'!D707="Term",'Offshore - Sydney'!E707*4,IF('Offshore - Sydney'!D707="Unit",'Offshore - Sydney'!E707*8,""))))))</f>
        <v>8800</v>
      </c>
      <c r="L1576" s="0" t="n">
        <f aca="false">IF(AND(ISNUMBER('Offshore - Sydney'!E707),ISNUMBER(K1576),ISNUMBER('Offshore - Sydney'!F707),ISNUMBER('Offshore - Sydney'!G707),OR('Offshore - Sydney'!F707&lt;&gt;0,ISNUMBER(SEARCH("Material 0 terverifikasi",'Offshore - Sydney'!N707))),OR('Offshore - Sydney'!G707&lt;&gt;0,ISNUMBER(SEARCH("Enrolment 0 terverifikasi",'Offshore - Sydney'!N707)))),1,0)</f>
        <v>1</v>
      </c>
      <c r="M1576" s="0" t="n">
        <f aca="false">IF(OR('Offshore - Sydney'!E707="",ISNUMBER(SEARCH("BSB80120",'Offshore - Sydney'!B707&amp;'Offshore - Sydney'!N707)),ISNUMBER(SEARCH("Management (Learning)",'Offshore - Sydney'!B707))),2,IF(ISNUMBER(SEARCH("CEK:",'Offshore - Sydney'!N707)),1,0))</f>
        <v>0</v>
      </c>
    </row>
    <row r="1577" customFormat="false" ht="28.35" hidden="false" customHeight="false" outlineLevel="0" collapsed="false">
      <c r="A1577" s="63" t="s">
        <v>3533</v>
      </c>
      <c r="B1577" s="64" t="s">
        <v>4374</v>
      </c>
      <c r="C1577" s="63" t="s">
        <v>41</v>
      </c>
      <c r="D1577" s="64" t="str">
        <f aca="false">TRIM(LEFT('Offshore - Sydney'!A88,FIND(CHAR(10),'Offshore - Sydney'!A88&amp;CHAR(10))-1))</f>
        <v>Albright Institute of Business and Language (AIBL)</v>
      </c>
      <c r="E1577" s="63" t="str">
        <f aca="false">'Offshore - Sydney'!C92&amp;""</f>
        <v>2 years</v>
      </c>
      <c r="F1577" s="63" t="str">
        <f aca="false">IF('Offshore - Sydney'!D92="","Belum tercatat",'Offshore - Sydney'!D92)</f>
        <v>Term</v>
      </c>
      <c r="G1577" s="65" t="n">
        <f aca="false">IF('Offshore - Sydney'!E92="","-",'Offshore - Sydney'!E92)</f>
        <v>2250</v>
      </c>
      <c r="H1577" s="63" t="n">
        <f aca="false">IF(ISNUMBER(K1577),COUNTIFS($J$6:$J$1854,J1577,$K$6:$K$1854,"&lt;"&amp;K1577)+1,"-")</f>
        <v>8</v>
      </c>
      <c r="I1577" s="64" t="str">
        <f aca="false">IF('Offshore - Sydney'!E92="","Harga belum tersedia - hubungi konsultan TEG",IF(M1577=2,"Saat ini tidak menerima pendaftaran siswa internasional baru",IF(M1577=1,"Harga perlu dikonfirmasi ke sekolah"&amp;IF(""="","","; "&amp;""),"")))</f>
        <v/>
      </c>
      <c r="J1577" s="0" t="s">
        <v>4439</v>
      </c>
      <c r="K1577" s="0" t="n">
        <f aca="false">IF(M1577=2,"",IF(ISNUMBER(SEARCH("rata-rata:",'Offshore - Sydney'!N92)),VALUE(MID('Offshore - Sydney'!N92,SEARCH("rata-rata:",'Offshore - Sydney'!N92)+11,FIND(";",'Offshore - Sydney'!N92&amp;";",SEARCH("rata-rata:",'Offshore - Sydney'!N92))-SEARCH("rata-rata:",'Offshore - Sydney'!N92)-11)),IF('Offshore - Sydney'!D92="Semester",'Offshore - Sydney'!E92*2,IF('Offshore - Sydney'!D92="Trimester",'Offshore - Sydney'!E92*3,IF('Offshore - Sydney'!D92="Term",'Offshore - Sydney'!E92*4,IF('Offshore - Sydney'!D92="Unit",'Offshore - Sydney'!E92*8,""))))))</f>
        <v>9000</v>
      </c>
      <c r="L1577" s="0" t="n">
        <f aca="false">IF(AND(ISNUMBER('Offshore - Sydney'!E92),ISNUMBER(K1577),ISNUMBER('Offshore - Sydney'!F92),ISNUMBER('Offshore - Sydney'!G92),OR('Offshore - Sydney'!F92&lt;&gt;0,ISNUMBER(SEARCH("Material 0 terverifikasi",'Offshore - Sydney'!N92))),OR('Offshore - Sydney'!G92&lt;&gt;0,ISNUMBER(SEARCH("Enrolment 0 terverifikasi",'Offshore - Sydney'!N92)))),1,0)</f>
        <v>1</v>
      </c>
      <c r="M1577" s="0" t="n">
        <f aca="false">IF(OR('Offshore - Sydney'!E92="",ISNUMBER(SEARCH("BSB80120",'Offshore - Sydney'!B92&amp;'Offshore - Sydney'!N92)),ISNUMBER(SEARCH("Management (Learning)",'Offshore - Sydney'!B92))),2,IF(ISNUMBER(SEARCH("CEK:",'Offshore - Sydney'!N92)),1,0))</f>
        <v>0</v>
      </c>
    </row>
    <row r="1578" customFormat="false" ht="15" hidden="false" customHeight="false" outlineLevel="0" collapsed="false">
      <c r="A1578" s="63" t="s">
        <v>3533</v>
      </c>
      <c r="B1578" s="64" t="s">
        <v>4374</v>
      </c>
      <c r="C1578" s="63" t="s">
        <v>41</v>
      </c>
      <c r="D1578" s="64" t="str">
        <f aca="false">TRIM(LEFT('Offshore - Sydney'!A131,FIND(CHAR(10),'Offshore - Sydney'!A131&amp;CHAR(10))-1))</f>
        <v>Asia Pacific International College (APIC)</v>
      </c>
      <c r="E1578" s="63" t="str">
        <f aca="false">'Offshore - Sydney'!C131&amp;""</f>
        <v>1 year</v>
      </c>
      <c r="F1578" s="63" t="str">
        <f aca="false">IF('Offshore - Sydney'!D131="","Belum tercatat",'Offshore - Sydney'!D131)</f>
        <v>Trimester</v>
      </c>
      <c r="G1578" s="65" t="n">
        <f aca="false">IF('Offshore - Sydney'!E131="","-",'Offshore - Sydney'!E131)</f>
        <v>3000</v>
      </c>
      <c r="H1578" s="63" t="n">
        <f aca="false">IF(ISNUMBER(K1578),COUNTIFS($J$6:$J$1854,J1578,$K$6:$K$1854,"&lt;"&amp;K1578)+1,"-")</f>
        <v>8</v>
      </c>
      <c r="I1578" s="64" t="str">
        <f aca="false">IF('Offshore - Sydney'!E131="","Harga belum tersedia - hubungi konsultan TEG",IF(M1578=2,"Saat ini tidak menerima pendaftaran siswa internasional baru",IF(M1578=1,"Harga perlu dikonfirmasi ke sekolah"&amp;IF(""="","","; "&amp;""),"")))</f>
        <v/>
      </c>
      <c r="J1578" s="0" t="s">
        <v>4439</v>
      </c>
      <c r="K1578" s="0" t="n">
        <f aca="false">IF(M1578=2,"",IF(ISNUMBER(SEARCH("rata-rata:",'Offshore - Sydney'!N131)),VALUE(MID('Offshore - Sydney'!N131,SEARCH("rata-rata:",'Offshore - Sydney'!N131)+11,FIND(";",'Offshore - Sydney'!N131&amp;";",SEARCH("rata-rata:",'Offshore - Sydney'!N131))-SEARCH("rata-rata:",'Offshore - Sydney'!N131)-11)),IF('Offshore - Sydney'!D131="Semester",'Offshore - Sydney'!E131*2,IF('Offshore - Sydney'!D131="Trimester",'Offshore - Sydney'!E131*3,IF('Offshore - Sydney'!D131="Term",'Offshore - Sydney'!E131*4,IF('Offshore - Sydney'!D131="Unit",'Offshore - Sydney'!E131*8,""))))))</f>
        <v>9000</v>
      </c>
      <c r="L1578" s="0" t="n">
        <f aca="false">IF(AND(ISNUMBER('Offshore - Sydney'!E131),ISNUMBER(K1578),ISNUMBER('Offshore - Sydney'!F131),ISNUMBER('Offshore - Sydney'!G131),OR('Offshore - Sydney'!F131&lt;&gt;0,ISNUMBER(SEARCH("Material 0 terverifikasi",'Offshore - Sydney'!N131))),OR('Offshore - Sydney'!G131&lt;&gt;0,ISNUMBER(SEARCH("Enrolment 0 terverifikasi",'Offshore - Sydney'!N131)))),1,0)</f>
        <v>0</v>
      </c>
      <c r="M1578" s="0" t="n">
        <f aca="false">IF(OR('Offshore - Sydney'!E131="",ISNUMBER(SEARCH("BSB80120",'Offshore - Sydney'!B131&amp;'Offshore - Sydney'!N131)),ISNUMBER(SEARCH("Management (Learning)",'Offshore - Sydney'!B131))),2,IF(ISNUMBER(SEARCH("CEK:",'Offshore - Sydney'!N131)),1,0))</f>
        <v>0</v>
      </c>
    </row>
    <row r="1579" customFormat="false" ht="15" hidden="false" customHeight="false" outlineLevel="0" collapsed="false">
      <c r="A1579" s="63" t="s">
        <v>3533</v>
      </c>
      <c r="B1579" s="64" t="s">
        <v>4374</v>
      </c>
      <c r="C1579" s="63" t="s">
        <v>41</v>
      </c>
      <c r="D1579" s="64" t="str">
        <f aca="false">TRIM(LEFT('Offshore - Sydney'!A660,FIND(CHAR(10),'Offshore - Sydney'!A660&amp;CHAR(10))-1))</f>
        <v>Rosehill College</v>
      </c>
      <c r="E1579" s="63" t="str">
        <f aca="false">'Offshore - Sydney'!C666&amp;""</f>
        <v>1,5 years</v>
      </c>
      <c r="F1579" s="63" t="str">
        <f aca="false">IF('Offshore - Sydney'!D666="","Belum tercatat",'Offshore - Sydney'!D666)</f>
        <v>Term</v>
      </c>
      <c r="G1579" s="65" t="n">
        <f aca="false">IF('Offshore - Sydney'!E666="","-",'Offshore - Sydney'!E666)</f>
        <v>2500</v>
      </c>
      <c r="H1579" s="63" t="n">
        <f aca="false">IF(ISNUMBER(K1579),COUNTIFS($J$6:$J$1854,J1579,$K$6:$K$1854,"&lt;"&amp;K1579)+1,"-")</f>
        <v>10</v>
      </c>
      <c r="I1579" s="64" t="str">
        <f aca="false">IF('Offshore - Sydney'!E666="","Harga belum tersedia - hubungi konsultan TEG",IF(M1579=2,"Saat ini tidak menerima pendaftaran siswa internasional baru",IF(M1579=1,"Harga perlu dikonfirmasi ke sekolah"&amp;IF(""="","","; "&amp;""),"")))</f>
        <v/>
      </c>
      <c r="J1579" s="0" t="s">
        <v>4439</v>
      </c>
      <c r="K1579" s="0" t="n">
        <f aca="false">IF(M1579=2,"",IF(ISNUMBER(SEARCH("rata-rata:",'Offshore - Sydney'!N666)),VALUE(MID('Offshore - Sydney'!N666,SEARCH("rata-rata:",'Offshore - Sydney'!N666)+11,FIND(";",'Offshore - Sydney'!N666&amp;";",SEARCH("rata-rata:",'Offshore - Sydney'!N666))-SEARCH("rata-rata:",'Offshore - Sydney'!N666)-11)),IF('Offshore - Sydney'!D666="Semester",'Offshore - Sydney'!E666*2,IF('Offshore - Sydney'!D666="Trimester",'Offshore - Sydney'!E666*3,IF('Offshore - Sydney'!D666="Term",'Offshore - Sydney'!E666*4,IF('Offshore - Sydney'!D666="Unit",'Offshore - Sydney'!E666*8,""))))))</f>
        <v>10000</v>
      </c>
      <c r="L1579" s="0" t="n">
        <f aca="false">IF(AND(ISNUMBER('Offshore - Sydney'!E666),ISNUMBER(K1579),ISNUMBER('Offshore - Sydney'!F666),ISNUMBER('Offshore - Sydney'!G666),OR('Offshore - Sydney'!F666&lt;&gt;0,ISNUMBER(SEARCH("Material 0 terverifikasi",'Offshore - Sydney'!N666))),OR('Offshore - Sydney'!G666&lt;&gt;0,ISNUMBER(SEARCH("Enrolment 0 terverifikasi",'Offshore - Sydney'!N666)))),1,0)</f>
        <v>1</v>
      </c>
      <c r="M1579" s="0" t="n">
        <f aca="false">IF(OR('Offshore - Sydney'!E666="",ISNUMBER(SEARCH("BSB80120",'Offshore - Sydney'!B666&amp;'Offshore - Sydney'!N666)),ISNUMBER(SEARCH("Management (Learning)",'Offshore - Sydney'!B666))),2,IF(ISNUMBER(SEARCH("CEK:",'Offshore - Sydney'!N666)),1,0))</f>
        <v>0</v>
      </c>
    </row>
    <row r="1580" customFormat="false" ht="15" hidden="false" customHeight="false" outlineLevel="0" collapsed="false">
      <c r="A1580" s="63" t="s">
        <v>3533</v>
      </c>
      <c r="B1580" s="64" t="s">
        <v>4374</v>
      </c>
      <c r="C1580" s="63" t="s">
        <v>41</v>
      </c>
      <c r="D1580" s="64" t="str">
        <f aca="false">TRIM(LEFT('Offshore - Sydney'!A968,FIND(CHAR(10),'Offshore - Sydney'!A968&amp;CHAR(10))-1))</f>
        <v>Western Sydney College (WSC)</v>
      </c>
      <c r="E1580" s="63" t="str">
        <f aca="false">'Offshore - Sydney'!C971&amp;""</f>
        <v>3 years</v>
      </c>
      <c r="F1580" s="63" t="str">
        <f aca="false">IF('Offshore - Sydney'!D971="","Belum tercatat",'Offshore - Sydney'!D971)</f>
        <v>Term</v>
      </c>
      <c r="G1580" s="65" t="n">
        <f aca="false">IF('Offshore - Sydney'!E971="","-",'Offshore - Sydney'!E971)</f>
        <v>3250</v>
      </c>
      <c r="H1580" s="63" t="n">
        <f aca="false">IF(ISNUMBER(K1580),COUNTIFS($J$6:$J$1854,J1580,$K$6:$K$1854,"&lt;"&amp;K1580)+1,"-")</f>
        <v>11</v>
      </c>
      <c r="I1580" s="64" t="str">
        <f aca="false">IF('Offshore - Sydney'!E971="","Harga belum tersedia - hubungi konsultan TEG",IF(M1580=2,"Saat ini tidak menerima pendaftaran siswa internasional baru",IF(M1580=1,"Program perlu dikonfirmasi ketersediaannya"&amp;IF(""="","","; "&amp;""),"")))</f>
        <v>Program perlu dikonfirmasi ketersediaannya</v>
      </c>
      <c r="J1580" s="0" t="s">
        <v>4439</v>
      </c>
      <c r="K1580" s="0" t="n">
        <f aca="false">IF(M1580=2,"",IF(ISNUMBER(SEARCH("rata-rata:",'Offshore - Sydney'!N971)),VALUE(MID('Offshore - Sydney'!N971,SEARCH("rata-rata:",'Offshore - Sydney'!N971)+11,FIND(";",'Offshore - Sydney'!N971&amp;";",SEARCH("rata-rata:",'Offshore - Sydney'!N971))-SEARCH("rata-rata:",'Offshore - Sydney'!N971)-11)),IF('Offshore - Sydney'!D971="Semester",'Offshore - Sydney'!E971*2,IF('Offshore - Sydney'!D971="Trimester",'Offshore - Sydney'!E971*3,IF('Offshore - Sydney'!D971="Term",'Offshore - Sydney'!E971*4,IF('Offshore - Sydney'!D971="Unit",'Offshore - Sydney'!E971*8,""))))))</f>
        <v>13000</v>
      </c>
      <c r="L1580" s="0" t="n">
        <f aca="false">IF(AND(ISNUMBER('Offshore - Sydney'!E971),ISNUMBER(K1580),ISNUMBER('Offshore - Sydney'!F971),ISNUMBER('Offshore - Sydney'!G971),OR('Offshore - Sydney'!F971&lt;&gt;0,ISNUMBER(SEARCH("Material 0 terverifikasi",'Offshore - Sydney'!N971))),OR('Offshore - Sydney'!G971&lt;&gt;0,ISNUMBER(SEARCH("Enrolment 0 terverifikasi",'Offshore - Sydney'!N971)))),1,0)</f>
        <v>1</v>
      </c>
      <c r="M1580" s="0" t="n">
        <f aca="false">IF(OR('Offshore - Sydney'!E971="",ISNUMBER(SEARCH("BSB80120",'Offshore - Sydney'!B971&amp;'Offshore - Sydney'!N971)),ISNUMBER(SEARCH("Management (Learning)",'Offshore - Sydney'!B971))),2,IF(ISNUMBER(SEARCH("CEK:",'Offshore - Sydney'!N971)),1,0))</f>
        <v>1</v>
      </c>
    </row>
    <row r="1581" customFormat="false" ht="15" hidden="false" customHeight="false" outlineLevel="0" collapsed="false">
      <c r="A1581" s="63" t="s">
        <v>3533</v>
      </c>
      <c r="B1581" s="64" t="s">
        <v>4374</v>
      </c>
      <c r="C1581" s="63" t="s">
        <v>41</v>
      </c>
      <c r="D1581" s="64" t="str">
        <f aca="false">TRIM(LEFT('Offshore - Sydney'!A481,FIND(CHAR(10),'Offshore - Sydney'!A481&amp;CHAR(10))-1))</f>
        <v>Hunter Education Group</v>
      </c>
      <c r="E1581" s="63" t="str">
        <f aca="false">'Offshore - Sydney'!C484&amp;""</f>
        <v>1 year</v>
      </c>
      <c r="F1581" s="63" t="str">
        <f aca="false">IF('Offshore - Sydney'!D484="","Belum tercatat",'Offshore - Sydney'!D484)</f>
        <v>Term</v>
      </c>
      <c r="G1581" s="65" t="n">
        <f aca="false">IF('Offshore - Sydney'!E484="","-",'Offshore - Sydney'!E484)</f>
        <v>4500</v>
      </c>
      <c r="H1581" s="63" t="n">
        <f aca="false">IF(ISNUMBER(K1581),COUNTIFS($J$6:$J$1854,J1581,$K$6:$K$1854,"&lt;"&amp;K1581)+1,"-")</f>
        <v>12</v>
      </c>
      <c r="I1581" s="64" t="str">
        <f aca="false">IF('Offshore - Sydney'!E484="","Harga belum tersedia - hubungi konsultan TEG",IF(M1581=2,"Saat ini tidak menerima pendaftaran siswa internasional baru",IF(M1581=1,"Program perlu dikonfirmasi ketersediaannya"&amp;IF(""="","","; "&amp;""),"")))</f>
        <v>Program perlu dikonfirmasi ketersediaannya</v>
      </c>
      <c r="J1581" s="0" t="s">
        <v>4439</v>
      </c>
      <c r="K1581" s="0" t="n">
        <f aca="false">IF(M1581=2,"",IF(ISNUMBER(SEARCH("rata-rata:",'Offshore - Sydney'!N484)),VALUE(MID('Offshore - Sydney'!N484,SEARCH("rata-rata:",'Offshore - Sydney'!N484)+11,FIND(";",'Offshore - Sydney'!N484&amp;";",SEARCH("rata-rata:",'Offshore - Sydney'!N484))-SEARCH("rata-rata:",'Offshore - Sydney'!N484)-11)),IF('Offshore - Sydney'!D484="Semester",'Offshore - Sydney'!E484*2,IF('Offshore - Sydney'!D484="Trimester",'Offshore - Sydney'!E484*3,IF('Offshore - Sydney'!D484="Term",'Offshore - Sydney'!E484*4,IF('Offshore - Sydney'!D484="Unit",'Offshore - Sydney'!E484*8,""))))))</f>
        <v>18000</v>
      </c>
      <c r="L1581" s="0" t="n">
        <f aca="false">IF(AND(ISNUMBER('Offshore - Sydney'!E484),ISNUMBER(K1581),ISNUMBER('Offshore - Sydney'!F484),ISNUMBER('Offshore - Sydney'!G484),OR('Offshore - Sydney'!F484&lt;&gt;0,ISNUMBER(SEARCH("Material 0 terverifikasi",'Offshore - Sydney'!N484))),OR('Offshore - Sydney'!G484&lt;&gt;0,ISNUMBER(SEARCH("Enrolment 0 terverifikasi",'Offshore - Sydney'!N484)))),1,0)</f>
        <v>0</v>
      </c>
      <c r="M1581" s="0" t="n">
        <f aca="false">IF(OR('Offshore - Sydney'!E484="",ISNUMBER(SEARCH("BSB80120",'Offshore - Sydney'!B484&amp;'Offshore - Sydney'!N484)),ISNUMBER(SEARCH("Management (Learning)",'Offshore - Sydney'!B484))),2,IF(ISNUMBER(SEARCH("CEK:",'Offshore - Sydney'!N484)),1,0))</f>
        <v>1</v>
      </c>
    </row>
    <row r="1582" customFormat="false" ht="15" hidden="false" customHeight="false" outlineLevel="0" collapsed="false">
      <c r="A1582" s="63" t="s">
        <v>3533</v>
      </c>
      <c r="B1582" s="64" t="s">
        <v>4374</v>
      </c>
      <c r="C1582" s="63" t="s">
        <v>41</v>
      </c>
      <c r="D1582" s="64" t="str">
        <f aca="false">TRIM(LEFT('Offshore - Sydney'!A721,FIND(CHAR(10),'Offshore - Sydney'!A721&amp;CHAR(10))-1))</f>
        <v>TAFE NSW</v>
      </c>
      <c r="E1582" s="63" t="str">
        <f aca="false">'Offshore - Sydney'!C761&amp;""</f>
        <v>1,5 years</v>
      </c>
      <c r="F1582" s="63" t="str">
        <f aca="false">IF('Offshore - Sydney'!D761="","Belum tercatat",'Offshore - Sydney'!D761)</f>
        <v>Term</v>
      </c>
      <c r="G1582" s="65" t="n">
        <f aca="false">IF('Offshore - Sydney'!E761="","-",'Offshore - Sydney'!E761)</f>
        <v>5113</v>
      </c>
      <c r="H1582" s="63" t="n">
        <f aca="false">IF(ISNUMBER(K1582),COUNTIFS($J$6:$J$1854,J1582,$K$6:$K$1854,"&lt;"&amp;K1582)+1,"-")</f>
        <v>13</v>
      </c>
      <c r="I1582" s="64" t="str">
        <f aca="false">IF('Offshore - Sydney'!E761="","Harga belum tersedia - hubungi konsultan TEG",IF(M1582=2,"Saat ini tidak menerima pendaftaran siswa internasional baru",IF(M1582=1,"Harga perlu dikonfirmasi ke sekolah"&amp;IF(""="","","; "&amp;""),"")))</f>
        <v/>
      </c>
      <c r="J1582" s="0" t="s">
        <v>4439</v>
      </c>
      <c r="K1582" s="0" t="n">
        <f aca="false">IF(M1582=2,"",IF(ISNUMBER(SEARCH("rata-rata:",'Offshore - Sydney'!N761)),VALUE(MID('Offshore - Sydney'!N761,SEARCH("rata-rata:",'Offshore - Sydney'!N761)+11,FIND(";",'Offshore - Sydney'!N761&amp;";",SEARCH("rata-rata:",'Offshore - Sydney'!N761))-SEARCH("rata-rata:",'Offshore - Sydney'!N761)-11)),IF('Offshore - Sydney'!D761="Semester",'Offshore - Sydney'!E761*2,IF('Offshore - Sydney'!D761="Trimester",'Offshore - Sydney'!E761*3,IF('Offshore - Sydney'!D761="Term",'Offshore - Sydney'!E761*4,IF('Offshore - Sydney'!D761="Unit",'Offshore - Sydney'!E761*8,""))))))</f>
        <v>20452</v>
      </c>
      <c r="L1582" s="0" t="n">
        <f aca="false">IF(AND(ISNUMBER('Offshore - Sydney'!E761),ISNUMBER(K1582),ISNUMBER('Offshore - Sydney'!F761),ISNUMBER('Offshore - Sydney'!G761),OR('Offshore - Sydney'!F761&lt;&gt;0,ISNUMBER(SEARCH("Material 0 terverifikasi",'Offshore - Sydney'!N761))),OR('Offshore - Sydney'!G761&lt;&gt;0,ISNUMBER(SEARCH("Enrolment 0 terverifikasi",'Offshore - Sydney'!N761)))),1,0)</f>
        <v>0</v>
      </c>
      <c r="M1582" s="0" t="n">
        <f aca="false">IF(OR('Offshore - Sydney'!E761="",ISNUMBER(SEARCH("BSB80120",'Offshore - Sydney'!B761&amp;'Offshore - Sydney'!N761)),ISNUMBER(SEARCH("Management (Learning)",'Offshore - Sydney'!B761))),2,IF(ISNUMBER(SEARCH("CEK:",'Offshore - Sydney'!N761)),1,0))</f>
        <v>0</v>
      </c>
    </row>
    <row r="1583" customFormat="false" ht="15" hidden="false" customHeight="false" outlineLevel="0" collapsed="false">
      <c r="A1583" s="63" t="s">
        <v>3533</v>
      </c>
      <c r="B1583" s="64" t="s">
        <v>4374</v>
      </c>
      <c r="C1583" s="63" t="s">
        <v>41</v>
      </c>
      <c r="D1583" s="64" t="str">
        <f aca="false">TRIM(LEFT('Offshore - Sydney'!A53,FIND(CHAR(10),'Offshore - Sydney'!A53&amp;CHAR(10))-1))</f>
        <v>Academy of Interactive Technology (AIT)</v>
      </c>
      <c r="E1583" s="63" t="str">
        <f aca="false">'Offshore - Sydney'!C62&amp;""</f>
        <v>1 year</v>
      </c>
      <c r="F1583" s="63" t="str">
        <f aca="false">IF('Offshore - Sydney'!D62="","Belum tercatat",'Offshore - Sydney'!D62)</f>
        <v>Term</v>
      </c>
      <c r="G1583" s="65" t="n">
        <f aca="false">IF('Offshore - Sydney'!E62="","-",'Offshore - Sydney'!E62)</f>
        <v>5750</v>
      </c>
      <c r="H1583" s="63" t="n">
        <f aca="false">IF(ISNUMBER(K1583),COUNTIFS($J$6:$J$1854,J1583,$K$6:$K$1854,"&lt;"&amp;K1583)+1,"-")</f>
        <v>14</v>
      </c>
      <c r="I1583" s="64" t="str">
        <f aca="false">IF('Offshore - Sydney'!E62="","Harga belum tersedia - hubungi konsultan TEG",IF(M1583=2,"Saat ini tidak menerima pendaftaran siswa internasional baru",IF(M1583=1,"Program perlu dikonfirmasi ketersediaannya"&amp;IF(""="","","; "&amp;""),"")))</f>
        <v>Program perlu dikonfirmasi ketersediaannya</v>
      </c>
      <c r="J1583" s="0" t="s">
        <v>4439</v>
      </c>
      <c r="K1583" s="0" t="n">
        <f aca="false">IF(M1583=2,"",IF(ISNUMBER(SEARCH("rata-rata:",'Offshore - Sydney'!N62)),VALUE(MID('Offshore - Sydney'!N62,SEARCH("rata-rata:",'Offshore - Sydney'!N62)+11,FIND(";",'Offshore - Sydney'!N62&amp;";",SEARCH("rata-rata:",'Offshore - Sydney'!N62))-SEARCH("rata-rata:",'Offshore - Sydney'!N62)-11)),IF('Offshore - Sydney'!D62="Semester",'Offshore - Sydney'!E62*2,IF('Offshore - Sydney'!D62="Trimester",'Offshore - Sydney'!E62*3,IF('Offshore - Sydney'!D62="Term",'Offshore - Sydney'!E62*4,IF('Offshore - Sydney'!D62="Unit",'Offshore - Sydney'!E62*8,""))))))</f>
        <v>23000</v>
      </c>
      <c r="L1583" s="0" t="n">
        <f aca="false">IF(AND(ISNUMBER('Offshore - Sydney'!E62),ISNUMBER(K1583),ISNUMBER('Offshore - Sydney'!F62),ISNUMBER('Offshore - Sydney'!G62),OR('Offshore - Sydney'!F62&lt;&gt;0,ISNUMBER(SEARCH("Material 0 terverifikasi",'Offshore - Sydney'!N62))),OR('Offshore - Sydney'!G62&lt;&gt;0,ISNUMBER(SEARCH("Enrolment 0 terverifikasi",'Offshore - Sydney'!N62)))),1,0)</f>
        <v>0</v>
      </c>
      <c r="M1583" s="0" t="n">
        <f aca="false">IF(OR('Offshore - Sydney'!E62="",ISNUMBER(SEARCH("BSB80120",'Offshore - Sydney'!B62&amp;'Offshore - Sydney'!N62)),ISNUMBER(SEARCH("Management (Learning)",'Offshore - Sydney'!B62))),2,IF(ISNUMBER(SEARCH("CEK:",'Offshore - Sydney'!N62)),1,0))</f>
        <v>1</v>
      </c>
    </row>
    <row r="1584" customFormat="false" ht="15" hidden="false" customHeight="false" outlineLevel="0" collapsed="false">
      <c r="A1584" s="63" t="s">
        <v>3533</v>
      </c>
      <c r="B1584" s="64" t="s">
        <v>4374</v>
      </c>
      <c r="C1584" s="63" t="s">
        <v>41</v>
      </c>
      <c r="D1584" s="64" t="str">
        <f aca="false">TRIM(LEFT('Offshore - Sydney'!A814,FIND(CHAR(10),'Offshore - Sydney'!A814&amp;CHAR(10))-1))</f>
        <v>Torrens University Australia</v>
      </c>
      <c r="E1584" s="63" t="str">
        <f aca="false">'Offshore - Sydney'!C863&amp;""</f>
        <v>1,5 years</v>
      </c>
      <c r="F1584" s="63" t="str">
        <f aca="false">IF('Offshore - Sydney'!D863="","Belum tercatat",'Offshore - Sydney'!D863)</f>
        <v>Term</v>
      </c>
      <c r="G1584" s="65" t="n">
        <f aca="false">IF('Offshore - Sydney'!E863="","-",'Offshore - Sydney'!E863)</f>
        <v>6250</v>
      </c>
      <c r="H1584" s="63" t="n">
        <f aca="false">IF(ISNUMBER(K1584),COUNTIFS($J$6:$J$1854,J1584,$K$6:$K$1854,"&lt;"&amp;K1584)+1,"-")</f>
        <v>15</v>
      </c>
      <c r="I1584" s="64" t="str">
        <f aca="false">IF('Offshore - Sydney'!E863="","Harga belum tersedia - hubungi konsultan TEG",IF(M1584=2,"Saat ini tidak menerima pendaftaran siswa internasional baru",IF(M1584=1,"Harga perlu dikonfirmasi ke sekolah"&amp;IF(""="","","; "&amp;""),"")))</f>
        <v/>
      </c>
      <c r="J1584" s="0" t="s">
        <v>4439</v>
      </c>
      <c r="K1584" s="0" t="n">
        <f aca="false">IF(M1584=2,"",IF(ISNUMBER(SEARCH("rata-rata:",'Offshore - Sydney'!N863)),VALUE(MID('Offshore - Sydney'!N863,SEARCH("rata-rata:",'Offshore - Sydney'!N863)+11,FIND(";",'Offshore - Sydney'!N863&amp;";",SEARCH("rata-rata:",'Offshore - Sydney'!N863))-SEARCH("rata-rata:",'Offshore - Sydney'!N863)-11)),IF('Offshore - Sydney'!D863="Semester",'Offshore - Sydney'!E863*2,IF('Offshore - Sydney'!D863="Trimester",'Offshore - Sydney'!E863*3,IF('Offshore - Sydney'!D863="Term",'Offshore - Sydney'!E863*4,IF('Offshore - Sydney'!D863="Unit",'Offshore - Sydney'!E863*8,""))))))</f>
        <v>25000</v>
      </c>
      <c r="L1584" s="0" t="n">
        <f aca="false">IF(AND(ISNUMBER('Offshore - Sydney'!E863),ISNUMBER(K1584),ISNUMBER('Offshore - Sydney'!F863),ISNUMBER('Offshore - Sydney'!G863),OR('Offshore - Sydney'!F863&lt;&gt;0,ISNUMBER(SEARCH("Material 0 terverifikasi",'Offshore - Sydney'!N863))),OR('Offshore - Sydney'!G863&lt;&gt;0,ISNUMBER(SEARCH("Enrolment 0 terverifikasi",'Offshore - Sydney'!N863)))),1,0)</f>
        <v>0</v>
      </c>
      <c r="M1584" s="0" t="n">
        <f aca="false">IF(OR('Offshore - Sydney'!E863="",ISNUMBER(SEARCH("BSB80120",'Offshore - Sydney'!B863&amp;'Offshore - Sydney'!N863)),ISNUMBER(SEARCH("Management (Learning)",'Offshore - Sydney'!B863))),2,IF(ISNUMBER(SEARCH("CEK:",'Offshore - Sydney'!N863)),1,0))</f>
        <v>0</v>
      </c>
    </row>
    <row r="1585" customFormat="false" ht="15" hidden="false" customHeight="false" outlineLevel="0" collapsed="false">
      <c r="A1585" s="63" t="s">
        <v>3533</v>
      </c>
      <c r="B1585" s="64" t="s">
        <v>4374</v>
      </c>
      <c r="C1585" s="63" t="s">
        <v>41</v>
      </c>
      <c r="D1585" s="64" t="str">
        <f aca="false">TRIM(LEFT('Offshore - Sydney'!A156,FIND(CHAR(10),'Offshore - Sydney'!A156&amp;CHAR(10))-1))</f>
        <v>Australian Catholic University (ACU)</v>
      </c>
      <c r="E1585" s="63" t="str">
        <f aca="false">'Offshore - Sydney'!C254&amp;""</f>
        <v>1 year</v>
      </c>
      <c r="F1585" s="63" t="str">
        <f aca="false">IF('Offshore - Sydney'!D254="","Belum tercatat",'Offshore - Sydney'!D254)</f>
        <v>Term</v>
      </c>
      <c r="G1585" s="65" t="n">
        <f aca="false">IF('Offshore - Sydney'!E254="","-",'Offshore - Sydney'!E254)</f>
        <v>8058</v>
      </c>
      <c r="H1585" s="63" t="n">
        <f aca="false">IF(ISNUMBER(K1585),COUNTIFS($J$6:$J$1854,J1585,$K$6:$K$1854,"&lt;"&amp;K1585)+1,"-")</f>
        <v>16</v>
      </c>
      <c r="I1585" s="64" t="str">
        <f aca="false">IF('Offshore - Sydney'!E254="","Harga belum tersedia - hubungi konsultan TEG",IF(M1585=2,"Saat ini tidak menerima pendaftaran siswa internasional baru",IF(M1585=1,"Harga perlu dikonfirmasi ke sekolah"&amp;IF(""="","","; "&amp;""),"")))</f>
        <v/>
      </c>
      <c r="J1585" s="0" t="s">
        <v>4439</v>
      </c>
      <c r="K1585" s="0" t="n">
        <f aca="false">IF(M1585=2,"",IF(ISNUMBER(SEARCH("rata-rata:",'Offshore - Sydney'!N254)),VALUE(MID('Offshore - Sydney'!N254,SEARCH("rata-rata:",'Offshore - Sydney'!N254)+11,FIND(";",'Offshore - Sydney'!N254&amp;";",SEARCH("rata-rata:",'Offshore - Sydney'!N254))-SEARCH("rata-rata:",'Offshore - Sydney'!N254)-11)),IF('Offshore - Sydney'!D254="Semester",'Offshore - Sydney'!E254*2,IF('Offshore - Sydney'!D254="Trimester",'Offshore - Sydney'!E254*3,IF('Offshore - Sydney'!D254="Term",'Offshore - Sydney'!E254*4,IF('Offshore - Sydney'!D254="Unit",'Offshore - Sydney'!E254*8,""))))))</f>
        <v>32232</v>
      </c>
      <c r="L1585" s="0" t="n">
        <f aca="false">IF(AND(ISNUMBER('Offshore - Sydney'!E254),ISNUMBER(K1585),ISNUMBER('Offshore - Sydney'!F254),ISNUMBER('Offshore - Sydney'!G254),OR('Offshore - Sydney'!F254&lt;&gt;0,ISNUMBER(SEARCH("Material 0 terverifikasi",'Offshore - Sydney'!N254))),OR('Offshore - Sydney'!G254&lt;&gt;0,ISNUMBER(SEARCH("Enrolment 0 terverifikasi",'Offshore - Sydney'!N254)))),1,0)</f>
        <v>0</v>
      </c>
      <c r="M1585" s="0" t="n">
        <f aca="false">IF(OR('Offshore - Sydney'!E254="",ISNUMBER(SEARCH("BSB80120",'Offshore - Sydney'!B254&amp;'Offshore - Sydney'!N254)),ISNUMBER(SEARCH("Management (Learning)",'Offshore - Sydney'!B254))),2,IF(ISNUMBER(SEARCH("CEK:",'Offshore - Sydney'!N254)),1,0))</f>
        <v>0</v>
      </c>
    </row>
    <row r="1586" customFormat="false" ht="15" hidden="false" customHeight="false" outlineLevel="0" collapsed="false">
      <c r="A1586" s="61" t="s">
        <v>4440</v>
      </c>
      <c r="B1586" s="62"/>
      <c r="C1586" s="62"/>
      <c r="D1586" s="62"/>
      <c r="E1586" s="62"/>
      <c r="F1586" s="62"/>
      <c r="G1586" s="62"/>
      <c r="H1586" s="62"/>
      <c r="I1586" s="62"/>
    </row>
    <row r="1587" customFormat="false" ht="15" hidden="false" customHeight="false" outlineLevel="0" collapsed="false">
      <c r="A1587" s="63" t="s">
        <v>3533</v>
      </c>
      <c r="B1587" s="64" t="s">
        <v>4374</v>
      </c>
      <c r="C1587" s="63" t="s">
        <v>42</v>
      </c>
      <c r="D1587" s="64" t="str">
        <f aca="false">TRIM(LEFT('Offshore - Sydney'!A448,FIND(CHAR(10),'Offshore - Sydney'!A448&amp;CHAR(10))-1))</f>
        <v>Greenwich College</v>
      </c>
      <c r="E1587" s="63" t="str">
        <f aca="false">'Offshore - Sydney'!C456&amp;""</f>
        <v>3 years</v>
      </c>
      <c r="F1587" s="63" t="str">
        <f aca="false">IF('Offshore - Sydney'!D456="","Belum tercatat",'Offshore - Sydney'!D456)</f>
        <v>Term</v>
      </c>
      <c r="G1587" s="65" t="n">
        <f aca="false">IF('Offshore - Sydney'!E456="","-",'Offshore - Sydney'!E456)</f>
        <v>1250</v>
      </c>
      <c r="H1587" s="63" t="n">
        <f aca="false">IF(ISNUMBER(K1587),COUNTIFS($J$6:$J$1854,J1587,$K$6:$K$1854,"&lt;"&amp;K1587)+1,"-")</f>
        <v>1</v>
      </c>
      <c r="I1587" s="64" t="str">
        <f aca="false">IF('Offshore - Sydney'!E456="","Harga belum tersedia - hubungi konsultan TEG",IF(M1587=2,"Saat ini tidak menerima pendaftaran siswa internasional baru",IF(M1587=1,"Harga perlu dikonfirmasi ke sekolah"&amp;IF(""="","","; "&amp;""),"")))</f>
        <v/>
      </c>
      <c r="J1587" s="0" t="s">
        <v>4441</v>
      </c>
      <c r="K1587" s="0" t="n">
        <f aca="false">IF(M1587=2,"",IF(ISNUMBER(SEARCH("rata-rata:",'Offshore - Sydney'!N456)),VALUE(MID('Offshore - Sydney'!N456,SEARCH("rata-rata:",'Offshore - Sydney'!N456)+11,FIND(";",'Offshore - Sydney'!N456&amp;";",SEARCH("rata-rata:",'Offshore - Sydney'!N456))-SEARCH("rata-rata:",'Offshore - Sydney'!N456)-11)),IF('Offshore - Sydney'!D456="Semester",'Offshore - Sydney'!E456*2,IF('Offshore - Sydney'!D456="Trimester",'Offshore - Sydney'!E456*3,IF('Offshore - Sydney'!D456="Term",'Offshore - Sydney'!E456*4,IF('Offshore - Sydney'!D456="Unit",'Offshore - Sydney'!E456*8,""))))))</f>
        <v>5000</v>
      </c>
      <c r="L1587" s="0" t="n">
        <f aca="false">IF(AND(ISNUMBER('Offshore - Sydney'!E456),ISNUMBER(K1587),ISNUMBER('Offshore - Sydney'!F456),ISNUMBER('Offshore - Sydney'!G456),OR('Offshore - Sydney'!F456&lt;&gt;0,ISNUMBER(SEARCH("Material 0 terverifikasi",'Offshore - Sydney'!N456))),OR('Offshore - Sydney'!G456&lt;&gt;0,ISNUMBER(SEARCH("Enrolment 0 terverifikasi",'Offshore - Sydney'!N456)))),1,0)</f>
        <v>1</v>
      </c>
      <c r="M1587" s="0" t="n">
        <f aca="false">IF(OR('Offshore - Sydney'!E456="",ISNUMBER(SEARCH("BSB80120",'Offshore - Sydney'!B456&amp;'Offshore - Sydney'!N456)),ISNUMBER(SEARCH("Management (Learning)",'Offshore - Sydney'!B456))),2,IF(ISNUMBER(SEARCH("CEK:",'Offshore - Sydney'!N456)),1,0))</f>
        <v>0</v>
      </c>
    </row>
    <row r="1588" customFormat="false" ht="15" hidden="false" customHeight="false" outlineLevel="0" collapsed="false">
      <c r="A1588" s="63" t="s">
        <v>3533</v>
      </c>
      <c r="B1588" s="64" t="s">
        <v>4374</v>
      </c>
      <c r="C1588" s="63" t="s">
        <v>42</v>
      </c>
      <c r="D1588" s="64" t="str">
        <f aca="false">TRIM(LEFT('Offshore - Sydney'!A40,FIND(CHAR(10),'Offshore - Sydney'!A40&amp;CHAR(10))-1))</f>
        <v>Academies Australasia</v>
      </c>
      <c r="E1588" s="63" t="str">
        <f aca="false">'Offshore - Sydney'!C44&amp;""</f>
        <v>2 years</v>
      </c>
      <c r="F1588" s="63" t="str">
        <f aca="false">IF('Offshore - Sydney'!D44="","Belum tercatat",'Offshore - Sydney'!D44)</f>
        <v>Term</v>
      </c>
      <c r="G1588" s="65" t="n">
        <f aca="false">IF('Offshore - Sydney'!E44="","-",'Offshore - Sydney'!E44)</f>
        <v>1500</v>
      </c>
      <c r="H1588" s="63" t="n">
        <f aca="false">IF(ISNUMBER(K1588),COUNTIFS($J$6:$J$1854,J1588,$K$6:$K$1854,"&lt;"&amp;K1588)+1,"-")</f>
        <v>2</v>
      </c>
      <c r="I1588" s="64" t="str">
        <f aca="false">IF('Offshore - Sydney'!E44="","Harga belum tersedia - hubungi konsultan TEG",IF(M1588=2,"Saat ini tidak menerima pendaftaran siswa internasional baru",IF(M1588=1,"Harga perlu dikonfirmasi ke sekolah"&amp;IF(""="","","; "&amp;""),"")))</f>
        <v/>
      </c>
      <c r="J1588" s="0" t="s">
        <v>4441</v>
      </c>
      <c r="K1588" s="0" t="n">
        <f aca="false">IF(M1588=2,"",IF(ISNUMBER(SEARCH("rata-rata:",'Offshore - Sydney'!N44)),VALUE(MID('Offshore - Sydney'!N44,SEARCH("rata-rata:",'Offshore - Sydney'!N44)+11,FIND(";",'Offshore - Sydney'!N44&amp;";",SEARCH("rata-rata:",'Offshore - Sydney'!N44))-SEARCH("rata-rata:",'Offshore - Sydney'!N44)-11)),IF('Offshore - Sydney'!D44="Semester",'Offshore - Sydney'!E44*2,IF('Offshore - Sydney'!D44="Trimester",'Offshore - Sydney'!E44*3,IF('Offshore - Sydney'!D44="Term",'Offshore - Sydney'!E44*4,IF('Offshore - Sydney'!D44="Unit",'Offshore - Sydney'!E44*8,""))))))</f>
        <v>6000</v>
      </c>
      <c r="L1588" s="0" t="n">
        <f aca="false">IF(AND(ISNUMBER('Offshore - Sydney'!E44),ISNUMBER(K1588),ISNUMBER('Offshore - Sydney'!F44),ISNUMBER('Offshore - Sydney'!G44),OR('Offshore - Sydney'!F44&lt;&gt;0,ISNUMBER(SEARCH("Material 0 terverifikasi",'Offshore - Sydney'!N44))),OR('Offshore - Sydney'!G44&lt;&gt;0,ISNUMBER(SEARCH("Enrolment 0 terverifikasi",'Offshore - Sydney'!N44)))),1,0)</f>
        <v>1</v>
      </c>
      <c r="M1588" s="0" t="n">
        <f aca="false">IF(OR('Offshore - Sydney'!E44="",ISNUMBER(SEARCH("BSB80120",'Offshore - Sydney'!B44&amp;'Offshore - Sydney'!N44)),ISNUMBER(SEARCH("Management (Learning)",'Offshore - Sydney'!B44))),2,IF(ISNUMBER(SEARCH("CEK:",'Offshore - Sydney'!N44)),1,0))</f>
        <v>0</v>
      </c>
    </row>
    <row r="1589" customFormat="false" ht="15" hidden="false" customHeight="false" outlineLevel="0" collapsed="false">
      <c r="A1589" s="63" t="s">
        <v>3533</v>
      </c>
      <c r="B1589" s="64" t="s">
        <v>4374</v>
      </c>
      <c r="C1589" s="63" t="s">
        <v>42</v>
      </c>
      <c r="D1589" s="64" t="str">
        <f aca="false">TRIM(LEFT('Offshore - Sydney'!A673,FIND(CHAR(10),'Offshore - Sydney'!A673&amp;CHAR(10))-1))</f>
        <v>Rosewood International College</v>
      </c>
      <c r="E1589" s="63" t="str">
        <f aca="false">'Offshore - Sydney'!C675&amp;""</f>
        <v>2,5 years</v>
      </c>
      <c r="F1589" s="63" t="str">
        <f aca="false">IF('Offshore - Sydney'!D675="","Belum tercatat",'Offshore - Sydney'!D675)</f>
        <v>Term</v>
      </c>
      <c r="G1589" s="65" t="n">
        <f aca="false">IF('Offshore - Sydney'!E675="","-",'Offshore - Sydney'!E675)</f>
        <v>1500</v>
      </c>
      <c r="H1589" s="63" t="n">
        <f aca="false">IF(ISNUMBER(K1589),COUNTIFS($J$6:$J$1854,J1589,$K$6:$K$1854,"&lt;"&amp;K1589)+1,"-")</f>
        <v>2</v>
      </c>
      <c r="I1589" s="64" t="str">
        <f aca="false">IF('Offshore - Sydney'!E675="","Harga belum tersedia - hubungi konsultan TEG",IF(M1589=2,"Saat ini tidak menerima pendaftaran siswa internasional baru",IF(M1589=1,"Harga perlu dikonfirmasi ke sekolah"&amp;IF(""="","","; "&amp;""),"")))</f>
        <v/>
      </c>
      <c r="J1589" s="0" t="s">
        <v>4441</v>
      </c>
      <c r="K1589" s="0" t="n">
        <f aca="false">IF(M1589=2,"",IF(ISNUMBER(SEARCH("rata-rata:",'Offshore - Sydney'!N675)),VALUE(MID('Offshore - Sydney'!N675,SEARCH("rata-rata:",'Offshore - Sydney'!N675)+11,FIND(";",'Offshore - Sydney'!N675&amp;";",SEARCH("rata-rata:",'Offshore - Sydney'!N675))-SEARCH("rata-rata:",'Offshore - Sydney'!N675)-11)),IF('Offshore - Sydney'!D675="Semester",'Offshore - Sydney'!E675*2,IF('Offshore - Sydney'!D675="Trimester",'Offshore - Sydney'!E675*3,IF('Offshore - Sydney'!D675="Term",'Offshore - Sydney'!E675*4,IF('Offshore - Sydney'!D675="Unit",'Offshore - Sydney'!E675*8,""))))))</f>
        <v>6000</v>
      </c>
      <c r="L1589" s="0" t="n">
        <f aca="false">IF(AND(ISNUMBER('Offshore - Sydney'!E675),ISNUMBER(K1589),ISNUMBER('Offshore - Sydney'!F675),ISNUMBER('Offshore - Sydney'!G675),OR('Offshore - Sydney'!F675&lt;&gt;0,ISNUMBER(SEARCH("Material 0 terverifikasi",'Offshore - Sydney'!N675))),OR('Offshore - Sydney'!G675&lt;&gt;0,ISNUMBER(SEARCH("Enrolment 0 terverifikasi",'Offshore - Sydney'!N675)))),1,0)</f>
        <v>1</v>
      </c>
      <c r="M1589" s="0" t="n">
        <f aca="false">IF(OR('Offshore - Sydney'!E675="",ISNUMBER(SEARCH("BSB80120",'Offshore - Sydney'!B675&amp;'Offshore - Sydney'!N675)),ISNUMBER(SEARCH("Management (Learning)",'Offshore - Sydney'!B675))),2,IF(ISNUMBER(SEARCH("CEK:",'Offshore - Sydney'!N675)),1,0))</f>
        <v>0</v>
      </c>
    </row>
    <row r="1590" customFormat="false" ht="15" hidden="false" customHeight="false" outlineLevel="0" collapsed="false">
      <c r="A1590" s="63" t="s">
        <v>3533</v>
      </c>
      <c r="B1590" s="64" t="s">
        <v>4374</v>
      </c>
      <c r="C1590" s="63" t="s">
        <v>42</v>
      </c>
      <c r="D1590" s="64" t="str">
        <f aca="false">TRIM(LEFT('Offshore - Sydney'!A715,FIND(CHAR(10),'Offshore - Sydney'!A715&amp;CHAR(10))-1))</f>
        <v>Sydney Metropolitan International College</v>
      </c>
      <c r="E1590" s="63" t="str">
        <f aca="false">'Offshore - Sydney'!C715&amp;""</f>
        <v>3 years</v>
      </c>
      <c r="F1590" s="63" t="str">
        <f aca="false">IF('Offshore - Sydney'!D715="","Belum tercatat",'Offshore - Sydney'!D715)</f>
        <v>Term</v>
      </c>
      <c r="G1590" s="65" t="n">
        <f aca="false">IF('Offshore - Sydney'!E715="","-",'Offshore - Sydney'!E715)</f>
        <v>1500</v>
      </c>
      <c r="H1590" s="63" t="n">
        <f aca="false">IF(ISNUMBER(K1590),COUNTIFS($J$6:$J$1854,J1590,$K$6:$K$1854,"&lt;"&amp;K1590)+1,"-")</f>
        <v>2</v>
      </c>
      <c r="I1590" s="64" t="str">
        <f aca="false">IF('Offshore - Sydney'!E715="","Harga belum tersedia - hubungi konsultan TEG",IF(M1590=2,"Saat ini tidak menerima pendaftaran siswa internasional baru",IF(M1590=1,"Harga perlu dikonfirmasi ke sekolah"&amp;IF(""="","","; "&amp;""),"")))</f>
        <v/>
      </c>
      <c r="J1590" s="0" t="s">
        <v>4441</v>
      </c>
      <c r="K1590" s="0" t="n">
        <f aca="false">IF(M1590=2,"",IF(ISNUMBER(SEARCH("rata-rata:",'Offshore - Sydney'!N715)),VALUE(MID('Offshore - Sydney'!N715,SEARCH("rata-rata:",'Offshore - Sydney'!N715)+11,FIND(";",'Offshore - Sydney'!N715&amp;";",SEARCH("rata-rata:",'Offshore - Sydney'!N715))-SEARCH("rata-rata:",'Offshore - Sydney'!N715)-11)),IF('Offshore - Sydney'!D715="Semester",'Offshore - Sydney'!E715*2,IF('Offshore - Sydney'!D715="Trimester",'Offshore - Sydney'!E715*3,IF('Offshore - Sydney'!D715="Term",'Offshore - Sydney'!E715*4,IF('Offshore - Sydney'!D715="Unit",'Offshore - Sydney'!E715*8,""))))))</f>
        <v>6000</v>
      </c>
      <c r="L1590" s="0" t="n">
        <f aca="false">IF(AND(ISNUMBER('Offshore - Sydney'!E715),ISNUMBER(K1590),ISNUMBER('Offshore - Sydney'!F715),ISNUMBER('Offshore - Sydney'!G715),OR('Offshore - Sydney'!F715&lt;&gt;0,ISNUMBER(SEARCH("Material 0 terverifikasi",'Offshore - Sydney'!N715))),OR('Offshore - Sydney'!G715&lt;&gt;0,ISNUMBER(SEARCH("Enrolment 0 terverifikasi",'Offshore - Sydney'!N715)))),1,0)</f>
        <v>1</v>
      </c>
      <c r="M1590" s="0" t="n">
        <f aca="false">IF(OR('Offshore - Sydney'!E715="",ISNUMBER(SEARCH("BSB80120",'Offshore - Sydney'!B715&amp;'Offshore - Sydney'!N715)),ISNUMBER(SEARCH("Management (Learning)",'Offshore - Sydney'!B715))),2,IF(ISNUMBER(SEARCH("CEK:",'Offshore - Sydney'!N715)),1,0))</f>
        <v>0</v>
      </c>
    </row>
    <row r="1591" customFormat="false" ht="28.35" hidden="false" customHeight="false" outlineLevel="0" collapsed="false">
      <c r="A1591" s="63" t="s">
        <v>3533</v>
      </c>
      <c r="B1591" s="64" t="s">
        <v>4374</v>
      </c>
      <c r="C1591" s="63" t="s">
        <v>42</v>
      </c>
      <c r="D1591" s="64" t="str">
        <f aca="false">TRIM(LEFT('Offshore - Sydney'!A807,FIND(CHAR(10),'Offshore - Sydney'!A807&amp;CHAR(10))-1))</f>
        <v>TKL College (Training for Knowledge and Livelihood)</v>
      </c>
      <c r="E1591" s="63" t="str">
        <f aca="false">'Offshore - Sydney'!C810&amp;""</f>
        <v>3 years</v>
      </c>
      <c r="F1591" s="63" t="str">
        <f aca="false">IF('Offshore - Sydney'!D810="","Belum tercatat",'Offshore - Sydney'!D810)</f>
        <v>Term</v>
      </c>
      <c r="G1591" s="65" t="n">
        <f aca="false">IF('Offshore - Sydney'!E810="","-",'Offshore - Sydney'!E810)</f>
        <v>1500</v>
      </c>
      <c r="H1591" s="63" t="n">
        <f aca="false">IF(ISNUMBER(K1591),COUNTIFS($J$6:$J$1854,J1591,$K$6:$K$1854,"&lt;"&amp;K1591)+1,"-")</f>
        <v>2</v>
      </c>
      <c r="I1591" s="64" t="str">
        <f aca="false">IF('Offshore - Sydney'!E810="","Harga belum tersedia - hubungi konsultan TEG",IF(M1591=2,"Saat ini tidak menerima pendaftaran siswa internasional baru",IF(M1591=1,"Harga perlu dikonfirmasi ke sekolah"&amp;IF(""="","","; "&amp;""),"")))</f>
        <v/>
      </c>
      <c r="J1591" s="0" t="s">
        <v>4441</v>
      </c>
      <c r="K1591" s="0" t="n">
        <f aca="false">IF(M1591=2,"",IF(ISNUMBER(SEARCH("rata-rata:",'Offshore - Sydney'!N810)),VALUE(MID('Offshore - Sydney'!N810,SEARCH("rata-rata:",'Offshore - Sydney'!N810)+11,FIND(";",'Offshore - Sydney'!N810&amp;";",SEARCH("rata-rata:",'Offshore - Sydney'!N810))-SEARCH("rata-rata:",'Offshore - Sydney'!N810)-11)),IF('Offshore - Sydney'!D810="Semester",'Offshore - Sydney'!E810*2,IF('Offshore - Sydney'!D810="Trimester",'Offshore - Sydney'!E810*3,IF('Offshore - Sydney'!D810="Term",'Offshore - Sydney'!E810*4,IF('Offshore - Sydney'!D810="Unit",'Offshore - Sydney'!E810*8,""))))))</f>
        <v>6000</v>
      </c>
      <c r="L1591" s="0" t="n">
        <f aca="false">IF(AND(ISNUMBER('Offshore - Sydney'!E810),ISNUMBER(K1591),ISNUMBER('Offshore - Sydney'!F810),ISNUMBER('Offshore - Sydney'!G810),OR('Offshore - Sydney'!F810&lt;&gt;0,ISNUMBER(SEARCH("Material 0 terverifikasi",'Offshore - Sydney'!N810))),OR('Offshore - Sydney'!G810&lt;&gt;0,ISNUMBER(SEARCH("Enrolment 0 terverifikasi",'Offshore - Sydney'!N810)))),1,0)</f>
        <v>1</v>
      </c>
      <c r="M1591" s="0" t="n">
        <f aca="false">IF(OR('Offshore - Sydney'!E810="",ISNUMBER(SEARCH("BSB80120",'Offshore - Sydney'!B810&amp;'Offshore - Sydney'!N810)),ISNUMBER(SEARCH("Management (Learning)",'Offshore - Sydney'!B810))),2,IF(ISNUMBER(SEARCH("CEK:",'Offshore - Sydney'!N810)),1,0))</f>
        <v>0</v>
      </c>
    </row>
    <row r="1592" customFormat="false" ht="15" hidden="false" customHeight="false" outlineLevel="0" collapsed="false">
      <c r="A1592" s="63" t="s">
        <v>3533</v>
      </c>
      <c r="B1592" s="64" t="s">
        <v>4374</v>
      </c>
      <c r="C1592" s="63" t="s">
        <v>42</v>
      </c>
      <c r="D1592" s="64" t="str">
        <f aca="false">TRIM(LEFT('Offshore - Sydney'!A948,FIND(CHAR(10),'Offshore - Sydney'!A948&amp;CHAR(10))-1))</f>
        <v>Warwick Institute of Australia</v>
      </c>
      <c r="E1592" s="63" t="str">
        <f aca="false">'Offshore - Sydney'!C949&amp;""</f>
        <v>3,5 years</v>
      </c>
      <c r="F1592" s="63" t="str">
        <f aca="false">IF('Offshore - Sydney'!D949="","Belum tercatat",'Offshore - Sydney'!D949)</f>
        <v>Term</v>
      </c>
      <c r="G1592" s="65" t="n">
        <f aca="false">IF('Offshore - Sydney'!E949="","-",'Offshore - Sydney'!E949)</f>
        <v>1500</v>
      </c>
      <c r="H1592" s="63" t="n">
        <f aca="false">IF(ISNUMBER(K1592),COUNTIFS($J$6:$J$1854,J1592,$K$6:$K$1854,"&lt;"&amp;K1592)+1,"-")</f>
        <v>2</v>
      </c>
      <c r="I1592" s="64" t="str">
        <f aca="false">IF('Offshore - Sydney'!E949="","Harga belum tersedia - hubungi konsultan TEG",IF(M1592=2,"Saat ini tidak menerima pendaftaran siswa internasional baru",IF(M1592=1,"Harga perlu dikonfirmasi ke sekolah"&amp;IF(""="","","; "&amp;""),"")))</f>
        <v/>
      </c>
      <c r="J1592" s="0" t="s">
        <v>4441</v>
      </c>
      <c r="K1592" s="0" t="n">
        <f aca="false">IF(M1592=2,"",IF(ISNUMBER(SEARCH("rata-rata:",'Offshore - Sydney'!N949)),VALUE(MID('Offshore - Sydney'!N949,SEARCH("rata-rata:",'Offshore - Sydney'!N949)+11,FIND(";",'Offshore - Sydney'!N949&amp;";",SEARCH("rata-rata:",'Offshore - Sydney'!N949))-SEARCH("rata-rata:",'Offshore - Sydney'!N949)-11)),IF('Offshore - Sydney'!D949="Semester",'Offshore - Sydney'!E949*2,IF('Offshore - Sydney'!D949="Trimester",'Offshore - Sydney'!E949*3,IF('Offshore - Sydney'!D949="Term",'Offshore - Sydney'!E949*4,IF('Offshore - Sydney'!D949="Unit",'Offshore - Sydney'!E949*8,""))))))</f>
        <v>6000</v>
      </c>
      <c r="L1592" s="0" t="n">
        <f aca="false">IF(AND(ISNUMBER('Offshore - Sydney'!E949),ISNUMBER(K1592),ISNUMBER('Offshore - Sydney'!F949),ISNUMBER('Offshore - Sydney'!G949),OR('Offshore - Sydney'!F949&lt;&gt;0,ISNUMBER(SEARCH("Material 0 terverifikasi",'Offshore - Sydney'!N949))),OR('Offshore - Sydney'!G949&lt;&gt;0,ISNUMBER(SEARCH("Enrolment 0 terverifikasi",'Offshore - Sydney'!N949)))),1,0)</f>
        <v>1</v>
      </c>
      <c r="M1592" s="0" t="n">
        <f aca="false">IF(OR('Offshore - Sydney'!E949="",ISNUMBER(SEARCH("BSB80120",'Offshore - Sydney'!B949&amp;'Offshore - Sydney'!N949)),ISNUMBER(SEARCH("Management (Learning)",'Offshore - Sydney'!B949))),2,IF(ISNUMBER(SEARCH("CEK:",'Offshore - Sydney'!N949)),1,0))</f>
        <v>0</v>
      </c>
    </row>
    <row r="1593" customFormat="false" ht="15" hidden="false" customHeight="false" outlineLevel="0" collapsed="false">
      <c r="A1593" s="63" t="s">
        <v>3533</v>
      </c>
      <c r="B1593" s="64" t="s">
        <v>4374</v>
      </c>
      <c r="C1593" s="63" t="s">
        <v>42</v>
      </c>
      <c r="D1593" s="64" t="str">
        <f aca="false">TRIM(LEFT('Offshore - Sydney'!A959,FIND(CHAR(10),'Offshore - Sydney'!A959&amp;CHAR(10))-1))</f>
        <v>Wells International College (WIC)</v>
      </c>
      <c r="E1593" s="63" t="str">
        <f aca="false">'Offshore - Sydney'!C965&amp;""</f>
        <v>3 years</v>
      </c>
      <c r="F1593" s="63" t="str">
        <f aca="false">IF('Offshore - Sydney'!D965="","Belum tercatat",'Offshore - Sydney'!D965)</f>
        <v>Term</v>
      </c>
      <c r="G1593" s="65" t="n">
        <f aca="false">IF('Offshore - Sydney'!E965="","-",'Offshore - Sydney'!E965)</f>
        <v>1500</v>
      </c>
      <c r="H1593" s="63" t="n">
        <f aca="false">IF(ISNUMBER(K1593),COUNTIFS($J$6:$J$1854,J1593,$K$6:$K$1854,"&lt;"&amp;K1593)+1,"-")</f>
        <v>2</v>
      </c>
      <c r="I1593" s="64" t="str">
        <f aca="false">IF('Offshore - Sydney'!E965="","Harga belum tersedia - hubungi konsultan TEG",IF(M1593=2,"Saat ini tidak menerima pendaftaran siswa internasional baru",IF(M1593=1,"Harga perlu dikonfirmasi ke sekolah"&amp;IF(""="","","; "&amp;""),"")))</f>
        <v/>
      </c>
      <c r="J1593" s="0" t="s">
        <v>4441</v>
      </c>
      <c r="K1593" s="0" t="n">
        <f aca="false">IF(M1593=2,"",IF(ISNUMBER(SEARCH("rata-rata:",'Offshore - Sydney'!N965)),VALUE(MID('Offshore - Sydney'!N965,SEARCH("rata-rata:",'Offshore - Sydney'!N965)+11,FIND(";",'Offshore - Sydney'!N965&amp;";",SEARCH("rata-rata:",'Offshore - Sydney'!N965))-SEARCH("rata-rata:",'Offshore - Sydney'!N965)-11)),IF('Offshore - Sydney'!D965="Semester",'Offshore - Sydney'!E965*2,IF('Offshore - Sydney'!D965="Trimester",'Offshore - Sydney'!E965*3,IF('Offshore - Sydney'!D965="Term",'Offshore - Sydney'!E965*4,IF('Offshore - Sydney'!D965="Unit",'Offshore - Sydney'!E965*8,""))))))</f>
        <v>6000</v>
      </c>
      <c r="L1593" s="0" t="n">
        <f aca="false">IF(AND(ISNUMBER('Offshore - Sydney'!E965),ISNUMBER(K1593),ISNUMBER('Offshore - Sydney'!F965),ISNUMBER('Offshore - Sydney'!G965),OR('Offshore - Sydney'!F965&lt;&gt;0,ISNUMBER(SEARCH("Material 0 terverifikasi",'Offshore - Sydney'!N965))),OR('Offshore - Sydney'!G965&lt;&gt;0,ISNUMBER(SEARCH("Enrolment 0 terverifikasi",'Offshore - Sydney'!N965)))),1,0)</f>
        <v>1</v>
      </c>
      <c r="M1593" s="0" t="n">
        <f aca="false">IF(OR('Offshore - Sydney'!E965="",ISNUMBER(SEARCH("BSB80120",'Offshore - Sydney'!B965&amp;'Offshore - Sydney'!N965)),ISNUMBER(SEARCH("Management (Learning)",'Offshore - Sydney'!B965))),2,IF(ISNUMBER(SEARCH("CEK:",'Offshore - Sydney'!N965)),1,0))</f>
        <v>0</v>
      </c>
    </row>
    <row r="1594" customFormat="false" ht="15" hidden="false" customHeight="false" outlineLevel="0" collapsed="false">
      <c r="A1594" s="63" t="s">
        <v>3533</v>
      </c>
      <c r="B1594" s="64" t="s">
        <v>4374</v>
      </c>
      <c r="C1594" s="63" t="s">
        <v>42</v>
      </c>
      <c r="D1594" s="64" t="str">
        <f aca="false">TRIM(LEFT('Offshore - Sydney'!A1151,FIND(CHAR(10),'Offshore - Sydney'!A1151&amp;CHAR(10))-1))</f>
        <v>York Business Institute</v>
      </c>
      <c r="E1594" s="63" t="str">
        <f aca="false">'Offshore - Sydney'!C1161&amp;""</f>
        <v>5 years</v>
      </c>
      <c r="F1594" s="63" t="str">
        <f aca="false">IF('Offshore - Sydney'!D1161="","Belum tercatat",'Offshore - Sydney'!D1161)</f>
        <v>Term</v>
      </c>
      <c r="G1594" s="65" t="n">
        <f aca="false">IF('Offshore - Sydney'!E1161="","-",'Offshore - Sydney'!E1161)</f>
        <v>1500</v>
      </c>
      <c r="H1594" s="63" t="n">
        <f aca="false">IF(ISNUMBER(K1594),COUNTIFS($J$6:$J$1854,J1594,$K$6:$K$1854,"&lt;"&amp;K1594)+1,"-")</f>
        <v>2</v>
      </c>
      <c r="I1594" s="64" t="str">
        <f aca="false">IF('Offshore - Sydney'!E1161="","Harga belum tersedia - hubungi konsultan TEG",IF(M1594=2,"Saat ini tidak menerima pendaftaran siswa internasional baru",IF(M1594=1,"Harga perlu dikonfirmasi ke sekolah"&amp;IF(""="","","; "&amp;""),"")))</f>
        <v>Harga perlu dikonfirmasi ke sekolah</v>
      </c>
      <c r="J1594" s="0" t="s">
        <v>4441</v>
      </c>
      <c r="K1594" s="0" t="n">
        <f aca="false">IF(M1594=2,"",IF(ISNUMBER(SEARCH("rata-rata:",'Offshore - Sydney'!N1161)),VALUE(MID('Offshore - Sydney'!N1161,SEARCH("rata-rata:",'Offshore - Sydney'!N1161)+11,FIND(";",'Offshore - Sydney'!N1161&amp;";",SEARCH("rata-rata:",'Offshore - Sydney'!N1161))-SEARCH("rata-rata:",'Offshore - Sydney'!N1161)-11)),IF('Offshore - Sydney'!D1161="Semester",'Offshore - Sydney'!E1161*2,IF('Offshore - Sydney'!D1161="Trimester",'Offshore - Sydney'!E1161*3,IF('Offshore - Sydney'!D1161="Term",'Offshore - Sydney'!E1161*4,IF('Offshore - Sydney'!D1161="Unit",'Offshore - Sydney'!E1161*8,""))))))</f>
        <v>6000</v>
      </c>
      <c r="L1594" s="0" t="n">
        <f aca="false">IF(AND(ISNUMBER('Offshore - Sydney'!E1161),ISNUMBER(K1594),ISNUMBER('Offshore - Sydney'!F1161),ISNUMBER('Offshore - Sydney'!G1161),OR('Offshore - Sydney'!F1161&lt;&gt;0,ISNUMBER(SEARCH("Material 0 terverifikasi",'Offshore - Sydney'!N1161))),OR('Offshore - Sydney'!G1161&lt;&gt;0,ISNUMBER(SEARCH("Enrolment 0 terverifikasi",'Offshore - Sydney'!N1161)))),1,0)</f>
        <v>1</v>
      </c>
      <c r="M1594" s="0" t="n">
        <f aca="false">IF(OR('Offshore - Sydney'!E1161="",ISNUMBER(SEARCH("BSB80120",'Offshore - Sydney'!B1161&amp;'Offshore - Sydney'!N1161)),ISNUMBER(SEARCH("Management (Learning)",'Offshore - Sydney'!B1161))),2,IF(ISNUMBER(SEARCH("CEK:",'Offshore - Sydney'!N1161)),1,0))</f>
        <v>1</v>
      </c>
    </row>
    <row r="1595" customFormat="false" ht="15" hidden="false" customHeight="false" outlineLevel="0" collapsed="false">
      <c r="A1595" s="63" t="s">
        <v>3533</v>
      </c>
      <c r="B1595" s="64" t="s">
        <v>4374</v>
      </c>
      <c r="C1595" s="63" t="s">
        <v>42</v>
      </c>
      <c r="D1595" s="64" t="str">
        <f aca="false">TRIM(LEFT('Offshore - Sydney'!A403,FIND(CHAR(10),'Offshore - Sydney'!A403&amp;CHAR(10))-1))</f>
        <v>ECA College</v>
      </c>
      <c r="E1595" s="63" t="str">
        <f aca="false">'Offshore - Sydney'!C406&amp;""</f>
        <v>3 years</v>
      </c>
      <c r="F1595" s="63" t="str">
        <f aca="false">IF('Offshore - Sydney'!D406="","Belum tercatat",'Offshore - Sydney'!D406)</f>
        <v>Term</v>
      </c>
      <c r="G1595" s="65" t="n">
        <f aca="false">IF('Offshore - Sydney'!E406="","-",'Offshore - Sydney'!E406)</f>
        <v>1700</v>
      </c>
      <c r="H1595" s="63" t="n">
        <f aca="false">IF(ISNUMBER(K1595),COUNTIFS($J$6:$J$1854,J1595,$K$6:$K$1854,"&lt;"&amp;K1595)+1,"-")</f>
        <v>9</v>
      </c>
      <c r="I1595" s="64" t="str">
        <f aca="false">IF('Offshore - Sydney'!E406="","Harga belum tersedia - hubungi konsultan TEG",IF(M1595=2,"Saat ini tidak menerima pendaftaran siswa internasional baru",IF(M1595=1,"Harga perlu dikonfirmasi ke sekolah"&amp;IF(""="","","; "&amp;""),"")))</f>
        <v/>
      </c>
      <c r="J1595" s="0" t="s">
        <v>4441</v>
      </c>
      <c r="K1595" s="0" t="n">
        <f aca="false">IF(M1595=2,"",IF(ISNUMBER(SEARCH("rata-rata:",'Offshore - Sydney'!N406)),VALUE(MID('Offshore - Sydney'!N406,SEARCH("rata-rata:",'Offshore - Sydney'!N406)+11,FIND(";",'Offshore - Sydney'!N406&amp;";",SEARCH("rata-rata:",'Offshore - Sydney'!N406))-SEARCH("rata-rata:",'Offshore - Sydney'!N406)-11)),IF('Offshore - Sydney'!D406="Semester",'Offshore - Sydney'!E406*2,IF('Offshore - Sydney'!D406="Trimester",'Offshore - Sydney'!E406*3,IF('Offshore - Sydney'!D406="Term",'Offshore - Sydney'!E406*4,IF('Offshore - Sydney'!D406="Unit",'Offshore - Sydney'!E406*8,""))))))</f>
        <v>6800</v>
      </c>
      <c r="L1595" s="0" t="n">
        <f aca="false">IF(AND(ISNUMBER('Offshore - Sydney'!E406),ISNUMBER(K1595),ISNUMBER('Offshore - Sydney'!F406),ISNUMBER('Offshore - Sydney'!G406),OR('Offshore - Sydney'!F406&lt;&gt;0,ISNUMBER(SEARCH("Material 0 terverifikasi",'Offshore - Sydney'!N406))),OR('Offshore - Sydney'!G406&lt;&gt;0,ISNUMBER(SEARCH("Enrolment 0 terverifikasi",'Offshore - Sydney'!N406)))),1,0)</f>
        <v>0</v>
      </c>
      <c r="M1595" s="0" t="n">
        <f aca="false">IF(OR('Offshore - Sydney'!E406="",ISNUMBER(SEARCH("BSB80120",'Offshore - Sydney'!B406&amp;'Offshore - Sydney'!N406)),ISNUMBER(SEARCH("Management (Learning)",'Offshore - Sydney'!B406))),2,IF(ISNUMBER(SEARCH("CEK:",'Offshore - Sydney'!N406)),1,0))</f>
        <v>0</v>
      </c>
    </row>
    <row r="1596" customFormat="false" ht="15" hidden="false" customHeight="false" outlineLevel="0" collapsed="false">
      <c r="A1596" s="63" t="s">
        <v>3533</v>
      </c>
      <c r="B1596" s="64" t="s">
        <v>4374</v>
      </c>
      <c r="C1596" s="63" t="s">
        <v>42</v>
      </c>
      <c r="D1596" s="64" t="str">
        <f aca="false">TRIM(LEFT('Offshore - Sydney'!A331,FIND(CHAR(10),'Offshore - Sydney'!A331&amp;CHAR(10))-1))</f>
        <v>Australian Workplace Skills Institute (AWS)</v>
      </c>
      <c r="E1596" s="63" t="str">
        <f aca="false">'Offshore - Sydney'!C332&amp;""</f>
        <v>3.5 years</v>
      </c>
      <c r="F1596" s="63" t="str">
        <f aca="false">IF('Offshore - Sydney'!D332="","Belum tercatat",'Offshore - Sydney'!D332)</f>
        <v>Term</v>
      </c>
      <c r="G1596" s="65" t="n">
        <f aca="false">IF('Offshore - Sydney'!E332="","-",'Offshore - Sydney'!E332)</f>
        <v>1750</v>
      </c>
      <c r="H1596" s="63" t="n">
        <f aca="false">IF(ISNUMBER(K1596),COUNTIFS($J$6:$J$1854,J1596,$K$6:$K$1854,"&lt;"&amp;K1596)+1,"-")</f>
        <v>10</v>
      </c>
      <c r="I1596" s="64" t="str">
        <f aca="false">IF('Offshore - Sydney'!E332="","Harga belum tersedia - hubungi konsultan TEG",IF(M1596=2,"Saat ini tidak menerima pendaftaran siswa internasional baru",IF(M1596=1,"Program perlu dikonfirmasi ketersediaannya"&amp;IF(""="","","; "&amp;""),"")))</f>
        <v>Program perlu dikonfirmasi ketersediaannya</v>
      </c>
      <c r="J1596" s="0" t="s">
        <v>4441</v>
      </c>
      <c r="K1596" s="0" t="n">
        <f aca="false">IF(M1596=2,"",IF(ISNUMBER(SEARCH("rata-rata:",'Offshore - Sydney'!N332)),VALUE(MID('Offshore - Sydney'!N332,SEARCH("rata-rata:",'Offshore - Sydney'!N332)+11,FIND(";",'Offshore - Sydney'!N332&amp;";",SEARCH("rata-rata:",'Offshore - Sydney'!N332))-SEARCH("rata-rata:",'Offshore - Sydney'!N332)-11)),IF('Offshore - Sydney'!D332="Semester",'Offshore - Sydney'!E332*2,IF('Offshore - Sydney'!D332="Trimester",'Offshore - Sydney'!E332*3,IF('Offshore - Sydney'!D332="Term",'Offshore - Sydney'!E332*4,IF('Offshore - Sydney'!D332="Unit",'Offshore - Sydney'!E332*8,""))))))</f>
        <v>7000</v>
      </c>
      <c r="L1596" s="0" t="n">
        <f aca="false">IF(AND(ISNUMBER('Offshore - Sydney'!E332),ISNUMBER(K1596),ISNUMBER('Offshore - Sydney'!F332),ISNUMBER('Offshore - Sydney'!G332),OR('Offshore - Sydney'!F332&lt;&gt;0,ISNUMBER(SEARCH("Material 0 terverifikasi",'Offshore - Sydney'!N332))),OR('Offshore - Sydney'!G332&lt;&gt;0,ISNUMBER(SEARCH("Enrolment 0 terverifikasi",'Offshore - Sydney'!N332)))),1,0)</f>
        <v>1</v>
      </c>
      <c r="M1596" s="0" t="n">
        <f aca="false">IF(OR('Offshore - Sydney'!E332="",ISNUMBER(SEARCH("BSB80120",'Offshore - Sydney'!B332&amp;'Offshore - Sydney'!N332)),ISNUMBER(SEARCH("Management (Learning)",'Offshore - Sydney'!B332))),2,IF(ISNUMBER(SEARCH("CEK:",'Offshore - Sydney'!N332)),1,0))</f>
        <v>1</v>
      </c>
    </row>
    <row r="1597" customFormat="false" ht="15" hidden="false" customHeight="false" outlineLevel="0" collapsed="false">
      <c r="A1597" s="63" t="s">
        <v>3533</v>
      </c>
      <c r="B1597" s="64" t="s">
        <v>4374</v>
      </c>
      <c r="C1597" s="63" t="s">
        <v>42</v>
      </c>
      <c r="D1597" s="64" t="str">
        <f aca="false">TRIM(LEFT('Offshore - Sydney'!A609,FIND(CHAR(10),'Offshore - Sydney'!A609&amp;CHAR(10))-1))</f>
        <v>New Era Institute</v>
      </c>
      <c r="E1597" s="63" t="str">
        <f aca="false">'Offshore - Sydney'!C609&amp;""</f>
        <v>2 years</v>
      </c>
      <c r="F1597" s="63" t="str">
        <f aca="false">IF('Offshore - Sydney'!D609="","Belum tercatat",'Offshore - Sydney'!D609)</f>
        <v>Term</v>
      </c>
      <c r="G1597" s="65" t="n">
        <f aca="false">IF('Offshore - Sydney'!E609="","-",'Offshore - Sydney'!E609)</f>
        <v>1835</v>
      </c>
      <c r="H1597" s="63" t="n">
        <f aca="false">IF(ISNUMBER(K1597),COUNTIFS($J$6:$J$1854,J1597,$K$6:$K$1854,"&lt;"&amp;K1597)+1,"-")</f>
        <v>11</v>
      </c>
      <c r="I1597" s="64" t="str">
        <f aca="false">IF('Offshore - Sydney'!E609="","Harga belum tersedia - hubungi konsultan TEG",IF(M1597=2,"Saat ini tidak menerima pendaftaran siswa internasional baru",IF(M1597=1,"Harga perlu dikonfirmasi ke sekolah"&amp;IF(""="","","; "&amp;""),"")))</f>
        <v/>
      </c>
      <c r="J1597" s="0" t="s">
        <v>4441</v>
      </c>
      <c r="K1597" s="0" t="n">
        <f aca="false">IF(M1597=2,"",IF(ISNUMBER(SEARCH("rata-rata:",'Offshore - Sydney'!N609)),VALUE(MID('Offshore - Sydney'!N609,SEARCH("rata-rata:",'Offshore - Sydney'!N609)+11,FIND(";",'Offshore - Sydney'!N609&amp;";",SEARCH("rata-rata:",'Offshore - Sydney'!N609))-SEARCH("rata-rata:",'Offshore - Sydney'!N609)-11)),IF('Offshore - Sydney'!D609="Semester",'Offshore - Sydney'!E609*2,IF('Offshore - Sydney'!D609="Trimester",'Offshore - Sydney'!E609*3,IF('Offshore - Sydney'!D609="Term",'Offshore - Sydney'!E609*4,IF('Offshore - Sydney'!D609="Unit",'Offshore - Sydney'!E609*8,""))))))</f>
        <v>7340</v>
      </c>
      <c r="L1597" s="0" t="n">
        <f aca="false">IF(AND(ISNUMBER('Offshore - Sydney'!E609),ISNUMBER(K1597),ISNUMBER('Offshore - Sydney'!F609),ISNUMBER('Offshore - Sydney'!G609),OR('Offshore - Sydney'!F609&lt;&gt;0,ISNUMBER(SEARCH("Material 0 terverifikasi",'Offshore - Sydney'!N609))),OR('Offshore - Sydney'!G609&lt;&gt;0,ISNUMBER(SEARCH("Enrolment 0 terverifikasi",'Offshore - Sydney'!N609)))),1,0)</f>
        <v>1</v>
      </c>
      <c r="M1597" s="0" t="n">
        <f aca="false">IF(OR('Offshore - Sydney'!E609="",ISNUMBER(SEARCH("BSB80120",'Offshore - Sydney'!B609&amp;'Offshore - Sydney'!N609)),ISNUMBER(SEARCH("Management (Learning)",'Offshore - Sydney'!B609))),2,IF(ISNUMBER(SEARCH("CEK:",'Offshore - Sydney'!N609)),1,0))</f>
        <v>0</v>
      </c>
    </row>
    <row r="1598" customFormat="false" ht="28.35" hidden="false" customHeight="false" outlineLevel="0" collapsed="false">
      <c r="A1598" s="63" t="s">
        <v>3533</v>
      </c>
      <c r="B1598" s="64" t="s">
        <v>4374</v>
      </c>
      <c r="C1598" s="63" t="s">
        <v>42</v>
      </c>
      <c r="D1598" s="64" t="str">
        <f aca="false">TRIM(LEFT('Offshore - Sydney'!A261,FIND(CHAR(10),'Offshore - Sydney'!A261&amp;CHAR(10))-1))</f>
        <v>Australian College of Business Intelligence (ACBI)</v>
      </c>
      <c r="E1598" s="63" t="str">
        <f aca="false">'Offshore - Sydney'!C270&amp;""</f>
        <v>104 weeks (8 terms)</v>
      </c>
      <c r="F1598" s="63" t="str">
        <f aca="false">IF('Offshore - Sydney'!D270="","Belum tercatat",'Offshore - Sydney'!D270)</f>
        <v>Term</v>
      </c>
      <c r="G1598" s="65" t="n">
        <f aca="false">IF('Offshore - Sydney'!E270="","-",'Offshore - Sydney'!E270)</f>
        <v>1890</v>
      </c>
      <c r="H1598" s="63" t="n">
        <f aca="false">IF(ISNUMBER(K1598),COUNTIFS($J$6:$J$1854,J1598,$K$6:$K$1854,"&lt;"&amp;K1598)+1,"-")</f>
        <v>12</v>
      </c>
      <c r="I1598" s="64" t="str">
        <f aca="false">IF('Offshore - Sydney'!E270="","Harga belum tersedia - hubungi konsultan TEG",IF(M1598=2,"Saat ini tidak menerima pendaftaran siswa internasional baru",IF(M1598=1,"Harga perlu dikonfirmasi ke sekolah"&amp;IF(""="","","; "&amp;""),"")))</f>
        <v/>
      </c>
      <c r="J1598" s="0" t="s">
        <v>4441</v>
      </c>
      <c r="K1598" s="0" t="n">
        <f aca="false">IF(M1598=2,"",IF(ISNUMBER(SEARCH("rata-rata:",'Offshore - Sydney'!N270)),VALUE(MID('Offshore - Sydney'!N270,SEARCH("rata-rata:",'Offshore - Sydney'!N270)+11,FIND(";",'Offshore - Sydney'!N270&amp;";",SEARCH("rata-rata:",'Offshore - Sydney'!N270))-SEARCH("rata-rata:",'Offshore - Sydney'!N270)-11)),IF('Offshore - Sydney'!D270="Semester",'Offshore - Sydney'!E270*2,IF('Offshore - Sydney'!D270="Trimester",'Offshore - Sydney'!E270*3,IF('Offshore - Sydney'!D270="Term",'Offshore - Sydney'!E270*4,IF('Offshore - Sydney'!D270="Unit",'Offshore - Sydney'!E270*8,""))))))</f>
        <v>7560</v>
      </c>
      <c r="L1598" s="0" t="n">
        <f aca="false">IF(AND(ISNUMBER('Offshore - Sydney'!E270),ISNUMBER(K1598),ISNUMBER('Offshore - Sydney'!F270),ISNUMBER('Offshore - Sydney'!G270),OR('Offshore - Sydney'!F270&lt;&gt;0,ISNUMBER(SEARCH("Material 0 terverifikasi",'Offshore - Sydney'!N270))),OR('Offshore - Sydney'!G270&lt;&gt;0,ISNUMBER(SEARCH("Enrolment 0 terverifikasi",'Offshore - Sydney'!N270)))),1,0)</f>
        <v>1</v>
      </c>
      <c r="M1598" s="0" t="n">
        <f aca="false">IF(OR('Offshore - Sydney'!E270="",ISNUMBER(SEARCH("BSB80120",'Offshore - Sydney'!B270&amp;'Offshore - Sydney'!N270)),ISNUMBER(SEARCH("Management (Learning)",'Offshore - Sydney'!B270))),2,IF(ISNUMBER(SEARCH("CEK:",'Offshore - Sydney'!N270)),1,0))</f>
        <v>0</v>
      </c>
    </row>
    <row r="1599" customFormat="false" ht="15" hidden="false" customHeight="false" outlineLevel="0" collapsed="false">
      <c r="A1599" s="63" t="s">
        <v>3533</v>
      </c>
      <c r="B1599" s="64" t="s">
        <v>4374</v>
      </c>
      <c r="C1599" s="63" t="s">
        <v>42</v>
      </c>
      <c r="D1599" s="64" t="str">
        <f aca="false">TRIM(LEFT('Offshore - Sydney'!A430,FIND(CHAR(10),'Offshore - Sydney'!A430&amp;CHAR(10))-1))</f>
        <v>George Brown College</v>
      </c>
      <c r="E1599" s="63" t="str">
        <f aca="false">'Offshore - Sydney'!C437&amp;""</f>
        <v>2 years</v>
      </c>
      <c r="F1599" s="63" t="str">
        <f aca="false">IF('Offshore - Sydney'!D437="","Belum tercatat",'Offshore - Sydney'!D437)</f>
        <v>Term</v>
      </c>
      <c r="G1599" s="65" t="n">
        <f aca="false">IF('Offshore - Sydney'!E437="","-",'Offshore - Sydney'!E437)</f>
        <v>1900</v>
      </c>
      <c r="H1599" s="63" t="n">
        <f aca="false">IF(ISNUMBER(K1599),COUNTIFS($J$6:$J$1854,J1599,$K$6:$K$1854,"&lt;"&amp;K1599)+1,"-")</f>
        <v>13</v>
      </c>
      <c r="I1599" s="64" t="str">
        <f aca="false">IF('Offshore - Sydney'!E437="","Harga belum tersedia - hubungi konsultan TEG",IF(M1599=2,"Saat ini tidak menerima pendaftaran siswa internasional baru",IF(M1599=1,"Harga perlu dikonfirmasi ke sekolah"&amp;IF(""="","","; "&amp;""),"")))</f>
        <v/>
      </c>
      <c r="J1599" s="0" t="s">
        <v>4441</v>
      </c>
      <c r="K1599" s="0" t="n">
        <f aca="false">IF(M1599=2,"",IF(ISNUMBER(SEARCH("rata-rata:",'Offshore - Sydney'!N437)),VALUE(MID('Offshore - Sydney'!N437,SEARCH("rata-rata:",'Offshore - Sydney'!N437)+11,FIND(";",'Offshore - Sydney'!N437&amp;";",SEARCH("rata-rata:",'Offshore - Sydney'!N437))-SEARCH("rata-rata:",'Offshore - Sydney'!N437)-11)),IF('Offshore - Sydney'!D437="Semester",'Offshore - Sydney'!E437*2,IF('Offshore - Sydney'!D437="Trimester",'Offshore - Sydney'!E437*3,IF('Offshore - Sydney'!D437="Term",'Offshore - Sydney'!E437*4,IF('Offshore - Sydney'!D437="Unit",'Offshore - Sydney'!E437*8,""))))))</f>
        <v>7600</v>
      </c>
      <c r="L1599" s="0" t="n">
        <f aca="false">IF(AND(ISNUMBER('Offshore - Sydney'!E437),ISNUMBER(K1599),ISNUMBER('Offshore - Sydney'!F437),ISNUMBER('Offshore - Sydney'!G437),OR('Offshore - Sydney'!F437&lt;&gt;0,ISNUMBER(SEARCH("Material 0 terverifikasi",'Offshore - Sydney'!N437))),OR('Offshore - Sydney'!G437&lt;&gt;0,ISNUMBER(SEARCH("Enrolment 0 terverifikasi",'Offshore - Sydney'!N437)))),1,0)</f>
        <v>1</v>
      </c>
      <c r="M1599" s="0" t="n">
        <f aca="false">IF(OR('Offshore - Sydney'!E437="",ISNUMBER(SEARCH("BSB80120",'Offshore - Sydney'!B437&amp;'Offshore - Sydney'!N437)),ISNUMBER(SEARCH("Management (Learning)",'Offshore - Sydney'!B437))),2,IF(ISNUMBER(SEARCH("CEK:",'Offshore - Sydney'!N437)),1,0))</f>
        <v>0</v>
      </c>
    </row>
    <row r="1600" customFormat="false" ht="15" hidden="false" customHeight="false" outlineLevel="0" collapsed="false">
      <c r="A1600" s="63" t="s">
        <v>3533</v>
      </c>
      <c r="B1600" s="64" t="s">
        <v>4374</v>
      </c>
      <c r="C1600" s="63" t="s">
        <v>42</v>
      </c>
      <c r="D1600" s="64" t="str">
        <f aca="false">TRIM(LEFT('Offshore - Sydney'!A636,FIND(CHAR(10),'Offshore - Sydney'!A636&amp;CHAR(10))-1))</f>
        <v>NVR Education</v>
      </c>
      <c r="E1600" s="63" t="str">
        <f aca="false">'Offshore - Sydney'!C638&amp;""</f>
        <v>2 years</v>
      </c>
      <c r="F1600" s="63" t="str">
        <f aca="false">IF('Offshore - Sydney'!D638="","Belum tercatat",'Offshore - Sydney'!D638)</f>
        <v>Term</v>
      </c>
      <c r="G1600" s="65" t="n">
        <f aca="false">IF('Offshore - Sydney'!E638="","-",'Offshore - Sydney'!E638)</f>
        <v>1900</v>
      </c>
      <c r="H1600" s="63" t="n">
        <f aca="false">IF(ISNUMBER(K1600),COUNTIFS($J$6:$J$1854,J1600,$K$6:$K$1854,"&lt;"&amp;K1600)+1,"-")</f>
        <v>13</v>
      </c>
      <c r="I1600" s="64" t="str">
        <f aca="false">IF('Offshore - Sydney'!E638="","Harga belum tersedia - hubungi konsultan TEG",IF(M1600=2,"Saat ini tidak menerima pendaftaran siswa internasional baru",IF(M1600=1,"Harga perlu dikonfirmasi ke sekolah"&amp;IF(""="","","; "&amp;""),"")))</f>
        <v/>
      </c>
      <c r="J1600" s="0" t="s">
        <v>4441</v>
      </c>
      <c r="K1600" s="0" t="n">
        <f aca="false">IF(M1600=2,"",IF(ISNUMBER(SEARCH("rata-rata:",'Offshore - Sydney'!N638)),VALUE(MID('Offshore - Sydney'!N638,SEARCH("rata-rata:",'Offshore - Sydney'!N638)+11,FIND(";",'Offshore - Sydney'!N638&amp;";",SEARCH("rata-rata:",'Offshore - Sydney'!N638))-SEARCH("rata-rata:",'Offshore - Sydney'!N638)-11)),IF('Offshore - Sydney'!D638="Semester",'Offshore - Sydney'!E638*2,IF('Offshore - Sydney'!D638="Trimester",'Offshore - Sydney'!E638*3,IF('Offshore - Sydney'!D638="Term",'Offshore - Sydney'!E638*4,IF('Offshore - Sydney'!D638="Unit",'Offshore - Sydney'!E638*8,""))))))</f>
        <v>7600</v>
      </c>
      <c r="L1600" s="0" t="n">
        <f aca="false">IF(AND(ISNUMBER('Offshore - Sydney'!E638),ISNUMBER(K1600),ISNUMBER('Offshore - Sydney'!F638),ISNUMBER('Offshore - Sydney'!G638),OR('Offshore - Sydney'!F638&lt;&gt;0,ISNUMBER(SEARCH("Material 0 terverifikasi",'Offshore - Sydney'!N638))),OR('Offshore - Sydney'!G638&lt;&gt;0,ISNUMBER(SEARCH("Enrolment 0 terverifikasi",'Offshore - Sydney'!N638)))),1,0)</f>
        <v>0</v>
      </c>
      <c r="M1600" s="0" t="n">
        <f aca="false">IF(OR('Offshore - Sydney'!E638="",ISNUMBER(SEARCH("BSB80120",'Offshore - Sydney'!B638&amp;'Offshore - Sydney'!N638)),ISNUMBER(SEARCH("Management (Learning)",'Offshore - Sydney'!B638))),2,IF(ISNUMBER(SEARCH("CEK:",'Offshore - Sydney'!N638)),1,0))</f>
        <v>0</v>
      </c>
    </row>
    <row r="1601" customFormat="false" ht="15" hidden="false" customHeight="false" outlineLevel="0" collapsed="false">
      <c r="A1601" s="63" t="s">
        <v>3533</v>
      </c>
      <c r="B1601" s="64" t="s">
        <v>4374</v>
      </c>
      <c r="C1601" s="63" t="s">
        <v>42</v>
      </c>
      <c r="D1601" s="64" t="str">
        <f aca="false">TRIM(LEFT('Offshore - Sydney'!A6,FIND(CHAR(10),'Offshore - Sydney'!A6&amp;CHAR(10))-1))</f>
        <v>Abbey College Australia</v>
      </c>
      <c r="E1601" s="63" t="str">
        <f aca="false">'Offshore - Sydney'!C6&amp;""</f>
        <v>4 years</v>
      </c>
      <c r="F1601" s="63" t="str">
        <f aca="false">IF('Offshore - Sydney'!D6="","Belum tercatat",'Offshore - Sydney'!D6)</f>
        <v>Term</v>
      </c>
      <c r="G1601" s="65" t="n">
        <f aca="false">IF('Offshore - Sydney'!E6="","-",'Offshore - Sydney'!E6)</f>
        <v>2000</v>
      </c>
      <c r="H1601" s="63" t="n">
        <f aca="false">IF(ISNUMBER(K1601),COUNTIFS($J$6:$J$1854,J1601,$K$6:$K$1854,"&lt;"&amp;K1601)+1,"-")</f>
        <v>15</v>
      </c>
      <c r="I1601" s="64" t="str">
        <f aca="false">IF('Offshore - Sydney'!E6="","Harga belum tersedia - hubungi konsultan TEG",IF(M1601=2,"Saat ini tidak menerima pendaftaran siswa internasional baru",IF(M1601=1,"Harga perlu dikonfirmasi ke sekolah"&amp;IF(""="","","; "&amp;""),"")))</f>
        <v/>
      </c>
      <c r="J1601" s="0" t="s">
        <v>4441</v>
      </c>
      <c r="K1601" s="0" t="n">
        <f aca="false">IF(M1601=2,"",IF(ISNUMBER(SEARCH("rata-rata:",'Offshore - Sydney'!N6)),VALUE(MID('Offshore - Sydney'!N6,SEARCH("rata-rata:",'Offshore - Sydney'!N6)+11,FIND(";",'Offshore - Sydney'!N6&amp;";",SEARCH("rata-rata:",'Offshore - Sydney'!N6))-SEARCH("rata-rata:",'Offshore - Sydney'!N6)-11)),IF('Offshore - Sydney'!D6="Semester",'Offshore - Sydney'!E6*2,IF('Offshore - Sydney'!D6="Trimester",'Offshore - Sydney'!E6*3,IF('Offshore - Sydney'!D6="Term",'Offshore - Sydney'!E6*4,IF('Offshore - Sydney'!D6="Unit",'Offshore - Sydney'!E6*8,""))))))</f>
        <v>8000</v>
      </c>
      <c r="L1601" s="0" t="n">
        <f aca="false">IF(AND(ISNUMBER('Offshore - Sydney'!E6),ISNUMBER(K1601),ISNUMBER('Offshore - Sydney'!F6),ISNUMBER('Offshore - Sydney'!G6),OR('Offshore - Sydney'!F6&lt;&gt;0,ISNUMBER(SEARCH("Material 0 terverifikasi",'Offshore - Sydney'!N6))),OR('Offshore - Sydney'!G6&lt;&gt;0,ISNUMBER(SEARCH("Enrolment 0 terverifikasi",'Offshore - Sydney'!N6)))),1,0)</f>
        <v>1</v>
      </c>
      <c r="M1601" s="0" t="n">
        <f aca="false">IF(OR('Offshore - Sydney'!E6="",ISNUMBER(SEARCH("BSB80120",'Offshore - Sydney'!B6&amp;'Offshore - Sydney'!N6)),ISNUMBER(SEARCH("Management (Learning)",'Offshore - Sydney'!B6))),2,IF(ISNUMBER(SEARCH("CEK:",'Offshore - Sydney'!N6)),1,0))</f>
        <v>0</v>
      </c>
    </row>
    <row r="1602" customFormat="false" ht="28.35" hidden="false" customHeight="false" outlineLevel="0" collapsed="false">
      <c r="A1602" s="63" t="s">
        <v>3533</v>
      </c>
      <c r="B1602" s="64" t="s">
        <v>4374</v>
      </c>
      <c r="C1602" s="63" t="s">
        <v>42</v>
      </c>
      <c r="D1602" s="64" t="str">
        <f aca="false">TRIM(LEFT('Offshore - Sydney'!A313,FIND(CHAR(10),'Offshore - Sydney'!A313&amp;CHAR(10))-1))</f>
        <v>Australian International College of Skills &amp; Education (AICSE)</v>
      </c>
      <c r="E1602" s="63" t="str">
        <f aca="false">'Offshore - Sydney'!C327&amp;""</f>
        <v>3 years</v>
      </c>
      <c r="F1602" s="63" t="str">
        <f aca="false">IF('Offshore - Sydney'!D327="","Belum tercatat",'Offshore - Sydney'!D327)</f>
        <v>Term</v>
      </c>
      <c r="G1602" s="65" t="n">
        <f aca="false">IF('Offshore - Sydney'!E327="","-",'Offshore - Sydney'!E327)</f>
        <v>2000</v>
      </c>
      <c r="H1602" s="63" t="n">
        <f aca="false">IF(ISNUMBER(K1602),COUNTIFS($J$6:$J$1854,J1602,$K$6:$K$1854,"&lt;"&amp;K1602)+1,"-")</f>
        <v>15</v>
      </c>
      <c r="I1602" s="64" t="str">
        <f aca="false">IF('Offshore - Sydney'!E327="","Harga belum tersedia - hubungi konsultan TEG",IF(M1602=2,"Saat ini tidak menerima pendaftaran siswa internasional baru",IF(M1602=1,"Harga perlu dikonfirmasi ke sekolah"&amp;IF(""="","","; "&amp;""),"")))</f>
        <v/>
      </c>
      <c r="J1602" s="0" t="s">
        <v>4441</v>
      </c>
      <c r="K1602" s="0" t="n">
        <f aca="false">IF(M1602=2,"",IF(ISNUMBER(SEARCH("rata-rata:",'Offshore - Sydney'!N327)),VALUE(MID('Offshore - Sydney'!N327,SEARCH("rata-rata:",'Offshore - Sydney'!N327)+11,FIND(";",'Offshore - Sydney'!N327&amp;";",SEARCH("rata-rata:",'Offshore - Sydney'!N327))-SEARCH("rata-rata:",'Offshore - Sydney'!N327)-11)),IF('Offshore - Sydney'!D327="Semester",'Offshore - Sydney'!E327*2,IF('Offshore - Sydney'!D327="Trimester",'Offshore - Sydney'!E327*3,IF('Offshore - Sydney'!D327="Term",'Offshore - Sydney'!E327*4,IF('Offshore - Sydney'!D327="Unit",'Offshore - Sydney'!E327*8,""))))))</f>
        <v>8000</v>
      </c>
      <c r="L1602" s="0" t="n">
        <f aca="false">IF(AND(ISNUMBER('Offshore - Sydney'!E327),ISNUMBER(K1602),ISNUMBER('Offshore - Sydney'!F327),ISNUMBER('Offshore - Sydney'!G327),OR('Offshore - Sydney'!F327&lt;&gt;0,ISNUMBER(SEARCH("Material 0 terverifikasi",'Offshore - Sydney'!N327))),OR('Offshore - Sydney'!G327&lt;&gt;0,ISNUMBER(SEARCH("Enrolment 0 terverifikasi",'Offshore - Sydney'!N327)))),1,0)</f>
        <v>1</v>
      </c>
      <c r="M1602" s="0" t="n">
        <f aca="false">IF(OR('Offshore - Sydney'!E327="",ISNUMBER(SEARCH("BSB80120",'Offshore - Sydney'!B327&amp;'Offshore - Sydney'!N327)),ISNUMBER(SEARCH("Management (Learning)",'Offshore - Sydney'!B327))),2,IF(ISNUMBER(SEARCH("CEK:",'Offshore - Sydney'!N327)),1,0))</f>
        <v>0</v>
      </c>
    </row>
    <row r="1603" customFormat="false" ht="15" hidden="false" customHeight="false" outlineLevel="0" collapsed="false">
      <c r="A1603" s="63" t="s">
        <v>3533</v>
      </c>
      <c r="B1603" s="64" t="s">
        <v>4374</v>
      </c>
      <c r="C1603" s="63" t="s">
        <v>42</v>
      </c>
      <c r="D1603" s="64" t="str">
        <f aca="false">TRIM(LEFT('Offshore - Sydney'!A469,FIND(CHAR(10),'Offshore - Sydney'!A469&amp;CHAR(10))-1))</f>
        <v>Harbourside Institute of Australia (HIA)</v>
      </c>
      <c r="E1603" s="63" t="str">
        <f aca="false">'Offshore - Sydney'!C475&amp;""</f>
        <v>2 years</v>
      </c>
      <c r="F1603" s="63" t="str">
        <f aca="false">IF('Offshore - Sydney'!D475="","Belum tercatat",'Offshore - Sydney'!D475)</f>
        <v>Term</v>
      </c>
      <c r="G1603" s="65" t="n">
        <f aca="false">IF('Offshore - Sydney'!E475="","-",'Offshore - Sydney'!E475)</f>
        <v>2000</v>
      </c>
      <c r="H1603" s="63" t="n">
        <f aca="false">IF(ISNUMBER(K1603),COUNTIFS($J$6:$J$1854,J1603,$K$6:$K$1854,"&lt;"&amp;K1603)+1,"-")</f>
        <v>15</v>
      </c>
      <c r="I1603" s="64" t="str">
        <f aca="false">IF('Offshore - Sydney'!E475="","Harga belum tersedia - hubungi konsultan TEG",IF(M1603=2,"Saat ini tidak menerima pendaftaran siswa internasional baru",IF(M1603=1,"Harga perlu dikonfirmasi ke sekolah"&amp;IF(""="","","; "&amp;""),"")))</f>
        <v>Harga perlu dikonfirmasi ke sekolah</v>
      </c>
      <c r="J1603" s="0" t="s">
        <v>4441</v>
      </c>
      <c r="K1603" s="0" t="n">
        <f aca="false">IF(M1603=2,"",IF(ISNUMBER(SEARCH("rata-rata:",'Offshore - Sydney'!N475)),VALUE(MID('Offshore - Sydney'!N475,SEARCH("rata-rata:",'Offshore - Sydney'!N475)+11,FIND(";",'Offshore - Sydney'!N475&amp;";",SEARCH("rata-rata:",'Offshore - Sydney'!N475))-SEARCH("rata-rata:",'Offshore - Sydney'!N475)-11)),IF('Offshore - Sydney'!D475="Semester",'Offshore - Sydney'!E475*2,IF('Offshore - Sydney'!D475="Trimester",'Offshore - Sydney'!E475*3,IF('Offshore - Sydney'!D475="Term",'Offshore - Sydney'!E475*4,IF('Offshore - Sydney'!D475="Unit",'Offshore - Sydney'!E475*8,""))))))</f>
        <v>8000</v>
      </c>
      <c r="L1603" s="0" t="n">
        <f aca="false">IF(AND(ISNUMBER('Offshore - Sydney'!E475),ISNUMBER(K1603),ISNUMBER('Offshore - Sydney'!F475),ISNUMBER('Offshore - Sydney'!G475),OR('Offshore - Sydney'!F475&lt;&gt;0,ISNUMBER(SEARCH("Material 0 terverifikasi",'Offshore - Sydney'!N475))),OR('Offshore - Sydney'!G475&lt;&gt;0,ISNUMBER(SEARCH("Enrolment 0 terverifikasi",'Offshore - Sydney'!N475)))),1,0)</f>
        <v>1</v>
      </c>
      <c r="M1603" s="0" t="n">
        <f aca="false">IF(OR('Offshore - Sydney'!E475="",ISNUMBER(SEARCH("BSB80120",'Offshore - Sydney'!B475&amp;'Offshore - Sydney'!N475)),ISNUMBER(SEARCH("Management (Learning)",'Offshore - Sydney'!B475))),2,IF(ISNUMBER(SEARCH("CEK:",'Offshore - Sydney'!N475)),1,0))</f>
        <v>1</v>
      </c>
    </row>
    <row r="1604" customFormat="false" ht="15" hidden="false" customHeight="false" outlineLevel="0" collapsed="false">
      <c r="A1604" s="63" t="s">
        <v>3533</v>
      </c>
      <c r="B1604" s="64" t="s">
        <v>4374</v>
      </c>
      <c r="C1604" s="63" t="s">
        <v>42</v>
      </c>
      <c r="D1604" s="64" t="str">
        <f aca="false">TRIM(LEFT('Offshore - Sydney'!A583,FIND(CHAR(10),'Offshore - Sydney'!A583&amp;CHAR(10))-1))</f>
        <v>Magill College Sydney</v>
      </c>
      <c r="E1604" s="63" t="str">
        <f aca="false">'Offshore - Sydney'!C589&amp;""</f>
        <v>2,5 years</v>
      </c>
      <c r="F1604" s="63" t="str">
        <f aca="false">IF('Offshore - Sydney'!D589="","Belum tercatat",'Offshore - Sydney'!D589)</f>
        <v>Term</v>
      </c>
      <c r="G1604" s="65" t="n">
        <f aca="false">IF('Offshore - Sydney'!E589="","-",'Offshore - Sydney'!E589)</f>
        <v>2000</v>
      </c>
      <c r="H1604" s="63" t="n">
        <f aca="false">IF(ISNUMBER(K1604),COUNTIFS($J$6:$J$1854,J1604,$K$6:$K$1854,"&lt;"&amp;K1604)+1,"-")</f>
        <v>15</v>
      </c>
      <c r="I1604" s="64" t="str">
        <f aca="false">IF('Offshore - Sydney'!E589="","Harga belum tersedia - hubungi konsultan TEG",IF(M1604=2,"Saat ini tidak menerima pendaftaran siswa internasional baru",IF(M1604=1,"Harga perlu dikonfirmasi ke sekolah"&amp;IF(""="","","; "&amp;""),"")))</f>
        <v>Harga perlu dikonfirmasi ke sekolah</v>
      </c>
      <c r="J1604" s="0" t="s">
        <v>4441</v>
      </c>
      <c r="K1604" s="0" t="n">
        <f aca="false">IF(M1604=2,"",IF(ISNUMBER(SEARCH("rata-rata:",'Offshore - Sydney'!N589)),VALUE(MID('Offshore - Sydney'!N589,SEARCH("rata-rata:",'Offshore - Sydney'!N589)+11,FIND(";",'Offshore - Sydney'!N589&amp;";",SEARCH("rata-rata:",'Offshore - Sydney'!N589))-SEARCH("rata-rata:",'Offshore - Sydney'!N589)-11)),IF('Offshore - Sydney'!D589="Semester",'Offshore - Sydney'!E589*2,IF('Offshore - Sydney'!D589="Trimester",'Offshore - Sydney'!E589*3,IF('Offshore - Sydney'!D589="Term",'Offshore - Sydney'!E589*4,IF('Offshore - Sydney'!D589="Unit",'Offshore - Sydney'!E589*8,""))))))</f>
        <v>8000</v>
      </c>
      <c r="L1604" s="0" t="n">
        <f aca="false">IF(AND(ISNUMBER('Offshore - Sydney'!E589),ISNUMBER(K1604),ISNUMBER('Offshore - Sydney'!F589),ISNUMBER('Offshore - Sydney'!G589),OR('Offshore - Sydney'!F589&lt;&gt;0,ISNUMBER(SEARCH("Material 0 terverifikasi",'Offshore - Sydney'!N589))),OR('Offshore - Sydney'!G589&lt;&gt;0,ISNUMBER(SEARCH("Enrolment 0 terverifikasi",'Offshore - Sydney'!N589)))),1,0)</f>
        <v>1</v>
      </c>
      <c r="M1604" s="0" t="n">
        <f aca="false">IF(OR('Offshore - Sydney'!E589="",ISNUMBER(SEARCH("BSB80120",'Offshore - Sydney'!B589&amp;'Offshore - Sydney'!N589)),ISNUMBER(SEARCH("Management (Learning)",'Offshore - Sydney'!B589))),2,IF(ISNUMBER(SEARCH("CEK:",'Offshore - Sydney'!N589)),1,0))</f>
        <v>1</v>
      </c>
    </row>
    <row r="1605" customFormat="false" ht="15" hidden="false" customHeight="false" outlineLevel="0" collapsed="false">
      <c r="A1605" s="63" t="s">
        <v>3533</v>
      </c>
      <c r="B1605" s="64" t="s">
        <v>4374</v>
      </c>
      <c r="C1605" s="63" t="s">
        <v>42</v>
      </c>
      <c r="D1605" s="64" t="str">
        <f aca="false">TRIM(LEFT('Offshore - Sydney'!A399,FIND(CHAR(10),'Offshore - Sydney'!A399&amp;CHAR(10))-1))</f>
        <v>Concord Institute</v>
      </c>
      <c r="E1605" s="63" t="str">
        <f aca="false">'Offshore - Sydney'!C402&amp;""</f>
        <v>2 years</v>
      </c>
      <c r="F1605" s="63" t="str">
        <f aca="false">IF('Offshore - Sydney'!D402="","Belum tercatat",'Offshore - Sydney'!D402)</f>
        <v>Term</v>
      </c>
      <c r="G1605" s="65" t="n">
        <f aca="false">IF('Offshore - Sydney'!E402="","-",'Offshore - Sydney'!E402)</f>
        <v>2200</v>
      </c>
      <c r="H1605" s="63" t="n">
        <f aca="false">IF(ISNUMBER(K1605),COUNTIFS($J$6:$J$1854,J1605,$K$6:$K$1854,"&lt;"&amp;K1605)+1,"-")</f>
        <v>19</v>
      </c>
      <c r="I1605" s="64" t="str">
        <f aca="false">IF('Offshore - Sydney'!E402="","Harga belum tersedia - hubungi konsultan TEG",IF(M1605=2,"Saat ini tidak menerima pendaftaran siswa internasional baru",IF(M1605=1,"Program perlu dikonfirmasi ketersediaannya"&amp;IF(""="","","; "&amp;""),"")))</f>
        <v>Program perlu dikonfirmasi ketersediaannya</v>
      </c>
      <c r="J1605" s="0" t="s">
        <v>4441</v>
      </c>
      <c r="K1605" s="0" t="n">
        <f aca="false">IF(M1605=2,"",IF(ISNUMBER(SEARCH("rata-rata:",'Offshore - Sydney'!N402)),VALUE(MID('Offshore - Sydney'!N402,SEARCH("rata-rata:",'Offshore - Sydney'!N402)+11,FIND(";",'Offshore - Sydney'!N402&amp;";",SEARCH("rata-rata:",'Offshore - Sydney'!N402))-SEARCH("rata-rata:",'Offshore - Sydney'!N402)-11)),IF('Offshore - Sydney'!D402="Semester",'Offshore - Sydney'!E402*2,IF('Offshore - Sydney'!D402="Trimester",'Offshore - Sydney'!E402*3,IF('Offshore - Sydney'!D402="Term",'Offshore - Sydney'!E402*4,IF('Offshore - Sydney'!D402="Unit",'Offshore - Sydney'!E402*8,""))))))</f>
        <v>8800</v>
      </c>
      <c r="L1605" s="0" t="n">
        <f aca="false">IF(AND(ISNUMBER('Offshore - Sydney'!E402),ISNUMBER(K1605),ISNUMBER('Offshore - Sydney'!F402),ISNUMBER('Offshore - Sydney'!G402),OR('Offshore - Sydney'!F402&lt;&gt;0,ISNUMBER(SEARCH("Material 0 terverifikasi",'Offshore - Sydney'!N402))),OR('Offshore - Sydney'!G402&lt;&gt;0,ISNUMBER(SEARCH("Enrolment 0 terverifikasi",'Offshore - Sydney'!N402)))),1,0)</f>
        <v>1</v>
      </c>
      <c r="M1605" s="0" t="n">
        <f aca="false">IF(OR('Offshore - Sydney'!E402="",ISNUMBER(SEARCH("BSB80120",'Offshore - Sydney'!B402&amp;'Offshore - Sydney'!N402)),ISNUMBER(SEARCH("Management (Learning)",'Offshore - Sydney'!B402))),2,IF(ISNUMBER(SEARCH("CEK:",'Offshore - Sydney'!N402)),1,0))</f>
        <v>1</v>
      </c>
    </row>
    <row r="1606" customFormat="false" ht="15" hidden="false" customHeight="false" outlineLevel="0" collapsed="false">
      <c r="A1606" s="63" t="s">
        <v>3533</v>
      </c>
      <c r="B1606" s="64" t="s">
        <v>4374</v>
      </c>
      <c r="C1606" s="63" t="s">
        <v>42</v>
      </c>
      <c r="D1606" s="64" t="str">
        <f aca="false">TRIM(LEFT('Offshore - Sydney'!A703,FIND(CHAR(10),'Offshore - Sydney'!A703&amp;CHAR(10))-1))</f>
        <v>Sydney Metro College (SMC)</v>
      </c>
      <c r="E1606" s="63" t="str">
        <f aca="false">'Offshore - Sydney'!C708&amp;""</f>
        <v>2 years</v>
      </c>
      <c r="F1606" s="63" t="str">
        <f aca="false">IF('Offshore - Sydney'!D708="","Belum tercatat",'Offshore - Sydney'!D708)</f>
        <v>Term</v>
      </c>
      <c r="G1606" s="65" t="n">
        <f aca="false">IF('Offshore - Sydney'!E708="","-",'Offshore - Sydney'!E708)</f>
        <v>2200</v>
      </c>
      <c r="H1606" s="63" t="n">
        <f aca="false">IF(ISNUMBER(K1606),COUNTIFS($J$6:$J$1854,J1606,$K$6:$K$1854,"&lt;"&amp;K1606)+1,"-")</f>
        <v>19</v>
      </c>
      <c r="I1606" s="64" t="str">
        <f aca="false">IF('Offshore - Sydney'!E708="","Harga belum tersedia - hubungi konsultan TEG",IF(M1606=2,"Saat ini tidak menerima pendaftaran siswa internasional baru",IF(M1606=1,"Harga perlu dikonfirmasi ke sekolah"&amp;IF(""="","","; "&amp;""),"")))</f>
        <v/>
      </c>
      <c r="J1606" s="0" t="s">
        <v>4441</v>
      </c>
      <c r="K1606" s="0" t="n">
        <f aca="false">IF(M1606=2,"",IF(ISNUMBER(SEARCH("rata-rata:",'Offshore - Sydney'!N708)),VALUE(MID('Offshore - Sydney'!N708,SEARCH("rata-rata:",'Offshore - Sydney'!N708)+11,FIND(";",'Offshore - Sydney'!N708&amp;";",SEARCH("rata-rata:",'Offshore - Sydney'!N708))-SEARCH("rata-rata:",'Offshore - Sydney'!N708)-11)),IF('Offshore - Sydney'!D708="Semester",'Offshore - Sydney'!E708*2,IF('Offshore - Sydney'!D708="Trimester",'Offshore - Sydney'!E708*3,IF('Offshore - Sydney'!D708="Term",'Offshore - Sydney'!E708*4,IF('Offshore - Sydney'!D708="Unit",'Offshore - Sydney'!E708*8,""))))))</f>
        <v>8800</v>
      </c>
      <c r="L1606" s="0" t="n">
        <f aca="false">IF(AND(ISNUMBER('Offshore - Sydney'!E708),ISNUMBER(K1606),ISNUMBER('Offshore - Sydney'!F708),ISNUMBER('Offshore - Sydney'!G708),OR('Offshore - Sydney'!F708&lt;&gt;0,ISNUMBER(SEARCH("Material 0 terverifikasi",'Offshore - Sydney'!N708))),OR('Offshore - Sydney'!G708&lt;&gt;0,ISNUMBER(SEARCH("Enrolment 0 terverifikasi",'Offshore - Sydney'!N708)))),1,0)</f>
        <v>1</v>
      </c>
      <c r="M1606" s="0" t="n">
        <f aca="false">IF(OR('Offshore - Sydney'!E708="",ISNUMBER(SEARCH("BSB80120",'Offshore - Sydney'!B708&amp;'Offshore - Sydney'!N708)),ISNUMBER(SEARCH("Management (Learning)",'Offshore - Sydney'!B708))),2,IF(ISNUMBER(SEARCH("CEK:",'Offshore - Sydney'!N708)),1,0))</f>
        <v>0</v>
      </c>
    </row>
    <row r="1607" customFormat="false" ht="28.35" hidden="false" customHeight="false" outlineLevel="0" collapsed="false">
      <c r="A1607" s="63" t="s">
        <v>3533</v>
      </c>
      <c r="B1607" s="64" t="s">
        <v>4374</v>
      </c>
      <c r="C1607" s="63" t="s">
        <v>42</v>
      </c>
      <c r="D1607" s="64" t="str">
        <f aca="false">TRIM(LEFT('Offshore - Sydney'!A88,FIND(CHAR(10),'Offshore - Sydney'!A88&amp;CHAR(10))-1))</f>
        <v>Albright Institute of Business and Language (AIBL)</v>
      </c>
      <c r="E1607" s="63" t="str">
        <f aca="false">'Offshore - Sydney'!C93&amp;""</f>
        <v>2 years</v>
      </c>
      <c r="F1607" s="63" t="str">
        <f aca="false">IF('Offshore - Sydney'!D93="","Belum tercatat",'Offshore - Sydney'!D93)</f>
        <v>Term</v>
      </c>
      <c r="G1607" s="65" t="n">
        <f aca="false">IF('Offshore - Sydney'!E93="","-",'Offshore - Sydney'!E93)</f>
        <v>2250</v>
      </c>
      <c r="H1607" s="63" t="n">
        <f aca="false">IF(ISNUMBER(K1607),COUNTIFS($J$6:$J$1854,J1607,$K$6:$K$1854,"&lt;"&amp;K1607)+1,"-")</f>
        <v>21</v>
      </c>
      <c r="I1607" s="64" t="str">
        <f aca="false">IF('Offshore - Sydney'!E93="","Harga belum tersedia - hubungi konsultan TEG",IF(M1607=2,"Saat ini tidak menerima pendaftaran siswa internasional baru",IF(M1607=1,"Harga perlu dikonfirmasi ke sekolah"&amp;IF(""="","","; "&amp;""),"")))</f>
        <v/>
      </c>
      <c r="J1607" s="0" t="s">
        <v>4441</v>
      </c>
      <c r="K1607" s="0" t="n">
        <f aca="false">IF(M1607=2,"",IF(ISNUMBER(SEARCH("rata-rata:",'Offshore - Sydney'!N93)),VALUE(MID('Offshore - Sydney'!N93,SEARCH("rata-rata:",'Offshore - Sydney'!N93)+11,FIND(";",'Offshore - Sydney'!N93&amp;";",SEARCH("rata-rata:",'Offshore - Sydney'!N93))-SEARCH("rata-rata:",'Offshore - Sydney'!N93)-11)),IF('Offshore - Sydney'!D93="Semester",'Offshore - Sydney'!E93*2,IF('Offshore - Sydney'!D93="Trimester",'Offshore - Sydney'!E93*3,IF('Offshore - Sydney'!D93="Term",'Offshore - Sydney'!E93*4,IF('Offshore - Sydney'!D93="Unit",'Offshore - Sydney'!E93*8,""))))))</f>
        <v>9000</v>
      </c>
      <c r="L1607" s="0" t="n">
        <f aca="false">IF(AND(ISNUMBER('Offshore - Sydney'!E93),ISNUMBER(K1607),ISNUMBER('Offshore - Sydney'!F93),ISNUMBER('Offshore - Sydney'!G93),OR('Offshore - Sydney'!F93&lt;&gt;0,ISNUMBER(SEARCH("Material 0 terverifikasi",'Offshore - Sydney'!N93))),OR('Offshore - Sydney'!G93&lt;&gt;0,ISNUMBER(SEARCH("Enrolment 0 terverifikasi",'Offshore - Sydney'!N93)))),1,0)</f>
        <v>1</v>
      </c>
      <c r="M1607" s="0" t="n">
        <f aca="false">IF(OR('Offshore - Sydney'!E93="",ISNUMBER(SEARCH("BSB80120",'Offshore - Sydney'!B93&amp;'Offshore - Sydney'!N93)),ISNUMBER(SEARCH("Management (Learning)",'Offshore - Sydney'!B93))),2,IF(ISNUMBER(SEARCH("CEK:",'Offshore - Sydney'!N93)),1,0))</f>
        <v>0</v>
      </c>
    </row>
    <row r="1608" customFormat="false" ht="28.35" hidden="false" customHeight="false" outlineLevel="0" collapsed="false">
      <c r="A1608" s="63" t="s">
        <v>3533</v>
      </c>
      <c r="B1608" s="64" t="s">
        <v>4374</v>
      </c>
      <c r="C1608" s="63" t="s">
        <v>42</v>
      </c>
      <c r="D1608" s="64" t="str">
        <f aca="false">TRIM(LEFT('Offshore - Sydney'!A282,FIND(CHAR(10),'Offshore - Sydney'!A282&amp;CHAR(10))-1))</f>
        <v>Australian Harbour International College (AHIC)</v>
      </c>
      <c r="E1608" s="63" t="str">
        <f aca="false">'Offshore - Sydney'!C284&amp;""</f>
        <v>3 years</v>
      </c>
      <c r="F1608" s="63" t="str">
        <f aca="false">IF('Offshore - Sydney'!D284="","Belum tercatat",'Offshore - Sydney'!D284)</f>
        <v>Term</v>
      </c>
      <c r="G1608" s="65" t="n">
        <f aca="false">IF('Offshore - Sydney'!E284="","-",'Offshore - Sydney'!E284)</f>
        <v>2250</v>
      </c>
      <c r="H1608" s="63" t="n">
        <f aca="false">IF(ISNUMBER(K1608),COUNTIFS($J$6:$J$1854,J1608,$K$6:$K$1854,"&lt;"&amp;K1608)+1,"-")</f>
        <v>21</v>
      </c>
      <c r="I1608" s="64" t="str">
        <f aca="false">IF('Offshore - Sydney'!E284="","Harga belum tersedia - hubungi konsultan TEG",IF(M1608=2,"Saat ini tidak menerima pendaftaran siswa internasional baru",IF(M1608=1,"Harga perlu dikonfirmasi ke sekolah"&amp;IF(""="","","; "&amp;""),"")))</f>
        <v/>
      </c>
      <c r="J1608" s="0" t="s">
        <v>4441</v>
      </c>
      <c r="K1608" s="0" t="n">
        <f aca="false">IF(M1608=2,"",IF(ISNUMBER(SEARCH("rata-rata:",'Offshore - Sydney'!N284)),VALUE(MID('Offshore - Sydney'!N284,SEARCH("rata-rata:",'Offshore - Sydney'!N284)+11,FIND(";",'Offshore - Sydney'!N284&amp;";",SEARCH("rata-rata:",'Offshore - Sydney'!N284))-SEARCH("rata-rata:",'Offshore - Sydney'!N284)-11)),IF('Offshore - Sydney'!D284="Semester",'Offshore - Sydney'!E284*2,IF('Offshore - Sydney'!D284="Trimester",'Offshore - Sydney'!E284*3,IF('Offshore - Sydney'!D284="Term",'Offshore - Sydney'!E284*4,IF('Offshore - Sydney'!D284="Unit",'Offshore - Sydney'!E284*8,""))))))</f>
        <v>9000</v>
      </c>
      <c r="L1608" s="0" t="n">
        <f aca="false">IF(AND(ISNUMBER('Offshore - Sydney'!E284),ISNUMBER(K1608),ISNUMBER('Offshore - Sydney'!F284),ISNUMBER('Offshore - Sydney'!G284),OR('Offshore - Sydney'!F284&lt;&gt;0,ISNUMBER(SEARCH("Material 0 terverifikasi",'Offshore - Sydney'!N284))),OR('Offshore - Sydney'!G284&lt;&gt;0,ISNUMBER(SEARCH("Enrolment 0 terverifikasi",'Offshore - Sydney'!N284)))),1,0)</f>
        <v>1</v>
      </c>
      <c r="M1608" s="0" t="n">
        <f aca="false">IF(OR('Offshore - Sydney'!E284="",ISNUMBER(SEARCH("BSB80120",'Offshore - Sydney'!B284&amp;'Offshore - Sydney'!N284)),ISNUMBER(SEARCH("Management (Learning)",'Offshore - Sydney'!B284))),2,IF(ISNUMBER(SEARCH("CEK:",'Offshore - Sydney'!N284)),1,0))</f>
        <v>0</v>
      </c>
    </row>
    <row r="1609" customFormat="false" ht="15" hidden="false" customHeight="false" outlineLevel="0" collapsed="false">
      <c r="A1609" s="63" t="s">
        <v>3533</v>
      </c>
      <c r="B1609" s="64" t="s">
        <v>4374</v>
      </c>
      <c r="C1609" s="63" t="s">
        <v>42</v>
      </c>
      <c r="D1609" s="64" t="str">
        <f aca="false">TRIM(LEFT('Offshore - Sydney'!A660,FIND(CHAR(10),'Offshore - Sydney'!A660&amp;CHAR(10))-1))</f>
        <v>Rosehill College</v>
      </c>
      <c r="E1609" s="63" t="str">
        <f aca="false">'Offshore - Sydney'!C667&amp;""</f>
        <v>3 years</v>
      </c>
      <c r="F1609" s="63" t="str">
        <f aca="false">IF('Offshore - Sydney'!D667="","Belum tercatat",'Offshore - Sydney'!D667)</f>
        <v>Term</v>
      </c>
      <c r="G1609" s="65" t="n">
        <f aca="false">IF('Offshore - Sydney'!E667="","-",'Offshore - Sydney'!E667)</f>
        <v>2500</v>
      </c>
      <c r="H1609" s="63" t="n">
        <f aca="false">IF(ISNUMBER(K1609),COUNTIFS($J$6:$J$1854,J1609,$K$6:$K$1854,"&lt;"&amp;K1609)+1,"-")</f>
        <v>23</v>
      </c>
      <c r="I1609" s="64" t="str">
        <f aca="false">IF('Offshore - Sydney'!E667="","Harga belum tersedia - hubungi konsultan TEG",IF(M1609=2,"Saat ini tidak menerima pendaftaran siswa internasional baru",IF(M1609=1,"Harga perlu dikonfirmasi ke sekolah"&amp;IF(""="","","; "&amp;""),"")))</f>
        <v/>
      </c>
      <c r="J1609" s="0" t="s">
        <v>4441</v>
      </c>
      <c r="K1609" s="0" t="n">
        <f aca="false">IF(M1609=2,"",IF(ISNUMBER(SEARCH("rata-rata:",'Offshore - Sydney'!N667)),VALUE(MID('Offshore - Sydney'!N667,SEARCH("rata-rata:",'Offshore - Sydney'!N667)+11,FIND(";",'Offshore - Sydney'!N667&amp;";",SEARCH("rata-rata:",'Offshore - Sydney'!N667))-SEARCH("rata-rata:",'Offshore - Sydney'!N667)-11)),IF('Offshore - Sydney'!D667="Semester",'Offshore - Sydney'!E667*2,IF('Offshore - Sydney'!D667="Trimester",'Offshore - Sydney'!E667*3,IF('Offshore - Sydney'!D667="Term",'Offshore - Sydney'!E667*4,IF('Offshore - Sydney'!D667="Unit",'Offshore - Sydney'!E667*8,""))))))</f>
        <v>10000</v>
      </c>
      <c r="L1609" s="0" t="n">
        <f aca="false">IF(AND(ISNUMBER('Offshore - Sydney'!E667),ISNUMBER(K1609),ISNUMBER('Offshore - Sydney'!F667),ISNUMBER('Offshore - Sydney'!G667),OR('Offshore - Sydney'!F667&lt;&gt;0,ISNUMBER(SEARCH("Material 0 terverifikasi",'Offshore - Sydney'!N667))),OR('Offshore - Sydney'!G667&lt;&gt;0,ISNUMBER(SEARCH("Enrolment 0 terverifikasi",'Offshore - Sydney'!N667)))),1,0)</f>
        <v>1</v>
      </c>
      <c r="M1609" s="0" t="n">
        <f aca="false">IF(OR('Offshore - Sydney'!E667="",ISNUMBER(SEARCH("BSB80120",'Offshore - Sydney'!B667&amp;'Offshore - Sydney'!N667)),ISNUMBER(SEARCH("Management (Learning)",'Offshore - Sydney'!B667))),2,IF(ISNUMBER(SEARCH("CEK:",'Offshore - Sydney'!N667)),1,0))</f>
        <v>0</v>
      </c>
    </row>
    <row r="1610" customFormat="false" ht="15" hidden="false" customHeight="false" outlineLevel="0" collapsed="false">
      <c r="A1610" s="63" t="s">
        <v>3533</v>
      </c>
      <c r="B1610" s="64" t="s">
        <v>4374</v>
      </c>
      <c r="C1610" s="63" t="s">
        <v>42</v>
      </c>
      <c r="D1610" s="64" t="str">
        <f aca="false">TRIM(LEFT('Offshore - Sydney'!A691,FIND(CHAR(10),'Offshore - Sydney'!A691&amp;CHAR(10))-1))</f>
        <v>Sydney City College of Management</v>
      </c>
      <c r="E1610" s="63" t="str">
        <f aca="false">'Offshore - Sydney'!C692&amp;""</f>
        <v>2,5 years</v>
      </c>
      <c r="F1610" s="63" t="str">
        <f aca="false">IF('Offshore - Sydney'!D692="","Belum tercatat",'Offshore - Sydney'!D692)</f>
        <v>Term</v>
      </c>
      <c r="G1610" s="65" t="n">
        <f aca="false">IF('Offshore - Sydney'!E692="","-",'Offshore - Sydney'!E692)</f>
        <v>3000</v>
      </c>
      <c r="H1610" s="63" t="n">
        <f aca="false">IF(ISNUMBER(K1610),COUNTIFS($J$6:$J$1854,J1610,$K$6:$K$1854,"&lt;"&amp;K1610)+1,"-")</f>
        <v>24</v>
      </c>
      <c r="I1610" s="64" t="str">
        <f aca="false">IF('Offshore - Sydney'!E692="","Harga belum tersedia - hubungi konsultan TEG",IF(M1610=2,"Saat ini tidak menerima pendaftaran siswa internasional baru",IF(M1610=1,"Harga perlu dikonfirmasi ke sekolah"&amp;IF(""="","","; "&amp;""),"")))</f>
        <v/>
      </c>
      <c r="J1610" s="0" t="s">
        <v>4441</v>
      </c>
      <c r="K1610" s="0" t="n">
        <f aca="false">IF(M1610=2,"",IF(ISNUMBER(SEARCH("rata-rata:",'Offshore - Sydney'!N692)),VALUE(MID('Offshore - Sydney'!N692,SEARCH("rata-rata:",'Offshore - Sydney'!N692)+11,FIND(";",'Offshore - Sydney'!N692&amp;";",SEARCH("rata-rata:",'Offshore - Sydney'!N692))-SEARCH("rata-rata:",'Offshore - Sydney'!N692)-11)),IF('Offshore - Sydney'!D692="Semester",'Offshore - Sydney'!E692*2,IF('Offshore - Sydney'!D692="Trimester",'Offshore - Sydney'!E692*3,IF('Offshore - Sydney'!D692="Term",'Offshore - Sydney'!E692*4,IF('Offshore - Sydney'!D692="Unit",'Offshore - Sydney'!E692*8,""))))))</f>
        <v>12000</v>
      </c>
      <c r="L1610" s="0" t="n">
        <f aca="false">IF(AND(ISNUMBER('Offshore - Sydney'!E692),ISNUMBER(K1610),ISNUMBER('Offshore - Sydney'!F692),ISNUMBER('Offshore - Sydney'!G692),OR('Offshore - Sydney'!F692&lt;&gt;0,ISNUMBER(SEARCH("Material 0 terverifikasi",'Offshore - Sydney'!N692))),OR('Offshore - Sydney'!G692&lt;&gt;0,ISNUMBER(SEARCH("Enrolment 0 terverifikasi",'Offshore - Sydney'!N692)))),1,0)</f>
        <v>1</v>
      </c>
      <c r="M1610" s="0" t="n">
        <f aca="false">IF(OR('Offshore - Sydney'!E692="",ISNUMBER(SEARCH("BSB80120",'Offshore - Sydney'!B692&amp;'Offshore - Sydney'!N692)),ISNUMBER(SEARCH("Management (Learning)",'Offshore - Sydney'!B692))),2,IF(ISNUMBER(SEARCH("CEK:",'Offshore - Sydney'!N692)),1,0))</f>
        <v>0</v>
      </c>
    </row>
    <row r="1611" customFormat="false" ht="15" hidden="false" customHeight="false" outlineLevel="0" collapsed="false">
      <c r="A1611" s="63" t="s">
        <v>3533</v>
      </c>
      <c r="B1611" s="64" t="s">
        <v>4374</v>
      </c>
      <c r="C1611" s="63" t="s">
        <v>42</v>
      </c>
      <c r="D1611" s="64" t="str">
        <f aca="false">TRIM(LEFT('Offshore - Sydney'!A968,FIND(CHAR(10),'Offshore - Sydney'!A968&amp;CHAR(10))-1))</f>
        <v>Western Sydney College (WSC)</v>
      </c>
      <c r="E1611" s="63" t="str">
        <f aca="false">'Offshore - Sydney'!C972&amp;""</f>
        <v>4 years</v>
      </c>
      <c r="F1611" s="63" t="str">
        <f aca="false">IF('Offshore - Sydney'!D972="","Belum tercatat",'Offshore - Sydney'!D972)</f>
        <v>Term</v>
      </c>
      <c r="G1611" s="65" t="n">
        <f aca="false">IF('Offshore - Sydney'!E972="","-",'Offshore - Sydney'!E972)</f>
        <v>3250</v>
      </c>
      <c r="H1611" s="63" t="n">
        <f aca="false">IF(ISNUMBER(K1611),COUNTIFS($J$6:$J$1854,J1611,$K$6:$K$1854,"&lt;"&amp;K1611)+1,"-")</f>
        <v>25</v>
      </c>
      <c r="I1611" s="64" t="str">
        <f aca="false">IF('Offshore - Sydney'!E972="","Harga belum tersedia - hubungi konsultan TEG",IF(M1611=2,"Saat ini tidak menerima pendaftaran siswa internasional baru",IF(M1611=1,"Program perlu dikonfirmasi ketersediaannya"&amp;IF(""="","","; "&amp;""),"")))</f>
        <v>Program perlu dikonfirmasi ketersediaannya</v>
      </c>
      <c r="J1611" s="0" t="s">
        <v>4441</v>
      </c>
      <c r="K1611" s="0" t="n">
        <f aca="false">IF(M1611=2,"",IF(ISNUMBER(SEARCH("rata-rata:",'Offshore - Sydney'!N972)),VALUE(MID('Offshore - Sydney'!N972,SEARCH("rata-rata:",'Offshore - Sydney'!N972)+11,FIND(";",'Offshore - Sydney'!N972&amp;";",SEARCH("rata-rata:",'Offshore - Sydney'!N972))-SEARCH("rata-rata:",'Offshore - Sydney'!N972)-11)),IF('Offshore - Sydney'!D972="Semester",'Offshore - Sydney'!E972*2,IF('Offshore - Sydney'!D972="Trimester",'Offshore - Sydney'!E972*3,IF('Offshore - Sydney'!D972="Term",'Offshore - Sydney'!E972*4,IF('Offshore - Sydney'!D972="Unit",'Offshore - Sydney'!E972*8,""))))))</f>
        <v>13000</v>
      </c>
      <c r="L1611" s="0" t="n">
        <f aca="false">IF(AND(ISNUMBER('Offshore - Sydney'!E972),ISNUMBER(K1611),ISNUMBER('Offshore - Sydney'!F972),ISNUMBER('Offshore - Sydney'!G972),OR('Offshore - Sydney'!F972&lt;&gt;0,ISNUMBER(SEARCH("Material 0 terverifikasi",'Offshore - Sydney'!N972))),OR('Offshore - Sydney'!G972&lt;&gt;0,ISNUMBER(SEARCH("Enrolment 0 terverifikasi",'Offshore - Sydney'!N972)))),1,0)</f>
        <v>1</v>
      </c>
      <c r="M1611" s="0" t="n">
        <f aca="false">IF(OR('Offshore - Sydney'!E972="",ISNUMBER(SEARCH("BSB80120",'Offshore - Sydney'!B972&amp;'Offshore - Sydney'!N972)),ISNUMBER(SEARCH("Management (Learning)",'Offshore - Sydney'!B972))),2,IF(ISNUMBER(SEARCH("CEK:",'Offshore - Sydney'!N972)),1,0))</f>
        <v>1</v>
      </c>
    </row>
    <row r="1612" customFormat="false" ht="15" hidden="false" customHeight="false" outlineLevel="0" collapsed="false">
      <c r="A1612" s="63" t="s">
        <v>3533</v>
      </c>
      <c r="B1612" s="64" t="s">
        <v>4374</v>
      </c>
      <c r="C1612" s="63" t="s">
        <v>42</v>
      </c>
      <c r="D1612" s="64" t="str">
        <f aca="false">TRIM(LEFT('Offshore - Sydney'!A33,FIND(CHAR(10),'Offshore - Sydney'!A33&amp;CHAR(10))-1))</f>
        <v>Academia of Trade</v>
      </c>
      <c r="E1612" s="63" t="str">
        <f aca="false">'Offshore - Sydney'!C38&amp;""</f>
        <v>3 years</v>
      </c>
      <c r="F1612" s="63" t="str">
        <f aca="false">IF('Offshore - Sydney'!D38="","Belum tercatat",'Offshore - Sydney'!D38)</f>
        <v>Term</v>
      </c>
      <c r="G1612" s="65" t="n">
        <f aca="false">IF('Offshore - Sydney'!E38="","-",'Offshore - Sydney'!E38)</f>
        <v>3350</v>
      </c>
      <c r="H1612" s="63" t="n">
        <f aca="false">IF(ISNUMBER(K1612),COUNTIFS($J$6:$J$1854,J1612,$K$6:$K$1854,"&lt;"&amp;K1612)+1,"-")</f>
        <v>26</v>
      </c>
      <c r="I1612" s="64" t="str">
        <f aca="false">IF('Offshore - Sydney'!E38="","Harga belum tersedia - hubungi konsultan TEG",IF(M1612=2,"Saat ini tidak menerima pendaftaran siswa internasional baru",IF(M1612=1,"Harga perlu dikonfirmasi ke sekolah"&amp;IF(""="","","; "&amp;""),"")))</f>
        <v/>
      </c>
      <c r="J1612" s="0" t="s">
        <v>4441</v>
      </c>
      <c r="K1612" s="0" t="n">
        <f aca="false">IF(M1612=2,"",IF(ISNUMBER(SEARCH("rata-rata:",'Offshore - Sydney'!N38)),VALUE(MID('Offshore - Sydney'!N38,SEARCH("rata-rata:",'Offshore - Sydney'!N38)+11,FIND(";",'Offshore - Sydney'!N38&amp;";",SEARCH("rata-rata:",'Offshore - Sydney'!N38))-SEARCH("rata-rata:",'Offshore - Sydney'!N38)-11)),IF('Offshore - Sydney'!D38="Semester",'Offshore - Sydney'!E38*2,IF('Offshore - Sydney'!D38="Trimester",'Offshore - Sydney'!E38*3,IF('Offshore - Sydney'!D38="Term",'Offshore - Sydney'!E38*4,IF('Offshore - Sydney'!D38="Unit",'Offshore - Sydney'!E38*8,""))))))</f>
        <v>13400</v>
      </c>
      <c r="L1612" s="0" t="n">
        <f aca="false">IF(AND(ISNUMBER('Offshore - Sydney'!E38),ISNUMBER(K1612),ISNUMBER('Offshore - Sydney'!F38),ISNUMBER('Offshore - Sydney'!G38),OR('Offshore - Sydney'!F38&lt;&gt;0,ISNUMBER(SEARCH("Material 0 terverifikasi",'Offshore - Sydney'!N38))),OR('Offshore - Sydney'!G38&lt;&gt;0,ISNUMBER(SEARCH("Enrolment 0 terverifikasi",'Offshore - Sydney'!N38)))),1,0)</f>
        <v>1</v>
      </c>
      <c r="M1612" s="0" t="n">
        <f aca="false">IF(OR('Offshore - Sydney'!E38="",ISNUMBER(SEARCH("BSB80120",'Offshore - Sydney'!B38&amp;'Offshore - Sydney'!N38)),ISNUMBER(SEARCH("Management (Learning)",'Offshore - Sydney'!B38))),2,IF(ISNUMBER(SEARCH("CEK:",'Offshore - Sydney'!N38)),1,0))</f>
        <v>0</v>
      </c>
    </row>
    <row r="1613" customFormat="false" ht="15" hidden="false" customHeight="false" outlineLevel="0" collapsed="false">
      <c r="A1613" s="61" t="s">
        <v>4442</v>
      </c>
      <c r="B1613" s="62"/>
      <c r="C1613" s="62"/>
      <c r="D1613" s="62"/>
      <c r="E1613" s="62"/>
      <c r="F1613" s="62"/>
      <c r="G1613" s="62"/>
      <c r="H1613" s="62"/>
      <c r="I1613" s="62"/>
    </row>
    <row r="1614" customFormat="false" ht="55.2" hidden="false" customHeight="false" outlineLevel="0" collapsed="false">
      <c r="A1614" s="63" t="s">
        <v>3533</v>
      </c>
      <c r="B1614" s="64" t="s">
        <v>4374</v>
      </c>
      <c r="C1614" s="63" t="s">
        <v>43</v>
      </c>
      <c r="D1614" s="64" t="str">
        <f aca="false">TRIM(LEFT('Offshore - Sydney'!A78,FIND(CHAR(10),'Offshore - Sydney'!A78&amp;CHAR(10))-1))</f>
        <v>AIH Higher Education (Australian Institute of Higher Education)</v>
      </c>
      <c r="E1614" s="63" t="str">
        <f aca="false">'Offshore - Sydney'!C82&amp;""</f>
        <v>3 years</v>
      </c>
      <c r="F1614" s="63" t="str">
        <f aca="false">IF('Offshore - Sydney'!D82="","Belum tercatat",'Offshore - Sydney'!D82)</f>
        <v>Unit</v>
      </c>
      <c r="G1614" s="65" t="n">
        <f aca="false">IF('Offshore - Sydney'!E82="","-",'Offshore - Sydney'!E82)</f>
        <v>1560</v>
      </c>
      <c r="H1614" s="63" t="n">
        <f aca="false">IF(ISNUMBER(K1614),COUNTIFS($J$6:$J$1854,J1614,$K$6:$K$1854,"&lt;"&amp;K1614)+1,"-")</f>
        <v>1</v>
      </c>
      <c r="I1614" s="64" t="str">
        <f aca="false">IF('Offshore - Sydney'!E82="","Harga belum tersedia - hubungi konsultan TEG",IF(M1614=2,"Saat ini tidak menerima pendaftaran siswa internasional baru",IF(M1614=1,"Harga perlu dikonfirmasi ke sekolah"&amp;IF("Harga promo s.d. 31/12/2026; Harga dihitung per unit; total tergantung jumlah unit yang diambil; Sudah termasuk beasiswa 30% (syarat berlaku)"="","","; "&amp;"Harga promo s.d. 31/12/2026; Harga dihitung per unit; total tergantung jumlah unit yang diambil; Sudah termasuk beasiswa 30% (syarat berlaku)"),"Harga promo s.d. 31/12/2026; Harga dihitung per unit; total tergantung jumlah unit yang diambil; Sudah termasuk beasiswa 30% (syarat berlaku)")))</f>
        <v>Harga promo s.d. 31/12/2026; Harga dihitung per unit; total tergantung jumlah unit yang diambil; Sudah termasuk beasiswa 30% (syarat berlaku)</v>
      </c>
      <c r="J1614" s="0" t="s">
        <v>4443</v>
      </c>
      <c r="K1614" s="0" t="n">
        <f aca="false">IF(M1614=2,"",IF(ISNUMBER(SEARCH("rata-rata:",'Offshore - Sydney'!N82)),VALUE(MID('Offshore - Sydney'!N82,SEARCH("rata-rata:",'Offshore - Sydney'!N82)+11,FIND(";",'Offshore - Sydney'!N82&amp;";",SEARCH("rata-rata:",'Offshore - Sydney'!N82))-SEARCH("rata-rata:",'Offshore - Sydney'!N82)-11)),IF('Offshore - Sydney'!D82="Semester",'Offshore - Sydney'!E82*2,IF('Offshore - Sydney'!D82="Trimester",'Offshore - Sydney'!E82*3,IF('Offshore - Sydney'!D82="Term",'Offshore - Sydney'!E82*4,IF('Offshore - Sydney'!D82="Unit",'Offshore - Sydney'!E82*8,""))))))</f>
        <v>12480</v>
      </c>
      <c r="L1614" s="0" t="n">
        <f aca="false">IF(AND(ISNUMBER('Offshore - Sydney'!E82),ISNUMBER(K1614),ISNUMBER('Offshore - Sydney'!F82),ISNUMBER('Offshore - Sydney'!G82),OR('Offshore - Sydney'!F82&lt;&gt;0,ISNUMBER(SEARCH("Material 0 terverifikasi",'Offshore - Sydney'!N82))),OR('Offshore - Sydney'!G82&lt;&gt;0,ISNUMBER(SEARCH("Enrolment 0 terverifikasi",'Offshore - Sydney'!N82)))),1,0)</f>
        <v>1</v>
      </c>
      <c r="M1614" s="0" t="n">
        <f aca="false">IF(OR('Offshore - Sydney'!E82="",ISNUMBER(SEARCH("BSB80120",'Offshore - Sydney'!B82&amp;'Offshore - Sydney'!N82)),ISNUMBER(SEARCH("Management (Learning)",'Offshore - Sydney'!B82))),2,IF(ISNUMBER(SEARCH("CEK:",'Offshore - Sydney'!N82)),1,0))</f>
        <v>0</v>
      </c>
    </row>
    <row r="1615" customFormat="false" ht="15" hidden="false" customHeight="false" outlineLevel="0" collapsed="false">
      <c r="A1615" s="63" t="s">
        <v>3533</v>
      </c>
      <c r="B1615" s="64" t="s">
        <v>4374</v>
      </c>
      <c r="C1615" s="63" t="s">
        <v>43</v>
      </c>
      <c r="D1615" s="64" t="str">
        <f aca="false">TRIM(LEFT('Offshore - Sydney'!A131,FIND(CHAR(10),'Offshore - Sydney'!A131&amp;CHAR(10))-1))</f>
        <v>Asia Pacific International College (APIC)</v>
      </c>
      <c r="E1615" s="63" t="str">
        <f aca="false">'Offshore - Sydney'!C132&amp;""</f>
        <v>3 years</v>
      </c>
      <c r="F1615" s="63" t="str">
        <f aca="false">IF('Offshore - Sydney'!D132="","Belum tercatat",'Offshore - Sydney'!D132)</f>
        <v>Trimester</v>
      </c>
      <c r="G1615" s="65" t="n">
        <f aca="false">IF('Offshore - Sydney'!E132="","-",'Offshore - Sydney'!E132)</f>
        <v>4500</v>
      </c>
      <c r="H1615" s="63" t="n">
        <f aca="false">IF(ISNUMBER(K1615),COUNTIFS($J$6:$J$1854,J1615,$K$6:$K$1854,"&lt;"&amp;K1615)+1,"-")</f>
        <v>2</v>
      </c>
      <c r="I1615" s="64" t="str">
        <f aca="false">IF('Offshore - Sydney'!E132="","Harga belum tersedia - hubungi konsultan TEG",IF(M1615=2,"Saat ini tidak menerima pendaftaran siswa internasional baru",IF(M1615=1,"Harga perlu dikonfirmasi ke sekolah"&amp;IF("Harga promo s.d. 31/12/2026"="","","; "&amp;"Harga promo s.d. 31/12/2026"),"Harga promo s.d. 31/12/2026")))</f>
        <v>Harga promo s.d. 31/12/2026</v>
      </c>
      <c r="J1615" s="0" t="s">
        <v>4443</v>
      </c>
      <c r="K1615" s="0" t="n">
        <f aca="false">IF(M1615=2,"",IF(ISNUMBER(SEARCH("rata-rata:",'Offshore - Sydney'!N132)),VALUE(MID('Offshore - Sydney'!N132,SEARCH("rata-rata:",'Offshore - Sydney'!N132)+11,FIND(";",'Offshore - Sydney'!N132&amp;";",SEARCH("rata-rata:",'Offshore - Sydney'!N132))-SEARCH("rata-rata:",'Offshore - Sydney'!N132)-11)),IF('Offshore - Sydney'!D132="Semester",'Offshore - Sydney'!E132*2,IF('Offshore - Sydney'!D132="Trimester",'Offshore - Sydney'!E132*3,IF('Offshore - Sydney'!D132="Term",'Offshore - Sydney'!E132*4,IF('Offshore - Sydney'!D132="Unit",'Offshore - Sydney'!E132*8,""))))))</f>
        <v>13500</v>
      </c>
      <c r="L1615" s="0" t="n">
        <f aca="false">IF(AND(ISNUMBER('Offshore - Sydney'!E132),ISNUMBER(K1615),ISNUMBER('Offshore - Sydney'!F132),ISNUMBER('Offshore - Sydney'!G132),OR('Offshore - Sydney'!F132&lt;&gt;0,ISNUMBER(SEARCH("Material 0 terverifikasi",'Offshore - Sydney'!N132))),OR('Offshore - Sydney'!G132&lt;&gt;0,ISNUMBER(SEARCH("Enrolment 0 terverifikasi",'Offshore - Sydney'!N132)))),1,0)</f>
        <v>0</v>
      </c>
      <c r="M1615" s="0" t="n">
        <f aca="false">IF(OR('Offshore - Sydney'!E132="",ISNUMBER(SEARCH("BSB80120",'Offshore - Sydney'!B132&amp;'Offshore - Sydney'!N132)),ISNUMBER(SEARCH("Management (Learning)",'Offshore - Sydney'!B132))),2,IF(ISNUMBER(SEARCH("CEK:",'Offshore - Sydney'!N132)),1,0))</f>
        <v>0</v>
      </c>
    </row>
    <row r="1616" customFormat="false" ht="15" hidden="false" customHeight="false" outlineLevel="0" collapsed="false">
      <c r="A1616" s="63" t="s">
        <v>3533</v>
      </c>
      <c r="B1616" s="64" t="s">
        <v>4374</v>
      </c>
      <c r="C1616" s="63" t="s">
        <v>43</v>
      </c>
      <c r="D1616" s="64" t="str">
        <f aca="false">TRIM(LEFT('Offshore - Sydney'!A382,FIND(CHAR(10),'Offshore - Sydney'!A382&amp;CHAR(10))-1))</f>
        <v>CIHE Australia</v>
      </c>
      <c r="E1616" s="63" t="str">
        <f aca="false">'Offshore - Sydney'!C392&amp;""</f>
        <v>3 years</v>
      </c>
      <c r="F1616" s="63" t="str">
        <f aca="false">IF('Offshore - Sydney'!D392="","Belum tercatat",'Offshore - Sydney'!D392)</f>
        <v>Term</v>
      </c>
      <c r="G1616" s="65" t="n">
        <f aca="false">IF('Offshore - Sydney'!E392="","-",'Offshore - Sydney'!E392)</f>
        <v>3825</v>
      </c>
      <c r="H1616" s="63" t="n">
        <f aca="false">IF(ISNUMBER(K1616),COUNTIFS($J$6:$J$1854,J1616,$K$6:$K$1854,"&lt;"&amp;K1616)+1,"-")</f>
        <v>3</v>
      </c>
      <c r="I1616" s="64" t="str">
        <f aca="false">IF('Offshore - Sydney'!E392="","Harga belum tersedia - hubungi konsultan TEG",IF(M1616=2,"Saat ini tidak menerima pendaftaran siswa internasional baru",IF(M1616=1,"Harga perlu dikonfirmasi ke sekolah"&amp;IF(""="","","; "&amp;""),"")))</f>
        <v>Harga perlu dikonfirmasi ke sekolah</v>
      </c>
      <c r="J1616" s="0" t="s">
        <v>4443</v>
      </c>
      <c r="K1616" s="0" t="n">
        <f aca="false">IF(M1616=2,"",IF(ISNUMBER(SEARCH("rata-rata:",'Offshore - Sydney'!N392)),VALUE(MID('Offshore - Sydney'!N392,SEARCH("rata-rata:",'Offshore - Sydney'!N392)+11,FIND(";",'Offshore - Sydney'!N392&amp;";",SEARCH("rata-rata:",'Offshore - Sydney'!N392))-SEARCH("rata-rata:",'Offshore - Sydney'!N392)-11)),IF('Offshore - Sydney'!D392="Semester",'Offshore - Sydney'!E392*2,IF('Offshore - Sydney'!D392="Trimester",'Offshore - Sydney'!E392*3,IF('Offshore - Sydney'!D392="Term",'Offshore - Sydney'!E392*4,IF('Offshore - Sydney'!D392="Unit",'Offshore - Sydney'!E392*8,""))))))</f>
        <v>15300</v>
      </c>
      <c r="L1616" s="0" t="n">
        <f aca="false">IF(AND(ISNUMBER('Offshore - Sydney'!E392),ISNUMBER(K1616),ISNUMBER('Offshore - Sydney'!F392),ISNUMBER('Offshore - Sydney'!G392),OR('Offshore - Sydney'!F392&lt;&gt;0,ISNUMBER(SEARCH("Material 0 terverifikasi",'Offshore - Sydney'!N392))),OR('Offshore - Sydney'!G392&lt;&gt;0,ISNUMBER(SEARCH("Enrolment 0 terverifikasi",'Offshore - Sydney'!N392)))),1,0)</f>
        <v>1</v>
      </c>
      <c r="M1616" s="0" t="n">
        <f aca="false">IF(OR('Offshore - Sydney'!E392="",ISNUMBER(SEARCH("BSB80120",'Offshore - Sydney'!B392&amp;'Offshore - Sydney'!N392)),ISNUMBER(SEARCH("Management (Learning)",'Offshore - Sydney'!B392))),2,IF(ISNUMBER(SEARCH("CEK:",'Offshore - Sydney'!N392)),1,0))</f>
        <v>1</v>
      </c>
    </row>
    <row r="1617" customFormat="false" ht="55.2" hidden="false" customHeight="false" outlineLevel="0" collapsed="false">
      <c r="A1617" s="63" t="s">
        <v>3533</v>
      </c>
      <c r="B1617" s="64" t="s">
        <v>4374</v>
      </c>
      <c r="C1617" s="63" t="s">
        <v>43</v>
      </c>
      <c r="D1617" s="64" t="str">
        <f aca="false">TRIM(LEFT('Offshore - Sydney'!A465,FIND(CHAR(10),'Offshore - Sydney'!A465&amp;CHAR(10))-1))</f>
        <v>Greenwich Higher Education (Academy of Interactive Technology Pty Ltd)</v>
      </c>
      <c r="E1617" s="63" t="str">
        <f aca="false">'Offshore - Sydney'!C465&amp;""</f>
        <v>3 years</v>
      </c>
      <c r="F1617" s="63" t="str">
        <f aca="false">IF('Offshore - Sydney'!D465="","Belum tercatat",'Offshore - Sydney'!D465)</f>
        <v>Unit</v>
      </c>
      <c r="G1617" s="65" t="n">
        <f aca="false">IF('Offshore - Sydney'!E465="","-",'Offshore - Sydney'!E465)</f>
        <v>2012.5</v>
      </c>
      <c r="H1617" s="63" t="n">
        <f aca="false">IF(ISNUMBER(K1617),COUNTIFS($J$6:$J$1854,J1617,$K$6:$K$1854,"&lt;"&amp;K1617)+1,"-")</f>
        <v>4</v>
      </c>
      <c r="I1617" s="64" t="str">
        <f aca="false">IF('Offshore - Sydney'!E465="","Harga belum tersedia - hubungi konsultan TEG",IF(M1617=2,"Saat ini tidak menerima pendaftaran siswa internasional baru",IF(M1617=1,"Harga perlu dikonfirmasi ke sekolah"&amp;IF("Harga promo s.d. 13/09/2027; Harga dihitung per unit; total tergantung jumlah unit yang diambil; Sudah termasuk beasiswa 30% (syarat berlaku)"="","","; "&amp;"Harga promo s.d. 13/09/2027; Harga dihitung per unit; total tergantung jumlah unit yang diambil; Sudah termasuk beasiswa 30% (syarat berlaku)"),"Harga promo s.d. 13/09/2027; Harga dihitung per unit; total tergantung jumlah unit yang diambil; Sudah termasuk beasiswa 30% (syarat berlaku)")))</f>
        <v>Harga promo s.d. 13/09/2027; Harga dihitung per unit; total tergantung jumlah unit yang diambil; Sudah termasuk beasiswa 30% (syarat berlaku)</v>
      </c>
      <c r="J1617" s="0" t="s">
        <v>4443</v>
      </c>
      <c r="K1617" s="0" t="n">
        <f aca="false">IF(M1617=2,"",IF(ISNUMBER(SEARCH("rata-rata:",'Offshore - Sydney'!N465)),VALUE(MID('Offshore - Sydney'!N465,SEARCH("rata-rata:",'Offshore - Sydney'!N465)+11,FIND(";",'Offshore - Sydney'!N465&amp;";",SEARCH("rata-rata:",'Offshore - Sydney'!N465))-SEARCH("rata-rata:",'Offshore - Sydney'!N465)-11)),IF('Offshore - Sydney'!D465="Semester",'Offshore - Sydney'!E465*2,IF('Offshore - Sydney'!D465="Trimester",'Offshore - Sydney'!E465*3,IF('Offshore - Sydney'!D465="Term",'Offshore - Sydney'!E465*4,IF('Offshore - Sydney'!D465="Unit",'Offshore - Sydney'!E465*8,""))))))</f>
        <v>16100</v>
      </c>
      <c r="L1617" s="0" t="n">
        <f aca="false">IF(AND(ISNUMBER('Offshore - Sydney'!E465),ISNUMBER(K1617),ISNUMBER('Offshore - Sydney'!F465),ISNUMBER('Offshore - Sydney'!G465),OR('Offshore - Sydney'!F465&lt;&gt;0,ISNUMBER(SEARCH("Material 0 terverifikasi",'Offshore - Sydney'!N465))),OR('Offshore - Sydney'!G465&lt;&gt;0,ISNUMBER(SEARCH("Enrolment 0 terverifikasi",'Offshore - Sydney'!N465)))),1,0)</f>
        <v>1</v>
      </c>
      <c r="M1617" s="0" t="n">
        <f aca="false">IF(OR('Offshore - Sydney'!E465="",ISNUMBER(SEARCH("BSB80120",'Offshore - Sydney'!B465&amp;'Offshore - Sydney'!N465)),ISNUMBER(SEARCH("Management (Learning)",'Offshore - Sydney'!B465))),2,IF(ISNUMBER(SEARCH("CEK:",'Offshore - Sydney'!N465)),1,0))</f>
        <v>0</v>
      </c>
    </row>
    <row r="1618" customFormat="false" ht="15" hidden="false" customHeight="false" outlineLevel="0" collapsed="false">
      <c r="A1618" s="63" t="s">
        <v>3533</v>
      </c>
      <c r="B1618" s="64" t="s">
        <v>4374</v>
      </c>
      <c r="C1618" s="63" t="s">
        <v>43</v>
      </c>
      <c r="D1618" s="64" t="str">
        <f aca="false">TRIM(LEFT('Offshore - Sydney'!A700,FIND(CHAR(10),'Offshore - Sydney'!A700&amp;CHAR(10))-1))</f>
        <v>Sydney Institute of Higher Education (SIHE)</v>
      </c>
      <c r="E1618" s="63" t="str">
        <f aca="false">'Offshore - Sydney'!C700&amp;""</f>
        <v>3 years</v>
      </c>
      <c r="F1618" s="63" t="str">
        <f aca="false">IF('Offshore - Sydney'!D700="","Belum tercatat",'Offshore - Sydney'!D700)</f>
        <v>Trimester</v>
      </c>
      <c r="G1618" s="65" t="n">
        <f aca="false">IF('Offshore - Sydney'!E700="","-",'Offshore - Sydney'!E700)</f>
        <v>5513</v>
      </c>
      <c r="H1618" s="63" t="n">
        <f aca="false">IF(ISNUMBER(K1618),COUNTIFS($J$6:$J$1854,J1618,$K$6:$K$1854,"&lt;"&amp;K1618)+1,"-")</f>
        <v>5</v>
      </c>
      <c r="I1618" s="64" t="str">
        <f aca="false">IF('Offshore - Sydney'!E700="","Harga belum tersedia - hubungi konsultan TEG",IF(M1618=2,"Saat ini tidak menerima pendaftaran siswa internasional baru",IF(M1618=1,"Harga perlu dikonfirmasi ke sekolah"&amp;IF(""="","","; "&amp;""),"")))</f>
        <v>Harga perlu dikonfirmasi ke sekolah</v>
      </c>
      <c r="J1618" s="0" t="s">
        <v>4443</v>
      </c>
      <c r="K1618" s="0" t="n">
        <f aca="false">IF(M1618=2,"",IF(ISNUMBER(SEARCH("rata-rata:",'Offshore - Sydney'!N700)),VALUE(MID('Offshore - Sydney'!N700,SEARCH("rata-rata:",'Offshore - Sydney'!N700)+11,FIND(";",'Offshore - Sydney'!N700&amp;";",SEARCH("rata-rata:",'Offshore - Sydney'!N700))-SEARCH("rata-rata:",'Offshore - Sydney'!N700)-11)),IF('Offshore - Sydney'!D700="Semester",'Offshore - Sydney'!E700*2,IF('Offshore - Sydney'!D700="Trimester",'Offshore - Sydney'!E700*3,IF('Offshore - Sydney'!D700="Term",'Offshore - Sydney'!E700*4,IF('Offshore - Sydney'!D700="Unit",'Offshore - Sydney'!E700*8,""))))))</f>
        <v>16539</v>
      </c>
      <c r="L1618" s="0" t="n">
        <f aca="false">IF(AND(ISNUMBER('Offshore - Sydney'!E700),ISNUMBER(K1618),ISNUMBER('Offshore - Sydney'!F700),ISNUMBER('Offshore - Sydney'!G700),OR('Offshore - Sydney'!F700&lt;&gt;0,ISNUMBER(SEARCH("Material 0 terverifikasi",'Offshore - Sydney'!N700))),OR('Offshore - Sydney'!G700&lt;&gt;0,ISNUMBER(SEARCH("Enrolment 0 terverifikasi",'Offshore - Sydney'!N700)))),1,0)</f>
        <v>0</v>
      </c>
      <c r="M1618" s="0" t="n">
        <f aca="false">IF(OR('Offshore - Sydney'!E700="",ISNUMBER(SEARCH("BSB80120",'Offshore - Sydney'!B700&amp;'Offshore - Sydney'!N700)),ISNUMBER(SEARCH("Management (Learning)",'Offshore - Sydney'!B700))),2,IF(ISNUMBER(SEARCH("CEK:",'Offshore - Sydney'!N700)),1,0))</f>
        <v>1</v>
      </c>
    </row>
    <row r="1619" customFormat="false" ht="15" hidden="false" customHeight="false" outlineLevel="0" collapsed="false">
      <c r="A1619" s="63" t="s">
        <v>3533</v>
      </c>
      <c r="B1619" s="64" t="s">
        <v>4374</v>
      </c>
      <c r="C1619" s="63" t="s">
        <v>43</v>
      </c>
      <c r="D1619" s="64" t="str">
        <f aca="false">TRIM(LEFT('Offshore - Sydney'!A791,FIND(CHAR(10),'Offshore - Sydney'!A791&amp;CHAR(10))-1))</f>
        <v>The Institute of International Studies (TIIS)</v>
      </c>
      <c r="E1619" s="63" t="str">
        <f aca="false">'Offshore - Sydney'!C798&amp;""</f>
        <v>3 years</v>
      </c>
      <c r="F1619" s="63" t="str">
        <f aca="false">IF('Offshore - Sydney'!D798="","Belum tercatat",'Offshore - Sydney'!D798)</f>
        <v>Term</v>
      </c>
      <c r="G1619" s="65" t="n">
        <f aca="false">IF('Offshore - Sydney'!E798="","-",'Offshore - Sydney'!E798)</f>
        <v>4300</v>
      </c>
      <c r="H1619" s="63" t="n">
        <f aca="false">IF(ISNUMBER(K1619),COUNTIFS($J$6:$J$1854,J1619,$K$6:$K$1854,"&lt;"&amp;K1619)+1,"-")</f>
        <v>6</v>
      </c>
      <c r="I1619" s="64" t="str">
        <f aca="false">IF('Offshore - Sydney'!E798="","Harga belum tersedia - hubungi konsultan TEG",IF(M1619=2,"Saat ini tidak menerima pendaftaran siswa internasional baru",IF(M1619=1,"Harga perlu dikonfirmasi ke sekolah"&amp;IF(""="","","; "&amp;""),"")))</f>
        <v/>
      </c>
      <c r="J1619" s="0" t="s">
        <v>4443</v>
      </c>
      <c r="K1619" s="0" t="n">
        <f aca="false">IF(M1619=2,"",IF(ISNUMBER(SEARCH("rata-rata:",'Offshore - Sydney'!N798)),VALUE(MID('Offshore - Sydney'!N798,SEARCH("rata-rata:",'Offshore - Sydney'!N798)+11,FIND(";",'Offshore - Sydney'!N798&amp;";",SEARCH("rata-rata:",'Offshore - Sydney'!N798))-SEARCH("rata-rata:",'Offshore - Sydney'!N798)-11)),IF('Offshore - Sydney'!D798="Semester",'Offshore - Sydney'!E798*2,IF('Offshore - Sydney'!D798="Trimester",'Offshore - Sydney'!E798*3,IF('Offshore - Sydney'!D798="Term",'Offshore - Sydney'!E798*4,IF('Offshore - Sydney'!D798="Unit",'Offshore - Sydney'!E798*8,""))))))</f>
        <v>17200</v>
      </c>
      <c r="L1619" s="0" t="n">
        <f aca="false">IF(AND(ISNUMBER('Offshore - Sydney'!E798),ISNUMBER(K1619),ISNUMBER('Offshore - Sydney'!F798),ISNUMBER('Offshore - Sydney'!G798),OR('Offshore - Sydney'!F798&lt;&gt;0,ISNUMBER(SEARCH("Material 0 terverifikasi",'Offshore - Sydney'!N798))),OR('Offshore - Sydney'!G798&lt;&gt;0,ISNUMBER(SEARCH("Enrolment 0 terverifikasi",'Offshore - Sydney'!N798)))),1,0)</f>
        <v>0</v>
      </c>
      <c r="M1619" s="0" t="n">
        <f aca="false">IF(OR('Offshore - Sydney'!E798="",ISNUMBER(SEARCH("BSB80120",'Offshore - Sydney'!B798&amp;'Offshore - Sydney'!N798)),ISNUMBER(SEARCH("Management (Learning)",'Offshore - Sydney'!B798))),2,IF(ISNUMBER(SEARCH("CEK:",'Offshore - Sydney'!N798)),1,0))</f>
        <v>0</v>
      </c>
    </row>
    <row r="1620" customFormat="false" ht="15" hidden="false" customHeight="false" outlineLevel="0" collapsed="false">
      <c r="A1620" s="63" t="s">
        <v>3533</v>
      </c>
      <c r="B1620" s="64" t="s">
        <v>4374</v>
      </c>
      <c r="C1620" s="63" t="s">
        <v>43</v>
      </c>
      <c r="D1620" s="64" t="str">
        <f aca="false">TRIM(LEFT('Offshore - Sydney'!A686,FIND(CHAR(10),'Offshore - Sydney'!A686&amp;CHAR(10))-1))</f>
        <v>Skyline Higher Education Australia (SHEA)</v>
      </c>
      <c r="E1620" s="63" t="str">
        <f aca="false">'Offshore - Sydney'!C686&amp;""</f>
        <v>3 years</v>
      </c>
      <c r="F1620" s="63" t="str">
        <f aca="false">IF('Offshore - Sydney'!D686="","Belum tercatat",'Offshore - Sydney'!D686)</f>
        <v>Term</v>
      </c>
      <c r="G1620" s="65" t="n">
        <f aca="false">IF('Offshore - Sydney'!E686="","-",'Offshore - Sydney'!E686)</f>
        <v>4455</v>
      </c>
      <c r="H1620" s="63" t="n">
        <f aca="false">IF(ISNUMBER(K1620),COUNTIFS($J$6:$J$1854,J1620,$K$6:$K$1854,"&lt;"&amp;K1620)+1,"-")</f>
        <v>7</v>
      </c>
      <c r="I1620" s="64" t="str">
        <f aca="false">IF('Offshore - Sydney'!E686="","Harga belum tersedia - hubungi konsultan TEG",IF(M1620=2,"Saat ini tidak menerima pendaftaran siswa internasional baru",IF(M1620=1,"Harga perlu dikonfirmasi ke sekolah"&amp;IF(""="","","; "&amp;""),"")))</f>
        <v>Harga perlu dikonfirmasi ke sekolah</v>
      </c>
      <c r="J1620" s="0" t="s">
        <v>4443</v>
      </c>
      <c r="K1620" s="0" t="n">
        <f aca="false">IF(M1620=2,"",IF(ISNUMBER(SEARCH("rata-rata:",'Offshore - Sydney'!N686)),VALUE(MID('Offshore - Sydney'!N686,SEARCH("rata-rata:",'Offshore - Sydney'!N686)+11,FIND(";",'Offshore - Sydney'!N686&amp;";",SEARCH("rata-rata:",'Offshore - Sydney'!N686))-SEARCH("rata-rata:",'Offshore - Sydney'!N686)-11)),IF('Offshore - Sydney'!D686="Semester",'Offshore - Sydney'!E686*2,IF('Offshore - Sydney'!D686="Trimester",'Offshore - Sydney'!E686*3,IF('Offshore - Sydney'!D686="Term",'Offshore - Sydney'!E686*4,IF('Offshore - Sydney'!D686="Unit",'Offshore - Sydney'!E686*8,""))))))</f>
        <v>17820</v>
      </c>
      <c r="L1620" s="0" t="n">
        <f aca="false">IF(AND(ISNUMBER('Offshore - Sydney'!E686),ISNUMBER(K1620),ISNUMBER('Offshore - Sydney'!F686),ISNUMBER('Offshore - Sydney'!G686),OR('Offshore - Sydney'!F686&lt;&gt;0,ISNUMBER(SEARCH("Material 0 terverifikasi",'Offshore - Sydney'!N686))),OR('Offshore - Sydney'!G686&lt;&gt;0,ISNUMBER(SEARCH("Enrolment 0 terverifikasi",'Offshore - Sydney'!N686)))),1,0)</f>
        <v>1</v>
      </c>
      <c r="M1620" s="0" t="n">
        <f aca="false">IF(OR('Offshore - Sydney'!E686="",ISNUMBER(SEARCH("BSB80120",'Offshore - Sydney'!B686&amp;'Offshore - Sydney'!N686)),ISNUMBER(SEARCH("Management (Learning)",'Offshore - Sydney'!B686))),2,IF(ISNUMBER(SEARCH("CEK:",'Offshore - Sydney'!N686)),1,0))</f>
        <v>1</v>
      </c>
    </row>
    <row r="1621" customFormat="false" ht="28.35" hidden="false" customHeight="false" outlineLevel="0" collapsed="false">
      <c r="A1621" s="63" t="s">
        <v>3533</v>
      </c>
      <c r="B1621" s="64" t="s">
        <v>4374</v>
      </c>
      <c r="C1621" s="63" t="s">
        <v>43</v>
      </c>
      <c r="D1621" s="64" t="str">
        <f aca="false">TRIM(LEFT('Offshore - Sydney'!A590,FIND(CHAR(10),'Offshore - Sydney'!A590&amp;CHAR(10))-1))</f>
        <v>National Academy of Professional Studies (NAPS)</v>
      </c>
      <c r="E1621" s="63" t="str">
        <f aca="false">'Offshore - Sydney'!C590&amp;""</f>
        <v>3 years</v>
      </c>
      <c r="F1621" s="63" t="str">
        <f aca="false">IF('Offshore - Sydney'!D590="","Belum tercatat",'Offshore - Sydney'!D590)</f>
        <v>Term</v>
      </c>
      <c r="G1621" s="65" t="n">
        <f aca="false">IF('Offshore - Sydney'!E590="","-",'Offshore - Sydney'!E590)</f>
        <v>4500</v>
      </c>
      <c r="H1621" s="63" t="n">
        <f aca="false">IF(ISNUMBER(K1621),COUNTIFS($J$6:$J$1854,J1621,$K$6:$K$1854,"&lt;"&amp;K1621)+1,"-")</f>
        <v>8</v>
      </c>
      <c r="I1621" s="64" t="str">
        <f aca="false">IF('Offshore - Sydney'!E590="","Harga belum tersedia - hubungi konsultan TEG",IF(M1621=2,"Saat ini tidak menerima pendaftaran siswa internasional baru",IF(M1621=1,"Harga perlu dikonfirmasi ke sekolah"&amp;IF(""="","","; "&amp;""),"")))</f>
        <v>Harga perlu dikonfirmasi ke sekolah</v>
      </c>
      <c r="J1621" s="0" t="s">
        <v>4443</v>
      </c>
      <c r="K1621" s="0" t="n">
        <f aca="false">IF(M1621=2,"",IF(ISNUMBER(SEARCH("rata-rata:",'Offshore - Sydney'!N590)),VALUE(MID('Offshore - Sydney'!N590,SEARCH("rata-rata:",'Offshore - Sydney'!N590)+11,FIND(";",'Offshore - Sydney'!N590&amp;";",SEARCH("rata-rata:",'Offshore - Sydney'!N590))-SEARCH("rata-rata:",'Offshore - Sydney'!N590)-11)),IF('Offshore - Sydney'!D590="Semester",'Offshore - Sydney'!E590*2,IF('Offshore - Sydney'!D590="Trimester",'Offshore - Sydney'!E590*3,IF('Offshore - Sydney'!D590="Term",'Offshore - Sydney'!E590*4,IF('Offshore - Sydney'!D590="Unit",'Offshore - Sydney'!E590*8,""))))))</f>
        <v>18000</v>
      </c>
      <c r="L1621" s="0" t="n">
        <f aca="false">IF(AND(ISNUMBER('Offshore - Sydney'!E590),ISNUMBER(K1621),ISNUMBER('Offshore - Sydney'!F590),ISNUMBER('Offshore - Sydney'!G590),OR('Offshore - Sydney'!F590&lt;&gt;0,ISNUMBER(SEARCH("Material 0 terverifikasi",'Offshore - Sydney'!N590))),OR('Offshore - Sydney'!G590&lt;&gt;0,ISNUMBER(SEARCH("Enrolment 0 terverifikasi",'Offshore - Sydney'!N590)))),1,0)</f>
        <v>1</v>
      </c>
      <c r="M1621" s="0" t="n">
        <f aca="false">IF(OR('Offshore - Sydney'!E590="",ISNUMBER(SEARCH("BSB80120",'Offshore - Sydney'!B590&amp;'Offshore - Sydney'!N590)),ISNUMBER(SEARCH("Management (Learning)",'Offshore - Sydney'!B590))),2,IF(ISNUMBER(SEARCH("CEK:",'Offshore - Sydney'!N590)),1,0))</f>
        <v>1</v>
      </c>
    </row>
    <row r="1622" customFormat="false" ht="15" hidden="false" customHeight="false" outlineLevel="0" collapsed="false">
      <c r="A1622" s="63" t="s">
        <v>3533</v>
      </c>
      <c r="B1622" s="64" t="s">
        <v>4374</v>
      </c>
      <c r="C1622" s="63" t="s">
        <v>43</v>
      </c>
      <c r="D1622" s="64" t="str">
        <f aca="false">TRIM(LEFT('Offshore - Sydney'!A64,FIND(CHAR(10),'Offshore - Sydney'!A64&amp;CHAR(10))-1))</f>
        <v>AIBI Higher Education</v>
      </c>
      <c r="E1622" s="63" t="str">
        <f aca="false">'Offshore - Sydney'!C64&amp;""</f>
        <v>3 years</v>
      </c>
      <c r="F1622" s="63" t="str">
        <f aca="false">IF('Offshore - Sydney'!D64="","Belum tercatat",'Offshore - Sydney'!D64)</f>
        <v>Term</v>
      </c>
      <c r="G1622" s="65" t="n">
        <f aca="false">IF('Offshore - Sydney'!E64="","-",'Offshore - Sydney'!E64)</f>
        <v>4995</v>
      </c>
      <c r="H1622" s="63" t="n">
        <f aca="false">IF(ISNUMBER(K1622),COUNTIFS($J$6:$J$1854,J1622,$K$6:$K$1854,"&lt;"&amp;K1622)+1,"-")</f>
        <v>9</v>
      </c>
      <c r="I1622" s="64" t="str">
        <f aca="false">IF('Offshore - Sydney'!E64="","Harga belum tersedia - hubungi konsultan TEG",IF(M1622=2,"Saat ini tidak menerima pendaftaran siswa internasional baru",IF(M1622=1,"Harga perlu dikonfirmasi ke sekolah"&amp;IF(""="","","; "&amp;""),"")))</f>
        <v>Harga perlu dikonfirmasi ke sekolah</v>
      </c>
      <c r="J1622" s="0" t="s">
        <v>4443</v>
      </c>
      <c r="K1622" s="0" t="n">
        <f aca="false">IF(M1622=2,"",IF(ISNUMBER(SEARCH("rata-rata:",'Offshore - Sydney'!N64)),VALUE(MID('Offshore - Sydney'!N64,SEARCH("rata-rata:",'Offshore - Sydney'!N64)+11,FIND(";",'Offshore - Sydney'!N64&amp;";",SEARCH("rata-rata:",'Offshore - Sydney'!N64))-SEARCH("rata-rata:",'Offshore - Sydney'!N64)-11)),IF('Offshore - Sydney'!D64="Semester",'Offshore - Sydney'!E64*2,IF('Offshore - Sydney'!D64="Trimester",'Offshore - Sydney'!E64*3,IF('Offshore - Sydney'!D64="Term",'Offshore - Sydney'!E64*4,IF('Offshore - Sydney'!D64="Unit",'Offshore - Sydney'!E64*8,""))))))</f>
        <v>19980</v>
      </c>
      <c r="L1622" s="0" t="n">
        <f aca="false">IF(AND(ISNUMBER('Offshore - Sydney'!E64),ISNUMBER(K1622),ISNUMBER('Offshore - Sydney'!F64),ISNUMBER('Offshore - Sydney'!G64),OR('Offshore - Sydney'!F64&lt;&gt;0,ISNUMBER(SEARCH("Material 0 terverifikasi",'Offshore - Sydney'!N64))),OR('Offshore - Sydney'!G64&lt;&gt;0,ISNUMBER(SEARCH("Enrolment 0 terverifikasi",'Offshore - Sydney'!N64)))),1,0)</f>
        <v>0</v>
      </c>
      <c r="M1622" s="0" t="n">
        <f aca="false">IF(OR('Offshore - Sydney'!E64="",ISNUMBER(SEARCH("BSB80120",'Offshore - Sydney'!B64&amp;'Offshore - Sydney'!N64)),ISNUMBER(SEARCH("Management (Learning)",'Offshore - Sydney'!B64))),2,IF(ISNUMBER(SEARCH("CEK:",'Offshore - Sydney'!N64)),1,0))</f>
        <v>1</v>
      </c>
    </row>
    <row r="1623" customFormat="false" ht="15" hidden="false" customHeight="false" outlineLevel="0" collapsed="false">
      <c r="A1623" s="63" t="s">
        <v>3533</v>
      </c>
      <c r="B1623" s="64" t="s">
        <v>4374</v>
      </c>
      <c r="C1623" s="63" t="s">
        <v>43</v>
      </c>
      <c r="D1623" s="64" t="str">
        <f aca="false">TRIM(LEFT('Offshore - Sydney'!A40,FIND(CHAR(10),'Offshore - Sydney'!A40&amp;CHAR(10))-1))</f>
        <v>Academies Australasia</v>
      </c>
      <c r="E1623" s="63" t="str">
        <f aca="false">'Offshore - Sydney'!C45&amp;""</f>
        <v>3 years</v>
      </c>
      <c r="F1623" s="63" t="str">
        <f aca="false">IF('Offshore - Sydney'!D45="","Belum tercatat",'Offshore - Sydney'!D45)</f>
        <v>Term</v>
      </c>
      <c r="G1623" s="65" t="n">
        <f aca="false">IF('Offshore - Sydney'!E45="","-",'Offshore - Sydney'!E45)</f>
        <v>5000</v>
      </c>
      <c r="H1623" s="63" t="n">
        <f aca="false">IF(ISNUMBER(K1623),COUNTIFS($J$6:$J$1854,J1623,$K$6:$K$1854,"&lt;"&amp;K1623)+1,"-")</f>
        <v>10</v>
      </c>
      <c r="I1623" s="64" t="str">
        <f aca="false">IF('Offshore - Sydney'!E45="","Harga belum tersedia - hubungi konsultan TEG",IF(M1623=2,"Saat ini tidak menerima pendaftaran siswa internasional baru",IF(M1623=1,"Harga perlu dikonfirmasi ke sekolah"&amp;IF(""="","","; "&amp;""),"")))</f>
        <v/>
      </c>
      <c r="J1623" s="0" t="s">
        <v>4443</v>
      </c>
      <c r="K1623" s="0" t="n">
        <f aca="false">IF(M1623=2,"",IF(ISNUMBER(SEARCH("rata-rata:",'Offshore - Sydney'!N45)),VALUE(MID('Offshore - Sydney'!N45,SEARCH("rata-rata:",'Offshore - Sydney'!N45)+11,FIND(";",'Offshore - Sydney'!N45&amp;";",SEARCH("rata-rata:",'Offshore - Sydney'!N45))-SEARCH("rata-rata:",'Offshore - Sydney'!N45)-11)),IF('Offshore - Sydney'!D45="Semester",'Offshore - Sydney'!E45*2,IF('Offshore - Sydney'!D45="Trimester",'Offshore - Sydney'!E45*3,IF('Offshore - Sydney'!D45="Term",'Offshore - Sydney'!E45*4,IF('Offshore - Sydney'!D45="Unit",'Offshore - Sydney'!E45*8,""))))))</f>
        <v>20000</v>
      </c>
      <c r="L1623" s="0" t="n">
        <f aca="false">IF(AND(ISNUMBER('Offshore - Sydney'!E45),ISNUMBER(K1623),ISNUMBER('Offshore - Sydney'!F45),ISNUMBER('Offshore - Sydney'!G45),OR('Offshore - Sydney'!F45&lt;&gt;0,ISNUMBER(SEARCH("Material 0 terverifikasi",'Offshore - Sydney'!N45))),OR('Offshore - Sydney'!G45&lt;&gt;0,ISNUMBER(SEARCH("Enrolment 0 terverifikasi",'Offshore - Sydney'!N45)))),1,0)</f>
        <v>1</v>
      </c>
      <c r="M1623" s="0" t="n">
        <f aca="false">IF(OR('Offshore - Sydney'!E45="",ISNUMBER(SEARCH("BSB80120",'Offshore - Sydney'!B45&amp;'Offshore - Sydney'!N45)),ISNUMBER(SEARCH("Management (Learning)",'Offshore - Sydney'!B45))),2,IF(ISNUMBER(SEARCH("CEK:",'Offshore - Sydney'!N45)),1,0))</f>
        <v>0</v>
      </c>
    </row>
    <row r="1624" customFormat="false" ht="15" hidden="false" customHeight="false" outlineLevel="0" collapsed="false">
      <c r="A1624" s="63" t="s">
        <v>3533</v>
      </c>
      <c r="B1624" s="64" t="s">
        <v>4374</v>
      </c>
      <c r="C1624" s="63" t="s">
        <v>43</v>
      </c>
      <c r="D1624" s="64" t="str">
        <f aca="false">TRIM(LEFT('Offshore - Sydney'!A53,FIND(CHAR(10),'Offshore - Sydney'!A53&amp;CHAR(10))-1))</f>
        <v>Academy of Interactive Technology (AIT)</v>
      </c>
      <c r="E1624" s="63" t="str">
        <f aca="false">'Offshore - Sydney'!C57&amp;""</f>
        <v>3 years</v>
      </c>
      <c r="F1624" s="63" t="str">
        <f aca="false">IF('Offshore - Sydney'!D57="","Belum tercatat",'Offshore - Sydney'!D57)</f>
        <v>Term</v>
      </c>
      <c r="G1624" s="65" t="n">
        <f aca="false">IF('Offshore - Sydney'!E57="","-",'Offshore - Sydney'!E57)</f>
        <v>5750</v>
      </c>
      <c r="H1624" s="63" t="n">
        <f aca="false">IF(ISNUMBER(K1624),COUNTIFS($J$6:$J$1854,J1624,$K$6:$K$1854,"&lt;"&amp;K1624)+1,"-")</f>
        <v>11</v>
      </c>
      <c r="I1624" s="64" t="str">
        <f aca="false">IF('Offshore - Sydney'!E57="","Harga belum tersedia - hubungi konsultan TEG",IF(M1624=2,"Saat ini tidak menerima pendaftaran siswa internasional baru",IF(M1624=1,"Program perlu dikonfirmasi ketersediaannya"&amp;IF(""="","","; "&amp;""),"")))</f>
        <v>Program perlu dikonfirmasi ketersediaannya</v>
      </c>
      <c r="J1624" s="0" t="s">
        <v>4443</v>
      </c>
      <c r="K1624" s="0" t="n">
        <f aca="false">IF(M1624=2,"",IF(ISNUMBER(SEARCH("rata-rata:",'Offshore - Sydney'!N57)),VALUE(MID('Offshore - Sydney'!N57,SEARCH("rata-rata:",'Offshore - Sydney'!N57)+11,FIND(";",'Offshore - Sydney'!N57&amp;";",SEARCH("rata-rata:",'Offshore - Sydney'!N57))-SEARCH("rata-rata:",'Offshore - Sydney'!N57)-11)),IF('Offshore - Sydney'!D57="Semester",'Offshore - Sydney'!E57*2,IF('Offshore - Sydney'!D57="Trimester",'Offshore - Sydney'!E57*3,IF('Offshore - Sydney'!D57="Term",'Offshore - Sydney'!E57*4,IF('Offshore - Sydney'!D57="Unit",'Offshore - Sydney'!E57*8,""))))))</f>
        <v>23000</v>
      </c>
      <c r="L1624" s="0" t="n">
        <f aca="false">IF(AND(ISNUMBER('Offshore - Sydney'!E57),ISNUMBER(K1624),ISNUMBER('Offshore - Sydney'!F57),ISNUMBER('Offshore - Sydney'!G57),OR('Offshore - Sydney'!F57&lt;&gt;0,ISNUMBER(SEARCH("Material 0 terverifikasi",'Offshore - Sydney'!N57))),OR('Offshore - Sydney'!G57&lt;&gt;0,ISNUMBER(SEARCH("Enrolment 0 terverifikasi",'Offshore - Sydney'!N57)))),1,0)</f>
        <v>0</v>
      </c>
      <c r="M1624" s="0" t="n">
        <f aca="false">IF(OR('Offshore - Sydney'!E57="",ISNUMBER(SEARCH("BSB80120",'Offshore - Sydney'!B57&amp;'Offshore - Sydney'!N57)),ISNUMBER(SEARCH("Management (Learning)",'Offshore - Sydney'!B57))),2,IF(ISNUMBER(SEARCH("CEK:",'Offshore - Sydney'!N57)),1,0))</f>
        <v>1</v>
      </c>
    </row>
    <row r="1625" customFormat="false" ht="15" hidden="false" customHeight="false" outlineLevel="0" collapsed="false">
      <c r="A1625" s="63" t="s">
        <v>3533</v>
      </c>
      <c r="B1625" s="64" t="s">
        <v>4374</v>
      </c>
      <c r="C1625" s="63" t="s">
        <v>43</v>
      </c>
      <c r="D1625" s="64" t="str">
        <f aca="false">TRIM(LEFT('Offshore - Sydney'!A721,FIND(CHAR(10),'Offshore - Sydney'!A721&amp;CHAR(10))-1))</f>
        <v>TAFE NSW</v>
      </c>
      <c r="E1625" s="63" t="str">
        <f aca="false">'Offshore - Sydney'!C766&amp;""</f>
        <v>3 years</v>
      </c>
      <c r="F1625" s="63" t="str">
        <f aca="false">IF('Offshore - Sydney'!D766="","Belum tercatat",'Offshore - Sydney'!D766)</f>
        <v>Term</v>
      </c>
      <c r="G1625" s="65" t="n">
        <f aca="false">IF('Offshore - Sydney'!E766="","-",'Offshore - Sydney'!E766)</f>
        <v>5760</v>
      </c>
      <c r="H1625" s="63" t="n">
        <f aca="false">IF(ISNUMBER(K1625),COUNTIFS($J$6:$J$1854,J1625,$K$6:$K$1854,"&lt;"&amp;K1625)+1,"-")</f>
        <v>12</v>
      </c>
      <c r="I1625" s="64" t="str">
        <f aca="false">IF('Offshore - Sydney'!E766="","Harga belum tersedia - hubungi konsultan TEG",IF(M1625=2,"Saat ini tidak menerima pendaftaran siswa internasional baru",IF(M1625=1,"Harga perlu dikonfirmasi ke sekolah"&amp;IF(""="","","; "&amp;""),"")))</f>
        <v/>
      </c>
      <c r="J1625" s="0" t="s">
        <v>4443</v>
      </c>
      <c r="K1625" s="0" t="n">
        <f aca="false">IF(M1625=2,"",IF(ISNUMBER(SEARCH("rata-rata:",'Offshore - Sydney'!N766)),VALUE(MID('Offshore - Sydney'!N766,SEARCH("rata-rata:",'Offshore - Sydney'!N766)+11,FIND(";",'Offshore - Sydney'!N766&amp;";",SEARCH("rata-rata:",'Offshore - Sydney'!N766))-SEARCH("rata-rata:",'Offshore - Sydney'!N766)-11)),IF('Offshore - Sydney'!D766="Semester",'Offshore - Sydney'!E766*2,IF('Offshore - Sydney'!D766="Trimester",'Offshore - Sydney'!E766*3,IF('Offshore - Sydney'!D766="Term",'Offshore - Sydney'!E766*4,IF('Offshore - Sydney'!D766="Unit",'Offshore - Sydney'!E766*8,""))))))</f>
        <v>23040</v>
      </c>
      <c r="L1625" s="0" t="n">
        <f aca="false">IF(AND(ISNUMBER('Offshore - Sydney'!E766),ISNUMBER(K1625),ISNUMBER('Offshore - Sydney'!F766),ISNUMBER('Offshore - Sydney'!G766),OR('Offshore - Sydney'!F766&lt;&gt;0,ISNUMBER(SEARCH("Material 0 terverifikasi",'Offshore - Sydney'!N766))),OR('Offshore - Sydney'!G766&lt;&gt;0,ISNUMBER(SEARCH("Enrolment 0 terverifikasi",'Offshore - Sydney'!N766)))),1,0)</f>
        <v>0</v>
      </c>
      <c r="M1625" s="0" t="n">
        <f aca="false">IF(OR('Offshore - Sydney'!E766="",ISNUMBER(SEARCH("BSB80120",'Offshore - Sydney'!B766&amp;'Offshore - Sydney'!N766)),ISNUMBER(SEARCH("Management (Learning)",'Offshore - Sydney'!B766))),2,IF(ISNUMBER(SEARCH("CEK:",'Offshore - Sydney'!N766)),1,0))</f>
        <v>0</v>
      </c>
    </row>
    <row r="1626" customFormat="false" ht="15" hidden="false" customHeight="false" outlineLevel="0" collapsed="false">
      <c r="A1626" s="63" t="s">
        <v>3533</v>
      </c>
      <c r="B1626" s="64" t="s">
        <v>4374</v>
      </c>
      <c r="C1626" s="63" t="s">
        <v>43</v>
      </c>
      <c r="D1626" s="64" t="str">
        <f aca="false">TRIM(LEFT('Offshore - Sydney'!A512,FIND(CHAR(10),'Offshore - Sydney'!A512&amp;CHAR(10))-1))</f>
        <v>Kent Institute Australia</v>
      </c>
      <c r="E1626" s="63" t="str">
        <f aca="false">'Offshore - Sydney'!C522&amp;""</f>
        <v>3 years</v>
      </c>
      <c r="F1626" s="63" t="str">
        <f aca="false">IF('Offshore - Sydney'!D522="","Belum tercatat",'Offshore - Sydney'!D522)</f>
        <v>Trimester</v>
      </c>
      <c r="G1626" s="65" t="n">
        <f aca="false">IF('Offshore - Sydney'!E522="","-",'Offshore - Sydney'!E522)</f>
        <v>8800</v>
      </c>
      <c r="H1626" s="63" t="n">
        <f aca="false">IF(ISNUMBER(K1626),COUNTIFS($J$6:$J$1854,J1626,$K$6:$K$1854,"&lt;"&amp;K1626)+1,"-")</f>
        <v>13</v>
      </c>
      <c r="I1626" s="64" t="str">
        <f aca="false">IF('Offshore - Sydney'!E522="","Harga belum tersedia - hubungi konsultan TEG",IF(M1626=2,"Saat ini tidak menerima pendaftaran siswa internasional baru",IF(M1626=1,"Harga perlu dikonfirmasi ke sekolah"&amp;IF(""="","","; "&amp;""),"")))</f>
        <v>Harga perlu dikonfirmasi ke sekolah</v>
      </c>
      <c r="J1626" s="0" t="s">
        <v>4443</v>
      </c>
      <c r="K1626" s="0" t="n">
        <f aca="false">IF(M1626=2,"",IF(ISNUMBER(SEARCH("rata-rata:",'Offshore - Sydney'!N522)),VALUE(MID('Offshore - Sydney'!N522,SEARCH("rata-rata:",'Offshore - Sydney'!N522)+11,FIND(";",'Offshore - Sydney'!N522&amp;";",SEARCH("rata-rata:",'Offshore - Sydney'!N522))-SEARCH("rata-rata:",'Offshore - Sydney'!N522)-11)),IF('Offshore - Sydney'!D522="Semester",'Offshore - Sydney'!E522*2,IF('Offshore - Sydney'!D522="Trimester",'Offshore - Sydney'!E522*3,IF('Offshore - Sydney'!D522="Term",'Offshore - Sydney'!E522*4,IF('Offshore - Sydney'!D522="Unit",'Offshore - Sydney'!E522*8,""))))))</f>
        <v>26400</v>
      </c>
      <c r="L1626" s="0" t="n">
        <f aca="false">IF(AND(ISNUMBER('Offshore - Sydney'!E522),ISNUMBER(K1626),ISNUMBER('Offshore - Sydney'!F522),ISNUMBER('Offshore - Sydney'!G522),OR('Offshore - Sydney'!F522&lt;&gt;0,ISNUMBER(SEARCH("Material 0 terverifikasi",'Offshore - Sydney'!N522))),OR('Offshore - Sydney'!G522&lt;&gt;0,ISNUMBER(SEARCH("Enrolment 0 terverifikasi",'Offshore - Sydney'!N522)))),1,0)</f>
        <v>0</v>
      </c>
      <c r="M1626" s="0" t="n">
        <f aca="false">IF(OR('Offshore - Sydney'!E522="",ISNUMBER(SEARCH("BSB80120",'Offshore - Sydney'!B522&amp;'Offshore - Sydney'!N522)),ISNUMBER(SEARCH("Management (Learning)",'Offshore - Sydney'!B522))),2,IF(ISNUMBER(SEARCH("CEK:",'Offshore - Sydney'!N522)),1,0))</f>
        <v>1</v>
      </c>
    </row>
    <row r="1627" customFormat="false" ht="15" hidden="false" customHeight="false" outlineLevel="0" collapsed="false">
      <c r="A1627" s="63" t="s">
        <v>3533</v>
      </c>
      <c r="B1627" s="64" t="s">
        <v>4374</v>
      </c>
      <c r="C1627" s="63" t="s">
        <v>43</v>
      </c>
      <c r="D1627" s="64" t="str">
        <f aca="false">TRIM(LEFT('Offshore - Sydney'!A814,FIND(CHAR(10),'Offshore - Sydney'!A814&amp;CHAR(10))-1))</f>
        <v>Torrens University Australia</v>
      </c>
      <c r="E1627" s="63" t="str">
        <f aca="false">'Offshore - Sydney'!C873&amp;""</f>
        <v>3 years</v>
      </c>
      <c r="F1627" s="63" t="str">
        <f aca="false">IF('Offshore - Sydney'!D873="","Belum tercatat",'Offshore - Sydney'!D873)</f>
        <v>Term</v>
      </c>
      <c r="G1627" s="65" t="n">
        <f aca="false">IF('Offshore - Sydney'!E873="","-",'Offshore - Sydney'!E873)</f>
        <v>7900</v>
      </c>
      <c r="H1627" s="63" t="n">
        <f aca="false">IF(ISNUMBER(K1627),COUNTIFS($J$6:$J$1854,J1627,$K$6:$K$1854,"&lt;"&amp;K1627)+1,"-")</f>
        <v>14</v>
      </c>
      <c r="I1627" s="64" t="str">
        <f aca="false">IF('Offshore - Sydney'!E873="","Harga belum tersedia - hubungi konsultan TEG",IF(M1627=2,"Saat ini tidak menerima pendaftaran siswa internasional baru",IF(M1627=1,"Harga perlu dikonfirmasi ke sekolah"&amp;IF(""="","","; "&amp;""),"")))</f>
        <v/>
      </c>
      <c r="J1627" s="0" t="s">
        <v>4443</v>
      </c>
      <c r="K1627" s="0" t="n">
        <f aca="false">IF(M1627=2,"",IF(ISNUMBER(SEARCH("rata-rata:",'Offshore - Sydney'!N873)),VALUE(MID('Offshore - Sydney'!N873,SEARCH("rata-rata:",'Offshore - Sydney'!N873)+11,FIND(";",'Offshore - Sydney'!N873&amp;";",SEARCH("rata-rata:",'Offshore - Sydney'!N873))-SEARCH("rata-rata:",'Offshore - Sydney'!N873)-11)),IF('Offshore - Sydney'!D873="Semester",'Offshore - Sydney'!E873*2,IF('Offshore - Sydney'!D873="Trimester",'Offshore - Sydney'!E873*3,IF('Offshore - Sydney'!D873="Term",'Offshore - Sydney'!E873*4,IF('Offshore - Sydney'!D873="Unit",'Offshore - Sydney'!E873*8,""))))))</f>
        <v>31600</v>
      </c>
      <c r="L1627" s="0" t="n">
        <f aca="false">IF(AND(ISNUMBER('Offshore - Sydney'!E873),ISNUMBER(K1627),ISNUMBER('Offshore - Sydney'!F873),ISNUMBER('Offshore - Sydney'!G873),OR('Offshore - Sydney'!F873&lt;&gt;0,ISNUMBER(SEARCH("Material 0 terverifikasi",'Offshore - Sydney'!N873))),OR('Offshore - Sydney'!G873&lt;&gt;0,ISNUMBER(SEARCH("Enrolment 0 terverifikasi",'Offshore - Sydney'!N873)))),1,0)</f>
        <v>0</v>
      </c>
      <c r="M1627" s="0" t="n">
        <f aca="false">IF(OR('Offshore - Sydney'!E873="",ISNUMBER(SEARCH("BSB80120",'Offshore - Sydney'!B873&amp;'Offshore - Sydney'!N873)),ISNUMBER(SEARCH("Management (Learning)",'Offshore - Sydney'!B873))),2,IF(ISNUMBER(SEARCH("CEK:",'Offshore - Sydney'!N873)),1,0))</f>
        <v>0</v>
      </c>
    </row>
    <row r="1628" customFormat="false" ht="15" hidden="false" customHeight="false" outlineLevel="0" collapsed="false">
      <c r="A1628" s="63" t="s">
        <v>3533</v>
      </c>
      <c r="B1628" s="64" t="s">
        <v>4374</v>
      </c>
      <c r="C1628" s="63" t="s">
        <v>43</v>
      </c>
      <c r="D1628" s="64" t="str">
        <f aca="false">TRIM(LEFT('Offshore - Sydney'!A982,FIND(CHAR(10),'Offshore - Sydney'!A982&amp;CHAR(10))-1))</f>
        <v>Western Sydney University</v>
      </c>
      <c r="E1628" s="63" t="str">
        <f aca="false">'Offshore - Sydney'!C1042&amp;""</f>
        <v>3 years</v>
      </c>
      <c r="F1628" s="63" t="str">
        <f aca="false">IF('Offshore - Sydney'!D1042="","Belum tercatat",'Offshore - Sydney'!D1042)</f>
        <v>Term</v>
      </c>
      <c r="G1628" s="65" t="n">
        <f aca="false">IF('Offshore - Sydney'!E1042="","-",'Offshore - Sydney'!E1042)</f>
        <v>8125</v>
      </c>
      <c r="H1628" s="63" t="n">
        <f aca="false">IF(ISNUMBER(K1628),COUNTIFS($J$6:$J$1854,J1628,$K$6:$K$1854,"&lt;"&amp;K1628)+1,"-")</f>
        <v>15</v>
      </c>
      <c r="I1628" s="64" t="str">
        <f aca="false">IF('Offshore - Sydney'!E1042="","Harga belum tersedia - hubungi konsultan TEG",IF(M1628=2,"Saat ini tidak menerima pendaftaran siswa internasional baru",IF(M1628=1,"Harga perlu dikonfirmasi ke sekolah"&amp;IF(""="","","; "&amp;""),"")))</f>
        <v/>
      </c>
      <c r="J1628" s="0" t="s">
        <v>4443</v>
      </c>
      <c r="K1628" s="0" t="n">
        <f aca="false">IF(M1628=2,"",IF(ISNUMBER(SEARCH("rata-rata:",'Offshore - Sydney'!N1042)),VALUE(MID('Offshore - Sydney'!N1042,SEARCH("rata-rata:",'Offshore - Sydney'!N1042)+11,FIND(";",'Offshore - Sydney'!N1042&amp;";",SEARCH("rata-rata:",'Offshore - Sydney'!N1042))-SEARCH("rata-rata:",'Offshore - Sydney'!N1042)-11)),IF('Offshore - Sydney'!D1042="Semester",'Offshore - Sydney'!E1042*2,IF('Offshore - Sydney'!D1042="Trimester",'Offshore - Sydney'!E1042*3,IF('Offshore - Sydney'!D1042="Term",'Offshore - Sydney'!E1042*4,IF('Offshore - Sydney'!D1042="Unit",'Offshore - Sydney'!E1042*8,""))))))</f>
        <v>32500</v>
      </c>
      <c r="L1628" s="0" t="n">
        <f aca="false">IF(AND(ISNUMBER('Offshore - Sydney'!E1042),ISNUMBER(K1628),ISNUMBER('Offshore - Sydney'!F1042),ISNUMBER('Offshore - Sydney'!G1042),OR('Offshore - Sydney'!F1042&lt;&gt;0,ISNUMBER(SEARCH("Material 0 terverifikasi",'Offshore - Sydney'!N1042))),OR('Offshore - Sydney'!G1042&lt;&gt;0,ISNUMBER(SEARCH("Enrolment 0 terverifikasi",'Offshore - Sydney'!N1042)))),1,0)</f>
        <v>0</v>
      </c>
      <c r="M1628" s="0" t="n">
        <f aca="false">IF(OR('Offshore - Sydney'!E1042="",ISNUMBER(SEARCH("BSB80120",'Offshore - Sydney'!B1042&amp;'Offshore - Sydney'!N1042)),ISNUMBER(SEARCH("Management (Learning)",'Offshore - Sydney'!B1042))),2,IF(ISNUMBER(SEARCH("CEK:",'Offshore - Sydney'!N1042)),1,0))</f>
        <v>0</v>
      </c>
    </row>
    <row r="1629" customFormat="false" ht="15" hidden="false" customHeight="false" outlineLevel="0" collapsed="false">
      <c r="A1629" s="63" t="s">
        <v>3533</v>
      </c>
      <c r="B1629" s="64" t="s">
        <v>4374</v>
      </c>
      <c r="C1629" s="63" t="s">
        <v>43</v>
      </c>
      <c r="D1629" s="64" t="str">
        <f aca="false">TRIM(LEFT('Offshore - Sydney'!A354,FIND(CHAR(10),'Offshore - Sydney'!A354&amp;CHAR(10))-1))</f>
        <v>Charles Darwin University (CDU)</v>
      </c>
      <c r="E1629" s="63" t="str">
        <f aca="false">'Offshore - Sydney'!C362&amp;""</f>
        <v>3 years</v>
      </c>
      <c r="F1629" s="63" t="str">
        <f aca="false">IF('Offshore - Sydney'!D362="","Belum tercatat",'Offshore - Sydney'!D362)</f>
        <v>Term</v>
      </c>
      <c r="G1629" s="65" t="n">
        <f aca="false">IF('Offshore - Sydney'!E362="","-",'Offshore - Sydney'!E362)</f>
        <v>8714</v>
      </c>
      <c r="H1629" s="63" t="n">
        <f aca="false">IF(ISNUMBER(K1629),COUNTIFS($J$6:$J$1854,J1629,$K$6:$K$1854,"&lt;"&amp;K1629)+1,"-")</f>
        <v>16</v>
      </c>
      <c r="I1629" s="64" t="str">
        <f aca="false">IF('Offshore - Sydney'!E362="","Harga belum tersedia - hubungi konsultan TEG",IF(M1629=2,"Saat ini tidak menerima pendaftaran siswa internasional baru",IF(M1629=1,"Harga perlu dikonfirmasi ke sekolah"&amp;IF(""="","","; "&amp;""),"")))</f>
        <v/>
      </c>
      <c r="J1629" s="0" t="s">
        <v>4443</v>
      </c>
      <c r="K1629" s="0" t="n">
        <f aca="false">IF(M1629=2,"",IF(ISNUMBER(SEARCH("rata-rata:",'Offshore - Sydney'!N362)),VALUE(MID('Offshore - Sydney'!N362,SEARCH("rata-rata:",'Offshore - Sydney'!N362)+11,FIND(";",'Offshore - Sydney'!N362&amp;";",SEARCH("rata-rata:",'Offshore - Sydney'!N362))-SEARCH("rata-rata:",'Offshore - Sydney'!N362)-11)),IF('Offshore - Sydney'!D362="Semester",'Offshore - Sydney'!E362*2,IF('Offshore - Sydney'!D362="Trimester",'Offshore - Sydney'!E362*3,IF('Offshore - Sydney'!D362="Term",'Offshore - Sydney'!E362*4,IF('Offshore - Sydney'!D362="Unit",'Offshore - Sydney'!E362*8,""))))))</f>
        <v>34856</v>
      </c>
      <c r="L1629" s="0" t="n">
        <f aca="false">IF(AND(ISNUMBER('Offshore - Sydney'!E362),ISNUMBER(K1629),ISNUMBER('Offshore - Sydney'!F362),ISNUMBER('Offshore - Sydney'!G362),OR('Offshore - Sydney'!F362&lt;&gt;0,ISNUMBER(SEARCH("Material 0 terverifikasi",'Offshore - Sydney'!N362))),OR('Offshore - Sydney'!G362&lt;&gt;0,ISNUMBER(SEARCH("Enrolment 0 terverifikasi",'Offshore - Sydney'!N362)))),1,0)</f>
        <v>0</v>
      </c>
      <c r="M1629" s="0" t="n">
        <f aca="false">IF(OR('Offshore - Sydney'!E362="",ISNUMBER(SEARCH("BSB80120",'Offshore - Sydney'!B362&amp;'Offshore - Sydney'!N362)),ISNUMBER(SEARCH("Management (Learning)",'Offshore - Sydney'!B362))),2,IF(ISNUMBER(SEARCH("CEK:",'Offshore - Sydney'!N362)),1,0))</f>
        <v>0</v>
      </c>
    </row>
    <row r="1630" customFormat="false" ht="15" hidden="false" customHeight="false" outlineLevel="0" collapsed="false">
      <c r="A1630" s="63" t="s">
        <v>3533</v>
      </c>
      <c r="B1630" s="64" t="s">
        <v>4374</v>
      </c>
      <c r="C1630" s="63" t="s">
        <v>43</v>
      </c>
      <c r="D1630" s="64" t="str">
        <f aca="false">TRIM(LEFT('Offshore - Sydney'!A156,FIND(CHAR(10),'Offshore - Sydney'!A156&amp;CHAR(10))-1))</f>
        <v>Australian Catholic University (ACU)</v>
      </c>
      <c r="E1630" s="63" t="str">
        <f aca="false">'Offshore - Sydney'!C170&amp;""</f>
        <v>3 years</v>
      </c>
      <c r="F1630" s="63" t="str">
        <f aca="false">IF('Offshore - Sydney'!D170="","Belum tercatat",'Offshore - Sydney'!D170)</f>
        <v>Term</v>
      </c>
      <c r="G1630" s="65" t="n">
        <f aca="false">IF('Offshore - Sydney'!E170="","-",'Offshore - Sydney'!E170)</f>
        <v>8742</v>
      </c>
      <c r="H1630" s="63" t="n">
        <f aca="false">IF(ISNUMBER(K1630),COUNTIFS($J$6:$J$1854,J1630,$K$6:$K$1854,"&lt;"&amp;K1630)+1,"-")</f>
        <v>17</v>
      </c>
      <c r="I1630" s="64" t="str">
        <f aca="false">IF('Offshore - Sydney'!E170="","Harga belum tersedia - hubungi konsultan TEG",IF(M1630=2,"Saat ini tidak menerima pendaftaran siswa internasional baru",IF(M1630=1,"Harga perlu dikonfirmasi ke sekolah"&amp;IF(""="","","; "&amp;""),"")))</f>
        <v/>
      </c>
      <c r="J1630" s="0" t="s">
        <v>4443</v>
      </c>
      <c r="K1630" s="0" t="n">
        <f aca="false">IF(M1630=2,"",IF(ISNUMBER(SEARCH("rata-rata:",'Offshore - Sydney'!N170)),VALUE(MID('Offshore - Sydney'!N170,SEARCH("rata-rata:",'Offshore - Sydney'!N170)+11,FIND(";",'Offshore - Sydney'!N170&amp;";",SEARCH("rata-rata:",'Offshore - Sydney'!N170))-SEARCH("rata-rata:",'Offshore - Sydney'!N170)-11)),IF('Offshore - Sydney'!D170="Semester",'Offshore - Sydney'!E170*2,IF('Offshore - Sydney'!D170="Trimester",'Offshore - Sydney'!E170*3,IF('Offshore - Sydney'!D170="Term",'Offshore - Sydney'!E170*4,IF('Offshore - Sydney'!D170="Unit",'Offshore - Sydney'!E170*8,""))))))</f>
        <v>34968</v>
      </c>
      <c r="L1630" s="0" t="n">
        <f aca="false">IF(AND(ISNUMBER('Offshore - Sydney'!E170),ISNUMBER(K1630),ISNUMBER('Offshore - Sydney'!F170),ISNUMBER('Offshore - Sydney'!G170),OR('Offshore - Sydney'!F170&lt;&gt;0,ISNUMBER(SEARCH("Material 0 terverifikasi",'Offshore - Sydney'!N170))),OR('Offshore - Sydney'!G170&lt;&gt;0,ISNUMBER(SEARCH("Enrolment 0 terverifikasi",'Offshore - Sydney'!N170)))),1,0)</f>
        <v>0</v>
      </c>
      <c r="M1630" s="0" t="n">
        <f aca="false">IF(OR('Offshore - Sydney'!E170="",ISNUMBER(SEARCH("BSB80120",'Offshore - Sydney'!B170&amp;'Offshore - Sydney'!N170)),ISNUMBER(SEARCH("Management (Learning)",'Offshore - Sydney'!B170))),2,IF(ISNUMBER(SEARCH("CEK:",'Offshore - Sydney'!N170)),1,0))</f>
        <v>0</v>
      </c>
    </row>
    <row r="1631" customFormat="false" ht="15" hidden="false" customHeight="false" outlineLevel="0" collapsed="false">
      <c r="A1631" s="63" t="s">
        <v>3533</v>
      </c>
      <c r="B1631" s="64" t="s">
        <v>4374</v>
      </c>
      <c r="C1631" s="63" t="s">
        <v>43</v>
      </c>
      <c r="D1631" s="64" t="str">
        <f aca="false">TRIM(LEFT('Offshore - Sydney'!A923,FIND(CHAR(10),'Offshore - Sydney'!A923&amp;CHAR(10))-1))</f>
        <v>University of Tasmania (UTAS)</v>
      </c>
      <c r="E1631" s="63" t="str">
        <f aca="false">'Offshore - Sydney'!C925&amp;""</f>
        <v>3 years</v>
      </c>
      <c r="F1631" s="63" t="str">
        <f aca="false">IF('Offshore - Sydney'!D925="","Belum tercatat",'Offshore - Sydney'!D925)</f>
        <v>Term</v>
      </c>
      <c r="G1631" s="65" t="n">
        <f aca="false">IF('Offshore - Sydney'!E925="","-",'Offshore - Sydney'!E925)</f>
        <v>9987.5</v>
      </c>
      <c r="H1631" s="63" t="n">
        <f aca="false">IF(ISNUMBER(K1631),COUNTIFS($J$6:$J$1854,J1631,$K$6:$K$1854,"&lt;"&amp;K1631)+1,"-")</f>
        <v>18</v>
      </c>
      <c r="I1631" s="64" t="str">
        <f aca="false">IF('Offshore - Sydney'!E925="","Harga belum tersedia - hubungi konsultan TEG",IF(M1631=2,"Saat ini tidak menerima pendaftaran siswa internasional baru",IF(M1631=1,"Harga perlu dikonfirmasi ke sekolah"&amp;IF(""="","","; "&amp;""),"")))</f>
        <v>Harga perlu dikonfirmasi ke sekolah</v>
      </c>
      <c r="J1631" s="0" t="s">
        <v>4443</v>
      </c>
      <c r="K1631" s="0" t="n">
        <f aca="false">IF(M1631=2,"",IF(ISNUMBER(SEARCH("rata-rata:",'Offshore - Sydney'!N925)),VALUE(MID('Offshore - Sydney'!N925,SEARCH("rata-rata:",'Offshore - Sydney'!N925)+11,FIND(";",'Offshore - Sydney'!N925&amp;";",SEARCH("rata-rata:",'Offshore - Sydney'!N925))-SEARCH("rata-rata:",'Offshore - Sydney'!N925)-11)),IF('Offshore - Sydney'!D925="Semester",'Offshore - Sydney'!E925*2,IF('Offshore - Sydney'!D925="Trimester",'Offshore - Sydney'!E925*3,IF('Offshore - Sydney'!D925="Term",'Offshore - Sydney'!E925*4,IF('Offshore - Sydney'!D925="Unit",'Offshore - Sydney'!E925*8,""))))))</f>
        <v>39950</v>
      </c>
      <c r="L1631" s="0" t="n">
        <f aca="false">IF(AND(ISNUMBER('Offshore - Sydney'!E925),ISNUMBER(K1631),ISNUMBER('Offshore - Sydney'!F925),ISNUMBER('Offshore - Sydney'!G925),OR('Offshore - Sydney'!F925&lt;&gt;0,ISNUMBER(SEARCH("Material 0 terverifikasi",'Offshore - Sydney'!N925))),OR('Offshore - Sydney'!G925&lt;&gt;0,ISNUMBER(SEARCH("Enrolment 0 terverifikasi",'Offshore - Sydney'!N925)))),1,0)</f>
        <v>0</v>
      </c>
      <c r="M1631" s="0" t="n">
        <f aca="false">IF(OR('Offshore - Sydney'!E925="",ISNUMBER(SEARCH("BSB80120",'Offshore - Sydney'!B925&amp;'Offshore - Sydney'!N925)),ISNUMBER(SEARCH("Management (Learning)",'Offshore - Sydney'!B925))),2,IF(ISNUMBER(SEARCH("CEK:",'Offshore - Sydney'!N925)),1,0))</f>
        <v>1</v>
      </c>
    </row>
    <row r="1632" customFormat="false" ht="15" hidden="false" customHeight="false" outlineLevel="0" collapsed="false">
      <c r="A1632" s="61" t="s">
        <v>4444</v>
      </c>
      <c r="B1632" s="62"/>
      <c r="C1632" s="62"/>
      <c r="D1632" s="62"/>
      <c r="E1632" s="62"/>
      <c r="F1632" s="62"/>
      <c r="G1632" s="62"/>
      <c r="H1632" s="62"/>
      <c r="I1632" s="62"/>
    </row>
    <row r="1633" customFormat="false" ht="15" hidden="false" customHeight="false" outlineLevel="0" collapsed="false">
      <c r="A1633" s="63" t="s">
        <v>3533</v>
      </c>
      <c r="B1633" s="64" t="s">
        <v>4374</v>
      </c>
      <c r="C1633" s="63" t="s">
        <v>3707</v>
      </c>
      <c r="D1633" s="64" t="str">
        <f aca="false">TRIM(LEFT('Offshore - Sydney'!A64,FIND(CHAR(10),'Offshore - Sydney'!A64&amp;CHAR(10))-1))</f>
        <v>AIBI Higher Education</v>
      </c>
      <c r="E1633" s="63" t="str">
        <f aca="false">'Offshore - Sydney'!C77&amp;""</f>
        <v>8 months</v>
      </c>
      <c r="F1633" s="63" t="str">
        <f aca="false">IF('Offshore - Sydney'!D77="","Belum tercatat",'Offshore - Sydney'!D77)</f>
        <v>Term</v>
      </c>
      <c r="G1633" s="65" t="n">
        <f aca="false">IF('Offshore - Sydney'!E77="","-",'Offshore - Sydney'!E77)</f>
        <v>2700</v>
      </c>
      <c r="H1633" s="63" t="n">
        <f aca="false">IF(ISNUMBER(K1633),COUNTIFS($J$6:$J$1854,J1633,$K$6:$K$1854,"&lt;"&amp;K1633)+1,"-")</f>
        <v>1</v>
      </c>
      <c r="I1633" s="64" t="str">
        <f aca="false">IF('Offshore - Sydney'!E77="","Harga belum tersedia - hubungi konsultan TEG",IF(M1633=2,"Saat ini tidak menerima pendaftaran siswa internasional baru",IF(M1633=1,"Harga perlu dikonfirmasi ke sekolah"&amp;IF(""="","","; "&amp;""),"")))</f>
        <v>Harga perlu dikonfirmasi ke sekolah</v>
      </c>
      <c r="J1633" s="0" t="s">
        <v>4445</v>
      </c>
      <c r="K1633" s="0" t="n">
        <f aca="false">IF(M1633=2,"",IF(ISNUMBER(SEARCH("rata-rata:",'Offshore - Sydney'!N77)),VALUE(MID('Offshore - Sydney'!N77,SEARCH("rata-rata:",'Offshore - Sydney'!N77)+11,FIND(";",'Offshore - Sydney'!N77&amp;";",SEARCH("rata-rata:",'Offshore - Sydney'!N77))-SEARCH("rata-rata:",'Offshore - Sydney'!N77)-11)),IF('Offshore - Sydney'!D77="Semester",'Offshore - Sydney'!E77*2,IF('Offshore - Sydney'!D77="Trimester",'Offshore - Sydney'!E77*3,IF('Offshore - Sydney'!D77="Term",'Offshore - Sydney'!E77*4,IF('Offshore - Sydney'!D77="Unit",'Offshore - Sydney'!E77*8,""))))))</f>
        <v>10800</v>
      </c>
      <c r="L1633" s="0" t="n">
        <f aca="false">IF(AND(ISNUMBER('Offshore - Sydney'!E77),ISNUMBER(K1633),ISNUMBER('Offshore - Sydney'!F77),ISNUMBER('Offshore - Sydney'!G77),OR('Offshore - Sydney'!F77&lt;&gt;0,ISNUMBER(SEARCH("Material 0 terverifikasi",'Offshore - Sydney'!N77))),OR('Offshore - Sydney'!G77&lt;&gt;0,ISNUMBER(SEARCH("Enrolment 0 terverifikasi",'Offshore - Sydney'!N77)))),1,0)</f>
        <v>0</v>
      </c>
      <c r="M1633" s="0" t="n">
        <f aca="false">IF(OR('Offshore - Sydney'!E77="",ISNUMBER(SEARCH("BSB80120",'Offshore - Sydney'!B77&amp;'Offshore - Sydney'!N77)),ISNUMBER(SEARCH("Management (Learning)",'Offshore - Sydney'!B77))),2,IF(ISNUMBER(SEARCH("CEK:",'Offshore - Sydney'!N77)),1,0))</f>
        <v>1</v>
      </c>
    </row>
    <row r="1634" customFormat="false" ht="15" hidden="false" customHeight="false" outlineLevel="0" collapsed="false">
      <c r="A1634" s="63" t="s">
        <v>3533</v>
      </c>
      <c r="B1634" s="64" t="s">
        <v>4374</v>
      </c>
      <c r="C1634" s="63" t="s">
        <v>3707</v>
      </c>
      <c r="D1634" s="64" t="str">
        <f aca="false">TRIM(LEFT('Offshore - Sydney'!A814,FIND(CHAR(10),'Offshore - Sydney'!A814&amp;CHAR(10))-1))</f>
        <v>Torrens University Australia</v>
      </c>
      <c r="E1634" s="63" t="str">
        <f aca="false">'Offshore - Sydney'!C835&amp;""</f>
        <v>1 year</v>
      </c>
      <c r="F1634" s="63" t="str">
        <f aca="false">IF('Offshore - Sydney'!D835="","Belum tercatat",'Offshore - Sydney'!D835)</f>
        <v>Term</v>
      </c>
      <c r="G1634" s="65" t="n">
        <f aca="false">IF('Offshore - Sydney'!E835="","-",'Offshore - Sydney'!E835)</f>
        <v>4500</v>
      </c>
      <c r="H1634" s="63" t="n">
        <f aca="false">IF(ISNUMBER(K1634),COUNTIFS($J$6:$J$1854,J1634,$K$6:$K$1854,"&lt;"&amp;K1634)+1,"-")</f>
        <v>2</v>
      </c>
      <c r="I1634" s="64" t="str">
        <f aca="false">IF('Offshore - Sydney'!E835="","Harga belum tersedia - hubungi konsultan TEG",IF(M1634=2,"Saat ini tidak menerima pendaftaran siswa internasional baru",IF(M1634=1,"Harga perlu dikonfirmasi ke sekolah"&amp;IF(""="","","; "&amp;""),"")))</f>
        <v/>
      </c>
      <c r="J1634" s="0" t="s">
        <v>4445</v>
      </c>
      <c r="K1634" s="0" t="n">
        <f aca="false">IF(M1634=2,"",IF(ISNUMBER(SEARCH("rata-rata:",'Offshore - Sydney'!N835)),VALUE(MID('Offshore - Sydney'!N835,SEARCH("rata-rata:",'Offshore - Sydney'!N835)+11,FIND(";",'Offshore - Sydney'!N835&amp;";",SEARCH("rata-rata:",'Offshore - Sydney'!N835))-SEARCH("rata-rata:",'Offshore - Sydney'!N835)-11)),IF('Offshore - Sydney'!D835="Semester",'Offshore - Sydney'!E835*2,IF('Offshore - Sydney'!D835="Trimester",'Offshore - Sydney'!E835*3,IF('Offshore - Sydney'!D835="Term",'Offshore - Sydney'!E835*4,IF('Offshore - Sydney'!D835="Unit",'Offshore - Sydney'!E835*8,""))))))</f>
        <v>18000</v>
      </c>
      <c r="L1634" s="0" t="n">
        <f aca="false">IF(AND(ISNUMBER('Offshore - Sydney'!E835),ISNUMBER(K1634),ISNUMBER('Offshore - Sydney'!F835),ISNUMBER('Offshore - Sydney'!G835),OR('Offshore - Sydney'!F835&lt;&gt;0,ISNUMBER(SEARCH("Material 0 terverifikasi",'Offshore - Sydney'!N835))),OR('Offshore - Sydney'!G835&lt;&gt;0,ISNUMBER(SEARCH("Enrolment 0 terverifikasi",'Offshore - Sydney'!N835)))),1,0)</f>
        <v>0</v>
      </c>
      <c r="M1634" s="0" t="n">
        <f aca="false">IF(OR('Offshore - Sydney'!E835="",ISNUMBER(SEARCH("BSB80120",'Offshore - Sydney'!B835&amp;'Offshore - Sydney'!N835)),ISNUMBER(SEARCH("Management (Learning)",'Offshore - Sydney'!B835))),2,IF(ISNUMBER(SEARCH("CEK:",'Offshore - Sydney'!N835)),1,0))</f>
        <v>0</v>
      </c>
    </row>
    <row r="1635" customFormat="false" ht="15" hidden="false" customHeight="false" outlineLevel="0" collapsed="false">
      <c r="A1635" s="63" t="s">
        <v>3533</v>
      </c>
      <c r="B1635" s="64" t="s">
        <v>4374</v>
      </c>
      <c r="C1635" s="63" t="s">
        <v>3707</v>
      </c>
      <c r="D1635" s="64" t="str">
        <f aca="false">TRIM(LEFT('Offshore - Sydney'!A156,FIND(CHAR(10),'Offshore - Sydney'!A156&amp;CHAR(10))-1))</f>
        <v>Australian Catholic University (ACU)</v>
      </c>
      <c r="E1635" s="63" t="str">
        <f aca="false">'Offshore - Sydney'!C180&amp;""</f>
        <v>0,5 year</v>
      </c>
      <c r="F1635" s="63" t="str">
        <f aca="false">IF('Offshore - Sydney'!D180="","Belum tercatat",'Offshore - Sydney'!D180)</f>
        <v>Term</v>
      </c>
      <c r="G1635" s="65" t="n">
        <f aca="false">IF('Offshore - Sydney'!E180="","-",'Offshore - Sydney'!E180)</f>
        <v>4762</v>
      </c>
      <c r="H1635" s="63" t="n">
        <f aca="false">IF(ISNUMBER(K1635),COUNTIFS($J$6:$J$1854,J1635,$K$6:$K$1854,"&lt;"&amp;K1635)+1,"-")</f>
        <v>3</v>
      </c>
      <c r="I1635" s="64" t="str">
        <f aca="false">IF('Offshore - Sydney'!E180="","Harga belum tersedia - hubungi konsultan TEG",IF(M1635=2,"Saat ini tidak menerima pendaftaran siswa internasional baru",IF(M1635=1,"Harga perlu dikonfirmasi ke sekolah"&amp;IF(""="","","; "&amp;""),"")))</f>
        <v>Harga perlu dikonfirmasi ke sekolah</v>
      </c>
      <c r="J1635" s="0" t="s">
        <v>4445</v>
      </c>
      <c r="K1635" s="0" t="n">
        <f aca="false">IF(M1635=2,"",IF(ISNUMBER(SEARCH("rata-rata:",'Offshore - Sydney'!N180)),VALUE(MID('Offshore - Sydney'!N180,SEARCH("rata-rata:",'Offshore - Sydney'!N180)+11,FIND(";",'Offshore - Sydney'!N180&amp;";",SEARCH("rata-rata:",'Offshore - Sydney'!N180))-SEARCH("rata-rata:",'Offshore - Sydney'!N180)-11)),IF('Offshore - Sydney'!D180="Semester",'Offshore - Sydney'!E180*2,IF('Offshore - Sydney'!D180="Trimester",'Offshore - Sydney'!E180*3,IF('Offshore - Sydney'!D180="Term",'Offshore - Sydney'!E180*4,IF('Offshore - Sydney'!D180="Unit",'Offshore - Sydney'!E180*8,""))))))</f>
        <v>19048</v>
      </c>
      <c r="L1635" s="0" t="n">
        <f aca="false">IF(AND(ISNUMBER('Offshore - Sydney'!E180),ISNUMBER(K1635),ISNUMBER('Offshore - Sydney'!F180),ISNUMBER('Offshore - Sydney'!G180),OR('Offshore - Sydney'!F180&lt;&gt;0,ISNUMBER(SEARCH("Material 0 terverifikasi",'Offshore - Sydney'!N180))),OR('Offshore - Sydney'!G180&lt;&gt;0,ISNUMBER(SEARCH("Enrolment 0 terverifikasi",'Offshore - Sydney'!N180)))),1,0)</f>
        <v>0</v>
      </c>
      <c r="M1635" s="0" t="n">
        <f aca="false">IF(OR('Offshore - Sydney'!E180="",ISNUMBER(SEARCH("BSB80120",'Offshore - Sydney'!B180&amp;'Offshore - Sydney'!N180)),ISNUMBER(SEARCH("Management (Learning)",'Offshore - Sydney'!B180))),2,IF(ISNUMBER(SEARCH("CEK:",'Offshore - Sydney'!N180)),1,0))</f>
        <v>1</v>
      </c>
    </row>
    <row r="1636" customFormat="false" ht="15" hidden="false" customHeight="false" outlineLevel="0" collapsed="false">
      <c r="A1636" s="63" t="s">
        <v>3533</v>
      </c>
      <c r="B1636" s="64" t="s">
        <v>4374</v>
      </c>
      <c r="C1636" s="63" t="s">
        <v>3707</v>
      </c>
      <c r="D1636" s="64" t="str">
        <f aca="false">TRIM(LEFT('Offshore - Sydney'!A982,FIND(CHAR(10),'Offshore - Sydney'!A982&amp;CHAR(10))-1))</f>
        <v>Western Sydney University</v>
      </c>
      <c r="E1636" s="63" t="str">
        <f aca="false">'Offshore - Sydney'!C1095&amp;""</f>
        <v>0,5 year</v>
      </c>
      <c r="F1636" s="63" t="str">
        <f aca="false">IF('Offshore - Sydney'!D1095="","Belum tercatat",'Offshore - Sydney'!D1095)</f>
        <v>Term</v>
      </c>
      <c r="G1636" s="65" t="n">
        <f aca="false">IF('Offshore - Sydney'!E1095="","-",'Offshore - Sydney'!E1095)</f>
        <v>5153</v>
      </c>
      <c r="H1636" s="63" t="n">
        <f aca="false">IF(ISNUMBER(K1636),COUNTIFS($J$6:$J$1854,J1636,$K$6:$K$1854,"&lt;"&amp;K1636)+1,"-")</f>
        <v>4</v>
      </c>
      <c r="I1636" s="64" t="str">
        <f aca="false">IF('Offshore - Sydney'!E1095="","Harga belum tersedia - hubungi konsultan TEG",IF(M1636=2,"Saat ini tidak menerima pendaftaran siswa internasional baru",IF(M1636=1,"Harga perlu dikonfirmasi ke sekolah"&amp;IF(""="","","; "&amp;""),"")))</f>
        <v/>
      </c>
      <c r="J1636" s="0" t="s">
        <v>4445</v>
      </c>
      <c r="K1636" s="0" t="n">
        <f aca="false">IF(M1636=2,"",IF(ISNUMBER(SEARCH("rata-rata:",'Offshore - Sydney'!N1095)),VALUE(MID('Offshore - Sydney'!N1095,SEARCH("rata-rata:",'Offshore - Sydney'!N1095)+11,FIND(";",'Offshore - Sydney'!N1095&amp;";",SEARCH("rata-rata:",'Offshore - Sydney'!N1095))-SEARCH("rata-rata:",'Offshore - Sydney'!N1095)-11)),IF('Offshore - Sydney'!D1095="Semester",'Offshore - Sydney'!E1095*2,IF('Offshore - Sydney'!D1095="Trimester",'Offshore - Sydney'!E1095*3,IF('Offshore - Sydney'!D1095="Term",'Offshore - Sydney'!E1095*4,IF('Offshore - Sydney'!D1095="Unit",'Offshore - Sydney'!E1095*8,""))))))</f>
        <v>20612</v>
      </c>
      <c r="L1636" s="0" t="n">
        <f aca="false">IF(AND(ISNUMBER('Offshore - Sydney'!E1095),ISNUMBER(K1636),ISNUMBER('Offshore - Sydney'!F1095),ISNUMBER('Offshore - Sydney'!G1095),OR('Offshore - Sydney'!F1095&lt;&gt;0,ISNUMBER(SEARCH("Material 0 terverifikasi",'Offshore - Sydney'!N1095))),OR('Offshore - Sydney'!G1095&lt;&gt;0,ISNUMBER(SEARCH("Enrolment 0 terverifikasi",'Offshore - Sydney'!N1095)))),1,0)</f>
        <v>0</v>
      </c>
      <c r="M1636" s="0" t="n">
        <f aca="false">IF(OR('Offshore - Sydney'!E1095="",ISNUMBER(SEARCH("BSB80120",'Offshore - Sydney'!B1095&amp;'Offshore - Sydney'!N1095)),ISNUMBER(SEARCH("Management (Learning)",'Offshore - Sydney'!B1095))),2,IF(ISNUMBER(SEARCH("CEK:",'Offshore - Sydney'!N1095)),1,0))</f>
        <v>0</v>
      </c>
    </row>
    <row r="1637" customFormat="false" ht="15" hidden="false" customHeight="false" outlineLevel="0" collapsed="false">
      <c r="A1637" s="63" t="s">
        <v>3533</v>
      </c>
      <c r="B1637" s="64" t="s">
        <v>4374</v>
      </c>
      <c r="C1637" s="63" t="s">
        <v>3707</v>
      </c>
      <c r="D1637" s="64" t="str">
        <f aca="false">TRIM(LEFT('Offshore - Sydney'!A791,FIND(CHAR(10),'Offshore - Sydney'!A791&amp;CHAR(10))-1))</f>
        <v>The Institute of International Studies (TIIS)</v>
      </c>
      <c r="E1637" s="63" t="str">
        <f aca="false">'Offshore - Sydney'!C791&amp;""</f>
        <v>0,5 years</v>
      </c>
      <c r="F1637" s="63" t="str">
        <f aca="false">IF('Offshore - Sydney'!D791="","Belum tercatat",'Offshore - Sydney'!D791)</f>
        <v>Term</v>
      </c>
      <c r="G1637" s="65" t="n">
        <f aca="false">IF('Offshore - Sydney'!E791="","-",'Offshore - Sydney'!E791)</f>
        <v>5500</v>
      </c>
      <c r="H1637" s="63" t="n">
        <f aca="false">IF(ISNUMBER(K1637),COUNTIFS($J$6:$J$1854,J1637,$K$6:$K$1854,"&lt;"&amp;K1637)+1,"-")</f>
        <v>5</v>
      </c>
      <c r="I1637" s="64" t="str">
        <f aca="false">IF('Offshore - Sydney'!E791="","Harga belum tersedia - hubungi konsultan TEG",IF(M1637=2,"Saat ini tidak menerima pendaftaran siswa internasional baru",IF(M1637=1,"Harga perlu dikonfirmasi ke sekolah"&amp;IF(""="","","; "&amp;""),"")))</f>
        <v/>
      </c>
      <c r="J1637" s="0" t="s">
        <v>4445</v>
      </c>
      <c r="K1637" s="0" t="n">
        <f aca="false">IF(M1637=2,"",IF(ISNUMBER(SEARCH("rata-rata:",'Offshore - Sydney'!N791)),VALUE(MID('Offshore - Sydney'!N791,SEARCH("rata-rata:",'Offshore - Sydney'!N791)+11,FIND(";",'Offshore - Sydney'!N791&amp;";",SEARCH("rata-rata:",'Offshore - Sydney'!N791))-SEARCH("rata-rata:",'Offshore - Sydney'!N791)-11)),IF('Offshore - Sydney'!D791="Semester",'Offshore - Sydney'!E791*2,IF('Offshore - Sydney'!D791="Trimester",'Offshore - Sydney'!E791*3,IF('Offshore - Sydney'!D791="Term",'Offshore - Sydney'!E791*4,IF('Offshore - Sydney'!D791="Unit",'Offshore - Sydney'!E791*8,""))))))</f>
        <v>22000</v>
      </c>
      <c r="L1637" s="0" t="n">
        <f aca="false">IF(AND(ISNUMBER('Offshore - Sydney'!E791),ISNUMBER(K1637),ISNUMBER('Offshore - Sydney'!F791),ISNUMBER('Offshore - Sydney'!G791),OR('Offshore - Sydney'!F791&lt;&gt;0,ISNUMBER(SEARCH("Material 0 terverifikasi",'Offshore - Sydney'!N791))),OR('Offshore - Sydney'!G791&lt;&gt;0,ISNUMBER(SEARCH("Enrolment 0 terverifikasi",'Offshore - Sydney'!N791)))),1,0)</f>
        <v>0</v>
      </c>
      <c r="M1637" s="0" t="n">
        <f aca="false">IF(OR('Offshore - Sydney'!E791="",ISNUMBER(SEARCH("BSB80120",'Offshore - Sydney'!B791&amp;'Offshore - Sydney'!N791)),ISNUMBER(SEARCH("Management (Learning)",'Offshore - Sydney'!B791))),2,IF(ISNUMBER(SEARCH("CEK:",'Offshore - Sydney'!N791)),1,0))</f>
        <v>0</v>
      </c>
    </row>
    <row r="1638" customFormat="false" ht="15" hidden="false" customHeight="false" outlineLevel="0" collapsed="false">
      <c r="A1638" s="63" t="s">
        <v>3533</v>
      </c>
      <c r="B1638" s="64" t="s">
        <v>4374</v>
      </c>
      <c r="C1638" s="63" t="s">
        <v>3707</v>
      </c>
      <c r="D1638" s="64" t="str">
        <f aca="false">TRIM(LEFT('Offshore - Sydney'!A131,FIND(CHAR(10),'Offshore - Sydney'!A131&amp;CHAR(10))-1))</f>
        <v>Asia Pacific International College (APIC)</v>
      </c>
      <c r="E1638" s="63" t="str">
        <f aca="false">'Offshore - Sydney'!C139&amp;""</f>
        <v>0,5 year</v>
      </c>
      <c r="F1638" s="63" t="str">
        <f aca="false">IF('Offshore - Sydney'!D139="","Belum tercatat",'Offshore - Sydney'!D139)</f>
        <v>Trimester</v>
      </c>
      <c r="G1638" s="65" t="n">
        <f aca="false">IF('Offshore - Sydney'!E139="","-",'Offshore - Sydney'!E139)</f>
        <v>7800</v>
      </c>
      <c r="H1638" s="63" t="n">
        <f aca="false">IF(ISNUMBER(K1638),COUNTIFS($J$6:$J$1854,J1638,$K$6:$K$1854,"&lt;"&amp;K1638)+1,"-")</f>
        <v>6</v>
      </c>
      <c r="I1638" s="64" t="str">
        <f aca="false">IF('Offshore - Sydney'!E139="","Harga belum tersedia - hubungi konsultan TEG",IF(M1638=2,"Saat ini tidak menerima pendaftaran siswa internasional baru",IF(M1638=1,"Harga perlu dikonfirmasi ke sekolah"&amp;IF(""="","","; "&amp;""),"")))</f>
        <v>Harga perlu dikonfirmasi ke sekolah</v>
      </c>
      <c r="J1638" s="0" t="s">
        <v>4445</v>
      </c>
      <c r="K1638" s="0" t="n">
        <f aca="false">IF(M1638=2,"",IF(ISNUMBER(SEARCH("rata-rata:",'Offshore - Sydney'!N139)),VALUE(MID('Offshore - Sydney'!N139,SEARCH("rata-rata:",'Offshore - Sydney'!N139)+11,FIND(";",'Offshore - Sydney'!N139&amp;";",SEARCH("rata-rata:",'Offshore - Sydney'!N139))-SEARCH("rata-rata:",'Offshore - Sydney'!N139)-11)),IF('Offshore - Sydney'!D139="Semester",'Offshore - Sydney'!E139*2,IF('Offshore - Sydney'!D139="Trimester",'Offshore - Sydney'!E139*3,IF('Offshore - Sydney'!D139="Term",'Offshore - Sydney'!E139*4,IF('Offshore - Sydney'!D139="Unit",'Offshore - Sydney'!E139*8,""))))))</f>
        <v>23400</v>
      </c>
      <c r="L1638" s="0" t="n">
        <f aca="false">IF(AND(ISNUMBER('Offshore - Sydney'!E139),ISNUMBER(K1638),ISNUMBER('Offshore - Sydney'!F139),ISNUMBER('Offshore - Sydney'!G139),OR('Offshore - Sydney'!F139&lt;&gt;0,ISNUMBER(SEARCH("Material 0 terverifikasi",'Offshore - Sydney'!N139))),OR('Offshore - Sydney'!G139&lt;&gt;0,ISNUMBER(SEARCH("Enrolment 0 terverifikasi",'Offshore - Sydney'!N139)))),1,0)</f>
        <v>0</v>
      </c>
      <c r="M1638" s="0" t="n">
        <f aca="false">IF(OR('Offshore - Sydney'!E139="",ISNUMBER(SEARCH("BSB80120",'Offshore - Sydney'!B139&amp;'Offshore - Sydney'!N139)),ISNUMBER(SEARCH("Management (Learning)",'Offshore - Sydney'!B139))),2,IF(ISNUMBER(SEARCH("CEK:",'Offshore - Sydney'!N139)),1,0))</f>
        <v>1</v>
      </c>
    </row>
    <row r="1639" customFormat="false" ht="15" hidden="false" customHeight="false" outlineLevel="0" collapsed="false">
      <c r="A1639" s="63" t="s">
        <v>3533</v>
      </c>
      <c r="B1639" s="64" t="s">
        <v>4374</v>
      </c>
      <c r="C1639" s="63" t="s">
        <v>3707</v>
      </c>
      <c r="D1639" s="64" t="str">
        <f aca="false">TRIM(LEFT('Offshore - Sydney'!A497,FIND(CHAR(10),'Offshore - Sydney'!A497&amp;CHAR(10))-1))</f>
        <v>Kaplan Business School</v>
      </c>
      <c r="E1639" s="63" t="str">
        <f aca="false">'Offshore - Sydney'!C508&amp;""</f>
        <v>0,5 year</v>
      </c>
      <c r="F1639" s="63" t="str">
        <f aca="false">IF('Offshore - Sydney'!D508="","Belum tercatat",'Offshore - Sydney'!D508)</f>
        <v>Trimester</v>
      </c>
      <c r="G1639" s="65" t="n">
        <f aca="false">IF('Offshore - Sydney'!E508="","-",'Offshore - Sydney'!E508)</f>
        <v>14560</v>
      </c>
      <c r="H1639" s="63" t="n">
        <f aca="false">IF(ISNUMBER(K1639),COUNTIFS($J$6:$J$1854,J1639,$K$6:$K$1854,"&lt;"&amp;K1639)+1,"-")</f>
        <v>7</v>
      </c>
      <c r="I1639" s="64" t="str">
        <f aca="false">IF('Offshore - Sydney'!E508="","Harga belum tersedia - hubungi konsultan TEG",IF(M1639=2,"Saat ini tidak menerima pendaftaran siswa internasional baru",IF(M1639=1,"Harga perlu dikonfirmasi ke sekolah"&amp;IF(""="","","; "&amp;""),"")))</f>
        <v>Harga perlu dikonfirmasi ke sekolah</v>
      </c>
      <c r="J1639" s="0" t="s">
        <v>4445</v>
      </c>
      <c r="K1639" s="0" t="n">
        <f aca="false">IF(M1639=2,"",IF(ISNUMBER(SEARCH("rata-rata:",'Offshore - Sydney'!N508)),VALUE(MID('Offshore - Sydney'!N508,SEARCH("rata-rata:",'Offshore - Sydney'!N508)+11,FIND(";",'Offshore - Sydney'!N508&amp;";",SEARCH("rata-rata:",'Offshore - Sydney'!N508))-SEARCH("rata-rata:",'Offshore - Sydney'!N508)-11)),IF('Offshore - Sydney'!D508="Semester",'Offshore - Sydney'!E508*2,IF('Offshore - Sydney'!D508="Trimester",'Offshore - Sydney'!E508*3,IF('Offshore - Sydney'!D508="Term",'Offshore - Sydney'!E508*4,IF('Offshore - Sydney'!D508="Unit",'Offshore - Sydney'!E508*8,""))))))</f>
        <v>43680</v>
      </c>
      <c r="L1639" s="0" t="n">
        <f aca="false">IF(AND(ISNUMBER('Offshore - Sydney'!E508),ISNUMBER(K1639),ISNUMBER('Offshore - Sydney'!F508),ISNUMBER('Offshore - Sydney'!G508),OR('Offshore - Sydney'!F508&lt;&gt;0,ISNUMBER(SEARCH("Material 0 terverifikasi",'Offshore - Sydney'!N508))),OR('Offshore - Sydney'!G508&lt;&gt;0,ISNUMBER(SEARCH("Enrolment 0 terverifikasi",'Offshore - Sydney'!N508)))),1,0)</f>
        <v>1</v>
      </c>
      <c r="M1639" s="0" t="n">
        <f aca="false">IF(OR('Offshore - Sydney'!E508="",ISNUMBER(SEARCH("BSB80120",'Offshore - Sydney'!B508&amp;'Offshore - Sydney'!N508)),ISNUMBER(SEARCH("Management (Learning)",'Offshore - Sydney'!B508))),2,IF(ISNUMBER(SEARCH("CEK:",'Offshore - Sydney'!N508)),1,0))</f>
        <v>1</v>
      </c>
    </row>
    <row r="1640" customFormat="false" ht="15" hidden="false" customHeight="false" outlineLevel="0" collapsed="false">
      <c r="A1640" s="61" t="s">
        <v>4446</v>
      </c>
      <c r="B1640" s="62"/>
      <c r="C1640" s="62"/>
      <c r="D1640" s="62"/>
      <c r="E1640" s="62"/>
      <c r="F1640" s="62"/>
      <c r="G1640" s="62"/>
      <c r="H1640" s="62"/>
      <c r="I1640" s="62"/>
    </row>
    <row r="1641" customFormat="false" ht="15" hidden="false" customHeight="false" outlineLevel="0" collapsed="false">
      <c r="A1641" s="63" t="s">
        <v>3533</v>
      </c>
      <c r="B1641" s="64" t="s">
        <v>4374</v>
      </c>
      <c r="C1641" s="63" t="s">
        <v>46</v>
      </c>
      <c r="D1641" s="64" t="str">
        <f aca="false">TRIM(LEFT('Offshore - Sydney'!A64,FIND(CHAR(10),'Offshore - Sydney'!A64&amp;CHAR(10))-1))</f>
        <v>AIBI Higher Education</v>
      </c>
      <c r="E1641" s="63" t="str">
        <f aca="false">'Offshore - Sydney'!C70&amp;""</f>
        <v>2 years</v>
      </c>
      <c r="F1641" s="63" t="str">
        <f aca="false">IF('Offshore - Sydney'!D70="","Belum tercatat",'Offshore - Sydney'!D70)</f>
        <v>Term</v>
      </c>
      <c r="G1641" s="65" t="n">
        <f aca="false">IF('Offshore - Sydney'!E70="","-",'Offshore - Sydney'!E70)</f>
        <v>4050</v>
      </c>
      <c r="H1641" s="63" t="n">
        <f aca="false">IF(ISNUMBER(K1641),COUNTIFS($J$6:$J$1854,J1641,$K$6:$K$1854,"&lt;"&amp;K1641)+1,"-")</f>
        <v>1</v>
      </c>
      <c r="I1641" s="64" t="str">
        <f aca="false">IF('Offshore - Sydney'!E70="","Harga belum tersedia - hubungi konsultan TEG",IF(M1641=2,"Saat ini tidak menerima pendaftaran siswa internasional baru",IF(M1641=1,"Harga perlu dikonfirmasi ke sekolah"&amp;IF(""="","","; "&amp;""),"")))</f>
        <v>Harga perlu dikonfirmasi ke sekolah</v>
      </c>
      <c r="J1641" s="0" t="s">
        <v>4447</v>
      </c>
      <c r="K1641" s="0" t="n">
        <f aca="false">IF(M1641=2,"",IF(ISNUMBER(SEARCH("rata-rata:",'Offshore - Sydney'!N70)),VALUE(MID('Offshore - Sydney'!N70,SEARCH("rata-rata:",'Offshore - Sydney'!N70)+11,FIND(";",'Offshore - Sydney'!N70&amp;";",SEARCH("rata-rata:",'Offshore - Sydney'!N70))-SEARCH("rata-rata:",'Offshore - Sydney'!N70)-11)),IF('Offshore - Sydney'!D70="Semester",'Offshore - Sydney'!E70*2,IF('Offshore - Sydney'!D70="Trimester",'Offshore - Sydney'!E70*3,IF('Offshore - Sydney'!D70="Term",'Offshore - Sydney'!E70*4,IF('Offshore - Sydney'!D70="Unit",'Offshore - Sydney'!E70*8,""))))))</f>
        <v>16200</v>
      </c>
      <c r="L1641" s="0" t="n">
        <f aca="false">IF(AND(ISNUMBER('Offshore - Sydney'!E70),ISNUMBER(K1641),ISNUMBER('Offshore - Sydney'!F70),ISNUMBER('Offshore - Sydney'!G70),OR('Offshore - Sydney'!F70&lt;&gt;0,ISNUMBER(SEARCH("Material 0 terverifikasi",'Offshore - Sydney'!N70))),OR('Offshore - Sydney'!G70&lt;&gt;0,ISNUMBER(SEARCH("Enrolment 0 terverifikasi",'Offshore - Sydney'!N70)))),1,0)</f>
        <v>0</v>
      </c>
      <c r="M1641" s="0" t="n">
        <f aca="false">IF(OR('Offshore - Sydney'!E70="",ISNUMBER(SEARCH("BSB80120",'Offshore - Sydney'!B70&amp;'Offshore - Sydney'!N70)),ISNUMBER(SEARCH("Management (Learning)",'Offshore - Sydney'!B70))),2,IF(ISNUMBER(SEARCH("CEK:",'Offshore - Sydney'!N70)),1,0))</f>
        <v>1</v>
      </c>
    </row>
    <row r="1642" customFormat="false" ht="15" hidden="false" customHeight="false" outlineLevel="0" collapsed="false">
      <c r="A1642" s="63" t="s">
        <v>3533</v>
      </c>
      <c r="B1642" s="64" t="s">
        <v>4374</v>
      </c>
      <c r="C1642" s="63" t="s">
        <v>46</v>
      </c>
      <c r="D1642" s="64" t="str">
        <f aca="false">TRIM(LEFT('Offshore - Sydney'!A382,FIND(CHAR(10),'Offshore - Sydney'!A382&amp;CHAR(10))-1))</f>
        <v>CIHE Australia</v>
      </c>
      <c r="E1642" s="63" t="str">
        <f aca="false">'Offshore - Sydney'!C391&amp;""</f>
        <v>2 years</v>
      </c>
      <c r="F1642" s="63" t="str">
        <f aca="false">IF('Offshore - Sydney'!D391="","Belum tercatat",'Offshore - Sydney'!D391)</f>
        <v>Term</v>
      </c>
      <c r="G1642" s="65" t="n">
        <f aca="false">IF('Offshore - Sydney'!E391="","-",'Offshore - Sydney'!E391)</f>
        <v>4125</v>
      </c>
      <c r="H1642" s="63" t="n">
        <f aca="false">IF(ISNUMBER(K1642),COUNTIFS($J$6:$J$1854,J1642,$K$6:$K$1854,"&lt;"&amp;K1642)+1,"-")</f>
        <v>2</v>
      </c>
      <c r="I1642" s="64" t="str">
        <f aca="false">IF('Offshore - Sydney'!E391="","Harga belum tersedia - hubungi konsultan TEG",IF(M1642=2,"Saat ini tidak menerima pendaftaran siswa internasional baru",IF(M1642=1,"Harga perlu dikonfirmasi ke sekolah"&amp;IF(""="","","; "&amp;""),"")))</f>
        <v>Harga perlu dikonfirmasi ke sekolah</v>
      </c>
      <c r="J1642" s="0" t="s">
        <v>4447</v>
      </c>
      <c r="K1642" s="0" t="n">
        <f aca="false">IF(M1642=2,"",IF(ISNUMBER(SEARCH("rata-rata:",'Offshore - Sydney'!N391)),VALUE(MID('Offshore - Sydney'!N391,SEARCH("rata-rata:",'Offshore - Sydney'!N391)+11,FIND(";",'Offshore - Sydney'!N391&amp;";",SEARCH("rata-rata:",'Offshore - Sydney'!N391))-SEARCH("rata-rata:",'Offshore - Sydney'!N391)-11)),IF('Offshore - Sydney'!D391="Semester",'Offshore - Sydney'!E391*2,IF('Offshore - Sydney'!D391="Trimester",'Offshore - Sydney'!E391*3,IF('Offshore - Sydney'!D391="Term",'Offshore - Sydney'!E391*4,IF('Offshore - Sydney'!D391="Unit",'Offshore - Sydney'!E391*8,""))))))</f>
        <v>16500</v>
      </c>
      <c r="L1642" s="0" t="n">
        <f aca="false">IF(AND(ISNUMBER('Offshore - Sydney'!E391),ISNUMBER(K1642),ISNUMBER('Offshore - Sydney'!F391),ISNUMBER('Offshore - Sydney'!G391),OR('Offshore - Sydney'!F391&lt;&gt;0,ISNUMBER(SEARCH("Material 0 terverifikasi",'Offshore - Sydney'!N391))),OR('Offshore - Sydney'!G391&lt;&gt;0,ISNUMBER(SEARCH("Enrolment 0 terverifikasi",'Offshore - Sydney'!N391)))),1,0)</f>
        <v>1</v>
      </c>
      <c r="M1642" s="0" t="n">
        <f aca="false">IF(OR('Offshore - Sydney'!E391="",ISNUMBER(SEARCH("BSB80120",'Offshore - Sydney'!B391&amp;'Offshore - Sydney'!N391)),ISNUMBER(SEARCH("Management (Learning)",'Offshore - Sydney'!B391))),2,IF(ISNUMBER(SEARCH("CEK:",'Offshore - Sydney'!N391)),1,0))</f>
        <v>1</v>
      </c>
    </row>
    <row r="1643" customFormat="false" ht="15" hidden="false" customHeight="false" outlineLevel="0" collapsed="false">
      <c r="A1643" s="63" t="s">
        <v>3533</v>
      </c>
      <c r="B1643" s="64" t="s">
        <v>4374</v>
      </c>
      <c r="C1643" s="63" t="s">
        <v>46</v>
      </c>
      <c r="D1643" s="64" t="str">
        <f aca="false">TRIM(LEFT('Offshore - Sydney'!A700,FIND(CHAR(10),'Offshore - Sydney'!A700&amp;CHAR(10))-1))</f>
        <v>Sydney Institute of Higher Education (SIHE)</v>
      </c>
      <c r="E1643" s="63" t="str">
        <f aca="false">'Offshore - Sydney'!C701&amp;""</f>
        <v>2 years</v>
      </c>
      <c r="F1643" s="63" t="str">
        <f aca="false">IF('Offshore - Sydney'!D701="","Belum tercatat",'Offshore - Sydney'!D701)</f>
        <v>Trimester</v>
      </c>
      <c r="G1643" s="65" t="n">
        <f aca="false">IF('Offshore - Sydney'!E701="","-",'Offshore - Sydney'!E701)</f>
        <v>5513</v>
      </c>
      <c r="H1643" s="63" t="n">
        <f aca="false">IF(ISNUMBER(K1643),COUNTIFS($J$6:$J$1854,J1643,$K$6:$K$1854,"&lt;"&amp;K1643)+1,"-")</f>
        <v>3</v>
      </c>
      <c r="I1643" s="64" t="str">
        <f aca="false">IF('Offshore - Sydney'!E701="","Harga belum tersedia - hubungi konsultan TEG",IF(M1643=2,"Saat ini tidak menerima pendaftaran siswa internasional baru",IF(M1643=1,"Harga perlu dikonfirmasi ke sekolah"&amp;IF(""="","","; "&amp;""),"")))</f>
        <v>Harga perlu dikonfirmasi ke sekolah</v>
      </c>
      <c r="J1643" s="0" t="s">
        <v>4447</v>
      </c>
      <c r="K1643" s="0" t="n">
        <f aca="false">IF(M1643=2,"",IF(ISNUMBER(SEARCH("rata-rata:",'Offshore - Sydney'!N701)),VALUE(MID('Offshore - Sydney'!N701,SEARCH("rata-rata:",'Offshore - Sydney'!N701)+11,FIND(";",'Offshore - Sydney'!N701&amp;";",SEARCH("rata-rata:",'Offshore - Sydney'!N701))-SEARCH("rata-rata:",'Offshore - Sydney'!N701)-11)),IF('Offshore - Sydney'!D701="Semester",'Offshore - Sydney'!E701*2,IF('Offshore - Sydney'!D701="Trimester",'Offshore - Sydney'!E701*3,IF('Offshore - Sydney'!D701="Term",'Offshore - Sydney'!E701*4,IF('Offshore - Sydney'!D701="Unit",'Offshore - Sydney'!E701*8,""))))))</f>
        <v>16539</v>
      </c>
      <c r="L1643" s="0" t="n">
        <f aca="false">IF(AND(ISNUMBER('Offshore - Sydney'!E701),ISNUMBER(K1643),ISNUMBER('Offshore - Sydney'!F701),ISNUMBER('Offshore - Sydney'!G701),OR('Offshore - Sydney'!F701&lt;&gt;0,ISNUMBER(SEARCH("Material 0 terverifikasi",'Offshore - Sydney'!N701))),OR('Offshore - Sydney'!G701&lt;&gt;0,ISNUMBER(SEARCH("Enrolment 0 terverifikasi",'Offshore - Sydney'!N701)))),1,0)</f>
        <v>0</v>
      </c>
      <c r="M1643" s="0" t="n">
        <f aca="false">IF(OR('Offshore - Sydney'!E701="",ISNUMBER(SEARCH("BSB80120",'Offshore - Sydney'!B701&amp;'Offshore - Sydney'!N701)),ISNUMBER(SEARCH("Management (Learning)",'Offshore - Sydney'!B701))),2,IF(ISNUMBER(SEARCH("CEK:",'Offshore - Sydney'!N701)),1,0))</f>
        <v>1</v>
      </c>
    </row>
    <row r="1644" customFormat="false" ht="55.2" hidden="false" customHeight="false" outlineLevel="0" collapsed="false">
      <c r="A1644" s="63" t="s">
        <v>3533</v>
      </c>
      <c r="B1644" s="64" t="s">
        <v>4374</v>
      </c>
      <c r="C1644" s="63" t="s">
        <v>46</v>
      </c>
      <c r="D1644" s="64" t="str">
        <f aca="false">TRIM(LEFT('Offshore - Sydney'!A78,FIND(CHAR(10),'Offshore - Sydney'!A78&amp;CHAR(10))-1))</f>
        <v>AIH Higher Education (Australian Institute of Higher Education)</v>
      </c>
      <c r="E1644" s="63" t="str">
        <f aca="false">'Offshore - Sydney'!C83&amp;""</f>
        <v>2 years</v>
      </c>
      <c r="F1644" s="63" t="str">
        <f aca="false">IF('Offshore - Sydney'!D83="","Belum tercatat",'Offshore - Sydney'!D83)</f>
        <v>Unit</v>
      </c>
      <c r="G1644" s="65" t="n">
        <f aca="false">IF('Offshore - Sydney'!E83="","-",'Offshore - Sydney'!E83)</f>
        <v>2280</v>
      </c>
      <c r="H1644" s="63" t="n">
        <f aca="false">IF(ISNUMBER(K1644),COUNTIFS($J$6:$J$1854,J1644,$K$6:$K$1854,"&lt;"&amp;K1644)+1,"-")</f>
        <v>4</v>
      </c>
      <c r="I1644" s="64" t="str">
        <f aca="false">IF('Offshore - Sydney'!E83="","Harga belum tersedia - hubungi konsultan TEG",IF(M1644=2,"Saat ini tidak menerima pendaftaran siswa internasional baru",IF(M1644=1,"Harga perlu dikonfirmasi ke sekolah"&amp;IF("Harga promo s.d. 31/12/2026; Harga dihitung per unit; total tergantung jumlah unit yang diambil; Sudah termasuk beasiswa 15% (syarat berlaku)"="","","; "&amp;"Harga promo s.d. 31/12/2026; Harga dihitung per unit; total tergantung jumlah unit yang diambil; Sudah termasuk beasiswa 15% (syarat berlaku)"),"Harga promo s.d. 31/12/2026; Harga dihitung per unit; total tergantung jumlah unit yang diambil; Sudah termasuk beasiswa 15% (syarat berlaku)")))</f>
        <v>Harga promo s.d. 31/12/2026; Harga dihitung per unit; total tergantung jumlah unit yang diambil; Sudah termasuk beasiswa 15% (syarat berlaku)</v>
      </c>
      <c r="J1644" s="0" t="s">
        <v>4447</v>
      </c>
      <c r="K1644" s="0" t="n">
        <f aca="false">IF(M1644=2,"",IF(ISNUMBER(SEARCH("rata-rata:",'Offshore - Sydney'!N83)),VALUE(MID('Offshore - Sydney'!N83,SEARCH("rata-rata:",'Offshore - Sydney'!N83)+11,FIND(";",'Offshore - Sydney'!N83&amp;";",SEARCH("rata-rata:",'Offshore - Sydney'!N83))-SEARCH("rata-rata:",'Offshore - Sydney'!N83)-11)),IF('Offshore - Sydney'!D83="Semester",'Offshore - Sydney'!E83*2,IF('Offshore - Sydney'!D83="Trimester",'Offshore - Sydney'!E83*3,IF('Offshore - Sydney'!D83="Term",'Offshore - Sydney'!E83*4,IF('Offshore - Sydney'!D83="Unit",'Offshore - Sydney'!E83*8,""))))))</f>
        <v>18240</v>
      </c>
      <c r="L1644" s="0" t="n">
        <f aca="false">IF(AND(ISNUMBER('Offshore - Sydney'!E83),ISNUMBER(K1644),ISNUMBER('Offshore - Sydney'!F83),ISNUMBER('Offshore - Sydney'!G83),OR('Offshore - Sydney'!F83&lt;&gt;0,ISNUMBER(SEARCH("Material 0 terverifikasi",'Offshore - Sydney'!N83))),OR('Offshore - Sydney'!G83&lt;&gt;0,ISNUMBER(SEARCH("Enrolment 0 terverifikasi",'Offshore - Sydney'!N83)))),1,0)</f>
        <v>1</v>
      </c>
      <c r="M1644" s="0" t="n">
        <f aca="false">IF(OR('Offshore - Sydney'!E83="",ISNUMBER(SEARCH("BSB80120",'Offshore - Sydney'!B83&amp;'Offshore - Sydney'!N83)),ISNUMBER(SEARCH("Management (Learning)",'Offshore - Sydney'!B83))),2,IF(ISNUMBER(SEARCH("CEK:",'Offshore - Sydney'!N83)),1,0))</f>
        <v>0</v>
      </c>
    </row>
    <row r="1645" customFormat="false" ht="15" hidden="false" customHeight="false" outlineLevel="0" collapsed="false">
      <c r="A1645" s="63" t="s">
        <v>3533</v>
      </c>
      <c r="B1645" s="64" t="s">
        <v>4374</v>
      </c>
      <c r="C1645" s="63" t="s">
        <v>46</v>
      </c>
      <c r="D1645" s="64" t="str">
        <f aca="false">TRIM(LEFT('Offshore - Sydney'!A40,FIND(CHAR(10),'Offshore - Sydney'!A40&amp;CHAR(10))-1))</f>
        <v>Academies Australasia</v>
      </c>
      <c r="E1645" s="63" t="str">
        <f aca="false">'Offshore - Sydney'!C46&amp;""</f>
        <v>2 years</v>
      </c>
      <c r="F1645" s="63" t="str">
        <f aca="false">IF('Offshore - Sydney'!D46="","Belum tercatat",'Offshore - Sydney'!D46)</f>
        <v>Term</v>
      </c>
      <c r="G1645" s="65" t="n">
        <f aca="false">IF('Offshore - Sydney'!E46="","-",'Offshore - Sydney'!E46)</f>
        <v>5000</v>
      </c>
      <c r="H1645" s="63" t="n">
        <f aca="false">IF(ISNUMBER(K1645),COUNTIFS($J$6:$J$1854,J1645,$K$6:$K$1854,"&lt;"&amp;K1645)+1,"-")</f>
        <v>5</v>
      </c>
      <c r="I1645" s="64" t="str">
        <f aca="false">IF('Offshore - Sydney'!E46="","Harga belum tersedia - hubungi konsultan TEG",IF(M1645=2,"Saat ini tidak menerima pendaftaran siswa internasional baru",IF(M1645=1,"Harga perlu dikonfirmasi ke sekolah"&amp;IF(""="","","; "&amp;""),"")))</f>
        <v/>
      </c>
      <c r="J1645" s="0" t="s">
        <v>4447</v>
      </c>
      <c r="K1645" s="0" t="n">
        <f aca="false">IF(M1645=2,"",IF(ISNUMBER(SEARCH("rata-rata:",'Offshore - Sydney'!N46)),VALUE(MID('Offshore - Sydney'!N46,SEARCH("rata-rata:",'Offshore - Sydney'!N46)+11,FIND(";",'Offshore - Sydney'!N46&amp;";",SEARCH("rata-rata:",'Offshore - Sydney'!N46))-SEARCH("rata-rata:",'Offshore - Sydney'!N46)-11)),IF('Offshore - Sydney'!D46="Semester",'Offshore - Sydney'!E46*2,IF('Offshore - Sydney'!D46="Trimester",'Offshore - Sydney'!E46*3,IF('Offshore - Sydney'!D46="Term",'Offshore - Sydney'!E46*4,IF('Offshore - Sydney'!D46="Unit",'Offshore - Sydney'!E46*8,""))))))</f>
        <v>20000</v>
      </c>
      <c r="L1645" s="0" t="n">
        <f aca="false">IF(AND(ISNUMBER('Offshore - Sydney'!E46),ISNUMBER(K1645),ISNUMBER('Offshore - Sydney'!F46),ISNUMBER('Offshore - Sydney'!G46),OR('Offshore - Sydney'!F46&lt;&gt;0,ISNUMBER(SEARCH("Material 0 terverifikasi",'Offshore - Sydney'!N46))),OR('Offshore - Sydney'!G46&lt;&gt;0,ISNUMBER(SEARCH("Enrolment 0 terverifikasi",'Offshore - Sydney'!N46)))),1,0)</f>
        <v>1</v>
      </c>
      <c r="M1645" s="0" t="n">
        <f aca="false">IF(OR('Offshore - Sydney'!E46="",ISNUMBER(SEARCH("BSB80120",'Offshore - Sydney'!B46&amp;'Offshore - Sydney'!N46)),ISNUMBER(SEARCH("Management (Learning)",'Offshore - Sydney'!B46))),2,IF(ISNUMBER(SEARCH("CEK:",'Offshore - Sydney'!N46)),1,0))</f>
        <v>0</v>
      </c>
    </row>
    <row r="1646" customFormat="false" ht="15" hidden="false" customHeight="false" outlineLevel="0" collapsed="false">
      <c r="A1646" s="63" t="s">
        <v>3533</v>
      </c>
      <c r="B1646" s="64" t="s">
        <v>4374</v>
      </c>
      <c r="C1646" s="63" t="s">
        <v>46</v>
      </c>
      <c r="D1646" s="64" t="str">
        <f aca="false">TRIM(LEFT('Offshore - Sydney'!A686,FIND(CHAR(10),'Offshore - Sydney'!A686&amp;CHAR(10))-1))</f>
        <v>Skyline Higher Education Australia (SHEA)</v>
      </c>
      <c r="E1646" s="63" t="str">
        <f aca="false">'Offshore - Sydney'!C689&amp;""</f>
        <v>2 years</v>
      </c>
      <c r="F1646" s="63" t="str">
        <f aca="false">IF('Offshore - Sydney'!D689="","Belum tercatat",'Offshore - Sydney'!D689)</f>
        <v>Term</v>
      </c>
      <c r="G1646" s="65" t="n">
        <f aca="false">IF('Offshore - Sydney'!E689="","-",'Offshore - Sydney'!E689)</f>
        <v>5400</v>
      </c>
      <c r="H1646" s="63" t="n">
        <f aca="false">IF(ISNUMBER(K1646),COUNTIFS($J$6:$J$1854,J1646,$K$6:$K$1854,"&lt;"&amp;K1646)+1,"-")</f>
        <v>6</v>
      </c>
      <c r="I1646" s="64" t="str">
        <f aca="false">IF('Offshore - Sydney'!E689="","Harga belum tersedia - hubungi konsultan TEG",IF(M1646=2,"Saat ini tidak menerima pendaftaran siswa internasional baru",IF(M1646=1,"Harga perlu dikonfirmasi ke sekolah"&amp;IF(""="","","; "&amp;""),"")))</f>
        <v>Harga perlu dikonfirmasi ke sekolah</v>
      </c>
      <c r="J1646" s="0" t="s">
        <v>4447</v>
      </c>
      <c r="K1646" s="0" t="n">
        <f aca="false">IF(M1646=2,"",IF(ISNUMBER(SEARCH("rata-rata:",'Offshore - Sydney'!N689)),VALUE(MID('Offshore - Sydney'!N689,SEARCH("rata-rata:",'Offshore - Sydney'!N689)+11,FIND(";",'Offshore - Sydney'!N689&amp;";",SEARCH("rata-rata:",'Offshore - Sydney'!N689))-SEARCH("rata-rata:",'Offshore - Sydney'!N689)-11)),IF('Offshore - Sydney'!D689="Semester",'Offshore - Sydney'!E689*2,IF('Offshore - Sydney'!D689="Trimester",'Offshore - Sydney'!E689*3,IF('Offshore - Sydney'!D689="Term",'Offshore - Sydney'!E689*4,IF('Offshore - Sydney'!D689="Unit",'Offshore - Sydney'!E689*8,""))))))</f>
        <v>21600</v>
      </c>
      <c r="L1646" s="0" t="n">
        <f aca="false">IF(AND(ISNUMBER('Offshore - Sydney'!E689),ISNUMBER(K1646),ISNUMBER('Offshore - Sydney'!F689),ISNUMBER('Offshore - Sydney'!G689),OR('Offshore - Sydney'!F689&lt;&gt;0,ISNUMBER(SEARCH("Material 0 terverifikasi",'Offshore - Sydney'!N689))),OR('Offshore - Sydney'!G689&lt;&gt;0,ISNUMBER(SEARCH("Enrolment 0 terverifikasi",'Offshore - Sydney'!N689)))),1,0)</f>
        <v>1</v>
      </c>
      <c r="M1646" s="0" t="n">
        <f aca="false">IF(OR('Offshore - Sydney'!E689="",ISNUMBER(SEARCH("BSB80120",'Offshore - Sydney'!B689&amp;'Offshore - Sydney'!N689)),ISNUMBER(SEARCH("Management (Learning)",'Offshore - Sydney'!B689))),2,IF(ISNUMBER(SEARCH("CEK:",'Offshore - Sydney'!N689)),1,0))</f>
        <v>1</v>
      </c>
    </row>
    <row r="1647" customFormat="false" ht="28.35" hidden="false" customHeight="false" outlineLevel="0" collapsed="false">
      <c r="A1647" s="63" t="s">
        <v>3533</v>
      </c>
      <c r="B1647" s="64" t="s">
        <v>4374</v>
      </c>
      <c r="C1647" s="63" t="s">
        <v>46</v>
      </c>
      <c r="D1647" s="64" t="str">
        <f aca="false">TRIM(LEFT('Offshore - Sydney'!A590,FIND(CHAR(10),'Offshore - Sydney'!A590&amp;CHAR(10))-1))</f>
        <v>National Academy of Professional Studies (NAPS)</v>
      </c>
      <c r="E1647" s="63" t="str">
        <f aca="false">'Offshore - Sydney'!C591&amp;""</f>
        <v>2 years</v>
      </c>
      <c r="F1647" s="63" t="str">
        <f aca="false">IF('Offshore - Sydney'!D591="","Belum tercatat",'Offshore - Sydney'!D591)</f>
        <v>Term</v>
      </c>
      <c r="G1647" s="65" t="n">
        <f aca="false">IF('Offshore - Sydney'!E591="","-",'Offshore - Sydney'!E591)</f>
        <v>5500</v>
      </c>
      <c r="H1647" s="63" t="n">
        <f aca="false">IF(ISNUMBER(K1647),COUNTIFS($J$6:$J$1854,J1647,$K$6:$K$1854,"&lt;"&amp;K1647)+1,"-")</f>
        <v>7</v>
      </c>
      <c r="I1647" s="64" t="str">
        <f aca="false">IF('Offshore - Sydney'!E591="","Harga belum tersedia - hubungi konsultan TEG",IF(M1647=2,"Saat ini tidak menerima pendaftaran siswa internasional baru",IF(M1647=1,"Harga perlu dikonfirmasi ke sekolah"&amp;IF(""="","","; "&amp;""),"")))</f>
        <v>Harga perlu dikonfirmasi ke sekolah</v>
      </c>
      <c r="J1647" s="0" t="s">
        <v>4447</v>
      </c>
      <c r="K1647" s="0" t="n">
        <f aca="false">IF(M1647=2,"",IF(ISNUMBER(SEARCH("rata-rata:",'Offshore - Sydney'!N591)),VALUE(MID('Offshore - Sydney'!N591,SEARCH("rata-rata:",'Offshore - Sydney'!N591)+11,FIND(";",'Offshore - Sydney'!N591&amp;";",SEARCH("rata-rata:",'Offshore - Sydney'!N591))-SEARCH("rata-rata:",'Offshore - Sydney'!N591)-11)),IF('Offshore - Sydney'!D591="Semester",'Offshore - Sydney'!E591*2,IF('Offshore - Sydney'!D591="Trimester",'Offshore - Sydney'!E591*3,IF('Offshore - Sydney'!D591="Term",'Offshore - Sydney'!E591*4,IF('Offshore - Sydney'!D591="Unit",'Offshore - Sydney'!E591*8,""))))))</f>
        <v>22000</v>
      </c>
      <c r="L1647" s="0" t="n">
        <f aca="false">IF(AND(ISNUMBER('Offshore - Sydney'!E591),ISNUMBER(K1647),ISNUMBER('Offshore - Sydney'!F591),ISNUMBER('Offshore - Sydney'!G591),OR('Offshore - Sydney'!F591&lt;&gt;0,ISNUMBER(SEARCH("Material 0 terverifikasi",'Offshore - Sydney'!N591))),OR('Offshore - Sydney'!G591&lt;&gt;0,ISNUMBER(SEARCH("Enrolment 0 terverifikasi",'Offshore - Sydney'!N591)))),1,0)</f>
        <v>1</v>
      </c>
      <c r="M1647" s="0" t="n">
        <f aca="false">IF(OR('Offshore - Sydney'!E591="",ISNUMBER(SEARCH("BSB80120",'Offshore - Sydney'!B591&amp;'Offshore - Sydney'!N591)),ISNUMBER(SEARCH("Management (Learning)",'Offshore - Sydney'!B591))),2,IF(ISNUMBER(SEARCH("CEK:",'Offshore - Sydney'!N591)),1,0))</f>
        <v>1</v>
      </c>
    </row>
    <row r="1648" customFormat="false" ht="15" hidden="false" customHeight="false" outlineLevel="0" collapsed="false">
      <c r="A1648" s="63" t="s">
        <v>3533</v>
      </c>
      <c r="B1648" s="64" t="s">
        <v>4374</v>
      </c>
      <c r="C1648" s="63" t="s">
        <v>46</v>
      </c>
      <c r="D1648" s="64" t="str">
        <f aca="false">TRIM(LEFT('Offshore - Sydney'!A791,FIND(CHAR(10),'Offshore - Sydney'!A791&amp;CHAR(10))-1))</f>
        <v>The Institute of International Studies (TIIS)</v>
      </c>
      <c r="E1648" s="63" t="str">
        <f aca="false">'Offshore - Sydney'!C794&amp;""</f>
        <v>2 years</v>
      </c>
      <c r="F1648" s="63" t="str">
        <f aca="false">IF('Offshore - Sydney'!D794="","Belum tercatat",'Offshore - Sydney'!D794)</f>
        <v>Term</v>
      </c>
      <c r="G1648" s="65" t="n">
        <f aca="false">IF('Offshore - Sydney'!E794="","-",'Offshore - Sydney'!E794)</f>
        <v>5500</v>
      </c>
      <c r="H1648" s="63" t="n">
        <f aca="false">IF(ISNUMBER(K1648),COUNTIFS($J$6:$J$1854,J1648,$K$6:$K$1854,"&lt;"&amp;K1648)+1,"-")</f>
        <v>7</v>
      </c>
      <c r="I1648" s="64" t="str">
        <f aca="false">IF('Offshore - Sydney'!E794="","Harga belum tersedia - hubungi konsultan TEG",IF(M1648=2,"Saat ini tidak menerima pendaftaran siswa internasional baru",IF(M1648=1,"Harga perlu dikonfirmasi ke sekolah"&amp;IF(""="","","; "&amp;""),"")))</f>
        <v/>
      </c>
      <c r="J1648" s="0" t="s">
        <v>4447</v>
      </c>
      <c r="K1648" s="0" t="n">
        <f aca="false">IF(M1648=2,"",IF(ISNUMBER(SEARCH("rata-rata:",'Offshore - Sydney'!N794)),VALUE(MID('Offshore - Sydney'!N794,SEARCH("rata-rata:",'Offshore - Sydney'!N794)+11,FIND(";",'Offshore - Sydney'!N794&amp;";",SEARCH("rata-rata:",'Offshore - Sydney'!N794))-SEARCH("rata-rata:",'Offshore - Sydney'!N794)-11)),IF('Offshore - Sydney'!D794="Semester",'Offshore - Sydney'!E794*2,IF('Offshore - Sydney'!D794="Trimester",'Offshore - Sydney'!E794*3,IF('Offshore - Sydney'!D794="Term",'Offshore - Sydney'!E794*4,IF('Offshore - Sydney'!D794="Unit",'Offshore - Sydney'!E794*8,""))))))</f>
        <v>22000</v>
      </c>
      <c r="L1648" s="0" t="n">
        <f aca="false">IF(AND(ISNUMBER('Offshore - Sydney'!E794),ISNUMBER(K1648),ISNUMBER('Offshore - Sydney'!F794),ISNUMBER('Offshore - Sydney'!G794),OR('Offshore - Sydney'!F794&lt;&gt;0,ISNUMBER(SEARCH("Material 0 terverifikasi",'Offshore - Sydney'!N794))),OR('Offshore - Sydney'!G794&lt;&gt;0,ISNUMBER(SEARCH("Enrolment 0 terverifikasi",'Offshore - Sydney'!N794)))),1,0)</f>
        <v>0</v>
      </c>
      <c r="M1648" s="0" t="n">
        <f aca="false">IF(OR('Offshore - Sydney'!E794="",ISNUMBER(SEARCH("BSB80120",'Offshore - Sydney'!B794&amp;'Offshore - Sydney'!N794)),ISNUMBER(SEARCH("Management (Learning)",'Offshore - Sydney'!B794))),2,IF(ISNUMBER(SEARCH("CEK:",'Offshore - Sydney'!N794)),1,0))</f>
        <v>0</v>
      </c>
    </row>
    <row r="1649" customFormat="false" ht="15" hidden="false" customHeight="false" outlineLevel="0" collapsed="false">
      <c r="A1649" s="63" t="s">
        <v>3533</v>
      </c>
      <c r="B1649" s="64" t="s">
        <v>4374</v>
      </c>
      <c r="C1649" s="63" t="s">
        <v>46</v>
      </c>
      <c r="D1649" s="64" t="str">
        <f aca="false">TRIM(LEFT('Offshore - Sydney'!A131,FIND(CHAR(10),'Offshore - Sydney'!A131&amp;CHAR(10))-1))</f>
        <v>Asia Pacific International College (APIC)</v>
      </c>
      <c r="E1649" s="63" t="str">
        <f aca="false">'Offshore - Sydney'!C140&amp;""</f>
        <v>2 years</v>
      </c>
      <c r="F1649" s="63" t="str">
        <f aca="false">IF('Offshore - Sydney'!D140="","Belum tercatat",'Offshore - Sydney'!D140)</f>
        <v>Trimester</v>
      </c>
      <c r="G1649" s="65" t="n">
        <f aca="false">IF('Offshore - Sydney'!E140="","-",'Offshore - Sydney'!E140)</f>
        <v>7800</v>
      </c>
      <c r="H1649" s="63" t="n">
        <f aca="false">IF(ISNUMBER(K1649),COUNTIFS($J$6:$J$1854,J1649,$K$6:$K$1854,"&lt;"&amp;K1649)+1,"-")</f>
        <v>9</v>
      </c>
      <c r="I1649" s="64" t="str">
        <f aca="false">IF('Offshore - Sydney'!E140="","Harga belum tersedia - hubungi konsultan TEG",IF(M1649=2,"Saat ini tidak menerima pendaftaran siswa internasional baru",IF(M1649=1,"Harga perlu dikonfirmasi ke sekolah"&amp;IF("Harga promo s.d. 31/12/2026"="","","; "&amp;"Harga promo s.d. 31/12/2026"),"Harga promo s.d. 31/12/2026")))</f>
        <v>Harga promo s.d. 31/12/2026</v>
      </c>
      <c r="J1649" s="0" t="s">
        <v>4447</v>
      </c>
      <c r="K1649" s="0" t="n">
        <f aca="false">IF(M1649=2,"",IF(ISNUMBER(SEARCH("rata-rata:",'Offshore - Sydney'!N140)),VALUE(MID('Offshore - Sydney'!N140,SEARCH("rata-rata:",'Offshore - Sydney'!N140)+11,FIND(";",'Offshore - Sydney'!N140&amp;";",SEARCH("rata-rata:",'Offshore - Sydney'!N140))-SEARCH("rata-rata:",'Offshore - Sydney'!N140)-11)),IF('Offshore - Sydney'!D140="Semester",'Offshore - Sydney'!E140*2,IF('Offshore - Sydney'!D140="Trimester",'Offshore - Sydney'!E140*3,IF('Offshore - Sydney'!D140="Term",'Offshore - Sydney'!E140*4,IF('Offshore - Sydney'!D140="Unit",'Offshore - Sydney'!E140*8,""))))))</f>
        <v>23400</v>
      </c>
      <c r="L1649" s="0" t="n">
        <f aca="false">IF(AND(ISNUMBER('Offshore - Sydney'!E140),ISNUMBER(K1649),ISNUMBER('Offshore - Sydney'!F140),ISNUMBER('Offshore - Sydney'!G140),OR('Offshore - Sydney'!F140&lt;&gt;0,ISNUMBER(SEARCH("Material 0 terverifikasi",'Offshore - Sydney'!N140))),OR('Offshore - Sydney'!G140&lt;&gt;0,ISNUMBER(SEARCH("Enrolment 0 terverifikasi",'Offshore - Sydney'!N140)))),1,0)</f>
        <v>0</v>
      </c>
      <c r="M1649" s="0" t="n">
        <f aca="false">IF(OR('Offshore - Sydney'!E140="",ISNUMBER(SEARCH("BSB80120",'Offshore - Sydney'!B140&amp;'Offshore - Sydney'!N140)),ISNUMBER(SEARCH("Management (Learning)",'Offshore - Sydney'!B140))),2,IF(ISNUMBER(SEARCH("CEK:",'Offshore - Sydney'!N140)),1,0))</f>
        <v>0</v>
      </c>
    </row>
    <row r="1650" customFormat="false" ht="15" hidden="false" customHeight="false" outlineLevel="0" collapsed="false">
      <c r="A1650" s="63" t="s">
        <v>3533</v>
      </c>
      <c r="B1650" s="64" t="s">
        <v>4374</v>
      </c>
      <c r="C1650" s="63" t="s">
        <v>46</v>
      </c>
      <c r="D1650" s="64" t="str">
        <f aca="false">TRIM(LEFT('Offshore - Sydney'!A814,FIND(CHAR(10),'Offshore - Sydney'!A814&amp;CHAR(10))-1))</f>
        <v>Torrens University Australia</v>
      </c>
      <c r="E1650" s="63" t="str">
        <f aca="false">'Offshore - Sydney'!C833&amp;""</f>
        <v>1,5 years</v>
      </c>
      <c r="F1650" s="63" t="str">
        <f aca="false">IF('Offshore - Sydney'!D833="","Belum tercatat",'Offshore - Sydney'!D833)</f>
        <v>Term</v>
      </c>
      <c r="G1650" s="65" t="n">
        <f aca="false">IF('Offshore - Sydney'!E833="","-",'Offshore - Sydney'!E833)</f>
        <v>9000</v>
      </c>
      <c r="H1650" s="63" t="n">
        <f aca="false">IF(ISNUMBER(K1650),COUNTIFS($J$6:$J$1854,J1650,$K$6:$K$1854,"&lt;"&amp;K1650)+1,"-")</f>
        <v>10</v>
      </c>
      <c r="I1650" s="64" t="str">
        <f aca="false">IF('Offshore - Sydney'!E833="","Harga belum tersedia - hubungi konsultan TEG",IF(M1650=2,"Saat ini tidak menerima pendaftaran siswa internasional baru",IF(M1650=1,"Harga perlu dikonfirmasi ke sekolah"&amp;IF(""="","","; "&amp;""),"")))</f>
        <v/>
      </c>
      <c r="J1650" s="0" t="s">
        <v>4447</v>
      </c>
      <c r="K1650" s="0" t="n">
        <f aca="false">IF(M1650=2,"",IF(ISNUMBER(SEARCH("rata-rata:",'Offshore - Sydney'!N833)),VALUE(MID('Offshore - Sydney'!N833,SEARCH("rata-rata:",'Offshore - Sydney'!N833)+11,FIND(";",'Offshore - Sydney'!N833&amp;";",SEARCH("rata-rata:",'Offshore - Sydney'!N833))-SEARCH("rata-rata:",'Offshore - Sydney'!N833)-11)),IF('Offshore - Sydney'!D833="Semester",'Offshore - Sydney'!E833*2,IF('Offshore - Sydney'!D833="Trimester",'Offshore - Sydney'!E833*3,IF('Offshore - Sydney'!D833="Term",'Offshore - Sydney'!E833*4,IF('Offshore - Sydney'!D833="Unit",'Offshore - Sydney'!E833*8,""))))))</f>
        <v>36000</v>
      </c>
      <c r="L1650" s="0" t="n">
        <f aca="false">IF(AND(ISNUMBER('Offshore - Sydney'!E833),ISNUMBER(K1650),ISNUMBER('Offshore - Sydney'!F833),ISNUMBER('Offshore - Sydney'!G833),OR('Offshore - Sydney'!F833&lt;&gt;0,ISNUMBER(SEARCH("Material 0 terverifikasi",'Offshore - Sydney'!N833))),OR('Offshore - Sydney'!G833&lt;&gt;0,ISNUMBER(SEARCH("Enrolment 0 terverifikasi",'Offshore - Sydney'!N833)))),1,0)</f>
        <v>0</v>
      </c>
      <c r="M1650" s="0" t="n">
        <f aca="false">IF(OR('Offshore - Sydney'!E833="",ISNUMBER(SEARCH("BSB80120",'Offshore - Sydney'!B833&amp;'Offshore - Sydney'!N833)),ISNUMBER(SEARCH("Management (Learning)",'Offshore - Sydney'!B833))),2,IF(ISNUMBER(SEARCH("CEK:",'Offshore - Sydney'!N833)),1,0))</f>
        <v>0</v>
      </c>
    </row>
    <row r="1651" customFormat="false" ht="15" hidden="false" customHeight="false" outlineLevel="0" collapsed="false">
      <c r="A1651" s="63" t="s">
        <v>3533</v>
      </c>
      <c r="B1651" s="64" t="s">
        <v>4374</v>
      </c>
      <c r="C1651" s="63" t="s">
        <v>46</v>
      </c>
      <c r="D1651" s="64" t="str">
        <f aca="false">TRIM(LEFT('Offshore - Sydney'!A354,FIND(CHAR(10),'Offshore - Sydney'!A354&amp;CHAR(10))-1))</f>
        <v>Charles Darwin University (CDU)</v>
      </c>
      <c r="E1651" s="63" t="str">
        <f aca="false">'Offshore - Sydney'!C364&amp;""</f>
        <v>2 years</v>
      </c>
      <c r="F1651" s="63" t="str">
        <f aca="false">IF('Offshore - Sydney'!D364="","Belum tercatat",'Offshore - Sydney'!D364)</f>
        <v>Term</v>
      </c>
      <c r="G1651" s="65" t="n">
        <f aca="false">IF('Offshore - Sydney'!E364="","-",'Offshore - Sydney'!E364)</f>
        <v>9110</v>
      </c>
      <c r="H1651" s="63" t="n">
        <f aca="false">IF(ISNUMBER(K1651),COUNTIFS($J$6:$J$1854,J1651,$K$6:$K$1854,"&lt;"&amp;K1651)+1,"-")</f>
        <v>11</v>
      </c>
      <c r="I1651" s="64" t="str">
        <f aca="false">IF('Offshore - Sydney'!E364="","Harga belum tersedia - hubungi konsultan TEG",IF(M1651=2,"Saat ini tidak menerima pendaftaran siswa internasional baru",IF(M1651=1,"Harga perlu dikonfirmasi ke sekolah"&amp;IF(""="","","; "&amp;""),"")))</f>
        <v/>
      </c>
      <c r="J1651" s="0" t="s">
        <v>4447</v>
      </c>
      <c r="K1651" s="0" t="n">
        <f aca="false">IF(M1651=2,"",IF(ISNUMBER(SEARCH("rata-rata:",'Offshore - Sydney'!N364)),VALUE(MID('Offshore - Sydney'!N364,SEARCH("rata-rata:",'Offshore - Sydney'!N364)+11,FIND(";",'Offshore - Sydney'!N364&amp;";",SEARCH("rata-rata:",'Offshore - Sydney'!N364))-SEARCH("rata-rata:",'Offshore - Sydney'!N364)-11)),IF('Offshore - Sydney'!D364="Semester",'Offshore - Sydney'!E364*2,IF('Offshore - Sydney'!D364="Trimester",'Offshore - Sydney'!E364*3,IF('Offshore - Sydney'!D364="Term",'Offshore - Sydney'!E364*4,IF('Offshore - Sydney'!D364="Unit",'Offshore - Sydney'!E364*8,""))))))</f>
        <v>36440</v>
      </c>
      <c r="L1651" s="0" t="n">
        <f aca="false">IF(AND(ISNUMBER('Offshore - Sydney'!E364),ISNUMBER(K1651),ISNUMBER('Offshore - Sydney'!F364),ISNUMBER('Offshore - Sydney'!G364),OR('Offshore - Sydney'!F364&lt;&gt;0,ISNUMBER(SEARCH("Material 0 terverifikasi",'Offshore - Sydney'!N364))),OR('Offshore - Sydney'!G364&lt;&gt;0,ISNUMBER(SEARCH("Enrolment 0 terverifikasi",'Offshore - Sydney'!N364)))),1,0)</f>
        <v>0</v>
      </c>
      <c r="M1651" s="0" t="n">
        <f aca="false">IF(OR('Offshore - Sydney'!E364="",ISNUMBER(SEARCH("BSB80120",'Offshore - Sydney'!B364&amp;'Offshore - Sydney'!N364)),ISNUMBER(SEARCH("Management (Learning)",'Offshore - Sydney'!B364))),2,IF(ISNUMBER(SEARCH("CEK:",'Offshore - Sydney'!N364)),1,0))</f>
        <v>0</v>
      </c>
    </row>
    <row r="1652" customFormat="false" ht="15" hidden="false" customHeight="false" outlineLevel="0" collapsed="false">
      <c r="A1652" s="63" t="s">
        <v>3533</v>
      </c>
      <c r="B1652" s="64" t="s">
        <v>4374</v>
      </c>
      <c r="C1652" s="63" t="s">
        <v>46</v>
      </c>
      <c r="D1652" s="64" t="str">
        <f aca="false">TRIM(LEFT('Offshore - Sydney'!A156,FIND(CHAR(10),'Offshore - Sydney'!A156&amp;CHAR(10))-1))</f>
        <v>Australian Catholic University (ACU)</v>
      </c>
      <c r="E1652" s="63" t="str">
        <f aca="false">'Offshore - Sydney'!C183&amp;""</f>
        <v>2 years</v>
      </c>
      <c r="F1652" s="63" t="str">
        <f aca="false">IF('Offshore - Sydney'!D183="","Belum tercatat",'Offshore - Sydney'!D183)</f>
        <v>Term</v>
      </c>
      <c r="G1652" s="65" t="n">
        <f aca="false">IF('Offshore - Sydney'!E183="","-",'Offshore - Sydney'!E183)</f>
        <v>9524</v>
      </c>
      <c r="H1652" s="63" t="n">
        <f aca="false">IF(ISNUMBER(K1652),COUNTIFS($J$6:$J$1854,J1652,$K$6:$K$1854,"&lt;"&amp;K1652)+1,"-")</f>
        <v>12</v>
      </c>
      <c r="I1652" s="64" t="str">
        <f aca="false">IF('Offshore - Sydney'!E183="","Harga belum tersedia - hubungi konsultan TEG",IF(M1652=2,"Saat ini tidak menerima pendaftaran siswa internasional baru",IF(M1652=1,"Harga perlu dikonfirmasi ke sekolah"&amp;IF(""="","","; "&amp;""),"")))</f>
        <v/>
      </c>
      <c r="J1652" s="0" t="s">
        <v>4447</v>
      </c>
      <c r="K1652" s="0" t="n">
        <f aca="false">IF(M1652=2,"",IF(ISNUMBER(SEARCH("rata-rata:",'Offshore - Sydney'!N183)),VALUE(MID('Offshore - Sydney'!N183,SEARCH("rata-rata:",'Offshore - Sydney'!N183)+11,FIND(";",'Offshore - Sydney'!N183&amp;";",SEARCH("rata-rata:",'Offshore - Sydney'!N183))-SEARCH("rata-rata:",'Offshore - Sydney'!N183)-11)),IF('Offshore - Sydney'!D183="Semester",'Offshore - Sydney'!E183*2,IF('Offshore - Sydney'!D183="Trimester",'Offshore - Sydney'!E183*3,IF('Offshore - Sydney'!D183="Term",'Offshore - Sydney'!E183*4,IF('Offshore - Sydney'!D183="Unit",'Offshore - Sydney'!E183*8,""))))))</f>
        <v>38096</v>
      </c>
      <c r="L1652" s="0" t="n">
        <f aca="false">IF(AND(ISNUMBER('Offshore - Sydney'!E183),ISNUMBER(K1652),ISNUMBER('Offshore - Sydney'!F183),ISNUMBER('Offshore - Sydney'!G183),OR('Offshore - Sydney'!F183&lt;&gt;0,ISNUMBER(SEARCH("Material 0 terverifikasi",'Offshore - Sydney'!N183))),OR('Offshore - Sydney'!G183&lt;&gt;0,ISNUMBER(SEARCH("Enrolment 0 terverifikasi",'Offshore - Sydney'!N183)))),1,0)</f>
        <v>0</v>
      </c>
      <c r="M1652" s="0" t="n">
        <f aca="false">IF(OR('Offshore - Sydney'!E183="",ISNUMBER(SEARCH("BSB80120",'Offshore - Sydney'!B183&amp;'Offshore - Sydney'!N183)),ISNUMBER(SEARCH("Management (Learning)",'Offshore - Sydney'!B183))),2,IF(ISNUMBER(SEARCH("CEK:",'Offshore - Sydney'!N183)),1,0))</f>
        <v>0</v>
      </c>
    </row>
    <row r="1653" customFormat="false" ht="15" hidden="false" customHeight="false" outlineLevel="0" collapsed="false">
      <c r="A1653" s="63" t="s">
        <v>3533</v>
      </c>
      <c r="B1653" s="64" t="s">
        <v>4374</v>
      </c>
      <c r="C1653" s="63" t="s">
        <v>46</v>
      </c>
      <c r="D1653" s="64" t="str">
        <f aca="false">TRIM(LEFT('Offshore - Sydney'!A923,FIND(CHAR(10),'Offshore - Sydney'!A923&amp;CHAR(10))-1))</f>
        <v>University of Tasmania (UTAS)</v>
      </c>
      <c r="E1653" s="63" t="str">
        <f aca="false">'Offshore - Sydney'!C927&amp;""</f>
        <v>2 years</v>
      </c>
      <c r="F1653" s="63" t="str">
        <f aca="false">IF('Offshore - Sydney'!D927="","Belum tercatat",'Offshore - Sydney'!D927)</f>
        <v>Term</v>
      </c>
      <c r="G1653" s="65" t="n">
        <f aca="false">IF('Offshore - Sydney'!E927="","-",'Offshore - Sydney'!E927)</f>
        <v>9987.5</v>
      </c>
      <c r="H1653" s="63" t="n">
        <f aca="false">IF(ISNUMBER(K1653),COUNTIFS($J$6:$J$1854,J1653,$K$6:$K$1854,"&lt;"&amp;K1653)+1,"-")</f>
        <v>13</v>
      </c>
      <c r="I1653" s="64" t="str">
        <f aca="false">IF('Offshore - Sydney'!E927="","Harga belum tersedia - hubungi konsultan TEG",IF(M1653=2,"Saat ini tidak menerima pendaftaran siswa internasional baru",IF(M1653=1,"Harga perlu dikonfirmasi ke sekolah"&amp;IF(""="","","; "&amp;""),"")))</f>
        <v/>
      </c>
      <c r="J1653" s="0" t="s">
        <v>4447</v>
      </c>
      <c r="K1653" s="0" t="n">
        <f aca="false">IF(M1653=2,"",IF(ISNUMBER(SEARCH("rata-rata:",'Offshore - Sydney'!N927)),VALUE(MID('Offshore - Sydney'!N927,SEARCH("rata-rata:",'Offshore - Sydney'!N927)+11,FIND(";",'Offshore - Sydney'!N927&amp;";",SEARCH("rata-rata:",'Offshore - Sydney'!N927))-SEARCH("rata-rata:",'Offshore - Sydney'!N927)-11)),IF('Offshore - Sydney'!D927="Semester",'Offshore - Sydney'!E927*2,IF('Offshore - Sydney'!D927="Trimester",'Offshore - Sydney'!E927*3,IF('Offshore - Sydney'!D927="Term",'Offshore - Sydney'!E927*4,IF('Offshore - Sydney'!D927="Unit",'Offshore - Sydney'!E927*8,""))))))</f>
        <v>39950</v>
      </c>
      <c r="L1653" s="0" t="n">
        <f aca="false">IF(AND(ISNUMBER('Offshore - Sydney'!E927),ISNUMBER(K1653),ISNUMBER('Offshore - Sydney'!F927),ISNUMBER('Offshore - Sydney'!G927),OR('Offshore - Sydney'!F927&lt;&gt;0,ISNUMBER(SEARCH("Material 0 terverifikasi",'Offshore - Sydney'!N927))),OR('Offshore - Sydney'!G927&lt;&gt;0,ISNUMBER(SEARCH("Enrolment 0 terverifikasi",'Offshore - Sydney'!N927)))),1,0)</f>
        <v>0</v>
      </c>
      <c r="M1653" s="0" t="n">
        <f aca="false">IF(OR('Offshore - Sydney'!E927="",ISNUMBER(SEARCH("BSB80120",'Offshore - Sydney'!B927&amp;'Offshore - Sydney'!N927)),ISNUMBER(SEARCH("Management (Learning)",'Offshore - Sydney'!B927))),2,IF(ISNUMBER(SEARCH("CEK:",'Offshore - Sydney'!N927)),1,0))</f>
        <v>0</v>
      </c>
    </row>
    <row r="1654" customFormat="false" ht="15" hidden="false" customHeight="false" outlineLevel="0" collapsed="false">
      <c r="A1654" s="63" t="s">
        <v>3533</v>
      </c>
      <c r="B1654" s="64" t="s">
        <v>4374</v>
      </c>
      <c r="C1654" s="63" t="s">
        <v>46</v>
      </c>
      <c r="D1654" s="64" t="str">
        <f aca="false">TRIM(LEFT('Offshore - Sydney'!A497,FIND(CHAR(10),'Offshore - Sydney'!A497&amp;CHAR(10))-1))</f>
        <v>Kaplan Business School</v>
      </c>
      <c r="E1654" s="63" t="str">
        <f aca="false">'Offshore - Sydney'!C505&amp;""</f>
        <v>1,5 years</v>
      </c>
      <c r="F1654" s="63" t="str">
        <f aca="false">IF('Offshore - Sydney'!D505="","Belum tercatat",'Offshore - Sydney'!D505)</f>
        <v>Trimester</v>
      </c>
      <c r="G1654" s="65" t="n">
        <f aca="false">IF('Offshore - Sydney'!E505="","-",'Offshore - Sydney'!E505)</f>
        <v>13600</v>
      </c>
      <c r="H1654" s="63" t="n">
        <f aca="false">IF(ISNUMBER(K1654),COUNTIFS($J$6:$J$1854,J1654,$K$6:$K$1854,"&lt;"&amp;K1654)+1,"-")</f>
        <v>14</v>
      </c>
      <c r="I1654" s="64" t="str">
        <f aca="false">IF('Offshore - Sydney'!E505="","Harga belum tersedia - hubungi konsultan TEG",IF(M1654=2,"Saat ini tidak menerima pendaftaran siswa internasional baru",IF(M1654=1,"Harga perlu dikonfirmasi ke sekolah"&amp;IF(""="","","; "&amp;""),"")))</f>
        <v>Harga perlu dikonfirmasi ke sekolah</v>
      </c>
      <c r="J1654" s="0" t="s">
        <v>4447</v>
      </c>
      <c r="K1654" s="0" t="n">
        <f aca="false">IF(M1654=2,"",IF(ISNUMBER(SEARCH("rata-rata:",'Offshore - Sydney'!N505)),VALUE(MID('Offshore - Sydney'!N505,SEARCH("rata-rata:",'Offshore - Sydney'!N505)+11,FIND(";",'Offshore - Sydney'!N505&amp;";",SEARCH("rata-rata:",'Offshore - Sydney'!N505))-SEARCH("rata-rata:",'Offshore - Sydney'!N505)-11)),IF('Offshore - Sydney'!D505="Semester",'Offshore - Sydney'!E505*2,IF('Offshore - Sydney'!D505="Trimester",'Offshore - Sydney'!E505*3,IF('Offshore - Sydney'!D505="Term",'Offshore - Sydney'!E505*4,IF('Offshore - Sydney'!D505="Unit",'Offshore - Sydney'!E505*8,""))))))</f>
        <v>40800</v>
      </c>
      <c r="L1654" s="0" t="n">
        <f aca="false">IF(AND(ISNUMBER('Offshore - Sydney'!E505),ISNUMBER(K1654),ISNUMBER('Offshore - Sydney'!F505),ISNUMBER('Offshore - Sydney'!G505),OR('Offshore - Sydney'!F505&lt;&gt;0,ISNUMBER(SEARCH("Material 0 terverifikasi",'Offshore - Sydney'!N505))),OR('Offshore - Sydney'!G505&lt;&gt;0,ISNUMBER(SEARCH("Enrolment 0 terverifikasi",'Offshore - Sydney'!N505)))),1,0)</f>
        <v>1</v>
      </c>
      <c r="M1654" s="0" t="n">
        <f aca="false">IF(OR('Offshore - Sydney'!E505="",ISNUMBER(SEARCH("BSB80120",'Offshore - Sydney'!B505&amp;'Offshore - Sydney'!N505)),ISNUMBER(SEARCH("Management (Learning)",'Offshore - Sydney'!B505))),2,IF(ISNUMBER(SEARCH("CEK:",'Offshore - Sydney'!N505)),1,0))</f>
        <v>1</v>
      </c>
    </row>
    <row r="1655" customFormat="false" ht="15" hidden="false" customHeight="false" outlineLevel="0" collapsed="false">
      <c r="A1655" s="63" t="s">
        <v>3533</v>
      </c>
      <c r="B1655" s="64" t="s">
        <v>4374</v>
      </c>
      <c r="C1655" s="63" t="s">
        <v>46</v>
      </c>
      <c r="D1655" s="64" t="str">
        <f aca="false">TRIM(LEFT('Offshore - Sydney'!A982,FIND(CHAR(10),'Offshore - Sydney'!A982&amp;CHAR(10))-1))</f>
        <v>Western Sydney University</v>
      </c>
      <c r="E1655" s="63" t="str">
        <f aca="false">'Offshore - Sydney'!C1090&amp;""</f>
        <v>2,5 years</v>
      </c>
      <c r="F1655" s="63" t="str">
        <f aca="false">IF('Offshore - Sydney'!D1090="","Belum tercatat",'Offshore - Sydney'!D1090)</f>
        <v>Term</v>
      </c>
      <c r="G1655" s="65" t="n">
        <f aca="false">IF('Offshore - Sydney'!E1090="","-",'Offshore - Sydney'!E1090)</f>
        <v>10305</v>
      </c>
      <c r="H1655" s="63" t="n">
        <f aca="false">IF(ISNUMBER(K1655),COUNTIFS($J$6:$J$1854,J1655,$K$6:$K$1854,"&lt;"&amp;K1655)+1,"-")</f>
        <v>15</v>
      </c>
      <c r="I1655" s="64" t="str">
        <f aca="false">IF('Offshore - Sydney'!E1090="","Harga belum tersedia - hubungi konsultan TEG",IF(M1655=2,"Saat ini tidak menerima pendaftaran siswa internasional baru",IF(M1655=1,"Harga perlu dikonfirmasi ke sekolah"&amp;IF(""="","","; "&amp;""),"")))</f>
        <v/>
      </c>
      <c r="J1655" s="0" t="s">
        <v>4447</v>
      </c>
      <c r="K1655" s="0" t="n">
        <f aca="false">IF(M1655=2,"",IF(ISNUMBER(SEARCH("rata-rata:",'Offshore - Sydney'!N1090)),VALUE(MID('Offshore - Sydney'!N1090,SEARCH("rata-rata:",'Offshore - Sydney'!N1090)+11,FIND(";",'Offshore - Sydney'!N1090&amp;";",SEARCH("rata-rata:",'Offshore - Sydney'!N1090))-SEARCH("rata-rata:",'Offshore - Sydney'!N1090)-11)),IF('Offshore - Sydney'!D1090="Semester",'Offshore - Sydney'!E1090*2,IF('Offshore - Sydney'!D1090="Trimester",'Offshore - Sydney'!E1090*3,IF('Offshore - Sydney'!D1090="Term",'Offshore - Sydney'!E1090*4,IF('Offshore - Sydney'!D1090="Unit",'Offshore - Sydney'!E1090*8,""))))))</f>
        <v>41220</v>
      </c>
      <c r="L1655" s="0" t="n">
        <f aca="false">IF(AND(ISNUMBER('Offshore - Sydney'!E1090),ISNUMBER(K1655),ISNUMBER('Offshore - Sydney'!F1090),ISNUMBER('Offshore - Sydney'!G1090),OR('Offshore - Sydney'!F1090&lt;&gt;0,ISNUMBER(SEARCH("Material 0 terverifikasi",'Offshore - Sydney'!N1090))),OR('Offshore - Sydney'!G1090&lt;&gt;0,ISNUMBER(SEARCH("Enrolment 0 terverifikasi",'Offshore - Sydney'!N1090)))),1,0)</f>
        <v>0</v>
      </c>
      <c r="M1655" s="0" t="n">
        <f aca="false">IF(OR('Offshore - Sydney'!E1090="",ISNUMBER(SEARCH("BSB80120",'Offshore - Sydney'!B1090&amp;'Offshore - Sydney'!N1090)),ISNUMBER(SEARCH("Management (Learning)",'Offshore - Sydney'!B1090))),2,IF(ISNUMBER(SEARCH("CEK:",'Offshore - Sydney'!N1090)),1,0))</f>
        <v>0</v>
      </c>
    </row>
    <row r="1656" customFormat="false" ht="15" hidden="false" customHeight="false" outlineLevel="0" collapsed="false">
      <c r="A1656" s="63" t="s">
        <v>3533</v>
      </c>
      <c r="B1656" s="64" t="s">
        <v>4374</v>
      </c>
      <c r="C1656" s="63" t="s">
        <v>46</v>
      </c>
      <c r="D1656" s="64" t="str">
        <f aca="false">TRIM(LEFT('Offshore - Sydney'!A512,FIND(CHAR(10),'Offshore - Sydney'!A512&amp;CHAR(10))-1))</f>
        <v>Kent Institute Australia</v>
      </c>
      <c r="E1656" s="63" t="str">
        <f aca="false">'Offshore - Sydney'!C527&amp;""</f>
        <v>2 years</v>
      </c>
      <c r="F1656" s="63" t="str">
        <f aca="false">IF('Offshore - Sydney'!D527="","Belum tercatat",'Offshore - Sydney'!D527)</f>
        <v>Trimester</v>
      </c>
      <c r="G1656" s="65" t="str">
        <f aca="false">IF('Offshore - Sydney'!E527="","-",'Offshore - Sydney'!E527)</f>
        <v>-</v>
      </c>
      <c r="H1656" s="63" t="str">
        <f aca="false">IF(ISNUMBER(K1656),COUNTIFS($J$6:$J$1854,J1656,$K$6:$K$1854,"&lt;"&amp;K1656)+1,"-")</f>
        <v>-</v>
      </c>
      <c r="I1656" s="64" t="str">
        <f aca="false">IF('Offshore - Sydney'!E527="","Harga belum tersedia - hubungi konsultan TEG",IF(M1656=2,"Saat ini tidak menerima pendaftaran siswa internasional baru",IF(M1656=1,"Harga perlu dikonfirmasi ke sekolah"&amp;IF(""="","","; "&amp;""),"")))</f>
        <v>Harga belum tersedia - hubungi konsultan TEG</v>
      </c>
      <c r="J1656" s="0" t="s">
        <v>4447</v>
      </c>
      <c r="K1656" s="0" t="str">
        <f aca="false">IF(M1656=2,"",IF(ISNUMBER(SEARCH("rata-rata:",'Offshore - Sydney'!N527)),VALUE(MID('Offshore - Sydney'!N527,SEARCH("rata-rata:",'Offshore - Sydney'!N527)+11,FIND(";",'Offshore - Sydney'!N527&amp;";",SEARCH("rata-rata:",'Offshore - Sydney'!N527))-SEARCH("rata-rata:",'Offshore - Sydney'!N527)-11)),IF('Offshore - Sydney'!D527="Semester",'Offshore - Sydney'!E527*2,IF('Offshore - Sydney'!D527="Trimester",'Offshore - Sydney'!E527*3,IF('Offshore - Sydney'!D527="Term",'Offshore - Sydney'!E527*4,IF('Offshore - Sydney'!D527="Unit",'Offshore - Sydney'!E527*8,""))))))</f>
        <v/>
      </c>
      <c r="L1656" s="0" t="n">
        <f aca="false">IF(AND(ISNUMBER('Offshore - Sydney'!E527),ISNUMBER(K1656),ISNUMBER('Offshore - Sydney'!F527),ISNUMBER('Offshore - Sydney'!G527),OR('Offshore - Sydney'!F527&lt;&gt;0,ISNUMBER(SEARCH("Material 0 terverifikasi",'Offshore - Sydney'!N527))),OR('Offshore - Sydney'!G527&lt;&gt;0,ISNUMBER(SEARCH("Enrolment 0 terverifikasi",'Offshore - Sydney'!N527)))),1,0)</f>
        <v>0</v>
      </c>
      <c r="M1656" s="0" t="n">
        <f aca="false">IF(OR('Offshore - Sydney'!E527="",ISNUMBER(SEARCH("BSB80120",'Offshore - Sydney'!B527&amp;'Offshore - Sydney'!N527)),ISNUMBER(SEARCH("Management (Learning)",'Offshore - Sydney'!B527))),2,IF(ISNUMBER(SEARCH("CEK:",'Offshore - Sydney'!N527)),1,0))</f>
        <v>2</v>
      </c>
    </row>
    <row r="1657" customFormat="false" ht="15" hidden="false" customHeight="false" outlineLevel="0" collapsed="false">
      <c r="A1657" s="61" t="s">
        <v>4448</v>
      </c>
      <c r="B1657" s="62"/>
      <c r="C1657" s="62"/>
      <c r="D1657" s="62"/>
      <c r="E1657" s="62"/>
      <c r="F1657" s="62"/>
      <c r="G1657" s="62"/>
      <c r="H1657" s="62"/>
      <c r="I1657" s="62"/>
    </row>
    <row r="1658" customFormat="false" ht="15" hidden="false" customHeight="false" outlineLevel="0" collapsed="false">
      <c r="A1658" s="63" t="s">
        <v>3753</v>
      </c>
      <c r="B1658" s="64" t="s">
        <v>4374</v>
      </c>
      <c r="C1658" s="63" t="s">
        <v>43</v>
      </c>
      <c r="D1658" s="64" t="str">
        <f aca="false">TRIM(LEFT('Offshore - Tasmania Hobart'!A21,FIND(CHAR(10),'Offshore - Tasmania Hobart'!A21&amp;CHAR(10))-1))</f>
        <v>University of Tasmania (UTAS)</v>
      </c>
      <c r="E1658" s="63" t="str">
        <f aca="false">'Offshore - Tasmania Hobart'!C73&amp;""</f>
        <v>3 years</v>
      </c>
      <c r="F1658" s="63" t="str">
        <f aca="false">IF('Offshore - Tasmania Hobart'!D73="","Belum tercatat",'Offshore - Tasmania Hobart'!D73)</f>
        <v>Term</v>
      </c>
      <c r="G1658" s="65" t="n">
        <f aca="false">IF('Offshore - Tasmania Hobart'!E73="","-",'Offshore - Tasmania Hobart'!E73)</f>
        <v>9987.5</v>
      </c>
      <c r="H1658" s="63" t="n">
        <f aca="false">IF(ISNUMBER(K1658),COUNTIFS($J$6:$J$1854,J1658,$K$6:$K$1854,"&lt;"&amp;K1658)+1,"-")</f>
        <v>1</v>
      </c>
      <c r="I1658" s="64" t="str">
        <f aca="false">IF('Offshore - Tasmania Hobart'!E73="","Harga belum tersedia - hubungi konsultan TEG",IF(M1658=2,"Saat ini tidak menerima pendaftaran siswa internasional baru",IF(M1658=1,"Harga perlu dikonfirmasi ke sekolah"&amp;IF(""="","","; "&amp;""),"")))</f>
        <v>Harga perlu dikonfirmasi ke sekolah</v>
      </c>
      <c r="J1658" s="0" t="s">
        <v>4449</v>
      </c>
      <c r="K1658" s="0" t="n">
        <f aca="false">IF(M1658=2,"",IF(ISNUMBER(SEARCH("rata-rata:",'Offshore - Tasmania Hobart'!N73)),VALUE(MID('Offshore - Tasmania Hobart'!N73,SEARCH("rata-rata:",'Offshore - Tasmania Hobart'!N73)+11,FIND(";",'Offshore - Tasmania Hobart'!N73&amp;";",SEARCH("rata-rata:",'Offshore - Tasmania Hobart'!N73))-SEARCH("rata-rata:",'Offshore - Tasmania Hobart'!N73)-11)),IF('Offshore - Tasmania Hobart'!D73="Semester",'Offshore - Tasmania Hobart'!E73*2,IF('Offshore - Tasmania Hobart'!D73="Trimester",'Offshore - Tasmania Hobart'!E73*3,IF('Offshore - Tasmania Hobart'!D73="Term",'Offshore - Tasmania Hobart'!E73*4,IF('Offshore - Tasmania Hobart'!D73="Unit",'Offshore - Tasmania Hobart'!E73*8,""))))))</f>
        <v>39950</v>
      </c>
      <c r="L1658" s="0" t="n">
        <f aca="false">IF(AND(ISNUMBER('Offshore - Tasmania Hobart'!E73),ISNUMBER(K1658),ISNUMBER('Offshore - Tasmania Hobart'!F73),ISNUMBER('Offshore - Tasmania Hobart'!G73),OR('Offshore - Tasmania Hobart'!F73&lt;&gt;0,ISNUMBER(SEARCH("Material 0 terverifikasi",'Offshore - Tasmania Hobart'!N73))),OR('Offshore - Tasmania Hobart'!G73&lt;&gt;0,ISNUMBER(SEARCH("Enrolment 0 terverifikasi",'Offshore - Tasmania Hobart'!N73)))),1,0)</f>
        <v>0</v>
      </c>
      <c r="M1658" s="0" t="n">
        <f aca="false">IF(OR('Offshore - Tasmania Hobart'!E73="",ISNUMBER(SEARCH("BSB80120",'Offshore - Tasmania Hobart'!B73&amp;'Offshore - Tasmania Hobart'!N73)),ISNUMBER(SEARCH("Management (Learning)",'Offshore - Tasmania Hobart'!B73))),2,IF(ISNUMBER(SEARCH("CEK:",'Offshore - Tasmania Hobart'!N73)),1,0))</f>
        <v>1</v>
      </c>
    </row>
    <row r="1659" customFormat="false" ht="15" hidden="false" customHeight="false" outlineLevel="0" collapsed="false">
      <c r="A1659" s="61" t="s">
        <v>4450</v>
      </c>
      <c r="B1659" s="62"/>
      <c r="C1659" s="62"/>
      <c r="D1659" s="62"/>
      <c r="E1659" s="62"/>
      <c r="F1659" s="62"/>
      <c r="G1659" s="62"/>
      <c r="H1659" s="62"/>
      <c r="I1659" s="62"/>
    </row>
    <row r="1660" customFormat="false" ht="15" hidden="false" customHeight="false" outlineLevel="0" collapsed="false">
      <c r="A1660" s="63" t="s">
        <v>3753</v>
      </c>
      <c r="B1660" s="64" t="s">
        <v>4374</v>
      </c>
      <c r="C1660" s="63" t="s">
        <v>46</v>
      </c>
      <c r="D1660" s="64" t="str">
        <f aca="false">TRIM(LEFT('Offshore - Tasmania Hobart'!A21,FIND(CHAR(10),'Offshore - Tasmania Hobart'!A21&amp;CHAR(10))-1))</f>
        <v>University of Tasmania (UTAS)</v>
      </c>
      <c r="E1660" s="63" t="str">
        <f aca="false">'Offshore - Tasmania Hobart'!C80&amp;""</f>
        <v>2 years</v>
      </c>
      <c r="F1660" s="63" t="str">
        <f aca="false">IF('Offshore - Tasmania Hobart'!D80="","Belum tercatat",'Offshore - Tasmania Hobart'!D80)</f>
        <v>Term</v>
      </c>
      <c r="G1660" s="65" t="n">
        <f aca="false">IF('Offshore - Tasmania Hobart'!E80="","-",'Offshore - Tasmania Hobart'!E80)</f>
        <v>10487.5</v>
      </c>
      <c r="H1660" s="63" t="n">
        <f aca="false">IF(ISNUMBER(K1660),COUNTIFS($J$6:$J$1854,J1660,$K$6:$K$1854,"&lt;"&amp;K1660)+1,"-")</f>
        <v>1</v>
      </c>
      <c r="I1660" s="64" t="str">
        <f aca="false">IF('Offshore - Tasmania Hobart'!E80="","Harga belum tersedia - hubungi konsultan TEG",IF(M1660=2,"Saat ini tidak menerima pendaftaran siswa internasional baru",IF(M1660=1,"Harga perlu dikonfirmasi ke sekolah"&amp;IF(""="","","; "&amp;""),"")))</f>
        <v/>
      </c>
      <c r="J1660" s="0" t="s">
        <v>4451</v>
      </c>
      <c r="K1660" s="0" t="n">
        <f aca="false">IF(M1660=2,"",IF(ISNUMBER(SEARCH("rata-rata:",'Offshore - Tasmania Hobart'!N80)),VALUE(MID('Offshore - Tasmania Hobart'!N80,SEARCH("rata-rata:",'Offshore - Tasmania Hobart'!N80)+11,FIND(";",'Offshore - Tasmania Hobart'!N80&amp;";",SEARCH("rata-rata:",'Offshore - Tasmania Hobart'!N80))-SEARCH("rata-rata:",'Offshore - Tasmania Hobart'!N80)-11)),IF('Offshore - Tasmania Hobart'!D80="Semester",'Offshore - Tasmania Hobart'!E80*2,IF('Offshore - Tasmania Hobart'!D80="Trimester",'Offshore - Tasmania Hobart'!E80*3,IF('Offshore - Tasmania Hobart'!D80="Term",'Offshore - Tasmania Hobart'!E80*4,IF('Offshore - Tasmania Hobart'!D80="Unit",'Offshore - Tasmania Hobart'!E80*8,""))))))</f>
        <v>41950</v>
      </c>
      <c r="L1660" s="0" t="n">
        <f aca="false">IF(AND(ISNUMBER('Offshore - Tasmania Hobart'!E80),ISNUMBER(K1660),ISNUMBER('Offshore - Tasmania Hobart'!F80),ISNUMBER('Offshore - Tasmania Hobart'!G80),OR('Offshore - Tasmania Hobart'!F80&lt;&gt;0,ISNUMBER(SEARCH("Material 0 terverifikasi",'Offshore - Tasmania Hobart'!N80))),OR('Offshore - Tasmania Hobart'!G80&lt;&gt;0,ISNUMBER(SEARCH("Enrolment 0 terverifikasi",'Offshore - Tasmania Hobart'!N80)))),1,0)</f>
        <v>0</v>
      </c>
      <c r="M1660" s="0" t="n">
        <f aca="false">IF(OR('Offshore - Tasmania Hobart'!E80="",ISNUMBER(SEARCH("BSB80120",'Offshore - Tasmania Hobart'!B80&amp;'Offshore - Tasmania Hobart'!N80)),ISNUMBER(SEARCH("Management (Learning)",'Offshore - Tasmania Hobart'!B80))),2,IF(ISNUMBER(SEARCH("CEK:",'Offshore - Tasmania Hobart'!N80)),1,0))</f>
        <v>0</v>
      </c>
    </row>
    <row r="1661" customFormat="false" ht="15" hidden="false" customHeight="false" outlineLevel="0" collapsed="false">
      <c r="A1661" s="61" t="s">
        <v>4452</v>
      </c>
      <c r="B1661" s="62"/>
      <c r="C1661" s="62"/>
      <c r="D1661" s="62"/>
      <c r="E1661" s="62"/>
      <c r="F1661" s="62"/>
      <c r="G1661" s="62"/>
      <c r="H1661" s="62"/>
      <c r="I1661" s="62"/>
    </row>
    <row r="1662" customFormat="false" ht="15" hidden="false" customHeight="false" outlineLevel="0" collapsed="false">
      <c r="A1662" s="63" t="s">
        <v>3659</v>
      </c>
      <c r="B1662" s="64" t="s">
        <v>4453</v>
      </c>
      <c r="C1662" s="63" t="s">
        <v>43</v>
      </c>
      <c r="D1662" s="64" t="str">
        <f aca="false">TRIM(LEFT('Offshore - Adelaide'!A13,FIND(CHAR(10),'Offshore - Adelaide'!A13&amp;CHAR(10))-1))</f>
        <v>Adelaide University</v>
      </c>
      <c r="E1662" s="63" t="str">
        <f aca="false">'Offshore - Adelaide'!C163&amp;""</f>
        <v>3 years</v>
      </c>
      <c r="F1662" s="63" t="str">
        <f aca="false">IF('Offshore - Adelaide'!D163="","Belum tercatat",'Offshore - Adelaide'!D163)</f>
        <v>Term</v>
      </c>
      <c r="G1662" s="65" t="n">
        <f aca="false">IF('Offshore - Adelaide'!E163="","-",'Offshore - Adelaide'!E163)</f>
        <v>11275</v>
      </c>
      <c r="H1662" s="63" t="n">
        <f aca="false">IF(ISNUMBER(K1662),COUNTIFS($J$6:$J$1854,J1662,$K$6:$K$1854,"&lt;"&amp;K1662)+1,"-")</f>
        <v>1</v>
      </c>
      <c r="I1662" s="64" t="str">
        <f aca="false">IF('Offshore - Adelaide'!E163="","Harga belum tersedia - hubungi konsultan TEG",IF(M1662=2,"Saat ini tidak menerima pendaftaran siswa internasional baru",IF(M1662=1,"Harga perlu dikonfirmasi ke sekolah"&amp;IF(""="","","; "&amp;""),"")))</f>
        <v/>
      </c>
      <c r="J1662" s="0" t="s">
        <v>4454</v>
      </c>
      <c r="K1662" s="0" t="n">
        <f aca="false">IF(M1662=2,"",IF(ISNUMBER(SEARCH("rata-rata:",'Offshore - Adelaide'!N163)),VALUE(MID('Offshore - Adelaide'!N163,SEARCH("rata-rata:",'Offshore - Adelaide'!N163)+11,FIND(";",'Offshore - Adelaide'!N163&amp;";",SEARCH("rata-rata:",'Offshore - Adelaide'!N163))-SEARCH("rata-rata:",'Offshore - Adelaide'!N163)-11)),IF('Offshore - Adelaide'!D163="Semester",'Offshore - Adelaide'!E163*2,IF('Offshore - Adelaide'!D163="Trimester",'Offshore - Adelaide'!E163*3,IF('Offshore - Adelaide'!D163="Term",'Offshore - Adelaide'!E163*4,IF('Offshore - Adelaide'!D163="Unit",'Offshore - Adelaide'!E163*8,""))))))</f>
        <v>45100</v>
      </c>
      <c r="L1662" s="0" t="n">
        <f aca="false">IF(AND(ISNUMBER('Offshore - Adelaide'!E163),ISNUMBER(K1662),ISNUMBER('Offshore - Adelaide'!F163),ISNUMBER('Offshore - Adelaide'!G163),OR('Offshore - Adelaide'!F163&lt;&gt;0,ISNUMBER(SEARCH("Material 0 terverifikasi",'Offshore - Adelaide'!N163))),OR('Offshore - Adelaide'!G163&lt;&gt;0,ISNUMBER(SEARCH("Enrolment 0 terverifikasi",'Offshore - Adelaide'!N163)))),1,0)</f>
        <v>0</v>
      </c>
      <c r="M1662" s="0" t="n">
        <f aca="false">IF(OR('Offshore - Adelaide'!E163="",ISNUMBER(SEARCH("BSB80120",'Offshore - Adelaide'!B163&amp;'Offshore - Adelaide'!N163)),ISNUMBER(SEARCH("Management (Learning)",'Offshore - Adelaide'!B163))),2,IF(ISNUMBER(SEARCH("CEK:",'Offshore - Adelaide'!N163)),1,0))</f>
        <v>0</v>
      </c>
    </row>
    <row r="1663" customFormat="false" ht="15" hidden="false" customHeight="false" outlineLevel="0" collapsed="false">
      <c r="A1663" s="61" t="s">
        <v>4455</v>
      </c>
      <c r="B1663" s="62"/>
      <c r="C1663" s="62"/>
      <c r="D1663" s="62"/>
      <c r="E1663" s="62"/>
      <c r="F1663" s="62"/>
      <c r="G1663" s="62"/>
      <c r="H1663" s="62"/>
      <c r="I1663" s="62"/>
    </row>
    <row r="1664" customFormat="false" ht="15" hidden="false" customHeight="false" outlineLevel="0" collapsed="false">
      <c r="A1664" s="63" t="s">
        <v>3659</v>
      </c>
      <c r="B1664" s="64" t="s">
        <v>4453</v>
      </c>
      <c r="C1664" s="63" t="s">
        <v>46</v>
      </c>
      <c r="D1664" s="64" t="str">
        <f aca="false">TRIM(LEFT('Offshore - Adelaide'!A13,FIND(CHAR(10),'Offshore - Adelaide'!A13&amp;CHAR(10))-1))</f>
        <v>Adelaide University</v>
      </c>
      <c r="E1664" s="63" t="str">
        <f aca="false">'Offshore - Adelaide'!C346&amp;""</f>
        <v>2 years</v>
      </c>
      <c r="F1664" s="63" t="str">
        <f aca="false">IF('Offshore - Adelaide'!D346="","Belum tercatat",'Offshore - Adelaide'!D346)</f>
        <v>Term</v>
      </c>
      <c r="G1664" s="65" t="n">
        <f aca="false">IF('Offshore - Adelaide'!E346="","-",'Offshore - Adelaide'!E346)</f>
        <v>14275</v>
      </c>
      <c r="H1664" s="63" t="n">
        <f aca="false">IF(ISNUMBER(K1664),COUNTIFS($J$6:$J$1854,J1664,$K$6:$K$1854,"&lt;"&amp;K1664)+1,"-")</f>
        <v>1</v>
      </c>
      <c r="I1664" s="64" t="str">
        <f aca="false">IF('Offshore - Adelaide'!E346="","Harga belum tersedia - hubungi konsultan TEG",IF(M1664=2,"Saat ini tidak menerima pendaftaran siswa internasional baru",IF(M1664=1,"Harga perlu dikonfirmasi ke sekolah"&amp;IF(""="","","; "&amp;""),"")))</f>
        <v/>
      </c>
      <c r="J1664" s="0" t="s">
        <v>4456</v>
      </c>
      <c r="K1664" s="0" t="n">
        <f aca="false">IF(M1664=2,"",IF(ISNUMBER(SEARCH("rata-rata:",'Offshore - Adelaide'!N346)),VALUE(MID('Offshore - Adelaide'!N346,SEARCH("rata-rata:",'Offshore - Adelaide'!N346)+11,FIND(";",'Offshore - Adelaide'!N346&amp;";",SEARCH("rata-rata:",'Offshore - Adelaide'!N346))-SEARCH("rata-rata:",'Offshore - Adelaide'!N346)-11)),IF('Offshore - Adelaide'!D346="Semester",'Offshore - Adelaide'!E346*2,IF('Offshore - Adelaide'!D346="Trimester",'Offshore - Adelaide'!E346*3,IF('Offshore - Adelaide'!D346="Term",'Offshore - Adelaide'!E346*4,IF('Offshore - Adelaide'!D346="Unit",'Offshore - Adelaide'!E346*8,""))))))</f>
        <v>57100</v>
      </c>
      <c r="L1664" s="0" t="n">
        <f aca="false">IF(AND(ISNUMBER('Offshore - Adelaide'!E346),ISNUMBER(K1664),ISNUMBER('Offshore - Adelaide'!F346),ISNUMBER('Offshore - Adelaide'!G346),OR('Offshore - Adelaide'!F346&lt;&gt;0,ISNUMBER(SEARCH("Material 0 terverifikasi",'Offshore - Adelaide'!N346))),OR('Offshore - Adelaide'!G346&lt;&gt;0,ISNUMBER(SEARCH("Enrolment 0 terverifikasi",'Offshore - Adelaide'!N346)))),1,0)</f>
        <v>0</v>
      </c>
      <c r="M1664" s="0" t="n">
        <f aca="false">IF(OR('Offshore - Adelaide'!E346="",ISNUMBER(SEARCH("BSB80120",'Offshore - Adelaide'!B346&amp;'Offshore - Adelaide'!N346)),ISNUMBER(SEARCH("Management (Learning)",'Offshore - Adelaide'!B346))),2,IF(ISNUMBER(SEARCH("CEK:",'Offshore - Adelaide'!N346)),1,0))</f>
        <v>0</v>
      </c>
    </row>
    <row r="1665" customFormat="false" ht="15" hidden="false" customHeight="false" outlineLevel="0" collapsed="false">
      <c r="A1665" s="61" t="s">
        <v>4457</v>
      </c>
      <c r="B1665" s="62"/>
      <c r="C1665" s="62"/>
      <c r="D1665" s="62"/>
      <c r="E1665" s="62"/>
      <c r="F1665" s="62"/>
      <c r="G1665" s="62"/>
      <c r="H1665" s="62"/>
      <c r="I1665" s="62"/>
    </row>
    <row r="1666" customFormat="false" ht="15" hidden="false" customHeight="false" outlineLevel="0" collapsed="false">
      <c r="A1666" s="63" t="s">
        <v>3563</v>
      </c>
      <c r="B1666" s="64" t="s">
        <v>4453</v>
      </c>
      <c r="C1666" s="63" t="s">
        <v>41</v>
      </c>
      <c r="D1666" s="64" t="str">
        <f aca="false">TRIM(LEFT('Offshore - Brisbane'!A53,FIND(CHAR(10),'Offshore - Brisbane'!A53&amp;CHAR(10))-1))</f>
        <v>Australian Catholic University (ACU)</v>
      </c>
      <c r="E1666" s="63" t="str">
        <f aca="false">'Offshore - Brisbane'!C148&amp;""</f>
        <v>1 year</v>
      </c>
      <c r="F1666" s="63" t="str">
        <f aca="false">IF('Offshore - Brisbane'!D148="","Belum tercatat",'Offshore - Brisbane'!D148)</f>
        <v>Term</v>
      </c>
      <c r="G1666" s="65" t="n">
        <f aca="false">IF('Offshore - Brisbane'!E148="","-",'Offshore - Brisbane'!E148)</f>
        <v>8480</v>
      </c>
      <c r="H1666" s="63" t="n">
        <f aca="false">IF(ISNUMBER(K1666),COUNTIFS($J$6:$J$1854,J1666,$K$6:$K$1854,"&lt;"&amp;K1666)+1,"-")</f>
        <v>1</v>
      </c>
      <c r="I1666" s="64" t="str">
        <f aca="false">IF('Offshore - Brisbane'!E148="","Harga belum tersedia - hubungi konsultan TEG",IF(M1666=2,"Saat ini tidak menerima pendaftaran siswa internasional baru",IF(M1666=1,"Harga perlu dikonfirmasi ke sekolah"&amp;IF(""="","","; "&amp;""),"")))</f>
        <v/>
      </c>
      <c r="J1666" s="0" t="s">
        <v>4458</v>
      </c>
      <c r="K1666" s="0" t="n">
        <f aca="false">IF(M1666=2,"",IF(ISNUMBER(SEARCH("rata-rata:",'Offshore - Brisbane'!N148)),VALUE(MID('Offshore - Brisbane'!N148,SEARCH("rata-rata:",'Offshore - Brisbane'!N148)+11,FIND(";",'Offshore - Brisbane'!N148&amp;";",SEARCH("rata-rata:",'Offshore - Brisbane'!N148))-SEARCH("rata-rata:",'Offshore - Brisbane'!N148)-11)),IF('Offshore - Brisbane'!D148="Semester",'Offshore - Brisbane'!E148*2,IF('Offshore - Brisbane'!D148="Trimester",'Offshore - Brisbane'!E148*3,IF('Offshore - Brisbane'!D148="Term",'Offshore - Brisbane'!E148*4,IF('Offshore - Brisbane'!D148="Unit",'Offshore - Brisbane'!E148*8,""))))))</f>
        <v>33920</v>
      </c>
      <c r="L1666" s="0" t="n">
        <f aca="false">IF(AND(ISNUMBER('Offshore - Brisbane'!E148),ISNUMBER(K1666),ISNUMBER('Offshore - Brisbane'!F148),ISNUMBER('Offshore - Brisbane'!G148),OR('Offshore - Brisbane'!F148&lt;&gt;0,ISNUMBER(SEARCH("Material 0 terverifikasi",'Offshore - Brisbane'!N148))),OR('Offshore - Brisbane'!G148&lt;&gt;0,ISNUMBER(SEARCH("Enrolment 0 terverifikasi",'Offshore - Brisbane'!N148)))),1,0)</f>
        <v>0</v>
      </c>
      <c r="M1666" s="0" t="n">
        <f aca="false">IF(OR('Offshore - Brisbane'!E148="",ISNUMBER(SEARCH("BSB80120",'Offshore - Brisbane'!B148&amp;'Offshore - Brisbane'!N148)),ISNUMBER(SEARCH("Management (Learning)",'Offshore - Brisbane'!B148))),2,IF(ISNUMBER(SEARCH("CEK:",'Offshore - Brisbane'!N148)),1,0))</f>
        <v>0</v>
      </c>
    </row>
    <row r="1667" customFormat="false" ht="15" hidden="false" customHeight="false" outlineLevel="0" collapsed="false">
      <c r="A1667" s="61" t="s">
        <v>4459</v>
      </c>
      <c r="B1667" s="62"/>
      <c r="C1667" s="62"/>
      <c r="D1667" s="62"/>
      <c r="E1667" s="62"/>
      <c r="F1667" s="62"/>
      <c r="G1667" s="62"/>
      <c r="H1667" s="62"/>
      <c r="I1667" s="62"/>
    </row>
    <row r="1668" customFormat="false" ht="15" hidden="false" customHeight="false" outlineLevel="0" collapsed="false">
      <c r="A1668" s="63" t="s">
        <v>3563</v>
      </c>
      <c r="B1668" s="64" t="s">
        <v>4453</v>
      </c>
      <c r="C1668" s="63" t="s">
        <v>43</v>
      </c>
      <c r="D1668" s="64" t="str">
        <f aca="false">TRIM(LEFT('Offshore - Brisbane'!A53,FIND(CHAR(10),'Offshore - Brisbane'!A53&amp;CHAR(10))-1))</f>
        <v>Australian Catholic University (ACU)</v>
      </c>
      <c r="E1668" s="63" t="str">
        <f aca="false">'Offshore - Brisbane'!C55&amp;""</f>
        <v>5 years</v>
      </c>
      <c r="F1668" s="63" t="str">
        <f aca="false">IF('Offshore - Brisbane'!D55="","Belum tercatat",'Offshore - Brisbane'!D55)</f>
        <v>Term</v>
      </c>
      <c r="G1668" s="65" t="n">
        <f aca="false">IF('Offshore - Brisbane'!E55="","-",'Offshore - Brisbane'!E55)</f>
        <v>9200</v>
      </c>
      <c r="H1668" s="63" t="n">
        <f aca="false">IF(ISNUMBER(K1668),COUNTIFS($J$6:$J$1854,J1668,$K$6:$K$1854,"&lt;"&amp;K1668)+1,"-")</f>
        <v>1</v>
      </c>
      <c r="I1668" s="64" t="str">
        <f aca="false">IF('Offshore - Brisbane'!E55="","Harga belum tersedia - hubungi konsultan TEG",IF(M1668=2,"Saat ini tidak menerima pendaftaran siswa internasional baru",IF(M1668=1,"Harga perlu dikonfirmasi ke sekolah"&amp;IF(""="","","; "&amp;""),"")))</f>
        <v/>
      </c>
      <c r="J1668" s="0" t="s">
        <v>4460</v>
      </c>
      <c r="K1668" s="0" t="n">
        <f aca="false">IF(M1668=2,"",IF(ISNUMBER(SEARCH("rata-rata:",'Offshore - Brisbane'!N55)),VALUE(MID('Offshore - Brisbane'!N55,SEARCH("rata-rata:",'Offshore - Brisbane'!N55)+11,FIND(";",'Offshore - Brisbane'!N55&amp;";",SEARCH("rata-rata:",'Offshore - Brisbane'!N55))-SEARCH("rata-rata:",'Offshore - Brisbane'!N55)-11)),IF('Offshore - Brisbane'!D55="Semester",'Offshore - Brisbane'!E55*2,IF('Offshore - Brisbane'!D55="Trimester",'Offshore - Brisbane'!E55*3,IF('Offshore - Brisbane'!D55="Term",'Offshore - Brisbane'!E55*4,IF('Offshore - Brisbane'!D55="Unit",'Offshore - Brisbane'!E55*8,""))))))</f>
        <v>36800</v>
      </c>
      <c r="L1668" s="0" t="n">
        <f aca="false">IF(AND(ISNUMBER('Offshore - Brisbane'!E55),ISNUMBER(K1668),ISNUMBER('Offshore - Brisbane'!F55),ISNUMBER('Offshore - Brisbane'!G55),OR('Offshore - Brisbane'!F55&lt;&gt;0,ISNUMBER(SEARCH("Material 0 terverifikasi",'Offshore - Brisbane'!N55))),OR('Offshore - Brisbane'!G55&lt;&gt;0,ISNUMBER(SEARCH("Enrolment 0 terverifikasi",'Offshore - Brisbane'!N55)))),1,0)</f>
        <v>0</v>
      </c>
      <c r="M1668" s="0" t="n">
        <f aca="false">IF(OR('Offshore - Brisbane'!E55="",ISNUMBER(SEARCH("BSB80120",'Offshore - Brisbane'!B55&amp;'Offshore - Brisbane'!N55)),ISNUMBER(SEARCH("Management (Learning)",'Offshore - Brisbane'!B55))),2,IF(ISNUMBER(SEARCH("CEK:",'Offshore - Brisbane'!N55)),1,0))</f>
        <v>0</v>
      </c>
    </row>
    <row r="1669" customFormat="false" ht="15" hidden="false" customHeight="false" outlineLevel="0" collapsed="false">
      <c r="A1669" s="61" t="s">
        <v>4461</v>
      </c>
      <c r="B1669" s="62"/>
      <c r="C1669" s="62"/>
      <c r="D1669" s="62"/>
      <c r="E1669" s="62"/>
      <c r="F1669" s="62"/>
      <c r="G1669" s="62"/>
      <c r="H1669" s="62"/>
      <c r="I1669" s="62"/>
    </row>
    <row r="1670" customFormat="false" ht="15" hidden="false" customHeight="false" outlineLevel="0" collapsed="false">
      <c r="A1670" s="63" t="s">
        <v>3718</v>
      </c>
      <c r="B1670" s="64" t="s">
        <v>4453</v>
      </c>
      <c r="C1670" s="63" t="s">
        <v>41</v>
      </c>
      <c r="D1670" s="64" t="str">
        <f aca="false">TRIM(LEFT('Offshore - Canberra'!A6,FIND(CHAR(10),'Offshore - Canberra'!A6&amp;CHAR(10))-1))</f>
        <v>Australian Catholic University (ACU)</v>
      </c>
      <c r="E1670" s="63" t="str">
        <f aca="false">'Offshore - Canberra'!C101&amp;""</f>
        <v>1 year</v>
      </c>
      <c r="F1670" s="63" t="str">
        <f aca="false">IF('Offshore - Canberra'!D101="","Belum tercatat",'Offshore - Canberra'!D101)</f>
        <v>Term</v>
      </c>
      <c r="G1670" s="65" t="n">
        <f aca="false">IF('Offshore - Canberra'!E101="","-",'Offshore - Canberra'!E101)</f>
        <v>8480</v>
      </c>
      <c r="H1670" s="63" t="n">
        <f aca="false">IF(ISNUMBER(K1670),COUNTIFS($J$6:$J$1854,J1670,$K$6:$K$1854,"&lt;"&amp;K1670)+1,"-")</f>
        <v>1</v>
      </c>
      <c r="I1670" s="64" t="str">
        <f aca="false">IF('Offshore - Canberra'!E101="","Harga belum tersedia - hubungi konsultan TEG",IF(M1670=2,"Saat ini tidak menerima pendaftaran siswa internasional baru",IF(M1670=1,"Harga perlu dikonfirmasi ke sekolah"&amp;IF(""="","","; "&amp;""),"")))</f>
        <v/>
      </c>
      <c r="J1670" s="0" t="s">
        <v>4462</v>
      </c>
      <c r="K1670" s="0" t="n">
        <f aca="false">IF(M1670=2,"",IF(ISNUMBER(SEARCH("rata-rata:",'Offshore - Canberra'!N101)),VALUE(MID('Offshore - Canberra'!N101,SEARCH("rata-rata:",'Offshore - Canberra'!N101)+11,FIND(";",'Offshore - Canberra'!N101&amp;";",SEARCH("rata-rata:",'Offshore - Canberra'!N101))-SEARCH("rata-rata:",'Offshore - Canberra'!N101)-11)),IF('Offshore - Canberra'!D101="Semester",'Offshore - Canberra'!E101*2,IF('Offshore - Canberra'!D101="Trimester",'Offshore - Canberra'!E101*3,IF('Offshore - Canberra'!D101="Term",'Offshore - Canberra'!E101*4,IF('Offshore - Canberra'!D101="Unit",'Offshore - Canberra'!E101*8,""))))))</f>
        <v>33920</v>
      </c>
      <c r="L1670" s="0" t="n">
        <f aca="false">IF(AND(ISNUMBER('Offshore - Canberra'!E101),ISNUMBER(K1670),ISNUMBER('Offshore - Canberra'!F101),ISNUMBER('Offshore - Canberra'!G101),OR('Offshore - Canberra'!F101&lt;&gt;0,ISNUMBER(SEARCH("Material 0 terverifikasi",'Offshore - Canberra'!N101))),OR('Offshore - Canberra'!G101&lt;&gt;0,ISNUMBER(SEARCH("Enrolment 0 terverifikasi",'Offshore - Canberra'!N101)))),1,0)</f>
        <v>0</v>
      </c>
      <c r="M1670" s="0" t="n">
        <f aca="false">IF(OR('Offshore - Canberra'!E101="",ISNUMBER(SEARCH("BSB80120",'Offshore - Canberra'!B101&amp;'Offshore - Canberra'!N101)),ISNUMBER(SEARCH("Management (Learning)",'Offshore - Canberra'!B101))),2,IF(ISNUMBER(SEARCH("CEK:",'Offshore - Canberra'!N101)),1,0))</f>
        <v>0</v>
      </c>
    </row>
    <row r="1671" customFormat="false" ht="15" hidden="false" customHeight="false" outlineLevel="0" collapsed="false">
      <c r="A1671" s="61" t="s">
        <v>4463</v>
      </c>
      <c r="B1671" s="62"/>
      <c r="C1671" s="62"/>
      <c r="D1671" s="62"/>
      <c r="E1671" s="62"/>
      <c r="F1671" s="62"/>
      <c r="G1671" s="62"/>
      <c r="H1671" s="62"/>
      <c r="I1671" s="62"/>
    </row>
    <row r="1672" customFormat="false" ht="15" hidden="false" customHeight="false" outlineLevel="0" collapsed="false">
      <c r="A1672" s="63" t="s">
        <v>3718</v>
      </c>
      <c r="B1672" s="64" t="s">
        <v>4453</v>
      </c>
      <c r="C1672" s="63" t="s">
        <v>43</v>
      </c>
      <c r="D1672" s="64" t="str">
        <f aca="false">TRIM(LEFT('Offshore - Canberra'!A6,FIND(CHAR(10),'Offshore - Canberra'!A6&amp;CHAR(10))-1))</f>
        <v>Australian Catholic University (ACU)</v>
      </c>
      <c r="E1672" s="63" t="str">
        <f aca="false">'Offshore - Canberra'!C8&amp;""</f>
        <v>5 years</v>
      </c>
      <c r="F1672" s="63" t="str">
        <f aca="false">IF('Offshore - Canberra'!D8="","Belum tercatat",'Offshore - Canberra'!D8)</f>
        <v>Term</v>
      </c>
      <c r="G1672" s="65" t="n">
        <f aca="false">IF('Offshore - Canberra'!E8="","-",'Offshore - Canberra'!E8)</f>
        <v>9200</v>
      </c>
      <c r="H1672" s="63" t="n">
        <f aca="false">IF(ISNUMBER(K1672),COUNTIFS($J$6:$J$1854,J1672,$K$6:$K$1854,"&lt;"&amp;K1672)+1,"-")</f>
        <v>1</v>
      </c>
      <c r="I1672" s="64" t="str">
        <f aca="false">IF('Offshore - Canberra'!E8="","Harga belum tersedia - hubungi konsultan TEG",IF(M1672=2,"Saat ini tidak menerima pendaftaran siswa internasional baru",IF(M1672=1,"Harga perlu dikonfirmasi ke sekolah"&amp;IF(""="","","; "&amp;""),"")))</f>
        <v/>
      </c>
      <c r="J1672" s="0" t="s">
        <v>4464</v>
      </c>
      <c r="K1672" s="0" t="n">
        <f aca="false">IF(M1672=2,"",IF(ISNUMBER(SEARCH("rata-rata:",'Offshore - Canberra'!N8)),VALUE(MID('Offshore - Canberra'!N8,SEARCH("rata-rata:",'Offshore - Canberra'!N8)+11,FIND(";",'Offshore - Canberra'!N8&amp;";",SEARCH("rata-rata:",'Offshore - Canberra'!N8))-SEARCH("rata-rata:",'Offshore - Canberra'!N8)-11)),IF('Offshore - Canberra'!D8="Semester",'Offshore - Canberra'!E8*2,IF('Offshore - Canberra'!D8="Trimester",'Offshore - Canberra'!E8*3,IF('Offshore - Canberra'!D8="Term",'Offshore - Canberra'!E8*4,IF('Offshore - Canberra'!D8="Unit",'Offshore - Canberra'!E8*8,""))))))</f>
        <v>36800</v>
      </c>
      <c r="L1672" s="0" t="n">
        <f aca="false">IF(AND(ISNUMBER('Offshore - Canberra'!E8),ISNUMBER(K1672),ISNUMBER('Offshore - Canberra'!F8),ISNUMBER('Offshore - Canberra'!G8),OR('Offshore - Canberra'!F8&lt;&gt;0,ISNUMBER(SEARCH("Material 0 terverifikasi",'Offshore - Canberra'!N8))),OR('Offshore - Canberra'!G8&lt;&gt;0,ISNUMBER(SEARCH("Enrolment 0 terverifikasi",'Offshore - Canberra'!N8)))),1,0)</f>
        <v>0</v>
      </c>
      <c r="M1672" s="0" t="n">
        <f aca="false">IF(OR('Offshore - Canberra'!E8="",ISNUMBER(SEARCH("BSB80120",'Offshore - Canberra'!B8&amp;'Offshore - Canberra'!N8)),ISNUMBER(SEARCH("Management (Learning)",'Offshore - Canberra'!B8))),2,IF(ISNUMBER(SEARCH("CEK:",'Offshore - Canberra'!N8)),1,0))</f>
        <v>0</v>
      </c>
    </row>
    <row r="1673" customFormat="false" ht="15" hidden="false" customHeight="false" outlineLevel="0" collapsed="false">
      <c r="A1673" s="61" t="s">
        <v>4465</v>
      </c>
      <c r="B1673" s="62"/>
      <c r="C1673" s="62"/>
      <c r="D1673" s="62"/>
      <c r="E1673" s="62"/>
      <c r="F1673" s="62"/>
      <c r="G1673" s="62"/>
      <c r="H1673" s="62"/>
      <c r="I1673" s="62"/>
    </row>
    <row r="1674" customFormat="false" ht="15" hidden="false" customHeight="false" outlineLevel="0" collapsed="false">
      <c r="A1674" s="63" t="s">
        <v>3583</v>
      </c>
      <c r="B1674" s="64" t="s">
        <v>4453</v>
      </c>
      <c r="C1674" s="63" t="s">
        <v>41</v>
      </c>
      <c r="D1674" s="64" t="str">
        <f aca="false">TRIM(LEFT('Offshore - Darwin'!A20,FIND(CHAR(10),'Offshore - Darwin'!A20&amp;CHAR(10))-1))</f>
        <v>Charles Darwin University (CDU)</v>
      </c>
      <c r="E1674" s="63" t="str">
        <f aca="false">'Offshore - Darwin'!C34&amp;""</f>
        <v>1 year</v>
      </c>
      <c r="F1674" s="63" t="str">
        <f aca="false">IF('Offshore - Darwin'!D34="","Belum tercatat",'Offshore - Darwin'!D34)</f>
        <v>Term</v>
      </c>
      <c r="G1674" s="65" t="n">
        <f aca="false">IF('Offshore - Darwin'!E34="","-",'Offshore - Darwin'!E34)</f>
        <v>7932</v>
      </c>
      <c r="H1674" s="63" t="n">
        <f aca="false">IF(ISNUMBER(K1674),COUNTIFS($J$6:$J$1854,J1674,$K$6:$K$1854,"&lt;"&amp;K1674)+1,"-")</f>
        <v>1</v>
      </c>
      <c r="I1674" s="64" t="str">
        <f aca="false">IF('Offshore - Darwin'!E34="","Harga belum tersedia - hubungi konsultan TEG",IF(M1674=2,"Saat ini tidak menerima pendaftaran siswa internasional baru",IF(M1674=1,"Harga perlu dikonfirmasi ke sekolah"&amp;IF(""="","","; "&amp;""),"")))</f>
        <v/>
      </c>
      <c r="J1674" s="0" t="s">
        <v>4466</v>
      </c>
      <c r="K1674" s="0" t="n">
        <f aca="false">IF(M1674=2,"",IF(ISNUMBER(SEARCH("rata-rata:",'Offshore - Darwin'!N34)),VALUE(MID('Offshore - Darwin'!N34,SEARCH("rata-rata:",'Offshore - Darwin'!N34)+11,FIND(";",'Offshore - Darwin'!N34&amp;";",SEARCH("rata-rata:",'Offshore - Darwin'!N34))-SEARCH("rata-rata:",'Offshore - Darwin'!N34)-11)),IF('Offshore - Darwin'!D34="Semester",'Offshore - Darwin'!E34*2,IF('Offshore - Darwin'!D34="Trimester",'Offshore - Darwin'!E34*3,IF('Offshore - Darwin'!D34="Term",'Offshore - Darwin'!E34*4,IF('Offshore - Darwin'!D34="Unit",'Offshore - Darwin'!E34*8,""))))))</f>
        <v>31728</v>
      </c>
      <c r="L1674" s="0" t="n">
        <f aca="false">IF(AND(ISNUMBER('Offshore - Darwin'!E34),ISNUMBER(K1674),ISNUMBER('Offshore - Darwin'!F34),ISNUMBER('Offshore - Darwin'!G34),OR('Offshore - Darwin'!F34&lt;&gt;0,ISNUMBER(SEARCH("Material 0 terverifikasi",'Offshore - Darwin'!N34))),OR('Offshore - Darwin'!G34&lt;&gt;0,ISNUMBER(SEARCH("Enrolment 0 terverifikasi",'Offshore - Darwin'!N34)))),1,0)</f>
        <v>0</v>
      </c>
      <c r="M1674" s="0" t="n">
        <f aca="false">IF(OR('Offshore - Darwin'!E34="",ISNUMBER(SEARCH("BSB80120",'Offshore - Darwin'!B34&amp;'Offshore - Darwin'!N34)),ISNUMBER(SEARCH("Management (Learning)",'Offshore - Darwin'!B34))),2,IF(ISNUMBER(SEARCH("CEK:",'Offshore - Darwin'!N34)),1,0))</f>
        <v>0</v>
      </c>
    </row>
    <row r="1675" customFormat="false" ht="15" hidden="false" customHeight="false" outlineLevel="0" collapsed="false">
      <c r="A1675" s="61" t="s">
        <v>4467</v>
      </c>
      <c r="B1675" s="62"/>
      <c r="C1675" s="62"/>
      <c r="D1675" s="62"/>
      <c r="E1675" s="62"/>
      <c r="F1675" s="62"/>
      <c r="G1675" s="62"/>
      <c r="H1675" s="62"/>
      <c r="I1675" s="62"/>
    </row>
    <row r="1676" customFormat="false" ht="15" hidden="false" customHeight="false" outlineLevel="0" collapsed="false">
      <c r="A1676" s="63" t="s">
        <v>3583</v>
      </c>
      <c r="B1676" s="64" t="s">
        <v>4453</v>
      </c>
      <c r="C1676" s="63" t="s">
        <v>42</v>
      </c>
      <c r="D1676" s="64" t="str">
        <f aca="false">TRIM(LEFT('Offshore - Darwin'!A20,FIND(CHAR(10),'Offshore - Darwin'!A20&amp;CHAR(10))-1))</f>
        <v>Charles Darwin University (CDU)</v>
      </c>
      <c r="E1676" s="63" t="str">
        <f aca="false">'Offshore - Darwin'!C29&amp;""</f>
        <v>2 years</v>
      </c>
      <c r="F1676" s="63" t="str">
        <f aca="false">IF('Offshore - Darwin'!D29="","Belum tercatat",'Offshore - Darwin'!D29)</f>
        <v>Term</v>
      </c>
      <c r="G1676" s="65" t="n">
        <f aca="false">IF('Offshore - Darwin'!E29="","-",'Offshore - Darwin'!E29)</f>
        <v>7932</v>
      </c>
      <c r="H1676" s="63" t="n">
        <f aca="false">IF(ISNUMBER(K1676),COUNTIFS($J$6:$J$1854,J1676,$K$6:$K$1854,"&lt;"&amp;K1676)+1,"-")</f>
        <v>1</v>
      </c>
      <c r="I1676" s="64" t="str">
        <f aca="false">IF('Offshore - Darwin'!E29="","Harga belum tersedia - hubungi konsultan TEG",IF(M1676=2,"Saat ini tidak menerima pendaftaran siswa internasional baru",IF(M1676=1,"Harga perlu dikonfirmasi ke sekolah"&amp;IF(""="","","; "&amp;""),"")))</f>
        <v/>
      </c>
      <c r="J1676" s="0" t="s">
        <v>4468</v>
      </c>
      <c r="K1676" s="0" t="n">
        <f aca="false">IF(M1676=2,"",IF(ISNUMBER(SEARCH("rata-rata:",'Offshore - Darwin'!N29)),VALUE(MID('Offshore - Darwin'!N29,SEARCH("rata-rata:",'Offshore - Darwin'!N29)+11,FIND(";",'Offshore - Darwin'!N29&amp;";",SEARCH("rata-rata:",'Offshore - Darwin'!N29))-SEARCH("rata-rata:",'Offshore - Darwin'!N29)-11)),IF('Offshore - Darwin'!D29="Semester",'Offshore - Darwin'!E29*2,IF('Offshore - Darwin'!D29="Trimester",'Offshore - Darwin'!E29*3,IF('Offshore - Darwin'!D29="Term",'Offshore - Darwin'!E29*4,IF('Offshore - Darwin'!D29="Unit",'Offshore - Darwin'!E29*8,""))))))</f>
        <v>31728</v>
      </c>
      <c r="L1676" s="0" t="n">
        <f aca="false">IF(AND(ISNUMBER('Offshore - Darwin'!E29),ISNUMBER(K1676),ISNUMBER('Offshore - Darwin'!F29),ISNUMBER('Offshore - Darwin'!G29),OR('Offshore - Darwin'!F29&lt;&gt;0,ISNUMBER(SEARCH("Material 0 terverifikasi",'Offshore - Darwin'!N29))),OR('Offshore - Darwin'!G29&lt;&gt;0,ISNUMBER(SEARCH("Enrolment 0 terverifikasi",'Offshore - Darwin'!N29)))),1,0)</f>
        <v>0</v>
      </c>
      <c r="M1676" s="0" t="n">
        <f aca="false">IF(OR('Offshore - Darwin'!E29="",ISNUMBER(SEARCH("BSB80120",'Offshore - Darwin'!B29&amp;'Offshore - Darwin'!N29)),ISNUMBER(SEARCH("Management (Learning)",'Offshore - Darwin'!B29))),2,IF(ISNUMBER(SEARCH("CEK:",'Offshore - Darwin'!N29)),1,0))</f>
        <v>0</v>
      </c>
    </row>
    <row r="1677" customFormat="false" ht="15" hidden="false" customHeight="false" outlineLevel="0" collapsed="false">
      <c r="A1677" s="61" t="s">
        <v>4469</v>
      </c>
      <c r="B1677" s="62"/>
      <c r="C1677" s="62"/>
      <c r="D1677" s="62"/>
      <c r="E1677" s="62"/>
      <c r="F1677" s="62"/>
      <c r="G1677" s="62"/>
      <c r="H1677" s="62"/>
      <c r="I1677" s="62"/>
    </row>
    <row r="1678" customFormat="false" ht="15" hidden="false" customHeight="false" outlineLevel="0" collapsed="false">
      <c r="A1678" s="63" t="s">
        <v>3583</v>
      </c>
      <c r="B1678" s="64" t="s">
        <v>4453</v>
      </c>
      <c r="C1678" s="63" t="s">
        <v>43</v>
      </c>
      <c r="D1678" s="64" t="str">
        <f aca="false">TRIM(LEFT('Offshore - Darwin'!A20,FIND(CHAR(10),'Offshore - Darwin'!A20&amp;CHAR(10))-1))</f>
        <v>Charles Darwin University (CDU)</v>
      </c>
      <c r="E1678" s="63" t="str">
        <f aca="false">'Offshore - Darwin'!C33&amp;""</f>
        <v>4 years</v>
      </c>
      <c r="F1678" s="63" t="str">
        <f aca="false">IF('Offshore - Darwin'!D33="","Belum tercatat",'Offshore - Darwin'!D33)</f>
        <v>Term</v>
      </c>
      <c r="G1678" s="65" t="n">
        <f aca="false">IF('Offshore - Darwin'!E33="","-",'Offshore - Darwin'!E33)</f>
        <v>7802</v>
      </c>
      <c r="H1678" s="63" t="n">
        <f aca="false">IF(ISNUMBER(K1678),COUNTIFS($J$6:$J$1854,J1678,$K$6:$K$1854,"&lt;"&amp;K1678)+1,"-")</f>
        <v>1</v>
      </c>
      <c r="I1678" s="64" t="str">
        <f aca="false">IF('Offshore - Darwin'!E33="","Harga belum tersedia - hubungi konsultan TEG",IF(M1678=2,"Saat ini tidak menerima pendaftaran siswa internasional baru",IF(M1678=1,"Harga perlu dikonfirmasi ke sekolah"&amp;IF(""="","","; "&amp;""),"")))</f>
        <v/>
      </c>
      <c r="J1678" s="0" t="s">
        <v>4470</v>
      </c>
      <c r="K1678" s="0" t="n">
        <f aca="false">IF(M1678=2,"",IF(ISNUMBER(SEARCH("rata-rata:",'Offshore - Darwin'!N33)),VALUE(MID('Offshore - Darwin'!N33,SEARCH("rata-rata:",'Offshore - Darwin'!N33)+11,FIND(";",'Offshore - Darwin'!N33&amp;";",SEARCH("rata-rata:",'Offshore - Darwin'!N33))-SEARCH("rata-rata:",'Offshore - Darwin'!N33)-11)),IF('Offshore - Darwin'!D33="Semester",'Offshore - Darwin'!E33*2,IF('Offshore - Darwin'!D33="Trimester",'Offshore - Darwin'!E33*3,IF('Offshore - Darwin'!D33="Term",'Offshore - Darwin'!E33*4,IF('Offshore - Darwin'!D33="Unit",'Offshore - Darwin'!E33*8,""))))))</f>
        <v>31208</v>
      </c>
      <c r="L1678" s="0" t="n">
        <f aca="false">IF(AND(ISNUMBER('Offshore - Darwin'!E33),ISNUMBER(K1678),ISNUMBER('Offshore - Darwin'!F33),ISNUMBER('Offshore - Darwin'!G33),OR('Offshore - Darwin'!F33&lt;&gt;0,ISNUMBER(SEARCH("Material 0 terverifikasi",'Offshore - Darwin'!N33))),OR('Offshore - Darwin'!G33&lt;&gt;0,ISNUMBER(SEARCH("Enrolment 0 terverifikasi",'Offshore - Darwin'!N33)))),1,0)</f>
        <v>0</v>
      </c>
      <c r="M1678" s="0" t="n">
        <f aca="false">IF(OR('Offshore - Darwin'!E33="",ISNUMBER(SEARCH("BSB80120",'Offshore - Darwin'!B33&amp;'Offshore - Darwin'!N33)),ISNUMBER(SEARCH("Management (Learning)",'Offshore - Darwin'!B33))),2,IF(ISNUMBER(SEARCH("CEK:",'Offshore - Darwin'!N33)),1,0))</f>
        <v>0</v>
      </c>
    </row>
    <row r="1679" customFormat="false" ht="15" hidden="false" customHeight="false" outlineLevel="0" collapsed="false">
      <c r="A1679" s="61" t="s">
        <v>4471</v>
      </c>
      <c r="B1679" s="62"/>
      <c r="C1679" s="62"/>
      <c r="D1679" s="62"/>
      <c r="E1679" s="62"/>
      <c r="F1679" s="62"/>
      <c r="G1679" s="62"/>
      <c r="H1679" s="62"/>
      <c r="I1679" s="62"/>
    </row>
    <row r="1680" customFormat="false" ht="15" hidden="false" customHeight="false" outlineLevel="0" collapsed="false">
      <c r="A1680" s="63" t="s">
        <v>3544</v>
      </c>
      <c r="B1680" s="64" t="s">
        <v>4453</v>
      </c>
      <c r="C1680" s="63" t="s">
        <v>41</v>
      </c>
      <c r="D1680" s="64" t="str">
        <f aca="false">TRIM(LEFT('Offshore - Melbourne'!A95,FIND(CHAR(10),'Offshore - Melbourne'!A95&amp;CHAR(10))-1))</f>
        <v>Australian Catholic University (ACU)</v>
      </c>
      <c r="E1680" s="63" t="str">
        <f aca="false">'Offshore - Melbourne'!C190&amp;""</f>
        <v>1 year</v>
      </c>
      <c r="F1680" s="63" t="str">
        <f aca="false">IF('Offshore - Melbourne'!D190="","Belum tercatat",'Offshore - Melbourne'!D190)</f>
        <v>Term</v>
      </c>
      <c r="G1680" s="65" t="n">
        <f aca="false">IF('Offshore - Melbourne'!E190="","-",'Offshore - Melbourne'!E190)</f>
        <v>8480</v>
      </c>
      <c r="H1680" s="63" t="n">
        <f aca="false">IF(ISNUMBER(K1680),COUNTIFS($J$6:$J$1854,J1680,$K$6:$K$1854,"&lt;"&amp;K1680)+1,"-")</f>
        <v>1</v>
      </c>
      <c r="I1680" s="64" t="str">
        <f aca="false">IF('Offshore - Melbourne'!E190="","Harga belum tersedia - hubungi konsultan TEG",IF(M1680=2,"Saat ini tidak menerima pendaftaran siswa internasional baru",IF(M1680=1,"Harga perlu dikonfirmasi ke sekolah"&amp;IF(""="","","; "&amp;""),"")))</f>
        <v/>
      </c>
      <c r="J1680" s="0" t="s">
        <v>4472</v>
      </c>
      <c r="K1680" s="0" t="n">
        <f aca="false">IF(M1680=2,"",IF(ISNUMBER(SEARCH("rata-rata:",'Offshore - Melbourne'!N190)),VALUE(MID('Offshore - Melbourne'!N190,SEARCH("rata-rata:",'Offshore - Melbourne'!N190)+11,FIND(";",'Offshore - Melbourne'!N190&amp;";",SEARCH("rata-rata:",'Offshore - Melbourne'!N190))-SEARCH("rata-rata:",'Offshore - Melbourne'!N190)-11)),IF('Offshore - Melbourne'!D190="Semester",'Offshore - Melbourne'!E190*2,IF('Offshore - Melbourne'!D190="Trimester",'Offshore - Melbourne'!E190*3,IF('Offshore - Melbourne'!D190="Term",'Offshore - Melbourne'!E190*4,IF('Offshore - Melbourne'!D190="Unit",'Offshore - Melbourne'!E190*8,""))))))</f>
        <v>33920</v>
      </c>
      <c r="L1680" s="0" t="n">
        <f aca="false">IF(AND(ISNUMBER('Offshore - Melbourne'!E190),ISNUMBER(K1680),ISNUMBER('Offshore - Melbourne'!F190),ISNUMBER('Offshore - Melbourne'!G190),OR('Offshore - Melbourne'!F190&lt;&gt;0,ISNUMBER(SEARCH("Material 0 terverifikasi",'Offshore - Melbourne'!N190))),OR('Offshore - Melbourne'!G190&lt;&gt;0,ISNUMBER(SEARCH("Enrolment 0 terverifikasi",'Offshore - Melbourne'!N190)))),1,0)</f>
        <v>0</v>
      </c>
      <c r="M1680" s="0" t="n">
        <f aca="false">IF(OR('Offshore - Melbourne'!E190="",ISNUMBER(SEARCH("BSB80120",'Offshore - Melbourne'!B190&amp;'Offshore - Melbourne'!N190)),ISNUMBER(SEARCH("Management (Learning)",'Offshore - Melbourne'!B190))),2,IF(ISNUMBER(SEARCH("CEK:",'Offshore - Melbourne'!N190)),1,0))</f>
        <v>0</v>
      </c>
    </row>
    <row r="1681" customFormat="false" ht="15" hidden="false" customHeight="false" outlineLevel="0" collapsed="false">
      <c r="A1681" s="61" t="s">
        <v>4473</v>
      </c>
      <c r="B1681" s="62"/>
      <c r="C1681" s="62"/>
      <c r="D1681" s="62"/>
      <c r="E1681" s="62"/>
      <c r="F1681" s="62"/>
      <c r="G1681" s="62"/>
      <c r="H1681" s="62"/>
      <c r="I1681" s="62"/>
    </row>
    <row r="1682" customFormat="false" ht="15" hidden="false" customHeight="false" outlineLevel="0" collapsed="false">
      <c r="A1682" s="63" t="s">
        <v>3544</v>
      </c>
      <c r="B1682" s="64" t="s">
        <v>4453</v>
      </c>
      <c r="C1682" s="63" t="s">
        <v>43</v>
      </c>
      <c r="D1682" s="64" t="str">
        <f aca="false">TRIM(LEFT('Offshore - Melbourne'!A95,FIND(CHAR(10),'Offshore - Melbourne'!A95&amp;CHAR(10))-1))</f>
        <v>Australian Catholic University (ACU)</v>
      </c>
      <c r="E1682" s="63" t="str">
        <f aca="false">'Offshore - Melbourne'!C97&amp;""</f>
        <v>5 years</v>
      </c>
      <c r="F1682" s="63" t="str">
        <f aca="false">IF('Offshore - Melbourne'!D97="","Belum tercatat",'Offshore - Melbourne'!D97)</f>
        <v>Term</v>
      </c>
      <c r="G1682" s="65" t="n">
        <f aca="false">IF('Offshore - Melbourne'!E97="","-",'Offshore - Melbourne'!E97)</f>
        <v>9200</v>
      </c>
      <c r="H1682" s="63" t="n">
        <f aca="false">IF(ISNUMBER(K1682),COUNTIFS($J$6:$J$1854,J1682,$K$6:$K$1854,"&lt;"&amp;K1682)+1,"-")</f>
        <v>1</v>
      </c>
      <c r="I1682" s="64" t="str">
        <f aca="false">IF('Offshore - Melbourne'!E97="","Harga belum tersedia - hubungi konsultan TEG",IF(M1682=2,"Saat ini tidak menerima pendaftaran siswa internasional baru",IF(M1682=1,"Harga perlu dikonfirmasi ke sekolah"&amp;IF(""="","","; "&amp;""),"")))</f>
        <v/>
      </c>
      <c r="J1682" s="0" t="s">
        <v>4474</v>
      </c>
      <c r="K1682" s="0" t="n">
        <f aca="false">IF(M1682=2,"",IF(ISNUMBER(SEARCH("rata-rata:",'Offshore - Melbourne'!N97)),VALUE(MID('Offshore - Melbourne'!N97,SEARCH("rata-rata:",'Offshore - Melbourne'!N97)+11,FIND(";",'Offshore - Melbourne'!N97&amp;";",SEARCH("rata-rata:",'Offshore - Melbourne'!N97))-SEARCH("rata-rata:",'Offshore - Melbourne'!N97)-11)),IF('Offshore - Melbourne'!D97="Semester",'Offshore - Melbourne'!E97*2,IF('Offshore - Melbourne'!D97="Trimester",'Offshore - Melbourne'!E97*3,IF('Offshore - Melbourne'!D97="Term",'Offshore - Melbourne'!E97*4,IF('Offshore - Melbourne'!D97="Unit",'Offshore - Melbourne'!E97*8,""))))))</f>
        <v>36800</v>
      </c>
      <c r="L1682" s="0" t="n">
        <f aca="false">IF(AND(ISNUMBER('Offshore - Melbourne'!E97),ISNUMBER(K1682),ISNUMBER('Offshore - Melbourne'!F97),ISNUMBER('Offshore - Melbourne'!G97),OR('Offshore - Melbourne'!F97&lt;&gt;0,ISNUMBER(SEARCH("Material 0 terverifikasi",'Offshore - Melbourne'!N97))),OR('Offshore - Melbourne'!G97&lt;&gt;0,ISNUMBER(SEARCH("Enrolment 0 terverifikasi",'Offshore - Melbourne'!N97)))),1,0)</f>
        <v>0</v>
      </c>
      <c r="M1682" s="0" t="n">
        <f aca="false">IF(OR('Offshore - Melbourne'!E97="",ISNUMBER(SEARCH("BSB80120",'Offshore - Melbourne'!B97&amp;'Offshore - Melbourne'!N97)),ISNUMBER(SEARCH("Management (Learning)",'Offshore - Melbourne'!B97))),2,IF(ISNUMBER(SEARCH("CEK:",'Offshore - Melbourne'!N97)),1,0))</f>
        <v>0</v>
      </c>
    </row>
    <row r="1683" customFormat="false" ht="15" hidden="false" customHeight="false" outlineLevel="0" collapsed="false">
      <c r="A1683" s="61" t="s">
        <v>4475</v>
      </c>
      <c r="B1683" s="62"/>
      <c r="C1683" s="62"/>
      <c r="D1683" s="62"/>
      <c r="E1683" s="62"/>
      <c r="F1683" s="62"/>
      <c r="G1683" s="62"/>
      <c r="H1683" s="62"/>
      <c r="I1683" s="62"/>
    </row>
    <row r="1684" customFormat="false" ht="15" hidden="false" customHeight="false" outlineLevel="0" collapsed="false">
      <c r="A1684" s="63" t="s">
        <v>3533</v>
      </c>
      <c r="B1684" s="64" t="s">
        <v>4453</v>
      </c>
      <c r="C1684" s="63" t="s">
        <v>41</v>
      </c>
      <c r="D1684" s="64" t="str">
        <f aca="false">TRIM(LEFT('Offshore - Sydney'!A156,FIND(CHAR(10),'Offshore - Sydney'!A156&amp;CHAR(10))-1))</f>
        <v>Australian Catholic University (ACU)</v>
      </c>
      <c r="E1684" s="63" t="str">
        <f aca="false">'Offshore - Sydney'!C251&amp;""</f>
        <v>1 year</v>
      </c>
      <c r="F1684" s="63" t="str">
        <f aca="false">IF('Offshore - Sydney'!D251="","Belum tercatat",'Offshore - Sydney'!D251)</f>
        <v>Term</v>
      </c>
      <c r="G1684" s="65" t="n">
        <f aca="false">IF('Offshore - Sydney'!E251="","-",'Offshore - Sydney'!E251)</f>
        <v>8480</v>
      </c>
      <c r="H1684" s="63" t="n">
        <f aca="false">IF(ISNUMBER(K1684),COUNTIFS($J$6:$J$1854,J1684,$K$6:$K$1854,"&lt;"&amp;K1684)+1,"-")</f>
        <v>1</v>
      </c>
      <c r="I1684" s="64" t="str">
        <f aca="false">IF('Offshore - Sydney'!E251="","Harga belum tersedia - hubungi konsultan TEG",IF(M1684=2,"Saat ini tidak menerima pendaftaran siswa internasional baru",IF(M1684=1,"Harga perlu dikonfirmasi ke sekolah"&amp;IF(""="","","; "&amp;""),"")))</f>
        <v/>
      </c>
      <c r="J1684" s="0" t="s">
        <v>4476</v>
      </c>
      <c r="K1684" s="0" t="n">
        <f aca="false">IF(M1684=2,"",IF(ISNUMBER(SEARCH("rata-rata:",'Offshore - Sydney'!N251)),VALUE(MID('Offshore - Sydney'!N251,SEARCH("rata-rata:",'Offshore - Sydney'!N251)+11,FIND(";",'Offshore - Sydney'!N251&amp;";",SEARCH("rata-rata:",'Offshore - Sydney'!N251))-SEARCH("rata-rata:",'Offshore - Sydney'!N251)-11)),IF('Offshore - Sydney'!D251="Semester",'Offshore - Sydney'!E251*2,IF('Offshore - Sydney'!D251="Trimester",'Offshore - Sydney'!E251*3,IF('Offshore - Sydney'!D251="Term",'Offshore - Sydney'!E251*4,IF('Offshore - Sydney'!D251="Unit",'Offshore - Sydney'!E251*8,""))))))</f>
        <v>33920</v>
      </c>
      <c r="L1684" s="0" t="n">
        <f aca="false">IF(AND(ISNUMBER('Offshore - Sydney'!E251),ISNUMBER(K1684),ISNUMBER('Offshore - Sydney'!F251),ISNUMBER('Offshore - Sydney'!G251),OR('Offshore - Sydney'!F251&lt;&gt;0,ISNUMBER(SEARCH("Material 0 terverifikasi",'Offshore - Sydney'!N251))),OR('Offshore - Sydney'!G251&lt;&gt;0,ISNUMBER(SEARCH("Enrolment 0 terverifikasi",'Offshore - Sydney'!N251)))),1,0)</f>
        <v>0</v>
      </c>
      <c r="M1684" s="0" t="n">
        <f aca="false">IF(OR('Offshore - Sydney'!E251="",ISNUMBER(SEARCH("BSB80120",'Offshore - Sydney'!B251&amp;'Offshore - Sydney'!N251)),ISNUMBER(SEARCH("Management (Learning)",'Offshore - Sydney'!B251))),2,IF(ISNUMBER(SEARCH("CEK:",'Offshore - Sydney'!N251)),1,0))</f>
        <v>0</v>
      </c>
    </row>
    <row r="1685" customFormat="false" ht="15" hidden="false" customHeight="false" outlineLevel="0" collapsed="false">
      <c r="A1685" s="61" t="s">
        <v>4477</v>
      </c>
      <c r="B1685" s="62"/>
      <c r="C1685" s="62"/>
      <c r="D1685" s="62"/>
      <c r="E1685" s="62"/>
      <c r="F1685" s="62"/>
      <c r="G1685" s="62"/>
      <c r="H1685" s="62"/>
      <c r="I1685" s="62"/>
    </row>
    <row r="1686" customFormat="false" ht="15" hidden="false" customHeight="false" outlineLevel="0" collapsed="false">
      <c r="A1686" s="63" t="s">
        <v>3533</v>
      </c>
      <c r="B1686" s="64" t="s">
        <v>4453</v>
      </c>
      <c r="C1686" s="63" t="s">
        <v>43</v>
      </c>
      <c r="D1686" s="64" t="str">
        <f aca="false">TRIM(LEFT('Offshore - Sydney'!A982,FIND(CHAR(10),'Offshore - Sydney'!A982&amp;CHAR(10))-1))</f>
        <v>Western Sydney University</v>
      </c>
      <c r="E1686" s="63" t="str">
        <f aca="false">'Offshore - Sydney'!C1040&amp;""</f>
        <v>3 years</v>
      </c>
      <c r="F1686" s="63" t="str">
        <f aca="false">IF('Offshore - Sydney'!D1040="","Belum tercatat",'Offshore - Sydney'!D1040)</f>
        <v>Term</v>
      </c>
      <c r="G1686" s="65" t="n">
        <f aca="false">IF('Offshore - Sydney'!E1040="","-",'Offshore - Sydney'!E1040)</f>
        <v>8125</v>
      </c>
      <c r="H1686" s="63" t="n">
        <f aca="false">IF(ISNUMBER(K1686),COUNTIFS($J$6:$J$1854,J1686,$K$6:$K$1854,"&lt;"&amp;K1686)+1,"-")</f>
        <v>1</v>
      </c>
      <c r="I1686" s="64" t="str">
        <f aca="false">IF('Offshore - Sydney'!E1040="","Harga belum tersedia - hubungi konsultan TEG",IF(M1686=2,"Saat ini tidak menerima pendaftaran siswa internasional baru",IF(M1686=1,"Harga perlu dikonfirmasi ke sekolah"&amp;IF(""="","","; "&amp;""),"")))</f>
        <v/>
      </c>
      <c r="J1686" s="0" t="s">
        <v>4478</v>
      </c>
      <c r="K1686" s="0" t="n">
        <f aca="false">IF(M1686=2,"",IF(ISNUMBER(SEARCH("rata-rata:",'Offshore - Sydney'!N1040)),VALUE(MID('Offshore - Sydney'!N1040,SEARCH("rata-rata:",'Offshore - Sydney'!N1040)+11,FIND(";",'Offshore - Sydney'!N1040&amp;";",SEARCH("rata-rata:",'Offshore - Sydney'!N1040))-SEARCH("rata-rata:",'Offshore - Sydney'!N1040)-11)),IF('Offshore - Sydney'!D1040="Semester",'Offshore - Sydney'!E1040*2,IF('Offshore - Sydney'!D1040="Trimester",'Offshore - Sydney'!E1040*3,IF('Offshore - Sydney'!D1040="Term",'Offshore - Sydney'!E1040*4,IF('Offshore - Sydney'!D1040="Unit",'Offshore - Sydney'!E1040*8,""))))))</f>
        <v>32500</v>
      </c>
      <c r="L1686" s="0" t="n">
        <f aca="false">IF(AND(ISNUMBER('Offshore - Sydney'!E1040),ISNUMBER(K1686),ISNUMBER('Offshore - Sydney'!F1040),ISNUMBER('Offshore - Sydney'!G1040),OR('Offshore - Sydney'!F1040&lt;&gt;0,ISNUMBER(SEARCH("Material 0 terverifikasi",'Offshore - Sydney'!N1040))),OR('Offshore - Sydney'!G1040&lt;&gt;0,ISNUMBER(SEARCH("Enrolment 0 terverifikasi",'Offshore - Sydney'!N1040)))),1,0)</f>
        <v>0</v>
      </c>
      <c r="M1686" s="0" t="n">
        <f aca="false">IF(OR('Offshore - Sydney'!E1040="",ISNUMBER(SEARCH("BSB80120",'Offshore - Sydney'!B1040&amp;'Offshore - Sydney'!N1040)),ISNUMBER(SEARCH("Management (Learning)",'Offshore - Sydney'!B1040))),2,IF(ISNUMBER(SEARCH("CEK:",'Offshore - Sydney'!N1040)),1,0))</f>
        <v>0</v>
      </c>
    </row>
    <row r="1687" customFormat="false" ht="15" hidden="false" customHeight="false" outlineLevel="0" collapsed="false">
      <c r="A1687" s="63" t="s">
        <v>3533</v>
      </c>
      <c r="B1687" s="64" t="s">
        <v>4453</v>
      </c>
      <c r="C1687" s="63" t="s">
        <v>43</v>
      </c>
      <c r="D1687" s="64" t="str">
        <f aca="false">TRIM(LEFT('Offshore - Sydney'!A156,FIND(CHAR(10),'Offshore - Sydney'!A156&amp;CHAR(10))-1))</f>
        <v>Australian Catholic University (ACU)</v>
      </c>
      <c r="E1687" s="63" t="str">
        <f aca="false">'Offshore - Sydney'!C158&amp;""</f>
        <v>5 years</v>
      </c>
      <c r="F1687" s="63" t="str">
        <f aca="false">IF('Offshore - Sydney'!D158="","Belum tercatat",'Offshore - Sydney'!D158)</f>
        <v>Term</v>
      </c>
      <c r="G1687" s="65" t="n">
        <f aca="false">IF('Offshore - Sydney'!E158="","-",'Offshore - Sydney'!E158)</f>
        <v>9200</v>
      </c>
      <c r="H1687" s="63" t="n">
        <f aca="false">IF(ISNUMBER(K1687),COUNTIFS($J$6:$J$1854,J1687,$K$6:$K$1854,"&lt;"&amp;K1687)+1,"-")</f>
        <v>2</v>
      </c>
      <c r="I1687" s="64" t="str">
        <f aca="false">IF('Offshore - Sydney'!E158="","Harga belum tersedia - hubungi konsultan TEG",IF(M1687=2,"Saat ini tidak menerima pendaftaran siswa internasional baru",IF(M1687=1,"Harga perlu dikonfirmasi ke sekolah"&amp;IF(""="","","; "&amp;""),"")))</f>
        <v/>
      </c>
      <c r="J1687" s="0" t="s">
        <v>4478</v>
      </c>
      <c r="K1687" s="0" t="n">
        <f aca="false">IF(M1687=2,"",IF(ISNUMBER(SEARCH("rata-rata:",'Offshore - Sydney'!N158)),VALUE(MID('Offshore - Sydney'!N158,SEARCH("rata-rata:",'Offshore - Sydney'!N158)+11,FIND(";",'Offshore - Sydney'!N158&amp;";",SEARCH("rata-rata:",'Offshore - Sydney'!N158))-SEARCH("rata-rata:",'Offshore - Sydney'!N158)-11)),IF('Offshore - Sydney'!D158="Semester",'Offshore - Sydney'!E158*2,IF('Offshore - Sydney'!D158="Trimester",'Offshore - Sydney'!E158*3,IF('Offshore - Sydney'!D158="Term",'Offshore - Sydney'!E158*4,IF('Offshore - Sydney'!D158="Unit",'Offshore - Sydney'!E158*8,""))))))</f>
        <v>36800</v>
      </c>
      <c r="L1687" s="0" t="n">
        <f aca="false">IF(AND(ISNUMBER('Offshore - Sydney'!E158),ISNUMBER(K1687),ISNUMBER('Offshore - Sydney'!F158),ISNUMBER('Offshore - Sydney'!G158),OR('Offshore - Sydney'!F158&lt;&gt;0,ISNUMBER(SEARCH("Material 0 terverifikasi",'Offshore - Sydney'!N158))),OR('Offshore - Sydney'!G158&lt;&gt;0,ISNUMBER(SEARCH("Enrolment 0 terverifikasi",'Offshore - Sydney'!N158)))),1,0)</f>
        <v>0</v>
      </c>
      <c r="M1687" s="0" t="n">
        <f aca="false">IF(OR('Offshore - Sydney'!E158="",ISNUMBER(SEARCH("BSB80120",'Offshore - Sydney'!B158&amp;'Offshore - Sydney'!N158)),ISNUMBER(SEARCH("Management (Learning)",'Offshore - Sydney'!B158))),2,IF(ISNUMBER(SEARCH("CEK:",'Offshore - Sydney'!N158)),1,0))</f>
        <v>0</v>
      </c>
    </row>
    <row r="1688" customFormat="false" ht="15" hidden="false" customHeight="false" outlineLevel="0" collapsed="false">
      <c r="A1688" s="61" t="s">
        <v>4479</v>
      </c>
      <c r="B1688" s="62"/>
      <c r="C1688" s="62"/>
      <c r="D1688" s="62"/>
      <c r="E1688" s="62"/>
      <c r="F1688" s="62"/>
      <c r="G1688" s="62"/>
      <c r="H1688" s="62"/>
      <c r="I1688" s="62"/>
    </row>
    <row r="1689" customFormat="false" ht="15" hidden="false" customHeight="false" outlineLevel="0" collapsed="false">
      <c r="A1689" s="63" t="s">
        <v>3533</v>
      </c>
      <c r="B1689" s="64" t="s">
        <v>4453</v>
      </c>
      <c r="C1689" s="63" t="s">
        <v>46</v>
      </c>
      <c r="D1689" s="64" t="str">
        <f aca="false">TRIM(LEFT('Offshore - Sydney'!A982,FIND(CHAR(10),'Offshore - Sydney'!A982&amp;CHAR(10))-1))</f>
        <v>Western Sydney University</v>
      </c>
      <c r="E1689" s="63" t="str">
        <f aca="false">'Offshore - Sydney'!C1129&amp;""</f>
        <v>2 years</v>
      </c>
      <c r="F1689" s="63" t="str">
        <f aca="false">IF('Offshore - Sydney'!D1129="","Belum tercatat",'Offshore - Sydney'!D1129)</f>
        <v>Term</v>
      </c>
      <c r="G1689" s="65" t="n">
        <f aca="false">IF('Offshore - Sydney'!E1129="","-",'Offshore - Sydney'!E1129)</f>
        <v>8694</v>
      </c>
      <c r="H1689" s="63" t="n">
        <f aca="false">IF(ISNUMBER(K1689),COUNTIFS($J$6:$J$1854,J1689,$K$6:$K$1854,"&lt;"&amp;K1689)+1,"-")</f>
        <v>1</v>
      </c>
      <c r="I1689" s="64" t="str">
        <f aca="false">IF('Offshore - Sydney'!E1129="","Harga belum tersedia - hubungi konsultan TEG",IF(M1689=2,"Saat ini tidak menerima pendaftaran siswa internasional baru",IF(M1689=1,"Harga perlu dikonfirmasi ke sekolah"&amp;IF(""="","","; "&amp;""),"")))</f>
        <v/>
      </c>
      <c r="J1689" s="0" t="s">
        <v>4480</v>
      </c>
      <c r="K1689" s="0" t="n">
        <f aca="false">IF(M1689=2,"",IF(ISNUMBER(SEARCH("rata-rata:",'Offshore - Sydney'!N1129)),VALUE(MID('Offshore - Sydney'!N1129,SEARCH("rata-rata:",'Offshore - Sydney'!N1129)+11,FIND(";",'Offshore - Sydney'!N1129&amp;";",SEARCH("rata-rata:",'Offshore - Sydney'!N1129))-SEARCH("rata-rata:",'Offshore - Sydney'!N1129)-11)),IF('Offshore - Sydney'!D1129="Semester",'Offshore - Sydney'!E1129*2,IF('Offshore - Sydney'!D1129="Trimester",'Offshore - Sydney'!E1129*3,IF('Offshore - Sydney'!D1129="Term",'Offshore - Sydney'!E1129*4,IF('Offshore - Sydney'!D1129="Unit",'Offshore - Sydney'!E1129*8,""))))))</f>
        <v>34776</v>
      </c>
      <c r="L1689" s="0" t="n">
        <f aca="false">IF(AND(ISNUMBER('Offshore - Sydney'!E1129),ISNUMBER(K1689),ISNUMBER('Offshore - Sydney'!F1129),ISNUMBER('Offshore - Sydney'!G1129),OR('Offshore - Sydney'!F1129&lt;&gt;0,ISNUMBER(SEARCH("Material 0 terverifikasi",'Offshore - Sydney'!N1129))),OR('Offshore - Sydney'!G1129&lt;&gt;0,ISNUMBER(SEARCH("Enrolment 0 terverifikasi",'Offshore - Sydney'!N1129)))),1,0)</f>
        <v>0</v>
      </c>
      <c r="M1689" s="0" t="n">
        <f aca="false">IF(OR('Offshore - Sydney'!E1129="",ISNUMBER(SEARCH("BSB80120",'Offshore - Sydney'!B1129&amp;'Offshore - Sydney'!N1129)),ISNUMBER(SEARCH("Management (Learning)",'Offshore - Sydney'!B1129))),2,IF(ISNUMBER(SEARCH("CEK:",'Offshore - Sydney'!N1129)),1,0))</f>
        <v>0</v>
      </c>
    </row>
    <row r="1690" customFormat="false" ht="15" hidden="false" customHeight="false" outlineLevel="0" collapsed="false">
      <c r="A1690" s="61" t="s">
        <v>4481</v>
      </c>
      <c r="B1690" s="62"/>
      <c r="C1690" s="62"/>
      <c r="D1690" s="62"/>
      <c r="E1690" s="62"/>
      <c r="F1690" s="62"/>
      <c r="G1690" s="62"/>
      <c r="H1690" s="62"/>
      <c r="I1690" s="62"/>
    </row>
    <row r="1691" customFormat="false" ht="15" hidden="false" customHeight="false" outlineLevel="0" collapsed="false">
      <c r="A1691" s="63" t="s">
        <v>3753</v>
      </c>
      <c r="B1691" s="64" t="s">
        <v>4453</v>
      </c>
      <c r="C1691" s="63" t="s">
        <v>41</v>
      </c>
      <c r="D1691" s="64" t="str">
        <f aca="false">TRIM(LEFT('Offshore - Tasmania Hobart'!A21,FIND(CHAR(10),'Offshore - Tasmania Hobart'!A21&amp;CHAR(10))-1))</f>
        <v>University of Tasmania (UTAS)</v>
      </c>
      <c r="E1691" s="63" t="str">
        <f aca="false">'Offshore - Tasmania Hobart'!C21&amp;""</f>
        <v>1 year</v>
      </c>
      <c r="F1691" s="63" t="str">
        <f aca="false">IF('Offshore - Tasmania Hobart'!D21="","Belum tercatat",'Offshore - Tasmania Hobart'!D21)</f>
        <v>Term</v>
      </c>
      <c r="G1691" s="65" t="n">
        <f aca="false">IF('Offshore - Tasmania Hobart'!E21="","-",'Offshore - Tasmania Hobart'!E21)</f>
        <v>9737.5</v>
      </c>
      <c r="H1691" s="63" t="n">
        <f aca="false">IF(ISNUMBER(K1691),COUNTIFS($J$6:$J$1854,J1691,$K$6:$K$1854,"&lt;"&amp;K1691)+1,"-")</f>
        <v>1</v>
      </c>
      <c r="I1691" s="64" t="str">
        <f aca="false">IF('Offshore - Tasmania Hobart'!E21="","Harga belum tersedia - hubungi konsultan TEG",IF(M1691=2,"Saat ini tidak menerima pendaftaran siswa internasional baru",IF(M1691=1,"Harga perlu dikonfirmasi ke sekolah"&amp;IF(""="","","; "&amp;""),"")))</f>
        <v>Harga perlu dikonfirmasi ke sekolah</v>
      </c>
      <c r="J1691" s="0" t="s">
        <v>4482</v>
      </c>
      <c r="K1691" s="0" t="n">
        <f aca="false">IF(M1691=2,"",IF(ISNUMBER(SEARCH("rata-rata:",'Offshore - Tasmania Hobart'!N21)),VALUE(MID('Offshore - Tasmania Hobart'!N21,SEARCH("rata-rata:",'Offshore - Tasmania Hobart'!N21)+11,FIND(";",'Offshore - Tasmania Hobart'!N21&amp;";",SEARCH("rata-rata:",'Offshore - Tasmania Hobart'!N21))-SEARCH("rata-rata:",'Offshore - Tasmania Hobart'!N21)-11)),IF('Offshore - Tasmania Hobart'!D21="Semester",'Offshore - Tasmania Hobart'!E21*2,IF('Offshore - Tasmania Hobart'!D21="Trimester",'Offshore - Tasmania Hobart'!E21*3,IF('Offshore - Tasmania Hobart'!D21="Term",'Offshore - Tasmania Hobart'!E21*4,IF('Offshore - Tasmania Hobart'!D21="Unit",'Offshore - Tasmania Hobart'!E21*8,""))))))</f>
        <v>38950</v>
      </c>
      <c r="L1691" s="0" t="n">
        <f aca="false">IF(AND(ISNUMBER('Offshore - Tasmania Hobart'!E21),ISNUMBER(K1691),ISNUMBER('Offshore - Tasmania Hobart'!F21),ISNUMBER('Offshore - Tasmania Hobart'!G21),OR('Offshore - Tasmania Hobart'!F21&lt;&gt;0,ISNUMBER(SEARCH("Material 0 terverifikasi",'Offshore - Tasmania Hobart'!N21))),OR('Offshore - Tasmania Hobart'!G21&lt;&gt;0,ISNUMBER(SEARCH("Enrolment 0 terverifikasi",'Offshore - Tasmania Hobart'!N21)))),1,0)</f>
        <v>0</v>
      </c>
      <c r="M1691" s="0" t="n">
        <f aca="false">IF(OR('Offshore - Tasmania Hobart'!E21="",ISNUMBER(SEARCH("BSB80120",'Offshore - Tasmania Hobart'!B21&amp;'Offshore - Tasmania Hobart'!N21)),ISNUMBER(SEARCH("Management (Learning)",'Offshore - Tasmania Hobart'!B21))),2,IF(ISNUMBER(SEARCH("CEK:",'Offshore - Tasmania Hobart'!N21)),1,0))</f>
        <v>1</v>
      </c>
    </row>
    <row r="1692" customFormat="false" ht="15" hidden="false" customHeight="false" outlineLevel="0" collapsed="false">
      <c r="A1692" s="61" t="s">
        <v>4483</v>
      </c>
      <c r="B1692" s="62"/>
      <c r="C1692" s="62"/>
      <c r="D1692" s="62"/>
      <c r="E1692" s="62"/>
      <c r="F1692" s="62"/>
      <c r="G1692" s="62"/>
      <c r="H1692" s="62"/>
      <c r="I1692" s="62"/>
    </row>
    <row r="1693" customFormat="false" ht="15" hidden="false" customHeight="false" outlineLevel="0" collapsed="false">
      <c r="A1693" s="63" t="s">
        <v>3753</v>
      </c>
      <c r="B1693" s="64" t="s">
        <v>4453</v>
      </c>
      <c r="C1693" s="63" t="s">
        <v>43</v>
      </c>
      <c r="D1693" s="64" t="str">
        <f aca="false">TRIM(LEFT('Offshore - Tasmania Hobart'!A21,FIND(CHAR(10),'Offshore - Tasmania Hobart'!A21&amp;CHAR(10))-1))</f>
        <v>University of Tasmania (UTAS)</v>
      </c>
      <c r="E1693" s="63" t="str">
        <f aca="false">'Offshore - Tasmania Hobart'!C22&amp;""</f>
        <v>3 years</v>
      </c>
      <c r="F1693" s="63" t="str">
        <f aca="false">IF('Offshore - Tasmania Hobart'!D22="","Belum tercatat",'Offshore - Tasmania Hobart'!D22)</f>
        <v>Term</v>
      </c>
      <c r="G1693" s="65" t="n">
        <f aca="false">IF('Offshore - Tasmania Hobart'!E22="","-",'Offshore - Tasmania Hobart'!E22)</f>
        <v>9737.5</v>
      </c>
      <c r="H1693" s="63" t="n">
        <f aca="false">IF(ISNUMBER(K1693),COUNTIFS($J$6:$J$1854,J1693,$K$6:$K$1854,"&lt;"&amp;K1693)+1,"-")</f>
        <v>1</v>
      </c>
      <c r="I1693" s="64" t="str">
        <f aca="false">IF('Offshore - Tasmania Hobart'!E22="","Harga belum tersedia - hubungi konsultan TEG",IF(M1693=2,"Saat ini tidak menerima pendaftaran siswa internasional baru",IF(M1693=1,"Harga perlu dikonfirmasi ke sekolah"&amp;IF(""="","","; "&amp;""),"")))</f>
        <v/>
      </c>
      <c r="J1693" s="0" t="s">
        <v>4484</v>
      </c>
      <c r="K1693" s="0" t="n">
        <f aca="false">IF(M1693=2,"",IF(ISNUMBER(SEARCH("rata-rata:",'Offshore - Tasmania Hobart'!N22)),VALUE(MID('Offshore - Tasmania Hobart'!N22,SEARCH("rata-rata:",'Offshore - Tasmania Hobart'!N22)+11,FIND(";",'Offshore - Tasmania Hobart'!N22&amp;";",SEARCH("rata-rata:",'Offshore - Tasmania Hobart'!N22))-SEARCH("rata-rata:",'Offshore - Tasmania Hobart'!N22)-11)),IF('Offshore - Tasmania Hobart'!D22="Semester",'Offshore - Tasmania Hobart'!E22*2,IF('Offshore - Tasmania Hobart'!D22="Trimester",'Offshore - Tasmania Hobart'!E22*3,IF('Offshore - Tasmania Hobart'!D22="Term",'Offshore - Tasmania Hobart'!E22*4,IF('Offshore - Tasmania Hobart'!D22="Unit",'Offshore - Tasmania Hobart'!E22*8,""))))))</f>
        <v>38950</v>
      </c>
      <c r="L1693" s="0" t="n">
        <f aca="false">IF(AND(ISNUMBER('Offshore - Tasmania Hobart'!E22),ISNUMBER(K1693),ISNUMBER('Offshore - Tasmania Hobart'!F22),ISNUMBER('Offshore - Tasmania Hobart'!G22),OR('Offshore - Tasmania Hobart'!F22&lt;&gt;0,ISNUMBER(SEARCH("Material 0 terverifikasi",'Offshore - Tasmania Hobart'!N22))),OR('Offshore - Tasmania Hobart'!G22&lt;&gt;0,ISNUMBER(SEARCH("Enrolment 0 terverifikasi",'Offshore - Tasmania Hobart'!N22)))),1,0)</f>
        <v>0</v>
      </c>
      <c r="M1693" s="0" t="n">
        <f aca="false">IF(OR('Offshore - Tasmania Hobart'!E22="",ISNUMBER(SEARCH("BSB80120",'Offshore - Tasmania Hobart'!B22&amp;'Offshore - Tasmania Hobart'!N22)),ISNUMBER(SEARCH("Management (Learning)",'Offshore - Tasmania Hobart'!B22))),2,IF(ISNUMBER(SEARCH("CEK:",'Offshore - Tasmania Hobart'!N22)),1,0))</f>
        <v>0</v>
      </c>
    </row>
    <row r="1694" customFormat="false" ht="15" hidden="false" customHeight="false" outlineLevel="0" collapsed="false">
      <c r="A1694" s="61" t="s">
        <v>4485</v>
      </c>
      <c r="B1694" s="62"/>
      <c r="C1694" s="62"/>
      <c r="D1694" s="62"/>
      <c r="E1694" s="62"/>
      <c r="F1694" s="62"/>
      <c r="G1694" s="62"/>
      <c r="H1694" s="62"/>
      <c r="I1694" s="62"/>
    </row>
    <row r="1695" customFormat="false" ht="15" hidden="false" customHeight="false" outlineLevel="0" collapsed="false">
      <c r="A1695" s="63" t="s">
        <v>3753</v>
      </c>
      <c r="B1695" s="64" t="s">
        <v>4453</v>
      </c>
      <c r="C1695" s="63" t="s">
        <v>3707</v>
      </c>
      <c r="D1695" s="64" t="str">
        <f aca="false">TRIM(LEFT('Offshore - Tasmania Hobart'!A21,FIND(CHAR(10),'Offshore - Tasmania Hobart'!A21&amp;CHAR(10))-1))</f>
        <v>University of Tasmania (UTAS)</v>
      </c>
      <c r="E1695" s="63" t="str">
        <f aca="false">'Offshore - Tasmania Hobart'!C26&amp;""</f>
        <v>0,5 years</v>
      </c>
      <c r="F1695" s="63" t="str">
        <f aca="false">IF('Offshore - Tasmania Hobart'!D26="","Belum tercatat",'Offshore - Tasmania Hobart'!D26)</f>
        <v>Term</v>
      </c>
      <c r="G1695" s="65" t="n">
        <f aca="false">IF('Offshore - Tasmania Hobart'!E26="","-",'Offshore - Tasmania Hobart'!E26)</f>
        <v>6612.5</v>
      </c>
      <c r="H1695" s="63" t="n">
        <f aca="false">IF(ISNUMBER(K1695),COUNTIFS($J$6:$J$1854,J1695,$K$6:$K$1854,"&lt;"&amp;K1695)+1,"-")</f>
        <v>1</v>
      </c>
      <c r="I1695" s="64" t="str">
        <f aca="false">IF('Offshore - Tasmania Hobart'!E26="","Harga belum tersedia - hubungi konsultan TEG",IF(M1695=2,"Saat ini tidak menerima pendaftaran siswa internasional baru",IF(M1695=1,"Harga perlu dikonfirmasi ke sekolah"&amp;IF(""="","","; "&amp;""),"")))</f>
        <v>Harga perlu dikonfirmasi ke sekolah</v>
      </c>
      <c r="J1695" s="0" t="s">
        <v>4486</v>
      </c>
      <c r="K1695" s="0" t="n">
        <f aca="false">IF(M1695=2,"",IF(ISNUMBER(SEARCH("rata-rata:",'Offshore - Tasmania Hobart'!N26)),VALUE(MID('Offshore - Tasmania Hobart'!N26,SEARCH("rata-rata:",'Offshore - Tasmania Hobart'!N26)+11,FIND(";",'Offshore - Tasmania Hobart'!N26&amp;";",SEARCH("rata-rata:",'Offshore - Tasmania Hobart'!N26))-SEARCH("rata-rata:",'Offshore - Tasmania Hobart'!N26)-11)),IF('Offshore - Tasmania Hobart'!D26="Semester",'Offshore - Tasmania Hobart'!E26*2,IF('Offshore - Tasmania Hobart'!D26="Trimester",'Offshore - Tasmania Hobart'!E26*3,IF('Offshore - Tasmania Hobart'!D26="Term",'Offshore - Tasmania Hobart'!E26*4,IF('Offshore - Tasmania Hobart'!D26="Unit",'Offshore - Tasmania Hobart'!E26*8,""))))))</f>
        <v>26450</v>
      </c>
      <c r="L1695" s="0" t="n">
        <f aca="false">IF(AND(ISNUMBER('Offshore - Tasmania Hobart'!E26),ISNUMBER(K1695),ISNUMBER('Offshore - Tasmania Hobart'!F26),ISNUMBER('Offshore - Tasmania Hobart'!G26),OR('Offshore - Tasmania Hobart'!F26&lt;&gt;0,ISNUMBER(SEARCH("Material 0 terverifikasi",'Offshore - Tasmania Hobart'!N26))),OR('Offshore - Tasmania Hobart'!G26&lt;&gt;0,ISNUMBER(SEARCH("Enrolment 0 terverifikasi",'Offshore - Tasmania Hobart'!N26)))),1,0)</f>
        <v>0</v>
      </c>
      <c r="M1695" s="0" t="n">
        <f aca="false">IF(OR('Offshore - Tasmania Hobart'!E26="",ISNUMBER(SEARCH("BSB80120",'Offshore - Tasmania Hobart'!B26&amp;'Offshore - Tasmania Hobart'!N26)),ISNUMBER(SEARCH("Management (Learning)",'Offshore - Tasmania Hobart'!B26))),2,IF(ISNUMBER(SEARCH("CEK:",'Offshore - Tasmania Hobart'!N26)),1,0))</f>
        <v>1</v>
      </c>
    </row>
    <row r="1696" customFormat="false" ht="15" hidden="false" customHeight="false" outlineLevel="0" collapsed="false">
      <c r="A1696" s="61" t="s">
        <v>4487</v>
      </c>
      <c r="B1696" s="62"/>
      <c r="C1696" s="62"/>
      <c r="D1696" s="62"/>
      <c r="E1696" s="62"/>
      <c r="F1696" s="62"/>
      <c r="G1696" s="62"/>
      <c r="H1696" s="62"/>
      <c r="I1696" s="62"/>
    </row>
    <row r="1697" customFormat="false" ht="15" hidden="false" customHeight="false" outlineLevel="0" collapsed="false">
      <c r="A1697" s="63" t="s">
        <v>3659</v>
      </c>
      <c r="B1697" s="64" t="s">
        <v>4488</v>
      </c>
      <c r="C1697" s="63" t="s">
        <v>43</v>
      </c>
      <c r="D1697" s="64" t="str">
        <f aca="false">TRIM(LEFT('Offshore - Adelaide'!A13,FIND(CHAR(10),'Offshore - Adelaide'!A13&amp;CHAR(10))-1))</f>
        <v>Adelaide University</v>
      </c>
      <c r="E1697" s="63" t="str">
        <f aca="false">'Offshore - Adelaide'!C89&amp;""</f>
        <v>3 years</v>
      </c>
      <c r="F1697" s="63" t="str">
        <f aca="false">IF('Offshore - Adelaide'!D89="","Belum tercatat",'Offshore - Adelaide'!D89)</f>
        <v>Term</v>
      </c>
      <c r="G1697" s="65" t="n">
        <f aca="false">IF('Offshore - Adelaide'!E89="","-",'Offshore - Adelaide'!E89)</f>
        <v>12150</v>
      </c>
      <c r="H1697" s="63" t="n">
        <f aca="false">IF(ISNUMBER(K1697),COUNTIFS($J$6:$J$1854,J1697,$K$6:$K$1854,"&lt;"&amp;K1697)+1,"-")</f>
        <v>1</v>
      </c>
      <c r="I1697" s="64" t="str">
        <f aca="false">IF('Offshore - Adelaide'!E89="","Harga belum tersedia - hubungi konsultan TEG",IF(M1697=2,"Saat ini tidak menerima pendaftaran siswa internasional baru",IF(M1697=1,"Harga perlu dikonfirmasi ke sekolah"&amp;IF(""="","","; "&amp;""),"")))</f>
        <v/>
      </c>
      <c r="J1697" s="0" t="s">
        <v>4489</v>
      </c>
      <c r="K1697" s="0" t="n">
        <f aca="false">IF(M1697=2,"",IF(ISNUMBER(SEARCH("rata-rata:",'Offshore - Adelaide'!N89)),VALUE(MID('Offshore - Adelaide'!N89,SEARCH("rata-rata:",'Offshore - Adelaide'!N89)+11,FIND(";",'Offshore - Adelaide'!N89&amp;";",SEARCH("rata-rata:",'Offshore - Adelaide'!N89))-SEARCH("rata-rata:",'Offshore - Adelaide'!N89)-11)),IF('Offshore - Adelaide'!D89="Semester",'Offshore - Adelaide'!E89*2,IF('Offshore - Adelaide'!D89="Trimester",'Offshore - Adelaide'!E89*3,IF('Offshore - Adelaide'!D89="Term",'Offshore - Adelaide'!E89*4,IF('Offshore - Adelaide'!D89="Unit",'Offshore - Adelaide'!E89*8,""))))))</f>
        <v>48600</v>
      </c>
      <c r="L1697" s="0" t="n">
        <f aca="false">IF(AND(ISNUMBER('Offshore - Adelaide'!E89),ISNUMBER(K1697),ISNUMBER('Offshore - Adelaide'!F89),ISNUMBER('Offshore - Adelaide'!G89),OR('Offshore - Adelaide'!F89&lt;&gt;0,ISNUMBER(SEARCH("Material 0 terverifikasi",'Offshore - Adelaide'!N89))),OR('Offshore - Adelaide'!G89&lt;&gt;0,ISNUMBER(SEARCH("Enrolment 0 terverifikasi",'Offshore - Adelaide'!N89)))),1,0)</f>
        <v>0</v>
      </c>
      <c r="M1697" s="0" t="n">
        <f aca="false">IF(OR('Offshore - Adelaide'!E89="",ISNUMBER(SEARCH("BSB80120",'Offshore - Adelaide'!B89&amp;'Offshore - Adelaide'!N89)),ISNUMBER(SEARCH("Management (Learning)",'Offshore - Adelaide'!B89))),2,IF(ISNUMBER(SEARCH("CEK:",'Offshore - Adelaide'!N89)),1,0))</f>
        <v>0</v>
      </c>
    </row>
    <row r="1698" customFormat="false" ht="15" hidden="false" customHeight="false" outlineLevel="0" collapsed="false">
      <c r="A1698" s="61" t="s">
        <v>4490</v>
      </c>
      <c r="B1698" s="62"/>
      <c r="C1698" s="62"/>
      <c r="D1698" s="62"/>
      <c r="E1698" s="62"/>
      <c r="F1698" s="62"/>
      <c r="G1698" s="62"/>
      <c r="H1698" s="62"/>
      <c r="I1698" s="62"/>
    </row>
    <row r="1699" customFormat="false" ht="15" hidden="false" customHeight="false" outlineLevel="0" collapsed="false">
      <c r="A1699" s="63" t="s">
        <v>3659</v>
      </c>
      <c r="B1699" s="64" t="s">
        <v>4488</v>
      </c>
      <c r="C1699" s="63" t="s">
        <v>3707</v>
      </c>
      <c r="D1699" s="64" t="str">
        <f aca="false">TRIM(LEFT('Offshore - Adelaide'!A13,FIND(CHAR(10),'Offshore - Adelaide'!A13&amp;CHAR(10))-1))</f>
        <v>Adelaide University</v>
      </c>
      <c r="E1699" s="63" t="str">
        <f aca="false">'Offshore - Adelaide'!C294&amp;""</f>
        <v>1 year</v>
      </c>
      <c r="F1699" s="63" t="str">
        <f aca="false">IF('Offshore - Adelaide'!D294="","Belum tercatat",'Offshore - Adelaide'!D294)</f>
        <v>Term</v>
      </c>
      <c r="G1699" s="65" t="n">
        <f aca="false">IF('Offshore - Adelaide'!E294="","-",'Offshore - Adelaide'!E294)</f>
        <v>32425</v>
      </c>
      <c r="H1699" s="63" t="n">
        <f aca="false">IF(ISNUMBER(K1699),COUNTIFS($J$6:$J$1854,J1699,$K$6:$K$1854,"&lt;"&amp;K1699)+1,"-")</f>
        <v>1</v>
      </c>
      <c r="I1699" s="64" t="str">
        <f aca="false">IF('Offshore - Adelaide'!E294="","Harga belum tersedia - hubungi konsultan TEG",IF(M1699=2,"Saat ini tidak menerima pendaftaran siswa internasional baru",IF(M1699=1,"Harga perlu dikonfirmasi ke sekolah"&amp;IF(""="","","; "&amp;""),"")))</f>
        <v/>
      </c>
      <c r="J1699" s="0" t="s">
        <v>4491</v>
      </c>
      <c r="K1699" s="0" t="n">
        <f aca="false">IF(M1699=2,"",IF(ISNUMBER(SEARCH("rata-rata:",'Offshore - Adelaide'!N294)),VALUE(MID('Offshore - Adelaide'!N294,SEARCH("rata-rata:",'Offshore - Adelaide'!N294)+11,FIND(";",'Offshore - Adelaide'!N294&amp;";",SEARCH("rata-rata:",'Offshore - Adelaide'!N294))-SEARCH("rata-rata:",'Offshore - Adelaide'!N294)-11)),IF('Offshore - Adelaide'!D294="Semester",'Offshore - Adelaide'!E294*2,IF('Offshore - Adelaide'!D294="Trimester",'Offshore - Adelaide'!E294*3,IF('Offshore - Adelaide'!D294="Term",'Offshore - Adelaide'!E294*4,IF('Offshore - Adelaide'!D294="Unit",'Offshore - Adelaide'!E294*8,""))))))</f>
        <v>129700</v>
      </c>
      <c r="L1699" s="0" t="n">
        <f aca="false">IF(AND(ISNUMBER('Offshore - Adelaide'!E294),ISNUMBER(K1699),ISNUMBER('Offshore - Adelaide'!F294),ISNUMBER('Offshore - Adelaide'!G294),OR('Offshore - Adelaide'!F294&lt;&gt;0,ISNUMBER(SEARCH("Material 0 terverifikasi",'Offshore - Adelaide'!N294))),OR('Offshore - Adelaide'!G294&lt;&gt;0,ISNUMBER(SEARCH("Enrolment 0 terverifikasi",'Offshore - Adelaide'!N294)))),1,0)</f>
        <v>0</v>
      </c>
      <c r="M1699" s="0" t="n">
        <f aca="false">IF(OR('Offshore - Adelaide'!E294="",ISNUMBER(SEARCH("BSB80120",'Offshore - Adelaide'!B294&amp;'Offshore - Adelaide'!N294)),ISNUMBER(SEARCH("Management (Learning)",'Offshore - Adelaide'!B294))),2,IF(ISNUMBER(SEARCH("CEK:",'Offshore - Adelaide'!N294)),1,0))</f>
        <v>0</v>
      </c>
    </row>
    <row r="1700" customFormat="false" ht="15" hidden="false" customHeight="false" outlineLevel="0" collapsed="false">
      <c r="A1700" s="61" t="s">
        <v>4492</v>
      </c>
      <c r="B1700" s="62"/>
      <c r="C1700" s="62"/>
      <c r="D1700" s="62"/>
      <c r="E1700" s="62"/>
      <c r="F1700" s="62"/>
      <c r="G1700" s="62"/>
      <c r="H1700" s="62"/>
      <c r="I1700" s="62"/>
    </row>
    <row r="1701" customFormat="false" ht="15" hidden="false" customHeight="false" outlineLevel="0" collapsed="false">
      <c r="A1701" s="63" t="s">
        <v>3659</v>
      </c>
      <c r="B1701" s="64" t="s">
        <v>4488</v>
      </c>
      <c r="C1701" s="63" t="s">
        <v>46</v>
      </c>
      <c r="D1701" s="64" t="str">
        <f aca="false">TRIM(LEFT('Offshore - Adelaide'!A459,FIND(CHAR(10),'Offshore - Adelaide'!A459&amp;CHAR(10))-1))</f>
        <v>Le Cordon Bleu Australia</v>
      </c>
      <c r="E1701" s="63" t="str">
        <f aca="false">'Offshore - Adelaide'!C470&amp;""</f>
        <v>2 years</v>
      </c>
      <c r="F1701" s="63" t="str">
        <f aca="false">IF('Offshore - Adelaide'!D470="","Belum tercatat",'Offshore - Adelaide'!D470)</f>
        <v>Term</v>
      </c>
      <c r="G1701" s="65" t="n">
        <f aca="false">IF('Offshore - Adelaide'!E470="","-",'Offshore - Adelaide'!E470)</f>
        <v>6760</v>
      </c>
      <c r="H1701" s="63" t="n">
        <f aca="false">IF(ISNUMBER(K1701),COUNTIFS($J$6:$J$1854,J1701,$K$6:$K$1854,"&lt;"&amp;K1701)+1,"-")</f>
        <v>1</v>
      </c>
      <c r="I1701" s="64" t="str">
        <f aca="false">IF('Offshore - Adelaide'!E470="","Harga belum tersedia - hubungi konsultan TEG",IF(M1701=2,"Saat ini tidak menerima pendaftaran siswa internasional baru",IF(M1701=1,"Harga perlu dikonfirmasi ke sekolah"&amp;IF(""="","","; "&amp;""),"")))</f>
        <v/>
      </c>
      <c r="J1701" s="0" t="s">
        <v>4493</v>
      </c>
      <c r="K1701" s="0" t="n">
        <f aca="false">IF(M1701=2,"",IF(ISNUMBER(SEARCH("rata-rata:",'Offshore - Adelaide'!N470)),VALUE(MID('Offshore - Adelaide'!N470,SEARCH("rata-rata:",'Offshore - Adelaide'!N470)+11,FIND(";",'Offshore - Adelaide'!N470&amp;";",SEARCH("rata-rata:",'Offshore - Adelaide'!N470))-SEARCH("rata-rata:",'Offshore - Adelaide'!N470)-11)),IF('Offshore - Adelaide'!D470="Semester",'Offshore - Adelaide'!E470*2,IF('Offshore - Adelaide'!D470="Trimester",'Offshore - Adelaide'!E470*3,IF('Offshore - Adelaide'!D470="Term",'Offshore - Adelaide'!E470*4,IF('Offshore - Adelaide'!D470="Unit",'Offshore - Adelaide'!E470*8,""))))))</f>
        <v>27040</v>
      </c>
      <c r="L1701" s="0" t="n">
        <f aca="false">IF(AND(ISNUMBER('Offshore - Adelaide'!E470),ISNUMBER(K1701),ISNUMBER('Offshore - Adelaide'!F470),ISNUMBER('Offshore - Adelaide'!G470),OR('Offshore - Adelaide'!F470&lt;&gt;0,ISNUMBER(SEARCH("Material 0 terverifikasi",'Offshore - Adelaide'!N470))),OR('Offshore - Adelaide'!G470&lt;&gt;0,ISNUMBER(SEARCH("Enrolment 0 terverifikasi",'Offshore - Adelaide'!N470)))),1,0)</f>
        <v>0</v>
      </c>
      <c r="M1701" s="0" t="n">
        <f aca="false">IF(OR('Offshore - Adelaide'!E470="",ISNUMBER(SEARCH("BSB80120",'Offshore - Adelaide'!B470&amp;'Offshore - Adelaide'!N470)),ISNUMBER(SEARCH("Management (Learning)",'Offshore - Adelaide'!B470))),2,IF(ISNUMBER(SEARCH("CEK:",'Offshore - Adelaide'!N470)),1,0))</f>
        <v>0</v>
      </c>
    </row>
    <row r="1702" customFormat="false" ht="15" hidden="false" customHeight="false" outlineLevel="0" collapsed="false">
      <c r="A1702" s="63" t="s">
        <v>3659</v>
      </c>
      <c r="B1702" s="64" t="s">
        <v>4488</v>
      </c>
      <c r="C1702" s="63" t="s">
        <v>46</v>
      </c>
      <c r="D1702" s="64" t="str">
        <f aca="false">TRIM(LEFT('Offshore - Adelaide'!A13,FIND(CHAR(10),'Offshore - Adelaide'!A13&amp;CHAR(10))-1))</f>
        <v>Adelaide University</v>
      </c>
      <c r="E1702" s="63" t="str">
        <f aca="false">'Offshore - Adelaide'!C300&amp;""</f>
        <v>2 years</v>
      </c>
      <c r="F1702" s="63" t="str">
        <f aca="false">IF('Offshore - Adelaide'!D300="","Belum tercatat",'Offshore - Adelaide'!D300)</f>
        <v>Term</v>
      </c>
      <c r="G1702" s="65" t="n">
        <f aca="false">IF('Offshore - Adelaide'!E300="","-",'Offshore - Adelaide'!E300)</f>
        <v>13125</v>
      </c>
      <c r="H1702" s="63" t="n">
        <f aca="false">IF(ISNUMBER(K1702),COUNTIFS($J$6:$J$1854,J1702,$K$6:$K$1854,"&lt;"&amp;K1702)+1,"-")</f>
        <v>2</v>
      </c>
      <c r="I1702" s="64" t="str">
        <f aca="false">IF('Offshore - Adelaide'!E300="","Harga belum tersedia - hubungi konsultan TEG",IF(M1702=2,"Saat ini tidak menerima pendaftaran siswa internasional baru",IF(M1702=1,"Harga perlu dikonfirmasi ke sekolah"&amp;IF(""="","","; "&amp;""),"")))</f>
        <v/>
      </c>
      <c r="J1702" s="0" t="s">
        <v>4493</v>
      </c>
      <c r="K1702" s="0" t="n">
        <f aca="false">IF(M1702=2,"",IF(ISNUMBER(SEARCH("rata-rata:",'Offshore - Adelaide'!N300)),VALUE(MID('Offshore - Adelaide'!N300,SEARCH("rata-rata:",'Offshore - Adelaide'!N300)+11,FIND(";",'Offshore - Adelaide'!N300&amp;";",SEARCH("rata-rata:",'Offshore - Adelaide'!N300))-SEARCH("rata-rata:",'Offshore - Adelaide'!N300)-11)),IF('Offshore - Adelaide'!D300="Semester",'Offshore - Adelaide'!E300*2,IF('Offshore - Adelaide'!D300="Trimester",'Offshore - Adelaide'!E300*3,IF('Offshore - Adelaide'!D300="Term",'Offshore - Adelaide'!E300*4,IF('Offshore - Adelaide'!D300="Unit",'Offshore - Adelaide'!E300*8,""))))))</f>
        <v>52500</v>
      </c>
      <c r="L1702" s="0" t="n">
        <f aca="false">IF(AND(ISNUMBER('Offshore - Adelaide'!E300),ISNUMBER(K1702),ISNUMBER('Offshore - Adelaide'!F300),ISNUMBER('Offshore - Adelaide'!G300),OR('Offshore - Adelaide'!F300&lt;&gt;0,ISNUMBER(SEARCH("Material 0 terverifikasi",'Offshore - Adelaide'!N300))),OR('Offshore - Adelaide'!G300&lt;&gt;0,ISNUMBER(SEARCH("Enrolment 0 terverifikasi",'Offshore - Adelaide'!N300)))),1,0)</f>
        <v>0</v>
      </c>
      <c r="M1702" s="0" t="n">
        <f aca="false">IF(OR('Offshore - Adelaide'!E300="",ISNUMBER(SEARCH("BSB80120",'Offshore - Adelaide'!B300&amp;'Offshore - Adelaide'!N300)),ISNUMBER(SEARCH("Management (Learning)",'Offshore - Adelaide'!B300))),2,IF(ISNUMBER(SEARCH("CEK:",'Offshore - Adelaide'!N300)),1,0))</f>
        <v>0</v>
      </c>
    </row>
    <row r="1703" customFormat="false" ht="15" hidden="false" customHeight="false" outlineLevel="0" collapsed="false">
      <c r="A1703" s="61" t="s">
        <v>4494</v>
      </c>
      <c r="B1703" s="62"/>
      <c r="C1703" s="62"/>
      <c r="D1703" s="62"/>
      <c r="E1703" s="62"/>
      <c r="F1703" s="62"/>
      <c r="G1703" s="62"/>
      <c r="H1703" s="62"/>
      <c r="I1703" s="62"/>
    </row>
    <row r="1704" customFormat="false" ht="15" hidden="false" customHeight="false" outlineLevel="0" collapsed="false">
      <c r="A1704" s="63" t="s">
        <v>3563</v>
      </c>
      <c r="B1704" s="64" t="s">
        <v>4488</v>
      </c>
      <c r="C1704" s="63" t="s">
        <v>46</v>
      </c>
      <c r="D1704" s="64" t="str">
        <f aca="false">TRIM(LEFT('Offshore - Brisbane'!A265,FIND(CHAR(10),'Offshore - Brisbane'!A265&amp;CHAR(10))-1))</f>
        <v>Le Cordon Bleu Australia</v>
      </c>
      <c r="E1704" s="63" t="str">
        <f aca="false">'Offshore - Brisbane'!C276&amp;""</f>
        <v>2 years</v>
      </c>
      <c r="F1704" s="63" t="str">
        <f aca="false">IF('Offshore - Brisbane'!D276="","Belum tercatat",'Offshore - Brisbane'!D276)</f>
        <v>Term</v>
      </c>
      <c r="G1704" s="65" t="n">
        <f aca="false">IF('Offshore - Brisbane'!E276="","-",'Offshore - Brisbane'!E276)</f>
        <v>6760</v>
      </c>
      <c r="H1704" s="63" t="n">
        <f aca="false">IF(ISNUMBER(K1704),COUNTIFS($J$6:$J$1854,J1704,$K$6:$K$1854,"&lt;"&amp;K1704)+1,"-")</f>
        <v>1</v>
      </c>
      <c r="I1704" s="64" t="str">
        <f aca="false">IF('Offshore - Brisbane'!E276="","Harga belum tersedia - hubungi konsultan TEG",IF(M1704=2,"Saat ini tidak menerima pendaftaran siswa internasional baru",IF(M1704=1,"Program perlu dikonfirmasi ketersediaannya"&amp;IF(""="","","; "&amp;""),"")))</f>
        <v>Program perlu dikonfirmasi ketersediaannya</v>
      </c>
      <c r="J1704" s="0" t="s">
        <v>4495</v>
      </c>
      <c r="K1704" s="0" t="n">
        <f aca="false">IF(M1704=2,"",IF(ISNUMBER(SEARCH("rata-rata:",'Offshore - Brisbane'!N276)),VALUE(MID('Offshore - Brisbane'!N276,SEARCH("rata-rata:",'Offshore - Brisbane'!N276)+11,FIND(";",'Offshore - Brisbane'!N276&amp;";",SEARCH("rata-rata:",'Offshore - Brisbane'!N276))-SEARCH("rata-rata:",'Offshore - Brisbane'!N276)-11)),IF('Offshore - Brisbane'!D276="Semester",'Offshore - Brisbane'!E276*2,IF('Offshore - Brisbane'!D276="Trimester",'Offshore - Brisbane'!E276*3,IF('Offshore - Brisbane'!D276="Term",'Offshore - Brisbane'!E276*4,IF('Offshore - Brisbane'!D276="Unit",'Offshore - Brisbane'!E276*8,""))))))</f>
        <v>27040</v>
      </c>
      <c r="L1704" s="0" t="n">
        <f aca="false">IF(AND(ISNUMBER('Offshore - Brisbane'!E276),ISNUMBER(K1704),ISNUMBER('Offshore - Brisbane'!F276),ISNUMBER('Offshore - Brisbane'!G276),OR('Offshore - Brisbane'!F276&lt;&gt;0,ISNUMBER(SEARCH("Material 0 terverifikasi",'Offshore - Brisbane'!N276))),OR('Offshore - Brisbane'!G276&lt;&gt;0,ISNUMBER(SEARCH("Enrolment 0 terverifikasi",'Offshore - Brisbane'!N276)))),1,0)</f>
        <v>0</v>
      </c>
      <c r="M1704" s="0" t="n">
        <f aca="false">IF(OR('Offshore - Brisbane'!E276="",ISNUMBER(SEARCH("BSB80120",'Offshore - Brisbane'!B276&amp;'Offshore - Brisbane'!N276)),ISNUMBER(SEARCH("Management (Learning)",'Offshore - Brisbane'!B276))),2,IF(ISNUMBER(SEARCH("CEK:",'Offshore - Brisbane'!N276)),1,0))</f>
        <v>1</v>
      </c>
    </row>
    <row r="1705" customFormat="false" ht="15" hidden="false" customHeight="false" outlineLevel="0" collapsed="false">
      <c r="A1705" s="61" t="s">
        <v>4496</v>
      </c>
      <c r="B1705" s="62"/>
      <c r="C1705" s="62"/>
      <c r="D1705" s="62"/>
      <c r="E1705" s="62"/>
      <c r="F1705" s="62"/>
      <c r="G1705" s="62"/>
      <c r="H1705" s="62"/>
      <c r="I1705" s="62"/>
    </row>
    <row r="1706" customFormat="false" ht="15" hidden="false" customHeight="false" outlineLevel="0" collapsed="false">
      <c r="A1706" s="63" t="s">
        <v>3544</v>
      </c>
      <c r="B1706" s="64" t="s">
        <v>4488</v>
      </c>
      <c r="C1706" s="63" t="s">
        <v>46</v>
      </c>
      <c r="D1706" s="64" t="str">
        <f aca="false">TRIM(LEFT('Offshore - Melbourne'!A324,FIND(CHAR(10),'Offshore - Melbourne'!A324&amp;CHAR(10))-1))</f>
        <v>Le Cordon Bleu Australia</v>
      </c>
      <c r="E1706" s="63" t="str">
        <f aca="false">'Offshore - Melbourne'!C335&amp;""</f>
        <v>2 years</v>
      </c>
      <c r="F1706" s="63" t="str">
        <f aca="false">IF('Offshore - Melbourne'!D335="","Belum tercatat",'Offshore - Melbourne'!D335)</f>
        <v>Term</v>
      </c>
      <c r="G1706" s="65" t="n">
        <f aca="false">IF('Offshore - Melbourne'!E335="","-",'Offshore - Melbourne'!E335)</f>
        <v>6760</v>
      </c>
      <c r="H1706" s="63" t="n">
        <f aca="false">IF(ISNUMBER(K1706),COUNTIFS($J$6:$J$1854,J1706,$K$6:$K$1854,"&lt;"&amp;K1706)+1,"-")</f>
        <v>1</v>
      </c>
      <c r="I1706" s="64" t="str">
        <f aca="false">IF('Offshore - Melbourne'!E335="","Harga belum tersedia - hubungi konsultan TEG",IF(M1706=2,"Saat ini tidak menerima pendaftaran siswa internasional baru",IF(M1706=1,"Harga perlu dikonfirmasi ke sekolah"&amp;IF(""="","","; "&amp;""),"")))</f>
        <v/>
      </c>
      <c r="J1706" s="0" t="s">
        <v>4497</v>
      </c>
      <c r="K1706" s="0" t="n">
        <f aca="false">IF(M1706=2,"",IF(ISNUMBER(SEARCH("rata-rata:",'Offshore - Melbourne'!N335)),VALUE(MID('Offshore - Melbourne'!N335,SEARCH("rata-rata:",'Offshore - Melbourne'!N335)+11,FIND(";",'Offshore - Melbourne'!N335&amp;";",SEARCH("rata-rata:",'Offshore - Melbourne'!N335))-SEARCH("rata-rata:",'Offshore - Melbourne'!N335)-11)),IF('Offshore - Melbourne'!D335="Semester",'Offshore - Melbourne'!E335*2,IF('Offshore - Melbourne'!D335="Trimester",'Offshore - Melbourne'!E335*3,IF('Offshore - Melbourne'!D335="Term",'Offshore - Melbourne'!E335*4,IF('Offshore - Melbourne'!D335="Unit",'Offshore - Melbourne'!E335*8,""))))))</f>
        <v>27040</v>
      </c>
      <c r="L1706" s="0" t="n">
        <f aca="false">IF(AND(ISNUMBER('Offshore - Melbourne'!E335),ISNUMBER(K1706),ISNUMBER('Offshore - Melbourne'!F335),ISNUMBER('Offshore - Melbourne'!G335),OR('Offshore - Melbourne'!F335&lt;&gt;0,ISNUMBER(SEARCH("Material 0 terverifikasi",'Offshore - Melbourne'!N335))),OR('Offshore - Melbourne'!G335&lt;&gt;0,ISNUMBER(SEARCH("Enrolment 0 terverifikasi",'Offshore - Melbourne'!N335)))),1,0)</f>
        <v>0</v>
      </c>
      <c r="M1706" s="0" t="n">
        <f aca="false">IF(OR('Offshore - Melbourne'!E335="",ISNUMBER(SEARCH("BSB80120",'Offshore - Melbourne'!B335&amp;'Offshore - Melbourne'!N335)),ISNUMBER(SEARCH("Management (Learning)",'Offshore - Melbourne'!B335))),2,IF(ISNUMBER(SEARCH("CEK:",'Offshore - Melbourne'!N335)),1,0))</f>
        <v>0</v>
      </c>
    </row>
    <row r="1707" customFormat="false" ht="15" hidden="false" customHeight="false" outlineLevel="0" collapsed="false">
      <c r="A1707" s="61" t="s">
        <v>4498</v>
      </c>
      <c r="B1707" s="62"/>
      <c r="C1707" s="62"/>
      <c r="D1707" s="62"/>
      <c r="E1707" s="62"/>
      <c r="F1707" s="62"/>
      <c r="G1707" s="62"/>
      <c r="H1707" s="62"/>
      <c r="I1707" s="62"/>
    </row>
    <row r="1708" customFormat="false" ht="15" hidden="false" customHeight="false" outlineLevel="0" collapsed="false">
      <c r="A1708" s="63" t="s">
        <v>3533</v>
      </c>
      <c r="B1708" s="64" t="s">
        <v>4488</v>
      </c>
      <c r="C1708" s="63" t="s">
        <v>41</v>
      </c>
      <c r="D1708" s="64" t="str">
        <f aca="false">TRIM(LEFT('Offshore - Sydney'!A721,FIND(CHAR(10),'Offshore - Sydney'!A721&amp;CHAR(10))-1))</f>
        <v>TAFE NSW</v>
      </c>
      <c r="E1708" s="63" t="str">
        <f aca="false">'Offshore - Sydney'!C772&amp;""</f>
        <v>1 year</v>
      </c>
      <c r="F1708" s="63" t="str">
        <f aca="false">IF('Offshore - Sydney'!D772="","Belum tercatat",'Offshore - Sydney'!D772)</f>
        <v>Term</v>
      </c>
      <c r="G1708" s="65" t="n">
        <f aca="false">IF('Offshore - Sydney'!E772="","-",'Offshore - Sydney'!E772)</f>
        <v>4682</v>
      </c>
      <c r="H1708" s="63" t="n">
        <f aca="false">IF(ISNUMBER(K1708),COUNTIFS($J$6:$J$1854,J1708,$K$6:$K$1854,"&lt;"&amp;K1708)+1,"-")</f>
        <v>1</v>
      </c>
      <c r="I1708" s="64" t="str">
        <f aca="false">IF('Offshore - Sydney'!E772="","Harga belum tersedia - hubungi konsultan TEG",IF(M1708=2,"Saat ini tidak menerima pendaftaran siswa internasional baru",IF(M1708=1,"Harga perlu dikonfirmasi ke sekolah"&amp;IF(""="","","; "&amp;""),"")))</f>
        <v/>
      </c>
      <c r="J1708" s="0" t="s">
        <v>4499</v>
      </c>
      <c r="K1708" s="0" t="n">
        <f aca="false">IF(M1708=2,"",IF(ISNUMBER(SEARCH("rata-rata:",'Offshore - Sydney'!N772)),VALUE(MID('Offshore - Sydney'!N772,SEARCH("rata-rata:",'Offshore - Sydney'!N772)+11,FIND(";",'Offshore - Sydney'!N772&amp;";",SEARCH("rata-rata:",'Offshore - Sydney'!N772))-SEARCH("rata-rata:",'Offshore - Sydney'!N772)-11)),IF('Offshore - Sydney'!D772="Semester",'Offshore - Sydney'!E772*2,IF('Offshore - Sydney'!D772="Trimester",'Offshore - Sydney'!E772*3,IF('Offshore - Sydney'!D772="Term",'Offshore - Sydney'!E772*4,IF('Offshore - Sydney'!D772="Unit",'Offshore - Sydney'!E772*8,""))))))</f>
        <v>18728</v>
      </c>
      <c r="L1708" s="0" t="n">
        <f aca="false">IF(AND(ISNUMBER('Offshore - Sydney'!E772),ISNUMBER(K1708),ISNUMBER('Offshore - Sydney'!F772),ISNUMBER('Offshore - Sydney'!G772),OR('Offshore - Sydney'!F772&lt;&gt;0,ISNUMBER(SEARCH("Material 0 terverifikasi",'Offshore - Sydney'!N772))),OR('Offshore - Sydney'!G772&lt;&gt;0,ISNUMBER(SEARCH("Enrolment 0 terverifikasi",'Offshore - Sydney'!N772)))),1,0)</f>
        <v>0</v>
      </c>
      <c r="M1708" s="0" t="n">
        <f aca="false">IF(OR('Offshore - Sydney'!E772="",ISNUMBER(SEARCH("BSB80120",'Offshore - Sydney'!B772&amp;'Offshore - Sydney'!N772)),ISNUMBER(SEARCH("Management (Learning)",'Offshore - Sydney'!B772))),2,IF(ISNUMBER(SEARCH("CEK:",'Offshore - Sydney'!N772)),1,0))</f>
        <v>0</v>
      </c>
    </row>
    <row r="1709" customFormat="false" ht="15" hidden="false" customHeight="false" outlineLevel="0" collapsed="false">
      <c r="A1709" s="61" t="s">
        <v>4500</v>
      </c>
      <c r="B1709" s="62"/>
      <c r="C1709" s="62"/>
      <c r="D1709" s="62"/>
      <c r="E1709" s="62"/>
      <c r="F1709" s="62"/>
      <c r="G1709" s="62"/>
      <c r="H1709" s="62"/>
      <c r="I1709" s="62"/>
    </row>
    <row r="1710" customFormat="false" ht="15" hidden="false" customHeight="false" outlineLevel="0" collapsed="false">
      <c r="A1710" s="63" t="s">
        <v>3533</v>
      </c>
      <c r="B1710" s="64" t="s">
        <v>4488</v>
      </c>
      <c r="C1710" s="63" t="s">
        <v>46</v>
      </c>
      <c r="D1710" s="64" t="str">
        <f aca="false">TRIM(LEFT('Offshore - Sydney'!A539,FIND(CHAR(10),'Offshore - Sydney'!A539&amp;CHAR(10))-1))</f>
        <v>Le Cordon Bleu Australia</v>
      </c>
      <c r="E1710" s="63" t="str">
        <f aca="false">'Offshore - Sydney'!C550&amp;""</f>
        <v>2 years</v>
      </c>
      <c r="F1710" s="63" t="str">
        <f aca="false">IF('Offshore - Sydney'!D550="","Belum tercatat",'Offshore - Sydney'!D550)</f>
        <v>Term</v>
      </c>
      <c r="G1710" s="65" t="n">
        <f aca="false">IF('Offshore - Sydney'!E550="","-",'Offshore - Sydney'!E550)</f>
        <v>6760</v>
      </c>
      <c r="H1710" s="63" t="n">
        <f aca="false">IF(ISNUMBER(K1710),COUNTIFS($J$6:$J$1854,J1710,$K$6:$K$1854,"&lt;"&amp;K1710)+1,"-")</f>
        <v>1</v>
      </c>
      <c r="I1710" s="64" t="str">
        <f aca="false">IF('Offshore - Sydney'!E550="","Harga belum tersedia - hubungi konsultan TEG",IF(M1710=2,"Saat ini tidak menerima pendaftaran siswa internasional baru",IF(M1710=1,"Harga perlu dikonfirmasi ke sekolah"&amp;IF(""="","","; "&amp;""),"")))</f>
        <v/>
      </c>
      <c r="J1710" s="0" t="s">
        <v>4501</v>
      </c>
      <c r="K1710" s="0" t="n">
        <f aca="false">IF(M1710=2,"",IF(ISNUMBER(SEARCH("rata-rata:",'Offshore - Sydney'!N550)),VALUE(MID('Offshore - Sydney'!N550,SEARCH("rata-rata:",'Offshore - Sydney'!N550)+11,FIND(";",'Offshore - Sydney'!N550&amp;";",SEARCH("rata-rata:",'Offshore - Sydney'!N550))-SEARCH("rata-rata:",'Offshore - Sydney'!N550)-11)),IF('Offshore - Sydney'!D550="Semester",'Offshore - Sydney'!E550*2,IF('Offshore - Sydney'!D550="Trimester",'Offshore - Sydney'!E550*3,IF('Offshore - Sydney'!D550="Term",'Offshore - Sydney'!E550*4,IF('Offshore - Sydney'!D550="Unit",'Offshore - Sydney'!E550*8,""))))))</f>
        <v>27040</v>
      </c>
      <c r="L1710" s="0" t="n">
        <f aca="false">IF(AND(ISNUMBER('Offshore - Sydney'!E550),ISNUMBER(K1710),ISNUMBER('Offshore - Sydney'!F550),ISNUMBER('Offshore - Sydney'!G550),OR('Offshore - Sydney'!F550&lt;&gt;0,ISNUMBER(SEARCH("Material 0 terverifikasi",'Offshore - Sydney'!N550))),OR('Offshore - Sydney'!G550&lt;&gt;0,ISNUMBER(SEARCH("Enrolment 0 terverifikasi",'Offshore - Sydney'!N550)))),1,0)</f>
        <v>0</v>
      </c>
      <c r="M1710" s="0" t="n">
        <f aca="false">IF(OR('Offshore - Sydney'!E550="",ISNUMBER(SEARCH("BSB80120",'Offshore - Sydney'!B550&amp;'Offshore - Sydney'!N550)),ISNUMBER(SEARCH("Management (Learning)",'Offshore - Sydney'!B550))),2,IF(ISNUMBER(SEARCH("CEK:",'Offshore - Sydney'!N550)),1,0))</f>
        <v>0</v>
      </c>
    </row>
    <row r="1711" customFormat="false" ht="15" hidden="false" customHeight="false" outlineLevel="0" collapsed="false">
      <c r="A1711" s="61" t="s">
        <v>4502</v>
      </c>
      <c r="B1711" s="62"/>
      <c r="C1711" s="62"/>
      <c r="D1711" s="62"/>
      <c r="E1711" s="62"/>
      <c r="F1711" s="62"/>
      <c r="G1711" s="62"/>
      <c r="H1711" s="62"/>
      <c r="I1711" s="62"/>
    </row>
    <row r="1712" customFormat="false" ht="15" hidden="false" customHeight="false" outlineLevel="0" collapsed="false">
      <c r="A1712" s="63" t="s">
        <v>3753</v>
      </c>
      <c r="B1712" s="64" t="s">
        <v>4488</v>
      </c>
      <c r="C1712" s="63" t="s">
        <v>41</v>
      </c>
      <c r="D1712" s="64" t="str">
        <f aca="false">TRIM(LEFT('Offshore - Tasmania Hobart'!A21,FIND(CHAR(10),'Offshore - Tasmania Hobart'!A21&amp;CHAR(10))-1))</f>
        <v>University of Tasmania (UTAS)</v>
      </c>
      <c r="E1712" s="63" t="str">
        <f aca="false">'Offshore - Tasmania Hobart'!C37&amp;""</f>
        <v>1 year</v>
      </c>
      <c r="F1712" s="63" t="str">
        <f aca="false">IF('Offshore - Tasmania Hobart'!D37="","Belum tercatat",'Offshore - Tasmania Hobart'!D37)</f>
        <v>Term</v>
      </c>
      <c r="G1712" s="65" t="n">
        <f aca="false">IF('Offshore - Tasmania Hobart'!E37="","-",'Offshore - Tasmania Hobart'!E37)</f>
        <v>9487.5</v>
      </c>
      <c r="H1712" s="63" t="n">
        <f aca="false">IF(ISNUMBER(K1712),COUNTIFS($J$6:$J$1854,J1712,$K$6:$K$1854,"&lt;"&amp;K1712)+1,"-")</f>
        <v>1</v>
      </c>
      <c r="I1712" s="64" t="str">
        <f aca="false">IF('Offshore - Tasmania Hobart'!E37="","Harga belum tersedia - hubungi konsultan TEG",IF(M1712=2,"Saat ini tidak menerima pendaftaran siswa internasional baru",IF(M1712=1,"Harga perlu dikonfirmasi ke sekolah"&amp;IF(""="","","; "&amp;""),"")))</f>
        <v>Harga perlu dikonfirmasi ke sekolah</v>
      </c>
      <c r="J1712" s="0" t="s">
        <v>4503</v>
      </c>
      <c r="K1712" s="0" t="n">
        <f aca="false">IF(M1712=2,"",IF(ISNUMBER(SEARCH("rata-rata:",'Offshore - Tasmania Hobart'!N37)),VALUE(MID('Offshore - Tasmania Hobart'!N37,SEARCH("rata-rata:",'Offshore - Tasmania Hobart'!N37)+11,FIND(";",'Offshore - Tasmania Hobart'!N37&amp;";",SEARCH("rata-rata:",'Offshore - Tasmania Hobart'!N37))-SEARCH("rata-rata:",'Offshore - Tasmania Hobart'!N37)-11)),IF('Offshore - Tasmania Hobart'!D37="Semester",'Offshore - Tasmania Hobart'!E37*2,IF('Offshore - Tasmania Hobart'!D37="Trimester",'Offshore - Tasmania Hobart'!E37*3,IF('Offshore - Tasmania Hobart'!D37="Term",'Offshore - Tasmania Hobart'!E37*4,IF('Offshore - Tasmania Hobart'!D37="Unit",'Offshore - Tasmania Hobart'!E37*8,""))))))</f>
        <v>37950</v>
      </c>
      <c r="L1712" s="0" t="n">
        <f aca="false">IF(AND(ISNUMBER('Offshore - Tasmania Hobart'!E37),ISNUMBER(K1712),ISNUMBER('Offshore - Tasmania Hobart'!F37),ISNUMBER('Offshore - Tasmania Hobart'!G37),OR('Offshore - Tasmania Hobart'!F37&lt;&gt;0,ISNUMBER(SEARCH("Material 0 terverifikasi",'Offshore - Tasmania Hobart'!N37))),OR('Offshore - Tasmania Hobart'!G37&lt;&gt;0,ISNUMBER(SEARCH("Enrolment 0 terverifikasi",'Offshore - Tasmania Hobart'!N37)))),1,0)</f>
        <v>0</v>
      </c>
      <c r="M1712" s="0" t="n">
        <f aca="false">IF(OR('Offshore - Tasmania Hobart'!E37="",ISNUMBER(SEARCH("BSB80120",'Offshore - Tasmania Hobart'!B37&amp;'Offshore - Tasmania Hobart'!N37)),ISNUMBER(SEARCH("Management (Learning)",'Offshore - Tasmania Hobart'!B37))),2,IF(ISNUMBER(SEARCH("CEK:",'Offshore - Tasmania Hobart'!N37)),1,0))</f>
        <v>1</v>
      </c>
    </row>
    <row r="1713" customFormat="false" ht="15" hidden="false" customHeight="false" outlineLevel="0" collapsed="false">
      <c r="A1713" s="61" t="s">
        <v>4504</v>
      </c>
      <c r="B1713" s="62"/>
      <c r="C1713" s="62"/>
      <c r="D1713" s="62"/>
      <c r="E1713" s="62"/>
      <c r="F1713" s="62"/>
      <c r="G1713" s="62"/>
      <c r="H1713" s="62"/>
      <c r="I1713" s="62"/>
    </row>
    <row r="1714" customFormat="false" ht="15" hidden="false" customHeight="false" outlineLevel="0" collapsed="false">
      <c r="A1714" s="63" t="s">
        <v>3753</v>
      </c>
      <c r="B1714" s="64" t="s">
        <v>4488</v>
      </c>
      <c r="C1714" s="63" t="s">
        <v>42</v>
      </c>
      <c r="D1714" s="64" t="str">
        <f aca="false">TRIM(LEFT('Offshore - Tasmania Hobart'!A21,FIND(CHAR(10),'Offshore - Tasmania Hobart'!A21&amp;CHAR(10))-1))</f>
        <v>University of Tasmania (UTAS)</v>
      </c>
      <c r="E1714" s="63" t="str">
        <f aca="false">'Offshore - Tasmania Hobart'!C40&amp;""</f>
        <v>2 years</v>
      </c>
      <c r="F1714" s="63" t="str">
        <f aca="false">IF('Offshore - Tasmania Hobart'!D40="","Belum tercatat",'Offshore - Tasmania Hobart'!D40)</f>
        <v>Term</v>
      </c>
      <c r="G1714" s="65" t="n">
        <f aca="false">IF('Offshore - Tasmania Hobart'!E40="","-",'Offshore - Tasmania Hobart'!E40)</f>
        <v>9487.5</v>
      </c>
      <c r="H1714" s="63" t="n">
        <f aca="false">IF(ISNUMBER(K1714),COUNTIFS($J$6:$J$1854,J1714,$K$6:$K$1854,"&lt;"&amp;K1714)+1,"-")</f>
        <v>1</v>
      </c>
      <c r="I1714" s="64" t="str">
        <f aca="false">IF('Offshore - Tasmania Hobart'!E40="","Harga belum tersedia - hubungi konsultan TEG",IF(M1714=2,"Saat ini tidak menerima pendaftaran siswa internasional baru",IF(M1714=1,"Harga perlu dikonfirmasi ke sekolah"&amp;IF(""="","","; "&amp;""),"")))</f>
        <v>Harga perlu dikonfirmasi ke sekolah</v>
      </c>
      <c r="J1714" s="0" t="s">
        <v>4505</v>
      </c>
      <c r="K1714" s="0" t="n">
        <f aca="false">IF(M1714=2,"",IF(ISNUMBER(SEARCH("rata-rata:",'Offshore - Tasmania Hobart'!N40)),VALUE(MID('Offshore - Tasmania Hobart'!N40,SEARCH("rata-rata:",'Offshore - Tasmania Hobart'!N40)+11,FIND(";",'Offshore - Tasmania Hobart'!N40&amp;";",SEARCH("rata-rata:",'Offshore - Tasmania Hobart'!N40))-SEARCH("rata-rata:",'Offshore - Tasmania Hobart'!N40)-11)),IF('Offshore - Tasmania Hobart'!D40="Semester",'Offshore - Tasmania Hobart'!E40*2,IF('Offshore - Tasmania Hobart'!D40="Trimester",'Offshore - Tasmania Hobart'!E40*3,IF('Offshore - Tasmania Hobart'!D40="Term",'Offshore - Tasmania Hobart'!E40*4,IF('Offshore - Tasmania Hobart'!D40="Unit",'Offshore - Tasmania Hobart'!E40*8,""))))))</f>
        <v>37950</v>
      </c>
      <c r="L1714" s="0" t="n">
        <f aca="false">IF(AND(ISNUMBER('Offshore - Tasmania Hobart'!E40),ISNUMBER(K1714),ISNUMBER('Offshore - Tasmania Hobart'!F40),ISNUMBER('Offshore - Tasmania Hobart'!G40),OR('Offshore - Tasmania Hobart'!F40&lt;&gt;0,ISNUMBER(SEARCH("Material 0 terverifikasi",'Offshore - Tasmania Hobart'!N40))),OR('Offshore - Tasmania Hobart'!G40&lt;&gt;0,ISNUMBER(SEARCH("Enrolment 0 terverifikasi",'Offshore - Tasmania Hobart'!N40)))),1,0)</f>
        <v>0</v>
      </c>
      <c r="M1714" s="0" t="n">
        <f aca="false">IF(OR('Offshore - Tasmania Hobart'!E40="",ISNUMBER(SEARCH("BSB80120",'Offshore - Tasmania Hobart'!B40&amp;'Offshore - Tasmania Hobart'!N40)),ISNUMBER(SEARCH("Management (Learning)",'Offshore - Tasmania Hobart'!B40))),2,IF(ISNUMBER(SEARCH("CEK:",'Offshore - Tasmania Hobart'!N40)),1,0))</f>
        <v>1</v>
      </c>
    </row>
    <row r="1715" customFormat="false" ht="15" hidden="false" customHeight="false" outlineLevel="0" collapsed="false">
      <c r="A1715" s="61" t="s">
        <v>4506</v>
      </c>
      <c r="B1715" s="62"/>
      <c r="C1715" s="62"/>
      <c r="D1715" s="62"/>
      <c r="E1715" s="62"/>
      <c r="F1715" s="62"/>
      <c r="G1715" s="62"/>
      <c r="H1715" s="62"/>
      <c r="I1715" s="62"/>
    </row>
    <row r="1716" customFormat="false" ht="15" hidden="false" customHeight="false" outlineLevel="0" collapsed="false">
      <c r="A1716" s="63" t="s">
        <v>3753</v>
      </c>
      <c r="B1716" s="64" t="s">
        <v>4488</v>
      </c>
      <c r="C1716" s="63" t="s">
        <v>43</v>
      </c>
      <c r="D1716" s="64" t="str">
        <f aca="false">TRIM(LEFT('Offshore - Tasmania Hobart'!A21,FIND(CHAR(10),'Offshore - Tasmania Hobart'!A21&amp;CHAR(10))-1))</f>
        <v>University of Tasmania (UTAS)</v>
      </c>
      <c r="E1716" s="63" t="str">
        <f aca="false">'Offshore - Tasmania Hobart'!C45&amp;""</f>
        <v>3 years</v>
      </c>
      <c r="F1716" s="63" t="str">
        <f aca="false">IF('Offshore - Tasmania Hobart'!D45="","Belum tercatat",'Offshore - Tasmania Hobart'!D45)</f>
        <v>Term</v>
      </c>
      <c r="G1716" s="65" t="n">
        <f aca="false">IF('Offshore - Tasmania Hobart'!E45="","-",'Offshore - Tasmania Hobart'!E45)</f>
        <v>9487.5</v>
      </c>
      <c r="H1716" s="63" t="n">
        <f aca="false">IF(ISNUMBER(K1716),COUNTIFS($J$6:$J$1854,J1716,$K$6:$K$1854,"&lt;"&amp;K1716)+1,"-")</f>
        <v>1</v>
      </c>
      <c r="I1716" s="64" t="str">
        <f aca="false">IF('Offshore - Tasmania Hobart'!E45="","Harga belum tersedia - hubungi konsultan TEG",IF(M1716=2,"Saat ini tidak menerima pendaftaran siswa internasional baru",IF(M1716=1,"Harga perlu dikonfirmasi ke sekolah"&amp;IF(""="","","; "&amp;""),"")))</f>
        <v>Harga perlu dikonfirmasi ke sekolah</v>
      </c>
      <c r="J1716" s="0" t="s">
        <v>4507</v>
      </c>
      <c r="K1716" s="0" t="n">
        <f aca="false">IF(M1716=2,"",IF(ISNUMBER(SEARCH("rata-rata:",'Offshore - Tasmania Hobart'!N45)),VALUE(MID('Offshore - Tasmania Hobart'!N45,SEARCH("rata-rata:",'Offshore - Tasmania Hobart'!N45)+11,FIND(";",'Offshore - Tasmania Hobart'!N45&amp;";",SEARCH("rata-rata:",'Offshore - Tasmania Hobart'!N45))-SEARCH("rata-rata:",'Offshore - Tasmania Hobart'!N45)-11)),IF('Offshore - Tasmania Hobart'!D45="Semester",'Offshore - Tasmania Hobart'!E45*2,IF('Offshore - Tasmania Hobart'!D45="Trimester",'Offshore - Tasmania Hobart'!E45*3,IF('Offshore - Tasmania Hobart'!D45="Term",'Offshore - Tasmania Hobart'!E45*4,IF('Offshore - Tasmania Hobart'!D45="Unit",'Offshore - Tasmania Hobart'!E45*8,""))))))</f>
        <v>37950</v>
      </c>
      <c r="L1716" s="0" t="n">
        <f aca="false">IF(AND(ISNUMBER('Offshore - Tasmania Hobart'!E45),ISNUMBER(K1716),ISNUMBER('Offshore - Tasmania Hobart'!F45),ISNUMBER('Offshore - Tasmania Hobart'!G45),OR('Offshore - Tasmania Hobart'!F45&lt;&gt;0,ISNUMBER(SEARCH("Material 0 terverifikasi",'Offshore - Tasmania Hobart'!N45))),OR('Offshore - Tasmania Hobart'!G45&lt;&gt;0,ISNUMBER(SEARCH("Enrolment 0 terverifikasi",'Offshore - Tasmania Hobart'!N45)))),1,0)</f>
        <v>0</v>
      </c>
      <c r="M1716" s="0" t="n">
        <f aca="false">IF(OR('Offshore - Tasmania Hobart'!E45="",ISNUMBER(SEARCH("BSB80120",'Offshore - Tasmania Hobart'!B45&amp;'Offshore - Tasmania Hobart'!N45)),ISNUMBER(SEARCH("Management (Learning)",'Offshore - Tasmania Hobart'!B45))),2,IF(ISNUMBER(SEARCH("CEK:",'Offshore - Tasmania Hobart'!N45)),1,0))</f>
        <v>1</v>
      </c>
    </row>
    <row r="1717" customFormat="false" ht="15" hidden="false" customHeight="false" outlineLevel="0" collapsed="false">
      <c r="A1717" s="61" t="s">
        <v>4508</v>
      </c>
      <c r="B1717" s="62"/>
      <c r="C1717" s="62"/>
      <c r="D1717" s="62"/>
      <c r="E1717" s="62"/>
      <c r="F1717" s="62"/>
      <c r="G1717" s="62"/>
      <c r="H1717" s="62"/>
      <c r="I1717" s="62"/>
    </row>
    <row r="1718" customFormat="false" ht="15" hidden="false" customHeight="false" outlineLevel="0" collapsed="false">
      <c r="A1718" s="63" t="s">
        <v>3753</v>
      </c>
      <c r="B1718" s="64" t="s">
        <v>4488</v>
      </c>
      <c r="C1718" s="63" t="s">
        <v>3707</v>
      </c>
      <c r="D1718" s="64" t="str">
        <f aca="false">TRIM(LEFT('Offshore - Tasmania Hobart'!A21,FIND(CHAR(10),'Offshore - Tasmania Hobart'!A21&amp;CHAR(10))-1))</f>
        <v>University of Tasmania (UTAS)</v>
      </c>
      <c r="E1718" s="63" t="str">
        <f aca="false">'Offshore - Tasmania Hobart'!C50&amp;""</f>
        <v>0,5 years</v>
      </c>
      <c r="F1718" s="63" t="str">
        <f aca="false">IF('Offshore - Tasmania Hobart'!D50="","Belum tercatat",'Offshore - Tasmania Hobart'!D50)</f>
        <v>Term</v>
      </c>
      <c r="G1718" s="65" t="n">
        <f aca="false">IF('Offshore - Tasmania Hobart'!E50="","-",'Offshore - Tasmania Hobart'!E50)</f>
        <v>9987.5</v>
      </c>
      <c r="H1718" s="63" t="n">
        <f aca="false">IF(ISNUMBER(K1718),COUNTIFS($J$6:$J$1854,J1718,$K$6:$K$1854,"&lt;"&amp;K1718)+1,"-")</f>
        <v>1</v>
      </c>
      <c r="I1718" s="64" t="str">
        <f aca="false">IF('Offshore - Tasmania Hobart'!E50="","Harga belum tersedia - hubungi konsultan TEG",IF(M1718=2,"Saat ini tidak menerima pendaftaran siswa internasional baru",IF(M1718=1,"Harga perlu dikonfirmasi ke sekolah"&amp;IF(""="","","; "&amp;""),"")))</f>
        <v>Harga perlu dikonfirmasi ke sekolah</v>
      </c>
      <c r="J1718" s="0" t="s">
        <v>4509</v>
      </c>
      <c r="K1718" s="0" t="n">
        <f aca="false">IF(M1718=2,"",IF(ISNUMBER(SEARCH("rata-rata:",'Offshore - Tasmania Hobart'!N50)),VALUE(MID('Offshore - Tasmania Hobart'!N50,SEARCH("rata-rata:",'Offshore - Tasmania Hobart'!N50)+11,FIND(";",'Offshore - Tasmania Hobart'!N50&amp;";",SEARCH("rata-rata:",'Offshore - Tasmania Hobart'!N50))-SEARCH("rata-rata:",'Offshore - Tasmania Hobart'!N50)-11)),IF('Offshore - Tasmania Hobart'!D50="Semester",'Offshore - Tasmania Hobart'!E50*2,IF('Offshore - Tasmania Hobart'!D50="Trimester",'Offshore - Tasmania Hobart'!E50*3,IF('Offshore - Tasmania Hobart'!D50="Term",'Offshore - Tasmania Hobart'!E50*4,IF('Offshore - Tasmania Hobart'!D50="Unit",'Offshore - Tasmania Hobart'!E50*8,""))))))</f>
        <v>39950</v>
      </c>
      <c r="L1718" s="0" t="n">
        <f aca="false">IF(AND(ISNUMBER('Offshore - Tasmania Hobart'!E50),ISNUMBER(K1718),ISNUMBER('Offshore - Tasmania Hobart'!F50),ISNUMBER('Offshore - Tasmania Hobart'!G50),OR('Offshore - Tasmania Hobart'!F50&lt;&gt;0,ISNUMBER(SEARCH("Material 0 terverifikasi",'Offshore - Tasmania Hobart'!N50))),OR('Offshore - Tasmania Hobart'!G50&lt;&gt;0,ISNUMBER(SEARCH("Enrolment 0 terverifikasi",'Offshore - Tasmania Hobart'!N50)))),1,0)</f>
        <v>0</v>
      </c>
      <c r="M1718" s="0" t="n">
        <f aca="false">IF(OR('Offshore - Tasmania Hobart'!E50="",ISNUMBER(SEARCH("BSB80120",'Offshore - Tasmania Hobart'!B50&amp;'Offshore - Tasmania Hobart'!N50)),ISNUMBER(SEARCH("Management (Learning)",'Offshore - Tasmania Hobart'!B50))),2,IF(ISNUMBER(SEARCH("CEK:",'Offshore - Tasmania Hobart'!N50)),1,0))</f>
        <v>1</v>
      </c>
    </row>
    <row r="1719" customFormat="false" ht="15" hidden="false" customHeight="false" outlineLevel="0" collapsed="false">
      <c r="A1719" s="61" t="s">
        <v>4510</v>
      </c>
      <c r="B1719" s="62"/>
      <c r="C1719" s="62"/>
      <c r="D1719" s="62"/>
      <c r="E1719" s="62"/>
      <c r="F1719" s="62"/>
      <c r="G1719" s="62"/>
      <c r="H1719" s="62"/>
      <c r="I1719" s="62"/>
    </row>
    <row r="1720" customFormat="false" ht="15" hidden="false" customHeight="false" outlineLevel="0" collapsed="false">
      <c r="A1720" s="63" t="s">
        <v>3753</v>
      </c>
      <c r="B1720" s="64" t="s">
        <v>4488</v>
      </c>
      <c r="C1720" s="63" t="s">
        <v>46</v>
      </c>
      <c r="D1720" s="64" t="str">
        <f aca="false">TRIM(LEFT('Offshore - Tasmania Hobart'!A21,FIND(CHAR(10),'Offshore - Tasmania Hobart'!A21&amp;CHAR(10))-1))</f>
        <v>University of Tasmania (UTAS)</v>
      </c>
      <c r="E1720" s="63" t="str">
        <f aca="false">'Offshore - Tasmania Hobart'!C61&amp;""</f>
        <v>2 years</v>
      </c>
      <c r="F1720" s="63" t="str">
        <f aca="false">IF('Offshore - Tasmania Hobart'!D61="","Belum tercatat",'Offshore - Tasmania Hobart'!D61)</f>
        <v>Term</v>
      </c>
      <c r="G1720" s="65" t="n">
        <f aca="false">IF('Offshore - Tasmania Hobart'!E61="","-",'Offshore - Tasmania Hobart'!E61)</f>
        <v>9987.5</v>
      </c>
      <c r="H1720" s="63" t="n">
        <f aca="false">IF(ISNUMBER(K1720),COUNTIFS($J$6:$J$1854,J1720,$K$6:$K$1854,"&lt;"&amp;K1720)+1,"-")</f>
        <v>1</v>
      </c>
      <c r="I1720" s="64" t="str">
        <f aca="false">IF('Offshore - Tasmania Hobart'!E61="","Harga belum tersedia - hubungi konsultan TEG",IF(M1720=2,"Saat ini tidak menerima pendaftaran siswa internasional baru",IF(M1720=1,"Harga perlu dikonfirmasi ke sekolah"&amp;IF(""="","","; "&amp;""),"")))</f>
        <v>Harga perlu dikonfirmasi ke sekolah</v>
      </c>
      <c r="J1720" s="0" t="s">
        <v>4511</v>
      </c>
      <c r="K1720" s="0" t="n">
        <f aca="false">IF(M1720=2,"",IF(ISNUMBER(SEARCH("rata-rata:",'Offshore - Tasmania Hobart'!N61)),VALUE(MID('Offshore - Tasmania Hobart'!N61,SEARCH("rata-rata:",'Offshore - Tasmania Hobart'!N61)+11,FIND(";",'Offshore - Tasmania Hobart'!N61&amp;";",SEARCH("rata-rata:",'Offshore - Tasmania Hobart'!N61))-SEARCH("rata-rata:",'Offshore - Tasmania Hobart'!N61)-11)),IF('Offshore - Tasmania Hobart'!D61="Semester",'Offshore - Tasmania Hobart'!E61*2,IF('Offshore - Tasmania Hobart'!D61="Trimester",'Offshore - Tasmania Hobart'!E61*3,IF('Offshore - Tasmania Hobart'!D61="Term",'Offshore - Tasmania Hobart'!E61*4,IF('Offshore - Tasmania Hobart'!D61="Unit",'Offshore - Tasmania Hobart'!E61*8,""))))))</f>
        <v>39950</v>
      </c>
      <c r="L1720" s="0" t="n">
        <f aca="false">IF(AND(ISNUMBER('Offshore - Tasmania Hobart'!E61),ISNUMBER(K1720),ISNUMBER('Offshore - Tasmania Hobart'!F61),ISNUMBER('Offshore - Tasmania Hobart'!G61),OR('Offshore - Tasmania Hobart'!F61&lt;&gt;0,ISNUMBER(SEARCH("Material 0 terverifikasi",'Offshore - Tasmania Hobart'!N61))),OR('Offshore - Tasmania Hobart'!G61&lt;&gt;0,ISNUMBER(SEARCH("Enrolment 0 terverifikasi",'Offshore - Tasmania Hobart'!N61)))),1,0)</f>
        <v>0</v>
      </c>
      <c r="M1720" s="0" t="n">
        <f aca="false">IF(OR('Offshore - Tasmania Hobart'!E61="",ISNUMBER(SEARCH("BSB80120",'Offshore - Tasmania Hobart'!B61&amp;'Offshore - Tasmania Hobart'!N61)),ISNUMBER(SEARCH("Management (Learning)",'Offshore - Tasmania Hobart'!B61))),2,IF(ISNUMBER(SEARCH("CEK:",'Offshore - Tasmania Hobart'!N61)),1,0))</f>
        <v>1</v>
      </c>
    </row>
    <row r="1721" customFormat="false" ht="15" hidden="false" customHeight="false" outlineLevel="0" collapsed="false">
      <c r="A1721" s="61" t="s">
        <v>4512</v>
      </c>
      <c r="B1721" s="62"/>
      <c r="C1721" s="62"/>
      <c r="D1721" s="62"/>
      <c r="E1721" s="62"/>
      <c r="F1721" s="62"/>
      <c r="G1721" s="62"/>
      <c r="H1721" s="62"/>
      <c r="I1721" s="62"/>
    </row>
    <row r="1722" customFormat="false" ht="15" hidden="false" customHeight="false" outlineLevel="0" collapsed="false">
      <c r="A1722" s="63" t="s">
        <v>3659</v>
      </c>
      <c r="B1722" s="64" t="s">
        <v>3821</v>
      </c>
      <c r="C1722" s="63" t="s">
        <v>42</v>
      </c>
      <c r="D1722" s="64" t="str">
        <f aca="false">TRIM(LEFT('Offshore - Adelaide'!A6,FIND(CHAR(10),'Offshore - Adelaide'!A6&amp;CHAR(10))-1))</f>
        <v>Abbey College Australia</v>
      </c>
      <c r="E1722" s="63" t="str">
        <f aca="false">'Offshore - Adelaide'!C12&amp;""</f>
        <v>2 years</v>
      </c>
      <c r="F1722" s="63" t="str">
        <f aca="false">IF('Offshore - Adelaide'!D12="","Belum tercatat",'Offshore - Adelaide'!D12)</f>
        <v>Term</v>
      </c>
      <c r="G1722" s="65" t="n">
        <f aca="false">IF('Offshore - Adelaide'!E12="","-",'Offshore - Adelaide'!E12)</f>
        <v>1600</v>
      </c>
      <c r="H1722" s="63" t="n">
        <f aca="false">IF(ISNUMBER(K1722),COUNTIFS($J$6:$J$1854,J1722,$K$6:$K$1854,"&lt;"&amp;K1722)+1,"-")</f>
        <v>1</v>
      </c>
      <c r="I1722" s="64" t="str">
        <f aca="false">IF('Offshore - Adelaide'!E12="","Harga belum tersedia - hubungi konsultan TEG",IF(M1722=2,"Saat ini tidak menerima pendaftaran siswa internasional baru",IF(M1722=1,"Harga perlu dikonfirmasi ke sekolah"&amp;IF(""="","","; "&amp;""),"")))</f>
        <v/>
      </c>
      <c r="J1722" s="0" t="s">
        <v>4513</v>
      </c>
      <c r="K1722" s="0" t="n">
        <f aca="false">IF(M1722=2,"",IF(ISNUMBER(SEARCH("rata-rata:",'Offshore - Adelaide'!N12)),VALUE(MID('Offshore - Adelaide'!N12,SEARCH("rata-rata:",'Offshore - Adelaide'!N12)+11,FIND(";",'Offshore - Adelaide'!N12&amp;";",SEARCH("rata-rata:",'Offshore - Adelaide'!N12))-SEARCH("rata-rata:",'Offshore - Adelaide'!N12)-11)),IF('Offshore - Adelaide'!D12="Semester",'Offshore - Adelaide'!E12*2,IF('Offshore - Adelaide'!D12="Trimester",'Offshore - Adelaide'!E12*3,IF('Offshore - Adelaide'!D12="Term",'Offshore - Adelaide'!E12*4,IF('Offshore - Adelaide'!D12="Unit",'Offshore - Adelaide'!E12*8,""))))))</f>
        <v>6400</v>
      </c>
      <c r="L1722" s="0" t="n">
        <f aca="false">IF(AND(ISNUMBER('Offshore - Adelaide'!E12),ISNUMBER(K1722),ISNUMBER('Offshore - Adelaide'!F12),ISNUMBER('Offshore - Adelaide'!G12),OR('Offshore - Adelaide'!F12&lt;&gt;0,ISNUMBER(SEARCH("Material 0 terverifikasi",'Offshore - Adelaide'!N12))),OR('Offshore - Adelaide'!G12&lt;&gt;0,ISNUMBER(SEARCH("Enrolment 0 terverifikasi",'Offshore - Adelaide'!N12)))),1,0)</f>
        <v>1</v>
      </c>
      <c r="M1722" s="0" t="n">
        <f aca="false">IF(OR('Offshore - Adelaide'!E12="",ISNUMBER(SEARCH("BSB80120",'Offshore - Adelaide'!B12&amp;'Offshore - Adelaide'!N12)),ISNUMBER(SEARCH("Management (Learning)",'Offshore - Adelaide'!B12))),2,IF(ISNUMBER(SEARCH("CEK:",'Offshore - Adelaide'!N12)),1,0))</f>
        <v>0</v>
      </c>
    </row>
    <row r="1723" customFormat="false" ht="15" hidden="false" customHeight="false" outlineLevel="0" collapsed="false">
      <c r="A1723" s="63" t="s">
        <v>3659</v>
      </c>
      <c r="B1723" s="64" t="s">
        <v>3821</v>
      </c>
      <c r="C1723" s="63" t="s">
        <v>42</v>
      </c>
      <c r="D1723" s="64" t="str">
        <f aca="false">TRIM(LEFT('Offshore - Adelaide'!A399,FIND(CHAR(10),'Offshore - Adelaide'!A399&amp;CHAR(10))-1))</f>
        <v>Australian Ideal College (AIC)</v>
      </c>
      <c r="E1723" s="63" t="str">
        <f aca="false">'Offshore - Adelaide'!C415&amp;""</f>
        <v>1 year</v>
      </c>
      <c r="F1723" s="63" t="str">
        <f aca="false">IF('Offshore - Adelaide'!D415="","Belum tercatat",'Offshore - Adelaide'!D415)</f>
        <v>Term</v>
      </c>
      <c r="G1723" s="65" t="n">
        <f aca="false">IF('Offshore - Adelaide'!E415="","-",'Offshore - Adelaide'!E415)</f>
        <v>3000</v>
      </c>
      <c r="H1723" s="63" t="n">
        <f aca="false">IF(ISNUMBER(K1723),COUNTIFS($J$6:$J$1854,J1723,$K$6:$K$1854,"&lt;"&amp;K1723)+1,"-")</f>
        <v>2</v>
      </c>
      <c r="I1723" s="64" t="str">
        <f aca="false">IF('Offshore - Adelaide'!E415="","Harga belum tersedia - hubungi konsultan TEG",IF(M1723=2,"Saat ini tidak menerima pendaftaran siswa internasional baru",IF(M1723=1,"Harga perlu dikonfirmasi ke sekolah"&amp;IF(""="","","; "&amp;""),"")))</f>
        <v/>
      </c>
      <c r="J1723" s="0" t="s">
        <v>4513</v>
      </c>
      <c r="K1723" s="0" t="n">
        <f aca="false">IF(M1723=2,"",IF(ISNUMBER(SEARCH("rata-rata:",'Offshore - Adelaide'!N415)),VALUE(MID('Offshore - Adelaide'!N415,SEARCH("rata-rata:",'Offshore - Adelaide'!N415)+11,FIND(";",'Offshore - Adelaide'!N415&amp;";",SEARCH("rata-rata:",'Offshore - Adelaide'!N415))-SEARCH("rata-rata:",'Offshore - Adelaide'!N415)-11)),IF('Offshore - Adelaide'!D415="Semester",'Offshore - Adelaide'!E415*2,IF('Offshore - Adelaide'!D415="Trimester",'Offshore - Adelaide'!E415*3,IF('Offshore - Adelaide'!D415="Term",'Offshore - Adelaide'!E415*4,IF('Offshore - Adelaide'!D415="Unit",'Offshore - Adelaide'!E415*8,""))))))</f>
        <v>12000</v>
      </c>
      <c r="L1723" s="0" t="n">
        <f aca="false">IF(AND(ISNUMBER('Offshore - Adelaide'!E415),ISNUMBER(K1723),ISNUMBER('Offshore - Adelaide'!F415),ISNUMBER('Offshore - Adelaide'!G415),OR('Offshore - Adelaide'!F415&lt;&gt;0,ISNUMBER(SEARCH("Material 0 terverifikasi",'Offshore - Adelaide'!N415))),OR('Offshore - Adelaide'!G415&lt;&gt;0,ISNUMBER(SEARCH("Enrolment 0 terverifikasi",'Offshore - Adelaide'!N415)))),1,0)</f>
        <v>1</v>
      </c>
      <c r="M1723" s="0" t="n">
        <f aca="false">IF(OR('Offshore - Adelaide'!E415="",ISNUMBER(SEARCH("BSB80120",'Offshore - Adelaide'!B415&amp;'Offshore - Adelaide'!N415)),ISNUMBER(SEARCH("Management (Learning)",'Offshore - Adelaide'!B415))),2,IF(ISNUMBER(SEARCH("CEK:",'Offshore - Adelaide'!N415)),1,0))</f>
        <v>0</v>
      </c>
    </row>
    <row r="1724" customFormat="false" ht="15" hidden="false" customHeight="false" outlineLevel="0" collapsed="false">
      <c r="A1724" s="61" t="s">
        <v>4514</v>
      </c>
      <c r="B1724" s="62"/>
      <c r="C1724" s="62"/>
      <c r="D1724" s="62"/>
      <c r="E1724" s="62"/>
      <c r="F1724" s="62"/>
      <c r="G1724" s="62"/>
      <c r="H1724" s="62"/>
      <c r="I1724" s="62"/>
    </row>
    <row r="1725" customFormat="false" ht="15" hidden="false" customHeight="false" outlineLevel="0" collapsed="false">
      <c r="A1725" s="63" t="s">
        <v>3659</v>
      </c>
      <c r="B1725" s="64" t="s">
        <v>3821</v>
      </c>
      <c r="C1725" s="63" t="s">
        <v>43</v>
      </c>
      <c r="D1725" s="64" t="str">
        <f aca="false">TRIM(LEFT('Offshore - Adelaide'!A13,FIND(CHAR(10),'Offshore - Adelaide'!A13&amp;CHAR(10))-1))</f>
        <v>Adelaide University</v>
      </c>
      <c r="E1725" s="63" t="str">
        <f aca="false">'Offshore - Adelaide'!C47&amp;""</f>
        <v>3 years</v>
      </c>
      <c r="F1725" s="63" t="str">
        <f aca="false">IF('Offshore - Adelaide'!D47="","Belum tercatat",'Offshore - Adelaide'!D47)</f>
        <v>Term</v>
      </c>
      <c r="G1725" s="65" t="n">
        <f aca="false">IF('Offshore - Adelaide'!E47="","-",'Offshore - Adelaide'!E47)</f>
        <v>11275</v>
      </c>
      <c r="H1725" s="63" t="n">
        <f aca="false">IF(ISNUMBER(K1725),COUNTIFS($J$6:$J$1854,J1725,$K$6:$K$1854,"&lt;"&amp;K1725)+1,"-")</f>
        <v>1</v>
      </c>
      <c r="I1725" s="64" t="str">
        <f aca="false">IF('Offshore - Adelaide'!E47="","Harga belum tersedia - hubungi konsultan TEG",IF(M1725=2,"Saat ini tidak menerima pendaftaran siswa internasional baru",IF(M1725=1,"Harga perlu dikonfirmasi ke sekolah"&amp;IF(""="","","; "&amp;""),"")))</f>
        <v/>
      </c>
      <c r="J1725" s="0" t="s">
        <v>4515</v>
      </c>
      <c r="K1725" s="0" t="n">
        <f aca="false">IF(M1725=2,"",IF(ISNUMBER(SEARCH("rata-rata:",'Offshore - Adelaide'!N47)),VALUE(MID('Offshore - Adelaide'!N47,SEARCH("rata-rata:",'Offshore - Adelaide'!N47)+11,FIND(";",'Offshore - Adelaide'!N47&amp;";",SEARCH("rata-rata:",'Offshore - Adelaide'!N47))-SEARCH("rata-rata:",'Offshore - Adelaide'!N47)-11)),IF('Offshore - Adelaide'!D47="Semester",'Offshore - Adelaide'!E47*2,IF('Offshore - Adelaide'!D47="Trimester",'Offshore - Adelaide'!E47*3,IF('Offshore - Adelaide'!D47="Term",'Offshore - Adelaide'!E47*4,IF('Offshore - Adelaide'!D47="Unit",'Offshore - Adelaide'!E47*8,""))))))</f>
        <v>45100</v>
      </c>
      <c r="L1725" s="0" t="n">
        <f aca="false">IF(AND(ISNUMBER('Offshore - Adelaide'!E47),ISNUMBER(K1725),ISNUMBER('Offshore - Adelaide'!F47),ISNUMBER('Offshore - Adelaide'!G47),OR('Offshore - Adelaide'!F47&lt;&gt;0,ISNUMBER(SEARCH("Material 0 terverifikasi",'Offshore - Adelaide'!N47))),OR('Offshore - Adelaide'!G47&lt;&gt;0,ISNUMBER(SEARCH("Enrolment 0 terverifikasi",'Offshore - Adelaide'!N47)))),1,0)</f>
        <v>0</v>
      </c>
      <c r="M1725" s="0" t="n">
        <f aca="false">IF(OR('Offshore - Adelaide'!E47="",ISNUMBER(SEARCH("BSB80120",'Offshore - Adelaide'!B47&amp;'Offshore - Adelaide'!N47)),ISNUMBER(SEARCH("Management (Learning)",'Offshore - Adelaide'!B47))),2,IF(ISNUMBER(SEARCH("CEK:",'Offshore - Adelaide'!N47)),1,0))</f>
        <v>0</v>
      </c>
    </row>
    <row r="1726" customFormat="false" ht="15" hidden="false" customHeight="false" outlineLevel="0" collapsed="false">
      <c r="A1726" s="61" t="s">
        <v>4516</v>
      </c>
      <c r="B1726" s="62"/>
      <c r="C1726" s="62"/>
      <c r="D1726" s="62"/>
      <c r="E1726" s="62"/>
      <c r="F1726" s="62"/>
      <c r="G1726" s="62"/>
      <c r="H1726" s="62"/>
      <c r="I1726" s="62"/>
    </row>
    <row r="1727" customFormat="false" ht="15" hidden="false" customHeight="false" outlineLevel="0" collapsed="false">
      <c r="A1727" s="63" t="s">
        <v>3659</v>
      </c>
      <c r="B1727" s="64" t="s">
        <v>3821</v>
      </c>
      <c r="C1727" s="63" t="s">
        <v>3707</v>
      </c>
      <c r="D1727" s="64" t="str">
        <f aca="false">TRIM(LEFT('Offshore - Adelaide'!A545,FIND(CHAR(10),'Offshore - Adelaide'!A545&amp;CHAR(10))-1))</f>
        <v>Torrens University Australia</v>
      </c>
      <c r="E1727" s="63" t="str">
        <f aca="false">'Offshore - Adelaide'!C604&amp;""</f>
        <v>0,5 year</v>
      </c>
      <c r="F1727" s="63" t="str">
        <f aca="false">IF('Offshore - Adelaide'!D604="","Belum tercatat",'Offshore - Adelaide'!D604)</f>
        <v>Term</v>
      </c>
      <c r="G1727" s="65" t="n">
        <f aca="false">IF('Offshore - Adelaide'!E604="","-",'Offshore - Adelaide'!E604)</f>
        <v>3688</v>
      </c>
      <c r="H1727" s="63" t="n">
        <f aca="false">IF(ISNUMBER(K1727),COUNTIFS($J$6:$J$1854,J1727,$K$6:$K$1854,"&lt;"&amp;K1727)+1,"-")</f>
        <v>1</v>
      </c>
      <c r="I1727" s="64" t="str">
        <f aca="false">IF('Offshore - Adelaide'!E604="","Harga belum tersedia - hubungi konsultan TEG",IF(M1727=2,"Saat ini tidak menerima pendaftaran siswa internasional baru",IF(M1727=1,"Harga perlu dikonfirmasi ke sekolah"&amp;IF(""="","","; "&amp;""),"")))</f>
        <v/>
      </c>
      <c r="J1727" s="0" t="s">
        <v>4517</v>
      </c>
      <c r="K1727" s="0" t="n">
        <f aca="false">IF(M1727=2,"",IF(ISNUMBER(SEARCH("rata-rata:",'Offshore - Adelaide'!N604)),VALUE(MID('Offshore - Adelaide'!N604,SEARCH("rata-rata:",'Offshore - Adelaide'!N604)+11,FIND(";",'Offshore - Adelaide'!N604&amp;";",SEARCH("rata-rata:",'Offshore - Adelaide'!N604))-SEARCH("rata-rata:",'Offshore - Adelaide'!N604)-11)),IF('Offshore - Adelaide'!D604="Semester",'Offshore - Adelaide'!E604*2,IF('Offshore - Adelaide'!D604="Trimester",'Offshore - Adelaide'!E604*3,IF('Offshore - Adelaide'!D604="Term",'Offshore - Adelaide'!E604*4,IF('Offshore - Adelaide'!D604="Unit",'Offshore - Adelaide'!E604*8,""))))))</f>
        <v>14752</v>
      </c>
      <c r="L1727" s="0" t="n">
        <f aca="false">IF(AND(ISNUMBER('Offshore - Adelaide'!E604),ISNUMBER(K1727),ISNUMBER('Offshore - Adelaide'!F604),ISNUMBER('Offshore - Adelaide'!G604),OR('Offshore - Adelaide'!F604&lt;&gt;0,ISNUMBER(SEARCH("Material 0 terverifikasi",'Offshore - Adelaide'!N604))),OR('Offshore - Adelaide'!G604&lt;&gt;0,ISNUMBER(SEARCH("Enrolment 0 terverifikasi",'Offshore - Adelaide'!N604)))),1,0)</f>
        <v>0</v>
      </c>
      <c r="M1727" s="0" t="n">
        <f aca="false">IF(OR('Offshore - Adelaide'!E604="",ISNUMBER(SEARCH("BSB80120",'Offshore - Adelaide'!B604&amp;'Offshore - Adelaide'!N604)),ISNUMBER(SEARCH("Management (Learning)",'Offshore - Adelaide'!B604))),2,IF(ISNUMBER(SEARCH("CEK:",'Offshore - Adelaide'!N604)),1,0))</f>
        <v>0</v>
      </c>
    </row>
    <row r="1728" customFormat="false" ht="15" hidden="false" customHeight="false" outlineLevel="0" collapsed="false">
      <c r="A1728" s="61" t="s">
        <v>4518</v>
      </c>
      <c r="B1728" s="62"/>
      <c r="C1728" s="62"/>
      <c r="D1728" s="62"/>
      <c r="E1728" s="62"/>
      <c r="F1728" s="62"/>
      <c r="G1728" s="62"/>
      <c r="H1728" s="62"/>
      <c r="I1728" s="62"/>
    </row>
    <row r="1729" customFormat="false" ht="15" hidden="false" customHeight="false" outlineLevel="0" collapsed="false">
      <c r="A1729" s="63" t="s">
        <v>3659</v>
      </c>
      <c r="B1729" s="64" t="s">
        <v>3821</v>
      </c>
      <c r="C1729" s="63" t="s">
        <v>46</v>
      </c>
      <c r="D1729" s="64" t="str">
        <f aca="false">TRIM(LEFT('Offshore - Adelaide'!A545,FIND(CHAR(10),'Offshore - Adelaide'!A545&amp;CHAR(10))-1))</f>
        <v>Torrens University Australia</v>
      </c>
      <c r="E1729" s="63" t="str">
        <f aca="false">'Offshore - Adelaide'!C606&amp;""</f>
        <v>2 years</v>
      </c>
      <c r="F1729" s="63" t="str">
        <f aca="false">IF('Offshore - Adelaide'!D606="","Belum tercatat",'Offshore - Adelaide'!D606)</f>
        <v>Term</v>
      </c>
      <c r="G1729" s="65" t="n">
        <f aca="false">IF('Offshore - Adelaide'!E606="","-",'Offshore - Adelaide'!E606)</f>
        <v>7375</v>
      </c>
      <c r="H1729" s="63" t="n">
        <f aca="false">IF(ISNUMBER(K1729),COUNTIFS($J$6:$J$1854,J1729,$K$6:$K$1854,"&lt;"&amp;K1729)+1,"-")</f>
        <v>1</v>
      </c>
      <c r="I1729" s="64" t="str">
        <f aca="false">IF('Offshore - Adelaide'!E606="","Harga belum tersedia - hubungi konsultan TEG",IF(M1729=2,"Saat ini tidak menerima pendaftaran siswa internasional baru",IF(M1729=1,"Harga perlu dikonfirmasi ke sekolah"&amp;IF(""="","","; "&amp;""),"")))</f>
        <v/>
      </c>
      <c r="J1729" s="0" t="s">
        <v>4519</v>
      </c>
      <c r="K1729" s="0" t="n">
        <f aca="false">IF(M1729=2,"",IF(ISNUMBER(SEARCH("rata-rata:",'Offshore - Adelaide'!N606)),VALUE(MID('Offshore - Adelaide'!N606,SEARCH("rata-rata:",'Offshore - Adelaide'!N606)+11,FIND(";",'Offshore - Adelaide'!N606&amp;";",SEARCH("rata-rata:",'Offshore - Adelaide'!N606))-SEARCH("rata-rata:",'Offshore - Adelaide'!N606)-11)),IF('Offshore - Adelaide'!D606="Semester",'Offshore - Adelaide'!E606*2,IF('Offshore - Adelaide'!D606="Trimester",'Offshore - Adelaide'!E606*3,IF('Offshore - Adelaide'!D606="Term",'Offshore - Adelaide'!E606*4,IF('Offshore - Adelaide'!D606="Unit",'Offshore - Adelaide'!E606*8,""))))))</f>
        <v>29500</v>
      </c>
      <c r="L1729" s="0" t="n">
        <f aca="false">IF(AND(ISNUMBER('Offshore - Adelaide'!E606),ISNUMBER(K1729),ISNUMBER('Offshore - Adelaide'!F606),ISNUMBER('Offshore - Adelaide'!G606),OR('Offshore - Adelaide'!F606&lt;&gt;0,ISNUMBER(SEARCH("Material 0 terverifikasi",'Offshore - Adelaide'!N606))),OR('Offshore - Adelaide'!G606&lt;&gt;0,ISNUMBER(SEARCH("Enrolment 0 terverifikasi",'Offshore - Adelaide'!N606)))),1,0)</f>
        <v>0</v>
      </c>
      <c r="M1729" s="0" t="n">
        <f aca="false">IF(OR('Offshore - Adelaide'!E606="",ISNUMBER(SEARCH("BSB80120",'Offshore - Adelaide'!B606&amp;'Offshore - Adelaide'!N606)),ISNUMBER(SEARCH("Management (Learning)",'Offshore - Adelaide'!B606))),2,IF(ISNUMBER(SEARCH("CEK:",'Offshore - Adelaide'!N606)),1,0))</f>
        <v>0</v>
      </c>
    </row>
    <row r="1730" customFormat="false" ht="15" hidden="false" customHeight="false" outlineLevel="0" collapsed="false">
      <c r="A1730" s="63" t="s">
        <v>3659</v>
      </c>
      <c r="B1730" s="64" t="s">
        <v>3821</v>
      </c>
      <c r="C1730" s="63" t="s">
        <v>46</v>
      </c>
      <c r="D1730" s="64" t="str">
        <f aca="false">TRIM(LEFT('Offshore - Adelaide'!A13,FIND(CHAR(10),'Offshore - Adelaide'!A13&amp;CHAR(10))-1))</f>
        <v>Adelaide University</v>
      </c>
      <c r="E1730" s="63" t="str">
        <f aca="false">'Offshore - Adelaide'!C292&amp;""</f>
        <v>2 years</v>
      </c>
      <c r="F1730" s="63" t="str">
        <f aca="false">IF('Offshore - Adelaide'!D292="","Belum tercatat",'Offshore - Adelaide'!D292)</f>
        <v>Term</v>
      </c>
      <c r="G1730" s="65" t="n">
        <f aca="false">IF('Offshore - Adelaide'!E292="","-",'Offshore - Adelaide'!E292)</f>
        <v>11275</v>
      </c>
      <c r="H1730" s="63" t="n">
        <f aca="false">IF(ISNUMBER(K1730),COUNTIFS($J$6:$J$1854,J1730,$K$6:$K$1854,"&lt;"&amp;K1730)+1,"-")</f>
        <v>2</v>
      </c>
      <c r="I1730" s="64" t="str">
        <f aca="false">IF('Offshore - Adelaide'!E292="","Harga belum tersedia - hubungi konsultan TEG",IF(M1730=2,"Saat ini tidak menerima pendaftaran siswa internasional baru",IF(M1730=1,"Harga perlu dikonfirmasi ke sekolah"&amp;IF(""="","","; "&amp;""),"")))</f>
        <v/>
      </c>
      <c r="J1730" s="0" t="s">
        <v>4519</v>
      </c>
      <c r="K1730" s="0" t="n">
        <f aca="false">IF(M1730=2,"",IF(ISNUMBER(SEARCH("rata-rata:",'Offshore - Adelaide'!N292)),VALUE(MID('Offshore - Adelaide'!N292,SEARCH("rata-rata:",'Offshore - Adelaide'!N292)+11,FIND(";",'Offshore - Adelaide'!N292&amp;";",SEARCH("rata-rata:",'Offshore - Adelaide'!N292))-SEARCH("rata-rata:",'Offshore - Adelaide'!N292)-11)),IF('Offshore - Adelaide'!D292="Semester",'Offshore - Adelaide'!E292*2,IF('Offshore - Adelaide'!D292="Trimester",'Offshore - Adelaide'!E292*3,IF('Offshore - Adelaide'!D292="Term",'Offshore - Adelaide'!E292*4,IF('Offshore - Adelaide'!D292="Unit",'Offshore - Adelaide'!E292*8,""))))))</f>
        <v>45100</v>
      </c>
      <c r="L1730" s="0" t="n">
        <f aca="false">IF(AND(ISNUMBER('Offshore - Adelaide'!E292),ISNUMBER(K1730),ISNUMBER('Offshore - Adelaide'!F292),ISNUMBER('Offshore - Adelaide'!G292),OR('Offshore - Adelaide'!F292&lt;&gt;0,ISNUMBER(SEARCH("Material 0 terverifikasi",'Offshore - Adelaide'!N292))),OR('Offshore - Adelaide'!G292&lt;&gt;0,ISNUMBER(SEARCH("Enrolment 0 terverifikasi",'Offshore - Adelaide'!N292)))),1,0)</f>
        <v>0</v>
      </c>
      <c r="M1730" s="0" t="n">
        <f aca="false">IF(OR('Offshore - Adelaide'!E292="",ISNUMBER(SEARCH("BSB80120",'Offshore - Adelaide'!B292&amp;'Offshore - Adelaide'!N292)),ISNUMBER(SEARCH("Management (Learning)",'Offshore - Adelaide'!B292))),2,IF(ISNUMBER(SEARCH("CEK:",'Offshore - Adelaide'!N292)),1,0))</f>
        <v>0</v>
      </c>
    </row>
    <row r="1731" customFormat="false" ht="15" hidden="false" customHeight="false" outlineLevel="0" collapsed="false">
      <c r="A1731" s="61" t="s">
        <v>4520</v>
      </c>
      <c r="B1731" s="62"/>
      <c r="C1731" s="62"/>
      <c r="D1731" s="62"/>
      <c r="E1731" s="62"/>
      <c r="F1731" s="62"/>
      <c r="G1731" s="62"/>
      <c r="H1731" s="62"/>
      <c r="I1731" s="62"/>
    </row>
    <row r="1732" customFormat="false" ht="15" hidden="false" customHeight="false" outlineLevel="0" collapsed="false">
      <c r="A1732" s="63" t="s">
        <v>3659</v>
      </c>
      <c r="B1732" s="64" t="s">
        <v>3821</v>
      </c>
      <c r="C1732" s="63" t="s">
        <v>4222</v>
      </c>
      <c r="D1732" s="64" t="str">
        <f aca="false">TRIM(LEFT('Offshore - Adelaide'!A545,FIND(CHAR(10),'Offshore - Adelaide'!A545&amp;CHAR(10))-1))</f>
        <v>Torrens University Australia</v>
      </c>
      <c r="E1732" s="63" t="str">
        <f aca="false">'Offshore - Adelaide'!C608&amp;""</f>
        <v>3 years</v>
      </c>
      <c r="F1732" s="63" t="str">
        <f aca="false">IF('Offshore - Adelaide'!D608="","Belum tercatat",'Offshore - Adelaide'!D608)</f>
        <v>Term</v>
      </c>
      <c r="G1732" s="65" t="n">
        <f aca="false">IF('Offshore - Adelaide'!E608="","-",'Offshore - Adelaide'!E608)</f>
        <v>7375</v>
      </c>
      <c r="H1732" s="63" t="n">
        <f aca="false">IF(ISNUMBER(K1732),COUNTIFS($J$6:$J$1854,J1732,$K$6:$K$1854,"&lt;"&amp;K1732)+1,"-")</f>
        <v>1</v>
      </c>
      <c r="I1732" s="64" t="str">
        <f aca="false">IF('Offshore - Adelaide'!E608="","Harga belum tersedia - hubungi konsultan TEG",IF(M1732=2,"Saat ini tidak menerima pendaftaran siswa internasional baru",IF(M1732=1,"Harga perlu dikonfirmasi ke sekolah"&amp;IF(""="","","; "&amp;""),"")))</f>
        <v/>
      </c>
      <c r="J1732" s="0" t="s">
        <v>4521</v>
      </c>
      <c r="K1732" s="0" t="n">
        <f aca="false">IF(M1732=2,"",IF(ISNUMBER(SEARCH("rata-rata:",'Offshore - Adelaide'!N608)),VALUE(MID('Offshore - Adelaide'!N608,SEARCH("rata-rata:",'Offshore - Adelaide'!N608)+11,FIND(";",'Offshore - Adelaide'!N608&amp;";",SEARCH("rata-rata:",'Offshore - Adelaide'!N608))-SEARCH("rata-rata:",'Offshore - Adelaide'!N608)-11)),IF('Offshore - Adelaide'!D608="Semester",'Offshore - Adelaide'!E608*2,IF('Offshore - Adelaide'!D608="Trimester",'Offshore - Adelaide'!E608*3,IF('Offshore - Adelaide'!D608="Term",'Offshore - Adelaide'!E608*4,IF('Offshore - Adelaide'!D608="Unit",'Offshore - Adelaide'!E608*8,""))))))</f>
        <v>29500</v>
      </c>
      <c r="L1732" s="0" t="n">
        <f aca="false">IF(AND(ISNUMBER('Offshore - Adelaide'!E608),ISNUMBER(K1732),ISNUMBER('Offshore - Adelaide'!F608),ISNUMBER('Offshore - Adelaide'!G608),OR('Offshore - Adelaide'!F608&lt;&gt;0,ISNUMBER(SEARCH("Material 0 terverifikasi",'Offshore - Adelaide'!N608))),OR('Offshore - Adelaide'!G608&lt;&gt;0,ISNUMBER(SEARCH("Enrolment 0 terverifikasi",'Offshore - Adelaide'!N608)))),1,0)</f>
        <v>0</v>
      </c>
      <c r="M1732" s="0" t="n">
        <f aca="false">IF(OR('Offshore - Adelaide'!E608="",ISNUMBER(SEARCH("BSB80120",'Offshore - Adelaide'!B608&amp;'Offshore - Adelaide'!N608)),ISNUMBER(SEARCH("Management (Learning)",'Offshore - Adelaide'!B608))),2,IF(ISNUMBER(SEARCH("CEK:",'Offshore - Adelaide'!N608)),1,0))</f>
        <v>0</v>
      </c>
    </row>
    <row r="1733" customFormat="false" ht="15" hidden="false" customHeight="false" outlineLevel="0" collapsed="false">
      <c r="A1733" s="61" t="s">
        <v>4522</v>
      </c>
      <c r="B1733" s="62"/>
      <c r="C1733" s="62"/>
      <c r="D1733" s="62"/>
      <c r="E1733" s="62"/>
      <c r="F1733" s="62"/>
      <c r="G1733" s="62"/>
      <c r="H1733" s="62"/>
      <c r="I1733" s="62"/>
    </row>
    <row r="1734" customFormat="false" ht="15" hidden="false" customHeight="false" outlineLevel="0" collapsed="false">
      <c r="A1734" s="63" t="s">
        <v>3563</v>
      </c>
      <c r="B1734" s="64" t="s">
        <v>3821</v>
      </c>
      <c r="C1734" s="63" t="s">
        <v>41</v>
      </c>
      <c r="D1734" s="64" t="str">
        <f aca="false">TRIM(LEFT('Offshore - Brisbane'!A53,FIND(CHAR(10),'Offshore - Brisbane'!A53&amp;CHAR(10))-1))</f>
        <v>Australian Catholic University (ACU)</v>
      </c>
      <c r="E1734" s="63" t="str">
        <f aca="false">'Offshore - Brisbane'!C152&amp;""</f>
        <v>1 year</v>
      </c>
      <c r="F1734" s="63" t="str">
        <f aca="false">IF('Offshore - Brisbane'!D152="","Belum tercatat",'Offshore - Brisbane'!D152)</f>
        <v>Term</v>
      </c>
      <c r="G1734" s="65" t="n">
        <f aca="false">IF('Offshore - Brisbane'!E152="","-",'Offshore - Brisbane'!E152)</f>
        <v>8906</v>
      </c>
      <c r="H1734" s="63" t="n">
        <f aca="false">IF(ISNUMBER(K1734),COUNTIFS($J$6:$J$1854,J1734,$K$6:$K$1854,"&lt;"&amp;K1734)+1,"-")</f>
        <v>1</v>
      </c>
      <c r="I1734" s="64" t="str">
        <f aca="false">IF('Offshore - Brisbane'!E152="","Harga belum tersedia - hubungi konsultan TEG",IF(M1734=2,"Saat ini tidak menerima pendaftaran siswa internasional baru",IF(M1734=1,"Harga perlu dikonfirmasi ke sekolah"&amp;IF(""="","","; "&amp;""),"")))</f>
        <v/>
      </c>
      <c r="J1734" s="0" t="s">
        <v>4523</v>
      </c>
      <c r="K1734" s="0" t="n">
        <f aca="false">IF(M1734=2,"",IF(ISNUMBER(SEARCH("rata-rata:",'Offshore - Brisbane'!N152)),VALUE(MID('Offshore - Brisbane'!N152,SEARCH("rata-rata:",'Offshore - Brisbane'!N152)+11,FIND(";",'Offshore - Brisbane'!N152&amp;";",SEARCH("rata-rata:",'Offshore - Brisbane'!N152))-SEARCH("rata-rata:",'Offshore - Brisbane'!N152)-11)),IF('Offshore - Brisbane'!D152="Semester",'Offshore - Brisbane'!E152*2,IF('Offshore - Brisbane'!D152="Trimester",'Offshore - Brisbane'!E152*3,IF('Offshore - Brisbane'!D152="Term",'Offshore - Brisbane'!E152*4,IF('Offshore - Brisbane'!D152="Unit",'Offshore - Brisbane'!E152*8,""))))))</f>
        <v>35624</v>
      </c>
      <c r="L1734" s="0" t="n">
        <f aca="false">IF(AND(ISNUMBER('Offshore - Brisbane'!E152),ISNUMBER(K1734),ISNUMBER('Offshore - Brisbane'!F152),ISNUMBER('Offshore - Brisbane'!G152),OR('Offshore - Brisbane'!F152&lt;&gt;0,ISNUMBER(SEARCH("Material 0 terverifikasi",'Offshore - Brisbane'!N152))),OR('Offshore - Brisbane'!G152&lt;&gt;0,ISNUMBER(SEARCH("Enrolment 0 terverifikasi",'Offshore - Brisbane'!N152)))),1,0)</f>
        <v>0</v>
      </c>
      <c r="M1734" s="0" t="n">
        <f aca="false">IF(OR('Offshore - Brisbane'!E152="",ISNUMBER(SEARCH("BSB80120",'Offshore - Brisbane'!B152&amp;'Offshore - Brisbane'!N152)),ISNUMBER(SEARCH("Management (Learning)",'Offshore - Brisbane'!B152))),2,IF(ISNUMBER(SEARCH("CEK:",'Offshore - Brisbane'!N152)),1,0))</f>
        <v>0</v>
      </c>
    </row>
    <row r="1735" customFormat="false" ht="15" hidden="false" customHeight="false" outlineLevel="0" collapsed="false">
      <c r="A1735" s="61" t="s">
        <v>4524</v>
      </c>
      <c r="B1735" s="62"/>
      <c r="C1735" s="62"/>
      <c r="D1735" s="62"/>
      <c r="E1735" s="62"/>
      <c r="F1735" s="62"/>
      <c r="G1735" s="62"/>
      <c r="H1735" s="62"/>
      <c r="I1735" s="62"/>
    </row>
    <row r="1736" customFormat="false" ht="15" hidden="false" customHeight="false" outlineLevel="0" collapsed="false">
      <c r="A1736" s="63" t="s">
        <v>3563</v>
      </c>
      <c r="B1736" s="64" t="s">
        <v>3821</v>
      </c>
      <c r="C1736" s="63" t="s">
        <v>43</v>
      </c>
      <c r="D1736" s="64" t="str">
        <f aca="false">TRIM(LEFT('Offshore - Brisbane'!A53,FIND(CHAR(10),'Offshore - Brisbane'!A53&amp;CHAR(10))-1))</f>
        <v>Australian Catholic University (ACU)</v>
      </c>
      <c r="E1736" s="63" t="str">
        <f aca="false">'Offshore - Brisbane'!C141&amp;""</f>
        <v>3 years</v>
      </c>
      <c r="F1736" s="63" t="str">
        <f aca="false">IF('Offshore - Brisbane'!D141="","Belum tercatat",'Offshore - Brisbane'!D141)</f>
        <v>Term</v>
      </c>
      <c r="G1736" s="65" t="n">
        <f aca="false">IF('Offshore - Brisbane'!E141="","-",'Offshore - Brisbane'!E141)</f>
        <v>7162</v>
      </c>
      <c r="H1736" s="63" t="n">
        <f aca="false">IF(ISNUMBER(K1736),COUNTIFS($J$6:$J$1854,J1736,$K$6:$K$1854,"&lt;"&amp;K1736)+1,"-")</f>
        <v>1</v>
      </c>
      <c r="I1736" s="64" t="str">
        <f aca="false">IF('Offshore - Brisbane'!E141="","Harga belum tersedia - hubungi konsultan TEG",IF(M1736=2,"Saat ini tidak menerima pendaftaran siswa internasional baru",IF(M1736=1,"Harga perlu dikonfirmasi ke sekolah"&amp;IF(""="","","; "&amp;""),"")))</f>
        <v/>
      </c>
      <c r="J1736" s="0" t="s">
        <v>4525</v>
      </c>
      <c r="K1736" s="0" t="n">
        <f aca="false">IF(M1736=2,"",IF(ISNUMBER(SEARCH("rata-rata:",'Offshore - Brisbane'!N141)),VALUE(MID('Offshore - Brisbane'!N141,SEARCH("rata-rata:",'Offshore - Brisbane'!N141)+11,FIND(";",'Offshore - Brisbane'!N141&amp;";",SEARCH("rata-rata:",'Offshore - Brisbane'!N141))-SEARCH("rata-rata:",'Offshore - Brisbane'!N141)-11)),IF('Offshore - Brisbane'!D141="Semester",'Offshore - Brisbane'!E141*2,IF('Offshore - Brisbane'!D141="Trimester",'Offshore - Brisbane'!E141*3,IF('Offshore - Brisbane'!D141="Term",'Offshore - Brisbane'!E141*4,IF('Offshore - Brisbane'!D141="Unit",'Offshore - Brisbane'!E141*8,""))))))</f>
        <v>28648</v>
      </c>
      <c r="L1736" s="0" t="n">
        <f aca="false">IF(AND(ISNUMBER('Offshore - Brisbane'!E141),ISNUMBER(K1736),ISNUMBER('Offshore - Brisbane'!F141),ISNUMBER('Offshore - Brisbane'!G141),OR('Offshore - Brisbane'!F141&lt;&gt;0,ISNUMBER(SEARCH("Material 0 terverifikasi",'Offshore - Brisbane'!N141))),OR('Offshore - Brisbane'!G141&lt;&gt;0,ISNUMBER(SEARCH("Enrolment 0 terverifikasi",'Offshore - Brisbane'!N141)))),1,0)</f>
        <v>0</v>
      </c>
      <c r="M1736" s="0" t="n">
        <f aca="false">IF(OR('Offshore - Brisbane'!E141="",ISNUMBER(SEARCH("BSB80120",'Offshore - Brisbane'!B141&amp;'Offshore - Brisbane'!N141)),ISNUMBER(SEARCH("Management (Learning)",'Offshore - Brisbane'!B141))),2,IF(ISNUMBER(SEARCH("CEK:",'Offshore - Brisbane'!N141)),1,0))</f>
        <v>0</v>
      </c>
    </row>
    <row r="1737" customFormat="false" ht="15" hidden="false" customHeight="false" outlineLevel="0" collapsed="false">
      <c r="A1737" s="61" t="s">
        <v>4526</v>
      </c>
      <c r="B1737" s="62"/>
      <c r="C1737" s="62"/>
      <c r="D1737" s="62"/>
      <c r="E1737" s="62"/>
      <c r="F1737" s="62"/>
      <c r="G1737" s="62"/>
      <c r="H1737" s="62"/>
      <c r="I1737" s="62"/>
    </row>
    <row r="1738" customFormat="false" ht="15" hidden="false" customHeight="false" outlineLevel="0" collapsed="false">
      <c r="A1738" s="63" t="s">
        <v>3563</v>
      </c>
      <c r="B1738" s="64" t="s">
        <v>3821</v>
      </c>
      <c r="C1738" s="63" t="s">
        <v>3707</v>
      </c>
      <c r="D1738" s="64" t="str">
        <f aca="false">TRIM(LEFT('Offshore - Brisbane'!A308,FIND(CHAR(10),'Offshore - Brisbane'!A308&amp;CHAR(10))-1))</f>
        <v>Torrens University Australia</v>
      </c>
      <c r="E1738" s="63" t="str">
        <f aca="false">'Offshore - Brisbane'!C384&amp;""</f>
        <v>0,5 year</v>
      </c>
      <c r="F1738" s="63" t="str">
        <f aca="false">IF('Offshore - Brisbane'!D384="","Belum tercatat",'Offshore - Brisbane'!D384)</f>
        <v>Term</v>
      </c>
      <c r="G1738" s="65" t="n">
        <f aca="false">IF('Offshore - Brisbane'!E384="","-",'Offshore - Brisbane'!E384)</f>
        <v>3688</v>
      </c>
      <c r="H1738" s="63" t="n">
        <f aca="false">IF(ISNUMBER(K1738),COUNTIFS($J$6:$J$1854,J1738,$K$6:$K$1854,"&lt;"&amp;K1738)+1,"-")</f>
        <v>1</v>
      </c>
      <c r="I1738" s="64" t="str">
        <f aca="false">IF('Offshore - Brisbane'!E384="","Harga belum tersedia - hubungi konsultan TEG",IF(M1738=2,"Saat ini tidak menerima pendaftaran siswa internasional baru",IF(M1738=1,"Harga perlu dikonfirmasi ke sekolah"&amp;IF(""="","","; "&amp;""),"")))</f>
        <v/>
      </c>
      <c r="J1738" s="0" t="s">
        <v>4527</v>
      </c>
      <c r="K1738" s="0" t="n">
        <f aca="false">IF(M1738=2,"",IF(ISNUMBER(SEARCH("rata-rata:",'Offshore - Brisbane'!N384)),VALUE(MID('Offshore - Brisbane'!N384,SEARCH("rata-rata:",'Offshore - Brisbane'!N384)+11,FIND(";",'Offshore - Brisbane'!N384&amp;";",SEARCH("rata-rata:",'Offshore - Brisbane'!N384))-SEARCH("rata-rata:",'Offshore - Brisbane'!N384)-11)),IF('Offshore - Brisbane'!D384="Semester",'Offshore - Brisbane'!E384*2,IF('Offshore - Brisbane'!D384="Trimester",'Offshore - Brisbane'!E384*3,IF('Offshore - Brisbane'!D384="Term",'Offshore - Brisbane'!E384*4,IF('Offshore - Brisbane'!D384="Unit",'Offshore - Brisbane'!E384*8,""))))))</f>
        <v>14752</v>
      </c>
      <c r="L1738" s="0" t="n">
        <f aca="false">IF(AND(ISNUMBER('Offshore - Brisbane'!E384),ISNUMBER(K1738),ISNUMBER('Offshore - Brisbane'!F384),ISNUMBER('Offshore - Brisbane'!G384),OR('Offshore - Brisbane'!F384&lt;&gt;0,ISNUMBER(SEARCH("Material 0 terverifikasi",'Offshore - Brisbane'!N384))),OR('Offshore - Brisbane'!G384&lt;&gt;0,ISNUMBER(SEARCH("Enrolment 0 terverifikasi",'Offshore - Brisbane'!N384)))),1,0)</f>
        <v>0</v>
      </c>
      <c r="M1738" s="0" t="n">
        <f aca="false">IF(OR('Offshore - Brisbane'!E384="",ISNUMBER(SEARCH("BSB80120",'Offshore - Brisbane'!B384&amp;'Offshore - Brisbane'!N384)),ISNUMBER(SEARCH("Management (Learning)",'Offshore - Brisbane'!B384))),2,IF(ISNUMBER(SEARCH("CEK:",'Offshore - Brisbane'!N384)),1,0))</f>
        <v>0</v>
      </c>
    </row>
    <row r="1739" customFormat="false" ht="15" hidden="false" customHeight="false" outlineLevel="0" collapsed="false">
      <c r="A1739" s="61" t="s">
        <v>4528</v>
      </c>
      <c r="B1739" s="62"/>
      <c r="C1739" s="62"/>
      <c r="D1739" s="62"/>
      <c r="E1739" s="62"/>
      <c r="F1739" s="62"/>
      <c r="G1739" s="62"/>
      <c r="H1739" s="62"/>
      <c r="I1739" s="62"/>
    </row>
    <row r="1740" customFormat="false" ht="15" hidden="false" customHeight="false" outlineLevel="0" collapsed="false">
      <c r="A1740" s="63" t="s">
        <v>3563</v>
      </c>
      <c r="B1740" s="64" t="s">
        <v>3821</v>
      </c>
      <c r="C1740" s="63" t="s">
        <v>46</v>
      </c>
      <c r="D1740" s="64" t="str">
        <f aca="false">TRIM(LEFT('Offshore - Brisbane'!A308,FIND(CHAR(10),'Offshore - Brisbane'!A308&amp;CHAR(10))-1))</f>
        <v>Torrens University Australia</v>
      </c>
      <c r="E1740" s="63" t="str">
        <f aca="false">'Offshore - Brisbane'!C386&amp;""</f>
        <v>2 years</v>
      </c>
      <c r="F1740" s="63" t="str">
        <f aca="false">IF('Offshore - Brisbane'!D386="","Belum tercatat",'Offshore - Brisbane'!D386)</f>
        <v>Term</v>
      </c>
      <c r="G1740" s="65" t="n">
        <f aca="false">IF('Offshore - Brisbane'!E386="","-",'Offshore - Brisbane'!E386)</f>
        <v>7375</v>
      </c>
      <c r="H1740" s="63" t="n">
        <f aca="false">IF(ISNUMBER(K1740),COUNTIFS($J$6:$J$1854,J1740,$K$6:$K$1854,"&lt;"&amp;K1740)+1,"-")</f>
        <v>1</v>
      </c>
      <c r="I1740" s="64" t="str">
        <f aca="false">IF('Offshore - Brisbane'!E386="","Harga belum tersedia - hubungi konsultan TEG",IF(M1740=2,"Saat ini tidak menerima pendaftaran siswa internasional baru",IF(M1740=1,"Harga perlu dikonfirmasi ke sekolah"&amp;IF(""="","","; "&amp;""),"")))</f>
        <v/>
      </c>
      <c r="J1740" s="0" t="s">
        <v>4529</v>
      </c>
      <c r="K1740" s="0" t="n">
        <f aca="false">IF(M1740=2,"",IF(ISNUMBER(SEARCH("rata-rata:",'Offshore - Brisbane'!N386)),VALUE(MID('Offshore - Brisbane'!N386,SEARCH("rata-rata:",'Offshore - Brisbane'!N386)+11,FIND(";",'Offshore - Brisbane'!N386&amp;";",SEARCH("rata-rata:",'Offshore - Brisbane'!N386))-SEARCH("rata-rata:",'Offshore - Brisbane'!N386)-11)),IF('Offshore - Brisbane'!D386="Semester",'Offshore - Brisbane'!E386*2,IF('Offshore - Brisbane'!D386="Trimester",'Offshore - Brisbane'!E386*3,IF('Offshore - Brisbane'!D386="Term",'Offshore - Brisbane'!E386*4,IF('Offshore - Brisbane'!D386="Unit",'Offshore - Brisbane'!E386*8,""))))))</f>
        <v>29500</v>
      </c>
      <c r="L1740" s="0" t="n">
        <f aca="false">IF(AND(ISNUMBER('Offshore - Brisbane'!E386),ISNUMBER(K1740),ISNUMBER('Offshore - Brisbane'!F386),ISNUMBER('Offshore - Brisbane'!G386),OR('Offshore - Brisbane'!F386&lt;&gt;0,ISNUMBER(SEARCH("Material 0 terverifikasi",'Offshore - Brisbane'!N386))),OR('Offshore - Brisbane'!G386&lt;&gt;0,ISNUMBER(SEARCH("Enrolment 0 terverifikasi",'Offshore - Brisbane'!N386)))),1,0)</f>
        <v>0</v>
      </c>
      <c r="M1740" s="0" t="n">
        <f aca="false">IF(OR('Offshore - Brisbane'!E386="",ISNUMBER(SEARCH("BSB80120",'Offshore - Brisbane'!B386&amp;'Offshore - Brisbane'!N386)),ISNUMBER(SEARCH("Management (Learning)",'Offshore - Brisbane'!B386))),2,IF(ISNUMBER(SEARCH("CEK:",'Offshore - Brisbane'!N386)),1,0))</f>
        <v>0</v>
      </c>
    </row>
    <row r="1741" customFormat="false" ht="15" hidden="false" customHeight="false" outlineLevel="0" collapsed="false">
      <c r="A1741" s="63" t="s">
        <v>3563</v>
      </c>
      <c r="B1741" s="64" t="s">
        <v>3821</v>
      </c>
      <c r="C1741" s="63" t="s">
        <v>46</v>
      </c>
      <c r="D1741" s="64" t="str">
        <f aca="false">TRIM(LEFT('Offshore - Brisbane'!A174,FIND(CHAR(10),'Offshore - Brisbane'!A174&amp;CHAR(10))-1))</f>
        <v>Charles Darwin University (CDU)</v>
      </c>
      <c r="E1741" s="63" t="str">
        <f aca="false">'Offshore - Brisbane'!C177&amp;""</f>
        <v>2 years</v>
      </c>
      <c r="F1741" s="63" t="str">
        <f aca="false">IF('Offshore - Brisbane'!D177="","Belum tercatat",'Offshore - Brisbane'!D177)</f>
        <v>Term</v>
      </c>
      <c r="G1741" s="65" t="n">
        <f aca="false">IF('Offshore - Brisbane'!E177="","-",'Offshore - Brisbane'!E177)</f>
        <v>7784</v>
      </c>
      <c r="H1741" s="63" t="n">
        <f aca="false">IF(ISNUMBER(K1741),COUNTIFS($J$6:$J$1854,J1741,$K$6:$K$1854,"&lt;"&amp;K1741)+1,"-")</f>
        <v>2</v>
      </c>
      <c r="I1741" s="64" t="str">
        <f aca="false">IF('Offshore - Brisbane'!E177="","Harga belum tersedia - hubungi konsultan TEG",IF(M1741=2,"Saat ini tidak menerima pendaftaran siswa internasional baru",IF(M1741=1,"Harga perlu dikonfirmasi ke sekolah"&amp;IF(""="","","; "&amp;""),"")))</f>
        <v>Harga perlu dikonfirmasi ke sekolah</v>
      </c>
      <c r="J1741" s="0" t="s">
        <v>4529</v>
      </c>
      <c r="K1741" s="0" t="n">
        <f aca="false">IF(M1741=2,"",IF(ISNUMBER(SEARCH("rata-rata:",'Offshore - Brisbane'!N177)),VALUE(MID('Offshore - Brisbane'!N177,SEARCH("rata-rata:",'Offshore - Brisbane'!N177)+11,FIND(";",'Offshore - Brisbane'!N177&amp;";",SEARCH("rata-rata:",'Offshore - Brisbane'!N177))-SEARCH("rata-rata:",'Offshore - Brisbane'!N177)-11)),IF('Offshore - Brisbane'!D177="Semester",'Offshore - Brisbane'!E177*2,IF('Offshore - Brisbane'!D177="Trimester",'Offshore - Brisbane'!E177*3,IF('Offshore - Brisbane'!D177="Term",'Offshore - Brisbane'!E177*4,IF('Offshore - Brisbane'!D177="Unit",'Offshore - Brisbane'!E177*8,""))))))</f>
        <v>31136</v>
      </c>
      <c r="L1741" s="0" t="n">
        <f aca="false">IF(AND(ISNUMBER('Offshore - Brisbane'!E177),ISNUMBER(K1741),ISNUMBER('Offshore - Brisbane'!F177),ISNUMBER('Offshore - Brisbane'!G177),OR('Offshore - Brisbane'!F177&lt;&gt;0,ISNUMBER(SEARCH("Material 0 terverifikasi",'Offshore - Brisbane'!N177))),OR('Offshore - Brisbane'!G177&lt;&gt;0,ISNUMBER(SEARCH("Enrolment 0 terverifikasi",'Offshore - Brisbane'!N177)))),1,0)</f>
        <v>0</v>
      </c>
      <c r="M1741" s="0" t="n">
        <f aca="false">IF(OR('Offshore - Brisbane'!E177="",ISNUMBER(SEARCH("BSB80120",'Offshore - Brisbane'!B177&amp;'Offshore - Brisbane'!N177)),ISNUMBER(SEARCH("Management (Learning)",'Offshore - Brisbane'!B177))),2,IF(ISNUMBER(SEARCH("CEK:",'Offshore - Brisbane'!N177)),1,0))</f>
        <v>1</v>
      </c>
    </row>
    <row r="1742" customFormat="false" ht="15" hidden="false" customHeight="false" outlineLevel="0" collapsed="false">
      <c r="A1742" s="63" t="s">
        <v>3563</v>
      </c>
      <c r="B1742" s="64" t="s">
        <v>3821</v>
      </c>
      <c r="C1742" s="63" t="s">
        <v>46</v>
      </c>
      <c r="D1742" s="64" t="str">
        <f aca="false">TRIM(LEFT('Offshore - Brisbane'!A53,FIND(CHAR(10),'Offshore - Brisbane'!A53&amp;CHAR(10))-1))</f>
        <v>Australian Catholic University (ACU)</v>
      </c>
      <c r="E1742" s="63" t="str">
        <f aca="false">'Offshore - Brisbane'!C145&amp;""</f>
        <v>2 years</v>
      </c>
      <c r="F1742" s="63" t="str">
        <f aca="false">IF('Offshore - Brisbane'!D145="","Belum tercatat",'Offshore - Brisbane'!D145)</f>
        <v>Term</v>
      </c>
      <c r="G1742" s="65" t="n">
        <f aca="false">IF('Offshore - Brisbane'!E145="","-",'Offshore - Brisbane'!E145)</f>
        <v>8682</v>
      </c>
      <c r="H1742" s="63" t="n">
        <f aca="false">IF(ISNUMBER(K1742),COUNTIFS($J$6:$J$1854,J1742,$K$6:$K$1854,"&lt;"&amp;K1742)+1,"-")</f>
        <v>3</v>
      </c>
      <c r="I1742" s="64" t="str">
        <f aca="false">IF('Offshore - Brisbane'!E145="","Harga belum tersedia - hubungi konsultan TEG",IF(M1742=2,"Saat ini tidak menerima pendaftaran siswa internasional baru",IF(M1742=1,"Harga perlu dikonfirmasi ke sekolah"&amp;IF(""="","","; "&amp;""),"")))</f>
        <v/>
      </c>
      <c r="J1742" s="0" t="s">
        <v>4529</v>
      </c>
      <c r="K1742" s="0" t="n">
        <f aca="false">IF(M1742=2,"",IF(ISNUMBER(SEARCH("rata-rata:",'Offshore - Brisbane'!N145)),VALUE(MID('Offshore - Brisbane'!N145,SEARCH("rata-rata:",'Offshore - Brisbane'!N145)+11,FIND(";",'Offshore - Brisbane'!N145&amp;";",SEARCH("rata-rata:",'Offshore - Brisbane'!N145))-SEARCH("rata-rata:",'Offshore - Brisbane'!N145)-11)),IF('Offshore - Brisbane'!D145="Semester",'Offshore - Brisbane'!E145*2,IF('Offshore - Brisbane'!D145="Trimester",'Offshore - Brisbane'!E145*3,IF('Offshore - Brisbane'!D145="Term",'Offshore - Brisbane'!E145*4,IF('Offshore - Brisbane'!D145="Unit",'Offshore - Brisbane'!E145*8,""))))))</f>
        <v>34728</v>
      </c>
      <c r="L1742" s="0" t="n">
        <f aca="false">IF(AND(ISNUMBER('Offshore - Brisbane'!E145),ISNUMBER(K1742),ISNUMBER('Offshore - Brisbane'!F145),ISNUMBER('Offshore - Brisbane'!G145),OR('Offshore - Brisbane'!F145&lt;&gt;0,ISNUMBER(SEARCH("Material 0 terverifikasi",'Offshore - Brisbane'!N145))),OR('Offshore - Brisbane'!G145&lt;&gt;0,ISNUMBER(SEARCH("Enrolment 0 terverifikasi",'Offshore - Brisbane'!N145)))),1,0)</f>
        <v>0</v>
      </c>
      <c r="M1742" s="0" t="n">
        <f aca="false">IF(OR('Offshore - Brisbane'!E145="",ISNUMBER(SEARCH("BSB80120",'Offshore - Brisbane'!B145&amp;'Offshore - Brisbane'!N145)),ISNUMBER(SEARCH("Management (Learning)",'Offshore - Brisbane'!B145))),2,IF(ISNUMBER(SEARCH("CEK:",'Offshore - Brisbane'!N145)),1,0))</f>
        <v>0</v>
      </c>
    </row>
    <row r="1743" customFormat="false" ht="15" hidden="false" customHeight="false" outlineLevel="0" collapsed="false">
      <c r="A1743" s="61" t="s">
        <v>4530</v>
      </c>
      <c r="B1743" s="62"/>
      <c r="C1743" s="62"/>
      <c r="D1743" s="62"/>
      <c r="E1743" s="62"/>
      <c r="F1743" s="62"/>
      <c r="G1743" s="62"/>
      <c r="H1743" s="62"/>
      <c r="I1743" s="62"/>
    </row>
    <row r="1744" customFormat="false" ht="15" hidden="false" customHeight="false" outlineLevel="0" collapsed="false">
      <c r="A1744" s="63" t="s">
        <v>3563</v>
      </c>
      <c r="B1744" s="64" t="s">
        <v>3821</v>
      </c>
      <c r="C1744" s="63" t="s">
        <v>4222</v>
      </c>
      <c r="D1744" s="64" t="str">
        <f aca="false">TRIM(LEFT('Offshore - Brisbane'!A308,FIND(CHAR(10),'Offshore - Brisbane'!A308&amp;CHAR(10))-1))</f>
        <v>Torrens University Australia</v>
      </c>
      <c r="E1744" s="63" t="str">
        <f aca="false">'Offshore - Brisbane'!C388&amp;""</f>
        <v>3 years</v>
      </c>
      <c r="F1744" s="63" t="str">
        <f aca="false">IF('Offshore - Brisbane'!D388="","Belum tercatat",'Offshore - Brisbane'!D388)</f>
        <v>Term</v>
      </c>
      <c r="G1744" s="65" t="n">
        <f aca="false">IF('Offshore - Brisbane'!E388="","-",'Offshore - Brisbane'!E388)</f>
        <v>7375</v>
      </c>
      <c r="H1744" s="63" t="n">
        <f aca="false">IF(ISNUMBER(K1744),COUNTIFS($J$6:$J$1854,J1744,$K$6:$K$1854,"&lt;"&amp;K1744)+1,"-")</f>
        <v>1</v>
      </c>
      <c r="I1744" s="64" t="str">
        <f aca="false">IF('Offshore - Brisbane'!E388="","Harga belum tersedia - hubungi konsultan TEG",IF(M1744=2,"Saat ini tidak menerima pendaftaran siswa internasional baru",IF(M1744=1,"Harga perlu dikonfirmasi ke sekolah"&amp;IF(""="","","; "&amp;""),"")))</f>
        <v/>
      </c>
      <c r="J1744" s="0" t="s">
        <v>4531</v>
      </c>
      <c r="K1744" s="0" t="n">
        <f aca="false">IF(M1744=2,"",IF(ISNUMBER(SEARCH("rata-rata:",'Offshore - Brisbane'!N388)),VALUE(MID('Offshore - Brisbane'!N388,SEARCH("rata-rata:",'Offshore - Brisbane'!N388)+11,FIND(";",'Offshore - Brisbane'!N388&amp;";",SEARCH("rata-rata:",'Offshore - Brisbane'!N388))-SEARCH("rata-rata:",'Offshore - Brisbane'!N388)-11)),IF('Offshore - Brisbane'!D388="Semester",'Offshore - Brisbane'!E388*2,IF('Offshore - Brisbane'!D388="Trimester",'Offshore - Brisbane'!E388*3,IF('Offshore - Brisbane'!D388="Term",'Offshore - Brisbane'!E388*4,IF('Offshore - Brisbane'!D388="Unit",'Offshore - Brisbane'!E388*8,""))))))</f>
        <v>29500</v>
      </c>
      <c r="L1744" s="0" t="n">
        <f aca="false">IF(AND(ISNUMBER('Offshore - Brisbane'!E388),ISNUMBER(K1744),ISNUMBER('Offshore - Brisbane'!F388),ISNUMBER('Offshore - Brisbane'!G388),OR('Offshore - Brisbane'!F388&lt;&gt;0,ISNUMBER(SEARCH("Material 0 terverifikasi",'Offshore - Brisbane'!N388))),OR('Offshore - Brisbane'!G388&lt;&gt;0,ISNUMBER(SEARCH("Enrolment 0 terverifikasi",'Offshore - Brisbane'!N388)))),1,0)</f>
        <v>0</v>
      </c>
      <c r="M1744" s="0" t="n">
        <f aca="false">IF(OR('Offshore - Brisbane'!E388="",ISNUMBER(SEARCH("BSB80120",'Offshore - Brisbane'!B388&amp;'Offshore - Brisbane'!N388)),ISNUMBER(SEARCH("Management (Learning)",'Offshore - Brisbane'!B388))),2,IF(ISNUMBER(SEARCH("CEK:",'Offshore - Brisbane'!N388)),1,0))</f>
        <v>0</v>
      </c>
    </row>
    <row r="1745" customFormat="false" ht="15" hidden="false" customHeight="false" outlineLevel="0" collapsed="false">
      <c r="A1745" s="63" t="s">
        <v>3563</v>
      </c>
      <c r="B1745" s="64" t="s">
        <v>3821</v>
      </c>
      <c r="C1745" s="63" t="s">
        <v>4222</v>
      </c>
      <c r="D1745" s="64" t="str">
        <f aca="false">TRIM(LEFT('Offshore - Brisbane'!A174,FIND(CHAR(10),'Offshore - Brisbane'!A174&amp;CHAR(10))-1))</f>
        <v>Charles Darwin University (CDU)</v>
      </c>
      <c r="E1745" s="63" t="str">
        <f aca="false">'Offshore - Brisbane'!C175&amp;""</f>
        <v>4 years</v>
      </c>
      <c r="F1745" s="63" t="str">
        <f aca="false">IF('Offshore - Brisbane'!D175="","Belum tercatat",'Offshore - Brisbane'!D175)</f>
        <v>Term</v>
      </c>
      <c r="G1745" s="65" t="n">
        <f aca="false">IF('Offshore - Brisbane'!E175="","-",'Offshore - Brisbane'!E175)</f>
        <v>7784</v>
      </c>
      <c r="H1745" s="63" t="n">
        <f aca="false">IF(ISNUMBER(K1745),COUNTIFS($J$6:$J$1854,J1745,$K$6:$K$1854,"&lt;"&amp;K1745)+1,"-")</f>
        <v>2</v>
      </c>
      <c r="I1745" s="64" t="str">
        <f aca="false">IF('Offshore - Brisbane'!E175="","Harga belum tersedia - hubungi konsultan TEG",IF(M1745=2,"Saat ini tidak menerima pendaftaran siswa internasional baru",IF(M1745=1,"Harga perlu dikonfirmasi ke sekolah"&amp;IF(""="","","; "&amp;""),"")))</f>
        <v>Harga perlu dikonfirmasi ke sekolah</v>
      </c>
      <c r="J1745" s="0" t="s">
        <v>4531</v>
      </c>
      <c r="K1745" s="0" t="n">
        <f aca="false">IF(M1745=2,"",IF(ISNUMBER(SEARCH("rata-rata:",'Offshore - Brisbane'!N175)),VALUE(MID('Offshore - Brisbane'!N175,SEARCH("rata-rata:",'Offshore - Brisbane'!N175)+11,FIND(";",'Offshore - Brisbane'!N175&amp;";",SEARCH("rata-rata:",'Offshore - Brisbane'!N175))-SEARCH("rata-rata:",'Offshore - Brisbane'!N175)-11)),IF('Offshore - Brisbane'!D175="Semester",'Offshore - Brisbane'!E175*2,IF('Offshore - Brisbane'!D175="Trimester",'Offshore - Brisbane'!E175*3,IF('Offshore - Brisbane'!D175="Term",'Offshore - Brisbane'!E175*4,IF('Offshore - Brisbane'!D175="Unit",'Offshore - Brisbane'!E175*8,""))))))</f>
        <v>31136</v>
      </c>
      <c r="L1745" s="0" t="n">
        <f aca="false">IF(AND(ISNUMBER('Offshore - Brisbane'!E175),ISNUMBER(K1745),ISNUMBER('Offshore - Brisbane'!F175),ISNUMBER('Offshore - Brisbane'!G175),OR('Offshore - Brisbane'!F175&lt;&gt;0,ISNUMBER(SEARCH("Material 0 terverifikasi",'Offshore - Brisbane'!N175))),OR('Offshore - Brisbane'!G175&lt;&gt;0,ISNUMBER(SEARCH("Enrolment 0 terverifikasi",'Offshore - Brisbane'!N175)))),1,0)</f>
        <v>0</v>
      </c>
      <c r="M1745" s="0" t="n">
        <f aca="false">IF(OR('Offshore - Brisbane'!E175="",ISNUMBER(SEARCH("BSB80120",'Offshore - Brisbane'!B175&amp;'Offshore - Brisbane'!N175)),ISNUMBER(SEARCH("Management (Learning)",'Offshore - Brisbane'!B175))),2,IF(ISNUMBER(SEARCH("CEK:",'Offshore - Brisbane'!N175)),1,0))</f>
        <v>1</v>
      </c>
    </row>
    <row r="1746" customFormat="false" ht="15" hidden="false" customHeight="false" outlineLevel="0" collapsed="false">
      <c r="A1746" s="63" t="s">
        <v>3563</v>
      </c>
      <c r="B1746" s="64" t="s">
        <v>3821</v>
      </c>
      <c r="C1746" s="63" t="s">
        <v>4222</v>
      </c>
      <c r="D1746" s="64" t="str">
        <f aca="false">TRIM(LEFT('Offshore - Brisbane'!A53,FIND(CHAR(10),'Offshore - Brisbane'!A53&amp;CHAR(10))-1))</f>
        <v>Australian Catholic University (ACU)</v>
      </c>
      <c r="E1746" s="63" t="str">
        <f aca="false">'Offshore - Brisbane'!C143&amp;""</f>
        <v>3 years</v>
      </c>
      <c r="F1746" s="63" t="str">
        <f aca="false">IF('Offshore - Brisbane'!D143="","Belum tercatat",'Offshore - Brisbane'!D143)</f>
        <v>Term</v>
      </c>
      <c r="G1746" s="65" t="n">
        <f aca="false">IF('Offshore - Brisbane'!E143="","-",'Offshore - Brisbane'!E143)</f>
        <v>8682</v>
      </c>
      <c r="H1746" s="63" t="n">
        <f aca="false">IF(ISNUMBER(K1746),COUNTIFS($J$6:$J$1854,J1746,$K$6:$K$1854,"&lt;"&amp;K1746)+1,"-")</f>
        <v>3</v>
      </c>
      <c r="I1746" s="64" t="str">
        <f aca="false">IF('Offshore - Brisbane'!E143="","Harga belum tersedia - hubungi konsultan TEG",IF(M1746=2,"Saat ini tidak menerima pendaftaran siswa internasional baru",IF(M1746=1,"Harga perlu dikonfirmasi ke sekolah"&amp;IF(""="","","; "&amp;""),"")))</f>
        <v/>
      </c>
      <c r="J1746" s="0" t="s">
        <v>4531</v>
      </c>
      <c r="K1746" s="0" t="n">
        <f aca="false">IF(M1746=2,"",IF(ISNUMBER(SEARCH("rata-rata:",'Offshore - Brisbane'!N143)),VALUE(MID('Offshore - Brisbane'!N143,SEARCH("rata-rata:",'Offshore - Brisbane'!N143)+11,FIND(";",'Offshore - Brisbane'!N143&amp;";",SEARCH("rata-rata:",'Offshore - Brisbane'!N143))-SEARCH("rata-rata:",'Offshore - Brisbane'!N143)-11)),IF('Offshore - Brisbane'!D143="Semester",'Offshore - Brisbane'!E143*2,IF('Offshore - Brisbane'!D143="Trimester",'Offshore - Brisbane'!E143*3,IF('Offshore - Brisbane'!D143="Term",'Offshore - Brisbane'!E143*4,IF('Offshore - Brisbane'!D143="Unit",'Offshore - Brisbane'!E143*8,""))))))</f>
        <v>34728</v>
      </c>
      <c r="L1746" s="0" t="n">
        <f aca="false">IF(AND(ISNUMBER('Offshore - Brisbane'!E143),ISNUMBER(K1746),ISNUMBER('Offshore - Brisbane'!F143),ISNUMBER('Offshore - Brisbane'!G143),OR('Offshore - Brisbane'!F143&lt;&gt;0,ISNUMBER(SEARCH("Material 0 terverifikasi",'Offshore - Brisbane'!N143))),OR('Offshore - Brisbane'!G143&lt;&gt;0,ISNUMBER(SEARCH("Enrolment 0 terverifikasi",'Offshore - Brisbane'!N143)))),1,0)</f>
        <v>0</v>
      </c>
      <c r="M1746" s="0" t="n">
        <f aca="false">IF(OR('Offshore - Brisbane'!E143="",ISNUMBER(SEARCH("BSB80120",'Offshore - Brisbane'!B143&amp;'Offshore - Brisbane'!N143)),ISNUMBER(SEARCH("Management (Learning)",'Offshore - Brisbane'!B143))),2,IF(ISNUMBER(SEARCH("CEK:",'Offshore - Brisbane'!N143)),1,0))</f>
        <v>0</v>
      </c>
    </row>
    <row r="1747" customFormat="false" ht="15" hidden="false" customHeight="false" outlineLevel="0" collapsed="false">
      <c r="A1747" s="61" t="s">
        <v>4532</v>
      </c>
      <c r="B1747" s="62"/>
      <c r="C1747" s="62"/>
      <c r="D1747" s="62"/>
      <c r="E1747" s="62"/>
      <c r="F1747" s="62"/>
      <c r="G1747" s="62"/>
      <c r="H1747" s="62"/>
      <c r="I1747" s="62"/>
    </row>
    <row r="1748" customFormat="false" ht="15" hidden="false" customHeight="false" outlineLevel="0" collapsed="false">
      <c r="A1748" s="63" t="s">
        <v>3718</v>
      </c>
      <c r="B1748" s="64" t="s">
        <v>3821</v>
      </c>
      <c r="C1748" s="63" t="s">
        <v>41</v>
      </c>
      <c r="D1748" s="64" t="str">
        <f aca="false">TRIM(LEFT('Offshore - Canberra'!A6,FIND(CHAR(10),'Offshore - Canberra'!A6&amp;CHAR(10))-1))</f>
        <v>Australian Catholic University (ACU)</v>
      </c>
      <c r="E1748" s="63" t="str">
        <f aca="false">'Offshore - Canberra'!C105&amp;""</f>
        <v>1 year</v>
      </c>
      <c r="F1748" s="63" t="str">
        <f aca="false">IF('Offshore - Canberra'!D105="","Belum tercatat",'Offshore - Canberra'!D105)</f>
        <v>Term</v>
      </c>
      <c r="G1748" s="65" t="n">
        <f aca="false">IF('Offshore - Canberra'!E105="","-",'Offshore - Canberra'!E105)</f>
        <v>8906</v>
      </c>
      <c r="H1748" s="63" t="n">
        <f aca="false">IF(ISNUMBER(K1748),COUNTIFS($J$6:$J$1854,J1748,$K$6:$K$1854,"&lt;"&amp;K1748)+1,"-")</f>
        <v>1</v>
      </c>
      <c r="I1748" s="64" t="str">
        <f aca="false">IF('Offshore - Canberra'!E105="","Harga belum tersedia - hubungi konsultan TEG",IF(M1748=2,"Saat ini tidak menerima pendaftaran siswa internasional baru",IF(M1748=1,"Harga perlu dikonfirmasi ke sekolah"&amp;IF(""="","","; "&amp;""),"")))</f>
        <v/>
      </c>
      <c r="J1748" s="0" t="s">
        <v>4533</v>
      </c>
      <c r="K1748" s="0" t="n">
        <f aca="false">IF(M1748=2,"",IF(ISNUMBER(SEARCH("rata-rata:",'Offshore - Canberra'!N105)),VALUE(MID('Offshore - Canberra'!N105,SEARCH("rata-rata:",'Offshore - Canberra'!N105)+11,FIND(";",'Offshore - Canberra'!N105&amp;";",SEARCH("rata-rata:",'Offshore - Canberra'!N105))-SEARCH("rata-rata:",'Offshore - Canberra'!N105)-11)),IF('Offshore - Canberra'!D105="Semester",'Offshore - Canberra'!E105*2,IF('Offshore - Canberra'!D105="Trimester",'Offshore - Canberra'!E105*3,IF('Offshore - Canberra'!D105="Term",'Offshore - Canberra'!E105*4,IF('Offshore - Canberra'!D105="Unit",'Offshore - Canberra'!E105*8,""))))))</f>
        <v>35624</v>
      </c>
      <c r="L1748" s="0" t="n">
        <f aca="false">IF(AND(ISNUMBER('Offshore - Canberra'!E105),ISNUMBER(K1748),ISNUMBER('Offshore - Canberra'!F105),ISNUMBER('Offshore - Canberra'!G105),OR('Offshore - Canberra'!F105&lt;&gt;0,ISNUMBER(SEARCH("Material 0 terverifikasi",'Offshore - Canberra'!N105))),OR('Offshore - Canberra'!G105&lt;&gt;0,ISNUMBER(SEARCH("Enrolment 0 terverifikasi",'Offshore - Canberra'!N105)))),1,0)</f>
        <v>0</v>
      </c>
      <c r="M1748" s="0" t="n">
        <f aca="false">IF(OR('Offshore - Canberra'!E105="",ISNUMBER(SEARCH("BSB80120",'Offshore - Canberra'!B105&amp;'Offshore - Canberra'!N105)),ISNUMBER(SEARCH("Management (Learning)",'Offshore - Canberra'!B105))),2,IF(ISNUMBER(SEARCH("CEK:",'Offshore - Canberra'!N105)),1,0))</f>
        <v>0</v>
      </c>
    </row>
    <row r="1749" customFormat="false" ht="15" hidden="false" customHeight="false" outlineLevel="0" collapsed="false">
      <c r="A1749" s="61" t="s">
        <v>4534</v>
      </c>
      <c r="B1749" s="62"/>
      <c r="C1749" s="62"/>
      <c r="D1749" s="62"/>
      <c r="E1749" s="62"/>
      <c r="F1749" s="62"/>
      <c r="G1749" s="62"/>
      <c r="H1749" s="62"/>
      <c r="I1749" s="62"/>
    </row>
    <row r="1750" customFormat="false" ht="15" hidden="false" customHeight="false" outlineLevel="0" collapsed="false">
      <c r="A1750" s="63" t="s">
        <v>3718</v>
      </c>
      <c r="B1750" s="64" t="s">
        <v>3821</v>
      </c>
      <c r="C1750" s="63" t="s">
        <v>43</v>
      </c>
      <c r="D1750" s="64" t="str">
        <f aca="false">TRIM(LEFT('Offshore - Canberra'!A120,FIND(CHAR(10),'Offshore - Canberra'!A120&amp;CHAR(10))-1))</f>
        <v>Charles Sturt University (CSU)</v>
      </c>
      <c r="E1750" s="63" t="str">
        <f aca="false">'Offshore - Canberra'!C120&amp;""</f>
        <v>3 years</v>
      </c>
      <c r="F1750" s="63" t="str">
        <f aca="false">IF('Offshore - Canberra'!D120="","Belum tercatat",'Offshore - Canberra'!D120)</f>
        <v>Semester</v>
      </c>
      <c r="G1750" s="65" t="n">
        <f aca="false">IF('Offshore - Canberra'!E120="","-",'Offshore - Canberra'!E120)</f>
        <v>12760</v>
      </c>
      <c r="H1750" s="63" t="n">
        <f aca="false">IF(ISNUMBER(K1750),COUNTIFS($J$6:$J$1854,J1750,$K$6:$K$1854,"&lt;"&amp;K1750)+1,"-")</f>
        <v>1</v>
      </c>
      <c r="I1750" s="64" t="str">
        <f aca="false">IF('Offshore - Canberra'!E120="","Harga belum tersedia - hubungi konsultan TEG",IF(M1750=2,"Saat ini tidak menerima pendaftaran siswa internasional baru",IF(M1750=1,"Harga perlu dikonfirmasi ke sekolah"&amp;IF(""="","","; "&amp;""),"")))</f>
        <v/>
      </c>
      <c r="J1750" s="0" t="s">
        <v>4535</v>
      </c>
      <c r="K1750" s="0" t="n">
        <f aca="false">IF(M1750=2,"",IF(ISNUMBER(SEARCH("rata-rata:",'Offshore - Canberra'!N120)),VALUE(MID('Offshore - Canberra'!N120,SEARCH("rata-rata:",'Offshore - Canberra'!N120)+11,FIND(";",'Offshore - Canberra'!N120&amp;";",SEARCH("rata-rata:",'Offshore - Canberra'!N120))-SEARCH("rata-rata:",'Offshore - Canberra'!N120)-11)),IF('Offshore - Canberra'!D120="Semester",'Offshore - Canberra'!E120*2,IF('Offshore - Canberra'!D120="Trimester",'Offshore - Canberra'!E120*3,IF('Offshore - Canberra'!D120="Term",'Offshore - Canberra'!E120*4,IF('Offshore - Canberra'!D120="Unit",'Offshore - Canberra'!E120*8,""))))))</f>
        <v>25520</v>
      </c>
      <c r="L1750" s="0" t="n">
        <f aca="false">IF(AND(ISNUMBER('Offshore - Canberra'!E120),ISNUMBER(K1750),ISNUMBER('Offshore - Canberra'!F120),ISNUMBER('Offshore - Canberra'!G120),OR('Offshore - Canberra'!F120&lt;&gt;0,ISNUMBER(SEARCH("Material 0 terverifikasi",'Offshore - Canberra'!N120))),OR('Offshore - Canberra'!G120&lt;&gt;0,ISNUMBER(SEARCH("Enrolment 0 terverifikasi",'Offshore - Canberra'!N120)))),1,0)</f>
        <v>0</v>
      </c>
      <c r="M1750" s="0" t="n">
        <f aca="false">IF(OR('Offshore - Canberra'!E120="",ISNUMBER(SEARCH("BSB80120",'Offshore - Canberra'!B120&amp;'Offshore - Canberra'!N120)),ISNUMBER(SEARCH("Management (Learning)",'Offshore - Canberra'!B120))),2,IF(ISNUMBER(SEARCH("CEK:",'Offshore - Canberra'!N120)),1,0))</f>
        <v>0</v>
      </c>
    </row>
    <row r="1751" customFormat="false" ht="15" hidden="false" customHeight="false" outlineLevel="0" collapsed="false">
      <c r="A1751" s="63" t="s">
        <v>3718</v>
      </c>
      <c r="B1751" s="64" t="s">
        <v>3821</v>
      </c>
      <c r="C1751" s="63" t="s">
        <v>43</v>
      </c>
      <c r="D1751" s="64" t="str">
        <f aca="false">TRIM(LEFT('Offshore - Canberra'!A6,FIND(CHAR(10),'Offshore - Canberra'!A6&amp;CHAR(10))-1))</f>
        <v>Australian Catholic University (ACU)</v>
      </c>
      <c r="E1751" s="63" t="str">
        <f aca="false">'Offshore - Canberra'!C94&amp;""</f>
        <v>3 years</v>
      </c>
      <c r="F1751" s="63" t="str">
        <f aca="false">IF('Offshore - Canberra'!D94="","Belum tercatat",'Offshore - Canberra'!D94)</f>
        <v>Term</v>
      </c>
      <c r="G1751" s="65" t="n">
        <f aca="false">IF('Offshore - Canberra'!E94="","-",'Offshore - Canberra'!E94)</f>
        <v>7162</v>
      </c>
      <c r="H1751" s="63" t="n">
        <f aca="false">IF(ISNUMBER(K1751),COUNTIFS($J$6:$J$1854,J1751,$K$6:$K$1854,"&lt;"&amp;K1751)+1,"-")</f>
        <v>2</v>
      </c>
      <c r="I1751" s="64" t="str">
        <f aca="false">IF('Offshore - Canberra'!E94="","Harga belum tersedia - hubungi konsultan TEG",IF(M1751=2,"Saat ini tidak menerima pendaftaran siswa internasional baru",IF(M1751=1,"Harga perlu dikonfirmasi ke sekolah"&amp;IF(""="","","; "&amp;""),"")))</f>
        <v/>
      </c>
      <c r="J1751" s="0" t="s">
        <v>4535</v>
      </c>
      <c r="K1751" s="0" t="n">
        <f aca="false">IF(M1751=2,"",IF(ISNUMBER(SEARCH("rata-rata:",'Offshore - Canberra'!N94)),VALUE(MID('Offshore - Canberra'!N94,SEARCH("rata-rata:",'Offshore - Canberra'!N94)+11,FIND(";",'Offshore - Canberra'!N94&amp;";",SEARCH("rata-rata:",'Offshore - Canberra'!N94))-SEARCH("rata-rata:",'Offshore - Canberra'!N94)-11)),IF('Offshore - Canberra'!D94="Semester",'Offshore - Canberra'!E94*2,IF('Offshore - Canberra'!D94="Trimester",'Offshore - Canberra'!E94*3,IF('Offshore - Canberra'!D94="Term",'Offshore - Canberra'!E94*4,IF('Offshore - Canberra'!D94="Unit",'Offshore - Canberra'!E94*8,""))))))</f>
        <v>28648</v>
      </c>
      <c r="L1751" s="0" t="n">
        <f aca="false">IF(AND(ISNUMBER('Offshore - Canberra'!E94),ISNUMBER(K1751),ISNUMBER('Offshore - Canberra'!F94),ISNUMBER('Offshore - Canberra'!G94),OR('Offshore - Canberra'!F94&lt;&gt;0,ISNUMBER(SEARCH("Material 0 terverifikasi",'Offshore - Canberra'!N94))),OR('Offshore - Canberra'!G94&lt;&gt;0,ISNUMBER(SEARCH("Enrolment 0 terverifikasi",'Offshore - Canberra'!N94)))),1,0)</f>
        <v>0</v>
      </c>
      <c r="M1751" s="0" t="n">
        <f aca="false">IF(OR('Offshore - Canberra'!E94="",ISNUMBER(SEARCH("BSB80120",'Offshore - Canberra'!B94&amp;'Offshore - Canberra'!N94)),ISNUMBER(SEARCH("Management (Learning)",'Offshore - Canberra'!B94))),2,IF(ISNUMBER(SEARCH("CEK:",'Offshore - Canberra'!N94)),1,0))</f>
        <v>0</v>
      </c>
    </row>
    <row r="1752" customFormat="false" ht="15" hidden="false" customHeight="false" outlineLevel="0" collapsed="false">
      <c r="A1752" s="61" t="s">
        <v>4536</v>
      </c>
      <c r="B1752" s="62"/>
      <c r="C1752" s="62"/>
      <c r="D1752" s="62"/>
      <c r="E1752" s="62"/>
      <c r="F1752" s="62"/>
      <c r="G1752" s="62"/>
      <c r="H1752" s="62"/>
      <c r="I1752" s="62"/>
    </row>
    <row r="1753" customFormat="false" ht="15" hidden="false" customHeight="false" outlineLevel="0" collapsed="false">
      <c r="A1753" s="63" t="s">
        <v>3718</v>
      </c>
      <c r="B1753" s="64" t="s">
        <v>3821</v>
      </c>
      <c r="C1753" s="63" t="s">
        <v>46</v>
      </c>
      <c r="D1753" s="64" t="str">
        <f aca="false">TRIM(LEFT('Offshore - Canberra'!A120,FIND(CHAR(10),'Offshore - Canberra'!A120&amp;CHAR(10))-1))</f>
        <v>Charles Sturt University (CSU)</v>
      </c>
      <c r="E1753" s="63" t="str">
        <f aca="false">'Offshore - Canberra'!C121&amp;""</f>
        <v>1,5 years</v>
      </c>
      <c r="F1753" s="63" t="str">
        <f aca="false">IF('Offshore - Canberra'!D121="","Belum tercatat",'Offshore - Canberra'!D121)</f>
        <v>Semester</v>
      </c>
      <c r="G1753" s="65" t="n">
        <f aca="false">IF('Offshore - Canberra'!E121="","-",'Offshore - Canberra'!E121)</f>
        <v>12760</v>
      </c>
      <c r="H1753" s="63" t="n">
        <f aca="false">IF(ISNUMBER(K1753),COUNTIFS($J$6:$J$1854,J1753,$K$6:$K$1854,"&lt;"&amp;K1753)+1,"-")</f>
        <v>1</v>
      </c>
      <c r="I1753" s="64" t="str">
        <f aca="false">IF('Offshore - Canberra'!E121="","Harga belum tersedia - hubungi konsultan TEG",IF(M1753=2,"Saat ini tidak menerima pendaftaran siswa internasional baru",IF(M1753=1,"Harga perlu dikonfirmasi ke sekolah"&amp;IF(""="","","; "&amp;""),"")))</f>
        <v/>
      </c>
      <c r="J1753" s="0" t="s">
        <v>4537</v>
      </c>
      <c r="K1753" s="0" t="n">
        <f aca="false">IF(M1753=2,"",IF(ISNUMBER(SEARCH("rata-rata:",'Offshore - Canberra'!N121)),VALUE(MID('Offshore - Canberra'!N121,SEARCH("rata-rata:",'Offshore - Canberra'!N121)+11,FIND(";",'Offshore - Canberra'!N121&amp;";",SEARCH("rata-rata:",'Offshore - Canberra'!N121))-SEARCH("rata-rata:",'Offshore - Canberra'!N121)-11)),IF('Offshore - Canberra'!D121="Semester",'Offshore - Canberra'!E121*2,IF('Offshore - Canberra'!D121="Trimester",'Offshore - Canberra'!E121*3,IF('Offshore - Canberra'!D121="Term",'Offshore - Canberra'!E121*4,IF('Offshore - Canberra'!D121="Unit",'Offshore - Canberra'!E121*8,""))))))</f>
        <v>25520</v>
      </c>
      <c r="L1753" s="0" t="n">
        <f aca="false">IF(AND(ISNUMBER('Offshore - Canberra'!E121),ISNUMBER(K1753),ISNUMBER('Offshore - Canberra'!F121),ISNUMBER('Offshore - Canberra'!G121),OR('Offshore - Canberra'!F121&lt;&gt;0,ISNUMBER(SEARCH("Material 0 terverifikasi",'Offshore - Canberra'!N121))),OR('Offshore - Canberra'!G121&lt;&gt;0,ISNUMBER(SEARCH("Enrolment 0 terverifikasi",'Offshore - Canberra'!N121)))),1,0)</f>
        <v>0</v>
      </c>
      <c r="M1753" s="0" t="n">
        <f aca="false">IF(OR('Offshore - Canberra'!E121="",ISNUMBER(SEARCH("BSB80120",'Offshore - Canberra'!B121&amp;'Offshore - Canberra'!N121)),ISNUMBER(SEARCH("Management (Learning)",'Offshore - Canberra'!B121))),2,IF(ISNUMBER(SEARCH("CEK:",'Offshore - Canberra'!N121)),1,0))</f>
        <v>0</v>
      </c>
    </row>
    <row r="1754" customFormat="false" ht="15" hidden="false" customHeight="false" outlineLevel="0" collapsed="false">
      <c r="A1754" s="63" t="s">
        <v>3718</v>
      </c>
      <c r="B1754" s="64" t="s">
        <v>3821</v>
      </c>
      <c r="C1754" s="63" t="s">
        <v>46</v>
      </c>
      <c r="D1754" s="64" t="str">
        <f aca="false">TRIM(LEFT('Offshore - Canberra'!A6,FIND(CHAR(10),'Offshore - Canberra'!A6&amp;CHAR(10))-1))</f>
        <v>Australian Catholic University (ACU)</v>
      </c>
      <c r="E1754" s="63" t="str">
        <f aca="false">'Offshore - Canberra'!C98&amp;""</f>
        <v>2 years</v>
      </c>
      <c r="F1754" s="63" t="str">
        <f aca="false">IF('Offshore - Canberra'!D98="","Belum tercatat",'Offshore - Canberra'!D98)</f>
        <v>Term</v>
      </c>
      <c r="G1754" s="65" t="n">
        <f aca="false">IF('Offshore - Canberra'!E98="","-",'Offshore - Canberra'!E98)</f>
        <v>8682</v>
      </c>
      <c r="H1754" s="63" t="n">
        <f aca="false">IF(ISNUMBER(K1754),COUNTIFS($J$6:$J$1854,J1754,$K$6:$K$1854,"&lt;"&amp;K1754)+1,"-")</f>
        <v>2</v>
      </c>
      <c r="I1754" s="64" t="str">
        <f aca="false">IF('Offshore - Canberra'!E98="","Harga belum tersedia - hubungi konsultan TEG",IF(M1754=2,"Saat ini tidak menerima pendaftaran siswa internasional baru",IF(M1754=1,"Harga perlu dikonfirmasi ke sekolah"&amp;IF(""="","","; "&amp;""),"")))</f>
        <v/>
      </c>
      <c r="J1754" s="0" t="s">
        <v>4537</v>
      </c>
      <c r="K1754" s="0" t="n">
        <f aca="false">IF(M1754=2,"",IF(ISNUMBER(SEARCH("rata-rata:",'Offshore - Canberra'!N98)),VALUE(MID('Offshore - Canberra'!N98,SEARCH("rata-rata:",'Offshore - Canberra'!N98)+11,FIND(";",'Offshore - Canberra'!N98&amp;";",SEARCH("rata-rata:",'Offshore - Canberra'!N98))-SEARCH("rata-rata:",'Offshore - Canberra'!N98)-11)),IF('Offshore - Canberra'!D98="Semester",'Offshore - Canberra'!E98*2,IF('Offshore - Canberra'!D98="Trimester",'Offshore - Canberra'!E98*3,IF('Offshore - Canberra'!D98="Term",'Offshore - Canberra'!E98*4,IF('Offshore - Canberra'!D98="Unit",'Offshore - Canberra'!E98*8,""))))))</f>
        <v>34728</v>
      </c>
      <c r="L1754" s="0" t="n">
        <f aca="false">IF(AND(ISNUMBER('Offshore - Canberra'!E98),ISNUMBER(K1754),ISNUMBER('Offshore - Canberra'!F98),ISNUMBER('Offshore - Canberra'!G98),OR('Offshore - Canberra'!F98&lt;&gt;0,ISNUMBER(SEARCH("Material 0 terverifikasi",'Offshore - Canberra'!N98))),OR('Offshore - Canberra'!G98&lt;&gt;0,ISNUMBER(SEARCH("Enrolment 0 terverifikasi",'Offshore - Canberra'!N98)))),1,0)</f>
        <v>0</v>
      </c>
      <c r="M1754" s="0" t="n">
        <f aca="false">IF(OR('Offshore - Canberra'!E98="",ISNUMBER(SEARCH("BSB80120",'Offshore - Canberra'!B98&amp;'Offshore - Canberra'!N98)),ISNUMBER(SEARCH("Management (Learning)",'Offshore - Canberra'!B98))),2,IF(ISNUMBER(SEARCH("CEK:",'Offshore - Canberra'!N98)),1,0))</f>
        <v>0</v>
      </c>
    </row>
    <row r="1755" customFormat="false" ht="15" hidden="false" customHeight="false" outlineLevel="0" collapsed="false">
      <c r="A1755" s="61" t="s">
        <v>4538</v>
      </c>
      <c r="B1755" s="62"/>
      <c r="C1755" s="62"/>
      <c r="D1755" s="62"/>
      <c r="E1755" s="62"/>
      <c r="F1755" s="62"/>
      <c r="G1755" s="62"/>
      <c r="H1755" s="62"/>
      <c r="I1755" s="62"/>
    </row>
    <row r="1756" customFormat="false" ht="15" hidden="false" customHeight="false" outlineLevel="0" collapsed="false">
      <c r="A1756" s="63" t="s">
        <v>3718</v>
      </c>
      <c r="B1756" s="64" t="s">
        <v>3821</v>
      </c>
      <c r="C1756" s="63" t="s">
        <v>4222</v>
      </c>
      <c r="D1756" s="64" t="str">
        <f aca="false">TRIM(LEFT('Offshore - Canberra'!A6,FIND(CHAR(10),'Offshore - Canberra'!A6&amp;CHAR(10))-1))</f>
        <v>Australian Catholic University (ACU)</v>
      </c>
      <c r="E1756" s="63" t="str">
        <f aca="false">'Offshore - Canberra'!C96&amp;""</f>
        <v>3 years</v>
      </c>
      <c r="F1756" s="63" t="str">
        <f aca="false">IF('Offshore - Canberra'!D96="","Belum tercatat",'Offshore - Canberra'!D96)</f>
        <v>Term</v>
      </c>
      <c r="G1756" s="65" t="n">
        <f aca="false">IF('Offshore - Canberra'!E96="","-",'Offshore - Canberra'!E96)</f>
        <v>8682</v>
      </c>
      <c r="H1756" s="63" t="n">
        <f aca="false">IF(ISNUMBER(K1756),COUNTIFS($J$6:$J$1854,J1756,$K$6:$K$1854,"&lt;"&amp;K1756)+1,"-")</f>
        <v>1</v>
      </c>
      <c r="I1756" s="64" t="str">
        <f aca="false">IF('Offshore - Canberra'!E96="","Harga belum tersedia - hubungi konsultan TEG",IF(M1756=2,"Saat ini tidak menerima pendaftaran siswa internasional baru",IF(M1756=1,"Harga perlu dikonfirmasi ke sekolah"&amp;IF(""="","","; "&amp;""),"")))</f>
        <v/>
      </c>
      <c r="J1756" s="0" t="s">
        <v>4539</v>
      </c>
      <c r="K1756" s="0" t="n">
        <f aca="false">IF(M1756=2,"",IF(ISNUMBER(SEARCH("rata-rata:",'Offshore - Canberra'!N96)),VALUE(MID('Offshore - Canberra'!N96,SEARCH("rata-rata:",'Offshore - Canberra'!N96)+11,FIND(";",'Offshore - Canberra'!N96&amp;";",SEARCH("rata-rata:",'Offshore - Canberra'!N96))-SEARCH("rata-rata:",'Offshore - Canberra'!N96)-11)),IF('Offshore - Canberra'!D96="Semester",'Offshore - Canberra'!E96*2,IF('Offshore - Canberra'!D96="Trimester",'Offshore - Canberra'!E96*3,IF('Offshore - Canberra'!D96="Term",'Offshore - Canberra'!E96*4,IF('Offshore - Canberra'!D96="Unit",'Offshore - Canberra'!E96*8,""))))))</f>
        <v>34728</v>
      </c>
      <c r="L1756" s="0" t="n">
        <f aca="false">IF(AND(ISNUMBER('Offshore - Canberra'!E96),ISNUMBER(K1756),ISNUMBER('Offshore - Canberra'!F96),ISNUMBER('Offshore - Canberra'!G96),OR('Offshore - Canberra'!F96&lt;&gt;0,ISNUMBER(SEARCH("Material 0 terverifikasi",'Offshore - Canberra'!N96))),OR('Offshore - Canberra'!G96&lt;&gt;0,ISNUMBER(SEARCH("Enrolment 0 terverifikasi",'Offshore - Canberra'!N96)))),1,0)</f>
        <v>0</v>
      </c>
      <c r="M1756" s="0" t="n">
        <f aca="false">IF(OR('Offshore - Canberra'!E96="",ISNUMBER(SEARCH("BSB80120",'Offshore - Canberra'!B96&amp;'Offshore - Canberra'!N96)),ISNUMBER(SEARCH("Management (Learning)",'Offshore - Canberra'!B96))),2,IF(ISNUMBER(SEARCH("CEK:",'Offshore - Canberra'!N96)),1,0))</f>
        <v>0</v>
      </c>
    </row>
    <row r="1757" customFormat="false" ht="15" hidden="false" customHeight="false" outlineLevel="0" collapsed="false">
      <c r="A1757" s="61" t="s">
        <v>4540</v>
      </c>
      <c r="B1757" s="62"/>
      <c r="C1757" s="62"/>
      <c r="D1757" s="62"/>
      <c r="E1757" s="62"/>
      <c r="F1757" s="62"/>
      <c r="G1757" s="62"/>
      <c r="H1757" s="62"/>
      <c r="I1757" s="62"/>
    </row>
    <row r="1758" customFormat="false" ht="15" hidden="false" customHeight="false" outlineLevel="0" collapsed="false">
      <c r="A1758" s="63" t="s">
        <v>3583</v>
      </c>
      <c r="B1758" s="64" t="s">
        <v>3821</v>
      </c>
      <c r="C1758" s="63" t="s">
        <v>41</v>
      </c>
      <c r="D1758" s="64" t="str">
        <f aca="false">TRIM(LEFT('Offshore - Darwin'!A20,FIND(CHAR(10),'Offshore - Darwin'!A20&amp;CHAR(10))-1))</f>
        <v>Charles Darwin University (CDU)</v>
      </c>
      <c r="E1758" s="63" t="str">
        <f aca="false">'Offshore - Darwin'!C21&amp;""</f>
        <v>1 year</v>
      </c>
      <c r="F1758" s="63" t="str">
        <f aca="false">IF('Offshore - Darwin'!D21="","Belum tercatat",'Offshore - Darwin'!D21)</f>
        <v>Term</v>
      </c>
      <c r="G1758" s="65" t="n">
        <f aca="false">IF('Offshore - Darwin'!E21="","-",'Offshore - Darwin'!E21)</f>
        <v>7450</v>
      </c>
      <c r="H1758" s="63" t="n">
        <f aca="false">IF(ISNUMBER(K1758),COUNTIFS($J$6:$J$1854,J1758,$K$6:$K$1854,"&lt;"&amp;K1758)+1,"-")</f>
        <v>1</v>
      </c>
      <c r="I1758" s="64" t="str">
        <f aca="false">IF('Offshore - Darwin'!E21="","Harga belum tersedia - hubungi konsultan TEG",IF(M1758=2,"Saat ini tidak menerima pendaftaran siswa internasional baru",IF(M1758=1,"Harga perlu dikonfirmasi ke sekolah"&amp;IF(""="","","; "&amp;""),"")))</f>
        <v/>
      </c>
      <c r="J1758" s="0" t="s">
        <v>4541</v>
      </c>
      <c r="K1758" s="0" t="n">
        <f aca="false">IF(M1758=2,"",IF(ISNUMBER(SEARCH("rata-rata:",'Offshore - Darwin'!N21)),VALUE(MID('Offshore - Darwin'!N21,SEARCH("rata-rata:",'Offshore - Darwin'!N21)+11,FIND(";",'Offshore - Darwin'!N21&amp;";",SEARCH("rata-rata:",'Offshore - Darwin'!N21))-SEARCH("rata-rata:",'Offshore - Darwin'!N21)-11)),IF('Offshore - Darwin'!D21="Semester",'Offshore - Darwin'!E21*2,IF('Offshore - Darwin'!D21="Trimester",'Offshore - Darwin'!E21*3,IF('Offshore - Darwin'!D21="Term",'Offshore - Darwin'!E21*4,IF('Offshore - Darwin'!D21="Unit",'Offshore - Darwin'!E21*8,""))))))</f>
        <v>29800</v>
      </c>
      <c r="L1758" s="0" t="n">
        <f aca="false">IF(AND(ISNUMBER('Offshore - Darwin'!E21),ISNUMBER(K1758),ISNUMBER('Offshore - Darwin'!F21),ISNUMBER('Offshore - Darwin'!G21),OR('Offshore - Darwin'!F21&lt;&gt;0,ISNUMBER(SEARCH("Material 0 terverifikasi",'Offshore - Darwin'!N21))),OR('Offshore - Darwin'!G21&lt;&gt;0,ISNUMBER(SEARCH("Enrolment 0 terverifikasi",'Offshore - Darwin'!N21)))),1,0)</f>
        <v>0</v>
      </c>
      <c r="M1758" s="0" t="n">
        <f aca="false">IF(OR('Offshore - Darwin'!E21="",ISNUMBER(SEARCH("BSB80120",'Offshore - Darwin'!B21&amp;'Offshore - Darwin'!N21)),ISNUMBER(SEARCH("Management (Learning)",'Offshore - Darwin'!B21))),2,IF(ISNUMBER(SEARCH("CEK:",'Offshore - Darwin'!N21)),1,0))</f>
        <v>0</v>
      </c>
    </row>
    <row r="1759" customFormat="false" ht="15" hidden="false" customHeight="false" outlineLevel="0" collapsed="false">
      <c r="A1759" s="61" t="s">
        <v>4542</v>
      </c>
      <c r="B1759" s="62"/>
      <c r="C1759" s="62"/>
      <c r="D1759" s="62"/>
      <c r="E1759" s="62"/>
      <c r="F1759" s="62"/>
      <c r="G1759" s="62"/>
      <c r="H1759" s="62"/>
      <c r="I1759" s="62"/>
    </row>
    <row r="1760" customFormat="false" ht="15" hidden="false" customHeight="false" outlineLevel="0" collapsed="false">
      <c r="A1760" s="63" t="s">
        <v>3583</v>
      </c>
      <c r="B1760" s="64" t="s">
        <v>3821</v>
      </c>
      <c r="C1760" s="63" t="s">
        <v>43</v>
      </c>
      <c r="D1760" s="64" t="str">
        <f aca="false">TRIM(LEFT('Offshore - Darwin'!A20,FIND(CHAR(10),'Offshore - Darwin'!A20&amp;CHAR(10))-1))</f>
        <v>Charles Darwin University (CDU)</v>
      </c>
      <c r="E1760" s="63" t="str">
        <f aca="false">'Offshore - Darwin'!C20&amp;""</f>
        <v>3 years</v>
      </c>
      <c r="F1760" s="63" t="str">
        <f aca="false">IF('Offshore - Darwin'!D20="","Belum tercatat",'Offshore - Darwin'!D20)</f>
        <v>Term</v>
      </c>
      <c r="G1760" s="65" t="n">
        <f aca="false">IF('Offshore - Darwin'!E20="","-",'Offshore - Darwin'!E20)</f>
        <v>7450</v>
      </c>
      <c r="H1760" s="63" t="n">
        <f aca="false">IF(ISNUMBER(K1760),COUNTIFS($J$6:$J$1854,J1760,$K$6:$K$1854,"&lt;"&amp;K1760)+1,"-")</f>
        <v>1</v>
      </c>
      <c r="I1760" s="64" t="str">
        <f aca="false">IF('Offshore - Darwin'!E20="","Harga belum tersedia - hubungi konsultan TEG",IF(M1760=2,"Saat ini tidak menerima pendaftaran siswa internasional baru",IF(M1760=1,"Harga perlu dikonfirmasi ke sekolah"&amp;IF(""="","","; "&amp;""),"")))</f>
        <v/>
      </c>
      <c r="J1760" s="0" t="s">
        <v>4543</v>
      </c>
      <c r="K1760" s="0" t="n">
        <f aca="false">IF(M1760=2,"",IF(ISNUMBER(SEARCH("rata-rata:",'Offshore - Darwin'!N20)),VALUE(MID('Offshore - Darwin'!N20,SEARCH("rata-rata:",'Offshore - Darwin'!N20)+11,FIND(";",'Offshore - Darwin'!N20&amp;";",SEARCH("rata-rata:",'Offshore - Darwin'!N20))-SEARCH("rata-rata:",'Offshore - Darwin'!N20)-11)),IF('Offshore - Darwin'!D20="Semester",'Offshore - Darwin'!E20*2,IF('Offshore - Darwin'!D20="Trimester",'Offshore - Darwin'!E20*3,IF('Offshore - Darwin'!D20="Term",'Offshore - Darwin'!E20*4,IF('Offshore - Darwin'!D20="Unit",'Offshore - Darwin'!E20*8,""))))))</f>
        <v>29800</v>
      </c>
      <c r="L1760" s="0" t="n">
        <f aca="false">IF(AND(ISNUMBER('Offshore - Darwin'!E20),ISNUMBER(K1760),ISNUMBER('Offshore - Darwin'!F20),ISNUMBER('Offshore - Darwin'!G20),OR('Offshore - Darwin'!F20&lt;&gt;0,ISNUMBER(SEARCH("Material 0 terverifikasi",'Offshore - Darwin'!N20))),OR('Offshore - Darwin'!G20&lt;&gt;0,ISNUMBER(SEARCH("Enrolment 0 terverifikasi",'Offshore - Darwin'!N20)))),1,0)</f>
        <v>0</v>
      </c>
      <c r="M1760" s="0" t="n">
        <f aca="false">IF(OR('Offshore - Darwin'!E20="",ISNUMBER(SEARCH("BSB80120",'Offshore - Darwin'!B20&amp;'Offshore - Darwin'!N20)),ISNUMBER(SEARCH("Management (Learning)",'Offshore - Darwin'!B20))),2,IF(ISNUMBER(SEARCH("CEK:",'Offshore - Darwin'!N20)),1,0))</f>
        <v>0</v>
      </c>
    </row>
    <row r="1761" customFormat="false" ht="15" hidden="false" customHeight="false" outlineLevel="0" collapsed="false">
      <c r="A1761" s="61" t="s">
        <v>4544</v>
      </c>
      <c r="B1761" s="62"/>
      <c r="C1761" s="62"/>
      <c r="D1761" s="62"/>
      <c r="E1761" s="62"/>
      <c r="F1761" s="62"/>
      <c r="G1761" s="62"/>
      <c r="H1761" s="62"/>
      <c r="I1761" s="62"/>
    </row>
    <row r="1762" customFormat="false" ht="15" hidden="false" customHeight="false" outlineLevel="0" collapsed="false">
      <c r="A1762" s="63" t="s">
        <v>3583</v>
      </c>
      <c r="B1762" s="64" t="s">
        <v>3821</v>
      </c>
      <c r="C1762" s="63" t="s">
        <v>3707</v>
      </c>
      <c r="D1762" s="64" t="str">
        <f aca="false">TRIM(LEFT('Offshore - Darwin'!A20,FIND(CHAR(10),'Offshore - Darwin'!A20&amp;CHAR(10))-1))</f>
        <v>Charles Darwin University (CDU)</v>
      </c>
      <c r="E1762" s="63" t="str">
        <f aca="false">'Offshore - Darwin'!C25&amp;""</f>
        <v>0,5 year</v>
      </c>
      <c r="F1762" s="63" t="str">
        <f aca="false">IF('Offshore - Darwin'!D25="","Belum tercatat",'Offshore - Darwin'!D25)</f>
        <v>Term</v>
      </c>
      <c r="G1762" s="65" t="n">
        <f aca="false">IF('Offshore - Darwin'!E25="","-",'Offshore - Darwin'!E25)</f>
        <v>9418</v>
      </c>
      <c r="H1762" s="63" t="n">
        <f aca="false">IF(ISNUMBER(K1762),COUNTIFS($J$6:$J$1854,J1762,$K$6:$K$1854,"&lt;"&amp;K1762)+1,"-")</f>
        <v>1</v>
      </c>
      <c r="I1762" s="64" t="str">
        <f aca="false">IF('Offshore - Darwin'!E25="","Harga belum tersedia - hubungi konsultan TEG",IF(M1762=2,"Saat ini tidak menerima pendaftaran siswa internasional baru",IF(M1762=1,"Harga perlu dikonfirmasi ke sekolah"&amp;IF(""="","","; "&amp;""),"")))</f>
        <v/>
      </c>
      <c r="J1762" s="0" t="s">
        <v>4545</v>
      </c>
      <c r="K1762" s="0" t="n">
        <f aca="false">IF(M1762=2,"",IF(ISNUMBER(SEARCH("rata-rata:",'Offshore - Darwin'!N25)),VALUE(MID('Offshore - Darwin'!N25,SEARCH("rata-rata:",'Offshore - Darwin'!N25)+11,FIND(";",'Offshore - Darwin'!N25&amp;";",SEARCH("rata-rata:",'Offshore - Darwin'!N25))-SEARCH("rata-rata:",'Offshore - Darwin'!N25)-11)),IF('Offshore - Darwin'!D25="Semester",'Offshore - Darwin'!E25*2,IF('Offshore - Darwin'!D25="Trimester",'Offshore - Darwin'!E25*3,IF('Offshore - Darwin'!D25="Term",'Offshore - Darwin'!E25*4,IF('Offshore - Darwin'!D25="Unit",'Offshore - Darwin'!E25*8,""))))))</f>
        <v>37672</v>
      </c>
      <c r="L1762" s="0" t="n">
        <f aca="false">IF(AND(ISNUMBER('Offshore - Darwin'!E25),ISNUMBER(K1762),ISNUMBER('Offshore - Darwin'!F25),ISNUMBER('Offshore - Darwin'!G25),OR('Offshore - Darwin'!F25&lt;&gt;0,ISNUMBER(SEARCH("Material 0 terverifikasi",'Offshore - Darwin'!N25))),OR('Offshore - Darwin'!G25&lt;&gt;0,ISNUMBER(SEARCH("Enrolment 0 terverifikasi",'Offshore - Darwin'!N25)))),1,0)</f>
        <v>0</v>
      </c>
      <c r="M1762" s="0" t="n">
        <f aca="false">IF(OR('Offshore - Darwin'!E25="",ISNUMBER(SEARCH("BSB80120",'Offshore - Darwin'!B25&amp;'Offshore - Darwin'!N25)),ISNUMBER(SEARCH("Management (Learning)",'Offshore - Darwin'!B25))),2,IF(ISNUMBER(SEARCH("CEK:",'Offshore - Darwin'!N25)),1,0))</f>
        <v>0</v>
      </c>
    </row>
    <row r="1763" customFormat="false" ht="15" hidden="false" customHeight="false" outlineLevel="0" collapsed="false">
      <c r="A1763" s="61" t="s">
        <v>4546</v>
      </c>
      <c r="B1763" s="62"/>
      <c r="C1763" s="62"/>
      <c r="D1763" s="62"/>
      <c r="E1763" s="62"/>
      <c r="F1763" s="62"/>
      <c r="G1763" s="62"/>
      <c r="H1763" s="62"/>
      <c r="I1763" s="62"/>
    </row>
    <row r="1764" customFormat="false" ht="15" hidden="false" customHeight="false" outlineLevel="0" collapsed="false">
      <c r="A1764" s="63" t="s">
        <v>3583</v>
      </c>
      <c r="B1764" s="64" t="s">
        <v>3821</v>
      </c>
      <c r="C1764" s="63" t="s">
        <v>46</v>
      </c>
      <c r="D1764" s="64" t="str">
        <f aca="false">TRIM(LEFT('Offshore - Darwin'!A20,FIND(CHAR(10),'Offshore - Darwin'!A20&amp;CHAR(10))-1))</f>
        <v>Charles Darwin University (CDU)</v>
      </c>
      <c r="E1764" s="63" t="str">
        <f aca="false">'Offshore - Darwin'!C27&amp;""</f>
        <v>2 years</v>
      </c>
      <c r="F1764" s="63" t="str">
        <f aca="false">IF('Offshore - Darwin'!D27="","Belum tercatat",'Offshore - Darwin'!D27)</f>
        <v>Term</v>
      </c>
      <c r="G1764" s="65" t="n">
        <f aca="false">IF('Offshore - Darwin'!E27="","-",'Offshore - Darwin'!E27)</f>
        <v>9418</v>
      </c>
      <c r="H1764" s="63" t="n">
        <f aca="false">IF(ISNUMBER(K1764),COUNTIFS($J$6:$J$1854,J1764,$K$6:$K$1854,"&lt;"&amp;K1764)+1,"-")</f>
        <v>1</v>
      </c>
      <c r="I1764" s="64" t="str">
        <f aca="false">IF('Offshore - Darwin'!E27="","Harga belum tersedia - hubungi konsultan TEG",IF(M1764=2,"Saat ini tidak menerima pendaftaran siswa internasional baru",IF(M1764=1,"Harga perlu dikonfirmasi ke sekolah"&amp;IF(""="","","; "&amp;""),"")))</f>
        <v/>
      </c>
      <c r="J1764" s="0" t="s">
        <v>4547</v>
      </c>
      <c r="K1764" s="0" t="n">
        <f aca="false">IF(M1764=2,"",IF(ISNUMBER(SEARCH("rata-rata:",'Offshore - Darwin'!N27)),VALUE(MID('Offshore - Darwin'!N27,SEARCH("rata-rata:",'Offshore - Darwin'!N27)+11,FIND(";",'Offshore - Darwin'!N27&amp;";",SEARCH("rata-rata:",'Offshore - Darwin'!N27))-SEARCH("rata-rata:",'Offshore - Darwin'!N27)-11)),IF('Offshore - Darwin'!D27="Semester",'Offshore - Darwin'!E27*2,IF('Offshore - Darwin'!D27="Trimester",'Offshore - Darwin'!E27*3,IF('Offshore - Darwin'!D27="Term",'Offshore - Darwin'!E27*4,IF('Offshore - Darwin'!D27="Unit",'Offshore - Darwin'!E27*8,""))))))</f>
        <v>37672</v>
      </c>
      <c r="L1764" s="0" t="n">
        <f aca="false">IF(AND(ISNUMBER('Offshore - Darwin'!E27),ISNUMBER(K1764),ISNUMBER('Offshore - Darwin'!F27),ISNUMBER('Offshore - Darwin'!G27),OR('Offshore - Darwin'!F27&lt;&gt;0,ISNUMBER(SEARCH("Material 0 terverifikasi",'Offshore - Darwin'!N27))),OR('Offshore - Darwin'!G27&lt;&gt;0,ISNUMBER(SEARCH("Enrolment 0 terverifikasi",'Offshore - Darwin'!N27)))),1,0)</f>
        <v>0</v>
      </c>
      <c r="M1764" s="0" t="n">
        <f aca="false">IF(OR('Offshore - Darwin'!E27="",ISNUMBER(SEARCH("BSB80120",'Offshore - Darwin'!B27&amp;'Offshore - Darwin'!N27)),ISNUMBER(SEARCH("Management (Learning)",'Offshore - Darwin'!B27))),2,IF(ISNUMBER(SEARCH("CEK:",'Offshore - Darwin'!N27)),1,0))</f>
        <v>0</v>
      </c>
    </row>
    <row r="1765" customFormat="false" ht="15" hidden="false" customHeight="false" outlineLevel="0" collapsed="false">
      <c r="A1765" s="61" t="s">
        <v>4548</v>
      </c>
      <c r="B1765" s="62"/>
      <c r="C1765" s="62"/>
      <c r="D1765" s="62"/>
      <c r="E1765" s="62"/>
      <c r="F1765" s="62"/>
      <c r="G1765" s="62"/>
      <c r="H1765" s="62"/>
      <c r="I1765" s="62"/>
    </row>
    <row r="1766" customFormat="false" ht="15" hidden="false" customHeight="false" outlineLevel="0" collapsed="false">
      <c r="A1766" s="63" t="s">
        <v>3583</v>
      </c>
      <c r="B1766" s="64" t="s">
        <v>3821</v>
      </c>
      <c r="C1766" s="63" t="s">
        <v>4222</v>
      </c>
      <c r="D1766" s="64" t="str">
        <f aca="false">TRIM(LEFT('Offshore - Darwin'!A20,FIND(CHAR(10),'Offshore - Darwin'!A20&amp;CHAR(10))-1))</f>
        <v>Charles Darwin University (CDU)</v>
      </c>
      <c r="E1766" s="63" t="str">
        <f aca="false">'Offshore - Darwin'!C130&amp;""</f>
        <v>4 years</v>
      </c>
      <c r="F1766" s="63" t="str">
        <f aca="false">IF('Offshore - Darwin'!D130="","Belum tercatat",'Offshore - Darwin'!D130)</f>
        <v>Term</v>
      </c>
      <c r="G1766" s="65" t="n">
        <f aca="false">IF('Offshore - Darwin'!E130="","-",'Offshore - Darwin'!E130)</f>
        <v>7784</v>
      </c>
      <c r="H1766" s="63" t="n">
        <f aca="false">IF(ISNUMBER(K1766),COUNTIFS($J$6:$J$1854,J1766,$K$6:$K$1854,"&lt;"&amp;K1766)+1,"-")</f>
        <v>1</v>
      </c>
      <c r="I1766" s="64" t="str">
        <f aca="false">IF('Offshore - Darwin'!E130="","Harga belum tersedia - hubungi konsultan TEG",IF(M1766=2,"Saat ini tidak menerima pendaftaran siswa internasional baru",IF(M1766=1,"Harga perlu dikonfirmasi ke sekolah"&amp;IF(""="","","; "&amp;""),"")))</f>
        <v>Harga perlu dikonfirmasi ke sekolah</v>
      </c>
      <c r="J1766" s="0" t="s">
        <v>4549</v>
      </c>
      <c r="K1766" s="0" t="n">
        <f aca="false">IF(M1766=2,"",IF(ISNUMBER(SEARCH("rata-rata:",'Offshore - Darwin'!N130)),VALUE(MID('Offshore - Darwin'!N130,SEARCH("rata-rata:",'Offshore - Darwin'!N130)+11,FIND(";",'Offshore - Darwin'!N130&amp;";",SEARCH("rata-rata:",'Offshore - Darwin'!N130))-SEARCH("rata-rata:",'Offshore - Darwin'!N130)-11)),IF('Offshore - Darwin'!D130="Semester",'Offshore - Darwin'!E130*2,IF('Offshore - Darwin'!D130="Trimester",'Offshore - Darwin'!E130*3,IF('Offshore - Darwin'!D130="Term",'Offshore - Darwin'!E130*4,IF('Offshore - Darwin'!D130="Unit",'Offshore - Darwin'!E130*8,""))))))</f>
        <v>31136</v>
      </c>
      <c r="L1766" s="0" t="n">
        <f aca="false">IF(AND(ISNUMBER('Offshore - Darwin'!E130),ISNUMBER(K1766),ISNUMBER('Offshore - Darwin'!F130),ISNUMBER('Offshore - Darwin'!G130),OR('Offshore - Darwin'!F130&lt;&gt;0,ISNUMBER(SEARCH("Material 0 terverifikasi",'Offshore - Darwin'!N130))),OR('Offshore - Darwin'!G130&lt;&gt;0,ISNUMBER(SEARCH("Enrolment 0 terverifikasi",'Offshore - Darwin'!N130)))),1,0)</f>
        <v>0</v>
      </c>
      <c r="M1766" s="0" t="n">
        <f aca="false">IF(OR('Offshore - Darwin'!E130="",ISNUMBER(SEARCH("BSB80120",'Offshore - Darwin'!B130&amp;'Offshore - Darwin'!N130)),ISNUMBER(SEARCH("Management (Learning)",'Offshore - Darwin'!B130))),2,IF(ISNUMBER(SEARCH("CEK:",'Offshore - Darwin'!N130)),1,0))</f>
        <v>1</v>
      </c>
    </row>
    <row r="1767" customFormat="false" ht="15" hidden="false" customHeight="false" outlineLevel="0" collapsed="false">
      <c r="A1767" s="61" t="s">
        <v>4550</v>
      </c>
      <c r="B1767" s="62"/>
      <c r="C1767" s="62"/>
      <c r="D1767" s="62"/>
      <c r="E1767" s="62"/>
      <c r="F1767" s="62"/>
      <c r="G1767" s="62"/>
      <c r="H1767" s="62"/>
      <c r="I1767" s="62"/>
    </row>
    <row r="1768" customFormat="false" ht="15" hidden="false" customHeight="false" outlineLevel="0" collapsed="false">
      <c r="A1768" s="63" t="s">
        <v>3544</v>
      </c>
      <c r="B1768" s="64" t="s">
        <v>3821</v>
      </c>
      <c r="C1768" s="63" t="s">
        <v>41</v>
      </c>
      <c r="D1768" s="64" t="str">
        <f aca="false">TRIM(LEFT('Offshore - Melbourne'!A95,FIND(CHAR(10),'Offshore - Melbourne'!A95&amp;CHAR(10))-1))</f>
        <v>Australian Catholic University (ACU)</v>
      </c>
      <c r="E1768" s="63" t="str">
        <f aca="false">'Offshore - Melbourne'!C194&amp;""</f>
        <v>1 year</v>
      </c>
      <c r="F1768" s="63" t="str">
        <f aca="false">IF('Offshore - Melbourne'!D194="","Belum tercatat",'Offshore - Melbourne'!D194)</f>
        <v>Term</v>
      </c>
      <c r="G1768" s="65" t="n">
        <f aca="false">IF('Offshore - Melbourne'!E194="","-",'Offshore - Melbourne'!E194)</f>
        <v>8906</v>
      </c>
      <c r="H1768" s="63" t="n">
        <f aca="false">IF(ISNUMBER(K1768),COUNTIFS($J$6:$J$1854,J1768,$K$6:$K$1854,"&lt;"&amp;K1768)+1,"-")</f>
        <v>1</v>
      </c>
      <c r="I1768" s="64" t="str">
        <f aca="false">IF('Offshore - Melbourne'!E194="","Harga belum tersedia - hubungi konsultan TEG",IF(M1768=2,"Saat ini tidak menerima pendaftaran siswa internasional baru",IF(M1768=1,"Harga perlu dikonfirmasi ke sekolah"&amp;IF(""="","","; "&amp;""),"")))</f>
        <v/>
      </c>
      <c r="J1768" s="0" t="s">
        <v>4551</v>
      </c>
      <c r="K1768" s="0" t="n">
        <f aca="false">IF(M1768=2,"",IF(ISNUMBER(SEARCH("rata-rata:",'Offshore - Melbourne'!N194)),VALUE(MID('Offshore - Melbourne'!N194,SEARCH("rata-rata:",'Offshore - Melbourne'!N194)+11,FIND(";",'Offshore - Melbourne'!N194&amp;";",SEARCH("rata-rata:",'Offshore - Melbourne'!N194))-SEARCH("rata-rata:",'Offshore - Melbourne'!N194)-11)),IF('Offshore - Melbourne'!D194="Semester",'Offshore - Melbourne'!E194*2,IF('Offshore - Melbourne'!D194="Trimester",'Offshore - Melbourne'!E194*3,IF('Offshore - Melbourne'!D194="Term",'Offshore - Melbourne'!E194*4,IF('Offshore - Melbourne'!D194="Unit",'Offshore - Melbourne'!E194*8,""))))))</f>
        <v>35624</v>
      </c>
      <c r="L1768" s="0" t="n">
        <f aca="false">IF(AND(ISNUMBER('Offshore - Melbourne'!E194),ISNUMBER(K1768),ISNUMBER('Offshore - Melbourne'!F194),ISNUMBER('Offshore - Melbourne'!G194),OR('Offshore - Melbourne'!F194&lt;&gt;0,ISNUMBER(SEARCH("Material 0 terverifikasi",'Offshore - Melbourne'!N194))),OR('Offshore - Melbourne'!G194&lt;&gt;0,ISNUMBER(SEARCH("Enrolment 0 terverifikasi",'Offshore - Melbourne'!N194)))),1,0)</f>
        <v>0</v>
      </c>
      <c r="M1768" s="0" t="n">
        <f aca="false">IF(OR('Offshore - Melbourne'!E194="",ISNUMBER(SEARCH("BSB80120",'Offshore - Melbourne'!B194&amp;'Offshore - Melbourne'!N194)),ISNUMBER(SEARCH("Management (Learning)",'Offshore - Melbourne'!B194))),2,IF(ISNUMBER(SEARCH("CEK:",'Offshore - Melbourne'!N194)),1,0))</f>
        <v>0</v>
      </c>
    </row>
    <row r="1769" customFormat="false" ht="15" hidden="false" customHeight="false" outlineLevel="0" collapsed="false">
      <c r="A1769" s="61" t="s">
        <v>4552</v>
      </c>
      <c r="B1769" s="62"/>
      <c r="C1769" s="62"/>
      <c r="D1769" s="62"/>
      <c r="E1769" s="62"/>
      <c r="F1769" s="62"/>
      <c r="G1769" s="62"/>
      <c r="H1769" s="62"/>
      <c r="I1769" s="62"/>
    </row>
    <row r="1770" customFormat="false" ht="15" hidden="false" customHeight="false" outlineLevel="0" collapsed="false">
      <c r="A1770" s="63" t="s">
        <v>3544</v>
      </c>
      <c r="B1770" s="64" t="s">
        <v>3821</v>
      </c>
      <c r="C1770" s="63" t="s">
        <v>43</v>
      </c>
      <c r="D1770" s="64" t="str">
        <f aca="false">TRIM(LEFT('Offshore - Melbourne'!A95,FIND(CHAR(10),'Offshore - Melbourne'!A95&amp;CHAR(10))-1))</f>
        <v>Australian Catholic University (ACU)</v>
      </c>
      <c r="E1770" s="63" t="str">
        <f aca="false">'Offshore - Melbourne'!C183&amp;""</f>
        <v>3 years</v>
      </c>
      <c r="F1770" s="63" t="str">
        <f aca="false">IF('Offshore - Melbourne'!D183="","Belum tercatat",'Offshore - Melbourne'!D183)</f>
        <v>Term</v>
      </c>
      <c r="G1770" s="65" t="n">
        <f aca="false">IF('Offshore - Melbourne'!E183="","-",'Offshore - Melbourne'!E183)</f>
        <v>7162</v>
      </c>
      <c r="H1770" s="63" t="n">
        <f aca="false">IF(ISNUMBER(K1770),COUNTIFS($J$6:$J$1854,J1770,$K$6:$K$1854,"&lt;"&amp;K1770)+1,"-")</f>
        <v>1</v>
      </c>
      <c r="I1770" s="64" t="str">
        <f aca="false">IF('Offshore - Melbourne'!E183="","Harga belum tersedia - hubungi konsultan TEG",IF(M1770=2,"Saat ini tidak menerima pendaftaran siswa internasional baru",IF(M1770=1,"Harga perlu dikonfirmasi ke sekolah"&amp;IF(""="","","; "&amp;""),"")))</f>
        <v/>
      </c>
      <c r="J1770" s="0" t="s">
        <v>4553</v>
      </c>
      <c r="K1770" s="0" t="n">
        <f aca="false">IF(M1770=2,"",IF(ISNUMBER(SEARCH("rata-rata:",'Offshore - Melbourne'!N183)),VALUE(MID('Offshore - Melbourne'!N183,SEARCH("rata-rata:",'Offshore - Melbourne'!N183)+11,FIND(";",'Offshore - Melbourne'!N183&amp;";",SEARCH("rata-rata:",'Offshore - Melbourne'!N183))-SEARCH("rata-rata:",'Offshore - Melbourne'!N183)-11)),IF('Offshore - Melbourne'!D183="Semester",'Offshore - Melbourne'!E183*2,IF('Offshore - Melbourne'!D183="Trimester",'Offshore - Melbourne'!E183*3,IF('Offshore - Melbourne'!D183="Term",'Offshore - Melbourne'!E183*4,IF('Offshore - Melbourne'!D183="Unit",'Offshore - Melbourne'!E183*8,""))))))</f>
        <v>28648</v>
      </c>
      <c r="L1770" s="0" t="n">
        <f aca="false">IF(AND(ISNUMBER('Offshore - Melbourne'!E183),ISNUMBER(K1770),ISNUMBER('Offshore - Melbourne'!F183),ISNUMBER('Offshore - Melbourne'!G183),OR('Offshore - Melbourne'!F183&lt;&gt;0,ISNUMBER(SEARCH("Material 0 terverifikasi",'Offshore - Melbourne'!N183))),OR('Offshore - Melbourne'!G183&lt;&gt;0,ISNUMBER(SEARCH("Enrolment 0 terverifikasi",'Offshore - Melbourne'!N183)))),1,0)</f>
        <v>0</v>
      </c>
      <c r="M1770" s="0" t="n">
        <f aca="false">IF(OR('Offshore - Melbourne'!E183="",ISNUMBER(SEARCH("BSB80120",'Offshore - Melbourne'!B183&amp;'Offshore - Melbourne'!N183)),ISNUMBER(SEARCH("Management (Learning)",'Offshore - Melbourne'!B183))),2,IF(ISNUMBER(SEARCH("CEK:",'Offshore - Melbourne'!N183)),1,0))</f>
        <v>0</v>
      </c>
    </row>
    <row r="1771" customFormat="false" ht="15" hidden="false" customHeight="false" outlineLevel="0" collapsed="false">
      <c r="A1771" s="61" t="s">
        <v>4554</v>
      </c>
      <c r="B1771" s="62"/>
      <c r="C1771" s="62"/>
      <c r="D1771" s="62"/>
      <c r="E1771" s="62"/>
      <c r="F1771" s="62"/>
      <c r="G1771" s="62"/>
      <c r="H1771" s="62"/>
      <c r="I1771" s="62"/>
    </row>
    <row r="1772" customFormat="false" ht="15" hidden="false" customHeight="false" outlineLevel="0" collapsed="false">
      <c r="A1772" s="63" t="s">
        <v>3544</v>
      </c>
      <c r="B1772" s="64" t="s">
        <v>3821</v>
      </c>
      <c r="C1772" s="63" t="s">
        <v>3707</v>
      </c>
      <c r="D1772" s="64" t="str">
        <f aca="false">TRIM(LEFT('Offshore - Melbourne'!A443,FIND(CHAR(10),'Offshore - Melbourne'!A443&amp;CHAR(10))-1))</f>
        <v>Torrens University Australia</v>
      </c>
      <c r="E1772" s="63" t="str">
        <f aca="false">'Offshore - Melbourne'!C536&amp;""</f>
        <v>0,5 year</v>
      </c>
      <c r="F1772" s="63" t="str">
        <f aca="false">IF('Offshore - Melbourne'!D536="","Belum tercatat",'Offshore - Melbourne'!D536)</f>
        <v>Term</v>
      </c>
      <c r="G1772" s="65" t="n">
        <f aca="false">IF('Offshore - Melbourne'!E536="","-",'Offshore - Melbourne'!E536)</f>
        <v>3688</v>
      </c>
      <c r="H1772" s="63" t="n">
        <f aca="false">IF(ISNUMBER(K1772),COUNTIFS($J$6:$J$1854,J1772,$K$6:$K$1854,"&lt;"&amp;K1772)+1,"-")</f>
        <v>1</v>
      </c>
      <c r="I1772" s="64" t="str">
        <f aca="false">IF('Offshore - Melbourne'!E536="","Harga belum tersedia - hubungi konsultan TEG",IF(M1772=2,"Saat ini tidak menerima pendaftaran siswa internasional baru",IF(M1772=1,"Harga perlu dikonfirmasi ke sekolah"&amp;IF(""="","","; "&amp;""),"")))</f>
        <v/>
      </c>
      <c r="J1772" s="0" t="s">
        <v>4555</v>
      </c>
      <c r="K1772" s="0" t="n">
        <f aca="false">IF(M1772=2,"",IF(ISNUMBER(SEARCH("rata-rata:",'Offshore - Melbourne'!N536)),VALUE(MID('Offshore - Melbourne'!N536,SEARCH("rata-rata:",'Offshore - Melbourne'!N536)+11,FIND(";",'Offshore - Melbourne'!N536&amp;";",SEARCH("rata-rata:",'Offshore - Melbourne'!N536))-SEARCH("rata-rata:",'Offshore - Melbourne'!N536)-11)),IF('Offshore - Melbourne'!D536="Semester",'Offshore - Melbourne'!E536*2,IF('Offshore - Melbourne'!D536="Trimester",'Offshore - Melbourne'!E536*3,IF('Offshore - Melbourne'!D536="Term",'Offshore - Melbourne'!E536*4,IF('Offshore - Melbourne'!D536="Unit",'Offshore - Melbourne'!E536*8,""))))))</f>
        <v>14752</v>
      </c>
      <c r="L1772" s="0" t="n">
        <f aca="false">IF(AND(ISNUMBER('Offshore - Melbourne'!E536),ISNUMBER(K1772),ISNUMBER('Offshore - Melbourne'!F536),ISNUMBER('Offshore - Melbourne'!G536),OR('Offshore - Melbourne'!F536&lt;&gt;0,ISNUMBER(SEARCH("Material 0 terverifikasi",'Offshore - Melbourne'!N536))),OR('Offshore - Melbourne'!G536&lt;&gt;0,ISNUMBER(SEARCH("Enrolment 0 terverifikasi",'Offshore - Melbourne'!N536)))),1,0)</f>
        <v>0</v>
      </c>
      <c r="M1772" s="0" t="n">
        <f aca="false">IF(OR('Offshore - Melbourne'!E536="",ISNUMBER(SEARCH("BSB80120",'Offshore - Melbourne'!B536&amp;'Offshore - Melbourne'!N536)),ISNUMBER(SEARCH("Management (Learning)",'Offshore - Melbourne'!B536))),2,IF(ISNUMBER(SEARCH("CEK:",'Offshore - Melbourne'!N536)),1,0))</f>
        <v>0</v>
      </c>
    </row>
    <row r="1773" customFormat="false" ht="15" hidden="false" customHeight="false" outlineLevel="0" collapsed="false">
      <c r="A1773" s="63" t="s">
        <v>3544</v>
      </c>
      <c r="B1773" s="64" t="s">
        <v>3821</v>
      </c>
      <c r="C1773" s="63" t="s">
        <v>3707</v>
      </c>
      <c r="D1773" s="64" t="str">
        <f aca="false">TRIM(LEFT('Offshore - Melbourne'!A284,FIND(CHAR(10),'Offshore - Melbourne'!A284&amp;CHAR(10))-1))</f>
        <v>Higher Education Leadership Institute (HELI)</v>
      </c>
      <c r="E1773" s="63" t="str">
        <f aca="false">'Offshore - Melbourne'!C284&amp;""</f>
        <v>0,5 year</v>
      </c>
      <c r="F1773" s="63" t="str">
        <f aca="false">IF('Offshore - Melbourne'!D284="","Belum tercatat",'Offshore - Melbourne'!D284)</f>
        <v>Trimester</v>
      </c>
      <c r="G1773" s="65" t="n">
        <f aca="false">IF('Offshore - Melbourne'!E284="","-",'Offshore - Melbourne'!E284)</f>
        <v>14700</v>
      </c>
      <c r="H1773" s="63" t="n">
        <f aca="false">IF(ISNUMBER(K1773),COUNTIFS($J$6:$J$1854,J1773,$K$6:$K$1854,"&lt;"&amp;K1773)+1,"-")</f>
        <v>2</v>
      </c>
      <c r="I1773" s="64" t="str">
        <f aca="false">IF('Offshore - Melbourne'!E284="","Harga belum tersedia - hubungi konsultan TEG",IF(M1773=2,"Saat ini tidak menerima pendaftaran siswa internasional baru",IF(M1773=1,"Harga perlu dikonfirmasi ke sekolah"&amp;IF(""="","","; "&amp;""),"")))</f>
        <v>Harga perlu dikonfirmasi ke sekolah</v>
      </c>
      <c r="J1773" s="0" t="s">
        <v>4555</v>
      </c>
      <c r="K1773" s="0" t="n">
        <f aca="false">IF(M1773=2,"",IF(ISNUMBER(SEARCH("rata-rata:",'Offshore - Melbourne'!N284)),VALUE(MID('Offshore - Melbourne'!N284,SEARCH("rata-rata:",'Offshore - Melbourne'!N284)+11,FIND(";",'Offshore - Melbourne'!N284&amp;";",SEARCH("rata-rata:",'Offshore - Melbourne'!N284))-SEARCH("rata-rata:",'Offshore - Melbourne'!N284)-11)),IF('Offshore - Melbourne'!D284="Semester",'Offshore - Melbourne'!E284*2,IF('Offshore - Melbourne'!D284="Trimester",'Offshore - Melbourne'!E284*3,IF('Offshore - Melbourne'!D284="Term",'Offshore - Melbourne'!E284*4,IF('Offshore - Melbourne'!D284="Unit",'Offshore - Melbourne'!E284*8,""))))))</f>
        <v>44100</v>
      </c>
      <c r="L1773" s="0" t="n">
        <f aca="false">IF(AND(ISNUMBER('Offshore - Melbourne'!E284),ISNUMBER(K1773),ISNUMBER('Offshore - Melbourne'!F284),ISNUMBER('Offshore - Melbourne'!G284),OR('Offshore - Melbourne'!F284&lt;&gt;0,ISNUMBER(SEARCH("Material 0 terverifikasi",'Offshore - Melbourne'!N284))),OR('Offshore - Melbourne'!G284&lt;&gt;0,ISNUMBER(SEARCH("Enrolment 0 terverifikasi",'Offshore - Melbourne'!N284)))),1,0)</f>
        <v>0</v>
      </c>
      <c r="M1773" s="0" t="n">
        <f aca="false">IF(OR('Offshore - Melbourne'!E284="",ISNUMBER(SEARCH("BSB80120",'Offshore - Melbourne'!B284&amp;'Offshore - Melbourne'!N284)),ISNUMBER(SEARCH("Management (Learning)",'Offshore - Melbourne'!B284))),2,IF(ISNUMBER(SEARCH("CEK:",'Offshore - Melbourne'!N284)),1,0))</f>
        <v>1</v>
      </c>
    </row>
    <row r="1774" customFormat="false" ht="15" hidden="false" customHeight="false" outlineLevel="0" collapsed="false">
      <c r="A1774" s="61" t="s">
        <v>4556</v>
      </c>
      <c r="B1774" s="62"/>
      <c r="C1774" s="62"/>
      <c r="D1774" s="62"/>
      <c r="E1774" s="62"/>
      <c r="F1774" s="62"/>
      <c r="G1774" s="62"/>
      <c r="H1774" s="62"/>
      <c r="I1774" s="62"/>
    </row>
    <row r="1775" customFormat="false" ht="15" hidden="false" customHeight="false" outlineLevel="0" collapsed="false">
      <c r="A1775" s="63" t="s">
        <v>3544</v>
      </c>
      <c r="B1775" s="64" t="s">
        <v>3821</v>
      </c>
      <c r="C1775" s="63" t="s">
        <v>46</v>
      </c>
      <c r="D1775" s="64" t="str">
        <f aca="false">TRIM(LEFT('Offshore - Melbourne'!A443,FIND(CHAR(10),'Offshore - Melbourne'!A443&amp;CHAR(10))-1))</f>
        <v>Torrens University Australia</v>
      </c>
      <c r="E1775" s="63" t="str">
        <f aca="false">'Offshore - Melbourne'!C538&amp;""</f>
        <v>2 years</v>
      </c>
      <c r="F1775" s="63" t="str">
        <f aca="false">IF('Offshore - Melbourne'!D538="","Belum tercatat",'Offshore - Melbourne'!D538)</f>
        <v>Term</v>
      </c>
      <c r="G1775" s="65" t="n">
        <f aca="false">IF('Offshore - Melbourne'!E538="","-",'Offshore - Melbourne'!E538)</f>
        <v>7375</v>
      </c>
      <c r="H1775" s="63" t="n">
        <f aca="false">IF(ISNUMBER(K1775),COUNTIFS($J$6:$J$1854,J1775,$K$6:$K$1854,"&lt;"&amp;K1775)+1,"-")</f>
        <v>1</v>
      </c>
      <c r="I1775" s="64" t="str">
        <f aca="false">IF('Offshore - Melbourne'!E538="","Harga belum tersedia - hubungi konsultan TEG",IF(M1775=2,"Saat ini tidak menerima pendaftaran siswa internasional baru",IF(M1775=1,"Harga perlu dikonfirmasi ke sekolah"&amp;IF(""="","","; "&amp;""),"")))</f>
        <v/>
      </c>
      <c r="J1775" s="0" t="s">
        <v>4557</v>
      </c>
      <c r="K1775" s="0" t="n">
        <f aca="false">IF(M1775=2,"",IF(ISNUMBER(SEARCH("rata-rata:",'Offshore - Melbourne'!N538)),VALUE(MID('Offshore - Melbourne'!N538,SEARCH("rata-rata:",'Offshore - Melbourne'!N538)+11,FIND(";",'Offshore - Melbourne'!N538&amp;";",SEARCH("rata-rata:",'Offshore - Melbourne'!N538))-SEARCH("rata-rata:",'Offshore - Melbourne'!N538)-11)),IF('Offshore - Melbourne'!D538="Semester",'Offshore - Melbourne'!E538*2,IF('Offshore - Melbourne'!D538="Trimester",'Offshore - Melbourne'!E538*3,IF('Offshore - Melbourne'!D538="Term",'Offshore - Melbourne'!E538*4,IF('Offshore - Melbourne'!D538="Unit",'Offshore - Melbourne'!E538*8,""))))))</f>
        <v>29500</v>
      </c>
      <c r="L1775" s="0" t="n">
        <f aca="false">IF(AND(ISNUMBER('Offshore - Melbourne'!E538),ISNUMBER(K1775),ISNUMBER('Offshore - Melbourne'!F538),ISNUMBER('Offshore - Melbourne'!G538),OR('Offshore - Melbourne'!F538&lt;&gt;0,ISNUMBER(SEARCH("Material 0 terverifikasi",'Offshore - Melbourne'!N538))),OR('Offshore - Melbourne'!G538&lt;&gt;0,ISNUMBER(SEARCH("Enrolment 0 terverifikasi",'Offshore - Melbourne'!N538)))),1,0)</f>
        <v>0</v>
      </c>
      <c r="M1775" s="0" t="n">
        <f aca="false">IF(OR('Offshore - Melbourne'!E538="",ISNUMBER(SEARCH("BSB80120",'Offshore - Melbourne'!B538&amp;'Offshore - Melbourne'!N538)),ISNUMBER(SEARCH("Management (Learning)",'Offshore - Melbourne'!B538))),2,IF(ISNUMBER(SEARCH("CEK:",'Offshore - Melbourne'!N538)),1,0))</f>
        <v>0</v>
      </c>
    </row>
    <row r="1776" customFormat="false" ht="15" hidden="false" customHeight="false" outlineLevel="0" collapsed="false">
      <c r="A1776" s="63" t="s">
        <v>3544</v>
      </c>
      <c r="B1776" s="64" t="s">
        <v>3821</v>
      </c>
      <c r="C1776" s="63" t="s">
        <v>46</v>
      </c>
      <c r="D1776" s="64" t="str">
        <f aca="false">TRIM(LEFT('Offshore - Melbourne'!A95,FIND(CHAR(10),'Offshore - Melbourne'!A95&amp;CHAR(10))-1))</f>
        <v>Australian Catholic University (ACU)</v>
      </c>
      <c r="E1776" s="63" t="str">
        <f aca="false">'Offshore - Melbourne'!C187&amp;""</f>
        <v>2 years</v>
      </c>
      <c r="F1776" s="63" t="str">
        <f aca="false">IF('Offshore - Melbourne'!D187="","Belum tercatat",'Offshore - Melbourne'!D187)</f>
        <v>Term</v>
      </c>
      <c r="G1776" s="65" t="n">
        <f aca="false">IF('Offshore - Melbourne'!E187="","-",'Offshore - Melbourne'!E187)</f>
        <v>8682</v>
      </c>
      <c r="H1776" s="63" t="n">
        <f aca="false">IF(ISNUMBER(K1776),COUNTIFS($J$6:$J$1854,J1776,$K$6:$K$1854,"&lt;"&amp;K1776)+1,"-")</f>
        <v>2</v>
      </c>
      <c r="I1776" s="64" t="str">
        <f aca="false">IF('Offshore - Melbourne'!E187="","Harga belum tersedia - hubungi konsultan TEG",IF(M1776=2,"Saat ini tidak menerima pendaftaran siswa internasional baru",IF(M1776=1,"Harga perlu dikonfirmasi ke sekolah"&amp;IF(""="","","; "&amp;""),"")))</f>
        <v/>
      </c>
      <c r="J1776" s="0" t="s">
        <v>4557</v>
      </c>
      <c r="K1776" s="0" t="n">
        <f aca="false">IF(M1776=2,"",IF(ISNUMBER(SEARCH("rata-rata:",'Offshore - Melbourne'!N187)),VALUE(MID('Offshore - Melbourne'!N187,SEARCH("rata-rata:",'Offshore - Melbourne'!N187)+11,FIND(";",'Offshore - Melbourne'!N187&amp;";",SEARCH("rata-rata:",'Offshore - Melbourne'!N187))-SEARCH("rata-rata:",'Offshore - Melbourne'!N187)-11)),IF('Offshore - Melbourne'!D187="Semester",'Offshore - Melbourne'!E187*2,IF('Offshore - Melbourne'!D187="Trimester",'Offshore - Melbourne'!E187*3,IF('Offshore - Melbourne'!D187="Term",'Offshore - Melbourne'!E187*4,IF('Offshore - Melbourne'!D187="Unit",'Offshore - Melbourne'!E187*8,""))))))</f>
        <v>34728</v>
      </c>
      <c r="L1776" s="0" t="n">
        <f aca="false">IF(AND(ISNUMBER('Offshore - Melbourne'!E187),ISNUMBER(K1776),ISNUMBER('Offshore - Melbourne'!F187),ISNUMBER('Offshore - Melbourne'!G187),OR('Offshore - Melbourne'!F187&lt;&gt;0,ISNUMBER(SEARCH("Material 0 terverifikasi",'Offshore - Melbourne'!N187))),OR('Offshore - Melbourne'!G187&lt;&gt;0,ISNUMBER(SEARCH("Enrolment 0 terverifikasi",'Offshore - Melbourne'!N187)))),1,0)</f>
        <v>0</v>
      </c>
      <c r="M1776" s="0" t="n">
        <f aca="false">IF(OR('Offshore - Melbourne'!E187="",ISNUMBER(SEARCH("BSB80120",'Offshore - Melbourne'!B187&amp;'Offshore - Melbourne'!N187)),ISNUMBER(SEARCH("Management (Learning)",'Offshore - Melbourne'!B187))),2,IF(ISNUMBER(SEARCH("CEK:",'Offshore - Melbourne'!N187)),1,0))</f>
        <v>0</v>
      </c>
    </row>
    <row r="1777" customFormat="false" ht="15" hidden="false" customHeight="false" outlineLevel="0" collapsed="false">
      <c r="A1777" s="63" t="s">
        <v>3544</v>
      </c>
      <c r="B1777" s="64" t="s">
        <v>3821</v>
      </c>
      <c r="C1777" s="63" t="s">
        <v>46</v>
      </c>
      <c r="D1777" s="64" t="str">
        <f aca="false">TRIM(LEFT('Offshore - Melbourne'!A284,FIND(CHAR(10),'Offshore - Melbourne'!A284&amp;CHAR(10))-1))</f>
        <v>Higher Education Leadership Institute (HELI)</v>
      </c>
      <c r="E1777" s="63" t="str">
        <f aca="false">'Offshore - Melbourne'!C285&amp;""</f>
        <v>2 years</v>
      </c>
      <c r="F1777" s="63" t="str">
        <f aca="false">IF('Offshore - Melbourne'!D285="","Belum tercatat",'Offshore - Melbourne'!D285)</f>
        <v>Trimester</v>
      </c>
      <c r="G1777" s="65" t="n">
        <f aca="false">IF('Offshore - Melbourne'!E285="","-",'Offshore - Melbourne'!E285)</f>
        <v>14700</v>
      </c>
      <c r="H1777" s="63" t="n">
        <f aca="false">IF(ISNUMBER(K1777),COUNTIFS($J$6:$J$1854,J1777,$K$6:$K$1854,"&lt;"&amp;K1777)+1,"-")</f>
        <v>3</v>
      </c>
      <c r="I1777" s="64" t="str">
        <f aca="false">IF('Offshore - Melbourne'!E285="","Harga belum tersedia - hubungi konsultan TEG",IF(M1777=2,"Saat ini tidak menerima pendaftaran siswa internasional baru",IF(M1777=1,"Harga perlu dikonfirmasi ke sekolah"&amp;IF(""="","","; "&amp;""),"")))</f>
        <v>Harga perlu dikonfirmasi ke sekolah</v>
      </c>
      <c r="J1777" s="0" t="s">
        <v>4557</v>
      </c>
      <c r="K1777" s="0" t="n">
        <f aca="false">IF(M1777=2,"",IF(ISNUMBER(SEARCH("rata-rata:",'Offshore - Melbourne'!N285)),VALUE(MID('Offshore - Melbourne'!N285,SEARCH("rata-rata:",'Offshore - Melbourne'!N285)+11,FIND(";",'Offshore - Melbourne'!N285&amp;";",SEARCH("rata-rata:",'Offshore - Melbourne'!N285))-SEARCH("rata-rata:",'Offshore - Melbourne'!N285)-11)),IF('Offshore - Melbourne'!D285="Semester",'Offshore - Melbourne'!E285*2,IF('Offshore - Melbourne'!D285="Trimester",'Offshore - Melbourne'!E285*3,IF('Offshore - Melbourne'!D285="Term",'Offshore - Melbourne'!E285*4,IF('Offshore - Melbourne'!D285="Unit",'Offshore - Melbourne'!E285*8,""))))))</f>
        <v>44100</v>
      </c>
      <c r="L1777" s="0" t="n">
        <f aca="false">IF(AND(ISNUMBER('Offshore - Melbourne'!E285),ISNUMBER(K1777),ISNUMBER('Offshore - Melbourne'!F285),ISNUMBER('Offshore - Melbourne'!G285),OR('Offshore - Melbourne'!F285&lt;&gt;0,ISNUMBER(SEARCH("Material 0 terverifikasi",'Offshore - Melbourne'!N285))),OR('Offshore - Melbourne'!G285&lt;&gt;0,ISNUMBER(SEARCH("Enrolment 0 terverifikasi",'Offshore - Melbourne'!N285)))),1,0)</f>
        <v>0</v>
      </c>
      <c r="M1777" s="0" t="n">
        <f aca="false">IF(OR('Offshore - Melbourne'!E285="",ISNUMBER(SEARCH("BSB80120",'Offshore - Melbourne'!B285&amp;'Offshore - Melbourne'!N285)),ISNUMBER(SEARCH("Management (Learning)",'Offshore - Melbourne'!B285))),2,IF(ISNUMBER(SEARCH("CEK:",'Offshore - Melbourne'!N285)),1,0))</f>
        <v>1</v>
      </c>
    </row>
    <row r="1778" customFormat="false" ht="15" hidden="false" customHeight="false" outlineLevel="0" collapsed="false">
      <c r="A1778" s="61" t="s">
        <v>4558</v>
      </c>
      <c r="B1778" s="62"/>
      <c r="C1778" s="62"/>
      <c r="D1778" s="62"/>
      <c r="E1778" s="62"/>
      <c r="F1778" s="62"/>
      <c r="G1778" s="62"/>
      <c r="H1778" s="62"/>
      <c r="I1778" s="62"/>
    </row>
    <row r="1779" customFormat="false" ht="15" hidden="false" customHeight="false" outlineLevel="0" collapsed="false">
      <c r="A1779" s="63" t="s">
        <v>3544</v>
      </c>
      <c r="B1779" s="64" t="s">
        <v>3821</v>
      </c>
      <c r="C1779" s="63" t="s">
        <v>4222</v>
      </c>
      <c r="D1779" s="64" t="str">
        <f aca="false">TRIM(LEFT('Offshore - Melbourne'!A443,FIND(CHAR(10),'Offshore - Melbourne'!A443&amp;CHAR(10))-1))</f>
        <v>Torrens University Australia</v>
      </c>
      <c r="E1779" s="63" t="str">
        <f aca="false">'Offshore - Melbourne'!C540&amp;""</f>
        <v>3 years</v>
      </c>
      <c r="F1779" s="63" t="str">
        <f aca="false">IF('Offshore - Melbourne'!D540="","Belum tercatat",'Offshore - Melbourne'!D540)</f>
        <v>Term</v>
      </c>
      <c r="G1779" s="65" t="n">
        <f aca="false">IF('Offshore - Melbourne'!E540="","-",'Offshore - Melbourne'!E540)</f>
        <v>7375</v>
      </c>
      <c r="H1779" s="63" t="n">
        <f aca="false">IF(ISNUMBER(K1779),COUNTIFS($J$6:$J$1854,J1779,$K$6:$K$1854,"&lt;"&amp;K1779)+1,"-")</f>
        <v>1</v>
      </c>
      <c r="I1779" s="64" t="str">
        <f aca="false">IF('Offshore - Melbourne'!E540="","Harga belum tersedia - hubungi konsultan TEG",IF(M1779=2,"Saat ini tidak menerima pendaftaran siswa internasional baru",IF(M1779=1,"Harga perlu dikonfirmasi ke sekolah"&amp;IF(""="","","; "&amp;""),"")))</f>
        <v/>
      </c>
      <c r="J1779" s="0" t="s">
        <v>4559</v>
      </c>
      <c r="K1779" s="0" t="n">
        <f aca="false">IF(M1779=2,"",IF(ISNUMBER(SEARCH("rata-rata:",'Offshore - Melbourne'!N540)),VALUE(MID('Offshore - Melbourne'!N540,SEARCH("rata-rata:",'Offshore - Melbourne'!N540)+11,FIND(";",'Offshore - Melbourne'!N540&amp;";",SEARCH("rata-rata:",'Offshore - Melbourne'!N540))-SEARCH("rata-rata:",'Offshore - Melbourne'!N540)-11)),IF('Offshore - Melbourne'!D540="Semester",'Offshore - Melbourne'!E540*2,IF('Offshore - Melbourne'!D540="Trimester",'Offshore - Melbourne'!E540*3,IF('Offshore - Melbourne'!D540="Term",'Offshore - Melbourne'!E540*4,IF('Offshore - Melbourne'!D540="Unit",'Offshore - Melbourne'!E540*8,""))))))</f>
        <v>29500</v>
      </c>
      <c r="L1779" s="0" t="n">
        <f aca="false">IF(AND(ISNUMBER('Offshore - Melbourne'!E540),ISNUMBER(K1779),ISNUMBER('Offshore - Melbourne'!F540),ISNUMBER('Offshore - Melbourne'!G540),OR('Offshore - Melbourne'!F540&lt;&gt;0,ISNUMBER(SEARCH("Material 0 terverifikasi",'Offshore - Melbourne'!N540))),OR('Offshore - Melbourne'!G540&lt;&gt;0,ISNUMBER(SEARCH("Enrolment 0 terverifikasi",'Offshore - Melbourne'!N540)))),1,0)</f>
        <v>0</v>
      </c>
      <c r="M1779" s="0" t="n">
        <f aca="false">IF(OR('Offshore - Melbourne'!E540="",ISNUMBER(SEARCH("BSB80120",'Offshore - Melbourne'!B540&amp;'Offshore - Melbourne'!N540)),ISNUMBER(SEARCH("Management (Learning)",'Offshore - Melbourne'!B540))),2,IF(ISNUMBER(SEARCH("CEK:",'Offshore - Melbourne'!N540)),1,0))</f>
        <v>0</v>
      </c>
    </row>
    <row r="1780" customFormat="false" ht="15" hidden="false" customHeight="false" outlineLevel="0" collapsed="false">
      <c r="A1780" s="63" t="s">
        <v>3544</v>
      </c>
      <c r="B1780" s="64" t="s">
        <v>3821</v>
      </c>
      <c r="C1780" s="63" t="s">
        <v>4222</v>
      </c>
      <c r="D1780" s="64" t="str">
        <f aca="false">TRIM(LEFT('Offshore - Melbourne'!A95,FIND(CHAR(10),'Offshore - Melbourne'!A95&amp;CHAR(10))-1))</f>
        <v>Australian Catholic University (ACU)</v>
      </c>
      <c r="E1780" s="63" t="str">
        <f aca="false">'Offshore - Melbourne'!C185&amp;""</f>
        <v>3 years</v>
      </c>
      <c r="F1780" s="63" t="str">
        <f aca="false">IF('Offshore - Melbourne'!D185="","Belum tercatat",'Offshore - Melbourne'!D185)</f>
        <v>Term</v>
      </c>
      <c r="G1780" s="65" t="n">
        <f aca="false">IF('Offshore - Melbourne'!E185="","-",'Offshore - Melbourne'!E185)</f>
        <v>8682</v>
      </c>
      <c r="H1780" s="63" t="n">
        <f aca="false">IF(ISNUMBER(K1780),COUNTIFS($J$6:$J$1854,J1780,$K$6:$K$1854,"&lt;"&amp;K1780)+1,"-")</f>
        <v>2</v>
      </c>
      <c r="I1780" s="64" t="str">
        <f aca="false">IF('Offshore - Melbourne'!E185="","Harga belum tersedia - hubungi konsultan TEG",IF(M1780=2,"Saat ini tidak menerima pendaftaran siswa internasional baru",IF(M1780=1,"Harga perlu dikonfirmasi ke sekolah"&amp;IF(""="","","; "&amp;""),"")))</f>
        <v/>
      </c>
      <c r="J1780" s="0" t="s">
        <v>4559</v>
      </c>
      <c r="K1780" s="0" t="n">
        <f aca="false">IF(M1780=2,"",IF(ISNUMBER(SEARCH("rata-rata:",'Offshore - Melbourne'!N185)),VALUE(MID('Offshore - Melbourne'!N185,SEARCH("rata-rata:",'Offshore - Melbourne'!N185)+11,FIND(";",'Offshore - Melbourne'!N185&amp;";",SEARCH("rata-rata:",'Offshore - Melbourne'!N185))-SEARCH("rata-rata:",'Offshore - Melbourne'!N185)-11)),IF('Offshore - Melbourne'!D185="Semester",'Offshore - Melbourne'!E185*2,IF('Offshore - Melbourne'!D185="Trimester",'Offshore - Melbourne'!E185*3,IF('Offshore - Melbourne'!D185="Term",'Offshore - Melbourne'!E185*4,IF('Offshore - Melbourne'!D185="Unit",'Offshore - Melbourne'!E185*8,""))))))</f>
        <v>34728</v>
      </c>
      <c r="L1780" s="0" t="n">
        <f aca="false">IF(AND(ISNUMBER('Offshore - Melbourne'!E185),ISNUMBER(K1780),ISNUMBER('Offshore - Melbourne'!F185),ISNUMBER('Offshore - Melbourne'!G185),OR('Offshore - Melbourne'!F185&lt;&gt;0,ISNUMBER(SEARCH("Material 0 terverifikasi",'Offshore - Melbourne'!N185))),OR('Offshore - Melbourne'!G185&lt;&gt;0,ISNUMBER(SEARCH("Enrolment 0 terverifikasi",'Offshore - Melbourne'!N185)))),1,0)</f>
        <v>0</v>
      </c>
      <c r="M1780" s="0" t="n">
        <f aca="false">IF(OR('Offshore - Melbourne'!E185="",ISNUMBER(SEARCH("BSB80120",'Offshore - Melbourne'!B185&amp;'Offshore - Melbourne'!N185)),ISNUMBER(SEARCH("Management (Learning)",'Offshore - Melbourne'!B185))),2,IF(ISNUMBER(SEARCH("CEK:",'Offshore - Melbourne'!N185)),1,0))</f>
        <v>0</v>
      </c>
    </row>
    <row r="1781" customFormat="false" ht="15" hidden="false" customHeight="false" outlineLevel="0" collapsed="false">
      <c r="A1781" s="61" t="s">
        <v>4560</v>
      </c>
      <c r="B1781" s="62"/>
      <c r="C1781" s="62"/>
      <c r="D1781" s="62"/>
      <c r="E1781" s="62"/>
      <c r="F1781" s="62"/>
      <c r="G1781" s="62"/>
      <c r="H1781" s="62"/>
      <c r="I1781" s="62"/>
    </row>
    <row r="1782" customFormat="false" ht="15" hidden="false" customHeight="false" outlineLevel="0" collapsed="false">
      <c r="A1782" s="63" t="s">
        <v>3533</v>
      </c>
      <c r="B1782" s="64" t="s">
        <v>3821</v>
      </c>
      <c r="C1782" s="63" t="s">
        <v>41</v>
      </c>
      <c r="D1782" s="64" t="str">
        <f aca="false">TRIM(LEFT('Offshore - Sydney'!A156,FIND(CHAR(10),'Offshore - Sydney'!A156&amp;CHAR(10))-1))</f>
        <v>Australian Catholic University (ACU)</v>
      </c>
      <c r="E1782" s="63" t="str">
        <f aca="false">'Offshore - Sydney'!C255&amp;""</f>
        <v>1 year</v>
      </c>
      <c r="F1782" s="63" t="str">
        <f aca="false">IF('Offshore - Sydney'!D255="","Belum tercatat",'Offshore - Sydney'!D255)</f>
        <v>Term</v>
      </c>
      <c r="G1782" s="65" t="n">
        <f aca="false">IF('Offshore - Sydney'!E255="","-",'Offshore - Sydney'!E255)</f>
        <v>8906</v>
      </c>
      <c r="H1782" s="63" t="n">
        <f aca="false">IF(ISNUMBER(K1782),COUNTIFS($J$6:$J$1854,J1782,$K$6:$K$1854,"&lt;"&amp;K1782)+1,"-")</f>
        <v>1</v>
      </c>
      <c r="I1782" s="64" t="str">
        <f aca="false">IF('Offshore - Sydney'!E255="","Harga belum tersedia - hubungi konsultan TEG",IF(M1782=2,"Saat ini tidak menerima pendaftaran siswa internasional baru",IF(M1782=1,"Harga perlu dikonfirmasi ke sekolah"&amp;IF(""="","","; "&amp;""),"")))</f>
        <v/>
      </c>
      <c r="J1782" s="0" t="s">
        <v>4561</v>
      </c>
      <c r="K1782" s="0" t="n">
        <f aca="false">IF(M1782=2,"",IF(ISNUMBER(SEARCH("rata-rata:",'Offshore - Sydney'!N255)),VALUE(MID('Offshore - Sydney'!N255,SEARCH("rata-rata:",'Offshore - Sydney'!N255)+11,FIND(";",'Offshore - Sydney'!N255&amp;";",SEARCH("rata-rata:",'Offshore - Sydney'!N255))-SEARCH("rata-rata:",'Offshore - Sydney'!N255)-11)),IF('Offshore - Sydney'!D255="Semester",'Offshore - Sydney'!E255*2,IF('Offshore - Sydney'!D255="Trimester",'Offshore - Sydney'!E255*3,IF('Offshore - Sydney'!D255="Term",'Offshore - Sydney'!E255*4,IF('Offshore - Sydney'!D255="Unit",'Offshore - Sydney'!E255*8,""))))))</f>
        <v>35624</v>
      </c>
      <c r="L1782" s="0" t="n">
        <f aca="false">IF(AND(ISNUMBER('Offshore - Sydney'!E255),ISNUMBER(K1782),ISNUMBER('Offshore - Sydney'!F255),ISNUMBER('Offshore - Sydney'!G255),OR('Offshore - Sydney'!F255&lt;&gt;0,ISNUMBER(SEARCH("Material 0 terverifikasi",'Offshore - Sydney'!N255))),OR('Offshore - Sydney'!G255&lt;&gt;0,ISNUMBER(SEARCH("Enrolment 0 terverifikasi",'Offshore - Sydney'!N255)))),1,0)</f>
        <v>0</v>
      </c>
      <c r="M1782" s="0" t="n">
        <f aca="false">IF(OR('Offshore - Sydney'!E255="",ISNUMBER(SEARCH("BSB80120",'Offshore - Sydney'!B255&amp;'Offshore - Sydney'!N255)),ISNUMBER(SEARCH("Management (Learning)",'Offshore - Sydney'!B255))),2,IF(ISNUMBER(SEARCH("CEK:",'Offshore - Sydney'!N255)),1,0))</f>
        <v>0</v>
      </c>
    </row>
    <row r="1783" customFormat="false" ht="15" hidden="false" customHeight="false" outlineLevel="0" collapsed="false">
      <c r="A1783" s="61" t="s">
        <v>4562</v>
      </c>
      <c r="B1783" s="62"/>
      <c r="C1783" s="62"/>
      <c r="D1783" s="62"/>
      <c r="E1783" s="62"/>
      <c r="F1783" s="62"/>
      <c r="G1783" s="62"/>
      <c r="H1783" s="62"/>
      <c r="I1783" s="62"/>
    </row>
    <row r="1784" customFormat="false" ht="15" hidden="false" customHeight="false" outlineLevel="0" collapsed="false">
      <c r="A1784" s="63" t="s">
        <v>3533</v>
      </c>
      <c r="B1784" s="64" t="s">
        <v>3821</v>
      </c>
      <c r="C1784" s="63" t="s">
        <v>42</v>
      </c>
      <c r="D1784" s="64" t="str">
        <f aca="false">TRIM(LEFT('Offshore - Sydney'!A6,FIND(CHAR(10),'Offshore - Sydney'!A6&amp;CHAR(10))-1))</f>
        <v>Abbey College Australia</v>
      </c>
      <c r="E1784" s="63" t="str">
        <f aca="false">'Offshore - Sydney'!C12&amp;""</f>
        <v>2 years</v>
      </c>
      <c r="F1784" s="63" t="str">
        <f aca="false">IF('Offshore - Sydney'!D12="","Belum tercatat",'Offshore - Sydney'!D12)</f>
        <v>Term</v>
      </c>
      <c r="G1784" s="65" t="n">
        <f aca="false">IF('Offshore - Sydney'!E12="","-",'Offshore - Sydney'!E12)</f>
        <v>1600</v>
      </c>
      <c r="H1784" s="63" t="n">
        <f aca="false">IF(ISNUMBER(K1784),COUNTIFS($J$6:$J$1854,J1784,$K$6:$K$1854,"&lt;"&amp;K1784)+1,"-")</f>
        <v>1</v>
      </c>
      <c r="I1784" s="64" t="str">
        <f aca="false">IF('Offshore - Sydney'!E12="","Harga belum tersedia - hubungi konsultan TEG",IF(M1784=2,"Saat ini tidak menerima pendaftaran siswa internasional baru",IF(M1784=1,"Harga perlu dikonfirmasi ke sekolah"&amp;IF(""="","","; "&amp;""),"")))</f>
        <v/>
      </c>
      <c r="J1784" s="0" t="s">
        <v>4563</v>
      </c>
      <c r="K1784" s="0" t="n">
        <f aca="false">IF(M1784=2,"",IF(ISNUMBER(SEARCH("rata-rata:",'Offshore - Sydney'!N12)),VALUE(MID('Offshore - Sydney'!N12,SEARCH("rata-rata:",'Offshore - Sydney'!N12)+11,FIND(";",'Offshore - Sydney'!N12&amp;";",SEARCH("rata-rata:",'Offshore - Sydney'!N12))-SEARCH("rata-rata:",'Offshore - Sydney'!N12)-11)),IF('Offshore - Sydney'!D12="Semester",'Offshore - Sydney'!E12*2,IF('Offshore - Sydney'!D12="Trimester",'Offshore - Sydney'!E12*3,IF('Offshore - Sydney'!D12="Term",'Offshore - Sydney'!E12*4,IF('Offshore - Sydney'!D12="Unit",'Offshore - Sydney'!E12*8,""))))))</f>
        <v>6400</v>
      </c>
      <c r="L1784" s="0" t="n">
        <f aca="false">IF(AND(ISNUMBER('Offshore - Sydney'!E12),ISNUMBER(K1784),ISNUMBER('Offshore - Sydney'!F12),ISNUMBER('Offshore - Sydney'!G12),OR('Offshore - Sydney'!F12&lt;&gt;0,ISNUMBER(SEARCH("Material 0 terverifikasi",'Offshore - Sydney'!N12))),OR('Offshore - Sydney'!G12&lt;&gt;0,ISNUMBER(SEARCH("Enrolment 0 terverifikasi",'Offshore - Sydney'!N12)))),1,0)</f>
        <v>1</v>
      </c>
      <c r="M1784" s="0" t="n">
        <f aca="false">IF(OR('Offshore - Sydney'!E12="",ISNUMBER(SEARCH("BSB80120",'Offshore - Sydney'!B12&amp;'Offshore - Sydney'!N12)),ISNUMBER(SEARCH("Management (Learning)",'Offshore - Sydney'!B12))),2,IF(ISNUMBER(SEARCH("CEK:",'Offshore - Sydney'!N12)),1,0))</f>
        <v>0</v>
      </c>
    </row>
    <row r="1785" customFormat="false" ht="15" hidden="false" customHeight="false" outlineLevel="0" collapsed="false">
      <c r="A1785" s="63" t="s">
        <v>3533</v>
      </c>
      <c r="B1785" s="64" t="s">
        <v>3821</v>
      </c>
      <c r="C1785" s="63" t="s">
        <v>42</v>
      </c>
      <c r="D1785" s="64" t="str">
        <f aca="false">TRIM(LEFT('Offshore - Sydney'!A296,FIND(CHAR(10),'Offshore - Sydney'!A296&amp;CHAR(10))-1))</f>
        <v>Australian Ideal College (AIC)</v>
      </c>
      <c r="E1785" s="63" t="str">
        <f aca="false">'Offshore - Sydney'!C312&amp;""</f>
        <v>1 year</v>
      </c>
      <c r="F1785" s="63" t="str">
        <f aca="false">IF('Offshore - Sydney'!D312="","Belum tercatat",'Offshore - Sydney'!D312)</f>
        <v>Term</v>
      </c>
      <c r="G1785" s="65" t="n">
        <f aca="false">IF('Offshore - Sydney'!E312="","-",'Offshore - Sydney'!E312)</f>
        <v>3000</v>
      </c>
      <c r="H1785" s="63" t="n">
        <f aca="false">IF(ISNUMBER(K1785),COUNTIFS($J$6:$J$1854,J1785,$K$6:$K$1854,"&lt;"&amp;K1785)+1,"-")</f>
        <v>2</v>
      </c>
      <c r="I1785" s="64" t="str">
        <f aca="false">IF('Offshore - Sydney'!E312="","Harga belum tersedia - hubungi konsultan TEG",IF(M1785=2,"Saat ini tidak menerima pendaftaran siswa internasional baru",IF(M1785=1,"Harga perlu dikonfirmasi ke sekolah"&amp;IF(""="","","; "&amp;""),"")))</f>
        <v/>
      </c>
      <c r="J1785" s="0" t="s">
        <v>4563</v>
      </c>
      <c r="K1785" s="0" t="n">
        <f aca="false">IF(M1785=2,"",IF(ISNUMBER(SEARCH("rata-rata:",'Offshore - Sydney'!N312)),VALUE(MID('Offshore - Sydney'!N312,SEARCH("rata-rata:",'Offshore - Sydney'!N312)+11,FIND(";",'Offshore - Sydney'!N312&amp;";",SEARCH("rata-rata:",'Offshore - Sydney'!N312))-SEARCH("rata-rata:",'Offshore - Sydney'!N312)-11)),IF('Offshore - Sydney'!D312="Semester",'Offshore - Sydney'!E312*2,IF('Offshore - Sydney'!D312="Trimester",'Offshore - Sydney'!E312*3,IF('Offshore - Sydney'!D312="Term",'Offshore - Sydney'!E312*4,IF('Offshore - Sydney'!D312="Unit",'Offshore - Sydney'!E312*8,""))))))</f>
        <v>12000</v>
      </c>
      <c r="L1785" s="0" t="n">
        <f aca="false">IF(AND(ISNUMBER('Offshore - Sydney'!E312),ISNUMBER(K1785),ISNUMBER('Offshore - Sydney'!F312),ISNUMBER('Offshore - Sydney'!G312),OR('Offshore - Sydney'!F312&lt;&gt;0,ISNUMBER(SEARCH("Material 0 terverifikasi",'Offshore - Sydney'!N312))),OR('Offshore - Sydney'!G312&lt;&gt;0,ISNUMBER(SEARCH("Enrolment 0 terverifikasi",'Offshore - Sydney'!N312)))),1,0)</f>
        <v>1</v>
      </c>
      <c r="M1785" s="0" t="n">
        <f aca="false">IF(OR('Offshore - Sydney'!E312="",ISNUMBER(SEARCH("BSB80120",'Offshore - Sydney'!B312&amp;'Offshore - Sydney'!N312)),ISNUMBER(SEARCH("Management (Learning)",'Offshore - Sydney'!B312))),2,IF(ISNUMBER(SEARCH("CEK:",'Offshore - Sydney'!N312)),1,0))</f>
        <v>0</v>
      </c>
    </row>
    <row r="1786" customFormat="false" ht="15" hidden="false" customHeight="false" outlineLevel="0" collapsed="false">
      <c r="A1786" s="61" t="s">
        <v>4564</v>
      </c>
      <c r="B1786" s="62"/>
      <c r="C1786" s="62"/>
      <c r="D1786" s="62"/>
      <c r="E1786" s="62"/>
      <c r="F1786" s="62"/>
      <c r="G1786" s="62"/>
      <c r="H1786" s="62"/>
      <c r="I1786" s="62"/>
    </row>
    <row r="1787" customFormat="false" ht="15" hidden="false" customHeight="false" outlineLevel="0" collapsed="false">
      <c r="A1787" s="63" t="s">
        <v>3533</v>
      </c>
      <c r="B1787" s="64" t="s">
        <v>3821</v>
      </c>
      <c r="C1787" s="63" t="s">
        <v>43</v>
      </c>
      <c r="D1787" s="64" t="str">
        <f aca="false">TRIM(LEFT('Offshore - Sydney'!A379,FIND(CHAR(10),'Offshore - Sydney'!A379&amp;CHAR(10))-1))</f>
        <v>Charles Sturt University (CSU)</v>
      </c>
      <c r="E1787" s="63" t="str">
        <f aca="false">'Offshore - Sydney'!C379&amp;""</f>
        <v>3 years</v>
      </c>
      <c r="F1787" s="63" t="str">
        <f aca="false">IF('Offshore - Sydney'!D379="","Belum tercatat",'Offshore - Sydney'!D379)</f>
        <v>Semester</v>
      </c>
      <c r="G1787" s="65" t="n">
        <f aca="false">IF('Offshore - Sydney'!E379="","-",'Offshore - Sydney'!E379)</f>
        <v>12760</v>
      </c>
      <c r="H1787" s="63" t="n">
        <f aca="false">IF(ISNUMBER(K1787),COUNTIFS($J$6:$J$1854,J1787,$K$6:$K$1854,"&lt;"&amp;K1787)+1,"-")</f>
        <v>1</v>
      </c>
      <c r="I1787" s="64" t="str">
        <f aca="false">IF('Offshore - Sydney'!E379="","Harga belum tersedia - hubungi konsultan TEG",IF(M1787=2,"Saat ini tidak menerima pendaftaran siswa internasional baru",IF(M1787=1,"Harga perlu dikonfirmasi ke sekolah"&amp;IF(""="","","; "&amp;""),"")))</f>
        <v/>
      </c>
      <c r="J1787" s="0" t="s">
        <v>4565</v>
      </c>
      <c r="K1787" s="0" t="n">
        <f aca="false">IF(M1787=2,"",IF(ISNUMBER(SEARCH("rata-rata:",'Offshore - Sydney'!N379)),VALUE(MID('Offshore - Sydney'!N379,SEARCH("rata-rata:",'Offshore - Sydney'!N379)+11,FIND(";",'Offshore - Sydney'!N379&amp;";",SEARCH("rata-rata:",'Offshore - Sydney'!N379))-SEARCH("rata-rata:",'Offshore - Sydney'!N379)-11)),IF('Offshore - Sydney'!D379="Semester",'Offshore - Sydney'!E379*2,IF('Offshore - Sydney'!D379="Trimester",'Offshore - Sydney'!E379*3,IF('Offshore - Sydney'!D379="Term",'Offshore - Sydney'!E379*4,IF('Offshore - Sydney'!D379="Unit",'Offshore - Sydney'!E379*8,""))))))</f>
        <v>25520</v>
      </c>
      <c r="L1787" s="0" t="n">
        <f aca="false">IF(AND(ISNUMBER('Offshore - Sydney'!E379),ISNUMBER(K1787),ISNUMBER('Offshore - Sydney'!F379),ISNUMBER('Offshore - Sydney'!G379),OR('Offshore - Sydney'!F379&lt;&gt;0,ISNUMBER(SEARCH("Material 0 terverifikasi",'Offshore - Sydney'!N379))),OR('Offshore - Sydney'!G379&lt;&gt;0,ISNUMBER(SEARCH("Enrolment 0 terverifikasi",'Offshore - Sydney'!N379)))),1,0)</f>
        <v>0</v>
      </c>
      <c r="M1787" s="0" t="n">
        <f aca="false">IF(OR('Offshore - Sydney'!E379="",ISNUMBER(SEARCH("BSB80120",'Offshore - Sydney'!B379&amp;'Offshore - Sydney'!N379)),ISNUMBER(SEARCH("Management (Learning)",'Offshore - Sydney'!B379))),2,IF(ISNUMBER(SEARCH("CEK:",'Offshore - Sydney'!N379)),1,0))</f>
        <v>0</v>
      </c>
    </row>
    <row r="1788" customFormat="false" ht="15" hidden="false" customHeight="false" outlineLevel="0" collapsed="false">
      <c r="A1788" s="63" t="s">
        <v>3533</v>
      </c>
      <c r="B1788" s="64" t="s">
        <v>3821</v>
      </c>
      <c r="C1788" s="63" t="s">
        <v>43</v>
      </c>
      <c r="D1788" s="64" t="str">
        <f aca="false">TRIM(LEFT('Offshore - Sydney'!A156,FIND(CHAR(10),'Offshore - Sydney'!A156&amp;CHAR(10))-1))</f>
        <v>Australian Catholic University (ACU)</v>
      </c>
      <c r="E1788" s="63" t="str">
        <f aca="false">'Offshore - Sydney'!C244&amp;""</f>
        <v>3 years</v>
      </c>
      <c r="F1788" s="63" t="str">
        <f aca="false">IF('Offshore - Sydney'!D244="","Belum tercatat",'Offshore - Sydney'!D244)</f>
        <v>Term</v>
      </c>
      <c r="G1788" s="65" t="n">
        <f aca="false">IF('Offshore - Sydney'!E244="","-",'Offshore - Sydney'!E244)</f>
        <v>7162</v>
      </c>
      <c r="H1788" s="63" t="n">
        <f aca="false">IF(ISNUMBER(K1788),COUNTIFS($J$6:$J$1854,J1788,$K$6:$K$1854,"&lt;"&amp;K1788)+1,"-")</f>
        <v>2</v>
      </c>
      <c r="I1788" s="64" t="str">
        <f aca="false">IF('Offshore - Sydney'!E244="","Harga belum tersedia - hubungi konsultan TEG",IF(M1788=2,"Saat ini tidak menerima pendaftaran siswa internasional baru",IF(M1788=1,"Harga perlu dikonfirmasi ke sekolah"&amp;IF(""="","","; "&amp;""),"")))</f>
        <v/>
      </c>
      <c r="J1788" s="0" t="s">
        <v>4565</v>
      </c>
      <c r="K1788" s="0" t="n">
        <f aca="false">IF(M1788=2,"",IF(ISNUMBER(SEARCH("rata-rata:",'Offshore - Sydney'!N244)),VALUE(MID('Offshore - Sydney'!N244,SEARCH("rata-rata:",'Offshore - Sydney'!N244)+11,FIND(";",'Offshore - Sydney'!N244&amp;";",SEARCH("rata-rata:",'Offshore - Sydney'!N244))-SEARCH("rata-rata:",'Offshore - Sydney'!N244)-11)),IF('Offshore - Sydney'!D244="Semester",'Offshore - Sydney'!E244*2,IF('Offshore - Sydney'!D244="Trimester",'Offshore - Sydney'!E244*3,IF('Offshore - Sydney'!D244="Term",'Offshore - Sydney'!E244*4,IF('Offshore - Sydney'!D244="Unit",'Offshore - Sydney'!E244*8,""))))))</f>
        <v>28648</v>
      </c>
      <c r="L1788" s="0" t="n">
        <f aca="false">IF(AND(ISNUMBER('Offshore - Sydney'!E244),ISNUMBER(K1788),ISNUMBER('Offshore - Sydney'!F244),ISNUMBER('Offshore - Sydney'!G244),OR('Offshore - Sydney'!F244&lt;&gt;0,ISNUMBER(SEARCH("Material 0 terverifikasi",'Offshore - Sydney'!N244))),OR('Offshore - Sydney'!G244&lt;&gt;0,ISNUMBER(SEARCH("Enrolment 0 terverifikasi",'Offshore - Sydney'!N244)))),1,0)</f>
        <v>0</v>
      </c>
      <c r="M1788" s="0" t="n">
        <f aca="false">IF(OR('Offshore - Sydney'!E244="",ISNUMBER(SEARCH("BSB80120",'Offshore - Sydney'!B244&amp;'Offshore - Sydney'!N244)),ISNUMBER(SEARCH("Management (Learning)",'Offshore - Sydney'!B244))),2,IF(ISNUMBER(SEARCH("CEK:",'Offshore - Sydney'!N244)),1,0))</f>
        <v>0</v>
      </c>
    </row>
    <row r="1789" customFormat="false" ht="15" hidden="false" customHeight="false" outlineLevel="0" collapsed="false">
      <c r="A1789" s="61" t="s">
        <v>4566</v>
      </c>
      <c r="B1789" s="62"/>
      <c r="C1789" s="62"/>
      <c r="D1789" s="62"/>
      <c r="E1789" s="62"/>
      <c r="F1789" s="62"/>
      <c r="G1789" s="62"/>
      <c r="H1789" s="62"/>
      <c r="I1789" s="62"/>
    </row>
    <row r="1790" customFormat="false" ht="15" hidden="false" customHeight="false" outlineLevel="0" collapsed="false">
      <c r="A1790" s="63" t="s">
        <v>3533</v>
      </c>
      <c r="B1790" s="64" t="s">
        <v>3821</v>
      </c>
      <c r="C1790" s="63" t="s">
        <v>3707</v>
      </c>
      <c r="D1790" s="64" t="str">
        <f aca="false">TRIM(LEFT('Offshore - Sydney'!A814,FIND(CHAR(10),'Offshore - Sydney'!A814&amp;CHAR(10))-1))</f>
        <v>Torrens University Australia</v>
      </c>
      <c r="E1790" s="63" t="str">
        <f aca="false">'Offshore - Sydney'!C916&amp;""</f>
        <v>0,5 year</v>
      </c>
      <c r="F1790" s="63" t="str">
        <f aca="false">IF('Offshore - Sydney'!D916="","Belum tercatat",'Offshore - Sydney'!D916)</f>
        <v>Term</v>
      </c>
      <c r="G1790" s="65" t="n">
        <f aca="false">IF('Offshore - Sydney'!E916="","-",'Offshore - Sydney'!E916)</f>
        <v>3688</v>
      </c>
      <c r="H1790" s="63" t="n">
        <f aca="false">IF(ISNUMBER(K1790),COUNTIFS($J$6:$J$1854,J1790,$K$6:$K$1854,"&lt;"&amp;K1790)+1,"-")</f>
        <v>1</v>
      </c>
      <c r="I1790" s="64" t="str">
        <f aca="false">IF('Offshore - Sydney'!E916="","Harga belum tersedia - hubungi konsultan TEG",IF(M1790=2,"Saat ini tidak menerima pendaftaran siswa internasional baru",IF(M1790=1,"Harga perlu dikonfirmasi ke sekolah"&amp;IF(""="","","; "&amp;""),"")))</f>
        <v/>
      </c>
      <c r="J1790" s="0" t="s">
        <v>4567</v>
      </c>
      <c r="K1790" s="0" t="n">
        <f aca="false">IF(M1790=2,"",IF(ISNUMBER(SEARCH("rata-rata:",'Offshore - Sydney'!N916)),VALUE(MID('Offshore - Sydney'!N916,SEARCH("rata-rata:",'Offshore - Sydney'!N916)+11,FIND(";",'Offshore - Sydney'!N916&amp;";",SEARCH("rata-rata:",'Offshore - Sydney'!N916))-SEARCH("rata-rata:",'Offshore - Sydney'!N916)-11)),IF('Offshore - Sydney'!D916="Semester",'Offshore - Sydney'!E916*2,IF('Offshore - Sydney'!D916="Trimester",'Offshore - Sydney'!E916*3,IF('Offshore - Sydney'!D916="Term",'Offshore - Sydney'!E916*4,IF('Offshore - Sydney'!D916="Unit",'Offshore - Sydney'!E916*8,""))))))</f>
        <v>14752</v>
      </c>
      <c r="L1790" s="0" t="n">
        <f aca="false">IF(AND(ISNUMBER('Offshore - Sydney'!E916),ISNUMBER(K1790),ISNUMBER('Offshore - Sydney'!F916),ISNUMBER('Offshore - Sydney'!G916),OR('Offshore - Sydney'!F916&lt;&gt;0,ISNUMBER(SEARCH("Material 0 terverifikasi",'Offshore - Sydney'!N916))),OR('Offshore - Sydney'!G916&lt;&gt;0,ISNUMBER(SEARCH("Enrolment 0 terverifikasi",'Offshore - Sydney'!N916)))),1,0)</f>
        <v>0</v>
      </c>
      <c r="M1790" s="0" t="n">
        <f aca="false">IF(OR('Offshore - Sydney'!E916="",ISNUMBER(SEARCH("BSB80120",'Offshore - Sydney'!B916&amp;'Offshore - Sydney'!N916)),ISNUMBER(SEARCH("Management (Learning)",'Offshore - Sydney'!B916))),2,IF(ISNUMBER(SEARCH("CEK:",'Offshore - Sydney'!N916)),1,0))</f>
        <v>0</v>
      </c>
    </row>
    <row r="1791" customFormat="false" ht="15" hidden="false" customHeight="false" outlineLevel="0" collapsed="false">
      <c r="A1791" s="63" t="s">
        <v>3533</v>
      </c>
      <c r="B1791" s="64" t="s">
        <v>3821</v>
      </c>
      <c r="C1791" s="63" t="s">
        <v>3707</v>
      </c>
      <c r="D1791" s="64" t="str">
        <f aca="false">TRIM(LEFT('Offshore - Sydney'!A982,FIND(CHAR(10),'Offshore - Sydney'!A982&amp;CHAR(10))-1))</f>
        <v>Western Sydney University</v>
      </c>
      <c r="E1791" s="63" t="str">
        <f aca="false">'Offshore - Sydney'!C1140&amp;""</f>
        <v>0,5 year</v>
      </c>
      <c r="F1791" s="63" t="str">
        <f aca="false">IF('Offshore - Sydney'!D1140="","Belum tercatat",'Offshore - Sydney'!D1140)</f>
        <v>Term</v>
      </c>
      <c r="G1791" s="65" t="n">
        <f aca="false">IF('Offshore - Sydney'!E1140="","-",'Offshore - Sydney'!E1140)</f>
        <v>4954</v>
      </c>
      <c r="H1791" s="63" t="n">
        <f aca="false">IF(ISNUMBER(K1791),COUNTIFS($J$6:$J$1854,J1791,$K$6:$K$1854,"&lt;"&amp;K1791)+1,"-")</f>
        <v>2</v>
      </c>
      <c r="I1791" s="64" t="str">
        <f aca="false">IF('Offshore - Sydney'!E1140="","Harga belum tersedia - hubungi konsultan TEG",IF(M1791=2,"Saat ini tidak menerima pendaftaran siswa internasional baru",IF(M1791=1,"Harga perlu dikonfirmasi ke sekolah"&amp;IF(""="","","; "&amp;""),"")))</f>
        <v/>
      </c>
      <c r="J1791" s="0" t="s">
        <v>4567</v>
      </c>
      <c r="K1791" s="0" t="n">
        <f aca="false">IF(M1791=2,"",IF(ISNUMBER(SEARCH("rata-rata:",'Offshore - Sydney'!N1140)),VALUE(MID('Offshore - Sydney'!N1140,SEARCH("rata-rata:",'Offshore - Sydney'!N1140)+11,FIND(";",'Offshore - Sydney'!N1140&amp;";",SEARCH("rata-rata:",'Offshore - Sydney'!N1140))-SEARCH("rata-rata:",'Offshore - Sydney'!N1140)-11)),IF('Offshore - Sydney'!D1140="Semester",'Offshore - Sydney'!E1140*2,IF('Offshore - Sydney'!D1140="Trimester",'Offshore - Sydney'!E1140*3,IF('Offshore - Sydney'!D1140="Term",'Offshore - Sydney'!E1140*4,IF('Offshore - Sydney'!D1140="Unit",'Offshore - Sydney'!E1140*8,""))))))</f>
        <v>19816</v>
      </c>
      <c r="L1791" s="0" t="n">
        <f aca="false">IF(AND(ISNUMBER('Offshore - Sydney'!E1140),ISNUMBER(K1791),ISNUMBER('Offshore - Sydney'!F1140),ISNUMBER('Offshore - Sydney'!G1140),OR('Offshore - Sydney'!F1140&lt;&gt;0,ISNUMBER(SEARCH("Material 0 terverifikasi",'Offshore - Sydney'!N1140))),OR('Offshore - Sydney'!G1140&lt;&gt;0,ISNUMBER(SEARCH("Enrolment 0 terverifikasi",'Offshore - Sydney'!N1140)))),1,0)</f>
        <v>0</v>
      </c>
      <c r="M1791" s="0" t="n">
        <f aca="false">IF(OR('Offshore - Sydney'!E1140="",ISNUMBER(SEARCH("BSB80120",'Offshore - Sydney'!B1140&amp;'Offshore - Sydney'!N1140)),ISNUMBER(SEARCH("Management (Learning)",'Offshore - Sydney'!B1140))),2,IF(ISNUMBER(SEARCH("CEK:",'Offshore - Sydney'!N1140)),1,0))</f>
        <v>0</v>
      </c>
    </row>
    <row r="1792" customFormat="false" ht="15" hidden="false" customHeight="false" outlineLevel="0" collapsed="false">
      <c r="A1792" s="61" t="s">
        <v>4568</v>
      </c>
      <c r="B1792" s="62"/>
      <c r="C1792" s="62"/>
      <c r="D1792" s="62"/>
      <c r="E1792" s="62"/>
      <c r="F1792" s="62"/>
      <c r="G1792" s="62"/>
      <c r="H1792" s="62"/>
      <c r="I1792" s="62"/>
    </row>
    <row r="1793" customFormat="false" ht="15" hidden="false" customHeight="false" outlineLevel="0" collapsed="false">
      <c r="A1793" s="63" t="s">
        <v>3533</v>
      </c>
      <c r="B1793" s="64" t="s">
        <v>3821</v>
      </c>
      <c r="C1793" s="63" t="s">
        <v>46</v>
      </c>
      <c r="D1793" s="64" t="str">
        <f aca="false">TRIM(LEFT('Offshore - Sydney'!A379,FIND(CHAR(10),'Offshore - Sydney'!A379&amp;CHAR(10))-1))</f>
        <v>Charles Sturt University (CSU)</v>
      </c>
      <c r="E1793" s="63" t="str">
        <f aca="false">'Offshore - Sydney'!C380&amp;""</f>
        <v>1,5 years</v>
      </c>
      <c r="F1793" s="63" t="str">
        <f aca="false">IF('Offshore - Sydney'!D380="","Belum tercatat",'Offshore - Sydney'!D380)</f>
        <v>Semester</v>
      </c>
      <c r="G1793" s="65" t="n">
        <f aca="false">IF('Offshore - Sydney'!E380="","-",'Offshore - Sydney'!E380)</f>
        <v>12760</v>
      </c>
      <c r="H1793" s="63" t="n">
        <f aca="false">IF(ISNUMBER(K1793),COUNTIFS($J$6:$J$1854,J1793,$K$6:$K$1854,"&lt;"&amp;K1793)+1,"-")</f>
        <v>1</v>
      </c>
      <c r="I1793" s="64" t="str">
        <f aca="false">IF('Offshore - Sydney'!E380="","Harga belum tersedia - hubungi konsultan TEG",IF(M1793=2,"Saat ini tidak menerima pendaftaran siswa internasional baru",IF(M1793=1,"Harga perlu dikonfirmasi ke sekolah"&amp;IF(""="","","; "&amp;""),"")))</f>
        <v/>
      </c>
      <c r="J1793" s="0" t="s">
        <v>4569</v>
      </c>
      <c r="K1793" s="0" t="n">
        <f aca="false">IF(M1793=2,"",IF(ISNUMBER(SEARCH("rata-rata:",'Offshore - Sydney'!N380)),VALUE(MID('Offshore - Sydney'!N380,SEARCH("rata-rata:",'Offshore - Sydney'!N380)+11,FIND(";",'Offshore - Sydney'!N380&amp;";",SEARCH("rata-rata:",'Offshore - Sydney'!N380))-SEARCH("rata-rata:",'Offshore - Sydney'!N380)-11)),IF('Offshore - Sydney'!D380="Semester",'Offshore - Sydney'!E380*2,IF('Offshore - Sydney'!D380="Trimester",'Offshore - Sydney'!E380*3,IF('Offshore - Sydney'!D380="Term",'Offshore - Sydney'!E380*4,IF('Offshore - Sydney'!D380="Unit",'Offshore - Sydney'!E380*8,""))))))</f>
        <v>25520</v>
      </c>
      <c r="L1793" s="0" t="n">
        <f aca="false">IF(AND(ISNUMBER('Offshore - Sydney'!E380),ISNUMBER(K1793),ISNUMBER('Offshore - Sydney'!F380),ISNUMBER('Offshore - Sydney'!G380),OR('Offshore - Sydney'!F380&lt;&gt;0,ISNUMBER(SEARCH("Material 0 terverifikasi",'Offshore - Sydney'!N380))),OR('Offshore - Sydney'!G380&lt;&gt;0,ISNUMBER(SEARCH("Enrolment 0 terverifikasi",'Offshore - Sydney'!N380)))),1,0)</f>
        <v>0</v>
      </c>
      <c r="M1793" s="0" t="n">
        <f aca="false">IF(OR('Offshore - Sydney'!E380="",ISNUMBER(SEARCH("BSB80120",'Offshore - Sydney'!B380&amp;'Offshore - Sydney'!N380)),ISNUMBER(SEARCH("Management (Learning)",'Offshore - Sydney'!B380))),2,IF(ISNUMBER(SEARCH("CEK:",'Offshore - Sydney'!N380)),1,0))</f>
        <v>0</v>
      </c>
    </row>
    <row r="1794" customFormat="false" ht="15" hidden="false" customHeight="false" outlineLevel="0" collapsed="false">
      <c r="A1794" s="63" t="s">
        <v>3533</v>
      </c>
      <c r="B1794" s="64" t="s">
        <v>3821</v>
      </c>
      <c r="C1794" s="63" t="s">
        <v>46</v>
      </c>
      <c r="D1794" s="64" t="str">
        <f aca="false">TRIM(LEFT('Offshore - Sydney'!A814,FIND(CHAR(10),'Offshore - Sydney'!A814&amp;CHAR(10))-1))</f>
        <v>Torrens University Australia</v>
      </c>
      <c r="E1794" s="63" t="str">
        <f aca="false">'Offshore - Sydney'!C918&amp;""</f>
        <v>2 years</v>
      </c>
      <c r="F1794" s="63" t="str">
        <f aca="false">IF('Offshore - Sydney'!D918="","Belum tercatat",'Offshore - Sydney'!D918)</f>
        <v>Term</v>
      </c>
      <c r="G1794" s="65" t="n">
        <f aca="false">IF('Offshore - Sydney'!E918="","-",'Offshore - Sydney'!E918)</f>
        <v>7375</v>
      </c>
      <c r="H1794" s="63" t="n">
        <f aca="false">IF(ISNUMBER(K1794),COUNTIFS($J$6:$J$1854,J1794,$K$6:$K$1854,"&lt;"&amp;K1794)+1,"-")</f>
        <v>2</v>
      </c>
      <c r="I1794" s="64" t="str">
        <f aca="false">IF('Offshore - Sydney'!E918="","Harga belum tersedia - hubungi konsultan TEG",IF(M1794=2,"Saat ini tidak menerima pendaftaran siswa internasional baru",IF(M1794=1,"Harga perlu dikonfirmasi ke sekolah"&amp;IF(""="","","; "&amp;""),"")))</f>
        <v/>
      </c>
      <c r="J1794" s="0" t="s">
        <v>4569</v>
      </c>
      <c r="K1794" s="0" t="n">
        <f aca="false">IF(M1794=2,"",IF(ISNUMBER(SEARCH("rata-rata:",'Offshore - Sydney'!N918)),VALUE(MID('Offshore - Sydney'!N918,SEARCH("rata-rata:",'Offshore - Sydney'!N918)+11,FIND(";",'Offshore - Sydney'!N918&amp;";",SEARCH("rata-rata:",'Offshore - Sydney'!N918))-SEARCH("rata-rata:",'Offshore - Sydney'!N918)-11)),IF('Offshore - Sydney'!D918="Semester",'Offshore - Sydney'!E918*2,IF('Offshore - Sydney'!D918="Trimester",'Offshore - Sydney'!E918*3,IF('Offshore - Sydney'!D918="Term",'Offshore - Sydney'!E918*4,IF('Offshore - Sydney'!D918="Unit",'Offshore - Sydney'!E918*8,""))))))</f>
        <v>29500</v>
      </c>
      <c r="L1794" s="0" t="n">
        <f aca="false">IF(AND(ISNUMBER('Offshore - Sydney'!E918),ISNUMBER(K1794),ISNUMBER('Offshore - Sydney'!F918),ISNUMBER('Offshore - Sydney'!G918),OR('Offshore - Sydney'!F918&lt;&gt;0,ISNUMBER(SEARCH("Material 0 terverifikasi",'Offshore - Sydney'!N918))),OR('Offshore - Sydney'!G918&lt;&gt;0,ISNUMBER(SEARCH("Enrolment 0 terverifikasi",'Offshore - Sydney'!N918)))),1,0)</f>
        <v>0</v>
      </c>
      <c r="M1794" s="0" t="n">
        <f aca="false">IF(OR('Offshore - Sydney'!E918="",ISNUMBER(SEARCH("BSB80120",'Offshore - Sydney'!B918&amp;'Offshore - Sydney'!N918)),ISNUMBER(SEARCH("Management (Learning)",'Offshore - Sydney'!B918))),2,IF(ISNUMBER(SEARCH("CEK:",'Offshore - Sydney'!N918)),1,0))</f>
        <v>0</v>
      </c>
    </row>
    <row r="1795" customFormat="false" ht="15" hidden="false" customHeight="false" outlineLevel="0" collapsed="false">
      <c r="A1795" s="63" t="s">
        <v>3533</v>
      </c>
      <c r="B1795" s="64" t="s">
        <v>3821</v>
      </c>
      <c r="C1795" s="63" t="s">
        <v>46</v>
      </c>
      <c r="D1795" s="64" t="str">
        <f aca="false">TRIM(LEFT('Offshore - Sydney'!A354,FIND(CHAR(10),'Offshore - Sydney'!A354&amp;CHAR(10))-1))</f>
        <v>Charles Darwin University (CDU)</v>
      </c>
      <c r="E1795" s="63" t="str">
        <f aca="false">'Offshore - Sydney'!C372&amp;""</f>
        <v>2 years</v>
      </c>
      <c r="F1795" s="63" t="str">
        <f aca="false">IF('Offshore - Sydney'!D372="","Belum tercatat",'Offshore - Sydney'!D372)</f>
        <v>Term</v>
      </c>
      <c r="G1795" s="65" t="n">
        <f aca="false">IF('Offshore - Sydney'!E372="","-",'Offshore - Sydney'!E372)</f>
        <v>7784</v>
      </c>
      <c r="H1795" s="63" t="n">
        <f aca="false">IF(ISNUMBER(K1795),COUNTIFS($J$6:$J$1854,J1795,$K$6:$K$1854,"&lt;"&amp;K1795)+1,"-")</f>
        <v>3</v>
      </c>
      <c r="I1795" s="64" t="str">
        <f aca="false">IF('Offshore - Sydney'!E372="","Harga belum tersedia - hubungi konsultan TEG",IF(M1795=2,"Saat ini tidak menerima pendaftaran siswa internasional baru",IF(M1795=1,"Harga perlu dikonfirmasi ke sekolah"&amp;IF(""="","","; "&amp;""),"")))</f>
        <v>Harga perlu dikonfirmasi ke sekolah</v>
      </c>
      <c r="J1795" s="0" t="s">
        <v>4569</v>
      </c>
      <c r="K1795" s="0" t="n">
        <f aca="false">IF(M1795=2,"",IF(ISNUMBER(SEARCH("rata-rata:",'Offshore - Sydney'!N372)),VALUE(MID('Offshore - Sydney'!N372,SEARCH("rata-rata:",'Offshore - Sydney'!N372)+11,FIND(";",'Offshore - Sydney'!N372&amp;";",SEARCH("rata-rata:",'Offshore - Sydney'!N372))-SEARCH("rata-rata:",'Offshore - Sydney'!N372)-11)),IF('Offshore - Sydney'!D372="Semester",'Offshore - Sydney'!E372*2,IF('Offshore - Sydney'!D372="Trimester",'Offshore - Sydney'!E372*3,IF('Offshore - Sydney'!D372="Term",'Offshore - Sydney'!E372*4,IF('Offshore - Sydney'!D372="Unit",'Offshore - Sydney'!E372*8,""))))))</f>
        <v>31136</v>
      </c>
      <c r="L1795" s="0" t="n">
        <f aca="false">IF(AND(ISNUMBER('Offshore - Sydney'!E372),ISNUMBER(K1795),ISNUMBER('Offshore - Sydney'!F372),ISNUMBER('Offshore - Sydney'!G372),OR('Offshore - Sydney'!F372&lt;&gt;0,ISNUMBER(SEARCH("Material 0 terverifikasi",'Offshore - Sydney'!N372))),OR('Offshore - Sydney'!G372&lt;&gt;0,ISNUMBER(SEARCH("Enrolment 0 terverifikasi",'Offshore - Sydney'!N372)))),1,0)</f>
        <v>0</v>
      </c>
      <c r="M1795" s="0" t="n">
        <f aca="false">IF(OR('Offshore - Sydney'!E372="",ISNUMBER(SEARCH("BSB80120",'Offshore - Sydney'!B372&amp;'Offshore - Sydney'!N372)),ISNUMBER(SEARCH("Management (Learning)",'Offshore - Sydney'!B372))),2,IF(ISNUMBER(SEARCH("CEK:",'Offshore - Sydney'!N372)),1,0))</f>
        <v>1</v>
      </c>
    </row>
    <row r="1796" customFormat="false" ht="15" hidden="false" customHeight="false" outlineLevel="0" collapsed="false">
      <c r="A1796" s="63" t="s">
        <v>3533</v>
      </c>
      <c r="B1796" s="64" t="s">
        <v>3821</v>
      </c>
      <c r="C1796" s="63" t="s">
        <v>46</v>
      </c>
      <c r="D1796" s="64" t="str">
        <f aca="false">TRIM(LEFT('Offshore - Sydney'!A156,FIND(CHAR(10),'Offshore - Sydney'!A156&amp;CHAR(10))-1))</f>
        <v>Australian Catholic University (ACU)</v>
      </c>
      <c r="E1796" s="63" t="str">
        <f aca="false">'Offshore - Sydney'!C248&amp;""</f>
        <v>2 years</v>
      </c>
      <c r="F1796" s="63" t="str">
        <f aca="false">IF('Offshore - Sydney'!D248="","Belum tercatat",'Offshore - Sydney'!D248)</f>
        <v>Term</v>
      </c>
      <c r="G1796" s="65" t="n">
        <f aca="false">IF('Offshore - Sydney'!E248="","-",'Offshore - Sydney'!E248)</f>
        <v>8682</v>
      </c>
      <c r="H1796" s="63" t="n">
        <f aca="false">IF(ISNUMBER(K1796),COUNTIFS($J$6:$J$1854,J1796,$K$6:$K$1854,"&lt;"&amp;K1796)+1,"-")</f>
        <v>4</v>
      </c>
      <c r="I1796" s="64" t="str">
        <f aca="false">IF('Offshore - Sydney'!E248="","Harga belum tersedia - hubungi konsultan TEG",IF(M1796=2,"Saat ini tidak menerima pendaftaran siswa internasional baru",IF(M1796=1,"Harga perlu dikonfirmasi ke sekolah"&amp;IF(""="","","; "&amp;""),"")))</f>
        <v/>
      </c>
      <c r="J1796" s="0" t="s">
        <v>4569</v>
      </c>
      <c r="K1796" s="0" t="n">
        <f aca="false">IF(M1796=2,"",IF(ISNUMBER(SEARCH("rata-rata:",'Offshore - Sydney'!N248)),VALUE(MID('Offshore - Sydney'!N248,SEARCH("rata-rata:",'Offshore - Sydney'!N248)+11,FIND(";",'Offshore - Sydney'!N248&amp;";",SEARCH("rata-rata:",'Offshore - Sydney'!N248))-SEARCH("rata-rata:",'Offshore - Sydney'!N248)-11)),IF('Offshore - Sydney'!D248="Semester",'Offshore - Sydney'!E248*2,IF('Offshore - Sydney'!D248="Trimester",'Offshore - Sydney'!E248*3,IF('Offshore - Sydney'!D248="Term",'Offshore - Sydney'!E248*4,IF('Offshore - Sydney'!D248="Unit",'Offshore - Sydney'!E248*8,""))))))</f>
        <v>34728</v>
      </c>
      <c r="L1796" s="0" t="n">
        <f aca="false">IF(AND(ISNUMBER('Offshore - Sydney'!E248),ISNUMBER(K1796),ISNUMBER('Offshore - Sydney'!F248),ISNUMBER('Offshore - Sydney'!G248),OR('Offshore - Sydney'!F248&lt;&gt;0,ISNUMBER(SEARCH("Material 0 terverifikasi",'Offshore - Sydney'!N248))),OR('Offshore - Sydney'!G248&lt;&gt;0,ISNUMBER(SEARCH("Enrolment 0 terverifikasi",'Offshore - Sydney'!N248)))),1,0)</f>
        <v>0</v>
      </c>
      <c r="M1796" s="0" t="n">
        <f aca="false">IF(OR('Offshore - Sydney'!E248="",ISNUMBER(SEARCH("BSB80120",'Offshore - Sydney'!B248&amp;'Offshore - Sydney'!N248)),ISNUMBER(SEARCH("Management (Learning)",'Offshore - Sydney'!B248))),2,IF(ISNUMBER(SEARCH("CEK:",'Offshore - Sydney'!N248)),1,0))</f>
        <v>0</v>
      </c>
    </row>
    <row r="1797" customFormat="false" ht="15" hidden="false" customHeight="false" outlineLevel="0" collapsed="false">
      <c r="A1797" s="63" t="s">
        <v>3533</v>
      </c>
      <c r="B1797" s="64" t="s">
        <v>3821</v>
      </c>
      <c r="C1797" s="63" t="s">
        <v>46</v>
      </c>
      <c r="D1797" s="64" t="str">
        <f aca="false">TRIM(LEFT('Offshore - Sydney'!A982,FIND(CHAR(10),'Offshore - Sydney'!A982&amp;CHAR(10))-1))</f>
        <v>Western Sydney University</v>
      </c>
      <c r="E1797" s="63" t="str">
        <f aca="false">'Offshore - Sydney'!C1147&amp;""</f>
        <v>2 years</v>
      </c>
      <c r="F1797" s="63" t="str">
        <f aca="false">IF('Offshore - Sydney'!D1147="","Belum tercatat",'Offshore - Sydney'!D1147)</f>
        <v>Term</v>
      </c>
      <c r="G1797" s="65" t="n">
        <f aca="false">IF('Offshore - Sydney'!E1147="","-",'Offshore - Sydney'!E1147)</f>
        <v>8694</v>
      </c>
      <c r="H1797" s="63" t="n">
        <f aca="false">IF(ISNUMBER(K1797),COUNTIFS($J$6:$J$1854,J1797,$K$6:$K$1854,"&lt;"&amp;K1797)+1,"-")</f>
        <v>5</v>
      </c>
      <c r="I1797" s="64" t="str">
        <f aca="false">IF('Offshore - Sydney'!E1147="","Harga belum tersedia - hubungi konsultan TEG",IF(M1797=2,"Saat ini tidak menerima pendaftaran siswa internasional baru",IF(M1797=1,"Harga perlu dikonfirmasi ke sekolah"&amp;IF(""="","","; "&amp;""),"")))</f>
        <v/>
      </c>
      <c r="J1797" s="0" t="s">
        <v>4569</v>
      </c>
      <c r="K1797" s="0" t="n">
        <f aca="false">IF(M1797=2,"",IF(ISNUMBER(SEARCH("rata-rata:",'Offshore - Sydney'!N1147)),VALUE(MID('Offshore - Sydney'!N1147,SEARCH("rata-rata:",'Offshore - Sydney'!N1147)+11,FIND(";",'Offshore - Sydney'!N1147&amp;";",SEARCH("rata-rata:",'Offshore - Sydney'!N1147))-SEARCH("rata-rata:",'Offshore - Sydney'!N1147)-11)),IF('Offshore - Sydney'!D1147="Semester",'Offshore - Sydney'!E1147*2,IF('Offshore - Sydney'!D1147="Trimester",'Offshore - Sydney'!E1147*3,IF('Offshore - Sydney'!D1147="Term",'Offshore - Sydney'!E1147*4,IF('Offshore - Sydney'!D1147="Unit",'Offshore - Sydney'!E1147*8,""))))))</f>
        <v>34776</v>
      </c>
      <c r="L1797" s="0" t="n">
        <f aca="false">IF(AND(ISNUMBER('Offshore - Sydney'!E1147),ISNUMBER(K1797),ISNUMBER('Offshore - Sydney'!F1147),ISNUMBER('Offshore - Sydney'!G1147),OR('Offshore - Sydney'!F1147&lt;&gt;0,ISNUMBER(SEARCH("Material 0 terverifikasi",'Offshore - Sydney'!N1147))),OR('Offshore - Sydney'!G1147&lt;&gt;0,ISNUMBER(SEARCH("Enrolment 0 terverifikasi",'Offshore - Sydney'!N1147)))),1,0)</f>
        <v>0</v>
      </c>
      <c r="M1797" s="0" t="n">
        <f aca="false">IF(OR('Offshore - Sydney'!E1147="",ISNUMBER(SEARCH("BSB80120",'Offshore - Sydney'!B1147&amp;'Offshore - Sydney'!N1147)),ISNUMBER(SEARCH("Management (Learning)",'Offshore - Sydney'!B1147))),2,IF(ISNUMBER(SEARCH("CEK:",'Offshore - Sydney'!N1147)),1,0))</f>
        <v>0</v>
      </c>
    </row>
    <row r="1798" customFormat="false" ht="15" hidden="false" customHeight="false" outlineLevel="0" collapsed="false">
      <c r="A1798" s="61" t="s">
        <v>4570</v>
      </c>
      <c r="B1798" s="62"/>
      <c r="C1798" s="62"/>
      <c r="D1798" s="62"/>
      <c r="E1798" s="62"/>
      <c r="F1798" s="62"/>
      <c r="G1798" s="62"/>
      <c r="H1798" s="62"/>
      <c r="I1798" s="62"/>
    </row>
    <row r="1799" customFormat="false" ht="15" hidden="false" customHeight="false" outlineLevel="0" collapsed="false">
      <c r="A1799" s="63" t="s">
        <v>3533</v>
      </c>
      <c r="B1799" s="64" t="s">
        <v>3821</v>
      </c>
      <c r="C1799" s="63" t="s">
        <v>4222</v>
      </c>
      <c r="D1799" s="64" t="str">
        <f aca="false">TRIM(LEFT('Offshore - Sydney'!A814,FIND(CHAR(10),'Offshore - Sydney'!A814&amp;CHAR(10))-1))</f>
        <v>Torrens University Australia</v>
      </c>
      <c r="E1799" s="63" t="str">
        <f aca="false">'Offshore - Sydney'!C920&amp;""</f>
        <v>3 years</v>
      </c>
      <c r="F1799" s="63" t="str">
        <f aca="false">IF('Offshore - Sydney'!D920="","Belum tercatat",'Offshore - Sydney'!D920)</f>
        <v>Term</v>
      </c>
      <c r="G1799" s="65" t="n">
        <f aca="false">IF('Offshore - Sydney'!E920="","-",'Offshore - Sydney'!E920)</f>
        <v>7375</v>
      </c>
      <c r="H1799" s="63" t="n">
        <f aca="false">IF(ISNUMBER(K1799),COUNTIFS($J$6:$J$1854,J1799,$K$6:$K$1854,"&lt;"&amp;K1799)+1,"-")</f>
        <v>1</v>
      </c>
      <c r="I1799" s="64" t="str">
        <f aca="false">IF('Offshore - Sydney'!E920="","Harga belum tersedia - hubungi konsultan TEG",IF(M1799=2,"Saat ini tidak menerima pendaftaran siswa internasional baru",IF(M1799=1,"Harga perlu dikonfirmasi ke sekolah"&amp;IF(""="","","; "&amp;""),"")))</f>
        <v/>
      </c>
      <c r="J1799" s="0" t="s">
        <v>4571</v>
      </c>
      <c r="K1799" s="0" t="n">
        <f aca="false">IF(M1799=2,"",IF(ISNUMBER(SEARCH("rata-rata:",'Offshore - Sydney'!N920)),VALUE(MID('Offshore - Sydney'!N920,SEARCH("rata-rata:",'Offshore - Sydney'!N920)+11,FIND(";",'Offshore - Sydney'!N920&amp;";",SEARCH("rata-rata:",'Offshore - Sydney'!N920))-SEARCH("rata-rata:",'Offshore - Sydney'!N920)-11)),IF('Offshore - Sydney'!D920="Semester",'Offshore - Sydney'!E920*2,IF('Offshore - Sydney'!D920="Trimester",'Offshore - Sydney'!E920*3,IF('Offshore - Sydney'!D920="Term",'Offshore - Sydney'!E920*4,IF('Offshore - Sydney'!D920="Unit",'Offshore - Sydney'!E920*8,""))))))</f>
        <v>29500</v>
      </c>
      <c r="L1799" s="0" t="n">
        <f aca="false">IF(AND(ISNUMBER('Offshore - Sydney'!E920),ISNUMBER(K1799),ISNUMBER('Offshore - Sydney'!F920),ISNUMBER('Offshore - Sydney'!G920),OR('Offshore - Sydney'!F920&lt;&gt;0,ISNUMBER(SEARCH("Material 0 terverifikasi",'Offshore - Sydney'!N920))),OR('Offshore - Sydney'!G920&lt;&gt;0,ISNUMBER(SEARCH("Enrolment 0 terverifikasi",'Offshore - Sydney'!N920)))),1,0)</f>
        <v>0</v>
      </c>
      <c r="M1799" s="0" t="n">
        <f aca="false">IF(OR('Offshore - Sydney'!E920="",ISNUMBER(SEARCH("BSB80120",'Offshore - Sydney'!B920&amp;'Offshore - Sydney'!N920)),ISNUMBER(SEARCH("Management (Learning)",'Offshore - Sydney'!B920))),2,IF(ISNUMBER(SEARCH("CEK:",'Offshore - Sydney'!N920)),1,0))</f>
        <v>0</v>
      </c>
    </row>
    <row r="1800" customFormat="false" ht="15" hidden="false" customHeight="false" outlineLevel="0" collapsed="false">
      <c r="A1800" s="63" t="s">
        <v>3533</v>
      </c>
      <c r="B1800" s="64" t="s">
        <v>3821</v>
      </c>
      <c r="C1800" s="63" t="s">
        <v>4222</v>
      </c>
      <c r="D1800" s="64" t="str">
        <f aca="false">TRIM(LEFT('Offshore - Sydney'!A354,FIND(CHAR(10),'Offshore - Sydney'!A354&amp;CHAR(10))-1))</f>
        <v>Charles Darwin University (CDU)</v>
      </c>
      <c r="E1800" s="63" t="str">
        <f aca="false">'Offshore - Sydney'!C370&amp;""</f>
        <v>4 years</v>
      </c>
      <c r="F1800" s="63" t="str">
        <f aca="false">IF('Offshore - Sydney'!D370="","Belum tercatat",'Offshore - Sydney'!D370)</f>
        <v>Term</v>
      </c>
      <c r="G1800" s="65" t="n">
        <f aca="false">IF('Offshore - Sydney'!E370="","-",'Offshore - Sydney'!E370)</f>
        <v>7784</v>
      </c>
      <c r="H1800" s="63" t="n">
        <f aca="false">IF(ISNUMBER(K1800),COUNTIFS($J$6:$J$1854,J1800,$K$6:$K$1854,"&lt;"&amp;K1800)+1,"-")</f>
        <v>2</v>
      </c>
      <c r="I1800" s="64" t="str">
        <f aca="false">IF('Offshore - Sydney'!E370="","Harga belum tersedia - hubungi konsultan TEG",IF(M1800=2,"Saat ini tidak menerima pendaftaran siswa internasional baru",IF(M1800=1,"Harga perlu dikonfirmasi ke sekolah"&amp;IF(""="","","; "&amp;""),"")))</f>
        <v>Harga perlu dikonfirmasi ke sekolah</v>
      </c>
      <c r="J1800" s="0" t="s">
        <v>4571</v>
      </c>
      <c r="K1800" s="0" t="n">
        <f aca="false">IF(M1800=2,"",IF(ISNUMBER(SEARCH("rata-rata:",'Offshore - Sydney'!N370)),VALUE(MID('Offshore - Sydney'!N370,SEARCH("rata-rata:",'Offshore - Sydney'!N370)+11,FIND(";",'Offshore - Sydney'!N370&amp;";",SEARCH("rata-rata:",'Offshore - Sydney'!N370))-SEARCH("rata-rata:",'Offshore - Sydney'!N370)-11)),IF('Offshore - Sydney'!D370="Semester",'Offshore - Sydney'!E370*2,IF('Offshore - Sydney'!D370="Trimester",'Offshore - Sydney'!E370*3,IF('Offshore - Sydney'!D370="Term",'Offshore - Sydney'!E370*4,IF('Offshore - Sydney'!D370="Unit",'Offshore - Sydney'!E370*8,""))))))</f>
        <v>31136</v>
      </c>
      <c r="L1800" s="0" t="n">
        <f aca="false">IF(AND(ISNUMBER('Offshore - Sydney'!E370),ISNUMBER(K1800),ISNUMBER('Offshore - Sydney'!F370),ISNUMBER('Offshore - Sydney'!G370),OR('Offshore - Sydney'!F370&lt;&gt;0,ISNUMBER(SEARCH("Material 0 terverifikasi",'Offshore - Sydney'!N370))),OR('Offshore - Sydney'!G370&lt;&gt;0,ISNUMBER(SEARCH("Enrolment 0 terverifikasi",'Offshore - Sydney'!N370)))),1,0)</f>
        <v>0</v>
      </c>
      <c r="M1800" s="0" t="n">
        <f aca="false">IF(OR('Offshore - Sydney'!E370="",ISNUMBER(SEARCH("BSB80120",'Offshore - Sydney'!B370&amp;'Offshore - Sydney'!N370)),ISNUMBER(SEARCH("Management (Learning)",'Offshore - Sydney'!B370))),2,IF(ISNUMBER(SEARCH("CEK:",'Offshore - Sydney'!N370)),1,0))</f>
        <v>1</v>
      </c>
    </row>
    <row r="1801" customFormat="false" ht="15" hidden="false" customHeight="false" outlineLevel="0" collapsed="false">
      <c r="A1801" s="63" t="s">
        <v>3533</v>
      </c>
      <c r="B1801" s="64" t="s">
        <v>3821</v>
      </c>
      <c r="C1801" s="63" t="s">
        <v>4222</v>
      </c>
      <c r="D1801" s="64" t="str">
        <f aca="false">TRIM(LEFT('Offshore - Sydney'!A156,FIND(CHAR(10),'Offshore - Sydney'!A156&amp;CHAR(10))-1))</f>
        <v>Australian Catholic University (ACU)</v>
      </c>
      <c r="E1801" s="63" t="str">
        <f aca="false">'Offshore - Sydney'!C246&amp;""</f>
        <v>3 years</v>
      </c>
      <c r="F1801" s="63" t="str">
        <f aca="false">IF('Offshore - Sydney'!D246="","Belum tercatat",'Offshore - Sydney'!D246)</f>
        <v>Term</v>
      </c>
      <c r="G1801" s="65" t="n">
        <f aca="false">IF('Offshore - Sydney'!E246="","-",'Offshore - Sydney'!E246)</f>
        <v>8682</v>
      </c>
      <c r="H1801" s="63" t="n">
        <f aca="false">IF(ISNUMBER(K1801),COUNTIFS($J$6:$J$1854,J1801,$K$6:$K$1854,"&lt;"&amp;K1801)+1,"-")</f>
        <v>3</v>
      </c>
      <c r="I1801" s="64" t="str">
        <f aca="false">IF('Offshore - Sydney'!E246="","Harga belum tersedia - hubungi konsultan TEG",IF(M1801=2,"Saat ini tidak menerima pendaftaran siswa internasional baru",IF(M1801=1,"Harga perlu dikonfirmasi ke sekolah"&amp;IF(""="","","; "&amp;""),"")))</f>
        <v/>
      </c>
      <c r="J1801" s="0" t="s">
        <v>4571</v>
      </c>
      <c r="K1801" s="0" t="n">
        <f aca="false">IF(M1801=2,"",IF(ISNUMBER(SEARCH("rata-rata:",'Offshore - Sydney'!N246)),VALUE(MID('Offshore - Sydney'!N246,SEARCH("rata-rata:",'Offshore - Sydney'!N246)+11,FIND(";",'Offshore - Sydney'!N246&amp;";",SEARCH("rata-rata:",'Offshore - Sydney'!N246))-SEARCH("rata-rata:",'Offshore - Sydney'!N246)-11)),IF('Offshore - Sydney'!D246="Semester",'Offshore - Sydney'!E246*2,IF('Offshore - Sydney'!D246="Trimester",'Offshore - Sydney'!E246*3,IF('Offshore - Sydney'!D246="Term",'Offshore - Sydney'!E246*4,IF('Offshore - Sydney'!D246="Unit",'Offshore - Sydney'!E246*8,""))))))</f>
        <v>34728</v>
      </c>
      <c r="L1801" s="0" t="n">
        <f aca="false">IF(AND(ISNUMBER('Offshore - Sydney'!E246),ISNUMBER(K1801),ISNUMBER('Offshore - Sydney'!F246),ISNUMBER('Offshore - Sydney'!G246),OR('Offshore - Sydney'!F246&lt;&gt;0,ISNUMBER(SEARCH("Material 0 terverifikasi",'Offshore - Sydney'!N246))),OR('Offshore - Sydney'!G246&lt;&gt;0,ISNUMBER(SEARCH("Enrolment 0 terverifikasi",'Offshore - Sydney'!N246)))),1,0)</f>
        <v>0</v>
      </c>
      <c r="M1801" s="0" t="n">
        <f aca="false">IF(OR('Offshore - Sydney'!E246="",ISNUMBER(SEARCH("BSB80120",'Offshore - Sydney'!B246&amp;'Offshore - Sydney'!N246)),ISNUMBER(SEARCH("Management (Learning)",'Offshore - Sydney'!B246))),2,IF(ISNUMBER(SEARCH("CEK:",'Offshore - Sydney'!N246)),1,0))</f>
        <v>0</v>
      </c>
    </row>
    <row r="1802" customFormat="false" ht="15" hidden="false" customHeight="false" outlineLevel="0" collapsed="false">
      <c r="A1802" s="61" t="s">
        <v>4572</v>
      </c>
      <c r="B1802" s="62"/>
      <c r="C1802" s="62"/>
      <c r="D1802" s="62"/>
      <c r="E1802" s="62"/>
      <c r="F1802" s="62"/>
      <c r="G1802" s="62"/>
      <c r="H1802" s="62"/>
      <c r="I1802" s="62"/>
    </row>
    <row r="1803" customFormat="false" ht="15" hidden="false" customHeight="false" outlineLevel="0" collapsed="false">
      <c r="A1803" s="63" t="s">
        <v>3753</v>
      </c>
      <c r="B1803" s="64" t="s">
        <v>3821</v>
      </c>
      <c r="C1803" s="63" t="s">
        <v>41</v>
      </c>
      <c r="D1803" s="64" t="str">
        <f aca="false">TRIM(LEFT('Offshore - Tasmania Hobart'!A21,FIND(CHAR(10),'Offshore - Tasmania Hobart'!A21&amp;CHAR(10))-1))</f>
        <v>University of Tasmania (UTAS)</v>
      </c>
      <c r="E1803" s="63" t="str">
        <f aca="false">'Offshore - Tasmania Hobart'!C65&amp;""</f>
        <v>1 year</v>
      </c>
      <c r="F1803" s="63" t="str">
        <f aca="false">IF('Offshore - Tasmania Hobart'!D65="","Belum tercatat",'Offshore - Tasmania Hobart'!D65)</f>
        <v>Term</v>
      </c>
      <c r="G1803" s="65" t="n">
        <f aca="false">IF('Offshore - Tasmania Hobart'!E65="","-",'Offshore - Tasmania Hobart'!E65)</f>
        <v>10062.5</v>
      </c>
      <c r="H1803" s="63" t="n">
        <f aca="false">IF(ISNUMBER(K1803),COUNTIFS($J$6:$J$1854,J1803,$K$6:$K$1854,"&lt;"&amp;K1803)+1,"-")</f>
        <v>1</v>
      </c>
      <c r="I1803" s="64" t="str">
        <f aca="false">IF('Offshore - Tasmania Hobart'!E65="","Harga belum tersedia - hubungi konsultan TEG",IF(M1803=2,"Saat ini tidak menerima pendaftaran siswa internasional baru",IF(M1803=1,"Harga perlu dikonfirmasi ke sekolah"&amp;IF(""="","","; "&amp;""),"")))</f>
        <v>Harga perlu dikonfirmasi ke sekolah</v>
      </c>
      <c r="J1803" s="0" t="s">
        <v>4573</v>
      </c>
      <c r="K1803" s="0" t="n">
        <f aca="false">IF(M1803=2,"",IF(ISNUMBER(SEARCH("rata-rata:",'Offshore - Tasmania Hobart'!N65)),VALUE(MID('Offshore - Tasmania Hobart'!N65,SEARCH("rata-rata:",'Offshore - Tasmania Hobart'!N65)+11,FIND(";",'Offshore - Tasmania Hobart'!N65&amp;";",SEARCH("rata-rata:",'Offshore - Tasmania Hobart'!N65))-SEARCH("rata-rata:",'Offshore - Tasmania Hobart'!N65)-11)),IF('Offshore - Tasmania Hobart'!D65="Semester",'Offshore - Tasmania Hobart'!E65*2,IF('Offshore - Tasmania Hobart'!D65="Trimester",'Offshore - Tasmania Hobart'!E65*3,IF('Offshore - Tasmania Hobart'!D65="Term",'Offshore - Tasmania Hobart'!E65*4,IF('Offshore - Tasmania Hobart'!D65="Unit",'Offshore - Tasmania Hobart'!E65*8,""))))))</f>
        <v>40250</v>
      </c>
      <c r="L1803" s="0" t="n">
        <f aca="false">IF(AND(ISNUMBER('Offshore - Tasmania Hobart'!E65),ISNUMBER(K1803),ISNUMBER('Offshore - Tasmania Hobart'!F65),ISNUMBER('Offshore - Tasmania Hobart'!G65),OR('Offshore - Tasmania Hobart'!F65&lt;&gt;0,ISNUMBER(SEARCH("Material 0 terverifikasi",'Offshore - Tasmania Hobart'!N65))),OR('Offshore - Tasmania Hobart'!G65&lt;&gt;0,ISNUMBER(SEARCH("Enrolment 0 terverifikasi",'Offshore - Tasmania Hobart'!N65)))),1,0)</f>
        <v>0</v>
      </c>
      <c r="M1803" s="0" t="n">
        <f aca="false">IF(OR('Offshore - Tasmania Hobart'!E65="",ISNUMBER(SEARCH("BSB80120",'Offshore - Tasmania Hobart'!B65&amp;'Offshore - Tasmania Hobart'!N65)),ISNUMBER(SEARCH("Management (Learning)",'Offshore - Tasmania Hobart'!B65))),2,IF(ISNUMBER(SEARCH("CEK:",'Offshore - Tasmania Hobart'!N65)),1,0))</f>
        <v>1</v>
      </c>
    </row>
    <row r="1804" customFormat="false" ht="15" hidden="false" customHeight="false" outlineLevel="0" collapsed="false">
      <c r="A1804" s="61" t="s">
        <v>4574</v>
      </c>
      <c r="B1804" s="62"/>
      <c r="C1804" s="62"/>
      <c r="D1804" s="62"/>
      <c r="E1804" s="62"/>
      <c r="F1804" s="62"/>
      <c r="G1804" s="62"/>
      <c r="H1804" s="62"/>
      <c r="I1804" s="62"/>
    </row>
    <row r="1805" customFormat="false" ht="15" hidden="false" customHeight="false" outlineLevel="0" collapsed="false">
      <c r="A1805" s="63" t="s">
        <v>3753</v>
      </c>
      <c r="B1805" s="64" t="s">
        <v>3821</v>
      </c>
      <c r="C1805" s="63" t="s">
        <v>42</v>
      </c>
      <c r="D1805" s="64" t="str">
        <f aca="false">TRIM(LEFT('Offshore - Tasmania Hobart'!A6,FIND(CHAR(10),'Offshore - Tasmania Hobart'!A6&amp;CHAR(10))-1))</f>
        <v>Australian Ideal College (AIC)</v>
      </c>
      <c r="E1805" s="63" t="str">
        <f aca="false">'Offshore - Tasmania Hobart'!C7&amp;""</f>
        <v>1 year</v>
      </c>
      <c r="F1805" s="63" t="str">
        <f aca="false">IF('Offshore - Tasmania Hobart'!D7="","Belum tercatat",'Offshore - Tasmania Hobart'!D7)</f>
        <v>Term</v>
      </c>
      <c r="G1805" s="65" t="n">
        <f aca="false">IF('Offshore - Tasmania Hobart'!E7="","-",'Offshore - Tasmania Hobart'!E7)</f>
        <v>4000</v>
      </c>
      <c r="H1805" s="63" t="n">
        <f aca="false">IF(ISNUMBER(K1805),COUNTIFS($J$6:$J$1854,J1805,$K$6:$K$1854,"&lt;"&amp;K1805)+1,"-")</f>
        <v>1</v>
      </c>
      <c r="I1805" s="64" t="str">
        <f aca="false">IF('Offshore - Tasmania Hobart'!E7="","Harga belum tersedia - hubungi konsultan TEG",IF(M1805=2,"Saat ini tidak menerima pendaftaran siswa internasional baru",IF(M1805=1,"Harga perlu dikonfirmasi ke sekolah"&amp;IF(""="","","; "&amp;""),"")))</f>
        <v/>
      </c>
      <c r="J1805" s="0" t="s">
        <v>4575</v>
      </c>
      <c r="K1805" s="0" t="n">
        <f aca="false">IF(M1805=2,"",IF(ISNUMBER(SEARCH("rata-rata:",'Offshore - Tasmania Hobart'!N7)),VALUE(MID('Offshore - Tasmania Hobart'!N7,SEARCH("rata-rata:",'Offshore - Tasmania Hobart'!N7)+11,FIND(";",'Offshore - Tasmania Hobart'!N7&amp;";",SEARCH("rata-rata:",'Offshore - Tasmania Hobart'!N7))-SEARCH("rata-rata:",'Offshore - Tasmania Hobart'!N7)-11)),IF('Offshore - Tasmania Hobart'!D7="Semester",'Offshore - Tasmania Hobart'!E7*2,IF('Offshore - Tasmania Hobart'!D7="Trimester",'Offshore - Tasmania Hobart'!E7*3,IF('Offshore - Tasmania Hobart'!D7="Term",'Offshore - Tasmania Hobart'!E7*4,IF('Offshore - Tasmania Hobart'!D7="Unit",'Offshore - Tasmania Hobart'!E7*8,""))))))</f>
        <v>16000</v>
      </c>
      <c r="L1805" s="0" t="n">
        <f aca="false">IF(AND(ISNUMBER('Offshore - Tasmania Hobart'!E7),ISNUMBER(K1805),ISNUMBER('Offshore - Tasmania Hobart'!F7),ISNUMBER('Offshore - Tasmania Hobart'!G7),OR('Offshore - Tasmania Hobart'!F7&lt;&gt;0,ISNUMBER(SEARCH("Material 0 terverifikasi",'Offshore - Tasmania Hobart'!N7))),OR('Offshore - Tasmania Hobart'!G7&lt;&gt;0,ISNUMBER(SEARCH("Enrolment 0 terverifikasi",'Offshore - Tasmania Hobart'!N7)))),1,0)</f>
        <v>1</v>
      </c>
      <c r="M1805" s="0" t="n">
        <f aca="false">IF(OR('Offshore - Tasmania Hobart'!E7="",ISNUMBER(SEARCH("BSB80120",'Offshore - Tasmania Hobart'!B7&amp;'Offshore - Tasmania Hobart'!N7)),ISNUMBER(SEARCH("Management (Learning)",'Offshore - Tasmania Hobart'!B7))),2,IF(ISNUMBER(SEARCH("CEK:",'Offshore - Tasmania Hobart'!N7)),1,0))</f>
        <v>0</v>
      </c>
    </row>
    <row r="1806" customFormat="false" ht="15" hidden="false" customHeight="false" outlineLevel="0" collapsed="false">
      <c r="A1806" s="63" t="s">
        <v>3753</v>
      </c>
      <c r="B1806" s="64" t="s">
        <v>3821</v>
      </c>
      <c r="C1806" s="63" t="s">
        <v>42</v>
      </c>
      <c r="D1806" s="64" t="str">
        <f aca="false">TRIM(LEFT('Offshore - Tasmania Hobart'!A21,FIND(CHAR(10),'Offshore - Tasmania Hobart'!A21&amp;CHAR(10))-1))</f>
        <v>University of Tasmania (UTAS)</v>
      </c>
      <c r="E1806" s="63" t="str">
        <f aca="false">'Offshore - Tasmania Hobart'!C66&amp;""</f>
        <v>2 years</v>
      </c>
      <c r="F1806" s="63" t="str">
        <f aca="false">IF('Offshore - Tasmania Hobart'!D66="","Belum tercatat",'Offshore - Tasmania Hobart'!D66)</f>
        <v>Term</v>
      </c>
      <c r="G1806" s="65" t="n">
        <f aca="false">IF('Offshore - Tasmania Hobart'!E66="","-",'Offshore - Tasmania Hobart'!E66)</f>
        <v>9312.5</v>
      </c>
      <c r="H1806" s="63" t="n">
        <f aca="false">IF(ISNUMBER(K1806),COUNTIFS($J$6:$J$1854,J1806,$K$6:$K$1854,"&lt;"&amp;K1806)+1,"-")</f>
        <v>2</v>
      </c>
      <c r="I1806" s="64" t="str">
        <f aca="false">IF('Offshore - Tasmania Hobart'!E66="","Harga belum tersedia - hubungi konsultan TEG",IF(M1806=2,"Saat ini tidak menerima pendaftaran siswa internasional baru",IF(M1806=1,"Harga perlu dikonfirmasi ke sekolah"&amp;IF(""="","","; "&amp;""),"")))</f>
        <v>Harga perlu dikonfirmasi ke sekolah</v>
      </c>
      <c r="J1806" s="0" t="s">
        <v>4575</v>
      </c>
      <c r="K1806" s="0" t="n">
        <f aca="false">IF(M1806=2,"",IF(ISNUMBER(SEARCH("rata-rata:",'Offshore - Tasmania Hobart'!N66)),VALUE(MID('Offshore - Tasmania Hobart'!N66,SEARCH("rata-rata:",'Offshore - Tasmania Hobart'!N66)+11,FIND(";",'Offshore - Tasmania Hobart'!N66&amp;";",SEARCH("rata-rata:",'Offshore - Tasmania Hobart'!N66))-SEARCH("rata-rata:",'Offshore - Tasmania Hobart'!N66)-11)),IF('Offshore - Tasmania Hobart'!D66="Semester",'Offshore - Tasmania Hobart'!E66*2,IF('Offshore - Tasmania Hobart'!D66="Trimester",'Offshore - Tasmania Hobart'!E66*3,IF('Offshore - Tasmania Hobart'!D66="Term",'Offshore - Tasmania Hobart'!E66*4,IF('Offshore - Tasmania Hobart'!D66="Unit",'Offshore - Tasmania Hobart'!E66*8,""))))))</f>
        <v>37250</v>
      </c>
      <c r="L1806" s="0" t="n">
        <f aca="false">IF(AND(ISNUMBER('Offshore - Tasmania Hobart'!E66),ISNUMBER(K1806),ISNUMBER('Offshore - Tasmania Hobart'!F66),ISNUMBER('Offshore - Tasmania Hobart'!G66),OR('Offshore - Tasmania Hobart'!F66&lt;&gt;0,ISNUMBER(SEARCH("Material 0 terverifikasi",'Offshore - Tasmania Hobart'!N66))),OR('Offshore - Tasmania Hobart'!G66&lt;&gt;0,ISNUMBER(SEARCH("Enrolment 0 terverifikasi",'Offshore - Tasmania Hobart'!N66)))),1,0)</f>
        <v>0</v>
      </c>
      <c r="M1806" s="0" t="n">
        <f aca="false">IF(OR('Offshore - Tasmania Hobart'!E66="",ISNUMBER(SEARCH("BSB80120",'Offshore - Tasmania Hobart'!B66&amp;'Offshore - Tasmania Hobart'!N66)),ISNUMBER(SEARCH("Management (Learning)",'Offshore - Tasmania Hobart'!B66))),2,IF(ISNUMBER(SEARCH("CEK:",'Offshore - Tasmania Hobart'!N66)),1,0))</f>
        <v>1</v>
      </c>
    </row>
    <row r="1807" customFormat="false" ht="15" hidden="false" customHeight="false" outlineLevel="0" collapsed="false">
      <c r="A1807" s="61" t="s">
        <v>4576</v>
      </c>
      <c r="B1807" s="62"/>
      <c r="C1807" s="62"/>
      <c r="D1807" s="62"/>
      <c r="E1807" s="62"/>
      <c r="F1807" s="62"/>
      <c r="G1807" s="62"/>
      <c r="H1807" s="62"/>
      <c r="I1807" s="62"/>
    </row>
    <row r="1808" customFormat="false" ht="15" hidden="false" customHeight="false" outlineLevel="0" collapsed="false">
      <c r="A1808" s="63" t="s">
        <v>3753</v>
      </c>
      <c r="B1808" s="64" t="s">
        <v>3821</v>
      </c>
      <c r="C1808" s="63" t="s">
        <v>43</v>
      </c>
      <c r="D1808" s="64" t="str">
        <f aca="false">TRIM(LEFT('Offshore - Tasmania Hobart'!A21,FIND(CHAR(10),'Offshore - Tasmania Hobart'!A21&amp;CHAR(10))-1))</f>
        <v>University of Tasmania (UTAS)</v>
      </c>
      <c r="E1808" s="63" t="str">
        <f aca="false">'Offshore - Tasmania Hobart'!C67&amp;""</f>
        <v>3 years</v>
      </c>
      <c r="F1808" s="63" t="str">
        <f aca="false">IF('Offshore - Tasmania Hobart'!D67="","Belum tercatat",'Offshore - Tasmania Hobart'!D67)</f>
        <v>Term</v>
      </c>
      <c r="G1808" s="65" t="n">
        <f aca="false">IF('Offshore - Tasmania Hobart'!E67="","-",'Offshore - Tasmania Hobart'!E67)</f>
        <v>9312.5</v>
      </c>
      <c r="H1808" s="63" t="n">
        <f aca="false">IF(ISNUMBER(K1808),COUNTIFS($J$6:$J$1854,J1808,$K$6:$K$1854,"&lt;"&amp;K1808)+1,"-")</f>
        <v>1</v>
      </c>
      <c r="I1808" s="64" t="str">
        <f aca="false">IF('Offshore - Tasmania Hobart'!E67="","Harga belum tersedia - hubungi konsultan TEG",IF(M1808=2,"Saat ini tidak menerima pendaftaran siswa internasional baru",IF(M1808=1,"Harga perlu dikonfirmasi ke sekolah"&amp;IF(""="","","; "&amp;""),"")))</f>
        <v>Harga perlu dikonfirmasi ke sekolah</v>
      </c>
      <c r="J1808" s="0" t="s">
        <v>4577</v>
      </c>
      <c r="K1808" s="0" t="n">
        <f aca="false">IF(M1808=2,"",IF(ISNUMBER(SEARCH("rata-rata:",'Offshore - Tasmania Hobart'!N67)),VALUE(MID('Offshore - Tasmania Hobart'!N67,SEARCH("rata-rata:",'Offshore - Tasmania Hobart'!N67)+11,FIND(";",'Offshore - Tasmania Hobart'!N67&amp;";",SEARCH("rata-rata:",'Offshore - Tasmania Hobart'!N67))-SEARCH("rata-rata:",'Offshore - Tasmania Hobart'!N67)-11)),IF('Offshore - Tasmania Hobart'!D67="Semester",'Offshore - Tasmania Hobart'!E67*2,IF('Offshore - Tasmania Hobart'!D67="Trimester",'Offshore - Tasmania Hobart'!E67*3,IF('Offshore - Tasmania Hobart'!D67="Term",'Offshore - Tasmania Hobart'!E67*4,IF('Offshore - Tasmania Hobart'!D67="Unit",'Offshore - Tasmania Hobart'!E67*8,""))))))</f>
        <v>37250</v>
      </c>
      <c r="L1808" s="0" t="n">
        <f aca="false">IF(AND(ISNUMBER('Offshore - Tasmania Hobart'!E67),ISNUMBER(K1808),ISNUMBER('Offshore - Tasmania Hobart'!F67),ISNUMBER('Offshore - Tasmania Hobart'!G67),OR('Offshore - Tasmania Hobart'!F67&lt;&gt;0,ISNUMBER(SEARCH("Material 0 terverifikasi",'Offshore - Tasmania Hobart'!N67))),OR('Offshore - Tasmania Hobart'!G67&lt;&gt;0,ISNUMBER(SEARCH("Enrolment 0 terverifikasi",'Offshore - Tasmania Hobart'!N67)))),1,0)</f>
        <v>0</v>
      </c>
      <c r="M1808" s="0" t="n">
        <f aca="false">IF(OR('Offshore - Tasmania Hobart'!E67="",ISNUMBER(SEARCH("BSB80120",'Offshore - Tasmania Hobart'!B67&amp;'Offshore - Tasmania Hobart'!N67)),ISNUMBER(SEARCH("Management (Learning)",'Offshore - Tasmania Hobart'!B67))),2,IF(ISNUMBER(SEARCH("CEK:",'Offshore - Tasmania Hobart'!N67)),1,0))</f>
        <v>1</v>
      </c>
    </row>
    <row r="1809" customFormat="false" ht="15" hidden="false" customHeight="false" outlineLevel="0" collapsed="false">
      <c r="A1809" s="61" t="s">
        <v>4578</v>
      </c>
      <c r="B1809" s="62"/>
      <c r="C1809" s="62"/>
      <c r="D1809" s="62"/>
      <c r="E1809" s="62"/>
      <c r="F1809" s="62"/>
      <c r="G1809" s="62"/>
      <c r="H1809" s="62"/>
      <c r="I1809" s="62"/>
    </row>
    <row r="1810" customFormat="false" ht="15" hidden="false" customHeight="false" outlineLevel="0" collapsed="false">
      <c r="A1810" s="63" t="s">
        <v>3753</v>
      </c>
      <c r="B1810" s="64" t="s">
        <v>3821</v>
      </c>
      <c r="C1810" s="63" t="s">
        <v>3707</v>
      </c>
      <c r="D1810" s="64" t="str">
        <f aca="false">TRIM(LEFT('Offshore - Tasmania Hobart'!A21,FIND(CHAR(10),'Offshore - Tasmania Hobart'!A21&amp;CHAR(10))-1))</f>
        <v>University of Tasmania (UTAS)</v>
      </c>
      <c r="E1810" s="63" t="str">
        <f aca="false">'Offshore - Tasmania Hobart'!C101&amp;""</f>
        <v>1 year</v>
      </c>
      <c r="F1810" s="63" t="str">
        <f aca="false">IF('Offshore - Tasmania Hobart'!D101="","Belum tercatat",'Offshore - Tasmania Hobart'!D101)</f>
        <v>Term</v>
      </c>
      <c r="G1810" s="65" t="n">
        <f aca="false">IF('Offshore - Tasmania Hobart'!E101="","-",'Offshore - Tasmania Hobart'!E101)</f>
        <v>4737.5</v>
      </c>
      <c r="H1810" s="63" t="n">
        <f aca="false">IF(ISNUMBER(K1810),COUNTIFS($J$6:$J$1854,J1810,$K$6:$K$1854,"&lt;"&amp;K1810)+1,"-")</f>
        <v>1</v>
      </c>
      <c r="I1810" s="64" t="str">
        <f aca="false">IF('Offshore - Tasmania Hobart'!E101="","Harga belum tersedia - hubungi konsultan TEG",IF(M1810=2,"Saat ini tidak menerima pendaftaran siswa internasional baru",IF(M1810=1,"Harga perlu dikonfirmasi ke sekolah"&amp;IF(""="","","; "&amp;""),"")))</f>
        <v>Harga perlu dikonfirmasi ke sekolah</v>
      </c>
      <c r="J1810" s="0" t="s">
        <v>4579</v>
      </c>
      <c r="K1810" s="0" t="n">
        <f aca="false">IF(M1810=2,"",IF(ISNUMBER(SEARCH("rata-rata:",'Offshore - Tasmania Hobart'!N101)),VALUE(MID('Offshore - Tasmania Hobart'!N101,SEARCH("rata-rata:",'Offshore - Tasmania Hobart'!N101)+11,FIND(";",'Offshore - Tasmania Hobart'!N101&amp;";",SEARCH("rata-rata:",'Offshore - Tasmania Hobart'!N101))-SEARCH("rata-rata:",'Offshore - Tasmania Hobart'!N101)-11)),IF('Offshore - Tasmania Hobart'!D101="Semester",'Offshore - Tasmania Hobart'!E101*2,IF('Offshore - Tasmania Hobart'!D101="Trimester",'Offshore - Tasmania Hobart'!E101*3,IF('Offshore - Tasmania Hobart'!D101="Term",'Offshore - Tasmania Hobart'!E101*4,IF('Offshore - Tasmania Hobart'!D101="Unit",'Offshore - Tasmania Hobart'!E101*8,""))))))</f>
        <v>18950</v>
      </c>
      <c r="L1810" s="0" t="n">
        <f aca="false">IF(AND(ISNUMBER('Offshore - Tasmania Hobart'!E101),ISNUMBER(K1810),ISNUMBER('Offshore - Tasmania Hobart'!F101),ISNUMBER('Offshore - Tasmania Hobart'!G101),OR('Offshore - Tasmania Hobart'!F101&lt;&gt;0,ISNUMBER(SEARCH("Material 0 terverifikasi",'Offshore - Tasmania Hobart'!N101))),OR('Offshore - Tasmania Hobart'!G101&lt;&gt;0,ISNUMBER(SEARCH("Enrolment 0 terverifikasi",'Offshore - Tasmania Hobart'!N101)))),1,0)</f>
        <v>0</v>
      </c>
      <c r="M1810" s="0" t="n">
        <f aca="false">IF(OR('Offshore - Tasmania Hobart'!E101="",ISNUMBER(SEARCH("BSB80120",'Offshore - Tasmania Hobart'!B101&amp;'Offshore - Tasmania Hobart'!N101)),ISNUMBER(SEARCH("Management (Learning)",'Offshore - Tasmania Hobart'!B101))),2,IF(ISNUMBER(SEARCH("CEK:",'Offshore - Tasmania Hobart'!N101)),1,0))</f>
        <v>1</v>
      </c>
    </row>
    <row r="1811" customFormat="false" ht="15" hidden="false" customHeight="false" outlineLevel="0" collapsed="false">
      <c r="A1811" s="61" t="s">
        <v>4580</v>
      </c>
      <c r="B1811" s="62"/>
      <c r="C1811" s="62"/>
      <c r="D1811" s="62"/>
      <c r="E1811" s="62"/>
      <c r="F1811" s="62"/>
      <c r="G1811" s="62"/>
      <c r="H1811" s="62"/>
      <c r="I1811" s="62"/>
    </row>
    <row r="1812" customFormat="false" ht="15" hidden="false" customHeight="false" outlineLevel="0" collapsed="false">
      <c r="A1812" s="63" t="s">
        <v>3753</v>
      </c>
      <c r="B1812" s="64" t="s">
        <v>3821</v>
      </c>
      <c r="C1812" s="63" t="s">
        <v>46</v>
      </c>
      <c r="D1812" s="64" t="str">
        <f aca="false">TRIM(LEFT('Offshore - Tasmania Hobart'!A21,FIND(CHAR(10),'Offshore - Tasmania Hobart'!A21&amp;CHAR(10))-1))</f>
        <v>University of Tasmania (UTAS)</v>
      </c>
      <c r="E1812" s="63" t="str">
        <f aca="false">'Offshore - Tasmania Hobart'!C98&amp;""</f>
        <v>3 years</v>
      </c>
      <c r="F1812" s="63" t="str">
        <f aca="false">IF('Offshore - Tasmania Hobart'!D98="","Belum tercatat",'Offshore - Tasmania Hobart'!D98)</f>
        <v>Term</v>
      </c>
      <c r="G1812" s="65" t="n">
        <f aca="false">IF('Offshore - Tasmania Hobart'!E98="","-",'Offshore - Tasmania Hobart'!E98)</f>
        <v>4737.5</v>
      </c>
      <c r="H1812" s="63" t="n">
        <f aca="false">IF(ISNUMBER(K1812),COUNTIFS($J$6:$J$1854,J1812,$K$6:$K$1854,"&lt;"&amp;K1812)+1,"-")</f>
        <v>1</v>
      </c>
      <c r="I1812" s="64" t="str">
        <f aca="false">IF('Offshore - Tasmania Hobart'!E98="","Harga belum tersedia - hubungi konsultan TEG",IF(M1812=2,"Saat ini tidak menerima pendaftaran siswa internasional baru",IF(M1812=1,"Harga perlu dikonfirmasi ke sekolah"&amp;IF(""="","","; "&amp;""),"")))</f>
        <v>Harga perlu dikonfirmasi ke sekolah</v>
      </c>
      <c r="J1812" s="0" t="s">
        <v>4581</v>
      </c>
      <c r="K1812" s="0" t="n">
        <f aca="false">IF(M1812=2,"",IF(ISNUMBER(SEARCH("rata-rata:",'Offshore - Tasmania Hobart'!N98)),VALUE(MID('Offshore - Tasmania Hobart'!N98,SEARCH("rata-rata:",'Offshore - Tasmania Hobart'!N98)+11,FIND(";",'Offshore - Tasmania Hobart'!N98&amp;";",SEARCH("rata-rata:",'Offshore - Tasmania Hobart'!N98))-SEARCH("rata-rata:",'Offshore - Tasmania Hobart'!N98)-11)),IF('Offshore - Tasmania Hobart'!D98="Semester",'Offshore - Tasmania Hobart'!E98*2,IF('Offshore - Tasmania Hobart'!D98="Trimester",'Offshore - Tasmania Hobart'!E98*3,IF('Offshore - Tasmania Hobart'!D98="Term",'Offshore - Tasmania Hobart'!E98*4,IF('Offshore - Tasmania Hobart'!D98="Unit",'Offshore - Tasmania Hobart'!E98*8,""))))))</f>
        <v>18950</v>
      </c>
      <c r="L1812" s="0" t="n">
        <f aca="false">IF(AND(ISNUMBER('Offshore - Tasmania Hobart'!E98),ISNUMBER(K1812),ISNUMBER('Offshore - Tasmania Hobart'!F98),ISNUMBER('Offshore - Tasmania Hobart'!G98),OR('Offshore - Tasmania Hobart'!F98&lt;&gt;0,ISNUMBER(SEARCH("Material 0 terverifikasi",'Offshore - Tasmania Hobart'!N98))),OR('Offshore - Tasmania Hobart'!G98&lt;&gt;0,ISNUMBER(SEARCH("Enrolment 0 terverifikasi",'Offshore - Tasmania Hobart'!N98)))),1,0)</f>
        <v>0</v>
      </c>
      <c r="M1812" s="0" t="n">
        <f aca="false">IF(OR('Offshore - Tasmania Hobart'!E98="",ISNUMBER(SEARCH("BSB80120",'Offshore - Tasmania Hobart'!B98&amp;'Offshore - Tasmania Hobart'!N98)),ISNUMBER(SEARCH("Management (Learning)",'Offshore - Tasmania Hobart'!B98))),2,IF(ISNUMBER(SEARCH("CEK:",'Offshore - Tasmania Hobart'!N98)),1,0))</f>
        <v>1</v>
      </c>
    </row>
    <row r="1813" customFormat="false" ht="15" hidden="false" customHeight="false" outlineLevel="0" collapsed="false">
      <c r="A1813" s="61" t="s">
        <v>4582</v>
      </c>
      <c r="B1813" s="62"/>
      <c r="C1813" s="62"/>
      <c r="D1813" s="62"/>
      <c r="E1813" s="62"/>
      <c r="F1813" s="62"/>
      <c r="G1813" s="62"/>
      <c r="H1813" s="62"/>
      <c r="I1813" s="62"/>
    </row>
    <row r="1814" customFormat="false" ht="15" hidden="false" customHeight="false" outlineLevel="0" collapsed="false">
      <c r="A1814" s="63" t="s">
        <v>3659</v>
      </c>
      <c r="B1814" s="64" t="s">
        <v>4583</v>
      </c>
      <c r="C1814" s="63" t="s">
        <v>39</v>
      </c>
      <c r="D1814" s="64" t="str">
        <f aca="false">TRIM(LEFT('Offshore - Adelaide'!A484,FIND(CHAR(10),'Offshore - Adelaide'!A484&amp;CHAR(10))-1))</f>
        <v>TAFE SA</v>
      </c>
      <c r="E1814" s="63" t="str">
        <f aca="false">'Offshore - Adelaide'!C539&amp;""</f>
        <v>1 year</v>
      </c>
      <c r="F1814" s="63" t="str">
        <f aca="false">IF('Offshore - Adelaide'!D539="","Belum tercatat",'Offshore - Adelaide'!D539)</f>
        <v>Semester</v>
      </c>
      <c r="G1814" s="65" t="n">
        <f aca="false">IF('Offshore - Adelaide'!E539="","-",'Offshore - Adelaide'!E539)</f>
        <v>6243</v>
      </c>
      <c r="H1814" s="63" t="n">
        <f aca="false">IF(ISNUMBER(K1814),COUNTIFS($J$6:$J$1854,J1814,$K$6:$K$1854,"&lt;"&amp;K1814)+1,"-")</f>
        <v>1</v>
      </c>
      <c r="I1814" s="64" t="str">
        <f aca="false">IF('Offshore - Adelaide'!E539="","Harga belum tersedia - hubungi konsultan TEG",IF(M1814=2,"Saat ini tidak menerima pendaftaran siswa internasional baru",IF(M1814=1,"Harga perlu dikonfirmasi ke sekolah"&amp;IF(""="","","; "&amp;""),"")))</f>
        <v/>
      </c>
      <c r="J1814" s="0" t="s">
        <v>4584</v>
      </c>
      <c r="K1814" s="0" t="n">
        <f aca="false">IF(M1814=2,"",IF(ISNUMBER(SEARCH("rata-rata:",'Offshore - Adelaide'!N539)),VALUE(MID('Offshore - Adelaide'!N539,SEARCH("rata-rata:",'Offshore - Adelaide'!N539)+11,FIND(";",'Offshore - Adelaide'!N539&amp;";",SEARCH("rata-rata:",'Offshore - Adelaide'!N539))-SEARCH("rata-rata:",'Offshore - Adelaide'!N539)-11)),IF('Offshore - Adelaide'!D539="Semester",'Offshore - Adelaide'!E539*2,IF('Offshore - Adelaide'!D539="Trimester",'Offshore - Adelaide'!E539*3,IF('Offshore - Adelaide'!D539="Term",'Offshore - Adelaide'!E539*4,IF('Offshore - Adelaide'!D539="Unit",'Offshore - Adelaide'!E539*8,""))))))</f>
        <v>12486</v>
      </c>
      <c r="L1814" s="0" t="n">
        <f aca="false">IF(AND(ISNUMBER('Offshore - Adelaide'!E539),ISNUMBER(K1814),ISNUMBER('Offshore - Adelaide'!F539),ISNUMBER('Offshore - Adelaide'!G539),OR('Offshore - Adelaide'!F539&lt;&gt;0,ISNUMBER(SEARCH("Material 0 terverifikasi",'Offshore - Adelaide'!N539))),OR('Offshore - Adelaide'!G539&lt;&gt;0,ISNUMBER(SEARCH("Enrolment 0 terverifikasi",'Offshore - Adelaide'!N539)))),1,0)</f>
        <v>0</v>
      </c>
      <c r="M1814" s="0" t="n">
        <f aca="false">IF(OR('Offshore - Adelaide'!E539="",ISNUMBER(SEARCH("BSB80120",'Offshore - Adelaide'!B539&amp;'Offshore - Adelaide'!N539)),ISNUMBER(SEARCH("Management (Learning)",'Offshore - Adelaide'!B539))),2,IF(ISNUMBER(SEARCH("CEK:",'Offshore - Adelaide'!N539)),1,0))</f>
        <v>0</v>
      </c>
    </row>
    <row r="1815" customFormat="false" ht="15" hidden="false" customHeight="false" outlineLevel="0" collapsed="false">
      <c r="A1815" s="61" t="s">
        <v>4585</v>
      </c>
      <c r="B1815" s="62"/>
      <c r="C1815" s="62"/>
      <c r="D1815" s="62"/>
      <c r="E1815" s="62"/>
      <c r="F1815" s="62"/>
      <c r="G1815" s="62"/>
      <c r="H1815" s="62"/>
      <c r="I1815" s="62"/>
    </row>
    <row r="1816" customFormat="false" ht="15" hidden="false" customHeight="false" outlineLevel="0" collapsed="false">
      <c r="A1816" s="63" t="s">
        <v>3659</v>
      </c>
      <c r="B1816" s="64" t="s">
        <v>4583</v>
      </c>
      <c r="C1816" s="63" t="s">
        <v>41</v>
      </c>
      <c r="D1816" s="64" t="str">
        <f aca="false">TRIM(LEFT('Offshore - Adelaide'!A484,FIND(CHAR(10),'Offshore - Adelaide'!A484&amp;CHAR(10))-1))</f>
        <v>TAFE SA</v>
      </c>
      <c r="E1816" s="63" t="str">
        <f aca="false">'Offshore - Adelaide'!C517&amp;""</f>
        <v>1 year</v>
      </c>
      <c r="F1816" s="63" t="str">
        <f aca="false">IF('Offshore - Adelaide'!D517="","Belum tercatat",'Offshore - Adelaide'!D517)</f>
        <v>Semester</v>
      </c>
      <c r="G1816" s="65" t="n">
        <f aca="false">IF('Offshore - Adelaide'!E517="","-",'Offshore - Adelaide'!E517)</f>
        <v>8127</v>
      </c>
      <c r="H1816" s="63" t="n">
        <f aca="false">IF(ISNUMBER(K1816),COUNTIFS($J$6:$J$1854,J1816,$K$6:$K$1854,"&lt;"&amp;K1816)+1,"-")</f>
        <v>1</v>
      </c>
      <c r="I1816" s="64" t="str">
        <f aca="false">IF('Offshore - Adelaide'!E517="","Harga belum tersedia - hubungi konsultan TEG",IF(M1816=2,"Saat ini tidak menerima pendaftaran siswa internasional baru",IF(M1816=1,"Harga perlu dikonfirmasi ke sekolah"&amp;IF(""="","","; "&amp;""),"")))</f>
        <v/>
      </c>
      <c r="J1816" s="0" t="s">
        <v>4586</v>
      </c>
      <c r="K1816" s="0" t="n">
        <f aca="false">IF(M1816=2,"",IF(ISNUMBER(SEARCH("rata-rata:",'Offshore - Adelaide'!N517)),VALUE(MID('Offshore - Adelaide'!N517,SEARCH("rata-rata:",'Offshore - Adelaide'!N517)+11,FIND(";",'Offshore - Adelaide'!N517&amp;";",SEARCH("rata-rata:",'Offshore - Adelaide'!N517))-SEARCH("rata-rata:",'Offshore - Adelaide'!N517)-11)),IF('Offshore - Adelaide'!D517="Semester",'Offshore - Adelaide'!E517*2,IF('Offshore - Adelaide'!D517="Trimester",'Offshore - Adelaide'!E517*3,IF('Offshore - Adelaide'!D517="Term",'Offshore - Adelaide'!E517*4,IF('Offshore - Adelaide'!D517="Unit",'Offshore - Adelaide'!E517*8,""))))))</f>
        <v>16254</v>
      </c>
      <c r="L1816" s="0" t="n">
        <f aca="false">IF(AND(ISNUMBER('Offshore - Adelaide'!E517),ISNUMBER(K1816),ISNUMBER('Offshore - Adelaide'!F517),ISNUMBER('Offshore - Adelaide'!G517),OR('Offshore - Adelaide'!F517&lt;&gt;0,ISNUMBER(SEARCH("Material 0 terverifikasi",'Offshore - Adelaide'!N517))),OR('Offshore - Adelaide'!G517&lt;&gt;0,ISNUMBER(SEARCH("Enrolment 0 terverifikasi",'Offshore - Adelaide'!N517)))),1,0)</f>
        <v>0</v>
      </c>
      <c r="M1816" s="0" t="n">
        <f aca="false">IF(OR('Offshore - Adelaide'!E517="",ISNUMBER(SEARCH("BSB80120",'Offshore - Adelaide'!B517&amp;'Offshore - Adelaide'!N517)),ISNUMBER(SEARCH("Management (Learning)",'Offshore - Adelaide'!B517))),2,IF(ISNUMBER(SEARCH("CEK:",'Offshore - Adelaide'!N517)),1,0))</f>
        <v>0</v>
      </c>
    </row>
    <row r="1817" customFormat="false" ht="15" hidden="false" customHeight="false" outlineLevel="0" collapsed="false">
      <c r="A1817" s="61" t="s">
        <v>4587</v>
      </c>
      <c r="B1817" s="62"/>
      <c r="C1817" s="62"/>
      <c r="D1817" s="62"/>
      <c r="E1817" s="62"/>
      <c r="F1817" s="62"/>
      <c r="G1817" s="62"/>
      <c r="H1817" s="62"/>
      <c r="I1817" s="62"/>
    </row>
    <row r="1818" customFormat="false" ht="15" hidden="false" customHeight="false" outlineLevel="0" collapsed="false">
      <c r="A1818" s="63" t="s">
        <v>3659</v>
      </c>
      <c r="B1818" s="64" t="s">
        <v>4583</v>
      </c>
      <c r="C1818" s="63" t="s">
        <v>43</v>
      </c>
      <c r="D1818" s="64" t="str">
        <f aca="false">TRIM(LEFT('Offshore - Adelaide'!A13,FIND(CHAR(10),'Offshore - Adelaide'!A13&amp;CHAR(10))-1))</f>
        <v>Adelaide University</v>
      </c>
      <c r="E1818" s="63" t="str">
        <f aca="false">'Offshore - Adelaide'!C184&amp;""</f>
        <v>3 years</v>
      </c>
      <c r="F1818" s="63" t="str">
        <f aca="false">IF('Offshore - Adelaide'!D184="","Belum tercatat",'Offshore - Adelaide'!D184)</f>
        <v>Term</v>
      </c>
      <c r="G1818" s="65" t="n">
        <f aca="false">IF('Offshore - Adelaide'!E184="","-",'Offshore - Adelaide'!E184)</f>
        <v>13725</v>
      </c>
      <c r="H1818" s="63" t="n">
        <f aca="false">IF(ISNUMBER(K1818),COUNTIFS($J$6:$J$1854,J1818,$K$6:$K$1854,"&lt;"&amp;K1818)+1,"-")</f>
        <v>1</v>
      </c>
      <c r="I1818" s="64" t="str">
        <f aca="false">IF('Offshore - Adelaide'!E184="","Harga belum tersedia - hubungi konsultan TEG",IF(M1818=2,"Saat ini tidak menerima pendaftaran siswa internasional baru",IF(M1818=1,"Harga perlu dikonfirmasi ke sekolah"&amp;IF(""="","","; "&amp;""),"")))</f>
        <v/>
      </c>
      <c r="J1818" s="0" t="s">
        <v>4588</v>
      </c>
      <c r="K1818" s="0" t="n">
        <f aca="false">IF(M1818=2,"",IF(ISNUMBER(SEARCH("rata-rata:",'Offshore - Adelaide'!N184)),VALUE(MID('Offshore - Adelaide'!N184,SEARCH("rata-rata:",'Offshore - Adelaide'!N184)+11,FIND(";",'Offshore - Adelaide'!N184&amp;";",SEARCH("rata-rata:",'Offshore - Adelaide'!N184))-SEARCH("rata-rata:",'Offshore - Adelaide'!N184)-11)),IF('Offshore - Adelaide'!D184="Semester",'Offshore - Adelaide'!E184*2,IF('Offshore - Adelaide'!D184="Trimester",'Offshore - Adelaide'!E184*3,IF('Offshore - Adelaide'!D184="Term",'Offshore - Adelaide'!E184*4,IF('Offshore - Adelaide'!D184="Unit",'Offshore - Adelaide'!E184*8,""))))))</f>
        <v>54900</v>
      </c>
      <c r="L1818" s="0" t="n">
        <f aca="false">IF(AND(ISNUMBER('Offshore - Adelaide'!E184),ISNUMBER(K1818),ISNUMBER('Offshore - Adelaide'!F184),ISNUMBER('Offshore - Adelaide'!G184),OR('Offshore - Adelaide'!F184&lt;&gt;0,ISNUMBER(SEARCH("Material 0 terverifikasi",'Offshore - Adelaide'!N184))),OR('Offshore - Adelaide'!G184&lt;&gt;0,ISNUMBER(SEARCH("Enrolment 0 terverifikasi",'Offshore - Adelaide'!N184)))),1,0)</f>
        <v>0</v>
      </c>
      <c r="M1818" s="0" t="n">
        <f aca="false">IF(OR('Offshore - Adelaide'!E184="",ISNUMBER(SEARCH("BSB80120",'Offshore - Adelaide'!B184&amp;'Offshore - Adelaide'!N184)),ISNUMBER(SEARCH("Management (Learning)",'Offshore - Adelaide'!B184))),2,IF(ISNUMBER(SEARCH("CEK:",'Offshore - Adelaide'!N184)),1,0))</f>
        <v>0</v>
      </c>
    </row>
    <row r="1819" customFormat="false" ht="15" hidden="false" customHeight="false" outlineLevel="0" collapsed="false">
      <c r="A1819" s="61" t="s">
        <v>4589</v>
      </c>
      <c r="B1819" s="62"/>
      <c r="C1819" s="62"/>
      <c r="D1819" s="62"/>
      <c r="E1819" s="62"/>
      <c r="F1819" s="62"/>
      <c r="G1819" s="62"/>
      <c r="H1819" s="62"/>
      <c r="I1819" s="62"/>
    </row>
    <row r="1820" customFormat="false" ht="15" hidden="false" customHeight="false" outlineLevel="0" collapsed="false">
      <c r="A1820" s="63" t="s">
        <v>3659</v>
      </c>
      <c r="B1820" s="64" t="s">
        <v>4583</v>
      </c>
      <c r="C1820" s="63" t="s">
        <v>46</v>
      </c>
      <c r="D1820" s="64" t="str">
        <f aca="false">TRIM(LEFT('Offshore - Adelaide'!A13,FIND(CHAR(10),'Offshore - Adelaide'!A13&amp;CHAR(10))-1))</f>
        <v>Adelaide University</v>
      </c>
      <c r="E1820" s="63" t="str">
        <f aca="false">'Offshore - Adelaide'!C364&amp;""</f>
        <v>2 years</v>
      </c>
      <c r="F1820" s="63" t="str">
        <f aca="false">IF('Offshore - Adelaide'!D364="","Belum tercatat",'Offshore - Adelaide'!D364)</f>
        <v>Term</v>
      </c>
      <c r="G1820" s="65" t="n">
        <f aca="false">IF('Offshore - Adelaide'!E364="","-",'Offshore - Adelaide'!E364)</f>
        <v>14150</v>
      </c>
      <c r="H1820" s="63" t="n">
        <f aca="false">IF(ISNUMBER(K1820),COUNTIFS($J$6:$J$1854,J1820,$K$6:$K$1854,"&lt;"&amp;K1820)+1,"-")</f>
        <v>1</v>
      </c>
      <c r="I1820" s="64" t="str">
        <f aca="false">IF('Offshore - Adelaide'!E364="","Harga belum tersedia - hubungi konsultan TEG",IF(M1820=2,"Saat ini tidak menerima pendaftaran siswa internasional baru",IF(M1820=1,"Harga perlu dikonfirmasi ke sekolah"&amp;IF(""="","","; "&amp;""),"")))</f>
        <v/>
      </c>
      <c r="J1820" s="0" t="s">
        <v>4590</v>
      </c>
      <c r="K1820" s="0" t="n">
        <f aca="false">IF(M1820=2,"",IF(ISNUMBER(SEARCH("rata-rata:",'Offshore - Adelaide'!N364)),VALUE(MID('Offshore - Adelaide'!N364,SEARCH("rata-rata:",'Offshore - Adelaide'!N364)+11,FIND(";",'Offshore - Adelaide'!N364&amp;";",SEARCH("rata-rata:",'Offshore - Adelaide'!N364))-SEARCH("rata-rata:",'Offshore - Adelaide'!N364)-11)),IF('Offshore - Adelaide'!D364="Semester",'Offshore - Adelaide'!E364*2,IF('Offshore - Adelaide'!D364="Trimester",'Offshore - Adelaide'!E364*3,IF('Offshore - Adelaide'!D364="Term",'Offshore - Adelaide'!E364*4,IF('Offshore - Adelaide'!D364="Unit",'Offshore - Adelaide'!E364*8,""))))))</f>
        <v>56600</v>
      </c>
      <c r="L1820" s="0" t="n">
        <f aca="false">IF(AND(ISNUMBER('Offshore - Adelaide'!E364),ISNUMBER(K1820),ISNUMBER('Offshore - Adelaide'!F364),ISNUMBER('Offshore - Adelaide'!G364),OR('Offshore - Adelaide'!F364&lt;&gt;0,ISNUMBER(SEARCH("Material 0 terverifikasi",'Offshore - Adelaide'!N364))),OR('Offshore - Adelaide'!G364&lt;&gt;0,ISNUMBER(SEARCH("Enrolment 0 terverifikasi",'Offshore - Adelaide'!N364)))),1,0)</f>
        <v>0</v>
      </c>
      <c r="M1820" s="0" t="n">
        <f aca="false">IF(OR('Offshore - Adelaide'!E364="",ISNUMBER(SEARCH("BSB80120",'Offshore - Adelaide'!B364&amp;'Offshore - Adelaide'!N364)),ISNUMBER(SEARCH("Management (Learning)",'Offshore - Adelaide'!B364))),2,IF(ISNUMBER(SEARCH("CEK:",'Offshore - Adelaide'!N364)),1,0))</f>
        <v>0</v>
      </c>
    </row>
    <row r="1821" customFormat="false" ht="15" hidden="false" customHeight="false" outlineLevel="0" collapsed="false">
      <c r="A1821" s="61" t="s">
        <v>4591</v>
      </c>
      <c r="B1821" s="62"/>
      <c r="C1821" s="62"/>
      <c r="D1821" s="62"/>
      <c r="E1821" s="62"/>
      <c r="F1821" s="62"/>
      <c r="G1821" s="62"/>
      <c r="H1821" s="62"/>
      <c r="I1821" s="62"/>
    </row>
    <row r="1822" customFormat="false" ht="15" hidden="false" customHeight="false" outlineLevel="0" collapsed="false">
      <c r="A1822" s="63" t="s">
        <v>3563</v>
      </c>
      <c r="B1822" s="64" t="s">
        <v>4583</v>
      </c>
      <c r="C1822" s="63" t="s">
        <v>43</v>
      </c>
      <c r="D1822" s="64" t="str">
        <f aca="false">TRIM(LEFT('Offshore - Brisbane'!A53,FIND(CHAR(10),'Offshore - Brisbane'!A53&amp;CHAR(10))-1))</f>
        <v>Australian Catholic University (ACU)</v>
      </c>
      <c r="E1822" s="63" t="str">
        <f aca="false">'Offshore - Brisbane'!C123&amp;""</f>
        <v>4 years</v>
      </c>
      <c r="F1822" s="63" t="str">
        <f aca="false">IF('Offshore - Brisbane'!D123="","Belum tercatat",'Offshore - Brisbane'!D123)</f>
        <v>Term</v>
      </c>
      <c r="G1822" s="65" t="n">
        <f aca="false">IF('Offshore - Brisbane'!E123="","-",'Offshore - Brisbane'!E123)</f>
        <v>8098</v>
      </c>
      <c r="H1822" s="63" t="n">
        <f aca="false">IF(ISNUMBER(K1822),COUNTIFS($J$6:$J$1854,J1822,$K$6:$K$1854,"&lt;"&amp;K1822)+1,"-")</f>
        <v>1</v>
      </c>
      <c r="I1822" s="64" t="str">
        <f aca="false">IF('Offshore - Brisbane'!E123="","Harga belum tersedia - hubungi konsultan TEG",IF(M1822=2,"Saat ini tidak menerima pendaftaran siswa internasional baru",IF(M1822=1,"Harga perlu dikonfirmasi ke sekolah"&amp;IF(""="","","; "&amp;""),"")))</f>
        <v/>
      </c>
      <c r="J1822" s="0" t="s">
        <v>4592</v>
      </c>
      <c r="K1822" s="0" t="n">
        <f aca="false">IF(M1822=2,"",IF(ISNUMBER(SEARCH("rata-rata:",'Offshore - Brisbane'!N123)),VALUE(MID('Offshore - Brisbane'!N123,SEARCH("rata-rata:",'Offshore - Brisbane'!N123)+11,FIND(";",'Offshore - Brisbane'!N123&amp;";",SEARCH("rata-rata:",'Offshore - Brisbane'!N123))-SEARCH("rata-rata:",'Offshore - Brisbane'!N123)-11)),IF('Offshore - Brisbane'!D123="Semester",'Offshore - Brisbane'!E123*2,IF('Offshore - Brisbane'!D123="Trimester",'Offshore - Brisbane'!E123*3,IF('Offshore - Brisbane'!D123="Term",'Offshore - Brisbane'!E123*4,IF('Offshore - Brisbane'!D123="Unit",'Offshore - Brisbane'!E123*8,""))))))</f>
        <v>32392</v>
      </c>
      <c r="L1822" s="0" t="n">
        <f aca="false">IF(AND(ISNUMBER('Offshore - Brisbane'!E123),ISNUMBER(K1822),ISNUMBER('Offshore - Brisbane'!F123),ISNUMBER('Offshore - Brisbane'!G123),OR('Offshore - Brisbane'!F123&lt;&gt;0,ISNUMBER(SEARCH("Material 0 terverifikasi",'Offshore - Brisbane'!N123))),OR('Offshore - Brisbane'!G123&lt;&gt;0,ISNUMBER(SEARCH("Enrolment 0 terverifikasi",'Offshore - Brisbane'!N123)))),1,0)</f>
        <v>0</v>
      </c>
      <c r="M1822" s="0" t="n">
        <f aca="false">IF(OR('Offshore - Brisbane'!E123="",ISNUMBER(SEARCH("BSB80120",'Offshore - Brisbane'!B123&amp;'Offshore - Brisbane'!N123)),ISNUMBER(SEARCH("Management (Learning)",'Offshore - Brisbane'!B123))),2,IF(ISNUMBER(SEARCH("CEK:",'Offshore - Brisbane'!N123)),1,0))</f>
        <v>0</v>
      </c>
    </row>
    <row r="1823" customFormat="false" ht="15" hidden="false" customHeight="false" outlineLevel="0" collapsed="false">
      <c r="A1823" s="61" t="s">
        <v>4593</v>
      </c>
      <c r="B1823" s="62"/>
      <c r="C1823" s="62"/>
      <c r="D1823" s="62"/>
      <c r="E1823" s="62"/>
      <c r="F1823" s="62"/>
      <c r="G1823" s="62"/>
      <c r="H1823" s="62"/>
      <c r="I1823" s="62"/>
    </row>
    <row r="1824" customFormat="false" ht="15" hidden="false" customHeight="false" outlineLevel="0" collapsed="false">
      <c r="A1824" s="63" t="s">
        <v>3718</v>
      </c>
      <c r="B1824" s="64" t="s">
        <v>4583</v>
      </c>
      <c r="C1824" s="63" t="s">
        <v>43</v>
      </c>
      <c r="D1824" s="64" t="str">
        <f aca="false">TRIM(LEFT('Offshore - Canberra'!A6,FIND(CHAR(10),'Offshore - Canberra'!A6&amp;CHAR(10))-1))</f>
        <v>Australian Catholic University (ACU)</v>
      </c>
      <c r="E1824" s="63" t="str">
        <f aca="false">'Offshore - Canberra'!C76&amp;""</f>
        <v>4 years</v>
      </c>
      <c r="F1824" s="63" t="str">
        <f aca="false">IF('Offshore - Canberra'!D76="","Belum tercatat",'Offshore - Canberra'!D76)</f>
        <v>Term</v>
      </c>
      <c r="G1824" s="65" t="n">
        <f aca="false">IF('Offshore - Canberra'!E76="","-",'Offshore - Canberra'!E76)</f>
        <v>8098</v>
      </c>
      <c r="H1824" s="63" t="n">
        <f aca="false">IF(ISNUMBER(K1824),COUNTIFS($J$6:$J$1854,J1824,$K$6:$K$1854,"&lt;"&amp;K1824)+1,"-")</f>
        <v>1</v>
      </c>
      <c r="I1824" s="64" t="str">
        <f aca="false">IF('Offshore - Canberra'!E76="","Harga belum tersedia - hubungi konsultan TEG",IF(M1824=2,"Saat ini tidak menerima pendaftaran siswa internasional baru",IF(M1824=1,"Harga perlu dikonfirmasi ke sekolah"&amp;IF(""="","","; "&amp;""),"")))</f>
        <v/>
      </c>
      <c r="J1824" s="0" t="s">
        <v>4594</v>
      </c>
      <c r="K1824" s="0" t="n">
        <f aca="false">IF(M1824=2,"",IF(ISNUMBER(SEARCH("rata-rata:",'Offshore - Canberra'!N76)),VALUE(MID('Offshore - Canberra'!N76,SEARCH("rata-rata:",'Offshore - Canberra'!N76)+11,FIND(";",'Offshore - Canberra'!N76&amp;";",SEARCH("rata-rata:",'Offshore - Canberra'!N76))-SEARCH("rata-rata:",'Offshore - Canberra'!N76)-11)),IF('Offshore - Canberra'!D76="Semester",'Offshore - Canberra'!E76*2,IF('Offshore - Canberra'!D76="Trimester",'Offshore - Canberra'!E76*3,IF('Offshore - Canberra'!D76="Term",'Offshore - Canberra'!E76*4,IF('Offshore - Canberra'!D76="Unit",'Offshore - Canberra'!E76*8,""))))))</f>
        <v>32392</v>
      </c>
      <c r="L1824" s="0" t="n">
        <f aca="false">IF(AND(ISNUMBER('Offshore - Canberra'!E76),ISNUMBER(K1824),ISNUMBER('Offshore - Canberra'!F76),ISNUMBER('Offshore - Canberra'!G76),OR('Offshore - Canberra'!F76&lt;&gt;0,ISNUMBER(SEARCH("Material 0 terverifikasi",'Offshore - Canberra'!N76))),OR('Offshore - Canberra'!G76&lt;&gt;0,ISNUMBER(SEARCH("Enrolment 0 terverifikasi",'Offshore - Canberra'!N76)))),1,0)</f>
        <v>0</v>
      </c>
      <c r="M1824" s="0" t="n">
        <f aca="false">IF(OR('Offshore - Canberra'!E76="",ISNUMBER(SEARCH("BSB80120",'Offshore - Canberra'!B76&amp;'Offshore - Canberra'!N76)),ISNUMBER(SEARCH("Management (Learning)",'Offshore - Canberra'!B76))),2,IF(ISNUMBER(SEARCH("CEK:",'Offshore - Canberra'!N76)),1,0))</f>
        <v>0</v>
      </c>
    </row>
    <row r="1825" customFormat="false" ht="15" hidden="false" customHeight="false" outlineLevel="0" collapsed="false">
      <c r="A1825" s="61" t="s">
        <v>4595</v>
      </c>
      <c r="B1825" s="62"/>
      <c r="C1825" s="62"/>
      <c r="D1825" s="62"/>
      <c r="E1825" s="62"/>
      <c r="F1825" s="62"/>
      <c r="G1825" s="62"/>
      <c r="H1825" s="62"/>
      <c r="I1825" s="62"/>
    </row>
    <row r="1826" customFormat="false" ht="15" hidden="false" customHeight="false" outlineLevel="0" collapsed="false">
      <c r="A1826" s="63" t="s">
        <v>3583</v>
      </c>
      <c r="B1826" s="64" t="s">
        <v>4583</v>
      </c>
      <c r="C1826" s="63" t="s">
        <v>41</v>
      </c>
      <c r="D1826" s="64" t="str">
        <f aca="false">TRIM(LEFT('Offshore - Darwin'!A20,FIND(CHAR(10),'Offshore - Darwin'!A20&amp;CHAR(10))-1))</f>
        <v>Charles Darwin University (CDU)</v>
      </c>
      <c r="E1826" s="63" t="str">
        <f aca="false">'Offshore - Darwin'!C75&amp;""</f>
        <v>1 year</v>
      </c>
      <c r="F1826" s="63" t="str">
        <f aca="false">IF('Offshore - Darwin'!D75="","Belum tercatat",'Offshore - Darwin'!D75)</f>
        <v>Term</v>
      </c>
      <c r="G1826" s="65" t="n">
        <f aca="false">IF('Offshore - Darwin'!E75="","-",'Offshore - Darwin'!E75)</f>
        <v>9120</v>
      </c>
      <c r="H1826" s="63" t="n">
        <f aca="false">IF(ISNUMBER(K1826),COUNTIFS($J$6:$J$1854,J1826,$K$6:$K$1854,"&lt;"&amp;K1826)+1,"-")</f>
        <v>1</v>
      </c>
      <c r="I1826" s="64" t="str">
        <f aca="false">IF('Offshore - Darwin'!E75="","Harga belum tersedia - hubungi konsultan TEG",IF(M1826=2,"Saat ini tidak menerima pendaftaran siswa internasional baru",IF(M1826=1,"Harga perlu dikonfirmasi ke sekolah"&amp;IF(""="","","; "&amp;""),"")))</f>
        <v/>
      </c>
      <c r="J1826" s="0" t="s">
        <v>4596</v>
      </c>
      <c r="K1826" s="0" t="n">
        <f aca="false">IF(M1826=2,"",IF(ISNUMBER(SEARCH("rata-rata:",'Offshore - Darwin'!N75)),VALUE(MID('Offshore - Darwin'!N75,SEARCH("rata-rata:",'Offshore - Darwin'!N75)+11,FIND(";",'Offshore - Darwin'!N75&amp;";",SEARCH("rata-rata:",'Offshore - Darwin'!N75))-SEARCH("rata-rata:",'Offshore - Darwin'!N75)-11)),IF('Offshore - Darwin'!D75="Semester",'Offshore - Darwin'!E75*2,IF('Offshore - Darwin'!D75="Trimester",'Offshore - Darwin'!E75*3,IF('Offshore - Darwin'!D75="Term",'Offshore - Darwin'!E75*4,IF('Offshore - Darwin'!D75="Unit",'Offshore - Darwin'!E75*8,""))))))</f>
        <v>36480</v>
      </c>
      <c r="L1826" s="0" t="n">
        <f aca="false">IF(AND(ISNUMBER('Offshore - Darwin'!E75),ISNUMBER(K1826),ISNUMBER('Offshore - Darwin'!F75),ISNUMBER('Offshore - Darwin'!G75),OR('Offshore - Darwin'!F75&lt;&gt;0,ISNUMBER(SEARCH("Material 0 terverifikasi",'Offshore - Darwin'!N75))),OR('Offshore - Darwin'!G75&lt;&gt;0,ISNUMBER(SEARCH("Enrolment 0 terverifikasi",'Offshore - Darwin'!N75)))),1,0)</f>
        <v>0</v>
      </c>
      <c r="M1826" s="0" t="n">
        <f aca="false">IF(OR('Offshore - Darwin'!E75="",ISNUMBER(SEARCH("BSB80120",'Offshore - Darwin'!B75&amp;'Offshore - Darwin'!N75)),ISNUMBER(SEARCH("Management (Learning)",'Offshore - Darwin'!B75))),2,IF(ISNUMBER(SEARCH("CEK:",'Offshore - Darwin'!N75)),1,0))</f>
        <v>0</v>
      </c>
    </row>
    <row r="1827" customFormat="false" ht="15" hidden="false" customHeight="false" outlineLevel="0" collapsed="false">
      <c r="A1827" s="61" t="s">
        <v>4597</v>
      </c>
      <c r="B1827" s="62"/>
      <c r="C1827" s="62"/>
      <c r="D1827" s="62"/>
      <c r="E1827" s="62"/>
      <c r="F1827" s="62"/>
      <c r="G1827" s="62"/>
      <c r="H1827" s="62"/>
      <c r="I1827" s="62"/>
    </row>
    <row r="1828" customFormat="false" ht="15" hidden="false" customHeight="false" outlineLevel="0" collapsed="false">
      <c r="A1828" s="63" t="s">
        <v>3583</v>
      </c>
      <c r="B1828" s="64" t="s">
        <v>4583</v>
      </c>
      <c r="C1828" s="63" t="s">
        <v>43</v>
      </c>
      <c r="D1828" s="64" t="str">
        <f aca="false">TRIM(LEFT('Offshore - Darwin'!A20,FIND(CHAR(10),'Offshore - Darwin'!A20&amp;CHAR(10))-1))</f>
        <v>Charles Darwin University (CDU)</v>
      </c>
      <c r="E1828" s="63" t="str">
        <f aca="false">'Offshore - Darwin'!C80&amp;""</f>
        <v>3 years</v>
      </c>
      <c r="F1828" s="63" t="str">
        <f aca="false">IF('Offshore - Darwin'!D80="","Belum tercatat",'Offshore - Darwin'!D80)</f>
        <v>Term</v>
      </c>
      <c r="G1828" s="65" t="n">
        <f aca="false">IF('Offshore - Darwin'!E80="","-",'Offshore - Darwin'!E80)</f>
        <v>9512</v>
      </c>
      <c r="H1828" s="63" t="n">
        <f aca="false">IF(ISNUMBER(K1828),COUNTIFS($J$6:$J$1854,J1828,$K$6:$K$1854,"&lt;"&amp;K1828)+1,"-")</f>
        <v>1</v>
      </c>
      <c r="I1828" s="64" t="str">
        <f aca="false">IF('Offshore - Darwin'!E80="","Harga belum tersedia - hubungi konsultan TEG",IF(M1828=2,"Saat ini tidak menerima pendaftaran siswa internasional baru",IF(M1828=1,"Harga perlu dikonfirmasi ke sekolah"&amp;IF(""="","","; "&amp;""),"")))</f>
        <v/>
      </c>
      <c r="J1828" s="0" t="s">
        <v>4598</v>
      </c>
      <c r="K1828" s="0" t="n">
        <f aca="false">IF(M1828=2,"",IF(ISNUMBER(SEARCH("rata-rata:",'Offshore - Darwin'!N80)),VALUE(MID('Offshore - Darwin'!N80,SEARCH("rata-rata:",'Offshore - Darwin'!N80)+11,FIND(";",'Offshore - Darwin'!N80&amp;";",SEARCH("rata-rata:",'Offshore - Darwin'!N80))-SEARCH("rata-rata:",'Offshore - Darwin'!N80)-11)),IF('Offshore - Darwin'!D80="Semester",'Offshore - Darwin'!E80*2,IF('Offshore - Darwin'!D80="Trimester",'Offshore - Darwin'!E80*3,IF('Offshore - Darwin'!D80="Term",'Offshore - Darwin'!E80*4,IF('Offshore - Darwin'!D80="Unit",'Offshore - Darwin'!E80*8,""))))))</f>
        <v>38048</v>
      </c>
      <c r="L1828" s="0" t="n">
        <f aca="false">IF(AND(ISNUMBER('Offshore - Darwin'!E80),ISNUMBER(K1828),ISNUMBER('Offshore - Darwin'!F80),ISNUMBER('Offshore - Darwin'!G80),OR('Offshore - Darwin'!F80&lt;&gt;0,ISNUMBER(SEARCH("Material 0 terverifikasi",'Offshore - Darwin'!N80))),OR('Offshore - Darwin'!G80&lt;&gt;0,ISNUMBER(SEARCH("Enrolment 0 terverifikasi",'Offshore - Darwin'!N80)))),1,0)</f>
        <v>0</v>
      </c>
      <c r="M1828" s="0" t="n">
        <f aca="false">IF(OR('Offshore - Darwin'!E80="",ISNUMBER(SEARCH("BSB80120",'Offshore - Darwin'!B80&amp;'Offshore - Darwin'!N80)),ISNUMBER(SEARCH("Management (Learning)",'Offshore - Darwin'!B80))),2,IF(ISNUMBER(SEARCH("CEK:",'Offshore - Darwin'!N80)),1,0))</f>
        <v>0</v>
      </c>
    </row>
    <row r="1829" customFormat="false" ht="15" hidden="false" customHeight="false" outlineLevel="0" collapsed="false">
      <c r="A1829" s="61" t="s">
        <v>4599</v>
      </c>
      <c r="B1829" s="62"/>
      <c r="C1829" s="62"/>
      <c r="D1829" s="62"/>
      <c r="E1829" s="62"/>
      <c r="F1829" s="62"/>
      <c r="G1829" s="62"/>
      <c r="H1829" s="62"/>
      <c r="I1829" s="62"/>
    </row>
    <row r="1830" customFormat="false" ht="15" hidden="false" customHeight="false" outlineLevel="0" collapsed="false">
      <c r="A1830" s="63" t="s">
        <v>3583</v>
      </c>
      <c r="B1830" s="64" t="s">
        <v>4583</v>
      </c>
      <c r="C1830" s="63" t="s">
        <v>46</v>
      </c>
      <c r="D1830" s="64" t="str">
        <f aca="false">TRIM(LEFT('Offshore - Darwin'!A20,FIND(CHAR(10),'Offshore - Darwin'!A20&amp;CHAR(10))-1))</f>
        <v>Charles Darwin University (CDU)</v>
      </c>
      <c r="E1830" s="63" t="str">
        <f aca="false">'Offshore - Darwin'!C85&amp;""</f>
        <v>2 years</v>
      </c>
      <c r="F1830" s="63" t="str">
        <f aca="false">IF('Offshore - Darwin'!D85="","Belum tercatat",'Offshore - Darwin'!D85)</f>
        <v>Term</v>
      </c>
      <c r="G1830" s="65" t="n">
        <f aca="false">IF('Offshore - Darwin'!E85="","-",'Offshore - Darwin'!E85)</f>
        <v>9306</v>
      </c>
      <c r="H1830" s="63" t="n">
        <f aca="false">IF(ISNUMBER(K1830),COUNTIFS($J$6:$J$1854,J1830,$K$6:$K$1854,"&lt;"&amp;K1830)+1,"-")</f>
        <v>1</v>
      </c>
      <c r="I1830" s="64" t="str">
        <f aca="false">IF('Offshore - Darwin'!E85="","Harga belum tersedia - hubungi konsultan TEG",IF(M1830=2,"Saat ini tidak menerima pendaftaran siswa internasional baru",IF(M1830=1,"Harga perlu dikonfirmasi ke sekolah"&amp;IF(""="","","; "&amp;""),"")))</f>
        <v/>
      </c>
      <c r="J1830" s="0" t="s">
        <v>4600</v>
      </c>
      <c r="K1830" s="0" t="n">
        <f aca="false">IF(M1830=2,"",IF(ISNUMBER(SEARCH("rata-rata:",'Offshore - Darwin'!N85)),VALUE(MID('Offshore - Darwin'!N85,SEARCH("rata-rata:",'Offshore - Darwin'!N85)+11,FIND(";",'Offshore - Darwin'!N85&amp;";",SEARCH("rata-rata:",'Offshore - Darwin'!N85))-SEARCH("rata-rata:",'Offshore - Darwin'!N85)-11)),IF('Offshore - Darwin'!D85="Semester",'Offshore - Darwin'!E85*2,IF('Offshore - Darwin'!D85="Trimester",'Offshore - Darwin'!E85*3,IF('Offshore - Darwin'!D85="Term",'Offshore - Darwin'!E85*4,IF('Offshore - Darwin'!D85="Unit",'Offshore - Darwin'!E85*8,""))))))</f>
        <v>37224</v>
      </c>
      <c r="L1830" s="0" t="n">
        <f aca="false">IF(AND(ISNUMBER('Offshore - Darwin'!E85),ISNUMBER(K1830),ISNUMBER('Offshore - Darwin'!F85),ISNUMBER('Offshore - Darwin'!G85),OR('Offshore - Darwin'!F85&lt;&gt;0,ISNUMBER(SEARCH("Material 0 terverifikasi",'Offshore - Darwin'!N85))),OR('Offshore - Darwin'!G85&lt;&gt;0,ISNUMBER(SEARCH("Enrolment 0 terverifikasi",'Offshore - Darwin'!N85)))),1,0)</f>
        <v>0</v>
      </c>
      <c r="M1830" s="0" t="n">
        <f aca="false">IF(OR('Offshore - Darwin'!E85="",ISNUMBER(SEARCH("BSB80120",'Offshore - Darwin'!B85&amp;'Offshore - Darwin'!N85)),ISNUMBER(SEARCH("Management (Learning)",'Offshore - Darwin'!B85))),2,IF(ISNUMBER(SEARCH("CEK:",'Offshore - Darwin'!N85)),1,0))</f>
        <v>0</v>
      </c>
    </row>
    <row r="1831" customFormat="false" ht="15" hidden="false" customHeight="false" outlineLevel="0" collapsed="false">
      <c r="A1831" s="61" t="s">
        <v>4601</v>
      </c>
      <c r="B1831" s="62"/>
      <c r="C1831" s="62"/>
      <c r="D1831" s="62"/>
      <c r="E1831" s="62"/>
      <c r="F1831" s="62"/>
      <c r="G1831" s="62"/>
      <c r="H1831" s="62"/>
      <c r="I1831" s="62"/>
    </row>
    <row r="1832" customFormat="false" ht="15" hidden="false" customHeight="false" outlineLevel="0" collapsed="false">
      <c r="A1832" s="63" t="s">
        <v>3544</v>
      </c>
      <c r="B1832" s="64" t="s">
        <v>4583</v>
      </c>
      <c r="C1832" s="63" t="s">
        <v>41</v>
      </c>
      <c r="D1832" s="64" t="str">
        <f aca="false">TRIM(LEFT('Offshore - Melbourne'!A556,FIND(CHAR(10),'Offshore - Melbourne'!A556&amp;CHAR(10))-1))</f>
        <v>William Angliss Institute</v>
      </c>
      <c r="E1832" s="63" t="str">
        <f aca="false">'Offshore - Melbourne'!C575&amp;""</f>
        <v>1 year</v>
      </c>
      <c r="F1832" s="63" t="str">
        <f aca="false">IF('Offshore - Melbourne'!D575="","Belum tercatat",'Offshore - Melbourne'!D575)</f>
        <v>Term</v>
      </c>
      <c r="G1832" s="65" t="n">
        <f aca="false">IF('Offshore - Melbourne'!E575="","-",'Offshore - Melbourne'!E575)</f>
        <v>4610</v>
      </c>
      <c r="H1832" s="63" t="n">
        <f aca="false">IF(ISNUMBER(K1832),COUNTIFS($J$6:$J$1854,J1832,$K$6:$K$1854,"&lt;"&amp;K1832)+1,"-")</f>
        <v>1</v>
      </c>
      <c r="I1832" s="64" t="str">
        <f aca="false">IF('Offshore - Melbourne'!E575="","Harga belum tersedia - hubungi konsultan TEG",IF(M1832=2,"Saat ini tidak menerima pendaftaran siswa internasional baru",IF(M1832=1,"Harga perlu dikonfirmasi ke sekolah"&amp;IF(""="","","; "&amp;""),"")))</f>
        <v/>
      </c>
      <c r="J1832" s="0" t="s">
        <v>4602</v>
      </c>
      <c r="K1832" s="0" t="n">
        <f aca="false">IF(M1832=2,"",IF(ISNUMBER(SEARCH("rata-rata:",'Offshore - Melbourne'!N575)),VALUE(MID('Offshore - Melbourne'!N575,SEARCH("rata-rata:",'Offshore - Melbourne'!N575)+11,FIND(";",'Offshore - Melbourne'!N575&amp;";",SEARCH("rata-rata:",'Offshore - Melbourne'!N575))-SEARCH("rata-rata:",'Offshore - Melbourne'!N575)-11)),IF('Offshore - Melbourne'!D575="Semester",'Offshore - Melbourne'!E575*2,IF('Offshore - Melbourne'!D575="Trimester",'Offshore - Melbourne'!E575*3,IF('Offshore - Melbourne'!D575="Term",'Offshore - Melbourne'!E575*4,IF('Offshore - Melbourne'!D575="Unit",'Offshore - Melbourne'!E575*8,""))))))</f>
        <v>18440</v>
      </c>
      <c r="L1832" s="0" t="n">
        <f aca="false">IF(AND(ISNUMBER('Offshore - Melbourne'!E575),ISNUMBER(K1832),ISNUMBER('Offshore - Melbourne'!F575),ISNUMBER('Offshore - Melbourne'!G575),OR('Offshore - Melbourne'!F575&lt;&gt;0,ISNUMBER(SEARCH("Material 0 terverifikasi",'Offshore - Melbourne'!N575))),OR('Offshore - Melbourne'!G575&lt;&gt;0,ISNUMBER(SEARCH("Enrolment 0 terverifikasi",'Offshore - Melbourne'!N575)))),1,0)</f>
        <v>1</v>
      </c>
      <c r="M1832" s="0" t="n">
        <f aca="false">IF(OR('Offshore - Melbourne'!E575="",ISNUMBER(SEARCH("BSB80120",'Offshore - Melbourne'!B575&amp;'Offshore - Melbourne'!N575)),ISNUMBER(SEARCH("Management (Learning)",'Offshore - Melbourne'!B575))),2,IF(ISNUMBER(SEARCH("CEK:",'Offshore - Melbourne'!N575)),1,0))</f>
        <v>0</v>
      </c>
    </row>
    <row r="1833" customFormat="false" ht="15" hidden="false" customHeight="false" outlineLevel="0" collapsed="false">
      <c r="A1833" s="61" t="s">
        <v>4603</v>
      </c>
      <c r="B1833" s="62"/>
      <c r="C1833" s="62"/>
      <c r="D1833" s="62"/>
      <c r="E1833" s="62"/>
      <c r="F1833" s="62"/>
      <c r="G1833" s="62"/>
      <c r="H1833" s="62"/>
      <c r="I1833" s="62"/>
    </row>
    <row r="1834" customFormat="false" ht="15" hidden="false" customHeight="false" outlineLevel="0" collapsed="false">
      <c r="A1834" s="63" t="s">
        <v>3544</v>
      </c>
      <c r="B1834" s="64" t="s">
        <v>4583</v>
      </c>
      <c r="C1834" s="63" t="s">
        <v>43</v>
      </c>
      <c r="D1834" s="64" t="str">
        <f aca="false">TRIM(LEFT('Offshore - Melbourne'!A95,FIND(CHAR(10),'Offshore - Melbourne'!A95&amp;CHAR(10))-1))</f>
        <v>Australian Catholic University (ACU)</v>
      </c>
      <c r="E1834" s="63" t="str">
        <f aca="false">'Offshore - Melbourne'!C165&amp;""</f>
        <v>4 years</v>
      </c>
      <c r="F1834" s="63" t="str">
        <f aca="false">IF('Offshore - Melbourne'!D165="","Belum tercatat",'Offshore - Melbourne'!D165)</f>
        <v>Term</v>
      </c>
      <c r="G1834" s="65" t="n">
        <f aca="false">IF('Offshore - Melbourne'!E165="","-",'Offshore - Melbourne'!E165)</f>
        <v>8098</v>
      </c>
      <c r="H1834" s="63" t="n">
        <f aca="false">IF(ISNUMBER(K1834),COUNTIFS($J$6:$J$1854,J1834,$K$6:$K$1854,"&lt;"&amp;K1834)+1,"-")</f>
        <v>1</v>
      </c>
      <c r="I1834" s="64" t="str">
        <f aca="false">IF('Offshore - Melbourne'!E165="","Harga belum tersedia - hubungi konsultan TEG",IF(M1834=2,"Saat ini tidak menerima pendaftaran siswa internasional baru",IF(M1834=1,"Harga perlu dikonfirmasi ke sekolah"&amp;IF(""="","","; "&amp;""),"")))</f>
        <v/>
      </c>
      <c r="J1834" s="0" t="s">
        <v>4604</v>
      </c>
      <c r="K1834" s="0" t="n">
        <f aca="false">IF(M1834=2,"",IF(ISNUMBER(SEARCH("rata-rata:",'Offshore - Melbourne'!N165)),VALUE(MID('Offshore - Melbourne'!N165,SEARCH("rata-rata:",'Offshore - Melbourne'!N165)+11,FIND(";",'Offshore - Melbourne'!N165&amp;";",SEARCH("rata-rata:",'Offshore - Melbourne'!N165))-SEARCH("rata-rata:",'Offshore - Melbourne'!N165)-11)),IF('Offshore - Melbourne'!D165="Semester",'Offshore - Melbourne'!E165*2,IF('Offshore - Melbourne'!D165="Trimester",'Offshore - Melbourne'!E165*3,IF('Offshore - Melbourne'!D165="Term",'Offshore - Melbourne'!E165*4,IF('Offshore - Melbourne'!D165="Unit",'Offshore - Melbourne'!E165*8,""))))))</f>
        <v>32392</v>
      </c>
      <c r="L1834" s="0" t="n">
        <f aca="false">IF(AND(ISNUMBER('Offshore - Melbourne'!E165),ISNUMBER(K1834),ISNUMBER('Offshore - Melbourne'!F165),ISNUMBER('Offshore - Melbourne'!G165),OR('Offshore - Melbourne'!F165&lt;&gt;0,ISNUMBER(SEARCH("Material 0 terverifikasi",'Offshore - Melbourne'!N165))),OR('Offshore - Melbourne'!G165&lt;&gt;0,ISNUMBER(SEARCH("Enrolment 0 terverifikasi",'Offshore - Melbourne'!N165)))),1,0)</f>
        <v>0</v>
      </c>
      <c r="M1834" s="0" t="n">
        <f aca="false">IF(OR('Offshore - Melbourne'!E165="",ISNUMBER(SEARCH("BSB80120",'Offshore - Melbourne'!B165&amp;'Offshore - Melbourne'!N165)),ISNUMBER(SEARCH("Management (Learning)",'Offshore - Melbourne'!B165))),2,IF(ISNUMBER(SEARCH("CEK:",'Offshore - Melbourne'!N165)),1,0))</f>
        <v>0</v>
      </c>
    </row>
    <row r="1835" customFormat="false" ht="15" hidden="false" customHeight="false" outlineLevel="0" collapsed="false">
      <c r="A1835" s="61" t="s">
        <v>4605</v>
      </c>
      <c r="B1835" s="62"/>
      <c r="C1835" s="62"/>
      <c r="D1835" s="62"/>
      <c r="E1835" s="62"/>
      <c r="F1835" s="62"/>
      <c r="G1835" s="62"/>
      <c r="H1835" s="62"/>
      <c r="I1835" s="62"/>
    </row>
    <row r="1836" customFormat="false" ht="28.35" hidden="false" customHeight="false" outlineLevel="0" collapsed="false">
      <c r="A1836" s="63" t="s">
        <v>3533</v>
      </c>
      <c r="B1836" s="64" t="s">
        <v>4583</v>
      </c>
      <c r="C1836" s="63" t="s">
        <v>40</v>
      </c>
      <c r="D1836" s="64" t="str">
        <f aca="false">TRIM(LEFT('Offshore - Sydney'!A261,FIND(CHAR(10),'Offshore - Sydney'!A261&amp;CHAR(10))-1))</f>
        <v>Australian College of Business Intelligence (ACBI)</v>
      </c>
      <c r="E1836" s="63" t="str">
        <f aca="false">'Offshore - Sydney'!C266&amp;""</f>
        <v>52 weeks (4 terms)</v>
      </c>
      <c r="F1836" s="63" t="str">
        <f aca="false">IF('Offshore - Sydney'!D266="","Belum tercatat",'Offshore - Sydney'!D266)</f>
        <v>Term</v>
      </c>
      <c r="G1836" s="65" t="n">
        <f aca="false">IF('Offshore - Sydney'!E266="","-",'Offshore - Sydney'!E266)</f>
        <v>1710</v>
      </c>
      <c r="H1836" s="63" t="n">
        <f aca="false">IF(ISNUMBER(K1836),COUNTIFS($J$6:$J$1854,J1836,$K$6:$K$1854,"&lt;"&amp;K1836)+1,"-")</f>
        <v>1</v>
      </c>
      <c r="I1836" s="64" t="str">
        <f aca="false">IF('Offshore - Sydney'!E266="","Harga belum tersedia - hubungi konsultan TEG",IF(M1836=2,"Saat ini tidak menerima pendaftaran siswa internasional baru",IF(M1836=1,"Harga perlu dikonfirmasi ke sekolah"&amp;IF(""="","","; "&amp;""),"")))</f>
        <v/>
      </c>
      <c r="J1836" s="0" t="s">
        <v>4606</v>
      </c>
      <c r="K1836" s="0" t="n">
        <f aca="false">IF(M1836=2,"",IF(ISNUMBER(SEARCH("rata-rata:",'Offshore - Sydney'!N266)),VALUE(MID('Offshore - Sydney'!N266,SEARCH("rata-rata:",'Offshore - Sydney'!N266)+11,FIND(";",'Offshore - Sydney'!N266&amp;";",SEARCH("rata-rata:",'Offshore - Sydney'!N266))-SEARCH("rata-rata:",'Offshore - Sydney'!N266)-11)),IF('Offshore - Sydney'!D266="Semester",'Offshore - Sydney'!E266*2,IF('Offshore - Sydney'!D266="Trimester",'Offshore - Sydney'!E266*3,IF('Offshore - Sydney'!D266="Term",'Offshore - Sydney'!E266*4,IF('Offshore - Sydney'!D266="Unit",'Offshore - Sydney'!E266*8,""))))))</f>
        <v>6840</v>
      </c>
      <c r="L1836" s="0" t="n">
        <f aca="false">IF(AND(ISNUMBER('Offshore - Sydney'!E266),ISNUMBER(K1836),ISNUMBER('Offshore - Sydney'!F266),ISNUMBER('Offshore - Sydney'!G266),OR('Offshore - Sydney'!F266&lt;&gt;0,ISNUMBER(SEARCH("Material 0 terverifikasi",'Offshore - Sydney'!N266))),OR('Offshore - Sydney'!G266&lt;&gt;0,ISNUMBER(SEARCH("Enrolment 0 terverifikasi",'Offshore - Sydney'!N266)))),1,0)</f>
        <v>1</v>
      </c>
      <c r="M1836" s="0" t="n">
        <f aca="false">IF(OR('Offshore - Sydney'!E266="",ISNUMBER(SEARCH("BSB80120",'Offshore - Sydney'!B266&amp;'Offshore - Sydney'!N266)),ISNUMBER(SEARCH("Management (Learning)",'Offshore - Sydney'!B266))),2,IF(ISNUMBER(SEARCH("CEK:",'Offshore - Sydney'!N266)),1,0))</f>
        <v>0</v>
      </c>
    </row>
    <row r="1837" customFormat="false" ht="15" hidden="false" customHeight="false" outlineLevel="0" collapsed="false">
      <c r="A1837" s="61" t="s">
        <v>4607</v>
      </c>
      <c r="B1837" s="62"/>
      <c r="C1837" s="62"/>
      <c r="D1837" s="62"/>
      <c r="E1837" s="62"/>
      <c r="F1837" s="62"/>
      <c r="G1837" s="62"/>
      <c r="H1837" s="62"/>
      <c r="I1837" s="62"/>
    </row>
    <row r="1838" customFormat="false" ht="28.35" hidden="false" customHeight="false" outlineLevel="0" collapsed="false">
      <c r="A1838" s="63" t="s">
        <v>3533</v>
      </c>
      <c r="B1838" s="64" t="s">
        <v>4583</v>
      </c>
      <c r="C1838" s="63" t="s">
        <v>41</v>
      </c>
      <c r="D1838" s="64" t="str">
        <f aca="false">TRIM(LEFT('Offshore - Sydney'!A261,FIND(CHAR(10),'Offshore - Sydney'!A261&amp;CHAR(10))-1))</f>
        <v>Australian College of Business Intelligence (ACBI)</v>
      </c>
      <c r="E1838" s="63" t="str">
        <f aca="false">'Offshore - Sydney'!C267&amp;""</f>
        <v>78 weeks (6 terms)</v>
      </c>
      <c r="F1838" s="63" t="str">
        <f aca="false">IF('Offshore - Sydney'!D267="","Belum tercatat",'Offshore - Sydney'!D267)</f>
        <v>Term</v>
      </c>
      <c r="G1838" s="65" t="n">
        <f aca="false">IF('Offshore - Sydney'!E267="","-",'Offshore - Sydney'!E267)</f>
        <v>1800</v>
      </c>
      <c r="H1838" s="63" t="n">
        <f aca="false">IF(ISNUMBER(K1838),COUNTIFS($J$6:$J$1854,J1838,$K$6:$K$1854,"&lt;"&amp;K1838)+1,"-")</f>
        <v>1</v>
      </c>
      <c r="I1838" s="64" t="str">
        <f aca="false">IF('Offshore - Sydney'!E267="","Harga belum tersedia - hubungi konsultan TEG",IF(M1838=2,"Saat ini tidak menerima pendaftaran siswa internasional baru",IF(M1838=1,"Harga perlu dikonfirmasi ke sekolah"&amp;IF(""="","","; "&amp;""),"")))</f>
        <v/>
      </c>
      <c r="J1838" s="0" t="s">
        <v>4608</v>
      </c>
      <c r="K1838" s="0" t="n">
        <f aca="false">IF(M1838=2,"",IF(ISNUMBER(SEARCH("rata-rata:",'Offshore - Sydney'!N267)),VALUE(MID('Offshore - Sydney'!N267,SEARCH("rata-rata:",'Offshore - Sydney'!N267)+11,FIND(";",'Offshore - Sydney'!N267&amp;";",SEARCH("rata-rata:",'Offshore - Sydney'!N267))-SEARCH("rata-rata:",'Offshore - Sydney'!N267)-11)),IF('Offshore - Sydney'!D267="Semester",'Offshore - Sydney'!E267*2,IF('Offshore - Sydney'!D267="Trimester",'Offshore - Sydney'!E267*3,IF('Offshore - Sydney'!D267="Term",'Offshore - Sydney'!E267*4,IF('Offshore - Sydney'!D267="Unit",'Offshore - Sydney'!E267*8,""))))))</f>
        <v>7200</v>
      </c>
      <c r="L1838" s="0" t="n">
        <f aca="false">IF(AND(ISNUMBER('Offshore - Sydney'!E267),ISNUMBER(K1838),ISNUMBER('Offshore - Sydney'!F267),ISNUMBER('Offshore - Sydney'!G267),OR('Offshore - Sydney'!F267&lt;&gt;0,ISNUMBER(SEARCH("Material 0 terverifikasi",'Offshore - Sydney'!N267))),OR('Offshore - Sydney'!G267&lt;&gt;0,ISNUMBER(SEARCH("Enrolment 0 terverifikasi",'Offshore - Sydney'!N267)))),1,0)</f>
        <v>1</v>
      </c>
      <c r="M1838" s="0" t="n">
        <f aca="false">IF(OR('Offshore - Sydney'!E267="",ISNUMBER(SEARCH("BSB80120",'Offshore - Sydney'!B267&amp;'Offshore - Sydney'!N267)),ISNUMBER(SEARCH("Management (Learning)",'Offshore - Sydney'!B267))),2,IF(ISNUMBER(SEARCH("CEK:",'Offshore - Sydney'!N267)),1,0))</f>
        <v>0</v>
      </c>
    </row>
    <row r="1839" customFormat="false" ht="15" hidden="false" customHeight="false" outlineLevel="0" collapsed="false">
      <c r="A1839" s="63" t="s">
        <v>3533</v>
      </c>
      <c r="B1839" s="64" t="s">
        <v>4583</v>
      </c>
      <c r="C1839" s="63" t="s">
        <v>41</v>
      </c>
      <c r="D1839" s="64" t="str">
        <f aca="false">TRIM(LEFT('Offshore - Sydney'!A721,FIND(CHAR(10),'Offshore - Sydney'!A721&amp;CHAR(10))-1))</f>
        <v>TAFE NSW</v>
      </c>
      <c r="E1839" s="63" t="str">
        <f aca="false">'Offshore - Sydney'!C760&amp;""</f>
        <v>1 year</v>
      </c>
      <c r="F1839" s="63" t="str">
        <f aca="false">IF('Offshore - Sydney'!D760="","Belum tercatat",'Offshore - Sydney'!D760)</f>
        <v>Term</v>
      </c>
      <c r="G1839" s="65" t="n">
        <f aca="false">IF('Offshore - Sydney'!E760="","-",'Offshore - Sydney'!E760)</f>
        <v>4788</v>
      </c>
      <c r="H1839" s="63" t="n">
        <f aca="false">IF(ISNUMBER(K1839),COUNTIFS($J$6:$J$1854,J1839,$K$6:$K$1854,"&lt;"&amp;K1839)+1,"-")</f>
        <v>2</v>
      </c>
      <c r="I1839" s="64" t="str">
        <f aca="false">IF('Offshore - Sydney'!E760="","Harga belum tersedia - hubungi konsultan TEG",IF(M1839=2,"Saat ini tidak menerima pendaftaran siswa internasional baru",IF(M1839=1,"Harga perlu dikonfirmasi ke sekolah"&amp;IF(""="","","; "&amp;""),"")))</f>
        <v/>
      </c>
      <c r="J1839" s="0" t="s">
        <v>4608</v>
      </c>
      <c r="K1839" s="0" t="n">
        <f aca="false">IF(M1839=2,"",IF(ISNUMBER(SEARCH("rata-rata:",'Offshore - Sydney'!N760)),VALUE(MID('Offshore - Sydney'!N760,SEARCH("rata-rata:",'Offshore - Sydney'!N760)+11,FIND(";",'Offshore - Sydney'!N760&amp;";",SEARCH("rata-rata:",'Offshore - Sydney'!N760))-SEARCH("rata-rata:",'Offshore - Sydney'!N760)-11)),IF('Offshore - Sydney'!D760="Semester",'Offshore - Sydney'!E760*2,IF('Offshore - Sydney'!D760="Trimester",'Offshore - Sydney'!E760*3,IF('Offshore - Sydney'!D760="Term",'Offshore - Sydney'!E760*4,IF('Offshore - Sydney'!D760="Unit",'Offshore - Sydney'!E760*8,""))))))</f>
        <v>19152</v>
      </c>
      <c r="L1839" s="0" t="n">
        <f aca="false">IF(AND(ISNUMBER('Offshore - Sydney'!E760),ISNUMBER(K1839),ISNUMBER('Offshore - Sydney'!F760),ISNUMBER('Offshore - Sydney'!G760),OR('Offshore - Sydney'!F760&lt;&gt;0,ISNUMBER(SEARCH("Material 0 terverifikasi",'Offshore - Sydney'!N760))),OR('Offshore - Sydney'!G760&lt;&gt;0,ISNUMBER(SEARCH("Enrolment 0 terverifikasi",'Offshore - Sydney'!N760)))),1,0)</f>
        <v>0</v>
      </c>
      <c r="M1839" s="0" t="n">
        <f aca="false">IF(OR('Offshore - Sydney'!E760="",ISNUMBER(SEARCH("BSB80120",'Offshore - Sydney'!B760&amp;'Offshore - Sydney'!N760)),ISNUMBER(SEARCH("Management (Learning)",'Offshore - Sydney'!B760))),2,IF(ISNUMBER(SEARCH("CEK:",'Offshore - Sydney'!N760)),1,0))</f>
        <v>0</v>
      </c>
    </row>
    <row r="1840" customFormat="false" ht="15" hidden="false" customHeight="false" outlineLevel="0" collapsed="false">
      <c r="A1840" s="61" t="s">
        <v>4609</v>
      </c>
      <c r="B1840" s="62"/>
      <c r="C1840" s="62"/>
      <c r="D1840" s="62"/>
      <c r="E1840" s="62"/>
      <c r="F1840" s="62"/>
      <c r="G1840" s="62"/>
      <c r="H1840" s="62"/>
      <c r="I1840" s="62"/>
    </row>
    <row r="1841" customFormat="false" ht="28.35" hidden="false" customHeight="false" outlineLevel="0" collapsed="false">
      <c r="A1841" s="63" t="s">
        <v>3533</v>
      </c>
      <c r="B1841" s="64" t="s">
        <v>4583</v>
      </c>
      <c r="C1841" s="63" t="s">
        <v>42</v>
      </c>
      <c r="D1841" s="64" t="str">
        <f aca="false">TRIM(LEFT('Offshore - Sydney'!A261,FIND(CHAR(10),'Offshore - Sydney'!A261&amp;CHAR(10))-1))</f>
        <v>Australian College of Business Intelligence (ACBI)</v>
      </c>
      <c r="E1841" s="63" t="str">
        <f aca="false">'Offshore - Sydney'!C268&amp;""</f>
        <v>52 weeks (4 terms)</v>
      </c>
      <c r="F1841" s="63" t="str">
        <f aca="false">IF('Offshore - Sydney'!D268="","Belum tercatat",'Offshore - Sydney'!D268)</f>
        <v>Term</v>
      </c>
      <c r="G1841" s="65" t="n">
        <f aca="false">IF('Offshore - Sydney'!E268="","-",'Offshore - Sydney'!E268)</f>
        <v>1890</v>
      </c>
      <c r="H1841" s="63" t="n">
        <f aca="false">IF(ISNUMBER(K1841),COUNTIFS($J$6:$J$1854,J1841,$K$6:$K$1854,"&lt;"&amp;K1841)+1,"-")</f>
        <v>1</v>
      </c>
      <c r="I1841" s="64" t="str">
        <f aca="false">IF('Offshore - Sydney'!E268="","Harga belum tersedia - hubungi konsultan TEG",IF(M1841=2,"Saat ini tidak menerima pendaftaran siswa internasional baru",IF(M1841=1,"Harga perlu dikonfirmasi ke sekolah"&amp;IF(""="","","; "&amp;""),"")))</f>
        <v/>
      </c>
      <c r="J1841" s="0" t="s">
        <v>4610</v>
      </c>
      <c r="K1841" s="0" t="n">
        <f aca="false">IF(M1841=2,"",IF(ISNUMBER(SEARCH("rata-rata:",'Offshore - Sydney'!N268)),VALUE(MID('Offshore - Sydney'!N268,SEARCH("rata-rata:",'Offshore - Sydney'!N268)+11,FIND(";",'Offshore - Sydney'!N268&amp;";",SEARCH("rata-rata:",'Offshore - Sydney'!N268))-SEARCH("rata-rata:",'Offshore - Sydney'!N268)-11)),IF('Offshore - Sydney'!D268="Semester",'Offshore - Sydney'!E268*2,IF('Offshore - Sydney'!D268="Trimester",'Offshore - Sydney'!E268*3,IF('Offshore - Sydney'!D268="Term",'Offshore - Sydney'!E268*4,IF('Offshore - Sydney'!D268="Unit",'Offshore - Sydney'!E268*8,""))))))</f>
        <v>7560</v>
      </c>
      <c r="L1841" s="0" t="n">
        <f aca="false">IF(AND(ISNUMBER('Offshore - Sydney'!E268),ISNUMBER(K1841),ISNUMBER('Offshore - Sydney'!F268),ISNUMBER('Offshore - Sydney'!G268),OR('Offshore - Sydney'!F268&lt;&gt;0,ISNUMBER(SEARCH("Material 0 terverifikasi",'Offshore - Sydney'!N268))),OR('Offshore - Sydney'!G268&lt;&gt;0,ISNUMBER(SEARCH("Enrolment 0 terverifikasi",'Offshore - Sydney'!N268)))),1,0)</f>
        <v>1</v>
      </c>
      <c r="M1841" s="0" t="n">
        <f aca="false">IF(OR('Offshore - Sydney'!E268="",ISNUMBER(SEARCH("BSB80120",'Offshore - Sydney'!B268&amp;'Offshore - Sydney'!N268)),ISNUMBER(SEARCH("Management (Learning)",'Offshore - Sydney'!B268))),2,IF(ISNUMBER(SEARCH("CEK:",'Offshore - Sydney'!N268)),1,0))</f>
        <v>0</v>
      </c>
    </row>
    <row r="1842" customFormat="false" ht="15" hidden="false" customHeight="false" outlineLevel="0" collapsed="false">
      <c r="A1842" s="61" t="s">
        <v>4611</v>
      </c>
      <c r="B1842" s="62"/>
      <c r="C1842" s="62"/>
      <c r="D1842" s="62"/>
      <c r="E1842" s="62"/>
      <c r="F1842" s="62"/>
      <c r="G1842" s="62"/>
      <c r="H1842" s="62"/>
      <c r="I1842" s="62"/>
    </row>
    <row r="1843" customFormat="false" ht="15" hidden="false" customHeight="false" outlineLevel="0" collapsed="false">
      <c r="A1843" s="63" t="s">
        <v>3533</v>
      </c>
      <c r="B1843" s="64" t="s">
        <v>4583</v>
      </c>
      <c r="C1843" s="63" t="s">
        <v>43</v>
      </c>
      <c r="D1843" s="64" t="str">
        <f aca="false">TRIM(LEFT('Offshore - Sydney'!A156,FIND(CHAR(10),'Offshore - Sydney'!A156&amp;CHAR(10))-1))</f>
        <v>Australian Catholic University (ACU)</v>
      </c>
      <c r="E1843" s="63" t="str">
        <f aca="false">'Offshore - Sydney'!C226&amp;""</f>
        <v>4 years</v>
      </c>
      <c r="F1843" s="63" t="str">
        <f aca="false">IF('Offshore - Sydney'!D226="","Belum tercatat",'Offshore - Sydney'!D226)</f>
        <v>Term</v>
      </c>
      <c r="G1843" s="65" t="n">
        <f aca="false">IF('Offshore - Sydney'!E226="","-",'Offshore - Sydney'!E226)</f>
        <v>8098</v>
      </c>
      <c r="H1843" s="63" t="n">
        <f aca="false">IF(ISNUMBER(K1843),COUNTIFS($J$6:$J$1854,J1843,$K$6:$K$1854,"&lt;"&amp;K1843)+1,"-")</f>
        <v>1</v>
      </c>
      <c r="I1843" s="64" t="str">
        <f aca="false">IF('Offshore - Sydney'!E226="","Harga belum tersedia - hubungi konsultan TEG",IF(M1843=2,"Saat ini tidak menerima pendaftaran siswa internasional baru",IF(M1843=1,"Harga perlu dikonfirmasi ke sekolah"&amp;IF(""="","","; "&amp;""),"")))</f>
        <v/>
      </c>
      <c r="J1843" s="0" t="s">
        <v>4612</v>
      </c>
      <c r="K1843" s="0" t="n">
        <f aca="false">IF(M1843=2,"",IF(ISNUMBER(SEARCH("rata-rata:",'Offshore - Sydney'!N226)),VALUE(MID('Offshore - Sydney'!N226,SEARCH("rata-rata:",'Offshore - Sydney'!N226)+11,FIND(";",'Offshore - Sydney'!N226&amp;";",SEARCH("rata-rata:",'Offshore - Sydney'!N226))-SEARCH("rata-rata:",'Offshore - Sydney'!N226)-11)),IF('Offshore - Sydney'!D226="Semester",'Offshore - Sydney'!E226*2,IF('Offshore - Sydney'!D226="Trimester",'Offshore - Sydney'!E226*3,IF('Offshore - Sydney'!D226="Term",'Offshore - Sydney'!E226*4,IF('Offshore - Sydney'!D226="Unit",'Offshore - Sydney'!E226*8,""))))))</f>
        <v>32392</v>
      </c>
      <c r="L1843" s="0" t="n">
        <f aca="false">IF(AND(ISNUMBER('Offshore - Sydney'!E226),ISNUMBER(K1843),ISNUMBER('Offshore - Sydney'!F226),ISNUMBER('Offshore - Sydney'!G226),OR('Offshore - Sydney'!F226&lt;&gt;0,ISNUMBER(SEARCH("Material 0 terverifikasi",'Offshore - Sydney'!N226))),OR('Offshore - Sydney'!G226&lt;&gt;0,ISNUMBER(SEARCH("Enrolment 0 terverifikasi",'Offshore - Sydney'!N226)))),1,0)</f>
        <v>0</v>
      </c>
      <c r="M1843" s="0" t="n">
        <f aca="false">IF(OR('Offshore - Sydney'!E226="",ISNUMBER(SEARCH("BSB80120",'Offshore - Sydney'!B226&amp;'Offshore - Sydney'!N226)),ISNUMBER(SEARCH("Management (Learning)",'Offshore - Sydney'!B226))),2,IF(ISNUMBER(SEARCH("CEK:",'Offshore - Sydney'!N226)),1,0))</f>
        <v>0</v>
      </c>
    </row>
    <row r="1844" customFormat="false" ht="15" hidden="false" customHeight="false" outlineLevel="0" collapsed="false">
      <c r="A1844" s="63" t="s">
        <v>3533</v>
      </c>
      <c r="B1844" s="64" t="s">
        <v>4583</v>
      </c>
      <c r="C1844" s="63" t="s">
        <v>43</v>
      </c>
      <c r="D1844" s="64" t="str">
        <f aca="false">TRIM(LEFT('Offshore - Sydney'!A982,FIND(CHAR(10),'Offshore - Sydney'!A982&amp;CHAR(10))-1))</f>
        <v>Western Sydney University</v>
      </c>
      <c r="E1844" s="63" t="str">
        <f aca="false">'Offshore - Sydney'!C1004&amp;""</f>
        <v>3 years</v>
      </c>
      <c r="F1844" s="63" t="str">
        <f aca="false">IF('Offshore - Sydney'!D1004="","Belum tercatat",'Offshore - Sydney'!D1004)</f>
        <v>Term</v>
      </c>
      <c r="G1844" s="65" t="n">
        <f aca="false">IF('Offshore - Sydney'!E1004="","-",'Offshore - Sydney'!E1004)</f>
        <v>9560</v>
      </c>
      <c r="H1844" s="63" t="n">
        <f aca="false">IF(ISNUMBER(K1844),COUNTIFS($J$6:$J$1854,J1844,$K$6:$K$1854,"&lt;"&amp;K1844)+1,"-")</f>
        <v>2</v>
      </c>
      <c r="I1844" s="64" t="str">
        <f aca="false">IF('Offshore - Sydney'!E1004="","Harga belum tersedia - hubungi konsultan TEG",IF(M1844=2,"Saat ini tidak menerima pendaftaran siswa internasional baru",IF(M1844=1,"Harga perlu dikonfirmasi ke sekolah"&amp;IF(""="","","; "&amp;""),"")))</f>
        <v/>
      </c>
      <c r="J1844" s="0" t="s">
        <v>4612</v>
      </c>
      <c r="K1844" s="0" t="n">
        <f aca="false">IF(M1844=2,"",IF(ISNUMBER(SEARCH("rata-rata:",'Offshore - Sydney'!N1004)),VALUE(MID('Offshore - Sydney'!N1004,SEARCH("rata-rata:",'Offshore - Sydney'!N1004)+11,FIND(";",'Offshore - Sydney'!N1004&amp;";",SEARCH("rata-rata:",'Offshore - Sydney'!N1004))-SEARCH("rata-rata:",'Offshore - Sydney'!N1004)-11)),IF('Offshore - Sydney'!D1004="Semester",'Offshore - Sydney'!E1004*2,IF('Offshore - Sydney'!D1004="Trimester",'Offshore - Sydney'!E1004*3,IF('Offshore - Sydney'!D1004="Term",'Offshore - Sydney'!E1004*4,IF('Offshore - Sydney'!D1004="Unit",'Offshore - Sydney'!E1004*8,""))))))</f>
        <v>38240</v>
      </c>
      <c r="L1844" s="0" t="n">
        <f aca="false">IF(AND(ISNUMBER('Offshore - Sydney'!E1004),ISNUMBER(K1844),ISNUMBER('Offshore - Sydney'!F1004),ISNUMBER('Offshore - Sydney'!G1004),OR('Offshore - Sydney'!F1004&lt;&gt;0,ISNUMBER(SEARCH("Material 0 terverifikasi",'Offshore - Sydney'!N1004))),OR('Offshore - Sydney'!G1004&lt;&gt;0,ISNUMBER(SEARCH("Enrolment 0 terverifikasi",'Offshore - Sydney'!N1004)))),1,0)</f>
        <v>0</v>
      </c>
      <c r="M1844" s="0" t="n">
        <f aca="false">IF(OR('Offshore - Sydney'!E1004="",ISNUMBER(SEARCH("BSB80120",'Offshore - Sydney'!B1004&amp;'Offshore - Sydney'!N1004)),ISNUMBER(SEARCH("Management (Learning)",'Offshore - Sydney'!B1004))),2,IF(ISNUMBER(SEARCH("CEK:",'Offshore - Sydney'!N1004)),1,0))</f>
        <v>0</v>
      </c>
    </row>
    <row r="1845" customFormat="false" ht="15" hidden="false" customHeight="false" outlineLevel="0" collapsed="false">
      <c r="A1845" s="61" t="s">
        <v>4613</v>
      </c>
      <c r="B1845" s="62"/>
      <c r="C1845" s="62"/>
      <c r="D1845" s="62"/>
      <c r="E1845" s="62"/>
      <c r="F1845" s="62"/>
      <c r="G1845" s="62"/>
      <c r="H1845" s="62"/>
      <c r="I1845" s="62"/>
    </row>
    <row r="1846" customFormat="false" ht="15" hidden="false" customHeight="false" outlineLevel="0" collapsed="false">
      <c r="A1846" s="63" t="s">
        <v>3533</v>
      </c>
      <c r="B1846" s="64" t="s">
        <v>4583</v>
      </c>
      <c r="C1846" s="63" t="s">
        <v>46</v>
      </c>
      <c r="D1846" s="64" t="str">
        <f aca="false">TRIM(LEFT('Offshore - Sydney'!A982,FIND(CHAR(10),'Offshore - Sydney'!A982&amp;CHAR(10))-1))</f>
        <v>Western Sydney University</v>
      </c>
      <c r="E1846" s="63" t="str">
        <f aca="false">'Offshore - Sydney'!C1123&amp;""</f>
        <v>2 years</v>
      </c>
      <c r="F1846" s="63" t="str">
        <f aca="false">IF('Offshore - Sydney'!D1123="","Belum tercatat",'Offshore - Sydney'!D1123)</f>
        <v>Term</v>
      </c>
      <c r="G1846" s="65" t="n">
        <f aca="false">IF('Offshore - Sydney'!E1123="","-",'Offshore - Sydney'!E1123)</f>
        <v>10305</v>
      </c>
      <c r="H1846" s="63" t="n">
        <f aca="false">IF(ISNUMBER(K1846),COUNTIFS($J$6:$J$1854,J1846,$K$6:$K$1854,"&lt;"&amp;K1846)+1,"-")</f>
        <v>1</v>
      </c>
      <c r="I1846" s="64" t="str">
        <f aca="false">IF('Offshore - Sydney'!E1123="","Harga belum tersedia - hubungi konsultan TEG",IF(M1846=2,"Saat ini tidak menerima pendaftaran siswa internasional baru",IF(M1846=1,"Harga perlu dikonfirmasi ke sekolah"&amp;IF(""="","","; "&amp;""),"")))</f>
        <v/>
      </c>
      <c r="J1846" s="0" t="s">
        <v>4614</v>
      </c>
      <c r="K1846" s="0" t="n">
        <f aca="false">IF(M1846=2,"",IF(ISNUMBER(SEARCH("rata-rata:",'Offshore - Sydney'!N1123)),VALUE(MID('Offshore - Sydney'!N1123,SEARCH("rata-rata:",'Offshore - Sydney'!N1123)+11,FIND(";",'Offshore - Sydney'!N1123&amp;";",SEARCH("rata-rata:",'Offshore - Sydney'!N1123))-SEARCH("rata-rata:",'Offshore - Sydney'!N1123)-11)),IF('Offshore - Sydney'!D1123="Semester",'Offshore - Sydney'!E1123*2,IF('Offshore - Sydney'!D1123="Trimester",'Offshore - Sydney'!E1123*3,IF('Offshore - Sydney'!D1123="Term",'Offshore - Sydney'!E1123*4,IF('Offshore - Sydney'!D1123="Unit",'Offshore - Sydney'!E1123*8,""))))))</f>
        <v>41220</v>
      </c>
      <c r="L1846" s="0" t="n">
        <f aca="false">IF(AND(ISNUMBER('Offshore - Sydney'!E1123),ISNUMBER(K1846),ISNUMBER('Offshore - Sydney'!F1123),ISNUMBER('Offshore - Sydney'!G1123),OR('Offshore - Sydney'!F1123&lt;&gt;0,ISNUMBER(SEARCH("Material 0 terverifikasi",'Offshore - Sydney'!N1123))),OR('Offshore - Sydney'!G1123&lt;&gt;0,ISNUMBER(SEARCH("Enrolment 0 terverifikasi",'Offshore - Sydney'!N1123)))),1,0)</f>
        <v>0</v>
      </c>
      <c r="M1846" s="0" t="n">
        <f aca="false">IF(OR('Offshore - Sydney'!E1123="",ISNUMBER(SEARCH("BSB80120",'Offshore - Sydney'!B1123&amp;'Offshore - Sydney'!N1123)),ISNUMBER(SEARCH("Management (Learning)",'Offshore - Sydney'!B1123))),2,IF(ISNUMBER(SEARCH("CEK:",'Offshore - Sydney'!N1123)),1,0))</f>
        <v>0</v>
      </c>
    </row>
    <row r="1847" customFormat="false" ht="15" hidden="false" customHeight="false" outlineLevel="0" collapsed="false">
      <c r="A1847" s="61" t="s">
        <v>4615</v>
      </c>
      <c r="B1847" s="62"/>
      <c r="C1847" s="62"/>
      <c r="D1847" s="62"/>
      <c r="E1847" s="62"/>
      <c r="F1847" s="62"/>
      <c r="G1847" s="62"/>
      <c r="H1847" s="62"/>
      <c r="I1847" s="62"/>
    </row>
    <row r="1848" customFormat="false" ht="15" hidden="false" customHeight="false" outlineLevel="0" collapsed="false">
      <c r="A1848" s="63" t="s">
        <v>3753</v>
      </c>
      <c r="B1848" s="64" t="s">
        <v>4583</v>
      </c>
      <c r="C1848" s="63" t="s">
        <v>42</v>
      </c>
      <c r="D1848" s="64" t="str">
        <f aca="false">TRIM(LEFT('Offshore - Tasmania Hobart'!A21,FIND(CHAR(10),'Offshore - Tasmania Hobart'!A21&amp;CHAR(10))-1))</f>
        <v>University of Tasmania (UTAS)</v>
      </c>
      <c r="E1848" s="63" t="str">
        <f aca="false">'Offshore - Tasmania Hobart'!C38&amp;""</f>
        <v>3 years</v>
      </c>
      <c r="F1848" s="63" t="str">
        <f aca="false">IF('Offshore - Tasmania Hobart'!D38="","Belum tercatat",'Offshore - Tasmania Hobart'!D38)</f>
        <v>Term</v>
      </c>
      <c r="G1848" s="65" t="n">
        <f aca="false">IF('Offshore - Tasmania Hobart'!E38="","-",'Offshore - Tasmania Hobart'!E38)</f>
        <v>6812.5</v>
      </c>
      <c r="H1848" s="63" t="n">
        <f aca="false">IF(ISNUMBER(K1848),COUNTIFS($J$6:$J$1854,J1848,$K$6:$K$1854,"&lt;"&amp;K1848)+1,"-")</f>
        <v>1</v>
      </c>
      <c r="I1848" s="64" t="str">
        <f aca="false">IF('Offshore - Tasmania Hobart'!E38="","Harga belum tersedia - hubungi konsultan TEG",IF(M1848=2,"Saat ini tidak menerima pendaftaran siswa internasional baru",IF(M1848=1,"Harga perlu dikonfirmasi ke sekolah"&amp;IF(""="","","; "&amp;""),"")))</f>
        <v>Harga perlu dikonfirmasi ke sekolah</v>
      </c>
      <c r="J1848" s="0" t="s">
        <v>4616</v>
      </c>
      <c r="K1848" s="0" t="n">
        <f aca="false">IF(M1848=2,"",IF(ISNUMBER(SEARCH("rata-rata:",'Offshore - Tasmania Hobart'!N38)),VALUE(MID('Offshore - Tasmania Hobart'!N38,SEARCH("rata-rata:",'Offshore - Tasmania Hobart'!N38)+11,FIND(";",'Offshore - Tasmania Hobart'!N38&amp;";",SEARCH("rata-rata:",'Offshore - Tasmania Hobart'!N38))-SEARCH("rata-rata:",'Offshore - Tasmania Hobart'!N38)-11)),IF('Offshore - Tasmania Hobart'!D38="Semester",'Offshore - Tasmania Hobart'!E38*2,IF('Offshore - Tasmania Hobart'!D38="Trimester",'Offshore - Tasmania Hobart'!E38*3,IF('Offshore - Tasmania Hobart'!D38="Term",'Offshore - Tasmania Hobart'!E38*4,IF('Offshore - Tasmania Hobart'!D38="Unit",'Offshore - Tasmania Hobart'!E38*8,""))))))</f>
        <v>27250</v>
      </c>
      <c r="L1848" s="0" t="n">
        <f aca="false">IF(AND(ISNUMBER('Offshore - Tasmania Hobart'!E38),ISNUMBER(K1848),ISNUMBER('Offshore - Tasmania Hobart'!F38),ISNUMBER('Offshore - Tasmania Hobart'!G38),OR('Offshore - Tasmania Hobart'!F38&lt;&gt;0,ISNUMBER(SEARCH("Material 0 terverifikasi",'Offshore - Tasmania Hobart'!N38))),OR('Offshore - Tasmania Hobart'!G38&lt;&gt;0,ISNUMBER(SEARCH("Enrolment 0 terverifikasi",'Offshore - Tasmania Hobart'!N38)))),1,0)</f>
        <v>0</v>
      </c>
      <c r="M1848" s="0" t="n">
        <f aca="false">IF(OR('Offshore - Tasmania Hobart'!E38="",ISNUMBER(SEARCH("BSB80120",'Offshore - Tasmania Hobart'!B38&amp;'Offshore - Tasmania Hobart'!N38)),ISNUMBER(SEARCH("Management (Learning)",'Offshore - Tasmania Hobart'!B38))),2,IF(ISNUMBER(SEARCH("CEK:",'Offshore - Tasmania Hobart'!N38)),1,0))</f>
        <v>1</v>
      </c>
    </row>
    <row r="1849" customFormat="false" ht="15" hidden="false" customHeight="false" outlineLevel="0" collapsed="false">
      <c r="A1849" s="61" t="s">
        <v>4617</v>
      </c>
      <c r="B1849" s="62"/>
      <c r="C1849" s="62"/>
      <c r="D1849" s="62"/>
      <c r="E1849" s="62"/>
      <c r="F1849" s="62"/>
      <c r="G1849" s="62"/>
      <c r="H1849" s="62"/>
      <c r="I1849" s="62"/>
    </row>
    <row r="1850" customFormat="false" ht="15" hidden="false" customHeight="false" outlineLevel="0" collapsed="false">
      <c r="A1850" s="63" t="s">
        <v>3753</v>
      </c>
      <c r="B1850" s="64" t="s">
        <v>4583</v>
      </c>
      <c r="C1850" s="63" t="s">
        <v>43</v>
      </c>
      <c r="D1850" s="64" t="str">
        <f aca="false">TRIM(LEFT('Offshore - Tasmania Hobart'!A21,FIND(CHAR(10),'Offshore - Tasmania Hobart'!A21&amp;CHAR(10))-1))</f>
        <v>University of Tasmania (UTAS)</v>
      </c>
      <c r="E1850" s="63" t="str">
        <f aca="false">'Offshore - Tasmania Hobart'!C46&amp;""</f>
        <v>3 years</v>
      </c>
      <c r="F1850" s="63" t="str">
        <f aca="false">IF('Offshore - Tasmania Hobart'!D46="","Belum tercatat",'Offshore - Tasmania Hobart'!D46)</f>
        <v>Term</v>
      </c>
      <c r="G1850" s="65" t="n">
        <f aca="false">IF('Offshore - Tasmania Hobart'!E46="","-",'Offshore - Tasmania Hobart'!E46)</f>
        <v>12487.5</v>
      </c>
      <c r="H1850" s="63" t="n">
        <f aca="false">IF(ISNUMBER(K1850),COUNTIFS($J$6:$J$1854,J1850,$K$6:$K$1854,"&lt;"&amp;K1850)+1,"-")</f>
        <v>1</v>
      </c>
      <c r="I1850" s="64" t="str">
        <f aca="false">IF('Offshore - Tasmania Hobart'!E46="","Harga belum tersedia - hubungi konsultan TEG",IF(M1850=2,"Saat ini tidak menerima pendaftaran siswa internasional baru",IF(M1850=1,"Harga perlu dikonfirmasi ke sekolah"&amp;IF(""="","","; "&amp;""),"")))</f>
        <v/>
      </c>
      <c r="J1850" s="0" t="s">
        <v>4618</v>
      </c>
      <c r="K1850" s="0" t="n">
        <f aca="false">IF(M1850=2,"",IF(ISNUMBER(SEARCH("rata-rata:",'Offshore - Tasmania Hobart'!N46)),VALUE(MID('Offshore - Tasmania Hobart'!N46,SEARCH("rata-rata:",'Offshore - Tasmania Hobart'!N46)+11,FIND(";",'Offshore - Tasmania Hobart'!N46&amp;";",SEARCH("rata-rata:",'Offshore - Tasmania Hobart'!N46))-SEARCH("rata-rata:",'Offshore - Tasmania Hobart'!N46)-11)),IF('Offshore - Tasmania Hobart'!D46="Semester",'Offshore - Tasmania Hobart'!E46*2,IF('Offshore - Tasmania Hobart'!D46="Trimester",'Offshore - Tasmania Hobart'!E46*3,IF('Offshore - Tasmania Hobart'!D46="Term",'Offshore - Tasmania Hobart'!E46*4,IF('Offshore - Tasmania Hobart'!D46="Unit",'Offshore - Tasmania Hobart'!E46*8,""))))))</f>
        <v>49950</v>
      </c>
      <c r="L1850" s="0" t="n">
        <f aca="false">IF(AND(ISNUMBER('Offshore - Tasmania Hobart'!E46),ISNUMBER(K1850),ISNUMBER('Offshore - Tasmania Hobart'!F46),ISNUMBER('Offshore - Tasmania Hobart'!G46),OR('Offshore - Tasmania Hobart'!F46&lt;&gt;0,ISNUMBER(SEARCH("Material 0 terverifikasi",'Offshore - Tasmania Hobart'!N46))),OR('Offshore - Tasmania Hobart'!G46&lt;&gt;0,ISNUMBER(SEARCH("Enrolment 0 terverifikasi",'Offshore - Tasmania Hobart'!N46)))),1,0)</f>
        <v>0</v>
      </c>
      <c r="M1850" s="0" t="n">
        <f aca="false">IF(OR('Offshore - Tasmania Hobart'!E46="",ISNUMBER(SEARCH("BSB80120",'Offshore - Tasmania Hobart'!B46&amp;'Offshore - Tasmania Hobart'!N46)),ISNUMBER(SEARCH("Management (Learning)",'Offshore - Tasmania Hobart'!B46))),2,IF(ISNUMBER(SEARCH("CEK:",'Offshore - Tasmania Hobart'!N46)),1,0))</f>
        <v>0</v>
      </c>
    </row>
    <row r="1851" customFormat="false" ht="15" hidden="false" customHeight="false" outlineLevel="0" collapsed="false">
      <c r="A1851" s="61" t="s">
        <v>4619</v>
      </c>
      <c r="B1851" s="62"/>
      <c r="C1851" s="62"/>
      <c r="D1851" s="62"/>
      <c r="E1851" s="62"/>
      <c r="F1851" s="62"/>
      <c r="G1851" s="62"/>
      <c r="H1851" s="62"/>
      <c r="I1851" s="62"/>
    </row>
    <row r="1852" customFormat="false" ht="15" hidden="false" customHeight="false" outlineLevel="0" collapsed="false">
      <c r="A1852" s="63" t="s">
        <v>3753</v>
      </c>
      <c r="B1852" s="64" t="s">
        <v>4583</v>
      </c>
      <c r="C1852" s="63" t="s">
        <v>3707</v>
      </c>
      <c r="D1852" s="64" t="str">
        <f aca="false">TRIM(LEFT('Offshore - Tasmania Hobart'!A21,FIND(CHAR(10),'Offshore - Tasmania Hobart'!A21&amp;CHAR(10))-1))</f>
        <v>University of Tasmania (UTAS)</v>
      </c>
      <c r="E1852" s="63" t="str">
        <f aca="false">'Offshore - Tasmania Hobart'!C48&amp;""</f>
        <v>1 year</v>
      </c>
      <c r="F1852" s="63" t="str">
        <f aca="false">IF('Offshore - Tasmania Hobart'!D48="","Belum tercatat",'Offshore - Tasmania Hobart'!D48)</f>
        <v>Term</v>
      </c>
      <c r="G1852" s="65" t="n">
        <f aca="false">IF('Offshore - Tasmania Hobart'!E48="","-",'Offshore - Tasmania Hobart'!E48)</f>
        <v>9312.5</v>
      </c>
      <c r="H1852" s="63" t="n">
        <f aca="false">IF(ISNUMBER(K1852),COUNTIFS($J$6:$J$1854,J1852,$K$6:$K$1854,"&lt;"&amp;K1852)+1,"-")</f>
        <v>1</v>
      </c>
      <c r="I1852" s="64" t="str">
        <f aca="false">IF('Offshore - Tasmania Hobart'!E48="","Harga belum tersedia - hubungi konsultan TEG",IF(M1852=2,"Saat ini tidak menerima pendaftaran siswa internasional baru",IF(M1852=1,"Harga perlu dikonfirmasi ke sekolah"&amp;IF(""="","","; "&amp;""),"")))</f>
        <v/>
      </c>
      <c r="J1852" s="0" t="s">
        <v>4620</v>
      </c>
      <c r="K1852" s="0" t="n">
        <f aca="false">IF(M1852=2,"",IF(ISNUMBER(SEARCH("rata-rata:",'Offshore - Tasmania Hobart'!N48)),VALUE(MID('Offshore - Tasmania Hobart'!N48,SEARCH("rata-rata:",'Offshore - Tasmania Hobart'!N48)+11,FIND(";",'Offshore - Tasmania Hobart'!N48&amp;";",SEARCH("rata-rata:",'Offshore - Tasmania Hobart'!N48))-SEARCH("rata-rata:",'Offshore - Tasmania Hobart'!N48)-11)),IF('Offshore - Tasmania Hobart'!D48="Semester",'Offshore - Tasmania Hobart'!E48*2,IF('Offshore - Tasmania Hobart'!D48="Trimester",'Offshore - Tasmania Hobart'!E48*3,IF('Offshore - Tasmania Hobart'!D48="Term",'Offshore - Tasmania Hobart'!E48*4,IF('Offshore - Tasmania Hobart'!D48="Unit",'Offshore - Tasmania Hobart'!E48*8,""))))))</f>
        <v>37250</v>
      </c>
      <c r="L1852" s="0" t="n">
        <f aca="false">IF(AND(ISNUMBER('Offshore - Tasmania Hobart'!E48),ISNUMBER(K1852),ISNUMBER('Offshore - Tasmania Hobart'!F48),ISNUMBER('Offshore - Tasmania Hobart'!G48),OR('Offshore - Tasmania Hobart'!F48&lt;&gt;0,ISNUMBER(SEARCH("Material 0 terverifikasi",'Offshore - Tasmania Hobart'!N48))),OR('Offshore - Tasmania Hobart'!G48&lt;&gt;0,ISNUMBER(SEARCH("Enrolment 0 terverifikasi",'Offshore - Tasmania Hobart'!N48)))),1,0)</f>
        <v>0</v>
      </c>
      <c r="M1852" s="0" t="n">
        <f aca="false">IF(OR('Offshore - Tasmania Hobart'!E48="",ISNUMBER(SEARCH("BSB80120",'Offshore - Tasmania Hobart'!B48&amp;'Offshore - Tasmania Hobart'!N48)),ISNUMBER(SEARCH("Management (Learning)",'Offshore - Tasmania Hobart'!B48))),2,IF(ISNUMBER(SEARCH("CEK:",'Offshore - Tasmania Hobart'!N48)),1,0))</f>
        <v>0</v>
      </c>
    </row>
    <row r="1853" customFormat="false" ht="15" hidden="false" customHeight="false" outlineLevel="0" collapsed="false">
      <c r="A1853" s="61" t="s">
        <v>4621</v>
      </c>
      <c r="B1853" s="62"/>
      <c r="C1853" s="62"/>
      <c r="D1853" s="62"/>
      <c r="E1853" s="62"/>
      <c r="F1853" s="62"/>
      <c r="G1853" s="62"/>
      <c r="H1853" s="62"/>
      <c r="I1853" s="62"/>
    </row>
    <row r="1854" customFormat="false" ht="15" hidden="false" customHeight="false" outlineLevel="0" collapsed="false">
      <c r="A1854" s="63" t="s">
        <v>3753</v>
      </c>
      <c r="B1854" s="64" t="s">
        <v>4583</v>
      </c>
      <c r="C1854" s="63" t="s">
        <v>46</v>
      </c>
      <c r="D1854" s="64" t="str">
        <f aca="false">TRIM(LEFT('Offshore - Tasmania Hobart'!A21,FIND(CHAR(10),'Offshore - Tasmania Hobart'!A21&amp;CHAR(10))-1))</f>
        <v>University of Tasmania (UTAS)</v>
      </c>
      <c r="E1854" s="63" t="str">
        <f aca="false">'Offshore - Tasmania Hobart'!C64&amp;""</f>
        <v>2 years</v>
      </c>
      <c r="F1854" s="63" t="str">
        <f aca="false">IF('Offshore - Tasmania Hobart'!D64="","Belum tercatat",'Offshore - Tasmania Hobart'!D64)</f>
        <v>Term</v>
      </c>
      <c r="G1854" s="65" t="n">
        <f aca="false">IF('Offshore - Tasmania Hobart'!E64="","-",'Offshore - Tasmania Hobart'!E64)</f>
        <v>10362.5</v>
      </c>
      <c r="H1854" s="63" t="n">
        <f aca="false">IF(ISNUMBER(K1854),COUNTIFS($J$6:$J$1854,J1854,$K$6:$K$1854,"&lt;"&amp;K1854)+1,"-")</f>
        <v>1</v>
      </c>
      <c r="I1854" s="64" t="str">
        <f aca="false">IF('Offshore - Tasmania Hobart'!E64="","Harga belum tersedia - hubungi konsultan TEG",IF(M1854=2,"Saat ini tidak menerima pendaftaran siswa internasional baru",IF(M1854=1,"Harga perlu dikonfirmasi ke sekolah"&amp;IF(""="","","; "&amp;""),"")))</f>
        <v>Harga perlu dikonfirmasi ke sekolah</v>
      </c>
      <c r="J1854" s="0" t="s">
        <v>4622</v>
      </c>
      <c r="K1854" s="0" t="n">
        <f aca="false">IF(M1854=2,"",IF(ISNUMBER(SEARCH("rata-rata:",'Offshore - Tasmania Hobart'!N64)),VALUE(MID('Offshore - Tasmania Hobart'!N64,SEARCH("rata-rata:",'Offshore - Tasmania Hobart'!N64)+11,FIND(";",'Offshore - Tasmania Hobart'!N64&amp;";",SEARCH("rata-rata:",'Offshore - Tasmania Hobart'!N64))-SEARCH("rata-rata:",'Offshore - Tasmania Hobart'!N64)-11)),IF('Offshore - Tasmania Hobart'!D64="Semester",'Offshore - Tasmania Hobart'!E64*2,IF('Offshore - Tasmania Hobart'!D64="Trimester",'Offshore - Tasmania Hobart'!E64*3,IF('Offshore - Tasmania Hobart'!D64="Term",'Offshore - Tasmania Hobart'!E64*4,IF('Offshore - Tasmania Hobart'!D64="Unit",'Offshore - Tasmania Hobart'!E64*8,""))))))</f>
        <v>41450</v>
      </c>
      <c r="L1854" s="0" t="n">
        <f aca="false">IF(AND(ISNUMBER('Offshore - Tasmania Hobart'!E64),ISNUMBER(K1854),ISNUMBER('Offshore - Tasmania Hobart'!F64),ISNUMBER('Offshore - Tasmania Hobart'!G64),OR('Offshore - Tasmania Hobart'!F64&lt;&gt;0,ISNUMBER(SEARCH("Material 0 terverifikasi",'Offshore - Tasmania Hobart'!N64))),OR('Offshore - Tasmania Hobart'!G64&lt;&gt;0,ISNUMBER(SEARCH("Enrolment 0 terverifikasi",'Offshore - Tasmania Hobart'!N64)))),1,0)</f>
        <v>0</v>
      </c>
      <c r="M1854" s="0" t="n">
        <f aca="false">IF(OR('Offshore - Tasmania Hobart'!E64="",ISNUMBER(SEARCH("BSB80120",'Offshore - Tasmania Hobart'!B64&amp;'Offshore - Tasmania Hobart'!N64)),ISNUMBER(SEARCH("Management (Learning)",'Offshore - Tasmania Hobart'!B64))),2,IF(ISNUMBER(SEARCH("CEK:",'Offshore - Tasmania Hobart'!N64)),1,0))</f>
        <v>1</v>
      </c>
    </row>
  </sheetData>
  <autoFilter ref="A5:I1854"/>
  <mergeCells count="2">
    <mergeCell ref="A2:I2"/>
    <mergeCell ref="A3:I3"/>
  </mergeCells>
  <conditionalFormatting sqref="A6:I1854">
    <cfRule type="expression" priority="2" aboveAverage="0" equalAverage="0" bottom="0" percent="0" rank="0" text="" dxfId="11">
      <formula>$H6=1</formula>
    </cfRule>
  </conditionalFormatting>
  <conditionalFormatting sqref="G6:G1854">
    <cfRule type="expression" priority="3" aboveAverage="0" equalAverage="0" bottom="0" percent="0" rank="0" text="" dxfId="12">
      <formula>AND(ISNUMBER($G6),$L6=0)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19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28"/>
    <col collapsed="false" customWidth="true" hidden="false" outlineLevel="0" max="3" min="3" style="0" width="20"/>
    <col collapsed="false" customWidth="true" hidden="false" outlineLevel="0" max="4" min="4" style="0" width="40"/>
    <col collapsed="false" customWidth="true" hidden="false" outlineLevel="0" max="5" min="5" style="0" width="16"/>
    <col collapsed="false" customWidth="true" hidden="false" outlineLevel="0" max="6" min="6" style="0" width="11"/>
    <col collapsed="false" customWidth="true" hidden="false" outlineLevel="0" max="7" min="7" style="0" width="13"/>
    <col collapsed="false" customWidth="true" hidden="false" outlineLevel="0" max="8" min="8" style="0" width="12"/>
    <col collapsed="false" customWidth="true" hidden="false" outlineLevel="0" max="9" min="9" style="0" width="40"/>
    <col collapsed="false" customWidth="true" hidden="true" outlineLevel="0" max="13" min="10" style="0" width="13"/>
  </cols>
  <sheetData>
    <row r="1" customFormat="false" ht="17.35" hidden="false" customHeight="false" outlineLevel="0" collapsed="false">
      <c r="A1" s="58" t="s">
        <v>4623</v>
      </c>
    </row>
    <row r="2" customFormat="false" ht="31.5" hidden="false" customHeight="true" outlineLevel="0" collapsed="false">
      <c r="A2" s="59" t="s">
        <v>3687</v>
      </c>
      <c r="B2" s="59"/>
      <c r="C2" s="59"/>
      <c r="D2" s="59"/>
      <c r="E2" s="59"/>
      <c r="F2" s="59"/>
      <c r="G2" s="59"/>
      <c r="H2" s="59"/>
      <c r="I2" s="59"/>
    </row>
    <row r="3" customFormat="false" ht="43.5" hidden="false" customHeight="true" outlineLevel="0" collapsed="false">
      <c r="A3" s="59" t="s">
        <v>4624</v>
      </c>
      <c r="B3" s="59"/>
      <c r="C3" s="59"/>
      <c r="D3" s="59"/>
      <c r="E3" s="59"/>
      <c r="F3" s="59"/>
      <c r="G3" s="59"/>
      <c r="H3" s="59"/>
      <c r="I3" s="59"/>
    </row>
    <row r="4" customFormat="false" ht="15" hidden="false" customHeight="true" outlineLevel="0" collapsed="false">
      <c r="A4" s="66" t="s">
        <v>4625</v>
      </c>
      <c r="B4" s="66"/>
      <c r="C4" s="66"/>
      <c r="D4" s="66"/>
      <c r="E4" s="66"/>
      <c r="F4" s="66"/>
      <c r="G4" s="66"/>
      <c r="H4" s="66"/>
      <c r="I4" s="66"/>
    </row>
    <row r="5" customFormat="false" ht="55.2" hidden="false" customHeight="false" outlineLevel="0" collapsed="false">
      <c r="A5" s="60" t="s">
        <v>3520</v>
      </c>
      <c r="B5" s="60" t="s">
        <v>3689</v>
      </c>
      <c r="C5" s="60" t="s">
        <v>3690</v>
      </c>
      <c r="D5" s="60" t="s">
        <v>3519</v>
      </c>
      <c r="E5" s="60" t="s">
        <v>95</v>
      </c>
      <c r="F5" s="60" t="s">
        <v>96</v>
      </c>
      <c r="G5" s="60" t="s">
        <v>3691</v>
      </c>
      <c r="H5" s="60" t="s">
        <v>3692</v>
      </c>
      <c r="I5" s="60" t="s">
        <v>27</v>
      </c>
      <c r="J5" s="0" t="s">
        <v>3693</v>
      </c>
      <c r="K5" s="0" t="s">
        <v>3694</v>
      </c>
      <c r="L5" s="0" t="s">
        <v>3695</v>
      </c>
      <c r="M5" s="0" t="s">
        <v>3696</v>
      </c>
    </row>
    <row r="6" customFormat="false" ht="15" hidden="false" customHeight="false" outlineLevel="0" collapsed="false">
      <c r="A6" s="61" t="s">
        <v>3697</v>
      </c>
      <c r="B6" s="62"/>
      <c r="C6" s="62"/>
      <c r="D6" s="62"/>
      <c r="E6" s="62"/>
      <c r="F6" s="62"/>
      <c r="G6" s="62"/>
      <c r="H6" s="62"/>
      <c r="I6" s="62"/>
    </row>
    <row r="7" customFormat="false" ht="15" hidden="false" customHeight="false" outlineLevel="0" collapsed="false">
      <c r="A7" s="63" t="s">
        <v>3659</v>
      </c>
      <c r="B7" s="64" t="s">
        <v>3698</v>
      </c>
      <c r="C7" s="63" t="s">
        <v>40</v>
      </c>
      <c r="D7" s="64" t="str">
        <f aca="false">TRIM(LEFT('Onshore - Adelaide'!A402,FIND(CHAR(10),'Onshore - Adelaide'!A402&amp;CHAR(10))-1))</f>
        <v>Australian Ideal College (AIC)</v>
      </c>
      <c r="E7" s="63" t="str">
        <f aca="false">'Onshore - Adelaide'!C406&amp;""</f>
        <v>1,5 years</v>
      </c>
      <c r="F7" s="63" t="str">
        <f aca="false">IF('Onshore - Adelaide'!D406="","Belum tercatat",'Onshore - Adelaide'!D406)</f>
        <v>Term</v>
      </c>
      <c r="G7" s="65" t="n">
        <f aca="false">IF('Onshore - Adelaide'!E406="","-",'Onshore - Adelaide'!E406)</f>
        <v>1500</v>
      </c>
      <c r="H7" s="63" t="n">
        <f aca="false">IF(ISNUMBER(K7),COUNTIFS($J$6:$J$1916,J7,$K$6:$K$1916,"&lt;"&amp;K7)+1,"-")</f>
        <v>1</v>
      </c>
      <c r="I7" s="64" t="str">
        <f aca="false">IF('Onshore - Adelaide'!E406="","Harga belum tersedia - hubungi konsultan TEG",IF(M7=2,"Saat ini tidak menerima pendaftaran siswa internasional baru",IF(M7=1,"Harga perlu dikonfirmasi ke sekolah"&amp;IF(""="","","; "&amp;""),"")))</f>
        <v/>
      </c>
      <c r="J7" s="0" t="s">
        <v>3699</v>
      </c>
      <c r="K7" s="0" t="n">
        <f aca="false">IF(M7=2,"",IF(ISNUMBER(SEARCH("rata-rata:",'Onshore - Adelaide'!M406)),VALUE(MID('Onshore - Adelaide'!M406,SEARCH("rata-rata:",'Onshore - Adelaide'!M406)+11,FIND(";",'Onshore - Adelaide'!M406&amp;";",SEARCH("rata-rata:",'Onshore - Adelaide'!M406))-SEARCH("rata-rata:",'Onshore - Adelaide'!M406)-11)),IF('Onshore - Adelaide'!D406="Semester",'Onshore - Adelaide'!E406*2,IF('Onshore - Adelaide'!D406="Trimester",'Onshore - Adelaide'!E406*3,IF('Onshore - Adelaide'!D406="Term",'Onshore - Adelaide'!E406*4,IF('Onshore - Adelaide'!D406="Unit",'Onshore - Adelaide'!E406*8,""))))))</f>
        <v>6000</v>
      </c>
      <c r="L7" s="0" t="n">
        <f aca="false">IF(AND(ISNUMBER('Onshore - Adelaide'!E406),ISNUMBER(K7),ISNUMBER('Onshore - Adelaide'!F406),ISNUMBER('Onshore - Adelaide'!G406),OR('Onshore - Adelaide'!F406&lt;&gt;0,ISNUMBER(SEARCH("Material 0 terverifikasi",'Onshore - Adelaide'!M406))),OR('Onshore - Adelaide'!G406&lt;&gt;0,ISNUMBER(SEARCH("Enrolment 0 terverifikasi",'Onshore - Adelaide'!M406)))),1,0)</f>
        <v>1</v>
      </c>
      <c r="M7" s="0" t="n">
        <f aca="false">IF(OR('Onshore - Adelaide'!E406="",ISNUMBER(SEARCH("BSB80120",'Onshore - Adelaide'!B406&amp;'Onshore - Adelaide'!M406)),ISNUMBER(SEARCH("Management (Learning)",'Onshore - Adelaide'!B406))),2,IF(ISNUMBER(SEARCH("CEK:",'Onshore - Adelaide'!M406)),1,0))</f>
        <v>0</v>
      </c>
    </row>
    <row r="8" customFormat="false" ht="15" hidden="false" customHeight="false" outlineLevel="0" collapsed="false">
      <c r="A8" s="61" t="s">
        <v>3700</v>
      </c>
      <c r="B8" s="62"/>
      <c r="C8" s="62"/>
      <c r="D8" s="62"/>
      <c r="E8" s="62"/>
      <c r="F8" s="62"/>
      <c r="G8" s="62"/>
      <c r="H8" s="62"/>
      <c r="I8" s="62"/>
    </row>
    <row r="9" customFormat="false" ht="15" hidden="false" customHeight="false" outlineLevel="0" collapsed="false">
      <c r="A9" s="63" t="s">
        <v>3659</v>
      </c>
      <c r="B9" s="64" t="s">
        <v>3698</v>
      </c>
      <c r="C9" s="63" t="s">
        <v>41</v>
      </c>
      <c r="D9" s="64" t="str">
        <f aca="false">TRIM(LEFT('Onshore - Adelaide'!A402,FIND(CHAR(10),'Onshore - Adelaide'!A402&amp;CHAR(10))-1))</f>
        <v>Australian Ideal College (AIC)</v>
      </c>
      <c r="E9" s="63" t="str">
        <f aca="false">'Onshore - Adelaide'!C407&amp;""</f>
        <v>2,5 years</v>
      </c>
      <c r="F9" s="63" t="str">
        <f aca="false">IF('Onshore - Adelaide'!D407="","Belum tercatat",'Onshore - Adelaide'!D407)</f>
        <v>Term</v>
      </c>
      <c r="G9" s="65" t="n">
        <f aca="false">IF('Onshore - Adelaide'!E407="","-",'Onshore - Adelaide'!E407)</f>
        <v>1500</v>
      </c>
      <c r="H9" s="63" t="n">
        <f aca="false">IF(ISNUMBER(K9),COUNTIFS($J$6:$J$1916,J9,$K$6:$K$1916,"&lt;"&amp;K9)+1,"-")</f>
        <v>1</v>
      </c>
      <c r="I9" s="64" t="str">
        <f aca="false">IF('Onshore - Adelaide'!E407="","Harga belum tersedia - hubungi konsultan TEG",IF(M9=2,"Saat ini tidak menerima pendaftaran siswa internasional baru",IF(M9=1,"Harga perlu dikonfirmasi ke sekolah"&amp;IF(""="","","; "&amp;""),"")))</f>
        <v/>
      </c>
      <c r="J9" s="0" t="s">
        <v>3701</v>
      </c>
      <c r="K9" s="0" t="n">
        <f aca="false">IF(M9=2,"",IF(ISNUMBER(SEARCH("rata-rata:",'Onshore - Adelaide'!M407)),VALUE(MID('Onshore - Adelaide'!M407,SEARCH("rata-rata:",'Onshore - Adelaide'!M407)+11,FIND(";",'Onshore - Adelaide'!M407&amp;";",SEARCH("rata-rata:",'Onshore - Adelaide'!M407))-SEARCH("rata-rata:",'Onshore - Adelaide'!M407)-11)),IF('Onshore - Adelaide'!D407="Semester",'Onshore - Adelaide'!E407*2,IF('Onshore - Adelaide'!D407="Trimester",'Onshore - Adelaide'!E407*3,IF('Onshore - Adelaide'!D407="Term",'Onshore - Adelaide'!E407*4,IF('Onshore - Adelaide'!D407="Unit",'Onshore - Adelaide'!E407*8,""))))))</f>
        <v>6000</v>
      </c>
      <c r="L9" s="0" t="n">
        <f aca="false">IF(AND(ISNUMBER('Onshore - Adelaide'!E407),ISNUMBER(K9),ISNUMBER('Onshore - Adelaide'!F407),ISNUMBER('Onshore - Adelaide'!G407),OR('Onshore - Adelaide'!F407&lt;&gt;0,ISNUMBER(SEARCH("Material 0 terverifikasi",'Onshore - Adelaide'!M407))),OR('Onshore - Adelaide'!G407&lt;&gt;0,ISNUMBER(SEARCH("Enrolment 0 terverifikasi",'Onshore - Adelaide'!M407)))),1,0)</f>
        <v>1</v>
      </c>
      <c r="M9" s="0" t="n">
        <f aca="false">IF(OR('Onshore - Adelaide'!E407="",ISNUMBER(SEARCH("BSB80120",'Onshore - Adelaide'!B407&amp;'Onshore - Adelaide'!M407)),ISNUMBER(SEARCH("Management (Learning)",'Onshore - Adelaide'!B407))),2,IF(ISNUMBER(SEARCH("CEK:",'Onshore - Adelaide'!M407)),1,0))</f>
        <v>0</v>
      </c>
    </row>
    <row r="10" customFormat="false" ht="15" hidden="false" customHeight="false" outlineLevel="0" collapsed="false">
      <c r="A10" s="61" t="s">
        <v>3702</v>
      </c>
      <c r="B10" s="62"/>
      <c r="C10" s="62"/>
      <c r="D10" s="62"/>
      <c r="E10" s="62"/>
      <c r="F10" s="62"/>
      <c r="G10" s="62"/>
      <c r="H10" s="62"/>
      <c r="I10" s="62"/>
    </row>
    <row r="11" customFormat="false" ht="15" hidden="false" customHeight="false" outlineLevel="0" collapsed="false">
      <c r="A11" s="63" t="s">
        <v>3659</v>
      </c>
      <c r="B11" s="64" t="s">
        <v>3698</v>
      </c>
      <c r="C11" s="63" t="s">
        <v>42</v>
      </c>
      <c r="D11" s="64" t="str">
        <f aca="false">TRIM(LEFT('Onshore - Adelaide'!A402,FIND(CHAR(10),'Onshore - Adelaide'!A402&amp;CHAR(10))-1))</f>
        <v>Australian Ideal College (AIC)</v>
      </c>
      <c r="E11" s="63" t="str">
        <f aca="false">'Onshore - Adelaide'!C409&amp;""</f>
        <v>1 year</v>
      </c>
      <c r="F11" s="63" t="str">
        <f aca="false">IF('Onshore - Adelaide'!D409="","Belum tercatat",'Onshore - Adelaide'!D409)</f>
        <v>Term</v>
      </c>
      <c r="G11" s="65" t="n">
        <f aca="false">IF('Onshore - Adelaide'!E409="","-",'Onshore - Adelaide'!E409)</f>
        <v>1500</v>
      </c>
      <c r="H11" s="63" t="n">
        <f aca="false">IF(ISNUMBER(K11),COUNTIFS($J$6:$J$1916,J11,$K$6:$K$1916,"&lt;"&amp;K11)+1,"-")</f>
        <v>1</v>
      </c>
      <c r="I11" s="64" t="str">
        <f aca="false">IF('Onshore - Adelaide'!E409="","Harga belum tersedia - hubungi konsultan TEG",IF(M11=2,"Saat ini tidak menerima pendaftaran siswa internasional baru",IF(M11=1,"Harga perlu dikonfirmasi ke sekolah"&amp;IF(""="","","; "&amp;""),"")))</f>
        <v/>
      </c>
      <c r="J11" s="0" t="s">
        <v>3703</v>
      </c>
      <c r="K11" s="0" t="n">
        <f aca="false">IF(M11=2,"",IF(ISNUMBER(SEARCH("rata-rata:",'Onshore - Adelaide'!M409)),VALUE(MID('Onshore - Adelaide'!M409,SEARCH("rata-rata:",'Onshore - Adelaide'!M409)+11,FIND(";",'Onshore - Adelaide'!M409&amp;";",SEARCH("rata-rata:",'Onshore - Adelaide'!M409))-SEARCH("rata-rata:",'Onshore - Adelaide'!M409)-11)),IF('Onshore - Adelaide'!D409="Semester",'Onshore - Adelaide'!E409*2,IF('Onshore - Adelaide'!D409="Trimester",'Onshore - Adelaide'!E409*3,IF('Onshore - Adelaide'!D409="Term",'Onshore - Adelaide'!E409*4,IF('Onshore - Adelaide'!D409="Unit",'Onshore - Adelaide'!E409*8,""))))))</f>
        <v>6000</v>
      </c>
      <c r="L11" s="0" t="n">
        <f aca="false">IF(AND(ISNUMBER('Onshore - Adelaide'!E409),ISNUMBER(K11),ISNUMBER('Onshore - Adelaide'!F409),ISNUMBER('Onshore - Adelaide'!G409),OR('Onshore - Adelaide'!F409&lt;&gt;0,ISNUMBER(SEARCH("Material 0 terverifikasi",'Onshore - Adelaide'!M409))),OR('Onshore - Adelaide'!G409&lt;&gt;0,ISNUMBER(SEARCH("Enrolment 0 terverifikasi",'Onshore - Adelaide'!M409)))),1,0)</f>
        <v>1</v>
      </c>
      <c r="M11" s="0" t="n">
        <f aca="false">IF(OR('Onshore - Adelaide'!E409="",ISNUMBER(SEARCH("BSB80120",'Onshore - Adelaide'!B409&amp;'Onshore - Adelaide'!M409)),ISNUMBER(SEARCH("Management (Learning)",'Onshore - Adelaide'!B409))),2,IF(ISNUMBER(SEARCH("CEK:",'Onshore - Adelaide'!M409)),1,0))</f>
        <v>0</v>
      </c>
    </row>
    <row r="12" customFormat="false" ht="15" hidden="false" customHeight="false" outlineLevel="0" collapsed="false">
      <c r="A12" s="61" t="s">
        <v>3704</v>
      </c>
      <c r="B12" s="62"/>
      <c r="C12" s="62"/>
      <c r="D12" s="62"/>
      <c r="E12" s="62"/>
      <c r="F12" s="62"/>
      <c r="G12" s="62"/>
      <c r="H12" s="62"/>
      <c r="I12" s="62"/>
    </row>
    <row r="13" customFormat="false" ht="15" hidden="false" customHeight="false" outlineLevel="0" collapsed="false">
      <c r="A13" s="63" t="s">
        <v>3659</v>
      </c>
      <c r="B13" s="64" t="s">
        <v>3698</v>
      </c>
      <c r="C13" s="63" t="s">
        <v>43</v>
      </c>
      <c r="D13" s="64" t="str">
        <f aca="false">TRIM(LEFT('Onshore - Adelaide'!A15,FIND(CHAR(10),'Onshore - Adelaide'!A15&amp;CHAR(10))-1))</f>
        <v>Adelaide University</v>
      </c>
      <c r="E13" s="63" t="str">
        <f aca="false">'Onshore - Adelaide'!C22&amp;""</f>
        <v>3 years</v>
      </c>
      <c r="F13" s="63" t="str">
        <f aca="false">IF('Onshore - Adelaide'!D22="","Belum tercatat",'Onshore - Adelaide'!D22)</f>
        <v>Term</v>
      </c>
      <c r="G13" s="65" t="n">
        <f aca="false">IF('Onshore - Adelaide'!E22="","-",'Onshore - Adelaide'!E22)</f>
        <v>11275</v>
      </c>
      <c r="H13" s="63" t="n">
        <f aca="false">IF(ISNUMBER(K13),COUNTIFS($J$6:$J$1916,J13,$K$6:$K$1916,"&lt;"&amp;K13)+1,"-")</f>
        <v>1</v>
      </c>
      <c r="I13" s="64" t="str">
        <f aca="false">IF('Onshore - Adelaide'!E22="","Harga belum tersedia - hubungi konsultan TEG",IF(M13=2,"Saat ini tidak menerima pendaftaran siswa internasional baru",IF(M13=1,"Harga perlu dikonfirmasi ke sekolah"&amp;IF(""="","","; "&amp;""),"")))</f>
        <v/>
      </c>
      <c r="J13" s="0" t="s">
        <v>3705</v>
      </c>
      <c r="K13" s="0" t="n">
        <f aca="false">IF(M13=2,"",IF(ISNUMBER(SEARCH("rata-rata:",'Onshore - Adelaide'!M22)),VALUE(MID('Onshore - Adelaide'!M22,SEARCH("rata-rata:",'Onshore - Adelaide'!M22)+11,FIND(";",'Onshore - Adelaide'!M22&amp;";",SEARCH("rata-rata:",'Onshore - Adelaide'!M22))-SEARCH("rata-rata:",'Onshore - Adelaide'!M22)-11)),IF('Onshore - Adelaide'!D22="Semester",'Onshore - Adelaide'!E22*2,IF('Onshore - Adelaide'!D22="Trimester",'Onshore - Adelaide'!E22*3,IF('Onshore - Adelaide'!D22="Term",'Onshore - Adelaide'!E22*4,IF('Onshore - Adelaide'!D22="Unit",'Onshore - Adelaide'!E22*8,""))))))</f>
        <v>45100</v>
      </c>
      <c r="L13" s="0" t="n">
        <f aca="false">IF(AND(ISNUMBER('Onshore - Adelaide'!E22),ISNUMBER(K13),ISNUMBER('Onshore - Adelaide'!F22),ISNUMBER('Onshore - Adelaide'!G22),OR('Onshore - Adelaide'!F22&lt;&gt;0,ISNUMBER(SEARCH("Material 0 terverifikasi",'Onshore - Adelaide'!M22))),OR('Onshore - Adelaide'!G22&lt;&gt;0,ISNUMBER(SEARCH("Enrolment 0 terverifikasi",'Onshore - Adelaide'!M22)))),1,0)</f>
        <v>0</v>
      </c>
      <c r="M13" s="0" t="n">
        <f aca="false">IF(OR('Onshore - Adelaide'!E22="",ISNUMBER(SEARCH("BSB80120",'Onshore - Adelaide'!B22&amp;'Onshore - Adelaide'!M22)),ISNUMBER(SEARCH("Management (Learning)",'Onshore - Adelaide'!B22))),2,IF(ISNUMBER(SEARCH("CEK:",'Onshore - Adelaide'!M22)),1,0))</f>
        <v>0</v>
      </c>
    </row>
    <row r="14" customFormat="false" ht="15" hidden="false" customHeight="false" outlineLevel="0" collapsed="false">
      <c r="A14" s="61" t="s">
        <v>3706</v>
      </c>
      <c r="B14" s="62"/>
      <c r="C14" s="62"/>
      <c r="D14" s="62"/>
      <c r="E14" s="62"/>
      <c r="F14" s="62"/>
      <c r="G14" s="62"/>
      <c r="H14" s="62"/>
      <c r="I14" s="62"/>
    </row>
    <row r="15" customFormat="false" ht="15" hidden="false" customHeight="false" outlineLevel="0" collapsed="false">
      <c r="A15" s="63" t="s">
        <v>3659</v>
      </c>
      <c r="B15" s="64" t="s">
        <v>3698</v>
      </c>
      <c r="C15" s="63" t="s">
        <v>3707</v>
      </c>
      <c r="D15" s="64" t="str">
        <f aca="false">TRIM(LEFT('Onshore - Adelaide'!A444,FIND(CHAR(10),'Onshore - Adelaide'!A444&amp;CHAR(10))-1))</f>
        <v>Kaplan Business School</v>
      </c>
      <c r="E15" s="63" t="str">
        <f aca="false">'Onshore - Adelaide'!C449&amp;""</f>
        <v>0,5 year</v>
      </c>
      <c r="F15" s="63" t="str">
        <f aca="false">IF('Onshore - Adelaide'!D449="","Belum tercatat",'Onshore - Adelaide'!D449)</f>
        <v>Trimester</v>
      </c>
      <c r="G15" s="65" t="n">
        <f aca="false">IF('Onshore - Adelaide'!E449="","-",'Onshore - Adelaide'!E449)</f>
        <v>13600</v>
      </c>
      <c r="H15" s="63" t="n">
        <f aca="false">IF(ISNUMBER(K15),COUNTIFS($J$6:$J$1916,J15,$K$6:$K$1916,"&lt;"&amp;K15)+1,"-")</f>
        <v>1</v>
      </c>
      <c r="I15" s="64" t="str">
        <f aca="false">IF('Onshore - Adelaide'!E449="","Harga belum tersedia - hubungi konsultan TEG",IF(M15=2,"Saat ini tidak menerima pendaftaran siswa internasional baru",IF(M15=1,"Harga perlu dikonfirmasi ke sekolah"&amp;IF(""="","","; "&amp;""),"")))</f>
        <v>Harga perlu dikonfirmasi ke sekolah</v>
      </c>
      <c r="J15" s="0" t="s">
        <v>3708</v>
      </c>
      <c r="K15" s="0" t="n">
        <f aca="false">IF(M15=2,"",IF(ISNUMBER(SEARCH("rata-rata:",'Onshore - Adelaide'!M449)),VALUE(MID('Onshore - Adelaide'!M449,SEARCH("rata-rata:",'Onshore - Adelaide'!M449)+11,FIND(";",'Onshore - Adelaide'!M449&amp;";",SEARCH("rata-rata:",'Onshore - Adelaide'!M449))-SEARCH("rata-rata:",'Onshore - Adelaide'!M449)-11)),IF('Onshore - Adelaide'!D449="Semester",'Onshore - Adelaide'!E449*2,IF('Onshore - Adelaide'!D449="Trimester",'Onshore - Adelaide'!E449*3,IF('Onshore - Adelaide'!D449="Term",'Onshore - Adelaide'!E449*4,IF('Onshore - Adelaide'!D449="Unit",'Onshore - Adelaide'!E449*8,""))))))</f>
        <v>40800</v>
      </c>
      <c r="L15" s="0" t="n">
        <f aca="false">IF(AND(ISNUMBER('Onshore - Adelaide'!E449),ISNUMBER(K15),ISNUMBER('Onshore - Adelaide'!F449),ISNUMBER('Onshore - Adelaide'!G449),OR('Onshore - Adelaide'!F449&lt;&gt;0,ISNUMBER(SEARCH("Material 0 terverifikasi",'Onshore - Adelaide'!M449))),OR('Onshore - Adelaide'!G449&lt;&gt;0,ISNUMBER(SEARCH("Enrolment 0 terverifikasi",'Onshore - Adelaide'!M449)))),1,0)</f>
        <v>1</v>
      </c>
      <c r="M15" s="0" t="n">
        <f aca="false">IF(OR('Onshore - Adelaide'!E449="",ISNUMBER(SEARCH("BSB80120",'Onshore - Adelaide'!B449&amp;'Onshore - Adelaide'!M449)),ISNUMBER(SEARCH("Management (Learning)",'Onshore - Adelaide'!B449))),2,IF(ISNUMBER(SEARCH("CEK:",'Onshore - Adelaide'!M449)),1,0))</f>
        <v>1</v>
      </c>
    </row>
    <row r="16" customFormat="false" ht="15" hidden="false" customHeight="false" outlineLevel="0" collapsed="false">
      <c r="A16" s="61" t="s">
        <v>3709</v>
      </c>
      <c r="B16" s="62"/>
      <c r="C16" s="62"/>
      <c r="D16" s="62"/>
      <c r="E16" s="62"/>
      <c r="F16" s="62"/>
      <c r="G16" s="62"/>
      <c r="H16" s="62"/>
      <c r="I16" s="62"/>
    </row>
    <row r="17" customFormat="false" ht="15" hidden="false" customHeight="false" outlineLevel="0" collapsed="false">
      <c r="A17" s="63" t="s">
        <v>3659</v>
      </c>
      <c r="B17" s="64" t="s">
        <v>3698</v>
      </c>
      <c r="C17" s="63" t="s">
        <v>46</v>
      </c>
      <c r="D17" s="64" t="str">
        <f aca="false">TRIM(LEFT('Onshore - Adelaide'!A444,FIND(CHAR(10),'Onshore - Adelaide'!A444&amp;CHAR(10))-1))</f>
        <v>Kaplan Business School</v>
      </c>
      <c r="E17" s="63" t="str">
        <f aca="false">'Onshore - Adelaide'!C450&amp;""</f>
        <v>2 years</v>
      </c>
      <c r="F17" s="63" t="str">
        <f aca="false">IF('Onshore - Adelaide'!D450="","Belum tercatat",'Onshore - Adelaide'!D450)</f>
        <v>Trimester</v>
      </c>
      <c r="G17" s="65" t="n">
        <f aca="false">IF('Onshore - Adelaide'!E450="","-",'Onshore - Adelaide'!E450)</f>
        <v>13600</v>
      </c>
      <c r="H17" s="63" t="n">
        <f aca="false">IF(ISNUMBER(K17),COUNTIFS($J$6:$J$1916,J17,$K$6:$K$1916,"&lt;"&amp;K17)+1,"-")</f>
        <v>1</v>
      </c>
      <c r="I17" s="64" t="str">
        <f aca="false">IF('Onshore - Adelaide'!E450="","Harga belum tersedia - hubungi konsultan TEG",IF(M17=2,"Saat ini tidak menerima pendaftaran siswa internasional baru",IF(M17=1,"Harga perlu dikonfirmasi ke sekolah"&amp;IF(""="","","; "&amp;""),"")))</f>
        <v>Harga perlu dikonfirmasi ke sekolah</v>
      </c>
      <c r="J17" s="0" t="s">
        <v>3710</v>
      </c>
      <c r="K17" s="0" t="n">
        <f aca="false">IF(M17=2,"",IF(ISNUMBER(SEARCH("rata-rata:",'Onshore - Adelaide'!M450)),VALUE(MID('Onshore - Adelaide'!M450,SEARCH("rata-rata:",'Onshore - Adelaide'!M450)+11,FIND(";",'Onshore - Adelaide'!M450&amp;";",SEARCH("rata-rata:",'Onshore - Adelaide'!M450))-SEARCH("rata-rata:",'Onshore - Adelaide'!M450)-11)),IF('Onshore - Adelaide'!D450="Semester",'Onshore - Adelaide'!E450*2,IF('Onshore - Adelaide'!D450="Trimester",'Onshore - Adelaide'!E450*3,IF('Onshore - Adelaide'!D450="Term",'Onshore - Adelaide'!E450*4,IF('Onshore - Adelaide'!D450="Unit",'Onshore - Adelaide'!E450*8,""))))))</f>
        <v>40800</v>
      </c>
      <c r="L17" s="0" t="n">
        <f aca="false">IF(AND(ISNUMBER('Onshore - Adelaide'!E450),ISNUMBER(K17),ISNUMBER('Onshore - Adelaide'!F450),ISNUMBER('Onshore - Adelaide'!G450),OR('Onshore - Adelaide'!F450&lt;&gt;0,ISNUMBER(SEARCH("Material 0 terverifikasi",'Onshore - Adelaide'!M450))),OR('Onshore - Adelaide'!G450&lt;&gt;0,ISNUMBER(SEARCH("Enrolment 0 terverifikasi",'Onshore - Adelaide'!M450)))),1,0)</f>
        <v>1</v>
      </c>
      <c r="M17" s="0" t="n">
        <f aca="false">IF(OR('Onshore - Adelaide'!E450="",ISNUMBER(SEARCH("BSB80120",'Onshore - Adelaide'!B450&amp;'Onshore - Adelaide'!M450)),ISNUMBER(SEARCH("Management (Learning)",'Onshore - Adelaide'!B450))),2,IF(ISNUMBER(SEARCH("CEK:",'Onshore - Adelaide'!M450)),1,0))</f>
        <v>1</v>
      </c>
    </row>
    <row r="18" customFormat="false" ht="15" hidden="false" customHeight="false" outlineLevel="0" collapsed="false">
      <c r="A18" s="63" t="s">
        <v>3659</v>
      </c>
      <c r="B18" s="64" t="s">
        <v>3698</v>
      </c>
      <c r="C18" s="63" t="s">
        <v>46</v>
      </c>
      <c r="D18" s="64" t="str">
        <f aca="false">TRIM(LEFT('Onshore - Adelaide'!A15,FIND(CHAR(10),'Onshore - Adelaide'!A15&amp;CHAR(10))-1))</f>
        <v>Adelaide University</v>
      </c>
      <c r="E18" s="63" t="str">
        <f aca="false">'Onshore - Adelaide'!C299&amp;""</f>
        <v>2 years</v>
      </c>
      <c r="F18" s="63" t="str">
        <f aca="false">IF('Onshore - Adelaide'!D299="","Belum tercatat",'Onshore - Adelaide'!D299)</f>
        <v>Term</v>
      </c>
      <c r="G18" s="65" t="n">
        <f aca="false">IF('Onshore - Adelaide'!E299="","-",'Onshore - Adelaide'!E299)</f>
        <v>13125</v>
      </c>
      <c r="H18" s="63" t="n">
        <f aca="false">IF(ISNUMBER(K18),COUNTIFS($J$6:$J$1916,J18,$K$6:$K$1916,"&lt;"&amp;K18)+1,"-")</f>
        <v>2</v>
      </c>
      <c r="I18" s="64" t="str">
        <f aca="false">IF('Onshore - Adelaide'!E299="","Harga belum tersedia - hubungi konsultan TEG",IF(M18=2,"Saat ini tidak menerima pendaftaran siswa internasional baru",IF(M18=1,"Harga perlu dikonfirmasi ke sekolah"&amp;IF(""="","","; "&amp;""),"")))</f>
        <v/>
      </c>
      <c r="J18" s="0" t="s">
        <v>3710</v>
      </c>
      <c r="K18" s="0" t="n">
        <f aca="false">IF(M18=2,"",IF(ISNUMBER(SEARCH("rata-rata:",'Onshore - Adelaide'!M299)),VALUE(MID('Onshore - Adelaide'!M299,SEARCH("rata-rata:",'Onshore - Adelaide'!M299)+11,FIND(";",'Onshore - Adelaide'!M299&amp;";",SEARCH("rata-rata:",'Onshore - Adelaide'!M299))-SEARCH("rata-rata:",'Onshore - Adelaide'!M299)-11)),IF('Onshore - Adelaide'!D299="Semester",'Onshore - Adelaide'!E299*2,IF('Onshore - Adelaide'!D299="Trimester",'Onshore - Adelaide'!E299*3,IF('Onshore - Adelaide'!D299="Term",'Onshore - Adelaide'!E299*4,IF('Onshore - Adelaide'!D299="Unit",'Onshore - Adelaide'!E299*8,""))))))</f>
        <v>52500</v>
      </c>
      <c r="L18" s="0" t="n">
        <f aca="false">IF(AND(ISNUMBER('Onshore - Adelaide'!E299),ISNUMBER(K18),ISNUMBER('Onshore - Adelaide'!F299),ISNUMBER('Onshore - Adelaide'!G299),OR('Onshore - Adelaide'!F299&lt;&gt;0,ISNUMBER(SEARCH("Material 0 terverifikasi",'Onshore - Adelaide'!M299))),OR('Onshore - Adelaide'!G299&lt;&gt;0,ISNUMBER(SEARCH("Enrolment 0 terverifikasi",'Onshore - Adelaide'!M299)))),1,0)</f>
        <v>0</v>
      </c>
      <c r="M18" s="0" t="n">
        <f aca="false">IF(OR('Onshore - Adelaide'!E299="",ISNUMBER(SEARCH("BSB80120",'Onshore - Adelaide'!B299&amp;'Onshore - Adelaide'!M299)),ISNUMBER(SEARCH("Management (Learning)",'Onshore - Adelaide'!B299))),2,IF(ISNUMBER(SEARCH("CEK:",'Onshore - Adelaide'!M299)),1,0))</f>
        <v>0</v>
      </c>
    </row>
    <row r="19" customFormat="false" ht="15" hidden="false" customHeight="false" outlineLevel="0" collapsed="false">
      <c r="A19" s="61" t="s">
        <v>3711</v>
      </c>
      <c r="B19" s="62"/>
      <c r="C19" s="62"/>
      <c r="D19" s="62"/>
      <c r="E19" s="62"/>
      <c r="F19" s="62"/>
      <c r="G19" s="62"/>
      <c r="H19" s="62"/>
      <c r="I19" s="62"/>
    </row>
    <row r="20" customFormat="false" ht="15" hidden="false" customHeight="false" outlineLevel="0" collapsed="false">
      <c r="A20" s="63" t="s">
        <v>3563</v>
      </c>
      <c r="B20" s="64" t="s">
        <v>3698</v>
      </c>
      <c r="C20" s="63" t="s">
        <v>43</v>
      </c>
      <c r="D20" s="64" t="str">
        <f aca="false">TRIM(LEFT('Onshore - Brisbane'!A50,FIND(CHAR(10),'Onshore - Brisbane'!A50&amp;CHAR(10))-1))</f>
        <v>Australian Business Institute (ABI)</v>
      </c>
      <c r="E20" s="63" t="str">
        <f aca="false">'Onshore - Brisbane'!C50&amp;""</f>
        <v>3 years</v>
      </c>
      <c r="F20" s="63" t="str">
        <f aca="false">IF('Onshore - Brisbane'!D50="","Belum tercatat",'Onshore - Brisbane'!D50)</f>
        <v>Term</v>
      </c>
      <c r="G20" s="65" t="n">
        <f aca="false">IF('Onshore - Brisbane'!E50="","-",'Onshore - Brisbane'!E50)</f>
        <v>3000</v>
      </c>
      <c r="H20" s="63" t="n">
        <f aca="false">IF(ISNUMBER(K20),COUNTIFS($J$6:$J$1916,J20,$K$6:$K$1916,"&lt;"&amp;K20)+1,"-")</f>
        <v>1</v>
      </c>
      <c r="I20" s="64" t="str">
        <f aca="false">IF('Onshore - Brisbane'!E50="","Harga belum tersedia - hubungi konsultan TEG",IF(M20=2,"Saat ini tidak menerima pendaftaran siswa internasional baru",IF(M20=1,"Harga perlu dikonfirmasi ke sekolah"&amp;IF(""="","","; "&amp;""),"")))</f>
        <v/>
      </c>
      <c r="J20" s="0" t="s">
        <v>3712</v>
      </c>
      <c r="K20" s="0" t="n">
        <f aca="false">IF(M20=2,"",IF(ISNUMBER(SEARCH("rata-rata:",'Onshore - Brisbane'!M50)),VALUE(MID('Onshore - Brisbane'!M50,SEARCH("rata-rata:",'Onshore - Brisbane'!M50)+11,FIND(";",'Onshore - Brisbane'!M50&amp;";",SEARCH("rata-rata:",'Onshore - Brisbane'!M50))-SEARCH("rata-rata:",'Onshore - Brisbane'!M50)-11)),IF('Onshore - Brisbane'!D50="Semester",'Onshore - Brisbane'!E50*2,IF('Onshore - Brisbane'!D50="Trimester",'Onshore - Brisbane'!E50*3,IF('Onshore - Brisbane'!D50="Term",'Onshore - Brisbane'!E50*4,IF('Onshore - Brisbane'!D50="Unit",'Onshore - Brisbane'!E50*8,""))))))</f>
        <v>12000</v>
      </c>
      <c r="L20" s="0" t="n">
        <f aca="false">IF(AND(ISNUMBER('Onshore - Brisbane'!E50),ISNUMBER(K20),ISNUMBER('Onshore - Brisbane'!F50),ISNUMBER('Onshore - Brisbane'!G50),OR('Onshore - Brisbane'!F50&lt;&gt;0,ISNUMBER(SEARCH("Material 0 terverifikasi",'Onshore - Brisbane'!M50))),OR('Onshore - Brisbane'!G50&lt;&gt;0,ISNUMBER(SEARCH("Enrolment 0 terverifikasi",'Onshore - Brisbane'!M50)))),1,0)</f>
        <v>0</v>
      </c>
      <c r="M20" s="0" t="n">
        <f aca="false">IF(OR('Onshore - Brisbane'!E50="",ISNUMBER(SEARCH("BSB80120",'Onshore - Brisbane'!B50&amp;'Onshore - Brisbane'!M50)),ISNUMBER(SEARCH("Management (Learning)",'Onshore - Brisbane'!B50))),2,IF(ISNUMBER(SEARCH("CEK:",'Onshore - Brisbane'!M50)),1,0))</f>
        <v>0</v>
      </c>
    </row>
    <row r="21" customFormat="false" ht="15" hidden="false" customHeight="false" outlineLevel="0" collapsed="false">
      <c r="A21" s="63" t="s">
        <v>3563</v>
      </c>
      <c r="B21" s="64" t="s">
        <v>3698</v>
      </c>
      <c r="C21" s="63" t="s">
        <v>43</v>
      </c>
      <c r="D21" s="64" t="str">
        <f aca="false">TRIM(LEFT('Onshore - Brisbane'!A53,FIND(CHAR(10),'Onshore - Brisbane'!A53&amp;CHAR(10))-1))</f>
        <v>Australian Catholic University (ACU)</v>
      </c>
      <c r="E21" s="63" t="str">
        <f aca="false">'Onshore - Brisbane'!C53&amp;""</f>
        <v>3 years</v>
      </c>
      <c r="F21" s="63" t="str">
        <f aca="false">IF('Onshore - Brisbane'!D53="","Belum tercatat",'Onshore - Brisbane'!D53)</f>
        <v>Term</v>
      </c>
      <c r="G21" s="65" t="n">
        <f aca="false">IF('Onshore - Brisbane'!E53="","-",'Onshore - Brisbane'!E53)</f>
        <v>8742</v>
      </c>
      <c r="H21" s="63" t="n">
        <f aca="false">IF(ISNUMBER(K21),COUNTIFS($J$6:$J$1916,J21,$K$6:$K$1916,"&lt;"&amp;K21)+1,"-")</f>
        <v>2</v>
      </c>
      <c r="I21" s="64" t="str">
        <f aca="false">IF('Onshore - Brisbane'!E53="","Harga belum tersedia - hubungi konsultan TEG",IF(M21=2,"Saat ini tidak menerima pendaftaran siswa internasional baru",IF(M21=1,"Harga perlu dikonfirmasi ke sekolah"&amp;IF(""="","","; "&amp;""),"")))</f>
        <v/>
      </c>
      <c r="J21" s="0" t="s">
        <v>3712</v>
      </c>
      <c r="K21" s="0" t="n">
        <f aca="false">IF(M21=2,"",IF(ISNUMBER(SEARCH("rata-rata:",'Onshore - Brisbane'!M53)),VALUE(MID('Onshore - Brisbane'!M53,SEARCH("rata-rata:",'Onshore - Brisbane'!M53)+11,FIND(";",'Onshore - Brisbane'!M53&amp;";",SEARCH("rata-rata:",'Onshore - Brisbane'!M53))-SEARCH("rata-rata:",'Onshore - Brisbane'!M53)-11)),IF('Onshore - Brisbane'!D53="Semester",'Onshore - Brisbane'!E53*2,IF('Onshore - Brisbane'!D53="Trimester",'Onshore - Brisbane'!E53*3,IF('Onshore - Brisbane'!D53="Term",'Onshore - Brisbane'!E53*4,IF('Onshore - Brisbane'!D53="Unit",'Onshore - Brisbane'!E53*8,""))))))</f>
        <v>34968</v>
      </c>
      <c r="L21" s="0" t="n">
        <f aca="false">IF(AND(ISNUMBER('Onshore - Brisbane'!E53),ISNUMBER(K21),ISNUMBER('Onshore - Brisbane'!F53),ISNUMBER('Onshore - Brisbane'!G53),OR('Onshore - Brisbane'!F53&lt;&gt;0,ISNUMBER(SEARCH("Material 0 terverifikasi",'Onshore - Brisbane'!M53))),OR('Onshore - Brisbane'!G53&lt;&gt;0,ISNUMBER(SEARCH("Enrolment 0 terverifikasi",'Onshore - Brisbane'!M53)))),1,0)</f>
        <v>0</v>
      </c>
      <c r="M21" s="0" t="n">
        <f aca="false">IF(OR('Onshore - Brisbane'!E53="",ISNUMBER(SEARCH("BSB80120",'Onshore - Brisbane'!B53&amp;'Onshore - Brisbane'!M53)),ISNUMBER(SEARCH("Management (Learning)",'Onshore - Brisbane'!B53))),2,IF(ISNUMBER(SEARCH("CEK:",'Onshore - Brisbane'!M53)),1,0))</f>
        <v>0</v>
      </c>
    </row>
    <row r="22" customFormat="false" ht="15" hidden="false" customHeight="false" outlineLevel="0" collapsed="false">
      <c r="A22" s="61" t="s">
        <v>3713</v>
      </c>
      <c r="B22" s="62"/>
      <c r="C22" s="62"/>
      <c r="D22" s="62"/>
      <c r="E22" s="62"/>
      <c r="F22" s="62"/>
      <c r="G22" s="62"/>
      <c r="H22" s="62"/>
      <c r="I22" s="62"/>
    </row>
    <row r="23" customFormat="false" ht="15" hidden="false" customHeight="false" outlineLevel="0" collapsed="false">
      <c r="A23" s="63" t="s">
        <v>3563</v>
      </c>
      <c r="B23" s="64" t="s">
        <v>3698</v>
      </c>
      <c r="C23" s="63" t="s">
        <v>3707</v>
      </c>
      <c r="D23" s="64" t="str">
        <f aca="false">TRIM(LEFT('Onshore - Brisbane'!A249,FIND(CHAR(10),'Onshore - Brisbane'!A249&amp;CHAR(10))-1))</f>
        <v>Kaplan Business School</v>
      </c>
      <c r="E23" s="63" t="str">
        <f aca="false">'Onshore - Brisbane'!C254&amp;""</f>
        <v>0,5 year</v>
      </c>
      <c r="F23" s="63" t="str">
        <f aca="false">IF('Onshore - Brisbane'!D254="","Belum tercatat",'Onshore - Brisbane'!D254)</f>
        <v>Trimester</v>
      </c>
      <c r="G23" s="65" t="n">
        <f aca="false">IF('Onshore - Brisbane'!E254="","-",'Onshore - Brisbane'!E254)</f>
        <v>13600</v>
      </c>
      <c r="H23" s="63" t="n">
        <f aca="false">IF(ISNUMBER(K23),COUNTIFS($J$6:$J$1916,J23,$K$6:$K$1916,"&lt;"&amp;K23)+1,"-")</f>
        <v>1</v>
      </c>
      <c r="I23" s="64" t="str">
        <f aca="false">IF('Onshore - Brisbane'!E254="","Harga belum tersedia - hubungi konsultan TEG",IF(M23=2,"Saat ini tidak menerima pendaftaran siswa internasional baru",IF(M23=1,"Harga perlu dikonfirmasi ke sekolah"&amp;IF(""="","","; "&amp;""),"")))</f>
        <v>Harga perlu dikonfirmasi ke sekolah</v>
      </c>
      <c r="J23" s="0" t="s">
        <v>3714</v>
      </c>
      <c r="K23" s="0" t="n">
        <f aca="false">IF(M23=2,"",IF(ISNUMBER(SEARCH("rata-rata:",'Onshore - Brisbane'!M254)),VALUE(MID('Onshore - Brisbane'!M254,SEARCH("rata-rata:",'Onshore - Brisbane'!M254)+11,FIND(";",'Onshore - Brisbane'!M254&amp;";",SEARCH("rata-rata:",'Onshore - Brisbane'!M254))-SEARCH("rata-rata:",'Onshore - Brisbane'!M254)-11)),IF('Onshore - Brisbane'!D254="Semester",'Onshore - Brisbane'!E254*2,IF('Onshore - Brisbane'!D254="Trimester",'Onshore - Brisbane'!E254*3,IF('Onshore - Brisbane'!D254="Term",'Onshore - Brisbane'!E254*4,IF('Onshore - Brisbane'!D254="Unit",'Onshore - Brisbane'!E254*8,""))))))</f>
        <v>40800</v>
      </c>
      <c r="L23" s="0" t="n">
        <f aca="false">IF(AND(ISNUMBER('Onshore - Brisbane'!E254),ISNUMBER(K23),ISNUMBER('Onshore - Brisbane'!F254),ISNUMBER('Onshore - Brisbane'!G254),OR('Onshore - Brisbane'!F254&lt;&gt;0,ISNUMBER(SEARCH("Material 0 terverifikasi",'Onshore - Brisbane'!M254))),OR('Onshore - Brisbane'!G254&lt;&gt;0,ISNUMBER(SEARCH("Enrolment 0 terverifikasi",'Onshore - Brisbane'!M254)))),1,0)</f>
        <v>1</v>
      </c>
      <c r="M23" s="0" t="n">
        <f aca="false">IF(OR('Onshore - Brisbane'!E254="",ISNUMBER(SEARCH("BSB80120",'Onshore - Brisbane'!B254&amp;'Onshore - Brisbane'!M254)),ISNUMBER(SEARCH("Management (Learning)",'Onshore - Brisbane'!B254))),2,IF(ISNUMBER(SEARCH("CEK:",'Onshore - Brisbane'!M254)),1,0))</f>
        <v>1</v>
      </c>
    </row>
    <row r="24" customFormat="false" ht="15" hidden="false" customHeight="false" outlineLevel="0" collapsed="false">
      <c r="A24" s="61" t="s">
        <v>3715</v>
      </c>
      <c r="B24" s="62"/>
      <c r="C24" s="62"/>
      <c r="D24" s="62"/>
      <c r="E24" s="62"/>
      <c r="F24" s="62"/>
      <c r="G24" s="62"/>
      <c r="H24" s="62"/>
      <c r="I24" s="62"/>
    </row>
    <row r="25" customFormat="false" ht="15" hidden="false" customHeight="false" outlineLevel="0" collapsed="false">
      <c r="A25" s="63" t="s">
        <v>3563</v>
      </c>
      <c r="B25" s="64" t="s">
        <v>3698</v>
      </c>
      <c r="C25" s="63" t="s">
        <v>46</v>
      </c>
      <c r="D25" s="64" t="str">
        <f aca="false">TRIM(LEFT('Onshore - Brisbane'!A8,FIND(CHAR(10),'Onshore - Brisbane'!A8&amp;CHAR(10))-1))</f>
        <v>AIBI Higher Education</v>
      </c>
      <c r="E25" s="63" t="str">
        <f aca="false">'Onshore - Brisbane'!C16&amp;""</f>
        <v>2 years</v>
      </c>
      <c r="F25" s="63" t="str">
        <f aca="false">IF('Onshore - Brisbane'!D16="","Belum tercatat",'Onshore - Brisbane'!D16)</f>
        <v>Term</v>
      </c>
      <c r="G25" s="65" t="n">
        <f aca="false">IF('Onshore - Brisbane'!E16="","-",'Onshore - Brisbane'!E16)</f>
        <v>4050</v>
      </c>
      <c r="H25" s="63" t="n">
        <f aca="false">IF(ISNUMBER(K25),COUNTIFS($J$6:$J$1916,J25,$K$6:$K$1916,"&lt;"&amp;K25)+1,"-")</f>
        <v>1</v>
      </c>
      <c r="I25" s="64" t="str">
        <f aca="false">IF('Onshore - Brisbane'!E16="","Harga belum tersedia - hubungi konsultan TEG",IF(M25=2,"Saat ini tidak menerima pendaftaran siswa internasional baru",IF(M25=1,"Harga perlu dikonfirmasi ke sekolah"&amp;IF(""="","","; "&amp;""),"")))</f>
        <v>Harga perlu dikonfirmasi ke sekolah</v>
      </c>
      <c r="J25" s="0" t="s">
        <v>3716</v>
      </c>
      <c r="K25" s="0" t="n">
        <f aca="false">IF(M25=2,"",IF(ISNUMBER(SEARCH("rata-rata:",'Onshore - Brisbane'!M16)),VALUE(MID('Onshore - Brisbane'!M16,SEARCH("rata-rata:",'Onshore - Brisbane'!M16)+11,FIND(";",'Onshore - Brisbane'!M16&amp;";",SEARCH("rata-rata:",'Onshore - Brisbane'!M16))-SEARCH("rata-rata:",'Onshore - Brisbane'!M16)-11)),IF('Onshore - Brisbane'!D16="Semester",'Onshore - Brisbane'!E16*2,IF('Onshore - Brisbane'!D16="Trimester",'Onshore - Brisbane'!E16*3,IF('Onshore - Brisbane'!D16="Term",'Onshore - Brisbane'!E16*4,IF('Onshore - Brisbane'!D16="Unit",'Onshore - Brisbane'!E16*8,""))))))</f>
        <v>16200</v>
      </c>
      <c r="L25" s="0" t="n">
        <f aca="false">IF(AND(ISNUMBER('Onshore - Brisbane'!E16),ISNUMBER(K25),ISNUMBER('Onshore - Brisbane'!F16),ISNUMBER('Onshore - Brisbane'!G16),OR('Onshore - Brisbane'!F16&lt;&gt;0,ISNUMBER(SEARCH("Material 0 terverifikasi",'Onshore - Brisbane'!M16))),OR('Onshore - Brisbane'!G16&lt;&gt;0,ISNUMBER(SEARCH("Enrolment 0 terverifikasi",'Onshore - Brisbane'!M16)))),1,0)</f>
        <v>0</v>
      </c>
      <c r="M25" s="0" t="n">
        <f aca="false">IF(OR('Onshore - Brisbane'!E16="",ISNUMBER(SEARCH("BSB80120",'Onshore - Brisbane'!B16&amp;'Onshore - Brisbane'!M16)),ISNUMBER(SEARCH("Management (Learning)",'Onshore - Brisbane'!B16))),2,IF(ISNUMBER(SEARCH("CEK:",'Onshore - Brisbane'!M16)),1,0))</f>
        <v>1</v>
      </c>
    </row>
    <row r="26" customFormat="false" ht="15" hidden="false" customHeight="false" outlineLevel="0" collapsed="false">
      <c r="A26" s="63" t="s">
        <v>3563</v>
      </c>
      <c r="B26" s="64" t="s">
        <v>3698</v>
      </c>
      <c r="C26" s="63" t="s">
        <v>46</v>
      </c>
      <c r="D26" s="64" t="str">
        <f aca="false">TRIM(LEFT('Onshore - Brisbane'!A53,FIND(CHAR(10),'Onshore - Brisbane'!A53&amp;CHAR(10))-1))</f>
        <v>Australian Catholic University (ACU)</v>
      </c>
      <c r="E26" s="63" t="str">
        <f aca="false">'Onshore - Brisbane'!C81&amp;""</f>
        <v>2 years</v>
      </c>
      <c r="F26" s="63" t="str">
        <f aca="false">IF('Onshore - Brisbane'!D81="","Belum tercatat",'Onshore - Brisbane'!D81)</f>
        <v>Term</v>
      </c>
      <c r="G26" s="65" t="n">
        <f aca="false">IF('Onshore - Brisbane'!E81="","-",'Onshore - Brisbane'!E81)</f>
        <v>9524</v>
      </c>
      <c r="H26" s="63" t="n">
        <f aca="false">IF(ISNUMBER(K26),COUNTIFS($J$6:$J$1916,J26,$K$6:$K$1916,"&lt;"&amp;K26)+1,"-")</f>
        <v>2</v>
      </c>
      <c r="I26" s="64" t="str">
        <f aca="false">IF('Onshore - Brisbane'!E81="","Harga belum tersedia - hubungi konsultan TEG",IF(M26=2,"Saat ini tidak menerima pendaftaran siswa internasional baru",IF(M26=1,"Harga perlu dikonfirmasi ke sekolah"&amp;IF(""="","","; "&amp;""),"")))</f>
        <v/>
      </c>
      <c r="J26" s="0" t="s">
        <v>3716</v>
      </c>
      <c r="K26" s="0" t="n">
        <f aca="false">IF(M26=2,"",IF(ISNUMBER(SEARCH("rata-rata:",'Onshore - Brisbane'!M81)),VALUE(MID('Onshore - Brisbane'!M81,SEARCH("rata-rata:",'Onshore - Brisbane'!M81)+11,FIND(";",'Onshore - Brisbane'!M81&amp;";",SEARCH("rata-rata:",'Onshore - Brisbane'!M81))-SEARCH("rata-rata:",'Onshore - Brisbane'!M81)-11)),IF('Onshore - Brisbane'!D81="Semester",'Onshore - Brisbane'!E81*2,IF('Onshore - Brisbane'!D81="Trimester",'Onshore - Brisbane'!E81*3,IF('Onshore - Brisbane'!D81="Term",'Onshore - Brisbane'!E81*4,IF('Onshore - Brisbane'!D81="Unit",'Onshore - Brisbane'!E81*8,""))))))</f>
        <v>38096</v>
      </c>
      <c r="L26" s="0" t="n">
        <f aca="false">IF(AND(ISNUMBER('Onshore - Brisbane'!E81),ISNUMBER(K26),ISNUMBER('Onshore - Brisbane'!F81),ISNUMBER('Onshore - Brisbane'!G81),OR('Onshore - Brisbane'!F81&lt;&gt;0,ISNUMBER(SEARCH("Material 0 terverifikasi",'Onshore - Brisbane'!M81))),OR('Onshore - Brisbane'!G81&lt;&gt;0,ISNUMBER(SEARCH("Enrolment 0 terverifikasi",'Onshore - Brisbane'!M81)))),1,0)</f>
        <v>0</v>
      </c>
      <c r="M26" s="0" t="n">
        <f aca="false">IF(OR('Onshore - Brisbane'!E81="",ISNUMBER(SEARCH("BSB80120",'Onshore - Brisbane'!B81&amp;'Onshore - Brisbane'!M81)),ISNUMBER(SEARCH("Management (Learning)",'Onshore - Brisbane'!B81))),2,IF(ISNUMBER(SEARCH("CEK:",'Onshore - Brisbane'!M81)),1,0))</f>
        <v>0</v>
      </c>
    </row>
    <row r="27" customFormat="false" ht="15" hidden="false" customHeight="false" outlineLevel="0" collapsed="false">
      <c r="A27" s="63" t="s">
        <v>3563</v>
      </c>
      <c r="B27" s="64" t="s">
        <v>3698</v>
      </c>
      <c r="C27" s="63" t="s">
        <v>46</v>
      </c>
      <c r="D27" s="64" t="str">
        <f aca="false">TRIM(LEFT('Onshore - Brisbane'!A249,FIND(CHAR(10),'Onshore - Brisbane'!A249&amp;CHAR(10))-1))</f>
        <v>Kaplan Business School</v>
      </c>
      <c r="E27" s="63" t="str">
        <f aca="false">'Onshore - Brisbane'!C255&amp;""</f>
        <v>2 years</v>
      </c>
      <c r="F27" s="63" t="str">
        <f aca="false">IF('Onshore - Brisbane'!D255="","Belum tercatat",'Onshore - Brisbane'!D255)</f>
        <v>Trimester</v>
      </c>
      <c r="G27" s="65" t="n">
        <f aca="false">IF('Onshore - Brisbane'!E255="","-",'Onshore - Brisbane'!E255)</f>
        <v>13600</v>
      </c>
      <c r="H27" s="63" t="n">
        <f aca="false">IF(ISNUMBER(K27),COUNTIFS($J$6:$J$1916,J27,$K$6:$K$1916,"&lt;"&amp;K27)+1,"-")</f>
        <v>3</v>
      </c>
      <c r="I27" s="64" t="str">
        <f aca="false">IF('Onshore - Brisbane'!E255="","Harga belum tersedia - hubungi konsultan TEG",IF(M27=2,"Saat ini tidak menerima pendaftaran siswa internasional baru",IF(M27=1,"Harga perlu dikonfirmasi ke sekolah"&amp;IF(""="","","; "&amp;""),"")))</f>
        <v>Harga perlu dikonfirmasi ke sekolah</v>
      </c>
      <c r="J27" s="0" t="s">
        <v>3716</v>
      </c>
      <c r="K27" s="0" t="n">
        <f aca="false">IF(M27=2,"",IF(ISNUMBER(SEARCH("rata-rata:",'Onshore - Brisbane'!M255)),VALUE(MID('Onshore - Brisbane'!M255,SEARCH("rata-rata:",'Onshore - Brisbane'!M255)+11,FIND(";",'Onshore - Brisbane'!M255&amp;";",SEARCH("rata-rata:",'Onshore - Brisbane'!M255))-SEARCH("rata-rata:",'Onshore - Brisbane'!M255)-11)),IF('Onshore - Brisbane'!D255="Semester",'Onshore - Brisbane'!E255*2,IF('Onshore - Brisbane'!D255="Trimester",'Onshore - Brisbane'!E255*3,IF('Onshore - Brisbane'!D255="Term",'Onshore - Brisbane'!E255*4,IF('Onshore - Brisbane'!D255="Unit",'Onshore - Brisbane'!E255*8,""))))))</f>
        <v>40800</v>
      </c>
      <c r="L27" s="0" t="n">
        <f aca="false">IF(AND(ISNUMBER('Onshore - Brisbane'!E255),ISNUMBER(K27),ISNUMBER('Onshore - Brisbane'!F255),ISNUMBER('Onshore - Brisbane'!G255),OR('Onshore - Brisbane'!F255&lt;&gt;0,ISNUMBER(SEARCH("Material 0 terverifikasi",'Onshore - Brisbane'!M255))),OR('Onshore - Brisbane'!G255&lt;&gt;0,ISNUMBER(SEARCH("Enrolment 0 terverifikasi",'Onshore - Brisbane'!M255)))),1,0)</f>
        <v>1</v>
      </c>
      <c r="M27" s="0" t="n">
        <f aca="false">IF(OR('Onshore - Brisbane'!E255="",ISNUMBER(SEARCH("BSB80120",'Onshore - Brisbane'!B255&amp;'Onshore - Brisbane'!M255)),ISNUMBER(SEARCH("Management (Learning)",'Onshore - Brisbane'!B255))),2,IF(ISNUMBER(SEARCH("CEK:",'Onshore - Brisbane'!M255)),1,0))</f>
        <v>1</v>
      </c>
    </row>
    <row r="28" customFormat="false" ht="15" hidden="false" customHeight="false" outlineLevel="0" collapsed="false">
      <c r="A28" s="61" t="s">
        <v>3717</v>
      </c>
      <c r="B28" s="62"/>
      <c r="C28" s="62"/>
      <c r="D28" s="62"/>
      <c r="E28" s="62"/>
      <c r="F28" s="62"/>
      <c r="G28" s="62"/>
      <c r="H28" s="62"/>
      <c r="I28" s="62"/>
    </row>
    <row r="29" customFormat="false" ht="15" hidden="false" customHeight="false" outlineLevel="0" collapsed="false">
      <c r="A29" s="63" t="s">
        <v>3718</v>
      </c>
      <c r="B29" s="64" t="s">
        <v>3698</v>
      </c>
      <c r="C29" s="63" t="s">
        <v>43</v>
      </c>
      <c r="D29" s="64" t="str">
        <f aca="false">TRIM(LEFT('Onshore - Canberra'!A125,FIND(CHAR(10),'Onshore - Canberra'!A125&amp;CHAR(10))-1))</f>
        <v>CIHE Australia</v>
      </c>
      <c r="E29" s="63" t="str">
        <f aca="false">'Onshore - Canberra'!C133&amp;""</f>
        <v>3 years</v>
      </c>
      <c r="F29" s="63" t="str">
        <f aca="false">IF('Onshore - Canberra'!D133="","Belum tercatat",'Onshore - Canberra'!D133)</f>
        <v>Term</v>
      </c>
      <c r="G29" s="65" t="n">
        <f aca="false">IF('Onshore - Canberra'!E133="","-",'Onshore - Canberra'!E133)</f>
        <v>3600</v>
      </c>
      <c r="H29" s="63" t="n">
        <f aca="false">IF(ISNUMBER(K29),COUNTIFS($J$6:$J$1916,J29,$K$6:$K$1916,"&lt;"&amp;K29)+1,"-")</f>
        <v>1</v>
      </c>
      <c r="I29" s="64" t="str">
        <f aca="false">IF('Onshore - Canberra'!E133="","Harga belum tersedia - hubungi konsultan TEG",IF(M29=2,"Saat ini tidak menerima pendaftaran siswa internasional baru",IF(M29=1,"Harga perlu dikonfirmasi ke sekolah"&amp;IF(""="","","; "&amp;""),"")))</f>
        <v>Harga perlu dikonfirmasi ke sekolah</v>
      </c>
      <c r="J29" s="0" t="s">
        <v>3719</v>
      </c>
      <c r="K29" s="0" t="n">
        <f aca="false">IF(M29=2,"",IF(ISNUMBER(SEARCH("rata-rata:",'Onshore - Canberra'!M133)),VALUE(MID('Onshore - Canberra'!M133,SEARCH("rata-rata:",'Onshore - Canberra'!M133)+11,FIND(";",'Onshore - Canberra'!M133&amp;";",SEARCH("rata-rata:",'Onshore - Canberra'!M133))-SEARCH("rata-rata:",'Onshore - Canberra'!M133)-11)),IF('Onshore - Canberra'!D133="Semester",'Onshore - Canberra'!E133*2,IF('Onshore - Canberra'!D133="Trimester",'Onshore - Canberra'!E133*3,IF('Onshore - Canberra'!D133="Term",'Onshore - Canberra'!E133*4,IF('Onshore - Canberra'!D133="Unit",'Onshore - Canberra'!E133*8,""))))))</f>
        <v>14400</v>
      </c>
      <c r="L29" s="0" t="n">
        <f aca="false">IF(AND(ISNUMBER('Onshore - Canberra'!E133),ISNUMBER(K29),ISNUMBER('Onshore - Canberra'!F133),ISNUMBER('Onshore - Canberra'!G133),OR('Onshore - Canberra'!F133&lt;&gt;0,ISNUMBER(SEARCH("Material 0 terverifikasi",'Onshore - Canberra'!M133))),OR('Onshore - Canberra'!G133&lt;&gt;0,ISNUMBER(SEARCH("Enrolment 0 terverifikasi",'Onshore - Canberra'!M133)))),1,0)</f>
        <v>1</v>
      </c>
      <c r="M29" s="0" t="n">
        <f aca="false">IF(OR('Onshore - Canberra'!E133="",ISNUMBER(SEARCH("BSB80120",'Onshore - Canberra'!B133&amp;'Onshore - Canberra'!M133)),ISNUMBER(SEARCH("Management (Learning)",'Onshore - Canberra'!B133))),2,IF(ISNUMBER(SEARCH("CEK:",'Onshore - Canberra'!M133)),1,0))</f>
        <v>1</v>
      </c>
    </row>
    <row r="30" customFormat="false" ht="15" hidden="false" customHeight="false" outlineLevel="0" collapsed="false">
      <c r="A30" s="63" t="s">
        <v>3718</v>
      </c>
      <c r="B30" s="64" t="s">
        <v>3698</v>
      </c>
      <c r="C30" s="63" t="s">
        <v>43</v>
      </c>
      <c r="D30" s="64" t="str">
        <f aca="false">TRIM(LEFT('Onshore - Canberra'!A6,FIND(CHAR(10),'Onshore - Canberra'!A6&amp;CHAR(10))-1))</f>
        <v>Australian Catholic University (ACU)</v>
      </c>
      <c r="E30" s="63" t="str">
        <f aca="false">'Onshore - Canberra'!C6&amp;""</f>
        <v>3 years</v>
      </c>
      <c r="F30" s="63" t="str">
        <f aca="false">IF('Onshore - Canberra'!D6="","Belum tercatat",'Onshore - Canberra'!D6)</f>
        <v>Term</v>
      </c>
      <c r="G30" s="65" t="n">
        <f aca="false">IF('Onshore - Canberra'!E6="","-",'Onshore - Canberra'!E6)</f>
        <v>8742</v>
      </c>
      <c r="H30" s="63" t="n">
        <f aca="false">IF(ISNUMBER(K30),COUNTIFS($J$6:$J$1916,J30,$K$6:$K$1916,"&lt;"&amp;K30)+1,"-")</f>
        <v>2</v>
      </c>
      <c r="I30" s="64" t="str">
        <f aca="false">IF('Onshore - Canberra'!E6="","Harga belum tersedia - hubungi konsultan TEG",IF(M30=2,"Saat ini tidak menerima pendaftaran siswa internasional baru",IF(M30=1,"Harga perlu dikonfirmasi ke sekolah"&amp;IF(""="","","; "&amp;""),"")))</f>
        <v/>
      </c>
      <c r="J30" s="0" t="s">
        <v>3719</v>
      </c>
      <c r="K30" s="0" t="n">
        <f aca="false">IF(M30=2,"",IF(ISNUMBER(SEARCH("rata-rata:",'Onshore - Canberra'!M6)),VALUE(MID('Onshore - Canberra'!M6,SEARCH("rata-rata:",'Onshore - Canberra'!M6)+11,FIND(";",'Onshore - Canberra'!M6&amp;";",SEARCH("rata-rata:",'Onshore - Canberra'!M6))-SEARCH("rata-rata:",'Onshore - Canberra'!M6)-11)),IF('Onshore - Canberra'!D6="Semester",'Onshore - Canberra'!E6*2,IF('Onshore - Canberra'!D6="Trimester",'Onshore - Canberra'!E6*3,IF('Onshore - Canberra'!D6="Term",'Onshore - Canberra'!E6*4,IF('Onshore - Canberra'!D6="Unit",'Onshore - Canberra'!E6*8,""))))))</f>
        <v>34968</v>
      </c>
      <c r="L30" s="0" t="n">
        <f aca="false">IF(AND(ISNUMBER('Onshore - Canberra'!E6),ISNUMBER(K30),ISNUMBER('Onshore - Canberra'!F6),ISNUMBER('Onshore - Canberra'!G6),OR('Onshore - Canberra'!F6&lt;&gt;0,ISNUMBER(SEARCH("Material 0 terverifikasi",'Onshore - Canberra'!M6))),OR('Onshore - Canberra'!G6&lt;&gt;0,ISNUMBER(SEARCH("Enrolment 0 terverifikasi",'Onshore - Canberra'!M6)))),1,0)</f>
        <v>0</v>
      </c>
      <c r="M30" s="0" t="n">
        <f aca="false">IF(OR('Onshore - Canberra'!E6="",ISNUMBER(SEARCH("BSB80120",'Onshore - Canberra'!B6&amp;'Onshore - Canberra'!M6)),ISNUMBER(SEARCH("Management (Learning)",'Onshore - Canberra'!B6))),2,IF(ISNUMBER(SEARCH("CEK:",'Onshore - Canberra'!M6)),1,0))</f>
        <v>0</v>
      </c>
    </row>
    <row r="31" customFormat="false" ht="15" hidden="false" customHeight="false" outlineLevel="0" collapsed="false">
      <c r="A31" s="61" t="s">
        <v>3720</v>
      </c>
      <c r="B31" s="62"/>
      <c r="C31" s="62"/>
      <c r="D31" s="62"/>
      <c r="E31" s="62"/>
      <c r="F31" s="62"/>
      <c r="G31" s="62"/>
      <c r="H31" s="62"/>
      <c r="I31" s="62"/>
    </row>
    <row r="32" customFormat="false" ht="15" hidden="false" customHeight="false" outlineLevel="0" collapsed="false">
      <c r="A32" s="63" t="s">
        <v>3718</v>
      </c>
      <c r="B32" s="64" t="s">
        <v>3698</v>
      </c>
      <c r="C32" s="63" t="s">
        <v>46</v>
      </c>
      <c r="D32" s="64" t="str">
        <f aca="false">TRIM(LEFT('Onshore - Canberra'!A125,FIND(CHAR(10),'Onshore - Canberra'!A125&amp;CHAR(10))-1))</f>
        <v>CIHE Australia</v>
      </c>
      <c r="E32" s="63" t="str">
        <f aca="false">'Onshore - Canberra'!C131&amp;""</f>
        <v>1,5 years</v>
      </c>
      <c r="F32" s="63" t="str">
        <f aca="false">IF('Onshore - Canberra'!D131="","Belum tercatat",'Onshore - Canberra'!D131)</f>
        <v>Term</v>
      </c>
      <c r="G32" s="65" t="n">
        <f aca="false">IF('Onshore - Canberra'!E131="","-",'Onshore - Canberra'!E131)</f>
        <v>4500</v>
      </c>
      <c r="H32" s="63" t="n">
        <f aca="false">IF(ISNUMBER(K32),COUNTIFS($J$6:$J$1916,J32,$K$6:$K$1916,"&lt;"&amp;K32)+1,"-")</f>
        <v>1</v>
      </c>
      <c r="I32" s="64" t="str">
        <f aca="false">IF('Onshore - Canberra'!E131="","Harga belum tersedia - hubungi konsultan TEG",IF(M32=2,"Saat ini tidak menerima pendaftaran siswa internasional baru",IF(M32=1,"Harga perlu dikonfirmasi ke sekolah"&amp;IF(""="","","; "&amp;""),"")))</f>
        <v>Harga perlu dikonfirmasi ke sekolah</v>
      </c>
      <c r="J32" s="0" t="s">
        <v>3721</v>
      </c>
      <c r="K32" s="0" t="n">
        <f aca="false">IF(M32=2,"",IF(ISNUMBER(SEARCH("rata-rata:",'Onshore - Canberra'!M131)),VALUE(MID('Onshore - Canberra'!M131,SEARCH("rata-rata:",'Onshore - Canberra'!M131)+11,FIND(";",'Onshore - Canberra'!M131&amp;";",SEARCH("rata-rata:",'Onshore - Canberra'!M131))-SEARCH("rata-rata:",'Onshore - Canberra'!M131)-11)),IF('Onshore - Canberra'!D131="Semester",'Onshore - Canberra'!E131*2,IF('Onshore - Canberra'!D131="Trimester",'Onshore - Canberra'!E131*3,IF('Onshore - Canberra'!D131="Term",'Onshore - Canberra'!E131*4,IF('Onshore - Canberra'!D131="Unit",'Onshore - Canberra'!E131*8,""))))))</f>
        <v>18000</v>
      </c>
      <c r="L32" s="0" t="n">
        <f aca="false">IF(AND(ISNUMBER('Onshore - Canberra'!E131),ISNUMBER(K32),ISNUMBER('Onshore - Canberra'!F131),ISNUMBER('Onshore - Canberra'!G131),OR('Onshore - Canberra'!F131&lt;&gt;0,ISNUMBER(SEARCH("Material 0 terverifikasi",'Onshore - Canberra'!M131))),OR('Onshore - Canberra'!G131&lt;&gt;0,ISNUMBER(SEARCH("Enrolment 0 terverifikasi",'Onshore - Canberra'!M131)))),1,0)</f>
        <v>1</v>
      </c>
      <c r="M32" s="0" t="n">
        <f aca="false">IF(OR('Onshore - Canberra'!E131="",ISNUMBER(SEARCH("BSB80120",'Onshore - Canberra'!B131&amp;'Onshore - Canberra'!M131)),ISNUMBER(SEARCH("Management (Learning)",'Onshore - Canberra'!B131))),2,IF(ISNUMBER(SEARCH("CEK:",'Onshore - Canberra'!M131)),1,0))</f>
        <v>1</v>
      </c>
    </row>
    <row r="33" customFormat="false" ht="15" hidden="false" customHeight="false" outlineLevel="0" collapsed="false">
      <c r="A33" s="63" t="s">
        <v>3718</v>
      </c>
      <c r="B33" s="64" t="s">
        <v>3698</v>
      </c>
      <c r="C33" s="63" t="s">
        <v>46</v>
      </c>
      <c r="D33" s="64" t="str">
        <f aca="false">TRIM(LEFT('Onshore - Canberra'!A6,FIND(CHAR(10),'Onshore - Canberra'!A6&amp;CHAR(10))-1))</f>
        <v>Australian Catholic University (ACU)</v>
      </c>
      <c r="E33" s="63" t="str">
        <f aca="false">'Onshore - Canberra'!C34&amp;""</f>
        <v>2 years</v>
      </c>
      <c r="F33" s="63" t="str">
        <f aca="false">IF('Onshore - Canberra'!D34="","Belum tercatat",'Onshore - Canberra'!D34)</f>
        <v>Term</v>
      </c>
      <c r="G33" s="65" t="n">
        <f aca="false">IF('Onshore - Canberra'!E34="","-",'Onshore - Canberra'!E34)</f>
        <v>9524</v>
      </c>
      <c r="H33" s="63" t="n">
        <f aca="false">IF(ISNUMBER(K33),COUNTIFS($J$6:$J$1916,J33,$K$6:$K$1916,"&lt;"&amp;K33)+1,"-")</f>
        <v>2</v>
      </c>
      <c r="I33" s="64" t="str">
        <f aca="false">IF('Onshore - Canberra'!E34="","Harga belum tersedia - hubungi konsultan TEG",IF(M33=2,"Saat ini tidak menerima pendaftaran siswa internasional baru",IF(M33=1,"Harga perlu dikonfirmasi ke sekolah"&amp;IF(""="","","; "&amp;""),"")))</f>
        <v/>
      </c>
      <c r="J33" s="0" t="s">
        <v>3721</v>
      </c>
      <c r="K33" s="0" t="n">
        <f aca="false">IF(M33=2,"",IF(ISNUMBER(SEARCH("rata-rata:",'Onshore - Canberra'!M34)),VALUE(MID('Onshore - Canberra'!M34,SEARCH("rata-rata:",'Onshore - Canberra'!M34)+11,FIND(";",'Onshore - Canberra'!M34&amp;";",SEARCH("rata-rata:",'Onshore - Canberra'!M34))-SEARCH("rata-rata:",'Onshore - Canberra'!M34)-11)),IF('Onshore - Canberra'!D34="Semester",'Onshore - Canberra'!E34*2,IF('Onshore - Canberra'!D34="Trimester",'Onshore - Canberra'!E34*3,IF('Onshore - Canberra'!D34="Term",'Onshore - Canberra'!E34*4,IF('Onshore - Canberra'!D34="Unit",'Onshore - Canberra'!E34*8,""))))))</f>
        <v>38096</v>
      </c>
      <c r="L33" s="0" t="n">
        <f aca="false">IF(AND(ISNUMBER('Onshore - Canberra'!E34),ISNUMBER(K33),ISNUMBER('Onshore - Canberra'!F34),ISNUMBER('Onshore - Canberra'!G34),OR('Onshore - Canberra'!F34&lt;&gt;0,ISNUMBER(SEARCH("Material 0 terverifikasi",'Onshore - Canberra'!M34))),OR('Onshore - Canberra'!G34&lt;&gt;0,ISNUMBER(SEARCH("Enrolment 0 terverifikasi",'Onshore - Canberra'!M34)))),1,0)</f>
        <v>0</v>
      </c>
      <c r="M33" s="0" t="n">
        <f aca="false">IF(OR('Onshore - Canberra'!E34="",ISNUMBER(SEARCH("BSB80120",'Onshore - Canberra'!B34&amp;'Onshore - Canberra'!M34)),ISNUMBER(SEARCH("Management (Learning)",'Onshore - Canberra'!B34))),2,IF(ISNUMBER(SEARCH("CEK:",'Onshore - Canberra'!M34)),1,0))</f>
        <v>0</v>
      </c>
    </row>
    <row r="34" customFormat="false" ht="15" hidden="false" customHeight="false" outlineLevel="0" collapsed="false">
      <c r="A34" s="61" t="s">
        <v>4626</v>
      </c>
      <c r="B34" s="62"/>
      <c r="C34" s="62"/>
      <c r="D34" s="62"/>
      <c r="E34" s="62"/>
      <c r="F34" s="62"/>
      <c r="G34" s="62"/>
      <c r="H34" s="62"/>
      <c r="I34" s="62"/>
    </row>
    <row r="35" customFormat="false" ht="15" hidden="false" customHeight="false" outlineLevel="0" collapsed="false">
      <c r="A35" s="63" t="s">
        <v>3583</v>
      </c>
      <c r="B35" s="64" t="s">
        <v>3698</v>
      </c>
      <c r="C35" s="63" t="s">
        <v>41</v>
      </c>
      <c r="D35" s="64" t="str">
        <f aca="false">TRIM(LEFT('Onshore - Darwin (NT)'!A20,FIND(CHAR(10),'Onshore - Darwin (NT)'!A20&amp;CHAR(10))-1))</f>
        <v>Charles Darwin University (CDU)</v>
      </c>
      <c r="E35" s="63" t="str">
        <f aca="false">'Onshore - Darwin (NT)'!C141&amp;""</f>
        <v>1 year</v>
      </c>
      <c r="F35" s="63" t="str">
        <f aca="false">IF('Onshore - Darwin (NT)'!D141="","Belum tercatat",'Onshore - Darwin (NT)'!D141)</f>
        <v>Term</v>
      </c>
      <c r="G35" s="65" t="n">
        <f aca="false">IF('Onshore - Darwin (NT)'!E141="","-",'Onshore - Darwin (NT)'!E141)</f>
        <v>7802</v>
      </c>
      <c r="H35" s="63" t="n">
        <f aca="false">IF(ISNUMBER(K35),COUNTIFS($J$6:$J$1916,J35,$K$6:$K$1916,"&lt;"&amp;K35)+1,"-")</f>
        <v>1</v>
      </c>
      <c r="I35" s="64" t="str">
        <f aca="false">IF('Onshore - Darwin (NT)'!E141="","Harga belum tersedia - hubungi konsultan TEG",IF(M35=2,"Saat ini tidak menerima pendaftaran siswa internasional baru",IF(M35=1,"Harga perlu dikonfirmasi ke sekolah"&amp;IF(""="","","; "&amp;""),"")))</f>
        <v/>
      </c>
      <c r="J35" s="0" t="s">
        <v>4627</v>
      </c>
      <c r="K35" s="0" t="n">
        <f aca="false">IF(M35=2,"",IF(ISNUMBER(SEARCH("rata-rata:",'Onshore - Darwin (NT)'!M141)),VALUE(MID('Onshore - Darwin (NT)'!M141,SEARCH("rata-rata:",'Onshore - Darwin (NT)'!M141)+11,FIND(";",'Onshore - Darwin (NT)'!M141&amp;";",SEARCH("rata-rata:",'Onshore - Darwin (NT)'!M141))-SEARCH("rata-rata:",'Onshore - Darwin (NT)'!M141)-11)),IF('Onshore - Darwin (NT)'!D141="Semester",'Onshore - Darwin (NT)'!E141*2,IF('Onshore - Darwin (NT)'!D141="Trimester",'Onshore - Darwin (NT)'!E141*3,IF('Onshore - Darwin (NT)'!D141="Term",'Onshore - Darwin (NT)'!E141*4,IF('Onshore - Darwin (NT)'!D141="Unit",'Onshore - Darwin (NT)'!E141*8,""))))))</f>
        <v>31208</v>
      </c>
      <c r="L35" s="0" t="n">
        <f aca="false">IF(AND(ISNUMBER('Onshore - Darwin (NT)'!E141),ISNUMBER(K35),ISNUMBER('Onshore - Darwin (NT)'!F141),ISNUMBER('Onshore - Darwin (NT)'!G141),OR('Onshore - Darwin (NT)'!F141&lt;&gt;0,ISNUMBER(SEARCH("Material 0 terverifikasi",'Onshore - Darwin (NT)'!M141))),OR('Onshore - Darwin (NT)'!G141&lt;&gt;0,ISNUMBER(SEARCH("Enrolment 0 terverifikasi",'Onshore - Darwin (NT)'!M141)))),1,0)</f>
        <v>0</v>
      </c>
      <c r="M35" s="0" t="n">
        <f aca="false">IF(OR('Onshore - Darwin (NT)'!E141="",ISNUMBER(SEARCH("BSB80120",'Onshore - Darwin (NT)'!B141&amp;'Onshore - Darwin (NT)'!M141)),ISNUMBER(SEARCH("Management (Learning)",'Onshore - Darwin (NT)'!B141))),2,IF(ISNUMBER(SEARCH("CEK:",'Onshore - Darwin (NT)'!M141)),1,0))</f>
        <v>0</v>
      </c>
    </row>
    <row r="36" customFormat="false" ht="15" hidden="false" customHeight="false" outlineLevel="0" collapsed="false">
      <c r="A36" s="61" t="s">
        <v>4628</v>
      </c>
      <c r="B36" s="62"/>
      <c r="C36" s="62"/>
      <c r="D36" s="62"/>
      <c r="E36" s="62"/>
      <c r="F36" s="62"/>
      <c r="G36" s="62"/>
      <c r="H36" s="62"/>
      <c r="I36" s="62"/>
    </row>
    <row r="37" customFormat="false" ht="15" hidden="false" customHeight="false" outlineLevel="0" collapsed="false">
      <c r="A37" s="63" t="s">
        <v>3583</v>
      </c>
      <c r="B37" s="64" t="s">
        <v>3698</v>
      </c>
      <c r="C37" s="63" t="s">
        <v>42</v>
      </c>
      <c r="D37" s="64" t="str">
        <f aca="false">TRIM(LEFT('Onshore - Darwin (NT)'!A20,FIND(CHAR(10),'Onshore - Darwin (NT)'!A20&amp;CHAR(10))-1))</f>
        <v>Charles Darwin University (CDU)</v>
      </c>
      <c r="E37" s="63" t="str">
        <f aca="false">'Onshore - Darwin (NT)'!C136&amp;""</f>
        <v>2 years</v>
      </c>
      <c r="F37" s="63" t="str">
        <f aca="false">IF('Onshore - Darwin (NT)'!D136="","Belum tercatat",'Onshore - Darwin (NT)'!D136)</f>
        <v>Term</v>
      </c>
      <c r="G37" s="65" t="n">
        <f aca="false">IF('Onshore - Darwin (NT)'!E136="","-",'Onshore - Darwin (NT)'!E136)</f>
        <v>7802</v>
      </c>
      <c r="H37" s="63" t="n">
        <f aca="false">IF(ISNUMBER(K37),COUNTIFS($J$6:$J$1916,J37,$K$6:$K$1916,"&lt;"&amp;K37)+1,"-")</f>
        <v>1</v>
      </c>
      <c r="I37" s="64" t="str">
        <f aca="false">IF('Onshore - Darwin (NT)'!E136="","Harga belum tersedia - hubungi konsultan TEG",IF(M37=2,"Saat ini tidak menerima pendaftaran siswa internasional baru",IF(M37=1,"Harga perlu dikonfirmasi ke sekolah"&amp;IF(""="","","; "&amp;""),"")))</f>
        <v/>
      </c>
      <c r="J37" s="0" t="s">
        <v>4629</v>
      </c>
      <c r="K37" s="0" t="n">
        <f aca="false">IF(M37=2,"",IF(ISNUMBER(SEARCH("rata-rata:",'Onshore - Darwin (NT)'!M136)),VALUE(MID('Onshore - Darwin (NT)'!M136,SEARCH("rata-rata:",'Onshore - Darwin (NT)'!M136)+11,FIND(";",'Onshore - Darwin (NT)'!M136&amp;";",SEARCH("rata-rata:",'Onshore - Darwin (NT)'!M136))-SEARCH("rata-rata:",'Onshore - Darwin (NT)'!M136)-11)),IF('Onshore - Darwin (NT)'!D136="Semester",'Onshore - Darwin (NT)'!E136*2,IF('Onshore - Darwin (NT)'!D136="Trimester",'Onshore - Darwin (NT)'!E136*3,IF('Onshore - Darwin (NT)'!D136="Term",'Onshore - Darwin (NT)'!E136*4,IF('Onshore - Darwin (NT)'!D136="Unit",'Onshore - Darwin (NT)'!E136*8,""))))))</f>
        <v>31208</v>
      </c>
      <c r="L37" s="0" t="n">
        <f aca="false">IF(AND(ISNUMBER('Onshore - Darwin (NT)'!E136),ISNUMBER(K37),ISNUMBER('Onshore - Darwin (NT)'!F136),ISNUMBER('Onshore - Darwin (NT)'!G136),OR('Onshore - Darwin (NT)'!F136&lt;&gt;0,ISNUMBER(SEARCH("Material 0 terverifikasi",'Onshore - Darwin (NT)'!M136))),OR('Onshore - Darwin (NT)'!G136&lt;&gt;0,ISNUMBER(SEARCH("Enrolment 0 terverifikasi",'Onshore - Darwin (NT)'!M136)))),1,0)</f>
        <v>0</v>
      </c>
      <c r="M37" s="0" t="n">
        <f aca="false">IF(OR('Onshore - Darwin (NT)'!E136="",ISNUMBER(SEARCH("BSB80120",'Onshore - Darwin (NT)'!B136&amp;'Onshore - Darwin (NT)'!M136)),ISNUMBER(SEARCH("Management (Learning)",'Onshore - Darwin (NT)'!B136))),2,IF(ISNUMBER(SEARCH("CEK:",'Onshore - Darwin (NT)'!M136)),1,0))</f>
        <v>0</v>
      </c>
    </row>
    <row r="38" customFormat="false" ht="15" hidden="false" customHeight="false" outlineLevel="0" collapsed="false">
      <c r="A38" s="61" t="s">
        <v>3722</v>
      </c>
      <c r="B38" s="62"/>
      <c r="C38" s="62"/>
      <c r="D38" s="62"/>
      <c r="E38" s="62"/>
      <c r="F38" s="62"/>
      <c r="G38" s="62"/>
      <c r="H38" s="62"/>
      <c r="I38" s="62"/>
    </row>
    <row r="39" customFormat="false" ht="15" hidden="false" customHeight="false" outlineLevel="0" collapsed="false">
      <c r="A39" s="63" t="s">
        <v>3583</v>
      </c>
      <c r="B39" s="64" t="s">
        <v>3698</v>
      </c>
      <c r="C39" s="63" t="s">
        <v>43</v>
      </c>
      <c r="D39" s="64" t="str">
        <f aca="false">TRIM(LEFT('Onshore - Darwin (NT)'!A20,FIND(CHAR(10),'Onshore - Darwin (NT)'!A20&amp;CHAR(10))-1))</f>
        <v>Charles Darwin University (CDU)</v>
      </c>
      <c r="E39" s="63" t="str">
        <f aca="false">'Onshore - Darwin (NT)'!C30&amp;""</f>
        <v>3 years</v>
      </c>
      <c r="F39" s="63" t="str">
        <f aca="false">IF('Onshore - Darwin (NT)'!D30="","Belum tercatat",'Onshore - Darwin (NT)'!D30)</f>
        <v>Term</v>
      </c>
      <c r="G39" s="65" t="n">
        <f aca="false">IF('Onshore - Darwin (NT)'!E30="","-",'Onshore - Darwin (NT)'!E30)</f>
        <v>7802</v>
      </c>
      <c r="H39" s="63" t="n">
        <f aca="false">IF(ISNUMBER(K39),COUNTIFS($J$6:$J$1916,J39,$K$6:$K$1916,"&lt;"&amp;K39)+1,"-")</f>
        <v>1</v>
      </c>
      <c r="I39" s="64" t="str">
        <f aca="false">IF('Onshore - Darwin (NT)'!E30="","Harga belum tersedia - hubungi konsultan TEG",IF(M39=2,"Saat ini tidak menerima pendaftaran siswa internasional baru",IF(M39=1,"Harga perlu dikonfirmasi ke sekolah"&amp;IF(""="","","; "&amp;""),"")))</f>
        <v/>
      </c>
      <c r="J39" s="0" t="s">
        <v>3723</v>
      </c>
      <c r="K39" s="0" t="n">
        <f aca="false">IF(M39=2,"",IF(ISNUMBER(SEARCH("rata-rata:",'Onshore - Darwin (NT)'!M30)),VALUE(MID('Onshore - Darwin (NT)'!M30,SEARCH("rata-rata:",'Onshore - Darwin (NT)'!M30)+11,FIND(";",'Onshore - Darwin (NT)'!M30&amp;";",SEARCH("rata-rata:",'Onshore - Darwin (NT)'!M30))-SEARCH("rata-rata:",'Onshore - Darwin (NT)'!M30)-11)),IF('Onshore - Darwin (NT)'!D30="Semester",'Onshore - Darwin (NT)'!E30*2,IF('Onshore - Darwin (NT)'!D30="Trimester",'Onshore - Darwin (NT)'!E30*3,IF('Onshore - Darwin (NT)'!D30="Term",'Onshore - Darwin (NT)'!E30*4,IF('Onshore - Darwin (NT)'!D30="Unit",'Onshore - Darwin (NT)'!E30*8,""))))))</f>
        <v>31208</v>
      </c>
      <c r="L39" s="0" t="n">
        <f aca="false">IF(AND(ISNUMBER('Onshore - Darwin (NT)'!E30),ISNUMBER(K39),ISNUMBER('Onshore - Darwin (NT)'!F30),ISNUMBER('Onshore - Darwin (NT)'!G30),OR('Onshore - Darwin (NT)'!F30&lt;&gt;0,ISNUMBER(SEARCH("Material 0 terverifikasi",'Onshore - Darwin (NT)'!M30))),OR('Onshore - Darwin (NT)'!G30&lt;&gt;0,ISNUMBER(SEARCH("Enrolment 0 terverifikasi",'Onshore - Darwin (NT)'!M30)))),1,0)</f>
        <v>0</v>
      </c>
      <c r="M39" s="0" t="n">
        <f aca="false">IF(OR('Onshore - Darwin (NT)'!E30="",ISNUMBER(SEARCH("BSB80120",'Onshore - Darwin (NT)'!B30&amp;'Onshore - Darwin (NT)'!M30)),ISNUMBER(SEARCH("Management (Learning)",'Onshore - Darwin (NT)'!B30))),2,IF(ISNUMBER(SEARCH("CEK:",'Onshore - Darwin (NT)'!M30)),1,0))</f>
        <v>0</v>
      </c>
    </row>
    <row r="40" customFormat="false" ht="15" hidden="false" customHeight="false" outlineLevel="0" collapsed="false">
      <c r="A40" s="61" t="s">
        <v>3724</v>
      </c>
      <c r="B40" s="62"/>
      <c r="C40" s="62"/>
      <c r="D40" s="62"/>
      <c r="E40" s="62"/>
      <c r="F40" s="62"/>
      <c r="G40" s="62"/>
      <c r="H40" s="62"/>
      <c r="I40" s="62"/>
    </row>
    <row r="41" customFormat="false" ht="15" hidden="false" customHeight="false" outlineLevel="0" collapsed="false">
      <c r="A41" s="63" t="s">
        <v>3583</v>
      </c>
      <c r="B41" s="64" t="s">
        <v>3698</v>
      </c>
      <c r="C41" s="63" t="s">
        <v>46</v>
      </c>
      <c r="D41" s="64" t="str">
        <f aca="false">TRIM(LEFT('Onshore - Darwin (NT)'!A20,FIND(CHAR(10),'Onshore - Darwin (NT)'!A20&amp;CHAR(10))-1))</f>
        <v>Charles Darwin University (CDU)</v>
      </c>
      <c r="E41" s="63" t="str">
        <f aca="false">'Onshore - Darwin (NT)'!C40&amp;""</f>
        <v>2 years</v>
      </c>
      <c r="F41" s="63" t="str">
        <f aca="false">IF('Onshore - Darwin (NT)'!D40="","Belum tercatat",'Onshore - Darwin (NT)'!D40)</f>
        <v>Term</v>
      </c>
      <c r="G41" s="65" t="n">
        <f aca="false">IF('Onshore - Darwin (NT)'!E40="","-",'Onshore - Darwin (NT)'!E40)</f>
        <v>9548</v>
      </c>
      <c r="H41" s="63" t="n">
        <f aca="false">IF(ISNUMBER(K41),COUNTIFS($J$6:$J$1916,J41,$K$6:$K$1916,"&lt;"&amp;K41)+1,"-")</f>
        <v>1</v>
      </c>
      <c r="I41" s="64" t="str">
        <f aca="false">IF('Onshore - Darwin (NT)'!E40="","Harga belum tersedia - hubungi konsultan TEG",IF(M41=2,"Saat ini tidak menerima pendaftaran siswa internasional baru",IF(M41=1,"Harga perlu dikonfirmasi ke sekolah"&amp;IF(""="","","; "&amp;""),"")))</f>
        <v/>
      </c>
      <c r="J41" s="0" t="s">
        <v>3725</v>
      </c>
      <c r="K41" s="0" t="n">
        <f aca="false">IF(M41=2,"",IF(ISNUMBER(SEARCH("rata-rata:",'Onshore - Darwin (NT)'!M40)),VALUE(MID('Onshore - Darwin (NT)'!M40,SEARCH("rata-rata:",'Onshore - Darwin (NT)'!M40)+11,FIND(";",'Onshore - Darwin (NT)'!M40&amp;";",SEARCH("rata-rata:",'Onshore - Darwin (NT)'!M40))-SEARCH("rata-rata:",'Onshore - Darwin (NT)'!M40)-11)),IF('Onshore - Darwin (NT)'!D40="Semester",'Onshore - Darwin (NT)'!E40*2,IF('Onshore - Darwin (NT)'!D40="Trimester",'Onshore - Darwin (NT)'!E40*3,IF('Onshore - Darwin (NT)'!D40="Term",'Onshore - Darwin (NT)'!E40*4,IF('Onshore - Darwin (NT)'!D40="Unit",'Onshore - Darwin (NT)'!E40*8,""))))))</f>
        <v>38192</v>
      </c>
      <c r="L41" s="0" t="n">
        <f aca="false">IF(AND(ISNUMBER('Onshore - Darwin (NT)'!E40),ISNUMBER(K41),ISNUMBER('Onshore - Darwin (NT)'!F40),ISNUMBER('Onshore - Darwin (NT)'!G40),OR('Onshore - Darwin (NT)'!F40&lt;&gt;0,ISNUMBER(SEARCH("Material 0 terverifikasi",'Onshore - Darwin (NT)'!M40))),OR('Onshore - Darwin (NT)'!G40&lt;&gt;0,ISNUMBER(SEARCH("Enrolment 0 terverifikasi",'Onshore - Darwin (NT)'!M40)))),1,0)</f>
        <v>0</v>
      </c>
      <c r="M41" s="0" t="n">
        <f aca="false">IF(OR('Onshore - Darwin (NT)'!E40="",ISNUMBER(SEARCH("BSB80120",'Onshore - Darwin (NT)'!B40&amp;'Onshore - Darwin (NT)'!M40)),ISNUMBER(SEARCH("Management (Learning)",'Onshore - Darwin (NT)'!B40))),2,IF(ISNUMBER(SEARCH("CEK:",'Onshore - Darwin (NT)'!M40)),1,0))</f>
        <v>0</v>
      </c>
    </row>
    <row r="42" customFormat="false" ht="15" hidden="false" customHeight="false" outlineLevel="0" collapsed="false">
      <c r="A42" s="61" t="s">
        <v>3726</v>
      </c>
      <c r="B42" s="62"/>
      <c r="C42" s="62"/>
      <c r="D42" s="62"/>
      <c r="E42" s="62"/>
      <c r="F42" s="62"/>
      <c r="G42" s="62"/>
      <c r="H42" s="62"/>
      <c r="I42" s="62"/>
    </row>
    <row r="43" customFormat="false" ht="28.35" hidden="false" customHeight="false" outlineLevel="0" collapsed="false">
      <c r="A43" s="63" t="s">
        <v>3544</v>
      </c>
      <c r="B43" s="64" t="s">
        <v>3698</v>
      </c>
      <c r="C43" s="63" t="s">
        <v>41</v>
      </c>
      <c r="D43" s="64" t="str">
        <f aca="false">TRIM(LEFT('Onshore- Melbourne'!A454,FIND(CHAR(10),'Onshore- Melbourne'!A454&amp;CHAR(10))-1))</f>
        <v>TKL College (Training for Knowledge and Livelihood)</v>
      </c>
      <c r="E43" s="63" t="str">
        <f aca="false">'Onshore- Melbourne'!C454&amp;""</f>
        <v>2,5 years</v>
      </c>
      <c r="F43" s="63" t="str">
        <f aca="false">IF('Onshore- Melbourne'!D454="","Belum tercatat",'Onshore- Melbourne'!D454)</f>
        <v>Term</v>
      </c>
      <c r="G43" s="65" t="n">
        <f aca="false">IF('Onshore- Melbourne'!E454="","-",'Onshore- Melbourne'!E454)</f>
        <v>1500</v>
      </c>
      <c r="H43" s="63" t="n">
        <f aca="false">IF(ISNUMBER(K43),COUNTIFS($J$6:$J$1916,J43,$K$6:$K$1916,"&lt;"&amp;K43)+1,"-")</f>
        <v>1</v>
      </c>
      <c r="I43" s="64" t="str">
        <f aca="false">IF('Onshore- Melbourne'!E454="","Harga belum tersedia - hubungi konsultan TEG",IF(M43=2,"Saat ini tidak menerima pendaftaran siswa internasional baru",IF(M43=1,"Program perlu dikonfirmasi ketersediaannya"&amp;IF(""="","","; "&amp;""),"")))</f>
        <v>Program perlu dikonfirmasi ketersediaannya</v>
      </c>
      <c r="J43" s="0" t="s">
        <v>3727</v>
      </c>
      <c r="K43" s="0" t="n">
        <f aca="false">IF(M43=2,"",IF(ISNUMBER(SEARCH("rata-rata:",'Onshore- Melbourne'!M454)),VALUE(MID('Onshore- Melbourne'!M454,SEARCH("rata-rata:",'Onshore- Melbourne'!M454)+11,FIND(";",'Onshore- Melbourne'!M454&amp;";",SEARCH("rata-rata:",'Onshore- Melbourne'!M454))-SEARCH("rata-rata:",'Onshore- Melbourne'!M454)-11)),IF('Onshore- Melbourne'!D454="Semester",'Onshore- Melbourne'!E454*2,IF('Onshore- Melbourne'!D454="Trimester",'Onshore- Melbourne'!E454*3,IF('Onshore- Melbourne'!D454="Term",'Onshore- Melbourne'!E454*4,IF('Onshore- Melbourne'!D454="Unit",'Onshore- Melbourne'!E454*8,""))))))</f>
        <v>6000</v>
      </c>
      <c r="L43" s="0" t="n">
        <f aca="false">IF(AND(ISNUMBER('Onshore- Melbourne'!E454),ISNUMBER(K43),ISNUMBER('Onshore- Melbourne'!F454),ISNUMBER('Onshore- Melbourne'!G454),OR('Onshore- Melbourne'!F454&lt;&gt;0,ISNUMBER(SEARCH("Material 0 terverifikasi",'Onshore- Melbourne'!M454))),OR('Onshore- Melbourne'!G454&lt;&gt;0,ISNUMBER(SEARCH("Enrolment 0 terverifikasi",'Onshore- Melbourne'!M454)))),1,0)</f>
        <v>1</v>
      </c>
      <c r="M43" s="0" t="n">
        <f aca="false">IF(OR('Onshore- Melbourne'!E454="",ISNUMBER(SEARCH("BSB80120",'Onshore- Melbourne'!B454&amp;'Onshore- Melbourne'!M454)),ISNUMBER(SEARCH("Management (Learning)",'Onshore- Melbourne'!B454))),2,IF(ISNUMBER(SEARCH("CEK:",'Onshore- Melbourne'!M454)),1,0))</f>
        <v>1</v>
      </c>
    </row>
    <row r="44" customFormat="false" ht="28.35" hidden="false" customHeight="false" outlineLevel="0" collapsed="false">
      <c r="A44" s="63" t="s">
        <v>3544</v>
      </c>
      <c r="B44" s="64" t="s">
        <v>3698</v>
      </c>
      <c r="C44" s="63" t="s">
        <v>41</v>
      </c>
      <c r="D44" s="64" t="str">
        <f aca="false">TRIM(LEFT('Onshore- Melbourne'!A407,FIND(CHAR(10),'Onshore- Melbourne'!A407&amp;CHAR(10))-1))</f>
        <v>Sacred Heart International College (SHIC)</v>
      </c>
      <c r="E44" s="63" t="str">
        <f aca="false">'Onshore- Melbourne'!C409&amp;""</f>
        <v>2 years</v>
      </c>
      <c r="F44" s="63" t="str">
        <f aca="false">IF('Onshore- Melbourne'!D409="","Belum tercatat",'Onshore- Melbourne'!D409)</f>
        <v>Term</v>
      </c>
      <c r="G44" s="65" t="n">
        <f aca="false">IF('Onshore- Melbourne'!E409="","-",'Onshore- Melbourne'!E409)</f>
        <v>1625</v>
      </c>
      <c r="H44" s="63" t="n">
        <f aca="false">IF(ISNUMBER(K44),COUNTIFS($J$6:$J$1916,J44,$K$6:$K$1916,"&lt;"&amp;K44)+1,"-")</f>
        <v>2</v>
      </c>
      <c r="I44" s="64" t="str">
        <f aca="false">IF('Onshore- Melbourne'!E409="","Harga belum tersedia - hubungi konsultan TEG",IF(M44=2,"Saat ini tidak menerima pendaftaran siswa internasional baru",IF(M44=1,"Harga promo sudah berakhir - konfirmasi harga terbaru"&amp;IF(""="","","; "&amp;""),"")))</f>
        <v>Harga promo sudah berakhir - konfirmasi harga terbaru</v>
      </c>
      <c r="J44" s="0" t="s">
        <v>3727</v>
      </c>
      <c r="K44" s="0" t="n">
        <f aca="false">IF(M44=2,"",IF(ISNUMBER(SEARCH("rata-rata:",'Onshore- Melbourne'!M409)),VALUE(MID('Onshore- Melbourne'!M409,SEARCH("rata-rata:",'Onshore- Melbourne'!M409)+11,FIND(";",'Onshore- Melbourne'!M409&amp;";",SEARCH("rata-rata:",'Onshore- Melbourne'!M409))-SEARCH("rata-rata:",'Onshore- Melbourne'!M409)-11)),IF('Onshore- Melbourne'!D409="Semester",'Onshore- Melbourne'!E409*2,IF('Onshore- Melbourne'!D409="Trimester",'Onshore- Melbourne'!E409*3,IF('Onshore- Melbourne'!D409="Term",'Onshore- Melbourne'!E409*4,IF('Onshore- Melbourne'!D409="Unit",'Onshore- Melbourne'!E409*8,""))))))</f>
        <v>6500</v>
      </c>
      <c r="L44" s="0" t="n">
        <f aca="false">IF(AND(ISNUMBER('Onshore- Melbourne'!E409),ISNUMBER(K44),ISNUMBER('Onshore- Melbourne'!F409),ISNUMBER('Onshore- Melbourne'!G409),OR('Onshore- Melbourne'!F409&lt;&gt;0,ISNUMBER(SEARCH("Material 0 terverifikasi",'Onshore- Melbourne'!M409))),OR('Onshore- Melbourne'!G409&lt;&gt;0,ISNUMBER(SEARCH("Enrolment 0 terverifikasi",'Onshore- Melbourne'!M409)))),1,0)</f>
        <v>0</v>
      </c>
      <c r="M44" s="0" t="n">
        <f aca="false">IF(OR('Onshore- Melbourne'!E409="",ISNUMBER(SEARCH("BSB80120",'Onshore- Melbourne'!B409&amp;'Onshore- Melbourne'!M409)),ISNUMBER(SEARCH("Management (Learning)",'Onshore- Melbourne'!B409))),2,IF(ISNUMBER(SEARCH("CEK:",'Onshore- Melbourne'!M409)),1,0))</f>
        <v>1</v>
      </c>
    </row>
    <row r="45" customFormat="false" ht="15" hidden="false" customHeight="false" outlineLevel="0" collapsed="false">
      <c r="A45" s="61" t="s">
        <v>3728</v>
      </c>
      <c r="B45" s="62"/>
      <c r="C45" s="62"/>
      <c r="D45" s="62"/>
      <c r="E45" s="62"/>
      <c r="F45" s="62"/>
      <c r="G45" s="62"/>
      <c r="H45" s="62"/>
      <c r="I45" s="62"/>
    </row>
    <row r="46" customFormat="false" ht="55.2" hidden="false" customHeight="false" outlineLevel="0" collapsed="false">
      <c r="A46" s="63" t="s">
        <v>3544</v>
      </c>
      <c r="B46" s="64" t="s">
        <v>3698</v>
      </c>
      <c r="C46" s="63" t="s">
        <v>43</v>
      </c>
      <c r="D46" s="64" t="str">
        <f aca="false">TRIM(LEFT('Onshore- Melbourne'!A43,FIND(CHAR(10),'Onshore- Melbourne'!A43&amp;CHAR(10))-1))</f>
        <v>AIH Higher Education (Australian Institute of Higher Education)</v>
      </c>
      <c r="E46" s="63" t="str">
        <f aca="false">'Onshore- Melbourne'!C43&amp;""</f>
        <v>3 years</v>
      </c>
      <c r="F46" s="63" t="str">
        <f aca="false">IF('Onshore- Melbourne'!D43="","Belum tercatat",'Onshore- Melbourne'!D43)</f>
        <v>Unit</v>
      </c>
      <c r="G46" s="65" t="n">
        <f aca="false">IF('Onshore- Melbourne'!E43="","-",'Onshore- Melbourne'!E43)</f>
        <v>1680</v>
      </c>
      <c r="H46" s="63" t="n">
        <f aca="false">IF(ISNUMBER(K46),COUNTIFS($J$6:$J$1916,J46,$K$6:$K$1916,"&lt;"&amp;K46)+1,"-")</f>
        <v>1</v>
      </c>
      <c r="I46" s="64" t="str">
        <f aca="false">IF('Onshore- Melbourne'!E43="","Harga belum tersedia - hubungi konsultan TEG",IF(M46=2,"Saat ini tidak menerima pendaftaran siswa internasional baru",IF(M46=1,"Harga perlu dikonfirmasi ke sekolah"&amp;IF("Harga promo s.d. 31/12/2026; Harga dihitung per unit; total tergantung jumlah unit yang diambil; Sudah termasuk beasiswa 20% (syarat berlaku)"="","","; "&amp;"Harga promo s.d. 31/12/2026; Harga dihitung per unit; total tergantung jumlah unit yang diambil; Sudah termasuk beasiswa 20% (syarat berlaku)"),"Harga promo s.d. 31/12/2026; Harga dihitung per unit; total tergantung jumlah unit yang diambil; Sudah termasuk beasiswa 20% (syarat berlaku)")))</f>
        <v>Harga promo s.d. 31/12/2026; Harga dihitung per unit; total tergantung jumlah unit yang diambil; Sudah termasuk beasiswa 20% (syarat berlaku)</v>
      </c>
      <c r="J46" s="0" t="s">
        <v>3729</v>
      </c>
      <c r="K46" s="0" t="n">
        <f aca="false">IF(M46=2,"",IF(ISNUMBER(SEARCH("rata-rata:",'Onshore- Melbourne'!M43)),VALUE(MID('Onshore- Melbourne'!M43,SEARCH("rata-rata:",'Onshore- Melbourne'!M43)+11,FIND(";",'Onshore- Melbourne'!M43&amp;";",SEARCH("rata-rata:",'Onshore- Melbourne'!M43))-SEARCH("rata-rata:",'Onshore- Melbourne'!M43)-11)),IF('Onshore- Melbourne'!D43="Semester",'Onshore- Melbourne'!E43*2,IF('Onshore- Melbourne'!D43="Trimester",'Onshore- Melbourne'!E43*3,IF('Onshore- Melbourne'!D43="Term",'Onshore- Melbourne'!E43*4,IF('Onshore- Melbourne'!D43="Unit",'Onshore- Melbourne'!E43*8,""))))))</f>
        <v>13440</v>
      </c>
      <c r="L46" s="0" t="n">
        <f aca="false">IF(AND(ISNUMBER('Onshore- Melbourne'!E43),ISNUMBER(K46),ISNUMBER('Onshore- Melbourne'!F43),ISNUMBER('Onshore- Melbourne'!G43),OR('Onshore- Melbourne'!F43&lt;&gt;0,ISNUMBER(SEARCH("Material 0 terverifikasi",'Onshore- Melbourne'!M43))),OR('Onshore- Melbourne'!G43&lt;&gt;0,ISNUMBER(SEARCH("Enrolment 0 terverifikasi",'Onshore- Melbourne'!M43)))),1,0)</f>
        <v>1</v>
      </c>
      <c r="M46" s="0" t="n">
        <f aca="false">IF(OR('Onshore- Melbourne'!E43="",ISNUMBER(SEARCH("BSB80120",'Onshore- Melbourne'!B43&amp;'Onshore- Melbourne'!M43)),ISNUMBER(SEARCH("Management (Learning)",'Onshore- Melbourne'!B43))),2,IF(ISNUMBER(SEARCH("CEK:",'Onshore- Melbourne'!M43)),1,0))</f>
        <v>0</v>
      </c>
    </row>
    <row r="47" customFormat="false" ht="28.35" hidden="false" customHeight="false" outlineLevel="0" collapsed="false">
      <c r="A47" s="63" t="s">
        <v>3544</v>
      </c>
      <c r="B47" s="64" t="s">
        <v>3698</v>
      </c>
      <c r="C47" s="63" t="s">
        <v>43</v>
      </c>
      <c r="D47" s="64" t="str">
        <f aca="false">TRIM(LEFT('Onshore- Melbourne'!A368,FIND(CHAR(10),'Onshore- Melbourne'!A368&amp;CHAR(10))-1))</f>
        <v>National Academy of Professional Studies (NAPS)</v>
      </c>
      <c r="E47" s="63" t="str">
        <f aca="false">'Onshore- Melbourne'!C370&amp;""</f>
        <v>3 years</v>
      </c>
      <c r="F47" s="63" t="str">
        <f aca="false">IF('Onshore- Melbourne'!D370="","Belum tercatat",'Onshore- Melbourne'!D370)</f>
        <v>Term</v>
      </c>
      <c r="G47" s="65" t="n">
        <f aca="false">IF('Onshore- Melbourne'!E370="","-",'Onshore- Melbourne'!E370)</f>
        <v>4000</v>
      </c>
      <c r="H47" s="63" t="n">
        <f aca="false">IF(ISNUMBER(K47),COUNTIFS($J$6:$J$1916,J47,$K$6:$K$1916,"&lt;"&amp;K47)+1,"-")</f>
        <v>2</v>
      </c>
      <c r="I47" s="64" t="str">
        <f aca="false">IF('Onshore- Melbourne'!E370="","Harga belum tersedia - hubungi konsultan TEG",IF(M47=2,"Saat ini tidak menerima pendaftaran siswa internasional baru",IF(M47=1,"Harga perlu dikonfirmasi ke sekolah"&amp;IF(""="","","; "&amp;""),"")))</f>
        <v>Harga perlu dikonfirmasi ke sekolah</v>
      </c>
      <c r="J47" s="0" t="s">
        <v>3729</v>
      </c>
      <c r="K47" s="0" t="n">
        <f aca="false">IF(M47=2,"",IF(ISNUMBER(SEARCH("rata-rata:",'Onshore- Melbourne'!M370)),VALUE(MID('Onshore- Melbourne'!M370,SEARCH("rata-rata:",'Onshore- Melbourne'!M370)+11,FIND(";",'Onshore- Melbourne'!M370&amp;";",SEARCH("rata-rata:",'Onshore- Melbourne'!M370))-SEARCH("rata-rata:",'Onshore- Melbourne'!M370)-11)),IF('Onshore- Melbourne'!D370="Semester",'Onshore- Melbourne'!E370*2,IF('Onshore- Melbourne'!D370="Trimester",'Onshore- Melbourne'!E370*3,IF('Onshore- Melbourne'!D370="Term",'Onshore- Melbourne'!E370*4,IF('Onshore- Melbourne'!D370="Unit",'Onshore- Melbourne'!E370*8,""))))))</f>
        <v>16000</v>
      </c>
      <c r="L47" s="0" t="n">
        <f aca="false">IF(AND(ISNUMBER('Onshore- Melbourne'!E370),ISNUMBER(K47),ISNUMBER('Onshore- Melbourne'!F370),ISNUMBER('Onshore- Melbourne'!G370),OR('Onshore- Melbourne'!F370&lt;&gt;0,ISNUMBER(SEARCH("Material 0 terverifikasi",'Onshore- Melbourne'!M370))),OR('Onshore- Melbourne'!G370&lt;&gt;0,ISNUMBER(SEARCH("Enrolment 0 terverifikasi",'Onshore- Melbourne'!M370)))),1,0)</f>
        <v>1</v>
      </c>
      <c r="M47" s="0" t="n">
        <f aca="false">IF(OR('Onshore- Melbourne'!E370="",ISNUMBER(SEARCH("BSB80120",'Onshore- Melbourne'!B370&amp;'Onshore- Melbourne'!M370)),ISNUMBER(SEARCH("Management (Learning)",'Onshore- Melbourne'!B370))),2,IF(ISNUMBER(SEARCH("CEK:",'Onshore- Melbourne'!M370)),1,0))</f>
        <v>1</v>
      </c>
    </row>
    <row r="48" customFormat="false" ht="15" hidden="false" customHeight="false" outlineLevel="0" collapsed="false">
      <c r="A48" s="63" t="s">
        <v>3544</v>
      </c>
      <c r="B48" s="64" t="s">
        <v>3698</v>
      </c>
      <c r="C48" s="63" t="s">
        <v>43</v>
      </c>
      <c r="D48" s="64" t="str">
        <f aca="false">TRIM(LEFT('Onshore- Melbourne'!A319,FIND(CHAR(10),'Onshore- Melbourne'!A319&amp;CHAR(10))-1))</f>
        <v>Kent Institute Australia</v>
      </c>
      <c r="E48" s="63" t="str">
        <f aca="false">'Onshore- Melbourne'!C319&amp;""</f>
        <v>3 years</v>
      </c>
      <c r="F48" s="63" t="str">
        <f aca="false">IF('Onshore- Melbourne'!D319="","Belum tercatat",'Onshore- Melbourne'!D319)</f>
        <v>Trimester</v>
      </c>
      <c r="G48" s="65" t="n">
        <f aca="false">IF('Onshore- Melbourne'!E319="","-",'Onshore- Melbourne'!E319)</f>
        <v>5800</v>
      </c>
      <c r="H48" s="63" t="n">
        <f aca="false">IF(ISNUMBER(K48),COUNTIFS($J$6:$J$1916,J48,$K$6:$K$1916,"&lt;"&amp;K48)+1,"-")</f>
        <v>3</v>
      </c>
      <c r="I48" s="64" t="str">
        <f aca="false">IF('Onshore- Melbourne'!E319="","Harga belum tersedia - hubungi konsultan TEG",IF(M48=2,"Saat ini tidak menerima pendaftaran siswa internasional baru",IF(M48=1,"Harga perlu dikonfirmasi ke sekolah"&amp;IF(""="","","; "&amp;""),"")))</f>
        <v>Harga perlu dikonfirmasi ke sekolah</v>
      </c>
      <c r="J48" s="0" t="s">
        <v>3729</v>
      </c>
      <c r="K48" s="0" t="n">
        <f aca="false">IF(M48=2,"",IF(ISNUMBER(SEARCH("rata-rata:",'Onshore- Melbourne'!M319)),VALUE(MID('Onshore- Melbourne'!M319,SEARCH("rata-rata:",'Onshore- Melbourne'!M319)+11,FIND(";",'Onshore- Melbourne'!M319&amp;";",SEARCH("rata-rata:",'Onshore- Melbourne'!M319))-SEARCH("rata-rata:",'Onshore- Melbourne'!M319)-11)),IF('Onshore- Melbourne'!D319="Semester",'Onshore- Melbourne'!E319*2,IF('Onshore- Melbourne'!D319="Trimester",'Onshore- Melbourne'!E319*3,IF('Onshore- Melbourne'!D319="Term",'Onshore- Melbourne'!E319*4,IF('Onshore- Melbourne'!D319="Unit",'Onshore- Melbourne'!E319*8,""))))))</f>
        <v>17400</v>
      </c>
      <c r="L48" s="0" t="n">
        <f aca="false">IF(AND(ISNUMBER('Onshore- Melbourne'!E319),ISNUMBER(K48),ISNUMBER('Onshore- Melbourne'!F319),ISNUMBER('Onshore- Melbourne'!G319),OR('Onshore- Melbourne'!F319&lt;&gt;0,ISNUMBER(SEARCH("Material 0 terverifikasi",'Onshore- Melbourne'!M319))),OR('Onshore- Melbourne'!G319&lt;&gt;0,ISNUMBER(SEARCH("Enrolment 0 terverifikasi",'Onshore- Melbourne'!M319)))),1,0)</f>
        <v>0</v>
      </c>
      <c r="M48" s="0" t="n">
        <f aca="false">IF(OR('Onshore- Melbourne'!E319="",ISNUMBER(SEARCH("BSB80120",'Onshore- Melbourne'!B319&amp;'Onshore- Melbourne'!M319)),ISNUMBER(SEARCH("Management (Learning)",'Onshore- Melbourne'!B319))),2,IF(ISNUMBER(SEARCH("CEK:",'Onshore- Melbourne'!M319)),1,0))</f>
        <v>1</v>
      </c>
    </row>
    <row r="49" customFormat="false" ht="15" hidden="false" customHeight="false" outlineLevel="0" collapsed="false">
      <c r="A49" s="63" t="s">
        <v>3544</v>
      </c>
      <c r="B49" s="64" t="s">
        <v>3698</v>
      </c>
      <c r="C49" s="63" t="s">
        <v>43</v>
      </c>
      <c r="D49" s="64" t="str">
        <f aca="false">TRIM(LEFT('Onshore- Melbourne'!A94,FIND(CHAR(10),'Onshore- Melbourne'!A94&amp;CHAR(10))-1))</f>
        <v>Australian Catholic University (ACU)</v>
      </c>
      <c r="E49" s="63" t="str">
        <f aca="false">'Onshore- Melbourne'!C94&amp;""</f>
        <v>3 years</v>
      </c>
      <c r="F49" s="63" t="str">
        <f aca="false">IF('Onshore- Melbourne'!D94="","Belum tercatat",'Onshore- Melbourne'!D94)</f>
        <v>Term</v>
      </c>
      <c r="G49" s="65" t="n">
        <f aca="false">IF('Onshore- Melbourne'!E94="","-",'Onshore- Melbourne'!E94)</f>
        <v>8742</v>
      </c>
      <c r="H49" s="63" t="n">
        <f aca="false">IF(ISNUMBER(K49),COUNTIFS($J$6:$J$1916,J49,$K$6:$K$1916,"&lt;"&amp;K49)+1,"-")</f>
        <v>4</v>
      </c>
      <c r="I49" s="64" t="str">
        <f aca="false">IF('Onshore- Melbourne'!E94="","Harga belum tersedia - hubungi konsultan TEG",IF(M49=2,"Saat ini tidak menerima pendaftaran siswa internasional baru",IF(M49=1,"Harga perlu dikonfirmasi ke sekolah"&amp;IF(""="","","; "&amp;""),"")))</f>
        <v/>
      </c>
      <c r="J49" s="0" t="s">
        <v>3729</v>
      </c>
      <c r="K49" s="0" t="n">
        <f aca="false">IF(M49=2,"",IF(ISNUMBER(SEARCH("rata-rata:",'Onshore- Melbourne'!M94)),VALUE(MID('Onshore- Melbourne'!M94,SEARCH("rata-rata:",'Onshore- Melbourne'!M94)+11,FIND(";",'Onshore- Melbourne'!M94&amp;";",SEARCH("rata-rata:",'Onshore- Melbourne'!M94))-SEARCH("rata-rata:",'Onshore- Melbourne'!M94)-11)),IF('Onshore- Melbourne'!D94="Semester",'Onshore- Melbourne'!E94*2,IF('Onshore- Melbourne'!D94="Trimester",'Onshore- Melbourne'!E94*3,IF('Onshore- Melbourne'!D94="Term",'Onshore- Melbourne'!E94*4,IF('Onshore- Melbourne'!D94="Unit",'Onshore- Melbourne'!E94*8,""))))))</f>
        <v>34968</v>
      </c>
      <c r="L49" s="0" t="n">
        <f aca="false">IF(AND(ISNUMBER('Onshore- Melbourne'!E94),ISNUMBER(K49),ISNUMBER('Onshore- Melbourne'!F94),ISNUMBER('Onshore- Melbourne'!G94),OR('Onshore- Melbourne'!F94&lt;&gt;0,ISNUMBER(SEARCH("Material 0 terverifikasi",'Onshore- Melbourne'!M94))),OR('Onshore- Melbourne'!G94&lt;&gt;0,ISNUMBER(SEARCH("Enrolment 0 terverifikasi",'Onshore- Melbourne'!M94)))),1,0)</f>
        <v>0</v>
      </c>
      <c r="M49" s="0" t="n">
        <f aca="false">IF(OR('Onshore- Melbourne'!E94="",ISNUMBER(SEARCH("BSB80120",'Onshore- Melbourne'!B94&amp;'Onshore- Melbourne'!M94)),ISNUMBER(SEARCH("Management (Learning)",'Onshore- Melbourne'!B94))),2,IF(ISNUMBER(SEARCH("CEK:",'Onshore- Melbourne'!M94)),1,0))</f>
        <v>0</v>
      </c>
    </row>
    <row r="50" customFormat="false" ht="15" hidden="false" customHeight="false" outlineLevel="0" collapsed="false">
      <c r="A50" s="61" t="s">
        <v>3730</v>
      </c>
      <c r="B50" s="62"/>
      <c r="C50" s="62"/>
      <c r="D50" s="62"/>
      <c r="E50" s="62"/>
      <c r="F50" s="62"/>
      <c r="G50" s="62"/>
      <c r="H50" s="62"/>
      <c r="I50" s="62"/>
    </row>
    <row r="51" customFormat="false" ht="15" hidden="false" customHeight="false" outlineLevel="0" collapsed="false">
      <c r="A51" s="63" t="s">
        <v>3544</v>
      </c>
      <c r="B51" s="64" t="s">
        <v>3698</v>
      </c>
      <c r="C51" s="63" t="s">
        <v>3707</v>
      </c>
      <c r="D51" s="64" t="str">
        <f aca="false">TRIM(LEFT('Onshore- Melbourne'!A445,FIND(CHAR(10),'Onshore- Melbourne'!A445&amp;CHAR(10))-1))</f>
        <v>The Institute of International Studies (TIIS)</v>
      </c>
      <c r="E51" s="63" t="str">
        <f aca="false">'Onshore- Melbourne'!C447&amp;""</f>
        <v>0,5 years</v>
      </c>
      <c r="F51" s="63" t="str">
        <f aca="false">IF('Onshore- Melbourne'!D447="","Belum tercatat",'Onshore- Melbourne'!D447)</f>
        <v>Term</v>
      </c>
      <c r="G51" s="65" t="n">
        <f aca="false">IF('Onshore- Melbourne'!E447="","-",'Onshore- Melbourne'!E447)</f>
        <v>4100</v>
      </c>
      <c r="H51" s="63" t="n">
        <f aca="false">IF(ISNUMBER(K51),COUNTIFS($J$6:$J$1916,J51,$K$6:$K$1916,"&lt;"&amp;K51)+1,"-")</f>
        <v>1</v>
      </c>
      <c r="I51" s="64" t="str">
        <f aca="false">IF('Onshore- Melbourne'!E447="","Harga belum tersedia - hubungi konsultan TEG",IF(M51=2,"Saat ini tidak menerima pendaftaran siswa internasional baru",IF(M51=1,"Harga perlu dikonfirmasi ke sekolah"&amp;IF(""="","","; "&amp;""),"")))</f>
        <v/>
      </c>
      <c r="J51" s="0" t="s">
        <v>3731</v>
      </c>
      <c r="K51" s="0" t="n">
        <f aca="false">IF(M51=2,"",IF(ISNUMBER(SEARCH("rata-rata:",'Onshore- Melbourne'!M447)),VALUE(MID('Onshore- Melbourne'!M447,SEARCH("rata-rata:",'Onshore- Melbourne'!M447)+11,FIND(";",'Onshore- Melbourne'!M447&amp;";",SEARCH("rata-rata:",'Onshore- Melbourne'!M447))-SEARCH("rata-rata:",'Onshore- Melbourne'!M447)-11)),IF('Onshore- Melbourne'!D447="Semester",'Onshore- Melbourne'!E447*2,IF('Onshore- Melbourne'!D447="Trimester",'Onshore- Melbourne'!E447*3,IF('Onshore- Melbourne'!D447="Term",'Onshore- Melbourne'!E447*4,IF('Onshore- Melbourne'!D447="Unit",'Onshore- Melbourne'!E447*8,""))))))</f>
        <v>16400</v>
      </c>
      <c r="L51" s="0" t="n">
        <f aca="false">IF(AND(ISNUMBER('Onshore- Melbourne'!E447),ISNUMBER(K51),ISNUMBER('Onshore- Melbourne'!F447),ISNUMBER('Onshore- Melbourne'!G447),OR('Onshore- Melbourne'!F447&lt;&gt;0,ISNUMBER(SEARCH("Material 0 terverifikasi",'Onshore- Melbourne'!M447))),OR('Onshore- Melbourne'!G447&lt;&gt;0,ISNUMBER(SEARCH("Enrolment 0 terverifikasi",'Onshore- Melbourne'!M447)))),1,0)</f>
        <v>0</v>
      </c>
      <c r="M51" s="0" t="n">
        <f aca="false">IF(OR('Onshore- Melbourne'!E447="",ISNUMBER(SEARCH("BSB80120",'Onshore- Melbourne'!B447&amp;'Onshore- Melbourne'!M447)),ISNUMBER(SEARCH("Management (Learning)",'Onshore- Melbourne'!B447))),2,IF(ISNUMBER(SEARCH("CEK:",'Onshore- Melbourne'!M447)),1,0))</f>
        <v>0</v>
      </c>
    </row>
    <row r="52" customFormat="false" ht="15" hidden="false" customHeight="false" outlineLevel="0" collapsed="false">
      <c r="A52" s="63" t="s">
        <v>3544</v>
      </c>
      <c r="B52" s="64" t="s">
        <v>3698</v>
      </c>
      <c r="C52" s="63" t="s">
        <v>3707</v>
      </c>
      <c r="D52" s="64" t="str">
        <f aca="false">TRIM(LEFT('Onshore- Melbourne'!A304,FIND(CHAR(10),'Onshore- Melbourne'!A304&amp;CHAR(10))-1))</f>
        <v>Kaplan Business School</v>
      </c>
      <c r="E52" s="63" t="str">
        <f aca="false">'Onshore- Melbourne'!C309&amp;""</f>
        <v>0,5 year</v>
      </c>
      <c r="F52" s="63" t="str">
        <f aca="false">IF('Onshore- Melbourne'!D309="","Belum tercatat",'Onshore- Melbourne'!D309)</f>
        <v>Trimester</v>
      </c>
      <c r="G52" s="65" t="n">
        <f aca="false">IF('Onshore- Melbourne'!E309="","-",'Onshore- Melbourne'!E309)</f>
        <v>13600</v>
      </c>
      <c r="H52" s="63" t="n">
        <f aca="false">IF(ISNUMBER(K52),COUNTIFS($J$6:$J$1916,J52,$K$6:$K$1916,"&lt;"&amp;K52)+1,"-")</f>
        <v>2</v>
      </c>
      <c r="I52" s="64" t="str">
        <f aca="false">IF('Onshore- Melbourne'!E309="","Harga belum tersedia - hubungi konsultan TEG",IF(M52=2,"Saat ini tidak menerima pendaftaran siswa internasional baru",IF(M52=1,"Harga perlu dikonfirmasi ke sekolah"&amp;IF(""="","","; "&amp;""),"")))</f>
        <v>Harga perlu dikonfirmasi ke sekolah</v>
      </c>
      <c r="J52" s="0" t="s">
        <v>3731</v>
      </c>
      <c r="K52" s="0" t="n">
        <f aca="false">IF(M52=2,"",IF(ISNUMBER(SEARCH("rata-rata:",'Onshore- Melbourne'!M309)),VALUE(MID('Onshore- Melbourne'!M309,SEARCH("rata-rata:",'Onshore- Melbourne'!M309)+11,FIND(";",'Onshore- Melbourne'!M309&amp;";",SEARCH("rata-rata:",'Onshore- Melbourne'!M309))-SEARCH("rata-rata:",'Onshore- Melbourne'!M309)-11)),IF('Onshore- Melbourne'!D309="Semester",'Onshore- Melbourne'!E309*2,IF('Onshore- Melbourne'!D309="Trimester",'Onshore- Melbourne'!E309*3,IF('Onshore- Melbourne'!D309="Term",'Onshore- Melbourne'!E309*4,IF('Onshore- Melbourne'!D309="Unit",'Onshore- Melbourne'!E309*8,""))))))</f>
        <v>40800</v>
      </c>
      <c r="L52" s="0" t="n">
        <f aca="false">IF(AND(ISNUMBER('Onshore- Melbourne'!E309),ISNUMBER(K52),ISNUMBER('Onshore- Melbourne'!F309),ISNUMBER('Onshore- Melbourne'!G309),OR('Onshore- Melbourne'!F309&lt;&gt;0,ISNUMBER(SEARCH("Material 0 terverifikasi",'Onshore- Melbourne'!M309))),OR('Onshore- Melbourne'!G309&lt;&gt;0,ISNUMBER(SEARCH("Enrolment 0 terverifikasi",'Onshore- Melbourne'!M309)))),1,0)</f>
        <v>1</v>
      </c>
      <c r="M52" s="0" t="n">
        <f aca="false">IF(OR('Onshore- Melbourne'!E309="",ISNUMBER(SEARCH("BSB80120",'Onshore- Melbourne'!B309&amp;'Onshore- Melbourne'!M309)),ISNUMBER(SEARCH("Management (Learning)",'Onshore- Melbourne'!B309))),2,IF(ISNUMBER(SEARCH("CEK:",'Onshore- Melbourne'!M309)),1,0))</f>
        <v>1</v>
      </c>
    </row>
    <row r="53" customFormat="false" ht="15" hidden="false" customHeight="false" outlineLevel="0" collapsed="false">
      <c r="A53" s="61" t="s">
        <v>3732</v>
      </c>
      <c r="B53" s="62"/>
      <c r="C53" s="62"/>
      <c r="D53" s="62"/>
      <c r="E53" s="62"/>
      <c r="F53" s="62"/>
      <c r="G53" s="62"/>
      <c r="H53" s="62"/>
      <c r="I53" s="62"/>
    </row>
    <row r="54" customFormat="false" ht="15" hidden="false" customHeight="false" outlineLevel="0" collapsed="false">
      <c r="A54" s="63" t="s">
        <v>3544</v>
      </c>
      <c r="B54" s="64" t="s">
        <v>3698</v>
      </c>
      <c r="C54" s="63" t="s">
        <v>46</v>
      </c>
      <c r="D54" s="64" t="str">
        <f aca="false">TRIM(LEFT('Onshore- Melbourne'!A29,FIND(CHAR(10),'Onshore- Melbourne'!A29&amp;CHAR(10))-1))</f>
        <v>AIBI Higher Education</v>
      </c>
      <c r="E54" s="63" t="str">
        <f aca="false">'Onshore- Melbourne'!C37&amp;""</f>
        <v>2 years</v>
      </c>
      <c r="F54" s="63" t="str">
        <f aca="false">IF('Onshore- Melbourne'!D37="","Belum tercatat",'Onshore- Melbourne'!D37)</f>
        <v>Term</v>
      </c>
      <c r="G54" s="65" t="n">
        <f aca="false">IF('Onshore- Melbourne'!E37="","-",'Onshore- Melbourne'!E37)</f>
        <v>4050</v>
      </c>
      <c r="H54" s="63" t="n">
        <f aca="false">IF(ISNUMBER(K54),COUNTIFS($J$6:$J$1916,J54,$K$6:$K$1916,"&lt;"&amp;K54)+1,"-")</f>
        <v>1</v>
      </c>
      <c r="I54" s="64" t="str">
        <f aca="false">IF('Onshore- Melbourne'!E37="","Harga belum tersedia - hubungi konsultan TEG",IF(M54=2,"Saat ini tidak menerima pendaftaran siswa internasional baru",IF(M54=1,"Harga perlu dikonfirmasi ke sekolah"&amp;IF(""="","","; "&amp;""),"")))</f>
        <v>Harga perlu dikonfirmasi ke sekolah</v>
      </c>
      <c r="J54" s="0" t="s">
        <v>3733</v>
      </c>
      <c r="K54" s="0" t="n">
        <f aca="false">IF(M54=2,"",IF(ISNUMBER(SEARCH("rata-rata:",'Onshore- Melbourne'!M37)),VALUE(MID('Onshore- Melbourne'!M37,SEARCH("rata-rata:",'Onshore- Melbourne'!M37)+11,FIND(";",'Onshore- Melbourne'!M37&amp;";",SEARCH("rata-rata:",'Onshore- Melbourne'!M37))-SEARCH("rata-rata:",'Onshore- Melbourne'!M37)-11)),IF('Onshore- Melbourne'!D37="Semester",'Onshore- Melbourne'!E37*2,IF('Onshore- Melbourne'!D37="Trimester",'Onshore- Melbourne'!E37*3,IF('Onshore- Melbourne'!D37="Term",'Onshore- Melbourne'!E37*4,IF('Onshore- Melbourne'!D37="Unit",'Onshore- Melbourne'!E37*8,""))))))</f>
        <v>16200</v>
      </c>
      <c r="L54" s="0" t="n">
        <f aca="false">IF(AND(ISNUMBER('Onshore- Melbourne'!E37),ISNUMBER(K54),ISNUMBER('Onshore- Melbourne'!F37),ISNUMBER('Onshore- Melbourne'!G37),OR('Onshore- Melbourne'!F37&lt;&gt;0,ISNUMBER(SEARCH("Material 0 terverifikasi",'Onshore- Melbourne'!M37))),OR('Onshore- Melbourne'!G37&lt;&gt;0,ISNUMBER(SEARCH("Enrolment 0 terverifikasi",'Onshore- Melbourne'!M37)))),1,0)</f>
        <v>0</v>
      </c>
      <c r="M54" s="0" t="n">
        <f aca="false">IF(OR('Onshore- Melbourne'!E37="",ISNUMBER(SEARCH("BSB80120",'Onshore- Melbourne'!B37&amp;'Onshore- Melbourne'!M37)),ISNUMBER(SEARCH("Management (Learning)",'Onshore- Melbourne'!B37))),2,IF(ISNUMBER(SEARCH("CEK:",'Onshore- Melbourne'!M37)),1,0))</f>
        <v>1</v>
      </c>
    </row>
    <row r="55" customFormat="false" ht="15" hidden="false" customHeight="false" outlineLevel="0" collapsed="false">
      <c r="A55" s="63" t="s">
        <v>3544</v>
      </c>
      <c r="B55" s="64" t="s">
        <v>3698</v>
      </c>
      <c r="C55" s="63" t="s">
        <v>46</v>
      </c>
      <c r="D55" s="64" t="str">
        <f aca="false">TRIM(LEFT('Onshore- Melbourne'!A445,FIND(CHAR(10),'Onshore- Melbourne'!A445&amp;CHAR(10))-1))</f>
        <v>The Institute of International Studies (TIIS)</v>
      </c>
      <c r="E55" s="63" t="str">
        <f aca="false">'Onshore- Melbourne'!C450&amp;""</f>
        <v>1,5 years</v>
      </c>
      <c r="F55" s="63" t="str">
        <f aca="false">IF('Onshore- Melbourne'!D450="","Belum tercatat",'Onshore- Melbourne'!D450)</f>
        <v>Term</v>
      </c>
      <c r="G55" s="65" t="n">
        <f aca="false">IF('Onshore- Melbourne'!E450="","-",'Onshore- Melbourne'!E450)</f>
        <v>4100</v>
      </c>
      <c r="H55" s="63" t="n">
        <f aca="false">IF(ISNUMBER(K55),COUNTIFS($J$6:$J$1916,J55,$K$6:$K$1916,"&lt;"&amp;K55)+1,"-")</f>
        <v>2</v>
      </c>
      <c r="I55" s="64" t="str">
        <f aca="false">IF('Onshore- Melbourne'!E450="","Harga belum tersedia - hubungi konsultan TEG",IF(M55=2,"Saat ini tidak menerima pendaftaran siswa internasional baru",IF(M55=1,"Harga perlu dikonfirmasi ke sekolah"&amp;IF(""="","","; "&amp;""),"")))</f>
        <v/>
      </c>
      <c r="J55" s="0" t="s">
        <v>3733</v>
      </c>
      <c r="K55" s="0" t="n">
        <f aca="false">IF(M55=2,"",IF(ISNUMBER(SEARCH("rata-rata:",'Onshore- Melbourne'!M450)),VALUE(MID('Onshore- Melbourne'!M450,SEARCH("rata-rata:",'Onshore- Melbourne'!M450)+11,FIND(";",'Onshore- Melbourne'!M450&amp;";",SEARCH("rata-rata:",'Onshore- Melbourne'!M450))-SEARCH("rata-rata:",'Onshore- Melbourne'!M450)-11)),IF('Onshore- Melbourne'!D450="Semester",'Onshore- Melbourne'!E450*2,IF('Onshore- Melbourne'!D450="Trimester",'Onshore- Melbourne'!E450*3,IF('Onshore- Melbourne'!D450="Term",'Onshore- Melbourne'!E450*4,IF('Onshore- Melbourne'!D450="Unit",'Onshore- Melbourne'!E450*8,""))))))</f>
        <v>16400</v>
      </c>
      <c r="L55" s="0" t="n">
        <f aca="false">IF(AND(ISNUMBER('Onshore- Melbourne'!E450),ISNUMBER(K55),ISNUMBER('Onshore- Melbourne'!F450),ISNUMBER('Onshore- Melbourne'!G450),OR('Onshore- Melbourne'!F450&lt;&gt;0,ISNUMBER(SEARCH("Material 0 terverifikasi",'Onshore- Melbourne'!M450))),OR('Onshore- Melbourne'!G450&lt;&gt;0,ISNUMBER(SEARCH("Enrolment 0 terverifikasi",'Onshore- Melbourne'!M450)))),1,0)</f>
        <v>0</v>
      </c>
      <c r="M55" s="0" t="n">
        <f aca="false">IF(OR('Onshore- Melbourne'!E450="",ISNUMBER(SEARCH("BSB80120",'Onshore- Melbourne'!B450&amp;'Onshore- Melbourne'!M450)),ISNUMBER(SEARCH("Management (Learning)",'Onshore- Melbourne'!B450))),2,IF(ISNUMBER(SEARCH("CEK:",'Onshore- Melbourne'!M450)),1,0))</f>
        <v>0</v>
      </c>
    </row>
    <row r="56" customFormat="false" ht="28.35" hidden="false" customHeight="false" outlineLevel="0" collapsed="false">
      <c r="A56" s="63" t="s">
        <v>3544</v>
      </c>
      <c r="B56" s="64" t="s">
        <v>3698</v>
      </c>
      <c r="C56" s="63" t="s">
        <v>46</v>
      </c>
      <c r="D56" s="64" t="str">
        <f aca="false">TRIM(LEFT('Onshore- Melbourne'!A368,FIND(CHAR(10),'Onshore- Melbourne'!A368&amp;CHAR(10))-1))</f>
        <v>National Academy of Professional Studies (NAPS)</v>
      </c>
      <c r="E56" s="63" t="str">
        <f aca="false">'Onshore- Melbourne'!C371&amp;""</f>
        <v>2 years</v>
      </c>
      <c r="F56" s="63" t="str">
        <f aca="false">IF('Onshore- Melbourne'!D371="","Belum tercatat",'Onshore- Melbourne'!D371)</f>
        <v>Term</v>
      </c>
      <c r="G56" s="65" t="n">
        <f aca="false">IF('Onshore- Melbourne'!E371="","-",'Onshore- Melbourne'!E371)</f>
        <v>4250</v>
      </c>
      <c r="H56" s="63" t="n">
        <f aca="false">IF(ISNUMBER(K56),COUNTIFS($J$6:$J$1916,J56,$K$6:$K$1916,"&lt;"&amp;K56)+1,"-")</f>
        <v>3</v>
      </c>
      <c r="I56" s="64" t="str">
        <f aca="false">IF('Onshore- Melbourne'!E371="","Harga belum tersedia - hubungi konsultan TEG",IF(M56=2,"Saat ini tidak menerima pendaftaran siswa internasional baru",IF(M56=1,"Harga perlu dikonfirmasi ke sekolah"&amp;IF(""="","","; "&amp;""),"")))</f>
        <v>Harga perlu dikonfirmasi ke sekolah</v>
      </c>
      <c r="J56" s="0" t="s">
        <v>3733</v>
      </c>
      <c r="K56" s="0" t="n">
        <f aca="false">IF(M56=2,"",IF(ISNUMBER(SEARCH("rata-rata:",'Onshore- Melbourne'!M371)),VALUE(MID('Onshore- Melbourne'!M371,SEARCH("rata-rata:",'Onshore- Melbourne'!M371)+11,FIND(";",'Onshore- Melbourne'!M371&amp;";",SEARCH("rata-rata:",'Onshore- Melbourne'!M371))-SEARCH("rata-rata:",'Onshore- Melbourne'!M371)-11)),IF('Onshore- Melbourne'!D371="Semester",'Onshore- Melbourne'!E371*2,IF('Onshore- Melbourne'!D371="Trimester",'Onshore- Melbourne'!E371*3,IF('Onshore- Melbourne'!D371="Term",'Onshore- Melbourne'!E371*4,IF('Onshore- Melbourne'!D371="Unit",'Onshore- Melbourne'!E371*8,""))))))</f>
        <v>17000</v>
      </c>
      <c r="L56" s="0" t="n">
        <f aca="false">IF(AND(ISNUMBER('Onshore- Melbourne'!E371),ISNUMBER(K56),ISNUMBER('Onshore- Melbourne'!F371),ISNUMBER('Onshore- Melbourne'!G371),OR('Onshore- Melbourne'!F371&lt;&gt;0,ISNUMBER(SEARCH("Material 0 terverifikasi",'Onshore- Melbourne'!M371))),OR('Onshore- Melbourne'!G371&lt;&gt;0,ISNUMBER(SEARCH("Enrolment 0 terverifikasi",'Onshore- Melbourne'!M371)))),1,0)</f>
        <v>1</v>
      </c>
      <c r="M56" s="0" t="n">
        <f aca="false">IF(OR('Onshore- Melbourne'!E371="",ISNUMBER(SEARCH("BSB80120",'Onshore- Melbourne'!B371&amp;'Onshore- Melbourne'!M371)),ISNUMBER(SEARCH("Management (Learning)",'Onshore- Melbourne'!B371))),2,IF(ISNUMBER(SEARCH("CEK:",'Onshore- Melbourne'!M371)),1,0))</f>
        <v>1</v>
      </c>
    </row>
    <row r="57" customFormat="false" ht="15" hidden="false" customHeight="false" outlineLevel="0" collapsed="false">
      <c r="A57" s="63" t="s">
        <v>3544</v>
      </c>
      <c r="B57" s="64" t="s">
        <v>3698</v>
      </c>
      <c r="C57" s="63" t="s">
        <v>46</v>
      </c>
      <c r="D57" s="64" t="str">
        <f aca="false">TRIM(LEFT('Onshore- Melbourne'!A392,FIND(CHAR(10),'Onshore- Melbourne'!A392&amp;CHAR(10))-1))</f>
        <v>Ozford Institute of Higher Education</v>
      </c>
      <c r="E57" s="63" t="str">
        <f aca="false">'Onshore- Melbourne'!C395&amp;""</f>
        <v>2 years</v>
      </c>
      <c r="F57" s="63" t="str">
        <f aca="false">IF('Onshore- Melbourne'!D395="","Belum tercatat",'Onshore- Melbourne'!D395)</f>
        <v>Term</v>
      </c>
      <c r="G57" s="65" t="n">
        <f aca="false">IF('Onshore- Melbourne'!E395="","-",'Onshore- Melbourne'!E395)</f>
        <v>4650</v>
      </c>
      <c r="H57" s="63" t="n">
        <f aca="false">IF(ISNUMBER(K57),COUNTIFS($J$6:$J$1916,J57,$K$6:$K$1916,"&lt;"&amp;K57)+1,"-")</f>
        <v>4</v>
      </c>
      <c r="I57" s="64" t="str">
        <f aca="false">IF('Onshore- Melbourne'!E395="","Harga belum tersedia - hubungi konsultan TEG",IF(M57=2,"Saat ini tidak menerima pendaftaran siswa internasional baru",IF(M57=1,"Harga perlu dikonfirmasi ke sekolah"&amp;IF(""="","","; "&amp;""),"")))</f>
        <v>Harga perlu dikonfirmasi ke sekolah</v>
      </c>
      <c r="J57" s="0" t="s">
        <v>3733</v>
      </c>
      <c r="K57" s="0" t="n">
        <f aca="false">IF(M57=2,"",IF(ISNUMBER(SEARCH("rata-rata:",'Onshore- Melbourne'!M395)),VALUE(MID('Onshore- Melbourne'!M395,SEARCH("rata-rata:",'Onshore- Melbourne'!M395)+11,FIND(";",'Onshore- Melbourne'!M395&amp;";",SEARCH("rata-rata:",'Onshore- Melbourne'!M395))-SEARCH("rata-rata:",'Onshore- Melbourne'!M395)-11)),IF('Onshore- Melbourne'!D395="Semester",'Onshore- Melbourne'!E395*2,IF('Onshore- Melbourne'!D395="Trimester",'Onshore- Melbourne'!E395*3,IF('Onshore- Melbourne'!D395="Term",'Onshore- Melbourne'!E395*4,IF('Onshore- Melbourne'!D395="Unit",'Onshore- Melbourne'!E395*8,""))))))</f>
        <v>18600</v>
      </c>
      <c r="L57" s="0" t="n">
        <f aca="false">IF(AND(ISNUMBER('Onshore- Melbourne'!E395),ISNUMBER(K57),ISNUMBER('Onshore- Melbourne'!F395),ISNUMBER('Onshore- Melbourne'!G395),OR('Onshore- Melbourne'!F395&lt;&gt;0,ISNUMBER(SEARCH("Material 0 terverifikasi",'Onshore- Melbourne'!M395))),OR('Onshore- Melbourne'!G395&lt;&gt;0,ISNUMBER(SEARCH("Enrolment 0 terverifikasi",'Onshore- Melbourne'!M395)))),1,0)</f>
        <v>1</v>
      </c>
      <c r="M57" s="0" t="n">
        <f aca="false">IF(OR('Onshore- Melbourne'!E395="",ISNUMBER(SEARCH("BSB80120",'Onshore- Melbourne'!B395&amp;'Onshore- Melbourne'!M395)),ISNUMBER(SEARCH("Management (Learning)",'Onshore- Melbourne'!B395))),2,IF(ISNUMBER(SEARCH("CEK:",'Onshore- Melbourne'!M395)),1,0))</f>
        <v>1</v>
      </c>
    </row>
    <row r="58" customFormat="false" ht="15" hidden="false" customHeight="false" outlineLevel="0" collapsed="false">
      <c r="A58" s="63" t="s">
        <v>3544</v>
      </c>
      <c r="B58" s="64" t="s">
        <v>3698</v>
      </c>
      <c r="C58" s="63" t="s">
        <v>46</v>
      </c>
      <c r="D58" s="64" t="str">
        <f aca="false">TRIM(LEFT('Onshore- Melbourne'!A461,FIND(CHAR(10),'Onshore- Melbourne'!A461&amp;CHAR(10))-1))</f>
        <v>Torrens University Australia</v>
      </c>
      <c r="E58" s="63" t="str">
        <f aca="false">'Onshore- Melbourne'!C472&amp;""</f>
        <v>1,5 years</v>
      </c>
      <c r="F58" s="63" t="str">
        <f aca="false">IF('Onshore- Melbourne'!D472="","Belum tercatat",'Onshore- Melbourne'!D472)</f>
        <v>Term</v>
      </c>
      <c r="G58" s="65" t="n">
        <f aca="false">IF('Onshore- Melbourne'!E472="","-",'Onshore- Melbourne'!E472)</f>
        <v>9000</v>
      </c>
      <c r="H58" s="63" t="n">
        <f aca="false">IF(ISNUMBER(K58),COUNTIFS($J$6:$J$1916,J58,$K$6:$K$1916,"&lt;"&amp;K58)+1,"-")</f>
        <v>5</v>
      </c>
      <c r="I58" s="64" t="str">
        <f aca="false">IF('Onshore- Melbourne'!E472="","Harga belum tersedia - hubungi konsultan TEG",IF(M58=2,"Saat ini tidak menerima pendaftaran siswa internasional baru",IF(M58=1,"Harga perlu dikonfirmasi ke sekolah"&amp;IF(""="","","; "&amp;""),"")))</f>
        <v/>
      </c>
      <c r="J58" s="0" t="s">
        <v>3733</v>
      </c>
      <c r="K58" s="0" t="n">
        <f aca="false">IF(M58=2,"",IF(ISNUMBER(SEARCH("rata-rata:",'Onshore- Melbourne'!M472)),VALUE(MID('Onshore- Melbourne'!M472,SEARCH("rata-rata:",'Onshore- Melbourne'!M472)+11,FIND(";",'Onshore- Melbourne'!M472&amp;";",SEARCH("rata-rata:",'Onshore- Melbourne'!M472))-SEARCH("rata-rata:",'Onshore- Melbourne'!M472)-11)),IF('Onshore- Melbourne'!D472="Semester",'Onshore- Melbourne'!E472*2,IF('Onshore- Melbourne'!D472="Trimester",'Onshore- Melbourne'!E472*3,IF('Onshore- Melbourne'!D472="Term",'Onshore- Melbourne'!E472*4,IF('Onshore- Melbourne'!D472="Unit",'Onshore- Melbourne'!E472*8,""))))))</f>
        <v>36000</v>
      </c>
      <c r="L58" s="0" t="n">
        <f aca="false">IF(AND(ISNUMBER('Onshore- Melbourne'!E472),ISNUMBER(K58),ISNUMBER('Onshore- Melbourne'!F472),ISNUMBER('Onshore- Melbourne'!G472),OR('Onshore- Melbourne'!F472&lt;&gt;0,ISNUMBER(SEARCH("Material 0 terverifikasi",'Onshore- Melbourne'!M472))),OR('Onshore- Melbourne'!G472&lt;&gt;0,ISNUMBER(SEARCH("Enrolment 0 terverifikasi",'Onshore- Melbourne'!M472)))),1,0)</f>
        <v>0</v>
      </c>
      <c r="M58" s="0" t="n">
        <f aca="false">IF(OR('Onshore- Melbourne'!E472="",ISNUMBER(SEARCH("BSB80120",'Onshore- Melbourne'!B472&amp;'Onshore- Melbourne'!M472)),ISNUMBER(SEARCH("Management (Learning)",'Onshore- Melbourne'!B472))),2,IF(ISNUMBER(SEARCH("CEK:",'Onshore- Melbourne'!M472)),1,0))</f>
        <v>0</v>
      </c>
    </row>
    <row r="59" customFormat="false" ht="15" hidden="false" customHeight="false" outlineLevel="0" collapsed="false">
      <c r="A59" s="63" t="s">
        <v>3544</v>
      </c>
      <c r="B59" s="64" t="s">
        <v>3698</v>
      </c>
      <c r="C59" s="63" t="s">
        <v>46</v>
      </c>
      <c r="D59" s="64" t="str">
        <f aca="false">TRIM(LEFT('Onshore- Melbourne'!A94,FIND(CHAR(10),'Onshore- Melbourne'!A94&amp;CHAR(10))-1))</f>
        <v>Australian Catholic University (ACU)</v>
      </c>
      <c r="E59" s="63" t="str">
        <f aca="false">'Onshore- Melbourne'!C122&amp;""</f>
        <v>2 years</v>
      </c>
      <c r="F59" s="63" t="str">
        <f aca="false">IF('Onshore- Melbourne'!D122="","Belum tercatat",'Onshore- Melbourne'!D122)</f>
        <v>Term</v>
      </c>
      <c r="G59" s="65" t="n">
        <f aca="false">IF('Onshore- Melbourne'!E122="","-",'Onshore- Melbourne'!E122)</f>
        <v>9524</v>
      </c>
      <c r="H59" s="63" t="n">
        <f aca="false">IF(ISNUMBER(K59),COUNTIFS($J$6:$J$1916,J59,$K$6:$K$1916,"&lt;"&amp;K59)+1,"-")</f>
        <v>6</v>
      </c>
      <c r="I59" s="64" t="str">
        <f aca="false">IF('Onshore- Melbourne'!E122="","Harga belum tersedia - hubungi konsultan TEG",IF(M59=2,"Saat ini tidak menerima pendaftaran siswa internasional baru",IF(M59=1,"Harga perlu dikonfirmasi ke sekolah"&amp;IF(""="","","; "&amp;""),"")))</f>
        <v/>
      </c>
      <c r="J59" s="0" t="s">
        <v>3733</v>
      </c>
      <c r="K59" s="0" t="n">
        <f aca="false">IF(M59=2,"",IF(ISNUMBER(SEARCH("rata-rata:",'Onshore- Melbourne'!M122)),VALUE(MID('Onshore- Melbourne'!M122,SEARCH("rata-rata:",'Onshore- Melbourne'!M122)+11,FIND(";",'Onshore- Melbourne'!M122&amp;";",SEARCH("rata-rata:",'Onshore- Melbourne'!M122))-SEARCH("rata-rata:",'Onshore- Melbourne'!M122)-11)),IF('Onshore- Melbourne'!D122="Semester",'Onshore- Melbourne'!E122*2,IF('Onshore- Melbourne'!D122="Trimester",'Onshore- Melbourne'!E122*3,IF('Onshore- Melbourne'!D122="Term",'Onshore- Melbourne'!E122*4,IF('Onshore- Melbourne'!D122="Unit",'Onshore- Melbourne'!E122*8,""))))))</f>
        <v>38096</v>
      </c>
      <c r="L59" s="0" t="n">
        <f aca="false">IF(AND(ISNUMBER('Onshore- Melbourne'!E122),ISNUMBER(K59),ISNUMBER('Onshore- Melbourne'!F122),ISNUMBER('Onshore- Melbourne'!G122),OR('Onshore- Melbourne'!F122&lt;&gt;0,ISNUMBER(SEARCH("Material 0 terverifikasi",'Onshore- Melbourne'!M122))),OR('Onshore- Melbourne'!G122&lt;&gt;0,ISNUMBER(SEARCH("Enrolment 0 terverifikasi",'Onshore- Melbourne'!M122)))),1,0)</f>
        <v>0</v>
      </c>
      <c r="M59" s="0" t="n">
        <f aca="false">IF(OR('Onshore- Melbourne'!E122="",ISNUMBER(SEARCH("BSB80120",'Onshore- Melbourne'!B122&amp;'Onshore- Melbourne'!M122)),ISNUMBER(SEARCH("Management (Learning)",'Onshore- Melbourne'!B122))),2,IF(ISNUMBER(SEARCH("CEK:",'Onshore- Melbourne'!M122)),1,0))</f>
        <v>0</v>
      </c>
    </row>
    <row r="60" customFormat="false" ht="15" hidden="false" customHeight="false" outlineLevel="0" collapsed="false">
      <c r="A60" s="63" t="s">
        <v>3544</v>
      </c>
      <c r="B60" s="64" t="s">
        <v>3698</v>
      </c>
      <c r="C60" s="63" t="s">
        <v>46</v>
      </c>
      <c r="D60" s="64" t="str">
        <f aca="false">TRIM(LEFT('Onshore- Melbourne'!A304,FIND(CHAR(10),'Onshore- Melbourne'!A304&amp;CHAR(10))-1))</f>
        <v>Kaplan Business School</v>
      </c>
      <c r="E60" s="63" t="str">
        <f aca="false">'Onshore- Melbourne'!C310&amp;""</f>
        <v>2 years</v>
      </c>
      <c r="F60" s="63" t="str">
        <f aca="false">IF('Onshore- Melbourne'!D310="","Belum tercatat",'Onshore- Melbourne'!D310)</f>
        <v>Trimester</v>
      </c>
      <c r="G60" s="65" t="n">
        <f aca="false">IF('Onshore- Melbourne'!E310="","-",'Onshore- Melbourne'!E310)</f>
        <v>13600</v>
      </c>
      <c r="H60" s="63" t="n">
        <f aca="false">IF(ISNUMBER(K60),COUNTIFS($J$6:$J$1916,J60,$K$6:$K$1916,"&lt;"&amp;K60)+1,"-")</f>
        <v>7</v>
      </c>
      <c r="I60" s="64" t="str">
        <f aca="false">IF('Onshore- Melbourne'!E310="","Harga belum tersedia - hubungi konsultan TEG",IF(M60=2,"Saat ini tidak menerima pendaftaran siswa internasional baru",IF(M60=1,"Harga perlu dikonfirmasi ke sekolah"&amp;IF(""="","","; "&amp;""),"")))</f>
        <v>Harga perlu dikonfirmasi ke sekolah</v>
      </c>
      <c r="J60" s="0" t="s">
        <v>3733</v>
      </c>
      <c r="K60" s="0" t="n">
        <f aca="false">IF(M60=2,"",IF(ISNUMBER(SEARCH("rata-rata:",'Onshore- Melbourne'!M310)),VALUE(MID('Onshore- Melbourne'!M310,SEARCH("rata-rata:",'Onshore- Melbourne'!M310)+11,FIND(";",'Onshore- Melbourne'!M310&amp;";",SEARCH("rata-rata:",'Onshore- Melbourne'!M310))-SEARCH("rata-rata:",'Onshore- Melbourne'!M310)-11)),IF('Onshore- Melbourne'!D310="Semester",'Onshore- Melbourne'!E310*2,IF('Onshore- Melbourne'!D310="Trimester",'Onshore- Melbourne'!E310*3,IF('Onshore- Melbourne'!D310="Term",'Onshore- Melbourne'!E310*4,IF('Onshore- Melbourne'!D310="Unit",'Onshore- Melbourne'!E310*8,""))))))</f>
        <v>40800</v>
      </c>
      <c r="L60" s="0" t="n">
        <f aca="false">IF(AND(ISNUMBER('Onshore- Melbourne'!E310),ISNUMBER(K60),ISNUMBER('Onshore- Melbourne'!F310),ISNUMBER('Onshore- Melbourne'!G310),OR('Onshore- Melbourne'!F310&lt;&gt;0,ISNUMBER(SEARCH("Material 0 terverifikasi",'Onshore- Melbourne'!M310))),OR('Onshore- Melbourne'!G310&lt;&gt;0,ISNUMBER(SEARCH("Enrolment 0 terverifikasi",'Onshore- Melbourne'!M310)))),1,0)</f>
        <v>1</v>
      </c>
      <c r="M60" s="0" t="n">
        <f aca="false">IF(OR('Onshore- Melbourne'!E310="",ISNUMBER(SEARCH("BSB80120",'Onshore- Melbourne'!B310&amp;'Onshore- Melbourne'!M310)),ISNUMBER(SEARCH("Management (Learning)",'Onshore- Melbourne'!B310))),2,IF(ISNUMBER(SEARCH("CEK:",'Onshore- Melbourne'!M310)),1,0))</f>
        <v>1</v>
      </c>
    </row>
    <row r="61" customFormat="false" ht="15" hidden="false" customHeight="false" outlineLevel="0" collapsed="false">
      <c r="A61" s="61" t="s">
        <v>3734</v>
      </c>
      <c r="B61" s="62"/>
      <c r="C61" s="62"/>
      <c r="D61" s="62"/>
      <c r="E61" s="62"/>
      <c r="F61" s="62"/>
      <c r="G61" s="62"/>
      <c r="H61" s="62"/>
      <c r="I61" s="62"/>
    </row>
    <row r="62" customFormat="false" ht="15" hidden="false" customHeight="false" outlineLevel="0" collapsed="false">
      <c r="A62" s="63" t="s">
        <v>3573</v>
      </c>
      <c r="B62" s="64" t="s">
        <v>3698</v>
      </c>
      <c r="C62" s="63" t="s">
        <v>41</v>
      </c>
      <c r="D62" s="64" t="str">
        <f aca="false">TRIM(LEFT('Onshore - Perth'!A149,FIND(CHAR(10),'Onshore - Perth'!A149&amp;CHAR(10))-1))</f>
        <v>TAFE International Western Australia (TIWA)</v>
      </c>
      <c r="E62" s="63" t="str">
        <f aca="false">'Onshore - Perth'!C151&amp;""</f>
        <v>1 year (2 semester)</v>
      </c>
      <c r="F62" s="63" t="str">
        <f aca="false">IF('Onshore - Perth'!D151="","Belum tercatat",'Onshore - Perth'!D151)</f>
        <v>Semester</v>
      </c>
      <c r="G62" s="65" t="n">
        <f aca="false">IF('Onshore - Perth'!E151="","-",'Onshore - Perth'!E151)</f>
        <v>6570</v>
      </c>
      <c r="H62" s="63" t="n">
        <f aca="false">IF(ISNUMBER(K62),COUNTIFS($J$6:$J$1916,J62,$K$6:$K$1916,"&lt;"&amp;K62)+1,"-")</f>
        <v>1</v>
      </c>
      <c r="I62" s="64" t="str">
        <f aca="false">IF('Onshore - Perth'!E151="","Harga belum tersedia - hubungi konsultan TEG",IF(M62=2,"Saat ini tidak menerima pendaftaran siswa internasional baru",IF(M62=1,"Harga perlu dikonfirmasi ke sekolah"&amp;IF(""="","","; "&amp;""),"")))</f>
        <v>Harga perlu dikonfirmasi ke sekolah</v>
      </c>
      <c r="J62" s="0" t="s">
        <v>3735</v>
      </c>
      <c r="K62" s="0" t="n">
        <f aca="false">IF(M62=2,"",IF(ISNUMBER(SEARCH("rata-rata:",'Onshore - Perth'!M151)),VALUE(MID('Onshore - Perth'!M151,SEARCH("rata-rata:",'Onshore - Perth'!M151)+11,FIND(";",'Onshore - Perth'!M151&amp;";",SEARCH("rata-rata:",'Onshore - Perth'!M151))-SEARCH("rata-rata:",'Onshore - Perth'!M151)-11)),IF('Onshore - Perth'!D151="Semester",'Onshore - Perth'!E151*2,IF('Onshore - Perth'!D151="Trimester",'Onshore - Perth'!E151*3,IF('Onshore - Perth'!D151="Term",'Onshore - Perth'!E151*4,IF('Onshore - Perth'!D151="Unit",'Onshore - Perth'!E151*8,""))))))</f>
        <v>13140</v>
      </c>
      <c r="L62" s="0" t="n">
        <f aca="false">IF(AND(ISNUMBER('Onshore - Perth'!E151),ISNUMBER(K62),ISNUMBER('Onshore - Perth'!F151),ISNUMBER('Onshore - Perth'!G151),OR('Onshore - Perth'!F151&lt;&gt;0,ISNUMBER(SEARCH("Material 0 terverifikasi",'Onshore - Perth'!M151))),OR('Onshore - Perth'!G151&lt;&gt;0,ISNUMBER(SEARCH("Enrolment 0 terverifikasi",'Onshore - Perth'!M151)))),1,0)</f>
        <v>0</v>
      </c>
      <c r="M62" s="0" t="n">
        <f aca="false">IF(OR('Onshore - Perth'!E151="",ISNUMBER(SEARCH("BSB80120",'Onshore - Perth'!B151&amp;'Onshore - Perth'!M151)),ISNUMBER(SEARCH("Management (Learning)",'Onshore - Perth'!B151))),2,IF(ISNUMBER(SEARCH("CEK:",'Onshore - Perth'!M151)),1,0))</f>
        <v>1</v>
      </c>
    </row>
    <row r="63" customFormat="false" ht="15" hidden="false" customHeight="false" outlineLevel="0" collapsed="false">
      <c r="A63" s="61" t="s">
        <v>3736</v>
      </c>
      <c r="B63" s="62"/>
      <c r="C63" s="62"/>
      <c r="D63" s="62"/>
      <c r="E63" s="62"/>
      <c r="F63" s="62"/>
      <c r="G63" s="62"/>
      <c r="H63" s="62"/>
      <c r="I63" s="62"/>
    </row>
    <row r="64" customFormat="false" ht="15" hidden="false" customHeight="false" outlineLevel="0" collapsed="false">
      <c r="A64" s="63" t="s">
        <v>3573</v>
      </c>
      <c r="B64" s="64" t="s">
        <v>3698</v>
      </c>
      <c r="C64" s="63" t="s">
        <v>3707</v>
      </c>
      <c r="D64" s="64" t="str">
        <f aca="false">TRIM(LEFT('Onshore - Perth'!A95,FIND(CHAR(10),'Onshore - Perth'!A95&amp;CHAR(10))-1))</f>
        <v>Kaplan Business School</v>
      </c>
      <c r="E64" s="63" t="str">
        <f aca="false">'Onshore - Perth'!C100&amp;""</f>
        <v>0,5 year</v>
      </c>
      <c r="F64" s="63" t="str">
        <f aca="false">IF('Onshore - Perth'!D100="","Belum tercatat",'Onshore - Perth'!D100)</f>
        <v>Trimester</v>
      </c>
      <c r="G64" s="65" t="n">
        <f aca="false">IF('Onshore - Perth'!E100="","-",'Onshore - Perth'!E100)</f>
        <v>13600</v>
      </c>
      <c r="H64" s="63" t="n">
        <f aca="false">IF(ISNUMBER(K64),COUNTIFS($J$6:$J$1916,J64,$K$6:$K$1916,"&lt;"&amp;K64)+1,"-")</f>
        <v>1</v>
      </c>
      <c r="I64" s="64" t="str">
        <f aca="false">IF('Onshore - Perth'!E100="","Harga belum tersedia - hubungi konsultan TEG",IF(M64=2,"Saat ini tidak menerima pendaftaran siswa internasional baru",IF(M64=1,"Harga perlu dikonfirmasi ke sekolah"&amp;IF(""="","","; "&amp;""),"")))</f>
        <v>Harga perlu dikonfirmasi ke sekolah</v>
      </c>
      <c r="J64" s="0" t="s">
        <v>3737</v>
      </c>
      <c r="K64" s="0" t="n">
        <f aca="false">IF(M64=2,"",IF(ISNUMBER(SEARCH("rata-rata:",'Onshore - Perth'!M100)),VALUE(MID('Onshore - Perth'!M100,SEARCH("rata-rata:",'Onshore - Perth'!M100)+11,FIND(";",'Onshore - Perth'!M100&amp;";",SEARCH("rata-rata:",'Onshore - Perth'!M100))-SEARCH("rata-rata:",'Onshore - Perth'!M100)-11)),IF('Onshore - Perth'!D100="Semester",'Onshore - Perth'!E100*2,IF('Onshore - Perth'!D100="Trimester",'Onshore - Perth'!E100*3,IF('Onshore - Perth'!D100="Term",'Onshore - Perth'!E100*4,IF('Onshore - Perth'!D100="Unit",'Onshore - Perth'!E100*8,""))))))</f>
        <v>40800</v>
      </c>
      <c r="L64" s="0" t="n">
        <f aca="false">IF(AND(ISNUMBER('Onshore - Perth'!E100),ISNUMBER(K64),ISNUMBER('Onshore - Perth'!F100),ISNUMBER('Onshore - Perth'!G100),OR('Onshore - Perth'!F100&lt;&gt;0,ISNUMBER(SEARCH("Material 0 terverifikasi",'Onshore - Perth'!M100))),OR('Onshore - Perth'!G100&lt;&gt;0,ISNUMBER(SEARCH("Enrolment 0 terverifikasi",'Onshore - Perth'!M100)))),1,0)</f>
        <v>1</v>
      </c>
      <c r="M64" s="0" t="n">
        <f aca="false">IF(OR('Onshore - Perth'!E100="",ISNUMBER(SEARCH("BSB80120",'Onshore - Perth'!B100&amp;'Onshore - Perth'!M100)),ISNUMBER(SEARCH("Management (Learning)",'Onshore - Perth'!B100))),2,IF(ISNUMBER(SEARCH("CEK:",'Onshore - Perth'!M100)),1,0))</f>
        <v>1</v>
      </c>
    </row>
    <row r="65" customFormat="false" ht="15" hidden="false" customHeight="false" outlineLevel="0" collapsed="false">
      <c r="A65" s="61" t="s">
        <v>3738</v>
      </c>
      <c r="B65" s="62"/>
      <c r="C65" s="62"/>
      <c r="D65" s="62"/>
      <c r="E65" s="62"/>
      <c r="F65" s="62"/>
      <c r="G65" s="62"/>
      <c r="H65" s="62"/>
      <c r="I65" s="62"/>
    </row>
    <row r="66" customFormat="false" ht="15" hidden="false" customHeight="false" outlineLevel="0" collapsed="false">
      <c r="A66" s="63" t="s">
        <v>3573</v>
      </c>
      <c r="B66" s="64" t="s">
        <v>3698</v>
      </c>
      <c r="C66" s="63" t="s">
        <v>46</v>
      </c>
      <c r="D66" s="64" t="str">
        <f aca="false">TRIM(LEFT('Onshore - Perth'!A14,FIND(CHAR(10),'Onshore - Perth'!A14&amp;CHAR(10))-1))</f>
        <v>AIBI Higher Education</v>
      </c>
      <c r="E66" s="63" t="str">
        <f aca="false">'Onshore - Perth'!C22&amp;""</f>
        <v>2 years</v>
      </c>
      <c r="F66" s="63" t="str">
        <f aca="false">IF('Onshore - Perth'!D22="","Belum tercatat",'Onshore - Perth'!D22)</f>
        <v>Term</v>
      </c>
      <c r="G66" s="65" t="n">
        <f aca="false">IF('Onshore - Perth'!E22="","-",'Onshore - Perth'!E22)</f>
        <v>4050</v>
      </c>
      <c r="H66" s="63" t="n">
        <f aca="false">IF(ISNUMBER(K66),COUNTIFS($J$6:$J$1916,J66,$K$6:$K$1916,"&lt;"&amp;K66)+1,"-")</f>
        <v>1</v>
      </c>
      <c r="I66" s="64" t="str">
        <f aca="false">IF('Onshore - Perth'!E22="","Harga belum tersedia - hubungi konsultan TEG",IF(M66=2,"Saat ini tidak menerima pendaftaran siswa internasional baru",IF(M66=1,"Harga perlu dikonfirmasi ke sekolah"&amp;IF(""="","","; "&amp;""),"")))</f>
        <v>Harga perlu dikonfirmasi ke sekolah</v>
      </c>
      <c r="J66" s="0" t="s">
        <v>3739</v>
      </c>
      <c r="K66" s="0" t="n">
        <f aca="false">IF(M66=2,"",IF(ISNUMBER(SEARCH("rata-rata:",'Onshore - Perth'!M22)),VALUE(MID('Onshore - Perth'!M22,SEARCH("rata-rata:",'Onshore - Perth'!M22)+11,FIND(";",'Onshore - Perth'!M22&amp;";",SEARCH("rata-rata:",'Onshore - Perth'!M22))-SEARCH("rata-rata:",'Onshore - Perth'!M22)-11)),IF('Onshore - Perth'!D22="Semester",'Onshore - Perth'!E22*2,IF('Onshore - Perth'!D22="Trimester",'Onshore - Perth'!E22*3,IF('Onshore - Perth'!D22="Term",'Onshore - Perth'!E22*4,IF('Onshore - Perth'!D22="Unit",'Onshore - Perth'!E22*8,""))))))</f>
        <v>16200</v>
      </c>
      <c r="L66" s="0" t="n">
        <f aca="false">IF(AND(ISNUMBER('Onshore - Perth'!E22),ISNUMBER(K66),ISNUMBER('Onshore - Perth'!F22),ISNUMBER('Onshore - Perth'!G22),OR('Onshore - Perth'!F22&lt;&gt;0,ISNUMBER(SEARCH("Material 0 terverifikasi",'Onshore - Perth'!M22))),OR('Onshore - Perth'!G22&lt;&gt;0,ISNUMBER(SEARCH("Enrolment 0 terverifikasi",'Onshore - Perth'!M22)))),1,0)</f>
        <v>0</v>
      </c>
      <c r="M66" s="0" t="n">
        <f aca="false">IF(OR('Onshore - Perth'!E22="",ISNUMBER(SEARCH("BSB80120",'Onshore - Perth'!B22&amp;'Onshore - Perth'!M22)),ISNUMBER(SEARCH("Management (Learning)",'Onshore - Perth'!B22))),2,IF(ISNUMBER(SEARCH("CEK:",'Onshore - Perth'!M22)),1,0))</f>
        <v>1</v>
      </c>
    </row>
    <row r="67" customFormat="false" ht="15" hidden="false" customHeight="false" outlineLevel="0" collapsed="false">
      <c r="A67" s="63" t="s">
        <v>3573</v>
      </c>
      <c r="B67" s="64" t="s">
        <v>3698</v>
      </c>
      <c r="C67" s="63" t="s">
        <v>46</v>
      </c>
      <c r="D67" s="64" t="str">
        <f aca="false">TRIM(LEFT('Onshore - Perth'!A44,FIND(CHAR(10),'Onshore - Perth'!A44&amp;CHAR(10))-1))</f>
        <v>CIHE Australia</v>
      </c>
      <c r="E67" s="63" t="str">
        <f aca="false">'Onshore - Perth'!C45&amp;""</f>
        <v>2 years</v>
      </c>
      <c r="F67" s="63" t="str">
        <f aca="false">IF('Onshore - Perth'!D45="","Belum tercatat",'Onshore - Perth'!D45)</f>
        <v>Term</v>
      </c>
      <c r="G67" s="65" t="n">
        <f aca="false">IF('Onshore - Perth'!E45="","-",'Onshore - Perth'!E45)</f>
        <v>8500</v>
      </c>
      <c r="H67" s="63" t="n">
        <f aca="false">IF(ISNUMBER(K67),COUNTIFS($J$6:$J$1916,J67,$K$6:$K$1916,"&lt;"&amp;K67)+1,"-")</f>
        <v>2</v>
      </c>
      <c r="I67" s="64" t="str">
        <f aca="false">IF('Onshore - Perth'!E45="","Harga belum tersedia - hubungi konsultan TEG",IF(M67=2,"Saat ini tidak menerima pendaftaran siswa internasional baru",IF(M67=1,"Harga perlu dikonfirmasi ke sekolah"&amp;IF(""="","","; "&amp;""),"")))</f>
        <v>Harga perlu dikonfirmasi ke sekolah</v>
      </c>
      <c r="J67" s="0" t="s">
        <v>3739</v>
      </c>
      <c r="K67" s="0" t="n">
        <f aca="false">IF(M67=2,"",IF(ISNUMBER(SEARCH("rata-rata:",'Onshore - Perth'!M45)),VALUE(MID('Onshore - Perth'!M45,SEARCH("rata-rata:",'Onshore - Perth'!M45)+11,FIND(";",'Onshore - Perth'!M45&amp;";",SEARCH("rata-rata:",'Onshore - Perth'!M45))-SEARCH("rata-rata:",'Onshore - Perth'!M45)-11)),IF('Onshore - Perth'!D45="Semester",'Onshore - Perth'!E45*2,IF('Onshore - Perth'!D45="Trimester",'Onshore - Perth'!E45*3,IF('Onshore - Perth'!D45="Term",'Onshore - Perth'!E45*4,IF('Onshore - Perth'!D45="Unit",'Onshore - Perth'!E45*8,""))))))</f>
        <v>34000</v>
      </c>
      <c r="L67" s="0" t="n">
        <f aca="false">IF(AND(ISNUMBER('Onshore - Perth'!E45),ISNUMBER(K67),ISNUMBER('Onshore - Perth'!F45),ISNUMBER('Onshore - Perth'!G45),OR('Onshore - Perth'!F45&lt;&gt;0,ISNUMBER(SEARCH("Material 0 terverifikasi",'Onshore - Perth'!M45))),OR('Onshore - Perth'!G45&lt;&gt;0,ISNUMBER(SEARCH("Enrolment 0 terverifikasi",'Onshore - Perth'!M45)))),1,0)</f>
        <v>1</v>
      </c>
      <c r="M67" s="0" t="n">
        <f aca="false">IF(OR('Onshore - Perth'!E45="",ISNUMBER(SEARCH("BSB80120",'Onshore - Perth'!B45&amp;'Onshore - Perth'!M45)),ISNUMBER(SEARCH("Management (Learning)",'Onshore - Perth'!B45))),2,IF(ISNUMBER(SEARCH("CEK:",'Onshore - Perth'!M45)),1,0))</f>
        <v>1</v>
      </c>
    </row>
    <row r="68" customFormat="false" ht="15" hidden="false" customHeight="false" outlineLevel="0" collapsed="false">
      <c r="A68" s="63" t="s">
        <v>3573</v>
      </c>
      <c r="B68" s="64" t="s">
        <v>3698</v>
      </c>
      <c r="C68" s="63" t="s">
        <v>46</v>
      </c>
      <c r="D68" s="64" t="str">
        <f aca="false">TRIM(LEFT('Onshore - Perth'!A95,FIND(CHAR(10),'Onshore - Perth'!A95&amp;CHAR(10))-1))</f>
        <v>Kaplan Business School</v>
      </c>
      <c r="E68" s="63" t="str">
        <f aca="false">'Onshore - Perth'!C101&amp;""</f>
        <v>2 years</v>
      </c>
      <c r="F68" s="63" t="str">
        <f aca="false">IF('Onshore - Perth'!D101="","Belum tercatat",'Onshore - Perth'!D101)</f>
        <v>Trimester</v>
      </c>
      <c r="G68" s="65" t="n">
        <f aca="false">IF('Onshore - Perth'!E101="","-",'Onshore - Perth'!E101)</f>
        <v>13600</v>
      </c>
      <c r="H68" s="63" t="n">
        <f aca="false">IF(ISNUMBER(K68),COUNTIFS($J$6:$J$1916,J68,$K$6:$K$1916,"&lt;"&amp;K68)+1,"-")</f>
        <v>3</v>
      </c>
      <c r="I68" s="64" t="str">
        <f aca="false">IF('Onshore - Perth'!E101="","Harga belum tersedia - hubungi konsultan TEG",IF(M68=2,"Saat ini tidak menerima pendaftaran siswa internasional baru",IF(M68=1,"Harga perlu dikonfirmasi ke sekolah"&amp;IF(""="","","; "&amp;""),"")))</f>
        <v>Harga perlu dikonfirmasi ke sekolah</v>
      </c>
      <c r="J68" s="0" t="s">
        <v>3739</v>
      </c>
      <c r="K68" s="0" t="n">
        <f aca="false">IF(M68=2,"",IF(ISNUMBER(SEARCH("rata-rata:",'Onshore - Perth'!M101)),VALUE(MID('Onshore - Perth'!M101,SEARCH("rata-rata:",'Onshore - Perth'!M101)+11,FIND(";",'Onshore - Perth'!M101&amp;";",SEARCH("rata-rata:",'Onshore - Perth'!M101))-SEARCH("rata-rata:",'Onshore - Perth'!M101)-11)),IF('Onshore - Perth'!D101="Semester",'Onshore - Perth'!E101*2,IF('Onshore - Perth'!D101="Trimester",'Onshore - Perth'!E101*3,IF('Onshore - Perth'!D101="Term",'Onshore - Perth'!E101*4,IF('Onshore - Perth'!D101="Unit",'Onshore - Perth'!E101*8,""))))))</f>
        <v>40800</v>
      </c>
      <c r="L68" s="0" t="n">
        <f aca="false">IF(AND(ISNUMBER('Onshore - Perth'!E101),ISNUMBER(K68),ISNUMBER('Onshore - Perth'!F101),ISNUMBER('Onshore - Perth'!G101),OR('Onshore - Perth'!F101&lt;&gt;0,ISNUMBER(SEARCH("Material 0 terverifikasi",'Onshore - Perth'!M101))),OR('Onshore - Perth'!G101&lt;&gt;0,ISNUMBER(SEARCH("Enrolment 0 terverifikasi",'Onshore - Perth'!M101)))),1,0)</f>
        <v>1</v>
      </c>
      <c r="M68" s="0" t="n">
        <f aca="false">IF(OR('Onshore - Perth'!E101="",ISNUMBER(SEARCH("BSB80120",'Onshore - Perth'!B101&amp;'Onshore - Perth'!M101)),ISNUMBER(SEARCH("Management (Learning)",'Onshore - Perth'!B101))),2,IF(ISNUMBER(SEARCH("CEK:",'Onshore - Perth'!M101)),1,0))</f>
        <v>1</v>
      </c>
    </row>
    <row r="69" customFormat="false" ht="15" hidden="false" customHeight="false" outlineLevel="0" collapsed="false">
      <c r="A69" s="61" t="s">
        <v>3740</v>
      </c>
      <c r="B69" s="62"/>
      <c r="C69" s="62"/>
      <c r="D69" s="62"/>
      <c r="E69" s="62"/>
      <c r="F69" s="62"/>
      <c r="G69" s="62"/>
      <c r="H69" s="62"/>
      <c r="I69" s="62"/>
    </row>
    <row r="70" customFormat="false" ht="15" hidden="false" customHeight="false" outlineLevel="0" collapsed="false">
      <c r="A70" s="63" t="s">
        <v>3533</v>
      </c>
      <c r="B70" s="64" t="s">
        <v>3698</v>
      </c>
      <c r="C70" s="63" t="s">
        <v>40</v>
      </c>
      <c r="D70" s="64" t="str">
        <f aca="false">TRIM(LEFT('Onshore - Sydney'!A313,FIND(CHAR(10),'Onshore - Sydney'!A313&amp;CHAR(10))-1))</f>
        <v>Australian Ideal College (AIC)</v>
      </c>
      <c r="E70" s="63" t="str">
        <f aca="false">'Onshore - Sydney'!C317&amp;""</f>
        <v>1,5 years</v>
      </c>
      <c r="F70" s="63" t="str">
        <f aca="false">IF('Onshore - Sydney'!D317="","Belum tercatat",'Onshore - Sydney'!D317)</f>
        <v>Term</v>
      </c>
      <c r="G70" s="65" t="n">
        <f aca="false">IF('Onshore - Sydney'!E317="","-",'Onshore - Sydney'!E317)</f>
        <v>1500</v>
      </c>
      <c r="H70" s="63" t="n">
        <f aca="false">IF(ISNUMBER(K70),COUNTIFS($J$6:$J$1916,J70,$K$6:$K$1916,"&lt;"&amp;K70)+1,"-")</f>
        <v>1</v>
      </c>
      <c r="I70" s="64" t="str">
        <f aca="false">IF('Onshore - Sydney'!E317="","Harga belum tersedia - hubungi konsultan TEG",IF(M70=2,"Saat ini tidak menerima pendaftaran siswa internasional baru",IF(M70=1,"Harga perlu dikonfirmasi ke sekolah"&amp;IF(""="","","; "&amp;""),"")))</f>
        <v/>
      </c>
      <c r="J70" s="0" t="s">
        <v>3741</v>
      </c>
      <c r="K70" s="0" t="n">
        <f aca="false">IF(M70=2,"",IF(ISNUMBER(SEARCH("rata-rata:",'Onshore - Sydney'!M317)),VALUE(MID('Onshore - Sydney'!M317,SEARCH("rata-rata:",'Onshore - Sydney'!M317)+11,FIND(";",'Onshore - Sydney'!M317&amp;";",SEARCH("rata-rata:",'Onshore - Sydney'!M317))-SEARCH("rata-rata:",'Onshore - Sydney'!M317)-11)),IF('Onshore - Sydney'!D317="Semester",'Onshore - Sydney'!E317*2,IF('Onshore - Sydney'!D317="Trimester",'Onshore - Sydney'!E317*3,IF('Onshore - Sydney'!D317="Term",'Onshore - Sydney'!E317*4,IF('Onshore - Sydney'!D317="Unit",'Onshore - Sydney'!E317*8,""))))))</f>
        <v>6000</v>
      </c>
      <c r="L70" s="0" t="n">
        <f aca="false">IF(AND(ISNUMBER('Onshore - Sydney'!E317),ISNUMBER(K70),ISNUMBER('Onshore - Sydney'!F317),ISNUMBER('Onshore - Sydney'!G317),OR('Onshore - Sydney'!F317&lt;&gt;0,ISNUMBER(SEARCH("Material 0 terverifikasi",'Onshore - Sydney'!M317))),OR('Onshore - Sydney'!G317&lt;&gt;0,ISNUMBER(SEARCH("Enrolment 0 terverifikasi",'Onshore - Sydney'!M317)))),1,0)</f>
        <v>1</v>
      </c>
      <c r="M70" s="0" t="n">
        <f aca="false">IF(OR('Onshore - Sydney'!E317="",ISNUMBER(SEARCH("BSB80120",'Onshore - Sydney'!B317&amp;'Onshore - Sydney'!M317)),ISNUMBER(SEARCH("Management (Learning)",'Onshore - Sydney'!B317))),2,IF(ISNUMBER(SEARCH("CEK:",'Onshore - Sydney'!M317)),1,0))</f>
        <v>0</v>
      </c>
    </row>
    <row r="71" customFormat="false" ht="15" hidden="false" customHeight="false" outlineLevel="0" collapsed="false">
      <c r="A71" s="61" t="s">
        <v>3742</v>
      </c>
      <c r="B71" s="62"/>
      <c r="C71" s="62"/>
      <c r="D71" s="62"/>
      <c r="E71" s="62"/>
      <c r="F71" s="62"/>
      <c r="G71" s="62"/>
      <c r="H71" s="62"/>
      <c r="I71" s="62"/>
    </row>
    <row r="72" customFormat="false" ht="15" hidden="false" customHeight="false" outlineLevel="0" collapsed="false">
      <c r="A72" s="63" t="s">
        <v>3533</v>
      </c>
      <c r="B72" s="64" t="s">
        <v>3698</v>
      </c>
      <c r="C72" s="63" t="s">
        <v>41</v>
      </c>
      <c r="D72" s="64" t="str">
        <f aca="false">TRIM(LEFT('Onshore - Sydney'!A662,FIND(CHAR(10),'Onshore - Sydney'!A662&amp;CHAR(10))-1))</f>
        <v>New Cambridge College Sydney (NCCS)</v>
      </c>
      <c r="E72" s="63" t="str">
        <f aca="false">'Onshore - Sydney'!C666&amp;""</f>
        <v>3 years</v>
      </c>
      <c r="F72" s="63" t="str">
        <f aca="false">IF('Onshore - Sydney'!D666="","Belum tercatat",'Onshore - Sydney'!D666)</f>
        <v>Term</v>
      </c>
      <c r="G72" s="65" t="n">
        <f aca="false">IF('Onshore - Sydney'!E666="","-",'Onshore - Sydney'!E666)</f>
        <v>1250</v>
      </c>
      <c r="H72" s="63" t="n">
        <f aca="false">IF(ISNUMBER(K72),COUNTIFS($J$6:$J$1916,J72,$K$6:$K$1916,"&lt;"&amp;K72)+1,"-")</f>
        <v>1</v>
      </c>
      <c r="I72" s="64" t="str">
        <f aca="false">IF('Onshore - Sydney'!E666="","Harga belum tersedia - hubungi konsultan TEG",IF(M72=2,"Saat ini tidak menerima pendaftaran siswa internasional baru",IF(M72=1,"Program perlu dikonfirmasi ketersediaannya"&amp;IF(""="","","; "&amp;""),"")))</f>
        <v>Program perlu dikonfirmasi ketersediaannya</v>
      </c>
      <c r="J72" s="0" t="s">
        <v>3743</v>
      </c>
      <c r="K72" s="0" t="n">
        <f aca="false">IF(M72=2,"",IF(ISNUMBER(SEARCH("rata-rata:",'Onshore - Sydney'!M666)),VALUE(MID('Onshore - Sydney'!M666,SEARCH("rata-rata:",'Onshore - Sydney'!M666)+11,FIND(";",'Onshore - Sydney'!M666&amp;";",SEARCH("rata-rata:",'Onshore - Sydney'!M666))-SEARCH("rata-rata:",'Onshore - Sydney'!M666)-11)),IF('Onshore - Sydney'!D666="Semester",'Onshore - Sydney'!E666*2,IF('Onshore - Sydney'!D666="Trimester",'Onshore - Sydney'!E666*3,IF('Onshore - Sydney'!D666="Term",'Onshore - Sydney'!E666*4,IF('Onshore - Sydney'!D666="Unit",'Onshore - Sydney'!E666*8,""))))))</f>
        <v>5000</v>
      </c>
      <c r="L72" s="0" t="n">
        <f aca="false">IF(AND(ISNUMBER('Onshore - Sydney'!E666),ISNUMBER(K72),ISNUMBER('Onshore - Sydney'!F666),ISNUMBER('Onshore - Sydney'!G666),OR('Onshore - Sydney'!F666&lt;&gt;0,ISNUMBER(SEARCH("Material 0 terverifikasi",'Onshore - Sydney'!M666))),OR('Onshore - Sydney'!G666&lt;&gt;0,ISNUMBER(SEARCH("Enrolment 0 terverifikasi",'Onshore - Sydney'!M666)))),1,0)</f>
        <v>1</v>
      </c>
      <c r="M72" s="0" t="n">
        <f aca="false">IF(OR('Onshore - Sydney'!E666="",ISNUMBER(SEARCH("BSB80120",'Onshore - Sydney'!B666&amp;'Onshore - Sydney'!M666)),ISNUMBER(SEARCH("Management (Learning)",'Onshore - Sydney'!B666))),2,IF(ISNUMBER(SEARCH("CEK:",'Onshore - Sydney'!M666)),1,0))</f>
        <v>1</v>
      </c>
    </row>
    <row r="73" customFormat="false" ht="15" hidden="false" customHeight="false" outlineLevel="0" collapsed="false">
      <c r="A73" s="63" t="s">
        <v>3533</v>
      </c>
      <c r="B73" s="64" t="s">
        <v>3698</v>
      </c>
      <c r="C73" s="63" t="s">
        <v>41</v>
      </c>
      <c r="D73" s="64" t="str">
        <f aca="false">TRIM(LEFT('Onshore - Sydney'!A313,FIND(CHAR(10),'Onshore - Sydney'!A313&amp;CHAR(10))-1))</f>
        <v>Australian Ideal College (AIC)</v>
      </c>
      <c r="E73" s="63" t="str">
        <f aca="false">'Onshore - Sydney'!C318&amp;""</f>
        <v>2,5 years</v>
      </c>
      <c r="F73" s="63" t="str">
        <f aca="false">IF('Onshore - Sydney'!D318="","Belum tercatat",'Onshore - Sydney'!D318)</f>
        <v>Term</v>
      </c>
      <c r="G73" s="65" t="n">
        <f aca="false">IF('Onshore - Sydney'!E318="","-",'Onshore - Sydney'!E318)</f>
        <v>1500</v>
      </c>
      <c r="H73" s="63" t="n">
        <f aca="false">IF(ISNUMBER(K73),COUNTIFS($J$6:$J$1916,J73,$K$6:$K$1916,"&lt;"&amp;K73)+1,"-")</f>
        <v>2</v>
      </c>
      <c r="I73" s="64" t="str">
        <f aca="false">IF('Onshore - Sydney'!E318="","Harga belum tersedia - hubungi konsultan TEG",IF(M73=2,"Saat ini tidak menerima pendaftaran siswa internasional baru",IF(M73=1,"Harga perlu dikonfirmasi ke sekolah"&amp;IF(""="","","; "&amp;""),"")))</f>
        <v/>
      </c>
      <c r="J73" s="0" t="s">
        <v>3743</v>
      </c>
      <c r="K73" s="0" t="n">
        <f aca="false">IF(M73=2,"",IF(ISNUMBER(SEARCH("rata-rata:",'Onshore - Sydney'!M318)),VALUE(MID('Onshore - Sydney'!M318,SEARCH("rata-rata:",'Onshore - Sydney'!M318)+11,FIND(";",'Onshore - Sydney'!M318&amp;";",SEARCH("rata-rata:",'Onshore - Sydney'!M318))-SEARCH("rata-rata:",'Onshore - Sydney'!M318)-11)),IF('Onshore - Sydney'!D318="Semester",'Onshore - Sydney'!E318*2,IF('Onshore - Sydney'!D318="Trimester",'Onshore - Sydney'!E318*3,IF('Onshore - Sydney'!D318="Term",'Onshore - Sydney'!E318*4,IF('Onshore - Sydney'!D318="Unit",'Onshore - Sydney'!E318*8,""))))))</f>
        <v>6000</v>
      </c>
      <c r="L73" s="0" t="n">
        <f aca="false">IF(AND(ISNUMBER('Onshore - Sydney'!E318),ISNUMBER(K73),ISNUMBER('Onshore - Sydney'!F318),ISNUMBER('Onshore - Sydney'!G318),OR('Onshore - Sydney'!F318&lt;&gt;0,ISNUMBER(SEARCH("Material 0 terverifikasi",'Onshore - Sydney'!M318))),OR('Onshore - Sydney'!G318&lt;&gt;0,ISNUMBER(SEARCH("Enrolment 0 terverifikasi",'Onshore - Sydney'!M318)))),1,0)</f>
        <v>1</v>
      </c>
      <c r="M73" s="0" t="n">
        <f aca="false">IF(OR('Onshore - Sydney'!E318="",ISNUMBER(SEARCH("BSB80120",'Onshore - Sydney'!B318&amp;'Onshore - Sydney'!M318)),ISNUMBER(SEARCH("Management (Learning)",'Onshore - Sydney'!B318))),2,IF(ISNUMBER(SEARCH("CEK:",'Onshore - Sydney'!M318)),1,0))</f>
        <v>0</v>
      </c>
    </row>
    <row r="74" customFormat="false" ht="15" hidden="false" customHeight="false" outlineLevel="0" collapsed="false">
      <c r="A74" s="63" t="s">
        <v>3533</v>
      </c>
      <c r="B74" s="64" t="s">
        <v>3698</v>
      </c>
      <c r="C74" s="63" t="s">
        <v>41</v>
      </c>
      <c r="D74" s="64" t="str">
        <f aca="false">TRIM(LEFT('Onshore - Sydney'!A741,FIND(CHAR(10),'Onshore - Sydney'!A741&amp;CHAR(10))-1))</f>
        <v>Rosewood International College</v>
      </c>
      <c r="E74" s="63" t="str">
        <f aca="false">'Onshore - Sydney'!C741&amp;""</f>
        <v>2 years</v>
      </c>
      <c r="F74" s="63" t="str">
        <f aca="false">IF('Onshore - Sydney'!D741="","Belum tercatat",'Onshore - Sydney'!D741)</f>
        <v>Term</v>
      </c>
      <c r="G74" s="65" t="n">
        <f aca="false">IF('Onshore - Sydney'!E741="","-",'Onshore - Sydney'!E741)</f>
        <v>1500</v>
      </c>
      <c r="H74" s="63" t="n">
        <f aca="false">IF(ISNUMBER(K74),COUNTIFS($J$6:$J$1916,J74,$K$6:$K$1916,"&lt;"&amp;K74)+1,"-")</f>
        <v>2</v>
      </c>
      <c r="I74" s="64" t="str">
        <f aca="false">IF('Onshore - Sydney'!E741="","Harga belum tersedia - hubungi konsultan TEG",IF(M74=2,"Saat ini tidak menerima pendaftaran siswa internasional baru",IF(M74=1,"Harga perlu dikonfirmasi ke sekolah"&amp;IF(""="","","; "&amp;""),"")))</f>
        <v/>
      </c>
      <c r="J74" s="0" t="s">
        <v>3743</v>
      </c>
      <c r="K74" s="0" t="n">
        <f aca="false">IF(M74=2,"",IF(ISNUMBER(SEARCH("rata-rata:",'Onshore - Sydney'!M741)),VALUE(MID('Onshore - Sydney'!M741,SEARCH("rata-rata:",'Onshore - Sydney'!M741)+11,FIND(";",'Onshore - Sydney'!M741&amp;";",SEARCH("rata-rata:",'Onshore - Sydney'!M741))-SEARCH("rata-rata:",'Onshore - Sydney'!M741)-11)),IF('Onshore - Sydney'!D741="Semester",'Onshore - Sydney'!E741*2,IF('Onshore - Sydney'!D741="Trimester",'Onshore - Sydney'!E741*3,IF('Onshore - Sydney'!D741="Term",'Onshore - Sydney'!E741*4,IF('Onshore - Sydney'!D741="Unit",'Onshore - Sydney'!E741*8,""))))))</f>
        <v>6000</v>
      </c>
      <c r="L74" s="0" t="n">
        <f aca="false">IF(AND(ISNUMBER('Onshore - Sydney'!E741),ISNUMBER(K74),ISNUMBER('Onshore - Sydney'!F741),ISNUMBER('Onshore - Sydney'!G741),OR('Onshore - Sydney'!F741&lt;&gt;0,ISNUMBER(SEARCH("Material 0 terverifikasi",'Onshore - Sydney'!M741))),OR('Onshore - Sydney'!G741&lt;&gt;0,ISNUMBER(SEARCH("Enrolment 0 terverifikasi",'Onshore - Sydney'!M741)))),1,0)</f>
        <v>1</v>
      </c>
      <c r="M74" s="0" t="n">
        <f aca="false">IF(OR('Onshore - Sydney'!E741="",ISNUMBER(SEARCH("BSB80120",'Onshore - Sydney'!B741&amp;'Onshore - Sydney'!M741)),ISNUMBER(SEARCH("Management (Learning)",'Onshore - Sydney'!B741))),2,IF(ISNUMBER(SEARCH("CEK:",'Onshore - Sydney'!M741)),1,0))</f>
        <v>0</v>
      </c>
    </row>
    <row r="75" customFormat="false" ht="28.35" hidden="false" customHeight="false" outlineLevel="0" collapsed="false">
      <c r="A75" s="63" t="s">
        <v>3533</v>
      </c>
      <c r="B75" s="64" t="s">
        <v>3698</v>
      </c>
      <c r="C75" s="63" t="s">
        <v>41</v>
      </c>
      <c r="D75" s="64" t="str">
        <f aca="false">TRIM(LEFT('Onshore - Sydney'!A881,FIND(CHAR(10),'Onshore - Sydney'!A881&amp;CHAR(10))-1))</f>
        <v>TKL College (Training for Knowledge and Livelihood)</v>
      </c>
      <c r="E75" s="63" t="str">
        <f aca="false">'Onshore - Sydney'!C881&amp;""</f>
        <v>2,5 years</v>
      </c>
      <c r="F75" s="63" t="str">
        <f aca="false">IF('Onshore - Sydney'!D881="","Belum tercatat",'Onshore - Sydney'!D881)</f>
        <v>Term</v>
      </c>
      <c r="G75" s="65" t="n">
        <f aca="false">IF('Onshore - Sydney'!E881="","-",'Onshore - Sydney'!E881)</f>
        <v>1500</v>
      </c>
      <c r="H75" s="63" t="n">
        <f aca="false">IF(ISNUMBER(K75),COUNTIFS($J$6:$J$1916,J75,$K$6:$K$1916,"&lt;"&amp;K75)+1,"-")</f>
        <v>2</v>
      </c>
      <c r="I75" s="64" t="str">
        <f aca="false">IF('Onshore - Sydney'!E881="","Harga belum tersedia - hubungi konsultan TEG",IF(M75=2,"Saat ini tidak menerima pendaftaran siswa internasional baru",IF(M75=1,"Harga perlu dikonfirmasi ke sekolah"&amp;IF(""="","","; "&amp;""),"")))</f>
        <v/>
      </c>
      <c r="J75" s="0" t="s">
        <v>3743</v>
      </c>
      <c r="K75" s="0" t="n">
        <f aca="false">IF(M75=2,"",IF(ISNUMBER(SEARCH("rata-rata:",'Onshore - Sydney'!M881)),VALUE(MID('Onshore - Sydney'!M881,SEARCH("rata-rata:",'Onshore - Sydney'!M881)+11,FIND(";",'Onshore - Sydney'!M881&amp;";",SEARCH("rata-rata:",'Onshore - Sydney'!M881))-SEARCH("rata-rata:",'Onshore - Sydney'!M881)-11)),IF('Onshore - Sydney'!D881="Semester",'Onshore - Sydney'!E881*2,IF('Onshore - Sydney'!D881="Trimester",'Onshore - Sydney'!E881*3,IF('Onshore - Sydney'!D881="Term",'Onshore - Sydney'!E881*4,IF('Onshore - Sydney'!D881="Unit",'Onshore - Sydney'!E881*8,""))))))</f>
        <v>6000</v>
      </c>
      <c r="L75" s="0" t="n">
        <f aca="false">IF(AND(ISNUMBER('Onshore - Sydney'!E881),ISNUMBER(K75),ISNUMBER('Onshore - Sydney'!F881),ISNUMBER('Onshore - Sydney'!G881),OR('Onshore - Sydney'!F881&lt;&gt;0,ISNUMBER(SEARCH("Material 0 terverifikasi",'Onshore - Sydney'!M881))),OR('Onshore - Sydney'!G881&lt;&gt;0,ISNUMBER(SEARCH("Enrolment 0 terverifikasi",'Onshore - Sydney'!M881)))),1,0)</f>
        <v>1</v>
      </c>
      <c r="M75" s="0" t="n">
        <f aca="false">IF(OR('Onshore - Sydney'!E881="",ISNUMBER(SEARCH("BSB80120",'Onshore - Sydney'!B881&amp;'Onshore - Sydney'!M881)),ISNUMBER(SEARCH("Management (Learning)",'Onshore - Sydney'!B881))),2,IF(ISNUMBER(SEARCH("CEK:",'Onshore - Sydney'!M881)),1,0))</f>
        <v>0</v>
      </c>
    </row>
    <row r="76" customFormat="false" ht="15" hidden="false" customHeight="false" outlineLevel="0" collapsed="false">
      <c r="A76" s="63" t="s">
        <v>3533</v>
      </c>
      <c r="B76" s="64" t="s">
        <v>3698</v>
      </c>
      <c r="C76" s="63" t="s">
        <v>41</v>
      </c>
      <c r="D76" s="64" t="str">
        <f aca="false">TRIM(LEFT('Onshore - Sydney'!A1237,FIND(CHAR(10),'Onshore - Sydney'!A1237&amp;CHAR(10))-1))</f>
        <v>York Business Institute</v>
      </c>
      <c r="E76" s="63" t="str">
        <f aca="false">'Onshore - Sydney'!C1240&amp;""</f>
        <v>2,5 years</v>
      </c>
      <c r="F76" s="63" t="str">
        <f aca="false">IF('Onshore - Sydney'!D1240="","Belum tercatat",'Onshore - Sydney'!D1240)</f>
        <v>Term</v>
      </c>
      <c r="G76" s="65" t="n">
        <f aca="false">IF('Onshore - Sydney'!E1240="","-",'Onshore - Sydney'!E1240)</f>
        <v>1500</v>
      </c>
      <c r="H76" s="63" t="n">
        <f aca="false">IF(ISNUMBER(K76),COUNTIFS($J$6:$J$1916,J76,$K$6:$K$1916,"&lt;"&amp;K76)+1,"-")</f>
        <v>2</v>
      </c>
      <c r="I76" s="64" t="str">
        <f aca="false">IF('Onshore - Sydney'!E1240="","Harga belum tersedia - hubungi konsultan TEG",IF(M76=2,"Saat ini tidak menerima pendaftaran siswa internasional baru",IF(M76=1,"Harga perlu dikonfirmasi ke sekolah"&amp;IF(""="","","; "&amp;""),"")))</f>
        <v>Harga perlu dikonfirmasi ke sekolah</v>
      </c>
      <c r="J76" s="0" t="s">
        <v>3743</v>
      </c>
      <c r="K76" s="0" t="n">
        <f aca="false">IF(M76=2,"",IF(ISNUMBER(SEARCH("rata-rata:",'Onshore - Sydney'!M1240)),VALUE(MID('Onshore - Sydney'!M1240,SEARCH("rata-rata:",'Onshore - Sydney'!M1240)+11,FIND(";",'Onshore - Sydney'!M1240&amp;";",SEARCH("rata-rata:",'Onshore - Sydney'!M1240))-SEARCH("rata-rata:",'Onshore - Sydney'!M1240)-11)),IF('Onshore - Sydney'!D1240="Semester",'Onshore - Sydney'!E1240*2,IF('Onshore - Sydney'!D1240="Trimester",'Onshore - Sydney'!E1240*3,IF('Onshore - Sydney'!D1240="Term",'Onshore - Sydney'!E1240*4,IF('Onshore - Sydney'!D1240="Unit",'Onshore - Sydney'!E1240*8,""))))))</f>
        <v>6000</v>
      </c>
      <c r="L76" s="0" t="n">
        <f aca="false">IF(AND(ISNUMBER('Onshore - Sydney'!E1240),ISNUMBER(K76),ISNUMBER('Onshore - Sydney'!F1240),ISNUMBER('Onshore - Sydney'!G1240),OR('Onshore - Sydney'!F1240&lt;&gt;0,ISNUMBER(SEARCH("Material 0 terverifikasi",'Onshore - Sydney'!M1240))),OR('Onshore - Sydney'!G1240&lt;&gt;0,ISNUMBER(SEARCH("Enrolment 0 terverifikasi",'Onshore - Sydney'!M1240)))),1,0)</f>
        <v>1</v>
      </c>
      <c r="M76" s="0" t="n">
        <f aca="false">IF(OR('Onshore - Sydney'!E1240="",ISNUMBER(SEARCH("BSB80120",'Onshore - Sydney'!B1240&amp;'Onshore - Sydney'!M1240)),ISNUMBER(SEARCH("Management (Learning)",'Onshore - Sydney'!B1240))),2,IF(ISNUMBER(SEARCH("CEK:",'Onshore - Sydney'!M1240)),1,0))</f>
        <v>1</v>
      </c>
    </row>
    <row r="77" customFormat="false" ht="28.35" hidden="false" customHeight="false" outlineLevel="0" collapsed="false">
      <c r="A77" s="63" t="s">
        <v>3533</v>
      </c>
      <c r="B77" s="64" t="s">
        <v>3698</v>
      </c>
      <c r="C77" s="63" t="s">
        <v>41</v>
      </c>
      <c r="D77" s="64" t="str">
        <f aca="false">TRIM(LEFT('Onshore - Sydney'!A299,FIND(CHAR(10),'Onshore - Sydney'!A299&amp;CHAR(10))-1))</f>
        <v>Australian Harbour International College (AHIC)</v>
      </c>
      <c r="E77" s="63" t="str">
        <f aca="false">'Onshore - Sydney'!C302&amp;""</f>
        <v>2,5 years</v>
      </c>
      <c r="F77" s="63" t="str">
        <f aca="false">IF('Onshore - Sydney'!D302="","Belum tercatat",'Onshore - Sydney'!D302)</f>
        <v>Term</v>
      </c>
      <c r="G77" s="65" t="n">
        <f aca="false">IF('Onshore - Sydney'!E302="","-",'Onshore - Sydney'!E302)</f>
        <v>2250</v>
      </c>
      <c r="H77" s="63" t="n">
        <f aca="false">IF(ISNUMBER(K77),COUNTIFS($J$6:$J$1916,J77,$K$6:$K$1916,"&lt;"&amp;K77)+1,"-")</f>
        <v>6</v>
      </c>
      <c r="I77" s="64" t="str">
        <f aca="false">IF('Onshore - Sydney'!E302="","Harga belum tersedia - hubungi konsultan TEG",IF(M77=2,"Saat ini tidak menerima pendaftaran siswa internasional baru",IF(M77=1,"Harga perlu dikonfirmasi ke sekolah"&amp;IF(""="","","; "&amp;""),"")))</f>
        <v/>
      </c>
      <c r="J77" s="0" t="s">
        <v>3743</v>
      </c>
      <c r="K77" s="0" t="n">
        <f aca="false">IF(M77=2,"",IF(ISNUMBER(SEARCH("rata-rata:",'Onshore - Sydney'!M302)),VALUE(MID('Onshore - Sydney'!M302,SEARCH("rata-rata:",'Onshore - Sydney'!M302)+11,FIND(";",'Onshore - Sydney'!M302&amp;";",SEARCH("rata-rata:",'Onshore - Sydney'!M302))-SEARCH("rata-rata:",'Onshore - Sydney'!M302)-11)),IF('Onshore - Sydney'!D302="Semester",'Onshore - Sydney'!E302*2,IF('Onshore - Sydney'!D302="Trimester",'Onshore - Sydney'!E302*3,IF('Onshore - Sydney'!D302="Term",'Onshore - Sydney'!E302*4,IF('Onshore - Sydney'!D302="Unit",'Onshore - Sydney'!E302*8,""))))))</f>
        <v>9000</v>
      </c>
      <c r="L77" s="0" t="n">
        <f aca="false">IF(AND(ISNUMBER('Onshore - Sydney'!E302),ISNUMBER(K77),ISNUMBER('Onshore - Sydney'!F302),ISNUMBER('Onshore - Sydney'!G302),OR('Onshore - Sydney'!F302&lt;&gt;0,ISNUMBER(SEARCH("Material 0 terverifikasi",'Onshore - Sydney'!M302))),OR('Onshore - Sydney'!G302&lt;&gt;0,ISNUMBER(SEARCH("Enrolment 0 terverifikasi",'Onshore - Sydney'!M302)))),1,0)</f>
        <v>1</v>
      </c>
      <c r="M77" s="0" t="n">
        <f aca="false">IF(OR('Onshore - Sydney'!E302="",ISNUMBER(SEARCH("BSB80120",'Onshore - Sydney'!B302&amp;'Onshore - Sydney'!M302)),ISNUMBER(SEARCH("Management (Learning)",'Onshore - Sydney'!B302))),2,IF(ISNUMBER(SEARCH("CEK:",'Onshore - Sydney'!M302)),1,0))</f>
        <v>0</v>
      </c>
    </row>
    <row r="78" customFormat="false" ht="15" hidden="false" customHeight="false" outlineLevel="0" collapsed="false">
      <c r="A78" s="63" t="s">
        <v>3533</v>
      </c>
      <c r="B78" s="64" t="s">
        <v>3698</v>
      </c>
      <c r="C78" s="63" t="s">
        <v>41</v>
      </c>
      <c r="D78" s="64" t="str">
        <f aca="false">TRIM(LEFT('Onshore - Sydney'!A1047,FIND(CHAR(10),'Onshore - Sydney'!A1047&amp;CHAR(10))-1))</f>
        <v>Western Sydney College (WSC)</v>
      </c>
      <c r="E78" s="63" t="str">
        <f aca="false">'Onshore - Sydney'!C1054&amp;""</f>
        <v>3 years</v>
      </c>
      <c r="F78" s="63" t="str">
        <f aca="false">IF('Onshore - Sydney'!D1054="","Belum tercatat",'Onshore - Sydney'!D1054)</f>
        <v>Term</v>
      </c>
      <c r="G78" s="65" t="n">
        <f aca="false">IF('Onshore - Sydney'!E1054="","-",'Onshore - Sydney'!E1054)</f>
        <v>3250</v>
      </c>
      <c r="H78" s="63" t="n">
        <f aca="false">IF(ISNUMBER(K78),COUNTIFS($J$6:$J$1916,J78,$K$6:$K$1916,"&lt;"&amp;K78)+1,"-")</f>
        <v>7</v>
      </c>
      <c r="I78" s="64" t="str">
        <f aca="false">IF('Onshore - Sydney'!E1054="","Harga belum tersedia - hubungi konsultan TEG",IF(M78=2,"Saat ini tidak menerima pendaftaran siswa internasional baru",IF(M78=1,"Harga perlu dikonfirmasi ke sekolah"&amp;IF(""="","","; "&amp;""),"")))</f>
        <v/>
      </c>
      <c r="J78" s="0" t="s">
        <v>3743</v>
      </c>
      <c r="K78" s="0" t="n">
        <f aca="false">IF(M78=2,"",IF(ISNUMBER(SEARCH("rata-rata:",'Onshore - Sydney'!M1054)),VALUE(MID('Onshore - Sydney'!M1054,SEARCH("rata-rata:",'Onshore - Sydney'!M1054)+11,FIND(";",'Onshore - Sydney'!M1054&amp;";",SEARCH("rata-rata:",'Onshore - Sydney'!M1054))-SEARCH("rata-rata:",'Onshore - Sydney'!M1054)-11)),IF('Onshore - Sydney'!D1054="Semester",'Onshore - Sydney'!E1054*2,IF('Onshore - Sydney'!D1054="Trimester",'Onshore - Sydney'!E1054*3,IF('Onshore - Sydney'!D1054="Term",'Onshore - Sydney'!E1054*4,IF('Onshore - Sydney'!D1054="Unit",'Onshore - Sydney'!E1054*8,""))))))</f>
        <v>13000</v>
      </c>
      <c r="L78" s="0" t="n">
        <f aca="false">IF(AND(ISNUMBER('Onshore - Sydney'!E1054),ISNUMBER(K78),ISNUMBER('Onshore - Sydney'!F1054),ISNUMBER('Onshore - Sydney'!G1054),OR('Onshore - Sydney'!F1054&lt;&gt;0,ISNUMBER(SEARCH("Material 0 terverifikasi",'Onshore - Sydney'!M1054))),OR('Onshore - Sydney'!G1054&lt;&gt;0,ISNUMBER(SEARCH("Enrolment 0 terverifikasi",'Onshore - Sydney'!M1054)))),1,0)</f>
        <v>1</v>
      </c>
      <c r="M78" s="0" t="n">
        <f aca="false">IF(OR('Onshore - Sydney'!E1054="",ISNUMBER(SEARCH("BSB80120",'Onshore - Sydney'!B1054&amp;'Onshore - Sydney'!M1054)),ISNUMBER(SEARCH("Management (Learning)",'Onshore - Sydney'!B1054))),2,IF(ISNUMBER(SEARCH("CEK:",'Onshore - Sydney'!M1054)),1,0))</f>
        <v>0</v>
      </c>
    </row>
    <row r="79" customFormat="false" ht="15" hidden="false" customHeight="false" outlineLevel="0" collapsed="false">
      <c r="A79" s="61" t="s">
        <v>3744</v>
      </c>
      <c r="B79" s="62"/>
      <c r="C79" s="62"/>
      <c r="D79" s="62"/>
      <c r="E79" s="62"/>
      <c r="F79" s="62"/>
      <c r="G79" s="62"/>
      <c r="H79" s="62"/>
      <c r="I79" s="62"/>
    </row>
    <row r="80" customFormat="false" ht="15" hidden="false" customHeight="false" outlineLevel="0" collapsed="false">
      <c r="A80" s="63" t="s">
        <v>3533</v>
      </c>
      <c r="B80" s="64" t="s">
        <v>3698</v>
      </c>
      <c r="C80" s="63" t="s">
        <v>42</v>
      </c>
      <c r="D80" s="64" t="str">
        <f aca="false">TRIM(LEFT('Onshore - Sydney'!A662,FIND(CHAR(10),'Onshore - Sydney'!A662&amp;CHAR(10))-1))</f>
        <v>New Cambridge College Sydney (NCCS)</v>
      </c>
      <c r="E80" s="63" t="str">
        <f aca="false">'Onshore - Sydney'!C667&amp;""</f>
        <v>5 years</v>
      </c>
      <c r="F80" s="63" t="str">
        <f aca="false">IF('Onshore - Sydney'!D667="","Belum tercatat",'Onshore - Sydney'!D667)</f>
        <v>Term</v>
      </c>
      <c r="G80" s="65" t="n">
        <f aca="false">IF('Onshore - Sydney'!E667="","-",'Onshore - Sydney'!E667)</f>
        <v>1250</v>
      </c>
      <c r="H80" s="63" t="n">
        <f aca="false">IF(ISNUMBER(K80),COUNTIFS($J$6:$J$1916,J80,$K$6:$K$1916,"&lt;"&amp;K80)+1,"-")</f>
        <v>1</v>
      </c>
      <c r="I80" s="64" t="str">
        <f aca="false">IF('Onshore - Sydney'!E667="","Harga belum tersedia - hubungi konsultan TEG",IF(M80=2,"Saat ini tidak menerima pendaftaran siswa internasional baru",IF(M80=1,"Program perlu dikonfirmasi ketersediaannya"&amp;IF(""="","","; "&amp;""),"")))</f>
        <v>Program perlu dikonfirmasi ketersediaannya</v>
      </c>
      <c r="J80" s="0" t="s">
        <v>3745</v>
      </c>
      <c r="K80" s="0" t="n">
        <f aca="false">IF(M80=2,"",IF(ISNUMBER(SEARCH("rata-rata:",'Onshore - Sydney'!M667)),VALUE(MID('Onshore - Sydney'!M667,SEARCH("rata-rata:",'Onshore - Sydney'!M667)+11,FIND(";",'Onshore - Sydney'!M667&amp;";",SEARCH("rata-rata:",'Onshore - Sydney'!M667))-SEARCH("rata-rata:",'Onshore - Sydney'!M667)-11)),IF('Onshore - Sydney'!D667="Semester",'Onshore - Sydney'!E667*2,IF('Onshore - Sydney'!D667="Trimester",'Onshore - Sydney'!E667*3,IF('Onshore - Sydney'!D667="Term",'Onshore - Sydney'!E667*4,IF('Onshore - Sydney'!D667="Unit",'Onshore - Sydney'!E667*8,""))))))</f>
        <v>5000</v>
      </c>
      <c r="L80" s="0" t="n">
        <f aca="false">IF(AND(ISNUMBER('Onshore - Sydney'!E667),ISNUMBER(K80),ISNUMBER('Onshore - Sydney'!F667),ISNUMBER('Onshore - Sydney'!G667),OR('Onshore - Sydney'!F667&lt;&gt;0,ISNUMBER(SEARCH("Material 0 terverifikasi",'Onshore - Sydney'!M667))),OR('Onshore - Sydney'!G667&lt;&gt;0,ISNUMBER(SEARCH("Enrolment 0 terverifikasi",'Onshore - Sydney'!M667)))),1,0)</f>
        <v>1</v>
      </c>
      <c r="M80" s="0" t="n">
        <f aca="false">IF(OR('Onshore - Sydney'!E667="",ISNUMBER(SEARCH("BSB80120",'Onshore - Sydney'!B667&amp;'Onshore - Sydney'!M667)),ISNUMBER(SEARCH("Management (Learning)",'Onshore - Sydney'!B667))),2,IF(ISNUMBER(SEARCH("CEK:",'Onshore - Sydney'!M667)),1,0))</f>
        <v>1</v>
      </c>
    </row>
    <row r="81" customFormat="false" ht="15" hidden="false" customHeight="false" outlineLevel="0" collapsed="false">
      <c r="A81" s="63" t="s">
        <v>3533</v>
      </c>
      <c r="B81" s="64" t="s">
        <v>3698</v>
      </c>
      <c r="C81" s="63" t="s">
        <v>42</v>
      </c>
      <c r="D81" s="64" t="str">
        <f aca="false">TRIM(LEFT('Onshore - Sydney'!A313,FIND(CHAR(10),'Onshore - Sydney'!A313&amp;CHAR(10))-1))</f>
        <v>Australian Ideal College (AIC)</v>
      </c>
      <c r="E81" s="63" t="str">
        <f aca="false">'Onshore - Sydney'!C320&amp;""</f>
        <v>1 year</v>
      </c>
      <c r="F81" s="63" t="str">
        <f aca="false">IF('Onshore - Sydney'!D320="","Belum tercatat",'Onshore - Sydney'!D320)</f>
        <v>Term</v>
      </c>
      <c r="G81" s="65" t="n">
        <f aca="false">IF('Onshore - Sydney'!E320="","-",'Onshore - Sydney'!E320)</f>
        <v>1500</v>
      </c>
      <c r="H81" s="63" t="n">
        <f aca="false">IF(ISNUMBER(K81),COUNTIFS($J$6:$J$1916,J81,$K$6:$K$1916,"&lt;"&amp;K81)+1,"-")</f>
        <v>2</v>
      </c>
      <c r="I81" s="64" t="str">
        <f aca="false">IF('Onshore - Sydney'!E320="","Harga belum tersedia - hubungi konsultan TEG",IF(M81=2,"Saat ini tidak menerima pendaftaran siswa internasional baru",IF(M81=1,"Harga perlu dikonfirmasi ke sekolah"&amp;IF(""="","","; "&amp;""),"")))</f>
        <v/>
      </c>
      <c r="J81" s="0" t="s">
        <v>3745</v>
      </c>
      <c r="K81" s="0" t="n">
        <f aca="false">IF(M81=2,"",IF(ISNUMBER(SEARCH("rata-rata:",'Onshore - Sydney'!M320)),VALUE(MID('Onshore - Sydney'!M320,SEARCH("rata-rata:",'Onshore - Sydney'!M320)+11,FIND(";",'Onshore - Sydney'!M320&amp;";",SEARCH("rata-rata:",'Onshore - Sydney'!M320))-SEARCH("rata-rata:",'Onshore - Sydney'!M320)-11)),IF('Onshore - Sydney'!D320="Semester",'Onshore - Sydney'!E320*2,IF('Onshore - Sydney'!D320="Trimester",'Onshore - Sydney'!E320*3,IF('Onshore - Sydney'!D320="Term",'Onshore - Sydney'!E320*4,IF('Onshore - Sydney'!D320="Unit",'Onshore - Sydney'!E320*8,""))))))</f>
        <v>6000</v>
      </c>
      <c r="L81" s="0" t="n">
        <f aca="false">IF(AND(ISNUMBER('Onshore - Sydney'!E320),ISNUMBER(K81),ISNUMBER('Onshore - Sydney'!F320),ISNUMBER('Onshore - Sydney'!G320),OR('Onshore - Sydney'!F320&lt;&gt;0,ISNUMBER(SEARCH("Material 0 terverifikasi",'Onshore - Sydney'!M320))),OR('Onshore - Sydney'!G320&lt;&gt;0,ISNUMBER(SEARCH("Enrolment 0 terverifikasi",'Onshore - Sydney'!M320)))),1,0)</f>
        <v>1</v>
      </c>
      <c r="M81" s="0" t="n">
        <f aca="false">IF(OR('Onshore - Sydney'!E320="",ISNUMBER(SEARCH("BSB80120",'Onshore - Sydney'!B320&amp;'Onshore - Sydney'!M320)),ISNUMBER(SEARCH("Management (Learning)",'Onshore - Sydney'!B320))),2,IF(ISNUMBER(SEARCH("CEK:",'Onshore - Sydney'!M320)),1,0))</f>
        <v>0</v>
      </c>
    </row>
    <row r="82" customFormat="false" ht="15" hidden="false" customHeight="false" outlineLevel="0" collapsed="false">
      <c r="A82" s="63" t="s">
        <v>3533</v>
      </c>
      <c r="B82" s="64" t="s">
        <v>3698</v>
      </c>
      <c r="C82" s="63" t="s">
        <v>42</v>
      </c>
      <c r="D82" s="64" t="str">
        <f aca="false">TRIM(LEFT('Onshore - Sydney'!A741,FIND(CHAR(10),'Onshore - Sydney'!A741&amp;CHAR(10))-1))</f>
        <v>Rosewood International College</v>
      </c>
      <c r="E82" s="63" t="str">
        <f aca="false">'Onshore - Sydney'!C742&amp;""</f>
        <v>3,5 years</v>
      </c>
      <c r="F82" s="63" t="str">
        <f aca="false">IF('Onshore - Sydney'!D742="","Belum tercatat",'Onshore - Sydney'!D742)</f>
        <v>Term</v>
      </c>
      <c r="G82" s="65" t="n">
        <f aca="false">IF('Onshore - Sydney'!E742="","-",'Onshore - Sydney'!E742)</f>
        <v>1500</v>
      </c>
      <c r="H82" s="63" t="n">
        <f aca="false">IF(ISNUMBER(K82),COUNTIFS($J$6:$J$1916,J82,$K$6:$K$1916,"&lt;"&amp;K82)+1,"-")</f>
        <v>2</v>
      </c>
      <c r="I82" s="64" t="str">
        <f aca="false">IF('Onshore - Sydney'!E742="","Harga belum tersedia - hubungi konsultan TEG",IF(M82=2,"Saat ini tidak menerima pendaftaran siswa internasional baru",IF(M82=1,"Harga perlu dikonfirmasi ke sekolah"&amp;IF(""="","","; "&amp;""),"")))</f>
        <v/>
      </c>
      <c r="J82" s="0" t="s">
        <v>3745</v>
      </c>
      <c r="K82" s="0" t="n">
        <f aca="false">IF(M82=2,"",IF(ISNUMBER(SEARCH("rata-rata:",'Onshore - Sydney'!M742)),VALUE(MID('Onshore - Sydney'!M742,SEARCH("rata-rata:",'Onshore - Sydney'!M742)+11,FIND(";",'Onshore - Sydney'!M742&amp;";",SEARCH("rata-rata:",'Onshore - Sydney'!M742))-SEARCH("rata-rata:",'Onshore - Sydney'!M742)-11)),IF('Onshore - Sydney'!D742="Semester",'Onshore - Sydney'!E742*2,IF('Onshore - Sydney'!D742="Trimester",'Onshore - Sydney'!E742*3,IF('Onshore - Sydney'!D742="Term",'Onshore - Sydney'!E742*4,IF('Onshore - Sydney'!D742="Unit",'Onshore - Sydney'!E742*8,""))))))</f>
        <v>6000</v>
      </c>
      <c r="L82" s="0" t="n">
        <f aca="false">IF(AND(ISNUMBER('Onshore - Sydney'!E742),ISNUMBER(K82),ISNUMBER('Onshore - Sydney'!F742),ISNUMBER('Onshore - Sydney'!G742),OR('Onshore - Sydney'!F742&lt;&gt;0,ISNUMBER(SEARCH("Material 0 terverifikasi",'Onshore - Sydney'!M742))),OR('Onshore - Sydney'!G742&lt;&gt;0,ISNUMBER(SEARCH("Enrolment 0 terverifikasi",'Onshore - Sydney'!M742)))),1,0)</f>
        <v>1</v>
      </c>
      <c r="M82" s="0" t="n">
        <f aca="false">IF(OR('Onshore - Sydney'!E742="",ISNUMBER(SEARCH("BSB80120",'Onshore - Sydney'!B742&amp;'Onshore - Sydney'!M742)),ISNUMBER(SEARCH("Management (Learning)",'Onshore - Sydney'!B742))),2,IF(ISNUMBER(SEARCH("CEK:",'Onshore - Sydney'!M742)),1,0))</f>
        <v>0</v>
      </c>
    </row>
    <row r="83" customFormat="false" ht="15" hidden="false" customHeight="false" outlineLevel="0" collapsed="false">
      <c r="A83" s="63" t="s">
        <v>3533</v>
      </c>
      <c r="B83" s="64" t="s">
        <v>3698</v>
      </c>
      <c r="C83" s="63" t="s">
        <v>42</v>
      </c>
      <c r="D83" s="64" t="str">
        <f aca="false">TRIM(LEFT('Onshore - Sydney'!A1237,FIND(CHAR(10),'Onshore - Sydney'!A1237&amp;CHAR(10))-1))</f>
        <v>York Business Institute</v>
      </c>
      <c r="E83" s="63" t="str">
        <f aca="false">'Onshore - Sydney'!C1241&amp;""</f>
        <v>3,5 years</v>
      </c>
      <c r="F83" s="63" t="str">
        <f aca="false">IF('Onshore - Sydney'!D1241="","Belum tercatat",'Onshore - Sydney'!D1241)</f>
        <v>Term</v>
      </c>
      <c r="G83" s="65" t="n">
        <f aca="false">IF('Onshore - Sydney'!E1241="","-",'Onshore - Sydney'!E1241)</f>
        <v>1500</v>
      </c>
      <c r="H83" s="63" t="n">
        <f aca="false">IF(ISNUMBER(K83),COUNTIFS($J$6:$J$1916,J83,$K$6:$K$1916,"&lt;"&amp;K83)+1,"-")</f>
        <v>2</v>
      </c>
      <c r="I83" s="64" t="str">
        <f aca="false">IF('Onshore - Sydney'!E1241="","Harga belum tersedia - hubungi konsultan TEG",IF(M83=2,"Saat ini tidak menerima pendaftaran siswa internasional baru",IF(M83=1,"Harga perlu dikonfirmasi ke sekolah"&amp;IF(""="","","; "&amp;""),"")))</f>
        <v>Harga perlu dikonfirmasi ke sekolah</v>
      </c>
      <c r="J83" s="0" t="s">
        <v>3745</v>
      </c>
      <c r="K83" s="0" t="n">
        <f aca="false">IF(M83=2,"",IF(ISNUMBER(SEARCH("rata-rata:",'Onshore - Sydney'!M1241)),VALUE(MID('Onshore - Sydney'!M1241,SEARCH("rata-rata:",'Onshore - Sydney'!M1241)+11,FIND(";",'Onshore - Sydney'!M1241&amp;";",SEARCH("rata-rata:",'Onshore - Sydney'!M1241))-SEARCH("rata-rata:",'Onshore - Sydney'!M1241)-11)),IF('Onshore - Sydney'!D1241="Semester",'Onshore - Sydney'!E1241*2,IF('Onshore - Sydney'!D1241="Trimester",'Onshore - Sydney'!E1241*3,IF('Onshore - Sydney'!D1241="Term",'Onshore - Sydney'!E1241*4,IF('Onshore - Sydney'!D1241="Unit",'Onshore - Sydney'!E1241*8,""))))))</f>
        <v>6000</v>
      </c>
      <c r="L83" s="0" t="n">
        <f aca="false">IF(AND(ISNUMBER('Onshore - Sydney'!E1241),ISNUMBER(K83),ISNUMBER('Onshore - Sydney'!F1241),ISNUMBER('Onshore - Sydney'!G1241),OR('Onshore - Sydney'!F1241&lt;&gt;0,ISNUMBER(SEARCH("Material 0 terverifikasi",'Onshore - Sydney'!M1241))),OR('Onshore - Sydney'!G1241&lt;&gt;0,ISNUMBER(SEARCH("Enrolment 0 terverifikasi",'Onshore - Sydney'!M1241)))),1,0)</f>
        <v>1</v>
      </c>
      <c r="M83" s="0" t="n">
        <f aca="false">IF(OR('Onshore - Sydney'!E1241="",ISNUMBER(SEARCH("BSB80120",'Onshore - Sydney'!B1241&amp;'Onshore - Sydney'!M1241)),ISNUMBER(SEARCH("Management (Learning)",'Onshore - Sydney'!B1241))),2,IF(ISNUMBER(SEARCH("CEK:",'Onshore - Sydney'!M1241)),1,0))</f>
        <v>1</v>
      </c>
    </row>
    <row r="84" customFormat="false" ht="28.35" hidden="false" customHeight="false" outlineLevel="0" collapsed="false">
      <c r="A84" s="63" t="s">
        <v>3533</v>
      </c>
      <c r="B84" s="64" t="s">
        <v>3698</v>
      </c>
      <c r="C84" s="63" t="s">
        <v>42</v>
      </c>
      <c r="D84" s="64" t="str">
        <f aca="false">TRIM(LEFT('Onshore - Sydney'!A299,FIND(CHAR(10),'Onshore - Sydney'!A299&amp;CHAR(10))-1))</f>
        <v>Australian Harbour International College (AHIC)</v>
      </c>
      <c r="E84" s="63" t="str">
        <f aca="false">'Onshore - Sydney'!C303&amp;""</f>
        <v>3 years</v>
      </c>
      <c r="F84" s="63" t="str">
        <f aca="false">IF('Onshore - Sydney'!D303="","Belum tercatat",'Onshore - Sydney'!D303)</f>
        <v>Term</v>
      </c>
      <c r="G84" s="65" t="n">
        <f aca="false">IF('Onshore - Sydney'!E303="","-",'Onshore - Sydney'!E303)</f>
        <v>2250</v>
      </c>
      <c r="H84" s="63" t="n">
        <f aca="false">IF(ISNUMBER(K84),COUNTIFS($J$6:$J$1916,J84,$K$6:$K$1916,"&lt;"&amp;K84)+1,"-")</f>
        <v>5</v>
      </c>
      <c r="I84" s="64" t="str">
        <f aca="false">IF('Onshore - Sydney'!E303="","Harga belum tersedia - hubungi konsultan TEG",IF(M84=2,"Saat ini tidak menerima pendaftaran siswa internasional baru",IF(M84=1,"Harga perlu dikonfirmasi ke sekolah"&amp;IF(""="","","; "&amp;""),"")))</f>
        <v/>
      </c>
      <c r="J84" s="0" t="s">
        <v>3745</v>
      </c>
      <c r="K84" s="0" t="n">
        <f aca="false">IF(M84=2,"",IF(ISNUMBER(SEARCH("rata-rata:",'Onshore - Sydney'!M303)),VALUE(MID('Onshore - Sydney'!M303,SEARCH("rata-rata:",'Onshore - Sydney'!M303)+11,FIND(";",'Onshore - Sydney'!M303&amp;";",SEARCH("rata-rata:",'Onshore - Sydney'!M303))-SEARCH("rata-rata:",'Onshore - Sydney'!M303)-11)),IF('Onshore - Sydney'!D303="Semester",'Onshore - Sydney'!E303*2,IF('Onshore - Sydney'!D303="Trimester",'Onshore - Sydney'!E303*3,IF('Onshore - Sydney'!D303="Term",'Onshore - Sydney'!E303*4,IF('Onshore - Sydney'!D303="Unit",'Onshore - Sydney'!E303*8,""))))))</f>
        <v>9000</v>
      </c>
      <c r="L84" s="0" t="n">
        <f aca="false">IF(AND(ISNUMBER('Onshore - Sydney'!E303),ISNUMBER(K84),ISNUMBER('Onshore - Sydney'!F303),ISNUMBER('Onshore - Sydney'!G303),OR('Onshore - Sydney'!F303&lt;&gt;0,ISNUMBER(SEARCH("Material 0 terverifikasi",'Onshore - Sydney'!M303))),OR('Onshore - Sydney'!G303&lt;&gt;0,ISNUMBER(SEARCH("Enrolment 0 terverifikasi",'Onshore - Sydney'!M303)))),1,0)</f>
        <v>1</v>
      </c>
      <c r="M84" s="0" t="n">
        <f aca="false">IF(OR('Onshore - Sydney'!E303="",ISNUMBER(SEARCH("BSB80120",'Onshore - Sydney'!B303&amp;'Onshore - Sydney'!M303)),ISNUMBER(SEARCH("Management (Learning)",'Onshore - Sydney'!B303))),2,IF(ISNUMBER(SEARCH("CEK:",'Onshore - Sydney'!M303)),1,0))</f>
        <v>0</v>
      </c>
    </row>
    <row r="85" customFormat="false" ht="15" hidden="false" customHeight="false" outlineLevel="0" collapsed="false">
      <c r="A85" s="63" t="s">
        <v>3533</v>
      </c>
      <c r="B85" s="64" t="s">
        <v>3698</v>
      </c>
      <c r="C85" s="63" t="s">
        <v>42</v>
      </c>
      <c r="D85" s="64" t="str">
        <f aca="false">TRIM(LEFT('Onshore - Sydney'!A1047,FIND(CHAR(10),'Onshore - Sydney'!A1047&amp;CHAR(10))-1))</f>
        <v>Western Sydney College (WSC)</v>
      </c>
      <c r="E85" s="63" t="str">
        <f aca="false">'Onshore - Sydney'!C1055&amp;""</f>
        <v>3.5 years</v>
      </c>
      <c r="F85" s="63" t="str">
        <f aca="false">IF('Onshore - Sydney'!D1055="","Belum tercatat",'Onshore - Sydney'!D1055)</f>
        <v>Term</v>
      </c>
      <c r="G85" s="65" t="n">
        <f aca="false">IF('Onshore - Sydney'!E1055="","-",'Onshore - Sydney'!E1055)</f>
        <v>3250</v>
      </c>
      <c r="H85" s="63" t="n">
        <f aca="false">IF(ISNUMBER(K85),COUNTIFS($J$6:$J$1916,J85,$K$6:$K$1916,"&lt;"&amp;K85)+1,"-")</f>
        <v>6</v>
      </c>
      <c r="I85" s="64" t="str">
        <f aca="false">IF('Onshore - Sydney'!E1055="","Harga belum tersedia - hubungi konsultan TEG",IF(M85=2,"Saat ini tidak menerima pendaftaran siswa internasional baru",IF(M85=1,"Harga perlu dikonfirmasi ke sekolah"&amp;IF(""="","","; "&amp;""),"")))</f>
        <v/>
      </c>
      <c r="J85" s="0" t="s">
        <v>3745</v>
      </c>
      <c r="K85" s="0" t="n">
        <f aca="false">IF(M85=2,"",IF(ISNUMBER(SEARCH("rata-rata:",'Onshore - Sydney'!M1055)),VALUE(MID('Onshore - Sydney'!M1055,SEARCH("rata-rata:",'Onshore - Sydney'!M1055)+11,FIND(";",'Onshore - Sydney'!M1055&amp;";",SEARCH("rata-rata:",'Onshore - Sydney'!M1055))-SEARCH("rata-rata:",'Onshore - Sydney'!M1055)-11)),IF('Onshore - Sydney'!D1055="Semester",'Onshore - Sydney'!E1055*2,IF('Onshore - Sydney'!D1055="Trimester",'Onshore - Sydney'!E1055*3,IF('Onshore - Sydney'!D1055="Term",'Onshore - Sydney'!E1055*4,IF('Onshore - Sydney'!D1055="Unit",'Onshore - Sydney'!E1055*8,""))))))</f>
        <v>13000</v>
      </c>
      <c r="L85" s="0" t="n">
        <f aca="false">IF(AND(ISNUMBER('Onshore - Sydney'!E1055),ISNUMBER(K85),ISNUMBER('Onshore - Sydney'!F1055),ISNUMBER('Onshore - Sydney'!G1055),OR('Onshore - Sydney'!F1055&lt;&gt;0,ISNUMBER(SEARCH("Material 0 terverifikasi",'Onshore - Sydney'!M1055))),OR('Onshore - Sydney'!G1055&lt;&gt;0,ISNUMBER(SEARCH("Enrolment 0 terverifikasi",'Onshore - Sydney'!M1055)))),1,0)</f>
        <v>1</v>
      </c>
      <c r="M85" s="0" t="n">
        <f aca="false">IF(OR('Onshore - Sydney'!E1055="",ISNUMBER(SEARCH("BSB80120",'Onshore - Sydney'!B1055&amp;'Onshore - Sydney'!M1055)),ISNUMBER(SEARCH("Management (Learning)",'Onshore - Sydney'!B1055))),2,IF(ISNUMBER(SEARCH("CEK:",'Onshore - Sydney'!M1055)),1,0))</f>
        <v>0</v>
      </c>
    </row>
    <row r="86" customFormat="false" ht="15" hidden="false" customHeight="false" outlineLevel="0" collapsed="false">
      <c r="A86" s="61" t="s">
        <v>3746</v>
      </c>
      <c r="B86" s="62"/>
      <c r="C86" s="62"/>
      <c r="D86" s="62"/>
      <c r="E86" s="62"/>
      <c r="F86" s="62"/>
      <c r="G86" s="62"/>
      <c r="H86" s="62"/>
      <c r="I86" s="62"/>
    </row>
    <row r="87" customFormat="false" ht="15" hidden="false" customHeight="false" outlineLevel="0" collapsed="false">
      <c r="A87" s="63" t="s">
        <v>3533</v>
      </c>
      <c r="B87" s="64" t="s">
        <v>3698</v>
      </c>
      <c r="C87" s="63" t="s">
        <v>43</v>
      </c>
      <c r="D87" s="64" t="str">
        <f aca="false">TRIM(LEFT('Onshore - Sydney'!A160,FIND(CHAR(10),'Onshore - Sydney'!A160&amp;CHAR(10))-1))</f>
        <v>Australian Business Institute (ABI)</v>
      </c>
      <c r="E87" s="63" t="str">
        <f aca="false">'Onshore - Sydney'!C160&amp;""</f>
        <v>3 years</v>
      </c>
      <c r="F87" s="63" t="str">
        <f aca="false">IF('Onshore - Sydney'!D160="","Belum tercatat",'Onshore - Sydney'!D160)</f>
        <v>Term</v>
      </c>
      <c r="G87" s="65" t="n">
        <f aca="false">IF('Onshore - Sydney'!E160="","-",'Onshore - Sydney'!E160)</f>
        <v>3000</v>
      </c>
      <c r="H87" s="63" t="n">
        <f aca="false">IF(ISNUMBER(K87),COUNTIFS($J$6:$J$1916,J87,$K$6:$K$1916,"&lt;"&amp;K87)+1,"-")</f>
        <v>1</v>
      </c>
      <c r="I87" s="64" t="str">
        <f aca="false">IF('Onshore - Sydney'!E160="","Harga belum tersedia - hubungi konsultan TEG",IF(M87=2,"Saat ini tidak menerima pendaftaran siswa internasional baru",IF(M87=1,"Harga perlu dikonfirmasi ke sekolah"&amp;IF(""="","","; "&amp;""),"")))</f>
        <v/>
      </c>
      <c r="J87" s="0" t="s">
        <v>3747</v>
      </c>
      <c r="K87" s="0" t="n">
        <f aca="false">IF(M87=2,"",IF(ISNUMBER(SEARCH("rata-rata:",'Onshore - Sydney'!M160)),VALUE(MID('Onshore - Sydney'!M160,SEARCH("rata-rata:",'Onshore - Sydney'!M160)+11,FIND(";",'Onshore - Sydney'!M160&amp;";",SEARCH("rata-rata:",'Onshore - Sydney'!M160))-SEARCH("rata-rata:",'Onshore - Sydney'!M160)-11)),IF('Onshore - Sydney'!D160="Semester",'Onshore - Sydney'!E160*2,IF('Onshore - Sydney'!D160="Trimester",'Onshore - Sydney'!E160*3,IF('Onshore - Sydney'!D160="Term",'Onshore - Sydney'!E160*4,IF('Onshore - Sydney'!D160="Unit",'Onshore - Sydney'!E160*8,""))))))</f>
        <v>12000</v>
      </c>
      <c r="L87" s="0" t="n">
        <f aca="false">IF(AND(ISNUMBER('Onshore - Sydney'!E160),ISNUMBER(K87),ISNUMBER('Onshore - Sydney'!F160),ISNUMBER('Onshore - Sydney'!G160),OR('Onshore - Sydney'!F160&lt;&gt;0,ISNUMBER(SEARCH("Material 0 terverifikasi",'Onshore - Sydney'!M160))),OR('Onshore - Sydney'!G160&lt;&gt;0,ISNUMBER(SEARCH("Enrolment 0 terverifikasi",'Onshore - Sydney'!M160)))),1,0)</f>
        <v>0</v>
      </c>
      <c r="M87" s="0" t="n">
        <f aca="false">IF(OR('Onshore - Sydney'!E160="",ISNUMBER(SEARCH("BSB80120",'Onshore - Sydney'!B160&amp;'Onshore - Sydney'!M160)),ISNUMBER(SEARCH("Management (Learning)",'Onshore - Sydney'!B160))),2,IF(ISNUMBER(SEARCH("CEK:",'Onshore - Sydney'!M160)),1,0))</f>
        <v>0</v>
      </c>
    </row>
    <row r="88" customFormat="false" ht="55.2" hidden="false" customHeight="false" outlineLevel="0" collapsed="false">
      <c r="A88" s="63" t="s">
        <v>3533</v>
      </c>
      <c r="B88" s="64" t="s">
        <v>3698</v>
      </c>
      <c r="C88" s="63" t="s">
        <v>43</v>
      </c>
      <c r="D88" s="64" t="str">
        <f aca="false">TRIM(LEFT('Onshore - Sydney'!A88,FIND(CHAR(10),'Onshore - Sydney'!A88&amp;CHAR(10))-1))</f>
        <v>AIH Higher Education (Australian Institute of Higher Education)</v>
      </c>
      <c r="E88" s="63" t="str">
        <f aca="false">'Onshore - Sydney'!C88&amp;""</f>
        <v>3 years</v>
      </c>
      <c r="F88" s="63" t="str">
        <f aca="false">IF('Onshore - Sydney'!D88="","Belum tercatat",'Onshore - Sydney'!D88)</f>
        <v>Unit</v>
      </c>
      <c r="G88" s="65" t="n">
        <f aca="false">IF('Onshore - Sydney'!E88="","-",'Onshore - Sydney'!E88)</f>
        <v>1680</v>
      </c>
      <c r="H88" s="63" t="n">
        <f aca="false">IF(ISNUMBER(K88),COUNTIFS($J$6:$J$1916,J88,$K$6:$K$1916,"&lt;"&amp;K88)+1,"-")</f>
        <v>2</v>
      </c>
      <c r="I88" s="64" t="str">
        <f aca="false">IF('Onshore - Sydney'!E88="","Harga belum tersedia - hubungi konsultan TEG",IF(M88=2,"Saat ini tidak menerima pendaftaran siswa internasional baru",IF(M88=1,"Harga perlu dikonfirmasi ke sekolah"&amp;IF("Harga promo s.d. 31/12/2026; Harga dihitung per unit; total tergantung jumlah unit yang diambil; Sudah termasuk beasiswa 20% (syarat berlaku)"="","","; "&amp;"Harga promo s.d. 31/12/2026; Harga dihitung per unit; total tergantung jumlah unit yang diambil; Sudah termasuk beasiswa 20% (syarat berlaku)"),"Harga promo s.d. 31/12/2026; Harga dihitung per unit; total tergantung jumlah unit yang diambil; Sudah termasuk beasiswa 20% (syarat berlaku)")))</f>
        <v>Harga promo s.d. 31/12/2026; Harga dihitung per unit; total tergantung jumlah unit yang diambil; Sudah termasuk beasiswa 20% (syarat berlaku)</v>
      </c>
      <c r="J88" s="0" t="s">
        <v>3747</v>
      </c>
      <c r="K88" s="0" t="n">
        <f aca="false">IF(M88=2,"",IF(ISNUMBER(SEARCH("rata-rata:",'Onshore - Sydney'!M88)),VALUE(MID('Onshore - Sydney'!M88,SEARCH("rata-rata:",'Onshore - Sydney'!M88)+11,FIND(";",'Onshore - Sydney'!M88&amp;";",SEARCH("rata-rata:",'Onshore - Sydney'!M88))-SEARCH("rata-rata:",'Onshore - Sydney'!M88)-11)),IF('Onshore - Sydney'!D88="Semester",'Onshore - Sydney'!E88*2,IF('Onshore - Sydney'!D88="Trimester",'Onshore - Sydney'!E88*3,IF('Onshore - Sydney'!D88="Term",'Onshore - Sydney'!E88*4,IF('Onshore - Sydney'!D88="Unit",'Onshore - Sydney'!E88*8,""))))))</f>
        <v>13440</v>
      </c>
      <c r="L88" s="0" t="n">
        <f aca="false">IF(AND(ISNUMBER('Onshore - Sydney'!E88),ISNUMBER(K88),ISNUMBER('Onshore - Sydney'!F88),ISNUMBER('Onshore - Sydney'!G88),OR('Onshore - Sydney'!F88&lt;&gt;0,ISNUMBER(SEARCH("Material 0 terverifikasi",'Onshore - Sydney'!M88))),OR('Onshore - Sydney'!G88&lt;&gt;0,ISNUMBER(SEARCH("Enrolment 0 terverifikasi",'Onshore - Sydney'!M88)))),1,0)</f>
        <v>1</v>
      </c>
      <c r="M88" s="0" t="n">
        <f aca="false">IF(OR('Onshore - Sydney'!E88="",ISNUMBER(SEARCH("BSB80120",'Onshore - Sydney'!B88&amp;'Onshore - Sydney'!M88)),ISNUMBER(SEARCH("Management (Learning)",'Onshore - Sydney'!B88))),2,IF(ISNUMBER(SEARCH("CEK:",'Onshore - Sydney'!M88)),1,0))</f>
        <v>0</v>
      </c>
    </row>
    <row r="89" customFormat="false" ht="15" hidden="false" customHeight="false" outlineLevel="0" collapsed="false">
      <c r="A89" s="63" t="s">
        <v>3533</v>
      </c>
      <c r="B89" s="64" t="s">
        <v>3698</v>
      </c>
      <c r="C89" s="63" t="s">
        <v>43</v>
      </c>
      <c r="D89" s="64" t="str">
        <f aca="false">TRIM(LEFT('Onshore - Sydney'!A422,FIND(CHAR(10),'Onshore - Sydney'!A422&amp;CHAR(10))-1))</f>
        <v>CIHE Australia</v>
      </c>
      <c r="E89" s="63" t="str">
        <f aca="false">'Onshore - Sydney'!C430&amp;""</f>
        <v>3 years</v>
      </c>
      <c r="F89" s="63" t="str">
        <f aca="false">IF('Onshore - Sydney'!D430="","Belum tercatat",'Onshore - Sydney'!D430)</f>
        <v>Term</v>
      </c>
      <c r="G89" s="65" t="n">
        <f aca="false">IF('Onshore - Sydney'!E430="","-",'Onshore - Sydney'!E430)</f>
        <v>3375</v>
      </c>
      <c r="H89" s="63" t="n">
        <f aca="false">IF(ISNUMBER(K89),COUNTIFS($J$6:$J$1916,J89,$K$6:$K$1916,"&lt;"&amp;K89)+1,"-")</f>
        <v>3</v>
      </c>
      <c r="I89" s="64" t="str">
        <f aca="false">IF('Onshore - Sydney'!E430="","Harga belum tersedia - hubungi konsultan TEG",IF(M89=2,"Saat ini tidak menerima pendaftaran siswa internasional baru",IF(M89=1,"Harga perlu dikonfirmasi ke sekolah"&amp;IF(""="","","; "&amp;""),"")))</f>
        <v>Harga perlu dikonfirmasi ke sekolah</v>
      </c>
      <c r="J89" s="0" t="s">
        <v>3747</v>
      </c>
      <c r="K89" s="0" t="n">
        <f aca="false">IF(M89=2,"",IF(ISNUMBER(SEARCH("rata-rata:",'Onshore - Sydney'!M430)),VALUE(MID('Onshore - Sydney'!M430,SEARCH("rata-rata:",'Onshore - Sydney'!M430)+11,FIND(";",'Onshore - Sydney'!M430&amp;";",SEARCH("rata-rata:",'Onshore - Sydney'!M430))-SEARCH("rata-rata:",'Onshore - Sydney'!M430)-11)),IF('Onshore - Sydney'!D430="Semester",'Onshore - Sydney'!E430*2,IF('Onshore - Sydney'!D430="Trimester",'Onshore - Sydney'!E430*3,IF('Onshore - Sydney'!D430="Term",'Onshore - Sydney'!E430*4,IF('Onshore - Sydney'!D430="Unit",'Onshore - Sydney'!E430*8,""))))))</f>
        <v>13500</v>
      </c>
      <c r="L89" s="0" t="n">
        <f aca="false">IF(AND(ISNUMBER('Onshore - Sydney'!E430),ISNUMBER(K89),ISNUMBER('Onshore - Sydney'!F430),ISNUMBER('Onshore - Sydney'!G430),OR('Onshore - Sydney'!F430&lt;&gt;0,ISNUMBER(SEARCH("Material 0 terverifikasi",'Onshore - Sydney'!M430))),OR('Onshore - Sydney'!G430&lt;&gt;0,ISNUMBER(SEARCH("Enrolment 0 terverifikasi",'Onshore - Sydney'!M430)))),1,0)</f>
        <v>1</v>
      </c>
      <c r="M89" s="0" t="n">
        <f aca="false">IF(OR('Onshore - Sydney'!E430="",ISNUMBER(SEARCH("BSB80120",'Onshore - Sydney'!B430&amp;'Onshore - Sydney'!M430)),ISNUMBER(SEARCH("Management (Learning)",'Onshore - Sydney'!B430))),2,IF(ISNUMBER(SEARCH("CEK:",'Onshore - Sydney'!M430)),1,0))</f>
        <v>1</v>
      </c>
    </row>
    <row r="90" customFormat="false" ht="15" hidden="false" customHeight="false" outlineLevel="0" collapsed="false">
      <c r="A90" s="63" t="s">
        <v>3533</v>
      </c>
      <c r="B90" s="64" t="s">
        <v>3698</v>
      </c>
      <c r="C90" s="63" t="s">
        <v>43</v>
      </c>
      <c r="D90" s="64" t="str">
        <f aca="false">TRIM(LEFT('Onshore - Sydney'!A775,FIND(CHAR(10),'Onshore - Sydney'!A775&amp;CHAR(10))-1))</f>
        <v>Sydney Institute of Higher Education (SIHE)</v>
      </c>
      <c r="E90" s="63" t="str">
        <f aca="false">'Onshore - Sydney'!C777&amp;""</f>
        <v>3 years</v>
      </c>
      <c r="F90" s="63" t="str">
        <f aca="false">IF('Onshore - Sydney'!D777="","Belum tercatat",'Onshore - Sydney'!D777)</f>
        <v>Trimester</v>
      </c>
      <c r="G90" s="65" t="n">
        <f aca="false">IF('Onshore - Sydney'!E777="","-",'Onshore - Sydney'!E777)</f>
        <v>4778</v>
      </c>
      <c r="H90" s="63" t="n">
        <f aca="false">IF(ISNUMBER(K90),COUNTIFS($J$6:$J$1916,J90,$K$6:$K$1916,"&lt;"&amp;K90)+1,"-")</f>
        <v>4</v>
      </c>
      <c r="I90" s="64" t="str">
        <f aca="false">IF('Onshore - Sydney'!E777="","Harga belum tersedia - hubungi konsultan TEG",IF(M90=2,"Saat ini tidak menerima pendaftaran siswa internasional baru",IF(M90=1,"Harga perlu dikonfirmasi ke sekolah"&amp;IF(""="","","; "&amp;""),"")))</f>
        <v>Harga perlu dikonfirmasi ke sekolah</v>
      </c>
      <c r="J90" s="0" t="s">
        <v>3747</v>
      </c>
      <c r="K90" s="0" t="n">
        <f aca="false">IF(M90=2,"",IF(ISNUMBER(SEARCH("rata-rata:",'Onshore - Sydney'!M777)),VALUE(MID('Onshore - Sydney'!M777,SEARCH("rata-rata:",'Onshore - Sydney'!M777)+11,FIND(";",'Onshore - Sydney'!M777&amp;";",SEARCH("rata-rata:",'Onshore - Sydney'!M777))-SEARCH("rata-rata:",'Onshore - Sydney'!M777)-11)),IF('Onshore - Sydney'!D777="Semester",'Onshore - Sydney'!E777*2,IF('Onshore - Sydney'!D777="Trimester",'Onshore - Sydney'!E777*3,IF('Onshore - Sydney'!D777="Term",'Onshore - Sydney'!E777*4,IF('Onshore - Sydney'!D777="Unit",'Onshore - Sydney'!E777*8,""))))))</f>
        <v>14334</v>
      </c>
      <c r="L90" s="0" t="n">
        <f aca="false">IF(AND(ISNUMBER('Onshore - Sydney'!E777),ISNUMBER(K90),ISNUMBER('Onshore - Sydney'!F777),ISNUMBER('Onshore - Sydney'!G777),OR('Onshore - Sydney'!F777&lt;&gt;0,ISNUMBER(SEARCH("Material 0 terverifikasi",'Onshore - Sydney'!M777))),OR('Onshore - Sydney'!G777&lt;&gt;0,ISNUMBER(SEARCH("Enrolment 0 terverifikasi",'Onshore - Sydney'!M777)))),1,0)</f>
        <v>0</v>
      </c>
      <c r="M90" s="0" t="n">
        <f aca="false">IF(OR('Onshore - Sydney'!E777="",ISNUMBER(SEARCH("BSB80120",'Onshore - Sydney'!B777&amp;'Onshore - Sydney'!M777)),ISNUMBER(SEARCH("Management (Learning)",'Onshore - Sydney'!B777))),2,IF(ISNUMBER(SEARCH("CEK:",'Onshore - Sydney'!M777)),1,0))</f>
        <v>1</v>
      </c>
    </row>
    <row r="91" customFormat="false" ht="28.35" hidden="false" customHeight="false" outlineLevel="0" collapsed="false">
      <c r="A91" s="63" t="s">
        <v>3533</v>
      </c>
      <c r="B91" s="64" t="s">
        <v>3698</v>
      </c>
      <c r="C91" s="63" t="s">
        <v>43</v>
      </c>
      <c r="D91" s="64" t="str">
        <f aca="false">TRIM(LEFT('Onshore - Sydney'!A653,FIND(CHAR(10),'Onshore - Sydney'!A653&amp;CHAR(10))-1))</f>
        <v>National Academy of Professional Studies (NAPS)</v>
      </c>
      <c r="E91" s="63" t="str">
        <f aca="false">'Onshore - Sydney'!C655&amp;""</f>
        <v>3 years</v>
      </c>
      <c r="F91" s="63" t="str">
        <f aca="false">IF('Onshore - Sydney'!D655="","Belum tercatat",'Onshore - Sydney'!D655)</f>
        <v>Term</v>
      </c>
      <c r="G91" s="65" t="n">
        <f aca="false">IF('Onshore - Sydney'!E655="","-",'Onshore - Sydney'!E655)</f>
        <v>4000</v>
      </c>
      <c r="H91" s="63" t="n">
        <f aca="false">IF(ISNUMBER(K91),COUNTIFS($J$6:$J$1916,J91,$K$6:$K$1916,"&lt;"&amp;K91)+1,"-")</f>
        <v>5</v>
      </c>
      <c r="I91" s="64" t="str">
        <f aca="false">IF('Onshore - Sydney'!E655="","Harga belum tersedia - hubungi konsultan TEG",IF(M91=2,"Saat ini tidak menerima pendaftaran siswa internasional baru",IF(M91=1,"Harga perlu dikonfirmasi ke sekolah"&amp;IF(""="","","; "&amp;""),"")))</f>
        <v>Harga perlu dikonfirmasi ke sekolah</v>
      </c>
      <c r="J91" s="0" t="s">
        <v>3747</v>
      </c>
      <c r="K91" s="0" t="n">
        <f aca="false">IF(M91=2,"",IF(ISNUMBER(SEARCH("rata-rata:",'Onshore - Sydney'!M655)),VALUE(MID('Onshore - Sydney'!M655,SEARCH("rata-rata:",'Onshore - Sydney'!M655)+11,FIND(";",'Onshore - Sydney'!M655&amp;";",SEARCH("rata-rata:",'Onshore - Sydney'!M655))-SEARCH("rata-rata:",'Onshore - Sydney'!M655)-11)),IF('Onshore - Sydney'!D655="Semester",'Onshore - Sydney'!E655*2,IF('Onshore - Sydney'!D655="Trimester",'Onshore - Sydney'!E655*3,IF('Onshore - Sydney'!D655="Term",'Onshore - Sydney'!E655*4,IF('Onshore - Sydney'!D655="Unit",'Onshore - Sydney'!E655*8,""))))))</f>
        <v>16000</v>
      </c>
      <c r="L91" s="0" t="n">
        <f aca="false">IF(AND(ISNUMBER('Onshore - Sydney'!E655),ISNUMBER(K91),ISNUMBER('Onshore - Sydney'!F655),ISNUMBER('Onshore - Sydney'!G655),OR('Onshore - Sydney'!F655&lt;&gt;0,ISNUMBER(SEARCH("Material 0 terverifikasi",'Onshore - Sydney'!M655))),OR('Onshore - Sydney'!G655&lt;&gt;0,ISNUMBER(SEARCH("Enrolment 0 terverifikasi",'Onshore - Sydney'!M655)))),1,0)</f>
        <v>1</v>
      </c>
      <c r="M91" s="0" t="n">
        <f aca="false">IF(OR('Onshore - Sydney'!E655="",ISNUMBER(SEARCH("BSB80120",'Onshore - Sydney'!B655&amp;'Onshore - Sydney'!M655)),ISNUMBER(SEARCH("Management (Learning)",'Onshore - Sydney'!B655))),2,IF(ISNUMBER(SEARCH("CEK:",'Onshore - Sydney'!M655)),1,0))</f>
        <v>1</v>
      </c>
    </row>
    <row r="92" customFormat="false" ht="15" hidden="false" customHeight="false" outlineLevel="0" collapsed="false">
      <c r="A92" s="63" t="s">
        <v>3533</v>
      </c>
      <c r="B92" s="64" t="s">
        <v>3698</v>
      </c>
      <c r="C92" s="63" t="s">
        <v>43</v>
      </c>
      <c r="D92" s="64" t="str">
        <f aca="false">TRIM(LEFT('Onshore - Sydney'!A796,FIND(CHAR(10),'Onshore - Sydney'!A796&amp;CHAR(10))-1))</f>
        <v>TAFE NSW</v>
      </c>
      <c r="E92" s="63" t="str">
        <f aca="false">'Onshore - Sydney'!C801&amp;""</f>
        <v>3 years</v>
      </c>
      <c r="F92" s="63" t="str">
        <f aca="false">IF('Onshore - Sydney'!D801="","Belum tercatat",'Onshore - Sydney'!D801)</f>
        <v>Term</v>
      </c>
      <c r="G92" s="65" t="n">
        <f aca="false">IF('Onshore - Sydney'!E801="","-",'Onshore - Sydney'!E801)</f>
        <v>4340</v>
      </c>
      <c r="H92" s="63" t="n">
        <f aca="false">IF(ISNUMBER(K92),COUNTIFS($J$6:$J$1916,J92,$K$6:$K$1916,"&lt;"&amp;K92)+1,"-")</f>
        <v>6</v>
      </c>
      <c r="I92" s="64" t="str">
        <f aca="false">IF('Onshore - Sydney'!E801="","Harga belum tersedia - hubungi konsultan TEG",IF(M92=2,"Saat ini tidak menerima pendaftaran siswa internasional baru",IF(M92=1,"Harga perlu dikonfirmasi ke sekolah"&amp;IF(""="","","; "&amp;""),"")))</f>
        <v/>
      </c>
      <c r="J92" s="0" t="s">
        <v>3747</v>
      </c>
      <c r="K92" s="0" t="n">
        <f aca="false">IF(M92=2,"",IF(ISNUMBER(SEARCH("rata-rata:",'Onshore - Sydney'!M801)),VALUE(MID('Onshore - Sydney'!M801,SEARCH("rata-rata:",'Onshore - Sydney'!M801)+11,FIND(";",'Onshore - Sydney'!M801&amp;";",SEARCH("rata-rata:",'Onshore - Sydney'!M801))-SEARCH("rata-rata:",'Onshore - Sydney'!M801)-11)),IF('Onshore - Sydney'!D801="Semester",'Onshore - Sydney'!E801*2,IF('Onshore - Sydney'!D801="Trimester",'Onshore - Sydney'!E801*3,IF('Onshore - Sydney'!D801="Term",'Onshore - Sydney'!E801*4,IF('Onshore - Sydney'!D801="Unit",'Onshore - Sydney'!E801*8,""))))))</f>
        <v>17360</v>
      </c>
      <c r="L92" s="0" t="n">
        <f aca="false">IF(AND(ISNUMBER('Onshore - Sydney'!E801),ISNUMBER(K92),ISNUMBER('Onshore - Sydney'!F801),ISNUMBER('Onshore - Sydney'!G801),OR('Onshore - Sydney'!F801&lt;&gt;0,ISNUMBER(SEARCH("Material 0 terverifikasi",'Onshore - Sydney'!M801))),OR('Onshore - Sydney'!G801&lt;&gt;0,ISNUMBER(SEARCH("Enrolment 0 terverifikasi",'Onshore - Sydney'!M801)))),1,0)</f>
        <v>0</v>
      </c>
      <c r="M92" s="0" t="n">
        <f aca="false">IF(OR('Onshore - Sydney'!E801="",ISNUMBER(SEARCH("BSB80120",'Onshore - Sydney'!B801&amp;'Onshore - Sydney'!M801)),ISNUMBER(SEARCH("Management (Learning)",'Onshore - Sydney'!B801))),2,IF(ISNUMBER(SEARCH("CEK:",'Onshore - Sydney'!M801)),1,0))</f>
        <v>0</v>
      </c>
    </row>
    <row r="93" customFormat="false" ht="15" hidden="false" customHeight="false" outlineLevel="0" collapsed="false">
      <c r="A93" s="63" t="s">
        <v>3533</v>
      </c>
      <c r="B93" s="64" t="s">
        <v>3698</v>
      </c>
      <c r="C93" s="63" t="s">
        <v>43</v>
      </c>
      <c r="D93" s="64" t="str">
        <f aca="false">TRIM(LEFT('Onshore - Sydney'!A567,FIND(CHAR(10),'Onshore - Sydney'!A567&amp;CHAR(10))-1))</f>
        <v>Kent Institute Australia</v>
      </c>
      <c r="E93" s="63" t="str">
        <f aca="false">'Onshore - Sydney'!C567&amp;""</f>
        <v>3 years</v>
      </c>
      <c r="F93" s="63" t="str">
        <f aca="false">IF('Onshore - Sydney'!D567="","Belum tercatat",'Onshore - Sydney'!D567)</f>
        <v>Trimester</v>
      </c>
      <c r="G93" s="65" t="n">
        <f aca="false">IF('Onshore - Sydney'!E567="","-",'Onshore - Sydney'!E567)</f>
        <v>5800</v>
      </c>
      <c r="H93" s="63" t="n">
        <f aca="false">IF(ISNUMBER(K93),COUNTIFS($J$6:$J$1916,J93,$K$6:$K$1916,"&lt;"&amp;K93)+1,"-")</f>
        <v>7</v>
      </c>
      <c r="I93" s="64" t="str">
        <f aca="false">IF('Onshore - Sydney'!E567="","Harga belum tersedia - hubungi konsultan TEG",IF(M93=2,"Saat ini tidak menerima pendaftaran siswa internasional baru",IF(M93=1,"Harga perlu dikonfirmasi ke sekolah"&amp;IF(""="","","; "&amp;""),"")))</f>
        <v>Harga perlu dikonfirmasi ke sekolah</v>
      </c>
      <c r="J93" s="0" t="s">
        <v>3747</v>
      </c>
      <c r="K93" s="0" t="n">
        <f aca="false">IF(M93=2,"",IF(ISNUMBER(SEARCH("rata-rata:",'Onshore - Sydney'!M567)),VALUE(MID('Onshore - Sydney'!M567,SEARCH("rata-rata:",'Onshore - Sydney'!M567)+11,FIND(";",'Onshore - Sydney'!M567&amp;";",SEARCH("rata-rata:",'Onshore - Sydney'!M567))-SEARCH("rata-rata:",'Onshore - Sydney'!M567)-11)),IF('Onshore - Sydney'!D567="Semester",'Onshore - Sydney'!E567*2,IF('Onshore - Sydney'!D567="Trimester",'Onshore - Sydney'!E567*3,IF('Onshore - Sydney'!D567="Term",'Onshore - Sydney'!E567*4,IF('Onshore - Sydney'!D567="Unit",'Onshore - Sydney'!E567*8,""))))))</f>
        <v>17400</v>
      </c>
      <c r="L93" s="0" t="n">
        <f aca="false">IF(AND(ISNUMBER('Onshore - Sydney'!E567),ISNUMBER(K93),ISNUMBER('Onshore - Sydney'!F567),ISNUMBER('Onshore - Sydney'!G567),OR('Onshore - Sydney'!F567&lt;&gt;0,ISNUMBER(SEARCH("Material 0 terverifikasi",'Onshore - Sydney'!M567))),OR('Onshore - Sydney'!G567&lt;&gt;0,ISNUMBER(SEARCH("Enrolment 0 terverifikasi",'Onshore - Sydney'!M567)))),1,0)</f>
        <v>0</v>
      </c>
      <c r="M93" s="0" t="n">
        <f aca="false">IF(OR('Onshore - Sydney'!E567="",ISNUMBER(SEARCH("BSB80120",'Onshore - Sydney'!B567&amp;'Onshore - Sydney'!M567)),ISNUMBER(SEARCH("Management (Learning)",'Onshore - Sydney'!B567))),2,IF(ISNUMBER(SEARCH("CEK:",'Onshore - Sydney'!M567)),1,0))</f>
        <v>1</v>
      </c>
    </row>
    <row r="94" customFormat="false" ht="15" hidden="false" customHeight="false" outlineLevel="0" collapsed="false">
      <c r="A94" s="63" t="s">
        <v>3533</v>
      </c>
      <c r="B94" s="64" t="s">
        <v>3698</v>
      </c>
      <c r="C94" s="63" t="s">
        <v>43</v>
      </c>
      <c r="D94" s="64" t="str">
        <f aca="false">TRIM(LEFT('Onshore - Sydney'!A163,FIND(CHAR(10),'Onshore - Sydney'!A163&amp;CHAR(10))-1))</f>
        <v>Australian Catholic University (ACU)</v>
      </c>
      <c r="E94" s="63" t="str">
        <f aca="false">'Onshore - Sydney'!C163&amp;""</f>
        <v>3 years</v>
      </c>
      <c r="F94" s="63" t="str">
        <f aca="false">IF('Onshore - Sydney'!D163="","Belum tercatat",'Onshore - Sydney'!D163)</f>
        <v>Term</v>
      </c>
      <c r="G94" s="65" t="n">
        <f aca="false">IF('Onshore - Sydney'!E163="","-",'Onshore - Sydney'!E163)</f>
        <v>8742</v>
      </c>
      <c r="H94" s="63" t="n">
        <f aca="false">IF(ISNUMBER(K94),COUNTIFS($J$6:$J$1916,J94,$K$6:$K$1916,"&lt;"&amp;K94)+1,"-")</f>
        <v>8</v>
      </c>
      <c r="I94" s="64" t="str">
        <f aca="false">IF('Onshore - Sydney'!E163="","Harga belum tersedia - hubungi konsultan TEG",IF(M94=2,"Saat ini tidak menerima pendaftaran siswa internasional baru",IF(M94=1,"Harga perlu dikonfirmasi ke sekolah"&amp;IF(""="","","; "&amp;""),"")))</f>
        <v/>
      </c>
      <c r="J94" s="0" t="s">
        <v>3747</v>
      </c>
      <c r="K94" s="0" t="n">
        <f aca="false">IF(M94=2,"",IF(ISNUMBER(SEARCH("rata-rata:",'Onshore - Sydney'!M163)),VALUE(MID('Onshore - Sydney'!M163,SEARCH("rata-rata:",'Onshore - Sydney'!M163)+11,FIND(";",'Onshore - Sydney'!M163&amp;";",SEARCH("rata-rata:",'Onshore - Sydney'!M163))-SEARCH("rata-rata:",'Onshore - Sydney'!M163)-11)),IF('Onshore - Sydney'!D163="Semester",'Onshore - Sydney'!E163*2,IF('Onshore - Sydney'!D163="Trimester",'Onshore - Sydney'!E163*3,IF('Onshore - Sydney'!D163="Term",'Onshore - Sydney'!E163*4,IF('Onshore - Sydney'!D163="Unit",'Onshore - Sydney'!E163*8,""))))))</f>
        <v>34968</v>
      </c>
      <c r="L94" s="0" t="n">
        <f aca="false">IF(AND(ISNUMBER('Onshore - Sydney'!E163),ISNUMBER(K94),ISNUMBER('Onshore - Sydney'!F163),ISNUMBER('Onshore - Sydney'!G163),OR('Onshore - Sydney'!F163&lt;&gt;0,ISNUMBER(SEARCH("Material 0 terverifikasi",'Onshore - Sydney'!M163))),OR('Onshore - Sydney'!G163&lt;&gt;0,ISNUMBER(SEARCH("Enrolment 0 terverifikasi",'Onshore - Sydney'!M163)))),1,0)</f>
        <v>0</v>
      </c>
      <c r="M94" s="0" t="n">
        <f aca="false">IF(OR('Onshore - Sydney'!E163="",ISNUMBER(SEARCH("BSB80120",'Onshore - Sydney'!B163&amp;'Onshore - Sydney'!M163)),ISNUMBER(SEARCH("Management (Learning)",'Onshore - Sydney'!B163))),2,IF(ISNUMBER(SEARCH("CEK:",'Onshore - Sydney'!M163)),1,0))</f>
        <v>0</v>
      </c>
    </row>
    <row r="95" customFormat="false" ht="15" hidden="false" customHeight="false" outlineLevel="0" collapsed="false">
      <c r="A95" s="63" t="s">
        <v>3533</v>
      </c>
      <c r="B95" s="64" t="s">
        <v>3698</v>
      </c>
      <c r="C95" s="63" t="s">
        <v>43</v>
      </c>
      <c r="D95" s="64" t="str">
        <f aca="false">TRIM(LEFT('Onshore - Sydney'!A1062,FIND(CHAR(10),'Onshore - Sydney'!A1062&amp;CHAR(10))-1))</f>
        <v>Western Sydney University</v>
      </c>
      <c r="E95" s="63" t="str">
        <f aca="false">'Onshore - Sydney'!C1069&amp;""</f>
        <v>3 years</v>
      </c>
      <c r="F95" s="63" t="str">
        <f aca="false">IF('Onshore - Sydney'!D1069="","Belum tercatat",'Onshore - Sydney'!D1069)</f>
        <v>Term</v>
      </c>
      <c r="G95" s="65" t="n">
        <f aca="false">IF('Onshore - Sydney'!E1069="","-",'Onshore - Sydney'!E1069)</f>
        <v>8967</v>
      </c>
      <c r="H95" s="63" t="n">
        <f aca="false">IF(ISNUMBER(K95),COUNTIFS($J$6:$J$1916,J95,$K$6:$K$1916,"&lt;"&amp;K95)+1,"-")</f>
        <v>9</v>
      </c>
      <c r="I95" s="64" t="str">
        <f aca="false">IF('Onshore - Sydney'!E1069="","Harga belum tersedia - hubungi konsultan TEG",IF(M95=2,"Saat ini tidak menerima pendaftaran siswa internasional baru",IF(M95=1,"Harga perlu dikonfirmasi ke sekolah"&amp;IF(""="","","; "&amp;""),"")))</f>
        <v/>
      </c>
      <c r="J95" s="0" t="s">
        <v>3747</v>
      </c>
      <c r="K95" s="0" t="n">
        <f aca="false">IF(M95=2,"",IF(ISNUMBER(SEARCH("rata-rata:",'Onshore - Sydney'!M1069)),VALUE(MID('Onshore - Sydney'!M1069,SEARCH("rata-rata:",'Onshore - Sydney'!M1069)+11,FIND(";",'Onshore - Sydney'!M1069&amp;";",SEARCH("rata-rata:",'Onshore - Sydney'!M1069))-SEARCH("rata-rata:",'Onshore - Sydney'!M1069)-11)),IF('Onshore - Sydney'!D1069="Semester",'Onshore - Sydney'!E1069*2,IF('Onshore - Sydney'!D1069="Trimester",'Onshore - Sydney'!E1069*3,IF('Onshore - Sydney'!D1069="Term",'Onshore - Sydney'!E1069*4,IF('Onshore - Sydney'!D1069="Unit",'Onshore - Sydney'!E1069*8,""))))))</f>
        <v>35868</v>
      </c>
      <c r="L95" s="0" t="n">
        <f aca="false">IF(AND(ISNUMBER('Onshore - Sydney'!E1069),ISNUMBER(K95),ISNUMBER('Onshore - Sydney'!F1069),ISNUMBER('Onshore - Sydney'!G1069),OR('Onshore - Sydney'!F1069&lt;&gt;0,ISNUMBER(SEARCH("Material 0 terverifikasi",'Onshore - Sydney'!M1069))),OR('Onshore - Sydney'!G1069&lt;&gt;0,ISNUMBER(SEARCH("Enrolment 0 terverifikasi",'Onshore - Sydney'!M1069)))),1,0)</f>
        <v>0</v>
      </c>
      <c r="M95" s="0" t="n">
        <f aca="false">IF(OR('Onshore - Sydney'!E1069="",ISNUMBER(SEARCH("BSB80120",'Onshore - Sydney'!B1069&amp;'Onshore - Sydney'!M1069)),ISNUMBER(SEARCH("Management (Learning)",'Onshore - Sydney'!B1069))),2,IF(ISNUMBER(SEARCH("CEK:",'Onshore - Sydney'!M1069)),1,0))</f>
        <v>0</v>
      </c>
    </row>
    <row r="96" customFormat="false" ht="15" hidden="false" customHeight="false" outlineLevel="0" collapsed="false">
      <c r="A96" s="61" t="s">
        <v>3748</v>
      </c>
      <c r="B96" s="62"/>
      <c r="C96" s="62"/>
      <c r="D96" s="62"/>
      <c r="E96" s="62"/>
      <c r="F96" s="62"/>
      <c r="G96" s="62"/>
      <c r="H96" s="62"/>
      <c r="I96" s="62"/>
    </row>
    <row r="97" customFormat="false" ht="15" hidden="false" customHeight="false" outlineLevel="0" collapsed="false">
      <c r="A97" s="63" t="s">
        <v>3533</v>
      </c>
      <c r="B97" s="64" t="s">
        <v>3698</v>
      </c>
      <c r="C97" s="63" t="s">
        <v>3707</v>
      </c>
      <c r="D97" s="64" t="str">
        <f aca="false">TRIM(LEFT('Onshore - Sydney'!A866,FIND(CHAR(10),'Onshore - Sydney'!A866&amp;CHAR(10))-1))</f>
        <v>The Institute of International Studies (TIIS)</v>
      </c>
      <c r="E97" s="63" t="str">
        <f aca="false">'Onshore - Sydney'!C868&amp;""</f>
        <v>0,5 years</v>
      </c>
      <c r="F97" s="63" t="str">
        <f aca="false">IF('Onshore - Sydney'!D868="","Belum tercatat",'Onshore - Sydney'!D868)</f>
        <v>Term</v>
      </c>
      <c r="G97" s="65" t="n">
        <f aca="false">IF('Onshore - Sydney'!E868="","-",'Onshore - Sydney'!E868)</f>
        <v>4100</v>
      </c>
      <c r="H97" s="63" t="n">
        <f aca="false">IF(ISNUMBER(K97),COUNTIFS($J$6:$J$1916,J97,$K$6:$K$1916,"&lt;"&amp;K97)+1,"-")</f>
        <v>1</v>
      </c>
      <c r="I97" s="64" t="str">
        <f aca="false">IF('Onshore - Sydney'!E868="","Harga belum tersedia - hubungi konsultan TEG",IF(M97=2,"Saat ini tidak menerima pendaftaran siswa internasional baru",IF(M97=1,"Harga perlu dikonfirmasi ke sekolah"&amp;IF(""="","","; "&amp;""),"")))</f>
        <v/>
      </c>
      <c r="J97" s="0" t="s">
        <v>3749</v>
      </c>
      <c r="K97" s="0" t="n">
        <f aca="false">IF(M97=2,"",IF(ISNUMBER(SEARCH("rata-rata:",'Onshore - Sydney'!M868)),VALUE(MID('Onshore - Sydney'!M868,SEARCH("rata-rata:",'Onshore - Sydney'!M868)+11,FIND(";",'Onshore - Sydney'!M868&amp;";",SEARCH("rata-rata:",'Onshore - Sydney'!M868))-SEARCH("rata-rata:",'Onshore - Sydney'!M868)-11)),IF('Onshore - Sydney'!D868="Semester",'Onshore - Sydney'!E868*2,IF('Onshore - Sydney'!D868="Trimester",'Onshore - Sydney'!E868*3,IF('Onshore - Sydney'!D868="Term",'Onshore - Sydney'!E868*4,IF('Onshore - Sydney'!D868="Unit",'Onshore - Sydney'!E868*8,""))))))</f>
        <v>16400</v>
      </c>
      <c r="L97" s="0" t="n">
        <f aca="false">IF(AND(ISNUMBER('Onshore - Sydney'!E868),ISNUMBER(K97),ISNUMBER('Onshore - Sydney'!F868),ISNUMBER('Onshore - Sydney'!G868),OR('Onshore - Sydney'!F868&lt;&gt;0,ISNUMBER(SEARCH("Material 0 terverifikasi",'Onshore - Sydney'!M868))),OR('Onshore - Sydney'!G868&lt;&gt;0,ISNUMBER(SEARCH("Enrolment 0 terverifikasi",'Onshore - Sydney'!M868)))),1,0)</f>
        <v>0</v>
      </c>
      <c r="M97" s="0" t="n">
        <f aca="false">IF(OR('Onshore - Sydney'!E868="",ISNUMBER(SEARCH("BSB80120",'Onshore - Sydney'!B868&amp;'Onshore - Sydney'!M868)),ISNUMBER(SEARCH("Management (Learning)",'Onshore - Sydney'!B868))),2,IF(ISNUMBER(SEARCH("CEK:",'Onshore - Sydney'!M868)),1,0))</f>
        <v>0</v>
      </c>
    </row>
    <row r="98" customFormat="false" ht="15" hidden="false" customHeight="false" outlineLevel="0" collapsed="false">
      <c r="A98" s="63" t="s">
        <v>3533</v>
      </c>
      <c r="B98" s="64" t="s">
        <v>3698</v>
      </c>
      <c r="C98" s="63" t="s">
        <v>3707</v>
      </c>
      <c r="D98" s="64" t="str">
        <f aca="false">TRIM(LEFT('Onshore - Sydney'!A1062,FIND(CHAR(10),'Onshore - Sydney'!A1062&amp;CHAR(10))-1))</f>
        <v>Western Sydney University</v>
      </c>
      <c r="E98" s="63" t="str">
        <f aca="false">'Onshore - Sydney'!C1157&amp;""</f>
        <v>0,5 year</v>
      </c>
      <c r="F98" s="63" t="str">
        <f aca="false">IF('Onshore - Sydney'!D1157="","Belum tercatat",'Onshore - Sydney'!D1157)</f>
        <v>Term</v>
      </c>
      <c r="G98" s="65" t="n">
        <f aca="false">IF('Onshore - Sydney'!E1157="","-",'Onshore - Sydney'!E1157)</f>
        <v>4918</v>
      </c>
      <c r="H98" s="63" t="n">
        <f aca="false">IF(ISNUMBER(K98),COUNTIFS($J$6:$J$1916,J98,$K$6:$K$1916,"&lt;"&amp;K98)+1,"-")</f>
        <v>2</v>
      </c>
      <c r="I98" s="64" t="str">
        <f aca="false">IF('Onshore - Sydney'!E1157="","Harga belum tersedia - hubungi konsultan TEG",IF(M98=2,"Saat ini tidak menerima pendaftaran siswa internasional baru",IF(M98=1,"Harga perlu dikonfirmasi ke sekolah"&amp;IF(""="","","; "&amp;""),"")))</f>
        <v/>
      </c>
      <c r="J98" s="0" t="s">
        <v>3749</v>
      </c>
      <c r="K98" s="0" t="n">
        <f aca="false">IF(M98=2,"",IF(ISNUMBER(SEARCH("rata-rata:",'Onshore - Sydney'!M1157)),VALUE(MID('Onshore - Sydney'!M1157,SEARCH("rata-rata:",'Onshore - Sydney'!M1157)+11,FIND(";",'Onshore - Sydney'!M1157&amp;";",SEARCH("rata-rata:",'Onshore - Sydney'!M1157))-SEARCH("rata-rata:",'Onshore - Sydney'!M1157)-11)),IF('Onshore - Sydney'!D1157="Semester",'Onshore - Sydney'!E1157*2,IF('Onshore - Sydney'!D1157="Trimester",'Onshore - Sydney'!E1157*3,IF('Onshore - Sydney'!D1157="Term",'Onshore - Sydney'!E1157*4,IF('Onshore - Sydney'!D1157="Unit",'Onshore - Sydney'!E1157*8,""))))))</f>
        <v>19672</v>
      </c>
      <c r="L98" s="0" t="n">
        <f aca="false">IF(AND(ISNUMBER('Onshore - Sydney'!E1157),ISNUMBER(K98),ISNUMBER('Onshore - Sydney'!F1157),ISNUMBER('Onshore - Sydney'!G1157),OR('Onshore - Sydney'!F1157&lt;&gt;0,ISNUMBER(SEARCH("Material 0 terverifikasi",'Onshore - Sydney'!M1157))),OR('Onshore - Sydney'!G1157&lt;&gt;0,ISNUMBER(SEARCH("Enrolment 0 terverifikasi",'Onshore - Sydney'!M1157)))),1,0)</f>
        <v>0</v>
      </c>
      <c r="M98" s="0" t="n">
        <f aca="false">IF(OR('Onshore - Sydney'!E1157="",ISNUMBER(SEARCH("BSB80120",'Onshore - Sydney'!B1157&amp;'Onshore - Sydney'!M1157)),ISNUMBER(SEARCH("Management (Learning)",'Onshore - Sydney'!B1157))),2,IF(ISNUMBER(SEARCH("CEK:",'Onshore - Sydney'!M1157)),1,0))</f>
        <v>0</v>
      </c>
    </row>
    <row r="99" customFormat="false" ht="15" hidden="false" customHeight="false" outlineLevel="0" collapsed="false">
      <c r="A99" s="63" t="s">
        <v>3533</v>
      </c>
      <c r="B99" s="64" t="s">
        <v>3698</v>
      </c>
      <c r="C99" s="63" t="s">
        <v>3707</v>
      </c>
      <c r="D99" s="64" t="str">
        <f aca="false">TRIM(LEFT('Onshore - Sydney'!A552,FIND(CHAR(10),'Onshore - Sydney'!A552&amp;CHAR(10))-1))</f>
        <v>Kaplan Business School</v>
      </c>
      <c r="E99" s="63" t="str">
        <f aca="false">'Onshore - Sydney'!C557&amp;""</f>
        <v>0,5 year</v>
      </c>
      <c r="F99" s="63" t="str">
        <f aca="false">IF('Onshore - Sydney'!D557="","Belum tercatat",'Onshore - Sydney'!D557)</f>
        <v>Trimester</v>
      </c>
      <c r="G99" s="65" t="n">
        <f aca="false">IF('Onshore - Sydney'!E557="","-",'Onshore - Sydney'!E557)</f>
        <v>13600</v>
      </c>
      <c r="H99" s="63" t="n">
        <f aca="false">IF(ISNUMBER(K99),COUNTIFS($J$6:$J$1916,J99,$K$6:$K$1916,"&lt;"&amp;K99)+1,"-")</f>
        <v>3</v>
      </c>
      <c r="I99" s="64" t="str">
        <f aca="false">IF('Onshore - Sydney'!E557="","Harga belum tersedia - hubungi konsultan TEG",IF(M99=2,"Saat ini tidak menerima pendaftaran siswa internasional baru",IF(M99=1,"Harga perlu dikonfirmasi ke sekolah"&amp;IF(""="","","; "&amp;""),"")))</f>
        <v>Harga perlu dikonfirmasi ke sekolah</v>
      </c>
      <c r="J99" s="0" t="s">
        <v>3749</v>
      </c>
      <c r="K99" s="0" t="n">
        <f aca="false">IF(M99=2,"",IF(ISNUMBER(SEARCH("rata-rata:",'Onshore - Sydney'!M557)),VALUE(MID('Onshore - Sydney'!M557,SEARCH("rata-rata:",'Onshore - Sydney'!M557)+11,FIND(";",'Onshore - Sydney'!M557&amp;";",SEARCH("rata-rata:",'Onshore - Sydney'!M557))-SEARCH("rata-rata:",'Onshore - Sydney'!M557)-11)),IF('Onshore - Sydney'!D557="Semester",'Onshore - Sydney'!E557*2,IF('Onshore - Sydney'!D557="Trimester",'Onshore - Sydney'!E557*3,IF('Onshore - Sydney'!D557="Term",'Onshore - Sydney'!E557*4,IF('Onshore - Sydney'!D557="Unit",'Onshore - Sydney'!E557*8,""))))))</f>
        <v>40800</v>
      </c>
      <c r="L99" s="0" t="n">
        <f aca="false">IF(AND(ISNUMBER('Onshore - Sydney'!E557),ISNUMBER(K99),ISNUMBER('Onshore - Sydney'!F557),ISNUMBER('Onshore - Sydney'!G557),OR('Onshore - Sydney'!F557&lt;&gt;0,ISNUMBER(SEARCH("Material 0 terverifikasi",'Onshore - Sydney'!M557))),OR('Onshore - Sydney'!G557&lt;&gt;0,ISNUMBER(SEARCH("Enrolment 0 terverifikasi",'Onshore - Sydney'!M557)))),1,0)</f>
        <v>1</v>
      </c>
      <c r="M99" s="0" t="n">
        <f aca="false">IF(OR('Onshore - Sydney'!E557="",ISNUMBER(SEARCH("BSB80120",'Onshore - Sydney'!B557&amp;'Onshore - Sydney'!M557)),ISNUMBER(SEARCH("Management (Learning)",'Onshore - Sydney'!B557))),2,IF(ISNUMBER(SEARCH("CEK:",'Onshore - Sydney'!M557)),1,0))</f>
        <v>1</v>
      </c>
    </row>
    <row r="100" customFormat="false" ht="15" hidden="false" customHeight="false" outlineLevel="0" collapsed="false">
      <c r="A100" s="61" t="s">
        <v>3750</v>
      </c>
      <c r="B100" s="62"/>
      <c r="C100" s="62"/>
      <c r="D100" s="62"/>
      <c r="E100" s="62"/>
      <c r="F100" s="62"/>
      <c r="G100" s="62"/>
      <c r="H100" s="62"/>
      <c r="I100" s="62"/>
    </row>
    <row r="101" customFormat="false" ht="15" hidden="false" customHeight="false" outlineLevel="0" collapsed="false">
      <c r="A101" s="63" t="s">
        <v>3533</v>
      </c>
      <c r="B101" s="64" t="s">
        <v>3698</v>
      </c>
      <c r="C101" s="63" t="s">
        <v>46</v>
      </c>
      <c r="D101" s="64" t="str">
        <f aca="false">TRIM(LEFT('Onshore - Sydney'!A422,FIND(CHAR(10),'Onshore - Sydney'!A422&amp;CHAR(10))-1))</f>
        <v>CIHE Australia</v>
      </c>
      <c r="E101" s="63" t="str">
        <f aca="false">'Onshore - Sydney'!C428&amp;""</f>
        <v>1,5 years</v>
      </c>
      <c r="F101" s="63" t="str">
        <f aca="false">IF('Onshore - Sydney'!D428="","Belum tercatat",'Onshore - Sydney'!D428)</f>
        <v>Term</v>
      </c>
      <c r="G101" s="65" t="n">
        <f aca="false">IF('Onshore - Sydney'!E428="","-",'Onshore - Sydney'!E428)</f>
        <v>3850</v>
      </c>
      <c r="H101" s="63" t="n">
        <f aca="false">IF(ISNUMBER(K101),COUNTIFS($J$6:$J$1916,J101,$K$6:$K$1916,"&lt;"&amp;K101)+1,"-")</f>
        <v>1</v>
      </c>
      <c r="I101" s="64" t="str">
        <f aca="false">IF('Onshore - Sydney'!E428="","Harga belum tersedia - hubungi konsultan TEG",IF(M101=2,"Saat ini tidak menerima pendaftaran siswa internasional baru",IF(M101=1,"Harga perlu dikonfirmasi ke sekolah"&amp;IF(""="","","; "&amp;""),"")))</f>
        <v>Harga perlu dikonfirmasi ke sekolah</v>
      </c>
      <c r="J101" s="0" t="s">
        <v>3751</v>
      </c>
      <c r="K101" s="0" t="n">
        <f aca="false">IF(M101=2,"",IF(ISNUMBER(SEARCH("rata-rata:",'Onshore - Sydney'!M428)),VALUE(MID('Onshore - Sydney'!M428,SEARCH("rata-rata:",'Onshore - Sydney'!M428)+11,FIND(";",'Onshore - Sydney'!M428&amp;";",SEARCH("rata-rata:",'Onshore - Sydney'!M428))-SEARCH("rata-rata:",'Onshore - Sydney'!M428)-11)),IF('Onshore - Sydney'!D428="Semester",'Onshore - Sydney'!E428*2,IF('Onshore - Sydney'!D428="Trimester",'Onshore - Sydney'!E428*3,IF('Onshore - Sydney'!D428="Term",'Onshore - Sydney'!E428*4,IF('Onshore - Sydney'!D428="Unit",'Onshore - Sydney'!E428*8,""))))))</f>
        <v>15400</v>
      </c>
      <c r="L101" s="0" t="n">
        <f aca="false">IF(AND(ISNUMBER('Onshore - Sydney'!E428),ISNUMBER(K101),ISNUMBER('Onshore - Sydney'!F428),ISNUMBER('Onshore - Sydney'!G428),OR('Onshore - Sydney'!F428&lt;&gt;0,ISNUMBER(SEARCH("Material 0 terverifikasi",'Onshore - Sydney'!M428))),OR('Onshore - Sydney'!G428&lt;&gt;0,ISNUMBER(SEARCH("Enrolment 0 terverifikasi",'Onshore - Sydney'!M428)))),1,0)</f>
        <v>1</v>
      </c>
      <c r="M101" s="0" t="n">
        <f aca="false">IF(OR('Onshore - Sydney'!E428="",ISNUMBER(SEARCH("BSB80120",'Onshore - Sydney'!B428&amp;'Onshore - Sydney'!M428)),ISNUMBER(SEARCH("Management (Learning)",'Onshore - Sydney'!B428))),2,IF(ISNUMBER(SEARCH("CEK:",'Onshore - Sydney'!M428)),1,0))</f>
        <v>1</v>
      </c>
    </row>
    <row r="102" customFormat="false" ht="15" hidden="false" customHeight="false" outlineLevel="0" collapsed="false">
      <c r="A102" s="63" t="s">
        <v>3533</v>
      </c>
      <c r="B102" s="64" t="s">
        <v>3698</v>
      </c>
      <c r="C102" s="63" t="s">
        <v>46</v>
      </c>
      <c r="D102" s="64" t="str">
        <f aca="false">TRIM(LEFT('Onshore - Sydney'!A74,FIND(CHAR(10),'Onshore - Sydney'!A74&amp;CHAR(10))-1))</f>
        <v>AIBI Higher Education</v>
      </c>
      <c r="E102" s="63" t="str">
        <f aca="false">'Onshore - Sydney'!C82&amp;""</f>
        <v>2 years</v>
      </c>
      <c r="F102" s="63" t="str">
        <f aca="false">IF('Onshore - Sydney'!D82="","Belum tercatat",'Onshore - Sydney'!D82)</f>
        <v>Term</v>
      </c>
      <c r="G102" s="65" t="n">
        <f aca="false">IF('Onshore - Sydney'!E82="","-",'Onshore - Sydney'!E82)</f>
        <v>4050</v>
      </c>
      <c r="H102" s="63" t="n">
        <f aca="false">IF(ISNUMBER(K102),COUNTIFS($J$6:$J$1916,J102,$K$6:$K$1916,"&lt;"&amp;K102)+1,"-")</f>
        <v>2</v>
      </c>
      <c r="I102" s="64" t="str">
        <f aca="false">IF('Onshore - Sydney'!E82="","Harga belum tersedia - hubungi konsultan TEG",IF(M102=2,"Saat ini tidak menerima pendaftaran siswa internasional baru",IF(M102=1,"Harga perlu dikonfirmasi ke sekolah"&amp;IF(""="","","; "&amp;""),"")))</f>
        <v>Harga perlu dikonfirmasi ke sekolah</v>
      </c>
      <c r="J102" s="0" t="s">
        <v>3751</v>
      </c>
      <c r="K102" s="0" t="n">
        <f aca="false">IF(M102=2,"",IF(ISNUMBER(SEARCH("rata-rata:",'Onshore - Sydney'!M82)),VALUE(MID('Onshore - Sydney'!M82,SEARCH("rata-rata:",'Onshore - Sydney'!M82)+11,FIND(";",'Onshore - Sydney'!M82&amp;";",SEARCH("rata-rata:",'Onshore - Sydney'!M82))-SEARCH("rata-rata:",'Onshore - Sydney'!M82)-11)),IF('Onshore - Sydney'!D82="Semester",'Onshore - Sydney'!E82*2,IF('Onshore - Sydney'!D82="Trimester",'Onshore - Sydney'!E82*3,IF('Onshore - Sydney'!D82="Term",'Onshore - Sydney'!E82*4,IF('Onshore - Sydney'!D82="Unit",'Onshore - Sydney'!E82*8,""))))))</f>
        <v>16200</v>
      </c>
      <c r="L102" s="0" t="n">
        <f aca="false">IF(AND(ISNUMBER('Onshore - Sydney'!E82),ISNUMBER(K102),ISNUMBER('Onshore - Sydney'!F82),ISNUMBER('Onshore - Sydney'!G82),OR('Onshore - Sydney'!F82&lt;&gt;0,ISNUMBER(SEARCH("Material 0 terverifikasi",'Onshore - Sydney'!M82))),OR('Onshore - Sydney'!G82&lt;&gt;0,ISNUMBER(SEARCH("Enrolment 0 terverifikasi",'Onshore - Sydney'!M82)))),1,0)</f>
        <v>0</v>
      </c>
      <c r="M102" s="0" t="n">
        <f aca="false">IF(OR('Onshore - Sydney'!E82="",ISNUMBER(SEARCH("BSB80120",'Onshore - Sydney'!B82&amp;'Onshore - Sydney'!M82)),ISNUMBER(SEARCH("Management (Learning)",'Onshore - Sydney'!B82))),2,IF(ISNUMBER(SEARCH("CEK:",'Onshore - Sydney'!M82)),1,0))</f>
        <v>1</v>
      </c>
    </row>
    <row r="103" customFormat="false" ht="15" hidden="false" customHeight="false" outlineLevel="0" collapsed="false">
      <c r="A103" s="63" t="s">
        <v>3533</v>
      </c>
      <c r="B103" s="64" t="s">
        <v>3698</v>
      </c>
      <c r="C103" s="63" t="s">
        <v>46</v>
      </c>
      <c r="D103" s="64" t="str">
        <f aca="false">TRIM(LEFT('Onshore - Sydney'!A866,FIND(CHAR(10),'Onshore - Sydney'!A866&amp;CHAR(10))-1))</f>
        <v>The Institute of International Studies (TIIS)</v>
      </c>
      <c r="E103" s="63" t="str">
        <f aca="false">'Onshore - Sydney'!C871&amp;""</f>
        <v>1,5 years</v>
      </c>
      <c r="F103" s="63" t="str">
        <f aca="false">IF('Onshore - Sydney'!D871="","Belum tercatat",'Onshore - Sydney'!D871)</f>
        <v>Term</v>
      </c>
      <c r="G103" s="65" t="n">
        <f aca="false">IF('Onshore - Sydney'!E871="","-",'Onshore - Sydney'!E871)</f>
        <v>4100</v>
      </c>
      <c r="H103" s="63" t="n">
        <f aca="false">IF(ISNUMBER(K103),COUNTIFS($J$6:$J$1916,J103,$K$6:$K$1916,"&lt;"&amp;K103)+1,"-")</f>
        <v>3</v>
      </c>
      <c r="I103" s="64" t="str">
        <f aca="false">IF('Onshore - Sydney'!E871="","Harga belum tersedia - hubungi konsultan TEG",IF(M103=2,"Saat ini tidak menerima pendaftaran siswa internasional baru",IF(M103=1,"Harga perlu dikonfirmasi ke sekolah"&amp;IF(""="","","; "&amp;""),"")))</f>
        <v/>
      </c>
      <c r="J103" s="0" t="s">
        <v>3751</v>
      </c>
      <c r="K103" s="0" t="n">
        <f aca="false">IF(M103=2,"",IF(ISNUMBER(SEARCH("rata-rata:",'Onshore - Sydney'!M871)),VALUE(MID('Onshore - Sydney'!M871,SEARCH("rata-rata:",'Onshore - Sydney'!M871)+11,FIND(";",'Onshore - Sydney'!M871&amp;";",SEARCH("rata-rata:",'Onshore - Sydney'!M871))-SEARCH("rata-rata:",'Onshore - Sydney'!M871)-11)),IF('Onshore - Sydney'!D871="Semester",'Onshore - Sydney'!E871*2,IF('Onshore - Sydney'!D871="Trimester",'Onshore - Sydney'!E871*3,IF('Onshore - Sydney'!D871="Term",'Onshore - Sydney'!E871*4,IF('Onshore - Sydney'!D871="Unit",'Onshore - Sydney'!E871*8,""))))))</f>
        <v>16400</v>
      </c>
      <c r="L103" s="0" t="n">
        <f aca="false">IF(AND(ISNUMBER('Onshore - Sydney'!E871),ISNUMBER(K103),ISNUMBER('Onshore - Sydney'!F871),ISNUMBER('Onshore - Sydney'!G871),OR('Onshore - Sydney'!F871&lt;&gt;0,ISNUMBER(SEARCH("Material 0 terverifikasi",'Onshore - Sydney'!M871))),OR('Onshore - Sydney'!G871&lt;&gt;0,ISNUMBER(SEARCH("Enrolment 0 terverifikasi",'Onshore - Sydney'!M871)))),1,0)</f>
        <v>0</v>
      </c>
      <c r="M103" s="0" t="n">
        <f aca="false">IF(OR('Onshore - Sydney'!E871="",ISNUMBER(SEARCH("BSB80120",'Onshore - Sydney'!B871&amp;'Onshore - Sydney'!M871)),ISNUMBER(SEARCH("Management (Learning)",'Onshore - Sydney'!B871))),2,IF(ISNUMBER(SEARCH("CEK:",'Onshore - Sydney'!M871)),1,0))</f>
        <v>0</v>
      </c>
    </row>
    <row r="104" customFormat="false" ht="28.35" hidden="false" customHeight="false" outlineLevel="0" collapsed="false">
      <c r="A104" s="63" t="s">
        <v>3533</v>
      </c>
      <c r="B104" s="64" t="s">
        <v>3698</v>
      </c>
      <c r="C104" s="63" t="s">
        <v>46</v>
      </c>
      <c r="D104" s="64" t="str">
        <f aca="false">TRIM(LEFT('Onshore - Sydney'!A653,FIND(CHAR(10),'Onshore - Sydney'!A653&amp;CHAR(10))-1))</f>
        <v>National Academy of Professional Studies (NAPS)</v>
      </c>
      <c r="E104" s="63" t="str">
        <f aca="false">'Onshore - Sydney'!C656&amp;""</f>
        <v>2 years</v>
      </c>
      <c r="F104" s="63" t="str">
        <f aca="false">IF('Onshore - Sydney'!D656="","Belum tercatat",'Onshore - Sydney'!D656)</f>
        <v>Term</v>
      </c>
      <c r="G104" s="65" t="n">
        <f aca="false">IF('Onshore - Sydney'!E656="","-",'Onshore - Sydney'!E656)</f>
        <v>4250</v>
      </c>
      <c r="H104" s="63" t="n">
        <f aca="false">IF(ISNUMBER(K104),COUNTIFS($J$6:$J$1916,J104,$K$6:$K$1916,"&lt;"&amp;K104)+1,"-")</f>
        <v>4</v>
      </c>
      <c r="I104" s="64" t="str">
        <f aca="false">IF('Onshore - Sydney'!E656="","Harga belum tersedia - hubungi konsultan TEG",IF(M104=2,"Saat ini tidak menerima pendaftaran siswa internasional baru",IF(M104=1,"Harga perlu dikonfirmasi ke sekolah"&amp;IF(""="","","; "&amp;""),"")))</f>
        <v>Harga perlu dikonfirmasi ke sekolah</v>
      </c>
      <c r="J104" s="0" t="s">
        <v>3751</v>
      </c>
      <c r="K104" s="0" t="n">
        <f aca="false">IF(M104=2,"",IF(ISNUMBER(SEARCH("rata-rata:",'Onshore - Sydney'!M656)),VALUE(MID('Onshore - Sydney'!M656,SEARCH("rata-rata:",'Onshore - Sydney'!M656)+11,FIND(";",'Onshore - Sydney'!M656&amp;";",SEARCH("rata-rata:",'Onshore - Sydney'!M656))-SEARCH("rata-rata:",'Onshore - Sydney'!M656)-11)),IF('Onshore - Sydney'!D656="Semester",'Onshore - Sydney'!E656*2,IF('Onshore - Sydney'!D656="Trimester",'Onshore - Sydney'!E656*3,IF('Onshore - Sydney'!D656="Term",'Onshore - Sydney'!E656*4,IF('Onshore - Sydney'!D656="Unit",'Onshore - Sydney'!E656*8,""))))))</f>
        <v>17000</v>
      </c>
      <c r="L104" s="0" t="n">
        <f aca="false">IF(AND(ISNUMBER('Onshore - Sydney'!E656),ISNUMBER(K104),ISNUMBER('Onshore - Sydney'!F656),ISNUMBER('Onshore - Sydney'!G656),OR('Onshore - Sydney'!F656&lt;&gt;0,ISNUMBER(SEARCH("Material 0 terverifikasi",'Onshore - Sydney'!M656))),OR('Onshore - Sydney'!G656&lt;&gt;0,ISNUMBER(SEARCH("Enrolment 0 terverifikasi",'Onshore - Sydney'!M656)))),1,0)</f>
        <v>1</v>
      </c>
      <c r="M104" s="0" t="n">
        <f aca="false">IF(OR('Onshore - Sydney'!E656="",ISNUMBER(SEARCH("BSB80120",'Onshore - Sydney'!B656&amp;'Onshore - Sydney'!M656)),ISNUMBER(SEARCH("Management (Learning)",'Onshore - Sydney'!B656))),2,IF(ISNUMBER(SEARCH("CEK:",'Onshore - Sydney'!M656)),1,0))</f>
        <v>1</v>
      </c>
    </row>
    <row r="105" customFormat="false" ht="15" hidden="false" customHeight="false" outlineLevel="0" collapsed="false">
      <c r="A105" s="63" t="s">
        <v>3533</v>
      </c>
      <c r="B105" s="64" t="s">
        <v>3698</v>
      </c>
      <c r="C105" s="63" t="s">
        <v>46</v>
      </c>
      <c r="D105" s="64" t="str">
        <f aca="false">TRIM(LEFT('Onshore - Sydney'!A888,FIND(CHAR(10),'Onshore - Sydney'!A888&amp;CHAR(10))-1))</f>
        <v>Torrens University Australia</v>
      </c>
      <c r="E105" s="63" t="str">
        <f aca="false">'Onshore - Sydney'!C899&amp;""</f>
        <v>1,5 years</v>
      </c>
      <c r="F105" s="63" t="str">
        <f aca="false">IF('Onshore - Sydney'!D899="","Belum tercatat",'Onshore - Sydney'!D899)</f>
        <v>Term</v>
      </c>
      <c r="G105" s="65" t="n">
        <f aca="false">IF('Onshore - Sydney'!E899="","-",'Onshore - Sydney'!E899)</f>
        <v>9000</v>
      </c>
      <c r="H105" s="63" t="n">
        <f aca="false">IF(ISNUMBER(K105),COUNTIFS($J$6:$J$1916,J105,$K$6:$K$1916,"&lt;"&amp;K105)+1,"-")</f>
        <v>5</v>
      </c>
      <c r="I105" s="64" t="str">
        <f aca="false">IF('Onshore - Sydney'!E899="","Harga belum tersedia - hubungi konsultan TEG",IF(M105=2,"Saat ini tidak menerima pendaftaran siswa internasional baru",IF(M105=1,"Harga perlu dikonfirmasi ke sekolah"&amp;IF(""="","","; "&amp;""),"")))</f>
        <v/>
      </c>
      <c r="J105" s="0" t="s">
        <v>3751</v>
      </c>
      <c r="K105" s="0" t="n">
        <f aca="false">IF(M105=2,"",IF(ISNUMBER(SEARCH("rata-rata:",'Onshore - Sydney'!M899)),VALUE(MID('Onshore - Sydney'!M899,SEARCH("rata-rata:",'Onshore - Sydney'!M899)+11,FIND(";",'Onshore - Sydney'!M899&amp;";",SEARCH("rata-rata:",'Onshore - Sydney'!M899))-SEARCH("rata-rata:",'Onshore - Sydney'!M899)-11)),IF('Onshore - Sydney'!D899="Semester",'Onshore - Sydney'!E899*2,IF('Onshore - Sydney'!D899="Trimester",'Onshore - Sydney'!E899*3,IF('Onshore - Sydney'!D899="Term",'Onshore - Sydney'!E899*4,IF('Onshore - Sydney'!D899="Unit",'Onshore - Sydney'!E899*8,""))))))</f>
        <v>36000</v>
      </c>
      <c r="L105" s="0" t="n">
        <f aca="false">IF(AND(ISNUMBER('Onshore - Sydney'!E899),ISNUMBER(K105),ISNUMBER('Onshore - Sydney'!F899),ISNUMBER('Onshore - Sydney'!G899),OR('Onshore - Sydney'!F899&lt;&gt;0,ISNUMBER(SEARCH("Material 0 terverifikasi",'Onshore - Sydney'!M899))),OR('Onshore - Sydney'!G899&lt;&gt;0,ISNUMBER(SEARCH("Enrolment 0 terverifikasi",'Onshore - Sydney'!M899)))),1,0)</f>
        <v>0</v>
      </c>
      <c r="M105" s="0" t="n">
        <f aca="false">IF(OR('Onshore - Sydney'!E899="",ISNUMBER(SEARCH("BSB80120",'Onshore - Sydney'!B899&amp;'Onshore - Sydney'!M899)),ISNUMBER(SEARCH("Management (Learning)",'Onshore - Sydney'!B899))),2,IF(ISNUMBER(SEARCH("CEK:",'Onshore - Sydney'!M899)),1,0))</f>
        <v>0</v>
      </c>
    </row>
    <row r="106" customFormat="false" ht="15" hidden="false" customHeight="false" outlineLevel="0" collapsed="false">
      <c r="A106" s="63" t="s">
        <v>3533</v>
      </c>
      <c r="B106" s="64" t="s">
        <v>3698</v>
      </c>
      <c r="C106" s="63" t="s">
        <v>46</v>
      </c>
      <c r="D106" s="64" t="str">
        <f aca="false">TRIM(LEFT('Onshore - Sydney'!A163,FIND(CHAR(10),'Onshore - Sydney'!A163&amp;CHAR(10))-1))</f>
        <v>Australian Catholic University (ACU)</v>
      </c>
      <c r="E106" s="63" t="str">
        <f aca="false">'Onshore - Sydney'!C191&amp;""</f>
        <v>2 years</v>
      </c>
      <c r="F106" s="63" t="str">
        <f aca="false">IF('Onshore - Sydney'!D191="","Belum tercatat",'Onshore - Sydney'!D191)</f>
        <v>Term</v>
      </c>
      <c r="G106" s="65" t="n">
        <f aca="false">IF('Onshore - Sydney'!E191="","-",'Onshore - Sydney'!E191)</f>
        <v>9524</v>
      </c>
      <c r="H106" s="63" t="n">
        <f aca="false">IF(ISNUMBER(K106),COUNTIFS($J$6:$J$1916,J106,$K$6:$K$1916,"&lt;"&amp;K106)+1,"-")</f>
        <v>6</v>
      </c>
      <c r="I106" s="64" t="str">
        <f aca="false">IF('Onshore - Sydney'!E191="","Harga belum tersedia - hubungi konsultan TEG",IF(M106=2,"Saat ini tidak menerima pendaftaran siswa internasional baru",IF(M106=1,"Harga perlu dikonfirmasi ke sekolah"&amp;IF(""="","","; "&amp;""),"")))</f>
        <v/>
      </c>
      <c r="J106" s="0" t="s">
        <v>3751</v>
      </c>
      <c r="K106" s="0" t="n">
        <f aca="false">IF(M106=2,"",IF(ISNUMBER(SEARCH("rata-rata:",'Onshore - Sydney'!M191)),VALUE(MID('Onshore - Sydney'!M191,SEARCH("rata-rata:",'Onshore - Sydney'!M191)+11,FIND(";",'Onshore - Sydney'!M191&amp;";",SEARCH("rata-rata:",'Onshore - Sydney'!M191))-SEARCH("rata-rata:",'Onshore - Sydney'!M191)-11)),IF('Onshore - Sydney'!D191="Semester",'Onshore - Sydney'!E191*2,IF('Onshore - Sydney'!D191="Trimester",'Onshore - Sydney'!E191*3,IF('Onshore - Sydney'!D191="Term",'Onshore - Sydney'!E191*4,IF('Onshore - Sydney'!D191="Unit",'Onshore - Sydney'!E191*8,""))))))</f>
        <v>38096</v>
      </c>
      <c r="L106" s="0" t="n">
        <f aca="false">IF(AND(ISNUMBER('Onshore - Sydney'!E191),ISNUMBER(K106),ISNUMBER('Onshore - Sydney'!F191),ISNUMBER('Onshore - Sydney'!G191),OR('Onshore - Sydney'!F191&lt;&gt;0,ISNUMBER(SEARCH("Material 0 terverifikasi",'Onshore - Sydney'!M191))),OR('Onshore - Sydney'!G191&lt;&gt;0,ISNUMBER(SEARCH("Enrolment 0 terverifikasi",'Onshore - Sydney'!M191)))),1,0)</f>
        <v>0</v>
      </c>
      <c r="M106" s="0" t="n">
        <f aca="false">IF(OR('Onshore - Sydney'!E191="",ISNUMBER(SEARCH("BSB80120",'Onshore - Sydney'!B191&amp;'Onshore - Sydney'!M191)),ISNUMBER(SEARCH("Management (Learning)",'Onshore - Sydney'!B191))),2,IF(ISNUMBER(SEARCH("CEK:",'Onshore - Sydney'!M191)),1,0))</f>
        <v>0</v>
      </c>
    </row>
    <row r="107" customFormat="false" ht="15" hidden="false" customHeight="false" outlineLevel="0" collapsed="false">
      <c r="A107" s="63" t="s">
        <v>3533</v>
      </c>
      <c r="B107" s="64" t="s">
        <v>3698</v>
      </c>
      <c r="C107" s="63" t="s">
        <v>46</v>
      </c>
      <c r="D107" s="64" t="str">
        <f aca="false">TRIM(LEFT('Onshore - Sydney'!A394,FIND(CHAR(10),'Onshore - Sydney'!A394&amp;CHAR(10))-1))</f>
        <v>Charles Darwin University (CDU)</v>
      </c>
      <c r="E107" s="63" t="str">
        <f aca="false">'Onshore - Sydney'!C397&amp;""</f>
        <v>2 years</v>
      </c>
      <c r="F107" s="63" t="str">
        <f aca="false">IF('Onshore - Sydney'!D397="","Belum tercatat",'Onshore - Sydney'!D397)</f>
        <v>Term</v>
      </c>
      <c r="G107" s="65" t="n">
        <f aca="false">IF('Onshore - Sydney'!E397="","-",'Onshore - Sydney'!E397)</f>
        <v>9548</v>
      </c>
      <c r="H107" s="63" t="n">
        <f aca="false">IF(ISNUMBER(K107),COUNTIFS($J$6:$J$1916,J107,$K$6:$K$1916,"&lt;"&amp;K107)+1,"-")</f>
        <v>7</v>
      </c>
      <c r="I107" s="64" t="str">
        <f aca="false">IF('Onshore - Sydney'!E397="","Harga belum tersedia - hubungi konsultan TEG",IF(M107=2,"Saat ini tidak menerima pendaftaran siswa internasional baru",IF(M107=1,"Harga perlu dikonfirmasi ke sekolah"&amp;IF(""="","","; "&amp;""),"")))</f>
        <v/>
      </c>
      <c r="J107" s="0" t="s">
        <v>3751</v>
      </c>
      <c r="K107" s="0" t="n">
        <f aca="false">IF(M107=2,"",IF(ISNUMBER(SEARCH("rata-rata:",'Onshore - Sydney'!M397)),VALUE(MID('Onshore - Sydney'!M397,SEARCH("rata-rata:",'Onshore - Sydney'!M397)+11,FIND(";",'Onshore - Sydney'!M397&amp;";",SEARCH("rata-rata:",'Onshore - Sydney'!M397))-SEARCH("rata-rata:",'Onshore - Sydney'!M397)-11)),IF('Onshore - Sydney'!D397="Semester",'Onshore - Sydney'!E397*2,IF('Onshore - Sydney'!D397="Trimester",'Onshore - Sydney'!E397*3,IF('Onshore - Sydney'!D397="Term",'Onshore - Sydney'!E397*4,IF('Onshore - Sydney'!D397="Unit",'Onshore - Sydney'!E397*8,""))))))</f>
        <v>38192</v>
      </c>
      <c r="L107" s="0" t="n">
        <f aca="false">IF(AND(ISNUMBER('Onshore - Sydney'!E397),ISNUMBER(K107),ISNUMBER('Onshore - Sydney'!F397),ISNUMBER('Onshore - Sydney'!G397),OR('Onshore - Sydney'!F397&lt;&gt;0,ISNUMBER(SEARCH("Material 0 terverifikasi",'Onshore - Sydney'!M397))),OR('Onshore - Sydney'!G397&lt;&gt;0,ISNUMBER(SEARCH("Enrolment 0 terverifikasi",'Onshore - Sydney'!M397)))),1,0)</f>
        <v>0</v>
      </c>
      <c r="M107" s="0" t="n">
        <f aca="false">IF(OR('Onshore - Sydney'!E397="",ISNUMBER(SEARCH("BSB80120",'Onshore - Sydney'!B397&amp;'Onshore - Sydney'!M397)),ISNUMBER(SEARCH("Management (Learning)",'Onshore - Sydney'!B397))),2,IF(ISNUMBER(SEARCH("CEK:",'Onshore - Sydney'!M397)),1,0))</f>
        <v>0</v>
      </c>
    </row>
    <row r="108" customFormat="false" ht="15" hidden="false" customHeight="false" outlineLevel="0" collapsed="false">
      <c r="A108" s="63" t="s">
        <v>3533</v>
      </c>
      <c r="B108" s="64" t="s">
        <v>3698</v>
      </c>
      <c r="C108" s="63" t="s">
        <v>46</v>
      </c>
      <c r="D108" s="64" t="str">
        <f aca="false">TRIM(LEFT('Onshore - Sydney'!A1062,FIND(CHAR(10),'Onshore - Sydney'!A1062&amp;CHAR(10))-1))</f>
        <v>Western Sydney University</v>
      </c>
      <c r="E108" s="63" t="str">
        <f aca="false">'Onshore - Sydney'!C1156&amp;""</f>
        <v>2 years</v>
      </c>
      <c r="F108" s="63" t="str">
        <f aca="false">IF('Onshore - Sydney'!D1156="","Belum tercatat",'Onshore - Sydney'!D1156)</f>
        <v>Term</v>
      </c>
      <c r="G108" s="65" t="n">
        <f aca="false">IF('Onshore - Sydney'!E1156="","-",'Onshore - Sydney'!E1156)</f>
        <v>9835</v>
      </c>
      <c r="H108" s="63" t="n">
        <f aca="false">IF(ISNUMBER(K108),COUNTIFS($J$6:$J$1916,J108,$K$6:$K$1916,"&lt;"&amp;K108)+1,"-")</f>
        <v>8</v>
      </c>
      <c r="I108" s="64" t="str">
        <f aca="false">IF('Onshore - Sydney'!E1156="","Harga belum tersedia - hubungi konsultan TEG",IF(M108=2,"Saat ini tidak menerima pendaftaran siswa internasional baru",IF(M108=1,"Harga perlu dikonfirmasi ke sekolah"&amp;IF(""="","","; "&amp;""),"")))</f>
        <v/>
      </c>
      <c r="J108" s="0" t="s">
        <v>3751</v>
      </c>
      <c r="K108" s="0" t="n">
        <f aca="false">IF(M108=2,"",IF(ISNUMBER(SEARCH("rata-rata:",'Onshore - Sydney'!M1156)),VALUE(MID('Onshore - Sydney'!M1156,SEARCH("rata-rata:",'Onshore - Sydney'!M1156)+11,FIND(";",'Onshore - Sydney'!M1156&amp;";",SEARCH("rata-rata:",'Onshore - Sydney'!M1156))-SEARCH("rata-rata:",'Onshore - Sydney'!M1156)-11)),IF('Onshore - Sydney'!D1156="Semester",'Onshore - Sydney'!E1156*2,IF('Onshore - Sydney'!D1156="Trimester",'Onshore - Sydney'!E1156*3,IF('Onshore - Sydney'!D1156="Term",'Onshore - Sydney'!E1156*4,IF('Onshore - Sydney'!D1156="Unit",'Onshore - Sydney'!E1156*8,""))))))</f>
        <v>39340</v>
      </c>
      <c r="L108" s="0" t="n">
        <f aca="false">IF(AND(ISNUMBER('Onshore - Sydney'!E1156),ISNUMBER(K108),ISNUMBER('Onshore - Sydney'!F1156),ISNUMBER('Onshore - Sydney'!G1156),OR('Onshore - Sydney'!F1156&lt;&gt;0,ISNUMBER(SEARCH("Material 0 terverifikasi",'Onshore - Sydney'!M1156))),OR('Onshore - Sydney'!G1156&lt;&gt;0,ISNUMBER(SEARCH("Enrolment 0 terverifikasi",'Onshore - Sydney'!M1156)))),1,0)</f>
        <v>0</v>
      </c>
      <c r="M108" s="0" t="n">
        <f aca="false">IF(OR('Onshore - Sydney'!E1156="",ISNUMBER(SEARCH("BSB80120",'Onshore - Sydney'!B1156&amp;'Onshore - Sydney'!M1156)),ISNUMBER(SEARCH("Management (Learning)",'Onshore - Sydney'!B1156))),2,IF(ISNUMBER(SEARCH("CEK:",'Onshore - Sydney'!M1156)),1,0))</f>
        <v>0</v>
      </c>
    </row>
    <row r="109" customFormat="false" ht="15" hidden="false" customHeight="false" outlineLevel="0" collapsed="false">
      <c r="A109" s="63" t="s">
        <v>3533</v>
      </c>
      <c r="B109" s="64" t="s">
        <v>3698</v>
      </c>
      <c r="C109" s="63" t="s">
        <v>46</v>
      </c>
      <c r="D109" s="64" t="str">
        <f aca="false">TRIM(LEFT('Onshore - Sydney'!A552,FIND(CHAR(10),'Onshore - Sydney'!A552&amp;CHAR(10))-1))</f>
        <v>Kaplan Business School</v>
      </c>
      <c r="E109" s="63" t="str">
        <f aca="false">'Onshore - Sydney'!C558&amp;""</f>
        <v>2 years</v>
      </c>
      <c r="F109" s="63" t="str">
        <f aca="false">IF('Onshore - Sydney'!D558="","Belum tercatat",'Onshore - Sydney'!D558)</f>
        <v>Trimester</v>
      </c>
      <c r="G109" s="65" t="n">
        <f aca="false">IF('Onshore - Sydney'!E558="","-",'Onshore - Sydney'!E558)</f>
        <v>13600</v>
      </c>
      <c r="H109" s="63" t="n">
        <f aca="false">IF(ISNUMBER(K109),COUNTIFS($J$6:$J$1916,J109,$K$6:$K$1916,"&lt;"&amp;K109)+1,"-")</f>
        <v>9</v>
      </c>
      <c r="I109" s="64" t="str">
        <f aca="false">IF('Onshore - Sydney'!E558="","Harga belum tersedia - hubungi konsultan TEG",IF(M109=2,"Saat ini tidak menerima pendaftaran siswa internasional baru",IF(M109=1,"Harga perlu dikonfirmasi ke sekolah"&amp;IF(""="","","; "&amp;""),"")))</f>
        <v>Harga perlu dikonfirmasi ke sekolah</v>
      </c>
      <c r="J109" s="0" t="s">
        <v>3751</v>
      </c>
      <c r="K109" s="0" t="n">
        <f aca="false">IF(M109=2,"",IF(ISNUMBER(SEARCH("rata-rata:",'Onshore - Sydney'!M558)),VALUE(MID('Onshore - Sydney'!M558,SEARCH("rata-rata:",'Onshore - Sydney'!M558)+11,FIND(";",'Onshore - Sydney'!M558&amp;";",SEARCH("rata-rata:",'Onshore - Sydney'!M558))-SEARCH("rata-rata:",'Onshore - Sydney'!M558)-11)),IF('Onshore - Sydney'!D558="Semester",'Onshore - Sydney'!E558*2,IF('Onshore - Sydney'!D558="Trimester",'Onshore - Sydney'!E558*3,IF('Onshore - Sydney'!D558="Term",'Onshore - Sydney'!E558*4,IF('Onshore - Sydney'!D558="Unit",'Onshore - Sydney'!E558*8,""))))))</f>
        <v>40800</v>
      </c>
      <c r="L109" s="0" t="n">
        <f aca="false">IF(AND(ISNUMBER('Onshore - Sydney'!E558),ISNUMBER(K109),ISNUMBER('Onshore - Sydney'!F558),ISNUMBER('Onshore - Sydney'!G558),OR('Onshore - Sydney'!F558&lt;&gt;0,ISNUMBER(SEARCH("Material 0 terverifikasi",'Onshore - Sydney'!M558))),OR('Onshore - Sydney'!G558&lt;&gt;0,ISNUMBER(SEARCH("Enrolment 0 terverifikasi",'Onshore - Sydney'!M558)))),1,0)</f>
        <v>1</v>
      </c>
      <c r="M109" s="0" t="n">
        <f aca="false">IF(OR('Onshore - Sydney'!E558="",ISNUMBER(SEARCH("BSB80120",'Onshore - Sydney'!B558&amp;'Onshore - Sydney'!M558)),ISNUMBER(SEARCH("Management (Learning)",'Onshore - Sydney'!B558))),2,IF(ISNUMBER(SEARCH("CEK:",'Onshore - Sydney'!M558)),1,0))</f>
        <v>1</v>
      </c>
    </row>
    <row r="110" customFormat="false" ht="15" hidden="false" customHeight="false" outlineLevel="0" collapsed="false">
      <c r="A110" s="61" t="s">
        <v>3752</v>
      </c>
      <c r="B110" s="62"/>
      <c r="C110" s="62"/>
      <c r="D110" s="62"/>
      <c r="E110" s="62"/>
      <c r="F110" s="62"/>
      <c r="G110" s="62"/>
      <c r="H110" s="62"/>
      <c r="I110" s="62"/>
    </row>
    <row r="111" customFormat="false" ht="15" hidden="false" customHeight="false" outlineLevel="0" collapsed="false">
      <c r="A111" s="63" t="s">
        <v>3753</v>
      </c>
      <c r="B111" s="64" t="s">
        <v>3698</v>
      </c>
      <c r="C111" s="63" t="s">
        <v>3707</v>
      </c>
      <c r="D111" s="64" t="str">
        <f aca="false">TRIM(LEFT('Onshore - Tasmania Hobart'!A21,FIND(CHAR(10),'Onshore - Tasmania Hobart'!A21&amp;CHAR(10))-1))</f>
        <v>University of Tasmania (UTAS)</v>
      </c>
      <c r="E111" s="63" t="str">
        <f aca="false">'Onshore - Tasmania Hobart'!C25&amp;""</f>
        <v>0,5 years</v>
      </c>
      <c r="F111" s="63" t="str">
        <f aca="false">IF('Onshore - Tasmania Hobart'!D25="","Belum tercatat",'Onshore - Tasmania Hobart'!D25)</f>
        <v>Term</v>
      </c>
      <c r="G111" s="65" t="n">
        <f aca="false">IF('Onshore - Tasmania Hobart'!E25="","-",'Onshore - Tasmania Hobart'!E25)</f>
        <v>10812.5</v>
      </c>
      <c r="H111" s="63" t="n">
        <f aca="false">IF(ISNUMBER(K111),COUNTIFS($J$6:$J$1916,J111,$K$6:$K$1916,"&lt;"&amp;K111)+1,"-")</f>
        <v>1</v>
      </c>
      <c r="I111" s="64" t="str">
        <f aca="false">IF('Onshore - Tasmania Hobart'!E25="","Harga belum tersedia - hubungi konsultan TEG",IF(M111=2,"Saat ini tidak menerima pendaftaran siswa internasional baru",IF(M111=1,"Harga perlu dikonfirmasi ke sekolah"&amp;IF(""="","","; "&amp;""),"")))</f>
        <v>Harga perlu dikonfirmasi ke sekolah</v>
      </c>
      <c r="J111" s="0" t="s">
        <v>3754</v>
      </c>
      <c r="K111" s="0" t="n">
        <f aca="false">IF(M111=2,"",IF(ISNUMBER(SEARCH("rata-rata:",'Onshore - Tasmania Hobart'!M25)),VALUE(MID('Onshore - Tasmania Hobart'!M25,SEARCH("rata-rata:",'Onshore - Tasmania Hobart'!M25)+11,FIND(";",'Onshore - Tasmania Hobart'!M25&amp;";",SEARCH("rata-rata:",'Onshore - Tasmania Hobart'!M25))-SEARCH("rata-rata:",'Onshore - Tasmania Hobart'!M25)-11)),IF('Onshore - Tasmania Hobart'!D25="Semester",'Onshore - Tasmania Hobart'!E25*2,IF('Onshore - Tasmania Hobart'!D25="Trimester",'Onshore - Tasmania Hobart'!E25*3,IF('Onshore - Tasmania Hobart'!D25="Term",'Onshore - Tasmania Hobart'!E25*4,IF('Onshore - Tasmania Hobart'!D25="Unit",'Onshore - Tasmania Hobart'!E25*8,""))))))</f>
        <v>43250</v>
      </c>
      <c r="L111" s="0" t="n">
        <f aca="false">IF(AND(ISNUMBER('Onshore - Tasmania Hobart'!E25),ISNUMBER(K111),ISNUMBER('Onshore - Tasmania Hobart'!F25),ISNUMBER('Onshore - Tasmania Hobart'!G25),OR('Onshore - Tasmania Hobart'!F25&lt;&gt;0,ISNUMBER(SEARCH("Material 0 terverifikasi",'Onshore - Tasmania Hobart'!M25))),OR('Onshore - Tasmania Hobart'!G25&lt;&gt;0,ISNUMBER(SEARCH("Enrolment 0 terverifikasi",'Onshore - Tasmania Hobart'!M25)))),1,0)</f>
        <v>0</v>
      </c>
      <c r="M111" s="0" t="n">
        <f aca="false">IF(OR('Onshore - Tasmania Hobart'!E25="",ISNUMBER(SEARCH("BSB80120",'Onshore - Tasmania Hobart'!B25&amp;'Onshore - Tasmania Hobart'!M25)),ISNUMBER(SEARCH("Management (Learning)",'Onshore - Tasmania Hobart'!B25))),2,IF(ISNUMBER(SEARCH("CEK:",'Onshore - Tasmania Hobart'!M25)),1,0))</f>
        <v>1</v>
      </c>
    </row>
    <row r="112" customFormat="false" ht="15" hidden="false" customHeight="false" outlineLevel="0" collapsed="false">
      <c r="A112" s="61" t="s">
        <v>3755</v>
      </c>
      <c r="B112" s="62"/>
      <c r="C112" s="62"/>
      <c r="D112" s="62"/>
      <c r="E112" s="62"/>
      <c r="F112" s="62"/>
      <c r="G112" s="62"/>
      <c r="H112" s="62"/>
      <c r="I112" s="62"/>
    </row>
    <row r="113" customFormat="false" ht="15" hidden="false" customHeight="false" outlineLevel="0" collapsed="false">
      <c r="A113" s="63" t="s">
        <v>3753</v>
      </c>
      <c r="B113" s="64" t="s">
        <v>3698</v>
      </c>
      <c r="C113" s="63" t="s">
        <v>46</v>
      </c>
      <c r="D113" s="64" t="str">
        <f aca="false">TRIM(LEFT('Onshore - Tasmania Hobart'!A21,FIND(CHAR(10),'Onshore - Tasmania Hobart'!A21&amp;CHAR(10))-1))</f>
        <v>University of Tasmania (UTAS)</v>
      </c>
      <c r="E113" s="63" t="str">
        <f aca="false">'Onshore - Tasmania Hobart'!C29&amp;""</f>
        <v>2 years</v>
      </c>
      <c r="F113" s="63" t="str">
        <f aca="false">IF('Onshore - Tasmania Hobart'!D29="","Belum tercatat",'Onshore - Tasmania Hobart'!D29)</f>
        <v>Term</v>
      </c>
      <c r="G113" s="65" t="n">
        <f aca="false">IF('Onshore - Tasmania Hobart'!E29="","-",'Onshore - Tasmania Hobart'!E29)</f>
        <v>9862.5</v>
      </c>
      <c r="H113" s="63" t="n">
        <f aca="false">IF(ISNUMBER(K113),COUNTIFS($J$6:$J$1916,J113,$K$6:$K$1916,"&lt;"&amp;K113)+1,"-")</f>
        <v>1</v>
      </c>
      <c r="I113" s="64" t="str">
        <f aca="false">IF('Onshore - Tasmania Hobart'!E29="","Harga belum tersedia - hubungi konsultan TEG",IF(M113=2,"Saat ini tidak menerima pendaftaran siswa internasional baru",IF(M113=1,"Harga perlu dikonfirmasi ke sekolah"&amp;IF(""="","","; "&amp;""),"")))</f>
        <v/>
      </c>
      <c r="J113" s="0" t="s">
        <v>3756</v>
      </c>
      <c r="K113" s="0" t="n">
        <f aca="false">IF(M113=2,"",IF(ISNUMBER(SEARCH("rata-rata:",'Onshore - Tasmania Hobart'!M29)),VALUE(MID('Onshore - Tasmania Hobart'!M29,SEARCH("rata-rata:",'Onshore - Tasmania Hobart'!M29)+11,FIND(";",'Onshore - Tasmania Hobart'!M29&amp;";",SEARCH("rata-rata:",'Onshore - Tasmania Hobart'!M29))-SEARCH("rata-rata:",'Onshore - Tasmania Hobart'!M29)-11)),IF('Onshore - Tasmania Hobart'!D29="Semester",'Onshore - Tasmania Hobart'!E29*2,IF('Onshore - Tasmania Hobart'!D29="Trimester",'Onshore - Tasmania Hobart'!E29*3,IF('Onshore - Tasmania Hobart'!D29="Term",'Onshore - Tasmania Hobart'!E29*4,IF('Onshore - Tasmania Hobart'!D29="Unit",'Onshore - Tasmania Hobart'!E29*8,""))))))</f>
        <v>39450</v>
      </c>
      <c r="L113" s="0" t="n">
        <f aca="false">IF(AND(ISNUMBER('Onshore - Tasmania Hobart'!E29),ISNUMBER(K113),ISNUMBER('Onshore - Tasmania Hobart'!F29),ISNUMBER('Onshore - Tasmania Hobart'!G29),OR('Onshore - Tasmania Hobart'!F29&lt;&gt;0,ISNUMBER(SEARCH("Material 0 terverifikasi",'Onshore - Tasmania Hobart'!M29))),OR('Onshore - Tasmania Hobart'!G29&lt;&gt;0,ISNUMBER(SEARCH("Enrolment 0 terverifikasi",'Onshore - Tasmania Hobart'!M29)))),1,0)</f>
        <v>0</v>
      </c>
      <c r="M113" s="0" t="n">
        <f aca="false">IF(OR('Onshore - Tasmania Hobart'!E29="",ISNUMBER(SEARCH("BSB80120",'Onshore - Tasmania Hobart'!B29&amp;'Onshore - Tasmania Hobart'!M29)),ISNUMBER(SEARCH("Management (Learning)",'Onshore - Tasmania Hobart'!B29))),2,IF(ISNUMBER(SEARCH("CEK:",'Onshore - Tasmania Hobart'!M29)),1,0))</f>
        <v>0</v>
      </c>
    </row>
    <row r="114" customFormat="false" ht="15" hidden="false" customHeight="false" outlineLevel="0" collapsed="false">
      <c r="A114" s="61" t="s">
        <v>3757</v>
      </c>
      <c r="B114" s="62"/>
      <c r="C114" s="62"/>
      <c r="D114" s="62"/>
      <c r="E114" s="62"/>
      <c r="F114" s="62"/>
      <c r="G114" s="62"/>
      <c r="H114" s="62"/>
      <c r="I114" s="62"/>
    </row>
    <row r="115" customFormat="false" ht="15" hidden="false" customHeight="false" outlineLevel="0" collapsed="false">
      <c r="A115" s="63" t="s">
        <v>3659</v>
      </c>
      <c r="B115" s="64" t="s">
        <v>3758</v>
      </c>
      <c r="C115" s="63" t="s">
        <v>39</v>
      </c>
      <c r="D115" s="64" t="str">
        <f aca="false">TRIM(LEFT('Onshore - Adelaide'!A487,FIND(CHAR(10),'Onshore - Adelaide'!A487&amp;CHAR(10))-1))</f>
        <v>TAFE SA</v>
      </c>
      <c r="E115" s="63" t="str">
        <f aca="false">'Onshore - Adelaide'!C538&amp;""</f>
        <v>1 year</v>
      </c>
      <c r="F115" s="63" t="str">
        <f aca="false">IF('Onshore - Adelaide'!D538="","Belum tercatat",'Onshore - Adelaide'!D538)</f>
        <v>Semester</v>
      </c>
      <c r="G115" s="65" t="n">
        <f aca="false">IF('Onshore - Adelaide'!E538="","-",'Onshore - Adelaide'!E538)</f>
        <v>5942</v>
      </c>
      <c r="H115" s="63" t="n">
        <f aca="false">IF(ISNUMBER(K115),COUNTIFS($J$6:$J$1916,J115,$K$6:$K$1916,"&lt;"&amp;K115)+1,"-")</f>
        <v>1</v>
      </c>
      <c r="I115" s="64" t="str">
        <f aca="false">IF('Onshore - Adelaide'!E538="","Harga belum tersedia - hubungi konsultan TEG",IF(M115=2,"Saat ini tidak menerima pendaftaran siswa internasional baru",IF(M115=1,"Harga perlu dikonfirmasi ke sekolah"&amp;IF(""="","","; "&amp;""),"")))</f>
        <v/>
      </c>
      <c r="J115" s="0" t="s">
        <v>3759</v>
      </c>
      <c r="K115" s="0" t="n">
        <f aca="false">IF(M115=2,"",IF(ISNUMBER(SEARCH("rata-rata:",'Onshore - Adelaide'!M538)),VALUE(MID('Onshore - Adelaide'!M538,SEARCH("rata-rata:",'Onshore - Adelaide'!M538)+11,FIND(";",'Onshore - Adelaide'!M538&amp;";",SEARCH("rata-rata:",'Onshore - Adelaide'!M538))-SEARCH("rata-rata:",'Onshore - Adelaide'!M538)-11)),IF('Onshore - Adelaide'!D538="Semester",'Onshore - Adelaide'!E538*2,IF('Onshore - Adelaide'!D538="Trimester",'Onshore - Adelaide'!E538*3,IF('Onshore - Adelaide'!D538="Term",'Onshore - Adelaide'!E538*4,IF('Onshore - Adelaide'!D538="Unit",'Onshore - Adelaide'!E538*8,""))))))</f>
        <v>11884</v>
      </c>
      <c r="L115" s="0" t="n">
        <f aca="false">IF(AND(ISNUMBER('Onshore - Adelaide'!E538),ISNUMBER(K115),ISNUMBER('Onshore - Adelaide'!F538),ISNUMBER('Onshore - Adelaide'!G538),OR('Onshore - Adelaide'!F538&lt;&gt;0,ISNUMBER(SEARCH("Material 0 terverifikasi",'Onshore - Adelaide'!M538))),OR('Onshore - Adelaide'!G538&lt;&gt;0,ISNUMBER(SEARCH("Enrolment 0 terverifikasi",'Onshore - Adelaide'!M538)))),1,0)</f>
        <v>0</v>
      </c>
      <c r="M115" s="0" t="n">
        <f aca="false">IF(OR('Onshore - Adelaide'!E538="",ISNUMBER(SEARCH("BSB80120",'Onshore - Adelaide'!B538&amp;'Onshore - Adelaide'!M538)),ISNUMBER(SEARCH("Management (Learning)",'Onshore - Adelaide'!B538))),2,IF(ISNUMBER(SEARCH("CEK:",'Onshore - Adelaide'!M538)),1,0))</f>
        <v>0</v>
      </c>
    </row>
    <row r="116" customFormat="false" ht="15" hidden="false" customHeight="false" outlineLevel="0" collapsed="false">
      <c r="A116" s="61" t="s">
        <v>3760</v>
      </c>
      <c r="B116" s="62"/>
      <c r="C116" s="62"/>
      <c r="D116" s="62"/>
      <c r="E116" s="62"/>
      <c r="F116" s="62"/>
      <c r="G116" s="62"/>
      <c r="H116" s="62"/>
      <c r="I116" s="62"/>
    </row>
    <row r="117" customFormat="false" ht="15" hidden="false" customHeight="false" outlineLevel="0" collapsed="false">
      <c r="A117" s="63" t="s">
        <v>3659</v>
      </c>
      <c r="B117" s="64" t="s">
        <v>3758</v>
      </c>
      <c r="C117" s="63" t="s">
        <v>41</v>
      </c>
      <c r="D117" s="64" t="str">
        <f aca="false">TRIM(LEFT('Onshore - Adelaide'!A487,FIND(CHAR(10),'Onshore - Adelaide'!A487&amp;CHAR(10))-1))</f>
        <v>TAFE SA</v>
      </c>
      <c r="E117" s="63" t="str">
        <f aca="false">'Onshore - Adelaide'!C541&amp;""</f>
        <v>1,5 years</v>
      </c>
      <c r="F117" s="63" t="str">
        <f aca="false">IF('Onshore - Adelaide'!D541="","Belum tercatat",'Onshore - Adelaide'!D541)</f>
        <v>Term</v>
      </c>
      <c r="G117" s="65" t="n">
        <f aca="false">IF('Onshore - Adelaide'!E541="","-",'Onshore - Adelaide'!E541)</f>
        <v>5921.25</v>
      </c>
      <c r="H117" s="63" t="n">
        <f aca="false">IF(ISNUMBER(K117),COUNTIFS($J$6:$J$1916,J117,$K$6:$K$1916,"&lt;"&amp;K117)+1,"-")</f>
        <v>1</v>
      </c>
      <c r="I117" s="64" t="str">
        <f aca="false">IF('Onshore - Adelaide'!E541="","Harga belum tersedia - hubungi konsultan TEG",IF(M117=2,"Saat ini tidak menerima pendaftaran siswa internasional baru",IF(M117=1,"Harga perlu dikonfirmasi ke sekolah"&amp;IF(""="","","; "&amp;""),"")))</f>
        <v>Harga perlu dikonfirmasi ke sekolah</v>
      </c>
      <c r="J117" s="0" t="s">
        <v>3761</v>
      </c>
      <c r="K117" s="0" t="n">
        <f aca="false">IF(M117=2,"",IF(ISNUMBER(SEARCH("rata-rata:",'Onshore - Adelaide'!M541)),VALUE(MID('Onshore - Adelaide'!M541,SEARCH("rata-rata:",'Onshore - Adelaide'!M541)+11,FIND(";",'Onshore - Adelaide'!M541&amp;";",SEARCH("rata-rata:",'Onshore - Adelaide'!M541))-SEARCH("rata-rata:",'Onshore - Adelaide'!M541)-11)),IF('Onshore - Adelaide'!D541="Semester",'Onshore - Adelaide'!E541*2,IF('Onshore - Adelaide'!D541="Trimester",'Onshore - Adelaide'!E541*3,IF('Onshore - Adelaide'!D541="Term",'Onshore - Adelaide'!E541*4,IF('Onshore - Adelaide'!D541="Unit",'Onshore - Adelaide'!E541*8,""))))))</f>
        <v>23685</v>
      </c>
      <c r="L117" s="0" t="n">
        <f aca="false">IF(AND(ISNUMBER('Onshore - Adelaide'!E541),ISNUMBER(K117),ISNUMBER('Onshore - Adelaide'!F541),ISNUMBER('Onshore - Adelaide'!G541),OR('Onshore - Adelaide'!F541&lt;&gt;0,ISNUMBER(SEARCH("Material 0 terverifikasi",'Onshore - Adelaide'!M541))),OR('Onshore - Adelaide'!G541&lt;&gt;0,ISNUMBER(SEARCH("Enrolment 0 terverifikasi",'Onshore - Adelaide'!M541)))),1,0)</f>
        <v>0</v>
      </c>
      <c r="M117" s="0" t="n">
        <f aca="false">IF(OR('Onshore - Adelaide'!E541="",ISNUMBER(SEARCH("BSB80120",'Onshore - Adelaide'!B541&amp;'Onshore - Adelaide'!M541)),ISNUMBER(SEARCH("Management (Learning)",'Onshore - Adelaide'!B541))),2,IF(ISNUMBER(SEARCH("CEK:",'Onshore - Adelaide'!M541)),1,0))</f>
        <v>1</v>
      </c>
    </row>
    <row r="118" customFormat="false" ht="15" hidden="false" customHeight="false" outlineLevel="0" collapsed="false">
      <c r="A118" s="61" t="s">
        <v>3762</v>
      </c>
      <c r="B118" s="62"/>
      <c r="C118" s="62"/>
      <c r="D118" s="62"/>
      <c r="E118" s="62"/>
      <c r="F118" s="62"/>
      <c r="G118" s="62"/>
      <c r="H118" s="62"/>
      <c r="I118" s="62"/>
    </row>
    <row r="119" customFormat="false" ht="15" hidden="false" customHeight="false" outlineLevel="0" collapsed="false">
      <c r="A119" s="63" t="s">
        <v>3659</v>
      </c>
      <c r="B119" s="64" t="s">
        <v>3758</v>
      </c>
      <c r="C119" s="63" t="s">
        <v>43</v>
      </c>
      <c r="D119" s="64" t="str">
        <f aca="false">TRIM(LEFT('Onshore - Adelaide'!A15,FIND(CHAR(10),'Onshore - Adelaide'!A15&amp;CHAR(10))-1))</f>
        <v>Adelaide University</v>
      </c>
      <c r="E119" s="63" t="str">
        <f aca="false">'Onshore - Adelaide'!C24&amp;""</f>
        <v>3 years</v>
      </c>
      <c r="F119" s="63" t="str">
        <f aca="false">IF('Onshore - Adelaide'!D24="","Belum tercatat",'Onshore - Adelaide'!D24)</f>
        <v>Term</v>
      </c>
      <c r="G119" s="65" t="n">
        <f aca="false">IF('Onshore - Adelaide'!E24="","-",'Onshore - Adelaide'!E24)</f>
        <v>13850</v>
      </c>
      <c r="H119" s="63" t="n">
        <f aca="false">IF(ISNUMBER(K119),COUNTIFS($J$6:$J$1916,J119,$K$6:$K$1916,"&lt;"&amp;K119)+1,"-")</f>
        <v>1</v>
      </c>
      <c r="I119" s="64" t="str">
        <f aca="false">IF('Onshore - Adelaide'!E24="","Harga belum tersedia - hubungi konsultan TEG",IF(M119=2,"Saat ini tidak menerima pendaftaran siswa internasional baru",IF(M119=1,"Harga perlu dikonfirmasi ke sekolah"&amp;IF(""="","","; "&amp;""),"")))</f>
        <v/>
      </c>
      <c r="J119" s="0" t="s">
        <v>3763</v>
      </c>
      <c r="K119" s="0" t="n">
        <f aca="false">IF(M119=2,"",IF(ISNUMBER(SEARCH("rata-rata:",'Onshore - Adelaide'!M24)),VALUE(MID('Onshore - Adelaide'!M24,SEARCH("rata-rata:",'Onshore - Adelaide'!M24)+11,FIND(";",'Onshore - Adelaide'!M24&amp;";",SEARCH("rata-rata:",'Onshore - Adelaide'!M24))-SEARCH("rata-rata:",'Onshore - Adelaide'!M24)-11)),IF('Onshore - Adelaide'!D24="Semester",'Onshore - Adelaide'!E24*2,IF('Onshore - Adelaide'!D24="Trimester",'Onshore - Adelaide'!E24*3,IF('Onshore - Adelaide'!D24="Term",'Onshore - Adelaide'!E24*4,IF('Onshore - Adelaide'!D24="Unit",'Onshore - Adelaide'!E24*8,""))))))</f>
        <v>55400</v>
      </c>
      <c r="L119" s="0" t="n">
        <f aca="false">IF(AND(ISNUMBER('Onshore - Adelaide'!E24),ISNUMBER(K119),ISNUMBER('Onshore - Adelaide'!F24),ISNUMBER('Onshore - Adelaide'!G24),OR('Onshore - Adelaide'!F24&lt;&gt;0,ISNUMBER(SEARCH("Material 0 terverifikasi",'Onshore - Adelaide'!M24))),OR('Onshore - Adelaide'!G24&lt;&gt;0,ISNUMBER(SEARCH("Enrolment 0 terverifikasi",'Onshore - Adelaide'!M24)))),1,0)</f>
        <v>0</v>
      </c>
      <c r="M119" s="0" t="n">
        <f aca="false">IF(OR('Onshore - Adelaide'!E24="",ISNUMBER(SEARCH("BSB80120",'Onshore - Adelaide'!B24&amp;'Onshore - Adelaide'!M24)),ISNUMBER(SEARCH("Management (Learning)",'Onshore - Adelaide'!B24))),2,IF(ISNUMBER(SEARCH("CEK:",'Onshore - Adelaide'!M24)),1,0))</f>
        <v>0</v>
      </c>
    </row>
    <row r="120" customFormat="false" ht="15" hidden="false" customHeight="false" outlineLevel="0" collapsed="false">
      <c r="A120" s="61" t="s">
        <v>3764</v>
      </c>
      <c r="B120" s="62"/>
      <c r="C120" s="62"/>
      <c r="D120" s="62"/>
      <c r="E120" s="62"/>
      <c r="F120" s="62"/>
      <c r="G120" s="62"/>
      <c r="H120" s="62"/>
      <c r="I120" s="62"/>
    </row>
    <row r="121" customFormat="false" ht="15" hidden="false" customHeight="false" outlineLevel="0" collapsed="false">
      <c r="A121" s="63" t="s">
        <v>3659</v>
      </c>
      <c r="B121" s="64" t="s">
        <v>3758</v>
      </c>
      <c r="C121" s="63" t="s">
        <v>46</v>
      </c>
      <c r="D121" s="64" t="str">
        <f aca="false">TRIM(LEFT('Onshore - Adelaide'!A15,FIND(CHAR(10),'Onshore - Adelaide'!A15&amp;CHAR(10))-1))</f>
        <v>Adelaide University</v>
      </c>
      <c r="E121" s="63" t="str">
        <f aca="false">'Onshore - Adelaide'!C293&amp;""</f>
        <v>2 years</v>
      </c>
      <c r="F121" s="63" t="str">
        <f aca="false">IF('Onshore - Adelaide'!D293="","Belum tercatat",'Onshore - Adelaide'!D293)</f>
        <v>Term</v>
      </c>
      <c r="G121" s="65" t="n">
        <f aca="false">IF('Onshore - Adelaide'!E293="","-",'Onshore - Adelaide'!E293)</f>
        <v>13125</v>
      </c>
      <c r="H121" s="63" t="n">
        <f aca="false">IF(ISNUMBER(K121),COUNTIFS($J$6:$J$1916,J121,$K$6:$K$1916,"&lt;"&amp;K121)+1,"-")</f>
        <v>1</v>
      </c>
      <c r="I121" s="64" t="str">
        <f aca="false">IF('Onshore - Adelaide'!E293="","Harga belum tersedia - hubungi konsultan TEG",IF(M121=2,"Saat ini tidak menerima pendaftaran siswa internasional baru",IF(M121=1,"Harga perlu dikonfirmasi ke sekolah"&amp;IF(""="","","; "&amp;""),"")))</f>
        <v/>
      </c>
      <c r="J121" s="0" t="s">
        <v>3765</v>
      </c>
      <c r="K121" s="0" t="n">
        <f aca="false">IF(M121=2,"",IF(ISNUMBER(SEARCH("rata-rata:",'Onshore - Adelaide'!M293)),VALUE(MID('Onshore - Adelaide'!M293,SEARCH("rata-rata:",'Onshore - Adelaide'!M293)+11,FIND(";",'Onshore - Adelaide'!M293&amp;";",SEARCH("rata-rata:",'Onshore - Adelaide'!M293))-SEARCH("rata-rata:",'Onshore - Adelaide'!M293)-11)),IF('Onshore - Adelaide'!D293="Semester",'Onshore - Adelaide'!E293*2,IF('Onshore - Adelaide'!D293="Trimester",'Onshore - Adelaide'!E293*3,IF('Onshore - Adelaide'!D293="Term",'Onshore - Adelaide'!E293*4,IF('Onshore - Adelaide'!D293="Unit",'Onshore - Adelaide'!E293*8,""))))))</f>
        <v>52500</v>
      </c>
      <c r="L121" s="0" t="n">
        <f aca="false">IF(AND(ISNUMBER('Onshore - Adelaide'!E293),ISNUMBER(K121),ISNUMBER('Onshore - Adelaide'!F293),ISNUMBER('Onshore - Adelaide'!G293),OR('Onshore - Adelaide'!F293&lt;&gt;0,ISNUMBER(SEARCH("Material 0 terverifikasi",'Onshore - Adelaide'!M293))),OR('Onshore - Adelaide'!G293&lt;&gt;0,ISNUMBER(SEARCH("Enrolment 0 terverifikasi",'Onshore - Adelaide'!M293)))),1,0)</f>
        <v>0</v>
      </c>
      <c r="M121" s="0" t="n">
        <f aca="false">IF(OR('Onshore - Adelaide'!E293="",ISNUMBER(SEARCH("BSB80120",'Onshore - Adelaide'!B293&amp;'Onshore - Adelaide'!M293)),ISNUMBER(SEARCH("Management (Learning)",'Onshore - Adelaide'!B293))),2,IF(ISNUMBER(SEARCH("CEK:",'Onshore - Adelaide'!M293)),1,0))</f>
        <v>0</v>
      </c>
    </row>
    <row r="122" customFormat="false" ht="15" hidden="false" customHeight="false" outlineLevel="0" collapsed="false">
      <c r="A122" s="61" t="s">
        <v>3766</v>
      </c>
      <c r="B122" s="62"/>
      <c r="C122" s="62"/>
      <c r="D122" s="62"/>
      <c r="E122" s="62"/>
      <c r="F122" s="62"/>
      <c r="G122" s="62"/>
      <c r="H122" s="62"/>
      <c r="I122" s="62"/>
    </row>
    <row r="123" customFormat="false" ht="15" hidden="false" customHeight="false" outlineLevel="0" collapsed="false">
      <c r="A123" s="63" t="s">
        <v>3767</v>
      </c>
      <c r="B123" s="64" t="s">
        <v>3758</v>
      </c>
      <c r="C123" s="63" t="s">
        <v>41</v>
      </c>
      <c r="D123" s="64" t="str">
        <f aca="false">TRIM(LEFT('Onshore - Armidale'!A6,FIND(CHAR(10),'Onshore - Armidale'!A6&amp;CHAR(10))-1))</f>
        <v>Academies Australasia</v>
      </c>
      <c r="E123" s="63" t="str">
        <f aca="false">'Onshore - Armidale'!C6&amp;""</f>
        <v>1 years</v>
      </c>
      <c r="F123" s="63" t="str">
        <f aca="false">IF('Onshore - Armidale'!D6="","Belum tercatat",'Onshore - Armidale'!D6)</f>
        <v>Term</v>
      </c>
      <c r="G123" s="65" t="n">
        <f aca="false">IF('Onshore - Armidale'!E6="","-",'Onshore - Armidale'!E6)</f>
        <v>4000</v>
      </c>
      <c r="H123" s="63" t="n">
        <f aca="false">IF(ISNUMBER(K123),COUNTIFS($J$6:$J$1916,J123,$K$6:$K$1916,"&lt;"&amp;K123)+1,"-")</f>
        <v>1</v>
      </c>
      <c r="I123" s="64" t="str">
        <f aca="false">IF('Onshore - Armidale'!E6="","Harga belum tersedia - hubungi konsultan TEG",IF(M123=2,"Saat ini tidak menerima pendaftaran siswa internasional baru",IF(M123=1,"Program perlu dikonfirmasi ketersediaannya"&amp;IF(""="","","; "&amp;""),"")))</f>
        <v>Program perlu dikonfirmasi ketersediaannya</v>
      </c>
      <c r="J123" s="0" t="s">
        <v>3768</v>
      </c>
      <c r="K123" s="0" t="n">
        <f aca="false">IF(M123=2,"",IF(ISNUMBER(SEARCH("rata-rata:",'Onshore - Armidale'!M6)),VALUE(MID('Onshore - Armidale'!M6,SEARCH("rata-rata:",'Onshore - Armidale'!M6)+11,FIND(";",'Onshore - Armidale'!M6&amp;";",SEARCH("rata-rata:",'Onshore - Armidale'!M6))-SEARCH("rata-rata:",'Onshore - Armidale'!M6)-11)),IF('Onshore - Armidale'!D6="Semester",'Onshore - Armidale'!E6*2,IF('Onshore - Armidale'!D6="Trimester",'Onshore - Armidale'!E6*3,IF('Onshore - Armidale'!D6="Term",'Onshore - Armidale'!E6*4,IF('Onshore - Armidale'!D6="Unit",'Onshore - Armidale'!E6*8,""))))))</f>
        <v>16000</v>
      </c>
      <c r="L123" s="0" t="n">
        <f aca="false">IF(AND(ISNUMBER('Onshore - Armidale'!E6),ISNUMBER(K123),ISNUMBER('Onshore - Armidale'!F6),ISNUMBER('Onshore - Armidale'!G6),OR('Onshore - Armidale'!F6&lt;&gt;0,ISNUMBER(SEARCH("Material 0 terverifikasi",'Onshore - Armidale'!M6))),OR('Onshore - Armidale'!G6&lt;&gt;0,ISNUMBER(SEARCH("Enrolment 0 terverifikasi",'Onshore - Armidale'!M6)))),1,0)</f>
        <v>1</v>
      </c>
      <c r="M123" s="0" t="n">
        <f aca="false">IF(OR('Onshore - Armidale'!E6="",ISNUMBER(SEARCH("BSB80120",'Onshore - Armidale'!B6&amp;'Onshore - Armidale'!M6)),ISNUMBER(SEARCH("Management (Learning)",'Onshore - Armidale'!B6))),2,IF(ISNUMBER(SEARCH("CEK:",'Onshore - Armidale'!M6)),1,0))</f>
        <v>1</v>
      </c>
    </row>
    <row r="124" customFormat="false" ht="15" hidden="false" customHeight="false" outlineLevel="0" collapsed="false">
      <c r="A124" s="61" t="s">
        <v>3769</v>
      </c>
      <c r="B124" s="62"/>
      <c r="C124" s="62"/>
      <c r="D124" s="62"/>
      <c r="E124" s="62"/>
      <c r="F124" s="62"/>
      <c r="G124" s="62"/>
      <c r="H124" s="62"/>
      <c r="I124" s="62"/>
    </row>
    <row r="125" customFormat="false" ht="15" hidden="false" customHeight="false" outlineLevel="0" collapsed="false">
      <c r="A125" s="63" t="s">
        <v>3767</v>
      </c>
      <c r="B125" s="64" t="s">
        <v>3758</v>
      </c>
      <c r="C125" s="63" t="s">
        <v>42</v>
      </c>
      <c r="D125" s="64" t="str">
        <f aca="false">TRIM(LEFT('Onshore - Armidale'!A6,FIND(CHAR(10),'Onshore - Armidale'!A6&amp;CHAR(10))-1))</f>
        <v>Academies Australasia</v>
      </c>
      <c r="E125" s="63" t="str">
        <f aca="false">'Onshore - Armidale'!C7&amp;""</f>
        <v>1 years</v>
      </c>
      <c r="F125" s="63" t="str">
        <f aca="false">IF('Onshore - Armidale'!D7="","Belum tercatat",'Onshore - Armidale'!D7)</f>
        <v>Term</v>
      </c>
      <c r="G125" s="65" t="n">
        <f aca="false">IF('Onshore - Armidale'!E7="","-",'Onshore - Armidale'!E7)</f>
        <v>4000</v>
      </c>
      <c r="H125" s="63" t="n">
        <f aca="false">IF(ISNUMBER(K125),COUNTIFS($J$6:$J$1916,J125,$K$6:$K$1916,"&lt;"&amp;K125)+1,"-")</f>
        <v>1</v>
      </c>
      <c r="I125" s="64" t="str">
        <f aca="false">IF('Onshore - Armidale'!E7="","Harga belum tersedia - hubungi konsultan TEG",IF(M125=2,"Saat ini tidak menerima pendaftaran siswa internasional baru",IF(M125=1,"Program perlu dikonfirmasi ketersediaannya"&amp;IF(""="","","; "&amp;""),"")))</f>
        <v>Program perlu dikonfirmasi ketersediaannya</v>
      </c>
      <c r="J125" s="0" t="s">
        <v>3770</v>
      </c>
      <c r="K125" s="0" t="n">
        <f aca="false">IF(M125=2,"",IF(ISNUMBER(SEARCH("rata-rata:",'Onshore - Armidale'!M7)),VALUE(MID('Onshore - Armidale'!M7,SEARCH("rata-rata:",'Onshore - Armidale'!M7)+11,FIND(";",'Onshore - Armidale'!M7&amp;";",SEARCH("rata-rata:",'Onshore - Armidale'!M7))-SEARCH("rata-rata:",'Onshore - Armidale'!M7)-11)),IF('Onshore - Armidale'!D7="Semester",'Onshore - Armidale'!E7*2,IF('Onshore - Armidale'!D7="Trimester",'Onshore - Armidale'!E7*3,IF('Onshore - Armidale'!D7="Term",'Onshore - Armidale'!E7*4,IF('Onshore - Armidale'!D7="Unit",'Onshore - Armidale'!E7*8,""))))))</f>
        <v>16000</v>
      </c>
      <c r="L125" s="0" t="n">
        <f aca="false">IF(AND(ISNUMBER('Onshore - Armidale'!E7),ISNUMBER(K125),ISNUMBER('Onshore - Armidale'!F7),ISNUMBER('Onshore - Armidale'!G7),OR('Onshore - Armidale'!F7&lt;&gt;0,ISNUMBER(SEARCH("Material 0 terverifikasi",'Onshore - Armidale'!M7))),OR('Onshore - Armidale'!G7&lt;&gt;0,ISNUMBER(SEARCH("Enrolment 0 terverifikasi",'Onshore - Armidale'!M7)))),1,0)</f>
        <v>1</v>
      </c>
      <c r="M125" s="0" t="n">
        <f aca="false">IF(OR('Onshore - Armidale'!E7="",ISNUMBER(SEARCH("BSB80120",'Onshore - Armidale'!B7&amp;'Onshore - Armidale'!M7)),ISNUMBER(SEARCH("Management (Learning)",'Onshore - Armidale'!B7))),2,IF(ISNUMBER(SEARCH("CEK:",'Onshore - Armidale'!M7)),1,0))</f>
        <v>1</v>
      </c>
    </row>
    <row r="126" customFormat="false" ht="15" hidden="false" customHeight="false" outlineLevel="0" collapsed="false">
      <c r="A126" s="61" t="s">
        <v>3771</v>
      </c>
      <c r="B126" s="62"/>
      <c r="C126" s="62"/>
      <c r="D126" s="62"/>
      <c r="E126" s="62"/>
      <c r="F126" s="62"/>
      <c r="G126" s="62"/>
      <c r="H126" s="62"/>
      <c r="I126" s="62"/>
    </row>
    <row r="127" customFormat="false" ht="15" hidden="false" customHeight="false" outlineLevel="0" collapsed="false">
      <c r="A127" s="63" t="s">
        <v>3563</v>
      </c>
      <c r="B127" s="64" t="s">
        <v>3758</v>
      </c>
      <c r="C127" s="63" t="s">
        <v>43</v>
      </c>
      <c r="D127" s="64" t="str">
        <f aca="false">TRIM(LEFT('Onshore - Brisbane'!A46,FIND(CHAR(10),'Onshore - Brisbane'!A46&amp;CHAR(10))-1))</f>
        <v>Australian Agribusiness Institute</v>
      </c>
      <c r="E127" s="63" t="str">
        <f aca="false">'Onshore - Brisbane'!C46&amp;""</f>
        <v>3 years</v>
      </c>
      <c r="F127" s="63" t="str">
        <f aca="false">IF('Onshore - Brisbane'!D46="","Belum tercatat",'Onshore - Brisbane'!D46)</f>
        <v>Term</v>
      </c>
      <c r="G127" s="65" t="n">
        <f aca="false">IF('Onshore - Brisbane'!E46="","-",'Onshore - Brisbane'!E46)</f>
        <v>3000</v>
      </c>
      <c r="H127" s="63" t="n">
        <f aca="false">IF(ISNUMBER(K127),COUNTIFS($J$6:$J$1916,J127,$K$6:$K$1916,"&lt;"&amp;K127)+1,"-")</f>
        <v>1</v>
      </c>
      <c r="I127" s="64" t="str">
        <f aca="false">IF('Onshore - Brisbane'!E46="","Harga belum tersedia - hubungi konsultan TEG",IF(M127=2,"Saat ini tidak menerima pendaftaran siswa internasional baru",IF(M127=1,"Harga perlu dikonfirmasi ke sekolah"&amp;IF(""="","","; "&amp;""),"")))</f>
        <v>Harga perlu dikonfirmasi ke sekolah</v>
      </c>
      <c r="J127" s="0" t="s">
        <v>3772</v>
      </c>
      <c r="K127" s="0" t="n">
        <f aca="false">IF(M127=2,"",IF(ISNUMBER(SEARCH("rata-rata:",'Onshore - Brisbane'!M46)),VALUE(MID('Onshore - Brisbane'!M46,SEARCH("rata-rata:",'Onshore - Brisbane'!M46)+11,FIND(";",'Onshore - Brisbane'!M46&amp;";",SEARCH("rata-rata:",'Onshore - Brisbane'!M46))-SEARCH("rata-rata:",'Onshore - Brisbane'!M46)-11)),IF('Onshore - Brisbane'!D46="Semester",'Onshore - Brisbane'!E46*2,IF('Onshore - Brisbane'!D46="Trimester",'Onshore - Brisbane'!E46*3,IF('Onshore - Brisbane'!D46="Term",'Onshore - Brisbane'!E46*4,IF('Onshore - Brisbane'!D46="Unit",'Onshore - Brisbane'!E46*8,""))))))</f>
        <v>12000</v>
      </c>
      <c r="L127" s="0" t="n">
        <f aca="false">IF(AND(ISNUMBER('Onshore - Brisbane'!E46),ISNUMBER(K127),ISNUMBER('Onshore - Brisbane'!F46),ISNUMBER('Onshore - Brisbane'!G46),OR('Onshore - Brisbane'!F46&lt;&gt;0,ISNUMBER(SEARCH("Material 0 terverifikasi",'Onshore - Brisbane'!M46))),OR('Onshore - Brisbane'!G46&lt;&gt;0,ISNUMBER(SEARCH("Enrolment 0 terverifikasi",'Onshore - Brisbane'!M46)))),1,0)</f>
        <v>0</v>
      </c>
      <c r="M127" s="0" t="n">
        <f aca="false">IF(OR('Onshore - Brisbane'!E46="",ISNUMBER(SEARCH("BSB80120",'Onshore - Brisbane'!B46&amp;'Onshore - Brisbane'!M46)),ISNUMBER(SEARCH("Management (Learning)",'Onshore - Brisbane'!B46))),2,IF(ISNUMBER(SEARCH("CEK:",'Onshore - Brisbane'!M46)),1,0))</f>
        <v>1</v>
      </c>
    </row>
    <row r="128" customFormat="false" ht="15" hidden="false" customHeight="false" outlineLevel="0" collapsed="false">
      <c r="A128" s="61" t="s">
        <v>3773</v>
      </c>
      <c r="B128" s="62"/>
      <c r="C128" s="62"/>
      <c r="D128" s="62"/>
      <c r="E128" s="62"/>
      <c r="F128" s="62"/>
      <c r="G128" s="62"/>
      <c r="H128" s="62"/>
      <c r="I128" s="62"/>
    </row>
    <row r="129" customFormat="false" ht="15" hidden="false" customHeight="false" outlineLevel="0" collapsed="false">
      <c r="A129" s="63" t="s">
        <v>3563</v>
      </c>
      <c r="B129" s="64" t="s">
        <v>3758</v>
      </c>
      <c r="C129" s="63" t="s">
        <v>3707</v>
      </c>
      <c r="D129" s="64" t="str">
        <f aca="false">TRIM(LEFT('Onshore - Brisbane'!A46,FIND(CHAR(10),'Onshore - Brisbane'!A46&amp;CHAR(10))-1))</f>
        <v>Australian Agribusiness Institute</v>
      </c>
      <c r="E129" s="63" t="str">
        <f aca="false">'Onshore - Brisbane'!C47&amp;""</f>
        <v>1 year</v>
      </c>
      <c r="F129" s="63" t="str">
        <f aca="false">IF('Onshore - Brisbane'!D47="","Belum tercatat",'Onshore - Brisbane'!D47)</f>
        <v>Term</v>
      </c>
      <c r="G129" s="65" t="n">
        <f aca="false">IF('Onshore - Brisbane'!E47="","-",'Onshore - Brisbane'!E47)</f>
        <v>4000</v>
      </c>
      <c r="H129" s="63" t="n">
        <f aca="false">IF(ISNUMBER(K129),COUNTIFS($J$6:$J$1916,J129,$K$6:$K$1916,"&lt;"&amp;K129)+1,"-")</f>
        <v>1</v>
      </c>
      <c r="I129" s="64" t="str">
        <f aca="false">IF('Onshore - Brisbane'!E47="","Harga belum tersedia - hubungi konsultan TEG",IF(M129=2,"Saat ini tidak menerima pendaftaran siswa internasional baru",IF(M129=1,"Harga perlu dikonfirmasi ke sekolah"&amp;IF(""="","","; "&amp;""),"")))</f>
        <v>Harga perlu dikonfirmasi ke sekolah</v>
      </c>
      <c r="J129" s="0" t="s">
        <v>3774</v>
      </c>
      <c r="K129" s="0" t="n">
        <f aca="false">IF(M129=2,"",IF(ISNUMBER(SEARCH("rata-rata:",'Onshore - Brisbane'!M47)),VALUE(MID('Onshore - Brisbane'!M47,SEARCH("rata-rata:",'Onshore - Brisbane'!M47)+11,FIND(";",'Onshore - Brisbane'!M47&amp;";",SEARCH("rata-rata:",'Onshore - Brisbane'!M47))-SEARCH("rata-rata:",'Onshore - Brisbane'!M47)-11)),IF('Onshore - Brisbane'!D47="Semester",'Onshore - Brisbane'!E47*2,IF('Onshore - Brisbane'!D47="Trimester",'Onshore - Brisbane'!E47*3,IF('Onshore - Brisbane'!D47="Term",'Onshore - Brisbane'!E47*4,IF('Onshore - Brisbane'!D47="Unit",'Onshore - Brisbane'!E47*8,""))))))</f>
        <v>16000</v>
      </c>
      <c r="L129" s="0" t="n">
        <f aca="false">IF(AND(ISNUMBER('Onshore - Brisbane'!E47),ISNUMBER(K129),ISNUMBER('Onshore - Brisbane'!F47),ISNUMBER('Onshore - Brisbane'!G47),OR('Onshore - Brisbane'!F47&lt;&gt;0,ISNUMBER(SEARCH("Material 0 terverifikasi",'Onshore - Brisbane'!M47))),OR('Onshore - Brisbane'!G47&lt;&gt;0,ISNUMBER(SEARCH("Enrolment 0 terverifikasi",'Onshore - Brisbane'!M47)))),1,0)</f>
        <v>0</v>
      </c>
      <c r="M129" s="0" t="n">
        <f aca="false">IF(OR('Onshore - Brisbane'!E47="",ISNUMBER(SEARCH("BSB80120",'Onshore - Brisbane'!B47&amp;'Onshore - Brisbane'!M47)),ISNUMBER(SEARCH("Management (Learning)",'Onshore - Brisbane'!B47))),2,IF(ISNUMBER(SEARCH("CEK:",'Onshore - Brisbane'!M47)),1,0))</f>
        <v>1</v>
      </c>
    </row>
    <row r="130" customFormat="false" ht="15" hidden="false" customHeight="false" outlineLevel="0" collapsed="false">
      <c r="A130" s="61" t="s">
        <v>3775</v>
      </c>
      <c r="B130" s="62"/>
      <c r="C130" s="62"/>
      <c r="D130" s="62"/>
      <c r="E130" s="62"/>
      <c r="F130" s="62"/>
      <c r="G130" s="62"/>
      <c r="H130" s="62"/>
      <c r="I130" s="62"/>
    </row>
    <row r="131" customFormat="false" ht="15" hidden="false" customHeight="false" outlineLevel="0" collapsed="false">
      <c r="A131" s="63" t="s">
        <v>3563</v>
      </c>
      <c r="B131" s="64" t="s">
        <v>3758</v>
      </c>
      <c r="C131" s="63" t="s">
        <v>46</v>
      </c>
      <c r="D131" s="64" t="str">
        <f aca="false">TRIM(LEFT('Onshore - Brisbane'!A46,FIND(CHAR(10),'Onshore - Brisbane'!A46&amp;CHAR(10))-1))</f>
        <v>Australian Agribusiness Institute</v>
      </c>
      <c r="E131" s="63" t="str">
        <f aca="false">'Onshore - Brisbane'!C49&amp;""</f>
        <v>2 years</v>
      </c>
      <c r="F131" s="63" t="str">
        <f aca="false">IF('Onshore - Brisbane'!D49="","Belum tercatat",'Onshore - Brisbane'!D49)</f>
        <v>Term</v>
      </c>
      <c r="G131" s="65" t="n">
        <f aca="false">IF('Onshore - Brisbane'!E49="","-",'Onshore - Brisbane'!E49)</f>
        <v>4000</v>
      </c>
      <c r="H131" s="63" t="n">
        <f aca="false">IF(ISNUMBER(K131),COUNTIFS($J$6:$J$1916,J131,$K$6:$K$1916,"&lt;"&amp;K131)+1,"-")</f>
        <v>1</v>
      </c>
      <c r="I131" s="64" t="str">
        <f aca="false">IF('Onshore - Brisbane'!E49="","Harga belum tersedia - hubungi konsultan TEG",IF(M131=2,"Saat ini tidak menerima pendaftaran siswa internasional baru",IF(M131=1,"Harga perlu dikonfirmasi ke sekolah"&amp;IF(""="","","; "&amp;""),"")))</f>
        <v>Harga perlu dikonfirmasi ke sekolah</v>
      </c>
      <c r="J131" s="0" t="s">
        <v>3776</v>
      </c>
      <c r="K131" s="0" t="n">
        <f aca="false">IF(M131=2,"",IF(ISNUMBER(SEARCH("rata-rata:",'Onshore - Brisbane'!M49)),VALUE(MID('Onshore - Brisbane'!M49,SEARCH("rata-rata:",'Onshore - Brisbane'!M49)+11,FIND(";",'Onshore - Brisbane'!M49&amp;";",SEARCH("rata-rata:",'Onshore - Brisbane'!M49))-SEARCH("rata-rata:",'Onshore - Brisbane'!M49)-11)),IF('Onshore - Brisbane'!D49="Semester",'Onshore - Brisbane'!E49*2,IF('Onshore - Brisbane'!D49="Trimester",'Onshore - Brisbane'!E49*3,IF('Onshore - Brisbane'!D49="Term",'Onshore - Brisbane'!E49*4,IF('Onshore - Brisbane'!D49="Unit",'Onshore - Brisbane'!E49*8,""))))))</f>
        <v>16000</v>
      </c>
      <c r="L131" s="0" t="n">
        <f aca="false">IF(AND(ISNUMBER('Onshore - Brisbane'!E49),ISNUMBER(K131),ISNUMBER('Onshore - Brisbane'!F49),ISNUMBER('Onshore - Brisbane'!G49),OR('Onshore - Brisbane'!F49&lt;&gt;0,ISNUMBER(SEARCH("Material 0 terverifikasi",'Onshore - Brisbane'!M49))),OR('Onshore - Brisbane'!G49&lt;&gt;0,ISNUMBER(SEARCH("Enrolment 0 terverifikasi",'Onshore - Brisbane'!M49)))),1,0)</f>
        <v>0</v>
      </c>
      <c r="M131" s="0" t="n">
        <f aca="false">IF(OR('Onshore - Brisbane'!E49="",ISNUMBER(SEARCH("BSB80120",'Onshore - Brisbane'!B49&amp;'Onshore - Brisbane'!M49)),ISNUMBER(SEARCH("Management (Learning)",'Onshore - Brisbane'!B49))),2,IF(ISNUMBER(SEARCH("CEK:",'Onshore - Brisbane'!M49)),1,0))</f>
        <v>1</v>
      </c>
    </row>
    <row r="132" customFormat="false" ht="15" hidden="false" customHeight="false" outlineLevel="0" collapsed="false">
      <c r="A132" s="61" t="s">
        <v>3777</v>
      </c>
      <c r="B132" s="62"/>
      <c r="C132" s="62"/>
      <c r="D132" s="62"/>
      <c r="E132" s="62"/>
      <c r="F132" s="62"/>
      <c r="G132" s="62"/>
      <c r="H132" s="62"/>
      <c r="I132" s="62"/>
    </row>
    <row r="133" customFormat="false" ht="28.35" hidden="false" customHeight="false" outlineLevel="0" collapsed="false">
      <c r="A133" s="63" t="s">
        <v>3533</v>
      </c>
      <c r="B133" s="64" t="s">
        <v>3758</v>
      </c>
      <c r="C133" s="63" t="s">
        <v>39</v>
      </c>
      <c r="D133" s="64" t="str">
        <f aca="false">TRIM(LEFT('Onshore - Sydney'!A289,FIND(CHAR(10),'Onshore - Sydney'!A289&amp;CHAR(10))-1))</f>
        <v>Australian College of International Studies (ACIS)</v>
      </c>
      <c r="E133" s="63" t="str">
        <f aca="false">'Onshore - Sydney'!C294&amp;""</f>
        <v>1 year</v>
      </c>
      <c r="F133" s="63" t="str">
        <f aca="false">IF('Onshore - Sydney'!D294="","Belum tercatat",'Onshore - Sydney'!D294)</f>
        <v>Term</v>
      </c>
      <c r="G133" s="65" t="n">
        <f aca="false">IF('Onshore - Sydney'!E294="","-",'Onshore - Sydney'!E294)</f>
        <v>2000</v>
      </c>
      <c r="H133" s="63" t="n">
        <f aca="false">IF(ISNUMBER(K133),COUNTIFS($J$6:$J$1916,J133,$K$6:$K$1916,"&lt;"&amp;K133)+1,"-")</f>
        <v>1</v>
      </c>
      <c r="I133" s="64" t="str">
        <f aca="false">IF('Onshore - Sydney'!E294="","Harga belum tersedia - hubungi konsultan TEG",IF(M133=2,"Saat ini tidak menerima pendaftaran siswa internasional baru",IF(M133=1,"Harga perlu dikonfirmasi ke sekolah"&amp;IF(""="","","; "&amp;""),"")))</f>
        <v/>
      </c>
      <c r="J133" s="0" t="s">
        <v>3778</v>
      </c>
      <c r="K133" s="0" t="n">
        <f aca="false">IF(M133=2,"",IF(ISNUMBER(SEARCH("rata-rata:",'Onshore - Sydney'!M294)),VALUE(MID('Onshore - Sydney'!M294,SEARCH("rata-rata:",'Onshore - Sydney'!M294)+11,FIND(";",'Onshore - Sydney'!M294&amp;";",SEARCH("rata-rata:",'Onshore - Sydney'!M294))-SEARCH("rata-rata:",'Onshore - Sydney'!M294)-11)),IF('Onshore - Sydney'!D294="Semester",'Onshore - Sydney'!E294*2,IF('Onshore - Sydney'!D294="Trimester",'Onshore - Sydney'!E294*3,IF('Onshore - Sydney'!D294="Term",'Onshore - Sydney'!E294*4,IF('Onshore - Sydney'!D294="Unit",'Onshore - Sydney'!E294*8,""))))))</f>
        <v>8000</v>
      </c>
      <c r="L133" s="0" t="n">
        <f aca="false">IF(AND(ISNUMBER('Onshore - Sydney'!E294),ISNUMBER(K133),ISNUMBER('Onshore - Sydney'!F294),ISNUMBER('Onshore - Sydney'!G294),OR('Onshore - Sydney'!F294&lt;&gt;0,ISNUMBER(SEARCH("Material 0 terverifikasi",'Onshore - Sydney'!M294))),OR('Onshore - Sydney'!G294&lt;&gt;0,ISNUMBER(SEARCH("Enrolment 0 terverifikasi",'Onshore - Sydney'!M294)))),1,0)</f>
        <v>1</v>
      </c>
      <c r="M133" s="0" t="n">
        <f aca="false">IF(OR('Onshore - Sydney'!E294="",ISNUMBER(SEARCH("BSB80120",'Onshore - Sydney'!B294&amp;'Onshore - Sydney'!M294)),ISNUMBER(SEARCH("Management (Learning)",'Onshore - Sydney'!B294))),2,IF(ISNUMBER(SEARCH("CEK:",'Onshore - Sydney'!M294)),1,0))</f>
        <v>0</v>
      </c>
    </row>
    <row r="134" customFormat="false" ht="15" hidden="false" customHeight="false" outlineLevel="0" collapsed="false">
      <c r="A134" s="63" t="s">
        <v>3533</v>
      </c>
      <c r="B134" s="64" t="s">
        <v>3758</v>
      </c>
      <c r="C134" s="63" t="s">
        <v>39</v>
      </c>
      <c r="D134" s="64" t="str">
        <f aca="false">TRIM(LEFT('Onshore - Sydney'!A796,FIND(CHAR(10),'Onshore - Sydney'!A796&amp;CHAR(10))-1))</f>
        <v>TAFE NSW</v>
      </c>
      <c r="E134" s="63" t="str">
        <f aca="false">'Onshore - Sydney'!C863&amp;""</f>
        <v>1 year</v>
      </c>
      <c r="F134" s="63" t="str">
        <f aca="false">IF('Onshore - Sydney'!D863="","Belum tercatat",'Onshore - Sydney'!D863)</f>
        <v>Term</v>
      </c>
      <c r="G134" s="65" t="n">
        <f aca="false">IF('Onshore - Sydney'!E863="","-",'Onshore - Sydney'!E863)</f>
        <v>4163</v>
      </c>
      <c r="H134" s="63" t="n">
        <f aca="false">IF(ISNUMBER(K134),COUNTIFS($J$6:$J$1916,J134,$K$6:$K$1916,"&lt;"&amp;K134)+1,"-")</f>
        <v>2</v>
      </c>
      <c r="I134" s="64" t="str">
        <f aca="false">IF('Onshore - Sydney'!E863="","Harga belum tersedia - hubungi konsultan TEG",IF(M134=2,"Saat ini tidak menerima pendaftaran siswa internasional baru",IF(M134=1,"Harga perlu dikonfirmasi ke sekolah"&amp;IF(""="","","; "&amp;""),"")))</f>
        <v/>
      </c>
      <c r="J134" s="0" t="s">
        <v>3778</v>
      </c>
      <c r="K134" s="0" t="n">
        <f aca="false">IF(M134=2,"",IF(ISNUMBER(SEARCH("rata-rata:",'Onshore - Sydney'!M863)),VALUE(MID('Onshore - Sydney'!M863,SEARCH("rata-rata:",'Onshore - Sydney'!M863)+11,FIND(";",'Onshore - Sydney'!M863&amp;";",SEARCH("rata-rata:",'Onshore - Sydney'!M863))-SEARCH("rata-rata:",'Onshore - Sydney'!M863)-11)),IF('Onshore - Sydney'!D863="Semester",'Onshore - Sydney'!E863*2,IF('Onshore - Sydney'!D863="Trimester",'Onshore - Sydney'!E863*3,IF('Onshore - Sydney'!D863="Term",'Onshore - Sydney'!E863*4,IF('Onshore - Sydney'!D863="Unit",'Onshore - Sydney'!E863*8,""))))))</f>
        <v>16652</v>
      </c>
      <c r="L134" s="0" t="n">
        <f aca="false">IF(AND(ISNUMBER('Onshore - Sydney'!E863),ISNUMBER(K134),ISNUMBER('Onshore - Sydney'!F863),ISNUMBER('Onshore - Sydney'!G863),OR('Onshore - Sydney'!F863&lt;&gt;0,ISNUMBER(SEARCH("Material 0 terverifikasi",'Onshore - Sydney'!M863))),OR('Onshore - Sydney'!G863&lt;&gt;0,ISNUMBER(SEARCH("Enrolment 0 terverifikasi",'Onshore - Sydney'!M863)))),1,0)</f>
        <v>0</v>
      </c>
      <c r="M134" s="0" t="n">
        <f aca="false">IF(OR('Onshore - Sydney'!E863="",ISNUMBER(SEARCH("BSB80120",'Onshore - Sydney'!B863&amp;'Onshore - Sydney'!M863)),ISNUMBER(SEARCH("Management (Learning)",'Onshore - Sydney'!B863))),2,IF(ISNUMBER(SEARCH("CEK:",'Onshore - Sydney'!M863)),1,0))</f>
        <v>0</v>
      </c>
    </row>
    <row r="135" customFormat="false" ht="15" hidden="false" customHeight="false" outlineLevel="0" collapsed="false">
      <c r="A135" s="61" t="s">
        <v>3779</v>
      </c>
      <c r="B135" s="62"/>
      <c r="C135" s="62"/>
      <c r="D135" s="62"/>
      <c r="E135" s="62"/>
      <c r="F135" s="62"/>
      <c r="G135" s="62"/>
      <c r="H135" s="62"/>
      <c r="I135" s="62"/>
    </row>
    <row r="136" customFormat="false" ht="15" hidden="false" customHeight="false" outlineLevel="0" collapsed="false">
      <c r="A136" s="63" t="s">
        <v>3533</v>
      </c>
      <c r="B136" s="64" t="s">
        <v>3758</v>
      </c>
      <c r="C136" s="63" t="s">
        <v>41</v>
      </c>
      <c r="D136" s="64" t="str">
        <f aca="false">TRIM(LEFT('Onshore - Sydney'!A796,FIND(CHAR(10),'Onshore - Sydney'!A796&amp;CHAR(10))-1))</f>
        <v>TAFE NSW</v>
      </c>
      <c r="E136" s="63" t="str">
        <f aca="false">'Onshore - Sydney'!C834&amp;""</f>
        <v>2.5 years</v>
      </c>
      <c r="F136" s="63" t="str">
        <f aca="false">IF('Onshore - Sydney'!D834="","Belum tercatat",'Onshore - Sydney'!D834)</f>
        <v>Term</v>
      </c>
      <c r="G136" s="65" t="n">
        <f aca="false">IF('Onshore - Sydney'!E834="","-",'Onshore - Sydney'!E834)</f>
        <v>3738</v>
      </c>
      <c r="H136" s="63" t="n">
        <f aca="false">IF(ISNUMBER(K136),COUNTIFS($J$6:$J$1916,J136,$K$6:$K$1916,"&lt;"&amp;K136)+1,"-")</f>
        <v>1</v>
      </c>
      <c r="I136" s="64" t="str">
        <f aca="false">IF('Onshore - Sydney'!E834="","Harga belum tersedia - hubungi konsultan TEG",IF(M136=2,"Saat ini tidak menerima pendaftaran siswa internasional baru",IF(M136=1,"Harga perlu dikonfirmasi ke sekolah"&amp;IF(""="","","; "&amp;""),"")))</f>
        <v/>
      </c>
      <c r="J136" s="0" t="s">
        <v>3780</v>
      </c>
      <c r="K136" s="0" t="n">
        <f aca="false">IF(M136=2,"",IF(ISNUMBER(SEARCH("rata-rata:",'Onshore - Sydney'!M834)),VALUE(MID('Onshore - Sydney'!M834,SEARCH("rata-rata:",'Onshore - Sydney'!M834)+11,FIND(";",'Onshore - Sydney'!M834&amp;";",SEARCH("rata-rata:",'Onshore - Sydney'!M834))-SEARCH("rata-rata:",'Onshore - Sydney'!M834)-11)),IF('Onshore - Sydney'!D834="Semester",'Onshore - Sydney'!E834*2,IF('Onshore - Sydney'!D834="Trimester",'Onshore - Sydney'!E834*3,IF('Onshore - Sydney'!D834="Term",'Onshore - Sydney'!E834*4,IF('Onshore - Sydney'!D834="Unit",'Onshore - Sydney'!E834*8,""))))))</f>
        <v>14952</v>
      </c>
      <c r="L136" s="0" t="n">
        <f aca="false">IF(AND(ISNUMBER('Onshore - Sydney'!E834),ISNUMBER(K136),ISNUMBER('Onshore - Sydney'!F834),ISNUMBER('Onshore - Sydney'!G834),OR('Onshore - Sydney'!F834&lt;&gt;0,ISNUMBER(SEARCH("Material 0 terverifikasi",'Onshore - Sydney'!M834))),OR('Onshore - Sydney'!G834&lt;&gt;0,ISNUMBER(SEARCH("Enrolment 0 terverifikasi",'Onshore - Sydney'!M834)))),1,0)</f>
        <v>0</v>
      </c>
      <c r="M136" s="0" t="n">
        <f aca="false">IF(OR('Onshore - Sydney'!E834="",ISNUMBER(SEARCH("BSB80120",'Onshore - Sydney'!B834&amp;'Onshore - Sydney'!M834)),ISNUMBER(SEARCH("Management (Learning)",'Onshore - Sydney'!B834))),2,IF(ISNUMBER(SEARCH("CEK:",'Onshore - Sydney'!M834)),1,0))</f>
        <v>0</v>
      </c>
    </row>
    <row r="137" customFormat="false" ht="15" hidden="false" customHeight="false" outlineLevel="0" collapsed="false">
      <c r="A137" s="61" t="s">
        <v>3781</v>
      </c>
      <c r="B137" s="62"/>
      <c r="C137" s="62"/>
      <c r="D137" s="62"/>
      <c r="E137" s="62"/>
      <c r="F137" s="62"/>
      <c r="G137" s="62"/>
      <c r="H137" s="62"/>
      <c r="I137" s="62"/>
    </row>
    <row r="138" customFormat="false" ht="15" hidden="false" customHeight="false" outlineLevel="0" collapsed="false">
      <c r="A138" s="63" t="s">
        <v>3533</v>
      </c>
      <c r="B138" s="64" t="s">
        <v>3758</v>
      </c>
      <c r="C138" s="63" t="s">
        <v>43</v>
      </c>
      <c r="D138" s="64" t="str">
        <f aca="false">TRIM(LEFT('Onshore - Sydney'!A156,FIND(CHAR(10),'Onshore - Sydney'!A156&amp;CHAR(10))-1))</f>
        <v>Australian Agribusiness Institute</v>
      </c>
      <c r="E138" s="63" t="str">
        <f aca="false">'Onshore - Sydney'!C156&amp;""</f>
        <v>3 years</v>
      </c>
      <c r="F138" s="63" t="str">
        <f aca="false">IF('Onshore - Sydney'!D156="","Belum tercatat",'Onshore - Sydney'!D156)</f>
        <v>Term</v>
      </c>
      <c r="G138" s="65" t="n">
        <f aca="false">IF('Onshore - Sydney'!E156="","-",'Onshore - Sydney'!E156)</f>
        <v>3000</v>
      </c>
      <c r="H138" s="63" t="n">
        <f aca="false">IF(ISNUMBER(K138),COUNTIFS($J$6:$J$1916,J138,$K$6:$K$1916,"&lt;"&amp;K138)+1,"-")</f>
        <v>1</v>
      </c>
      <c r="I138" s="64" t="str">
        <f aca="false">IF('Onshore - Sydney'!E156="","Harga belum tersedia - hubungi konsultan TEG",IF(M138=2,"Saat ini tidak menerima pendaftaran siswa internasional baru",IF(M138=1,"Harga perlu dikonfirmasi ke sekolah"&amp;IF(""="","","; "&amp;""),"")))</f>
        <v>Harga perlu dikonfirmasi ke sekolah</v>
      </c>
      <c r="J138" s="0" t="s">
        <v>3782</v>
      </c>
      <c r="K138" s="0" t="n">
        <f aca="false">IF(M138=2,"",IF(ISNUMBER(SEARCH("rata-rata:",'Onshore - Sydney'!M156)),VALUE(MID('Onshore - Sydney'!M156,SEARCH("rata-rata:",'Onshore - Sydney'!M156)+11,FIND(";",'Onshore - Sydney'!M156&amp;";",SEARCH("rata-rata:",'Onshore - Sydney'!M156))-SEARCH("rata-rata:",'Onshore - Sydney'!M156)-11)),IF('Onshore - Sydney'!D156="Semester",'Onshore - Sydney'!E156*2,IF('Onshore - Sydney'!D156="Trimester",'Onshore - Sydney'!E156*3,IF('Onshore - Sydney'!D156="Term",'Onshore - Sydney'!E156*4,IF('Onshore - Sydney'!D156="Unit",'Onshore - Sydney'!E156*8,""))))))</f>
        <v>12000</v>
      </c>
      <c r="L138" s="0" t="n">
        <f aca="false">IF(AND(ISNUMBER('Onshore - Sydney'!E156),ISNUMBER(K138),ISNUMBER('Onshore - Sydney'!F156),ISNUMBER('Onshore - Sydney'!G156),OR('Onshore - Sydney'!F156&lt;&gt;0,ISNUMBER(SEARCH("Material 0 terverifikasi",'Onshore - Sydney'!M156))),OR('Onshore - Sydney'!G156&lt;&gt;0,ISNUMBER(SEARCH("Enrolment 0 terverifikasi",'Onshore - Sydney'!M156)))),1,0)</f>
        <v>0</v>
      </c>
      <c r="M138" s="0" t="n">
        <f aca="false">IF(OR('Onshore - Sydney'!E156="",ISNUMBER(SEARCH("BSB80120",'Onshore - Sydney'!B156&amp;'Onshore - Sydney'!M156)),ISNUMBER(SEARCH("Management (Learning)",'Onshore - Sydney'!B156))),2,IF(ISNUMBER(SEARCH("CEK:",'Onshore - Sydney'!M156)),1,0))</f>
        <v>1</v>
      </c>
    </row>
    <row r="139" customFormat="false" ht="15" hidden="false" customHeight="false" outlineLevel="0" collapsed="false">
      <c r="A139" s="61" t="s">
        <v>3783</v>
      </c>
      <c r="B139" s="62"/>
      <c r="C139" s="62"/>
      <c r="D139" s="62"/>
      <c r="E139" s="62"/>
      <c r="F139" s="62"/>
      <c r="G139" s="62"/>
      <c r="H139" s="62"/>
      <c r="I139" s="62"/>
    </row>
    <row r="140" customFormat="false" ht="15" hidden="false" customHeight="false" outlineLevel="0" collapsed="false">
      <c r="A140" s="63" t="s">
        <v>3533</v>
      </c>
      <c r="B140" s="64" t="s">
        <v>3758</v>
      </c>
      <c r="C140" s="63" t="s">
        <v>3707</v>
      </c>
      <c r="D140" s="64" t="str">
        <f aca="false">TRIM(LEFT('Onshore - Sydney'!A156,FIND(CHAR(10),'Onshore - Sydney'!A156&amp;CHAR(10))-1))</f>
        <v>Australian Agribusiness Institute</v>
      </c>
      <c r="E140" s="63" t="str">
        <f aca="false">'Onshore - Sydney'!C157&amp;""</f>
        <v>1 year</v>
      </c>
      <c r="F140" s="63" t="str">
        <f aca="false">IF('Onshore - Sydney'!D157="","Belum tercatat",'Onshore - Sydney'!D157)</f>
        <v>Term</v>
      </c>
      <c r="G140" s="65" t="n">
        <f aca="false">IF('Onshore - Sydney'!E157="","-",'Onshore - Sydney'!E157)</f>
        <v>3500</v>
      </c>
      <c r="H140" s="63" t="n">
        <f aca="false">IF(ISNUMBER(K140),COUNTIFS($J$6:$J$1916,J140,$K$6:$K$1916,"&lt;"&amp;K140)+1,"-")</f>
        <v>1</v>
      </c>
      <c r="I140" s="64" t="str">
        <f aca="false">IF('Onshore - Sydney'!E157="","Harga belum tersedia - hubungi konsultan TEG",IF(M140=2,"Saat ini tidak menerima pendaftaran siswa internasional baru",IF(M140=1,"Harga perlu dikonfirmasi ke sekolah"&amp;IF(""="","","; "&amp;""),"")))</f>
        <v>Harga perlu dikonfirmasi ke sekolah</v>
      </c>
      <c r="J140" s="0" t="s">
        <v>3784</v>
      </c>
      <c r="K140" s="0" t="n">
        <f aca="false">IF(M140=2,"",IF(ISNUMBER(SEARCH("rata-rata:",'Onshore - Sydney'!M157)),VALUE(MID('Onshore - Sydney'!M157,SEARCH("rata-rata:",'Onshore - Sydney'!M157)+11,FIND(";",'Onshore - Sydney'!M157&amp;";",SEARCH("rata-rata:",'Onshore - Sydney'!M157))-SEARCH("rata-rata:",'Onshore - Sydney'!M157)-11)),IF('Onshore - Sydney'!D157="Semester",'Onshore - Sydney'!E157*2,IF('Onshore - Sydney'!D157="Trimester",'Onshore - Sydney'!E157*3,IF('Onshore - Sydney'!D157="Term",'Onshore - Sydney'!E157*4,IF('Onshore - Sydney'!D157="Unit",'Onshore - Sydney'!E157*8,""))))))</f>
        <v>14000</v>
      </c>
      <c r="L140" s="0" t="n">
        <f aca="false">IF(AND(ISNUMBER('Onshore - Sydney'!E157),ISNUMBER(K140),ISNUMBER('Onshore - Sydney'!F157),ISNUMBER('Onshore - Sydney'!G157),OR('Onshore - Sydney'!F157&lt;&gt;0,ISNUMBER(SEARCH("Material 0 terverifikasi",'Onshore - Sydney'!M157))),OR('Onshore - Sydney'!G157&lt;&gt;0,ISNUMBER(SEARCH("Enrolment 0 terverifikasi",'Onshore - Sydney'!M157)))),1,0)</f>
        <v>0</v>
      </c>
      <c r="M140" s="0" t="n">
        <f aca="false">IF(OR('Onshore - Sydney'!E157="",ISNUMBER(SEARCH("BSB80120",'Onshore - Sydney'!B157&amp;'Onshore - Sydney'!M157)),ISNUMBER(SEARCH("Management (Learning)",'Onshore - Sydney'!B157))),2,IF(ISNUMBER(SEARCH("CEK:",'Onshore - Sydney'!M157)),1,0))</f>
        <v>1</v>
      </c>
    </row>
    <row r="141" customFormat="false" ht="15" hidden="false" customHeight="false" outlineLevel="0" collapsed="false">
      <c r="A141" s="61" t="s">
        <v>3785</v>
      </c>
      <c r="B141" s="62"/>
      <c r="C141" s="62"/>
      <c r="D141" s="62"/>
      <c r="E141" s="62"/>
      <c r="F141" s="62"/>
      <c r="G141" s="62"/>
      <c r="H141" s="62"/>
      <c r="I141" s="62"/>
    </row>
    <row r="142" customFormat="false" ht="15" hidden="false" customHeight="false" outlineLevel="0" collapsed="false">
      <c r="A142" s="63" t="s">
        <v>3533</v>
      </c>
      <c r="B142" s="64" t="s">
        <v>3758</v>
      </c>
      <c r="C142" s="63" t="s">
        <v>46</v>
      </c>
      <c r="D142" s="64" t="str">
        <f aca="false">TRIM(LEFT('Onshore - Sydney'!A156,FIND(CHAR(10),'Onshore - Sydney'!A156&amp;CHAR(10))-1))</f>
        <v>Australian Agribusiness Institute</v>
      </c>
      <c r="E142" s="63" t="str">
        <f aca="false">'Onshore - Sydney'!C159&amp;""</f>
        <v>2 years</v>
      </c>
      <c r="F142" s="63" t="str">
        <f aca="false">IF('Onshore - Sydney'!D159="","Belum tercatat",'Onshore - Sydney'!D159)</f>
        <v>Term</v>
      </c>
      <c r="G142" s="65" t="n">
        <f aca="false">IF('Onshore - Sydney'!E159="","-",'Onshore - Sydney'!E159)</f>
        <v>3500</v>
      </c>
      <c r="H142" s="63" t="n">
        <f aca="false">IF(ISNUMBER(K142),COUNTIFS($J$6:$J$1916,J142,$K$6:$K$1916,"&lt;"&amp;K142)+1,"-")</f>
        <v>1</v>
      </c>
      <c r="I142" s="64" t="str">
        <f aca="false">IF('Onshore - Sydney'!E159="","Harga belum tersedia - hubungi konsultan TEG",IF(M142=2,"Saat ini tidak menerima pendaftaran siswa internasional baru",IF(M142=1,"Harga perlu dikonfirmasi ke sekolah"&amp;IF(""="","","; "&amp;""),"")))</f>
        <v>Harga perlu dikonfirmasi ke sekolah</v>
      </c>
      <c r="J142" s="0" t="s">
        <v>3786</v>
      </c>
      <c r="K142" s="0" t="n">
        <f aca="false">IF(M142=2,"",IF(ISNUMBER(SEARCH("rata-rata:",'Onshore - Sydney'!M159)),VALUE(MID('Onshore - Sydney'!M159,SEARCH("rata-rata:",'Onshore - Sydney'!M159)+11,FIND(";",'Onshore - Sydney'!M159&amp;";",SEARCH("rata-rata:",'Onshore - Sydney'!M159))-SEARCH("rata-rata:",'Onshore - Sydney'!M159)-11)),IF('Onshore - Sydney'!D159="Semester",'Onshore - Sydney'!E159*2,IF('Onshore - Sydney'!D159="Trimester",'Onshore - Sydney'!E159*3,IF('Onshore - Sydney'!D159="Term",'Onshore - Sydney'!E159*4,IF('Onshore - Sydney'!D159="Unit",'Onshore - Sydney'!E159*8,""))))))</f>
        <v>14000</v>
      </c>
      <c r="L142" s="0" t="n">
        <f aca="false">IF(AND(ISNUMBER('Onshore - Sydney'!E159),ISNUMBER(K142),ISNUMBER('Onshore - Sydney'!F159),ISNUMBER('Onshore - Sydney'!G159),OR('Onshore - Sydney'!F159&lt;&gt;0,ISNUMBER(SEARCH("Material 0 terverifikasi",'Onshore - Sydney'!M159))),OR('Onshore - Sydney'!G159&lt;&gt;0,ISNUMBER(SEARCH("Enrolment 0 terverifikasi",'Onshore - Sydney'!M159)))),1,0)</f>
        <v>0</v>
      </c>
      <c r="M142" s="0" t="n">
        <f aca="false">IF(OR('Onshore - Sydney'!E159="",ISNUMBER(SEARCH("BSB80120",'Onshore - Sydney'!B159&amp;'Onshore - Sydney'!M159)),ISNUMBER(SEARCH("Management (Learning)",'Onshore - Sydney'!B159))),2,IF(ISNUMBER(SEARCH("CEK:",'Onshore - Sydney'!M159)),1,0))</f>
        <v>1</v>
      </c>
    </row>
    <row r="143" customFormat="false" ht="15" hidden="false" customHeight="false" outlineLevel="0" collapsed="false">
      <c r="A143" s="61" t="s">
        <v>3787</v>
      </c>
      <c r="B143" s="62"/>
      <c r="C143" s="62"/>
      <c r="D143" s="62"/>
      <c r="E143" s="62"/>
      <c r="F143" s="62"/>
      <c r="G143" s="62"/>
      <c r="H143" s="62"/>
      <c r="I143" s="62"/>
    </row>
    <row r="144" customFormat="false" ht="15" hidden="false" customHeight="false" outlineLevel="0" collapsed="false">
      <c r="A144" s="63" t="s">
        <v>3753</v>
      </c>
      <c r="B144" s="64" t="s">
        <v>3758</v>
      </c>
      <c r="C144" s="63" t="s">
        <v>43</v>
      </c>
      <c r="D144" s="64" t="str">
        <f aca="false">TRIM(LEFT('Onshore - Tasmania Hobart'!A21,FIND(CHAR(10),'Onshore - Tasmania Hobart'!A21&amp;CHAR(10))-1))</f>
        <v>University of Tasmania (UTAS)</v>
      </c>
      <c r="E144" s="63" t="str">
        <f aca="false">'Onshore - Tasmania Hobart'!C42&amp;""</f>
        <v>3 years</v>
      </c>
      <c r="F144" s="63" t="str">
        <f aca="false">IF('Onshore - Tasmania Hobart'!D42="","Belum tercatat",'Onshore - Tasmania Hobart'!D42)</f>
        <v>Term</v>
      </c>
      <c r="G144" s="65" t="n">
        <f aca="false">IF('Onshore - Tasmania Hobart'!E42="","-",'Onshore - Tasmania Hobart'!E42)</f>
        <v>11237.5</v>
      </c>
      <c r="H144" s="63" t="n">
        <f aca="false">IF(ISNUMBER(K144),COUNTIFS($J$6:$J$1916,J144,$K$6:$K$1916,"&lt;"&amp;K144)+1,"-")</f>
        <v>1</v>
      </c>
      <c r="I144" s="64" t="str">
        <f aca="false">IF('Onshore - Tasmania Hobart'!E42="","Harga belum tersedia - hubungi konsultan TEG",IF(M144=2,"Saat ini tidak menerima pendaftaran siswa internasional baru",IF(M144=1,"Harga perlu dikonfirmasi ke sekolah"&amp;IF(""="","","; "&amp;""),"")))</f>
        <v/>
      </c>
      <c r="J144" s="0" t="s">
        <v>3788</v>
      </c>
      <c r="K144" s="0" t="n">
        <f aca="false">IF(M144=2,"",IF(ISNUMBER(SEARCH("rata-rata:",'Onshore - Tasmania Hobart'!M42)),VALUE(MID('Onshore - Tasmania Hobart'!M42,SEARCH("rata-rata:",'Onshore - Tasmania Hobart'!M42)+11,FIND(";",'Onshore - Tasmania Hobart'!M42&amp;";",SEARCH("rata-rata:",'Onshore - Tasmania Hobart'!M42))-SEARCH("rata-rata:",'Onshore - Tasmania Hobart'!M42)-11)),IF('Onshore - Tasmania Hobart'!D42="Semester",'Onshore - Tasmania Hobart'!E42*2,IF('Onshore - Tasmania Hobart'!D42="Trimester",'Onshore - Tasmania Hobart'!E42*3,IF('Onshore - Tasmania Hobart'!D42="Term",'Onshore - Tasmania Hobart'!E42*4,IF('Onshore - Tasmania Hobart'!D42="Unit",'Onshore - Tasmania Hobart'!E42*8,""))))))</f>
        <v>44950</v>
      </c>
      <c r="L144" s="0" t="n">
        <f aca="false">IF(AND(ISNUMBER('Onshore - Tasmania Hobart'!E42),ISNUMBER(K144),ISNUMBER('Onshore - Tasmania Hobart'!F42),ISNUMBER('Onshore - Tasmania Hobart'!G42),OR('Onshore - Tasmania Hobart'!F42&lt;&gt;0,ISNUMBER(SEARCH("Material 0 terverifikasi",'Onshore - Tasmania Hobart'!M42))),OR('Onshore - Tasmania Hobart'!G42&lt;&gt;0,ISNUMBER(SEARCH("Enrolment 0 terverifikasi",'Onshore - Tasmania Hobart'!M42)))),1,0)</f>
        <v>0</v>
      </c>
      <c r="M144" s="0" t="n">
        <f aca="false">IF(OR('Onshore - Tasmania Hobart'!E42="",ISNUMBER(SEARCH("BSB80120",'Onshore - Tasmania Hobart'!B42&amp;'Onshore - Tasmania Hobart'!M42)),ISNUMBER(SEARCH("Management (Learning)",'Onshore - Tasmania Hobart'!B42))),2,IF(ISNUMBER(SEARCH("CEK:",'Onshore - Tasmania Hobart'!M42)),1,0))</f>
        <v>0</v>
      </c>
    </row>
    <row r="145" customFormat="false" ht="15" hidden="false" customHeight="false" outlineLevel="0" collapsed="false">
      <c r="A145" s="61" t="s">
        <v>3789</v>
      </c>
      <c r="B145" s="62"/>
      <c r="C145" s="62"/>
      <c r="D145" s="62"/>
      <c r="E145" s="62"/>
      <c r="F145" s="62"/>
      <c r="G145" s="62"/>
      <c r="H145" s="62"/>
      <c r="I145" s="62"/>
    </row>
    <row r="146" customFormat="false" ht="15" hidden="false" customHeight="false" outlineLevel="0" collapsed="false">
      <c r="A146" s="63" t="s">
        <v>3753</v>
      </c>
      <c r="B146" s="64" t="s">
        <v>3758</v>
      </c>
      <c r="C146" s="63" t="s">
        <v>46</v>
      </c>
      <c r="D146" s="64" t="str">
        <f aca="false">TRIM(LEFT('Onshore - Tasmania Hobart'!A21,FIND(CHAR(10),'Onshore - Tasmania Hobart'!A21&amp;CHAR(10))-1))</f>
        <v>University of Tasmania (UTAS)</v>
      </c>
      <c r="E146" s="63" t="str">
        <f aca="false">'Onshore - Tasmania Hobart'!C58&amp;""</f>
        <v>2 years</v>
      </c>
      <c r="F146" s="63" t="str">
        <f aca="false">IF('Onshore - Tasmania Hobart'!D58="","Belum tercatat",'Onshore - Tasmania Hobart'!D58)</f>
        <v>Term</v>
      </c>
      <c r="G146" s="65" t="n">
        <f aca="false">IF('Onshore - Tasmania Hobart'!E58="","-",'Onshore - Tasmania Hobart'!E58)</f>
        <v>9562.5</v>
      </c>
      <c r="H146" s="63" t="n">
        <f aca="false">IF(ISNUMBER(K146),COUNTIFS($J$6:$J$1916,J146,$K$6:$K$1916,"&lt;"&amp;K146)+1,"-")</f>
        <v>1</v>
      </c>
      <c r="I146" s="64" t="str">
        <f aca="false">IF('Onshore - Tasmania Hobart'!E58="","Harga belum tersedia - hubungi konsultan TEG",IF(M146=2,"Saat ini tidak menerima pendaftaran siswa internasional baru",IF(M146=1,"Harga perlu dikonfirmasi ke sekolah"&amp;IF(""="","","; "&amp;""),"")))</f>
        <v>Harga perlu dikonfirmasi ke sekolah</v>
      </c>
      <c r="J146" s="0" t="s">
        <v>3790</v>
      </c>
      <c r="K146" s="0" t="n">
        <f aca="false">IF(M146=2,"",IF(ISNUMBER(SEARCH("rata-rata:",'Onshore - Tasmania Hobart'!M58)),VALUE(MID('Onshore - Tasmania Hobart'!M58,SEARCH("rata-rata:",'Onshore - Tasmania Hobart'!M58)+11,FIND(";",'Onshore - Tasmania Hobart'!M58&amp;";",SEARCH("rata-rata:",'Onshore - Tasmania Hobart'!M58))-SEARCH("rata-rata:",'Onshore - Tasmania Hobart'!M58)-11)),IF('Onshore - Tasmania Hobart'!D58="Semester",'Onshore - Tasmania Hobart'!E58*2,IF('Onshore - Tasmania Hobart'!D58="Trimester",'Onshore - Tasmania Hobart'!E58*3,IF('Onshore - Tasmania Hobart'!D58="Term",'Onshore - Tasmania Hobart'!E58*4,IF('Onshore - Tasmania Hobart'!D58="Unit",'Onshore - Tasmania Hobart'!E58*8,""))))))</f>
        <v>38250</v>
      </c>
      <c r="L146" s="0" t="n">
        <f aca="false">IF(AND(ISNUMBER('Onshore - Tasmania Hobart'!E58),ISNUMBER(K146),ISNUMBER('Onshore - Tasmania Hobart'!F58),ISNUMBER('Onshore - Tasmania Hobart'!G58),OR('Onshore - Tasmania Hobart'!F58&lt;&gt;0,ISNUMBER(SEARCH("Material 0 terverifikasi",'Onshore - Tasmania Hobart'!M58))),OR('Onshore - Tasmania Hobart'!G58&lt;&gt;0,ISNUMBER(SEARCH("Enrolment 0 terverifikasi",'Onshore - Tasmania Hobart'!M58)))),1,0)</f>
        <v>0</v>
      </c>
      <c r="M146" s="0" t="n">
        <f aca="false">IF(OR('Onshore - Tasmania Hobart'!E58="",ISNUMBER(SEARCH("BSB80120",'Onshore - Tasmania Hobart'!B58&amp;'Onshore - Tasmania Hobart'!M58)),ISNUMBER(SEARCH("Management (Learning)",'Onshore - Tasmania Hobart'!B58))),2,IF(ISNUMBER(SEARCH("CEK:",'Onshore - Tasmania Hobart'!M58)),1,0))</f>
        <v>1</v>
      </c>
    </row>
    <row r="147" customFormat="false" ht="15" hidden="false" customHeight="false" outlineLevel="0" collapsed="false">
      <c r="A147" s="61" t="s">
        <v>3791</v>
      </c>
      <c r="B147" s="62"/>
      <c r="C147" s="62"/>
      <c r="D147" s="62"/>
      <c r="E147" s="62"/>
      <c r="F147" s="62"/>
      <c r="G147" s="62"/>
      <c r="H147" s="62"/>
      <c r="I147" s="62"/>
    </row>
    <row r="148" customFormat="false" ht="15" hidden="false" customHeight="false" outlineLevel="0" collapsed="false">
      <c r="A148" s="63" t="s">
        <v>3659</v>
      </c>
      <c r="B148" s="64" t="s">
        <v>3792</v>
      </c>
      <c r="C148" s="63" t="s">
        <v>40</v>
      </c>
      <c r="D148" s="64" t="str">
        <f aca="false">TRIM(LEFT('Onshore - Adelaide'!A474,FIND(CHAR(10),'Onshore - Adelaide'!A474&amp;CHAR(10))-1))</f>
        <v>Signet Institute of Australia</v>
      </c>
      <c r="E148" s="63" t="str">
        <f aca="false">'Onshore - Adelaide'!C476&amp;""</f>
        <v>2 years</v>
      </c>
      <c r="F148" s="63" t="str">
        <f aca="false">IF('Onshore - Adelaide'!D476="","Belum tercatat",'Onshore - Adelaide'!D476)</f>
        <v>Term</v>
      </c>
      <c r="G148" s="65" t="n">
        <f aca="false">IF('Onshore - Adelaide'!E476="","-",'Onshore - Adelaide'!E476)</f>
        <v>2750</v>
      </c>
      <c r="H148" s="63" t="n">
        <f aca="false">IF(ISNUMBER(K148),COUNTIFS($J$6:$J$1916,J148,$K$6:$K$1916,"&lt;"&amp;K148)+1,"-")</f>
        <v>1</v>
      </c>
      <c r="I148" s="64" t="str">
        <f aca="false">IF('Onshore - Adelaide'!E476="","Harga belum tersedia - hubungi konsultan TEG",IF(M148=2,"Saat ini tidak menerima pendaftaran siswa internasional baru",IF(M148=1,"Harga perlu dikonfirmasi ke sekolah"&amp;IF(""="","","; "&amp;""),"")))</f>
        <v/>
      </c>
      <c r="J148" s="0" t="s">
        <v>3793</v>
      </c>
      <c r="K148" s="0" t="n">
        <f aca="false">IF(M148=2,"",IF(ISNUMBER(SEARCH("rata-rata:",'Onshore - Adelaide'!M476)),VALUE(MID('Onshore - Adelaide'!M476,SEARCH("rata-rata:",'Onshore - Adelaide'!M476)+11,FIND(";",'Onshore - Adelaide'!M476&amp;";",SEARCH("rata-rata:",'Onshore - Adelaide'!M476))-SEARCH("rata-rata:",'Onshore - Adelaide'!M476)-11)),IF('Onshore - Adelaide'!D476="Semester",'Onshore - Adelaide'!E476*2,IF('Onshore - Adelaide'!D476="Trimester",'Onshore - Adelaide'!E476*3,IF('Onshore - Adelaide'!D476="Term",'Onshore - Adelaide'!E476*4,IF('Onshore - Adelaide'!D476="Unit",'Onshore - Adelaide'!E476*8,""))))))</f>
        <v>11000</v>
      </c>
      <c r="L148" s="0" t="n">
        <f aca="false">IF(AND(ISNUMBER('Onshore - Adelaide'!E476),ISNUMBER(K148),ISNUMBER('Onshore - Adelaide'!F476),ISNUMBER('Onshore - Adelaide'!G476),OR('Onshore - Adelaide'!F476&lt;&gt;0,ISNUMBER(SEARCH("Material 0 terverifikasi",'Onshore - Adelaide'!M476))),OR('Onshore - Adelaide'!G476&lt;&gt;0,ISNUMBER(SEARCH("Enrolment 0 terverifikasi",'Onshore - Adelaide'!M476)))),1,0)</f>
        <v>0</v>
      </c>
      <c r="M148" s="0" t="n">
        <f aca="false">IF(OR('Onshore - Adelaide'!E476="",ISNUMBER(SEARCH("BSB80120",'Onshore - Adelaide'!B476&amp;'Onshore - Adelaide'!M476)),ISNUMBER(SEARCH("Management (Learning)",'Onshore - Adelaide'!B476))),2,IF(ISNUMBER(SEARCH("CEK:",'Onshore - Adelaide'!M476)),1,0))</f>
        <v>0</v>
      </c>
    </row>
    <row r="149" customFormat="false" ht="15" hidden="false" customHeight="false" outlineLevel="0" collapsed="false">
      <c r="A149" s="63" t="s">
        <v>3659</v>
      </c>
      <c r="B149" s="64" t="s">
        <v>3792</v>
      </c>
      <c r="C149" s="63" t="s">
        <v>40</v>
      </c>
      <c r="D149" s="64" t="str">
        <f aca="false">TRIM(LEFT('Onshore - Adelaide'!A381,FIND(CHAR(10),'Onshore - Adelaide'!A381&amp;CHAR(10))-1))</f>
        <v>Alliance College</v>
      </c>
      <c r="E149" s="63" t="str">
        <f aca="false">'Onshore - Adelaide'!C387&amp;""</f>
        <v>2 years</v>
      </c>
      <c r="F149" s="63" t="str">
        <f aca="false">IF('Onshore - Adelaide'!D387="","Belum tercatat",'Onshore - Adelaide'!D387)</f>
        <v>Term</v>
      </c>
      <c r="G149" s="65" t="n">
        <f aca="false">IF('Onshore - Adelaide'!E387="","-",'Onshore - Adelaide'!E387)</f>
        <v>3600</v>
      </c>
      <c r="H149" s="63" t="n">
        <f aca="false">IF(ISNUMBER(K149),COUNTIFS($J$6:$J$1916,J149,$K$6:$K$1916,"&lt;"&amp;K149)+1,"-")</f>
        <v>2</v>
      </c>
      <c r="I149" s="64" t="str">
        <f aca="false">IF('Onshore - Adelaide'!E387="","Harga belum tersedia - hubungi konsultan TEG",IF(M149=2,"Saat ini tidak menerima pendaftaran siswa internasional baru",IF(M149=1,"Harga perlu dikonfirmasi ke sekolah"&amp;IF(""="","","; "&amp;""),"")))</f>
        <v/>
      </c>
      <c r="J149" s="0" t="s">
        <v>3793</v>
      </c>
      <c r="K149" s="0" t="n">
        <f aca="false">IF(M149=2,"",IF(ISNUMBER(SEARCH("rata-rata:",'Onshore - Adelaide'!M387)),VALUE(MID('Onshore - Adelaide'!M387,SEARCH("rata-rata:",'Onshore - Adelaide'!M387)+11,FIND(";",'Onshore - Adelaide'!M387&amp;";",SEARCH("rata-rata:",'Onshore - Adelaide'!M387))-SEARCH("rata-rata:",'Onshore - Adelaide'!M387)-11)),IF('Onshore - Adelaide'!D387="Semester",'Onshore - Adelaide'!E387*2,IF('Onshore - Adelaide'!D387="Trimester",'Onshore - Adelaide'!E387*3,IF('Onshore - Adelaide'!D387="Term",'Onshore - Adelaide'!E387*4,IF('Onshore - Adelaide'!D387="Unit",'Onshore - Adelaide'!E387*8,""))))))</f>
        <v>14400</v>
      </c>
      <c r="L149" s="0" t="n">
        <f aca="false">IF(AND(ISNUMBER('Onshore - Adelaide'!E387),ISNUMBER(K149),ISNUMBER('Onshore - Adelaide'!F387),ISNUMBER('Onshore - Adelaide'!G387),OR('Onshore - Adelaide'!F387&lt;&gt;0,ISNUMBER(SEARCH("Material 0 terverifikasi",'Onshore - Adelaide'!M387))),OR('Onshore - Adelaide'!G387&lt;&gt;0,ISNUMBER(SEARCH("Enrolment 0 terverifikasi",'Onshore - Adelaide'!M387)))),1,0)</f>
        <v>1</v>
      </c>
      <c r="M149" s="0" t="n">
        <f aca="false">IF(OR('Onshore - Adelaide'!E387="",ISNUMBER(SEARCH("BSB80120",'Onshore - Adelaide'!B387&amp;'Onshore - Adelaide'!M387)),ISNUMBER(SEARCH("Management (Learning)",'Onshore - Adelaide'!B387))),2,IF(ISNUMBER(SEARCH("CEK:",'Onshore - Adelaide'!M387)),1,0))</f>
        <v>0</v>
      </c>
    </row>
    <row r="150" customFormat="false" ht="15" hidden="false" customHeight="false" outlineLevel="0" collapsed="false">
      <c r="A150" s="61" t="s">
        <v>3794</v>
      </c>
      <c r="B150" s="62"/>
      <c r="C150" s="62"/>
      <c r="D150" s="62"/>
      <c r="E150" s="62"/>
      <c r="F150" s="62"/>
      <c r="G150" s="62"/>
      <c r="H150" s="62"/>
      <c r="I150" s="62"/>
    </row>
    <row r="151" customFormat="false" ht="15" hidden="false" customHeight="false" outlineLevel="0" collapsed="false">
      <c r="A151" s="63" t="s">
        <v>3659</v>
      </c>
      <c r="B151" s="64" t="s">
        <v>3792</v>
      </c>
      <c r="C151" s="63" t="s">
        <v>41</v>
      </c>
      <c r="D151" s="64" t="str">
        <f aca="false">TRIM(LEFT('Onshore - Adelaide'!A381,FIND(CHAR(10),'Onshore - Adelaide'!A381&amp;CHAR(10))-1))</f>
        <v>Alliance College</v>
      </c>
      <c r="E151" s="63" t="str">
        <f aca="false">'Onshore - Adelaide'!C388&amp;""</f>
        <v>2,5 years</v>
      </c>
      <c r="F151" s="63" t="str">
        <f aca="false">IF('Onshore - Adelaide'!D388="","Belum tercatat",'Onshore - Adelaide'!D388)</f>
        <v>Term</v>
      </c>
      <c r="G151" s="65" t="n">
        <f aca="false">IF('Onshore - Adelaide'!E388="","-",'Onshore - Adelaide'!E388)</f>
        <v>3480</v>
      </c>
      <c r="H151" s="63" t="n">
        <f aca="false">IF(ISNUMBER(K151),COUNTIFS($J$6:$J$1916,J151,$K$6:$K$1916,"&lt;"&amp;K151)+1,"-")</f>
        <v>1</v>
      </c>
      <c r="I151" s="64" t="str">
        <f aca="false">IF('Onshore - Adelaide'!E388="","Harga belum tersedia - hubungi konsultan TEG",IF(M151=2,"Saat ini tidak menerima pendaftaran siswa internasional baru",IF(M151=1,"Harga perlu dikonfirmasi ke sekolah"&amp;IF(""="","","; "&amp;""),"")))</f>
        <v/>
      </c>
      <c r="J151" s="0" t="s">
        <v>3795</v>
      </c>
      <c r="K151" s="0" t="n">
        <f aca="false">IF(M151=2,"",IF(ISNUMBER(SEARCH("rata-rata:",'Onshore - Adelaide'!M388)),VALUE(MID('Onshore - Adelaide'!M388,SEARCH("rata-rata:",'Onshore - Adelaide'!M388)+11,FIND(";",'Onshore - Adelaide'!M388&amp;";",SEARCH("rata-rata:",'Onshore - Adelaide'!M388))-SEARCH("rata-rata:",'Onshore - Adelaide'!M388)-11)),IF('Onshore - Adelaide'!D388="Semester",'Onshore - Adelaide'!E388*2,IF('Onshore - Adelaide'!D388="Trimester",'Onshore - Adelaide'!E388*3,IF('Onshore - Adelaide'!D388="Term",'Onshore - Adelaide'!E388*4,IF('Onshore - Adelaide'!D388="Unit",'Onshore - Adelaide'!E388*8,""))))))</f>
        <v>13920</v>
      </c>
      <c r="L151" s="0" t="n">
        <f aca="false">IF(AND(ISNUMBER('Onshore - Adelaide'!E388),ISNUMBER(K151),ISNUMBER('Onshore - Adelaide'!F388),ISNUMBER('Onshore - Adelaide'!G388),OR('Onshore - Adelaide'!F388&lt;&gt;0,ISNUMBER(SEARCH("Material 0 terverifikasi",'Onshore - Adelaide'!M388))),OR('Onshore - Adelaide'!G388&lt;&gt;0,ISNUMBER(SEARCH("Enrolment 0 terverifikasi",'Onshore - Adelaide'!M388)))),1,0)</f>
        <v>1</v>
      </c>
      <c r="M151" s="0" t="n">
        <f aca="false">IF(OR('Onshore - Adelaide'!E388="",ISNUMBER(SEARCH("BSB80120",'Onshore - Adelaide'!B388&amp;'Onshore - Adelaide'!M388)),ISNUMBER(SEARCH("Management (Learning)",'Onshore - Adelaide'!B388))),2,IF(ISNUMBER(SEARCH("CEK:",'Onshore - Adelaide'!M388)),1,0))</f>
        <v>0</v>
      </c>
    </row>
    <row r="152" customFormat="false" ht="15" hidden="false" customHeight="false" outlineLevel="0" collapsed="false">
      <c r="A152" s="61" t="s">
        <v>3796</v>
      </c>
      <c r="B152" s="62"/>
      <c r="C152" s="62"/>
      <c r="D152" s="62"/>
      <c r="E152" s="62"/>
      <c r="F152" s="62"/>
      <c r="G152" s="62"/>
      <c r="H152" s="62"/>
      <c r="I152" s="62"/>
    </row>
    <row r="153" customFormat="false" ht="15" hidden="false" customHeight="false" outlineLevel="0" collapsed="false">
      <c r="A153" s="63" t="s">
        <v>3563</v>
      </c>
      <c r="B153" s="64" t="s">
        <v>3792</v>
      </c>
      <c r="C153" s="63" t="s">
        <v>39</v>
      </c>
      <c r="D153" s="64" t="str">
        <f aca="false">TRIM(LEFT('Onshore - Brisbane'!A278,FIND(CHAR(10),'Onshore - Brisbane'!A278&amp;CHAR(10))-1))</f>
        <v>Oceania College of Technology</v>
      </c>
      <c r="E153" s="63" t="str">
        <f aca="false">'Onshore - Brisbane'!C282&amp;""</f>
        <v>2 years</v>
      </c>
      <c r="F153" s="63" t="str">
        <f aca="false">IF('Onshore - Brisbane'!D282="","Belum tercatat",'Onshore - Brisbane'!D282)</f>
        <v>Term</v>
      </c>
      <c r="G153" s="65" t="n">
        <f aca="false">IF('Onshore - Brisbane'!E282="","-",'Onshore - Brisbane'!E282)</f>
        <v>2333</v>
      </c>
      <c r="H153" s="63" t="n">
        <f aca="false">IF(ISNUMBER(K153),COUNTIFS($J$6:$J$1916,J153,$K$6:$K$1916,"&lt;"&amp;K153)+1,"-")</f>
        <v>1</v>
      </c>
      <c r="I153" s="64" t="str">
        <f aca="false">IF('Onshore - Brisbane'!E282="","Harga belum tersedia - hubungi konsultan TEG",IF(M153=2,"Saat ini tidak menerima pendaftaran siswa internasional baru",IF(M153=1,"Program perlu dikonfirmasi ketersediaannya"&amp;IF(""="","","; "&amp;""),"")))</f>
        <v>Program perlu dikonfirmasi ketersediaannya</v>
      </c>
      <c r="J153" s="0" t="s">
        <v>3797</v>
      </c>
      <c r="K153" s="0" t="n">
        <f aca="false">IF(M153=2,"",IF(ISNUMBER(SEARCH("rata-rata:",'Onshore - Brisbane'!M282)),VALUE(MID('Onshore - Brisbane'!M282,SEARCH("rata-rata:",'Onshore - Brisbane'!M282)+11,FIND(";",'Onshore - Brisbane'!M282&amp;";",SEARCH("rata-rata:",'Onshore - Brisbane'!M282))-SEARCH("rata-rata:",'Onshore - Brisbane'!M282)-11)),IF('Onshore - Brisbane'!D282="Semester",'Onshore - Brisbane'!E282*2,IF('Onshore - Brisbane'!D282="Trimester",'Onshore - Brisbane'!E282*3,IF('Onshore - Brisbane'!D282="Term",'Onshore - Brisbane'!E282*4,IF('Onshore - Brisbane'!D282="Unit",'Onshore - Brisbane'!E282*8,""))))))</f>
        <v>9332</v>
      </c>
      <c r="L153" s="0" t="n">
        <f aca="false">IF(AND(ISNUMBER('Onshore - Brisbane'!E282),ISNUMBER(K153),ISNUMBER('Onshore - Brisbane'!F282),ISNUMBER('Onshore - Brisbane'!G282),OR('Onshore - Brisbane'!F282&lt;&gt;0,ISNUMBER(SEARCH("Material 0 terverifikasi",'Onshore - Brisbane'!M282))),OR('Onshore - Brisbane'!G282&lt;&gt;0,ISNUMBER(SEARCH("Enrolment 0 terverifikasi",'Onshore - Brisbane'!M282)))),1,0)</f>
        <v>1</v>
      </c>
      <c r="M153" s="0" t="n">
        <f aca="false">IF(OR('Onshore - Brisbane'!E282="",ISNUMBER(SEARCH("BSB80120",'Onshore - Brisbane'!B282&amp;'Onshore - Brisbane'!M282)),ISNUMBER(SEARCH("Management (Learning)",'Onshore - Brisbane'!B282))),2,IF(ISNUMBER(SEARCH("CEK:",'Onshore - Brisbane'!M282)),1,0))</f>
        <v>1</v>
      </c>
    </row>
    <row r="154" customFormat="false" ht="15" hidden="false" customHeight="false" outlineLevel="0" collapsed="false">
      <c r="A154" s="61" t="s">
        <v>3798</v>
      </c>
      <c r="B154" s="62"/>
      <c r="C154" s="62"/>
      <c r="D154" s="62"/>
      <c r="E154" s="62"/>
      <c r="F154" s="62"/>
      <c r="G154" s="62"/>
      <c r="H154" s="62"/>
      <c r="I154" s="62"/>
    </row>
    <row r="155" customFormat="false" ht="15" hidden="false" customHeight="false" outlineLevel="0" collapsed="false">
      <c r="A155" s="63" t="s">
        <v>3563</v>
      </c>
      <c r="B155" s="64" t="s">
        <v>3792</v>
      </c>
      <c r="C155" s="63" t="s">
        <v>40</v>
      </c>
      <c r="D155" s="64" t="str">
        <f aca="false">TRIM(LEFT('Onshore - Brisbane'!A278,FIND(CHAR(10),'Onshore - Brisbane'!A278&amp;CHAR(10))-1))</f>
        <v>Oceania College of Technology</v>
      </c>
      <c r="E155" s="63" t="str">
        <f aca="false">'Onshore - Brisbane'!C278&amp;""</f>
        <v>2 years</v>
      </c>
      <c r="F155" s="63" t="str">
        <f aca="false">IF('Onshore - Brisbane'!D278="","Belum tercatat",'Onshore - Brisbane'!D278)</f>
        <v>Term</v>
      </c>
      <c r="G155" s="65" t="n">
        <f aca="false">IF('Onshore - Brisbane'!E278="","-",'Onshore - Brisbane'!E278)</f>
        <v>2250</v>
      </c>
      <c r="H155" s="63" t="n">
        <f aca="false">IF(ISNUMBER(K155),COUNTIFS($J$6:$J$1916,J155,$K$6:$K$1916,"&lt;"&amp;K155)+1,"-")</f>
        <v>1</v>
      </c>
      <c r="I155" s="64" t="str">
        <f aca="false">IF('Onshore - Brisbane'!E278="","Harga belum tersedia - hubungi konsultan TEG",IF(M155=2,"Saat ini tidak menerima pendaftaran siswa internasional baru",IF(M155=1,"Program perlu dikonfirmasi ketersediaannya"&amp;IF(""="","","; "&amp;""),"")))</f>
        <v>Program perlu dikonfirmasi ketersediaannya</v>
      </c>
      <c r="J155" s="0" t="s">
        <v>3799</v>
      </c>
      <c r="K155" s="0" t="n">
        <f aca="false">IF(M155=2,"",IF(ISNUMBER(SEARCH("rata-rata:",'Onshore - Brisbane'!M278)),VALUE(MID('Onshore - Brisbane'!M278,SEARCH("rata-rata:",'Onshore - Brisbane'!M278)+11,FIND(";",'Onshore - Brisbane'!M278&amp;";",SEARCH("rata-rata:",'Onshore - Brisbane'!M278))-SEARCH("rata-rata:",'Onshore - Brisbane'!M278)-11)),IF('Onshore - Brisbane'!D278="Semester",'Onshore - Brisbane'!E278*2,IF('Onshore - Brisbane'!D278="Trimester",'Onshore - Brisbane'!E278*3,IF('Onshore - Brisbane'!D278="Term",'Onshore - Brisbane'!E278*4,IF('Onshore - Brisbane'!D278="Unit",'Onshore - Brisbane'!E278*8,""))))))</f>
        <v>9000</v>
      </c>
      <c r="L155" s="0" t="n">
        <f aca="false">IF(AND(ISNUMBER('Onshore - Brisbane'!E278),ISNUMBER(K155),ISNUMBER('Onshore - Brisbane'!F278),ISNUMBER('Onshore - Brisbane'!G278),OR('Onshore - Brisbane'!F278&lt;&gt;0,ISNUMBER(SEARCH("Material 0 terverifikasi",'Onshore - Brisbane'!M278))),OR('Onshore - Brisbane'!G278&lt;&gt;0,ISNUMBER(SEARCH("Enrolment 0 terverifikasi",'Onshore - Brisbane'!M278)))),1,0)</f>
        <v>1</v>
      </c>
      <c r="M155" s="0" t="n">
        <f aca="false">IF(OR('Onshore - Brisbane'!E278="",ISNUMBER(SEARCH("BSB80120",'Onshore - Brisbane'!B278&amp;'Onshore - Brisbane'!M278)),ISNUMBER(SEARCH("Management (Learning)",'Onshore - Brisbane'!B278))),2,IF(ISNUMBER(SEARCH("CEK:",'Onshore - Brisbane'!M278)),1,0))</f>
        <v>1</v>
      </c>
    </row>
    <row r="156" customFormat="false" ht="15" hidden="false" customHeight="false" outlineLevel="0" collapsed="false">
      <c r="A156" s="63" t="s">
        <v>3563</v>
      </c>
      <c r="B156" s="64" t="s">
        <v>3792</v>
      </c>
      <c r="C156" s="63" t="s">
        <v>40</v>
      </c>
      <c r="D156" s="64" t="str">
        <f aca="false">TRIM(LEFT('Onshore - Brisbane'!A170,FIND(CHAR(10),'Onshore - Brisbane'!A170&amp;CHAR(10))-1))</f>
        <v>Cambridge College</v>
      </c>
      <c r="E156" s="63" t="str">
        <f aca="false">'Onshore - Brisbane'!C171&amp;""</f>
        <v>2 years</v>
      </c>
      <c r="F156" s="63" t="str">
        <f aca="false">IF('Onshore - Brisbane'!D171="","Belum tercatat",'Onshore - Brisbane'!D171)</f>
        <v>Term</v>
      </c>
      <c r="G156" s="65" t="n">
        <f aca="false">IF('Onshore - Brisbane'!E171="","-",'Onshore - Brisbane'!E171)</f>
        <v>2500</v>
      </c>
      <c r="H156" s="63" t="n">
        <f aca="false">IF(ISNUMBER(K156),COUNTIFS($J$6:$J$1916,J156,$K$6:$K$1916,"&lt;"&amp;K156)+1,"-")</f>
        <v>2</v>
      </c>
      <c r="I156" s="64" t="str">
        <f aca="false">IF('Onshore - Brisbane'!E171="","Harga belum tersedia - hubungi konsultan TEG",IF(M156=2,"Saat ini tidak menerima pendaftaran siswa internasional baru",IF(M156=1,"Program perlu dikonfirmasi ketersediaannya"&amp;IF(""="","","; "&amp;""),"")))</f>
        <v>Program perlu dikonfirmasi ketersediaannya</v>
      </c>
      <c r="J156" s="0" t="s">
        <v>3799</v>
      </c>
      <c r="K156" s="0" t="n">
        <f aca="false">IF(M156=2,"",IF(ISNUMBER(SEARCH("rata-rata:",'Onshore - Brisbane'!M171)),VALUE(MID('Onshore - Brisbane'!M171,SEARCH("rata-rata:",'Onshore - Brisbane'!M171)+11,FIND(";",'Onshore - Brisbane'!M171&amp;";",SEARCH("rata-rata:",'Onshore - Brisbane'!M171))-SEARCH("rata-rata:",'Onshore - Brisbane'!M171)-11)),IF('Onshore - Brisbane'!D171="Semester",'Onshore - Brisbane'!E171*2,IF('Onshore - Brisbane'!D171="Trimester",'Onshore - Brisbane'!E171*3,IF('Onshore - Brisbane'!D171="Term",'Onshore - Brisbane'!E171*4,IF('Onshore - Brisbane'!D171="Unit",'Onshore - Brisbane'!E171*8,""))))))</f>
        <v>10000</v>
      </c>
      <c r="L156" s="0" t="n">
        <f aca="false">IF(AND(ISNUMBER('Onshore - Brisbane'!E171),ISNUMBER(K156),ISNUMBER('Onshore - Brisbane'!F171),ISNUMBER('Onshore - Brisbane'!G171),OR('Onshore - Brisbane'!F171&lt;&gt;0,ISNUMBER(SEARCH("Material 0 terverifikasi",'Onshore - Brisbane'!M171))),OR('Onshore - Brisbane'!G171&lt;&gt;0,ISNUMBER(SEARCH("Enrolment 0 terverifikasi",'Onshore - Brisbane'!M171)))),1,0)</f>
        <v>1</v>
      </c>
      <c r="M156" s="0" t="n">
        <f aca="false">IF(OR('Onshore - Brisbane'!E171="",ISNUMBER(SEARCH("BSB80120",'Onshore - Brisbane'!B171&amp;'Onshore - Brisbane'!M171)),ISNUMBER(SEARCH("Management (Learning)",'Onshore - Brisbane'!B171))),2,IF(ISNUMBER(SEARCH("CEK:",'Onshore - Brisbane'!M171)),1,0))</f>
        <v>1</v>
      </c>
    </row>
    <row r="157" customFormat="false" ht="15" hidden="false" customHeight="false" outlineLevel="0" collapsed="false">
      <c r="A157" s="63" t="s">
        <v>3563</v>
      </c>
      <c r="B157" s="64" t="s">
        <v>3792</v>
      </c>
      <c r="C157" s="63" t="s">
        <v>40</v>
      </c>
      <c r="D157" s="64" t="str">
        <f aca="false">TRIM(LEFT('Onshore - Brisbane'!A26,FIND(CHAR(10),'Onshore - Brisbane'!A26&amp;CHAR(10))-1))</f>
        <v>American College</v>
      </c>
      <c r="E157" s="63" t="str">
        <f aca="false">'Onshore - Brisbane'!C27&amp;""</f>
        <v>2,5 years</v>
      </c>
      <c r="F157" s="63" t="str">
        <f aca="false">IF('Onshore - Brisbane'!D27="","Belum tercatat",'Onshore - Brisbane'!D27)</f>
        <v>Term</v>
      </c>
      <c r="G157" s="65" t="n">
        <f aca="false">IF('Onshore - Brisbane'!E27="","-",'Onshore - Brisbane'!E27)</f>
        <v>2860</v>
      </c>
      <c r="H157" s="63" t="n">
        <f aca="false">IF(ISNUMBER(K157),COUNTIFS($J$6:$J$1916,J157,$K$6:$K$1916,"&lt;"&amp;K157)+1,"-")</f>
        <v>3</v>
      </c>
      <c r="I157" s="64" t="str">
        <f aca="false">IF('Onshore - Brisbane'!E27="","Harga belum tersedia - hubungi konsultan TEG",IF(M157=2,"Saat ini tidak menerima pendaftaran siswa internasional baru",IF(M157=1,"Harga perlu dikonfirmasi ke sekolah"&amp;IF(""="","","; "&amp;""),"")))</f>
        <v/>
      </c>
      <c r="J157" s="0" t="s">
        <v>3799</v>
      </c>
      <c r="K157" s="0" t="n">
        <f aca="false">IF(M157=2,"",IF(ISNUMBER(SEARCH("rata-rata:",'Onshore - Brisbane'!M27)),VALUE(MID('Onshore - Brisbane'!M27,SEARCH("rata-rata:",'Onshore - Brisbane'!M27)+11,FIND(";",'Onshore - Brisbane'!M27&amp;";",SEARCH("rata-rata:",'Onshore - Brisbane'!M27))-SEARCH("rata-rata:",'Onshore - Brisbane'!M27)-11)),IF('Onshore - Brisbane'!D27="Semester",'Onshore - Brisbane'!E27*2,IF('Onshore - Brisbane'!D27="Trimester",'Onshore - Brisbane'!E27*3,IF('Onshore - Brisbane'!D27="Term",'Onshore - Brisbane'!E27*4,IF('Onshore - Brisbane'!D27="Unit",'Onshore - Brisbane'!E27*8,""))))))</f>
        <v>11440</v>
      </c>
      <c r="L157" s="0" t="n">
        <f aca="false">IF(AND(ISNUMBER('Onshore - Brisbane'!E27),ISNUMBER(K157),ISNUMBER('Onshore - Brisbane'!F27),ISNUMBER('Onshore - Brisbane'!G27),OR('Onshore - Brisbane'!F27&lt;&gt;0,ISNUMBER(SEARCH("Material 0 terverifikasi",'Onshore - Brisbane'!M27))),OR('Onshore - Brisbane'!G27&lt;&gt;0,ISNUMBER(SEARCH("Enrolment 0 terverifikasi",'Onshore - Brisbane'!M27)))),1,0)</f>
        <v>1</v>
      </c>
      <c r="M157" s="0" t="n">
        <f aca="false">IF(OR('Onshore - Brisbane'!E27="",ISNUMBER(SEARCH("BSB80120",'Onshore - Brisbane'!B27&amp;'Onshore - Brisbane'!M27)),ISNUMBER(SEARCH("Management (Learning)",'Onshore - Brisbane'!B27))),2,IF(ISNUMBER(SEARCH("CEK:",'Onshore - Brisbane'!M27)),1,0))</f>
        <v>0</v>
      </c>
    </row>
    <row r="158" customFormat="false" ht="15" hidden="false" customHeight="false" outlineLevel="0" collapsed="false">
      <c r="A158" s="63" t="s">
        <v>3563</v>
      </c>
      <c r="B158" s="64" t="s">
        <v>3792</v>
      </c>
      <c r="C158" s="63" t="s">
        <v>40</v>
      </c>
      <c r="D158" s="64" t="str">
        <f aca="false">TRIM(LEFT('Onshore - Brisbane'!A158,FIND(CHAR(10),'Onshore - Brisbane'!A158&amp;CHAR(10))-1))</f>
        <v>Australian Global Institute (AGI)</v>
      </c>
      <c r="E158" s="63" t="str">
        <f aca="false">'Onshore - Brisbane'!C159&amp;""</f>
        <v>2,5 years</v>
      </c>
      <c r="F158" s="63" t="str">
        <f aca="false">IF('Onshore - Brisbane'!D159="","Belum tercatat",'Onshore - Brisbane'!D159)</f>
        <v>Term</v>
      </c>
      <c r="G158" s="65" t="n">
        <f aca="false">IF('Onshore - Brisbane'!E159="","-",'Onshore - Brisbane'!E159)</f>
        <v>3500</v>
      </c>
      <c r="H158" s="63" t="n">
        <f aca="false">IF(ISNUMBER(K158),COUNTIFS($J$6:$J$1916,J158,$K$6:$K$1916,"&lt;"&amp;K158)+1,"-")</f>
        <v>4</v>
      </c>
      <c r="I158" s="64" t="str">
        <f aca="false">IF('Onshore - Brisbane'!E159="","Harga belum tersedia - hubungi konsultan TEG",IF(M158=2,"Saat ini tidak menerima pendaftaran siswa internasional baru",IF(M158=1,"Harga perlu dikonfirmasi ke sekolah"&amp;IF(""="","","; "&amp;""),"")))</f>
        <v/>
      </c>
      <c r="J158" s="0" t="s">
        <v>3799</v>
      </c>
      <c r="K158" s="0" t="n">
        <f aca="false">IF(M158=2,"",IF(ISNUMBER(SEARCH("rata-rata:",'Onshore - Brisbane'!M159)),VALUE(MID('Onshore - Brisbane'!M159,SEARCH("rata-rata:",'Onshore - Brisbane'!M159)+11,FIND(";",'Onshore - Brisbane'!M159&amp;";",SEARCH("rata-rata:",'Onshore - Brisbane'!M159))-SEARCH("rata-rata:",'Onshore - Brisbane'!M159)-11)),IF('Onshore - Brisbane'!D159="Semester",'Onshore - Brisbane'!E159*2,IF('Onshore - Brisbane'!D159="Trimester",'Onshore - Brisbane'!E159*3,IF('Onshore - Brisbane'!D159="Term",'Onshore - Brisbane'!E159*4,IF('Onshore - Brisbane'!D159="Unit",'Onshore - Brisbane'!E159*8,""))))))</f>
        <v>14000</v>
      </c>
      <c r="L158" s="0" t="n">
        <f aca="false">IF(AND(ISNUMBER('Onshore - Brisbane'!E159),ISNUMBER(K158),ISNUMBER('Onshore - Brisbane'!F159),ISNUMBER('Onshore - Brisbane'!G159),OR('Onshore - Brisbane'!F159&lt;&gt;0,ISNUMBER(SEARCH("Material 0 terverifikasi",'Onshore - Brisbane'!M159))),OR('Onshore - Brisbane'!G159&lt;&gt;0,ISNUMBER(SEARCH("Enrolment 0 terverifikasi",'Onshore - Brisbane'!M159)))),1,0)</f>
        <v>1</v>
      </c>
      <c r="M158" s="0" t="n">
        <f aca="false">IF(OR('Onshore - Brisbane'!E159="",ISNUMBER(SEARCH("BSB80120",'Onshore - Brisbane'!B159&amp;'Onshore - Brisbane'!M159)),ISNUMBER(SEARCH("Management (Learning)",'Onshore - Brisbane'!B159))),2,IF(ISNUMBER(SEARCH("CEK:",'Onshore - Brisbane'!M159)),1,0))</f>
        <v>0</v>
      </c>
    </row>
    <row r="159" customFormat="false" ht="15" hidden="false" customHeight="false" outlineLevel="0" collapsed="false">
      <c r="A159" s="61" t="s">
        <v>3800</v>
      </c>
      <c r="B159" s="62"/>
      <c r="C159" s="62"/>
      <c r="D159" s="62"/>
      <c r="E159" s="62"/>
      <c r="F159" s="62"/>
      <c r="G159" s="62"/>
      <c r="H159" s="62"/>
      <c r="I159" s="62"/>
    </row>
    <row r="160" customFormat="false" ht="15" hidden="false" customHeight="false" outlineLevel="0" collapsed="false">
      <c r="A160" s="63" t="s">
        <v>3563</v>
      </c>
      <c r="B160" s="64" t="s">
        <v>3792</v>
      </c>
      <c r="C160" s="63" t="s">
        <v>41</v>
      </c>
      <c r="D160" s="64" t="str">
        <f aca="false">TRIM(LEFT('Onshore - Brisbane'!A170,FIND(CHAR(10),'Onshore - Brisbane'!A170&amp;CHAR(10))-1))</f>
        <v>Cambridge College</v>
      </c>
      <c r="E160" s="63" t="str">
        <f aca="false">'Onshore - Brisbane'!C172&amp;""</f>
        <v>3 years</v>
      </c>
      <c r="F160" s="63" t="str">
        <f aca="false">IF('Onshore - Brisbane'!D172="","Belum tercatat",'Onshore - Brisbane'!D172)</f>
        <v>Term</v>
      </c>
      <c r="G160" s="65" t="n">
        <f aca="false">IF('Onshore - Brisbane'!E172="","-",'Onshore - Brisbane'!E172)</f>
        <v>2400</v>
      </c>
      <c r="H160" s="63" t="n">
        <f aca="false">IF(ISNUMBER(K160),COUNTIFS($J$6:$J$1916,J160,$K$6:$K$1916,"&lt;"&amp;K160)+1,"-")</f>
        <v>1</v>
      </c>
      <c r="I160" s="64" t="str">
        <f aca="false">IF('Onshore - Brisbane'!E172="","Harga belum tersedia - hubungi konsultan TEG",IF(M160=2,"Saat ini tidak menerima pendaftaran siswa internasional baru",IF(M160=1,"Program perlu dikonfirmasi ketersediaannya"&amp;IF(""="","","; "&amp;""),"")))</f>
        <v>Program perlu dikonfirmasi ketersediaannya</v>
      </c>
      <c r="J160" s="0" t="s">
        <v>3801</v>
      </c>
      <c r="K160" s="0" t="n">
        <f aca="false">IF(M160=2,"",IF(ISNUMBER(SEARCH("rata-rata:",'Onshore - Brisbane'!M172)),VALUE(MID('Onshore - Brisbane'!M172,SEARCH("rata-rata:",'Onshore - Brisbane'!M172)+11,FIND(";",'Onshore - Brisbane'!M172&amp;";",SEARCH("rata-rata:",'Onshore - Brisbane'!M172))-SEARCH("rata-rata:",'Onshore - Brisbane'!M172)-11)),IF('Onshore - Brisbane'!D172="Semester",'Onshore - Brisbane'!E172*2,IF('Onshore - Brisbane'!D172="Trimester",'Onshore - Brisbane'!E172*3,IF('Onshore - Brisbane'!D172="Term",'Onshore - Brisbane'!E172*4,IF('Onshore - Brisbane'!D172="Unit",'Onshore - Brisbane'!E172*8,""))))))</f>
        <v>9600</v>
      </c>
      <c r="L160" s="0" t="n">
        <f aca="false">IF(AND(ISNUMBER('Onshore - Brisbane'!E172),ISNUMBER(K160),ISNUMBER('Onshore - Brisbane'!F172),ISNUMBER('Onshore - Brisbane'!G172),OR('Onshore - Brisbane'!F172&lt;&gt;0,ISNUMBER(SEARCH("Material 0 terverifikasi",'Onshore - Brisbane'!M172))),OR('Onshore - Brisbane'!G172&lt;&gt;0,ISNUMBER(SEARCH("Enrolment 0 terverifikasi",'Onshore - Brisbane'!M172)))),1,0)</f>
        <v>1</v>
      </c>
      <c r="M160" s="0" t="n">
        <f aca="false">IF(OR('Onshore - Brisbane'!E172="",ISNUMBER(SEARCH("BSB80120",'Onshore - Brisbane'!B172&amp;'Onshore - Brisbane'!M172)),ISNUMBER(SEARCH("Management (Learning)",'Onshore - Brisbane'!B172))),2,IF(ISNUMBER(SEARCH("CEK:",'Onshore - Brisbane'!M172)),1,0))</f>
        <v>1</v>
      </c>
    </row>
    <row r="161" customFormat="false" ht="15" hidden="false" customHeight="false" outlineLevel="0" collapsed="false">
      <c r="A161" s="63" t="s">
        <v>3563</v>
      </c>
      <c r="B161" s="64" t="s">
        <v>3792</v>
      </c>
      <c r="C161" s="63" t="s">
        <v>41</v>
      </c>
      <c r="D161" s="64" t="str">
        <f aca="false">TRIM(LEFT('Onshore - Brisbane'!A278,FIND(CHAR(10),'Onshore - Brisbane'!A278&amp;CHAR(10))-1))</f>
        <v>Oceania College of Technology</v>
      </c>
      <c r="E161" s="63" t="str">
        <f aca="false">'Onshore - Brisbane'!C285&amp;""</f>
        <v>3 years</v>
      </c>
      <c r="F161" s="63" t="str">
        <f aca="false">IF('Onshore - Brisbane'!D285="","Belum tercatat",'Onshore - Brisbane'!D285)</f>
        <v>Term</v>
      </c>
      <c r="G161" s="65" t="n">
        <f aca="false">IF('Onshore - Brisbane'!E285="","-",'Onshore - Brisbane'!E285)</f>
        <v>2500</v>
      </c>
      <c r="H161" s="63" t="n">
        <f aca="false">IF(ISNUMBER(K161),COUNTIFS($J$6:$J$1916,J161,$K$6:$K$1916,"&lt;"&amp;K161)+1,"-")</f>
        <v>2</v>
      </c>
      <c r="I161" s="64" t="str">
        <f aca="false">IF('Onshore - Brisbane'!E285="","Harga belum tersedia - hubungi konsultan TEG",IF(M161=2,"Saat ini tidak menerima pendaftaran siswa internasional baru",IF(M161=1,"Program perlu dikonfirmasi ketersediaannya"&amp;IF(""="","","; "&amp;""),"")))</f>
        <v>Program perlu dikonfirmasi ketersediaannya</v>
      </c>
      <c r="J161" s="0" t="s">
        <v>3801</v>
      </c>
      <c r="K161" s="0" t="n">
        <f aca="false">IF(M161=2,"",IF(ISNUMBER(SEARCH("rata-rata:",'Onshore - Brisbane'!M285)),VALUE(MID('Onshore - Brisbane'!M285,SEARCH("rata-rata:",'Onshore - Brisbane'!M285)+11,FIND(";",'Onshore - Brisbane'!M285&amp;";",SEARCH("rata-rata:",'Onshore - Brisbane'!M285))-SEARCH("rata-rata:",'Onshore - Brisbane'!M285)-11)),IF('Onshore - Brisbane'!D285="Semester",'Onshore - Brisbane'!E285*2,IF('Onshore - Brisbane'!D285="Trimester",'Onshore - Brisbane'!E285*3,IF('Onshore - Brisbane'!D285="Term",'Onshore - Brisbane'!E285*4,IF('Onshore - Brisbane'!D285="Unit",'Onshore - Brisbane'!E285*8,""))))))</f>
        <v>10000</v>
      </c>
      <c r="L161" s="0" t="n">
        <f aca="false">IF(AND(ISNUMBER('Onshore - Brisbane'!E285),ISNUMBER(K161),ISNUMBER('Onshore - Brisbane'!F285),ISNUMBER('Onshore - Brisbane'!G285),OR('Onshore - Brisbane'!F285&lt;&gt;0,ISNUMBER(SEARCH("Material 0 terverifikasi",'Onshore - Brisbane'!M285))),OR('Onshore - Brisbane'!G285&lt;&gt;0,ISNUMBER(SEARCH("Enrolment 0 terverifikasi",'Onshore - Brisbane'!M285)))),1,0)</f>
        <v>1</v>
      </c>
      <c r="M161" s="0" t="n">
        <f aca="false">IF(OR('Onshore - Brisbane'!E285="",ISNUMBER(SEARCH("BSB80120",'Onshore - Brisbane'!B285&amp;'Onshore - Brisbane'!M285)),ISNUMBER(SEARCH("Management (Learning)",'Onshore - Brisbane'!B285))),2,IF(ISNUMBER(SEARCH("CEK:",'Onshore - Brisbane'!M285)),1,0))</f>
        <v>1</v>
      </c>
    </row>
    <row r="162" customFormat="false" ht="15" hidden="false" customHeight="false" outlineLevel="0" collapsed="false">
      <c r="A162" s="63" t="s">
        <v>3563</v>
      </c>
      <c r="B162" s="64" t="s">
        <v>3792</v>
      </c>
      <c r="C162" s="63" t="s">
        <v>41</v>
      </c>
      <c r="D162" s="64" t="str">
        <f aca="false">TRIM(LEFT('Onshore - Brisbane'!A296,FIND(CHAR(10),'Onshore - Brisbane'!A296&amp;CHAR(10))-1))</f>
        <v>Skills Institute Australia</v>
      </c>
      <c r="E162" s="63" t="str">
        <f aca="false">'Onshore - Brisbane'!C299&amp;""</f>
        <v>2,5 years</v>
      </c>
      <c r="F162" s="63" t="str">
        <f aca="false">IF('Onshore - Brisbane'!D299="","Belum tercatat",'Onshore - Brisbane'!D299)</f>
        <v>Term</v>
      </c>
      <c r="G162" s="65" t="n">
        <f aca="false">IF('Onshore - Brisbane'!E299="","-",'Onshore - Brisbane'!E299)</f>
        <v>2650</v>
      </c>
      <c r="H162" s="63" t="n">
        <f aca="false">IF(ISNUMBER(K162),COUNTIFS($J$6:$J$1916,J162,$K$6:$K$1916,"&lt;"&amp;K162)+1,"-")</f>
        <v>3</v>
      </c>
      <c r="I162" s="64" t="str">
        <f aca="false">IF('Onshore - Brisbane'!E299="","Harga belum tersedia - hubungi konsultan TEG",IF(M162=2,"Saat ini tidak menerima pendaftaran siswa internasional baru",IF(M162=1,"Harga perlu dikonfirmasi ke sekolah"&amp;IF(""="","","; "&amp;""),"")))</f>
        <v/>
      </c>
      <c r="J162" s="0" t="s">
        <v>3801</v>
      </c>
      <c r="K162" s="0" t="n">
        <f aca="false">IF(M162=2,"",IF(ISNUMBER(SEARCH("rata-rata:",'Onshore - Brisbane'!M299)),VALUE(MID('Onshore - Brisbane'!M299,SEARCH("rata-rata:",'Onshore - Brisbane'!M299)+11,FIND(";",'Onshore - Brisbane'!M299&amp;";",SEARCH("rata-rata:",'Onshore - Brisbane'!M299))-SEARCH("rata-rata:",'Onshore - Brisbane'!M299)-11)),IF('Onshore - Brisbane'!D299="Semester",'Onshore - Brisbane'!E299*2,IF('Onshore - Brisbane'!D299="Trimester",'Onshore - Brisbane'!E299*3,IF('Onshore - Brisbane'!D299="Term",'Onshore - Brisbane'!E299*4,IF('Onshore - Brisbane'!D299="Unit",'Onshore - Brisbane'!E299*8,""))))))</f>
        <v>10600</v>
      </c>
      <c r="L162" s="0" t="n">
        <f aca="false">IF(AND(ISNUMBER('Onshore - Brisbane'!E299),ISNUMBER(K162),ISNUMBER('Onshore - Brisbane'!F299),ISNUMBER('Onshore - Brisbane'!G299),OR('Onshore - Brisbane'!F299&lt;&gt;0,ISNUMBER(SEARCH("Material 0 terverifikasi",'Onshore - Brisbane'!M299))),OR('Onshore - Brisbane'!G299&lt;&gt;0,ISNUMBER(SEARCH("Enrolment 0 terverifikasi",'Onshore - Brisbane'!M299)))),1,0)</f>
        <v>1</v>
      </c>
      <c r="M162" s="0" t="n">
        <f aca="false">IF(OR('Onshore - Brisbane'!E299="",ISNUMBER(SEARCH("BSB80120",'Onshore - Brisbane'!B299&amp;'Onshore - Brisbane'!M299)),ISNUMBER(SEARCH("Management (Learning)",'Onshore - Brisbane'!B299))),2,IF(ISNUMBER(SEARCH("CEK:",'Onshore - Brisbane'!M299)),1,0))</f>
        <v>0</v>
      </c>
    </row>
    <row r="163" customFormat="false" ht="15" hidden="false" customHeight="false" outlineLevel="0" collapsed="false">
      <c r="A163" s="63" t="s">
        <v>3563</v>
      </c>
      <c r="B163" s="64" t="s">
        <v>3792</v>
      </c>
      <c r="C163" s="63" t="s">
        <v>41</v>
      </c>
      <c r="D163" s="64" t="str">
        <f aca="false">TRIM(LEFT('Onshore - Brisbane'!A26,FIND(CHAR(10),'Onshore - Brisbane'!A26&amp;CHAR(10))-1))</f>
        <v>American College</v>
      </c>
      <c r="E163" s="63" t="str">
        <f aca="false">'Onshore - Brisbane'!C28&amp;""</f>
        <v>3 years</v>
      </c>
      <c r="F163" s="63" t="str">
        <f aca="false">IF('Onshore - Brisbane'!D28="","Belum tercatat",'Onshore - Brisbane'!D28)</f>
        <v>Term</v>
      </c>
      <c r="G163" s="65" t="n">
        <f aca="false">IF('Onshore - Brisbane'!E28="","-",'Onshore - Brisbane'!E28)</f>
        <v>2860</v>
      </c>
      <c r="H163" s="63" t="n">
        <f aca="false">IF(ISNUMBER(K163),COUNTIFS($J$6:$J$1916,J163,$K$6:$K$1916,"&lt;"&amp;K163)+1,"-")</f>
        <v>4</v>
      </c>
      <c r="I163" s="64" t="str">
        <f aca="false">IF('Onshore - Brisbane'!E28="","Harga belum tersedia - hubungi konsultan TEG",IF(M163=2,"Saat ini tidak menerima pendaftaran siswa internasional baru",IF(M163=1,"Harga perlu dikonfirmasi ke sekolah"&amp;IF(""="","","; "&amp;""),"")))</f>
        <v/>
      </c>
      <c r="J163" s="0" t="s">
        <v>3801</v>
      </c>
      <c r="K163" s="0" t="n">
        <f aca="false">IF(M163=2,"",IF(ISNUMBER(SEARCH("rata-rata:",'Onshore - Brisbane'!M28)),VALUE(MID('Onshore - Brisbane'!M28,SEARCH("rata-rata:",'Onshore - Brisbane'!M28)+11,FIND(";",'Onshore - Brisbane'!M28&amp;";",SEARCH("rata-rata:",'Onshore - Brisbane'!M28))-SEARCH("rata-rata:",'Onshore - Brisbane'!M28)-11)),IF('Onshore - Brisbane'!D28="Semester",'Onshore - Brisbane'!E28*2,IF('Onshore - Brisbane'!D28="Trimester",'Onshore - Brisbane'!E28*3,IF('Onshore - Brisbane'!D28="Term",'Onshore - Brisbane'!E28*4,IF('Onshore - Brisbane'!D28="Unit",'Onshore - Brisbane'!E28*8,""))))))</f>
        <v>11440</v>
      </c>
      <c r="L163" s="0" t="n">
        <f aca="false">IF(AND(ISNUMBER('Onshore - Brisbane'!E28),ISNUMBER(K163),ISNUMBER('Onshore - Brisbane'!F28),ISNUMBER('Onshore - Brisbane'!G28),OR('Onshore - Brisbane'!F28&lt;&gt;0,ISNUMBER(SEARCH("Material 0 terverifikasi",'Onshore - Brisbane'!M28))),OR('Onshore - Brisbane'!G28&lt;&gt;0,ISNUMBER(SEARCH("Enrolment 0 terverifikasi",'Onshore - Brisbane'!M28)))),1,0)</f>
        <v>1</v>
      </c>
      <c r="M163" s="0" t="n">
        <f aca="false">IF(OR('Onshore - Brisbane'!E28="",ISNUMBER(SEARCH("BSB80120",'Onshore - Brisbane'!B28&amp;'Onshore - Brisbane'!M28)),ISNUMBER(SEARCH("Management (Learning)",'Onshore - Brisbane'!B28))),2,IF(ISNUMBER(SEARCH("CEK:",'Onshore - Brisbane'!M28)),1,0))</f>
        <v>0</v>
      </c>
    </row>
    <row r="164" customFormat="false" ht="15" hidden="false" customHeight="false" outlineLevel="0" collapsed="false">
      <c r="A164" s="61" t="s">
        <v>4630</v>
      </c>
      <c r="B164" s="62"/>
      <c r="C164" s="62"/>
      <c r="D164" s="62"/>
      <c r="E164" s="62"/>
      <c r="F164" s="62"/>
      <c r="G164" s="62"/>
      <c r="H164" s="62"/>
      <c r="I164" s="62"/>
    </row>
    <row r="165" customFormat="false" ht="15" hidden="false" customHeight="false" outlineLevel="0" collapsed="false">
      <c r="A165" s="63" t="s">
        <v>3718</v>
      </c>
      <c r="B165" s="64" t="s">
        <v>3792</v>
      </c>
      <c r="C165" s="63" t="s">
        <v>39</v>
      </c>
      <c r="D165" s="64" t="str">
        <f aca="false">TRIM(LEFT('Onshore - Canberra'!A143,FIND(CHAR(10),'Onshore - Canberra'!A143&amp;CHAR(10))-1))</f>
        <v>Mid City College</v>
      </c>
      <c r="E165" s="63" t="str">
        <f aca="false">'Onshore - Canberra'!C146&amp;""</f>
        <v>1.5 years</v>
      </c>
      <c r="F165" s="63" t="str">
        <f aca="false">IF('Onshore - Canberra'!D146="","Belum tercatat",'Onshore - Canberra'!D146)</f>
        <v>Term</v>
      </c>
      <c r="G165" s="65" t="n">
        <f aca="false">IF('Onshore - Canberra'!E146="","-",'Onshore - Canberra'!E146)</f>
        <v>3170</v>
      </c>
      <c r="H165" s="63" t="n">
        <f aca="false">IF(ISNUMBER(K165),COUNTIFS($J$6:$J$1916,J165,$K$6:$K$1916,"&lt;"&amp;K165)+1,"-")</f>
        <v>1</v>
      </c>
      <c r="I165" s="64" t="str">
        <f aca="false">IF('Onshore - Canberra'!E146="","Harga belum tersedia - hubungi konsultan TEG",IF(M165=2,"Saat ini tidak menerima pendaftaran siswa internasional baru",IF(M165=1,"Harga perlu dikonfirmasi ke sekolah"&amp;IF(""="","","; "&amp;""),"")))</f>
        <v/>
      </c>
      <c r="J165" s="0" t="s">
        <v>4631</v>
      </c>
      <c r="K165" s="0" t="n">
        <f aca="false">IF(M165=2,"",IF(ISNUMBER(SEARCH("rata-rata:",'Onshore - Canberra'!M146)),VALUE(MID('Onshore - Canberra'!M146,SEARCH("rata-rata:",'Onshore - Canberra'!M146)+11,FIND(";",'Onshore - Canberra'!M146&amp;";",SEARCH("rata-rata:",'Onshore - Canberra'!M146))-SEARCH("rata-rata:",'Onshore - Canberra'!M146)-11)),IF('Onshore - Canberra'!D146="Semester",'Onshore - Canberra'!E146*2,IF('Onshore - Canberra'!D146="Trimester",'Onshore - Canberra'!E146*3,IF('Onshore - Canberra'!D146="Term",'Onshore - Canberra'!E146*4,IF('Onshore - Canberra'!D146="Unit",'Onshore - Canberra'!E146*8,""))))))</f>
        <v>12680</v>
      </c>
      <c r="L165" s="0" t="n">
        <f aca="false">IF(AND(ISNUMBER('Onshore - Canberra'!E146),ISNUMBER(K165),ISNUMBER('Onshore - Canberra'!F146),ISNUMBER('Onshore - Canberra'!G146),OR('Onshore - Canberra'!F146&lt;&gt;0,ISNUMBER(SEARCH("Material 0 terverifikasi",'Onshore - Canberra'!M146))),OR('Onshore - Canberra'!G146&lt;&gt;0,ISNUMBER(SEARCH("Enrolment 0 terverifikasi",'Onshore - Canberra'!M146)))),1,0)</f>
        <v>1</v>
      </c>
      <c r="M165" s="0" t="n">
        <f aca="false">IF(OR('Onshore - Canberra'!E146="",ISNUMBER(SEARCH("BSB80120",'Onshore - Canberra'!B146&amp;'Onshore - Canberra'!M146)),ISNUMBER(SEARCH("Management (Learning)",'Onshore - Canberra'!B146))),2,IF(ISNUMBER(SEARCH("CEK:",'Onshore - Canberra'!M146)),1,0))</f>
        <v>0</v>
      </c>
    </row>
    <row r="166" customFormat="false" ht="15" hidden="false" customHeight="false" outlineLevel="0" collapsed="false">
      <c r="A166" s="61" t="s">
        <v>3802</v>
      </c>
      <c r="B166" s="62"/>
      <c r="C166" s="62"/>
      <c r="D166" s="62"/>
      <c r="E166" s="62"/>
      <c r="F166" s="62"/>
      <c r="G166" s="62"/>
      <c r="H166" s="62"/>
      <c r="I166" s="62"/>
    </row>
    <row r="167" customFormat="false" ht="15" hidden="false" customHeight="false" outlineLevel="0" collapsed="false">
      <c r="A167" s="63" t="s">
        <v>3718</v>
      </c>
      <c r="B167" s="64" t="s">
        <v>3792</v>
      </c>
      <c r="C167" s="63" t="s">
        <v>40</v>
      </c>
      <c r="D167" s="64" t="str">
        <f aca="false">TRIM(LEFT('Onshore - Canberra'!A143,FIND(CHAR(10),'Onshore - Canberra'!A143&amp;CHAR(10))-1))</f>
        <v>Mid City College</v>
      </c>
      <c r="E167" s="63" t="str">
        <f aca="false">'Onshore - Canberra'!C148&amp;""</f>
        <v>2 years</v>
      </c>
      <c r="F167" s="63" t="str">
        <f aca="false">IF('Onshore - Canberra'!D148="","Belum tercatat",'Onshore - Canberra'!D148)</f>
        <v>Term</v>
      </c>
      <c r="G167" s="65" t="n">
        <f aca="false">IF('Onshore - Canberra'!E148="","-",'Onshore - Canberra'!E148)</f>
        <v>3125</v>
      </c>
      <c r="H167" s="63" t="n">
        <f aca="false">IF(ISNUMBER(K167),COUNTIFS($J$6:$J$1916,J167,$K$6:$K$1916,"&lt;"&amp;K167)+1,"-")</f>
        <v>1</v>
      </c>
      <c r="I167" s="64" t="str">
        <f aca="false">IF('Onshore - Canberra'!E148="","Harga belum tersedia - hubungi konsultan TEG",IF(M167=2,"Saat ini tidak menerima pendaftaran siswa internasional baru",IF(M167=1,"Harga perlu dikonfirmasi ke sekolah"&amp;IF(""="","","; "&amp;""),"")))</f>
        <v/>
      </c>
      <c r="J167" s="0" t="s">
        <v>3803</v>
      </c>
      <c r="K167" s="0" t="n">
        <f aca="false">IF(M167=2,"",IF(ISNUMBER(SEARCH("rata-rata:",'Onshore - Canberra'!M148)),VALUE(MID('Onshore - Canberra'!M148,SEARCH("rata-rata:",'Onshore - Canberra'!M148)+11,FIND(";",'Onshore - Canberra'!M148&amp;";",SEARCH("rata-rata:",'Onshore - Canberra'!M148))-SEARCH("rata-rata:",'Onshore - Canberra'!M148)-11)),IF('Onshore - Canberra'!D148="Semester",'Onshore - Canberra'!E148*2,IF('Onshore - Canberra'!D148="Trimester",'Onshore - Canberra'!E148*3,IF('Onshore - Canberra'!D148="Term",'Onshore - Canberra'!E148*4,IF('Onshore - Canberra'!D148="Unit",'Onshore - Canberra'!E148*8,""))))))</f>
        <v>12500</v>
      </c>
      <c r="L167" s="0" t="n">
        <f aca="false">IF(AND(ISNUMBER('Onshore - Canberra'!E148),ISNUMBER(K167),ISNUMBER('Onshore - Canberra'!F148),ISNUMBER('Onshore - Canberra'!G148),OR('Onshore - Canberra'!F148&lt;&gt;0,ISNUMBER(SEARCH("Material 0 terverifikasi",'Onshore - Canberra'!M148))),OR('Onshore - Canberra'!G148&lt;&gt;0,ISNUMBER(SEARCH("Enrolment 0 terverifikasi",'Onshore - Canberra'!M148)))),1,0)</f>
        <v>1</v>
      </c>
      <c r="M167" s="0" t="n">
        <f aca="false">IF(OR('Onshore - Canberra'!E148="",ISNUMBER(SEARCH("BSB80120",'Onshore - Canberra'!B148&amp;'Onshore - Canberra'!M148)),ISNUMBER(SEARCH("Management (Learning)",'Onshore - Canberra'!B148))),2,IF(ISNUMBER(SEARCH("CEK:",'Onshore - Canberra'!M148)),1,0))</f>
        <v>0</v>
      </c>
    </row>
    <row r="168" customFormat="false" ht="15" hidden="false" customHeight="false" outlineLevel="0" collapsed="false">
      <c r="A168" s="61" t="s">
        <v>3804</v>
      </c>
      <c r="B168" s="62"/>
      <c r="C168" s="62"/>
      <c r="D168" s="62"/>
      <c r="E168" s="62"/>
      <c r="F168" s="62"/>
      <c r="G168" s="62"/>
      <c r="H168" s="62"/>
      <c r="I168" s="62"/>
    </row>
    <row r="169" customFormat="false" ht="15" hidden="false" customHeight="false" outlineLevel="0" collapsed="false">
      <c r="A169" s="63" t="s">
        <v>3544</v>
      </c>
      <c r="B169" s="64" t="s">
        <v>3792</v>
      </c>
      <c r="C169" s="63" t="s">
        <v>39</v>
      </c>
      <c r="D169" s="64" t="str">
        <f aca="false">TRIM(LEFT('Onshore- Melbourne'!A361,FIND(CHAR(10),'Onshore- Melbourne'!A361&amp;CHAR(10))-1))</f>
        <v>Menzies Institute of Technology</v>
      </c>
      <c r="E169" s="63" t="str">
        <f aca="false">'Onshore- Melbourne'!C365&amp;""</f>
        <v>56 weeks</v>
      </c>
      <c r="F169" s="63" t="str">
        <f aca="false">IF('Onshore- Melbourne'!D365="","Belum tercatat",'Onshore- Melbourne'!D365)</f>
        <v>Term</v>
      </c>
      <c r="G169" s="65" t="n">
        <f aca="false">IF('Onshore- Melbourne'!E365="","-",'Onshore- Melbourne'!E365)</f>
        <v>3000</v>
      </c>
      <c r="H169" s="63" t="n">
        <f aca="false">IF(ISNUMBER(K169),COUNTIFS($J$6:$J$1916,J169,$K$6:$K$1916,"&lt;"&amp;K169)+1,"-")</f>
        <v>1</v>
      </c>
      <c r="I169" s="64" t="str">
        <f aca="false">IF('Onshore- Melbourne'!E365="","Harga belum tersedia - hubungi konsultan TEG",IF(M169=2,"Saat ini tidak menerima pendaftaran siswa internasional baru",IF(M169=1,"Harga perlu dikonfirmasi ke sekolah"&amp;IF(""="","","; "&amp;""),"")))</f>
        <v>Harga perlu dikonfirmasi ke sekolah</v>
      </c>
      <c r="J169" s="0" t="s">
        <v>3805</v>
      </c>
      <c r="K169" s="0" t="n">
        <f aca="false">IF(M169=2,"",IF(ISNUMBER(SEARCH("rata-rata:",'Onshore- Melbourne'!M365)),VALUE(MID('Onshore- Melbourne'!M365,SEARCH("rata-rata:",'Onshore- Melbourne'!M365)+11,FIND(";",'Onshore- Melbourne'!M365&amp;";",SEARCH("rata-rata:",'Onshore- Melbourne'!M365))-SEARCH("rata-rata:",'Onshore- Melbourne'!M365)-11)),IF('Onshore- Melbourne'!D365="Semester",'Onshore- Melbourne'!E365*2,IF('Onshore- Melbourne'!D365="Trimester",'Onshore- Melbourne'!E365*3,IF('Onshore- Melbourne'!D365="Term",'Onshore- Melbourne'!E365*4,IF('Onshore- Melbourne'!D365="Unit",'Onshore- Melbourne'!E365*8,""))))))</f>
        <v>12000</v>
      </c>
      <c r="L169" s="0" t="n">
        <f aca="false">IF(AND(ISNUMBER('Onshore- Melbourne'!E365),ISNUMBER(K169),ISNUMBER('Onshore- Melbourne'!F365),ISNUMBER('Onshore- Melbourne'!G365),OR('Onshore- Melbourne'!F365&lt;&gt;0,ISNUMBER(SEARCH("Material 0 terverifikasi",'Onshore- Melbourne'!M365))),OR('Onshore- Melbourne'!G365&lt;&gt;0,ISNUMBER(SEARCH("Enrolment 0 terverifikasi",'Onshore- Melbourne'!M365)))),1,0)</f>
        <v>1</v>
      </c>
      <c r="M169" s="0" t="n">
        <f aca="false">IF(OR('Onshore- Melbourne'!E365="",ISNUMBER(SEARCH("BSB80120",'Onshore- Melbourne'!B365&amp;'Onshore- Melbourne'!M365)),ISNUMBER(SEARCH("Management (Learning)",'Onshore- Melbourne'!B365))),2,IF(ISNUMBER(SEARCH("CEK:",'Onshore- Melbourne'!M365)),1,0))</f>
        <v>1</v>
      </c>
    </row>
    <row r="170" customFormat="false" ht="15" hidden="false" customHeight="false" outlineLevel="0" collapsed="false">
      <c r="A170" s="61" t="s">
        <v>3806</v>
      </c>
      <c r="B170" s="62"/>
      <c r="C170" s="62"/>
      <c r="D170" s="62"/>
      <c r="E170" s="62"/>
      <c r="F170" s="62"/>
      <c r="G170" s="62"/>
      <c r="H170" s="62"/>
      <c r="I170" s="62"/>
    </row>
    <row r="171" customFormat="false" ht="15" hidden="false" customHeight="false" outlineLevel="0" collapsed="false">
      <c r="A171" s="63" t="s">
        <v>3544</v>
      </c>
      <c r="B171" s="64" t="s">
        <v>3792</v>
      </c>
      <c r="C171" s="63" t="s">
        <v>40</v>
      </c>
      <c r="D171" s="64" t="str">
        <f aca="false">TRIM(LEFT('Onshore- Melbourne'!A400,FIND(CHAR(10),'Onshore- Melbourne'!A400&amp;CHAR(10))-1))</f>
        <v>Paragon Polytechnic</v>
      </c>
      <c r="E171" s="63" t="str">
        <f aca="false">'Onshore- Melbourne'!C403&amp;""</f>
        <v>2 years</v>
      </c>
      <c r="F171" s="63" t="str">
        <f aca="false">IF('Onshore- Melbourne'!D403="","Belum tercatat",'Onshore- Melbourne'!D403)</f>
        <v>Term</v>
      </c>
      <c r="G171" s="65" t="n">
        <f aca="false">IF('Onshore- Melbourne'!E403="","-",'Onshore- Melbourne'!E403)</f>
        <v>1667</v>
      </c>
      <c r="H171" s="63" t="n">
        <f aca="false">IF(ISNUMBER(K171),COUNTIFS($J$6:$J$1916,J171,$K$6:$K$1916,"&lt;"&amp;K171)+1,"-")</f>
        <v>1</v>
      </c>
      <c r="I171" s="64" t="str">
        <f aca="false">IF('Onshore- Melbourne'!E403="","Harga belum tersedia - hubungi konsultan TEG",IF(M171=2,"Saat ini tidak menerima pendaftaran siswa internasional baru",IF(M171=1,"Harga perlu dikonfirmasi ke sekolah"&amp;IF(""="","","; "&amp;""),"")))</f>
        <v/>
      </c>
      <c r="J171" s="0" t="s">
        <v>3807</v>
      </c>
      <c r="K171" s="0" t="n">
        <f aca="false">IF(M171=2,"",IF(ISNUMBER(SEARCH("rata-rata:",'Onshore- Melbourne'!M403)),VALUE(MID('Onshore- Melbourne'!M403,SEARCH("rata-rata:",'Onshore- Melbourne'!M403)+11,FIND(";",'Onshore- Melbourne'!M403&amp;";",SEARCH("rata-rata:",'Onshore- Melbourne'!M403))-SEARCH("rata-rata:",'Onshore- Melbourne'!M403)-11)),IF('Onshore- Melbourne'!D403="Semester",'Onshore- Melbourne'!E403*2,IF('Onshore- Melbourne'!D403="Trimester",'Onshore- Melbourne'!E403*3,IF('Onshore- Melbourne'!D403="Term",'Onshore- Melbourne'!E403*4,IF('Onshore- Melbourne'!D403="Unit",'Onshore- Melbourne'!E403*8,""))))))</f>
        <v>6668</v>
      </c>
      <c r="L171" s="0" t="n">
        <f aca="false">IF(AND(ISNUMBER('Onshore- Melbourne'!E403),ISNUMBER(K171),ISNUMBER('Onshore- Melbourne'!F403),ISNUMBER('Onshore- Melbourne'!G403),OR('Onshore- Melbourne'!F403&lt;&gt;0,ISNUMBER(SEARCH("Material 0 terverifikasi",'Onshore- Melbourne'!M403))),OR('Onshore- Melbourne'!G403&lt;&gt;0,ISNUMBER(SEARCH("Enrolment 0 terverifikasi",'Onshore- Melbourne'!M403)))),1,0)</f>
        <v>1</v>
      </c>
      <c r="M171" s="0" t="n">
        <f aca="false">IF(OR('Onshore- Melbourne'!E403="",ISNUMBER(SEARCH("BSB80120",'Onshore- Melbourne'!B403&amp;'Onshore- Melbourne'!M403)),ISNUMBER(SEARCH("Management (Learning)",'Onshore- Melbourne'!B403))),2,IF(ISNUMBER(SEARCH("CEK:",'Onshore- Melbourne'!M403)),1,0))</f>
        <v>0</v>
      </c>
    </row>
    <row r="172" customFormat="false" ht="15" hidden="false" customHeight="false" outlineLevel="0" collapsed="false">
      <c r="A172" s="63" t="s">
        <v>3544</v>
      </c>
      <c r="B172" s="64" t="s">
        <v>3792</v>
      </c>
      <c r="C172" s="63" t="s">
        <v>40</v>
      </c>
      <c r="D172" s="64" t="str">
        <f aca="false">TRIM(LEFT('Onshore- Melbourne'!A405,FIND(CHAR(10),'Onshore- Melbourne'!A405&amp;CHAR(10))-1))</f>
        <v>Pax Institute of Education</v>
      </c>
      <c r="E172" s="63" t="str">
        <f aca="false">'Onshore- Melbourne'!C406&amp;""</f>
        <v>2 years</v>
      </c>
      <c r="F172" s="63" t="str">
        <f aca="false">IF('Onshore- Melbourne'!D406="","Belum tercatat",'Onshore- Melbourne'!D406)</f>
        <v>Term</v>
      </c>
      <c r="G172" s="65" t="n">
        <f aca="false">IF('Onshore- Melbourne'!E406="","-",'Onshore- Melbourne'!E406)</f>
        <v>2250</v>
      </c>
      <c r="H172" s="63" t="n">
        <f aca="false">IF(ISNUMBER(K172),COUNTIFS($J$6:$J$1916,J172,$K$6:$K$1916,"&lt;"&amp;K172)+1,"-")</f>
        <v>2</v>
      </c>
      <c r="I172" s="64" t="str">
        <f aca="false">IF('Onshore- Melbourne'!E406="","Harga belum tersedia - hubungi konsultan TEG",IF(M172=2,"Saat ini tidak menerima pendaftaran siswa internasional baru",IF(M172=1,"Harga perlu dikonfirmasi ke sekolah"&amp;IF(""="","","; "&amp;""),"")))</f>
        <v/>
      </c>
      <c r="J172" s="0" t="s">
        <v>3807</v>
      </c>
      <c r="K172" s="0" t="n">
        <f aca="false">IF(M172=2,"",IF(ISNUMBER(SEARCH("rata-rata:",'Onshore- Melbourne'!M406)),VALUE(MID('Onshore- Melbourne'!M406,SEARCH("rata-rata:",'Onshore- Melbourne'!M406)+11,FIND(";",'Onshore- Melbourne'!M406&amp;";",SEARCH("rata-rata:",'Onshore- Melbourne'!M406))-SEARCH("rata-rata:",'Onshore- Melbourne'!M406)-11)),IF('Onshore- Melbourne'!D406="Semester",'Onshore- Melbourne'!E406*2,IF('Onshore- Melbourne'!D406="Trimester",'Onshore- Melbourne'!E406*3,IF('Onshore- Melbourne'!D406="Term",'Onshore- Melbourne'!E406*4,IF('Onshore- Melbourne'!D406="Unit",'Onshore- Melbourne'!E406*8,""))))))</f>
        <v>9000</v>
      </c>
      <c r="L172" s="0" t="n">
        <f aca="false">IF(AND(ISNUMBER('Onshore- Melbourne'!E406),ISNUMBER(K172),ISNUMBER('Onshore- Melbourne'!F406),ISNUMBER('Onshore- Melbourne'!G406),OR('Onshore- Melbourne'!F406&lt;&gt;0,ISNUMBER(SEARCH("Material 0 terverifikasi",'Onshore- Melbourne'!M406))),OR('Onshore- Melbourne'!G406&lt;&gt;0,ISNUMBER(SEARCH("Enrolment 0 terverifikasi",'Onshore- Melbourne'!M406)))),1,0)</f>
        <v>1</v>
      </c>
      <c r="M172" s="0" t="n">
        <f aca="false">IF(OR('Onshore- Melbourne'!E406="",ISNUMBER(SEARCH("BSB80120",'Onshore- Melbourne'!B406&amp;'Onshore- Melbourne'!M406)),ISNUMBER(SEARCH("Management (Learning)",'Onshore- Melbourne'!B406))),2,IF(ISNUMBER(SEARCH("CEK:",'Onshore- Melbourne'!M406)),1,0))</f>
        <v>0</v>
      </c>
    </row>
    <row r="173" customFormat="false" ht="15" hidden="false" customHeight="false" outlineLevel="0" collapsed="false">
      <c r="A173" s="63" t="s">
        <v>3544</v>
      </c>
      <c r="B173" s="64" t="s">
        <v>3792</v>
      </c>
      <c r="C173" s="63" t="s">
        <v>40</v>
      </c>
      <c r="D173" s="64" t="str">
        <f aca="false">TRIM(LEFT('Onshore- Melbourne'!A240,FIND(CHAR(10),'Onshore- Melbourne'!A240&amp;CHAR(10))-1))</f>
        <v>Baxter Institute</v>
      </c>
      <c r="E173" s="63" t="str">
        <f aca="false">'Onshore- Melbourne'!C240&amp;""</f>
        <v>2 years</v>
      </c>
      <c r="F173" s="63" t="str">
        <f aca="false">IF('Onshore- Melbourne'!D240="","Belum tercatat",'Onshore- Melbourne'!D240)</f>
        <v>Term</v>
      </c>
      <c r="G173" s="65" t="n">
        <f aca="false">IF('Onshore- Melbourne'!E240="","-",'Onshore- Melbourne'!E240)</f>
        <v>2350</v>
      </c>
      <c r="H173" s="63" t="n">
        <f aca="false">IF(ISNUMBER(K173),COUNTIFS($J$6:$J$1916,J173,$K$6:$K$1916,"&lt;"&amp;K173)+1,"-")</f>
        <v>3</v>
      </c>
      <c r="I173" s="64" t="str">
        <f aca="false">IF('Onshore- Melbourne'!E240="","Harga belum tersedia - hubungi konsultan TEG",IF(M173=2,"Saat ini tidak menerima pendaftaran siswa internasional baru",IF(M173=1,"Harga perlu dikonfirmasi ke sekolah"&amp;IF(""="","","; "&amp;""),"")))</f>
        <v/>
      </c>
      <c r="J173" s="0" t="s">
        <v>3807</v>
      </c>
      <c r="K173" s="0" t="n">
        <f aca="false">IF(M173=2,"",IF(ISNUMBER(SEARCH("rata-rata:",'Onshore- Melbourne'!M240)),VALUE(MID('Onshore- Melbourne'!M240,SEARCH("rata-rata:",'Onshore- Melbourne'!M240)+11,FIND(";",'Onshore- Melbourne'!M240&amp;";",SEARCH("rata-rata:",'Onshore- Melbourne'!M240))-SEARCH("rata-rata:",'Onshore- Melbourne'!M240)-11)),IF('Onshore- Melbourne'!D240="Semester",'Onshore- Melbourne'!E240*2,IF('Onshore- Melbourne'!D240="Trimester",'Onshore- Melbourne'!E240*3,IF('Onshore- Melbourne'!D240="Term",'Onshore- Melbourne'!E240*4,IF('Onshore- Melbourne'!D240="Unit",'Onshore- Melbourne'!E240*8,""))))))</f>
        <v>9400</v>
      </c>
      <c r="L173" s="0" t="n">
        <f aca="false">IF(AND(ISNUMBER('Onshore- Melbourne'!E240),ISNUMBER(K173),ISNUMBER('Onshore- Melbourne'!F240),ISNUMBER('Onshore- Melbourne'!G240),OR('Onshore- Melbourne'!F240&lt;&gt;0,ISNUMBER(SEARCH("Material 0 terverifikasi",'Onshore- Melbourne'!M240))),OR('Onshore- Melbourne'!G240&lt;&gt;0,ISNUMBER(SEARCH("Enrolment 0 terverifikasi",'Onshore- Melbourne'!M240)))),1,0)</f>
        <v>1</v>
      </c>
      <c r="M173" s="0" t="n">
        <f aca="false">IF(OR('Onshore- Melbourne'!E240="",ISNUMBER(SEARCH("BSB80120",'Onshore- Melbourne'!B240&amp;'Onshore- Melbourne'!M240)),ISNUMBER(SEARCH("Management (Learning)",'Onshore- Melbourne'!B240))),2,IF(ISNUMBER(SEARCH("CEK:",'Onshore- Melbourne'!M240)),1,0))</f>
        <v>0</v>
      </c>
    </row>
    <row r="174" customFormat="false" ht="15" hidden="false" customHeight="false" outlineLevel="0" collapsed="false">
      <c r="A174" s="63" t="s">
        <v>3544</v>
      </c>
      <c r="B174" s="64" t="s">
        <v>3792</v>
      </c>
      <c r="C174" s="63" t="s">
        <v>40</v>
      </c>
      <c r="D174" s="64" t="str">
        <f aca="false">TRIM(LEFT('Onshore- Melbourne'!A417,FIND(CHAR(10),'Onshore- Melbourne'!A417&amp;CHAR(10))-1))</f>
        <v>Signet Institute of Australia</v>
      </c>
      <c r="E174" s="63" t="str">
        <f aca="false">'Onshore- Melbourne'!C419&amp;""</f>
        <v>2 years</v>
      </c>
      <c r="F174" s="63" t="str">
        <f aca="false">IF('Onshore- Melbourne'!D419="","Belum tercatat",'Onshore- Melbourne'!D419)</f>
        <v>Term</v>
      </c>
      <c r="G174" s="65" t="n">
        <f aca="false">IF('Onshore- Melbourne'!E419="","-",'Onshore- Melbourne'!E419)</f>
        <v>2750</v>
      </c>
      <c r="H174" s="63" t="n">
        <f aca="false">IF(ISNUMBER(K174),COUNTIFS($J$6:$J$1916,J174,$K$6:$K$1916,"&lt;"&amp;K174)+1,"-")</f>
        <v>4</v>
      </c>
      <c r="I174" s="64" t="str">
        <f aca="false">IF('Onshore- Melbourne'!E419="","Harga belum tersedia - hubungi konsultan TEG",IF(M174=2,"Saat ini tidak menerima pendaftaran siswa internasional baru",IF(M174=1,"Harga perlu dikonfirmasi ke sekolah"&amp;IF(""="","","; "&amp;""),"")))</f>
        <v/>
      </c>
      <c r="J174" s="0" t="s">
        <v>3807</v>
      </c>
      <c r="K174" s="0" t="n">
        <f aca="false">IF(M174=2,"",IF(ISNUMBER(SEARCH("rata-rata:",'Onshore- Melbourne'!M419)),VALUE(MID('Onshore- Melbourne'!M419,SEARCH("rata-rata:",'Onshore- Melbourne'!M419)+11,FIND(";",'Onshore- Melbourne'!M419&amp;";",SEARCH("rata-rata:",'Onshore- Melbourne'!M419))-SEARCH("rata-rata:",'Onshore- Melbourne'!M419)-11)),IF('Onshore- Melbourne'!D419="Semester",'Onshore- Melbourne'!E419*2,IF('Onshore- Melbourne'!D419="Trimester",'Onshore- Melbourne'!E419*3,IF('Onshore- Melbourne'!D419="Term",'Onshore- Melbourne'!E419*4,IF('Onshore- Melbourne'!D419="Unit",'Onshore- Melbourne'!E419*8,""))))))</f>
        <v>11000</v>
      </c>
      <c r="L174" s="0" t="n">
        <f aca="false">IF(AND(ISNUMBER('Onshore- Melbourne'!E419),ISNUMBER(K174),ISNUMBER('Onshore- Melbourne'!F419),ISNUMBER('Onshore- Melbourne'!G419),OR('Onshore- Melbourne'!F419&lt;&gt;0,ISNUMBER(SEARCH("Material 0 terverifikasi",'Onshore- Melbourne'!M419))),OR('Onshore- Melbourne'!G419&lt;&gt;0,ISNUMBER(SEARCH("Enrolment 0 terverifikasi",'Onshore- Melbourne'!M419)))),1,0)</f>
        <v>0</v>
      </c>
      <c r="M174" s="0" t="n">
        <f aca="false">IF(OR('Onshore- Melbourne'!E419="",ISNUMBER(SEARCH("BSB80120",'Onshore- Melbourne'!B419&amp;'Onshore- Melbourne'!M419)),ISNUMBER(SEARCH("Management (Learning)",'Onshore- Melbourne'!B419))),2,IF(ISNUMBER(SEARCH("CEK:",'Onshore- Melbourne'!M419)),1,0))</f>
        <v>0</v>
      </c>
    </row>
    <row r="175" customFormat="false" ht="15" hidden="false" customHeight="false" outlineLevel="0" collapsed="false">
      <c r="A175" s="63" t="s">
        <v>3544</v>
      </c>
      <c r="B175" s="64" t="s">
        <v>3792</v>
      </c>
      <c r="C175" s="63" t="s">
        <v>40</v>
      </c>
      <c r="D175" s="64" t="str">
        <f aca="false">TRIM(LEFT('Onshore- Melbourne'!A361,FIND(CHAR(10),'Onshore- Melbourne'!A361&amp;CHAR(10))-1))</f>
        <v>Menzies Institute of Technology</v>
      </c>
      <c r="E175" s="63" t="str">
        <f aca="false">'Onshore- Melbourne'!C366&amp;""</f>
        <v>1,5 years</v>
      </c>
      <c r="F175" s="63" t="str">
        <f aca="false">IF('Onshore- Melbourne'!D366="","Belum tercatat",'Onshore- Melbourne'!D366)</f>
        <v>Term</v>
      </c>
      <c r="G175" s="65" t="n">
        <f aca="false">IF('Onshore- Melbourne'!E366="","-",'Onshore- Melbourne'!E366)</f>
        <v>3000</v>
      </c>
      <c r="H175" s="63" t="n">
        <f aca="false">IF(ISNUMBER(K175),COUNTIFS($J$6:$J$1916,J175,$K$6:$K$1916,"&lt;"&amp;K175)+1,"-")</f>
        <v>5</v>
      </c>
      <c r="I175" s="64" t="str">
        <f aca="false">IF('Onshore- Melbourne'!E366="","Harga belum tersedia - hubungi konsultan TEG",IF(M175=2,"Saat ini tidak menerima pendaftaran siswa internasional baru",IF(M175=1,"Harga perlu dikonfirmasi ke sekolah"&amp;IF(""="","","; "&amp;""),"")))</f>
        <v>Harga perlu dikonfirmasi ke sekolah</v>
      </c>
      <c r="J175" s="0" t="s">
        <v>3807</v>
      </c>
      <c r="K175" s="0" t="n">
        <f aca="false">IF(M175=2,"",IF(ISNUMBER(SEARCH("rata-rata:",'Onshore- Melbourne'!M366)),VALUE(MID('Onshore- Melbourne'!M366,SEARCH("rata-rata:",'Onshore- Melbourne'!M366)+11,FIND(";",'Onshore- Melbourne'!M366&amp;";",SEARCH("rata-rata:",'Onshore- Melbourne'!M366))-SEARCH("rata-rata:",'Onshore- Melbourne'!M366)-11)),IF('Onshore- Melbourne'!D366="Semester",'Onshore- Melbourne'!E366*2,IF('Onshore- Melbourne'!D366="Trimester",'Onshore- Melbourne'!E366*3,IF('Onshore- Melbourne'!D366="Term",'Onshore- Melbourne'!E366*4,IF('Onshore- Melbourne'!D366="Unit",'Onshore- Melbourne'!E366*8,""))))))</f>
        <v>12000</v>
      </c>
      <c r="L175" s="0" t="n">
        <f aca="false">IF(AND(ISNUMBER('Onshore- Melbourne'!E366),ISNUMBER(K175),ISNUMBER('Onshore- Melbourne'!F366),ISNUMBER('Onshore- Melbourne'!G366),OR('Onshore- Melbourne'!F366&lt;&gt;0,ISNUMBER(SEARCH("Material 0 terverifikasi",'Onshore- Melbourne'!M366))),OR('Onshore- Melbourne'!G366&lt;&gt;0,ISNUMBER(SEARCH("Enrolment 0 terverifikasi",'Onshore- Melbourne'!M366)))),1,0)</f>
        <v>1</v>
      </c>
      <c r="M175" s="0" t="n">
        <f aca="false">IF(OR('Onshore- Melbourne'!E366="",ISNUMBER(SEARCH("BSB80120",'Onshore- Melbourne'!B366&amp;'Onshore- Melbourne'!M366)),ISNUMBER(SEARCH("Management (Learning)",'Onshore- Melbourne'!B366))),2,IF(ISNUMBER(SEARCH("CEK:",'Onshore- Melbourne'!M366)),1,0))</f>
        <v>1</v>
      </c>
    </row>
    <row r="176" customFormat="false" ht="15" hidden="false" customHeight="false" outlineLevel="0" collapsed="false">
      <c r="A176" s="61" t="s">
        <v>3808</v>
      </c>
      <c r="B176" s="62"/>
      <c r="C176" s="62"/>
      <c r="D176" s="62"/>
      <c r="E176" s="62"/>
      <c r="F176" s="62"/>
      <c r="G176" s="62"/>
      <c r="H176" s="62"/>
      <c r="I176" s="62"/>
    </row>
    <row r="177" customFormat="false" ht="15" hidden="false" customHeight="false" outlineLevel="0" collapsed="false">
      <c r="A177" s="63" t="s">
        <v>3544</v>
      </c>
      <c r="B177" s="64" t="s">
        <v>3792</v>
      </c>
      <c r="C177" s="63" t="s">
        <v>41</v>
      </c>
      <c r="D177" s="64" t="str">
        <f aca="false">TRIM(LEFT('Onshore- Melbourne'!A400,FIND(CHAR(10),'Onshore- Melbourne'!A400&amp;CHAR(10))-1))</f>
        <v>Paragon Polytechnic</v>
      </c>
      <c r="E177" s="63" t="str">
        <f aca="false">'Onshore- Melbourne'!C404&amp;""</f>
        <v>3 years</v>
      </c>
      <c r="F177" s="63" t="str">
        <f aca="false">IF('Onshore- Melbourne'!D404="","Belum tercatat",'Onshore- Melbourne'!D404)</f>
        <v>Term</v>
      </c>
      <c r="G177" s="65" t="n">
        <f aca="false">IF('Onshore- Melbourne'!E404="","-",'Onshore- Melbourne'!E404)</f>
        <v>1667</v>
      </c>
      <c r="H177" s="63" t="n">
        <f aca="false">IF(ISNUMBER(K177),COUNTIFS($J$6:$J$1916,J177,$K$6:$K$1916,"&lt;"&amp;K177)+1,"-")</f>
        <v>1</v>
      </c>
      <c r="I177" s="64" t="str">
        <f aca="false">IF('Onshore- Melbourne'!E404="","Harga belum tersedia - hubungi konsultan TEG",IF(M177=2,"Saat ini tidak menerima pendaftaran siswa internasional baru",IF(M177=1,"Harga perlu dikonfirmasi ke sekolah"&amp;IF(""="","","; "&amp;""),"")))</f>
        <v/>
      </c>
      <c r="J177" s="0" t="s">
        <v>3809</v>
      </c>
      <c r="K177" s="0" t="n">
        <f aca="false">IF(M177=2,"",IF(ISNUMBER(SEARCH("rata-rata:",'Onshore- Melbourne'!M404)),VALUE(MID('Onshore- Melbourne'!M404,SEARCH("rata-rata:",'Onshore- Melbourne'!M404)+11,FIND(";",'Onshore- Melbourne'!M404&amp;";",SEARCH("rata-rata:",'Onshore- Melbourne'!M404))-SEARCH("rata-rata:",'Onshore- Melbourne'!M404)-11)),IF('Onshore- Melbourne'!D404="Semester",'Onshore- Melbourne'!E404*2,IF('Onshore- Melbourne'!D404="Trimester",'Onshore- Melbourne'!E404*3,IF('Onshore- Melbourne'!D404="Term",'Onshore- Melbourne'!E404*4,IF('Onshore- Melbourne'!D404="Unit",'Onshore- Melbourne'!E404*8,""))))))</f>
        <v>6668</v>
      </c>
      <c r="L177" s="0" t="n">
        <f aca="false">IF(AND(ISNUMBER('Onshore- Melbourne'!E404),ISNUMBER(K177),ISNUMBER('Onshore- Melbourne'!F404),ISNUMBER('Onshore- Melbourne'!G404),OR('Onshore- Melbourne'!F404&lt;&gt;0,ISNUMBER(SEARCH("Material 0 terverifikasi",'Onshore- Melbourne'!M404))),OR('Onshore- Melbourne'!G404&lt;&gt;0,ISNUMBER(SEARCH("Enrolment 0 terverifikasi",'Onshore- Melbourne'!M404)))),1,0)</f>
        <v>1</v>
      </c>
      <c r="M177" s="0" t="n">
        <f aca="false">IF(OR('Onshore- Melbourne'!E404="",ISNUMBER(SEARCH("BSB80120",'Onshore- Melbourne'!B404&amp;'Onshore- Melbourne'!M404)),ISNUMBER(SEARCH("Management (Learning)",'Onshore- Melbourne'!B404))),2,IF(ISNUMBER(SEARCH("CEK:",'Onshore- Melbourne'!M404)),1,0))</f>
        <v>0</v>
      </c>
    </row>
    <row r="178" customFormat="false" ht="15" hidden="false" customHeight="false" outlineLevel="0" collapsed="false">
      <c r="A178" s="63" t="s">
        <v>3544</v>
      </c>
      <c r="B178" s="64" t="s">
        <v>3792</v>
      </c>
      <c r="C178" s="63" t="s">
        <v>41</v>
      </c>
      <c r="D178" s="64" t="str">
        <f aca="false">TRIM(LEFT('Onshore- Melbourne'!A240,FIND(CHAR(10),'Onshore- Melbourne'!A240&amp;CHAR(10))-1))</f>
        <v>Baxter Institute</v>
      </c>
      <c r="E178" s="63" t="str">
        <f aca="false">'Onshore- Melbourne'!C241&amp;""</f>
        <v>2,5 years</v>
      </c>
      <c r="F178" s="63" t="str">
        <f aca="false">IF('Onshore- Melbourne'!D241="","Belum tercatat",'Onshore- Melbourne'!D241)</f>
        <v>Term</v>
      </c>
      <c r="G178" s="65" t="n">
        <f aca="false">IF('Onshore- Melbourne'!E241="","-",'Onshore- Melbourne'!E241)</f>
        <v>2350</v>
      </c>
      <c r="H178" s="63" t="n">
        <f aca="false">IF(ISNUMBER(K178),COUNTIFS($J$6:$J$1916,J178,$K$6:$K$1916,"&lt;"&amp;K178)+1,"-")</f>
        <v>2</v>
      </c>
      <c r="I178" s="64" t="str">
        <f aca="false">IF('Onshore- Melbourne'!E241="","Harga belum tersedia - hubungi konsultan TEG",IF(M178=2,"Saat ini tidak menerima pendaftaran siswa internasional baru",IF(M178=1,"Harga perlu dikonfirmasi ke sekolah"&amp;IF(""="","","; "&amp;""),"")))</f>
        <v/>
      </c>
      <c r="J178" s="0" t="s">
        <v>3809</v>
      </c>
      <c r="K178" s="0" t="n">
        <f aca="false">IF(M178=2,"",IF(ISNUMBER(SEARCH("rata-rata:",'Onshore- Melbourne'!M241)),VALUE(MID('Onshore- Melbourne'!M241,SEARCH("rata-rata:",'Onshore- Melbourne'!M241)+11,FIND(";",'Onshore- Melbourne'!M241&amp;";",SEARCH("rata-rata:",'Onshore- Melbourne'!M241))-SEARCH("rata-rata:",'Onshore- Melbourne'!M241)-11)),IF('Onshore- Melbourne'!D241="Semester",'Onshore- Melbourne'!E241*2,IF('Onshore- Melbourne'!D241="Trimester",'Onshore- Melbourne'!E241*3,IF('Onshore- Melbourne'!D241="Term",'Onshore- Melbourne'!E241*4,IF('Onshore- Melbourne'!D241="Unit",'Onshore- Melbourne'!E241*8,""))))))</f>
        <v>9400</v>
      </c>
      <c r="L178" s="0" t="n">
        <f aca="false">IF(AND(ISNUMBER('Onshore- Melbourne'!E241),ISNUMBER(K178),ISNUMBER('Onshore- Melbourne'!F241),ISNUMBER('Onshore- Melbourne'!G241),OR('Onshore- Melbourne'!F241&lt;&gt;0,ISNUMBER(SEARCH("Material 0 terverifikasi",'Onshore- Melbourne'!M241))),OR('Onshore- Melbourne'!G241&lt;&gt;0,ISNUMBER(SEARCH("Enrolment 0 terverifikasi",'Onshore- Melbourne'!M241)))),1,0)</f>
        <v>1</v>
      </c>
      <c r="M178" s="0" t="n">
        <f aca="false">IF(OR('Onshore- Melbourne'!E241="",ISNUMBER(SEARCH("BSB80120",'Onshore- Melbourne'!B241&amp;'Onshore- Melbourne'!M241)),ISNUMBER(SEARCH("Management (Learning)",'Onshore- Melbourne'!B241))),2,IF(ISNUMBER(SEARCH("CEK:",'Onshore- Melbourne'!M241)),1,0))</f>
        <v>0</v>
      </c>
    </row>
    <row r="179" customFormat="false" ht="15" hidden="false" customHeight="false" outlineLevel="0" collapsed="false">
      <c r="A179" s="63" t="s">
        <v>3544</v>
      </c>
      <c r="B179" s="64" t="s">
        <v>3792</v>
      </c>
      <c r="C179" s="63" t="s">
        <v>41</v>
      </c>
      <c r="D179" s="64" t="str">
        <f aca="false">TRIM(LEFT('Onshore- Melbourne'!A218,FIND(CHAR(10),'Onshore- Melbourne'!A218&amp;CHAR(10))-1))</f>
        <v>Australian Sovereign College (AuSC)</v>
      </c>
      <c r="E179" s="63" t="str">
        <f aca="false">'Onshore- Melbourne'!C231&amp;""</f>
        <v>2 years</v>
      </c>
      <c r="F179" s="63" t="str">
        <f aca="false">IF('Onshore- Melbourne'!D231="","Belum tercatat",'Onshore- Melbourne'!D231)</f>
        <v>Term</v>
      </c>
      <c r="G179" s="65" t="n">
        <f aca="false">IF('Onshore- Melbourne'!E231="","-",'Onshore- Melbourne'!E231)</f>
        <v>2500</v>
      </c>
      <c r="H179" s="63" t="n">
        <f aca="false">IF(ISNUMBER(K179),COUNTIFS($J$6:$J$1916,J179,$K$6:$K$1916,"&lt;"&amp;K179)+1,"-")</f>
        <v>3</v>
      </c>
      <c r="I179" s="64" t="str">
        <f aca="false">IF('Onshore- Melbourne'!E231="","Harga belum tersedia - hubungi konsultan TEG",IF(M179=2,"Saat ini tidak menerima pendaftaran siswa internasional baru",IF(M179=1,"Harga perlu dikonfirmasi ke sekolah"&amp;IF(""="","","; "&amp;""),"")))</f>
        <v/>
      </c>
      <c r="J179" s="0" t="s">
        <v>3809</v>
      </c>
      <c r="K179" s="0" t="n">
        <f aca="false">IF(M179=2,"",IF(ISNUMBER(SEARCH("rata-rata:",'Onshore- Melbourne'!M231)),VALUE(MID('Onshore- Melbourne'!M231,SEARCH("rata-rata:",'Onshore- Melbourne'!M231)+11,FIND(";",'Onshore- Melbourne'!M231&amp;";",SEARCH("rata-rata:",'Onshore- Melbourne'!M231))-SEARCH("rata-rata:",'Onshore- Melbourne'!M231)-11)),IF('Onshore- Melbourne'!D231="Semester",'Onshore- Melbourne'!E231*2,IF('Onshore- Melbourne'!D231="Trimester",'Onshore- Melbourne'!E231*3,IF('Onshore- Melbourne'!D231="Term",'Onshore- Melbourne'!E231*4,IF('Onshore- Melbourne'!D231="Unit",'Onshore- Melbourne'!E231*8,""))))))</f>
        <v>10000</v>
      </c>
      <c r="L179" s="0" t="n">
        <f aca="false">IF(AND(ISNUMBER('Onshore- Melbourne'!E231),ISNUMBER(K179),ISNUMBER('Onshore- Melbourne'!F231),ISNUMBER('Onshore- Melbourne'!G231),OR('Onshore- Melbourne'!F231&lt;&gt;0,ISNUMBER(SEARCH("Material 0 terverifikasi",'Onshore- Melbourne'!M231))),OR('Onshore- Melbourne'!G231&lt;&gt;0,ISNUMBER(SEARCH("Enrolment 0 terverifikasi",'Onshore- Melbourne'!M231)))),1,0)</f>
        <v>1</v>
      </c>
      <c r="M179" s="0" t="n">
        <f aca="false">IF(OR('Onshore- Melbourne'!E231="",ISNUMBER(SEARCH("BSB80120",'Onshore- Melbourne'!B231&amp;'Onshore- Melbourne'!M231)),ISNUMBER(SEARCH("Management (Learning)",'Onshore- Melbourne'!B231))),2,IF(ISNUMBER(SEARCH("CEK:",'Onshore- Melbourne'!M231)),1,0))</f>
        <v>0</v>
      </c>
    </row>
    <row r="180" customFormat="false" ht="15" hidden="false" customHeight="false" outlineLevel="0" collapsed="false">
      <c r="A180" s="63" t="s">
        <v>3544</v>
      </c>
      <c r="B180" s="64" t="s">
        <v>3792</v>
      </c>
      <c r="C180" s="63" t="s">
        <v>41</v>
      </c>
      <c r="D180" s="64" t="str">
        <f aca="false">TRIM(LEFT('Onshore- Melbourne'!A361,FIND(CHAR(10),'Onshore- Melbourne'!A361&amp;CHAR(10))-1))</f>
        <v>Menzies Institute of Technology</v>
      </c>
      <c r="E180" s="63" t="str">
        <f aca="false">'Onshore- Melbourne'!C367&amp;""</f>
        <v>2 years</v>
      </c>
      <c r="F180" s="63" t="str">
        <f aca="false">IF('Onshore- Melbourne'!D367="","Belum tercatat",'Onshore- Melbourne'!D367)</f>
        <v>Term</v>
      </c>
      <c r="G180" s="65" t="n">
        <f aca="false">IF('Onshore- Melbourne'!E367="","-",'Onshore- Melbourne'!E367)</f>
        <v>3000</v>
      </c>
      <c r="H180" s="63" t="n">
        <f aca="false">IF(ISNUMBER(K180),COUNTIFS($J$6:$J$1916,J180,$K$6:$K$1916,"&lt;"&amp;K180)+1,"-")</f>
        <v>4</v>
      </c>
      <c r="I180" s="64" t="str">
        <f aca="false">IF('Onshore- Melbourne'!E367="","Harga belum tersedia - hubungi konsultan TEG",IF(M180=2,"Saat ini tidak menerima pendaftaran siswa internasional baru",IF(M180=1,"Harga perlu dikonfirmasi ke sekolah"&amp;IF(""="","","; "&amp;""),"")))</f>
        <v>Harga perlu dikonfirmasi ke sekolah</v>
      </c>
      <c r="J180" s="0" t="s">
        <v>3809</v>
      </c>
      <c r="K180" s="0" t="n">
        <f aca="false">IF(M180=2,"",IF(ISNUMBER(SEARCH("rata-rata:",'Onshore- Melbourne'!M367)),VALUE(MID('Onshore- Melbourne'!M367,SEARCH("rata-rata:",'Onshore- Melbourne'!M367)+11,FIND(";",'Onshore- Melbourne'!M367&amp;";",SEARCH("rata-rata:",'Onshore- Melbourne'!M367))-SEARCH("rata-rata:",'Onshore- Melbourne'!M367)-11)),IF('Onshore- Melbourne'!D367="Semester",'Onshore- Melbourne'!E367*2,IF('Onshore- Melbourne'!D367="Trimester",'Onshore- Melbourne'!E367*3,IF('Onshore- Melbourne'!D367="Term",'Onshore- Melbourne'!E367*4,IF('Onshore- Melbourne'!D367="Unit",'Onshore- Melbourne'!E367*8,""))))))</f>
        <v>12000</v>
      </c>
      <c r="L180" s="0" t="n">
        <f aca="false">IF(AND(ISNUMBER('Onshore- Melbourne'!E367),ISNUMBER(K180),ISNUMBER('Onshore- Melbourne'!F367),ISNUMBER('Onshore- Melbourne'!G367),OR('Onshore- Melbourne'!F367&lt;&gt;0,ISNUMBER(SEARCH("Material 0 terverifikasi",'Onshore- Melbourne'!M367))),OR('Onshore- Melbourne'!G367&lt;&gt;0,ISNUMBER(SEARCH("Enrolment 0 terverifikasi",'Onshore- Melbourne'!M367)))),1,0)</f>
        <v>1</v>
      </c>
      <c r="M180" s="0" t="n">
        <f aca="false">IF(OR('Onshore- Melbourne'!E367="",ISNUMBER(SEARCH("BSB80120",'Onshore- Melbourne'!B367&amp;'Onshore- Melbourne'!M367)),ISNUMBER(SEARCH("Management (Learning)",'Onshore- Melbourne'!B367))),2,IF(ISNUMBER(SEARCH("CEK:",'Onshore- Melbourne'!M367)),1,0))</f>
        <v>1</v>
      </c>
    </row>
    <row r="181" customFormat="false" ht="15" hidden="false" customHeight="false" outlineLevel="0" collapsed="false">
      <c r="A181" s="61" t="s">
        <v>3810</v>
      </c>
      <c r="B181" s="62"/>
      <c r="C181" s="62"/>
      <c r="D181" s="62"/>
      <c r="E181" s="62"/>
      <c r="F181" s="62"/>
      <c r="G181" s="62"/>
      <c r="H181" s="62"/>
      <c r="I181" s="62"/>
    </row>
    <row r="182" customFormat="false" ht="15" hidden="false" customHeight="false" outlineLevel="0" collapsed="false">
      <c r="A182" s="63" t="s">
        <v>3573</v>
      </c>
      <c r="B182" s="64" t="s">
        <v>3792</v>
      </c>
      <c r="C182" s="63" t="s">
        <v>40</v>
      </c>
      <c r="D182" s="64" t="str">
        <f aca="false">TRIM(LEFT('Onshore - Perth'!A28,FIND(CHAR(10),'Onshore - Perth'!A28&amp;CHAR(10))-1))</f>
        <v>Apeiro Institute</v>
      </c>
      <c r="E182" s="63" t="str">
        <f aca="false">'Onshore - Perth'!C32&amp;""</f>
        <v>2 years</v>
      </c>
      <c r="F182" s="63" t="str">
        <f aca="false">IF('Onshore - Perth'!D32="","Belum tercatat",'Onshore - Perth'!D32)</f>
        <v>Term</v>
      </c>
      <c r="G182" s="65" t="n">
        <f aca="false">IF('Onshore - Perth'!E32="","-",'Onshore - Perth'!E32)</f>
        <v>2575</v>
      </c>
      <c r="H182" s="63" t="n">
        <f aca="false">IF(ISNUMBER(K182),COUNTIFS($J$6:$J$1916,J182,$K$6:$K$1916,"&lt;"&amp;K182)+1,"-")</f>
        <v>1</v>
      </c>
      <c r="I182" s="64" t="str">
        <f aca="false">IF('Onshore - Perth'!E32="","Harga belum tersedia - hubungi konsultan TEG",IF(M182=2,"Saat ini tidak menerima pendaftaran siswa internasional baru",IF(M182=1,"Harga perlu dikonfirmasi ke sekolah"&amp;IF(""="","","; "&amp;""),"")))</f>
        <v/>
      </c>
      <c r="J182" s="0" t="s">
        <v>3811</v>
      </c>
      <c r="K182" s="0" t="n">
        <f aca="false">IF(M182=2,"",IF(ISNUMBER(SEARCH("rata-rata:",'Onshore - Perth'!M32)),VALUE(MID('Onshore - Perth'!M32,SEARCH("rata-rata:",'Onshore - Perth'!M32)+11,FIND(";",'Onshore - Perth'!M32&amp;";",SEARCH("rata-rata:",'Onshore - Perth'!M32))-SEARCH("rata-rata:",'Onshore - Perth'!M32)-11)),IF('Onshore - Perth'!D32="Semester",'Onshore - Perth'!E32*2,IF('Onshore - Perth'!D32="Trimester",'Onshore - Perth'!E32*3,IF('Onshore - Perth'!D32="Term",'Onshore - Perth'!E32*4,IF('Onshore - Perth'!D32="Unit",'Onshore - Perth'!E32*8,""))))))</f>
        <v>10300</v>
      </c>
      <c r="L182" s="0" t="n">
        <f aca="false">IF(AND(ISNUMBER('Onshore - Perth'!E32),ISNUMBER(K182),ISNUMBER('Onshore - Perth'!F32),ISNUMBER('Onshore - Perth'!G32),OR('Onshore - Perth'!F32&lt;&gt;0,ISNUMBER(SEARCH("Material 0 terverifikasi",'Onshore - Perth'!M32))),OR('Onshore - Perth'!G32&lt;&gt;0,ISNUMBER(SEARCH("Enrolment 0 terverifikasi",'Onshore - Perth'!M32)))),1,0)</f>
        <v>1</v>
      </c>
      <c r="M182" s="0" t="n">
        <f aca="false">IF(OR('Onshore - Perth'!E32="",ISNUMBER(SEARCH("BSB80120",'Onshore - Perth'!B32&amp;'Onshore - Perth'!M32)),ISNUMBER(SEARCH("Management (Learning)",'Onshore - Perth'!B32))),2,IF(ISNUMBER(SEARCH("CEK:",'Onshore - Perth'!M32)),1,0))</f>
        <v>0</v>
      </c>
    </row>
    <row r="183" customFormat="false" ht="15" hidden="false" customHeight="false" outlineLevel="0" collapsed="false">
      <c r="A183" s="63" t="s">
        <v>3573</v>
      </c>
      <c r="B183" s="64" t="s">
        <v>3792</v>
      </c>
      <c r="C183" s="63" t="s">
        <v>40</v>
      </c>
      <c r="D183" s="64" t="str">
        <f aca="false">TRIM(LEFT('Onshore - Perth'!A38,FIND(CHAR(10),'Onshore - Perth'!A38&amp;CHAR(10))-1))</f>
        <v>Baxter Institute</v>
      </c>
      <c r="E183" s="63" t="str">
        <f aca="false">'Onshore - Perth'!C40&amp;""</f>
        <v>2 years</v>
      </c>
      <c r="F183" s="63" t="str">
        <f aca="false">IF('Onshore - Perth'!D40="","Belum tercatat",'Onshore - Perth'!D40)</f>
        <v>Term</v>
      </c>
      <c r="G183" s="65" t="n">
        <f aca="false">IF('Onshore - Perth'!E40="","-",'Onshore - Perth'!E40)</f>
        <v>2625</v>
      </c>
      <c r="H183" s="63" t="n">
        <f aca="false">IF(ISNUMBER(K183),COUNTIFS($J$6:$J$1916,J183,$K$6:$K$1916,"&lt;"&amp;K183)+1,"-")</f>
        <v>2</v>
      </c>
      <c r="I183" s="64" t="str">
        <f aca="false">IF('Onshore - Perth'!E40="","Harga belum tersedia - hubungi konsultan TEG",IF(M183=2,"Saat ini tidak menerima pendaftaran siswa internasional baru",IF(M183=1,"Harga perlu dikonfirmasi ke sekolah"&amp;IF(""="","","; "&amp;""),"")))</f>
        <v/>
      </c>
      <c r="J183" s="0" t="s">
        <v>3811</v>
      </c>
      <c r="K183" s="0" t="n">
        <f aca="false">IF(M183=2,"",IF(ISNUMBER(SEARCH("rata-rata:",'Onshore - Perth'!M40)),VALUE(MID('Onshore - Perth'!M40,SEARCH("rata-rata:",'Onshore - Perth'!M40)+11,FIND(";",'Onshore - Perth'!M40&amp;";",SEARCH("rata-rata:",'Onshore - Perth'!M40))-SEARCH("rata-rata:",'Onshore - Perth'!M40)-11)),IF('Onshore - Perth'!D40="Semester",'Onshore - Perth'!E40*2,IF('Onshore - Perth'!D40="Trimester",'Onshore - Perth'!E40*3,IF('Onshore - Perth'!D40="Term",'Onshore - Perth'!E40*4,IF('Onshore - Perth'!D40="Unit",'Onshore - Perth'!E40*8,""))))))</f>
        <v>10500</v>
      </c>
      <c r="L183" s="0" t="n">
        <f aca="false">IF(AND(ISNUMBER('Onshore - Perth'!E40),ISNUMBER(K183),ISNUMBER('Onshore - Perth'!F40),ISNUMBER('Onshore - Perth'!G40),OR('Onshore - Perth'!F40&lt;&gt;0,ISNUMBER(SEARCH("Material 0 terverifikasi",'Onshore - Perth'!M40))),OR('Onshore - Perth'!G40&lt;&gt;0,ISNUMBER(SEARCH("Enrolment 0 terverifikasi",'Onshore - Perth'!M40)))),1,0)</f>
        <v>1</v>
      </c>
      <c r="M183" s="0" t="n">
        <f aca="false">IF(OR('Onshore - Perth'!E40="",ISNUMBER(SEARCH("BSB80120",'Onshore - Perth'!B40&amp;'Onshore - Perth'!M40)),ISNUMBER(SEARCH("Management (Learning)",'Onshore - Perth'!B40))),2,IF(ISNUMBER(SEARCH("CEK:",'Onshore - Perth'!M40)),1,0))</f>
        <v>0</v>
      </c>
    </row>
    <row r="184" customFormat="false" ht="15" hidden="false" customHeight="false" outlineLevel="0" collapsed="false">
      <c r="A184" s="61" t="s">
        <v>3812</v>
      </c>
      <c r="B184" s="62"/>
      <c r="C184" s="62"/>
      <c r="D184" s="62"/>
      <c r="E184" s="62"/>
      <c r="F184" s="62"/>
      <c r="G184" s="62"/>
      <c r="H184" s="62"/>
      <c r="I184" s="62"/>
    </row>
    <row r="185" customFormat="false" ht="15" hidden="false" customHeight="false" outlineLevel="0" collapsed="false">
      <c r="A185" s="63" t="s">
        <v>3573</v>
      </c>
      <c r="B185" s="64" t="s">
        <v>3792</v>
      </c>
      <c r="C185" s="63" t="s">
        <v>41</v>
      </c>
      <c r="D185" s="64" t="str">
        <f aca="false">TRIM(LEFT('Onshore - Perth'!A139,FIND(CHAR(10),'Onshore - Perth'!A139&amp;CHAR(10))-1))</f>
        <v>Skills Institute Australia</v>
      </c>
      <c r="E185" s="63" t="str">
        <f aca="false">'Onshore - Perth'!C142&amp;""</f>
        <v>2,5 years</v>
      </c>
      <c r="F185" s="63" t="str">
        <f aca="false">IF('Onshore - Perth'!D142="","Belum tercatat",'Onshore - Perth'!D142)</f>
        <v>Term</v>
      </c>
      <c r="G185" s="65" t="n">
        <f aca="false">IF('Onshore - Perth'!E142="","-",'Onshore - Perth'!E142)</f>
        <v>2650</v>
      </c>
      <c r="H185" s="63" t="n">
        <f aca="false">IF(ISNUMBER(K185),COUNTIFS($J$6:$J$1916,J185,$K$6:$K$1916,"&lt;"&amp;K185)+1,"-")</f>
        <v>1</v>
      </c>
      <c r="I185" s="64" t="str">
        <f aca="false">IF('Onshore - Perth'!E142="","Harga belum tersedia - hubungi konsultan TEG",IF(M185=2,"Saat ini tidak menerima pendaftaran siswa internasional baru",IF(M185=1,"Harga perlu dikonfirmasi ke sekolah"&amp;IF(""="","","; "&amp;""),"")))</f>
        <v/>
      </c>
      <c r="J185" s="0" t="s">
        <v>3813</v>
      </c>
      <c r="K185" s="0" t="n">
        <f aca="false">IF(M185=2,"",IF(ISNUMBER(SEARCH("rata-rata:",'Onshore - Perth'!M142)),VALUE(MID('Onshore - Perth'!M142,SEARCH("rata-rata:",'Onshore - Perth'!M142)+11,FIND(";",'Onshore - Perth'!M142&amp;";",SEARCH("rata-rata:",'Onshore - Perth'!M142))-SEARCH("rata-rata:",'Onshore - Perth'!M142)-11)),IF('Onshore - Perth'!D142="Semester",'Onshore - Perth'!E142*2,IF('Onshore - Perth'!D142="Trimester",'Onshore - Perth'!E142*3,IF('Onshore - Perth'!D142="Term",'Onshore - Perth'!E142*4,IF('Onshore - Perth'!D142="Unit",'Onshore - Perth'!E142*8,""))))))</f>
        <v>10600</v>
      </c>
      <c r="L185" s="0" t="n">
        <f aca="false">IF(AND(ISNUMBER('Onshore - Perth'!E142),ISNUMBER(K185),ISNUMBER('Onshore - Perth'!F142),ISNUMBER('Onshore - Perth'!G142),OR('Onshore - Perth'!F142&lt;&gt;0,ISNUMBER(SEARCH("Material 0 terverifikasi",'Onshore - Perth'!M142))),OR('Onshore - Perth'!G142&lt;&gt;0,ISNUMBER(SEARCH("Enrolment 0 terverifikasi",'Onshore - Perth'!M142)))),1,0)</f>
        <v>1</v>
      </c>
      <c r="M185" s="0" t="n">
        <f aca="false">IF(OR('Onshore - Perth'!E142="",ISNUMBER(SEARCH("BSB80120",'Onshore - Perth'!B142&amp;'Onshore - Perth'!M142)),ISNUMBER(SEARCH("Management (Learning)",'Onshore - Perth'!B142))),2,IF(ISNUMBER(SEARCH("CEK:",'Onshore - Perth'!M142)),1,0))</f>
        <v>0</v>
      </c>
    </row>
    <row r="186" customFormat="false" ht="15" hidden="false" customHeight="false" outlineLevel="0" collapsed="false">
      <c r="A186" s="63" t="s">
        <v>3573</v>
      </c>
      <c r="B186" s="64" t="s">
        <v>3792</v>
      </c>
      <c r="C186" s="63" t="s">
        <v>41</v>
      </c>
      <c r="D186" s="64" t="str">
        <f aca="false">TRIM(LEFT('Onshore - Perth'!A38,FIND(CHAR(10),'Onshore - Perth'!A38&amp;CHAR(10))-1))</f>
        <v>Baxter Institute</v>
      </c>
      <c r="E186" s="63" t="str">
        <f aca="false">'Onshore - Perth'!C41&amp;""</f>
        <v>2,5 years</v>
      </c>
      <c r="F186" s="63" t="str">
        <f aca="false">IF('Onshore - Perth'!D41="","Belum tercatat",'Onshore - Perth'!D41)</f>
        <v>Term</v>
      </c>
      <c r="G186" s="65" t="n">
        <f aca="false">IF('Onshore - Perth'!E41="","-",'Onshore - Perth'!E41)</f>
        <v>2700</v>
      </c>
      <c r="H186" s="63" t="n">
        <f aca="false">IF(ISNUMBER(K186),COUNTIFS($J$6:$J$1916,J186,$K$6:$K$1916,"&lt;"&amp;K186)+1,"-")</f>
        <v>2</v>
      </c>
      <c r="I186" s="64" t="str">
        <f aca="false">IF('Onshore - Perth'!E41="","Harga belum tersedia - hubungi konsultan TEG",IF(M186=2,"Saat ini tidak menerima pendaftaran siswa internasional baru",IF(M186=1,"Harga perlu dikonfirmasi ke sekolah"&amp;IF(""="","","; "&amp;""),"")))</f>
        <v/>
      </c>
      <c r="J186" s="0" t="s">
        <v>3813</v>
      </c>
      <c r="K186" s="0" t="n">
        <f aca="false">IF(M186=2,"",IF(ISNUMBER(SEARCH("rata-rata:",'Onshore - Perth'!M41)),VALUE(MID('Onshore - Perth'!M41,SEARCH("rata-rata:",'Onshore - Perth'!M41)+11,FIND(";",'Onshore - Perth'!M41&amp;";",SEARCH("rata-rata:",'Onshore - Perth'!M41))-SEARCH("rata-rata:",'Onshore - Perth'!M41)-11)),IF('Onshore - Perth'!D41="Semester",'Onshore - Perth'!E41*2,IF('Onshore - Perth'!D41="Trimester",'Onshore - Perth'!E41*3,IF('Onshore - Perth'!D41="Term",'Onshore - Perth'!E41*4,IF('Onshore - Perth'!D41="Unit",'Onshore - Perth'!E41*8,""))))))</f>
        <v>10800</v>
      </c>
      <c r="L186" s="0" t="n">
        <f aca="false">IF(AND(ISNUMBER('Onshore - Perth'!E41),ISNUMBER(K186),ISNUMBER('Onshore - Perth'!F41),ISNUMBER('Onshore - Perth'!G41),OR('Onshore - Perth'!F41&lt;&gt;0,ISNUMBER(SEARCH("Material 0 terverifikasi",'Onshore - Perth'!M41))),OR('Onshore - Perth'!G41&lt;&gt;0,ISNUMBER(SEARCH("Enrolment 0 terverifikasi",'Onshore - Perth'!M41)))),1,0)</f>
        <v>1</v>
      </c>
      <c r="M186" s="0" t="n">
        <f aca="false">IF(OR('Onshore - Perth'!E41="",ISNUMBER(SEARCH("BSB80120",'Onshore - Perth'!B41&amp;'Onshore - Perth'!M41)),ISNUMBER(SEARCH("Management (Learning)",'Onshore - Perth'!B41))),2,IF(ISNUMBER(SEARCH("CEK:",'Onshore - Perth'!M41)),1,0))</f>
        <v>0</v>
      </c>
    </row>
    <row r="187" customFormat="false" ht="15" hidden="false" customHeight="false" outlineLevel="0" collapsed="false">
      <c r="A187" s="63" t="s">
        <v>3573</v>
      </c>
      <c r="B187" s="64" t="s">
        <v>3792</v>
      </c>
      <c r="C187" s="63" t="s">
        <v>41</v>
      </c>
      <c r="D187" s="64" t="str">
        <f aca="false">TRIM(LEFT('Onshore - Perth'!A28,FIND(CHAR(10),'Onshore - Perth'!A28&amp;CHAR(10))-1))</f>
        <v>Apeiro Institute</v>
      </c>
      <c r="E187" s="63" t="str">
        <f aca="false">'Onshore - Perth'!C33&amp;""</f>
        <v>2,5 years</v>
      </c>
      <c r="F187" s="63" t="str">
        <f aca="false">IF('Onshore - Perth'!D33="","Belum tercatat",'Onshore - Perth'!D33)</f>
        <v>Term</v>
      </c>
      <c r="G187" s="65" t="n">
        <f aca="false">IF('Onshore - Perth'!E33="","-",'Onshore - Perth'!E33)</f>
        <v>2750</v>
      </c>
      <c r="H187" s="63" t="n">
        <f aca="false">IF(ISNUMBER(K187),COUNTIFS($J$6:$J$1916,J187,$K$6:$K$1916,"&lt;"&amp;K187)+1,"-")</f>
        <v>3</v>
      </c>
      <c r="I187" s="64" t="str">
        <f aca="false">IF('Onshore - Perth'!E33="","Harga belum tersedia - hubungi konsultan TEG",IF(M187=2,"Saat ini tidak menerima pendaftaran siswa internasional baru",IF(M187=1,"Harga perlu dikonfirmasi ke sekolah"&amp;IF(""="","","; "&amp;""),"")))</f>
        <v/>
      </c>
      <c r="J187" s="0" t="s">
        <v>3813</v>
      </c>
      <c r="K187" s="0" t="n">
        <f aca="false">IF(M187=2,"",IF(ISNUMBER(SEARCH("rata-rata:",'Onshore - Perth'!M33)),VALUE(MID('Onshore - Perth'!M33,SEARCH("rata-rata:",'Onshore - Perth'!M33)+11,FIND(";",'Onshore - Perth'!M33&amp;";",SEARCH("rata-rata:",'Onshore - Perth'!M33))-SEARCH("rata-rata:",'Onshore - Perth'!M33)-11)),IF('Onshore - Perth'!D33="Semester",'Onshore - Perth'!E33*2,IF('Onshore - Perth'!D33="Trimester",'Onshore - Perth'!E33*3,IF('Onshore - Perth'!D33="Term",'Onshore - Perth'!E33*4,IF('Onshore - Perth'!D33="Unit",'Onshore - Perth'!E33*8,""))))))</f>
        <v>11000</v>
      </c>
      <c r="L187" s="0" t="n">
        <f aca="false">IF(AND(ISNUMBER('Onshore - Perth'!E33),ISNUMBER(K187),ISNUMBER('Onshore - Perth'!F33),ISNUMBER('Onshore - Perth'!G33),OR('Onshore - Perth'!F33&lt;&gt;0,ISNUMBER(SEARCH("Material 0 terverifikasi",'Onshore - Perth'!M33))),OR('Onshore - Perth'!G33&lt;&gt;0,ISNUMBER(SEARCH("Enrolment 0 terverifikasi",'Onshore - Perth'!M33)))),1,0)</f>
        <v>1</v>
      </c>
      <c r="M187" s="0" t="n">
        <f aca="false">IF(OR('Onshore - Perth'!E33="",ISNUMBER(SEARCH("BSB80120",'Onshore - Perth'!B33&amp;'Onshore - Perth'!M33)),ISNUMBER(SEARCH("Management (Learning)",'Onshore - Perth'!B33))),2,IF(ISNUMBER(SEARCH("CEK:",'Onshore - Perth'!M33)),1,0))</f>
        <v>0</v>
      </c>
    </row>
    <row r="188" customFormat="false" ht="15" hidden="false" customHeight="false" outlineLevel="0" collapsed="false">
      <c r="A188" s="61" t="s">
        <v>3814</v>
      </c>
      <c r="B188" s="62"/>
      <c r="C188" s="62"/>
      <c r="D188" s="62"/>
      <c r="E188" s="62"/>
      <c r="F188" s="62"/>
      <c r="G188" s="62"/>
      <c r="H188" s="62"/>
      <c r="I188" s="62"/>
    </row>
    <row r="189" customFormat="false" ht="15" hidden="false" customHeight="false" outlineLevel="0" collapsed="false">
      <c r="A189" s="63" t="s">
        <v>3533</v>
      </c>
      <c r="B189" s="64" t="s">
        <v>3792</v>
      </c>
      <c r="C189" s="63" t="s">
        <v>39</v>
      </c>
      <c r="D189" s="64" t="str">
        <f aca="false">TRIM(LEFT('Onshore - Sydney'!A716,FIND(CHAR(10),'Onshore - Sydney'!A716&amp;CHAR(10))-1))</f>
        <v>Oceania College of Technology</v>
      </c>
      <c r="E189" s="63" t="str">
        <f aca="false">'Onshore - Sydney'!C720&amp;""</f>
        <v>2 years</v>
      </c>
      <c r="F189" s="63" t="str">
        <f aca="false">IF('Onshore - Sydney'!D720="","Belum tercatat",'Onshore - Sydney'!D720)</f>
        <v>Term</v>
      </c>
      <c r="G189" s="65" t="n">
        <f aca="false">IF('Onshore - Sydney'!E720="","-",'Onshore - Sydney'!E720)</f>
        <v>2333</v>
      </c>
      <c r="H189" s="63" t="n">
        <f aca="false">IF(ISNUMBER(K189),COUNTIFS($J$6:$J$1916,J189,$K$6:$K$1916,"&lt;"&amp;K189)+1,"-")</f>
        <v>1</v>
      </c>
      <c r="I189" s="64" t="str">
        <f aca="false">IF('Onshore - Sydney'!E720="","Harga belum tersedia - hubungi konsultan TEG",IF(M189=2,"Saat ini tidak menerima pendaftaran siswa internasional baru",IF(M189=1,"Harga perlu dikonfirmasi ke sekolah"&amp;IF(""="","","; "&amp;""),"")))</f>
        <v/>
      </c>
      <c r="J189" s="0" t="s">
        <v>3815</v>
      </c>
      <c r="K189" s="0" t="n">
        <f aca="false">IF(M189=2,"",IF(ISNUMBER(SEARCH("rata-rata:",'Onshore - Sydney'!M720)),VALUE(MID('Onshore - Sydney'!M720,SEARCH("rata-rata:",'Onshore - Sydney'!M720)+11,FIND(";",'Onshore - Sydney'!M720&amp;";",SEARCH("rata-rata:",'Onshore - Sydney'!M720))-SEARCH("rata-rata:",'Onshore - Sydney'!M720)-11)),IF('Onshore - Sydney'!D720="Semester",'Onshore - Sydney'!E720*2,IF('Onshore - Sydney'!D720="Trimester",'Onshore - Sydney'!E720*3,IF('Onshore - Sydney'!D720="Term",'Onshore - Sydney'!E720*4,IF('Onshore - Sydney'!D720="Unit",'Onshore - Sydney'!E720*8,""))))))</f>
        <v>9332</v>
      </c>
      <c r="L189" s="0" t="n">
        <f aca="false">IF(AND(ISNUMBER('Onshore - Sydney'!E720),ISNUMBER(K189),ISNUMBER('Onshore - Sydney'!F720),ISNUMBER('Onshore - Sydney'!G720),OR('Onshore - Sydney'!F720&lt;&gt;0,ISNUMBER(SEARCH("Material 0 terverifikasi",'Onshore - Sydney'!M720))),OR('Onshore - Sydney'!G720&lt;&gt;0,ISNUMBER(SEARCH("Enrolment 0 terverifikasi",'Onshore - Sydney'!M720)))),1,0)</f>
        <v>1</v>
      </c>
      <c r="M189" s="0" t="n">
        <f aca="false">IF(OR('Onshore - Sydney'!E720="",ISNUMBER(SEARCH("BSB80120",'Onshore - Sydney'!B720&amp;'Onshore - Sydney'!M720)),ISNUMBER(SEARCH("Management (Learning)",'Onshore - Sydney'!B720))),2,IF(ISNUMBER(SEARCH("CEK:",'Onshore - Sydney'!M720)),1,0))</f>
        <v>0</v>
      </c>
    </row>
    <row r="190" customFormat="false" ht="28.35" hidden="false" customHeight="false" outlineLevel="0" collapsed="false">
      <c r="A190" s="63" t="s">
        <v>3533</v>
      </c>
      <c r="B190" s="64" t="s">
        <v>3792</v>
      </c>
      <c r="C190" s="63" t="s">
        <v>39</v>
      </c>
      <c r="D190" s="64" t="str">
        <f aca="false">TRIM(LEFT('Onshore - Sydney'!A763,FIND(CHAR(10),'Onshore - Sydney'!A763&amp;CHAR(10))-1))</f>
        <v>Sydney College of Professional Education (SCPE)</v>
      </c>
      <c r="E190" s="63" t="str">
        <f aca="false">'Onshore - Sydney'!C767&amp;""</f>
        <v>2 years</v>
      </c>
      <c r="F190" s="63" t="str">
        <f aca="false">IF('Onshore - Sydney'!D767="","Belum tercatat",'Onshore - Sydney'!D767)</f>
        <v>Term</v>
      </c>
      <c r="G190" s="65" t="n">
        <f aca="false">IF('Onshore - Sydney'!E767="","-",'Onshore - Sydney'!E767)</f>
        <v>2750</v>
      </c>
      <c r="H190" s="63" t="n">
        <f aca="false">IF(ISNUMBER(K190),COUNTIFS($J$6:$J$1916,J190,$K$6:$K$1916,"&lt;"&amp;K190)+1,"-")</f>
        <v>2</v>
      </c>
      <c r="I190" s="64" t="str">
        <f aca="false">IF('Onshore - Sydney'!E767="","Harga belum tersedia - hubungi konsultan TEG",IF(M190=2,"Saat ini tidak menerima pendaftaran siswa internasional baru",IF(M190=1,"Harga perlu dikonfirmasi ke sekolah"&amp;IF(""="","","; "&amp;""),"")))</f>
        <v>Harga perlu dikonfirmasi ke sekolah</v>
      </c>
      <c r="J190" s="0" t="s">
        <v>3815</v>
      </c>
      <c r="K190" s="0" t="n">
        <f aca="false">IF(M190=2,"",IF(ISNUMBER(SEARCH("rata-rata:",'Onshore - Sydney'!M767)),VALUE(MID('Onshore - Sydney'!M767,SEARCH("rata-rata:",'Onshore - Sydney'!M767)+11,FIND(";",'Onshore - Sydney'!M767&amp;";",SEARCH("rata-rata:",'Onshore - Sydney'!M767))-SEARCH("rata-rata:",'Onshore - Sydney'!M767)-11)),IF('Onshore - Sydney'!D767="Semester",'Onshore - Sydney'!E767*2,IF('Onshore - Sydney'!D767="Trimester",'Onshore - Sydney'!E767*3,IF('Onshore - Sydney'!D767="Term",'Onshore - Sydney'!E767*4,IF('Onshore - Sydney'!D767="Unit",'Onshore - Sydney'!E767*8,""))))))</f>
        <v>11000</v>
      </c>
      <c r="L190" s="0" t="n">
        <f aca="false">IF(AND(ISNUMBER('Onshore - Sydney'!E767),ISNUMBER(K190),ISNUMBER('Onshore - Sydney'!F767),ISNUMBER('Onshore - Sydney'!G767),OR('Onshore - Sydney'!F767&lt;&gt;0,ISNUMBER(SEARCH("Material 0 terverifikasi",'Onshore - Sydney'!M767))),OR('Onshore - Sydney'!G767&lt;&gt;0,ISNUMBER(SEARCH("Enrolment 0 terverifikasi",'Onshore - Sydney'!M767)))),1,0)</f>
        <v>1</v>
      </c>
      <c r="M190" s="0" t="n">
        <f aca="false">IF(OR('Onshore - Sydney'!E767="",ISNUMBER(SEARCH("BSB80120",'Onshore - Sydney'!B767&amp;'Onshore - Sydney'!M767)),ISNUMBER(SEARCH("Management (Learning)",'Onshore - Sydney'!B767))),2,IF(ISNUMBER(SEARCH("CEK:",'Onshore - Sydney'!M767)),1,0))</f>
        <v>1</v>
      </c>
    </row>
    <row r="191" customFormat="false" ht="15" hidden="false" customHeight="false" outlineLevel="0" collapsed="false">
      <c r="A191" s="63" t="s">
        <v>3533</v>
      </c>
      <c r="B191" s="64" t="s">
        <v>3792</v>
      </c>
      <c r="C191" s="63" t="s">
        <v>39</v>
      </c>
      <c r="D191" s="64" t="str">
        <f aca="false">TRIM(LEFT('Onshore - Sydney'!A1023,FIND(CHAR(10),'Onshore - Sydney'!A1023&amp;CHAR(10))-1))</f>
        <v>Vigil International College</v>
      </c>
      <c r="E191" s="63" t="str">
        <f aca="false">'Onshore - Sydney'!C1024&amp;""</f>
        <v>2 years</v>
      </c>
      <c r="F191" s="63" t="str">
        <f aca="false">IF('Onshore - Sydney'!D1024="","Belum tercatat",'Onshore - Sydney'!D1024)</f>
        <v>Term</v>
      </c>
      <c r="G191" s="65" t="n">
        <f aca="false">IF('Onshore - Sydney'!E1024="","-",'Onshore - Sydney'!E1024)</f>
        <v>3000</v>
      </c>
      <c r="H191" s="63" t="n">
        <f aca="false">IF(ISNUMBER(K191),COUNTIFS($J$6:$J$1916,J191,$K$6:$K$1916,"&lt;"&amp;K191)+1,"-")</f>
        <v>3</v>
      </c>
      <c r="I191" s="64" t="str">
        <f aca="false">IF('Onshore - Sydney'!E1024="","Harga belum tersedia - hubungi konsultan TEG",IF(M191=2,"Saat ini tidak menerima pendaftaran siswa internasional baru",IF(M191=1,"Harga perlu dikonfirmasi ke sekolah"&amp;IF(""="","","; "&amp;""),"")))</f>
        <v/>
      </c>
      <c r="J191" s="0" t="s">
        <v>3815</v>
      </c>
      <c r="K191" s="0" t="n">
        <f aca="false">IF(M191=2,"",IF(ISNUMBER(SEARCH("rata-rata:",'Onshore - Sydney'!M1024)),VALUE(MID('Onshore - Sydney'!M1024,SEARCH("rata-rata:",'Onshore - Sydney'!M1024)+11,FIND(";",'Onshore - Sydney'!M1024&amp;";",SEARCH("rata-rata:",'Onshore - Sydney'!M1024))-SEARCH("rata-rata:",'Onshore - Sydney'!M1024)-11)),IF('Onshore - Sydney'!D1024="Semester",'Onshore - Sydney'!E1024*2,IF('Onshore - Sydney'!D1024="Trimester",'Onshore - Sydney'!E1024*3,IF('Onshore - Sydney'!D1024="Term",'Onshore - Sydney'!E1024*4,IF('Onshore - Sydney'!D1024="Unit",'Onshore - Sydney'!E1024*8,""))))))</f>
        <v>12000</v>
      </c>
      <c r="L191" s="0" t="n">
        <f aca="false">IF(AND(ISNUMBER('Onshore - Sydney'!E1024),ISNUMBER(K191),ISNUMBER('Onshore - Sydney'!F1024),ISNUMBER('Onshore - Sydney'!G1024),OR('Onshore - Sydney'!F1024&lt;&gt;0,ISNUMBER(SEARCH("Material 0 terverifikasi",'Onshore - Sydney'!M1024))),OR('Onshore - Sydney'!G1024&lt;&gt;0,ISNUMBER(SEARCH("Enrolment 0 terverifikasi",'Onshore - Sydney'!M1024)))),1,0)</f>
        <v>1</v>
      </c>
      <c r="M191" s="0" t="n">
        <f aca="false">IF(OR('Onshore - Sydney'!E1024="",ISNUMBER(SEARCH("BSB80120",'Onshore - Sydney'!B1024&amp;'Onshore - Sydney'!M1024)),ISNUMBER(SEARCH("Management (Learning)",'Onshore - Sydney'!B1024))),2,IF(ISNUMBER(SEARCH("CEK:",'Onshore - Sydney'!M1024)),1,0))</f>
        <v>0</v>
      </c>
    </row>
    <row r="192" customFormat="false" ht="15" hidden="false" customHeight="false" outlineLevel="0" collapsed="false">
      <c r="A192" s="61" t="s">
        <v>3816</v>
      </c>
      <c r="B192" s="62"/>
      <c r="C192" s="62"/>
      <c r="D192" s="62"/>
      <c r="E192" s="62"/>
      <c r="F192" s="62"/>
      <c r="G192" s="62"/>
      <c r="H192" s="62"/>
      <c r="I192" s="62"/>
    </row>
    <row r="193" customFormat="false" ht="15" hidden="false" customHeight="false" outlineLevel="0" collapsed="false">
      <c r="A193" s="63" t="s">
        <v>3533</v>
      </c>
      <c r="B193" s="64" t="s">
        <v>3792</v>
      </c>
      <c r="C193" s="63" t="s">
        <v>40</v>
      </c>
      <c r="D193" s="64" t="str">
        <f aca="false">TRIM(LEFT('Onshore - Sydney'!A472,FIND(CHAR(10),'Onshore - Sydney'!A472&amp;CHAR(10))-1))</f>
        <v>George Brown College</v>
      </c>
      <c r="E193" s="63" t="str">
        <f aca="false">'Onshore - Sydney'!C483&amp;""</f>
        <v>2 years</v>
      </c>
      <c r="F193" s="63" t="str">
        <f aca="false">IF('Onshore - Sydney'!D483="","Belum tercatat",'Onshore - Sydney'!D483)</f>
        <v>Term</v>
      </c>
      <c r="G193" s="65" t="n">
        <f aca="false">IF('Onshore - Sydney'!E483="","-",'Onshore - Sydney'!E483)</f>
        <v>2000</v>
      </c>
      <c r="H193" s="63" t="n">
        <f aca="false">IF(ISNUMBER(K193),COUNTIFS($J$6:$J$1916,J193,$K$6:$K$1916,"&lt;"&amp;K193)+1,"-")</f>
        <v>1</v>
      </c>
      <c r="I193" s="64" t="str">
        <f aca="false">IF('Onshore - Sydney'!E483="","Harga belum tersedia - hubungi konsultan TEG",IF(M193=2,"Saat ini tidak menerima pendaftaran siswa internasional baru",IF(M193=1,"Harga perlu dikonfirmasi ke sekolah"&amp;IF(""="","","; "&amp;""),"")))</f>
        <v/>
      </c>
      <c r="J193" s="0" t="s">
        <v>3817</v>
      </c>
      <c r="K193" s="0" t="n">
        <f aca="false">IF(M193=2,"",IF(ISNUMBER(SEARCH("rata-rata:",'Onshore - Sydney'!M483)),VALUE(MID('Onshore - Sydney'!M483,SEARCH("rata-rata:",'Onshore - Sydney'!M483)+11,FIND(";",'Onshore - Sydney'!M483&amp;";",SEARCH("rata-rata:",'Onshore - Sydney'!M483))-SEARCH("rata-rata:",'Onshore - Sydney'!M483)-11)),IF('Onshore - Sydney'!D483="Semester",'Onshore - Sydney'!E483*2,IF('Onshore - Sydney'!D483="Trimester",'Onshore - Sydney'!E483*3,IF('Onshore - Sydney'!D483="Term",'Onshore - Sydney'!E483*4,IF('Onshore - Sydney'!D483="Unit",'Onshore - Sydney'!E483*8,""))))))</f>
        <v>8000</v>
      </c>
      <c r="L193" s="0" t="n">
        <f aca="false">IF(AND(ISNUMBER('Onshore - Sydney'!E483),ISNUMBER(K193),ISNUMBER('Onshore - Sydney'!F483),ISNUMBER('Onshore - Sydney'!G483),OR('Onshore - Sydney'!F483&lt;&gt;0,ISNUMBER(SEARCH("Material 0 terverifikasi",'Onshore - Sydney'!M483))),OR('Onshore - Sydney'!G483&lt;&gt;0,ISNUMBER(SEARCH("Enrolment 0 terverifikasi",'Onshore - Sydney'!M483)))),1,0)</f>
        <v>1</v>
      </c>
      <c r="M193" s="0" t="n">
        <f aca="false">IF(OR('Onshore - Sydney'!E483="",ISNUMBER(SEARCH("BSB80120",'Onshore - Sydney'!B483&amp;'Onshore - Sydney'!M483)),ISNUMBER(SEARCH("Management (Learning)",'Onshore - Sydney'!B483))),2,IF(ISNUMBER(SEARCH("CEK:",'Onshore - Sydney'!M483)),1,0))</f>
        <v>0</v>
      </c>
    </row>
    <row r="194" customFormat="false" ht="15" hidden="false" customHeight="false" outlineLevel="0" collapsed="false">
      <c r="A194" s="63" t="s">
        <v>3533</v>
      </c>
      <c r="B194" s="64" t="s">
        <v>3792</v>
      </c>
      <c r="C194" s="63" t="s">
        <v>40</v>
      </c>
      <c r="D194" s="64" t="str">
        <f aca="false">TRIM(LEFT('Onshore - Sydney'!A716,FIND(CHAR(10),'Onshore - Sydney'!A716&amp;CHAR(10))-1))</f>
        <v>Oceania College of Technology</v>
      </c>
      <c r="E194" s="63" t="str">
        <f aca="false">'Onshore - Sydney'!C716&amp;""</f>
        <v>2 years</v>
      </c>
      <c r="F194" s="63" t="str">
        <f aca="false">IF('Onshore - Sydney'!D716="","Belum tercatat",'Onshore - Sydney'!D716)</f>
        <v>Term</v>
      </c>
      <c r="G194" s="65" t="n">
        <f aca="false">IF('Onshore - Sydney'!E716="","-",'Onshore - Sydney'!E716)</f>
        <v>2250</v>
      </c>
      <c r="H194" s="63" t="n">
        <f aca="false">IF(ISNUMBER(K194),COUNTIFS($J$6:$J$1916,J194,$K$6:$K$1916,"&lt;"&amp;K194)+1,"-")</f>
        <v>2</v>
      </c>
      <c r="I194" s="64" t="str">
        <f aca="false">IF('Onshore - Sydney'!E716="","Harga belum tersedia - hubungi konsultan TEG",IF(M194=2,"Saat ini tidak menerima pendaftaran siswa internasional baru",IF(M194=1,"Harga perlu dikonfirmasi ke sekolah"&amp;IF(""="","","; "&amp;""),"")))</f>
        <v/>
      </c>
      <c r="J194" s="0" t="s">
        <v>3817</v>
      </c>
      <c r="K194" s="0" t="n">
        <f aca="false">IF(M194=2,"",IF(ISNUMBER(SEARCH("rata-rata:",'Onshore - Sydney'!M716)),VALUE(MID('Onshore - Sydney'!M716,SEARCH("rata-rata:",'Onshore - Sydney'!M716)+11,FIND(";",'Onshore - Sydney'!M716&amp;";",SEARCH("rata-rata:",'Onshore - Sydney'!M716))-SEARCH("rata-rata:",'Onshore - Sydney'!M716)-11)),IF('Onshore - Sydney'!D716="Semester",'Onshore - Sydney'!E716*2,IF('Onshore - Sydney'!D716="Trimester",'Onshore - Sydney'!E716*3,IF('Onshore - Sydney'!D716="Term",'Onshore - Sydney'!E716*4,IF('Onshore - Sydney'!D716="Unit",'Onshore - Sydney'!E716*8,""))))))</f>
        <v>9000</v>
      </c>
      <c r="L194" s="0" t="n">
        <f aca="false">IF(AND(ISNUMBER('Onshore - Sydney'!E716),ISNUMBER(K194),ISNUMBER('Onshore - Sydney'!F716),ISNUMBER('Onshore - Sydney'!G716),OR('Onshore - Sydney'!F716&lt;&gt;0,ISNUMBER(SEARCH("Material 0 terverifikasi",'Onshore - Sydney'!M716))),OR('Onshore - Sydney'!G716&lt;&gt;0,ISNUMBER(SEARCH("Enrolment 0 terverifikasi",'Onshore - Sydney'!M716)))),1,0)</f>
        <v>1</v>
      </c>
      <c r="M194" s="0" t="n">
        <f aca="false">IF(OR('Onshore - Sydney'!E716="",ISNUMBER(SEARCH("BSB80120",'Onshore - Sydney'!B716&amp;'Onshore - Sydney'!M716)),ISNUMBER(SEARCH("Management (Learning)",'Onshore - Sydney'!B716))),2,IF(ISNUMBER(SEARCH("CEK:",'Onshore - Sydney'!M716)),1,0))</f>
        <v>0</v>
      </c>
    </row>
    <row r="195" customFormat="false" ht="15" hidden="false" customHeight="false" outlineLevel="0" collapsed="false">
      <c r="A195" s="63" t="s">
        <v>3533</v>
      </c>
      <c r="B195" s="64" t="s">
        <v>3792</v>
      </c>
      <c r="C195" s="63" t="s">
        <v>40</v>
      </c>
      <c r="D195" s="64" t="str">
        <f aca="false">TRIM(LEFT('Onshore - Sydney'!A132,FIND(CHAR(10),'Onshore - Sydney'!A132&amp;CHAR(10))-1))</f>
        <v>Apeiro Institute</v>
      </c>
      <c r="E195" s="63" t="str">
        <f aca="false">'Onshore - Sydney'!C134&amp;""</f>
        <v>2 years</v>
      </c>
      <c r="F195" s="63" t="str">
        <f aca="false">IF('Onshore - Sydney'!D134="","Belum tercatat",'Onshore - Sydney'!D134)</f>
        <v>Term</v>
      </c>
      <c r="G195" s="65" t="n">
        <f aca="false">IF('Onshore - Sydney'!E134="","-",'Onshore - Sydney'!E134)</f>
        <v>2575</v>
      </c>
      <c r="H195" s="63" t="n">
        <f aca="false">IF(ISNUMBER(K195),COUNTIFS($J$6:$J$1916,J195,$K$6:$K$1916,"&lt;"&amp;K195)+1,"-")</f>
        <v>3</v>
      </c>
      <c r="I195" s="64" t="str">
        <f aca="false">IF('Onshore - Sydney'!E134="","Harga belum tersedia - hubungi konsultan TEG",IF(M195=2,"Saat ini tidak menerima pendaftaran siswa internasional baru",IF(M195=1,"Harga perlu dikonfirmasi ke sekolah"&amp;IF(""="","","; "&amp;""),"")))</f>
        <v/>
      </c>
      <c r="J195" s="0" t="s">
        <v>3817</v>
      </c>
      <c r="K195" s="0" t="n">
        <f aca="false">IF(M195=2,"",IF(ISNUMBER(SEARCH("rata-rata:",'Onshore - Sydney'!M134)),VALUE(MID('Onshore - Sydney'!M134,SEARCH("rata-rata:",'Onshore - Sydney'!M134)+11,FIND(";",'Onshore - Sydney'!M134&amp;";",SEARCH("rata-rata:",'Onshore - Sydney'!M134))-SEARCH("rata-rata:",'Onshore - Sydney'!M134)-11)),IF('Onshore - Sydney'!D134="Semester",'Onshore - Sydney'!E134*2,IF('Onshore - Sydney'!D134="Trimester",'Onshore - Sydney'!E134*3,IF('Onshore - Sydney'!D134="Term",'Onshore - Sydney'!E134*4,IF('Onshore - Sydney'!D134="Unit",'Onshore - Sydney'!E134*8,""))))))</f>
        <v>10300</v>
      </c>
      <c r="L195" s="0" t="n">
        <f aca="false">IF(AND(ISNUMBER('Onshore - Sydney'!E134),ISNUMBER(K195),ISNUMBER('Onshore - Sydney'!F134),ISNUMBER('Onshore - Sydney'!G134),OR('Onshore - Sydney'!F134&lt;&gt;0,ISNUMBER(SEARCH("Material 0 terverifikasi",'Onshore - Sydney'!M134))),OR('Onshore - Sydney'!G134&lt;&gt;0,ISNUMBER(SEARCH("Enrolment 0 terverifikasi",'Onshore - Sydney'!M134)))),1,0)</f>
        <v>1</v>
      </c>
      <c r="M195" s="0" t="n">
        <f aca="false">IF(OR('Onshore - Sydney'!E134="",ISNUMBER(SEARCH("BSB80120",'Onshore - Sydney'!B134&amp;'Onshore - Sydney'!M134)),ISNUMBER(SEARCH("Management (Learning)",'Onshore - Sydney'!B134))),2,IF(ISNUMBER(SEARCH("CEK:",'Onshore - Sydney'!M134)),1,0))</f>
        <v>0</v>
      </c>
    </row>
    <row r="196" customFormat="false" ht="15" hidden="false" customHeight="false" outlineLevel="0" collapsed="false">
      <c r="A196" s="63" t="s">
        <v>3533</v>
      </c>
      <c r="B196" s="64" t="s">
        <v>3792</v>
      </c>
      <c r="C196" s="63" t="s">
        <v>40</v>
      </c>
      <c r="D196" s="64" t="str">
        <f aca="false">TRIM(LEFT('Onshore - Sydney'!A745,FIND(CHAR(10),'Onshore - Sydney'!A745&amp;CHAR(10))-1))</f>
        <v>Signet Institute of Australia</v>
      </c>
      <c r="E196" s="63" t="str">
        <f aca="false">'Onshore - Sydney'!C747&amp;""</f>
        <v>2 years</v>
      </c>
      <c r="F196" s="63" t="str">
        <f aca="false">IF('Onshore - Sydney'!D747="","Belum tercatat",'Onshore - Sydney'!D747)</f>
        <v>Term</v>
      </c>
      <c r="G196" s="65" t="n">
        <f aca="false">IF('Onshore - Sydney'!E747="","-",'Onshore - Sydney'!E747)</f>
        <v>2750</v>
      </c>
      <c r="H196" s="63" t="n">
        <f aca="false">IF(ISNUMBER(K196),COUNTIFS($J$6:$J$1916,J196,$K$6:$K$1916,"&lt;"&amp;K196)+1,"-")</f>
        <v>4</v>
      </c>
      <c r="I196" s="64" t="str">
        <f aca="false">IF('Onshore - Sydney'!E747="","Harga belum tersedia - hubungi konsultan TEG",IF(M196=2,"Saat ini tidak menerima pendaftaran siswa internasional baru",IF(M196=1,"Harga perlu dikonfirmasi ke sekolah"&amp;IF(""="","","; "&amp;""),"")))</f>
        <v/>
      </c>
      <c r="J196" s="0" t="s">
        <v>3817</v>
      </c>
      <c r="K196" s="0" t="n">
        <f aca="false">IF(M196=2,"",IF(ISNUMBER(SEARCH("rata-rata:",'Onshore - Sydney'!M747)),VALUE(MID('Onshore - Sydney'!M747,SEARCH("rata-rata:",'Onshore - Sydney'!M747)+11,FIND(";",'Onshore - Sydney'!M747&amp;";",SEARCH("rata-rata:",'Onshore - Sydney'!M747))-SEARCH("rata-rata:",'Onshore - Sydney'!M747)-11)),IF('Onshore - Sydney'!D747="Semester",'Onshore - Sydney'!E747*2,IF('Onshore - Sydney'!D747="Trimester",'Onshore - Sydney'!E747*3,IF('Onshore - Sydney'!D747="Term",'Onshore - Sydney'!E747*4,IF('Onshore - Sydney'!D747="Unit",'Onshore - Sydney'!E747*8,""))))))</f>
        <v>11000</v>
      </c>
      <c r="L196" s="0" t="n">
        <f aca="false">IF(AND(ISNUMBER('Onshore - Sydney'!E747),ISNUMBER(K196),ISNUMBER('Onshore - Sydney'!F747),ISNUMBER('Onshore - Sydney'!G747),OR('Onshore - Sydney'!F747&lt;&gt;0,ISNUMBER(SEARCH("Material 0 terverifikasi",'Onshore - Sydney'!M747))),OR('Onshore - Sydney'!G747&lt;&gt;0,ISNUMBER(SEARCH("Enrolment 0 terverifikasi",'Onshore - Sydney'!M747)))),1,0)</f>
        <v>0</v>
      </c>
      <c r="M196" s="0" t="n">
        <f aca="false">IF(OR('Onshore - Sydney'!E747="",ISNUMBER(SEARCH("BSB80120",'Onshore - Sydney'!B747&amp;'Onshore - Sydney'!M747)),ISNUMBER(SEARCH("Management (Learning)",'Onshore - Sydney'!B747))),2,IF(ISNUMBER(SEARCH("CEK:",'Onshore - Sydney'!M747)),1,0))</f>
        <v>0</v>
      </c>
    </row>
    <row r="197" customFormat="false" ht="15" hidden="false" customHeight="false" outlineLevel="0" collapsed="false">
      <c r="A197" s="61" t="s">
        <v>3818</v>
      </c>
      <c r="B197" s="62"/>
      <c r="C197" s="62"/>
      <c r="D197" s="62"/>
      <c r="E197" s="62"/>
      <c r="F197" s="62"/>
      <c r="G197" s="62"/>
      <c r="H197" s="62"/>
      <c r="I197" s="62"/>
    </row>
    <row r="198" customFormat="false" ht="15" hidden="false" customHeight="false" outlineLevel="0" collapsed="false">
      <c r="A198" s="63" t="s">
        <v>3533</v>
      </c>
      <c r="B198" s="64" t="s">
        <v>3792</v>
      </c>
      <c r="C198" s="63" t="s">
        <v>41</v>
      </c>
      <c r="D198" s="64" t="str">
        <f aca="false">TRIM(LEFT('Onshore - Sydney'!A678,FIND(CHAR(10),'Onshore - Sydney'!A678&amp;CHAR(10))-1))</f>
        <v>Novus College</v>
      </c>
      <c r="E198" s="63" t="str">
        <f aca="false">'Onshore - Sydney'!C687&amp;""</f>
        <v>4 years</v>
      </c>
      <c r="F198" s="63" t="str">
        <f aca="false">IF('Onshore - Sydney'!D687="","Belum tercatat",'Onshore - Sydney'!D687)</f>
        <v>Term</v>
      </c>
      <c r="G198" s="65" t="n">
        <f aca="false">IF('Onshore - Sydney'!E687="","-",'Onshore - Sydney'!E687)</f>
        <v>1900</v>
      </c>
      <c r="H198" s="63" t="n">
        <f aca="false">IF(ISNUMBER(K198),COUNTIFS($J$6:$J$1916,J198,$K$6:$K$1916,"&lt;"&amp;K198)+1,"-")</f>
        <v>1</v>
      </c>
      <c r="I198" s="64" t="str">
        <f aca="false">IF('Onshore - Sydney'!E687="","Harga belum tersedia - hubungi konsultan TEG",IF(M198=2,"Saat ini tidak menerima pendaftaran siswa internasional baru",IF(M198=1,"Program perlu dikonfirmasi ketersediaannya"&amp;IF(""="","","; "&amp;""),"")))</f>
        <v>Program perlu dikonfirmasi ketersediaannya</v>
      </c>
      <c r="J198" s="0" t="s">
        <v>3819</v>
      </c>
      <c r="K198" s="0" t="n">
        <f aca="false">IF(M198=2,"",IF(ISNUMBER(SEARCH("rata-rata:",'Onshore - Sydney'!M687)),VALUE(MID('Onshore - Sydney'!M687,SEARCH("rata-rata:",'Onshore - Sydney'!M687)+11,FIND(";",'Onshore - Sydney'!M687&amp;";",SEARCH("rata-rata:",'Onshore - Sydney'!M687))-SEARCH("rata-rata:",'Onshore - Sydney'!M687)-11)),IF('Onshore - Sydney'!D687="Semester",'Onshore - Sydney'!E687*2,IF('Onshore - Sydney'!D687="Trimester",'Onshore - Sydney'!E687*3,IF('Onshore - Sydney'!D687="Term",'Onshore - Sydney'!E687*4,IF('Onshore - Sydney'!D687="Unit",'Onshore - Sydney'!E687*8,""))))))</f>
        <v>7600</v>
      </c>
      <c r="L198" s="0" t="n">
        <f aca="false">IF(AND(ISNUMBER('Onshore - Sydney'!E687),ISNUMBER(K198),ISNUMBER('Onshore - Sydney'!F687),ISNUMBER('Onshore - Sydney'!G687),OR('Onshore - Sydney'!F687&lt;&gt;0,ISNUMBER(SEARCH("Material 0 terverifikasi",'Onshore - Sydney'!M687))),OR('Onshore - Sydney'!G687&lt;&gt;0,ISNUMBER(SEARCH("Enrolment 0 terverifikasi",'Onshore - Sydney'!M687)))),1,0)</f>
        <v>1</v>
      </c>
      <c r="M198" s="0" t="n">
        <f aca="false">IF(OR('Onshore - Sydney'!E687="",ISNUMBER(SEARCH("BSB80120",'Onshore - Sydney'!B687&amp;'Onshore - Sydney'!M687)),ISNUMBER(SEARCH("Management (Learning)",'Onshore - Sydney'!B687))),2,IF(ISNUMBER(SEARCH("CEK:",'Onshore - Sydney'!M687)),1,0))</f>
        <v>1</v>
      </c>
    </row>
    <row r="199" customFormat="false" ht="15" hidden="false" customHeight="false" outlineLevel="0" collapsed="false">
      <c r="A199" s="63" t="s">
        <v>3533</v>
      </c>
      <c r="B199" s="64" t="s">
        <v>3792</v>
      </c>
      <c r="C199" s="63" t="s">
        <v>41</v>
      </c>
      <c r="D199" s="64" t="str">
        <f aca="false">TRIM(LEFT('Onshore - Sydney'!A104,FIND(CHAR(10),'Onshore - Sydney'!A104&amp;CHAR(10))-1))</f>
        <v>Albury College</v>
      </c>
      <c r="E199" s="63" t="str">
        <f aca="false">'Onshore - Sydney'!C110&amp;""</f>
        <v>2 years</v>
      </c>
      <c r="F199" s="63" t="str">
        <f aca="false">IF('Onshore - Sydney'!D110="","Belum tercatat",'Onshore - Sydney'!D110)</f>
        <v>Term</v>
      </c>
      <c r="G199" s="65" t="n">
        <f aca="false">IF('Onshore - Sydney'!E110="","-",'Onshore - Sydney'!E110)</f>
        <v>2000</v>
      </c>
      <c r="H199" s="63" t="n">
        <f aca="false">IF(ISNUMBER(K199),COUNTIFS($J$6:$J$1916,J199,$K$6:$K$1916,"&lt;"&amp;K199)+1,"-")</f>
        <v>2</v>
      </c>
      <c r="I199" s="64" t="str">
        <f aca="false">IF('Onshore - Sydney'!E110="","Harga belum tersedia - hubungi konsultan TEG",IF(M199=2,"Saat ini tidak menerima pendaftaran siswa internasional baru",IF(M199=1,"Harga perlu dikonfirmasi ke sekolah"&amp;IF(""="","","; "&amp;""),"")))</f>
        <v/>
      </c>
      <c r="J199" s="0" t="s">
        <v>3819</v>
      </c>
      <c r="K199" s="0" t="n">
        <f aca="false">IF(M199=2,"",IF(ISNUMBER(SEARCH("rata-rata:",'Onshore - Sydney'!M110)),VALUE(MID('Onshore - Sydney'!M110,SEARCH("rata-rata:",'Onshore - Sydney'!M110)+11,FIND(";",'Onshore - Sydney'!M110&amp;";",SEARCH("rata-rata:",'Onshore - Sydney'!M110))-SEARCH("rata-rata:",'Onshore - Sydney'!M110)-11)),IF('Onshore - Sydney'!D110="Semester",'Onshore - Sydney'!E110*2,IF('Onshore - Sydney'!D110="Trimester",'Onshore - Sydney'!E110*3,IF('Onshore - Sydney'!D110="Term",'Onshore - Sydney'!E110*4,IF('Onshore - Sydney'!D110="Unit",'Onshore - Sydney'!E110*8,""))))))</f>
        <v>8000</v>
      </c>
      <c r="L199" s="0" t="n">
        <f aca="false">IF(AND(ISNUMBER('Onshore - Sydney'!E110),ISNUMBER(K199),ISNUMBER('Onshore - Sydney'!F110),ISNUMBER('Onshore - Sydney'!G110),OR('Onshore - Sydney'!F110&lt;&gt;0,ISNUMBER(SEARCH("Material 0 terverifikasi",'Onshore - Sydney'!M110))),OR('Onshore - Sydney'!G110&lt;&gt;0,ISNUMBER(SEARCH("Enrolment 0 terverifikasi",'Onshore - Sydney'!M110)))),1,0)</f>
        <v>1</v>
      </c>
      <c r="M199" s="0" t="n">
        <f aca="false">IF(OR('Onshore - Sydney'!E110="",ISNUMBER(SEARCH("BSB80120",'Onshore - Sydney'!B110&amp;'Onshore - Sydney'!M110)),ISNUMBER(SEARCH("Management (Learning)",'Onshore - Sydney'!B110))),2,IF(ISNUMBER(SEARCH("CEK:",'Onshore - Sydney'!M110)),1,0))</f>
        <v>0</v>
      </c>
    </row>
    <row r="200" customFormat="false" ht="15" hidden="false" customHeight="false" outlineLevel="0" collapsed="false">
      <c r="A200" s="63" t="s">
        <v>3533</v>
      </c>
      <c r="B200" s="64" t="s">
        <v>3792</v>
      </c>
      <c r="C200" s="63" t="s">
        <v>41</v>
      </c>
      <c r="D200" s="64" t="str">
        <f aca="false">TRIM(LEFT('Onshore - Sydney'!A472,FIND(CHAR(10),'Onshore - Sydney'!A472&amp;CHAR(10))-1))</f>
        <v>George Brown College</v>
      </c>
      <c r="E200" s="63" t="str">
        <f aca="false">'Onshore - Sydney'!C484&amp;""</f>
        <v>3 years</v>
      </c>
      <c r="F200" s="63" t="str">
        <f aca="false">IF('Onshore - Sydney'!D484="","Belum tercatat",'Onshore - Sydney'!D484)</f>
        <v>Term</v>
      </c>
      <c r="G200" s="65" t="n">
        <f aca="false">IF('Onshore - Sydney'!E484="","-",'Onshore - Sydney'!E484)</f>
        <v>2000</v>
      </c>
      <c r="H200" s="63" t="n">
        <f aca="false">IF(ISNUMBER(K200),COUNTIFS($J$6:$J$1916,J200,$K$6:$K$1916,"&lt;"&amp;K200)+1,"-")</f>
        <v>2</v>
      </c>
      <c r="I200" s="64" t="str">
        <f aca="false">IF('Onshore - Sydney'!E484="","Harga belum tersedia - hubungi konsultan TEG",IF(M200=2,"Saat ini tidak menerima pendaftaran siswa internasional baru",IF(M200=1,"Harga perlu dikonfirmasi ke sekolah"&amp;IF(""="","","; "&amp;""),"")))</f>
        <v/>
      </c>
      <c r="J200" s="0" t="s">
        <v>3819</v>
      </c>
      <c r="K200" s="0" t="n">
        <f aca="false">IF(M200=2,"",IF(ISNUMBER(SEARCH("rata-rata:",'Onshore - Sydney'!M484)),VALUE(MID('Onshore - Sydney'!M484,SEARCH("rata-rata:",'Onshore - Sydney'!M484)+11,FIND(";",'Onshore - Sydney'!M484&amp;";",SEARCH("rata-rata:",'Onshore - Sydney'!M484))-SEARCH("rata-rata:",'Onshore - Sydney'!M484)-11)),IF('Onshore - Sydney'!D484="Semester",'Onshore - Sydney'!E484*2,IF('Onshore - Sydney'!D484="Trimester",'Onshore - Sydney'!E484*3,IF('Onshore - Sydney'!D484="Term",'Onshore - Sydney'!E484*4,IF('Onshore - Sydney'!D484="Unit",'Onshore - Sydney'!E484*8,""))))))</f>
        <v>8000</v>
      </c>
      <c r="L200" s="0" t="n">
        <f aca="false">IF(AND(ISNUMBER('Onshore - Sydney'!E484),ISNUMBER(K200),ISNUMBER('Onshore - Sydney'!F484),ISNUMBER('Onshore - Sydney'!G484),OR('Onshore - Sydney'!F484&lt;&gt;0,ISNUMBER(SEARCH("Material 0 terverifikasi",'Onshore - Sydney'!M484))),OR('Onshore - Sydney'!G484&lt;&gt;0,ISNUMBER(SEARCH("Enrolment 0 terverifikasi",'Onshore - Sydney'!M484)))),1,0)</f>
        <v>1</v>
      </c>
      <c r="M200" s="0" t="n">
        <f aca="false">IF(OR('Onshore - Sydney'!E484="",ISNUMBER(SEARCH("BSB80120",'Onshore - Sydney'!B484&amp;'Onshore - Sydney'!M484)),ISNUMBER(SEARCH("Management (Learning)",'Onshore - Sydney'!B484))),2,IF(ISNUMBER(SEARCH("CEK:",'Onshore - Sydney'!M484)),1,0))</f>
        <v>0</v>
      </c>
    </row>
    <row r="201" customFormat="false" ht="15" hidden="false" customHeight="false" outlineLevel="0" collapsed="false">
      <c r="A201" s="63" t="s">
        <v>3533</v>
      </c>
      <c r="B201" s="64" t="s">
        <v>3792</v>
      </c>
      <c r="C201" s="63" t="s">
        <v>41</v>
      </c>
      <c r="D201" s="64" t="str">
        <f aca="false">TRIM(LEFT('Onshore - Sydney'!A716,FIND(CHAR(10),'Onshore - Sydney'!A716&amp;CHAR(10))-1))</f>
        <v>Oceania College of Technology</v>
      </c>
      <c r="E201" s="63" t="str">
        <f aca="false">'Onshore - Sydney'!C723&amp;""</f>
        <v>3 years</v>
      </c>
      <c r="F201" s="63" t="str">
        <f aca="false">IF('Onshore - Sydney'!D723="","Belum tercatat",'Onshore - Sydney'!D723)</f>
        <v>Term</v>
      </c>
      <c r="G201" s="65" t="n">
        <f aca="false">IF('Onshore - Sydney'!E723="","-",'Onshore - Sydney'!E723)</f>
        <v>2500</v>
      </c>
      <c r="H201" s="63" t="n">
        <f aca="false">IF(ISNUMBER(K201),COUNTIFS($J$6:$J$1916,J201,$K$6:$K$1916,"&lt;"&amp;K201)+1,"-")</f>
        <v>4</v>
      </c>
      <c r="I201" s="64" t="str">
        <f aca="false">IF('Onshore - Sydney'!E723="","Harga belum tersedia - hubungi konsultan TEG",IF(M201=2,"Saat ini tidak menerima pendaftaran siswa internasional baru",IF(M201=1,"Harga perlu dikonfirmasi ke sekolah"&amp;IF(""="","","; "&amp;""),"")))</f>
        <v/>
      </c>
      <c r="J201" s="0" t="s">
        <v>3819</v>
      </c>
      <c r="K201" s="0" t="n">
        <f aca="false">IF(M201=2,"",IF(ISNUMBER(SEARCH("rata-rata:",'Onshore - Sydney'!M723)),VALUE(MID('Onshore - Sydney'!M723,SEARCH("rata-rata:",'Onshore - Sydney'!M723)+11,FIND(";",'Onshore - Sydney'!M723&amp;";",SEARCH("rata-rata:",'Onshore - Sydney'!M723))-SEARCH("rata-rata:",'Onshore - Sydney'!M723)-11)),IF('Onshore - Sydney'!D723="Semester",'Onshore - Sydney'!E723*2,IF('Onshore - Sydney'!D723="Trimester",'Onshore - Sydney'!E723*3,IF('Onshore - Sydney'!D723="Term",'Onshore - Sydney'!E723*4,IF('Onshore - Sydney'!D723="Unit",'Onshore - Sydney'!E723*8,""))))))</f>
        <v>10000</v>
      </c>
      <c r="L201" s="0" t="n">
        <f aca="false">IF(AND(ISNUMBER('Onshore - Sydney'!E723),ISNUMBER(K201),ISNUMBER('Onshore - Sydney'!F723),ISNUMBER('Onshore - Sydney'!G723),OR('Onshore - Sydney'!F723&lt;&gt;0,ISNUMBER(SEARCH("Material 0 terverifikasi",'Onshore - Sydney'!M723))),OR('Onshore - Sydney'!G723&lt;&gt;0,ISNUMBER(SEARCH("Enrolment 0 terverifikasi",'Onshore - Sydney'!M723)))),1,0)</f>
        <v>1</v>
      </c>
      <c r="M201" s="0" t="n">
        <f aca="false">IF(OR('Onshore - Sydney'!E723="",ISNUMBER(SEARCH("BSB80120",'Onshore - Sydney'!B723&amp;'Onshore - Sydney'!M723)),ISNUMBER(SEARCH("Management (Learning)",'Onshore - Sydney'!B723))),2,IF(ISNUMBER(SEARCH("CEK:",'Onshore - Sydney'!M723)),1,0))</f>
        <v>0</v>
      </c>
    </row>
    <row r="202" customFormat="false" ht="15" hidden="false" customHeight="false" outlineLevel="0" collapsed="false">
      <c r="A202" s="63" t="s">
        <v>3533</v>
      </c>
      <c r="B202" s="64" t="s">
        <v>3792</v>
      </c>
      <c r="C202" s="63" t="s">
        <v>41</v>
      </c>
      <c r="D202" s="64" t="str">
        <f aca="false">TRIM(LEFT('Onshore - Sydney'!A132,FIND(CHAR(10),'Onshore - Sydney'!A132&amp;CHAR(10))-1))</f>
        <v>Apeiro Institute</v>
      </c>
      <c r="E202" s="63" t="str">
        <f aca="false">'Onshore - Sydney'!C135&amp;""</f>
        <v>2,5 years</v>
      </c>
      <c r="F202" s="63" t="str">
        <f aca="false">IF('Onshore - Sydney'!D135="","Belum tercatat",'Onshore - Sydney'!D135)</f>
        <v>Term</v>
      </c>
      <c r="G202" s="65" t="n">
        <f aca="false">IF('Onshore - Sydney'!E135="","-",'Onshore - Sydney'!E135)</f>
        <v>2750</v>
      </c>
      <c r="H202" s="63" t="n">
        <f aca="false">IF(ISNUMBER(K202),COUNTIFS($J$6:$J$1916,J202,$K$6:$K$1916,"&lt;"&amp;K202)+1,"-")</f>
        <v>5</v>
      </c>
      <c r="I202" s="64" t="str">
        <f aca="false">IF('Onshore - Sydney'!E135="","Harga belum tersedia - hubungi konsultan TEG",IF(M202=2,"Saat ini tidak menerima pendaftaran siswa internasional baru",IF(M202=1,"Harga perlu dikonfirmasi ke sekolah"&amp;IF(""="","","; "&amp;""),"")))</f>
        <v/>
      </c>
      <c r="J202" s="0" t="s">
        <v>3819</v>
      </c>
      <c r="K202" s="0" t="n">
        <f aca="false">IF(M202=2,"",IF(ISNUMBER(SEARCH("rata-rata:",'Onshore - Sydney'!M135)),VALUE(MID('Onshore - Sydney'!M135,SEARCH("rata-rata:",'Onshore - Sydney'!M135)+11,FIND(";",'Onshore - Sydney'!M135&amp;";",SEARCH("rata-rata:",'Onshore - Sydney'!M135))-SEARCH("rata-rata:",'Onshore - Sydney'!M135)-11)),IF('Onshore - Sydney'!D135="Semester",'Onshore - Sydney'!E135*2,IF('Onshore - Sydney'!D135="Trimester",'Onshore - Sydney'!E135*3,IF('Onshore - Sydney'!D135="Term",'Onshore - Sydney'!E135*4,IF('Onshore - Sydney'!D135="Unit",'Onshore - Sydney'!E135*8,""))))))</f>
        <v>11000</v>
      </c>
      <c r="L202" s="0" t="n">
        <f aca="false">IF(AND(ISNUMBER('Onshore - Sydney'!E135),ISNUMBER(K202),ISNUMBER('Onshore - Sydney'!F135),ISNUMBER('Onshore - Sydney'!G135),OR('Onshore - Sydney'!F135&lt;&gt;0,ISNUMBER(SEARCH("Material 0 terverifikasi",'Onshore - Sydney'!M135))),OR('Onshore - Sydney'!G135&lt;&gt;0,ISNUMBER(SEARCH("Enrolment 0 terverifikasi",'Onshore - Sydney'!M135)))),1,0)</f>
        <v>1</v>
      </c>
      <c r="M202" s="0" t="n">
        <f aca="false">IF(OR('Onshore - Sydney'!E135="",ISNUMBER(SEARCH("BSB80120",'Onshore - Sydney'!B135&amp;'Onshore - Sydney'!M135)),ISNUMBER(SEARCH("Management (Learning)",'Onshore - Sydney'!B135))),2,IF(ISNUMBER(SEARCH("CEK:",'Onshore - Sydney'!M135)),1,0))</f>
        <v>0</v>
      </c>
    </row>
    <row r="203" customFormat="false" ht="15" hidden="false" customHeight="false" outlineLevel="0" collapsed="false">
      <c r="A203" s="61" t="s">
        <v>3820</v>
      </c>
      <c r="B203" s="62"/>
      <c r="C203" s="62"/>
      <c r="D203" s="62"/>
      <c r="E203" s="62"/>
      <c r="F203" s="62"/>
      <c r="G203" s="62"/>
      <c r="H203" s="62"/>
      <c r="I203" s="62"/>
    </row>
    <row r="204" customFormat="false" ht="15" hidden="false" customHeight="false" outlineLevel="0" collapsed="false">
      <c r="A204" s="63" t="s">
        <v>3533</v>
      </c>
      <c r="B204" s="64" t="s">
        <v>3792</v>
      </c>
      <c r="C204" s="63" t="s">
        <v>3821</v>
      </c>
      <c r="D204" s="64" t="str">
        <f aca="false">TRIM(LEFT('Onshore - Sydney'!A796,FIND(CHAR(10),'Onshore - Sydney'!A796&amp;CHAR(10))-1))</f>
        <v>TAFE NSW</v>
      </c>
      <c r="E204" s="63" t="str">
        <f aca="false">'Onshore - Sydney'!C846&amp;""</f>
        <v>1 year</v>
      </c>
      <c r="F204" s="63" t="str">
        <f aca="false">IF('Onshore - Sydney'!D846="","Belum tercatat",'Onshore - Sydney'!D846)</f>
        <v>Term</v>
      </c>
      <c r="G204" s="65" t="n">
        <f aca="false">IF('Onshore - Sydney'!E846="","-",'Onshore - Sydney'!E846)</f>
        <v>6944</v>
      </c>
      <c r="H204" s="63" t="n">
        <f aca="false">IF(ISNUMBER(K204),COUNTIFS($J$6:$J$1916,J204,$K$6:$K$1916,"&lt;"&amp;K204)+1,"-")</f>
        <v>1</v>
      </c>
      <c r="I204" s="64" t="str">
        <f aca="false">IF('Onshore - Sydney'!E846="","Harga belum tersedia - hubungi konsultan TEG",IF(M204=2,"Saat ini tidak menerima pendaftaran siswa internasional baru",IF(M204=1,"Harga perlu dikonfirmasi ke sekolah"&amp;IF(""="","","; "&amp;""),"")))</f>
        <v/>
      </c>
      <c r="J204" s="0" t="s">
        <v>3822</v>
      </c>
      <c r="K204" s="0" t="n">
        <f aca="false">IF(M204=2,"",IF(ISNUMBER(SEARCH("rata-rata:",'Onshore - Sydney'!M846)),VALUE(MID('Onshore - Sydney'!M846,SEARCH("rata-rata:",'Onshore - Sydney'!M846)+11,FIND(";",'Onshore - Sydney'!M846&amp;";",SEARCH("rata-rata:",'Onshore - Sydney'!M846))-SEARCH("rata-rata:",'Onshore - Sydney'!M846)-11)),IF('Onshore - Sydney'!D846="Semester",'Onshore - Sydney'!E846*2,IF('Onshore - Sydney'!D846="Trimester",'Onshore - Sydney'!E846*3,IF('Onshore - Sydney'!D846="Term",'Onshore - Sydney'!E846*4,IF('Onshore - Sydney'!D846="Unit",'Onshore - Sydney'!E846*8,""))))))</f>
        <v>27776</v>
      </c>
      <c r="L204" s="0" t="n">
        <f aca="false">IF(AND(ISNUMBER('Onshore - Sydney'!E846),ISNUMBER(K204),ISNUMBER('Onshore - Sydney'!F846),ISNUMBER('Onshore - Sydney'!G846),OR('Onshore - Sydney'!F846&lt;&gt;0,ISNUMBER(SEARCH("Material 0 terverifikasi",'Onshore - Sydney'!M846))),OR('Onshore - Sydney'!G846&lt;&gt;0,ISNUMBER(SEARCH("Enrolment 0 terverifikasi",'Onshore - Sydney'!M846)))),1,0)</f>
        <v>0</v>
      </c>
      <c r="M204" s="0" t="n">
        <f aca="false">IF(OR('Onshore - Sydney'!E846="",ISNUMBER(SEARCH("BSB80120",'Onshore - Sydney'!B846&amp;'Onshore - Sydney'!M846)),ISNUMBER(SEARCH("Management (Learning)",'Onshore - Sydney'!B846))),2,IF(ISNUMBER(SEARCH("CEK:",'Onshore - Sydney'!M846)),1,0))</f>
        <v>0</v>
      </c>
    </row>
    <row r="205" customFormat="false" ht="15" hidden="false" customHeight="false" outlineLevel="0" collapsed="false">
      <c r="A205" s="61" t="s">
        <v>3823</v>
      </c>
      <c r="B205" s="62"/>
      <c r="C205" s="62"/>
      <c r="D205" s="62"/>
      <c r="E205" s="62"/>
      <c r="F205" s="62"/>
      <c r="G205" s="62"/>
      <c r="H205" s="62"/>
      <c r="I205" s="62"/>
    </row>
    <row r="206" customFormat="false" ht="15" hidden="false" customHeight="false" outlineLevel="0" collapsed="false">
      <c r="A206" s="63" t="s">
        <v>3659</v>
      </c>
      <c r="B206" s="64" t="s">
        <v>3824</v>
      </c>
      <c r="C206" s="63" t="s">
        <v>39</v>
      </c>
      <c r="D206" s="64" t="str">
        <f aca="false">TRIM(LEFT('Onshore - Adelaide'!A487,FIND(CHAR(10),'Onshore - Adelaide'!A487&amp;CHAR(10))-1))</f>
        <v>TAFE SA</v>
      </c>
      <c r="E206" s="63" t="str">
        <f aca="false">'Onshore - Adelaide'!C505&amp;""</f>
        <v>1 year</v>
      </c>
      <c r="F206" s="63" t="str">
        <f aca="false">IF('Onshore - Adelaide'!D505="","Belum tercatat",'Onshore - Adelaide'!D505)</f>
        <v>Semester</v>
      </c>
      <c r="G206" s="65" t="n">
        <f aca="false">IF('Onshore - Adelaide'!E505="","-",'Onshore - Adelaide'!E505)</f>
        <v>9722</v>
      </c>
      <c r="H206" s="63" t="n">
        <f aca="false">IF(ISNUMBER(K206),COUNTIFS($J$6:$J$1916,J206,$K$6:$K$1916,"&lt;"&amp;K206)+1,"-")</f>
        <v>1</v>
      </c>
      <c r="I206" s="64" t="str">
        <f aca="false">IF('Onshore - Adelaide'!E505="","Harga belum tersedia - hubungi konsultan TEG",IF(M206=2,"Saat ini tidak menerima pendaftaran siswa internasional baru",IF(M206=1,"Harga perlu dikonfirmasi ke sekolah"&amp;IF(""="","","; "&amp;""),"")))</f>
        <v/>
      </c>
      <c r="J206" s="0" t="s">
        <v>3825</v>
      </c>
      <c r="K206" s="0" t="n">
        <f aca="false">IF(M206=2,"",IF(ISNUMBER(SEARCH("rata-rata:",'Onshore - Adelaide'!M505)),VALUE(MID('Onshore - Adelaide'!M505,SEARCH("rata-rata:",'Onshore - Adelaide'!M505)+11,FIND(";",'Onshore - Adelaide'!M505&amp;";",SEARCH("rata-rata:",'Onshore - Adelaide'!M505))-SEARCH("rata-rata:",'Onshore - Adelaide'!M505)-11)),IF('Onshore - Adelaide'!D505="Semester",'Onshore - Adelaide'!E505*2,IF('Onshore - Adelaide'!D505="Trimester",'Onshore - Adelaide'!E505*3,IF('Onshore - Adelaide'!D505="Term",'Onshore - Adelaide'!E505*4,IF('Onshore - Adelaide'!D505="Unit",'Onshore - Adelaide'!E505*8,""))))))</f>
        <v>19444</v>
      </c>
      <c r="L206" s="0" t="n">
        <f aca="false">IF(AND(ISNUMBER('Onshore - Adelaide'!E505),ISNUMBER(K206),ISNUMBER('Onshore - Adelaide'!F505),ISNUMBER('Onshore - Adelaide'!G505),OR('Onshore - Adelaide'!F505&lt;&gt;0,ISNUMBER(SEARCH("Material 0 terverifikasi",'Onshore - Adelaide'!M505))),OR('Onshore - Adelaide'!G505&lt;&gt;0,ISNUMBER(SEARCH("Enrolment 0 terverifikasi",'Onshore - Adelaide'!M505)))),1,0)</f>
        <v>0</v>
      </c>
      <c r="M206" s="0" t="n">
        <f aca="false">IF(OR('Onshore - Adelaide'!E505="",ISNUMBER(SEARCH("BSB80120",'Onshore - Adelaide'!B505&amp;'Onshore - Adelaide'!M505)),ISNUMBER(SEARCH("Management (Learning)",'Onshore - Adelaide'!B505))),2,IF(ISNUMBER(SEARCH("CEK:",'Onshore - Adelaide'!M505)),1,0))</f>
        <v>0</v>
      </c>
    </row>
    <row r="207" customFormat="false" ht="15" hidden="false" customHeight="false" outlineLevel="0" collapsed="false">
      <c r="A207" s="61" t="s">
        <v>3826</v>
      </c>
      <c r="B207" s="62"/>
      <c r="C207" s="62"/>
      <c r="D207" s="62"/>
      <c r="E207" s="62"/>
      <c r="F207" s="62"/>
      <c r="G207" s="62"/>
      <c r="H207" s="62"/>
      <c r="I207" s="62"/>
    </row>
    <row r="208" customFormat="false" ht="15" hidden="false" customHeight="false" outlineLevel="0" collapsed="false">
      <c r="A208" s="63" t="s">
        <v>3563</v>
      </c>
      <c r="B208" s="64" t="s">
        <v>3824</v>
      </c>
      <c r="C208" s="63" t="s">
        <v>41</v>
      </c>
      <c r="D208" s="64" t="str">
        <f aca="false">TRIM(LEFT('Onshore - Brisbane'!A6,FIND(CHAR(10),'Onshore - Brisbane'!A6&amp;CHAR(10))-1))</f>
        <v>Academies Australasia</v>
      </c>
      <c r="E208" s="63" t="str">
        <f aca="false">'Onshore - Brisbane'!C7&amp;""</f>
        <v>3 years</v>
      </c>
      <c r="F208" s="63" t="str">
        <f aca="false">IF('Onshore - Brisbane'!D7="","Belum tercatat",'Onshore - Brisbane'!D7)</f>
        <v>Term</v>
      </c>
      <c r="G208" s="65" t="n">
        <f aca="false">IF('Onshore - Brisbane'!E7="","-",'Onshore - Brisbane'!E7)</f>
        <v>2500</v>
      </c>
      <c r="H208" s="63" t="n">
        <f aca="false">IF(ISNUMBER(K208),COUNTIFS($J$6:$J$1916,J208,$K$6:$K$1916,"&lt;"&amp;K208)+1,"-")</f>
        <v>1</v>
      </c>
      <c r="I208" s="64" t="str">
        <f aca="false">IF('Onshore - Brisbane'!E7="","Harga belum tersedia - hubungi konsultan TEG",IF(M208=2,"Saat ini tidak menerima pendaftaran siswa internasional baru",IF(M208=1,"Harga perlu dikonfirmasi ke sekolah"&amp;IF(""="","","; "&amp;""),"")))</f>
        <v/>
      </c>
      <c r="J208" s="0" t="s">
        <v>3827</v>
      </c>
      <c r="K208" s="0" t="n">
        <f aca="false">IF(M208=2,"",IF(ISNUMBER(SEARCH("rata-rata:",'Onshore - Brisbane'!M7)),VALUE(MID('Onshore - Brisbane'!M7,SEARCH("rata-rata:",'Onshore - Brisbane'!M7)+11,FIND(";",'Onshore - Brisbane'!M7&amp;";",SEARCH("rata-rata:",'Onshore - Brisbane'!M7))-SEARCH("rata-rata:",'Onshore - Brisbane'!M7)-11)),IF('Onshore - Brisbane'!D7="Semester",'Onshore - Brisbane'!E7*2,IF('Onshore - Brisbane'!D7="Trimester",'Onshore - Brisbane'!E7*3,IF('Onshore - Brisbane'!D7="Term",'Onshore - Brisbane'!E7*4,IF('Onshore - Brisbane'!D7="Unit",'Onshore - Brisbane'!E7*8,""))))))</f>
        <v>10000</v>
      </c>
      <c r="L208" s="0" t="n">
        <f aca="false">IF(AND(ISNUMBER('Onshore - Brisbane'!E7),ISNUMBER(K208),ISNUMBER('Onshore - Brisbane'!F7),ISNUMBER('Onshore - Brisbane'!G7),OR('Onshore - Brisbane'!F7&lt;&gt;0,ISNUMBER(SEARCH("Material 0 terverifikasi",'Onshore - Brisbane'!M7))),OR('Onshore - Brisbane'!G7&lt;&gt;0,ISNUMBER(SEARCH("Enrolment 0 terverifikasi",'Onshore - Brisbane'!M7)))),1,0)</f>
        <v>1</v>
      </c>
      <c r="M208" s="0" t="n">
        <f aca="false">IF(OR('Onshore - Brisbane'!E7="",ISNUMBER(SEARCH("BSB80120",'Onshore - Brisbane'!B7&amp;'Onshore - Brisbane'!M7)),ISNUMBER(SEARCH("Management (Learning)",'Onshore - Brisbane'!B7))),2,IF(ISNUMBER(SEARCH("CEK:",'Onshore - Brisbane'!M7)),1,0))</f>
        <v>0</v>
      </c>
    </row>
    <row r="209" customFormat="false" ht="15" hidden="false" customHeight="false" outlineLevel="0" collapsed="false">
      <c r="A209" s="63" t="s">
        <v>3563</v>
      </c>
      <c r="B209" s="64" t="s">
        <v>3824</v>
      </c>
      <c r="C209" s="63" t="s">
        <v>41</v>
      </c>
      <c r="D209" s="64" t="str">
        <f aca="false">TRIM(LEFT('Onshore - Brisbane'!A307,FIND(CHAR(10),'Onshore - Brisbane'!A307&amp;CHAR(10))-1))</f>
        <v>Torrens University Australia</v>
      </c>
      <c r="E209" s="63" t="str">
        <f aca="false">'Onshore - Brisbane'!C363&amp;""</f>
        <v>1 year</v>
      </c>
      <c r="F209" s="63" t="str">
        <f aca="false">IF('Onshore - Brisbane'!D363="","Belum tercatat",'Onshore - Brisbane'!D363)</f>
        <v>Term</v>
      </c>
      <c r="G209" s="65" t="n">
        <f aca="false">IF('Onshore - Brisbane'!E363="","-",'Onshore - Brisbane'!E363)</f>
        <v>7332.5</v>
      </c>
      <c r="H209" s="63" t="n">
        <f aca="false">IF(ISNUMBER(K209),COUNTIFS($J$6:$J$1916,J209,$K$6:$K$1916,"&lt;"&amp;K209)+1,"-")</f>
        <v>2</v>
      </c>
      <c r="I209" s="64" t="str">
        <f aca="false">IF('Onshore - Brisbane'!E363="","Harga belum tersedia - hubungi konsultan TEG",IF(M209=2,"Saat ini tidak menerima pendaftaran siswa internasional baru",IF(M209=1,"Harga perlu dikonfirmasi ke sekolah"&amp;IF(""="","","; "&amp;""),"")))</f>
        <v/>
      </c>
      <c r="J209" s="0" t="s">
        <v>3827</v>
      </c>
      <c r="K209" s="0" t="n">
        <f aca="false">IF(M209=2,"",IF(ISNUMBER(SEARCH("rata-rata:",'Onshore - Brisbane'!M363)),VALUE(MID('Onshore - Brisbane'!M363,SEARCH("rata-rata:",'Onshore - Brisbane'!M363)+11,FIND(";",'Onshore - Brisbane'!M363&amp;";",SEARCH("rata-rata:",'Onshore - Brisbane'!M363))-SEARCH("rata-rata:",'Onshore - Brisbane'!M363)-11)),IF('Onshore - Brisbane'!D363="Semester",'Onshore - Brisbane'!E363*2,IF('Onshore - Brisbane'!D363="Trimester",'Onshore - Brisbane'!E363*3,IF('Onshore - Brisbane'!D363="Term",'Onshore - Brisbane'!E363*4,IF('Onshore - Brisbane'!D363="Unit",'Onshore - Brisbane'!E363*8,""))))))</f>
        <v>29330</v>
      </c>
      <c r="L209" s="0" t="n">
        <f aca="false">IF(AND(ISNUMBER('Onshore - Brisbane'!E363),ISNUMBER(K209),ISNUMBER('Onshore - Brisbane'!F363),ISNUMBER('Onshore - Brisbane'!G363),OR('Onshore - Brisbane'!F363&lt;&gt;0,ISNUMBER(SEARCH("Material 0 terverifikasi",'Onshore - Brisbane'!M363))),OR('Onshore - Brisbane'!G363&lt;&gt;0,ISNUMBER(SEARCH("Enrolment 0 terverifikasi",'Onshore - Brisbane'!M363)))),1,0)</f>
        <v>0</v>
      </c>
      <c r="M209" s="0" t="n">
        <f aca="false">IF(OR('Onshore - Brisbane'!E363="",ISNUMBER(SEARCH("BSB80120",'Onshore - Brisbane'!B363&amp;'Onshore - Brisbane'!M363)),ISNUMBER(SEARCH("Management (Learning)",'Onshore - Brisbane'!B363))),2,IF(ISNUMBER(SEARCH("CEK:",'Onshore - Brisbane'!M363)),1,0))</f>
        <v>0</v>
      </c>
    </row>
    <row r="210" customFormat="false" ht="15" hidden="false" customHeight="false" outlineLevel="0" collapsed="false">
      <c r="A210" s="61" t="s">
        <v>3828</v>
      </c>
      <c r="B210" s="62"/>
      <c r="C210" s="62"/>
      <c r="D210" s="62"/>
      <c r="E210" s="62"/>
      <c r="F210" s="62"/>
      <c r="G210" s="62"/>
      <c r="H210" s="62"/>
      <c r="I210" s="62"/>
    </row>
    <row r="211" customFormat="false" ht="15" hidden="false" customHeight="false" outlineLevel="0" collapsed="false">
      <c r="A211" s="63" t="s">
        <v>3544</v>
      </c>
      <c r="B211" s="64" t="s">
        <v>3824</v>
      </c>
      <c r="C211" s="63" t="s">
        <v>41</v>
      </c>
      <c r="D211" s="64" t="str">
        <f aca="false">TRIM(LEFT('Onshore- Melbourne'!A436,FIND(CHAR(10),'Onshore- Melbourne'!A436&amp;CHAR(10))-1))</f>
        <v>The Centre of Excellence</v>
      </c>
      <c r="E211" s="63" t="str">
        <f aca="false">'Onshore- Melbourne'!C440&amp;""</f>
        <v>2 years</v>
      </c>
      <c r="F211" s="63" t="str">
        <f aca="false">IF('Onshore- Melbourne'!D440="","Belum tercatat",'Onshore- Melbourne'!D440)</f>
        <v>Term</v>
      </c>
      <c r="G211" s="65" t="n">
        <f aca="false">IF('Onshore- Melbourne'!E440="","-",'Onshore- Melbourne'!E440)</f>
        <v>2250</v>
      </c>
      <c r="H211" s="63" t="n">
        <f aca="false">IF(ISNUMBER(K211),COUNTIFS($J$6:$J$1916,J211,$K$6:$K$1916,"&lt;"&amp;K211)+1,"-")</f>
        <v>1</v>
      </c>
      <c r="I211" s="64" t="str">
        <f aca="false">IF('Onshore- Melbourne'!E440="","Harga belum tersedia - hubungi konsultan TEG",IF(M211=2,"Saat ini tidak menerima pendaftaran siswa internasional baru",IF(M211=1,"Harga perlu dikonfirmasi ke sekolah"&amp;IF(""="","","; "&amp;""),"")))</f>
        <v/>
      </c>
      <c r="J211" s="0" t="s">
        <v>3829</v>
      </c>
      <c r="K211" s="0" t="n">
        <f aca="false">IF(M211=2,"",IF(ISNUMBER(SEARCH("rata-rata:",'Onshore- Melbourne'!M440)),VALUE(MID('Onshore- Melbourne'!M440,SEARCH("rata-rata:",'Onshore- Melbourne'!M440)+11,FIND(";",'Onshore- Melbourne'!M440&amp;";",SEARCH("rata-rata:",'Onshore- Melbourne'!M440))-SEARCH("rata-rata:",'Onshore- Melbourne'!M440)-11)),IF('Onshore- Melbourne'!D440="Semester",'Onshore- Melbourne'!E440*2,IF('Onshore- Melbourne'!D440="Trimester",'Onshore- Melbourne'!E440*3,IF('Onshore- Melbourne'!D440="Term",'Onshore- Melbourne'!E440*4,IF('Onshore- Melbourne'!D440="Unit",'Onshore- Melbourne'!E440*8,""))))))</f>
        <v>9000</v>
      </c>
      <c r="L211" s="0" t="n">
        <f aca="false">IF(AND(ISNUMBER('Onshore- Melbourne'!E440),ISNUMBER(K211),ISNUMBER('Onshore- Melbourne'!F440),ISNUMBER('Onshore- Melbourne'!G440),OR('Onshore- Melbourne'!F440&lt;&gt;0,ISNUMBER(SEARCH("Material 0 terverifikasi",'Onshore- Melbourne'!M440))),OR('Onshore- Melbourne'!G440&lt;&gt;0,ISNUMBER(SEARCH("Enrolment 0 terverifikasi",'Onshore- Melbourne'!M440)))),1,0)</f>
        <v>1</v>
      </c>
      <c r="M211" s="0" t="n">
        <f aca="false">IF(OR('Onshore- Melbourne'!E440="",ISNUMBER(SEARCH("BSB80120",'Onshore- Melbourne'!B440&amp;'Onshore- Melbourne'!M440)),ISNUMBER(SEARCH("Management (Learning)",'Onshore- Melbourne'!B440))),2,IF(ISNUMBER(SEARCH("CEK:",'Onshore- Melbourne'!M440)),1,0))</f>
        <v>0</v>
      </c>
    </row>
    <row r="212" customFormat="false" ht="15" hidden="false" customHeight="false" outlineLevel="0" collapsed="false">
      <c r="A212" s="61" t="s">
        <v>3830</v>
      </c>
      <c r="B212" s="62"/>
      <c r="C212" s="62"/>
      <c r="D212" s="62"/>
      <c r="E212" s="62"/>
      <c r="F212" s="62"/>
      <c r="G212" s="62"/>
      <c r="H212" s="62"/>
      <c r="I212" s="62"/>
    </row>
    <row r="213" customFormat="false" ht="15" hidden="false" customHeight="false" outlineLevel="0" collapsed="false">
      <c r="A213" s="63" t="s">
        <v>3533</v>
      </c>
      <c r="B213" s="64" t="s">
        <v>3824</v>
      </c>
      <c r="C213" s="63" t="s">
        <v>41</v>
      </c>
      <c r="D213" s="64" t="str">
        <f aca="false">TRIM(LEFT('Onshore - Sydney'!A472,FIND(CHAR(10),'Onshore - Sydney'!A472&amp;CHAR(10))-1))</f>
        <v>George Brown College</v>
      </c>
      <c r="E213" s="63" t="str">
        <f aca="false">'Onshore - Sydney'!C481&amp;""</f>
        <v>2 years</v>
      </c>
      <c r="F213" s="63" t="str">
        <f aca="false">IF('Onshore - Sydney'!D481="","Belum tercatat",'Onshore - Sydney'!D481)</f>
        <v>Term</v>
      </c>
      <c r="G213" s="65" t="n">
        <f aca="false">IF('Onshore - Sydney'!E481="","-",'Onshore - Sydney'!E481)</f>
        <v>2000</v>
      </c>
      <c r="H213" s="63" t="n">
        <f aca="false">IF(ISNUMBER(K213),COUNTIFS($J$6:$J$1916,J213,$K$6:$K$1916,"&lt;"&amp;K213)+1,"-")</f>
        <v>1</v>
      </c>
      <c r="I213" s="64" t="str">
        <f aca="false">IF('Onshore - Sydney'!E481="","Harga belum tersedia - hubungi konsultan TEG",IF(M213=2,"Saat ini tidak menerima pendaftaran siswa internasional baru",IF(M213=1,"Harga perlu dikonfirmasi ke sekolah"&amp;IF(""="","","; "&amp;""),"")))</f>
        <v/>
      </c>
      <c r="J213" s="0" t="s">
        <v>3831</v>
      </c>
      <c r="K213" s="0" t="n">
        <f aca="false">IF(M213=2,"",IF(ISNUMBER(SEARCH("rata-rata:",'Onshore - Sydney'!M481)),VALUE(MID('Onshore - Sydney'!M481,SEARCH("rata-rata:",'Onshore - Sydney'!M481)+11,FIND(";",'Onshore - Sydney'!M481&amp;";",SEARCH("rata-rata:",'Onshore - Sydney'!M481))-SEARCH("rata-rata:",'Onshore - Sydney'!M481)-11)),IF('Onshore - Sydney'!D481="Semester",'Onshore - Sydney'!E481*2,IF('Onshore - Sydney'!D481="Trimester",'Onshore - Sydney'!E481*3,IF('Onshore - Sydney'!D481="Term",'Onshore - Sydney'!E481*4,IF('Onshore - Sydney'!D481="Unit",'Onshore - Sydney'!E481*8,""))))))</f>
        <v>8000</v>
      </c>
      <c r="L213" s="0" t="n">
        <f aca="false">IF(AND(ISNUMBER('Onshore - Sydney'!E481),ISNUMBER(K213),ISNUMBER('Onshore - Sydney'!F481),ISNUMBER('Onshore - Sydney'!G481),OR('Onshore - Sydney'!F481&lt;&gt;0,ISNUMBER(SEARCH("Material 0 terverifikasi",'Onshore - Sydney'!M481))),OR('Onshore - Sydney'!G481&lt;&gt;0,ISNUMBER(SEARCH("Enrolment 0 terverifikasi",'Onshore - Sydney'!M481)))),1,0)</f>
        <v>1</v>
      </c>
      <c r="M213" s="0" t="n">
        <f aca="false">IF(OR('Onshore - Sydney'!E481="",ISNUMBER(SEARCH("BSB80120",'Onshore - Sydney'!B481&amp;'Onshore - Sydney'!M481)),ISNUMBER(SEARCH("Management (Learning)",'Onshore - Sydney'!B481))),2,IF(ISNUMBER(SEARCH("CEK:",'Onshore - Sydney'!M481)),1,0))</f>
        <v>0</v>
      </c>
    </row>
    <row r="214" customFormat="false" ht="15" hidden="false" customHeight="false" outlineLevel="0" collapsed="false">
      <c r="A214" s="63" t="s">
        <v>3533</v>
      </c>
      <c r="B214" s="64" t="s">
        <v>3824</v>
      </c>
      <c r="C214" s="63" t="s">
        <v>41</v>
      </c>
      <c r="D214" s="64" t="str">
        <f aca="false">TRIM(LEFT('Onshore - Sydney'!A1023,FIND(CHAR(10),'Onshore - Sydney'!A1023&amp;CHAR(10))-1))</f>
        <v>Vigil International College</v>
      </c>
      <c r="E214" s="63" t="str">
        <f aca="false">'Onshore - Sydney'!C1025&amp;""</f>
        <v>2 years</v>
      </c>
      <c r="F214" s="63" t="str">
        <f aca="false">IF('Onshore - Sydney'!D1025="","Belum tercatat",'Onshore - Sydney'!D1025)</f>
        <v>Term</v>
      </c>
      <c r="G214" s="65" t="n">
        <f aca="false">IF('Onshore - Sydney'!E1025="","-",'Onshore - Sydney'!E1025)</f>
        <v>3000</v>
      </c>
      <c r="H214" s="63" t="n">
        <f aca="false">IF(ISNUMBER(K214),COUNTIFS($J$6:$J$1916,J214,$K$6:$K$1916,"&lt;"&amp;K214)+1,"-")</f>
        <v>2</v>
      </c>
      <c r="I214" s="64" t="str">
        <f aca="false">IF('Onshore - Sydney'!E1025="","Harga belum tersedia - hubungi konsultan TEG",IF(M214=2,"Saat ini tidak menerima pendaftaran siswa internasional baru",IF(M214=1,"Harga perlu dikonfirmasi ke sekolah"&amp;IF(""="","","; "&amp;""),"")))</f>
        <v/>
      </c>
      <c r="J214" s="0" t="s">
        <v>3831</v>
      </c>
      <c r="K214" s="0" t="n">
        <f aca="false">IF(M214=2,"",IF(ISNUMBER(SEARCH("rata-rata:",'Onshore - Sydney'!M1025)),VALUE(MID('Onshore - Sydney'!M1025,SEARCH("rata-rata:",'Onshore - Sydney'!M1025)+11,FIND(";",'Onshore - Sydney'!M1025&amp;";",SEARCH("rata-rata:",'Onshore - Sydney'!M1025))-SEARCH("rata-rata:",'Onshore - Sydney'!M1025)-11)),IF('Onshore - Sydney'!D1025="Semester",'Onshore - Sydney'!E1025*2,IF('Onshore - Sydney'!D1025="Trimester",'Onshore - Sydney'!E1025*3,IF('Onshore - Sydney'!D1025="Term",'Onshore - Sydney'!E1025*4,IF('Onshore - Sydney'!D1025="Unit",'Onshore - Sydney'!E1025*8,""))))))</f>
        <v>12000</v>
      </c>
      <c r="L214" s="0" t="n">
        <f aca="false">IF(AND(ISNUMBER('Onshore - Sydney'!E1025),ISNUMBER(K214),ISNUMBER('Onshore - Sydney'!F1025),ISNUMBER('Onshore - Sydney'!G1025),OR('Onshore - Sydney'!F1025&lt;&gt;0,ISNUMBER(SEARCH("Material 0 terverifikasi",'Onshore - Sydney'!M1025))),OR('Onshore - Sydney'!G1025&lt;&gt;0,ISNUMBER(SEARCH("Enrolment 0 terverifikasi",'Onshore - Sydney'!M1025)))),1,0)</f>
        <v>1</v>
      </c>
      <c r="M214" s="0" t="n">
        <f aca="false">IF(OR('Onshore - Sydney'!E1025="",ISNUMBER(SEARCH("BSB80120",'Onshore - Sydney'!B1025&amp;'Onshore - Sydney'!M1025)),ISNUMBER(SEARCH("Management (Learning)",'Onshore - Sydney'!B1025))),2,IF(ISNUMBER(SEARCH("CEK:",'Onshore - Sydney'!M1025)),1,0))</f>
        <v>0</v>
      </c>
    </row>
    <row r="215" customFormat="false" ht="15" hidden="false" customHeight="false" outlineLevel="0" collapsed="false">
      <c r="A215" s="63" t="s">
        <v>3533</v>
      </c>
      <c r="B215" s="64" t="s">
        <v>3824</v>
      </c>
      <c r="C215" s="63" t="s">
        <v>41</v>
      </c>
      <c r="D215" s="64" t="str">
        <f aca="false">TRIM(LEFT('Onshore - Sydney'!A796,FIND(CHAR(10),'Onshore - Sydney'!A796&amp;CHAR(10))-1))</f>
        <v>TAFE NSW</v>
      </c>
      <c r="E215" s="63" t="str">
        <f aca="false">'Onshore - Sydney'!C827&amp;""</f>
        <v>2 years</v>
      </c>
      <c r="F215" s="63" t="str">
        <f aca="false">IF('Onshore - Sydney'!D827="","Belum tercatat",'Onshore - Sydney'!D827)</f>
        <v>Term</v>
      </c>
      <c r="G215" s="65" t="n">
        <f aca="false">IF('Onshore - Sydney'!E827="","-",'Onshore - Sydney'!E827)</f>
        <v>4357</v>
      </c>
      <c r="H215" s="63" t="n">
        <f aca="false">IF(ISNUMBER(K215),COUNTIFS($J$6:$J$1916,J215,$K$6:$K$1916,"&lt;"&amp;K215)+1,"-")</f>
        <v>3</v>
      </c>
      <c r="I215" s="64" t="str">
        <f aca="false">IF('Onshore - Sydney'!E827="","Harga belum tersedia - hubungi konsultan TEG",IF(M215=2,"Saat ini tidak menerima pendaftaran siswa internasional baru",IF(M215=1,"Harga perlu dikonfirmasi ke sekolah"&amp;IF(""="","","; "&amp;""),"")))</f>
        <v/>
      </c>
      <c r="J215" s="0" t="s">
        <v>3831</v>
      </c>
      <c r="K215" s="0" t="n">
        <f aca="false">IF(M215=2,"",IF(ISNUMBER(SEARCH("rata-rata:",'Onshore - Sydney'!M827)),VALUE(MID('Onshore - Sydney'!M827,SEARCH("rata-rata:",'Onshore - Sydney'!M827)+11,FIND(";",'Onshore - Sydney'!M827&amp;";",SEARCH("rata-rata:",'Onshore - Sydney'!M827))-SEARCH("rata-rata:",'Onshore - Sydney'!M827)-11)),IF('Onshore - Sydney'!D827="Semester",'Onshore - Sydney'!E827*2,IF('Onshore - Sydney'!D827="Trimester",'Onshore - Sydney'!E827*3,IF('Onshore - Sydney'!D827="Term",'Onshore - Sydney'!E827*4,IF('Onshore - Sydney'!D827="Unit",'Onshore - Sydney'!E827*8,""))))))</f>
        <v>17428</v>
      </c>
      <c r="L215" s="0" t="n">
        <f aca="false">IF(AND(ISNUMBER('Onshore - Sydney'!E827),ISNUMBER(K215),ISNUMBER('Onshore - Sydney'!F827),ISNUMBER('Onshore - Sydney'!G827),OR('Onshore - Sydney'!F827&lt;&gt;0,ISNUMBER(SEARCH("Material 0 terverifikasi",'Onshore - Sydney'!M827))),OR('Onshore - Sydney'!G827&lt;&gt;0,ISNUMBER(SEARCH("Enrolment 0 terverifikasi",'Onshore - Sydney'!M827)))),1,0)</f>
        <v>0</v>
      </c>
      <c r="M215" s="0" t="n">
        <f aca="false">IF(OR('Onshore - Sydney'!E827="",ISNUMBER(SEARCH("BSB80120",'Onshore - Sydney'!B827&amp;'Onshore - Sydney'!M827)),ISNUMBER(SEARCH("Management (Learning)",'Onshore - Sydney'!B827))),2,IF(ISNUMBER(SEARCH("CEK:",'Onshore - Sydney'!M827)),1,0))</f>
        <v>0</v>
      </c>
    </row>
    <row r="216" customFormat="false" ht="15" hidden="false" customHeight="false" outlineLevel="0" collapsed="false">
      <c r="A216" s="61" t="s">
        <v>3832</v>
      </c>
      <c r="B216" s="62"/>
      <c r="C216" s="62"/>
      <c r="D216" s="62"/>
      <c r="E216" s="62"/>
      <c r="F216" s="62"/>
      <c r="G216" s="62"/>
      <c r="H216" s="62"/>
      <c r="I216" s="62"/>
    </row>
    <row r="217" customFormat="false" ht="15" hidden="false" customHeight="false" outlineLevel="0" collapsed="false">
      <c r="A217" s="63" t="s">
        <v>3659</v>
      </c>
      <c r="B217" s="64" t="s">
        <v>3833</v>
      </c>
      <c r="C217" s="63" t="s">
        <v>40</v>
      </c>
      <c r="D217" s="64" t="str">
        <f aca="false">TRIM(LEFT('Onshore - Adelaide'!A402,FIND(CHAR(10),'Onshore - Adelaide'!A402&amp;CHAR(10))-1))</f>
        <v>Australian Ideal College (AIC)</v>
      </c>
      <c r="E217" s="63" t="str">
        <f aca="false">'Onshore - Adelaide'!C402&amp;""</f>
        <v>1,5 years</v>
      </c>
      <c r="F217" s="63" t="str">
        <f aca="false">IF('Onshore - Adelaide'!D402="","Belum tercatat",'Onshore - Adelaide'!D402)</f>
        <v>Term</v>
      </c>
      <c r="G217" s="65" t="n">
        <f aca="false">IF('Onshore - Adelaide'!E402="","-",'Onshore - Adelaide'!E402)</f>
        <v>1500</v>
      </c>
      <c r="H217" s="63" t="n">
        <f aca="false">IF(ISNUMBER(K217),COUNTIFS($J$6:$J$1916,J217,$K$6:$K$1916,"&lt;"&amp;K217)+1,"-")</f>
        <v>1</v>
      </c>
      <c r="I217" s="64" t="str">
        <f aca="false">IF('Onshore - Adelaide'!E402="","Harga belum tersedia - hubungi konsultan TEG",IF(M217=2,"Saat ini tidak menerima pendaftaran siswa internasional baru",IF(M217=1,"Harga perlu dikonfirmasi ke sekolah"&amp;IF(""="","","; "&amp;""),"")))</f>
        <v>Harga perlu dikonfirmasi ke sekolah</v>
      </c>
      <c r="J217" s="0" t="s">
        <v>3834</v>
      </c>
      <c r="K217" s="0" t="n">
        <f aca="false">IF(M217=2,"",IF(ISNUMBER(SEARCH("rata-rata:",'Onshore - Adelaide'!M402)),VALUE(MID('Onshore - Adelaide'!M402,SEARCH("rata-rata:",'Onshore - Adelaide'!M402)+11,FIND(";",'Onshore - Adelaide'!M402&amp;";",SEARCH("rata-rata:",'Onshore - Adelaide'!M402))-SEARCH("rata-rata:",'Onshore - Adelaide'!M402)-11)),IF('Onshore - Adelaide'!D402="Semester",'Onshore - Adelaide'!E402*2,IF('Onshore - Adelaide'!D402="Trimester",'Onshore - Adelaide'!E402*3,IF('Onshore - Adelaide'!D402="Term",'Onshore - Adelaide'!E402*4,IF('Onshore - Adelaide'!D402="Unit",'Onshore - Adelaide'!E402*8,""))))))</f>
        <v>6000</v>
      </c>
      <c r="L217" s="0" t="n">
        <f aca="false">IF(AND(ISNUMBER('Onshore - Adelaide'!E402),ISNUMBER(K217),ISNUMBER('Onshore - Adelaide'!F402),ISNUMBER('Onshore - Adelaide'!G402),OR('Onshore - Adelaide'!F402&lt;&gt;0,ISNUMBER(SEARCH("Material 0 terverifikasi",'Onshore - Adelaide'!M402))),OR('Onshore - Adelaide'!G402&lt;&gt;0,ISNUMBER(SEARCH("Enrolment 0 terverifikasi",'Onshore - Adelaide'!M402)))),1,0)</f>
        <v>1</v>
      </c>
      <c r="M217" s="0" t="n">
        <f aca="false">IF(OR('Onshore - Adelaide'!E402="",ISNUMBER(SEARCH("BSB80120",'Onshore - Adelaide'!B402&amp;'Onshore - Adelaide'!M402)),ISNUMBER(SEARCH("Management (Learning)",'Onshore - Adelaide'!B402))),2,IF(ISNUMBER(SEARCH("CEK:",'Onshore - Adelaide'!M402)),1,0))</f>
        <v>1</v>
      </c>
    </row>
    <row r="218" customFormat="false" ht="15" hidden="false" customHeight="false" outlineLevel="0" collapsed="false">
      <c r="A218" s="61" t="s">
        <v>3835</v>
      </c>
      <c r="B218" s="62"/>
      <c r="C218" s="62"/>
      <c r="D218" s="62"/>
      <c r="E218" s="62"/>
      <c r="F218" s="62"/>
      <c r="G218" s="62"/>
      <c r="H218" s="62"/>
      <c r="I218" s="62"/>
    </row>
    <row r="219" customFormat="false" ht="15" hidden="false" customHeight="false" outlineLevel="0" collapsed="false">
      <c r="A219" s="63" t="s">
        <v>3659</v>
      </c>
      <c r="B219" s="64" t="s">
        <v>3833</v>
      </c>
      <c r="C219" s="63" t="s">
        <v>41</v>
      </c>
      <c r="D219" s="64" t="str">
        <f aca="false">TRIM(LEFT('Onshore - Adelaide'!A433,FIND(CHAR(10),'Onshore - Adelaide'!A433&amp;CHAR(10))-1))</f>
        <v>Greenwich College</v>
      </c>
      <c r="E219" s="63" t="str">
        <f aca="false">'Onshore - Adelaide'!C433&amp;""</f>
        <v>1 years</v>
      </c>
      <c r="F219" s="63" t="str">
        <f aca="false">IF('Onshore - Adelaide'!D433="","Belum tercatat",'Onshore - Adelaide'!D433)</f>
        <v>Term</v>
      </c>
      <c r="G219" s="65" t="n">
        <f aca="false">IF('Onshore - Adelaide'!E433="","-",'Onshore - Adelaide'!E433)</f>
        <v>1250</v>
      </c>
      <c r="H219" s="63" t="n">
        <f aca="false">IF(ISNUMBER(K219),COUNTIFS($J$6:$J$1916,J219,$K$6:$K$1916,"&lt;"&amp;K219)+1,"-")</f>
        <v>1</v>
      </c>
      <c r="I219" s="64" t="str">
        <f aca="false">IF('Onshore - Adelaide'!E433="","Harga belum tersedia - hubungi konsultan TEG",IF(M219=2,"Saat ini tidak menerima pendaftaran siswa internasional baru",IF(M219=1,"Harga perlu dikonfirmasi ke sekolah"&amp;IF(""="","","; "&amp;""),"")))</f>
        <v/>
      </c>
      <c r="J219" s="0" t="s">
        <v>3836</v>
      </c>
      <c r="K219" s="0" t="n">
        <f aca="false">IF(M219=2,"",IF(ISNUMBER(SEARCH("rata-rata:",'Onshore - Adelaide'!M433)),VALUE(MID('Onshore - Adelaide'!M433,SEARCH("rata-rata:",'Onshore - Adelaide'!M433)+11,FIND(";",'Onshore - Adelaide'!M433&amp;";",SEARCH("rata-rata:",'Onshore - Adelaide'!M433))-SEARCH("rata-rata:",'Onshore - Adelaide'!M433)-11)),IF('Onshore - Adelaide'!D433="Semester",'Onshore - Adelaide'!E433*2,IF('Onshore - Adelaide'!D433="Trimester",'Onshore - Adelaide'!E433*3,IF('Onshore - Adelaide'!D433="Term",'Onshore - Adelaide'!E433*4,IF('Onshore - Adelaide'!D433="Unit",'Onshore - Adelaide'!E433*8,""))))))</f>
        <v>5000</v>
      </c>
      <c r="L219" s="0" t="n">
        <f aca="false">IF(AND(ISNUMBER('Onshore - Adelaide'!E433),ISNUMBER(K219),ISNUMBER('Onshore - Adelaide'!F433),ISNUMBER('Onshore - Adelaide'!G433),OR('Onshore - Adelaide'!F433&lt;&gt;0,ISNUMBER(SEARCH("Material 0 terverifikasi",'Onshore - Adelaide'!M433))),OR('Onshore - Adelaide'!G433&lt;&gt;0,ISNUMBER(SEARCH("Enrolment 0 terverifikasi",'Onshore - Adelaide'!M433)))),1,0)</f>
        <v>1</v>
      </c>
      <c r="M219" s="0" t="n">
        <f aca="false">IF(OR('Onshore - Adelaide'!E433="",ISNUMBER(SEARCH("BSB80120",'Onshore - Adelaide'!B433&amp;'Onshore - Adelaide'!M433)),ISNUMBER(SEARCH("Management (Learning)",'Onshore - Adelaide'!B433))),2,IF(ISNUMBER(SEARCH("CEK:",'Onshore - Adelaide'!M433)),1,0))</f>
        <v>0</v>
      </c>
    </row>
    <row r="220" customFormat="false" ht="15" hidden="false" customHeight="false" outlineLevel="0" collapsed="false">
      <c r="A220" s="63" t="s">
        <v>3659</v>
      </c>
      <c r="B220" s="64" t="s">
        <v>3833</v>
      </c>
      <c r="C220" s="63" t="s">
        <v>41</v>
      </c>
      <c r="D220" s="64" t="str">
        <f aca="false">TRIM(LEFT('Onshore - Adelaide'!A402,FIND(CHAR(10),'Onshore - Adelaide'!A402&amp;CHAR(10))-1))</f>
        <v>Australian Ideal College (AIC)</v>
      </c>
      <c r="E220" s="63" t="str">
        <f aca="false">'Onshore - Adelaide'!C403&amp;""</f>
        <v>2,5 years</v>
      </c>
      <c r="F220" s="63" t="str">
        <f aca="false">IF('Onshore - Adelaide'!D403="","Belum tercatat",'Onshore - Adelaide'!D403)</f>
        <v>Term</v>
      </c>
      <c r="G220" s="65" t="n">
        <f aca="false">IF('Onshore - Adelaide'!E403="","-",'Onshore - Adelaide'!E403)</f>
        <v>1500</v>
      </c>
      <c r="H220" s="63" t="n">
        <f aca="false">IF(ISNUMBER(K220),COUNTIFS($J$6:$J$1916,J220,$K$6:$K$1916,"&lt;"&amp;K220)+1,"-")</f>
        <v>2</v>
      </c>
      <c r="I220" s="64" t="str">
        <f aca="false">IF('Onshore - Adelaide'!E403="","Harga belum tersedia - hubungi konsultan TEG",IF(M220=2,"Saat ini tidak menerima pendaftaran siswa internasional baru",IF(M220=1,"Harga perlu dikonfirmasi ke sekolah"&amp;IF(""="","","; "&amp;""),"")))</f>
        <v/>
      </c>
      <c r="J220" s="0" t="s">
        <v>3836</v>
      </c>
      <c r="K220" s="0" t="n">
        <f aca="false">IF(M220=2,"",IF(ISNUMBER(SEARCH("rata-rata:",'Onshore - Adelaide'!M403)),VALUE(MID('Onshore - Adelaide'!M403,SEARCH("rata-rata:",'Onshore - Adelaide'!M403)+11,FIND(";",'Onshore - Adelaide'!M403&amp;";",SEARCH("rata-rata:",'Onshore - Adelaide'!M403))-SEARCH("rata-rata:",'Onshore - Adelaide'!M403)-11)),IF('Onshore - Adelaide'!D403="Semester",'Onshore - Adelaide'!E403*2,IF('Onshore - Adelaide'!D403="Trimester",'Onshore - Adelaide'!E403*3,IF('Onshore - Adelaide'!D403="Term",'Onshore - Adelaide'!E403*4,IF('Onshore - Adelaide'!D403="Unit",'Onshore - Adelaide'!E403*8,""))))))</f>
        <v>6000</v>
      </c>
      <c r="L220" s="0" t="n">
        <f aca="false">IF(AND(ISNUMBER('Onshore - Adelaide'!E403),ISNUMBER(K220),ISNUMBER('Onshore - Adelaide'!F403),ISNUMBER('Onshore - Adelaide'!G403),OR('Onshore - Adelaide'!F403&lt;&gt;0,ISNUMBER(SEARCH("Material 0 terverifikasi",'Onshore - Adelaide'!M403))),OR('Onshore - Adelaide'!G403&lt;&gt;0,ISNUMBER(SEARCH("Enrolment 0 terverifikasi",'Onshore - Adelaide'!M403)))),1,0)</f>
        <v>1</v>
      </c>
      <c r="M220" s="0" t="n">
        <f aca="false">IF(OR('Onshore - Adelaide'!E403="",ISNUMBER(SEARCH("BSB80120",'Onshore - Adelaide'!B403&amp;'Onshore - Adelaide'!M403)),ISNUMBER(SEARCH("Management (Learning)",'Onshore - Adelaide'!B403))),2,IF(ISNUMBER(SEARCH("CEK:",'Onshore - Adelaide'!M403)),1,0))</f>
        <v>0</v>
      </c>
    </row>
    <row r="221" customFormat="false" ht="15" hidden="false" customHeight="false" outlineLevel="0" collapsed="false">
      <c r="A221" s="63" t="s">
        <v>3659</v>
      </c>
      <c r="B221" s="64" t="s">
        <v>3833</v>
      </c>
      <c r="C221" s="63" t="s">
        <v>41</v>
      </c>
      <c r="D221" s="64" t="str">
        <f aca="false">TRIM(LEFT('Onshore - Adelaide'!A487,FIND(CHAR(10),'Onshore - Adelaide'!A487&amp;CHAR(10))-1))</f>
        <v>TAFE SA</v>
      </c>
      <c r="E221" s="63" t="str">
        <f aca="false">'Onshore - Adelaide'!C499&amp;""</f>
        <v>1 year</v>
      </c>
      <c r="F221" s="63" t="str">
        <f aca="false">IF('Onshore - Adelaide'!D499="","Belum tercatat",'Onshore - Adelaide'!D499)</f>
        <v>Semester</v>
      </c>
      <c r="G221" s="65" t="n">
        <f aca="false">IF('Onshore - Adelaide'!E499="","-",'Onshore - Adelaide'!E499)</f>
        <v>8135</v>
      </c>
      <c r="H221" s="63" t="n">
        <f aca="false">IF(ISNUMBER(K221),COUNTIFS($J$6:$J$1916,J221,$K$6:$K$1916,"&lt;"&amp;K221)+1,"-")</f>
        <v>3</v>
      </c>
      <c r="I221" s="64" t="str">
        <f aca="false">IF('Onshore - Adelaide'!E499="","Harga belum tersedia - hubungi konsultan TEG",IF(M221=2,"Saat ini tidak menerima pendaftaran siswa internasional baru",IF(M221=1,"Harga perlu dikonfirmasi ke sekolah"&amp;IF(""="","","; "&amp;""),"")))</f>
        <v/>
      </c>
      <c r="J221" s="0" t="s">
        <v>3836</v>
      </c>
      <c r="K221" s="0" t="n">
        <f aca="false">IF(M221=2,"",IF(ISNUMBER(SEARCH("rata-rata:",'Onshore - Adelaide'!M499)),VALUE(MID('Onshore - Adelaide'!M499,SEARCH("rata-rata:",'Onshore - Adelaide'!M499)+11,FIND(";",'Onshore - Adelaide'!M499&amp;";",SEARCH("rata-rata:",'Onshore - Adelaide'!M499))-SEARCH("rata-rata:",'Onshore - Adelaide'!M499)-11)),IF('Onshore - Adelaide'!D499="Semester",'Onshore - Adelaide'!E499*2,IF('Onshore - Adelaide'!D499="Trimester",'Onshore - Adelaide'!E499*3,IF('Onshore - Adelaide'!D499="Term",'Onshore - Adelaide'!E499*4,IF('Onshore - Adelaide'!D499="Unit",'Onshore - Adelaide'!E499*8,""))))))</f>
        <v>16270</v>
      </c>
      <c r="L221" s="0" t="n">
        <f aca="false">IF(AND(ISNUMBER('Onshore - Adelaide'!E499),ISNUMBER(K221),ISNUMBER('Onshore - Adelaide'!F499),ISNUMBER('Onshore - Adelaide'!G499),OR('Onshore - Adelaide'!F499&lt;&gt;0,ISNUMBER(SEARCH("Material 0 terverifikasi",'Onshore - Adelaide'!M499))),OR('Onshore - Adelaide'!G499&lt;&gt;0,ISNUMBER(SEARCH("Enrolment 0 terverifikasi",'Onshore - Adelaide'!M499)))),1,0)</f>
        <v>0</v>
      </c>
      <c r="M221" s="0" t="n">
        <f aca="false">IF(OR('Onshore - Adelaide'!E499="",ISNUMBER(SEARCH("BSB80120",'Onshore - Adelaide'!B499&amp;'Onshore - Adelaide'!M499)),ISNUMBER(SEARCH("Management (Learning)",'Onshore - Adelaide'!B499))),2,IF(ISNUMBER(SEARCH("CEK:",'Onshore - Adelaide'!M499)),1,0))</f>
        <v>0</v>
      </c>
    </row>
    <row r="222" customFormat="false" ht="15" hidden="false" customHeight="false" outlineLevel="0" collapsed="false">
      <c r="A222" s="63" t="s">
        <v>3659</v>
      </c>
      <c r="B222" s="64" t="s">
        <v>3833</v>
      </c>
      <c r="C222" s="63" t="s">
        <v>41</v>
      </c>
      <c r="D222" s="64" t="str">
        <f aca="false">TRIM(LEFT('Onshore - Adelaide'!A545,FIND(CHAR(10),'Onshore - Adelaide'!A545&amp;CHAR(10))-1))</f>
        <v>Torrens University Australia</v>
      </c>
      <c r="E222" s="63" t="str">
        <f aca="false">'Onshore - Adelaide'!C545&amp;""</f>
        <v>1 year</v>
      </c>
      <c r="F222" s="63" t="str">
        <f aca="false">IF('Onshore - Adelaide'!D545="","Belum tercatat",'Onshore - Adelaide'!D545)</f>
        <v>Term</v>
      </c>
      <c r="G222" s="65" t="n">
        <f aca="false">IF('Onshore - Adelaide'!E545="","-",'Onshore - Adelaide'!E545)</f>
        <v>7900</v>
      </c>
      <c r="H222" s="63" t="n">
        <f aca="false">IF(ISNUMBER(K222),COUNTIFS($J$6:$J$1916,J222,$K$6:$K$1916,"&lt;"&amp;K222)+1,"-")</f>
        <v>4</v>
      </c>
      <c r="I222" s="64" t="str">
        <f aca="false">IF('Onshore - Adelaide'!E545="","Harga belum tersedia - hubungi konsultan TEG",IF(M222=2,"Saat ini tidak menerima pendaftaran siswa internasional baru",IF(M222=1,"Harga perlu dikonfirmasi ke sekolah"&amp;IF(""="","","; "&amp;""),"")))</f>
        <v/>
      </c>
      <c r="J222" s="0" t="s">
        <v>3836</v>
      </c>
      <c r="K222" s="0" t="n">
        <f aca="false">IF(M222=2,"",IF(ISNUMBER(SEARCH("rata-rata:",'Onshore - Adelaide'!M545)),VALUE(MID('Onshore - Adelaide'!M545,SEARCH("rata-rata:",'Onshore - Adelaide'!M545)+11,FIND(";",'Onshore - Adelaide'!M545&amp;";",SEARCH("rata-rata:",'Onshore - Adelaide'!M545))-SEARCH("rata-rata:",'Onshore - Adelaide'!M545)-11)),IF('Onshore - Adelaide'!D545="Semester",'Onshore - Adelaide'!E545*2,IF('Onshore - Adelaide'!D545="Trimester",'Onshore - Adelaide'!E545*3,IF('Onshore - Adelaide'!D545="Term",'Onshore - Adelaide'!E545*4,IF('Onshore - Adelaide'!D545="Unit",'Onshore - Adelaide'!E545*8,""))))))</f>
        <v>31600</v>
      </c>
      <c r="L222" s="0" t="n">
        <f aca="false">IF(AND(ISNUMBER('Onshore - Adelaide'!E545),ISNUMBER(K222),ISNUMBER('Onshore - Adelaide'!F545),ISNUMBER('Onshore - Adelaide'!G545),OR('Onshore - Adelaide'!F545&lt;&gt;0,ISNUMBER(SEARCH("Material 0 terverifikasi",'Onshore - Adelaide'!M545))),OR('Onshore - Adelaide'!G545&lt;&gt;0,ISNUMBER(SEARCH("Enrolment 0 terverifikasi",'Onshore - Adelaide'!M545)))),1,0)</f>
        <v>0</v>
      </c>
      <c r="M222" s="0" t="n">
        <f aca="false">IF(OR('Onshore - Adelaide'!E545="",ISNUMBER(SEARCH("BSB80120",'Onshore - Adelaide'!B545&amp;'Onshore - Adelaide'!M545)),ISNUMBER(SEARCH("Management (Learning)",'Onshore - Adelaide'!B545))),2,IF(ISNUMBER(SEARCH("CEK:",'Onshore - Adelaide'!M545)),1,0))</f>
        <v>0</v>
      </c>
    </row>
    <row r="223" customFormat="false" ht="15" hidden="false" customHeight="false" outlineLevel="0" collapsed="false">
      <c r="A223" s="63" t="s">
        <v>3659</v>
      </c>
      <c r="B223" s="64" t="s">
        <v>3833</v>
      </c>
      <c r="C223" s="63" t="s">
        <v>41</v>
      </c>
      <c r="D223" s="64" t="str">
        <f aca="false">TRIM(LEFT('Onshore - Adelaide'!A444,FIND(CHAR(10),'Onshore - Adelaide'!A444&amp;CHAR(10))-1))</f>
        <v>Kaplan Business School</v>
      </c>
      <c r="E223" s="63" t="str">
        <f aca="false">'Onshore - Adelaide'!C444&amp;""</f>
        <v>1 year</v>
      </c>
      <c r="F223" s="63" t="str">
        <f aca="false">IF('Onshore - Adelaide'!D444="","Belum tercatat",'Onshore - Adelaide'!D444)</f>
        <v>Trimester</v>
      </c>
      <c r="G223" s="65" t="n">
        <f aca="false">IF('Onshore - Adelaide'!E444="","-",'Onshore - Adelaide'!E444)</f>
        <v>11520</v>
      </c>
      <c r="H223" s="63" t="n">
        <f aca="false">IF(ISNUMBER(K223),COUNTIFS($J$6:$J$1916,J223,$K$6:$K$1916,"&lt;"&amp;K223)+1,"-")</f>
        <v>5</v>
      </c>
      <c r="I223" s="64" t="str">
        <f aca="false">IF('Onshore - Adelaide'!E444="","Harga belum tersedia - hubungi konsultan TEG",IF(M223=2,"Saat ini tidak menerima pendaftaran siswa internasional baru",IF(M223=1,"Harga perlu dikonfirmasi ke sekolah"&amp;IF(""="","","; "&amp;""),"")))</f>
        <v>Harga perlu dikonfirmasi ke sekolah</v>
      </c>
      <c r="J223" s="0" t="s">
        <v>3836</v>
      </c>
      <c r="K223" s="0" t="n">
        <f aca="false">IF(M223=2,"",IF(ISNUMBER(SEARCH("rata-rata:",'Onshore - Adelaide'!M444)),VALUE(MID('Onshore - Adelaide'!M444,SEARCH("rata-rata:",'Onshore - Adelaide'!M444)+11,FIND(";",'Onshore - Adelaide'!M444&amp;";",SEARCH("rata-rata:",'Onshore - Adelaide'!M444))-SEARCH("rata-rata:",'Onshore - Adelaide'!M444)-11)),IF('Onshore - Adelaide'!D444="Semester",'Onshore - Adelaide'!E444*2,IF('Onshore - Adelaide'!D444="Trimester",'Onshore - Adelaide'!E444*3,IF('Onshore - Adelaide'!D444="Term",'Onshore - Adelaide'!E444*4,IF('Onshore - Adelaide'!D444="Unit",'Onshore - Adelaide'!E444*8,""))))))</f>
        <v>34560</v>
      </c>
      <c r="L223" s="0" t="n">
        <f aca="false">IF(AND(ISNUMBER('Onshore - Adelaide'!E444),ISNUMBER(K223),ISNUMBER('Onshore - Adelaide'!F444),ISNUMBER('Onshore - Adelaide'!G444),OR('Onshore - Adelaide'!F444&lt;&gt;0,ISNUMBER(SEARCH("Material 0 terverifikasi",'Onshore - Adelaide'!M444))),OR('Onshore - Adelaide'!G444&lt;&gt;0,ISNUMBER(SEARCH("Enrolment 0 terverifikasi",'Onshore - Adelaide'!M444)))),1,0)</f>
        <v>1</v>
      </c>
      <c r="M223" s="0" t="n">
        <f aca="false">IF(OR('Onshore - Adelaide'!E444="",ISNUMBER(SEARCH("BSB80120",'Onshore - Adelaide'!B444&amp;'Onshore - Adelaide'!M444)),ISNUMBER(SEARCH("Management (Learning)",'Onshore - Adelaide'!B444))),2,IF(ISNUMBER(SEARCH("CEK:",'Onshore - Adelaide'!M444)),1,0))</f>
        <v>1</v>
      </c>
    </row>
    <row r="224" customFormat="false" ht="15" hidden="false" customHeight="false" outlineLevel="0" collapsed="false">
      <c r="A224" s="61" t="s">
        <v>3837</v>
      </c>
      <c r="B224" s="62"/>
      <c r="C224" s="62"/>
      <c r="D224" s="62"/>
      <c r="E224" s="62"/>
      <c r="F224" s="62"/>
      <c r="G224" s="62"/>
      <c r="H224" s="62"/>
      <c r="I224" s="62"/>
    </row>
    <row r="225" customFormat="false" ht="28.35" hidden="false" customHeight="false" outlineLevel="0" collapsed="false">
      <c r="A225" s="63" t="s">
        <v>3659</v>
      </c>
      <c r="B225" s="64" t="s">
        <v>3833</v>
      </c>
      <c r="C225" s="63" t="s">
        <v>42</v>
      </c>
      <c r="D225" s="64" t="str">
        <f aca="false">TRIM(LEFT('Onshore - Adelaide'!A376,FIND(CHAR(10),'Onshore - Adelaide'!A376&amp;CHAR(10))-1))</f>
        <v>Albright Institute of Business and Language (AIBL)</v>
      </c>
      <c r="E225" s="63" t="str">
        <f aca="false">'Onshore - Adelaide'!C376&amp;""</f>
        <v>2 years</v>
      </c>
      <c r="F225" s="63" t="str">
        <f aca="false">IF('Onshore - Adelaide'!D376="","Belum tercatat",'Onshore - Adelaide'!D376)</f>
        <v>Term</v>
      </c>
      <c r="G225" s="65" t="n">
        <f aca="false">IF('Onshore - Adelaide'!E376="","-",'Onshore - Adelaide'!E376)</f>
        <v>1250</v>
      </c>
      <c r="H225" s="63" t="n">
        <f aca="false">IF(ISNUMBER(K225),COUNTIFS($J$6:$J$1916,J225,$K$6:$K$1916,"&lt;"&amp;K225)+1,"-")</f>
        <v>1</v>
      </c>
      <c r="I225" s="64" t="str">
        <f aca="false">IF('Onshore - Adelaide'!E376="","Harga belum tersedia - hubungi konsultan TEG",IF(M225=2,"Saat ini tidak menerima pendaftaran siswa internasional baru",IF(M225=1,"Harga perlu dikonfirmasi ke sekolah"&amp;IF(""="","","; "&amp;""),"")))</f>
        <v/>
      </c>
      <c r="J225" s="0" t="s">
        <v>3838</v>
      </c>
      <c r="K225" s="0" t="n">
        <f aca="false">IF(M225=2,"",IF(ISNUMBER(SEARCH("rata-rata:",'Onshore - Adelaide'!M376)),VALUE(MID('Onshore - Adelaide'!M376,SEARCH("rata-rata:",'Onshore - Adelaide'!M376)+11,FIND(";",'Onshore - Adelaide'!M376&amp;";",SEARCH("rata-rata:",'Onshore - Adelaide'!M376))-SEARCH("rata-rata:",'Onshore - Adelaide'!M376)-11)),IF('Onshore - Adelaide'!D376="Semester",'Onshore - Adelaide'!E376*2,IF('Onshore - Adelaide'!D376="Trimester",'Onshore - Adelaide'!E376*3,IF('Onshore - Adelaide'!D376="Term",'Onshore - Adelaide'!E376*4,IF('Onshore - Adelaide'!D376="Unit",'Onshore - Adelaide'!E376*8,""))))))</f>
        <v>5000</v>
      </c>
      <c r="L225" s="0" t="n">
        <f aca="false">IF(AND(ISNUMBER('Onshore - Adelaide'!E376),ISNUMBER(K225),ISNUMBER('Onshore - Adelaide'!F376),ISNUMBER('Onshore - Adelaide'!G376),OR('Onshore - Adelaide'!F376&lt;&gt;0,ISNUMBER(SEARCH("Material 0 terverifikasi",'Onshore - Adelaide'!M376))),OR('Onshore - Adelaide'!G376&lt;&gt;0,ISNUMBER(SEARCH("Enrolment 0 terverifikasi",'Onshore - Adelaide'!M376)))),1,0)</f>
        <v>1</v>
      </c>
      <c r="M225" s="0" t="n">
        <f aca="false">IF(OR('Onshore - Adelaide'!E376="",ISNUMBER(SEARCH("BSB80120",'Onshore - Adelaide'!B376&amp;'Onshore - Adelaide'!M376)),ISNUMBER(SEARCH("Management (Learning)",'Onshore - Adelaide'!B376))),2,IF(ISNUMBER(SEARCH("CEK:",'Onshore - Adelaide'!M376)),1,0))</f>
        <v>0</v>
      </c>
    </row>
    <row r="226" customFormat="false" ht="15" hidden="false" customHeight="false" outlineLevel="0" collapsed="false">
      <c r="A226" s="63" t="s">
        <v>3659</v>
      </c>
      <c r="B226" s="64" t="s">
        <v>3833</v>
      </c>
      <c r="C226" s="63" t="s">
        <v>42</v>
      </c>
      <c r="D226" s="64" t="str">
        <f aca="false">TRIM(LEFT('Onshore - Adelaide'!A433,FIND(CHAR(10),'Onshore - Adelaide'!A433&amp;CHAR(10))-1))</f>
        <v>Greenwich College</v>
      </c>
      <c r="E226" s="63" t="str">
        <f aca="false">'Onshore - Adelaide'!C434&amp;""</f>
        <v>120 weeks</v>
      </c>
      <c r="F226" s="63" t="str">
        <f aca="false">IF('Onshore - Adelaide'!D434="","Belum tercatat",'Onshore - Adelaide'!D434)</f>
        <v>Term</v>
      </c>
      <c r="G226" s="65" t="n">
        <f aca="false">IF('Onshore - Adelaide'!E434="","-",'Onshore - Adelaide'!E434)</f>
        <v>1250</v>
      </c>
      <c r="H226" s="63" t="n">
        <f aca="false">IF(ISNUMBER(K226),COUNTIFS($J$6:$J$1916,J226,$K$6:$K$1916,"&lt;"&amp;K226)+1,"-")</f>
        <v>1</v>
      </c>
      <c r="I226" s="64" t="str">
        <f aca="false">IF('Onshore - Adelaide'!E434="","Harga belum tersedia - hubungi konsultan TEG",IF(M226=2,"Saat ini tidak menerima pendaftaran siswa internasional baru",IF(M226=1,"Harga perlu dikonfirmasi ke sekolah"&amp;IF(""="","","; "&amp;""),"")))</f>
        <v/>
      </c>
      <c r="J226" s="0" t="s">
        <v>3838</v>
      </c>
      <c r="K226" s="0" t="n">
        <f aca="false">IF(M226=2,"",IF(ISNUMBER(SEARCH("rata-rata:",'Onshore - Adelaide'!M434)),VALUE(MID('Onshore - Adelaide'!M434,SEARCH("rata-rata:",'Onshore - Adelaide'!M434)+11,FIND(";",'Onshore - Adelaide'!M434&amp;";",SEARCH("rata-rata:",'Onshore - Adelaide'!M434))-SEARCH("rata-rata:",'Onshore - Adelaide'!M434)-11)),IF('Onshore - Adelaide'!D434="Semester",'Onshore - Adelaide'!E434*2,IF('Onshore - Adelaide'!D434="Trimester",'Onshore - Adelaide'!E434*3,IF('Onshore - Adelaide'!D434="Term",'Onshore - Adelaide'!E434*4,IF('Onshore - Adelaide'!D434="Unit",'Onshore - Adelaide'!E434*8,""))))))</f>
        <v>5000</v>
      </c>
      <c r="L226" s="0" t="n">
        <f aca="false">IF(AND(ISNUMBER('Onshore - Adelaide'!E434),ISNUMBER(K226),ISNUMBER('Onshore - Adelaide'!F434),ISNUMBER('Onshore - Adelaide'!G434),OR('Onshore - Adelaide'!F434&lt;&gt;0,ISNUMBER(SEARCH("Material 0 terverifikasi",'Onshore - Adelaide'!M434))),OR('Onshore - Adelaide'!G434&lt;&gt;0,ISNUMBER(SEARCH("Enrolment 0 terverifikasi",'Onshore - Adelaide'!M434)))),1,0)</f>
        <v>1</v>
      </c>
      <c r="M226" s="0" t="n">
        <f aca="false">IF(OR('Onshore - Adelaide'!E434="",ISNUMBER(SEARCH("BSB80120",'Onshore - Adelaide'!B434&amp;'Onshore - Adelaide'!M434)),ISNUMBER(SEARCH("Management (Learning)",'Onshore - Adelaide'!B434))),2,IF(ISNUMBER(SEARCH("CEK:",'Onshore - Adelaide'!M434)),1,0))</f>
        <v>0</v>
      </c>
    </row>
    <row r="227" customFormat="false" ht="15" hidden="false" customHeight="false" outlineLevel="0" collapsed="false">
      <c r="A227" s="63" t="s">
        <v>3659</v>
      </c>
      <c r="B227" s="64" t="s">
        <v>3833</v>
      </c>
      <c r="C227" s="63" t="s">
        <v>42</v>
      </c>
      <c r="D227" s="64" t="str">
        <f aca="false">TRIM(LEFT('Onshore - Adelaide'!A6,FIND(CHAR(10),'Onshore - Adelaide'!A6&amp;CHAR(10))-1))</f>
        <v>Abbey College Australia</v>
      </c>
      <c r="E227" s="63" t="str">
        <f aca="false">'Onshore - Adelaide'!C8&amp;""</f>
        <v>2,5 years</v>
      </c>
      <c r="F227" s="63" t="str">
        <f aca="false">IF('Onshore - Adelaide'!D8="","Belum tercatat",'Onshore - Adelaide'!D8)</f>
        <v>Term</v>
      </c>
      <c r="G227" s="65" t="n">
        <f aca="false">IF('Onshore - Adelaide'!E8="","-",'Onshore - Adelaide'!E8)</f>
        <v>1350</v>
      </c>
      <c r="H227" s="63" t="n">
        <f aca="false">IF(ISNUMBER(K227),COUNTIFS($J$6:$J$1916,J227,$K$6:$K$1916,"&lt;"&amp;K227)+1,"-")</f>
        <v>3</v>
      </c>
      <c r="I227" s="64" t="str">
        <f aca="false">IF('Onshore - Adelaide'!E8="","Harga belum tersedia - hubungi konsultan TEG",IF(M227=2,"Saat ini tidak menerima pendaftaran siswa internasional baru",IF(M227=1,"Harga perlu dikonfirmasi ke sekolah"&amp;IF(""="","","; "&amp;""),"")))</f>
        <v/>
      </c>
      <c r="J227" s="0" t="s">
        <v>3838</v>
      </c>
      <c r="K227" s="0" t="n">
        <f aca="false">IF(M227=2,"",IF(ISNUMBER(SEARCH("rata-rata:",'Onshore - Adelaide'!M8)),VALUE(MID('Onshore - Adelaide'!M8,SEARCH("rata-rata:",'Onshore - Adelaide'!M8)+11,FIND(";",'Onshore - Adelaide'!M8&amp;";",SEARCH("rata-rata:",'Onshore - Adelaide'!M8))-SEARCH("rata-rata:",'Onshore - Adelaide'!M8)-11)),IF('Onshore - Adelaide'!D8="Semester",'Onshore - Adelaide'!E8*2,IF('Onshore - Adelaide'!D8="Trimester",'Onshore - Adelaide'!E8*3,IF('Onshore - Adelaide'!D8="Term",'Onshore - Adelaide'!E8*4,IF('Onshore - Adelaide'!D8="Unit",'Onshore - Adelaide'!E8*8,""))))))</f>
        <v>5400</v>
      </c>
      <c r="L227" s="0" t="n">
        <f aca="false">IF(AND(ISNUMBER('Onshore - Adelaide'!E8),ISNUMBER(K227),ISNUMBER('Onshore - Adelaide'!F8),ISNUMBER('Onshore - Adelaide'!G8),OR('Onshore - Adelaide'!F8&lt;&gt;0,ISNUMBER(SEARCH("Material 0 terverifikasi",'Onshore - Adelaide'!M8))),OR('Onshore - Adelaide'!G8&lt;&gt;0,ISNUMBER(SEARCH("Enrolment 0 terverifikasi",'Onshore - Adelaide'!M8)))),1,0)</f>
        <v>1</v>
      </c>
      <c r="M227" s="0" t="n">
        <f aca="false">IF(OR('Onshore - Adelaide'!E8="",ISNUMBER(SEARCH("BSB80120",'Onshore - Adelaide'!B8&amp;'Onshore - Adelaide'!M8)),ISNUMBER(SEARCH("Management (Learning)",'Onshore - Adelaide'!B8))),2,IF(ISNUMBER(SEARCH("CEK:",'Onshore - Adelaide'!M8)),1,0))</f>
        <v>0</v>
      </c>
    </row>
    <row r="228" customFormat="false" ht="15" hidden="false" customHeight="false" outlineLevel="0" collapsed="false">
      <c r="A228" s="63" t="s">
        <v>3659</v>
      </c>
      <c r="B228" s="64" t="s">
        <v>3833</v>
      </c>
      <c r="C228" s="63" t="s">
        <v>42</v>
      </c>
      <c r="D228" s="64" t="str">
        <f aca="false">TRIM(LEFT('Onshore - Adelaide'!A402,FIND(CHAR(10),'Onshore - Adelaide'!A402&amp;CHAR(10))-1))</f>
        <v>Australian Ideal College (AIC)</v>
      </c>
      <c r="E228" s="63" t="str">
        <f aca="false">'Onshore - Adelaide'!C405&amp;""</f>
        <v>1,5 years</v>
      </c>
      <c r="F228" s="63" t="str">
        <f aca="false">IF('Onshore - Adelaide'!D405="","Belum tercatat",'Onshore - Adelaide'!D405)</f>
        <v>Term</v>
      </c>
      <c r="G228" s="65" t="n">
        <f aca="false">IF('Onshore - Adelaide'!E405="","-",'Onshore - Adelaide'!E405)</f>
        <v>1500</v>
      </c>
      <c r="H228" s="63" t="n">
        <f aca="false">IF(ISNUMBER(K228),COUNTIFS($J$6:$J$1916,J228,$K$6:$K$1916,"&lt;"&amp;K228)+1,"-")</f>
        <v>4</v>
      </c>
      <c r="I228" s="64" t="str">
        <f aca="false">IF('Onshore - Adelaide'!E405="","Harga belum tersedia - hubungi konsultan TEG",IF(M228=2,"Saat ini tidak menerima pendaftaran siswa internasional baru",IF(M228=1,"Harga perlu dikonfirmasi ke sekolah"&amp;IF(""="","","; "&amp;""),"")))</f>
        <v/>
      </c>
      <c r="J228" s="0" t="s">
        <v>3838</v>
      </c>
      <c r="K228" s="0" t="n">
        <f aca="false">IF(M228=2,"",IF(ISNUMBER(SEARCH("rata-rata:",'Onshore - Adelaide'!M405)),VALUE(MID('Onshore - Adelaide'!M405,SEARCH("rata-rata:",'Onshore - Adelaide'!M405)+11,FIND(";",'Onshore - Adelaide'!M405&amp;";",SEARCH("rata-rata:",'Onshore - Adelaide'!M405))-SEARCH("rata-rata:",'Onshore - Adelaide'!M405)-11)),IF('Onshore - Adelaide'!D405="Semester",'Onshore - Adelaide'!E405*2,IF('Onshore - Adelaide'!D405="Trimester",'Onshore - Adelaide'!E405*3,IF('Onshore - Adelaide'!D405="Term",'Onshore - Adelaide'!E405*4,IF('Onshore - Adelaide'!D405="Unit",'Onshore - Adelaide'!E405*8,""))))))</f>
        <v>6000</v>
      </c>
      <c r="L228" s="0" t="n">
        <f aca="false">IF(AND(ISNUMBER('Onshore - Adelaide'!E405),ISNUMBER(K228),ISNUMBER('Onshore - Adelaide'!F405),ISNUMBER('Onshore - Adelaide'!G405),OR('Onshore - Adelaide'!F405&lt;&gt;0,ISNUMBER(SEARCH("Material 0 terverifikasi",'Onshore - Adelaide'!M405))),OR('Onshore - Adelaide'!G405&lt;&gt;0,ISNUMBER(SEARCH("Enrolment 0 terverifikasi",'Onshore - Adelaide'!M405)))),1,0)</f>
        <v>1</v>
      </c>
      <c r="M228" s="0" t="n">
        <f aca="false">IF(OR('Onshore - Adelaide'!E405="",ISNUMBER(SEARCH("BSB80120",'Onshore - Adelaide'!B405&amp;'Onshore - Adelaide'!M405)),ISNUMBER(SEARCH("Management (Learning)",'Onshore - Adelaide'!B405))),2,IF(ISNUMBER(SEARCH("CEK:",'Onshore - Adelaide'!M405)),1,0))</f>
        <v>0</v>
      </c>
    </row>
    <row r="229" customFormat="false" ht="15" hidden="false" customHeight="false" outlineLevel="0" collapsed="false">
      <c r="A229" s="63" t="s">
        <v>3659</v>
      </c>
      <c r="B229" s="64" t="s">
        <v>3833</v>
      </c>
      <c r="C229" s="63" t="s">
        <v>42</v>
      </c>
      <c r="D229" s="64" t="str">
        <f aca="false">TRIM(LEFT('Onshore - Adelaide'!A542,FIND(CHAR(10),'Onshore - Adelaide'!A542&amp;CHAR(10))-1))</f>
        <v>The Centre of Excellence</v>
      </c>
      <c r="E229" s="63" t="str">
        <f aca="false">'Onshore - Adelaide'!C544&amp;""</f>
        <v>2 years</v>
      </c>
      <c r="F229" s="63" t="str">
        <f aca="false">IF('Onshore - Adelaide'!D544="","Belum tercatat",'Onshore - Adelaide'!D544)</f>
        <v>Term</v>
      </c>
      <c r="G229" s="65" t="n">
        <f aca="false">IF('Onshore - Adelaide'!E544="","-",'Onshore - Adelaide'!E544)</f>
        <v>1500</v>
      </c>
      <c r="H229" s="63" t="n">
        <f aca="false">IF(ISNUMBER(K229),COUNTIFS($J$6:$J$1916,J229,$K$6:$K$1916,"&lt;"&amp;K229)+1,"-")</f>
        <v>4</v>
      </c>
      <c r="I229" s="64" t="str">
        <f aca="false">IF('Onshore - Adelaide'!E544="","Harga belum tersedia - hubungi konsultan TEG",IF(M229=2,"Saat ini tidak menerima pendaftaran siswa internasional baru",IF(M229=1,"Harga perlu dikonfirmasi ke sekolah"&amp;IF(""="","","; "&amp;""),"")))</f>
        <v/>
      </c>
      <c r="J229" s="0" t="s">
        <v>3838</v>
      </c>
      <c r="K229" s="0" t="n">
        <f aca="false">IF(M229=2,"",IF(ISNUMBER(SEARCH("rata-rata:",'Onshore - Adelaide'!M544)),VALUE(MID('Onshore - Adelaide'!M544,SEARCH("rata-rata:",'Onshore - Adelaide'!M544)+11,FIND(";",'Onshore - Adelaide'!M544&amp;";",SEARCH("rata-rata:",'Onshore - Adelaide'!M544))-SEARCH("rata-rata:",'Onshore - Adelaide'!M544)-11)),IF('Onshore - Adelaide'!D544="Semester",'Onshore - Adelaide'!E544*2,IF('Onshore - Adelaide'!D544="Trimester",'Onshore - Adelaide'!E544*3,IF('Onshore - Adelaide'!D544="Term",'Onshore - Adelaide'!E544*4,IF('Onshore - Adelaide'!D544="Unit",'Onshore - Adelaide'!E544*8,""))))))</f>
        <v>6000</v>
      </c>
      <c r="L229" s="0" t="n">
        <f aca="false">IF(AND(ISNUMBER('Onshore - Adelaide'!E544),ISNUMBER(K229),ISNUMBER('Onshore - Adelaide'!F544),ISNUMBER('Onshore - Adelaide'!G544),OR('Onshore - Adelaide'!F544&lt;&gt;0,ISNUMBER(SEARCH("Material 0 terverifikasi",'Onshore - Adelaide'!M544))),OR('Onshore - Adelaide'!G544&lt;&gt;0,ISNUMBER(SEARCH("Enrolment 0 terverifikasi",'Onshore - Adelaide'!M544)))),1,0)</f>
        <v>1</v>
      </c>
      <c r="M229" s="0" t="n">
        <f aca="false">IF(OR('Onshore - Adelaide'!E544="",ISNUMBER(SEARCH("BSB80120",'Onshore - Adelaide'!B544&amp;'Onshore - Adelaide'!M544)),ISNUMBER(SEARCH("Management (Learning)",'Onshore - Adelaide'!B544))),2,IF(ISNUMBER(SEARCH("CEK:",'Onshore - Adelaide'!M544)),1,0))</f>
        <v>0</v>
      </c>
    </row>
    <row r="230" customFormat="false" ht="15" hidden="false" customHeight="false" outlineLevel="0" collapsed="false">
      <c r="A230" s="63" t="s">
        <v>3659</v>
      </c>
      <c r="B230" s="64" t="s">
        <v>3833</v>
      </c>
      <c r="C230" s="63" t="s">
        <v>42</v>
      </c>
      <c r="D230" s="64" t="str">
        <f aca="false">TRIM(LEFT('Onshore - Adelaide'!A381,FIND(CHAR(10),'Onshore - Adelaide'!A381&amp;CHAR(10))-1))</f>
        <v>Alliance College</v>
      </c>
      <c r="E230" s="63" t="str">
        <f aca="false">'Onshore - Adelaide'!C396&amp;""</f>
        <v>2 years</v>
      </c>
      <c r="F230" s="63" t="str">
        <f aca="false">IF('Onshore - Adelaide'!D396="","Belum tercatat",'Onshore - Adelaide'!D396)</f>
        <v>Term</v>
      </c>
      <c r="G230" s="65" t="n">
        <f aca="false">IF('Onshore - Adelaide'!E396="","-",'Onshore - Adelaide'!E396)</f>
        <v>1540</v>
      </c>
      <c r="H230" s="63" t="n">
        <f aca="false">IF(ISNUMBER(K230),COUNTIFS($J$6:$J$1916,J230,$K$6:$K$1916,"&lt;"&amp;K230)+1,"-")</f>
        <v>6</v>
      </c>
      <c r="I230" s="64" t="str">
        <f aca="false">IF('Onshore - Adelaide'!E396="","Harga belum tersedia - hubungi konsultan TEG",IF(M230=2,"Saat ini tidak menerima pendaftaran siswa internasional baru",IF(M230=1,"Harga perlu dikonfirmasi ke sekolah"&amp;IF(""="","","; "&amp;""),"")))</f>
        <v/>
      </c>
      <c r="J230" s="0" t="s">
        <v>3838</v>
      </c>
      <c r="K230" s="0" t="n">
        <f aca="false">IF(M230=2,"",IF(ISNUMBER(SEARCH("rata-rata:",'Onshore - Adelaide'!M396)),VALUE(MID('Onshore - Adelaide'!M396,SEARCH("rata-rata:",'Onshore - Adelaide'!M396)+11,FIND(";",'Onshore - Adelaide'!M396&amp;";",SEARCH("rata-rata:",'Onshore - Adelaide'!M396))-SEARCH("rata-rata:",'Onshore - Adelaide'!M396)-11)),IF('Onshore - Adelaide'!D396="Semester",'Onshore - Adelaide'!E396*2,IF('Onshore - Adelaide'!D396="Trimester",'Onshore - Adelaide'!E396*3,IF('Onshore - Adelaide'!D396="Term",'Onshore - Adelaide'!E396*4,IF('Onshore - Adelaide'!D396="Unit",'Onshore - Adelaide'!E396*8,""))))))</f>
        <v>6160</v>
      </c>
      <c r="L230" s="0" t="n">
        <f aca="false">IF(AND(ISNUMBER('Onshore - Adelaide'!E396),ISNUMBER(K230),ISNUMBER('Onshore - Adelaide'!F396),ISNUMBER('Onshore - Adelaide'!G396),OR('Onshore - Adelaide'!F396&lt;&gt;0,ISNUMBER(SEARCH("Material 0 terverifikasi",'Onshore - Adelaide'!M396))),OR('Onshore - Adelaide'!G396&lt;&gt;0,ISNUMBER(SEARCH("Enrolment 0 terverifikasi",'Onshore - Adelaide'!M396)))),1,0)</f>
        <v>0</v>
      </c>
      <c r="M230" s="0" t="n">
        <f aca="false">IF(OR('Onshore - Adelaide'!E396="",ISNUMBER(SEARCH("BSB80120",'Onshore - Adelaide'!B396&amp;'Onshore - Adelaide'!M396)),ISNUMBER(SEARCH("Management (Learning)",'Onshore - Adelaide'!B396))),2,IF(ISNUMBER(SEARCH("CEK:",'Onshore - Adelaide'!M396)),1,0))</f>
        <v>0</v>
      </c>
    </row>
    <row r="231" customFormat="false" ht="15" hidden="false" customHeight="false" outlineLevel="0" collapsed="false">
      <c r="A231" s="63" t="s">
        <v>3659</v>
      </c>
      <c r="B231" s="64" t="s">
        <v>3833</v>
      </c>
      <c r="C231" s="63" t="s">
        <v>42</v>
      </c>
      <c r="D231" s="64" t="str">
        <f aca="false">TRIM(LEFT('Onshore - Adelaide'!A474,FIND(CHAR(10),'Onshore - Adelaide'!A474&amp;CHAR(10))-1))</f>
        <v>Signet Institute of Australia</v>
      </c>
      <c r="E231" s="63" t="str">
        <f aca="false">'Onshore - Adelaide'!C475&amp;""</f>
        <v>2 years</v>
      </c>
      <c r="F231" s="63" t="str">
        <f aca="false">IF('Onshore - Adelaide'!D475="","Belum tercatat",'Onshore - Adelaide'!D475)</f>
        <v>Term</v>
      </c>
      <c r="G231" s="65" t="n">
        <f aca="false">IF('Onshore - Adelaide'!E475="","-",'Onshore - Adelaide'!E475)</f>
        <v>1875</v>
      </c>
      <c r="H231" s="63" t="n">
        <f aca="false">IF(ISNUMBER(K231),COUNTIFS($J$6:$J$1916,J231,$K$6:$K$1916,"&lt;"&amp;K231)+1,"-")</f>
        <v>7</v>
      </c>
      <c r="I231" s="64" t="str">
        <f aca="false">IF('Onshore - Adelaide'!E475="","Harga belum tersedia - hubungi konsultan TEG",IF(M231=2,"Saat ini tidak menerima pendaftaran siswa internasional baru",IF(M231=1,"Harga perlu dikonfirmasi ke sekolah"&amp;IF(""="","","; "&amp;""),"")))</f>
        <v>Harga perlu dikonfirmasi ke sekolah</v>
      </c>
      <c r="J231" s="0" t="s">
        <v>3838</v>
      </c>
      <c r="K231" s="0" t="n">
        <f aca="false">IF(M231=2,"",IF(ISNUMBER(SEARCH("rata-rata:",'Onshore - Adelaide'!M475)),VALUE(MID('Onshore - Adelaide'!M475,SEARCH("rata-rata:",'Onshore - Adelaide'!M475)+11,FIND(";",'Onshore - Adelaide'!M475&amp;";",SEARCH("rata-rata:",'Onshore - Adelaide'!M475))-SEARCH("rata-rata:",'Onshore - Adelaide'!M475)-11)),IF('Onshore - Adelaide'!D475="Semester",'Onshore - Adelaide'!E475*2,IF('Onshore - Adelaide'!D475="Trimester",'Onshore - Adelaide'!E475*3,IF('Onshore - Adelaide'!D475="Term",'Onshore - Adelaide'!E475*4,IF('Onshore - Adelaide'!D475="Unit",'Onshore - Adelaide'!E475*8,""))))))</f>
        <v>7500</v>
      </c>
      <c r="L231" s="0" t="n">
        <f aca="false">IF(AND(ISNUMBER('Onshore - Adelaide'!E475),ISNUMBER(K231),ISNUMBER('Onshore - Adelaide'!F475),ISNUMBER('Onshore - Adelaide'!G475),OR('Onshore - Adelaide'!F475&lt;&gt;0,ISNUMBER(SEARCH("Material 0 terverifikasi",'Onshore - Adelaide'!M475))),OR('Onshore - Adelaide'!G475&lt;&gt;0,ISNUMBER(SEARCH("Enrolment 0 terverifikasi",'Onshore - Adelaide'!M475)))),1,0)</f>
        <v>1</v>
      </c>
      <c r="M231" s="0" t="n">
        <f aca="false">IF(OR('Onshore - Adelaide'!E475="",ISNUMBER(SEARCH("BSB80120",'Onshore - Adelaide'!B475&amp;'Onshore - Adelaide'!M475)),ISNUMBER(SEARCH("Management (Learning)",'Onshore - Adelaide'!B475))),2,IF(ISNUMBER(SEARCH("CEK:",'Onshore - Adelaide'!M475)),1,0))</f>
        <v>1</v>
      </c>
    </row>
    <row r="232" customFormat="false" ht="15" hidden="false" customHeight="false" outlineLevel="0" collapsed="false">
      <c r="A232" s="63" t="s">
        <v>3659</v>
      </c>
      <c r="B232" s="64" t="s">
        <v>3833</v>
      </c>
      <c r="C232" s="63" t="s">
        <v>42</v>
      </c>
      <c r="D232" s="64" t="str">
        <f aca="false">TRIM(LEFT('Onshore - Adelaide'!A483,FIND(CHAR(10),'Onshore - Adelaide'!A483&amp;CHAR(10))-1))</f>
        <v>Sydney City College of Management</v>
      </c>
      <c r="E232" s="63" t="str">
        <f aca="false">'Onshore - Adelaide'!C483&amp;""</f>
        <v>2 years</v>
      </c>
      <c r="F232" s="63" t="str">
        <f aca="false">IF('Onshore - Adelaide'!D483="","Belum tercatat",'Onshore - Adelaide'!D483)</f>
        <v>Term</v>
      </c>
      <c r="G232" s="65" t="n">
        <f aca="false">IF('Onshore - Adelaide'!E483="","-",'Onshore - Adelaide'!E483)</f>
        <v>2700</v>
      </c>
      <c r="H232" s="63" t="n">
        <f aca="false">IF(ISNUMBER(K232),COUNTIFS($J$6:$J$1916,J232,$K$6:$K$1916,"&lt;"&amp;K232)+1,"-")</f>
        <v>8</v>
      </c>
      <c r="I232" s="64" t="str">
        <f aca="false">IF('Onshore - Adelaide'!E483="","Harga belum tersedia - hubungi konsultan TEG",IF(M232=2,"Saat ini tidak menerima pendaftaran siswa internasional baru",IF(M232=1,"Harga perlu dikonfirmasi ke sekolah"&amp;IF(""="","","; "&amp;""),"")))</f>
        <v/>
      </c>
      <c r="J232" s="0" t="s">
        <v>3838</v>
      </c>
      <c r="K232" s="0" t="n">
        <f aca="false">IF(M232=2,"",IF(ISNUMBER(SEARCH("rata-rata:",'Onshore - Adelaide'!M483)),VALUE(MID('Onshore - Adelaide'!M483,SEARCH("rata-rata:",'Onshore - Adelaide'!M483)+11,FIND(";",'Onshore - Adelaide'!M483&amp;";",SEARCH("rata-rata:",'Onshore - Adelaide'!M483))-SEARCH("rata-rata:",'Onshore - Adelaide'!M483)-11)),IF('Onshore - Adelaide'!D483="Semester",'Onshore - Adelaide'!E483*2,IF('Onshore - Adelaide'!D483="Trimester",'Onshore - Adelaide'!E483*3,IF('Onshore - Adelaide'!D483="Term",'Onshore - Adelaide'!E483*4,IF('Onshore - Adelaide'!D483="Unit",'Onshore - Adelaide'!E483*8,""))))))</f>
        <v>10800</v>
      </c>
      <c r="L232" s="0" t="n">
        <f aca="false">IF(AND(ISNUMBER('Onshore - Adelaide'!E483),ISNUMBER(K232),ISNUMBER('Onshore - Adelaide'!F483),ISNUMBER('Onshore - Adelaide'!G483),OR('Onshore - Adelaide'!F483&lt;&gt;0,ISNUMBER(SEARCH("Material 0 terverifikasi",'Onshore - Adelaide'!M483))),OR('Onshore - Adelaide'!G483&lt;&gt;0,ISNUMBER(SEARCH("Enrolment 0 terverifikasi",'Onshore - Adelaide'!M483)))),1,0)</f>
        <v>1</v>
      </c>
      <c r="M232" s="0" t="n">
        <f aca="false">IF(OR('Onshore - Adelaide'!E483="",ISNUMBER(SEARCH("BSB80120",'Onshore - Adelaide'!B483&amp;'Onshore - Adelaide'!M483)),ISNUMBER(SEARCH("Management (Learning)",'Onshore - Adelaide'!B483))),2,IF(ISNUMBER(SEARCH("CEK:",'Onshore - Adelaide'!M483)),1,0))</f>
        <v>0</v>
      </c>
    </row>
    <row r="233" customFormat="false" ht="15" hidden="false" customHeight="false" outlineLevel="0" collapsed="false">
      <c r="A233" s="61" t="s">
        <v>3839</v>
      </c>
      <c r="B233" s="62"/>
      <c r="C233" s="62"/>
      <c r="D233" s="62"/>
      <c r="E233" s="62"/>
      <c r="F233" s="62"/>
      <c r="G233" s="62"/>
      <c r="H233" s="62"/>
      <c r="I233" s="62"/>
    </row>
    <row r="234" customFormat="false" ht="15" hidden="false" customHeight="false" outlineLevel="0" collapsed="false">
      <c r="A234" s="63" t="s">
        <v>3659</v>
      </c>
      <c r="B234" s="64" t="s">
        <v>3833</v>
      </c>
      <c r="C234" s="63" t="s">
        <v>43</v>
      </c>
      <c r="D234" s="64" t="str">
        <f aca="false">TRIM(LEFT('Onshore - Adelaide'!A545,FIND(CHAR(10),'Onshore - Adelaide'!A545&amp;CHAR(10))-1))</f>
        <v>Torrens University Australia</v>
      </c>
      <c r="E234" s="63" t="str">
        <f aca="false">'Onshore - Adelaide'!C546&amp;""</f>
        <v>3 years</v>
      </c>
      <c r="F234" s="63" t="str">
        <f aca="false">IF('Onshore - Adelaide'!D546="","Belum tercatat",'Onshore - Adelaide'!D546)</f>
        <v>Term</v>
      </c>
      <c r="G234" s="65" t="n">
        <f aca="false">IF('Onshore - Adelaide'!E546="","-",'Onshore - Adelaide'!E546)</f>
        <v>7900</v>
      </c>
      <c r="H234" s="63" t="n">
        <f aca="false">IF(ISNUMBER(K234),COUNTIFS($J$6:$J$1916,J234,$K$6:$K$1916,"&lt;"&amp;K234)+1,"-")</f>
        <v>1</v>
      </c>
      <c r="I234" s="64" t="str">
        <f aca="false">IF('Onshore - Adelaide'!E546="","Harga belum tersedia - hubungi konsultan TEG",IF(M234=2,"Saat ini tidak menerima pendaftaran siswa internasional baru",IF(M234=1,"Harga perlu dikonfirmasi ke sekolah"&amp;IF(""="","","; "&amp;""),"")))</f>
        <v/>
      </c>
      <c r="J234" s="0" t="s">
        <v>3840</v>
      </c>
      <c r="K234" s="0" t="n">
        <f aca="false">IF(M234=2,"",IF(ISNUMBER(SEARCH("rata-rata:",'Onshore - Adelaide'!M546)),VALUE(MID('Onshore - Adelaide'!M546,SEARCH("rata-rata:",'Onshore - Adelaide'!M546)+11,FIND(";",'Onshore - Adelaide'!M546&amp;";",SEARCH("rata-rata:",'Onshore - Adelaide'!M546))-SEARCH("rata-rata:",'Onshore - Adelaide'!M546)-11)),IF('Onshore - Adelaide'!D546="Semester",'Onshore - Adelaide'!E546*2,IF('Onshore - Adelaide'!D546="Trimester",'Onshore - Adelaide'!E546*3,IF('Onshore - Adelaide'!D546="Term",'Onshore - Adelaide'!E546*4,IF('Onshore - Adelaide'!D546="Unit",'Onshore - Adelaide'!E546*8,""))))))</f>
        <v>31600</v>
      </c>
      <c r="L234" s="0" t="n">
        <f aca="false">IF(AND(ISNUMBER('Onshore - Adelaide'!E546),ISNUMBER(K234),ISNUMBER('Onshore - Adelaide'!F546),ISNUMBER('Onshore - Adelaide'!G546),OR('Onshore - Adelaide'!F546&lt;&gt;0,ISNUMBER(SEARCH("Material 0 terverifikasi",'Onshore - Adelaide'!M546))),OR('Onshore - Adelaide'!G546&lt;&gt;0,ISNUMBER(SEARCH("Enrolment 0 terverifikasi",'Onshore - Adelaide'!M546)))),1,0)</f>
        <v>0</v>
      </c>
      <c r="M234" s="0" t="n">
        <f aca="false">IF(OR('Onshore - Adelaide'!E546="",ISNUMBER(SEARCH("BSB80120",'Onshore - Adelaide'!B546&amp;'Onshore - Adelaide'!M546)),ISNUMBER(SEARCH("Management (Learning)",'Onshore - Adelaide'!B546))),2,IF(ISNUMBER(SEARCH("CEK:",'Onshore - Adelaide'!M546)),1,0))</f>
        <v>0</v>
      </c>
    </row>
    <row r="235" customFormat="false" ht="15" hidden="false" customHeight="false" outlineLevel="0" collapsed="false">
      <c r="A235" s="63" t="s">
        <v>3659</v>
      </c>
      <c r="B235" s="64" t="s">
        <v>3833</v>
      </c>
      <c r="C235" s="63" t="s">
        <v>43</v>
      </c>
      <c r="D235" s="64" t="str">
        <f aca="false">TRIM(LEFT('Onshore - Adelaide'!A444,FIND(CHAR(10),'Onshore - Adelaide'!A444&amp;CHAR(10))-1))</f>
        <v>Kaplan Business School</v>
      </c>
      <c r="E235" s="63" t="str">
        <f aca="false">'Onshore - Adelaide'!C445&amp;""</f>
        <v>3 years</v>
      </c>
      <c r="F235" s="63" t="str">
        <f aca="false">IF('Onshore - Adelaide'!D445="","Belum tercatat",'Onshore - Adelaide'!D445)</f>
        <v>Trimester</v>
      </c>
      <c r="G235" s="65" t="n">
        <f aca="false">IF('Onshore - Adelaide'!E445="","-",'Onshore - Adelaide'!E445)</f>
        <v>11520</v>
      </c>
      <c r="H235" s="63" t="n">
        <f aca="false">IF(ISNUMBER(K235),COUNTIFS($J$6:$J$1916,J235,$K$6:$K$1916,"&lt;"&amp;K235)+1,"-")</f>
        <v>2</v>
      </c>
      <c r="I235" s="64" t="str">
        <f aca="false">IF('Onshore - Adelaide'!E445="","Harga belum tersedia - hubungi konsultan TEG",IF(M235=2,"Saat ini tidak menerima pendaftaran siswa internasional baru",IF(M235=1,"Harga perlu dikonfirmasi ke sekolah"&amp;IF(""="","","; "&amp;""),"")))</f>
        <v>Harga perlu dikonfirmasi ke sekolah</v>
      </c>
      <c r="J235" s="0" t="s">
        <v>3840</v>
      </c>
      <c r="K235" s="0" t="n">
        <f aca="false">IF(M235=2,"",IF(ISNUMBER(SEARCH("rata-rata:",'Onshore - Adelaide'!M445)),VALUE(MID('Onshore - Adelaide'!M445,SEARCH("rata-rata:",'Onshore - Adelaide'!M445)+11,FIND(";",'Onshore - Adelaide'!M445&amp;";",SEARCH("rata-rata:",'Onshore - Adelaide'!M445))-SEARCH("rata-rata:",'Onshore - Adelaide'!M445)-11)),IF('Onshore - Adelaide'!D445="Semester",'Onshore - Adelaide'!E445*2,IF('Onshore - Adelaide'!D445="Trimester",'Onshore - Adelaide'!E445*3,IF('Onshore - Adelaide'!D445="Term",'Onshore - Adelaide'!E445*4,IF('Onshore - Adelaide'!D445="Unit",'Onshore - Adelaide'!E445*8,""))))))</f>
        <v>34560</v>
      </c>
      <c r="L235" s="0" t="n">
        <f aca="false">IF(AND(ISNUMBER('Onshore - Adelaide'!E445),ISNUMBER(K235),ISNUMBER('Onshore - Adelaide'!F445),ISNUMBER('Onshore - Adelaide'!G445),OR('Onshore - Adelaide'!F445&lt;&gt;0,ISNUMBER(SEARCH("Material 0 terverifikasi",'Onshore - Adelaide'!M445))),OR('Onshore - Adelaide'!G445&lt;&gt;0,ISNUMBER(SEARCH("Enrolment 0 terverifikasi",'Onshore - Adelaide'!M445)))),1,0)</f>
        <v>1</v>
      </c>
      <c r="M235" s="0" t="n">
        <f aca="false">IF(OR('Onshore - Adelaide'!E445="",ISNUMBER(SEARCH("BSB80120",'Onshore - Adelaide'!B445&amp;'Onshore - Adelaide'!M445)),ISNUMBER(SEARCH("Management (Learning)",'Onshore - Adelaide'!B445))),2,IF(ISNUMBER(SEARCH("CEK:",'Onshore - Adelaide'!M445)),1,0))</f>
        <v>1</v>
      </c>
    </row>
    <row r="236" customFormat="false" ht="15" hidden="false" customHeight="false" outlineLevel="0" collapsed="false">
      <c r="A236" s="63" t="s">
        <v>3659</v>
      </c>
      <c r="B236" s="64" t="s">
        <v>3833</v>
      </c>
      <c r="C236" s="63" t="s">
        <v>43</v>
      </c>
      <c r="D236" s="64" t="str">
        <f aca="false">TRIM(LEFT('Onshore - Adelaide'!A15,FIND(CHAR(10),'Onshore - Adelaide'!A15&amp;CHAR(10))-1))</f>
        <v>Adelaide University</v>
      </c>
      <c r="E236" s="63" t="str">
        <f aca="false">'Onshore - Adelaide'!C142&amp;""</f>
        <v>3 years</v>
      </c>
      <c r="F236" s="63" t="str">
        <f aca="false">IF('Onshore - Adelaide'!D142="","Belum tercatat",'Onshore - Adelaide'!D142)</f>
        <v>Term</v>
      </c>
      <c r="G236" s="65" t="n">
        <f aca="false">IF('Onshore - Adelaide'!E142="","-",'Onshore - Adelaide'!E142)</f>
        <v>10850</v>
      </c>
      <c r="H236" s="63" t="n">
        <f aca="false">IF(ISNUMBER(K236),COUNTIFS($J$6:$J$1916,J236,$K$6:$K$1916,"&lt;"&amp;K236)+1,"-")</f>
        <v>3</v>
      </c>
      <c r="I236" s="64" t="str">
        <f aca="false">IF('Onshore - Adelaide'!E142="","Harga belum tersedia - hubungi konsultan TEG",IF(M236=2,"Saat ini tidak menerima pendaftaran siswa internasional baru",IF(M236=1,"Harga perlu dikonfirmasi ke sekolah"&amp;IF(""="","","; "&amp;""),"")))</f>
        <v/>
      </c>
      <c r="J236" s="0" t="s">
        <v>3840</v>
      </c>
      <c r="K236" s="0" t="n">
        <f aca="false">IF(M236=2,"",IF(ISNUMBER(SEARCH("rata-rata:",'Onshore - Adelaide'!M142)),VALUE(MID('Onshore - Adelaide'!M142,SEARCH("rata-rata:",'Onshore - Adelaide'!M142)+11,FIND(";",'Onshore - Adelaide'!M142&amp;";",SEARCH("rata-rata:",'Onshore - Adelaide'!M142))-SEARCH("rata-rata:",'Onshore - Adelaide'!M142)-11)),IF('Onshore - Adelaide'!D142="Semester",'Onshore - Adelaide'!E142*2,IF('Onshore - Adelaide'!D142="Trimester",'Onshore - Adelaide'!E142*3,IF('Onshore - Adelaide'!D142="Term",'Onshore - Adelaide'!E142*4,IF('Onshore - Adelaide'!D142="Unit",'Onshore - Adelaide'!E142*8,""))))))</f>
        <v>43400</v>
      </c>
      <c r="L236" s="0" t="n">
        <f aca="false">IF(AND(ISNUMBER('Onshore - Adelaide'!E142),ISNUMBER(K236),ISNUMBER('Onshore - Adelaide'!F142),ISNUMBER('Onshore - Adelaide'!G142),OR('Onshore - Adelaide'!F142&lt;&gt;0,ISNUMBER(SEARCH("Material 0 terverifikasi",'Onshore - Adelaide'!M142))),OR('Onshore - Adelaide'!G142&lt;&gt;0,ISNUMBER(SEARCH("Enrolment 0 terverifikasi",'Onshore - Adelaide'!M142)))),1,0)</f>
        <v>0</v>
      </c>
      <c r="M236" s="0" t="n">
        <f aca="false">IF(OR('Onshore - Adelaide'!E142="",ISNUMBER(SEARCH("BSB80120",'Onshore - Adelaide'!B142&amp;'Onshore - Adelaide'!M142)),ISNUMBER(SEARCH("Management (Learning)",'Onshore - Adelaide'!B142))),2,IF(ISNUMBER(SEARCH("CEK:",'Onshore - Adelaide'!M142)),1,0))</f>
        <v>0</v>
      </c>
    </row>
    <row r="237" customFormat="false" ht="15" hidden="false" customHeight="false" outlineLevel="0" collapsed="false">
      <c r="A237" s="61" t="s">
        <v>3841</v>
      </c>
      <c r="B237" s="62"/>
      <c r="C237" s="62"/>
      <c r="D237" s="62"/>
      <c r="E237" s="62"/>
      <c r="F237" s="62"/>
      <c r="G237" s="62"/>
      <c r="H237" s="62"/>
      <c r="I237" s="62"/>
    </row>
    <row r="238" customFormat="false" ht="15" hidden="false" customHeight="false" outlineLevel="0" collapsed="false">
      <c r="A238" s="63" t="s">
        <v>3659</v>
      </c>
      <c r="B238" s="64" t="s">
        <v>3833</v>
      </c>
      <c r="C238" s="63" t="s">
        <v>3707</v>
      </c>
      <c r="D238" s="64" t="str">
        <f aca="false">TRIM(LEFT('Onshore - Adelaide'!A545,FIND(CHAR(10),'Onshore - Adelaide'!A545&amp;CHAR(10))-1))</f>
        <v>Torrens University Australia</v>
      </c>
      <c r="E238" s="63" t="str">
        <f aca="false">'Onshore - Adelaide'!C554&amp;""</f>
        <v>0,5 year</v>
      </c>
      <c r="F238" s="63" t="str">
        <f aca="false">IF('Onshore - Adelaide'!D554="","Belum tercatat",'Onshore - Adelaide'!D554)</f>
        <v>Term</v>
      </c>
      <c r="G238" s="65" t="n">
        <f aca="false">IF('Onshore - Adelaide'!E554="","-",'Onshore - Adelaide'!E554)</f>
        <v>4500</v>
      </c>
      <c r="H238" s="63" t="n">
        <f aca="false">IF(ISNUMBER(K238),COUNTIFS($J$6:$J$1916,J238,$K$6:$K$1916,"&lt;"&amp;K238)+1,"-")</f>
        <v>1</v>
      </c>
      <c r="I238" s="64" t="str">
        <f aca="false">IF('Onshore - Adelaide'!E554="","Harga belum tersedia - hubungi konsultan TEG",IF(M238=2,"Saat ini tidak menerima pendaftaran siswa internasional baru",IF(M238=1,"Harga perlu dikonfirmasi ke sekolah"&amp;IF(""="","","; "&amp;""),"")))</f>
        <v/>
      </c>
      <c r="J238" s="0" t="s">
        <v>3842</v>
      </c>
      <c r="K238" s="0" t="n">
        <f aca="false">IF(M238=2,"",IF(ISNUMBER(SEARCH("rata-rata:",'Onshore - Adelaide'!M554)),VALUE(MID('Onshore - Adelaide'!M554,SEARCH("rata-rata:",'Onshore - Adelaide'!M554)+11,FIND(";",'Onshore - Adelaide'!M554&amp;";",SEARCH("rata-rata:",'Onshore - Adelaide'!M554))-SEARCH("rata-rata:",'Onshore - Adelaide'!M554)-11)),IF('Onshore - Adelaide'!D554="Semester",'Onshore - Adelaide'!E554*2,IF('Onshore - Adelaide'!D554="Trimester",'Onshore - Adelaide'!E554*3,IF('Onshore - Adelaide'!D554="Term",'Onshore - Adelaide'!E554*4,IF('Onshore - Adelaide'!D554="Unit",'Onshore - Adelaide'!E554*8,""))))))</f>
        <v>18000</v>
      </c>
      <c r="L238" s="0" t="n">
        <f aca="false">IF(AND(ISNUMBER('Onshore - Adelaide'!E554),ISNUMBER(K238),ISNUMBER('Onshore - Adelaide'!F554),ISNUMBER('Onshore - Adelaide'!G554),OR('Onshore - Adelaide'!F554&lt;&gt;0,ISNUMBER(SEARCH("Material 0 terverifikasi",'Onshore - Adelaide'!M554))),OR('Onshore - Adelaide'!G554&lt;&gt;0,ISNUMBER(SEARCH("Enrolment 0 terverifikasi",'Onshore - Adelaide'!M554)))),1,0)</f>
        <v>0</v>
      </c>
      <c r="M238" s="0" t="n">
        <f aca="false">IF(OR('Onshore - Adelaide'!E554="",ISNUMBER(SEARCH("BSB80120",'Onshore - Adelaide'!B554&amp;'Onshore - Adelaide'!M554)),ISNUMBER(SEARCH("Management (Learning)",'Onshore - Adelaide'!B554))),2,IF(ISNUMBER(SEARCH("CEK:",'Onshore - Adelaide'!M554)),1,0))</f>
        <v>0</v>
      </c>
    </row>
    <row r="239" customFormat="false" ht="15" hidden="false" customHeight="false" outlineLevel="0" collapsed="false">
      <c r="A239" s="63" t="s">
        <v>3659</v>
      </c>
      <c r="B239" s="64" t="s">
        <v>3833</v>
      </c>
      <c r="C239" s="63" t="s">
        <v>3707</v>
      </c>
      <c r="D239" s="64" t="str">
        <f aca="false">TRIM(LEFT('Onshore - Adelaide'!A444,FIND(CHAR(10),'Onshore - Adelaide'!A444&amp;CHAR(10))-1))</f>
        <v>Kaplan Business School</v>
      </c>
      <c r="E239" s="63" t="str">
        <f aca="false">'Onshore - Adelaide'!C446&amp;""</f>
        <v>0,5 year</v>
      </c>
      <c r="F239" s="63" t="str">
        <f aca="false">IF('Onshore - Adelaide'!D446="","Belum tercatat",'Onshore - Adelaide'!D446)</f>
        <v>Trimester</v>
      </c>
      <c r="G239" s="65" t="n">
        <f aca="false">IF('Onshore - Adelaide'!E446="","-",'Onshore - Adelaide'!E446)</f>
        <v>19640</v>
      </c>
      <c r="H239" s="63" t="n">
        <f aca="false">IF(ISNUMBER(K239),COUNTIFS($J$6:$J$1916,J239,$K$6:$K$1916,"&lt;"&amp;K239)+1,"-")</f>
        <v>2</v>
      </c>
      <c r="I239" s="64" t="str">
        <f aca="false">IF('Onshore - Adelaide'!E446="","Harga belum tersedia - hubungi konsultan TEG",IF(M239=2,"Saat ini tidak menerima pendaftaran siswa internasional baru",IF(M239=1,"Harga perlu dikonfirmasi ke sekolah"&amp;IF(""="","","; "&amp;""),"")))</f>
        <v>Harga perlu dikonfirmasi ke sekolah</v>
      </c>
      <c r="J239" s="0" t="s">
        <v>3842</v>
      </c>
      <c r="K239" s="0" t="n">
        <f aca="false">IF(M239=2,"",IF(ISNUMBER(SEARCH("rata-rata:",'Onshore - Adelaide'!M446)),VALUE(MID('Onshore - Adelaide'!M446,SEARCH("rata-rata:",'Onshore - Adelaide'!M446)+11,FIND(";",'Onshore - Adelaide'!M446&amp;";",SEARCH("rata-rata:",'Onshore - Adelaide'!M446))-SEARCH("rata-rata:",'Onshore - Adelaide'!M446)-11)),IF('Onshore - Adelaide'!D446="Semester",'Onshore - Adelaide'!E446*2,IF('Onshore - Adelaide'!D446="Trimester",'Onshore - Adelaide'!E446*3,IF('Onshore - Adelaide'!D446="Term",'Onshore - Adelaide'!E446*4,IF('Onshore - Adelaide'!D446="Unit",'Onshore - Adelaide'!E446*8,""))))))</f>
        <v>58920</v>
      </c>
      <c r="L239" s="0" t="n">
        <f aca="false">IF(AND(ISNUMBER('Onshore - Adelaide'!E446),ISNUMBER(K239),ISNUMBER('Onshore - Adelaide'!F446),ISNUMBER('Onshore - Adelaide'!G446),OR('Onshore - Adelaide'!F446&lt;&gt;0,ISNUMBER(SEARCH("Material 0 terverifikasi",'Onshore - Adelaide'!M446))),OR('Onshore - Adelaide'!G446&lt;&gt;0,ISNUMBER(SEARCH("Enrolment 0 terverifikasi",'Onshore - Adelaide'!M446)))),1,0)</f>
        <v>1</v>
      </c>
      <c r="M239" s="0" t="n">
        <f aca="false">IF(OR('Onshore - Adelaide'!E446="",ISNUMBER(SEARCH("BSB80120",'Onshore - Adelaide'!B446&amp;'Onshore - Adelaide'!M446)),ISNUMBER(SEARCH("Management (Learning)",'Onshore - Adelaide'!B446))),2,IF(ISNUMBER(SEARCH("CEK:",'Onshore - Adelaide'!M446)),1,0))</f>
        <v>1</v>
      </c>
    </row>
    <row r="240" customFormat="false" ht="15" hidden="false" customHeight="false" outlineLevel="0" collapsed="false">
      <c r="A240" s="61" t="s">
        <v>3843</v>
      </c>
      <c r="B240" s="62"/>
      <c r="C240" s="62"/>
      <c r="D240" s="62"/>
      <c r="E240" s="62"/>
      <c r="F240" s="62"/>
      <c r="G240" s="62"/>
      <c r="H240" s="62"/>
      <c r="I240" s="62"/>
    </row>
    <row r="241" customFormat="false" ht="28.35" hidden="false" customHeight="false" outlineLevel="0" collapsed="false">
      <c r="A241" s="63" t="s">
        <v>3659</v>
      </c>
      <c r="B241" s="64" t="s">
        <v>3833</v>
      </c>
      <c r="C241" s="63" t="s">
        <v>46</v>
      </c>
      <c r="D241" s="64" t="str">
        <f aca="false">TRIM(LEFT('Onshore - Adelaide'!A419,FIND(CHAR(10),'Onshore - Adelaide'!A419&amp;CHAR(10))-1))</f>
        <v>Australian Institute of Advanced Technologies (AIAT)</v>
      </c>
      <c r="E241" s="63" t="str">
        <f aca="false">'Onshore - Adelaide'!C419&amp;""</f>
        <v>2 years</v>
      </c>
      <c r="F241" s="63" t="str">
        <f aca="false">IF('Onshore - Adelaide'!D419="","Belum tercatat",'Onshore - Adelaide'!D419)</f>
        <v>Term</v>
      </c>
      <c r="G241" s="65" t="n">
        <f aca="false">IF('Onshore - Adelaide'!E419="","-",'Onshore - Adelaide'!E419)</f>
        <v>3500</v>
      </c>
      <c r="H241" s="63" t="n">
        <f aca="false">IF(ISNUMBER(K241),COUNTIFS($J$6:$J$1916,J241,$K$6:$K$1916,"&lt;"&amp;K241)+1,"-")</f>
        <v>1</v>
      </c>
      <c r="I241" s="64" t="str">
        <f aca="false">IF('Onshore - Adelaide'!E419="","Harga belum tersedia - hubungi konsultan TEG",IF(M241=2,"Saat ini tidak menerima pendaftaran siswa internasional baru",IF(M241=1,"Harga perlu dikonfirmasi ke sekolah"&amp;IF(""="","","; "&amp;""),"")))</f>
        <v/>
      </c>
      <c r="J241" s="0" t="s">
        <v>3844</v>
      </c>
      <c r="K241" s="0" t="n">
        <f aca="false">IF(M241=2,"",IF(ISNUMBER(SEARCH("rata-rata:",'Onshore - Adelaide'!M419)),VALUE(MID('Onshore - Adelaide'!M419,SEARCH("rata-rata:",'Onshore - Adelaide'!M419)+11,FIND(";",'Onshore - Adelaide'!M419&amp;";",SEARCH("rata-rata:",'Onshore - Adelaide'!M419))-SEARCH("rata-rata:",'Onshore - Adelaide'!M419)-11)),IF('Onshore - Adelaide'!D419="Semester",'Onshore - Adelaide'!E419*2,IF('Onshore - Adelaide'!D419="Trimester",'Onshore - Adelaide'!E419*3,IF('Onshore - Adelaide'!D419="Term",'Onshore - Adelaide'!E419*4,IF('Onshore - Adelaide'!D419="Unit",'Onshore - Adelaide'!E419*8,""))))))</f>
        <v>14000</v>
      </c>
      <c r="L241" s="0" t="n">
        <f aca="false">IF(AND(ISNUMBER('Onshore - Adelaide'!E419),ISNUMBER(K241),ISNUMBER('Onshore - Adelaide'!F419),ISNUMBER('Onshore - Adelaide'!G419),OR('Onshore - Adelaide'!F419&lt;&gt;0,ISNUMBER(SEARCH("Material 0 terverifikasi",'Onshore - Adelaide'!M419))),OR('Onshore - Adelaide'!G419&lt;&gt;0,ISNUMBER(SEARCH("Enrolment 0 terverifikasi",'Onshore - Adelaide'!M419)))),1,0)</f>
        <v>0</v>
      </c>
      <c r="M241" s="0" t="n">
        <f aca="false">IF(OR('Onshore - Adelaide'!E419="",ISNUMBER(SEARCH("BSB80120",'Onshore - Adelaide'!B419&amp;'Onshore - Adelaide'!M419)),ISNUMBER(SEARCH("Management (Learning)",'Onshore - Adelaide'!B419))),2,IF(ISNUMBER(SEARCH("CEK:",'Onshore - Adelaide'!M419)),1,0))</f>
        <v>0</v>
      </c>
    </row>
    <row r="242" customFormat="false" ht="15" hidden="false" customHeight="false" outlineLevel="0" collapsed="false">
      <c r="A242" s="63" t="s">
        <v>3659</v>
      </c>
      <c r="B242" s="64" t="s">
        <v>3833</v>
      </c>
      <c r="C242" s="63" t="s">
        <v>46</v>
      </c>
      <c r="D242" s="64" t="str">
        <f aca="false">TRIM(LEFT('Onshore - Adelaide'!A545,FIND(CHAR(10),'Onshore - Adelaide'!A545&amp;CHAR(10))-1))</f>
        <v>Torrens University Australia</v>
      </c>
      <c r="E242" s="63" t="str">
        <f aca="false">'Onshore - Adelaide'!C556&amp;""</f>
        <v>1,5 years</v>
      </c>
      <c r="F242" s="63" t="str">
        <f aca="false">IF('Onshore - Adelaide'!D556="","Belum tercatat",'Onshore - Adelaide'!D556)</f>
        <v>Term</v>
      </c>
      <c r="G242" s="65" t="n">
        <f aca="false">IF('Onshore - Adelaide'!E556="","-",'Onshore - Adelaide'!E556)</f>
        <v>9000</v>
      </c>
      <c r="H242" s="63" t="n">
        <f aca="false">IF(ISNUMBER(K242),COUNTIFS($J$6:$J$1916,J242,$K$6:$K$1916,"&lt;"&amp;K242)+1,"-")</f>
        <v>2</v>
      </c>
      <c r="I242" s="64" t="str">
        <f aca="false">IF('Onshore - Adelaide'!E556="","Harga belum tersedia - hubungi konsultan TEG",IF(M242=2,"Saat ini tidak menerima pendaftaran siswa internasional baru",IF(M242=1,"Harga perlu dikonfirmasi ke sekolah"&amp;IF(""="","","; "&amp;""),"")))</f>
        <v/>
      </c>
      <c r="J242" s="0" t="s">
        <v>3844</v>
      </c>
      <c r="K242" s="0" t="n">
        <f aca="false">IF(M242=2,"",IF(ISNUMBER(SEARCH("rata-rata:",'Onshore - Adelaide'!M556)),VALUE(MID('Onshore - Adelaide'!M556,SEARCH("rata-rata:",'Onshore - Adelaide'!M556)+11,FIND(";",'Onshore - Adelaide'!M556&amp;";",SEARCH("rata-rata:",'Onshore - Adelaide'!M556))-SEARCH("rata-rata:",'Onshore - Adelaide'!M556)-11)),IF('Onshore - Adelaide'!D556="Semester",'Onshore - Adelaide'!E556*2,IF('Onshore - Adelaide'!D556="Trimester",'Onshore - Adelaide'!E556*3,IF('Onshore - Adelaide'!D556="Term",'Onshore - Adelaide'!E556*4,IF('Onshore - Adelaide'!D556="Unit",'Onshore - Adelaide'!E556*8,""))))))</f>
        <v>36000</v>
      </c>
      <c r="L242" s="0" t="n">
        <f aca="false">IF(AND(ISNUMBER('Onshore - Adelaide'!E556),ISNUMBER(K242),ISNUMBER('Onshore - Adelaide'!F556),ISNUMBER('Onshore - Adelaide'!G556),OR('Onshore - Adelaide'!F556&lt;&gt;0,ISNUMBER(SEARCH("Material 0 terverifikasi",'Onshore - Adelaide'!M556))),OR('Onshore - Adelaide'!G556&lt;&gt;0,ISNUMBER(SEARCH("Enrolment 0 terverifikasi",'Onshore - Adelaide'!M556)))),1,0)</f>
        <v>0</v>
      </c>
      <c r="M242" s="0" t="n">
        <f aca="false">IF(OR('Onshore - Adelaide'!E556="",ISNUMBER(SEARCH("BSB80120",'Onshore - Adelaide'!B556&amp;'Onshore - Adelaide'!M556)),ISNUMBER(SEARCH("Management (Learning)",'Onshore - Adelaide'!B556))),2,IF(ISNUMBER(SEARCH("CEK:",'Onshore - Adelaide'!M556)),1,0))</f>
        <v>0</v>
      </c>
    </row>
    <row r="243" customFormat="false" ht="15" hidden="false" customHeight="false" outlineLevel="0" collapsed="false">
      <c r="A243" s="63" t="s">
        <v>3659</v>
      </c>
      <c r="B243" s="64" t="s">
        <v>3833</v>
      </c>
      <c r="C243" s="63" t="s">
        <v>46</v>
      </c>
      <c r="D243" s="64" t="str">
        <f aca="false">TRIM(LEFT('Onshore - Adelaide'!A15,FIND(CHAR(10),'Onshore - Adelaide'!A15&amp;CHAR(10))-1))</f>
        <v>Adelaide University</v>
      </c>
      <c r="E243" s="63" t="str">
        <f aca="false">'Onshore - Adelaide'!C333&amp;""</f>
        <v>2 years</v>
      </c>
      <c r="F243" s="63" t="str">
        <f aca="false">IF('Onshore - Adelaide'!D333="","Belum tercatat",'Onshore - Adelaide'!D333)</f>
        <v>Term</v>
      </c>
      <c r="G243" s="65" t="n">
        <f aca="false">IF('Onshore - Adelaide'!E333="","-",'Onshore - Adelaide'!E333)</f>
        <v>11950</v>
      </c>
      <c r="H243" s="63" t="n">
        <f aca="false">IF(ISNUMBER(K243),COUNTIFS($J$6:$J$1916,J243,$K$6:$K$1916,"&lt;"&amp;K243)+1,"-")</f>
        <v>3</v>
      </c>
      <c r="I243" s="64" t="str">
        <f aca="false">IF('Onshore - Adelaide'!E333="","Harga belum tersedia - hubungi konsultan TEG",IF(M243=2,"Saat ini tidak menerima pendaftaran siswa internasional baru",IF(M243=1,"Harga perlu dikonfirmasi ke sekolah"&amp;IF(""="","","; "&amp;""),"")))</f>
        <v/>
      </c>
      <c r="J243" s="0" t="s">
        <v>3844</v>
      </c>
      <c r="K243" s="0" t="n">
        <f aca="false">IF(M243=2,"",IF(ISNUMBER(SEARCH("rata-rata:",'Onshore - Adelaide'!M333)),VALUE(MID('Onshore - Adelaide'!M333,SEARCH("rata-rata:",'Onshore - Adelaide'!M333)+11,FIND(";",'Onshore - Adelaide'!M333&amp;";",SEARCH("rata-rata:",'Onshore - Adelaide'!M333))-SEARCH("rata-rata:",'Onshore - Adelaide'!M333)-11)),IF('Onshore - Adelaide'!D333="Semester",'Onshore - Adelaide'!E333*2,IF('Onshore - Adelaide'!D333="Trimester",'Onshore - Adelaide'!E333*3,IF('Onshore - Adelaide'!D333="Term",'Onshore - Adelaide'!E333*4,IF('Onshore - Adelaide'!D333="Unit",'Onshore - Adelaide'!E333*8,""))))))</f>
        <v>47800</v>
      </c>
      <c r="L243" s="0" t="n">
        <f aca="false">IF(AND(ISNUMBER('Onshore - Adelaide'!E333),ISNUMBER(K243),ISNUMBER('Onshore - Adelaide'!F333),ISNUMBER('Onshore - Adelaide'!G333),OR('Onshore - Adelaide'!F333&lt;&gt;0,ISNUMBER(SEARCH("Material 0 terverifikasi",'Onshore - Adelaide'!M333))),OR('Onshore - Adelaide'!G333&lt;&gt;0,ISNUMBER(SEARCH("Enrolment 0 terverifikasi",'Onshore - Adelaide'!M333)))),1,0)</f>
        <v>0</v>
      </c>
      <c r="M243" s="0" t="n">
        <f aca="false">IF(OR('Onshore - Adelaide'!E333="",ISNUMBER(SEARCH("BSB80120",'Onshore - Adelaide'!B333&amp;'Onshore - Adelaide'!M333)),ISNUMBER(SEARCH("Management (Learning)",'Onshore - Adelaide'!B333))),2,IF(ISNUMBER(SEARCH("CEK:",'Onshore - Adelaide'!M333)),1,0))</f>
        <v>0</v>
      </c>
    </row>
    <row r="244" customFormat="false" ht="15" hidden="false" customHeight="false" outlineLevel="0" collapsed="false">
      <c r="A244" s="63" t="s">
        <v>3659</v>
      </c>
      <c r="B244" s="64" t="s">
        <v>3833</v>
      </c>
      <c r="C244" s="63" t="s">
        <v>46</v>
      </c>
      <c r="D244" s="64" t="str">
        <f aca="false">TRIM(LEFT('Onshore - Adelaide'!A444,FIND(CHAR(10),'Onshore - Adelaide'!A444&amp;CHAR(10))-1))</f>
        <v>Kaplan Business School</v>
      </c>
      <c r="E244" s="63" t="str">
        <f aca="false">'Onshore - Adelaide'!C448&amp;""</f>
        <v>1,5 years</v>
      </c>
      <c r="F244" s="63" t="str">
        <f aca="false">IF('Onshore - Adelaide'!D448="","Belum tercatat",'Onshore - Adelaide'!D448)</f>
        <v>Trimester</v>
      </c>
      <c r="G244" s="65" t="n">
        <f aca="false">IF('Onshore - Adelaide'!E448="","-",'Onshore - Adelaide'!E448)</f>
        <v>19640</v>
      </c>
      <c r="H244" s="63" t="n">
        <f aca="false">IF(ISNUMBER(K244),COUNTIFS($J$6:$J$1916,J244,$K$6:$K$1916,"&lt;"&amp;K244)+1,"-")</f>
        <v>4</v>
      </c>
      <c r="I244" s="64" t="str">
        <f aca="false">IF('Onshore - Adelaide'!E448="","Harga belum tersedia - hubungi konsultan TEG",IF(M244=2,"Saat ini tidak menerima pendaftaran siswa internasional baru",IF(M244=1,"Harga perlu dikonfirmasi ke sekolah"&amp;IF(""="","","; "&amp;""),"")))</f>
        <v>Harga perlu dikonfirmasi ke sekolah</v>
      </c>
      <c r="J244" s="0" t="s">
        <v>3844</v>
      </c>
      <c r="K244" s="0" t="n">
        <f aca="false">IF(M244=2,"",IF(ISNUMBER(SEARCH("rata-rata:",'Onshore - Adelaide'!M448)),VALUE(MID('Onshore - Adelaide'!M448,SEARCH("rata-rata:",'Onshore - Adelaide'!M448)+11,FIND(";",'Onshore - Adelaide'!M448&amp;";",SEARCH("rata-rata:",'Onshore - Adelaide'!M448))-SEARCH("rata-rata:",'Onshore - Adelaide'!M448)-11)),IF('Onshore - Adelaide'!D448="Semester",'Onshore - Adelaide'!E448*2,IF('Onshore - Adelaide'!D448="Trimester",'Onshore - Adelaide'!E448*3,IF('Onshore - Adelaide'!D448="Term",'Onshore - Adelaide'!E448*4,IF('Onshore - Adelaide'!D448="Unit",'Onshore - Adelaide'!E448*8,""))))))</f>
        <v>58920</v>
      </c>
      <c r="L244" s="0" t="n">
        <f aca="false">IF(AND(ISNUMBER('Onshore - Adelaide'!E448),ISNUMBER(K244),ISNUMBER('Onshore - Adelaide'!F448),ISNUMBER('Onshore - Adelaide'!G448),OR('Onshore - Adelaide'!F448&lt;&gt;0,ISNUMBER(SEARCH("Material 0 terverifikasi",'Onshore - Adelaide'!M448))),OR('Onshore - Adelaide'!G448&lt;&gt;0,ISNUMBER(SEARCH("Enrolment 0 terverifikasi",'Onshore - Adelaide'!M448)))),1,0)</f>
        <v>1</v>
      </c>
      <c r="M244" s="0" t="n">
        <f aca="false">IF(OR('Onshore - Adelaide'!E448="",ISNUMBER(SEARCH("BSB80120",'Onshore - Adelaide'!B448&amp;'Onshore - Adelaide'!M448)),ISNUMBER(SEARCH("Management (Learning)",'Onshore - Adelaide'!B448))),2,IF(ISNUMBER(SEARCH("CEK:",'Onshore - Adelaide'!M448)),1,0))</f>
        <v>1</v>
      </c>
    </row>
    <row r="245" customFormat="false" ht="15" hidden="false" customHeight="false" outlineLevel="0" collapsed="false">
      <c r="A245" s="61" t="s">
        <v>3845</v>
      </c>
      <c r="B245" s="62"/>
      <c r="C245" s="62"/>
      <c r="D245" s="62"/>
      <c r="E245" s="62"/>
      <c r="F245" s="62"/>
      <c r="G245" s="62"/>
      <c r="H245" s="62"/>
      <c r="I245" s="62"/>
    </row>
    <row r="246" customFormat="false" ht="15" hidden="false" customHeight="false" outlineLevel="0" collapsed="false">
      <c r="A246" s="63" t="s">
        <v>3563</v>
      </c>
      <c r="B246" s="64" t="s">
        <v>3833</v>
      </c>
      <c r="C246" s="63" t="s">
        <v>41</v>
      </c>
      <c r="D246" s="64" t="str">
        <f aca="false">TRIM(LEFT('Onshore - Brisbane'!A206,FIND(CHAR(10),'Onshore - Brisbane'!A206&amp;CHAR(10))-1))</f>
        <v>Greenwich College</v>
      </c>
      <c r="E246" s="63" t="str">
        <f aca="false">'Onshore - Brisbane'!C210&amp;""</f>
        <v>96 weeks</v>
      </c>
      <c r="F246" s="63" t="str">
        <f aca="false">IF('Onshore - Brisbane'!D210="","Belum tercatat",'Onshore - Brisbane'!D210)</f>
        <v>Term</v>
      </c>
      <c r="G246" s="65" t="n">
        <f aca="false">IF('Onshore - Brisbane'!E210="","-",'Onshore - Brisbane'!E210)</f>
        <v>1250</v>
      </c>
      <c r="H246" s="63" t="n">
        <f aca="false">IF(ISNUMBER(K246),COUNTIFS($J$6:$J$1916,J246,$K$6:$K$1916,"&lt;"&amp;K246)+1,"-")</f>
        <v>1</v>
      </c>
      <c r="I246" s="64" t="str">
        <f aca="false">IF('Onshore - Brisbane'!E210="","Harga belum tersedia - hubungi konsultan TEG",IF(M246=2,"Saat ini tidak menerima pendaftaran siswa internasional baru",IF(M246=1,"Harga perlu dikonfirmasi ke sekolah"&amp;IF(""="","","; "&amp;""),"")))</f>
        <v/>
      </c>
      <c r="J246" s="0" t="s">
        <v>3846</v>
      </c>
      <c r="K246" s="0" t="n">
        <f aca="false">IF(M246=2,"",IF(ISNUMBER(SEARCH("rata-rata:",'Onshore - Brisbane'!M210)),VALUE(MID('Onshore - Brisbane'!M210,SEARCH("rata-rata:",'Onshore - Brisbane'!M210)+11,FIND(";",'Onshore - Brisbane'!M210&amp;";",SEARCH("rata-rata:",'Onshore - Brisbane'!M210))-SEARCH("rata-rata:",'Onshore - Brisbane'!M210)-11)),IF('Onshore - Brisbane'!D210="Semester",'Onshore - Brisbane'!E210*2,IF('Onshore - Brisbane'!D210="Trimester",'Onshore - Brisbane'!E210*3,IF('Onshore - Brisbane'!D210="Term",'Onshore - Brisbane'!E210*4,IF('Onshore - Brisbane'!D210="Unit",'Onshore - Brisbane'!E210*8,""))))))</f>
        <v>5000</v>
      </c>
      <c r="L246" s="0" t="n">
        <f aca="false">IF(AND(ISNUMBER('Onshore - Brisbane'!E210),ISNUMBER(K246),ISNUMBER('Onshore - Brisbane'!F210),ISNUMBER('Onshore - Brisbane'!G210),OR('Onshore - Brisbane'!F210&lt;&gt;0,ISNUMBER(SEARCH("Material 0 terverifikasi",'Onshore - Brisbane'!M210))),OR('Onshore - Brisbane'!G210&lt;&gt;0,ISNUMBER(SEARCH("Enrolment 0 terverifikasi",'Onshore - Brisbane'!M210)))),1,0)</f>
        <v>1</v>
      </c>
      <c r="M246" s="0" t="n">
        <f aca="false">IF(OR('Onshore - Brisbane'!E210="",ISNUMBER(SEARCH("BSB80120",'Onshore - Brisbane'!B210&amp;'Onshore - Brisbane'!M210)),ISNUMBER(SEARCH("Management (Learning)",'Onshore - Brisbane'!B210))),2,IF(ISNUMBER(SEARCH("CEK:",'Onshore - Brisbane'!M210)),1,0))</f>
        <v>0</v>
      </c>
    </row>
    <row r="247" customFormat="false" ht="15" hidden="false" customHeight="false" outlineLevel="0" collapsed="false">
      <c r="A247" s="63" t="s">
        <v>3563</v>
      </c>
      <c r="B247" s="64" t="s">
        <v>3833</v>
      </c>
      <c r="C247" s="63" t="s">
        <v>41</v>
      </c>
      <c r="D247" s="64" t="str">
        <f aca="false">TRIM(LEFT('Onshore - Brisbane'!A161,FIND(CHAR(10),'Onshore - Brisbane'!A161&amp;CHAR(10))-1))</f>
        <v>Australian Skills Management Institute (ASMI)</v>
      </c>
      <c r="E247" s="63" t="str">
        <f aca="false">'Onshore - Brisbane'!C163&amp;""</f>
        <v>1,7 years</v>
      </c>
      <c r="F247" s="63" t="str">
        <f aca="false">IF('Onshore - Brisbane'!D163="","Belum tercatat",'Onshore - Brisbane'!D163)</f>
        <v>Term</v>
      </c>
      <c r="G247" s="65" t="n">
        <f aca="false">IF('Onshore - Brisbane'!E163="","-",'Onshore - Brisbane'!E163)</f>
        <v>1350</v>
      </c>
      <c r="H247" s="63" t="n">
        <f aca="false">IF(ISNUMBER(K247),COUNTIFS($J$6:$J$1916,J247,$K$6:$K$1916,"&lt;"&amp;K247)+1,"-")</f>
        <v>2</v>
      </c>
      <c r="I247" s="64" t="str">
        <f aca="false">IF('Onshore - Brisbane'!E163="","Harga belum tersedia - hubungi konsultan TEG",IF(M247=2,"Saat ini tidak menerima pendaftaran siswa internasional baru",IF(M247=1,"Harga perlu dikonfirmasi ke sekolah"&amp;IF(""="","","; "&amp;""),"")))</f>
        <v/>
      </c>
      <c r="J247" s="0" t="s">
        <v>3846</v>
      </c>
      <c r="K247" s="0" t="n">
        <f aca="false">IF(M247=2,"",IF(ISNUMBER(SEARCH("rata-rata:",'Onshore - Brisbane'!M163)),VALUE(MID('Onshore - Brisbane'!M163,SEARCH("rata-rata:",'Onshore - Brisbane'!M163)+11,FIND(";",'Onshore - Brisbane'!M163&amp;";",SEARCH("rata-rata:",'Onshore - Brisbane'!M163))-SEARCH("rata-rata:",'Onshore - Brisbane'!M163)-11)),IF('Onshore - Brisbane'!D163="Semester",'Onshore - Brisbane'!E163*2,IF('Onshore - Brisbane'!D163="Trimester",'Onshore - Brisbane'!E163*3,IF('Onshore - Brisbane'!D163="Term",'Onshore - Brisbane'!E163*4,IF('Onshore - Brisbane'!D163="Unit",'Onshore - Brisbane'!E163*8,""))))))</f>
        <v>5400</v>
      </c>
      <c r="L247" s="0" t="n">
        <f aca="false">IF(AND(ISNUMBER('Onshore - Brisbane'!E163),ISNUMBER(K247),ISNUMBER('Onshore - Brisbane'!F163),ISNUMBER('Onshore - Brisbane'!G163),OR('Onshore - Brisbane'!F163&lt;&gt;0,ISNUMBER(SEARCH("Material 0 terverifikasi",'Onshore - Brisbane'!M163))),OR('Onshore - Brisbane'!G163&lt;&gt;0,ISNUMBER(SEARCH("Enrolment 0 terverifikasi",'Onshore - Brisbane'!M163)))),1,0)</f>
        <v>1</v>
      </c>
      <c r="M247" s="0" t="n">
        <f aca="false">IF(OR('Onshore - Brisbane'!E163="",ISNUMBER(SEARCH("BSB80120",'Onshore - Brisbane'!B163&amp;'Onshore - Brisbane'!M163)),ISNUMBER(SEARCH("Management (Learning)",'Onshore - Brisbane'!B163))),2,IF(ISNUMBER(SEARCH("CEK:",'Onshore - Brisbane'!M163)),1,0))</f>
        <v>0</v>
      </c>
    </row>
    <row r="248" customFormat="false" ht="15" hidden="false" customHeight="false" outlineLevel="0" collapsed="false">
      <c r="A248" s="63" t="s">
        <v>3563</v>
      </c>
      <c r="B248" s="64" t="s">
        <v>3833</v>
      </c>
      <c r="C248" s="63" t="s">
        <v>41</v>
      </c>
      <c r="D248" s="64" t="str">
        <f aca="false">TRIM(LEFT('Onshore - Brisbane'!A244,FIND(CHAR(10),'Onshore - Brisbane'!A244&amp;CHAR(10))-1))</f>
        <v>Imperial Institute of Sydney (IIS)</v>
      </c>
      <c r="E248" s="63" t="str">
        <f aca="false">'Onshore - Brisbane'!C248&amp;""</f>
        <v>1 year</v>
      </c>
      <c r="F248" s="63" t="str">
        <f aca="false">IF('Onshore - Brisbane'!D248="","Belum tercatat",'Onshore - Brisbane'!D248)</f>
        <v>Term</v>
      </c>
      <c r="G248" s="65" t="n">
        <f aca="false">IF('Onshore - Brisbane'!E248="","-",'Onshore - Brisbane'!E248)</f>
        <v>1350</v>
      </c>
      <c r="H248" s="63" t="n">
        <f aca="false">IF(ISNUMBER(K248),COUNTIFS($J$6:$J$1916,J248,$K$6:$K$1916,"&lt;"&amp;K248)+1,"-")</f>
        <v>2</v>
      </c>
      <c r="I248" s="64" t="str">
        <f aca="false">IF('Onshore - Brisbane'!E248="","Harga belum tersedia - hubungi konsultan TEG",IF(M248=2,"Saat ini tidak menerima pendaftaran siswa internasional baru",IF(M248=1,"Program perlu dikonfirmasi ketersediaannya"&amp;IF(""="","","; "&amp;""),"")))</f>
        <v>Program perlu dikonfirmasi ketersediaannya</v>
      </c>
      <c r="J248" s="0" t="s">
        <v>3846</v>
      </c>
      <c r="K248" s="0" t="n">
        <f aca="false">IF(M248=2,"",IF(ISNUMBER(SEARCH("rata-rata:",'Onshore - Brisbane'!M248)),VALUE(MID('Onshore - Brisbane'!M248,SEARCH("rata-rata:",'Onshore - Brisbane'!M248)+11,FIND(";",'Onshore - Brisbane'!M248&amp;";",SEARCH("rata-rata:",'Onshore - Brisbane'!M248))-SEARCH("rata-rata:",'Onshore - Brisbane'!M248)-11)),IF('Onshore - Brisbane'!D248="Semester",'Onshore - Brisbane'!E248*2,IF('Onshore - Brisbane'!D248="Trimester",'Onshore - Brisbane'!E248*3,IF('Onshore - Brisbane'!D248="Term",'Onshore - Brisbane'!E248*4,IF('Onshore - Brisbane'!D248="Unit",'Onshore - Brisbane'!E248*8,""))))))</f>
        <v>5400</v>
      </c>
      <c r="L248" s="0" t="n">
        <f aca="false">IF(AND(ISNUMBER('Onshore - Brisbane'!E248),ISNUMBER(K248),ISNUMBER('Onshore - Brisbane'!F248),ISNUMBER('Onshore - Brisbane'!G248),OR('Onshore - Brisbane'!F248&lt;&gt;0,ISNUMBER(SEARCH("Material 0 terverifikasi",'Onshore - Brisbane'!M248))),OR('Onshore - Brisbane'!G248&lt;&gt;0,ISNUMBER(SEARCH("Enrolment 0 terverifikasi",'Onshore - Brisbane'!M248)))),1,0)</f>
        <v>0</v>
      </c>
      <c r="M248" s="0" t="n">
        <f aca="false">IF(OR('Onshore - Brisbane'!E248="",ISNUMBER(SEARCH("BSB80120",'Onshore - Brisbane'!B248&amp;'Onshore - Brisbane'!M248)),ISNUMBER(SEARCH("Management (Learning)",'Onshore - Brisbane'!B248))),2,IF(ISNUMBER(SEARCH("CEK:",'Onshore - Brisbane'!M248)),1,0))</f>
        <v>1</v>
      </c>
    </row>
    <row r="249" customFormat="false" ht="15" hidden="false" customHeight="false" outlineLevel="0" collapsed="false">
      <c r="A249" s="63" t="s">
        <v>3563</v>
      </c>
      <c r="B249" s="64" t="s">
        <v>3833</v>
      </c>
      <c r="C249" s="63" t="s">
        <v>41</v>
      </c>
      <c r="D249" s="64" t="str">
        <f aca="false">TRIM(LEFT('Onshore - Brisbane'!A183,FIND(CHAR(10),'Onshore - Brisbane'!A183&amp;CHAR(10))-1))</f>
        <v>ECA College</v>
      </c>
      <c r="E249" s="63" t="str">
        <f aca="false">'Onshore - Brisbane'!C184&amp;""</f>
        <v>2 years</v>
      </c>
      <c r="F249" s="63" t="str">
        <f aca="false">IF('Onshore - Brisbane'!D184="","Belum tercatat",'Onshore - Brisbane'!D184)</f>
        <v>Term</v>
      </c>
      <c r="G249" s="65" t="n">
        <f aca="false">IF('Onshore - Brisbane'!E184="","-",'Onshore - Brisbane'!E184)</f>
        <v>1500</v>
      </c>
      <c r="H249" s="63" t="n">
        <f aca="false">IF(ISNUMBER(K249),COUNTIFS($J$6:$J$1916,J249,$K$6:$K$1916,"&lt;"&amp;K249)+1,"-")</f>
        <v>4</v>
      </c>
      <c r="I249" s="64" t="str">
        <f aca="false">IF('Onshore - Brisbane'!E184="","Harga belum tersedia - hubungi konsultan TEG",IF(M249=2,"Saat ini tidak menerima pendaftaran siswa internasional baru",IF(M249=1,"Harga perlu dikonfirmasi ke sekolah"&amp;IF(""="","","; "&amp;""),"")))</f>
        <v/>
      </c>
      <c r="J249" s="0" t="s">
        <v>3846</v>
      </c>
      <c r="K249" s="0" t="n">
        <f aca="false">IF(M249=2,"",IF(ISNUMBER(SEARCH("rata-rata:",'Onshore - Brisbane'!M184)),VALUE(MID('Onshore - Brisbane'!M184,SEARCH("rata-rata:",'Onshore - Brisbane'!M184)+11,FIND(";",'Onshore - Brisbane'!M184&amp;";",SEARCH("rata-rata:",'Onshore - Brisbane'!M184))-SEARCH("rata-rata:",'Onshore - Brisbane'!M184)-11)),IF('Onshore - Brisbane'!D184="Semester",'Onshore - Brisbane'!E184*2,IF('Onshore - Brisbane'!D184="Trimester",'Onshore - Brisbane'!E184*3,IF('Onshore - Brisbane'!D184="Term",'Onshore - Brisbane'!E184*4,IF('Onshore - Brisbane'!D184="Unit",'Onshore - Brisbane'!E184*8,""))))))</f>
        <v>6000</v>
      </c>
      <c r="L249" s="0" t="n">
        <f aca="false">IF(AND(ISNUMBER('Onshore - Brisbane'!E184),ISNUMBER(K249),ISNUMBER('Onshore - Brisbane'!F184),ISNUMBER('Onshore - Brisbane'!G184),OR('Onshore - Brisbane'!F184&lt;&gt;0,ISNUMBER(SEARCH("Material 0 terverifikasi",'Onshore - Brisbane'!M184))),OR('Onshore - Brisbane'!G184&lt;&gt;0,ISNUMBER(SEARCH("Enrolment 0 terverifikasi",'Onshore - Brisbane'!M184)))),1,0)</f>
        <v>0</v>
      </c>
      <c r="M249" s="0" t="n">
        <f aca="false">IF(OR('Onshore - Brisbane'!E184="",ISNUMBER(SEARCH("BSB80120",'Onshore - Brisbane'!B184&amp;'Onshore - Brisbane'!M184)),ISNUMBER(SEARCH("Management (Learning)",'Onshore - Brisbane'!B184))),2,IF(ISNUMBER(SEARCH("CEK:",'Onshore - Brisbane'!M184)),1,0))</f>
        <v>0</v>
      </c>
    </row>
    <row r="250" customFormat="false" ht="15" hidden="false" customHeight="false" outlineLevel="0" collapsed="false">
      <c r="A250" s="63" t="s">
        <v>3563</v>
      </c>
      <c r="B250" s="64" t="s">
        <v>3833</v>
      </c>
      <c r="C250" s="63" t="s">
        <v>41</v>
      </c>
      <c r="D250" s="64" t="str">
        <f aca="false">TRIM(LEFT('Onshore - Brisbane'!A290,FIND(CHAR(10),'Onshore - Brisbane'!A290&amp;CHAR(10))-1))</f>
        <v>Shafston International College</v>
      </c>
      <c r="E250" s="63" t="str">
        <f aca="false">'Onshore - Brisbane'!C294&amp;""</f>
        <v>2 years</v>
      </c>
      <c r="F250" s="63" t="str">
        <f aca="false">IF('Onshore - Brisbane'!D294="","Belum tercatat",'Onshore - Brisbane'!D294)</f>
        <v>Term</v>
      </c>
      <c r="G250" s="65" t="n">
        <f aca="false">IF('Onshore - Brisbane'!E294="","-",'Onshore - Brisbane'!E294)</f>
        <v>1625</v>
      </c>
      <c r="H250" s="63" t="n">
        <f aca="false">IF(ISNUMBER(K250),COUNTIFS($J$6:$J$1916,J250,$K$6:$K$1916,"&lt;"&amp;K250)+1,"-")</f>
        <v>5</v>
      </c>
      <c r="I250" s="64" t="str">
        <f aca="false">IF('Onshore - Brisbane'!E294="","Harga belum tersedia - hubungi konsultan TEG",IF(M250=2,"Saat ini tidak menerima pendaftaran siswa internasional baru",IF(M250=1,"Harga perlu dikonfirmasi ke sekolah"&amp;IF(""="","","; "&amp;""),"")))</f>
        <v/>
      </c>
      <c r="J250" s="0" t="s">
        <v>3846</v>
      </c>
      <c r="K250" s="0" t="n">
        <f aca="false">IF(M250=2,"",IF(ISNUMBER(SEARCH("rata-rata:",'Onshore - Brisbane'!M294)),VALUE(MID('Onshore - Brisbane'!M294,SEARCH("rata-rata:",'Onshore - Brisbane'!M294)+11,FIND(";",'Onshore - Brisbane'!M294&amp;";",SEARCH("rata-rata:",'Onshore - Brisbane'!M294))-SEARCH("rata-rata:",'Onshore - Brisbane'!M294)-11)),IF('Onshore - Brisbane'!D294="Semester",'Onshore - Brisbane'!E294*2,IF('Onshore - Brisbane'!D294="Trimester",'Onshore - Brisbane'!E294*3,IF('Onshore - Brisbane'!D294="Term",'Onshore - Brisbane'!E294*4,IF('Onshore - Brisbane'!D294="Unit",'Onshore - Brisbane'!E294*8,""))))))</f>
        <v>6500</v>
      </c>
      <c r="L250" s="0" t="n">
        <f aca="false">IF(AND(ISNUMBER('Onshore - Brisbane'!E294),ISNUMBER(K250),ISNUMBER('Onshore - Brisbane'!F294),ISNUMBER('Onshore - Brisbane'!G294),OR('Onshore - Brisbane'!F294&lt;&gt;0,ISNUMBER(SEARCH("Material 0 terverifikasi",'Onshore - Brisbane'!M294))),OR('Onshore - Brisbane'!G294&lt;&gt;0,ISNUMBER(SEARCH("Enrolment 0 terverifikasi",'Onshore - Brisbane'!M294)))),1,0)</f>
        <v>1</v>
      </c>
      <c r="M250" s="0" t="n">
        <f aca="false">IF(OR('Onshore - Brisbane'!E294="",ISNUMBER(SEARCH("BSB80120",'Onshore - Brisbane'!B294&amp;'Onshore - Brisbane'!M294)),ISNUMBER(SEARCH("Management (Learning)",'Onshore - Brisbane'!B294))),2,IF(ISNUMBER(SEARCH("CEK:",'Onshore - Brisbane'!M294)),1,0))</f>
        <v>0</v>
      </c>
    </row>
    <row r="251" customFormat="false" ht="15" hidden="false" customHeight="false" outlineLevel="0" collapsed="false">
      <c r="A251" s="63" t="s">
        <v>3563</v>
      </c>
      <c r="B251" s="64" t="s">
        <v>3833</v>
      </c>
      <c r="C251" s="63" t="s">
        <v>41</v>
      </c>
      <c r="D251" s="64" t="str">
        <f aca="false">TRIM(LEFT('Onshore - Brisbane'!A33,FIND(CHAR(10),'Onshore - Brisbane'!A33&amp;CHAR(10))-1))</f>
        <v>Asia Pacific International College (APIC)</v>
      </c>
      <c r="E251" s="63" t="str">
        <f aca="false">'Onshore - Brisbane'!C35&amp;""</f>
        <v>1 year</v>
      </c>
      <c r="F251" s="63" t="str">
        <f aca="false">IF('Onshore - Brisbane'!D35="","Belum tercatat",'Onshore - Brisbane'!D35)</f>
        <v>Trimester</v>
      </c>
      <c r="G251" s="65" t="n">
        <f aca="false">IF('Onshore - Brisbane'!E35="","-",'Onshore - Brisbane'!E35)</f>
        <v>3000</v>
      </c>
      <c r="H251" s="63" t="n">
        <f aca="false">IF(ISNUMBER(K251),COUNTIFS($J$6:$J$1916,J251,$K$6:$K$1916,"&lt;"&amp;K251)+1,"-")</f>
        <v>6</v>
      </c>
      <c r="I251" s="64" t="str">
        <f aca="false">IF('Onshore - Brisbane'!E35="","Harga belum tersedia - hubungi konsultan TEG",IF(M251=2,"Saat ini tidak menerima pendaftaran siswa internasional baru",IF(M251=1,"Harga perlu dikonfirmasi ke sekolah"&amp;IF(""="","","; "&amp;""),"")))</f>
        <v>Harga perlu dikonfirmasi ke sekolah</v>
      </c>
      <c r="J251" s="0" t="s">
        <v>3846</v>
      </c>
      <c r="K251" s="0" t="n">
        <f aca="false">IF(M251=2,"",IF(ISNUMBER(SEARCH("rata-rata:",'Onshore - Brisbane'!M35)),VALUE(MID('Onshore - Brisbane'!M35,SEARCH("rata-rata:",'Onshore - Brisbane'!M35)+11,FIND(";",'Onshore - Brisbane'!M35&amp;";",SEARCH("rata-rata:",'Onshore - Brisbane'!M35))-SEARCH("rata-rata:",'Onshore - Brisbane'!M35)-11)),IF('Onshore - Brisbane'!D35="Semester",'Onshore - Brisbane'!E35*2,IF('Onshore - Brisbane'!D35="Trimester",'Onshore - Brisbane'!E35*3,IF('Onshore - Brisbane'!D35="Term",'Onshore - Brisbane'!E35*4,IF('Onshore - Brisbane'!D35="Unit",'Onshore - Brisbane'!E35*8,""))))))</f>
        <v>9000</v>
      </c>
      <c r="L251" s="0" t="n">
        <f aca="false">IF(AND(ISNUMBER('Onshore - Brisbane'!E35),ISNUMBER(K251),ISNUMBER('Onshore - Brisbane'!F35),ISNUMBER('Onshore - Brisbane'!G35),OR('Onshore - Brisbane'!F35&lt;&gt;0,ISNUMBER(SEARCH("Material 0 terverifikasi",'Onshore - Brisbane'!M35))),OR('Onshore - Brisbane'!G35&lt;&gt;0,ISNUMBER(SEARCH("Enrolment 0 terverifikasi",'Onshore - Brisbane'!M35)))),1,0)</f>
        <v>0</v>
      </c>
      <c r="M251" s="0" t="n">
        <f aca="false">IF(OR('Onshore - Brisbane'!E35="",ISNUMBER(SEARCH("BSB80120",'Onshore - Brisbane'!B35&amp;'Onshore - Brisbane'!M35)),ISNUMBER(SEARCH("Management (Learning)",'Onshore - Brisbane'!B35))),2,IF(ISNUMBER(SEARCH("CEK:",'Onshore - Brisbane'!M35)),1,0))</f>
        <v>1</v>
      </c>
    </row>
    <row r="252" customFormat="false" ht="15" hidden="false" customHeight="false" outlineLevel="0" collapsed="false">
      <c r="A252" s="63" t="s">
        <v>3563</v>
      </c>
      <c r="B252" s="64" t="s">
        <v>3833</v>
      </c>
      <c r="C252" s="63" t="s">
        <v>41</v>
      </c>
      <c r="D252" s="64" t="str">
        <f aca="false">TRIM(LEFT('Onshore - Brisbane'!A201,FIND(CHAR(10),'Onshore - Brisbane'!A201&amp;CHAR(10))-1))</f>
        <v>Federation Academy</v>
      </c>
      <c r="E252" s="63" t="str">
        <f aca="false">'Onshore - Brisbane'!C204&amp;""</f>
        <v>2,5 years</v>
      </c>
      <c r="F252" s="63" t="str">
        <f aca="false">IF('Onshore - Brisbane'!D204="","Belum tercatat",'Onshore - Brisbane'!D204)</f>
        <v>Term</v>
      </c>
      <c r="G252" s="65" t="n">
        <f aca="false">IF('Onshore - Brisbane'!E204="","-",'Onshore - Brisbane'!E204)</f>
        <v>3300</v>
      </c>
      <c r="H252" s="63" t="n">
        <f aca="false">IF(ISNUMBER(K252),COUNTIFS($J$6:$J$1916,J252,$K$6:$K$1916,"&lt;"&amp;K252)+1,"-")</f>
        <v>7</v>
      </c>
      <c r="I252" s="64" t="str">
        <f aca="false">IF('Onshore - Brisbane'!E204="","Harga belum tersedia - hubungi konsultan TEG",IF(M252=2,"Saat ini tidak menerima pendaftaran siswa internasional baru",IF(M252=1,"Harga perlu dikonfirmasi ke sekolah"&amp;IF(""="","","; "&amp;""),"")))</f>
        <v/>
      </c>
      <c r="J252" s="0" t="s">
        <v>3846</v>
      </c>
      <c r="K252" s="0" t="n">
        <f aca="false">IF(M252=2,"",IF(ISNUMBER(SEARCH("rata-rata:",'Onshore - Brisbane'!M204)),VALUE(MID('Onshore - Brisbane'!M204,SEARCH("rata-rata:",'Onshore - Brisbane'!M204)+11,FIND(";",'Onshore - Brisbane'!M204&amp;";",SEARCH("rata-rata:",'Onshore - Brisbane'!M204))-SEARCH("rata-rata:",'Onshore - Brisbane'!M204)-11)),IF('Onshore - Brisbane'!D204="Semester",'Onshore - Brisbane'!E204*2,IF('Onshore - Brisbane'!D204="Trimester",'Onshore - Brisbane'!E204*3,IF('Onshore - Brisbane'!D204="Term",'Onshore - Brisbane'!E204*4,IF('Onshore - Brisbane'!D204="Unit",'Onshore - Brisbane'!E204*8,""))))))</f>
        <v>13200</v>
      </c>
      <c r="L252" s="0" t="n">
        <f aca="false">IF(AND(ISNUMBER('Onshore - Brisbane'!E204),ISNUMBER(K252),ISNUMBER('Onshore - Brisbane'!F204),ISNUMBER('Onshore - Brisbane'!G204),OR('Onshore - Brisbane'!F204&lt;&gt;0,ISNUMBER(SEARCH("Material 0 terverifikasi",'Onshore - Brisbane'!M204))),OR('Onshore - Brisbane'!G204&lt;&gt;0,ISNUMBER(SEARCH("Enrolment 0 terverifikasi",'Onshore - Brisbane'!M204)))),1,0)</f>
        <v>1</v>
      </c>
      <c r="M252" s="0" t="n">
        <f aca="false">IF(OR('Onshore - Brisbane'!E204="",ISNUMBER(SEARCH("BSB80120",'Onshore - Brisbane'!B204&amp;'Onshore - Brisbane'!M204)),ISNUMBER(SEARCH("Management (Learning)",'Onshore - Brisbane'!B204))),2,IF(ISNUMBER(SEARCH("CEK:",'Onshore - Brisbane'!M204)),1,0))</f>
        <v>0</v>
      </c>
    </row>
    <row r="253" customFormat="false" ht="15" hidden="false" customHeight="false" outlineLevel="0" collapsed="false">
      <c r="A253" s="63" t="s">
        <v>3563</v>
      </c>
      <c r="B253" s="64" t="s">
        <v>3833</v>
      </c>
      <c r="C253" s="63" t="s">
        <v>41</v>
      </c>
      <c r="D253" s="64" t="str">
        <f aca="false">TRIM(LEFT('Onshore - Brisbane'!A307,FIND(CHAR(10),'Onshore - Brisbane'!A307&amp;CHAR(10))-1))</f>
        <v>Torrens University Australia</v>
      </c>
      <c r="E253" s="63" t="str">
        <f aca="false">'Onshore - Brisbane'!C307&amp;""</f>
        <v>1 year</v>
      </c>
      <c r="F253" s="63" t="str">
        <f aca="false">IF('Onshore - Brisbane'!D307="","Belum tercatat",'Onshore - Brisbane'!D307)</f>
        <v>Term</v>
      </c>
      <c r="G253" s="65" t="n">
        <f aca="false">IF('Onshore - Brisbane'!E307="","-",'Onshore - Brisbane'!E307)</f>
        <v>7900</v>
      </c>
      <c r="H253" s="63" t="n">
        <f aca="false">IF(ISNUMBER(K253),COUNTIFS($J$6:$J$1916,J253,$K$6:$K$1916,"&lt;"&amp;K253)+1,"-")</f>
        <v>8</v>
      </c>
      <c r="I253" s="64" t="str">
        <f aca="false">IF('Onshore - Brisbane'!E307="","Harga belum tersedia - hubungi konsultan TEG",IF(M253=2,"Saat ini tidak menerima pendaftaran siswa internasional baru",IF(M253=1,"Harga perlu dikonfirmasi ke sekolah"&amp;IF(""="","","; "&amp;""),"")))</f>
        <v/>
      </c>
      <c r="J253" s="0" t="s">
        <v>3846</v>
      </c>
      <c r="K253" s="0" t="n">
        <f aca="false">IF(M253=2,"",IF(ISNUMBER(SEARCH("rata-rata:",'Onshore - Brisbane'!M307)),VALUE(MID('Onshore - Brisbane'!M307,SEARCH("rata-rata:",'Onshore - Brisbane'!M307)+11,FIND(";",'Onshore - Brisbane'!M307&amp;";",SEARCH("rata-rata:",'Onshore - Brisbane'!M307))-SEARCH("rata-rata:",'Onshore - Brisbane'!M307)-11)),IF('Onshore - Brisbane'!D307="Semester",'Onshore - Brisbane'!E307*2,IF('Onshore - Brisbane'!D307="Trimester",'Onshore - Brisbane'!E307*3,IF('Onshore - Brisbane'!D307="Term",'Onshore - Brisbane'!E307*4,IF('Onshore - Brisbane'!D307="Unit",'Onshore - Brisbane'!E307*8,""))))))</f>
        <v>31600</v>
      </c>
      <c r="L253" s="0" t="n">
        <f aca="false">IF(AND(ISNUMBER('Onshore - Brisbane'!E307),ISNUMBER(K253),ISNUMBER('Onshore - Brisbane'!F307),ISNUMBER('Onshore - Brisbane'!G307),OR('Onshore - Brisbane'!F307&lt;&gt;0,ISNUMBER(SEARCH("Material 0 terverifikasi",'Onshore - Brisbane'!M307))),OR('Onshore - Brisbane'!G307&lt;&gt;0,ISNUMBER(SEARCH("Enrolment 0 terverifikasi",'Onshore - Brisbane'!M307)))),1,0)</f>
        <v>0</v>
      </c>
      <c r="M253" s="0" t="n">
        <f aca="false">IF(OR('Onshore - Brisbane'!E307="",ISNUMBER(SEARCH("BSB80120",'Onshore - Brisbane'!B307&amp;'Onshore - Brisbane'!M307)),ISNUMBER(SEARCH("Management (Learning)",'Onshore - Brisbane'!B307))),2,IF(ISNUMBER(SEARCH("CEK:",'Onshore - Brisbane'!M307)),1,0))</f>
        <v>0</v>
      </c>
    </row>
    <row r="254" customFormat="false" ht="15" hidden="false" customHeight="false" outlineLevel="0" collapsed="false">
      <c r="A254" s="63" t="s">
        <v>3563</v>
      </c>
      <c r="B254" s="64" t="s">
        <v>3833</v>
      </c>
      <c r="C254" s="63" t="s">
        <v>41</v>
      </c>
      <c r="D254" s="64" t="str">
        <f aca="false">TRIM(LEFT('Onshore - Brisbane'!A53,FIND(CHAR(10),'Onshore - Brisbane'!A53&amp;CHAR(10))-1))</f>
        <v>Australian Catholic University (ACU)</v>
      </c>
      <c r="E254" s="63" t="str">
        <f aca="false">'Onshore - Brisbane'!C147&amp;""</f>
        <v>1 year</v>
      </c>
      <c r="F254" s="63" t="str">
        <f aca="false">IF('Onshore - Brisbane'!D147="","Belum tercatat",'Onshore - Brisbane'!D147)</f>
        <v>Term</v>
      </c>
      <c r="G254" s="65" t="n">
        <f aca="false">IF('Onshore - Brisbane'!E147="","-",'Onshore - Brisbane'!E147)</f>
        <v>8058</v>
      </c>
      <c r="H254" s="63" t="n">
        <f aca="false">IF(ISNUMBER(K254),COUNTIFS($J$6:$J$1916,J254,$K$6:$K$1916,"&lt;"&amp;K254)+1,"-")</f>
        <v>9</v>
      </c>
      <c r="I254" s="64" t="str">
        <f aca="false">IF('Onshore - Brisbane'!E147="","Harga belum tersedia - hubungi konsultan TEG",IF(M254=2,"Saat ini tidak menerima pendaftaran siswa internasional baru",IF(M254=1,"Harga perlu dikonfirmasi ke sekolah"&amp;IF(""="","","; "&amp;""),"")))</f>
        <v/>
      </c>
      <c r="J254" s="0" t="s">
        <v>3846</v>
      </c>
      <c r="K254" s="0" t="n">
        <f aca="false">IF(M254=2,"",IF(ISNUMBER(SEARCH("rata-rata:",'Onshore - Brisbane'!M147)),VALUE(MID('Onshore - Brisbane'!M147,SEARCH("rata-rata:",'Onshore - Brisbane'!M147)+11,FIND(";",'Onshore - Brisbane'!M147&amp;";",SEARCH("rata-rata:",'Onshore - Brisbane'!M147))-SEARCH("rata-rata:",'Onshore - Brisbane'!M147)-11)),IF('Onshore - Brisbane'!D147="Semester",'Onshore - Brisbane'!E147*2,IF('Onshore - Brisbane'!D147="Trimester",'Onshore - Brisbane'!E147*3,IF('Onshore - Brisbane'!D147="Term",'Onshore - Brisbane'!E147*4,IF('Onshore - Brisbane'!D147="Unit",'Onshore - Brisbane'!E147*8,""))))))</f>
        <v>32232</v>
      </c>
      <c r="L254" s="0" t="n">
        <f aca="false">IF(AND(ISNUMBER('Onshore - Brisbane'!E147),ISNUMBER(K254),ISNUMBER('Onshore - Brisbane'!F147),ISNUMBER('Onshore - Brisbane'!G147),OR('Onshore - Brisbane'!F147&lt;&gt;0,ISNUMBER(SEARCH("Material 0 terverifikasi",'Onshore - Brisbane'!M147))),OR('Onshore - Brisbane'!G147&lt;&gt;0,ISNUMBER(SEARCH("Enrolment 0 terverifikasi",'Onshore - Brisbane'!M147)))),1,0)</f>
        <v>0</v>
      </c>
      <c r="M254" s="0" t="n">
        <f aca="false">IF(OR('Onshore - Brisbane'!E147="",ISNUMBER(SEARCH("BSB80120",'Onshore - Brisbane'!B147&amp;'Onshore - Brisbane'!M147)),ISNUMBER(SEARCH("Management (Learning)",'Onshore - Brisbane'!B147))),2,IF(ISNUMBER(SEARCH("CEK:",'Onshore - Brisbane'!M147)),1,0))</f>
        <v>0</v>
      </c>
    </row>
    <row r="255" customFormat="false" ht="15" hidden="false" customHeight="false" outlineLevel="0" collapsed="false">
      <c r="A255" s="63" t="s">
        <v>3563</v>
      </c>
      <c r="B255" s="64" t="s">
        <v>3833</v>
      </c>
      <c r="C255" s="63" t="s">
        <v>41</v>
      </c>
      <c r="D255" s="64" t="str">
        <f aca="false">TRIM(LEFT('Onshore - Brisbane'!A249,FIND(CHAR(10),'Onshore - Brisbane'!A249&amp;CHAR(10))-1))</f>
        <v>Kaplan Business School</v>
      </c>
      <c r="E255" s="63" t="str">
        <f aca="false">'Onshore - Brisbane'!C249&amp;""</f>
        <v>1 year</v>
      </c>
      <c r="F255" s="63" t="str">
        <f aca="false">IF('Onshore - Brisbane'!D249="","Belum tercatat",'Onshore - Brisbane'!D249)</f>
        <v>Trimester</v>
      </c>
      <c r="G255" s="65" t="n">
        <f aca="false">IF('Onshore - Brisbane'!E249="","-",'Onshore - Brisbane'!E249)</f>
        <v>11520</v>
      </c>
      <c r="H255" s="63" t="n">
        <f aca="false">IF(ISNUMBER(K255),COUNTIFS($J$6:$J$1916,J255,$K$6:$K$1916,"&lt;"&amp;K255)+1,"-")</f>
        <v>10</v>
      </c>
      <c r="I255" s="64" t="str">
        <f aca="false">IF('Onshore - Brisbane'!E249="","Harga belum tersedia - hubungi konsultan TEG",IF(M255=2,"Saat ini tidak menerima pendaftaran siswa internasional baru",IF(M255=1,"Harga perlu dikonfirmasi ke sekolah"&amp;IF(""="","","; "&amp;""),"")))</f>
        <v>Harga perlu dikonfirmasi ke sekolah</v>
      </c>
      <c r="J255" s="0" t="s">
        <v>3846</v>
      </c>
      <c r="K255" s="0" t="n">
        <f aca="false">IF(M255=2,"",IF(ISNUMBER(SEARCH("rata-rata:",'Onshore - Brisbane'!M249)),VALUE(MID('Onshore - Brisbane'!M249,SEARCH("rata-rata:",'Onshore - Brisbane'!M249)+11,FIND(";",'Onshore - Brisbane'!M249&amp;";",SEARCH("rata-rata:",'Onshore - Brisbane'!M249))-SEARCH("rata-rata:",'Onshore - Brisbane'!M249)-11)),IF('Onshore - Brisbane'!D249="Semester",'Onshore - Brisbane'!E249*2,IF('Onshore - Brisbane'!D249="Trimester",'Onshore - Brisbane'!E249*3,IF('Onshore - Brisbane'!D249="Term",'Onshore - Brisbane'!E249*4,IF('Onshore - Brisbane'!D249="Unit",'Onshore - Brisbane'!E249*8,""))))))</f>
        <v>34560</v>
      </c>
      <c r="L255" s="0" t="n">
        <f aca="false">IF(AND(ISNUMBER('Onshore - Brisbane'!E249),ISNUMBER(K255),ISNUMBER('Onshore - Brisbane'!F249),ISNUMBER('Onshore - Brisbane'!G249),OR('Onshore - Brisbane'!F249&lt;&gt;0,ISNUMBER(SEARCH("Material 0 terverifikasi",'Onshore - Brisbane'!M249))),OR('Onshore - Brisbane'!G249&lt;&gt;0,ISNUMBER(SEARCH("Enrolment 0 terverifikasi",'Onshore - Brisbane'!M249)))),1,0)</f>
        <v>1</v>
      </c>
      <c r="M255" s="0" t="n">
        <f aca="false">IF(OR('Onshore - Brisbane'!E249="",ISNUMBER(SEARCH("BSB80120",'Onshore - Brisbane'!B249&amp;'Onshore - Brisbane'!M249)),ISNUMBER(SEARCH("Management (Learning)",'Onshore - Brisbane'!B249))),2,IF(ISNUMBER(SEARCH("CEK:",'Onshore - Brisbane'!M249)),1,0))</f>
        <v>1</v>
      </c>
    </row>
    <row r="256" customFormat="false" ht="15" hidden="false" customHeight="false" outlineLevel="0" collapsed="false">
      <c r="A256" s="61" t="s">
        <v>3847</v>
      </c>
      <c r="B256" s="62"/>
      <c r="C256" s="62"/>
      <c r="D256" s="62"/>
      <c r="E256" s="62"/>
      <c r="F256" s="62"/>
      <c r="G256" s="62"/>
      <c r="H256" s="62"/>
      <c r="I256" s="62"/>
    </row>
    <row r="257" customFormat="false" ht="28.35" hidden="false" customHeight="false" outlineLevel="0" collapsed="false">
      <c r="A257" s="63" t="s">
        <v>3563</v>
      </c>
      <c r="B257" s="64" t="s">
        <v>3833</v>
      </c>
      <c r="C257" s="63" t="s">
        <v>42</v>
      </c>
      <c r="D257" s="64" t="str">
        <f aca="false">TRIM(LEFT('Onshore - Brisbane'!A22,FIND(CHAR(10),'Onshore - Brisbane'!A22&amp;CHAR(10))-1))</f>
        <v>Albright Institute of Business and Language (AIBL)</v>
      </c>
      <c r="E257" s="63" t="str">
        <f aca="false">'Onshore - Brisbane'!C22&amp;""</f>
        <v>2 years</v>
      </c>
      <c r="F257" s="63" t="str">
        <f aca="false">IF('Onshore - Brisbane'!D22="","Belum tercatat",'Onshore - Brisbane'!D22)</f>
        <v>Term</v>
      </c>
      <c r="G257" s="65" t="n">
        <f aca="false">IF('Onshore - Brisbane'!E22="","-",'Onshore - Brisbane'!E22)</f>
        <v>1250</v>
      </c>
      <c r="H257" s="63" t="n">
        <f aca="false">IF(ISNUMBER(K257),COUNTIFS($J$6:$J$1916,J257,$K$6:$K$1916,"&lt;"&amp;K257)+1,"-")</f>
        <v>1</v>
      </c>
      <c r="I257" s="64" t="str">
        <f aca="false">IF('Onshore - Brisbane'!E22="","Harga belum tersedia - hubungi konsultan TEG",IF(M257=2,"Saat ini tidak menerima pendaftaran siswa internasional baru",IF(M257=1,"Harga perlu dikonfirmasi ke sekolah"&amp;IF(""="","","; "&amp;""),"")))</f>
        <v/>
      </c>
      <c r="J257" s="0" t="s">
        <v>3848</v>
      </c>
      <c r="K257" s="0" t="n">
        <f aca="false">IF(M257=2,"",IF(ISNUMBER(SEARCH("rata-rata:",'Onshore - Brisbane'!M22)),VALUE(MID('Onshore - Brisbane'!M22,SEARCH("rata-rata:",'Onshore - Brisbane'!M22)+11,FIND(";",'Onshore - Brisbane'!M22&amp;";",SEARCH("rata-rata:",'Onshore - Brisbane'!M22))-SEARCH("rata-rata:",'Onshore - Brisbane'!M22)-11)),IF('Onshore - Brisbane'!D22="Semester",'Onshore - Brisbane'!E22*2,IF('Onshore - Brisbane'!D22="Trimester",'Onshore - Brisbane'!E22*3,IF('Onshore - Brisbane'!D22="Term",'Onshore - Brisbane'!E22*4,IF('Onshore - Brisbane'!D22="Unit",'Onshore - Brisbane'!E22*8,""))))))</f>
        <v>5000</v>
      </c>
      <c r="L257" s="0" t="n">
        <f aca="false">IF(AND(ISNUMBER('Onshore - Brisbane'!E22),ISNUMBER(K257),ISNUMBER('Onshore - Brisbane'!F22),ISNUMBER('Onshore - Brisbane'!G22),OR('Onshore - Brisbane'!F22&lt;&gt;0,ISNUMBER(SEARCH("Material 0 terverifikasi",'Onshore - Brisbane'!M22))),OR('Onshore - Brisbane'!G22&lt;&gt;0,ISNUMBER(SEARCH("Enrolment 0 terverifikasi",'Onshore - Brisbane'!M22)))),1,0)</f>
        <v>1</v>
      </c>
      <c r="M257" s="0" t="n">
        <f aca="false">IF(OR('Onshore - Brisbane'!E22="",ISNUMBER(SEARCH("BSB80120",'Onshore - Brisbane'!B22&amp;'Onshore - Brisbane'!M22)),ISNUMBER(SEARCH("Management (Learning)",'Onshore - Brisbane'!B22))),2,IF(ISNUMBER(SEARCH("CEK:",'Onshore - Brisbane'!M22)),1,0))</f>
        <v>0</v>
      </c>
    </row>
    <row r="258" customFormat="false" ht="15" hidden="false" customHeight="false" outlineLevel="0" collapsed="false">
      <c r="A258" s="63" t="s">
        <v>3563</v>
      </c>
      <c r="B258" s="64" t="s">
        <v>3833</v>
      </c>
      <c r="C258" s="63" t="s">
        <v>42</v>
      </c>
      <c r="D258" s="64" t="str">
        <f aca="false">TRIM(LEFT('Onshore - Brisbane'!A161,FIND(CHAR(10),'Onshore - Brisbane'!A161&amp;CHAR(10))-1))</f>
        <v>Australian Skills Management Institute (ASMI)</v>
      </c>
      <c r="E258" s="63" t="str">
        <f aca="false">'Onshore - Brisbane'!C165&amp;""</f>
        <v>2 years</v>
      </c>
      <c r="F258" s="63" t="str">
        <f aca="false">IF('Onshore - Brisbane'!D165="","Belum tercatat",'Onshore - Brisbane'!D165)</f>
        <v>Term</v>
      </c>
      <c r="G258" s="65" t="n">
        <f aca="false">IF('Onshore - Brisbane'!E165="","-",'Onshore - Brisbane'!E165)</f>
        <v>1250</v>
      </c>
      <c r="H258" s="63" t="n">
        <f aca="false">IF(ISNUMBER(K258),COUNTIFS($J$6:$J$1916,J258,$K$6:$K$1916,"&lt;"&amp;K258)+1,"-")</f>
        <v>1</v>
      </c>
      <c r="I258" s="64" t="str">
        <f aca="false">IF('Onshore - Brisbane'!E165="","Harga belum tersedia - hubungi konsultan TEG",IF(M258=2,"Saat ini tidak menerima pendaftaran siswa internasional baru",IF(M258=1,"Harga perlu dikonfirmasi ke sekolah"&amp;IF(""="","","; "&amp;""),"")))</f>
        <v/>
      </c>
      <c r="J258" s="0" t="s">
        <v>3848</v>
      </c>
      <c r="K258" s="0" t="n">
        <f aca="false">IF(M258=2,"",IF(ISNUMBER(SEARCH("rata-rata:",'Onshore - Brisbane'!M165)),VALUE(MID('Onshore - Brisbane'!M165,SEARCH("rata-rata:",'Onshore - Brisbane'!M165)+11,FIND(";",'Onshore - Brisbane'!M165&amp;";",SEARCH("rata-rata:",'Onshore - Brisbane'!M165))-SEARCH("rata-rata:",'Onshore - Brisbane'!M165)-11)),IF('Onshore - Brisbane'!D165="Semester",'Onshore - Brisbane'!E165*2,IF('Onshore - Brisbane'!D165="Trimester",'Onshore - Brisbane'!E165*3,IF('Onshore - Brisbane'!D165="Term",'Onshore - Brisbane'!E165*4,IF('Onshore - Brisbane'!D165="Unit",'Onshore - Brisbane'!E165*8,""))))))</f>
        <v>5000</v>
      </c>
      <c r="L258" s="0" t="n">
        <f aca="false">IF(AND(ISNUMBER('Onshore - Brisbane'!E165),ISNUMBER(K258),ISNUMBER('Onshore - Brisbane'!F165),ISNUMBER('Onshore - Brisbane'!G165),OR('Onshore - Brisbane'!F165&lt;&gt;0,ISNUMBER(SEARCH("Material 0 terverifikasi",'Onshore - Brisbane'!M165))),OR('Onshore - Brisbane'!G165&lt;&gt;0,ISNUMBER(SEARCH("Enrolment 0 terverifikasi",'Onshore - Brisbane'!M165)))),1,0)</f>
        <v>1</v>
      </c>
      <c r="M258" s="0" t="n">
        <f aca="false">IF(OR('Onshore - Brisbane'!E165="",ISNUMBER(SEARCH("BSB80120",'Onshore - Brisbane'!B165&amp;'Onshore - Brisbane'!M165)),ISNUMBER(SEARCH("Management (Learning)",'Onshore - Brisbane'!B165))),2,IF(ISNUMBER(SEARCH("CEK:",'Onshore - Brisbane'!M165)),1,0))</f>
        <v>0</v>
      </c>
    </row>
    <row r="259" customFormat="false" ht="15" hidden="false" customHeight="false" outlineLevel="0" collapsed="false">
      <c r="A259" s="63" t="s">
        <v>3563</v>
      </c>
      <c r="B259" s="64" t="s">
        <v>3833</v>
      </c>
      <c r="C259" s="63" t="s">
        <v>42</v>
      </c>
      <c r="D259" s="64" t="str">
        <f aca="false">TRIM(LEFT('Onshore - Brisbane'!A206,FIND(CHAR(10),'Onshore - Brisbane'!A206&amp;CHAR(10))-1))</f>
        <v>Greenwich College</v>
      </c>
      <c r="E259" s="63" t="str">
        <f aca="false">'Onshore - Brisbane'!C211&amp;""</f>
        <v>172 weeks</v>
      </c>
      <c r="F259" s="63" t="str">
        <f aca="false">IF('Onshore - Brisbane'!D211="","Belum tercatat",'Onshore - Brisbane'!D211)</f>
        <v>Term</v>
      </c>
      <c r="G259" s="65" t="n">
        <f aca="false">IF('Onshore - Brisbane'!E211="","-",'Onshore - Brisbane'!E211)</f>
        <v>1250</v>
      </c>
      <c r="H259" s="63" t="n">
        <f aca="false">IF(ISNUMBER(K259),COUNTIFS($J$6:$J$1916,J259,$K$6:$K$1916,"&lt;"&amp;K259)+1,"-")</f>
        <v>1</v>
      </c>
      <c r="I259" s="64" t="str">
        <f aca="false">IF('Onshore - Brisbane'!E211="","Harga belum tersedia - hubungi konsultan TEG",IF(M259=2,"Saat ini tidak menerima pendaftaran siswa internasional baru",IF(M259=1,"Harga perlu dikonfirmasi ke sekolah"&amp;IF(""="","","; "&amp;""),"")))</f>
        <v/>
      </c>
      <c r="J259" s="0" t="s">
        <v>3848</v>
      </c>
      <c r="K259" s="0" t="n">
        <f aca="false">IF(M259=2,"",IF(ISNUMBER(SEARCH("rata-rata:",'Onshore - Brisbane'!M211)),VALUE(MID('Onshore - Brisbane'!M211,SEARCH("rata-rata:",'Onshore - Brisbane'!M211)+11,FIND(";",'Onshore - Brisbane'!M211&amp;";",SEARCH("rata-rata:",'Onshore - Brisbane'!M211))-SEARCH("rata-rata:",'Onshore - Brisbane'!M211)-11)),IF('Onshore - Brisbane'!D211="Semester",'Onshore - Brisbane'!E211*2,IF('Onshore - Brisbane'!D211="Trimester",'Onshore - Brisbane'!E211*3,IF('Onshore - Brisbane'!D211="Term",'Onshore - Brisbane'!E211*4,IF('Onshore - Brisbane'!D211="Unit",'Onshore - Brisbane'!E211*8,""))))))</f>
        <v>5000</v>
      </c>
      <c r="L259" s="0" t="n">
        <f aca="false">IF(AND(ISNUMBER('Onshore - Brisbane'!E211),ISNUMBER(K259),ISNUMBER('Onshore - Brisbane'!F211),ISNUMBER('Onshore - Brisbane'!G211),OR('Onshore - Brisbane'!F211&lt;&gt;0,ISNUMBER(SEARCH("Material 0 terverifikasi",'Onshore - Brisbane'!M211))),OR('Onshore - Brisbane'!G211&lt;&gt;0,ISNUMBER(SEARCH("Enrolment 0 terverifikasi",'Onshore - Brisbane'!M211)))),1,0)</f>
        <v>1</v>
      </c>
      <c r="M259" s="0" t="n">
        <f aca="false">IF(OR('Onshore - Brisbane'!E211="",ISNUMBER(SEARCH("BSB80120",'Onshore - Brisbane'!B211&amp;'Onshore - Brisbane'!M211)),ISNUMBER(SEARCH("Management (Learning)",'Onshore - Brisbane'!B211))),2,IF(ISNUMBER(SEARCH("CEK:",'Onshore - Brisbane'!M211)),1,0))</f>
        <v>0</v>
      </c>
    </row>
    <row r="260" customFormat="false" ht="15" hidden="false" customHeight="false" outlineLevel="0" collapsed="false">
      <c r="A260" s="63" t="s">
        <v>3563</v>
      </c>
      <c r="B260" s="64" t="s">
        <v>3833</v>
      </c>
      <c r="C260" s="63" t="s">
        <v>42</v>
      </c>
      <c r="D260" s="64" t="str">
        <f aca="false">TRIM(LEFT('Onshore - Brisbane'!A244,FIND(CHAR(10),'Onshore - Brisbane'!A244&amp;CHAR(10))-1))</f>
        <v>Imperial Institute of Sydney (IIS)</v>
      </c>
      <c r="E260" s="63" t="str">
        <f aca="false">'Onshore - Brisbane'!C247&amp;""</f>
        <v>3 years</v>
      </c>
      <c r="F260" s="63" t="str">
        <f aca="false">IF('Onshore - Brisbane'!D247="","Belum tercatat",'Onshore - Brisbane'!D247)</f>
        <v>Term</v>
      </c>
      <c r="G260" s="65" t="n">
        <f aca="false">IF('Onshore - Brisbane'!E247="","-",'Onshore - Brisbane'!E247)</f>
        <v>1350</v>
      </c>
      <c r="H260" s="63" t="n">
        <f aca="false">IF(ISNUMBER(K260),COUNTIFS($J$6:$J$1916,J260,$K$6:$K$1916,"&lt;"&amp;K260)+1,"-")</f>
        <v>4</v>
      </c>
      <c r="I260" s="64" t="str">
        <f aca="false">IF('Onshore - Brisbane'!E247="","Harga belum tersedia - hubungi konsultan TEG",IF(M260=2,"Saat ini tidak menerima pendaftaran siswa internasional baru",IF(M260=1,"Program perlu dikonfirmasi ketersediaannya"&amp;IF(""="","","; "&amp;""),"")))</f>
        <v>Program perlu dikonfirmasi ketersediaannya</v>
      </c>
      <c r="J260" s="0" t="s">
        <v>3848</v>
      </c>
      <c r="K260" s="0" t="n">
        <f aca="false">IF(M260=2,"",IF(ISNUMBER(SEARCH("rata-rata:",'Onshore - Brisbane'!M247)),VALUE(MID('Onshore - Brisbane'!M247,SEARCH("rata-rata:",'Onshore - Brisbane'!M247)+11,FIND(";",'Onshore - Brisbane'!M247&amp;";",SEARCH("rata-rata:",'Onshore - Brisbane'!M247))-SEARCH("rata-rata:",'Onshore - Brisbane'!M247)-11)),IF('Onshore - Brisbane'!D247="Semester",'Onshore - Brisbane'!E247*2,IF('Onshore - Brisbane'!D247="Trimester",'Onshore - Brisbane'!E247*3,IF('Onshore - Brisbane'!D247="Term",'Onshore - Brisbane'!E247*4,IF('Onshore - Brisbane'!D247="Unit",'Onshore - Brisbane'!E247*8,""))))))</f>
        <v>5400</v>
      </c>
      <c r="L260" s="0" t="n">
        <f aca="false">IF(AND(ISNUMBER('Onshore - Brisbane'!E247),ISNUMBER(K260),ISNUMBER('Onshore - Brisbane'!F247),ISNUMBER('Onshore - Brisbane'!G247),OR('Onshore - Brisbane'!F247&lt;&gt;0,ISNUMBER(SEARCH("Material 0 terverifikasi",'Onshore - Brisbane'!M247))),OR('Onshore - Brisbane'!G247&lt;&gt;0,ISNUMBER(SEARCH("Enrolment 0 terverifikasi",'Onshore - Brisbane'!M247)))),1,0)</f>
        <v>0</v>
      </c>
      <c r="M260" s="0" t="n">
        <f aca="false">IF(OR('Onshore - Brisbane'!E247="",ISNUMBER(SEARCH("BSB80120",'Onshore - Brisbane'!B247&amp;'Onshore - Brisbane'!M247)),ISNUMBER(SEARCH("Management (Learning)",'Onshore - Brisbane'!B247))),2,IF(ISNUMBER(SEARCH("CEK:",'Onshore - Brisbane'!M247)),1,0))</f>
        <v>1</v>
      </c>
    </row>
    <row r="261" customFormat="false" ht="15" hidden="false" customHeight="false" outlineLevel="0" collapsed="false">
      <c r="A261" s="63" t="s">
        <v>3563</v>
      </c>
      <c r="B261" s="64" t="s">
        <v>3833</v>
      </c>
      <c r="C261" s="63" t="s">
        <v>42</v>
      </c>
      <c r="D261" s="64" t="str">
        <f aca="false">TRIM(LEFT('Onshore - Brisbane'!A276,FIND(CHAR(10),'Onshore - Brisbane'!A276&amp;CHAR(10))-1))</f>
        <v>Million Brown's College (MBC)</v>
      </c>
      <c r="E261" s="63" t="str">
        <f aca="false">'Onshore - Brisbane'!C277&amp;""</f>
        <v>2,5 years</v>
      </c>
      <c r="F261" s="63" t="str">
        <f aca="false">IF('Onshore - Brisbane'!D277="","Belum tercatat",'Onshore - Brisbane'!D277)</f>
        <v>Term</v>
      </c>
      <c r="G261" s="65" t="n">
        <f aca="false">IF('Onshore - Brisbane'!E277="","-",'Onshore - Brisbane'!E277)</f>
        <v>1410</v>
      </c>
      <c r="H261" s="63" t="n">
        <f aca="false">IF(ISNUMBER(K261),COUNTIFS($J$6:$J$1916,J261,$K$6:$K$1916,"&lt;"&amp;K261)+1,"-")</f>
        <v>5</v>
      </c>
      <c r="I261" s="64" t="str">
        <f aca="false">IF('Onshore - Brisbane'!E277="","Harga belum tersedia - hubungi konsultan TEG",IF(M261=2,"Saat ini tidak menerima pendaftaran siswa internasional baru",IF(M261=1,"Harga perlu dikonfirmasi ke sekolah"&amp;IF(""="","","; "&amp;""),"")))</f>
        <v>Harga perlu dikonfirmasi ke sekolah</v>
      </c>
      <c r="J261" s="0" t="s">
        <v>3848</v>
      </c>
      <c r="K261" s="0" t="n">
        <f aca="false">IF(M261=2,"",IF(ISNUMBER(SEARCH("rata-rata:",'Onshore - Brisbane'!M277)),VALUE(MID('Onshore - Brisbane'!M277,SEARCH("rata-rata:",'Onshore - Brisbane'!M277)+11,FIND(";",'Onshore - Brisbane'!M277&amp;";",SEARCH("rata-rata:",'Onshore - Brisbane'!M277))-SEARCH("rata-rata:",'Onshore - Brisbane'!M277)-11)),IF('Onshore - Brisbane'!D277="Semester",'Onshore - Brisbane'!E277*2,IF('Onshore - Brisbane'!D277="Trimester",'Onshore - Brisbane'!E277*3,IF('Onshore - Brisbane'!D277="Term",'Onshore - Brisbane'!E277*4,IF('Onshore - Brisbane'!D277="Unit",'Onshore - Brisbane'!E277*8,""))))))</f>
        <v>5640</v>
      </c>
      <c r="L261" s="0" t="n">
        <f aca="false">IF(AND(ISNUMBER('Onshore - Brisbane'!E277),ISNUMBER(K261),ISNUMBER('Onshore - Brisbane'!F277),ISNUMBER('Onshore - Brisbane'!G277),OR('Onshore - Brisbane'!F277&lt;&gt;0,ISNUMBER(SEARCH("Material 0 terverifikasi",'Onshore - Brisbane'!M277))),OR('Onshore - Brisbane'!G277&lt;&gt;0,ISNUMBER(SEARCH("Enrolment 0 terverifikasi",'Onshore - Brisbane'!M277)))),1,0)</f>
        <v>1</v>
      </c>
      <c r="M261" s="0" t="n">
        <f aca="false">IF(OR('Onshore - Brisbane'!E277="",ISNUMBER(SEARCH("BSB80120",'Onshore - Brisbane'!B277&amp;'Onshore - Brisbane'!M277)),ISNUMBER(SEARCH("Management (Learning)",'Onshore - Brisbane'!B277))),2,IF(ISNUMBER(SEARCH("CEK:",'Onshore - Brisbane'!M277)),1,0))</f>
        <v>1</v>
      </c>
    </row>
    <row r="262" customFormat="false" ht="15" hidden="false" customHeight="false" outlineLevel="0" collapsed="false">
      <c r="A262" s="63" t="s">
        <v>3563</v>
      </c>
      <c r="B262" s="64" t="s">
        <v>3833</v>
      </c>
      <c r="C262" s="63" t="s">
        <v>42</v>
      </c>
      <c r="D262" s="64" t="str">
        <f aca="false">TRIM(LEFT('Onshore - Brisbane'!A183,FIND(CHAR(10),'Onshore - Brisbane'!A183&amp;CHAR(10))-1))</f>
        <v>ECA College</v>
      </c>
      <c r="E262" s="63" t="str">
        <f aca="false">'Onshore - Brisbane'!C185&amp;""</f>
        <v>3 years</v>
      </c>
      <c r="F262" s="63" t="str">
        <f aca="false">IF('Onshore - Brisbane'!D185="","Belum tercatat",'Onshore - Brisbane'!D185)</f>
        <v>Term</v>
      </c>
      <c r="G262" s="65" t="n">
        <f aca="false">IF('Onshore - Brisbane'!E185="","-",'Onshore - Brisbane'!E185)</f>
        <v>1500</v>
      </c>
      <c r="H262" s="63" t="n">
        <f aca="false">IF(ISNUMBER(K262),COUNTIFS($J$6:$J$1916,J262,$K$6:$K$1916,"&lt;"&amp;K262)+1,"-")</f>
        <v>6</v>
      </c>
      <c r="I262" s="64" t="str">
        <f aca="false">IF('Onshore - Brisbane'!E185="","Harga belum tersedia - hubungi konsultan TEG",IF(M262=2,"Saat ini tidak menerima pendaftaran siswa internasional baru",IF(M262=1,"Harga perlu dikonfirmasi ke sekolah"&amp;IF(""="","","; "&amp;""),"")))</f>
        <v/>
      </c>
      <c r="J262" s="0" t="s">
        <v>3848</v>
      </c>
      <c r="K262" s="0" t="n">
        <f aca="false">IF(M262=2,"",IF(ISNUMBER(SEARCH("rata-rata:",'Onshore - Brisbane'!M185)),VALUE(MID('Onshore - Brisbane'!M185,SEARCH("rata-rata:",'Onshore - Brisbane'!M185)+11,FIND(";",'Onshore - Brisbane'!M185&amp;";",SEARCH("rata-rata:",'Onshore - Brisbane'!M185))-SEARCH("rata-rata:",'Onshore - Brisbane'!M185)-11)),IF('Onshore - Brisbane'!D185="Semester",'Onshore - Brisbane'!E185*2,IF('Onshore - Brisbane'!D185="Trimester",'Onshore - Brisbane'!E185*3,IF('Onshore - Brisbane'!D185="Term",'Onshore - Brisbane'!E185*4,IF('Onshore - Brisbane'!D185="Unit",'Onshore - Brisbane'!E185*8,""))))))</f>
        <v>6000</v>
      </c>
      <c r="L262" s="0" t="n">
        <f aca="false">IF(AND(ISNUMBER('Onshore - Brisbane'!E185),ISNUMBER(K262),ISNUMBER('Onshore - Brisbane'!F185),ISNUMBER('Onshore - Brisbane'!G185),OR('Onshore - Brisbane'!F185&lt;&gt;0,ISNUMBER(SEARCH("Material 0 terverifikasi",'Onshore - Brisbane'!M185))),OR('Onshore - Brisbane'!G185&lt;&gt;0,ISNUMBER(SEARCH("Enrolment 0 terverifikasi",'Onshore - Brisbane'!M185)))),1,0)</f>
        <v>0</v>
      </c>
      <c r="M262" s="0" t="n">
        <f aca="false">IF(OR('Onshore - Brisbane'!E185="",ISNUMBER(SEARCH("BSB80120",'Onshore - Brisbane'!B185&amp;'Onshore - Brisbane'!M185)),ISNUMBER(SEARCH("Management (Learning)",'Onshore - Brisbane'!B185))),2,IF(ISNUMBER(SEARCH("CEK:",'Onshore - Brisbane'!M185)),1,0))</f>
        <v>0</v>
      </c>
    </row>
    <row r="263" customFormat="false" ht="15" hidden="false" customHeight="false" outlineLevel="0" collapsed="false">
      <c r="A263" s="63" t="s">
        <v>3563</v>
      </c>
      <c r="B263" s="64" t="s">
        <v>3833</v>
      </c>
      <c r="C263" s="63" t="s">
        <v>42</v>
      </c>
      <c r="D263" s="64" t="str">
        <f aca="false">TRIM(LEFT('Onshore - Brisbane'!A296,FIND(CHAR(10),'Onshore - Brisbane'!A296&amp;CHAR(10))-1))</f>
        <v>Skills Institute Australia</v>
      </c>
      <c r="E263" s="63" t="str">
        <f aca="false">'Onshore - Brisbane'!C305&amp;""</f>
        <v>2 years</v>
      </c>
      <c r="F263" s="63" t="str">
        <f aca="false">IF('Onshore - Brisbane'!D305="","Belum tercatat",'Onshore - Brisbane'!D305)</f>
        <v>Term</v>
      </c>
      <c r="G263" s="65" t="n">
        <f aca="false">IF('Onshore - Brisbane'!E305="","-",'Onshore - Brisbane'!E305)</f>
        <v>1875</v>
      </c>
      <c r="H263" s="63" t="n">
        <f aca="false">IF(ISNUMBER(K263),COUNTIFS($J$6:$J$1916,J263,$K$6:$K$1916,"&lt;"&amp;K263)+1,"-")</f>
        <v>7</v>
      </c>
      <c r="I263" s="64" t="str">
        <f aca="false">IF('Onshore - Brisbane'!E305="","Harga belum tersedia - hubungi konsultan TEG",IF(M263=2,"Saat ini tidak menerima pendaftaran siswa internasional baru",IF(M263=1,"Harga perlu dikonfirmasi ke sekolah"&amp;IF(""="","","; "&amp;""),"")))</f>
        <v/>
      </c>
      <c r="J263" s="0" t="s">
        <v>3848</v>
      </c>
      <c r="K263" s="0" t="n">
        <f aca="false">IF(M263=2,"",IF(ISNUMBER(SEARCH("rata-rata:",'Onshore - Brisbane'!M305)),VALUE(MID('Onshore - Brisbane'!M305,SEARCH("rata-rata:",'Onshore - Brisbane'!M305)+11,FIND(";",'Onshore - Brisbane'!M305&amp;";",SEARCH("rata-rata:",'Onshore - Brisbane'!M305))-SEARCH("rata-rata:",'Onshore - Brisbane'!M305)-11)),IF('Onshore - Brisbane'!D305="Semester",'Onshore - Brisbane'!E305*2,IF('Onshore - Brisbane'!D305="Trimester",'Onshore - Brisbane'!E305*3,IF('Onshore - Brisbane'!D305="Term",'Onshore - Brisbane'!E305*4,IF('Onshore - Brisbane'!D305="Unit",'Onshore - Brisbane'!E305*8,""))))))</f>
        <v>7500</v>
      </c>
      <c r="L263" s="0" t="n">
        <f aca="false">IF(AND(ISNUMBER('Onshore - Brisbane'!E305),ISNUMBER(K263),ISNUMBER('Onshore - Brisbane'!F305),ISNUMBER('Onshore - Brisbane'!G305),OR('Onshore - Brisbane'!F305&lt;&gt;0,ISNUMBER(SEARCH("Material 0 terverifikasi",'Onshore - Brisbane'!M305))),OR('Onshore - Brisbane'!G305&lt;&gt;0,ISNUMBER(SEARCH("Enrolment 0 terverifikasi",'Onshore - Brisbane'!M305)))),1,0)</f>
        <v>1</v>
      </c>
      <c r="M263" s="0" t="n">
        <f aca="false">IF(OR('Onshore - Brisbane'!E305="",ISNUMBER(SEARCH("BSB80120",'Onshore - Brisbane'!B305&amp;'Onshore - Brisbane'!M305)),ISNUMBER(SEARCH("Management (Learning)",'Onshore - Brisbane'!B305))),2,IF(ISNUMBER(SEARCH("CEK:",'Onshore - Brisbane'!M305)),1,0))</f>
        <v>0</v>
      </c>
    </row>
    <row r="264" customFormat="false" ht="15" hidden="false" customHeight="false" outlineLevel="0" collapsed="false">
      <c r="A264" s="63" t="s">
        <v>3563</v>
      </c>
      <c r="B264" s="64" t="s">
        <v>3833</v>
      </c>
      <c r="C264" s="63" t="s">
        <v>42</v>
      </c>
      <c r="D264" s="64" t="str">
        <f aca="false">TRIM(LEFT('Onshore - Brisbane'!A170,FIND(CHAR(10),'Onshore - Brisbane'!A170&amp;CHAR(10))-1))</f>
        <v>Cambridge College</v>
      </c>
      <c r="E264" s="63" t="str">
        <f aca="false">'Onshore - Brisbane'!C173&amp;""</f>
        <v>2 years</v>
      </c>
      <c r="F264" s="63" t="str">
        <f aca="false">IF('Onshore - Brisbane'!D173="","Belum tercatat",'Onshore - Brisbane'!D173)</f>
        <v>Term</v>
      </c>
      <c r="G264" s="65" t="n">
        <f aca="false">IF('Onshore - Brisbane'!E173="","-",'Onshore - Brisbane'!E173)</f>
        <v>2250</v>
      </c>
      <c r="H264" s="63" t="n">
        <f aca="false">IF(ISNUMBER(K264),COUNTIFS($J$6:$J$1916,J264,$K$6:$K$1916,"&lt;"&amp;K264)+1,"-")</f>
        <v>8</v>
      </c>
      <c r="I264" s="64" t="str">
        <f aca="false">IF('Onshore - Brisbane'!E173="","Harga belum tersedia - hubungi konsultan TEG",IF(M264=2,"Saat ini tidak menerima pendaftaran siswa internasional baru",IF(M264=1,"Program perlu dikonfirmasi ketersediaannya"&amp;IF(""="","","; "&amp;""),"")))</f>
        <v>Program perlu dikonfirmasi ketersediaannya</v>
      </c>
      <c r="J264" s="0" t="s">
        <v>3848</v>
      </c>
      <c r="K264" s="0" t="n">
        <f aca="false">IF(M264=2,"",IF(ISNUMBER(SEARCH("rata-rata:",'Onshore - Brisbane'!M173)),VALUE(MID('Onshore - Brisbane'!M173,SEARCH("rata-rata:",'Onshore - Brisbane'!M173)+11,FIND(";",'Onshore - Brisbane'!M173&amp;";",SEARCH("rata-rata:",'Onshore - Brisbane'!M173))-SEARCH("rata-rata:",'Onshore - Brisbane'!M173)-11)),IF('Onshore - Brisbane'!D173="Semester",'Onshore - Brisbane'!E173*2,IF('Onshore - Brisbane'!D173="Trimester",'Onshore - Brisbane'!E173*3,IF('Onshore - Brisbane'!D173="Term",'Onshore - Brisbane'!E173*4,IF('Onshore - Brisbane'!D173="Unit",'Onshore - Brisbane'!E173*8,""))))))</f>
        <v>9000</v>
      </c>
      <c r="L264" s="0" t="n">
        <f aca="false">IF(AND(ISNUMBER('Onshore - Brisbane'!E173),ISNUMBER(K264),ISNUMBER('Onshore - Brisbane'!F173),ISNUMBER('Onshore - Brisbane'!G173),OR('Onshore - Brisbane'!F173&lt;&gt;0,ISNUMBER(SEARCH("Material 0 terverifikasi",'Onshore - Brisbane'!M173))),OR('Onshore - Brisbane'!G173&lt;&gt;0,ISNUMBER(SEARCH("Enrolment 0 terverifikasi",'Onshore - Brisbane'!M173)))),1,0)</f>
        <v>1</v>
      </c>
      <c r="M264" s="0" t="n">
        <f aca="false">IF(OR('Onshore - Brisbane'!E173="",ISNUMBER(SEARCH("BSB80120",'Onshore - Brisbane'!B173&amp;'Onshore - Brisbane'!M173)),ISNUMBER(SEARCH("Management (Learning)",'Onshore - Brisbane'!B173))),2,IF(ISNUMBER(SEARCH("CEK:",'Onshore - Brisbane'!M173)),1,0))</f>
        <v>1</v>
      </c>
    </row>
    <row r="265" customFormat="false" ht="15" hidden="false" customHeight="false" outlineLevel="0" collapsed="false">
      <c r="A265" s="63" t="s">
        <v>3563</v>
      </c>
      <c r="B265" s="64" t="s">
        <v>3833</v>
      </c>
      <c r="C265" s="63" t="s">
        <v>42</v>
      </c>
      <c r="D265" s="64" t="str">
        <f aca="false">TRIM(LEFT('Onshore - Brisbane'!A26,FIND(CHAR(10),'Onshore - Brisbane'!A26&amp;CHAR(10))-1))</f>
        <v>American College</v>
      </c>
      <c r="E265" s="63" t="str">
        <f aca="false">'Onshore - Brisbane'!C26&amp;""</f>
        <v>3 years</v>
      </c>
      <c r="F265" s="63" t="str">
        <f aca="false">IF('Onshore - Brisbane'!D26="","Belum tercatat",'Onshore - Brisbane'!D26)</f>
        <v>Term</v>
      </c>
      <c r="G265" s="65" t="n">
        <f aca="false">IF('Onshore - Brisbane'!E26="","-",'Onshore - Brisbane'!E26)</f>
        <v>2350</v>
      </c>
      <c r="H265" s="63" t="n">
        <f aca="false">IF(ISNUMBER(K265),COUNTIFS($J$6:$J$1916,J265,$K$6:$K$1916,"&lt;"&amp;K265)+1,"-")</f>
        <v>9</v>
      </c>
      <c r="I265" s="64" t="str">
        <f aca="false">IF('Onshore - Brisbane'!E26="","Harga belum tersedia - hubungi konsultan TEG",IF(M265=2,"Saat ini tidak menerima pendaftaran siswa internasional baru",IF(M265=1,"Harga perlu dikonfirmasi ke sekolah"&amp;IF(""="","","; "&amp;""),"")))</f>
        <v/>
      </c>
      <c r="J265" s="0" t="s">
        <v>3848</v>
      </c>
      <c r="K265" s="0" t="n">
        <f aca="false">IF(M265=2,"",IF(ISNUMBER(SEARCH("rata-rata:",'Onshore - Brisbane'!M26)),VALUE(MID('Onshore - Brisbane'!M26,SEARCH("rata-rata:",'Onshore - Brisbane'!M26)+11,FIND(";",'Onshore - Brisbane'!M26&amp;";",SEARCH("rata-rata:",'Onshore - Brisbane'!M26))-SEARCH("rata-rata:",'Onshore - Brisbane'!M26)-11)),IF('Onshore - Brisbane'!D26="Semester",'Onshore - Brisbane'!E26*2,IF('Onshore - Brisbane'!D26="Trimester",'Onshore - Brisbane'!E26*3,IF('Onshore - Brisbane'!D26="Term",'Onshore - Brisbane'!E26*4,IF('Onshore - Brisbane'!D26="Unit",'Onshore - Brisbane'!E26*8,""))))))</f>
        <v>9400</v>
      </c>
      <c r="L265" s="0" t="n">
        <f aca="false">IF(AND(ISNUMBER('Onshore - Brisbane'!E26),ISNUMBER(K265),ISNUMBER('Onshore - Brisbane'!F26),ISNUMBER('Onshore - Brisbane'!G26),OR('Onshore - Brisbane'!F26&lt;&gt;0,ISNUMBER(SEARCH("Material 0 terverifikasi",'Onshore - Brisbane'!M26))),OR('Onshore - Brisbane'!G26&lt;&gt;0,ISNUMBER(SEARCH("Enrolment 0 terverifikasi",'Onshore - Brisbane'!M26)))),1,0)</f>
        <v>1</v>
      </c>
      <c r="M265" s="0" t="n">
        <f aca="false">IF(OR('Onshore - Brisbane'!E26="",ISNUMBER(SEARCH("BSB80120",'Onshore - Brisbane'!B26&amp;'Onshore - Brisbane'!M26)),ISNUMBER(SEARCH("Management (Learning)",'Onshore - Brisbane'!B26))),2,IF(ISNUMBER(SEARCH("CEK:",'Onshore - Brisbane'!M26)),1,0))</f>
        <v>0</v>
      </c>
    </row>
    <row r="266" customFormat="false" ht="15" hidden="false" customHeight="false" outlineLevel="0" collapsed="false">
      <c r="A266" s="61" t="s">
        <v>3849</v>
      </c>
      <c r="B266" s="62"/>
      <c r="C266" s="62"/>
      <c r="D266" s="62"/>
      <c r="E266" s="62"/>
      <c r="F266" s="62"/>
      <c r="G266" s="62"/>
      <c r="H266" s="62"/>
      <c r="I266" s="62"/>
    </row>
    <row r="267" customFormat="false" ht="15" hidden="false" customHeight="false" outlineLevel="0" collapsed="false">
      <c r="A267" s="63" t="s">
        <v>3563</v>
      </c>
      <c r="B267" s="64" t="s">
        <v>3833</v>
      </c>
      <c r="C267" s="63" t="s">
        <v>43</v>
      </c>
      <c r="D267" s="64" t="str">
        <f aca="false">TRIM(LEFT('Onshore - Brisbane'!A8,FIND(CHAR(10),'Onshore - Brisbane'!A8&amp;CHAR(10))-1))</f>
        <v>AIBI Higher Education</v>
      </c>
      <c r="E267" s="63" t="str">
        <f aca="false">'Onshore - Brisbane'!C9&amp;""</f>
        <v>3 years</v>
      </c>
      <c r="F267" s="63" t="str">
        <f aca="false">IF('Onshore - Brisbane'!D9="","Belum tercatat",'Onshore - Brisbane'!D9)</f>
        <v>Term</v>
      </c>
      <c r="G267" s="65" t="n">
        <f aca="false">IF('Onshore - Brisbane'!E9="","-",'Onshore - Brisbane'!E9)</f>
        <v>3250</v>
      </c>
      <c r="H267" s="63" t="n">
        <f aca="false">IF(ISNUMBER(K267),COUNTIFS($J$6:$J$1916,J267,$K$6:$K$1916,"&lt;"&amp;K267)+1,"-")</f>
        <v>1</v>
      </c>
      <c r="I267" s="64" t="str">
        <f aca="false">IF('Onshore - Brisbane'!E9="","Harga belum tersedia - hubungi konsultan TEG",IF(M267=2,"Saat ini tidak menerima pendaftaran siswa internasional baru",IF(M267=1,"Harga perlu dikonfirmasi ke sekolah"&amp;IF(""="","","; "&amp;""),"")))</f>
        <v>Harga perlu dikonfirmasi ke sekolah</v>
      </c>
      <c r="J267" s="0" t="s">
        <v>3850</v>
      </c>
      <c r="K267" s="0" t="n">
        <f aca="false">IF(M267=2,"",IF(ISNUMBER(SEARCH("rata-rata:",'Onshore - Brisbane'!M9)),VALUE(MID('Onshore - Brisbane'!M9,SEARCH("rata-rata:",'Onshore - Brisbane'!M9)+11,FIND(";",'Onshore - Brisbane'!M9&amp;";",SEARCH("rata-rata:",'Onshore - Brisbane'!M9))-SEARCH("rata-rata:",'Onshore - Brisbane'!M9)-11)),IF('Onshore - Brisbane'!D9="Semester",'Onshore - Brisbane'!E9*2,IF('Onshore - Brisbane'!D9="Trimester",'Onshore - Brisbane'!E9*3,IF('Onshore - Brisbane'!D9="Term",'Onshore - Brisbane'!E9*4,IF('Onshore - Brisbane'!D9="Unit",'Onshore - Brisbane'!E9*8,""))))))</f>
        <v>13000</v>
      </c>
      <c r="L267" s="0" t="n">
        <f aca="false">IF(AND(ISNUMBER('Onshore - Brisbane'!E9),ISNUMBER(K267),ISNUMBER('Onshore - Brisbane'!F9),ISNUMBER('Onshore - Brisbane'!G9),OR('Onshore - Brisbane'!F9&lt;&gt;0,ISNUMBER(SEARCH("Material 0 terverifikasi",'Onshore - Brisbane'!M9))),OR('Onshore - Brisbane'!G9&lt;&gt;0,ISNUMBER(SEARCH("Enrolment 0 terverifikasi",'Onshore - Brisbane'!M9)))),1,0)</f>
        <v>0</v>
      </c>
      <c r="M267" s="0" t="n">
        <f aca="false">IF(OR('Onshore - Brisbane'!E9="",ISNUMBER(SEARCH("BSB80120",'Onshore - Brisbane'!B9&amp;'Onshore - Brisbane'!M9)),ISNUMBER(SEARCH("Management (Learning)",'Onshore - Brisbane'!B9))),2,IF(ISNUMBER(SEARCH("CEK:",'Onshore - Brisbane'!M9)),1,0))</f>
        <v>1</v>
      </c>
    </row>
    <row r="268" customFormat="false" ht="15" hidden="false" customHeight="false" outlineLevel="0" collapsed="false">
      <c r="A268" s="63" t="s">
        <v>3563</v>
      </c>
      <c r="B268" s="64" t="s">
        <v>3833</v>
      </c>
      <c r="C268" s="63" t="s">
        <v>43</v>
      </c>
      <c r="D268" s="64" t="str">
        <f aca="false">TRIM(LEFT('Onshore - Brisbane'!A33,FIND(CHAR(10),'Onshore - Brisbane'!A33&amp;CHAR(10))-1))</f>
        <v>Asia Pacific International College (APIC)</v>
      </c>
      <c r="E268" s="63" t="str">
        <f aca="false">'Onshore - Brisbane'!C36&amp;""</f>
        <v>3 years</v>
      </c>
      <c r="F268" s="63" t="str">
        <f aca="false">IF('Onshore - Brisbane'!D36="","Belum tercatat",'Onshore - Brisbane'!D36)</f>
        <v>Trimester</v>
      </c>
      <c r="G268" s="65" t="n">
        <f aca="false">IF('Onshore - Brisbane'!E36="","-",'Onshore - Brisbane'!E36)</f>
        <v>4500</v>
      </c>
      <c r="H268" s="63" t="n">
        <f aca="false">IF(ISNUMBER(K268),COUNTIFS($J$6:$J$1916,J268,$K$6:$K$1916,"&lt;"&amp;K268)+1,"-")</f>
        <v>2</v>
      </c>
      <c r="I268" s="64" t="str">
        <f aca="false">IF('Onshore - Brisbane'!E36="","Harga belum tersedia - hubungi konsultan TEG",IF(M268=2,"Saat ini tidak menerima pendaftaran siswa internasional baru",IF(M268=1,"Harga perlu dikonfirmasi ke sekolah"&amp;IF("Harga promo s.d. 31/12/2026"="","","; "&amp;"Harga promo s.d. 31/12/2026"),"Harga promo s.d. 31/12/2026")))</f>
        <v>Harga promo s.d. 31/12/2026</v>
      </c>
      <c r="J268" s="0" t="s">
        <v>3850</v>
      </c>
      <c r="K268" s="0" t="n">
        <f aca="false">IF(M268=2,"",IF(ISNUMBER(SEARCH("rata-rata:",'Onshore - Brisbane'!M36)),VALUE(MID('Onshore - Brisbane'!M36,SEARCH("rata-rata:",'Onshore - Brisbane'!M36)+11,FIND(";",'Onshore - Brisbane'!M36&amp;";",SEARCH("rata-rata:",'Onshore - Brisbane'!M36))-SEARCH("rata-rata:",'Onshore - Brisbane'!M36)-11)),IF('Onshore - Brisbane'!D36="Semester",'Onshore - Brisbane'!E36*2,IF('Onshore - Brisbane'!D36="Trimester",'Onshore - Brisbane'!E36*3,IF('Onshore - Brisbane'!D36="Term",'Onshore - Brisbane'!E36*4,IF('Onshore - Brisbane'!D36="Unit",'Onshore - Brisbane'!E36*8,""))))))</f>
        <v>13500</v>
      </c>
      <c r="L268" s="0" t="n">
        <f aca="false">IF(AND(ISNUMBER('Onshore - Brisbane'!E36),ISNUMBER(K268),ISNUMBER('Onshore - Brisbane'!F36),ISNUMBER('Onshore - Brisbane'!G36),OR('Onshore - Brisbane'!F36&lt;&gt;0,ISNUMBER(SEARCH("Material 0 terverifikasi",'Onshore - Brisbane'!M36))),OR('Onshore - Brisbane'!G36&lt;&gt;0,ISNUMBER(SEARCH("Enrolment 0 terverifikasi",'Onshore - Brisbane'!M36)))),1,0)</f>
        <v>0</v>
      </c>
      <c r="M268" s="0" t="n">
        <f aca="false">IF(OR('Onshore - Brisbane'!E36="",ISNUMBER(SEARCH("BSB80120",'Onshore - Brisbane'!B36&amp;'Onshore - Brisbane'!M36)),ISNUMBER(SEARCH("Management (Learning)",'Onshore - Brisbane'!B36))),2,IF(ISNUMBER(SEARCH("CEK:",'Onshore - Brisbane'!M36)),1,0))</f>
        <v>0</v>
      </c>
    </row>
    <row r="269" customFormat="false" ht="15" hidden="false" customHeight="false" outlineLevel="0" collapsed="false">
      <c r="A269" s="63" t="s">
        <v>3563</v>
      </c>
      <c r="B269" s="64" t="s">
        <v>3833</v>
      </c>
      <c r="C269" s="63" t="s">
        <v>43</v>
      </c>
      <c r="D269" s="64" t="str">
        <f aca="false">TRIM(LEFT('Onshore - Brisbane'!A307,FIND(CHAR(10),'Onshore - Brisbane'!A307&amp;CHAR(10))-1))</f>
        <v>Torrens University Australia</v>
      </c>
      <c r="E269" s="63" t="str">
        <f aca="false">'Onshore - Brisbane'!C308&amp;""</f>
        <v>3 years</v>
      </c>
      <c r="F269" s="63" t="str">
        <f aca="false">IF('Onshore - Brisbane'!D308="","Belum tercatat",'Onshore - Brisbane'!D308)</f>
        <v>Term</v>
      </c>
      <c r="G269" s="65" t="n">
        <f aca="false">IF('Onshore - Brisbane'!E308="","-",'Onshore - Brisbane'!E308)</f>
        <v>7900</v>
      </c>
      <c r="H269" s="63" t="n">
        <f aca="false">IF(ISNUMBER(K269),COUNTIFS($J$6:$J$1916,J269,$K$6:$K$1916,"&lt;"&amp;K269)+1,"-")</f>
        <v>3</v>
      </c>
      <c r="I269" s="64" t="str">
        <f aca="false">IF('Onshore - Brisbane'!E308="","Harga belum tersedia - hubungi konsultan TEG",IF(M269=2,"Saat ini tidak menerima pendaftaran siswa internasional baru",IF(M269=1,"Harga perlu dikonfirmasi ke sekolah"&amp;IF(""="","","; "&amp;""),"")))</f>
        <v/>
      </c>
      <c r="J269" s="0" t="s">
        <v>3850</v>
      </c>
      <c r="K269" s="0" t="n">
        <f aca="false">IF(M269=2,"",IF(ISNUMBER(SEARCH("rata-rata:",'Onshore - Brisbane'!M308)),VALUE(MID('Onshore - Brisbane'!M308,SEARCH("rata-rata:",'Onshore - Brisbane'!M308)+11,FIND(";",'Onshore - Brisbane'!M308&amp;";",SEARCH("rata-rata:",'Onshore - Brisbane'!M308))-SEARCH("rata-rata:",'Onshore - Brisbane'!M308)-11)),IF('Onshore - Brisbane'!D308="Semester",'Onshore - Brisbane'!E308*2,IF('Onshore - Brisbane'!D308="Trimester",'Onshore - Brisbane'!E308*3,IF('Onshore - Brisbane'!D308="Term",'Onshore - Brisbane'!E308*4,IF('Onshore - Brisbane'!D308="Unit",'Onshore - Brisbane'!E308*8,""))))))</f>
        <v>31600</v>
      </c>
      <c r="L269" s="0" t="n">
        <f aca="false">IF(AND(ISNUMBER('Onshore - Brisbane'!E308),ISNUMBER(K269),ISNUMBER('Onshore - Brisbane'!F308),ISNUMBER('Onshore - Brisbane'!G308),OR('Onshore - Brisbane'!F308&lt;&gt;0,ISNUMBER(SEARCH("Material 0 terverifikasi",'Onshore - Brisbane'!M308))),OR('Onshore - Brisbane'!G308&lt;&gt;0,ISNUMBER(SEARCH("Enrolment 0 terverifikasi",'Onshore - Brisbane'!M308)))),1,0)</f>
        <v>0</v>
      </c>
      <c r="M269" s="0" t="n">
        <f aca="false">IF(OR('Onshore - Brisbane'!E308="",ISNUMBER(SEARCH("BSB80120",'Onshore - Brisbane'!B308&amp;'Onshore - Brisbane'!M308)),ISNUMBER(SEARCH("Management (Learning)",'Onshore - Brisbane'!B308))),2,IF(ISNUMBER(SEARCH("CEK:",'Onshore - Brisbane'!M308)),1,0))</f>
        <v>0</v>
      </c>
    </row>
    <row r="270" customFormat="false" ht="15" hidden="false" customHeight="false" outlineLevel="0" collapsed="false">
      <c r="A270" s="63" t="s">
        <v>3563</v>
      </c>
      <c r="B270" s="64" t="s">
        <v>3833</v>
      </c>
      <c r="C270" s="63" t="s">
        <v>43</v>
      </c>
      <c r="D270" s="64" t="str">
        <f aca="false">TRIM(LEFT('Onshore - Brisbane'!A249,FIND(CHAR(10),'Onshore - Brisbane'!A249&amp;CHAR(10))-1))</f>
        <v>Kaplan Business School</v>
      </c>
      <c r="E270" s="63" t="str">
        <f aca="false">'Onshore - Brisbane'!C250&amp;""</f>
        <v>3 years</v>
      </c>
      <c r="F270" s="63" t="str">
        <f aca="false">IF('Onshore - Brisbane'!D250="","Belum tercatat",'Onshore - Brisbane'!D250)</f>
        <v>Trimester</v>
      </c>
      <c r="G270" s="65" t="n">
        <f aca="false">IF('Onshore - Brisbane'!E250="","-",'Onshore - Brisbane'!E250)</f>
        <v>11520</v>
      </c>
      <c r="H270" s="63" t="n">
        <f aca="false">IF(ISNUMBER(K270),COUNTIFS($J$6:$J$1916,J270,$K$6:$K$1916,"&lt;"&amp;K270)+1,"-")</f>
        <v>4</v>
      </c>
      <c r="I270" s="64" t="str">
        <f aca="false">IF('Onshore - Brisbane'!E250="","Harga belum tersedia - hubungi konsultan TEG",IF(M270=2,"Saat ini tidak menerima pendaftaran siswa internasional baru",IF(M270=1,"Harga perlu dikonfirmasi ke sekolah"&amp;IF(""="","","; "&amp;""),"")))</f>
        <v>Harga perlu dikonfirmasi ke sekolah</v>
      </c>
      <c r="J270" s="0" t="s">
        <v>3850</v>
      </c>
      <c r="K270" s="0" t="n">
        <f aca="false">IF(M270=2,"",IF(ISNUMBER(SEARCH("rata-rata:",'Onshore - Brisbane'!M250)),VALUE(MID('Onshore - Brisbane'!M250,SEARCH("rata-rata:",'Onshore - Brisbane'!M250)+11,FIND(";",'Onshore - Brisbane'!M250&amp;";",SEARCH("rata-rata:",'Onshore - Brisbane'!M250))-SEARCH("rata-rata:",'Onshore - Brisbane'!M250)-11)),IF('Onshore - Brisbane'!D250="Semester",'Onshore - Brisbane'!E250*2,IF('Onshore - Brisbane'!D250="Trimester",'Onshore - Brisbane'!E250*3,IF('Onshore - Brisbane'!D250="Term",'Onshore - Brisbane'!E250*4,IF('Onshore - Brisbane'!D250="Unit",'Onshore - Brisbane'!E250*8,""))))))</f>
        <v>34560</v>
      </c>
      <c r="L270" s="0" t="n">
        <f aca="false">IF(AND(ISNUMBER('Onshore - Brisbane'!E250),ISNUMBER(K270),ISNUMBER('Onshore - Brisbane'!F250),ISNUMBER('Onshore - Brisbane'!G250),OR('Onshore - Brisbane'!F250&lt;&gt;0,ISNUMBER(SEARCH("Material 0 terverifikasi",'Onshore - Brisbane'!M250))),OR('Onshore - Brisbane'!G250&lt;&gt;0,ISNUMBER(SEARCH("Enrolment 0 terverifikasi",'Onshore - Brisbane'!M250)))),1,0)</f>
        <v>1</v>
      </c>
      <c r="M270" s="0" t="n">
        <f aca="false">IF(OR('Onshore - Brisbane'!E250="",ISNUMBER(SEARCH("BSB80120",'Onshore - Brisbane'!B250&amp;'Onshore - Brisbane'!M250)),ISNUMBER(SEARCH("Management (Learning)",'Onshore - Brisbane'!B250))),2,IF(ISNUMBER(SEARCH("CEK:",'Onshore - Brisbane'!M250)),1,0))</f>
        <v>1</v>
      </c>
    </row>
    <row r="271" customFormat="false" ht="15" hidden="false" customHeight="false" outlineLevel="0" collapsed="false">
      <c r="A271" s="63" t="s">
        <v>3563</v>
      </c>
      <c r="B271" s="64" t="s">
        <v>3833</v>
      </c>
      <c r="C271" s="63" t="s">
        <v>43</v>
      </c>
      <c r="D271" s="64" t="str">
        <f aca="false">TRIM(LEFT('Onshore - Brisbane'!A53,FIND(CHAR(10),'Onshore - Brisbane'!A53&amp;CHAR(10))-1))</f>
        <v>Australian Catholic University (ACU)</v>
      </c>
      <c r="E271" s="63" t="str">
        <f aca="false">'Onshore - Brisbane'!C54&amp;""</f>
        <v>4 years</v>
      </c>
      <c r="F271" s="63" t="str">
        <f aca="false">IF('Onshore - Brisbane'!D54="","Belum tercatat",'Onshore - Brisbane'!D54)</f>
        <v>Term</v>
      </c>
      <c r="G271" s="65" t="n">
        <f aca="false">IF('Onshore - Brisbane'!E54="","-",'Onshore - Brisbane'!E54)</f>
        <v>8742</v>
      </c>
      <c r="H271" s="63" t="n">
        <f aca="false">IF(ISNUMBER(K271),COUNTIFS($J$6:$J$1916,J271,$K$6:$K$1916,"&lt;"&amp;K271)+1,"-")</f>
        <v>5</v>
      </c>
      <c r="I271" s="64" t="str">
        <f aca="false">IF('Onshore - Brisbane'!E54="","Harga belum tersedia - hubungi konsultan TEG",IF(M271=2,"Saat ini tidak menerima pendaftaran siswa internasional baru",IF(M271=1,"Harga perlu dikonfirmasi ke sekolah"&amp;IF(""="","","; "&amp;""),"")))</f>
        <v/>
      </c>
      <c r="J271" s="0" t="s">
        <v>3850</v>
      </c>
      <c r="K271" s="0" t="n">
        <f aca="false">IF(M271=2,"",IF(ISNUMBER(SEARCH("rata-rata:",'Onshore - Brisbane'!M54)),VALUE(MID('Onshore - Brisbane'!M54,SEARCH("rata-rata:",'Onshore - Brisbane'!M54)+11,FIND(";",'Onshore - Brisbane'!M54&amp;";",SEARCH("rata-rata:",'Onshore - Brisbane'!M54))-SEARCH("rata-rata:",'Onshore - Brisbane'!M54)-11)),IF('Onshore - Brisbane'!D54="Semester",'Onshore - Brisbane'!E54*2,IF('Onshore - Brisbane'!D54="Trimester",'Onshore - Brisbane'!E54*3,IF('Onshore - Brisbane'!D54="Term",'Onshore - Brisbane'!E54*4,IF('Onshore - Brisbane'!D54="Unit",'Onshore - Brisbane'!E54*8,""))))))</f>
        <v>34968</v>
      </c>
      <c r="L271" s="0" t="n">
        <f aca="false">IF(AND(ISNUMBER('Onshore - Brisbane'!E54),ISNUMBER(K271),ISNUMBER('Onshore - Brisbane'!F54),ISNUMBER('Onshore - Brisbane'!G54),OR('Onshore - Brisbane'!F54&lt;&gt;0,ISNUMBER(SEARCH("Material 0 terverifikasi",'Onshore - Brisbane'!M54))),OR('Onshore - Brisbane'!G54&lt;&gt;0,ISNUMBER(SEARCH("Enrolment 0 terverifikasi",'Onshore - Brisbane'!M54)))),1,0)</f>
        <v>0</v>
      </c>
      <c r="M271" s="0" t="n">
        <f aca="false">IF(OR('Onshore - Brisbane'!E54="",ISNUMBER(SEARCH("BSB80120",'Onshore - Brisbane'!B54&amp;'Onshore - Brisbane'!M54)),ISNUMBER(SEARCH("Management (Learning)",'Onshore - Brisbane'!B54))),2,IF(ISNUMBER(SEARCH("CEK:",'Onshore - Brisbane'!M54)),1,0))</f>
        <v>0</v>
      </c>
    </row>
    <row r="272" customFormat="false" ht="15" hidden="false" customHeight="false" outlineLevel="0" collapsed="false">
      <c r="A272" s="61" t="s">
        <v>3851</v>
      </c>
      <c r="B272" s="62"/>
      <c r="C272" s="62"/>
      <c r="D272" s="62"/>
      <c r="E272" s="62"/>
      <c r="F272" s="62"/>
      <c r="G272" s="62"/>
      <c r="H272" s="62"/>
      <c r="I272" s="62"/>
    </row>
    <row r="273" customFormat="false" ht="15" hidden="false" customHeight="false" outlineLevel="0" collapsed="false">
      <c r="A273" s="63" t="s">
        <v>3563</v>
      </c>
      <c r="B273" s="64" t="s">
        <v>3833</v>
      </c>
      <c r="C273" s="63" t="s">
        <v>3707</v>
      </c>
      <c r="D273" s="64" t="str">
        <f aca="false">TRIM(LEFT('Onshore - Brisbane'!A8,FIND(CHAR(10),'Onshore - Brisbane'!A8&amp;CHAR(10))-1))</f>
        <v>AIBI Higher Education</v>
      </c>
      <c r="E273" s="63" t="str">
        <f aca="false">'Onshore - Brisbane'!C19&amp;""</f>
        <v>8 months</v>
      </c>
      <c r="F273" s="63" t="str">
        <f aca="false">IF('Onshore - Brisbane'!D19="","Belum tercatat",'Onshore - Brisbane'!D19)</f>
        <v>Term</v>
      </c>
      <c r="G273" s="65" t="n">
        <f aca="false">IF('Onshore - Brisbane'!E19="","-",'Onshore - Brisbane'!E19)</f>
        <v>2700</v>
      </c>
      <c r="H273" s="63" t="n">
        <f aca="false">IF(ISNUMBER(K273),COUNTIFS($J$6:$J$1916,J273,$K$6:$K$1916,"&lt;"&amp;K273)+1,"-")</f>
        <v>1</v>
      </c>
      <c r="I273" s="64" t="str">
        <f aca="false">IF('Onshore - Brisbane'!E19="","Harga belum tersedia - hubungi konsultan TEG",IF(M273=2,"Saat ini tidak menerima pendaftaran siswa internasional baru",IF(M273=1,"Harga perlu dikonfirmasi ke sekolah"&amp;IF(""="","","; "&amp;""),"")))</f>
        <v>Harga perlu dikonfirmasi ke sekolah</v>
      </c>
      <c r="J273" s="0" t="s">
        <v>3852</v>
      </c>
      <c r="K273" s="0" t="n">
        <f aca="false">IF(M273=2,"",IF(ISNUMBER(SEARCH("rata-rata:",'Onshore - Brisbane'!M19)),VALUE(MID('Onshore - Brisbane'!M19,SEARCH("rata-rata:",'Onshore - Brisbane'!M19)+11,FIND(";",'Onshore - Brisbane'!M19&amp;";",SEARCH("rata-rata:",'Onshore - Brisbane'!M19))-SEARCH("rata-rata:",'Onshore - Brisbane'!M19)-11)),IF('Onshore - Brisbane'!D19="Semester",'Onshore - Brisbane'!E19*2,IF('Onshore - Brisbane'!D19="Trimester",'Onshore - Brisbane'!E19*3,IF('Onshore - Brisbane'!D19="Term",'Onshore - Brisbane'!E19*4,IF('Onshore - Brisbane'!D19="Unit",'Onshore - Brisbane'!E19*8,""))))))</f>
        <v>10800</v>
      </c>
      <c r="L273" s="0" t="n">
        <f aca="false">IF(AND(ISNUMBER('Onshore - Brisbane'!E19),ISNUMBER(K273),ISNUMBER('Onshore - Brisbane'!F19),ISNUMBER('Onshore - Brisbane'!G19),OR('Onshore - Brisbane'!F19&lt;&gt;0,ISNUMBER(SEARCH("Material 0 terverifikasi",'Onshore - Brisbane'!M19))),OR('Onshore - Brisbane'!G19&lt;&gt;0,ISNUMBER(SEARCH("Enrolment 0 terverifikasi",'Onshore - Brisbane'!M19)))),1,0)</f>
        <v>0</v>
      </c>
      <c r="M273" s="0" t="n">
        <f aca="false">IF(OR('Onshore - Brisbane'!E19="",ISNUMBER(SEARCH("BSB80120",'Onshore - Brisbane'!B19&amp;'Onshore - Brisbane'!M19)),ISNUMBER(SEARCH("Management (Learning)",'Onshore - Brisbane'!B19))),2,IF(ISNUMBER(SEARCH("CEK:",'Onshore - Brisbane'!M19)),1,0))</f>
        <v>1</v>
      </c>
    </row>
    <row r="274" customFormat="false" ht="15" hidden="false" customHeight="false" outlineLevel="0" collapsed="false">
      <c r="A274" s="63" t="s">
        <v>3563</v>
      </c>
      <c r="B274" s="64" t="s">
        <v>3833</v>
      </c>
      <c r="C274" s="63" t="s">
        <v>3707</v>
      </c>
      <c r="D274" s="64" t="str">
        <f aca="false">TRIM(LEFT('Onshore - Brisbane'!A50,FIND(CHAR(10),'Onshore - Brisbane'!A50&amp;CHAR(10))-1))</f>
        <v>Australian Business Institute (ABI)</v>
      </c>
      <c r="E274" s="63" t="str">
        <f aca="false">'Onshore - Brisbane'!C51&amp;""</f>
        <v>1 year</v>
      </c>
      <c r="F274" s="63" t="str">
        <f aca="false">IF('Onshore - Brisbane'!D51="","Belum tercatat",'Onshore - Brisbane'!D51)</f>
        <v>Term</v>
      </c>
      <c r="G274" s="65" t="n">
        <f aca="false">IF('Onshore - Brisbane'!E51="","-",'Onshore - Brisbane'!E51)</f>
        <v>4000</v>
      </c>
      <c r="H274" s="63" t="n">
        <f aca="false">IF(ISNUMBER(K274),COUNTIFS($J$6:$J$1916,J274,$K$6:$K$1916,"&lt;"&amp;K274)+1,"-")</f>
        <v>2</v>
      </c>
      <c r="I274" s="64" t="str">
        <f aca="false">IF('Onshore - Brisbane'!E51="","Harga belum tersedia - hubungi konsultan TEG",IF(M274=2,"Saat ini tidak menerima pendaftaran siswa internasional baru",IF(M274=1,"Harga perlu dikonfirmasi ke sekolah"&amp;IF(""="","","; "&amp;""),"")))</f>
        <v/>
      </c>
      <c r="J274" s="0" t="s">
        <v>3852</v>
      </c>
      <c r="K274" s="0" t="n">
        <f aca="false">IF(M274=2,"",IF(ISNUMBER(SEARCH("rata-rata:",'Onshore - Brisbane'!M51)),VALUE(MID('Onshore - Brisbane'!M51,SEARCH("rata-rata:",'Onshore - Brisbane'!M51)+11,FIND(";",'Onshore - Brisbane'!M51&amp;";",SEARCH("rata-rata:",'Onshore - Brisbane'!M51))-SEARCH("rata-rata:",'Onshore - Brisbane'!M51)-11)),IF('Onshore - Brisbane'!D51="Semester",'Onshore - Brisbane'!E51*2,IF('Onshore - Brisbane'!D51="Trimester",'Onshore - Brisbane'!E51*3,IF('Onshore - Brisbane'!D51="Term",'Onshore - Brisbane'!E51*4,IF('Onshore - Brisbane'!D51="Unit",'Onshore - Brisbane'!E51*8,""))))))</f>
        <v>16000</v>
      </c>
      <c r="L274" s="0" t="n">
        <f aca="false">IF(AND(ISNUMBER('Onshore - Brisbane'!E51),ISNUMBER(K274),ISNUMBER('Onshore - Brisbane'!F51),ISNUMBER('Onshore - Brisbane'!G51),OR('Onshore - Brisbane'!F51&lt;&gt;0,ISNUMBER(SEARCH("Material 0 terverifikasi",'Onshore - Brisbane'!M51))),OR('Onshore - Brisbane'!G51&lt;&gt;0,ISNUMBER(SEARCH("Enrolment 0 terverifikasi",'Onshore - Brisbane'!M51)))),1,0)</f>
        <v>0</v>
      </c>
      <c r="M274" s="0" t="n">
        <f aca="false">IF(OR('Onshore - Brisbane'!E51="",ISNUMBER(SEARCH("BSB80120",'Onshore - Brisbane'!B51&amp;'Onshore - Brisbane'!M51)),ISNUMBER(SEARCH("Management (Learning)",'Onshore - Brisbane'!B51))),2,IF(ISNUMBER(SEARCH("CEK:",'Onshore - Brisbane'!M51)),1,0))</f>
        <v>0</v>
      </c>
    </row>
    <row r="275" customFormat="false" ht="15" hidden="false" customHeight="false" outlineLevel="0" collapsed="false">
      <c r="A275" s="63" t="s">
        <v>3563</v>
      </c>
      <c r="B275" s="64" t="s">
        <v>3833</v>
      </c>
      <c r="C275" s="63" t="s">
        <v>3707</v>
      </c>
      <c r="D275" s="64" t="str">
        <f aca="false">TRIM(LEFT('Onshore - Brisbane'!A307,FIND(CHAR(10),'Onshore - Brisbane'!A307&amp;CHAR(10))-1))</f>
        <v>Torrens University Australia</v>
      </c>
      <c r="E275" s="63" t="str">
        <f aca="false">'Onshore - Brisbane'!C316&amp;""</f>
        <v>0,5 year</v>
      </c>
      <c r="F275" s="63" t="str">
        <f aca="false">IF('Onshore - Brisbane'!D316="","Belum tercatat",'Onshore - Brisbane'!D316)</f>
        <v>Term</v>
      </c>
      <c r="G275" s="65" t="n">
        <f aca="false">IF('Onshore - Brisbane'!E316="","-",'Onshore - Brisbane'!E316)</f>
        <v>4500</v>
      </c>
      <c r="H275" s="63" t="n">
        <f aca="false">IF(ISNUMBER(K275),COUNTIFS($J$6:$J$1916,J275,$K$6:$K$1916,"&lt;"&amp;K275)+1,"-")</f>
        <v>3</v>
      </c>
      <c r="I275" s="64" t="str">
        <f aca="false">IF('Onshore - Brisbane'!E316="","Harga belum tersedia - hubungi konsultan TEG",IF(M275=2,"Saat ini tidak menerima pendaftaran siswa internasional baru",IF(M275=1,"Harga perlu dikonfirmasi ke sekolah"&amp;IF(""="","","; "&amp;""),"")))</f>
        <v/>
      </c>
      <c r="J275" s="0" t="s">
        <v>3852</v>
      </c>
      <c r="K275" s="0" t="n">
        <f aca="false">IF(M275=2,"",IF(ISNUMBER(SEARCH("rata-rata:",'Onshore - Brisbane'!M316)),VALUE(MID('Onshore - Brisbane'!M316,SEARCH("rata-rata:",'Onshore - Brisbane'!M316)+11,FIND(";",'Onshore - Brisbane'!M316&amp;";",SEARCH("rata-rata:",'Onshore - Brisbane'!M316))-SEARCH("rata-rata:",'Onshore - Brisbane'!M316)-11)),IF('Onshore - Brisbane'!D316="Semester",'Onshore - Brisbane'!E316*2,IF('Onshore - Brisbane'!D316="Trimester",'Onshore - Brisbane'!E316*3,IF('Onshore - Brisbane'!D316="Term",'Onshore - Brisbane'!E316*4,IF('Onshore - Brisbane'!D316="Unit",'Onshore - Brisbane'!E316*8,""))))))</f>
        <v>18000</v>
      </c>
      <c r="L275" s="0" t="n">
        <f aca="false">IF(AND(ISNUMBER('Onshore - Brisbane'!E316),ISNUMBER(K275),ISNUMBER('Onshore - Brisbane'!F316),ISNUMBER('Onshore - Brisbane'!G316),OR('Onshore - Brisbane'!F316&lt;&gt;0,ISNUMBER(SEARCH("Material 0 terverifikasi",'Onshore - Brisbane'!M316))),OR('Onshore - Brisbane'!G316&lt;&gt;0,ISNUMBER(SEARCH("Enrolment 0 terverifikasi",'Onshore - Brisbane'!M316)))),1,0)</f>
        <v>0</v>
      </c>
      <c r="M275" s="0" t="n">
        <f aca="false">IF(OR('Onshore - Brisbane'!E316="",ISNUMBER(SEARCH("BSB80120",'Onshore - Brisbane'!B316&amp;'Onshore - Brisbane'!M316)),ISNUMBER(SEARCH("Management (Learning)",'Onshore - Brisbane'!B316))),2,IF(ISNUMBER(SEARCH("CEK:",'Onshore - Brisbane'!M316)),1,0))</f>
        <v>0</v>
      </c>
    </row>
    <row r="276" customFormat="false" ht="15" hidden="false" customHeight="false" outlineLevel="0" collapsed="false">
      <c r="A276" s="63" t="s">
        <v>3563</v>
      </c>
      <c r="B276" s="64" t="s">
        <v>3833</v>
      </c>
      <c r="C276" s="63" t="s">
        <v>3707</v>
      </c>
      <c r="D276" s="64" t="str">
        <f aca="false">TRIM(LEFT('Onshore - Brisbane'!A53,FIND(CHAR(10),'Onshore - Brisbane'!A53&amp;CHAR(10))-1))</f>
        <v>Australian Catholic University (ACU)</v>
      </c>
      <c r="E276" s="63" t="str">
        <f aca="false">'Onshore - Brisbane'!C78&amp;""</f>
        <v>0,5 year</v>
      </c>
      <c r="F276" s="63" t="str">
        <f aca="false">IF('Onshore - Brisbane'!D78="","Belum tercatat",'Onshore - Brisbane'!D78)</f>
        <v>Term</v>
      </c>
      <c r="G276" s="65" t="n">
        <f aca="false">IF('Onshore - Brisbane'!E78="","-",'Onshore - Brisbane'!E78)</f>
        <v>4614</v>
      </c>
      <c r="H276" s="63" t="n">
        <f aca="false">IF(ISNUMBER(K276),COUNTIFS($J$6:$J$1916,J276,$K$6:$K$1916,"&lt;"&amp;K276)+1,"-")</f>
        <v>4</v>
      </c>
      <c r="I276" s="64" t="str">
        <f aca="false">IF('Onshore - Brisbane'!E78="","Harga belum tersedia - hubungi konsultan TEG",IF(M276=2,"Saat ini tidak menerima pendaftaran siswa internasional baru",IF(M276=1,"Harga perlu dikonfirmasi ke sekolah"&amp;IF(""="","","; "&amp;""),"")))</f>
        <v>Harga perlu dikonfirmasi ke sekolah</v>
      </c>
      <c r="J276" s="0" t="s">
        <v>3852</v>
      </c>
      <c r="K276" s="0" t="n">
        <f aca="false">IF(M276=2,"",IF(ISNUMBER(SEARCH("rata-rata:",'Onshore - Brisbane'!M78)),VALUE(MID('Onshore - Brisbane'!M78,SEARCH("rata-rata:",'Onshore - Brisbane'!M78)+11,FIND(";",'Onshore - Brisbane'!M78&amp;";",SEARCH("rata-rata:",'Onshore - Brisbane'!M78))-SEARCH("rata-rata:",'Onshore - Brisbane'!M78)-11)),IF('Onshore - Brisbane'!D78="Semester",'Onshore - Brisbane'!E78*2,IF('Onshore - Brisbane'!D78="Trimester",'Onshore - Brisbane'!E78*3,IF('Onshore - Brisbane'!D78="Term",'Onshore - Brisbane'!E78*4,IF('Onshore - Brisbane'!D78="Unit",'Onshore - Brisbane'!E78*8,""))))))</f>
        <v>18456</v>
      </c>
      <c r="L276" s="0" t="n">
        <f aca="false">IF(AND(ISNUMBER('Onshore - Brisbane'!E78),ISNUMBER(K276),ISNUMBER('Onshore - Brisbane'!F78),ISNUMBER('Onshore - Brisbane'!G78),OR('Onshore - Brisbane'!F78&lt;&gt;0,ISNUMBER(SEARCH("Material 0 terverifikasi",'Onshore - Brisbane'!M78))),OR('Onshore - Brisbane'!G78&lt;&gt;0,ISNUMBER(SEARCH("Enrolment 0 terverifikasi",'Onshore - Brisbane'!M78)))),1,0)</f>
        <v>0</v>
      </c>
      <c r="M276" s="0" t="n">
        <f aca="false">IF(OR('Onshore - Brisbane'!E78="",ISNUMBER(SEARCH("BSB80120",'Onshore - Brisbane'!B78&amp;'Onshore - Brisbane'!M78)),ISNUMBER(SEARCH("Management (Learning)",'Onshore - Brisbane'!B78))),2,IF(ISNUMBER(SEARCH("CEK:",'Onshore - Brisbane'!M78)),1,0))</f>
        <v>1</v>
      </c>
    </row>
    <row r="277" customFormat="false" ht="15" hidden="false" customHeight="false" outlineLevel="0" collapsed="false">
      <c r="A277" s="63" t="s">
        <v>3563</v>
      </c>
      <c r="B277" s="64" t="s">
        <v>3833</v>
      </c>
      <c r="C277" s="63" t="s">
        <v>3707</v>
      </c>
      <c r="D277" s="64" t="str">
        <f aca="false">TRIM(LEFT('Onshore - Brisbane'!A33,FIND(CHAR(10),'Onshore - Brisbane'!A33&amp;CHAR(10))-1))</f>
        <v>Asia Pacific International College (APIC)</v>
      </c>
      <c r="E277" s="63" t="str">
        <f aca="false">'Onshore - Brisbane'!C38&amp;""</f>
        <v>0,75 year</v>
      </c>
      <c r="F277" s="63" t="str">
        <f aca="false">IF('Onshore - Brisbane'!D38="","Belum tercatat",'Onshore - Brisbane'!D38)</f>
        <v>Trimester</v>
      </c>
      <c r="G277" s="65" t="n">
        <f aca="false">IF('Onshore - Brisbane'!E38="","-",'Onshore - Brisbane'!E38)</f>
        <v>7800</v>
      </c>
      <c r="H277" s="63" t="n">
        <f aca="false">IF(ISNUMBER(K277),COUNTIFS($J$6:$J$1916,J277,$K$6:$K$1916,"&lt;"&amp;K277)+1,"-")</f>
        <v>5</v>
      </c>
      <c r="I277" s="64" t="str">
        <f aca="false">IF('Onshore - Brisbane'!E38="","Harga belum tersedia - hubungi konsultan TEG",IF(M277=2,"Saat ini tidak menerima pendaftaran siswa internasional baru",IF(M277=1,"Harga perlu dikonfirmasi ke sekolah"&amp;IF(""="","","; "&amp;""),"")))</f>
        <v>Harga perlu dikonfirmasi ke sekolah</v>
      </c>
      <c r="J277" s="0" t="s">
        <v>3852</v>
      </c>
      <c r="K277" s="0" t="n">
        <f aca="false">IF(M277=2,"",IF(ISNUMBER(SEARCH("rata-rata:",'Onshore - Brisbane'!M38)),VALUE(MID('Onshore - Brisbane'!M38,SEARCH("rata-rata:",'Onshore - Brisbane'!M38)+11,FIND(";",'Onshore - Brisbane'!M38&amp;";",SEARCH("rata-rata:",'Onshore - Brisbane'!M38))-SEARCH("rata-rata:",'Onshore - Brisbane'!M38)-11)),IF('Onshore - Brisbane'!D38="Semester",'Onshore - Brisbane'!E38*2,IF('Onshore - Brisbane'!D38="Trimester",'Onshore - Brisbane'!E38*3,IF('Onshore - Brisbane'!D38="Term",'Onshore - Brisbane'!E38*4,IF('Onshore - Brisbane'!D38="Unit",'Onshore - Brisbane'!E38*8,""))))))</f>
        <v>23400</v>
      </c>
      <c r="L277" s="0" t="n">
        <f aca="false">IF(AND(ISNUMBER('Onshore - Brisbane'!E38),ISNUMBER(K277),ISNUMBER('Onshore - Brisbane'!F38),ISNUMBER('Onshore - Brisbane'!G38),OR('Onshore - Brisbane'!F38&lt;&gt;0,ISNUMBER(SEARCH("Material 0 terverifikasi",'Onshore - Brisbane'!M38))),OR('Onshore - Brisbane'!G38&lt;&gt;0,ISNUMBER(SEARCH("Enrolment 0 terverifikasi",'Onshore - Brisbane'!M38)))),1,0)</f>
        <v>0</v>
      </c>
      <c r="M277" s="0" t="n">
        <f aca="false">IF(OR('Onshore - Brisbane'!E38="",ISNUMBER(SEARCH("BSB80120",'Onshore - Brisbane'!B38&amp;'Onshore - Brisbane'!M38)),ISNUMBER(SEARCH("Management (Learning)",'Onshore - Brisbane'!B38))),2,IF(ISNUMBER(SEARCH("CEK:",'Onshore - Brisbane'!M38)),1,0))</f>
        <v>1</v>
      </c>
    </row>
    <row r="278" customFormat="false" ht="15" hidden="false" customHeight="false" outlineLevel="0" collapsed="false">
      <c r="A278" s="63" t="s">
        <v>3563</v>
      </c>
      <c r="B278" s="64" t="s">
        <v>3833</v>
      </c>
      <c r="C278" s="63" t="s">
        <v>3707</v>
      </c>
      <c r="D278" s="64" t="str">
        <f aca="false">TRIM(LEFT('Onshore - Brisbane'!A249,FIND(CHAR(10),'Onshore - Brisbane'!A249&amp;CHAR(10))-1))</f>
        <v>Kaplan Business School</v>
      </c>
      <c r="E278" s="63" t="str">
        <f aca="false">'Onshore - Brisbane'!C251&amp;""</f>
        <v>0,5 year</v>
      </c>
      <c r="F278" s="63" t="str">
        <f aca="false">IF('Onshore - Brisbane'!D251="","Belum tercatat",'Onshore - Brisbane'!D251)</f>
        <v>Trimester</v>
      </c>
      <c r="G278" s="65" t="n">
        <f aca="false">IF('Onshore - Brisbane'!E251="","-",'Onshore - Brisbane'!E251)</f>
        <v>19640</v>
      </c>
      <c r="H278" s="63" t="n">
        <f aca="false">IF(ISNUMBER(K278),COUNTIFS($J$6:$J$1916,J278,$K$6:$K$1916,"&lt;"&amp;K278)+1,"-")</f>
        <v>6</v>
      </c>
      <c r="I278" s="64" t="str">
        <f aca="false">IF('Onshore - Brisbane'!E251="","Harga belum tersedia - hubungi konsultan TEG",IF(M278=2,"Saat ini tidak menerima pendaftaran siswa internasional baru",IF(M278=1,"Harga perlu dikonfirmasi ke sekolah"&amp;IF(""="","","; "&amp;""),"")))</f>
        <v>Harga perlu dikonfirmasi ke sekolah</v>
      </c>
      <c r="J278" s="0" t="s">
        <v>3852</v>
      </c>
      <c r="K278" s="0" t="n">
        <f aca="false">IF(M278=2,"",IF(ISNUMBER(SEARCH("rata-rata:",'Onshore - Brisbane'!M251)),VALUE(MID('Onshore - Brisbane'!M251,SEARCH("rata-rata:",'Onshore - Brisbane'!M251)+11,FIND(";",'Onshore - Brisbane'!M251&amp;";",SEARCH("rata-rata:",'Onshore - Brisbane'!M251))-SEARCH("rata-rata:",'Onshore - Brisbane'!M251)-11)),IF('Onshore - Brisbane'!D251="Semester",'Onshore - Brisbane'!E251*2,IF('Onshore - Brisbane'!D251="Trimester",'Onshore - Brisbane'!E251*3,IF('Onshore - Brisbane'!D251="Term",'Onshore - Brisbane'!E251*4,IF('Onshore - Brisbane'!D251="Unit",'Onshore - Brisbane'!E251*8,""))))))</f>
        <v>58920</v>
      </c>
      <c r="L278" s="0" t="n">
        <f aca="false">IF(AND(ISNUMBER('Onshore - Brisbane'!E251),ISNUMBER(K278),ISNUMBER('Onshore - Brisbane'!F251),ISNUMBER('Onshore - Brisbane'!G251),OR('Onshore - Brisbane'!F251&lt;&gt;0,ISNUMBER(SEARCH("Material 0 terverifikasi",'Onshore - Brisbane'!M251))),OR('Onshore - Brisbane'!G251&lt;&gt;0,ISNUMBER(SEARCH("Enrolment 0 terverifikasi",'Onshore - Brisbane'!M251)))),1,0)</f>
        <v>1</v>
      </c>
      <c r="M278" s="0" t="n">
        <f aca="false">IF(OR('Onshore - Brisbane'!E251="",ISNUMBER(SEARCH("BSB80120",'Onshore - Brisbane'!B251&amp;'Onshore - Brisbane'!M251)),ISNUMBER(SEARCH("Management (Learning)",'Onshore - Brisbane'!B251))),2,IF(ISNUMBER(SEARCH("CEK:",'Onshore - Brisbane'!M251)),1,0))</f>
        <v>1</v>
      </c>
    </row>
    <row r="279" customFormat="false" ht="15" hidden="false" customHeight="false" outlineLevel="0" collapsed="false">
      <c r="A279" s="61" t="s">
        <v>3853</v>
      </c>
      <c r="B279" s="62"/>
      <c r="C279" s="62"/>
      <c r="D279" s="62"/>
      <c r="E279" s="62"/>
      <c r="F279" s="62"/>
      <c r="G279" s="62"/>
      <c r="H279" s="62"/>
      <c r="I279" s="62"/>
    </row>
    <row r="280" customFormat="false" ht="15" hidden="false" customHeight="false" outlineLevel="0" collapsed="false">
      <c r="A280" s="63" t="s">
        <v>3563</v>
      </c>
      <c r="B280" s="64" t="s">
        <v>3833</v>
      </c>
      <c r="C280" s="63" t="s">
        <v>46</v>
      </c>
      <c r="D280" s="64" t="str">
        <f aca="false">TRIM(LEFT('Onshore - Brisbane'!A46,FIND(CHAR(10),'Onshore - Brisbane'!A46&amp;CHAR(10))-1))</f>
        <v>Australian Agribusiness Institute</v>
      </c>
      <c r="E280" s="63" t="str">
        <f aca="false">'Onshore - Brisbane'!C48&amp;""</f>
        <v>2 years</v>
      </c>
      <c r="F280" s="63" t="str">
        <f aca="false">IF('Onshore - Brisbane'!D48="","Belum tercatat",'Onshore - Brisbane'!D48)</f>
        <v>Term</v>
      </c>
      <c r="G280" s="65" t="n">
        <f aca="false">IF('Onshore - Brisbane'!E48="","-",'Onshore - Brisbane'!E48)</f>
        <v>4000</v>
      </c>
      <c r="H280" s="63" t="n">
        <f aca="false">IF(ISNUMBER(K280),COUNTIFS($J$6:$J$1916,J280,$K$6:$K$1916,"&lt;"&amp;K280)+1,"-")</f>
        <v>1</v>
      </c>
      <c r="I280" s="64" t="str">
        <f aca="false">IF('Onshore - Brisbane'!E48="","Harga belum tersedia - hubungi konsultan TEG",IF(M280=2,"Saat ini tidak menerima pendaftaran siswa internasional baru",IF(M280=1,"Harga perlu dikonfirmasi ke sekolah"&amp;IF(""="","","; "&amp;""),"")))</f>
        <v>Harga perlu dikonfirmasi ke sekolah</v>
      </c>
      <c r="J280" s="0" t="s">
        <v>3854</v>
      </c>
      <c r="K280" s="0" t="n">
        <f aca="false">IF(M280=2,"",IF(ISNUMBER(SEARCH("rata-rata:",'Onshore - Brisbane'!M48)),VALUE(MID('Onshore - Brisbane'!M48,SEARCH("rata-rata:",'Onshore - Brisbane'!M48)+11,FIND(";",'Onshore - Brisbane'!M48&amp;";",SEARCH("rata-rata:",'Onshore - Brisbane'!M48))-SEARCH("rata-rata:",'Onshore - Brisbane'!M48)-11)),IF('Onshore - Brisbane'!D48="Semester",'Onshore - Brisbane'!E48*2,IF('Onshore - Brisbane'!D48="Trimester",'Onshore - Brisbane'!E48*3,IF('Onshore - Brisbane'!D48="Term",'Onshore - Brisbane'!E48*4,IF('Onshore - Brisbane'!D48="Unit",'Onshore - Brisbane'!E48*8,""))))))</f>
        <v>16000</v>
      </c>
      <c r="L280" s="0" t="n">
        <f aca="false">IF(AND(ISNUMBER('Onshore - Brisbane'!E48),ISNUMBER(K280),ISNUMBER('Onshore - Brisbane'!F48),ISNUMBER('Onshore - Brisbane'!G48),OR('Onshore - Brisbane'!F48&lt;&gt;0,ISNUMBER(SEARCH("Material 0 terverifikasi",'Onshore - Brisbane'!M48))),OR('Onshore - Brisbane'!G48&lt;&gt;0,ISNUMBER(SEARCH("Enrolment 0 terverifikasi",'Onshore - Brisbane'!M48)))),1,0)</f>
        <v>0</v>
      </c>
      <c r="M280" s="0" t="n">
        <f aca="false">IF(OR('Onshore - Brisbane'!E48="",ISNUMBER(SEARCH("BSB80120",'Onshore - Brisbane'!B48&amp;'Onshore - Brisbane'!M48)),ISNUMBER(SEARCH("Management (Learning)",'Onshore - Brisbane'!B48))),2,IF(ISNUMBER(SEARCH("CEK:",'Onshore - Brisbane'!M48)),1,0))</f>
        <v>1</v>
      </c>
    </row>
    <row r="281" customFormat="false" ht="15" hidden="false" customHeight="false" outlineLevel="0" collapsed="false">
      <c r="A281" s="63" t="s">
        <v>3563</v>
      </c>
      <c r="B281" s="64" t="s">
        <v>3833</v>
      </c>
      <c r="C281" s="63" t="s">
        <v>46</v>
      </c>
      <c r="D281" s="64" t="str">
        <f aca="false">TRIM(LEFT('Onshore - Brisbane'!A50,FIND(CHAR(10),'Onshore - Brisbane'!A50&amp;CHAR(10))-1))</f>
        <v>Australian Business Institute (ABI)</v>
      </c>
      <c r="E281" s="63" t="str">
        <f aca="false">'Onshore - Brisbane'!C52&amp;""</f>
        <v>2 years</v>
      </c>
      <c r="F281" s="63" t="str">
        <f aca="false">IF('Onshore - Brisbane'!D52="","Belum tercatat",'Onshore - Brisbane'!D52)</f>
        <v>Term</v>
      </c>
      <c r="G281" s="65" t="n">
        <f aca="false">IF('Onshore - Brisbane'!E52="","-",'Onshore - Brisbane'!E52)</f>
        <v>4000</v>
      </c>
      <c r="H281" s="63" t="n">
        <f aca="false">IF(ISNUMBER(K281),COUNTIFS($J$6:$J$1916,J281,$K$6:$K$1916,"&lt;"&amp;K281)+1,"-")</f>
        <v>1</v>
      </c>
      <c r="I281" s="64" t="str">
        <f aca="false">IF('Onshore - Brisbane'!E52="","Harga belum tersedia - hubungi konsultan TEG",IF(M281=2,"Saat ini tidak menerima pendaftaran siswa internasional baru",IF(M281=1,"Harga perlu dikonfirmasi ke sekolah"&amp;IF(""="","","; "&amp;""),"")))</f>
        <v/>
      </c>
      <c r="J281" s="0" t="s">
        <v>3854</v>
      </c>
      <c r="K281" s="0" t="n">
        <f aca="false">IF(M281=2,"",IF(ISNUMBER(SEARCH("rata-rata:",'Onshore - Brisbane'!M52)),VALUE(MID('Onshore - Brisbane'!M52,SEARCH("rata-rata:",'Onshore - Brisbane'!M52)+11,FIND(";",'Onshore - Brisbane'!M52&amp;";",SEARCH("rata-rata:",'Onshore - Brisbane'!M52))-SEARCH("rata-rata:",'Onshore - Brisbane'!M52)-11)),IF('Onshore - Brisbane'!D52="Semester",'Onshore - Brisbane'!E52*2,IF('Onshore - Brisbane'!D52="Trimester",'Onshore - Brisbane'!E52*3,IF('Onshore - Brisbane'!D52="Term",'Onshore - Brisbane'!E52*4,IF('Onshore - Brisbane'!D52="Unit",'Onshore - Brisbane'!E52*8,""))))))</f>
        <v>16000</v>
      </c>
      <c r="L281" s="0" t="n">
        <f aca="false">IF(AND(ISNUMBER('Onshore - Brisbane'!E52),ISNUMBER(K281),ISNUMBER('Onshore - Brisbane'!F52),ISNUMBER('Onshore - Brisbane'!G52),OR('Onshore - Brisbane'!F52&lt;&gt;0,ISNUMBER(SEARCH("Material 0 terverifikasi",'Onshore - Brisbane'!M52))),OR('Onshore - Brisbane'!G52&lt;&gt;0,ISNUMBER(SEARCH("Enrolment 0 terverifikasi",'Onshore - Brisbane'!M52)))),1,0)</f>
        <v>0</v>
      </c>
      <c r="M281" s="0" t="n">
        <f aca="false">IF(OR('Onshore - Brisbane'!E52="",ISNUMBER(SEARCH("BSB80120",'Onshore - Brisbane'!B52&amp;'Onshore - Brisbane'!M52)),ISNUMBER(SEARCH("Management (Learning)",'Onshore - Brisbane'!B52))),2,IF(ISNUMBER(SEARCH("CEK:",'Onshore - Brisbane'!M52)),1,0))</f>
        <v>0</v>
      </c>
    </row>
    <row r="282" customFormat="false" ht="15" hidden="false" customHeight="false" outlineLevel="0" collapsed="false">
      <c r="A282" s="63" t="s">
        <v>3563</v>
      </c>
      <c r="B282" s="64" t="s">
        <v>3833</v>
      </c>
      <c r="C282" s="63" t="s">
        <v>46</v>
      </c>
      <c r="D282" s="64" t="str">
        <f aca="false">TRIM(LEFT('Onshore - Brisbane'!A8,FIND(CHAR(10),'Onshore - Brisbane'!A8&amp;CHAR(10))-1))</f>
        <v>AIBI Higher Education</v>
      </c>
      <c r="E282" s="63" t="str">
        <f aca="false">'Onshore - Brisbane'!C13&amp;""</f>
        <v>2 years</v>
      </c>
      <c r="F282" s="63" t="str">
        <f aca="false">IF('Onshore - Brisbane'!D13="","Belum tercatat",'Onshore - Brisbane'!D13)</f>
        <v>Term</v>
      </c>
      <c r="G282" s="65" t="n">
        <f aca="false">IF('Onshore - Brisbane'!E13="","-",'Onshore - Brisbane'!E13)</f>
        <v>4050</v>
      </c>
      <c r="H282" s="63" t="n">
        <f aca="false">IF(ISNUMBER(K282),COUNTIFS($J$6:$J$1916,J282,$K$6:$K$1916,"&lt;"&amp;K282)+1,"-")</f>
        <v>3</v>
      </c>
      <c r="I282" s="64" t="str">
        <f aca="false">IF('Onshore - Brisbane'!E13="","Harga belum tersedia - hubungi konsultan TEG",IF(M282=2,"Saat ini tidak menerima pendaftaran siswa internasional baru",IF(M282=1,"Harga perlu dikonfirmasi ke sekolah"&amp;IF(""="","","; "&amp;""),"")))</f>
        <v>Harga perlu dikonfirmasi ke sekolah</v>
      </c>
      <c r="J282" s="0" t="s">
        <v>3854</v>
      </c>
      <c r="K282" s="0" t="n">
        <f aca="false">IF(M282=2,"",IF(ISNUMBER(SEARCH("rata-rata:",'Onshore - Brisbane'!M13)),VALUE(MID('Onshore - Brisbane'!M13,SEARCH("rata-rata:",'Onshore - Brisbane'!M13)+11,FIND(";",'Onshore - Brisbane'!M13&amp;";",SEARCH("rata-rata:",'Onshore - Brisbane'!M13))-SEARCH("rata-rata:",'Onshore - Brisbane'!M13)-11)),IF('Onshore - Brisbane'!D13="Semester",'Onshore - Brisbane'!E13*2,IF('Onshore - Brisbane'!D13="Trimester",'Onshore - Brisbane'!E13*3,IF('Onshore - Brisbane'!D13="Term",'Onshore - Brisbane'!E13*4,IF('Onshore - Brisbane'!D13="Unit",'Onshore - Brisbane'!E13*8,""))))))</f>
        <v>16200</v>
      </c>
      <c r="L282" s="0" t="n">
        <f aca="false">IF(AND(ISNUMBER('Onshore - Brisbane'!E13),ISNUMBER(K282),ISNUMBER('Onshore - Brisbane'!F13),ISNUMBER('Onshore - Brisbane'!G13),OR('Onshore - Brisbane'!F13&lt;&gt;0,ISNUMBER(SEARCH("Material 0 terverifikasi",'Onshore - Brisbane'!M13))),OR('Onshore - Brisbane'!G13&lt;&gt;0,ISNUMBER(SEARCH("Enrolment 0 terverifikasi",'Onshore - Brisbane'!M13)))),1,0)</f>
        <v>0</v>
      </c>
      <c r="M282" s="0" t="n">
        <f aca="false">IF(OR('Onshore - Brisbane'!E13="",ISNUMBER(SEARCH("BSB80120",'Onshore - Brisbane'!B13&amp;'Onshore - Brisbane'!M13)),ISNUMBER(SEARCH("Management (Learning)",'Onshore - Brisbane'!B13))),2,IF(ISNUMBER(SEARCH("CEK:",'Onshore - Brisbane'!M13)),1,0))</f>
        <v>1</v>
      </c>
    </row>
    <row r="283" customFormat="false" ht="15" hidden="false" customHeight="false" outlineLevel="0" collapsed="false">
      <c r="A283" s="63" t="s">
        <v>3563</v>
      </c>
      <c r="B283" s="64" t="s">
        <v>3833</v>
      </c>
      <c r="C283" s="63" t="s">
        <v>46</v>
      </c>
      <c r="D283" s="64" t="str">
        <f aca="false">TRIM(LEFT('Onshore - Brisbane'!A33,FIND(CHAR(10),'Onshore - Brisbane'!A33&amp;CHAR(10))-1))</f>
        <v>Asia Pacific International College (APIC)</v>
      </c>
      <c r="E283" s="63" t="str">
        <f aca="false">'Onshore - Brisbane'!C40&amp;""</f>
        <v>2 years</v>
      </c>
      <c r="F283" s="63" t="str">
        <f aca="false">IF('Onshore - Brisbane'!D40="","Belum tercatat",'Onshore - Brisbane'!D40)</f>
        <v>Trimester</v>
      </c>
      <c r="G283" s="65" t="n">
        <f aca="false">IF('Onshore - Brisbane'!E40="","-",'Onshore - Brisbane'!E40)</f>
        <v>7800</v>
      </c>
      <c r="H283" s="63" t="n">
        <f aca="false">IF(ISNUMBER(K283),COUNTIFS($J$6:$J$1916,J283,$K$6:$K$1916,"&lt;"&amp;K283)+1,"-")</f>
        <v>4</v>
      </c>
      <c r="I283" s="64" t="str">
        <f aca="false">IF('Onshore - Brisbane'!E40="","Harga belum tersedia - hubungi konsultan TEG",IF(M283=2,"Saat ini tidak menerima pendaftaran siswa internasional baru",IF(M283=1,"Harga perlu dikonfirmasi ke sekolah"&amp;IF(""="","","; "&amp;""),"")))</f>
        <v>Harga perlu dikonfirmasi ke sekolah</v>
      </c>
      <c r="J283" s="0" t="s">
        <v>3854</v>
      </c>
      <c r="K283" s="0" t="n">
        <f aca="false">IF(M283=2,"",IF(ISNUMBER(SEARCH("rata-rata:",'Onshore - Brisbane'!M40)),VALUE(MID('Onshore - Brisbane'!M40,SEARCH("rata-rata:",'Onshore - Brisbane'!M40)+11,FIND(";",'Onshore - Brisbane'!M40&amp;";",SEARCH("rata-rata:",'Onshore - Brisbane'!M40))-SEARCH("rata-rata:",'Onshore - Brisbane'!M40)-11)),IF('Onshore - Brisbane'!D40="Semester",'Onshore - Brisbane'!E40*2,IF('Onshore - Brisbane'!D40="Trimester",'Onshore - Brisbane'!E40*3,IF('Onshore - Brisbane'!D40="Term",'Onshore - Brisbane'!E40*4,IF('Onshore - Brisbane'!D40="Unit",'Onshore - Brisbane'!E40*8,""))))))</f>
        <v>23400</v>
      </c>
      <c r="L283" s="0" t="n">
        <f aca="false">IF(AND(ISNUMBER('Onshore - Brisbane'!E40),ISNUMBER(K283),ISNUMBER('Onshore - Brisbane'!F40),ISNUMBER('Onshore - Brisbane'!G40),OR('Onshore - Brisbane'!F40&lt;&gt;0,ISNUMBER(SEARCH("Material 0 terverifikasi",'Onshore - Brisbane'!M40))),OR('Onshore - Brisbane'!G40&lt;&gt;0,ISNUMBER(SEARCH("Enrolment 0 terverifikasi",'Onshore - Brisbane'!M40)))),1,0)</f>
        <v>0</v>
      </c>
      <c r="M283" s="0" t="n">
        <f aca="false">IF(OR('Onshore - Brisbane'!E40="",ISNUMBER(SEARCH("BSB80120",'Onshore - Brisbane'!B40&amp;'Onshore - Brisbane'!M40)),ISNUMBER(SEARCH("Management (Learning)",'Onshore - Brisbane'!B40))),2,IF(ISNUMBER(SEARCH("CEK:",'Onshore - Brisbane'!M40)),1,0))</f>
        <v>1</v>
      </c>
    </row>
    <row r="284" customFormat="false" ht="15" hidden="false" customHeight="false" outlineLevel="0" collapsed="false">
      <c r="A284" s="63" t="s">
        <v>3563</v>
      </c>
      <c r="B284" s="64" t="s">
        <v>3833</v>
      </c>
      <c r="C284" s="63" t="s">
        <v>46</v>
      </c>
      <c r="D284" s="64" t="str">
        <f aca="false">TRIM(LEFT('Onshore - Brisbane'!A307,FIND(CHAR(10),'Onshore - Brisbane'!A307&amp;CHAR(10))-1))</f>
        <v>Torrens University Australia</v>
      </c>
      <c r="E284" s="63" t="str">
        <f aca="false">'Onshore - Brisbane'!C318&amp;""</f>
        <v>1,5 years</v>
      </c>
      <c r="F284" s="63" t="str">
        <f aca="false">IF('Onshore - Brisbane'!D318="","Belum tercatat",'Onshore - Brisbane'!D318)</f>
        <v>Term</v>
      </c>
      <c r="G284" s="65" t="n">
        <f aca="false">IF('Onshore - Brisbane'!E318="","-",'Onshore - Brisbane'!E318)</f>
        <v>9000</v>
      </c>
      <c r="H284" s="63" t="n">
        <f aca="false">IF(ISNUMBER(K284),COUNTIFS($J$6:$J$1916,J284,$K$6:$K$1916,"&lt;"&amp;K284)+1,"-")</f>
        <v>5</v>
      </c>
      <c r="I284" s="64" t="str">
        <f aca="false">IF('Onshore - Brisbane'!E318="","Harga belum tersedia - hubungi konsultan TEG",IF(M284=2,"Saat ini tidak menerima pendaftaran siswa internasional baru",IF(M284=1,"Harga perlu dikonfirmasi ke sekolah"&amp;IF(""="","","; "&amp;""),"")))</f>
        <v/>
      </c>
      <c r="J284" s="0" t="s">
        <v>3854</v>
      </c>
      <c r="K284" s="0" t="n">
        <f aca="false">IF(M284=2,"",IF(ISNUMBER(SEARCH("rata-rata:",'Onshore - Brisbane'!M318)),VALUE(MID('Onshore - Brisbane'!M318,SEARCH("rata-rata:",'Onshore - Brisbane'!M318)+11,FIND(";",'Onshore - Brisbane'!M318&amp;";",SEARCH("rata-rata:",'Onshore - Brisbane'!M318))-SEARCH("rata-rata:",'Onshore - Brisbane'!M318)-11)),IF('Onshore - Brisbane'!D318="Semester",'Onshore - Brisbane'!E318*2,IF('Onshore - Brisbane'!D318="Trimester",'Onshore - Brisbane'!E318*3,IF('Onshore - Brisbane'!D318="Term",'Onshore - Brisbane'!E318*4,IF('Onshore - Brisbane'!D318="Unit",'Onshore - Brisbane'!E318*8,""))))))</f>
        <v>36000</v>
      </c>
      <c r="L284" s="0" t="n">
        <f aca="false">IF(AND(ISNUMBER('Onshore - Brisbane'!E318),ISNUMBER(K284),ISNUMBER('Onshore - Brisbane'!F318),ISNUMBER('Onshore - Brisbane'!G318),OR('Onshore - Brisbane'!F318&lt;&gt;0,ISNUMBER(SEARCH("Material 0 terverifikasi",'Onshore - Brisbane'!M318))),OR('Onshore - Brisbane'!G318&lt;&gt;0,ISNUMBER(SEARCH("Enrolment 0 terverifikasi",'Onshore - Brisbane'!M318)))),1,0)</f>
        <v>0</v>
      </c>
      <c r="M284" s="0" t="n">
        <f aca="false">IF(OR('Onshore - Brisbane'!E318="",ISNUMBER(SEARCH("BSB80120",'Onshore - Brisbane'!B318&amp;'Onshore - Brisbane'!M318)),ISNUMBER(SEARCH("Management (Learning)",'Onshore - Brisbane'!B318))),2,IF(ISNUMBER(SEARCH("CEK:",'Onshore - Brisbane'!M318)),1,0))</f>
        <v>0</v>
      </c>
    </row>
    <row r="285" customFormat="false" ht="15" hidden="false" customHeight="false" outlineLevel="0" collapsed="false">
      <c r="A285" s="63" t="s">
        <v>3563</v>
      </c>
      <c r="B285" s="64" t="s">
        <v>3833</v>
      </c>
      <c r="C285" s="63" t="s">
        <v>46</v>
      </c>
      <c r="D285" s="64" t="str">
        <f aca="false">TRIM(LEFT('Onshore - Brisbane'!A53,FIND(CHAR(10),'Onshore - Brisbane'!A53&amp;CHAR(10))-1))</f>
        <v>Australian Catholic University (ACU)</v>
      </c>
      <c r="E285" s="63" t="str">
        <f aca="false">'Onshore - Brisbane'!C79&amp;""</f>
        <v>2 years</v>
      </c>
      <c r="F285" s="63" t="str">
        <f aca="false">IF('Onshore - Brisbane'!D79="","Belum tercatat",'Onshore - Brisbane'!D79)</f>
        <v>Term</v>
      </c>
      <c r="G285" s="65" t="n">
        <f aca="false">IF('Onshore - Brisbane'!E79="","-",'Onshore - Brisbane'!E79)</f>
        <v>9524</v>
      </c>
      <c r="H285" s="63" t="n">
        <f aca="false">IF(ISNUMBER(K285),COUNTIFS($J$6:$J$1916,J285,$K$6:$K$1916,"&lt;"&amp;K285)+1,"-")</f>
        <v>6</v>
      </c>
      <c r="I285" s="64" t="str">
        <f aca="false">IF('Onshore - Brisbane'!E79="","Harga belum tersedia - hubungi konsultan TEG",IF(M285=2,"Saat ini tidak menerima pendaftaran siswa internasional baru",IF(M285=1,"Harga perlu dikonfirmasi ke sekolah"&amp;IF(""="","","; "&amp;""),"")))</f>
        <v/>
      </c>
      <c r="J285" s="0" t="s">
        <v>3854</v>
      </c>
      <c r="K285" s="0" t="n">
        <f aca="false">IF(M285=2,"",IF(ISNUMBER(SEARCH("rata-rata:",'Onshore - Brisbane'!M79)),VALUE(MID('Onshore - Brisbane'!M79,SEARCH("rata-rata:",'Onshore - Brisbane'!M79)+11,FIND(";",'Onshore - Brisbane'!M79&amp;";",SEARCH("rata-rata:",'Onshore - Brisbane'!M79))-SEARCH("rata-rata:",'Onshore - Brisbane'!M79)-11)),IF('Onshore - Brisbane'!D79="Semester",'Onshore - Brisbane'!E79*2,IF('Onshore - Brisbane'!D79="Trimester",'Onshore - Brisbane'!E79*3,IF('Onshore - Brisbane'!D79="Term",'Onshore - Brisbane'!E79*4,IF('Onshore - Brisbane'!D79="Unit",'Onshore - Brisbane'!E79*8,""))))))</f>
        <v>38096</v>
      </c>
      <c r="L285" s="0" t="n">
        <f aca="false">IF(AND(ISNUMBER('Onshore - Brisbane'!E79),ISNUMBER(K285),ISNUMBER('Onshore - Brisbane'!F79),ISNUMBER('Onshore - Brisbane'!G79),OR('Onshore - Brisbane'!F79&lt;&gt;0,ISNUMBER(SEARCH("Material 0 terverifikasi",'Onshore - Brisbane'!M79))),OR('Onshore - Brisbane'!G79&lt;&gt;0,ISNUMBER(SEARCH("Enrolment 0 terverifikasi",'Onshore - Brisbane'!M79)))),1,0)</f>
        <v>0</v>
      </c>
      <c r="M285" s="0" t="n">
        <f aca="false">IF(OR('Onshore - Brisbane'!E79="",ISNUMBER(SEARCH("BSB80120",'Onshore - Brisbane'!B79&amp;'Onshore - Brisbane'!M79)),ISNUMBER(SEARCH("Management (Learning)",'Onshore - Brisbane'!B79))),2,IF(ISNUMBER(SEARCH("CEK:",'Onshore - Brisbane'!M79)),1,0))</f>
        <v>0</v>
      </c>
    </row>
    <row r="286" customFormat="false" ht="15" hidden="false" customHeight="false" outlineLevel="0" collapsed="false">
      <c r="A286" s="63" t="s">
        <v>3563</v>
      </c>
      <c r="B286" s="64" t="s">
        <v>3833</v>
      </c>
      <c r="C286" s="63" t="s">
        <v>46</v>
      </c>
      <c r="D286" s="64" t="str">
        <f aca="false">TRIM(LEFT('Onshore - Brisbane'!A249,FIND(CHAR(10),'Onshore - Brisbane'!A249&amp;CHAR(10))-1))</f>
        <v>Kaplan Business School</v>
      </c>
      <c r="E286" s="63" t="str">
        <f aca="false">'Onshore - Brisbane'!C253&amp;""</f>
        <v>1,5 years</v>
      </c>
      <c r="F286" s="63" t="str">
        <f aca="false">IF('Onshore - Brisbane'!D253="","Belum tercatat",'Onshore - Brisbane'!D253)</f>
        <v>Trimester</v>
      </c>
      <c r="G286" s="65" t="n">
        <f aca="false">IF('Onshore - Brisbane'!E253="","-",'Onshore - Brisbane'!E253)</f>
        <v>19640</v>
      </c>
      <c r="H286" s="63" t="n">
        <f aca="false">IF(ISNUMBER(K286),COUNTIFS($J$6:$J$1916,J286,$K$6:$K$1916,"&lt;"&amp;K286)+1,"-")</f>
        <v>7</v>
      </c>
      <c r="I286" s="64" t="str">
        <f aca="false">IF('Onshore - Brisbane'!E253="","Harga belum tersedia - hubungi konsultan TEG",IF(M286=2,"Saat ini tidak menerima pendaftaran siswa internasional baru",IF(M286=1,"Harga perlu dikonfirmasi ke sekolah"&amp;IF(""="","","; "&amp;""),"")))</f>
        <v>Harga perlu dikonfirmasi ke sekolah</v>
      </c>
      <c r="J286" s="0" t="s">
        <v>3854</v>
      </c>
      <c r="K286" s="0" t="n">
        <f aca="false">IF(M286=2,"",IF(ISNUMBER(SEARCH("rata-rata:",'Onshore - Brisbane'!M253)),VALUE(MID('Onshore - Brisbane'!M253,SEARCH("rata-rata:",'Onshore - Brisbane'!M253)+11,FIND(";",'Onshore - Brisbane'!M253&amp;";",SEARCH("rata-rata:",'Onshore - Brisbane'!M253))-SEARCH("rata-rata:",'Onshore - Brisbane'!M253)-11)),IF('Onshore - Brisbane'!D253="Semester",'Onshore - Brisbane'!E253*2,IF('Onshore - Brisbane'!D253="Trimester",'Onshore - Brisbane'!E253*3,IF('Onshore - Brisbane'!D253="Term",'Onshore - Brisbane'!E253*4,IF('Onshore - Brisbane'!D253="Unit",'Onshore - Brisbane'!E253*8,""))))))</f>
        <v>58920</v>
      </c>
      <c r="L286" s="0" t="n">
        <f aca="false">IF(AND(ISNUMBER('Onshore - Brisbane'!E253),ISNUMBER(K286),ISNUMBER('Onshore - Brisbane'!F253),ISNUMBER('Onshore - Brisbane'!G253),OR('Onshore - Brisbane'!F253&lt;&gt;0,ISNUMBER(SEARCH("Material 0 terverifikasi",'Onshore - Brisbane'!M253))),OR('Onshore - Brisbane'!G253&lt;&gt;0,ISNUMBER(SEARCH("Enrolment 0 terverifikasi",'Onshore - Brisbane'!M253)))),1,0)</f>
        <v>1</v>
      </c>
      <c r="M286" s="0" t="n">
        <f aca="false">IF(OR('Onshore - Brisbane'!E253="",ISNUMBER(SEARCH("BSB80120",'Onshore - Brisbane'!B253&amp;'Onshore - Brisbane'!M253)),ISNUMBER(SEARCH("Management (Learning)",'Onshore - Brisbane'!B253))),2,IF(ISNUMBER(SEARCH("CEK:",'Onshore - Brisbane'!M253)),1,0))</f>
        <v>1</v>
      </c>
    </row>
    <row r="287" customFormat="false" ht="15" hidden="false" customHeight="false" outlineLevel="0" collapsed="false">
      <c r="A287" s="61" t="s">
        <v>3855</v>
      </c>
      <c r="B287" s="62"/>
      <c r="C287" s="62"/>
      <c r="D287" s="62"/>
      <c r="E287" s="62"/>
      <c r="F287" s="62"/>
      <c r="G287" s="62"/>
      <c r="H287" s="62"/>
      <c r="I287" s="62"/>
    </row>
    <row r="288" customFormat="false" ht="15" hidden="false" customHeight="false" outlineLevel="0" collapsed="false">
      <c r="A288" s="63" t="s">
        <v>3718</v>
      </c>
      <c r="B288" s="64" t="s">
        <v>3833</v>
      </c>
      <c r="C288" s="63" t="s">
        <v>41</v>
      </c>
      <c r="D288" s="64" t="str">
        <f aca="false">TRIM(LEFT('Onshore - Canberra'!A143,FIND(CHAR(10),'Onshore - Canberra'!A143&amp;CHAR(10))-1))</f>
        <v>Mid City College</v>
      </c>
      <c r="E288" s="63" t="str">
        <f aca="false">'Onshore - Canberra'!C150&amp;""</f>
        <v>1 years</v>
      </c>
      <c r="F288" s="63" t="str">
        <f aca="false">IF('Onshore - Canberra'!D150="","Belum tercatat",'Onshore - Canberra'!D150)</f>
        <v>Term</v>
      </c>
      <c r="G288" s="65" t="n">
        <f aca="false">IF('Onshore - Canberra'!E150="","-",'Onshore - Canberra'!E150)</f>
        <v>1625</v>
      </c>
      <c r="H288" s="63" t="n">
        <f aca="false">IF(ISNUMBER(K288),COUNTIFS($J$6:$J$1916,J288,$K$6:$K$1916,"&lt;"&amp;K288)+1,"-")</f>
        <v>1</v>
      </c>
      <c r="I288" s="64" t="str">
        <f aca="false">IF('Onshore - Canberra'!E150="","Harga belum tersedia - hubungi konsultan TEG",IF(M288=2,"Saat ini tidak menerima pendaftaran siswa internasional baru",IF(M288=1,"Harga perlu dikonfirmasi ke sekolah"&amp;IF(""="","","; "&amp;""),"")))</f>
        <v/>
      </c>
      <c r="J288" s="0" t="s">
        <v>3856</v>
      </c>
      <c r="K288" s="0" t="n">
        <f aca="false">IF(M288=2,"",IF(ISNUMBER(SEARCH("rata-rata:",'Onshore - Canberra'!M150)),VALUE(MID('Onshore - Canberra'!M150,SEARCH("rata-rata:",'Onshore - Canberra'!M150)+11,FIND(";",'Onshore - Canberra'!M150&amp;";",SEARCH("rata-rata:",'Onshore - Canberra'!M150))-SEARCH("rata-rata:",'Onshore - Canberra'!M150)-11)),IF('Onshore - Canberra'!D150="Semester",'Onshore - Canberra'!E150*2,IF('Onshore - Canberra'!D150="Trimester",'Onshore - Canberra'!E150*3,IF('Onshore - Canberra'!D150="Term",'Onshore - Canberra'!E150*4,IF('Onshore - Canberra'!D150="Unit",'Onshore - Canberra'!E150*8,""))))))</f>
        <v>6500</v>
      </c>
      <c r="L288" s="0" t="n">
        <f aca="false">IF(AND(ISNUMBER('Onshore - Canberra'!E150),ISNUMBER(K288),ISNUMBER('Onshore - Canberra'!F150),ISNUMBER('Onshore - Canberra'!G150),OR('Onshore - Canberra'!F150&lt;&gt;0,ISNUMBER(SEARCH("Material 0 terverifikasi",'Onshore - Canberra'!M150))),OR('Onshore - Canberra'!G150&lt;&gt;0,ISNUMBER(SEARCH("Enrolment 0 terverifikasi",'Onshore - Canberra'!M150)))),1,0)</f>
        <v>1</v>
      </c>
      <c r="M288" s="0" t="n">
        <f aca="false">IF(OR('Onshore - Canberra'!E150="",ISNUMBER(SEARCH("BSB80120",'Onshore - Canberra'!B150&amp;'Onshore - Canberra'!M150)),ISNUMBER(SEARCH("Management (Learning)",'Onshore - Canberra'!B150))),2,IF(ISNUMBER(SEARCH("CEK:",'Onshore - Canberra'!M150)),1,0))</f>
        <v>0</v>
      </c>
    </row>
    <row r="289" customFormat="false" ht="15" hidden="false" customHeight="false" outlineLevel="0" collapsed="false">
      <c r="A289" s="63" t="s">
        <v>3718</v>
      </c>
      <c r="B289" s="64" t="s">
        <v>3833</v>
      </c>
      <c r="C289" s="63" t="s">
        <v>41</v>
      </c>
      <c r="D289" s="64" t="str">
        <f aca="false">TRIM(LEFT('Onshore - Canberra'!A6,FIND(CHAR(10),'Onshore - Canberra'!A6&amp;CHAR(10))-1))</f>
        <v>Australian Catholic University (ACU)</v>
      </c>
      <c r="E289" s="63" t="str">
        <f aca="false">'Onshore - Canberra'!C100&amp;""</f>
        <v>1 year</v>
      </c>
      <c r="F289" s="63" t="str">
        <f aca="false">IF('Onshore - Canberra'!D100="","Belum tercatat",'Onshore - Canberra'!D100)</f>
        <v>Term</v>
      </c>
      <c r="G289" s="65" t="n">
        <f aca="false">IF('Onshore - Canberra'!E100="","-",'Onshore - Canberra'!E100)</f>
        <v>8058</v>
      </c>
      <c r="H289" s="63" t="n">
        <f aca="false">IF(ISNUMBER(K289),COUNTIFS($J$6:$J$1916,J289,$K$6:$K$1916,"&lt;"&amp;K289)+1,"-")</f>
        <v>2</v>
      </c>
      <c r="I289" s="64" t="str">
        <f aca="false">IF('Onshore - Canberra'!E100="","Harga belum tersedia - hubungi konsultan TEG",IF(M289=2,"Saat ini tidak menerima pendaftaran siswa internasional baru",IF(M289=1,"Harga perlu dikonfirmasi ke sekolah"&amp;IF(""="","","; "&amp;""),"")))</f>
        <v/>
      </c>
      <c r="J289" s="0" t="s">
        <v>3856</v>
      </c>
      <c r="K289" s="0" t="n">
        <f aca="false">IF(M289=2,"",IF(ISNUMBER(SEARCH("rata-rata:",'Onshore - Canberra'!M100)),VALUE(MID('Onshore - Canberra'!M100,SEARCH("rata-rata:",'Onshore - Canberra'!M100)+11,FIND(";",'Onshore - Canberra'!M100&amp;";",SEARCH("rata-rata:",'Onshore - Canberra'!M100))-SEARCH("rata-rata:",'Onshore - Canberra'!M100)-11)),IF('Onshore - Canberra'!D100="Semester",'Onshore - Canberra'!E100*2,IF('Onshore - Canberra'!D100="Trimester",'Onshore - Canberra'!E100*3,IF('Onshore - Canberra'!D100="Term",'Onshore - Canberra'!E100*4,IF('Onshore - Canberra'!D100="Unit",'Onshore - Canberra'!E100*8,""))))))</f>
        <v>32232</v>
      </c>
      <c r="L289" s="0" t="n">
        <f aca="false">IF(AND(ISNUMBER('Onshore - Canberra'!E100),ISNUMBER(K289),ISNUMBER('Onshore - Canberra'!F100),ISNUMBER('Onshore - Canberra'!G100),OR('Onshore - Canberra'!F100&lt;&gt;0,ISNUMBER(SEARCH("Material 0 terverifikasi",'Onshore - Canberra'!M100))),OR('Onshore - Canberra'!G100&lt;&gt;0,ISNUMBER(SEARCH("Enrolment 0 terverifikasi",'Onshore - Canberra'!M100)))),1,0)</f>
        <v>0</v>
      </c>
      <c r="M289" s="0" t="n">
        <f aca="false">IF(OR('Onshore - Canberra'!E100="",ISNUMBER(SEARCH("BSB80120",'Onshore - Canberra'!B100&amp;'Onshore - Canberra'!M100)),ISNUMBER(SEARCH("Management (Learning)",'Onshore - Canberra'!B100))),2,IF(ISNUMBER(SEARCH("CEK:",'Onshore - Canberra'!M100)),1,0))</f>
        <v>0</v>
      </c>
    </row>
    <row r="290" customFormat="false" ht="15" hidden="false" customHeight="false" outlineLevel="0" collapsed="false">
      <c r="A290" s="61" t="s">
        <v>3857</v>
      </c>
      <c r="B290" s="62"/>
      <c r="C290" s="62"/>
      <c r="D290" s="62"/>
      <c r="E290" s="62"/>
      <c r="F290" s="62"/>
      <c r="G290" s="62"/>
      <c r="H290" s="62"/>
      <c r="I290" s="62"/>
    </row>
    <row r="291" customFormat="false" ht="28.35" hidden="false" customHeight="false" outlineLevel="0" collapsed="false">
      <c r="A291" s="63" t="s">
        <v>3718</v>
      </c>
      <c r="B291" s="64" t="s">
        <v>3833</v>
      </c>
      <c r="C291" s="63" t="s">
        <v>42</v>
      </c>
      <c r="D291" s="64" t="str">
        <f aca="false">TRIM(LEFT('Onshore - Canberra'!A140,FIND(CHAR(10),'Onshore - Canberra'!A140&amp;CHAR(10))-1))</f>
        <v>Institute of Vision and Business &amp; Technology (IVBT)</v>
      </c>
      <c r="E291" s="63" t="str">
        <f aca="false">'Onshore - Canberra'!C142&amp;""</f>
        <v>2 years</v>
      </c>
      <c r="F291" s="63" t="str">
        <f aca="false">IF('Onshore - Canberra'!D142="","Belum tercatat",'Onshore - Canberra'!D142)</f>
        <v>Term</v>
      </c>
      <c r="G291" s="65" t="n">
        <f aca="false">IF('Onshore - Canberra'!E142="","-",'Onshore - Canberra'!E142)</f>
        <v>1320</v>
      </c>
      <c r="H291" s="63" t="n">
        <f aca="false">IF(ISNUMBER(K291),COUNTIFS($J$6:$J$1916,J291,$K$6:$K$1916,"&lt;"&amp;K291)+1,"-")</f>
        <v>1</v>
      </c>
      <c r="I291" s="64" t="str">
        <f aca="false">IF('Onshore - Canberra'!E142="","Harga belum tersedia - hubungi konsultan TEG",IF(M291=2,"Saat ini tidak menerima pendaftaran siswa internasional baru",IF(M291=1,"Harga perlu dikonfirmasi ke sekolah"&amp;IF(""="","","; "&amp;""),"")))</f>
        <v>Harga perlu dikonfirmasi ke sekolah</v>
      </c>
      <c r="J291" s="0" t="s">
        <v>3858</v>
      </c>
      <c r="K291" s="0" t="n">
        <f aca="false">IF(M291=2,"",IF(ISNUMBER(SEARCH("rata-rata:",'Onshore - Canberra'!M142)),VALUE(MID('Onshore - Canberra'!M142,SEARCH("rata-rata:",'Onshore - Canberra'!M142)+11,FIND(";",'Onshore - Canberra'!M142&amp;";",SEARCH("rata-rata:",'Onshore - Canberra'!M142))-SEARCH("rata-rata:",'Onshore - Canberra'!M142)-11)),IF('Onshore - Canberra'!D142="Semester",'Onshore - Canberra'!E142*2,IF('Onshore - Canberra'!D142="Trimester",'Onshore - Canberra'!E142*3,IF('Onshore - Canberra'!D142="Term",'Onshore - Canberra'!E142*4,IF('Onshore - Canberra'!D142="Unit",'Onshore - Canberra'!E142*8,""))))))</f>
        <v>5280</v>
      </c>
      <c r="L291" s="0" t="n">
        <f aca="false">IF(AND(ISNUMBER('Onshore - Canberra'!E142),ISNUMBER(K291),ISNUMBER('Onshore - Canberra'!F142),ISNUMBER('Onshore - Canberra'!G142),OR('Onshore - Canberra'!F142&lt;&gt;0,ISNUMBER(SEARCH("Material 0 terverifikasi",'Onshore - Canberra'!M142))),OR('Onshore - Canberra'!G142&lt;&gt;0,ISNUMBER(SEARCH("Enrolment 0 terverifikasi",'Onshore - Canberra'!M142)))),1,0)</f>
        <v>1</v>
      </c>
      <c r="M291" s="0" t="n">
        <f aca="false">IF(OR('Onshore - Canberra'!E142="",ISNUMBER(SEARCH("BSB80120",'Onshore - Canberra'!B142&amp;'Onshore - Canberra'!M142)),ISNUMBER(SEARCH("Management (Learning)",'Onshore - Canberra'!B142))),2,IF(ISNUMBER(SEARCH("CEK:",'Onshore - Canberra'!M142)),1,0))</f>
        <v>1</v>
      </c>
    </row>
    <row r="292" customFormat="false" ht="15" hidden="false" customHeight="false" outlineLevel="0" collapsed="false">
      <c r="A292" s="63" t="s">
        <v>3718</v>
      </c>
      <c r="B292" s="64" t="s">
        <v>3833</v>
      </c>
      <c r="C292" s="63" t="s">
        <v>42</v>
      </c>
      <c r="D292" s="64" t="str">
        <f aca="false">TRIM(LEFT('Onshore - Canberra'!A113,FIND(CHAR(10),'Onshore - Canberra'!A113&amp;CHAR(10))-1))</f>
        <v>Capital College</v>
      </c>
      <c r="E292" s="63" t="str">
        <f aca="false">'Onshore - Canberra'!C121&amp;""</f>
        <v>2 years</v>
      </c>
      <c r="F292" s="63" t="str">
        <f aca="false">IF('Onshore - Canberra'!D121="","Belum tercatat",'Onshore - Canberra'!D121)</f>
        <v>Term</v>
      </c>
      <c r="G292" s="65" t="n">
        <f aca="false">IF('Onshore - Canberra'!E121="","-",'Onshore - Canberra'!E121)</f>
        <v>1500</v>
      </c>
      <c r="H292" s="63" t="n">
        <f aca="false">IF(ISNUMBER(K292),COUNTIFS($J$6:$J$1916,J292,$K$6:$K$1916,"&lt;"&amp;K292)+1,"-")</f>
        <v>2</v>
      </c>
      <c r="I292" s="64" t="str">
        <f aca="false">IF('Onshore - Canberra'!E121="","Harga belum tersedia - hubungi konsultan TEG",IF(M292=2,"Saat ini tidak menerima pendaftaran siswa internasional baru",IF(M292=1,"Harga perlu dikonfirmasi ke sekolah"&amp;IF(""="","","; "&amp;""),"")))</f>
        <v/>
      </c>
      <c r="J292" s="0" t="s">
        <v>3858</v>
      </c>
      <c r="K292" s="0" t="n">
        <f aca="false">IF(M292=2,"",IF(ISNUMBER(SEARCH("rata-rata:",'Onshore - Canberra'!M121)),VALUE(MID('Onshore - Canberra'!M121,SEARCH("rata-rata:",'Onshore - Canberra'!M121)+11,FIND(";",'Onshore - Canberra'!M121&amp;";",SEARCH("rata-rata:",'Onshore - Canberra'!M121))-SEARCH("rata-rata:",'Onshore - Canberra'!M121)-11)),IF('Onshore - Canberra'!D121="Semester",'Onshore - Canberra'!E121*2,IF('Onshore - Canberra'!D121="Trimester",'Onshore - Canberra'!E121*3,IF('Onshore - Canberra'!D121="Term",'Onshore - Canberra'!E121*4,IF('Onshore - Canberra'!D121="Unit",'Onshore - Canberra'!E121*8,""))))))</f>
        <v>6000</v>
      </c>
      <c r="L292" s="0" t="n">
        <f aca="false">IF(AND(ISNUMBER('Onshore - Canberra'!E121),ISNUMBER(K292),ISNUMBER('Onshore - Canberra'!F121),ISNUMBER('Onshore - Canberra'!G121),OR('Onshore - Canberra'!F121&lt;&gt;0,ISNUMBER(SEARCH("Material 0 terverifikasi",'Onshore - Canberra'!M121))),OR('Onshore - Canberra'!G121&lt;&gt;0,ISNUMBER(SEARCH("Enrolment 0 terverifikasi",'Onshore - Canberra'!M121)))),1,0)</f>
        <v>1</v>
      </c>
      <c r="M292" s="0" t="n">
        <f aca="false">IF(OR('Onshore - Canberra'!E121="",ISNUMBER(SEARCH("BSB80120",'Onshore - Canberra'!B121&amp;'Onshore - Canberra'!M121)),ISNUMBER(SEARCH("Management (Learning)",'Onshore - Canberra'!B121))),2,IF(ISNUMBER(SEARCH("CEK:",'Onshore - Canberra'!M121)),1,0))</f>
        <v>0</v>
      </c>
    </row>
    <row r="293" customFormat="false" ht="15" hidden="false" customHeight="false" outlineLevel="0" collapsed="false">
      <c r="A293" s="63" t="s">
        <v>3718</v>
      </c>
      <c r="B293" s="64" t="s">
        <v>3833</v>
      </c>
      <c r="C293" s="63" t="s">
        <v>42</v>
      </c>
      <c r="D293" s="64" t="str">
        <f aca="false">TRIM(LEFT('Onshore - Canberra'!A152,FIND(CHAR(10),'Onshore - Canberra'!A152&amp;CHAR(10))-1))</f>
        <v>Opulence College</v>
      </c>
      <c r="E293" s="63" t="str">
        <f aca="false">'Onshore - Canberra'!C155&amp;""</f>
        <v>2 years</v>
      </c>
      <c r="F293" s="63" t="str">
        <f aca="false">IF('Onshore - Canberra'!D155="","Belum tercatat",'Onshore - Canberra'!D155)</f>
        <v>Term</v>
      </c>
      <c r="G293" s="65" t="n">
        <f aca="false">IF('Onshore - Canberra'!E155="","-",'Onshore - Canberra'!E155)</f>
        <v>1625</v>
      </c>
      <c r="H293" s="63" t="n">
        <f aca="false">IF(ISNUMBER(K293),COUNTIFS($J$6:$J$1916,J293,$K$6:$K$1916,"&lt;"&amp;K293)+1,"-")</f>
        <v>3</v>
      </c>
      <c r="I293" s="64" t="str">
        <f aca="false">IF('Onshore - Canberra'!E155="","Harga belum tersedia - hubungi konsultan TEG",IF(M293=2,"Saat ini tidak menerima pendaftaran siswa internasional baru",IF(M293=1,"Harga perlu dikonfirmasi ke sekolah"&amp;IF(""="","","; "&amp;""),"")))</f>
        <v/>
      </c>
      <c r="J293" s="0" t="s">
        <v>3858</v>
      </c>
      <c r="K293" s="0" t="n">
        <f aca="false">IF(M293=2,"",IF(ISNUMBER(SEARCH("rata-rata:",'Onshore - Canberra'!M155)),VALUE(MID('Onshore - Canberra'!M155,SEARCH("rata-rata:",'Onshore - Canberra'!M155)+11,FIND(";",'Onshore - Canberra'!M155&amp;";",SEARCH("rata-rata:",'Onshore - Canberra'!M155))-SEARCH("rata-rata:",'Onshore - Canberra'!M155)-11)),IF('Onshore - Canberra'!D155="Semester",'Onshore - Canberra'!E155*2,IF('Onshore - Canberra'!D155="Trimester",'Onshore - Canberra'!E155*3,IF('Onshore - Canberra'!D155="Term",'Onshore - Canberra'!E155*4,IF('Onshore - Canberra'!D155="Unit",'Onshore - Canberra'!E155*8,""))))))</f>
        <v>6500</v>
      </c>
      <c r="L293" s="0" t="n">
        <f aca="false">IF(AND(ISNUMBER('Onshore - Canberra'!E155),ISNUMBER(K293),ISNUMBER('Onshore - Canberra'!F155),ISNUMBER('Onshore - Canberra'!G155),OR('Onshore - Canberra'!F155&lt;&gt;0,ISNUMBER(SEARCH("Material 0 terverifikasi",'Onshore - Canberra'!M155))),OR('Onshore - Canberra'!G155&lt;&gt;0,ISNUMBER(SEARCH("Enrolment 0 terverifikasi",'Onshore - Canberra'!M155)))),1,0)</f>
        <v>1</v>
      </c>
      <c r="M293" s="0" t="n">
        <f aca="false">IF(OR('Onshore - Canberra'!E155="",ISNUMBER(SEARCH("BSB80120",'Onshore - Canberra'!B155&amp;'Onshore - Canberra'!M155)),ISNUMBER(SEARCH("Management (Learning)",'Onshore - Canberra'!B155))),2,IF(ISNUMBER(SEARCH("CEK:",'Onshore - Canberra'!M155)),1,0))</f>
        <v>0</v>
      </c>
    </row>
    <row r="294" customFormat="false" ht="15" hidden="false" customHeight="false" outlineLevel="0" collapsed="false">
      <c r="A294" s="63" t="s">
        <v>3718</v>
      </c>
      <c r="B294" s="64" t="s">
        <v>3833</v>
      </c>
      <c r="C294" s="63" t="s">
        <v>42</v>
      </c>
      <c r="D294" s="64" t="str">
        <f aca="false">TRIM(LEFT('Onshore - Canberra'!A111,FIND(CHAR(10),'Onshore - Canberra'!A111&amp;CHAR(10))-1))</f>
        <v>Australian Workplace Skills Institute (AWS)</v>
      </c>
      <c r="E294" s="63" t="str">
        <f aca="false">'Onshore - Canberra'!C111&amp;""</f>
        <v>3 years</v>
      </c>
      <c r="F294" s="63" t="str">
        <f aca="false">IF('Onshore - Canberra'!D111="","Belum tercatat",'Onshore - Canberra'!D111)</f>
        <v>Term</v>
      </c>
      <c r="G294" s="65" t="n">
        <f aca="false">IF('Onshore - Canberra'!E111="","-",'Onshore - Canberra'!E111)</f>
        <v>1750</v>
      </c>
      <c r="H294" s="63" t="n">
        <f aca="false">IF(ISNUMBER(K294),COUNTIFS($J$6:$J$1916,J294,$K$6:$K$1916,"&lt;"&amp;K294)+1,"-")</f>
        <v>4</v>
      </c>
      <c r="I294" s="64" t="str">
        <f aca="false">IF('Onshore - Canberra'!E111="","Harga belum tersedia - hubungi konsultan TEG",IF(M294=2,"Saat ini tidak menerima pendaftaran siswa internasional baru",IF(M294=1,"Program perlu dikonfirmasi ketersediaannya"&amp;IF(""="","","; "&amp;""),"")))</f>
        <v>Program perlu dikonfirmasi ketersediaannya</v>
      </c>
      <c r="J294" s="0" t="s">
        <v>3858</v>
      </c>
      <c r="K294" s="0" t="n">
        <f aca="false">IF(M294=2,"",IF(ISNUMBER(SEARCH("rata-rata:",'Onshore - Canberra'!M111)),VALUE(MID('Onshore - Canberra'!M111,SEARCH("rata-rata:",'Onshore - Canberra'!M111)+11,FIND(";",'Onshore - Canberra'!M111&amp;";",SEARCH("rata-rata:",'Onshore - Canberra'!M111))-SEARCH("rata-rata:",'Onshore - Canberra'!M111)-11)),IF('Onshore - Canberra'!D111="Semester",'Onshore - Canberra'!E111*2,IF('Onshore - Canberra'!D111="Trimester",'Onshore - Canberra'!E111*3,IF('Onshore - Canberra'!D111="Term",'Onshore - Canberra'!E111*4,IF('Onshore - Canberra'!D111="Unit",'Onshore - Canberra'!E111*8,""))))))</f>
        <v>7000</v>
      </c>
      <c r="L294" s="0" t="n">
        <f aca="false">IF(AND(ISNUMBER('Onshore - Canberra'!E111),ISNUMBER(K294),ISNUMBER('Onshore - Canberra'!F111),ISNUMBER('Onshore - Canberra'!G111),OR('Onshore - Canberra'!F111&lt;&gt;0,ISNUMBER(SEARCH("Material 0 terverifikasi",'Onshore - Canberra'!M111))),OR('Onshore - Canberra'!G111&lt;&gt;0,ISNUMBER(SEARCH("Enrolment 0 terverifikasi",'Onshore - Canberra'!M111)))),1,0)</f>
        <v>1</v>
      </c>
      <c r="M294" s="0" t="n">
        <f aca="false">IF(OR('Onshore - Canberra'!E111="",ISNUMBER(SEARCH("BSB80120",'Onshore - Canberra'!B111&amp;'Onshore - Canberra'!M111)),ISNUMBER(SEARCH("Management (Learning)",'Onshore - Canberra'!B111))),2,IF(ISNUMBER(SEARCH("CEK:",'Onshore - Canberra'!M111)),1,0))</f>
        <v>1</v>
      </c>
    </row>
    <row r="295" customFormat="false" ht="15" hidden="false" customHeight="false" outlineLevel="0" collapsed="false">
      <c r="A295" s="61" t="s">
        <v>3859</v>
      </c>
      <c r="B295" s="62"/>
      <c r="C295" s="62"/>
      <c r="D295" s="62"/>
      <c r="E295" s="62"/>
      <c r="F295" s="62"/>
      <c r="G295" s="62"/>
      <c r="H295" s="62"/>
      <c r="I295" s="62"/>
    </row>
    <row r="296" customFormat="false" ht="15" hidden="false" customHeight="false" outlineLevel="0" collapsed="false">
      <c r="A296" s="63" t="s">
        <v>3718</v>
      </c>
      <c r="B296" s="64" t="s">
        <v>3833</v>
      </c>
      <c r="C296" s="63" t="s">
        <v>43</v>
      </c>
      <c r="D296" s="64" t="str">
        <f aca="false">TRIM(LEFT('Onshore - Canberra'!A125,FIND(CHAR(10),'Onshore - Canberra'!A125&amp;CHAR(10))-1))</f>
        <v>CIHE Australia</v>
      </c>
      <c r="E296" s="63" t="str">
        <f aca="false">'Onshore - Canberra'!C138&amp;""</f>
        <v>3 years</v>
      </c>
      <c r="F296" s="63" t="str">
        <f aca="false">IF('Onshore - Canberra'!D138="","Belum tercatat",'Onshore - Canberra'!D138)</f>
        <v>Term</v>
      </c>
      <c r="G296" s="65" t="n">
        <f aca="false">IF('Onshore - Canberra'!E138="","-",'Onshore - Canberra'!E138)</f>
        <v>3825</v>
      </c>
      <c r="H296" s="63" t="n">
        <f aca="false">IF(ISNUMBER(K296),COUNTIFS($J$6:$J$1916,J296,$K$6:$K$1916,"&lt;"&amp;K296)+1,"-")</f>
        <v>1</v>
      </c>
      <c r="I296" s="64" t="str">
        <f aca="false">IF('Onshore - Canberra'!E138="","Harga belum tersedia - hubungi konsultan TEG",IF(M296=2,"Saat ini tidak menerima pendaftaran siswa internasional baru",IF(M296=1,"Harga perlu dikonfirmasi ke sekolah"&amp;IF(""="","","; "&amp;""),"")))</f>
        <v>Harga perlu dikonfirmasi ke sekolah</v>
      </c>
      <c r="J296" s="0" t="s">
        <v>3860</v>
      </c>
      <c r="K296" s="0" t="n">
        <f aca="false">IF(M296=2,"",IF(ISNUMBER(SEARCH("rata-rata:",'Onshore - Canberra'!M138)),VALUE(MID('Onshore - Canberra'!M138,SEARCH("rata-rata:",'Onshore - Canberra'!M138)+11,FIND(";",'Onshore - Canberra'!M138&amp;";",SEARCH("rata-rata:",'Onshore - Canberra'!M138))-SEARCH("rata-rata:",'Onshore - Canberra'!M138)-11)),IF('Onshore - Canberra'!D138="Semester",'Onshore - Canberra'!E138*2,IF('Onshore - Canberra'!D138="Trimester",'Onshore - Canberra'!E138*3,IF('Onshore - Canberra'!D138="Term",'Onshore - Canberra'!E138*4,IF('Onshore - Canberra'!D138="Unit",'Onshore - Canberra'!E138*8,""))))))</f>
        <v>15300</v>
      </c>
      <c r="L296" s="0" t="n">
        <f aca="false">IF(AND(ISNUMBER('Onshore - Canberra'!E138),ISNUMBER(K296),ISNUMBER('Onshore - Canberra'!F138),ISNUMBER('Onshore - Canberra'!G138),OR('Onshore - Canberra'!F138&lt;&gt;0,ISNUMBER(SEARCH("Material 0 terverifikasi",'Onshore - Canberra'!M138))),OR('Onshore - Canberra'!G138&lt;&gt;0,ISNUMBER(SEARCH("Enrolment 0 terverifikasi",'Onshore - Canberra'!M138)))),1,0)</f>
        <v>1</v>
      </c>
      <c r="M296" s="0" t="n">
        <f aca="false">IF(OR('Onshore - Canberra'!E138="",ISNUMBER(SEARCH("BSB80120",'Onshore - Canberra'!B138&amp;'Onshore - Canberra'!M138)),ISNUMBER(SEARCH("Management (Learning)",'Onshore - Canberra'!B138))),2,IF(ISNUMBER(SEARCH("CEK:",'Onshore - Canberra'!M138)),1,0))</f>
        <v>1</v>
      </c>
    </row>
    <row r="297" customFormat="false" ht="15" hidden="false" customHeight="false" outlineLevel="0" collapsed="false">
      <c r="A297" s="63" t="s">
        <v>3718</v>
      </c>
      <c r="B297" s="64" t="s">
        <v>3833</v>
      </c>
      <c r="C297" s="63" t="s">
        <v>43</v>
      </c>
      <c r="D297" s="64" t="str">
        <f aca="false">TRIM(LEFT('Onshore - Canberra'!A6,FIND(CHAR(10),'Onshore - Canberra'!A6&amp;CHAR(10))-1))</f>
        <v>Australian Catholic University (ACU)</v>
      </c>
      <c r="E297" s="63" t="str">
        <f aca="false">'Onshore - Canberra'!C7&amp;""</f>
        <v>4 years</v>
      </c>
      <c r="F297" s="63" t="str">
        <f aca="false">IF('Onshore - Canberra'!D7="","Belum tercatat",'Onshore - Canberra'!D7)</f>
        <v>Term</v>
      </c>
      <c r="G297" s="65" t="n">
        <f aca="false">IF('Onshore - Canberra'!E7="","-",'Onshore - Canberra'!E7)</f>
        <v>8742</v>
      </c>
      <c r="H297" s="63" t="n">
        <f aca="false">IF(ISNUMBER(K297),COUNTIFS($J$6:$J$1916,J297,$K$6:$K$1916,"&lt;"&amp;K297)+1,"-")</f>
        <v>2</v>
      </c>
      <c r="I297" s="64" t="str">
        <f aca="false">IF('Onshore - Canberra'!E7="","Harga belum tersedia - hubungi konsultan TEG",IF(M297=2,"Saat ini tidak menerima pendaftaran siswa internasional baru",IF(M297=1,"Harga perlu dikonfirmasi ke sekolah"&amp;IF(""="","","; "&amp;""),"")))</f>
        <v/>
      </c>
      <c r="J297" s="0" t="s">
        <v>3860</v>
      </c>
      <c r="K297" s="0" t="n">
        <f aca="false">IF(M297=2,"",IF(ISNUMBER(SEARCH("rata-rata:",'Onshore - Canberra'!M7)),VALUE(MID('Onshore - Canberra'!M7,SEARCH("rata-rata:",'Onshore - Canberra'!M7)+11,FIND(";",'Onshore - Canberra'!M7&amp;";",SEARCH("rata-rata:",'Onshore - Canberra'!M7))-SEARCH("rata-rata:",'Onshore - Canberra'!M7)-11)),IF('Onshore - Canberra'!D7="Semester",'Onshore - Canberra'!E7*2,IF('Onshore - Canberra'!D7="Trimester",'Onshore - Canberra'!E7*3,IF('Onshore - Canberra'!D7="Term",'Onshore - Canberra'!E7*4,IF('Onshore - Canberra'!D7="Unit",'Onshore - Canberra'!E7*8,""))))))</f>
        <v>34968</v>
      </c>
      <c r="L297" s="0" t="n">
        <f aca="false">IF(AND(ISNUMBER('Onshore - Canberra'!E7),ISNUMBER(K297),ISNUMBER('Onshore - Canberra'!F7),ISNUMBER('Onshore - Canberra'!G7),OR('Onshore - Canberra'!F7&lt;&gt;0,ISNUMBER(SEARCH("Material 0 terverifikasi",'Onshore - Canberra'!M7))),OR('Onshore - Canberra'!G7&lt;&gt;0,ISNUMBER(SEARCH("Enrolment 0 terverifikasi",'Onshore - Canberra'!M7)))),1,0)</f>
        <v>0</v>
      </c>
      <c r="M297" s="0" t="n">
        <f aca="false">IF(OR('Onshore - Canberra'!E7="",ISNUMBER(SEARCH("BSB80120",'Onshore - Canberra'!B7&amp;'Onshore - Canberra'!M7)),ISNUMBER(SEARCH("Management (Learning)",'Onshore - Canberra'!B7))),2,IF(ISNUMBER(SEARCH("CEK:",'Onshore - Canberra'!M7)),1,0))</f>
        <v>0</v>
      </c>
    </row>
    <row r="298" customFormat="false" ht="15" hidden="false" customHeight="false" outlineLevel="0" collapsed="false">
      <c r="A298" s="61" t="s">
        <v>3861</v>
      </c>
      <c r="B298" s="62"/>
      <c r="C298" s="62"/>
      <c r="D298" s="62"/>
      <c r="E298" s="62"/>
      <c r="F298" s="62"/>
      <c r="G298" s="62"/>
      <c r="H298" s="62"/>
      <c r="I298" s="62"/>
    </row>
    <row r="299" customFormat="false" ht="15" hidden="false" customHeight="false" outlineLevel="0" collapsed="false">
      <c r="A299" s="63" t="s">
        <v>3718</v>
      </c>
      <c r="B299" s="64" t="s">
        <v>3833</v>
      </c>
      <c r="C299" s="63" t="s">
        <v>3707</v>
      </c>
      <c r="D299" s="64" t="str">
        <f aca="false">TRIM(LEFT('Onshore - Canberra'!A125,FIND(CHAR(10),'Onshore - Canberra'!A125&amp;CHAR(10))-1))</f>
        <v>CIHE Australia</v>
      </c>
      <c r="E299" s="63" t="str">
        <f aca="false">'Onshore - Canberra'!C139&amp;""</f>
        <v>0,5 year</v>
      </c>
      <c r="F299" s="63" t="str">
        <f aca="false">IF('Onshore - Canberra'!D139="","Belum tercatat",'Onshore - Canberra'!D139)</f>
        <v>Term</v>
      </c>
      <c r="G299" s="65" t="n">
        <f aca="false">IF('Onshore - Canberra'!E139="","-",'Onshore - Canberra'!E139)</f>
        <v>4500</v>
      </c>
      <c r="H299" s="63" t="n">
        <f aca="false">IF(ISNUMBER(K299),COUNTIFS($J$6:$J$1916,J299,$K$6:$K$1916,"&lt;"&amp;K299)+1,"-")</f>
        <v>1</v>
      </c>
      <c r="I299" s="64" t="str">
        <f aca="false">IF('Onshore - Canberra'!E139="","Harga belum tersedia - hubungi konsultan TEG",IF(M299=2,"Saat ini tidak menerima pendaftaran siswa internasional baru",IF(M299=1,"Harga perlu dikonfirmasi ke sekolah"&amp;IF(""="","","; "&amp;""),"")))</f>
        <v>Harga perlu dikonfirmasi ke sekolah</v>
      </c>
      <c r="J299" s="0" t="s">
        <v>3862</v>
      </c>
      <c r="K299" s="0" t="n">
        <f aca="false">IF(M299=2,"",IF(ISNUMBER(SEARCH("rata-rata:",'Onshore - Canberra'!M139)),VALUE(MID('Onshore - Canberra'!M139,SEARCH("rata-rata:",'Onshore - Canberra'!M139)+11,FIND(";",'Onshore - Canberra'!M139&amp;";",SEARCH("rata-rata:",'Onshore - Canberra'!M139))-SEARCH("rata-rata:",'Onshore - Canberra'!M139)-11)),IF('Onshore - Canberra'!D139="Semester",'Onshore - Canberra'!E139*2,IF('Onshore - Canberra'!D139="Trimester",'Onshore - Canberra'!E139*3,IF('Onshore - Canberra'!D139="Term",'Onshore - Canberra'!E139*4,IF('Onshore - Canberra'!D139="Unit",'Onshore - Canberra'!E139*8,""))))))</f>
        <v>18000</v>
      </c>
      <c r="L299" s="0" t="n">
        <f aca="false">IF(AND(ISNUMBER('Onshore - Canberra'!E139),ISNUMBER(K299),ISNUMBER('Onshore - Canberra'!F139),ISNUMBER('Onshore - Canberra'!G139),OR('Onshore - Canberra'!F139&lt;&gt;0,ISNUMBER(SEARCH("Material 0 terverifikasi",'Onshore - Canberra'!M139))),OR('Onshore - Canberra'!G139&lt;&gt;0,ISNUMBER(SEARCH("Enrolment 0 terverifikasi",'Onshore - Canberra'!M139)))),1,0)</f>
        <v>1</v>
      </c>
      <c r="M299" s="0" t="n">
        <f aca="false">IF(OR('Onshore - Canberra'!E139="",ISNUMBER(SEARCH("BSB80120",'Onshore - Canberra'!B139&amp;'Onshore - Canberra'!M139)),ISNUMBER(SEARCH("Management (Learning)",'Onshore - Canberra'!B139))),2,IF(ISNUMBER(SEARCH("CEK:",'Onshore - Canberra'!M139)),1,0))</f>
        <v>1</v>
      </c>
    </row>
    <row r="300" customFormat="false" ht="15" hidden="false" customHeight="false" outlineLevel="0" collapsed="false">
      <c r="A300" s="63" t="s">
        <v>3718</v>
      </c>
      <c r="B300" s="64" t="s">
        <v>3833</v>
      </c>
      <c r="C300" s="63" t="s">
        <v>3707</v>
      </c>
      <c r="D300" s="64" t="str">
        <f aca="false">TRIM(LEFT('Onshore - Canberra'!A6,FIND(CHAR(10),'Onshore - Canberra'!A6&amp;CHAR(10))-1))</f>
        <v>Australian Catholic University (ACU)</v>
      </c>
      <c r="E300" s="63" t="str">
        <f aca="false">'Onshore - Canberra'!C31&amp;""</f>
        <v>0,5 year</v>
      </c>
      <c r="F300" s="63" t="str">
        <f aca="false">IF('Onshore - Canberra'!D31="","Belum tercatat",'Onshore - Canberra'!D31)</f>
        <v>Term</v>
      </c>
      <c r="G300" s="65" t="n">
        <f aca="false">IF('Onshore - Canberra'!E31="","-",'Onshore - Canberra'!E31)</f>
        <v>4614</v>
      </c>
      <c r="H300" s="63" t="n">
        <f aca="false">IF(ISNUMBER(K300),COUNTIFS($J$6:$J$1916,J300,$K$6:$K$1916,"&lt;"&amp;K300)+1,"-")</f>
        <v>2</v>
      </c>
      <c r="I300" s="64" t="str">
        <f aca="false">IF('Onshore - Canberra'!E31="","Harga belum tersedia - hubungi konsultan TEG",IF(M300=2,"Saat ini tidak menerima pendaftaran siswa internasional baru",IF(M300=1,"Harga perlu dikonfirmasi ke sekolah"&amp;IF(""="","","; "&amp;""),"")))</f>
        <v>Harga perlu dikonfirmasi ke sekolah</v>
      </c>
      <c r="J300" s="0" t="s">
        <v>3862</v>
      </c>
      <c r="K300" s="0" t="n">
        <f aca="false">IF(M300=2,"",IF(ISNUMBER(SEARCH("rata-rata:",'Onshore - Canberra'!M31)),VALUE(MID('Onshore - Canberra'!M31,SEARCH("rata-rata:",'Onshore - Canberra'!M31)+11,FIND(";",'Onshore - Canberra'!M31&amp;";",SEARCH("rata-rata:",'Onshore - Canberra'!M31))-SEARCH("rata-rata:",'Onshore - Canberra'!M31)-11)),IF('Onshore - Canberra'!D31="Semester",'Onshore - Canberra'!E31*2,IF('Onshore - Canberra'!D31="Trimester",'Onshore - Canberra'!E31*3,IF('Onshore - Canberra'!D31="Term",'Onshore - Canberra'!E31*4,IF('Onshore - Canberra'!D31="Unit",'Onshore - Canberra'!E31*8,""))))))</f>
        <v>18456</v>
      </c>
      <c r="L300" s="0" t="n">
        <f aca="false">IF(AND(ISNUMBER('Onshore - Canberra'!E31),ISNUMBER(K300),ISNUMBER('Onshore - Canberra'!F31),ISNUMBER('Onshore - Canberra'!G31),OR('Onshore - Canberra'!F31&lt;&gt;0,ISNUMBER(SEARCH("Material 0 terverifikasi",'Onshore - Canberra'!M31))),OR('Onshore - Canberra'!G31&lt;&gt;0,ISNUMBER(SEARCH("Enrolment 0 terverifikasi",'Onshore - Canberra'!M31)))),1,0)</f>
        <v>0</v>
      </c>
      <c r="M300" s="0" t="n">
        <f aca="false">IF(OR('Onshore - Canberra'!E31="",ISNUMBER(SEARCH("BSB80120",'Onshore - Canberra'!B31&amp;'Onshore - Canberra'!M31)),ISNUMBER(SEARCH("Management (Learning)",'Onshore - Canberra'!B31))),2,IF(ISNUMBER(SEARCH("CEK:",'Onshore - Canberra'!M31)),1,0))</f>
        <v>1</v>
      </c>
    </row>
    <row r="301" customFormat="false" ht="15" hidden="false" customHeight="false" outlineLevel="0" collapsed="false">
      <c r="A301" s="61" t="s">
        <v>3863</v>
      </c>
      <c r="B301" s="62"/>
      <c r="C301" s="62"/>
      <c r="D301" s="62"/>
      <c r="E301" s="62"/>
      <c r="F301" s="62"/>
      <c r="G301" s="62"/>
      <c r="H301" s="62"/>
      <c r="I301" s="62"/>
    </row>
    <row r="302" customFormat="false" ht="15" hidden="false" customHeight="false" outlineLevel="0" collapsed="false">
      <c r="A302" s="63" t="s">
        <v>3718</v>
      </c>
      <c r="B302" s="64" t="s">
        <v>3833</v>
      </c>
      <c r="C302" s="63" t="s">
        <v>46</v>
      </c>
      <c r="D302" s="64" t="str">
        <f aca="false">TRIM(LEFT('Onshore - Canberra'!A125,FIND(CHAR(10),'Onshore - Canberra'!A125&amp;CHAR(10))-1))</f>
        <v>CIHE Australia</v>
      </c>
      <c r="E302" s="63" t="str">
        <f aca="false">'Onshore - Canberra'!C136&amp;""</f>
        <v>1,5 years</v>
      </c>
      <c r="F302" s="63" t="str">
        <f aca="false">IF('Onshore - Canberra'!D136="","Belum tercatat",'Onshore - Canberra'!D136)</f>
        <v>Term</v>
      </c>
      <c r="G302" s="65" t="n">
        <f aca="false">IF('Onshore - Canberra'!E136="","-",'Onshore - Canberra'!E136)</f>
        <v>4500</v>
      </c>
      <c r="H302" s="63" t="n">
        <f aca="false">IF(ISNUMBER(K302),COUNTIFS($J$6:$J$1916,J302,$K$6:$K$1916,"&lt;"&amp;K302)+1,"-")</f>
        <v>1</v>
      </c>
      <c r="I302" s="64" t="str">
        <f aca="false">IF('Onshore - Canberra'!E136="","Harga belum tersedia - hubungi konsultan TEG",IF(M302=2,"Saat ini tidak menerima pendaftaran siswa internasional baru",IF(M302=1,"Harga perlu dikonfirmasi ke sekolah"&amp;IF(""="","","; "&amp;""),"")))</f>
        <v>Harga perlu dikonfirmasi ke sekolah</v>
      </c>
      <c r="J302" s="0" t="s">
        <v>3864</v>
      </c>
      <c r="K302" s="0" t="n">
        <f aca="false">IF(M302=2,"",IF(ISNUMBER(SEARCH("rata-rata:",'Onshore - Canberra'!M136)),VALUE(MID('Onshore - Canberra'!M136,SEARCH("rata-rata:",'Onshore - Canberra'!M136)+11,FIND(";",'Onshore - Canberra'!M136&amp;";",SEARCH("rata-rata:",'Onshore - Canberra'!M136))-SEARCH("rata-rata:",'Onshore - Canberra'!M136)-11)),IF('Onshore - Canberra'!D136="Semester",'Onshore - Canberra'!E136*2,IF('Onshore - Canberra'!D136="Trimester",'Onshore - Canberra'!E136*3,IF('Onshore - Canberra'!D136="Term",'Onshore - Canberra'!E136*4,IF('Onshore - Canberra'!D136="Unit",'Onshore - Canberra'!E136*8,""))))))</f>
        <v>18000</v>
      </c>
      <c r="L302" s="0" t="n">
        <f aca="false">IF(AND(ISNUMBER('Onshore - Canberra'!E136),ISNUMBER(K302),ISNUMBER('Onshore - Canberra'!F136),ISNUMBER('Onshore - Canberra'!G136),OR('Onshore - Canberra'!F136&lt;&gt;0,ISNUMBER(SEARCH("Material 0 terverifikasi",'Onshore - Canberra'!M136))),OR('Onshore - Canberra'!G136&lt;&gt;0,ISNUMBER(SEARCH("Enrolment 0 terverifikasi",'Onshore - Canberra'!M136)))),1,0)</f>
        <v>1</v>
      </c>
      <c r="M302" s="0" t="n">
        <f aca="false">IF(OR('Onshore - Canberra'!E136="",ISNUMBER(SEARCH("BSB80120",'Onshore - Canberra'!B136&amp;'Onshore - Canberra'!M136)),ISNUMBER(SEARCH("Management (Learning)",'Onshore - Canberra'!B136))),2,IF(ISNUMBER(SEARCH("CEK:",'Onshore - Canberra'!M136)),1,0))</f>
        <v>1</v>
      </c>
    </row>
    <row r="303" customFormat="false" ht="15" hidden="false" customHeight="false" outlineLevel="0" collapsed="false">
      <c r="A303" s="63" t="s">
        <v>3718</v>
      </c>
      <c r="B303" s="64" t="s">
        <v>3833</v>
      </c>
      <c r="C303" s="63" t="s">
        <v>46</v>
      </c>
      <c r="D303" s="64" t="str">
        <f aca="false">TRIM(LEFT('Onshore - Canberra'!A6,FIND(CHAR(10),'Onshore - Canberra'!A6&amp;CHAR(10))-1))</f>
        <v>Australian Catholic University (ACU)</v>
      </c>
      <c r="E303" s="63" t="str">
        <f aca="false">'Onshore - Canberra'!C32&amp;""</f>
        <v>2 years</v>
      </c>
      <c r="F303" s="63" t="str">
        <f aca="false">IF('Onshore - Canberra'!D32="","Belum tercatat",'Onshore - Canberra'!D32)</f>
        <v>Term</v>
      </c>
      <c r="G303" s="65" t="n">
        <f aca="false">IF('Onshore - Canberra'!E32="","-",'Onshore - Canberra'!E32)</f>
        <v>9524</v>
      </c>
      <c r="H303" s="63" t="n">
        <f aca="false">IF(ISNUMBER(K303),COUNTIFS($J$6:$J$1916,J303,$K$6:$K$1916,"&lt;"&amp;K303)+1,"-")</f>
        <v>2</v>
      </c>
      <c r="I303" s="64" t="str">
        <f aca="false">IF('Onshore - Canberra'!E32="","Harga belum tersedia - hubungi konsultan TEG",IF(M303=2,"Saat ini tidak menerima pendaftaran siswa internasional baru",IF(M303=1,"Harga perlu dikonfirmasi ke sekolah"&amp;IF(""="","","; "&amp;""),"")))</f>
        <v/>
      </c>
      <c r="J303" s="0" t="s">
        <v>3864</v>
      </c>
      <c r="K303" s="0" t="n">
        <f aca="false">IF(M303=2,"",IF(ISNUMBER(SEARCH("rata-rata:",'Onshore - Canberra'!M32)),VALUE(MID('Onshore - Canberra'!M32,SEARCH("rata-rata:",'Onshore - Canberra'!M32)+11,FIND(";",'Onshore - Canberra'!M32&amp;";",SEARCH("rata-rata:",'Onshore - Canberra'!M32))-SEARCH("rata-rata:",'Onshore - Canberra'!M32)-11)),IF('Onshore - Canberra'!D32="Semester",'Onshore - Canberra'!E32*2,IF('Onshore - Canberra'!D32="Trimester",'Onshore - Canberra'!E32*3,IF('Onshore - Canberra'!D32="Term",'Onshore - Canberra'!E32*4,IF('Onshore - Canberra'!D32="Unit",'Onshore - Canberra'!E32*8,""))))))</f>
        <v>38096</v>
      </c>
      <c r="L303" s="0" t="n">
        <f aca="false">IF(AND(ISNUMBER('Onshore - Canberra'!E32),ISNUMBER(K303),ISNUMBER('Onshore - Canberra'!F32),ISNUMBER('Onshore - Canberra'!G32),OR('Onshore - Canberra'!F32&lt;&gt;0,ISNUMBER(SEARCH("Material 0 terverifikasi",'Onshore - Canberra'!M32))),OR('Onshore - Canberra'!G32&lt;&gt;0,ISNUMBER(SEARCH("Enrolment 0 terverifikasi",'Onshore - Canberra'!M32)))),1,0)</f>
        <v>0</v>
      </c>
      <c r="M303" s="0" t="n">
        <f aca="false">IF(OR('Onshore - Canberra'!E32="",ISNUMBER(SEARCH("BSB80120",'Onshore - Canberra'!B32&amp;'Onshore - Canberra'!M32)),ISNUMBER(SEARCH("Management (Learning)",'Onshore - Canberra'!B32))),2,IF(ISNUMBER(SEARCH("CEK:",'Onshore - Canberra'!M32)),1,0))</f>
        <v>0</v>
      </c>
    </row>
    <row r="304" customFormat="false" ht="15" hidden="false" customHeight="false" outlineLevel="0" collapsed="false">
      <c r="A304" s="61" t="s">
        <v>4632</v>
      </c>
      <c r="B304" s="62"/>
      <c r="C304" s="62"/>
      <c r="D304" s="62"/>
      <c r="E304" s="62"/>
      <c r="F304" s="62"/>
      <c r="G304" s="62"/>
      <c r="H304" s="62"/>
      <c r="I304" s="62"/>
    </row>
    <row r="305" customFormat="false" ht="15" hidden="false" customHeight="false" outlineLevel="0" collapsed="false">
      <c r="A305" s="63" t="s">
        <v>3583</v>
      </c>
      <c r="B305" s="64" t="s">
        <v>3833</v>
      </c>
      <c r="C305" s="63" t="s">
        <v>40</v>
      </c>
      <c r="D305" s="64" t="str">
        <f aca="false">TRIM(LEFT('Onshore - Darwin (NT)'!A20,FIND(CHAR(10),'Onshore - Darwin (NT)'!A20&amp;CHAR(10))-1))</f>
        <v>Charles Darwin University (CDU)</v>
      </c>
      <c r="E305" s="63" t="str">
        <f aca="false">'Onshore - Darwin (NT)'!C144&amp;""</f>
        <v>1 year</v>
      </c>
      <c r="F305" s="63" t="str">
        <f aca="false">IF('Onshore - Darwin (NT)'!D144="","Belum tercatat",'Onshore - Darwin (NT)'!D144)</f>
        <v>Term</v>
      </c>
      <c r="G305" s="65" t="n">
        <f aca="false">IF('Onshore - Darwin (NT)'!E144="","-",'Onshore - Darwin (NT)'!E144)</f>
        <v>4355</v>
      </c>
      <c r="H305" s="63" t="n">
        <f aca="false">IF(ISNUMBER(K305),COUNTIFS($J$6:$J$1916,J305,$K$6:$K$1916,"&lt;"&amp;K305)+1,"-")</f>
        <v>1</v>
      </c>
      <c r="I305" s="64" t="str">
        <f aca="false">IF('Onshore - Darwin (NT)'!E144="","Harga belum tersedia - hubungi konsultan TEG",IF(M305=2,"Saat ini tidak menerima pendaftaran siswa internasional baru",IF(M305=1,"Harga perlu dikonfirmasi ke sekolah"&amp;IF(""="","","; "&amp;""),"")))</f>
        <v/>
      </c>
      <c r="J305" s="0" t="s">
        <v>4633</v>
      </c>
      <c r="K305" s="0" t="n">
        <f aca="false">IF(M305=2,"",IF(ISNUMBER(SEARCH("rata-rata:",'Onshore - Darwin (NT)'!M144)),VALUE(MID('Onshore - Darwin (NT)'!M144,SEARCH("rata-rata:",'Onshore - Darwin (NT)'!M144)+11,FIND(";",'Onshore - Darwin (NT)'!M144&amp;";",SEARCH("rata-rata:",'Onshore - Darwin (NT)'!M144))-SEARCH("rata-rata:",'Onshore - Darwin (NT)'!M144)-11)),IF('Onshore - Darwin (NT)'!D144="Semester",'Onshore - Darwin (NT)'!E144*2,IF('Onshore - Darwin (NT)'!D144="Trimester",'Onshore - Darwin (NT)'!E144*3,IF('Onshore - Darwin (NT)'!D144="Term",'Onshore - Darwin (NT)'!E144*4,IF('Onshore - Darwin (NT)'!D144="Unit",'Onshore - Darwin (NT)'!E144*8,""))))))</f>
        <v>17420</v>
      </c>
      <c r="L305" s="0" t="n">
        <f aca="false">IF(AND(ISNUMBER('Onshore - Darwin (NT)'!E144),ISNUMBER(K305),ISNUMBER('Onshore - Darwin (NT)'!F144),ISNUMBER('Onshore - Darwin (NT)'!G144),OR('Onshore - Darwin (NT)'!F144&lt;&gt;0,ISNUMBER(SEARCH("Material 0 terverifikasi",'Onshore - Darwin (NT)'!M144))),OR('Onshore - Darwin (NT)'!G144&lt;&gt;0,ISNUMBER(SEARCH("Enrolment 0 terverifikasi",'Onshore - Darwin (NT)'!M144)))),1,0)</f>
        <v>0</v>
      </c>
      <c r="M305" s="0" t="n">
        <f aca="false">IF(OR('Onshore - Darwin (NT)'!E144="",ISNUMBER(SEARCH("BSB80120",'Onshore - Darwin (NT)'!B144&amp;'Onshore - Darwin (NT)'!M144)),ISNUMBER(SEARCH("Management (Learning)",'Onshore - Darwin (NT)'!B144))),2,IF(ISNUMBER(SEARCH("CEK:",'Onshore - Darwin (NT)'!M144)),1,0))</f>
        <v>0</v>
      </c>
    </row>
    <row r="306" customFormat="false" ht="15" hidden="false" customHeight="false" outlineLevel="0" collapsed="false">
      <c r="A306" s="61" t="s">
        <v>3865</v>
      </c>
      <c r="B306" s="62"/>
      <c r="C306" s="62"/>
      <c r="D306" s="62"/>
      <c r="E306" s="62"/>
      <c r="F306" s="62"/>
      <c r="G306" s="62"/>
      <c r="H306" s="62"/>
      <c r="I306" s="62"/>
    </row>
    <row r="307" customFormat="false" ht="15" hidden="false" customHeight="false" outlineLevel="0" collapsed="false">
      <c r="A307" s="63" t="s">
        <v>3583</v>
      </c>
      <c r="B307" s="64" t="s">
        <v>3833</v>
      </c>
      <c r="C307" s="63" t="s">
        <v>41</v>
      </c>
      <c r="D307" s="64" t="str">
        <f aca="false">TRIM(LEFT('Onshore - Darwin (NT)'!A6,FIND(CHAR(10),'Onshore - Darwin (NT)'!A6&amp;CHAR(10))-1))</f>
        <v>Alice Springs College of Australia (ASCA)</v>
      </c>
      <c r="E307" s="63" t="str">
        <f aca="false">'Onshore - Darwin (NT)'!C8&amp;""</f>
        <v>2 years</v>
      </c>
      <c r="F307" s="63" t="str">
        <f aca="false">IF('Onshore - Darwin (NT)'!D8="","Belum tercatat",'Onshore - Darwin (NT)'!D8)</f>
        <v>Term</v>
      </c>
      <c r="G307" s="65" t="n">
        <f aca="false">IF('Onshore - Darwin (NT)'!E8="","-",'Onshore - Darwin (NT)'!E8)</f>
        <v>1500</v>
      </c>
      <c r="H307" s="63" t="n">
        <f aca="false">IF(ISNUMBER(K307),COUNTIFS($J$6:$J$1916,J307,$K$6:$K$1916,"&lt;"&amp;K307)+1,"-")</f>
        <v>1</v>
      </c>
      <c r="I307" s="64" t="str">
        <f aca="false">IF('Onshore - Darwin (NT)'!E8="","Harga belum tersedia - hubungi konsultan TEG",IF(M307=2,"Saat ini tidak menerima pendaftaran siswa internasional baru",IF(M307=1,"Harga perlu dikonfirmasi ke sekolah"&amp;IF(""="","","; "&amp;""),"")))</f>
        <v/>
      </c>
      <c r="J307" s="0" t="s">
        <v>3866</v>
      </c>
      <c r="K307" s="0" t="n">
        <f aca="false">IF(M307=2,"",IF(ISNUMBER(SEARCH("rata-rata:",'Onshore - Darwin (NT)'!M8)),VALUE(MID('Onshore - Darwin (NT)'!M8,SEARCH("rata-rata:",'Onshore - Darwin (NT)'!M8)+11,FIND(";",'Onshore - Darwin (NT)'!M8&amp;";",SEARCH("rata-rata:",'Onshore - Darwin (NT)'!M8))-SEARCH("rata-rata:",'Onshore - Darwin (NT)'!M8)-11)),IF('Onshore - Darwin (NT)'!D8="Semester",'Onshore - Darwin (NT)'!E8*2,IF('Onshore - Darwin (NT)'!D8="Trimester",'Onshore - Darwin (NT)'!E8*3,IF('Onshore - Darwin (NT)'!D8="Term",'Onshore - Darwin (NT)'!E8*4,IF('Onshore - Darwin (NT)'!D8="Unit",'Onshore - Darwin (NT)'!E8*8,""))))))</f>
        <v>6000</v>
      </c>
      <c r="L307" s="0" t="n">
        <f aca="false">IF(AND(ISNUMBER('Onshore - Darwin (NT)'!E8),ISNUMBER(K307),ISNUMBER('Onshore - Darwin (NT)'!F8),ISNUMBER('Onshore - Darwin (NT)'!G8),OR('Onshore - Darwin (NT)'!F8&lt;&gt;0,ISNUMBER(SEARCH("Material 0 terverifikasi",'Onshore - Darwin (NT)'!M8))),OR('Onshore - Darwin (NT)'!G8&lt;&gt;0,ISNUMBER(SEARCH("Enrolment 0 terverifikasi",'Onshore - Darwin (NT)'!M8)))),1,0)</f>
        <v>1</v>
      </c>
      <c r="M307" s="0" t="n">
        <f aca="false">IF(OR('Onshore - Darwin (NT)'!E8="",ISNUMBER(SEARCH("BSB80120",'Onshore - Darwin (NT)'!B8&amp;'Onshore - Darwin (NT)'!M8)),ISNUMBER(SEARCH("Management (Learning)",'Onshore - Darwin (NT)'!B8))),2,IF(ISNUMBER(SEARCH("CEK:",'Onshore - Darwin (NT)'!M8)),1,0))</f>
        <v>0</v>
      </c>
    </row>
    <row r="308" customFormat="false" ht="15" hidden="false" customHeight="false" outlineLevel="0" collapsed="false">
      <c r="A308" s="63" t="s">
        <v>3583</v>
      </c>
      <c r="B308" s="64" t="s">
        <v>3833</v>
      </c>
      <c r="C308" s="63" t="s">
        <v>41</v>
      </c>
      <c r="D308" s="64" t="str">
        <f aca="false">TRIM(LEFT('Onshore - Darwin (NT)'!A20,FIND(CHAR(10),'Onshore - Darwin (NT)'!A20&amp;CHAR(10))-1))</f>
        <v>Charles Darwin University (CDU)</v>
      </c>
      <c r="E308" s="63" t="str">
        <f aca="false">'Onshore - Darwin (NT)'!C32&amp;""</f>
        <v>1 year</v>
      </c>
      <c r="F308" s="63" t="str">
        <f aca="false">IF('Onshore - Darwin (NT)'!D32="","Belum tercatat",'Onshore - Darwin (NT)'!D32)</f>
        <v>Term</v>
      </c>
      <c r="G308" s="65" t="n">
        <f aca="false">IF('Onshore - Darwin (NT)'!E32="","-",'Onshore - Darwin (NT)'!E32)</f>
        <v>7802</v>
      </c>
      <c r="H308" s="63" t="n">
        <f aca="false">IF(ISNUMBER(K308),COUNTIFS($J$6:$J$1916,J308,$K$6:$K$1916,"&lt;"&amp;K308)+1,"-")</f>
        <v>2</v>
      </c>
      <c r="I308" s="64" t="str">
        <f aca="false">IF('Onshore - Darwin (NT)'!E32="","Harga belum tersedia - hubungi konsultan TEG",IF(M308=2,"Saat ini tidak menerima pendaftaran siswa internasional baru",IF(M308=1,"Harga perlu dikonfirmasi ke sekolah"&amp;IF(""="","","; "&amp;""),"")))</f>
        <v/>
      </c>
      <c r="J308" s="0" t="s">
        <v>3866</v>
      </c>
      <c r="K308" s="0" t="n">
        <f aca="false">IF(M308=2,"",IF(ISNUMBER(SEARCH("rata-rata:",'Onshore - Darwin (NT)'!M32)),VALUE(MID('Onshore - Darwin (NT)'!M32,SEARCH("rata-rata:",'Onshore - Darwin (NT)'!M32)+11,FIND(";",'Onshore - Darwin (NT)'!M32&amp;";",SEARCH("rata-rata:",'Onshore - Darwin (NT)'!M32))-SEARCH("rata-rata:",'Onshore - Darwin (NT)'!M32)-11)),IF('Onshore - Darwin (NT)'!D32="Semester",'Onshore - Darwin (NT)'!E32*2,IF('Onshore - Darwin (NT)'!D32="Trimester",'Onshore - Darwin (NT)'!E32*3,IF('Onshore - Darwin (NT)'!D32="Term",'Onshore - Darwin (NT)'!E32*4,IF('Onshore - Darwin (NT)'!D32="Unit",'Onshore - Darwin (NT)'!E32*8,""))))))</f>
        <v>31208</v>
      </c>
      <c r="L308" s="0" t="n">
        <f aca="false">IF(AND(ISNUMBER('Onshore - Darwin (NT)'!E32),ISNUMBER(K308),ISNUMBER('Onshore - Darwin (NT)'!F32),ISNUMBER('Onshore - Darwin (NT)'!G32),OR('Onshore - Darwin (NT)'!F32&lt;&gt;0,ISNUMBER(SEARCH("Material 0 terverifikasi",'Onshore - Darwin (NT)'!M32))),OR('Onshore - Darwin (NT)'!G32&lt;&gt;0,ISNUMBER(SEARCH("Enrolment 0 terverifikasi",'Onshore - Darwin (NT)'!M32)))),1,0)</f>
        <v>0</v>
      </c>
      <c r="M308" s="0" t="n">
        <f aca="false">IF(OR('Onshore - Darwin (NT)'!E32="",ISNUMBER(SEARCH("BSB80120",'Onshore - Darwin (NT)'!B32&amp;'Onshore - Darwin (NT)'!M32)),ISNUMBER(SEARCH("Management (Learning)",'Onshore - Darwin (NT)'!B32))),2,IF(ISNUMBER(SEARCH("CEK:",'Onshore - Darwin (NT)'!M32)),1,0))</f>
        <v>0</v>
      </c>
    </row>
    <row r="309" customFormat="false" ht="15" hidden="false" customHeight="false" outlineLevel="0" collapsed="false">
      <c r="A309" s="61" t="s">
        <v>3867</v>
      </c>
      <c r="B309" s="62"/>
      <c r="C309" s="62"/>
      <c r="D309" s="62"/>
      <c r="E309" s="62"/>
      <c r="F309" s="62"/>
      <c r="G309" s="62"/>
      <c r="H309" s="62"/>
      <c r="I309" s="62"/>
    </row>
    <row r="310" customFormat="false" ht="15" hidden="false" customHeight="false" outlineLevel="0" collapsed="false">
      <c r="A310" s="63" t="s">
        <v>3583</v>
      </c>
      <c r="B310" s="64" t="s">
        <v>3833</v>
      </c>
      <c r="C310" s="63" t="s">
        <v>42</v>
      </c>
      <c r="D310" s="64" t="str">
        <f aca="false">TRIM(LEFT('Onshore - Darwin (NT)'!A6,FIND(CHAR(10),'Onshore - Darwin (NT)'!A6&amp;CHAR(10))-1))</f>
        <v>Alice Springs College of Australia (ASCA)</v>
      </c>
      <c r="E310" s="63" t="str">
        <f aca="false">'Onshore - Darwin (NT)'!C9&amp;""</f>
        <v>3,5 years</v>
      </c>
      <c r="F310" s="63" t="str">
        <f aca="false">IF('Onshore - Darwin (NT)'!D9="","Belum tercatat",'Onshore - Darwin (NT)'!D9)</f>
        <v>Term</v>
      </c>
      <c r="G310" s="65" t="n">
        <f aca="false">IF('Onshore - Darwin (NT)'!E9="","-",'Onshore - Darwin (NT)'!E9)</f>
        <v>1500</v>
      </c>
      <c r="H310" s="63" t="n">
        <f aca="false">IF(ISNUMBER(K310),COUNTIFS($J$6:$J$1916,J310,$K$6:$K$1916,"&lt;"&amp;K310)+1,"-")</f>
        <v>1</v>
      </c>
      <c r="I310" s="64" t="str">
        <f aca="false">IF('Onshore - Darwin (NT)'!E9="","Harga belum tersedia - hubungi konsultan TEG",IF(M310=2,"Saat ini tidak menerima pendaftaran siswa internasional baru",IF(M310=1,"Harga perlu dikonfirmasi ke sekolah"&amp;IF(""="","","; "&amp;""),"")))</f>
        <v/>
      </c>
      <c r="J310" s="0" t="s">
        <v>3868</v>
      </c>
      <c r="K310" s="0" t="n">
        <f aca="false">IF(M310=2,"",IF(ISNUMBER(SEARCH("rata-rata:",'Onshore - Darwin (NT)'!M9)),VALUE(MID('Onshore - Darwin (NT)'!M9,SEARCH("rata-rata:",'Onshore - Darwin (NT)'!M9)+11,FIND(";",'Onshore - Darwin (NT)'!M9&amp;";",SEARCH("rata-rata:",'Onshore - Darwin (NT)'!M9))-SEARCH("rata-rata:",'Onshore - Darwin (NT)'!M9)-11)),IF('Onshore - Darwin (NT)'!D9="Semester",'Onshore - Darwin (NT)'!E9*2,IF('Onshore - Darwin (NT)'!D9="Trimester",'Onshore - Darwin (NT)'!E9*3,IF('Onshore - Darwin (NT)'!D9="Term",'Onshore - Darwin (NT)'!E9*4,IF('Onshore - Darwin (NT)'!D9="Unit",'Onshore - Darwin (NT)'!E9*8,""))))))</f>
        <v>6000</v>
      </c>
      <c r="L310" s="0" t="n">
        <f aca="false">IF(AND(ISNUMBER('Onshore - Darwin (NT)'!E9),ISNUMBER(K310),ISNUMBER('Onshore - Darwin (NT)'!F9),ISNUMBER('Onshore - Darwin (NT)'!G9),OR('Onshore - Darwin (NT)'!F9&lt;&gt;0,ISNUMBER(SEARCH("Material 0 terverifikasi",'Onshore - Darwin (NT)'!M9))),OR('Onshore - Darwin (NT)'!G9&lt;&gt;0,ISNUMBER(SEARCH("Enrolment 0 terverifikasi",'Onshore - Darwin (NT)'!M9)))),1,0)</f>
        <v>1</v>
      </c>
      <c r="M310" s="0" t="n">
        <f aca="false">IF(OR('Onshore - Darwin (NT)'!E9="",ISNUMBER(SEARCH("BSB80120",'Onshore - Darwin (NT)'!B9&amp;'Onshore - Darwin (NT)'!M9)),ISNUMBER(SEARCH("Management (Learning)",'Onshore - Darwin (NT)'!B9))),2,IF(ISNUMBER(SEARCH("CEK:",'Onshore - Darwin (NT)'!M9)),1,0))</f>
        <v>0</v>
      </c>
    </row>
    <row r="311" customFormat="false" ht="15" hidden="false" customHeight="false" outlineLevel="0" collapsed="false">
      <c r="A311" s="63" t="s">
        <v>3583</v>
      </c>
      <c r="B311" s="64" t="s">
        <v>3833</v>
      </c>
      <c r="C311" s="63" t="s">
        <v>42</v>
      </c>
      <c r="D311" s="64" t="str">
        <f aca="false">TRIM(LEFT('Onshore - Darwin (NT)'!A146,FIND(CHAR(10),'Onshore - Darwin (NT)'!A146&amp;CHAR(10))-1))</f>
        <v>Sydney City College of Management</v>
      </c>
      <c r="E311" s="63" t="str">
        <f aca="false">'Onshore - Darwin (NT)'!C146&amp;""</f>
        <v>2 years</v>
      </c>
      <c r="F311" s="63" t="str">
        <f aca="false">IF('Onshore - Darwin (NT)'!D146="","Belum tercatat",'Onshore - Darwin (NT)'!D146)</f>
        <v>Term</v>
      </c>
      <c r="G311" s="65" t="n">
        <f aca="false">IF('Onshore - Darwin (NT)'!E146="","-",'Onshore - Darwin (NT)'!E146)</f>
        <v>2700</v>
      </c>
      <c r="H311" s="63" t="n">
        <f aca="false">IF(ISNUMBER(K311),COUNTIFS($J$6:$J$1916,J311,$K$6:$K$1916,"&lt;"&amp;K311)+1,"-")</f>
        <v>2</v>
      </c>
      <c r="I311" s="64" t="str">
        <f aca="false">IF('Onshore - Darwin (NT)'!E146="","Harga belum tersedia - hubungi konsultan TEG",IF(M311=2,"Saat ini tidak menerima pendaftaran siswa internasional baru",IF(M311=1,"Harga perlu dikonfirmasi ke sekolah"&amp;IF(""="","","; "&amp;""),"")))</f>
        <v/>
      </c>
      <c r="J311" s="0" t="s">
        <v>3868</v>
      </c>
      <c r="K311" s="0" t="n">
        <f aca="false">IF(M311=2,"",IF(ISNUMBER(SEARCH("rata-rata:",'Onshore - Darwin (NT)'!M146)),VALUE(MID('Onshore - Darwin (NT)'!M146,SEARCH("rata-rata:",'Onshore - Darwin (NT)'!M146)+11,FIND(";",'Onshore - Darwin (NT)'!M146&amp;";",SEARCH("rata-rata:",'Onshore - Darwin (NT)'!M146))-SEARCH("rata-rata:",'Onshore - Darwin (NT)'!M146)-11)),IF('Onshore - Darwin (NT)'!D146="Semester",'Onshore - Darwin (NT)'!E146*2,IF('Onshore - Darwin (NT)'!D146="Trimester",'Onshore - Darwin (NT)'!E146*3,IF('Onshore - Darwin (NT)'!D146="Term",'Onshore - Darwin (NT)'!E146*4,IF('Onshore - Darwin (NT)'!D146="Unit",'Onshore - Darwin (NT)'!E146*8,""))))))</f>
        <v>10800</v>
      </c>
      <c r="L311" s="0" t="n">
        <f aca="false">IF(AND(ISNUMBER('Onshore - Darwin (NT)'!E146),ISNUMBER(K311),ISNUMBER('Onshore - Darwin (NT)'!F146),ISNUMBER('Onshore - Darwin (NT)'!G146),OR('Onshore - Darwin (NT)'!F146&lt;&gt;0,ISNUMBER(SEARCH("Material 0 terverifikasi",'Onshore - Darwin (NT)'!M146))),OR('Onshore - Darwin (NT)'!G146&lt;&gt;0,ISNUMBER(SEARCH("Enrolment 0 terverifikasi",'Onshore - Darwin (NT)'!M146)))),1,0)</f>
        <v>1</v>
      </c>
      <c r="M311" s="0" t="n">
        <f aca="false">IF(OR('Onshore - Darwin (NT)'!E146="",ISNUMBER(SEARCH("BSB80120",'Onshore - Darwin (NT)'!B146&amp;'Onshore - Darwin (NT)'!M146)),ISNUMBER(SEARCH("Management (Learning)",'Onshore - Darwin (NT)'!B146))),2,IF(ISNUMBER(SEARCH("CEK:",'Onshore - Darwin (NT)'!M146)),1,0))</f>
        <v>0</v>
      </c>
    </row>
    <row r="312" customFormat="false" ht="15" hidden="false" customHeight="false" outlineLevel="0" collapsed="false">
      <c r="A312" s="61" t="s">
        <v>3869</v>
      </c>
      <c r="B312" s="62"/>
      <c r="C312" s="62"/>
      <c r="D312" s="62"/>
      <c r="E312" s="62"/>
      <c r="F312" s="62"/>
      <c r="G312" s="62"/>
      <c r="H312" s="62"/>
      <c r="I312" s="62"/>
    </row>
    <row r="313" customFormat="false" ht="15" hidden="false" customHeight="false" outlineLevel="0" collapsed="false">
      <c r="A313" s="63" t="s">
        <v>3583</v>
      </c>
      <c r="B313" s="64" t="s">
        <v>3833</v>
      </c>
      <c r="C313" s="63" t="s">
        <v>43</v>
      </c>
      <c r="D313" s="64" t="str">
        <f aca="false">TRIM(LEFT('Onshore - Darwin (NT)'!A15,FIND(CHAR(10),'Onshore - Darwin (NT)'!A15&amp;CHAR(10))-1))</f>
        <v>Canterbury Institute of Management (CIM)</v>
      </c>
      <c r="E313" s="63" t="str">
        <f aca="false">'Onshore - Darwin (NT)'!C15&amp;""</f>
        <v>3 years</v>
      </c>
      <c r="F313" s="63" t="str">
        <f aca="false">IF('Onshore - Darwin (NT)'!D15="","Belum tercatat",'Onshore - Darwin (NT)'!D15)</f>
        <v>Semester</v>
      </c>
      <c r="G313" s="65" t="n">
        <f aca="false">IF('Onshore - Darwin (NT)'!E15="","-",'Onshore - Darwin (NT)'!E15)</f>
        <v>8000</v>
      </c>
      <c r="H313" s="63" t="n">
        <f aca="false">IF(ISNUMBER(K313),COUNTIFS($J$6:$J$1916,J313,$K$6:$K$1916,"&lt;"&amp;K313)+1,"-")</f>
        <v>1</v>
      </c>
      <c r="I313" s="64" t="str">
        <f aca="false">IF('Onshore - Darwin (NT)'!E15="","Harga belum tersedia - hubungi konsultan TEG",IF(M313=2,"Saat ini tidak menerima pendaftaran siswa internasional baru",IF(M313=1,"Harga perlu dikonfirmasi ke sekolah"&amp;IF(""="","","; "&amp;""),"")))</f>
        <v>Harga perlu dikonfirmasi ke sekolah</v>
      </c>
      <c r="J313" s="0" t="s">
        <v>3870</v>
      </c>
      <c r="K313" s="0" t="n">
        <f aca="false">IF(M313=2,"",IF(ISNUMBER(SEARCH("rata-rata:",'Onshore - Darwin (NT)'!M15)),VALUE(MID('Onshore - Darwin (NT)'!M15,SEARCH("rata-rata:",'Onshore - Darwin (NT)'!M15)+11,FIND(";",'Onshore - Darwin (NT)'!M15&amp;";",SEARCH("rata-rata:",'Onshore - Darwin (NT)'!M15))-SEARCH("rata-rata:",'Onshore - Darwin (NT)'!M15)-11)),IF('Onshore - Darwin (NT)'!D15="Semester",'Onshore - Darwin (NT)'!E15*2,IF('Onshore - Darwin (NT)'!D15="Trimester",'Onshore - Darwin (NT)'!E15*3,IF('Onshore - Darwin (NT)'!D15="Term",'Onshore - Darwin (NT)'!E15*4,IF('Onshore - Darwin (NT)'!D15="Unit",'Onshore - Darwin (NT)'!E15*8,""))))))</f>
        <v>16000</v>
      </c>
      <c r="L313" s="0" t="n">
        <f aca="false">IF(AND(ISNUMBER('Onshore - Darwin (NT)'!E15),ISNUMBER(K313),ISNUMBER('Onshore - Darwin (NT)'!F15),ISNUMBER('Onshore - Darwin (NT)'!G15),OR('Onshore - Darwin (NT)'!F15&lt;&gt;0,ISNUMBER(SEARCH("Material 0 terverifikasi",'Onshore - Darwin (NT)'!M15))),OR('Onshore - Darwin (NT)'!G15&lt;&gt;0,ISNUMBER(SEARCH("Enrolment 0 terverifikasi",'Onshore - Darwin (NT)'!M15)))),1,0)</f>
        <v>0</v>
      </c>
      <c r="M313" s="0" t="n">
        <f aca="false">IF(OR('Onshore - Darwin (NT)'!E15="",ISNUMBER(SEARCH("BSB80120",'Onshore - Darwin (NT)'!B15&amp;'Onshore - Darwin (NT)'!M15)),ISNUMBER(SEARCH("Management (Learning)",'Onshore - Darwin (NT)'!B15))),2,IF(ISNUMBER(SEARCH("CEK:",'Onshore - Darwin (NT)'!M15)),1,0))</f>
        <v>1</v>
      </c>
    </row>
    <row r="314" customFormat="false" ht="15" hidden="false" customHeight="false" outlineLevel="0" collapsed="false">
      <c r="A314" s="63" t="s">
        <v>3583</v>
      </c>
      <c r="B314" s="64" t="s">
        <v>3833</v>
      </c>
      <c r="C314" s="63" t="s">
        <v>43</v>
      </c>
      <c r="D314" s="64" t="str">
        <f aca="false">TRIM(LEFT('Onshore - Darwin (NT)'!A20,FIND(CHAR(10),'Onshore - Darwin (NT)'!A20&amp;CHAR(10))-1))</f>
        <v>Charles Darwin University (CDU)</v>
      </c>
      <c r="E314" s="63" t="str">
        <f aca="false">'Onshore - Darwin (NT)'!C35&amp;""</f>
        <v>3 years</v>
      </c>
      <c r="F314" s="63" t="str">
        <f aca="false">IF('Onshore - Darwin (NT)'!D35="","Belum tercatat",'Onshore - Darwin (NT)'!D35)</f>
        <v>Term</v>
      </c>
      <c r="G314" s="65" t="n">
        <f aca="false">IF('Onshore - Darwin (NT)'!E35="","-",'Onshore - Darwin (NT)'!E35)</f>
        <v>7802</v>
      </c>
      <c r="H314" s="63" t="n">
        <f aca="false">IF(ISNUMBER(K314),COUNTIFS($J$6:$J$1916,J314,$K$6:$K$1916,"&lt;"&amp;K314)+1,"-")</f>
        <v>2</v>
      </c>
      <c r="I314" s="64" t="str">
        <f aca="false">IF('Onshore - Darwin (NT)'!E35="","Harga belum tersedia - hubungi konsultan TEG",IF(M314=2,"Saat ini tidak menerima pendaftaran siswa internasional baru",IF(M314=1,"Harga perlu dikonfirmasi ke sekolah"&amp;IF(""="","","; "&amp;""),"")))</f>
        <v/>
      </c>
      <c r="J314" s="0" t="s">
        <v>3870</v>
      </c>
      <c r="K314" s="0" t="n">
        <f aca="false">IF(M314=2,"",IF(ISNUMBER(SEARCH("rata-rata:",'Onshore - Darwin (NT)'!M35)),VALUE(MID('Onshore - Darwin (NT)'!M35,SEARCH("rata-rata:",'Onshore - Darwin (NT)'!M35)+11,FIND(";",'Onshore - Darwin (NT)'!M35&amp;";",SEARCH("rata-rata:",'Onshore - Darwin (NT)'!M35))-SEARCH("rata-rata:",'Onshore - Darwin (NT)'!M35)-11)),IF('Onshore - Darwin (NT)'!D35="Semester",'Onshore - Darwin (NT)'!E35*2,IF('Onshore - Darwin (NT)'!D35="Trimester",'Onshore - Darwin (NT)'!E35*3,IF('Onshore - Darwin (NT)'!D35="Term",'Onshore - Darwin (NT)'!E35*4,IF('Onshore - Darwin (NT)'!D35="Unit",'Onshore - Darwin (NT)'!E35*8,""))))))</f>
        <v>31208</v>
      </c>
      <c r="L314" s="0" t="n">
        <f aca="false">IF(AND(ISNUMBER('Onshore - Darwin (NT)'!E35),ISNUMBER(K314),ISNUMBER('Onshore - Darwin (NT)'!F35),ISNUMBER('Onshore - Darwin (NT)'!G35),OR('Onshore - Darwin (NT)'!F35&lt;&gt;0,ISNUMBER(SEARCH("Material 0 terverifikasi",'Onshore - Darwin (NT)'!M35))),OR('Onshore - Darwin (NT)'!G35&lt;&gt;0,ISNUMBER(SEARCH("Enrolment 0 terverifikasi",'Onshore - Darwin (NT)'!M35)))),1,0)</f>
        <v>0</v>
      </c>
      <c r="M314" s="0" t="n">
        <f aca="false">IF(OR('Onshore - Darwin (NT)'!E35="",ISNUMBER(SEARCH("BSB80120",'Onshore - Darwin (NT)'!B35&amp;'Onshore - Darwin (NT)'!M35)),ISNUMBER(SEARCH("Management (Learning)",'Onshore - Darwin (NT)'!B35))),2,IF(ISNUMBER(SEARCH("CEK:",'Onshore - Darwin (NT)'!M35)),1,0))</f>
        <v>0</v>
      </c>
    </row>
    <row r="315" customFormat="false" ht="15" hidden="false" customHeight="false" outlineLevel="0" collapsed="false">
      <c r="A315" s="61" t="s">
        <v>3871</v>
      </c>
      <c r="B315" s="62"/>
      <c r="C315" s="62"/>
      <c r="D315" s="62"/>
      <c r="E315" s="62"/>
      <c r="F315" s="62"/>
      <c r="G315" s="62"/>
      <c r="H315" s="62"/>
      <c r="I315" s="62"/>
    </row>
    <row r="316" customFormat="false" ht="15" hidden="false" customHeight="false" outlineLevel="0" collapsed="false">
      <c r="A316" s="63" t="s">
        <v>3583</v>
      </c>
      <c r="B316" s="64" t="s">
        <v>3833</v>
      </c>
      <c r="C316" s="63" t="s">
        <v>3707</v>
      </c>
      <c r="D316" s="64" t="str">
        <f aca="false">TRIM(LEFT('Onshore - Darwin (NT)'!A20,FIND(CHAR(10),'Onshore - Darwin (NT)'!A20&amp;CHAR(10))-1))</f>
        <v>Charles Darwin University (CDU)</v>
      </c>
      <c r="E316" s="63" t="str">
        <f aca="false">'Onshore - Darwin (NT)'!C49&amp;""</f>
        <v>1 year</v>
      </c>
      <c r="F316" s="63" t="str">
        <f aca="false">IF('Onshore - Darwin (NT)'!D49="","Belum tercatat",'Onshore - Darwin (NT)'!D49)</f>
        <v>Term</v>
      </c>
      <c r="G316" s="65" t="n">
        <f aca="false">IF('Onshore - Darwin (NT)'!E49="","-",'Onshore - Darwin (NT)'!E49)</f>
        <v>9120</v>
      </c>
      <c r="H316" s="63" t="n">
        <f aca="false">IF(ISNUMBER(K316),COUNTIFS($J$6:$J$1916,J316,$K$6:$K$1916,"&lt;"&amp;K316)+1,"-")</f>
        <v>1</v>
      </c>
      <c r="I316" s="64" t="str">
        <f aca="false">IF('Onshore - Darwin (NT)'!E49="","Harga belum tersedia - hubungi konsultan TEG",IF(M316=2,"Saat ini tidak menerima pendaftaran siswa internasional baru",IF(M316=1,"Harga perlu dikonfirmasi ke sekolah"&amp;IF(""="","","; "&amp;""),"")))</f>
        <v/>
      </c>
      <c r="J316" s="0" t="s">
        <v>3872</v>
      </c>
      <c r="K316" s="0" t="n">
        <f aca="false">IF(M316=2,"",IF(ISNUMBER(SEARCH("rata-rata:",'Onshore - Darwin (NT)'!M49)),VALUE(MID('Onshore - Darwin (NT)'!M49,SEARCH("rata-rata:",'Onshore - Darwin (NT)'!M49)+11,FIND(";",'Onshore - Darwin (NT)'!M49&amp;";",SEARCH("rata-rata:",'Onshore - Darwin (NT)'!M49))-SEARCH("rata-rata:",'Onshore - Darwin (NT)'!M49)-11)),IF('Onshore - Darwin (NT)'!D49="Semester",'Onshore - Darwin (NT)'!E49*2,IF('Onshore - Darwin (NT)'!D49="Trimester",'Onshore - Darwin (NT)'!E49*3,IF('Onshore - Darwin (NT)'!D49="Term",'Onshore - Darwin (NT)'!E49*4,IF('Onshore - Darwin (NT)'!D49="Unit",'Onshore - Darwin (NT)'!E49*8,""))))))</f>
        <v>36480</v>
      </c>
      <c r="L316" s="0" t="n">
        <f aca="false">IF(AND(ISNUMBER('Onshore - Darwin (NT)'!E49),ISNUMBER(K316),ISNUMBER('Onshore - Darwin (NT)'!F49),ISNUMBER('Onshore - Darwin (NT)'!G49),OR('Onshore - Darwin (NT)'!F49&lt;&gt;0,ISNUMBER(SEARCH("Material 0 terverifikasi",'Onshore - Darwin (NT)'!M49))),OR('Onshore - Darwin (NT)'!G49&lt;&gt;0,ISNUMBER(SEARCH("Enrolment 0 terverifikasi",'Onshore - Darwin (NT)'!M49)))),1,0)</f>
        <v>0</v>
      </c>
      <c r="M316" s="0" t="n">
        <f aca="false">IF(OR('Onshore - Darwin (NT)'!E49="",ISNUMBER(SEARCH("BSB80120",'Onshore - Darwin (NT)'!B49&amp;'Onshore - Darwin (NT)'!M49)),ISNUMBER(SEARCH("Management (Learning)",'Onshore - Darwin (NT)'!B49))),2,IF(ISNUMBER(SEARCH("CEK:",'Onshore - Darwin (NT)'!M49)),1,0))</f>
        <v>0</v>
      </c>
    </row>
    <row r="317" customFormat="false" ht="15" hidden="false" customHeight="false" outlineLevel="0" collapsed="false">
      <c r="A317" s="61" t="s">
        <v>3873</v>
      </c>
      <c r="B317" s="62"/>
      <c r="C317" s="62"/>
      <c r="D317" s="62"/>
      <c r="E317" s="62"/>
      <c r="F317" s="62"/>
      <c r="G317" s="62"/>
      <c r="H317" s="62"/>
      <c r="I317" s="62"/>
    </row>
    <row r="318" customFormat="false" ht="15" hidden="false" customHeight="false" outlineLevel="0" collapsed="false">
      <c r="A318" s="63" t="s">
        <v>3583</v>
      </c>
      <c r="B318" s="64" t="s">
        <v>3833</v>
      </c>
      <c r="C318" s="63" t="s">
        <v>46</v>
      </c>
      <c r="D318" s="64" t="str">
        <f aca="false">TRIM(LEFT('Onshore - Darwin (NT)'!A20,FIND(CHAR(10),'Onshore - Darwin (NT)'!A20&amp;CHAR(10))-1))</f>
        <v>Charles Darwin University (CDU)</v>
      </c>
      <c r="E318" s="63" t="str">
        <f aca="false">'Onshore - Darwin (NT)'!C133&amp;""</f>
        <v>0,5 year</v>
      </c>
      <c r="F318" s="63" t="str">
        <f aca="false">IF('Onshore - Darwin (NT)'!D133="","Belum tercatat",'Onshore - Darwin (NT)'!D133)</f>
        <v>Term</v>
      </c>
      <c r="G318" s="65" t="n">
        <f aca="false">IF('Onshore - Darwin (NT)'!E133="","-",'Onshore - Darwin (NT)'!E133)</f>
        <v>7948</v>
      </c>
      <c r="H318" s="63" t="n">
        <f aca="false">IF(ISNUMBER(K318),COUNTIFS($J$6:$J$1916,J318,$K$6:$K$1916,"&lt;"&amp;K318)+1,"-")</f>
        <v>1</v>
      </c>
      <c r="I318" s="64" t="str">
        <f aca="false">IF('Onshore - Darwin (NT)'!E133="","Harga belum tersedia - hubungi konsultan TEG",IF(M318=2,"Saat ini tidak menerima pendaftaran siswa internasional baru",IF(M318=1,"Harga perlu dikonfirmasi ke sekolah"&amp;IF(""="","","; "&amp;""),"")))</f>
        <v/>
      </c>
      <c r="J318" s="0" t="s">
        <v>3874</v>
      </c>
      <c r="K318" s="0" t="n">
        <f aca="false">IF(M318=2,"",IF(ISNUMBER(SEARCH("rata-rata:",'Onshore - Darwin (NT)'!M133)),VALUE(MID('Onshore - Darwin (NT)'!M133,SEARCH("rata-rata:",'Onshore - Darwin (NT)'!M133)+11,FIND(";",'Onshore - Darwin (NT)'!M133&amp;";",SEARCH("rata-rata:",'Onshore - Darwin (NT)'!M133))-SEARCH("rata-rata:",'Onshore - Darwin (NT)'!M133)-11)),IF('Onshore - Darwin (NT)'!D133="Semester",'Onshore - Darwin (NT)'!E133*2,IF('Onshore - Darwin (NT)'!D133="Trimester",'Onshore - Darwin (NT)'!E133*3,IF('Onshore - Darwin (NT)'!D133="Term",'Onshore - Darwin (NT)'!E133*4,IF('Onshore - Darwin (NT)'!D133="Unit",'Onshore - Darwin (NT)'!E133*8,""))))))</f>
        <v>31792</v>
      </c>
      <c r="L318" s="0" t="n">
        <f aca="false">IF(AND(ISNUMBER('Onshore - Darwin (NT)'!E133),ISNUMBER(K318),ISNUMBER('Onshore - Darwin (NT)'!F133),ISNUMBER('Onshore - Darwin (NT)'!G133),OR('Onshore - Darwin (NT)'!F133&lt;&gt;0,ISNUMBER(SEARCH("Material 0 terverifikasi",'Onshore - Darwin (NT)'!M133))),OR('Onshore - Darwin (NT)'!G133&lt;&gt;0,ISNUMBER(SEARCH("Enrolment 0 terverifikasi",'Onshore - Darwin (NT)'!M133)))),1,0)</f>
        <v>0</v>
      </c>
      <c r="M318" s="0" t="n">
        <f aca="false">IF(OR('Onshore - Darwin (NT)'!E133="",ISNUMBER(SEARCH("BSB80120",'Onshore - Darwin (NT)'!B133&amp;'Onshore - Darwin (NT)'!M133)),ISNUMBER(SEARCH("Management (Learning)",'Onshore - Darwin (NT)'!B133))),2,IF(ISNUMBER(SEARCH("CEK:",'Onshore - Darwin (NT)'!M133)),1,0))</f>
        <v>0</v>
      </c>
    </row>
    <row r="319" customFormat="false" ht="15" hidden="false" customHeight="false" outlineLevel="0" collapsed="false">
      <c r="A319" s="61" t="s">
        <v>3875</v>
      </c>
      <c r="B319" s="62"/>
      <c r="C319" s="62"/>
      <c r="D319" s="62"/>
      <c r="E319" s="62"/>
      <c r="F319" s="62"/>
      <c r="G319" s="62"/>
      <c r="H319" s="62"/>
      <c r="I319" s="62"/>
    </row>
    <row r="320" customFormat="false" ht="15" hidden="false" customHeight="false" outlineLevel="0" collapsed="false">
      <c r="A320" s="63" t="s">
        <v>3583</v>
      </c>
      <c r="B320" s="64" t="s">
        <v>3833</v>
      </c>
      <c r="C320" s="63" t="s">
        <v>3821</v>
      </c>
      <c r="D320" s="64" t="str">
        <f aca="false">TRIM(LEFT('Onshore - Darwin (NT)'!A20,FIND(CHAR(10),'Onshore - Darwin (NT)'!A20&amp;CHAR(10))-1))</f>
        <v>Charles Darwin University (CDU)</v>
      </c>
      <c r="E320" s="63" t="str">
        <f aca="false">'Onshore - Darwin (NT)'!C134&amp;""</f>
        <v>0,5 year</v>
      </c>
      <c r="F320" s="63" t="str">
        <f aca="false">IF('Onshore - Darwin (NT)'!D134="","Belum tercatat",'Onshore - Darwin (NT)'!D134)</f>
        <v>Term</v>
      </c>
      <c r="G320" s="65" t="n">
        <f aca="false">IF('Onshore - Darwin (NT)'!E134="","-",'Onshore - Darwin (NT)'!E134)</f>
        <v>4350</v>
      </c>
      <c r="H320" s="63" t="n">
        <f aca="false">IF(ISNUMBER(K320),COUNTIFS($J$6:$J$1916,J320,$K$6:$K$1916,"&lt;"&amp;K320)+1,"-")</f>
        <v>1</v>
      </c>
      <c r="I320" s="64" t="str">
        <f aca="false">IF('Onshore - Darwin (NT)'!E134="","Harga belum tersedia - hubungi konsultan TEG",IF(M320=2,"Saat ini tidak menerima pendaftaran siswa internasional baru",IF(M320=1,"Harga perlu dikonfirmasi ke sekolah"&amp;IF(""="","","; "&amp;""),"")))</f>
        <v/>
      </c>
      <c r="J320" s="0" t="s">
        <v>3876</v>
      </c>
      <c r="K320" s="0" t="n">
        <f aca="false">IF(M320=2,"",IF(ISNUMBER(SEARCH("rata-rata:",'Onshore - Darwin (NT)'!M134)),VALUE(MID('Onshore - Darwin (NT)'!M134,SEARCH("rata-rata:",'Onshore - Darwin (NT)'!M134)+11,FIND(";",'Onshore - Darwin (NT)'!M134&amp;";",SEARCH("rata-rata:",'Onshore - Darwin (NT)'!M134))-SEARCH("rata-rata:",'Onshore - Darwin (NT)'!M134)-11)),IF('Onshore - Darwin (NT)'!D134="Semester",'Onshore - Darwin (NT)'!E134*2,IF('Onshore - Darwin (NT)'!D134="Trimester",'Onshore - Darwin (NT)'!E134*3,IF('Onshore - Darwin (NT)'!D134="Term",'Onshore - Darwin (NT)'!E134*4,IF('Onshore - Darwin (NT)'!D134="Unit",'Onshore - Darwin (NT)'!E134*8,""))))))</f>
        <v>17400</v>
      </c>
      <c r="L320" s="0" t="n">
        <f aca="false">IF(AND(ISNUMBER('Onshore - Darwin (NT)'!E134),ISNUMBER(K320),ISNUMBER('Onshore - Darwin (NT)'!F134),ISNUMBER('Onshore - Darwin (NT)'!G134),OR('Onshore - Darwin (NT)'!F134&lt;&gt;0,ISNUMBER(SEARCH("Material 0 terverifikasi",'Onshore - Darwin (NT)'!M134))),OR('Onshore - Darwin (NT)'!G134&lt;&gt;0,ISNUMBER(SEARCH("Enrolment 0 terverifikasi",'Onshore - Darwin (NT)'!M134)))),1,0)</f>
        <v>0</v>
      </c>
      <c r="M320" s="0" t="n">
        <f aca="false">IF(OR('Onshore - Darwin (NT)'!E134="",ISNUMBER(SEARCH("BSB80120",'Onshore - Darwin (NT)'!B134&amp;'Onshore - Darwin (NT)'!M134)),ISNUMBER(SEARCH("Management (Learning)",'Onshore - Darwin (NT)'!B134))),2,IF(ISNUMBER(SEARCH("CEK:",'Onshore - Darwin (NT)'!M134)),1,0))</f>
        <v>0</v>
      </c>
    </row>
    <row r="321" customFormat="false" ht="15" hidden="false" customHeight="false" outlineLevel="0" collapsed="false">
      <c r="A321" s="61" t="s">
        <v>3877</v>
      </c>
      <c r="B321" s="62"/>
      <c r="C321" s="62"/>
      <c r="D321" s="62"/>
      <c r="E321" s="62"/>
      <c r="F321" s="62"/>
      <c r="G321" s="62"/>
      <c r="H321" s="62"/>
      <c r="I321" s="62"/>
    </row>
    <row r="322" customFormat="false" ht="15" hidden="false" customHeight="false" outlineLevel="0" collapsed="false">
      <c r="A322" s="63" t="s">
        <v>3878</v>
      </c>
      <c r="B322" s="64" t="s">
        <v>3833</v>
      </c>
      <c r="C322" s="63" t="s">
        <v>41</v>
      </c>
      <c r="D322" s="64" t="str">
        <f aca="false">TRIM(LEFT('Onshore - Gosford'!A6,FIND(CHAR(10),'Onshore - Gosford'!A6&amp;CHAR(10))-1))</f>
        <v>Novus College</v>
      </c>
      <c r="E322" s="63" t="str">
        <f aca="false">'Onshore - Gosford'!C6&amp;""</f>
        <v>2 years</v>
      </c>
      <c r="F322" s="63" t="str">
        <f aca="false">IF('Onshore - Gosford'!D6="","Belum tercatat",'Onshore - Gosford'!D6)</f>
        <v>Term</v>
      </c>
      <c r="G322" s="65" t="n">
        <f aca="false">IF('Onshore - Gosford'!E6="","-",'Onshore - Gosford'!E6)</f>
        <v>2100</v>
      </c>
      <c r="H322" s="63" t="n">
        <f aca="false">IF(ISNUMBER(K322),COUNTIFS($J$6:$J$1916,J322,$K$6:$K$1916,"&lt;"&amp;K322)+1,"-")</f>
        <v>1</v>
      </c>
      <c r="I322" s="64" t="str">
        <f aca="false">IF('Onshore - Gosford'!E6="","Harga belum tersedia - hubungi konsultan TEG",IF(M322=2,"Saat ini tidak menerima pendaftaran siswa internasional baru",IF(M322=1,"Program perlu dikonfirmasi ketersediaannya"&amp;IF(""="","","; "&amp;""),"")))</f>
        <v>Program perlu dikonfirmasi ketersediaannya</v>
      </c>
      <c r="J322" s="0" t="s">
        <v>3879</v>
      </c>
      <c r="K322" s="0" t="n">
        <f aca="false">IF(M322=2,"",IF(ISNUMBER(SEARCH("rata-rata:",'Onshore - Gosford'!M6)),VALUE(MID('Onshore - Gosford'!M6,SEARCH("rata-rata:",'Onshore - Gosford'!M6)+11,FIND(";",'Onshore - Gosford'!M6&amp;";",SEARCH("rata-rata:",'Onshore - Gosford'!M6))-SEARCH("rata-rata:",'Onshore - Gosford'!M6)-11)),IF('Onshore - Gosford'!D6="Semester",'Onshore - Gosford'!E6*2,IF('Onshore - Gosford'!D6="Trimester",'Onshore - Gosford'!E6*3,IF('Onshore - Gosford'!D6="Term",'Onshore - Gosford'!E6*4,IF('Onshore - Gosford'!D6="Unit",'Onshore - Gosford'!E6*8,""))))))</f>
        <v>8400</v>
      </c>
      <c r="L322" s="0" t="n">
        <f aca="false">IF(AND(ISNUMBER('Onshore - Gosford'!E6),ISNUMBER(K322),ISNUMBER('Onshore - Gosford'!F6),ISNUMBER('Onshore - Gosford'!G6),OR('Onshore - Gosford'!F6&lt;&gt;0,ISNUMBER(SEARCH("Material 0 terverifikasi",'Onshore - Gosford'!M6))),OR('Onshore - Gosford'!G6&lt;&gt;0,ISNUMBER(SEARCH("Enrolment 0 terverifikasi",'Onshore - Gosford'!M6)))),1,0)</f>
        <v>1</v>
      </c>
      <c r="M322" s="0" t="n">
        <f aca="false">IF(OR('Onshore - Gosford'!E6="",ISNUMBER(SEARCH("BSB80120",'Onshore - Gosford'!B6&amp;'Onshore - Gosford'!M6)),ISNUMBER(SEARCH("Management (Learning)",'Onshore - Gosford'!B6))),2,IF(ISNUMBER(SEARCH("CEK:",'Onshore - Gosford'!M6)),1,0))</f>
        <v>1</v>
      </c>
    </row>
    <row r="323" customFormat="false" ht="15" hidden="false" customHeight="false" outlineLevel="0" collapsed="false">
      <c r="A323" s="61" t="s">
        <v>3880</v>
      </c>
      <c r="B323" s="62"/>
      <c r="C323" s="62"/>
      <c r="D323" s="62"/>
      <c r="E323" s="62"/>
      <c r="F323" s="62"/>
      <c r="G323" s="62"/>
      <c r="H323" s="62"/>
      <c r="I323" s="62"/>
    </row>
    <row r="324" customFormat="false" ht="15" hidden="false" customHeight="false" outlineLevel="0" collapsed="false">
      <c r="A324" s="63" t="s">
        <v>3878</v>
      </c>
      <c r="B324" s="64" t="s">
        <v>3833</v>
      </c>
      <c r="C324" s="63" t="s">
        <v>42</v>
      </c>
      <c r="D324" s="64" t="str">
        <f aca="false">TRIM(LEFT('Onshore - Gosford'!A6,FIND(CHAR(10),'Onshore - Gosford'!A6&amp;CHAR(10))-1))</f>
        <v>Novus College</v>
      </c>
      <c r="E324" s="63" t="str">
        <f aca="false">'Onshore - Gosford'!C7&amp;""</f>
        <v>2 years</v>
      </c>
      <c r="F324" s="63" t="str">
        <f aca="false">IF('Onshore - Gosford'!D7="","Belum tercatat",'Onshore - Gosford'!D7)</f>
        <v>Term</v>
      </c>
      <c r="G324" s="65" t="n">
        <f aca="false">IF('Onshore - Gosford'!E7="","-",'Onshore - Gosford'!E7)</f>
        <v>2100</v>
      </c>
      <c r="H324" s="63" t="n">
        <f aca="false">IF(ISNUMBER(K324),COUNTIFS($J$6:$J$1916,J324,$K$6:$K$1916,"&lt;"&amp;K324)+1,"-")</f>
        <v>1</v>
      </c>
      <c r="I324" s="64" t="str">
        <f aca="false">IF('Onshore - Gosford'!E7="","Harga belum tersedia - hubungi konsultan TEG",IF(M324=2,"Saat ini tidak menerima pendaftaran siswa internasional baru",IF(M324=1,"Program perlu dikonfirmasi ketersediaannya"&amp;IF(""="","","; "&amp;""),"")))</f>
        <v>Program perlu dikonfirmasi ketersediaannya</v>
      </c>
      <c r="J324" s="0" t="s">
        <v>3881</v>
      </c>
      <c r="K324" s="0" t="n">
        <f aca="false">IF(M324=2,"",IF(ISNUMBER(SEARCH("rata-rata:",'Onshore - Gosford'!M7)),VALUE(MID('Onshore - Gosford'!M7,SEARCH("rata-rata:",'Onshore - Gosford'!M7)+11,FIND(";",'Onshore - Gosford'!M7&amp;";",SEARCH("rata-rata:",'Onshore - Gosford'!M7))-SEARCH("rata-rata:",'Onshore - Gosford'!M7)-11)),IF('Onshore - Gosford'!D7="Semester",'Onshore - Gosford'!E7*2,IF('Onshore - Gosford'!D7="Trimester",'Onshore - Gosford'!E7*3,IF('Onshore - Gosford'!D7="Term",'Onshore - Gosford'!E7*4,IF('Onshore - Gosford'!D7="Unit",'Onshore - Gosford'!E7*8,""))))))</f>
        <v>8400</v>
      </c>
      <c r="L324" s="0" t="n">
        <f aca="false">IF(AND(ISNUMBER('Onshore - Gosford'!E7),ISNUMBER(K324),ISNUMBER('Onshore - Gosford'!F7),ISNUMBER('Onshore - Gosford'!G7),OR('Onshore - Gosford'!F7&lt;&gt;0,ISNUMBER(SEARCH("Material 0 terverifikasi",'Onshore - Gosford'!M7))),OR('Onshore - Gosford'!G7&lt;&gt;0,ISNUMBER(SEARCH("Enrolment 0 terverifikasi",'Onshore - Gosford'!M7)))),1,0)</f>
        <v>1</v>
      </c>
      <c r="M324" s="0" t="n">
        <f aca="false">IF(OR('Onshore - Gosford'!E7="",ISNUMBER(SEARCH("BSB80120",'Onshore - Gosford'!B7&amp;'Onshore - Gosford'!M7)),ISNUMBER(SEARCH("Management (Learning)",'Onshore - Gosford'!B7))),2,IF(ISNUMBER(SEARCH("CEK:",'Onshore - Gosford'!M7)),1,0))</f>
        <v>1</v>
      </c>
    </row>
    <row r="325" customFormat="false" ht="15" hidden="false" customHeight="false" outlineLevel="0" collapsed="false">
      <c r="A325" s="61" t="s">
        <v>3882</v>
      </c>
      <c r="B325" s="62"/>
      <c r="C325" s="62"/>
      <c r="D325" s="62"/>
      <c r="E325" s="62"/>
      <c r="F325" s="62"/>
      <c r="G325" s="62"/>
      <c r="H325" s="62"/>
      <c r="I325" s="62"/>
    </row>
    <row r="326" customFormat="false" ht="15" hidden="false" customHeight="false" outlineLevel="0" collapsed="false">
      <c r="A326" s="63" t="s">
        <v>3544</v>
      </c>
      <c r="B326" s="64" t="s">
        <v>3833</v>
      </c>
      <c r="C326" s="63" t="s">
        <v>41</v>
      </c>
      <c r="D326" s="64" t="str">
        <f aca="false">TRIM(LEFT('Onshore- Melbourne'!A277,FIND(CHAR(10),'Onshore- Melbourne'!A277&amp;CHAR(10))-1))</f>
        <v>Greenwich College</v>
      </c>
      <c r="E326" s="63" t="str">
        <f aca="false">'Onshore- Melbourne'!C281&amp;""</f>
        <v>96 weeks</v>
      </c>
      <c r="F326" s="63" t="str">
        <f aca="false">IF('Onshore- Melbourne'!D281="","Belum tercatat",'Onshore- Melbourne'!D281)</f>
        <v>Term</v>
      </c>
      <c r="G326" s="65" t="n">
        <f aca="false">IF('Onshore- Melbourne'!E281="","-",'Onshore- Melbourne'!E281)</f>
        <v>1250</v>
      </c>
      <c r="H326" s="63" t="n">
        <f aca="false">IF(ISNUMBER(K326),COUNTIFS($J$6:$J$1916,J326,$K$6:$K$1916,"&lt;"&amp;K326)+1,"-")</f>
        <v>1</v>
      </c>
      <c r="I326" s="64" t="str">
        <f aca="false">IF('Onshore- Melbourne'!E281="","Harga belum tersedia - hubungi konsultan TEG",IF(M326=2,"Saat ini tidak menerima pendaftaran siswa internasional baru",IF(M326=1,"Harga perlu dikonfirmasi ke sekolah"&amp;IF(""="","","; "&amp;""),"")))</f>
        <v/>
      </c>
      <c r="J326" s="0" t="s">
        <v>3883</v>
      </c>
      <c r="K326" s="0" t="n">
        <f aca="false">IF(M326=2,"",IF(ISNUMBER(SEARCH("rata-rata:",'Onshore- Melbourne'!M281)),VALUE(MID('Onshore- Melbourne'!M281,SEARCH("rata-rata:",'Onshore- Melbourne'!M281)+11,FIND(";",'Onshore- Melbourne'!M281&amp;";",SEARCH("rata-rata:",'Onshore- Melbourne'!M281))-SEARCH("rata-rata:",'Onshore- Melbourne'!M281)-11)),IF('Onshore- Melbourne'!D281="Semester",'Onshore- Melbourne'!E281*2,IF('Onshore- Melbourne'!D281="Trimester",'Onshore- Melbourne'!E281*3,IF('Onshore- Melbourne'!D281="Term",'Onshore- Melbourne'!E281*4,IF('Onshore- Melbourne'!D281="Unit",'Onshore- Melbourne'!E281*8,""))))))</f>
        <v>5000</v>
      </c>
      <c r="L326" s="0" t="n">
        <f aca="false">IF(AND(ISNUMBER('Onshore- Melbourne'!E281),ISNUMBER(K326),ISNUMBER('Onshore- Melbourne'!F281),ISNUMBER('Onshore- Melbourne'!G281),OR('Onshore- Melbourne'!F281&lt;&gt;0,ISNUMBER(SEARCH("Material 0 terverifikasi",'Onshore- Melbourne'!M281))),OR('Onshore- Melbourne'!G281&lt;&gt;0,ISNUMBER(SEARCH("Enrolment 0 terverifikasi",'Onshore- Melbourne'!M281)))),1,0)</f>
        <v>1</v>
      </c>
      <c r="M326" s="0" t="n">
        <f aca="false">IF(OR('Onshore- Melbourne'!E281="",ISNUMBER(SEARCH("BSB80120",'Onshore- Melbourne'!B281&amp;'Onshore- Melbourne'!M281)),ISNUMBER(SEARCH("Management (Learning)",'Onshore- Melbourne'!B281))),2,IF(ISNUMBER(SEARCH("CEK:",'Onshore- Melbourne'!M281)),1,0))</f>
        <v>0</v>
      </c>
    </row>
    <row r="327" customFormat="false" ht="15" hidden="false" customHeight="false" outlineLevel="0" collapsed="false">
      <c r="A327" s="63" t="s">
        <v>3544</v>
      </c>
      <c r="B327" s="64" t="s">
        <v>3833</v>
      </c>
      <c r="C327" s="63" t="s">
        <v>41</v>
      </c>
      <c r="D327" s="64" t="str">
        <f aca="false">TRIM(LEFT('Onshore- Melbourne'!A252,FIND(CHAR(10),'Onshore- Melbourne'!A252&amp;CHAR(10))-1))</f>
        <v>Collins Academy</v>
      </c>
      <c r="E327" s="63" t="str">
        <f aca="false">'Onshore- Melbourne'!C252&amp;""</f>
        <v>2 years</v>
      </c>
      <c r="F327" s="63" t="str">
        <f aca="false">IF('Onshore- Melbourne'!D252="","Belum tercatat",'Onshore- Melbourne'!D252)</f>
        <v>Term</v>
      </c>
      <c r="G327" s="65" t="n">
        <f aca="false">IF('Onshore- Melbourne'!E252="","-",'Onshore- Melbourne'!E252)</f>
        <v>1375</v>
      </c>
      <c r="H327" s="63" t="n">
        <f aca="false">IF(ISNUMBER(K327),COUNTIFS($J$6:$J$1916,J327,$K$6:$K$1916,"&lt;"&amp;K327)+1,"-")</f>
        <v>2</v>
      </c>
      <c r="I327" s="64" t="str">
        <f aca="false">IF('Onshore- Melbourne'!E252="","Harga belum tersedia - hubungi konsultan TEG",IF(M327=2,"Saat ini tidak menerima pendaftaran siswa internasional baru",IF(M327=1,"Harga perlu dikonfirmasi ke sekolah"&amp;IF(""="","","; "&amp;""),"")))</f>
        <v/>
      </c>
      <c r="J327" s="0" t="s">
        <v>3883</v>
      </c>
      <c r="K327" s="0" t="n">
        <f aca="false">IF(M327=2,"",IF(ISNUMBER(SEARCH("rata-rata:",'Onshore- Melbourne'!M252)),VALUE(MID('Onshore- Melbourne'!M252,SEARCH("rata-rata:",'Onshore- Melbourne'!M252)+11,FIND(";",'Onshore- Melbourne'!M252&amp;";",SEARCH("rata-rata:",'Onshore- Melbourne'!M252))-SEARCH("rata-rata:",'Onshore- Melbourne'!M252)-11)),IF('Onshore- Melbourne'!D252="Semester",'Onshore- Melbourne'!E252*2,IF('Onshore- Melbourne'!D252="Trimester",'Onshore- Melbourne'!E252*3,IF('Onshore- Melbourne'!D252="Term",'Onshore- Melbourne'!E252*4,IF('Onshore- Melbourne'!D252="Unit",'Onshore- Melbourne'!E252*8,""))))))</f>
        <v>5500</v>
      </c>
      <c r="L327" s="0" t="n">
        <f aca="false">IF(AND(ISNUMBER('Onshore- Melbourne'!E252),ISNUMBER(K327),ISNUMBER('Onshore- Melbourne'!F252),ISNUMBER('Onshore- Melbourne'!G252),OR('Onshore- Melbourne'!F252&lt;&gt;0,ISNUMBER(SEARCH("Material 0 terverifikasi",'Onshore- Melbourne'!M252))),OR('Onshore- Melbourne'!G252&lt;&gt;0,ISNUMBER(SEARCH("Enrolment 0 terverifikasi",'Onshore- Melbourne'!M252)))),1,0)</f>
        <v>1</v>
      </c>
      <c r="M327" s="0" t="n">
        <f aca="false">IF(OR('Onshore- Melbourne'!E252="",ISNUMBER(SEARCH("BSB80120",'Onshore- Melbourne'!B252&amp;'Onshore- Melbourne'!M252)),ISNUMBER(SEARCH("Management (Learning)",'Onshore- Melbourne'!B252))),2,IF(ISNUMBER(SEARCH("CEK:",'Onshore- Melbourne'!M252)),1,0))</f>
        <v>0</v>
      </c>
    </row>
    <row r="328" customFormat="false" ht="15" hidden="false" customHeight="false" outlineLevel="0" collapsed="false">
      <c r="A328" s="63" t="s">
        <v>3544</v>
      </c>
      <c r="B328" s="64" t="s">
        <v>3833</v>
      </c>
      <c r="C328" s="63" t="s">
        <v>41</v>
      </c>
      <c r="D328" s="64" t="str">
        <f aca="false">TRIM(LEFT('Onshore- Melbourne'!A259,FIND(CHAR(10),'Onshore- Melbourne'!A259&amp;CHAR(10))-1))</f>
        <v>Dalton College</v>
      </c>
      <c r="E328" s="63" t="str">
        <f aca="false">'Onshore- Melbourne'!C262&amp;""</f>
        <v>1 year</v>
      </c>
      <c r="F328" s="63" t="str">
        <f aca="false">IF('Onshore- Melbourne'!D262="","Belum tercatat",'Onshore- Melbourne'!D262)</f>
        <v>Term</v>
      </c>
      <c r="G328" s="65" t="n">
        <f aca="false">IF('Onshore- Melbourne'!E262="","-",'Onshore- Melbourne'!E262)</f>
        <v>1450</v>
      </c>
      <c r="H328" s="63" t="n">
        <f aca="false">IF(ISNUMBER(K328),COUNTIFS($J$6:$J$1916,J328,$K$6:$K$1916,"&lt;"&amp;K328)+1,"-")</f>
        <v>3</v>
      </c>
      <c r="I328" s="64" t="str">
        <f aca="false">IF('Onshore- Melbourne'!E262="","Harga belum tersedia - hubungi konsultan TEG",IF(M328=2,"Saat ini tidak menerima pendaftaran siswa internasional baru",IF(M328=1,"Harga perlu dikonfirmasi ke sekolah"&amp;IF(""="","","; "&amp;""),"")))</f>
        <v/>
      </c>
      <c r="J328" s="0" t="s">
        <v>3883</v>
      </c>
      <c r="K328" s="0" t="n">
        <f aca="false">IF(M328=2,"",IF(ISNUMBER(SEARCH("rata-rata:",'Onshore- Melbourne'!M262)),VALUE(MID('Onshore- Melbourne'!M262,SEARCH("rata-rata:",'Onshore- Melbourne'!M262)+11,FIND(";",'Onshore- Melbourne'!M262&amp;";",SEARCH("rata-rata:",'Onshore- Melbourne'!M262))-SEARCH("rata-rata:",'Onshore- Melbourne'!M262)-11)),IF('Onshore- Melbourne'!D262="Semester",'Onshore- Melbourne'!E262*2,IF('Onshore- Melbourne'!D262="Trimester",'Onshore- Melbourne'!E262*3,IF('Onshore- Melbourne'!D262="Term",'Onshore- Melbourne'!E262*4,IF('Onshore- Melbourne'!D262="Unit",'Onshore- Melbourne'!E262*8,""))))))</f>
        <v>5800</v>
      </c>
      <c r="L328" s="0" t="n">
        <f aca="false">IF(AND(ISNUMBER('Onshore- Melbourne'!E262),ISNUMBER(K328),ISNUMBER('Onshore- Melbourne'!F262),ISNUMBER('Onshore- Melbourne'!G262),OR('Onshore- Melbourne'!F262&lt;&gt;0,ISNUMBER(SEARCH("Material 0 terverifikasi",'Onshore- Melbourne'!M262))),OR('Onshore- Melbourne'!G262&lt;&gt;0,ISNUMBER(SEARCH("Enrolment 0 terverifikasi",'Onshore- Melbourne'!M262)))),1,0)</f>
        <v>1</v>
      </c>
      <c r="M328" s="0" t="n">
        <f aca="false">IF(OR('Onshore- Melbourne'!E262="",ISNUMBER(SEARCH("BSB80120",'Onshore- Melbourne'!B262&amp;'Onshore- Melbourne'!M262)),ISNUMBER(SEARCH("Management (Learning)",'Onshore- Melbourne'!B262))),2,IF(ISNUMBER(SEARCH("CEK:",'Onshore- Melbourne'!M262)),1,0))</f>
        <v>0</v>
      </c>
    </row>
    <row r="329" customFormat="false" ht="15" hidden="false" customHeight="false" outlineLevel="0" collapsed="false">
      <c r="A329" s="63" t="s">
        <v>3544</v>
      </c>
      <c r="B329" s="64" t="s">
        <v>3833</v>
      </c>
      <c r="C329" s="63" t="s">
        <v>41</v>
      </c>
      <c r="D329" s="64" t="str">
        <f aca="false">TRIM(LEFT('Onshore- Melbourne'!A266,FIND(CHAR(10),'Onshore- Melbourne'!A266&amp;CHAR(10))-1))</f>
        <v>ECA College</v>
      </c>
      <c r="E329" s="63" t="str">
        <f aca="false">'Onshore- Melbourne'!C267&amp;""</f>
        <v>2 years</v>
      </c>
      <c r="F329" s="63" t="str">
        <f aca="false">IF('Onshore- Melbourne'!D267="","Belum tercatat",'Onshore- Melbourne'!D267)</f>
        <v>Term</v>
      </c>
      <c r="G329" s="65" t="n">
        <f aca="false">IF('Onshore- Melbourne'!E267="","-",'Onshore- Melbourne'!E267)</f>
        <v>1500</v>
      </c>
      <c r="H329" s="63" t="n">
        <f aca="false">IF(ISNUMBER(K329),COUNTIFS($J$6:$J$1916,J329,$K$6:$K$1916,"&lt;"&amp;K329)+1,"-")</f>
        <v>4</v>
      </c>
      <c r="I329" s="64" t="str">
        <f aca="false">IF('Onshore- Melbourne'!E267="","Harga belum tersedia - hubungi konsultan TEG",IF(M329=2,"Saat ini tidak menerima pendaftaran siswa internasional baru",IF(M329=1,"Harga perlu dikonfirmasi ke sekolah"&amp;IF(""="","","; "&amp;""),"")))</f>
        <v/>
      </c>
      <c r="J329" s="0" t="s">
        <v>3883</v>
      </c>
      <c r="K329" s="0" t="n">
        <f aca="false">IF(M329=2,"",IF(ISNUMBER(SEARCH("rata-rata:",'Onshore- Melbourne'!M267)),VALUE(MID('Onshore- Melbourne'!M267,SEARCH("rata-rata:",'Onshore- Melbourne'!M267)+11,FIND(";",'Onshore- Melbourne'!M267&amp;";",SEARCH("rata-rata:",'Onshore- Melbourne'!M267))-SEARCH("rata-rata:",'Onshore- Melbourne'!M267)-11)),IF('Onshore- Melbourne'!D267="Semester",'Onshore- Melbourne'!E267*2,IF('Onshore- Melbourne'!D267="Trimester",'Onshore- Melbourne'!E267*3,IF('Onshore- Melbourne'!D267="Term",'Onshore- Melbourne'!E267*4,IF('Onshore- Melbourne'!D267="Unit",'Onshore- Melbourne'!E267*8,""))))))</f>
        <v>6000</v>
      </c>
      <c r="L329" s="0" t="n">
        <f aca="false">IF(AND(ISNUMBER('Onshore- Melbourne'!E267),ISNUMBER(K329),ISNUMBER('Onshore- Melbourne'!F267),ISNUMBER('Onshore- Melbourne'!G267),OR('Onshore- Melbourne'!F267&lt;&gt;0,ISNUMBER(SEARCH("Material 0 terverifikasi",'Onshore- Melbourne'!M267))),OR('Onshore- Melbourne'!G267&lt;&gt;0,ISNUMBER(SEARCH("Enrolment 0 terverifikasi",'Onshore- Melbourne'!M267)))),1,0)</f>
        <v>0</v>
      </c>
      <c r="M329" s="0" t="n">
        <f aca="false">IF(OR('Onshore- Melbourne'!E267="",ISNUMBER(SEARCH("BSB80120",'Onshore- Melbourne'!B267&amp;'Onshore- Melbourne'!M267)),ISNUMBER(SEARCH("Management (Learning)",'Onshore- Melbourne'!B267))),2,IF(ISNUMBER(SEARCH("CEK:",'Onshore- Melbourne'!M267)),1,0))</f>
        <v>0</v>
      </c>
    </row>
    <row r="330" customFormat="false" ht="15" hidden="false" customHeight="false" outlineLevel="0" collapsed="false">
      <c r="A330" s="63" t="s">
        <v>3544</v>
      </c>
      <c r="B330" s="64" t="s">
        <v>3833</v>
      </c>
      <c r="C330" s="63" t="s">
        <v>41</v>
      </c>
      <c r="D330" s="64" t="str">
        <f aca="false">TRIM(LEFT('Onshore- Melbourne'!A301,FIND(CHAR(10),'Onshore- Melbourne'!A301&amp;CHAR(10))-1))</f>
        <v>INUS / ZOI (Nuture Education Group)</v>
      </c>
      <c r="E330" s="63" t="str">
        <f aca="false">'Onshore- Melbourne'!C303&amp;""</f>
        <v>2 years</v>
      </c>
      <c r="F330" s="63" t="str">
        <f aca="false">IF('Onshore- Melbourne'!D303="","Belum tercatat",'Onshore- Melbourne'!D303)</f>
        <v>Term</v>
      </c>
      <c r="G330" s="65" t="n">
        <f aca="false">IF('Onshore- Melbourne'!E303="","-",'Onshore- Melbourne'!E303)</f>
        <v>1500</v>
      </c>
      <c r="H330" s="63" t="n">
        <f aca="false">IF(ISNUMBER(K330),COUNTIFS($J$6:$J$1916,J330,$K$6:$K$1916,"&lt;"&amp;K330)+1,"-")</f>
        <v>4</v>
      </c>
      <c r="I330" s="64" t="str">
        <f aca="false">IF('Onshore- Melbourne'!E303="","Harga belum tersedia - hubungi konsultan TEG",IF(M330=2,"Saat ini tidak menerima pendaftaran siswa internasional baru",IF(M330=1,"Harga perlu dikonfirmasi ke sekolah"&amp;IF(""="","","; "&amp;""),"")))</f>
        <v>Harga perlu dikonfirmasi ke sekolah</v>
      </c>
      <c r="J330" s="0" t="s">
        <v>3883</v>
      </c>
      <c r="K330" s="0" t="n">
        <f aca="false">IF(M330=2,"",IF(ISNUMBER(SEARCH("rata-rata:",'Onshore- Melbourne'!M303)),VALUE(MID('Onshore- Melbourne'!M303,SEARCH("rata-rata:",'Onshore- Melbourne'!M303)+11,FIND(";",'Onshore- Melbourne'!M303&amp;";",SEARCH("rata-rata:",'Onshore- Melbourne'!M303))-SEARCH("rata-rata:",'Onshore- Melbourne'!M303)-11)),IF('Onshore- Melbourne'!D303="Semester",'Onshore- Melbourne'!E303*2,IF('Onshore- Melbourne'!D303="Trimester",'Onshore- Melbourne'!E303*3,IF('Onshore- Melbourne'!D303="Term",'Onshore- Melbourne'!E303*4,IF('Onshore- Melbourne'!D303="Unit",'Onshore- Melbourne'!E303*8,""))))))</f>
        <v>6000</v>
      </c>
      <c r="L330" s="0" t="n">
        <f aca="false">IF(AND(ISNUMBER('Onshore- Melbourne'!E303),ISNUMBER(K330),ISNUMBER('Onshore- Melbourne'!F303),ISNUMBER('Onshore- Melbourne'!G303),OR('Onshore- Melbourne'!F303&lt;&gt;0,ISNUMBER(SEARCH("Material 0 terverifikasi",'Onshore- Melbourne'!M303))),OR('Onshore- Melbourne'!G303&lt;&gt;0,ISNUMBER(SEARCH("Enrolment 0 terverifikasi",'Onshore- Melbourne'!M303)))),1,0)</f>
        <v>1</v>
      </c>
      <c r="M330" s="0" t="n">
        <f aca="false">IF(OR('Onshore- Melbourne'!E303="",ISNUMBER(SEARCH("BSB80120",'Onshore- Melbourne'!B303&amp;'Onshore- Melbourne'!M303)),ISNUMBER(SEARCH("Management (Learning)",'Onshore- Melbourne'!B303))),2,IF(ISNUMBER(SEARCH("CEK:",'Onshore- Melbourne'!M303)),1,0))</f>
        <v>1</v>
      </c>
    </row>
    <row r="331" customFormat="false" ht="28.35" hidden="false" customHeight="false" outlineLevel="0" collapsed="false">
      <c r="A331" s="63" t="s">
        <v>3544</v>
      </c>
      <c r="B331" s="64" t="s">
        <v>3833</v>
      </c>
      <c r="C331" s="63" t="s">
        <v>41</v>
      </c>
      <c r="D331" s="64" t="str">
        <f aca="false">TRIM(LEFT('Onshore- Melbourne'!A454,FIND(CHAR(10),'Onshore- Melbourne'!A454&amp;CHAR(10))-1))</f>
        <v>TKL College (Training for Knowledge and Livelihood)</v>
      </c>
      <c r="E331" s="63" t="str">
        <f aca="false">'Onshore- Melbourne'!C455&amp;""</f>
        <v>2 years</v>
      </c>
      <c r="F331" s="63" t="str">
        <f aca="false">IF('Onshore- Melbourne'!D455="","Belum tercatat",'Onshore- Melbourne'!D455)</f>
        <v>Term</v>
      </c>
      <c r="G331" s="65" t="n">
        <f aca="false">IF('Onshore- Melbourne'!E455="","-",'Onshore- Melbourne'!E455)</f>
        <v>1500</v>
      </c>
      <c r="H331" s="63" t="n">
        <f aca="false">IF(ISNUMBER(K331),COUNTIFS($J$6:$J$1916,J331,$K$6:$K$1916,"&lt;"&amp;K331)+1,"-")</f>
        <v>4</v>
      </c>
      <c r="I331" s="64" t="str">
        <f aca="false">IF('Onshore- Melbourne'!E455="","Harga belum tersedia - hubungi konsultan TEG",IF(M331=2,"Saat ini tidak menerima pendaftaran siswa internasional baru",IF(M331=1,"Program perlu dikonfirmasi ketersediaannya"&amp;IF(""="","","; "&amp;""),"")))</f>
        <v>Program perlu dikonfirmasi ketersediaannya</v>
      </c>
      <c r="J331" s="0" t="s">
        <v>3883</v>
      </c>
      <c r="K331" s="0" t="n">
        <f aca="false">IF(M331=2,"",IF(ISNUMBER(SEARCH("rata-rata:",'Onshore- Melbourne'!M455)),VALUE(MID('Onshore- Melbourne'!M455,SEARCH("rata-rata:",'Onshore- Melbourne'!M455)+11,FIND(";",'Onshore- Melbourne'!M455&amp;";",SEARCH("rata-rata:",'Onshore- Melbourne'!M455))-SEARCH("rata-rata:",'Onshore- Melbourne'!M455)-11)),IF('Onshore- Melbourne'!D455="Semester",'Onshore- Melbourne'!E455*2,IF('Onshore- Melbourne'!D455="Trimester",'Onshore- Melbourne'!E455*3,IF('Onshore- Melbourne'!D455="Term",'Onshore- Melbourne'!E455*4,IF('Onshore- Melbourne'!D455="Unit",'Onshore- Melbourne'!E455*8,""))))))</f>
        <v>6000</v>
      </c>
      <c r="L331" s="0" t="n">
        <f aca="false">IF(AND(ISNUMBER('Onshore- Melbourne'!E455),ISNUMBER(K331),ISNUMBER('Onshore- Melbourne'!F455),ISNUMBER('Onshore- Melbourne'!G455),OR('Onshore- Melbourne'!F455&lt;&gt;0,ISNUMBER(SEARCH("Material 0 terverifikasi",'Onshore- Melbourne'!M455))),OR('Onshore- Melbourne'!G455&lt;&gt;0,ISNUMBER(SEARCH("Enrolment 0 terverifikasi",'Onshore- Melbourne'!M455)))),1,0)</f>
        <v>1</v>
      </c>
      <c r="M331" s="0" t="n">
        <f aca="false">IF(OR('Onshore- Melbourne'!E455="",ISNUMBER(SEARCH("BSB80120",'Onshore- Melbourne'!B455&amp;'Onshore- Melbourne'!M455)),ISNUMBER(SEARCH("Management (Learning)",'Onshore- Melbourne'!B455))),2,IF(ISNUMBER(SEARCH("CEK:",'Onshore- Melbourne'!M455)),1,0))</f>
        <v>1</v>
      </c>
    </row>
    <row r="332" customFormat="false" ht="15" hidden="false" customHeight="false" outlineLevel="0" collapsed="false">
      <c r="A332" s="63" t="s">
        <v>3544</v>
      </c>
      <c r="B332" s="64" t="s">
        <v>3833</v>
      </c>
      <c r="C332" s="63" t="s">
        <v>41</v>
      </c>
      <c r="D332" s="64" t="str">
        <f aca="false">TRIM(LEFT('Onshore- Melbourne'!A65,FIND(CHAR(10),'Onshore- Melbourne'!A65&amp;CHAR(10))-1))</f>
        <v>ALTEC College</v>
      </c>
      <c r="E332" s="63" t="str">
        <f aca="false">'Onshore- Melbourne'!C66&amp;""</f>
        <v>2 years</v>
      </c>
      <c r="F332" s="63" t="str">
        <f aca="false">IF('Onshore- Melbourne'!D66="","Belum tercatat",'Onshore- Melbourne'!D66)</f>
        <v>Term</v>
      </c>
      <c r="G332" s="65" t="n">
        <f aca="false">IF('Onshore- Melbourne'!E66="","-",'Onshore- Melbourne'!E66)</f>
        <v>1625</v>
      </c>
      <c r="H332" s="63" t="n">
        <f aca="false">IF(ISNUMBER(K332),COUNTIFS($J$6:$J$1916,J332,$K$6:$K$1916,"&lt;"&amp;K332)+1,"-")</f>
        <v>7</v>
      </c>
      <c r="I332" s="64" t="str">
        <f aca="false">IF('Onshore- Melbourne'!E66="","Harga belum tersedia - hubungi konsultan TEG",IF(M332=2,"Saat ini tidak menerima pendaftaran siswa internasional baru",IF(M332=1,"Harga perlu dikonfirmasi ke sekolah"&amp;IF(""="","","; "&amp;""),"")))</f>
        <v/>
      </c>
      <c r="J332" s="0" t="s">
        <v>3883</v>
      </c>
      <c r="K332" s="0" t="n">
        <f aca="false">IF(M332=2,"",IF(ISNUMBER(SEARCH("rata-rata:",'Onshore- Melbourne'!M66)),VALUE(MID('Onshore- Melbourne'!M66,SEARCH("rata-rata:",'Onshore- Melbourne'!M66)+11,FIND(";",'Onshore- Melbourne'!M66&amp;";",SEARCH("rata-rata:",'Onshore- Melbourne'!M66))-SEARCH("rata-rata:",'Onshore- Melbourne'!M66)-11)),IF('Onshore- Melbourne'!D66="Semester",'Onshore- Melbourne'!E66*2,IF('Onshore- Melbourne'!D66="Trimester",'Onshore- Melbourne'!E66*3,IF('Onshore- Melbourne'!D66="Term",'Onshore- Melbourne'!E66*4,IF('Onshore- Melbourne'!D66="Unit",'Onshore- Melbourne'!E66*8,""))))))</f>
        <v>6500</v>
      </c>
      <c r="L332" s="0" t="n">
        <f aca="false">IF(AND(ISNUMBER('Onshore- Melbourne'!E66),ISNUMBER(K332),ISNUMBER('Onshore- Melbourne'!F66),ISNUMBER('Onshore- Melbourne'!G66),OR('Onshore- Melbourne'!F66&lt;&gt;0,ISNUMBER(SEARCH("Material 0 terverifikasi",'Onshore- Melbourne'!M66))),OR('Onshore- Melbourne'!G66&lt;&gt;0,ISNUMBER(SEARCH("Enrolment 0 terverifikasi",'Onshore- Melbourne'!M66)))),1,0)</f>
        <v>1</v>
      </c>
      <c r="M332" s="0" t="n">
        <f aca="false">IF(OR('Onshore- Melbourne'!E66="",ISNUMBER(SEARCH("BSB80120",'Onshore- Melbourne'!B66&amp;'Onshore- Melbourne'!M66)),ISNUMBER(SEARCH("Management (Learning)",'Onshore- Melbourne'!B66))),2,IF(ISNUMBER(SEARCH("CEK:",'Onshore- Melbourne'!M66)),1,0))</f>
        <v>0</v>
      </c>
    </row>
    <row r="333" customFormat="false" ht="15" hidden="false" customHeight="false" outlineLevel="0" collapsed="false">
      <c r="A333" s="63" t="s">
        <v>3544</v>
      </c>
      <c r="B333" s="64" t="s">
        <v>3833</v>
      </c>
      <c r="C333" s="63" t="s">
        <v>41</v>
      </c>
      <c r="D333" s="64" t="str">
        <f aca="false">TRIM(LEFT('Onshore- Melbourne'!A77,FIND(CHAR(10),'Onshore- Melbourne'!A77&amp;CHAR(10))-1))</f>
        <v>Asia Pacific International College (APIC)</v>
      </c>
      <c r="E333" s="63" t="str">
        <f aca="false">'Onshore- Melbourne'!C79&amp;""</f>
        <v>1 year</v>
      </c>
      <c r="F333" s="63" t="str">
        <f aca="false">IF('Onshore- Melbourne'!D79="","Belum tercatat",'Onshore- Melbourne'!D79)</f>
        <v>Trimester</v>
      </c>
      <c r="G333" s="65" t="n">
        <f aca="false">IF('Onshore- Melbourne'!E79="","-",'Onshore- Melbourne'!E79)</f>
        <v>3000</v>
      </c>
      <c r="H333" s="63" t="n">
        <f aca="false">IF(ISNUMBER(K333),COUNTIFS($J$6:$J$1916,J333,$K$6:$K$1916,"&lt;"&amp;K333)+1,"-")</f>
        <v>8</v>
      </c>
      <c r="I333" s="64" t="str">
        <f aca="false">IF('Onshore- Melbourne'!E79="","Harga belum tersedia - hubungi konsultan TEG",IF(M333=2,"Saat ini tidak menerima pendaftaran siswa internasional baru",IF(M333=1,"Harga perlu dikonfirmasi ke sekolah"&amp;IF(""="","","; "&amp;""),"")))</f>
        <v>Harga perlu dikonfirmasi ke sekolah</v>
      </c>
      <c r="J333" s="0" t="s">
        <v>3883</v>
      </c>
      <c r="K333" s="0" t="n">
        <f aca="false">IF(M333=2,"",IF(ISNUMBER(SEARCH("rata-rata:",'Onshore- Melbourne'!M79)),VALUE(MID('Onshore- Melbourne'!M79,SEARCH("rata-rata:",'Onshore- Melbourne'!M79)+11,FIND(";",'Onshore- Melbourne'!M79&amp;";",SEARCH("rata-rata:",'Onshore- Melbourne'!M79))-SEARCH("rata-rata:",'Onshore- Melbourne'!M79)-11)),IF('Onshore- Melbourne'!D79="Semester",'Onshore- Melbourne'!E79*2,IF('Onshore- Melbourne'!D79="Trimester",'Onshore- Melbourne'!E79*3,IF('Onshore- Melbourne'!D79="Term",'Onshore- Melbourne'!E79*4,IF('Onshore- Melbourne'!D79="Unit",'Onshore- Melbourne'!E79*8,""))))))</f>
        <v>9000</v>
      </c>
      <c r="L333" s="0" t="n">
        <f aca="false">IF(AND(ISNUMBER('Onshore- Melbourne'!E79),ISNUMBER(K333),ISNUMBER('Onshore- Melbourne'!F79),ISNUMBER('Onshore- Melbourne'!G79),OR('Onshore- Melbourne'!F79&lt;&gt;0,ISNUMBER(SEARCH("Material 0 terverifikasi",'Onshore- Melbourne'!M79))),OR('Onshore- Melbourne'!G79&lt;&gt;0,ISNUMBER(SEARCH("Enrolment 0 terverifikasi",'Onshore- Melbourne'!M79)))),1,0)</f>
        <v>0</v>
      </c>
      <c r="M333" s="0" t="n">
        <f aca="false">IF(OR('Onshore- Melbourne'!E79="",ISNUMBER(SEARCH("BSB80120",'Onshore- Melbourne'!B79&amp;'Onshore- Melbourne'!M79)),ISNUMBER(SEARCH("Management (Learning)",'Onshore- Melbourne'!B79))),2,IF(ISNUMBER(SEARCH("CEK:",'Onshore- Melbourne'!M79)),1,0))</f>
        <v>1</v>
      </c>
    </row>
    <row r="334" customFormat="false" ht="15" hidden="false" customHeight="false" outlineLevel="0" collapsed="false">
      <c r="A334" s="63" t="s">
        <v>3544</v>
      </c>
      <c r="B334" s="64" t="s">
        <v>3833</v>
      </c>
      <c r="C334" s="63" t="s">
        <v>41</v>
      </c>
      <c r="D334" s="64" t="str">
        <f aca="false">TRIM(LEFT('Onshore- Melbourne'!A461,FIND(CHAR(10),'Onshore- Melbourne'!A461&amp;CHAR(10))-1))</f>
        <v>Torrens University Australia</v>
      </c>
      <c r="E334" s="63" t="str">
        <f aca="false">'Onshore- Melbourne'!C461&amp;""</f>
        <v>1 year</v>
      </c>
      <c r="F334" s="63" t="str">
        <f aca="false">IF('Onshore- Melbourne'!D461="","Belum tercatat",'Onshore- Melbourne'!D461)</f>
        <v>Term</v>
      </c>
      <c r="G334" s="65" t="n">
        <f aca="false">IF('Onshore- Melbourne'!E461="","-",'Onshore- Melbourne'!E461)</f>
        <v>7900</v>
      </c>
      <c r="H334" s="63" t="n">
        <f aca="false">IF(ISNUMBER(K334),COUNTIFS($J$6:$J$1916,J334,$K$6:$K$1916,"&lt;"&amp;K334)+1,"-")</f>
        <v>9</v>
      </c>
      <c r="I334" s="64" t="str">
        <f aca="false">IF('Onshore- Melbourne'!E461="","Harga belum tersedia - hubungi konsultan TEG",IF(M334=2,"Saat ini tidak menerima pendaftaran siswa internasional baru",IF(M334=1,"Harga perlu dikonfirmasi ke sekolah"&amp;IF(""="","","; "&amp;""),"")))</f>
        <v/>
      </c>
      <c r="J334" s="0" t="s">
        <v>3883</v>
      </c>
      <c r="K334" s="0" t="n">
        <f aca="false">IF(M334=2,"",IF(ISNUMBER(SEARCH("rata-rata:",'Onshore- Melbourne'!M461)),VALUE(MID('Onshore- Melbourne'!M461,SEARCH("rata-rata:",'Onshore- Melbourne'!M461)+11,FIND(";",'Onshore- Melbourne'!M461&amp;";",SEARCH("rata-rata:",'Onshore- Melbourne'!M461))-SEARCH("rata-rata:",'Onshore- Melbourne'!M461)-11)),IF('Onshore- Melbourne'!D461="Semester",'Onshore- Melbourne'!E461*2,IF('Onshore- Melbourne'!D461="Trimester",'Onshore- Melbourne'!E461*3,IF('Onshore- Melbourne'!D461="Term",'Onshore- Melbourne'!E461*4,IF('Onshore- Melbourne'!D461="Unit",'Onshore- Melbourne'!E461*8,""))))))</f>
        <v>31600</v>
      </c>
      <c r="L334" s="0" t="n">
        <f aca="false">IF(AND(ISNUMBER('Onshore- Melbourne'!E461),ISNUMBER(K334),ISNUMBER('Onshore- Melbourne'!F461),ISNUMBER('Onshore- Melbourne'!G461),OR('Onshore- Melbourne'!F461&lt;&gt;0,ISNUMBER(SEARCH("Material 0 terverifikasi",'Onshore- Melbourne'!M461))),OR('Onshore- Melbourne'!G461&lt;&gt;0,ISNUMBER(SEARCH("Enrolment 0 terverifikasi",'Onshore- Melbourne'!M461)))),1,0)</f>
        <v>0</v>
      </c>
      <c r="M334" s="0" t="n">
        <f aca="false">IF(OR('Onshore- Melbourne'!E461="",ISNUMBER(SEARCH("BSB80120",'Onshore- Melbourne'!B461&amp;'Onshore- Melbourne'!M461)),ISNUMBER(SEARCH("Management (Learning)",'Onshore- Melbourne'!B461))),2,IF(ISNUMBER(SEARCH("CEK:",'Onshore- Melbourne'!M461)),1,0))</f>
        <v>0</v>
      </c>
    </row>
    <row r="335" customFormat="false" ht="15" hidden="false" customHeight="false" outlineLevel="0" collapsed="false">
      <c r="A335" s="63" t="s">
        <v>3544</v>
      </c>
      <c r="B335" s="64" t="s">
        <v>3833</v>
      </c>
      <c r="C335" s="63" t="s">
        <v>41</v>
      </c>
      <c r="D335" s="64" t="str">
        <f aca="false">TRIM(LEFT('Onshore- Melbourne'!A94,FIND(CHAR(10),'Onshore- Melbourne'!A94&amp;CHAR(10))-1))</f>
        <v>Australian Catholic University (ACU)</v>
      </c>
      <c r="E335" s="63" t="str">
        <f aca="false">'Onshore- Melbourne'!C188&amp;""</f>
        <v>1 year</v>
      </c>
      <c r="F335" s="63" t="str">
        <f aca="false">IF('Onshore- Melbourne'!D188="","Belum tercatat",'Onshore- Melbourne'!D188)</f>
        <v>Term</v>
      </c>
      <c r="G335" s="65" t="n">
        <f aca="false">IF('Onshore- Melbourne'!E188="","-",'Onshore- Melbourne'!E188)</f>
        <v>8058</v>
      </c>
      <c r="H335" s="63" t="n">
        <f aca="false">IF(ISNUMBER(K335),COUNTIFS($J$6:$J$1916,J335,$K$6:$K$1916,"&lt;"&amp;K335)+1,"-")</f>
        <v>10</v>
      </c>
      <c r="I335" s="64" t="str">
        <f aca="false">IF('Onshore- Melbourne'!E188="","Harga belum tersedia - hubungi konsultan TEG",IF(M335=2,"Saat ini tidak menerima pendaftaran siswa internasional baru",IF(M335=1,"Harga perlu dikonfirmasi ke sekolah"&amp;IF(""="","","; "&amp;""),"")))</f>
        <v/>
      </c>
      <c r="J335" s="0" t="s">
        <v>3883</v>
      </c>
      <c r="K335" s="0" t="n">
        <f aca="false">IF(M335=2,"",IF(ISNUMBER(SEARCH("rata-rata:",'Onshore- Melbourne'!M188)),VALUE(MID('Onshore- Melbourne'!M188,SEARCH("rata-rata:",'Onshore- Melbourne'!M188)+11,FIND(";",'Onshore- Melbourne'!M188&amp;";",SEARCH("rata-rata:",'Onshore- Melbourne'!M188))-SEARCH("rata-rata:",'Onshore- Melbourne'!M188)-11)),IF('Onshore- Melbourne'!D188="Semester",'Onshore- Melbourne'!E188*2,IF('Onshore- Melbourne'!D188="Trimester",'Onshore- Melbourne'!E188*3,IF('Onshore- Melbourne'!D188="Term",'Onshore- Melbourne'!E188*4,IF('Onshore- Melbourne'!D188="Unit",'Onshore- Melbourne'!E188*8,""))))))</f>
        <v>32232</v>
      </c>
      <c r="L335" s="0" t="n">
        <f aca="false">IF(AND(ISNUMBER('Onshore- Melbourne'!E188),ISNUMBER(K335),ISNUMBER('Onshore- Melbourne'!F188),ISNUMBER('Onshore- Melbourne'!G188),OR('Onshore- Melbourne'!F188&lt;&gt;0,ISNUMBER(SEARCH("Material 0 terverifikasi",'Onshore- Melbourne'!M188))),OR('Onshore- Melbourne'!G188&lt;&gt;0,ISNUMBER(SEARCH("Enrolment 0 terverifikasi",'Onshore- Melbourne'!M188)))),1,0)</f>
        <v>0</v>
      </c>
      <c r="M335" s="0" t="n">
        <f aca="false">IF(OR('Onshore- Melbourne'!E188="",ISNUMBER(SEARCH("BSB80120",'Onshore- Melbourne'!B188&amp;'Onshore- Melbourne'!M188)),ISNUMBER(SEARCH("Management (Learning)",'Onshore- Melbourne'!B188))),2,IF(ISNUMBER(SEARCH("CEK:",'Onshore- Melbourne'!M188)),1,0))</f>
        <v>0</v>
      </c>
    </row>
    <row r="336" customFormat="false" ht="15" hidden="false" customHeight="false" outlineLevel="0" collapsed="false">
      <c r="A336" s="63" t="s">
        <v>3544</v>
      </c>
      <c r="B336" s="64" t="s">
        <v>3833</v>
      </c>
      <c r="C336" s="63" t="s">
        <v>41</v>
      </c>
      <c r="D336" s="64" t="str">
        <f aca="false">TRIM(LEFT('Onshore- Melbourne'!A304,FIND(CHAR(10),'Onshore- Melbourne'!A304&amp;CHAR(10))-1))</f>
        <v>Kaplan Business School</v>
      </c>
      <c r="E336" s="63" t="str">
        <f aca="false">'Onshore- Melbourne'!C304&amp;""</f>
        <v>1 year</v>
      </c>
      <c r="F336" s="63" t="str">
        <f aca="false">IF('Onshore- Melbourne'!D304="","Belum tercatat",'Onshore- Melbourne'!D304)</f>
        <v>Trimester</v>
      </c>
      <c r="G336" s="65" t="n">
        <f aca="false">IF('Onshore- Melbourne'!E304="","-",'Onshore- Melbourne'!E304)</f>
        <v>11520</v>
      </c>
      <c r="H336" s="63" t="n">
        <f aca="false">IF(ISNUMBER(K336),COUNTIFS($J$6:$J$1916,J336,$K$6:$K$1916,"&lt;"&amp;K336)+1,"-")</f>
        <v>11</v>
      </c>
      <c r="I336" s="64" t="str">
        <f aca="false">IF('Onshore- Melbourne'!E304="","Harga belum tersedia - hubungi konsultan TEG",IF(M336=2,"Saat ini tidak menerima pendaftaran siswa internasional baru",IF(M336=1,"Harga perlu dikonfirmasi ke sekolah"&amp;IF(""="","","; "&amp;""),"")))</f>
        <v>Harga perlu dikonfirmasi ke sekolah</v>
      </c>
      <c r="J336" s="0" t="s">
        <v>3883</v>
      </c>
      <c r="K336" s="0" t="n">
        <f aca="false">IF(M336=2,"",IF(ISNUMBER(SEARCH("rata-rata:",'Onshore- Melbourne'!M304)),VALUE(MID('Onshore- Melbourne'!M304,SEARCH("rata-rata:",'Onshore- Melbourne'!M304)+11,FIND(";",'Onshore- Melbourne'!M304&amp;";",SEARCH("rata-rata:",'Onshore- Melbourne'!M304))-SEARCH("rata-rata:",'Onshore- Melbourne'!M304)-11)),IF('Onshore- Melbourne'!D304="Semester",'Onshore- Melbourne'!E304*2,IF('Onshore- Melbourne'!D304="Trimester",'Onshore- Melbourne'!E304*3,IF('Onshore- Melbourne'!D304="Term",'Onshore- Melbourne'!E304*4,IF('Onshore- Melbourne'!D304="Unit",'Onshore- Melbourne'!E304*8,""))))))</f>
        <v>34560</v>
      </c>
      <c r="L336" s="0" t="n">
        <f aca="false">IF(AND(ISNUMBER('Onshore- Melbourne'!E304),ISNUMBER(K336),ISNUMBER('Onshore- Melbourne'!F304),ISNUMBER('Onshore- Melbourne'!G304),OR('Onshore- Melbourne'!F304&lt;&gt;0,ISNUMBER(SEARCH("Material 0 terverifikasi",'Onshore- Melbourne'!M304))),OR('Onshore- Melbourne'!G304&lt;&gt;0,ISNUMBER(SEARCH("Enrolment 0 terverifikasi",'Onshore- Melbourne'!M304)))),1,0)</f>
        <v>1</v>
      </c>
      <c r="M336" s="0" t="n">
        <f aca="false">IF(OR('Onshore- Melbourne'!E304="",ISNUMBER(SEARCH("BSB80120",'Onshore- Melbourne'!B304&amp;'Onshore- Melbourne'!M304)),ISNUMBER(SEARCH("Management (Learning)",'Onshore- Melbourne'!B304))),2,IF(ISNUMBER(SEARCH("CEK:",'Onshore- Melbourne'!M304)),1,0))</f>
        <v>1</v>
      </c>
    </row>
    <row r="337" customFormat="false" ht="15" hidden="false" customHeight="false" outlineLevel="0" collapsed="false">
      <c r="A337" s="61" t="s">
        <v>3884</v>
      </c>
      <c r="B337" s="62"/>
      <c r="C337" s="62"/>
      <c r="D337" s="62"/>
      <c r="E337" s="62"/>
      <c r="F337" s="62"/>
      <c r="G337" s="62"/>
      <c r="H337" s="62"/>
      <c r="I337" s="62"/>
    </row>
    <row r="338" customFormat="false" ht="28.35" hidden="false" customHeight="false" outlineLevel="0" collapsed="false">
      <c r="A338" s="63" t="s">
        <v>3544</v>
      </c>
      <c r="B338" s="64" t="s">
        <v>3833</v>
      </c>
      <c r="C338" s="63" t="s">
        <v>42</v>
      </c>
      <c r="D338" s="64" t="str">
        <f aca="false">TRIM(LEFT('Onshore- Melbourne'!A53,FIND(CHAR(10),'Onshore- Melbourne'!A53&amp;CHAR(10))-1))</f>
        <v>Albright Institute of Business and Language (AIBL)</v>
      </c>
      <c r="E338" s="63" t="str">
        <f aca="false">'Onshore- Melbourne'!C55&amp;""</f>
        <v>2 years</v>
      </c>
      <c r="F338" s="63" t="str">
        <f aca="false">IF('Onshore- Melbourne'!D55="","Belum tercatat",'Onshore- Melbourne'!D55)</f>
        <v>Term</v>
      </c>
      <c r="G338" s="65" t="n">
        <f aca="false">IF('Onshore- Melbourne'!E55="","-",'Onshore- Melbourne'!E55)</f>
        <v>1250</v>
      </c>
      <c r="H338" s="63" t="n">
        <f aca="false">IF(ISNUMBER(K338),COUNTIFS($J$6:$J$1916,J338,$K$6:$K$1916,"&lt;"&amp;K338)+1,"-")</f>
        <v>1</v>
      </c>
      <c r="I338" s="64" t="str">
        <f aca="false">IF('Onshore- Melbourne'!E55="","Harga belum tersedia - hubungi konsultan TEG",IF(M338=2,"Saat ini tidak menerima pendaftaran siswa internasional baru",IF(M338=1,"Harga perlu dikonfirmasi ke sekolah"&amp;IF(""="","","; "&amp;""),"")))</f>
        <v/>
      </c>
      <c r="J338" s="0" t="s">
        <v>3885</v>
      </c>
      <c r="K338" s="0" t="n">
        <f aca="false">IF(M338=2,"",IF(ISNUMBER(SEARCH("rata-rata:",'Onshore- Melbourne'!M55)),VALUE(MID('Onshore- Melbourne'!M55,SEARCH("rata-rata:",'Onshore- Melbourne'!M55)+11,FIND(";",'Onshore- Melbourne'!M55&amp;";",SEARCH("rata-rata:",'Onshore- Melbourne'!M55))-SEARCH("rata-rata:",'Onshore- Melbourne'!M55)-11)),IF('Onshore- Melbourne'!D55="Semester",'Onshore- Melbourne'!E55*2,IF('Onshore- Melbourne'!D55="Trimester",'Onshore- Melbourne'!E55*3,IF('Onshore- Melbourne'!D55="Term",'Onshore- Melbourne'!E55*4,IF('Onshore- Melbourne'!D55="Unit",'Onshore- Melbourne'!E55*8,""))))))</f>
        <v>5000</v>
      </c>
      <c r="L338" s="0" t="n">
        <f aca="false">IF(AND(ISNUMBER('Onshore- Melbourne'!E55),ISNUMBER(K338),ISNUMBER('Onshore- Melbourne'!F55),ISNUMBER('Onshore- Melbourne'!G55),OR('Onshore- Melbourne'!F55&lt;&gt;0,ISNUMBER(SEARCH("Material 0 terverifikasi",'Onshore- Melbourne'!M55))),OR('Onshore- Melbourne'!G55&lt;&gt;0,ISNUMBER(SEARCH("Enrolment 0 terverifikasi",'Onshore- Melbourne'!M55)))),1,0)</f>
        <v>1</v>
      </c>
      <c r="M338" s="0" t="n">
        <f aca="false">IF(OR('Onshore- Melbourne'!E55="",ISNUMBER(SEARCH("BSB80120",'Onshore- Melbourne'!B55&amp;'Onshore- Melbourne'!M55)),ISNUMBER(SEARCH("Management (Learning)",'Onshore- Melbourne'!B55))),2,IF(ISNUMBER(SEARCH("CEK:",'Onshore- Melbourne'!M55)),1,0))</f>
        <v>0</v>
      </c>
    </row>
    <row r="339" customFormat="false" ht="15" hidden="false" customHeight="false" outlineLevel="0" collapsed="false">
      <c r="A339" s="63" t="s">
        <v>3544</v>
      </c>
      <c r="B339" s="64" t="s">
        <v>3833</v>
      </c>
      <c r="C339" s="63" t="s">
        <v>42</v>
      </c>
      <c r="D339" s="64" t="str">
        <f aca="false">TRIM(LEFT('Onshore- Melbourne'!A277,FIND(CHAR(10),'Onshore- Melbourne'!A277&amp;CHAR(10))-1))</f>
        <v>Greenwich College</v>
      </c>
      <c r="E339" s="63" t="str">
        <f aca="false">'Onshore- Melbourne'!C282&amp;""</f>
        <v>172 weeks</v>
      </c>
      <c r="F339" s="63" t="str">
        <f aca="false">IF('Onshore- Melbourne'!D282="","Belum tercatat",'Onshore- Melbourne'!D282)</f>
        <v>Term</v>
      </c>
      <c r="G339" s="65" t="n">
        <f aca="false">IF('Onshore- Melbourne'!E282="","-",'Onshore- Melbourne'!E282)</f>
        <v>1250</v>
      </c>
      <c r="H339" s="63" t="n">
        <f aca="false">IF(ISNUMBER(K339),COUNTIFS($J$6:$J$1916,J339,$K$6:$K$1916,"&lt;"&amp;K339)+1,"-")</f>
        <v>1</v>
      </c>
      <c r="I339" s="64" t="str">
        <f aca="false">IF('Onshore- Melbourne'!E282="","Harga belum tersedia - hubungi konsultan TEG",IF(M339=2,"Saat ini tidak menerima pendaftaran siswa internasional baru",IF(M339=1,"Harga perlu dikonfirmasi ke sekolah"&amp;IF(""="","","; "&amp;""),"")))</f>
        <v/>
      </c>
      <c r="J339" s="0" t="s">
        <v>3885</v>
      </c>
      <c r="K339" s="0" t="n">
        <f aca="false">IF(M339=2,"",IF(ISNUMBER(SEARCH("rata-rata:",'Onshore- Melbourne'!M282)),VALUE(MID('Onshore- Melbourne'!M282,SEARCH("rata-rata:",'Onshore- Melbourne'!M282)+11,FIND(";",'Onshore- Melbourne'!M282&amp;";",SEARCH("rata-rata:",'Onshore- Melbourne'!M282))-SEARCH("rata-rata:",'Onshore- Melbourne'!M282)-11)),IF('Onshore- Melbourne'!D282="Semester",'Onshore- Melbourne'!E282*2,IF('Onshore- Melbourne'!D282="Trimester",'Onshore- Melbourne'!E282*3,IF('Onshore- Melbourne'!D282="Term",'Onshore- Melbourne'!E282*4,IF('Onshore- Melbourne'!D282="Unit",'Onshore- Melbourne'!E282*8,""))))))</f>
        <v>5000</v>
      </c>
      <c r="L339" s="0" t="n">
        <f aca="false">IF(AND(ISNUMBER('Onshore- Melbourne'!E282),ISNUMBER(K339),ISNUMBER('Onshore- Melbourne'!F282),ISNUMBER('Onshore- Melbourne'!G282),OR('Onshore- Melbourne'!F282&lt;&gt;0,ISNUMBER(SEARCH("Material 0 terverifikasi",'Onshore- Melbourne'!M282))),OR('Onshore- Melbourne'!G282&lt;&gt;0,ISNUMBER(SEARCH("Enrolment 0 terverifikasi",'Onshore- Melbourne'!M282)))),1,0)</f>
        <v>1</v>
      </c>
      <c r="M339" s="0" t="n">
        <f aca="false">IF(OR('Onshore- Melbourne'!E282="",ISNUMBER(SEARCH("BSB80120",'Onshore- Melbourne'!B282&amp;'Onshore- Melbourne'!M282)),ISNUMBER(SEARCH("Management (Learning)",'Onshore- Melbourne'!B282))),2,IF(ISNUMBER(SEARCH("CEK:",'Onshore- Melbourne'!M282)),1,0))</f>
        <v>0</v>
      </c>
    </row>
    <row r="340" customFormat="false" ht="15" hidden="false" customHeight="false" outlineLevel="0" collapsed="false">
      <c r="A340" s="63" t="s">
        <v>3544</v>
      </c>
      <c r="B340" s="64" t="s">
        <v>3833</v>
      </c>
      <c r="C340" s="63" t="s">
        <v>42</v>
      </c>
      <c r="D340" s="64" t="str">
        <f aca="false">TRIM(LEFT('Onshore- Melbourne'!A429,FIND(CHAR(10),'Onshore- Melbourne'!A429&amp;CHAR(10))-1))</f>
        <v>States College Australia</v>
      </c>
      <c r="E340" s="63" t="str">
        <f aca="false">'Onshore- Melbourne'!C432&amp;""</f>
        <v>3 years</v>
      </c>
      <c r="F340" s="63" t="str">
        <f aca="false">IF('Onshore- Melbourne'!D432="","Belum tercatat",'Onshore- Melbourne'!D432)</f>
        <v>Term</v>
      </c>
      <c r="G340" s="65" t="n">
        <f aca="false">IF('Onshore- Melbourne'!E432="","-",'Onshore- Melbourne'!E432)</f>
        <v>1300</v>
      </c>
      <c r="H340" s="63" t="n">
        <f aca="false">IF(ISNUMBER(K340),COUNTIFS($J$6:$J$1916,J340,$K$6:$K$1916,"&lt;"&amp;K340)+1,"-")</f>
        <v>3</v>
      </c>
      <c r="I340" s="64" t="str">
        <f aca="false">IF('Onshore- Melbourne'!E432="","Harga belum tersedia - hubungi konsultan TEG",IF(M340=2,"Saat ini tidak menerima pendaftaran siswa internasional baru",IF(M340=1,"Harga perlu dikonfirmasi ke sekolah"&amp;IF(""="","","; "&amp;""),"")))</f>
        <v/>
      </c>
      <c r="J340" s="0" t="s">
        <v>3885</v>
      </c>
      <c r="K340" s="0" t="n">
        <f aca="false">IF(M340=2,"",IF(ISNUMBER(SEARCH("rata-rata:",'Onshore- Melbourne'!M432)),VALUE(MID('Onshore- Melbourne'!M432,SEARCH("rata-rata:",'Onshore- Melbourne'!M432)+11,FIND(";",'Onshore- Melbourne'!M432&amp;";",SEARCH("rata-rata:",'Onshore- Melbourne'!M432))-SEARCH("rata-rata:",'Onshore- Melbourne'!M432)-11)),IF('Onshore- Melbourne'!D432="Semester",'Onshore- Melbourne'!E432*2,IF('Onshore- Melbourne'!D432="Trimester",'Onshore- Melbourne'!E432*3,IF('Onshore- Melbourne'!D432="Term",'Onshore- Melbourne'!E432*4,IF('Onshore- Melbourne'!D432="Unit",'Onshore- Melbourne'!E432*8,""))))))</f>
        <v>5200</v>
      </c>
      <c r="L340" s="0" t="n">
        <f aca="false">IF(AND(ISNUMBER('Onshore- Melbourne'!E432),ISNUMBER(K340),ISNUMBER('Onshore- Melbourne'!F432),ISNUMBER('Onshore- Melbourne'!G432),OR('Onshore- Melbourne'!F432&lt;&gt;0,ISNUMBER(SEARCH("Material 0 terverifikasi",'Onshore- Melbourne'!M432))),OR('Onshore- Melbourne'!G432&lt;&gt;0,ISNUMBER(SEARCH("Enrolment 0 terverifikasi",'Onshore- Melbourne'!M432)))),1,0)</f>
        <v>1</v>
      </c>
      <c r="M340" s="0" t="n">
        <f aca="false">IF(OR('Onshore- Melbourne'!E432="",ISNUMBER(SEARCH("BSB80120",'Onshore- Melbourne'!B432&amp;'Onshore- Melbourne'!M432)),ISNUMBER(SEARCH("Management (Learning)",'Onshore- Melbourne'!B432))),2,IF(ISNUMBER(SEARCH("CEK:",'Onshore- Melbourne'!M432)),1,0))</f>
        <v>0</v>
      </c>
    </row>
    <row r="341" customFormat="false" ht="15" hidden="false" customHeight="false" outlineLevel="0" collapsed="false">
      <c r="A341" s="63" t="s">
        <v>3544</v>
      </c>
      <c r="B341" s="64" t="s">
        <v>3833</v>
      </c>
      <c r="C341" s="63" t="s">
        <v>42</v>
      </c>
      <c r="D341" s="64" t="str">
        <f aca="false">TRIM(LEFT('Onshore- Melbourne'!A6,FIND(CHAR(10),'Onshore- Melbourne'!A6&amp;CHAR(10))-1))</f>
        <v>Academies Australasia</v>
      </c>
      <c r="E341" s="63" t="str">
        <f aca="false">'Onshore- Melbourne'!C7&amp;""</f>
        <v>2 years</v>
      </c>
      <c r="F341" s="63" t="str">
        <f aca="false">IF('Onshore- Melbourne'!D7="","Belum tercatat",'Onshore- Melbourne'!D7)</f>
        <v>Term</v>
      </c>
      <c r="G341" s="65" t="n">
        <f aca="false">IF('Onshore- Melbourne'!E7="","-",'Onshore- Melbourne'!E7)</f>
        <v>1350</v>
      </c>
      <c r="H341" s="63" t="n">
        <f aca="false">IF(ISNUMBER(K341),COUNTIFS($J$6:$J$1916,J341,$K$6:$K$1916,"&lt;"&amp;K341)+1,"-")</f>
        <v>4</v>
      </c>
      <c r="I341" s="64" t="str">
        <f aca="false">IF('Onshore- Melbourne'!E7="","Harga belum tersedia - hubungi konsultan TEG",IF(M341=2,"Saat ini tidak menerima pendaftaran siswa internasional baru",IF(M341=1,"Harga perlu dikonfirmasi ke sekolah"&amp;IF(""="","","; "&amp;""),"")))</f>
        <v/>
      </c>
      <c r="J341" s="0" t="s">
        <v>3885</v>
      </c>
      <c r="K341" s="0" t="n">
        <f aca="false">IF(M341=2,"",IF(ISNUMBER(SEARCH("rata-rata:",'Onshore- Melbourne'!M7)),VALUE(MID('Onshore- Melbourne'!M7,SEARCH("rata-rata:",'Onshore- Melbourne'!M7)+11,FIND(";",'Onshore- Melbourne'!M7&amp;";",SEARCH("rata-rata:",'Onshore- Melbourne'!M7))-SEARCH("rata-rata:",'Onshore- Melbourne'!M7)-11)),IF('Onshore- Melbourne'!D7="Semester",'Onshore- Melbourne'!E7*2,IF('Onshore- Melbourne'!D7="Trimester",'Onshore- Melbourne'!E7*3,IF('Onshore- Melbourne'!D7="Term",'Onshore- Melbourne'!E7*4,IF('Onshore- Melbourne'!D7="Unit",'Onshore- Melbourne'!E7*8,""))))))</f>
        <v>5400</v>
      </c>
      <c r="L341" s="0" t="n">
        <f aca="false">IF(AND(ISNUMBER('Onshore- Melbourne'!E7),ISNUMBER(K341),ISNUMBER('Onshore- Melbourne'!F7),ISNUMBER('Onshore- Melbourne'!G7),OR('Onshore- Melbourne'!F7&lt;&gt;0,ISNUMBER(SEARCH("Material 0 terverifikasi",'Onshore- Melbourne'!M7))),OR('Onshore- Melbourne'!G7&lt;&gt;0,ISNUMBER(SEARCH("Enrolment 0 terverifikasi",'Onshore- Melbourne'!M7)))),1,0)</f>
        <v>1</v>
      </c>
      <c r="M341" s="0" t="n">
        <f aca="false">IF(OR('Onshore- Melbourne'!E7="",ISNUMBER(SEARCH("BSB80120",'Onshore- Melbourne'!B7&amp;'Onshore- Melbourne'!M7)),ISNUMBER(SEARCH("Management (Learning)",'Onshore- Melbourne'!B7))),2,IF(ISNUMBER(SEARCH("CEK:",'Onshore- Melbourne'!M7)),1,0))</f>
        <v>0</v>
      </c>
    </row>
    <row r="342" customFormat="false" ht="15" hidden="false" customHeight="false" outlineLevel="0" collapsed="false">
      <c r="A342" s="63" t="s">
        <v>3544</v>
      </c>
      <c r="B342" s="64" t="s">
        <v>3833</v>
      </c>
      <c r="C342" s="63" t="s">
        <v>42</v>
      </c>
      <c r="D342" s="64" t="str">
        <f aca="false">TRIM(LEFT('Onshore- Melbourne'!A252,FIND(CHAR(10),'Onshore- Melbourne'!A252&amp;CHAR(10))-1))</f>
        <v>Collins Academy</v>
      </c>
      <c r="E342" s="63" t="str">
        <f aca="false">'Onshore- Melbourne'!C255&amp;""</f>
        <v>2 years</v>
      </c>
      <c r="F342" s="63" t="str">
        <f aca="false">IF('Onshore- Melbourne'!D255="","Belum tercatat",'Onshore- Melbourne'!D255)</f>
        <v>Term</v>
      </c>
      <c r="G342" s="65" t="n">
        <f aca="false">IF('Onshore- Melbourne'!E255="","-",'Onshore- Melbourne'!E255)</f>
        <v>1438</v>
      </c>
      <c r="H342" s="63" t="n">
        <f aca="false">IF(ISNUMBER(K342),COUNTIFS($J$6:$J$1916,J342,$K$6:$K$1916,"&lt;"&amp;K342)+1,"-")</f>
        <v>5</v>
      </c>
      <c r="I342" s="64" t="str">
        <f aca="false">IF('Onshore- Melbourne'!E255="","Harga belum tersedia - hubungi konsultan TEG",IF(M342=2,"Saat ini tidak menerima pendaftaran siswa internasional baru",IF(M342=1,"Harga perlu dikonfirmasi ke sekolah"&amp;IF(""="","","; "&amp;""),"")))</f>
        <v/>
      </c>
      <c r="J342" s="0" t="s">
        <v>3885</v>
      </c>
      <c r="K342" s="0" t="n">
        <f aca="false">IF(M342=2,"",IF(ISNUMBER(SEARCH("rata-rata:",'Onshore- Melbourne'!M255)),VALUE(MID('Onshore- Melbourne'!M255,SEARCH("rata-rata:",'Onshore- Melbourne'!M255)+11,FIND(";",'Onshore- Melbourne'!M255&amp;";",SEARCH("rata-rata:",'Onshore- Melbourne'!M255))-SEARCH("rata-rata:",'Onshore- Melbourne'!M255)-11)),IF('Onshore- Melbourne'!D255="Semester",'Onshore- Melbourne'!E255*2,IF('Onshore- Melbourne'!D255="Trimester",'Onshore- Melbourne'!E255*3,IF('Onshore- Melbourne'!D255="Term",'Onshore- Melbourne'!E255*4,IF('Onshore- Melbourne'!D255="Unit",'Onshore- Melbourne'!E255*8,""))))))</f>
        <v>5752</v>
      </c>
      <c r="L342" s="0" t="n">
        <f aca="false">IF(AND(ISNUMBER('Onshore- Melbourne'!E255),ISNUMBER(K342),ISNUMBER('Onshore- Melbourne'!F255),ISNUMBER('Onshore- Melbourne'!G255),OR('Onshore- Melbourne'!F255&lt;&gt;0,ISNUMBER(SEARCH("Material 0 terverifikasi",'Onshore- Melbourne'!M255))),OR('Onshore- Melbourne'!G255&lt;&gt;0,ISNUMBER(SEARCH("Enrolment 0 terverifikasi",'Onshore- Melbourne'!M255)))),1,0)</f>
        <v>1</v>
      </c>
      <c r="M342" s="0" t="n">
        <f aca="false">IF(OR('Onshore- Melbourne'!E255="",ISNUMBER(SEARCH("BSB80120",'Onshore- Melbourne'!B255&amp;'Onshore- Melbourne'!M255)),ISNUMBER(SEARCH("Management (Learning)",'Onshore- Melbourne'!B255))),2,IF(ISNUMBER(SEARCH("CEK:",'Onshore- Melbourne'!M255)),1,0))</f>
        <v>0</v>
      </c>
    </row>
    <row r="343" customFormat="false" ht="15" hidden="false" customHeight="false" outlineLevel="0" collapsed="false">
      <c r="A343" s="63" t="s">
        <v>3544</v>
      </c>
      <c r="B343" s="64" t="s">
        <v>3833</v>
      </c>
      <c r="C343" s="63" t="s">
        <v>42</v>
      </c>
      <c r="D343" s="64" t="str">
        <f aca="false">TRIM(LEFT('Onshore- Melbourne'!A259,FIND(CHAR(10),'Onshore- Melbourne'!A259&amp;CHAR(10))-1))</f>
        <v>Dalton College</v>
      </c>
      <c r="E343" s="63" t="str">
        <f aca="false">'Onshore- Melbourne'!C260&amp;""</f>
        <v>3,5 years</v>
      </c>
      <c r="F343" s="63" t="str">
        <f aca="false">IF('Onshore- Melbourne'!D260="","Belum tercatat",'Onshore- Melbourne'!D260)</f>
        <v>Term</v>
      </c>
      <c r="G343" s="65" t="n">
        <f aca="false">IF('Onshore- Melbourne'!E260="","-",'Onshore- Melbourne'!E260)</f>
        <v>1450</v>
      </c>
      <c r="H343" s="63" t="n">
        <f aca="false">IF(ISNUMBER(K343),COUNTIFS($J$6:$J$1916,J343,$K$6:$K$1916,"&lt;"&amp;K343)+1,"-")</f>
        <v>6</v>
      </c>
      <c r="I343" s="64" t="str">
        <f aca="false">IF('Onshore- Melbourne'!E260="","Harga belum tersedia - hubungi konsultan TEG",IF(M343=2,"Saat ini tidak menerima pendaftaran siswa internasional baru",IF(M343=1,"Harga perlu dikonfirmasi ke sekolah"&amp;IF(""="","","; "&amp;""),"")))</f>
        <v/>
      </c>
      <c r="J343" s="0" t="s">
        <v>3885</v>
      </c>
      <c r="K343" s="0" t="n">
        <f aca="false">IF(M343=2,"",IF(ISNUMBER(SEARCH("rata-rata:",'Onshore- Melbourne'!M260)),VALUE(MID('Onshore- Melbourne'!M260,SEARCH("rata-rata:",'Onshore- Melbourne'!M260)+11,FIND(";",'Onshore- Melbourne'!M260&amp;";",SEARCH("rata-rata:",'Onshore- Melbourne'!M260))-SEARCH("rata-rata:",'Onshore- Melbourne'!M260)-11)),IF('Onshore- Melbourne'!D260="Semester",'Onshore- Melbourne'!E260*2,IF('Onshore- Melbourne'!D260="Trimester",'Onshore- Melbourne'!E260*3,IF('Onshore- Melbourne'!D260="Term",'Onshore- Melbourne'!E260*4,IF('Onshore- Melbourne'!D260="Unit",'Onshore- Melbourne'!E260*8,""))))))</f>
        <v>5800</v>
      </c>
      <c r="L343" s="0" t="n">
        <f aca="false">IF(AND(ISNUMBER('Onshore- Melbourne'!E260),ISNUMBER(K343),ISNUMBER('Onshore- Melbourne'!F260),ISNUMBER('Onshore- Melbourne'!G260),OR('Onshore- Melbourne'!F260&lt;&gt;0,ISNUMBER(SEARCH("Material 0 terverifikasi",'Onshore- Melbourne'!M260))),OR('Onshore- Melbourne'!G260&lt;&gt;0,ISNUMBER(SEARCH("Enrolment 0 terverifikasi",'Onshore- Melbourne'!M260)))),1,0)</f>
        <v>1</v>
      </c>
      <c r="M343" s="0" t="n">
        <f aca="false">IF(OR('Onshore- Melbourne'!E260="",ISNUMBER(SEARCH("BSB80120",'Onshore- Melbourne'!B260&amp;'Onshore- Melbourne'!M260)),ISNUMBER(SEARCH("Management (Learning)",'Onshore- Melbourne'!B260))),2,IF(ISNUMBER(SEARCH("CEK:",'Onshore- Melbourne'!M260)),1,0))</f>
        <v>0</v>
      </c>
    </row>
    <row r="344" customFormat="false" ht="28.35" hidden="false" customHeight="false" outlineLevel="0" collapsed="false">
      <c r="A344" s="63" t="s">
        <v>3544</v>
      </c>
      <c r="B344" s="64" t="s">
        <v>3833</v>
      </c>
      <c r="C344" s="63" t="s">
        <v>42</v>
      </c>
      <c r="D344" s="64" t="str">
        <f aca="false">TRIM(LEFT('Onshore- Melbourne'!A208,FIND(CHAR(10),'Onshore- Melbourne'!A208&amp;CHAR(10))-1))</f>
        <v>Australian Institute of Digital Technology (AIDT)</v>
      </c>
      <c r="E344" s="63" t="str">
        <f aca="false">'Onshore- Melbourne'!C211&amp;""</f>
        <v>2 years</v>
      </c>
      <c r="F344" s="63" t="str">
        <f aca="false">IF('Onshore- Melbourne'!D211="","Belum tercatat",'Onshore- Melbourne'!D211)</f>
        <v>Term</v>
      </c>
      <c r="G344" s="65" t="n">
        <f aca="false">IF('Onshore- Melbourne'!E211="","-",'Onshore- Melbourne'!E211)</f>
        <v>1500</v>
      </c>
      <c r="H344" s="63" t="n">
        <f aca="false">IF(ISNUMBER(K344),COUNTIFS($J$6:$J$1916,J344,$K$6:$K$1916,"&lt;"&amp;K344)+1,"-")</f>
        <v>7</v>
      </c>
      <c r="I344" s="64" t="str">
        <f aca="false">IF('Onshore- Melbourne'!E211="","Harga belum tersedia - hubungi konsultan TEG",IF(M344=2,"Saat ini tidak menerima pendaftaran siswa internasional baru",IF(M344=1,"Harga perlu dikonfirmasi ke sekolah"&amp;IF(""="","","; "&amp;""),"")))</f>
        <v/>
      </c>
      <c r="J344" s="0" t="s">
        <v>3885</v>
      </c>
      <c r="K344" s="0" t="n">
        <f aca="false">IF(M344=2,"",IF(ISNUMBER(SEARCH("rata-rata:",'Onshore- Melbourne'!M211)),VALUE(MID('Onshore- Melbourne'!M211,SEARCH("rata-rata:",'Onshore- Melbourne'!M211)+11,FIND(";",'Onshore- Melbourne'!M211&amp;";",SEARCH("rata-rata:",'Onshore- Melbourne'!M211))-SEARCH("rata-rata:",'Onshore- Melbourne'!M211)-11)),IF('Onshore- Melbourne'!D211="Semester",'Onshore- Melbourne'!E211*2,IF('Onshore- Melbourne'!D211="Trimester",'Onshore- Melbourne'!E211*3,IF('Onshore- Melbourne'!D211="Term",'Onshore- Melbourne'!E211*4,IF('Onshore- Melbourne'!D211="Unit",'Onshore- Melbourne'!E211*8,""))))))</f>
        <v>6000</v>
      </c>
      <c r="L344" s="0" t="n">
        <f aca="false">IF(AND(ISNUMBER('Onshore- Melbourne'!E211),ISNUMBER(K344),ISNUMBER('Onshore- Melbourne'!F211),ISNUMBER('Onshore- Melbourne'!G211),OR('Onshore- Melbourne'!F211&lt;&gt;0,ISNUMBER(SEARCH("Material 0 terverifikasi",'Onshore- Melbourne'!M211))),OR('Onshore- Melbourne'!G211&lt;&gt;0,ISNUMBER(SEARCH("Enrolment 0 terverifikasi",'Onshore- Melbourne'!M211)))),1,0)</f>
        <v>1</v>
      </c>
      <c r="M344" s="0" t="n">
        <f aca="false">IF(OR('Onshore- Melbourne'!E211="",ISNUMBER(SEARCH("BSB80120",'Onshore- Melbourne'!B211&amp;'Onshore- Melbourne'!M211)),ISNUMBER(SEARCH("Management (Learning)",'Onshore- Melbourne'!B211))),2,IF(ISNUMBER(SEARCH("CEK:",'Onshore- Melbourne'!M211)),1,0))</f>
        <v>0</v>
      </c>
    </row>
    <row r="345" customFormat="false" ht="15" hidden="false" customHeight="false" outlineLevel="0" collapsed="false">
      <c r="A345" s="63" t="s">
        <v>3544</v>
      </c>
      <c r="B345" s="64" t="s">
        <v>3833</v>
      </c>
      <c r="C345" s="63" t="s">
        <v>42</v>
      </c>
      <c r="D345" s="64" t="str">
        <f aca="false">TRIM(LEFT('Onshore- Melbourne'!A266,FIND(CHAR(10),'Onshore- Melbourne'!A266&amp;CHAR(10))-1))</f>
        <v>ECA College</v>
      </c>
      <c r="E345" s="63" t="str">
        <f aca="false">'Onshore- Melbourne'!C268&amp;""</f>
        <v>3 years</v>
      </c>
      <c r="F345" s="63" t="str">
        <f aca="false">IF('Onshore- Melbourne'!D268="","Belum tercatat",'Onshore- Melbourne'!D268)</f>
        <v>Term</v>
      </c>
      <c r="G345" s="65" t="n">
        <f aca="false">IF('Onshore- Melbourne'!E268="","-",'Onshore- Melbourne'!E268)</f>
        <v>1500</v>
      </c>
      <c r="H345" s="63" t="n">
        <f aca="false">IF(ISNUMBER(K345),COUNTIFS($J$6:$J$1916,J345,$K$6:$K$1916,"&lt;"&amp;K345)+1,"-")</f>
        <v>7</v>
      </c>
      <c r="I345" s="64" t="str">
        <f aca="false">IF('Onshore- Melbourne'!E268="","Harga belum tersedia - hubungi konsultan TEG",IF(M345=2,"Saat ini tidak menerima pendaftaran siswa internasional baru",IF(M345=1,"Harga perlu dikonfirmasi ke sekolah"&amp;IF(""="","","; "&amp;""),"")))</f>
        <v/>
      </c>
      <c r="J345" s="0" t="s">
        <v>3885</v>
      </c>
      <c r="K345" s="0" t="n">
        <f aca="false">IF(M345=2,"",IF(ISNUMBER(SEARCH("rata-rata:",'Onshore- Melbourne'!M268)),VALUE(MID('Onshore- Melbourne'!M268,SEARCH("rata-rata:",'Onshore- Melbourne'!M268)+11,FIND(";",'Onshore- Melbourne'!M268&amp;";",SEARCH("rata-rata:",'Onshore- Melbourne'!M268))-SEARCH("rata-rata:",'Onshore- Melbourne'!M268)-11)),IF('Onshore- Melbourne'!D268="Semester",'Onshore- Melbourne'!E268*2,IF('Onshore- Melbourne'!D268="Trimester",'Onshore- Melbourne'!E268*3,IF('Onshore- Melbourne'!D268="Term",'Onshore- Melbourne'!E268*4,IF('Onshore- Melbourne'!D268="Unit",'Onshore- Melbourne'!E268*8,""))))))</f>
        <v>6000</v>
      </c>
      <c r="L345" s="0" t="n">
        <f aca="false">IF(AND(ISNUMBER('Onshore- Melbourne'!E268),ISNUMBER(K345),ISNUMBER('Onshore- Melbourne'!F268),ISNUMBER('Onshore- Melbourne'!G268),OR('Onshore- Melbourne'!F268&lt;&gt;0,ISNUMBER(SEARCH("Material 0 terverifikasi",'Onshore- Melbourne'!M268))),OR('Onshore- Melbourne'!G268&lt;&gt;0,ISNUMBER(SEARCH("Enrolment 0 terverifikasi",'Onshore- Melbourne'!M268)))),1,0)</f>
        <v>0</v>
      </c>
      <c r="M345" s="0" t="n">
        <f aca="false">IF(OR('Onshore- Melbourne'!E268="",ISNUMBER(SEARCH("BSB80120",'Onshore- Melbourne'!B268&amp;'Onshore- Melbourne'!M268)),ISNUMBER(SEARCH("Management (Learning)",'Onshore- Melbourne'!B268))),2,IF(ISNUMBER(SEARCH("CEK:",'Onshore- Melbourne'!M268)),1,0))</f>
        <v>0</v>
      </c>
    </row>
    <row r="346" customFormat="false" ht="15" hidden="false" customHeight="false" outlineLevel="0" collapsed="false">
      <c r="A346" s="63" t="s">
        <v>3544</v>
      </c>
      <c r="B346" s="64" t="s">
        <v>3833</v>
      </c>
      <c r="C346" s="63" t="s">
        <v>42</v>
      </c>
      <c r="D346" s="64" t="str">
        <f aca="false">TRIM(LEFT('Onshore- Melbourne'!A436,FIND(CHAR(10),'Onshore- Melbourne'!A436&amp;CHAR(10))-1))</f>
        <v>The Centre of Excellence</v>
      </c>
      <c r="E346" s="63" t="str">
        <f aca="false">'Onshore- Melbourne'!C439&amp;""</f>
        <v>2 years</v>
      </c>
      <c r="F346" s="63" t="str">
        <f aca="false">IF('Onshore- Melbourne'!D439="","Belum tercatat",'Onshore- Melbourne'!D439)</f>
        <v>Term</v>
      </c>
      <c r="G346" s="65" t="n">
        <f aca="false">IF('Onshore- Melbourne'!E439="","-",'Onshore- Melbourne'!E439)</f>
        <v>1500</v>
      </c>
      <c r="H346" s="63" t="n">
        <f aca="false">IF(ISNUMBER(K346),COUNTIFS($J$6:$J$1916,J346,$K$6:$K$1916,"&lt;"&amp;K346)+1,"-")</f>
        <v>7</v>
      </c>
      <c r="I346" s="64" t="str">
        <f aca="false">IF('Onshore- Melbourne'!E439="","Harga belum tersedia - hubungi konsultan TEG",IF(M346=2,"Saat ini tidak menerima pendaftaran siswa internasional baru",IF(M346=1,"Harga perlu dikonfirmasi ke sekolah"&amp;IF(""="","","; "&amp;""),"")))</f>
        <v/>
      </c>
      <c r="J346" s="0" t="s">
        <v>3885</v>
      </c>
      <c r="K346" s="0" t="n">
        <f aca="false">IF(M346=2,"",IF(ISNUMBER(SEARCH("rata-rata:",'Onshore- Melbourne'!M439)),VALUE(MID('Onshore- Melbourne'!M439,SEARCH("rata-rata:",'Onshore- Melbourne'!M439)+11,FIND(";",'Onshore- Melbourne'!M439&amp;";",SEARCH("rata-rata:",'Onshore- Melbourne'!M439))-SEARCH("rata-rata:",'Onshore- Melbourne'!M439)-11)),IF('Onshore- Melbourne'!D439="Semester",'Onshore- Melbourne'!E439*2,IF('Onshore- Melbourne'!D439="Trimester",'Onshore- Melbourne'!E439*3,IF('Onshore- Melbourne'!D439="Term",'Onshore- Melbourne'!E439*4,IF('Onshore- Melbourne'!D439="Unit",'Onshore- Melbourne'!E439*8,""))))))</f>
        <v>6000</v>
      </c>
      <c r="L346" s="0" t="n">
        <f aca="false">IF(AND(ISNUMBER('Onshore- Melbourne'!E439),ISNUMBER(K346),ISNUMBER('Onshore- Melbourne'!F439),ISNUMBER('Onshore- Melbourne'!G439),OR('Onshore- Melbourne'!F439&lt;&gt;0,ISNUMBER(SEARCH("Material 0 terverifikasi",'Onshore- Melbourne'!M439))),OR('Onshore- Melbourne'!G439&lt;&gt;0,ISNUMBER(SEARCH("Enrolment 0 terverifikasi",'Onshore- Melbourne'!M439)))),1,0)</f>
        <v>1</v>
      </c>
      <c r="M346" s="0" t="n">
        <f aca="false">IF(OR('Onshore- Melbourne'!E439="",ISNUMBER(SEARCH("BSB80120",'Onshore- Melbourne'!B439&amp;'Onshore- Melbourne'!M439)),ISNUMBER(SEARCH("Management (Learning)",'Onshore- Melbourne'!B439))),2,IF(ISNUMBER(SEARCH("CEK:",'Onshore- Melbourne'!M439)),1,0))</f>
        <v>0</v>
      </c>
    </row>
    <row r="347" customFormat="false" ht="28.35" hidden="false" customHeight="false" outlineLevel="0" collapsed="false">
      <c r="A347" s="63" t="s">
        <v>3544</v>
      </c>
      <c r="B347" s="64" t="s">
        <v>3833</v>
      </c>
      <c r="C347" s="63" t="s">
        <v>42</v>
      </c>
      <c r="D347" s="64" t="str">
        <f aca="false">TRIM(LEFT('Onshore- Melbourne'!A454,FIND(CHAR(10),'Onshore- Melbourne'!A454&amp;CHAR(10))-1))</f>
        <v>TKL College (Training for Knowledge and Livelihood)</v>
      </c>
      <c r="E347" s="63" t="str">
        <f aca="false">'Onshore- Melbourne'!C456&amp;""</f>
        <v>3,5 years</v>
      </c>
      <c r="F347" s="63" t="str">
        <f aca="false">IF('Onshore- Melbourne'!D456="","Belum tercatat",'Onshore- Melbourne'!D456)</f>
        <v>Term</v>
      </c>
      <c r="G347" s="65" t="n">
        <f aca="false">IF('Onshore- Melbourne'!E456="","-",'Onshore- Melbourne'!E456)</f>
        <v>1500</v>
      </c>
      <c r="H347" s="63" t="n">
        <f aca="false">IF(ISNUMBER(K347),COUNTIFS($J$6:$J$1916,J347,$K$6:$K$1916,"&lt;"&amp;K347)+1,"-")</f>
        <v>7</v>
      </c>
      <c r="I347" s="64" t="str">
        <f aca="false">IF('Onshore- Melbourne'!E456="","Harga belum tersedia - hubungi konsultan TEG",IF(M347=2,"Saat ini tidak menerima pendaftaran siswa internasional baru",IF(M347=1,"Program perlu dikonfirmasi ketersediaannya"&amp;IF(""="","","; "&amp;""),"")))</f>
        <v>Program perlu dikonfirmasi ketersediaannya</v>
      </c>
      <c r="J347" s="0" t="s">
        <v>3885</v>
      </c>
      <c r="K347" s="0" t="n">
        <f aca="false">IF(M347=2,"",IF(ISNUMBER(SEARCH("rata-rata:",'Onshore- Melbourne'!M456)),VALUE(MID('Onshore- Melbourne'!M456,SEARCH("rata-rata:",'Onshore- Melbourne'!M456)+11,FIND(";",'Onshore- Melbourne'!M456&amp;";",SEARCH("rata-rata:",'Onshore- Melbourne'!M456))-SEARCH("rata-rata:",'Onshore- Melbourne'!M456)-11)),IF('Onshore- Melbourne'!D456="Semester",'Onshore- Melbourne'!E456*2,IF('Onshore- Melbourne'!D456="Trimester",'Onshore- Melbourne'!E456*3,IF('Onshore- Melbourne'!D456="Term",'Onshore- Melbourne'!E456*4,IF('Onshore- Melbourne'!D456="Unit",'Onshore- Melbourne'!E456*8,""))))))</f>
        <v>6000</v>
      </c>
      <c r="L347" s="0" t="n">
        <f aca="false">IF(AND(ISNUMBER('Onshore- Melbourne'!E456),ISNUMBER(K347),ISNUMBER('Onshore- Melbourne'!F456),ISNUMBER('Onshore- Melbourne'!G456),OR('Onshore- Melbourne'!F456&lt;&gt;0,ISNUMBER(SEARCH("Material 0 terverifikasi",'Onshore- Melbourne'!M456))),OR('Onshore- Melbourne'!G456&lt;&gt;0,ISNUMBER(SEARCH("Enrolment 0 terverifikasi",'Onshore- Melbourne'!M456)))),1,0)</f>
        <v>1</v>
      </c>
      <c r="M347" s="0" t="n">
        <f aca="false">IF(OR('Onshore- Melbourne'!E456="",ISNUMBER(SEARCH("BSB80120",'Onshore- Melbourne'!B456&amp;'Onshore- Melbourne'!M456)),ISNUMBER(SEARCH("Management (Learning)",'Onshore- Melbourne'!B456))),2,IF(ISNUMBER(SEARCH("CEK:",'Onshore- Melbourne'!M456)),1,0))</f>
        <v>1</v>
      </c>
    </row>
    <row r="348" customFormat="false" ht="15" hidden="false" customHeight="false" outlineLevel="0" collapsed="false">
      <c r="A348" s="63" t="s">
        <v>3544</v>
      </c>
      <c r="B348" s="64" t="s">
        <v>3833</v>
      </c>
      <c r="C348" s="63" t="s">
        <v>42</v>
      </c>
      <c r="D348" s="64" t="str">
        <f aca="false">TRIM(LEFT('Onshore- Melbourne'!A561,FIND(CHAR(10),'Onshore- Melbourne'!A561&amp;CHAR(10))-1))</f>
        <v>TR4INRIGHT</v>
      </c>
      <c r="E348" s="63" t="str">
        <f aca="false">'Onshore- Melbourne'!C564&amp;""</f>
        <v>2 years</v>
      </c>
      <c r="F348" s="63" t="str">
        <f aca="false">IF('Onshore- Melbourne'!D564="","Belum tercatat",'Onshore- Melbourne'!D564)</f>
        <v>Term</v>
      </c>
      <c r="G348" s="65" t="n">
        <f aca="false">IF('Onshore- Melbourne'!E564="","-",'Onshore- Melbourne'!E564)</f>
        <v>1565</v>
      </c>
      <c r="H348" s="63" t="n">
        <f aca="false">IF(ISNUMBER(K348),COUNTIFS($J$6:$J$1916,J348,$K$6:$K$1916,"&lt;"&amp;K348)+1,"-")</f>
        <v>11</v>
      </c>
      <c r="I348" s="64" t="str">
        <f aca="false">IF('Onshore- Melbourne'!E564="","Harga belum tersedia - hubungi konsultan TEG",IF(M348=2,"Saat ini tidak menerima pendaftaran siswa internasional baru",IF(M348=1,"Harga perlu dikonfirmasi ke sekolah"&amp;IF(""="","","; "&amp;""),"")))</f>
        <v/>
      </c>
      <c r="J348" s="0" t="s">
        <v>3885</v>
      </c>
      <c r="K348" s="0" t="n">
        <f aca="false">IF(M348=2,"",IF(ISNUMBER(SEARCH("rata-rata:",'Onshore- Melbourne'!M564)),VALUE(MID('Onshore- Melbourne'!M564,SEARCH("rata-rata:",'Onshore- Melbourne'!M564)+11,FIND(";",'Onshore- Melbourne'!M564&amp;";",SEARCH("rata-rata:",'Onshore- Melbourne'!M564))-SEARCH("rata-rata:",'Onshore- Melbourne'!M564)-11)),IF('Onshore- Melbourne'!D564="Semester",'Onshore- Melbourne'!E564*2,IF('Onshore- Melbourne'!D564="Trimester",'Onshore- Melbourne'!E564*3,IF('Onshore- Melbourne'!D564="Term",'Onshore- Melbourne'!E564*4,IF('Onshore- Melbourne'!D564="Unit",'Onshore- Melbourne'!E564*8,""))))))</f>
        <v>6260</v>
      </c>
      <c r="L348" s="0" t="n">
        <f aca="false">IF(AND(ISNUMBER('Onshore- Melbourne'!E564),ISNUMBER(K348),ISNUMBER('Onshore- Melbourne'!F564),ISNUMBER('Onshore- Melbourne'!G564),OR('Onshore- Melbourne'!F564&lt;&gt;0,ISNUMBER(SEARCH("Material 0 terverifikasi",'Onshore- Melbourne'!M564))),OR('Onshore- Melbourne'!G564&lt;&gt;0,ISNUMBER(SEARCH("Enrolment 0 terverifikasi",'Onshore- Melbourne'!M564)))),1,0)</f>
        <v>1</v>
      </c>
      <c r="M348" s="0" t="n">
        <f aca="false">IF(OR('Onshore- Melbourne'!E564="",ISNUMBER(SEARCH("BSB80120",'Onshore- Melbourne'!B564&amp;'Onshore- Melbourne'!M564)),ISNUMBER(SEARCH("Management (Learning)",'Onshore- Melbourne'!B564))),2,IF(ISNUMBER(SEARCH("CEK:",'Onshore- Melbourne'!M564)),1,0))</f>
        <v>0</v>
      </c>
    </row>
    <row r="349" customFormat="false" ht="15" hidden="false" customHeight="false" outlineLevel="0" collapsed="false">
      <c r="A349" s="63" t="s">
        <v>3544</v>
      </c>
      <c r="B349" s="64" t="s">
        <v>3833</v>
      </c>
      <c r="C349" s="63" t="s">
        <v>42</v>
      </c>
      <c r="D349" s="64" t="str">
        <f aca="false">TRIM(LEFT('Onshore- Melbourne'!A65,FIND(CHAR(10),'Onshore- Melbourne'!A65&amp;CHAR(10))-1))</f>
        <v>ALTEC College</v>
      </c>
      <c r="E349" s="63" t="str">
        <f aca="false">'Onshore- Melbourne'!C65&amp;""</f>
        <v>3 years</v>
      </c>
      <c r="F349" s="63" t="str">
        <f aca="false">IF('Onshore- Melbourne'!D65="","Belum tercatat",'Onshore- Melbourne'!D65)</f>
        <v>Term</v>
      </c>
      <c r="G349" s="65" t="n">
        <f aca="false">IF('Onshore- Melbourne'!E65="","-",'Onshore- Melbourne'!E65)</f>
        <v>1625</v>
      </c>
      <c r="H349" s="63" t="n">
        <f aca="false">IF(ISNUMBER(K349),COUNTIFS($J$6:$J$1916,J349,$K$6:$K$1916,"&lt;"&amp;K349)+1,"-")</f>
        <v>12</v>
      </c>
      <c r="I349" s="64" t="str">
        <f aca="false">IF('Onshore- Melbourne'!E65="","Harga belum tersedia - hubungi konsultan TEG",IF(M349=2,"Saat ini tidak menerima pendaftaran siswa internasional baru",IF(M349=1,"Harga perlu dikonfirmasi ke sekolah"&amp;IF(""="","","; "&amp;""),"")))</f>
        <v/>
      </c>
      <c r="J349" s="0" t="s">
        <v>3885</v>
      </c>
      <c r="K349" s="0" t="n">
        <f aca="false">IF(M349=2,"",IF(ISNUMBER(SEARCH("rata-rata:",'Onshore- Melbourne'!M65)),VALUE(MID('Onshore- Melbourne'!M65,SEARCH("rata-rata:",'Onshore- Melbourne'!M65)+11,FIND(";",'Onshore- Melbourne'!M65&amp;";",SEARCH("rata-rata:",'Onshore- Melbourne'!M65))-SEARCH("rata-rata:",'Onshore- Melbourne'!M65)-11)),IF('Onshore- Melbourne'!D65="Semester",'Onshore- Melbourne'!E65*2,IF('Onshore- Melbourne'!D65="Trimester",'Onshore- Melbourne'!E65*3,IF('Onshore- Melbourne'!D65="Term",'Onshore- Melbourne'!E65*4,IF('Onshore- Melbourne'!D65="Unit",'Onshore- Melbourne'!E65*8,""))))))</f>
        <v>6500</v>
      </c>
      <c r="L349" s="0" t="n">
        <f aca="false">IF(AND(ISNUMBER('Onshore- Melbourne'!E65),ISNUMBER(K349),ISNUMBER('Onshore- Melbourne'!F65),ISNUMBER('Onshore- Melbourne'!G65),OR('Onshore- Melbourne'!F65&lt;&gt;0,ISNUMBER(SEARCH("Material 0 terverifikasi",'Onshore- Melbourne'!M65))),OR('Onshore- Melbourne'!G65&lt;&gt;0,ISNUMBER(SEARCH("Enrolment 0 terverifikasi",'Onshore- Melbourne'!M65)))),1,0)</f>
        <v>1</v>
      </c>
      <c r="M349" s="0" t="n">
        <f aca="false">IF(OR('Onshore- Melbourne'!E65="",ISNUMBER(SEARCH("BSB80120",'Onshore- Melbourne'!B65&amp;'Onshore- Melbourne'!M65)),ISNUMBER(SEARCH("Management (Learning)",'Onshore- Melbourne'!B65))),2,IF(ISNUMBER(SEARCH("CEK:",'Onshore- Melbourne'!M65)),1,0))</f>
        <v>0</v>
      </c>
    </row>
    <row r="350" customFormat="false" ht="15" hidden="false" customHeight="false" outlineLevel="0" collapsed="false">
      <c r="A350" s="63" t="s">
        <v>3544</v>
      </c>
      <c r="B350" s="64" t="s">
        <v>3833</v>
      </c>
      <c r="C350" s="63" t="s">
        <v>42</v>
      </c>
      <c r="D350" s="64" t="str">
        <f aca="false">TRIM(LEFT('Onshore- Melbourne'!A388,FIND(CHAR(10),'Onshore- Melbourne'!A388&amp;CHAR(10))-1))</f>
        <v>Opulence College</v>
      </c>
      <c r="E350" s="63" t="str">
        <f aca="false">'Onshore- Melbourne'!C391&amp;""</f>
        <v>2 years</v>
      </c>
      <c r="F350" s="63" t="str">
        <f aca="false">IF('Onshore- Melbourne'!D391="","Belum tercatat",'Onshore- Melbourne'!D391)</f>
        <v>Term</v>
      </c>
      <c r="G350" s="65" t="n">
        <f aca="false">IF('Onshore- Melbourne'!E391="","-",'Onshore- Melbourne'!E391)</f>
        <v>1625</v>
      </c>
      <c r="H350" s="63" t="n">
        <f aca="false">IF(ISNUMBER(K350),COUNTIFS($J$6:$J$1916,J350,$K$6:$K$1916,"&lt;"&amp;K350)+1,"-")</f>
        <v>12</v>
      </c>
      <c r="I350" s="64" t="str">
        <f aca="false">IF('Onshore- Melbourne'!E391="","Harga belum tersedia - hubungi konsultan TEG",IF(M350=2,"Saat ini tidak menerima pendaftaran siswa internasional baru",IF(M350=1,"Harga perlu dikonfirmasi ke sekolah"&amp;IF(""="","","; "&amp;""),"")))</f>
        <v/>
      </c>
      <c r="J350" s="0" t="s">
        <v>3885</v>
      </c>
      <c r="K350" s="0" t="n">
        <f aca="false">IF(M350=2,"",IF(ISNUMBER(SEARCH("rata-rata:",'Onshore- Melbourne'!M391)),VALUE(MID('Onshore- Melbourne'!M391,SEARCH("rata-rata:",'Onshore- Melbourne'!M391)+11,FIND(";",'Onshore- Melbourne'!M391&amp;";",SEARCH("rata-rata:",'Onshore- Melbourne'!M391))-SEARCH("rata-rata:",'Onshore- Melbourne'!M391)-11)),IF('Onshore- Melbourne'!D391="Semester",'Onshore- Melbourne'!E391*2,IF('Onshore- Melbourne'!D391="Trimester",'Onshore- Melbourne'!E391*3,IF('Onshore- Melbourne'!D391="Term",'Onshore- Melbourne'!E391*4,IF('Onshore- Melbourne'!D391="Unit",'Onshore- Melbourne'!E391*8,""))))))</f>
        <v>6500</v>
      </c>
      <c r="L350" s="0" t="n">
        <f aca="false">IF(AND(ISNUMBER('Onshore- Melbourne'!E391),ISNUMBER(K350),ISNUMBER('Onshore- Melbourne'!F391),ISNUMBER('Onshore- Melbourne'!G391),OR('Onshore- Melbourne'!F391&lt;&gt;0,ISNUMBER(SEARCH("Material 0 terverifikasi",'Onshore- Melbourne'!M391))),OR('Onshore- Melbourne'!G391&lt;&gt;0,ISNUMBER(SEARCH("Enrolment 0 terverifikasi",'Onshore- Melbourne'!M391)))),1,0)</f>
        <v>1</v>
      </c>
      <c r="M350" s="0" t="n">
        <f aca="false">IF(OR('Onshore- Melbourne'!E391="",ISNUMBER(SEARCH("BSB80120",'Onshore- Melbourne'!B391&amp;'Onshore- Melbourne'!M391)),ISNUMBER(SEARCH("Management (Learning)",'Onshore- Melbourne'!B391))),2,IF(ISNUMBER(SEARCH("CEK:",'Onshore- Melbourne'!M391)),1,0))</f>
        <v>0</v>
      </c>
    </row>
    <row r="351" customFormat="false" ht="28.35" hidden="false" customHeight="false" outlineLevel="0" collapsed="false">
      <c r="A351" s="63" t="s">
        <v>3544</v>
      </c>
      <c r="B351" s="64" t="s">
        <v>3833</v>
      </c>
      <c r="C351" s="63" t="s">
        <v>42</v>
      </c>
      <c r="D351" s="64" t="str">
        <f aca="false">TRIM(LEFT('Onshore- Melbourne'!A407,FIND(CHAR(10),'Onshore- Melbourne'!A407&amp;CHAR(10))-1))</f>
        <v>Sacred Heart International College (SHIC)</v>
      </c>
      <c r="E351" s="63" t="str">
        <f aca="false">'Onshore- Melbourne'!C407&amp;""</f>
        <v>2,5 years</v>
      </c>
      <c r="F351" s="63" t="str">
        <f aca="false">IF('Onshore- Melbourne'!D407="","Belum tercatat",'Onshore- Melbourne'!D407)</f>
        <v>Term</v>
      </c>
      <c r="G351" s="65" t="n">
        <f aca="false">IF('Onshore- Melbourne'!E407="","-",'Onshore- Melbourne'!E407)</f>
        <v>1625</v>
      </c>
      <c r="H351" s="63" t="n">
        <f aca="false">IF(ISNUMBER(K351),COUNTIFS($J$6:$J$1916,J351,$K$6:$K$1916,"&lt;"&amp;K351)+1,"-")</f>
        <v>12</v>
      </c>
      <c r="I351" s="64" t="str">
        <f aca="false">IF('Onshore- Melbourne'!E407="","Harga belum tersedia - hubungi konsultan TEG",IF(M351=2,"Saat ini tidak menerima pendaftaran siswa internasional baru",IF(M351=1,"Harga promo sudah berakhir - konfirmasi harga terbaru"&amp;IF(""="","","; "&amp;""),"")))</f>
        <v>Harga promo sudah berakhir - konfirmasi harga terbaru</v>
      </c>
      <c r="J351" s="0" t="s">
        <v>3885</v>
      </c>
      <c r="K351" s="0" t="n">
        <f aca="false">IF(M351=2,"",IF(ISNUMBER(SEARCH("rata-rata:",'Onshore- Melbourne'!M407)),VALUE(MID('Onshore- Melbourne'!M407,SEARCH("rata-rata:",'Onshore- Melbourne'!M407)+11,FIND(";",'Onshore- Melbourne'!M407&amp;";",SEARCH("rata-rata:",'Onshore- Melbourne'!M407))-SEARCH("rata-rata:",'Onshore- Melbourne'!M407)-11)),IF('Onshore- Melbourne'!D407="Semester",'Onshore- Melbourne'!E407*2,IF('Onshore- Melbourne'!D407="Trimester",'Onshore- Melbourne'!E407*3,IF('Onshore- Melbourne'!D407="Term",'Onshore- Melbourne'!E407*4,IF('Onshore- Melbourne'!D407="Unit",'Onshore- Melbourne'!E407*8,""))))))</f>
        <v>6500</v>
      </c>
      <c r="L351" s="0" t="n">
        <f aca="false">IF(AND(ISNUMBER('Onshore- Melbourne'!E407),ISNUMBER(K351),ISNUMBER('Onshore- Melbourne'!F407),ISNUMBER('Onshore- Melbourne'!G407),OR('Onshore- Melbourne'!F407&lt;&gt;0,ISNUMBER(SEARCH("Material 0 terverifikasi",'Onshore- Melbourne'!M407))),OR('Onshore- Melbourne'!G407&lt;&gt;0,ISNUMBER(SEARCH("Enrolment 0 terverifikasi",'Onshore- Melbourne'!M407)))),1,0)</f>
        <v>0</v>
      </c>
      <c r="M351" s="0" t="n">
        <f aca="false">IF(OR('Onshore- Melbourne'!E407="",ISNUMBER(SEARCH("BSB80120",'Onshore- Melbourne'!B407&amp;'Onshore- Melbourne'!M407)),ISNUMBER(SEARCH("Management (Learning)",'Onshore- Melbourne'!B407))),2,IF(ISNUMBER(SEARCH("CEK:",'Onshore- Melbourne'!M407)),1,0))</f>
        <v>1</v>
      </c>
    </row>
    <row r="352" customFormat="false" ht="15" hidden="false" customHeight="false" outlineLevel="0" collapsed="false">
      <c r="A352" s="63" t="s">
        <v>3544</v>
      </c>
      <c r="B352" s="64" t="s">
        <v>3833</v>
      </c>
      <c r="C352" s="63" t="s">
        <v>42</v>
      </c>
      <c r="D352" s="64" t="str">
        <f aca="false">TRIM(LEFT('Onshore- Melbourne'!A572,FIND(CHAR(10),'Onshore- Melbourne'!A572&amp;CHAR(10))-1))</f>
        <v>Wattle College</v>
      </c>
      <c r="E352" s="63" t="str">
        <f aca="false">'Onshore- Melbourne'!C572&amp;""</f>
        <v>2,5 years</v>
      </c>
      <c r="F352" s="63" t="str">
        <f aca="false">IF('Onshore- Melbourne'!D572="","Belum tercatat",'Onshore- Melbourne'!D572)</f>
        <v>Term</v>
      </c>
      <c r="G352" s="65" t="n">
        <f aca="false">IF('Onshore- Melbourne'!E572="","-",'Onshore- Melbourne'!E572)</f>
        <v>1690</v>
      </c>
      <c r="H352" s="63" t="n">
        <f aca="false">IF(ISNUMBER(K352),COUNTIFS($J$6:$J$1916,J352,$K$6:$K$1916,"&lt;"&amp;K352)+1,"-")</f>
        <v>15</v>
      </c>
      <c r="I352" s="64" t="str">
        <f aca="false">IF('Onshore- Melbourne'!E572="","Harga belum tersedia - hubungi konsultan TEG",IF(M352=2,"Saat ini tidak menerima pendaftaran siswa internasional baru",IF(M352=1,"Harga perlu dikonfirmasi ke sekolah"&amp;IF(""="","","; "&amp;""),"")))</f>
        <v/>
      </c>
      <c r="J352" s="0" t="s">
        <v>3885</v>
      </c>
      <c r="K352" s="0" t="n">
        <f aca="false">IF(M352=2,"",IF(ISNUMBER(SEARCH("rata-rata:",'Onshore- Melbourne'!M572)),VALUE(MID('Onshore- Melbourne'!M572,SEARCH("rata-rata:",'Onshore- Melbourne'!M572)+11,FIND(";",'Onshore- Melbourne'!M572&amp;";",SEARCH("rata-rata:",'Onshore- Melbourne'!M572))-SEARCH("rata-rata:",'Onshore- Melbourne'!M572)-11)),IF('Onshore- Melbourne'!D572="Semester",'Onshore- Melbourne'!E572*2,IF('Onshore- Melbourne'!D572="Trimester",'Onshore- Melbourne'!E572*3,IF('Onshore- Melbourne'!D572="Term",'Onshore- Melbourne'!E572*4,IF('Onshore- Melbourne'!D572="Unit",'Onshore- Melbourne'!E572*8,""))))))</f>
        <v>6760</v>
      </c>
      <c r="L352" s="0" t="n">
        <f aca="false">IF(AND(ISNUMBER('Onshore- Melbourne'!E572),ISNUMBER(K352),ISNUMBER('Onshore- Melbourne'!F572),ISNUMBER('Onshore- Melbourne'!G572),OR('Onshore- Melbourne'!F572&lt;&gt;0,ISNUMBER(SEARCH("Material 0 terverifikasi",'Onshore- Melbourne'!M572))),OR('Onshore- Melbourne'!G572&lt;&gt;0,ISNUMBER(SEARCH("Enrolment 0 terverifikasi",'Onshore- Melbourne'!M572)))),1,0)</f>
        <v>1</v>
      </c>
      <c r="M352" s="0" t="n">
        <f aca="false">IF(OR('Onshore- Melbourne'!E572="",ISNUMBER(SEARCH("BSB80120",'Onshore- Melbourne'!B572&amp;'Onshore- Melbourne'!M572)),ISNUMBER(SEARCH("Management (Learning)",'Onshore- Melbourne'!B572))),2,IF(ISNUMBER(SEARCH("CEK:",'Onshore- Melbourne'!M572)),1,0))</f>
        <v>0</v>
      </c>
    </row>
    <row r="353" customFormat="false" ht="15" hidden="false" customHeight="false" outlineLevel="0" collapsed="false">
      <c r="A353" s="63" t="s">
        <v>3544</v>
      </c>
      <c r="B353" s="64" t="s">
        <v>3833</v>
      </c>
      <c r="C353" s="63" t="s">
        <v>42</v>
      </c>
      <c r="D353" s="64" t="str">
        <f aca="false">TRIM(LEFT('Onshore- Melbourne'!A377,FIND(CHAR(10),'Onshore- Melbourne'!A377&amp;CHAR(10))-1))</f>
        <v>National Training College of Australia (NTCA)</v>
      </c>
      <c r="E353" s="63" t="str">
        <f aca="false">'Onshore- Melbourne'!C385&amp;""</f>
        <v>2 years</v>
      </c>
      <c r="F353" s="63" t="str">
        <f aca="false">IF('Onshore- Melbourne'!D385="","Belum tercatat",'Onshore- Melbourne'!D385)</f>
        <v>Term</v>
      </c>
      <c r="G353" s="65" t="n">
        <f aca="false">IF('Onshore- Melbourne'!E385="","-",'Onshore- Melbourne'!E385)</f>
        <v>1750</v>
      </c>
      <c r="H353" s="63" t="n">
        <f aca="false">IF(ISNUMBER(K353),COUNTIFS($J$6:$J$1916,J353,$K$6:$K$1916,"&lt;"&amp;K353)+1,"-")</f>
        <v>16</v>
      </c>
      <c r="I353" s="64" t="str">
        <f aca="false">IF('Onshore- Melbourne'!E385="","Harga belum tersedia - hubungi konsultan TEG",IF(M353=2,"Saat ini tidak menerima pendaftaran siswa internasional baru",IF(M353=1,"Harga perlu dikonfirmasi ke sekolah"&amp;IF(""="","","; "&amp;""),"")))</f>
        <v/>
      </c>
      <c r="J353" s="0" t="s">
        <v>3885</v>
      </c>
      <c r="K353" s="0" t="n">
        <f aca="false">IF(M353=2,"",IF(ISNUMBER(SEARCH("rata-rata:",'Onshore- Melbourne'!M385)),VALUE(MID('Onshore- Melbourne'!M385,SEARCH("rata-rata:",'Onshore- Melbourne'!M385)+11,FIND(";",'Onshore- Melbourne'!M385&amp;";",SEARCH("rata-rata:",'Onshore- Melbourne'!M385))-SEARCH("rata-rata:",'Onshore- Melbourne'!M385)-11)),IF('Onshore- Melbourne'!D385="Semester",'Onshore- Melbourne'!E385*2,IF('Onshore- Melbourne'!D385="Trimester",'Onshore- Melbourne'!E385*3,IF('Onshore- Melbourne'!D385="Term",'Onshore- Melbourne'!E385*4,IF('Onshore- Melbourne'!D385="Unit",'Onshore- Melbourne'!E385*8,""))))))</f>
        <v>7000</v>
      </c>
      <c r="L353" s="0" t="n">
        <f aca="false">IF(AND(ISNUMBER('Onshore- Melbourne'!E385),ISNUMBER(K353),ISNUMBER('Onshore- Melbourne'!F385),ISNUMBER('Onshore- Melbourne'!G385),OR('Onshore- Melbourne'!F385&lt;&gt;0,ISNUMBER(SEARCH("Material 0 terverifikasi",'Onshore- Melbourne'!M385))),OR('Onshore- Melbourne'!G385&lt;&gt;0,ISNUMBER(SEARCH("Enrolment 0 terverifikasi",'Onshore- Melbourne'!M385)))),1,0)</f>
        <v>1</v>
      </c>
      <c r="M353" s="0" t="n">
        <f aca="false">IF(OR('Onshore- Melbourne'!E385="",ISNUMBER(SEARCH("BSB80120",'Onshore- Melbourne'!B385&amp;'Onshore- Melbourne'!M385)),ISNUMBER(SEARCH("Management (Learning)",'Onshore- Melbourne'!B385))),2,IF(ISNUMBER(SEARCH("CEK:",'Onshore- Melbourne'!M385)),1,0))</f>
        <v>0</v>
      </c>
    </row>
    <row r="354" customFormat="false" ht="15" hidden="false" customHeight="false" outlineLevel="0" collapsed="false">
      <c r="A354" s="63" t="s">
        <v>3544</v>
      </c>
      <c r="B354" s="64" t="s">
        <v>3833</v>
      </c>
      <c r="C354" s="63" t="s">
        <v>42</v>
      </c>
      <c r="D354" s="64" t="str">
        <f aca="false">TRIM(LEFT('Onshore- Melbourne'!A218,FIND(CHAR(10),'Onshore- Melbourne'!A218&amp;CHAR(10))-1))</f>
        <v>Australian Sovereign College (AuSC)</v>
      </c>
      <c r="E354" s="63" t="str">
        <f aca="false">'Onshore- Melbourne'!C235&amp;""</f>
        <v>2 years</v>
      </c>
      <c r="F354" s="63" t="str">
        <f aca="false">IF('Onshore- Melbourne'!D235="","Belum tercatat",'Onshore- Melbourne'!D235)</f>
        <v>Term</v>
      </c>
      <c r="G354" s="65" t="n">
        <f aca="false">IF('Onshore- Melbourne'!E235="","-",'Onshore- Melbourne'!E235)</f>
        <v>1820</v>
      </c>
      <c r="H354" s="63" t="n">
        <f aca="false">IF(ISNUMBER(K354),COUNTIFS($J$6:$J$1916,J354,$K$6:$K$1916,"&lt;"&amp;K354)+1,"-")</f>
        <v>17</v>
      </c>
      <c r="I354" s="64" t="str">
        <f aca="false">IF('Onshore- Melbourne'!E235="","Harga belum tersedia - hubungi konsultan TEG",IF(M354=2,"Saat ini tidak menerima pendaftaran siswa internasional baru",IF(M354=1,"Harga perlu dikonfirmasi ke sekolah"&amp;IF(""="","","; "&amp;""),"")))</f>
        <v/>
      </c>
      <c r="J354" s="0" t="s">
        <v>3885</v>
      </c>
      <c r="K354" s="0" t="n">
        <f aca="false">IF(M354=2,"",IF(ISNUMBER(SEARCH("rata-rata:",'Onshore- Melbourne'!M235)),VALUE(MID('Onshore- Melbourne'!M235,SEARCH("rata-rata:",'Onshore- Melbourne'!M235)+11,FIND(";",'Onshore- Melbourne'!M235&amp;";",SEARCH("rata-rata:",'Onshore- Melbourne'!M235))-SEARCH("rata-rata:",'Onshore- Melbourne'!M235)-11)),IF('Onshore- Melbourne'!D235="Semester",'Onshore- Melbourne'!E235*2,IF('Onshore- Melbourne'!D235="Trimester",'Onshore- Melbourne'!E235*3,IF('Onshore- Melbourne'!D235="Term",'Onshore- Melbourne'!E235*4,IF('Onshore- Melbourne'!D235="Unit",'Onshore- Melbourne'!E235*8,""))))))</f>
        <v>7280</v>
      </c>
      <c r="L354" s="0" t="n">
        <f aca="false">IF(AND(ISNUMBER('Onshore- Melbourne'!E235),ISNUMBER(K354),ISNUMBER('Onshore- Melbourne'!F235),ISNUMBER('Onshore- Melbourne'!G235),OR('Onshore- Melbourne'!F235&lt;&gt;0,ISNUMBER(SEARCH("Material 0 terverifikasi",'Onshore- Melbourne'!M235))),OR('Onshore- Melbourne'!G235&lt;&gt;0,ISNUMBER(SEARCH("Enrolment 0 terverifikasi",'Onshore- Melbourne'!M235)))),1,0)</f>
        <v>1</v>
      </c>
      <c r="M354" s="0" t="n">
        <f aca="false">IF(OR('Onshore- Melbourne'!E235="",ISNUMBER(SEARCH("BSB80120",'Onshore- Melbourne'!B235&amp;'Onshore- Melbourne'!M235)),ISNUMBER(SEARCH("Management (Learning)",'Onshore- Melbourne'!B235))),2,IF(ISNUMBER(SEARCH("CEK:",'Onshore- Melbourne'!M235)),1,0))</f>
        <v>0</v>
      </c>
    </row>
    <row r="355" customFormat="false" ht="15" hidden="false" customHeight="false" outlineLevel="0" collapsed="false">
      <c r="A355" s="63" t="s">
        <v>3544</v>
      </c>
      <c r="B355" s="64" t="s">
        <v>3833</v>
      </c>
      <c r="C355" s="63" t="s">
        <v>42</v>
      </c>
      <c r="D355" s="64" t="str">
        <f aca="false">TRIM(LEFT('Onshore- Melbourne'!A417,FIND(CHAR(10),'Onshore- Melbourne'!A417&amp;CHAR(10))-1))</f>
        <v>Signet Institute of Australia</v>
      </c>
      <c r="E355" s="63" t="str">
        <f aca="false">'Onshore- Melbourne'!C418&amp;""</f>
        <v>2 years</v>
      </c>
      <c r="F355" s="63" t="str">
        <f aca="false">IF('Onshore- Melbourne'!D418="","Belum tercatat",'Onshore- Melbourne'!D418)</f>
        <v>Term</v>
      </c>
      <c r="G355" s="65" t="n">
        <f aca="false">IF('Onshore- Melbourne'!E418="","-",'Onshore- Melbourne'!E418)</f>
        <v>1875</v>
      </c>
      <c r="H355" s="63" t="n">
        <f aca="false">IF(ISNUMBER(K355),COUNTIFS($J$6:$J$1916,J355,$K$6:$K$1916,"&lt;"&amp;K355)+1,"-")</f>
        <v>18</v>
      </c>
      <c r="I355" s="64" t="str">
        <f aca="false">IF('Onshore- Melbourne'!E418="","Harga belum tersedia - hubungi konsultan TEG",IF(M355=2,"Saat ini tidak menerima pendaftaran siswa internasional baru",IF(M355=1,"Harga perlu dikonfirmasi ke sekolah"&amp;IF(""="","","; "&amp;""),"")))</f>
        <v>Harga perlu dikonfirmasi ke sekolah</v>
      </c>
      <c r="J355" s="0" t="s">
        <v>3885</v>
      </c>
      <c r="K355" s="0" t="n">
        <f aca="false">IF(M355=2,"",IF(ISNUMBER(SEARCH("rata-rata:",'Onshore- Melbourne'!M418)),VALUE(MID('Onshore- Melbourne'!M418,SEARCH("rata-rata:",'Onshore- Melbourne'!M418)+11,FIND(";",'Onshore- Melbourne'!M418&amp;";",SEARCH("rata-rata:",'Onshore- Melbourne'!M418))-SEARCH("rata-rata:",'Onshore- Melbourne'!M418)-11)),IF('Onshore- Melbourne'!D418="Semester",'Onshore- Melbourne'!E418*2,IF('Onshore- Melbourne'!D418="Trimester",'Onshore- Melbourne'!E418*3,IF('Onshore- Melbourne'!D418="Term",'Onshore- Melbourne'!E418*4,IF('Onshore- Melbourne'!D418="Unit",'Onshore- Melbourne'!E418*8,""))))))</f>
        <v>7500</v>
      </c>
      <c r="L355" s="0" t="n">
        <f aca="false">IF(AND(ISNUMBER('Onshore- Melbourne'!E418),ISNUMBER(K355),ISNUMBER('Onshore- Melbourne'!F418),ISNUMBER('Onshore- Melbourne'!G418),OR('Onshore- Melbourne'!F418&lt;&gt;0,ISNUMBER(SEARCH("Material 0 terverifikasi",'Onshore- Melbourne'!M418))),OR('Onshore- Melbourne'!G418&lt;&gt;0,ISNUMBER(SEARCH("Enrolment 0 terverifikasi",'Onshore- Melbourne'!M418)))),1,0)</f>
        <v>1</v>
      </c>
      <c r="M355" s="0" t="n">
        <f aca="false">IF(OR('Onshore- Melbourne'!E418="",ISNUMBER(SEARCH("BSB80120",'Onshore- Melbourne'!B418&amp;'Onshore- Melbourne'!M418)),ISNUMBER(SEARCH("Management (Learning)",'Onshore- Melbourne'!B418))),2,IF(ISNUMBER(SEARCH("CEK:",'Onshore- Melbourne'!M418)),1,0))</f>
        <v>1</v>
      </c>
    </row>
    <row r="356" customFormat="false" ht="15" hidden="false" customHeight="false" outlineLevel="0" collapsed="false">
      <c r="A356" s="63" t="s">
        <v>3544</v>
      </c>
      <c r="B356" s="64" t="s">
        <v>3833</v>
      </c>
      <c r="C356" s="63" t="s">
        <v>42</v>
      </c>
      <c r="D356" s="64" t="str">
        <f aca="false">TRIM(LEFT('Onshore- Melbourne'!A256,FIND(CHAR(10),'Onshore- Melbourne'!A256&amp;CHAR(10))-1))</f>
        <v>Collins International College</v>
      </c>
      <c r="E356" s="63" t="str">
        <f aca="false">'Onshore- Melbourne'!C258&amp;""</f>
        <v>3 years</v>
      </c>
      <c r="F356" s="63" t="str">
        <f aca="false">IF('Onshore- Melbourne'!D258="","Belum tercatat",'Onshore- Melbourne'!D258)</f>
        <v>Term</v>
      </c>
      <c r="G356" s="65" t="n">
        <f aca="false">IF('Onshore- Melbourne'!E258="","-",'Onshore- Melbourne'!E258)</f>
        <v>2000</v>
      </c>
      <c r="H356" s="63" t="n">
        <f aca="false">IF(ISNUMBER(K356),COUNTIFS($J$6:$J$1916,J356,$K$6:$K$1916,"&lt;"&amp;K356)+1,"-")</f>
        <v>19</v>
      </c>
      <c r="I356" s="64" t="str">
        <f aca="false">IF('Onshore- Melbourne'!E258="","Harga belum tersedia - hubungi konsultan TEG",IF(M356=2,"Saat ini tidak menerima pendaftaran siswa internasional baru",IF(M356=1,"Harga perlu dikonfirmasi ke sekolah"&amp;IF(""="","","; "&amp;""),"")))</f>
        <v>Harga perlu dikonfirmasi ke sekolah</v>
      </c>
      <c r="J356" s="0" t="s">
        <v>3885</v>
      </c>
      <c r="K356" s="0" t="n">
        <f aca="false">IF(M356=2,"",IF(ISNUMBER(SEARCH("rata-rata:",'Onshore- Melbourne'!M258)),VALUE(MID('Onshore- Melbourne'!M258,SEARCH("rata-rata:",'Onshore- Melbourne'!M258)+11,FIND(";",'Onshore- Melbourne'!M258&amp;";",SEARCH("rata-rata:",'Onshore- Melbourne'!M258))-SEARCH("rata-rata:",'Onshore- Melbourne'!M258)-11)),IF('Onshore- Melbourne'!D258="Semester",'Onshore- Melbourne'!E258*2,IF('Onshore- Melbourne'!D258="Trimester",'Onshore- Melbourne'!E258*3,IF('Onshore- Melbourne'!D258="Term",'Onshore- Melbourne'!E258*4,IF('Onshore- Melbourne'!D258="Unit",'Onshore- Melbourne'!E258*8,""))))))</f>
        <v>8000</v>
      </c>
      <c r="L356" s="0" t="n">
        <f aca="false">IF(AND(ISNUMBER('Onshore- Melbourne'!E258),ISNUMBER(K356),ISNUMBER('Onshore- Melbourne'!F258),ISNUMBER('Onshore- Melbourne'!G258),OR('Onshore- Melbourne'!F258&lt;&gt;0,ISNUMBER(SEARCH("Material 0 terverifikasi",'Onshore- Melbourne'!M258))),OR('Onshore- Melbourne'!G258&lt;&gt;0,ISNUMBER(SEARCH("Enrolment 0 terverifikasi",'Onshore- Melbourne'!M258)))),1,0)</f>
        <v>1</v>
      </c>
      <c r="M356" s="0" t="n">
        <f aca="false">IF(OR('Onshore- Melbourne'!E258="",ISNUMBER(SEARCH("BSB80120",'Onshore- Melbourne'!B258&amp;'Onshore- Melbourne'!M258)),ISNUMBER(SEARCH("Management (Learning)",'Onshore- Melbourne'!B258))),2,IF(ISNUMBER(SEARCH("CEK:",'Onshore- Melbourne'!M258)),1,0))</f>
        <v>1</v>
      </c>
    </row>
    <row r="357" customFormat="false" ht="15" hidden="false" customHeight="false" outlineLevel="0" collapsed="false">
      <c r="A357" s="63" t="s">
        <v>3544</v>
      </c>
      <c r="B357" s="64" t="s">
        <v>3833</v>
      </c>
      <c r="C357" s="63" t="s">
        <v>42</v>
      </c>
      <c r="D357" s="64" t="str">
        <f aca="false">TRIM(LEFT('Onshore- Melbourne'!A354,FIND(CHAR(10),'Onshore- Melbourne'!A354&amp;CHAR(10))-1))</f>
        <v>Melbourne Metro College</v>
      </c>
      <c r="E357" s="63" t="str">
        <f aca="false">'Onshore- Melbourne'!C359&amp;""</f>
        <v>2 years</v>
      </c>
      <c r="F357" s="63" t="str">
        <f aca="false">IF('Onshore- Melbourne'!D359="","Belum tercatat",'Onshore- Melbourne'!D359)</f>
        <v>Term</v>
      </c>
      <c r="G357" s="65" t="n">
        <f aca="false">IF('Onshore- Melbourne'!E359="","-",'Onshore- Melbourne'!E359)</f>
        <v>2625</v>
      </c>
      <c r="H357" s="63" t="n">
        <f aca="false">IF(ISNUMBER(K357),COUNTIFS($J$6:$J$1916,J357,$K$6:$K$1916,"&lt;"&amp;K357)+1,"-")</f>
        <v>20</v>
      </c>
      <c r="I357" s="64" t="str">
        <f aca="false">IF('Onshore- Melbourne'!E359="","Harga belum tersedia - hubungi konsultan TEG",IF(M357=2,"Saat ini tidak menerima pendaftaran siswa internasional baru",IF(M357=1,"Harga perlu dikonfirmasi ke sekolah"&amp;IF(""="","","; "&amp;""),"")))</f>
        <v/>
      </c>
      <c r="J357" s="0" t="s">
        <v>3885</v>
      </c>
      <c r="K357" s="0" t="n">
        <f aca="false">IF(M357=2,"",IF(ISNUMBER(SEARCH("rata-rata:",'Onshore- Melbourne'!M359)),VALUE(MID('Onshore- Melbourne'!M359,SEARCH("rata-rata:",'Onshore- Melbourne'!M359)+11,FIND(";",'Onshore- Melbourne'!M359&amp;";",SEARCH("rata-rata:",'Onshore- Melbourne'!M359))-SEARCH("rata-rata:",'Onshore- Melbourne'!M359)-11)),IF('Onshore- Melbourne'!D359="Semester",'Onshore- Melbourne'!E359*2,IF('Onshore- Melbourne'!D359="Trimester",'Onshore- Melbourne'!E359*3,IF('Onshore- Melbourne'!D359="Term",'Onshore- Melbourne'!E359*4,IF('Onshore- Melbourne'!D359="Unit",'Onshore- Melbourne'!E359*8,""))))))</f>
        <v>10500</v>
      </c>
      <c r="L357" s="0" t="n">
        <f aca="false">IF(AND(ISNUMBER('Onshore- Melbourne'!E359),ISNUMBER(K357),ISNUMBER('Onshore- Melbourne'!F359),ISNUMBER('Onshore- Melbourne'!G359),OR('Onshore- Melbourne'!F359&lt;&gt;0,ISNUMBER(SEARCH("Material 0 terverifikasi",'Onshore- Melbourne'!M359))),OR('Onshore- Melbourne'!G359&lt;&gt;0,ISNUMBER(SEARCH("Enrolment 0 terverifikasi",'Onshore- Melbourne'!M359)))),1,0)</f>
        <v>1</v>
      </c>
      <c r="M357" s="0" t="n">
        <f aca="false">IF(OR('Onshore- Melbourne'!E359="",ISNUMBER(SEARCH("BSB80120",'Onshore- Melbourne'!B359&amp;'Onshore- Melbourne'!M359)),ISNUMBER(SEARCH("Management (Learning)",'Onshore- Melbourne'!B359))),2,IF(ISNUMBER(SEARCH("CEK:",'Onshore- Melbourne'!M359)),1,0))</f>
        <v>0</v>
      </c>
    </row>
    <row r="358" customFormat="false" ht="15" hidden="false" customHeight="false" outlineLevel="0" collapsed="false">
      <c r="A358" s="61" t="s">
        <v>3886</v>
      </c>
      <c r="B358" s="62"/>
      <c r="C358" s="62"/>
      <c r="D358" s="62"/>
      <c r="E358" s="62"/>
      <c r="F358" s="62"/>
      <c r="G358" s="62"/>
      <c r="H358" s="62"/>
      <c r="I358" s="62"/>
    </row>
    <row r="359" customFormat="false" ht="15" hidden="false" customHeight="false" outlineLevel="0" collapsed="false">
      <c r="A359" s="63" t="s">
        <v>3544</v>
      </c>
      <c r="B359" s="64" t="s">
        <v>3833</v>
      </c>
      <c r="C359" s="63" t="s">
        <v>43</v>
      </c>
      <c r="D359" s="64" t="str">
        <f aca="false">TRIM(LEFT('Onshore- Melbourne'!A29,FIND(CHAR(10),'Onshore- Melbourne'!A29&amp;CHAR(10))-1))</f>
        <v>AIBI Higher Education</v>
      </c>
      <c r="E359" s="63" t="str">
        <f aca="false">'Onshore- Melbourne'!C30&amp;""</f>
        <v>3 years</v>
      </c>
      <c r="F359" s="63" t="str">
        <f aca="false">IF('Onshore- Melbourne'!D30="","Belum tercatat",'Onshore- Melbourne'!D30)</f>
        <v>Term</v>
      </c>
      <c r="G359" s="65" t="n">
        <f aca="false">IF('Onshore- Melbourne'!E30="","-",'Onshore- Melbourne'!E30)</f>
        <v>3250</v>
      </c>
      <c r="H359" s="63" t="n">
        <f aca="false">IF(ISNUMBER(K359),COUNTIFS($J$6:$J$1916,J359,$K$6:$K$1916,"&lt;"&amp;K359)+1,"-")</f>
        <v>1</v>
      </c>
      <c r="I359" s="64" t="str">
        <f aca="false">IF('Onshore- Melbourne'!E30="","Harga belum tersedia - hubungi konsultan TEG",IF(M359=2,"Saat ini tidak menerima pendaftaran siswa internasional baru",IF(M359=1,"Harga perlu dikonfirmasi ke sekolah"&amp;IF(""="","","; "&amp;""),"")))</f>
        <v>Harga perlu dikonfirmasi ke sekolah</v>
      </c>
      <c r="J359" s="0" t="s">
        <v>3887</v>
      </c>
      <c r="K359" s="0" t="n">
        <f aca="false">IF(M359=2,"",IF(ISNUMBER(SEARCH("rata-rata:",'Onshore- Melbourne'!M30)),VALUE(MID('Onshore- Melbourne'!M30,SEARCH("rata-rata:",'Onshore- Melbourne'!M30)+11,FIND(";",'Onshore- Melbourne'!M30&amp;";",SEARCH("rata-rata:",'Onshore- Melbourne'!M30))-SEARCH("rata-rata:",'Onshore- Melbourne'!M30)-11)),IF('Onshore- Melbourne'!D30="Semester",'Onshore- Melbourne'!E30*2,IF('Onshore- Melbourne'!D30="Trimester",'Onshore- Melbourne'!E30*3,IF('Onshore- Melbourne'!D30="Term",'Onshore- Melbourne'!E30*4,IF('Onshore- Melbourne'!D30="Unit",'Onshore- Melbourne'!E30*8,""))))))</f>
        <v>13000</v>
      </c>
      <c r="L359" s="0" t="n">
        <f aca="false">IF(AND(ISNUMBER('Onshore- Melbourne'!E30),ISNUMBER(K359),ISNUMBER('Onshore- Melbourne'!F30),ISNUMBER('Onshore- Melbourne'!G30),OR('Onshore- Melbourne'!F30&lt;&gt;0,ISNUMBER(SEARCH("Material 0 terverifikasi",'Onshore- Melbourne'!M30))),OR('Onshore- Melbourne'!G30&lt;&gt;0,ISNUMBER(SEARCH("Enrolment 0 terverifikasi",'Onshore- Melbourne'!M30)))),1,0)</f>
        <v>0</v>
      </c>
      <c r="M359" s="0" t="n">
        <f aca="false">IF(OR('Onshore- Melbourne'!E30="",ISNUMBER(SEARCH("BSB80120",'Onshore- Melbourne'!B30&amp;'Onshore- Melbourne'!M30)),ISNUMBER(SEARCH("Management (Learning)",'Onshore- Melbourne'!B30))),2,IF(ISNUMBER(SEARCH("CEK:",'Onshore- Melbourne'!M30)),1,0))</f>
        <v>1</v>
      </c>
    </row>
    <row r="360" customFormat="false" ht="15" hidden="false" customHeight="false" outlineLevel="0" collapsed="false">
      <c r="A360" s="63" t="s">
        <v>3544</v>
      </c>
      <c r="B360" s="64" t="s">
        <v>3833</v>
      </c>
      <c r="C360" s="63" t="s">
        <v>43</v>
      </c>
      <c r="D360" s="64" t="str">
        <f aca="false">TRIM(LEFT('Onshore- Melbourne'!A77,FIND(CHAR(10),'Onshore- Melbourne'!A77&amp;CHAR(10))-1))</f>
        <v>Asia Pacific International College (APIC)</v>
      </c>
      <c r="E360" s="63" t="str">
        <f aca="false">'Onshore- Melbourne'!C80&amp;""</f>
        <v>3 years</v>
      </c>
      <c r="F360" s="63" t="str">
        <f aca="false">IF('Onshore- Melbourne'!D80="","Belum tercatat",'Onshore- Melbourne'!D80)</f>
        <v>Trimester</v>
      </c>
      <c r="G360" s="65" t="n">
        <f aca="false">IF('Onshore- Melbourne'!E80="","-",'Onshore- Melbourne'!E80)</f>
        <v>4500</v>
      </c>
      <c r="H360" s="63" t="n">
        <f aca="false">IF(ISNUMBER(K360),COUNTIFS($J$6:$J$1916,J360,$K$6:$K$1916,"&lt;"&amp;K360)+1,"-")</f>
        <v>2</v>
      </c>
      <c r="I360" s="64" t="str">
        <f aca="false">IF('Onshore- Melbourne'!E80="","Harga belum tersedia - hubungi konsultan TEG",IF(M360=2,"Saat ini tidak menerima pendaftaran siswa internasional baru",IF(M360=1,"Harga perlu dikonfirmasi ke sekolah"&amp;IF("Harga promo s.d. 31/12/2026"="","","; "&amp;"Harga promo s.d. 31/12/2026"),"Harga promo s.d. 31/12/2026")))</f>
        <v>Harga promo s.d. 31/12/2026</v>
      </c>
      <c r="J360" s="0" t="s">
        <v>3887</v>
      </c>
      <c r="K360" s="0" t="n">
        <f aca="false">IF(M360=2,"",IF(ISNUMBER(SEARCH("rata-rata:",'Onshore- Melbourne'!M80)),VALUE(MID('Onshore- Melbourne'!M80,SEARCH("rata-rata:",'Onshore- Melbourne'!M80)+11,FIND(";",'Onshore- Melbourne'!M80&amp;";",SEARCH("rata-rata:",'Onshore- Melbourne'!M80))-SEARCH("rata-rata:",'Onshore- Melbourne'!M80)-11)),IF('Onshore- Melbourne'!D80="Semester",'Onshore- Melbourne'!E80*2,IF('Onshore- Melbourne'!D80="Trimester",'Onshore- Melbourne'!E80*3,IF('Onshore- Melbourne'!D80="Term",'Onshore- Melbourne'!E80*4,IF('Onshore- Melbourne'!D80="Unit",'Onshore- Melbourne'!E80*8,""))))))</f>
        <v>13500</v>
      </c>
      <c r="L360" s="0" t="n">
        <f aca="false">IF(AND(ISNUMBER('Onshore- Melbourne'!E80),ISNUMBER(K360),ISNUMBER('Onshore- Melbourne'!F80),ISNUMBER('Onshore- Melbourne'!G80),OR('Onshore- Melbourne'!F80&lt;&gt;0,ISNUMBER(SEARCH("Material 0 terverifikasi",'Onshore- Melbourne'!M80))),OR('Onshore- Melbourne'!G80&lt;&gt;0,ISNUMBER(SEARCH("Enrolment 0 terverifikasi",'Onshore- Melbourne'!M80)))),1,0)</f>
        <v>0</v>
      </c>
      <c r="M360" s="0" t="n">
        <f aca="false">IF(OR('Onshore- Melbourne'!E80="",ISNUMBER(SEARCH("BSB80120",'Onshore- Melbourne'!B80&amp;'Onshore- Melbourne'!M80)),ISNUMBER(SEARCH("Management (Learning)",'Onshore- Melbourne'!B80))),2,IF(ISNUMBER(SEARCH("CEK:",'Onshore- Melbourne'!M80)),1,0))</f>
        <v>0</v>
      </c>
    </row>
    <row r="361" customFormat="false" ht="15" hidden="false" customHeight="false" outlineLevel="0" collapsed="false">
      <c r="A361" s="63" t="s">
        <v>3544</v>
      </c>
      <c r="B361" s="64" t="s">
        <v>3833</v>
      </c>
      <c r="C361" s="63" t="s">
        <v>43</v>
      </c>
      <c r="D361" s="64" t="str">
        <f aca="false">TRIM(LEFT('Onshore- Melbourne'!A74,FIND(CHAR(10),'Onshore- Melbourne'!A74&amp;CHAR(10))-1))</f>
        <v>Analytics Institute of Australia (AIA)</v>
      </c>
      <c r="E361" s="63" t="str">
        <f aca="false">'Onshore- Melbourne'!C76&amp;""</f>
        <v>2 years</v>
      </c>
      <c r="F361" s="63" t="str">
        <f aca="false">IF('Onshore- Melbourne'!D76="","Belum tercatat",'Onshore- Melbourne'!D76)</f>
        <v>Term</v>
      </c>
      <c r="G361" s="65" t="n">
        <f aca="false">IF('Onshore- Melbourne'!E76="","-",'Onshore- Melbourne'!E76)</f>
        <v>3475</v>
      </c>
      <c r="H361" s="63" t="n">
        <f aca="false">IF(ISNUMBER(K361),COUNTIFS($J$6:$J$1916,J361,$K$6:$K$1916,"&lt;"&amp;K361)+1,"-")</f>
        <v>3</v>
      </c>
      <c r="I361" s="64" t="str">
        <f aca="false">IF('Onshore- Melbourne'!E76="","Harga belum tersedia - hubungi konsultan TEG",IF(M361=2,"Saat ini tidak menerima pendaftaran siswa internasional baru",IF(M361=1,"Harga perlu dikonfirmasi ke sekolah"&amp;IF(""="","","; "&amp;""),"")))</f>
        <v>Harga perlu dikonfirmasi ke sekolah</v>
      </c>
      <c r="J361" s="0" t="s">
        <v>3887</v>
      </c>
      <c r="K361" s="0" t="n">
        <f aca="false">IF(M361=2,"",IF(ISNUMBER(SEARCH("rata-rata:",'Onshore- Melbourne'!M76)),VALUE(MID('Onshore- Melbourne'!M76,SEARCH("rata-rata:",'Onshore- Melbourne'!M76)+11,FIND(";",'Onshore- Melbourne'!M76&amp;";",SEARCH("rata-rata:",'Onshore- Melbourne'!M76))-SEARCH("rata-rata:",'Onshore- Melbourne'!M76)-11)),IF('Onshore- Melbourne'!D76="Semester",'Onshore- Melbourne'!E76*2,IF('Onshore- Melbourne'!D76="Trimester",'Onshore- Melbourne'!E76*3,IF('Onshore- Melbourne'!D76="Term",'Onshore- Melbourne'!E76*4,IF('Onshore- Melbourne'!D76="Unit",'Onshore- Melbourne'!E76*8,""))))))</f>
        <v>13900</v>
      </c>
      <c r="L361" s="0" t="n">
        <f aca="false">IF(AND(ISNUMBER('Onshore- Melbourne'!E76),ISNUMBER(K361),ISNUMBER('Onshore- Melbourne'!F76),ISNUMBER('Onshore- Melbourne'!G76),OR('Onshore- Melbourne'!F76&lt;&gt;0,ISNUMBER(SEARCH("Material 0 terverifikasi",'Onshore- Melbourne'!M76))),OR('Onshore- Melbourne'!G76&lt;&gt;0,ISNUMBER(SEARCH("Enrolment 0 terverifikasi",'Onshore- Melbourne'!M76)))),1,0)</f>
        <v>0</v>
      </c>
      <c r="M361" s="0" t="n">
        <f aca="false">IF(OR('Onshore- Melbourne'!E76="",ISNUMBER(SEARCH("BSB80120",'Onshore- Melbourne'!B76&amp;'Onshore- Melbourne'!M76)),ISNUMBER(SEARCH("Management (Learning)",'Onshore- Melbourne'!B76))),2,IF(ISNUMBER(SEARCH("CEK:",'Onshore- Melbourne'!M76)),1,0))</f>
        <v>1</v>
      </c>
    </row>
    <row r="362" customFormat="false" ht="55.2" hidden="false" customHeight="false" outlineLevel="0" collapsed="false">
      <c r="A362" s="63" t="s">
        <v>3544</v>
      </c>
      <c r="B362" s="64" t="s">
        <v>3833</v>
      </c>
      <c r="C362" s="63" t="s">
        <v>43</v>
      </c>
      <c r="D362" s="64" t="str">
        <f aca="false">TRIM(LEFT('Onshore- Melbourne'!A43,FIND(CHAR(10),'Onshore- Melbourne'!A43&amp;CHAR(10))-1))</f>
        <v>AIH Higher Education (Australian Institute of Higher Education)</v>
      </c>
      <c r="E362" s="63" t="str">
        <f aca="false">'Onshore- Melbourne'!C44&amp;""</f>
        <v>3 years</v>
      </c>
      <c r="F362" s="63" t="str">
        <f aca="false">IF('Onshore- Melbourne'!D44="","Belum tercatat",'Onshore- Melbourne'!D44)</f>
        <v>Unit</v>
      </c>
      <c r="G362" s="65" t="n">
        <f aca="false">IF('Onshore- Melbourne'!E44="","-",'Onshore- Melbourne'!E44)</f>
        <v>1790</v>
      </c>
      <c r="H362" s="63" t="n">
        <f aca="false">IF(ISNUMBER(K362),COUNTIFS($J$6:$J$1916,J362,$K$6:$K$1916,"&lt;"&amp;K362)+1,"-")</f>
        <v>4</v>
      </c>
      <c r="I362" s="64" t="str">
        <f aca="false">IF('Onshore- Melbourne'!E44="","Harga belum tersedia - hubungi konsultan TEG",IF(M362=2,"Saat ini tidak menerima pendaftaran siswa internasional baru",IF(M362=1,"Harga perlu dikonfirmasi ke sekolah"&amp;IF("Harga promo s.d. 31/12/2026; Harga dihitung per unit; total tergantung jumlah unit yang diambil; Sudah termasuk beasiswa 20% (syarat berlaku)"="","","; "&amp;"Harga promo s.d. 31/12/2026; Harga dihitung per unit; total tergantung jumlah unit yang diambil; Sudah termasuk beasiswa 20% (syarat berlaku)"),"Harga promo s.d. 31/12/2026; Harga dihitung per unit; total tergantung jumlah unit yang diambil; Sudah termasuk beasiswa 20% (syarat berlaku)")))</f>
        <v>Harga promo s.d. 31/12/2026; Harga dihitung per unit; total tergantung jumlah unit yang diambil; Sudah termasuk beasiswa 20% (syarat berlaku)</v>
      </c>
      <c r="J362" s="0" t="s">
        <v>3887</v>
      </c>
      <c r="K362" s="0" t="n">
        <f aca="false">IF(M362=2,"",IF(ISNUMBER(SEARCH("rata-rata:",'Onshore- Melbourne'!M44)),VALUE(MID('Onshore- Melbourne'!M44,SEARCH("rata-rata:",'Onshore- Melbourne'!M44)+11,FIND(";",'Onshore- Melbourne'!M44&amp;";",SEARCH("rata-rata:",'Onshore- Melbourne'!M44))-SEARCH("rata-rata:",'Onshore- Melbourne'!M44)-11)),IF('Onshore- Melbourne'!D44="Semester",'Onshore- Melbourne'!E44*2,IF('Onshore- Melbourne'!D44="Trimester",'Onshore- Melbourne'!E44*3,IF('Onshore- Melbourne'!D44="Term",'Onshore- Melbourne'!E44*4,IF('Onshore- Melbourne'!D44="Unit",'Onshore- Melbourne'!E44*8,""))))))</f>
        <v>14320</v>
      </c>
      <c r="L362" s="0" t="n">
        <f aca="false">IF(AND(ISNUMBER('Onshore- Melbourne'!E44),ISNUMBER(K362),ISNUMBER('Onshore- Melbourne'!F44),ISNUMBER('Onshore- Melbourne'!G44),OR('Onshore- Melbourne'!F44&lt;&gt;0,ISNUMBER(SEARCH("Material 0 terverifikasi",'Onshore- Melbourne'!M44))),OR('Onshore- Melbourne'!G44&lt;&gt;0,ISNUMBER(SEARCH("Enrolment 0 terverifikasi",'Onshore- Melbourne'!M44)))),1,0)</f>
        <v>1</v>
      </c>
      <c r="M362" s="0" t="n">
        <f aca="false">IF(OR('Onshore- Melbourne'!E44="",ISNUMBER(SEARCH("BSB80120",'Onshore- Melbourne'!B44&amp;'Onshore- Melbourne'!M44)),ISNUMBER(SEARCH("Management (Learning)",'Onshore- Melbourne'!B44))),2,IF(ISNUMBER(SEARCH("CEK:",'Onshore- Melbourne'!M44)),1,0))</f>
        <v>0</v>
      </c>
    </row>
    <row r="363" customFormat="false" ht="15" hidden="false" customHeight="false" outlineLevel="0" collapsed="false">
      <c r="A363" s="63" t="s">
        <v>3544</v>
      </c>
      <c r="B363" s="64" t="s">
        <v>3833</v>
      </c>
      <c r="C363" s="63" t="s">
        <v>43</v>
      </c>
      <c r="D363" s="64" t="str">
        <f aca="false">TRIM(LEFT('Onshore- Melbourne'!A445,FIND(CHAR(10),'Onshore- Melbourne'!A445&amp;CHAR(10))-1))</f>
        <v>The Institute of International Studies (TIIS)</v>
      </c>
      <c r="E363" s="63" t="str">
        <f aca="false">'Onshore- Melbourne'!C453&amp;""</f>
        <v>3 years</v>
      </c>
      <c r="F363" s="63" t="str">
        <f aca="false">IF('Onshore- Melbourne'!D453="","Belum tercatat",'Onshore- Melbourne'!D453)</f>
        <v>Term</v>
      </c>
      <c r="G363" s="65" t="n">
        <f aca="false">IF('Onshore- Melbourne'!E453="","-",'Onshore- Melbourne'!E453)</f>
        <v>3700</v>
      </c>
      <c r="H363" s="63" t="n">
        <f aca="false">IF(ISNUMBER(K363),COUNTIFS($J$6:$J$1916,J363,$K$6:$K$1916,"&lt;"&amp;K363)+1,"-")</f>
        <v>5</v>
      </c>
      <c r="I363" s="64" t="str">
        <f aca="false">IF('Onshore- Melbourne'!E453="","Harga belum tersedia - hubungi konsultan TEG",IF(M363=2,"Saat ini tidak menerima pendaftaran siswa internasional baru",IF(M363=1,"Harga perlu dikonfirmasi ke sekolah"&amp;IF(""="","","; "&amp;""),"")))</f>
        <v/>
      </c>
      <c r="J363" s="0" t="s">
        <v>3887</v>
      </c>
      <c r="K363" s="0" t="n">
        <f aca="false">IF(M363=2,"",IF(ISNUMBER(SEARCH("rata-rata:",'Onshore- Melbourne'!M453)),VALUE(MID('Onshore- Melbourne'!M453,SEARCH("rata-rata:",'Onshore- Melbourne'!M453)+11,FIND(";",'Onshore- Melbourne'!M453&amp;";",SEARCH("rata-rata:",'Onshore- Melbourne'!M453))-SEARCH("rata-rata:",'Onshore- Melbourne'!M453)-11)),IF('Onshore- Melbourne'!D453="Semester",'Onshore- Melbourne'!E453*2,IF('Onshore- Melbourne'!D453="Trimester",'Onshore- Melbourne'!E453*3,IF('Onshore- Melbourne'!D453="Term",'Onshore- Melbourne'!E453*4,IF('Onshore- Melbourne'!D453="Unit",'Onshore- Melbourne'!E453*8,""))))))</f>
        <v>14800</v>
      </c>
      <c r="L363" s="0" t="n">
        <f aca="false">IF(AND(ISNUMBER('Onshore- Melbourne'!E453),ISNUMBER(K363),ISNUMBER('Onshore- Melbourne'!F453),ISNUMBER('Onshore- Melbourne'!G453),OR('Onshore- Melbourne'!F453&lt;&gt;0,ISNUMBER(SEARCH("Material 0 terverifikasi",'Onshore- Melbourne'!M453))),OR('Onshore- Melbourne'!G453&lt;&gt;0,ISNUMBER(SEARCH("Enrolment 0 terverifikasi",'Onshore- Melbourne'!M453)))),1,0)</f>
        <v>0</v>
      </c>
      <c r="M363" s="0" t="n">
        <f aca="false">IF(OR('Onshore- Melbourne'!E453="",ISNUMBER(SEARCH("BSB80120",'Onshore- Melbourne'!B453&amp;'Onshore- Melbourne'!M453)),ISNUMBER(SEARCH("Management (Learning)",'Onshore- Melbourne'!B453))),2,IF(ISNUMBER(SEARCH("CEK:",'Onshore- Melbourne'!M453)),1,0))</f>
        <v>0</v>
      </c>
    </row>
    <row r="364" customFormat="false" ht="15" hidden="false" customHeight="false" outlineLevel="0" collapsed="false">
      <c r="A364" s="63" t="s">
        <v>3544</v>
      </c>
      <c r="B364" s="64" t="s">
        <v>3833</v>
      </c>
      <c r="C364" s="63" t="s">
        <v>43</v>
      </c>
      <c r="D364" s="64" t="str">
        <f aca="false">TRIM(LEFT('Onshore- Melbourne'!A247,FIND(CHAR(10),'Onshore- Melbourne'!A247&amp;CHAR(10))-1))</f>
        <v>Canterbury Institute of Management (CIM)</v>
      </c>
      <c r="E364" s="63" t="str">
        <f aca="false">'Onshore- Melbourne'!C247&amp;""</f>
        <v>3 years</v>
      </c>
      <c r="F364" s="63" t="str">
        <f aca="false">IF('Onshore- Melbourne'!D247="","Belum tercatat",'Onshore- Melbourne'!D247)</f>
        <v>Semester</v>
      </c>
      <c r="G364" s="65" t="n">
        <f aca="false">IF('Onshore- Melbourne'!E247="","-",'Onshore- Melbourne'!E247)</f>
        <v>8000</v>
      </c>
      <c r="H364" s="63" t="n">
        <f aca="false">IF(ISNUMBER(K364),COUNTIFS($J$6:$J$1916,J364,$K$6:$K$1916,"&lt;"&amp;K364)+1,"-")</f>
        <v>6</v>
      </c>
      <c r="I364" s="64" t="str">
        <f aca="false">IF('Onshore- Melbourne'!E247="","Harga belum tersedia - hubungi konsultan TEG",IF(M364=2,"Saat ini tidak menerima pendaftaran siswa internasional baru",IF(M364=1,"Harga perlu dikonfirmasi ke sekolah"&amp;IF(""="","","; "&amp;""),"")))</f>
        <v>Harga perlu dikonfirmasi ke sekolah</v>
      </c>
      <c r="J364" s="0" t="s">
        <v>3887</v>
      </c>
      <c r="K364" s="0" t="n">
        <f aca="false">IF(M364=2,"",IF(ISNUMBER(SEARCH("rata-rata:",'Onshore- Melbourne'!M247)),VALUE(MID('Onshore- Melbourne'!M247,SEARCH("rata-rata:",'Onshore- Melbourne'!M247)+11,FIND(";",'Onshore- Melbourne'!M247&amp;";",SEARCH("rata-rata:",'Onshore- Melbourne'!M247))-SEARCH("rata-rata:",'Onshore- Melbourne'!M247)-11)),IF('Onshore- Melbourne'!D247="Semester",'Onshore- Melbourne'!E247*2,IF('Onshore- Melbourne'!D247="Trimester",'Onshore- Melbourne'!E247*3,IF('Onshore- Melbourne'!D247="Term",'Onshore- Melbourne'!E247*4,IF('Onshore- Melbourne'!D247="Unit",'Onshore- Melbourne'!E247*8,""))))))</f>
        <v>16000</v>
      </c>
      <c r="L364" s="0" t="n">
        <f aca="false">IF(AND(ISNUMBER('Onshore- Melbourne'!E247),ISNUMBER(K364),ISNUMBER('Onshore- Melbourne'!F247),ISNUMBER('Onshore- Melbourne'!G247),OR('Onshore- Melbourne'!F247&lt;&gt;0,ISNUMBER(SEARCH("Material 0 terverifikasi",'Onshore- Melbourne'!M247))),OR('Onshore- Melbourne'!G247&lt;&gt;0,ISNUMBER(SEARCH("Enrolment 0 terverifikasi",'Onshore- Melbourne'!M247)))),1,0)</f>
        <v>0</v>
      </c>
      <c r="M364" s="0" t="n">
        <f aca="false">IF(OR('Onshore- Melbourne'!E247="",ISNUMBER(SEARCH("BSB80120",'Onshore- Melbourne'!B247&amp;'Onshore- Melbourne'!M247)),ISNUMBER(SEARCH("Management (Learning)",'Onshore- Melbourne'!B247))),2,IF(ISNUMBER(SEARCH("CEK:",'Onshore- Melbourne'!M247)),1,0))</f>
        <v>1</v>
      </c>
    </row>
    <row r="365" customFormat="false" ht="15" hidden="false" customHeight="false" outlineLevel="0" collapsed="false">
      <c r="A365" s="63" t="s">
        <v>3544</v>
      </c>
      <c r="B365" s="64" t="s">
        <v>3833</v>
      </c>
      <c r="C365" s="63" t="s">
        <v>43</v>
      </c>
      <c r="D365" s="64" t="str">
        <f aca="false">TRIM(LEFT('Onshore- Melbourne'!A319,FIND(CHAR(10),'Onshore- Melbourne'!A319&amp;CHAR(10))-1))</f>
        <v>Kent Institute Australia</v>
      </c>
      <c r="E365" s="63" t="str">
        <f aca="false">'Onshore- Melbourne'!C320&amp;""</f>
        <v>3 years</v>
      </c>
      <c r="F365" s="63" t="str">
        <f aca="false">IF('Onshore- Melbourne'!D320="","Belum tercatat",'Onshore- Melbourne'!D320)</f>
        <v>Trimester</v>
      </c>
      <c r="G365" s="65" t="n">
        <f aca="false">IF('Onshore- Melbourne'!E320="","-",'Onshore- Melbourne'!E320)</f>
        <v>5800</v>
      </c>
      <c r="H365" s="63" t="n">
        <f aca="false">IF(ISNUMBER(K365),COUNTIFS($J$6:$J$1916,J365,$K$6:$K$1916,"&lt;"&amp;K365)+1,"-")</f>
        <v>7</v>
      </c>
      <c r="I365" s="64" t="str">
        <f aca="false">IF('Onshore- Melbourne'!E320="","Harga belum tersedia - hubungi konsultan TEG",IF(M365=2,"Saat ini tidak menerima pendaftaran siswa internasional baru",IF(M365=1,"Harga perlu dikonfirmasi ke sekolah"&amp;IF(""="","","; "&amp;""),"")))</f>
        <v>Harga perlu dikonfirmasi ke sekolah</v>
      </c>
      <c r="J365" s="0" t="s">
        <v>3887</v>
      </c>
      <c r="K365" s="0" t="n">
        <f aca="false">IF(M365=2,"",IF(ISNUMBER(SEARCH("rata-rata:",'Onshore- Melbourne'!M320)),VALUE(MID('Onshore- Melbourne'!M320,SEARCH("rata-rata:",'Onshore- Melbourne'!M320)+11,FIND(";",'Onshore- Melbourne'!M320&amp;";",SEARCH("rata-rata:",'Onshore- Melbourne'!M320))-SEARCH("rata-rata:",'Onshore- Melbourne'!M320)-11)),IF('Onshore- Melbourne'!D320="Semester",'Onshore- Melbourne'!E320*2,IF('Onshore- Melbourne'!D320="Trimester",'Onshore- Melbourne'!E320*3,IF('Onshore- Melbourne'!D320="Term",'Onshore- Melbourne'!E320*4,IF('Onshore- Melbourne'!D320="Unit",'Onshore- Melbourne'!E320*8,""))))))</f>
        <v>17400</v>
      </c>
      <c r="L365" s="0" t="n">
        <f aca="false">IF(AND(ISNUMBER('Onshore- Melbourne'!E320),ISNUMBER(K365),ISNUMBER('Onshore- Melbourne'!F320),ISNUMBER('Onshore- Melbourne'!G320),OR('Onshore- Melbourne'!F320&lt;&gt;0,ISNUMBER(SEARCH("Material 0 terverifikasi",'Onshore- Melbourne'!M320))),OR('Onshore- Melbourne'!G320&lt;&gt;0,ISNUMBER(SEARCH("Enrolment 0 terverifikasi",'Onshore- Melbourne'!M320)))),1,0)</f>
        <v>0</v>
      </c>
      <c r="M365" s="0" t="n">
        <f aca="false">IF(OR('Onshore- Melbourne'!E320="",ISNUMBER(SEARCH("BSB80120",'Onshore- Melbourne'!B320&amp;'Onshore- Melbourne'!M320)),ISNUMBER(SEARCH("Management (Learning)",'Onshore- Melbourne'!B320))),2,IF(ISNUMBER(SEARCH("CEK:",'Onshore- Melbourne'!M320)),1,0))</f>
        <v>1</v>
      </c>
    </row>
    <row r="366" customFormat="false" ht="28.35" hidden="false" customHeight="false" outlineLevel="0" collapsed="false">
      <c r="A366" s="63" t="s">
        <v>3544</v>
      </c>
      <c r="B366" s="64" t="s">
        <v>3833</v>
      </c>
      <c r="C366" s="63" t="s">
        <v>43</v>
      </c>
      <c r="D366" s="64" t="str">
        <f aca="false">TRIM(LEFT('Onshore- Melbourne'!A368,FIND(CHAR(10),'Onshore- Melbourne'!A368&amp;CHAR(10))-1))</f>
        <v>National Academy of Professional Studies (NAPS)</v>
      </c>
      <c r="E366" s="63" t="str">
        <f aca="false">'Onshore- Melbourne'!C374&amp;""</f>
        <v>3 years</v>
      </c>
      <c r="F366" s="63" t="str">
        <f aca="false">IF('Onshore- Melbourne'!D374="","Belum tercatat",'Onshore- Melbourne'!D374)</f>
        <v>Term</v>
      </c>
      <c r="G366" s="65" t="n">
        <f aca="false">IF('Onshore- Melbourne'!E374="","-",'Onshore- Melbourne'!E374)</f>
        <v>4500</v>
      </c>
      <c r="H366" s="63" t="n">
        <f aca="false">IF(ISNUMBER(K366),COUNTIFS($J$6:$J$1916,J366,$K$6:$K$1916,"&lt;"&amp;K366)+1,"-")</f>
        <v>8</v>
      </c>
      <c r="I366" s="64" t="str">
        <f aca="false">IF('Onshore- Melbourne'!E374="","Harga belum tersedia - hubungi konsultan TEG",IF(M366=2,"Saat ini tidak menerima pendaftaran siswa internasional baru",IF(M366=1,"Harga perlu dikonfirmasi ke sekolah"&amp;IF(""="","","; "&amp;""),"")))</f>
        <v>Harga perlu dikonfirmasi ke sekolah</v>
      </c>
      <c r="J366" s="0" t="s">
        <v>3887</v>
      </c>
      <c r="K366" s="0" t="n">
        <f aca="false">IF(M366=2,"",IF(ISNUMBER(SEARCH("rata-rata:",'Onshore- Melbourne'!M374)),VALUE(MID('Onshore- Melbourne'!M374,SEARCH("rata-rata:",'Onshore- Melbourne'!M374)+11,FIND(";",'Onshore- Melbourne'!M374&amp;";",SEARCH("rata-rata:",'Onshore- Melbourne'!M374))-SEARCH("rata-rata:",'Onshore- Melbourne'!M374)-11)),IF('Onshore- Melbourne'!D374="Semester",'Onshore- Melbourne'!E374*2,IF('Onshore- Melbourne'!D374="Trimester",'Onshore- Melbourne'!E374*3,IF('Onshore- Melbourne'!D374="Term",'Onshore- Melbourne'!E374*4,IF('Onshore- Melbourne'!D374="Unit",'Onshore- Melbourne'!E374*8,""))))))</f>
        <v>18000</v>
      </c>
      <c r="L366" s="0" t="n">
        <f aca="false">IF(AND(ISNUMBER('Onshore- Melbourne'!E374),ISNUMBER(K366),ISNUMBER('Onshore- Melbourne'!F374),ISNUMBER('Onshore- Melbourne'!G374),OR('Onshore- Melbourne'!F374&lt;&gt;0,ISNUMBER(SEARCH("Material 0 terverifikasi",'Onshore- Melbourne'!M374))),OR('Onshore- Melbourne'!G374&lt;&gt;0,ISNUMBER(SEARCH("Enrolment 0 terverifikasi",'Onshore- Melbourne'!M374)))),1,0)</f>
        <v>1</v>
      </c>
      <c r="M366" s="0" t="n">
        <f aca="false">IF(OR('Onshore- Melbourne'!E374="",ISNUMBER(SEARCH("BSB80120",'Onshore- Melbourne'!B374&amp;'Onshore- Melbourne'!M374)),ISNUMBER(SEARCH("Management (Learning)",'Onshore- Melbourne'!B374))),2,IF(ISNUMBER(SEARCH("CEK:",'Onshore- Melbourne'!M374)),1,0))</f>
        <v>1</v>
      </c>
    </row>
    <row r="367" customFormat="false" ht="15" hidden="false" customHeight="false" outlineLevel="0" collapsed="false">
      <c r="A367" s="63" t="s">
        <v>3544</v>
      </c>
      <c r="B367" s="64" t="s">
        <v>3833</v>
      </c>
      <c r="C367" s="63" t="s">
        <v>43</v>
      </c>
      <c r="D367" s="64" t="str">
        <f aca="false">TRIM(LEFT('Onshore- Melbourne'!A392,FIND(CHAR(10),'Onshore- Melbourne'!A392&amp;CHAR(10))-1))</f>
        <v>Ozford Institute of Higher Education</v>
      </c>
      <c r="E367" s="63" t="str">
        <f aca="false">'Onshore- Melbourne'!C392&amp;""</f>
        <v>3 years</v>
      </c>
      <c r="F367" s="63" t="str">
        <f aca="false">IF('Onshore- Melbourne'!D392="","Belum tercatat",'Onshore- Melbourne'!D392)</f>
        <v>Term</v>
      </c>
      <c r="G367" s="65" t="n">
        <f aca="false">IF('Onshore- Melbourne'!E392="","-",'Onshore- Melbourne'!E392)</f>
        <v>4650</v>
      </c>
      <c r="H367" s="63" t="n">
        <f aca="false">IF(ISNUMBER(K367),COUNTIFS($J$6:$J$1916,J367,$K$6:$K$1916,"&lt;"&amp;K367)+1,"-")</f>
        <v>9</v>
      </c>
      <c r="I367" s="64" t="str">
        <f aca="false">IF('Onshore- Melbourne'!E392="","Harga belum tersedia - hubungi konsultan TEG",IF(M367=2,"Saat ini tidak menerima pendaftaran siswa internasional baru",IF(M367=1,"Harga perlu dikonfirmasi ke sekolah"&amp;IF(""="","","; "&amp;""),"")))</f>
        <v>Harga perlu dikonfirmasi ke sekolah</v>
      </c>
      <c r="J367" s="0" t="s">
        <v>3887</v>
      </c>
      <c r="K367" s="0" t="n">
        <f aca="false">IF(M367=2,"",IF(ISNUMBER(SEARCH("rata-rata:",'Onshore- Melbourne'!M392)),VALUE(MID('Onshore- Melbourne'!M392,SEARCH("rata-rata:",'Onshore- Melbourne'!M392)+11,FIND(";",'Onshore- Melbourne'!M392&amp;";",SEARCH("rata-rata:",'Onshore- Melbourne'!M392))-SEARCH("rata-rata:",'Onshore- Melbourne'!M392)-11)),IF('Onshore- Melbourne'!D392="Semester",'Onshore- Melbourne'!E392*2,IF('Onshore- Melbourne'!D392="Trimester",'Onshore- Melbourne'!E392*3,IF('Onshore- Melbourne'!D392="Term",'Onshore- Melbourne'!E392*4,IF('Onshore- Melbourne'!D392="Unit",'Onshore- Melbourne'!E392*8,""))))))</f>
        <v>18600</v>
      </c>
      <c r="L367" s="0" t="n">
        <f aca="false">IF(AND(ISNUMBER('Onshore- Melbourne'!E392),ISNUMBER(K367),ISNUMBER('Onshore- Melbourne'!F392),ISNUMBER('Onshore- Melbourne'!G392),OR('Onshore- Melbourne'!F392&lt;&gt;0,ISNUMBER(SEARCH("Material 0 terverifikasi",'Onshore- Melbourne'!M392))),OR('Onshore- Melbourne'!G392&lt;&gt;0,ISNUMBER(SEARCH("Enrolment 0 terverifikasi",'Onshore- Melbourne'!M392)))),1,0)</f>
        <v>1</v>
      </c>
      <c r="M367" s="0" t="n">
        <f aca="false">IF(OR('Onshore- Melbourne'!E392="",ISNUMBER(SEARCH("BSB80120",'Onshore- Melbourne'!B392&amp;'Onshore- Melbourne'!M392)),ISNUMBER(SEARCH("Management (Learning)",'Onshore- Melbourne'!B392))),2,IF(ISNUMBER(SEARCH("CEK:",'Onshore- Melbourne'!M392)),1,0))</f>
        <v>1</v>
      </c>
    </row>
    <row r="368" customFormat="false" ht="15" hidden="false" customHeight="false" outlineLevel="0" collapsed="false">
      <c r="A368" s="63" t="s">
        <v>3544</v>
      </c>
      <c r="B368" s="64" t="s">
        <v>3833</v>
      </c>
      <c r="C368" s="63" t="s">
        <v>43</v>
      </c>
      <c r="D368" s="64" t="str">
        <f aca="false">TRIM(LEFT('Onshore- Melbourne'!A6,FIND(CHAR(10),'Onshore- Melbourne'!A6&amp;CHAR(10))-1))</f>
        <v>Academies Australasia</v>
      </c>
      <c r="E368" s="63" t="str">
        <f aca="false">'Onshore- Melbourne'!C6&amp;""</f>
        <v>3 years</v>
      </c>
      <c r="F368" s="63" t="str">
        <f aca="false">IF('Onshore- Melbourne'!D6="","Belum tercatat",'Onshore- Melbourne'!D6)</f>
        <v>Term</v>
      </c>
      <c r="G368" s="65" t="n">
        <f aca="false">IF('Onshore- Melbourne'!E6="","-",'Onshore- Melbourne'!E6)</f>
        <v>5000</v>
      </c>
      <c r="H368" s="63" t="n">
        <f aca="false">IF(ISNUMBER(K368),COUNTIFS($J$6:$J$1916,J368,$K$6:$K$1916,"&lt;"&amp;K368)+1,"-")</f>
        <v>10</v>
      </c>
      <c r="I368" s="64" t="str">
        <f aca="false">IF('Onshore- Melbourne'!E6="","Harga belum tersedia - hubungi konsultan TEG",IF(M368=2,"Saat ini tidak menerima pendaftaran siswa internasional baru",IF(M368=1,"Harga perlu dikonfirmasi ke sekolah"&amp;IF(""="","","; "&amp;""),"")))</f>
        <v/>
      </c>
      <c r="J368" s="0" t="s">
        <v>3887</v>
      </c>
      <c r="K368" s="0" t="n">
        <f aca="false">IF(M368=2,"",IF(ISNUMBER(SEARCH("rata-rata:",'Onshore- Melbourne'!M6)),VALUE(MID('Onshore- Melbourne'!M6,SEARCH("rata-rata:",'Onshore- Melbourne'!M6)+11,FIND(";",'Onshore- Melbourne'!M6&amp;";",SEARCH("rata-rata:",'Onshore- Melbourne'!M6))-SEARCH("rata-rata:",'Onshore- Melbourne'!M6)-11)),IF('Onshore- Melbourne'!D6="Semester",'Onshore- Melbourne'!E6*2,IF('Onshore- Melbourne'!D6="Trimester",'Onshore- Melbourne'!E6*3,IF('Onshore- Melbourne'!D6="Term",'Onshore- Melbourne'!E6*4,IF('Onshore- Melbourne'!D6="Unit",'Onshore- Melbourne'!E6*8,""))))))</f>
        <v>20000</v>
      </c>
      <c r="L368" s="0" t="n">
        <f aca="false">IF(AND(ISNUMBER('Onshore- Melbourne'!E6),ISNUMBER(K368),ISNUMBER('Onshore- Melbourne'!F6),ISNUMBER('Onshore- Melbourne'!G6),OR('Onshore- Melbourne'!F6&lt;&gt;0,ISNUMBER(SEARCH("Material 0 terverifikasi",'Onshore- Melbourne'!M6))),OR('Onshore- Melbourne'!G6&lt;&gt;0,ISNUMBER(SEARCH("Enrolment 0 terverifikasi",'Onshore- Melbourne'!M6)))),1,0)</f>
        <v>1</v>
      </c>
      <c r="M368" s="0" t="n">
        <f aca="false">IF(OR('Onshore- Melbourne'!E6="",ISNUMBER(SEARCH("BSB80120",'Onshore- Melbourne'!B6&amp;'Onshore- Melbourne'!M6)),ISNUMBER(SEARCH("Management (Learning)",'Onshore- Melbourne'!B6))),2,IF(ISNUMBER(SEARCH("CEK:",'Onshore- Melbourne'!M6)),1,0))</f>
        <v>0</v>
      </c>
    </row>
    <row r="369" customFormat="false" ht="15" hidden="false" customHeight="false" outlineLevel="0" collapsed="false">
      <c r="A369" s="63" t="s">
        <v>3544</v>
      </c>
      <c r="B369" s="64" t="s">
        <v>3833</v>
      </c>
      <c r="C369" s="63" t="s">
        <v>43</v>
      </c>
      <c r="D369" s="64" t="str">
        <f aca="false">TRIM(LEFT('Onshore- Melbourne'!A461,FIND(CHAR(10),'Onshore- Melbourne'!A461&amp;CHAR(10))-1))</f>
        <v>Torrens University Australia</v>
      </c>
      <c r="E369" s="63" t="str">
        <f aca="false">'Onshore- Melbourne'!C462&amp;""</f>
        <v>3 years</v>
      </c>
      <c r="F369" s="63" t="str">
        <f aca="false">IF('Onshore- Melbourne'!D462="","Belum tercatat",'Onshore- Melbourne'!D462)</f>
        <v>Term</v>
      </c>
      <c r="G369" s="65" t="n">
        <f aca="false">IF('Onshore- Melbourne'!E462="","-",'Onshore- Melbourne'!E462)</f>
        <v>7900</v>
      </c>
      <c r="H369" s="63" t="n">
        <f aca="false">IF(ISNUMBER(K369),COUNTIFS($J$6:$J$1916,J369,$K$6:$K$1916,"&lt;"&amp;K369)+1,"-")</f>
        <v>11</v>
      </c>
      <c r="I369" s="64" t="str">
        <f aca="false">IF('Onshore- Melbourne'!E462="","Harga belum tersedia - hubungi konsultan TEG",IF(M369=2,"Saat ini tidak menerima pendaftaran siswa internasional baru",IF(M369=1,"Harga perlu dikonfirmasi ke sekolah"&amp;IF(""="","","; "&amp;""),"")))</f>
        <v/>
      </c>
      <c r="J369" s="0" t="s">
        <v>3887</v>
      </c>
      <c r="K369" s="0" t="n">
        <f aca="false">IF(M369=2,"",IF(ISNUMBER(SEARCH("rata-rata:",'Onshore- Melbourne'!M462)),VALUE(MID('Onshore- Melbourne'!M462,SEARCH("rata-rata:",'Onshore- Melbourne'!M462)+11,FIND(";",'Onshore- Melbourne'!M462&amp;";",SEARCH("rata-rata:",'Onshore- Melbourne'!M462))-SEARCH("rata-rata:",'Onshore- Melbourne'!M462)-11)),IF('Onshore- Melbourne'!D462="Semester",'Onshore- Melbourne'!E462*2,IF('Onshore- Melbourne'!D462="Trimester",'Onshore- Melbourne'!E462*3,IF('Onshore- Melbourne'!D462="Term",'Onshore- Melbourne'!E462*4,IF('Onshore- Melbourne'!D462="Unit",'Onshore- Melbourne'!E462*8,""))))))</f>
        <v>31600</v>
      </c>
      <c r="L369" s="0" t="n">
        <f aca="false">IF(AND(ISNUMBER('Onshore- Melbourne'!E462),ISNUMBER(K369),ISNUMBER('Onshore- Melbourne'!F462),ISNUMBER('Onshore- Melbourne'!G462),OR('Onshore- Melbourne'!F462&lt;&gt;0,ISNUMBER(SEARCH("Material 0 terverifikasi",'Onshore- Melbourne'!M462))),OR('Onshore- Melbourne'!G462&lt;&gt;0,ISNUMBER(SEARCH("Enrolment 0 terverifikasi",'Onshore- Melbourne'!M462)))),1,0)</f>
        <v>0</v>
      </c>
      <c r="M369" s="0" t="n">
        <f aca="false">IF(OR('Onshore- Melbourne'!E462="",ISNUMBER(SEARCH("BSB80120",'Onshore- Melbourne'!B462&amp;'Onshore- Melbourne'!M462)),ISNUMBER(SEARCH("Management (Learning)",'Onshore- Melbourne'!B462))),2,IF(ISNUMBER(SEARCH("CEK:",'Onshore- Melbourne'!M462)),1,0))</f>
        <v>0</v>
      </c>
    </row>
    <row r="370" customFormat="false" ht="15" hidden="false" customHeight="false" outlineLevel="0" collapsed="false">
      <c r="A370" s="63" t="s">
        <v>3544</v>
      </c>
      <c r="B370" s="64" t="s">
        <v>3833</v>
      </c>
      <c r="C370" s="63" t="s">
        <v>43</v>
      </c>
      <c r="D370" s="64" t="str">
        <f aca="false">TRIM(LEFT('Onshore- Melbourne'!A304,FIND(CHAR(10),'Onshore- Melbourne'!A304&amp;CHAR(10))-1))</f>
        <v>Kaplan Business School</v>
      </c>
      <c r="E370" s="63" t="str">
        <f aca="false">'Onshore- Melbourne'!C305&amp;""</f>
        <v>3 years</v>
      </c>
      <c r="F370" s="63" t="str">
        <f aca="false">IF('Onshore- Melbourne'!D305="","Belum tercatat",'Onshore- Melbourne'!D305)</f>
        <v>Trimester</v>
      </c>
      <c r="G370" s="65" t="n">
        <f aca="false">IF('Onshore- Melbourne'!E305="","-",'Onshore- Melbourne'!E305)</f>
        <v>11520</v>
      </c>
      <c r="H370" s="63" t="n">
        <f aca="false">IF(ISNUMBER(K370),COUNTIFS($J$6:$J$1916,J370,$K$6:$K$1916,"&lt;"&amp;K370)+1,"-")</f>
        <v>12</v>
      </c>
      <c r="I370" s="64" t="str">
        <f aca="false">IF('Onshore- Melbourne'!E305="","Harga belum tersedia - hubungi konsultan TEG",IF(M370=2,"Saat ini tidak menerima pendaftaran siswa internasional baru",IF(M370=1,"Harga perlu dikonfirmasi ke sekolah"&amp;IF(""="","","; "&amp;""),"")))</f>
        <v>Harga perlu dikonfirmasi ke sekolah</v>
      </c>
      <c r="J370" s="0" t="s">
        <v>3887</v>
      </c>
      <c r="K370" s="0" t="n">
        <f aca="false">IF(M370=2,"",IF(ISNUMBER(SEARCH("rata-rata:",'Onshore- Melbourne'!M305)),VALUE(MID('Onshore- Melbourne'!M305,SEARCH("rata-rata:",'Onshore- Melbourne'!M305)+11,FIND(";",'Onshore- Melbourne'!M305&amp;";",SEARCH("rata-rata:",'Onshore- Melbourne'!M305))-SEARCH("rata-rata:",'Onshore- Melbourne'!M305)-11)),IF('Onshore- Melbourne'!D305="Semester",'Onshore- Melbourne'!E305*2,IF('Onshore- Melbourne'!D305="Trimester",'Onshore- Melbourne'!E305*3,IF('Onshore- Melbourne'!D305="Term",'Onshore- Melbourne'!E305*4,IF('Onshore- Melbourne'!D305="Unit",'Onshore- Melbourne'!E305*8,""))))))</f>
        <v>34560</v>
      </c>
      <c r="L370" s="0" t="n">
        <f aca="false">IF(AND(ISNUMBER('Onshore- Melbourne'!E305),ISNUMBER(K370),ISNUMBER('Onshore- Melbourne'!F305),ISNUMBER('Onshore- Melbourne'!G305),OR('Onshore- Melbourne'!F305&lt;&gt;0,ISNUMBER(SEARCH("Material 0 terverifikasi",'Onshore- Melbourne'!M305))),OR('Onshore- Melbourne'!G305&lt;&gt;0,ISNUMBER(SEARCH("Enrolment 0 terverifikasi",'Onshore- Melbourne'!M305)))),1,0)</f>
        <v>1</v>
      </c>
      <c r="M370" s="0" t="n">
        <f aca="false">IF(OR('Onshore- Melbourne'!E305="",ISNUMBER(SEARCH("BSB80120",'Onshore- Melbourne'!B305&amp;'Onshore- Melbourne'!M305)),ISNUMBER(SEARCH("Management (Learning)",'Onshore- Melbourne'!B305))),2,IF(ISNUMBER(SEARCH("CEK:",'Onshore- Melbourne'!M305)),1,0))</f>
        <v>1</v>
      </c>
    </row>
    <row r="371" customFormat="false" ht="15" hidden="false" customHeight="false" outlineLevel="0" collapsed="false">
      <c r="A371" s="63" t="s">
        <v>3544</v>
      </c>
      <c r="B371" s="64" t="s">
        <v>3833</v>
      </c>
      <c r="C371" s="63" t="s">
        <v>43</v>
      </c>
      <c r="D371" s="64" t="str">
        <f aca="false">TRIM(LEFT('Onshore- Melbourne'!A94,FIND(CHAR(10),'Onshore- Melbourne'!A94&amp;CHAR(10))-1))</f>
        <v>Australian Catholic University (ACU)</v>
      </c>
      <c r="E371" s="63" t="str">
        <f aca="false">'Onshore- Melbourne'!C95&amp;""</f>
        <v>4 years</v>
      </c>
      <c r="F371" s="63" t="str">
        <f aca="false">IF('Onshore- Melbourne'!D95="","Belum tercatat",'Onshore- Melbourne'!D95)</f>
        <v>Term</v>
      </c>
      <c r="G371" s="65" t="n">
        <f aca="false">IF('Onshore- Melbourne'!E95="","-",'Onshore- Melbourne'!E95)</f>
        <v>8742</v>
      </c>
      <c r="H371" s="63" t="n">
        <f aca="false">IF(ISNUMBER(K371),COUNTIFS($J$6:$J$1916,J371,$K$6:$K$1916,"&lt;"&amp;K371)+1,"-")</f>
        <v>13</v>
      </c>
      <c r="I371" s="64" t="str">
        <f aca="false">IF('Onshore- Melbourne'!E95="","Harga belum tersedia - hubungi konsultan TEG",IF(M371=2,"Saat ini tidak menerima pendaftaran siswa internasional baru",IF(M371=1,"Harga perlu dikonfirmasi ke sekolah"&amp;IF(""="","","; "&amp;""),"")))</f>
        <v/>
      </c>
      <c r="J371" s="0" t="s">
        <v>3887</v>
      </c>
      <c r="K371" s="0" t="n">
        <f aca="false">IF(M371=2,"",IF(ISNUMBER(SEARCH("rata-rata:",'Onshore- Melbourne'!M95)),VALUE(MID('Onshore- Melbourne'!M95,SEARCH("rata-rata:",'Onshore- Melbourne'!M95)+11,FIND(";",'Onshore- Melbourne'!M95&amp;";",SEARCH("rata-rata:",'Onshore- Melbourne'!M95))-SEARCH("rata-rata:",'Onshore- Melbourne'!M95)-11)),IF('Onshore- Melbourne'!D95="Semester",'Onshore- Melbourne'!E95*2,IF('Onshore- Melbourne'!D95="Trimester",'Onshore- Melbourne'!E95*3,IF('Onshore- Melbourne'!D95="Term",'Onshore- Melbourne'!E95*4,IF('Onshore- Melbourne'!D95="Unit",'Onshore- Melbourne'!E95*8,""))))))</f>
        <v>34968</v>
      </c>
      <c r="L371" s="0" t="n">
        <f aca="false">IF(AND(ISNUMBER('Onshore- Melbourne'!E95),ISNUMBER(K371),ISNUMBER('Onshore- Melbourne'!F95),ISNUMBER('Onshore- Melbourne'!G95),OR('Onshore- Melbourne'!F95&lt;&gt;0,ISNUMBER(SEARCH("Material 0 terverifikasi",'Onshore- Melbourne'!M95))),OR('Onshore- Melbourne'!G95&lt;&gt;0,ISNUMBER(SEARCH("Enrolment 0 terverifikasi",'Onshore- Melbourne'!M95)))),1,0)</f>
        <v>0</v>
      </c>
      <c r="M371" s="0" t="n">
        <f aca="false">IF(OR('Onshore- Melbourne'!E95="",ISNUMBER(SEARCH("BSB80120",'Onshore- Melbourne'!B95&amp;'Onshore- Melbourne'!M95)),ISNUMBER(SEARCH("Management (Learning)",'Onshore- Melbourne'!B95))),2,IF(ISNUMBER(SEARCH("CEK:",'Onshore- Melbourne'!M95)),1,0))</f>
        <v>0</v>
      </c>
    </row>
    <row r="372" customFormat="false" ht="15" hidden="false" customHeight="false" outlineLevel="0" collapsed="false">
      <c r="A372" s="63" t="s">
        <v>3544</v>
      </c>
      <c r="B372" s="64" t="s">
        <v>3833</v>
      </c>
      <c r="C372" s="63" t="s">
        <v>43</v>
      </c>
      <c r="D372" s="64" t="str">
        <f aca="false">TRIM(LEFT('Onshore- Melbourne'!A566,FIND(CHAR(10),'Onshore- Melbourne'!A566&amp;CHAR(10))-1))</f>
        <v>University of Tasmania (UTAS)</v>
      </c>
      <c r="E372" s="63" t="str">
        <f aca="false">'Onshore- Melbourne'!C567&amp;""</f>
        <v>3 years</v>
      </c>
      <c r="F372" s="63" t="str">
        <f aca="false">IF('Onshore- Melbourne'!D567="","Belum tercatat",'Onshore- Melbourne'!D567)</f>
        <v>Term</v>
      </c>
      <c r="G372" s="65" t="n">
        <f aca="false">IF('Onshore- Melbourne'!E567="","-",'Onshore- Melbourne'!E567)</f>
        <v>9487.5</v>
      </c>
      <c r="H372" s="63" t="n">
        <f aca="false">IF(ISNUMBER(K372),COUNTIFS($J$6:$J$1916,J372,$K$6:$K$1916,"&lt;"&amp;K372)+1,"-")</f>
        <v>14</v>
      </c>
      <c r="I372" s="64" t="str">
        <f aca="false">IF('Onshore- Melbourne'!E567="","Harga belum tersedia - hubungi konsultan TEG",IF(M372=2,"Saat ini tidak menerima pendaftaran siswa internasional baru",IF(M372=1,"Harga perlu dikonfirmasi ke sekolah"&amp;IF(""="","","; "&amp;""),"")))</f>
        <v/>
      </c>
      <c r="J372" s="0" t="s">
        <v>3887</v>
      </c>
      <c r="K372" s="0" t="n">
        <f aca="false">IF(M372=2,"",IF(ISNUMBER(SEARCH("rata-rata:",'Onshore- Melbourne'!M567)),VALUE(MID('Onshore- Melbourne'!M567,SEARCH("rata-rata:",'Onshore- Melbourne'!M567)+11,FIND(";",'Onshore- Melbourne'!M567&amp;";",SEARCH("rata-rata:",'Onshore- Melbourne'!M567))-SEARCH("rata-rata:",'Onshore- Melbourne'!M567)-11)),IF('Onshore- Melbourne'!D567="Semester",'Onshore- Melbourne'!E567*2,IF('Onshore- Melbourne'!D567="Trimester",'Onshore- Melbourne'!E567*3,IF('Onshore- Melbourne'!D567="Term",'Onshore- Melbourne'!E567*4,IF('Onshore- Melbourne'!D567="Unit",'Onshore- Melbourne'!E567*8,""))))))</f>
        <v>37950</v>
      </c>
      <c r="L372" s="0" t="n">
        <f aca="false">IF(AND(ISNUMBER('Onshore- Melbourne'!E567),ISNUMBER(K372),ISNUMBER('Onshore- Melbourne'!F567),ISNUMBER('Onshore- Melbourne'!G567),OR('Onshore- Melbourne'!F567&lt;&gt;0,ISNUMBER(SEARCH("Material 0 terverifikasi",'Onshore- Melbourne'!M567))),OR('Onshore- Melbourne'!G567&lt;&gt;0,ISNUMBER(SEARCH("Enrolment 0 terverifikasi",'Onshore- Melbourne'!M567)))),1,0)</f>
        <v>0</v>
      </c>
      <c r="M372" s="0" t="n">
        <f aca="false">IF(OR('Onshore- Melbourne'!E567="",ISNUMBER(SEARCH("BSB80120",'Onshore- Melbourne'!B567&amp;'Onshore- Melbourne'!M567)),ISNUMBER(SEARCH("Management (Learning)",'Onshore- Melbourne'!B567))),2,IF(ISNUMBER(SEARCH("CEK:",'Onshore- Melbourne'!M567)),1,0))</f>
        <v>0</v>
      </c>
    </row>
    <row r="373" customFormat="false" ht="15" hidden="false" customHeight="false" outlineLevel="0" collapsed="false">
      <c r="A373" s="61" t="s">
        <v>3888</v>
      </c>
      <c r="B373" s="62"/>
      <c r="C373" s="62"/>
      <c r="D373" s="62"/>
      <c r="E373" s="62"/>
      <c r="F373" s="62"/>
      <c r="G373" s="62"/>
      <c r="H373" s="62"/>
      <c r="I373" s="62"/>
    </row>
    <row r="374" customFormat="false" ht="15" hidden="false" customHeight="false" outlineLevel="0" collapsed="false">
      <c r="A374" s="63" t="s">
        <v>3544</v>
      </c>
      <c r="B374" s="64" t="s">
        <v>3833</v>
      </c>
      <c r="C374" s="63" t="s">
        <v>3707</v>
      </c>
      <c r="D374" s="64" t="str">
        <f aca="false">TRIM(LEFT('Onshore- Melbourne'!A561,FIND(CHAR(10),'Onshore- Melbourne'!A561&amp;CHAR(10))-1))</f>
        <v>TR4INRIGHT</v>
      </c>
      <c r="E374" s="63" t="str">
        <f aca="false">'Onshore- Melbourne'!C565&amp;""</f>
        <v>2 years</v>
      </c>
      <c r="F374" s="63" t="str">
        <f aca="false">IF('Onshore- Melbourne'!D565="","Belum tercatat",'Onshore- Melbourne'!D565)</f>
        <v>Term</v>
      </c>
      <c r="G374" s="65" t="n">
        <f aca="false">IF('Onshore- Melbourne'!E565="","-",'Onshore- Melbourne'!E565)</f>
        <v>1565</v>
      </c>
      <c r="H374" s="63" t="n">
        <f aca="false">IF(ISNUMBER(K374),COUNTIFS($J$6:$J$1916,J374,$K$6:$K$1916,"&lt;"&amp;K374)+1,"-")</f>
        <v>1</v>
      </c>
      <c r="I374" s="64" t="str">
        <f aca="false">IF('Onshore- Melbourne'!E565="","Harga belum tersedia - hubungi konsultan TEG",IF(M374=2,"Saat ini tidak menerima pendaftaran siswa internasional baru",IF(M374=1,"Harga perlu dikonfirmasi ke sekolah"&amp;IF(""="","","; "&amp;""),"")))</f>
        <v/>
      </c>
      <c r="J374" s="0" t="s">
        <v>3889</v>
      </c>
      <c r="K374" s="0" t="n">
        <f aca="false">IF(M374=2,"",IF(ISNUMBER(SEARCH("rata-rata:",'Onshore- Melbourne'!M565)),VALUE(MID('Onshore- Melbourne'!M565,SEARCH("rata-rata:",'Onshore- Melbourne'!M565)+11,FIND(";",'Onshore- Melbourne'!M565&amp;";",SEARCH("rata-rata:",'Onshore- Melbourne'!M565))-SEARCH("rata-rata:",'Onshore- Melbourne'!M565)-11)),IF('Onshore- Melbourne'!D565="Semester",'Onshore- Melbourne'!E565*2,IF('Onshore- Melbourne'!D565="Trimester",'Onshore- Melbourne'!E565*3,IF('Onshore- Melbourne'!D565="Term",'Onshore- Melbourne'!E565*4,IF('Onshore- Melbourne'!D565="Unit",'Onshore- Melbourne'!E565*8,""))))))</f>
        <v>6260</v>
      </c>
      <c r="L374" s="0" t="n">
        <f aca="false">IF(AND(ISNUMBER('Onshore- Melbourne'!E565),ISNUMBER(K374),ISNUMBER('Onshore- Melbourne'!F565),ISNUMBER('Onshore- Melbourne'!G565),OR('Onshore- Melbourne'!F565&lt;&gt;0,ISNUMBER(SEARCH("Material 0 terverifikasi",'Onshore- Melbourne'!M565))),OR('Onshore- Melbourne'!G565&lt;&gt;0,ISNUMBER(SEARCH("Enrolment 0 terverifikasi",'Onshore- Melbourne'!M565)))),1,0)</f>
        <v>1</v>
      </c>
      <c r="M374" s="0" t="n">
        <f aca="false">IF(OR('Onshore- Melbourne'!E565="",ISNUMBER(SEARCH("BSB80120",'Onshore- Melbourne'!B565&amp;'Onshore- Melbourne'!M565)),ISNUMBER(SEARCH("Management (Learning)",'Onshore- Melbourne'!B565))),2,IF(ISNUMBER(SEARCH("CEK:",'Onshore- Melbourne'!M565)),1,0))</f>
        <v>0</v>
      </c>
    </row>
    <row r="375" customFormat="false" ht="15" hidden="false" customHeight="false" outlineLevel="0" collapsed="false">
      <c r="A375" s="63" t="s">
        <v>3544</v>
      </c>
      <c r="B375" s="64" t="s">
        <v>3833</v>
      </c>
      <c r="C375" s="63" t="s">
        <v>3707</v>
      </c>
      <c r="D375" s="64" t="str">
        <f aca="false">TRIM(LEFT('Onshore- Melbourne'!A29,FIND(CHAR(10),'Onshore- Melbourne'!A29&amp;CHAR(10))-1))</f>
        <v>AIBI Higher Education</v>
      </c>
      <c r="E375" s="63" t="str">
        <f aca="false">'Onshore- Melbourne'!C40&amp;""</f>
        <v>8 months</v>
      </c>
      <c r="F375" s="63" t="str">
        <f aca="false">IF('Onshore- Melbourne'!D40="","Belum tercatat",'Onshore- Melbourne'!D40)</f>
        <v>Term</v>
      </c>
      <c r="G375" s="65" t="n">
        <f aca="false">IF('Onshore- Melbourne'!E40="","-",'Onshore- Melbourne'!E40)</f>
        <v>2700</v>
      </c>
      <c r="H375" s="63" t="n">
        <f aca="false">IF(ISNUMBER(K375),COUNTIFS($J$6:$J$1916,J375,$K$6:$K$1916,"&lt;"&amp;K375)+1,"-")</f>
        <v>2</v>
      </c>
      <c r="I375" s="64" t="str">
        <f aca="false">IF('Onshore- Melbourne'!E40="","Harga belum tersedia - hubungi konsultan TEG",IF(M375=2,"Saat ini tidak menerima pendaftaran siswa internasional baru",IF(M375=1,"Harga perlu dikonfirmasi ke sekolah"&amp;IF(""="","","; "&amp;""),"")))</f>
        <v>Harga perlu dikonfirmasi ke sekolah</v>
      </c>
      <c r="J375" s="0" t="s">
        <v>3889</v>
      </c>
      <c r="K375" s="0" t="n">
        <f aca="false">IF(M375=2,"",IF(ISNUMBER(SEARCH("rata-rata:",'Onshore- Melbourne'!M40)),VALUE(MID('Onshore- Melbourne'!M40,SEARCH("rata-rata:",'Onshore- Melbourne'!M40)+11,FIND(";",'Onshore- Melbourne'!M40&amp;";",SEARCH("rata-rata:",'Onshore- Melbourne'!M40))-SEARCH("rata-rata:",'Onshore- Melbourne'!M40)-11)),IF('Onshore- Melbourne'!D40="Semester",'Onshore- Melbourne'!E40*2,IF('Onshore- Melbourne'!D40="Trimester",'Onshore- Melbourne'!E40*3,IF('Onshore- Melbourne'!D40="Term",'Onshore- Melbourne'!E40*4,IF('Onshore- Melbourne'!D40="Unit",'Onshore- Melbourne'!E40*8,""))))))</f>
        <v>10800</v>
      </c>
      <c r="L375" s="0" t="n">
        <f aca="false">IF(AND(ISNUMBER('Onshore- Melbourne'!E40),ISNUMBER(K375),ISNUMBER('Onshore- Melbourne'!F40),ISNUMBER('Onshore- Melbourne'!G40),OR('Onshore- Melbourne'!F40&lt;&gt;0,ISNUMBER(SEARCH("Material 0 terverifikasi",'Onshore- Melbourne'!M40))),OR('Onshore- Melbourne'!G40&lt;&gt;0,ISNUMBER(SEARCH("Enrolment 0 terverifikasi",'Onshore- Melbourne'!M40)))),1,0)</f>
        <v>0</v>
      </c>
      <c r="M375" s="0" t="n">
        <f aca="false">IF(OR('Onshore- Melbourne'!E40="",ISNUMBER(SEARCH("BSB80120",'Onshore- Melbourne'!B40&amp;'Onshore- Melbourne'!M40)),ISNUMBER(SEARCH("Management (Learning)",'Onshore- Melbourne'!B40))),2,IF(ISNUMBER(SEARCH("CEK:",'Onshore- Melbourne'!M40)),1,0))</f>
        <v>1</v>
      </c>
    </row>
    <row r="376" customFormat="false" ht="15" hidden="false" customHeight="false" outlineLevel="0" collapsed="false">
      <c r="A376" s="63" t="s">
        <v>3544</v>
      </c>
      <c r="B376" s="64" t="s">
        <v>3833</v>
      </c>
      <c r="C376" s="63" t="s">
        <v>3707</v>
      </c>
      <c r="D376" s="64" t="str">
        <f aca="false">TRIM(LEFT('Onshore- Melbourne'!A445,FIND(CHAR(10),'Onshore- Melbourne'!A445&amp;CHAR(10))-1))</f>
        <v>The Institute of International Studies (TIIS)</v>
      </c>
      <c r="E376" s="63" t="str">
        <f aca="false">'Onshore- Melbourne'!C446&amp;""</f>
        <v>0,5 years</v>
      </c>
      <c r="F376" s="63" t="str">
        <f aca="false">IF('Onshore- Melbourne'!D446="","Belum tercatat",'Onshore- Melbourne'!D446)</f>
        <v>Term</v>
      </c>
      <c r="G376" s="65" t="n">
        <f aca="false">IF('Onshore- Melbourne'!E446="","-",'Onshore- Melbourne'!E446)</f>
        <v>4100</v>
      </c>
      <c r="H376" s="63" t="n">
        <f aca="false">IF(ISNUMBER(K376),COUNTIFS($J$6:$J$1916,J376,$K$6:$K$1916,"&lt;"&amp;K376)+1,"-")</f>
        <v>3</v>
      </c>
      <c r="I376" s="64" t="str">
        <f aca="false">IF('Onshore- Melbourne'!E446="","Harga belum tersedia - hubungi konsultan TEG",IF(M376=2,"Saat ini tidak menerima pendaftaran siswa internasional baru",IF(M376=1,"Harga perlu dikonfirmasi ke sekolah"&amp;IF(""="","","; "&amp;""),"")))</f>
        <v/>
      </c>
      <c r="J376" s="0" t="s">
        <v>3889</v>
      </c>
      <c r="K376" s="0" t="n">
        <f aca="false">IF(M376=2,"",IF(ISNUMBER(SEARCH("rata-rata:",'Onshore- Melbourne'!M446)),VALUE(MID('Onshore- Melbourne'!M446,SEARCH("rata-rata:",'Onshore- Melbourne'!M446)+11,FIND(";",'Onshore- Melbourne'!M446&amp;";",SEARCH("rata-rata:",'Onshore- Melbourne'!M446))-SEARCH("rata-rata:",'Onshore- Melbourne'!M446)-11)),IF('Onshore- Melbourne'!D446="Semester",'Onshore- Melbourne'!E446*2,IF('Onshore- Melbourne'!D446="Trimester",'Onshore- Melbourne'!E446*3,IF('Onshore- Melbourne'!D446="Term",'Onshore- Melbourne'!E446*4,IF('Onshore- Melbourne'!D446="Unit",'Onshore- Melbourne'!E446*8,""))))))</f>
        <v>16400</v>
      </c>
      <c r="L376" s="0" t="n">
        <f aca="false">IF(AND(ISNUMBER('Onshore- Melbourne'!E446),ISNUMBER(K376),ISNUMBER('Onshore- Melbourne'!F446),ISNUMBER('Onshore- Melbourne'!G446),OR('Onshore- Melbourne'!F446&lt;&gt;0,ISNUMBER(SEARCH("Material 0 terverifikasi",'Onshore- Melbourne'!M446))),OR('Onshore- Melbourne'!G446&lt;&gt;0,ISNUMBER(SEARCH("Enrolment 0 terverifikasi",'Onshore- Melbourne'!M446)))),1,0)</f>
        <v>0</v>
      </c>
      <c r="M376" s="0" t="n">
        <f aca="false">IF(OR('Onshore- Melbourne'!E446="",ISNUMBER(SEARCH("BSB80120",'Onshore- Melbourne'!B446&amp;'Onshore- Melbourne'!M446)),ISNUMBER(SEARCH("Management (Learning)",'Onshore- Melbourne'!B446))),2,IF(ISNUMBER(SEARCH("CEK:",'Onshore- Melbourne'!M446)),1,0))</f>
        <v>0</v>
      </c>
    </row>
    <row r="377" customFormat="false" ht="15" hidden="false" customHeight="false" outlineLevel="0" collapsed="false">
      <c r="A377" s="63" t="s">
        <v>3544</v>
      </c>
      <c r="B377" s="64" t="s">
        <v>3833</v>
      </c>
      <c r="C377" s="63" t="s">
        <v>3707</v>
      </c>
      <c r="D377" s="64" t="str">
        <f aca="false">TRIM(LEFT('Onshore- Melbourne'!A461,FIND(CHAR(10),'Onshore- Melbourne'!A461&amp;CHAR(10))-1))</f>
        <v>Torrens University Australia</v>
      </c>
      <c r="E377" s="63" t="str">
        <f aca="false">'Onshore- Melbourne'!C474&amp;""</f>
        <v>0,5 year</v>
      </c>
      <c r="F377" s="63" t="str">
        <f aca="false">IF('Onshore- Melbourne'!D474="","Belum tercatat",'Onshore- Melbourne'!D474)</f>
        <v>Term</v>
      </c>
      <c r="G377" s="65" t="n">
        <f aca="false">IF('Onshore- Melbourne'!E474="","-",'Onshore- Melbourne'!E474)</f>
        <v>4500</v>
      </c>
      <c r="H377" s="63" t="n">
        <f aca="false">IF(ISNUMBER(K377),COUNTIFS($J$6:$J$1916,J377,$K$6:$K$1916,"&lt;"&amp;K377)+1,"-")</f>
        <v>4</v>
      </c>
      <c r="I377" s="64" t="str">
        <f aca="false">IF('Onshore- Melbourne'!E474="","Harga belum tersedia - hubungi konsultan TEG",IF(M377=2,"Saat ini tidak menerima pendaftaran siswa internasional baru",IF(M377=1,"Harga perlu dikonfirmasi ke sekolah"&amp;IF(""="","","; "&amp;""),"")))</f>
        <v/>
      </c>
      <c r="J377" s="0" t="s">
        <v>3889</v>
      </c>
      <c r="K377" s="0" t="n">
        <f aca="false">IF(M377=2,"",IF(ISNUMBER(SEARCH("rata-rata:",'Onshore- Melbourne'!M474)),VALUE(MID('Onshore- Melbourne'!M474,SEARCH("rata-rata:",'Onshore- Melbourne'!M474)+11,FIND(";",'Onshore- Melbourne'!M474&amp;";",SEARCH("rata-rata:",'Onshore- Melbourne'!M474))-SEARCH("rata-rata:",'Onshore- Melbourne'!M474)-11)),IF('Onshore- Melbourne'!D474="Semester",'Onshore- Melbourne'!E474*2,IF('Onshore- Melbourne'!D474="Trimester",'Onshore- Melbourne'!E474*3,IF('Onshore- Melbourne'!D474="Term",'Onshore- Melbourne'!E474*4,IF('Onshore- Melbourne'!D474="Unit",'Onshore- Melbourne'!E474*8,""))))))</f>
        <v>18000</v>
      </c>
      <c r="L377" s="0" t="n">
        <f aca="false">IF(AND(ISNUMBER('Onshore- Melbourne'!E474),ISNUMBER(K377),ISNUMBER('Onshore- Melbourne'!F474),ISNUMBER('Onshore- Melbourne'!G474),OR('Onshore- Melbourne'!F474&lt;&gt;0,ISNUMBER(SEARCH("Material 0 terverifikasi",'Onshore- Melbourne'!M474))),OR('Onshore- Melbourne'!G474&lt;&gt;0,ISNUMBER(SEARCH("Enrolment 0 terverifikasi",'Onshore- Melbourne'!M474)))),1,0)</f>
        <v>0</v>
      </c>
      <c r="M377" s="0" t="n">
        <f aca="false">IF(OR('Onshore- Melbourne'!E474="",ISNUMBER(SEARCH("BSB80120",'Onshore- Melbourne'!B474&amp;'Onshore- Melbourne'!M474)),ISNUMBER(SEARCH("Management (Learning)",'Onshore- Melbourne'!B474))),2,IF(ISNUMBER(SEARCH("CEK:",'Onshore- Melbourne'!M474)),1,0))</f>
        <v>0</v>
      </c>
    </row>
    <row r="378" customFormat="false" ht="15" hidden="false" customHeight="false" outlineLevel="0" collapsed="false">
      <c r="A378" s="63" t="s">
        <v>3544</v>
      </c>
      <c r="B378" s="64" t="s">
        <v>3833</v>
      </c>
      <c r="C378" s="63" t="s">
        <v>3707</v>
      </c>
      <c r="D378" s="64" t="str">
        <f aca="false">TRIM(LEFT('Onshore- Melbourne'!A94,FIND(CHAR(10),'Onshore- Melbourne'!A94&amp;CHAR(10))-1))</f>
        <v>Australian Catholic University (ACU)</v>
      </c>
      <c r="E378" s="63" t="str">
        <f aca="false">'Onshore- Melbourne'!C119&amp;""</f>
        <v>0,5 year</v>
      </c>
      <c r="F378" s="63" t="str">
        <f aca="false">IF('Onshore- Melbourne'!D119="","Belum tercatat",'Onshore- Melbourne'!D119)</f>
        <v>Term</v>
      </c>
      <c r="G378" s="65" t="n">
        <f aca="false">IF('Onshore- Melbourne'!E119="","-",'Onshore- Melbourne'!E119)</f>
        <v>4614</v>
      </c>
      <c r="H378" s="63" t="n">
        <f aca="false">IF(ISNUMBER(K378),COUNTIFS($J$6:$J$1916,J378,$K$6:$K$1916,"&lt;"&amp;K378)+1,"-")</f>
        <v>5</v>
      </c>
      <c r="I378" s="64" t="str">
        <f aca="false">IF('Onshore- Melbourne'!E119="","Harga belum tersedia - hubungi konsultan TEG",IF(M378=2,"Saat ini tidak menerima pendaftaran siswa internasional baru",IF(M378=1,"Harga perlu dikonfirmasi ke sekolah"&amp;IF(""="","","; "&amp;""),"")))</f>
        <v>Harga perlu dikonfirmasi ke sekolah</v>
      </c>
      <c r="J378" s="0" t="s">
        <v>3889</v>
      </c>
      <c r="K378" s="0" t="n">
        <f aca="false">IF(M378=2,"",IF(ISNUMBER(SEARCH("rata-rata:",'Onshore- Melbourne'!M119)),VALUE(MID('Onshore- Melbourne'!M119,SEARCH("rata-rata:",'Onshore- Melbourne'!M119)+11,FIND(";",'Onshore- Melbourne'!M119&amp;";",SEARCH("rata-rata:",'Onshore- Melbourne'!M119))-SEARCH("rata-rata:",'Onshore- Melbourne'!M119)-11)),IF('Onshore- Melbourne'!D119="Semester",'Onshore- Melbourne'!E119*2,IF('Onshore- Melbourne'!D119="Trimester",'Onshore- Melbourne'!E119*3,IF('Onshore- Melbourne'!D119="Term",'Onshore- Melbourne'!E119*4,IF('Onshore- Melbourne'!D119="Unit",'Onshore- Melbourne'!E119*8,""))))))</f>
        <v>18456</v>
      </c>
      <c r="L378" s="0" t="n">
        <f aca="false">IF(AND(ISNUMBER('Onshore- Melbourne'!E119),ISNUMBER(K378),ISNUMBER('Onshore- Melbourne'!F119),ISNUMBER('Onshore- Melbourne'!G119),OR('Onshore- Melbourne'!F119&lt;&gt;0,ISNUMBER(SEARCH("Material 0 terverifikasi",'Onshore- Melbourne'!M119))),OR('Onshore- Melbourne'!G119&lt;&gt;0,ISNUMBER(SEARCH("Enrolment 0 terverifikasi",'Onshore- Melbourne'!M119)))),1,0)</f>
        <v>0</v>
      </c>
      <c r="M378" s="0" t="n">
        <f aca="false">IF(OR('Onshore- Melbourne'!E119="",ISNUMBER(SEARCH("BSB80120",'Onshore- Melbourne'!B119&amp;'Onshore- Melbourne'!M119)),ISNUMBER(SEARCH("Management (Learning)",'Onshore- Melbourne'!B119))),2,IF(ISNUMBER(SEARCH("CEK:",'Onshore- Melbourne'!M119)),1,0))</f>
        <v>1</v>
      </c>
    </row>
    <row r="379" customFormat="false" ht="28.35" hidden="false" customHeight="false" outlineLevel="0" collapsed="false">
      <c r="A379" s="63" t="s">
        <v>3544</v>
      </c>
      <c r="B379" s="64" t="s">
        <v>3833</v>
      </c>
      <c r="C379" s="63" t="s">
        <v>3707</v>
      </c>
      <c r="D379" s="64" t="str">
        <f aca="false">TRIM(LEFT('Onshore- Melbourne'!A204,FIND(CHAR(10),'Onshore- Melbourne'!A204&amp;CHAR(10))-1))</f>
        <v>Australian Institute of Advanced Technologies (AIAT)</v>
      </c>
      <c r="E379" s="63" t="str">
        <f aca="false">'Onshore- Melbourne'!C205&amp;""</f>
        <v>0,5 year</v>
      </c>
      <c r="F379" s="63" t="str">
        <f aca="false">IF('Onshore- Melbourne'!D205="","Belum tercatat",'Onshore- Melbourne'!D205)</f>
        <v>Term</v>
      </c>
      <c r="G379" s="65" t="n">
        <f aca="false">IF('Onshore- Melbourne'!E205="","-",'Onshore- Melbourne'!E205)</f>
        <v>5000</v>
      </c>
      <c r="H379" s="63" t="n">
        <f aca="false">IF(ISNUMBER(K379),COUNTIFS($J$6:$J$1916,J379,$K$6:$K$1916,"&lt;"&amp;K379)+1,"-")</f>
        <v>6</v>
      </c>
      <c r="I379" s="64" t="str">
        <f aca="false">IF('Onshore- Melbourne'!E205="","Harga belum tersedia - hubungi konsultan TEG",IF(M379=2,"Saat ini tidak menerima pendaftaran siswa internasional baru",IF(M379=1,"Harga perlu dikonfirmasi ke sekolah"&amp;IF(""="","","; "&amp;""),"")))</f>
        <v/>
      </c>
      <c r="J379" s="0" t="s">
        <v>3889</v>
      </c>
      <c r="K379" s="0" t="n">
        <f aca="false">IF(M379=2,"",IF(ISNUMBER(SEARCH("rata-rata:",'Onshore- Melbourne'!M205)),VALUE(MID('Onshore- Melbourne'!M205,SEARCH("rata-rata:",'Onshore- Melbourne'!M205)+11,FIND(";",'Onshore- Melbourne'!M205&amp;";",SEARCH("rata-rata:",'Onshore- Melbourne'!M205))-SEARCH("rata-rata:",'Onshore- Melbourne'!M205)-11)),IF('Onshore- Melbourne'!D205="Semester",'Onshore- Melbourne'!E205*2,IF('Onshore- Melbourne'!D205="Trimester",'Onshore- Melbourne'!E205*3,IF('Onshore- Melbourne'!D205="Term",'Onshore- Melbourne'!E205*4,IF('Onshore- Melbourne'!D205="Unit",'Onshore- Melbourne'!E205*8,""))))))</f>
        <v>20000</v>
      </c>
      <c r="L379" s="0" t="n">
        <f aca="false">IF(AND(ISNUMBER('Onshore- Melbourne'!E205),ISNUMBER(K379),ISNUMBER('Onshore- Melbourne'!F205),ISNUMBER('Onshore- Melbourne'!G205),OR('Onshore- Melbourne'!F205&lt;&gt;0,ISNUMBER(SEARCH("Material 0 terverifikasi",'Onshore- Melbourne'!M205))),OR('Onshore- Melbourne'!G205&lt;&gt;0,ISNUMBER(SEARCH("Enrolment 0 terverifikasi",'Onshore- Melbourne'!M205)))),1,0)</f>
        <v>0</v>
      </c>
      <c r="M379" s="0" t="n">
        <f aca="false">IF(OR('Onshore- Melbourne'!E205="",ISNUMBER(SEARCH("BSB80120",'Onshore- Melbourne'!B205&amp;'Onshore- Melbourne'!M205)),ISNUMBER(SEARCH("Management (Learning)",'Onshore- Melbourne'!B205))),2,IF(ISNUMBER(SEARCH("CEK:",'Onshore- Melbourne'!M205)),1,0))</f>
        <v>0</v>
      </c>
    </row>
    <row r="380" customFormat="false" ht="15" hidden="false" customHeight="false" outlineLevel="0" collapsed="false">
      <c r="A380" s="63" t="s">
        <v>3544</v>
      </c>
      <c r="B380" s="64" t="s">
        <v>3833</v>
      </c>
      <c r="C380" s="63" t="s">
        <v>3707</v>
      </c>
      <c r="D380" s="64" t="str">
        <f aca="false">TRIM(LEFT('Onshore- Melbourne'!A77,FIND(CHAR(10),'Onshore- Melbourne'!A77&amp;CHAR(10))-1))</f>
        <v>Asia Pacific International College (APIC)</v>
      </c>
      <c r="E380" s="63" t="str">
        <f aca="false">'Onshore- Melbourne'!C82&amp;""</f>
        <v>0,75 year</v>
      </c>
      <c r="F380" s="63" t="str">
        <f aca="false">IF('Onshore- Melbourne'!D82="","Belum tercatat",'Onshore- Melbourne'!D82)</f>
        <v>Trimester</v>
      </c>
      <c r="G380" s="65" t="n">
        <f aca="false">IF('Onshore- Melbourne'!E82="","-",'Onshore- Melbourne'!E82)</f>
        <v>7800</v>
      </c>
      <c r="H380" s="63" t="n">
        <f aca="false">IF(ISNUMBER(K380),COUNTIFS($J$6:$J$1916,J380,$K$6:$K$1916,"&lt;"&amp;K380)+1,"-")</f>
        <v>7</v>
      </c>
      <c r="I380" s="64" t="str">
        <f aca="false">IF('Onshore- Melbourne'!E82="","Harga belum tersedia - hubungi konsultan TEG",IF(M380=2,"Saat ini tidak menerima pendaftaran siswa internasional baru",IF(M380=1,"Harga perlu dikonfirmasi ke sekolah"&amp;IF(""="","","; "&amp;""),"")))</f>
        <v>Harga perlu dikonfirmasi ke sekolah</v>
      </c>
      <c r="J380" s="0" t="s">
        <v>3889</v>
      </c>
      <c r="K380" s="0" t="n">
        <f aca="false">IF(M380=2,"",IF(ISNUMBER(SEARCH("rata-rata:",'Onshore- Melbourne'!M82)),VALUE(MID('Onshore- Melbourne'!M82,SEARCH("rata-rata:",'Onshore- Melbourne'!M82)+11,FIND(";",'Onshore- Melbourne'!M82&amp;";",SEARCH("rata-rata:",'Onshore- Melbourne'!M82))-SEARCH("rata-rata:",'Onshore- Melbourne'!M82)-11)),IF('Onshore- Melbourne'!D82="Semester",'Onshore- Melbourne'!E82*2,IF('Onshore- Melbourne'!D82="Trimester",'Onshore- Melbourne'!E82*3,IF('Onshore- Melbourne'!D82="Term",'Onshore- Melbourne'!E82*4,IF('Onshore- Melbourne'!D82="Unit",'Onshore- Melbourne'!E82*8,""))))))</f>
        <v>23400</v>
      </c>
      <c r="L380" s="0" t="n">
        <f aca="false">IF(AND(ISNUMBER('Onshore- Melbourne'!E82),ISNUMBER(K380),ISNUMBER('Onshore- Melbourne'!F82),ISNUMBER('Onshore- Melbourne'!G82),OR('Onshore- Melbourne'!F82&lt;&gt;0,ISNUMBER(SEARCH("Material 0 terverifikasi",'Onshore- Melbourne'!M82))),OR('Onshore- Melbourne'!G82&lt;&gt;0,ISNUMBER(SEARCH("Enrolment 0 terverifikasi",'Onshore- Melbourne'!M82)))),1,0)</f>
        <v>0</v>
      </c>
      <c r="M380" s="0" t="n">
        <f aca="false">IF(OR('Onshore- Melbourne'!E82="",ISNUMBER(SEARCH("BSB80120",'Onshore- Melbourne'!B82&amp;'Onshore- Melbourne'!M82)),ISNUMBER(SEARCH("Management (Learning)",'Onshore- Melbourne'!B82))),2,IF(ISNUMBER(SEARCH("CEK:",'Onshore- Melbourne'!M82)),1,0))</f>
        <v>1</v>
      </c>
    </row>
    <row r="381" customFormat="false" ht="15" hidden="false" customHeight="false" outlineLevel="0" collapsed="false">
      <c r="A381" s="63" t="s">
        <v>3544</v>
      </c>
      <c r="B381" s="64" t="s">
        <v>3833</v>
      </c>
      <c r="C381" s="63" t="s">
        <v>3707</v>
      </c>
      <c r="D381" s="64" t="str">
        <f aca="false">TRIM(LEFT('Onshore- Melbourne'!A304,FIND(CHAR(10),'Onshore- Melbourne'!A304&amp;CHAR(10))-1))</f>
        <v>Kaplan Business School</v>
      </c>
      <c r="E381" s="63" t="str">
        <f aca="false">'Onshore- Melbourne'!C306&amp;""</f>
        <v>0,5 year</v>
      </c>
      <c r="F381" s="63" t="str">
        <f aca="false">IF('Onshore- Melbourne'!D306="","Belum tercatat",'Onshore- Melbourne'!D306)</f>
        <v>Trimester</v>
      </c>
      <c r="G381" s="65" t="n">
        <f aca="false">IF('Onshore- Melbourne'!E306="","-",'Onshore- Melbourne'!E306)</f>
        <v>19640</v>
      </c>
      <c r="H381" s="63" t="n">
        <f aca="false">IF(ISNUMBER(K381),COUNTIFS($J$6:$J$1916,J381,$K$6:$K$1916,"&lt;"&amp;K381)+1,"-")</f>
        <v>8</v>
      </c>
      <c r="I381" s="64" t="str">
        <f aca="false">IF('Onshore- Melbourne'!E306="","Harga belum tersedia - hubungi konsultan TEG",IF(M381=2,"Saat ini tidak menerima pendaftaran siswa internasional baru",IF(M381=1,"Harga perlu dikonfirmasi ke sekolah"&amp;IF(""="","","; "&amp;""),"")))</f>
        <v>Harga perlu dikonfirmasi ke sekolah</v>
      </c>
      <c r="J381" s="0" t="s">
        <v>3889</v>
      </c>
      <c r="K381" s="0" t="n">
        <f aca="false">IF(M381=2,"",IF(ISNUMBER(SEARCH("rata-rata:",'Onshore- Melbourne'!M306)),VALUE(MID('Onshore- Melbourne'!M306,SEARCH("rata-rata:",'Onshore- Melbourne'!M306)+11,FIND(";",'Onshore- Melbourne'!M306&amp;";",SEARCH("rata-rata:",'Onshore- Melbourne'!M306))-SEARCH("rata-rata:",'Onshore- Melbourne'!M306)-11)),IF('Onshore- Melbourne'!D306="Semester",'Onshore- Melbourne'!E306*2,IF('Onshore- Melbourne'!D306="Trimester",'Onshore- Melbourne'!E306*3,IF('Onshore- Melbourne'!D306="Term",'Onshore- Melbourne'!E306*4,IF('Onshore- Melbourne'!D306="Unit",'Onshore- Melbourne'!E306*8,""))))))</f>
        <v>58920</v>
      </c>
      <c r="L381" s="0" t="n">
        <f aca="false">IF(AND(ISNUMBER('Onshore- Melbourne'!E306),ISNUMBER(K381),ISNUMBER('Onshore- Melbourne'!F306),ISNUMBER('Onshore- Melbourne'!G306),OR('Onshore- Melbourne'!F306&lt;&gt;0,ISNUMBER(SEARCH("Material 0 terverifikasi",'Onshore- Melbourne'!M306))),OR('Onshore- Melbourne'!G306&lt;&gt;0,ISNUMBER(SEARCH("Enrolment 0 terverifikasi",'Onshore- Melbourne'!M306)))),1,0)</f>
        <v>1</v>
      </c>
      <c r="M381" s="0" t="n">
        <f aca="false">IF(OR('Onshore- Melbourne'!E306="",ISNUMBER(SEARCH("BSB80120",'Onshore- Melbourne'!B306&amp;'Onshore- Melbourne'!M306)),ISNUMBER(SEARCH("Management (Learning)",'Onshore- Melbourne'!B306))),2,IF(ISNUMBER(SEARCH("CEK:",'Onshore- Melbourne'!M306)),1,0))</f>
        <v>1</v>
      </c>
    </row>
    <row r="382" customFormat="false" ht="28.35" hidden="false" customHeight="false" outlineLevel="0" collapsed="false">
      <c r="A382" s="63" t="s">
        <v>3544</v>
      </c>
      <c r="B382" s="64" t="s">
        <v>3833</v>
      </c>
      <c r="C382" s="63" t="s">
        <v>3707</v>
      </c>
      <c r="D382" s="64" t="str">
        <f aca="false">TRIM(LEFT('Onshore- Melbourne'!A218,FIND(CHAR(10),'Onshore- Melbourne'!A218&amp;CHAR(10))-1))</f>
        <v>Australian Sovereign College (AuSC)</v>
      </c>
      <c r="E382" s="63" t="str">
        <f aca="false">'Onshore- Melbourne'!C236&amp;""</f>
        <v>3 years</v>
      </c>
      <c r="F382" s="63" t="str">
        <f aca="false">IF('Onshore- Melbourne'!D236="","Belum tercatat",'Onshore- Melbourne'!D236)</f>
        <v>Term</v>
      </c>
      <c r="G382" s="65" t="n">
        <f aca="false">IF('Onshore- Melbourne'!E236="","-",'Onshore- Melbourne'!E236)</f>
        <v>2050</v>
      </c>
      <c r="H382" s="63" t="str">
        <f aca="false">IF(ISNUMBER(K382),COUNTIFS($J$6:$J$1916,J382,$K$6:$K$1916,"&lt;"&amp;K382)+1,"-")</f>
        <v>-</v>
      </c>
      <c r="I382" s="64" t="str">
        <f aca="false">IF('Onshore- Melbourne'!E236="","Harga belum tersedia - hubungi konsultan TEG",IF(M382=2,"Saat ini tidak menerima pendaftaran siswa internasional baru",IF(M382=1,"Harga perlu dikonfirmasi ke sekolah"&amp;IF(""="","","; "&amp;""),"")))</f>
        <v>Saat ini tidak menerima pendaftaran siswa internasional baru</v>
      </c>
      <c r="J382" s="0" t="s">
        <v>3889</v>
      </c>
      <c r="K382" s="0" t="str">
        <f aca="false">IF(M382=2,"",IF(ISNUMBER(SEARCH("rata-rata:",'Onshore- Melbourne'!M236)),VALUE(MID('Onshore- Melbourne'!M236,SEARCH("rata-rata:",'Onshore- Melbourne'!M236)+11,FIND(";",'Onshore- Melbourne'!M236&amp;";",SEARCH("rata-rata:",'Onshore- Melbourne'!M236))-SEARCH("rata-rata:",'Onshore- Melbourne'!M236)-11)),IF('Onshore- Melbourne'!D236="Semester",'Onshore- Melbourne'!E236*2,IF('Onshore- Melbourne'!D236="Trimester",'Onshore- Melbourne'!E236*3,IF('Onshore- Melbourne'!D236="Term",'Onshore- Melbourne'!E236*4,IF('Onshore- Melbourne'!D236="Unit",'Onshore- Melbourne'!E236*8,""))))))</f>
        <v/>
      </c>
      <c r="L382" s="0" t="n">
        <f aca="false">IF(AND(ISNUMBER('Onshore- Melbourne'!E236),ISNUMBER(K382),ISNUMBER('Onshore- Melbourne'!F236),ISNUMBER('Onshore- Melbourne'!G236),OR('Onshore- Melbourne'!F236&lt;&gt;0,ISNUMBER(SEARCH("Material 0 terverifikasi",'Onshore- Melbourne'!M236))),OR('Onshore- Melbourne'!G236&lt;&gt;0,ISNUMBER(SEARCH("Enrolment 0 terverifikasi",'Onshore- Melbourne'!M236)))),1,0)</f>
        <v>0</v>
      </c>
      <c r="M382" s="0" t="n">
        <f aca="false">IF(OR('Onshore- Melbourne'!E236="",ISNUMBER(SEARCH("BSB80120",'Onshore- Melbourne'!B236&amp;'Onshore- Melbourne'!M236)),ISNUMBER(SEARCH("Management (Learning)",'Onshore- Melbourne'!B236))),2,IF(ISNUMBER(SEARCH("CEK:",'Onshore- Melbourne'!M236)),1,0))</f>
        <v>2</v>
      </c>
    </row>
    <row r="383" customFormat="false" ht="28.35" hidden="false" customHeight="false" outlineLevel="0" collapsed="false">
      <c r="A383" s="63" t="s">
        <v>3544</v>
      </c>
      <c r="B383" s="64" t="s">
        <v>3833</v>
      </c>
      <c r="C383" s="63" t="s">
        <v>3707</v>
      </c>
      <c r="D383" s="64" t="str">
        <f aca="false">TRIM(LEFT('Onshore- Melbourne'!A354,FIND(CHAR(10),'Onshore- Melbourne'!A354&amp;CHAR(10))-1))</f>
        <v>Melbourne Metro College</v>
      </c>
      <c r="E383" s="63" t="str">
        <f aca="false">'Onshore- Melbourne'!C360&amp;""</f>
        <v>2 years</v>
      </c>
      <c r="F383" s="63" t="str">
        <f aca="false">IF('Onshore- Melbourne'!D360="","Belum tercatat",'Onshore- Melbourne'!D360)</f>
        <v>Term</v>
      </c>
      <c r="G383" s="65" t="n">
        <f aca="false">IF('Onshore- Melbourne'!E360="","-",'Onshore- Melbourne'!E360)</f>
        <v>2625</v>
      </c>
      <c r="H383" s="63" t="str">
        <f aca="false">IF(ISNUMBER(K383),COUNTIFS($J$6:$J$1916,J383,$K$6:$K$1916,"&lt;"&amp;K383)+1,"-")</f>
        <v>-</v>
      </c>
      <c r="I383" s="64" t="str">
        <f aca="false">IF('Onshore- Melbourne'!E360="","Harga belum tersedia - hubungi konsultan TEG",IF(M383=2,"Saat ini tidak menerima pendaftaran siswa internasional baru",IF(M383=1,"Harga perlu dikonfirmasi ke sekolah"&amp;IF(""="","","; "&amp;""),"")))</f>
        <v>Saat ini tidak menerima pendaftaran siswa internasional baru</v>
      </c>
      <c r="J383" s="0" t="s">
        <v>3889</v>
      </c>
      <c r="K383" s="0" t="str">
        <f aca="false">IF(M383=2,"",IF(ISNUMBER(SEARCH("rata-rata:",'Onshore- Melbourne'!M360)),VALUE(MID('Onshore- Melbourne'!M360,SEARCH("rata-rata:",'Onshore- Melbourne'!M360)+11,FIND(";",'Onshore- Melbourne'!M360&amp;";",SEARCH("rata-rata:",'Onshore- Melbourne'!M360))-SEARCH("rata-rata:",'Onshore- Melbourne'!M360)-11)),IF('Onshore- Melbourne'!D360="Semester",'Onshore- Melbourne'!E360*2,IF('Onshore- Melbourne'!D360="Trimester",'Onshore- Melbourne'!E360*3,IF('Onshore- Melbourne'!D360="Term",'Onshore- Melbourne'!E360*4,IF('Onshore- Melbourne'!D360="Unit",'Onshore- Melbourne'!E360*8,""))))))</f>
        <v/>
      </c>
      <c r="L383" s="0" t="n">
        <f aca="false">IF(AND(ISNUMBER('Onshore- Melbourne'!E360),ISNUMBER(K383),ISNUMBER('Onshore- Melbourne'!F360),ISNUMBER('Onshore- Melbourne'!G360),OR('Onshore- Melbourne'!F360&lt;&gt;0,ISNUMBER(SEARCH("Material 0 terverifikasi",'Onshore- Melbourne'!M360))),OR('Onshore- Melbourne'!G360&lt;&gt;0,ISNUMBER(SEARCH("Enrolment 0 terverifikasi",'Onshore- Melbourne'!M360)))),1,0)</f>
        <v>0</v>
      </c>
      <c r="M383" s="0" t="n">
        <f aca="false">IF(OR('Onshore- Melbourne'!E360="",ISNUMBER(SEARCH("BSB80120",'Onshore- Melbourne'!B360&amp;'Onshore- Melbourne'!M360)),ISNUMBER(SEARCH("Management (Learning)",'Onshore- Melbourne'!B360))),2,IF(ISNUMBER(SEARCH("CEK:",'Onshore- Melbourne'!M360)),1,0))</f>
        <v>2</v>
      </c>
    </row>
    <row r="384" customFormat="false" ht="15" hidden="false" customHeight="false" outlineLevel="0" collapsed="false">
      <c r="A384" s="61" t="s">
        <v>3890</v>
      </c>
      <c r="B384" s="62"/>
      <c r="C384" s="62"/>
      <c r="D384" s="62"/>
      <c r="E384" s="62"/>
      <c r="F384" s="62"/>
      <c r="G384" s="62"/>
      <c r="H384" s="62"/>
      <c r="I384" s="62"/>
    </row>
    <row r="385" customFormat="false" ht="28.35" hidden="false" customHeight="false" outlineLevel="0" collapsed="false">
      <c r="A385" s="63" t="s">
        <v>3544</v>
      </c>
      <c r="B385" s="64" t="s">
        <v>3833</v>
      </c>
      <c r="C385" s="63" t="s">
        <v>46</v>
      </c>
      <c r="D385" s="64" t="str">
        <f aca="false">TRIM(LEFT('Onshore- Melbourne'!A199,FIND(CHAR(10),'Onshore- Melbourne'!A199&amp;CHAR(10))-1))</f>
        <v>Australian Institute of Advanced Technologies (AIAT)</v>
      </c>
      <c r="E385" s="63" t="str">
        <f aca="false">'Onshore- Melbourne'!C199&amp;""</f>
        <v>2 years</v>
      </c>
      <c r="F385" s="63" t="str">
        <f aca="false">IF('Onshore- Melbourne'!D199="","Belum tercatat",'Onshore- Melbourne'!D199)</f>
        <v>Term</v>
      </c>
      <c r="G385" s="65" t="n">
        <f aca="false">IF('Onshore- Melbourne'!E199="","-",'Onshore- Melbourne'!E199)</f>
        <v>3500</v>
      </c>
      <c r="H385" s="63" t="n">
        <f aca="false">IF(ISNUMBER(K385),COUNTIFS($J$6:$J$1916,J385,$K$6:$K$1916,"&lt;"&amp;K385)+1,"-")</f>
        <v>1</v>
      </c>
      <c r="I385" s="64" t="str">
        <f aca="false">IF('Onshore- Melbourne'!E199="","Harga belum tersedia - hubungi konsultan TEG",IF(M385=2,"Saat ini tidak menerima pendaftaran siswa internasional baru",IF(M385=1,"Harga perlu dikonfirmasi ke sekolah"&amp;IF(""="","","; "&amp;""),"")))</f>
        <v/>
      </c>
      <c r="J385" s="0" t="s">
        <v>3891</v>
      </c>
      <c r="K385" s="0" t="n">
        <f aca="false">IF(M385=2,"",IF(ISNUMBER(SEARCH("rata-rata:",'Onshore- Melbourne'!M199)),VALUE(MID('Onshore- Melbourne'!M199,SEARCH("rata-rata:",'Onshore- Melbourne'!M199)+11,FIND(";",'Onshore- Melbourne'!M199&amp;";",SEARCH("rata-rata:",'Onshore- Melbourne'!M199))-SEARCH("rata-rata:",'Onshore- Melbourne'!M199)-11)),IF('Onshore- Melbourne'!D199="Semester",'Onshore- Melbourne'!E199*2,IF('Onshore- Melbourne'!D199="Trimester",'Onshore- Melbourne'!E199*3,IF('Onshore- Melbourne'!D199="Term",'Onshore- Melbourne'!E199*4,IF('Onshore- Melbourne'!D199="Unit",'Onshore- Melbourne'!E199*8,""))))))</f>
        <v>14000</v>
      </c>
      <c r="L385" s="0" t="n">
        <f aca="false">IF(AND(ISNUMBER('Onshore- Melbourne'!E199),ISNUMBER(K385),ISNUMBER('Onshore- Melbourne'!F199),ISNUMBER('Onshore- Melbourne'!G199),OR('Onshore- Melbourne'!F199&lt;&gt;0,ISNUMBER(SEARCH("Material 0 terverifikasi",'Onshore- Melbourne'!M199))),OR('Onshore- Melbourne'!G199&lt;&gt;0,ISNUMBER(SEARCH("Enrolment 0 terverifikasi",'Onshore- Melbourne'!M199)))),1,0)</f>
        <v>0</v>
      </c>
      <c r="M385" s="0" t="n">
        <f aca="false">IF(OR('Onshore- Melbourne'!E199="",ISNUMBER(SEARCH("BSB80120",'Onshore- Melbourne'!B199&amp;'Onshore- Melbourne'!M199)),ISNUMBER(SEARCH("Management (Learning)",'Onshore- Melbourne'!B199))),2,IF(ISNUMBER(SEARCH("CEK:",'Onshore- Melbourne'!M199)),1,0))</f>
        <v>0</v>
      </c>
    </row>
    <row r="386" customFormat="false" ht="15" hidden="false" customHeight="false" outlineLevel="0" collapsed="false">
      <c r="A386" s="63" t="s">
        <v>3544</v>
      </c>
      <c r="B386" s="64" t="s">
        <v>3833</v>
      </c>
      <c r="C386" s="63" t="s">
        <v>46</v>
      </c>
      <c r="D386" s="64" t="str">
        <f aca="false">TRIM(LEFT('Onshore- Melbourne'!A74,FIND(CHAR(10),'Onshore- Melbourne'!A74&amp;CHAR(10))-1))</f>
        <v>Analytics Institute of Australia (AIA)</v>
      </c>
      <c r="E386" s="63" t="str">
        <f aca="false">'Onshore- Melbourne'!C75&amp;""</f>
        <v>1,5 years</v>
      </c>
      <c r="F386" s="63" t="str">
        <f aca="false">IF('Onshore- Melbourne'!D75="","Belum tercatat",'Onshore- Melbourne'!D75)</f>
        <v>Term</v>
      </c>
      <c r="G386" s="65" t="n">
        <f aca="false">IF('Onshore- Melbourne'!E75="","-",'Onshore- Melbourne'!E75)</f>
        <v>3975</v>
      </c>
      <c r="H386" s="63" t="n">
        <f aca="false">IF(ISNUMBER(K386),COUNTIFS($J$6:$J$1916,J386,$K$6:$K$1916,"&lt;"&amp;K386)+1,"-")</f>
        <v>2</v>
      </c>
      <c r="I386" s="64" t="str">
        <f aca="false">IF('Onshore- Melbourne'!E75="","Harga belum tersedia - hubungi konsultan TEG",IF(M386=2,"Saat ini tidak menerima pendaftaran siswa internasional baru",IF(M386=1,"Harga perlu dikonfirmasi ke sekolah"&amp;IF(""="","","; "&amp;""),"")))</f>
        <v>Harga perlu dikonfirmasi ke sekolah</v>
      </c>
      <c r="J386" s="0" t="s">
        <v>3891</v>
      </c>
      <c r="K386" s="0" t="n">
        <f aca="false">IF(M386=2,"",IF(ISNUMBER(SEARCH("rata-rata:",'Onshore- Melbourne'!M75)),VALUE(MID('Onshore- Melbourne'!M75,SEARCH("rata-rata:",'Onshore- Melbourne'!M75)+11,FIND(";",'Onshore- Melbourne'!M75&amp;";",SEARCH("rata-rata:",'Onshore- Melbourne'!M75))-SEARCH("rata-rata:",'Onshore- Melbourne'!M75)-11)),IF('Onshore- Melbourne'!D75="Semester",'Onshore- Melbourne'!E75*2,IF('Onshore- Melbourne'!D75="Trimester",'Onshore- Melbourne'!E75*3,IF('Onshore- Melbourne'!D75="Term",'Onshore- Melbourne'!E75*4,IF('Onshore- Melbourne'!D75="Unit",'Onshore- Melbourne'!E75*8,""))))))</f>
        <v>15900</v>
      </c>
      <c r="L386" s="0" t="n">
        <f aca="false">IF(AND(ISNUMBER('Onshore- Melbourne'!E75),ISNUMBER(K386),ISNUMBER('Onshore- Melbourne'!F75),ISNUMBER('Onshore- Melbourne'!G75),OR('Onshore- Melbourne'!F75&lt;&gt;0,ISNUMBER(SEARCH("Material 0 terverifikasi",'Onshore- Melbourne'!M75))),OR('Onshore- Melbourne'!G75&lt;&gt;0,ISNUMBER(SEARCH("Enrolment 0 terverifikasi",'Onshore- Melbourne'!M75)))),1,0)</f>
        <v>0</v>
      </c>
      <c r="M386" s="0" t="n">
        <f aca="false">IF(OR('Onshore- Melbourne'!E75="",ISNUMBER(SEARCH("BSB80120",'Onshore- Melbourne'!B75&amp;'Onshore- Melbourne'!M75)),ISNUMBER(SEARCH("Management (Learning)",'Onshore- Melbourne'!B75))),2,IF(ISNUMBER(SEARCH("CEK:",'Onshore- Melbourne'!M75)),1,0))</f>
        <v>1</v>
      </c>
    </row>
    <row r="387" customFormat="false" ht="15" hidden="false" customHeight="false" outlineLevel="0" collapsed="false">
      <c r="A387" s="63" t="s">
        <v>3544</v>
      </c>
      <c r="B387" s="64" t="s">
        <v>3833</v>
      </c>
      <c r="C387" s="63" t="s">
        <v>46</v>
      </c>
      <c r="D387" s="64" t="str">
        <f aca="false">TRIM(LEFT('Onshore- Melbourne'!A29,FIND(CHAR(10),'Onshore- Melbourne'!A29&amp;CHAR(10))-1))</f>
        <v>AIBI Higher Education</v>
      </c>
      <c r="E387" s="63" t="str">
        <f aca="false">'Onshore- Melbourne'!C34&amp;""</f>
        <v>2 years</v>
      </c>
      <c r="F387" s="63" t="str">
        <f aca="false">IF('Onshore- Melbourne'!D34="","Belum tercatat",'Onshore- Melbourne'!D34)</f>
        <v>Term</v>
      </c>
      <c r="G387" s="65" t="n">
        <f aca="false">IF('Onshore- Melbourne'!E34="","-",'Onshore- Melbourne'!E34)</f>
        <v>4050</v>
      </c>
      <c r="H387" s="63" t="n">
        <f aca="false">IF(ISNUMBER(K387),COUNTIFS($J$6:$J$1916,J387,$K$6:$K$1916,"&lt;"&amp;K387)+1,"-")</f>
        <v>3</v>
      </c>
      <c r="I387" s="64" t="str">
        <f aca="false">IF('Onshore- Melbourne'!E34="","Harga belum tersedia - hubungi konsultan TEG",IF(M387=2,"Saat ini tidak menerima pendaftaran siswa internasional baru",IF(M387=1,"Harga perlu dikonfirmasi ke sekolah"&amp;IF(""="","","; "&amp;""),"")))</f>
        <v>Harga perlu dikonfirmasi ke sekolah</v>
      </c>
      <c r="J387" s="0" t="s">
        <v>3891</v>
      </c>
      <c r="K387" s="0" t="n">
        <f aca="false">IF(M387=2,"",IF(ISNUMBER(SEARCH("rata-rata:",'Onshore- Melbourne'!M34)),VALUE(MID('Onshore- Melbourne'!M34,SEARCH("rata-rata:",'Onshore- Melbourne'!M34)+11,FIND(";",'Onshore- Melbourne'!M34&amp;";",SEARCH("rata-rata:",'Onshore- Melbourne'!M34))-SEARCH("rata-rata:",'Onshore- Melbourne'!M34)-11)),IF('Onshore- Melbourne'!D34="Semester",'Onshore- Melbourne'!E34*2,IF('Onshore- Melbourne'!D34="Trimester",'Onshore- Melbourne'!E34*3,IF('Onshore- Melbourne'!D34="Term",'Onshore- Melbourne'!E34*4,IF('Onshore- Melbourne'!D34="Unit",'Onshore- Melbourne'!E34*8,""))))))</f>
        <v>16200</v>
      </c>
      <c r="L387" s="0" t="n">
        <f aca="false">IF(AND(ISNUMBER('Onshore- Melbourne'!E34),ISNUMBER(K387),ISNUMBER('Onshore- Melbourne'!F34),ISNUMBER('Onshore- Melbourne'!G34),OR('Onshore- Melbourne'!F34&lt;&gt;0,ISNUMBER(SEARCH("Material 0 terverifikasi",'Onshore- Melbourne'!M34))),OR('Onshore- Melbourne'!G34&lt;&gt;0,ISNUMBER(SEARCH("Enrolment 0 terverifikasi",'Onshore- Melbourne'!M34)))),1,0)</f>
        <v>0</v>
      </c>
      <c r="M387" s="0" t="n">
        <f aca="false">IF(OR('Onshore- Melbourne'!E34="",ISNUMBER(SEARCH("BSB80120",'Onshore- Melbourne'!B34&amp;'Onshore- Melbourne'!M34)),ISNUMBER(SEARCH("Management (Learning)",'Onshore- Melbourne'!B34))),2,IF(ISNUMBER(SEARCH("CEK:",'Onshore- Melbourne'!M34)),1,0))</f>
        <v>1</v>
      </c>
    </row>
    <row r="388" customFormat="false" ht="15" hidden="false" customHeight="false" outlineLevel="0" collapsed="false">
      <c r="A388" s="63" t="s">
        <v>3544</v>
      </c>
      <c r="B388" s="64" t="s">
        <v>3833</v>
      </c>
      <c r="C388" s="63" t="s">
        <v>46</v>
      </c>
      <c r="D388" s="64" t="str">
        <f aca="false">TRIM(LEFT('Onshore- Melbourne'!A445,FIND(CHAR(10),'Onshore- Melbourne'!A445&amp;CHAR(10))-1))</f>
        <v>The Institute of International Studies (TIIS)</v>
      </c>
      <c r="E388" s="63" t="str">
        <f aca="false">'Onshore- Melbourne'!C449&amp;""</f>
        <v>2 years</v>
      </c>
      <c r="F388" s="63" t="str">
        <f aca="false">IF('Onshore- Melbourne'!D449="","Belum tercatat",'Onshore- Melbourne'!D449)</f>
        <v>Term</v>
      </c>
      <c r="G388" s="65" t="n">
        <f aca="false">IF('Onshore- Melbourne'!E449="","-",'Onshore- Melbourne'!E449)</f>
        <v>4100</v>
      </c>
      <c r="H388" s="63" t="n">
        <f aca="false">IF(ISNUMBER(K388),COUNTIFS($J$6:$J$1916,J388,$K$6:$K$1916,"&lt;"&amp;K388)+1,"-")</f>
        <v>4</v>
      </c>
      <c r="I388" s="64" t="str">
        <f aca="false">IF('Onshore- Melbourne'!E449="","Harga belum tersedia - hubungi konsultan TEG",IF(M388=2,"Saat ini tidak menerima pendaftaran siswa internasional baru",IF(M388=1,"Harga perlu dikonfirmasi ke sekolah"&amp;IF(""="","","; "&amp;""),"")))</f>
        <v/>
      </c>
      <c r="J388" s="0" t="s">
        <v>3891</v>
      </c>
      <c r="K388" s="0" t="n">
        <f aca="false">IF(M388=2,"",IF(ISNUMBER(SEARCH("rata-rata:",'Onshore- Melbourne'!M449)),VALUE(MID('Onshore- Melbourne'!M449,SEARCH("rata-rata:",'Onshore- Melbourne'!M449)+11,FIND(";",'Onshore- Melbourne'!M449&amp;";",SEARCH("rata-rata:",'Onshore- Melbourne'!M449))-SEARCH("rata-rata:",'Onshore- Melbourne'!M449)-11)),IF('Onshore- Melbourne'!D449="Semester",'Onshore- Melbourne'!E449*2,IF('Onshore- Melbourne'!D449="Trimester",'Onshore- Melbourne'!E449*3,IF('Onshore- Melbourne'!D449="Term",'Onshore- Melbourne'!E449*4,IF('Onshore- Melbourne'!D449="Unit",'Onshore- Melbourne'!E449*8,""))))))</f>
        <v>16400</v>
      </c>
      <c r="L388" s="0" t="n">
        <f aca="false">IF(AND(ISNUMBER('Onshore- Melbourne'!E449),ISNUMBER(K388),ISNUMBER('Onshore- Melbourne'!F449),ISNUMBER('Onshore- Melbourne'!G449),OR('Onshore- Melbourne'!F449&lt;&gt;0,ISNUMBER(SEARCH("Material 0 terverifikasi",'Onshore- Melbourne'!M449))),OR('Onshore- Melbourne'!G449&lt;&gt;0,ISNUMBER(SEARCH("Enrolment 0 terverifikasi",'Onshore- Melbourne'!M449)))),1,0)</f>
        <v>0</v>
      </c>
      <c r="M388" s="0" t="n">
        <f aca="false">IF(OR('Onshore- Melbourne'!E449="",ISNUMBER(SEARCH("BSB80120",'Onshore- Melbourne'!B449&amp;'Onshore- Melbourne'!M449)),ISNUMBER(SEARCH("Management (Learning)",'Onshore- Melbourne'!B449))),2,IF(ISNUMBER(SEARCH("CEK:",'Onshore- Melbourne'!M449)),1,0))</f>
        <v>0</v>
      </c>
    </row>
    <row r="389" customFormat="false" ht="28.35" hidden="false" customHeight="false" outlineLevel="0" collapsed="false">
      <c r="A389" s="63" t="s">
        <v>3544</v>
      </c>
      <c r="B389" s="64" t="s">
        <v>3833</v>
      </c>
      <c r="C389" s="63" t="s">
        <v>46</v>
      </c>
      <c r="D389" s="64" t="str">
        <f aca="false">TRIM(LEFT('Onshore- Melbourne'!A368,FIND(CHAR(10),'Onshore- Melbourne'!A368&amp;CHAR(10))-1))</f>
        <v>National Academy of Professional Studies (NAPS)</v>
      </c>
      <c r="E389" s="63" t="str">
        <f aca="false">'Onshore- Melbourne'!C373&amp;""</f>
        <v>2 years</v>
      </c>
      <c r="F389" s="63" t="str">
        <f aca="false">IF('Onshore- Melbourne'!D373="","Belum tercatat",'Onshore- Melbourne'!D373)</f>
        <v>Term</v>
      </c>
      <c r="G389" s="65" t="n">
        <f aca="false">IF('Onshore- Melbourne'!E373="","-",'Onshore- Melbourne'!E373)</f>
        <v>4250</v>
      </c>
      <c r="H389" s="63" t="n">
        <f aca="false">IF(ISNUMBER(K389),COUNTIFS($J$6:$J$1916,J389,$K$6:$K$1916,"&lt;"&amp;K389)+1,"-")</f>
        <v>5</v>
      </c>
      <c r="I389" s="64" t="str">
        <f aca="false">IF('Onshore- Melbourne'!E373="","Harga belum tersedia - hubungi konsultan TEG",IF(M389=2,"Saat ini tidak menerima pendaftaran siswa internasional baru",IF(M389=1,"Harga perlu dikonfirmasi ke sekolah"&amp;IF(""="","","; "&amp;""),"")))</f>
        <v>Harga perlu dikonfirmasi ke sekolah</v>
      </c>
      <c r="J389" s="0" t="s">
        <v>3891</v>
      </c>
      <c r="K389" s="0" t="n">
        <f aca="false">IF(M389=2,"",IF(ISNUMBER(SEARCH("rata-rata:",'Onshore- Melbourne'!M373)),VALUE(MID('Onshore- Melbourne'!M373,SEARCH("rata-rata:",'Onshore- Melbourne'!M373)+11,FIND(";",'Onshore- Melbourne'!M373&amp;";",SEARCH("rata-rata:",'Onshore- Melbourne'!M373))-SEARCH("rata-rata:",'Onshore- Melbourne'!M373)-11)),IF('Onshore- Melbourne'!D373="Semester",'Onshore- Melbourne'!E373*2,IF('Onshore- Melbourne'!D373="Trimester",'Onshore- Melbourne'!E373*3,IF('Onshore- Melbourne'!D373="Term",'Onshore- Melbourne'!E373*4,IF('Onshore- Melbourne'!D373="Unit",'Onshore- Melbourne'!E373*8,""))))))</f>
        <v>17000</v>
      </c>
      <c r="L389" s="0" t="n">
        <f aca="false">IF(AND(ISNUMBER('Onshore- Melbourne'!E373),ISNUMBER(K389),ISNUMBER('Onshore- Melbourne'!F373),ISNUMBER('Onshore- Melbourne'!G373),OR('Onshore- Melbourne'!F373&lt;&gt;0,ISNUMBER(SEARCH("Material 0 terverifikasi",'Onshore- Melbourne'!M373))),OR('Onshore- Melbourne'!G373&lt;&gt;0,ISNUMBER(SEARCH("Enrolment 0 terverifikasi",'Onshore- Melbourne'!M373)))),1,0)</f>
        <v>1</v>
      </c>
      <c r="M389" s="0" t="n">
        <f aca="false">IF(OR('Onshore- Melbourne'!E373="",ISNUMBER(SEARCH("BSB80120",'Onshore- Melbourne'!B373&amp;'Onshore- Melbourne'!M373)),ISNUMBER(SEARCH("Management (Learning)",'Onshore- Melbourne'!B373))),2,IF(ISNUMBER(SEARCH("CEK:",'Onshore- Melbourne'!M373)),1,0))</f>
        <v>1</v>
      </c>
    </row>
    <row r="390" customFormat="false" ht="55.2" hidden="false" customHeight="false" outlineLevel="0" collapsed="false">
      <c r="A390" s="63" t="s">
        <v>3544</v>
      </c>
      <c r="B390" s="64" t="s">
        <v>3833</v>
      </c>
      <c r="C390" s="63" t="s">
        <v>46</v>
      </c>
      <c r="D390" s="64" t="str">
        <f aca="false">TRIM(LEFT('Onshore- Melbourne'!A43,FIND(CHAR(10),'Onshore- Melbourne'!A43&amp;CHAR(10))-1))</f>
        <v>AIH Higher Education (Australian Institute of Higher Education)</v>
      </c>
      <c r="E390" s="63" t="str">
        <f aca="false">'Onshore- Melbourne'!C51&amp;""</f>
        <v>2 years</v>
      </c>
      <c r="F390" s="63" t="str">
        <f aca="false">IF('Onshore- Melbourne'!D51="","Belum tercatat",'Onshore- Melbourne'!D51)</f>
        <v>Unit</v>
      </c>
      <c r="G390" s="65" t="n">
        <f aca="false">IF('Onshore- Melbourne'!E51="","-",'Onshore- Melbourne'!E51)</f>
        <v>2150</v>
      </c>
      <c r="H390" s="63" t="n">
        <f aca="false">IF(ISNUMBER(K390),COUNTIFS($J$6:$J$1916,J390,$K$6:$K$1916,"&lt;"&amp;K390)+1,"-")</f>
        <v>6</v>
      </c>
      <c r="I390" s="64" t="str">
        <f aca="false">IF('Onshore- Melbourne'!E51="","Harga belum tersedia - hubungi konsultan TEG",IF(M390=2,"Saat ini tidak menerima pendaftaran siswa internasional baru",IF(M390=1,"Harga perlu dikonfirmasi ke sekolah"&amp;IF("Harga promo s.d. 31/12/2026; Harga dihitung per unit; total tergantung jumlah unit yang diambil; Sudah termasuk beasiswa 20% (syarat berlaku)"="","","; "&amp;"Harga promo s.d. 31/12/2026; Harga dihitung per unit; total tergantung jumlah unit yang diambil; Sudah termasuk beasiswa 20% (syarat berlaku)"),"Harga promo s.d. 31/12/2026; Harga dihitung per unit; total tergantung jumlah unit yang diambil; Sudah termasuk beasiswa 20% (syarat berlaku)")))</f>
        <v>Harga promo s.d. 31/12/2026; Harga dihitung per unit; total tergantung jumlah unit yang diambil; Sudah termasuk beasiswa 20% (syarat berlaku)</v>
      </c>
      <c r="J390" s="0" t="s">
        <v>3891</v>
      </c>
      <c r="K390" s="0" t="n">
        <f aca="false">IF(M390=2,"",IF(ISNUMBER(SEARCH("rata-rata:",'Onshore- Melbourne'!M51)),VALUE(MID('Onshore- Melbourne'!M51,SEARCH("rata-rata:",'Onshore- Melbourne'!M51)+11,FIND(";",'Onshore- Melbourne'!M51&amp;";",SEARCH("rata-rata:",'Onshore- Melbourne'!M51))-SEARCH("rata-rata:",'Onshore- Melbourne'!M51)-11)),IF('Onshore- Melbourne'!D51="Semester",'Onshore- Melbourne'!E51*2,IF('Onshore- Melbourne'!D51="Trimester",'Onshore- Melbourne'!E51*3,IF('Onshore- Melbourne'!D51="Term",'Onshore- Melbourne'!E51*4,IF('Onshore- Melbourne'!D51="Unit",'Onshore- Melbourne'!E51*8,""))))))</f>
        <v>17200</v>
      </c>
      <c r="L390" s="0" t="n">
        <f aca="false">IF(AND(ISNUMBER('Onshore- Melbourne'!E51),ISNUMBER(K390),ISNUMBER('Onshore- Melbourne'!F51),ISNUMBER('Onshore- Melbourne'!G51),OR('Onshore- Melbourne'!F51&lt;&gt;0,ISNUMBER(SEARCH("Material 0 terverifikasi",'Onshore- Melbourne'!M51))),OR('Onshore- Melbourne'!G51&lt;&gt;0,ISNUMBER(SEARCH("Enrolment 0 terverifikasi",'Onshore- Melbourne'!M51)))),1,0)</f>
        <v>1</v>
      </c>
      <c r="M390" s="0" t="n">
        <f aca="false">IF(OR('Onshore- Melbourne'!E51="",ISNUMBER(SEARCH("BSB80120",'Onshore- Melbourne'!B51&amp;'Onshore- Melbourne'!M51)),ISNUMBER(SEARCH("Management (Learning)",'Onshore- Melbourne'!B51))),2,IF(ISNUMBER(SEARCH("CEK:",'Onshore- Melbourne'!M51)),1,0))</f>
        <v>0</v>
      </c>
    </row>
    <row r="391" customFormat="false" ht="15" hidden="false" customHeight="false" outlineLevel="0" collapsed="false">
      <c r="A391" s="63" t="s">
        <v>3544</v>
      </c>
      <c r="B391" s="64" t="s">
        <v>3833</v>
      </c>
      <c r="C391" s="63" t="s">
        <v>46</v>
      </c>
      <c r="D391" s="64" t="str">
        <f aca="false">TRIM(LEFT('Onshore- Melbourne'!A392,FIND(CHAR(10),'Onshore- Melbourne'!A392&amp;CHAR(10))-1))</f>
        <v>Ozford Institute of Higher Education</v>
      </c>
      <c r="E391" s="63" t="str">
        <f aca="false">'Onshore- Melbourne'!C394&amp;""</f>
        <v>2 years</v>
      </c>
      <c r="F391" s="63" t="str">
        <f aca="false">IF('Onshore- Melbourne'!D394="","Belum tercatat",'Onshore- Melbourne'!D394)</f>
        <v>Term</v>
      </c>
      <c r="G391" s="65" t="n">
        <f aca="false">IF('Onshore- Melbourne'!E394="","-",'Onshore- Melbourne'!E394)</f>
        <v>4650</v>
      </c>
      <c r="H391" s="63" t="n">
        <f aca="false">IF(ISNUMBER(K391),COUNTIFS($J$6:$J$1916,J391,$K$6:$K$1916,"&lt;"&amp;K391)+1,"-")</f>
        <v>7</v>
      </c>
      <c r="I391" s="64" t="str">
        <f aca="false">IF('Onshore- Melbourne'!E394="","Harga belum tersedia - hubungi konsultan TEG",IF(M391=2,"Saat ini tidak menerima pendaftaran siswa internasional baru",IF(M391=1,"Harga perlu dikonfirmasi ke sekolah"&amp;IF(""="","","; "&amp;""),"")))</f>
        <v>Harga perlu dikonfirmasi ke sekolah</v>
      </c>
      <c r="J391" s="0" t="s">
        <v>3891</v>
      </c>
      <c r="K391" s="0" t="n">
        <f aca="false">IF(M391=2,"",IF(ISNUMBER(SEARCH("rata-rata:",'Onshore- Melbourne'!M394)),VALUE(MID('Onshore- Melbourne'!M394,SEARCH("rata-rata:",'Onshore- Melbourne'!M394)+11,FIND(";",'Onshore- Melbourne'!M394&amp;";",SEARCH("rata-rata:",'Onshore- Melbourne'!M394))-SEARCH("rata-rata:",'Onshore- Melbourne'!M394)-11)),IF('Onshore- Melbourne'!D394="Semester",'Onshore- Melbourne'!E394*2,IF('Onshore- Melbourne'!D394="Trimester",'Onshore- Melbourne'!E394*3,IF('Onshore- Melbourne'!D394="Term",'Onshore- Melbourne'!E394*4,IF('Onshore- Melbourne'!D394="Unit",'Onshore- Melbourne'!E394*8,""))))))</f>
        <v>18600</v>
      </c>
      <c r="L391" s="0" t="n">
        <f aca="false">IF(AND(ISNUMBER('Onshore- Melbourne'!E394),ISNUMBER(K391),ISNUMBER('Onshore- Melbourne'!F394),ISNUMBER('Onshore- Melbourne'!G394),OR('Onshore- Melbourne'!F394&lt;&gt;0,ISNUMBER(SEARCH("Material 0 terverifikasi",'Onshore- Melbourne'!M394))),OR('Onshore- Melbourne'!G394&lt;&gt;0,ISNUMBER(SEARCH("Enrolment 0 terverifikasi",'Onshore- Melbourne'!M394)))),1,0)</f>
        <v>1</v>
      </c>
      <c r="M391" s="0" t="n">
        <f aca="false">IF(OR('Onshore- Melbourne'!E394="",ISNUMBER(SEARCH("BSB80120",'Onshore- Melbourne'!B394&amp;'Onshore- Melbourne'!M394)),ISNUMBER(SEARCH("Management (Learning)",'Onshore- Melbourne'!B394))),2,IF(ISNUMBER(SEARCH("CEK:",'Onshore- Melbourne'!M394)),1,0))</f>
        <v>1</v>
      </c>
    </row>
    <row r="392" customFormat="false" ht="15" hidden="false" customHeight="false" outlineLevel="0" collapsed="false">
      <c r="A392" s="63" t="s">
        <v>3544</v>
      </c>
      <c r="B392" s="64" t="s">
        <v>3833</v>
      </c>
      <c r="C392" s="63" t="s">
        <v>46</v>
      </c>
      <c r="D392" s="64" t="str">
        <f aca="false">TRIM(LEFT('Onshore- Melbourne'!A77,FIND(CHAR(10),'Onshore- Melbourne'!A77&amp;CHAR(10))-1))</f>
        <v>Asia Pacific International College (APIC)</v>
      </c>
      <c r="E392" s="63" t="str">
        <f aca="false">'Onshore- Melbourne'!C84&amp;""</f>
        <v>2 years</v>
      </c>
      <c r="F392" s="63" t="str">
        <f aca="false">IF('Onshore- Melbourne'!D84="","Belum tercatat",'Onshore- Melbourne'!D84)</f>
        <v>Trimester</v>
      </c>
      <c r="G392" s="65" t="n">
        <f aca="false">IF('Onshore- Melbourne'!E84="","-",'Onshore- Melbourne'!E84)</f>
        <v>7800</v>
      </c>
      <c r="H392" s="63" t="n">
        <f aca="false">IF(ISNUMBER(K392),COUNTIFS($J$6:$J$1916,J392,$K$6:$K$1916,"&lt;"&amp;K392)+1,"-")</f>
        <v>8</v>
      </c>
      <c r="I392" s="64" t="str">
        <f aca="false">IF('Onshore- Melbourne'!E84="","Harga belum tersedia - hubungi konsultan TEG",IF(M392=2,"Saat ini tidak menerima pendaftaran siswa internasional baru",IF(M392=1,"Harga perlu dikonfirmasi ke sekolah"&amp;IF(""="","","; "&amp;""),"")))</f>
        <v>Harga perlu dikonfirmasi ke sekolah</v>
      </c>
      <c r="J392" s="0" t="s">
        <v>3891</v>
      </c>
      <c r="K392" s="0" t="n">
        <f aca="false">IF(M392=2,"",IF(ISNUMBER(SEARCH("rata-rata:",'Onshore- Melbourne'!M84)),VALUE(MID('Onshore- Melbourne'!M84,SEARCH("rata-rata:",'Onshore- Melbourne'!M84)+11,FIND(";",'Onshore- Melbourne'!M84&amp;";",SEARCH("rata-rata:",'Onshore- Melbourne'!M84))-SEARCH("rata-rata:",'Onshore- Melbourne'!M84)-11)),IF('Onshore- Melbourne'!D84="Semester",'Onshore- Melbourne'!E84*2,IF('Onshore- Melbourne'!D84="Trimester",'Onshore- Melbourne'!E84*3,IF('Onshore- Melbourne'!D84="Term",'Onshore- Melbourne'!E84*4,IF('Onshore- Melbourne'!D84="Unit",'Onshore- Melbourne'!E84*8,""))))))</f>
        <v>23400</v>
      </c>
      <c r="L392" s="0" t="n">
        <f aca="false">IF(AND(ISNUMBER('Onshore- Melbourne'!E84),ISNUMBER(K392),ISNUMBER('Onshore- Melbourne'!F84),ISNUMBER('Onshore- Melbourne'!G84),OR('Onshore- Melbourne'!F84&lt;&gt;0,ISNUMBER(SEARCH("Material 0 terverifikasi",'Onshore- Melbourne'!M84))),OR('Onshore- Melbourne'!G84&lt;&gt;0,ISNUMBER(SEARCH("Enrolment 0 terverifikasi",'Onshore- Melbourne'!M84)))),1,0)</f>
        <v>0</v>
      </c>
      <c r="M392" s="0" t="n">
        <f aca="false">IF(OR('Onshore- Melbourne'!E84="",ISNUMBER(SEARCH("BSB80120",'Onshore- Melbourne'!B84&amp;'Onshore- Melbourne'!M84)),ISNUMBER(SEARCH("Management (Learning)",'Onshore- Melbourne'!B84))),2,IF(ISNUMBER(SEARCH("CEK:",'Onshore- Melbourne'!M84)),1,0))</f>
        <v>1</v>
      </c>
    </row>
    <row r="393" customFormat="false" ht="15" hidden="false" customHeight="false" outlineLevel="0" collapsed="false">
      <c r="A393" s="63" t="s">
        <v>3544</v>
      </c>
      <c r="B393" s="64" t="s">
        <v>3833</v>
      </c>
      <c r="C393" s="63" t="s">
        <v>46</v>
      </c>
      <c r="D393" s="64" t="str">
        <f aca="false">TRIM(LEFT('Onshore- Melbourne'!A566,FIND(CHAR(10),'Onshore- Melbourne'!A566&amp;CHAR(10))-1))</f>
        <v>University of Tasmania (UTAS)</v>
      </c>
      <c r="E393" s="63" t="str">
        <f aca="false">'Onshore- Melbourne'!C569&amp;""</f>
        <v>2 years</v>
      </c>
      <c r="F393" s="63" t="str">
        <f aca="false">IF('Onshore- Melbourne'!D569="","Belum tercatat",'Onshore- Melbourne'!D569)</f>
        <v>Term</v>
      </c>
      <c r="G393" s="65" t="n">
        <f aca="false">IF('Onshore- Melbourne'!E569="","-",'Onshore- Melbourne'!E569)</f>
        <v>8522</v>
      </c>
      <c r="H393" s="63" t="n">
        <f aca="false">IF(ISNUMBER(K393),COUNTIFS($J$6:$J$1916,J393,$K$6:$K$1916,"&lt;"&amp;K393)+1,"-")</f>
        <v>9</v>
      </c>
      <c r="I393" s="64" t="str">
        <f aca="false">IF('Onshore- Melbourne'!E569="","Harga belum tersedia - hubungi konsultan TEG",IF(M393=2,"Saat ini tidak menerima pendaftaran siswa internasional baru",IF(M393=1,"Harga perlu dikonfirmasi ke sekolah"&amp;IF(""="","","; "&amp;""),"")))</f>
        <v>Harga perlu dikonfirmasi ke sekolah</v>
      </c>
      <c r="J393" s="0" t="s">
        <v>3891</v>
      </c>
      <c r="K393" s="0" t="n">
        <f aca="false">IF(M393=2,"",IF(ISNUMBER(SEARCH("rata-rata:",'Onshore- Melbourne'!M569)),VALUE(MID('Onshore- Melbourne'!M569,SEARCH("rata-rata:",'Onshore- Melbourne'!M569)+11,FIND(";",'Onshore- Melbourne'!M569&amp;";",SEARCH("rata-rata:",'Onshore- Melbourne'!M569))-SEARCH("rata-rata:",'Onshore- Melbourne'!M569)-11)),IF('Onshore- Melbourne'!D569="Semester",'Onshore- Melbourne'!E569*2,IF('Onshore- Melbourne'!D569="Trimester",'Onshore- Melbourne'!E569*3,IF('Onshore- Melbourne'!D569="Term",'Onshore- Melbourne'!E569*4,IF('Onshore- Melbourne'!D569="Unit",'Onshore- Melbourne'!E569*8,""))))))</f>
        <v>34088</v>
      </c>
      <c r="L393" s="0" t="n">
        <f aca="false">IF(AND(ISNUMBER('Onshore- Melbourne'!E569),ISNUMBER(K393),ISNUMBER('Onshore- Melbourne'!F569),ISNUMBER('Onshore- Melbourne'!G569),OR('Onshore- Melbourne'!F569&lt;&gt;0,ISNUMBER(SEARCH("Material 0 terverifikasi",'Onshore- Melbourne'!M569))),OR('Onshore- Melbourne'!G569&lt;&gt;0,ISNUMBER(SEARCH("Enrolment 0 terverifikasi",'Onshore- Melbourne'!M569)))),1,0)</f>
        <v>0</v>
      </c>
      <c r="M393" s="0" t="n">
        <f aca="false">IF(OR('Onshore- Melbourne'!E569="",ISNUMBER(SEARCH("BSB80120",'Onshore- Melbourne'!B569&amp;'Onshore- Melbourne'!M569)),ISNUMBER(SEARCH("Management (Learning)",'Onshore- Melbourne'!B569))),2,IF(ISNUMBER(SEARCH("CEK:",'Onshore- Melbourne'!M569)),1,0))</f>
        <v>1</v>
      </c>
    </row>
    <row r="394" customFormat="false" ht="15" hidden="false" customHeight="false" outlineLevel="0" collapsed="false">
      <c r="A394" s="63" t="s">
        <v>3544</v>
      </c>
      <c r="B394" s="64" t="s">
        <v>3833</v>
      </c>
      <c r="C394" s="63" t="s">
        <v>46</v>
      </c>
      <c r="D394" s="64" t="str">
        <f aca="false">TRIM(LEFT('Onshore- Melbourne'!A461,FIND(CHAR(10),'Onshore- Melbourne'!A461&amp;CHAR(10))-1))</f>
        <v>Torrens University Australia</v>
      </c>
      <c r="E394" s="63" t="str">
        <f aca="false">'Onshore- Melbourne'!C476&amp;""</f>
        <v>1,5 years</v>
      </c>
      <c r="F394" s="63" t="str">
        <f aca="false">IF('Onshore- Melbourne'!D476="","Belum tercatat",'Onshore- Melbourne'!D476)</f>
        <v>Term</v>
      </c>
      <c r="G394" s="65" t="n">
        <f aca="false">IF('Onshore- Melbourne'!E476="","-",'Onshore- Melbourne'!E476)</f>
        <v>9000</v>
      </c>
      <c r="H394" s="63" t="n">
        <f aca="false">IF(ISNUMBER(K394),COUNTIFS($J$6:$J$1916,J394,$K$6:$K$1916,"&lt;"&amp;K394)+1,"-")</f>
        <v>10</v>
      </c>
      <c r="I394" s="64" t="str">
        <f aca="false">IF('Onshore- Melbourne'!E476="","Harga belum tersedia - hubungi konsultan TEG",IF(M394=2,"Saat ini tidak menerima pendaftaran siswa internasional baru",IF(M394=1,"Harga perlu dikonfirmasi ke sekolah"&amp;IF(""="","","; "&amp;""),"")))</f>
        <v/>
      </c>
      <c r="J394" s="0" t="s">
        <v>3891</v>
      </c>
      <c r="K394" s="0" t="n">
        <f aca="false">IF(M394=2,"",IF(ISNUMBER(SEARCH("rata-rata:",'Onshore- Melbourne'!M476)),VALUE(MID('Onshore- Melbourne'!M476,SEARCH("rata-rata:",'Onshore- Melbourne'!M476)+11,FIND(";",'Onshore- Melbourne'!M476&amp;";",SEARCH("rata-rata:",'Onshore- Melbourne'!M476))-SEARCH("rata-rata:",'Onshore- Melbourne'!M476)-11)),IF('Onshore- Melbourne'!D476="Semester",'Onshore- Melbourne'!E476*2,IF('Onshore- Melbourne'!D476="Trimester",'Onshore- Melbourne'!E476*3,IF('Onshore- Melbourne'!D476="Term",'Onshore- Melbourne'!E476*4,IF('Onshore- Melbourne'!D476="Unit",'Onshore- Melbourne'!E476*8,""))))))</f>
        <v>36000</v>
      </c>
      <c r="L394" s="0" t="n">
        <f aca="false">IF(AND(ISNUMBER('Onshore- Melbourne'!E476),ISNUMBER(K394),ISNUMBER('Onshore- Melbourne'!F476),ISNUMBER('Onshore- Melbourne'!G476),OR('Onshore- Melbourne'!F476&lt;&gt;0,ISNUMBER(SEARCH("Material 0 terverifikasi",'Onshore- Melbourne'!M476))),OR('Onshore- Melbourne'!G476&lt;&gt;0,ISNUMBER(SEARCH("Enrolment 0 terverifikasi",'Onshore- Melbourne'!M476)))),1,0)</f>
        <v>0</v>
      </c>
      <c r="M394" s="0" t="n">
        <f aca="false">IF(OR('Onshore- Melbourne'!E476="",ISNUMBER(SEARCH("BSB80120",'Onshore- Melbourne'!B476&amp;'Onshore- Melbourne'!M476)),ISNUMBER(SEARCH("Management (Learning)",'Onshore- Melbourne'!B476))),2,IF(ISNUMBER(SEARCH("CEK:",'Onshore- Melbourne'!M476)),1,0))</f>
        <v>0</v>
      </c>
    </row>
    <row r="395" customFormat="false" ht="15" hidden="false" customHeight="false" outlineLevel="0" collapsed="false">
      <c r="A395" s="63" t="s">
        <v>3544</v>
      </c>
      <c r="B395" s="64" t="s">
        <v>3833</v>
      </c>
      <c r="C395" s="63" t="s">
        <v>46</v>
      </c>
      <c r="D395" s="64" t="str">
        <f aca="false">TRIM(LEFT('Onshore- Melbourne'!A94,FIND(CHAR(10),'Onshore- Melbourne'!A94&amp;CHAR(10))-1))</f>
        <v>Australian Catholic University (ACU)</v>
      </c>
      <c r="E395" s="63" t="str">
        <f aca="false">'Onshore- Melbourne'!C120&amp;""</f>
        <v>2 years</v>
      </c>
      <c r="F395" s="63" t="str">
        <f aca="false">IF('Onshore- Melbourne'!D120="","Belum tercatat",'Onshore- Melbourne'!D120)</f>
        <v>Term</v>
      </c>
      <c r="G395" s="65" t="n">
        <f aca="false">IF('Onshore- Melbourne'!E120="","-",'Onshore- Melbourne'!E120)</f>
        <v>9524</v>
      </c>
      <c r="H395" s="63" t="n">
        <f aca="false">IF(ISNUMBER(K395),COUNTIFS($J$6:$J$1916,J395,$K$6:$K$1916,"&lt;"&amp;K395)+1,"-")</f>
        <v>11</v>
      </c>
      <c r="I395" s="64" t="str">
        <f aca="false">IF('Onshore- Melbourne'!E120="","Harga belum tersedia - hubungi konsultan TEG",IF(M395=2,"Saat ini tidak menerima pendaftaran siswa internasional baru",IF(M395=1,"Harga perlu dikonfirmasi ke sekolah"&amp;IF(""="","","; "&amp;""),"")))</f>
        <v/>
      </c>
      <c r="J395" s="0" t="s">
        <v>3891</v>
      </c>
      <c r="K395" s="0" t="n">
        <f aca="false">IF(M395=2,"",IF(ISNUMBER(SEARCH("rata-rata:",'Onshore- Melbourne'!M120)),VALUE(MID('Onshore- Melbourne'!M120,SEARCH("rata-rata:",'Onshore- Melbourne'!M120)+11,FIND(";",'Onshore- Melbourne'!M120&amp;";",SEARCH("rata-rata:",'Onshore- Melbourne'!M120))-SEARCH("rata-rata:",'Onshore- Melbourne'!M120)-11)),IF('Onshore- Melbourne'!D120="Semester",'Onshore- Melbourne'!E120*2,IF('Onshore- Melbourne'!D120="Trimester",'Onshore- Melbourne'!E120*3,IF('Onshore- Melbourne'!D120="Term",'Onshore- Melbourne'!E120*4,IF('Onshore- Melbourne'!D120="Unit",'Onshore- Melbourne'!E120*8,""))))))</f>
        <v>38096</v>
      </c>
      <c r="L395" s="0" t="n">
        <f aca="false">IF(AND(ISNUMBER('Onshore- Melbourne'!E120),ISNUMBER(K395),ISNUMBER('Onshore- Melbourne'!F120),ISNUMBER('Onshore- Melbourne'!G120),OR('Onshore- Melbourne'!F120&lt;&gt;0,ISNUMBER(SEARCH("Material 0 terverifikasi",'Onshore- Melbourne'!M120))),OR('Onshore- Melbourne'!G120&lt;&gt;0,ISNUMBER(SEARCH("Enrolment 0 terverifikasi",'Onshore- Melbourne'!M120)))),1,0)</f>
        <v>0</v>
      </c>
      <c r="M395" s="0" t="n">
        <f aca="false">IF(OR('Onshore- Melbourne'!E120="",ISNUMBER(SEARCH("BSB80120",'Onshore- Melbourne'!B120&amp;'Onshore- Melbourne'!M120)),ISNUMBER(SEARCH("Management (Learning)",'Onshore- Melbourne'!B120))),2,IF(ISNUMBER(SEARCH("CEK:",'Onshore- Melbourne'!M120)),1,0))</f>
        <v>0</v>
      </c>
    </row>
    <row r="396" customFormat="false" ht="15" hidden="false" customHeight="false" outlineLevel="0" collapsed="false">
      <c r="A396" s="63" t="s">
        <v>3544</v>
      </c>
      <c r="B396" s="64" t="s">
        <v>3833</v>
      </c>
      <c r="C396" s="63" t="s">
        <v>46</v>
      </c>
      <c r="D396" s="64" t="str">
        <f aca="false">TRIM(LEFT('Onshore- Melbourne'!A304,FIND(CHAR(10),'Onshore- Melbourne'!A304&amp;CHAR(10))-1))</f>
        <v>Kaplan Business School</v>
      </c>
      <c r="E396" s="63" t="str">
        <f aca="false">'Onshore- Melbourne'!C308&amp;""</f>
        <v>1,5 years</v>
      </c>
      <c r="F396" s="63" t="str">
        <f aca="false">IF('Onshore- Melbourne'!D308="","Belum tercatat",'Onshore- Melbourne'!D308)</f>
        <v>Trimester</v>
      </c>
      <c r="G396" s="65" t="n">
        <f aca="false">IF('Onshore- Melbourne'!E308="","-",'Onshore- Melbourne'!E308)</f>
        <v>19640</v>
      </c>
      <c r="H396" s="63" t="n">
        <f aca="false">IF(ISNUMBER(K396),COUNTIFS($J$6:$J$1916,J396,$K$6:$K$1916,"&lt;"&amp;K396)+1,"-")</f>
        <v>12</v>
      </c>
      <c r="I396" s="64" t="str">
        <f aca="false">IF('Onshore- Melbourne'!E308="","Harga belum tersedia - hubungi konsultan TEG",IF(M396=2,"Saat ini tidak menerima pendaftaran siswa internasional baru",IF(M396=1,"Harga perlu dikonfirmasi ke sekolah"&amp;IF(""="","","; "&amp;""),"")))</f>
        <v>Harga perlu dikonfirmasi ke sekolah</v>
      </c>
      <c r="J396" s="0" t="s">
        <v>3891</v>
      </c>
      <c r="K396" s="0" t="n">
        <f aca="false">IF(M396=2,"",IF(ISNUMBER(SEARCH("rata-rata:",'Onshore- Melbourne'!M308)),VALUE(MID('Onshore- Melbourne'!M308,SEARCH("rata-rata:",'Onshore- Melbourne'!M308)+11,FIND(";",'Onshore- Melbourne'!M308&amp;";",SEARCH("rata-rata:",'Onshore- Melbourne'!M308))-SEARCH("rata-rata:",'Onshore- Melbourne'!M308)-11)),IF('Onshore- Melbourne'!D308="Semester",'Onshore- Melbourne'!E308*2,IF('Onshore- Melbourne'!D308="Trimester",'Onshore- Melbourne'!E308*3,IF('Onshore- Melbourne'!D308="Term",'Onshore- Melbourne'!E308*4,IF('Onshore- Melbourne'!D308="Unit",'Onshore- Melbourne'!E308*8,""))))))</f>
        <v>58920</v>
      </c>
      <c r="L396" s="0" t="n">
        <f aca="false">IF(AND(ISNUMBER('Onshore- Melbourne'!E308),ISNUMBER(K396),ISNUMBER('Onshore- Melbourne'!F308),ISNUMBER('Onshore- Melbourne'!G308),OR('Onshore- Melbourne'!F308&lt;&gt;0,ISNUMBER(SEARCH("Material 0 terverifikasi",'Onshore- Melbourne'!M308))),OR('Onshore- Melbourne'!G308&lt;&gt;0,ISNUMBER(SEARCH("Enrolment 0 terverifikasi",'Onshore- Melbourne'!M308)))),1,0)</f>
        <v>1</v>
      </c>
      <c r="M396" s="0" t="n">
        <f aca="false">IF(OR('Onshore- Melbourne'!E308="",ISNUMBER(SEARCH("BSB80120",'Onshore- Melbourne'!B308&amp;'Onshore- Melbourne'!M308)),ISNUMBER(SEARCH("Management (Learning)",'Onshore- Melbourne'!B308))),2,IF(ISNUMBER(SEARCH("CEK:",'Onshore- Melbourne'!M308)),1,0))</f>
        <v>1</v>
      </c>
    </row>
    <row r="397" customFormat="false" ht="15" hidden="false" customHeight="false" outlineLevel="0" collapsed="false">
      <c r="A397" s="61" t="s">
        <v>3892</v>
      </c>
      <c r="B397" s="62"/>
      <c r="C397" s="62"/>
      <c r="D397" s="62"/>
      <c r="E397" s="62"/>
      <c r="F397" s="62"/>
      <c r="G397" s="62"/>
      <c r="H397" s="62"/>
      <c r="I397" s="62"/>
    </row>
    <row r="398" customFormat="false" ht="15" hidden="false" customHeight="false" outlineLevel="0" collapsed="false">
      <c r="A398" s="63" t="s">
        <v>3573</v>
      </c>
      <c r="B398" s="64" t="s">
        <v>3833</v>
      </c>
      <c r="C398" s="63" t="s">
        <v>40</v>
      </c>
      <c r="D398" s="64" t="str">
        <f aca="false">TRIM(LEFT('Onshore - Perth'!A28,FIND(CHAR(10),'Onshore - Perth'!A28&amp;CHAR(10))-1))</f>
        <v>Apeiro Institute</v>
      </c>
      <c r="E398" s="63" t="str">
        <f aca="false">'Onshore - Perth'!C34&amp;""</f>
        <v>2 years</v>
      </c>
      <c r="F398" s="63" t="str">
        <f aca="false">IF('Onshore - Perth'!D34="","Belum tercatat",'Onshore - Perth'!D34)</f>
        <v>Term</v>
      </c>
      <c r="G398" s="65" t="n">
        <f aca="false">IF('Onshore - Perth'!E34="","-",'Onshore - Perth'!E34)</f>
        <v>2575</v>
      </c>
      <c r="H398" s="63" t="n">
        <f aca="false">IF(ISNUMBER(K398),COUNTIFS($J$6:$J$1916,J398,$K$6:$K$1916,"&lt;"&amp;K398)+1,"-")</f>
        <v>1</v>
      </c>
      <c r="I398" s="64" t="str">
        <f aca="false">IF('Onshore - Perth'!E34="","Harga belum tersedia - hubungi konsultan TEG",IF(M398=2,"Saat ini tidak menerima pendaftaran siswa internasional baru",IF(M398=1,"Harga perlu dikonfirmasi ke sekolah"&amp;IF(""="","","; "&amp;""),"")))</f>
        <v/>
      </c>
      <c r="J398" s="0" t="s">
        <v>3893</v>
      </c>
      <c r="K398" s="0" t="n">
        <f aca="false">IF(M398=2,"",IF(ISNUMBER(SEARCH("rata-rata:",'Onshore - Perth'!M34)),VALUE(MID('Onshore - Perth'!M34,SEARCH("rata-rata:",'Onshore - Perth'!M34)+11,FIND(";",'Onshore - Perth'!M34&amp;";",SEARCH("rata-rata:",'Onshore - Perth'!M34))-SEARCH("rata-rata:",'Onshore - Perth'!M34)-11)),IF('Onshore - Perth'!D34="Semester",'Onshore - Perth'!E34*2,IF('Onshore - Perth'!D34="Trimester",'Onshore - Perth'!E34*3,IF('Onshore - Perth'!D34="Term",'Onshore - Perth'!E34*4,IF('Onshore - Perth'!D34="Unit",'Onshore - Perth'!E34*8,""))))))</f>
        <v>10300</v>
      </c>
      <c r="L398" s="0" t="n">
        <f aca="false">IF(AND(ISNUMBER('Onshore - Perth'!E34),ISNUMBER(K398),ISNUMBER('Onshore - Perth'!F34),ISNUMBER('Onshore - Perth'!G34),OR('Onshore - Perth'!F34&lt;&gt;0,ISNUMBER(SEARCH("Material 0 terverifikasi",'Onshore - Perth'!M34))),OR('Onshore - Perth'!G34&lt;&gt;0,ISNUMBER(SEARCH("Enrolment 0 terverifikasi",'Onshore - Perth'!M34)))),1,0)</f>
        <v>1</v>
      </c>
      <c r="M398" s="0" t="n">
        <f aca="false">IF(OR('Onshore - Perth'!E34="",ISNUMBER(SEARCH("BSB80120",'Onshore - Perth'!B34&amp;'Onshore - Perth'!M34)),ISNUMBER(SEARCH("Management (Learning)",'Onshore - Perth'!B34))),2,IF(ISNUMBER(SEARCH("CEK:",'Onshore - Perth'!M34)),1,0))</f>
        <v>0</v>
      </c>
    </row>
    <row r="399" customFormat="false" ht="15" hidden="false" customHeight="false" outlineLevel="0" collapsed="false">
      <c r="A399" s="61" t="s">
        <v>3894</v>
      </c>
      <c r="B399" s="62"/>
      <c r="C399" s="62"/>
      <c r="D399" s="62"/>
      <c r="E399" s="62"/>
      <c r="F399" s="62"/>
      <c r="G399" s="62"/>
      <c r="H399" s="62"/>
      <c r="I399" s="62"/>
    </row>
    <row r="400" customFormat="false" ht="15" hidden="false" customHeight="false" outlineLevel="0" collapsed="false">
      <c r="A400" s="63" t="s">
        <v>3573</v>
      </c>
      <c r="B400" s="64" t="s">
        <v>3833</v>
      </c>
      <c r="C400" s="63" t="s">
        <v>41</v>
      </c>
      <c r="D400" s="64" t="str">
        <f aca="false">TRIM(LEFT('Onshore - Perth'!A77,FIND(CHAR(10),'Onshore - Perth'!A77&amp;CHAR(10))-1))</f>
        <v>Greenwich College</v>
      </c>
      <c r="E400" s="63" t="str">
        <f aca="false">'Onshore - Perth'!C81&amp;""</f>
        <v>96 weeks</v>
      </c>
      <c r="F400" s="63" t="str">
        <f aca="false">IF('Onshore - Perth'!D81="","Belum tercatat",'Onshore - Perth'!D81)</f>
        <v>Term</v>
      </c>
      <c r="G400" s="65" t="n">
        <f aca="false">IF('Onshore - Perth'!E81="","-",'Onshore - Perth'!E81)</f>
        <v>1250</v>
      </c>
      <c r="H400" s="63" t="n">
        <f aca="false">IF(ISNUMBER(K400),COUNTIFS($J$6:$J$1916,J400,$K$6:$K$1916,"&lt;"&amp;K400)+1,"-")</f>
        <v>1</v>
      </c>
      <c r="I400" s="64" t="str">
        <f aca="false">IF('Onshore - Perth'!E81="","Harga belum tersedia - hubungi konsultan TEG",IF(M400=2,"Saat ini tidak menerima pendaftaran siswa internasional baru",IF(M400=1,"Harga perlu dikonfirmasi ke sekolah"&amp;IF(""="","","; "&amp;""),"")))</f>
        <v/>
      </c>
      <c r="J400" s="0" t="s">
        <v>3895</v>
      </c>
      <c r="K400" s="0" t="n">
        <f aca="false">IF(M400=2,"",IF(ISNUMBER(SEARCH("rata-rata:",'Onshore - Perth'!M81)),VALUE(MID('Onshore - Perth'!M81,SEARCH("rata-rata:",'Onshore - Perth'!M81)+11,FIND(";",'Onshore - Perth'!M81&amp;";",SEARCH("rata-rata:",'Onshore - Perth'!M81))-SEARCH("rata-rata:",'Onshore - Perth'!M81)-11)),IF('Onshore - Perth'!D81="Semester",'Onshore - Perth'!E81*2,IF('Onshore - Perth'!D81="Trimester",'Onshore - Perth'!E81*3,IF('Onshore - Perth'!D81="Term",'Onshore - Perth'!E81*4,IF('Onshore - Perth'!D81="Unit",'Onshore - Perth'!E81*8,""))))))</f>
        <v>5000</v>
      </c>
      <c r="L400" s="0" t="n">
        <f aca="false">IF(AND(ISNUMBER('Onshore - Perth'!E81),ISNUMBER(K400),ISNUMBER('Onshore - Perth'!F81),ISNUMBER('Onshore - Perth'!G81),OR('Onshore - Perth'!F81&lt;&gt;0,ISNUMBER(SEARCH("Material 0 terverifikasi",'Onshore - Perth'!M81))),OR('Onshore - Perth'!G81&lt;&gt;0,ISNUMBER(SEARCH("Enrolment 0 terverifikasi",'Onshore - Perth'!M81)))),1,0)</f>
        <v>1</v>
      </c>
      <c r="M400" s="0" t="n">
        <f aca="false">IF(OR('Onshore - Perth'!E81="",ISNUMBER(SEARCH("BSB80120",'Onshore - Perth'!B81&amp;'Onshore - Perth'!M81)),ISNUMBER(SEARCH("Management (Learning)",'Onshore - Perth'!B81))),2,IF(ISNUMBER(SEARCH("CEK:",'Onshore - Perth'!M81)),1,0))</f>
        <v>0</v>
      </c>
    </row>
    <row r="401" customFormat="false" ht="28.35" hidden="false" customHeight="false" outlineLevel="0" collapsed="false">
      <c r="A401" s="63" t="s">
        <v>3573</v>
      </c>
      <c r="B401" s="64" t="s">
        <v>3833</v>
      </c>
      <c r="C401" s="63" t="s">
        <v>41</v>
      </c>
      <c r="D401" s="64" t="str">
        <f aca="false">TRIM(LEFT('Onshore - Perth'!A110,FIND(CHAR(10),'Onshore - Perth'!A110&amp;CHAR(10))-1))</f>
        <v>Keystone College of Business and Technology (KCBT)</v>
      </c>
      <c r="E401" s="63" t="str">
        <f aca="false">'Onshore - Perth'!C121&amp;""</f>
        <v>1 year</v>
      </c>
      <c r="F401" s="63" t="str">
        <f aca="false">IF('Onshore - Perth'!D121="","Belum tercatat",'Onshore - Perth'!D121)</f>
        <v>Term</v>
      </c>
      <c r="G401" s="65" t="n">
        <f aca="false">IF('Onshore - Perth'!E121="","-",'Onshore - Perth'!E121)</f>
        <v>1625</v>
      </c>
      <c r="H401" s="63" t="n">
        <f aca="false">IF(ISNUMBER(K401),COUNTIFS($J$6:$J$1916,J401,$K$6:$K$1916,"&lt;"&amp;K401)+1,"-")</f>
        <v>2</v>
      </c>
      <c r="I401" s="64" t="str">
        <f aca="false">IF('Onshore - Perth'!E121="","Harga belum tersedia - hubungi konsultan TEG",IF(M401=2,"Saat ini tidak menerima pendaftaran siswa internasional baru",IF(M401=1,"Harga perlu dikonfirmasi ke sekolah"&amp;IF(""="","","; "&amp;""),"")))</f>
        <v/>
      </c>
      <c r="J401" s="0" t="s">
        <v>3895</v>
      </c>
      <c r="K401" s="0" t="n">
        <f aca="false">IF(M401=2,"",IF(ISNUMBER(SEARCH("rata-rata:",'Onshore - Perth'!M121)),VALUE(MID('Onshore - Perth'!M121,SEARCH("rata-rata:",'Onshore - Perth'!M121)+11,FIND(";",'Onshore - Perth'!M121&amp;";",SEARCH("rata-rata:",'Onshore - Perth'!M121))-SEARCH("rata-rata:",'Onshore - Perth'!M121)-11)),IF('Onshore - Perth'!D121="Semester",'Onshore - Perth'!E121*2,IF('Onshore - Perth'!D121="Trimester",'Onshore - Perth'!E121*3,IF('Onshore - Perth'!D121="Term",'Onshore - Perth'!E121*4,IF('Onshore - Perth'!D121="Unit",'Onshore - Perth'!E121*8,""))))))</f>
        <v>6500</v>
      </c>
      <c r="L401" s="0" t="n">
        <f aca="false">IF(AND(ISNUMBER('Onshore - Perth'!E121),ISNUMBER(K401),ISNUMBER('Onshore - Perth'!F121),ISNUMBER('Onshore - Perth'!G121),OR('Onshore - Perth'!F121&lt;&gt;0,ISNUMBER(SEARCH("Material 0 terverifikasi",'Onshore - Perth'!M121))),OR('Onshore - Perth'!G121&lt;&gt;0,ISNUMBER(SEARCH("Enrolment 0 terverifikasi",'Onshore - Perth'!M121)))),1,0)</f>
        <v>1</v>
      </c>
      <c r="M401" s="0" t="n">
        <f aca="false">IF(OR('Onshore - Perth'!E121="",ISNUMBER(SEARCH("BSB80120",'Onshore - Perth'!B121&amp;'Onshore - Perth'!M121)),ISNUMBER(SEARCH("Management (Learning)",'Onshore - Perth'!B121))),2,IF(ISNUMBER(SEARCH("CEK:",'Onshore - Perth'!M121)),1,0))</f>
        <v>0</v>
      </c>
    </row>
    <row r="402" customFormat="false" ht="15" hidden="false" customHeight="false" outlineLevel="0" collapsed="false">
      <c r="A402" s="63" t="s">
        <v>3573</v>
      </c>
      <c r="B402" s="64" t="s">
        <v>3833</v>
      </c>
      <c r="C402" s="63" t="s">
        <v>41</v>
      </c>
      <c r="D402" s="64" t="str">
        <f aca="false">TRIM(LEFT('Onshore - Perth'!A133,FIND(CHAR(10),'Onshore - Perth'!A133&amp;CHAR(10))-1))</f>
        <v>Novus College</v>
      </c>
      <c r="E402" s="63" t="str">
        <f aca="false">'Onshore - Perth'!C133&amp;""</f>
        <v>2 years</v>
      </c>
      <c r="F402" s="63" t="str">
        <f aca="false">IF('Onshore - Perth'!D133="","Belum tercatat",'Onshore - Perth'!D133)</f>
        <v>Term</v>
      </c>
      <c r="G402" s="65" t="n">
        <f aca="false">IF('Onshore - Perth'!E133="","-",'Onshore - Perth'!E133)</f>
        <v>2100</v>
      </c>
      <c r="H402" s="63" t="n">
        <f aca="false">IF(ISNUMBER(K402),COUNTIFS($J$6:$J$1916,J402,$K$6:$K$1916,"&lt;"&amp;K402)+1,"-")</f>
        <v>3</v>
      </c>
      <c r="I402" s="64" t="str">
        <f aca="false">IF('Onshore - Perth'!E133="","Harga belum tersedia - hubungi konsultan TEG",IF(M402=2,"Saat ini tidak menerima pendaftaran siswa internasional baru",IF(M402=1,"Program perlu dikonfirmasi ketersediaannya"&amp;IF(""="","","; "&amp;""),"")))</f>
        <v>Program perlu dikonfirmasi ketersediaannya</v>
      </c>
      <c r="J402" s="0" t="s">
        <v>3895</v>
      </c>
      <c r="K402" s="0" t="n">
        <f aca="false">IF(M402=2,"",IF(ISNUMBER(SEARCH("rata-rata:",'Onshore - Perth'!M133)),VALUE(MID('Onshore - Perth'!M133,SEARCH("rata-rata:",'Onshore - Perth'!M133)+11,FIND(";",'Onshore - Perth'!M133&amp;";",SEARCH("rata-rata:",'Onshore - Perth'!M133))-SEARCH("rata-rata:",'Onshore - Perth'!M133)-11)),IF('Onshore - Perth'!D133="Semester",'Onshore - Perth'!E133*2,IF('Onshore - Perth'!D133="Trimester",'Onshore - Perth'!E133*3,IF('Onshore - Perth'!D133="Term",'Onshore - Perth'!E133*4,IF('Onshore - Perth'!D133="Unit",'Onshore - Perth'!E133*8,""))))))</f>
        <v>8400</v>
      </c>
      <c r="L402" s="0" t="n">
        <f aca="false">IF(AND(ISNUMBER('Onshore - Perth'!E133),ISNUMBER(K402),ISNUMBER('Onshore - Perth'!F133),ISNUMBER('Onshore - Perth'!G133),OR('Onshore - Perth'!F133&lt;&gt;0,ISNUMBER(SEARCH("Material 0 terverifikasi",'Onshore - Perth'!M133))),OR('Onshore - Perth'!G133&lt;&gt;0,ISNUMBER(SEARCH("Enrolment 0 terverifikasi",'Onshore - Perth'!M133)))),1,0)</f>
        <v>1</v>
      </c>
      <c r="M402" s="0" t="n">
        <f aca="false">IF(OR('Onshore - Perth'!E133="",ISNUMBER(SEARCH("BSB80120",'Onshore - Perth'!B133&amp;'Onshore - Perth'!M133)),ISNUMBER(SEARCH("Management (Learning)",'Onshore - Perth'!B133))),2,IF(ISNUMBER(SEARCH("CEK:",'Onshore - Perth'!M133)),1,0))</f>
        <v>1</v>
      </c>
    </row>
    <row r="403" customFormat="false" ht="15" hidden="false" customHeight="false" outlineLevel="0" collapsed="false">
      <c r="A403" s="63" t="s">
        <v>3573</v>
      </c>
      <c r="B403" s="64" t="s">
        <v>3833</v>
      </c>
      <c r="C403" s="63" t="s">
        <v>41</v>
      </c>
      <c r="D403" s="64" t="str">
        <f aca="false">TRIM(LEFT('Onshore - Perth'!A124,FIND(CHAR(10),'Onshore - Perth'!A124&amp;CHAR(10))-1))</f>
        <v>Kingston International College</v>
      </c>
      <c r="E403" s="63" t="str">
        <f aca="false">'Onshore - Perth'!C126&amp;""</f>
        <v>2 years</v>
      </c>
      <c r="F403" s="63" t="str">
        <f aca="false">IF('Onshore - Perth'!D126="","Belum tercatat",'Onshore - Perth'!D126)</f>
        <v>Term</v>
      </c>
      <c r="G403" s="65" t="n">
        <f aca="false">IF('Onshore - Perth'!E126="","-",'Onshore - Perth'!E126)</f>
        <v>2600</v>
      </c>
      <c r="H403" s="63" t="n">
        <f aca="false">IF(ISNUMBER(K403),COUNTIFS($J$6:$J$1916,J403,$K$6:$K$1916,"&lt;"&amp;K403)+1,"-")</f>
        <v>4</v>
      </c>
      <c r="I403" s="64" t="str">
        <f aca="false">IF('Onshore - Perth'!E126="","Harga belum tersedia - hubungi konsultan TEG",IF(M403=2,"Saat ini tidak menerima pendaftaran siswa internasional baru",IF(M403=1,"Harga perlu dikonfirmasi ke sekolah"&amp;IF(""="","","; "&amp;""),"")))</f>
        <v/>
      </c>
      <c r="J403" s="0" t="s">
        <v>3895</v>
      </c>
      <c r="K403" s="0" t="n">
        <f aca="false">IF(M403=2,"",IF(ISNUMBER(SEARCH("rata-rata:",'Onshore - Perth'!M126)),VALUE(MID('Onshore - Perth'!M126,SEARCH("rata-rata:",'Onshore - Perth'!M126)+11,FIND(";",'Onshore - Perth'!M126&amp;";",SEARCH("rata-rata:",'Onshore - Perth'!M126))-SEARCH("rata-rata:",'Onshore - Perth'!M126)-11)),IF('Onshore - Perth'!D126="Semester",'Onshore - Perth'!E126*2,IF('Onshore - Perth'!D126="Trimester",'Onshore - Perth'!E126*3,IF('Onshore - Perth'!D126="Term",'Onshore - Perth'!E126*4,IF('Onshore - Perth'!D126="Unit",'Onshore - Perth'!E126*8,""))))))</f>
        <v>10400</v>
      </c>
      <c r="L403" s="0" t="n">
        <f aca="false">IF(AND(ISNUMBER('Onshore - Perth'!E126),ISNUMBER(K403),ISNUMBER('Onshore - Perth'!F126),ISNUMBER('Onshore - Perth'!G126),OR('Onshore - Perth'!F126&lt;&gt;0,ISNUMBER(SEARCH("Material 0 terverifikasi",'Onshore - Perth'!M126))),OR('Onshore - Perth'!G126&lt;&gt;0,ISNUMBER(SEARCH("Enrolment 0 terverifikasi",'Onshore - Perth'!M126)))),1,0)</f>
        <v>1</v>
      </c>
      <c r="M403" s="0" t="n">
        <f aca="false">IF(OR('Onshore - Perth'!E126="",ISNUMBER(SEARCH("BSB80120",'Onshore - Perth'!B126&amp;'Onshore - Perth'!M126)),ISNUMBER(SEARCH("Management (Learning)",'Onshore - Perth'!B126))),2,IF(ISNUMBER(SEARCH("CEK:",'Onshore - Perth'!M126)),1,0))</f>
        <v>0</v>
      </c>
    </row>
    <row r="404" customFormat="false" ht="28.35" hidden="false" customHeight="false" outlineLevel="0" collapsed="false">
      <c r="A404" s="63" t="s">
        <v>3573</v>
      </c>
      <c r="B404" s="64" t="s">
        <v>3833</v>
      </c>
      <c r="C404" s="63" t="s">
        <v>41</v>
      </c>
      <c r="D404" s="64" t="str">
        <f aca="false">TRIM(LEFT('Onshore - Perth'!A92,FIND(CHAR(10),'Onshore - Perth'!A92&amp;CHAR(10))-1))</f>
        <v>International Institute of Business and Technology (IIBT)</v>
      </c>
      <c r="E404" s="63" t="str">
        <f aca="false">'Onshore - Perth'!C92&amp;""</f>
        <v>1 year</v>
      </c>
      <c r="F404" s="63" t="str">
        <f aca="false">IF('Onshore - Perth'!D92="","Belum tercatat",'Onshore - Perth'!D92)</f>
        <v>Term</v>
      </c>
      <c r="G404" s="65" t="n">
        <f aca="false">IF('Onshore - Perth'!E92="","-",'Onshore - Perth'!E92)</f>
        <v>3750</v>
      </c>
      <c r="H404" s="63" t="n">
        <f aca="false">IF(ISNUMBER(K404),COUNTIFS($J$6:$J$1916,J404,$K$6:$K$1916,"&lt;"&amp;K404)+1,"-")</f>
        <v>5</v>
      </c>
      <c r="I404" s="64" t="str">
        <f aca="false">IF('Onshore - Perth'!E92="","Harga belum tersedia - hubungi konsultan TEG",IF(M404=2,"Saat ini tidak menerima pendaftaran siswa internasional baru",IF(M404=1,"Harga perlu dikonfirmasi ke sekolah"&amp;IF(""="","","; "&amp;""),"")))</f>
        <v/>
      </c>
      <c r="J404" s="0" t="s">
        <v>3895</v>
      </c>
      <c r="K404" s="0" t="n">
        <f aca="false">IF(M404=2,"",IF(ISNUMBER(SEARCH("rata-rata:",'Onshore - Perth'!M92)),VALUE(MID('Onshore - Perth'!M92,SEARCH("rata-rata:",'Onshore - Perth'!M92)+11,FIND(";",'Onshore - Perth'!M92&amp;";",SEARCH("rata-rata:",'Onshore - Perth'!M92))-SEARCH("rata-rata:",'Onshore - Perth'!M92)-11)),IF('Onshore - Perth'!D92="Semester",'Onshore - Perth'!E92*2,IF('Onshore - Perth'!D92="Trimester",'Onshore - Perth'!E92*3,IF('Onshore - Perth'!D92="Term",'Onshore - Perth'!E92*4,IF('Onshore - Perth'!D92="Unit",'Onshore - Perth'!E92*8,""))))))</f>
        <v>15000</v>
      </c>
      <c r="L404" s="0" t="n">
        <f aca="false">IF(AND(ISNUMBER('Onshore - Perth'!E92),ISNUMBER(K404),ISNUMBER('Onshore - Perth'!F92),ISNUMBER('Onshore - Perth'!G92),OR('Onshore - Perth'!F92&lt;&gt;0,ISNUMBER(SEARCH("Material 0 terverifikasi",'Onshore - Perth'!M92))),OR('Onshore - Perth'!G92&lt;&gt;0,ISNUMBER(SEARCH("Enrolment 0 terverifikasi",'Onshore - Perth'!M92)))),1,0)</f>
        <v>1</v>
      </c>
      <c r="M404" s="0" t="n">
        <f aca="false">IF(OR('Onshore - Perth'!E92="",ISNUMBER(SEARCH("BSB80120",'Onshore - Perth'!B92&amp;'Onshore - Perth'!M92)),ISNUMBER(SEARCH("Management (Learning)",'Onshore - Perth'!B92))),2,IF(ISNUMBER(SEARCH("CEK:",'Onshore - Perth'!M92)),1,0))</f>
        <v>0</v>
      </c>
    </row>
    <row r="405" customFormat="false" ht="15" hidden="false" customHeight="false" outlineLevel="0" collapsed="false">
      <c r="A405" s="63" t="s">
        <v>3573</v>
      </c>
      <c r="B405" s="64" t="s">
        <v>3833</v>
      </c>
      <c r="C405" s="63" t="s">
        <v>41</v>
      </c>
      <c r="D405" s="64" t="str">
        <f aca="false">TRIM(LEFT('Onshore - Perth'!A95,FIND(CHAR(10),'Onshore - Perth'!A95&amp;CHAR(10))-1))</f>
        <v>Kaplan Business School</v>
      </c>
      <c r="E405" s="63" t="str">
        <f aca="false">'Onshore - Perth'!C95&amp;""</f>
        <v>1 year</v>
      </c>
      <c r="F405" s="63" t="str">
        <f aca="false">IF('Onshore - Perth'!D95="","Belum tercatat",'Onshore - Perth'!D95)</f>
        <v>Trimester</v>
      </c>
      <c r="G405" s="65" t="n">
        <f aca="false">IF('Onshore - Perth'!E95="","-",'Onshore - Perth'!E95)</f>
        <v>11520</v>
      </c>
      <c r="H405" s="63" t="n">
        <f aca="false">IF(ISNUMBER(K405),COUNTIFS($J$6:$J$1916,J405,$K$6:$K$1916,"&lt;"&amp;K405)+1,"-")</f>
        <v>6</v>
      </c>
      <c r="I405" s="64" t="str">
        <f aca="false">IF('Onshore - Perth'!E95="","Harga belum tersedia - hubungi konsultan TEG",IF(M405=2,"Saat ini tidak menerima pendaftaran siswa internasional baru",IF(M405=1,"Harga perlu dikonfirmasi ke sekolah"&amp;IF(""="","","; "&amp;""),"")))</f>
        <v>Harga perlu dikonfirmasi ke sekolah</v>
      </c>
      <c r="J405" s="0" t="s">
        <v>3895</v>
      </c>
      <c r="K405" s="0" t="n">
        <f aca="false">IF(M405=2,"",IF(ISNUMBER(SEARCH("rata-rata:",'Onshore - Perth'!M95)),VALUE(MID('Onshore - Perth'!M95,SEARCH("rata-rata:",'Onshore - Perth'!M95)+11,FIND(";",'Onshore - Perth'!M95&amp;";",SEARCH("rata-rata:",'Onshore - Perth'!M95))-SEARCH("rata-rata:",'Onshore - Perth'!M95)-11)),IF('Onshore - Perth'!D95="Semester",'Onshore - Perth'!E95*2,IF('Onshore - Perth'!D95="Trimester",'Onshore - Perth'!E95*3,IF('Onshore - Perth'!D95="Term",'Onshore - Perth'!E95*4,IF('Onshore - Perth'!D95="Unit",'Onshore - Perth'!E95*8,""))))))</f>
        <v>34560</v>
      </c>
      <c r="L405" s="0" t="n">
        <f aca="false">IF(AND(ISNUMBER('Onshore - Perth'!E95),ISNUMBER(K405),ISNUMBER('Onshore - Perth'!F95),ISNUMBER('Onshore - Perth'!G95),OR('Onshore - Perth'!F95&lt;&gt;0,ISNUMBER(SEARCH("Material 0 terverifikasi",'Onshore - Perth'!M95))),OR('Onshore - Perth'!G95&lt;&gt;0,ISNUMBER(SEARCH("Enrolment 0 terverifikasi",'Onshore - Perth'!M95)))),1,0)</f>
        <v>1</v>
      </c>
      <c r="M405" s="0" t="n">
        <f aca="false">IF(OR('Onshore - Perth'!E95="",ISNUMBER(SEARCH("BSB80120",'Onshore - Perth'!B95&amp;'Onshore - Perth'!M95)),ISNUMBER(SEARCH("Management (Learning)",'Onshore - Perth'!B95))),2,IF(ISNUMBER(SEARCH("CEK:",'Onshore - Perth'!M95)),1,0))</f>
        <v>1</v>
      </c>
    </row>
    <row r="406" customFormat="false" ht="15" hidden="false" customHeight="false" outlineLevel="0" collapsed="false">
      <c r="A406" s="61" t="s">
        <v>3896</v>
      </c>
      <c r="B406" s="62"/>
      <c r="C406" s="62"/>
      <c r="D406" s="62"/>
      <c r="E406" s="62"/>
      <c r="F406" s="62"/>
      <c r="G406" s="62"/>
      <c r="H406" s="62"/>
      <c r="I406" s="62"/>
    </row>
    <row r="407" customFormat="false" ht="15" hidden="false" customHeight="false" outlineLevel="0" collapsed="false">
      <c r="A407" s="63" t="s">
        <v>3573</v>
      </c>
      <c r="B407" s="64" t="s">
        <v>3833</v>
      </c>
      <c r="C407" s="63" t="s">
        <v>42</v>
      </c>
      <c r="D407" s="64" t="str">
        <f aca="false">TRIM(LEFT('Onshore - Perth'!A77,FIND(CHAR(10),'Onshore - Perth'!A77&amp;CHAR(10))-1))</f>
        <v>Greenwich College</v>
      </c>
      <c r="E407" s="63" t="str">
        <f aca="false">'Onshore - Perth'!C82&amp;""</f>
        <v>172 weeks</v>
      </c>
      <c r="F407" s="63" t="str">
        <f aca="false">IF('Onshore - Perth'!D82="","Belum tercatat",'Onshore - Perth'!D82)</f>
        <v>Term</v>
      </c>
      <c r="G407" s="65" t="n">
        <f aca="false">IF('Onshore - Perth'!E82="","-",'Onshore - Perth'!E82)</f>
        <v>1250</v>
      </c>
      <c r="H407" s="63" t="n">
        <f aca="false">IF(ISNUMBER(K407),COUNTIFS($J$6:$J$1916,J407,$K$6:$K$1916,"&lt;"&amp;K407)+1,"-")</f>
        <v>1</v>
      </c>
      <c r="I407" s="64" t="str">
        <f aca="false">IF('Onshore - Perth'!E82="","Harga belum tersedia - hubungi konsultan TEG",IF(M407=2,"Saat ini tidak menerima pendaftaran siswa internasional baru",IF(M407=1,"Harga perlu dikonfirmasi ke sekolah"&amp;IF(""="","","; "&amp;""),"")))</f>
        <v/>
      </c>
      <c r="J407" s="0" t="s">
        <v>3897</v>
      </c>
      <c r="K407" s="0" t="n">
        <f aca="false">IF(M407=2,"",IF(ISNUMBER(SEARCH("rata-rata:",'Onshore - Perth'!M82)),VALUE(MID('Onshore - Perth'!M82,SEARCH("rata-rata:",'Onshore - Perth'!M82)+11,FIND(";",'Onshore - Perth'!M82&amp;";",SEARCH("rata-rata:",'Onshore - Perth'!M82))-SEARCH("rata-rata:",'Onshore - Perth'!M82)-11)),IF('Onshore - Perth'!D82="Semester",'Onshore - Perth'!E82*2,IF('Onshore - Perth'!D82="Trimester",'Onshore - Perth'!E82*3,IF('Onshore - Perth'!D82="Term",'Onshore - Perth'!E82*4,IF('Onshore - Perth'!D82="Unit",'Onshore - Perth'!E82*8,""))))))</f>
        <v>5000</v>
      </c>
      <c r="L407" s="0" t="n">
        <f aca="false">IF(AND(ISNUMBER('Onshore - Perth'!E82),ISNUMBER(K407),ISNUMBER('Onshore - Perth'!F82),ISNUMBER('Onshore - Perth'!G82),OR('Onshore - Perth'!F82&lt;&gt;0,ISNUMBER(SEARCH("Material 0 terverifikasi",'Onshore - Perth'!M82))),OR('Onshore - Perth'!G82&lt;&gt;0,ISNUMBER(SEARCH("Enrolment 0 terverifikasi",'Onshore - Perth'!M82)))),1,0)</f>
        <v>1</v>
      </c>
      <c r="M407" s="0" t="n">
        <f aca="false">IF(OR('Onshore - Perth'!E82="",ISNUMBER(SEARCH("BSB80120",'Onshore - Perth'!B82&amp;'Onshore - Perth'!M82)),ISNUMBER(SEARCH("Management (Learning)",'Onshore - Perth'!B82))),2,IF(ISNUMBER(SEARCH("CEK:",'Onshore - Perth'!M82)),1,0))</f>
        <v>0</v>
      </c>
    </row>
    <row r="408" customFormat="false" ht="15" hidden="false" customHeight="false" outlineLevel="0" collapsed="false">
      <c r="A408" s="63" t="s">
        <v>3573</v>
      </c>
      <c r="B408" s="64" t="s">
        <v>3833</v>
      </c>
      <c r="C408" s="63" t="s">
        <v>42</v>
      </c>
      <c r="D408" s="64" t="str">
        <f aca="false">TRIM(LEFT('Onshore - Perth'!A6,FIND(CHAR(10),'Onshore - Perth'!A6&amp;CHAR(10))-1))</f>
        <v>Academies Australasia</v>
      </c>
      <c r="E408" s="63" t="str">
        <f aca="false">'Onshore - Perth'!C6&amp;""</f>
        <v>1 years</v>
      </c>
      <c r="F408" s="63" t="str">
        <f aca="false">IF('Onshore - Perth'!D6="","Belum tercatat",'Onshore - Perth'!D6)</f>
        <v>Term</v>
      </c>
      <c r="G408" s="65" t="n">
        <f aca="false">IF('Onshore - Perth'!E6="","-",'Onshore - Perth'!E6)</f>
        <v>1350</v>
      </c>
      <c r="H408" s="63" t="n">
        <f aca="false">IF(ISNUMBER(K408),COUNTIFS($J$6:$J$1916,J408,$K$6:$K$1916,"&lt;"&amp;K408)+1,"-")</f>
        <v>2</v>
      </c>
      <c r="I408" s="64" t="str">
        <f aca="false">IF('Onshore - Perth'!E6="","Harga belum tersedia - hubungi konsultan TEG",IF(M408=2,"Saat ini tidak menerima pendaftaran siswa internasional baru",IF(M408=1,"Harga perlu dikonfirmasi ke sekolah"&amp;IF(""="","","; "&amp;""),"")))</f>
        <v>Harga perlu dikonfirmasi ke sekolah</v>
      </c>
      <c r="J408" s="0" t="s">
        <v>3897</v>
      </c>
      <c r="K408" s="0" t="n">
        <f aca="false">IF(M408=2,"",IF(ISNUMBER(SEARCH("rata-rata:",'Onshore - Perth'!M6)),VALUE(MID('Onshore - Perth'!M6,SEARCH("rata-rata:",'Onshore - Perth'!M6)+11,FIND(";",'Onshore - Perth'!M6&amp;";",SEARCH("rata-rata:",'Onshore - Perth'!M6))-SEARCH("rata-rata:",'Onshore - Perth'!M6)-11)),IF('Onshore - Perth'!D6="Semester",'Onshore - Perth'!E6*2,IF('Onshore - Perth'!D6="Trimester",'Onshore - Perth'!E6*3,IF('Onshore - Perth'!D6="Term",'Onshore - Perth'!E6*4,IF('Onshore - Perth'!D6="Unit",'Onshore - Perth'!E6*8,""))))))</f>
        <v>5400</v>
      </c>
      <c r="L408" s="0" t="n">
        <f aca="false">IF(AND(ISNUMBER('Onshore - Perth'!E6),ISNUMBER(K408),ISNUMBER('Onshore - Perth'!F6),ISNUMBER('Onshore - Perth'!G6),OR('Onshore - Perth'!F6&lt;&gt;0,ISNUMBER(SEARCH("Material 0 terverifikasi",'Onshore - Perth'!M6))),OR('Onshore - Perth'!G6&lt;&gt;0,ISNUMBER(SEARCH("Enrolment 0 terverifikasi",'Onshore - Perth'!M6)))),1,0)</f>
        <v>1</v>
      </c>
      <c r="M408" s="0" t="n">
        <f aca="false">IF(OR('Onshore - Perth'!E6="",ISNUMBER(SEARCH("BSB80120",'Onshore - Perth'!B6&amp;'Onshore - Perth'!M6)),ISNUMBER(SEARCH("Management (Learning)",'Onshore - Perth'!B6))),2,IF(ISNUMBER(SEARCH("CEK:",'Onshore - Perth'!M6)),1,0))</f>
        <v>1</v>
      </c>
    </row>
    <row r="409" customFormat="false" ht="15" hidden="false" customHeight="false" outlineLevel="0" collapsed="false">
      <c r="A409" s="63" t="s">
        <v>3573</v>
      </c>
      <c r="B409" s="64" t="s">
        <v>3833</v>
      </c>
      <c r="C409" s="63" t="s">
        <v>42</v>
      </c>
      <c r="D409" s="64" t="str">
        <f aca="false">TRIM(LEFT('Onshore - Perth'!A28,FIND(CHAR(10),'Onshore - Perth'!A28&amp;CHAR(10))-1))</f>
        <v>Apeiro Institute</v>
      </c>
      <c r="E409" s="63" t="str">
        <f aca="false">'Onshore - Perth'!C28&amp;""</f>
        <v>2 years</v>
      </c>
      <c r="F409" s="63" t="str">
        <f aca="false">IF('Onshore - Perth'!D28="","Belum tercatat",'Onshore - Perth'!D28)</f>
        <v>Term</v>
      </c>
      <c r="G409" s="65" t="n">
        <f aca="false">IF('Onshore - Perth'!E28="","-",'Onshore - Perth'!E28)</f>
        <v>1565</v>
      </c>
      <c r="H409" s="63" t="n">
        <f aca="false">IF(ISNUMBER(K409),COUNTIFS($J$6:$J$1916,J409,$K$6:$K$1916,"&lt;"&amp;K409)+1,"-")</f>
        <v>3</v>
      </c>
      <c r="I409" s="64" t="str">
        <f aca="false">IF('Onshore - Perth'!E28="","Harga belum tersedia - hubungi konsultan TEG",IF(M409=2,"Saat ini tidak menerima pendaftaran siswa internasional baru",IF(M409=1,"Harga perlu dikonfirmasi ke sekolah"&amp;IF(""="","","; "&amp;""),"")))</f>
        <v/>
      </c>
      <c r="J409" s="0" t="s">
        <v>3897</v>
      </c>
      <c r="K409" s="0" t="n">
        <f aca="false">IF(M409=2,"",IF(ISNUMBER(SEARCH("rata-rata:",'Onshore - Perth'!M28)),VALUE(MID('Onshore - Perth'!M28,SEARCH("rata-rata:",'Onshore - Perth'!M28)+11,FIND(";",'Onshore - Perth'!M28&amp;";",SEARCH("rata-rata:",'Onshore - Perth'!M28))-SEARCH("rata-rata:",'Onshore - Perth'!M28)-11)),IF('Onshore - Perth'!D28="Semester",'Onshore - Perth'!E28*2,IF('Onshore - Perth'!D28="Trimester",'Onshore - Perth'!E28*3,IF('Onshore - Perth'!D28="Term",'Onshore - Perth'!E28*4,IF('Onshore - Perth'!D28="Unit",'Onshore - Perth'!E28*8,""))))))</f>
        <v>6260</v>
      </c>
      <c r="L409" s="0" t="n">
        <f aca="false">IF(AND(ISNUMBER('Onshore - Perth'!E28),ISNUMBER(K409),ISNUMBER('Onshore - Perth'!F28),ISNUMBER('Onshore - Perth'!G28),OR('Onshore - Perth'!F28&lt;&gt;0,ISNUMBER(SEARCH("Material 0 terverifikasi",'Onshore - Perth'!M28))),OR('Onshore - Perth'!G28&lt;&gt;0,ISNUMBER(SEARCH("Enrolment 0 terverifikasi",'Onshore - Perth'!M28)))),1,0)</f>
        <v>1</v>
      </c>
      <c r="M409" s="0" t="n">
        <f aca="false">IF(OR('Onshore - Perth'!E28="",ISNUMBER(SEARCH("BSB80120",'Onshore - Perth'!B28&amp;'Onshore - Perth'!M28)),ISNUMBER(SEARCH("Management (Learning)",'Onshore - Perth'!B28))),2,IF(ISNUMBER(SEARCH("CEK:",'Onshore - Perth'!M28)),1,0))</f>
        <v>0</v>
      </c>
    </row>
    <row r="410" customFormat="false" ht="15" hidden="false" customHeight="false" outlineLevel="0" collapsed="false">
      <c r="A410" s="63" t="s">
        <v>3573</v>
      </c>
      <c r="B410" s="64" t="s">
        <v>3833</v>
      </c>
      <c r="C410" s="63" t="s">
        <v>42</v>
      </c>
      <c r="D410" s="64" t="str">
        <f aca="false">TRIM(LEFT('Onshore - Perth'!A139,FIND(CHAR(10),'Onshore - Perth'!A139&amp;CHAR(10))-1))</f>
        <v>Skills Institute Australia</v>
      </c>
      <c r="E410" s="63" t="str">
        <f aca="false">'Onshore - Perth'!C147&amp;""</f>
        <v>2 years</v>
      </c>
      <c r="F410" s="63" t="str">
        <f aca="false">IF('Onshore - Perth'!D147="","Belum tercatat",'Onshore - Perth'!D147)</f>
        <v>Term</v>
      </c>
      <c r="G410" s="65" t="n">
        <f aca="false">IF('Onshore - Perth'!E147="","-",'Onshore - Perth'!E147)</f>
        <v>1875</v>
      </c>
      <c r="H410" s="63" t="n">
        <f aca="false">IF(ISNUMBER(K410),COUNTIFS($J$6:$J$1916,J410,$K$6:$K$1916,"&lt;"&amp;K410)+1,"-")</f>
        <v>4</v>
      </c>
      <c r="I410" s="64" t="str">
        <f aca="false">IF('Onshore - Perth'!E147="","Harga belum tersedia - hubungi konsultan TEG",IF(M410=2,"Saat ini tidak menerima pendaftaran siswa internasional baru",IF(M410=1,"Harga perlu dikonfirmasi ke sekolah"&amp;IF(""="","","; "&amp;""),"")))</f>
        <v/>
      </c>
      <c r="J410" s="0" t="s">
        <v>3897</v>
      </c>
      <c r="K410" s="0" t="n">
        <f aca="false">IF(M410=2,"",IF(ISNUMBER(SEARCH("rata-rata:",'Onshore - Perth'!M147)),VALUE(MID('Onshore - Perth'!M147,SEARCH("rata-rata:",'Onshore - Perth'!M147)+11,FIND(";",'Onshore - Perth'!M147&amp;";",SEARCH("rata-rata:",'Onshore - Perth'!M147))-SEARCH("rata-rata:",'Onshore - Perth'!M147)-11)),IF('Onshore - Perth'!D147="Semester",'Onshore - Perth'!E147*2,IF('Onshore - Perth'!D147="Trimester",'Onshore - Perth'!E147*3,IF('Onshore - Perth'!D147="Term",'Onshore - Perth'!E147*4,IF('Onshore - Perth'!D147="Unit",'Onshore - Perth'!E147*8,""))))))</f>
        <v>7500</v>
      </c>
      <c r="L410" s="0" t="n">
        <f aca="false">IF(AND(ISNUMBER('Onshore - Perth'!E147),ISNUMBER(K410),ISNUMBER('Onshore - Perth'!F147),ISNUMBER('Onshore - Perth'!G147),OR('Onshore - Perth'!F147&lt;&gt;0,ISNUMBER(SEARCH("Material 0 terverifikasi",'Onshore - Perth'!M147))),OR('Onshore - Perth'!G147&lt;&gt;0,ISNUMBER(SEARCH("Enrolment 0 terverifikasi",'Onshore - Perth'!M147)))),1,0)</f>
        <v>1</v>
      </c>
      <c r="M410" s="0" t="n">
        <f aca="false">IF(OR('Onshore - Perth'!E147="",ISNUMBER(SEARCH("BSB80120",'Onshore - Perth'!B147&amp;'Onshore - Perth'!M147)),ISNUMBER(SEARCH("Management (Learning)",'Onshore - Perth'!B147))),2,IF(ISNUMBER(SEARCH("CEK:",'Onshore - Perth'!M147)),1,0))</f>
        <v>0</v>
      </c>
    </row>
    <row r="411" customFormat="false" ht="15" hidden="false" customHeight="false" outlineLevel="0" collapsed="false">
      <c r="A411" s="63" t="s">
        <v>3573</v>
      </c>
      <c r="B411" s="64" t="s">
        <v>3833</v>
      </c>
      <c r="C411" s="63" t="s">
        <v>42</v>
      </c>
      <c r="D411" s="64" t="str">
        <f aca="false">TRIM(LEFT('Onshore - Perth'!A133,FIND(CHAR(10),'Onshore - Perth'!A133&amp;CHAR(10))-1))</f>
        <v>Novus College</v>
      </c>
      <c r="E411" s="63" t="str">
        <f aca="false">'Onshore - Perth'!C134&amp;""</f>
        <v>2 years</v>
      </c>
      <c r="F411" s="63" t="str">
        <f aca="false">IF('Onshore - Perth'!D134="","Belum tercatat",'Onshore - Perth'!D134)</f>
        <v>Term</v>
      </c>
      <c r="G411" s="65" t="n">
        <f aca="false">IF('Onshore - Perth'!E134="","-",'Onshore - Perth'!E134)</f>
        <v>2100</v>
      </c>
      <c r="H411" s="63" t="n">
        <f aca="false">IF(ISNUMBER(K411),COUNTIFS($J$6:$J$1916,J411,$K$6:$K$1916,"&lt;"&amp;K411)+1,"-")</f>
        <v>5</v>
      </c>
      <c r="I411" s="64" t="str">
        <f aca="false">IF('Onshore - Perth'!E134="","Harga belum tersedia - hubungi konsultan TEG",IF(M411=2,"Saat ini tidak menerima pendaftaran siswa internasional baru",IF(M411=1,"Program perlu dikonfirmasi ketersediaannya"&amp;IF(""="","","; "&amp;""),"")))</f>
        <v>Program perlu dikonfirmasi ketersediaannya</v>
      </c>
      <c r="J411" s="0" t="s">
        <v>3897</v>
      </c>
      <c r="K411" s="0" t="n">
        <f aca="false">IF(M411=2,"",IF(ISNUMBER(SEARCH("rata-rata:",'Onshore - Perth'!M134)),VALUE(MID('Onshore - Perth'!M134,SEARCH("rata-rata:",'Onshore - Perth'!M134)+11,FIND(";",'Onshore - Perth'!M134&amp;";",SEARCH("rata-rata:",'Onshore - Perth'!M134))-SEARCH("rata-rata:",'Onshore - Perth'!M134)-11)),IF('Onshore - Perth'!D134="Semester",'Onshore - Perth'!E134*2,IF('Onshore - Perth'!D134="Trimester",'Onshore - Perth'!E134*3,IF('Onshore - Perth'!D134="Term",'Onshore - Perth'!E134*4,IF('Onshore - Perth'!D134="Unit",'Onshore - Perth'!E134*8,""))))))</f>
        <v>8400</v>
      </c>
      <c r="L411" s="0" t="n">
        <f aca="false">IF(AND(ISNUMBER('Onshore - Perth'!E134),ISNUMBER(K411),ISNUMBER('Onshore - Perth'!F134),ISNUMBER('Onshore - Perth'!G134),OR('Onshore - Perth'!F134&lt;&gt;0,ISNUMBER(SEARCH("Material 0 terverifikasi",'Onshore - Perth'!M134))),OR('Onshore - Perth'!G134&lt;&gt;0,ISNUMBER(SEARCH("Enrolment 0 terverifikasi",'Onshore - Perth'!M134)))),1,0)</f>
        <v>1</v>
      </c>
      <c r="M411" s="0" t="n">
        <f aca="false">IF(OR('Onshore - Perth'!E134="",ISNUMBER(SEARCH("BSB80120",'Onshore - Perth'!B134&amp;'Onshore - Perth'!M134)),ISNUMBER(SEARCH("Management (Learning)",'Onshore - Perth'!B134))),2,IF(ISNUMBER(SEARCH("CEK:",'Onshore - Perth'!M134)),1,0))</f>
        <v>1</v>
      </c>
    </row>
    <row r="412" customFormat="false" ht="15" hidden="false" customHeight="false" outlineLevel="0" collapsed="false">
      <c r="A412" s="63" t="s">
        <v>3573</v>
      </c>
      <c r="B412" s="64" t="s">
        <v>3833</v>
      </c>
      <c r="C412" s="63" t="s">
        <v>42</v>
      </c>
      <c r="D412" s="64" t="str">
        <f aca="false">TRIM(LEFT('Onshore - Perth'!A62,FIND(CHAR(10),'Onshore - Perth'!A62&amp;CHAR(10))-1))</f>
        <v>Global College Australasia</v>
      </c>
      <c r="E412" s="63" t="str">
        <f aca="false">'Onshore - Perth'!C68&amp;""</f>
        <v>2 years</v>
      </c>
      <c r="F412" s="63" t="str">
        <f aca="false">IF('Onshore - Perth'!D68="","Belum tercatat",'Onshore - Perth'!D68)</f>
        <v>Term</v>
      </c>
      <c r="G412" s="65" t="n">
        <f aca="false">IF('Onshore - Perth'!E68="","-",'Onshore - Perth'!E68)</f>
        <v>2580</v>
      </c>
      <c r="H412" s="63" t="n">
        <f aca="false">IF(ISNUMBER(K412),COUNTIFS($J$6:$J$1916,J412,$K$6:$K$1916,"&lt;"&amp;K412)+1,"-")</f>
        <v>6</v>
      </c>
      <c r="I412" s="64" t="str">
        <f aca="false">IF('Onshore - Perth'!E68="","Harga belum tersedia - hubungi konsultan TEG",IF(M412=2,"Saat ini tidak menerima pendaftaran siswa internasional baru",IF(M412=1,"Harga perlu dikonfirmasi ke sekolah"&amp;IF(""="","","; "&amp;""),"")))</f>
        <v>Harga perlu dikonfirmasi ke sekolah</v>
      </c>
      <c r="J412" s="0" t="s">
        <v>3897</v>
      </c>
      <c r="K412" s="0" t="n">
        <f aca="false">IF(M412=2,"",IF(ISNUMBER(SEARCH("rata-rata:",'Onshore - Perth'!M68)),VALUE(MID('Onshore - Perth'!M68,SEARCH("rata-rata:",'Onshore - Perth'!M68)+11,FIND(";",'Onshore - Perth'!M68&amp;";",SEARCH("rata-rata:",'Onshore - Perth'!M68))-SEARCH("rata-rata:",'Onshore - Perth'!M68)-11)),IF('Onshore - Perth'!D68="Semester",'Onshore - Perth'!E68*2,IF('Onshore - Perth'!D68="Trimester",'Onshore - Perth'!E68*3,IF('Onshore - Perth'!D68="Term",'Onshore - Perth'!E68*4,IF('Onshore - Perth'!D68="Unit",'Onshore - Perth'!E68*8,""))))))</f>
        <v>10320</v>
      </c>
      <c r="L412" s="0" t="n">
        <f aca="false">IF(AND(ISNUMBER('Onshore - Perth'!E68),ISNUMBER(K412),ISNUMBER('Onshore - Perth'!F68),ISNUMBER('Onshore - Perth'!G68),OR('Onshore - Perth'!F68&lt;&gt;0,ISNUMBER(SEARCH("Material 0 terverifikasi",'Onshore - Perth'!M68))),OR('Onshore - Perth'!G68&lt;&gt;0,ISNUMBER(SEARCH("Enrolment 0 terverifikasi",'Onshore - Perth'!M68)))),1,0)</f>
        <v>1</v>
      </c>
      <c r="M412" s="0" t="n">
        <f aca="false">IF(OR('Onshore - Perth'!E68="",ISNUMBER(SEARCH("BSB80120",'Onshore - Perth'!B68&amp;'Onshore - Perth'!M68)),ISNUMBER(SEARCH("Management (Learning)",'Onshore - Perth'!B68))),2,IF(ISNUMBER(SEARCH("CEK:",'Onshore - Perth'!M68)),1,0))</f>
        <v>1</v>
      </c>
    </row>
    <row r="413" customFormat="false" ht="15" hidden="false" customHeight="false" outlineLevel="0" collapsed="false">
      <c r="A413" s="63" t="s">
        <v>3573</v>
      </c>
      <c r="B413" s="64" t="s">
        <v>3833</v>
      </c>
      <c r="C413" s="63" t="s">
        <v>42</v>
      </c>
      <c r="D413" s="64" t="str">
        <f aca="false">TRIM(LEFT('Onshore - Perth'!A124,FIND(CHAR(10),'Onshore - Perth'!A124&amp;CHAR(10))-1))</f>
        <v>Kingston International College</v>
      </c>
      <c r="E413" s="63" t="str">
        <f aca="false">'Onshore - Perth'!C127&amp;""</f>
        <v>3 years</v>
      </c>
      <c r="F413" s="63" t="str">
        <f aca="false">IF('Onshore - Perth'!D127="","Belum tercatat",'Onshore - Perth'!D127)</f>
        <v>Term</v>
      </c>
      <c r="G413" s="65" t="n">
        <f aca="false">IF('Onshore - Perth'!E127="","-",'Onshore - Perth'!E127)</f>
        <v>2625</v>
      </c>
      <c r="H413" s="63" t="n">
        <f aca="false">IF(ISNUMBER(K413),COUNTIFS($J$6:$J$1916,J413,$K$6:$K$1916,"&lt;"&amp;K413)+1,"-")</f>
        <v>7</v>
      </c>
      <c r="I413" s="64" t="str">
        <f aca="false">IF('Onshore - Perth'!E127="","Harga belum tersedia - hubungi konsultan TEG",IF(M413=2,"Saat ini tidak menerima pendaftaran siswa internasional baru",IF(M413=1,"Harga perlu dikonfirmasi ke sekolah"&amp;IF(""="","","; "&amp;""),"")))</f>
        <v/>
      </c>
      <c r="J413" s="0" t="s">
        <v>3897</v>
      </c>
      <c r="K413" s="0" t="n">
        <f aca="false">IF(M413=2,"",IF(ISNUMBER(SEARCH("rata-rata:",'Onshore - Perth'!M127)),VALUE(MID('Onshore - Perth'!M127,SEARCH("rata-rata:",'Onshore - Perth'!M127)+11,FIND(";",'Onshore - Perth'!M127&amp;";",SEARCH("rata-rata:",'Onshore - Perth'!M127))-SEARCH("rata-rata:",'Onshore - Perth'!M127)-11)),IF('Onshore - Perth'!D127="Semester",'Onshore - Perth'!E127*2,IF('Onshore - Perth'!D127="Trimester",'Onshore - Perth'!E127*3,IF('Onshore - Perth'!D127="Term",'Onshore - Perth'!E127*4,IF('Onshore - Perth'!D127="Unit",'Onshore - Perth'!E127*8,""))))))</f>
        <v>10500</v>
      </c>
      <c r="L413" s="0" t="n">
        <f aca="false">IF(AND(ISNUMBER('Onshore - Perth'!E127),ISNUMBER(K413),ISNUMBER('Onshore - Perth'!F127),ISNUMBER('Onshore - Perth'!G127),OR('Onshore - Perth'!F127&lt;&gt;0,ISNUMBER(SEARCH("Material 0 terverifikasi",'Onshore - Perth'!M127))),OR('Onshore - Perth'!G127&lt;&gt;0,ISNUMBER(SEARCH("Enrolment 0 terverifikasi",'Onshore - Perth'!M127)))),1,0)</f>
        <v>1</v>
      </c>
      <c r="M413" s="0" t="n">
        <f aca="false">IF(OR('Onshore - Perth'!E127="",ISNUMBER(SEARCH("BSB80120",'Onshore - Perth'!B127&amp;'Onshore - Perth'!M127)),ISNUMBER(SEARCH("Management (Learning)",'Onshore - Perth'!B127))),2,IF(ISNUMBER(SEARCH("CEK:",'Onshore - Perth'!M127)),1,0))</f>
        <v>0</v>
      </c>
    </row>
    <row r="414" customFormat="false" ht="15" hidden="false" customHeight="false" outlineLevel="0" collapsed="false">
      <c r="A414" s="61" t="s">
        <v>3898</v>
      </c>
      <c r="B414" s="62"/>
      <c r="C414" s="62"/>
      <c r="D414" s="62"/>
      <c r="E414" s="62"/>
      <c r="F414" s="62"/>
      <c r="G414" s="62"/>
      <c r="H414" s="62"/>
      <c r="I414" s="62"/>
    </row>
    <row r="415" customFormat="false" ht="15" hidden="false" customHeight="false" outlineLevel="0" collapsed="false">
      <c r="A415" s="63" t="s">
        <v>3573</v>
      </c>
      <c r="B415" s="64" t="s">
        <v>3833</v>
      </c>
      <c r="C415" s="63" t="s">
        <v>43</v>
      </c>
      <c r="D415" s="64" t="str">
        <f aca="false">TRIM(LEFT('Onshore - Perth'!A14,FIND(CHAR(10),'Onshore - Perth'!A14&amp;CHAR(10))-1))</f>
        <v>AIBI Higher Education</v>
      </c>
      <c r="E415" s="63" t="str">
        <f aca="false">'Onshore - Perth'!C15&amp;""</f>
        <v>3 years</v>
      </c>
      <c r="F415" s="63" t="str">
        <f aca="false">IF('Onshore - Perth'!D15="","Belum tercatat",'Onshore - Perth'!D15)</f>
        <v>Term</v>
      </c>
      <c r="G415" s="65" t="n">
        <f aca="false">IF('Onshore - Perth'!E15="","-",'Onshore - Perth'!E15)</f>
        <v>3250</v>
      </c>
      <c r="H415" s="63" t="n">
        <f aca="false">IF(ISNUMBER(K415),COUNTIFS($J$6:$J$1916,J415,$K$6:$K$1916,"&lt;"&amp;K415)+1,"-")</f>
        <v>1</v>
      </c>
      <c r="I415" s="64" t="str">
        <f aca="false">IF('Onshore - Perth'!E15="","Harga belum tersedia - hubungi konsultan TEG",IF(M415=2,"Saat ini tidak menerima pendaftaran siswa internasional baru",IF(M415=1,"Harga perlu dikonfirmasi ke sekolah"&amp;IF(""="","","; "&amp;""),"")))</f>
        <v>Harga perlu dikonfirmasi ke sekolah</v>
      </c>
      <c r="J415" s="0" t="s">
        <v>3899</v>
      </c>
      <c r="K415" s="0" t="n">
        <f aca="false">IF(M415=2,"",IF(ISNUMBER(SEARCH("rata-rata:",'Onshore - Perth'!M15)),VALUE(MID('Onshore - Perth'!M15,SEARCH("rata-rata:",'Onshore - Perth'!M15)+11,FIND(";",'Onshore - Perth'!M15&amp;";",SEARCH("rata-rata:",'Onshore - Perth'!M15))-SEARCH("rata-rata:",'Onshore - Perth'!M15)-11)),IF('Onshore - Perth'!D15="Semester",'Onshore - Perth'!E15*2,IF('Onshore - Perth'!D15="Trimester",'Onshore - Perth'!E15*3,IF('Onshore - Perth'!D15="Term",'Onshore - Perth'!E15*4,IF('Onshore - Perth'!D15="Unit",'Onshore - Perth'!E15*8,""))))))</f>
        <v>13000</v>
      </c>
      <c r="L415" s="0" t="n">
        <f aca="false">IF(AND(ISNUMBER('Onshore - Perth'!E15),ISNUMBER(K415),ISNUMBER('Onshore - Perth'!F15),ISNUMBER('Onshore - Perth'!G15),OR('Onshore - Perth'!F15&lt;&gt;0,ISNUMBER(SEARCH("Material 0 terverifikasi",'Onshore - Perth'!M15))),OR('Onshore - Perth'!G15&lt;&gt;0,ISNUMBER(SEARCH("Enrolment 0 terverifikasi",'Onshore - Perth'!M15)))),1,0)</f>
        <v>0</v>
      </c>
      <c r="M415" s="0" t="n">
        <f aca="false">IF(OR('Onshore - Perth'!E15="",ISNUMBER(SEARCH("BSB80120",'Onshore - Perth'!B15&amp;'Onshore - Perth'!M15)),ISNUMBER(SEARCH("Management (Learning)",'Onshore - Perth'!B15))),2,IF(ISNUMBER(SEARCH("CEK:",'Onshore - Perth'!M15)),1,0))</f>
        <v>1</v>
      </c>
    </row>
    <row r="416" customFormat="false" ht="15" hidden="false" customHeight="false" outlineLevel="0" collapsed="false">
      <c r="A416" s="63" t="s">
        <v>3573</v>
      </c>
      <c r="B416" s="64" t="s">
        <v>3833</v>
      </c>
      <c r="C416" s="63" t="s">
        <v>43</v>
      </c>
      <c r="D416" s="64" t="str">
        <f aca="false">TRIM(LEFT('Onshore - Perth'!A137,FIND(CHAR(10),'Onshore - Perth'!A137&amp;CHAR(10))-1))</f>
        <v>Sheridan Institute of Higher Education</v>
      </c>
      <c r="E416" s="63" t="str">
        <f aca="false">'Onshore - Perth'!C137&amp;""</f>
        <v>3 years</v>
      </c>
      <c r="F416" s="63" t="str">
        <f aca="false">IF('Onshore - Perth'!D137="","Belum tercatat",'Onshore - Perth'!D137)</f>
        <v>Semester</v>
      </c>
      <c r="G416" s="65" t="n">
        <f aca="false">IF('Onshore - Perth'!E137="","-",'Onshore - Perth'!E137)</f>
        <v>7520</v>
      </c>
      <c r="H416" s="63" t="n">
        <f aca="false">IF(ISNUMBER(K416),COUNTIFS($J$6:$J$1916,J416,$K$6:$K$1916,"&lt;"&amp;K416)+1,"-")</f>
        <v>2</v>
      </c>
      <c r="I416" s="64" t="str">
        <f aca="false">IF('Onshore - Perth'!E137="","Harga belum tersedia - hubungi konsultan TEG",IF(M416=2,"Saat ini tidak menerima pendaftaran siswa internasional baru",IF(M416=1,"Harga perlu dikonfirmasi ke sekolah"&amp;IF(""="","","; "&amp;""),"")))</f>
        <v/>
      </c>
      <c r="J416" s="0" t="s">
        <v>3899</v>
      </c>
      <c r="K416" s="0" t="n">
        <f aca="false">IF(M416=2,"",IF(ISNUMBER(SEARCH("rata-rata:",'Onshore - Perth'!M137)),VALUE(MID('Onshore - Perth'!M137,SEARCH("rata-rata:",'Onshore - Perth'!M137)+11,FIND(";",'Onshore - Perth'!M137&amp;";",SEARCH("rata-rata:",'Onshore - Perth'!M137))-SEARCH("rata-rata:",'Onshore - Perth'!M137)-11)),IF('Onshore - Perth'!D137="Semester",'Onshore - Perth'!E137*2,IF('Onshore - Perth'!D137="Trimester",'Onshore - Perth'!E137*3,IF('Onshore - Perth'!D137="Term",'Onshore - Perth'!E137*4,IF('Onshore - Perth'!D137="Unit",'Onshore - Perth'!E137*8,""))))))</f>
        <v>15040</v>
      </c>
      <c r="L416" s="0" t="n">
        <f aca="false">IF(AND(ISNUMBER('Onshore - Perth'!E137),ISNUMBER(K416),ISNUMBER('Onshore - Perth'!F137),ISNUMBER('Onshore - Perth'!G137),OR('Onshore - Perth'!F137&lt;&gt;0,ISNUMBER(SEARCH("Material 0 terverifikasi",'Onshore - Perth'!M137))),OR('Onshore - Perth'!G137&lt;&gt;0,ISNUMBER(SEARCH("Enrolment 0 terverifikasi",'Onshore - Perth'!M137)))),1,0)</f>
        <v>0</v>
      </c>
      <c r="M416" s="0" t="n">
        <f aca="false">IF(OR('Onshore - Perth'!E137="",ISNUMBER(SEARCH("BSB80120",'Onshore - Perth'!B137&amp;'Onshore - Perth'!M137)),ISNUMBER(SEARCH("Management (Learning)",'Onshore - Perth'!B137))),2,IF(ISNUMBER(SEARCH("CEK:",'Onshore - Perth'!M137)),1,0))</f>
        <v>0</v>
      </c>
    </row>
    <row r="417" customFormat="false" ht="15" hidden="false" customHeight="false" outlineLevel="0" collapsed="false">
      <c r="A417" s="63" t="s">
        <v>3573</v>
      </c>
      <c r="B417" s="64" t="s">
        <v>3833</v>
      </c>
      <c r="C417" s="63" t="s">
        <v>43</v>
      </c>
      <c r="D417" s="64" t="str">
        <f aca="false">TRIM(LEFT('Onshore - Perth'!A95,FIND(CHAR(10),'Onshore - Perth'!A95&amp;CHAR(10))-1))</f>
        <v>Kaplan Business School</v>
      </c>
      <c r="E417" s="63" t="str">
        <f aca="false">'Onshore - Perth'!C96&amp;""</f>
        <v>3 years</v>
      </c>
      <c r="F417" s="63" t="str">
        <f aca="false">IF('Onshore - Perth'!D96="","Belum tercatat",'Onshore - Perth'!D96)</f>
        <v>Trimester</v>
      </c>
      <c r="G417" s="65" t="n">
        <f aca="false">IF('Onshore - Perth'!E96="","-",'Onshore - Perth'!E96)</f>
        <v>11520</v>
      </c>
      <c r="H417" s="63" t="n">
        <f aca="false">IF(ISNUMBER(K417),COUNTIFS($J$6:$J$1916,J417,$K$6:$K$1916,"&lt;"&amp;K417)+1,"-")</f>
        <v>3</v>
      </c>
      <c r="I417" s="64" t="str">
        <f aca="false">IF('Onshore - Perth'!E96="","Harga belum tersedia - hubungi konsultan TEG",IF(M417=2,"Saat ini tidak menerima pendaftaran siswa internasional baru",IF(M417=1,"Harga perlu dikonfirmasi ke sekolah"&amp;IF(""="","","; "&amp;""),"")))</f>
        <v>Harga perlu dikonfirmasi ke sekolah</v>
      </c>
      <c r="J417" s="0" t="s">
        <v>3899</v>
      </c>
      <c r="K417" s="0" t="n">
        <f aca="false">IF(M417=2,"",IF(ISNUMBER(SEARCH("rata-rata:",'Onshore - Perth'!M96)),VALUE(MID('Onshore - Perth'!M96,SEARCH("rata-rata:",'Onshore - Perth'!M96)+11,FIND(";",'Onshore - Perth'!M96&amp;";",SEARCH("rata-rata:",'Onshore - Perth'!M96))-SEARCH("rata-rata:",'Onshore - Perth'!M96)-11)),IF('Onshore - Perth'!D96="Semester",'Onshore - Perth'!E96*2,IF('Onshore - Perth'!D96="Trimester",'Onshore - Perth'!E96*3,IF('Onshore - Perth'!D96="Term",'Onshore - Perth'!E96*4,IF('Onshore - Perth'!D96="Unit",'Onshore - Perth'!E96*8,""))))))</f>
        <v>34560</v>
      </c>
      <c r="L417" s="0" t="n">
        <f aca="false">IF(AND(ISNUMBER('Onshore - Perth'!E96),ISNUMBER(K417),ISNUMBER('Onshore - Perth'!F96),ISNUMBER('Onshore - Perth'!G96),OR('Onshore - Perth'!F96&lt;&gt;0,ISNUMBER(SEARCH("Material 0 terverifikasi",'Onshore - Perth'!M96))),OR('Onshore - Perth'!G96&lt;&gt;0,ISNUMBER(SEARCH("Enrolment 0 terverifikasi",'Onshore - Perth'!M96)))),1,0)</f>
        <v>1</v>
      </c>
      <c r="M417" s="0" t="n">
        <f aca="false">IF(OR('Onshore - Perth'!E96="",ISNUMBER(SEARCH("BSB80120",'Onshore - Perth'!B96&amp;'Onshore - Perth'!M96)),ISNUMBER(SEARCH("Management (Learning)",'Onshore - Perth'!B96))),2,IF(ISNUMBER(SEARCH("CEK:",'Onshore - Perth'!M96)),1,0))</f>
        <v>1</v>
      </c>
    </row>
    <row r="418" customFormat="false" ht="15" hidden="false" customHeight="false" outlineLevel="0" collapsed="false">
      <c r="A418" s="61" t="s">
        <v>3900</v>
      </c>
      <c r="B418" s="62"/>
      <c r="C418" s="62"/>
      <c r="D418" s="62"/>
      <c r="E418" s="62"/>
      <c r="F418" s="62"/>
      <c r="G418" s="62"/>
      <c r="H418" s="62"/>
      <c r="I418" s="62"/>
    </row>
    <row r="419" customFormat="false" ht="15" hidden="false" customHeight="false" outlineLevel="0" collapsed="false">
      <c r="A419" s="63" t="s">
        <v>3573</v>
      </c>
      <c r="B419" s="64" t="s">
        <v>3833</v>
      </c>
      <c r="C419" s="63" t="s">
        <v>3707</v>
      </c>
      <c r="D419" s="64" t="str">
        <f aca="false">TRIM(LEFT('Onshore - Perth'!A14,FIND(CHAR(10),'Onshore - Perth'!A14&amp;CHAR(10))-1))</f>
        <v>AIBI Higher Education</v>
      </c>
      <c r="E419" s="63" t="str">
        <f aca="false">'Onshore - Perth'!C25&amp;""</f>
        <v>8 months</v>
      </c>
      <c r="F419" s="63" t="str">
        <f aca="false">IF('Onshore - Perth'!D25="","Belum tercatat",'Onshore - Perth'!D25)</f>
        <v>Term</v>
      </c>
      <c r="G419" s="65" t="n">
        <f aca="false">IF('Onshore - Perth'!E25="","-",'Onshore - Perth'!E25)</f>
        <v>2700</v>
      </c>
      <c r="H419" s="63" t="n">
        <f aca="false">IF(ISNUMBER(K419),COUNTIFS($J$6:$J$1916,J419,$K$6:$K$1916,"&lt;"&amp;K419)+1,"-")</f>
        <v>1</v>
      </c>
      <c r="I419" s="64" t="str">
        <f aca="false">IF('Onshore - Perth'!E25="","Harga belum tersedia - hubungi konsultan TEG",IF(M419=2,"Saat ini tidak menerima pendaftaran siswa internasional baru",IF(M419=1,"Harga perlu dikonfirmasi ke sekolah"&amp;IF(""="","","; "&amp;""),"")))</f>
        <v>Harga perlu dikonfirmasi ke sekolah</v>
      </c>
      <c r="J419" s="0" t="s">
        <v>3901</v>
      </c>
      <c r="K419" s="0" t="n">
        <f aca="false">IF(M419=2,"",IF(ISNUMBER(SEARCH("rata-rata:",'Onshore - Perth'!M25)),VALUE(MID('Onshore - Perth'!M25,SEARCH("rata-rata:",'Onshore - Perth'!M25)+11,FIND(";",'Onshore - Perth'!M25&amp;";",SEARCH("rata-rata:",'Onshore - Perth'!M25))-SEARCH("rata-rata:",'Onshore - Perth'!M25)-11)),IF('Onshore - Perth'!D25="Semester",'Onshore - Perth'!E25*2,IF('Onshore - Perth'!D25="Trimester",'Onshore - Perth'!E25*3,IF('Onshore - Perth'!D25="Term",'Onshore - Perth'!E25*4,IF('Onshore - Perth'!D25="Unit",'Onshore - Perth'!E25*8,""))))))</f>
        <v>10800</v>
      </c>
      <c r="L419" s="0" t="n">
        <f aca="false">IF(AND(ISNUMBER('Onshore - Perth'!E25),ISNUMBER(K419),ISNUMBER('Onshore - Perth'!F25),ISNUMBER('Onshore - Perth'!G25),OR('Onshore - Perth'!F25&lt;&gt;0,ISNUMBER(SEARCH("Material 0 terverifikasi",'Onshore - Perth'!M25))),OR('Onshore - Perth'!G25&lt;&gt;0,ISNUMBER(SEARCH("Enrolment 0 terverifikasi",'Onshore - Perth'!M25)))),1,0)</f>
        <v>0</v>
      </c>
      <c r="M419" s="0" t="n">
        <f aca="false">IF(OR('Onshore - Perth'!E25="",ISNUMBER(SEARCH("BSB80120",'Onshore - Perth'!B25&amp;'Onshore - Perth'!M25)),ISNUMBER(SEARCH("Management (Learning)",'Onshore - Perth'!B25))),2,IF(ISNUMBER(SEARCH("CEK:",'Onshore - Perth'!M25)),1,0))</f>
        <v>1</v>
      </c>
    </row>
    <row r="420" customFormat="false" ht="15" hidden="false" customHeight="false" outlineLevel="0" collapsed="false">
      <c r="A420" s="63" t="s">
        <v>3573</v>
      </c>
      <c r="B420" s="64" t="s">
        <v>3833</v>
      </c>
      <c r="C420" s="63" t="s">
        <v>3707</v>
      </c>
      <c r="D420" s="64" t="str">
        <f aca="false">TRIM(LEFT('Onshore - Perth'!A124,FIND(CHAR(10),'Onshore - Perth'!A124&amp;CHAR(10))-1))</f>
        <v>Kingston International College</v>
      </c>
      <c r="E420" s="63" t="str">
        <f aca="false">'Onshore - Perth'!C130&amp;""</f>
        <v>2 years</v>
      </c>
      <c r="F420" s="63" t="str">
        <f aca="false">IF('Onshore - Perth'!D130="","Belum tercatat",'Onshore - Perth'!D130)</f>
        <v>Term</v>
      </c>
      <c r="G420" s="65" t="n">
        <f aca="false">IF('Onshore - Perth'!E130="","-",'Onshore - Perth'!E130)</f>
        <v>2815</v>
      </c>
      <c r="H420" s="63" t="n">
        <f aca="false">IF(ISNUMBER(K420),COUNTIFS($J$6:$J$1916,J420,$K$6:$K$1916,"&lt;"&amp;K420)+1,"-")</f>
        <v>2</v>
      </c>
      <c r="I420" s="64" t="str">
        <f aca="false">IF('Onshore - Perth'!E130="","Harga belum tersedia - hubungi konsultan TEG",IF(M420=2,"Saat ini tidak menerima pendaftaran siswa internasional baru",IF(M420=1,"Harga perlu dikonfirmasi ke sekolah"&amp;IF(""="","","; "&amp;""),"")))</f>
        <v/>
      </c>
      <c r="J420" s="0" t="s">
        <v>3901</v>
      </c>
      <c r="K420" s="0" t="n">
        <f aca="false">IF(M420=2,"",IF(ISNUMBER(SEARCH("rata-rata:",'Onshore - Perth'!M130)),VALUE(MID('Onshore - Perth'!M130,SEARCH("rata-rata:",'Onshore - Perth'!M130)+11,FIND(";",'Onshore - Perth'!M130&amp;";",SEARCH("rata-rata:",'Onshore - Perth'!M130))-SEARCH("rata-rata:",'Onshore - Perth'!M130)-11)),IF('Onshore - Perth'!D130="Semester",'Onshore - Perth'!E130*2,IF('Onshore - Perth'!D130="Trimester",'Onshore - Perth'!E130*3,IF('Onshore - Perth'!D130="Term",'Onshore - Perth'!E130*4,IF('Onshore - Perth'!D130="Unit",'Onshore - Perth'!E130*8,""))))))</f>
        <v>11260</v>
      </c>
      <c r="L420" s="0" t="n">
        <f aca="false">IF(AND(ISNUMBER('Onshore - Perth'!E130),ISNUMBER(K420),ISNUMBER('Onshore - Perth'!F130),ISNUMBER('Onshore - Perth'!G130),OR('Onshore - Perth'!F130&lt;&gt;0,ISNUMBER(SEARCH("Material 0 terverifikasi",'Onshore - Perth'!M130))),OR('Onshore - Perth'!G130&lt;&gt;0,ISNUMBER(SEARCH("Enrolment 0 terverifikasi",'Onshore - Perth'!M130)))),1,0)</f>
        <v>1</v>
      </c>
      <c r="M420" s="0" t="n">
        <f aca="false">IF(OR('Onshore - Perth'!E130="",ISNUMBER(SEARCH("BSB80120",'Onshore - Perth'!B130&amp;'Onshore - Perth'!M130)),ISNUMBER(SEARCH("Management (Learning)",'Onshore - Perth'!B130))),2,IF(ISNUMBER(SEARCH("CEK:",'Onshore - Perth'!M130)),1,0))</f>
        <v>0</v>
      </c>
    </row>
    <row r="421" customFormat="false" ht="28.35" hidden="false" customHeight="false" outlineLevel="0" collapsed="false">
      <c r="A421" s="63" t="s">
        <v>3573</v>
      </c>
      <c r="B421" s="64" t="s">
        <v>3833</v>
      </c>
      <c r="C421" s="63" t="s">
        <v>3707</v>
      </c>
      <c r="D421" s="64" t="str">
        <f aca="false">TRIM(LEFT('Onshore - Perth'!A92,FIND(CHAR(10),'Onshore - Perth'!A92&amp;CHAR(10))-1))</f>
        <v>International Institute of Business and Technology (IIBT)</v>
      </c>
      <c r="E421" s="63" t="str">
        <f aca="false">'Onshore - Perth'!C94&amp;""</f>
        <v>1/2 year</v>
      </c>
      <c r="F421" s="63" t="str">
        <f aca="false">IF('Onshore - Perth'!D94="","Belum tercatat",'Onshore - Perth'!D94)</f>
        <v>Term</v>
      </c>
      <c r="G421" s="65" t="n">
        <f aca="false">IF('Onshore - Perth'!E94="","-",'Onshore - Perth'!E94)</f>
        <v>6000</v>
      </c>
      <c r="H421" s="63" t="n">
        <f aca="false">IF(ISNUMBER(K421),COUNTIFS($J$6:$J$1916,J421,$K$6:$K$1916,"&lt;"&amp;K421)+1,"-")</f>
        <v>3</v>
      </c>
      <c r="I421" s="64" t="str">
        <f aca="false">IF('Onshore - Perth'!E94="","Harga belum tersedia - hubungi konsultan TEG",IF(M421=2,"Saat ini tidak menerima pendaftaran siswa internasional baru",IF(M421=1,"Harga perlu dikonfirmasi ke sekolah"&amp;IF(""="","","; "&amp;""),"")))</f>
        <v/>
      </c>
      <c r="J421" s="0" t="s">
        <v>3901</v>
      </c>
      <c r="K421" s="0" t="n">
        <f aca="false">IF(M421=2,"",IF(ISNUMBER(SEARCH("rata-rata:",'Onshore - Perth'!M94)),VALUE(MID('Onshore - Perth'!M94,SEARCH("rata-rata:",'Onshore - Perth'!M94)+11,FIND(";",'Onshore - Perth'!M94&amp;";",SEARCH("rata-rata:",'Onshore - Perth'!M94))-SEARCH("rata-rata:",'Onshore - Perth'!M94)-11)),IF('Onshore - Perth'!D94="Semester",'Onshore - Perth'!E94*2,IF('Onshore - Perth'!D94="Trimester",'Onshore - Perth'!E94*3,IF('Onshore - Perth'!D94="Term",'Onshore - Perth'!E94*4,IF('Onshore - Perth'!D94="Unit",'Onshore - Perth'!E94*8,""))))))</f>
        <v>24000</v>
      </c>
      <c r="L421" s="0" t="n">
        <f aca="false">IF(AND(ISNUMBER('Onshore - Perth'!E94),ISNUMBER(K421),ISNUMBER('Onshore - Perth'!F94),ISNUMBER('Onshore - Perth'!G94),OR('Onshore - Perth'!F94&lt;&gt;0,ISNUMBER(SEARCH("Material 0 terverifikasi",'Onshore - Perth'!M94))),OR('Onshore - Perth'!G94&lt;&gt;0,ISNUMBER(SEARCH("Enrolment 0 terverifikasi",'Onshore - Perth'!M94)))),1,0)</f>
        <v>1</v>
      </c>
      <c r="M421" s="0" t="n">
        <f aca="false">IF(OR('Onshore - Perth'!E94="",ISNUMBER(SEARCH("BSB80120",'Onshore - Perth'!B94&amp;'Onshore - Perth'!M94)),ISNUMBER(SEARCH("Management (Learning)",'Onshore - Perth'!B94))),2,IF(ISNUMBER(SEARCH("CEK:",'Onshore - Perth'!M94)),1,0))</f>
        <v>0</v>
      </c>
    </row>
    <row r="422" customFormat="false" ht="15" hidden="false" customHeight="false" outlineLevel="0" collapsed="false">
      <c r="A422" s="63" t="s">
        <v>3573</v>
      </c>
      <c r="B422" s="64" t="s">
        <v>3833</v>
      </c>
      <c r="C422" s="63" t="s">
        <v>3707</v>
      </c>
      <c r="D422" s="64" t="str">
        <f aca="false">TRIM(LEFT('Onshore - Perth'!A95,FIND(CHAR(10),'Onshore - Perth'!A95&amp;CHAR(10))-1))</f>
        <v>Kaplan Business School</v>
      </c>
      <c r="E422" s="63" t="str">
        <f aca="false">'Onshore - Perth'!C97&amp;""</f>
        <v>0,5 year</v>
      </c>
      <c r="F422" s="63" t="str">
        <f aca="false">IF('Onshore - Perth'!D97="","Belum tercatat",'Onshore - Perth'!D97)</f>
        <v>Trimester</v>
      </c>
      <c r="G422" s="65" t="n">
        <f aca="false">IF('Onshore - Perth'!E97="","-",'Onshore - Perth'!E97)</f>
        <v>19640</v>
      </c>
      <c r="H422" s="63" t="n">
        <f aca="false">IF(ISNUMBER(K422),COUNTIFS($J$6:$J$1916,J422,$K$6:$K$1916,"&lt;"&amp;K422)+1,"-")</f>
        <v>4</v>
      </c>
      <c r="I422" s="64" t="str">
        <f aca="false">IF('Onshore - Perth'!E97="","Harga belum tersedia - hubungi konsultan TEG",IF(M422=2,"Saat ini tidak menerima pendaftaran siswa internasional baru",IF(M422=1,"Harga perlu dikonfirmasi ke sekolah"&amp;IF(""="","","; "&amp;""),"")))</f>
        <v>Harga perlu dikonfirmasi ke sekolah</v>
      </c>
      <c r="J422" s="0" t="s">
        <v>3901</v>
      </c>
      <c r="K422" s="0" t="n">
        <f aca="false">IF(M422=2,"",IF(ISNUMBER(SEARCH("rata-rata:",'Onshore - Perth'!M97)),VALUE(MID('Onshore - Perth'!M97,SEARCH("rata-rata:",'Onshore - Perth'!M97)+11,FIND(";",'Onshore - Perth'!M97&amp;";",SEARCH("rata-rata:",'Onshore - Perth'!M97))-SEARCH("rata-rata:",'Onshore - Perth'!M97)-11)),IF('Onshore - Perth'!D97="Semester",'Onshore - Perth'!E97*2,IF('Onshore - Perth'!D97="Trimester",'Onshore - Perth'!E97*3,IF('Onshore - Perth'!D97="Term",'Onshore - Perth'!E97*4,IF('Onshore - Perth'!D97="Unit",'Onshore - Perth'!E97*8,""))))))</f>
        <v>58920</v>
      </c>
      <c r="L422" s="0" t="n">
        <f aca="false">IF(AND(ISNUMBER('Onshore - Perth'!E97),ISNUMBER(K422),ISNUMBER('Onshore - Perth'!F97),ISNUMBER('Onshore - Perth'!G97),OR('Onshore - Perth'!F97&lt;&gt;0,ISNUMBER(SEARCH("Material 0 terverifikasi",'Onshore - Perth'!M97))),OR('Onshore - Perth'!G97&lt;&gt;0,ISNUMBER(SEARCH("Enrolment 0 terverifikasi",'Onshore - Perth'!M97)))),1,0)</f>
        <v>1</v>
      </c>
      <c r="M422" s="0" t="n">
        <f aca="false">IF(OR('Onshore - Perth'!E97="",ISNUMBER(SEARCH("BSB80120",'Onshore - Perth'!B97&amp;'Onshore - Perth'!M97)),ISNUMBER(SEARCH("Management (Learning)",'Onshore - Perth'!B97))),2,IF(ISNUMBER(SEARCH("CEK:",'Onshore - Perth'!M97)),1,0))</f>
        <v>1</v>
      </c>
    </row>
    <row r="423" customFormat="false" ht="28.35" hidden="false" customHeight="false" outlineLevel="0" collapsed="false">
      <c r="A423" s="63" t="s">
        <v>3573</v>
      </c>
      <c r="B423" s="64" t="s">
        <v>3833</v>
      </c>
      <c r="C423" s="63" t="s">
        <v>3707</v>
      </c>
      <c r="D423" s="64" t="str">
        <f aca="false">TRIM(LEFT('Onshore - Perth'!A28,FIND(CHAR(10),'Onshore - Perth'!A28&amp;CHAR(10))-1))</f>
        <v>Apeiro Institute</v>
      </c>
      <c r="E423" s="63" t="str">
        <f aca="false">'Onshore - Perth'!C30&amp;""</f>
        <v>3 years</v>
      </c>
      <c r="F423" s="63" t="str">
        <f aca="false">IF('Onshore - Perth'!D30="","Belum tercatat",'Onshore - Perth'!D30)</f>
        <v>Term</v>
      </c>
      <c r="G423" s="65" t="n">
        <f aca="false">IF('Onshore - Perth'!E30="","-",'Onshore - Perth'!E30)</f>
        <v>1670</v>
      </c>
      <c r="H423" s="63" t="str">
        <f aca="false">IF(ISNUMBER(K423),COUNTIFS($J$6:$J$1916,J423,$K$6:$K$1916,"&lt;"&amp;K423)+1,"-")</f>
        <v>-</v>
      </c>
      <c r="I423" s="64" t="str">
        <f aca="false">IF('Onshore - Perth'!E30="","Harga belum tersedia - hubungi konsultan TEG",IF(M423=2,"Saat ini tidak menerima pendaftaran siswa internasional baru",IF(M423=1,"Harga perlu dikonfirmasi ke sekolah"&amp;IF(""="","","; "&amp;""),"")))</f>
        <v>Saat ini tidak menerima pendaftaran siswa internasional baru</v>
      </c>
      <c r="J423" s="0" t="s">
        <v>3901</v>
      </c>
      <c r="K423" s="0" t="str">
        <f aca="false">IF(M423=2,"",IF(ISNUMBER(SEARCH("rata-rata:",'Onshore - Perth'!M30)),VALUE(MID('Onshore - Perth'!M30,SEARCH("rata-rata:",'Onshore - Perth'!M30)+11,FIND(";",'Onshore - Perth'!M30&amp;";",SEARCH("rata-rata:",'Onshore - Perth'!M30))-SEARCH("rata-rata:",'Onshore - Perth'!M30)-11)),IF('Onshore - Perth'!D30="Semester",'Onshore - Perth'!E30*2,IF('Onshore - Perth'!D30="Trimester",'Onshore - Perth'!E30*3,IF('Onshore - Perth'!D30="Term",'Onshore - Perth'!E30*4,IF('Onshore - Perth'!D30="Unit",'Onshore - Perth'!E30*8,""))))))</f>
        <v/>
      </c>
      <c r="L423" s="0" t="n">
        <f aca="false">IF(AND(ISNUMBER('Onshore - Perth'!E30),ISNUMBER(K423),ISNUMBER('Onshore - Perth'!F30),ISNUMBER('Onshore - Perth'!G30),OR('Onshore - Perth'!F30&lt;&gt;0,ISNUMBER(SEARCH("Material 0 terverifikasi",'Onshore - Perth'!M30))),OR('Onshore - Perth'!G30&lt;&gt;0,ISNUMBER(SEARCH("Enrolment 0 terverifikasi",'Onshore - Perth'!M30)))),1,0)</f>
        <v>0</v>
      </c>
      <c r="M423" s="0" t="n">
        <f aca="false">IF(OR('Onshore - Perth'!E30="",ISNUMBER(SEARCH("BSB80120",'Onshore - Perth'!B30&amp;'Onshore - Perth'!M30)),ISNUMBER(SEARCH("Management (Learning)",'Onshore - Perth'!B30))),2,IF(ISNUMBER(SEARCH("CEK:",'Onshore - Perth'!M30)),1,0))</f>
        <v>2</v>
      </c>
    </row>
    <row r="424" customFormat="false" ht="15" hidden="false" customHeight="false" outlineLevel="0" collapsed="false">
      <c r="A424" s="61" t="s">
        <v>3902</v>
      </c>
      <c r="B424" s="62"/>
      <c r="C424" s="62"/>
      <c r="D424" s="62"/>
      <c r="E424" s="62"/>
      <c r="F424" s="62"/>
      <c r="G424" s="62"/>
      <c r="H424" s="62"/>
      <c r="I424" s="62"/>
    </row>
    <row r="425" customFormat="false" ht="15" hidden="false" customHeight="false" outlineLevel="0" collapsed="false">
      <c r="A425" s="63" t="s">
        <v>3573</v>
      </c>
      <c r="B425" s="64" t="s">
        <v>3833</v>
      </c>
      <c r="C425" s="63" t="s">
        <v>46</v>
      </c>
      <c r="D425" s="64" t="str">
        <f aca="false">TRIM(LEFT('Onshore - Perth'!A14,FIND(CHAR(10),'Onshore - Perth'!A14&amp;CHAR(10))-1))</f>
        <v>AIBI Higher Education</v>
      </c>
      <c r="E425" s="63" t="str">
        <f aca="false">'Onshore - Perth'!C19&amp;""</f>
        <v>2 years</v>
      </c>
      <c r="F425" s="63" t="str">
        <f aca="false">IF('Onshore - Perth'!D19="","Belum tercatat",'Onshore - Perth'!D19)</f>
        <v>Term</v>
      </c>
      <c r="G425" s="65" t="n">
        <f aca="false">IF('Onshore - Perth'!E19="","-",'Onshore - Perth'!E19)</f>
        <v>4050</v>
      </c>
      <c r="H425" s="63" t="n">
        <f aca="false">IF(ISNUMBER(K425),COUNTIFS($J$6:$J$1916,J425,$K$6:$K$1916,"&lt;"&amp;K425)+1,"-")</f>
        <v>1</v>
      </c>
      <c r="I425" s="64" t="str">
        <f aca="false">IF('Onshore - Perth'!E19="","Harga belum tersedia - hubungi konsultan TEG",IF(M425=2,"Saat ini tidak menerima pendaftaran siswa internasional baru",IF(M425=1,"Harga perlu dikonfirmasi ke sekolah"&amp;IF(""="","","; "&amp;""),"")))</f>
        <v>Harga perlu dikonfirmasi ke sekolah</v>
      </c>
      <c r="J425" s="0" t="s">
        <v>3903</v>
      </c>
      <c r="K425" s="0" t="n">
        <f aca="false">IF(M425=2,"",IF(ISNUMBER(SEARCH("rata-rata:",'Onshore - Perth'!M19)),VALUE(MID('Onshore - Perth'!M19,SEARCH("rata-rata:",'Onshore - Perth'!M19)+11,FIND(";",'Onshore - Perth'!M19&amp;";",SEARCH("rata-rata:",'Onshore - Perth'!M19))-SEARCH("rata-rata:",'Onshore - Perth'!M19)-11)),IF('Onshore - Perth'!D19="Semester",'Onshore - Perth'!E19*2,IF('Onshore - Perth'!D19="Trimester",'Onshore - Perth'!E19*3,IF('Onshore - Perth'!D19="Term",'Onshore - Perth'!E19*4,IF('Onshore - Perth'!D19="Unit",'Onshore - Perth'!E19*8,""))))))</f>
        <v>16200</v>
      </c>
      <c r="L425" s="0" t="n">
        <f aca="false">IF(AND(ISNUMBER('Onshore - Perth'!E19),ISNUMBER(K425),ISNUMBER('Onshore - Perth'!F19),ISNUMBER('Onshore - Perth'!G19),OR('Onshore - Perth'!F19&lt;&gt;0,ISNUMBER(SEARCH("Material 0 terverifikasi",'Onshore - Perth'!M19))),OR('Onshore - Perth'!G19&lt;&gt;0,ISNUMBER(SEARCH("Enrolment 0 terverifikasi",'Onshore - Perth'!M19)))),1,0)</f>
        <v>0</v>
      </c>
      <c r="M425" s="0" t="n">
        <f aca="false">IF(OR('Onshore - Perth'!E19="",ISNUMBER(SEARCH("BSB80120",'Onshore - Perth'!B19&amp;'Onshore - Perth'!M19)),ISNUMBER(SEARCH("Management (Learning)",'Onshore - Perth'!B19))),2,IF(ISNUMBER(SEARCH("CEK:",'Onshore - Perth'!M19)),1,0))</f>
        <v>1</v>
      </c>
    </row>
    <row r="426" customFormat="false" ht="15" hidden="false" customHeight="false" outlineLevel="0" collapsed="false">
      <c r="A426" s="63" t="s">
        <v>3573</v>
      </c>
      <c r="B426" s="64" t="s">
        <v>3833</v>
      </c>
      <c r="C426" s="63" t="s">
        <v>46</v>
      </c>
      <c r="D426" s="64" t="str">
        <f aca="false">TRIM(LEFT('Onshore - Perth'!A44,FIND(CHAR(10),'Onshore - Perth'!A44&amp;CHAR(10))-1))</f>
        <v>CIHE Australia</v>
      </c>
      <c r="E426" s="63" t="str">
        <f aca="false">'Onshore - Perth'!C51&amp;""</f>
        <v>1,5 years</v>
      </c>
      <c r="F426" s="63" t="str">
        <f aca="false">IF('Onshore - Perth'!D51="","Belum tercatat",'Onshore - Perth'!D51)</f>
        <v>Term</v>
      </c>
      <c r="G426" s="65" t="n">
        <f aca="false">IF('Onshore - Perth'!E51="","-",'Onshore - Perth'!E51)</f>
        <v>4400</v>
      </c>
      <c r="H426" s="63" t="n">
        <f aca="false">IF(ISNUMBER(K426),COUNTIFS($J$6:$J$1916,J426,$K$6:$K$1916,"&lt;"&amp;K426)+1,"-")</f>
        <v>2</v>
      </c>
      <c r="I426" s="64" t="str">
        <f aca="false">IF('Onshore - Perth'!E51="","Harga belum tersedia - hubungi konsultan TEG",IF(M426=2,"Saat ini tidak menerima pendaftaran siswa internasional baru",IF(M426=1,"Harga perlu dikonfirmasi ke sekolah"&amp;IF(""="","","; "&amp;""),"")))</f>
        <v>Harga perlu dikonfirmasi ke sekolah</v>
      </c>
      <c r="J426" s="0" t="s">
        <v>3903</v>
      </c>
      <c r="K426" s="0" t="n">
        <f aca="false">IF(M426=2,"",IF(ISNUMBER(SEARCH("rata-rata:",'Onshore - Perth'!M51)),VALUE(MID('Onshore - Perth'!M51,SEARCH("rata-rata:",'Onshore - Perth'!M51)+11,FIND(";",'Onshore - Perth'!M51&amp;";",SEARCH("rata-rata:",'Onshore - Perth'!M51))-SEARCH("rata-rata:",'Onshore - Perth'!M51)-11)),IF('Onshore - Perth'!D51="Semester",'Onshore - Perth'!E51*2,IF('Onshore - Perth'!D51="Trimester",'Onshore - Perth'!E51*3,IF('Onshore - Perth'!D51="Term",'Onshore - Perth'!E51*4,IF('Onshore - Perth'!D51="Unit",'Onshore - Perth'!E51*8,""))))))</f>
        <v>17600</v>
      </c>
      <c r="L426" s="0" t="n">
        <f aca="false">IF(AND(ISNUMBER('Onshore - Perth'!E51),ISNUMBER(K426),ISNUMBER('Onshore - Perth'!F51),ISNUMBER('Onshore - Perth'!G51),OR('Onshore - Perth'!F51&lt;&gt;0,ISNUMBER(SEARCH("Material 0 terverifikasi",'Onshore - Perth'!M51))),OR('Onshore - Perth'!G51&lt;&gt;0,ISNUMBER(SEARCH("Enrolment 0 terverifikasi",'Onshore - Perth'!M51)))),1,0)</f>
        <v>1</v>
      </c>
      <c r="M426" s="0" t="n">
        <f aca="false">IF(OR('Onshore - Perth'!E51="",ISNUMBER(SEARCH("BSB80120",'Onshore - Perth'!B51&amp;'Onshore - Perth'!M51)),ISNUMBER(SEARCH("Management (Learning)",'Onshore - Perth'!B51))),2,IF(ISNUMBER(SEARCH("CEK:",'Onshore - Perth'!M51)),1,0))</f>
        <v>1</v>
      </c>
    </row>
    <row r="427" customFormat="false" ht="15" hidden="false" customHeight="false" outlineLevel="0" collapsed="false">
      <c r="A427" s="63" t="s">
        <v>3573</v>
      </c>
      <c r="B427" s="64" t="s">
        <v>3833</v>
      </c>
      <c r="C427" s="63" t="s">
        <v>46</v>
      </c>
      <c r="D427" s="64" t="str">
        <f aca="false">TRIM(LEFT('Onshore - Perth'!A95,FIND(CHAR(10),'Onshore - Perth'!A95&amp;CHAR(10))-1))</f>
        <v>Kaplan Business School</v>
      </c>
      <c r="E427" s="63" t="str">
        <f aca="false">'Onshore - Perth'!C99&amp;""</f>
        <v>1,5 years</v>
      </c>
      <c r="F427" s="63" t="str">
        <f aca="false">IF('Onshore - Perth'!D99="","Belum tercatat",'Onshore - Perth'!D99)</f>
        <v>Trimester</v>
      </c>
      <c r="G427" s="65" t="n">
        <f aca="false">IF('Onshore - Perth'!E99="","-",'Onshore - Perth'!E99)</f>
        <v>19640</v>
      </c>
      <c r="H427" s="63" t="n">
        <f aca="false">IF(ISNUMBER(K427),COUNTIFS($J$6:$J$1916,J427,$K$6:$K$1916,"&lt;"&amp;K427)+1,"-")</f>
        <v>3</v>
      </c>
      <c r="I427" s="64" t="str">
        <f aca="false">IF('Onshore - Perth'!E99="","Harga belum tersedia - hubungi konsultan TEG",IF(M427=2,"Saat ini tidak menerima pendaftaran siswa internasional baru",IF(M427=1,"Harga perlu dikonfirmasi ke sekolah"&amp;IF(""="","","; "&amp;""),"")))</f>
        <v>Harga perlu dikonfirmasi ke sekolah</v>
      </c>
      <c r="J427" s="0" t="s">
        <v>3903</v>
      </c>
      <c r="K427" s="0" t="n">
        <f aca="false">IF(M427=2,"",IF(ISNUMBER(SEARCH("rata-rata:",'Onshore - Perth'!M99)),VALUE(MID('Onshore - Perth'!M99,SEARCH("rata-rata:",'Onshore - Perth'!M99)+11,FIND(";",'Onshore - Perth'!M99&amp;";",SEARCH("rata-rata:",'Onshore - Perth'!M99))-SEARCH("rata-rata:",'Onshore - Perth'!M99)-11)),IF('Onshore - Perth'!D99="Semester",'Onshore - Perth'!E99*2,IF('Onshore - Perth'!D99="Trimester",'Onshore - Perth'!E99*3,IF('Onshore - Perth'!D99="Term",'Onshore - Perth'!E99*4,IF('Onshore - Perth'!D99="Unit",'Onshore - Perth'!E99*8,""))))))</f>
        <v>58920</v>
      </c>
      <c r="L427" s="0" t="n">
        <f aca="false">IF(AND(ISNUMBER('Onshore - Perth'!E99),ISNUMBER(K427),ISNUMBER('Onshore - Perth'!F99),ISNUMBER('Onshore - Perth'!G99),OR('Onshore - Perth'!F99&lt;&gt;0,ISNUMBER(SEARCH("Material 0 terverifikasi",'Onshore - Perth'!M99))),OR('Onshore - Perth'!G99&lt;&gt;0,ISNUMBER(SEARCH("Enrolment 0 terverifikasi",'Onshore - Perth'!M99)))),1,0)</f>
        <v>1</v>
      </c>
      <c r="M427" s="0" t="n">
        <f aca="false">IF(OR('Onshore - Perth'!E99="",ISNUMBER(SEARCH("BSB80120",'Onshore - Perth'!B99&amp;'Onshore - Perth'!M99)),ISNUMBER(SEARCH("Management (Learning)",'Onshore - Perth'!B99))),2,IF(ISNUMBER(SEARCH("CEK:",'Onshore - Perth'!M99)),1,0))</f>
        <v>1</v>
      </c>
    </row>
    <row r="428" customFormat="false" ht="15" hidden="false" customHeight="false" outlineLevel="0" collapsed="false">
      <c r="A428" s="61" t="s">
        <v>3904</v>
      </c>
      <c r="B428" s="62"/>
      <c r="C428" s="62"/>
      <c r="D428" s="62"/>
      <c r="E428" s="62"/>
      <c r="F428" s="62"/>
      <c r="G428" s="62"/>
      <c r="H428" s="62"/>
      <c r="I428" s="62"/>
    </row>
    <row r="429" customFormat="false" ht="15" hidden="false" customHeight="false" outlineLevel="0" collapsed="false">
      <c r="A429" s="63" t="s">
        <v>3533</v>
      </c>
      <c r="B429" s="64" t="s">
        <v>3833</v>
      </c>
      <c r="C429" s="63" t="s">
        <v>40</v>
      </c>
      <c r="D429" s="64" t="str">
        <f aca="false">TRIM(LEFT('Onshore - Sydney'!A313,FIND(CHAR(10),'Onshore - Sydney'!A313&amp;CHAR(10))-1))</f>
        <v>Australian Ideal College (AIC)</v>
      </c>
      <c r="E429" s="63" t="str">
        <f aca="false">'Onshore - Sydney'!C313&amp;""</f>
        <v>1,5 years</v>
      </c>
      <c r="F429" s="63" t="str">
        <f aca="false">IF('Onshore - Sydney'!D313="","Belum tercatat",'Onshore - Sydney'!D313)</f>
        <v>Term</v>
      </c>
      <c r="G429" s="65" t="n">
        <f aca="false">IF('Onshore - Sydney'!E313="","-",'Onshore - Sydney'!E313)</f>
        <v>1500</v>
      </c>
      <c r="H429" s="63" t="n">
        <f aca="false">IF(ISNUMBER(K429),COUNTIFS($J$6:$J$1916,J429,$K$6:$K$1916,"&lt;"&amp;K429)+1,"-")</f>
        <v>1</v>
      </c>
      <c r="I429" s="64" t="str">
        <f aca="false">IF('Onshore - Sydney'!E313="","Harga belum tersedia - hubungi konsultan TEG",IF(M429=2,"Saat ini tidak menerima pendaftaran siswa internasional baru",IF(M429=1,"Harga perlu dikonfirmasi ke sekolah"&amp;IF(""="","","; "&amp;""),"")))</f>
        <v>Harga perlu dikonfirmasi ke sekolah</v>
      </c>
      <c r="J429" s="0" t="s">
        <v>3905</v>
      </c>
      <c r="K429" s="0" t="n">
        <f aca="false">IF(M429=2,"",IF(ISNUMBER(SEARCH("rata-rata:",'Onshore - Sydney'!M313)),VALUE(MID('Onshore - Sydney'!M313,SEARCH("rata-rata:",'Onshore - Sydney'!M313)+11,FIND(";",'Onshore - Sydney'!M313&amp;";",SEARCH("rata-rata:",'Onshore - Sydney'!M313))-SEARCH("rata-rata:",'Onshore - Sydney'!M313)-11)),IF('Onshore - Sydney'!D313="Semester",'Onshore - Sydney'!E313*2,IF('Onshore - Sydney'!D313="Trimester",'Onshore - Sydney'!E313*3,IF('Onshore - Sydney'!D313="Term",'Onshore - Sydney'!E313*4,IF('Onshore - Sydney'!D313="Unit",'Onshore - Sydney'!E313*8,""))))))</f>
        <v>6000</v>
      </c>
      <c r="L429" s="0" t="n">
        <f aca="false">IF(AND(ISNUMBER('Onshore - Sydney'!E313),ISNUMBER(K429),ISNUMBER('Onshore - Sydney'!F313),ISNUMBER('Onshore - Sydney'!G313),OR('Onshore - Sydney'!F313&lt;&gt;0,ISNUMBER(SEARCH("Material 0 terverifikasi",'Onshore - Sydney'!M313))),OR('Onshore - Sydney'!G313&lt;&gt;0,ISNUMBER(SEARCH("Enrolment 0 terverifikasi",'Onshore - Sydney'!M313)))),1,0)</f>
        <v>1</v>
      </c>
      <c r="M429" s="0" t="n">
        <f aca="false">IF(OR('Onshore - Sydney'!E313="",ISNUMBER(SEARCH("BSB80120",'Onshore - Sydney'!B313&amp;'Onshore - Sydney'!M313)),ISNUMBER(SEARCH("Management (Learning)",'Onshore - Sydney'!B313))),2,IF(ISNUMBER(SEARCH("CEK:",'Onshore - Sydney'!M313)),1,0))</f>
        <v>1</v>
      </c>
    </row>
    <row r="430" customFormat="false" ht="15" hidden="false" customHeight="false" outlineLevel="0" collapsed="false">
      <c r="A430" s="63" t="s">
        <v>3533</v>
      </c>
      <c r="B430" s="64" t="s">
        <v>3833</v>
      </c>
      <c r="C430" s="63" t="s">
        <v>40</v>
      </c>
      <c r="D430" s="64" t="str">
        <f aca="false">TRIM(LEFT('Onshore - Sydney'!A1016,FIND(CHAR(10),'Onshore - Sydney'!A1016&amp;CHAR(10))-1))</f>
        <v>Victory Institute</v>
      </c>
      <c r="E430" s="63" t="str">
        <f aca="false">'Onshore - Sydney'!C1016&amp;""</f>
        <v>2 years</v>
      </c>
      <c r="F430" s="63" t="str">
        <f aca="false">IF('Onshore - Sydney'!D1016="","Belum tercatat",'Onshore - Sydney'!D1016)</f>
        <v>Term</v>
      </c>
      <c r="G430" s="65" t="n">
        <f aca="false">IF('Onshore - Sydney'!E1016="","-",'Onshore - Sydney'!E1016)</f>
        <v>1500</v>
      </c>
      <c r="H430" s="63" t="n">
        <f aca="false">IF(ISNUMBER(K430),COUNTIFS($J$6:$J$1916,J430,$K$6:$K$1916,"&lt;"&amp;K430)+1,"-")</f>
        <v>1</v>
      </c>
      <c r="I430" s="64" t="str">
        <f aca="false">IF('Onshore - Sydney'!E1016="","Harga belum tersedia - hubungi konsultan TEG",IF(M430=2,"Saat ini tidak menerima pendaftaran siswa internasional baru",IF(M430=1,"Harga perlu dikonfirmasi ke sekolah"&amp;IF(""="","","; "&amp;""),"")))</f>
        <v/>
      </c>
      <c r="J430" s="0" t="s">
        <v>3905</v>
      </c>
      <c r="K430" s="0" t="n">
        <f aca="false">IF(M430=2,"",IF(ISNUMBER(SEARCH("rata-rata:",'Onshore - Sydney'!M1016)),VALUE(MID('Onshore - Sydney'!M1016,SEARCH("rata-rata:",'Onshore - Sydney'!M1016)+11,FIND(";",'Onshore - Sydney'!M1016&amp;";",SEARCH("rata-rata:",'Onshore - Sydney'!M1016))-SEARCH("rata-rata:",'Onshore - Sydney'!M1016)-11)),IF('Onshore - Sydney'!D1016="Semester",'Onshore - Sydney'!E1016*2,IF('Onshore - Sydney'!D1016="Trimester",'Onshore - Sydney'!E1016*3,IF('Onshore - Sydney'!D1016="Term",'Onshore - Sydney'!E1016*4,IF('Onshore - Sydney'!D1016="Unit",'Onshore - Sydney'!E1016*8,""))))))</f>
        <v>6000</v>
      </c>
      <c r="L430" s="0" t="n">
        <f aca="false">IF(AND(ISNUMBER('Onshore - Sydney'!E1016),ISNUMBER(K430),ISNUMBER('Onshore - Sydney'!F1016),ISNUMBER('Onshore - Sydney'!G1016),OR('Onshore - Sydney'!F1016&lt;&gt;0,ISNUMBER(SEARCH("Material 0 terverifikasi",'Onshore - Sydney'!M1016))),OR('Onshore - Sydney'!G1016&lt;&gt;0,ISNUMBER(SEARCH("Enrolment 0 terverifikasi",'Onshore - Sydney'!M1016)))),1,0)</f>
        <v>1</v>
      </c>
      <c r="M430" s="0" t="n">
        <f aca="false">IF(OR('Onshore - Sydney'!E1016="",ISNUMBER(SEARCH("BSB80120",'Onshore - Sydney'!B1016&amp;'Onshore - Sydney'!M1016)),ISNUMBER(SEARCH("Management (Learning)",'Onshore - Sydney'!B1016))),2,IF(ISNUMBER(SEARCH("CEK:",'Onshore - Sydney'!M1016)),1,0))</f>
        <v>0</v>
      </c>
    </row>
    <row r="431" customFormat="false" ht="15" hidden="false" customHeight="false" outlineLevel="0" collapsed="false">
      <c r="A431" s="63" t="s">
        <v>3533</v>
      </c>
      <c r="B431" s="64" t="s">
        <v>3833</v>
      </c>
      <c r="C431" s="63" t="s">
        <v>40</v>
      </c>
      <c r="D431" s="64" t="str">
        <f aca="false">TRIM(LEFT('Onshore - Sydney'!A1028,FIND(CHAR(10),'Onshore - Sydney'!A1028&amp;CHAR(10))-1))</f>
        <v>Warwick Institute of Australia</v>
      </c>
      <c r="E431" s="63" t="str">
        <f aca="false">'Onshore - Sydney'!C1032&amp;""</f>
        <v>2 years</v>
      </c>
      <c r="F431" s="63" t="str">
        <f aca="false">IF('Onshore - Sydney'!D1032="","Belum tercatat",'Onshore - Sydney'!D1032)</f>
        <v>Term</v>
      </c>
      <c r="G431" s="65" t="n">
        <f aca="false">IF('Onshore - Sydney'!E1032="","-",'Onshore - Sydney'!E1032)</f>
        <v>1500</v>
      </c>
      <c r="H431" s="63" t="n">
        <f aca="false">IF(ISNUMBER(K431),COUNTIFS($J$6:$J$1916,J431,$K$6:$K$1916,"&lt;"&amp;K431)+1,"-")</f>
        <v>1</v>
      </c>
      <c r="I431" s="64" t="str">
        <f aca="false">IF('Onshore - Sydney'!E1032="","Harga belum tersedia - hubungi konsultan TEG",IF(M431=2,"Saat ini tidak menerima pendaftaran siswa internasional baru",IF(M431=1,"Harga perlu dikonfirmasi ke sekolah"&amp;IF(""="","","; "&amp;""),"")))</f>
        <v/>
      </c>
      <c r="J431" s="0" t="s">
        <v>3905</v>
      </c>
      <c r="K431" s="0" t="n">
        <f aca="false">IF(M431=2,"",IF(ISNUMBER(SEARCH("rata-rata:",'Onshore - Sydney'!M1032)),VALUE(MID('Onshore - Sydney'!M1032,SEARCH("rata-rata:",'Onshore - Sydney'!M1032)+11,FIND(";",'Onshore - Sydney'!M1032&amp;";",SEARCH("rata-rata:",'Onshore - Sydney'!M1032))-SEARCH("rata-rata:",'Onshore - Sydney'!M1032)-11)),IF('Onshore - Sydney'!D1032="Semester",'Onshore - Sydney'!E1032*2,IF('Onshore - Sydney'!D1032="Trimester",'Onshore - Sydney'!E1032*3,IF('Onshore - Sydney'!D1032="Term",'Onshore - Sydney'!E1032*4,IF('Onshore - Sydney'!D1032="Unit",'Onshore - Sydney'!E1032*8,""))))))</f>
        <v>6000</v>
      </c>
      <c r="L431" s="0" t="n">
        <f aca="false">IF(AND(ISNUMBER('Onshore - Sydney'!E1032),ISNUMBER(K431),ISNUMBER('Onshore - Sydney'!F1032),ISNUMBER('Onshore - Sydney'!G1032),OR('Onshore - Sydney'!F1032&lt;&gt;0,ISNUMBER(SEARCH("Material 0 terverifikasi",'Onshore - Sydney'!M1032))),OR('Onshore - Sydney'!G1032&lt;&gt;0,ISNUMBER(SEARCH("Enrolment 0 terverifikasi",'Onshore - Sydney'!M1032)))),1,0)</f>
        <v>1</v>
      </c>
      <c r="M431" s="0" t="n">
        <f aca="false">IF(OR('Onshore - Sydney'!E1032="",ISNUMBER(SEARCH("BSB80120",'Onshore - Sydney'!B1032&amp;'Onshore - Sydney'!M1032)),ISNUMBER(SEARCH("Management (Learning)",'Onshore - Sydney'!B1032))),2,IF(ISNUMBER(SEARCH("CEK:",'Onshore - Sydney'!M1032)),1,0))</f>
        <v>0</v>
      </c>
    </row>
    <row r="432" customFormat="false" ht="28.35" hidden="false" customHeight="false" outlineLevel="0" collapsed="false">
      <c r="A432" s="63" t="s">
        <v>3533</v>
      </c>
      <c r="B432" s="64" t="s">
        <v>3833</v>
      </c>
      <c r="C432" s="63" t="s">
        <v>40</v>
      </c>
      <c r="D432" s="64" t="str">
        <f aca="false">TRIM(LEFT('Onshore - Sydney'!A268,FIND(CHAR(10),'Onshore - Sydney'!A268&amp;CHAR(10))-1))</f>
        <v>Australian College of Business Intelligence (ACBI)</v>
      </c>
      <c r="E432" s="63" t="str">
        <f aca="false">'Onshore - Sydney'!C278&amp;""</f>
        <v>52 weeks (4 terms)</v>
      </c>
      <c r="F432" s="63" t="str">
        <f aca="false">IF('Onshore - Sydney'!D278="","Belum tercatat",'Onshore - Sydney'!D278)</f>
        <v>Term</v>
      </c>
      <c r="G432" s="65" t="n">
        <f aca="false">IF('Onshore - Sydney'!E278="","-",'Onshore - Sydney'!E278)</f>
        <v>1710</v>
      </c>
      <c r="H432" s="63" t="n">
        <f aca="false">IF(ISNUMBER(K432),COUNTIFS($J$6:$J$1916,J432,$K$6:$K$1916,"&lt;"&amp;K432)+1,"-")</f>
        <v>4</v>
      </c>
      <c r="I432" s="64" t="str">
        <f aca="false">IF('Onshore - Sydney'!E278="","Harga belum tersedia - hubungi konsultan TEG",IF(M432=2,"Saat ini tidak menerima pendaftaran siswa internasional baru",IF(M432=1,"Harga perlu dikonfirmasi ke sekolah"&amp;IF(""="","","; "&amp;""),"")))</f>
        <v/>
      </c>
      <c r="J432" s="0" t="s">
        <v>3905</v>
      </c>
      <c r="K432" s="0" t="n">
        <f aca="false">IF(M432=2,"",IF(ISNUMBER(SEARCH("rata-rata:",'Onshore - Sydney'!M278)),VALUE(MID('Onshore - Sydney'!M278,SEARCH("rata-rata:",'Onshore - Sydney'!M278)+11,FIND(";",'Onshore - Sydney'!M278&amp;";",SEARCH("rata-rata:",'Onshore - Sydney'!M278))-SEARCH("rata-rata:",'Onshore - Sydney'!M278)-11)),IF('Onshore - Sydney'!D278="Semester",'Onshore - Sydney'!E278*2,IF('Onshore - Sydney'!D278="Trimester",'Onshore - Sydney'!E278*3,IF('Onshore - Sydney'!D278="Term",'Onshore - Sydney'!E278*4,IF('Onshore - Sydney'!D278="Unit",'Onshore - Sydney'!E278*8,""))))))</f>
        <v>6840</v>
      </c>
      <c r="L432" s="0" t="n">
        <f aca="false">IF(AND(ISNUMBER('Onshore - Sydney'!E278),ISNUMBER(K432),ISNUMBER('Onshore - Sydney'!F278),ISNUMBER('Onshore - Sydney'!G278),OR('Onshore - Sydney'!F278&lt;&gt;0,ISNUMBER(SEARCH("Material 0 terverifikasi",'Onshore - Sydney'!M278))),OR('Onshore - Sydney'!G278&lt;&gt;0,ISNUMBER(SEARCH("Enrolment 0 terverifikasi",'Onshore - Sydney'!M278)))),1,0)</f>
        <v>1</v>
      </c>
      <c r="M432" s="0" t="n">
        <f aca="false">IF(OR('Onshore - Sydney'!E278="",ISNUMBER(SEARCH("BSB80120",'Onshore - Sydney'!B278&amp;'Onshore - Sydney'!M278)),ISNUMBER(SEARCH("Management (Learning)",'Onshore - Sydney'!B278))),2,IF(ISNUMBER(SEARCH("CEK:",'Onshore - Sydney'!M278)),1,0))</f>
        <v>0</v>
      </c>
    </row>
    <row r="433" customFormat="false" ht="15" hidden="false" customHeight="false" outlineLevel="0" collapsed="false">
      <c r="A433" s="63" t="s">
        <v>3533</v>
      </c>
      <c r="B433" s="64" t="s">
        <v>3833</v>
      </c>
      <c r="C433" s="63" t="s">
        <v>40</v>
      </c>
      <c r="D433" s="64" t="str">
        <f aca="false">TRIM(LEFT('Onshore - Sydney'!A132,FIND(CHAR(10),'Onshore - Sydney'!A132&amp;CHAR(10))-1))</f>
        <v>Apeiro Institute</v>
      </c>
      <c r="E433" s="63" t="str">
        <f aca="false">'Onshore - Sydney'!C136&amp;""</f>
        <v>2 years</v>
      </c>
      <c r="F433" s="63" t="str">
        <f aca="false">IF('Onshore - Sydney'!D136="","Belum tercatat",'Onshore - Sydney'!D136)</f>
        <v>Term</v>
      </c>
      <c r="G433" s="65" t="n">
        <f aca="false">IF('Onshore - Sydney'!E136="","-",'Onshore - Sydney'!E136)</f>
        <v>2575</v>
      </c>
      <c r="H433" s="63" t="n">
        <f aca="false">IF(ISNUMBER(K433),COUNTIFS($J$6:$J$1916,J433,$K$6:$K$1916,"&lt;"&amp;K433)+1,"-")</f>
        <v>5</v>
      </c>
      <c r="I433" s="64" t="str">
        <f aca="false">IF('Onshore - Sydney'!E136="","Harga belum tersedia - hubungi konsultan TEG",IF(M433=2,"Saat ini tidak menerima pendaftaran siswa internasional baru",IF(M433=1,"Harga perlu dikonfirmasi ke sekolah"&amp;IF(""="","","; "&amp;""),"")))</f>
        <v/>
      </c>
      <c r="J433" s="0" t="s">
        <v>3905</v>
      </c>
      <c r="K433" s="0" t="n">
        <f aca="false">IF(M433=2,"",IF(ISNUMBER(SEARCH("rata-rata:",'Onshore - Sydney'!M136)),VALUE(MID('Onshore - Sydney'!M136,SEARCH("rata-rata:",'Onshore - Sydney'!M136)+11,FIND(";",'Onshore - Sydney'!M136&amp;";",SEARCH("rata-rata:",'Onshore - Sydney'!M136))-SEARCH("rata-rata:",'Onshore - Sydney'!M136)-11)),IF('Onshore - Sydney'!D136="Semester",'Onshore - Sydney'!E136*2,IF('Onshore - Sydney'!D136="Trimester",'Onshore - Sydney'!E136*3,IF('Onshore - Sydney'!D136="Term",'Onshore - Sydney'!E136*4,IF('Onshore - Sydney'!D136="Unit",'Onshore - Sydney'!E136*8,""))))))</f>
        <v>10300</v>
      </c>
      <c r="L433" s="0" t="n">
        <f aca="false">IF(AND(ISNUMBER('Onshore - Sydney'!E136),ISNUMBER(K433),ISNUMBER('Onshore - Sydney'!F136),ISNUMBER('Onshore - Sydney'!G136),OR('Onshore - Sydney'!F136&lt;&gt;0,ISNUMBER(SEARCH("Material 0 terverifikasi",'Onshore - Sydney'!M136))),OR('Onshore - Sydney'!G136&lt;&gt;0,ISNUMBER(SEARCH("Enrolment 0 terverifikasi",'Onshore - Sydney'!M136)))),1,0)</f>
        <v>1</v>
      </c>
      <c r="M433" s="0" t="n">
        <f aca="false">IF(OR('Onshore - Sydney'!E136="",ISNUMBER(SEARCH("BSB80120",'Onshore - Sydney'!B136&amp;'Onshore - Sydney'!M136)),ISNUMBER(SEARCH("Management (Learning)",'Onshore - Sydney'!B136))),2,IF(ISNUMBER(SEARCH("CEK:",'Onshore - Sydney'!M136)),1,0))</f>
        <v>0</v>
      </c>
    </row>
    <row r="434" customFormat="false" ht="15" hidden="false" customHeight="false" outlineLevel="0" collapsed="false">
      <c r="A434" s="63" t="s">
        <v>3533</v>
      </c>
      <c r="B434" s="64" t="s">
        <v>3833</v>
      </c>
      <c r="C434" s="63" t="s">
        <v>40</v>
      </c>
      <c r="D434" s="64" t="str">
        <f aca="false">TRIM(LEFT('Onshore - Sydney'!A796,FIND(CHAR(10),'Onshore - Sydney'!A796&amp;CHAR(10))-1))</f>
        <v>TAFE NSW</v>
      </c>
      <c r="E434" s="63" t="str">
        <f aca="false">'Onshore - Sydney'!C807&amp;""</f>
        <v>0,5 year</v>
      </c>
      <c r="F434" s="63" t="str">
        <f aca="false">IF('Onshore - Sydney'!D807="","Belum tercatat",'Onshore - Sydney'!D807)</f>
        <v>Term</v>
      </c>
      <c r="G434" s="65" t="n">
        <f aca="false">IF('Onshore - Sydney'!E807="","-",'Onshore - Sydney'!E807)</f>
        <v>4025</v>
      </c>
      <c r="H434" s="63" t="n">
        <f aca="false">IF(ISNUMBER(K434),COUNTIFS($J$6:$J$1916,J434,$K$6:$K$1916,"&lt;"&amp;K434)+1,"-")</f>
        <v>6</v>
      </c>
      <c r="I434" s="64" t="str">
        <f aca="false">IF('Onshore - Sydney'!E807="","Harga belum tersedia - hubungi konsultan TEG",IF(M434=2,"Saat ini tidak menerima pendaftaran siswa internasional baru",IF(M434=1,"Harga perlu dikonfirmasi ke sekolah"&amp;IF(""="","","; "&amp;""),"")))</f>
        <v/>
      </c>
      <c r="J434" s="0" t="s">
        <v>3905</v>
      </c>
      <c r="K434" s="0" t="n">
        <f aca="false">IF(M434=2,"",IF(ISNUMBER(SEARCH("rata-rata:",'Onshore - Sydney'!M807)),VALUE(MID('Onshore - Sydney'!M807,SEARCH("rata-rata:",'Onshore - Sydney'!M807)+11,FIND(";",'Onshore - Sydney'!M807&amp;";",SEARCH("rata-rata:",'Onshore - Sydney'!M807))-SEARCH("rata-rata:",'Onshore - Sydney'!M807)-11)),IF('Onshore - Sydney'!D807="Semester",'Onshore - Sydney'!E807*2,IF('Onshore - Sydney'!D807="Trimester",'Onshore - Sydney'!E807*3,IF('Onshore - Sydney'!D807="Term",'Onshore - Sydney'!E807*4,IF('Onshore - Sydney'!D807="Unit",'Onshore - Sydney'!E807*8,""))))))</f>
        <v>16100</v>
      </c>
      <c r="L434" s="0" t="n">
        <f aca="false">IF(AND(ISNUMBER('Onshore - Sydney'!E807),ISNUMBER(K434),ISNUMBER('Onshore - Sydney'!F807),ISNUMBER('Onshore - Sydney'!G807),OR('Onshore - Sydney'!F807&lt;&gt;0,ISNUMBER(SEARCH("Material 0 terverifikasi",'Onshore - Sydney'!M807))),OR('Onshore - Sydney'!G807&lt;&gt;0,ISNUMBER(SEARCH("Enrolment 0 terverifikasi",'Onshore - Sydney'!M807)))),1,0)</f>
        <v>0</v>
      </c>
      <c r="M434" s="0" t="n">
        <f aca="false">IF(OR('Onshore - Sydney'!E807="",ISNUMBER(SEARCH("BSB80120",'Onshore - Sydney'!B807&amp;'Onshore - Sydney'!M807)),ISNUMBER(SEARCH("Management (Learning)",'Onshore - Sydney'!B807))),2,IF(ISNUMBER(SEARCH("CEK:",'Onshore - Sydney'!M807)),1,0))</f>
        <v>0</v>
      </c>
    </row>
    <row r="435" customFormat="false" ht="15" hidden="false" customHeight="false" outlineLevel="0" collapsed="false">
      <c r="A435" s="61" t="s">
        <v>3906</v>
      </c>
      <c r="B435" s="62"/>
      <c r="C435" s="62"/>
      <c r="D435" s="62"/>
      <c r="E435" s="62"/>
      <c r="F435" s="62"/>
      <c r="G435" s="62"/>
      <c r="H435" s="62"/>
      <c r="I435" s="62"/>
    </row>
    <row r="436" customFormat="false" ht="15" hidden="false" customHeight="false" outlineLevel="0" collapsed="false">
      <c r="A436" s="63" t="s">
        <v>3533</v>
      </c>
      <c r="B436" s="64" t="s">
        <v>3833</v>
      </c>
      <c r="C436" s="63" t="s">
        <v>41</v>
      </c>
      <c r="D436" s="64" t="str">
        <f aca="false">TRIM(LEFT('Onshore - Sydney'!A495,FIND(CHAR(10),'Onshore - Sydney'!A495&amp;CHAR(10))-1))</f>
        <v>Greenwich College</v>
      </c>
      <c r="E436" s="63" t="str">
        <f aca="false">'Onshore - Sydney'!C499&amp;""</f>
        <v>96 weeks</v>
      </c>
      <c r="F436" s="63" t="str">
        <f aca="false">IF('Onshore - Sydney'!D499="","Belum tercatat",'Onshore - Sydney'!D499)</f>
        <v>Term</v>
      </c>
      <c r="G436" s="65" t="n">
        <f aca="false">IF('Onshore - Sydney'!E499="","-",'Onshore - Sydney'!E499)</f>
        <v>1250</v>
      </c>
      <c r="H436" s="63" t="n">
        <f aca="false">IF(ISNUMBER(K436),COUNTIFS($J$6:$J$1916,J436,$K$6:$K$1916,"&lt;"&amp;K436)+1,"-")</f>
        <v>1</v>
      </c>
      <c r="I436" s="64" t="str">
        <f aca="false">IF('Onshore - Sydney'!E499="","Harga belum tersedia - hubungi konsultan TEG",IF(M436=2,"Saat ini tidak menerima pendaftaran siswa internasional baru",IF(M436=1,"Harga perlu dikonfirmasi ke sekolah"&amp;IF(""="","","; "&amp;""),"")))</f>
        <v/>
      </c>
      <c r="J436" s="0" t="s">
        <v>3907</v>
      </c>
      <c r="K436" s="0" t="n">
        <f aca="false">IF(M436=2,"",IF(ISNUMBER(SEARCH("rata-rata:",'Onshore - Sydney'!M499)),VALUE(MID('Onshore - Sydney'!M499,SEARCH("rata-rata:",'Onshore - Sydney'!M499)+11,FIND(";",'Onshore - Sydney'!M499&amp;";",SEARCH("rata-rata:",'Onshore - Sydney'!M499))-SEARCH("rata-rata:",'Onshore - Sydney'!M499)-11)),IF('Onshore - Sydney'!D499="Semester",'Onshore - Sydney'!E499*2,IF('Onshore - Sydney'!D499="Trimester",'Onshore - Sydney'!E499*3,IF('Onshore - Sydney'!D499="Term",'Onshore - Sydney'!E499*4,IF('Onshore - Sydney'!D499="Unit",'Onshore - Sydney'!E499*8,""))))))</f>
        <v>5000</v>
      </c>
      <c r="L436" s="0" t="n">
        <f aca="false">IF(AND(ISNUMBER('Onshore - Sydney'!E499),ISNUMBER(K436),ISNUMBER('Onshore - Sydney'!F499),ISNUMBER('Onshore - Sydney'!G499),OR('Onshore - Sydney'!F499&lt;&gt;0,ISNUMBER(SEARCH("Material 0 terverifikasi",'Onshore - Sydney'!M499))),OR('Onshore - Sydney'!G499&lt;&gt;0,ISNUMBER(SEARCH("Enrolment 0 terverifikasi",'Onshore - Sydney'!M499)))),1,0)</f>
        <v>1</v>
      </c>
      <c r="M436" s="0" t="n">
        <f aca="false">IF(OR('Onshore - Sydney'!E499="",ISNUMBER(SEARCH("BSB80120",'Onshore - Sydney'!B499&amp;'Onshore - Sydney'!M499)),ISNUMBER(SEARCH("Management (Learning)",'Onshore - Sydney'!B499))),2,IF(ISNUMBER(SEARCH("CEK:",'Onshore - Sydney'!M499)),1,0))</f>
        <v>0</v>
      </c>
    </row>
    <row r="437" customFormat="false" ht="15" hidden="false" customHeight="false" outlineLevel="0" collapsed="false">
      <c r="A437" s="63" t="s">
        <v>3533</v>
      </c>
      <c r="B437" s="64" t="s">
        <v>3833</v>
      </c>
      <c r="C437" s="63" t="s">
        <v>41</v>
      </c>
      <c r="D437" s="64" t="str">
        <f aca="false">TRIM(LEFT('Onshore - Sydney'!A662,FIND(CHAR(10),'Onshore - Sydney'!A662&amp;CHAR(10))-1))</f>
        <v>New Cambridge College Sydney (NCCS)</v>
      </c>
      <c r="E437" s="63" t="str">
        <f aca="false">'Onshore - Sydney'!C662&amp;""</f>
        <v>2 years</v>
      </c>
      <c r="F437" s="63" t="str">
        <f aca="false">IF('Onshore - Sydney'!D662="","Belum tercatat",'Onshore - Sydney'!D662)</f>
        <v>Term</v>
      </c>
      <c r="G437" s="65" t="n">
        <f aca="false">IF('Onshore - Sydney'!E662="","-",'Onshore - Sydney'!E662)</f>
        <v>1250</v>
      </c>
      <c r="H437" s="63" t="n">
        <f aca="false">IF(ISNUMBER(K437),COUNTIFS($J$6:$J$1916,J437,$K$6:$K$1916,"&lt;"&amp;K437)+1,"-")</f>
        <v>1</v>
      </c>
      <c r="I437" s="64" t="str">
        <f aca="false">IF('Onshore - Sydney'!E662="","Harga belum tersedia - hubungi konsultan TEG",IF(M437=2,"Saat ini tidak menerima pendaftaran siswa internasional baru",IF(M437=1,"Harga perlu dikonfirmasi ke sekolah"&amp;IF(""="","","; "&amp;""),"")))</f>
        <v/>
      </c>
      <c r="J437" s="0" t="s">
        <v>3907</v>
      </c>
      <c r="K437" s="0" t="n">
        <f aca="false">IF(M437=2,"",IF(ISNUMBER(SEARCH("rata-rata:",'Onshore - Sydney'!M662)),VALUE(MID('Onshore - Sydney'!M662,SEARCH("rata-rata:",'Onshore - Sydney'!M662)+11,FIND(";",'Onshore - Sydney'!M662&amp;";",SEARCH("rata-rata:",'Onshore - Sydney'!M662))-SEARCH("rata-rata:",'Onshore - Sydney'!M662)-11)),IF('Onshore - Sydney'!D662="Semester",'Onshore - Sydney'!E662*2,IF('Onshore - Sydney'!D662="Trimester",'Onshore - Sydney'!E662*3,IF('Onshore - Sydney'!D662="Term",'Onshore - Sydney'!E662*4,IF('Onshore - Sydney'!D662="Unit",'Onshore - Sydney'!E662*8,""))))))</f>
        <v>5000</v>
      </c>
      <c r="L437" s="0" t="n">
        <f aca="false">IF(AND(ISNUMBER('Onshore - Sydney'!E662),ISNUMBER(K437),ISNUMBER('Onshore - Sydney'!F662),ISNUMBER('Onshore - Sydney'!G662),OR('Onshore - Sydney'!F662&lt;&gt;0,ISNUMBER(SEARCH("Material 0 terverifikasi",'Onshore - Sydney'!M662))),OR('Onshore - Sydney'!G662&lt;&gt;0,ISNUMBER(SEARCH("Enrolment 0 terverifikasi",'Onshore - Sydney'!M662)))),1,0)</f>
        <v>0</v>
      </c>
      <c r="M437" s="0" t="n">
        <f aca="false">IF(OR('Onshore - Sydney'!E662="",ISNUMBER(SEARCH("BSB80120",'Onshore - Sydney'!B662&amp;'Onshore - Sydney'!M662)),ISNUMBER(SEARCH("Management (Learning)",'Onshore - Sydney'!B662))),2,IF(ISNUMBER(SEARCH("CEK:",'Onshore - Sydney'!M662)),1,0))</f>
        <v>0</v>
      </c>
    </row>
    <row r="438" customFormat="false" ht="15" hidden="false" customHeight="false" outlineLevel="0" collapsed="false">
      <c r="A438" s="63" t="s">
        <v>3533</v>
      </c>
      <c r="B438" s="64" t="s">
        <v>3833</v>
      </c>
      <c r="C438" s="63" t="s">
        <v>41</v>
      </c>
      <c r="D438" s="64" t="str">
        <f aca="false">TRIM(LEFT('Onshore - Sydney'!A699,FIND(CHAR(10),'Onshore - Sydney'!A699&amp;CHAR(10))-1))</f>
        <v>NVR Education</v>
      </c>
      <c r="E438" s="63" t="str">
        <f aca="false">'Onshore - Sydney'!C708&amp;""</f>
        <v>2 years</v>
      </c>
      <c r="F438" s="63" t="str">
        <f aca="false">IF('Onshore - Sydney'!D708="","Belum tercatat",'Onshore - Sydney'!D708)</f>
        <v>Term</v>
      </c>
      <c r="G438" s="65" t="n">
        <f aca="false">IF('Onshore - Sydney'!E708="","-",'Onshore - Sydney'!E708)</f>
        <v>1250</v>
      </c>
      <c r="H438" s="63" t="n">
        <f aca="false">IF(ISNUMBER(K438),COUNTIFS($J$6:$J$1916,J438,$K$6:$K$1916,"&lt;"&amp;K438)+1,"-")</f>
        <v>1</v>
      </c>
      <c r="I438" s="64" t="str">
        <f aca="false">IF('Onshore - Sydney'!E708="","Harga belum tersedia - hubungi konsultan TEG",IF(M438=2,"Saat ini tidak menerima pendaftaran siswa internasional baru",IF(M438=1,"Harga perlu dikonfirmasi ke sekolah"&amp;IF(""="","","; "&amp;""),"")))</f>
        <v>Harga perlu dikonfirmasi ke sekolah</v>
      </c>
      <c r="J438" s="0" t="s">
        <v>3907</v>
      </c>
      <c r="K438" s="0" t="n">
        <f aca="false">IF(M438=2,"",IF(ISNUMBER(SEARCH("rata-rata:",'Onshore - Sydney'!M708)),VALUE(MID('Onshore - Sydney'!M708,SEARCH("rata-rata:",'Onshore - Sydney'!M708)+11,FIND(";",'Onshore - Sydney'!M708&amp;";",SEARCH("rata-rata:",'Onshore - Sydney'!M708))-SEARCH("rata-rata:",'Onshore - Sydney'!M708)-11)),IF('Onshore - Sydney'!D708="Semester",'Onshore - Sydney'!E708*2,IF('Onshore - Sydney'!D708="Trimester",'Onshore - Sydney'!E708*3,IF('Onshore - Sydney'!D708="Term",'Onshore - Sydney'!E708*4,IF('Onshore - Sydney'!D708="Unit",'Onshore - Sydney'!E708*8,""))))))</f>
        <v>5000</v>
      </c>
      <c r="L438" s="0" t="n">
        <f aca="false">IF(AND(ISNUMBER('Onshore - Sydney'!E708),ISNUMBER(K438),ISNUMBER('Onshore - Sydney'!F708),ISNUMBER('Onshore - Sydney'!G708),OR('Onshore - Sydney'!F708&lt;&gt;0,ISNUMBER(SEARCH("Material 0 terverifikasi",'Onshore - Sydney'!M708))),OR('Onshore - Sydney'!G708&lt;&gt;0,ISNUMBER(SEARCH("Enrolment 0 terverifikasi",'Onshore - Sydney'!M708)))),1,0)</f>
        <v>0</v>
      </c>
      <c r="M438" s="0" t="n">
        <f aca="false">IF(OR('Onshore - Sydney'!E708="",ISNUMBER(SEARCH("BSB80120",'Onshore - Sydney'!B708&amp;'Onshore - Sydney'!M708)),ISNUMBER(SEARCH("Management (Learning)",'Onshore - Sydney'!B708))),2,IF(ISNUMBER(SEARCH("CEK:",'Onshore - Sydney'!M708)),1,0))</f>
        <v>1</v>
      </c>
    </row>
    <row r="439" customFormat="false" ht="28.35" hidden="false" customHeight="false" outlineLevel="0" collapsed="false">
      <c r="A439" s="63" t="s">
        <v>3533</v>
      </c>
      <c r="B439" s="64" t="s">
        <v>3833</v>
      </c>
      <c r="C439" s="63" t="s">
        <v>41</v>
      </c>
      <c r="D439" s="64" t="str">
        <f aca="false">TRIM(LEFT('Onshore - Sydney'!A268,FIND(CHAR(10),'Onshore - Sydney'!A268&amp;CHAR(10))-1))</f>
        <v>Australian College of Business Intelligence (ACBI)</v>
      </c>
      <c r="E439" s="63" t="str">
        <f aca="false">'Onshore - Sydney'!C268&amp;""</f>
        <v>52 weeks (4 terms)</v>
      </c>
      <c r="F439" s="63" t="str">
        <f aca="false">IF('Onshore - Sydney'!D268="","Belum tercatat",'Onshore - Sydney'!D268)</f>
        <v>Term</v>
      </c>
      <c r="G439" s="65" t="n">
        <f aca="false">IF('Onshore - Sydney'!E268="","-",'Onshore - Sydney'!E268)</f>
        <v>1350</v>
      </c>
      <c r="H439" s="63" t="n">
        <f aca="false">IF(ISNUMBER(K439),COUNTIFS($J$6:$J$1916,J439,$K$6:$K$1916,"&lt;"&amp;K439)+1,"-")</f>
        <v>4</v>
      </c>
      <c r="I439" s="64" t="str">
        <f aca="false">IF('Onshore - Sydney'!E268="","Harga belum tersedia - hubungi konsultan TEG",IF(M439=2,"Saat ini tidak menerima pendaftaran siswa internasional baru",IF(M439=1,"Harga perlu dikonfirmasi ke sekolah"&amp;IF(""="","","; "&amp;""),"")))</f>
        <v/>
      </c>
      <c r="J439" s="0" t="s">
        <v>3907</v>
      </c>
      <c r="K439" s="0" t="n">
        <f aca="false">IF(M439=2,"",IF(ISNUMBER(SEARCH("rata-rata:",'Onshore - Sydney'!M268)),VALUE(MID('Onshore - Sydney'!M268,SEARCH("rata-rata:",'Onshore - Sydney'!M268)+11,FIND(";",'Onshore - Sydney'!M268&amp;";",SEARCH("rata-rata:",'Onshore - Sydney'!M268))-SEARCH("rata-rata:",'Onshore - Sydney'!M268)-11)),IF('Onshore - Sydney'!D268="Semester",'Onshore - Sydney'!E268*2,IF('Onshore - Sydney'!D268="Trimester",'Onshore - Sydney'!E268*3,IF('Onshore - Sydney'!D268="Term",'Onshore - Sydney'!E268*4,IF('Onshore - Sydney'!D268="Unit",'Onshore - Sydney'!E268*8,""))))))</f>
        <v>5400</v>
      </c>
      <c r="L439" s="0" t="n">
        <f aca="false">IF(AND(ISNUMBER('Onshore - Sydney'!E268),ISNUMBER(K439),ISNUMBER('Onshore - Sydney'!F268),ISNUMBER('Onshore - Sydney'!G268),OR('Onshore - Sydney'!F268&lt;&gt;0,ISNUMBER(SEARCH("Material 0 terverifikasi",'Onshore - Sydney'!M268))),OR('Onshore - Sydney'!G268&lt;&gt;0,ISNUMBER(SEARCH("Enrolment 0 terverifikasi",'Onshore - Sydney'!M268)))),1,0)</f>
        <v>1</v>
      </c>
      <c r="M439" s="0" t="n">
        <f aca="false">IF(OR('Onshore - Sydney'!E268="",ISNUMBER(SEARCH("BSB80120",'Onshore - Sydney'!B268&amp;'Onshore - Sydney'!M268)),ISNUMBER(SEARCH("Management (Learning)",'Onshore - Sydney'!B268))),2,IF(ISNUMBER(SEARCH("CEK:",'Onshore - Sydney'!M268)),1,0))</f>
        <v>0</v>
      </c>
    </row>
    <row r="440" customFormat="false" ht="15" hidden="false" customHeight="false" outlineLevel="0" collapsed="false">
      <c r="A440" s="63" t="s">
        <v>3533</v>
      </c>
      <c r="B440" s="64" t="s">
        <v>3833</v>
      </c>
      <c r="C440" s="63" t="s">
        <v>41</v>
      </c>
      <c r="D440" s="64" t="str">
        <f aca="false">TRIM(LEFT('Onshore - Sydney'!A389,FIND(CHAR(10),'Onshore - Sydney'!A389&amp;CHAR(10))-1))</f>
        <v>Capstone Institute of Australia (CIA)</v>
      </c>
      <c r="E440" s="63" t="str">
        <f aca="false">'Onshore - Sydney'!C391&amp;""</f>
        <v>3 years</v>
      </c>
      <c r="F440" s="63" t="str">
        <f aca="false">IF('Onshore - Sydney'!D391="","Belum tercatat",'Onshore - Sydney'!D391)</f>
        <v>Term</v>
      </c>
      <c r="G440" s="65" t="n">
        <f aca="false">IF('Onshore - Sydney'!E391="","-",'Onshore - Sydney'!E391)</f>
        <v>1350</v>
      </c>
      <c r="H440" s="63" t="n">
        <f aca="false">IF(ISNUMBER(K440),COUNTIFS($J$6:$J$1916,J440,$K$6:$K$1916,"&lt;"&amp;K440)+1,"-")</f>
        <v>4</v>
      </c>
      <c r="I440" s="64" t="str">
        <f aca="false">IF('Onshore - Sydney'!E391="","Harga belum tersedia - hubungi konsultan TEG",IF(M440=2,"Saat ini tidak menerima pendaftaran siswa internasional baru",IF(M440=1,"Harga perlu dikonfirmasi ke sekolah"&amp;IF(""="","","; "&amp;""),"")))</f>
        <v/>
      </c>
      <c r="J440" s="0" t="s">
        <v>3907</v>
      </c>
      <c r="K440" s="0" t="n">
        <f aca="false">IF(M440=2,"",IF(ISNUMBER(SEARCH("rata-rata:",'Onshore - Sydney'!M391)),VALUE(MID('Onshore - Sydney'!M391,SEARCH("rata-rata:",'Onshore - Sydney'!M391)+11,FIND(";",'Onshore - Sydney'!M391&amp;";",SEARCH("rata-rata:",'Onshore - Sydney'!M391))-SEARCH("rata-rata:",'Onshore - Sydney'!M391)-11)),IF('Onshore - Sydney'!D391="Semester",'Onshore - Sydney'!E391*2,IF('Onshore - Sydney'!D391="Trimester",'Onshore - Sydney'!E391*3,IF('Onshore - Sydney'!D391="Term",'Onshore - Sydney'!E391*4,IF('Onshore - Sydney'!D391="Unit",'Onshore - Sydney'!E391*8,""))))))</f>
        <v>5400</v>
      </c>
      <c r="L440" s="0" t="n">
        <f aca="false">IF(AND(ISNUMBER('Onshore - Sydney'!E391),ISNUMBER(K440),ISNUMBER('Onshore - Sydney'!F391),ISNUMBER('Onshore - Sydney'!G391),OR('Onshore - Sydney'!F391&lt;&gt;0,ISNUMBER(SEARCH("Material 0 terverifikasi",'Onshore - Sydney'!M391))),OR('Onshore - Sydney'!G391&lt;&gt;0,ISNUMBER(SEARCH("Enrolment 0 terverifikasi",'Onshore - Sydney'!M391)))),1,0)</f>
        <v>1</v>
      </c>
      <c r="M440" s="0" t="n">
        <f aca="false">IF(OR('Onshore - Sydney'!E391="",ISNUMBER(SEARCH("BSB80120",'Onshore - Sydney'!B391&amp;'Onshore - Sydney'!M391)),ISNUMBER(SEARCH("Management (Learning)",'Onshore - Sydney'!B391))),2,IF(ISNUMBER(SEARCH("CEK:",'Onshore - Sydney'!M391)),1,0))</f>
        <v>0</v>
      </c>
    </row>
    <row r="441" customFormat="false" ht="15" hidden="false" customHeight="false" outlineLevel="0" collapsed="false">
      <c r="A441" s="63" t="s">
        <v>3533</v>
      </c>
      <c r="B441" s="64" t="s">
        <v>3833</v>
      </c>
      <c r="C441" s="63" t="s">
        <v>41</v>
      </c>
      <c r="D441" s="64" t="str">
        <f aca="false">TRIM(LEFT('Onshore - Sydney'!A536,FIND(CHAR(10),'Onshore - Sydney'!A536&amp;CHAR(10))-1))</f>
        <v>Imperial Institute of Sydney (IIS)</v>
      </c>
      <c r="E441" s="63" t="str">
        <f aca="false">'Onshore - Sydney'!C540&amp;""</f>
        <v>1 year</v>
      </c>
      <c r="F441" s="63" t="str">
        <f aca="false">IF('Onshore - Sydney'!D540="","Belum tercatat",'Onshore - Sydney'!D540)</f>
        <v>Term</v>
      </c>
      <c r="G441" s="65" t="n">
        <f aca="false">IF('Onshore - Sydney'!E540="","-",'Onshore - Sydney'!E540)</f>
        <v>1350</v>
      </c>
      <c r="H441" s="63" t="n">
        <f aca="false">IF(ISNUMBER(K441),COUNTIFS($J$6:$J$1916,J441,$K$6:$K$1916,"&lt;"&amp;K441)+1,"-")</f>
        <v>4</v>
      </c>
      <c r="I441" s="64" t="str">
        <f aca="false">IF('Onshore - Sydney'!E540="","Harga belum tersedia - hubungi konsultan TEG",IF(M441=2,"Saat ini tidak menerima pendaftaran siswa internasional baru",IF(M441=1,"Harga perlu dikonfirmasi ke sekolah"&amp;IF(""="","","; "&amp;""),"")))</f>
        <v/>
      </c>
      <c r="J441" s="0" t="s">
        <v>3907</v>
      </c>
      <c r="K441" s="0" t="n">
        <f aca="false">IF(M441=2,"",IF(ISNUMBER(SEARCH("rata-rata:",'Onshore - Sydney'!M540)),VALUE(MID('Onshore - Sydney'!M540,SEARCH("rata-rata:",'Onshore - Sydney'!M540)+11,FIND(";",'Onshore - Sydney'!M540&amp;";",SEARCH("rata-rata:",'Onshore - Sydney'!M540))-SEARCH("rata-rata:",'Onshore - Sydney'!M540)-11)),IF('Onshore - Sydney'!D540="Semester",'Onshore - Sydney'!E540*2,IF('Onshore - Sydney'!D540="Trimester",'Onshore - Sydney'!E540*3,IF('Onshore - Sydney'!D540="Term",'Onshore - Sydney'!E540*4,IF('Onshore - Sydney'!D540="Unit",'Onshore - Sydney'!E540*8,""))))))</f>
        <v>5400</v>
      </c>
      <c r="L441" s="0" t="n">
        <f aca="false">IF(AND(ISNUMBER('Onshore - Sydney'!E540),ISNUMBER(K441),ISNUMBER('Onshore - Sydney'!F540),ISNUMBER('Onshore - Sydney'!G540),OR('Onshore - Sydney'!F540&lt;&gt;0,ISNUMBER(SEARCH("Material 0 terverifikasi",'Onshore - Sydney'!M540))),OR('Onshore - Sydney'!G540&lt;&gt;0,ISNUMBER(SEARCH("Enrolment 0 terverifikasi",'Onshore - Sydney'!M540)))),1,0)</f>
        <v>0</v>
      </c>
      <c r="M441" s="0" t="n">
        <f aca="false">IF(OR('Onshore - Sydney'!E540="",ISNUMBER(SEARCH("BSB80120",'Onshore - Sydney'!B540&amp;'Onshore - Sydney'!M540)),ISNUMBER(SEARCH("Management (Learning)",'Onshore - Sydney'!B540))),2,IF(ISNUMBER(SEARCH("CEK:",'Onshore - Sydney'!M540)),1,0))</f>
        <v>0</v>
      </c>
    </row>
    <row r="442" customFormat="false" ht="15" hidden="false" customHeight="false" outlineLevel="0" collapsed="false">
      <c r="A442" s="63" t="s">
        <v>3533</v>
      </c>
      <c r="B442" s="64" t="s">
        <v>3833</v>
      </c>
      <c r="C442" s="63" t="s">
        <v>41</v>
      </c>
      <c r="D442" s="64" t="str">
        <f aca="false">TRIM(LEFT('Onshore - Sydney'!A768,FIND(CHAR(10),'Onshore - Sydney'!A768&amp;CHAR(10))-1))</f>
        <v>Sydney Global College</v>
      </c>
      <c r="E442" s="63" t="str">
        <f aca="false">'Onshore - Sydney'!C768&amp;""</f>
        <v>2 years</v>
      </c>
      <c r="F442" s="63" t="str">
        <f aca="false">IF('Onshore - Sydney'!D768="","Belum tercatat",'Onshore - Sydney'!D768)</f>
        <v>Term</v>
      </c>
      <c r="G442" s="65" t="n">
        <f aca="false">IF('Onshore - Sydney'!E768="","-",'Onshore - Sydney'!E768)</f>
        <v>1350</v>
      </c>
      <c r="H442" s="63" t="n">
        <f aca="false">IF(ISNUMBER(K442),COUNTIFS($J$6:$J$1916,J442,$K$6:$K$1916,"&lt;"&amp;K442)+1,"-")</f>
        <v>4</v>
      </c>
      <c r="I442" s="64" t="str">
        <f aca="false">IF('Onshore - Sydney'!E768="","Harga belum tersedia - hubungi konsultan TEG",IF(M442=2,"Saat ini tidak menerima pendaftaran siswa internasional baru",IF(M442=1,"Harga perlu dikonfirmasi ke sekolah"&amp;IF(""="","","; "&amp;""),"")))</f>
        <v/>
      </c>
      <c r="J442" s="0" t="s">
        <v>3907</v>
      </c>
      <c r="K442" s="0" t="n">
        <f aca="false">IF(M442=2,"",IF(ISNUMBER(SEARCH("rata-rata:",'Onshore - Sydney'!M768)),VALUE(MID('Onshore - Sydney'!M768,SEARCH("rata-rata:",'Onshore - Sydney'!M768)+11,FIND(";",'Onshore - Sydney'!M768&amp;";",SEARCH("rata-rata:",'Onshore - Sydney'!M768))-SEARCH("rata-rata:",'Onshore - Sydney'!M768)-11)),IF('Onshore - Sydney'!D768="Semester",'Onshore - Sydney'!E768*2,IF('Onshore - Sydney'!D768="Trimester",'Onshore - Sydney'!E768*3,IF('Onshore - Sydney'!D768="Term",'Onshore - Sydney'!E768*4,IF('Onshore - Sydney'!D768="Unit",'Onshore - Sydney'!E768*8,""))))))</f>
        <v>5400</v>
      </c>
      <c r="L442" s="0" t="n">
        <f aca="false">IF(AND(ISNUMBER('Onshore - Sydney'!E768),ISNUMBER(K442),ISNUMBER('Onshore - Sydney'!F768),ISNUMBER('Onshore - Sydney'!G768),OR('Onshore - Sydney'!F768&lt;&gt;0,ISNUMBER(SEARCH("Material 0 terverifikasi",'Onshore - Sydney'!M768))),OR('Onshore - Sydney'!G768&lt;&gt;0,ISNUMBER(SEARCH("Enrolment 0 terverifikasi",'Onshore - Sydney'!M768)))),1,0)</f>
        <v>1</v>
      </c>
      <c r="M442" s="0" t="n">
        <f aca="false">IF(OR('Onshore - Sydney'!E768="",ISNUMBER(SEARCH("BSB80120",'Onshore - Sydney'!B768&amp;'Onshore - Sydney'!M768)),ISNUMBER(SEARCH("Management (Learning)",'Onshore - Sydney'!B768))),2,IF(ISNUMBER(SEARCH("CEK:",'Onshore - Sydney'!M768)),1,0))</f>
        <v>0</v>
      </c>
    </row>
    <row r="443" customFormat="false" ht="15" hidden="false" customHeight="false" outlineLevel="0" collapsed="false">
      <c r="A443" s="63" t="s">
        <v>3533</v>
      </c>
      <c r="B443" s="64" t="s">
        <v>3833</v>
      </c>
      <c r="C443" s="63" t="s">
        <v>41</v>
      </c>
      <c r="D443" s="64" t="str">
        <f aca="false">TRIM(LEFT('Onshore - Sydney'!A790,FIND(CHAR(10),'Onshore - Sydney'!A790&amp;CHAR(10))-1))</f>
        <v>Sydney Metropolitan International College</v>
      </c>
      <c r="E443" s="63" t="str">
        <f aca="false">'Onshore - Sydney'!C791&amp;""</f>
        <v>2 years</v>
      </c>
      <c r="F443" s="63" t="str">
        <f aca="false">IF('Onshore - Sydney'!D791="","Belum tercatat",'Onshore - Sydney'!D791)</f>
        <v>Term</v>
      </c>
      <c r="G443" s="65" t="n">
        <f aca="false">IF('Onshore - Sydney'!E791="","-",'Onshore - Sydney'!E791)</f>
        <v>1350</v>
      </c>
      <c r="H443" s="63" t="n">
        <f aca="false">IF(ISNUMBER(K443),COUNTIFS($J$6:$J$1916,J443,$K$6:$K$1916,"&lt;"&amp;K443)+1,"-")</f>
        <v>4</v>
      </c>
      <c r="I443" s="64" t="str">
        <f aca="false">IF('Onshore - Sydney'!E791="","Harga belum tersedia - hubungi konsultan TEG",IF(M443=2,"Saat ini tidak menerima pendaftaran siswa internasional baru",IF(M443=1,"Harga perlu dikonfirmasi ke sekolah"&amp;IF(""="","","; "&amp;""),"")))</f>
        <v/>
      </c>
      <c r="J443" s="0" t="s">
        <v>3907</v>
      </c>
      <c r="K443" s="0" t="n">
        <f aca="false">IF(M443=2,"",IF(ISNUMBER(SEARCH("rata-rata:",'Onshore - Sydney'!M791)),VALUE(MID('Onshore - Sydney'!M791,SEARCH("rata-rata:",'Onshore - Sydney'!M791)+11,FIND(";",'Onshore - Sydney'!M791&amp;";",SEARCH("rata-rata:",'Onshore - Sydney'!M791))-SEARCH("rata-rata:",'Onshore - Sydney'!M791)-11)),IF('Onshore - Sydney'!D791="Semester",'Onshore - Sydney'!E791*2,IF('Onshore - Sydney'!D791="Trimester",'Onshore - Sydney'!E791*3,IF('Onshore - Sydney'!D791="Term",'Onshore - Sydney'!E791*4,IF('Onshore - Sydney'!D791="Unit",'Onshore - Sydney'!E791*8,""))))))</f>
        <v>5400</v>
      </c>
      <c r="L443" s="0" t="n">
        <f aca="false">IF(AND(ISNUMBER('Onshore - Sydney'!E791),ISNUMBER(K443),ISNUMBER('Onshore - Sydney'!F791),ISNUMBER('Onshore - Sydney'!G791),OR('Onshore - Sydney'!F791&lt;&gt;0,ISNUMBER(SEARCH("Material 0 terverifikasi",'Onshore - Sydney'!M791))),OR('Onshore - Sydney'!G791&lt;&gt;0,ISNUMBER(SEARCH("Enrolment 0 terverifikasi",'Onshore - Sydney'!M791)))),1,0)</f>
        <v>1</v>
      </c>
      <c r="M443" s="0" t="n">
        <f aca="false">IF(OR('Onshore - Sydney'!E791="",ISNUMBER(SEARCH("BSB80120",'Onshore - Sydney'!B791&amp;'Onshore - Sydney'!M791)),ISNUMBER(SEARCH("Management (Learning)",'Onshore - Sydney'!B791))),2,IF(ISNUMBER(SEARCH("CEK:",'Onshore - Sydney'!M791)),1,0))</f>
        <v>0</v>
      </c>
    </row>
    <row r="444" customFormat="false" ht="15" hidden="false" customHeight="false" outlineLevel="0" collapsed="false">
      <c r="A444" s="63" t="s">
        <v>3533</v>
      </c>
      <c r="B444" s="64" t="s">
        <v>3833</v>
      </c>
      <c r="C444" s="63" t="s">
        <v>41</v>
      </c>
      <c r="D444" s="64" t="str">
        <f aca="false">TRIM(LEFT('Onshore - Sydney'!A15,FIND(CHAR(10),'Onshore - Sydney'!A15&amp;CHAR(10))-1))</f>
        <v>ABM Further Education</v>
      </c>
      <c r="E444" s="63" t="str">
        <f aca="false">'Onshore - Sydney'!C29&amp;""</f>
        <v>2 years</v>
      </c>
      <c r="F444" s="63" t="str">
        <f aca="false">IF('Onshore - Sydney'!D29="","Belum tercatat",'Onshore - Sydney'!D29)</f>
        <v>Term</v>
      </c>
      <c r="G444" s="65" t="n">
        <f aca="false">IF('Onshore - Sydney'!E29="","-",'Onshore - Sydney'!E29)</f>
        <v>1400</v>
      </c>
      <c r="H444" s="63" t="n">
        <f aca="false">IF(ISNUMBER(K444),COUNTIFS($J$6:$J$1916,J444,$K$6:$K$1916,"&lt;"&amp;K444)+1,"-")</f>
        <v>9</v>
      </c>
      <c r="I444" s="64" t="str">
        <f aca="false">IF('Onshore - Sydney'!E29="","Harga belum tersedia - hubungi konsultan TEG",IF(M444=2,"Saat ini tidak menerima pendaftaran siswa internasional baru",IF(M444=1,"Harga perlu dikonfirmasi ke sekolah"&amp;IF(""="","","; "&amp;""),"")))</f>
        <v/>
      </c>
      <c r="J444" s="0" t="s">
        <v>3907</v>
      </c>
      <c r="K444" s="0" t="n">
        <f aca="false">IF(M444=2,"",IF(ISNUMBER(SEARCH("rata-rata:",'Onshore - Sydney'!M29)),VALUE(MID('Onshore - Sydney'!M29,SEARCH("rata-rata:",'Onshore - Sydney'!M29)+11,FIND(";",'Onshore - Sydney'!M29&amp;";",SEARCH("rata-rata:",'Onshore - Sydney'!M29))-SEARCH("rata-rata:",'Onshore - Sydney'!M29)-11)),IF('Onshore - Sydney'!D29="Semester",'Onshore - Sydney'!E29*2,IF('Onshore - Sydney'!D29="Trimester",'Onshore - Sydney'!E29*3,IF('Onshore - Sydney'!D29="Term",'Onshore - Sydney'!E29*4,IF('Onshore - Sydney'!D29="Unit",'Onshore - Sydney'!E29*8,""))))))</f>
        <v>5600</v>
      </c>
      <c r="L444" s="0" t="n">
        <f aca="false">IF(AND(ISNUMBER('Onshore - Sydney'!E29),ISNUMBER(K444),ISNUMBER('Onshore - Sydney'!F29),ISNUMBER('Onshore - Sydney'!G29),OR('Onshore - Sydney'!F29&lt;&gt;0,ISNUMBER(SEARCH("Material 0 terverifikasi",'Onshore - Sydney'!M29))),OR('Onshore - Sydney'!G29&lt;&gt;0,ISNUMBER(SEARCH("Enrolment 0 terverifikasi",'Onshore - Sydney'!M29)))),1,0)</f>
        <v>1</v>
      </c>
      <c r="M444" s="0" t="n">
        <f aca="false">IF(OR('Onshore - Sydney'!E29="",ISNUMBER(SEARCH("BSB80120",'Onshore - Sydney'!B29&amp;'Onshore - Sydney'!M29)),ISNUMBER(SEARCH("Management (Learning)",'Onshore - Sydney'!B29))),2,IF(ISNUMBER(SEARCH("CEK:",'Onshore - Sydney'!M29)),1,0))</f>
        <v>0</v>
      </c>
    </row>
    <row r="445" customFormat="false" ht="28.35" hidden="false" customHeight="false" outlineLevel="0" collapsed="false">
      <c r="A445" s="63" t="s">
        <v>3533</v>
      </c>
      <c r="B445" s="64" t="s">
        <v>3833</v>
      </c>
      <c r="C445" s="63" t="s">
        <v>41</v>
      </c>
      <c r="D445" s="64" t="str">
        <f aca="false">TRIM(LEFT('Onshore - Sydney'!A289,FIND(CHAR(10),'Onshore - Sydney'!A289&amp;CHAR(10))-1))</f>
        <v>Australian College of International Studies (ACIS)</v>
      </c>
      <c r="E445" s="63" t="str">
        <f aca="false">'Onshore - Sydney'!C289&amp;""</f>
        <v>2 years</v>
      </c>
      <c r="F445" s="63" t="str">
        <f aca="false">IF('Onshore - Sydney'!D289="","Belum tercatat",'Onshore - Sydney'!D289)</f>
        <v>Term</v>
      </c>
      <c r="G445" s="65" t="n">
        <f aca="false">IF('Onshore - Sydney'!E289="","-",'Onshore - Sydney'!E289)</f>
        <v>1400</v>
      </c>
      <c r="H445" s="63" t="n">
        <f aca="false">IF(ISNUMBER(K445),COUNTIFS($J$6:$J$1916,J445,$K$6:$K$1916,"&lt;"&amp;K445)+1,"-")</f>
        <v>9</v>
      </c>
      <c r="I445" s="64" t="str">
        <f aca="false">IF('Onshore - Sydney'!E289="","Harga belum tersedia - hubungi konsultan TEG",IF(M445=2,"Saat ini tidak menerima pendaftaran siswa internasional baru",IF(M445=1,"Harga perlu dikonfirmasi ke sekolah"&amp;IF(""="","","; "&amp;""),"")))</f>
        <v/>
      </c>
      <c r="J445" s="0" t="s">
        <v>3907</v>
      </c>
      <c r="K445" s="0" t="n">
        <f aca="false">IF(M445=2,"",IF(ISNUMBER(SEARCH("rata-rata:",'Onshore - Sydney'!M289)),VALUE(MID('Onshore - Sydney'!M289,SEARCH("rata-rata:",'Onshore - Sydney'!M289)+11,FIND(";",'Onshore - Sydney'!M289&amp;";",SEARCH("rata-rata:",'Onshore - Sydney'!M289))-SEARCH("rata-rata:",'Onshore - Sydney'!M289)-11)),IF('Onshore - Sydney'!D289="Semester",'Onshore - Sydney'!E289*2,IF('Onshore - Sydney'!D289="Trimester",'Onshore - Sydney'!E289*3,IF('Onshore - Sydney'!D289="Term",'Onshore - Sydney'!E289*4,IF('Onshore - Sydney'!D289="Unit",'Onshore - Sydney'!E289*8,""))))))</f>
        <v>5600</v>
      </c>
      <c r="L445" s="0" t="n">
        <f aca="false">IF(AND(ISNUMBER('Onshore - Sydney'!E289),ISNUMBER(K445),ISNUMBER('Onshore - Sydney'!F289),ISNUMBER('Onshore - Sydney'!G289),OR('Onshore - Sydney'!F289&lt;&gt;0,ISNUMBER(SEARCH("Material 0 terverifikasi",'Onshore - Sydney'!M289))),OR('Onshore - Sydney'!G289&lt;&gt;0,ISNUMBER(SEARCH("Enrolment 0 terverifikasi",'Onshore - Sydney'!M289)))),1,0)</f>
        <v>1</v>
      </c>
      <c r="M445" s="0" t="n">
        <f aca="false">IF(OR('Onshore - Sydney'!E289="",ISNUMBER(SEARCH("BSB80120",'Onshore - Sydney'!B289&amp;'Onshore - Sydney'!M289)),ISNUMBER(SEARCH("Management (Learning)",'Onshore - Sydney'!B289))),2,IF(ISNUMBER(SEARCH("CEK:",'Onshore - Sydney'!M289)),1,0))</f>
        <v>0</v>
      </c>
    </row>
    <row r="446" customFormat="false" ht="15" hidden="false" customHeight="false" outlineLevel="0" collapsed="false">
      <c r="A446" s="63" t="s">
        <v>3533</v>
      </c>
      <c r="B446" s="64" t="s">
        <v>3833</v>
      </c>
      <c r="C446" s="63" t="s">
        <v>41</v>
      </c>
      <c r="D446" s="64" t="str">
        <f aca="false">TRIM(LEFT('Onshore - Sydney'!A517,FIND(CHAR(10),'Onshore - Sydney'!A517&amp;CHAR(10))-1))</f>
        <v>Harbourside Institute of Australia (HIA)</v>
      </c>
      <c r="E446" s="63" t="str">
        <f aca="false">'Onshore - Sydney'!C517&amp;""</f>
        <v>2 years</v>
      </c>
      <c r="F446" s="63" t="str">
        <f aca="false">IF('Onshore - Sydney'!D517="","Belum tercatat",'Onshore - Sydney'!D517)</f>
        <v>Term</v>
      </c>
      <c r="G446" s="65" t="n">
        <f aca="false">IF('Onshore - Sydney'!E517="","-",'Onshore - Sydney'!E517)</f>
        <v>1400</v>
      </c>
      <c r="H446" s="63" t="n">
        <f aca="false">IF(ISNUMBER(K446),COUNTIFS($J$6:$J$1916,J446,$K$6:$K$1916,"&lt;"&amp;K446)+1,"-")</f>
        <v>9</v>
      </c>
      <c r="I446" s="64" t="str">
        <f aca="false">IF('Onshore - Sydney'!E517="","Harga belum tersedia - hubungi konsultan TEG",IF(M446=2,"Saat ini tidak menerima pendaftaran siswa internasional baru",IF(M446=1,"Harga perlu dikonfirmasi ke sekolah"&amp;IF(""="","","; "&amp;""),"")))</f>
        <v>Harga perlu dikonfirmasi ke sekolah</v>
      </c>
      <c r="J446" s="0" t="s">
        <v>3907</v>
      </c>
      <c r="K446" s="0" t="n">
        <f aca="false">IF(M446=2,"",IF(ISNUMBER(SEARCH("rata-rata:",'Onshore - Sydney'!M517)),VALUE(MID('Onshore - Sydney'!M517,SEARCH("rata-rata:",'Onshore - Sydney'!M517)+11,FIND(";",'Onshore - Sydney'!M517&amp;";",SEARCH("rata-rata:",'Onshore - Sydney'!M517))-SEARCH("rata-rata:",'Onshore - Sydney'!M517)-11)),IF('Onshore - Sydney'!D517="Semester",'Onshore - Sydney'!E517*2,IF('Onshore - Sydney'!D517="Trimester",'Onshore - Sydney'!E517*3,IF('Onshore - Sydney'!D517="Term",'Onshore - Sydney'!E517*4,IF('Onshore - Sydney'!D517="Unit",'Onshore - Sydney'!E517*8,""))))))</f>
        <v>5600</v>
      </c>
      <c r="L446" s="0" t="n">
        <f aca="false">IF(AND(ISNUMBER('Onshore - Sydney'!E517),ISNUMBER(K446),ISNUMBER('Onshore - Sydney'!F517),ISNUMBER('Onshore - Sydney'!G517),OR('Onshore - Sydney'!F517&lt;&gt;0,ISNUMBER(SEARCH("Material 0 terverifikasi",'Onshore - Sydney'!M517))),OR('Onshore - Sydney'!G517&lt;&gt;0,ISNUMBER(SEARCH("Enrolment 0 terverifikasi",'Onshore - Sydney'!M517)))),1,0)</f>
        <v>1</v>
      </c>
      <c r="M446" s="0" t="n">
        <f aca="false">IF(OR('Onshore - Sydney'!E517="",ISNUMBER(SEARCH("BSB80120",'Onshore - Sydney'!B517&amp;'Onshore - Sydney'!M517)),ISNUMBER(SEARCH("Management (Learning)",'Onshore - Sydney'!B517))),2,IF(ISNUMBER(SEARCH("CEK:",'Onshore - Sydney'!M517)),1,0))</f>
        <v>1</v>
      </c>
    </row>
    <row r="447" customFormat="false" ht="15" hidden="false" customHeight="false" outlineLevel="0" collapsed="false">
      <c r="A447" s="63" t="s">
        <v>3533</v>
      </c>
      <c r="B447" s="64" t="s">
        <v>3833</v>
      </c>
      <c r="C447" s="63" t="s">
        <v>41</v>
      </c>
      <c r="D447" s="64" t="str">
        <f aca="false">TRIM(LEFT('Onshore - Sydney'!A1004,FIND(CHAR(10),'Onshore - Sydney'!A1004&amp;CHAR(10))-1))</f>
        <v>VIA Education</v>
      </c>
      <c r="E447" s="63" t="str">
        <f aca="false">'Onshore - Sydney'!C1004&amp;""</f>
        <v>2,5 years</v>
      </c>
      <c r="F447" s="63" t="str">
        <f aca="false">IF('Onshore - Sydney'!D1004="","Belum tercatat",'Onshore - Sydney'!D1004)</f>
        <v>Term</v>
      </c>
      <c r="G447" s="65" t="n">
        <f aca="false">IF('Onshore - Sydney'!E1004="","-",'Onshore - Sydney'!E1004)</f>
        <v>1400</v>
      </c>
      <c r="H447" s="63" t="n">
        <f aca="false">IF(ISNUMBER(K447),COUNTIFS($J$6:$J$1916,J447,$K$6:$K$1916,"&lt;"&amp;K447)+1,"-")</f>
        <v>9</v>
      </c>
      <c r="I447" s="64" t="str">
        <f aca="false">IF('Onshore - Sydney'!E1004="","Harga belum tersedia - hubungi konsultan TEG",IF(M447=2,"Saat ini tidak menerima pendaftaran siswa internasional baru",IF(M447=1,"Harga perlu dikonfirmasi ke sekolah"&amp;IF(""="","","; "&amp;""),"")))</f>
        <v/>
      </c>
      <c r="J447" s="0" t="s">
        <v>3907</v>
      </c>
      <c r="K447" s="0" t="n">
        <f aca="false">IF(M447=2,"",IF(ISNUMBER(SEARCH("rata-rata:",'Onshore - Sydney'!M1004)),VALUE(MID('Onshore - Sydney'!M1004,SEARCH("rata-rata:",'Onshore - Sydney'!M1004)+11,FIND(";",'Onshore - Sydney'!M1004&amp;";",SEARCH("rata-rata:",'Onshore - Sydney'!M1004))-SEARCH("rata-rata:",'Onshore - Sydney'!M1004)-11)),IF('Onshore - Sydney'!D1004="Semester",'Onshore - Sydney'!E1004*2,IF('Onshore - Sydney'!D1004="Trimester",'Onshore - Sydney'!E1004*3,IF('Onshore - Sydney'!D1004="Term",'Onshore - Sydney'!E1004*4,IF('Onshore - Sydney'!D1004="Unit",'Onshore - Sydney'!E1004*8,""))))))</f>
        <v>5600</v>
      </c>
      <c r="L447" s="0" t="n">
        <f aca="false">IF(AND(ISNUMBER('Onshore - Sydney'!E1004),ISNUMBER(K447),ISNUMBER('Onshore - Sydney'!F1004),ISNUMBER('Onshore - Sydney'!G1004),OR('Onshore - Sydney'!F1004&lt;&gt;0,ISNUMBER(SEARCH("Material 0 terverifikasi",'Onshore - Sydney'!M1004))),OR('Onshore - Sydney'!G1004&lt;&gt;0,ISNUMBER(SEARCH("Enrolment 0 terverifikasi",'Onshore - Sydney'!M1004)))),1,0)</f>
        <v>1</v>
      </c>
      <c r="M447" s="0" t="n">
        <f aca="false">IF(OR('Onshore - Sydney'!E1004="",ISNUMBER(SEARCH("BSB80120",'Onshore - Sydney'!B1004&amp;'Onshore - Sydney'!M1004)),ISNUMBER(SEARCH("Management (Learning)",'Onshore - Sydney'!B1004))),2,IF(ISNUMBER(SEARCH("CEK:",'Onshore - Sydney'!M1004)),1,0))</f>
        <v>0</v>
      </c>
    </row>
    <row r="448" customFormat="false" ht="15" hidden="false" customHeight="false" outlineLevel="0" collapsed="false">
      <c r="A448" s="63" t="s">
        <v>3533</v>
      </c>
      <c r="B448" s="64" t="s">
        <v>3833</v>
      </c>
      <c r="C448" s="63" t="s">
        <v>41</v>
      </c>
      <c r="D448" s="64" t="str">
        <f aca="false">TRIM(LEFT('Onshore - Sydney'!A112,FIND(CHAR(10),'Onshore - Sydney'!A112&amp;CHAR(10))-1))</f>
        <v>Alice Springs College of Australia (ASCA)</v>
      </c>
      <c r="E448" s="63" t="str">
        <f aca="false">'Onshore - Sydney'!C114&amp;""</f>
        <v>2 years</v>
      </c>
      <c r="F448" s="63" t="str">
        <f aca="false">IF('Onshore - Sydney'!D114="","Belum tercatat",'Onshore - Sydney'!D114)</f>
        <v>Term</v>
      </c>
      <c r="G448" s="65" t="n">
        <f aca="false">IF('Onshore - Sydney'!E114="","-",'Onshore - Sydney'!E114)</f>
        <v>1500</v>
      </c>
      <c r="H448" s="63" t="n">
        <f aca="false">IF(ISNUMBER(K448),COUNTIFS($J$6:$J$1916,J448,$K$6:$K$1916,"&lt;"&amp;K448)+1,"-")</f>
        <v>13</v>
      </c>
      <c r="I448" s="64" t="str">
        <f aca="false">IF('Onshore - Sydney'!E114="","Harga belum tersedia - hubungi konsultan TEG",IF(M448=2,"Saat ini tidak menerima pendaftaran siswa internasional baru",IF(M448=1,"Harga perlu dikonfirmasi ke sekolah"&amp;IF(""="","","; "&amp;""),"")))</f>
        <v/>
      </c>
      <c r="J448" s="0" t="s">
        <v>3907</v>
      </c>
      <c r="K448" s="0" t="n">
        <f aca="false">IF(M448=2,"",IF(ISNUMBER(SEARCH("rata-rata:",'Onshore - Sydney'!M114)),VALUE(MID('Onshore - Sydney'!M114,SEARCH("rata-rata:",'Onshore - Sydney'!M114)+11,FIND(";",'Onshore - Sydney'!M114&amp;";",SEARCH("rata-rata:",'Onshore - Sydney'!M114))-SEARCH("rata-rata:",'Onshore - Sydney'!M114)-11)),IF('Onshore - Sydney'!D114="Semester",'Onshore - Sydney'!E114*2,IF('Onshore - Sydney'!D114="Trimester",'Onshore - Sydney'!E114*3,IF('Onshore - Sydney'!D114="Term",'Onshore - Sydney'!E114*4,IF('Onshore - Sydney'!D114="Unit",'Onshore - Sydney'!E114*8,""))))))</f>
        <v>6000</v>
      </c>
      <c r="L448" s="0" t="n">
        <f aca="false">IF(AND(ISNUMBER('Onshore - Sydney'!E114),ISNUMBER(K448),ISNUMBER('Onshore - Sydney'!F114),ISNUMBER('Onshore - Sydney'!G114),OR('Onshore - Sydney'!F114&lt;&gt;0,ISNUMBER(SEARCH("Material 0 terverifikasi",'Onshore - Sydney'!M114))),OR('Onshore - Sydney'!G114&lt;&gt;0,ISNUMBER(SEARCH("Enrolment 0 terverifikasi",'Onshore - Sydney'!M114)))),1,0)</f>
        <v>1</v>
      </c>
      <c r="M448" s="0" t="n">
        <f aca="false">IF(OR('Onshore - Sydney'!E114="",ISNUMBER(SEARCH("BSB80120",'Onshore - Sydney'!B114&amp;'Onshore - Sydney'!M114)),ISNUMBER(SEARCH("Management (Learning)",'Onshore - Sydney'!B114))),2,IF(ISNUMBER(SEARCH("CEK:",'Onshore - Sydney'!M114)),1,0))</f>
        <v>0</v>
      </c>
    </row>
    <row r="449" customFormat="false" ht="15" hidden="false" customHeight="false" outlineLevel="0" collapsed="false">
      <c r="A449" s="63" t="s">
        <v>3533</v>
      </c>
      <c r="B449" s="64" t="s">
        <v>3833</v>
      </c>
      <c r="C449" s="63" t="s">
        <v>41</v>
      </c>
      <c r="D449" s="64" t="str">
        <f aca="false">TRIM(LEFT('Onshore - Sydney'!A313,FIND(CHAR(10),'Onshore - Sydney'!A313&amp;CHAR(10))-1))</f>
        <v>Australian Ideal College (AIC)</v>
      </c>
      <c r="E449" s="63" t="str">
        <f aca="false">'Onshore - Sydney'!C314&amp;""</f>
        <v>2,5 years</v>
      </c>
      <c r="F449" s="63" t="str">
        <f aca="false">IF('Onshore - Sydney'!D314="","Belum tercatat",'Onshore - Sydney'!D314)</f>
        <v>Term</v>
      </c>
      <c r="G449" s="65" t="n">
        <f aca="false">IF('Onshore - Sydney'!E314="","-",'Onshore - Sydney'!E314)</f>
        <v>1500</v>
      </c>
      <c r="H449" s="63" t="n">
        <f aca="false">IF(ISNUMBER(K449),COUNTIFS($J$6:$J$1916,J449,$K$6:$K$1916,"&lt;"&amp;K449)+1,"-")</f>
        <v>13</v>
      </c>
      <c r="I449" s="64" t="str">
        <f aca="false">IF('Onshore - Sydney'!E314="","Harga belum tersedia - hubungi konsultan TEG",IF(M449=2,"Saat ini tidak menerima pendaftaran siswa internasional baru",IF(M449=1,"Harga perlu dikonfirmasi ke sekolah"&amp;IF(""="","","; "&amp;""),"")))</f>
        <v/>
      </c>
      <c r="J449" s="0" t="s">
        <v>3907</v>
      </c>
      <c r="K449" s="0" t="n">
        <f aca="false">IF(M449=2,"",IF(ISNUMBER(SEARCH("rata-rata:",'Onshore - Sydney'!M314)),VALUE(MID('Onshore - Sydney'!M314,SEARCH("rata-rata:",'Onshore - Sydney'!M314)+11,FIND(";",'Onshore - Sydney'!M314&amp;";",SEARCH("rata-rata:",'Onshore - Sydney'!M314))-SEARCH("rata-rata:",'Onshore - Sydney'!M314)-11)),IF('Onshore - Sydney'!D314="Semester",'Onshore - Sydney'!E314*2,IF('Onshore - Sydney'!D314="Trimester",'Onshore - Sydney'!E314*3,IF('Onshore - Sydney'!D314="Term",'Onshore - Sydney'!E314*4,IF('Onshore - Sydney'!D314="Unit",'Onshore - Sydney'!E314*8,""))))))</f>
        <v>6000</v>
      </c>
      <c r="L449" s="0" t="n">
        <f aca="false">IF(AND(ISNUMBER('Onshore - Sydney'!E314),ISNUMBER(K449),ISNUMBER('Onshore - Sydney'!F314),ISNUMBER('Onshore - Sydney'!G314),OR('Onshore - Sydney'!F314&lt;&gt;0,ISNUMBER(SEARCH("Material 0 terverifikasi",'Onshore - Sydney'!M314))),OR('Onshore - Sydney'!G314&lt;&gt;0,ISNUMBER(SEARCH("Enrolment 0 terverifikasi",'Onshore - Sydney'!M314)))),1,0)</f>
        <v>1</v>
      </c>
      <c r="M449" s="0" t="n">
        <f aca="false">IF(OR('Onshore - Sydney'!E314="",ISNUMBER(SEARCH("BSB80120",'Onshore - Sydney'!B314&amp;'Onshore - Sydney'!M314)),ISNUMBER(SEARCH("Management (Learning)",'Onshore - Sydney'!B314))),2,IF(ISNUMBER(SEARCH("CEK:",'Onshore - Sydney'!M314)),1,0))</f>
        <v>0</v>
      </c>
    </row>
    <row r="450" customFormat="false" ht="15" hidden="false" customHeight="false" outlineLevel="0" collapsed="false">
      <c r="A450" s="63" t="s">
        <v>3533</v>
      </c>
      <c r="B450" s="64" t="s">
        <v>3833</v>
      </c>
      <c r="C450" s="63" t="s">
        <v>41</v>
      </c>
      <c r="D450" s="64" t="str">
        <f aca="false">TRIM(LEFT('Onshore - Sydney'!A358,FIND(CHAR(10),'Onshore - Sydney'!A358&amp;CHAR(10))-1))</f>
        <v>Australian Skills Management Institute (ASMI)</v>
      </c>
      <c r="E450" s="63" t="str">
        <f aca="false">'Onshore - Sydney'!C358&amp;""</f>
        <v>1,7 years</v>
      </c>
      <c r="F450" s="63" t="str">
        <f aca="false">IF('Onshore - Sydney'!D358="","Belum tercatat",'Onshore - Sydney'!D358)</f>
        <v>Term</v>
      </c>
      <c r="G450" s="65" t="n">
        <f aca="false">IF('Onshore - Sydney'!E358="","-",'Onshore - Sydney'!E358)</f>
        <v>1500</v>
      </c>
      <c r="H450" s="63" t="n">
        <f aca="false">IF(ISNUMBER(K450),COUNTIFS($J$6:$J$1916,J450,$K$6:$K$1916,"&lt;"&amp;K450)+1,"-")</f>
        <v>13</v>
      </c>
      <c r="I450" s="64" t="str">
        <f aca="false">IF('Onshore - Sydney'!E358="","Harga belum tersedia - hubungi konsultan TEG",IF(M450=2,"Saat ini tidak menerima pendaftaran siswa internasional baru",IF(M450=1,"Harga perlu dikonfirmasi ke sekolah"&amp;IF(""="","","; "&amp;""),"")))</f>
        <v/>
      </c>
      <c r="J450" s="0" t="s">
        <v>3907</v>
      </c>
      <c r="K450" s="0" t="n">
        <f aca="false">IF(M450=2,"",IF(ISNUMBER(SEARCH("rata-rata:",'Onshore - Sydney'!M358)),VALUE(MID('Onshore - Sydney'!M358,SEARCH("rata-rata:",'Onshore - Sydney'!M358)+11,FIND(";",'Onshore - Sydney'!M358&amp;";",SEARCH("rata-rata:",'Onshore - Sydney'!M358))-SEARCH("rata-rata:",'Onshore - Sydney'!M358)-11)),IF('Onshore - Sydney'!D358="Semester",'Onshore - Sydney'!E358*2,IF('Onshore - Sydney'!D358="Trimester",'Onshore - Sydney'!E358*3,IF('Onshore - Sydney'!D358="Term",'Onshore - Sydney'!E358*4,IF('Onshore - Sydney'!D358="Unit",'Onshore - Sydney'!E358*8,""))))))</f>
        <v>6000</v>
      </c>
      <c r="L450" s="0" t="n">
        <f aca="false">IF(AND(ISNUMBER('Onshore - Sydney'!E358),ISNUMBER(K450),ISNUMBER('Onshore - Sydney'!F358),ISNUMBER('Onshore - Sydney'!G358),OR('Onshore - Sydney'!F358&lt;&gt;0,ISNUMBER(SEARCH("Material 0 terverifikasi",'Onshore - Sydney'!M358))),OR('Onshore - Sydney'!G358&lt;&gt;0,ISNUMBER(SEARCH("Enrolment 0 terverifikasi",'Onshore - Sydney'!M358)))),1,0)</f>
        <v>1</v>
      </c>
      <c r="M450" s="0" t="n">
        <f aca="false">IF(OR('Onshore - Sydney'!E358="",ISNUMBER(SEARCH("BSB80120",'Onshore - Sydney'!B358&amp;'Onshore - Sydney'!M358)),ISNUMBER(SEARCH("Management (Learning)",'Onshore - Sydney'!B358))),2,IF(ISNUMBER(SEARCH("CEK:",'Onshore - Sydney'!M358)),1,0))</f>
        <v>0</v>
      </c>
    </row>
    <row r="451" customFormat="false" ht="15" hidden="false" customHeight="false" outlineLevel="0" collapsed="false">
      <c r="A451" s="63" t="s">
        <v>3533</v>
      </c>
      <c r="B451" s="64" t="s">
        <v>3833</v>
      </c>
      <c r="C451" s="63" t="s">
        <v>41</v>
      </c>
      <c r="D451" s="64" t="str">
        <f aca="false">TRIM(LEFT('Onshore - Sydney'!A373,FIND(CHAR(10),'Onshore - Sydney'!A373&amp;CHAR(10))-1))</f>
        <v>Berkeley Business Institute (BBI)</v>
      </c>
      <c r="E451" s="63" t="str">
        <f aca="false">'Onshore - Sydney'!C373&amp;""</f>
        <v>2,5 years</v>
      </c>
      <c r="F451" s="63" t="str">
        <f aca="false">IF('Onshore - Sydney'!D373="","Belum tercatat",'Onshore - Sydney'!D373)</f>
        <v>Term</v>
      </c>
      <c r="G451" s="65" t="n">
        <f aca="false">IF('Onshore - Sydney'!E373="","-",'Onshore - Sydney'!E373)</f>
        <v>1500</v>
      </c>
      <c r="H451" s="63" t="n">
        <f aca="false">IF(ISNUMBER(K451),COUNTIFS($J$6:$J$1916,J451,$K$6:$K$1916,"&lt;"&amp;K451)+1,"-")</f>
        <v>13</v>
      </c>
      <c r="I451" s="64" t="str">
        <f aca="false">IF('Onshore - Sydney'!E373="","Harga belum tersedia - hubungi konsultan TEG",IF(M451=2,"Saat ini tidak menerima pendaftaran siswa internasional baru",IF(M451=1,"Harga perlu dikonfirmasi ke sekolah"&amp;IF(""="","","; "&amp;""),"")))</f>
        <v>Harga perlu dikonfirmasi ke sekolah</v>
      </c>
      <c r="J451" s="0" t="s">
        <v>3907</v>
      </c>
      <c r="K451" s="0" t="n">
        <f aca="false">IF(M451=2,"",IF(ISNUMBER(SEARCH("rata-rata:",'Onshore - Sydney'!M373)),VALUE(MID('Onshore - Sydney'!M373,SEARCH("rata-rata:",'Onshore - Sydney'!M373)+11,FIND(";",'Onshore - Sydney'!M373&amp;";",SEARCH("rata-rata:",'Onshore - Sydney'!M373))-SEARCH("rata-rata:",'Onshore - Sydney'!M373)-11)),IF('Onshore - Sydney'!D373="Semester",'Onshore - Sydney'!E373*2,IF('Onshore - Sydney'!D373="Trimester",'Onshore - Sydney'!E373*3,IF('Onshore - Sydney'!D373="Term",'Onshore - Sydney'!E373*4,IF('Onshore - Sydney'!D373="Unit",'Onshore - Sydney'!E373*8,""))))))</f>
        <v>6000</v>
      </c>
      <c r="L451" s="0" t="n">
        <f aca="false">IF(AND(ISNUMBER('Onshore - Sydney'!E373),ISNUMBER(K451),ISNUMBER('Onshore - Sydney'!F373),ISNUMBER('Onshore - Sydney'!G373),OR('Onshore - Sydney'!F373&lt;&gt;0,ISNUMBER(SEARCH("Material 0 terverifikasi",'Onshore - Sydney'!M373))),OR('Onshore - Sydney'!G373&lt;&gt;0,ISNUMBER(SEARCH("Enrolment 0 terverifikasi",'Onshore - Sydney'!M373)))),1,0)</f>
        <v>1</v>
      </c>
      <c r="M451" s="0" t="n">
        <f aca="false">IF(OR('Onshore - Sydney'!E373="",ISNUMBER(SEARCH("BSB80120",'Onshore - Sydney'!B373&amp;'Onshore - Sydney'!M373)),ISNUMBER(SEARCH("Management (Learning)",'Onshore - Sydney'!B373))),2,IF(ISNUMBER(SEARCH("CEK:",'Onshore - Sydney'!M373)),1,0))</f>
        <v>1</v>
      </c>
    </row>
    <row r="452" customFormat="false" ht="15" hidden="false" customHeight="false" outlineLevel="0" collapsed="false">
      <c r="A452" s="63" t="s">
        <v>3533</v>
      </c>
      <c r="B452" s="64" t="s">
        <v>3833</v>
      </c>
      <c r="C452" s="63" t="s">
        <v>41</v>
      </c>
      <c r="D452" s="64" t="str">
        <f aca="false">TRIM(LEFT('Onshore - Sydney'!A437,FIND(CHAR(10),'Onshore - Sydney'!A437&amp;CHAR(10))-1))</f>
        <v>Collins Institute of Australia</v>
      </c>
      <c r="E452" s="63" t="str">
        <f aca="false">'Onshore - Sydney'!C437&amp;""</f>
        <v>3 years</v>
      </c>
      <c r="F452" s="63" t="str">
        <f aca="false">IF('Onshore - Sydney'!D437="","Belum tercatat",'Onshore - Sydney'!D437)</f>
        <v>Term</v>
      </c>
      <c r="G452" s="65" t="n">
        <f aca="false">IF('Onshore - Sydney'!E437="","-",'Onshore - Sydney'!E437)</f>
        <v>1500</v>
      </c>
      <c r="H452" s="63" t="n">
        <f aca="false">IF(ISNUMBER(K452),COUNTIFS($J$6:$J$1916,J452,$K$6:$K$1916,"&lt;"&amp;K452)+1,"-")</f>
        <v>13</v>
      </c>
      <c r="I452" s="64" t="str">
        <f aca="false">IF('Onshore - Sydney'!E437="","Harga belum tersedia - hubungi konsultan TEG",IF(M452=2,"Saat ini tidak menerima pendaftaran siswa internasional baru",IF(M452=1,"Harga perlu dikonfirmasi ke sekolah"&amp;IF(""="","","; "&amp;""),"")))</f>
        <v>Harga perlu dikonfirmasi ke sekolah</v>
      </c>
      <c r="J452" s="0" t="s">
        <v>3907</v>
      </c>
      <c r="K452" s="0" t="n">
        <f aca="false">IF(M452=2,"",IF(ISNUMBER(SEARCH("rata-rata:",'Onshore - Sydney'!M437)),VALUE(MID('Onshore - Sydney'!M437,SEARCH("rata-rata:",'Onshore - Sydney'!M437)+11,FIND(";",'Onshore - Sydney'!M437&amp;";",SEARCH("rata-rata:",'Onshore - Sydney'!M437))-SEARCH("rata-rata:",'Onshore - Sydney'!M437)-11)),IF('Onshore - Sydney'!D437="Semester",'Onshore - Sydney'!E437*2,IF('Onshore - Sydney'!D437="Trimester",'Onshore - Sydney'!E437*3,IF('Onshore - Sydney'!D437="Term",'Onshore - Sydney'!E437*4,IF('Onshore - Sydney'!D437="Unit",'Onshore - Sydney'!E437*8,""))))))</f>
        <v>6000</v>
      </c>
      <c r="L452" s="0" t="n">
        <f aca="false">IF(AND(ISNUMBER('Onshore - Sydney'!E437),ISNUMBER(K452),ISNUMBER('Onshore - Sydney'!F437),ISNUMBER('Onshore - Sydney'!G437),OR('Onshore - Sydney'!F437&lt;&gt;0,ISNUMBER(SEARCH("Material 0 terverifikasi",'Onshore - Sydney'!M437))),OR('Onshore - Sydney'!G437&lt;&gt;0,ISNUMBER(SEARCH("Enrolment 0 terverifikasi",'Onshore - Sydney'!M437)))),1,0)</f>
        <v>1</v>
      </c>
      <c r="M452" s="0" t="n">
        <f aca="false">IF(OR('Onshore - Sydney'!E437="",ISNUMBER(SEARCH("BSB80120",'Onshore - Sydney'!B437&amp;'Onshore - Sydney'!M437)),ISNUMBER(SEARCH("Management (Learning)",'Onshore - Sydney'!B437))),2,IF(ISNUMBER(SEARCH("CEK:",'Onshore - Sydney'!M437)),1,0))</f>
        <v>1</v>
      </c>
    </row>
    <row r="453" customFormat="false" ht="15" hidden="false" customHeight="false" outlineLevel="0" collapsed="false">
      <c r="A453" s="63" t="s">
        <v>3533</v>
      </c>
      <c r="B453" s="64" t="s">
        <v>3833</v>
      </c>
      <c r="C453" s="63" t="s">
        <v>41</v>
      </c>
      <c r="D453" s="64" t="str">
        <f aca="false">TRIM(LEFT('Onshore - Sydney'!A443,FIND(CHAR(10),'Onshore - Sydney'!A443&amp;CHAR(10))-1))</f>
        <v>ECA College</v>
      </c>
      <c r="E453" s="63" t="str">
        <f aca="false">'Onshore - Sydney'!C444&amp;""</f>
        <v>2 years</v>
      </c>
      <c r="F453" s="63" t="str">
        <f aca="false">IF('Onshore - Sydney'!D444="","Belum tercatat",'Onshore - Sydney'!D444)</f>
        <v>Term</v>
      </c>
      <c r="G453" s="65" t="n">
        <f aca="false">IF('Onshore - Sydney'!E444="","-",'Onshore - Sydney'!E444)</f>
        <v>1500</v>
      </c>
      <c r="H453" s="63" t="n">
        <f aca="false">IF(ISNUMBER(K453),COUNTIFS($J$6:$J$1916,J453,$K$6:$K$1916,"&lt;"&amp;K453)+1,"-")</f>
        <v>13</v>
      </c>
      <c r="I453" s="64" t="str">
        <f aca="false">IF('Onshore - Sydney'!E444="","Harga belum tersedia - hubungi konsultan TEG",IF(M453=2,"Saat ini tidak menerima pendaftaran siswa internasional baru",IF(M453=1,"Harga perlu dikonfirmasi ke sekolah"&amp;IF(""="","","; "&amp;""),"")))</f>
        <v/>
      </c>
      <c r="J453" s="0" t="s">
        <v>3907</v>
      </c>
      <c r="K453" s="0" t="n">
        <f aca="false">IF(M453=2,"",IF(ISNUMBER(SEARCH("rata-rata:",'Onshore - Sydney'!M444)),VALUE(MID('Onshore - Sydney'!M444,SEARCH("rata-rata:",'Onshore - Sydney'!M444)+11,FIND(";",'Onshore - Sydney'!M444&amp;";",SEARCH("rata-rata:",'Onshore - Sydney'!M444))-SEARCH("rata-rata:",'Onshore - Sydney'!M444)-11)),IF('Onshore - Sydney'!D444="Semester",'Onshore - Sydney'!E444*2,IF('Onshore - Sydney'!D444="Trimester",'Onshore - Sydney'!E444*3,IF('Onshore - Sydney'!D444="Term",'Onshore - Sydney'!E444*4,IF('Onshore - Sydney'!D444="Unit",'Onshore - Sydney'!E444*8,""))))))</f>
        <v>6000</v>
      </c>
      <c r="L453" s="0" t="n">
        <f aca="false">IF(AND(ISNUMBER('Onshore - Sydney'!E444),ISNUMBER(K453),ISNUMBER('Onshore - Sydney'!F444),ISNUMBER('Onshore - Sydney'!G444),OR('Onshore - Sydney'!F444&lt;&gt;0,ISNUMBER(SEARCH("Material 0 terverifikasi",'Onshore - Sydney'!M444))),OR('Onshore - Sydney'!G444&lt;&gt;0,ISNUMBER(SEARCH("Enrolment 0 terverifikasi",'Onshore - Sydney'!M444)))),1,0)</f>
        <v>0</v>
      </c>
      <c r="M453" s="0" t="n">
        <f aca="false">IF(OR('Onshore - Sydney'!E444="",ISNUMBER(SEARCH("BSB80120",'Onshore - Sydney'!B444&amp;'Onshore - Sydney'!M444)),ISNUMBER(SEARCH("Management (Learning)",'Onshore - Sydney'!B444))),2,IF(ISNUMBER(SEARCH("CEK:",'Onshore - Sydney'!M444)),1,0))</f>
        <v>0</v>
      </c>
    </row>
    <row r="454" customFormat="false" ht="15" hidden="false" customHeight="false" outlineLevel="0" collapsed="false">
      <c r="A454" s="63" t="s">
        <v>3533</v>
      </c>
      <c r="B454" s="64" t="s">
        <v>3833</v>
      </c>
      <c r="C454" s="63" t="s">
        <v>41</v>
      </c>
      <c r="D454" s="64" t="str">
        <f aca="false">TRIM(LEFT('Onshore - Sydney'!A451,FIND(CHAR(10),'Onshore - Sydney'!A451&amp;CHAR(10))-1))</f>
        <v>Eton College</v>
      </c>
      <c r="E454" s="63" t="str">
        <f aca="false">'Onshore - Sydney'!C452&amp;""</f>
        <v>2 years</v>
      </c>
      <c r="F454" s="63" t="str">
        <f aca="false">IF('Onshore - Sydney'!D452="","Belum tercatat",'Onshore - Sydney'!D452)</f>
        <v>Term</v>
      </c>
      <c r="G454" s="65" t="n">
        <f aca="false">IF('Onshore - Sydney'!E452="","-",'Onshore - Sydney'!E452)</f>
        <v>1500</v>
      </c>
      <c r="H454" s="63" t="n">
        <f aca="false">IF(ISNUMBER(K454),COUNTIFS($J$6:$J$1916,J454,$K$6:$K$1916,"&lt;"&amp;K454)+1,"-")</f>
        <v>13</v>
      </c>
      <c r="I454" s="64" t="str">
        <f aca="false">IF('Onshore - Sydney'!E452="","Harga belum tersedia - hubungi konsultan TEG",IF(M454=2,"Saat ini tidak menerima pendaftaran siswa internasional baru",IF(M454=1,"Harga perlu dikonfirmasi ke sekolah"&amp;IF(""="","","; "&amp;""),"")))</f>
        <v/>
      </c>
      <c r="J454" s="0" t="s">
        <v>3907</v>
      </c>
      <c r="K454" s="0" t="n">
        <f aca="false">IF(M454=2,"",IF(ISNUMBER(SEARCH("rata-rata:",'Onshore - Sydney'!M452)),VALUE(MID('Onshore - Sydney'!M452,SEARCH("rata-rata:",'Onshore - Sydney'!M452)+11,FIND(";",'Onshore - Sydney'!M452&amp;";",SEARCH("rata-rata:",'Onshore - Sydney'!M452))-SEARCH("rata-rata:",'Onshore - Sydney'!M452)-11)),IF('Onshore - Sydney'!D452="Semester",'Onshore - Sydney'!E452*2,IF('Onshore - Sydney'!D452="Trimester",'Onshore - Sydney'!E452*3,IF('Onshore - Sydney'!D452="Term",'Onshore - Sydney'!E452*4,IF('Onshore - Sydney'!D452="Unit",'Onshore - Sydney'!E452*8,""))))))</f>
        <v>6000</v>
      </c>
      <c r="L454" s="0" t="n">
        <f aca="false">IF(AND(ISNUMBER('Onshore - Sydney'!E452),ISNUMBER(K454),ISNUMBER('Onshore - Sydney'!F452),ISNUMBER('Onshore - Sydney'!G452),OR('Onshore - Sydney'!F452&lt;&gt;0,ISNUMBER(SEARCH("Material 0 terverifikasi",'Onshore - Sydney'!M452))),OR('Onshore - Sydney'!G452&lt;&gt;0,ISNUMBER(SEARCH("Enrolment 0 terverifikasi",'Onshore - Sydney'!M452)))),1,0)</f>
        <v>1</v>
      </c>
      <c r="M454" s="0" t="n">
        <f aca="false">IF(OR('Onshore - Sydney'!E452="",ISNUMBER(SEARCH("BSB80120",'Onshore - Sydney'!B452&amp;'Onshore - Sydney'!M452)),ISNUMBER(SEARCH("Management (Learning)",'Onshore - Sydney'!B452))),2,IF(ISNUMBER(SEARCH("CEK:",'Onshore - Sydney'!M452)),1,0))</f>
        <v>0</v>
      </c>
    </row>
    <row r="455" customFormat="false" ht="15" hidden="false" customHeight="false" outlineLevel="0" collapsed="false">
      <c r="A455" s="63" t="s">
        <v>3533</v>
      </c>
      <c r="B455" s="64" t="s">
        <v>3833</v>
      </c>
      <c r="C455" s="63" t="s">
        <v>41</v>
      </c>
      <c r="D455" s="64" t="str">
        <f aca="false">TRIM(LEFT('Onshore - Sydney'!A470,FIND(CHAR(10),'Onshore - Sydney'!A470&amp;CHAR(10))-1))</f>
        <v>Focus Academy of Learning</v>
      </c>
      <c r="E455" s="63" t="str">
        <f aca="false">'Onshore - Sydney'!C470&amp;""</f>
        <v>2 years</v>
      </c>
      <c r="F455" s="63" t="str">
        <f aca="false">IF('Onshore - Sydney'!D470="","Belum tercatat",'Onshore - Sydney'!D470)</f>
        <v>Term</v>
      </c>
      <c r="G455" s="65" t="n">
        <f aca="false">IF('Onshore - Sydney'!E470="","-",'Onshore - Sydney'!E470)</f>
        <v>1500</v>
      </c>
      <c r="H455" s="63" t="n">
        <f aca="false">IF(ISNUMBER(K455),COUNTIFS($J$6:$J$1916,J455,$K$6:$K$1916,"&lt;"&amp;K455)+1,"-")</f>
        <v>13</v>
      </c>
      <c r="I455" s="64" t="str">
        <f aca="false">IF('Onshore - Sydney'!E470="","Harga belum tersedia - hubungi konsultan TEG",IF(M455=2,"Saat ini tidak menerima pendaftaran siswa internasional baru",IF(M455=1,"Program perlu dikonfirmasi ketersediaannya"&amp;IF(""="","","; "&amp;""),"")))</f>
        <v>Program perlu dikonfirmasi ketersediaannya</v>
      </c>
      <c r="J455" s="0" t="s">
        <v>3907</v>
      </c>
      <c r="K455" s="0" t="n">
        <f aca="false">IF(M455=2,"",IF(ISNUMBER(SEARCH("rata-rata:",'Onshore - Sydney'!M470)),VALUE(MID('Onshore - Sydney'!M470,SEARCH("rata-rata:",'Onshore - Sydney'!M470)+11,FIND(";",'Onshore - Sydney'!M470&amp;";",SEARCH("rata-rata:",'Onshore - Sydney'!M470))-SEARCH("rata-rata:",'Onshore - Sydney'!M470)-11)),IF('Onshore - Sydney'!D470="Semester",'Onshore - Sydney'!E470*2,IF('Onshore - Sydney'!D470="Trimester",'Onshore - Sydney'!E470*3,IF('Onshore - Sydney'!D470="Term",'Onshore - Sydney'!E470*4,IF('Onshore - Sydney'!D470="Unit",'Onshore - Sydney'!E470*8,""))))))</f>
        <v>6000</v>
      </c>
      <c r="L455" s="0" t="n">
        <f aca="false">IF(AND(ISNUMBER('Onshore - Sydney'!E470),ISNUMBER(K455),ISNUMBER('Onshore - Sydney'!F470),ISNUMBER('Onshore - Sydney'!G470),OR('Onshore - Sydney'!F470&lt;&gt;0,ISNUMBER(SEARCH("Material 0 terverifikasi",'Onshore - Sydney'!M470))),OR('Onshore - Sydney'!G470&lt;&gt;0,ISNUMBER(SEARCH("Enrolment 0 terverifikasi",'Onshore - Sydney'!M470)))),1,0)</f>
        <v>1</v>
      </c>
      <c r="M455" s="0" t="n">
        <f aca="false">IF(OR('Onshore - Sydney'!E470="",ISNUMBER(SEARCH("BSB80120",'Onshore - Sydney'!B470&amp;'Onshore - Sydney'!M470)),ISNUMBER(SEARCH("Management (Learning)",'Onshore - Sydney'!B470))),2,IF(ISNUMBER(SEARCH("CEK:",'Onshore - Sydney'!M470)),1,0))</f>
        <v>1</v>
      </c>
    </row>
    <row r="456" customFormat="false" ht="15" hidden="false" customHeight="false" outlineLevel="0" collapsed="false">
      <c r="A456" s="63" t="s">
        <v>3533</v>
      </c>
      <c r="B456" s="64" t="s">
        <v>3833</v>
      </c>
      <c r="C456" s="63" t="s">
        <v>41</v>
      </c>
      <c r="D456" s="64" t="str">
        <f aca="false">TRIM(LEFT('Onshore - Sydney'!A472,FIND(CHAR(10),'Onshore - Sydney'!A472&amp;CHAR(10))-1))</f>
        <v>George Brown College</v>
      </c>
      <c r="E456" s="63" t="str">
        <f aca="false">'Onshore - Sydney'!C472&amp;""</f>
        <v>2 years</v>
      </c>
      <c r="F456" s="63" t="str">
        <f aca="false">IF('Onshore - Sydney'!D472="","Belum tercatat",'Onshore - Sydney'!D472)</f>
        <v>Term</v>
      </c>
      <c r="G456" s="65" t="n">
        <f aca="false">IF('Onshore - Sydney'!E472="","-",'Onshore - Sydney'!E472)</f>
        <v>1500</v>
      </c>
      <c r="H456" s="63" t="n">
        <f aca="false">IF(ISNUMBER(K456),COUNTIFS($J$6:$J$1916,J456,$K$6:$K$1916,"&lt;"&amp;K456)+1,"-")</f>
        <v>13</v>
      </c>
      <c r="I456" s="64" t="str">
        <f aca="false">IF('Onshore - Sydney'!E472="","Harga belum tersedia - hubungi konsultan TEG",IF(M456=2,"Saat ini tidak menerima pendaftaran siswa internasional baru",IF(M456=1,"Harga perlu dikonfirmasi ke sekolah"&amp;IF(""="","","; "&amp;""),"")))</f>
        <v/>
      </c>
      <c r="J456" s="0" t="s">
        <v>3907</v>
      </c>
      <c r="K456" s="0" t="n">
        <f aca="false">IF(M456=2,"",IF(ISNUMBER(SEARCH("rata-rata:",'Onshore - Sydney'!M472)),VALUE(MID('Onshore - Sydney'!M472,SEARCH("rata-rata:",'Onshore - Sydney'!M472)+11,FIND(";",'Onshore - Sydney'!M472&amp;";",SEARCH("rata-rata:",'Onshore - Sydney'!M472))-SEARCH("rata-rata:",'Onshore - Sydney'!M472)-11)),IF('Onshore - Sydney'!D472="Semester",'Onshore - Sydney'!E472*2,IF('Onshore - Sydney'!D472="Trimester",'Onshore - Sydney'!E472*3,IF('Onshore - Sydney'!D472="Term",'Onshore - Sydney'!E472*4,IF('Onshore - Sydney'!D472="Unit",'Onshore - Sydney'!E472*8,""))))))</f>
        <v>6000</v>
      </c>
      <c r="L456" s="0" t="n">
        <f aca="false">IF(AND(ISNUMBER('Onshore - Sydney'!E472),ISNUMBER(K456),ISNUMBER('Onshore - Sydney'!F472),ISNUMBER('Onshore - Sydney'!G472),OR('Onshore - Sydney'!F472&lt;&gt;0,ISNUMBER(SEARCH("Material 0 terverifikasi",'Onshore - Sydney'!M472))),OR('Onshore - Sydney'!G472&lt;&gt;0,ISNUMBER(SEARCH("Enrolment 0 terverifikasi",'Onshore - Sydney'!M472)))),1,0)</f>
        <v>1</v>
      </c>
      <c r="M456" s="0" t="n">
        <f aca="false">IF(OR('Onshore - Sydney'!E472="",ISNUMBER(SEARCH("BSB80120",'Onshore - Sydney'!B472&amp;'Onshore - Sydney'!M472)),ISNUMBER(SEARCH("Management (Learning)",'Onshore - Sydney'!B472))),2,IF(ISNUMBER(SEARCH("CEK:",'Onshore - Sydney'!M472)),1,0))</f>
        <v>0</v>
      </c>
    </row>
    <row r="457" customFormat="false" ht="15" hidden="false" customHeight="false" outlineLevel="0" collapsed="false">
      <c r="A457" s="63" t="s">
        <v>3533</v>
      </c>
      <c r="B457" s="64" t="s">
        <v>3833</v>
      </c>
      <c r="C457" s="63" t="s">
        <v>41</v>
      </c>
      <c r="D457" s="64" t="str">
        <f aca="false">TRIM(LEFT('Onshore - Sydney'!A549,FIND(CHAR(10),'Onshore - Sydney'!A549&amp;CHAR(10))-1))</f>
        <v>INUS / ZOI (Nuture Education Group)</v>
      </c>
      <c r="E457" s="63" t="str">
        <f aca="false">'Onshore - Sydney'!C551&amp;""</f>
        <v>2 years</v>
      </c>
      <c r="F457" s="63" t="str">
        <f aca="false">IF('Onshore - Sydney'!D551="","Belum tercatat",'Onshore - Sydney'!D551)</f>
        <v>Term</v>
      </c>
      <c r="G457" s="65" t="n">
        <f aca="false">IF('Onshore - Sydney'!E551="","-",'Onshore - Sydney'!E551)</f>
        <v>1500</v>
      </c>
      <c r="H457" s="63" t="n">
        <f aca="false">IF(ISNUMBER(K457),COUNTIFS($J$6:$J$1916,J457,$K$6:$K$1916,"&lt;"&amp;K457)+1,"-")</f>
        <v>13</v>
      </c>
      <c r="I457" s="64" t="str">
        <f aca="false">IF('Onshore - Sydney'!E551="","Harga belum tersedia - hubungi konsultan TEG",IF(M457=2,"Saat ini tidak menerima pendaftaran siswa internasional baru",IF(M457=1,"Harga perlu dikonfirmasi ke sekolah"&amp;IF(""="","","; "&amp;""),"")))</f>
        <v>Harga perlu dikonfirmasi ke sekolah</v>
      </c>
      <c r="J457" s="0" t="s">
        <v>3907</v>
      </c>
      <c r="K457" s="0" t="n">
        <f aca="false">IF(M457=2,"",IF(ISNUMBER(SEARCH("rata-rata:",'Onshore - Sydney'!M551)),VALUE(MID('Onshore - Sydney'!M551,SEARCH("rata-rata:",'Onshore - Sydney'!M551)+11,FIND(";",'Onshore - Sydney'!M551&amp;";",SEARCH("rata-rata:",'Onshore - Sydney'!M551))-SEARCH("rata-rata:",'Onshore - Sydney'!M551)-11)),IF('Onshore - Sydney'!D551="Semester",'Onshore - Sydney'!E551*2,IF('Onshore - Sydney'!D551="Trimester",'Onshore - Sydney'!E551*3,IF('Onshore - Sydney'!D551="Term",'Onshore - Sydney'!E551*4,IF('Onshore - Sydney'!D551="Unit",'Onshore - Sydney'!E551*8,""))))))</f>
        <v>6000</v>
      </c>
      <c r="L457" s="0" t="n">
        <f aca="false">IF(AND(ISNUMBER('Onshore - Sydney'!E551),ISNUMBER(K457),ISNUMBER('Onshore - Sydney'!F551),ISNUMBER('Onshore - Sydney'!G551),OR('Onshore - Sydney'!F551&lt;&gt;0,ISNUMBER(SEARCH("Material 0 terverifikasi",'Onshore - Sydney'!M551))),OR('Onshore - Sydney'!G551&lt;&gt;0,ISNUMBER(SEARCH("Enrolment 0 terverifikasi",'Onshore - Sydney'!M551)))),1,0)</f>
        <v>1</v>
      </c>
      <c r="M457" s="0" t="n">
        <f aca="false">IF(OR('Onshore - Sydney'!E551="",ISNUMBER(SEARCH("BSB80120",'Onshore - Sydney'!B551&amp;'Onshore - Sydney'!M551)),ISNUMBER(SEARCH("Management (Learning)",'Onshore - Sydney'!B551))),2,IF(ISNUMBER(SEARCH("CEK:",'Onshore - Sydney'!M551)),1,0))</f>
        <v>1</v>
      </c>
    </row>
    <row r="458" customFormat="false" ht="15" hidden="false" customHeight="false" outlineLevel="0" collapsed="false">
      <c r="A458" s="63" t="s">
        <v>3533</v>
      </c>
      <c r="B458" s="64" t="s">
        <v>3833</v>
      </c>
      <c r="C458" s="63" t="s">
        <v>41</v>
      </c>
      <c r="D458" s="64" t="str">
        <f aca="false">TRIM(LEFT('Onshore - Sydney'!A624,FIND(CHAR(10),'Onshore - Sydney'!A624&amp;CHAR(10))-1))</f>
        <v>Le Rosey Hospitality Institute</v>
      </c>
      <c r="E458" s="63" t="str">
        <f aca="false">'Onshore - Sydney'!C628&amp;""</f>
        <v>2 years</v>
      </c>
      <c r="F458" s="63" t="str">
        <f aca="false">IF('Onshore - Sydney'!D628="","Belum tercatat",'Onshore - Sydney'!D628)</f>
        <v>Term</v>
      </c>
      <c r="G458" s="65" t="n">
        <f aca="false">IF('Onshore - Sydney'!E628="","-",'Onshore - Sydney'!E628)</f>
        <v>1500</v>
      </c>
      <c r="H458" s="63" t="n">
        <f aca="false">IF(ISNUMBER(K458),COUNTIFS($J$6:$J$1916,J458,$K$6:$K$1916,"&lt;"&amp;K458)+1,"-")</f>
        <v>13</v>
      </c>
      <c r="I458" s="64" t="str">
        <f aca="false">IF('Onshore - Sydney'!E628="","Harga belum tersedia - hubungi konsultan TEG",IF(M458=2,"Saat ini tidak menerima pendaftaran siswa internasional baru",IF(M458=1,"Harga perlu dikonfirmasi ke sekolah"&amp;IF(""="","","; "&amp;""),"")))</f>
        <v>Harga perlu dikonfirmasi ke sekolah</v>
      </c>
      <c r="J458" s="0" t="s">
        <v>3907</v>
      </c>
      <c r="K458" s="0" t="n">
        <f aca="false">IF(M458=2,"",IF(ISNUMBER(SEARCH("rata-rata:",'Onshore - Sydney'!M628)),VALUE(MID('Onshore - Sydney'!M628,SEARCH("rata-rata:",'Onshore - Sydney'!M628)+11,FIND(";",'Onshore - Sydney'!M628&amp;";",SEARCH("rata-rata:",'Onshore - Sydney'!M628))-SEARCH("rata-rata:",'Onshore - Sydney'!M628)-11)),IF('Onshore - Sydney'!D628="Semester",'Onshore - Sydney'!E628*2,IF('Onshore - Sydney'!D628="Trimester",'Onshore - Sydney'!E628*3,IF('Onshore - Sydney'!D628="Term",'Onshore - Sydney'!E628*4,IF('Onshore - Sydney'!D628="Unit",'Onshore - Sydney'!E628*8,""))))))</f>
        <v>6000</v>
      </c>
      <c r="L458" s="0" t="n">
        <f aca="false">IF(AND(ISNUMBER('Onshore - Sydney'!E628),ISNUMBER(K458),ISNUMBER('Onshore - Sydney'!F628),ISNUMBER('Onshore - Sydney'!G628),OR('Onshore - Sydney'!F628&lt;&gt;0,ISNUMBER(SEARCH("Material 0 terverifikasi",'Onshore - Sydney'!M628))),OR('Onshore - Sydney'!G628&lt;&gt;0,ISNUMBER(SEARCH("Enrolment 0 terverifikasi",'Onshore - Sydney'!M628)))),1,0)</f>
        <v>1</v>
      </c>
      <c r="M458" s="0" t="n">
        <f aca="false">IF(OR('Onshore - Sydney'!E628="",ISNUMBER(SEARCH("BSB80120",'Onshore - Sydney'!B628&amp;'Onshore - Sydney'!M628)),ISNUMBER(SEARCH("Management (Learning)",'Onshore - Sydney'!B628))),2,IF(ISNUMBER(SEARCH("CEK:",'Onshore - Sydney'!M628)),1,0))</f>
        <v>1</v>
      </c>
    </row>
    <row r="459" customFormat="false" ht="15" hidden="false" customHeight="false" outlineLevel="0" collapsed="false">
      <c r="A459" s="63" t="s">
        <v>3533</v>
      </c>
      <c r="B459" s="64" t="s">
        <v>3833</v>
      </c>
      <c r="C459" s="63" t="s">
        <v>41</v>
      </c>
      <c r="D459" s="64" t="str">
        <f aca="false">TRIM(LEFT('Onshore - Sydney'!A728,FIND(CHAR(10),'Onshore - Sydney'!A728&amp;CHAR(10))-1))</f>
        <v>Rosehill College</v>
      </c>
      <c r="E459" s="63" t="str">
        <f aca="false">'Onshore - Sydney'!C737&amp;""</f>
        <v>2 years</v>
      </c>
      <c r="F459" s="63" t="str">
        <f aca="false">IF('Onshore - Sydney'!D737="","Belum tercatat",'Onshore - Sydney'!D737)</f>
        <v>Term</v>
      </c>
      <c r="G459" s="65" t="n">
        <f aca="false">IF('Onshore - Sydney'!E737="","-",'Onshore - Sydney'!E737)</f>
        <v>1500</v>
      </c>
      <c r="H459" s="63" t="n">
        <f aca="false">IF(ISNUMBER(K459),COUNTIFS($J$6:$J$1916,J459,$K$6:$K$1916,"&lt;"&amp;K459)+1,"-")</f>
        <v>13</v>
      </c>
      <c r="I459" s="64" t="str">
        <f aca="false">IF('Onshore - Sydney'!E737="","Harga belum tersedia - hubungi konsultan TEG",IF(M459=2,"Saat ini tidak menerima pendaftaran siswa internasional baru",IF(M459=1,"Harga perlu dikonfirmasi ke sekolah"&amp;IF(""="","","; "&amp;""),"")))</f>
        <v/>
      </c>
      <c r="J459" s="0" t="s">
        <v>3907</v>
      </c>
      <c r="K459" s="0" t="n">
        <f aca="false">IF(M459=2,"",IF(ISNUMBER(SEARCH("rata-rata:",'Onshore - Sydney'!M737)),VALUE(MID('Onshore - Sydney'!M737,SEARCH("rata-rata:",'Onshore - Sydney'!M737)+11,FIND(";",'Onshore - Sydney'!M737&amp;";",SEARCH("rata-rata:",'Onshore - Sydney'!M737))-SEARCH("rata-rata:",'Onshore - Sydney'!M737)-11)),IF('Onshore - Sydney'!D737="Semester",'Onshore - Sydney'!E737*2,IF('Onshore - Sydney'!D737="Trimester",'Onshore - Sydney'!E737*3,IF('Onshore - Sydney'!D737="Term",'Onshore - Sydney'!E737*4,IF('Onshore - Sydney'!D737="Unit",'Onshore - Sydney'!E737*8,""))))))</f>
        <v>6000</v>
      </c>
      <c r="L459" s="0" t="n">
        <f aca="false">IF(AND(ISNUMBER('Onshore - Sydney'!E737),ISNUMBER(K459),ISNUMBER('Onshore - Sydney'!F737),ISNUMBER('Onshore - Sydney'!G737),OR('Onshore - Sydney'!F737&lt;&gt;0,ISNUMBER(SEARCH("Material 0 terverifikasi",'Onshore - Sydney'!M737))),OR('Onshore - Sydney'!G737&lt;&gt;0,ISNUMBER(SEARCH("Enrolment 0 terverifikasi",'Onshore - Sydney'!M737)))),1,0)</f>
        <v>1</v>
      </c>
      <c r="M459" s="0" t="n">
        <f aca="false">IF(OR('Onshore - Sydney'!E737="",ISNUMBER(SEARCH("BSB80120",'Onshore - Sydney'!B737&amp;'Onshore - Sydney'!M737)),ISNUMBER(SEARCH("Management (Learning)",'Onshore - Sydney'!B737))),2,IF(ISNUMBER(SEARCH("CEK:",'Onshore - Sydney'!M737)),1,0))</f>
        <v>0</v>
      </c>
    </row>
    <row r="460" customFormat="false" ht="28.35" hidden="false" customHeight="false" outlineLevel="0" collapsed="false">
      <c r="A460" s="63" t="s">
        <v>3533</v>
      </c>
      <c r="B460" s="64" t="s">
        <v>3833</v>
      </c>
      <c r="C460" s="63" t="s">
        <v>41</v>
      </c>
      <c r="D460" s="64" t="str">
        <f aca="false">TRIM(LEFT('Onshore - Sydney'!A763,FIND(CHAR(10),'Onshore - Sydney'!A763&amp;CHAR(10))-1))</f>
        <v>Sydney College of Professional Education (SCPE)</v>
      </c>
      <c r="E460" s="63" t="str">
        <f aca="false">'Onshore - Sydney'!C765&amp;""</f>
        <v>2 years</v>
      </c>
      <c r="F460" s="63" t="str">
        <f aca="false">IF('Onshore - Sydney'!D765="","Belum tercatat",'Onshore - Sydney'!D765)</f>
        <v>Term</v>
      </c>
      <c r="G460" s="65" t="n">
        <f aca="false">IF('Onshore - Sydney'!E765="","-",'Onshore - Sydney'!E765)</f>
        <v>1500</v>
      </c>
      <c r="H460" s="63" t="n">
        <f aca="false">IF(ISNUMBER(K460),COUNTIFS($J$6:$J$1916,J460,$K$6:$K$1916,"&lt;"&amp;K460)+1,"-")</f>
        <v>13</v>
      </c>
      <c r="I460" s="64" t="str">
        <f aca="false">IF('Onshore - Sydney'!E765="","Harga belum tersedia - hubungi konsultan TEG",IF(M460=2,"Saat ini tidak menerima pendaftaran siswa internasional baru",IF(M460=1,"Harga perlu dikonfirmasi ke sekolah"&amp;IF(""="","","; "&amp;""),"")))</f>
        <v>Harga perlu dikonfirmasi ke sekolah</v>
      </c>
      <c r="J460" s="0" t="s">
        <v>3907</v>
      </c>
      <c r="K460" s="0" t="n">
        <f aca="false">IF(M460=2,"",IF(ISNUMBER(SEARCH("rata-rata:",'Onshore - Sydney'!M765)),VALUE(MID('Onshore - Sydney'!M765,SEARCH("rata-rata:",'Onshore - Sydney'!M765)+11,FIND(";",'Onshore - Sydney'!M765&amp;";",SEARCH("rata-rata:",'Onshore - Sydney'!M765))-SEARCH("rata-rata:",'Onshore - Sydney'!M765)-11)),IF('Onshore - Sydney'!D765="Semester",'Onshore - Sydney'!E765*2,IF('Onshore - Sydney'!D765="Trimester",'Onshore - Sydney'!E765*3,IF('Onshore - Sydney'!D765="Term",'Onshore - Sydney'!E765*4,IF('Onshore - Sydney'!D765="Unit",'Onshore - Sydney'!E765*8,""))))))</f>
        <v>6000</v>
      </c>
      <c r="L460" s="0" t="n">
        <f aca="false">IF(AND(ISNUMBER('Onshore - Sydney'!E765),ISNUMBER(K460),ISNUMBER('Onshore - Sydney'!F765),ISNUMBER('Onshore - Sydney'!G765),OR('Onshore - Sydney'!F765&lt;&gt;0,ISNUMBER(SEARCH("Material 0 terverifikasi",'Onshore - Sydney'!M765))),OR('Onshore - Sydney'!G765&lt;&gt;0,ISNUMBER(SEARCH("Enrolment 0 terverifikasi",'Onshore - Sydney'!M765)))),1,0)</f>
        <v>1</v>
      </c>
      <c r="M460" s="0" t="n">
        <f aca="false">IF(OR('Onshore - Sydney'!E765="",ISNUMBER(SEARCH("BSB80120",'Onshore - Sydney'!B765&amp;'Onshore - Sydney'!M765)),ISNUMBER(SEARCH("Management (Learning)",'Onshore - Sydney'!B765))),2,IF(ISNUMBER(SEARCH("CEK:",'Onshore - Sydney'!M765)),1,0))</f>
        <v>1</v>
      </c>
    </row>
    <row r="461" customFormat="false" ht="15" hidden="false" customHeight="false" outlineLevel="0" collapsed="false">
      <c r="A461" s="63" t="s">
        <v>3533</v>
      </c>
      <c r="B461" s="64" t="s">
        <v>3833</v>
      </c>
      <c r="C461" s="63" t="s">
        <v>41</v>
      </c>
      <c r="D461" s="64" t="str">
        <f aca="false">TRIM(LEFT('Onshore - Sydney'!A875,FIND(CHAR(10),'Onshore - Sydney'!A875&amp;CHAR(10))-1))</f>
        <v>Times Academy</v>
      </c>
      <c r="E461" s="63" t="str">
        <f aca="false">'Onshore - Sydney'!C876&amp;""</f>
        <v>2 years</v>
      </c>
      <c r="F461" s="63" t="str">
        <f aca="false">IF('Onshore - Sydney'!D876="","Belum tercatat",'Onshore - Sydney'!D876)</f>
        <v>Term</v>
      </c>
      <c r="G461" s="65" t="n">
        <f aca="false">IF('Onshore - Sydney'!E876="","-",'Onshore - Sydney'!E876)</f>
        <v>1500</v>
      </c>
      <c r="H461" s="63" t="n">
        <f aca="false">IF(ISNUMBER(K461),COUNTIFS($J$6:$J$1916,J461,$K$6:$K$1916,"&lt;"&amp;K461)+1,"-")</f>
        <v>13</v>
      </c>
      <c r="I461" s="64" t="str">
        <f aca="false">IF('Onshore - Sydney'!E876="","Harga belum tersedia - hubungi konsultan TEG",IF(M461=2,"Saat ini tidak menerima pendaftaran siswa internasional baru",IF(M461=1,"Harga perlu dikonfirmasi ke sekolah"&amp;IF(""="","","; "&amp;""),"")))</f>
        <v/>
      </c>
      <c r="J461" s="0" t="s">
        <v>3907</v>
      </c>
      <c r="K461" s="0" t="n">
        <f aca="false">IF(M461=2,"",IF(ISNUMBER(SEARCH("rata-rata:",'Onshore - Sydney'!M876)),VALUE(MID('Onshore - Sydney'!M876,SEARCH("rata-rata:",'Onshore - Sydney'!M876)+11,FIND(";",'Onshore - Sydney'!M876&amp;";",SEARCH("rata-rata:",'Onshore - Sydney'!M876))-SEARCH("rata-rata:",'Onshore - Sydney'!M876)-11)),IF('Onshore - Sydney'!D876="Semester",'Onshore - Sydney'!E876*2,IF('Onshore - Sydney'!D876="Trimester",'Onshore - Sydney'!E876*3,IF('Onshore - Sydney'!D876="Term",'Onshore - Sydney'!E876*4,IF('Onshore - Sydney'!D876="Unit",'Onshore - Sydney'!E876*8,""))))))</f>
        <v>6000</v>
      </c>
      <c r="L461" s="0" t="n">
        <f aca="false">IF(AND(ISNUMBER('Onshore - Sydney'!E876),ISNUMBER(K461),ISNUMBER('Onshore - Sydney'!F876),ISNUMBER('Onshore - Sydney'!G876),OR('Onshore - Sydney'!F876&lt;&gt;0,ISNUMBER(SEARCH("Material 0 terverifikasi",'Onshore - Sydney'!M876))),OR('Onshore - Sydney'!G876&lt;&gt;0,ISNUMBER(SEARCH("Enrolment 0 terverifikasi",'Onshore - Sydney'!M876)))),1,0)</f>
        <v>1</v>
      </c>
      <c r="M461" s="0" t="n">
        <f aca="false">IF(OR('Onshore - Sydney'!E876="",ISNUMBER(SEARCH("BSB80120",'Onshore - Sydney'!B876&amp;'Onshore - Sydney'!M876)),ISNUMBER(SEARCH("Management (Learning)",'Onshore - Sydney'!B876))),2,IF(ISNUMBER(SEARCH("CEK:",'Onshore - Sydney'!M876)),1,0))</f>
        <v>0</v>
      </c>
    </row>
    <row r="462" customFormat="false" ht="28.35" hidden="false" customHeight="false" outlineLevel="0" collapsed="false">
      <c r="A462" s="63" t="s">
        <v>3533</v>
      </c>
      <c r="B462" s="64" t="s">
        <v>3833</v>
      </c>
      <c r="C462" s="63" t="s">
        <v>41</v>
      </c>
      <c r="D462" s="64" t="str">
        <f aca="false">TRIM(LEFT('Onshore - Sydney'!A881,FIND(CHAR(10),'Onshore - Sydney'!A881&amp;CHAR(10))-1))</f>
        <v>TKL College (Training for Knowledge and Livelihood)</v>
      </c>
      <c r="E462" s="63" t="str">
        <f aca="false">'Onshore - Sydney'!C882&amp;""</f>
        <v>2 years</v>
      </c>
      <c r="F462" s="63" t="str">
        <f aca="false">IF('Onshore - Sydney'!D882="","Belum tercatat",'Onshore - Sydney'!D882)</f>
        <v>Term</v>
      </c>
      <c r="G462" s="65" t="n">
        <f aca="false">IF('Onshore - Sydney'!E882="","-",'Onshore - Sydney'!E882)</f>
        <v>1500</v>
      </c>
      <c r="H462" s="63" t="n">
        <f aca="false">IF(ISNUMBER(K462),COUNTIFS($J$6:$J$1916,J462,$K$6:$K$1916,"&lt;"&amp;K462)+1,"-")</f>
        <v>13</v>
      </c>
      <c r="I462" s="64" t="str">
        <f aca="false">IF('Onshore - Sydney'!E882="","Harga belum tersedia - hubungi konsultan TEG",IF(M462=2,"Saat ini tidak menerima pendaftaran siswa internasional baru",IF(M462=1,"Harga perlu dikonfirmasi ke sekolah"&amp;IF(""="","","; "&amp;""),"")))</f>
        <v/>
      </c>
      <c r="J462" s="0" t="s">
        <v>3907</v>
      </c>
      <c r="K462" s="0" t="n">
        <f aca="false">IF(M462=2,"",IF(ISNUMBER(SEARCH("rata-rata:",'Onshore - Sydney'!M882)),VALUE(MID('Onshore - Sydney'!M882,SEARCH("rata-rata:",'Onshore - Sydney'!M882)+11,FIND(";",'Onshore - Sydney'!M882&amp;";",SEARCH("rata-rata:",'Onshore - Sydney'!M882))-SEARCH("rata-rata:",'Onshore - Sydney'!M882)-11)),IF('Onshore - Sydney'!D882="Semester",'Onshore - Sydney'!E882*2,IF('Onshore - Sydney'!D882="Trimester",'Onshore - Sydney'!E882*3,IF('Onshore - Sydney'!D882="Term",'Onshore - Sydney'!E882*4,IF('Onshore - Sydney'!D882="Unit",'Onshore - Sydney'!E882*8,""))))))</f>
        <v>6000</v>
      </c>
      <c r="L462" s="0" t="n">
        <f aca="false">IF(AND(ISNUMBER('Onshore - Sydney'!E882),ISNUMBER(K462),ISNUMBER('Onshore - Sydney'!F882),ISNUMBER('Onshore - Sydney'!G882),OR('Onshore - Sydney'!F882&lt;&gt;0,ISNUMBER(SEARCH("Material 0 terverifikasi",'Onshore - Sydney'!M882))),OR('Onshore - Sydney'!G882&lt;&gt;0,ISNUMBER(SEARCH("Enrolment 0 terverifikasi",'Onshore - Sydney'!M882)))),1,0)</f>
        <v>1</v>
      </c>
      <c r="M462" s="0" t="n">
        <f aca="false">IF(OR('Onshore - Sydney'!E882="",ISNUMBER(SEARCH("BSB80120",'Onshore - Sydney'!B882&amp;'Onshore - Sydney'!M882)),ISNUMBER(SEARCH("Management (Learning)",'Onshore - Sydney'!B882))),2,IF(ISNUMBER(SEARCH("CEK:",'Onshore - Sydney'!M882)),1,0))</f>
        <v>0</v>
      </c>
    </row>
    <row r="463" customFormat="false" ht="15" hidden="false" customHeight="false" outlineLevel="0" collapsed="false">
      <c r="A463" s="63" t="s">
        <v>3533</v>
      </c>
      <c r="B463" s="64" t="s">
        <v>3833</v>
      </c>
      <c r="C463" s="63" t="s">
        <v>41</v>
      </c>
      <c r="D463" s="64" t="str">
        <f aca="false">TRIM(LEFT('Onshore - Sydney'!A1016,FIND(CHAR(10),'Onshore - Sydney'!A1016&amp;CHAR(10))-1))</f>
        <v>Victory Institute</v>
      </c>
      <c r="E463" s="63" t="str">
        <f aca="false">'Onshore - Sydney'!C1017&amp;""</f>
        <v>3 years</v>
      </c>
      <c r="F463" s="63" t="str">
        <f aca="false">IF('Onshore - Sydney'!D1017="","Belum tercatat",'Onshore - Sydney'!D1017)</f>
        <v>Term</v>
      </c>
      <c r="G463" s="65" t="n">
        <f aca="false">IF('Onshore - Sydney'!E1017="","-",'Onshore - Sydney'!E1017)</f>
        <v>1500</v>
      </c>
      <c r="H463" s="63" t="n">
        <f aca="false">IF(ISNUMBER(K463),COUNTIFS($J$6:$J$1916,J463,$K$6:$K$1916,"&lt;"&amp;K463)+1,"-")</f>
        <v>13</v>
      </c>
      <c r="I463" s="64" t="str">
        <f aca="false">IF('Onshore - Sydney'!E1017="","Harga belum tersedia - hubungi konsultan TEG",IF(M463=2,"Saat ini tidak menerima pendaftaran siswa internasional baru",IF(M463=1,"Harga perlu dikonfirmasi ke sekolah"&amp;IF(""="","","; "&amp;""),"")))</f>
        <v/>
      </c>
      <c r="J463" s="0" t="s">
        <v>3907</v>
      </c>
      <c r="K463" s="0" t="n">
        <f aca="false">IF(M463=2,"",IF(ISNUMBER(SEARCH("rata-rata:",'Onshore - Sydney'!M1017)),VALUE(MID('Onshore - Sydney'!M1017,SEARCH("rata-rata:",'Onshore - Sydney'!M1017)+11,FIND(";",'Onshore - Sydney'!M1017&amp;";",SEARCH("rata-rata:",'Onshore - Sydney'!M1017))-SEARCH("rata-rata:",'Onshore - Sydney'!M1017)-11)),IF('Onshore - Sydney'!D1017="Semester",'Onshore - Sydney'!E1017*2,IF('Onshore - Sydney'!D1017="Trimester",'Onshore - Sydney'!E1017*3,IF('Onshore - Sydney'!D1017="Term",'Onshore - Sydney'!E1017*4,IF('Onshore - Sydney'!D1017="Unit",'Onshore - Sydney'!E1017*8,""))))))</f>
        <v>6000</v>
      </c>
      <c r="L463" s="0" t="n">
        <f aca="false">IF(AND(ISNUMBER('Onshore - Sydney'!E1017),ISNUMBER(K463),ISNUMBER('Onshore - Sydney'!F1017),ISNUMBER('Onshore - Sydney'!G1017),OR('Onshore - Sydney'!F1017&lt;&gt;0,ISNUMBER(SEARCH("Material 0 terverifikasi",'Onshore - Sydney'!M1017))),OR('Onshore - Sydney'!G1017&lt;&gt;0,ISNUMBER(SEARCH("Enrolment 0 terverifikasi",'Onshore - Sydney'!M1017)))),1,0)</f>
        <v>1</v>
      </c>
      <c r="M463" s="0" t="n">
        <f aca="false">IF(OR('Onshore - Sydney'!E1017="",ISNUMBER(SEARCH("BSB80120",'Onshore - Sydney'!B1017&amp;'Onshore - Sydney'!M1017)),ISNUMBER(SEARCH("Management (Learning)",'Onshore - Sydney'!B1017))),2,IF(ISNUMBER(SEARCH("CEK:",'Onshore - Sydney'!M1017)),1,0))</f>
        <v>0</v>
      </c>
    </row>
    <row r="464" customFormat="false" ht="15" hidden="false" customHeight="false" outlineLevel="0" collapsed="false">
      <c r="A464" s="63" t="s">
        <v>3533</v>
      </c>
      <c r="B464" s="64" t="s">
        <v>3833</v>
      </c>
      <c r="C464" s="63" t="s">
        <v>41</v>
      </c>
      <c r="D464" s="64" t="str">
        <f aca="false">TRIM(LEFT('Onshore - Sydney'!A1028,FIND(CHAR(10),'Onshore - Sydney'!A1028&amp;CHAR(10))-1))</f>
        <v>Warwick Institute of Australia</v>
      </c>
      <c r="E464" s="63" t="str">
        <f aca="false">'Onshore - Sydney'!C1030&amp;""</f>
        <v>2,5 years</v>
      </c>
      <c r="F464" s="63" t="str">
        <f aca="false">IF('Onshore - Sydney'!D1030="","Belum tercatat",'Onshore - Sydney'!D1030)</f>
        <v>Term</v>
      </c>
      <c r="G464" s="65" t="n">
        <f aca="false">IF('Onshore - Sydney'!E1030="","-",'Onshore - Sydney'!E1030)</f>
        <v>1500</v>
      </c>
      <c r="H464" s="63" t="n">
        <f aca="false">IF(ISNUMBER(K464),COUNTIFS($J$6:$J$1916,J464,$K$6:$K$1916,"&lt;"&amp;K464)+1,"-")</f>
        <v>13</v>
      </c>
      <c r="I464" s="64" t="str">
        <f aca="false">IF('Onshore - Sydney'!E1030="","Harga belum tersedia - hubungi konsultan TEG",IF(M464=2,"Saat ini tidak menerima pendaftaran siswa internasional baru",IF(M464=1,"Harga perlu dikonfirmasi ke sekolah"&amp;IF(""="","","; "&amp;""),"")))</f>
        <v/>
      </c>
      <c r="J464" s="0" t="s">
        <v>3907</v>
      </c>
      <c r="K464" s="0" t="n">
        <f aca="false">IF(M464=2,"",IF(ISNUMBER(SEARCH("rata-rata:",'Onshore - Sydney'!M1030)),VALUE(MID('Onshore - Sydney'!M1030,SEARCH("rata-rata:",'Onshore - Sydney'!M1030)+11,FIND(";",'Onshore - Sydney'!M1030&amp;";",SEARCH("rata-rata:",'Onshore - Sydney'!M1030))-SEARCH("rata-rata:",'Onshore - Sydney'!M1030)-11)),IF('Onshore - Sydney'!D1030="Semester",'Onshore - Sydney'!E1030*2,IF('Onshore - Sydney'!D1030="Trimester",'Onshore - Sydney'!E1030*3,IF('Onshore - Sydney'!D1030="Term",'Onshore - Sydney'!E1030*4,IF('Onshore - Sydney'!D1030="Unit",'Onshore - Sydney'!E1030*8,""))))))</f>
        <v>6000</v>
      </c>
      <c r="L464" s="0" t="n">
        <f aca="false">IF(AND(ISNUMBER('Onshore - Sydney'!E1030),ISNUMBER(K464),ISNUMBER('Onshore - Sydney'!F1030),ISNUMBER('Onshore - Sydney'!G1030),OR('Onshore - Sydney'!F1030&lt;&gt;0,ISNUMBER(SEARCH("Material 0 terverifikasi",'Onshore - Sydney'!M1030))),OR('Onshore - Sydney'!G1030&lt;&gt;0,ISNUMBER(SEARCH("Enrolment 0 terverifikasi",'Onshore - Sydney'!M1030)))),1,0)</f>
        <v>1</v>
      </c>
      <c r="M464" s="0" t="n">
        <f aca="false">IF(OR('Onshore - Sydney'!E1030="",ISNUMBER(SEARCH("BSB80120",'Onshore - Sydney'!B1030&amp;'Onshore - Sydney'!M1030)),ISNUMBER(SEARCH("Management (Learning)",'Onshore - Sydney'!B1030))),2,IF(ISNUMBER(SEARCH("CEK:",'Onshore - Sydney'!M1030)),1,0))</f>
        <v>0</v>
      </c>
    </row>
    <row r="465" customFormat="false" ht="15" hidden="false" customHeight="false" outlineLevel="0" collapsed="false">
      <c r="A465" s="63" t="s">
        <v>3533</v>
      </c>
      <c r="B465" s="64" t="s">
        <v>3833</v>
      </c>
      <c r="C465" s="63" t="s">
        <v>41</v>
      </c>
      <c r="D465" s="64" t="str">
        <f aca="false">TRIM(LEFT('Onshore - Sydney'!A1038,FIND(CHAR(10),'Onshore - Sydney'!A1038&amp;CHAR(10))-1))</f>
        <v>Wells International College (WIC)</v>
      </c>
      <c r="E465" s="63" t="str">
        <f aca="false">'Onshore - Sydney'!C1045&amp;""</f>
        <v>2 years</v>
      </c>
      <c r="F465" s="63" t="str">
        <f aca="false">IF('Onshore - Sydney'!D1045="","Belum tercatat",'Onshore - Sydney'!D1045)</f>
        <v>Term</v>
      </c>
      <c r="G465" s="65" t="n">
        <f aca="false">IF('Onshore - Sydney'!E1045="","-",'Onshore - Sydney'!E1045)</f>
        <v>1500</v>
      </c>
      <c r="H465" s="63" t="n">
        <f aca="false">IF(ISNUMBER(K465),COUNTIFS($J$6:$J$1916,J465,$K$6:$K$1916,"&lt;"&amp;K465)+1,"-")</f>
        <v>13</v>
      </c>
      <c r="I465" s="64" t="str">
        <f aca="false">IF('Onshore - Sydney'!E1045="","Harga belum tersedia - hubungi konsultan TEG",IF(M465=2,"Saat ini tidak menerima pendaftaran siswa internasional baru",IF(M465=1,"Harga perlu dikonfirmasi ke sekolah"&amp;IF(""="","","; "&amp;""),"")))</f>
        <v/>
      </c>
      <c r="J465" s="0" t="s">
        <v>3907</v>
      </c>
      <c r="K465" s="0" t="n">
        <f aca="false">IF(M465=2,"",IF(ISNUMBER(SEARCH("rata-rata:",'Onshore - Sydney'!M1045)),VALUE(MID('Onshore - Sydney'!M1045,SEARCH("rata-rata:",'Onshore - Sydney'!M1045)+11,FIND(";",'Onshore - Sydney'!M1045&amp;";",SEARCH("rata-rata:",'Onshore - Sydney'!M1045))-SEARCH("rata-rata:",'Onshore - Sydney'!M1045)-11)),IF('Onshore - Sydney'!D1045="Semester",'Onshore - Sydney'!E1045*2,IF('Onshore - Sydney'!D1045="Trimester",'Onshore - Sydney'!E1045*3,IF('Onshore - Sydney'!D1045="Term",'Onshore - Sydney'!E1045*4,IF('Onshore - Sydney'!D1045="Unit",'Onshore - Sydney'!E1045*8,""))))))</f>
        <v>6000</v>
      </c>
      <c r="L465" s="0" t="n">
        <f aca="false">IF(AND(ISNUMBER('Onshore - Sydney'!E1045),ISNUMBER(K465),ISNUMBER('Onshore - Sydney'!F1045),ISNUMBER('Onshore - Sydney'!G1045),OR('Onshore - Sydney'!F1045&lt;&gt;0,ISNUMBER(SEARCH("Material 0 terverifikasi",'Onshore - Sydney'!M1045))),OR('Onshore - Sydney'!G1045&lt;&gt;0,ISNUMBER(SEARCH("Enrolment 0 terverifikasi",'Onshore - Sydney'!M1045)))),1,0)</f>
        <v>1</v>
      </c>
      <c r="M465" s="0" t="n">
        <f aca="false">IF(OR('Onshore - Sydney'!E1045="",ISNUMBER(SEARCH("BSB80120",'Onshore - Sydney'!B1045&amp;'Onshore - Sydney'!M1045)),ISNUMBER(SEARCH("Management (Learning)",'Onshore - Sydney'!B1045))),2,IF(ISNUMBER(SEARCH("CEK:",'Onshore - Sydney'!M1045)),1,0))</f>
        <v>0</v>
      </c>
    </row>
    <row r="466" customFormat="false" ht="15" hidden="false" customHeight="false" outlineLevel="0" collapsed="false">
      <c r="A466" s="63" t="s">
        <v>3533</v>
      </c>
      <c r="B466" s="64" t="s">
        <v>3833</v>
      </c>
      <c r="C466" s="63" t="s">
        <v>41</v>
      </c>
      <c r="D466" s="64" t="str">
        <f aca="false">TRIM(LEFT('Onshore - Sydney'!A1237,FIND(CHAR(10),'Onshore - Sydney'!A1237&amp;CHAR(10))-1))</f>
        <v>York Business Institute</v>
      </c>
      <c r="E466" s="63" t="str">
        <f aca="false">'Onshore - Sydney'!C1237&amp;""</f>
        <v>2,5 years</v>
      </c>
      <c r="F466" s="63" t="str">
        <f aca="false">IF('Onshore - Sydney'!D1237="","Belum tercatat",'Onshore - Sydney'!D1237)</f>
        <v>Term</v>
      </c>
      <c r="G466" s="65" t="n">
        <f aca="false">IF('Onshore - Sydney'!E1237="","-",'Onshore - Sydney'!E1237)</f>
        <v>1500</v>
      </c>
      <c r="H466" s="63" t="n">
        <f aca="false">IF(ISNUMBER(K466),COUNTIFS($J$6:$J$1916,J466,$K$6:$K$1916,"&lt;"&amp;K466)+1,"-")</f>
        <v>13</v>
      </c>
      <c r="I466" s="64" t="str">
        <f aca="false">IF('Onshore - Sydney'!E1237="","Harga belum tersedia - hubungi konsultan TEG",IF(M466=2,"Saat ini tidak menerima pendaftaran siswa internasional baru",IF(M466=1,"Harga perlu dikonfirmasi ke sekolah"&amp;IF(""="","","; "&amp;""),"")))</f>
        <v>Harga perlu dikonfirmasi ke sekolah</v>
      </c>
      <c r="J466" s="0" t="s">
        <v>3907</v>
      </c>
      <c r="K466" s="0" t="n">
        <f aca="false">IF(M466=2,"",IF(ISNUMBER(SEARCH("rata-rata:",'Onshore - Sydney'!M1237)),VALUE(MID('Onshore - Sydney'!M1237,SEARCH("rata-rata:",'Onshore - Sydney'!M1237)+11,FIND(";",'Onshore - Sydney'!M1237&amp;";",SEARCH("rata-rata:",'Onshore - Sydney'!M1237))-SEARCH("rata-rata:",'Onshore - Sydney'!M1237)-11)),IF('Onshore - Sydney'!D1237="Semester",'Onshore - Sydney'!E1237*2,IF('Onshore - Sydney'!D1237="Trimester",'Onshore - Sydney'!E1237*3,IF('Onshore - Sydney'!D1237="Term",'Onshore - Sydney'!E1237*4,IF('Onshore - Sydney'!D1237="Unit",'Onshore - Sydney'!E1237*8,""))))))</f>
        <v>6000</v>
      </c>
      <c r="L466" s="0" t="n">
        <f aca="false">IF(AND(ISNUMBER('Onshore - Sydney'!E1237),ISNUMBER(K466),ISNUMBER('Onshore - Sydney'!F1237),ISNUMBER('Onshore - Sydney'!G1237),OR('Onshore - Sydney'!F1237&lt;&gt;0,ISNUMBER(SEARCH("Material 0 terverifikasi",'Onshore - Sydney'!M1237))),OR('Onshore - Sydney'!G1237&lt;&gt;0,ISNUMBER(SEARCH("Enrolment 0 terverifikasi",'Onshore - Sydney'!M1237)))),1,0)</f>
        <v>1</v>
      </c>
      <c r="M466" s="0" t="n">
        <f aca="false">IF(OR('Onshore - Sydney'!E1237="",ISNUMBER(SEARCH("BSB80120",'Onshore - Sydney'!B1237&amp;'Onshore - Sydney'!M1237)),ISNUMBER(SEARCH("Management (Learning)",'Onshore - Sydney'!B1237))),2,IF(ISNUMBER(SEARCH("CEK:",'Onshore - Sydney'!M1237)),1,0))</f>
        <v>1</v>
      </c>
    </row>
    <row r="467" customFormat="false" ht="15" hidden="false" customHeight="false" outlineLevel="0" collapsed="false">
      <c r="A467" s="63" t="s">
        <v>3533</v>
      </c>
      <c r="B467" s="64" t="s">
        <v>3833</v>
      </c>
      <c r="C467" s="63" t="s">
        <v>41</v>
      </c>
      <c r="D467" s="64" t="str">
        <f aca="false">TRIM(LEFT('Onshore - Sydney'!A778,FIND(CHAR(10),'Onshore - Sydney'!A778&amp;CHAR(10))-1))</f>
        <v>Sydney Metro College (SMC)</v>
      </c>
      <c r="E467" s="63" t="str">
        <f aca="false">'Onshore - Sydney'!C785&amp;""</f>
        <v>2 years</v>
      </c>
      <c r="F467" s="63" t="str">
        <f aca="false">IF('Onshore - Sydney'!D785="","Belum tercatat",'Onshore - Sydney'!D785)</f>
        <v>Term</v>
      </c>
      <c r="G467" s="65" t="n">
        <f aca="false">IF('Onshore - Sydney'!E785="","-",'Onshore - Sydney'!E785)</f>
        <v>1750</v>
      </c>
      <c r="H467" s="63" t="n">
        <f aca="false">IF(ISNUMBER(K467),COUNTIFS($J$6:$J$1916,J467,$K$6:$K$1916,"&lt;"&amp;K467)+1,"-")</f>
        <v>32</v>
      </c>
      <c r="I467" s="64" t="str">
        <f aca="false">IF('Onshore - Sydney'!E785="","Harga belum tersedia - hubungi konsultan TEG",IF(M467=2,"Saat ini tidak menerima pendaftaran siswa internasional baru",IF(M467=1,"Harga perlu dikonfirmasi ke sekolah"&amp;IF(""="","","; "&amp;""),"")))</f>
        <v/>
      </c>
      <c r="J467" s="0" t="s">
        <v>3907</v>
      </c>
      <c r="K467" s="0" t="n">
        <f aca="false">IF(M467=2,"",IF(ISNUMBER(SEARCH("rata-rata:",'Onshore - Sydney'!M785)),VALUE(MID('Onshore - Sydney'!M785,SEARCH("rata-rata:",'Onshore - Sydney'!M785)+11,FIND(";",'Onshore - Sydney'!M785&amp;";",SEARCH("rata-rata:",'Onshore - Sydney'!M785))-SEARCH("rata-rata:",'Onshore - Sydney'!M785)-11)),IF('Onshore - Sydney'!D785="Semester",'Onshore - Sydney'!E785*2,IF('Onshore - Sydney'!D785="Trimester",'Onshore - Sydney'!E785*3,IF('Onshore - Sydney'!D785="Term",'Onshore - Sydney'!E785*4,IF('Onshore - Sydney'!D785="Unit",'Onshore - Sydney'!E785*8,""))))))</f>
        <v>7000</v>
      </c>
      <c r="L467" s="0" t="n">
        <f aca="false">IF(AND(ISNUMBER('Onshore - Sydney'!E785),ISNUMBER(K467),ISNUMBER('Onshore - Sydney'!F785),ISNUMBER('Onshore - Sydney'!G785),OR('Onshore - Sydney'!F785&lt;&gt;0,ISNUMBER(SEARCH("Material 0 terverifikasi",'Onshore - Sydney'!M785))),OR('Onshore - Sydney'!G785&lt;&gt;0,ISNUMBER(SEARCH("Enrolment 0 terverifikasi",'Onshore - Sydney'!M785)))),1,0)</f>
        <v>1</v>
      </c>
      <c r="M467" s="0" t="n">
        <f aca="false">IF(OR('Onshore - Sydney'!E785="",ISNUMBER(SEARCH("BSB80120",'Onshore - Sydney'!B785&amp;'Onshore - Sydney'!M785)),ISNUMBER(SEARCH("Management (Learning)",'Onshore - Sydney'!B785))),2,IF(ISNUMBER(SEARCH("CEK:",'Onshore - Sydney'!M785)),1,0))</f>
        <v>0</v>
      </c>
    </row>
    <row r="468" customFormat="false" ht="15" hidden="false" customHeight="false" outlineLevel="0" collapsed="false">
      <c r="A468" s="63" t="s">
        <v>3533</v>
      </c>
      <c r="B468" s="64" t="s">
        <v>3833</v>
      </c>
      <c r="C468" s="63" t="s">
        <v>41</v>
      </c>
      <c r="D468" s="64" t="str">
        <f aca="false">TRIM(LEFT('Onshore - Sydney'!A646,FIND(CHAR(10),'Onshore - Sydney'!A646&amp;CHAR(10))-1))</f>
        <v>Magill College Sydney</v>
      </c>
      <c r="E468" s="63" t="str">
        <f aca="false">'Onshore - Sydney'!C646&amp;""</f>
        <v>2,5 years</v>
      </c>
      <c r="F468" s="63" t="str">
        <f aca="false">IF('Onshore - Sydney'!D646="","Belum tercatat",'Onshore - Sydney'!D646)</f>
        <v>Term</v>
      </c>
      <c r="G468" s="65" t="n">
        <f aca="false">IF('Onshore - Sydney'!E646="","-",'Onshore - Sydney'!E646)</f>
        <v>2000</v>
      </c>
      <c r="H468" s="63" t="n">
        <f aca="false">IF(ISNUMBER(K468),COUNTIFS($J$6:$J$1916,J468,$K$6:$K$1916,"&lt;"&amp;K468)+1,"-")</f>
        <v>33</v>
      </c>
      <c r="I468" s="64" t="str">
        <f aca="false">IF('Onshore - Sydney'!E646="","Harga belum tersedia - hubungi konsultan TEG",IF(M468=2,"Saat ini tidak menerima pendaftaran siswa internasional baru",IF(M468=1,"Harga perlu dikonfirmasi ke sekolah"&amp;IF(""="","","; "&amp;""),"")))</f>
        <v/>
      </c>
      <c r="J468" s="0" t="s">
        <v>3907</v>
      </c>
      <c r="K468" s="0" t="n">
        <f aca="false">IF(M468=2,"",IF(ISNUMBER(SEARCH("rata-rata:",'Onshore - Sydney'!M646)),VALUE(MID('Onshore - Sydney'!M646,SEARCH("rata-rata:",'Onshore - Sydney'!M646)+11,FIND(";",'Onshore - Sydney'!M646&amp;";",SEARCH("rata-rata:",'Onshore - Sydney'!M646))-SEARCH("rata-rata:",'Onshore - Sydney'!M646)-11)),IF('Onshore - Sydney'!D646="Semester",'Onshore - Sydney'!E646*2,IF('Onshore - Sydney'!D646="Trimester",'Onshore - Sydney'!E646*3,IF('Onshore - Sydney'!D646="Term",'Onshore - Sydney'!E646*4,IF('Onshore - Sydney'!D646="Unit",'Onshore - Sydney'!E646*8,""))))))</f>
        <v>8000</v>
      </c>
      <c r="L468" s="0" t="n">
        <f aca="false">IF(AND(ISNUMBER('Onshore - Sydney'!E646),ISNUMBER(K468),ISNUMBER('Onshore - Sydney'!F646),ISNUMBER('Onshore - Sydney'!G646),OR('Onshore - Sydney'!F646&lt;&gt;0,ISNUMBER(SEARCH("Material 0 terverifikasi",'Onshore - Sydney'!M646))),OR('Onshore - Sydney'!G646&lt;&gt;0,ISNUMBER(SEARCH("Enrolment 0 terverifikasi",'Onshore - Sydney'!M646)))),1,0)</f>
        <v>1</v>
      </c>
      <c r="M468" s="0" t="n">
        <f aca="false">IF(OR('Onshore - Sydney'!E646="",ISNUMBER(SEARCH("BSB80120",'Onshore - Sydney'!B646&amp;'Onshore - Sydney'!M646)),ISNUMBER(SEARCH("Management (Learning)",'Onshore - Sydney'!B646))),2,IF(ISNUMBER(SEARCH("CEK:",'Onshore - Sydney'!M646)),1,0))</f>
        <v>0</v>
      </c>
    </row>
    <row r="469" customFormat="false" ht="15" hidden="false" customHeight="false" outlineLevel="0" collapsed="false">
      <c r="A469" s="63" t="s">
        <v>3533</v>
      </c>
      <c r="B469" s="64" t="s">
        <v>3833</v>
      </c>
      <c r="C469" s="63" t="s">
        <v>41</v>
      </c>
      <c r="D469" s="64" t="str">
        <f aca="false">TRIM(LEFT('Onshore - Sydney'!A678,FIND(CHAR(10),'Onshore - Sydney'!A678&amp;CHAR(10))-1))</f>
        <v>Novus College</v>
      </c>
      <c r="E469" s="63" t="str">
        <f aca="false">'Onshore - Sydney'!C678&amp;""</f>
        <v>2 years</v>
      </c>
      <c r="F469" s="63" t="str">
        <f aca="false">IF('Onshore - Sydney'!D678="","Belum tercatat",'Onshore - Sydney'!D678)</f>
        <v>Term</v>
      </c>
      <c r="G469" s="65" t="n">
        <f aca="false">IF('Onshore - Sydney'!E678="","-",'Onshore - Sydney'!E678)</f>
        <v>2100</v>
      </c>
      <c r="H469" s="63" t="n">
        <f aca="false">IF(ISNUMBER(K469),COUNTIFS($J$6:$J$1916,J469,$K$6:$K$1916,"&lt;"&amp;K469)+1,"-")</f>
        <v>34</v>
      </c>
      <c r="I469" s="64" t="str">
        <f aca="false">IF('Onshore - Sydney'!E678="","Harga belum tersedia - hubungi konsultan TEG",IF(M469=2,"Saat ini tidak menerima pendaftaran siswa internasional baru",IF(M469=1,"Program perlu dikonfirmasi ketersediaannya"&amp;IF(""="","","; "&amp;""),"")))</f>
        <v>Program perlu dikonfirmasi ketersediaannya</v>
      </c>
      <c r="J469" s="0" t="s">
        <v>3907</v>
      </c>
      <c r="K469" s="0" t="n">
        <f aca="false">IF(M469=2,"",IF(ISNUMBER(SEARCH("rata-rata:",'Onshore - Sydney'!M678)),VALUE(MID('Onshore - Sydney'!M678,SEARCH("rata-rata:",'Onshore - Sydney'!M678)+11,FIND(";",'Onshore - Sydney'!M678&amp;";",SEARCH("rata-rata:",'Onshore - Sydney'!M678))-SEARCH("rata-rata:",'Onshore - Sydney'!M678)-11)),IF('Onshore - Sydney'!D678="Semester",'Onshore - Sydney'!E678*2,IF('Onshore - Sydney'!D678="Trimester",'Onshore - Sydney'!E678*3,IF('Onshore - Sydney'!D678="Term",'Onshore - Sydney'!E678*4,IF('Onshore - Sydney'!D678="Unit",'Onshore - Sydney'!E678*8,""))))))</f>
        <v>8400</v>
      </c>
      <c r="L469" s="0" t="n">
        <f aca="false">IF(AND(ISNUMBER('Onshore - Sydney'!E678),ISNUMBER(K469),ISNUMBER('Onshore - Sydney'!F678),ISNUMBER('Onshore - Sydney'!G678),OR('Onshore - Sydney'!F678&lt;&gt;0,ISNUMBER(SEARCH("Material 0 terverifikasi",'Onshore - Sydney'!M678))),OR('Onshore - Sydney'!G678&lt;&gt;0,ISNUMBER(SEARCH("Enrolment 0 terverifikasi",'Onshore - Sydney'!M678)))),1,0)</f>
        <v>1</v>
      </c>
      <c r="M469" s="0" t="n">
        <f aca="false">IF(OR('Onshore - Sydney'!E678="",ISNUMBER(SEARCH("BSB80120",'Onshore - Sydney'!B678&amp;'Onshore - Sydney'!M678)),ISNUMBER(SEARCH("Management (Learning)",'Onshore - Sydney'!B678))),2,IF(ISNUMBER(SEARCH("CEK:",'Onshore - Sydney'!M678)),1,0))</f>
        <v>1</v>
      </c>
    </row>
    <row r="470" customFormat="false" ht="15" hidden="false" customHeight="false" outlineLevel="0" collapsed="false">
      <c r="A470" s="63" t="s">
        <v>3533</v>
      </c>
      <c r="B470" s="64" t="s">
        <v>3833</v>
      </c>
      <c r="C470" s="63" t="s">
        <v>41</v>
      </c>
      <c r="D470" s="64" t="str">
        <f aca="false">TRIM(LEFT('Onshore - Sydney'!A138,FIND(CHAR(10),'Onshore - Sydney'!A138&amp;CHAR(10))-1))</f>
        <v>Asia Pacific International College (APIC)</v>
      </c>
      <c r="E470" s="63" t="str">
        <f aca="false">'Onshore - Sydney'!C140&amp;""</f>
        <v>1 year</v>
      </c>
      <c r="F470" s="63" t="str">
        <f aca="false">IF('Onshore - Sydney'!D140="","Belum tercatat",'Onshore - Sydney'!D140)</f>
        <v>Trimester</v>
      </c>
      <c r="G470" s="65" t="n">
        <f aca="false">IF('Onshore - Sydney'!E140="","-",'Onshore - Sydney'!E140)</f>
        <v>3000</v>
      </c>
      <c r="H470" s="63" t="n">
        <f aca="false">IF(ISNUMBER(K470),COUNTIFS($J$6:$J$1916,J470,$K$6:$K$1916,"&lt;"&amp;K470)+1,"-")</f>
        <v>35</v>
      </c>
      <c r="I470" s="64" t="str">
        <f aca="false">IF('Onshore - Sydney'!E140="","Harga belum tersedia - hubungi konsultan TEG",IF(M470=2,"Saat ini tidak menerima pendaftaran siswa internasional baru",IF(M470=1,"Harga perlu dikonfirmasi ke sekolah"&amp;IF(""="","","; "&amp;""),"")))</f>
        <v>Harga perlu dikonfirmasi ke sekolah</v>
      </c>
      <c r="J470" s="0" t="s">
        <v>3907</v>
      </c>
      <c r="K470" s="0" t="n">
        <f aca="false">IF(M470=2,"",IF(ISNUMBER(SEARCH("rata-rata:",'Onshore - Sydney'!M140)),VALUE(MID('Onshore - Sydney'!M140,SEARCH("rata-rata:",'Onshore - Sydney'!M140)+11,FIND(";",'Onshore - Sydney'!M140&amp;";",SEARCH("rata-rata:",'Onshore - Sydney'!M140))-SEARCH("rata-rata:",'Onshore - Sydney'!M140)-11)),IF('Onshore - Sydney'!D140="Semester",'Onshore - Sydney'!E140*2,IF('Onshore - Sydney'!D140="Trimester",'Onshore - Sydney'!E140*3,IF('Onshore - Sydney'!D140="Term",'Onshore - Sydney'!E140*4,IF('Onshore - Sydney'!D140="Unit",'Onshore - Sydney'!E140*8,""))))))</f>
        <v>9000</v>
      </c>
      <c r="L470" s="0" t="n">
        <f aca="false">IF(AND(ISNUMBER('Onshore - Sydney'!E140),ISNUMBER(K470),ISNUMBER('Onshore - Sydney'!F140),ISNUMBER('Onshore - Sydney'!G140),OR('Onshore - Sydney'!F140&lt;&gt;0,ISNUMBER(SEARCH("Material 0 terverifikasi",'Onshore - Sydney'!M140))),OR('Onshore - Sydney'!G140&lt;&gt;0,ISNUMBER(SEARCH("Enrolment 0 terverifikasi",'Onshore - Sydney'!M140)))),1,0)</f>
        <v>0</v>
      </c>
      <c r="M470" s="0" t="n">
        <f aca="false">IF(OR('Onshore - Sydney'!E140="",ISNUMBER(SEARCH("BSB80120",'Onshore - Sydney'!B140&amp;'Onshore - Sydney'!M140)),ISNUMBER(SEARCH("Management (Learning)",'Onshore - Sydney'!B140))),2,IF(ISNUMBER(SEARCH("CEK:",'Onshore - Sydney'!M140)),1,0))</f>
        <v>1</v>
      </c>
    </row>
    <row r="471" customFormat="false" ht="28.35" hidden="false" customHeight="false" outlineLevel="0" collapsed="false">
      <c r="A471" s="63" t="s">
        <v>3533</v>
      </c>
      <c r="B471" s="64" t="s">
        <v>3833</v>
      </c>
      <c r="C471" s="63" t="s">
        <v>41</v>
      </c>
      <c r="D471" s="64" t="str">
        <f aca="false">TRIM(LEFT('Onshore - Sydney'!A299,FIND(CHAR(10),'Onshore - Sydney'!A299&amp;CHAR(10))-1))</f>
        <v>Australian Harbour International College (AHIC)</v>
      </c>
      <c r="E471" s="63" t="str">
        <f aca="false">'Onshore - Sydney'!C305&amp;""</f>
        <v>1.5 year</v>
      </c>
      <c r="F471" s="63" t="str">
        <f aca="false">IF('Onshore - Sydney'!D305="","Belum tercatat",'Onshore - Sydney'!D305)</f>
        <v>Term</v>
      </c>
      <c r="G471" s="65" t="n">
        <f aca="false">IF('Onshore - Sydney'!E305="","-",'Onshore - Sydney'!E305)</f>
        <v>2250</v>
      </c>
      <c r="H471" s="63" t="n">
        <f aca="false">IF(ISNUMBER(K471),COUNTIFS($J$6:$J$1916,J471,$K$6:$K$1916,"&lt;"&amp;K471)+1,"-")</f>
        <v>35</v>
      </c>
      <c r="I471" s="64" t="str">
        <f aca="false">IF('Onshore - Sydney'!E305="","Harga belum tersedia - hubungi konsultan TEG",IF(M471=2,"Saat ini tidak menerima pendaftaran siswa internasional baru",IF(M471=1,"Harga perlu dikonfirmasi ke sekolah"&amp;IF(""="","","; "&amp;""),"")))</f>
        <v/>
      </c>
      <c r="J471" s="0" t="s">
        <v>3907</v>
      </c>
      <c r="K471" s="0" t="n">
        <f aca="false">IF(M471=2,"",IF(ISNUMBER(SEARCH("rata-rata:",'Onshore - Sydney'!M305)),VALUE(MID('Onshore - Sydney'!M305,SEARCH("rata-rata:",'Onshore - Sydney'!M305)+11,FIND(";",'Onshore - Sydney'!M305&amp;";",SEARCH("rata-rata:",'Onshore - Sydney'!M305))-SEARCH("rata-rata:",'Onshore - Sydney'!M305)-11)),IF('Onshore - Sydney'!D305="Semester",'Onshore - Sydney'!E305*2,IF('Onshore - Sydney'!D305="Trimester",'Onshore - Sydney'!E305*3,IF('Onshore - Sydney'!D305="Term",'Onshore - Sydney'!E305*4,IF('Onshore - Sydney'!D305="Unit",'Onshore - Sydney'!E305*8,""))))))</f>
        <v>9000</v>
      </c>
      <c r="L471" s="0" t="n">
        <f aca="false">IF(AND(ISNUMBER('Onshore - Sydney'!E305),ISNUMBER(K471),ISNUMBER('Onshore - Sydney'!F305),ISNUMBER('Onshore - Sydney'!G305),OR('Onshore - Sydney'!F305&lt;&gt;0,ISNUMBER(SEARCH("Material 0 terverifikasi",'Onshore - Sydney'!M305))),OR('Onshore - Sydney'!G305&lt;&gt;0,ISNUMBER(SEARCH("Enrolment 0 terverifikasi",'Onshore - Sydney'!M305)))),1,0)</f>
        <v>1</v>
      </c>
      <c r="M471" s="0" t="n">
        <f aca="false">IF(OR('Onshore - Sydney'!E305="",ISNUMBER(SEARCH("BSB80120",'Onshore - Sydney'!B305&amp;'Onshore - Sydney'!M305)),ISNUMBER(SEARCH("Management (Learning)",'Onshore - Sydney'!B305))),2,IF(ISNUMBER(SEARCH("CEK:",'Onshore - Sydney'!M305)),1,0))</f>
        <v>0</v>
      </c>
    </row>
    <row r="472" customFormat="false" ht="15" hidden="false" customHeight="false" outlineLevel="0" collapsed="false">
      <c r="A472" s="63" t="s">
        <v>3533</v>
      </c>
      <c r="B472" s="64" t="s">
        <v>3833</v>
      </c>
      <c r="C472" s="63" t="s">
        <v>41</v>
      </c>
      <c r="D472" s="64" t="str">
        <f aca="false">TRIM(LEFT('Onshore - Sydney'!A1023,FIND(CHAR(10),'Onshore - Sydney'!A1023&amp;CHAR(10))-1))</f>
        <v>Vigil International College</v>
      </c>
      <c r="E472" s="63" t="str">
        <f aca="false">'Onshore - Sydney'!C1027&amp;""</f>
        <v>1 year</v>
      </c>
      <c r="F472" s="63" t="str">
        <f aca="false">IF('Onshore - Sydney'!D1027="","Belum tercatat",'Onshore - Sydney'!D1027)</f>
        <v>Term</v>
      </c>
      <c r="G472" s="65" t="n">
        <f aca="false">IF('Onshore - Sydney'!E1027="","-",'Onshore - Sydney'!E1027)</f>
        <v>2250</v>
      </c>
      <c r="H472" s="63" t="n">
        <f aca="false">IF(ISNUMBER(K472),COUNTIFS($J$6:$J$1916,J472,$K$6:$K$1916,"&lt;"&amp;K472)+1,"-")</f>
        <v>35</v>
      </c>
      <c r="I472" s="64" t="str">
        <f aca="false">IF('Onshore - Sydney'!E1027="","Harga belum tersedia - hubungi konsultan TEG",IF(M472=2,"Saat ini tidak menerima pendaftaran siswa internasional baru",IF(M472=1,"Harga perlu dikonfirmasi ke sekolah"&amp;IF(""="","","; "&amp;""),"")))</f>
        <v/>
      </c>
      <c r="J472" s="0" t="s">
        <v>3907</v>
      </c>
      <c r="K472" s="0" t="n">
        <f aca="false">IF(M472=2,"",IF(ISNUMBER(SEARCH("rata-rata:",'Onshore - Sydney'!M1027)),VALUE(MID('Onshore - Sydney'!M1027,SEARCH("rata-rata:",'Onshore - Sydney'!M1027)+11,FIND(";",'Onshore - Sydney'!M1027&amp;";",SEARCH("rata-rata:",'Onshore - Sydney'!M1027))-SEARCH("rata-rata:",'Onshore - Sydney'!M1027)-11)),IF('Onshore - Sydney'!D1027="Semester",'Onshore - Sydney'!E1027*2,IF('Onshore - Sydney'!D1027="Trimester",'Onshore - Sydney'!E1027*3,IF('Onshore - Sydney'!D1027="Term",'Onshore - Sydney'!E1027*4,IF('Onshore - Sydney'!D1027="Unit",'Onshore - Sydney'!E1027*8,""))))))</f>
        <v>9000</v>
      </c>
      <c r="L472" s="0" t="n">
        <f aca="false">IF(AND(ISNUMBER('Onshore - Sydney'!E1027),ISNUMBER(K472),ISNUMBER('Onshore - Sydney'!F1027),ISNUMBER('Onshore - Sydney'!G1027),OR('Onshore - Sydney'!F1027&lt;&gt;0,ISNUMBER(SEARCH("Material 0 terverifikasi",'Onshore - Sydney'!M1027))),OR('Onshore - Sydney'!G1027&lt;&gt;0,ISNUMBER(SEARCH("Enrolment 0 terverifikasi",'Onshore - Sydney'!M1027)))),1,0)</f>
        <v>1</v>
      </c>
      <c r="M472" s="0" t="n">
        <f aca="false">IF(OR('Onshore - Sydney'!E1027="",ISNUMBER(SEARCH("BSB80120",'Onshore - Sydney'!B1027&amp;'Onshore - Sydney'!M1027)),ISNUMBER(SEARCH("Management (Learning)",'Onshore - Sydney'!B1027))),2,IF(ISNUMBER(SEARCH("CEK:",'Onshore - Sydney'!M1027)),1,0))</f>
        <v>0</v>
      </c>
    </row>
    <row r="473" customFormat="false" ht="15" hidden="false" customHeight="false" outlineLevel="0" collapsed="false">
      <c r="A473" s="63" t="s">
        <v>3533</v>
      </c>
      <c r="B473" s="64" t="s">
        <v>3833</v>
      </c>
      <c r="C473" s="63" t="s">
        <v>41</v>
      </c>
      <c r="D473" s="64" t="str">
        <f aca="false">TRIM(LEFT('Onshore - Sydney'!A1047,FIND(CHAR(10),'Onshore - Sydney'!A1047&amp;CHAR(10))-1))</f>
        <v>Western Sydney College (WSC)</v>
      </c>
      <c r="E473" s="63" t="str">
        <f aca="false">'Onshore - Sydney'!C1047&amp;""</f>
        <v>2,5 years</v>
      </c>
      <c r="F473" s="63" t="str">
        <f aca="false">IF('Onshore - Sydney'!D1047="","Belum tercatat",'Onshore - Sydney'!D1047)</f>
        <v>Term</v>
      </c>
      <c r="G473" s="65" t="n">
        <f aca="false">IF('Onshore - Sydney'!E1047="","-",'Onshore - Sydney'!E1047)</f>
        <v>3250</v>
      </c>
      <c r="H473" s="63" t="n">
        <f aca="false">IF(ISNUMBER(K473),COUNTIFS($J$6:$J$1916,J473,$K$6:$K$1916,"&lt;"&amp;K473)+1,"-")</f>
        <v>38</v>
      </c>
      <c r="I473" s="64" t="str">
        <f aca="false">IF('Onshore - Sydney'!E1047="","Harga belum tersedia - hubungi konsultan TEG",IF(M473=2,"Saat ini tidak menerima pendaftaran siswa internasional baru",IF(M473=1,"Program perlu dikonfirmasi ketersediaannya"&amp;IF(""="","","; "&amp;""),"")))</f>
        <v>Program perlu dikonfirmasi ketersediaannya</v>
      </c>
      <c r="J473" s="0" t="s">
        <v>3907</v>
      </c>
      <c r="K473" s="0" t="n">
        <f aca="false">IF(M473=2,"",IF(ISNUMBER(SEARCH("rata-rata:",'Onshore - Sydney'!M1047)),VALUE(MID('Onshore - Sydney'!M1047,SEARCH("rata-rata:",'Onshore - Sydney'!M1047)+11,FIND(";",'Onshore - Sydney'!M1047&amp;";",SEARCH("rata-rata:",'Onshore - Sydney'!M1047))-SEARCH("rata-rata:",'Onshore - Sydney'!M1047)-11)),IF('Onshore - Sydney'!D1047="Semester",'Onshore - Sydney'!E1047*2,IF('Onshore - Sydney'!D1047="Trimester",'Onshore - Sydney'!E1047*3,IF('Onshore - Sydney'!D1047="Term",'Onshore - Sydney'!E1047*4,IF('Onshore - Sydney'!D1047="Unit",'Onshore - Sydney'!E1047*8,""))))))</f>
        <v>13000</v>
      </c>
      <c r="L473" s="0" t="n">
        <f aca="false">IF(AND(ISNUMBER('Onshore - Sydney'!E1047),ISNUMBER(K473),ISNUMBER('Onshore - Sydney'!F1047),ISNUMBER('Onshore - Sydney'!G1047),OR('Onshore - Sydney'!F1047&lt;&gt;0,ISNUMBER(SEARCH("Material 0 terverifikasi",'Onshore - Sydney'!M1047))),OR('Onshore - Sydney'!G1047&lt;&gt;0,ISNUMBER(SEARCH("Enrolment 0 terverifikasi",'Onshore - Sydney'!M1047)))),1,0)</f>
        <v>1</v>
      </c>
      <c r="M473" s="0" t="n">
        <f aca="false">IF(OR('Onshore - Sydney'!E1047="",ISNUMBER(SEARCH("BSB80120",'Onshore - Sydney'!B1047&amp;'Onshore - Sydney'!M1047)),ISNUMBER(SEARCH("Management (Learning)",'Onshore - Sydney'!B1047))),2,IF(ISNUMBER(SEARCH("CEK:",'Onshore - Sydney'!M1047)),1,0))</f>
        <v>1</v>
      </c>
    </row>
    <row r="474" customFormat="false" ht="15" hidden="false" customHeight="false" outlineLevel="0" collapsed="false">
      <c r="A474" s="63" t="s">
        <v>3533</v>
      </c>
      <c r="B474" s="64" t="s">
        <v>3833</v>
      </c>
      <c r="C474" s="63" t="s">
        <v>41</v>
      </c>
      <c r="D474" s="64" t="str">
        <f aca="false">TRIM(LEFT('Onshore - Sydney'!A796,FIND(CHAR(10),'Onshore - Sydney'!A796&amp;CHAR(10))-1))</f>
        <v>TAFE NSW</v>
      </c>
      <c r="E474" s="63" t="str">
        <f aca="false">'Onshore - Sydney'!C806&amp;""</f>
        <v>2 years</v>
      </c>
      <c r="F474" s="63" t="str">
        <f aca="false">IF('Onshore - Sydney'!D806="","Belum tercatat",'Onshore - Sydney'!D806)</f>
        <v>Term</v>
      </c>
      <c r="G474" s="65" t="n">
        <f aca="false">IF('Onshore - Sydney'!E806="","-",'Onshore - Sydney'!E806)</f>
        <v>3975</v>
      </c>
      <c r="H474" s="63" t="n">
        <f aca="false">IF(ISNUMBER(K474),COUNTIFS($J$6:$J$1916,J474,$K$6:$K$1916,"&lt;"&amp;K474)+1,"-")</f>
        <v>39</v>
      </c>
      <c r="I474" s="64" t="str">
        <f aca="false">IF('Onshore - Sydney'!E806="","Harga belum tersedia - hubungi konsultan TEG",IF(M474=2,"Saat ini tidak menerima pendaftaran siswa internasional baru",IF(M474=1,"Harga perlu dikonfirmasi ke sekolah"&amp;IF(""="","","; "&amp;""),"")))</f>
        <v/>
      </c>
      <c r="J474" s="0" t="s">
        <v>3907</v>
      </c>
      <c r="K474" s="0" t="n">
        <f aca="false">IF(M474=2,"",IF(ISNUMBER(SEARCH("rata-rata:",'Onshore - Sydney'!M806)),VALUE(MID('Onshore - Sydney'!M806,SEARCH("rata-rata:",'Onshore - Sydney'!M806)+11,FIND(";",'Onshore - Sydney'!M806&amp;";",SEARCH("rata-rata:",'Onshore - Sydney'!M806))-SEARCH("rata-rata:",'Onshore - Sydney'!M806)-11)),IF('Onshore - Sydney'!D806="Semester",'Onshore - Sydney'!E806*2,IF('Onshore - Sydney'!D806="Trimester",'Onshore - Sydney'!E806*3,IF('Onshore - Sydney'!D806="Term",'Onshore - Sydney'!E806*4,IF('Onshore - Sydney'!D806="Unit",'Onshore - Sydney'!E806*8,""))))))</f>
        <v>15900</v>
      </c>
      <c r="L474" s="0" t="n">
        <f aca="false">IF(AND(ISNUMBER('Onshore - Sydney'!E806),ISNUMBER(K474),ISNUMBER('Onshore - Sydney'!F806),ISNUMBER('Onshore - Sydney'!G806),OR('Onshore - Sydney'!F806&lt;&gt;0,ISNUMBER(SEARCH("Material 0 terverifikasi",'Onshore - Sydney'!M806))),OR('Onshore - Sydney'!G806&lt;&gt;0,ISNUMBER(SEARCH("Enrolment 0 terverifikasi",'Onshore - Sydney'!M806)))),1,0)</f>
        <v>0</v>
      </c>
      <c r="M474" s="0" t="n">
        <f aca="false">IF(OR('Onshore - Sydney'!E806="",ISNUMBER(SEARCH("BSB80120",'Onshore - Sydney'!B806&amp;'Onshore - Sydney'!M806)),ISNUMBER(SEARCH("Management (Learning)",'Onshore - Sydney'!B806))),2,IF(ISNUMBER(SEARCH("CEK:",'Onshore - Sydney'!M806)),1,0))</f>
        <v>0</v>
      </c>
    </row>
    <row r="475" customFormat="false" ht="15" hidden="false" customHeight="false" outlineLevel="0" collapsed="false">
      <c r="A475" s="63" t="s">
        <v>3533</v>
      </c>
      <c r="B475" s="64" t="s">
        <v>3833</v>
      </c>
      <c r="C475" s="63" t="s">
        <v>41</v>
      </c>
      <c r="D475" s="64" t="str">
        <f aca="false">TRIM(LEFT('Onshore - Sydney'!A529,FIND(CHAR(10),'Onshore - Sydney'!A529&amp;CHAR(10))-1))</f>
        <v>Hunter Education Group</v>
      </c>
      <c r="E475" s="63" t="str">
        <f aca="false">'Onshore - Sydney'!C530&amp;""</f>
        <v>1,5 years</v>
      </c>
      <c r="F475" s="63" t="str">
        <f aca="false">IF('Onshore - Sydney'!D530="","Belum tercatat",'Onshore - Sydney'!D530)</f>
        <v>Term</v>
      </c>
      <c r="G475" s="65" t="n">
        <f aca="false">IF('Onshore - Sydney'!E530="","-",'Onshore - Sydney'!E530)</f>
        <v>4500</v>
      </c>
      <c r="H475" s="63" t="n">
        <f aca="false">IF(ISNUMBER(K475),COUNTIFS($J$6:$J$1916,J475,$K$6:$K$1916,"&lt;"&amp;K475)+1,"-")</f>
        <v>40</v>
      </c>
      <c r="I475" s="64" t="str">
        <f aca="false">IF('Onshore - Sydney'!E530="","Harga belum tersedia - hubungi konsultan TEG",IF(M475=2,"Saat ini tidak menerima pendaftaran siswa internasional baru",IF(M475=1,"Program perlu dikonfirmasi ketersediaannya"&amp;IF(""="","","; "&amp;""),"")))</f>
        <v>Program perlu dikonfirmasi ketersediaannya</v>
      </c>
      <c r="J475" s="0" t="s">
        <v>3907</v>
      </c>
      <c r="K475" s="0" t="n">
        <f aca="false">IF(M475=2,"",IF(ISNUMBER(SEARCH("rata-rata:",'Onshore - Sydney'!M530)),VALUE(MID('Onshore - Sydney'!M530,SEARCH("rata-rata:",'Onshore - Sydney'!M530)+11,FIND(";",'Onshore - Sydney'!M530&amp;";",SEARCH("rata-rata:",'Onshore - Sydney'!M530))-SEARCH("rata-rata:",'Onshore - Sydney'!M530)-11)),IF('Onshore - Sydney'!D530="Semester",'Onshore - Sydney'!E530*2,IF('Onshore - Sydney'!D530="Trimester",'Onshore - Sydney'!E530*3,IF('Onshore - Sydney'!D530="Term",'Onshore - Sydney'!E530*4,IF('Onshore - Sydney'!D530="Unit",'Onshore - Sydney'!E530*8,""))))))</f>
        <v>18000</v>
      </c>
      <c r="L475" s="0" t="n">
        <f aca="false">IF(AND(ISNUMBER('Onshore - Sydney'!E530),ISNUMBER(K475),ISNUMBER('Onshore - Sydney'!F530),ISNUMBER('Onshore - Sydney'!G530),OR('Onshore - Sydney'!F530&lt;&gt;0,ISNUMBER(SEARCH("Material 0 terverifikasi",'Onshore - Sydney'!M530))),OR('Onshore - Sydney'!G530&lt;&gt;0,ISNUMBER(SEARCH("Enrolment 0 terverifikasi",'Onshore - Sydney'!M530)))),1,0)</f>
        <v>0</v>
      </c>
      <c r="M475" s="0" t="n">
        <f aca="false">IF(OR('Onshore - Sydney'!E530="",ISNUMBER(SEARCH("BSB80120",'Onshore - Sydney'!B530&amp;'Onshore - Sydney'!M530)),ISNUMBER(SEARCH("Management (Learning)",'Onshore - Sydney'!B530))),2,IF(ISNUMBER(SEARCH("CEK:",'Onshore - Sydney'!M530)),1,0))</f>
        <v>1</v>
      </c>
    </row>
    <row r="476" customFormat="false" ht="15" hidden="false" customHeight="false" outlineLevel="0" collapsed="false">
      <c r="A476" s="63" t="s">
        <v>3533</v>
      </c>
      <c r="B476" s="64" t="s">
        <v>3833</v>
      </c>
      <c r="C476" s="63" t="s">
        <v>41</v>
      </c>
      <c r="D476" s="64" t="str">
        <f aca="false">TRIM(LEFT('Onshore - Sydney'!A888,FIND(CHAR(10),'Onshore - Sydney'!A888&amp;CHAR(10))-1))</f>
        <v>Torrens University Australia</v>
      </c>
      <c r="E476" s="63" t="str">
        <f aca="false">'Onshore - Sydney'!C888&amp;""</f>
        <v>1 year</v>
      </c>
      <c r="F476" s="63" t="str">
        <f aca="false">IF('Onshore - Sydney'!D888="","Belum tercatat",'Onshore - Sydney'!D888)</f>
        <v>Term</v>
      </c>
      <c r="G476" s="65" t="n">
        <f aca="false">IF('Onshore - Sydney'!E888="","-",'Onshore - Sydney'!E888)</f>
        <v>7900</v>
      </c>
      <c r="H476" s="63" t="n">
        <f aca="false">IF(ISNUMBER(K476),COUNTIFS($J$6:$J$1916,J476,$K$6:$K$1916,"&lt;"&amp;K476)+1,"-")</f>
        <v>41</v>
      </c>
      <c r="I476" s="64" t="str">
        <f aca="false">IF('Onshore - Sydney'!E888="","Harga belum tersedia - hubungi konsultan TEG",IF(M476=2,"Saat ini tidak menerima pendaftaran siswa internasional baru",IF(M476=1,"Harga perlu dikonfirmasi ke sekolah"&amp;IF(""="","","; "&amp;""),"")))</f>
        <v/>
      </c>
      <c r="J476" s="0" t="s">
        <v>3907</v>
      </c>
      <c r="K476" s="0" t="n">
        <f aca="false">IF(M476=2,"",IF(ISNUMBER(SEARCH("rata-rata:",'Onshore - Sydney'!M888)),VALUE(MID('Onshore - Sydney'!M888,SEARCH("rata-rata:",'Onshore - Sydney'!M888)+11,FIND(";",'Onshore - Sydney'!M888&amp;";",SEARCH("rata-rata:",'Onshore - Sydney'!M888))-SEARCH("rata-rata:",'Onshore - Sydney'!M888)-11)),IF('Onshore - Sydney'!D888="Semester",'Onshore - Sydney'!E888*2,IF('Onshore - Sydney'!D888="Trimester",'Onshore - Sydney'!E888*3,IF('Onshore - Sydney'!D888="Term",'Onshore - Sydney'!E888*4,IF('Onshore - Sydney'!D888="Unit",'Onshore - Sydney'!E888*8,""))))))</f>
        <v>31600</v>
      </c>
      <c r="L476" s="0" t="n">
        <f aca="false">IF(AND(ISNUMBER('Onshore - Sydney'!E888),ISNUMBER(K476),ISNUMBER('Onshore - Sydney'!F888),ISNUMBER('Onshore - Sydney'!G888),OR('Onshore - Sydney'!F888&lt;&gt;0,ISNUMBER(SEARCH("Material 0 terverifikasi",'Onshore - Sydney'!M888))),OR('Onshore - Sydney'!G888&lt;&gt;0,ISNUMBER(SEARCH("Enrolment 0 terverifikasi",'Onshore - Sydney'!M888)))),1,0)</f>
        <v>0</v>
      </c>
      <c r="M476" s="0" t="n">
        <f aca="false">IF(OR('Onshore - Sydney'!E888="",ISNUMBER(SEARCH("BSB80120",'Onshore - Sydney'!B888&amp;'Onshore - Sydney'!M888)),ISNUMBER(SEARCH("Management (Learning)",'Onshore - Sydney'!B888))),2,IF(ISNUMBER(SEARCH("CEK:",'Onshore - Sydney'!M888)),1,0))</f>
        <v>0</v>
      </c>
    </row>
    <row r="477" customFormat="false" ht="15" hidden="false" customHeight="false" outlineLevel="0" collapsed="false">
      <c r="A477" s="63" t="s">
        <v>3533</v>
      </c>
      <c r="B477" s="64" t="s">
        <v>3833</v>
      </c>
      <c r="C477" s="63" t="s">
        <v>41</v>
      </c>
      <c r="D477" s="64" t="str">
        <f aca="false">TRIM(LEFT('Onshore - Sydney'!A163,FIND(CHAR(10),'Onshore - Sydney'!A163&amp;CHAR(10))-1))</f>
        <v>Australian Catholic University (ACU)</v>
      </c>
      <c r="E477" s="63" t="str">
        <f aca="false">'Onshore - Sydney'!C257&amp;""</f>
        <v>1 year</v>
      </c>
      <c r="F477" s="63" t="str">
        <f aca="false">IF('Onshore - Sydney'!D257="","Belum tercatat",'Onshore - Sydney'!D257)</f>
        <v>Term</v>
      </c>
      <c r="G477" s="65" t="n">
        <f aca="false">IF('Onshore - Sydney'!E257="","-",'Onshore - Sydney'!E257)</f>
        <v>8058</v>
      </c>
      <c r="H477" s="63" t="n">
        <f aca="false">IF(ISNUMBER(K477),COUNTIFS($J$6:$J$1916,J477,$K$6:$K$1916,"&lt;"&amp;K477)+1,"-")</f>
        <v>42</v>
      </c>
      <c r="I477" s="64" t="str">
        <f aca="false">IF('Onshore - Sydney'!E257="","Harga belum tersedia - hubungi konsultan TEG",IF(M477=2,"Saat ini tidak menerima pendaftaran siswa internasional baru",IF(M477=1,"Harga perlu dikonfirmasi ke sekolah"&amp;IF(""="","","; "&amp;""),"")))</f>
        <v/>
      </c>
      <c r="J477" s="0" t="s">
        <v>3907</v>
      </c>
      <c r="K477" s="0" t="n">
        <f aca="false">IF(M477=2,"",IF(ISNUMBER(SEARCH("rata-rata:",'Onshore - Sydney'!M257)),VALUE(MID('Onshore - Sydney'!M257,SEARCH("rata-rata:",'Onshore - Sydney'!M257)+11,FIND(";",'Onshore - Sydney'!M257&amp;";",SEARCH("rata-rata:",'Onshore - Sydney'!M257))-SEARCH("rata-rata:",'Onshore - Sydney'!M257)-11)),IF('Onshore - Sydney'!D257="Semester",'Onshore - Sydney'!E257*2,IF('Onshore - Sydney'!D257="Trimester",'Onshore - Sydney'!E257*3,IF('Onshore - Sydney'!D257="Term",'Onshore - Sydney'!E257*4,IF('Onshore - Sydney'!D257="Unit",'Onshore - Sydney'!E257*8,""))))))</f>
        <v>32232</v>
      </c>
      <c r="L477" s="0" t="n">
        <f aca="false">IF(AND(ISNUMBER('Onshore - Sydney'!E257),ISNUMBER(K477),ISNUMBER('Onshore - Sydney'!F257),ISNUMBER('Onshore - Sydney'!G257),OR('Onshore - Sydney'!F257&lt;&gt;0,ISNUMBER(SEARCH("Material 0 terverifikasi",'Onshore - Sydney'!M257))),OR('Onshore - Sydney'!G257&lt;&gt;0,ISNUMBER(SEARCH("Enrolment 0 terverifikasi",'Onshore - Sydney'!M257)))),1,0)</f>
        <v>0</v>
      </c>
      <c r="M477" s="0" t="n">
        <f aca="false">IF(OR('Onshore - Sydney'!E257="",ISNUMBER(SEARCH("BSB80120",'Onshore - Sydney'!B257&amp;'Onshore - Sydney'!M257)),ISNUMBER(SEARCH("Management (Learning)",'Onshore - Sydney'!B257))),2,IF(ISNUMBER(SEARCH("CEK:",'Onshore - Sydney'!M257)),1,0))</f>
        <v>0</v>
      </c>
    </row>
    <row r="478" customFormat="false" ht="15" hidden="false" customHeight="false" outlineLevel="0" collapsed="false">
      <c r="A478" s="63" t="s">
        <v>3533</v>
      </c>
      <c r="B478" s="64" t="s">
        <v>3833</v>
      </c>
      <c r="C478" s="63" t="s">
        <v>41</v>
      </c>
      <c r="D478" s="64" t="str">
        <f aca="false">TRIM(LEFT('Onshore - Sydney'!A552,FIND(CHAR(10),'Onshore - Sydney'!A552&amp;CHAR(10))-1))</f>
        <v>Kaplan Business School</v>
      </c>
      <c r="E478" s="63" t="str">
        <f aca="false">'Onshore - Sydney'!C552&amp;""</f>
        <v>1 year</v>
      </c>
      <c r="F478" s="63" t="str">
        <f aca="false">IF('Onshore - Sydney'!D552="","Belum tercatat",'Onshore - Sydney'!D552)</f>
        <v>Trimester</v>
      </c>
      <c r="G478" s="65" t="n">
        <f aca="false">IF('Onshore - Sydney'!E552="","-",'Onshore - Sydney'!E552)</f>
        <v>11520</v>
      </c>
      <c r="H478" s="63" t="n">
        <f aca="false">IF(ISNUMBER(K478),COUNTIFS($J$6:$J$1916,J478,$K$6:$K$1916,"&lt;"&amp;K478)+1,"-")</f>
        <v>43</v>
      </c>
      <c r="I478" s="64" t="str">
        <f aca="false">IF('Onshore - Sydney'!E552="","Harga belum tersedia - hubungi konsultan TEG",IF(M478=2,"Saat ini tidak menerima pendaftaran siswa internasional baru",IF(M478=1,"Harga perlu dikonfirmasi ke sekolah"&amp;IF(""="","","; "&amp;""),"")))</f>
        <v>Harga perlu dikonfirmasi ke sekolah</v>
      </c>
      <c r="J478" s="0" t="s">
        <v>3907</v>
      </c>
      <c r="K478" s="0" t="n">
        <f aca="false">IF(M478=2,"",IF(ISNUMBER(SEARCH("rata-rata:",'Onshore - Sydney'!M552)),VALUE(MID('Onshore - Sydney'!M552,SEARCH("rata-rata:",'Onshore - Sydney'!M552)+11,FIND(";",'Onshore - Sydney'!M552&amp;";",SEARCH("rata-rata:",'Onshore - Sydney'!M552))-SEARCH("rata-rata:",'Onshore - Sydney'!M552)-11)),IF('Onshore - Sydney'!D552="Semester",'Onshore - Sydney'!E552*2,IF('Onshore - Sydney'!D552="Trimester",'Onshore - Sydney'!E552*3,IF('Onshore - Sydney'!D552="Term",'Onshore - Sydney'!E552*4,IF('Onshore - Sydney'!D552="Unit",'Onshore - Sydney'!E552*8,""))))))</f>
        <v>34560</v>
      </c>
      <c r="L478" s="0" t="n">
        <f aca="false">IF(AND(ISNUMBER('Onshore - Sydney'!E552),ISNUMBER(K478),ISNUMBER('Onshore - Sydney'!F552),ISNUMBER('Onshore - Sydney'!G552),OR('Onshore - Sydney'!F552&lt;&gt;0,ISNUMBER(SEARCH("Material 0 terverifikasi",'Onshore - Sydney'!M552))),OR('Onshore - Sydney'!G552&lt;&gt;0,ISNUMBER(SEARCH("Enrolment 0 terverifikasi",'Onshore - Sydney'!M552)))),1,0)</f>
        <v>1</v>
      </c>
      <c r="M478" s="0" t="n">
        <f aca="false">IF(OR('Onshore - Sydney'!E552="",ISNUMBER(SEARCH("BSB80120",'Onshore - Sydney'!B552&amp;'Onshore - Sydney'!M552)),ISNUMBER(SEARCH("Management (Learning)",'Onshore - Sydney'!B552))),2,IF(ISNUMBER(SEARCH("CEK:",'Onshore - Sydney'!M552)),1,0))</f>
        <v>1</v>
      </c>
    </row>
    <row r="479" customFormat="false" ht="15" hidden="false" customHeight="false" outlineLevel="0" collapsed="false">
      <c r="A479" s="61" t="s">
        <v>3908</v>
      </c>
      <c r="B479" s="62"/>
      <c r="C479" s="62"/>
      <c r="D479" s="62"/>
      <c r="E479" s="62"/>
      <c r="F479" s="62"/>
      <c r="G479" s="62"/>
      <c r="H479" s="62"/>
      <c r="I479" s="62"/>
    </row>
    <row r="480" customFormat="false" ht="28.35" hidden="false" customHeight="false" outlineLevel="0" collapsed="false">
      <c r="A480" s="63" t="s">
        <v>3533</v>
      </c>
      <c r="B480" s="64" t="s">
        <v>3833</v>
      </c>
      <c r="C480" s="63" t="s">
        <v>42</v>
      </c>
      <c r="D480" s="64" t="str">
        <f aca="false">TRIM(LEFT('Onshore - Sydney'!A98,FIND(CHAR(10),'Onshore - Sydney'!A98&amp;CHAR(10))-1))</f>
        <v>Albright Institute of Business and Language (AIBL)</v>
      </c>
      <c r="E480" s="63" t="str">
        <f aca="false">'Onshore - Sydney'!C98&amp;""</f>
        <v>2 years</v>
      </c>
      <c r="F480" s="63" t="str">
        <f aca="false">IF('Onshore - Sydney'!D98="","Belum tercatat",'Onshore - Sydney'!D98)</f>
        <v>Term</v>
      </c>
      <c r="G480" s="65" t="n">
        <f aca="false">IF('Onshore - Sydney'!E98="","-",'Onshore - Sydney'!E98)</f>
        <v>1250</v>
      </c>
      <c r="H480" s="63" t="n">
        <f aca="false">IF(ISNUMBER(K480),COUNTIFS($J$6:$J$1916,J480,$K$6:$K$1916,"&lt;"&amp;K480)+1,"-")</f>
        <v>1</v>
      </c>
      <c r="I480" s="64" t="str">
        <f aca="false">IF('Onshore - Sydney'!E98="","Harga belum tersedia - hubungi konsultan TEG",IF(M480=2,"Saat ini tidak menerima pendaftaran siswa internasional baru",IF(M480=1,"Harga perlu dikonfirmasi ke sekolah"&amp;IF(""="","","; "&amp;""),"")))</f>
        <v/>
      </c>
      <c r="J480" s="0" t="s">
        <v>3909</v>
      </c>
      <c r="K480" s="0" t="n">
        <f aca="false">IF(M480=2,"",IF(ISNUMBER(SEARCH("rata-rata:",'Onshore - Sydney'!M98)),VALUE(MID('Onshore - Sydney'!M98,SEARCH("rata-rata:",'Onshore - Sydney'!M98)+11,FIND(";",'Onshore - Sydney'!M98&amp;";",SEARCH("rata-rata:",'Onshore - Sydney'!M98))-SEARCH("rata-rata:",'Onshore - Sydney'!M98)-11)),IF('Onshore - Sydney'!D98="Semester",'Onshore - Sydney'!E98*2,IF('Onshore - Sydney'!D98="Trimester",'Onshore - Sydney'!E98*3,IF('Onshore - Sydney'!D98="Term",'Onshore - Sydney'!E98*4,IF('Onshore - Sydney'!D98="Unit",'Onshore - Sydney'!E98*8,""))))))</f>
        <v>5000</v>
      </c>
      <c r="L480" s="0" t="n">
        <f aca="false">IF(AND(ISNUMBER('Onshore - Sydney'!E98),ISNUMBER(K480),ISNUMBER('Onshore - Sydney'!F98),ISNUMBER('Onshore - Sydney'!G98),OR('Onshore - Sydney'!F98&lt;&gt;0,ISNUMBER(SEARCH("Material 0 terverifikasi",'Onshore - Sydney'!M98))),OR('Onshore - Sydney'!G98&lt;&gt;0,ISNUMBER(SEARCH("Enrolment 0 terverifikasi",'Onshore - Sydney'!M98)))),1,0)</f>
        <v>1</v>
      </c>
      <c r="M480" s="0" t="n">
        <f aca="false">IF(OR('Onshore - Sydney'!E98="",ISNUMBER(SEARCH("BSB80120",'Onshore - Sydney'!B98&amp;'Onshore - Sydney'!M98)),ISNUMBER(SEARCH("Management (Learning)",'Onshore - Sydney'!B98))),2,IF(ISNUMBER(SEARCH("CEK:",'Onshore - Sydney'!M98)),1,0))</f>
        <v>0</v>
      </c>
    </row>
    <row r="481" customFormat="false" ht="15" hidden="false" customHeight="false" outlineLevel="0" collapsed="false">
      <c r="A481" s="63" t="s">
        <v>3533</v>
      </c>
      <c r="B481" s="64" t="s">
        <v>3833</v>
      </c>
      <c r="C481" s="63" t="s">
        <v>42</v>
      </c>
      <c r="D481" s="64" t="str">
        <f aca="false">TRIM(LEFT('Onshore - Sydney'!A495,FIND(CHAR(10),'Onshore - Sydney'!A495&amp;CHAR(10))-1))</f>
        <v>Greenwich College</v>
      </c>
      <c r="E481" s="63" t="str">
        <f aca="false">'Onshore - Sydney'!C500&amp;""</f>
        <v>172 weeks</v>
      </c>
      <c r="F481" s="63" t="str">
        <f aca="false">IF('Onshore - Sydney'!D500="","Belum tercatat",'Onshore - Sydney'!D500)</f>
        <v>Term</v>
      </c>
      <c r="G481" s="65" t="n">
        <f aca="false">IF('Onshore - Sydney'!E500="","-",'Onshore - Sydney'!E500)</f>
        <v>1250</v>
      </c>
      <c r="H481" s="63" t="n">
        <f aca="false">IF(ISNUMBER(K481),COUNTIFS($J$6:$J$1916,J481,$K$6:$K$1916,"&lt;"&amp;K481)+1,"-")</f>
        <v>1</v>
      </c>
      <c r="I481" s="64" t="str">
        <f aca="false">IF('Onshore - Sydney'!E500="","Harga belum tersedia - hubungi konsultan TEG",IF(M481=2,"Saat ini tidak menerima pendaftaran siswa internasional baru",IF(M481=1,"Harga perlu dikonfirmasi ke sekolah"&amp;IF(""="","","; "&amp;""),"")))</f>
        <v/>
      </c>
      <c r="J481" s="0" t="s">
        <v>3909</v>
      </c>
      <c r="K481" s="0" t="n">
        <f aca="false">IF(M481=2,"",IF(ISNUMBER(SEARCH("rata-rata:",'Onshore - Sydney'!M500)),VALUE(MID('Onshore - Sydney'!M500,SEARCH("rata-rata:",'Onshore - Sydney'!M500)+11,FIND(";",'Onshore - Sydney'!M500&amp;";",SEARCH("rata-rata:",'Onshore - Sydney'!M500))-SEARCH("rata-rata:",'Onshore - Sydney'!M500)-11)),IF('Onshore - Sydney'!D500="Semester",'Onshore - Sydney'!E500*2,IF('Onshore - Sydney'!D500="Trimester",'Onshore - Sydney'!E500*3,IF('Onshore - Sydney'!D500="Term",'Onshore - Sydney'!E500*4,IF('Onshore - Sydney'!D500="Unit",'Onshore - Sydney'!E500*8,""))))))</f>
        <v>5000</v>
      </c>
      <c r="L481" s="0" t="n">
        <f aca="false">IF(AND(ISNUMBER('Onshore - Sydney'!E500),ISNUMBER(K481),ISNUMBER('Onshore - Sydney'!F500),ISNUMBER('Onshore - Sydney'!G500),OR('Onshore - Sydney'!F500&lt;&gt;0,ISNUMBER(SEARCH("Material 0 terverifikasi",'Onshore - Sydney'!M500))),OR('Onshore - Sydney'!G500&lt;&gt;0,ISNUMBER(SEARCH("Enrolment 0 terverifikasi",'Onshore - Sydney'!M500)))),1,0)</f>
        <v>1</v>
      </c>
      <c r="M481" s="0" t="n">
        <f aca="false">IF(OR('Onshore - Sydney'!E500="",ISNUMBER(SEARCH("BSB80120",'Onshore - Sydney'!B500&amp;'Onshore - Sydney'!M500)),ISNUMBER(SEARCH("Management (Learning)",'Onshore - Sydney'!B500))),2,IF(ISNUMBER(SEARCH("CEK:",'Onshore - Sydney'!M500)),1,0))</f>
        <v>0</v>
      </c>
    </row>
    <row r="482" customFormat="false" ht="15" hidden="false" customHeight="false" outlineLevel="0" collapsed="false">
      <c r="A482" s="63" t="s">
        <v>3533</v>
      </c>
      <c r="B482" s="64" t="s">
        <v>3833</v>
      </c>
      <c r="C482" s="63" t="s">
        <v>42</v>
      </c>
      <c r="D482" s="64" t="str">
        <f aca="false">TRIM(LEFT('Onshore - Sydney'!A662,FIND(CHAR(10),'Onshore - Sydney'!A662&amp;CHAR(10))-1))</f>
        <v>New Cambridge College Sydney (NCCS)</v>
      </c>
      <c r="E482" s="63" t="str">
        <f aca="false">'Onshore - Sydney'!C663&amp;""</f>
        <v>4 years</v>
      </c>
      <c r="F482" s="63" t="str">
        <f aca="false">IF('Onshore - Sydney'!D663="","Belum tercatat",'Onshore - Sydney'!D663)</f>
        <v>Term</v>
      </c>
      <c r="G482" s="65" t="n">
        <f aca="false">IF('Onshore - Sydney'!E663="","-",'Onshore - Sydney'!E663)</f>
        <v>1250</v>
      </c>
      <c r="H482" s="63" t="n">
        <f aca="false">IF(ISNUMBER(K482),COUNTIFS($J$6:$J$1916,J482,$K$6:$K$1916,"&lt;"&amp;K482)+1,"-")</f>
        <v>1</v>
      </c>
      <c r="I482" s="64" t="str">
        <f aca="false">IF('Onshore - Sydney'!E663="","Harga belum tersedia - hubungi konsultan TEG",IF(M482=2,"Saat ini tidak menerima pendaftaran siswa internasional baru",IF(M482=1,"Harga perlu dikonfirmasi ke sekolah"&amp;IF(""="","","; "&amp;""),"")))</f>
        <v/>
      </c>
      <c r="J482" s="0" t="s">
        <v>3909</v>
      </c>
      <c r="K482" s="0" t="n">
        <f aca="false">IF(M482=2,"",IF(ISNUMBER(SEARCH("rata-rata:",'Onshore - Sydney'!M663)),VALUE(MID('Onshore - Sydney'!M663,SEARCH("rata-rata:",'Onshore - Sydney'!M663)+11,FIND(";",'Onshore - Sydney'!M663&amp;";",SEARCH("rata-rata:",'Onshore - Sydney'!M663))-SEARCH("rata-rata:",'Onshore - Sydney'!M663)-11)),IF('Onshore - Sydney'!D663="Semester",'Onshore - Sydney'!E663*2,IF('Onshore - Sydney'!D663="Trimester",'Onshore - Sydney'!E663*3,IF('Onshore - Sydney'!D663="Term",'Onshore - Sydney'!E663*4,IF('Onshore - Sydney'!D663="Unit",'Onshore - Sydney'!E663*8,""))))))</f>
        <v>5000</v>
      </c>
      <c r="L482" s="0" t="n">
        <f aca="false">IF(AND(ISNUMBER('Onshore - Sydney'!E663),ISNUMBER(K482),ISNUMBER('Onshore - Sydney'!F663),ISNUMBER('Onshore - Sydney'!G663),OR('Onshore - Sydney'!F663&lt;&gt;0,ISNUMBER(SEARCH("Material 0 terverifikasi",'Onshore - Sydney'!M663))),OR('Onshore - Sydney'!G663&lt;&gt;0,ISNUMBER(SEARCH("Enrolment 0 terverifikasi",'Onshore - Sydney'!M663)))),1,0)</f>
        <v>0</v>
      </c>
      <c r="M482" s="0" t="n">
        <f aca="false">IF(OR('Onshore - Sydney'!E663="",ISNUMBER(SEARCH("BSB80120",'Onshore - Sydney'!B663&amp;'Onshore - Sydney'!M663)),ISNUMBER(SEARCH("Management (Learning)",'Onshore - Sydney'!B663))),2,IF(ISNUMBER(SEARCH("CEK:",'Onshore - Sydney'!M663)),1,0))</f>
        <v>0</v>
      </c>
    </row>
    <row r="483" customFormat="false" ht="15" hidden="false" customHeight="false" outlineLevel="0" collapsed="false">
      <c r="A483" s="63" t="s">
        <v>3533</v>
      </c>
      <c r="B483" s="64" t="s">
        <v>3833</v>
      </c>
      <c r="C483" s="63" t="s">
        <v>42</v>
      </c>
      <c r="D483" s="64" t="str">
        <f aca="false">TRIM(LEFT('Onshore - Sydney'!A699,FIND(CHAR(10),'Onshore - Sydney'!A699&amp;CHAR(10))-1))</f>
        <v>NVR Education</v>
      </c>
      <c r="E483" s="63" t="str">
        <f aca="false">'Onshore - Sydney'!C709&amp;""</f>
        <v>4 years</v>
      </c>
      <c r="F483" s="63" t="str">
        <f aca="false">IF('Onshore - Sydney'!D709="","Belum tercatat",'Onshore - Sydney'!D709)</f>
        <v>Term</v>
      </c>
      <c r="G483" s="65" t="n">
        <f aca="false">IF('Onshore - Sydney'!E709="","-",'Onshore - Sydney'!E709)</f>
        <v>1250</v>
      </c>
      <c r="H483" s="63" t="n">
        <f aca="false">IF(ISNUMBER(K483),COUNTIFS($J$6:$J$1916,J483,$K$6:$K$1916,"&lt;"&amp;K483)+1,"-")</f>
        <v>1</v>
      </c>
      <c r="I483" s="64" t="str">
        <f aca="false">IF('Onshore - Sydney'!E709="","Harga belum tersedia - hubungi konsultan TEG",IF(M483=2,"Saat ini tidak menerima pendaftaran siswa internasional baru",IF(M483=1,"Harga perlu dikonfirmasi ke sekolah"&amp;IF(""="","","; "&amp;""),"")))</f>
        <v>Harga perlu dikonfirmasi ke sekolah</v>
      </c>
      <c r="J483" s="0" t="s">
        <v>3909</v>
      </c>
      <c r="K483" s="0" t="n">
        <f aca="false">IF(M483=2,"",IF(ISNUMBER(SEARCH("rata-rata:",'Onshore - Sydney'!M709)),VALUE(MID('Onshore - Sydney'!M709,SEARCH("rata-rata:",'Onshore - Sydney'!M709)+11,FIND(";",'Onshore - Sydney'!M709&amp;";",SEARCH("rata-rata:",'Onshore - Sydney'!M709))-SEARCH("rata-rata:",'Onshore - Sydney'!M709)-11)),IF('Onshore - Sydney'!D709="Semester",'Onshore - Sydney'!E709*2,IF('Onshore - Sydney'!D709="Trimester",'Onshore - Sydney'!E709*3,IF('Onshore - Sydney'!D709="Term",'Onshore - Sydney'!E709*4,IF('Onshore - Sydney'!D709="Unit",'Onshore - Sydney'!E709*8,""))))))</f>
        <v>5000</v>
      </c>
      <c r="L483" s="0" t="n">
        <f aca="false">IF(AND(ISNUMBER('Onshore - Sydney'!E709),ISNUMBER(K483),ISNUMBER('Onshore - Sydney'!F709),ISNUMBER('Onshore - Sydney'!G709),OR('Onshore - Sydney'!F709&lt;&gt;0,ISNUMBER(SEARCH("Material 0 terverifikasi",'Onshore - Sydney'!M709))),OR('Onshore - Sydney'!G709&lt;&gt;0,ISNUMBER(SEARCH("Enrolment 0 terverifikasi",'Onshore - Sydney'!M709)))),1,0)</f>
        <v>0</v>
      </c>
      <c r="M483" s="0" t="n">
        <f aca="false">IF(OR('Onshore - Sydney'!E709="",ISNUMBER(SEARCH("BSB80120",'Onshore - Sydney'!B709&amp;'Onshore - Sydney'!M709)),ISNUMBER(SEARCH("Management (Learning)",'Onshore - Sydney'!B709))),2,IF(ISNUMBER(SEARCH("CEK:",'Onshore - Sydney'!M709)),1,0))</f>
        <v>1</v>
      </c>
    </row>
    <row r="484" customFormat="false" ht="15" hidden="false" customHeight="false" outlineLevel="0" collapsed="false">
      <c r="A484" s="63" t="s">
        <v>3533</v>
      </c>
      <c r="B484" s="64" t="s">
        <v>3833</v>
      </c>
      <c r="C484" s="63" t="s">
        <v>42</v>
      </c>
      <c r="D484" s="64" t="str">
        <f aca="false">TRIM(LEFT('Onshore - Sydney'!A6,FIND(CHAR(10),'Onshore - Sydney'!A6&amp;CHAR(10))-1))</f>
        <v>Abbey College Australia</v>
      </c>
      <c r="E484" s="63" t="str">
        <f aca="false">'Onshore - Sydney'!C8&amp;""</f>
        <v>2,5 years</v>
      </c>
      <c r="F484" s="63" t="str">
        <f aca="false">IF('Onshore - Sydney'!D8="","Belum tercatat",'Onshore - Sydney'!D8)</f>
        <v>Term</v>
      </c>
      <c r="G484" s="65" t="n">
        <f aca="false">IF('Onshore - Sydney'!E8="","-",'Onshore - Sydney'!E8)</f>
        <v>1350</v>
      </c>
      <c r="H484" s="63" t="n">
        <f aca="false">IF(ISNUMBER(K484),COUNTIFS($J$6:$J$1916,J484,$K$6:$K$1916,"&lt;"&amp;K484)+1,"-")</f>
        <v>5</v>
      </c>
      <c r="I484" s="64" t="str">
        <f aca="false">IF('Onshore - Sydney'!E8="","Harga belum tersedia - hubungi konsultan TEG",IF(M484=2,"Saat ini tidak menerima pendaftaran siswa internasional baru",IF(M484=1,"Harga perlu dikonfirmasi ke sekolah"&amp;IF(""="","","; "&amp;""),"")))</f>
        <v/>
      </c>
      <c r="J484" s="0" t="s">
        <v>3909</v>
      </c>
      <c r="K484" s="0" t="n">
        <f aca="false">IF(M484=2,"",IF(ISNUMBER(SEARCH("rata-rata:",'Onshore - Sydney'!M8)),VALUE(MID('Onshore - Sydney'!M8,SEARCH("rata-rata:",'Onshore - Sydney'!M8)+11,FIND(";",'Onshore - Sydney'!M8&amp;";",SEARCH("rata-rata:",'Onshore - Sydney'!M8))-SEARCH("rata-rata:",'Onshore - Sydney'!M8)-11)),IF('Onshore - Sydney'!D8="Semester",'Onshore - Sydney'!E8*2,IF('Onshore - Sydney'!D8="Trimester",'Onshore - Sydney'!E8*3,IF('Onshore - Sydney'!D8="Term",'Onshore - Sydney'!E8*4,IF('Onshore - Sydney'!D8="Unit",'Onshore - Sydney'!E8*8,""))))))</f>
        <v>5400</v>
      </c>
      <c r="L484" s="0" t="n">
        <f aca="false">IF(AND(ISNUMBER('Onshore - Sydney'!E8),ISNUMBER(K484),ISNUMBER('Onshore - Sydney'!F8),ISNUMBER('Onshore - Sydney'!G8),OR('Onshore - Sydney'!F8&lt;&gt;0,ISNUMBER(SEARCH("Material 0 terverifikasi",'Onshore - Sydney'!M8))),OR('Onshore - Sydney'!G8&lt;&gt;0,ISNUMBER(SEARCH("Enrolment 0 terverifikasi",'Onshore - Sydney'!M8)))),1,0)</f>
        <v>1</v>
      </c>
      <c r="M484" s="0" t="n">
        <f aca="false">IF(OR('Onshore - Sydney'!E8="",ISNUMBER(SEARCH("BSB80120",'Onshore - Sydney'!B8&amp;'Onshore - Sydney'!M8)),ISNUMBER(SEARCH("Management (Learning)",'Onshore - Sydney'!B8))),2,IF(ISNUMBER(SEARCH("CEK:",'Onshore - Sydney'!M8)),1,0))</f>
        <v>0</v>
      </c>
    </row>
    <row r="485" customFormat="false" ht="15" hidden="false" customHeight="false" outlineLevel="0" collapsed="false">
      <c r="A485" s="63" t="s">
        <v>3533</v>
      </c>
      <c r="B485" s="64" t="s">
        <v>3833</v>
      </c>
      <c r="C485" s="63" t="s">
        <v>42</v>
      </c>
      <c r="D485" s="64" t="str">
        <f aca="false">TRIM(LEFT('Onshore - Sydney'!A50,FIND(CHAR(10),'Onshore - Sydney'!A50&amp;CHAR(10))-1))</f>
        <v>Academies Australasia</v>
      </c>
      <c r="E485" s="63" t="str">
        <f aca="false">'Onshore - Sydney'!C50&amp;""</f>
        <v>2 years</v>
      </c>
      <c r="F485" s="63" t="str">
        <f aca="false">IF('Onshore - Sydney'!D50="","Belum tercatat",'Onshore - Sydney'!D50)</f>
        <v>Term</v>
      </c>
      <c r="G485" s="65" t="n">
        <f aca="false">IF('Onshore - Sydney'!E50="","-",'Onshore - Sydney'!E50)</f>
        <v>1350</v>
      </c>
      <c r="H485" s="63" t="n">
        <f aca="false">IF(ISNUMBER(K485),COUNTIFS($J$6:$J$1916,J485,$K$6:$K$1916,"&lt;"&amp;K485)+1,"-")</f>
        <v>5</v>
      </c>
      <c r="I485" s="64" t="str">
        <f aca="false">IF('Onshore - Sydney'!E50="","Harga belum tersedia - hubungi konsultan TEG",IF(M485=2,"Saat ini tidak menerima pendaftaran siswa internasional baru",IF(M485=1,"Harga perlu dikonfirmasi ke sekolah"&amp;IF(""="","","; "&amp;""),"")))</f>
        <v>Harga perlu dikonfirmasi ke sekolah</v>
      </c>
      <c r="J485" s="0" t="s">
        <v>3909</v>
      </c>
      <c r="K485" s="0" t="n">
        <f aca="false">IF(M485=2,"",IF(ISNUMBER(SEARCH("rata-rata:",'Onshore - Sydney'!M50)),VALUE(MID('Onshore - Sydney'!M50,SEARCH("rata-rata:",'Onshore - Sydney'!M50)+11,FIND(";",'Onshore - Sydney'!M50&amp;";",SEARCH("rata-rata:",'Onshore - Sydney'!M50))-SEARCH("rata-rata:",'Onshore - Sydney'!M50)-11)),IF('Onshore - Sydney'!D50="Semester",'Onshore - Sydney'!E50*2,IF('Onshore - Sydney'!D50="Trimester",'Onshore - Sydney'!E50*3,IF('Onshore - Sydney'!D50="Term",'Onshore - Sydney'!E50*4,IF('Onshore - Sydney'!D50="Unit",'Onshore - Sydney'!E50*8,""))))))</f>
        <v>5400</v>
      </c>
      <c r="L485" s="0" t="n">
        <f aca="false">IF(AND(ISNUMBER('Onshore - Sydney'!E50),ISNUMBER(K485),ISNUMBER('Onshore - Sydney'!F50),ISNUMBER('Onshore - Sydney'!G50),OR('Onshore - Sydney'!F50&lt;&gt;0,ISNUMBER(SEARCH("Material 0 terverifikasi",'Onshore - Sydney'!M50))),OR('Onshore - Sydney'!G50&lt;&gt;0,ISNUMBER(SEARCH("Enrolment 0 terverifikasi",'Onshore - Sydney'!M50)))),1,0)</f>
        <v>1</v>
      </c>
      <c r="M485" s="0" t="n">
        <f aca="false">IF(OR('Onshore - Sydney'!E50="",ISNUMBER(SEARCH("BSB80120",'Onshore - Sydney'!B50&amp;'Onshore - Sydney'!M50)),ISNUMBER(SEARCH("Management (Learning)",'Onshore - Sydney'!B50))),2,IF(ISNUMBER(SEARCH("CEK:",'Onshore - Sydney'!M50)),1,0))</f>
        <v>1</v>
      </c>
    </row>
    <row r="486" customFormat="false" ht="28.35" hidden="false" customHeight="false" outlineLevel="0" collapsed="false">
      <c r="A486" s="63" t="s">
        <v>3533</v>
      </c>
      <c r="B486" s="64" t="s">
        <v>3833</v>
      </c>
      <c r="C486" s="63" t="s">
        <v>42</v>
      </c>
      <c r="D486" s="64" t="str">
        <f aca="false">TRIM(LEFT('Onshore - Sydney'!A297,FIND(CHAR(10),'Onshore - Sydney'!A297&amp;CHAR(10))-1))</f>
        <v>Australian College of Professional Careers (ACPC)</v>
      </c>
      <c r="E486" s="63" t="str">
        <f aca="false">'Onshore - Sydney'!C297&amp;""</f>
        <v>3 years</v>
      </c>
      <c r="F486" s="63" t="str">
        <f aca="false">IF('Onshore - Sydney'!D297="","Belum tercatat",'Onshore - Sydney'!D297)</f>
        <v>Term</v>
      </c>
      <c r="G486" s="65" t="n">
        <f aca="false">IF('Onshore - Sydney'!E297="","-",'Onshore - Sydney'!E297)</f>
        <v>1350</v>
      </c>
      <c r="H486" s="63" t="n">
        <f aca="false">IF(ISNUMBER(K486),COUNTIFS($J$6:$J$1916,J486,$K$6:$K$1916,"&lt;"&amp;K486)+1,"-")</f>
        <v>5</v>
      </c>
      <c r="I486" s="64" t="str">
        <f aca="false">IF('Onshore - Sydney'!E297="","Harga belum tersedia - hubungi konsultan TEG",IF(M486=2,"Saat ini tidak menerima pendaftaran siswa internasional baru",IF(M486=1,"Harga perlu dikonfirmasi ke sekolah"&amp;IF(""="","","; "&amp;""),"")))</f>
        <v/>
      </c>
      <c r="J486" s="0" t="s">
        <v>3909</v>
      </c>
      <c r="K486" s="0" t="n">
        <f aca="false">IF(M486=2,"",IF(ISNUMBER(SEARCH("rata-rata:",'Onshore - Sydney'!M297)),VALUE(MID('Onshore - Sydney'!M297,SEARCH("rata-rata:",'Onshore - Sydney'!M297)+11,FIND(";",'Onshore - Sydney'!M297&amp;";",SEARCH("rata-rata:",'Onshore - Sydney'!M297))-SEARCH("rata-rata:",'Onshore - Sydney'!M297)-11)),IF('Onshore - Sydney'!D297="Semester",'Onshore - Sydney'!E297*2,IF('Onshore - Sydney'!D297="Trimester",'Onshore - Sydney'!E297*3,IF('Onshore - Sydney'!D297="Term",'Onshore - Sydney'!E297*4,IF('Onshore - Sydney'!D297="Unit",'Onshore - Sydney'!E297*8,""))))))</f>
        <v>5400</v>
      </c>
      <c r="L486" s="0" t="n">
        <f aca="false">IF(AND(ISNUMBER('Onshore - Sydney'!E297),ISNUMBER(K486),ISNUMBER('Onshore - Sydney'!F297),ISNUMBER('Onshore - Sydney'!G297),OR('Onshore - Sydney'!F297&lt;&gt;0,ISNUMBER(SEARCH("Material 0 terverifikasi",'Onshore - Sydney'!M297))),OR('Onshore - Sydney'!G297&lt;&gt;0,ISNUMBER(SEARCH("Enrolment 0 terverifikasi",'Onshore - Sydney'!M297)))),1,0)</f>
        <v>1</v>
      </c>
      <c r="M486" s="0" t="n">
        <f aca="false">IF(OR('Onshore - Sydney'!E297="",ISNUMBER(SEARCH("BSB80120",'Onshore - Sydney'!B297&amp;'Onshore - Sydney'!M297)),ISNUMBER(SEARCH("Management (Learning)",'Onshore - Sydney'!B297))),2,IF(ISNUMBER(SEARCH("CEK:",'Onshore - Sydney'!M297)),1,0))</f>
        <v>0</v>
      </c>
    </row>
    <row r="487" customFormat="false" ht="15" hidden="false" customHeight="false" outlineLevel="0" collapsed="false">
      <c r="A487" s="63" t="s">
        <v>3533</v>
      </c>
      <c r="B487" s="64" t="s">
        <v>3833</v>
      </c>
      <c r="C487" s="63" t="s">
        <v>42</v>
      </c>
      <c r="D487" s="64" t="str">
        <f aca="false">TRIM(LEFT('Onshore - Sydney'!A389,FIND(CHAR(10),'Onshore - Sydney'!A389&amp;CHAR(10))-1))</f>
        <v>Capstone Institute of Australia (CIA)</v>
      </c>
      <c r="E487" s="63" t="str">
        <f aca="false">'Onshore - Sydney'!C392&amp;""</f>
        <v>4,5 years</v>
      </c>
      <c r="F487" s="63" t="str">
        <f aca="false">IF('Onshore - Sydney'!D392="","Belum tercatat",'Onshore - Sydney'!D392)</f>
        <v>Term</v>
      </c>
      <c r="G487" s="65" t="n">
        <f aca="false">IF('Onshore - Sydney'!E392="","-",'Onshore - Sydney'!E392)</f>
        <v>1350</v>
      </c>
      <c r="H487" s="63" t="n">
        <f aca="false">IF(ISNUMBER(K487),COUNTIFS($J$6:$J$1916,J487,$K$6:$K$1916,"&lt;"&amp;K487)+1,"-")</f>
        <v>5</v>
      </c>
      <c r="I487" s="64" t="str">
        <f aca="false">IF('Onshore - Sydney'!E392="","Harga belum tersedia - hubungi konsultan TEG",IF(M487=2,"Saat ini tidak menerima pendaftaran siswa internasional baru",IF(M487=1,"Harga perlu dikonfirmasi ke sekolah"&amp;IF(""="","","; "&amp;""),"")))</f>
        <v/>
      </c>
      <c r="J487" s="0" t="s">
        <v>3909</v>
      </c>
      <c r="K487" s="0" t="n">
        <f aca="false">IF(M487=2,"",IF(ISNUMBER(SEARCH("rata-rata:",'Onshore - Sydney'!M392)),VALUE(MID('Onshore - Sydney'!M392,SEARCH("rata-rata:",'Onshore - Sydney'!M392)+11,FIND(";",'Onshore - Sydney'!M392&amp;";",SEARCH("rata-rata:",'Onshore - Sydney'!M392))-SEARCH("rata-rata:",'Onshore - Sydney'!M392)-11)),IF('Onshore - Sydney'!D392="Semester",'Onshore - Sydney'!E392*2,IF('Onshore - Sydney'!D392="Trimester",'Onshore - Sydney'!E392*3,IF('Onshore - Sydney'!D392="Term",'Onshore - Sydney'!E392*4,IF('Onshore - Sydney'!D392="Unit",'Onshore - Sydney'!E392*8,""))))))</f>
        <v>5400</v>
      </c>
      <c r="L487" s="0" t="n">
        <f aca="false">IF(AND(ISNUMBER('Onshore - Sydney'!E392),ISNUMBER(K487),ISNUMBER('Onshore - Sydney'!F392),ISNUMBER('Onshore - Sydney'!G392),OR('Onshore - Sydney'!F392&lt;&gt;0,ISNUMBER(SEARCH("Material 0 terverifikasi",'Onshore - Sydney'!M392))),OR('Onshore - Sydney'!G392&lt;&gt;0,ISNUMBER(SEARCH("Enrolment 0 terverifikasi",'Onshore - Sydney'!M392)))),1,0)</f>
        <v>1</v>
      </c>
      <c r="M487" s="0" t="n">
        <f aca="false">IF(OR('Onshore - Sydney'!E392="",ISNUMBER(SEARCH("BSB80120",'Onshore - Sydney'!B392&amp;'Onshore - Sydney'!M392)),ISNUMBER(SEARCH("Management (Learning)",'Onshore - Sydney'!B392))),2,IF(ISNUMBER(SEARCH("CEK:",'Onshore - Sydney'!M392)),1,0))</f>
        <v>0</v>
      </c>
    </row>
    <row r="488" customFormat="false" ht="15" hidden="false" customHeight="false" outlineLevel="0" collapsed="false">
      <c r="A488" s="63" t="s">
        <v>3533</v>
      </c>
      <c r="B488" s="64" t="s">
        <v>3833</v>
      </c>
      <c r="C488" s="63" t="s">
        <v>42</v>
      </c>
      <c r="D488" s="64" t="str">
        <f aca="false">TRIM(LEFT('Onshore - Sydney'!A536,FIND(CHAR(10),'Onshore - Sydney'!A536&amp;CHAR(10))-1))</f>
        <v>Imperial Institute of Sydney (IIS)</v>
      </c>
      <c r="E488" s="63" t="str">
        <f aca="false">'Onshore - Sydney'!C539&amp;""</f>
        <v>3 years</v>
      </c>
      <c r="F488" s="63" t="str">
        <f aca="false">IF('Onshore - Sydney'!D539="","Belum tercatat",'Onshore - Sydney'!D539)</f>
        <v>Term</v>
      </c>
      <c r="G488" s="65" t="n">
        <f aca="false">IF('Onshore - Sydney'!E539="","-",'Onshore - Sydney'!E539)</f>
        <v>1350</v>
      </c>
      <c r="H488" s="63" t="n">
        <f aca="false">IF(ISNUMBER(K488),COUNTIFS($J$6:$J$1916,J488,$K$6:$K$1916,"&lt;"&amp;K488)+1,"-")</f>
        <v>5</v>
      </c>
      <c r="I488" s="64" t="str">
        <f aca="false">IF('Onshore - Sydney'!E539="","Harga belum tersedia - hubungi konsultan TEG",IF(M488=2,"Saat ini tidak menerima pendaftaran siswa internasional baru",IF(M488=1,"Harga perlu dikonfirmasi ke sekolah"&amp;IF(""="","","; "&amp;""),"")))</f>
        <v/>
      </c>
      <c r="J488" s="0" t="s">
        <v>3909</v>
      </c>
      <c r="K488" s="0" t="n">
        <f aca="false">IF(M488=2,"",IF(ISNUMBER(SEARCH("rata-rata:",'Onshore - Sydney'!M539)),VALUE(MID('Onshore - Sydney'!M539,SEARCH("rata-rata:",'Onshore - Sydney'!M539)+11,FIND(";",'Onshore - Sydney'!M539&amp;";",SEARCH("rata-rata:",'Onshore - Sydney'!M539))-SEARCH("rata-rata:",'Onshore - Sydney'!M539)-11)),IF('Onshore - Sydney'!D539="Semester",'Onshore - Sydney'!E539*2,IF('Onshore - Sydney'!D539="Trimester",'Onshore - Sydney'!E539*3,IF('Onshore - Sydney'!D539="Term",'Onshore - Sydney'!E539*4,IF('Onshore - Sydney'!D539="Unit",'Onshore - Sydney'!E539*8,""))))))</f>
        <v>5400</v>
      </c>
      <c r="L488" s="0" t="n">
        <f aca="false">IF(AND(ISNUMBER('Onshore - Sydney'!E539),ISNUMBER(K488),ISNUMBER('Onshore - Sydney'!F539),ISNUMBER('Onshore - Sydney'!G539),OR('Onshore - Sydney'!F539&lt;&gt;0,ISNUMBER(SEARCH("Material 0 terverifikasi",'Onshore - Sydney'!M539))),OR('Onshore - Sydney'!G539&lt;&gt;0,ISNUMBER(SEARCH("Enrolment 0 terverifikasi",'Onshore - Sydney'!M539)))),1,0)</f>
        <v>0</v>
      </c>
      <c r="M488" s="0" t="n">
        <f aca="false">IF(OR('Onshore - Sydney'!E539="",ISNUMBER(SEARCH("BSB80120",'Onshore - Sydney'!B539&amp;'Onshore - Sydney'!M539)),ISNUMBER(SEARCH("Management (Learning)",'Onshore - Sydney'!B539))),2,IF(ISNUMBER(SEARCH("CEK:",'Onshore - Sydney'!M539)),1,0))</f>
        <v>0</v>
      </c>
    </row>
    <row r="489" customFormat="false" ht="15" hidden="false" customHeight="false" outlineLevel="0" collapsed="false">
      <c r="A489" s="63" t="s">
        <v>3533</v>
      </c>
      <c r="B489" s="64" t="s">
        <v>3833</v>
      </c>
      <c r="C489" s="63" t="s">
        <v>42</v>
      </c>
      <c r="D489" s="64" t="str">
        <f aca="false">TRIM(LEFT('Onshore - Sydney'!A768,FIND(CHAR(10),'Onshore - Sydney'!A768&amp;CHAR(10))-1))</f>
        <v>Sydney Global College</v>
      </c>
      <c r="E489" s="63" t="str">
        <f aca="false">'Onshore - Sydney'!C769&amp;""</f>
        <v>4 years</v>
      </c>
      <c r="F489" s="63" t="str">
        <f aca="false">IF('Onshore - Sydney'!D769="","Belum tercatat",'Onshore - Sydney'!D769)</f>
        <v>Term</v>
      </c>
      <c r="G489" s="65" t="n">
        <f aca="false">IF('Onshore - Sydney'!E769="","-",'Onshore - Sydney'!E769)</f>
        <v>1350</v>
      </c>
      <c r="H489" s="63" t="n">
        <f aca="false">IF(ISNUMBER(K489),COUNTIFS($J$6:$J$1916,J489,$K$6:$K$1916,"&lt;"&amp;K489)+1,"-")</f>
        <v>5</v>
      </c>
      <c r="I489" s="64" t="str">
        <f aca="false">IF('Onshore - Sydney'!E769="","Harga belum tersedia - hubungi konsultan TEG",IF(M489=2,"Saat ini tidak menerima pendaftaran siswa internasional baru",IF(M489=1,"Harga perlu dikonfirmasi ke sekolah"&amp;IF(""="","","; "&amp;""),"")))</f>
        <v/>
      </c>
      <c r="J489" s="0" t="s">
        <v>3909</v>
      </c>
      <c r="K489" s="0" t="n">
        <f aca="false">IF(M489=2,"",IF(ISNUMBER(SEARCH("rata-rata:",'Onshore - Sydney'!M769)),VALUE(MID('Onshore - Sydney'!M769,SEARCH("rata-rata:",'Onshore - Sydney'!M769)+11,FIND(";",'Onshore - Sydney'!M769&amp;";",SEARCH("rata-rata:",'Onshore - Sydney'!M769))-SEARCH("rata-rata:",'Onshore - Sydney'!M769)-11)),IF('Onshore - Sydney'!D769="Semester",'Onshore - Sydney'!E769*2,IF('Onshore - Sydney'!D769="Trimester",'Onshore - Sydney'!E769*3,IF('Onshore - Sydney'!D769="Term",'Onshore - Sydney'!E769*4,IF('Onshore - Sydney'!D769="Unit",'Onshore - Sydney'!E769*8,""))))))</f>
        <v>5400</v>
      </c>
      <c r="L489" s="0" t="n">
        <f aca="false">IF(AND(ISNUMBER('Onshore - Sydney'!E769),ISNUMBER(K489),ISNUMBER('Onshore - Sydney'!F769),ISNUMBER('Onshore - Sydney'!G769),OR('Onshore - Sydney'!F769&lt;&gt;0,ISNUMBER(SEARCH("Material 0 terverifikasi",'Onshore - Sydney'!M769))),OR('Onshore - Sydney'!G769&lt;&gt;0,ISNUMBER(SEARCH("Enrolment 0 terverifikasi",'Onshore - Sydney'!M769)))),1,0)</f>
        <v>1</v>
      </c>
      <c r="M489" s="0" t="n">
        <f aca="false">IF(OR('Onshore - Sydney'!E769="",ISNUMBER(SEARCH("BSB80120",'Onshore - Sydney'!B769&amp;'Onshore - Sydney'!M769)),ISNUMBER(SEARCH("Management (Learning)",'Onshore - Sydney'!B769))),2,IF(ISNUMBER(SEARCH("CEK:",'Onshore - Sydney'!M769)),1,0))</f>
        <v>0</v>
      </c>
    </row>
    <row r="490" customFormat="false" ht="15" hidden="false" customHeight="false" outlineLevel="0" collapsed="false">
      <c r="A490" s="63" t="s">
        <v>3533</v>
      </c>
      <c r="B490" s="64" t="s">
        <v>3833</v>
      </c>
      <c r="C490" s="63" t="s">
        <v>42</v>
      </c>
      <c r="D490" s="64" t="str">
        <f aca="false">TRIM(LEFT('Onshore - Sydney'!A790,FIND(CHAR(10),'Onshore - Sydney'!A790&amp;CHAR(10))-1))</f>
        <v>Sydney Metropolitan International College</v>
      </c>
      <c r="E490" s="63" t="str">
        <f aca="false">'Onshore - Sydney'!C792&amp;""</f>
        <v>3 years</v>
      </c>
      <c r="F490" s="63" t="str">
        <f aca="false">IF('Onshore - Sydney'!D792="","Belum tercatat",'Onshore - Sydney'!D792)</f>
        <v>Term</v>
      </c>
      <c r="G490" s="65" t="n">
        <f aca="false">IF('Onshore - Sydney'!E792="","-",'Onshore - Sydney'!E792)</f>
        <v>1350</v>
      </c>
      <c r="H490" s="63" t="n">
        <f aca="false">IF(ISNUMBER(K490),COUNTIFS($J$6:$J$1916,J490,$K$6:$K$1916,"&lt;"&amp;K490)+1,"-")</f>
        <v>5</v>
      </c>
      <c r="I490" s="64" t="str">
        <f aca="false">IF('Onshore - Sydney'!E792="","Harga belum tersedia - hubungi konsultan TEG",IF(M490=2,"Saat ini tidak menerima pendaftaran siswa internasional baru",IF(M490=1,"Harga perlu dikonfirmasi ke sekolah"&amp;IF(""="","","; "&amp;""),"")))</f>
        <v/>
      </c>
      <c r="J490" s="0" t="s">
        <v>3909</v>
      </c>
      <c r="K490" s="0" t="n">
        <f aca="false">IF(M490=2,"",IF(ISNUMBER(SEARCH("rata-rata:",'Onshore - Sydney'!M792)),VALUE(MID('Onshore - Sydney'!M792,SEARCH("rata-rata:",'Onshore - Sydney'!M792)+11,FIND(";",'Onshore - Sydney'!M792&amp;";",SEARCH("rata-rata:",'Onshore - Sydney'!M792))-SEARCH("rata-rata:",'Onshore - Sydney'!M792)-11)),IF('Onshore - Sydney'!D792="Semester",'Onshore - Sydney'!E792*2,IF('Onshore - Sydney'!D792="Trimester",'Onshore - Sydney'!E792*3,IF('Onshore - Sydney'!D792="Term",'Onshore - Sydney'!E792*4,IF('Onshore - Sydney'!D792="Unit",'Onshore - Sydney'!E792*8,""))))))</f>
        <v>5400</v>
      </c>
      <c r="L490" s="0" t="n">
        <f aca="false">IF(AND(ISNUMBER('Onshore - Sydney'!E792),ISNUMBER(K490),ISNUMBER('Onshore - Sydney'!F792),ISNUMBER('Onshore - Sydney'!G792),OR('Onshore - Sydney'!F792&lt;&gt;0,ISNUMBER(SEARCH("Material 0 terverifikasi",'Onshore - Sydney'!M792))),OR('Onshore - Sydney'!G792&lt;&gt;0,ISNUMBER(SEARCH("Enrolment 0 terverifikasi",'Onshore - Sydney'!M792)))),1,0)</f>
        <v>1</v>
      </c>
      <c r="M490" s="0" t="n">
        <f aca="false">IF(OR('Onshore - Sydney'!E792="",ISNUMBER(SEARCH("BSB80120",'Onshore - Sydney'!B792&amp;'Onshore - Sydney'!M792)),ISNUMBER(SEARCH("Management (Learning)",'Onshore - Sydney'!B792))),2,IF(ISNUMBER(SEARCH("CEK:",'Onshore - Sydney'!M792)),1,0))</f>
        <v>0</v>
      </c>
    </row>
    <row r="491" customFormat="false" ht="15" hidden="false" customHeight="false" outlineLevel="0" collapsed="false">
      <c r="A491" s="63" t="s">
        <v>3533</v>
      </c>
      <c r="B491" s="64" t="s">
        <v>3833</v>
      </c>
      <c r="C491" s="63" t="s">
        <v>42</v>
      </c>
      <c r="D491" s="64" t="str">
        <f aca="false">TRIM(LEFT('Onshore - Sydney'!A15,FIND(CHAR(10),'Onshore - Sydney'!A15&amp;CHAR(10))-1))</f>
        <v>ABM Further Education</v>
      </c>
      <c r="E491" s="63" t="str">
        <f aca="false">'Onshore - Sydney'!C30&amp;""</f>
        <v>3,5 years</v>
      </c>
      <c r="F491" s="63" t="str">
        <f aca="false">IF('Onshore - Sydney'!D30="","Belum tercatat",'Onshore - Sydney'!D30)</f>
        <v>Term</v>
      </c>
      <c r="G491" s="65" t="n">
        <f aca="false">IF('Onshore - Sydney'!E30="","-",'Onshore - Sydney'!E30)</f>
        <v>1400</v>
      </c>
      <c r="H491" s="63" t="n">
        <f aca="false">IF(ISNUMBER(K491),COUNTIFS($J$6:$J$1916,J491,$K$6:$K$1916,"&lt;"&amp;K491)+1,"-")</f>
        <v>12</v>
      </c>
      <c r="I491" s="64" t="str">
        <f aca="false">IF('Onshore - Sydney'!E30="","Harga belum tersedia - hubungi konsultan TEG",IF(M491=2,"Saat ini tidak menerima pendaftaran siswa internasional baru",IF(M491=1,"Harga perlu dikonfirmasi ke sekolah"&amp;IF(""="","","; "&amp;""),"")))</f>
        <v/>
      </c>
      <c r="J491" s="0" t="s">
        <v>3909</v>
      </c>
      <c r="K491" s="0" t="n">
        <f aca="false">IF(M491=2,"",IF(ISNUMBER(SEARCH("rata-rata:",'Onshore - Sydney'!M30)),VALUE(MID('Onshore - Sydney'!M30,SEARCH("rata-rata:",'Onshore - Sydney'!M30)+11,FIND(";",'Onshore - Sydney'!M30&amp;";",SEARCH("rata-rata:",'Onshore - Sydney'!M30))-SEARCH("rata-rata:",'Onshore - Sydney'!M30)-11)),IF('Onshore - Sydney'!D30="Semester",'Onshore - Sydney'!E30*2,IF('Onshore - Sydney'!D30="Trimester",'Onshore - Sydney'!E30*3,IF('Onshore - Sydney'!D30="Term",'Onshore - Sydney'!E30*4,IF('Onshore - Sydney'!D30="Unit",'Onshore - Sydney'!E30*8,""))))))</f>
        <v>5600</v>
      </c>
      <c r="L491" s="0" t="n">
        <f aca="false">IF(AND(ISNUMBER('Onshore - Sydney'!E30),ISNUMBER(K491),ISNUMBER('Onshore - Sydney'!F30),ISNUMBER('Onshore - Sydney'!G30),OR('Onshore - Sydney'!F30&lt;&gt;0,ISNUMBER(SEARCH("Material 0 terverifikasi",'Onshore - Sydney'!M30))),OR('Onshore - Sydney'!G30&lt;&gt;0,ISNUMBER(SEARCH("Enrolment 0 terverifikasi",'Onshore - Sydney'!M30)))),1,0)</f>
        <v>1</v>
      </c>
      <c r="M491" s="0" t="n">
        <f aca="false">IF(OR('Onshore - Sydney'!E30="",ISNUMBER(SEARCH("BSB80120",'Onshore - Sydney'!B30&amp;'Onshore - Sydney'!M30)),ISNUMBER(SEARCH("Management (Learning)",'Onshore - Sydney'!B30))),2,IF(ISNUMBER(SEARCH("CEK:",'Onshore - Sydney'!M30)),1,0))</f>
        <v>0</v>
      </c>
    </row>
    <row r="492" customFormat="false" ht="28.35" hidden="false" customHeight="false" outlineLevel="0" collapsed="false">
      <c r="A492" s="63" t="s">
        <v>3533</v>
      </c>
      <c r="B492" s="64" t="s">
        <v>3833</v>
      </c>
      <c r="C492" s="63" t="s">
        <v>42</v>
      </c>
      <c r="D492" s="64" t="str">
        <f aca="false">TRIM(LEFT('Onshore - Sydney'!A289,FIND(CHAR(10),'Onshore - Sydney'!A289&amp;CHAR(10))-1))</f>
        <v>Australian College of International Studies (ACIS)</v>
      </c>
      <c r="E492" s="63" t="str">
        <f aca="false">'Onshore - Sydney'!C290&amp;""</f>
        <v>4 years</v>
      </c>
      <c r="F492" s="63" t="str">
        <f aca="false">IF('Onshore - Sydney'!D290="","Belum tercatat",'Onshore - Sydney'!D290)</f>
        <v>Term</v>
      </c>
      <c r="G492" s="65" t="n">
        <f aca="false">IF('Onshore - Sydney'!E290="","-",'Onshore - Sydney'!E290)</f>
        <v>1400</v>
      </c>
      <c r="H492" s="63" t="n">
        <f aca="false">IF(ISNUMBER(K492),COUNTIFS($J$6:$J$1916,J492,$K$6:$K$1916,"&lt;"&amp;K492)+1,"-")</f>
        <v>12</v>
      </c>
      <c r="I492" s="64" t="str">
        <f aca="false">IF('Onshore - Sydney'!E290="","Harga belum tersedia - hubungi konsultan TEG",IF(M492=2,"Saat ini tidak menerima pendaftaran siswa internasional baru",IF(M492=1,"Harga perlu dikonfirmasi ke sekolah"&amp;IF(""="","","; "&amp;""),"")))</f>
        <v/>
      </c>
      <c r="J492" s="0" t="s">
        <v>3909</v>
      </c>
      <c r="K492" s="0" t="n">
        <f aca="false">IF(M492=2,"",IF(ISNUMBER(SEARCH("rata-rata:",'Onshore - Sydney'!M290)),VALUE(MID('Onshore - Sydney'!M290,SEARCH("rata-rata:",'Onshore - Sydney'!M290)+11,FIND(";",'Onshore - Sydney'!M290&amp;";",SEARCH("rata-rata:",'Onshore - Sydney'!M290))-SEARCH("rata-rata:",'Onshore - Sydney'!M290)-11)),IF('Onshore - Sydney'!D290="Semester",'Onshore - Sydney'!E290*2,IF('Onshore - Sydney'!D290="Trimester",'Onshore - Sydney'!E290*3,IF('Onshore - Sydney'!D290="Term",'Onshore - Sydney'!E290*4,IF('Onshore - Sydney'!D290="Unit",'Onshore - Sydney'!E290*8,""))))))</f>
        <v>5600</v>
      </c>
      <c r="L492" s="0" t="n">
        <f aca="false">IF(AND(ISNUMBER('Onshore - Sydney'!E290),ISNUMBER(K492),ISNUMBER('Onshore - Sydney'!F290),ISNUMBER('Onshore - Sydney'!G290),OR('Onshore - Sydney'!F290&lt;&gt;0,ISNUMBER(SEARCH("Material 0 terverifikasi",'Onshore - Sydney'!M290))),OR('Onshore - Sydney'!G290&lt;&gt;0,ISNUMBER(SEARCH("Enrolment 0 terverifikasi",'Onshore - Sydney'!M290)))),1,0)</f>
        <v>1</v>
      </c>
      <c r="M492" s="0" t="n">
        <f aca="false">IF(OR('Onshore - Sydney'!E290="",ISNUMBER(SEARCH("BSB80120",'Onshore - Sydney'!B290&amp;'Onshore - Sydney'!M290)),ISNUMBER(SEARCH("Management (Learning)",'Onshore - Sydney'!B290))),2,IF(ISNUMBER(SEARCH("CEK:",'Onshore - Sydney'!M290)),1,0))</f>
        <v>0</v>
      </c>
    </row>
    <row r="493" customFormat="false" ht="15" hidden="false" customHeight="false" outlineLevel="0" collapsed="false">
      <c r="A493" s="63" t="s">
        <v>3533</v>
      </c>
      <c r="B493" s="64" t="s">
        <v>3833</v>
      </c>
      <c r="C493" s="63" t="s">
        <v>42</v>
      </c>
      <c r="D493" s="64" t="str">
        <f aca="false">TRIM(LEFT('Onshore - Sydney'!A517,FIND(CHAR(10),'Onshore - Sydney'!A517&amp;CHAR(10))-1))</f>
        <v>Harbourside Institute of Australia (HIA)</v>
      </c>
      <c r="E493" s="63" t="str">
        <f aca="false">'Onshore - Sydney'!C518&amp;""</f>
        <v>3 years</v>
      </c>
      <c r="F493" s="63" t="str">
        <f aca="false">IF('Onshore - Sydney'!D518="","Belum tercatat",'Onshore - Sydney'!D518)</f>
        <v>Term</v>
      </c>
      <c r="G493" s="65" t="n">
        <f aca="false">IF('Onshore - Sydney'!E518="","-",'Onshore - Sydney'!E518)</f>
        <v>1400</v>
      </c>
      <c r="H493" s="63" t="n">
        <f aca="false">IF(ISNUMBER(K493),COUNTIFS($J$6:$J$1916,J493,$K$6:$K$1916,"&lt;"&amp;K493)+1,"-")</f>
        <v>12</v>
      </c>
      <c r="I493" s="64" t="str">
        <f aca="false">IF('Onshore - Sydney'!E518="","Harga belum tersedia - hubungi konsultan TEG",IF(M493=2,"Saat ini tidak menerima pendaftaran siswa internasional baru",IF(M493=1,"Harga perlu dikonfirmasi ke sekolah"&amp;IF(""="","","; "&amp;""),"")))</f>
        <v>Harga perlu dikonfirmasi ke sekolah</v>
      </c>
      <c r="J493" s="0" t="s">
        <v>3909</v>
      </c>
      <c r="K493" s="0" t="n">
        <f aca="false">IF(M493=2,"",IF(ISNUMBER(SEARCH("rata-rata:",'Onshore - Sydney'!M518)),VALUE(MID('Onshore - Sydney'!M518,SEARCH("rata-rata:",'Onshore - Sydney'!M518)+11,FIND(";",'Onshore - Sydney'!M518&amp;";",SEARCH("rata-rata:",'Onshore - Sydney'!M518))-SEARCH("rata-rata:",'Onshore - Sydney'!M518)-11)),IF('Onshore - Sydney'!D518="Semester",'Onshore - Sydney'!E518*2,IF('Onshore - Sydney'!D518="Trimester",'Onshore - Sydney'!E518*3,IF('Onshore - Sydney'!D518="Term",'Onshore - Sydney'!E518*4,IF('Onshore - Sydney'!D518="Unit",'Onshore - Sydney'!E518*8,""))))))</f>
        <v>5600</v>
      </c>
      <c r="L493" s="0" t="n">
        <f aca="false">IF(AND(ISNUMBER('Onshore - Sydney'!E518),ISNUMBER(K493),ISNUMBER('Onshore - Sydney'!F518),ISNUMBER('Onshore - Sydney'!G518),OR('Onshore - Sydney'!F518&lt;&gt;0,ISNUMBER(SEARCH("Material 0 terverifikasi",'Onshore - Sydney'!M518))),OR('Onshore - Sydney'!G518&lt;&gt;0,ISNUMBER(SEARCH("Enrolment 0 terverifikasi",'Onshore - Sydney'!M518)))),1,0)</f>
        <v>1</v>
      </c>
      <c r="M493" s="0" t="n">
        <f aca="false">IF(OR('Onshore - Sydney'!E518="",ISNUMBER(SEARCH("BSB80120",'Onshore - Sydney'!B518&amp;'Onshore - Sydney'!M518)),ISNUMBER(SEARCH("Management (Learning)",'Onshore - Sydney'!B518))),2,IF(ISNUMBER(SEARCH("CEK:",'Onshore - Sydney'!M518)),1,0))</f>
        <v>1</v>
      </c>
    </row>
    <row r="494" customFormat="false" ht="15" hidden="false" customHeight="false" outlineLevel="0" collapsed="false">
      <c r="A494" s="63" t="s">
        <v>3533</v>
      </c>
      <c r="B494" s="64" t="s">
        <v>3833</v>
      </c>
      <c r="C494" s="63" t="s">
        <v>42</v>
      </c>
      <c r="D494" s="64" t="str">
        <f aca="false">TRIM(LEFT('Onshore - Sydney'!A1004,FIND(CHAR(10),'Onshore - Sydney'!A1004&amp;CHAR(10))-1))</f>
        <v>VIA Education</v>
      </c>
      <c r="E494" s="63" t="str">
        <f aca="false">'Onshore - Sydney'!C1005&amp;""</f>
        <v>4 years</v>
      </c>
      <c r="F494" s="63" t="str">
        <f aca="false">IF('Onshore - Sydney'!D1005="","Belum tercatat",'Onshore - Sydney'!D1005)</f>
        <v>Term</v>
      </c>
      <c r="G494" s="65" t="n">
        <f aca="false">IF('Onshore - Sydney'!E1005="","-",'Onshore - Sydney'!E1005)</f>
        <v>1400</v>
      </c>
      <c r="H494" s="63" t="n">
        <f aca="false">IF(ISNUMBER(K494),COUNTIFS($J$6:$J$1916,J494,$K$6:$K$1916,"&lt;"&amp;K494)+1,"-")</f>
        <v>12</v>
      </c>
      <c r="I494" s="64" t="str">
        <f aca="false">IF('Onshore - Sydney'!E1005="","Harga belum tersedia - hubungi konsultan TEG",IF(M494=2,"Saat ini tidak menerima pendaftaran siswa internasional baru",IF(M494=1,"Harga perlu dikonfirmasi ke sekolah"&amp;IF(""="","","; "&amp;""),"")))</f>
        <v/>
      </c>
      <c r="J494" s="0" t="s">
        <v>3909</v>
      </c>
      <c r="K494" s="0" t="n">
        <f aca="false">IF(M494=2,"",IF(ISNUMBER(SEARCH("rata-rata:",'Onshore - Sydney'!M1005)),VALUE(MID('Onshore - Sydney'!M1005,SEARCH("rata-rata:",'Onshore - Sydney'!M1005)+11,FIND(";",'Onshore - Sydney'!M1005&amp;";",SEARCH("rata-rata:",'Onshore - Sydney'!M1005))-SEARCH("rata-rata:",'Onshore - Sydney'!M1005)-11)),IF('Onshore - Sydney'!D1005="Semester",'Onshore - Sydney'!E1005*2,IF('Onshore - Sydney'!D1005="Trimester",'Onshore - Sydney'!E1005*3,IF('Onshore - Sydney'!D1005="Term",'Onshore - Sydney'!E1005*4,IF('Onshore - Sydney'!D1005="Unit",'Onshore - Sydney'!E1005*8,""))))))</f>
        <v>5600</v>
      </c>
      <c r="L494" s="0" t="n">
        <f aca="false">IF(AND(ISNUMBER('Onshore - Sydney'!E1005),ISNUMBER(K494),ISNUMBER('Onshore - Sydney'!F1005),ISNUMBER('Onshore - Sydney'!G1005),OR('Onshore - Sydney'!F1005&lt;&gt;0,ISNUMBER(SEARCH("Material 0 terverifikasi",'Onshore - Sydney'!M1005))),OR('Onshore - Sydney'!G1005&lt;&gt;0,ISNUMBER(SEARCH("Enrolment 0 terverifikasi",'Onshore - Sydney'!M1005)))),1,0)</f>
        <v>1</v>
      </c>
      <c r="M494" s="0" t="n">
        <f aca="false">IF(OR('Onshore - Sydney'!E1005="",ISNUMBER(SEARCH("BSB80120",'Onshore - Sydney'!B1005&amp;'Onshore - Sydney'!M1005)),ISNUMBER(SEARCH("Management (Learning)",'Onshore - Sydney'!B1005))),2,IF(ISNUMBER(SEARCH("CEK:",'Onshore - Sydney'!M1005)),1,0))</f>
        <v>0</v>
      </c>
    </row>
    <row r="495" customFormat="false" ht="15" hidden="false" customHeight="false" outlineLevel="0" collapsed="false">
      <c r="A495" s="63" t="s">
        <v>3533</v>
      </c>
      <c r="B495" s="64" t="s">
        <v>3833</v>
      </c>
      <c r="C495" s="63" t="s">
        <v>42</v>
      </c>
      <c r="D495" s="64" t="str">
        <f aca="false">TRIM(LEFT('Onshore - Sydney'!A358,FIND(CHAR(10),'Onshore - Sydney'!A358&amp;CHAR(10))-1))</f>
        <v>Australian Skills Management Institute (ASMI)</v>
      </c>
      <c r="E495" s="63" t="str">
        <f aca="false">'Onshore - Sydney'!C359&amp;""</f>
        <v>2 years</v>
      </c>
      <c r="F495" s="63" t="str">
        <f aca="false">IF('Onshore - Sydney'!D359="","Belum tercatat",'Onshore - Sydney'!D359)</f>
        <v>Term</v>
      </c>
      <c r="G495" s="65" t="n">
        <f aca="false">IF('Onshore - Sydney'!E359="","-",'Onshore - Sydney'!E359)</f>
        <v>1450</v>
      </c>
      <c r="H495" s="63" t="n">
        <f aca="false">IF(ISNUMBER(K495),COUNTIFS($J$6:$J$1916,J495,$K$6:$K$1916,"&lt;"&amp;K495)+1,"-")</f>
        <v>16</v>
      </c>
      <c r="I495" s="64" t="str">
        <f aca="false">IF('Onshore - Sydney'!E359="","Harga belum tersedia - hubungi konsultan TEG",IF(M495=2,"Saat ini tidak menerima pendaftaran siswa internasional baru",IF(M495=1,"Harga perlu dikonfirmasi ke sekolah"&amp;IF(""="","","; "&amp;""),"")))</f>
        <v/>
      </c>
      <c r="J495" s="0" t="s">
        <v>3909</v>
      </c>
      <c r="K495" s="0" t="n">
        <f aca="false">IF(M495=2,"",IF(ISNUMBER(SEARCH("rata-rata:",'Onshore - Sydney'!M359)),VALUE(MID('Onshore - Sydney'!M359,SEARCH("rata-rata:",'Onshore - Sydney'!M359)+11,FIND(";",'Onshore - Sydney'!M359&amp;";",SEARCH("rata-rata:",'Onshore - Sydney'!M359))-SEARCH("rata-rata:",'Onshore - Sydney'!M359)-11)),IF('Onshore - Sydney'!D359="Semester",'Onshore - Sydney'!E359*2,IF('Onshore - Sydney'!D359="Trimester",'Onshore - Sydney'!E359*3,IF('Onshore - Sydney'!D359="Term",'Onshore - Sydney'!E359*4,IF('Onshore - Sydney'!D359="Unit",'Onshore - Sydney'!E359*8,""))))))</f>
        <v>5800</v>
      </c>
      <c r="L495" s="0" t="n">
        <f aca="false">IF(AND(ISNUMBER('Onshore - Sydney'!E359),ISNUMBER(K495),ISNUMBER('Onshore - Sydney'!F359),ISNUMBER('Onshore - Sydney'!G359),OR('Onshore - Sydney'!F359&lt;&gt;0,ISNUMBER(SEARCH("Material 0 terverifikasi",'Onshore - Sydney'!M359))),OR('Onshore - Sydney'!G359&lt;&gt;0,ISNUMBER(SEARCH("Enrolment 0 terverifikasi",'Onshore - Sydney'!M359)))),1,0)</f>
        <v>1</v>
      </c>
      <c r="M495" s="0" t="n">
        <f aca="false">IF(OR('Onshore - Sydney'!E359="",ISNUMBER(SEARCH("BSB80120",'Onshore - Sydney'!B359&amp;'Onshore - Sydney'!M359)),ISNUMBER(SEARCH("Management (Learning)",'Onshore - Sydney'!B359))),2,IF(ISNUMBER(SEARCH("CEK:",'Onshore - Sydney'!M359)),1,0))</f>
        <v>0</v>
      </c>
    </row>
    <row r="496" customFormat="false" ht="15" hidden="false" customHeight="false" outlineLevel="0" collapsed="false">
      <c r="A496" s="63" t="s">
        <v>3533</v>
      </c>
      <c r="B496" s="64" t="s">
        <v>3833</v>
      </c>
      <c r="C496" s="63" t="s">
        <v>42</v>
      </c>
      <c r="D496" s="64" t="str">
        <f aca="false">TRIM(LEFT('Onshore - Sydney'!A112,FIND(CHAR(10),'Onshore - Sydney'!A112&amp;CHAR(10))-1))</f>
        <v>Alice Springs College of Australia (ASCA)</v>
      </c>
      <c r="E496" s="63" t="str">
        <f aca="false">'Onshore - Sydney'!C115&amp;""</f>
        <v>3,5 years</v>
      </c>
      <c r="F496" s="63" t="str">
        <f aca="false">IF('Onshore - Sydney'!D115="","Belum tercatat",'Onshore - Sydney'!D115)</f>
        <v>Term</v>
      </c>
      <c r="G496" s="65" t="n">
        <f aca="false">IF('Onshore - Sydney'!E115="","-",'Onshore - Sydney'!E115)</f>
        <v>1500</v>
      </c>
      <c r="H496" s="63" t="n">
        <f aca="false">IF(ISNUMBER(K496),COUNTIFS($J$6:$J$1916,J496,$K$6:$K$1916,"&lt;"&amp;K496)+1,"-")</f>
        <v>17</v>
      </c>
      <c r="I496" s="64" t="str">
        <f aca="false">IF('Onshore - Sydney'!E115="","Harga belum tersedia - hubungi konsultan TEG",IF(M496=2,"Saat ini tidak menerima pendaftaran siswa internasional baru",IF(M496=1,"Harga perlu dikonfirmasi ke sekolah"&amp;IF(""="","","; "&amp;""),"")))</f>
        <v/>
      </c>
      <c r="J496" s="0" t="s">
        <v>3909</v>
      </c>
      <c r="K496" s="0" t="n">
        <f aca="false">IF(M496=2,"",IF(ISNUMBER(SEARCH("rata-rata:",'Onshore - Sydney'!M115)),VALUE(MID('Onshore - Sydney'!M115,SEARCH("rata-rata:",'Onshore - Sydney'!M115)+11,FIND(";",'Onshore - Sydney'!M115&amp;";",SEARCH("rata-rata:",'Onshore - Sydney'!M115))-SEARCH("rata-rata:",'Onshore - Sydney'!M115)-11)),IF('Onshore - Sydney'!D115="Semester",'Onshore - Sydney'!E115*2,IF('Onshore - Sydney'!D115="Trimester",'Onshore - Sydney'!E115*3,IF('Onshore - Sydney'!D115="Term",'Onshore - Sydney'!E115*4,IF('Onshore - Sydney'!D115="Unit",'Onshore - Sydney'!E115*8,""))))))</f>
        <v>6000</v>
      </c>
      <c r="L496" s="0" t="n">
        <f aca="false">IF(AND(ISNUMBER('Onshore - Sydney'!E115),ISNUMBER(K496),ISNUMBER('Onshore - Sydney'!F115),ISNUMBER('Onshore - Sydney'!G115),OR('Onshore - Sydney'!F115&lt;&gt;0,ISNUMBER(SEARCH("Material 0 terverifikasi",'Onshore - Sydney'!M115))),OR('Onshore - Sydney'!G115&lt;&gt;0,ISNUMBER(SEARCH("Enrolment 0 terverifikasi",'Onshore - Sydney'!M115)))),1,0)</f>
        <v>1</v>
      </c>
      <c r="M496" s="0" t="n">
        <f aca="false">IF(OR('Onshore - Sydney'!E115="",ISNUMBER(SEARCH("BSB80120",'Onshore - Sydney'!B115&amp;'Onshore - Sydney'!M115)),ISNUMBER(SEARCH("Management (Learning)",'Onshore - Sydney'!B115))),2,IF(ISNUMBER(SEARCH("CEK:",'Onshore - Sydney'!M115)),1,0))</f>
        <v>0</v>
      </c>
    </row>
    <row r="497" customFormat="false" ht="28.35" hidden="false" customHeight="false" outlineLevel="0" collapsed="false">
      <c r="A497" s="63" t="s">
        <v>3533</v>
      </c>
      <c r="B497" s="64" t="s">
        <v>3833</v>
      </c>
      <c r="C497" s="63" t="s">
        <v>42</v>
      </c>
      <c r="D497" s="64" t="str">
        <f aca="false">TRIM(LEFT('Onshore - Sydney'!A268,FIND(CHAR(10),'Onshore - Sydney'!A268&amp;CHAR(10))-1))</f>
        <v>Australian College of Business Intelligence (ACBI)</v>
      </c>
      <c r="E497" s="63" t="str">
        <f aca="false">'Onshore - Sydney'!C269&amp;""</f>
        <v>52 weeks (4 terms)</v>
      </c>
      <c r="F497" s="63" t="str">
        <f aca="false">IF('Onshore - Sydney'!D269="","Belum tercatat",'Onshore - Sydney'!D269)</f>
        <v>Term</v>
      </c>
      <c r="G497" s="65" t="n">
        <f aca="false">IF('Onshore - Sydney'!E269="","-",'Onshore - Sydney'!E269)</f>
        <v>1500</v>
      </c>
      <c r="H497" s="63" t="n">
        <f aca="false">IF(ISNUMBER(K497),COUNTIFS($J$6:$J$1916,J497,$K$6:$K$1916,"&lt;"&amp;K497)+1,"-")</f>
        <v>17</v>
      </c>
      <c r="I497" s="64" t="str">
        <f aca="false">IF('Onshore - Sydney'!E269="","Harga belum tersedia - hubungi konsultan TEG",IF(M497=2,"Saat ini tidak menerima pendaftaran siswa internasional baru",IF(M497=1,"Harga perlu dikonfirmasi ke sekolah"&amp;IF(""="","","; "&amp;""),"")))</f>
        <v/>
      </c>
      <c r="J497" s="0" t="s">
        <v>3909</v>
      </c>
      <c r="K497" s="0" t="n">
        <f aca="false">IF(M497=2,"",IF(ISNUMBER(SEARCH("rata-rata:",'Onshore - Sydney'!M269)),VALUE(MID('Onshore - Sydney'!M269,SEARCH("rata-rata:",'Onshore - Sydney'!M269)+11,FIND(";",'Onshore - Sydney'!M269&amp;";",SEARCH("rata-rata:",'Onshore - Sydney'!M269))-SEARCH("rata-rata:",'Onshore - Sydney'!M269)-11)),IF('Onshore - Sydney'!D269="Semester",'Onshore - Sydney'!E269*2,IF('Onshore - Sydney'!D269="Trimester",'Onshore - Sydney'!E269*3,IF('Onshore - Sydney'!D269="Term",'Onshore - Sydney'!E269*4,IF('Onshore - Sydney'!D269="Unit",'Onshore - Sydney'!E269*8,""))))))</f>
        <v>6000</v>
      </c>
      <c r="L497" s="0" t="n">
        <f aca="false">IF(AND(ISNUMBER('Onshore - Sydney'!E269),ISNUMBER(K497),ISNUMBER('Onshore - Sydney'!F269),ISNUMBER('Onshore - Sydney'!G269),OR('Onshore - Sydney'!F269&lt;&gt;0,ISNUMBER(SEARCH("Material 0 terverifikasi",'Onshore - Sydney'!M269))),OR('Onshore - Sydney'!G269&lt;&gt;0,ISNUMBER(SEARCH("Enrolment 0 terverifikasi",'Onshore - Sydney'!M269)))),1,0)</f>
        <v>1</v>
      </c>
      <c r="M497" s="0" t="n">
        <f aca="false">IF(OR('Onshore - Sydney'!E269="",ISNUMBER(SEARCH("BSB80120",'Onshore - Sydney'!B269&amp;'Onshore - Sydney'!M269)),ISNUMBER(SEARCH("Management (Learning)",'Onshore - Sydney'!B269))),2,IF(ISNUMBER(SEARCH("CEK:",'Onshore - Sydney'!M269)),1,0))</f>
        <v>0</v>
      </c>
    </row>
    <row r="498" customFormat="false" ht="15" hidden="false" customHeight="false" outlineLevel="0" collapsed="false">
      <c r="A498" s="63" t="s">
        <v>3533</v>
      </c>
      <c r="B498" s="64" t="s">
        <v>3833</v>
      </c>
      <c r="C498" s="63" t="s">
        <v>42</v>
      </c>
      <c r="D498" s="64" t="str">
        <f aca="false">TRIM(LEFT('Onshore - Sydney'!A313,FIND(CHAR(10),'Onshore - Sydney'!A313&amp;CHAR(10))-1))</f>
        <v>Australian Ideal College (AIC)</v>
      </c>
      <c r="E498" s="63" t="str">
        <f aca="false">'Onshore - Sydney'!C316&amp;""</f>
        <v>1,5 years</v>
      </c>
      <c r="F498" s="63" t="str">
        <f aca="false">IF('Onshore - Sydney'!D316="","Belum tercatat",'Onshore - Sydney'!D316)</f>
        <v>Term</v>
      </c>
      <c r="G498" s="65" t="n">
        <f aca="false">IF('Onshore - Sydney'!E316="","-",'Onshore - Sydney'!E316)</f>
        <v>1500</v>
      </c>
      <c r="H498" s="63" t="n">
        <f aca="false">IF(ISNUMBER(K498),COUNTIFS($J$6:$J$1916,J498,$K$6:$K$1916,"&lt;"&amp;K498)+1,"-")</f>
        <v>17</v>
      </c>
      <c r="I498" s="64" t="str">
        <f aca="false">IF('Onshore - Sydney'!E316="","Harga belum tersedia - hubungi konsultan TEG",IF(M498=2,"Saat ini tidak menerima pendaftaran siswa internasional baru",IF(M498=1,"Harga perlu dikonfirmasi ke sekolah"&amp;IF(""="","","; "&amp;""),"")))</f>
        <v/>
      </c>
      <c r="J498" s="0" t="s">
        <v>3909</v>
      </c>
      <c r="K498" s="0" t="n">
        <f aca="false">IF(M498=2,"",IF(ISNUMBER(SEARCH("rata-rata:",'Onshore - Sydney'!M316)),VALUE(MID('Onshore - Sydney'!M316,SEARCH("rata-rata:",'Onshore - Sydney'!M316)+11,FIND(";",'Onshore - Sydney'!M316&amp;";",SEARCH("rata-rata:",'Onshore - Sydney'!M316))-SEARCH("rata-rata:",'Onshore - Sydney'!M316)-11)),IF('Onshore - Sydney'!D316="Semester",'Onshore - Sydney'!E316*2,IF('Onshore - Sydney'!D316="Trimester",'Onshore - Sydney'!E316*3,IF('Onshore - Sydney'!D316="Term",'Onshore - Sydney'!E316*4,IF('Onshore - Sydney'!D316="Unit",'Onshore - Sydney'!E316*8,""))))))</f>
        <v>6000</v>
      </c>
      <c r="L498" s="0" t="n">
        <f aca="false">IF(AND(ISNUMBER('Onshore - Sydney'!E316),ISNUMBER(K498),ISNUMBER('Onshore - Sydney'!F316),ISNUMBER('Onshore - Sydney'!G316),OR('Onshore - Sydney'!F316&lt;&gt;0,ISNUMBER(SEARCH("Material 0 terverifikasi",'Onshore - Sydney'!M316))),OR('Onshore - Sydney'!G316&lt;&gt;0,ISNUMBER(SEARCH("Enrolment 0 terverifikasi",'Onshore - Sydney'!M316)))),1,0)</f>
        <v>1</v>
      </c>
      <c r="M498" s="0" t="n">
        <f aca="false">IF(OR('Onshore - Sydney'!E316="",ISNUMBER(SEARCH("BSB80120",'Onshore - Sydney'!B316&amp;'Onshore - Sydney'!M316)),ISNUMBER(SEARCH("Management (Learning)",'Onshore - Sydney'!B316))),2,IF(ISNUMBER(SEARCH("CEK:",'Onshore - Sydney'!M316)),1,0))</f>
        <v>0</v>
      </c>
    </row>
    <row r="499" customFormat="false" ht="15" hidden="false" customHeight="false" outlineLevel="0" collapsed="false">
      <c r="A499" s="63" t="s">
        <v>3533</v>
      </c>
      <c r="B499" s="64" t="s">
        <v>3833</v>
      </c>
      <c r="C499" s="63" t="s">
        <v>42</v>
      </c>
      <c r="D499" s="64" t="str">
        <f aca="false">TRIM(LEFT('Onshore - Sydney'!A362,FIND(CHAR(10),'Onshore - Sydney'!A362&amp;CHAR(10))-1))</f>
        <v>Australian Workplace Skills Institute (AWS)</v>
      </c>
      <c r="E499" s="63" t="str">
        <f aca="false">'Onshore - Sydney'!C362&amp;""</f>
        <v>3 years</v>
      </c>
      <c r="F499" s="63" t="str">
        <f aca="false">IF('Onshore - Sydney'!D362="","Belum tercatat",'Onshore - Sydney'!D362)</f>
        <v>Term</v>
      </c>
      <c r="G499" s="65" t="n">
        <f aca="false">IF('Onshore - Sydney'!E362="","-",'Onshore - Sydney'!E362)</f>
        <v>1500</v>
      </c>
      <c r="H499" s="63" t="n">
        <f aca="false">IF(ISNUMBER(K499),COUNTIFS($J$6:$J$1916,J499,$K$6:$K$1916,"&lt;"&amp;K499)+1,"-")</f>
        <v>17</v>
      </c>
      <c r="I499" s="64" t="str">
        <f aca="false">IF('Onshore - Sydney'!E362="","Harga belum tersedia - hubungi konsultan TEG",IF(M499=2,"Saat ini tidak menerima pendaftaran siswa internasional baru",IF(M499=1,"Program perlu dikonfirmasi ketersediaannya"&amp;IF(""="","","; "&amp;""),"")))</f>
        <v>Program perlu dikonfirmasi ketersediaannya</v>
      </c>
      <c r="J499" s="0" t="s">
        <v>3909</v>
      </c>
      <c r="K499" s="0" t="n">
        <f aca="false">IF(M499=2,"",IF(ISNUMBER(SEARCH("rata-rata:",'Onshore - Sydney'!M362)),VALUE(MID('Onshore - Sydney'!M362,SEARCH("rata-rata:",'Onshore - Sydney'!M362)+11,FIND(";",'Onshore - Sydney'!M362&amp;";",SEARCH("rata-rata:",'Onshore - Sydney'!M362))-SEARCH("rata-rata:",'Onshore - Sydney'!M362)-11)),IF('Onshore - Sydney'!D362="Semester",'Onshore - Sydney'!E362*2,IF('Onshore - Sydney'!D362="Trimester",'Onshore - Sydney'!E362*3,IF('Onshore - Sydney'!D362="Term",'Onshore - Sydney'!E362*4,IF('Onshore - Sydney'!D362="Unit",'Onshore - Sydney'!E362*8,""))))))</f>
        <v>6000</v>
      </c>
      <c r="L499" s="0" t="n">
        <f aca="false">IF(AND(ISNUMBER('Onshore - Sydney'!E362),ISNUMBER(K499),ISNUMBER('Onshore - Sydney'!F362),ISNUMBER('Onshore - Sydney'!G362),OR('Onshore - Sydney'!F362&lt;&gt;0,ISNUMBER(SEARCH("Material 0 terverifikasi",'Onshore - Sydney'!M362))),OR('Onshore - Sydney'!G362&lt;&gt;0,ISNUMBER(SEARCH("Enrolment 0 terverifikasi",'Onshore - Sydney'!M362)))),1,0)</f>
        <v>1</v>
      </c>
      <c r="M499" s="0" t="n">
        <f aca="false">IF(OR('Onshore - Sydney'!E362="",ISNUMBER(SEARCH("BSB80120",'Onshore - Sydney'!B362&amp;'Onshore - Sydney'!M362)),ISNUMBER(SEARCH("Management (Learning)",'Onshore - Sydney'!B362))),2,IF(ISNUMBER(SEARCH("CEK:",'Onshore - Sydney'!M362)),1,0))</f>
        <v>1</v>
      </c>
    </row>
    <row r="500" customFormat="false" ht="15" hidden="false" customHeight="false" outlineLevel="0" collapsed="false">
      <c r="A500" s="63" t="s">
        <v>3533</v>
      </c>
      <c r="B500" s="64" t="s">
        <v>3833</v>
      </c>
      <c r="C500" s="63" t="s">
        <v>42</v>
      </c>
      <c r="D500" s="64" t="str">
        <f aca="false">TRIM(LEFT('Onshore - Sydney'!A364,FIND(CHAR(10),'Onshore - Sydney'!A364&amp;CHAR(10))-1))</f>
        <v>Be Qualified</v>
      </c>
      <c r="E500" s="63" t="str">
        <f aca="false">'Onshore - Sydney'!C372&amp;""</f>
        <v>2,5 years</v>
      </c>
      <c r="F500" s="63" t="str">
        <f aca="false">IF('Onshore - Sydney'!D372="","Belum tercatat",'Onshore - Sydney'!D372)</f>
        <v>Term</v>
      </c>
      <c r="G500" s="65" t="n">
        <f aca="false">IF('Onshore - Sydney'!E372="","-",'Onshore - Sydney'!E372)</f>
        <v>1500</v>
      </c>
      <c r="H500" s="63" t="n">
        <f aca="false">IF(ISNUMBER(K500),COUNTIFS($J$6:$J$1916,J500,$K$6:$K$1916,"&lt;"&amp;K500)+1,"-")</f>
        <v>17</v>
      </c>
      <c r="I500" s="64" t="str">
        <f aca="false">IF('Onshore - Sydney'!E372="","Harga belum tersedia - hubungi konsultan TEG",IF(M500=2,"Saat ini tidak menerima pendaftaran siswa internasional baru",IF(M500=1,"Harga perlu dikonfirmasi ke sekolah"&amp;IF(""="","","; "&amp;""),"")))</f>
        <v/>
      </c>
      <c r="J500" s="0" t="s">
        <v>3909</v>
      </c>
      <c r="K500" s="0" t="n">
        <f aca="false">IF(M500=2,"",IF(ISNUMBER(SEARCH("rata-rata:",'Onshore - Sydney'!M372)),VALUE(MID('Onshore - Sydney'!M372,SEARCH("rata-rata:",'Onshore - Sydney'!M372)+11,FIND(";",'Onshore - Sydney'!M372&amp;";",SEARCH("rata-rata:",'Onshore - Sydney'!M372))-SEARCH("rata-rata:",'Onshore - Sydney'!M372)-11)),IF('Onshore - Sydney'!D372="Semester",'Onshore - Sydney'!E372*2,IF('Onshore - Sydney'!D372="Trimester",'Onshore - Sydney'!E372*3,IF('Onshore - Sydney'!D372="Term",'Onshore - Sydney'!E372*4,IF('Onshore - Sydney'!D372="Unit",'Onshore - Sydney'!E372*8,""))))))</f>
        <v>6000</v>
      </c>
      <c r="L500" s="0" t="n">
        <f aca="false">IF(AND(ISNUMBER('Onshore - Sydney'!E372),ISNUMBER(K500),ISNUMBER('Onshore - Sydney'!F372),ISNUMBER('Onshore - Sydney'!G372),OR('Onshore - Sydney'!F372&lt;&gt;0,ISNUMBER(SEARCH("Material 0 terverifikasi",'Onshore - Sydney'!M372))),OR('Onshore - Sydney'!G372&lt;&gt;0,ISNUMBER(SEARCH("Enrolment 0 terverifikasi",'Onshore - Sydney'!M372)))),1,0)</f>
        <v>0</v>
      </c>
      <c r="M500" s="0" t="n">
        <f aca="false">IF(OR('Onshore - Sydney'!E372="",ISNUMBER(SEARCH("BSB80120",'Onshore - Sydney'!B372&amp;'Onshore - Sydney'!M372)),ISNUMBER(SEARCH("Management (Learning)",'Onshore - Sydney'!B372))),2,IF(ISNUMBER(SEARCH("CEK:",'Onshore - Sydney'!M372)),1,0))</f>
        <v>0</v>
      </c>
    </row>
    <row r="501" customFormat="false" ht="15" hidden="false" customHeight="false" outlineLevel="0" collapsed="false">
      <c r="A501" s="63" t="s">
        <v>3533</v>
      </c>
      <c r="B501" s="64" t="s">
        <v>3833</v>
      </c>
      <c r="C501" s="63" t="s">
        <v>42</v>
      </c>
      <c r="D501" s="64" t="str">
        <f aca="false">TRIM(LEFT('Onshore - Sydney'!A373,FIND(CHAR(10),'Onshore - Sydney'!A373&amp;CHAR(10))-1))</f>
        <v>Berkeley Business Institute (BBI)</v>
      </c>
      <c r="E501" s="63" t="str">
        <f aca="false">'Onshore - Sydney'!C374&amp;""</f>
        <v>4,5 years</v>
      </c>
      <c r="F501" s="63" t="str">
        <f aca="false">IF('Onshore - Sydney'!D374="","Belum tercatat",'Onshore - Sydney'!D374)</f>
        <v>Term</v>
      </c>
      <c r="G501" s="65" t="n">
        <f aca="false">IF('Onshore - Sydney'!E374="","-",'Onshore - Sydney'!E374)</f>
        <v>1500</v>
      </c>
      <c r="H501" s="63" t="n">
        <f aca="false">IF(ISNUMBER(K501),COUNTIFS($J$6:$J$1916,J501,$K$6:$K$1916,"&lt;"&amp;K501)+1,"-")</f>
        <v>17</v>
      </c>
      <c r="I501" s="64" t="str">
        <f aca="false">IF('Onshore - Sydney'!E374="","Harga belum tersedia - hubungi konsultan TEG",IF(M501=2,"Saat ini tidak menerima pendaftaran siswa internasional baru",IF(M501=1,"Harga perlu dikonfirmasi ke sekolah"&amp;IF(""="","","; "&amp;""),"")))</f>
        <v>Harga perlu dikonfirmasi ke sekolah</v>
      </c>
      <c r="J501" s="0" t="s">
        <v>3909</v>
      </c>
      <c r="K501" s="0" t="n">
        <f aca="false">IF(M501=2,"",IF(ISNUMBER(SEARCH("rata-rata:",'Onshore - Sydney'!M374)),VALUE(MID('Onshore - Sydney'!M374,SEARCH("rata-rata:",'Onshore - Sydney'!M374)+11,FIND(";",'Onshore - Sydney'!M374&amp;";",SEARCH("rata-rata:",'Onshore - Sydney'!M374))-SEARCH("rata-rata:",'Onshore - Sydney'!M374)-11)),IF('Onshore - Sydney'!D374="Semester",'Onshore - Sydney'!E374*2,IF('Onshore - Sydney'!D374="Trimester",'Onshore - Sydney'!E374*3,IF('Onshore - Sydney'!D374="Term",'Onshore - Sydney'!E374*4,IF('Onshore - Sydney'!D374="Unit",'Onshore - Sydney'!E374*8,""))))))</f>
        <v>6000</v>
      </c>
      <c r="L501" s="0" t="n">
        <f aca="false">IF(AND(ISNUMBER('Onshore - Sydney'!E374),ISNUMBER(K501),ISNUMBER('Onshore - Sydney'!F374),ISNUMBER('Onshore - Sydney'!G374),OR('Onshore - Sydney'!F374&lt;&gt;0,ISNUMBER(SEARCH("Material 0 terverifikasi",'Onshore - Sydney'!M374))),OR('Onshore - Sydney'!G374&lt;&gt;0,ISNUMBER(SEARCH("Enrolment 0 terverifikasi",'Onshore - Sydney'!M374)))),1,0)</f>
        <v>1</v>
      </c>
      <c r="M501" s="0" t="n">
        <f aca="false">IF(OR('Onshore - Sydney'!E374="",ISNUMBER(SEARCH("BSB80120",'Onshore - Sydney'!B374&amp;'Onshore - Sydney'!M374)),ISNUMBER(SEARCH("Management (Learning)",'Onshore - Sydney'!B374))),2,IF(ISNUMBER(SEARCH("CEK:",'Onshore - Sydney'!M374)),1,0))</f>
        <v>1</v>
      </c>
    </row>
    <row r="502" customFormat="false" ht="15" hidden="false" customHeight="false" outlineLevel="0" collapsed="false">
      <c r="A502" s="63" t="s">
        <v>3533</v>
      </c>
      <c r="B502" s="64" t="s">
        <v>3833</v>
      </c>
      <c r="C502" s="63" t="s">
        <v>42</v>
      </c>
      <c r="D502" s="64" t="str">
        <f aca="false">TRIM(LEFT('Onshore - Sydney'!A437,FIND(CHAR(10),'Onshore - Sydney'!A437&amp;CHAR(10))-1))</f>
        <v>Collins Institute of Australia</v>
      </c>
      <c r="E502" s="63" t="str">
        <f aca="false">'Onshore - Sydney'!C438&amp;""</f>
        <v>4.5 years</v>
      </c>
      <c r="F502" s="63" t="str">
        <f aca="false">IF('Onshore - Sydney'!D438="","Belum tercatat",'Onshore - Sydney'!D438)</f>
        <v>Term</v>
      </c>
      <c r="G502" s="65" t="n">
        <f aca="false">IF('Onshore - Sydney'!E438="","-",'Onshore - Sydney'!E438)</f>
        <v>1500</v>
      </c>
      <c r="H502" s="63" t="n">
        <f aca="false">IF(ISNUMBER(K502),COUNTIFS($J$6:$J$1916,J502,$K$6:$K$1916,"&lt;"&amp;K502)+1,"-")</f>
        <v>17</v>
      </c>
      <c r="I502" s="64" t="str">
        <f aca="false">IF('Onshore - Sydney'!E438="","Harga belum tersedia - hubungi konsultan TEG",IF(M502=2,"Saat ini tidak menerima pendaftaran siswa internasional baru",IF(M502=1,"Harga perlu dikonfirmasi ke sekolah"&amp;IF(""="","","; "&amp;""),"")))</f>
        <v>Harga perlu dikonfirmasi ke sekolah</v>
      </c>
      <c r="J502" s="0" t="s">
        <v>3909</v>
      </c>
      <c r="K502" s="0" t="n">
        <f aca="false">IF(M502=2,"",IF(ISNUMBER(SEARCH("rata-rata:",'Onshore - Sydney'!M438)),VALUE(MID('Onshore - Sydney'!M438,SEARCH("rata-rata:",'Onshore - Sydney'!M438)+11,FIND(";",'Onshore - Sydney'!M438&amp;";",SEARCH("rata-rata:",'Onshore - Sydney'!M438))-SEARCH("rata-rata:",'Onshore - Sydney'!M438)-11)),IF('Onshore - Sydney'!D438="Semester",'Onshore - Sydney'!E438*2,IF('Onshore - Sydney'!D438="Trimester",'Onshore - Sydney'!E438*3,IF('Onshore - Sydney'!D438="Term",'Onshore - Sydney'!E438*4,IF('Onshore - Sydney'!D438="Unit",'Onshore - Sydney'!E438*8,""))))))</f>
        <v>6000</v>
      </c>
      <c r="L502" s="0" t="n">
        <f aca="false">IF(AND(ISNUMBER('Onshore - Sydney'!E438),ISNUMBER(K502),ISNUMBER('Onshore - Sydney'!F438),ISNUMBER('Onshore - Sydney'!G438),OR('Onshore - Sydney'!F438&lt;&gt;0,ISNUMBER(SEARCH("Material 0 terverifikasi",'Onshore - Sydney'!M438))),OR('Onshore - Sydney'!G438&lt;&gt;0,ISNUMBER(SEARCH("Enrolment 0 terverifikasi",'Onshore - Sydney'!M438)))),1,0)</f>
        <v>1</v>
      </c>
      <c r="M502" s="0" t="n">
        <f aca="false">IF(OR('Onshore - Sydney'!E438="",ISNUMBER(SEARCH("BSB80120",'Onshore - Sydney'!B438&amp;'Onshore - Sydney'!M438)),ISNUMBER(SEARCH("Management (Learning)",'Onshore - Sydney'!B438))),2,IF(ISNUMBER(SEARCH("CEK:",'Onshore - Sydney'!M438)),1,0))</f>
        <v>1</v>
      </c>
    </row>
    <row r="503" customFormat="false" ht="15" hidden="false" customHeight="false" outlineLevel="0" collapsed="false">
      <c r="A503" s="63" t="s">
        <v>3533</v>
      </c>
      <c r="B503" s="64" t="s">
        <v>3833</v>
      </c>
      <c r="C503" s="63" t="s">
        <v>42</v>
      </c>
      <c r="D503" s="64" t="str">
        <f aca="false">TRIM(LEFT('Onshore - Sydney'!A443,FIND(CHAR(10),'Onshore - Sydney'!A443&amp;CHAR(10))-1))</f>
        <v>ECA College</v>
      </c>
      <c r="E503" s="63" t="str">
        <f aca="false">'Onshore - Sydney'!C445&amp;""</f>
        <v>3 years</v>
      </c>
      <c r="F503" s="63" t="str">
        <f aca="false">IF('Onshore - Sydney'!D445="","Belum tercatat",'Onshore - Sydney'!D445)</f>
        <v>Term</v>
      </c>
      <c r="G503" s="65" t="n">
        <f aca="false">IF('Onshore - Sydney'!E445="","-",'Onshore - Sydney'!E445)</f>
        <v>1500</v>
      </c>
      <c r="H503" s="63" t="n">
        <f aca="false">IF(ISNUMBER(K503),COUNTIFS($J$6:$J$1916,J503,$K$6:$K$1916,"&lt;"&amp;K503)+1,"-")</f>
        <v>17</v>
      </c>
      <c r="I503" s="64" t="str">
        <f aca="false">IF('Onshore - Sydney'!E445="","Harga belum tersedia - hubungi konsultan TEG",IF(M503=2,"Saat ini tidak menerima pendaftaran siswa internasional baru",IF(M503=1,"Harga perlu dikonfirmasi ke sekolah"&amp;IF(""="","","; "&amp;""),"")))</f>
        <v/>
      </c>
      <c r="J503" s="0" t="s">
        <v>3909</v>
      </c>
      <c r="K503" s="0" t="n">
        <f aca="false">IF(M503=2,"",IF(ISNUMBER(SEARCH("rata-rata:",'Onshore - Sydney'!M445)),VALUE(MID('Onshore - Sydney'!M445,SEARCH("rata-rata:",'Onshore - Sydney'!M445)+11,FIND(";",'Onshore - Sydney'!M445&amp;";",SEARCH("rata-rata:",'Onshore - Sydney'!M445))-SEARCH("rata-rata:",'Onshore - Sydney'!M445)-11)),IF('Onshore - Sydney'!D445="Semester",'Onshore - Sydney'!E445*2,IF('Onshore - Sydney'!D445="Trimester",'Onshore - Sydney'!E445*3,IF('Onshore - Sydney'!D445="Term",'Onshore - Sydney'!E445*4,IF('Onshore - Sydney'!D445="Unit",'Onshore - Sydney'!E445*8,""))))))</f>
        <v>6000</v>
      </c>
      <c r="L503" s="0" t="n">
        <f aca="false">IF(AND(ISNUMBER('Onshore - Sydney'!E445),ISNUMBER(K503),ISNUMBER('Onshore - Sydney'!F445),ISNUMBER('Onshore - Sydney'!G445),OR('Onshore - Sydney'!F445&lt;&gt;0,ISNUMBER(SEARCH("Material 0 terverifikasi",'Onshore - Sydney'!M445))),OR('Onshore - Sydney'!G445&lt;&gt;0,ISNUMBER(SEARCH("Enrolment 0 terverifikasi",'Onshore - Sydney'!M445)))),1,0)</f>
        <v>0</v>
      </c>
      <c r="M503" s="0" t="n">
        <f aca="false">IF(OR('Onshore - Sydney'!E445="",ISNUMBER(SEARCH("BSB80120",'Onshore - Sydney'!B445&amp;'Onshore - Sydney'!M445)),ISNUMBER(SEARCH("Management (Learning)",'Onshore - Sydney'!B445))),2,IF(ISNUMBER(SEARCH("CEK:",'Onshore - Sydney'!M445)),1,0))</f>
        <v>0</v>
      </c>
    </row>
    <row r="504" customFormat="false" ht="15" hidden="false" customHeight="false" outlineLevel="0" collapsed="false">
      <c r="A504" s="63" t="s">
        <v>3533</v>
      </c>
      <c r="B504" s="64" t="s">
        <v>3833</v>
      </c>
      <c r="C504" s="63" t="s">
        <v>42</v>
      </c>
      <c r="D504" s="64" t="str">
        <f aca="false">TRIM(LEFT('Onshore - Sydney'!A451,FIND(CHAR(10),'Onshore - Sydney'!A451&amp;CHAR(10))-1))</f>
        <v>Eton College</v>
      </c>
      <c r="E504" s="63" t="str">
        <f aca="false">'Onshore - Sydney'!C453&amp;""</f>
        <v>4 years</v>
      </c>
      <c r="F504" s="63" t="str">
        <f aca="false">IF('Onshore - Sydney'!D453="","Belum tercatat",'Onshore - Sydney'!D453)</f>
        <v>Term</v>
      </c>
      <c r="G504" s="65" t="n">
        <f aca="false">IF('Onshore - Sydney'!E453="","-",'Onshore - Sydney'!E453)</f>
        <v>1500</v>
      </c>
      <c r="H504" s="63" t="n">
        <f aca="false">IF(ISNUMBER(K504),COUNTIFS($J$6:$J$1916,J504,$K$6:$K$1916,"&lt;"&amp;K504)+1,"-")</f>
        <v>17</v>
      </c>
      <c r="I504" s="64" t="str">
        <f aca="false">IF('Onshore - Sydney'!E453="","Harga belum tersedia - hubungi konsultan TEG",IF(M504=2,"Saat ini tidak menerima pendaftaran siswa internasional baru",IF(M504=1,"Harga perlu dikonfirmasi ke sekolah"&amp;IF(""="","","; "&amp;""),"")))</f>
        <v/>
      </c>
      <c r="J504" s="0" t="s">
        <v>3909</v>
      </c>
      <c r="K504" s="0" t="n">
        <f aca="false">IF(M504=2,"",IF(ISNUMBER(SEARCH("rata-rata:",'Onshore - Sydney'!M453)),VALUE(MID('Onshore - Sydney'!M453,SEARCH("rata-rata:",'Onshore - Sydney'!M453)+11,FIND(";",'Onshore - Sydney'!M453&amp;";",SEARCH("rata-rata:",'Onshore - Sydney'!M453))-SEARCH("rata-rata:",'Onshore - Sydney'!M453)-11)),IF('Onshore - Sydney'!D453="Semester",'Onshore - Sydney'!E453*2,IF('Onshore - Sydney'!D453="Trimester",'Onshore - Sydney'!E453*3,IF('Onshore - Sydney'!D453="Term",'Onshore - Sydney'!E453*4,IF('Onshore - Sydney'!D453="Unit",'Onshore - Sydney'!E453*8,""))))))</f>
        <v>6000</v>
      </c>
      <c r="L504" s="0" t="n">
        <f aca="false">IF(AND(ISNUMBER('Onshore - Sydney'!E453),ISNUMBER(K504),ISNUMBER('Onshore - Sydney'!F453),ISNUMBER('Onshore - Sydney'!G453),OR('Onshore - Sydney'!F453&lt;&gt;0,ISNUMBER(SEARCH("Material 0 terverifikasi",'Onshore - Sydney'!M453))),OR('Onshore - Sydney'!G453&lt;&gt;0,ISNUMBER(SEARCH("Enrolment 0 terverifikasi",'Onshore - Sydney'!M453)))),1,0)</f>
        <v>1</v>
      </c>
      <c r="M504" s="0" t="n">
        <f aca="false">IF(OR('Onshore - Sydney'!E453="",ISNUMBER(SEARCH("BSB80120",'Onshore - Sydney'!B453&amp;'Onshore - Sydney'!M453)),ISNUMBER(SEARCH("Management (Learning)",'Onshore - Sydney'!B453))),2,IF(ISNUMBER(SEARCH("CEK:",'Onshore - Sydney'!M453)),1,0))</f>
        <v>0</v>
      </c>
    </row>
    <row r="505" customFormat="false" ht="15" hidden="false" customHeight="false" outlineLevel="0" collapsed="false">
      <c r="A505" s="63" t="s">
        <v>3533</v>
      </c>
      <c r="B505" s="64" t="s">
        <v>3833</v>
      </c>
      <c r="C505" s="63" t="s">
        <v>42</v>
      </c>
      <c r="D505" s="64" t="str">
        <f aca="false">TRIM(LEFT('Onshore - Sydney'!A472,FIND(CHAR(10),'Onshore - Sydney'!A472&amp;CHAR(10))-1))</f>
        <v>George Brown College</v>
      </c>
      <c r="E505" s="63" t="str">
        <f aca="false">'Onshore - Sydney'!C473&amp;""</f>
        <v>4 years</v>
      </c>
      <c r="F505" s="63" t="str">
        <f aca="false">IF('Onshore - Sydney'!D473="","Belum tercatat",'Onshore - Sydney'!D473)</f>
        <v>Term</v>
      </c>
      <c r="G505" s="65" t="n">
        <f aca="false">IF('Onshore - Sydney'!E473="","-",'Onshore - Sydney'!E473)</f>
        <v>1500</v>
      </c>
      <c r="H505" s="63" t="n">
        <f aca="false">IF(ISNUMBER(K505),COUNTIFS($J$6:$J$1916,J505,$K$6:$K$1916,"&lt;"&amp;K505)+1,"-")</f>
        <v>17</v>
      </c>
      <c r="I505" s="64" t="str">
        <f aca="false">IF('Onshore - Sydney'!E473="","Harga belum tersedia - hubungi konsultan TEG",IF(M505=2,"Saat ini tidak menerima pendaftaran siswa internasional baru",IF(M505=1,"Harga perlu dikonfirmasi ke sekolah"&amp;IF(""="","","; "&amp;""),"")))</f>
        <v/>
      </c>
      <c r="J505" s="0" t="s">
        <v>3909</v>
      </c>
      <c r="K505" s="0" t="n">
        <f aca="false">IF(M505=2,"",IF(ISNUMBER(SEARCH("rata-rata:",'Onshore - Sydney'!M473)),VALUE(MID('Onshore - Sydney'!M473,SEARCH("rata-rata:",'Onshore - Sydney'!M473)+11,FIND(";",'Onshore - Sydney'!M473&amp;";",SEARCH("rata-rata:",'Onshore - Sydney'!M473))-SEARCH("rata-rata:",'Onshore - Sydney'!M473)-11)),IF('Onshore - Sydney'!D473="Semester",'Onshore - Sydney'!E473*2,IF('Onshore - Sydney'!D473="Trimester",'Onshore - Sydney'!E473*3,IF('Onshore - Sydney'!D473="Term",'Onshore - Sydney'!E473*4,IF('Onshore - Sydney'!D473="Unit",'Onshore - Sydney'!E473*8,""))))))</f>
        <v>6000</v>
      </c>
      <c r="L505" s="0" t="n">
        <f aca="false">IF(AND(ISNUMBER('Onshore - Sydney'!E473),ISNUMBER(K505),ISNUMBER('Onshore - Sydney'!F473),ISNUMBER('Onshore - Sydney'!G473),OR('Onshore - Sydney'!F473&lt;&gt;0,ISNUMBER(SEARCH("Material 0 terverifikasi",'Onshore - Sydney'!M473))),OR('Onshore - Sydney'!G473&lt;&gt;0,ISNUMBER(SEARCH("Enrolment 0 terverifikasi",'Onshore - Sydney'!M473)))),1,0)</f>
        <v>1</v>
      </c>
      <c r="M505" s="0" t="n">
        <f aca="false">IF(OR('Onshore - Sydney'!E473="",ISNUMBER(SEARCH("BSB80120",'Onshore - Sydney'!B473&amp;'Onshore - Sydney'!M473)),ISNUMBER(SEARCH("Management (Learning)",'Onshore - Sydney'!B473))),2,IF(ISNUMBER(SEARCH("CEK:",'Onshore - Sydney'!M473)),1,0))</f>
        <v>0</v>
      </c>
    </row>
    <row r="506" customFormat="false" ht="15" hidden="false" customHeight="false" outlineLevel="0" collapsed="false">
      <c r="A506" s="63" t="s">
        <v>3533</v>
      </c>
      <c r="B506" s="64" t="s">
        <v>3833</v>
      </c>
      <c r="C506" s="63" t="s">
        <v>42</v>
      </c>
      <c r="D506" s="64" t="str">
        <f aca="false">TRIM(LEFT('Onshore - Sydney'!A624,FIND(CHAR(10),'Onshore - Sydney'!A624&amp;CHAR(10))-1))</f>
        <v>Le Rosey Hospitality Institute</v>
      </c>
      <c r="E506" s="63" t="str">
        <f aca="false">'Onshore - Sydney'!C629&amp;""</f>
        <v>3,5 years</v>
      </c>
      <c r="F506" s="63" t="str">
        <f aca="false">IF('Onshore - Sydney'!D629="","Belum tercatat",'Onshore - Sydney'!D629)</f>
        <v>Term</v>
      </c>
      <c r="G506" s="65" t="n">
        <f aca="false">IF('Onshore - Sydney'!E629="","-",'Onshore - Sydney'!E629)</f>
        <v>1500</v>
      </c>
      <c r="H506" s="63" t="n">
        <f aca="false">IF(ISNUMBER(K506),COUNTIFS($J$6:$J$1916,J506,$K$6:$K$1916,"&lt;"&amp;K506)+1,"-")</f>
        <v>17</v>
      </c>
      <c r="I506" s="64" t="str">
        <f aca="false">IF('Onshore - Sydney'!E629="","Harga belum tersedia - hubungi konsultan TEG",IF(M506=2,"Saat ini tidak menerima pendaftaran siswa internasional baru",IF(M506=1,"Harga perlu dikonfirmasi ke sekolah"&amp;IF(""="","","; "&amp;""),"")))</f>
        <v>Harga perlu dikonfirmasi ke sekolah</v>
      </c>
      <c r="J506" s="0" t="s">
        <v>3909</v>
      </c>
      <c r="K506" s="0" t="n">
        <f aca="false">IF(M506=2,"",IF(ISNUMBER(SEARCH("rata-rata:",'Onshore - Sydney'!M629)),VALUE(MID('Onshore - Sydney'!M629,SEARCH("rata-rata:",'Onshore - Sydney'!M629)+11,FIND(";",'Onshore - Sydney'!M629&amp;";",SEARCH("rata-rata:",'Onshore - Sydney'!M629))-SEARCH("rata-rata:",'Onshore - Sydney'!M629)-11)),IF('Onshore - Sydney'!D629="Semester",'Onshore - Sydney'!E629*2,IF('Onshore - Sydney'!D629="Trimester",'Onshore - Sydney'!E629*3,IF('Onshore - Sydney'!D629="Term",'Onshore - Sydney'!E629*4,IF('Onshore - Sydney'!D629="Unit",'Onshore - Sydney'!E629*8,""))))))</f>
        <v>6000</v>
      </c>
      <c r="L506" s="0" t="n">
        <f aca="false">IF(AND(ISNUMBER('Onshore - Sydney'!E629),ISNUMBER(K506),ISNUMBER('Onshore - Sydney'!F629),ISNUMBER('Onshore - Sydney'!G629),OR('Onshore - Sydney'!F629&lt;&gt;0,ISNUMBER(SEARCH("Material 0 terverifikasi",'Onshore - Sydney'!M629))),OR('Onshore - Sydney'!G629&lt;&gt;0,ISNUMBER(SEARCH("Enrolment 0 terverifikasi",'Onshore - Sydney'!M629)))),1,0)</f>
        <v>1</v>
      </c>
      <c r="M506" s="0" t="n">
        <f aca="false">IF(OR('Onshore - Sydney'!E629="",ISNUMBER(SEARCH("BSB80120",'Onshore - Sydney'!B629&amp;'Onshore - Sydney'!M629)),ISNUMBER(SEARCH("Management (Learning)",'Onshore - Sydney'!B629))),2,IF(ISNUMBER(SEARCH("CEK:",'Onshore - Sydney'!M629)),1,0))</f>
        <v>1</v>
      </c>
    </row>
    <row r="507" customFormat="false" ht="15" hidden="false" customHeight="false" outlineLevel="0" collapsed="false">
      <c r="A507" s="63" t="s">
        <v>3533</v>
      </c>
      <c r="B507" s="64" t="s">
        <v>3833</v>
      </c>
      <c r="C507" s="63" t="s">
        <v>42</v>
      </c>
      <c r="D507" s="64" t="str">
        <f aca="false">TRIM(LEFT('Onshore - Sydney'!A630,FIND(CHAR(10),'Onshore - Sydney'!A630&amp;CHAR(10))-1))</f>
        <v>Legend Institute</v>
      </c>
      <c r="E507" s="63" t="str">
        <f aca="false">'Onshore - Sydney'!C645&amp;""</f>
        <v>2 years</v>
      </c>
      <c r="F507" s="63" t="str">
        <f aca="false">IF('Onshore - Sydney'!D645="","Belum tercatat",'Onshore - Sydney'!D645)</f>
        <v>Term</v>
      </c>
      <c r="G507" s="65" t="n">
        <f aca="false">IF('Onshore - Sydney'!E645="","-",'Onshore - Sydney'!E645)</f>
        <v>1500</v>
      </c>
      <c r="H507" s="63" t="n">
        <f aca="false">IF(ISNUMBER(K507),COUNTIFS($J$6:$J$1916,J507,$K$6:$K$1916,"&lt;"&amp;K507)+1,"-")</f>
        <v>17</v>
      </c>
      <c r="I507" s="64" t="str">
        <f aca="false">IF('Onshore - Sydney'!E645="","Harga belum tersedia - hubungi konsultan TEG",IF(M507=2,"Saat ini tidak menerima pendaftaran siswa internasional baru",IF(M507=1,"Harga perlu dikonfirmasi ke sekolah"&amp;IF(""="","","; "&amp;""),"")))</f>
        <v>Harga perlu dikonfirmasi ke sekolah</v>
      </c>
      <c r="J507" s="0" t="s">
        <v>3909</v>
      </c>
      <c r="K507" s="0" t="n">
        <f aca="false">IF(M507=2,"",IF(ISNUMBER(SEARCH("rata-rata:",'Onshore - Sydney'!M645)),VALUE(MID('Onshore - Sydney'!M645,SEARCH("rata-rata:",'Onshore - Sydney'!M645)+11,FIND(";",'Onshore - Sydney'!M645&amp;";",SEARCH("rata-rata:",'Onshore - Sydney'!M645))-SEARCH("rata-rata:",'Onshore - Sydney'!M645)-11)),IF('Onshore - Sydney'!D645="Semester",'Onshore - Sydney'!E645*2,IF('Onshore - Sydney'!D645="Trimester",'Onshore - Sydney'!E645*3,IF('Onshore - Sydney'!D645="Term",'Onshore - Sydney'!E645*4,IF('Onshore - Sydney'!D645="Unit",'Onshore - Sydney'!E645*8,""))))))</f>
        <v>6000</v>
      </c>
      <c r="L507" s="0" t="n">
        <f aca="false">IF(AND(ISNUMBER('Onshore - Sydney'!E645),ISNUMBER(K507),ISNUMBER('Onshore - Sydney'!F645),ISNUMBER('Onshore - Sydney'!G645),OR('Onshore - Sydney'!F645&lt;&gt;0,ISNUMBER(SEARCH("Material 0 terverifikasi",'Onshore - Sydney'!M645))),OR('Onshore - Sydney'!G645&lt;&gt;0,ISNUMBER(SEARCH("Enrolment 0 terverifikasi",'Onshore - Sydney'!M645)))),1,0)</f>
        <v>1</v>
      </c>
      <c r="M507" s="0" t="n">
        <f aca="false">IF(OR('Onshore - Sydney'!E645="",ISNUMBER(SEARCH("BSB80120",'Onshore - Sydney'!B645&amp;'Onshore - Sydney'!M645)),ISNUMBER(SEARCH("Management (Learning)",'Onshore - Sydney'!B645))),2,IF(ISNUMBER(SEARCH("CEK:",'Onshore - Sydney'!M645)),1,0))</f>
        <v>1</v>
      </c>
    </row>
    <row r="508" customFormat="false" ht="15" hidden="false" customHeight="false" outlineLevel="0" collapsed="false">
      <c r="A508" s="63" t="s">
        <v>3533</v>
      </c>
      <c r="B508" s="64" t="s">
        <v>3833</v>
      </c>
      <c r="C508" s="63" t="s">
        <v>42</v>
      </c>
      <c r="D508" s="64" t="str">
        <f aca="false">TRIM(LEFT('Onshore - Sydney'!A728,FIND(CHAR(10),'Onshore - Sydney'!A728&amp;CHAR(10))-1))</f>
        <v>Rosehill College</v>
      </c>
      <c r="E508" s="63" t="str">
        <f aca="false">'Onshore - Sydney'!C736&amp;""</f>
        <v>3 years</v>
      </c>
      <c r="F508" s="63" t="str">
        <f aca="false">IF('Onshore - Sydney'!D736="","Belum tercatat",'Onshore - Sydney'!D736)</f>
        <v>Term</v>
      </c>
      <c r="G508" s="65" t="n">
        <f aca="false">IF('Onshore - Sydney'!E736="","-",'Onshore - Sydney'!E736)</f>
        <v>1500</v>
      </c>
      <c r="H508" s="63" t="n">
        <f aca="false">IF(ISNUMBER(K508),COUNTIFS($J$6:$J$1916,J508,$K$6:$K$1916,"&lt;"&amp;K508)+1,"-")</f>
        <v>17</v>
      </c>
      <c r="I508" s="64" t="str">
        <f aca="false">IF('Onshore - Sydney'!E736="","Harga belum tersedia - hubungi konsultan TEG",IF(M508=2,"Saat ini tidak menerima pendaftaran siswa internasional baru",IF(M508=1,"Harga perlu dikonfirmasi ke sekolah"&amp;IF(""="","","; "&amp;""),"")))</f>
        <v/>
      </c>
      <c r="J508" s="0" t="s">
        <v>3909</v>
      </c>
      <c r="K508" s="0" t="n">
        <f aca="false">IF(M508=2,"",IF(ISNUMBER(SEARCH("rata-rata:",'Onshore - Sydney'!M736)),VALUE(MID('Onshore - Sydney'!M736,SEARCH("rata-rata:",'Onshore - Sydney'!M736)+11,FIND(";",'Onshore - Sydney'!M736&amp;";",SEARCH("rata-rata:",'Onshore - Sydney'!M736))-SEARCH("rata-rata:",'Onshore - Sydney'!M736)-11)),IF('Onshore - Sydney'!D736="Semester",'Onshore - Sydney'!E736*2,IF('Onshore - Sydney'!D736="Trimester",'Onshore - Sydney'!E736*3,IF('Onshore - Sydney'!D736="Term",'Onshore - Sydney'!E736*4,IF('Onshore - Sydney'!D736="Unit",'Onshore - Sydney'!E736*8,""))))))</f>
        <v>6000</v>
      </c>
      <c r="L508" s="0" t="n">
        <f aca="false">IF(AND(ISNUMBER('Onshore - Sydney'!E736),ISNUMBER(K508),ISNUMBER('Onshore - Sydney'!F736),ISNUMBER('Onshore - Sydney'!G736),OR('Onshore - Sydney'!F736&lt;&gt;0,ISNUMBER(SEARCH("Material 0 terverifikasi",'Onshore - Sydney'!M736))),OR('Onshore - Sydney'!G736&lt;&gt;0,ISNUMBER(SEARCH("Enrolment 0 terverifikasi",'Onshore - Sydney'!M736)))),1,0)</f>
        <v>1</v>
      </c>
      <c r="M508" s="0" t="n">
        <f aca="false">IF(OR('Onshore - Sydney'!E736="",ISNUMBER(SEARCH("BSB80120",'Onshore - Sydney'!B736&amp;'Onshore - Sydney'!M736)),ISNUMBER(SEARCH("Management (Learning)",'Onshore - Sydney'!B736))),2,IF(ISNUMBER(SEARCH("CEK:",'Onshore - Sydney'!M736)),1,0))</f>
        <v>0</v>
      </c>
    </row>
    <row r="509" customFormat="false" ht="28.35" hidden="false" customHeight="false" outlineLevel="0" collapsed="false">
      <c r="A509" s="63" t="s">
        <v>3533</v>
      </c>
      <c r="B509" s="64" t="s">
        <v>3833</v>
      </c>
      <c r="C509" s="63" t="s">
        <v>42</v>
      </c>
      <c r="D509" s="64" t="str">
        <f aca="false">TRIM(LEFT('Onshore - Sydney'!A763,FIND(CHAR(10),'Onshore - Sydney'!A763&amp;CHAR(10))-1))</f>
        <v>Sydney College of Professional Education (SCPE)</v>
      </c>
      <c r="E509" s="63" t="str">
        <f aca="false">'Onshore - Sydney'!C766&amp;""</f>
        <v>3 years</v>
      </c>
      <c r="F509" s="63" t="str">
        <f aca="false">IF('Onshore - Sydney'!D766="","Belum tercatat",'Onshore - Sydney'!D766)</f>
        <v>Term</v>
      </c>
      <c r="G509" s="65" t="n">
        <f aca="false">IF('Onshore - Sydney'!E766="","-",'Onshore - Sydney'!E766)</f>
        <v>1500</v>
      </c>
      <c r="H509" s="63" t="n">
        <f aca="false">IF(ISNUMBER(K509),COUNTIFS($J$6:$J$1916,J509,$K$6:$K$1916,"&lt;"&amp;K509)+1,"-")</f>
        <v>17</v>
      </c>
      <c r="I509" s="64" t="str">
        <f aca="false">IF('Onshore - Sydney'!E766="","Harga belum tersedia - hubungi konsultan TEG",IF(M509=2,"Saat ini tidak menerima pendaftaran siswa internasional baru",IF(M509=1,"Harga perlu dikonfirmasi ke sekolah"&amp;IF(""="","","; "&amp;""),"")))</f>
        <v>Harga perlu dikonfirmasi ke sekolah</v>
      </c>
      <c r="J509" s="0" t="s">
        <v>3909</v>
      </c>
      <c r="K509" s="0" t="n">
        <f aca="false">IF(M509=2,"",IF(ISNUMBER(SEARCH("rata-rata:",'Onshore - Sydney'!M766)),VALUE(MID('Onshore - Sydney'!M766,SEARCH("rata-rata:",'Onshore - Sydney'!M766)+11,FIND(";",'Onshore - Sydney'!M766&amp;";",SEARCH("rata-rata:",'Onshore - Sydney'!M766))-SEARCH("rata-rata:",'Onshore - Sydney'!M766)-11)),IF('Onshore - Sydney'!D766="Semester",'Onshore - Sydney'!E766*2,IF('Onshore - Sydney'!D766="Trimester",'Onshore - Sydney'!E766*3,IF('Onshore - Sydney'!D766="Term",'Onshore - Sydney'!E766*4,IF('Onshore - Sydney'!D766="Unit",'Onshore - Sydney'!E766*8,""))))))</f>
        <v>6000</v>
      </c>
      <c r="L509" s="0" t="n">
        <f aca="false">IF(AND(ISNUMBER('Onshore - Sydney'!E766),ISNUMBER(K509),ISNUMBER('Onshore - Sydney'!F766),ISNUMBER('Onshore - Sydney'!G766),OR('Onshore - Sydney'!F766&lt;&gt;0,ISNUMBER(SEARCH("Material 0 terverifikasi",'Onshore - Sydney'!M766))),OR('Onshore - Sydney'!G766&lt;&gt;0,ISNUMBER(SEARCH("Enrolment 0 terverifikasi",'Onshore - Sydney'!M766)))),1,0)</f>
        <v>1</v>
      </c>
      <c r="M509" s="0" t="n">
        <f aca="false">IF(OR('Onshore - Sydney'!E766="",ISNUMBER(SEARCH("BSB80120",'Onshore - Sydney'!B766&amp;'Onshore - Sydney'!M766)),ISNUMBER(SEARCH("Management (Learning)",'Onshore - Sydney'!B766))),2,IF(ISNUMBER(SEARCH("CEK:",'Onshore - Sydney'!M766)),1,0))</f>
        <v>1</v>
      </c>
    </row>
    <row r="510" customFormat="false" ht="15" hidden="false" customHeight="false" outlineLevel="0" collapsed="false">
      <c r="A510" s="63" t="s">
        <v>3533</v>
      </c>
      <c r="B510" s="64" t="s">
        <v>3833</v>
      </c>
      <c r="C510" s="63" t="s">
        <v>42</v>
      </c>
      <c r="D510" s="64" t="str">
        <f aca="false">TRIM(LEFT('Onshore - Sydney'!A875,FIND(CHAR(10),'Onshore - Sydney'!A875&amp;CHAR(10))-1))</f>
        <v>Times Academy</v>
      </c>
      <c r="E510" s="63" t="str">
        <f aca="false">'Onshore - Sydney'!C877&amp;""</f>
        <v>3 years</v>
      </c>
      <c r="F510" s="63" t="str">
        <f aca="false">IF('Onshore - Sydney'!D877="","Belum tercatat",'Onshore - Sydney'!D877)</f>
        <v>Term</v>
      </c>
      <c r="G510" s="65" t="n">
        <f aca="false">IF('Onshore - Sydney'!E877="","-",'Onshore - Sydney'!E877)</f>
        <v>1500</v>
      </c>
      <c r="H510" s="63" t="n">
        <f aca="false">IF(ISNUMBER(K510),COUNTIFS($J$6:$J$1916,J510,$K$6:$K$1916,"&lt;"&amp;K510)+1,"-")</f>
        <v>17</v>
      </c>
      <c r="I510" s="64" t="str">
        <f aca="false">IF('Onshore - Sydney'!E877="","Harga belum tersedia - hubungi konsultan TEG",IF(M510=2,"Saat ini tidak menerima pendaftaran siswa internasional baru",IF(M510=1,"Harga perlu dikonfirmasi ke sekolah"&amp;IF(""="","","; "&amp;""),"")))</f>
        <v/>
      </c>
      <c r="J510" s="0" t="s">
        <v>3909</v>
      </c>
      <c r="K510" s="0" t="n">
        <f aca="false">IF(M510=2,"",IF(ISNUMBER(SEARCH("rata-rata:",'Onshore - Sydney'!M877)),VALUE(MID('Onshore - Sydney'!M877,SEARCH("rata-rata:",'Onshore - Sydney'!M877)+11,FIND(";",'Onshore - Sydney'!M877&amp;";",SEARCH("rata-rata:",'Onshore - Sydney'!M877))-SEARCH("rata-rata:",'Onshore - Sydney'!M877)-11)),IF('Onshore - Sydney'!D877="Semester",'Onshore - Sydney'!E877*2,IF('Onshore - Sydney'!D877="Trimester",'Onshore - Sydney'!E877*3,IF('Onshore - Sydney'!D877="Term",'Onshore - Sydney'!E877*4,IF('Onshore - Sydney'!D877="Unit",'Onshore - Sydney'!E877*8,""))))))</f>
        <v>6000</v>
      </c>
      <c r="L510" s="0" t="n">
        <f aca="false">IF(AND(ISNUMBER('Onshore - Sydney'!E877),ISNUMBER(K510),ISNUMBER('Onshore - Sydney'!F877),ISNUMBER('Onshore - Sydney'!G877),OR('Onshore - Sydney'!F877&lt;&gt;0,ISNUMBER(SEARCH("Material 0 terverifikasi",'Onshore - Sydney'!M877))),OR('Onshore - Sydney'!G877&lt;&gt;0,ISNUMBER(SEARCH("Enrolment 0 terverifikasi",'Onshore - Sydney'!M877)))),1,0)</f>
        <v>1</v>
      </c>
      <c r="M510" s="0" t="n">
        <f aca="false">IF(OR('Onshore - Sydney'!E877="",ISNUMBER(SEARCH("BSB80120",'Onshore - Sydney'!B877&amp;'Onshore - Sydney'!M877)),ISNUMBER(SEARCH("Management (Learning)",'Onshore - Sydney'!B877))),2,IF(ISNUMBER(SEARCH("CEK:",'Onshore - Sydney'!M877)),1,0))</f>
        <v>0</v>
      </c>
    </row>
    <row r="511" customFormat="false" ht="28.35" hidden="false" customHeight="false" outlineLevel="0" collapsed="false">
      <c r="A511" s="63" t="s">
        <v>3533</v>
      </c>
      <c r="B511" s="64" t="s">
        <v>3833</v>
      </c>
      <c r="C511" s="63" t="s">
        <v>42</v>
      </c>
      <c r="D511" s="64" t="str">
        <f aca="false">TRIM(LEFT('Onshore - Sydney'!A881,FIND(CHAR(10),'Onshore - Sydney'!A881&amp;CHAR(10))-1))</f>
        <v>TKL College (Training for Knowledge and Livelihood)</v>
      </c>
      <c r="E511" s="63" t="str">
        <f aca="false">'Onshore - Sydney'!C883&amp;""</f>
        <v>3,5 years</v>
      </c>
      <c r="F511" s="63" t="str">
        <f aca="false">IF('Onshore - Sydney'!D883="","Belum tercatat",'Onshore - Sydney'!D883)</f>
        <v>Term</v>
      </c>
      <c r="G511" s="65" t="n">
        <f aca="false">IF('Onshore - Sydney'!E883="","-",'Onshore - Sydney'!E883)</f>
        <v>1500</v>
      </c>
      <c r="H511" s="63" t="n">
        <f aca="false">IF(ISNUMBER(K511),COUNTIFS($J$6:$J$1916,J511,$K$6:$K$1916,"&lt;"&amp;K511)+1,"-")</f>
        <v>17</v>
      </c>
      <c r="I511" s="64" t="str">
        <f aca="false">IF('Onshore - Sydney'!E883="","Harga belum tersedia - hubungi konsultan TEG",IF(M511=2,"Saat ini tidak menerima pendaftaran siswa internasional baru",IF(M511=1,"Harga perlu dikonfirmasi ke sekolah"&amp;IF(""="","","; "&amp;""),"")))</f>
        <v/>
      </c>
      <c r="J511" s="0" t="s">
        <v>3909</v>
      </c>
      <c r="K511" s="0" t="n">
        <f aca="false">IF(M511=2,"",IF(ISNUMBER(SEARCH("rata-rata:",'Onshore - Sydney'!M883)),VALUE(MID('Onshore - Sydney'!M883,SEARCH("rata-rata:",'Onshore - Sydney'!M883)+11,FIND(";",'Onshore - Sydney'!M883&amp;";",SEARCH("rata-rata:",'Onshore - Sydney'!M883))-SEARCH("rata-rata:",'Onshore - Sydney'!M883)-11)),IF('Onshore - Sydney'!D883="Semester",'Onshore - Sydney'!E883*2,IF('Onshore - Sydney'!D883="Trimester",'Onshore - Sydney'!E883*3,IF('Onshore - Sydney'!D883="Term",'Onshore - Sydney'!E883*4,IF('Onshore - Sydney'!D883="Unit",'Onshore - Sydney'!E883*8,""))))))</f>
        <v>6000</v>
      </c>
      <c r="L511" s="0" t="n">
        <f aca="false">IF(AND(ISNUMBER('Onshore - Sydney'!E883),ISNUMBER(K511),ISNUMBER('Onshore - Sydney'!F883),ISNUMBER('Onshore - Sydney'!G883),OR('Onshore - Sydney'!F883&lt;&gt;0,ISNUMBER(SEARCH("Material 0 terverifikasi",'Onshore - Sydney'!M883))),OR('Onshore - Sydney'!G883&lt;&gt;0,ISNUMBER(SEARCH("Enrolment 0 terverifikasi",'Onshore - Sydney'!M883)))),1,0)</f>
        <v>1</v>
      </c>
      <c r="M511" s="0" t="n">
        <f aca="false">IF(OR('Onshore - Sydney'!E883="",ISNUMBER(SEARCH("BSB80120",'Onshore - Sydney'!B883&amp;'Onshore - Sydney'!M883)),ISNUMBER(SEARCH("Management (Learning)",'Onshore - Sydney'!B883))),2,IF(ISNUMBER(SEARCH("CEK:",'Onshore - Sydney'!M883)),1,0))</f>
        <v>0</v>
      </c>
    </row>
    <row r="512" customFormat="false" ht="15" hidden="false" customHeight="false" outlineLevel="0" collapsed="false">
      <c r="A512" s="63" t="s">
        <v>3533</v>
      </c>
      <c r="B512" s="64" t="s">
        <v>3833</v>
      </c>
      <c r="C512" s="63" t="s">
        <v>42</v>
      </c>
      <c r="D512" s="64" t="str">
        <f aca="false">TRIM(LEFT('Onshore - Sydney'!A1016,FIND(CHAR(10),'Onshore - Sydney'!A1016&amp;CHAR(10))-1))</f>
        <v>Victory Institute</v>
      </c>
      <c r="E512" s="63" t="str">
        <f aca="false">'Onshore - Sydney'!C1019&amp;""</f>
        <v>4.5 years</v>
      </c>
      <c r="F512" s="63" t="str">
        <f aca="false">IF('Onshore - Sydney'!D1019="","Belum tercatat",'Onshore - Sydney'!D1019)</f>
        <v>Term</v>
      </c>
      <c r="G512" s="65" t="n">
        <f aca="false">IF('Onshore - Sydney'!E1019="","-",'Onshore - Sydney'!E1019)</f>
        <v>1500</v>
      </c>
      <c r="H512" s="63" t="n">
        <f aca="false">IF(ISNUMBER(K512),COUNTIFS($J$6:$J$1916,J512,$K$6:$K$1916,"&lt;"&amp;K512)+1,"-")</f>
        <v>17</v>
      </c>
      <c r="I512" s="64" t="str">
        <f aca="false">IF('Onshore - Sydney'!E1019="","Harga belum tersedia - hubungi konsultan TEG",IF(M512=2,"Saat ini tidak menerima pendaftaran siswa internasional baru",IF(M512=1,"Harga perlu dikonfirmasi ke sekolah"&amp;IF(""="","","; "&amp;""),"")))</f>
        <v/>
      </c>
      <c r="J512" s="0" t="s">
        <v>3909</v>
      </c>
      <c r="K512" s="0" t="n">
        <f aca="false">IF(M512=2,"",IF(ISNUMBER(SEARCH("rata-rata:",'Onshore - Sydney'!M1019)),VALUE(MID('Onshore - Sydney'!M1019,SEARCH("rata-rata:",'Onshore - Sydney'!M1019)+11,FIND(";",'Onshore - Sydney'!M1019&amp;";",SEARCH("rata-rata:",'Onshore - Sydney'!M1019))-SEARCH("rata-rata:",'Onshore - Sydney'!M1019)-11)),IF('Onshore - Sydney'!D1019="Semester",'Onshore - Sydney'!E1019*2,IF('Onshore - Sydney'!D1019="Trimester",'Onshore - Sydney'!E1019*3,IF('Onshore - Sydney'!D1019="Term",'Onshore - Sydney'!E1019*4,IF('Onshore - Sydney'!D1019="Unit",'Onshore - Sydney'!E1019*8,""))))))</f>
        <v>6000</v>
      </c>
      <c r="L512" s="0" t="n">
        <f aca="false">IF(AND(ISNUMBER('Onshore - Sydney'!E1019),ISNUMBER(K512),ISNUMBER('Onshore - Sydney'!F1019),ISNUMBER('Onshore - Sydney'!G1019),OR('Onshore - Sydney'!F1019&lt;&gt;0,ISNUMBER(SEARCH("Material 0 terverifikasi",'Onshore - Sydney'!M1019))),OR('Onshore - Sydney'!G1019&lt;&gt;0,ISNUMBER(SEARCH("Enrolment 0 terverifikasi",'Onshore - Sydney'!M1019)))),1,0)</f>
        <v>1</v>
      </c>
      <c r="M512" s="0" t="n">
        <f aca="false">IF(OR('Onshore - Sydney'!E1019="",ISNUMBER(SEARCH("BSB80120",'Onshore - Sydney'!B1019&amp;'Onshore - Sydney'!M1019)),ISNUMBER(SEARCH("Management (Learning)",'Onshore - Sydney'!B1019))),2,IF(ISNUMBER(SEARCH("CEK:",'Onshore - Sydney'!M1019)),1,0))</f>
        <v>0</v>
      </c>
    </row>
    <row r="513" customFormat="false" ht="15" hidden="false" customHeight="false" outlineLevel="0" collapsed="false">
      <c r="A513" s="63" t="s">
        <v>3533</v>
      </c>
      <c r="B513" s="64" t="s">
        <v>3833</v>
      </c>
      <c r="C513" s="63" t="s">
        <v>42</v>
      </c>
      <c r="D513" s="64" t="str">
        <f aca="false">TRIM(LEFT('Onshore - Sydney'!A1028,FIND(CHAR(10),'Onshore - Sydney'!A1028&amp;CHAR(10))-1))</f>
        <v>Warwick Institute of Australia</v>
      </c>
      <c r="E513" s="63" t="str">
        <f aca="false">'Onshore - Sydney'!C1031&amp;""</f>
        <v>4 years</v>
      </c>
      <c r="F513" s="63" t="str">
        <f aca="false">IF('Onshore - Sydney'!D1031="","Belum tercatat",'Onshore - Sydney'!D1031)</f>
        <v>Term</v>
      </c>
      <c r="G513" s="65" t="n">
        <f aca="false">IF('Onshore - Sydney'!E1031="","-",'Onshore - Sydney'!E1031)</f>
        <v>1500</v>
      </c>
      <c r="H513" s="63" t="n">
        <f aca="false">IF(ISNUMBER(K513),COUNTIFS($J$6:$J$1916,J513,$K$6:$K$1916,"&lt;"&amp;K513)+1,"-")</f>
        <v>17</v>
      </c>
      <c r="I513" s="64" t="str">
        <f aca="false">IF('Onshore - Sydney'!E1031="","Harga belum tersedia - hubungi konsultan TEG",IF(M513=2,"Saat ini tidak menerima pendaftaran siswa internasional baru",IF(M513=1,"Harga perlu dikonfirmasi ke sekolah"&amp;IF(""="","","; "&amp;""),"")))</f>
        <v/>
      </c>
      <c r="J513" s="0" t="s">
        <v>3909</v>
      </c>
      <c r="K513" s="0" t="n">
        <f aca="false">IF(M513=2,"",IF(ISNUMBER(SEARCH("rata-rata:",'Onshore - Sydney'!M1031)),VALUE(MID('Onshore - Sydney'!M1031,SEARCH("rata-rata:",'Onshore - Sydney'!M1031)+11,FIND(";",'Onshore - Sydney'!M1031&amp;";",SEARCH("rata-rata:",'Onshore - Sydney'!M1031))-SEARCH("rata-rata:",'Onshore - Sydney'!M1031)-11)),IF('Onshore - Sydney'!D1031="Semester",'Onshore - Sydney'!E1031*2,IF('Onshore - Sydney'!D1031="Trimester",'Onshore - Sydney'!E1031*3,IF('Onshore - Sydney'!D1031="Term",'Onshore - Sydney'!E1031*4,IF('Onshore - Sydney'!D1031="Unit",'Onshore - Sydney'!E1031*8,""))))))</f>
        <v>6000</v>
      </c>
      <c r="L513" s="0" t="n">
        <f aca="false">IF(AND(ISNUMBER('Onshore - Sydney'!E1031),ISNUMBER(K513),ISNUMBER('Onshore - Sydney'!F1031),ISNUMBER('Onshore - Sydney'!G1031),OR('Onshore - Sydney'!F1031&lt;&gt;0,ISNUMBER(SEARCH("Material 0 terverifikasi",'Onshore - Sydney'!M1031))),OR('Onshore - Sydney'!G1031&lt;&gt;0,ISNUMBER(SEARCH("Enrolment 0 terverifikasi",'Onshore - Sydney'!M1031)))),1,0)</f>
        <v>1</v>
      </c>
      <c r="M513" s="0" t="n">
        <f aca="false">IF(OR('Onshore - Sydney'!E1031="",ISNUMBER(SEARCH("BSB80120",'Onshore - Sydney'!B1031&amp;'Onshore - Sydney'!M1031)),ISNUMBER(SEARCH("Management (Learning)",'Onshore - Sydney'!B1031))),2,IF(ISNUMBER(SEARCH("CEK:",'Onshore - Sydney'!M1031)),1,0))</f>
        <v>0</v>
      </c>
    </row>
    <row r="514" customFormat="false" ht="15" hidden="false" customHeight="false" outlineLevel="0" collapsed="false">
      <c r="A514" s="63" t="s">
        <v>3533</v>
      </c>
      <c r="B514" s="64" t="s">
        <v>3833</v>
      </c>
      <c r="C514" s="63" t="s">
        <v>42</v>
      </c>
      <c r="D514" s="64" t="str">
        <f aca="false">TRIM(LEFT('Onshore - Sydney'!A1038,FIND(CHAR(10),'Onshore - Sydney'!A1038&amp;CHAR(10))-1))</f>
        <v>Wells International College (WIC)</v>
      </c>
      <c r="E514" s="63" t="str">
        <f aca="false">'Onshore - Sydney'!C1046&amp;""</f>
        <v>3 years</v>
      </c>
      <c r="F514" s="63" t="str">
        <f aca="false">IF('Onshore - Sydney'!D1046="","Belum tercatat",'Onshore - Sydney'!D1046)</f>
        <v>Term</v>
      </c>
      <c r="G514" s="65" t="n">
        <f aca="false">IF('Onshore - Sydney'!E1046="","-",'Onshore - Sydney'!E1046)</f>
        <v>1500</v>
      </c>
      <c r="H514" s="63" t="n">
        <f aca="false">IF(ISNUMBER(K514),COUNTIFS($J$6:$J$1916,J514,$K$6:$K$1916,"&lt;"&amp;K514)+1,"-")</f>
        <v>17</v>
      </c>
      <c r="I514" s="64" t="str">
        <f aca="false">IF('Onshore - Sydney'!E1046="","Harga belum tersedia - hubungi konsultan TEG",IF(M514=2,"Saat ini tidak menerima pendaftaran siswa internasional baru",IF(M514=1,"Harga perlu dikonfirmasi ke sekolah"&amp;IF(""="","","; "&amp;""),"")))</f>
        <v/>
      </c>
      <c r="J514" s="0" t="s">
        <v>3909</v>
      </c>
      <c r="K514" s="0" t="n">
        <f aca="false">IF(M514=2,"",IF(ISNUMBER(SEARCH("rata-rata:",'Onshore - Sydney'!M1046)),VALUE(MID('Onshore - Sydney'!M1046,SEARCH("rata-rata:",'Onshore - Sydney'!M1046)+11,FIND(";",'Onshore - Sydney'!M1046&amp;";",SEARCH("rata-rata:",'Onshore - Sydney'!M1046))-SEARCH("rata-rata:",'Onshore - Sydney'!M1046)-11)),IF('Onshore - Sydney'!D1046="Semester",'Onshore - Sydney'!E1046*2,IF('Onshore - Sydney'!D1046="Trimester",'Onshore - Sydney'!E1046*3,IF('Onshore - Sydney'!D1046="Term",'Onshore - Sydney'!E1046*4,IF('Onshore - Sydney'!D1046="Unit",'Onshore - Sydney'!E1046*8,""))))))</f>
        <v>6000</v>
      </c>
      <c r="L514" s="0" t="n">
        <f aca="false">IF(AND(ISNUMBER('Onshore - Sydney'!E1046),ISNUMBER(K514),ISNUMBER('Onshore - Sydney'!F1046),ISNUMBER('Onshore - Sydney'!G1046),OR('Onshore - Sydney'!F1046&lt;&gt;0,ISNUMBER(SEARCH("Material 0 terverifikasi",'Onshore - Sydney'!M1046))),OR('Onshore - Sydney'!G1046&lt;&gt;0,ISNUMBER(SEARCH("Enrolment 0 terverifikasi",'Onshore - Sydney'!M1046)))),1,0)</f>
        <v>1</v>
      </c>
      <c r="M514" s="0" t="n">
        <f aca="false">IF(OR('Onshore - Sydney'!E1046="",ISNUMBER(SEARCH("BSB80120",'Onshore - Sydney'!B1046&amp;'Onshore - Sydney'!M1046)),ISNUMBER(SEARCH("Management (Learning)",'Onshore - Sydney'!B1046))),2,IF(ISNUMBER(SEARCH("CEK:",'Onshore - Sydney'!M1046)),1,0))</f>
        <v>0</v>
      </c>
    </row>
    <row r="515" customFormat="false" ht="15" hidden="false" customHeight="false" outlineLevel="0" collapsed="false">
      <c r="A515" s="63" t="s">
        <v>3533</v>
      </c>
      <c r="B515" s="64" t="s">
        <v>3833</v>
      </c>
      <c r="C515" s="63" t="s">
        <v>42</v>
      </c>
      <c r="D515" s="64" t="str">
        <f aca="false">TRIM(LEFT('Onshore - Sydney'!A1237,FIND(CHAR(10),'Onshore - Sydney'!A1237&amp;CHAR(10))-1))</f>
        <v>York Business Institute</v>
      </c>
      <c r="E515" s="63" t="str">
        <f aca="false">'Onshore - Sydney'!C1238&amp;""</f>
        <v>3,5 years</v>
      </c>
      <c r="F515" s="63" t="str">
        <f aca="false">IF('Onshore - Sydney'!D1238="","Belum tercatat",'Onshore - Sydney'!D1238)</f>
        <v>Term</v>
      </c>
      <c r="G515" s="65" t="n">
        <f aca="false">IF('Onshore - Sydney'!E1238="","-",'Onshore - Sydney'!E1238)</f>
        <v>1500</v>
      </c>
      <c r="H515" s="63" t="n">
        <f aca="false">IF(ISNUMBER(K515),COUNTIFS($J$6:$J$1916,J515,$K$6:$K$1916,"&lt;"&amp;K515)+1,"-")</f>
        <v>17</v>
      </c>
      <c r="I515" s="64" t="str">
        <f aca="false">IF('Onshore - Sydney'!E1238="","Harga belum tersedia - hubungi konsultan TEG",IF(M515=2,"Saat ini tidak menerima pendaftaran siswa internasional baru",IF(M515=1,"Harga perlu dikonfirmasi ke sekolah"&amp;IF(""="","","; "&amp;""),"")))</f>
        <v>Harga perlu dikonfirmasi ke sekolah</v>
      </c>
      <c r="J515" s="0" t="s">
        <v>3909</v>
      </c>
      <c r="K515" s="0" t="n">
        <f aca="false">IF(M515=2,"",IF(ISNUMBER(SEARCH("rata-rata:",'Onshore - Sydney'!M1238)),VALUE(MID('Onshore - Sydney'!M1238,SEARCH("rata-rata:",'Onshore - Sydney'!M1238)+11,FIND(";",'Onshore - Sydney'!M1238&amp;";",SEARCH("rata-rata:",'Onshore - Sydney'!M1238))-SEARCH("rata-rata:",'Onshore - Sydney'!M1238)-11)),IF('Onshore - Sydney'!D1238="Semester",'Onshore - Sydney'!E1238*2,IF('Onshore - Sydney'!D1238="Trimester",'Onshore - Sydney'!E1238*3,IF('Onshore - Sydney'!D1238="Term",'Onshore - Sydney'!E1238*4,IF('Onshore - Sydney'!D1238="Unit",'Onshore - Sydney'!E1238*8,""))))))</f>
        <v>6000</v>
      </c>
      <c r="L515" s="0" t="n">
        <f aca="false">IF(AND(ISNUMBER('Onshore - Sydney'!E1238),ISNUMBER(K515),ISNUMBER('Onshore - Sydney'!F1238),ISNUMBER('Onshore - Sydney'!G1238),OR('Onshore - Sydney'!F1238&lt;&gt;0,ISNUMBER(SEARCH("Material 0 terverifikasi",'Onshore - Sydney'!M1238))),OR('Onshore - Sydney'!G1238&lt;&gt;0,ISNUMBER(SEARCH("Enrolment 0 terverifikasi",'Onshore - Sydney'!M1238)))),1,0)</f>
        <v>1</v>
      </c>
      <c r="M515" s="0" t="n">
        <f aca="false">IF(OR('Onshore - Sydney'!E1238="",ISNUMBER(SEARCH("BSB80120",'Onshore - Sydney'!B1238&amp;'Onshore - Sydney'!M1238)),ISNUMBER(SEARCH("Management (Learning)",'Onshore - Sydney'!B1238))),2,IF(ISNUMBER(SEARCH("CEK:",'Onshore - Sydney'!M1238)),1,0))</f>
        <v>1</v>
      </c>
    </row>
    <row r="516" customFormat="false" ht="15" hidden="false" customHeight="false" outlineLevel="0" collapsed="false">
      <c r="A516" s="63" t="s">
        <v>3533</v>
      </c>
      <c r="B516" s="64" t="s">
        <v>3833</v>
      </c>
      <c r="C516" s="63" t="s">
        <v>42</v>
      </c>
      <c r="D516" s="64" t="str">
        <f aca="false">TRIM(LEFT('Onshore - Sydney'!A121,FIND(CHAR(10),'Onshore - Sydney'!A121&amp;CHAR(10))-1))</f>
        <v>Alliance College</v>
      </c>
      <c r="E516" s="63" t="str">
        <f aca="false">'Onshore - Sydney'!C125&amp;""</f>
        <v>2 years</v>
      </c>
      <c r="F516" s="63" t="str">
        <f aca="false">IF('Onshore - Sydney'!D125="","Belum tercatat",'Onshore - Sydney'!D125)</f>
        <v>Term</v>
      </c>
      <c r="G516" s="65" t="n">
        <f aca="false">IF('Onshore - Sydney'!E125="","-",'Onshore - Sydney'!E125)</f>
        <v>1540</v>
      </c>
      <c r="H516" s="63" t="n">
        <f aca="false">IF(ISNUMBER(K516),COUNTIFS($J$6:$J$1916,J516,$K$6:$K$1916,"&lt;"&amp;K516)+1,"-")</f>
        <v>37</v>
      </c>
      <c r="I516" s="64" t="str">
        <f aca="false">IF('Onshore - Sydney'!E125="","Harga belum tersedia - hubungi konsultan TEG",IF(M516=2,"Saat ini tidak menerima pendaftaran siswa internasional baru",IF(M516=1,"Harga perlu dikonfirmasi ke sekolah"&amp;IF(""="","","; "&amp;""),"")))</f>
        <v/>
      </c>
      <c r="J516" s="0" t="s">
        <v>3909</v>
      </c>
      <c r="K516" s="0" t="n">
        <f aca="false">IF(M516=2,"",IF(ISNUMBER(SEARCH("rata-rata:",'Onshore - Sydney'!M125)),VALUE(MID('Onshore - Sydney'!M125,SEARCH("rata-rata:",'Onshore - Sydney'!M125)+11,FIND(";",'Onshore - Sydney'!M125&amp;";",SEARCH("rata-rata:",'Onshore - Sydney'!M125))-SEARCH("rata-rata:",'Onshore - Sydney'!M125)-11)),IF('Onshore - Sydney'!D125="Semester",'Onshore - Sydney'!E125*2,IF('Onshore - Sydney'!D125="Trimester",'Onshore - Sydney'!E125*3,IF('Onshore - Sydney'!D125="Term",'Onshore - Sydney'!E125*4,IF('Onshore - Sydney'!D125="Unit",'Onshore - Sydney'!E125*8,""))))))</f>
        <v>6160</v>
      </c>
      <c r="L516" s="0" t="n">
        <f aca="false">IF(AND(ISNUMBER('Onshore - Sydney'!E125),ISNUMBER(K516),ISNUMBER('Onshore - Sydney'!F125),ISNUMBER('Onshore - Sydney'!G125),OR('Onshore - Sydney'!F125&lt;&gt;0,ISNUMBER(SEARCH("Material 0 terverifikasi",'Onshore - Sydney'!M125))),OR('Onshore - Sydney'!G125&lt;&gt;0,ISNUMBER(SEARCH("Enrolment 0 terverifikasi",'Onshore - Sydney'!M125)))),1,0)</f>
        <v>0</v>
      </c>
      <c r="M516" s="0" t="n">
        <f aca="false">IF(OR('Onshore - Sydney'!E125="",ISNUMBER(SEARCH("BSB80120",'Onshore - Sydney'!B125&amp;'Onshore - Sydney'!M125)),ISNUMBER(SEARCH("Management (Learning)",'Onshore - Sydney'!B125))),2,IF(ISNUMBER(SEARCH("CEK:",'Onshore - Sydney'!M125)),1,0))</f>
        <v>0</v>
      </c>
    </row>
    <row r="517" customFormat="false" ht="15" hidden="false" customHeight="false" outlineLevel="0" collapsed="false">
      <c r="A517" s="63" t="s">
        <v>3533</v>
      </c>
      <c r="B517" s="64" t="s">
        <v>3833</v>
      </c>
      <c r="C517" s="63" t="s">
        <v>42</v>
      </c>
      <c r="D517" s="64" t="str">
        <f aca="false">TRIM(LEFT('Onshore - Sydney'!A132,FIND(CHAR(10),'Onshore - Sydney'!A132&amp;CHAR(10))-1))</f>
        <v>Apeiro Institute</v>
      </c>
      <c r="E517" s="63" t="str">
        <f aca="false">'Onshore - Sydney'!C132&amp;""</f>
        <v>2 years</v>
      </c>
      <c r="F517" s="63" t="str">
        <f aca="false">IF('Onshore - Sydney'!D132="","Belum tercatat",'Onshore - Sydney'!D132)</f>
        <v>Term</v>
      </c>
      <c r="G517" s="65" t="n">
        <f aca="false">IF('Onshore - Sydney'!E132="","-",'Onshore - Sydney'!E132)</f>
        <v>1565</v>
      </c>
      <c r="H517" s="63" t="n">
        <f aca="false">IF(ISNUMBER(K517),COUNTIFS($J$6:$J$1916,J517,$K$6:$K$1916,"&lt;"&amp;K517)+1,"-")</f>
        <v>38</v>
      </c>
      <c r="I517" s="64" t="str">
        <f aca="false">IF('Onshore - Sydney'!E132="","Harga belum tersedia - hubungi konsultan TEG",IF(M517=2,"Saat ini tidak menerima pendaftaran siswa internasional baru",IF(M517=1,"Harga perlu dikonfirmasi ke sekolah"&amp;IF(""="","","; "&amp;""),"")))</f>
        <v/>
      </c>
      <c r="J517" s="0" t="s">
        <v>3909</v>
      </c>
      <c r="K517" s="0" t="n">
        <f aca="false">IF(M517=2,"",IF(ISNUMBER(SEARCH("rata-rata:",'Onshore - Sydney'!M132)),VALUE(MID('Onshore - Sydney'!M132,SEARCH("rata-rata:",'Onshore - Sydney'!M132)+11,FIND(";",'Onshore - Sydney'!M132&amp;";",SEARCH("rata-rata:",'Onshore - Sydney'!M132))-SEARCH("rata-rata:",'Onshore - Sydney'!M132)-11)),IF('Onshore - Sydney'!D132="Semester",'Onshore - Sydney'!E132*2,IF('Onshore - Sydney'!D132="Trimester",'Onshore - Sydney'!E132*3,IF('Onshore - Sydney'!D132="Term",'Onshore - Sydney'!E132*4,IF('Onshore - Sydney'!D132="Unit",'Onshore - Sydney'!E132*8,""))))))</f>
        <v>6260</v>
      </c>
      <c r="L517" s="0" t="n">
        <f aca="false">IF(AND(ISNUMBER('Onshore - Sydney'!E132),ISNUMBER(K517),ISNUMBER('Onshore - Sydney'!F132),ISNUMBER('Onshore - Sydney'!G132),OR('Onshore - Sydney'!F132&lt;&gt;0,ISNUMBER(SEARCH("Material 0 terverifikasi",'Onshore - Sydney'!M132))),OR('Onshore - Sydney'!G132&lt;&gt;0,ISNUMBER(SEARCH("Enrolment 0 terverifikasi",'Onshore - Sydney'!M132)))),1,0)</f>
        <v>1</v>
      </c>
      <c r="M517" s="0" t="n">
        <f aca="false">IF(OR('Onshore - Sydney'!E132="",ISNUMBER(SEARCH("BSB80120",'Onshore - Sydney'!B132&amp;'Onshore - Sydney'!M132)),ISNUMBER(SEARCH("Management (Learning)",'Onshore - Sydney'!B132))),2,IF(ISNUMBER(SEARCH("CEK:",'Onshore - Sydney'!M132)),1,0))</f>
        <v>0</v>
      </c>
    </row>
    <row r="518" customFormat="false" ht="15" hidden="false" customHeight="false" outlineLevel="0" collapsed="false">
      <c r="A518" s="63" t="s">
        <v>3533</v>
      </c>
      <c r="B518" s="64" t="s">
        <v>3833</v>
      </c>
      <c r="C518" s="63" t="s">
        <v>42</v>
      </c>
      <c r="D518" s="64" t="str">
        <f aca="false">TRIM(LEFT('Onshore - Sydney'!A778,FIND(CHAR(10),'Onshore - Sydney'!A778&amp;CHAR(10))-1))</f>
        <v>Sydney Metro College (SMC)</v>
      </c>
      <c r="E518" s="63" t="str">
        <f aca="false">'Onshore - Sydney'!C786&amp;""</f>
        <v>2 years</v>
      </c>
      <c r="F518" s="63" t="str">
        <f aca="false">IF('Onshore - Sydney'!D786="","Belum tercatat",'Onshore - Sydney'!D786)</f>
        <v>Term</v>
      </c>
      <c r="G518" s="65" t="n">
        <f aca="false">IF('Onshore - Sydney'!E786="","-",'Onshore - Sydney'!E786)</f>
        <v>1750</v>
      </c>
      <c r="H518" s="63" t="n">
        <f aca="false">IF(ISNUMBER(K518),COUNTIFS($J$6:$J$1916,J518,$K$6:$K$1916,"&lt;"&amp;K518)+1,"-")</f>
        <v>39</v>
      </c>
      <c r="I518" s="64" t="str">
        <f aca="false">IF('Onshore - Sydney'!E786="","Harga belum tersedia - hubungi konsultan TEG",IF(M518=2,"Saat ini tidak menerima pendaftaran siswa internasional baru",IF(M518=1,"Harga perlu dikonfirmasi ke sekolah"&amp;IF(""="","","; "&amp;""),"")))</f>
        <v/>
      </c>
      <c r="J518" s="0" t="s">
        <v>3909</v>
      </c>
      <c r="K518" s="0" t="n">
        <f aca="false">IF(M518=2,"",IF(ISNUMBER(SEARCH("rata-rata:",'Onshore - Sydney'!M786)),VALUE(MID('Onshore - Sydney'!M786,SEARCH("rata-rata:",'Onshore - Sydney'!M786)+11,FIND(";",'Onshore - Sydney'!M786&amp;";",SEARCH("rata-rata:",'Onshore - Sydney'!M786))-SEARCH("rata-rata:",'Onshore - Sydney'!M786)-11)),IF('Onshore - Sydney'!D786="Semester",'Onshore - Sydney'!E786*2,IF('Onshore - Sydney'!D786="Trimester",'Onshore - Sydney'!E786*3,IF('Onshore - Sydney'!D786="Term",'Onshore - Sydney'!E786*4,IF('Onshore - Sydney'!D786="Unit",'Onshore - Sydney'!E786*8,""))))))</f>
        <v>7000</v>
      </c>
      <c r="L518" s="0" t="n">
        <f aca="false">IF(AND(ISNUMBER('Onshore - Sydney'!E786),ISNUMBER(K518),ISNUMBER('Onshore - Sydney'!F786),ISNUMBER('Onshore - Sydney'!G786),OR('Onshore - Sydney'!F786&lt;&gt;0,ISNUMBER(SEARCH("Material 0 terverifikasi",'Onshore - Sydney'!M786))),OR('Onshore - Sydney'!G786&lt;&gt;0,ISNUMBER(SEARCH("Enrolment 0 terverifikasi",'Onshore - Sydney'!M786)))),1,0)</f>
        <v>1</v>
      </c>
      <c r="M518" s="0" t="n">
        <f aca="false">IF(OR('Onshore - Sydney'!E786="",ISNUMBER(SEARCH("BSB80120",'Onshore - Sydney'!B786&amp;'Onshore - Sydney'!M786)),ISNUMBER(SEARCH("Management (Learning)",'Onshore - Sydney'!B786))),2,IF(ISNUMBER(SEARCH("CEK:",'Onshore - Sydney'!M786)),1,0))</f>
        <v>0</v>
      </c>
    </row>
    <row r="519" customFormat="false" ht="15" hidden="false" customHeight="false" outlineLevel="0" collapsed="false">
      <c r="A519" s="63" t="s">
        <v>3533</v>
      </c>
      <c r="B519" s="64" t="s">
        <v>3833</v>
      </c>
      <c r="C519" s="63" t="s">
        <v>42</v>
      </c>
      <c r="D519" s="64" t="str">
        <f aca="false">TRIM(LEFT('Onshore - Sydney'!A745,FIND(CHAR(10),'Onshore - Sydney'!A745&amp;CHAR(10))-1))</f>
        <v>Signet Institute of Australia</v>
      </c>
      <c r="E519" s="63" t="str">
        <f aca="false">'Onshore - Sydney'!C746&amp;""</f>
        <v>2 years</v>
      </c>
      <c r="F519" s="63" t="str">
        <f aca="false">IF('Onshore - Sydney'!D746="","Belum tercatat",'Onshore - Sydney'!D746)</f>
        <v>Term</v>
      </c>
      <c r="G519" s="65" t="n">
        <f aca="false">IF('Onshore - Sydney'!E746="","-",'Onshore - Sydney'!E746)</f>
        <v>1875</v>
      </c>
      <c r="H519" s="63" t="n">
        <f aca="false">IF(ISNUMBER(K519),COUNTIFS($J$6:$J$1916,J519,$K$6:$K$1916,"&lt;"&amp;K519)+1,"-")</f>
        <v>40</v>
      </c>
      <c r="I519" s="64" t="str">
        <f aca="false">IF('Onshore - Sydney'!E746="","Harga belum tersedia - hubungi konsultan TEG",IF(M519=2,"Saat ini tidak menerima pendaftaran siswa internasional baru",IF(M519=1,"Harga perlu dikonfirmasi ke sekolah"&amp;IF(""="","","; "&amp;""),"")))</f>
        <v>Harga perlu dikonfirmasi ke sekolah</v>
      </c>
      <c r="J519" s="0" t="s">
        <v>3909</v>
      </c>
      <c r="K519" s="0" t="n">
        <f aca="false">IF(M519=2,"",IF(ISNUMBER(SEARCH("rata-rata:",'Onshore - Sydney'!M746)),VALUE(MID('Onshore - Sydney'!M746,SEARCH("rata-rata:",'Onshore - Sydney'!M746)+11,FIND(";",'Onshore - Sydney'!M746&amp;";",SEARCH("rata-rata:",'Onshore - Sydney'!M746))-SEARCH("rata-rata:",'Onshore - Sydney'!M746)-11)),IF('Onshore - Sydney'!D746="Semester",'Onshore - Sydney'!E746*2,IF('Onshore - Sydney'!D746="Trimester",'Onshore - Sydney'!E746*3,IF('Onshore - Sydney'!D746="Term",'Onshore - Sydney'!E746*4,IF('Onshore - Sydney'!D746="Unit",'Onshore - Sydney'!E746*8,""))))))</f>
        <v>7500</v>
      </c>
      <c r="L519" s="0" t="n">
        <f aca="false">IF(AND(ISNUMBER('Onshore - Sydney'!E746),ISNUMBER(K519),ISNUMBER('Onshore - Sydney'!F746),ISNUMBER('Onshore - Sydney'!G746),OR('Onshore - Sydney'!F746&lt;&gt;0,ISNUMBER(SEARCH("Material 0 terverifikasi",'Onshore - Sydney'!M746))),OR('Onshore - Sydney'!G746&lt;&gt;0,ISNUMBER(SEARCH("Enrolment 0 terverifikasi",'Onshore - Sydney'!M746)))),1,0)</f>
        <v>1</v>
      </c>
      <c r="M519" s="0" t="n">
        <f aca="false">IF(OR('Onshore - Sydney'!E746="",ISNUMBER(SEARCH("BSB80120",'Onshore - Sydney'!B746&amp;'Onshore - Sydney'!M746)),ISNUMBER(SEARCH("Management (Learning)",'Onshore - Sydney'!B746))),2,IF(ISNUMBER(SEARCH("CEK:",'Onshore - Sydney'!M746)),1,0))</f>
        <v>1</v>
      </c>
    </row>
    <row r="520" customFormat="false" ht="15" hidden="false" customHeight="false" outlineLevel="0" collapsed="false">
      <c r="A520" s="63" t="s">
        <v>3533</v>
      </c>
      <c r="B520" s="64" t="s">
        <v>3833</v>
      </c>
      <c r="C520" s="63" t="s">
        <v>42</v>
      </c>
      <c r="D520" s="64" t="str">
        <f aca="false">TRIM(LEFT('Onshore - Sydney'!A104,FIND(CHAR(10),'Onshore - Sydney'!A104&amp;CHAR(10))-1))</f>
        <v>Albury College</v>
      </c>
      <c r="E520" s="63" t="str">
        <f aca="false">'Onshore - Sydney'!C109&amp;""</f>
        <v>2 years</v>
      </c>
      <c r="F520" s="63" t="str">
        <f aca="false">IF('Onshore - Sydney'!D109="","Belum tercatat",'Onshore - Sydney'!D109)</f>
        <v>Term</v>
      </c>
      <c r="G520" s="65" t="n">
        <f aca="false">IF('Onshore - Sydney'!E109="","-",'Onshore - Sydney'!E109)</f>
        <v>2000</v>
      </c>
      <c r="H520" s="63" t="n">
        <f aca="false">IF(ISNUMBER(K520),COUNTIFS($J$6:$J$1916,J520,$K$6:$K$1916,"&lt;"&amp;K520)+1,"-")</f>
        <v>41</v>
      </c>
      <c r="I520" s="64" t="str">
        <f aca="false">IF('Onshore - Sydney'!E109="","Harga belum tersedia - hubungi konsultan TEG",IF(M520=2,"Saat ini tidak menerima pendaftaran siswa internasional baru",IF(M520=1,"Harga perlu dikonfirmasi ke sekolah"&amp;IF(""="","","; "&amp;""),"")))</f>
        <v/>
      </c>
      <c r="J520" s="0" t="s">
        <v>3909</v>
      </c>
      <c r="K520" s="0" t="n">
        <f aca="false">IF(M520=2,"",IF(ISNUMBER(SEARCH("rata-rata:",'Onshore - Sydney'!M109)),VALUE(MID('Onshore - Sydney'!M109,SEARCH("rata-rata:",'Onshore - Sydney'!M109)+11,FIND(";",'Onshore - Sydney'!M109&amp;";",SEARCH("rata-rata:",'Onshore - Sydney'!M109))-SEARCH("rata-rata:",'Onshore - Sydney'!M109)-11)),IF('Onshore - Sydney'!D109="Semester",'Onshore - Sydney'!E109*2,IF('Onshore - Sydney'!D109="Trimester",'Onshore - Sydney'!E109*3,IF('Onshore - Sydney'!D109="Term",'Onshore - Sydney'!E109*4,IF('Onshore - Sydney'!D109="Unit",'Onshore - Sydney'!E109*8,""))))))</f>
        <v>8000</v>
      </c>
      <c r="L520" s="0" t="n">
        <f aca="false">IF(AND(ISNUMBER('Onshore - Sydney'!E109),ISNUMBER(K520),ISNUMBER('Onshore - Sydney'!F109),ISNUMBER('Onshore - Sydney'!G109),OR('Onshore - Sydney'!F109&lt;&gt;0,ISNUMBER(SEARCH("Material 0 terverifikasi",'Onshore - Sydney'!M109))),OR('Onshore - Sydney'!G109&lt;&gt;0,ISNUMBER(SEARCH("Enrolment 0 terverifikasi",'Onshore - Sydney'!M109)))),1,0)</f>
        <v>1</v>
      </c>
      <c r="M520" s="0" t="n">
        <f aca="false">IF(OR('Onshore - Sydney'!E109="",ISNUMBER(SEARCH("BSB80120",'Onshore - Sydney'!B109&amp;'Onshore - Sydney'!M109)),ISNUMBER(SEARCH("Management (Learning)",'Onshore - Sydney'!B109))),2,IF(ISNUMBER(SEARCH("CEK:",'Onshore - Sydney'!M109)),1,0))</f>
        <v>0</v>
      </c>
    </row>
    <row r="521" customFormat="false" ht="15" hidden="false" customHeight="false" outlineLevel="0" collapsed="false">
      <c r="A521" s="63" t="s">
        <v>3533</v>
      </c>
      <c r="B521" s="64" t="s">
        <v>3833</v>
      </c>
      <c r="C521" s="63" t="s">
        <v>42</v>
      </c>
      <c r="D521" s="64" t="str">
        <f aca="false">TRIM(LEFT('Onshore - Sydney'!A646,FIND(CHAR(10),'Onshore - Sydney'!A646&amp;CHAR(10))-1))</f>
        <v>Magill College Sydney</v>
      </c>
      <c r="E521" s="63" t="str">
        <f aca="false">'Onshore - Sydney'!C649&amp;""</f>
        <v>4 yearss</v>
      </c>
      <c r="F521" s="63" t="str">
        <f aca="false">IF('Onshore - Sydney'!D649="","Belum tercatat",'Onshore - Sydney'!D649)</f>
        <v>Term</v>
      </c>
      <c r="G521" s="65" t="n">
        <f aca="false">IF('Onshore - Sydney'!E649="","-",'Onshore - Sydney'!E649)</f>
        <v>2000</v>
      </c>
      <c r="H521" s="63" t="n">
        <f aca="false">IF(ISNUMBER(K521),COUNTIFS($J$6:$J$1916,J521,$K$6:$K$1916,"&lt;"&amp;K521)+1,"-")</f>
        <v>41</v>
      </c>
      <c r="I521" s="64" t="str">
        <f aca="false">IF('Onshore - Sydney'!E649="","Harga belum tersedia - hubungi konsultan TEG",IF(M521=2,"Saat ini tidak menerima pendaftaran siswa internasional baru",IF(M521=1,"Harga perlu dikonfirmasi ke sekolah"&amp;IF(""="","","; "&amp;""),"")))</f>
        <v/>
      </c>
      <c r="J521" s="0" t="s">
        <v>3909</v>
      </c>
      <c r="K521" s="0" t="n">
        <f aca="false">IF(M521=2,"",IF(ISNUMBER(SEARCH("rata-rata:",'Onshore - Sydney'!M649)),VALUE(MID('Onshore - Sydney'!M649,SEARCH("rata-rata:",'Onshore - Sydney'!M649)+11,FIND(";",'Onshore - Sydney'!M649&amp;";",SEARCH("rata-rata:",'Onshore - Sydney'!M649))-SEARCH("rata-rata:",'Onshore - Sydney'!M649)-11)),IF('Onshore - Sydney'!D649="Semester",'Onshore - Sydney'!E649*2,IF('Onshore - Sydney'!D649="Trimester",'Onshore - Sydney'!E649*3,IF('Onshore - Sydney'!D649="Term",'Onshore - Sydney'!E649*4,IF('Onshore - Sydney'!D649="Unit",'Onshore - Sydney'!E649*8,""))))))</f>
        <v>8000</v>
      </c>
      <c r="L521" s="0" t="n">
        <f aca="false">IF(AND(ISNUMBER('Onshore - Sydney'!E649),ISNUMBER(K521),ISNUMBER('Onshore - Sydney'!F649),ISNUMBER('Onshore - Sydney'!G649),OR('Onshore - Sydney'!F649&lt;&gt;0,ISNUMBER(SEARCH("Material 0 terverifikasi",'Onshore - Sydney'!M649))),OR('Onshore - Sydney'!G649&lt;&gt;0,ISNUMBER(SEARCH("Enrolment 0 terverifikasi",'Onshore - Sydney'!M649)))),1,0)</f>
        <v>1</v>
      </c>
      <c r="M521" s="0" t="n">
        <f aca="false">IF(OR('Onshore - Sydney'!E649="",ISNUMBER(SEARCH("BSB80120",'Onshore - Sydney'!B649&amp;'Onshore - Sydney'!M649)),ISNUMBER(SEARCH("Management (Learning)",'Onshore - Sydney'!B649))),2,IF(ISNUMBER(SEARCH("CEK:",'Onshore - Sydney'!M649)),1,0))</f>
        <v>0</v>
      </c>
    </row>
    <row r="522" customFormat="false" ht="15" hidden="false" customHeight="false" outlineLevel="0" collapsed="false">
      <c r="A522" s="63" t="s">
        <v>3533</v>
      </c>
      <c r="B522" s="64" t="s">
        <v>3833</v>
      </c>
      <c r="C522" s="63" t="s">
        <v>42</v>
      </c>
      <c r="D522" s="64" t="str">
        <f aca="false">TRIM(LEFT('Onshore - Sydney'!A678,FIND(CHAR(10),'Onshore - Sydney'!A678&amp;CHAR(10))-1))</f>
        <v>Novus College</v>
      </c>
      <c r="E522" s="63" t="str">
        <f aca="false">'Onshore - Sydney'!C679&amp;""</f>
        <v>2 years</v>
      </c>
      <c r="F522" s="63" t="str">
        <f aca="false">IF('Onshore - Sydney'!D679="","Belum tercatat",'Onshore - Sydney'!D679)</f>
        <v>Term</v>
      </c>
      <c r="G522" s="65" t="n">
        <f aca="false">IF('Onshore - Sydney'!E679="","-",'Onshore - Sydney'!E679)</f>
        <v>2100</v>
      </c>
      <c r="H522" s="63" t="n">
        <f aca="false">IF(ISNUMBER(K522),COUNTIFS($J$6:$J$1916,J522,$K$6:$K$1916,"&lt;"&amp;K522)+1,"-")</f>
        <v>43</v>
      </c>
      <c r="I522" s="64" t="str">
        <f aca="false">IF('Onshore - Sydney'!E679="","Harga belum tersedia - hubungi konsultan TEG",IF(M522=2,"Saat ini tidak menerima pendaftaran siswa internasional baru",IF(M522=1,"Program perlu dikonfirmasi ketersediaannya"&amp;IF(""="","","; "&amp;""),"")))</f>
        <v>Program perlu dikonfirmasi ketersediaannya</v>
      </c>
      <c r="J522" s="0" t="s">
        <v>3909</v>
      </c>
      <c r="K522" s="0" t="n">
        <f aca="false">IF(M522=2,"",IF(ISNUMBER(SEARCH("rata-rata:",'Onshore - Sydney'!M679)),VALUE(MID('Onshore - Sydney'!M679,SEARCH("rata-rata:",'Onshore - Sydney'!M679)+11,FIND(";",'Onshore - Sydney'!M679&amp;";",SEARCH("rata-rata:",'Onshore - Sydney'!M679))-SEARCH("rata-rata:",'Onshore - Sydney'!M679)-11)),IF('Onshore - Sydney'!D679="Semester",'Onshore - Sydney'!E679*2,IF('Onshore - Sydney'!D679="Trimester",'Onshore - Sydney'!E679*3,IF('Onshore - Sydney'!D679="Term",'Onshore - Sydney'!E679*4,IF('Onshore - Sydney'!D679="Unit",'Onshore - Sydney'!E679*8,""))))))</f>
        <v>8400</v>
      </c>
      <c r="L522" s="0" t="n">
        <f aca="false">IF(AND(ISNUMBER('Onshore - Sydney'!E679),ISNUMBER(K522),ISNUMBER('Onshore - Sydney'!F679),ISNUMBER('Onshore - Sydney'!G679),OR('Onshore - Sydney'!F679&lt;&gt;0,ISNUMBER(SEARCH("Material 0 terverifikasi",'Onshore - Sydney'!M679))),OR('Onshore - Sydney'!G679&lt;&gt;0,ISNUMBER(SEARCH("Enrolment 0 terverifikasi",'Onshore - Sydney'!M679)))),1,0)</f>
        <v>1</v>
      </c>
      <c r="M522" s="0" t="n">
        <f aca="false">IF(OR('Onshore - Sydney'!E679="",ISNUMBER(SEARCH("BSB80120",'Onshore - Sydney'!B679&amp;'Onshore - Sydney'!M679)),ISNUMBER(SEARCH("Management (Learning)",'Onshore - Sydney'!B679))),2,IF(ISNUMBER(SEARCH("CEK:",'Onshore - Sydney'!M679)),1,0))</f>
        <v>1</v>
      </c>
    </row>
    <row r="523" customFormat="false" ht="28.35" hidden="false" customHeight="false" outlineLevel="0" collapsed="false">
      <c r="A523" s="63" t="s">
        <v>3533</v>
      </c>
      <c r="B523" s="64" t="s">
        <v>3833</v>
      </c>
      <c r="C523" s="63" t="s">
        <v>42</v>
      </c>
      <c r="D523" s="64" t="str">
        <f aca="false">TRIM(LEFT('Onshore - Sydney'!A330,FIND(CHAR(10),'Onshore - Sydney'!A330&amp;CHAR(10))-1))</f>
        <v>Australian International College of Skills &amp; Education (AICSE)</v>
      </c>
      <c r="E523" s="63" t="str">
        <f aca="false">'Onshore - Sydney'!C337&amp;""</f>
        <v>2 years</v>
      </c>
      <c r="F523" s="63" t="str">
        <f aca="false">IF('Onshore - Sydney'!D337="","Belum tercatat",'Onshore - Sydney'!D337)</f>
        <v>Term</v>
      </c>
      <c r="G523" s="65" t="n">
        <f aca="false">IF('Onshore - Sydney'!E337="","-",'Onshore - Sydney'!E337)</f>
        <v>2125</v>
      </c>
      <c r="H523" s="63" t="n">
        <f aca="false">IF(ISNUMBER(K523),COUNTIFS($J$6:$J$1916,J523,$K$6:$K$1916,"&lt;"&amp;K523)+1,"-")</f>
        <v>44</v>
      </c>
      <c r="I523" s="64" t="str">
        <f aca="false">IF('Onshore - Sydney'!E337="","Harga belum tersedia - hubungi konsultan TEG",IF(M523=2,"Saat ini tidak menerima pendaftaran siswa internasional baru",IF(M523=1,"Harga perlu dikonfirmasi ke sekolah"&amp;IF(""="","","; "&amp;""),"")))</f>
        <v/>
      </c>
      <c r="J523" s="0" t="s">
        <v>3909</v>
      </c>
      <c r="K523" s="0" t="n">
        <f aca="false">IF(M523=2,"",IF(ISNUMBER(SEARCH("rata-rata:",'Onshore - Sydney'!M337)),VALUE(MID('Onshore - Sydney'!M337,SEARCH("rata-rata:",'Onshore - Sydney'!M337)+11,FIND(";",'Onshore - Sydney'!M337&amp;";",SEARCH("rata-rata:",'Onshore - Sydney'!M337))-SEARCH("rata-rata:",'Onshore - Sydney'!M337)-11)),IF('Onshore - Sydney'!D337="Semester",'Onshore - Sydney'!E337*2,IF('Onshore - Sydney'!D337="Trimester",'Onshore - Sydney'!E337*3,IF('Onshore - Sydney'!D337="Term",'Onshore - Sydney'!E337*4,IF('Onshore - Sydney'!D337="Unit",'Onshore - Sydney'!E337*8,""))))))</f>
        <v>8500</v>
      </c>
      <c r="L523" s="0" t="n">
        <f aca="false">IF(AND(ISNUMBER('Onshore - Sydney'!E337),ISNUMBER(K523),ISNUMBER('Onshore - Sydney'!F337),ISNUMBER('Onshore - Sydney'!G337),OR('Onshore - Sydney'!F337&lt;&gt;0,ISNUMBER(SEARCH("Material 0 terverifikasi",'Onshore - Sydney'!M337))),OR('Onshore - Sydney'!G337&lt;&gt;0,ISNUMBER(SEARCH("Enrolment 0 terverifikasi",'Onshore - Sydney'!M337)))),1,0)</f>
        <v>1</v>
      </c>
      <c r="M523" s="0" t="n">
        <f aca="false">IF(OR('Onshore - Sydney'!E337="",ISNUMBER(SEARCH("BSB80120",'Onshore - Sydney'!B337&amp;'Onshore - Sydney'!M337)),ISNUMBER(SEARCH("Management (Learning)",'Onshore - Sydney'!B337))),2,IF(ISNUMBER(SEARCH("CEK:",'Onshore - Sydney'!M337)),1,0))</f>
        <v>0</v>
      </c>
    </row>
    <row r="524" customFormat="false" ht="28.35" hidden="false" customHeight="false" outlineLevel="0" collapsed="false">
      <c r="A524" s="63" t="s">
        <v>3533</v>
      </c>
      <c r="B524" s="64" t="s">
        <v>3833</v>
      </c>
      <c r="C524" s="63" t="s">
        <v>42</v>
      </c>
      <c r="D524" s="64" t="str">
        <f aca="false">TRIM(LEFT('Onshore - Sydney'!A299,FIND(CHAR(10),'Onshore - Sydney'!A299&amp;CHAR(10))-1))</f>
        <v>Australian Harbour International College (AHIC)</v>
      </c>
      <c r="E524" s="63" t="str">
        <f aca="false">'Onshore - Sydney'!C304&amp;""</f>
        <v>2,5 years</v>
      </c>
      <c r="F524" s="63" t="str">
        <f aca="false">IF('Onshore - Sydney'!D304="","Belum tercatat",'Onshore - Sydney'!D304)</f>
        <v>Term</v>
      </c>
      <c r="G524" s="65" t="n">
        <f aca="false">IF('Onshore - Sydney'!E304="","-",'Onshore - Sydney'!E304)</f>
        <v>2250</v>
      </c>
      <c r="H524" s="63" t="n">
        <f aca="false">IF(ISNUMBER(K524),COUNTIFS($J$6:$J$1916,J524,$K$6:$K$1916,"&lt;"&amp;K524)+1,"-")</f>
        <v>45</v>
      </c>
      <c r="I524" s="64" t="str">
        <f aca="false">IF('Onshore - Sydney'!E304="","Harga belum tersedia - hubungi konsultan TEG",IF(M524=2,"Saat ini tidak menerima pendaftaran siswa internasional baru",IF(M524=1,"Harga perlu dikonfirmasi ke sekolah"&amp;IF(""="","","; "&amp;""),"")))</f>
        <v/>
      </c>
      <c r="J524" s="0" t="s">
        <v>3909</v>
      </c>
      <c r="K524" s="0" t="n">
        <f aca="false">IF(M524=2,"",IF(ISNUMBER(SEARCH("rata-rata:",'Onshore - Sydney'!M304)),VALUE(MID('Onshore - Sydney'!M304,SEARCH("rata-rata:",'Onshore - Sydney'!M304)+11,FIND(";",'Onshore - Sydney'!M304&amp;";",SEARCH("rata-rata:",'Onshore - Sydney'!M304))-SEARCH("rata-rata:",'Onshore - Sydney'!M304)-11)),IF('Onshore - Sydney'!D304="Semester",'Onshore - Sydney'!E304*2,IF('Onshore - Sydney'!D304="Trimester",'Onshore - Sydney'!E304*3,IF('Onshore - Sydney'!D304="Term",'Onshore - Sydney'!E304*4,IF('Onshore - Sydney'!D304="Unit",'Onshore - Sydney'!E304*8,""))))))</f>
        <v>9000</v>
      </c>
      <c r="L524" s="0" t="n">
        <f aca="false">IF(AND(ISNUMBER('Onshore - Sydney'!E304),ISNUMBER(K524),ISNUMBER('Onshore - Sydney'!F304),ISNUMBER('Onshore - Sydney'!G304),OR('Onshore - Sydney'!F304&lt;&gt;0,ISNUMBER(SEARCH("Material 0 terverifikasi",'Onshore - Sydney'!M304))),OR('Onshore - Sydney'!G304&lt;&gt;0,ISNUMBER(SEARCH("Enrolment 0 terverifikasi",'Onshore - Sydney'!M304)))),1,0)</f>
        <v>1</v>
      </c>
      <c r="M524" s="0" t="n">
        <f aca="false">IF(OR('Onshore - Sydney'!E304="",ISNUMBER(SEARCH("BSB80120",'Onshore - Sydney'!B304&amp;'Onshore - Sydney'!M304)),ISNUMBER(SEARCH("Management (Learning)",'Onshore - Sydney'!B304))),2,IF(ISNUMBER(SEARCH("CEK:",'Onshore - Sydney'!M304)),1,0))</f>
        <v>0</v>
      </c>
    </row>
    <row r="525" customFormat="false" ht="15" hidden="false" customHeight="false" outlineLevel="0" collapsed="false">
      <c r="A525" s="63" t="s">
        <v>3533</v>
      </c>
      <c r="B525" s="64" t="s">
        <v>3833</v>
      </c>
      <c r="C525" s="63" t="s">
        <v>42</v>
      </c>
      <c r="D525" s="64" t="str">
        <f aca="false">TRIM(LEFT('Onshore - Sydney'!A759,FIND(CHAR(10),'Onshore - Sydney'!A759&amp;CHAR(10))-1))</f>
        <v>Sydney City College of Management</v>
      </c>
      <c r="E525" s="63" t="str">
        <f aca="false">'Onshore - Sydney'!C759&amp;""</f>
        <v>2 years</v>
      </c>
      <c r="F525" s="63" t="str">
        <f aca="false">IF('Onshore - Sydney'!D759="","Belum tercatat",'Onshore - Sydney'!D759)</f>
        <v>Term</v>
      </c>
      <c r="G525" s="65" t="n">
        <f aca="false">IF('Onshore - Sydney'!E759="","-",'Onshore - Sydney'!E759)</f>
        <v>2700</v>
      </c>
      <c r="H525" s="63" t="n">
        <f aca="false">IF(ISNUMBER(K525),COUNTIFS($J$6:$J$1916,J525,$K$6:$K$1916,"&lt;"&amp;K525)+1,"-")</f>
        <v>46</v>
      </c>
      <c r="I525" s="64" t="str">
        <f aca="false">IF('Onshore - Sydney'!E759="","Harga belum tersedia - hubungi konsultan TEG",IF(M525=2,"Saat ini tidak menerima pendaftaran siswa internasional baru",IF(M525=1,"Harga perlu dikonfirmasi ke sekolah"&amp;IF(""="","","; "&amp;""),"")))</f>
        <v/>
      </c>
      <c r="J525" s="0" t="s">
        <v>3909</v>
      </c>
      <c r="K525" s="0" t="n">
        <f aca="false">IF(M525=2,"",IF(ISNUMBER(SEARCH("rata-rata:",'Onshore - Sydney'!M759)),VALUE(MID('Onshore - Sydney'!M759,SEARCH("rata-rata:",'Onshore - Sydney'!M759)+11,FIND(";",'Onshore - Sydney'!M759&amp;";",SEARCH("rata-rata:",'Onshore - Sydney'!M759))-SEARCH("rata-rata:",'Onshore - Sydney'!M759)-11)),IF('Onshore - Sydney'!D759="Semester",'Onshore - Sydney'!E759*2,IF('Onshore - Sydney'!D759="Trimester",'Onshore - Sydney'!E759*3,IF('Onshore - Sydney'!D759="Term",'Onshore - Sydney'!E759*4,IF('Onshore - Sydney'!D759="Unit",'Onshore - Sydney'!E759*8,""))))))</f>
        <v>10800</v>
      </c>
      <c r="L525" s="0" t="n">
        <f aca="false">IF(AND(ISNUMBER('Onshore - Sydney'!E759),ISNUMBER(K525),ISNUMBER('Onshore - Sydney'!F759),ISNUMBER('Onshore - Sydney'!G759),OR('Onshore - Sydney'!F759&lt;&gt;0,ISNUMBER(SEARCH("Material 0 terverifikasi",'Onshore - Sydney'!M759))),OR('Onshore - Sydney'!G759&lt;&gt;0,ISNUMBER(SEARCH("Enrolment 0 terverifikasi",'Onshore - Sydney'!M759)))),1,0)</f>
        <v>1</v>
      </c>
      <c r="M525" s="0" t="n">
        <f aca="false">IF(OR('Onshore - Sydney'!E759="",ISNUMBER(SEARCH("BSB80120",'Onshore - Sydney'!B759&amp;'Onshore - Sydney'!M759)),ISNUMBER(SEARCH("Management (Learning)",'Onshore - Sydney'!B759))),2,IF(ISNUMBER(SEARCH("CEK:",'Onshore - Sydney'!M759)),1,0))</f>
        <v>0</v>
      </c>
    </row>
    <row r="526" customFormat="false" ht="15" hidden="false" customHeight="false" outlineLevel="0" collapsed="false">
      <c r="A526" s="63" t="s">
        <v>3533</v>
      </c>
      <c r="B526" s="64" t="s">
        <v>3833</v>
      </c>
      <c r="C526" s="63" t="s">
        <v>42</v>
      </c>
      <c r="D526" s="64" t="str">
        <f aca="false">TRIM(LEFT('Onshore - Sydney'!A1047,FIND(CHAR(10),'Onshore - Sydney'!A1047&amp;CHAR(10))-1))</f>
        <v>Western Sydney College (WSC)</v>
      </c>
      <c r="E526" s="63" t="str">
        <f aca="false">'Onshore - Sydney'!C1049&amp;""</f>
        <v>2,5 years</v>
      </c>
      <c r="F526" s="63" t="str">
        <f aca="false">IF('Onshore - Sydney'!D1049="","Belum tercatat",'Onshore - Sydney'!D1049)</f>
        <v>Term</v>
      </c>
      <c r="G526" s="65" t="n">
        <f aca="false">IF('Onshore - Sydney'!E1049="","-",'Onshore - Sydney'!E1049)</f>
        <v>3250</v>
      </c>
      <c r="H526" s="63" t="n">
        <f aca="false">IF(ISNUMBER(K526),COUNTIFS($J$6:$J$1916,J526,$K$6:$K$1916,"&lt;"&amp;K526)+1,"-")</f>
        <v>47</v>
      </c>
      <c r="I526" s="64" t="str">
        <f aca="false">IF('Onshore - Sydney'!E1049="","Harga belum tersedia - hubungi konsultan TEG",IF(M526=2,"Saat ini tidak menerima pendaftaran siswa internasional baru",IF(M526=1,"Harga perlu dikonfirmasi ke sekolah"&amp;IF(""="","","; "&amp;""),"")))</f>
        <v/>
      </c>
      <c r="J526" s="0" t="s">
        <v>3909</v>
      </c>
      <c r="K526" s="0" t="n">
        <f aca="false">IF(M526=2,"",IF(ISNUMBER(SEARCH("rata-rata:",'Onshore - Sydney'!M1049)),VALUE(MID('Onshore - Sydney'!M1049,SEARCH("rata-rata:",'Onshore - Sydney'!M1049)+11,FIND(";",'Onshore - Sydney'!M1049&amp;";",SEARCH("rata-rata:",'Onshore - Sydney'!M1049))-SEARCH("rata-rata:",'Onshore - Sydney'!M1049)-11)),IF('Onshore - Sydney'!D1049="Semester",'Onshore - Sydney'!E1049*2,IF('Onshore - Sydney'!D1049="Trimester",'Onshore - Sydney'!E1049*3,IF('Onshore - Sydney'!D1049="Term",'Onshore - Sydney'!E1049*4,IF('Onshore - Sydney'!D1049="Unit",'Onshore - Sydney'!E1049*8,""))))))</f>
        <v>13000</v>
      </c>
      <c r="L526" s="0" t="n">
        <f aca="false">IF(AND(ISNUMBER('Onshore - Sydney'!E1049),ISNUMBER(K526),ISNUMBER('Onshore - Sydney'!F1049),ISNUMBER('Onshore - Sydney'!G1049),OR('Onshore - Sydney'!F1049&lt;&gt;0,ISNUMBER(SEARCH("Material 0 terverifikasi",'Onshore - Sydney'!M1049))),OR('Onshore - Sydney'!G1049&lt;&gt;0,ISNUMBER(SEARCH("Enrolment 0 terverifikasi",'Onshore - Sydney'!M1049)))),1,0)</f>
        <v>1</v>
      </c>
      <c r="M526" s="0" t="n">
        <f aca="false">IF(OR('Onshore - Sydney'!E1049="",ISNUMBER(SEARCH("BSB80120",'Onshore - Sydney'!B1049&amp;'Onshore - Sydney'!M1049)),ISNUMBER(SEARCH("Management (Learning)",'Onshore - Sydney'!B1049))),2,IF(ISNUMBER(SEARCH("CEK:",'Onshore - Sydney'!M1049)),1,0))</f>
        <v>0</v>
      </c>
    </row>
    <row r="527" customFormat="false" ht="15" hidden="false" customHeight="false" outlineLevel="0" collapsed="false">
      <c r="A527" s="63" t="s">
        <v>3533</v>
      </c>
      <c r="B527" s="64" t="s">
        <v>3833</v>
      </c>
      <c r="C527" s="63" t="s">
        <v>42</v>
      </c>
      <c r="D527" s="64" t="str">
        <f aca="false">TRIM(LEFT('Onshore - Sydney'!A529,FIND(CHAR(10),'Onshore - Sydney'!A529&amp;CHAR(10))-1))</f>
        <v>Hunter Education Group</v>
      </c>
      <c r="E527" s="63" t="str">
        <f aca="false">'Onshore - Sydney'!C531&amp;""</f>
        <v>2,5 years</v>
      </c>
      <c r="F527" s="63" t="str">
        <f aca="false">IF('Onshore - Sydney'!D531="","Belum tercatat",'Onshore - Sydney'!D531)</f>
        <v>Term</v>
      </c>
      <c r="G527" s="65" t="n">
        <f aca="false">IF('Onshore - Sydney'!E531="","-",'Onshore - Sydney'!E531)</f>
        <v>4500</v>
      </c>
      <c r="H527" s="63" t="n">
        <f aca="false">IF(ISNUMBER(K527),COUNTIFS($J$6:$J$1916,J527,$K$6:$K$1916,"&lt;"&amp;K527)+1,"-")</f>
        <v>48</v>
      </c>
      <c r="I527" s="64" t="str">
        <f aca="false">IF('Onshore - Sydney'!E531="","Harga belum tersedia - hubungi konsultan TEG",IF(M527=2,"Saat ini tidak menerima pendaftaran siswa internasional baru",IF(M527=1,"Program perlu dikonfirmasi ketersediaannya"&amp;IF(""="","","; "&amp;""),"")))</f>
        <v>Program perlu dikonfirmasi ketersediaannya</v>
      </c>
      <c r="J527" s="0" t="s">
        <v>3909</v>
      </c>
      <c r="K527" s="0" t="n">
        <f aca="false">IF(M527=2,"",IF(ISNUMBER(SEARCH("rata-rata:",'Onshore - Sydney'!M531)),VALUE(MID('Onshore - Sydney'!M531,SEARCH("rata-rata:",'Onshore - Sydney'!M531)+11,FIND(";",'Onshore - Sydney'!M531&amp;";",SEARCH("rata-rata:",'Onshore - Sydney'!M531))-SEARCH("rata-rata:",'Onshore - Sydney'!M531)-11)),IF('Onshore - Sydney'!D531="Semester",'Onshore - Sydney'!E531*2,IF('Onshore - Sydney'!D531="Trimester",'Onshore - Sydney'!E531*3,IF('Onshore - Sydney'!D531="Term",'Onshore - Sydney'!E531*4,IF('Onshore - Sydney'!D531="Unit",'Onshore - Sydney'!E531*8,""))))))</f>
        <v>18000</v>
      </c>
      <c r="L527" s="0" t="n">
        <f aca="false">IF(AND(ISNUMBER('Onshore - Sydney'!E531),ISNUMBER(K527),ISNUMBER('Onshore - Sydney'!F531),ISNUMBER('Onshore - Sydney'!G531),OR('Onshore - Sydney'!F531&lt;&gt;0,ISNUMBER(SEARCH("Material 0 terverifikasi",'Onshore - Sydney'!M531))),OR('Onshore - Sydney'!G531&lt;&gt;0,ISNUMBER(SEARCH("Enrolment 0 terverifikasi",'Onshore - Sydney'!M531)))),1,0)</f>
        <v>0</v>
      </c>
      <c r="M527" s="0" t="n">
        <f aca="false">IF(OR('Onshore - Sydney'!E531="",ISNUMBER(SEARCH("BSB80120",'Onshore - Sydney'!B531&amp;'Onshore - Sydney'!M531)),ISNUMBER(SEARCH("Management (Learning)",'Onshore - Sydney'!B531))),2,IF(ISNUMBER(SEARCH("CEK:",'Onshore - Sydney'!M531)),1,0))</f>
        <v>1</v>
      </c>
    </row>
    <row r="528" customFormat="false" ht="15" hidden="false" customHeight="false" outlineLevel="0" collapsed="false">
      <c r="A528" s="63" t="s">
        <v>3533</v>
      </c>
      <c r="B528" s="64" t="s">
        <v>3833</v>
      </c>
      <c r="C528" s="63" t="s">
        <v>42</v>
      </c>
      <c r="D528" s="64" t="str">
        <f aca="false">TRIM(LEFT('Onshore - Sydney'!A888,FIND(CHAR(10),'Onshore - Sydney'!A888&amp;CHAR(10))-1))</f>
        <v>Torrens University Australia</v>
      </c>
      <c r="E528" s="63" t="str">
        <f aca="false">'Onshore - Sydney'!C985&amp;""</f>
        <v>2 years</v>
      </c>
      <c r="F528" s="63" t="str">
        <f aca="false">IF('Onshore - Sydney'!D985="","Belum tercatat",'Onshore - Sydney'!D985)</f>
        <v>Term</v>
      </c>
      <c r="G528" s="65" t="n">
        <f aca="false">IF('Onshore - Sydney'!E985="","-",'Onshore - Sydney'!E985)</f>
        <v>9372</v>
      </c>
      <c r="H528" s="63" t="n">
        <f aca="false">IF(ISNUMBER(K528),COUNTIFS($J$6:$J$1916,J528,$K$6:$K$1916,"&lt;"&amp;K528)+1,"-")</f>
        <v>49</v>
      </c>
      <c r="I528" s="64" t="str">
        <f aca="false">IF('Onshore - Sydney'!E985="","Harga belum tersedia - hubungi konsultan TEG",IF(M528=2,"Saat ini tidak menerima pendaftaran siswa internasional baru",IF(M528=1,"Harga perlu dikonfirmasi ke sekolah"&amp;IF(""="","","; "&amp;""),"")))</f>
        <v/>
      </c>
      <c r="J528" s="0" t="s">
        <v>3909</v>
      </c>
      <c r="K528" s="0" t="n">
        <f aca="false">IF(M528=2,"",IF(ISNUMBER(SEARCH("rata-rata:",'Onshore - Sydney'!M985)),VALUE(MID('Onshore - Sydney'!M985,SEARCH("rata-rata:",'Onshore - Sydney'!M985)+11,FIND(";",'Onshore - Sydney'!M985&amp;";",SEARCH("rata-rata:",'Onshore - Sydney'!M985))-SEARCH("rata-rata:",'Onshore - Sydney'!M985)-11)),IF('Onshore - Sydney'!D985="Semester",'Onshore - Sydney'!E985*2,IF('Onshore - Sydney'!D985="Trimester",'Onshore - Sydney'!E985*3,IF('Onshore - Sydney'!D985="Term",'Onshore - Sydney'!E985*4,IF('Onshore - Sydney'!D985="Unit",'Onshore - Sydney'!E985*8,""))))))</f>
        <v>37488</v>
      </c>
      <c r="L528" s="0" t="n">
        <f aca="false">IF(AND(ISNUMBER('Onshore - Sydney'!E985),ISNUMBER(K528),ISNUMBER('Onshore - Sydney'!F985),ISNUMBER('Onshore - Sydney'!G985),OR('Onshore - Sydney'!F985&lt;&gt;0,ISNUMBER(SEARCH("Material 0 terverifikasi",'Onshore - Sydney'!M985))),OR('Onshore - Sydney'!G985&lt;&gt;0,ISNUMBER(SEARCH("Enrolment 0 terverifikasi",'Onshore - Sydney'!M985)))),1,0)</f>
        <v>0</v>
      </c>
      <c r="M528" s="0" t="n">
        <f aca="false">IF(OR('Onshore - Sydney'!E985="",ISNUMBER(SEARCH("BSB80120",'Onshore - Sydney'!B985&amp;'Onshore - Sydney'!M985)),ISNUMBER(SEARCH("Management (Learning)",'Onshore - Sydney'!B985))),2,IF(ISNUMBER(SEARCH("CEK:",'Onshore - Sydney'!M985)),1,0))</f>
        <v>0</v>
      </c>
    </row>
    <row r="529" customFormat="false" ht="15" hidden="false" customHeight="false" outlineLevel="0" collapsed="false">
      <c r="A529" s="61" t="s">
        <v>3910</v>
      </c>
      <c r="B529" s="62"/>
      <c r="C529" s="62"/>
      <c r="D529" s="62"/>
      <c r="E529" s="62"/>
      <c r="F529" s="62"/>
      <c r="G529" s="62"/>
      <c r="H529" s="62"/>
      <c r="I529" s="62"/>
    </row>
    <row r="530" customFormat="false" ht="15" hidden="false" customHeight="false" outlineLevel="0" collapsed="false">
      <c r="A530" s="63" t="s">
        <v>3533</v>
      </c>
      <c r="B530" s="64" t="s">
        <v>3833</v>
      </c>
      <c r="C530" s="63" t="s">
        <v>43</v>
      </c>
      <c r="D530" s="64" t="str">
        <f aca="false">TRIM(LEFT('Onshore - Sydney'!A74,FIND(CHAR(10),'Onshore - Sydney'!A74&amp;CHAR(10))-1))</f>
        <v>AIBI Higher Education</v>
      </c>
      <c r="E530" s="63" t="str">
        <f aca="false">'Onshore - Sydney'!C75&amp;""</f>
        <v>3 years</v>
      </c>
      <c r="F530" s="63" t="str">
        <f aca="false">IF('Onshore - Sydney'!D75="","Belum tercatat",'Onshore - Sydney'!D75)</f>
        <v>Term</v>
      </c>
      <c r="G530" s="65" t="n">
        <f aca="false">IF('Onshore - Sydney'!E75="","-",'Onshore - Sydney'!E75)</f>
        <v>3250</v>
      </c>
      <c r="H530" s="63" t="n">
        <f aca="false">IF(ISNUMBER(K530),COUNTIFS($J$6:$J$1916,J530,$K$6:$K$1916,"&lt;"&amp;K530)+1,"-")</f>
        <v>1</v>
      </c>
      <c r="I530" s="64" t="str">
        <f aca="false">IF('Onshore - Sydney'!E75="","Harga belum tersedia - hubungi konsultan TEG",IF(M530=2,"Saat ini tidak menerima pendaftaran siswa internasional baru",IF(M530=1,"Harga perlu dikonfirmasi ke sekolah"&amp;IF(""="","","; "&amp;""),"")))</f>
        <v>Harga perlu dikonfirmasi ke sekolah</v>
      </c>
      <c r="J530" s="0" t="s">
        <v>3911</v>
      </c>
      <c r="K530" s="0" t="n">
        <f aca="false">IF(M530=2,"",IF(ISNUMBER(SEARCH("rata-rata:",'Onshore - Sydney'!M75)),VALUE(MID('Onshore - Sydney'!M75,SEARCH("rata-rata:",'Onshore - Sydney'!M75)+11,FIND(";",'Onshore - Sydney'!M75&amp;";",SEARCH("rata-rata:",'Onshore - Sydney'!M75))-SEARCH("rata-rata:",'Onshore - Sydney'!M75)-11)),IF('Onshore - Sydney'!D75="Semester",'Onshore - Sydney'!E75*2,IF('Onshore - Sydney'!D75="Trimester",'Onshore - Sydney'!E75*3,IF('Onshore - Sydney'!D75="Term",'Onshore - Sydney'!E75*4,IF('Onshore - Sydney'!D75="Unit",'Onshore - Sydney'!E75*8,""))))))</f>
        <v>13000</v>
      </c>
      <c r="L530" s="0" t="n">
        <f aca="false">IF(AND(ISNUMBER('Onshore - Sydney'!E75),ISNUMBER(K530),ISNUMBER('Onshore - Sydney'!F75),ISNUMBER('Onshore - Sydney'!G75),OR('Onshore - Sydney'!F75&lt;&gt;0,ISNUMBER(SEARCH("Material 0 terverifikasi",'Onshore - Sydney'!M75))),OR('Onshore - Sydney'!G75&lt;&gt;0,ISNUMBER(SEARCH("Enrolment 0 terverifikasi",'Onshore - Sydney'!M75)))),1,0)</f>
        <v>0</v>
      </c>
      <c r="M530" s="0" t="n">
        <f aca="false">IF(OR('Onshore - Sydney'!E75="",ISNUMBER(SEARCH("BSB80120",'Onshore - Sydney'!B75&amp;'Onshore - Sydney'!M75)),ISNUMBER(SEARCH("Management (Learning)",'Onshore - Sydney'!B75))),2,IF(ISNUMBER(SEARCH("CEK:",'Onshore - Sydney'!M75)),1,0))</f>
        <v>1</v>
      </c>
    </row>
    <row r="531" customFormat="false" ht="15" hidden="false" customHeight="false" outlineLevel="0" collapsed="false">
      <c r="A531" s="63" t="s">
        <v>3533</v>
      </c>
      <c r="B531" s="64" t="s">
        <v>3833</v>
      </c>
      <c r="C531" s="63" t="s">
        <v>43</v>
      </c>
      <c r="D531" s="64" t="str">
        <f aca="false">TRIM(LEFT('Onshore - Sydney'!A151,FIND(CHAR(10),'Onshore - Sydney'!A151&amp;CHAR(10))-1))</f>
        <v>Astra Institute of Higher Education</v>
      </c>
      <c r="E531" s="63" t="str">
        <f aca="false">'Onshore - Sydney'!C151&amp;""</f>
        <v>3 years</v>
      </c>
      <c r="F531" s="63" t="str">
        <f aca="false">IF('Onshore - Sydney'!D151="","Belum tercatat",'Onshore - Sydney'!D151)</f>
        <v>Trimester</v>
      </c>
      <c r="G531" s="65" t="n">
        <f aca="false">IF('Onshore - Sydney'!E151="","-",'Onshore - Sydney'!E151)</f>
        <v>4400</v>
      </c>
      <c r="H531" s="63" t="n">
        <f aca="false">IF(ISNUMBER(K531),COUNTIFS($J$6:$J$1916,J531,$K$6:$K$1916,"&lt;"&amp;K531)+1,"-")</f>
        <v>2</v>
      </c>
      <c r="I531" s="64" t="str">
        <f aca="false">IF('Onshore - Sydney'!E151="","Harga belum tersedia - hubungi konsultan TEG",IF(M531=2,"Saat ini tidak menerima pendaftaran siswa internasional baru",IF(M531=1,"Harga perlu dikonfirmasi ke sekolah"&amp;IF(""="","","; "&amp;""),"")))</f>
        <v/>
      </c>
      <c r="J531" s="0" t="s">
        <v>3911</v>
      </c>
      <c r="K531" s="0" t="n">
        <f aca="false">IF(M531=2,"",IF(ISNUMBER(SEARCH("rata-rata:",'Onshore - Sydney'!M151)),VALUE(MID('Onshore - Sydney'!M151,SEARCH("rata-rata:",'Onshore - Sydney'!M151)+11,FIND(";",'Onshore - Sydney'!M151&amp;";",SEARCH("rata-rata:",'Onshore - Sydney'!M151))-SEARCH("rata-rata:",'Onshore - Sydney'!M151)-11)),IF('Onshore - Sydney'!D151="Semester",'Onshore - Sydney'!E151*2,IF('Onshore - Sydney'!D151="Trimester",'Onshore - Sydney'!E151*3,IF('Onshore - Sydney'!D151="Term",'Onshore - Sydney'!E151*4,IF('Onshore - Sydney'!D151="Unit",'Onshore - Sydney'!E151*8,""))))))</f>
        <v>13200</v>
      </c>
      <c r="L531" s="0" t="n">
        <f aca="false">IF(AND(ISNUMBER('Onshore - Sydney'!E151),ISNUMBER(K531),ISNUMBER('Onshore - Sydney'!F151),ISNUMBER('Onshore - Sydney'!G151),OR('Onshore - Sydney'!F151&lt;&gt;0,ISNUMBER(SEARCH("Material 0 terverifikasi",'Onshore - Sydney'!M151))),OR('Onshore - Sydney'!G151&lt;&gt;0,ISNUMBER(SEARCH("Enrolment 0 terverifikasi",'Onshore - Sydney'!M151)))),1,0)</f>
        <v>1</v>
      </c>
      <c r="M531" s="0" t="n">
        <f aca="false">IF(OR('Onshore - Sydney'!E151="",ISNUMBER(SEARCH("BSB80120",'Onshore - Sydney'!B151&amp;'Onshore - Sydney'!M151)),ISNUMBER(SEARCH("Management (Learning)",'Onshore - Sydney'!B151))),2,IF(ISNUMBER(SEARCH("CEK:",'Onshore - Sydney'!M151)),1,0))</f>
        <v>0</v>
      </c>
    </row>
    <row r="532" customFormat="false" ht="15" hidden="false" customHeight="false" outlineLevel="0" collapsed="false">
      <c r="A532" s="63" t="s">
        <v>3533</v>
      </c>
      <c r="B532" s="64" t="s">
        <v>3833</v>
      </c>
      <c r="C532" s="63" t="s">
        <v>43</v>
      </c>
      <c r="D532" s="64" t="str">
        <f aca="false">TRIM(LEFT('Onshore - Sydney'!A138,FIND(CHAR(10),'Onshore - Sydney'!A138&amp;CHAR(10))-1))</f>
        <v>Asia Pacific International College (APIC)</v>
      </c>
      <c r="E532" s="63" t="str">
        <f aca="false">'Onshore - Sydney'!C141&amp;""</f>
        <v>3 years</v>
      </c>
      <c r="F532" s="63" t="str">
        <f aca="false">IF('Onshore - Sydney'!D141="","Belum tercatat",'Onshore - Sydney'!D141)</f>
        <v>Trimester</v>
      </c>
      <c r="G532" s="65" t="n">
        <f aca="false">IF('Onshore - Sydney'!E141="","-",'Onshore - Sydney'!E141)</f>
        <v>4500</v>
      </c>
      <c r="H532" s="63" t="n">
        <f aca="false">IF(ISNUMBER(K532),COUNTIFS($J$6:$J$1916,J532,$K$6:$K$1916,"&lt;"&amp;K532)+1,"-")</f>
        <v>3</v>
      </c>
      <c r="I532" s="64" t="str">
        <f aca="false">IF('Onshore - Sydney'!E141="","Harga belum tersedia - hubungi konsultan TEG",IF(M532=2,"Saat ini tidak menerima pendaftaran siswa internasional baru",IF(M532=1,"Harga perlu dikonfirmasi ke sekolah"&amp;IF("Harga promo s.d. 31/12/2026"="","","; "&amp;"Harga promo s.d. 31/12/2026"),"Harga promo s.d. 31/12/2026")))</f>
        <v>Harga promo s.d. 31/12/2026</v>
      </c>
      <c r="J532" s="0" t="s">
        <v>3911</v>
      </c>
      <c r="K532" s="0" t="n">
        <f aca="false">IF(M532=2,"",IF(ISNUMBER(SEARCH("rata-rata:",'Onshore - Sydney'!M141)),VALUE(MID('Onshore - Sydney'!M141,SEARCH("rata-rata:",'Onshore - Sydney'!M141)+11,FIND(";",'Onshore - Sydney'!M141&amp;";",SEARCH("rata-rata:",'Onshore - Sydney'!M141))-SEARCH("rata-rata:",'Onshore - Sydney'!M141)-11)),IF('Onshore - Sydney'!D141="Semester",'Onshore - Sydney'!E141*2,IF('Onshore - Sydney'!D141="Trimester",'Onshore - Sydney'!E141*3,IF('Onshore - Sydney'!D141="Term",'Onshore - Sydney'!E141*4,IF('Onshore - Sydney'!D141="Unit",'Onshore - Sydney'!E141*8,""))))))</f>
        <v>13500</v>
      </c>
      <c r="L532" s="0" t="n">
        <f aca="false">IF(AND(ISNUMBER('Onshore - Sydney'!E141),ISNUMBER(K532),ISNUMBER('Onshore - Sydney'!F141),ISNUMBER('Onshore - Sydney'!G141),OR('Onshore - Sydney'!F141&lt;&gt;0,ISNUMBER(SEARCH("Material 0 terverifikasi",'Onshore - Sydney'!M141))),OR('Onshore - Sydney'!G141&lt;&gt;0,ISNUMBER(SEARCH("Enrolment 0 terverifikasi",'Onshore - Sydney'!M141)))),1,0)</f>
        <v>0</v>
      </c>
      <c r="M532" s="0" t="n">
        <f aca="false">IF(OR('Onshore - Sydney'!E141="",ISNUMBER(SEARCH("BSB80120",'Onshore - Sydney'!B141&amp;'Onshore - Sydney'!M141)),ISNUMBER(SEARCH("Management (Learning)",'Onshore - Sydney'!B141))),2,IF(ISNUMBER(SEARCH("CEK:",'Onshore - Sydney'!M141)),1,0))</f>
        <v>0</v>
      </c>
    </row>
    <row r="533" customFormat="false" ht="55.2" hidden="false" customHeight="false" outlineLevel="0" collapsed="false">
      <c r="A533" s="63" t="s">
        <v>3533</v>
      </c>
      <c r="B533" s="64" t="s">
        <v>3833</v>
      </c>
      <c r="C533" s="63" t="s">
        <v>43</v>
      </c>
      <c r="D533" s="64" t="str">
        <f aca="false">TRIM(LEFT('Onshore - Sydney'!A88,FIND(CHAR(10),'Onshore - Sydney'!A88&amp;CHAR(10))-1))</f>
        <v>AIH Higher Education (Australian Institute of Higher Education)</v>
      </c>
      <c r="E533" s="63" t="str">
        <f aca="false">'Onshore - Sydney'!C89&amp;""</f>
        <v>3 years</v>
      </c>
      <c r="F533" s="63" t="str">
        <f aca="false">IF('Onshore - Sydney'!D89="","Belum tercatat",'Onshore - Sydney'!D89)</f>
        <v>Unit</v>
      </c>
      <c r="G533" s="65" t="n">
        <f aca="false">IF('Onshore - Sydney'!E89="","-",'Onshore - Sydney'!E89)</f>
        <v>1790</v>
      </c>
      <c r="H533" s="63" t="n">
        <f aca="false">IF(ISNUMBER(K533),COUNTIFS($J$6:$J$1916,J533,$K$6:$K$1916,"&lt;"&amp;K533)+1,"-")</f>
        <v>4</v>
      </c>
      <c r="I533" s="64" t="str">
        <f aca="false">IF('Onshore - Sydney'!E89="","Harga belum tersedia - hubungi konsultan TEG",IF(M533=2,"Saat ini tidak menerima pendaftaran siswa internasional baru",IF(M533=1,"Harga perlu dikonfirmasi ke sekolah"&amp;IF("Harga promo s.d. 31/12/2026; Harga dihitung per unit; total tergantung jumlah unit yang diambil; Sudah termasuk beasiswa 20% (syarat berlaku)"="","","; "&amp;"Harga promo s.d. 31/12/2026; Harga dihitung per unit; total tergantung jumlah unit yang diambil; Sudah termasuk beasiswa 20% (syarat berlaku)"),"Harga promo s.d. 31/12/2026; Harga dihitung per unit; total tergantung jumlah unit yang diambil; Sudah termasuk beasiswa 20% (syarat berlaku)")))</f>
        <v>Harga promo s.d. 31/12/2026; Harga dihitung per unit; total tergantung jumlah unit yang diambil; Sudah termasuk beasiswa 20% (syarat berlaku)</v>
      </c>
      <c r="J533" s="0" t="s">
        <v>3911</v>
      </c>
      <c r="K533" s="0" t="n">
        <f aca="false">IF(M533=2,"",IF(ISNUMBER(SEARCH("rata-rata:",'Onshore - Sydney'!M89)),VALUE(MID('Onshore - Sydney'!M89,SEARCH("rata-rata:",'Onshore - Sydney'!M89)+11,FIND(";",'Onshore - Sydney'!M89&amp;";",SEARCH("rata-rata:",'Onshore - Sydney'!M89))-SEARCH("rata-rata:",'Onshore - Sydney'!M89)-11)),IF('Onshore - Sydney'!D89="Semester",'Onshore - Sydney'!E89*2,IF('Onshore - Sydney'!D89="Trimester",'Onshore - Sydney'!E89*3,IF('Onshore - Sydney'!D89="Term",'Onshore - Sydney'!E89*4,IF('Onshore - Sydney'!D89="Unit",'Onshore - Sydney'!E89*8,""))))))</f>
        <v>14320</v>
      </c>
      <c r="L533" s="0" t="n">
        <f aca="false">IF(AND(ISNUMBER('Onshore - Sydney'!E89),ISNUMBER(K533),ISNUMBER('Onshore - Sydney'!F89),ISNUMBER('Onshore - Sydney'!G89),OR('Onshore - Sydney'!F89&lt;&gt;0,ISNUMBER(SEARCH("Material 0 terverifikasi",'Onshore - Sydney'!M89))),OR('Onshore - Sydney'!G89&lt;&gt;0,ISNUMBER(SEARCH("Enrolment 0 terverifikasi",'Onshore - Sydney'!M89)))),1,0)</f>
        <v>1</v>
      </c>
      <c r="M533" s="0" t="n">
        <f aca="false">IF(OR('Onshore - Sydney'!E89="",ISNUMBER(SEARCH("BSB80120",'Onshore - Sydney'!B89&amp;'Onshore - Sydney'!M89)),ISNUMBER(SEARCH("Management (Learning)",'Onshore - Sydney'!B89))),2,IF(ISNUMBER(SEARCH("CEK:",'Onshore - Sydney'!M89)),1,0))</f>
        <v>0</v>
      </c>
    </row>
    <row r="534" customFormat="false" ht="15" hidden="false" customHeight="false" outlineLevel="0" collapsed="false">
      <c r="A534" s="63" t="s">
        <v>3533</v>
      </c>
      <c r="B534" s="64" t="s">
        <v>3833</v>
      </c>
      <c r="C534" s="63" t="s">
        <v>43</v>
      </c>
      <c r="D534" s="64" t="str">
        <f aca="false">TRIM(LEFT('Onshore - Sydney'!A422,FIND(CHAR(10),'Onshore - Sydney'!A422&amp;CHAR(10))-1))</f>
        <v>CIHE Australia</v>
      </c>
      <c r="E534" s="63" t="str">
        <f aca="false">'Onshore - Sydney'!C435&amp;""</f>
        <v>3 years</v>
      </c>
      <c r="F534" s="63" t="str">
        <f aca="false">IF('Onshore - Sydney'!D435="","Belum tercatat",'Onshore - Sydney'!D435)</f>
        <v>Term</v>
      </c>
      <c r="G534" s="65" t="n">
        <f aca="false">IF('Onshore - Sydney'!E435="","-",'Onshore - Sydney'!E435)</f>
        <v>3600</v>
      </c>
      <c r="H534" s="63" t="n">
        <f aca="false">IF(ISNUMBER(K534),COUNTIFS($J$6:$J$1916,J534,$K$6:$K$1916,"&lt;"&amp;K534)+1,"-")</f>
        <v>5</v>
      </c>
      <c r="I534" s="64" t="str">
        <f aca="false">IF('Onshore - Sydney'!E435="","Harga belum tersedia - hubungi konsultan TEG",IF(M534=2,"Saat ini tidak menerima pendaftaran siswa internasional baru",IF(M534=1,"Harga perlu dikonfirmasi ke sekolah"&amp;IF(""="","","; "&amp;""),"")))</f>
        <v>Harga perlu dikonfirmasi ke sekolah</v>
      </c>
      <c r="J534" s="0" t="s">
        <v>3911</v>
      </c>
      <c r="K534" s="0" t="n">
        <f aca="false">IF(M534=2,"",IF(ISNUMBER(SEARCH("rata-rata:",'Onshore - Sydney'!M435)),VALUE(MID('Onshore - Sydney'!M435,SEARCH("rata-rata:",'Onshore - Sydney'!M435)+11,FIND(";",'Onshore - Sydney'!M435&amp;";",SEARCH("rata-rata:",'Onshore - Sydney'!M435))-SEARCH("rata-rata:",'Onshore - Sydney'!M435)-11)),IF('Onshore - Sydney'!D435="Semester",'Onshore - Sydney'!E435*2,IF('Onshore - Sydney'!D435="Trimester",'Onshore - Sydney'!E435*3,IF('Onshore - Sydney'!D435="Term",'Onshore - Sydney'!E435*4,IF('Onshore - Sydney'!D435="Unit",'Onshore - Sydney'!E435*8,""))))))</f>
        <v>14400</v>
      </c>
      <c r="L534" s="0" t="n">
        <f aca="false">IF(AND(ISNUMBER('Onshore - Sydney'!E435),ISNUMBER(K534),ISNUMBER('Onshore - Sydney'!F435),ISNUMBER('Onshore - Sydney'!G435),OR('Onshore - Sydney'!F435&lt;&gt;0,ISNUMBER(SEARCH("Material 0 terverifikasi",'Onshore - Sydney'!M435))),OR('Onshore - Sydney'!G435&lt;&gt;0,ISNUMBER(SEARCH("Enrolment 0 terverifikasi",'Onshore - Sydney'!M435)))),1,0)</f>
        <v>1</v>
      </c>
      <c r="M534" s="0" t="n">
        <f aca="false">IF(OR('Onshore - Sydney'!E435="",ISNUMBER(SEARCH("BSB80120",'Onshore - Sydney'!B435&amp;'Onshore - Sydney'!M435)),ISNUMBER(SEARCH("Management (Learning)",'Onshore - Sydney'!B435))),2,IF(ISNUMBER(SEARCH("CEK:",'Onshore - Sydney'!M435)),1,0))</f>
        <v>1</v>
      </c>
    </row>
    <row r="535" customFormat="false" ht="15" hidden="false" customHeight="false" outlineLevel="0" collapsed="false">
      <c r="A535" s="63" t="s">
        <v>3533</v>
      </c>
      <c r="B535" s="64" t="s">
        <v>3833</v>
      </c>
      <c r="C535" s="63" t="s">
        <v>43</v>
      </c>
      <c r="D535" s="64" t="str">
        <f aca="false">TRIM(LEFT('Onshore - Sydney'!A866,FIND(CHAR(10),'Onshore - Sydney'!A866&amp;CHAR(10))-1))</f>
        <v>The Institute of International Studies (TIIS)</v>
      </c>
      <c r="E535" s="63" t="str">
        <f aca="false">'Onshore - Sydney'!C874&amp;""</f>
        <v>3 years</v>
      </c>
      <c r="F535" s="63" t="str">
        <f aca="false">IF('Onshore - Sydney'!D874="","Belum tercatat",'Onshore - Sydney'!D874)</f>
        <v>Term</v>
      </c>
      <c r="G535" s="65" t="n">
        <f aca="false">IF('Onshore - Sydney'!E874="","-",'Onshore - Sydney'!E874)</f>
        <v>3700</v>
      </c>
      <c r="H535" s="63" t="n">
        <f aca="false">IF(ISNUMBER(K535),COUNTIFS($J$6:$J$1916,J535,$K$6:$K$1916,"&lt;"&amp;K535)+1,"-")</f>
        <v>6</v>
      </c>
      <c r="I535" s="64" t="str">
        <f aca="false">IF('Onshore - Sydney'!E874="","Harga belum tersedia - hubungi konsultan TEG",IF(M535=2,"Saat ini tidak menerima pendaftaran siswa internasional baru",IF(M535=1,"Harga perlu dikonfirmasi ke sekolah"&amp;IF(""="","","; "&amp;""),"")))</f>
        <v/>
      </c>
      <c r="J535" s="0" t="s">
        <v>3911</v>
      </c>
      <c r="K535" s="0" t="n">
        <f aca="false">IF(M535=2,"",IF(ISNUMBER(SEARCH("rata-rata:",'Onshore - Sydney'!M874)),VALUE(MID('Onshore - Sydney'!M874,SEARCH("rata-rata:",'Onshore - Sydney'!M874)+11,FIND(";",'Onshore - Sydney'!M874&amp;";",SEARCH("rata-rata:",'Onshore - Sydney'!M874))-SEARCH("rata-rata:",'Onshore - Sydney'!M874)-11)),IF('Onshore - Sydney'!D874="Semester",'Onshore - Sydney'!E874*2,IF('Onshore - Sydney'!D874="Trimester",'Onshore - Sydney'!E874*3,IF('Onshore - Sydney'!D874="Term",'Onshore - Sydney'!E874*4,IF('Onshore - Sydney'!D874="Unit",'Onshore - Sydney'!E874*8,""))))))</f>
        <v>14800</v>
      </c>
      <c r="L535" s="0" t="n">
        <f aca="false">IF(AND(ISNUMBER('Onshore - Sydney'!E874),ISNUMBER(K535),ISNUMBER('Onshore - Sydney'!F874),ISNUMBER('Onshore - Sydney'!G874),OR('Onshore - Sydney'!F874&lt;&gt;0,ISNUMBER(SEARCH("Material 0 terverifikasi",'Onshore - Sydney'!M874))),OR('Onshore - Sydney'!G874&lt;&gt;0,ISNUMBER(SEARCH("Enrolment 0 terverifikasi",'Onshore - Sydney'!M874)))),1,0)</f>
        <v>0</v>
      </c>
      <c r="M535" s="0" t="n">
        <f aca="false">IF(OR('Onshore - Sydney'!E874="",ISNUMBER(SEARCH("BSB80120",'Onshore - Sydney'!B874&amp;'Onshore - Sydney'!M874)),ISNUMBER(SEARCH("Management (Learning)",'Onshore - Sydney'!B874))),2,IF(ISNUMBER(SEARCH("CEK:",'Onshore - Sydney'!M874)),1,0))</f>
        <v>0</v>
      </c>
    </row>
    <row r="536" customFormat="false" ht="15" hidden="false" customHeight="false" outlineLevel="0" collapsed="false">
      <c r="A536" s="63" t="s">
        <v>3533</v>
      </c>
      <c r="B536" s="64" t="s">
        <v>3833</v>
      </c>
      <c r="C536" s="63" t="s">
        <v>43</v>
      </c>
      <c r="D536" s="64" t="str">
        <f aca="false">TRIM(LEFT('Onshore - Sydney'!A384,FIND(CHAR(10),'Onshore - Sydney'!A384&amp;CHAR(10))-1))</f>
        <v>Canterbury Institute of Management (CIM)</v>
      </c>
      <c r="E536" s="63" t="str">
        <f aca="false">'Onshore - Sydney'!C384&amp;""</f>
        <v>3 years</v>
      </c>
      <c r="F536" s="63" t="str">
        <f aca="false">IF('Onshore - Sydney'!D384="","Belum tercatat",'Onshore - Sydney'!D384)</f>
        <v>Semester</v>
      </c>
      <c r="G536" s="65" t="n">
        <f aca="false">IF('Onshore - Sydney'!E384="","-",'Onshore - Sydney'!E384)</f>
        <v>8000</v>
      </c>
      <c r="H536" s="63" t="n">
        <f aca="false">IF(ISNUMBER(K536),COUNTIFS($J$6:$J$1916,J536,$K$6:$K$1916,"&lt;"&amp;K536)+1,"-")</f>
        <v>7</v>
      </c>
      <c r="I536" s="64" t="str">
        <f aca="false">IF('Onshore - Sydney'!E384="","Harga belum tersedia - hubungi konsultan TEG",IF(M536=2,"Saat ini tidak menerima pendaftaran siswa internasional baru",IF(M536=1,"Harga perlu dikonfirmasi ke sekolah"&amp;IF(""="","","; "&amp;""),"")))</f>
        <v>Harga perlu dikonfirmasi ke sekolah</v>
      </c>
      <c r="J536" s="0" t="s">
        <v>3911</v>
      </c>
      <c r="K536" s="0" t="n">
        <f aca="false">IF(M536=2,"",IF(ISNUMBER(SEARCH("rata-rata:",'Onshore - Sydney'!M384)),VALUE(MID('Onshore - Sydney'!M384,SEARCH("rata-rata:",'Onshore - Sydney'!M384)+11,FIND(";",'Onshore - Sydney'!M384&amp;";",SEARCH("rata-rata:",'Onshore - Sydney'!M384))-SEARCH("rata-rata:",'Onshore - Sydney'!M384)-11)),IF('Onshore - Sydney'!D384="Semester",'Onshore - Sydney'!E384*2,IF('Onshore - Sydney'!D384="Trimester",'Onshore - Sydney'!E384*3,IF('Onshore - Sydney'!D384="Term",'Onshore - Sydney'!E384*4,IF('Onshore - Sydney'!D384="Unit",'Onshore - Sydney'!E384*8,""))))))</f>
        <v>16000</v>
      </c>
      <c r="L536" s="0" t="n">
        <f aca="false">IF(AND(ISNUMBER('Onshore - Sydney'!E384),ISNUMBER(K536),ISNUMBER('Onshore - Sydney'!F384),ISNUMBER('Onshore - Sydney'!G384),OR('Onshore - Sydney'!F384&lt;&gt;0,ISNUMBER(SEARCH("Material 0 terverifikasi",'Onshore - Sydney'!M384))),OR('Onshore - Sydney'!G384&lt;&gt;0,ISNUMBER(SEARCH("Enrolment 0 terverifikasi",'Onshore - Sydney'!M384)))),1,0)</f>
        <v>0</v>
      </c>
      <c r="M536" s="0" t="n">
        <f aca="false">IF(OR('Onshore - Sydney'!E384="",ISNUMBER(SEARCH("BSB80120",'Onshore - Sydney'!B384&amp;'Onshore - Sydney'!M384)),ISNUMBER(SEARCH("Management (Learning)",'Onshore - Sydney'!B384))),2,IF(ISNUMBER(SEARCH("CEK:",'Onshore - Sydney'!M384)),1,0))</f>
        <v>1</v>
      </c>
    </row>
    <row r="537" customFormat="false" ht="15" hidden="false" customHeight="false" outlineLevel="0" collapsed="false">
      <c r="A537" s="63" t="s">
        <v>3533</v>
      </c>
      <c r="B537" s="64" t="s">
        <v>3833</v>
      </c>
      <c r="C537" s="63" t="s">
        <v>43</v>
      </c>
      <c r="D537" s="64" t="str">
        <f aca="false">TRIM(LEFT('Onshore - Sydney'!A796,FIND(CHAR(10),'Onshore - Sydney'!A796&amp;CHAR(10))-1))</f>
        <v>TAFE NSW</v>
      </c>
      <c r="E537" s="63" t="str">
        <f aca="false">'Onshore - Sydney'!C808&amp;""</f>
        <v>3 years</v>
      </c>
      <c r="F537" s="63" t="str">
        <f aca="false">IF('Onshore - Sydney'!D808="","Belum tercatat",'Onshore - Sydney'!D808)</f>
        <v>Term</v>
      </c>
      <c r="G537" s="65" t="n">
        <f aca="false">IF('Onshore - Sydney'!E808="","-",'Onshore - Sydney'!E808)</f>
        <v>4340</v>
      </c>
      <c r="H537" s="63" t="n">
        <f aca="false">IF(ISNUMBER(K537),COUNTIFS($J$6:$J$1916,J537,$K$6:$K$1916,"&lt;"&amp;K537)+1,"-")</f>
        <v>8</v>
      </c>
      <c r="I537" s="64" t="str">
        <f aca="false">IF('Onshore - Sydney'!E808="","Harga belum tersedia - hubungi konsultan TEG",IF(M537=2,"Saat ini tidak menerima pendaftaran siswa internasional baru",IF(M537=1,"Harga perlu dikonfirmasi ke sekolah"&amp;IF(""="","","; "&amp;""),"")))</f>
        <v/>
      </c>
      <c r="J537" s="0" t="s">
        <v>3911</v>
      </c>
      <c r="K537" s="0" t="n">
        <f aca="false">IF(M537=2,"",IF(ISNUMBER(SEARCH("rata-rata:",'Onshore - Sydney'!M808)),VALUE(MID('Onshore - Sydney'!M808,SEARCH("rata-rata:",'Onshore - Sydney'!M808)+11,FIND(";",'Onshore - Sydney'!M808&amp;";",SEARCH("rata-rata:",'Onshore - Sydney'!M808))-SEARCH("rata-rata:",'Onshore - Sydney'!M808)-11)),IF('Onshore - Sydney'!D808="Semester",'Onshore - Sydney'!E808*2,IF('Onshore - Sydney'!D808="Trimester",'Onshore - Sydney'!E808*3,IF('Onshore - Sydney'!D808="Term",'Onshore - Sydney'!E808*4,IF('Onshore - Sydney'!D808="Unit",'Onshore - Sydney'!E808*8,""))))))</f>
        <v>17360</v>
      </c>
      <c r="L537" s="0" t="n">
        <f aca="false">IF(AND(ISNUMBER('Onshore - Sydney'!E808),ISNUMBER(K537),ISNUMBER('Onshore - Sydney'!F808),ISNUMBER('Onshore - Sydney'!G808),OR('Onshore - Sydney'!F808&lt;&gt;0,ISNUMBER(SEARCH("Material 0 terverifikasi",'Onshore - Sydney'!M808))),OR('Onshore - Sydney'!G808&lt;&gt;0,ISNUMBER(SEARCH("Enrolment 0 terverifikasi",'Onshore - Sydney'!M808)))),1,0)</f>
        <v>0</v>
      </c>
      <c r="M537" s="0" t="n">
        <f aca="false">IF(OR('Onshore - Sydney'!E808="",ISNUMBER(SEARCH("BSB80120",'Onshore - Sydney'!B808&amp;'Onshore - Sydney'!M808)),ISNUMBER(SEARCH("Management (Learning)",'Onshore - Sydney'!B808))),2,IF(ISNUMBER(SEARCH("CEK:",'Onshore - Sydney'!M808)),1,0))</f>
        <v>0</v>
      </c>
    </row>
    <row r="538" customFormat="false" ht="15" hidden="false" customHeight="false" outlineLevel="0" collapsed="false">
      <c r="A538" s="63" t="s">
        <v>3533</v>
      </c>
      <c r="B538" s="64" t="s">
        <v>3833</v>
      </c>
      <c r="C538" s="63" t="s">
        <v>43</v>
      </c>
      <c r="D538" s="64" t="str">
        <f aca="false">TRIM(LEFT('Onshore - Sydney'!A567,FIND(CHAR(10),'Onshore - Sydney'!A567&amp;CHAR(10))-1))</f>
        <v>Kent Institute Australia</v>
      </c>
      <c r="E538" s="63" t="str">
        <f aca="false">'Onshore - Sydney'!C568&amp;""</f>
        <v>3 years</v>
      </c>
      <c r="F538" s="63" t="str">
        <f aca="false">IF('Onshore - Sydney'!D568="","Belum tercatat",'Onshore - Sydney'!D568)</f>
        <v>Trimester</v>
      </c>
      <c r="G538" s="65" t="n">
        <f aca="false">IF('Onshore - Sydney'!E568="","-",'Onshore - Sydney'!E568)</f>
        <v>5800</v>
      </c>
      <c r="H538" s="63" t="n">
        <f aca="false">IF(ISNUMBER(K538),COUNTIFS($J$6:$J$1916,J538,$K$6:$K$1916,"&lt;"&amp;K538)+1,"-")</f>
        <v>9</v>
      </c>
      <c r="I538" s="64" t="str">
        <f aca="false">IF('Onshore - Sydney'!E568="","Harga belum tersedia - hubungi konsultan TEG",IF(M538=2,"Saat ini tidak menerima pendaftaran siswa internasional baru",IF(M538=1,"Harga perlu dikonfirmasi ke sekolah"&amp;IF(""="","","; "&amp;""),"")))</f>
        <v>Harga perlu dikonfirmasi ke sekolah</v>
      </c>
      <c r="J538" s="0" t="s">
        <v>3911</v>
      </c>
      <c r="K538" s="0" t="n">
        <f aca="false">IF(M538=2,"",IF(ISNUMBER(SEARCH("rata-rata:",'Onshore - Sydney'!M568)),VALUE(MID('Onshore - Sydney'!M568,SEARCH("rata-rata:",'Onshore - Sydney'!M568)+11,FIND(";",'Onshore - Sydney'!M568&amp;";",SEARCH("rata-rata:",'Onshore - Sydney'!M568))-SEARCH("rata-rata:",'Onshore - Sydney'!M568)-11)),IF('Onshore - Sydney'!D568="Semester",'Onshore - Sydney'!E568*2,IF('Onshore - Sydney'!D568="Trimester",'Onshore - Sydney'!E568*3,IF('Onshore - Sydney'!D568="Term",'Onshore - Sydney'!E568*4,IF('Onshore - Sydney'!D568="Unit",'Onshore - Sydney'!E568*8,""))))))</f>
        <v>17400</v>
      </c>
      <c r="L538" s="0" t="n">
        <f aca="false">IF(AND(ISNUMBER('Onshore - Sydney'!E568),ISNUMBER(K538),ISNUMBER('Onshore - Sydney'!F568),ISNUMBER('Onshore - Sydney'!G568),OR('Onshore - Sydney'!F568&lt;&gt;0,ISNUMBER(SEARCH("Material 0 terverifikasi",'Onshore - Sydney'!M568))),OR('Onshore - Sydney'!G568&lt;&gt;0,ISNUMBER(SEARCH("Enrolment 0 terverifikasi",'Onshore - Sydney'!M568)))),1,0)</f>
        <v>0</v>
      </c>
      <c r="M538" s="0" t="n">
        <f aca="false">IF(OR('Onshore - Sydney'!E568="",ISNUMBER(SEARCH("BSB80120",'Onshore - Sydney'!B568&amp;'Onshore - Sydney'!M568)),ISNUMBER(SEARCH("Management (Learning)",'Onshore - Sydney'!B568))),2,IF(ISNUMBER(SEARCH("CEK:",'Onshore - Sydney'!M568)),1,0))</f>
        <v>1</v>
      </c>
    </row>
    <row r="539" customFormat="false" ht="28.35" hidden="false" customHeight="false" outlineLevel="0" collapsed="false">
      <c r="A539" s="63" t="s">
        <v>3533</v>
      </c>
      <c r="B539" s="64" t="s">
        <v>3833</v>
      </c>
      <c r="C539" s="63" t="s">
        <v>43</v>
      </c>
      <c r="D539" s="64" t="str">
        <f aca="false">TRIM(LEFT('Onshore - Sydney'!A653,FIND(CHAR(10),'Onshore - Sydney'!A653&amp;CHAR(10))-1))</f>
        <v>National Academy of Professional Studies (NAPS)</v>
      </c>
      <c r="E539" s="63" t="str">
        <f aca="false">'Onshore - Sydney'!C659&amp;""</f>
        <v>3 years</v>
      </c>
      <c r="F539" s="63" t="str">
        <f aca="false">IF('Onshore - Sydney'!D659="","Belum tercatat",'Onshore - Sydney'!D659)</f>
        <v>Term</v>
      </c>
      <c r="G539" s="65" t="n">
        <f aca="false">IF('Onshore - Sydney'!E659="","-",'Onshore - Sydney'!E659)</f>
        <v>4500</v>
      </c>
      <c r="H539" s="63" t="n">
        <f aca="false">IF(ISNUMBER(K539),COUNTIFS($J$6:$J$1916,J539,$K$6:$K$1916,"&lt;"&amp;K539)+1,"-")</f>
        <v>10</v>
      </c>
      <c r="I539" s="64" t="str">
        <f aca="false">IF('Onshore - Sydney'!E659="","Harga belum tersedia - hubungi konsultan TEG",IF(M539=2,"Saat ini tidak menerima pendaftaran siswa internasional baru",IF(M539=1,"Harga perlu dikonfirmasi ke sekolah"&amp;IF(""="","","; "&amp;""),"")))</f>
        <v>Harga perlu dikonfirmasi ke sekolah</v>
      </c>
      <c r="J539" s="0" t="s">
        <v>3911</v>
      </c>
      <c r="K539" s="0" t="n">
        <f aca="false">IF(M539=2,"",IF(ISNUMBER(SEARCH("rata-rata:",'Onshore - Sydney'!M659)),VALUE(MID('Onshore - Sydney'!M659,SEARCH("rata-rata:",'Onshore - Sydney'!M659)+11,FIND(";",'Onshore - Sydney'!M659&amp;";",SEARCH("rata-rata:",'Onshore - Sydney'!M659))-SEARCH("rata-rata:",'Onshore - Sydney'!M659)-11)),IF('Onshore - Sydney'!D659="Semester",'Onshore - Sydney'!E659*2,IF('Onshore - Sydney'!D659="Trimester",'Onshore - Sydney'!E659*3,IF('Onshore - Sydney'!D659="Term",'Onshore - Sydney'!E659*4,IF('Onshore - Sydney'!D659="Unit",'Onshore - Sydney'!E659*8,""))))))</f>
        <v>18000</v>
      </c>
      <c r="L539" s="0" t="n">
        <f aca="false">IF(AND(ISNUMBER('Onshore - Sydney'!E659),ISNUMBER(K539),ISNUMBER('Onshore - Sydney'!F659),ISNUMBER('Onshore - Sydney'!G659),OR('Onshore - Sydney'!F659&lt;&gt;0,ISNUMBER(SEARCH("Material 0 terverifikasi",'Onshore - Sydney'!M659))),OR('Onshore - Sydney'!G659&lt;&gt;0,ISNUMBER(SEARCH("Enrolment 0 terverifikasi",'Onshore - Sydney'!M659)))),1,0)</f>
        <v>1</v>
      </c>
      <c r="M539" s="0" t="n">
        <f aca="false">IF(OR('Onshore - Sydney'!E659="",ISNUMBER(SEARCH("BSB80120",'Onshore - Sydney'!B659&amp;'Onshore - Sydney'!M659)),ISNUMBER(SEARCH("Management (Learning)",'Onshore - Sydney'!B659))),2,IF(ISNUMBER(SEARCH("CEK:",'Onshore - Sydney'!M659)),1,0))</f>
        <v>1</v>
      </c>
    </row>
    <row r="540" customFormat="false" ht="15" hidden="false" customHeight="false" outlineLevel="0" collapsed="false">
      <c r="A540" s="63" t="s">
        <v>3533</v>
      </c>
      <c r="B540" s="64" t="s">
        <v>3833</v>
      </c>
      <c r="C540" s="63" t="s">
        <v>43</v>
      </c>
      <c r="D540" s="64" t="str">
        <f aca="false">TRIM(LEFT('Onshore - Sydney'!A50,FIND(CHAR(10),'Onshore - Sydney'!A50&amp;CHAR(10))-1))</f>
        <v>Academies Australasia</v>
      </c>
      <c r="E540" s="63" t="str">
        <f aca="false">'Onshore - Sydney'!C51&amp;""</f>
        <v>3 years</v>
      </c>
      <c r="F540" s="63" t="str">
        <f aca="false">IF('Onshore - Sydney'!D51="","Belum tercatat",'Onshore - Sydney'!D51)</f>
        <v>Term</v>
      </c>
      <c r="G540" s="65" t="n">
        <f aca="false">IF('Onshore - Sydney'!E51="","-",'Onshore - Sydney'!E51)</f>
        <v>5000</v>
      </c>
      <c r="H540" s="63" t="n">
        <f aca="false">IF(ISNUMBER(K540),COUNTIFS($J$6:$J$1916,J540,$K$6:$K$1916,"&lt;"&amp;K540)+1,"-")</f>
        <v>11</v>
      </c>
      <c r="I540" s="64" t="str">
        <f aca="false">IF('Onshore - Sydney'!E51="","Harga belum tersedia - hubungi konsultan TEG",IF(M540=2,"Saat ini tidak menerima pendaftaran siswa internasional baru",IF(M540=1,"Harga perlu dikonfirmasi ke sekolah"&amp;IF(""="","","; "&amp;""),"")))</f>
        <v/>
      </c>
      <c r="J540" s="0" t="s">
        <v>3911</v>
      </c>
      <c r="K540" s="0" t="n">
        <f aca="false">IF(M540=2,"",IF(ISNUMBER(SEARCH("rata-rata:",'Onshore - Sydney'!M51)),VALUE(MID('Onshore - Sydney'!M51,SEARCH("rata-rata:",'Onshore - Sydney'!M51)+11,FIND(";",'Onshore - Sydney'!M51&amp;";",SEARCH("rata-rata:",'Onshore - Sydney'!M51))-SEARCH("rata-rata:",'Onshore - Sydney'!M51)-11)),IF('Onshore - Sydney'!D51="Semester",'Onshore - Sydney'!E51*2,IF('Onshore - Sydney'!D51="Trimester",'Onshore - Sydney'!E51*3,IF('Onshore - Sydney'!D51="Term",'Onshore - Sydney'!E51*4,IF('Onshore - Sydney'!D51="Unit",'Onshore - Sydney'!E51*8,""))))))</f>
        <v>20000</v>
      </c>
      <c r="L540" s="0" t="n">
        <f aca="false">IF(AND(ISNUMBER('Onshore - Sydney'!E51),ISNUMBER(K540),ISNUMBER('Onshore - Sydney'!F51),ISNUMBER('Onshore - Sydney'!G51),OR('Onshore - Sydney'!F51&lt;&gt;0,ISNUMBER(SEARCH("Material 0 terverifikasi",'Onshore - Sydney'!M51))),OR('Onshore - Sydney'!G51&lt;&gt;0,ISNUMBER(SEARCH("Enrolment 0 terverifikasi",'Onshore - Sydney'!M51)))),1,0)</f>
        <v>1</v>
      </c>
      <c r="M540" s="0" t="n">
        <f aca="false">IF(OR('Onshore - Sydney'!E51="",ISNUMBER(SEARCH("BSB80120",'Onshore - Sydney'!B51&amp;'Onshore - Sydney'!M51)),ISNUMBER(SEARCH("Management (Learning)",'Onshore - Sydney'!B51))),2,IF(ISNUMBER(SEARCH("CEK:",'Onshore - Sydney'!M51)),1,0))</f>
        <v>0</v>
      </c>
    </row>
    <row r="541" customFormat="false" ht="15" hidden="false" customHeight="false" outlineLevel="0" collapsed="false">
      <c r="A541" s="63" t="s">
        <v>3533</v>
      </c>
      <c r="B541" s="64" t="s">
        <v>3833</v>
      </c>
      <c r="C541" s="63" t="s">
        <v>43</v>
      </c>
      <c r="D541" s="64" t="str">
        <f aca="false">TRIM(LEFT('Onshore - Sydney'!A888,FIND(CHAR(10),'Onshore - Sydney'!A888&amp;CHAR(10))-1))</f>
        <v>Torrens University Australia</v>
      </c>
      <c r="E541" s="63" t="str">
        <f aca="false">'Onshore - Sydney'!C889&amp;""</f>
        <v>3 years</v>
      </c>
      <c r="F541" s="63" t="str">
        <f aca="false">IF('Onshore - Sydney'!D889="","Belum tercatat",'Onshore - Sydney'!D889)</f>
        <v>Term</v>
      </c>
      <c r="G541" s="65" t="n">
        <f aca="false">IF('Onshore - Sydney'!E889="","-",'Onshore - Sydney'!E889)</f>
        <v>7900</v>
      </c>
      <c r="H541" s="63" t="n">
        <f aca="false">IF(ISNUMBER(K541),COUNTIFS($J$6:$J$1916,J541,$K$6:$K$1916,"&lt;"&amp;K541)+1,"-")</f>
        <v>12</v>
      </c>
      <c r="I541" s="64" t="str">
        <f aca="false">IF('Onshore - Sydney'!E889="","Harga belum tersedia - hubungi konsultan TEG",IF(M541=2,"Saat ini tidak menerima pendaftaran siswa internasional baru",IF(M541=1,"Harga perlu dikonfirmasi ke sekolah"&amp;IF(""="","","; "&amp;""),"")))</f>
        <v/>
      </c>
      <c r="J541" s="0" t="s">
        <v>3911</v>
      </c>
      <c r="K541" s="0" t="n">
        <f aca="false">IF(M541=2,"",IF(ISNUMBER(SEARCH("rata-rata:",'Onshore - Sydney'!M889)),VALUE(MID('Onshore - Sydney'!M889,SEARCH("rata-rata:",'Onshore - Sydney'!M889)+11,FIND(";",'Onshore - Sydney'!M889&amp;";",SEARCH("rata-rata:",'Onshore - Sydney'!M889))-SEARCH("rata-rata:",'Onshore - Sydney'!M889)-11)),IF('Onshore - Sydney'!D889="Semester",'Onshore - Sydney'!E889*2,IF('Onshore - Sydney'!D889="Trimester",'Onshore - Sydney'!E889*3,IF('Onshore - Sydney'!D889="Term",'Onshore - Sydney'!E889*4,IF('Onshore - Sydney'!D889="Unit",'Onshore - Sydney'!E889*8,""))))))</f>
        <v>31600</v>
      </c>
      <c r="L541" s="0" t="n">
        <f aca="false">IF(AND(ISNUMBER('Onshore - Sydney'!E889),ISNUMBER(K541),ISNUMBER('Onshore - Sydney'!F889),ISNUMBER('Onshore - Sydney'!G889),OR('Onshore - Sydney'!F889&lt;&gt;0,ISNUMBER(SEARCH("Material 0 terverifikasi",'Onshore - Sydney'!M889))),OR('Onshore - Sydney'!G889&lt;&gt;0,ISNUMBER(SEARCH("Enrolment 0 terverifikasi",'Onshore - Sydney'!M889)))),1,0)</f>
        <v>0</v>
      </c>
      <c r="M541" s="0" t="n">
        <f aca="false">IF(OR('Onshore - Sydney'!E889="",ISNUMBER(SEARCH("BSB80120",'Onshore - Sydney'!B889&amp;'Onshore - Sydney'!M889)),ISNUMBER(SEARCH("Management (Learning)",'Onshore - Sydney'!B889))),2,IF(ISNUMBER(SEARCH("CEK:",'Onshore - Sydney'!M889)),1,0))</f>
        <v>0</v>
      </c>
    </row>
    <row r="542" customFormat="false" ht="15" hidden="false" customHeight="false" outlineLevel="0" collapsed="false">
      <c r="A542" s="63" t="s">
        <v>3533</v>
      </c>
      <c r="B542" s="64" t="s">
        <v>3833</v>
      </c>
      <c r="C542" s="63" t="s">
        <v>43</v>
      </c>
      <c r="D542" s="64" t="str">
        <f aca="false">TRIM(LEFT('Onshore - Sydney'!A1062,FIND(CHAR(10),'Onshore - Sydney'!A1062&amp;CHAR(10))-1))</f>
        <v>Western Sydney University</v>
      </c>
      <c r="E542" s="63" t="str">
        <f aca="false">'Onshore - Sydney'!C1063&amp;""</f>
        <v>3 years</v>
      </c>
      <c r="F542" s="63" t="str">
        <f aca="false">IF('Onshore - Sydney'!D1063="","Belum tercatat",'Onshore - Sydney'!D1063)</f>
        <v>Term</v>
      </c>
      <c r="G542" s="65" t="n">
        <f aca="false">IF('Onshore - Sydney'!E1063="","-",'Onshore - Sydney'!E1063)</f>
        <v>8125</v>
      </c>
      <c r="H542" s="63" t="n">
        <f aca="false">IF(ISNUMBER(K542),COUNTIFS($J$6:$J$1916,J542,$K$6:$K$1916,"&lt;"&amp;K542)+1,"-")</f>
        <v>13</v>
      </c>
      <c r="I542" s="64" t="str">
        <f aca="false">IF('Onshore - Sydney'!E1063="","Harga belum tersedia - hubungi konsultan TEG",IF(M542=2,"Saat ini tidak menerima pendaftaran siswa internasional baru",IF(M542=1,"Harga perlu dikonfirmasi ke sekolah"&amp;IF(""="","","; "&amp;""),"")))</f>
        <v/>
      </c>
      <c r="J542" s="0" t="s">
        <v>3911</v>
      </c>
      <c r="K542" s="0" t="n">
        <f aca="false">IF(M542=2,"",IF(ISNUMBER(SEARCH("rata-rata:",'Onshore - Sydney'!M1063)),VALUE(MID('Onshore - Sydney'!M1063,SEARCH("rata-rata:",'Onshore - Sydney'!M1063)+11,FIND(";",'Onshore - Sydney'!M1063&amp;";",SEARCH("rata-rata:",'Onshore - Sydney'!M1063))-SEARCH("rata-rata:",'Onshore - Sydney'!M1063)-11)),IF('Onshore - Sydney'!D1063="Semester",'Onshore - Sydney'!E1063*2,IF('Onshore - Sydney'!D1063="Trimester",'Onshore - Sydney'!E1063*3,IF('Onshore - Sydney'!D1063="Term",'Onshore - Sydney'!E1063*4,IF('Onshore - Sydney'!D1063="Unit",'Onshore - Sydney'!E1063*8,""))))))</f>
        <v>32500</v>
      </c>
      <c r="L542" s="0" t="n">
        <f aca="false">IF(AND(ISNUMBER('Onshore - Sydney'!E1063),ISNUMBER(K542),ISNUMBER('Onshore - Sydney'!F1063),ISNUMBER('Onshore - Sydney'!G1063),OR('Onshore - Sydney'!F1063&lt;&gt;0,ISNUMBER(SEARCH("Material 0 terverifikasi",'Onshore - Sydney'!M1063))),OR('Onshore - Sydney'!G1063&lt;&gt;0,ISNUMBER(SEARCH("Enrolment 0 terverifikasi",'Onshore - Sydney'!M1063)))),1,0)</f>
        <v>0</v>
      </c>
      <c r="M542" s="0" t="n">
        <f aca="false">IF(OR('Onshore - Sydney'!E1063="",ISNUMBER(SEARCH("BSB80120",'Onshore - Sydney'!B1063&amp;'Onshore - Sydney'!M1063)),ISNUMBER(SEARCH("Management (Learning)",'Onshore - Sydney'!B1063))),2,IF(ISNUMBER(SEARCH("CEK:",'Onshore - Sydney'!M1063)),1,0))</f>
        <v>0</v>
      </c>
    </row>
    <row r="543" customFormat="false" ht="15" hidden="false" customHeight="false" outlineLevel="0" collapsed="false">
      <c r="A543" s="63" t="s">
        <v>3533</v>
      </c>
      <c r="B543" s="64" t="s">
        <v>3833</v>
      </c>
      <c r="C543" s="63" t="s">
        <v>43</v>
      </c>
      <c r="D543" s="64" t="str">
        <f aca="false">TRIM(LEFT('Onshore - Sydney'!A552,FIND(CHAR(10),'Onshore - Sydney'!A552&amp;CHAR(10))-1))</f>
        <v>Kaplan Business School</v>
      </c>
      <c r="E543" s="63" t="str">
        <f aca="false">'Onshore - Sydney'!C553&amp;""</f>
        <v>3 years</v>
      </c>
      <c r="F543" s="63" t="str">
        <f aca="false">IF('Onshore - Sydney'!D553="","Belum tercatat",'Onshore - Sydney'!D553)</f>
        <v>Trimester</v>
      </c>
      <c r="G543" s="65" t="n">
        <f aca="false">IF('Onshore - Sydney'!E553="","-",'Onshore - Sydney'!E553)</f>
        <v>11520</v>
      </c>
      <c r="H543" s="63" t="n">
        <f aca="false">IF(ISNUMBER(K543),COUNTIFS($J$6:$J$1916,J543,$K$6:$K$1916,"&lt;"&amp;K543)+1,"-")</f>
        <v>14</v>
      </c>
      <c r="I543" s="64" t="str">
        <f aca="false">IF('Onshore - Sydney'!E553="","Harga belum tersedia - hubungi konsultan TEG",IF(M543=2,"Saat ini tidak menerima pendaftaran siswa internasional baru",IF(M543=1,"Harga perlu dikonfirmasi ke sekolah"&amp;IF(""="","","; "&amp;""),"")))</f>
        <v>Harga perlu dikonfirmasi ke sekolah</v>
      </c>
      <c r="J543" s="0" t="s">
        <v>3911</v>
      </c>
      <c r="K543" s="0" t="n">
        <f aca="false">IF(M543=2,"",IF(ISNUMBER(SEARCH("rata-rata:",'Onshore - Sydney'!M553)),VALUE(MID('Onshore - Sydney'!M553,SEARCH("rata-rata:",'Onshore - Sydney'!M553)+11,FIND(";",'Onshore - Sydney'!M553&amp;";",SEARCH("rata-rata:",'Onshore - Sydney'!M553))-SEARCH("rata-rata:",'Onshore - Sydney'!M553)-11)),IF('Onshore - Sydney'!D553="Semester",'Onshore - Sydney'!E553*2,IF('Onshore - Sydney'!D553="Trimester",'Onshore - Sydney'!E553*3,IF('Onshore - Sydney'!D553="Term",'Onshore - Sydney'!E553*4,IF('Onshore - Sydney'!D553="Unit",'Onshore - Sydney'!E553*8,""))))))</f>
        <v>34560</v>
      </c>
      <c r="L543" s="0" t="n">
        <f aca="false">IF(AND(ISNUMBER('Onshore - Sydney'!E553),ISNUMBER(K543),ISNUMBER('Onshore - Sydney'!F553),ISNUMBER('Onshore - Sydney'!G553),OR('Onshore - Sydney'!F553&lt;&gt;0,ISNUMBER(SEARCH("Material 0 terverifikasi",'Onshore - Sydney'!M553))),OR('Onshore - Sydney'!G553&lt;&gt;0,ISNUMBER(SEARCH("Enrolment 0 terverifikasi",'Onshore - Sydney'!M553)))),1,0)</f>
        <v>1</v>
      </c>
      <c r="M543" s="0" t="n">
        <f aca="false">IF(OR('Onshore - Sydney'!E553="",ISNUMBER(SEARCH("BSB80120",'Onshore - Sydney'!B553&amp;'Onshore - Sydney'!M553)),ISNUMBER(SEARCH("Management (Learning)",'Onshore - Sydney'!B553))),2,IF(ISNUMBER(SEARCH("CEK:",'Onshore - Sydney'!M553)),1,0))</f>
        <v>1</v>
      </c>
    </row>
    <row r="544" customFormat="false" ht="15" hidden="false" customHeight="false" outlineLevel="0" collapsed="false">
      <c r="A544" s="63" t="s">
        <v>3533</v>
      </c>
      <c r="B544" s="64" t="s">
        <v>3833</v>
      </c>
      <c r="C544" s="63" t="s">
        <v>43</v>
      </c>
      <c r="D544" s="64" t="str">
        <f aca="false">TRIM(LEFT('Onshore - Sydney'!A163,FIND(CHAR(10),'Onshore - Sydney'!A163&amp;CHAR(10))-1))</f>
        <v>Australian Catholic University (ACU)</v>
      </c>
      <c r="E544" s="63" t="str">
        <f aca="false">'Onshore - Sydney'!C164&amp;""</f>
        <v>4 years</v>
      </c>
      <c r="F544" s="63" t="str">
        <f aca="false">IF('Onshore - Sydney'!D164="","Belum tercatat",'Onshore - Sydney'!D164)</f>
        <v>Term</v>
      </c>
      <c r="G544" s="65" t="n">
        <f aca="false">IF('Onshore - Sydney'!E164="","-",'Onshore - Sydney'!E164)</f>
        <v>8742</v>
      </c>
      <c r="H544" s="63" t="n">
        <f aca="false">IF(ISNUMBER(K544),COUNTIFS($J$6:$J$1916,J544,$K$6:$K$1916,"&lt;"&amp;K544)+1,"-")</f>
        <v>15</v>
      </c>
      <c r="I544" s="64" t="str">
        <f aca="false">IF('Onshore - Sydney'!E164="","Harga belum tersedia - hubungi konsultan TEG",IF(M544=2,"Saat ini tidak menerima pendaftaran siswa internasional baru",IF(M544=1,"Harga perlu dikonfirmasi ke sekolah"&amp;IF(""="","","; "&amp;""),"")))</f>
        <v/>
      </c>
      <c r="J544" s="0" t="s">
        <v>3911</v>
      </c>
      <c r="K544" s="0" t="n">
        <f aca="false">IF(M544=2,"",IF(ISNUMBER(SEARCH("rata-rata:",'Onshore - Sydney'!M164)),VALUE(MID('Onshore - Sydney'!M164,SEARCH("rata-rata:",'Onshore - Sydney'!M164)+11,FIND(";",'Onshore - Sydney'!M164&amp;";",SEARCH("rata-rata:",'Onshore - Sydney'!M164))-SEARCH("rata-rata:",'Onshore - Sydney'!M164)-11)),IF('Onshore - Sydney'!D164="Semester",'Onshore - Sydney'!E164*2,IF('Onshore - Sydney'!D164="Trimester",'Onshore - Sydney'!E164*3,IF('Onshore - Sydney'!D164="Term",'Onshore - Sydney'!E164*4,IF('Onshore - Sydney'!D164="Unit",'Onshore - Sydney'!E164*8,""))))))</f>
        <v>34968</v>
      </c>
      <c r="L544" s="0" t="n">
        <f aca="false">IF(AND(ISNUMBER('Onshore - Sydney'!E164),ISNUMBER(K544),ISNUMBER('Onshore - Sydney'!F164),ISNUMBER('Onshore - Sydney'!G164),OR('Onshore - Sydney'!F164&lt;&gt;0,ISNUMBER(SEARCH("Material 0 terverifikasi",'Onshore - Sydney'!M164))),OR('Onshore - Sydney'!G164&lt;&gt;0,ISNUMBER(SEARCH("Enrolment 0 terverifikasi",'Onshore - Sydney'!M164)))),1,0)</f>
        <v>0</v>
      </c>
      <c r="M544" s="0" t="n">
        <f aca="false">IF(OR('Onshore - Sydney'!E164="",ISNUMBER(SEARCH("BSB80120",'Onshore - Sydney'!B164&amp;'Onshore - Sydney'!M164)),ISNUMBER(SEARCH("Management (Learning)",'Onshore - Sydney'!B164))),2,IF(ISNUMBER(SEARCH("CEK:",'Onshore - Sydney'!M164)),1,0))</f>
        <v>0</v>
      </c>
    </row>
    <row r="545" customFormat="false" ht="15" hidden="false" customHeight="false" outlineLevel="0" collapsed="false">
      <c r="A545" s="63" t="s">
        <v>3533</v>
      </c>
      <c r="B545" s="64" t="s">
        <v>3833</v>
      </c>
      <c r="C545" s="63" t="s">
        <v>43</v>
      </c>
      <c r="D545" s="64" t="str">
        <f aca="false">TRIM(LEFT('Onshore - Sydney'!A998,FIND(CHAR(10),'Onshore - Sydney'!A998&amp;CHAR(10))-1))</f>
        <v>University of Tasmania (UTAS)</v>
      </c>
      <c r="E545" s="63" t="str">
        <f aca="false">'Onshore - Sydney'!C999&amp;""</f>
        <v>3 years</v>
      </c>
      <c r="F545" s="63" t="str">
        <f aca="false">IF('Onshore - Sydney'!D999="","Belum tercatat",'Onshore - Sydney'!D999)</f>
        <v>Term</v>
      </c>
      <c r="G545" s="65" t="n">
        <f aca="false">IF('Onshore - Sydney'!E999="","-",'Onshore - Sydney'!E999)</f>
        <v>9487.5</v>
      </c>
      <c r="H545" s="63" t="n">
        <f aca="false">IF(ISNUMBER(K545),COUNTIFS($J$6:$J$1916,J545,$K$6:$K$1916,"&lt;"&amp;K545)+1,"-")</f>
        <v>16</v>
      </c>
      <c r="I545" s="64" t="str">
        <f aca="false">IF('Onshore - Sydney'!E999="","Harga belum tersedia - hubungi konsultan TEG",IF(M545=2,"Saat ini tidak menerima pendaftaran siswa internasional baru",IF(M545=1,"Harga perlu dikonfirmasi ke sekolah"&amp;IF(""="","","; "&amp;""),"")))</f>
        <v/>
      </c>
      <c r="J545" s="0" t="s">
        <v>3911</v>
      </c>
      <c r="K545" s="0" t="n">
        <f aca="false">IF(M545=2,"",IF(ISNUMBER(SEARCH("rata-rata:",'Onshore - Sydney'!M999)),VALUE(MID('Onshore - Sydney'!M999,SEARCH("rata-rata:",'Onshore - Sydney'!M999)+11,FIND(";",'Onshore - Sydney'!M999&amp;";",SEARCH("rata-rata:",'Onshore - Sydney'!M999))-SEARCH("rata-rata:",'Onshore - Sydney'!M999)-11)),IF('Onshore - Sydney'!D999="Semester",'Onshore - Sydney'!E999*2,IF('Onshore - Sydney'!D999="Trimester",'Onshore - Sydney'!E999*3,IF('Onshore - Sydney'!D999="Term",'Onshore - Sydney'!E999*4,IF('Onshore - Sydney'!D999="Unit",'Onshore - Sydney'!E999*8,""))))))</f>
        <v>37950</v>
      </c>
      <c r="L545" s="0" t="n">
        <f aca="false">IF(AND(ISNUMBER('Onshore - Sydney'!E999),ISNUMBER(K545),ISNUMBER('Onshore - Sydney'!F999),ISNUMBER('Onshore - Sydney'!G999),OR('Onshore - Sydney'!F999&lt;&gt;0,ISNUMBER(SEARCH("Material 0 terverifikasi",'Onshore - Sydney'!M999))),OR('Onshore - Sydney'!G999&lt;&gt;0,ISNUMBER(SEARCH("Enrolment 0 terverifikasi",'Onshore - Sydney'!M999)))),1,0)</f>
        <v>0</v>
      </c>
      <c r="M545" s="0" t="n">
        <f aca="false">IF(OR('Onshore - Sydney'!E999="",ISNUMBER(SEARCH("BSB80120",'Onshore - Sydney'!B999&amp;'Onshore - Sydney'!M999)),ISNUMBER(SEARCH("Management (Learning)",'Onshore - Sydney'!B999))),2,IF(ISNUMBER(SEARCH("CEK:",'Onshore - Sydney'!M999)),1,0))</f>
        <v>0</v>
      </c>
    </row>
    <row r="546" customFormat="false" ht="15" hidden="false" customHeight="false" outlineLevel="0" collapsed="false">
      <c r="A546" s="61" t="s">
        <v>3912</v>
      </c>
      <c r="B546" s="62"/>
      <c r="C546" s="62"/>
      <c r="D546" s="62"/>
      <c r="E546" s="62"/>
      <c r="F546" s="62"/>
      <c r="G546" s="62"/>
      <c r="H546" s="62"/>
      <c r="I546" s="62"/>
    </row>
    <row r="547" customFormat="false" ht="15" hidden="false" customHeight="false" outlineLevel="0" collapsed="false">
      <c r="A547" s="63" t="s">
        <v>3533</v>
      </c>
      <c r="B547" s="64" t="s">
        <v>3833</v>
      </c>
      <c r="C547" s="63" t="s">
        <v>3707</v>
      </c>
      <c r="D547" s="64" t="str">
        <f aca="false">TRIM(LEFT('Onshore - Sydney'!A662,FIND(CHAR(10),'Onshore - Sydney'!A662&amp;CHAR(10))-1))</f>
        <v>New Cambridge College Sydney (NCCS)</v>
      </c>
      <c r="E547" s="63" t="str">
        <f aca="false">'Onshore - Sydney'!C671&amp;""</f>
        <v>2 years</v>
      </c>
      <c r="F547" s="63" t="str">
        <f aca="false">IF('Onshore - Sydney'!D671="","Belum tercatat",'Onshore - Sydney'!D671)</f>
        <v>Term</v>
      </c>
      <c r="G547" s="65" t="n">
        <f aca="false">IF('Onshore - Sydney'!E671="","-",'Onshore - Sydney'!E671)</f>
        <v>2000</v>
      </c>
      <c r="H547" s="63" t="n">
        <f aca="false">IF(ISNUMBER(K547),COUNTIFS($J$6:$J$1916,J547,$K$6:$K$1916,"&lt;"&amp;K547)+1,"-")</f>
        <v>1</v>
      </c>
      <c r="I547" s="64" t="str">
        <f aca="false">IF('Onshore - Sydney'!E671="","Harga belum tersedia - hubungi konsultan TEG",IF(M547=2,"Saat ini tidak menerima pendaftaran siswa internasional baru",IF(M547=1,"Harga perlu dikonfirmasi ke sekolah"&amp;IF(""="","","; "&amp;""),"")))</f>
        <v/>
      </c>
      <c r="J547" s="0" t="s">
        <v>3913</v>
      </c>
      <c r="K547" s="0" t="n">
        <f aca="false">IF(M547=2,"",IF(ISNUMBER(SEARCH("rata-rata:",'Onshore - Sydney'!M671)),VALUE(MID('Onshore - Sydney'!M671,SEARCH("rata-rata:",'Onshore - Sydney'!M671)+11,FIND(";",'Onshore - Sydney'!M671&amp;";",SEARCH("rata-rata:",'Onshore - Sydney'!M671))-SEARCH("rata-rata:",'Onshore - Sydney'!M671)-11)),IF('Onshore - Sydney'!D671="Semester",'Onshore - Sydney'!E671*2,IF('Onshore - Sydney'!D671="Trimester",'Onshore - Sydney'!E671*3,IF('Onshore - Sydney'!D671="Term",'Onshore - Sydney'!E671*4,IF('Onshore - Sydney'!D671="Unit",'Onshore - Sydney'!E671*8,""))))))</f>
        <v>8000</v>
      </c>
      <c r="L547" s="0" t="n">
        <f aca="false">IF(AND(ISNUMBER('Onshore - Sydney'!E671),ISNUMBER(K547),ISNUMBER('Onshore - Sydney'!F671),ISNUMBER('Onshore - Sydney'!G671),OR('Onshore - Sydney'!F671&lt;&gt;0,ISNUMBER(SEARCH("Material 0 terverifikasi",'Onshore - Sydney'!M671))),OR('Onshore - Sydney'!G671&lt;&gt;0,ISNUMBER(SEARCH("Enrolment 0 terverifikasi",'Onshore - Sydney'!M671)))),1,0)</f>
        <v>0</v>
      </c>
      <c r="M547" s="0" t="n">
        <f aca="false">IF(OR('Onshore - Sydney'!E671="",ISNUMBER(SEARCH("BSB80120",'Onshore - Sydney'!B671&amp;'Onshore - Sydney'!M671)),ISNUMBER(SEARCH("Management (Learning)",'Onshore - Sydney'!B671))),2,IF(ISNUMBER(SEARCH("CEK:",'Onshore - Sydney'!M671)),1,0))</f>
        <v>0</v>
      </c>
    </row>
    <row r="548" customFormat="false" ht="15" hidden="false" customHeight="false" outlineLevel="0" collapsed="false">
      <c r="A548" s="63" t="s">
        <v>3533</v>
      </c>
      <c r="B548" s="64" t="s">
        <v>3833</v>
      </c>
      <c r="C548" s="63" t="s">
        <v>3707</v>
      </c>
      <c r="D548" s="64" t="str">
        <f aca="false">TRIM(LEFT('Onshore - Sydney'!A74,FIND(CHAR(10),'Onshore - Sydney'!A74&amp;CHAR(10))-1))</f>
        <v>AIBI Higher Education</v>
      </c>
      <c r="E548" s="63" t="str">
        <f aca="false">'Onshore - Sydney'!C85&amp;""</f>
        <v>8 months</v>
      </c>
      <c r="F548" s="63" t="str">
        <f aca="false">IF('Onshore - Sydney'!D85="","Belum tercatat",'Onshore - Sydney'!D85)</f>
        <v>Term</v>
      </c>
      <c r="G548" s="65" t="n">
        <f aca="false">IF('Onshore - Sydney'!E85="","-",'Onshore - Sydney'!E85)</f>
        <v>2700</v>
      </c>
      <c r="H548" s="63" t="n">
        <f aca="false">IF(ISNUMBER(K548),COUNTIFS($J$6:$J$1916,J548,$K$6:$K$1916,"&lt;"&amp;K548)+1,"-")</f>
        <v>2</v>
      </c>
      <c r="I548" s="64" t="str">
        <f aca="false">IF('Onshore - Sydney'!E85="","Harga belum tersedia - hubungi konsultan TEG",IF(M548=2,"Saat ini tidak menerima pendaftaran siswa internasional baru",IF(M548=1,"Harga perlu dikonfirmasi ke sekolah"&amp;IF(""="","","; "&amp;""),"")))</f>
        <v>Harga perlu dikonfirmasi ke sekolah</v>
      </c>
      <c r="J548" s="0" t="s">
        <v>3913</v>
      </c>
      <c r="K548" s="0" t="n">
        <f aca="false">IF(M548=2,"",IF(ISNUMBER(SEARCH("rata-rata:",'Onshore - Sydney'!M85)),VALUE(MID('Onshore - Sydney'!M85,SEARCH("rata-rata:",'Onshore - Sydney'!M85)+11,FIND(";",'Onshore - Sydney'!M85&amp;";",SEARCH("rata-rata:",'Onshore - Sydney'!M85))-SEARCH("rata-rata:",'Onshore - Sydney'!M85)-11)),IF('Onshore - Sydney'!D85="Semester",'Onshore - Sydney'!E85*2,IF('Onshore - Sydney'!D85="Trimester",'Onshore - Sydney'!E85*3,IF('Onshore - Sydney'!D85="Term",'Onshore - Sydney'!E85*4,IF('Onshore - Sydney'!D85="Unit",'Onshore - Sydney'!E85*8,""))))))</f>
        <v>10800</v>
      </c>
      <c r="L548" s="0" t="n">
        <f aca="false">IF(AND(ISNUMBER('Onshore - Sydney'!E85),ISNUMBER(K548),ISNUMBER('Onshore - Sydney'!F85),ISNUMBER('Onshore - Sydney'!G85),OR('Onshore - Sydney'!F85&lt;&gt;0,ISNUMBER(SEARCH("Material 0 terverifikasi",'Onshore - Sydney'!M85))),OR('Onshore - Sydney'!G85&lt;&gt;0,ISNUMBER(SEARCH("Enrolment 0 terverifikasi",'Onshore - Sydney'!M85)))),1,0)</f>
        <v>0</v>
      </c>
      <c r="M548" s="0" t="n">
        <f aca="false">IF(OR('Onshore - Sydney'!E85="",ISNUMBER(SEARCH("BSB80120",'Onshore - Sydney'!B85&amp;'Onshore - Sydney'!M85)),ISNUMBER(SEARCH("Management (Learning)",'Onshore - Sydney'!B85))),2,IF(ISNUMBER(SEARCH("CEK:",'Onshore - Sydney'!M85)),1,0))</f>
        <v>1</v>
      </c>
    </row>
    <row r="549" customFormat="false" ht="15" hidden="false" customHeight="false" outlineLevel="0" collapsed="false">
      <c r="A549" s="63" t="s">
        <v>3533</v>
      </c>
      <c r="B549" s="64" t="s">
        <v>3833</v>
      </c>
      <c r="C549" s="63" t="s">
        <v>3707</v>
      </c>
      <c r="D549" s="64" t="str">
        <f aca="false">TRIM(LEFT('Onshore - Sydney'!A160,FIND(CHAR(10),'Onshore - Sydney'!A160&amp;CHAR(10))-1))</f>
        <v>Australian Business Institute (ABI)</v>
      </c>
      <c r="E549" s="63" t="str">
        <f aca="false">'Onshore - Sydney'!C161&amp;""</f>
        <v>1 year</v>
      </c>
      <c r="F549" s="63" t="str">
        <f aca="false">IF('Onshore - Sydney'!D161="","Belum tercatat",'Onshore - Sydney'!D161)</f>
        <v>Term</v>
      </c>
      <c r="G549" s="65" t="n">
        <f aca="false">IF('Onshore - Sydney'!E161="","-",'Onshore - Sydney'!E161)</f>
        <v>3500</v>
      </c>
      <c r="H549" s="63" t="n">
        <f aca="false">IF(ISNUMBER(K549),COUNTIFS($J$6:$J$1916,J549,$K$6:$K$1916,"&lt;"&amp;K549)+1,"-")</f>
        <v>3</v>
      </c>
      <c r="I549" s="64" t="str">
        <f aca="false">IF('Onshore - Sydney'!E161="","Harga belum tersedia - hubungi konsultan TEG",IF(M549=2,"Saat ini tidak menerima pendaftaran siswa internasional baru",IF(M549=1,"Harga perlu dikonfirmasi ke sekolah"&amp;IF(""="","","; "&amp;""),"")))</f>
        <v/>
      </c>
      <c r="J549" s="0" t="s">
        <v>3913</v>
      </c>
      <c r="K549" s="0" t="n">
        <f aca="false">IF(M549=2,"",IF(ISNUMBER(SEARCH("rata-rata:",'Onshore - Sydney'!M161)),VALUE(MID('Onshore - Sydney'!M161,SEARCH("rata-rata:",'Onshore - Sydney'!M161)+11,FIND(";",'Onshore - Sydney'!M161&amp;";",SEARCH("rata-rata:",'Onshore - Sydney'!M161))-SEARCH("rata-rata:",'Onshore - Sydney'!M161)-11)),IF('Onshore - Sydney'!D161="Semester",'Onshore - Sydney'!E161*2,IF('Onshore - Sydney'!D161="Trimester",'Onshore - Sydney'!E161*3,IF('Onshore - Sydney'!D161="Term",'Onshore - Sydney'!E161*4,IF('Onshore - Sydney'!D161="Unit",'Onshore - Sydney'!E161*8,""))))))</f>
        <v>14000</v>
      </c>
      <c r="L549" s="0" t="n">
        <f aca="false">IF(AND(ISNUMBER('Onshore - Sydney'!E161),ISNUMBER(K549),ISNUMBER('Onshore - Sydney'!F161),ISNUMBER('Onshore - Sydney'!G161),OR('Onshore - Sydney'!F161&lt;&gt;0,ISNUMBER(SEARCH("Material 0 terverifikasi",'Onshore - Sydney'!M161))),OR('Onshore - Sydney'!G161&lt;&gt;0,ISNUMBER(SEARCH("Enrolment 0 terverifikasi",'Onshore - Sydney'!M161)))),1,0)</f>
        <v>0</v>
      </c>
      <c r="M549" s="0" t="n">
        <f aca="false">IF(OR('Onshore - Sydney'!E161="",ISNUMBER(SEARCH("BSB80120",'Onshore - Sydney'!B161&amp;'Onshore - Sydney'!M161)),ISNUMBER(SEARCH("Management (Learning)",'Onshore - Sydney'!B161))),2,IF(ISNUMBER(SEARCH("CEK:",'Onshore - Sydney'!M161)),1,0))</f>
        <v>0</v>
      </c>
    </row>
    <row r="550" customFormat="false" ht="15" hidden="false" customHeight="false" outlineLevel="0" collapsed="false">
      <c r="A550" s="63" t="s">
        <v>3533</v>
      </c>
      <c r="B550" s="64" t="s">
        <v>3833</v>
      </c>
      <c r="C550" s="63" t="s">
        <v>3707</v>
      </c>
      <c r="D550" s="64" t="str">
        <f aca="false">TRIM(LEFT('Onshore - Sydney'!A866,FIND(CHAR(10),'Onshore - Sydney'!A866&amp;CHAR(10))-1))</f>
        <v>The Institute of International Studies (TIIS)</v>
      </c>
      <c r="E550" s="63" t="str">
        <f aca="false">'Onshore - Sydney'!C867&amp;""</f>
        <v>0,5 years</v>
      </c>
      <c r="F550" s="63" t="str">
        <f aca="false">IF('Onshore - Sydney'!D867="","Belum tercatat",'Onshore - Sydney'!D867)</f>
        <v>Term</v>
      </c>
      <c r="G550" s="65" t="n">
        <f aca="false">IF('Onshore - Sydney'!E867="","-",'Onshore - Sydney'!E867)</f>
        <v>4100</v>
      </c>
      <c r="H550" s="63" t="n">
        <f aca="false">IF(ISNUMBER(K550),COUNTIFS($J$6:$J$1916,J550,$K$6:$K$1916,"&lt;"&amp;K550)+1,"-")</f>
        <v>4</v>
      </c>
      <c r="I550" s="64" t="str">
        <f aca="false">IF('Onshore - Sydney'!E867="","Harga belum tersedia - hubungi konsultan TEG",IF(M550=2,"Saat ini tidak menerima pendaftaran siswa internasional baru",IF(M550=1,"Harga perlu dikonfirmasi ke sekolah"&amp;IF(""="","","; "&amp;""),"")))</f>
        <v/>
      </c>
      <c r="J550" s="0" t="s">
        <v>3913</v>
      </c>
      <c r="K550" s="0" t="n">
        <f aca="false">IF(M550=2,"",IF(ISNUMBER(SEARCH("rata-rata:",'Onshore - Sydney'!M867)),VALUE(MID('Onshore - Sydney'!M867,SEARCH("rata-rata:",'Onshore - Sydney'!M867)+11,FIND(";",'Onshore - Sydney'!M867&amp;";",SEARCH("rata-rata:",'Onshore - Sydney'!M867))-SEARCH("rata-rata:",'Onshore - Sydney'!M867)-11)),IF('Onshore - Sydney'!D867="Semester",'Onshore - Sydney'!E867*2,IF('Onshore - Sydney'!D867="Trimester",'Onshore - Sydney'!E867*3,IF('Onshore - Sydney'!D867="Term",'Onshore - Sydney'!E867*4,IF('Onshore - Sydney'!D867="Unit",'Onshore - Sydney'!E867*8,""))))))</f>
        <v>16400</v>
      </c>
      <c r="L550" s="0" t="n">
        <f aca="false">IF(AND(ISNUMBER('Onshore - Sydney'!E867),ISNUMBER(K550),ISNUMBER('Onshore - Sydney'!F867),ISNUMBER('Onshore - Sydney'!G867),OR('Onshore - Sydney'!F867&lt;&gt;0,ISNUMBER(SEARCH("Material 0 terverifikasi",'Onshore - Sydney'!M867))),OR('Onshore - Sydney'!G867&lt;&gt;0,ISNUMBER(SEARCH("Enrolment 0 terverifikasi",'Onshore - Sydney'!M867)))),1,0)</f>
        <v>0</v>
      </c>
      <c r="M550" s="0" t="n">
        <f aca="false">IF(OR('Onshore - Sydney'!E867="",ISNUMBER(SEARCH("BSB80120",'Onshore - Sydney'!B867&amp;'Onshore - Sydney'!M867)),ISNUMBER(SEARCH("Management (Learning)",'Onshore - Sydney'!B867))),2,IF(ISNUMBER(SEARCH("CEK:",'Onshore - Sydney'!M867)),1,0))</f>
        <v>0</v>
      </c>
    </row>
    <row r="551" customFormat="false" ht="15" hidden="false" customHeight="false" outlineLevel="0" collapsed="false">
      <c r="A551" s="63" t="s">
        <v>3533</v>
      </c>
      <c r="B551" s="64" t="s">
        <v>3833</v>
      </c>
      <c r="C551" s="63" t="s">
        <v>3707</v>
      </c>
      <c r="D551" s="64" t="str">
        <f aca="false">TRIM(LEFT('Onshore - Sydney'!A422,FIND(CHAR(10),'Onshore - Sydney'!A422&amp;CHAR(10))-1))</f>
        <v>CIHE Australia</v>
      </c>
      <c r="E551" s="63" t="str">
        <f aca="false">'Onshore - Sydney'!C436&amp;""</f>
        <v>0,5 year</v>
      </c>
      <c r="F551" s="63" t="str">
        <f aca="false">IF('Onshore - Sydney'!D436="","Belum tercatat",'Onshore - Sydney'!D436)</f>
        <v>Term</v>
      </c>
      <c r="G551" s="65" t="n">
        <f aca="false">IF('Onshore - Sydney'!E436="","-",'Onshore - Sydney'!E436)</f>
        <v>4125</v>
      </c>
      <c r="H551" s="63" t="n">
        <f aca="false">IF(ISNUMBER(K551),COUNTIFS($J$6:$J$1916,J551,$K$6:$K$1916,"&lt;"&amp;K551)+1,"-")</f>
        <v>5</v>
      </c>
      <c r="I551" s="64" t="str">
        <f aca="false">IF('Onshore - Sydney'!E436="","Harga belum tersedia - hubungi konsultan TEG",IF(M551=2,"Saat ini tidak menerima pendaftaran siswa internasional baru",IF(M551=1,"Harga perlu dikonfirmasi ke sekolah"&amp;IF(""="","","; "&amp;""),"")))</f>
        <v>Harga perlu dikonfirmasi ke sekolah</v>
      </c>
      <c r="J551" s="0" t="s">
        <v>3913</v>
      </c>
      <c r="K551" s="0" t="n">
        <f aca="false">IF(M551=2,"",IF(ISNUMBER(SEARCH("rata-rata:",'Onshore - Sydney'!M436)),VALUE(MID('Onshore - Sydney'!M436,SEARCH("rata-rata:",'Onshore - Sydney'!M436)+11,FIND(";",'Onshore - Sydney'!M436&amp;";",SEARCH("rata-rata:",'Onshore - Sydney'!M436))-SEARCH("rata-rata:",'Onshore - Sydney'!M436)-11)),IF('Onshore - Sydney'!D436="Semester",'Onshore - Sydney'!E436*2,IF('Onshore - Sydney'!D436="Trimester",'Onshore - Sydney'!E436*3,IF('Onshore - Sydney'!D436="Term",'Onshore - Sydney'!E436*4,IF('Onshore - Sydney'!D436="Unit",'Onshore - Sydney'!E436*8,""))))))</f>
        <v>16500</v>
      </c>
      <c r="L551" s="0" t="n">
        <f aca="false">IF(AND(ISNUMBER('Onshore - Sydney'!E436),ISNUMBER(K551),ISNUMBER('Onshore - Sydney'!F436),ISNUMBER('Onshore - Sydney'!G436),OR('Onshore - Sydney'!F436&lt;&gt;0,ISNUMBER(SEARCH("Material 0 terverifikasi",'Onshore - Sydney'!M436))),OR('Onshore - Sydney'!G436&lt;&gt;0,ISNUMBER(SEARCH("Enrolment 0 terverifikasi",'Onshore - Sydney'!M436)))),1,0)</f>
        <v>1</v>
      </c>
      <c r="M551" s="0" t="n">
        <f aca="false">IF(OR('Onshore - Sydney'!E436="",ISNUMBER(SEARCH("BSB80120",'Onshore - Sydney'!B436&amp;'Onshore - Sydney'!M436)),ISNUMBER(SEARCH("Management (Learning)",'Onshore - Sydney'!B436))),2,IF(ISNUMBER(SEARCH("CEK:",'Onshore - Sydney'!M436)),1,0))</f>
        <v>1</v>
      </c>
    </row>
    <row r="552" customFormat="false" ht="15" hidden="false" customHeight="false" outlineLevel="0" collapsed="false">
      <c r="A552" s="63" t="s">
        <v>3533</v>
      </c>
      <c r="B552" s="64" t="s">
        <v>3833</v>
      </c>
      <c r="C552" s="63" t="s">
        <v>3707</v>
      </c>
      <c r="D552" s="64" t="str">
        <f aca="false">TRIM(LEFT('Onshore - Sydney'!A888,FIND(CHAR(10),'Onshore - Sydney'!A888&amp;CHAR(10))-1))</f>
        <v>Torrens University Australia</v>
      </c>
      <c r="E552" s="63" t="str">
        <f aca="false">'Onshore - Sydney'!C901&amp;""</f>
        <v>0,5 year</v>
      </c>
      <c r="F552" s="63" t="str">
        <f aca="false">IF('Onshore - Sydney'!D901="","Belum tercatat",'Onshore - Sydney'!D901)</f>
        <v>Term</v>
      </c>
      <c r="G552" s="65" t="n">
        <f aca="false">IF('Onshore - Sydney'!E901="","-",'Onshore - Sydney'!E901)</f>
        <v>4500</v>
      </c>
      <c r="H552" s="63" t="n">
        <f aca="false">IF(ISNUMBER(K552),COUNTIFS($J$6:$J$1916,J552,$K$6:$K$1916,"&lt;"&amp;K552)+1,"-")</f>
        <v>6</v>
      </c>
      <c r="I552" s="64" t="str">
        <f aca="false">IF('Onshore - Sydney'!E901="","Harga belum tersedia - hubungi konsultan TEG",IF(M552=2,"Saat ini tidak menerima pendaftaran siswa internasional baru",IF(M552=1,"Harga perlu dikonfirmasi ke sekolah"&amp;IF(""="","","; "&amp;""),"")))</f>
        <v/>
      </c>
      <c r="J552" s="0" t="s">
        <v>3913</v>
      </c>
      <c r="K552" s="0" t="n">
        <f aca="false">IF(M552=2,"",IF(ISNUMBER(SEARCH("rata-rata:",'Onshore - Sydney'!M901)),VALUE(MID('Onshore - Sydney'!M901,SEARCH("rata-rata:",'Onshore - Sydney'!M901)+11,FIND(";",'Onshore - Sydney'!M901&amp;";",SEARCH("rata-rata:",'Onshore - Sydney'!M901))-SEARCH("rata-rata:",'Onshore - Sydney'!M901)-11)),IF('Onshore - Sydney'!D901="Semester",'Onshore - Sydney'!E901*2,IF('Onshore - Sydney'!D901="Trimester",'Onshore - Sydney'!E901*3,IF('Onshore - Sydney'!D901="Term",'Onshore - Sydney'!E901*4,IF('Onshore - Sydney'!D901="Unit",'Onshore - Sydney'!E901*8,""))))))</f>
        <v>18000</v>
      </c>
      <c r="L552" s="0" t="n">
        <f aca="false">IF(AND(ISNUMBER('Onshore - Sydney'!E901),ISNUMBER(K552),ISNUMBER('Onshore - Sydney'!F901),ISNUMBER('Onshore - Sydney'!G901),OR('Onshore - Sydney'!F901&lt;&gt;0,ISNUMBER(SEARCH("Material 0 terverifikasi",'Onshore - Sydney'!M901))),OR('Onshore - Sydney'!G901&lt;&gt;0,ISNUMBER(SEARCH("Enrolment 0 terverifikasi",'Onshore - Sydney'!M901)))),1,0)</f>
        <v>0</v>
      </c>
      <c r="M552" s="0" t="n">
        <f aca="false">IF(OR('Onshore - Sydney'!E901="",ISNUMBER(SEARCH("BSB80120",'Onshore - Sydney'!B901&amp;'Onshore - Sydney'!M901)),ISNUMBER(SEARCH("Management (Learning)",'Onshore - Sydney'!B901))),2,IF(ISNUMBER(SEARCH("CEK:",'Onshore - Sydney'!M901)),1,0))</f>
        <v>0</v>
      </c>
    </row>
    <row r="553" customFormat="false" ht="15" hidden="false" customHeight="false" outlineLevel="0" collapsed="false">
      <c r="A553" s="63" t="s">
        <v>3533</v>
      </c>
      <c r="B553" s="64" t="s">
        <v>3833</v>
      </c>
      <c r="C553" s="63" t="s">
        <v>3707</v>
      </c>
      <c r="D553" s="64" t="str">
        <f aca="false">TRIM(LEFT('Onshore - Sydney'!A163,FIND(CHAR(10),'Onshore - Sydney'!A163&amp;CHAR(10))-1))</f>
        <v>Australian Catholic University (ACU)</v>
      </c>
      <c r="E553" s="63" t="str">
        <f aca="false">'Onshore - Sydney'!C188&amp;""</f>
        <v>0,5 year</v>
      </c>
      <c r="F553" s="63" t="str">
        <f aca="false">IF('Onshore - Sydney'!D188="","Belum tercatat",'Onshore - Sydney'!D188)</f>
        <v>Term</v>
      </c>
      <c r="G553" s="65" t="n">
        <f aca="false">IF('Onshore - Sydney'!E188="","-",'Onshore - Sydney'!E188)</f>
        <v>4614</v>
      </c>
      <c r="H553" s="63" t="n">
        <f aca="false">IF(ISNUMBER(K553),COUNTIFS($J$6:$J$1916,J553,$K$6:$K$1916,"&lt;"&amp;K553)+1,"-")</f>
        <v>7</v>
      </c>
      <c r="I553" s="64" t="str">
        <f aca="false">IF('Onshore - Sydney'!E188="","Harga belum tersedia - hubungi konsultan TEG",IF(M553=2,"Saat ini tidak menerima pendaftaran siswa internasional baru",IF(M553=1,"Harga perlu dikonfirmasi ke sekolah"&amp;IF(""="","","; "&amp;""),"")))</f>
        <v>Harga perlu dikonfirmasi ke sekolah</v>
      </c>
      <c r="J553" s="0" t="s">
        <v>3913</v>
      </c>
      <c r="K553" s="0" t="n">
        <f aca="false">IF(M553=2,"",IF(ISNUMBER(SEARCH("rata-rata:",'Onshore - Sydney'!M188)),VALUE(MID('Onshore - Sydney'!M188,SEARCH("rata-rata:",'Onshore - Sydney'!M188)+11,FIND(";",'Onshore - Sydney'!M188&amp;";",SEARCH("rata-rata:",'Onshore - Sydney'!M188))-SEARCH("rata-rata:",'Onshore - Sydney'!M188)-11)),IF('Onshore - Sydney'!D188="Semester",'Onshore - Sydney'!E188*2,IF('Onshore - Sydney'!D188="Trimester",'Onshore - Sydney'!E188*3,IF('Onshore - Sydney'!D188="Term",'Onshore - Sydney'!E188*4,IF('Onshore - Sydney'!D188="Unit",'Onshore - Sydney'!E188*8,""))))))</f>
        <v>18456</v>
      </c>
      <c r="L553" s="0" t="n">
        <f aca="false">IF(AND(ISNUMBER('Onshore - Sydney'!E188),ISNUMBER(K553),ISNUMBER('Onshore - Sydney'!F188),ISNUMBER('Onshore - Sydney'!G188),OR('Onshore - Sydney'!F188&lt;&gt;0,ISNUMBER(SEARCH("Material 0 terverifikasi",'Onshore - Sydney'!M188))),OR('Onshore - Sydney'!G188&lt;&gt;0,ISNUMBER(SEARCH("Enrolment 0 terverifikasi",'Onshore - Sydney'!M188)))),1,0)</f>
        <v>0</v>
      </c>
      <c r="M553" s="0" t="n">
        <f aca="false">IF(OR('Onshore - Sydney'!E188="",ISNUMBER(SEARCH("BSB80120",'Onshore - Sydney'!B188&amp;'Onshore - Sydney'!M188)),ISNUMBER(SEARCH("Management (Learning)",'Onshore - Sydney'!B188))),2,IF(ISNUMBER(SEARCH("CEK:",'Onshore - Sydney'!M188)),1,0))</f>
        <v>1</v>
      </c>
    </row>
    <row r="554" customFormat="false" ht="15" hidden="false" customHeight="false" outlineLevel="0" collapsed="false">
      <c r="A554" s="63" t="s">
        <v>3533</v>
      </c>
      <c r="B554" s="64" t="s">
        <v>3833</v>
      </c>
      <c r="C554" s="63" t="s">
        <v>3707</v>
      </c>
      <c r="D554" s="64" t="str">
        <f aca="false">TRIM(LEFT('Onshore - Sydney'!A1062,FIND(CHAR(10),'Onshore - Sydney'!A1062&amp;CHAR(10))-1))</f>
        <v>Western Sydney University</v>
      </c>
      <c r="E554" s="63" t="str">
        <f aca="false">'Onshore - Sydney'!C1155&amp;""</f>
        <v>0,5 year</v>
      </c>
      <c r="F554" s="63" t="str">
        <f aca="false">IF('Onshore - Sydney'!D1155="","Belum tercatat",'Onshore - Sydney'!D1155)</f>
        <v>Term</v>
      </c>
      <c r="G554" s="65" t="n">
        <f aca="false">IF('Onshore - Sydney'!E1155="","-",'Onshore - Sydney'!E1155)</f>
        <v>4918</v>
      </c>
      <c r="H554" s="63" t="n">
        <f aca="false">IF(ISNUMBER(K554),COUNTIFS($J$6:$J$1916,J554,$K$6:$K$1916,"&lt;"&amp;K554)+1,"-")</f>
        <v>8</v>
      </c>
      <c r="I554" s="64" t="str">
        <f aca="false">IF('Onshore - Sydney'!E1155="","Harga belum tersedia - hubungi konsultan TEG",IF(M554=2,"Saat ini tidak menerima pendaftaran siswa internasional baru",IF(M554=1,"Harga perlu dikonfirmasi ke sekolah"&amp;IF(""="","","; "&amp;""),"")))</f>
        <v/>
      </c>
      <c r="J554" s="0" t="s">
        <v>3913</v>
      </c>
      <c r="K554" s="0" t="n">
        <f aca="false">IF(M554=2,"",IF(ISNUMBER(SEARCH("rata-rata:",'Onshore - Sydney'!M1155)),VALUE(MID('Onshore - Sydney'!M1155,SEARCH("rata-rata:",'Onshore - Sydney'!M1155)+11,FIND(";",'Onshore - Sydney'!M1155&amp;";",SEARCH("rata-rata:",'Onshore - Sydney'!M1155))-SEARCH("rata-rata:",'Onshore - Sydney'!M1155)-11)),IF('Onshore - Sydney'!D1155="Semester",'Onshore - Sydney'!E1155*2,IF('Onshore - Sydney'!D1155="Trimester",'Onshore - Sydney'!E1155*3,IF('Onshore - Sydney'!D1155="Term",'Onshore - Sydney'!E1155*4,IF('Onshore - Sydney'!D1155="Unit",'Onshore - Sydney'!E1155*8,""))))))</f>
        <v>19672</v>
      </c>
      <c r="L554" s="0" t="n">
        <f aca="false">IF(AND(ISNUMBER('Onshore - Sydney'!E1155),ISNUMBER(K554),ISNUMBER('Onshore - Sydney'!F1155),ISNUMBER('Onshore - Sydney'!G1155),OR('Onshore - Sydney'!F1155&lt;&gt;0,ISNUMBER(SEARCH("Material 0 terverifikasi",'Onshore - Sydney'!M1155))),OR('Onshore - Sydney'!G1155&lt;&gt;0,ISNUMBER(SEARCH("Enrolment 0 terverifikasi",'Onshore - Sydney'!M1155)))),1,0)</f>
        <v>0</v>
      </c>
      <c r="M554" s="0" t="n">
        <f aca="false">IF(OR('Onshore - Sydney'!E1155="",ISNUMBER(SEARCH("BSB80120",'Onshore - Sydney'!B1155&amp;'Onshore - Sydney'!M1155)),ISNUMBER(SEARCH("Management (Learning)",'Onshore - Sydney'!B1155))),2,IF(ISNUMBER(SEARCH("CEK:",'Onshore - Sydney'!M1155)),1,0))</f>
        <v>0</v>
      </c>
    </row>
    <row r="555" customFormat="false" ht="15" hidden="false" customHeight="false" outlineLevel="0" collapsed="false">
      <c r="A555" s="63" t="s">
        <v>3533</v>
      </c>
      <c r="B555" s="64" t="s">
        <v>3833</v>
      </c>
      <c r="C555" s="63" t="s">
        <v>3707</v>
      </c>
      <c r="D555" s="64" t="str">
        <f aca="false">TRIM(LEFT('Onshore - Sydney'!A138,FIND(CHAR(10),'Onshore - Sydney'!A138&amp;CHAR(10))-1))</f>
        <v>Asia Pacific International College (APIC)</v>
      </c>
      <c r="E555" s="63" t="str">
        <f aca="false">'Onshore - Sydney'!C143&amp;""</f>
        <v>0,75 year</v>
      </c>
      <c r="F555" s="63" t="str">
        <f aca="false">IF('Onshore - Sydney'!D143="","Belum tercatat",'Onshore - Sydney'!D143)</f>
        <v>Trimester</v>
      </c>
      <c r="G555" s="65" t="n">
        <f aca="false">IF('Onshore - Sydney'!E143="","-",'Onshore - Sydney'!E143)</f>
        <v>7800</v>
      </c>
      <c r="H555" s="63" t="n">
        <f aca="false">IF(ISNUMBER(K555),COUNTIFS($J$6:$J$1916,J555,$K$6:$K$1916,"&lt;"&amp;K555)+1,"-")</f>
        <v>9</v>
      </c>
      <c r="I555" s="64" t="str">
        <f aca="false">IF('Onshore - Sydney'!E143="","Harga belum tersedia - hubungi konsultan TEG",IF(M555=2,"Saat ini tidak menerima pendaftaran siswa internasional baru",IF(M555=1,"Harga perlu dikonfirmasi ke sekolah"&amp;IF(""="","","; "&amp;""),"")))</f>
        <v>Harga perlu dikonfirmasi ke sekolah</v>
      </c>
      <c r="J555" s="0" t="s">
        <v>3913</v>
      </c>
      <c r="K555" s="0" t="n">
        <f aca="false">IF(M555=2,"",IF(ISNUMBER(SEARCH("rata-rata:",'Onshore - Sydney'!M143)),VALUE(MID('Onshore - Sydney'!M143,SEARCH("rata-rata:",'Onshore - Sydney'!M143)+11,FIND(";",'Onshore - Sydney'!M143&amp;";",SEARCH("rata-rata:",'Onshore - Sydney'!M143))-SEARCH("rata-rata:",'Onshore - Sydney'!M143)-11)),IF('Onshore - Sydney'!D143="Semester",'Onshore - Sydney'!E143*2,IF('Onshore - Sydney'!D143="Trimester",'Onshore - Sydney'!E143*3,IF('Onshore - Sydney'!D143="Term",'Onshore - Sydney'!E143*4,IF('Onshore - Sydney'!D143="Unit",'Onshore - Sydney'!E143*8,""))))))</f>
        <v>23400</v>
      </c>
      <c r="L555" s="0" t="n">
        <f aca="false">IF(AND(ISNUMBER('Onshore - Sydney'!E143),ISNUMBER(K555),ISNUMBER('Onshore - Sydney'!F143),ISNUMBER('Onshore - Sydney'!G143),OR('Onshore - Sydney'!F143&lt;&gt;0,ISNUMBER(SEARCH("Material 0 terverifikasi",'Onshore - Sydney'!M143))),OR('Onshore - Sydney'!G143&lt;&gt;0,ISNUMBER(SEARCH("Enrolment 0 terverifikasi",'Onshore - Sydney'!M143)))),1,0)</f>
        <v>0</v>
      </c>
      <c r="M555" s="0" t="n">
        <f aca="false">IF(OR('Onshore - Sydney'!E143="",ISNUMBER(SEARCH("BSB80120",'Onshore - Sydney'!B143&amp;'Onshore - Sydney'!M143)),ISNUMBER(SEARCH("Management (Learning)",'Onshore - Sydney'!B143))),2,IF(ISNUMBER(SEARCH("CEK:",'Onshore - Sydney'!M143)),1,0))</f>
        <v>1</v>
      </c>
    </row>
    <row r="556" customFormat="false" ht="28.35" hidden="false" customHeight="false" outlineLevel="0" collapsed="false">
      <c r="A556" s="63" t="s">
        <v>3533</v>
      </c>
      <c r="B556" s="64" t="s">
        <v>3833</v>
      </c>
      <c r="C556" s="63" t="s">
        <v>3707</v>
      </c>
      <c r="D556" s="64" t="str">
        <f aca="false">TRIM(LEFT('Onshore - Sydney'!A541,FIND(CHAR(10),'Onshore - Sydney'!A541&amp;CHAR(10))-1))</f>
        <v>International Institute of Business and Technology (IIBT)</v>
      </c>
      <c r="E556" s="63" t="str">
        <f aca="false">'Onshore - Sydney'!C541&amp;""</f>
        <v>0,5 year</v>
      </c>
      <c r="F556" s="63" t="str">
        <f aca="false">IF('Onshore - Sydney'!D541="","Belum tercatat",'Onshore - Sydney'!D541)</f>
        <v>Term</v>
      </c>
      <c r="G556" s="65" t="n">
        <f aca="false">IF('Onshore - Sydney'!E541="","-",'Onshore - Sydney'!E541)</f>
        <v>6000</v>
      </c>
      <c r="H556" s="63" t="n">
        <f aca="false">IF(ISNUMBER(K556),COUNTIFS($J$6:$J$1916,J556,$K$6:$K$1916,"&lt;"&amp;K556)+1,"-")</f>
        <v>10</v>
      </c>
      <c r="I556" s="64" t="str">
        <f aca="false">IF('Onshore - Sydney'!E541="","Harga belum tersedia - hubungi konsultan TEG",IF(M556=2,"Saat ini tidak menerima pendaftaran siswa internasional baru",IF(M556=1,"Harga perlu dikonfirmasi ke sekolah"&amp;IF(""="","","; "&amp;""),"")))</f>
        <v/>
      </c>
      <c r="J556" s="0" t="s">
        <v>3913</v>
      </c>
      <c r="K556" s="0" t="n">
        <f aca="false">IF(M556=2,"",IF(ISNUMBER(SEARCH("rata-rata:",'Onshore - Sydney'!M541)),VALUE(MID('Onshore - Sydney'!M541,SEARCH("rata-rata:",'Onshore - Sydney'!M541)+11,FIND(";",'Onshore - Sydney'!M541&amp;";",SEARCH("rata-rata:",'Onshore - Sydney'!M541))-SEARCH("rata-rata:",'Onshore - Sydney'!M541)-11)),IF('Onshore - Sydney'!D541="Semester",'Onshore - Sydney'!E541*2,IF('Onshore - Sydney'!D541="Trimester",'Onshore - Sydney'!E541*3,IF('Onshore - Sydney'!D541="Term",'Onshore - Sydney'!E541*4,IF('Onshore - Sydney'!D541="Unit",'Onshore - Sydney'!E541*8,""))))))</f>
        <v>24000</v>
      </c>
      <c r="L556" s="0" t="n">
        <f aca="false">IF(AND(ISNUMBER('Onshore - Sydney'!E541),ISNUMBER(K556),ISNUMBER('Onshore - Sydney'!F541),ISNUMBER('Onshore - Sydney'!G541),OR('Onshore - Sydney'!F541&lt;&gt;0,ISNUMBER(SEARCH("Material 0 terverifikasi",'Onshore - Sydney'!M541))),OR('Onshore - Sydney'!G541&lt;&gt;0,ISNUMBER(SEARCH("Enrolment 0 terverifikasi",'Onshore - Sydney'!M541)))),1,0)</f>
        <v>1</v>
      </c>
      <c r="M556" s="0" t="n">
        <f aca="false">IF(OR('Onshore - Sydney'!E541="",ISNUMBER(SEARCH("BSB80120",'Onshore - Sydney'!B541&amp;'Onshore - Sydney'!M541)),ISNUMBER(SEARCH("Management (Learning)",'Onshore - Sydney'!B541))),2,IF(ISNUMBER(SEARCH("CEK:",'Onshore - Sydney'!M541)),1,0))</f>
        <v>0</v>
      </c>
    </row>
    <row r="557" customFormat="false" ht="15" hidden="false" customHeight="false" outlineLevel="0" collapsed="false">
      <c r="A557" s="63" t="s">
        <v>3533</v>
      </c>
      <c r="B557" s="64" t="s">
        <v>3833</v>
      </c>
      <c r="C557" s="63" t="s">
        <v>3707</v>
      </c>
      <c r="D557" s="64" t="str">
        <f aca="false">TRIM(LEFT('Onshore - Sydney'!A394,FIND(CHAR(10),'Onshore - Sydney'!A394&amp;CHAR(10))-1))</f>
        <v>Charles Darwin University (CDU)</v>
      </c>
      <c r="E557" s="63" t="str">
        <f aca="false">'Onshore - Sydney'!C396&amp;""</f>
        <v>0,5 year</v>
      </c>
      <c r="F557" s="63" t="str">
        <f aca="false">IF('Onshore - Sydney'!D396="","Belum tercatat",'Onshore - Sydney'!D396)</f>
        <v>Term</v>
      </c>
      <c r="G557" s="65" t="n">
        <f aca="false">IF('Onshore - Sydney'!E396="","-",'Onshore - Sydney'!E396)</f>
        <v>9548</v>
      </c>
      <c r="H557" s="63" t="n">
        <f aca="false">IF(ISNUMBER(K557),COUNTIFS($J$6:$J$1916,J557,$K$6:$K$1916,"&lt;"&amp;K557)+1,"-")</f>
        <v>11</v>
      </c>
      <c r="I557" s="64" t="str">
        <f aca="false">IF('Onshore - Sydney'!E396="","Harga belum tersedia - hubungi konsultan TEG",IF(M557=2,"Saat ini tidak menerima pendaftaran siswa internasional baru",IF(M557=1,"Harga perlu dikonfirmasi ke sekolah"&amp;IF(""="","","; "&amp;""),"")))</f>
        <v/>
      </c>
      <c r="J557" s="0" t="s">
        <v>3913</v>
      </c>
      <c r="K557" s="0" t="n">
        <f aca="false">IF(M557=2,"",IF(ISNUMBER(SEARCH("rata-rata:",'Onshore - Sydney'!M396)),VALUE(MID('Onshore - Sydney'!M396,SEARCH("rata-rata:",'Onshore - Sydney'!M396)+11,FIND(";",'Onshore - Sydney'!M396&amp;";",SEARCH("rata-rata:",'Onshore - Sydney'!M396))-SEARCH("rata-rata:",'Onshore - Sydney'!M396)-11)),IF('Onshore - Sydney'!D396="Semester",'Onshore - Sydney'!E396*2,IF('Onshore - Sydney'!D396="Trimester",'Onshore - Sydney'!E396*3,IF('Onshore - Sydney'!D396="Term",'Onshore - Sydney'!E396*4,IF('Onshore - Sydney'!D396="Unit",'Onshore - Sydney'!E396*8,""))))))</f>
        <v>38192</v>
      </c>
      <c r="L557" s="0" t="n">
        <f aca="false">IF(AND(ISNUMBER('Onshore - Sydney'!E396),ISNUMBER(K557),ISNUMBER('Onshore - Sydney'!F396),ISNUMBER('Onshore - Sydney'!G396),OR('Onshore - Sydney'!F396&lt;&gt;0,ISNUMBER(SEARCH("Material 0 terverifikasi",'Onshore - Sydney'!M396))),OR('Onshore - Sydney'!G396&lt;&gt;0,ISNUMBER(SEARCH("Enrolment 0 terverifikasi",'Onshore - Sydney'!M396)))),1,0)</f>
        <v>0</v>
      </c>
      <c r="M557" s="0" t="n">
        <f aca="false">IF(OR('Onshore - Sydney'!E396="",ISNUMBER(SEARCH("BSB80120",'Onshore - Sydney'!B396&amp;'Onshore - Sydney'!M396)),ISNUMBER(SEARCH("Management (Learning)",'Onshore - Sydney'!B396))),2,IF(ISNUMBER(SEARCH("CEK:",'Onshore - Sydney'!M396)),1,0))</f>
        <v>0</v>
      </c>
    </row>
    <row r="558" customFormat="false" ht="15" hidden="false" customHeight="false" outlineLevel="0" collapsed="false">
      <c r="A558" s="63" t="s">
        <v>3533</v>
      </c>
      <c r="B558" s="64" t="s">
        <v>3833</v>
      </c>
      <c r="C558" s="63" t="s">
        <v>3707</v>
      </c>
      <c r="D558" s="64" t="str">
        <f aca="false">TRIM(LEFT('Onshore - Sydney'!A552,FIND(CHAR(10),'Onshore - Sydney'!A552&amp;CHAR(10))-1))</f>
        <v>Kaplan Business School</v>
      </c>
      <c r="E558" s="63" t="str">
        <f aca="false">'Onshore - Sydney'!C554&amp;""</f>
        <v>0,5 year</v>
      </c>
      <c r="F558" s="63" t="str">
        <f aca="false">IF('Onshore - Sydney'!D554="","Belum tercatat",'Onshore - Sydney'!D554)</f>
        <v>Trimester</v>
      </c>
      <c r="G558" s="65" t="n">
        <f aca="false">IF('Onshore - Sydney'!E554="","-",'Onshore - Sydney'!E554)</f>
        <v>19640</v>
      </c>
      <c r="H558" s="63" t="n">
        <f aca="false">IF(ISNUMBER(K558),COUNTIFS($J$6:$J$1916,J558,$K$6:$K$1916,"&lt;"&amp;K558)+1,"-")</f>
        <v>12</v>
      </c>
      <c r="I558" s="64" t="str">
        <f aca="false">IF('Onshore - Sydney'!E554="","Harga belum tersedia - hubungi konsultan TEG",IF(M558=2,"Saat ini tidak menerima pendaftaran siswa internasional baru",IF(M558=1,"Harga perlu dikonfirmasi ke sekolah"&amp;IF(""="","","; "&amp;""),"")))</f>
        <v>Harga perlu dikonfirmasi ke sekolah</v>
      </c>
      <c r="J558" s="0" t="s">
        <v>3913</v>
      </c>
      <c r="K558" s="0" t="n">
        <f aca="false">IF(M558=2,"",IF(ISNUMBER(SEARCH("rata-rata:",'Onshore - Sydney'!M554)),VALUE(MID('Onshore - Sydney'!M554,SEARCH("rata-rata:",'Onshore - Sydney'!M554)+11,FIND(";",'Onshore - Sydney'!M554&amp;";",SEARCH("rata-rata:",'Onshore - Sydney'!M554))-SEARCH("rata-rata:",'Onshore - Sydney'!M554)-11)),IF('Onshore - Sydney'!D554="Semester",'Onshore - Sydney'!E554*2,IF('Onshore - Sydney'!D554="Trimester",'Onshore - Sydney'!E554*3,IF('Onshore - Sydney'!D554="Term",'Onshore - Sydney'!E554*4,IF('Onshore - Sydney'!D554="Unit",'Onshore - Sydney'!E554*8,""))))))</f>
        <v>58920</v>
      </c>
      <c r="L558" s="0" t="n">
        <f aca="false">IF(AND(ISNUMBER('Onshore - Sydney'!E554),ISNUMBER(K558),ISNUMBER('Onshore - Sydney'!F554),ISNUMBER('Onshore - Sydney'!G554),OR('Onshore - Sydney'!F554&lt;&gt;0,ISNUMBER(SEARCH("Material 0 terverifikasi",'Onshore - Sydney'!M554))),OR('Onshore - Sydney'!G554&lt;&gt;0,ISNUMBER(SEARCH("Enrolment 0 terverifikasi",'Onshore - Sydney'!M554)))),1,0)</f>
        <v>1</v>
      </c>
      <c r="M558" s="0" t="n">
        <f aca="false">IF(OR('Onshore - Sydney'!E554="",ISNUMBER(SEARCH("BSB80120",'Onshore - Sydney'!B554&amp;'Onshore - Sydney'!M554)),ISNUMBER(SEARCH("Management (Learning)",'Onshore - Sydney'!B554))),2,IF(ISNUMBER(SEARCH("CEK:",'Onshore - Sydney'!M554)),1,0))</f>
        <v>1</v>
      </c>
    </row>
    <row r="559" customFormat="false" ht="28.35" hidden="false" customHeight="false" outlineLevel="0" collapsed="false">
      <c r="A559" s="63" t="s">
        <v>3533</v>
      </c>
      <c r="B559" s="64" t="s">
        <v>3833</v>
      </c>
      <c r="C559" s="63" t="s">
        <v>3707</v>
      </c>
      <c r="D559" s="64" t="str">
        <f aca="false">TRIM(LEFT('Onshore - Sydney'!A268,FIND(CHAR(10),'Onshore - Sydney'!A268&amp;CHAR(10))-1))</f>
        <v>Australian College of Business Intelligence (ACBI)</v>
      </c>
      <c r="E559" s="63" t="str">
        <f aca="false">'Onshore - Sydney'!C272&amp;""</f>
        <v>104 weeks (8 terms)</v>
      </c>
      <c r="F559" s="63" t="str">
        <f aca="false">IF('Onshore - Sydney'!D272="","Belum tercatat",'Onshore - Sydney'!D272)</f>
        <v>Term</v>
      </c>
      <c r="G559" s="65" t="n">
        <f aca="false">IF('Onshore - Sydney'!E272="","-",'Onshore - Sydney'!E272)</f>
        <v>1980</v>
      </c>
      <c r="H559" s="63" t="str">
        <f aca="false">IF(ISNUMBER(K559),COUNTIFS($J$6:$J$1916,J559,$K$6:$K$1916,"&lt;"&amp;K559)+1,"-")</f>
        <v>-</v>
      </c>
      <c r="I559" s="64" t="str">
        <f aca="false">IF('Onshore - Sydney'!E272="","Harga belum tersedia - hubungi konsultan TEG",IF(M559=2,"Saat ini tidak menerima pendaftaran siswa internasional baru",IF(M559=1,"Harga perlu dikonfirmasi ke sekolah"&amp;IF(""="","","; "&amp;""),"")))</f>
        <v>Saat ini tidak menerima pendaftaran siswa internasional baru</v>
      </c>
      <c r="J559" s="0" t="s">
        <v>3913</v>
      </c>
      <c r="K559" s="0" t="str">
        <f aca="false">IF(M559=2,"",IF(ISNUMBER(SEARCH("rata-rata:",'Onshore - Sydney'!M272)),VALUE(MID('Onshore - Sydney'!M272,SEARCH("rata-rata:",'Onshore - Sydney'!M272)+11,FIND(";",'Onshore - Sydney'!M272&amp;";",SEARCH("rata-rata:",'Onshore - Sydney'!M272))-SEARCH("rata-rata:",'Onshore - Sydney'!M272)-11)),IF('Onshore - Sydney'!D272="Semester",'Onshore - Sydney'!E272*2,IF('Onshore - Sydney'!D272="Trimester",'Onshore - Sydney'!E272*3,IF('Onshore - Sydney'!D272="Term",'Onshore - Sydney'!E272*4,IF('Onshore - Sydney'!D272="Unit",'Onshore - Sydney'!E272*8,""))))))</f>
        <v/>
      </c>
      <c r="L559" s="0" t="n">
        <f aca="false">IF(AND(ISNUMBER('Onshore - Sydney'!E272),ISNUMBER(K559),ISNUMBER('Onshore - Sydney'!F272),ISNUMBER('Onshore - Sydney'!G272),OR('Onshore - Sydney'!F272&lt;&gt;0,ISNUMBER(SEARCH("Material 0 terverifikasi",'Onshore - Sydney'!M272))),OR('Onshore - Sydney'!G272&lt;&gt;0,ISNUMBER(SEARCH("Enrolment 0 terverifikasi",'Onshore - Sydney'!M272)))),1,0)</f>
        <v>0</v>
      </c>
      <c r="M559" s="0" t="n">
        <f aca="false">IF(OR('Onshore - Sydney'!E272="",ISNUMBER(SEARCH("BSB80120",'Onshore - Sydney'!B272&amp;'Onshore - Sydney'!M272)),ISNUMBER(SEARCH("Management (Learning)",'Onshore - Sydney'!B272))),2,IF(ISNUMBER(SEARCH("CEK:",'Onshore - Sydney'!M272)),1,0))</f>
        <v>2</v>
      </c>
    </row>
    <row r="560" customFormat="false" ht="28.35" hidden="false" customHeight="false" outlineLevel="0" collapsed="false">
      <c r="A560" s="63" t="s">
        <v>3533</v>
      </c>
      <c r="B560" s="64" t="s">
        <v>3833</v>
      </c>
      <c r="C560" s="63" t="s">
        <v>3707</v>
      </c>
      <c r="D560" s="64" t="str">
        <f aca="false">TRIM(LEFT('Onshore - Sydney'!A495,FIND(CHAR(10),'Onshore - Sydney'!A495&amp;CHAR(10))-1))</f>
        <v>Greenwich College</v>
      </c>
      <c r="E560" s="63" t="str">
        <f aca="false">'Onshore - Sydney'!C503&amp;""</f>
        <v>1,5 year</v>
      </c>
      <c r="F560" s="63" t="str">
        <f aca="false">IF('Onshore - Sydney'!D503="","Belum tercatat",'Onshore - Sydney'!D503)</f>
        <v>Term</v>
      </c>
      <c r="G560" s="65" t="n">
        <f aca="false">IF('Onshore - Sydney'!E503="","-",'Onshore - Sydney'!E503)</f>
        <v>1650</v>
      </c>
      <c r="H560" s="63" t="str">
        <f aca="false">IF(ISNUMBER(K560),COUNTIFS($J$6:$J$1916,J560,$K$6:$K$1916,"&lt;"&amp;K560)+1,"-")</f>
        <v>-</v>
      </c>
      <c r="I560" s="64" t="str">
        <f aca="false">IF('Onshore - Sydney'!E503="","Harga belum tersedia - hubungi konsultan TEG",IF(M560=2,"Saat ini tidak menerima pendaftaran siswa internasional baru",IF(M560=1,"Harga perlu dikonfirmasi ke sekolah"&amp;IF(""="","","; "&amp;""),"")))</f>
        <v>Saat ini tidak menerima pendaftaran siswa internasional baru</v>
      </c>
      <c r="J560" s="0" t="s">
        <v>3913</v>
      </c>
      <c r="K560" s="0" t="str">
        <f aca="false">IF(M560=2,"",IF(ISNUMBER(SEARCH("rata-rata:",'Onshore - Sydney'!M503)),VALUE(MID('Onshore - Sydney'!M503,SEARCH("rata-rata:",'Onshore - Sydney'!M503)+11,FIND(";",'Onshore - Sydney'!M503&amp;";",SEARCH("rata-rata:",'Onshore - Sydney'!M503))-SEARCH("rata-rata:",'Onshore - Sydney'!M503)-11)),IF('Onshore - Sydney'!D503="Semester",'Onshore - Sydney'!E503*2,IF('Onshore - Sydney'!D503="Trimester",'Onshore - Sydney'!E503*3,IF('Onshore - Sydney'!D503="Term",'Onshore - Sydney'!E503*4,IF('Onshore - Sydney'!D503="Unit",'Onshore - Sydney'!E503*8,""))))))</f>
        <v/>
      </c>
      <c r="L560" s="0" t="n">
        <f aca="false">IF(AND(ISNUMBER('Onshore - Sydney'!E503),ISNUMBER(K560),ISNUMBER('Onshore - Sydney'!F503),ISNUMBER('Onshore - Sydney'!G503),OR('Onshore - Sydney'!F503&lt;&gt;0,ISNUMBER(SEARCH("Material 0 terverifikasi",'Onshore - Sydney'!M503))),OR('Onshore - Sydney'!G503&lt;&gt;0,ISNUMBER(SEARCH("Enrolment 0 terverifikasi",'Onshore - Sydney'!M503)))),1,0)</f>
        <v>0</v>
      </c>
      <c r="M560" s="0" t="n">
        <f aca="false">IF(OR('Onshore - Sydney'!E503="",ISNUMBER(SEARCH("BSB80120",'Onshore - Sydney'!B503&amp;'Onshore - Sydney'!M503)),ISNUMBER(SEARCH("Management (Learning)",'Onshore - Sydney'!B503))),2,IF(ISNUMBER(SEARCH("CEK:",'Onshore - Sydney'!M503)),1,0))</f>
        <v>2</v>
      </c>
    </row>
    <row r="561" customFormat="false" ht="28.35" hidden="false" customHeight="false" outlineLevel="0" collapsed="false">
      <c r="A561" s="63" t="s">
        <v>3533</v>
      </c>
      <c r="B561" s="64" t="s">
        <v>3833</v>
      </c>
      <c r="C561" s="63" t="s">
        <v>3707</v>
      </c>
      <c r="D561" s="64" t="str">
        <f aca="false">TRIM(LEFT('Onshore - Sydney'!A1047,FIND(CHAR(10),'Onshore - Sydney'!A1047&amp;CHAR(10))-1))</f>
        <v>Western Sydney College (WSC)</v>
      </c>
      <c r="E561" s="63" t="str">
        <f aca="false">'Onshore - Sydney'!C1050&amp;""</f>
        <v>2 years</v>
      </c>
      <c r="F561" s="63" t="str">
        <f aca="false">IF('Onshore - Sydney'!D1050="","Belum tercatat",'Onshore - Sydney'!D1050)</f>
        <v>Term</v>
      </c>
      <c r="G561" s="65" t="n">
        <f aca="false">IF('Onshore - Sydney'!E1050="","-",'Onshore - Sydney'!E1050)</f>
        <v>3250</v>
      </c>
      <c r="H561" s="63" t="str">
        <f aca="false">IF(ISNUMBER(K561),COUNTIFS($J$6:$J$1916,J561,$K$6:$K$1916,"&lt;"&amp;K561)+1,"-")</f>
        <v>-</v>
      </c>
      <c r="I561" s="64" t="str">
        <f aca="false">IF('Onshore - Sydney'!E1050="","Harga belum tersedia - hubungi konsultan TEG",IF(M561=2,"Saat ini tidak menerima pendaftaran siswa internasional baru",IF(M561=1,"Harga perlu dikonfirmasi ke sekolah"&amp;IF(""="","","; "&amp;""),"")))</f>
        <v>Saat ini tidak menerima pendaftaran siswa internasional baru</v>
      </c>
      <c r="J561" s="0" t="s">
        <v>3913</v>
      </c>
      <c r="K561" s="0" t="str">
        <f aca="false">IF(M561=2,"",IF(ISNUMBER(SEARCH("rata-rata:",'Onshore - Sydney'!M1050)),VALUE(MID('Onshore - Sydney'!M1050,SEARCH("rata-rata:",'Onshore - Sydney'!M1050)+11,FIND(";",'Onshore - Sydney'!M1050&amp;";",SEARCH("rata-rata:",'Onshore - Sydney'!M1050))-SEARCH("rata-rata:",'Onshore - Sydney'!M1050)-11)),IF('Onshore - Sydney'!D1050="Semester",'Onshore - Sydney'!E1050*2,IF('Onshore - Sydney'!D1050="Trimester",'Onshore - Sydney'!E1050*3,IF('Onshore - Sydney'!D1050="Term",'Onshore - Sydney'!E1050*4,IF('Onshore - Sydney'!D1050="Unit",'Onshore - Sydney'!E1050*8,""))))))</f>
        <v/>
      </c>
      <c r="L561" s="0" t="n">
        <f aca="false">IF(AND(ISNUMBER('Onshore - Sydney'!E1050),ISNUMBER(K561),ISNUMBER('Onshore - Sydney'!F1050),ISNUMBER('Onshore - Sydney'!G1050),OR('Onshore - Sydney'!F1050&lt;&gt;0,ISNUMBER(SEARCH("Material 0 terverifikasi",'Onshore - Sydney'!M1050))),OR('Onshore - Sydney'!G1050&lt;&gt;0,ISNUMBER(SEARCH("Enrolment 0 terverifikasi",'Onshore - Sydney'!M1050)))),1,0)</f>
        <v>0</v>
      </c>
      <c r="M561" s="0" t="n">
        <f aca="false">IF(OR('Onshore - Sydney'!E1050="",ISNUMBER(SEARCH("BSB80120",'Onshore - Sydney'!B1050&amp;'Onshore - Sydney'!M1050)),ISNUMBER(SEARCH("Management (Learning)",'Onshore - Sydney'!B1050))),2,IF(ISNUMBER(SEARCH("CEK:",'Onshore - Sydney'!M1050)),1,0))</f>
        <v>2</v>
      </c>
    </row>
    <row r="562" customFormat="false" ht="15" hidden="false" customHeight="false" outlineLevel="0" collapsed="false">
      <c r="A562" s="61" t="s">
        <v>3914</v>
      </c>
      <c r="B562" s="62"/>
      <c r="C562" s="62"/>
      <c r="D562" s="62"/>
      <c r="E562" s="62"/>
      <c r="F562" s="62"/>
      <c r="G562" s="62"/>
      <c r="H562" s="62"/>
      <c r="I562" s="62"/>
    </row>
    <row r="563" customFormat="false" ht="15" hidden="false" customHeight="false" outlineLevel="0" collapsed="false">
      <c r="A563" s="63" t="s">
        <v>3533</v>
      </c>
      <c r="B563" s="64" t="s">
        <v>3833</v>
      </c>
      <c r="C563" s="63" t="s">
        <v>46</v>
      </c>
      <c r="D563" s="64" t="str">
        <f aca="false">TRIM(LEFT('Onshore - Sydney'!A156,FIND(CHAR(10),'Onshore - Sydney'!A156&amp;CHAR(10))-1))</f>
        <v>Australian Agribusiness Institute</v>
      </c>
      <c r="E563" s="63" t="str">
        <f aca="false">'Onshore - Sydney'!C158&amp;""</f>
        <v>2 years</v>
      </c>
      <c r="F563" s="63" t="str">
        <f aca="false">IF('Onshore - Sydney'!D158="","Belum tercatat",'Onshore - Sydney'!D158)</f>
        <v>Term</v>
      </c>
      <c r="G563" s="65" t="n">
        <f aca="false">IF('Onshore - Sydney'!E158="","-",'Onshore - Sydney'!E158)</f>
        <v>3500</v>
      </c>
      <c r="H563" s="63" t="n">
        <f aca="false">IF(ISNUMBER(K563),COUNTIFS($J$6:$J$1916,J563,$K$6:$K$1916,"&lt;"&amp;K563)+1,"-")</f>
        <v>1</v>
      </c>
      <c r="I563" s="64" t="str">
        <f aca="false">IF('Onshore - Sydney'!E158="","Harga belum tersedia - hubungi konsultan TEG",IF(M563=2,"Saat ini tidak menerima pendaftaran siswa internasional baru",IF(M563=1,"Harga perlu dikonfirmasi ke sekolah"&amp;IF(""="","","; "&amp;""),"")))</f>
        <v>Harga perlu dikonfirmasi ke sekolah</v>
      </c>
      <c r="J563" s="0" t="s">
        <v>3915</v>
      </c>
      <c r="K563" s="0" t="n">
        <f aca="false">IF(M563=2,"",IF(ISNUMBER(SEARCH("rata-rata:",'Onshore - Sydney'!M158)),VALUE(MID('Onshore - Sydney'!M158,SEARCH("rata-rata:",'Onshore - Sydney'!M158)+11,FIND(";",'Onshore - Sydney'!M158&amp;";",SEARCH("rata-rata:",'Onshore - Sydney'!M158))-SEARCH("rata-rata:",'Onshore - Sydney'!M158)-11)),IF('Onshore - Sydney'!D158="Semester",'Onshore - Sydney'!E158*2,IF('Onshore - Sydney'!D158="Trimester",'Onshore - Sydney'!E158*3,IF('Onshore - Sydney'!D158="Term",'Onshore - Sydney'!E158*4,IF('Onshore - Sydney'!D158="Unit",'Onshore - Sydney'!E158*8,""))))))</f>
        <v>14000</v>
      </c>
      <c r="L563" s="0" t="n">
        <f aca="false">IF(AND(ISNUMBER('Onshore - Sydney'!E158),ISNUMBER(K563),ISNUMBER('Onshore - Sydney'!F158),ISNUMBER('Onshore - Sydney'!G158),OR('Onshore - Sydney'!F158&lt;&gt;0,ISNUMBER(SEARCH("Material 0 terverifikasi",'Onshore - Sydney'!M158))),OR('Onshore - Sydney'!G158&lt;&gt;0,ISNUMBER(SEARCH("Enrolment 0 terverifikasi",'Onshore - Sydney'!M158)))),1,0)</f>
        <v>0</v>
      </c>
      <c r="M563" s="0" t="n">
        <f aca="false">IF(OR('Onshore - Sydney'!E158="",ISNUMBER(SEARCH("BSB80120",'Onshore - Sydney'!B158&amp;'Onshore - Sydney'!M158)),ISNUMBER(SEARCH("Management (Learning)",'Onshore - Sydney'!B158))),2,IF(ISNUMBER(SEARCH("CEK:",'Onshore - Sydney'!M158)),1,0))</f>
        <v>1</v>
      </c>
    </row>
    <row r="564" customFormat="false" ht="15" hidden="false" customHeight="false" outlineLevel="0" collapsed="false">
      <c r="A564" s="63" t="s">
        <v>3533</v>
      </c>
      <c r="B564" s="64" t="s">
        <v>3833</v>
      </c>
      <c r="C564" s="63" t="s">
        <v>46</v>
      </c>
      <c r="D564" s="64" t="str">
        <f aca="false">TRIM(LEFT('Onshore - Sydney'!A160,FIND(CHAR(10),'Onshore - Sydney'!A160&amp;CHAR(10))-1))</f>
        <v>Australian Business Institute (ABI)</v>
      </c>
      <c r="E564" s="63" t="str">
        <f aca="false">'Onshore - Sydney'!C162&amp;""</f>
        <v>2 years</v>
      </c>
      <c r="F564" s="63" t="str">
        <f aca="false">IF('Onshore - Sydney'!D162="","Belum tercatat",'Onshore - Sydney'!D162)</f>
        <v>Term</v>
      </c>
      <c r="G564" s="65" t="n">
        <f aca="false">IF('Onshore - Sydney'!E162="","-",'Onshore - Sydney'!E162)</f>
        <v>3500</v>
      </c>
      <c r="H564" s="63" t="n">
        <f aca="false">IF(ISNUMBER(K564),COUNTIFS($J$6:$J$1916,J564,$K$6:$K$1916,"&lt;"&amp;K564)+1,"-")</f>
        <v>1</v>
      </c>
      <c r="I564" s="64" t="str">
        <f aca="false">IF('Onshore - Sydney'!E162="","Harga belum tersedia - hubungi konsultan TEG",IF(M564=2,"Saat ini tidak menerima pendaftaran siswa internasional baru",IF(M564=1,"Harga perlu dikonfirmasi ke sekolah"&amp;IF(""="","","; "&amp;""),"")))</f>
        <v/>
      </c>
      <c r="J564" s="0" t="s">
        <v>3915</v>
      </c>
      <c r="K564" s="0" t="n">
        <f aca="false">IF(M564=2,"",IF(ISNUMBER(SEARCH("rata-rata:",'Onshore - Sydney'!M162)),VALUE(MID('Onshore - Sydney'!M162,SEARCH("rata-rata:",'Onshore - Sydney'!M162)+11,FIND(";",'Onshore - Sydney'!M162&amp;";",SEARCH("rata-rata:",'Onshore - Sydney'!M162))-SEARCH("rata-rata:",'Onshore - Sydney'!M162)-11)),IF('Onshore - Sydney'!D162="Semester",'Onshore - Sydney'!E162*2,IF('Onshore - Sydney'!D162="Trimester",'Onshore - Sydney'!E162*3,IF('Onshore - Sydney'!D162="Term",'Onshore - Sydney'!E162*4,IF('Onshore - Sydney'!D162="Unit",'Onshore - Sydney'!E162*8,""))))))</f>
        <v>14000</v>
      </c>
      <c r="L564" s="0" t="n">
        <f aca="false">IF(AND(ISNUMBER('Onshore - Sydney'!E162),ISNUMBER(K564),ISNUMBER('Onshore - Sydney'!F162),ISNUMBER('Onshore - Sydney'!G162),OR('Onshore - Sydney'!F162&lt;&gt;0,ISNUMBER(SEARCH("Material 0 terverifikasi",'Onshore - Sydney'!M162))),OR('Onshore - Sydney'!G162&lt;&gt;0,ISNUMBER(SEARCH("Enrolment 0 terverifikasi",'Onshore - Sydney'!M162)))),1,0)</f>
        <v>0</v>
      </c>
      <c r="M564" s="0" t="n">
        <f aca="false">IF(OR('Onshore - Sydney'!E162="",ISNUMBER(SEARCH("BSB80120",'Onshore - Sydney'!B162&amp;'Onshore - Sydney'!M162)),ISNUMBER(SEARCH("Management (Learning)",'Onshore - Sydney'!B162))),2,IF(ISNUMBER(SEARCH("CEK:",'Onshore - Sydney'!M162)),1,0))</f>
        <v>0</v>
      </c>
    </row>
    <row r="565" customFormat="false" ht="15" hidden="false" customHeight="false" outlineLevel="0" collapsed="false">
      <c r="A565" s="63" t="s">
        <v>3533</v>
      </c>
      <c r="B565" s="64" t="s">
        <v>3833</v>
      </c>
      <c r="C565" s="63" t="s">
        <v>46</v>
      </c>
      <c r="D565" s="64" t="str">
        <f aca="false">TRIM(LEFT('Onshore - Sydney'!A74,FIND(CHAR(10),'Onshore - Sydney'!A74&amp;CHAR(10))-1))</f>
        <v>AIBI Higher Education</v>
      </c>
      <c r="E565" s="63" t="str">
        <f aca="false">'Onshore - Sydney'!C79&amp;""</f>
        <v>2 years</v>
      </c>
      <c r="F565" s="63" t="str">
        <f aca="false">IF('Onshore - Sydney'!D79="","Belum tercatat",'Onshore - Sydney'!D79)</f>
        <v>Term</v>
      </c>
      <c r="G565" s="65" t="n">
        <f aca="false">IF('Onshore - Sydney'!E79="","-",'Onshore - Sydney'!E79)</f>
        <v>4050</v>
      </c>
      <c r="H565" s="63" t="n">
        <f aca="false">IF(ISNUMBER(K565),COUNTIFS($J$6:$J$1916,J565,$K$6:$K$1916,"&lt;"&amp;K565)+1,"-")</f>
        <v>3</v>
      </c>
      <c r="I565" s="64" t="str">
        <f aca="false">IF('Onshore - Sydney'!E79="","Harga belum tersedia - hubungi konsultan TEG",IF(M565=2,"Saat ini tidak menerima pendaftaran siswa internasional baru",IF(M565=1,"Harga perlu dikonfirmasi ke sekolah"&amp;IF(""="","","; "&amp;""),"")))</f>
        <v>Harga perlu dikonfirmasi ke sekolah</v>
      </c>
      <c r="J565" s="0" t="s">
        <v>3915</v>
      </c>
      <c r="K565" s="0" t="n">
        <f aca="false">IF(M565=2,"",IF(ISNUMBER(SEARCH("rata-rata:",'Onshore - Sydney'!M79)),VALUE(MID('Onshore - Sydney'!M79,SEARCH("rata-rata:",'Onshore - Sydney'!M79)+11,FIND(";",'Onshore - Sydney'!M79&amp;";",SEARCH("rata-rata:",'Onshore - Sydney'!M79))-SEARCH("rata-rata:",'Onshore - Sydney'!M79)-11)),IF('Onshore - Sydney'!D79="Semester",'Onshore - Sydney'!E79*2,IF('Onshore - Sydney'!D79="Trimester",'Onshore - Sydney'!E79*3,IF('Onshore - Sydney'!D79="Term",'Onshore - Sydney'!E79*4,IF('Onshore - Sydney'!D79="Unit",'Onshore - Sydney'!E79*8,""))))))</f>
        <v>16200</v>
      </c>
      <c r="L565" s="0" t="n">
        <f aca="false">IF(AND(ISNUMBER('Onshore - Sydney'!E79),ISNUMBER(K565),ISNUMBER('Onshore - Sydney'!F79),ISNUMBER('Onshore - Sydney'!G79),OR('Onshore - Sydney'!F79&lt;&gt;0,ISNUMBER(SEARCH("Material 0 terverifikasi",'Onshore - Sydney'!M79))),OR('Onshore - Sydney'!G79&lt;&gt;0,ISNUMBER(SEARCH("Enrolment 0 terverifikasi",'Onshore - Sydney'!M79)))),1,0)</f>
        <v>0</v>
      </c>
      <c r="M565" s="0" t="n">
        <f aca="false">IF(OR('Onshore - Sydney'!E79="",ISNUMBER(SEARCH("BSB80120",'Onshore - Sydney'!B79&amp;'Onshore - Sydney'!M79)),ISNUMBER(SEARCH("Management (Learning)",'Onshore - Sydney'!B79))),2,IF(ISNUMBER(SEARCH("CEK:",'Onshore - Sydney'!M79)),1,0))</f>
        <v>1</v>
      </c>
    </row>
    <row r="566" customFormat="false" ht="15" hidden="false" customHeight="false" outlineLevel="0" collapsed="false">
      <c r="A566" s="63" t="s">
        <v>3533</v>
      </c>
      <c r="B566" s="64" t="s">
        <v>3833</v>
      </c>
      <c r="C566" s="63" t="s">
        <v>46</v>
      </c>
      <c r="D566" s="64" t="str">
        <f aca="false">TRIM(LEFT('Onshore - Sydney'!A866,FIND(CHAR(10),'Onshore - Sydney'!A866&amp;CHAR(10))-1))</f>
        <v>The Institute of International Studies (TIIS)</v>
      </c>
      <c r="E566" s="63" t="str">
        <f aca="false">'Onshore - Sydney'!C870&amp;""</f>
        <v>2 years</v>
      </c>
      <c r="F566" s="63" t="str">
        <f aca="false">IF('Onshore - Sydney'!D870="","Belum tercatat",'Onshore - Sydney'!D870)</f>
        <v>Term</v>
      </c>
      <c r="G566" s="65" t="n">
        <f aca="false">IF('Onshore - Sydney'!E870="","-",'Onshore - Sydney'!E870)</f>
        <v>4100</v>
      </c>
      <c r="H566" s="63" t="n">
        <f aca="false">IF(ISNUMBER(K566),COUNTIFS($J$6:$J$1916,J566,$K$6:$K$1916,"&lt;"&amp;K566)+1,"-")</f>
        <v>4</v>
      </c>
      <c r="I566" s="64" t="str">
        <f aca="false">IF('Onshore - Sydney'!E870="","Harga belum tersedia - hubungi konsultan TEG",IF(M566=2,"Saat ini tidak menerima pendaftaran siswa internasional baru",IF(M566=1,"Harga perlu dikonfirmasi ke sekolah"&amp;IF(""="","","; "&amp;""),"")))</f>
        <v/>
      </c>
      <c r="J566" s="0" t="s">
        <v>3915</v>
      </c>
      <c r="K566" s="0" t="n">
        <f aca="false">IF(M566=2,"",IF(ISNUMBER(SEARCH("rata-rata:",'Onshore - Sydney'!M870)),VALUE(MID('Onshore - Sydney'!M870,SEARCH("rata-rata:",'Onshore - Sydney'!M870)+11,FIND(";",'Onshore - Sydney'!M870&amp;";",SEARCH("rata-rata:",'Onshore - Sydney'!M870))-SEARCH("rata-rata:",'Onshore - Sydney'!M870)-11)),IF('Onshore - Sydney'!D870="Semester",'Onshore - Sydney'!E870*2,IF('Onshore - Sydney'!D870="Trimester",'Onshore - Sydney'!E870*3,IF('Onshore - Sydney'!D870="Term",'Onshore - Sydney'!E870*4,IF('Onshore - Sydney'!D870="Unit",'Onshore - Sydney'!E870*8,""))))))</f>
        <v>16400</v>
      </c>
      <c r="L566" s="0" t="n">
        <f aca="false">IF(AND(ISNUMBER('Onshore - Sydney'!E870),ISNUMBER(K566),ISNUMBER('Onshore - Sydney'!F870),ISNUMBER('Onshore - Sydney'!G870),OR('Onshore - Sydney'!F870&lt;&gt;0,ISNUMBER(SEARCH("Material 0 terverifikasi",'Onshore - Sydney'!M870))),OR('Onshore - Sydney'!G870&lt;&gt;0,ISNUMBER(SEARCH("Enrolment 0 terverifikasi",'Onshore - Sydney'!M870)))),1,0)</f>
        <v>0</v>
      </c>
      <c r="M566" s="0" t="n">
        <f aca="false">IF(OR('Onshore - Sydney'!E870="",ISNUMBER(SEARCH("BSB80120",'Onshore - Sydney'!B870&amp;'Onshore - Sydney'!M870)),ISNUMBER(SEARCH("Management (Learning)",'Onshore - Sydney'!B870))),2,IF(ISNUMBER(SEARCH("CEK:",'Onshore - Sydney'!M870)),1,0))</f>
        <v>0</v>
      </c>
    </row>
    <row r="567" customFormat="false" ht="15" hidden="false" customHeight="false" outlineLevel="0" collapsed="false">
      <c r="A567" s="63" t="s">
        <v>3533</v>
      </c>
      <c r="B567" s="64" t="s">
        <v>3833</v>
      </c>
      <c r="C567" s="63" t="s">
        <v>46</v>
      </c>
      <c r="D567" s="64" t="str">
        <f aca="false">TRIM(LEFT('Onshore - Sydney'!A422,FIND(CHAR(10),'Onshore - Sydney'!A422&amp;CHAR(10))-1))</f>
        <v>CIHE Australia</v>
      </c>
      <c r="E567" s="63" t="str">
        <f aca="false">'Onshore - Sydney'!C433&amp;""</f>
        <v>1,5 years</v>
      </c>
      <c r="F567" s="63" t="str">
        <f aca="false">IF('Onshore - Sydney'!D433="","Belum tercatat",'Onshore - Sydney'!D433)</f>
        <v>Term</v>
      </c>
      <c r="G567" s="65" t="n">
        <f aca="false">IF('Onshore - Sydney'!E433="","-",'Onshore - Sydney'!E433)</f>
        <v>4125</v>
      </c>
      <c r="H567" s="63" t="n">
        <f aca="false">IF(ISNUMBER(K567),COUNTIFS($J$6:$J$1916,J567,$K$6:$K$1916,"&lt;"&amp;K567)+1,"-")</f>
        <v>5</v>
      </c>
      <c r="I567" s="64" t="str">
        <f aca="false">IF('Onshore - Sydney'!E433="","Harga belum tersedia - hubungi konsultan TEG",IF(M567=2,"Saat ini tidak menerima pendaftaran siswa internasional baru",IF(M567=1,"Harga perlu dikonfirmasi ke sekolah"&amp;IF(""="","","; "&amp;""),"")))</f>
        <v>Harga perlu dikonfirmasi ke sekolah</v>
      </c>
      <c r="J567" s="0" t="s">
        <v>3915</v>
      </c>
      <c r="K567" s="0" t="n">
        <f aca="false">IF(M567=2,"",IF(ISNUMBER(SEARCH("rata-rata:",'Onshore - Sydney'!M433)),VALUE(MID('Onshore - Sydney'!M433,SEARCH("rata-rata:",'Onshore - Sydney'!M433)+11,FIND(";",'Onshore - Sydney'!M433&amp;";",SEARCH("rata-rata:",'Onshore - Sydney'!M433))-SEARCH("rata-rata:",'Onshore - Sydney'!M433)-11)),IF('Onshore - Sydney'!D433="Semester",'Onshore - Sydney'!E433*2,IF('Onshore - Sydney'!D433="Trimester",'Onshore - Sydney'!E433*3,IF('Onshore - Sydney'!D433="Term",'Onshore - Sydney'!E433*4,IF('Onshore - Sydney'!D433="Unit",'Onshore - Sydney'!E433*8,""))))))</f>
        <v>16500</v>
      </c>
      <c r="L567" s="0" t="n">
        <f aca="false">IF(AND(ISNUMBER('Onshore - Sydney'!E433),ISNUMBER(K567),ISNUMBER('Onshore - Sydney'!F433),ISNUMBER('Onshore - Sydney'!G433),OR('Onshore - Sydney'!F433&lt;&gt;0,ISNUMBER(SEARCH("Material 0 terverifikasi",'Onshore - Sydney'!M433))),OR('Onshore - Sydney'!G433&lt;&gt;0,ISNUMBER(SEARCH("Enrolment 0 terverifikasi",'Onshore - Sydney'!M433)))),1,0)</f>
        <v>1</v>
      </c>
      <c r="M567" s="0" t="n">
        <f aca="false">IF(OR('Onshore - Sydney'!E433="",ISNUMBER(SEARCH("BSB80120",'Onshore - Sydney'!B433&amp;'Onshore - Sydney'!M433)),ISNUMBER(SEARCH("Management (Learning)",'Onshore - Sydney'!B433))),2,IF(ISNUMBER(SEARCH("CEK:",'Onshore - Sydney'!M433)),1,0))</f>
        <v>1</v>
      </c>
    </row>
    <row r="568" customFormat="false" ht="28.35" hidden="false" customHeight="false" outlineLevel="0" collapsed="false">
      <c r="A568" s="63" t="s">
        <v>3533</v>
      </c>
      <c r="B568" s="64" t="s">
        <v>3833</v>
      </c>
      <c r="C568" s="63" t="s">
        <v>46</v>
      </c>
      <c r="D568" s="64" t="str">
        <f aca="false">TRIM(LEFT('Onshore - Sydney'!A653,FIND(CHAR(10),'Onshore - Sydney'!A653&amp;CHAR(10))-1))</f>
        <v>National Academy of Professional Studies (NAPS)</v>
      </c>
      <c r="E568" s="63" t="str">
        <f aca="false">'Onshore - Sydney'!C658&amp;""</f>
        <v>2 years</v>
      </c>
      <c r="F568" s="63" t="str">
        <f aca="false">IF('Onshore - Sydney'!D658="","Belum tercatat",'Onshore - Sydney'!D658)</f>
        <v>Term</v>
      </c>
      <c r="G568" s="65" t="n">
        <f aca="false">IF('Onshore - Sydney'!E658="","-",'Onshore - Sydney'!E658)</f>
        <v>4250</v>
      </c>
      <c r="H568" s="63" t="n">
        <f aca="false">IF(ISNUMBER(K568),COUNTIFS($J$6:$J$1916,J568,$K$6:$K$1916,"&lt;"&amp;K568)+1,"-")</f>
        <v>6</v>
      </c>
      <c r="I568" s="64" t="str">
        <f aca="false">IF('Onshore - Sydney'!E658="","Harga belum tersedia - hubungi konsultan TEG",IF(M568=2,"Saat ini tidak menerima pendaftaran siswa internasional baru",IF(M568=1,"Harga perlu dikonfirmasi ke sekolah"&amp;IF(""="","","; "&amp;""),"")))</f>
        <v>Harga perlu dikonfirmasi ke sekolah</v>
      </c>
      <c r="J568" s="0" t="s">
        <v>3915</v>
      </c>
      <c r="K568" s="0" t="n">
        <f aca="false">IF(M568=2,"",IF(ISNUMBER(SEARCH("rata-rata:",'Onshore - Sydney'!M658)),VALUE(MID('Onshore - Sydney'!M658,SEARCH("rata-rata:",'Onshore - Sydney'!M658)+11,FIND(";",'Onshore - Sydney'!M658&amp;";",SEARCH("rata-rata:",'Onshore - Sydney'!M658))-SEARCH("rata-rata:",'Onshore - Sydney'!M658)-11)),IF('Onshore - Sydney'!D658="Semester",'Onshore - Sydney'!E658*2,IF('Onshore - Sydney'!D658="Trimester",'Onshore - Sydney'!E658*3,IF('Onshore - Sydney'!D658="Term",'Onshore - Sydney'!E658*4,IF('Onshore - Sydney'!D658="Unit",'Onshore - Sydney'!E658*8,""))))))</f>
        <v>17000</v>
      </c>
      <c r="L568" s="0" t="n">
        <f aca="false">IF(AND(ISNUMBER('Onshore - Sydney'!E658),ISNUMBER(K568),ISNUMBER('Onshore - Sydney'!F658),ISNUMBER('Onshore - Sydney'!G658),OR('Onshore - Sydney'!F658&lt;&gt;0,ISNUMBER(SEARCH("Material 0 terverifikasi",'Onshore - Sydney'!M658))),OR('Onshore - Sydney'!G658&lt;&gt;0,ISNUMBER(SEARCH("Enrolment 0 terverifikasi",'Onshore - Sydney'!M658)))),1,0)</f>
        <v>1</v>
      </c>
      <c r="M568" s="0" t="n">
        <f aca="false">IF(OR('Onshore - Sydney'!E658="",ISNUMBER(SEARCH("BSB80120",'Onshore - Sydney'!B658&amp;'Onshore - Sydney'!M658)),ISNUMBER(SEARCH("Management (Learning)",'Onshore - Sydney'!B658))),2,IF(ISNUMBER(SEARCH("CEK:",'Onshore - Sydney'!M658)),1,0))</f>
        <v>1</v>
      </c>
    </row>
    <row r="569" customFormat="false" ht="55.2" hidden="false" customHeight="false" outlineLevel="0" collapsed="false">
      <c r="A569" s="63" t="s">
        <v>3533</v>
      </c>
      <c r="B569" s="64" t="s">
        <v>3833</v>
      </c>
      <c r="C569" s="63" t="s">
        <v>46</v>
      </c>
      <c r="D569" s="64" t="str">
        <f aca="false">TRIM(LEFT('Onshore - Sydney'!A88,FIND(CHAR(10),'Onshore - Sydney'!A88&amp;CHAR(10))-1))</f>
        <v>AIH Higher Education (Australian Institute of Higher Education)</v>
      </c>
      <c r="E569" s="63" t="str">
        <f aca="false">'Onshore - Sydney'!C96&amp;""</f>
        <v>2 years</v>
      </c>
      <c r="F569" s="63" t="str">
        <f aca="false">IF('Onshore - Sydney'!D96="","Belum tercatat",'Onshore - Sydney'!D96)</f>
        <v>Unit</v>
      </c>
      <c r="G569" s="65" t="n">
        <f aca="false">IF('Onshore - Sydney'!E96="","-",'Onshore - Sydney'!E96)</f>
        <v>2150</v>
      </c>
      <c r="H569" s="63" t="n">
        <f aca="false">IF(ISNUMBER(K569),COUNTIFS($J$6:$J$1916,J569,$K$6:$K$1916,"&lt;"&amp;K569)+1,"-")</f>
        <v>7</v>
      </c>
      <c r="I569" s="64" t="str">
        <f aca="false">IF('Onshore - Sydney'!E96="","Harga belum tersedia - hubungi konsultan TEG",IF(M569=2,"Saat ini tidak menerima pendaftaran siswa internasional baru",IF(M569=1,"Harga perlu dikonfirmasi ke sekolah"&amp;IF("Harga promo s.d. 31/12/2026; Harga dihitung per unit; total tergantung jumlah unit yang diambil; Sudah termasuk beasiswa 20% (syarat berlaku)"="","","; "&amp;"Harga promo s.d. 31/12/2026; Harga dihitung per unit; total tergantung jumlah unit yang diambil; Sudah termasuk beasiswa 20% (syarat berlaku)"),"Harga promo s.d. 31/12/2026; Harga dihitung per unit; total tergantung jumlah unit yang diambil; Sudah termasuk beasiswa 20% (syarat berlaku)")))</f>
        <v>Harga promo s.d. 31/12/2026; Harga dihitung per unit; total tergantung jumlah unit yang diambil; Sudah termasuk beasiswa 20% (syarat berlaku)</v>
      </c>
      <c r="J569" s="0" t="s">
        <v>3915</v>
      </c>
      <c r="K569" s="0" t="n">
        <f aca="false">IF(M569=2,"",IF(ISNUMBER(SEARCH("rata-rata:",'Onshore - Sydney'!M96)),VALUE(MID('Onshore - Sydney'!M96,SEARCH("rata-rata:",'Onshore - Sydney'!M96)+11,FIND(";",'Onshore - Sydney'!M96&amp;";",SEARCH("rata-rata:",'Onshore - Sydney'!M96))-SEARCH("rata-rata:",'Onshore - Sydney'!M96)-11)),IF('Onshore - Sydney'!D96="Semester",'Onshore - Sydney'!E96*2,IF('Onshore - Sydney'!D96="Trimester",'Onshore - Sydney'!E96*3,IF('Onshore - Sydney'!D96="Term",'Onshore - Sydney'!E96*4,IF('Onshore - Sydney'!D96="Unit",'Onshore - Sydney'!E96*8,""))))))</f>
        <v>17200</v>
      </c>
      <c r="L569" s="0" t="n">
        <f aca="false">IF(AND(ISNUMBER('Onshore - Sydney'!E96),ISNUMBER(K569),ISNUMBER('Onshore - Sydney'!F96),ISNUMBER('Onshore - Sydney'!G96),OR('Onshore - Sydney'!F96&lt;&gt;0,ISNUMBER(SEARCH("Material 0 terverifikasi",'Onshore - Sydney'!M96))),OR('Onshore - Sydney'!G96&lt;&gt;0,ISNUMBER(SEARCH("Enrolment 0 terverifikasi",'Onshore - Sydney'!M96)))),1,0)</f>
        <v>1</v>
      </c>
      <c r="M569" s="0" t="n">
        <f aca="false">IF(OR('Onshore - Sydney'!E96="",ISNUMBER(SEARCH("BSB80120",'Onshore - Sydney'!B96&amp;'Onshore - Sydney'!M96)),ISNUMBER(SEARCH("Management (Learning)",'Onshore - Sydney'!B96))),2,IF(ISNUMBER(SEARCH("CEK:",'Onshore - Sydney'!M96)),1,0))</f>
        <v>0</v>
      </c>
    </row>
    <row r="570" customFormat="false" ht="15" hidden="false" customHeight="false" outlineLevel="0" collapsed="false">
      <c r="A570" s="63" t="s">
        <v>3533</v>
      </c>
      <c r="B570" s="64" t="s">
        <v>3833</v>
      </c>
      <c r="C570" s="63" t="s">
        <v>46</v>
      </c>
      <c r="D570" s="64" t="str">
        <f aca="false">TRIM(LEFT('Onshore - Sydney'!A138,FIND(CHAR(10),'Onshore - Sydney'!A138&amp;CHAR(10))-1))</f>
        <v>Asia Pacific International College (APIC)</v>
      </c>
      <c r="E570" s="63" t="str">
        <f aca="false">'Onshore - Sydney'!C145&amp;""</f>
        <v>2 years</v>
      </c>
      <c r="F570" s="63" t="str">
        <f aca="false">IF('Onshore - Sydney'!D145="","Belum tercatat",'Onshore - Sydney'!D145)</f>
        <v>Trimester</v>
      </c>
      <c r="G570" s="65" t="n">
        <f aca="false">IF('Onshore - Sydney'!E145="","-",'Onshore - Sydney'!E145)</f>
        <v>7800</v>
      </c>
      <c r="H570" s="63" t="n">
        <f aca="false">IF(ISNUMBER(K570),COUNTIFS($J$6:$J$1916,J570,$K$6:$K$1916,"&lt;"&amp;K570)+1,"-")</f>
        <v>8</v>
      </c>
      <c r="I570" s="64" t="str">
        <f aca="false">IF('Onshore - Sydney'!E145="","Harga belum tersedia - hubungi konsultan TEG",IF(M570=2,"Saat ini tidak menerima pendaftaran siswa internasional baru",IF(M570=1,"Harga perlu dikonfirmasi ke sekolah"&amp;IF(""="","","; "&amp;""),"")))</f>
        <v>Harga perlu dikonfirmasi ke sekolah</v>
      </c>
      <c r="J570" s="0" t="s">
        <v>3915</v>
      </c>
      <c r="K570" s="0" t="n">
        <f aca="false">IF(M570=2,"",IF(ISNUMBER(SEARCH("rata-rata:",'Onshore - Sydney'!M145)),VALUE(MID('Onshore - Sydney'!M145,SEARCH("rata-rata:",'Onshore - Sydney'!M145)+11,FIND(";",'Onshore - Sydney'!M145&amp;";",SEARCH("rata-rata:",'Onshore - Sydney'!M145))-SEARCH("rata-rata:",'Onshore - Sydney'!M145)-11)),IF('Onshore - Sydney'!D145="Semester",'Onshore - Sydney'!E145*2,IF('Onshore - Sydney'!D145="Trimester",'Onshore - Sydney'!E145*3,IF('Onshore - Sydney'!D145="Term",'Onshore - Sydney'!E145*4,IF('Onshore - Sydney'!D145="Unit",'Onshore - Sydney'!E145*8,""))))))</f>
        <v>23400</v>
      </c>
      <c r="L570" s="0" t="n">
        <f aca="false">IF(AND(ISNUMBER('Onshore - Sydney'!E145),ISNUMBER(K570),ISNUMBER('Onshore - Sydney'!F145),ISNUMBER('Onshore - Sydney'!G145),OR('Onshore - Sydney'!F145&lt;&gt;0,ISNUMBER(SEARCH("Material 0 terverifikasi",'Onshore - Sydney'!M145))),OR('Onshore - Sydney'!G145&lt;&gt;0,ISNUMBER(SEARCH("Enrolment 0 terverifikasi",'Onshore - Sydney'!M145)))),1,0)</f>
        <v>0</v>
      </c>
      <c r="M570" s="0" t="n">
        <f aca="false">IF(OR('Onshore - Sydney'!E145="",ISNUMBER(SEARCH("BSB80120",'Onshore - Sydney'!B145&amp;'Onshore - Sydney'!M145)),ISNUMBER(SEARCH("Management (Learning)",'Onshore - Sydney'!B145))),2,IF(ISNUMBER(SEARCH("CEK:",'Onshore - Sydney'!M145)),1,0))</f>
        <v>1</v>
      </c>
    </row>
    <row r="571" customFormat="false" ht="15" hidden="false" customHeight="false" outlineLevel="0" collapsed="false">
      <c r="A571" s="63" t="s">
        <v>3533</v>
      </c>
      <c r="B571" s="64" t="s">
        <v>3833</v>
      </c>
      <c r="C571" s="63" t="s">
        <v>46</v>
      </c>
      <c r="D571" s="64" t="str">
        <f aca="false">TRIM(LEFT('Onshore - Sydney'!A998,FIND(CHAR(10),'Onshore - Sydney'!A998&amp;CHAR(10))-1))</f>
        <v>University of Tasmania (UTAS)</v>
      </c>
      <c r="E571" s="63" t="str">
        <f aca="false">'Onshore - Sydney'!C1001&amp;""</f>
        <v>2 years</v>
      </c>
      <c r="F571" s="63" t="str">
        <f aca="false">IF('Onshore - Sydney'!D1001="","Belum tercatat",'Onshore - Sydney'!D1001)</f>
        <v>Term</v>
      </c>
      <c r="G571" s="65" t="n">
        <f aca="false">IF('Onshore - Sydney'!E1001="","-",'Onshore - Sydney'!E1001)</f>
        <v>8522</v>
      </c>
      <c r="H571" s="63" t="n">
        <f aca="false">IF(ISNUMBER(K571),COUNTIFS($J$6:$J$1916,J571,$K$6:$K$1916,"&lt;"&amp;K571)+1,"-")</f>
        <v>9</v>
      </c>
      <c r="I571" s="64" t="str">
        <f aca="false">IF('Onshore - Sydney'!E1001="","Harga belum tersedia - hubungi konsultan TEG",IF(M571=2,"Saat ini tidak menerima pendaftaran siswa internasional baru",IF(M571=1,"Harga perlu dikonfirmasi ke sekolah"&amp;IF(""="","","; "&amp;""),"")))</f>
        <v>Harga perlu dikonfirmasi ke sekolah</v>
      </c>
      <c r="J571" s="0" t="s">
        <v>3915</v>
      </c>
      <c r="K571" s="0" t="n">
        <f aca="false">IF(M571=2,"",IF(ISNUMBER(SEARCH("rata-rata:",'Onshore - Sydney'!M1001)),VALUE(MID('Onshore - Sydney'!M1001,SEARCH("rata-rata:",'Onshore - Sydney'!M1001)+11,FIND(";",'Onshore - Sydney'!M1001&amp;";",SEARCH("rata-rata:",'Onshore - Sydney'!M1001))-SEARCH("rata-rata:",'Onshore - Sydney'!M1001)-11)),IF('Onshore - Sydney'!D1001="Semester",'Onshore - Sydney'!E1001*2,IF('Onshore - Sydney'!D1001="Trimester",'Onshore - Sydney'!E1001*3,IF('Onshore - Sydney'!D1001="Term",'Onshore - Sydney'!E1001*4,IF('Onshore - Sydney'!D1001="Unit",'Onshore - Sydney'!E1001*8,""))))))</f>
        <v>34088</v>
      </c>
      <c r="L571" s="0" t="n">
        <f aca="false">IF(AND(ISNUMBER('Onshore - Sydney'!E1001),ISNUMBER(K571),ISNUMBER('Onshore - Sydney'!F1001),ISNUMBER('Onshore - Sydney'!G1001),OR('Onshore - Sydney'!F1001&lt;&gt;0,ISNUMBER(SEARCH("Material 0 terverifikasi",'Onshore - Sydney'!M1001))),OR('Onshore - Sydney'!G1001&lt;&gt;0,ISNUMBER(SEARCH("Enrolment 0 terverifikasi",'Onshore - Sydney'!M1001)))),1,0)</f>
        <v>0</v>
      </c>
      <c r="M571" s="0" t="n">
        <f aca="false">IF(OR('Onshore - Sydney'!E1001="",ISNUMBER(SEARCH("BSB80120",'Onshore - Sydney'!B1001&amp;'Onshore - Sydney'!M1001)),ISNUMBER(SEARCH("Management (Learning)",'Onshore - Sydney'!B1001))),2,IF(ISNUMBER(SEARCH("CEK:",'Onshore - Sydney'!M1001)),1,0))</f>
        <v>1</v>
      </c>
    </row>
    <row r="572" customFormat="false" ht="15" hidden="false" customHeight="false" outlineLevel="0" collapsed="false">
      <c r="A572" s="63" t="s">
        <v>3533</v>
      </c>
      <c r="B572" s="64" t="s">
        <v>3833</v>
      </c>
      <c r="C572" s="63" t="s">
        <v>46</v>
      </c>
      <c r="D572" s="64" t="str">
        <f aca="false">TRIM(LEFT('Onshore - Sydney'!A1062,FIND(CHAR(10),'Onshore - Sydney'!A1062&amp;CHAR(10))-1))</f>
        <v>Western Sydney University</v>
      </c>
      <c r="E572" s="63" t="str">
        <f aca="false">'Onshore - Sydney'!C1226&amp;""</f>
        <v>1 year</v>
      </c>
      <c r="F572" s="63" t="str">
        <f aca="false">IF('Onshore - Sydney'!D1226="","Belum tercatat",'Onshore - Sydney'!D1226)</f>
        <v>Term</v>
      </c>
      <c r="G572" s="65" t="n">
        <f aca="false">IF('Onshore - Sydney'!E1226="","-",'Onshore - Sydney'!E1226)</f>
        <v>8694</v>
      </c>
      <c r="H572" s="63" t="n">
        <f aca="false">IF(ISNUMBER(K572),COUNTIFS($J$6:$J$1916,J572,$K$6:$K$1916,"&lt;"&amp;K572)+1,"-")</f>
        <v>10</v>
      </c>
      <c r="I572" s="64" t="str">
        <f aca="false">IF('Onshore - Sydney'!E1226="","Harga belum tersedia - hubungi konsultan TEG",IF(M572=2,"Saat ini tidak menerima pendaftaran siswa internasional baru",IF(M572=1,"Harga perlu dikonfirmasi ke sekolah"&amp;IF(""="","","; "&amp;""),"")))</f>
        <v/>
      </c>
      <c r="J572" s="0" t="s">
        <v>3915</v>
      </c>
      <c r="K572" s="0" t="n">
        <f aca="false">IF(M572=2,"",IF(ISNUMBER(SEARCH("rata-rata:",'Onshore - Sydney'!M1226)),VALUE(MID('Onshore - Sydney'!M1226,SEARCH("rata-rata:",'Onshore - Sydney'!M1226)+11,FIND(";",'Onshore - Sydney'!M1226&amp;";",SEARCH("rata-rata:",'Onshore - Sydney'!M1226))-SEARCH("rata-rata:",'Onshore - Sydney'!M1226)-11)),IF('Onshore - Sydney'!D1226="Semester",'Onshore - Sydney'!E1226*2,IF('Onshore - Sydney'!D1226="Trimester",'Onshore - Sydney'!E1226*3,IF('Onshore - Sydney'!D1226="Term",'Onshore - Sydney'!E1226*4,IF('Onshore - Sydney'!D1226="Unit",'Onshore - Sydney'!E1226*8,""))))))</f>
        <v>34776</v>
      </c>
      <c r="L572" s="0" t="n">
        <f aca="false">IF(AND(ISNUMBER('Onshore - Sydney'!E1226),ISNUMBER(K572),ISNUMBER('Onshore - Sydney'!F1226),ISNUMBER('Onshore - Sydney'!G1226),OR('Onshore - Sydney'!F1226&lt;&gt;0,ISNUMBER(SEARCH("Material 0 terverifikasi",'Onshore - Sydney'!M1226))),OR('Onshore - Sydney'!G1226&lt;&gt;0,ISNUMBER(SEARCH("Enrolment 0 terverifikasi",'Onshore - Sydney'!M1226)))),1,0)</f>
        <v>0</v>
      </c>
      <c r="M572" s="0" t="n">
        <f aca="false">IF(OR('Onshore - Sydney'!E1226="",ISNUMBER(SEARCH("BSB80120",'Onshore - Sydney'!B1226&amp;'Onshore - Sydney'!M1226)),ISNUMBER(SEARCH("Management (Learning)",'Onshore - Sydney'!B1226))),2,IF(ISNUMBER(SEARCH("CEK:",'Onshore - Sydney'!M1226)),1,0))</f>
        <v>0</v>
      </c>
    </row>
    <row r="573" customFormat="false" ht="15" hidden="false" customHeight="false" outlineLevel="0" collapsed="false">
      <c r="A573" s="63" t="s">
        <v>3533</v>
      </c>
      <c r="B573" s="64" t="s">
        <v>3833</v>
      </c>
      <c r="C573" s="63" t="s">
        <v>46</v>
      </c>
      <c r="D573" s="64" t="str">
        <f aca="false">TRIM(LEFT('Onshore - Sydney'!A888,FIND(CHAR(10),'Onshore - Sydney'!A888&amp;CHAR(10))-1))</f>
        <v>Torrens University Australia</v>
      </c>
      <c r="E573" s="63" t="str">
        <f aca="false">'Onshore - Sydney'!C903&amp;""</f>
        <v>1,5 years</v>
      </c>
      <c r="F573" s="63" t="str">
        <f aca="false">IF('Onshore - Sydney'!D903="","Belum tercatat",'Onshore - Sydney'!D903)</f>
        <v>Term</v>
      </c>
      <c r="G573" s="65" t="n">
        <f aca="false">IF('Onshore - Sydney'!E903="","-",'Onshore - Sydney'!E903)</f>
        <v>9000</v>
      </c>
      <c r="H573" s="63" t="n">
        <f aca="false">IF(ISNUMBER(K573),COUNTIFS($J$6:$J$1916,J573,$K$6:$K$1916,"&lt;"&amp;K573)+1,"-")</f>
        <v>11</v>
      </c>
      <c r="I573" s="64" t="str">
        <f aca="false">IF('Onshore - Sydney'!E903="","Harga belum tersedia - hubungi konsultan TEG",IF(M573=2,"Saat ini tidak menerima pendaftaran siswa internasional baru",IF(M573=1,"Harga perlu dikonfirmasi ke sekolah"&amp;IF(""="","","; "&amp;""),"")))</f>
        <v/>
      </c>
      <c r="J573" s="0" t="s">
        <v>3915</v>
      </c>
      <c r="K573" s="0" t="n">
        <f aca="false">IF(M573=2,"",IF(ISNUMBER(SEARCH("rata-rata:",'Onshore - Sydney'!M903)),VALUE(MID('Onshore - Sydney'!M903,SEARCH("rata-rata:",'Onshore - Sydney'!M903)+11,FIND(";",'Onshore - Sydney'!M903&amp;";",SEARCH("rata-rata:",'Onshore - Sydney'!M903))-SEARCH("rata-rata:",'Onshore - Sydney'!M903)-11)),IF('Onshore - Sydney'!D903="Semester",'Onshore - Sydney'!E903*2,IF('Onshore - Sydney'!D903="Trimester",'Onshore - Sydney'!E903*3,IF('Onshore - Sydney'!D903="Term",'Onshore - Sydney'!E903*4,IF('Onshore - Sydney'!D903="Unit",'Onshore - Sydney'!E903*8,""))))))</f>
        <v>36000</v>
      </c>
      <c r="L573" s="0" t="n">
        <f aca="false">IF(AND(ISNUMBER('Onshore - Sydney'!E903),ISNUMBER(K573),ISNUMBER('Onshore - Sydney'!F903),ISNUMBER('Onshore - Sydney'!G903),OR('Onshore - Sydney'!F903&lt;&gt;0,ISNUMBER(SEARCH("Material 0 terverifikasi",'Onshore - Sydney'!M903))),OR('Onshore - Sydney'!G903&lt;&gt;0,ISNUMBER(SEARCH("Enrolment 0 terverifikasi",'Onshore - Sydney'!M903)))),1,0)</f>
        <v>0</v>
      </c>
      <c r="M573" s="0" t="n">
        <f aca="false">IF(OR('Onshore - Sydney'!E903="",ISNUMBER(SEARCH("BSB80120",'Onshore - Sydney'!B903&amp;'Onshore - Sydney'!M903)),ISNUMBER(SEARCH("Management (Learning)",'Onshore - Sydney'!B903))),2,IF(ISNUMBER(SEARCH("CEK:",'Onshore - Sydney'!M903)),1,0))</f>
        <v>0</v>
      </c>
    </row>
    <row r="574" customFormat="false" ht="15" hidden="false" customHeight="false" outlineLevel="0" collapsed="false">
      <c r="A574" s="63" t="s">
        <v>3533</v>
      </c>
      <c r="B574" s="64" t="s">
        <v>3833</v>
      </c>
      <c r="C574" s="63" t="s">
        <v>46</v>
      </c>
      <c r="D574" s="64" t="str">
        <f aca="false">TRIM(LEFT('Onshore - Sydney'!A163,FIND(CHAR(10),'Onshore - Sydney'!A163&amp;CHAR(10))-1))</f>
        <v>Australian Catholic University (ACU)</v>
      </c>
      <c r="E574" s="63" t="str">
        <f aca="false">'Onshore - Sydney'!C189&amp;""</f>
        <v>2 years</v>
      </c>
      <c r="F574" s="63" t="str">
        <f aca="false">IF('Onshore - Sydney'!D189="","Belum tercatat",'Onshore - Sydney'!D189)</f>
        <v>Term</v>
      </c>
      <c r="G574" s="65" t="n">
        <f aca="false">IF('Onshore - Sydney'!E189="","-",'Onshore - Sydney'!E189)</f>
        <v>9524</v>
      </c>
      <c r="H574" s="63" t="n">
        <f aca="false">IF(ISNUMBER(K574),COUNTIFS($J$6:$J$1916,J574,$K$6:$K$1916,"&lt;"&amp;K574)+1,"-")</f>
        <v>12</v>
      </c>
      <c r="I574" s="64" t="str">
        <f aca="false">IF('Onshore - Sydney'!E189="","Harga belum tersedia - hubungi konsultan TEG",IF(M574=2,"Saat ini tidak menerima pendaftaran siswa internasional baru",IF(M574=1,"Harga perlu dikonfirmasi ke sekolah"&amp;IF(""="","","; "&amp;""),"")))</f>
        <v/>
      </c>
      <c r="J574" s="0" t="s">
        <v>3915</v>
      </c>
      <c r="K574" s="0" t="n">
        <f aca="false">IF(M574=2,"",IF(ISNUMBER(SEARCH("rata-rata:",'Onshore - Sydney'!M189)),VALUE(MID('Onshore - Sydney'!M189,SEARCH("rata-rata:",'Onshore - Sydney'!M189)+11,FIND(";",'Onshore - Sydney'!M189&amp;";",SEARCH("rata-rata:",'Onshore - Sydney'!M189))-SEARCH("rata-rata:",'Onshore - Sydney'!M189)-11)),IF('Onshore - Sydney'!D189="Semester",'Onshore - Sydney'!E189*2,IF('Onshore - Sydney'!D189="Trimester",'Onshore - Sydney'!E189*3,IF('Onshore - Sydney'!D189="Term",'Onshore - Sydney'!E189*4,IF('Onshore - Sydney'!D189="Unit",'Onshore - Sydney'!E189*8,""))))))</f>
        <v>38096</v>
      </c>
      <c r="L574" s="0" t="n">
        <f aca="false">IF(AND(ISNUMBER('Onshore - Sydney'!E189),ISNUMBER(K574),ISNUMBER('Onshore - Sydney'!F189),ISNUMBER('Onshore - Sydney'!G189),OR('Onshore - Sydney'!F189&lt;&gt;0,ISNUMBER(SEARCH("Material 0 terverifikasi",'Onshore - Sydney'!M189))),OR('Onshore - Sydney'!G189&lt;&gt;0,ISNUMBER(SEARCH("Enrolment 0 terverifikasi",'Onshore - Sydney'!M189)))),1,0)</f>
        <v>0</v>
      </c>
      <c r="M574" s="0" t="n">
        <f aca="false">IF(OR('Onshore - Sydney'!E189="",ISNUMBER(SEARCH("BSB80120",'Onshore - Sydney'!B189&amp;'Onshore - Sydney'!M189)),ISNUMBER(SEARCH("Management (Learning)",'Onshore - Sydney'!B189))),2,IF(ISNUMBER(SEARCH("CEK:",'Onshore - Sydney'!M189)),1,0))</f>
        <v>0</v>
      </c>
    </row>
    <row r="575" customFormat="false" ht="15" hidden="false" customHeight="false" outlineLevel="0" collapsed="false">
      <c r="A575" s="63" t="s">
        <v>3533</v>
      </c>
      <c r="B575" s="64" t="s">
        <v>3833</v>
      </c>
      <c r="C575" s="63" t="s">
        <v>46</v>
      </c>
      <c r="D575" s="64" t="str">
        <f aca="false">TRIM(LEFT('Onshore - Sydney'!A394,FIND(CHAR(10),'Onshore - Sydney'!A394&amp;CHAR(10))-1))</f>
        <v>Charles Darwin University (CDU)</v>
      </c>
      <c r="E575" s="63" t="str">
        <f aca="false">'Onshore - Sydney'!C394&amp;""</f>
        <v>1,5 years</v>
      </c>
      <c r="F575" s="63" t="str">
        <f aca="false">IF('Onshore - Sydney'!D394="","Belum tercatat",'Onshore - Sydney'!D394)</f>
        <v>Term</v>
      </c>
      <c r="G575" s="65" t="n">
        <f aca="false">IF('Onshore - Sydney'!E394="","-",'Onshore - Sydney'!E394)</f>
        <v>9548</v>
      </c>
      <c r="H575" s="63" t="n">
        <f aca="false">IF(ISNUMBER(K575),COUNTIFS($J$6:$J$1916,J575,$K$6:$K$1916,"&lt;"&amp;K575)+1,"-")</f>
        <v>13</v>
      </c>
      <c r="I575" s="64" t="str">
        <f aca="false">IF('Onshore - Sydney'!E394="","Harga belum tersedia - hubungi konsultan TEG",IF(M575=2,"Saat ini tidak menerima pendaftaran siswa internasional baru",IF(M575=1,"Harga perlu dikonfirmasi ke sekolah"&amp;IF(""="","","; "&amp;""),"")))</f>
        <v/>
      </c>
      <c r="J575" s="0" t="s">
        <v>3915</v>
      </c>
      <c r="K575" s="0" t="n">
        <f aca="false">IF(M575=2,"",IF(ISNUMBER(SEARCH("rata-rata:",'Onshore - Sydney'!M394)),VALUE(MID('Onshore - Sydney'!M394,SEARCH("rata-rata:",'Onshore - Sydney'!M394)+11,FIND(";",'Onshore - Sydney'!M394&amp;";",SEARCH("rata-rata:",'Onshore - Sydney'!M394))-SEARCH("rata-rata:",'Onshore - Sydney'!M394)-11)),IF('Onshore - Sydney'!D394="Semester",'Onshore - Sydney'!E394*2,IF('Onshore - Sydney'!D394="Trimester",'Onshore - Sydney'!E394*3,IF('Onshore - Sydney'!D394="Term",'Onshore - Sydney'!E394*4,IF('Onshore - Sydney'!D394="Unit",'Onshore - Sydney'!E394*8,""))))))</f>
        <v>38192</v>
      </c>
      <c r="L575" s="0" t="n">
        <f aca="false">IF(AND(ISNUMBER('Onshore - Sydney'!E394),ISNUMBER(K575),ISNUMBER('Onshore - Sydney'!F394),ISNUMBER('Onshore - Sydney'!G394),OR('Onshore - Sydney'!F394&lt;&gt;0,ISNUMBER(SEARCH("Material 0 terverifikasi",'Onshore - Sydney'!M394))),OR('Onshore - Sydney'!G394&lt;&gt;0,ISNUMBER(SEARCH("Enrolment 0 terverifikasi",'Onshore - Sydney'!M394)))),1,0)</f>
        <v>0</v>
      </c>
      <c r="M575" s="0" t="n">
        <f aca="false">IF(OR('Onshore - Sydney'!E394="",ISNUMBER(SEARCH("BSB80120",'Onshore - Sydney'!B394&amp;'Onshore - Sydney'!M394)),ISNUMBER(SEARCH("Management (Learning)",'Onshore - Sydney'!B394))),2,IF(ISNUMBER(SEARCH("CEK:",'Onshore - Sydney'!M394)),1,0))</f>
        <v>0</v>
      </c>
    </row>
    <row r="576" customFormat="false" ht="15" hidden="false" customHeight="false" outlineLevel="0" collapsed="false">
      <c r="A576" s="63" t="s">
        <v>3533</v>
      </c>
      <c r="B576" s="64" t="s">
        <v>3833</v>
      </c>
      <c r="C576" s="63" t="s">
        <v>46</v>
      </c>
      <c r="D576" s="64" t="str">
        <f aca="false">TRIM(LEFT('Onshore - Sydney'!A552,FIND(CHAR(10),'Onshore - Sydney'!A552&amp;CHAR(10))-1))</f>
        <v>Kaplan Business School</v>
      </c>
      <c r="E576" s="63" t="str">
        <f aca="false">'Onshore - Sydney'!C556&amp;""</f>
        <v>1,5 years</v>
      </c>
      <c r="F576" s="63" t="str">
        <f aca="false">IF('Onshore - Sydney'!D556="","Belum tercatat",'Onshore - Sydney'!D556)</f>
        <v>Trimester</v>
      </c>
      <c r="G576" s="65" t="n">
        <f aca="false">IF('Onshore - Sydney'!E556="","-",'Onshore - Sydney'!E556)</f>
        <v>19640</v>
      </c>
      <c r="H576" s="63" t="n">
        <f aca="false">IF(ISNUMBER(K576),COUNTIFS($J$6:$J$1916,J576,$K$6:$K$1916,"&lt;"&amp;K576)+1,"-")</f>
        <v>14</v>
      </c>
      <c r="I576" s="64" t="str">
        <f aca="false">IF('Onshore - Sydney'!E556="","Harga belum tersedia - hubungi konsultan TEG",IF(M576=2,"Saat ini tidak menerima pendaftaran siswa internasional baru",IF(M576=1,"Harga perlu dikonfirmasi ke sekolah"&amp;IF(""="","","; "&amp;""),"")))</f>
        <v>Harga perlu dikonfirmasi ke sekolah</v>
      </c>
      <c r="J576" s="0" t="s">
        <v>3915</v>
      </c>
      <c r="K576" s="0" t="n">
        <f aca="false">IF(M576=2,"",IF(ISNUMBER(SEARCH("rata-rata:",'Onshore - Sydney'!M556)),VALUE(MID('Onshore - Sydney'!M556,SEARCH("rata-rata:",'Onshore - Sydney'!M556)+11,FIND(";",'Onshore - Sydney'!M556&amp;";",SEARCH("rata-rata:",'Onshore - Sydney'!M556))-SEARCH("rata-rata:",'Onshore - Sydney'!M556)-11)),IF('Onshore - Sydney'!D556="Semester",'Onshore - Sydney'!E556*2,IF('Onshore - Sydney'!D556="Trimester",'Onshore - Sydney'!E556*3,IF('Onshore - Sydney'!D556="Term",'Onshore - Sydney'!E556*4,IF('Onshore - Sydney'!D556="Unit",'Onshore - Sydney'!E556*8,""))))))</f>
        <v>58920</v>
      </c>
      <c r="L576" s="0" t="n">
        <f aca="false">IF(AND(ISNUMBER('Onshore - Sydney'!E556),ISNUMBER(K576),ISNUMBER('Onshore - Sydney'!F556),ISNUMBER('Onshore - Sydney'!G556),OR('Onshore - Sydney'!F556&lt;&gt;0,ISNUMBER(SEARCH("Material 0 terverifikasi",'Onshore - Sydney'!M556))),OR('Onshore - Sydney'!G556&lt;&gt;0,ISNUMBER(SEARCH("Enrolment 0 terverifikasi",'Onshore - Sydney'!M556)))),1,0)</f>
        <v>1</v>
      </c>
      <c r="M576" s="0" t="n">
        <f aca="false">IF(OR('Onshore - Sydney'!E556="",ISNUMBER(SEARCH("BSB80120",'Onshore - Sydney'!B556&amp;'Onshore - Sydney'!M556)),ISNUMBER(SEARCH("Management (Learning)",'Onshore - Sydney'!B556))),2,IF(ISNUMBER(SEARCH("CEK:",'Onshore - Sydney'!M556)),1,0))</f>
        <v>1</v>
      </c>
    </row>
    <row r="577" customFormat="false" ht="15" hidden="false" customHeight="false" outlineLevel="0" collapsed="false">
      <c r="A577" s="61" t="s">
        <v>3916</v>
      </c>
      <c r="B577" s="62"/>
      <c r="C577" s="62"/>
      <c r="D577" s="62"/>
      <c r="E577" s="62"/>
      <c r="F577" s="62"/>
      <c r="G577" s="62"/>
      <c r="H577" s="62"/>
      <c r="I577" s="62"/>
    </row>
    <row r="578" customFormat="false" ht="15" hidden="false" customHeight="false" outlineLevel="0" collapsed="false">
      <c r="A578" s="63" t="s">
        <v>3533</v>
      </c>
      <c r="B578" s="64" t="s">
        <v>3833</v>
      </c>
      <c r="C578" s="63" t="s">
        <v>3821</v>
      </c>
      <c r="D578" s="64" t="str">
        <f aca="false">TRIM(LEFT('Onshore - Sydney'!A394,FIND(CHAR(10),'Onshore - Sydney'!A394&amp;CHAR(10))-1))</f>
        <v>Charles Darwin University (CDU)</v>
      </c>
      <c r="E578" s="63" t="str">
        <f aca="false">'Onshore - Sydney'!C417&amp;""</f>
        <v>0,5 year</v>
      </c>
      <c r="F578" s="63" t="str">
        <f aca="false">IF('Onshore - Sydney'!D417="","Belum tercatat",'Onshore - Sydney'!D417)</f>
        <v>Term</v>
      </c>
      <c r="G578" s="65" t="n">
        <f aca="false">IF('Onshore - Sydney'!E417="","-",'Onshore - Sydney'!E417)</f>
        <v>4350</v>
      </c>
      <c r="H578" s="63" t="n">
        <f aca="false">IF(ISNUMBER(K578),COUNTIFS($J$6:$J$1916,J578,$K$6:$K$1916,"&lt;"&amp;K578)+1,"-")</f>
        <v>1</v>
      </c>
      <c r="I578" s="64" t="str">
        <f aca="false">IF('Onshore - Sydney'!E417="","Harga belum tersedia - hubungi konsultan TEG",IF(M578=2,"Saat ini tidak menerima pendaftaran siswa internasional baru",IF(M578=1,"Harga perlu dikonfirmasi ke sekolah"&amp;IF(""="","","; "&amp;""),"")))</f>
        <v/>
      </c>
      <c r="J578" s="0" t="s">
        <v>3917</v>
      </c>
      <c r="K578" s="0" t="n">
        <f aca="false">IF(M578=2,"",IF(ISNUMBER(SEARCH("rata-rata:",'Onshore - Sydney'!M417)),VALUE(MID('Onshore - Sydney'!M417,SEARCH("rata-rata:",'Onshore - Sydney'!M417)+11,FIND(";",'Onshore - Sydney'!M417&amp;";",SEARCH("rata-rata:",'Onshore - Sydney'!M417))-SEARCH("rata-rata:",'Onshore - Sydney'!M417)-11)),IF('Onshore - Sydney'!D417="Semester",'Onshore - Sydney'!E417*2,IF('Onshore - Sydney'!D417="Trimester",'Onshore - Sydney'!E417*3,IF('Onshore - Sydney'!D417="Term",'Onshore - Sydney'!E417*4,IF('Onshore - Sydney'!D417="Unit",'Onshore - Sydney'!E417*8,""))))))</f>
        <v>17400</v>
      </c>
      <c r="L578" s="0" t="n">
        <f aca="false">IF(AND(ISNUMBER('Onshore - Sydney'!E417),ISNUMBER(K578),ISNUMBER('Onshore - Sydney'!F417),ISNUMBER('Onshore - Sydney'!G417),OR('Onshore - Sydney'!F417&lt;&gt;0,ISNUMBER(SEARCH("Material 0 terverifikasi",'Onshore - Sydney'!M417))),OR('Onshore - Sydney'!G417&lt;&gt;0,ISNUMBER(SEARCH("Enrolment 0 terverifikasi",'Onshore - Sydney'!M417)))),1,0)</f>
        <v>0</v>
      </c>
      <c r="M578" s="0" t="n">
        <f aca="false">IF(OR('Onshore - Sydney'!E417="",ISNUMBER(SEARCH("BSB80120",'Onshore - Sydney'!B417&amp;'Onshore - Sydney'!M417)),ISNUMBER(SEARCH("Management (Learning)",'Onshore - Sydney'!B417))),2,IF(ISNUMBER(SEARCH("CEK:",'Onshore - Sydney'!M417)),1,0))</f>
        <v>0</v>
      </c>
    </row>
    <row r="579" customFormat="false" ht="15" hidden="false" customHeight="false" outlineLevel="0" collapsed="false">
      <c r="A579" s="61" t="s">
        <v>3918</v>
      </c>
      <c r="B579" s="62"/>
      <c r="C579" s="62"/>
      <c r="D579" s="62"/>
      <c r="E579" s="62"/>
      <c r="F579" s="62"/>
      <c r="G579" s="62"/>
      <c r="H579" s="62"/>
      <c r="I579" s="62"/>
    </row>
    <row r="580" customFormat="false" ht="15" hidden="false" customHeight="false" outlineLevel="0" collapsed="false">
      <c r="A580" s="63" t="s">
        <v>3753</v>
      </c>
      <c r="B580" s="64" t="s">
        <v>3833</v>
      </c>
      <c r="C580" s="63" t="s">
        <v>42</v>
      </c>
      <c r="D580" s="64" t="str">
        <f aca="false">TRIM(LEFT('Onshore - Tasmania Hobart'!A8,FIND(CHAR(10),'Onshore - Tasmania Hobart'!A8&amp;CHAR(10))-1))</f>
        <v>Australian Sovereign College (AuSC)</v>
      </c>
      <c r="E580" s="63" t="str">
        <f aca="false">'Onshore - Tasmania Hobart'!C17&amp;""</f>
        <v>2 years</v>
      </c>
      <c r="F580" s="63" t="str">
        <f aca="false">IF('Onshore - Tasmania Hobart'!D17="","Belum tercatat",'Onshore - Tasmania Hobart'!D17)</f>
        <v>Term</v>
      </c>
      <c r="G580" s="65" t="n">
        <f aca="false">IF('Onshore - Tasmania Hobart'!E17="","-",'Onshore - Tasmania Hobart'!E17)</f>
        <v>1820</v>
      </c>
      <c r="H580" s="63" t="n">
        <f aca="false">IF(ISNUMBER(K580),COUNTIFS($J$6:$J$1916,J580,$K$6:$K$1916,"&lt;"&amp;K580)+1,"-")</f>
        <v>1</v>
      </c>
      <c r="I580" s="64" t="str">
        <f aca="false">IF('Onshore - Tasmania Hobart'!E17="","Harga belum tersedia - hubungi konsultan TEG",IF(M580=2,"Saat ini tidak menerima pendaftaran siswa internasional baru",IF(M580=1,"Harga perlu dikonfirmasi ke sekolah"&amp;IF(""="","","; "&amp;""),"")))</f>
        <v/>
      </c>
      <c r="J580" s="0" t="s">
        <v>3919</v>
      </c>
      <c r="K580" s="0" t="n">
        <f aca="false">IF(M580=2,"",IF(ISNUMBER(SEARCH("rata-rata:",'Onshore - Tasmania Hobart'!M17)),VALUE(MID('Onshore - Tasmania Hobart'!M17,SEARCH("rata-rata:",'Onshore - Tasmania Hobart'!M17)+11,FIND(";",'Onshore - Tasmania Hobart'!M17&amp;";",SEARCH("rata-rata:",'Onshore - Tasmania Hobart'!M17))-SEARCH("rata-rata:",'Onshore - Tasmania Hobart'!M17)-11)),IF('Onshore - Tasmania Hobart'!D17="Semester",'Onshore - Tasmania Hobart'!E17*2,IF('Onshore - Tasmania Hobart'!D17="Trimester",'Onshore - Tasmania Hobart'!E17*3,IF('Onshore - Tasmania Hobart'!D17="Term",'Onshore - Tasmania Hobart'!E17*4,IF('Onshore - Tasmania Hobart'!D17="Unit",'Onshore - Tasmania Hobart'!E17*8,""))))))</f>
        <v>7280</v>
      </c>
      <c r="L580" s="0" t="n">
        <f aca="false">IF(AND(ISNUMBER('Onshore - Tasmania Hobart'!E17),ISNUMBER(K580),ISNUMBER('Onshore - Tasmania Hobart'!F17),ISNUMBER('Onshore - Tasmania Hobart'!G17),OR('Onshore - Tasmania Hobart'!F17&lt;&gt;0,ISNUMBER(SEARCH("Material 0 terverifikasi",'Onshore - Tasmania Hobart'!M17))),OR('Onshore - Tasmania Hobart'!G17&lt;&gt;0,ISNUMBER(SEARCH("Enrolment 0 terverifikasi",'Onshore - Tasmania Hobart'!M17)))),1,0)</f>
        <v>1</v>
      </c>
      <c r="M580" s="0" t="n">
        <f aca="false">IF(OR('Onshore - Tasmania Hobart'!E17="",ISNUMBER(SEARCH("BSB80120",'Onshore - Tasmania Hobart'!B17&amp;'Onshore - Tasmania Hobart'!M17)),ISNUMBER(SEARCH("Management (Learning)",'Onshore - Tasmania Hobart'!B17))),2,IF(ISNUMBER(SEARCH("CEK:",'Onshore - Tasmania Hobart'!M17)),1,0))</f>
        <v>0</v>
      </c>
    </row>
    <row r="581" customFormat="false" ht="15" hidden="false" customHeight="false" outlineLevel="0" collapsed="false">
      <c r="A581" s="61" t="s">
        <v>3920</v>
      </c>
      <c r="B581" s="62"/>
      <c r="C581" s="62"/>
      <c r="D581" s="62"/>
      <c r="E581" s="62"/>
      <c r="F581" s="62"/>
      <c r="G581" s="62"/>
      <c r="H581" s="62"/>
      <c r="I581" s="62"/>
    </row>
    <row r="582" customFormat="false" ht="15" hidden="false" customHeight="false" outlineLevel="0" collapsed="false">
      <c r="A582" s="63" t="s">
        <v>3753</v>
      </c>
      <c r="B582" s="64" t="s">
        <v>3833</v>
      </c>
      <c r="C582" s="63" t="s">
        <v>46</v>
      </c>
      <c r="D582" s="64" t="str">
        <f aca="false">TRIM(LEFT('Onshore - Tasmania Hobart'!A21,FIND(CHAR(10),'Onshore - Tasmania Hobart'!A21&amp;CHAR(10))-1))</f>
        <v>University of Tasmania (UTAS)</v>
      </c>
      <c r="E582" s="63" t="str">
        <f aca="false">'Onshore - Tasmania Hobart'!C28&amp;""</f>
        <v>2 years</v>
      </c>
      <c r="F582" s="63" t="str">
        <f aca="false">IF('Onshore - Tasmania Hobart'!D28="","Belum tercatat",'Onshore - Tasmania Hobart'!D28)</f>
        <v>Term</v>
      </c>
      <c r="G582" s="65" t="n">
        <f aca="false">IF('Onshore - Tasmania Hobart'!E28="","-",'Onshore - Tasmania Hobart'!E28)</f>
        <v>8803.25</v>
      </c>
      <c r="H582" s="63" t="n">
        <f aca="false">IF(ISNUMBER(K582),COUNTIFS($J$6:$J$1916,J582,$K$6:$K$1916,"&lt;"&amp;K582)+1,"-")</f>
        <v>1</v>
      </c>
      <c r="I582" s="64" t="str">
        <f aca="false">IF('Onshore - Tasmania Hobart'!E28="","Harga belum tersedia - hubungi konsultan TEG",IF(M582=2,"Saat ini tidak menerima pendaftaran siswa internasional baru",IF(M582=1,"Harga perlu dikonfirmasi ke sekolah"&amp;IF(""="","","; "&amp;""),"")))</f>
        <v>Harga perlu dikonfirmasi ke sekolah</v>
      </c>
      <c r="J582" s="0" t="s">
        <v>3921</v>
      </c>
      <c r="K582" s="0" t="n">
        <f aca="false">IF(M582=2,"",IF(ISNUMBER(SEARCH("rata-rata:",'Onshore - Tasmania Hobart'!M28)),VALUE(MID('Onshore - Tasmania Hobart'!M28,SEARCH("rata-rata:",'Onshore - Tasmania Hobart'!M28)+11,FIND(";",'Onshore - Tasmania Hobart'!M28&amp;";",SEARCH("rata-rata:",'Onshore - Tasmania Hobart'!M28))-SEARCH("rata-rata:",'Onshore - Tasmania Hobart'!M28)-11)),IF('Onshore - Tasmania Hobart'!D28="Semester",'Onshore - Tasmania Hobart'!E28*2,IF('Onshore - Tasmania Hobart'!D28="Trimester",'Onshore - Tasmania Hobart'!E28*3,IF('Onshore - Tasmania Hobart'!D28="Term",'Onshore - Tasmania Hobart'!E28*4,IF('Onshore - Tasmania Hobart'!D28="Unit",'Onshore - Tasmania Hobart'!E28*8,""))))))</f>
        <v>35213</v>
      </c>
      <c r="L582" s="0" t="n">
        <f aca="false">IF(AND(ISNUMBER('Onshore - Tasmania Hobart'!E28),ISNUMBER(K582),ISNUMBER('Onshore - Tasmania Hobart'!F28),ISNUMBER('Onshore - Tasmania Hobart'!G28),OR('Onshore - Tasmania Hobart'!F28&lt;&gt;0,ISNUMBER(SEARCH("Material 0 terverifikasi",'Onshore - Tasmania Hobart'!M28))),OR('Onshore - Tasmania Hobart'!G28&lt;&gt;0,ISNUMBER(SEARCH("Enrolment 0 terverifikasi",'Onshore - Tasmania Hobart'!M28)))),1,0)</f>
        <v>0</v>
      </c>
      <c r="M582" s="0" t="n">
        <f aca="false">IF(OR('Onshore - Tasmania Hobart'!E28="",ISNUMBER(SEARCH("BSB80120",'Onshore - Tasmania Hobart'!B28&amp;'Onshore - Tasmania Hobart'!M28)),ISNUMBER(SEARCH("Management (Learning)",'Onshore - Tasmania Hobart'!B28))),2,IF(ISNUMBER(SEARCH("CEK:",'Onshore - Tasmania Hobart'!M28)),1,0))</f>
        <v>1</v>
      </c>
    </row>
    <row r="583" customFormat="false" ht="15" hidden="false" customHeight="false" outlineLevel="0" collapsed="false">
      <c r="A583" s="61" t="s">
        <v>3922</v>
      </c>
      <c r="B583" s="62"/>
      <c r="C583" s="62"/>
      <c r="D583" s="62"/>
      <c r="E583" s="62"/>
      <c r="F583" s="62"/>
      <c r="G583" s="62"/>
      <c r="H583" s="62"/>
      <c r="I583" s="62"/>
    </row>
    <row r="584" customFormat="false" ht="28.35" hidden="false" customHeight="false" outlineLevel="0" collapsed="false">
      <c r="A584" s="63" t="s">
        <v>3659</v>
      </c>
      <c r="B584" s="64" t="s">
        <v>3923</v>
      </c>
      <c r="C584" s="63" t="s">
        <v>39</v>
      </c>
      <c r="D584" s="64" t="str">
        <f aca="false">TRIM(LEFT('Onshore - Adelaide'!A487,FIND(CHAR(10),'Onshore - Adelaide'!A487&amp;CHAR(10))-1))</f>
        <v>TAFE SA</v>
      </c>
      <c r="E584" s="63" t="str">
        <f aca="false">'Onshore - Adelaide'!C503&amp;""</f>
        <v>1 year</v>
      </c>
      <c r="F584" s="63" t="str">
        <f aca="false">IF('Onshore - Adelaide'!D503="","Belum tercatat",'Onshore - Adelaide'!D503)</f>
        <v>Semester</v>
      </c>
      <c r="G584" s="65" t="n">
        <f aca="false">IF('Onshore - Adelaide'!E503="","-",'Onshore - Adelaide'!E503)</f>
        <v>7483</v>
      </c>
      <c r="H584" s="63" t="n">
        <f aca="false">IF(ISNUMBER(K584),COUNTIFS($J$6:$J$1916,J584,$K$6:$K$1916,"&lt;"&amp;K584)+1,"-")</f>
        <v>1</v>
      </c>
      <c r="I584" s="64" t="str">
        <f aca="false">IF('Onshore - Adelaide'!E503="","Harga belum tersedia - hubungi konsultan TEG",IF(M584=2,"Saat ini tidak menerima pendaftaran siswa internasional baru",IF(M584=1,"Harga perlu dikonfirmasi ke sekolah"&amp;IF(""="","","; "&amp;""),"")))</f>
        <v/>
      </c>
      <c r="J584" s="0" t="s">
        <v>3924</v>
      </c>
      <c r="K584" s="0" t="n">
        <f aca="false">IF(M584=2,"",IF(ISNUMBER(SEARCH("rata-rata:",'Onshore - Adelaide'!M503)),VALUE(MID('Onshore - Adelaide'!M503,SEARCH("rata-rata:",'Onshore - Adelaide'!M503)+11,FIND(";",'Onshore - Adelaide'!M503&amp;";",SEARCH("rata-rata:",'Onshore - Adelaide'!M503))-SEARCH("rata-rata:",'Onshore - Adelaide'!M503)-11)),IF('Onshore - Adelaide'!D503="Semester",'Onshore - Adelaide'!E503*2,IF('Onshore - Adelaide'!D503="Trimester",'Onshore - Adelaide'!E503*3,IF('Onshore - Adelaide'!D503="Term",'Onshore - Adelaide'!E503*4,IF('Onshore - Adelaide'!D503="Unit",'Onshore - Adelaide'!E503*8,""))))))</f>
        <v>14966</v>
      </c>
      <c r="L584" s="0" t="n">
        <f aca="false">IF(AND(ISNUMBER('Onshore - Adelaide'!E503),ISNUMBER(K584),ISNUMBER('Onshore - Adelaide'!F503),ISNUMBER('Onshore - Adelaide'!G503),OR('Onshore - Adelaide'!F503&lt;&gt;0,ISNUMBER(SEARCH("Material 0 terverifikasi",'Onshore - Adelaide'!M503))),OR('Onshore - Adelaide'!G503&lt;&gt;0,ISNUMBER(SEARCH("Enrolment 0 terverifikasi",'Onshore - Adelaide'!M503)))),1,0)</f>
        <v>0</v>
      </c>
      <c r="M584" s="0" t="n">
        <f aca="false">IF(OR('Onshore - Adelaide'!E503="",ISNUMBER(SEARCH("BSB80120",'Onshore - Adelaide'!B503&amp;'Onshore - Adelaide'!M503)),ISNUMBER(SEARCH("Management (Learning)",'Onshore - Adelaide'!B503))),2,IF(ISNUMBER(SEARCH("CEK:",'Onshore - Adelaide'!M503)),1,0))</f>
        <v>0</v>
      </c>
    </row>
    <row r="585" customFormat="false" ht="15" hidden="false" customHeight="false" outlineLevel="0" collapsed="false">
      <c r="A585" s="61" t="s">
        <v>3925</v>
      </c>
      <c r="B585" s="62"/>
      <c r="C585" s="62"/>
      <c r="D585" s="62"/>
      <c r="E585" s="62"/>
      <c r="F585" s="62"/>
      <c r="G585" s="62"/>
      <c r="H585" s="62"/>
      <c r="I585" s="62"/>
    </row>
    <row r="586" customFormat="false" ht="28.35" hidden="false" customHeight="false" outlineLevel="0" collapsed="false">
      <c r="A586" s="63" t="s">
        <v>3659</v>
      </c>
      <c r="B586" s="64" t="s">
        <v>3923</v>
      </c>
      <c r="C586" s="63" t="s">
        <v>40</v>
      </c>
      <c r="D586" s="64" t="str">
        <f aca="false">TRIM(LEFT('Onshore - Adelaide'!A487,FIND(CHAR(10),'Onshore - Adelaide'!A487&amp;CHAR(10))-1))</f>
        <v>TAFE SA</v>
      </c>
      <c r="E586" s="63" t="str">
        <f aca="false">'Onshore - Adelaide'!C501&amp;""</f>
        <v>1 year</v>
      </c>
      <c r="F586" s="63" t="str">
        <f aca="false">IF('Onshore - Adelaide'!D501="","Belum tercatat",'Onshore - Adelaide'!D501)</f>
        <v>Term</v>
      </c>
      <c r="G586" s="65" t="n">
        <f aca="false">IF('Onshore - Adelaide'!E501="","-",'Onshore - Adelaide'!E501)</f>
        <v>4126.6</v>
      </c>
      <c r="H586" s="63" t="n">
        <f aca="false">IF(ISNUMBER(K586),COUNTIFS($J$6:$J$1916,J586,$K$6:$K$1916,"&lt;"&amp;K586)+1,"-")</f>
        <v>1</v>
      </c>
      <c r="I586" s="64" t="str">
        <f aca="false">IF('Onshore - Adelaide'!E501="","Harga belum tersedia - hubungi konsultan TEG",IF(M586=2,"Saat ini tidak menerima pendaftaran siswa internasional baru",IF(M586=1,"Harga perlu dikonfirmasi ke sekolah"&amp;IF(""="","","; "&amp;""),"")))</f>
        <v>Harga perlu dikonfirmasi ke sekolah</v>
      </c>
      <c r="J586" s="0" t="s">
        <v>3926</v>
      </c>
      <c r="K586" s="0" t="n">
        <f aca="false">IF(M586=2,"",IF(ISNUMBER(SEARCH("rata-rata:",'Onshore - Adelaide'!M501)),VALUE(MID('Onshore - Adelaide'!M501,SEARCH("rata-rata:",'Onshore - Adelaide'!M501)+11,FIND(";",'Onshore - Adelaide'!M501&amp;";",SEARCH("rata-rata:",'Onshore - Adelaide'!M501))-SEARCH("rata-rata:",'Onshore - Adelaide'!M501)-11)),IF('Onshore - Adelaide'!D501="Semester",'Onshore - Adelaide'!E501*2,IF('Onshore - Adelaide'!D501="Trimester",'Onshore - Adelaide'!E501*3,IF('Onshore - Adelaide'!D501="Term",'Onshore - Adelaide'!E501*4,IF('Onshore - Adelaide'!D501="Unit",'Onshore - Adelaide'!E501*8,""))))))</f>
        <v>16506.4</v>
      </c>
      <c r="L586" s="0" t="n">
        <f aca="false">IF(AND(ISNUMBER('Onshore - Adelaide'!E501),ISNUMBER(K586),ISNUMBER('Onshore - Adelaide'!F501),ISNUMBER('Onshore - Adelaide'!G501),OR('Onshore - Adelaide'!F501&lt;&gt;0,ISNUMBER(SEARCH("Material 0 terverifikasi",'Onshore - Adelaide'!M501))),OR('Onshore - Adelaide'!G501&lt;&gt;0,ISNUMBER(SEARCH("Enrolment 0 terverifikasi",'Onshore - Adelaide'!M501)))),1,0)</f>
        <v>0</v>
      </c>
      <c r="M586" s="0" t="n">
        <f aca="false">IF(OR('Onshore - Adelaide'!E501="",ISNUMBER(SEARCH("BSB80120",'Onshore - Adelaide'!B501&amp;'Onshore - Adelaide'!M501)),ISNUMBER(SEARCH("Management (Learning)",'Onshore - Adelaide'!B501))),2,IF(ISNUMBER(SEARCH("CEK:",'Onshore - Adelaide'!M501)),1,0))</f>
        <v>1</v>
      </c>
    </row>
    <row r="587" customFormat="false" ht="15" hidden="false" customHeight="false" outlineLevel="0" collapsed="false">
      <c r="A587" s="61" t="s">
        <v>3927</v>
      </c>
      <c r="B587" s="62"/>
      <c r="C587" s="62"/>
      <c r="D587" s="62"/>
      <c r="E587" s="62"/>
      <c r="F587" s="62"/>
      <c r="G587" s="62"/>
      <c r="H587" s="62"/>
      <c r="I587" s="62"/>
    </row>
    <row r="588" customFormat="false" ht="28.35" hidden="false" customHeight="false" outlineLevel="0" collapsed="false">
      <c r="A588" s="63" t="s">
        <v>3659</v>
      </c>
      <c r="B588" s="64" t="s">
        <v>3923</v>
      </c>
      <c r="C588" s="63" t="s">
        <v>41</v>
      </c>
      <c r="D588" s="64" t="str">
        <f aca="false">TRIM(LEFT('Onshore - Adelaide'!A433,FIND(CHAR(10),'Onshore - Adelaide'!A433&amp;CHAR(10))-1))</f>
        <v>Greenwich College</v>
      </c>
      <c r="E588" s="63" t="str">
        <f aca="false">'Onshore - Adelaide'!C436&amp;""</f>
        <v>128 weeks</v>
      </c>
      <c r="F588" s="63" t="str">
        <f aca="false">IF('Onshore - Adelaide'!D436="","Belum tercatat",'Onshore - Adelaide'!D436)</f>
        <v>Term</v>
      </c>
      <c r="G588" s="65" t="n">
        <f aca="false">IF('Onshore - Adelaide'!E436="","-",'Onshore - Adelaide'!E436)</f>
        <v>1600</v>
      </c>
      <c r="H588" s="63" t="n">
        <f aca="false">IF(ISNUMBER(K588),COUNTIFS($J$6:$J$1916,J588,$K$6:$K$1916,"&lt;"&amp;K588)+1,"-")</f>
        <v>1</v>
      </c>
      <c r="I588" s="64" t="str">
        <f aca="false">IF('Onshore - Adelaide'!E436="","Harga belum tersedia - hubungi konsultan TEG",IF(M588=2,"Saat ini tidak menerima pendaftaran siswa internasional baru",IF(M588=1,"Harga perlu dikonfirmasi ke sekolah"&amp;IF(""="","","; "&amp;""),"")))</f>
        <v/>
      </c>
      <c r="J588" s="0" t="s">
        <v>3928</v>
      </c>
      <c r="K588" s="0" t="n">
        <f aca="false">IF(M588=2,"",IF(ISNUMBER(SEARCH("rata-rata:",'Onshore - Adelaide'!M436)),VALUE(MID('Onshore - Adelaide'!M436,SEARCH("rata-rata:",'Onshore - Adelaide'!M436)+11,FIND(";",'Onshore - Adelaide'!M436&amp;";",SEARCH("rata-rata:",'Onshore - Adelaide'!M436))-SEARCH("rata-rata:",'Onshore - Adelaide'!M436)-11)),IF('Onshore - Adelaide'!D436="Semester",'Onshore - Adelaide'!E436*2,IF('Onshore - Adelaide'!D436="Trimester",'Onshore - Adelaide'!E436*3,IF('Onshore - Adelaide'!D436="Term",'Onshore - Adelaide'!E436*4,IF('Onshore - Adelaide'!D436="Unit",'Onshore - Adelaide'!E436*8,""))))))</f>
        <v>6400</v>
      </c>
      <c r="L588" s="0" t="n">
        <f aca="false">IF(AND(ISNUMBER('Onshore - Adelaide'!E436),ISNUMBER(K588),ISNUMBER('Onshore - Adelaide'!F436),ISNUMBER('Onshore - Adelaide'!G436),OR('Onshore - Adelaide'!F436&lt;&gt;0,ISNUMBER(SEARCH("Material 0 terverifikasi",'Onshore - Adelaide'!M436))),OR('Onshore - Adelaide'!G436&lt;&gt;0,ISNUMBER(SEARCH("Enrolment 0 terverifikasi",'Onshore - Adelaide'!M436)))),1,0)</f>
        <v>1</v>
      </c>
      <c r="M588" s="0" t="n">
        <f aca="false">IF(OR('Onshore - Adelaide'!E436="",ISNUMBER(SEARCH("BSB80120",'Onshore - Adelaide'!B436&amp;'Onshore - Adelaide'!M436)),ISNUMBER(SEARCH("Management (Learning)",'Onshore - Adelaide'!B436))),2,IF(ISNUMBER(SEARCH("CEK:",'Onshore - Adelaide'!M436)),1,0))</f>
        <v>0</v>
      </c>
    </row>
    <row r="589" customFormat="false" ht="28.35" hidden="false" customHeight="false" outlineLevel="0" collapsed="false">
      <c r="A589" s="63" t="s">
        <v>3659</v>
      </c>
      <c r="B589" s="64" t="s">
        <v>3923</v>
      </c>
      <c r="C589" s="63" t="s">
        <v>41</v>
      </c>
      <c r="D589" s="64" t="str">
        <f aca="false">TRIM(LEFT('Onshore - Adelaide'!A376,FIND(CHAR(10),'Onshore - Adelaide'!A376&amp;CHAR(10))-1))</f>
        <v>Albright Institute of Business and Language (AIBL)</v>
      </c>
      <c r="E589" s="63" t="str">
        <f aca="false">'Onshore - Adelaide'!C377&amp;""</f>
        <v>2 years</v>
      </c>
      <c r="F589" s="63" t="str">
        <f aca="false">IF('Onshore - Adelaide'!D377="","Belum tercatat",'Onshore - Adelaide'!D377)</f>
        <v>Term</v>
      </c>
      <c r="G589" s="65" t="n">
        <f aca="false">IF('Onshore - Adelaide'!E377="","-",'Onshore - Adelaide'!E377)</f>
        <v>1625</v>
      </c>
      <c r="H589" s="63" t="n">
        <f aca="false">IF(ISNUMBER(K589),COUNTIFS($J$6:$J$1916,J589,$K$6:$K$1916,"&lt;"&amp;K589)+1,"-")</f>
        <v>2</v>
      </c>
      <c r="I589" s="64" t="str">
        <f aca="false">IF('Onshore - Adelaide'!E377="","Harga belum tersedia - hubungi konsultan TEG",IF(M589=2,"Saat ini tidak menerima pendaftaran siswa internasional baru",IF(M589=1,"Harga perlu dikonfirmasi ke sekolah"&amp;IF(""="","","; "&amp;""),"")))</f>
        <v/>
      </c>
      <c r="J589" s="0" t="s">
        <v>3928</v>
      </c>
      <c r="K589" s="0" t="n">
        <f aca="false">IF(M589=2,"",IF(ISNUMBER(SEARCH("rata-rata:",'Onshore - Adelaide'!M377)),VALUE(MID('Onshore - Adelaide'!M377,SEARCH("rata-rata:",'Onshore - Adelaide'!M377)+11,FIND(";",'Onshore - Adelaide'!M377&amp;";",SEARCH("rata-rata:",'Onshore - Adelaide'!M377))-SEARCH("rata-rata:",'Onshore - Adelaide'!M377)-11)),IF('Onshore - Adelaide'!D377="Semester",'Onshore - Adelaide'!E377*2,IF('Onshore - Adelaide'!D377="Trimester",'Onshore - Adelaide'!E377*3,IF('Onshore - Adelaide'!D377="Term",'Onshore - Adelaide'!E377*4,IF('Onshore - Adelaide'!D377="Unit",'Onshore - Adelaide'!E377*8,""))))))</f>
        <v>6500</v>
      </c>
      <c r="L589" s="0" t="n">
        <f aca="false">IF(AND(ISNUMBER('Onshore - Adelaide'!E377),ISNUMBER(K589),ISNUMBER('Onshore - Adelaide'!F377),ISNUMBER('Onshore - Adelaide'!G377),OR('Onshore - Adelaide'!F377&lt;&gt;0,ISNUMBER(SEARCH("Material 0 terverifikasi",'Onshore - Adelaide'!M377))),OR('Onshore - Adelaide'!G377&lt;&gt;0,ISNUMBER(SEARCH("Enrolment 0 terverifikasi",'Onshore - Adelaide'!M377)))),1,0)</f>
        <v>1</v>
      </c>
      <c r="M589" s="0" t="n">
        <f aca="false">IF(OR('Onshore - Adelaide'!E377="",ISNUMBER(SEARCH("BSB80120",'Onshore - Adelaide'!B377&amp;'Onshore - Adelaide'!M377)),ISNUMBER(SEARCH("Management (Learning)",'Onshore - Adelaide'!B377))),2,IF(ISNUMBER(SEARCH("CEK:",'Onshore - Adelaide'!M377)),1,0))</f>
        <v>0</v>
      </c>
    </row>
    <row r="590" customFormat="false" ht="28.35" hidden="false" customHeight="false" outlineLevel="0" collapsed="false">
      <c r="A590" s="63" t="s">
        <v>3659</v>
      </c>
      <c r="B590" s="64" t="s">
        <v>3923</v>
      </c>
      <c r="C590" s="63" t="s">
        <v>41</v>
      </c>
      <c r="D590" s="64" t="str">
        <f aca="false">TRIM(LEFT('Onshore - Adelaide'!A474,FIND(CHAR(10),'Onshore - Adelaide'!A474&amp;CHAR(10))-1))</f>
        <v>Signet Institute of Australia</v>
      </c>
      <c r="E590" s="63" t="str">
        <f aca="false">'Onshore - Adelaide'!C482&amp;""</f>
        <v>2 years</v>
      </c>
      <c r="F590" s="63" t="str">
        <f aca="false">IF('Onshore - Adelaide'!D482="","Belum tercatat",'Onshore - Adelaide'!D482)</f>
        <v>Term</v>
      </c>
      <c r="G590" s="65" t="n">
        <f aca="false">IF('Onshore - Adelaide'!E482="","-",'Onshore - Adelaide'!E482)</f>
        <v>1800</v>
      </c>
      <c r="H590" s="63" t="n">
        <f aca="false">IF(ISNUMBER(K590),COUNTIFS($J$6:$J$1916,J590,$K$6:$K$1916,"&lt;"&amp;K590)+1,"-")</f>
        <v>3</v>
      </c>
      <c r="I590" s="64" t="str">
        <f aca="false">IF('Onshore - Adelaide'!E482="","Harga belum tersedia - hubungi konsultan TEG",IF(M590=2,"Saat ini tidak menerima pendaftaran siswa internasional baru",IF(M590=1,"Harga perlu dikonfirmasi ke sekolah"&amp;IF(""="","","; "&amp;""),"")))</f>
        <v/>
      </c>
      <c r="J590" s="0" t="s">
        <v>3928</v>
      </c>
      <c r="K590" s="0" t="n">
        <f aca="false">IF(M590=2,"",IF(ISNUMBER(SEARCH("rata-rata:",'Onshore - Adelaide'!M482)),VALUE(MID('Onshore - Adelaide'!M482,SEARCH("rata-rata:",'Onshore - Adelaide'!M482)+11,FIND(";",'Onshore - Adelaide'!M482&amp;";",SEARCH("rata-rata:",'Onshore - Adelaide'!M482))-SEARCH("rata-rata:",'Onshore - Adelaide'!M482)-11)),IF('Onshore - Adelaide'!D482="Semester",'Onshore - Adelaide'!E482*2,IF('Onshore - Adelaide'!D482="Trimester",'Onshore - Adelaide'!E482*3,IF('Onshore - Adelaide'!D482="Term",'Onshore - Adelaide'!E482*4,IF('Onshore - Adelaide'!D482="Unit",'Onshore - Adelaide'!E482*8,""))))))</f>
        <v>7200</v>
      </c>
      <c r="L590" s="0" t="n">
        <f aca="false">IF(AND(ISNUMBER('Onshore - Adelaide'!E482),ISNUMBER(K590),ISNUMBER('Onshore - Adelaide'!F482),ISNUMBER('Onshore - Adelaide'!G482),OR('Onshore - Adelaide'!F482&lt;&gt;0,ISNUMBER(SEARCH("Material 0 terverifikasi",'Onshore - Adelaide'!M482))),OR('Onshore - Adelaide'!G482&lt;&gt;0,ISNUMBER(SEARCH("Enrolment 0 terverifikasi",'Onshore - Adelaide'!M482)))),1,0)</f>
        <v>1</v>
      </c>
      <c r="M590" s="0" t="n">
        <f aca="false">IF(OR('Onshore - Adelaide'!E482="",ISNUMBER(SEARCH("BSB80120",'Onshore - Adelaide'!B482&amp;'Onshore - Adelaide'!M482)),ISNUMBER(SEARCH("Management (Learning)",'Onshore - Adelaide'!B482))),2,IF(ISNUMBER(SEARCH("CEK:",'Onshore - Adelaide'!M482)),1,0))</f>
        <v>0</v>
      </c>
    </row>
    <row r="591" customFormat="false" ht="28.35" hidden="false" customHeight="false" outlineLevel="0" collapsed="false">
      <c r="A591" s="63" t="s">
        <v>3659</v>
      </c>
      <c r="B591" s="64" t="s">
        <v>3923</v>
      </c>
      <c r="C591" s="63" t="s">
        <v>41</v>
      </c>
      <c r="D591" s="64" t="str">
        <f aca="false">TRIM(LEFT('Onshore - Adelaide'!A6,FIND(CHAR(10),'Onshore - Adelaide'!A6&amp;CHAR(10))-1))</f>
        <v>Abbey College Australia</v>
      </c>
      <c r="E591" s="63" t="str">
        <f aca="false">'Onshore - Adelaide'!C7&amp;""</f>
        <v>3,5 years</v>
      </c>
      <c r="F591" s="63" t="str">
        <f aca="false">IF('Onshore - Adelaide'!D7="","Belum tercatat",'Onshore - Adelaide'!D7)</f>
        <v>Term</v>
      </c>
      <c r="G591" s="65" t="n">
        <f aca="false">IF('Onshore - Adelaide'!E7="","-",'Onshore - Adelaide'!E7)</f>
        <v>2000</v>
      </c>
      <c r="H591" s="63" t="n">
        <f aca="false">IF(ISNUMBER(K591),COUNTIFS($J$6:$J$1916,J591,$K$6:$K$1916,"&lt;"&amp;K591)+1,"-")</f>
        <v>4</v>
      </c>
      <c r="I591" s="64" t="str">
        <f aca="false">IF('Onshore - Adelaide'!E7="","Harga belum tersedia - hubungi konsultan TEG",IF(M591=2,"Saat ini tidak menerima pendaftaran siswa internasional baru",IF(M591=1,"Harga perlu dikonfirmasi ke sekolah"&amp;IF(""="","","; "&amp;""),"")))</f>
        <v/>
      </c>
      <c r="J591" s="0" t="s">
        <v>3928</v>
      </c>
      <c r="K591" s="0" t="n">
        <f aca="false">IF(M591=2,"",IF(ISNUMBER(SEARCH("rata-rata:",'Onshore - Adelaide'!M7)),VALUE(MID('Onshore - Adelaide'!M7,SEARCH("rata-rata:",'Onshore - Adelaide'!M7)+11,FIND(";",'Onshore - Adelaide'!M7&amp;";",SEARCH("rata-rata:",'Onshore - Adelaide'!M7))-SEARCH("rata-rata:",'Onshore - Adelaide'!M7)-11)),IF('Onshore - Adelaide'!D7="Semester",'Onshore - Adelaide'!E7*2,IF('Onshore - Adelaide'!D7="Trimester",'Onshore - Adelaide'!E7*3,IF('Onshore - Adelaide'!D7="Term",'Onshore - Adelaide'!E7*4,IF('Onshore - Adelaide'!D7="Unit",'Onshore - Adelaide'!E7*8,""))))))</f>
        <v>8000</v>
      </c>
      <c r="L591" s="0" t="n">
        <f aca="false">IF(AND(ISNUMBER('Onshore - Adelaide'!E7),ISNUMBER(K591),ISNUMBER('Onshore - Adelaide'!F7),ISNUMBER('Onshore - Adelaide'!G7),OR('Onshore - Adelaide'!F7&lt;&gt;0,ISNUMBER(SEARCH("Material 0 terverifikasi",'Onshore - Adelaide'!M7))),OR('Onshore - Adelaide'!G7&lt;&gt;0,ISNUMBER(SEARCH("Enrolment 0 terverifikasi",'Onshore - Adelaide'!M7)))),1,0)</f>
        <v>1</v>
      </c>
      <c r="M591" s="0" t="n">
        <f aca="false">IF(OR('Onshore - Adelaide'!E7="",ISNUMBER(SEARCH("BSB80120",'Onshore - Adelaide'!B7&amp;'Onshore - Adelaide'!M7)),ISNUMBER(SEARCH("Management (Learning)",'Onshore - Adelaide'!B7))),2,IF(ISNUMBER(SEARCH("CEK:",'Onshore - Adelaide'!M7)),1,0))</f>
        <v>0</v>
      </c>
    </row>
    <row r="592" customFormat="false" ht="28.35" hidden="false" customHeight="false" outlineLevel="0" collapsed="false">
      <c r="A592" s="63" t="s">
        <v>3659</v>
      </c>
      <c r="B592" s="64" t="s">
        <v>3923</v>
      </c>
      <c r="C592" s="63" t="s">
        <v>41</v>
      </c>
      <c r="D592" s="64" t="str">
        <f aca="false">TRIM(LEFT('Onshore - Adelaide'!A402,FIND(CHAR(10),'Onshore - Adelaide'!A402&amp;CHAR(10))-1))</f>
        <v>Australian Ideal College (AIC)</v>
      </c>
      <c r="E592" s="63" t="str">
        <f aca="false">'Onshore - Adelaide'!C417&amp;""</f>
        <v>2,5 years</v>
      </c>
      <c r="F592" s="63" t="str">
        <f aca="false">IF('Onshore - Adelaide'!D417="","Belum tercatat",'Onshore - Adelaide'!D417)</f>
        <v>Term</v>
      </c>
      <c r="G592" s="65" t="n">
        <f aca="false">IF('Onshore - Adelaide'!E417="","-",'Onshore - Adelaide'!E417)</f>
        <v>2250</v>
      </c>
      <c r="H592" s="63" t="n">
        <f aca="false">IF(ISNUMBER(K592),COUNTIFS($J$6:$J$1916,J592,$K$6:$K$1916,"&lt;"&amp;K592)+1,"-")</f>
        <v>5</v>
      </c>
      <c r="I592" s="64" t="str">
        <f aca="false">IF('Onshore - Adelaide'!E417="","Harga belum tersedia - hubungi konsultan TEG",IF(M592=2,"Saat ini tidak menerima pendaftaran siswa internasional baru",IF(M592=1,"Harga perlu dikonfirmasi ke sekolah"&amp;IF(""="","","; "&amp;""),"")))</f>
        <v/>
      </c>
      <c r="J592" s="0" t="s">
        <v>3928</v>
      </c>
      <c r="K592" s="0" t="n">
        <f aca="false">IF(M592=2,"",IF(ISNUMBER(SEARCH("rata-rata:",'Onshore - Adelaide'!M417)),VALUE(MID('Onshore - Adelaide'!M417,SEARCH("rata-rata:",'Onshore - Adelaide'!M417)+11,FIND(";",'Onshore - Adelaide'!M417&amp;";",SEARCH("rata-rata:",'Onshore - Adelaide'!M417))-SEARCH("rata-rata:",'Onshore - Adelaide'!M417)-11)),IF('Onshore - Adelaide'!D417="Semester",'Onshore - Adelaide'!E417*2,IF('Onshore - Adelaide'!D417="Trimester",'Onshore - Adelaide'!E417*3,IF('Onshore - Adelaide'!D417="Term",'Onshore - Adelaide'!E417*4,IF('Onshore - Adelaide'!D417="Unit",'Onshore - Adelaide'!E417*8,""))))))</f>
        <v>9000</v>
      </c>
      <c r="L592" s="0" t="n">
        <f aca="false">IF(AND(ISNUMBER('Onshore - Adelaide'!E417),ISNUMBER(K592),ISNUMBER('Onshore - Adelaide'!F417),ISNUMBER('Onshore - Adelaide'!G417),OR('Onshore - Adelaide'!F417&lt;&gt;0,ISNUMBER(SEARCH("Material 0 terverifikasi",'Onshore - Adelaide'!M417))),OR('Onshore - Adelaide'!G417&lt;&gt;0,ISNUMBER(SEARCH("Enrolment 0 terverifikasi",'Onshore - Adelaide'!M417)))),1,0)</f>
        <v>1</v>
      </c>
      <c r="M592" s="0" t="n">
        <f aca="false">IF(OR('Onshore - Adelaide'!E417="",ISNUMBER(SEARCH("BSB80120",'Onshore - Adelaide'!B417&amp;'Onshore - Adelaide'!M417)),ISNUMBER(SEARCH("Management (Learning)",'Onshore - Adelaide'!B417))),2,IF(ISNUMBER(SEARCH("CEK:",'Onshore - Adelaide'!M417)),1,0))</f>
        <v>0</v>
      </c>
    </row>
    <row r="593" customFormat="false" ht="28.35" hidden="false" customHeight="false" outlineLevel="0" collapsed="false">
      <c r="A593" s="63" t="s">
        <v>3659</v>
      </c>
      <c r="B593" s="64" t="s">
        <v>3923</v>
      </c>
      <c r="C593" s="63" t="s">
        <v>41</v>
      </c>
      <c r="D593" s="64" t="str">
        <f aca="false">TRIM(LEFT('Onshore - Adelaide'!A429,FIND(CHAR(10),'Onshore - Adelaide'!A429&amp;CHAR(10))-1))</f>
        <v>Concord Institute</v>
      </c>
      <c r="E593" s="63" t="str">
        <f aca="false">'Onshore - Adelaide'!C429&amp;""</f>
        <v>2,5 years</v>
      </c>
      <c r="F593" s="63" t="str">
        <f aca="false">IF('Onshore - Adelaide'!D429="","Belum tercatat",'Onshore - Adelaide'!D429)</f>
        <v>Term</v>
      </c>
      <c r="G593" s="65" t="n">
        <f aca="false">IF('Onshore - Adelaide'!E429="","-",'Onshore - Adelaide'!E429)</f>
        <v>2900</v>
      </c>
      <c r="H593" s="63" t="n">
        <f aca="false">IF(ISNUMBER(K593),COUNTIFS($J$6:$J$1916,J593,$K$6:$K$1916,"&lt;"&amp;K593)+1,"-")</f>
        <v>6</v>
      </c>
      <c r="I593" s="64" t="str">
        <f aca="false">IF('Onshore - Adelaide'!E429="","Harga belum tersedia - hubungi konsultan TEG",IF(M593=2,"Saat ini tidak menerima pendaftaran siswa internasional baru",IF(M593=1,"Program perlu dikonfirmasi ketersediaannya"&amp;IF(""="","","; "&amp;""),"")))</f>
        <v>Program perlu dikonfirmasi ketersediaannya</v>
      </c>
      <c r="J593" s="0" t="s">
        <v>3928</v>
      </c>
      <c r="K593" s="0" t="n">
        <f aca="false">IF(M593=2,"",IF(ISNUMBER(SEARCH("rata-rata:",'Onshore - Adelaide'!M429)),VALUE(MID('Onshore - Adelaide'!M429,SEARCH("rata-rata:",'Onshore - Adelaide'!M429)+11,FIND(";",'Onshore - Adelaide'!M429&amp;";",SEARCH("rata-rata:",'Onshore - Adelaide'!M429))-SEARCH("rata-rata:",'Onshore - Adelaide'!M429)-11)),IF('Onshore - Adelaide'!D429="Semester",'Onshore - Adelaide'!E429*2,IF('Onshore - Adelaide'!D429="Trimester",'Onshore - Adelaide'!E429*3,IF('Onshore - Adelaide'!D429="Term",'Onshore - Adelaide'!E429*4,IF('Onshore - Adelaide'!D429="Unit",'Onshore - Adelaide'!E429*8,""))))))</f>
        <v>11600</v>
      </c>
      <c r="L593" s="0" t="n">
        <f aca="false">IF(AND(ISNUMBER('Onshore - Adelaide'!E429),ISNUMBER(K593),ISNUMBER('Onshore - Adelaide'!F429),ISNUMBER('Onshore - Adelaide'!G429),OR('Onshore - Adelaide'!F429&lt;&gt;0,ISNUMBER(SEARCH("Material 0 terverifikasi",'Onshore - Adelaide'!M429))),OR('Onshore - Adelaide'!G429&lt;&gt;0,ISNUMBER(SEARCH("Enrolment 0 terverifikasi",'Onshore - Adelaide'!M429)))),1,0)</f>
        <v>1</v>
      </c>
      <c r="M593" s="0" t="n">
        <f aca="false">IF(OR('Onshore - Adelaide'!E429="",ISNUMBER(SEARCH("BSB80120",'Onshore - Adelaide'!B429&amp;'Onshore - Adelaide'!M429)),ISNUMBER(SEARCH("Management (Learning)",'Onshore - Adelaide'!B429))),2,IF(ISNUMBER(SEARCH("CEK:",'Onshore - Adelaide'!M429)),1,0))</f>
        <v>1</v>
      </c>
    </row>
    <row r="594" customFormat="false" ht="28.35" hidden="false" customHeight="false" outlineLevel="0" collapsed="false">
      <c r="A594" s="63" t="s">
        <v>3659</v>
      </c>
      <c r="B594" s="64" t="s">
        <v>3923</v>
      </c>
      <c r="C594" s="63" t="s">
        <v>41</v>
      </c>
      <c r="D594" s="64" t="str">
        <f aca="false">TRIM(LEFT('Onshore - Adelaide'!A487,FIND(CHAR(10),'Onshore - Adelaide'!A487&amp;CHAR(10))-1))</f>
        <v>TAFE SA</v>
      </c>
      <c r="E594" s="63" t="str">
        <f aca="false">'Onshore - Adelaide'!C502&amp;""</f>
        <v>1,5 years</v>
      </c>
      <c r="F594" s="63" t="str">
        <f aca="false">IF('Onshore - Adelaide'!D502="","Belum tercatat",'Onshore - Adelaide'!D502)</f>
        <v>Semester</v>
      </c>
      <c r="G594" s="65" t="n">
        <f aca="false">IF('Onshore - Adelaide'!E502="","-",'Onshore - Adelaide'!E502)</f>
        <v>6360</v>
      </c>
      <c r="H594" s="63" t="n">
        <f aca="false">IF(ISNUMBER(K594),COUNTIFS($J$6:$J$1916,J594,$K$6:$K$1916,"&lt;"&amp;K594)+1,"-")</f>
        <v>7</v>
      </c>
      <c r="I594" s="64" t="str">
        <f aca="false">IF('Onshore - Adelaide'!E502="","Harga belum tersedia - hubungi konsultan TEG",IF(M594=2,"Saat ini tidak menerima pendaftaran siswa internasional baru",IF(M594=1,"Harga perlu dikonfirmasi ke sekolah"&amp;IF(""="","","; "&amp;""),"")))</f>
        <v/>
      </c>
      <c r="J594" s="0" t="s">
        <v>3928</v>
      </c>
      <c r="K594" s="0" t="n">
        <f aca="false">IF(M594=2,"",IF(ISNUMBER(SEARCH("rata-rata:",'Onshore - Adelaide'!M502)),VALUE(MID('Onshore - Adelaide'!M502,SEARCH("rata-rata:",'Onshore - Adelaide'!M502)+11,FIND(";",'Onshore - Adelaide'!M502&amp;";",SEARCH("rata-rata:",'Onshore - Adelaide'!M502))-SEARCH("rata-rata:",'Onshore - Adelaide'!M502)-11)),IF('Onshore - Adelaide'!D502="Semester",'Onshore - Adelaide'!E502*2,IF('Onshore - Adelaide'!D502="Trimester",'Onshore - Adelaide'!E502*3,IF('Onshore - Adelaide'!D502="Term",'Onshore - Adelaide'!E502*4,IF('Onshore - Adelaide'!D502="Unit",'Onshore - Adelaide'!E502*8,""))))))</f>
        <v>12720</v>
      </c>
      <c r="L594" s="0" t="n">
        <f aca="false">IF(AND(ISNUMBER('Onshore - Adelaide'!E502),ISNUMBER(K594),ISNUMBER('Onshore - Adelaide'!F502),ISNUMBER('Onshore - Adelaide'!G502),OR('Onshore - Adelaide'!F502&lt;&gt;0,ISNUMBER(SEARCH("Material 0 terverifikasi",'Onshore - Adelaide'!M502))),OR('Onshore - Adelaide'!G502&lt;&gt;0,ISNUMBER(SEARCH("Enrolment 0 terverifikasi",'Onshore - Adelaide'!M502)))),1,0)</f>
        <v>0</v>
      </c>
      <c r="M594" s="0" t="n">
        <f aca="false">IF(OR('Onshore - Adelaide'!E502="",ISNUMBER(SEARCH("BSB80120",'Onshore - Adelaide'!B502&amp;'Onshore - Adelaide'!M502)),ISNUMBER(SEARCH("Management (Learning)",'Onshore - Adelaide'!B502))),2,IF(ISNUMBER(SEARCH("CEK:",'Onshore - Adelaide'!M502)),1,0))</f>
        <v>0</v>
      </c>
    </row>
    <row r="595" customFormat="false" ht="15" hidden="false" customHeight="false" outlineLevel="0" collapsed="false">
      <c r="A595" s="61" t="s">
        <v>3929</v>
      </c>
      <c r="B595" s="62"/>
      <c r="C595" s="62"/>
      <c r="D595" s="62"/>
      <c r="E595" s="62"/>
      <c r="F595" s="62"/>
      <c r="G595" s="62"/>
      <c r="H595" s="62"/>
      <c r="I595" s="62"/>
    </row>
    <row r="596" customFormat="false" ht="28.35" hidden="false" customHeight="false" outlineLevel="0" collapsed="false">
      <c r="A596" s="63" t="s">
        <v>3659</v>
      </c>
      <c r="B596" s="64" t="s">
        <v>3923</v>
      </c>
      <c r="C596" s="63" t="s">
        <v>43</v>
      </c>
      <c r="D596" s="64" t="str">
        <f aca="false">TRIM(LEFT('Onshore - Adelaide'!A545,FIND(CHAR(10),'Onshore - Adelaide'!A545&amp;CHAR(10))-1))</f>
        <v>Torrens University Australia</v>
      </c>
      <c r="E596" s="63" t="str">
        <f aca="false">'Onshore - Adelaide'!C591&amp;""</f>
        <v>3 years</v>
      </c>
      <c r="F596" s="63" t="str">
        <f aca="false">IF('Onshore - Adelaide'!D591="","Belum tercatat",'Onshore - Adelaide'!D591)</f>
        <v>Term</v>
      </c>
      <c r="G596" s="65" t="n">
        <f aca="false">IF('Onshore - Adelaide'!E591="","-",'Onshore - Adelaide'!E591)</f>
        <v>7333</v>
      </c>
      <c r="H596" s="63" t="n">
        <f aca="false">IF(ISNUMBER(K596),COUNTIFS($J$6:$J$1916,J596,$K$6:$K$1916,"&lt;"&amp;K596)+1,"-")</f>
        <v>1</v>
      </c>
      <c r="I596" s="64" t="str">
        <f aca="false">IF('Onshore - Adelaide'!E591="","Harga belum tersedia - hubungi konsultan TEG",IF(M596=2,"Saat ini tidak menerima pendaftaran siswa internasional baru",IF(M596=1,"Harga perlu dikonfirmasi ke sekolah"&amp;IF(""="","","; "&amp;""),"")))</f>
        <v/>
      </c>
      <c r="J596" s="0" t="s">
        <v>3930</v>
      </c>
      <c r="K596" s="0" t="n">
        <f aca="false">IF(M596=2,"",IF(ISNUMBER(SEARCH("rata-rata:",'Onshore - Adelaide'!M591)),VALUE(MID('Onshore - Adelaide'!M591,SEARCH("rata-rata:",'Onshore - Adelaide'!M591)+11,FIND(";",'Onshore - Adelaide'!M591&amp;";",SEARCH("rata-rata:",'Onshore - Adelaide'!M591))-SEARCH("rata-rata:",'Onshore - Adelaide'!M591)-11)),IF('Onshore - Adelaide'!D591="Semester",'Onshore - Adelaide'!E591*2,IF('Onshore - Adelaide'!D591="Trimester",'Onshore - Adelaide'!E591*3,IF('Onshore - Adelaide'!D591="Term",'Onshore - Adelaide'!E591*4,IF('Onshore - Adelaide'!D591="Unit",'Onshore - Adelaide'!E591*8,""))))))</f>
        <v>29332</v>
      </c>
      <c r="L596" s="0" t="n">
        <f aca="false">IF(AND(ISNUMBER('Onshore - Adelaide'!E591),ISNUMBER(K596),ISNUMBER('Onshore - Adelaide'!F591),ISNUMBER('Onshore - Adelaide'!G591),OR('Onshore - Adelaide'!F591&lt;&gt;0,ISNUMBER(SEARCH("Material 0 terverifikasi",'Onshore - Adelaide'!M591))),OR('Onshore - Adelaide'!G591&lt;&gt;0,ISNUMBER(SEARCH("Enrolment 0 terverifikasi",'Onshore - Adelaide'!M591)))),1,0)</f>
        <v>0</v>
      </c>
      <c r="M596" s="0" t="n">
        <f aca="false">IF(OR('Onshore - Adelaide'!E591="",ISNUMBER(SEARCH("BSB80120",'Onshore - Adelaide'!B591&amp;'Onshore - Adelaide'!M591)),ISNUMBER(SEARCH("Management (Learning)",'Onshore - Adelaide'!B591))),2,IF(ISNUMBER(SEARCH("CEK:",'Onshore - Adelaide'!M591)),1,0))</f>
        <v>0</v>
      </c>
    </row>
    <row r="597" customFormat="false" ht="28.35" hidden="false" customHeight="false" outlineLevel="0" collapsed="false">
      <c r="A597" s="63" t="s">
        <v>3659</v>
      </c>
      <c r="B597" s="64" t="s">
        <v>3923</v>
      </c>
      <c r="C597" s="63" t="s">
        <v>43</v>
      </c>
      <c r="D597" s="64" t="str">
        <f aca="false">TRIM(LEFT('Onshore - Adelaide'!A15,FIND(CHAR(10),'Onshore - Adelaide'!A15&amp;CHAR(10))-1))</f>
        <v>Adelaide University</v>
      </c>
      <c r="E597" s="63" t="str">
        <f aca="false">'Onshore - Adelaide'!C90&amp;""</f>
        <v>3 years</v>
      </c>
      <c r="F597" s="63" t="str">
        <f aca="false">IF('Onshore - Adelaide'!D90="","Belum tercatat",'Onshore - Adelaide'!D90)</f>
        <v>Term</v>
      </c>
      <c r="G597" s="65" t="n">
        <f aca="false">IF('Onshore - Adelaide'!E90="","-",'Onshore - Adelaide'!E90)</f>
        <v>10850</v>
      </c>
      <c r="H597" s="63" t="n">
        <f aca="false">IF(ISNUMBER(K597),COUNTIFS($J$6:$J$1916,J597,$K$6:$K$1916,"&lt;"&amp;K597)+1,"-")</f>
        <v>2</v>
      </c>
      <c r="I597" s="64" t="str">
        <f aca="false">IF('Onshore - Adelaide'!E90="","Harga belum tersedia - hubungi konsultan TEG",IF(M597=2,"Saat ini tidak menerima pendaftaran siswa internasional baru",IF(M597=1,"Harga perlu dikonfirmasi ke sekolah"&amp;IF(""="","","; "&amp;""),"")))</f>
        <v/>
      </c>
      <c r="J597" s="0" t="s">
        <v>3930</v>
      </c>
      <c r="K597" s="0" t="n">
        <f aca="false">IF(M597=2,"",IF(ISNUMBER(SEARCH("rata-rata:",'Onshore - Adelaide'!M90)),VALUE(MID('Onshore - Adelaide'!M90,SEARCH("rata-rata:",'Onshore - Adelaide'!M90)+11,FIND(";",'Onshore - Adelaide'!M90&amp;";",SEARCH("rata-rata:",'Onshore - Adelaide'!M90))-SEARCH("rata-rata:",'Onshore - Adelaide'!M90)-11)),IF('Onshore - Adelaide'!D90="Semester",'Onshore - Adelaide'!E90*2,IF('Onshore - Adelaide'!D90="Trimester",'Onshore - Adelaide'!E90*3,IF('Onshore - Adelaide'!D90="Term",'Onshore - Adelaide'!E90*4,IF('Onshore - Adelaide'!D90="Unit",'Onshore - Adelaide'!E90*8,""))))))</f>
        <v>43400</v>
      </c>
      <c r="L597" s="0" t="n">
        <f aca="false">IF(AND(ISNUMBER('Onshore - Adelaide'!E90),ISNUMBER(K597),ISNUMBER('Onshore - Adelaide'!F90),ISNUMBER('Onshore - Adelaide'!G90),OR('Onshore - Adelaide'!F90&lt;&gt;0,ISNUMBER(SEARCH("Material 0 terverifikasi",'Onshore - Adelaide'!M90))),OR('Onshore - Adelaide'!G90&lt;&gt;0,ISNUMBER(SEARCH("Enrolment 0 terverifikasi",'Onshore - Adelaide'!M90)))),1,0)</f>
        <v>0</v>
      </c>
      <c r="M597" s="0" t="n">
        <f aca="false">IF(OR('Onshore - Adelaide'!E90="",ISNUMBER(SEARCH("BSB80120",'Onshore - Adelaide'!B90&amp;'Onshore - Adelaide'!M90)),ISNUMBER(SEARCH("Management (Learning)",'Onshore - Adelaide'!B90))),2,IF(ISNUMBER(SEARCH("CEK:",'Onshore - Adelaide'!M90)),1,0))</f>
        <v>0</v>
      </c>
    </row>
    <row r="598" customFormat="false" ht="15" hidden="false" customHeight="false" outlineLevel="0" collapsed="false">
      <c r="A598" s="61" t="s">
        <v>3931</v>
      </c>
      <c r="B598" s="62"/>
      <c r="C598" s="62"/>
      <c r="D598" s="62"/>
      <c r="E598" s="62"/>
      <c r="F598" s="62"/>
      <c r="G598" s="62"/>
      <c r="H598" s="62"/>
      <c r="I598" s="62"/>
    </row>
    <row r="599" customFormat="false" ht="28.35" hidden="false" customHeight="false" outlineLevel="0" collapsed="false">
      <c r="A599" s="63" t="s">
        <v>3659</v>
      </c>
      <c r="B599" s="64" t="s">
        <v>3923</v>
      </c>
      <c r="C599" s="63" t="s">
        <v>46</v>
      </c>
      <c r="D599" s="64" t="str">
        <f aca="false">TRIM(LEFT('Onshore - Adelaide'!A15,FIND(CHAR(10),'Onshore - Adelaide'!A15&amp;CHAR(10))-1))</f>
        <v>Adelaide University</v>
      </c>
      <c r="E599" s="63" t="str">
        <f aca="false">'Onshore - Adelaide'!C365&amp;""</f>
        <v>2 years</v>
      </c>
      <c r="F599" s="63" t="str">
        <f aca="false">IF('Onshore - Adelaide'!D365="","Belum tercatat",'Onshore - Adelaide'!D365)</f>
        <v>Term</v>
      </c>
      <c r="G599" s="65" t="n">
        <f aca="false">IF('Onshore - Adelaide'!E365="","-",'Onshore - Adelaide'!E365)</f>
        <v>10850</v>
      </c>
      <c r="H599" s="63" t="n">
        <f aca="false">IF(ISNUMBER(K599),COUNTIFS($J$6:$J$1916,J599,$K$6:$K$1916,"&lt;"&amp;K599)+1,"-")</f>
        <v>1</v>
      </c>
      <c r="I599" s="64" t="str">
        <f aca="false">IF('Onshore - Adelaide'!E365="","Harga belum tersedia - hubungi konsultan TEG",IF(M599=2,"Saat ini tidak menerima pendaftaran siswa internasional baru",IF(M599=1,"Harga perlu dikonfirmasi ke sekolah"&amp;IF(""="","","; "&amp;""),"")))</f>
        <v/>
      </c>
      <c r="J599" s="0" t="s">
        <v>3932</v>
      </c>
      <c r="K599" s="0" t="n">
        <f aca="false">IF(M599=2,"",IF(ISNUMBER(SEARCH("rata-rata:",'Onshore - Adelaide'!M365)),VALUE(MID('Onshore - Adelaide'!M365,SEARCH("rata-rata:",'Onshore - Adelaide'!M365)+11,FIND(";",'Onshore - Adelaide'!M365&amp;";",SEARCH("rata-rata:",'Onshore - Adelaide'!M365))-SEARCH("rata-rata:",'Onshore - Adelaide'!M365)-11)),IF('Onshore - Adelaide'!D365="Semester",'Onshore - Adelaide'!E365*2,IF('Onshore - Adelaide'!D365="Trimester",'Onshore - Adelaide'!E365*3,IF('Onshore - Adelaide'!D365="Term",'Onshore - Adelaide'!E365*4,IF('Onshore - Adelaide'!D365="Unit",'Onshore - Adelaide'!E365*8,""))))))</f>
        <v>43400</v>
      </c>
      <c r="L599" s="0" t="n">
        <f aca="false">IF(AND(ISNUMBER('Onshore - Adelaide'!E365),ISNUMBER(K599),ISNUMBER('Onshore - Adelaide'!F365),ISNUMBER('Onshore - Adelaide'!G365),OR('Onshore - Adelaide'!F365&lt;&gt;0,ISNUMBER(SEARCH("Material 0 terverifikasi",'Onshore - Adelaide'!M365))),OR('Onshore - Adelaide'!G365&lt;&gt;0,ISNUMBER(SEARCH("Enrolment 0 terverifikasi",'Onshore - Adelaide'!M365)))),1,0)</f>
        <v>0</v>
      </c>
      <c r="M599" s="0" t="n">
        <f aca="false">IF(OR('Onshore - Adelaide'!E365="",ISNUMBER(SEARCH("BSB80120",'Onshore - Adelaide'!B365&amp;'Onshore - Adelaide'!M365)),ISNUMBER(SEARCH("Management (Learning)",'Onshore - Adelaide'!B365))),2,IF(ISNUMBER(SEARCH("CEK:",'Onshore - Adelaide'!M365)),1,0))</f>
        <v>0</v>
      </c>
    </row>
    <row r="600" customFormat="false" ht="15" hidden="false" customHeight="false" outlineLevel="0" collapsed="false">
      <c r="A600" s="61" t="s">
        <v>3933</v>
      </c>
      <c r="B600" s="62"/>
      <c r="C600" s="62"/>
      <c r="D600" s="62"/>
      <c r="E600" s="62"/>
      <c r="F600" s="62"/>
      <c r="G600" s="62"/>
      <c r="H600" s="62"/>
      <c r="I600" s="62"/>
    </row>
    <row r="601" customFormat="false" ht="28.35" hidden="false" customHeight="false" outlineLevel="0" collapsed="false">
      <c r="A601" s="63" t="s">
        <v>3563</v>
      </c>
      <c r="B601" s="64" t="s">
        <v>3923</v>
      </c>
      <c r="C601" s="63" t="s">
        <v>41</v>
      </c>
      <c r="D601" s="64" t="str">
        <f aca="false">TRIM(LEFT('Onshore - Brisbane'!A206,FIND(CHAR(10),'Onshore - Brisbane'!A206&amp;CHAR(10))-1))</f>
        <v>Greenwich College</v>
      </c>
      <c r="E601" s="63" t="str">
        <f aca="false">'Onshore - Brisbane'!C220&amp;""</f>
        <v>2 years</v>
      </c>
      <c r="F601" s="63" t="str">
        <f aca="false">IF('Onshore - Brisbane'!D220="","Belum tercatat",'Onshore - Brisbane'!D220)</f>
        <v>Term</v>
      </c>
      <c r="G601" s="65" t="n">
        <f aca="false">IF('Onshore - Brisbane'!E220="","-",'Onshore - Brisbane'!E220)</f>
        <v>1400</v>
      </c>
      <c r="H601" s="63" t="n">
        <f aca="false">IF(ISNUMBER(K601),COUNTIFS($J$6:$J$1916,J601,$K$6:$K$1916,"&lt;"&amp;K601)+1,"-")</f>
        <v>1</v>
      </c>
      <c r="I601" s="64" t="str">
        <f aca="false">IF('Onshore - Brisbane'!E220="","Harga belum tersedia - hubungi konsultan TEG",IF(M601=2,"Saat ini tidak menerima pendaftaran siswa internasional baru",IF(M601=1,"Harga perlu dikonfirmasi ke sekolah"&amp;IF(""="","","; "&amp;""),"")))</f>
        <v/>
      </c>
      <c r="J601" s="0" t="s">
        <v>3934</v>
      </c>
      <c r="K601" s="0" t="n">
        <f aca="false">IF(M601=2,"",IF(ISNUMBER(SEARCH("rata-rata:",'Onshore - Brisbane'!M220)),VALUE(MID('Onshore - Brisbane'!M220,SEARCH("rata-rata:",'Onshore - Brisbane'!M220)+11,FIND(";",'Onshore - Brisbane'!M220&amp;";",SEARCH("rata-rata:",'Onshore - Brisbane'!M220))-SEARCH("rata-rata:",'Onshore - Brisbane'!M220)-11)),IF('Onshore - Brisbane'!D220="Semester",'Onshore - Brisbane'!E220*2,IF('Onshore - Brisbane'!D220="Trimester",'Onshore - Brisbane'!E220*3,IF('Onshore - Brisbane'!D220="Term",'Onshore - Brisbane'!E220*4,IF('Onshore - Brisbane'!D220="Unit",'Onshore - Brisbane'!E220*8,""))))))</f>
        <v>5600</v>
      </c>
      <c r="L601" s="0" t="n">
        <f aca="false">IF(AND(ISNUMBER('Onshore - Brisbane'!E220),ISNUMBER(K601),ISNUMBER('Onshore - Brisbane'!F220),ISNUMBER('Onshore - Brisbane'!G220),OR('Onshore - Brisbane'!F220&lt;&gt;0,ISNUMBER(SEARCH("Material 0 terverifikasi",'Onshore - Brisbane'!M220))),OR('Onshore - Brisbane'!G220&lt;&gt;0,ISNUMBER(SEARCH("Enrolment 0 terverifikasi",'Onshore - Brisbane'!M220)))),1,0)</f>
        <v>1</v>
      </c>
      <c r="M601" s="0" t="n">
        <f aca="false">IF(OR('Onshore - Brisbane'!E220="",ISNUMBER(SEARCH("BSB80120",'Onshore - Brisbane'!B220&amp;'Onshore - Brisbane'!M220)),ISNUMBER(SEARCH("Management (Learning)",'Onshore - Brisbane'!B220))),2,IF(ISNUMBER(SEARCH("CEK:",'Onshore - Brisbane'!M220)),1,0))</f>
        <v>0</v>
      </c>
    </row>
    <row r="602" customFormat="false" ht="28.35" hidden="false" customHeight="false" outlineLevel="0" collapsed="false">
      <c r="A602" s="63" t="s">
        <v>3563</v>
      </c>
      <c r="B602" s="64" t="s">
        <v>3923</v>
      </c>
      <c r="C602" s="63" t="s">
        <v>41</v>
      </c>
      <c r="D602" s="64" t="str">
        <f aca="false">TRIM(LEFT('Onshore - Brisbane'!A22,FIND(CHAR(10),'Onshore - Brisbane'!A22&amp;CHAR(10))-1))</f>
        <v>Albright Institute of Business and Language (AIBL)</v>
      </c>
      <c r="E602" s="63" t="str">
        <f aca="false">'Onshore - Brisbane'!C23&amp;""</f>
        <v>2 years</v>
      </c>
      <c r="F602" s="63" t="str">
        <f aca="false">IF('Onshore - Brisbane'!D23="","Belum tercatat",'Onshore - Brisbane'!D23)</f>
        <v>Term</v>
      </c>
      <c r="G602" s="65" t="n">
        <f aca="false">IF('Onshore - Brisbane'!E23="","-",'Onshore - Brisbane'!E23)</f>
        <v>1625</v>
      </c>
      <c r="H602" s="63" t="n">
        <f aca="false">IF(ISNUMBER(K602),COUNTIFS($J$6:$J$1916,J602,$K$6:$K$1916,"&lt;"&amp;K602)+1,"-")</f>
        <v>2</v>
      </c>
      <c r="I602" s="64" t="str">
        <f aca="false">IF('Onshore - Brisbane'!E23="","Harga belum tersedia - hubungi konsultan TEG",IF(M602=2,"Saat ini tidak menerima pendaftaran siswa internasional baru",IF(M602=1,"Harga perlu dikonfirmasi ke sekolah"&amp;IF(""="","","; "&amp;""),"")))</f>
        <v/>
      </c>
      <c r="J602" s="0" t="s">
        <v>3934</v>
      </c>
      <c r="K602" s="0" t="n">
        <f aca="false">IF(M602=2,"",IF(ISNUMBER(SEARCH("rata-rata:",'Onshore - Brisbane'!M23)),VALUE(MID('Onshore - Brisbane'!M23,SEARCH("rata-rata:",'Onshore - Brisbane'!M23)+11,FIND(";",'Onshore - Brisbane'!M23&amp;";",SEARCH("rata-rata:",'Onshore - Brisbane'!M23))-SEARCH("rata-rata:",'Onshore - Brisbane'!M23)-11)),IF('Onshore - Brisbane'!D23="Semester",'Onshore - Brisbane'!E23*2,IF('Onshore - Brisbane'!D23="Trimester",'Onshore - Brisbane'!E23*3,IF('Onshore - Brisbane'!D23="Term",'Onshore - Brisbane'!E23*4,IF('Onshore - Brisbane'!D23="Unit",'Onshore - Brisbane'!E23*8,""))))))</f>
        <v>6500</v>
      </c>
      <c r="L602" s="0" t="n">
        <f aca="false">IF(AND(ISNUMBER('Onshore - Brisbane'!E23),ISNUMBER(K602),ISNUMBER('Onshore - Brisbane'!F23),ISNUMBER('Onshore - Brisbane'!G23),OR('Onshore - Brisbane'!F23&lt;&gt;0,ISNUMBER(SEARCH("Material 0 terverifikasi",'Onshore - Brisbane'!M23))),OR('Onshore - Brisbane'!G23&lt;&gt;0,ISNUMBER(SEARCH("Enrolment 0 terverifikasi",'Onshore - Brisbane'!M23)))),1,0)</f>
        <v>1</v>
      </c>
      <c r="M602" s="0" t="n">
        <f aca="false">IF(OR('Onshore - Brisbane'!E23="",ISNUMBER(SEARCH("BSB80120",'Onshore - Brisbane'!B23&amp;'Onshore - Brisbane'!M23)),ISNUMBER(SEARCH("Management (Learning)",'Onshore - Brisbane'!B23))),2,IF(ISNUMBER(SEARCH("CEK:",'Onshore - Brisbane'!M23)),1,0))</f>
        <v>0</v>
      </c>
    </row>
    <row r="603" customFormat="false" ht="28.35" hidden="false" customHeight="false" outlineLevel="0" collapsed="false">
      <c r="A603" s="63" t="s">
        <v>3563</v>
      </c>
      <c r="B603" s="64" t="s">
        <v>3923</v>
      </c>
      <c r="C603" s="63" t="s">
        <v>41</v>
      </c>
      <c r="D603" s="64" t="str">
        <f aca="false">TRIM(LEFT('Onshore - Brisbane'!A161,FIND(CHAR(10),'Onshore - Brisbane'!A161&amp;CHAR(10))-1))</f>
        <v>Australian Skills Management Institute (ASMI)</v>
      </c>
      <c r="E603" s="63" t="str">
        <f aca="false">'Onshore - Brisbane'!C166&amp;""</f>
        <v>1,7 years</v>
      </c>
      <c r="F603" s="63" t="str">
        <f aca="false">IF('Onshore - Brisbane'!D166="","Belum tercatat",'Onshore - Brisbane'!D166)</f>
        <v>Term</v>
      </c>
      <c r="G603" s="65" t="n">
        <f aca="false">IF('Onshore - Brisbane'!E166="","-",'Onshore - Brisbane'!E166)</f>
        <v>1800</v>
      </c>
      <c r="H603" s="63" t="n">
        <f aca="false">IF(ISNUMBER(K603),COUNTIFS($J$6:$J$1916,J603,$K$6:$K$1916,"&lt;"&amp;K603)+1,"-")</f>
        <v>3</v>
      </c>
      <c r="I603" s="64" t="str">
        <f aca="false">IF('Onshore - Brisbane'!E166="","Harga belum tersedia - hubungi konsultan TEG",IF(M603=2,"Saat ini tidak menerima pendaftaran siswa internasional baru",IF(M603=1,"Harga perlu dikonfirmasi ke sekolah"&amp;IF(""="","","; "&amp;""),"")))</f>
        <v/>
      </c>
      <c r="J603" s="0" t="s">
        <v>3934</v>
      </c>
      <c r="K603" s="0" t="n">
        <f aca="false">IF(M603=2,"",IF(ISNUMBER(SEARCH("rata-rata:",'Onshore - Brisbane'!M166)),VALUE(MID('Onshore - Brisbane'!M166,SEARCH("rata-rata:",'Onshore - Brisbane'!M166)+11,FIND(";",'Onshore - Brisbane'!M166&amp;";",SEARCH("rata-rata:",'Onshore - Brisbane'!M166))-SEARCH("rata-rata:",'Onshore - Brisbane'!M166)-11)),IF('Onshore - Brisbane'!D166="Semester",'Onshore - Brisbane'!E166*2,IF('Onshore - Brisbane'!D166="Trimester",'Onshore - Brisbane'!E166*3,IF('Onshore - Brisbane'!D166="Term",'Onshore - Brisbane'!E166*4,IF('Onshore - Brisbane'!D166="Unit",'Onshore - Brisbane'!E166*8,""))))))</f>
        <v>7200</v>
      </c>
      <c r="L603" s="0" t="n">
        <f aca="false">IF(AND(ISNUMBER('Onshore - Brisbane'!E166),ISNUMBER(K603),ISNUMBER('Onshore - Brisbane'!F166),ISNUMBER('Onshore - Brisbane'!G166),OR('Onshore - Brisbane'!F166&lt;&gt;0,ISNUMBER(SEARCH("Material 0 terverifikasi",'Onshore - Brisbane'!M166))),OR('Onshore - Brisbane'!G166&lt;&gt;0,ISNUMBER(SEARCH("Enrolment 0 terverifikasi",'Onshore - Brisbane'!M166)))),1,0)</f>
        <v>1</v>
      </c>
      <c r="M603" s="0" t="n">
        <f aca="false">IF(OR('Onshore - Brisbane'!E166="",ISNUMBER(SEARCH("BSB80120",'Onshore - Brisbane'!B166&amp;'Onshore - Brisbane'!M166)),ISNUMBER(SEARCH("Management (Learning)",'Onshore - Brisbane'!B166))),2,IF(ISNUMBER(SEARCH("CEK:",'Onshore - Brisbane'!M166)),1,0))</f>
        <v>0</v>
      </c>
    </row>
    <row r="604" customFormat="false" ht="28.35" hidden="false" customHeight="false" outlineLevel="0" collapsed="false">
      <c r="A604" s="63" t="s">
        <v>3563</v>
      </c>
      <c r="B604" s="64" t="s">
        <v>3923</v>
      </c>
      <c r="C604" s="63" t="s">
        <v>41</v>
      </c>
      <c r="D604" s="64" t="str">
        <f aca="false">TRIM(LEFT('Onshore - Brisbane'!A290,FIND(CHAR(10),'Onshore - Brisbane'!A290&amp;CHAR(10))-1))</f>
        <v>Shafston International College</v>
      </c>
      <c r="E604" s="63" t="str">
        <f aca="false">'Onshore - Brisbane'!C291&amp;""</f>
        <v>2 years</v>
      </c>
      <c r="F604" s="63" t="str">
        <f aca="false">IF('Onshore - Brisbane'!D291="","Belum tercatat",'Onshore - Brisbane'!D291)</f>
        <v>Term</v>
      </c>
      <c r="G604" s="65" t="n">
        <f aca="false">IF('Onshore - Brisbane'!E291="","-",'Onshore - Brisbane'!E291)</f>
        <v>1800</v>
      </c>
      <c r="H604" s="63" t="n">
        <f aca="false">IF(ISNUMBER(K604),COUNTIFS($J$6:$J$1916,J604,$K$6:$K$1916,"&lt;"&amp;K604)+1,"-")</f>
        <v>3</v>
      </c>
      <c r="I604" s="64" t="str">
        <f aca="false">IF('Onshore - Brisbane'!E291="","Harga belum tersedia - hubungi konsultan TEG",IF(M604=2,"Saat ini tidak menerima pendaftaran siswa internasional baru",IF(M604=1,"Harga perlu dikonfirmasi ke sekolah"&amp;IF(""="","","; "&amp;""),"")))</f>
        <v/>
      </c>
      <c r="J604" s="0" t="s">
        <v>3934</v>
      </c>
      <c r="K604" s="0" t="n">
        <f aca="false">IF(M604=2,"",IF(ISNUMBER(SEARCH("rata-rata:",'Onshore - Brisbane'!M291)),VALUE(MID('Onshore - Brisbane'!M291,SEARCH("rata-rata:",'Onshore - Brisbane'!M291)+11,FIND(";",'Onshore - Brisbane'!M291&amp;";",SEARCH("rata-rata:",'Onshore - Brisbane'!M291))-SEARCH("rata-rata:",'Onshore - Brisbane'!M291)-11)),IF('Onshore - Brisbane'!D291="Semester",'Onshore - Brisbane'!E291*2,IF('Onshore - Brisbane'!D291="Trimester",'Onshore - Brisbane'!E291*3,IF('Onshore - Brisbane'!D291="Term",'Onshore - Brisbane'!E291*4,IF('Onshore - Brisbane'!D291="Unit",'Onshore - Brisbane'!E291*8,""))))))</f>
        <v>7200</v>
      </c>
      <c r="L604" s="0" t="n">
        <f aca="false">IF(AND(ISNUMBER('Onshore - Brisbane'!E291),ISNUMBER(K604),ISNUMBER('Onshore - Brisbane'!F291),ISNUMBER('Onshore - Brisbane'!G291),OR('Onshore - Brisbane'!F291&lt;&gt;0,ISNUMBER(SEARCH("Material 0 terverifikasi",'Onshore - Brisbane'!M291))),OR('Onshore - Brisbane'!G291&lt;&gt;0,ISNUMBER(SEARCH("Enrolment 0 terverifikasi",'Onshore - Brisbane'!M291)))),1,0)</f>
        <v>0</v>
      </c>
      <c r="M604" s="0" t="n">
        <f aca="false">IF(OR('Onshore - Brisbane'!E291="",ISNUMBER(SEARCH("BSB80120",'Onshore - Brisbane'!B291&amp;'Onshore - Brisbane'!M291)),ISNUMBER(SEARCH("Management (Learning)",'Onshore - Brisbane'!B291))),2,IF(ISNUMBER(SEARCH("CEK:",'Onshore - Brisbane'!M291)),1,0))</f>
        <v>0</v>
      </c>
    </row>
    <row r="605" customFormat="false" ht="28.35" hidden="false" customHeight="false" outlineLevel="0" collapsed="false">
      <c r="A605" s="63" t="s">
        <v>3563</v>
      </c>
      <c r="B605" s="64" t="s">
        <v>3923</v>
      </c>
      <c r="C605" s="63" t="s">
        <v>41</v>
      </c>
      <c r="D605" s="64" t="str">
        <f aca="false">TRIM(LEFT('Onshore - Brisbane'!A244,FIND(CHAR(10),'Onshore - Brisbane'!A244&amp;CHAR(10))-1))</f>
        <v>Imperial Institute of Sydney (IIS)</v>
      </c>
      <c r="E605" s="63" t="str">
        <f aca="false">'Onshore - Brisbane'!C246&amp;""</f>
        <v>2 years</v>
      </c>
      <c r="F605" s="63" t="str">
        <f aca="false">IF('Onshore - Brisbane'!D246="","Belum tercatat",'Onshore - Brisbane'!D246)</f>
        <v>Term</v>
      </c>
      <c r="G605" s="65" t="n">
        <f aca="false">IF('Onshore - Brisbane'!E246="","-",'Onshore - Brisbane'!E246)</f>
        <v>2100</v>
      </c>
      <c r="H605" s="63" t="n">
        <f aca="false">IF(ISNUMBER(K605),COUNTIFS($J$6:$J$1916,J605,$K$6:$K$1916,"&lt;"&amp;K605)+1,"-")</f>
        <v>5</v>
      </c>
      <c r="I605" s="64" t="str">
        <f aca="false">IF('Onshore - Brisbane'!E246="","Harga belum tersedia - hubungi konsultan TEG",IF(M605=2,"Saat ini tidak menerima pendaftaran siswa internasional baru",IF(M605=1,"Program perlu dikonfirmasi ketersediaannya"&amp;IF(""="","","; "&amp;""),"")))</f>
        <v>Program perlu dikonfirmasi ketersediaannya</v>
      </c>
      <c r="J605" s="0" t="s">
        <v>3934</v>
      </c>
      <c r="K605" s="0" t="n">
        <f aca="false">IF(M605=2,"",IF(ISNUMBER(SEARCH("rata-rata:",'Onshore - Brisbane'!M246)),VALUE(MID('Onshore - Brisbane'!M246,SEARCH("rata-rata:",'Onshore - Brisbane'!M246)+11,FIND(";",'Onshore - Brisbane'!M246&amp;";",SEARCH("rata-rata:",'Onshore - Brisbane'!M246))-SEARCH("rata-rata:",'Onshore - Brisbane'!M246)-11)),IF('Onshore - Brisbane'!D246="Semester",'Onshore - Brisbane'!E246*2,IF('Onshore - Brisbane'!D246="Trimester",'Onshore - Brisbane'!E246*3,IF('Onshore - Brisbane'!D246="Term",'Onshore - Brisbane'!E246*4,IF('Onshore - Brisbane'!D246="Unit",'Onshore - Brisbane'!E246*8,""))))))</f>
        <v>8400</v>
      </c>
      <c r="L605" s="0" t="n">
        <f aca="false">IF(AND(ISNUMBER('Onshore - Brisbane'!E246),ISNUMBER(K605),ISNUMBER('Onshore - Brisbane'!F246),ISNUMBER('Onshore - Brisbane'!G246),OR('Onshore - Brisbane'!F246&lt;&gt;0,ISNUMBER(SEARCH("Material 0 terverifikasi",'Onshore - Brisbane'!M246))),OR('Onshore - Brisbane'!G246&lt;&gt;0,ISNUMBER(SEARCH("Enrolment 0 terverifikasi",'Onshore - Brisbane'!M246)))),1,0)</f>
        <v>0</v>
      </c>
      <c r="M605" s="0" t="n">
        <f aca="false">IF(OR('Onshore - Brisbane'!E246="",ISNUMBER(SEARCH("BSB80120",'Onshore - Brisbane'!B246&amp;'Onshore - Brisbane'!M246)),ISNUMBER(SEARCH("Management (Learning)",'Onshore - Brisbane'!B246))),2,IF(ISNUMBER(SEARCH("CEK:",'Onshore - Brisbane'!M246)),1,0))</f>
        <v>1</v>
      </c>
    </row>
    <row r="606" customFormat="false" ht="28.35" hidden="false" customHeight="false" outlineLevel="0" collapsed="false">
      <c r="A606" s="63" t="s">
        <v>3563</v>
      </c>
      <c r="B606" s="64" t="s">
        <v>3923</v>
      </c>
      <c r="C606" s="63" t="s">
        <v>41</v>
      </c>
      <c r="D606" s="64" t="str">
        <f aca="false">TRIM(LEFT('Onshore - Brisbane'!A201,FIND(CHAR(10),'Onshore - Brisbane'!A201&amp;CHAR(10))-1))</f>
        <v>Federation Academy</v>
      </c>
      <c r="E606" s="63" t="str">
        <f aca="false">'Onshore - Brisbane'!C202&amp;""</f>
        <v>2,5 years</v>
      </c>
      <c r="F606" s="63" t="str">
        <f aca="false">IF('Onshore - Brisbane'!D202="","Belum tercatat",'Onshore - Brisbane'!D202)</f>
        <v>Term</v>
      </c>
      <c r="G606" s="65" t="n">
        <f aca="false">IF('Onshore - Brisbane'!E202="","-",'Onshore - Brisbane'!E202)</f>
        <v>2430</v>
      </c>
      <c r="H606" s="63" t="n">
        <f aca="false">IF(ISNUMBER(K606),COUNTIFS($J$6:$J$1916,J606,$K$6:$K$1916,"&lt;"&amp;K606)+1,"-")</f>
        <v>6</v>
      </c>
      <c r="I606" s="64" t="str">
        <f aca="false">IF('Onshore - Brisbane'!E202="","Harga belum tersedia - hubungi konsultan TEG",IF(M606=2,"Saat ini tidak menerima pendaftaran siswa internasional baru",IF(M606=1,"Harga perlu dikonfirmasi ke sekolah"&amp;IF(""="","","; "&amp;""),"")))</f>
        <v/>
      </c>
      <c r="J606" s="0" t="s">
        <v>3934</v>
      </c>
      <c r="K606" s="0" t="n">
        <f aca="false">IF(M606=2,"",IF(ISNUMBER(SEARCH("rata-rata:",'Onshore - Brisbane'!M202)),VALUE(MID('Onshore - Brisbane'!M202,SEARCH("rata-rata:",'Onshore - Brisbane'!M202)+11,FIND(";",'Onshore - Brisbane'!M202&amp;";",SEARCH("rata-rata:",'Onshore - Brisbane'!M202))-SEARCH("rata-rata:",'Onshore - Brisbane'!M202)-11)),IF('Onshore - Brisbane'!D202="Semester",'Onshore - Brisbane'!E202*2,IF('Onshore - Brisbane'!D202="Trimester",'Onshore - Brisbane'!E202*3,IF('Onshore - Brisbane'!D202="Term",'Onshore - Brisbane'!E202*4,IF('Onshore - Brisbane'!D202="Unit",'Onshore - Brisbane'!E202*8,""))))))</f>
        <v>9720</v>
      </c>
      <c r="L606" s="0" t="n">
        <f aca="false">IF(AND(ISNUMBER('Onshore - Brisbane'!E202),ISNUMBER(K606),ISNUMBER('Onshore - Brisbane'!F202),ISNUMBER('Onshore - Brisbane'!G202),OR('Onshore - Brisbane'!F202&lt;&gt;0,ISNUMBER(SEARCH("Material 0 terverifikasi",'Onshore - Brisbane'!M202))),OR('Onshore - Brisbane'!G202&lt;&gt;0,ISNUMBER(SEARCH("Enrolment 0 terverifikasi",'Onshore - Brisbane'!M202)))),1,0)</f>
        <v>1</v>
      </c>
      <c r="M606" s="0" t="n">
        <f aca="false">IF(OR('Onshore - Brisbane'!E202="",ISNUMBER(SEARCH("BSB80120",'Onshore - Brisbane'!B202&amp;'Onshore - Brisbane'!M202)),ISNUMBER(SEARCH("Management (Learning)",'Onshore - Brisbane'!B202))),2,IF(ISNUMBER(SEARCH("CEK:",'Onshore - Brisbane'!M202)),1,0))</f>
        <v>0</v>
      </c>
    </row>
    <row r="607" customFormat="false" ht="28.35" hidden="false" customHeight="false" outlineLevel="0" collapsed="false">
      <c r="A607" s="63" t="s">
        <v>3563</v>
      </c>
      <c r="B607" s="64" t="s">
        <v>3923</v>
      </c>
      <c r="C607" s="63" t="s">
        <v>41</v>
      </c>
      <c r="D607" s="64" t="str">
        <f aca="false">TRIM(LEFT('Onshore - Brisbane'!A26,FIND(CHAR(10),'Onshore - Brisbane'!A26&amp;CHAR(10))-1))</f>
        <v>American College</v>
      </c>
      <c r="E607" s="63" t="str">
        <f aca="false">'Onshore - Brisbane'!C32&amp;""</f>
        <v>3 years</v>
      </c>
      <c r="F607" s="63" t="str">
        <f aca="false">IF('Onshore - Brisbane'!D32="","Belum tercatat",'Onshore - Brisbane'!D32)</f>
        <v>Term</v>
      </c>
      <c r="G607" s="65" t="n">
        <f aca="false">IF('Onshore - Brisbane'!E32="","-",'Onshore - Brisbane'!E32)</f>
        <v>2500</v>
      </c>
      <c r="H607" s="63" t="n">
        <f aca="false">IF(ISNUMBER(K607),COUNTIFS($J$6:$J$1916,J607,$K$6:$K$1916,"&lt;"&amp;K607)+1,"-")</f>
        <v>7</v>
      </c>
      <c r="I607" s="64" t="str">
        <f aca="false">IF('Onshore - Brisbane'!E32="","Harga belum tersedia - hubungi konsultan TEG",IF(M607=2,"Saat ini tidak menerima pendaftaran siswa internasional baru",IF(M607=1,"Harga perlu dikonfirmasi ke sekolah"&amp;IF(""="","","; "&amp;""),"")))</f>
        <v/>
      </c>
      <c r="J607" s="0" t="s">
        <v>3934</v>
      </c>
      <c r="K607" s="0" t="n">
        <f aca="false">IF(M607=2,"",IF(ISNUMBER(SEARCH("rata-rata:",'Onshore - Brisbane'!M32)),VALUE(MID('Onshore - Brisbane'!M32,SEARCH("rata-rata:",'Onshore - Brisbane'!M32)+11,FIND(";",'Onshore - Brisbane'!M32&amp;";",SEARCH("rata-rata:",'Onshore - Brisbane'!M32))-SEARCH("rata-rata:",'Onshore - Brisbane'!M32)-11)),IF('Onshore - Brisbane'!D32="Semester",'Onshore - Brisbane'!E32*2,IF('Onshore - Brisbane'!D32="Trimester",'Onshore - Brisbane'!E32*3,IF('Onshore - Brisbane'!D32="Term",'Onshore - Brisbane'!E32*4,IF('Onshore - Brisbane'!D32="Unit",'Onshore - Brisbane'!E32*8,""))))))</f>
        <v>10000</v>
      </c>
      <c r="L607" s="0" t="n">
        <f aca="false">IF(AND(ISNUMBER('Onshore - Brisbane'!E32),ISNUMBER(K607),ISNUMBER('Onshore - Brisbane'!F32),ISNUMBER('Onshore - Brisbane'!G32),OR('Onshore - Brisbane'!F32&lt;&gt;0,ISNUMBER(SEARCH("Material 0 terverifikasi",'Onshore - Brisbane'!M32))),OR('Onshore - Brisbane'!G32&lt;&gt;0,ISNUMBER(SEARCH("Enrolment 0 terverifikasi",'Onshore - Brisbane'!M32)))),1,0)</f>
        <v>1</v>
      </c>
      <c r="M607" s="0" t="n">
        <f aca="false">IF(OR('Onshore - Brisbane'!E32="",ISNUMBER(SEARCH("BSB80120",'Onshore - Brisbane'!B32&amp;'Onshore - Brisbane'!M32)),ISNUMBER(SEARCH("Management (Learning)",'Onshore - Brisbane'!B32))),2,IF(ISNUMBER(SEARCH("CEK:",'Onshore - Brisbane'!M32)),1,0))</f>
        <v>0</v>
      </c>
    </row>
    <row r="608" customFormat="false" ht="28.35" hidden="false" customHeight="false" outlineLevel="0" collapsed="false">
      <c r="A608" s="63" t="s">
        <v>3563</v>
      </c>
      <c r="B608" s="64" t="s">
        <v>3923</v>
      </c>
      <c r="C608" s="63" t="s">
        <v>41</v>
      </c>
      <c r="D608" s="64" t="str">
        <f aca="false">TRIM(LEFT('Onshore - Brisbane'!A53,FIND(CHAR(10),'Onshore - Brisbane'!A53&amp;CHAR(10))-1))</f>
        <v>Australian Catholic University (ACU)</v>
      </c>
      <c r="E608" s="63" t="str">
        <f aca="false">'Onshore - Brisbane'!C155&amp;""</f>
        <v>1 year</v>
      </c>
      <c r="F608" s="63" t="str">
        <f aca="false">IF('Onshore - Brisbane'!D155="","Belum tercatat",'Onshore - Brisbane'!D155)</f>
        <v>Term</v>
      </c>
      <c r="G608" s="65" t="n">
        <f aca="false">IF('Onshore - Brisbane'!E155="","-",'Onshore - Brisbane'!E155)</f>
        <v>8906</v>
      </c>
      <c r="H608" s="63" t="n">
        <f aca="false">IF(ISNUMBER(K608),COUNTIFS($J$6:$J$1916,J608,$K$6:$K$1916,"&lt;"&amp;K608)+1,"-")</f>
        <v>8</v>
      </c>
      <c r="I608" s="64" t="str">
        <f aca="false">IF('Onshore - Brisbane'!E155="","Harga belum tersedia - hubungi konsultan TEG",IF(M608=2,"Saat ini tidak menerima pendaftaran siswa internasional baru",IF(M608=1,"Harga perlu dikonfirmasi ke sekolah"&amp;IF(""="","","; "&amp;""),"")))</f>
        <v/>
      </c>
      <c r="J608" s="0" t="s">
        <v>3934</v>
      </c>
      <c r="K608" s="0" t="n">
        <f aca="false">IF(M608=2,"",IF(ISNUMBER(SEARCH("rata-rata:",'Onshore - Brisbane'!M155)),VALUE(MID('Onshore - Brisbane'!M155,SEARCH("rata-rata:",'Onshore - Brisbane'!M155)+11,FIND(";",'Onshore - Brisbane'!M155&amp;";",SEARCH("rata-rata:",'Onshore - Brisbane'!M155))-SEARCH("rata-rata:",'Onshore - Brisbane'!M155)-11)),IF('Onshore - Brisbane'!D155="Semester",'Onshore - Brisbane'!E155*2,IF('Onshore - Brisbane'!D155="Trimester",'Onshore - Brisbane'!E155*3,IF('Onshore - Brisbane'!D155="Term",'Onshore - Brisbane'!E155*4,IF('Onshore - Brisbane'!D155="Unit",'Onshore - Brisbane'!E155*8,""))))))</f>
        <v>35624</v>
      </c>
      <c r="L608" s="0" t="n">
        <f aca="false">IF(AND(ISNUMBER('Onshore - Brisbane'!E155),ISNUMBER(K608),ISNUMBER('Onshore - Brisbane'!F155),ISNUMBER('Onshore - Brisbane'!G155),OR('Onshore - Brisbane'!F155&lt;&gt;0,ISNUMBER(SEARCH("Material 0 terverifikasi",'Onshore - Brisbane'!M155))),OR('Onshore - Brisbane'!G155&lt;&gt;0,ISNUMBER(SEARCH("Enrolment 0 terverifikasi",'Onshore - Brisbane'!M155)))),1,0)</f>
        <v>0</v>
      </c>
      <c r="M608" s="0" t="n">
        <f aca="false">IF(OR('Onshore - Brisbane'!E155="",ISNUMBER(SEARCH("BSB80120",'Onshore - Brisbane'!B155&amp;'Onshore - Brisbane'!M155)),ISNUMBER(SEARCH("Management (Learning)",'Onshore - Brisbane'!B155))),2,IF(ISNUMBER(SEARCH("CEK:",'Onshore - Brisbane'!M155)),1,0))</f>
        <v>0</v>
      </c>
    </row>
    <row r="609" customFormat="false" ht="15" hidden="false" customHeight="false" outlineLevel="0" collapsed="false">
      <c r="A609" s="61" t="s">
        <v>3935</v>
      </c>
      <c r="B609" s="62"/>
      <c r="C609" s="62"/>
      <c r="D609" s="62"/>
      <c r="E609" s="62"/>
      <c r="F609" s="62"/>
      <c r="G609" s="62"/>
      <c r="H609" s="62"/>
      <c r="I609" s="62"/>
    </row>
    <row r="610" customFormat="false" ht="28.35" hidden="false" customHeight="false" outlineLevel="0" collapsed="false">
      <c r="A610" s="63" t="s">
        <v>3563</v>
      </c>
      <c r="B610" s="64" t="s">
        <v>3923</v>
      </c>
      <c r="C610" s="63" t="s">
        <v>43</v>
      </c>
      <c r="D610" s="64" t="str">
        <f aca="false">TRIM(LEFT('Onshore - Brisbane'!A307,FIND(CHAR(10),'Onshore - Brisbane'!A307&amp;CHAR(10))-1))</f>
        <v>Torrens University Australia</v>
      </c>
      <c r="E610" s="63" t="str">
        <f aca="false">'Onshore - Brisbane'!C369&amp;""</f>
        <v>3 years</v>
      </c>
      <c r="F610" s="63" t="str">
        <f aca="false">IF('Onshore - Brisbane'!D369="","Belum tercatat",'Onshore - Brisbane'!D369)</f>
        <v>Term</v>
      </c>
      <c r="G610" s="65" t="n">
        <f aca="false">IF('Onshore - Brisbane'!E369="","-",'Onshore - Brisbane'!E369)</f>
        <v>7333</v>
      </c>
      <c r="H610" s="63" t="n">
        <f aca="false">IF(ISNUMBER(K610),COUNTIFS($J$6:$J$1916,J610,$K$6:$K$1916,"&lt;"&amp;K610)+1,"-")</f>
        <v>1</v>
      </c>
      <c r="I610" s="64" t="str">
        <f aca="false">IF('Onshore - Brisbane'!E369="","Harga belum tersedia - hubungi konsultan TEG",IF(M610=2,"Saat ini tidak menerima pendaftaran siswa internasional baru",IF(M610=1,"Program perlu dikonfirmasi ketersediaannya"&amp;IF(""="","","; "&amp;""),"")))</f>
        <v>Program perlu dikonfirmasi ketersediaannya</v>
      </c>
      <c r="J610" s="0" t="s">
        <v>3936</v>
      </c>
      <c r="K610" s="0" t="n">
        <f aca="false">IF(M610=2,"",IF(ISNUMBER(SEARCH("rata-rata:",'Onshore - Brisbane'!M369)),VALUE(MID('Onshore - Brisbane'!M369,SEARCH("rata-rata:",'Onshore - Brisbane'!M369)+11,FIND(";",'Onshore - Brisbane'!M369&amp;";",SEARCH("rata-rata:",'Onshore - Brisbane'!M369))-SEARCH("rata-rata:",'Onshore - Brisbane'!M369)-11)),IF('Onshore - Brisbane'!D369="Semester",'Onshore - Brisbane'!E369*2,IF('Onshore - Brisbane'!D369="Trimester",'Onshore - Brisbane'!E369*3,IF('Onshore - Brisbane'!D369="Term",'Onshore - Brisbane'!E369*4,IF('Onshore - Brisbane'!D369="Unit",'Onshore - Brisbane'!E369*8,""))))))</f>
        <v>29332</v>
      </c>
      <c r="L610" s="0" t="n">
        <f aca="false">IF(AND(ISNUMBER('Onshore - Brisbane'!E369),ISNUMBER(K610),ISNUMBER('Onshore - Brisbane'!F369),ISNUMBER('Onshore - Brisbane'!G369),OR('Onshore - Brisbane'!F369&lt;&gt;0,ISNUMBER(SEARCH("Material 0 terverifikasi",'Onshore - Brisbane'!M369))),OR('Onshore - Brisbane'!G369&lt;&gt;0,ISNUMBER(SEARCH("Enrolment 0 terverifikasi",'Onshore - Brisbane'!M369)))),1,0)</f>
        <v>0</v>
      </c>
      <c r="M610" s="0" t="n">
        <f aca="false">IF(OR('Onshore - Brisbane'!E369="",ISNUMBER(SEARCH("BSB80120",'Onshore - Brisbane'!B369&amp;'Onshore - Brisbane'!M369)),ISNUMBER(SEARCH("Management (Learning)",'Onshore - Brisbane'!B369))),2,IF(ISNUMBER(SEARCH("CEK:",'Onshore - Brisbane'!M369)),1,0))</f>
        <v>1</v>
      </c>
    </row>
    <row r="611" customFormat="false" ht="28.35" hidden="false" customHeight="false" outlineLevel="0" collapsed="false">
      <c r="A611" s="63" t="s">
        <v>3563</v>
      </c>
      <c r="B611" s="64" t="s">
        <v>3923</v>
      </c>
      <c r="C611" s="63" t="s">
        <v>43</v>
      </c>
      <c r="D611" s="64" t="str">
        <f aca="false">TRIM(LEFT('Onshore - Brisbane'!A53,FIND(CHAR(10),'Onshore - Brisbane'!A53&amp;CHAR(10))-1))</f>
        <v>Australian Catholic University (ACU)</v>
      </c>
      <c r="E611" s="63" t="str">
        <f aca="false">'Onshore - Brisbane'!C129&amp;""</f>
        <v>4 years</v>
      </c>
      <c r="F611" s="63" t="str">
        <f aca="false">IF('Onshore - Brisbane'!D129="","Belum tercatat",'Onshore - Brisbane'!D129)</f>
        <v>Term</v>
      </c>
      <c r="G611" s="65" t="n">
        <f aca="false">IF('Onshore - Brisbane'!E129="","-",'Onshore - Brisbane'!E129)</f>
        <v>8098</v>
      </c>
      <c r="H611" s="63" t="n">
        <f aca="false">IF(ISNUMBER(K611),COUNTIFS($J$6:$J$1916,J611,$K$6:$K$1916,"&lt;"&amp;K611)+1,"-")</f>
        <v>2</v>
      </c>
      <c r="I611" s="64" t="str">
        <f aca="false">IF('Onshore - Brisbane'!E129="","Harga belum tersedia - hubungi konsultan TEG",IF(M611=2,"Saat ini tidak menerima pendaftaran siswa internasional baru",IF(M611=1,"Harga perlu dikonfirmasi ke sekolah"&amp;IF(""="","","; "&amp;""),"")))</f>
        <v/>
      </c>
      <c r="J611" s="0" t="s">
        <v>3936</v>
      </c>
      <c r="K611" s="0" t="n">
        <f aca="false">IF(M611=2,"",IF(ISNUMBER(SEARCH("rata-rata:",'Onshore - Brisbane'!M129)),VALUE(MID('Onshore - Brisbane'!M129,SEARCH("rata-rata:",'Onshore - Brisbane'!M129)+11,FIND(";",'Onshore - Brisbane'!M129&amp;";",SEARCH("rata-rata:",'Onshore - Brisbane'!M129))-SEARCH("rata-rata:",'Onshore - Brisbane'!M129)-11)),IF('Onshore - Brisbane'!D129="Semester",'Onshore - Brisbane'!E129*2,IF('Onshore - Brisbane'!D129="Trimester",'Onshore - Brisbane'!E129*3,IF('Onshore - Brisbane'!D129="Term",'Onshore - Brisbane'!E129*4,IF('Onshore - Brisbane'!D129="Unit",'Onshore - Brisbane'!E129*8,""))))))</f>
        <v>32392</v>
      </c>
      <c r="L611" s="0" t="n">
        <f aca="false">IF(AND(ISNUMBER('Onshore - Brisbane'!E129),ISNUMBER(K611),ISNUMBER('Onshore - Brisbane'!F129),ISNUMBER('Onshore - Brisbane'!G129),OR('Onshore - Brisbane'!F129&lt;&gt;0,ISNUMBER(SEARCH("Material 0 terverifikasi",'Onshore - Brisbane'!M129))),OR('Onshore - Brisbane'!G129&lt;&gt;0,ISNUMBER(SEARCH("Enrolment 0 terverifikasi",'Onshore - Brisbane'!M129)))),1,0)</f>
        <v>0</v>
      </c>
      <c r="M611" s="0" t="n">
        <f aca="false">IF(OR('Onshore - Brisbane'!E129="",ISNUMBER(SEARCH("BSB80120",'Onshore - Brisbane'!B129&amp;'Onshore - Brisbane'!M129)),ISNUMBER(SEARCH("Management (Learning)",'Onshore - Brisbane'!B129))),2,IF(ISNUMBER(SEARCH("CEK:",'Onshore - Brisbane'!M129)),1,0))</f>
        <v>0</v>
      </c>
    </row>
    <row r="612" customFormat="false" ht="15" hidden="false" customHeight="false" outlineLevel="0" collapsed="false">
      <c r="A612" s="61" t="s">
        <v>3937</v>
      </c>
      <c r="B612" s="62"/>
      <c r="C612" s="62"/>
      <c r="D612" s="62"/>
      <c r="E612" s="62"/>
      <c r="F612" s="62"/>
      <c r="G612" s="62"/>
      <c r="H612" s="62"/>
      <c r="I612" s="62"/>
    </row>
    <row r="613" customFormat="false" ht="28.35" hidden="false" customHeight="false" outlineLevel="0" collapsed="false">
      <c r="A613" s="63" t="s">
        <v>3563</v>
      </c>
      <c r="B613" s="64" t="s">
        <v>3923</v>
      </c>
      <c r="C613" s="63" t="s">
        <v>46</v>
      </c>
      <c r="D613" s="64" t="str">
        <f aca="false">TRIM(LEFT('Onshore - Brisbane'!A53,FIND(CHAR(10),'Onshore - Brisbane'!A53&amp;CHAR(10))-1))</f>
        <v>Australian Catholic University (ACU)</v>
      </c>
      <c r="E613" s="63" t="str">
        <f aca="false">'Onshore - Brisbane'!C140&amp;""</f>
        <v>2 years</v>
      </c>
      <c r="F613" s="63" t="str">
        <f aca="false">IF('Onshore - Brisbane'!D140="","Belum tercatat",'Onshore - Brisbane'!D140)</f>
        <v>Term</v>
      </c>
      <c r="G613" s="65" t="n">
        <f aca="false">IF('Onshore - Brisbane'!E140="","-",'Onshore - Brisbane'!E140)</f>
        <v>8018</v>
      </c>
      <c r="H613" s="63" t="n">
        <f aca="false">IF(ISNUMBER(K613),COUNTIFS($J$6:$J$1916,J613,$K$6:$K$1916,"&lt;"&amp;K613)+1,"-")</f>
        <v>1</v>
      </c>
      <c r="I613" s="64" t="str">
        <f aca="false">IF('Onshore - Brisbane'!E140="","Harga belum tersedia - hubungi konsultan TEG",IF(M613=2,"Saat ini tidak menerima pendaftaran siswa internasional baru",IF(M613=1,"Harga perlu dikonfirmasi ke sekolah"&amp;IF(""="","","; "&amp;""),"")))</f>
        <v/>
      </c>
      <c r="J613" s="0" t="s">
        <v>3938</v>
      </c>
      <c r="K613" s="0" t="n">
        <f aca="false">IF(M613=2,"",IF(ISNUMBER(SEARCH("rata-rata:",'Onshore - Brisbane'!M140)),VALUE(MID('Onshore - Brisbane'!M140,SEARCH("rata-rata:",'Onshore - Brisbane'!M140)+11,FIND(";",'Onshore - Brisbane'!M140&amp;";",SEARCH("rata-rata:",'Onshore - Brisbane'!M140))-SEARCH("rata-rata:",'Onshore - Brisbane'!M140)-11)),IF('Onshore - Brisbane'!D140="Semester",'Onshore - Brisbane'!E140*2,IF('Onshore - Brisbane'!D140="Trimester",'Onshore - Brisbane'!E140*3,IF('Onshore - Brisbane'!D140="Term",'Onshore - Brisbane'!E140*4,IF('Onshore - Brisbane'!D140="Unit",'Onshore - Brisbane'!E140*8,""))))))</f>
        <v>32072</v>
      </c>
      <c r="L613" s="0" t="n">
        <f aca="false">IF(AND(ISNUMBER('Onshore - Brisbane'!E140),ISNUMBER(K613),ISNUMBER('Onshore - Brisbane'!F140),ISNUMBER('Onshore - Brisbane'!G140),OR('Onshore - Brisbane'!F140&lt;&gt;0,ISNUMBER(SEARCH("Material 0 terverifikasi",'Onshore - Brisbane'!M140))),OR('Onshore - Brisbane'!G140&lt;&gt;0,ISNUMBER(SEARCH("Enrolment 0 terverifikasi",'Onshore - Brisbane'!M140)))),1,0)</f>
        <v>0</v>
      </c>
      <c r="M613" s="0" t="n">
        <f aca="false">IF(OR('Onshore - Brisbane'!E140="",ISNUMBER(SEARCH("BSB80120",'Onshore - Brisbane'!B140&amp;'Onshore - Brisbane'!M140)),ISNUMBER(SEARCH("Management (Learning)",'Onshore - Brisbane'!B140))),2,IF(ISNUMBER(SEARCH("CEK:",'Onshore - Brisbane'!M140)),1,0))</f>
        <v>0</v>
      </c>
    </row>
    <row r="614" customFormat="false" ht="15" hidden="false" customHeight="false" outlineLevel="0" collapsed="false">
      <c r="A614" s="61" t="s">
        <v>3939</v>
      </c>
      <c r="B614" s="62"/>
      <c r="C614" s="62"/>
      <c r="D614" s="62"/>
      <c r="E614" s="62"/>
      <c r="F614" s="62"/>
      <c r="G614" s="62"/>
      <c r="H614" s="62"/>
      <c r="I614" s="62"/>
    </row>
    <row r="615" customFormat="false" ht="28.35" hidden="false" customHeight="false" outlineLevel="0" collapsed="false">
      <c r="A615" s="63" t="s">
        <v>3718</v>
      </c>
      <c r="B615" s="64" t="s">
        <v>3923</v>
      </c>
      <c r="C615" s="63" t="s">
        <v>41</v>
      </c>
      <c r="D615" s="64" t="str">
        <f aca="false">TRIM(LEFT('Onshore - Canberra'!A113,FIND(CHAR(10),'Onshore - Canberra'!A113&amp;CHAR(10))-1))</f>
        <v>Capital College</v>
      </c>
      <c r="E615" s="63" t="str">
        <f aca="false">'Onshore - Canberra'!C120&amp;""</f>
        <v>156 weeks</v>
      </c>
      <c r="F615" s="63" t="str">
        <f aca="false">IF('Onshore - Canberra'!D120="","Belum tercatat",'Onshore - Canberra'!D120)</f>
        <v>Term</v>
      </c>
      <c r="G615" s="65" t="n">
        <f aca="false">IF('Onshore - Canberra'!E120="","-",'Onshore - Canberra'!E120)</f>
        <v>1917</v>
      </c>
      <c r="H615" s="63" t="n">
        <f aca="false">IF(ISNUMBER(K615),COUNTIFS($J$6:$J$1916,J615,$K$6:$K$1916,"&lt;"&amp;K615)+1,"-")</f>
        <v>1</v>
      </c>
      <c r="I615" s="64" t="str">
        <f aca="false">IF('Onshore - Canberra'!E120="","Harga belum tersedia - hubungi konsultan TEG",IF(M615=2,"Saat ini tidak menerima pendaftaran siswa internasional baru",IF(M615=1,"Harga perlu dikonfirmasi ke sekolah"&amp;IF(""="","","; "&amp;""),"")))</f>
        <v>Harga perlu dikonfirmasi ke sekolah</v>
      </c>
      <c r="J615" s="0" t="s">
        <v>3940</v>
      </c>
      <c r="K615" s="0" t="n">
        <f aca="false">IF(M615=2,"",IF(ISNUMBER(SEARCH("rata-rata:",'Onshore - Canberra'!M120)),VALUE(MID('Onshore - Canberra'!M120,SEARCH("rata-rata:",'Onshore - Canberra'!M120)+11,FIND(";",'Onshore - Canberra'!M120&amp;";",SEARCH("rata-rata:",'Onshore - Canberra'!M120))-SEARCH("rata-rata:",'Onshore - Canberra'!M120)-11)),IF('Onshore - Canberra'!D120="Semester",'Onshore - Canberra'!E120*2,IF('Onshore - Canberra'!D120="Trimester",'Onshore - Canberra'!E120*3,IF('Onshore - Canberra'!D120="Term",'Onshore - Canberra'!E120*4,IF('Onshore - Canberra'!D120="Unit",'Onshore - Canberra'!E120*8,""))))))</f>
        <v>7668</v>
      </c>
      <c r="L615" s="0" t="n">
        <f aca="false">IF(AND(ISNUMBER('Onshore - Canberra'!E120),ISNUMBER(K615),ISNUMBER('Onshore - Canberra'!F120),ISNUMBER('Onshore - Canberra'!G120),OR('Onshore - Canberra'!F120&lt;&gt;0,ISNUMBER(SEARCH("Material 0 terverifikasi",'Onshore - Canberra'!M120))),OR('Onshore - Canberra'!G120&lt;&gt;0,ISNUMBER(SEARCH("Enrolment 0 terverifikasi",'Onshore - Canberra'!M120)))),1,0)</f>
        <v>1</v>
      </c>
      <c r="M615" s="0" t="n">
        <f aca="false">IF(OR('Onshore - Canberra'!E120="",ISNUMBER(SEARCH("BSB80120",'Onshore - Canberra'!B120&amp;'Onshore - Canberra'!M120)),ISNUMBER(SEARCH("Management (Learning)",'Onshore - Canberra'!B120))),2,IF(ISNUMBER(SEARCH("CEK:",'Onshore - Canberra'!M120)),1,0))</f>
        <v>1</v>
      </c>
    </row>
    <row r="616" customFormat="false" ht="28.35" hidden="false" customHeight="false" outlineLevel="0" collapsed="false">
      <c r="A616" s="63" t="s">
        <v>3718</v>
      </c>
      <c r="B616" s="64" t="s">
        <v>3923</v>
      </c>
      <c r="C616" s="63" t="s">
        <v>41</v>
      </c>
      <c r="D616" s="64" t="str">
        <f aca="false">TRIM(LEFT('Onshore - Canberra'!A152,FIND(CHAR(10),'Onshore - Canberra'!A152&amp;CHAR(10))-1))</f>
        <v>Opulence College</v>
      </c>
      <c r="E616" s="63" t="str">
        <f aca="false">'Onshore - Canberra'!C152&amp;""</f>
        <v>2,5 years</v>
      </c>
      <c r="F616" s="63" t="str">
        <f aca="false">IF('Onshore - Canberra'!D152="","Belum tercatat",'Onshore - Canberra'!D152)</f>
        <v>Term</v>
      </c>
      <c r="G616" s="65" t="n">
        <f aca="false">IF('Onshore - Canberra'!E152="","-",'Onshore - Canberra'!E152)</f>
        <v>2300</v>
      </c>
      <c r="H616" s="63" t="n">
        <f aca="false">IF(ISNUMBER(K616),COUNTIFS($J$6:$J$1916,J616,$K$6:$K$1916,"&lt;"&amp;K616)+1,"-")</f>
        <v>2</v>
      </c>
      <c r="I616" s="64" t="str">
        <f aca="false">IF('Onshore - Canberra'!E152="","Harga belum tersedia - hubungi konsultan TEG",IF(M616=2,"Saat ini tidak menerima pendaftaran siswa internasional baru",IF(M616=1,"Harga perlu dikonfirmasi ke sekolah"&amp;IF(""="","","; "&amp;""),"")))</f>
        <v/>
      </c>
      <c r="J616" s="0" t="s">
        <v>3940</v>
      </c>
      <c r="K616" s="0" t="n">
        <f aca="false">IF(M616=2,"",IF(ISNUMBER(SEARCH("rata-rata:",'Onshore - Canberra'!M152)),VALUE(MID('Onshore - Canberra'!M152,SEARCH("rata-rata:",'Onshore - Canberra'!M152)+11,FIND(";",'Onshore - Canberra'!M152&amp;";",SEARCH("rata-rata:",'Onshore - Canberra'!M152))-SEARCH("rata-rata:",'Onshore - Canberra'!M152)-11)),IF('Onshore - Canberra'!D152="Semester",'Onshore - Canberra'!E152*2,IF('Onshore - Canberra'!D152="Trimester",'Onshore - Canberra'!E152*3,IF('Onshore - Canberra'!D152="Term",'Onshore - Canberra'!E152*4,IF('Onshore - Canberra'!D152="Unit",'Onshore - Canberra'!E152*8,""))))))</f>
        <v>9200</v>
      </c>
      <c r="L616" s="0" t="n">
        <f aca="false">IF(AND(ISNUMBER('Onshore - Canberra'!E152),ISNUMBER(K616),ISNUMBER('Onshore - Canberra'!F152),ISNUMBER('Onshore - Canberra'!G152),OR('Onshore - Canberra'!F152&lt;&gt;0,ISNUMBER(SEARCH("Material 0 terverifikasi",'Onshore - Canberra'!M152))),OR('Onshore - Canberra'!G152&lt;&gt;0,ISNUMBER(SEARCH("Enrolment 0 terverifikasi",'Onshore - Canberra'!M152)))),1,0)</f>
        <v>1</v>
      </c>
      <c r="M616" s="0" t="n">
        <f aca="false">IF(OR('Onshore - Canberra'!E152="",ISNUMBER(SEARCH("BSB80120",'Onshore - Canberra'!B152&amp;'Onshore - Canberra'!M152)),ISNUMBER(SEARCH("Management (Learning)",'Onshore - Canberra'!B152))),2,IF(ISNUMBER(SEARCH("CEK:",'Onshore - Canberra'!M152)),1,0))</f>
        <v>0</v>
      </c>
    </row>
    <row r="617" customFormat="false" ht="28.35" hidden="false" customHeight="false" outlineLevel="0" collapsed="false">
      <c r="A617" s="63" t="s">
        <v>3718</v>
      </c>
      <c r="B617" s="64" t="s">
        <v>3923</v>
      </c>
      <c r="C617" s="63" t="s">
        <v>41</v>
      </c>
      <c r="D617" s="64" t="str">
        <f aca="false">TRIM(LEFT('Onshore - Canberra'!A156,FIND(CHAR(10),'Onshore - Canberra'!A156&amp;CHAR(10))-1))</f>
        <v>Whitehouse International College</v>
      </c>
      <c r="E617" s="63" t="str">
        <f aca="false">'Onshore - Canberra'!C158&amp;""</f>
        <v>4 years</v>
      </c>
      <c r="F617" s="63" t="str">
        <f aca="false">IF('Onshore - Canberra'!D158="","Belum tercatat",'Onshore - Canberra'!D158)</f>
        <v>Term</v>
      </c>
      <c r="G617" s="65" t="n">
        <f aca="false">IF('Onshore - Canberra'!E158="","-",'Onshore - Canberra'!E158)</f>
        <v>2750</v>
      </c>
      <c r="H617" s="63" t="n">
        <f aca="false">IF(ISNUMBER(K617),COUNTIFS($J$6:$J$1916,J617,$K$6:$K$1916,"&lt;"&amp;K617)+1,"-")</f>
        <v>3</v>
      </c>
      <c r="I617" s="64" t="str">
        <f aca="false">IF('Onshore - Canberra'!E158="","Harga belum tersedia - hubungi konsultan TEG",IF(M617=2,"Saat ini tidak menerima pendaftaran siswa internasional baru",IF(M617=1,"Harga perlu dikonfirmasi ke sekolah"&amp;IF(""="","","; "&amp;""),"")))</f>
        <v>Harga perlu dikonfirmasi ke sekolah</v>
      </c>
      <c r="J617" s="0" t="s">
        <v>3940</v>
      </c>
      <c r="K617" s="0" t="n">
        <f aca="false">IF(M617=2,"",IF(ISNUMBER(SEARCH("rata-rata:",'Onshore - Canberra'!M158)),VALUE(MID('Onshore - Canberra'!M158,SEARCH("rata-rata:",'Onshore - Canberra'!M158)+11,FIND(";",'Onshore - Canberra'!M158&amp;";",SEARCH("rata-rata:",'Onshore - Canberra'!M158))-SEARCH("rata-rata:",'Onshore - Canberra'!M158)-11)),IF('Onshore - Canberra'!D158="Semester",'Onshore - Canberra'!E158*2,IF('Onshore - Canberra'!D158="Trimester",'Onshore - Canberra'!E158*3,IF('Onshore - Canberra'!D158="Term",'Onshore - Canberra'!E158*4,IF('Onshore - Canberra'!D158="Unit",'Onshore - Canberra'!E158*8,""))))))</f>
        <v>11000</v>
      </c>
      <c r="L617" s="0" t="n">
        <f aca="false">IF(AND(ISNUMBER('Onshore - Canberra'!E158),ISNUMBER(K617),ISNUMBER('Onshore - Canberra'!F158),ISNUMBER('Onshore - Canberra'!G158),OR('Onshore - Canberra'!F158&lt;&gt;0,ISNUMBER(SEARCH("Material 0 terverifikasi",'Onshore - Canberra'!M158))),OR('Onshore - Canberra'!G158&lt;&gt;0,ISNUMBER(SEARCH("Enrolment 0 terverifikasi",'Onshore - Canberra'!M158)))),1,0)</f>
        <v>1</v>
      </c>
      <c r="M617" s="0" t="n">
        <f aca="false">IF(OR('Onshore - Canberra'!E158="",ISNUMBER(SEARCH("BSB80120",'Onshore - Canberra'!B158&amp;'Onshore - Canberra'!M158)),ISNUMBER(SEARCH("Management (Learning)",'Onshore - Canberra'!B158))),2,IF(ISNUMBER(SEARCH("CEK:",'Onshore - Canberra'!M158)),1,0))</f>
        <v>1</v>
      </c>
    </row>
    <row r="618" customFormat="false" ht="28.35" hidden="false" customHeight="false" outlineLevel="0" collapsed="false">
      <c r="A618" s="63" t="s">
        <v>3718</v>
      </c>
      <c r="B618" s="64" t="s">
        <v>3923</v>
      </c>
      <c r="C618" s="63" t="s">
        <v>41</v>
      </c>
      <c r="D618" s="64" t="str">
        <f aca="false">TRIM(LEFT('Onshore - Canberra'!A6,FIND(CHAR(10),'Onshore - Canberra'!A6&amp;CHAR(10))-1))</f>
        <v>Australian Catholic University (ACU)</v>
      </c>
      <c r="E618" s="63" t="str">
        <f aca="false">'Onshore - Canberra'!C108&amp;""</f>
        <v>1 year</v>
      </c>
      <c r="F618" s="63" t="str">
        <f aca="false">IF('Onshore - Canberra'!D108="","Belum tercatat",'Onshore - Canberra'!D108)</f>
        <v>Term</v>
      </c>
      <c r="G618" s="65" t="n">
        <f aca="false">IF('Onshore - Canberra'!E108="","-",'Onshore - Canberra'!E108)</f>
        <v>8906</v>
      </c>
      <c r="H618" s="63" t="n">
        <f aca="false">IF(ISNUMBER(K618),COUNTIFS($J$6:$J$1916,J618,$K$6:$K$1916,"&lt;"&amp;K618)+1,"-")</f>
        <v>4</v>
      </c>
      <c r="I618" s="64" t="str">
        <f aca="false">IF('Onshore - Canberra'!E108="","Harga belum tersedia - hubungi konsultan TEG",IF(M618=2,"Saat ini tidak menerima pendaftaran siswa internasional baru",IF(M618=1,"Harga perlu dikonfirmasi ke sekolah"&amp;IF(""="","","; "&amp;""),"")))</f>
        <v/>
      </c>
      <c r="J618" s="0" t="s">
        <v>3940</v>
      </c>
      <c r="K618" s="0" t="n">
        <f aca="false">IF(M618=2,"",IF(ISNUMBER(SEARCH("rata-rata:",'Onshore - Canberra'!M108)),VALUE(MID('Onshore - Canberra'!M108,SEARCH("rata-rata:",'Onshore - Canberra'!M108)+11,FIND(";",'Onshore - Canberra'!M108&amp;";",SEARCH("rata-rata:",'Onshore - Canberra'!M108))-SEARCH("rata-rata:",'Onshore - Canberra'!M108)-11)),IF('Onshore - Canberra'!D108="Semester",'Onshore - Canberra'!E108*2,IF('Onshore - Canberra'!D108="Trimester",'Onshore - Canberra'!E108*3,IF('Onshore - Canberra'!D108="Term",'Onshore - Canberra'!E108*4,IF('Onshore - Canberra'!D108="Unit",'Onshore - Canberra'!E108*8,""))))))</f>
        <v>35624</v>
      </c>
      <c r="L618" s="0" t="n">
        <f aca="false">IF(AND(ISNUMBER('Onshore - Canberra'!E108),ISNUMBER(K618),ISNUMBER('Onshore - Canberra'!F108),ISNUMBER('Onshore - Canberra'!G108),OR('Onshore - Canberra'!F108&lt;&gt;0,ISNUMBER(SEARCH("Material 0 terverifikasi",'Onshore - Canberra'!M108))),OR('Onshore - Canberra'!G108&lt;&gt;0,ISNUMBER(SEARCH("Enrolment 0 terverifikasi",'Onshore - Canberra'!M108)))),1,0)</f>
        <v>0</v>
      </c>
      <c r="M618" s="0" t="n">
        <f aca="false">IF(OR('Onshore - Canberra'!E108="",ISNUMBER(SEARCH("BSB80120",'Onshore - Canberra'!B108&amp;'Onshore - Canberra'!M108)),ISNUMBER(SEARCH("Management (Learning)",'Onshore - Canberra'!B108))),2,IF(ISNUMBER(SEARCH("CEK:",'Onshore - Canberra'!M108)),1,0))</f>
        <v>0</v>
      </c>
    </row>
    <row r="619" customFormat="false" ht="15" hidden="false" customHeight="false" outlineLevel="0" collapsed="false">
      <c r="A619" s="61" t="s">
        <v>3941</v>
      </c>
      <c r="B619" s="62"/>
      <c r="C619" s="62"/>
      <c r="D619" s="62"/>
      <c r="E619" s="62"/>
      <c r="F619" s="62"/>
      <c r="G619" s="62"/>
      <c r="H619" s="62"/>
      <c r="I619" s="62"/>
    </row>
    <row r="620" customFormat="false" ht="28.35" hidden="false" customHeight="false" outlineLevel="0" collapsed="false">
      <c r="A620" s="63" t="s">
        <v>3718</v>
      </c>
      <c r="B620" s="64" t="s">
        <v>3923</v>
      </c>
      <c r="C620" s="63" t="s">
        <v>43</v>
      </c>
      <c r="D620" s="64" t="str">
        <f aca="false">TRIM(LEFT('Onshore - Canberra'!A6,FIND(CHAR(10),'Onshore - Canberra'!A6&amp;CHAR(10))-1))</f>
        <v>Australian Catholic University (ACU)</v>
      </c>
      <c r="E620" s="63" t="str">
        <f aca="false">'Onshore - Canberra'!C82&amp;""</f>
        <v>4 years</v>
      </c>
      <c r="F620" s="63" t="str">
        <f aca="false">IF('Onshore - Canberra'!D82="","Belum tercatat",'Onshore - Canberra'!D82)</f>
        <v>Term</v>
      </c>
      <c r="G620" s="65" t="n">
        <f aca="false">IF('Onshore - Canberra'!E82="","-",'Onshore - Canberra'!E82)</f>
        <v>8098</v>
      </c>
      <c r="H620" s="63" t="n">
        <f aca="false">IF(ISNUMBER(K620),COUNTIFS($J$6:$J$1916,J620,$K$6:$K$1916,"&lt;"&amp;K620)+1,"-")</f>
        <v>1</v>
      </c>
      <c r="I620" s="64" t="str">
        <f aca="false">IF('Onshore - Canberra'!E82="","Harga belum tersedia - hubungi konsultan TEG",IF(M620=2,"Saat ini tidak menerima pendaftaran siswa internasional baru",IF(M620=1,"Harga perlu dikonfirmasi ke sekolah"&amp;IF(""="","","; "&amp;""),"")))</f>
        <v/>
      </c>
      <c r="J620" s="0" t="s">
        <v>3942</v>
      </c>
      <c r="K620" s="0" t="n">
        <f aca="false">IF(M620=2,"",IF(ISNUMBER(SEARCH("rata-rata:",'Onshore - Canberra'!M82)),VALUE(MID('Onshore - Canberra'!M82,SEARCH("rata-rata:",'Onshore - Canberra'!M82)+11,FIND(";",'Onshore - Canberra'!M82&amp;";",SEARCH("rata-rata:",'Onshore - Canberra'!M82))-SEARCH("rata-rata:",'Onshore - Canberra'!M82)-11)),IF('Onshore - Canberra'!D82="Semester",'Onshore - Canberra'!E82*2,IF('Onshore - Canberra'!D82="Trimester",'Onshore - Canberra'!E82*3,IF('Onshore - Canberra'!D82="Term",'Onshore - Canberra'!E82*4,IF('Onshore - Canberra'!D82="Unit",'Onshore - Canberra'!E82*8,""))))))</f>
        <v>32392</v>
      </c>
      <c r="L620" s="0" t="n">
        <f aca="false">IF(AND(ISNUMBER('Onshore - Canberra'!E82),ISNUMBER(K620),ISNUMBER('Onshore - Canberra'!F82),ISNUMBER('Onshore - Canberra'!G82),OR('Onshore - Canberra'!F82&lt;&gt;0,ISNUMBER(SEARCH("Material 0 terverifikasi",'Onshore - Canberra'!M82))),OR('Onshore - Canberra'!G82&lt;&gt;0,ISNUMBER(SEARCH("Enrolment 0 terverifikasi",'Onshore - Canberra'!M82)))),1,0)</f>
        <v>0</v>
      </c>
      <c r="M620" s="0" t="n">
        <f aca="false">IF(OR('Onshore - Canberra'!E82="",ISNUMBER(SEARCH("BSB80120",'Onshore - Canberra'!B82&amp;'Onshore - Canberra'!M82)),ISNUMBER(SEARCH("Management (Learning)",'Onshore - Canberra'!B82))),2,IF(ISNUMBER(SEARCH("CEK:",'Onshore - Canberra'!M82)),1,0))</f>
        <v>0</v>
      </c>
    </row>
    <row r="621" customFormat="false" ht="15" hidden="false" customHeight="false" outlineLevel="0" collapsed="false">
      <c r="A621" s="61" t="s">
        <v>3943</v>
      </c>
      <c r="B621" s="62"/>
      <c r="C621" s="62"/>
      <c r="D621" s="62"/>
      <c r="E621" s="62"/>
      <c r="F621" s="62"/>
      <c r="G621" s="62"/>
      <c r="H621" s="62"/>
      <c r="I621" s="62"/>
    </row>
    <row r="622" customFormat="false" ht="28.35" hidden="false" customHeight="false" outlineLevel="0" collapsed="false">
      <c r="A622" s="63" t="s">
        <v>3718</v>
      </c>
      <c r="B622" s="64" t="s">
        <v>3923</v>
      </c>
      <c r="C622" s="63" t="s">
        <v>46</v>
      </c>
      <c r="D622" s="64" t="str">
        <f aca="false">TRIM(LEFT('Onshore - Canberra'!A6,FIND(CHAR(10),'Onshore - Canberra'!A6&amp;CHAR(10))-1))</f>
        <v>Australian Catholic University (ACU)</v>
      </c>
      <c r="E622" s="63" t="str">
        <f aca="false">'Onshore - Canberra'!C93&amp;""</f>
        <v>2 years</v>
      </c>
      <c r="F622" s="63" t="str">
        <f aca="false">IF('Onshore - Canberra'!D93="","Belum tercatat",'Onshore - Canberra'!D93)</f>
        <v>Term</v>
      </c>
      <c r="G622" s="65" t="n">
        <f aca="false">IF('Onshore - Canberra'!E93="","-",'Onshore - Canberra'!E93)</f>
        <v>8018</v>
      </c>
      <c r="H622" s="63" t="n">
        <f aca="false">IF(ISNUMBER(K622),COUNTIFS($J$6:$J$1916,J622,$K$6:$K$1916,"&lt;"&amp;K622)+1,"-")</f>
        <v>1</v>
      </c>
      <c r="I622" s="64" t="str">
        <f aca="false">IF('Onshore - Canberra'!E93="","Harga belum tersedia - hubungi konsultan TEG",IF(M622=2,"Saat ini tidak menerima pendaftaran siswa internasional baru",IF(M622=1,"Harga perlu dikonfirmasi ke sekolah"&amp;IF(""="","","; "&amp;""),"")))</f>
        <v/>
      </c>
      <c r="J622" s="0" t="s">
        <v>3944</v>
      </c>
      <c r="K622" s="0" t="n">
        <f aca="false">IF(M622=2,"",IF(ISNUMBER(SEARCH("rata-rata:",'Onshore - Canberra'!M93)),VALUE(MID('Onshore - Canberra'!M93,SEARCH("rata-rata:",'Onshore - Canberra'!M93)+11,FIND(";",'Onshore - Canberra'!M93&amp;";",SEARCH("rata-rata:",'Onshore - Canberra'!M93))-SEARCH("rata-rata:",'Onshore - Canberra'!M93)-11)),IF('Onshore - Canberra'!D93="Semester",'Onshore - Canberra'!E93*2,IF('Onshore - Canberra'!D93="Trimester",'Onshore - Canberra'!E93*3,IF('Onshore - Canberra'!D93="Term",'Onshore - Canberra'!E93*4,IF('Onshore - Canberra'!D93="Unit",'Onshore - Canberra'!E93*8,""))))))</f>
        <v>32072</v>
      </c>
      <c r="L622" s="0" t="n">
        <f aca="false">IF(AND(ISNUMBER('Onshore - Canberra'!E93),ISNUMBER(K622),ISNUMBER('Onshore - Canberra'!F93),ISNUMBER('Onshore - Canberra'!G93),OR('Onshore - Canberra'!F93&lt;&gt;0,ISNUMBER(SEARCH("Material 0 terverifikasi",'Onshore - Canberra'!M93))),OR('Onshore - Canberra'!G93&lt;&gt;0,ISNUMBER(SEARCH("Enrolment 0 terverifikasi",'Onshore - Canberra'!M93)))),1,0)</f>
        <v>0</v>
      </c>
      <c r="M622" s="0" t="n">
        <f aca="false">IF(OR('Onshore - Canberra'!E93="",ISNUMBER(SEARCH("BSB80120",'Onshore - Canberra'!B93&amp;'Onshore - Canberra'!M93)),ISNUMBER(SEARCH("Management (Learning)",'Onshore - Canberra'!B93))),2,IF(ISNUMBER(SEARCH("CEK:",'Onshore - Canberra'!M93)),1,0))</f>
        <v>0</v>
      </c>
    </row>
    <row r="623" customFormat="false" ht="15" hidden="false" customHeight="false" outlineLevel="0" collapsed="false">
      <c r="A623" s="61" t="s">
        <v>3945</v>
      </c>
      <c r="B623" s="62"/>
      <c r="C623" s="62"/>
      <c r="D623" s="62"/>
      <c r="E623" s="62"/>
      <c r="F623" s="62"/>
      <c r="G623" s="62"/>
      <c r="H623" s="62"/>
      <c r="I623" s="62"/>
    </row>
    <row r="624" customFormat="false" ht="28.35" hidden="false" customHeight="false" outlineLevel="0" collapsed="false">
      <c r="A624" s="63" t="s">
        <v>3583</v>
      </c>
      <c r="B624" s="64" t="s">
        <v>3923</v>
      </c>
      <c r="C624" s="63" t="s">
        <v>41</v>
      </c>
      <c r="D624" s="64" t="str">
        <f aca="false">TRIM(LEFT('Onshore - Darwin (NT)'!A20,FIND(CHAR(10),'Onshore - Darwin (NT)'!A20&amp;CHAR(10))-1))</f>
        <v>Charles Darwin University (CDU)</v>
      </c>
      <c r="E624" s="63" t="str">
        <f aca="false">'Onshore - Darwin (NT)'!C47&amp;""</f>
        <v>1 year</v>
      </c>
      <c r="F624" s="63" t="str">
        <f aca="false">IF('Onshore - Darwin (NT)'!D47="","Belum tercatat",'Onshore - Darwin (NT)'!D47)</f>
        <v>Term</v>
      </c>
      <c r="G624" s="65" t="n">
        <f aca="false">IF('Onshore - Darwin (NT)'!E47="","-",'Onshore - Darwin (NT)'!E47)</f>
        <v>7600</v>
      </c>
      <c r="H624" s="63" t="n">
        <f aca="false">IF(ISNUMBER(K624),COUNTIFS($J$6:$J$1916,J624,$K$6:$K$1916,"&lt;"&amp;K624)+1,"-")</f>
        <v>1</v>
      </c>
      <c r="I624" s="64" t="str">
        <f aca="false">IF('Onshore - Darwin (NT)'!E47="","Harga belum tersedia - hubungi konsultan TEG",IF(M624=2,"Saat ini tidak menerima pendaftaran siswa internasional baru",IF(M624=1,"Harga perlu dikonfirmasi ke sekolah"&amp;IF(""="","","; "&amp;""),"")))</f>
        <v/>
      </c>
      <c r="J624" s="0" t="s">
        <v>3946</v>
      </c>
      <c r="K624" s="0" t="n">
        <f aca="false">IF(M624=2,"",IF(ISNUMBER(SEARCH("rata-rata:",'Onshore - Darwin (NT)'!M47)),VALUE(MID('Onshore - Darwin (NT)'!M47,SEARCH("rata-rata:",'Onshore - Darwin (NT)'!M47)+11,FIND(";",'Onshore - Darwin (NT)'!M47&amp;";",SEARCH("rata-rata:",'Onshore - Darwin (NT)'!M47))-SEARCH("rata-rata:",'Onshore - Darwin (NT)'!M47)-11)),IF('Onshore - Darwin (NT)'!D47="Semester",'Onshore - Darwin (NT)'!E47*2,IF('Onshore - Darwin (NT)'!D47="Trimester",'Onshore - Darwin (NT)'!E47*3,IF('Onshore - Darwin (NT)'!D47="Term",'Onshore - Darwin (NT)'!E47*4,IF('Onshore - Darwin (NT)'!D47="Unit",'Onshore - Darwin (NT)'!E47*8,""))))))</f>
        <v>30400</v>
      </c>
      <c r="L624" s="0" t="n">
        <f aca="false">IF(AND(ISNUMBER('Onshore - Darwin (NT)'!E47),ISNUMBER(K624),ISNUMBER('Onshore - Darwin (NT)'!F47),ISNUMBER('Onshore - Darwin (NT)'!G47),OR('Onshore - Darwin (NT)'!F47&lt;&gt;0,ISNUMBER(SEARCH("Material 0 terverifikasi",'Onshore - Darwin (NT)'!M47))),OR('Onshore - Darwin (NT)'!G47&lt;&gt;0,ISNUMBER(SEARCH("Enrolment 0 terverifikasi",'Onshore - Darwin (NT)'!M47)))),1,0)</f>
        <v>0</v>
      </c>
      <c r="M624" s="0" t="n">
        <f aca="false">IF(OR('Onshore - Darwin (NT)'!E47="",ISNUMBER(SEARCH("BSB80120",'Onshore - Darwin (NT)'!B47&amp;'Onshore - Darwin (NT)'!M47)),ISNUMBER(SEARCH("Management (Learning)",'Onshore - Darwin (NT)'!B47))),2,IF(ISNUMBER(SEARCH("CEK:",'Onshore - Darwin (NT)'!M47)),1,0))</f>
        <v>0</v>
      </c>
    </row>
    <row r="625" customFormat="false" ht="15" hidden="false" customHeight="false" outlineLevel="0" collapsed="false">
      <c r="A625" s="61" t="s">
        <v>3947</v>
      </c>
      <c r="B625" s="62"/>
      <c r="C625" s="62"/>
      <c r="D625" s="62"/>
      <c r="E625" s="62"/>
      <c r="F625" s="62"/>
      <c r="G625" s="62"/>
      <c r="H625" s="62"/>
      <c r="I625" s="62"/>
    </row>
    <row r="626" customFormat="false" ht="28.35" hidden="false" customHeight="false" outlineLevel="0" collapsed="false">
      <c r="A626" s="63" t="s">
        <v>3583</v>
      </c>
      <c r="B626" s="64" t="s">
        <v>3923</v>
      </c>
      <c r="C626" s="63" t="s">
        <v>43</v>
      </c>
      <c r="D626" s="64" t="str">
        <f aca="false">TRIM(LEFT('Onshore - Darwin (NT)'!A20,FIND(CHAR(10),'Onshore - Darwin (NT)'!A20&amp;CHAR(10))-1))</f>
        <v>Charles Darwin University (CDU)</v>
      </c>
      <c r="E626" s="63" t="str">
        <f aca="false">'Onshore - Darwin (NT)'!C48&amp;""</f>
        <v>3 years</v>
      </c>
      <c r="F626" s="63" t="str">
        <f aca="false">IF('Onshore - Darwin (NT)'!D48="","Belum tercatat",'Onshore - Darwin (NT)'!D48)</f>
        <v>Term</v>
      </c>
      <c r="G626" s="65" t="n">
        <f aca="false">IF('Onshore - Darwin (NT)'!E48="","-",'Onshore - Darwin (NT)'!E48)</f>
        <v>7450</v>
      </c>
      <c r="H626" s="63" t="n">
        <f aca="false">IF(ISNUMBER(K626),COUNTIFS($J$6:$J$1916,J626,$K$6:$K$1916,"&lt;"&amp;K626)+1,"-")</f>
        <v>1</v>
      </c>
      <c r="I626" s="64" t="str">
        <f aca="false">IF('Onshore - Darwin (NT)'!E48="","Harga belum tersedia - hubungi konsultan TEG",IF(M626=2,"Saat ini tidak menerima pendaftaran siswa internasional baru",IF(M626=1,"Harga perlu dikonfirmasi ke sekolah"&amp;IF(""="","","; "&amp;""),"")))</f>
        <v/>
      </c>
      <c r="J626" s="0" t="s">
        <v>3948</v>
      </c>
      <c r="K626" s="0" t="n">
        <f aca="false">IF(M626=2,"",IF(ISNUMBER(SEARCH("rata-rata:",'Onshore - Darwin (NT)'!M48)),VALUE(MID('Onshore - Darwin (NT)'!M48,SEARCH("rata-rata:",'Onshore - Darwin (NT)'!M48)+11,FIND(";",'Onshore - Darwin (NT)'!M48&amp;";",SEARCH("rata-rata:",'Onshore - Darwin (NT)'!M48))-SEARCH("rata-rata:",'Onshore - Darwin (NT)'!M48)-11)),IF('Onshore - Darwin (NT)'!D48="Semester",'Onshore - Darwin (NT)'!E48*2,IF('Onshore - Darwin (NT)'!D48="Trimester",'Onshore - Darwin (NT)'!E48*3,IF('Onshore - Darwin (NT)'!D48="Term",'Onshore - Darwin (NT)'!E48*4,IF('Onshore - Darwin (NT)'!D48="Unit",'Onshore - Darwin (NT)'!E48*8,""))))))</f>
        <v>29800</v>
      </c>
      <c r="L626" s="0" t="n">
        <f aca="false">IF(AND(ISNUMBER('Onshore - Darwin (NT)'!E48),ISNUMBER(K626),ISNUMBER('Onshore - Darwin (NT)'!F48),ISNUMBER('Onshore - Darwin (NT)'!G48),OR('Onshore - Darwin (NT)'!F48&lt;&gt;0,ISNUMBER(SEARCH("Material 0 terverifikasi",'Onshore - Darwin (NT)'!M48))),OR('Onshore - Darwin (NT)'!G48&lt;&gt;0,ISNUMBER(SEARCH("Enrolment 0 terverifikasi",'Onshore - Darwin (NT)'!M48)))),1,0)</f>
        <v>0</v>
      </c>
      <c r="M626" s="0" t="n">
        <f aca="false">IF(OR('Onshore - Darwin (NT)'!E48="",ISNUMBER(SEARCH("BSB80120",'Onshore - Darwin (NT)'!B48&amp;'Onshore - Darwin (NT)'!M48)),ISNUMBER(SEARCH("Management (Learning)",'Onshore - Darwin (NT)'!B48))),2,IF(ISNUMBER(SEARCH("CEK:",'Onshore - Darwin (NT)'!M48)),1,0))</f>
        <v>0</v>
      </c>
    </row>
    <row r="627" customFormat="false" ht="15" hidden="false" customHeight="false" outlineLevel="0" collapsed="false">
      <c r="A627" s="61" t="s">
        <v>3949</v>
      </c>
      <c r="B627" s="62"/>
      <c r="C627" s="62"/>
      <c r="D627" s="62"/>
      <c r="E627" s="62"/>
      <c r="F627" s="62"/>
      <c r="G627" s="62"/>
      <c r="H627" s="62"/>
      <c r="I627" s="62"/>
    </row>
    <row r="628" customFormat="false" ht="28.35" hidden="false" customHeight="false" outlineLevel="0" collapsed="false">
      <c r="A628" s="63" t="s">
        <v>3583</v>
      </c>
      <c r="B628" s="64" t="s">
        <v>3923</v>
      </c>
      <c r="C628" s="63" t="s">
        <v>46</v>
      </c>
      <c r="D628" s="64" t="str">
        <f aca="false">TRIM(LEFT('Onshore - Darwin (NT)'!A20,FIND(CHAR(10),'Onshore - Darwin (NT)'!A20&amp;CHAR(10))-1))</f>
        <v>Charles Darwin University (CDU)</v>
      </c>
      <c r="E628" s="63" t="str">
        <f aca="false">'Onshore - Darwin (NT)'!C51&amp;""</f>
        <v>2 years</v>
      </c>
      <c r="F628" s="63" t="str">
        <f aca="false">IF('Onshore - Darwin (NT)'!D51="","Belum tercatat",'Onshore - Darwin (NT)'!D51)</f>
        <v>Term</v>
      </c>
      <c r="G628" s="65" t="n">
        <f aca="false">IF('Onshore - Darwin (NT)'!E51="","-",'Onshore - Darwin (NT)'!E51)</f>
        <v>9120</v>
      </c>
      <c r="H628" s="63" t="n">
        <f aca="false">IF(ISNUMBER(K628),COUNTIFS($J$6:$J$1916,J628,$K$6:$K$1916,"&lt;"&amp;K628)+1,"-")</f>
        <v>1</v>
      </c>
      <c r="I628" s="64" t="str">
        <f aca="false">IF('Onshore - Darwin (NT)'!E51="","Harga belum tersedia - hubungi konsultan TEG",IF(M628=2,"Saat ini tidak menerima pendaftaran siswa internasional baru",IF(M628=1,"Harga perlu dikonfirmasi ke sekolah"&amp;IF(""="","","; "&amp;""),"")))</f>
        <v/>
      </c>
      <c r="J628" s="0" t="s">
        <v>3950</v>
      </c>
      <c r="K628" s="0" t="n">
        <f aca="false">IF(M628=2,"",IF(ISNUMBER(SEARCH("rata-rata:",'Onshore - Darwin (NT)'!M51)),VALUE(MID('Onshore - Darwin (NT)'!M51,SEARCH("rata-rata:",'Onshore - Darwin (NT)'!M51)+11,FIND(";",'Onshore - Darwin (NT)'!M51&amp;";",SEARCH("rata-rata:",'Onshore - Darwin (NT)'!M51))-SEARCH("rata-rata:",'Onshore - Darwin (NT)'!M51)-11)),IF('Onshore - Darwin (NT)'!D51="Semester",'Onshore - Darwin (NT)'!E51*2,IF('Onshore - Darwin (NT)'!D51="Trimester",'Onshore - Darwin (NT)'!E51*3,IF('Onshore - Darwin (NT)'!D51="Term",'Onshore - Darwin (NT)'!E51*4,IF('Onshore - Darwin (NT)'!D51="Unit",'Onshore - Darwin (NT)'!E51*8,""))))))</f>
        <v>36480</v>
      </c>
      <c r="L628" s="0" t="n">
        <f aca="false">IF(AND(ISNUMBER('Onshore - Darwin (NT)'!E51),ISNUMBER(K628),ISNUMBER('Onshore - Darwin (NT)'!F51),ISNUMBER('Onshore - Darwin (NT)'!G51),OR('Onshore - Darwin (NT)'!F51&lt;&gt;0,ISNUMBER(SEARCH("Material 0 terverifikasi",'Onshore - Darwin (NT)'!M51))),OR('Onshore - Darwin (NT)'!G51&lt;&gt;0,ISNUMBER(SEARCH("Enrolment 0 terverifikasi",'Onshore - Darwin (NT)'!M51)))),1,0)</f>
        <v>0</v>
      </c>
      <c r="M628" s="0" t="n">
        <f aca="false">IF(OR('Onshore - Darwin (NT)'!E51="",ISNUMBER(SEARCH("BSB80120",'Onshore - Darwin (NT)'!B51&amp;'Onshore - Darwin (NT)'!M51)),ISNUMBER(SEARCH("Management (Learning)",'Onshore - Darwin (NT)'!B51))),2,IF(ISNUMBER(SEARCH("CEK:",'Onshore - Darwin (NT)'!M51)),1,0))</f>
        <v>0</v>
      </c>
    </row>
    <row r="629" customFormat="false" ht="15" hidden="false" customHeight="false" outlineLevel="0" collapsed="false">
      <c r="A629" s="61" t="s">
        <v>3951</v>
      </c>
      <c r="B629" s="62"/>
      <c r="C629" s="62"/>
      <c r="D629" s="62"/>
      <c r="E629" s="62"/>
      <c r="F629" s="62"/>
      <c r="G629" s="62"/>
      <c r="H629" s="62"/>
      <c r="I629" s="62"/>
    </row>
    <row r="630" customFormat="false" ht="28.35" hidden="false" customHeight="false" outlineLevel="0" collapsed="false">
      <c r="A630" s="63" t="s">
        <v>3878</v>
      </c>
      <c r="B630" s="64" t="s">
        <v>3923</v>
      </c>
      <c r="C630" s="63" t="s">
        <v>42</v>
      </c>
      <c r="D630" s="64" t="str">
        <f aca="false">TRIM(LEFT('Onshore - Gosford'!A6,FIND(CHAR(10),'Onshore - Gosford'!A6&amp;CHAR(10))-1))</f>
        <v>Novus College</v>
      </c>
      <c r="E630" s="63" t="str">
        <f aca="false">'Onshore - Gosford'!C8&amp;""</f>
        <v>1,5 years</v>
      </c>
      <c r="F630" s="63" t="str">
        <f aca="false">IF('Onshore - Gosford'!D8="","Belum tercatat",'Onshore - Gosford'!D8)</f>
        <v>Term</v>
      </c>
      <c r="G630" s="65" t="n">
        <f aca="false">IF('Onshore - Gosford'!E8="","-",'Onshore - Gosford'!E8)</f>
        <v>2200</v>
      </c>
      <c r="H630" s="63" t="n">
        <f aca="false">IF(ISNUMBER(K630),COUNTIFS($J$6:$J$1916,J630,$K$6:$K$1916,"&lt;"&amp;K630)+1,"-")</f>
        <v>1</v>
      </c>
      <c r="I630" s="64" t="str">
        <f aca="false">IF('Onshore - Gosford'!E8="","Harga belum tersedia - hubungi konsultan TEG",IF(M630=2,"Saat ini tidak menerima pendaftaran siswa internasional baru",IF(M630=1,"Program perlu dikonfirmasi ketersediaannya"&amp;IF(""="","","; "&amp;""),"")))</f>
        <v>Program perlu dikonfirmasi ketersediaannya</v>
      </c>
      <c r="J630" s="0" t="s">
        <v>3952</v>
      </c>
      <c r="K630" s="0" t="n">
        <f aca="false">IF(M630=2,"",IF(ISNUMBER(SEARCH("rata-rata:",'Onshore - Gosford'!M8)),VALUE(MID('Onshore - Gosford'!M8,SEARCH("rata-rata:",'Onshore - Gosford'!M8)+11,FIND(";",'Onshore - Gosford'!M8&amp;";",SEARCH("rata-rata:",'Onshore - Gosford'!M8))-SEARCH("rata-rata:",'Onshore - Gosford'!M8)-11)),IF('Onshore - Gosford'!D8="Semester",'Onshore - Gosford'!E8*2,IF('Onshore - Gosford'!D8="Trimester",'Onshore - Gosford'!E8*3,IF('Onshore - Gosford'!D8="Term",'Onshore - Gosford'!E8*4,IF('Onshore - Gosford'!D8="Unit",'Onshore - Gosford'!E8*8,""))))))</f>
        <v>8800</v>
      </c>
      <c r="L630" s="0" t="n">
        <f aca="false">IF(AND(ISNUMBER('Onshore - Gosford'!E8),ISNUMBER(K630),ISNUMBER('Onshore - Gosford'!F8),ISNUMBER('Onshore - Gosford'!G8),OR('Onshore - Gosford'!F8&lt;&gt;0,ISNUMBER(SEARCH("Material 0 terverifikasi",'Onshore - Gosford'!M8))),OR('Onshore - Gosford'!G8&lt;&gt;0,ISNUMBER(SEARCH("Enrolment 0 terverifikasi",'Onshore - Gosford'!M8)))),1,0)</f>
        <v>1</v>
      </c>
      <c r="M630" s="0" t="n">
        <f aca="false">IF(OR('Onshore - Gosford'!E8="",ISNUMBER(SEARCH("BSB80120",'Onshore - Gosford'!B8&amp;'Onshore - Gosford'!M8)),ISNUMBER(SEARCH("Management (Learning)",'Onshore - Gosford'!B8))),2,IF(ISNUMBER(SEARCH("CEK:",'Onshore - Gosford'!M8)),1,0))</f>
        <v>1</v>
      </c>
    </row>
    <row r="631" customFormat="false" ht="15" hidden="false" customHeight="false" outlineLevel="0" collapsed="false">
      <c r="A631" s="61" t="s">
        <v>3953</v>
      </c>
      <c r="B631" s="62"/>
      <c r="C631" s="62"/>
      <c r="D631" s="62"/>
      <c r="E631" s="62"/>
      <c r="F631" s="62"/>
      <c r="G631" s="62"/>
      <c r="H631" s="62"/>
      <c r="I631" s="62"/>
    </row>
    <row r="632" customFormat="false" ht="28.35" hidden="false" customHeight="false" outlineLevel="0" collapsed="false">
      <c r="A632" s="63" t="s">
        <v>3544</v>
      </c>
      <c r="B632" s="64" t="s">
        <v>3923</v>
      </c>
      <c r="C632" s="63" t="s">
        <v>41</v>
      </c>
      <c r="D632" s="64" t="str">
        <f aca="false">TRIM(LEFT('Onshore- Melbourne'!A61,FIND(CHAR(10),'Onshore- Melbourne'!A61&amp;CHAR(10))-1))</f>
        <v>Allied Institute</v>
      </c>
      <c r="E632" s="63" t="str">
        <f aca="false">'Onshore- Melbourne'!C62&amp;""</f>
        <v>3 years</v>
      </c>
      <c r="F632" s="63" t="str">
        <f aca="false">IF('Onshore- Melbourne'!D62="","Belum tercatat",'Onshore- Melbourne'!D62)</f>
        <v>Term</v>
      </c>
      <c r="G632" s="65" t="n">
        <f aca="false">IF('Onshore- Melbourne'!E62="","-",'Onshore- Melbourne'!E62)</f>
        <v>1250</v>
      </c>
      <c r="H632" s="63" t="n">
        <f aca="false">IF(ISNUMBER(K632),COUNTIFS($J$6:$J$1916,J632,$K$6:$K$1916,"&lt;"&amp;K632)+1,"-")</f>
        <v>1</v>
      </c>
      <c r="I632" s="64" t="str">
        <f aca="false">IF('Onshore- Melbourne'!E62="","Harga belum tersedia - hubungi konsultan TEG",IF(M632=2,"Saat ini tidak menerima pendaftaran siswa internasional baru",IF(M632=1,"Harga perlu dikonfirmasi ke sekolah"&amp;IF(""="","","; "&amp;""),"")))</f>
        <v>Harga perlu dikonfirmasi ke sekolah</v>
      </c>
      <c r="J632" s="0" t="s">
        <v>3954</v>
      </c>
      <c r="K632" s="0" t="n">
        <f aca="false">IF(M632=2,"",IF(ISNUMBER(SEARCH("rata-rata:",'Onshore- Melbourne'!M62)),VALUE(MID('Onshore- Melbourne'!M62,SEARCH("rata-rata:",'Onshore- Melbourne'!M62)+11,FIND(";",'Onshore- Melbourne'!M62&amp;";",SEARCH("rata-rata:",'Onshore- Melbourne'!M62))-SEARCH("rata-rata:",'Onshore- Melbourne'!M62)-11)),IF('Onshore- Melbourne'!D62="Semester",'Onshore- Melbourne'!E62*2,IF('Onshore- Melbourne'!D62="Trimester",'Onshore- Melbourne'!E62*3,IF('Onshore- Melbourne'!D62="Term",'Onshore- Melbourne'!E62*4,IF('Onshore- Melbourne'!D62="Unit",'Onshore- Melbourne'!E62*8,""))))))</f>
        <v>5000</v>
      </c>
      <c r="L632" s="0" t="n">
        <f aca="false">IF(AND(ISNUMBER('Onshore- Melbourne'!E62),ISNUMBER(K632),ISNUMBER('Onshore- Melbourne'!F62),ISNUMBER('Onshore- Melbourne'!G62),OR('Onshore- Melbourne'!F62&lt;&gt;0,ISNUMBER(SEARCH("Material 0 terverifikasi",'Onshore- Melbourne'!M62))),OR('Onshore- Melbourne'!G62&lt;&gt;0,ISNUMBER(SEARCH("Enrolment 0 terverifikasi",'Onshore- Melbourne'!M62)))),1,0)</f>
        <v>1</v>
      </c>
      <c r="M632" s="0" t="n">
        <f aca="false">IF(OR('Onshore- Melbourne'!E62="",ISNUMBER(SEARCH("BSB80120",'Onshore- Melbourne'!B62&amp;'Onshore- Melbourne'!M62)),ISNUMBER(SEARCH("Management (Learning)",'Onshore- Melbourne'!B62))),2,IF(ISNUMBER(SEARCH("CEK:",'Onshore- Melbourne'!M62)),1,0))</f>
        <v>1</v>
      </c>
    </row>
    <row r="633" customFormat="false" ht="28.35" hidden="false" customHeight="false" outlineLevel="0" collapsed="false">
      <c r="A633" s="63" t="s">
        <v>3544</v>
      </c>
      <c r="B633" s="64" t="s">
        <v>3923</v>
      </c>
      <c r="C633" s="63" t="s">
        <v>41</v>
      </c>
      <c r="D633" s="64" t="str">
        <f aca="false">TRIM(LEFT('Onshore- Melbourne'!A277,FIND(CHAR(10),'Onshore- Melbourne'!A277&amp;CHAR(10))-1))</f>
        <v>Greenwich College</v>
      </c>
      <c r="E633" s="63" t="str">
        <f aca="false">'Onshore- Melbourne'!C287&amp;""</f>
        <v>128 weeks</v>
      </c>
      <c r="F633" s="63" t="str">
        <f aca="false">IF('Onshore- Melbourne'!D287="","Belum tercatat",'Onshore- Melbourne'!D287)</f>
        <v>Term</v>
      </c>
      <c r="G633" s="65" t="n">
        <f aca="false">IF('Onshore- Melbourne'!E287="","-",'Onshore- Melbourne'!E287)</f>
        <v>1600</v>
      </c>
      <c r="H633" s="63" t="n">
        <f aca="false">IF(ISNUMBER(K633),COUNTIFS($J$6:$J$1916,J633,$K$6:$K$1916,"&lt;"&amp;K633)+1,"-")</f>
        <v>2</v>
      </c>
      <c r="I633" s="64" t="str">
        <f aca="false">IF('Onshore- Melbourne'!E287="","Harga belum tersedia - hubungi konsultan TEG",IF(M633=2,"Saat ini tidak menerima pendaftaran siswa internasional baru",IF(M633=1,"Harga perlu dikonfirmasi ke sekolah"&amp;IF(""="","","; "&amp;""),"")))</f>
        <v/>
      </c>
      <c r="J633" s="0" t="s">
        <v>3954</v>
      </c>
      <c r="K633" s="0" t="n">
        <f aca="false">IF(M633=2,"",IF(ISNUMBER(SEARCH("rata-rata:",'Onshore- Melbourne'!M287)),VALUE(MID('Onshore- Melbourne'!M287,SEARCH("rata-rata:",'Onshore- Melbourne'!M287)+11,FIND(";",'Onshore- Melbourne'!M287&amp;";",SEARCH("rata-rata:",'Onshore- Melbourne'!M287))-SEARCH("rata-rata:",'Onshore- Melbourne'!M287)-11)),IF('Onshore- Melbourne'!D287="Semester",'Onshore- Melbourne'!E287*2,IF('Onshore- Melbourne'!D287="Trimester",'Onshore- Melbourne'!E287*3,IF('Onshore- Melbourne'!D287="Term",'Onshore- Melbourne'!E287*4,IF('Onshore- Melbourne'!D287="Unit",'Onshore- Melbourne'!E287*8,""))))))</f>
        <v>6400</v>
      </c>
      <c r="L633" s="0" t="n">
        <f aca="false">IF(AND(ISNUMBER('Onshore- Melbourne'!E287),ISNUMBER(K633),ISNUMBER('Onshore- Melbourne'!F287),ISNUMBER('Onshore- Melbourne'!G287),OR('Onshore- Melbourne'!F287&lt;&gt;0,ISNUMBER(SEARCH("Material 0 terverifikasi",'Onshore- Melbourne'!M287))),OR('Onshore- Melbourne'!G287&lt;&gt;0,ISNUMBER(SEARCH("Enrolment 0 terverifikasi",'Onshore- Melbourne'!M287)))),1,0)</f>
        <v>1</v>
      </c>
      <c r="M633" s="0" t="n">
        <f aca="false">IF(OR('Onshore- Melbourne'!E287="",ISNUMBER(SEARCH("BSB80120",'Onshore- Melbourne'!B287&amp;'Onshore- Melbourne'!M287)),ISNUMBER(SEARCH("Management (Learning)",'Onshore- Melbourne'!B287))),2,IF(ISNUMBER(SEARCH("CEK:",'Onshore- Melbourne'!M287)),1,0))</f>
        <v>0</v>
      </c>
    </row>
    <row r="634" customFormat="false" ht="28.35" hidden="false" customHeight="false" outlineLevel="0" collapsed="false">
      <c r="A634" s="63" t="s">
        <v>3544</v>
      </c>
      <c r="B634" s="64" t="s">
        <v>3923</v>
      </c>
      <c r="C634" s="63" t="s">
        <v>41</v>
      </c>
      <c r="D634" s="64" t="str">
        <f aca="false">TRIM(LEFT('Onshore- Melbourne'!A53,FIND(CHAR(10),'Onshore- Melbourne'!A53&amp;CHAR(10))-1))</f>
        <v>Albright Institute of Business and Language (AIBL)</v>
      </c>
      <c r="E634" s="63" t="str">
        <f aca="false">'Onshore- Melbourne'!C56&amp;""</f>
        <v>2 years</v>
      </c>
      <c r="F634" s="63" t="str">
        <f aca="false">IF('Onshore- Melbourne'!D56="","Belum tercatat",'Onshore- Melbourne'!D56)</f>
        <v>Term</v>
      </c>
      <c r="G634" s="65" t="n">
        <f aca="false">IF('Onshore- Melbourne'!E56="","-",'Onshore- Melbourne'!E56)</f>
        <v>1625</v>
      </c>
      <c r="H634" s="63" t="n">
        <f aca="false">IF(ISNUMBER(K634),COUNTIFS($J$6:$J$1916,J634,$K$6:$K$1916,"&lt;"&amp;K634)+1,"-")</f>
        <v>3</v>
      </c>
      <c r="I634" s="64" t="str">
        <f aca="false">IF('Onshore- Melbourne'!E56="","Harga belum tersedia - hubungi konsultan TEG",IF(M634=2,"Saat ini tidak menerima pendaftaran siswa internasional baru",IF(M634=1,"Harga perlu dikonfirmasi ke sekolah"&amp;IF(""="","","; "&amp;""),"")))</f>
        <v/>
      </c>
      <c r="J634" s="0" t="s">
        <v>3954</v>
      </c>
      <c r="K634" s="0" t="n">
        <f aca="false">IF(M634=2,"",IF(ISNUMBER(SEARCH("rata-rata:",'Onshore- Melbourne'!M56)),VALUE(MID('Onshore- Melbourne'!M56,SEARCH("rata-rata:",'Onshore- Melbourne'!M56)+11,FIND(";",'Onshore- Melbourne'!M56&amp;";",SEARCH("rata-rata:",'Onshore- Melbourne'!M56))-SEARCH("rata-rata:",'Onshore- Melbourne'!M56)-11)),IF('Onshore- Melbourne'!D56="Semester",'Onshore- Melbourne'!E56*2,IF('Onshore- Melbourne'!D56="Trimester",'Onshore- Melbourne'!E56*3,IF('Onshore- Melbourne'!D56="Term",'Onshore- Melbourne'!E56*4,IF('Onshore- Melbourne'!D56="Unit",'Onshore- Melbourne'!E56*8,""))))))</f>
        <v>6500</v>
      </c>
      <c r="L634" s="0" t="n">
        <f aca="false">IF(AND(ISNUMBER('Onshore- Melbourne'!E56),ISNUMBER(K634),ISNUMBER('Onshore- Melbourne'!F56),ISNUMBER('Onshore- Melbourne'!G56),OR('Onshore- Melbourne'!F56&lt;&gt;0,ISNUMBER(SEARCH("Material 0 terverifikasi",'Onshore- Melbourne'!M56))),OR('Onshore- Melbourne'!G56&lt;&gt;0,ISNUMBER(SEARCH("Enrolment 0 terverifikasi",'Onshore- Melbourne'!M56)))),1,0)</f>
        <v>1</v>
      </c>
      <c r="M634" s="0" t="n">
        <f aca="false">IF(OR('Onshore- Melbourne'!E56="",ISNUMBER(SEARCH("BSB80120",'Onshore- Melbourne'!B56&amp;'Onshore- Melbourne'!M56)),ISNUMBER(SEARCH("Management (Learning)",'Onshore- Melbourne'!B56))),2,IF(ISNUMBER(SEARCH("CEK:",'Onshore- Melbourne'!M56)),1,0))</f>
        <v>0</v>
      </c>
    </row>
    <row r="635" customFormat="false" ht="28.35" hidden="false" customHeight="false" outlineLevel="0" collapsed="false">
      <c r="A635" s="63" t="s">
        <v>3544</v>
      </c>
      <c r="B635" s="64" t="s">
        <v>3923</v>
      </c>
      <c r="C635" s="63" t="s">
        <v>41</v>
      </c>
      <c r="D635" s="64" t="str">
        <f aca="false">TRIM(LEFT('Onshore- Melbourne'!A417,FIND(CHAR(10),'Onshore- Melbourne'!A417&amp;CHAR(10))-1))</f>
        <v>Signet Institute of Australia</v>
      </c>
      <c r="E635" s="63" t="str">
        <f aca="false">'Onshore- Melbourne'!C425&amp;""</f>
        <v>4 years</v>
      </c>
      <c r="F635" s="63" t="str">
        <f aca="false">IF('Onshore- Melbourne'!D425="","Belum tercatat",'Onshore- Melbourne'!D425)</f>
        <v>Term</v>
      </c>
      <c r="G635" s="65" t="n">
        <f aca="false">IF('Onshore- Melbourne'!E425="","-",'Onshore- Melbourne'!E425)</f>
        <v>1800</v>
      </c>
      <c r="H635" s="63" t="n">
        <f aca="false">IF(ISNUMBER(K635),COUNTIFS($J$6:$J$1916,J635,$K$6:$K$1916,"&lt;"&amp;K635)+1,"-")</f>
        <v>4</v>
      </c>
      <c r="I635" s="64" t="str">
        <f aca="false">IF('Onshore- Melbourne'!E425="","Harga belum tersedia - hubungi konsultan TEG",IF(M635=2,"Saat ini tidak menerima pendaftaran siswa internasional baru",IF(M635=1,"Harga perlu dikonfirmasi ke sekolah"&amp;IF(""="","","; "&amp;""),"")))</f>
        <v/>
      </c>
      <c r="J635" s="0" t="s">
        <v>3954</v>
      </c>
      <c r="K635" s="0" t="n">
        <f aca="false">IF(M635=2,"",IF(ISNUMBER(SEARCH("rata-rata:",'Onshore- Melbourne'!M425)),VALUE(MID('Onshore- Melbourne'!M425,SEARCH("rata-rata:",'Onshore- Melbourne'!M425)+11,FIND(";",'Onshore- Melbourne'!M425&amp;";",SEARCH("rata-rata:",'Onshore- Melbourne'!M425))-SEARCH("rata-rata:",'Onshore- Melbourne'!M425)-11)),IF('Onshore- Melbourne'!D425="Semester",'Onshore- Melbourne'!E425*2,IF('Onshore- Melbourne'!D425="Trimester",'Onshore- Melbourne'!E425*3,IF('Onshore- Melbourne'!D425="Term",'Onshore- Melbourne'!E425*4,IF('Onshore- Melbourne'!D425="Unit",'Onshore- Melbourne'!E425*8,""))))))</f>
        <v>7200</v>
      </c>
      <c r="L635" s="0" t="n">
        <f aca="false">IF(AND(ISNUMBER('Onshore- Melbourne'!E425),ISNUMBER(K635),ISNUMBER('Onshore- Melbourne'!F425),ISNUMBER('Onshore- Melbourne'!G425),OR('Onshore- Melbourne'!F425&lt;&gt;0,ISNUMBER(SEARCH("Material 0 terverifikasi",'Onshore- Melbourne'!M425))),OR('Onshore- Melbourne'!G425&lt;&gt;0,ISNUMBER(SEARCH("Enrolment 0 terverifikasi",'Onshore- Melbourne'!M425)))),1,0)</f>
        <v>1</v>
      </c>
      <c r="M635" s="0" t="n">
        <f aca="false">IF(OR('Onshore- Melbourne'!E425="",ISNUMBER(SEARCH("BSB80120",'Onshore- Melbourne'!B425&amp;'Onshore- Melbourne'!M425)),ISNUMBER(SEARCH("Management (Learning)",'Onshore- Melbourne'!B425))),2,IF(ISNUMBER(SEARCH("CEK:",'Onshore- Melbourne'!M425)),1,0))</f>
        <v>0</v>
      </c>
    </row>
    <row r="636" customFormat="false" ht="28.35" hidden="false" customHeight="false" outlineLevel="0" collapsed="false">
      <c r="A636" s="63" t="s">
        <v>3544</v>
      </c>
      <c r="B636" s="64" t="s">
        <v>3923</v>
      </c>
      <c r="C636" s="63" t="s">
        <v>41</v>
      </c>
      <c r="D636" s="64" t="str">
        <f aca="false">TRIM(LEFT('Onshore- Melbourne'!A6,FIND(CHAR(10),'Onshore- Melbourne'!A6&amp;CHAR(10))-1))</f>
        <v>Academies Australasia</v>
      </c>
      <c r="E636" s="63" t="str">
        <f aca="false">'Onshore- Melbourne'!C17&amp;""</f>
        <v>2 years</v>
      </c>
      <c r="F636" s="63" t="str">
        <f aca="false">IF('Onshore- Melbourne'!D17="","Belum tercatat",'Onshore- Melbourne'!D17)</f>
        <v>Term</v>
      </c>
      <c r="G636" s="65" t="n">
        <f aca="false">IF('Onshore- Melbourne'!E17="","-",'Onshore- Melbourne'!E17)</f>
        <v>1900</v>
      </c>
      <c r="H636" s="63" t="n">
        <f aca="false">IF(ISNUMBER(K636),COUNTIFS($J$6:$J$1916,J636,$K$6:$K$1916,"&lt;"&amp;K636)+1,"-")</f>
        <v>5</v>
      </c>
      <c r="I636" s="64" t="str">
        <f aca="false">IF('Onshore- Melbourne'!E17="","Harga belum tersedia - hubungi konsultan TEG",IF(M636=2,"Saat ini tidak menerima pendaftaran siswa internasional baru",IF(M636=1,"Harga perlu dikonfirmasi ke sekolah"&amp;IF(""="","","; "&amp;""),"")))</f>
        <v/>
      </c>
      <c r="J636" s="0" t="s">
        <v>3954</v>
      </c>
      <c r="K636" s="0" t="n">
        <f aca="false">IF(M636=2,"",IF(ISNUMBER(SEARCH("rata-rata:",'Onshore- Melbourne'!M17)),VALUE(MID('Onshore- Melbourne'!M17,SEARCH("rata-rata:",'Onshore- Melbourne'!M17)+11,FIND(";",'Onshore- Melbourne'!M17&amp;";",SEARCH("rata-rata:",'Onshore- Melbourne'!M17))-SEARCH("rata-rata:",'Onshore- Melbourne'!M17)-11)),IF('Onshore- Melbourne'!D17="Semester",'Onshore- Melbourne'!E17*2,IF('Onshore- Melbourne'!D17="Trimester",'Onshore- Melbourne'!E17*3,IF('Onshore- Melbourne'!D17="Term",'Onshore- Melbourne'!E17*4,IF('Onshore- Melbourne'!D17="Unit",'Onshore- Melbourne'!E17*8,""))))))</f>
        <v>7600</v>
      </c>
      <c r="L636" s="0" t="n">
        <f aca="false">IF(AND(ISNUMBER('Onshore- Melbourne'!E17),ISNUMBER(K636),ISNUMBER('Onshore- Melbourne'!F17),ISNUMBER('Onshore- Melbourne'!G17),OR('Onshore- Melbourne'!F17&lt;&gt;0,ISNUMBER(SEARCH("Material 0 terverifikasi",'Onshore- Melbourne'!M17))),OR('Onshore- Melbourne'!G17&lt;&gt;0,ISNUMBER(SEARCH("Enrolment 0 terverifikasi",'Onshore- Melbourne'!M17)))),1,0)</f>
        <v>1</v>
      </c>
      <c r="M636" s="0" t="n">
        <f aca="false">IF(OR('Onshore- Melbourne'!E17="",ISNUMBER(SEARCH("BSB80120",'Onshore- Melbourne'!B17&amp;'Onshore- Melbourne'!M17)),ISNUMBER(SEARCH("Management (Learning)",'Onshore- Melbourne'!B17))),2,IF(ISNUMBER(SEARCH("CEK:",'Onshore- Melbourne'!M17)),1,0))</f>
        <v>0</v>
      </c>
    </row>
    <row r="637" customFormat="false" ht="28.35" hidden="false" customHeight="false" outlineLevel="0" collapsed="false">
      <c r="A637" s="63" t="s">
        <v>3544</v>
      </c>
      <c r="B637" s="64" t="s">
        <v>3923</v>
      </c>
      <c r="C637" s="63" t="s">
        <v>41</v>
      </c>
      <c r="D637" s="64" t="str">
        <f aca="false">TRIM(LEFT('Onshore- Melbourne'!A259,FIND(CHAR(10),'Onshore- Melbourne'!A259&amp;CHAR(10))-1))</f>
        <v>Dalton College</v>
      </c>
      <c r="E637" s="63" t="str">
        <f aca="false">'Onshore- Melbourne'!C265&amp;""</f>
        <v>2 years</v>
      </c>
      <c r="F637" s="63" t="str">
        <f aca="false">IF('Onshore- Melbourne'!D265="","Belum tercatat",'Onshore- Melbourne'!D265)</f>
        <v>Term</v>
      </c>
      <c r="G637" s="65" t="n">
        <f aca="false">IF('Onshore- Melbourne'!E265="","-",'Onshore- Melbourne'!E265)</f>
        <v>1950</v>
      </c>
      <c r="H637" s="63" t="n">
        <f aca="false">IF(ISNUMBER(K637),COUNTIFS($J$6:$J$1916,J637,$K$6:$K$1916,"&lt;"&amp;K637)+1,"-")</f>
        <v>6</v>
      </c>
      <c r="I637" s="64" t="str">
        <f aca="false">IF('Onshore- Melbourne'!E265="","Harga belum tersedia - hubungi konsultan TEG",IF(M637=2,"Saat ini tidak menerima pendaftaran siswa internasional baru",IF(M637=1,"Harga perlu dikonfirmasi ke sekolah"&amp;IF(""="","","; "&amp;""),"")))</f>
        <v/>
      </c>
      <c r="J637" s="0" t="s">
        <v>3954</v>
      </c>
      <c r="K637" s="0" t="n">
        <f aca="false">IF(M637=2,"",IF(ISNUMBER(SEARCH("rata-rata:",'Onshore- Melbourne'!M265)),VALUE(MID('Onshore- Melbourne'!M265,SEARCH("rata-rata:",'Onshore- Melbourne'!M265)+11,FIND(";",'Onshore- Melbourne'!M265&amp;";",SEARCH("rata-rata:",'Onshore- Melbourne'!M265))-SEARCH("rata-rata:",'Onshore- Melbourne'!M265)-11)),IF('Onshore- Melbourne'!D265="Semester",'Onshore- Melbourne'!E265*2,IF('Onshore- Melbourne'!D265="Trimester",'Onshore- Melbourne'!E265*3,IF('Onshore- Melbourne'!D265="Term",'Onshore- Melbourne'!E265*4,IF('Onshore- Melbourne'!D265="Unit",'Onshore- Melbourne'!E265*8,""))))))</f>
        <v>7800</v>
      </c>
      <c r="L637" s="0" t="n">
        <f aca="false">IF(AND(ISNUMBER('Onshore- Melbourne'!E265),ISNUMBER(K637),ISNUMBER('Onshore- Melbourne'!F265),ISNUMBER('Onshore- Melbourne'!G265),OR('Onshore- Melbourne'!F265&lt;&gt;0,ISNUMBER(SEARCH("Material 0 terverifikasi",'Onshore- Melbourne'!M265))),OR('Onshore- Melbourne'!G265&lt;&gt;0,ISNUMBER(SEARCH("Enrolment 0 terverifikasi",'Onshore- Melbourne'!M265)))),1,0)</f>
        <v>1</v>
      </c>
      <c r="M637" s="0" t="n">
        <f aca="false">IF(OR('Onshore- Melbourne'!E265="",ISNUMBER(SEARCH("BSB80120",'Onshore- Melbourne'!B265&amp;'Onshore- Melbourne'!M265)),ISNUMBER(SEARCH("Management (Learning)",'Onshore- Melbourne'!B265))),2,IF(ISNUMBER(SEARCH("CEK:",'Onshore- Melbourne'!M265)),1,0))</f>
        <v>0</v>
      </c>
    </row>
    <row r="638" customFormat="false" ht="28.35" hidden="false" customHeight="false" outlineLevel="0" collapsed="false">
      <c r="A638" s="63" t="s">
        <v>3544</v>
      </c>
      <c r="B638" s="64" t="s">
        <v>3923</v>
      </c>
      <c r="C638" s="63" t="s">
        <v>41</v>
      </c>
      <c r="D638" s="64" t="str">
        <f aca="false">TRIM(LEFT('Onshore- Melbourne'!A208,FIND(CHAR(10),'Onshore- Melbourne'!A208&amp;CHAR(10))-1))</f>
        <v>Australian Institute of Digital Technology (AIDT)</v>
      </c>
      <c r="E638" s="63" t="str">
        <f aca="false">'Onshore- Melbourne'!C216&amp;""</f>
        <v>2 years</v>
      </c>
      <c r="F638" s="63" t="str">
        <f aca="false">IF('Onshore- Melbourne'!D216="","Belum tercatat",'Onshore- Melbourne'!D216)</f>
        <v>Term</v>
      </c>
      <c r="G638" s="65" t="n">
        <f aca="false">IF('Onshore- Melbourne'!E216="","-",'Onshore- Melbourne'!E216)</f>
        <v>2125</v>
      </c>
      <c r="H638" s="63" t="n">
        <f aca="false">IF(ISNUMBER(K638),COUNTIFS($J$6:$J$1916,J638,$K$6:$K$1916,"&lt;"&amp;K638)+1,"-")</f>
        <v>7</v>
      </c>
      <c r="I638" s="64" t="str">
        <f aca="false">IF('Onshore- Melbourne'!E216="","Harga belum tersedia - hubungi konsultan TEG",IF(M638=2,"Saat ini tidak menerima pendaftaran siswa internasional baru",IF(M638=1,"Harga perlu dikonfirmasi ke sekolah"&amp;IF(""="","","; "&amp;""),"")))</f>
        <v/>
      </c>
      <c r="J638" s="0" t="s">
        <v>3954</v>
      </c>
      <c r="K638" s="0" t="n">
        <f aca="false">IF(M638=2,"",IF(ISNUMBER(SEARCH("rata-rata:",'Onshore- Melbourne'!M216)),VALUE(MID('Onshore- Melbourne'!M216,SEARCH("rata-rata:",'Onshore- Melbourne'!M216)+11,FIND(";",'Onshore- Melbourne'!M216&amp;";",SEARCH("rata-rata:",'Onshore- Melbourne'!M216))-SEARCH("rata-rata:",'Onshore- Melbourne'!M216)-11)),IF('Onshore- Melbourne'!D216="Semester",'Onshore- Melbourne'!E216*2,IF('Onshore- Melbourne'!D216="Trimester",'Onshore- Melbourne'!E216*3,IF('Onshore- Melbourne'!D216="Term",'Onshore- Melbourne'!E216*4,IF('Onshore- Melbourne'!D216="Unit",'Onshore- Melbourne'!E216*8,""))))))</f>
        <v>8500</v>
      </c>
      <c r="L638" s="0" t="n">
        <f aca="false">IF(AND(ISNUMBER('Onshore- Melbourne'!E216),ISNUMBER(K638),ISNUMBER('Onshore- Melbourne'!F216),ISNUMBER('Onshore- Melbourne'!G216),OR('Onshore- Melbourne'!F216&lt;&gt;0,ISNUMBER(SEARCH("Material 0 terverifikasi",'Onshore- Melbourne'!M216))),OR('Onshore- Melbourne'!G216&lt;&gt;0,ISNUMBER(SEARCH("Enrolment 0 terverifikasi",'Onshore- Melbourne'!M216)))),1,0)</f>
        <v>1</v>
      </c>
      <c r="M638" s="0" t="n">
        <f aca="false">IF(OR('Onshore- Melbourne'!E216="",ISNUMBER(SEARCH("BSB80120",'Onshore- Melbourne'!B216&amp;'Onshore- Melbourne'!M216)),ISNUMBER(SEARCH("Management (Learning)",'Onshore- Melbourne'!B216))),2,IF(ISNUMBER(SEARCH("CEK:",'Onshore- Melbourne'!M216)),1,0))</f>
        <v>0</v>
      </c>
    </row>
    <row r="639" customFormat="false" ht="28.35" hidden="false" customHeight="false" outlineLevel="0" collapsed="false">
      <c r="A639" s="63" t="s">
        <v>3544</v>
      </c>
      <c r="B639" s="64" t="s">
        <v>3923</v>
      </c>
      <c r="C639" s="63" t="s">
        <v>41</v>
      </c>
      <c r="D639" s="64" t="str">
        <f aca="false">TRIM(LEFT('Onshore- Melbourne'!A301,FIND(CHAR(10),'Onshore- Melbourne'!A301&amp;CHAR(10))-1))</f>
        <v>INUS / ZOI (Nuture Education Group)</v>
      </c>
      <c r="E639" s="63" t="str">
        <f aca="false">'Onshore- Melbourne'!C301&amp;""</f>
        <v>2 years</v>
      </c>
      <c r="F639" s="63" t="str">
        <f aca="false">IF('Onshore- Melbourne'!D301="","Belum tercatat",'Onshore- Melbourne'!D301)</f>
        <v>Term</v>
      </c>
      <c r="G639" s="65" t="n">
        <f aca="false">IF('Onshore- Melbourne'!E301="","-",'Onshore- Melbourne'!E301)</f>
        <v>2250</v>
      </c>
      <c r="H639" s="63" t="n">
        <f aca="false">IF(ISNUMBER(K639),COUNTIFS($J$6:$J$1916,J639,$K$6:$K$1916,"&lt;"&amp;K639)+1,"-")</f>
        <v>8</v>
      </c>
      <c r="I639" s="64" t="str">
        <f aca="false">IF('Onshore- Melbourne'!E301="","Harga belum tersedia - hubungi konsultan TEG",IF(M639=2,"Saat ini tidak menerima pendaftaran siswa internasional baru",IF(M639=1,"Harga perlu dikonfirmasi ke sekolah"&amp;IF(""="","","; "&amp;""),"")))</f>
        <v>Harga perlu dikonfirmasi ke sekolah</v>
      </c>
      <c r="J639" s="0" t="s">
        <v>3954</v>
      </c>
      <c r="K639" s="0" t="n">
        <f aca="false">IF(M639=2,"",IF(ISNUMBER(SEARCH("rata-rata:",'Onshore- Melbourne'!M301)),VALUE(MID('Onshore- Melbourne'!M301,SEARCH("rata-rata:",'Onshore- Melbourne'!M301)+11,FIND(";",'Onshore- Melbourne'!M301&amp;";",SEARCH("rata-rata:",'Onshore- Melbourne'!M301))-SEARCH("rata-rata:",'Onshore- Melbourne'!M301)-11)),IF('Onshore- Melbourne'!D301="Semester",'Onshore- Melbourne'!E301*2,IF('Onshore- Melbourne'!D301="Trimester",'Onshore- Melbourne'!E301*3,IF('Onshore- Melbourne'!D301="Term",'Onshore- Melbourne'!E301*4,IF('Onshore- Melbourne'!D301="Unit",'Onshore- Melbourne'!E301*8,""))))))</f>
        <v>9000</v>
      </c>
      <c r="L639" s="0" t="n">
        <f aca="false">IF(AND(ISNUMBER('Onshore- Melbourne'!E301),ISNUMBER(K639),ISNUMBER('Onshore- Melbourne'!F301),ISNUMBER('Onshore- Melbourne'!G301),OR('Onshore- Melbourne'!F301&lt;&gt;0,ISNUMBER(SEARCH("Material 0 terverifikasi",'Onshore- Melbourne'!M301))),OR('Onshore- Melbourne'!G301&lt;&gt;0,ISNUMBER(SEARCH("Enrolment 0 terverifikasi",'Onshore- Melbourne'!M301)))),1,0)</f>
        <v>1</v>
      </c>
      <c r="M639" s="0" t="n">
        <f aca="false">IF(OR('Onshore- Melbourne'!E301="",ISNUMBER(SEARCH("BSB80120",'Onshore- Melbourne'!B301&amp;'Onshore- Melbourne'!M301)),ISNUMBER(SEARCH("Management (Learning)",'Onshore- Melbourne'!B301))),2,IF(ISNUMBER(SEARCH("CEK:",'Onshore- Melbourne'!M301)),1,0))</f>
        <v>1</v>
      </c>
    </row>
    <row r="640" customFormat="false" ht="28.35" hidden="false" customHeight="false" outlineLevel="0" collapsed="false">
      <c r="A640" s="63" t="s">
        <v>3544</v>
      </c>
      <c r="B640" s="64" t="s">
        <v>3923</v>
      </c>
      <c r="C640" s="63" t="s">
        <v>41</v>
      </c>
      <c r="D640" s="64" t="str">
        <f aca="false">TRIM(LEFT('Onshore- Melbourne'!A388,FIND(CHAR(10),'Onshore- Melbourne'!A388&amp;CHAR(10))-1))</f>
        <v>Opulence College</v>
      </c>
      <c r="E640" s="63" t="str">
        <f aca="false">'Onshore- Melbourne'!C388&amp;""</f>
        <v>2,5 years</v>
      </c>
      <c r="F640" s="63" t="str">
        <f aca="false">IF('Onshore- Melbourne'!D388="","Belum tercatat",'Onshore- Melbourne'!D388)</f>
        <v>Term</v>
      </c>
      <c r="G640" s="65" t="n">
        <f aca="false">IF('Onshore- Melbourne'!E388="","-",'Onshore- Melbourne'!E388)</f>
        <v>2300</v>
      </c>
      <c r="H640" s="63" t="n">
        <f aca="false">IF(ISNUMBER(K640),COUNTIFS($J$6:$J$1916,J640,$K$6:$K$1916,"&lt;"&amp;K640)+1,"-")</f>
        <v>9</v>
      </c>
      <c r="I640" s="64" t="str">
        <f aca="false">IF('Onshore- Melbourne'!E388="","Harga belum tersedia - hubungi konsultan TEG",IF(M640=2,"Saat ini tidak menerima pendaftaran siswa internasional baru",IF(M640=1,"Harga perlu dikonfirmasi ke sekolah"&amp;IF(""="","","; "&amp;""),"")))</f>
        <v/>
      </c>
      <c r="J640" s="0" t="s">
        <v>3954</v>
      </c>
      <c r="K640" s="0" t="n">
        <f aca="false">IF(M640=2,"",IF(ISNUMBER(SEARCH("rata-rata:",'Onshore- Melbourne'!M388)),VALUE(MID('Onshore- Melbourne'!M388,SEARCH("rata-rata:",'Onshore- Melbourne'!M388)+11,FIND(";",'Onshore- Melbourne'!M388&amp;";",SEARCH("rata-rata:",'Onshore- Melbourne'!M388))-SEARCH("rata-rata:",'Onshore- Melbourne'!M388)-11)),IF('Onshore- Melbourne'!D388="Semester",'Onshore- Melbourne'!E388*2,IF('Onshore- Melbourne'!D388="Trimester",'Onshore- Melbourne'!E388*3,IF('Onshore- Melbourne'!D388="Term",'Onshore- Melbourne'!E388*4,IF('Onshore- Melbourne'!D388="Unit",'Onshore- Melbourne'!E388*8,""))))))</f>
        <v>9200</v>
      </c>
      <c r="L640" s="0" t="n">
        <f aca="false">IF(AND(ISNUMBER('Onshore- Melbourne'!E388),ISNUMBER(K640),ISNUMBER('Onshore- Melbourne'!F388),ISNUMBER('Onshore- Melbourne'!G388),OR('Onshore- Melbourne'!F388&lt;&gt;0,ISNUMBER(SEARCH("Material 0 terverifikasi",'Onshore- Melbourne'!M388))),OR('Onshore- Melbourne'!G388&lt;&gt;0,ISNUMBER(SEARCH("Enrolment 0 terverifikasi",'Onshore- Melbourne'!M388)))),1,0)</f>
        <v>1</v>
      </c>
      <c r="M640" s="0" t="n">
        <f aca="false">IF(OR('Onshore- Melbourne'!E388="",ISNUMBER(SEARCH("BSB80120",'Onshore- Melbourne'!B388&amp;'Onshore- Melbourne'!M388)),ISNUMBER(SEARCH("Management (Learning)",'Onshore- Melbourne'!B388))),2,IF(ISNUMBER(SEARCH("CEK:",'Onshore- Melbourne'!M388)),1,0))</f>
        <v>0</v>
      </c>
    </row>
    <row r="641" customFormat="false" ht="28.35" hidden="false" customHeight="false" outlineLevel="0" collapsed="false">
      <c r="A641" s="63" t="s">
        <v>3544</v>
      </c>
      <c r="B641" s="64" t="s">
        <v>3923</v>
      </c>
      <c r="C641" s="63" t="s">
        <v>41</v>
      </c>
      <c r="D641" s="64" t="str">
        <f aca="false">TRIM(LEFT('Onshore- Melbourne'!A218,FIND(CHAR(10),'Onshore- Melbourne'!A218&amp;CHAR(10))-1))</f>
        <v>Australian Sovereign College (AuSC)</v>
      </c>
      <c r="E641" s="63" t="str">
        <f aca="false">'Onshore- Melbourne'!C221&amp;""</f>
        <v>3 years</v>
      </c>
      <c r="F641" s="63" t="str">
        <f aca="false">IF('Onshore- Melbourne'!D221="","Belum tercatat",'Onshore- Melbourne'!D221)</f>
        <v>Term</v>
      </c>
      <c r="G641" s="65" t="n">
        <f aca="false">IF('Onshore- Melbourne'!E221="","-",'Onshore- Melbourne'!E221)</f>
        <v>2600</v>
      </c>
      <c r="H641" s="63" t="n">
        <f aca="false">IF(ISNUMBER(K641),COUNTIFS($J$6:$J$1916,J641,$K$6:$K$1916,"&lt;"&amp;K641)+1,"-")</f>
        <v>10</v>
      </c>
      <c r="I641" s="64" t="str">
        <f aca="false">IF('Onshore- Melbourne'!E221="","Harga belum tersedia - hubungi konsultan TEG",IF(M641=2,"Saat ini tidak menerima pendaftaran siswa internasional baru",IF(M641=1,"Harga perlu dikonfirmasi ke sekolah"&amp;IF(""="","","; "&amp;""),"")))</f>
        <v/>
      </c>
      <c r="J641" s="0" t="s">
        <v>3954</v>
      </c>
      <c r="K641" s="0" t="n">
        <f aca="false">IF(M641=2,"",IF(ISNUMBER(SEARCH("rata-rata:",'Onshore- Melbourne'!M221)),VALUE(MID('Onshore- Melbourne'!M221,SEARCH("rata-rata:",'Onshore- Melbourne'!M221)+11,FIND(";",'Onshore- Melbourne'!M221&amp;";",SEARCH("rata-rata:",'Onshore- Melbourne'!M221))-SEARCH("rata-rata:",'Onshore- Melbourne'!M221)-11)),IF('Onshore- Melbourne'!D221="Semester",'Onshore- Melbourne'!E221*2,IF('Onshore- Melbourne'!D221="Trimester",'Onshore- Melbourne'!E221*3,IF('Onshore- Melbourne'!D221="Term",'Onshore- Melbourne'!E221*4,IF('Onshore- Melbourne'!D221="Unit",'Onshore- Melbourne'!E221*8,""))))))</f>
        <v>10400</v>
      </c>
      <c r="L641" s="0" t="n">
        <f aca="false">IF(AND(ISNUMBER('Onshore- Melbourne'!E221),ISNUMBER(K641),ISNUMBER('Onshore- Melbourne'!F221),ISNUMBER('Onshore- Melbourne'!G221),OR('Onshore- Melbourne'!F221&lt;&gt;0,ISNUMBER(SEARCH("Material 0 terverifikasi",'Onshore- Melbourne'!M221))),OR('Onshore- Melbourne'!G221&lt;&gt;0,ISNUMBER(SEARCH("Enrolment 0 terverifikasi",'Onshore- Melbourne'!M221)))),1,0)</f>
        <v>1</v>
      </c>
      <c r="M641" s="0" t="n">
        <f aca="false">IF(OR('Onshore- Melbourne'!E221="",ISNUMBER(SEARCH("BSB80120",'Onshore- Melbourne'!B221&amp;'Onshore- Melbourne'!M221)),ISNUMBER(SEARCH("Management (Learning)",'Onshore- Melbourne'!B221))),2,IF(ISNUMBER(SEARCH("CEK:",'Onshore- Melbourne'!M221)),1,0))</f>
        <v>0</v>
      </c>
    </row>
    <row r="642" customFormat="false" ht="28.35" hidden="false" customHeight="false" outlineLevel="0" collapsed="false">
      <c r="A642" s="63" t="s">
        <v>3544</v>
      </c>
      <c r="B642" s="64" t="s">
        <v>3923</v>
      </c>
      <c r="C642" s="63" t="s">
        <v>41</v>
      </c>
      <c r="D642" s="64" t="str">
        <f aca="false">TRIM(LEFT('Onshore- Melbourne'!A354,FIND(CHAR(10),'Onshore- Melbourne'!A354&amp;CHAR(10))-1))</f>
        <v>Melbourne Metro College</v>
      </c>
      <c r="E642" s="63" t="str">
        <f aca="false">'Onshore- Melbourne'!C357&amp;""</f>
        <v>3 years</v>
      </c>
      <c r="F642" s="63" t="str">
        <f aca="false">IF('Onshore- Melbourne'!D357="","Belum tercatat",'Onshore- Melbourne'!D357)</f>
        <v>Term</v>
      </c>
      <c r="G642" s="65" t="n">
        <f aca="false">IF('Onshore- Melbourne'!E357="","-",'Onshore- Melbourne'!E357)</f>
        <v>2875</v>
      </c>
      <c r="H642" s="63" t="n">
        <f aca="false">IF(ISNUMBER(K642),COUNTIFS($J$6:$J$1916,J642,$K$6:$K$1916,"&lt;"&amp;K642)+1,"-")</f>
        <v>11</v>
      </c>
      <c r="I642" s="64" t="str">
        <f aca="false">IF('Onshore- Melbourne'!E357="","Harga belum tersedia - hubungi konsultan TEG",IF(M642=2,"Saat ini tidak menerima pendaftaran siswa internasional baru",IF(M642=1,"Harga perlu dikonfirmasi ke sekolah"&amp;IF(""="","","; "&amp;""),"")))</f>
        <v/>
      </c>
      <c r="J642" s="0" t="s">
        <v>3954</v>
      </c>
      <c r="K642" s="0" t="n">
        <f aca="false">IF(M642=2,"",IF(ISNUMBER(SEARCH("rata-rata:",'Onshore- Melbourne'!M357)),VALUE(MID('Onshore- Melbourne'!M357,SEARCH("rata-rata:",'Onshore- Melbourne'!M357)+11,FIND(";",'Onshore- Melbourne'!M357&amp;";",SEARCH("rata-rata:",'Onshore- Melbourne'!M357))-SEARCH("rata-rata:",'Onshore- Melbourne'!M357)-11)),IF('Onshore- Melbourne'!D357="Semester",'Onshore- Melbourne'!E357*2,IF('Onshore- Melbourne'!D357="Trimester",'Onshore- Melbourne'!E357*3,IF('Onshore- Melbourne'!D357="Term",'Onshore- Melbourne'!E357*4,IF('Onshore- Melbourne'!D357="Unit",'Onshore- Melbourne'!E357*8,""))))))</f>
        <v>11500</v>
      </c>
      <c r="L642" s="0" t="n">
        <f aca="false">IF(AND(ISNUMBER('Onshore- Melbourne'!E357),ISNUMBER(K642),ISNUMBER('Onshore- Melbourne'!F357),ISNUMBER('Onshore- Melbourne'!G357),OR('Onshore- Melbourne'!F357&lt;&gt;0,ISNUMBER(SEARCH("Material 0 terverifikasi",'Onshore- Melbourne'!M357))),OR('Onshore- Melbourne'!G357&lt;&gt;0,ISNUMBER(SEARCH("Enrolment 0 terverifikasi",'Onshore- Melbourne'!M357)))),1,0)</f>
        <v>1</v>
      </c>
      <c r="M642" s="0" t="n">
        <f aca="false">IF(OR('Onshore- Melbourne'!E357="",ISNUMBER(SEARCH("BSB80120",'Onshore- Melbourne'!B357&amp;'Onshore- Melbourne'!M357)),ISNUMBER(SEARCH("Management (Learning)",'Onshore- Melbourne'!B357))),2,IF(ISNUMBER(SEARCH("CEK:",'Onshore- Melbourne'!M357)),1,0))</f>
        <v>0</v>
      </c>
    </row>
    <row r="643" customFormat="false" ht="28.35" hidden="false" customHeight="false" outlineLevel="0" collapsed="false">
      <c r="A643" s="63" t="s">
        <v>3544</v>
      </c>
      <c r="B643" s="64" t="s">
        <v>3923</v>
      </c>
      <c r="C643" s="63" t="s">
        <v>41</v>
      </c>
      <c r="D643" s="64" t="str">
        <f aca="false">TRIM(LEFT('Onshore- Melbourne'!A361,FIND(CHAR(10),'Onshore- Melbourne'!A361&amp;CHAR(10))-1))</f>
        <v>Menzies Institute of Technology</v>
      </c>
      <c r="E643" s="63" t="str">
        <f aca="false">'Onshore- Melbourne'!C362&amp;""</f>
        <v>2,5 years</v>
      </c>
      <c r="F643" s="63" t="str">
        <f aca="false">IF('Onshore- Melbourne'!D362="","Belum tercatat",'Onshore- Melbourne'!D362)</f>
        <v>Term</v>
      </c>
      <c r="G643" s="65" t="n">
        <f aca="false">IF('Onshore- Melbourne'!E362="","-",'Onshore- Melbourne'!E362)</f>
        <v>3150</v>
      </c>
      <c r="H643" s="63" t="n">
        <f aca="false">IF(ISNUMBER(K643),COUNTIFS($J$6:$J$1916,J643,$K$6:$K$1916,"&lt;"&amp;K643)+1,"-")</f>
        <v>12</v>
      </c>
      <c r="I643" s="64" t="str">
        <f aca="false">IF('Onshore- Melbourne'!E362="","Harga belum tersedia - hubungi konsultan TEG",IF(M643=2,"Saat ini tidak menerima pendaftaran siswa internasional baru",IF(M643=1,"Harga perlu dikonfirmasi ke sekolah"&amp;IF(""="","","; "&amp;""),"")))</f>
        <v>Harga perlu dikonfirmasi ke sekolah</v>
      </c>
      <c r="J643" s="0" t="s">
        <v>3954</v>
      </c>
      <c r="K643" s="0" t="n">
        <f aca="false">IF(M643=2,"",IF(ISNUMBER(SEARCH("rata-rata:",'Onshore- Melbourne'!M362)),VALUE(MID('Onshore- Melbourne'!M362,SEARCH("rata-rata:",'Onshore- Melbourne'!M362)+11,FIND(";",'Onshore- Melbourne'!M362&amp;";",SEARCH("rata-rata:",'Onshore- Melbourne'!M362))-SEARCH("rata-rata:",'Onshore- Melbourne'!M362)-11)),IF('Onshore- Melbourne'!D362="Semester",'Onshore- Melbourne'!E362*2,IF('Onshore- Melbourne'!D362="Trimester",'Onshore- Melbourne'!E362*3,IF('Onshore- Melbourne'!D362="Term",'Onshore- Melbourne'!E362*4,IF('Onshore- Melbourne'!D362="Unit",'Onshore- Melbourne'!E362*8,""))))))</f>
        <v>12600</v>
      </c>
      <c r="L643" s="0" t="n">
        <f aca="false">IF(AND(ISNUMBER('Onshore- Melbourne'!E362),ISNUMBER(K643),ISNUMBER('Onshore- Melbourne'!F362),ISNUMBER('Onshore- Melbourne'!G362),OR('Onshore- Melbourne'!F362&lt;&gt;0,ISNUMBER(SEARCH("Material 0 terverifikasi",'Onshore- Melbourne'!M362))),OR('Onshore- Melbourne'!G362&lt;&gt;0,ISNUMBER(SEARCH("Enrolment 0 terverifikasi",'Onshore- Melbourne'!M362)))),1,0)</f>
        <v>1</v>
      </c>
      <c r="M643" s="0" t="n">
        <f aca="false">IF(OR('Onshore- Melbourne'!E362="",ISNUMBER(SEARCH("BSB80120",'Onshore- Melbourne'!B362&amp;'Onshore- Melbourne'!M362)),ISNUMBER(SEARCH("Management (Learning)",'Onshore- Melbourne'!B362))),2,IF(ISNUMBER(SEARCH("CEK:",'Onshore- Melbourne'!M362)),1,0))</f>
        <v>1</v>
      </c>
    </row>
    <row r="644" customFormat="false" ht="28.35" hidden="false" customHeight="false" outlineLevel="0" collapsed="false">
      <c r="A644" s="63" t="s">
        <v>3544</v>
      </c>
      <c r="B644" s="64" t="s">
        <v>3923</v>
      </c>
      <c r="C644" s="63" t="s">
        <v>41</v>
      </c>
      <c r="D644" s="64" t="str">
        <f aca="false">TRIM(LEFT('Onshore- Melbourne'!A368,FIND(CHAR(10),'Onshore- Melbourne'!A368&amp;CHAR(10))-1))</f>
        <v>National Academy of Professional Studies (NAPS)</v>
      </c>
      <c r="E644" s="63" t="str">
        <f aca="false">'Onshore- Melbourne'!C376&amp;""</f>
        <v>2 years</v>
      </c>
      <c r="F644" s="63" t="str">
        <f aca="false">IF('Onshore- Melbourne'!D376="","Belum tercatat",'Onshore- Melbourne'!D376)</f>
        <v>Term</v>
      </c>
      <c r="G644" s="65" t="n">
        <f aca="false">IF('Onshore- Melbourne'!E376="","-",'Onshore- Melbourne'!E376)</f>
        <v>4500</v>
      </c>
      <c r="H644" s="63" t="n">
        <f aca="false">IF(ISNUMBER(K644),COUNTIFS($J$6:$J$1916,J644,$K$6:$K$1916,"&lt;"&amp;K644)+1,"-")</f>
        <v>13</v>
      </c>
      <c r="I644" s="64" t="str">
        <f aca="false">IF('Onshore- Melbourne'!E376="","Harga belum tersedia - hubungi konsultan TEG",IF(M644=2,"Saat ini tidak menerima pendaftaran siswa internasional baru",IF(M644=1,"Harga perlu dikonfirmasi ke sekolah"&amp;IF(""="","","; "&amp;""),"")))</f>
        <v>Harga perlu dikonfirmasi ke sekolah</v>
      </c>
      <c r="J644" s="0" t="s">
        <v>3954</v>
      </c>
      <c r="K644" s="0" t="n">
        <f aca="false">IF(M644=2,"",IF(ISNUMBER(SEARCH("rata-rata:",'Onshore- Melbourne'!M376)),VALUE(MID('Onshore- Melbourne'!M376,SEARCH("rata-rata:",'Onshore- Melbourne'!M376)+11,FIND(";",'Onshore- Melbourne'!M376&amp;";",SEARCH("rata-rata:",'Onshore- Melbourne'!M376))-SEARCH("rata-rata:",'Onshore- Melbourne'!M376)-11)),IF('Onshore- Melbourne'!D376="Semester",'Onshore- Melbourne'!E376*2,IF('Onshore- Melbourne'!D376="Trimester",'Onshore- Melbourne'!E376*3,IF('Onshore- Melbourne'!D376="Term",'Onshore- Melbourne'!E376*4,IF('Onshore- Melbourne'!D376="Unit",'Onshore- Melbourne'!E376*8,""))))))</f>
        <v>18000</v>
      </c>
      <c r="L644" s="0" t="n">
        <f aca="false">IF(AND(ISNUMBER('Onshore- Melbourne'!E376),ISNUMBER(K644),ISNUMBER('Onshore- Melbourne'!F376),ISNUMBER('Onshore- Melbourne'!G376),OR('Onshore- Melbourne'!F376&lt;&gt;0,ISNUMBER(SEARCH("Material 0 terverifikasi",'Onshore- Melbourne'!M376))),OR('Onshore- Melbourne'!G376&lt;&gt;0,ISNUMBER(SEARCH("Enrolment 0 terverifikasi",'Onshore- Melbourne'!M376)))),1,0)</f>
        <v>1</v>
      </c>
      <c r="M644" s="0" t="n">
        <f aca="false">IF(OR('Onshore- Melbourne'!E376="",ISNUMBER(SEARCH("BSB80120",'Onshore- Melbourne'!B376&amp;'Onshore- Melbourne'!M376)),ISNUMBER(SEARCH("Management (Learning)",'Onshore- Melbourne'!B376))),2,IF(ISNUMBER(SEARCH("CEK:",'Onshore- Melbourne'!M376)),1,0))</f>
        <v>1</v>
      </c>
    </row>
    <row r="645" customFormat="false" ht="28.35" hidden="false" customHeight="false" outlineLevel="0" collapsed="false">
      <c r="A645" s="63" t="s">
        <v>3544</v>
      </c>
      <c r="B645" s="64" t="s">
        <v>3923</v>
      </c>
      <c r="C645" s="63" t="s">
        <v>41</v>
      </c>
      <c r="D645" s="64" t="str">
        <f aca="false">TRIM(LEFT('Onshore- Melbourne'!A94,FIND(CHAR(10),'Onshore- Melbourne'!A94&amp;CHAR(10))-1))</f>
        <v>Australian Catholic University (ACU)</v>
      </c>
      <c r="E645" s="63" t="str">
        <f aca="false">'Onshore- Melbourne'!C196&amp;""</f>
        <v>1 year</v>
      </c>
      <c r="F645" s="63" t="str">
        <f aca="false">IF('Onshore- Melbourne'!D196="","Belum tercatat",'Onshore- Melbourne'!D196)</f>
        <v>Term</v>
      </c>
      <c r="G645" s="65" t="n">
        <f aca="false">IF('Onshore- Melbourne'!E196="","-",'Onshore- Melbourne'!E196)</f>
        <v>8906</v>
      </c>
      <c r="H645" s="63" t="n">
        <f aca="false">IF(ISNUMBER(K645),COUNTIFS($J$6:$J$1916,J645,$K$6:$K$1916,"&lt;"&amp;K645)+1,"-")</f>
        <v>14</v>
      </c>
      <c r="I645" s="64" t="str">
        <f aca="false">IF('Onshore- Melbourne'!E196="","Harga belum tersedia - hubungi konsultan TEG",IF(M645=2,"Saat ini tidak menerima pendaftaran siswa internasional baru",IF(M645=1,"Harga perlu dikonfirmasi ke sekolah"&amp;IF(""="","","; "&amp;""),"")))</f>
        <v/>
      </c>
      <c r="J645" s="0" t="s">
        <v>3954</v>
      </c>
      <c r="K645" s="0" t="n">
        <f aca="false">IF(M645=2,"",IF(ISNUMBER(SEARCH("rata-rata:",'Onshore- Melbourne'!M196)),VALUE(MID('Onshore- Melbourne'!M196,SEARCH("rata-rata:",'Onshore- Melbourne'!M196)+11,FIND(";",'Onshore- Melbourne'!M196&amp;";",SEARCH("rata-rata:",'Onshore- Melbourne'!M196))-SEARCH("rata-rata:",'Onshore- Melbourne'!M196)-11)),IF('Onshore- Melbourne'!D196="Semester",'Onshore- Melbourne'!E196*2,IF('Onshore- Melbourne'!D196="Trimester",'Onshore- Melbourne'!E196*3,IF('Onshore- Melbourne'!D196="Term",'Onshore- Melbourne'!E196*4,IF('Onshore- Melbourne'!D196="Unit",'Onshore- Melbourne'!E196*8,""))))))</f>
        <v>35624</v>
      </c>
      <c r="L645" s="0" t="n">
        <f aca="false">IF(AND(ISNUMBER('Onshore- Melbourne'!E196),ISNUMBER(K645),ISNUMBER('Onshore- Melbourne'!F196),ISNUMBER('Onshore- Melbourne'!G196),OR('Onshore- Melbourne'!F196&lt;&gt;0,ISNUMBER(SEARCH("Material 0 terverifikasi",'Onshore- Melbourne'!M196))),OR('Onshore- Melbourne'!G196&lt;&gt;0,ISNUMBER(SEARCH("Enrolment 0 terverifikasi",'Onshore- Melbourne'!M196)))),1,0)</f>
        <v>0</v>
      </c>
      <c r="M645" s="0" t="n">
        <f aca="false">IF(OR('Onshore- Melbourne'!E196="",ISNUMBER(SEARCH("BSB80120",'Onshore- Melbourne'!B196&amp;'Onshore- Melbourne'!M196)),ISNUMBER(SEARCH("Management (Learning)",'Onshore- Melbourne'!B196))),2,IF(ISNUMBER(SEARCH("CEK:",'Onshore- Melbourne'!M196)),1,0))</f>
        <v>0</v>
      </c>
    </row>
    <row r="646" customFormat="false" ht="15" hidden="false" customHeight="false" outlineLevel="0" collapsed="false">
      <c r="A646" s="61" t="s">
        <v>3955</v>
      </c>
      <c r="B646" s="62"/>
      <c r="C646" s="62"/>
      <c r="D646" s="62"/>
      <c r="E646" s="62"/>
      <c r="F646" s="62"/>
      <c r="G646" s="62"/>
      <c r="H646" s="62"/>
      <c r="I646" s="62"/>
    </row>
    <row r="647" customFormat="false" ht="28.35" hidden="false" customHeight="false" outlineLevel="0" collapsed="false">
      <c r="A647" s="63" t="s">
        <v>3544</v>
      </c>
      <c r="B647" s="64" t="s">
        <v>3923</v>
      </c>
      <c r="C647" s="63" t="s">
        <v>42</v>
      </c>
      <c r="D647" s="64" t="str">
        <f aca="false">TRIM(LEFT('Onshore- Melbourne'!A218,FIND(CHAR(10),'Onshore- Melbourne'!A218&amp;CHAR(10))-1))</f>
        <v>Australian Sovereign College (AuSC)</v>
      </c>
      <c r="E647" s="63" t="str">
        <f aca="false">'Onshore- Melbourne'!C223&amp;""</f>
        <v>3 years</v>
      </c>
      <c r="F647" s="63" t="str">
        <f aca="false">IF('Onshore- Melbourne'!D223="","Belum tercatat",'Onshore- Melbourne'!D223)</f>
        <v>Term</v>
      </c>
      <c r="G647" s="65" t="n">
        <f aca="false">IF('Onshore- Melbourne'!E223="","-",'Onshore- Melbourne'!E223)</f>
        <v>2500</v>
      </c>
      <c r="H647" s="63" t="n">
        <f aca="false">IF(ISNUMBER(K647),COUNTIFS($J$6:$J$1916,J647,$K$6:$K$1916,"&lt;"&amp;K647)+1,"-")</f>
        <v>1</v>
      </c>
      <c r="I647" s="64" t="str">
        <f aca="false">IF('Onshore- Melbourne'!E223="","Harga belum tersedia - hubungi konsultan TEG",IF(M647=2,"Saat ini tidak menerima pendaftaran siswa internasional baru",IF(M647=1,"Harga perlu dikonfirmasi ke sekolah"&amp;IF(""="","","; "&amp;""),"")))</f>
        <v/>
      </c>
      <c r="J647" s="0" t="s">
        <v>3956</v>
      </c>
      <c r="K647" s="0" t="n">
        <f aca="false">IF(M647=2,"",IF(ISNUMBER(SEARCH("rata-rata:",'Onshore- Melbourne'!M223)),VALUE(MID('Onshore- Melbourne'!M223,SEARCH("rata-rata:",'Onshore- Melbourne'!M223)+11,FIND(";",'Onshore- Melbourne'!M223&amp;";",SEARCH("rata-rata:",'Onshore- Melbourne'!M223))-SEARCH("rata-rata:",'Onshore- Melbourne'!M223)-11)),IF('Onshore- Melbourne'!D223="Semester",'Onshore- Melbourne'!E223*2,IF('Onshore- Melbourne'!D223="Trimester",'Onshore- Melbourne'!E223*3,IF('Onshore- Melbourne'!D223="Term",'Onshore- Melbourne'!E223*4,IF('Onshore- Melbourne'!D223="Unit",'Onshore- Melbourne'!E223*8,""))))))</f>
        <v>10000</v>
      </c>
      <c r="L647" s="0" t="n">
        <f aca="false">IF(AND(ISNUMBER('Onshore- Melbourne'!E223),ISNUMBER(K647),ISNUMBER('Onshore- Melbourne'!F223),ISNUMBER('Onshore- Melbourne'!G223),OR('Onshore- Melbourne'!F223&lt;&gt;0,ISNUMBER(SEARCH("Material 0 terverifikasi",'Onshore- Melbourne'!M223))),OR('Onshore- Melbourne'!G223&lt;&gt;0,ISNUMBER(SEARCH("Enrolment 0 terverifikasi",'Onshore- Melbourne'!M223)))),1,0)</f>
        <v>1</v>
      </c>
      <c r="M647" s="0" t="n">
        <f aca="false">IF(OR('Onshore- Melbourne'!E223="",ISNUMBER(SEARCH("BSB80120",'Onshore- Melbourne'!B223&amp;'Onshore- Melbourne'!M223)),ISNUMBER(SEARCH("Management (Learning)",'Onshore- Melbourne'!B223))),2,IF(ISNUMBER(SEARCH("CEK:",'Onshore- Melbourne'!M223)),1,0))</f>
        <v>0</v>
      </c>
    </row>
    <row r="648" customFormat="false" ht="15" hidden="false" customHeight="false" outlineLevel="0" collapsed="false">
      <c r="A648" s="61" t="s">
        <v>3957</v>
      </c>
      <c r="B648" s="62"/>
      <c r="C648" s="62"/>
      <c r="D648" s="62"/>
      <c r="E648" s="62"/>
      <c r="F648" s="62"/>
      <c r="G648" s="62"/>
      <c r="H648" s="62"/>
      <c r="I648" s="62"/>
    </row>
    <row r="649" customFormat="false" ht="28.35" hidden="false" customHeight="false" outlineLevel="0" collapsed="false">
      <c r="A649" s="63" t="s">
        <v>3544</v>
      </c>
      <c r="B649" s="64" t="s">
        <v>3923</v>
      </c>
      <c r="C649" s="63" t="s">
        <v>43</v>
      </c>
      <c r="D649" s="64" t="str">
        <f aca="false">TRIM(LEFT('Onshore- Melbourne'!A336,FIND(CHAR(10),'Onshore- Melbourne'!A336&amp;CHAR(10))-1))</f>
        <v>Laurus Higher Education</v>
      </c>
      <c r="E649" s="63" t="str">
        <f aca="false">'Onshore- Melbourne'!C336&amp;""</f>
        <v>3 years</v>
      </c>
      <c r="F649" s="63" t="str">
        <f aca="false">IF('Onshore- Melbourne'!D336="","Belum tercatat",'Onshore- Melbourne'!D336)</f>
        <v>Term</v>
      </c>
      <c r="G649" s="65" t="n">
        <f aca="false">IF('Onshore- Melbourne'!E336="","-",'Onshore- Melbourne'!E336)</f>
        <v>4000</v>
      </c>
      <c r="H649" s="63" t="n">
        <f aca="false">IF(ISNUMBER(K649),COUNTIFS($J$6:$J$1916,J649,$K$6:$K$1916,"&lt;"&amp;K649)+1,"-")</f>
        <v>1</v>
      </c>
      <c r="I649" s="64" t="str">
        <f aca="false">IF('Onshore- Melbourne'!E336="","Harga belum tersedia - hubungi konsultan TEG",IF(M649=2,"Saat ini tidak menerima pendaftaran siswa internasional baru",IF(M649=1,"Harga perlu dikonfirmasi ke sekolah"&amp;IF(""="","","; "&amp;""),"")))</f>
        <v/>
      </c>
      <c r="J649" s="0" t="s">
        <v>3958</v>
      </c>
      <c r="K649" s="0" t="n">
        <f aca="false">IF(M649=2,"",IF(ISNUMBER(SEARCH("rata-rata:",'Onshore- Melbourne'!M336)),VALUE(MID('Onshore- Melbourne'!M336,SEARCH("rata-rata:",'Onshore- Melbourne'!M336)+11,FIND(";",'Onshore- Melbourne'!M336&amp;";",SEARCH("rata-rata:",'Onshore- Melbourne'!M336))-SEARCH("rata-rata:",'Onshore- Melbourne'!M336)-11)),IF('Onshore- Melbourne'!D336="Semester",'Onshore- Melbourne'!E336*2,IF('Onshore- Melbourne'!D336="Trimester",'Onshore- Melbourne'!E336*3,IF('Onshore- Melbourne'!D336="Term",'Onshore- Melbourne'!E336*4,IF('Onshore- Melbourne'!D336="Unit",'Onshore- Melbourne'!E336*8,""))))))</f>
        <v>16000</v>
      </c>
      <c r="L649" s="0" t="n">
        <f aca="false">IF(AND(ISNUMBER('Onshore- Melbourne'!E336),ISNUMBER(K649),ISNUMBER('Onshore- Melbourne'!F336),ISNUMBER('Onshore- Melbourne'!G336),OR('Onshore- Melbourne'!F336&lt;&gt;0,ISNUMBER(SEARCH("Material 0 terverifikasi",'Onshore- Melbourne'!M336))),OR('Onshore- Melbourne'!G336&lt;&gt;0,ISNUMBER(SEARCH("Enrolment 0 terverifikasi",'Onshore- Melbourne'!M336)))),1,0)</f>
        <v>1</v>
      </c>
      <c r="M649" s="0" t="n">
        <f aca="false">IF(OR('Onshore- Melbourne'!E336="",ISNUMBER(SEARCH("BSB80120",'Onshore- Melbourne'!B336&amp;'Onshore- Melbourne'!M336)),ISNUMBER(SEARCH("Management (Learning)",'Onshore- Melbourne'!B336))),2,IF(ISNUMBER(SEARCH("CEK:",'Onshore- Melbourne'!M336)),1,0))</f>
        <v>0</v>
      </c>
    </row>
    <row r="650" customFormat="false" ht="28.35" hidden="false" customHeight="false" outlineLevel="0" collapsed="false">
      <c r="A650" s="63" t="s">
        <v>3544</v>
      </c>
      <c r="B650" s="64" t="s">
        <v>3923</v>
      </c>
      <c r="C650" s="63" t="s">
        <v>43</v>
      </c>
      <c r="D650" s="64" t="str">
        <f aca="false">TRIM(LEFT('Onshore- Melbourne'!A368,FIND(CHAR(10),'Onshore- Melbourne'!A368&amp;CHAR(10))-1))</f>
        <v>National Academy of Professional Studies (NAPS)</v>
      </c>
      <c r="E650" s="63" t="str">
        <f aca="false">'Onshore- Melbourne'!C375&amp;""</f>
        <v>4 years</v>
      </c>
      <c r="F650" s="63" t="str">
        <f aca="false">IF('Onshore- Melbourne'!D375="","Belum tercatat",'Onshore- Melbourne'!D375)</f>
        <v>Term</v>
      </c>
      <c r="G650" s="65" t="n">
        <f aca="false">IF('Onshore- Melbourne'!E375="","-",'Onshore- Melbourne'!E375)</f>
        <v>4500</v>
      </c>
      <c r="H650" s="63" t="n">
        <f aca="false">IF(ISNUMBER(K650),COUNTIFS($J$6:$J$1916,J650,$K$6:$K$1916,"&lt;"&amp;K650)+1,"-")</f>
        <v>2</v>
      </c>
      <c r="I650" s="64" t="str">
        <f aca="false">IF('Onshore- Melbourne'!E375="","Harga belum tersedia - hubungi konsultan TEG",IF(M650=2,"Saat ini tidak menerima pendaftaran siswa internasional baru",IF(M650=1,"Harga perlu dikonfirmasi ke sekolah"&amp;IF(""="","","; "&amp;""),"")))</f>
        <v>Harga perlu dikonfirmasi ke sekolah</v>
      </c>
      <c r="J650" s="0" t="s">
        <v>3958</v>
      </c>
      <c r="K650" s="0" t="n">
        <f aca="false">IF(M650=2,"",IF(ISNUMBER(SEARCH("rata-rata:",'Onshore- Melbourne'!M375)),VALUE(MID('Onshore- Melbourne'!M375,SEARCH("rata-rata:",'Onshore- Melbourne'!M375)+11,FIND(";",'Onshore- Melbourne'!M375&amp;";",SEARCH("rata-rata:",'Onshore- Melbourne'!M375))-SEARCH("rata-rata:",'Onshore- Melbourne'!M375)-11)),IF('Onshore- Melbourne'!D375="Semester",'Onshore- Melbourne'!E375*2,IF('Onshore- Melbourne'!D375="Trimester",'Onshore- Melbourne'!E375*3,IF('Onshore- Melbourne'!D375="Term",'Onshore- Melbourne'!E375*4,IF('Onshore- Melbourne'!D375="Unit",'Onshore- Melbourne'!E375*8,""))))))</f>
        <v>18000</v>
      </c>
      <c r="L650" s="0" t="n">
        <f aca="false">IF(AND(ISNUMBER('Onshore- Melbourne'!E375),ISNUMBER(K650),ISNUMBER('Onshore- Melbourne'!F375),ISNUMBER('Onshore- Melbourne'!G375),OR('Onshore- Melbourne'!F375&lt;&gt;0,ISNUMBER(SEARCH("Material 0 terverifikasi",'Onshore- Melbourne'!M375))),OR('Onshore- Melbourne'!G375&lt;&gt;0,ISNUMBER(SEARCH("Enrolment 0 terverifikasi",'Onshore- Melbourne'!M375)))),1,0)</f>
        <v>1</v>
      </c>
      <c r="M650" s="0" t="n">
        <f aca="false">IF(OR('Onshore- Melbourne'!E375="",ISNUMBER(SEARCH("BSB80120",'Onshore- Melbourne'!B375&amp;'Onshore- Melbourne'!M375)),ISNUMBER(SEARCH("Management (Learning)",'Onshore- Melbourne'!B375))),2,IF(ISNUMBER(SEARCH("CEK:",'Onshore- Melbourne'!M375)),1,0))</f>
        <v>1</v>
      </c>
    </row>
    <row r="651" customFormat="false" ht="28.35" hidden="false" customHeight="false" outlineLevel="0" collapsed="false">
      <c r="A651" s="63" t="s">
        <v>3544</v>
      </c>
      <c r="B651" s="64" t="s">
        <v>3923</v>
      </c>
      <c r="C651" s="63" t="s">
        <v>43</v>
      </c>
      <c r="D651" s="64" t="str">
        <f aca="false">TRIM(LEFT('Onshore- Melbourne'!A461,FIND(CHAR(10),'Onshore- Melbourne'!A461&amp;CHAR(10))-1))</f>
        <v>Torrens University Australia</v>
      </c>
      <c r="E651" s="63" t="str">
        <f aca="false">'Onshore- Melbourne'!C537&amp;""</f>
        <v>3 years</v>
      </c>
      <c r="F651" s="63" t="str">
        <f aca="false">IF('Onshore- Melbourne'!D537="","Belum tercatat",'Onshore- Melbourne'!D537)</f>
        <v>Term</v>
      </c>
      <c r="G651" s="65" t="n">
        <f aca="false">IF('Onshore- Melbourne'!E537="","-",'Onshore- Melbourne'!E537)</f>
        <v>7333</v>
      </c>
      <c r="H651" s="63" t="n">
        <f aca="false">IF(ISNUMBER(K651),COUNTIFS($J$6:$J$1916,J651,$K$6:$K$1916,"&lt;"&amp;K651)+1,"-")</f>
        <v>3</v>
      </c>
      <c r="I651" s="64" t="str">
        <f aca="false">IF('Onshore- Melbourne'!E537="","Harga belum tersedia - hubungi konsultan TEG",IF(M651=2,"Saat ini tidak menerima pendaftaran siswa internasional baru",IF(M651=1,"Harga perlu dikonfirmasi ke sekolah"&amp;IF(""="","","; "&amp;""),"")))</f>
        <v/>
      </c>
      <c r="J651" s="0" t="s">
        <v>3958</v>
      </c>
      <c r="K651" s="0" t="n">
        <f aca="false">IF(M651=2,"",IF(ISNUMBER(SEARCH("rata-rata:",'Onshore- Melbourne'!M537)),VALUE(MID('Onshore- Melbourne'!M537,SEARCH("rata-rata:",'Onshore- Melbourne'!M537)+11,FIND(";",'Onshore- Melbourne'!M537&amp;";",SEARCH("rata-rata:",'Onshore- Melbourne'!M537))-SEARCH("rata-rata:",'Onshore- Melbourne'!M537)-11)),IF('Onshore- Melbourne'!D537="Semester",'Onshore- Melbourne'!E537*2,IF('Onshore- Melbourne'!D537="Trimester",'Onshore- Melbourne'!E537*3,IF('Onshore- Melbourne'!D537="Term",'Onshore- Melbourne'!E537*4,IF('Onshore- Melbourne'!D537="Unit",'Onshore- Melbourne'!E537*8,""))))))</f>
        <v>29332</v>
      </c>
      <c r="L651" s="0" t="n">
        <f aca="false">IF(AND(ISNUMBER('Onshore- Melbourne'!E537),ISNUMBER(K651),ISNUMBER('Onshore- Melbourne'!F537),ISNUMBER('Onshore- Melbourne'!G537),OR('Onshore- Melbourne'!F537&lt;&gt;0,ISNUMBER(SEARCH("Material 0 terverifikasi",'Onshore- Melbourne'!M537))),OR('Onshore- Melbourne'!G537&lt;&gt;0,ISNUMBER(SEARCH("Enrolment 0 terverifikasi",'Onshore- Melbourne'!M537)))),1,0)</f>
        <v>0</v>
      </c>
      <c r="M651" s="0" t="n">
        <f aca="false">IF(OR('Onshore- Melbourne'!E537="",ISNUMBER(SEARCH("BSB80120",'Onshore- Melbourne'!B537&amp;'Onshore- Melbourne'!M537)),ISNUMBER(SEARCH("Management (Learning)",'Onshore- Melbourne'!B537))),2,IF(ISNUMBER(SEARCH("CEK:",'Onshore- Melbourne'!M537)),1,0))</f>
        <v>0</v>
      </c>
    </row>
    <row r="652" customFormat="false" ht="28.35" hidden="false" customHeight="false" outlineLevel="0" collapsed="false">
      <c r="A652" s="63" t="s">
        <v>3544</v>
      </c>
      <c r="B652" s="64" t="s">
        <v>3923</v>
      </c>
      <c r="C652" s="63" t="s">
        <v>43</v>
      </c>
      <c r="D652" s="64" t="str">
        <f aca="false">TRIM(LEFT('Onshore- Melbourne'!A94,FIND(CHAR(10),'Onshore- Melbourne'!A94&amp;CHAR(10))-1))</f>
        <v>Australian Catholic University (ACU)</v>
      </c>
      <c r="E652" s="63" t="str">
        <f aca="false">'Onshore- Melbourne'!C170&amp;""</f>
        <v>4 years</v>
      </c>
      <c r="F652" s="63" t="str">
        <f aca="false">IF('Onshore- Melbourne'!D170="","Belum tercatat",'Onshore- Melbourne'!D170)</f>
        <v>Term</v>
      </c>
      <c r="G652" s="65" t="n">
        <f aca="false">IF('Onshore- Melbourne'!E170="","-",'Onshore- Melbourne'!E170)</f>
        <v>8098</v>
      </c>
      <c r="H652" s="63" t="n">
        <f aca="false">IF(ISNUMBER(K652),COUNTIFS($J$6:$J$1916,J652,$K$6:$K$1916,"&lt;"&amp;K652)+1,"-")</f>
        <v>4</v>
      </c>
      <c r="I652" s="64" t="str">
        <f aca="false">IF('Onshore- Melbourne'!E170="","Harga belum tersedia - hubungi konsultan TEG",IF(M652=2,"Saat ini tidak menerima pendaftaran siswa internasional baru",IF(M652=1,"Harga perlu dikonfirmasi ke sekolah"&amp;IF(""="","","; "&amp;""),"")))</f>
        <v/>
      </c>
      <c r="J652" s="0" t="s">
        <v>3958</v>
      </c>
      <c r="K652" s="0" t="n">
        <f aca="false">IF(M652=2,"",IF(ISNUMBER(SEARCH("rata-rata:",'Onshore- Melbourne'!M170)),VALUE(MID('Onshore- Melbourne'!M170,SEARCH("rata-rata:",'Onshore- Melbourne'!M170)+11,FIND(";",'Onshore- Melbourne'!M170&amp;";",SEARCH("rata-rata:",'Onshore- Melbourne'!M170))-SEARCH("rata-rata:",'Onshore- Melbourne'!M170)-11)),IF('Onshore- Melbourne'!D170="Semester",'Onshore- Melbourne'!E170*2,IF('Onshore- Melbourne'!D170="Trimester",'Onshore- Melbourne'!E170*3,IF('Onshore- Melbourne'!D170="Term",'Onshore- Melbourne'!E170*4,IF('Onshore- Melbourne'!D170="Unit",'Onshore- Melbourne'!E170*8,""))))))</f>
        <v>32392</v>
      </c>
      <c r="L652" s="0" t="n">
        <f aca="false">IF(AND(ISNUMBER('Onshore- Melbourne'!E170),ISNUMBER(K652),ISNUMBER('Onshore- Melbourne'!F170),ISNUMBER('Onshore- Melbourne'!G170),OR('Onshore- Melbourne'!F170&lt;&gt;0,ISNUMBER(SEARCH("Material 0 terverifikasi",'Onshore- Melbourne'!M170))),OR('Onshore- Melbourne'!G170&lt;&gt;0,ISNUMBER(SEARCH("Enrolment 0 terverifikasi",'Onshore- Melbourne'!M170)))),1,0)</f>
        <v>0</v>
      </c>
      <c r="M652" s="0" t="n">
        <f aca="false">IF(OR('Onshore- Melbourne'!E170="",ISNUMBER(SEARCH("BSB80120",'Onshore- Melbourne'!B170&amp;'Onshore- Melbourne'!M170)),ISNUMBER(SEARCH("Management (Learning)",'Onshore- Melbourne'!B170))),2,IF(ISNUMBER(SEARCH("CEK:",'Onshore- Melbourne'!M170)),1,0))</f>
        <v>0</v>
      </c>
    </row>
    <row r="653" customFormat="false" ht="15" hidden="false" customHeight="false" outlineLevel="0" collapsed="false">
      <c r="A653" s="61" t="s">
        <v>3959</v>
      </c>
      <c r="B653" s="62"/>
      <c r="C653" s="62"/>
      <c r="D653" s="62"/>
      <c r="E653" s="62"/>
      <c r="F653" s="62"/>
      <c r="G653" s="62"/>
      <c r="H653" s="62"/>
      <c r="I653" s="62"/>
    </row>
    <row r="654" customFormat="false" ht="28.35" hidden="false" customHeight="false" outlineLevel="0" collapsed="false">
      <c r="A654" s="63" t="s">
        <v>3544</v>
      </c>
      <c r="B654" s="64" t="s">
        <v>3923</v>
      </c>
      <c r="C654" s="63" t="s">
        <v>46</v>
      </c>
      <c r="D654" s="64" t="str">
        <f aca="false">TRIM(LEFT('Onshore- Melbourne'!A94,FIND(CHAR(10),'Onshore- Melbourne'!A94&amp;CHAR(10))-1))</f>
        <v>Australian Catholic University (ACU)</v>
      </c>
      <c r="E654" s="63" t="str">
        <f aca="false">'Onshore- Melbourne'!C181&amp;""</f>
        <v>2 years</v>
      </c>
      <c r="F654" s="63" t="str">
        <f aca="false">IF('Onshore- Melbourne'!D181="","Belum tercatat",'Onshore- Melbourne'!D181)</f>
        <v>Term</v>
      </c>
      <c r="G654" s="65" t="n">
        <f aca="false">IF('Onshore- Melbourne'!E181="","-",'Onshore- Melbourne'!E181)</f>
        <v>8018</v>
      </c>
      <c r="H654" s="63" t="n">
        <f aca="false">IF(ISNUMBER(K654),COUNTIFS($J$6:$J$1916,J654,$K$6:$K$1916,"&lt;"&amp;K654)+1,"-")</f>
        <v>1</v>
      </c>
      <c r="I654" s="64" t="str">
        <f aca="false">IF('Onshore- Melbourne'!E181="","Harga belum tersedia - hubungi konsultan TEG",IF(M654=2,"Saat ini tidak menerima pendaftaran siswa internasional baru",IF(M654=1,"Harga perlu dikonfirmasi ke sekolah"&amp;IF(""="","","; "&amp;""),"")))</f>
        <v/>
      </c>
      <c r="J654" s="0" t="s">
        <v>3960</v>
      </c>
      <c r="K654" s="0" t="n">
        <f aca="false">IF(M654=2,"",IF(ISNUMBER(SEARCH("rata-rata:",'Onshore- Melbourne'!M181)),VALUE(MID('Onshore- Melbourne'!M181,SEARCH("rata-rata:",'Onshore- Melbourne'!M181)+11,FIND(";",'Onshore- Melbourne'!M181&amp;";",SEARCH("rata-rata:",'Onshore- Melbourne'!M181))-SEARCH("rata-rata:",'Onshore- Melbourne'!M181)-11)),IF('Onshore- Melbourne'!D181="Semester",'Onshore- Melbourne'!E181*2,IF('Onshore- Melbourne'!D181="Trimester",'Onshore- Melbourne'!E181*3,IF('Onshore- Melbourne'!D181="Term",'Onshore- Melbourne'!E181*4,IF('Onshore- Melbourne'!D181="Unit",'Onshore- Melbourne'!E181*8,""))))))</f>
        <v>32072</v>
      </c>
      <c r="L654" s="0" t="n">
        <f aca="false">IF(AND(ISNUMBER('Onshore- Melbourne'!E181),ISNUMBER(K654),ISNUMBER('Onshore- Melbourne'!F181),ISNUMBER('Onshore- Melbourne'!G181),OR('Onshore- Melbourne'!F181&lt;&gt;0,ISNUMBER(SEARCH("Material 0 terverifikasi",'Onshore- Melbourne'!M181))),OR('Onshore- Melbourne'!G181&lt;&gt;0,ISNUMBER(SEARCH("Enrolment 0 terverifikasi",'Onshore- Melbourne'!M181)))),1,0)</f>
        <v>0</v>
      </c>
      <c r="M654" s="0" t="n">
        <f aca="false">IF(OR('Onshore- Melbourne'!E181="",ISNUMBER(SEARCH("BSB80120",'Onshore- Melbourne'!B181&amp;'Onshore- Melbourne'!M181)),ISNUMBER(SEARCH("Management (Learning)",'Onshore- Melbourne'!B181))),2,IF(ISNUMBER(SEARCH("CEK:",'Onshore- Melbourne'!M181)),1,0))</f>
        <v>0</v>
      </c>
    </row>
    <row r="655" customFormat="false" ht="15" hidden="false" customHeight="false" outlineLevel="0" collapsed="false">
      <c r="A655" s="61" t="s">
        <v>3961</v>
      </c>
      <c r="B655" s="62"/>
      <c r="C655" s="62"/>
      <c r="D655" s="62"/>
      <c r="E655" s="62"/>
      <c r="F655" s="62"/>
      <c r="G655" s="62"/>
      <c r="H655" s="62"/>
      <c r="I655" s="62"/>
    </row>
    <row r="656" customFormat="false" ht="28.35" hidden="false" customHeight="false" outlineLevel="0" collapsed="false">
      <c r="A656" s="63" t="s">
        <v>3573</v>
      </c>
      <c r="B656" s="64" t="s">
        <v>3923</v>
      </c>
      <c r="C656" s="63" t="s">
        <v>41</v>
      </c>
      <c r="D656" s="64" t="str">
        <f aca="false">TRIM(LEFT('Onshore - Perth'!A77,FIND(CHAR(10),'Onshore - Perth'!A77&amp;CHAR(10))-1))</f>
        <v>Greenwich College</v>
      </c>
      <c r="E656" s="63" t="str">
        <f aca="false">'Onshore - Perth'!C83&amp;""</f>
        <v>128 weeks</v>
      </c>
      <c r="F656" s="63" t="str">
        <f aca="false">IF('Onshore - Perth'!D83="","Belum tercatat",'Onshore - Perth'!D83)</f>
        <v>Term</v>
      </c>
      <c r="G656" s="65" t="n">
        <f aca="false">IF('Onshore - Perth'!E83="","-",'Onshore - Perth'!E83)</f>
        <v>1600</v>
      </c>
      <c r="H656" s="63" t="n">
        <f aca="false">IF(ISNUMBER(K656),COUNTIFS($J$6:$J$1916,J656,$K$6:$K$1916,"&lt;"&amp;K656)+1,"-")</f>
        <v>1</v>
      </c>
      <c r="I656" s="64" t="str">
        <f aca="false">IF('Onshore - Perth'!E83="","Harga belum tersedia - hubungi konsultan TEG",IF(M656=2,"Saat ini tidak menerima pendaftaran siswa internasional baru",IF(M656=1,"Harga perlu dikonfirmasi ke sekolah"&amp;IF(""="","","; "&amp;""),"")))</f>
        <v/>
      </c>
      <c r="J656" s="0" t="s">
        <v>3962</v>
      </c>
      <c r="K656" s="0" t="n">
        <f aca="false">IF(M656=2,"",IF(ISNUMBER(SEARCH("rata-rata:",'Onshore - Perth'!M83)),VALUE(MID('Onshore - Perth'!M83,SEARCH("rata-rata:",'Onshore - Perth'!M83)+11,FIND(";",'Onshore - Perth'!M83&amp;";",SEARCH("rata-rata:",'Onshore - Perth'!M83))-SEARCH("rata-rata:",'Onshore - Perth'!M83)-11)),IF('Onshore - Perth'!D83="Semester",'Onshore - Perth'!E83*2,IF('Onshore - Perth'!D83="Trimester",'Onshore - Perth'!E83*3,IF('Onshore - Perth'!D83="Term",'Onshore - Perth'!E83*4,IF('Onshore - Perth'!D83="Unit",'Onshore - Perth'!E83*8,""))))))</f>
        <v>6400</v>
      </c>
      <c r="L656" s="0" t="n">
        <f aca="false">IF(AND(ISNUMBER('Onshore - Perth'!E83),ISNUMBER(K656),ISNUMBER('Onshore - Perth'!F83),ISNUMBER('Onshore - Perth'!G83),OR('Onshore - Perth'!F83&lt;&gt;0,ISNUMBER(SEARCH("Material 0 terverifikasi",'Onshore - Perth'!M83))),OR('Onshore - Perth'!G83&lt;&gt;0,ISNUMBER(SEARCH("Enrolment 0 terverifikasi",'Onshore - Perth'!M83)))),1,0)</f>
        <v>1</v>
      </c>
      <c r="M656" s="0" t="n">
        <f aca="false">IF(OR('Onshore - Perth'!E83="",ISNUMBER(SEARCH("BSB80120",'Onshore - Perth'!B83&amp;'Onshore - Perth'!M83)),ISNUMBER(SEARCH("Management (Learning)",'Onshore - Perth'!B83))),2,IF(ISNUMBER(SEARCH("CEK:",'Onshore - Perth'!M83)),1,0))</f>
        <v>0</v>
      </c>
    </row>
    <row r="657" customFormat="false" ht="28.35" hidden="false" customHeight="false" outlineLevel="0" collapsed="false">
      <c r="A657" s="63" t="s">
        <v>3573</v>
      </c>
      <c r="B657" s="64" t="s">
        <v>3923</v>
      </c>
      <c r="C657" s="63" t="s">
        <v>41</v>
      </c>
      <c r="D657" s="64" t="str">
        <f aca="false">TRIM(LEFT('Onshore - Perth'!A124,FIND(CHAR(10),'Onshore - Perth'!A124&amp;CHAR(10))-1))</f>
        <v>Kingston International College</v>
      </c>
      <c r="E657" s="63" t="str">
        <f aca="false">'Onshore - Perth'!C131&amp;""</f>
        <v>2 years</v>
      </c>
      <c r="F657" s="63" t="str">
        <f aca="false">IF('Onshore - Perth'!D131="","Belum tercatat",'Onshore - Perth'!D131)</f>
        <v>Term</v>
      </c>
      <c r="G657" s="65" t="n">
        <f aca="false">IF('Onshore - Perth'!E131="","-",'Onshore - Perth'!E131)</f>
        <v>2200</v>
      </c>
      <c r="H657" s="63" t="n">
        <f aca="false">IF(ISNUMBER(K657),COUNTIFS($J$6:$J$1916,J657,$K$6:$K$1916,"&lt;"&amp;K657)+1,"-")</f>
        <v>2</v>
      </c>
      <c r="I657" s="64" t="str">
        <f aca="false">IF('Onshore - Perth'!E131="","Harga belum tersedia - hubungi konsultan TEG",IF(M657=2,"Saat ini tidak menerima pendaftaran siswa internasional baru",IF(M657=1,"Harga perlu dikonfirmasi ke sekolah"&amp;IF(""="","","; "&amp;""),"")))</f>
        <v/>
      </c>
      <c r="J657" s="0" t="s">
        <v>3962</v>
      </c>
      <c r="K657" s="0" t="n">
        <f aca="false">IF(M657=2,"",IF(ISNUMBER(SEARCH("rata-rata:",'Onshore - Perth'!M131)),VALUE(MID('Onshore - Perth'!M131,SEARCH("rata-rata:",'Onshore - Perth'!M131)+11,FIND(";",'Onshore - Perth'!M131&amp;";",SEARCH("rata-rata:",'Onshore - Perth'!M131))-SEARCH("rata-rata:",'Onshore - Perth'!M131)-11)),IF('Onshore - Perth'!D131="Semester",'Onshore - Perth'!E131*2,IF('Onshore - Perth'!D131="Trimester",'Onshore - Perth'!E131*3,IF('Onshore - Perth'!D131="Term",'Onshore - Perth'!E131*4,IF('Onshore - Perth'!D131="Unit",'Onshore - Perth'!E131*8,""))))))</f>
        <v>8800</v>
      </c>
      <c r="L657" s="0" t="n">
        <f aca="false">IF(AND(ISNUMBER('Onshore - Perth'!E131),ISNUMBER(K657),ISNUMBER('Onshore - Perth'!F131),ISNUMBER('Onshore - Perth'!G131),OR('Onshore - Perth'!F131&lt;&gt;0,ISNUMBER(SEARCH("Material 0 terverifikasi",'Onshore - Perth'!M131))),OR('Onshore - Perth'!G131&lt;&gt;0,ISNUMBER(SEARCH("Enrolment 0 terverifikasi",'Onshore - Perth'!M131)))),1,0)</f>
        <v>1</v>
      </c>
      <c r="M657" s="0" t="n">
        <f aca="false">IF(OR('Onshore - Perth'!E131="",ISNUMBER(SEARCH("BSB80120",'Onshore - Perth'!B131&amp;'Onshore - Perth'!M131)),ISNUMBER(SEARCH("Management (Learning)",'Onshore - Perth'!B131))),2,IF(ISNUMBER(SEARCH("CEK:",'Onshore - Perth'!M131)),1,0))</f>
        <v>0</v>
      </c>
    </row>
    <row r="658" customFormat="false" ht="28.35" hidden="false" customHeight="false" outlineLevel="0" collapsed="false">
      <c r="A658" s="63" t="s">
        <v>3573</v>
      </c>
      <c r="B658" s="64" t="s">
        <v>3923</v>
      </c>
      <c r="C658" s="63" t="s">
        <v>41</v>
      </c>
      <c r="D658" s="64" t="str">
        <f aca="false">TRIM(LEFT('Onshore - Perth'!A36,FIND(CHAR(10),'Onshore - Perth'!A36&amp;CHAR(10))-1))</f>
        <v>Aroha College</v>
      </c>
      <c r="E658" s="63" t="str">
        <f aca="false">'Onshore - Perth'!C37&amp;""</f>
        <v>1,75 years</v>
      </c>
      <c r="F658" s="63" t="str">
        <f aca="false">IF('Onshore - Perth'!D37="","Belum tercatat",'Onshore - Perth'!D37)</f>
        <v>Term</v>
      </c>
      <c r="G658" s="65" t="n">
        <f aca="false">IF('Onshore - Perth'!E37="","-",'Onshore - Perth'!E37)</f>
        <v>2800</v>
      </c>
      <c r="H658" s="63" t="n">
        <f aca="false">IF(ISNUMBER(K658),COUNTIFS($J$6:$J$1916,J658,$K$6:$K$1916,"&lt;"&amp;K658)+1,"-")</f>
        <v>3</v>
      </c>
      <c r="I658" s="64" t="str">
        <f aca="false">IF('Onshore - Perth'!E37="","Harga belum tersedia - hubungi konsultan TEG",IF(M658=2,"Saat ini tidak menerima pendaftaran siswa internasional baru",IF(M658=1,"Harga perlu dikonfirmasi ke sekolah"&amp;IF(""="","","; "&amp;""),"")))</f>
        <v/>
      </c>
      <c r="J658" s="0" t="s">
        <v>3962</v>
      </c>
      <c r="K658" s="0" t="n">
        <f aca="false">IF(M658=2,"",IF(ISNUMBER(SEARCH("rata-rata:",'Onshore - Perth'!M37)),VALUE(MID('Onshore - Perth'!M37,SEARCH("rata-rata:",'Onshore - Perth'!M37)+11,FIND(";",'Onshore - Perth'!M37&amp;";",SEARCH("rata-rata:",'Onshore - Perth'!M37))-SEARCH("rata-rata:",'Onshore - Perth'!M37)-11)),IF('Onshore - Perth'!D37="Semester",'Onshore - Perth'!E37*2,IF('Onshore - Perth'!D37="Trimester",'Onshore - Perth'!E37*3,IF('Onshore - Perth'!D37="Term",'Onshore - Perth'!E37*4,IF('Onshore - Perth'!D37="Unit",'Onshore - Perth'!E37*8,""))))))</f>
        <v>11200</v>
      </c>
      <c r="L658" s="0" t="n">
        <f aca="false">IF(AND(ISNUMBER('Onshore - Perth'!E37),ISNUMBER(K658),ISNUMBER('Onshore - Perth'!F37),ISNUMBER('Onshore - Perth'!G37),OR('Onshore - Perth'!F37&lt;&gt;0,ISNUMBER(SEARCH("Material 0 terverifikasi",'Onshore - Perth'!M37))),OR('Onshore - Perth'!G37&lt;&gt;0,ISNUMBER(SEARCH("Enrolment 0 terverifikasi",'Onshore - Perth'!M37)))),1,0)</f>
        <v>0</v>
      </c>
      <c r="M658" s="0" t="n">
        <f aca="false">IF(OR('Onshore - Perth'!E37="",ISNUMBER(SEARCH("BSB80120",'Onshore - Perth'!B37&amp;'Onshore - Perth'!M37)),ISNUMBER(SEARCH("Management (Learning)",'Onshore - Perth'!B37))),2,IF(ISNUMBER(SEARCH("CEK:",'Onshore - Perth'!M37)),1,0))</f>
        <v>0</v>
      </c>
    </row>
    <row r="659" customFormat="false" ht="28.35" hidden="false" customHeight="false" outlineLevel="0" collapsed="false">
      <c r="A659" s="63" t="s">
        <v>3573</v>
      </c>
      <c r="B659" s="64" t="s">
        <v>3923</v>
      </c>
      <c r="C659" s="63" t="s">
        <v>41</v>
      </c>
      <c r="D659" s="64" t="str">
        <f aca="false">TRIM(LEFT('Onshore - Perth'!A62,FIND(CHAR(10),'Onshore - Perth'!A62&amp;CHAR(10))-1))</f>
        <v>Global College Australasia</v>
      </c>
      <c r="E659" s="63" t="str">
        <f aca="false">'Onshore - Perth'!C72&amp;""</f>
        <v>2,5 years</v>
      </c>
      <c r="F659" s="63" t="str">
        <f aca="false">IF('Onshore - Perth'!D72="","Belum tercatat",'Onshore - Perth'!D72)</f>
        <v>Term</v>
      </c>
      <c r="G659" s="65" t="n">
        <f aca="false">IF('Onshore - Perth'!E72="","-",'Onshore - Perth'!E72)</f>
        <v>3100</v>
      </c>
      <c r="H659" s="63" t="n">
        <f aca="false">IF(ISNUMBER(K659),COUNTIFS($J$6:$J$1916,J659,$K$6:$K$1916,"&lt;"&amp;K659)+1,"-")</f>
        <v>4</v>
      </c>
      <c r="I659" s="64" t="str">
        <f aca="false">IF('Onshore - Perth'!E72="","Harga belum tersedia - hubungi konsultan TEG",IF(M659=2,"Saat ini tidak menerima pendaftaran siswa internasional baru",IF(M659=1,"Harga perlu dikonfirmasi ke sekolah"&amp;IF(""="","","; "&amp;""),"")))</f>
        <v/>
      </c>
      <c r="J659" s="0" t="s">
        <v>3962</v>
      </c>
      <c r="K659" s="0" t="n">
        <f aca="false">IF(M659=2,"",IF(ISNUMBER(SEARCH("rata-rata:",'Onshore - Perth'!M72)),VALUE(MID('Onshore - Perth'!M72,SEARCH("rata-rata:",'Onshore - Perth'!M72)+11,FIND(";",'Onshore - Perth'!M72&amp;";",SEARCH("rata-rata:",'Onshore - Perth'!M72))-SEARCH("rata-rata:",'Onshore - Perth'!M72)-11)),IF('Onshore - Perth'!D72="Semester",'Onshore - Perth'!E72*2,IF('Onshore - Perth'!D72="Trimester",'Onshore - Perth'!E72*3,IF('Onshore - Perth'!D72="Term",'Onshore - Perth'!E72*4,IF('Onshore - Perth'!D72="Unit",'Onshore - Perth'!E72*8,""))))))</f>
        <v>12400</v>
      </c>
      <c r="L659" s="0" t="n">
        <f aca="false">IF(AND(ISNUMBER('Onshore - Perth'!E72),ISNUMBER(K659),ISNUMBER('Onshore - Perth'!F72),ISNUMBER('Onshore - Perth'!G72),OR('Onshore - Perth'!F72&lt;&gt;0,ISNUMBER(SEARCH("Material 0 terverifikasi",'Onshore - Perth'!M72))),OR('Onshore - Perth'!G72&lt;&gt;0,ISNUMBER(SEARCH("Enrolment 0 terverifikasi",'Onshore - Perth'!M72)))),1,0)</f>
        <v>1</v>
      </c>
      <c r="M659" s="0" t="n">
        <f aca="false">IF(OR('Onshore - Perth'!E72="",ISNUMBER(SEARCH("BSB80120",'Onshore - Perth'!B72&amp;'Onshore - Perth'!M72)),ISNUMBER(SEARCH("Management (Learning)",'Onshore - Perth'!B72))),2,IF(ISNUMBER(SEARCH("CEK:",'Onshore - Perth'!M72)),1,0))</f>
        <v>0</v>
      </c>
    </row>
    <row r="660" customFormat="false" ht="15" hidden="false" customHeight="false" outlineLevel="0" collapsed="false">
      <c r="A660" s="61" t="s">
        <v>3963</v>
      </c>
      <c r="B660" s="62"/>
      <c r="C660" s="62"/>
      <c r="D660" s="62"/>
      <c r="E660" s="62"/>
      <c r="F660" s="62"/>
      <c r="G660" s="62"/>
      <c r="H660" s="62"/>
      <c r="I660" s="62"/>
    </row>
    <row r="661" customFormat="false" ht="28.35" hidden="false" customHeight="false" outlineLevel="0" collapsed="false">
      <c r="A661" s="63" t="s">
        <v>3573</v>
      </c>
      <c r="B661" s="64" t="s">
        <v>3923</v>
      </c>
      <c r="C661" s="63" t="s">
        <v>42</v>
      </c>
      <c r="D661" s="64" t="str">
        <f aca="false">TRIM(LEFT('Onshore - Perth'!A133,FIND(CHAR(10),'Onshore - Perth'!A133&amp;CHAR(10))-1))</f>
        <v>Novus College</v>
      </c>
      <c r="E661" s="63" t="str">
        <f aca="false">'Onshore - Perth'!C135&amp;""</f>
        <v>1,5 years</v>
      </c>
      <c r="F661" s="63" t="str">
        <f aca="false">IF('Onshore - Perth'!D135="","Belum tercatat",'Onshore - Perth'!D135)</f>
        <v>Term</v>
      </c>
      <c r="G661" s="65" t="n">
        <f aca="false">IF('Onshore - Perth'!E135="","-",'Onshore - Perth'!E135)</f>
        <v>2200</v>
      </c>
      <c r="H661" s="63" t="n">
        <f aca="false">IF(ISNUMBER(K661),COUNTIFS($J$6:$J$1916,J661,$K$6:$K$1916,"&lt;"&amp;K661)+1,"-")</f>
        <v>1</v>
      </c>
      <c r="I661" s="64" t="str">
        <f aca="false">IF('Onshore - Perth'!E135="","Harga belum tersedia - hubungi konsultan TEG",IF(M661=2,"Saat ini tidak menerima pendaftaran siswa internasional baru",IF(M661=1,"Program perlu dikonfirmasi ketersediaannya"&amp;IF(""="","","; "&amp;""),"")))</f>
        <v>Program perlu dikonfirmasi ketersediaannya</v>
      </c>
      <c r="J661" s="0" t="s">
        <v>3964</v>
      </c>
      <c r="K661" s="0" t="n">
        <f aca="false">IF(M661=2,"",IF(ISNUMBER(SEARCH("rata-rata:",'Onshore - Perth'!M135)),VALUE(MID('Onshore - Perth'!M135,SEARCH("rata-rata:",'Onshore - Perth'!M135)+11,FIND(";",'Onshore - Perth'!M135&amp;";",SEARCH("rata-rata:",'Onshore - Perth'!M135))-SEARCH("rata-rata:",'Onshore - Perth'!M135)-11)),IF('Onshore - Perth'!D135="Semester",'Onshore - Perth'!E135*2,IF('Onshore - Perth'!D135="Trimester",'Onshore - Perth'!E135*3,IF('Onshore - Perth'!D135="Term",'Onshore - Perth'!E135*4,IF('Onshore - Perth'!D135="Unit",'Onshore - Perth'!E135*8,""))))))</f>
        <v>8800</v>
      </c>
      <c r="L661" s="0" t="n">
        <f aca="false">IF(AND(ISNUMBER('Onshore - Perth'!E135),ISNUMBER(K661),ISNUMBER('Onshore - Perth'!F135),ISNUMBER('Onshore - Perth'!G135),OR('Onshore - Perth'!F135&lt;&gt;0,ISNUMBER(SEARCH("Material 0 terverifikasi",'Onshore - Perth'!M135))),OR('Onshore - Perth'!G135&lt;&gt;0,ISNUMBER(SEARCH("Enrolment 0 terverifikasi",'Onshore - Perth'!M135)))),1,0)</f>
        <v>1</v>
      </c>
      <c r="M661" s="0" t="n">
        <f aca="false">IF(OR('Onshore - Perth'!E135="",ISNUMBER(SEARCH("BSB80120",'Onshore - Perth'!B135&amp;'Onshore - Perth'!M135)),ISNUMBER(SEARCH("Management (Learning)",'Onshore - Perth'!B135))),2,IF(ISNUMBER(SEARCH("CEK:",'Onshore - Perth'!M135)),1,0))</f>
        <v>1</v>
      </c>
    </row>
    <row r="662" customFormat="false" ht="28.35" hidden="false" customHeight="false" outlineLevel="0" collapsed="false">
      <c r="A662" s="63" t="s">
        <v>3573</v>
      </c>
      <c r="B662" s="64" t="s">
        <v>3923</v>
      </c>
      <c r="C662" s="63" t="s">
        <v>42</v>
      </c>
      <c r="D662" s="64" t="str">
        <f aca="false">TRIM(LEFT('Onshore - Perth'!A62,FIND(CHAR(10),'Onshore - Perth'!A62&amp;CHAR(10))-1))</f>
        <v>Global College Australasia</v>
      </c>
      <c r="E662" s="63" t="str">
        <f aca="false">'Onshore - Perth'!C73&amp;""</f>
        <v>3 years</v>
      </c>
      <c r="F662" s="63" t="str">
        <f aca="false">IF('Onshore - Perth'!D73="","Belum tercatat",'Onshore - Perth'!D73)</f>
        <v>Term</v>
      </c>
      <c r="G662" s="65" t="n">
        <f aca="false">IF('Onshore - Perth'!E73="","-",'Onshore - Perth'!E73)</f>
        <v>3100</v>
      </c>
      <c r="H662" s="63" t="n">
        <f aca="false">IF(ISNUMBER(K662),COUNTIFS($J$6:$J$1916,J662,$K$6:$K$1916,"&lt;"&amp;K662)+1,"-")</f>
        <v>2</v>
      </c>
      <c r="I662" s="64" t="str">
        <f aca="false">IF('Onshore - Perth'!E73="","Harga belum tersedia - hubungi konsultan TEG",IF(M662=2,"Saat ini tidak menerima pendaftaran siswa internasional baru",IF(M662=1,"Harga perlu dikonfirmasi ke sekolah"&amp;IF(""="","","; "&amp;""),"")))</f>
        <v/>
      </c>
      <c r="J662" s="0" t="s">
        <v>3964</v>
      </c>
      <c r="K662" s="0" t="n">
        <f aca="false">IF(M662=2,"",IF(ISNUMBER(SEARCH("rata-rata:",'Onshore - Perth'!M73)),VALUE(MID('Onshore - Perth'!M73,SEARCH("rata-rata:",'Onshore - Perth'!M73)+11,FIND(";",'Onshore - Perth'!M73&amp;";",SEARCH("rata-rata:",'Onshore - Perth'!M73))-SEARCH("rata-rata:",'Onshore - Perth'!M73)-11)),IF('Onshore - Perth'!D73="Semester",'Onshore - Perth'!E73*2,IF('Onshore - Perth'!D73="Trimester",'Onshore - Perth'!E73*3,IF('Onshore - Perth'!D73="Term",'Onshore - Perth'!E73*4,IF('Onshore - Perth'!D73="Unit",'Onshore - Perth'!E73*8,""))))))</f>
        <v>12400</v>
      </c>
      <c r="L662" s="0" t="n">
        <f aca="false">IF(AND(ISNUMBER('Onshore - Perth'!E73),ISNUMBER(K662),ISNUMBER('Onshore - Perth'!F73),ISNUMBER('Onshore - Perth'!G73),OR('Onshore - Perth'!F73&lt;&gt;0,ISNUMBER(SEARCH("Material 0 terverifikasi",'Onshore - Perth'!M73))),OR('Onshore - Perth'!G73&lt;&gt;0,ISNUMBER(SEARCH("Enrolment 0 terverifikasi",'Onshore - Perth'!M73)))),1,0)</f>
        <v>1</v>
      </c>
      <c r="M662" s="0" t="n">
        <f aca="false">IF(OR('Onshore - Perth'!E73="",ISNUMBER(SEARCH("BSB80120",'Onshore - Perth'!B73&amp;'Onshore - Perth'!M73)),ISNUMBER(SEARCH("Management (Learning)",'Onshore - Perth'!B73))),2,IF(ISNUMBER(SEARCH("CEK:",'Onshore - Perth'!M73)),1,0))</f>
        <v>0</v>
      </c>
    </row>
    <row r="663" customFormat="false" ht="15" hidden="false" customHeight="false" outlineLevel="0" collapsed="false">
      <c r="A663" s="61" t="s">
        <v>3965</v>
      </c>
      <c r="B663" s="62"/>
      <c r="C663" s="62"/>
      <c r="D663" s="62"/>
      <c r="E663" s="62"/>
      <c r="F663" s="62"/>
      <c r="G663" s="62"/>
      <c r="H663" s="62"/>
      <c r="I663" s="62"/>
    </row>
    <row r="664" customFormat="false" ht="28.35" hidden="false" customHeight="false" outlineLevel="0" collapsed="false">
      <c r="A664" s="63" t="s">
        <v>3533</v>
      </c>
      <c r="B664" s="64" t="s">
        <v>3923</v>
      </c>
      <c r="C664" s="63" t="s">
        <v>39</v>
      </c>
      <c r="D664" s="64" t="str">
        <f aca="false">TRIM(LEFT('Onshore - Sydney'!A373,FIND(CHAR(10),'Onshore - Sydney'!A373&amp;CHAR(10))-1))</f>
        <v>Berkeley Business Institute (BBI)</v>
      </c>
      <c r="E664" s="63" t="str">
        <f aca="false">'Onshore - Sydney'!C381&amp;""</f>
        <v>1 year</v>
      </c>
      <c r="F664" s="63" t="str">
        <f aca="false">IF('Onshore - Sydney'!D381="","Belum tercatat",'Onshore - Sydney'!D381)</f>
        <v>Term</v>
      </c>
      <c r="G664" s="65" t="n">
        <f aca="false">IF('Onshore - Sydney'!E381="","-",'Onshore - Sydney'!E381)</f>
        <v>2000</v>
      </c>
      <c r="H664" s="63" t="n">
        <f aca="false">IF(ISNUMBER(K664),COUNTIFS($J$6:$J$1916,J664,$K$6:$K$1916,"&lt;"&amp;K664)+1,"-")</f>
        <v>1</v>
      </c>
      <c r="I664" s="64" t="str">
        <f aca="false">IF('Onshore - Sydney'!E381="","Harga belum tersedia - hubungi konsultan TEG",IF(M664=2,"Saat ini tidak menerima pendaftaran siswa internasional baru",IF(M664=1,"Harga perlu dikonfirmasi ke sekolah"&amp;IF(""="","","; "&amp;""),"")))</f>
        <v>Harga perlu dikonfirmasi ke sekolah</v>
      </c>
      <c r="J664" s="0" t="s">
        <v>3966</v>
      </c>
      <c r="K664" s="0" t="n">
        <f aca="false">IF(M664=2,"",IF(ISNUMBER(SEARCH("rata-rata:",'Onshore - Sydney'!M381)),VALUE(MID('Onshore - Sydney'!M381,SEARCH("rata-rata:",'Onshore - Sydney'!M381)+11,FIND(";",'Onshore - Sydney'!M381&amp;";",SEARCH("rata-rata:",'Onshore - Sydney'!M381))-SEARCH("rata-rata:",'Onshore - Sydney'!M381)-11)),IF('Onshore - Sydney'!D381="Semester",'Onshore - Sydney'!E381*2,IF('Onshore - Sydney'!D381="Trimester",'Onshore - Sydney'!E381*3,IF('Onshore - Sydney'!D381="Term",'Onshore - Sydney'!E381*4,IF('Onshore - Sydney'!D381="Unit",'Onshore - Sydney'!E381*8,""))))))</f>
        <v>8000</v>
      </c>
      <c r="L664" s="0" t="n">
        <f aca="false">IF(AND(ISNUMBER('Onshore - Sydney'!E381),ISNUMBER(K664),ISNUMBER('Onshore - Sydney'!F381),ISNUMBER('Onshore - Sydney'!G381),OR('Onshore - Sydney'!F381&lt;&gt;0,ISNUMBER(SEARCH("Material 0 terverifikasi",'Onshore - Sydney'!M381))),OR('Onshore - Sydney'!G381&lt;&gt;0,ISNUMBER(SEARCH("Enrolment 0 terverifikasi",'Onshore - Sydney'!M381)))),1,0)</f>
        <v>1</v>
      </c>
      <c r="M664" s="0" t="n">
        <f aca="false">IF(OR('Onshore - Sydney'!E381="",ISNUMBER(SEARCH("BSB80120",'Onshore - Sydney'!B381&amp;'Onshore - Sydney'!M381)),ISNUMBER(SEARCH("Management (Learning)",'Onshore - Sydney'!B381))),2,IF(ISNUMBER(SEARCH("CEK:",'Onshore - Sydney'!M381)),1,0))</f>
        <v>1</v>
      </c>
    </row>
    <row r="665" customFormat="false" ht="15" hidden="false" customHeight="false" outlineLevel="0" collapsed="false">
      <c r="A665" s="61" t="s">
        <v>3967</v>
      </c>
      <c r="B665" s="62"/>
      <c r="C665" s="62"/>
      <c r="D665" s="62"/>
      <c r="E665" s="62"/>
      <c r="F665" s="62"/>
      <c r="G665" s="62"/>
      <c r="H665" s="62"/>
      <c r="I665" s="62"/>
    </row>
    <row r="666" customFormat="false" ht="28.35" hidden="false" customHeight="false" outlineLevel="0" collapsed="false">
      <c r="A666" s="63" t="s">
        <v>3533</v>
      </c>
      <c r="B666" s="64" t="s">
        <v>3923</v>
      </c>
      <c r="C666" s="63" t="s">
        <v>41</v>
      </c>
      <c r="D666" s="64" t="str">
        <f aca="false">TRIM(LEFT('Onshore - Sydney'!A495,FIND(CHAR(10),'Onshore - Sydney'!A495&amp;CHAR(10))-1))</f>
        <v>Greenwich College</v>
      </c>
      <c r="E666" s="63" t="str">
        <f aca="false">'Onshore - Sydney'!C506&amp;""</f>
        <v>128 weeks</v>
      </c>
      <c r="F666" s="63" t="str">
        <f aca="false">IF('Onshore - Sydney'!D506="","Belum tercatat",'Onshore - Sydney'!D506)</f>
        <v>Term</v>
      </c>
      <c r="G666" s="65" t="n">
        <f aca="false">IF('Onshore - Sydney'!E506="","-",'Onshore - Sydney'!E506)</f>
        <v>1600</v>
      </c>
      <c r="H666" s="63" t="n">
        <f aca="false">IF(ISNUMBER(K666),COUNTIFS($J$6:$J$1916,J666,$K$6:$K$1916,"&lt;"&amp;K666)+1,"-")</f>
        <v>1</v>
      </c>
      <c r="I666" s="64" t="str">
        <f aca="false">IF('Onshore - Sydney'!E506="","Harga belum tersedia - hubungi konsultan TEG",IF(M666=2,"Saat ini tidak menerima pendaftaran siswa internasional baru",IF(M666=1,"Harga perlu dikonfirmasi ke sekolah"&amp;IF(""="","","; "&amp;""),"")))</f>
        <v/>
      </c>
      <c r="J666" s="0" t="s">
        <v>3968</v>
      </c>
      <c r="K666" s="0" t="n">
        <f aca="false">IF(M666=2,"",IF(ISNUMBER(SEARCH("rata-rata:",'Onshore - Sydney'!M506)),VALUE(MID('Onshore - Sydney'!M506,SEARCH("rata-rata:",'Onshore - Sydney'!M506)+11,FIND(";",'Onshore - Sydney'!M506&amp;";",SEARCH("rata-rata:",'Onshore - Sydney'!M506))-SEARCH("rata-rata:",'Onshore - Sydney'!M506)-11)),IF('Onshore - Sydney'!D506="Semester",'Onshore - Sydney'!E506*2,IF('Onshore - Sydney'!D506="Trimester",'Onshore - Sydney'!E506*3,IF('Onshore - Sydney'!D506="Term",'Onshore - Sydney'!E506*4,IF('Onshore - Sydney'!D506="Unit",'Onshore - Sydney'!E506*8,""))))))</f>
        <v>6400</v>
      </c>
      <c r="L666" s="0" t="n">
        <f aca="false">IF(AND(ISNUMBER('Onshore - Sydney'!E506),ISNUMBER(K666),ISNUMBER('Onshore - Sydney'!F506),ISNUMBER('Onshore - Sydney'!G506),OR('Onshore - Sydney'!F506&lt;&gt;0,ISNUMBER(SEARCH("Material 0 terverifikasi",'Onshore - Sydney'!M506))),OR('Onshore - Sydney'!G506&lt;&gt;0,ISNUMBER(SEARCH("Enrolment 0 terverifikasi",'Onshore - Sydney'!M506)))),1,0)</f>
        <v>1</v>
      </c>
      <c r="M666" s="0" t="n">
        <f aca="false">IF(OR('Onshore - Sydney'!E506="",ISNUMBER(SEARCH("BSB80120",'Onshore - Sydney'!B506&amp;'Onshore - Sydney'!M506)),ISNUMBER(SEARCH("Management (Learning)",'Onshore - Sydney'!B506))),2,IF(ISNUMBER(SEARCH("CEK:",'Onshore - Sydney'!M506)),1,0))</f>
        <v>0</v>
      </c>
    </row>
    <row r="667" customFormat="false" ht="28.35" hidden="false" customHeight="false" outlineLevel="0" collapsed="false">
      <c r="A667" s="63" t="s">
        <v>3533</v>
      </c>
      <c r="B667" s="64" t="s">
        <v>3923</v>
      </c>
      <c r="C667" s="63" t="s">
        <v>41</v>
      </c>
      <c r="D667" s="64" t="str">
        <f aca="false">TRIM(LEFT('Onshore - Sydney'!A98,FIND(CHAR(10),'Onshore - Sydney'!A98&amp;CHAR(10))-1))</f>
        <v>Albright Institute of Business and Language (AIBL)</v>
      </c>
      <c r="E667" s="63" t="str">
        <f aca="false">'Onshore - Sydney'!C99&amp;""</f>
        <v>2 years</v>
      </c>
      <c r="F667" s="63" t="str">
        <f aca="false">IF('Onshore - Sydney'!D99="","Belum tercatat",'Onshore - Sydney'!D99)</f>
        <v>Term</v>
      </c>
      <c r="G667" s="65" t="n">
        <f aca="false">IF('Onshore - Sydney'!E99="","-",'Onshore - Sydney'!E99)</f>
        <v>1625</v>
      </c>
      <c r="H667" s="63" t="n">
        <f aca="false">IF(ISNUMBER(K667),COUNTIFS($J$6:$J$1916,J667,$K$6:$K$1916,"&lt;"&amp;K667)+1,"-")</f>
        <v>2</v>
      </c>
      <c r="I667" s="64" t="str">
        <f aca="false">IF('Onshore - Sydney'!E99="","Harga belum tersedia - hubungi konsultan TEG",IF(M667=2,"Saat ini tidak menerima pendaftaran siswa internasional baru",IF(M667=1,"Harga perlu dikonfirmasi ke sekolah"&amp;IF(""="","","; "&amp;""),"")))</f>
        <v/>
      </c>
      <c r="J667" s="0" t="s">
        <v>3968</v>
      </c>
      <c r="K667" s="0" t="n">
        <f aca="false">IF(M667=2,"",IF(ISNUMBER(SEARCH("rata-rata:",'Onshore - Sydney'!M99)),VALUE(MID('Onshore - Sydney'!M99,SEARCH("rata-rata:",'Onshore - Sydney'!M99)+11,FIND(";",'Onshore - Sydney'!M99&amp;";",SEARCH("rata-rata:",'Onshore - Sydney'!M99))-SEARCH("rata-rata:",'Onshore - Sydney'!M99)-11)),IF('Onshore - Sydney'!D99="Semester",'Onshore - Sydney'!E99*2,IF('Onshore - Sydney'!D99="Trimester",'Onshore - Sydney'!E99*3,IF('Onshore - Sydney'!D99="Term",'Onshore - Sydney'!E99*4,IF('Onshore - Sydney'!D99="Unit",'Onshore - Sydney'!E99*8,""))))))</f>
        <v>6500</v>
      </c>
      <c r="L667" s="0" t="n">
        <f aca="false">IF(AND(ISNUMBER('Onshore - Sydney'!E99),ISNUMBER(K667),ISNUMBER('Onshore - Sydney'!F99),ISNUMBER('Onshore - Sydney'!G99),OR('Onshore - Sydney'!F99&lt;&gt;0,ISNUMBER(SEARCH("Material 0 terverifikasi",'Onshore - Sydney'!M99))),OR('Onshore - Sydney'!G99&lt;&gt;0,ISNUMBER(SEARCH("Enrolment 0 terverifikasi",'Onshore - Sydney'!M99)))),1,0)</f>
        <v>1</v>
      </c>
      <c r="M667" s="0" t="n">
        <f aca="false">IF(OR('Onshore - Sydney'!E99="",ISNUMBER(SEARCH("BSB80120",'Onshore - Sydney'!B99&amp;'Onshore - Sydney'!M99)),ISNUMBER(SEARCH("Management (Learning)",'Onshore - Sydney'!B99))),2,IF(ISNUMBER(SEARCH("CEK:",'Onshore - Sydney'!M99)),1,0))</f>
        <v>0</v>
      </c>
    </row>
    <row r="668" customFormat="false" ht="28.35" hidden="false" customHeight="false" outlineLevel="0" collapsed="false">
      <c r="A668" s="63" t="s">
        <v>3533</v>
      </c>
      <c r="B668" s="64" t="s">
        <v>3923</v>
      </c>
      <c r="C668" s="63" t="s">
        <v>41</v>
      </c>
      <c r="D668" s="64" t="str">
        <f aca="false">TRIM(LEFT('Onshore - Sydney'!A778,FIND(CHAR(10),'Onshore - Sydney'!A778&amp;CHAR(10))-1))</f>
        <v>Sydney Metro College (SMC)</v>
      </c>
      <c r="E668" s="63" t="str">
        <f aca="false">'Onshore - Sydney'!C788&amp;""</f>
        <v>3 years</v>
      </c>
      <c r="F668" s="63" t="str">
        <f aca="false">IF('Onshore - Sydney'!D788="","Belum tercatat",'Onshore - Sydney'!D788)</f>
        <v>Term</v>
      </c>
      <c r="G668" s="65" t="n">
        <f aca="false">IF('Onshore - Sydney'!E788="","-",'Onshore - Sydney'!E788)</f>
        <v>1670</v>
      </c>
      <c r="H668" s="63" t="n">
        <f aca="false">IF(ISNUMBER(K668),COUNTIFS($J$6:$J$1916,J668,$K$6:$K$1916,"&lt;"&amp;K668)+1,"-")</f>
        <v>3</v>
      </c>
      <c r="I668" s="64" t="str">
        <f aca="false">IF('Onshore - Sydney'!E788="","Harga belum tersedia - hubungi konsultan TEG",IF(M668=2,"Saat ini tidak menerima pendaftaran siswa internasional baru",IF(M668=1,"Harga perlu dikonfirmasi ke sekolah"&amp;IF(""="","","; "&amp;""),"")))</f>
        <v/>
      </c>
      <c r="J668" s="0" t="s">
        <v>3968</v>
      </c>
      <c r="K668" s="0" t="n">
        <f aca="false">IF(M668=2,"",IF(ISNUMBER(SEARCH("rata-rata:",'Onshore - Sydney'!M788)),VALUE(MID('Onshore - Sydney'!M788,SEARCH("rata-rata:",'Onshore - Sydney'!M788)+11,FIND(";",'Onshore - Sydney'!M788&amp;";",SEARCH("rata-rata:",'Onshore - Sydney'!M788))-SEARCH("rata-rata:",'Onshore - Sydney'!M788)-11)),IF('Onshore - Sydney'!D788="Semester",'Onshore - Sydney'!E788*2,IF('Onshore - Sydney'!D788="Trimester",'Onshore - Sydney'!E788*3,IF('Onshore - Sydney'!D788="Term",'Onshore - Sydney'!E788*4,IF('Onshore - Sydney'!D788="Unit",'Onshore - Sydney'!E788*8,""))))))</f>
        <v>6680</v>
      </c>
      <c r="L668" s="0" t="n">
        <f aca="false">IF(AND(ISNUMBER('Onshore - Sydney'!E788),ISNUMBER(K668),ISNUMBER('Onshore - Sydney'!F788),ISNUMBER('Onshore - Sydney'!G788),OR('Onshore - Sydney'!F788&lt;&gt;0,ISNUMBER(SEARCH("Material 0 terverifikasi",'Onshore - Sydney'!M788))),OR('Onshore - Sydney'!G788&lt;&gt;0,ISNUMBER(SEARCH("Enrolment 0 terverifikasi",'Onshore - Sydney'!M788)))),1,0)</f>
        <v>1</v>
      </c>
      <c r="M668" s="0" t="n">
        <f aca="false">IF(OR('Onshore - Sydney'!E788="",ISNUMBER(SEARCH("BSB80120",'Onshore - Sydney'!B788&amp;'Onshore - Sydney'!M788)),ISNUMBER(SEARCH("Management (Learning)",'Onshore - Sydney'!B788))),2,IF(ISNUMBER(SEARCH("CEK:",'Onshore - Sydney'!M788)),1,0))</f>
        <v>0</v>
      </c>
    </row>
    <row r="669" customFormat="false" ht="28.35" hidden="false" customHeight="false" outlineLevel="0" collapsed="false">
      <c r="A669" s="63" t="s">
        <v>3533</v>
      </c>
      <c r="B669" s="64" t="s">
        <v>3923</v>
      </c>
      <c r="C669" s="63" t="s">
        <v>41</v>
      </c>
      <c r="D669" s="64" t="str">
        <f aca="false">TRIM(LEFT('Onshore - Sydney'!A662,FIND(CHAR(10),'Onshore - Sydney'!A662&amp;CHAR(10))-1))</f>
        <v>New Cambridge College Sydney (NCCS)</v>
      </c>
      <c r="E669" s="63" t="str">
        <f aca="false">'Onshore - Sydney'!C670&amp;""</f>
        <v>2 years</v>
      </c>
      <c r="F669" s="63" t="str">
        <f aca="false">IF('Onshore - Sydney'!D670="","Belum tercatat",'Onshore - Sydney'!D670)</f>
        <v>Term</v>
      </c>
      <c r="G669" s="65" t="n">
        <f aca="false">IF('Onshore - Sydney'!E670="","-",'Onshore - Sydney'!E670)</f>
        <v>1800</v>
      </c>
      <c r="H669" s="63" t="n">
        <f aca="false">IF(ISNUMBER(K669),COUNTIFS($J$6:$J$1916,J669,$K$6:$K$1916,"&lt;"&amp;K669)+1,"-")</f>
        <v>4</v>
      </c>
      <c r="I669" s="64" t="str">
        <f aca="false">IF('Onshore - Sydney'!E670="","Harga belum tersedia - hubungi konsultan TEG",IF(M669=2,"Saat ini tidak menerima pendaftaran siswa internasional baru",IF(M669=1,"Harga perlu dikonfirmasi ke sekolah"&amp;IF(""="","","; "&amp;""),"")))</f>
        <v/>
      </c>
      <c r="J669" s="0" t="s">
        <v>3968</v>
      </c>
      <c r="K669" s="0" t="n">
        <f aca="false">IF(M669=2,"",IF(ISNUMBER(SEARCH("rata-rata:",'Onshore - Sydney'!M670)),VALUE(MID('Onshore - Sydney'!M670,SEARCH("rata-rata:",'Onshore - Sydney'!M670)+11,FIND(";",'Onshore - Sydney'!M670&amp;";",SEARCH("rata-rata:",'Onshore - Sydney'!M670))-SEARCH("rata-rata:",'Onshore - Sydney'!M670)-11)),IF('Onshore - Sydney'!D670="Semester",'Onshore - Sydney'!E670*2,IF('Onshore - Sydney'!D670="Trimester",'Onshore - Sydney'!E670*3,IF('Onshore - Sydney'!D670="Term",'Onshore - Sydney'!E670*4,IF('Onshore - Sydney'!D670="Unit",'Onshore - Sydney'!E670*8,""))))))</f>
        <v>7200</v>
      </c>
      <c r="L669" s="0" t="n">
        <f aca="false">IF(AND(ISNUMBER('Onshore - Sydney'!E670),ISNUMBER(K669),ISNUMBER('Onshore - Sydney'!F670),ISNUMBER('Onshore - Sydney'!G670),OR('Onshore - Sydney'!F670&lt;&gt;0,ISNUMBER(SEARCH("Material 0 terverifikasi",'Onshore - Sydney'!M670))),OR('Onshore - Sydney'!G670&lt;&gt;0,ISNUMBER(SEARCH("Enrolment 0 terverifikasi",'Onshore - Sydney'!M670)))),1,0)</f>
        <v>0</v>
      </c>
      <c r="M669" s="0" t="n">
        <f aca="false">IF(OR('Onshore - Sydney'!E670="",ISNUMBER(SEARCH("BSB80120",'Onshore - Sydney'!B670&amp;'Onshore - Sydney'!M670)),ISNUMBER(SEARCH("Management (Learning)",'Onshore - Sydney'!B670))),2,IF(ISNUMBER(SEARCH("CEK:",'Onshore - Sydney'!M670)),1,0))</f>
        <v>0</v>
      </c>
    </row>
    <row r="670" customFormat="false" ht="28.35" hidden="false" customHeight="false" outlineLevel="0" collapsed="false">
      <c r="A670" s="63" t="s">
        <v>3533</v>
      </c>
      <c r="B670" s="64" t="s">
        <v>3923</v>
      </c>
      <c r="C670" s="63" t="s">
        <v>41</v>
      </c>
      <c r="D670" s="64" t="str">
        <f aca="false">TRIM(LEFT('Onshore - Sydney'!A672,FIND(CHAR(10),'Onshore - Sydney'!A672&amp;CHAR(10))-1))</f>
        <v>New Era Institute</v>
      </c>
      <c r="E670" s="63" t="str">
        <f aca="false">'Onshore - Sydney'!C677&amp;""</f>
        <v>2 years</v>
      </c>
      <c r="F670" s="63" t="str">
        <f aca="false">IF('Onshore - Sydney'!D677="","Belum tercatat",'Onshore - Sydney'!D677)</f>
        <v>Term</v>
      </c>
      <c r="G670" s="65" t="n">
        <f aca="false">IF('Onshore - Sydney'!E677="","-",'Onshore - Sydney'!E677)</f>
        <v>1800</v>
      </c>
      <c r="H670" s="63" t="n">
        <f aca="false">IF(ISNUMBER(K670),COUNTIFS($J$6:$J$1916,J670,$K$6:$K$1916,"&lt;"&amp;K670)+1,"-")</f>
        <v>4</v>
      </c>
      <c r="I670" s="64" t="str">
        <f aca="false">IF('Onshore - Sydney'!E677="","Harga belum tersedia - hubungi konsultan TEG",IF(M670=2,"Saat ini tidak menerima pendaftaran siswa internasional baru",IF(M670=1,"Harga perlu dikonfirmasi ke sekolah"&amp;IF(""="","","; "&amp;""),"")))</f>
        <v/>
      </c>
      <c r="J670" s="0" t="s">
        <v>3968</v>
      </c>
      <c r="K670" s="0" t="n">
        <f aca="false">IF(M670=2,"",IF(ISNUMBER(SEARCH("rata-rata:",'Onshore - Sydney'!M677)),VALUE(MID('Onshore - Sydney'!M677,SEARCH("rata-rata:",'Onshore - Sydney'!M677)+11,FIND(";",'Onshore - Sydney'!M677&amp;";",SEARCH("rata-rata:",'Onshore - Sydney'!M677))-SEARCH("rata-rata:",'Onshore - Sydney'!M677)-11)),IF('Onshore - Sydney'!D677="Semester",'Onshore - Sydney'!E677*2,IF('Onshore - Sydney'!D677="Trimester",'Onshore - Sydney'!E677*3,IF('Onshore - Sydney'!D677="Term",'Onshore - Sydney'!E677*4,IF('Onshore - Sydney'!D677="Unit",'Onshore - Sydney'!E677*8,""))))))</f>
        <v>7200</v>
      </c>
      <c r="L670" s="0" t="n">
        <f aca="false">IF(AND(ISNUMBER('Onshore - Sydney'!E677),ISNUMBER(K670),ISNUMBER('Onshore - Sydney'!F677),ISNUMBER('Onshore - Sydney'!G677),OR('Onshore - Sydney'!F677&lt;&gt;0,ISNUMBER(SEARCH("Material 0 terverifikasi",'Onshore - Sydney'!M677))),OR('Onshore - Sydney'!G677&lt;&gt;0,ISNUMBER(SEARCH("Enrolment 0 terverifikasi",'Onshore - Sydney'!M677)))),1,0)</f>
        <v>1</v>
      </c>
      <c r="M670" s="0" t="n">
        <f aca="false">IF(OR('Onshore - Sydney'!E677="",ISNUMBER(SEARCH("BSB80120",'Onshore - Sydney'!B677&amp;'Onshore - Sydney'!M677)),ISNUMBER(SEARCH("Management (Learning)",'Onshore - Sydney'!B677))),2,IF(ISNUMBER(SEARCH("CEK:",'Onshore - Sydney'!M677)),1,0))</f>
        <v>0</v>
      </c>
    </row>
    <row r="671" customFormat="false" ht="28.35" hidden="false" customHeight="false" outlineLevel="0" collapsed="false">
      <c r="A671" s="63" t="s">
        <v>3533</v>
      </c>
      <c r="B671" s="64" t="s">
        <v>3923</v>
      </c>
      <c r="C671" s="63" t="s">
        <v>41</v>
      </c>
      <c r="D671" s="64" t="str">
        <f aca="false">TRIM(LEFT('Onshore - Sydney'!A745,FIND(CHAR(10),'Onshore - Sydney'!A745&amp;CHAR(10))-1))</f>
        <v>Signet Institute of Australia</v>
      </c>
      <c r="E671" s="63" t="str">
        <f aca="false">'Onshore - Sydney'!C751&amp;""</f>
        <v>4 years</v>
      </c>
      <c r="F671" s="63" t="str">
        <f aca="false">IF('Onshore - Sydney'!D751="","Belum tercatat",'Onshore - Sydney'!D751)</f>
        <v>Term</v>
      </c>
      <c r="G671" s="65" t="n">
        <f aca="false">IF('Onshore - Sydney'!E751="","-",'Onshore - Sydney'!E751)</f>
        <v>1800</v>
      </c>
      <c r="H671" s="63" t="n">
        <f aca="false">IF(ISNUMBER(K671),COUNTIFS($J$6:$J$1916,J671,$K$6:$K$1916,"&lt;"&amp;K671)+1,"-")</f>
        <v>4</v>
      </c>
      <c r="I671" s="64" t="str">
        <f aca="false">IF('Onshore - Sydney'!E751="","Harga belum tersedia - hubungi konsultan TEG",IF(M671=2,"Saat ini tidak menerima pendaftaran siswa internasional baru",IF(M671=1,"Harga perlu dikonfirmasi ke sekolah"&amp;IF(""="","","; "&amp;""),"")))</f>
        <v/>
      </c>
      <c r="J671" s="0" t="s">
        <v>3968</v>
      </c>
      <c r="K671" s="0" t="n">
        <f aca="false">IF(M671=2,"",IF(ISNUMBER(SEARCH("rata-rata:",'Onshore - Sydney'!M751)),VALUE(MID('Onshore - Sydney'!M751,SEARCH("rata-rata:",'Onshore - Sydney'!M751)+11,FIND(";",'Onshore - Sydney'!M751&amp;";",SEARCH("rata-rata:",'Onshore - Sydney'!M751))-SEARCH("rata-rata:",'Onshore - Sydney'!M751)-11)),IF('Onshore - Sydney'!D751="Semester",'Onshore - Sydney'!E751*2,IF('Onshore - Sydney'!D751="Trimester",'Onshore - Sydney'!E751*3,IF('Onshore - Sydney'!D751="Term",'Onshore - Sydney'!E751*4,IF('Onshore - Sydney'!D751="Unit",'Onshore - Sydney'!E751*8,""))))))</f>
        <v>7200</v>
      </c>
      <c r="L671" s="0" t="n">
        <f aca="false">IF(AND(ISNUMBER('Onshore - Sydney'!E751),ISNUMBER(K671),ISNUMBER('Onshore - Sydney'!F751),ISNUMBER('Onshore - Sydney'!G751),OR('Onshore - Sydney'!F751&lt;&gt;0,ISNUMBER(SEARCH("Material 0 terverifikasi",'Onshore - Sydney'!M751))),OR('Onshore - Sydney'!G751&lt;&gt;0,ISNUMBER(SEARCH("Enrolment 0 terverifikasi",'Onshore - Sydney'!M751)))),1,0)</f>
        <v>1</v>
      </c>
      <c r="M671" s="0" t="n">
        <f aca="false">IF(OR('Onshore - Sydney'!E751="",ISNUMBER(SEARCH("BSB80120",'Onshore - Sydney'!B751&amp;'Onshore - Sydney'!M751)),ISNUMBER(SEARCH("Management (Learning)",'Onshore - Sydney'!B751))),2,IF(ISNUMBER(SEARCH("CEK:",'Onshore - Sydney'!M751)),1,0))</f>
        <v>0</v>
      </c>
    </row>
    <row r="672" customFormat="false" ht="28.35" hidden="false" customHeight="false" outlineLevel="0" collapsed="false">
      <c r="A672" s="63" t="s">
        <v>3533</v>
      </c>
      <c r="B672" s="64" t="s">
        <v>3923</v>
      </c>
      <c r="C672" s="63" t="s">
        <v>41</v>
      </c>
      <c r="D672" s="64" t="str">
        <f aca="false">TRIM(LEFT('Onshore - Sydney'!A389,FIND(CHAR(10),'Onshore - Sydney'!A389&amp;CHAR(10))-1))</f>
        <v>Capstone Institute of Australia (CIA)</v>
      </c>
      <c r="E672" s="63" t="str">
        <f aca="false">'Onshore - Sydney'!C393&amp;""</f>
        <v>2 years</v>
      </c>
      <c r="F672" s="63" t="str">
        <f aca="false">IF('Onshore - Sydney'!D393="","Belum tercatat",'Onshore - Sydney'!D393)</f>
        <v>Term</v>
      </c>
      <c r="G672" s="65" t="n">
        <f aca="false">IF('Onshore - Sydney'!E393="","-",'Onshore - Sydney'!E393)</f>
        <v>1850</v>
      </c>
      <c r="H672" s="63" t="n">
        <f aca="false">IF(ISNUMBER(K672),COUNTIFS($J$6:$J$1916,J672,$K$6:$K$1916,"&lt;"&amp;K672)+1,"-")</f>
        <v>7</v>
      </c>
      <c r="I672" s="64" t="str">
        <f aca="false">IF('Onshore - Sydney'!E393="","Harga belum tersedia - hubungi konsultan TEG",IF(M672=2,"Saat ini tidak menerima pendaftaran siswa internasional baru",IF(M672=1,"Harga perlu dikonfirmasi ke sekolah"&amp;IF(""="","","; "&amp;""),"")))</f>
        <v/>
      </c>
      <c r="J672" s="0" t="s">
        <v>3968</v>
      </c>
      <c r="K672" s="0" t="n">
        <f aca="false">IF(M672=2,"",IF(ISNUMBER(SEARCH("rata-rata:",'Onshore - Sydney'!M393)),VALUE(MID('Onshore - Sydney'!M393,SEARCH("rata-rata:",'Onshore - Sydney'!M393)+11,FIND(";",'Onshore - Sydney'!M393&amp;";",SEARCH("rata-rata:",'Onshore - Sydney'!M393))-SEARCH("rata-rata:",'Onshore - Sydney'!M393)-11)),IF('Onshore - Sydney'!D393="Semester",'Onshore - Sydney'!E393*2,IF('Onshore - Sydney'!D393="Trimester",'Onshore - Sydney'!E393*3,IF('Onshore - Sydney'!D393="Term",'Onshore - Sydney'!E393*4,IF('Onshore - Sydney'!D393="Unit",'Onshore - Sydney'!E393*8,""))))))</f>
        <v>7400</v>
      </c>
      <c r="L672" s="0" t="n">
        <f aca="false">IF(AND(ISNUMBER('Onshore - Sydney'!E393),ISNUMBER(K672),ISNUMBER('Onshore - Sydney'!F393),ISNUMBER('Onshore - Sydney'!G393),OR('Onshore - Sydney'!F393&lt;&gt;0,ISNUMBER(SEARCH("Material 0 terverifikasi",'Onshore - Sydney'!M393))),OR('Onshore - Sydney'!G393&lt;&gt;0,ISNUMBER(SEARCH("Enrolment 0 terverifikasi",'Onshore - Sydney'!M393)))),1,0)</f>
        <v>1</v>
      </c>
      <c r="M672" s="0" t="n">
        <f aca="false">IF(OR('Onshore - Sydney'!E393="",ISNUMBER(SEARCH("BSB80120",'Onshore - Sydney'!B393&amp;'Onshore - Sydney'!M393)),ISNUMBER(SEARCH("Management (Learning)",'Onshore - Sydney'!B393))),2,IF(ISNUMBER(SEARCH("CEK:",'Onshore - Sydney'!M393)),1,0))</f>
        <v>0</v>
      </c>
    </row>
    <row r="673" customFormat="false" ht="28.35" hidden="false" customHeight="false" outlineLevel="0" collapsed="false">
      <c r="A673" s="63" t="s">
        <v>3533</v>
      </c>
      <c r="B673" s="64" t="s">
        <v>3923</v>
      </c>
      <c r="C673" s="63" t="s">
        <v>41</v>
      </c>
      <c r="D673" s="64" t="str">
        <f aca="false">TRIM(LEFT('Onshore - Sydney'!A330,FIND(CHAR(10),'Onshore - Sydney'!A330&amp;CHAR(10))-1))</f>
        <v>Australian International College of Skills &amp; Education (AICSE)</v>
      </c>
      <c r="E673" s="63" t="str">
        <f aca="false">'Onshore - Sydney'!C340&amp;""</f>
        <v>4 years</v>
      </c>
      <c r="F673" s="63" t="str">
        <f aca="false">IF('Onshore - Sydney'!D340="","Belum tercatat",'Onshore - Sydney'!D340)</f>
        <v>Term</v>
      </c>
      <c r="G673" s="65" t="n">
        <f aca="false">IF('Onshore - Sydney'!E340="","-",'Onshore - Sydney'!E340)</f>
        <v>1875</v>
      </c>
      <c r="H673" s="63" t="n">
        <f aca="false">IF(ISNUMBER(K673),COUNTIFS($J$6:$J$1916,J673,$K$6:$K$1916,"&lt;"&amp;K673)+1,"-")</f>
        <v>8</v>
      </c>
      <c r="I673" s="64" t="str">
        <f aca="false">IF('Onshore - Sydney'!E340="","Harga belum tersedia - hubungi konsultan TEG",IF(M673=2,"Saat ini tidak menerima pendaftaran siswa internasional baru",IF(M673=1,"Harga perlu dikonfirmasi ke sekolah"&amp;IF(""="","","; "&amp;""),"")))</f>
        <v/>
      </c>
      <c r="J673" s="0" t="s">
        <v>3968</v>
      </c>
      <c r="K673" s="0" t="n">
        <f aca="false">IF(M673=2,"",IF(ISNUMBER(SEARCH("rata-rata:",'Onshore - Sydney'!M340)),VALUE(MID('Onshore - Sydney'!M340,SEARCH("rata-rata:",'Onshore - Sydney'!M340)+11,FIND(";",'Onshore - Sydney'!M340&amp;";",SEARCH("rata-rata:",'Onshore - Sydney'!M340))-SEARCH("rata-rata:",'Onshore - Sydney'!M340)-11)),IF('Onshore - Sydney'!D340="Semester",'Onshore - Sydney'!E340*2,IF('Onshore - Sydney'!D340="Trimester",'Onshore - Sydney'!E340*3,IF('Onshore - Sydney'!D340="Term",'Onshore - Sydney'!E340*4,IF('Onshore - Sydney'!D340="Unit",'Onshore - Sydney'!E340*8,""))))))</f>
        <v>7500</v>
      </c>
      <c r="L673" s="0" t="n">
        <f aca="false">IF(AND(ISNUMBER('Onshore - Sydney'!E340),ISNUMBER(K673),ISNUMBER('Onshore - Sydney'!F340),ISNUMBER('Onshore - Sydney'!G340),OR('Onshore - Sydney'!F340&lt;&gt;0,ISNUMBER(SEARCH("Material 0 terverifikasi",'Onshore - Sydney'!M340))),OR('Onshore - Sydney'!G340&lt;&gt;0,ISNUMBER(SEARCH("Enrolment 0 terverifikasi",'Onshore - Sydney'!M340)))),1,0)</f>
        <v>1</v>
      </c>
      <c r="M673" s="0" t="n">
        <f aca="false">IF(OR('Onshore - Sydney'!E340="",ISNUMBER(SEARCH("BSB80120",'Onshore - Sydney'!B340&amp;'Onshore - Sydney'!M340)),ISNUMBER(SEARCH("Management (Learning)",'Onshore - Sydney'!B340))),2,IF(ISNUMBER(SEARCH("CEK:",'Onshore - Sydney'!M340)),1,0))</f>
        <v>0</v>
      </c>
    </row>
    <row r="674" customFormat="false" ht="28.35" hidden="false" customHeight="false" outlineLevel="0" collapsed="false">
      <c r="A674" s="63" t="s">
        <v>3533</v>
      </c>
      <c r="B674" s="64" t="s">
        <v>3923</v>
      </c>
      <c r="C674" s="63" t="s">
        <v>41</v>
      </c>
      <c r="D674" s="64" t="str">
        <f aca="false">TRIM(LEFT('Onshore - Sydney'!A50,FIND(CHAR(10),'Onshore - Sydney'!A50&amp;CHAR(10))-1))</f>
        <v>Academies Australasia</v>
      </c>
      <c r="E674" s="63" t="str">
        <f aca="false">'Onshore - Sydney'!C60&amp;""</f>
        <v>2 years</v>
      </c>
      <c r="F674" s="63" t="str">
        <f aca="false">IF('Onshore - Sydney'!D60="","Belum tercatat",'Onshore - Sydney'!D60)</f>
        <v>Term</v>
      </c>
      <c r="G674" s="65" t="n">
        <f aca="false">IF('Onshore - Sydney'!E60="","-",'Onshore - Sydney'!E60)</f>
        <v>1900</v>
      </c>
      <c r="H674" s="63" t="n">
        <f aca="false">IF(ISNUMBER(K674),COUNTIFS($J$6:$J$1916,J674,$K$6:$K$1916,"&lt;"&amp;K674)+1,"-")</f>
        <v>9</v>
      </c>
      <c r="I674" s="64" t="str">
        <f aca="false">IF('Onshore - Sydney'!E60="","Harga belum tersedia - hubungi konsultan TEG",IF(M674=2,"Saat ini tidak menerima pendaftaran siswa internasional baru",IF(M674=1,"Harga perlu dikonfirmasi ke sekolah"&amp;IF(""="","","; "&amp;""),"")))</f>
        <v/>
      </c>
      <c r="J674" s="0" t="s">
        <v>3968</v>
      </c>
      <c r="K674" s="0" t="n">
        <f aca="false">IF(M674=2,"",IF(ISNUMBER(SEARCH("rata-rata:",'Onshore - Sydney'!M60)),VALUE(MID('Onshore - Sydney'!M60,SEARCH("rata-rata:",'Onshore - Sydney'!M60)+11,FIND(";",'Onshore - Sydney'!M60&amp;";",SEARCH("rata-rata:",'Onshore - Sydney'!M60))-SEARCH("rata-rata:",'Onshore - Sydney'!M60)-11)),IF('Onshore - Sydney'!D60="Semester",'Onshore - Sydney'!E60*2,IF('Onshore - Sydney'!D60="Trimester",'Onshore - Sydney'!E60*3,IF('Onshore - Sydney'!D60="Term",'Onshore - Sydney'!E60*4,IF('Onshore - Sydney'!D60="Unit",'Onshore - Sydney'!E60*8,""))))))</f>
        <v>7600</v>
      </c>
      <c r="L674" s="0" t="n">
        <f aca="false">IF(AND(ISNUMBER('Onshore - Sydney'!E60),ISNUMBER(K674),ISNUMBER('Onshore - Sydney'!F60),ISNUMBER('Onshore - Sydney'!G60),OR('Onshore - Sydney'!F60&lt;&gt;0,ISNUMBER(SEARCH("Material 0 terverifikasi",'Onshore - Sydney'!M60))),OR('Onshore - Sydney'!G60&lt;&gt;0,ISNUMBER(SEARCH("Enrolment 0 terverifikasi",'Onshore - Sydney'!M60)))),1,0)</f>
        <v>1</v>
      </c>
      <c r="M674" s="0" t="n">
        <f aca="false">IF(OR('Onshore - Sydney'!E60="",ISNUMBER(SEARCH("BSB80120",'Onshore - Sydney'!B60&amp;'Onshore - Sydney'!M60)),ISNUMBER(SEARCH("Management (Learning)",'Onshore - Sydney'!B60))),2,IF(ISNUMBER(SEARCH("CEK:",'Onshore - Sydney'!M60)),1,0))</f>
        <v>0</v>
      </c>
    </row>
    <row r="675" customFormat="false" ht="28.35" hidden="false" customHeight="false" outlineLevel="0" collapsed="false">
      <c r="A675" s="63" t="s">
        <v>3533</v>
      </c>
      <c r="B675" s="64" t="s">
        <v>3923</v>
      </c>
      <c r="C675" s="63" t="s">
        <v>41</v>
      </c>
      <c r="D675" s="64" t="str">
        <f aca="false">TRIM(LEFT('Onshore - Sydney'!A6,FIND(CHAR(10),'Onshore - Sydney'!A6&amp;CHAR(10))-1))</f>
        <v>Abbey College Australia</v>
      </c>
      <c r="E675" s="63" t="str">
        <f aca="false">'Onshore - Sydney'!C7&amp;""</f>
        <v>3,5 years</v>
      </c>
      <c r="F675" s="63" t="str">
        <f aca="false">IF('Onshore - Sydney'!D7="","Belum tercatat",'Onshore - Sydney'!D7)</f>
        <v>Term</v>
      </c>
      <c r="G675" s="65" t="n">
        <f aca="false">IF('Onshore - Sydney'!E7="","-",'Onshore - Sydney'!E7)</f>
        <v>2000</v>
      </c>
      <c r="H675" s="63" t="n">
        <f aca="false">IF(ISNUMBER(K675),COUNTIFS($J$6:$J$1916,J675,$K$6:$K$1916,"&lt;"&amp;K675)+1,"-")</f>
        <v>10</v>
      </c>
      <c r="I675" s="64" t="str">
        <f aca="false">IF('Onshore - Sydney'!E7="","Harga belum tersedia - hubungi konsultan TEG",IF(M675=2,"Saat ini tidak menerima pendaftaran siswa internasional baru",IF(M675=1,"Harga perlu dikonfirmasi ke sekolah"&amp;IF(""="","","; "&amp;""),"")))</f>
        <v/>
      </c>
      <c r="J675" s="0" t="s">
        <v>3968</v>
      </c>
      <c r="K675" s="0" t="n">
        <f aca="false">IF(M675=2,"",IF(ISNUMBER(SEARCH("rata-rata:",'Onshore - Sydney'!M7)),VALUE(MID('Onshore - Sydney'!M7,SEARCH("rata-rata:",'Onshore - Sydney'!M7)+11,FIND(";",'Onshore - Sydney'!M7&amp;";",SEARCH("rata-rata:",'Onshore - Sydney'!M7))-SEARCH("rata-rata:",'Onshore - Sydney'!M7)-11)),IF('Onshore - Sydney'!D7="Semester",'Onshore - Sydney'!E7*2,IF('Onshore - Sydney'!D7="Trimester",'Onshore - Sydney'!E7*3,IF('Onshore - Sydney'!D7="Term",'Onshore - Sydney'!E7*4,IF('Onshore - Sydney'!D7="Unit",'Onshore - Sydney'!E7*8,""))))))</f>
        <v>8000</v>
      </c>
      <c r="L675" s="0" t="n">
        <f aca="false">IF(AND(ISNUMBER('Onshore - Sydney'!E7),ISNUMBER(K675),ISNUMBER('Onshore - Sydney'!F7),ISNUMBER('Onshore - Sydney'!G7),OR('Onshore - Sydney'!F7&lt;&gt;0,ISNUMBER(SEARCH("Material 0 terverifikasi",'Onshore - Sydney'!M7))),OR('Onshore - Sydney'!G7&lt;&gt;0,ISNUMBER(SEARCH("Enrolment 0 terverifikasi",'Onshore - Sydney'!M7)))),1,0)</f>
        <v>1</v>
      </c>
      <c r="M675" s="0" t="n">
        <f aca="false">IF(OR('Onshore - Sydney'!E7="",ISNUMBER(SEARCH("BSB80120",'Onshore - Sydney'!B7&amp;'Onshore - Sydney'!M7)),ISNUMBER(SEARCH("Management (Learning)",'Onshore - Sydney'!B7))),2,IF(ISNUMBER(SEARCH("CEK:",'Onshore - Sydney'!M7)),1,0))</f>
        <v>0</v>
      </c>
    </row>
    <row r="676" customFormat="false" ht="28.35" hidden="false" customHeight="false" outlineLevel="0" collapsed="false">
      <c r="A676" s="63" t="s">
        <v>3533</v>
      </c>
      <c r="B676" s="64" t="s">
        <v>3923</v>
      </c>
      <c r="C676" s="63" t="s">
        <v>41</v>
      </c>
      <c r="D676" s="64" t="str">
        <f aca="false">TRIM(LEFT('Onshore - Sydney'!A373,FIND(CHAR(10),'Onshore - Sydney'!A373&amp;CHAR(10))-1))</f>
        <v>Berkeley Business Institute (BBI)</v>
      </c>
      <c r="E676" s="63" t="str">
        <f aca="false">'Onshore - Sydney'!C382&amp;""</f>
        <v>2 years</v>
      </c>
      <c r="F676" s="63" t="str">
        <f aca="false">IF('Onshore - Sydney'!D382="","Belum tercatat",'Onshore - Sydney'!D382)</f>
        <v>Term</v>
      </c>
      <c r="G676" s="65" t="n">
        <f aca="false">IF('Onshore - Sydney'!E382="","-",'Onshore - Sydney'!E382)</f>
        <v>2000</v>
      </c>
      <c r="H676" s="63" t="n">
        <f aca="false">IF(ISNUMBER(K676),COUNTIFS($J$6:$J$1916,J676,$K$6:$K$1916,"&lt;"&amp;K676)+1,"-")</f>
        <v>10</v>
      </c>
      <c r="I676" s="64" t="str">
        <f aca="false">IF('Onshore - Sydney'!E382="","Harga belum tersedia - hubungi konsultan TEG",IF(M676=2,"Saat ini tidak menerima pendaftaran siswa internasional baru",IF(M676=1,"Harga perlu dikonfirmasi ke sekolah"&amp;IF(""="","","; "&amp;""),"")))</f>
        <v>Harga perlu dikonfirmasi ke sekolah</v>
      </c>
      <c r="J676" s="0" t="s">
        <v>3968</v>
      </c>
      <c r="K676" s="0" t="n">
        <f aca="false">IF(M676=2,"",IF(ISNUMBER(SEARCH("rata-rata:",'Onshore - Sydney'!M382)),VALUE(MID('Onshore - Sydney'!M382,SEARCH("rata-rata:",'Onshore - Sydney'!M382)+11,FIND(";",'Onshore - Sydney'!M382&amp;";",SEARCH("rata-rata:",'Onshore - Sydney'!M382))-SEARCH("rata-rata:",'Onshore - Sydney'!M382)-11)),IF('Onshore - Sydney'!D382="Semester",'Onshore - Sydney'!E382*2,IF('Onshore - Sydney'!D382="Trimester",'Onshore - Sydney'!E382*3,IF('Onshore - Sydney'!D382="Term",'Onshore - Sydney'!E382*4,IF('Onshore - Sydney'!D382="Unit",'Onshore - Sydney'!E382*8,""))))))</f>
        <v>8000</v>
      </c>
      <c r="L676" s="0" t="n">
        <f aca="false">IF(AND(ISNUMBER('Onshore - Sydney'!E382),ISNUMBER(K676),ISNUMBER('Onshore - Sydney'!F382),ISNUMBER('Onshore - Sydney'!G382),OR('Onshore - Sydney'!F382&lt;&gt;0,ISNUMBER(SEARCH("Material 0 terverifikasi",'Onshore - Sydney'!M382))),OR('Onshore - Sydney'!G382&lt;&gt;0,ISNUMBER(SEARCH("Enrolment 0 terverifikasi",'Onshore - Sydney'!M382)))),1,0)</f>
        <v>1</v>
      </c>
      <c r="M676" s="0" t="n">
        <f aca="false">IF(OR('Onshore - Sydney'!E382="",ISNUMBER(SEARCH("BSB80120",'Onshore - Sydney'!B382&amp;'Onshore - Sydney'!M382)),ISNUMBER(SEARCH("Management (Learning)",'Onshore - Sydney'!B382))),2,IF(ISNUMBER(SEARCH("CEK:",'Onshore - Sydney'!M382)),1,0))</f>
        <v>1</v>
      </c>
    </row>
    <row r="677" customFormat="false" ht="28.35" hidden="false" customHeight="false" outlineLevel="0" collapsed="false">
      <c r="A677" s="63" t="s">
        <v>3533</v>
      </c>
      <c r="B677" s="64" t="s">
        <v>3923</v>
      </c>
      <c r="C677" s="63" t="s">
        <v>41</v>
      </c>
      <c r="D677" s="64" t="str">
        <f aca="false">TRIM(LEFT('Onshore - Sydney'!A472,FIND(CHAR(10),'Onshore - Sydney'!A472&amp;CHAR(10))-1))</f>
        <v>George Brown College</v>
      </c>
      <c r="E677" s="63" t="str">
        <f aca="false">'Onshore - Sydney'!C482&amp;""</f>
        <v>3 years</v>
      </c>
      <c r="F677" s="63" t="str">
        <f aca="false">IF('Onshore - Sydney'!D482="","Belum tercatat",'Onshore - Sydney'!D482)</f>
        <v>Term</v>
      </c>
      <c r="G677" s="65" t="n">
        <f aca="false">IF('Onshore - Sydney'!E482="","-",'Onshore - Sydney'!E482)</f>
        <v>2000</v>
      </c>
      <c r="H677" s="63" t="n">
        <f aca="false">IF(ISNUMBER(K677),COUNTIFS($J$6:$J$1916,J677,$K$6:$K$1916,"&lt;"&amp;K677)+1,"-")</f>
        <v>10</v>
      </c>
      <c r="I677" s="64" t="str">
        <f aca="false">IF('Onshore - Sydney'!E482="","Harga belum tersedia - hubungi konsultan TEG",IF(M677=2,"Saat ini tidak menerima pendaftaran siswa internasional baru",IF(M677=1,"Harga perlu dikonfirmasi ke sekolah"&amp;IF(""="","","; "&amp;""),"")))</f>
        <v/>
      </c>
      <c r="J677" s="0" t="s">
        <v>3968</v>
      </c>
      <c r="K677" s="0" t="n">
        <f aca="false">IF(M677=2,"",IF(ISNUMBER(SEARCH("rata-rata:",'Onshore - Sydney'!M482)),VALUE(MID('Onshore - Sydney'!M482,SEARCH("rata-rata:",'Onshore - Sydney'!M482)+11,FIND(";",'Onshore - Sydney'!M482&amp;";",SEARCH("rata-rata:",'Onshore - Sydney'!M482))-SEARCH("rata-rata:",'Onshore - Sydney'!M482)-11)),IF('Onshore - Sydney'!D482="Semester",'Onshore - Sydney'!E482*2,IF('Onshore - Sydney'!D482="Trimester",'Onshore - Sydney'!E482*3,IF('Onshore - Sydney'!D482="Term",'Onshore - Sydney'!E482*4,IF('Onshore - Sydney'!D482="Unit",'Onshore - Sydney'!E482*8,""))))))</f>
        <v>8000</v>
      </c>
      <c r="L677" s="0" t="n">
        <f aca="false">IF(AND(ISNUMBER('Onshore - Sydney'!E482),ISNUMBER(K677),ISNUMBER('Onshore - Sydney'!F482),ISNUMBER('Onshore - Sydney'!G482),OR('Onshore - Sydney'!F482&lt;&gt;0,ISNUMBER(SEARCH("Material 0 terverifikasi",'Onshore - Sydney'!M482))),OR('Onshore - Sydney'!G482&lt;&gt;0,ISNUMBER(SEARCH("Enrolment 0 terverifikasi",'Onshore - Sydney'!M482)))),1,0)</f>
        <v>1</v>
      </c>
      <c r="M677" s="0" t="n">
        <f aca="false">IF(OR('Onshore - Sydney'!E482="",ISNUMBER(SEARCH("BSB80120",'Onshore - Sydney'!B482&amp;'Onshore - Sydney'!M482)),ISNUMBER(SEARCH("Management (Learning)",'Onshore - Sydney'!B482))),2,IF(ISNUMBER(SEARCH("CEK:",'Onshore - Sydney'!M482)),1,0))</f>
        <v>0</v>
      </c>
    </row>
    <row r="678" customFormat="false" ht="28.35" hidden="false" customHeight="false" outlineLevel="0" collapsed="false">
      <c r="A678" s="63" t="s">
        <v>3533</v>
      </c>
      <c r="B678" s="64" t="s">
        <v>3923</v>
      </c>
      <c r="C678" s="63" t="s">
        <v>41</v>
      </c>
      <c r="D678" s="64" t="str">
        <f aca="false">TRIM(LEFT('Onshore - Sydney'!A549,FIND(CHAR(10),'Onshore - Sydney'!A549&amp;CHAR(10))-1))</f>
        <v>INUS / ZOI (Nuture Education Group)</v>
      </c>
      <c r="E678" s="63" t="str">
        <f aca="false">'Onshore - Sydney'!C549&amp;""</f>
        <v>2 years</v>
      </c>
      <c r="F678" s="63" t="str">
        <f aca="false">IF('Onshore - Sydney'!D549="","Belum tercatat",'Onshore - Sydney'!D549)</f>
        <v>Term</v>
      </c>
      <c r="G678" s="65" t="n">
        <f aca="false">IF('Onshore - Sydney'!E549="","-",'Onshore - Sydney'!E549)</f>
        <v>2000</v>
      </c>
      <c r="H678" s="63" t="n">
        <f aca="false">IF(ISNUMBER(K678),COUNTIFS($J$6:$J$1916,J678,$K$6:$K$1916,"&lt;"&amp;K678)+1,"-")</f>
        <v>10</v>
      </c>
      <c r="I678" s="64" t="str">
        <f aca="false">IF('Onshore - Sydney'!E549="","Harga belum tersedia - hubungi konsultan TEG",IF(M678=2,"Saat ini tidak menerima pendaftaran siswa internasional baru",IF(M678=1,"Harga perlu dikonfirmasi ke sekolah"&amp;IF(""="","","; "&amp;""),"")))</f>
        <v>Harga perlu dikonfirmasi ke sekolah</v>
      </c>
      <c r="J678" s="0" t="s">
        <v>3968</v>
      </c>
      <c r="K678" s="0" t="n">
        <f aca="false">IF(M678=2,"",IF(ISNUMBER(SEARCH("rata-rata:",'Onshore - Sydney'!M549)),VALUE(MID('Onshore - Sydney'!M549,SEARCH("rata-rata:",'Onshore - Sydney'!M549)+11,FIND(";",'Onshore - Sydney'!M549&amp;";",SEARCH("rata-rata:",'Onshore - Sydney'!M549))-SEARCH("rata-rata:",'Onshore - Sydney'!M549)-11)),IF('Onshore - Sydney'!D549="Semester",'Onshore - Sydney'!E549*2,IF('Onshore - Sydney'!D549="Trimester",'Onshore - Sydney'!E549*3,IF('Onshore - Sydney'!D549="Term",'Onshore - Sydney'!E549*4,IF('Onshore - Sydney'!D549="Unit",'Onshore - Sydney'!E549*8,""))))))</f>
        <v>8000</v>
      </c>
      <c r="L678" s="0" t="n">
        <f aca="false">IF(AND(ISNUMBER('Onshore - Sydney'!E549),ISNUMBER(K678),ISNUMBER('Onshore - Sydney'!F549),ISNUMBER('Onshore - Sydney'!G549),OR('Onshore - Sydney'!F549&lt;&gt;0,ISNUMBER(SEARCH("Material 0 terverifikasi",'Onshore - Sydney'!M549))),OR('Onshore - Sydney'!G549&lt;&gt;0,ISNUMBER(SEARCH("Enrolment 0 terverifikasi",'Onshore - Sydney'!M549)))),1,0)</f>
        <v>1</v>
      </c>
      <c r="M678" s="0" t="n">
        <f aca="false">IF(OR('Onshore - Sydney'!E549="",ISNUMBER(SEARCH("BSB80120",'Onshore - Sydney'!B549&amp;'Onshore - Sydney'!M549)),ISNUMBER(SEARCH("Management (Learning)",'Onshore - Sydney'!B549))),2,IF(ISNUMBER(SEARCH("CEK:",'Onshore - Sydney'!M549)),1,0))</f>
        <v>1</v>
      </c>
    </row>
    <row r="679" customFormat="false" ht="28.35" hidden="false" customHeight="false" outlineLevel="0" collapsed="false">
      <c r="A679" s="63" t="s">
        <v>3533</v>
      </c>
      <c r="B679" s="64" t="s">
        <v>3923</v>
      </c>
      <c r="C679" s="63" t="s">
        <v>41</v>
      </c>
      <c r="D679" s="64" t="str">
        <f aca="false">TRIM(LEFT('Onshore - Sydney'!A728,FIND(CHAR(10),'Onshore - Sydney'!A728&amp;CHAR(10))-1))</f>
        <v>Rosehill College</v>
      </c>
      <c r="E679" s="63" t="str">
        <f aca="false">'Onshore - Sydney'!C733&amp;""</f>
        <v>4 years</v>
      </c>
      <c r="F679" s="63" t="str">
        <f aca="false">IF('Onshore - Sydney'!D733="","Belum tercatat",'Onshore - Sydney'!D733)</f>
        <v>Term</v>
      </c>
      <c r="G679" s="65" t="n">
        <f aca="false">IF('Onshore - Sydney'!E733="","-",'Onshore - Sydney'!E733)</f>
        <v>2000</v>
      </c>
      <c r="H679" s="63" t="n">
        <f aca="false">IF(ISNUMBER(K679),COUNTIFS($J$6:$J$1916,J679,$K$6:$K$1916,"&lt;"&amp;K679)+1,"-")</f>
        <v>10</v>
      </c>
      <c r="I679" s="64" t="str">
        <f aca="false">IF('Onshore - Sydney'!E733="","Harga belum tersedia - hubungi konsultan TEG",IF(M679=2,"Saat ini tidak menerima pendaftaran siswa internasional baru",IF(M679=1,"Harga perlu dikonfirmasi ke sekolah"&amp;IF(""="","","; "&amp;""),"")))</f>
        <v/>
      </c>
      <c r="J679" s="0" t="s">
        <v>3968</v>
      </c>
      <c r="K679" s="0" t="n">
        <f aca="false">IF(M679=2,"",IF(ISNUMBER(SEARCH("rata-rata:",'Onshore - Sydney'!M733)),VALUE(MID('Onshore - Sydney'!M733,SEARCH("rata-rata:",'Onshore - Sydney'!M733)+11,FIND(";",'Onshore - Sydney'!M733&amp;";",SEARCH("rata-rata:",'Onshore - Sydney'!M733))-SEARCH("rata-rata:",'Onshore - Sydney'!M733)-11)),IF('Onshore - Sydney'!D733="Semester",'Onshore - Sydney'!E733*2,IF('Onshore - Sydney'!D733="Trimester",'Onshore - Sydney'!E733*3,IF('Onshore - Sydney'!D733="Term",'Onshore - Sydney'!E733*4,IF('Onshore - Sydney'!D733="Unit",'Onshore - Sydney'!E733*8,""))))))</f>
        <v>8000</v>
      </c>
      <c r="L679" s="0" t="n">
        <f aca="false">IF(AND(ISNUMBER('Onshore - Sydney'!E733),ISNUMBER(K679),ISNUMBER('Onshore - Sydney'!F733),ISNUMBER('Onshore - Sydney'!G733),OR('Onshore - Sydney'!F733&lt;&gt;0,ISNUMBER(SEARCH("Material 0 terverifikasi",'Onshore - Sydney'!M733))),OR('Onshore - Sydney'!G733&lt;&gt;0,ISNUMBER(SEARCH("Enrolment 0 terverifikasi",'Onshore - Sydney'!M733)))),1,0)</f>
        <v>1</v>
      </c>
      <c r="M679" s="0" t="n">
        <f aca="false">IF(OR('Onshore - Sydney'!E733="",ISNUMBER(SEARCH("BSB80120",'Onshore - Sydney'!B733&amp;'Onshore - Sydney'!M733)),ISNUMBER(SEARCH("Management (Learning)",'Onshore - Sydney'!B733))),2,IF(ISNUMBER(SEARCH("CEK:",'Onshore - Sydney'!M733)),1,0))</f>
        <v>0</v>
      </c>
    </row>
    <row r="680" customFormat="false" ht="28.35" hidden="false" customHeight="false" outlineLevel="0" collapsed="false">
      <c r="A680" s="63" t="s">
        <v>3533</v>
      </c>
      <c r="B680" s="64" t="s">
        <v>3923</v>
      </c>
      <c r="C680" s="63" t="s">
        <v>41</v>
      </c>
      <c r="D680" s="64" t="str">
        <f aca="false">TRIM(LEFT('Onshore - Sydney'!A875,FIND(CHAR(10),'Onshore - Sydney'!A875&amp;CHAR(10))-1))</f>
        <v>Times Academy</v>
      </c>
      <c r="E680" s="63" t="str">
        <f aca="false">'Onshore - Sydney'!C875&amp;""</f>
        <v>2,5 years</v>
      </c>
      <c r="F680" s="63" t="str">
        <f aca="false">IF('Onshore - Sydney'!D875="","Belum tercatat",'Onshore - Sydney'!D875)</f>
        <v>Term</v>
      </c>
      <c r="G680" s="65" t="n">
        <f aca="false">IF('Onshore - Sydney'!E875="","-",'Onshore - Sydney'!E875)</f>
        <v>2000</v>
      </c>
      <c r="H680" s="63" t="n">
        <f aca="false">IF(ISNUMBER(K680),COUNTIFS($J$6:$J$1916,J680,$K$6:$K$1916,"&lt;"&amp;K680)+1,"-")</f>
        <v>10</v>
      </c>
      <c r="I680" s="64" t="str">
        <f aca="false">IF('Onshore - Sydney'!E875="","Harga belum tersedia - hubungi konsultan TEG",IF(M680=2,"Saat ini tidak menerima pendaftaran siswa internasional baru",IF(M680=1,"Harga perlu dikonfirmasi ke sekolah"&amp;IF(""="","","; "&amp;""),"")))</f>
        <v/>
      </c>
      <c r="J680" s="0" t="s">
        <v>3968</v>
      </c>
      <c r="K680" s="0" t="n">
        <f aca="false">IF(M680=2,"",IF(ISNUMBER(SEARCH("rata-rata:",'Onshore - Sydney'!M875)),VALUE(MID('Onshore - Sydney'!M875,SEARCH("rata-rata:",'Onshore - Sydney'!M875)+11,FIND(";",'Onshore - Sydney'!M875&amp;";",SEARCH("rata-rata:",'Onshore - Sydney'!M875))-SEARCH("rata-rata:",'Onshore - Sydney'!M875)-11)),IF('Onshore - Sydney'!D875="Semester",'Onshore - Sydney'!E875*2,IF('Onshore - Sydney'!D875="Trimester",'Onshore - Sydney'!E875*3,IF('Onshore - Sydney'!D875="Term",'Onshore - Sydney'!E875*4,IF('Onshore - Sydney'!D875="Unit",'Onshore - Sydney'!E875*8,""))))))</f>
        <v>8000</v>
      </c>
      <c r="L680" s="0" t="n">
        <f aca="false">IF(AND(ISNUMBER('Onshore - Sydney'!E875),ISNUMBER(K680),ISNUMBER('Onshore - Sydney'!F875),ISNUMBER('Onshore - Sydney'!G875),OR('Onshore - Sydney'!F875&lt;&gt;0,ISNUMBER(SEARCH("Material 0 terverifikasi",'Onshore - Sydney'!M875))),OR('Onshore - Sydney'!G875&lt;&gt;0,ISNUMBER(SEARCH("Enrolment 0 terverifikasi",'Onshore - Sydney'!M875)))),1,0)</f>
        <v>1</v>
      </c>
      <c r="M680" s="0" t="n">
        <f aca="false">IF(OR('Onshore - Sydney'!E875="",ISNUMBER(SEARCH("BSB80120",'Onshore - Sydney'!B875&amp;'Onshore - Sydney'!M875)),ISNUMBER(SEARCH("Management (Learning)",'Onshore - Sydney'!B875))),2,IF(ISNUMBER(SEARCH("CEK:",'Onshore - Sydney'!M875)),1,0))</f>
        <v>0</v>
      </c>
    </row>
    <row r="681" customFormat="false" ht="28.35" hidden="false" customHeight="false" outlineLevel="0" collapsed="false">
      <c r="A681" s="63" t="s">
        <v>3533</v>
      </c>
      <c r="B681" s="64" t="s">
        <v>3923</v>
      </c>
      <c r="C681" s="63" t="s">
        <v>41</v>
      </c>
      <c r="D681" s="64" t="str">
        <f aca="false">TRIM(LEFT('Onshore - Sydney'!A1023,FIND(CHAR(10),'Onshore - Sydney'!A1023&amp;CHAR(10))-1))</f>
        <v>Vigil International College</v>
      </c>
      <c r="E681" s="63" t="str">
        <f aca="false">'Onshore - Sydney'!C1026&amp;""</f>
        <v>2 years</v>
      </c>
      <c r="F681" s="63" t="str">
        <f aca="false">IF('Onshore - Sydney'!D1026="","Belum tercatat",'Onshore - Sydney'!D1026)</f>
        <v>Term</v>
      </c>
      <c r="G681" s="65" t="n">
        <f aca="false">IF('Onshore - Sydney'!E1026="","-",'Onshore - Sydney'!E1026)</f>
        <v>2000</v>
      </c>
      <c r="H681" s="63" t="n">
        <f aca="false">IF(ISNUMBER(K681),COUNTIFS($J$6:$J$1916,J681,$K$6:$K$1916,"&lt;"&amp;K681)+1,"-")</f>
        <v>10</v>
      </c>
      <c r="I681" s="64" t="str">
        <f aca="false">IF('Onshore - Sydney'!E1026="","Harga belum tersedia - hubungi konsultan TEG",IF(M681=2,"Saat ini tidak menerima pendaftaran siswa internasional baru",IF(M681=1,"Harga perlu dikonfirmasi ke sekolah"&amp;IF(""="","","; "&amp;""),"")))</f>
        <v/>
      </c>
      <c r="J681" s="0" t="s">
        <v>3968</v>
      </c>
      <c r="K681" s="0" t="n">
        <f aca="false">IF(M681=2,"",IF(ISNUMBER(SEARCH("rata-rata:",'Onshore - Sydney'!M1026)),VALUE(MID('Onshore - Sydney'!M1026,SEARCH("rata-rata:",'Onshore - Sydney'!M1026)+11,FIND(";",'Onshore - Sydney'!M1026&amp;";",SEARCH("rata-rata:",'Onshore - Sydney'!M1026))-SEARCH("rata-rata:",'Onshore - Sydney'!M1026)-11)),IF('Onshore - Sydney'!D1026="Semester",'Onshore - Sydney'!E1026*2,IF('Onshore - Sydney'!D1026="Trimester",'Onshore - Sydney'!E1026*3,IF('Onshore - Sydney'!D1026="Term",'Onshore - Sydney'!E1026*4,IF('Onshore - Sydney'!D1026="Unit",'Onshore - Sydney'!E1026*8,""))))))</f>
        <v>8000</v>
      </c>
      <c r="L681" s="0" t="n">
        <f aca="false">IF(AND(ISNUMBER('Onshore - Sydney'!E1026),ISNUMBER(K681),ISNUMBER('Onshore - Sydney'!F1026),ISNUMBER('Onshore - Sydney'!G1026),OR('Onshore - Sydney'!F1026&lt;&gt;0,ISNUMBER(SEARCH("Material 0 terverifikasi",'Onshore - Sydney'!M1026))),OR('Onshore - Sydney'!G1026&lt;&gt;0,ISNUMBER(SEARCH("Enrolment 0 terverifikasi",'Onshore - Sydney'!M1026)))),1,0)</f>
        <v>1</v>
      </c>
      <c r="M681" s="0" t="n">
        <f aca="false">IF(OR('Onshore - Sydney'!E1026="",ISNUMBER(SEARCH("BSB80120",'Onshore - Sydney'!B1026&amp;'Onshore - Sydney'!M1026)),ISNUMBER(SEARCH("Management (Learning)",'Onshore - Sydney'!B1026))),2,IF(ISNUMBER(SEARCH("CEK:",'Onshore - Sydney'!M1026)),1,0))</f>
        <v>0</v>
      </c>
    </row>
    <row r="682" customFormat="false" ht="28.35" hidden="false" customHeight="false" outlineLevel="0" collapsed="false">
      <c r="A682" s="63" t="s">
        <v>3533</v>
      </c>
      <c r="B682" s="64" t="s">
        <v>3923</v>
      </c>
      <c r="C682" s="63" t="s">
        <v>41</v>
      </c>
      <c r="D682" s="64" t="str">
        <f aca="false">TRIM(LEFT('Onshore - Sydney'!A536,FIND(CHAR(10),'Onshore - Sydney'!A536&amp;CHAR(10))-1))</f>
        <v>Imperial Institute of Sydney (IIS)</v>
      </c>
      <c r="E682" s="63" t="str">
        <f aca="false">'Onshore - Sydney'!C538&amp;""</f>
        <v>2 years</v>
      </c>
      <c r="F682" s="63" t="str">
        <f aca="false">IF('Onshore - Sydney'!D538="","Belum tercatat",'Onshore - Sydney'!D538)</f>
        <v>Term</v>
      </c>
      <c r="G682" s="65" t="n">
        <f aca="false">IF('Onshore - Sydney'!E538="","-",'Onshore - Sydney'!E538)</f>
        <v>2100</v>
      </c>
      <c r="H682" s="63" t="n">
        <f aca="false">IF(ISNUMBER(K682),COUNTIFS($J$6:$J$1916,J682,$K$6:$K$1916,"&lt;"&amp;K682)+1,"-")</f>
        <v>17</v>
      </c>
      <c r="I682" s="64" t="str">
        <f aca="false">IF('Onshore - Sydney'!E538="","Harga belum tersedia - hubungi konsultan TEG",IF(M682=2,"Saat ini tidak menerima pendaftaran siswa internasional baru",IF(M682=1,"Harga perlu dikonfirmasi ke sekolah"&amp;IF(""="","","; "&amp;""),"")))</f>
        <v/>
      </c>
      <c r="J682" s="0" t="s">
        <v>3968</v>
      </c>
      <c r="K682" s="0" t="n">
        <f aca="false">IF(M682=2,"",IF(ISNUMBER(SEARCH("rata-rata:",'Onshore - Sydney'!M538)),VALUE(MID('Onshore - Sydney'!M538,SEARCH("rata-rata:",'Onshore - Sydney'!M538)+11,FIND(";",'Onshore - Sydney'!M538&amp;";",SEARCH("rata-rata:",'Onshore - Sydney'!M538))-SEARCH("rata-rata:",'Onshore - Sydney'!M538)-11)),IF('Onshore - Sydney'!D538="Semester",'Onshore - Sydney'!E538*2,IF('Onshore - Sydney'!D538="Trimester",'Onshore - Sydney'!E538*3,IF('Onshore - Sydney'!D538="Term",'Onshore - Sydney'!E538*4,IF('Onshore - Sydney'!D538="Unit",'Onshore - Sydney'!E538*8,""))))))</f>
        <v>8400</v>
      </c>
      <c r="L682" s="0" t="n">
        <f aca="false">IF(AND(ISNUMBER('Onshore - Sydney'!E538),ISNUMBER(K682),ISNUMBER('Onshore - Sydney'!F538),ISNUMBER('Onshore - Sydney'!G538),OR('Onshore - Sydney'!F538&lt;&gt;0,ISNUMBER(SEARCH("Material 0 terverifikasi",'Onshore - Sydney'!M538))),OR('Onshore - Sydney'!G538&lt;&gt;0,ISNUMBER(SEARCH("Enrolment 0 terverifikasi",'Onshore - Sydney'!M538)))),1,0)</f>
        <v>0</v>
      </c>
      <c r="M682" s="0" t="n">
        <f aca="false">IF(OR('Onshore - Sydney'!E538="",ISNUMBER(SEARCH("BSB80120",'Onshore - Sydney'!B538&amp;'Onshore - Sydney'!M538)),ISNUMBER(SEARCH("Management (Learning)",'Onshore - Sydney'!B538))),2,IF(ISNUMBER(SEARCH("CEK:",'Onshore - Sydney'!M538)),1,0))</f>
        <v>0</v>
      </c>
    </row>
    <row r="683" customFormat="false" ht="28.35" hidden="false" customHeight="false" outlineLevel="0" collapsed="false">
      <c r="A683" s="63" t="s">
        <v>3533</v>
      </c>
      <c r="B683" s="64" t="s">
        <v>3923</v>
      </c>
      <c r="C683" s="63" t="s">
        <v>41</v>
      </c>
      <c r="D683" s="64" t="str">
        <f aca="false">TRIM(LEFT('Onshore - Sydney'!A790,FIND(CHAR(10),'Onshore - Sydney'!A790&amp;CHAR(10))-1))</f>
        <v>Sydney Metropolitan International College</v>
      </c>
      <c r="E683" s="63" t="str">
        <f aca="false">'Onshore - Sydney'!C794&amp;""</f>
        <v>4 years</v>
      </c>
      <c r="F683" s="63" t="str">
        <f aca="false">IF('Onshore - Sydney'!D794="","Belum tercatat",'Onshore - Sydney'!D794)</f>
        <v>Term</v>
      </c>
      <c r="G683" s="65" t="n">
        <f aca="false">IF('Onshore - Sydney'!E794="","-",'Onshore - Sydney'!E794)</f>
        <v>2100</v>
      </c>
      <c r="H683" s="63" t="n">
        <f aca="false">IF(ISNUMBER(K683),COUNTIFS($J$6:$J$1916,J683,$K$6:$K$1916,"&lt;"&amp;K683)+1,"-")</f>
        <v>17</v>
      </c>
      <c r="I683" s="64" t="str">
        <f aca="false">IF('Onshore - Sydney'!E794="","Harga belum tersedia - hubungi konsultan TEG",IF(M683=2,"Saat ini tidak menerima pendaftaran siswa internasional baru",IF(M683=1,"Harga perlu dikonfirmasi ke sekolah"&amp;IF(""="","","; "&amp;""),"")))</f>
        <v/>
      </c>
      <c r="J683" s="0" t="s">
        <v>3968</v>
      </c>
      <c r="K683" s="0" t="n">
        <f aca="false">IF(M683=2,"",IF(ISNUMBER(SEARCH("rata-rata:",'Onshore - Sydney'!M794)),VALUE(MID('Onshore - Sydney'!M794,SEARCH("rata-rata:",'Onshore - Sydney'!M794)+11,FIND(";",'Onshore - Sydney'!M794&amp;";",SEARCH("rata-rata:",'Onshore - Sydney'!M794))-SEARCH("rata-rata:",'Onshore - Sydney'!M794)-11)),IF('Onshore - Sydney'!D794="Semester",'Onshore - Sydney'!E794*2,IF('Onshore - Sydney'!D794="Trimester",'Onshore - Sydney'!E794*3,IF('Onshore - Sydney'!D794="Term",'Onshore - Sydney'!E794*4,IF('Onshore - Sydney'!D794="Unit",'Onshore - Sydney'!E794*8,""))))))</f>
        <v>8400</v>
      </c>
      <c r="L683" s="0" t="n">
        <f aca="false">IF(AND(ISNUMBER('Onshore - Sydney'!E794),ISNUMBER(K683),ISNUMBER('Onshore - Sydney'!F794),ISNUMBER('Onshore - Sydney'!G794),OR('Onshore - Sydney'!F794&lt;&gt;0,ISNUMBER(SEARCH("Material 0 terverifikasi",'Onshore - Sydney'!M794))),OR('Onshore - Sydney'!G794&lt;&gt;0,ISNUMBER(SEARCH("Enrolment 0 terverifikasi",'Onshore - Sydney'!M794)))),1,0)</f>
        <v>1</v>
      </c>
      <c r="M683" s="0" t="n">
        <f aca="false">IF(OR('Onshore - Sydney'!E794="",ISNUMBER(SEARCH("BSB80120",'Onshore - Sydney'!B794&amp;'Onshore - Sydney'!M794)),ISNUMBER(SEARCH("Management (Learning)",'Onshore - Sydney'!B794))),2,IF(ISNUMBER(SEARCH("CEK:",'Onshore - Sydney'!M794)),1,0))</f>
        <v>0</v>
      </c>
    </row>
    <row r="684" customFormat="false" ht="28.35" hidden="false" customHeight="false" outlineLevel="0" collapsed="false">
      <c r="A684" s="63" t="s">
        <v>3533</v>
      </c>
      <c r="B684" s="64" t="s">
        <v>3923</v>
      </c>
      <c r="C684" s="63" t="s">
        <v>41</v>
      </c>
      <c r="D684" s="64" t="str">
        <f aca="false">TRIM(LEFT('Onshore - Sydney'!A358,FIND(CHAR(10),'Onshore - Sydney'!A358&amp;CHAR(10))-1))</f>
        <v>Australian Skills Management Institute (ASMI)</v>
      </c>
      <c r="E684" s="63" t="str">
        <f aca="false">'Onshore - Sydney'!C360&amp;""</f>
        <v>1,7 years</v>
      </c>
      <c r="F684" s="63" t="str">
        <f aca="false">IF('Onshore - Sydney'!D360="","Belum tercatat",'Onshore - Sydney'!D360)</f>
        <v>Term</v>
      </c>
      <c r="G684" s="65" t="n">
        <f aca="false">IF('Onshore - Sydney'!E360="","-",'Onshore - Sydney'!E360)</f>
        <v>2150</v>
      </c>
      <c r="H684" s="63" t="n">
        <f aca="false">IF(ISNUMBER(K684),COUNTIFS($J$6:$J$1916,J684,$K$6:$K$1916,"&lt;"&amp;K684)+1,"-")</f>
        <v>19</v>
      </c>
      <c r="I684" s="64" t="str">
        <f aca="false">IF('Onshore - Sydney'!E360="","Harga belum tersedia - hubungi konsultan TEG",IF(M684=2,"Saat ini tidak menerima pendaftaran siswa internasional baru",IF(M684=1,"Harga perlu dikonfirmasi ke sekolah"&amp;IF(""="","","; "&amp;""),"")))</f>
        <v/>
      </c>
      <c r="J684" s="0" t="s">
        <v>3968</v>
      </c>
      <c r="K684" s="0" t="n">
        <f aca="false">IF(M684=2,"",IF(ISNUMBER(SEARCH("rata-rata:",'Onshore - Sydney'!M360)),VALUE(MID('Onshore - Sydney'!M360,SEARCH("rata-rata:",'Onshore - Sydney'!M360)+11,FIND(";",'Onshore - Sydney'!M360&amp;";",SEARCH("rata-rata:",'Onshore - Sydney'!M360))-SEARCH("rata-rata:",'Onshore - Sydney'!M360)-11)),IF('Onshore - Sydney'!D360="Semester",'Onshore - Sydney'!E360*2,IF('Onshore - Sydney'!D360="Trimester",'Onshore - Sydney'!E360*3,IF('Onshore - Sydney'!D360="Term",'Onshore - Sydney'!E360*4,IF('Onshore - Sydney'!D360="Unit",'Onshore - Sydney'!E360*8,""))))))</f>
        <v>8600</v>
      </c>
      <c r="L684" s="0" t="n">
        <f aca="false">IF(AND(ISNUMBER('Onshore - Sydney'!E360),ISNUMBER(K684),ISNUMBER('Onshore - Sydney'!F360),ISNUMBER('Onshore - Sydney'!G360),OR('Onshore - Sydney'!F360&lt;&gt;0,ISNUMBER(SEARCH("Material 0 terverifikasi",'Onshore - Sydney'!M360))),OR('Onshore - Sydney'!G360&lt;&gt;0,ISNUMBER(SEARCH("Enrolment 0 terverifikasi",'Onshore - Sydney'!M360)))),1,0)</f>
        <v>1</v>
      </c>
      <c r="M684" s="0" t="n">
        <f aca="false">IF(OR('Onshore - Sydney'!E360="",ISNUMBER(SEARCH("BSB80120",'Onshore - Sydney'!B360&amp;'Onshore - Sydney'!M360)),ISNUMBER(SEARCH("Management (Learning)",'Onshore - Sydney'!B360))),2,IF(ISNUMBER(SEARCH("CEK:",'Onshore - Sydney'!M360)),1,0))</f>
        <v>0</v>
      </c>
    </row>
    <row r="685" customFormat="false" ht="28.35" hidden="false" customHeight="false" outlineLevel="0" collapsed="false">
      <c r="A685" s="63" t="s">
        <v>3533</v>
      </c>
      <c r="B685" s="64" t="s">
        <v>3923</v>
      </c>
      <c r="C685" s="63" t="s">
        <v>41</v>
      </c>
      <c r="D685" s="64" t="str">
        <f aca="false">TRIM(LEFT('Onshore - Sydney'!A517,FIND(CHAR(10),'Onshore - Sydney'!A517&amp;CHAR(10))-1))</f>
        <v>Harbourside Institute of Australia (HIA)</v>
      </c>
      <c r="E685" s="63" t="str">
        <f aca="false">'Onshore - Sydney'!C524&amp;""</f>
        <v>2 years</v>
      </c>
      <c r="F685" s="63" t="str">
        <f aca="false">IF('Onshore - Sydney'!D524="","Belum tercatat",'Onshore - Sydney'!D524)</f>
        <v>Term</v>
      </c>
      <c r="G685" s="65" t="n">
        <f aca="false">IF('Onshore - Sydney'!E524="","-",'Onshore - Sydney'!E524)</f>
        <v>2150</v>
      </c>
      <c r="H685" s="63" t="n">
        <f aca="false">IF(ISNUMBER(K685),COUNTIFS($J$6:$J$1916,J685,$K$6:$K$1916,"&lt;"&amp;K685)+1,"-")</f>
        <v>19</v>
      </c>
      <c r="I685" s="64" t="str">
        <f aca="false">IF('Onshore - Sydney'!E524="","Harga belum tersedia - hubungi konsultan TEG",IF(M685=2,"Saat ini tidak menerima pendaftaran siswa internasional baru",IF(M685=1,"Harga perlu dikonfirmasi ke sekolah"&amp;IF(""="","","; "&amp;""),"")))</f>
        <v>Harga perlu dikonfirmasi ke sekolah</v>
      </c>
      <c r="J685" s="0" t="s">
        <v>3968</v>
      </c>
      <c r="K685" s="0" t="n">
        <f aca="false">IF(M685=2,"",IF(ISNUMBER(SEARCH("rata-rata:",'Onshore - Sydney'!M524)),VALUE(MID('Onshore - Sydney'!M524,SEARCH("rata-rata:",'Onshore - Sydney'!M524)+11,FIND(";",'Onshore - Sydney'!M524&amp;";",SEARCH("rata-rata:",'Onshore - Sydney'!M524))-SEARCH("rata-rata:",'Onshore - Sydney'!M524)-11)),IF('Onshore - Sydney'!D524="Semester",'Onshore - Sydney'!E524*2,IF('Onshore - Sydney'!D524="Trimester",'Onshore - Sydney'!E524*3,IF('Onshore - Sydney'!D524="Term",'Onshore - Sydney'!E524*4,IF('Onshore - Sydney'!D524="Unit",'Onshore - Sydney'!E524*8,""))))))</f>
        <v>8600</v>
      </c>
      <c r="L685" s="0" t="n">
        <f aca="false">IF(AND(ISNUMBER('Onshore - Sydney'!E524),ISNUMBER(K685),ISNUMBER('Onshore - Sydney'!F524),ISNUMBER('Onshore - Sydney'!G524),OR('Onshore - Sydney'!F524&lt;&gt;0,ISNUMBER(SEARCH("Material 0 terverifikasi",'Onshore - Sydney'!M524))),OR('Onshore - Sydney'!G524&lt;&gt;0,ISNUMBER(SEARCH("Enrolment 0 terverifikasi",'Onshore - Sydney'!M524)))),1,0)</f>
        <v>1</v>
      </c>
      <c r="M685" s="0" t="n">
        <f aca="false">IF(OR('Onshore - Sydney'!E524="",ISNUMBER(SEARCH("BSB80120",'Onshore - Sydney'!B524&amp;'Onshore - Sydney'!M524)),ISNUMBER(SEARCH("Management (Learning)",'Onshore - Sydney'!B524))),2,IF(ISNUMBER(SEARCH("CEK:",'Onshore - Sydney'!M524)),1,0))</f>
        <v>1</v>
      </c>
    </row>
    <row r="686" customFormat="false" ht="28.35" hidden="false" customHeight="false" outlineLevel="0" collapsed="false">
      <c r="A686" s="63" t="s">
        <v>3533</v>
      </c>
      <c r="B686" s="64" t="s">
        <v>3923</v>
      </c>
      <c r="C686" s="63" t="s">
        <v>41</v>
      </c>
      <c r="D686" s="64" t="str">
        <f aca="false">TRIM(LEFT('Onshore - Sydney'!A313,FIND(CHAR(10),'Onshore - Sydney'!A313&amp;CHAR(10))-1))</f>
        <v>Australian Ideal College (AIC)</v>
      </c>
      <c r="E686" s="63" t="str">
        <f aca="false">'Onshore - Sydney'!C328&amp;""</f>
        <v>2,5 years</v>
      </c>
      <c r="F686" s="63" t="str">
        <f aca="false">IF('Onshore - Sydney'!D328="","Belum tercatat",'Onshore - Sydney'!D328)</f>
        <v>Term</v>
      </c>
      <c r="G686" s="65" t="n">
        <f aca="false">IF('Onshore - Sydney'!E328="","-",'Onshore - Sydney'!E328)</f>
        <v>2250</v>
      </c>
      <c r="H686" s="63" t="n">
        <f aca="false">IF(ISNUMBER(K686),COUNTIFS($J$6:$J$1916,J686,$K$6:$K$1916,"&lt;"&amp;K686)+1,"-")</f>
        <v>21</v>
      </c>
      <c r="I686" s="64" t="str">
        <f aca="false">IF('Onshore - Sydney'!E328="","Harga belum tersedia - hubungi konsultan TEG",IF(M686=2,"Saat ini tidak menerima pendaftaran siswa internasional baru",IF(M686=1,"Harga perlu dikonfirmasi ke sekolah"&amp;IF(""="","","; "&amp;""),"")))</f>
        <v/>
      </c>
      <c r="J686" s="0" t="s">
        <v>3968</v>
      </c>
      <c r="K686" s="0" t="n">
        <f aca="false">IF(M686=2,"",IF(ISNUMBER(SEARCH("rata-rata:",'Onshore - Sydney'!M328)),VALUE(MID('Onshore - Sydney'!M328,SEARCH("rata-rata:",'Onshore - Sydney'!M328)+11,FIND(";",'Onshore - Sydney'!M328&amp;";",SEARCH("rata-rata:",'Onshore - Sydney'!M328))-SEARCH("rata-rata:",'Onshore - Sydney'!M328)-11)),IF('Onshore - Sydney'!D328="Semester",'Onshore - Sydney'!E328*2,IF('Onshore - Sydney'!D328="Trimester",'Onshore - Sydney'!E328*3,IF('Onshore - Sydney'!D328="Term",'Onshore - Sydney'!E328*4,IF('Onshore - Sydney'!D328="Unit",'Onshore - Sydney'!E328*8,""))))))</f>
        <v>9000</v>
      </c>
      <c r="L686" s="0" t="n">
        <f aca="false">IF(AND(ISNUMBER('Onshore - Sydney'!E328),ISNUMBER(K686),ISNUMBER('Onshore - Sydney'!F328),ISNUMBER('Onshore - Sydney'!G328),OR('Onshore - Sydney'!F328&lt;&gt;0,ISNUMBER(SEARCH("Material 0 terverifikasi",'Onshore - Sydney'!M328))),OR('Onshore - Sydney'!G328&lt;&gt;0,ISNUMBER(SEARCH("Enrolment 0 terverifikasi",'Onshore - Sydney'!M328)))),1,0)</f>
        <v>1</v>
      </c>
      <c r="M686" s="0" t="n">
        <f aca="false">IF(OR('Onshore - Sydney'!E328="",ISNUMBER(SEARCH("BSB80120",'Onshore - Sydney'!B328&amp;'Onshore - Sydney'!M328)),ISNUMBER(SEARCH("Management (Learning)",'Onshore - Sydney'!B328))),2,IF(ISNUMBER(SEARCH("CEK:",'Onshore - Sydney'!M328)),1,0))</f>
        <v>0</v>
      </c>
    </row>
    <row r="687" customFormat="false" ht="28.35" hidden="false" customHeight="false" outlineLevel="0" collapsed="false">
      <c r="A687" s="63" t="s">
        <v>3533</v>
      </c>
      <c r="B687" s="64" t="s">
        <v>3923</v>
      </c>
      <c r="C687" s="63" t="s">
        <v>41</v>
      </c>
      <c r="D687" s="64" t="str">
        <f aca="false">TRIM(LEFT('Onshore - Sydney'!A299,FIND(CHAR(10),'Onshore - Sydney'!A299&amp;CHAR(10))-1))</f>
        <v>Australian Harbour International College (AHIC)</v>
      </c>
      <c r="E687" s="63" t="str">
        <f aca="false">'Onshore - Sydney'!C299&amp;""</f>
        <v>3 years</v>
      </c>
      <c r="F687" s="63" t="str">
        <f aca="false">IF('Onshore - Sydney'!D299="","Belum tercatat",'Onshore - Sydney'!D299)</f>
        <v>Term</v>
      </c>
      <c r="G687" s="65" t="n">
        <f aca="false">IF('Onshore - Sydney'!E299="","-",'Onshore - Sydney'!E299)</f>
        <v>2375</v>
      </c>
      <c r="H687" s="63" t="n">
        <f aca="false">IF(ISNUMBER(K687),COUNTIFS($J$6:$J$1916,J687,$K$6:$K$1916,"&lt;"&amp;K687)+1,"-")</f>
        <v>22</v>
      </c>
      <c r="I687" s="64" t="str">
        <f aca="false">IF('Onshore - Sydney'!E299="","Harga belum tersedia - hubungi konsultan TEG",IF(M687=2,"Saat ini tidak menerima pendaftaran siswa internasional baru",IF(M687=1,"Harga perlu dikonfirmasi ke sekolah"&amp;IF(""="","","; "&amp;""),"")))</f>
        <v/>
      </c>
      <c r="J687" s="0" t="s">
        <v>3968</v>
      </c>
      <c r="K687" s="0" t="n">
        <f aca="false">IF(M687=2,"",IF(ISNUMBER(SEARCH("rata-rata:",'Onshore - Sydney'!M299)),VALUE(MID('Onshore - Sydney'!M299,SEARCH("rata-rata:",'Onshore - Sydney'!M299)+11,FIND(";",'Onshore - Sydney'!M299&amp;";",SEARCH("rata-rata:",'Onshore - Sydney'!M299))-SEARCH("rata-rata:",'Onshore - Sydney'!M299)-11)),IF('Onshore - Sydney'!D299="Semester",'Onshore - Sydney'!E299*2,IF('Onshore - Sydney'!D299="Trimester",'Onshore - Sydney'!E299*3,IF('Onshore - Sydney'!D299="Term",'Onshore - Sydney'!E299*4,IF('Onshore - Sydney'!D299="Unit",'Onshore - Sydney'!E299*8,""))))))</f>
        <v>9500</v>
      </c>
      <c r="L687" s="0" t="n">
        <f aca="false">IF(AND(ISNUMBER('Onshore - Sydney'!E299),ISNUMBER(K687),ISNUMBER('Onshore - Sydney'!F299),ISNUMBER('Onshore - Sydney'!G299),OR('Onshore - Sydney'!F299&lt;&gt;0,ISNUMBER(SEARCH("Material 0 terverifikasi",'Onshore - Sydney'!M299))),OR('Onshore - Sydney'!G299&lt;&gt;0,ISNUMBER(SEARCH("Enrolment 0 terverifikasi",'Onshore - Sydney'!M299)))),1,0)</f>
        <v>1</v>
      </c>
      <c r="M687" s="0" t="n">
        <f aca="false">IF(OR('Onshore - Sydney'!E299="",ISNUMBER(SEARCH("BSB80120",'Onshore - Sydney'!B299&amp;'Onshore - Sydney'!M299)),ISNUMBER(SEARCH("Management (Learning)",'Onshore - Sydney'!B299))),2,IF(ISNUMBER(SEARCH("CEK:",'Onshore - Sydney'!M299)),1,0))</f>
        <v>0</v>
      </c>
    </row>
    <row r="688" customFormat="false" ht="28.35" hidden="false" customHeight="false" outlineLevel="0" collapsed="false">
      <c r="A688" s="63" t="s">
        <v>3533</v>
      </c>
      <c r="B688" s="64" t="s">
        <v>3923</v>
      </c>
      <c r="C688" s="63" t="s">
        <v>41</v>
      </c>
      <c r="D688" s="64" t="str">
        <f aca="false">TRIM(LEFT('Onshore - Sydney'!A688,FIND(CHAR(10),'Onshore - Sydney'!A688&amp;CHAR(10))-1))</f>
        <v>Nurse Training Australia (NTA)</v>
      </c>
      <c r="E688" s="63" t="str">
        <f aca="false">'Onshore - Sydney'!C696&amp;""</f>
        <v>2 years</v>
      </c>
      <c r="F688" s="63" t="str">
        <f aca="false">IF('Onshore - Sydney'!D696="","Belum tercatat",'Onshore - Sydney'!D696)</f>
        <v>Term</v>
      </c>
      <c r="G688" s="65" t="n">
        <f aca="false">IF('Onshore - Sydney'!E696="","-",'Onshore - Sydney'!E696)</f>
        <v>2494</v>
      </c>
      <c r="H688" s="63" t="n">
        <f aca="false">IF(ISNUMBER(K688),COUNTIFS($J$6:$J$1916,J688,$K$6:$K$1916,"&lt;"&amp;K688)+1,"-")</f>
        <v>23</v>
      </c>
      <c r="I688" s="64" t="str">
        <f aca="false">IF('Onshore - Sydney'!E696="","Harga belum tersedia - hubungi konsultan TEG",IF(M688=2,"Saat ini tidak menerima pendaftaran siswa internasional baru",IF(M688=1,"Harga perlu dikonfirmasi ke sekolah"&amp;IF(""="","","; "&amp;""),"")))</f>
        <v/>
      </c>
      <c r="J688" s="0" t="s">
        <v>3968</v>
      </c>
      <c r="K688" s="0" t="n">
        <f aca="false">IF(M688=2,"",IF(ISNUMBER(SEARCH("rata-rata:",'Onshore - Sydney'!M696)),VALUE(MID('Onshore - Sydney'!M696,SEARCH("rata-rata:",'Onshore - Sydney'!M696)+11,FIND(";",'Onshore - Sydney'!M696&amp;";",SEARCH("rata-rata:",'Onshore - Sydney'!M696))-SEARCH("rata-rata:",'Onshore - Sydney'!M696)-11)),IF('Onshore - Sydney'!D696="Semester",'Onshore - Sydney'!E696*2,IF('Onshore - Sydney'!D696="Trimester",'Onshore - Sydney'!E696*3,IF('Onshore - Sydney'!D696="Term",'Onshore - Sydney'!E696*4,IF('Onshore - Sydney'!D696="Unit",'Onshore - Sydney'!E696*8,""))))))</f>
        <v>9976</v>
      </c>
      <c r="L688" s="0" t="n">
        <f aca="false">IF(AND(ISNUMBER('Onshore - Sydney'!E696),ISNUMBER(K688),ISNUMBER('Onshore - Sydney'!F696),ISNUMBER('Onshore - Sydney'!G696),OR('Onshore - Sydney'!F696&lt;&gt;0,ISNUMBER(SEARCH("Material 0 terverifikasi",'Onshore - Sydney'!M696))),OR('Onshore - Sydney'!G696&lt;&gt;0,ISNUMBER(SEARCH("Enrolment 0 terverifikasi",'Onshore - Sydney'!M696)))),1,0)</f>
        <v>1</v>
      </c>
      <c r="M688" s="0" t="n">
        <f aca="false">IF(OR('Onshore - Sydney'!E696="",ISNUMBER(SEARCH("BSB80120",'Onshore - Sydney'!B696&amp;'Onshore - Sydney'!M696)),ISNUMBER(SEARCH("Management (Learning)",'Onshore - Sydney'!B696))),2,IF(ISNUMBER(SEARCH("CEK:",'Onshore - Sydney'!M696)),1,0))</f>
        <v>0</v>
      </c>
    </row>
    <row r="689" customFormat="false" ht="28.35" hidden="false" customHeight="false" outlineLevel="0" collapsed="false">
      <c r="A689" s="63" t="s">
        <v>3533</v>
      </c>
      <c r="B689" s="64" t="s">
        <v>3923</v>
      </c>
      <c r="C689" s="63" t="s">
        <v>41</v>
      </c>
      <c r="D689" s="64" t="str">
        <f aca="false">TRIM(LEFT('Onshore - Sydney'!A763,FIND(CHAR(10),'Onshore - Sydney'!A763&amp;CHAR(10))-1))</f>
        <v>Sydney College of Professional Education (SCPE)</v>
      </c>
      <c r="E689" s="63" t="str">
        <f aca="false">'Onshore - Sydney'!C764&amp;""</f>
        <v>3,5 years</v>
      </c>
      <c r="F689" s="63" t="str">
        <f aca="false">IF('Onshore - Sydney'!D764="","Belum tercatat",'Onshore - Sydney'!D764)</f>
        <v>Term</v>
      </c>
      <c r="G689" s="65" t="n">
        <f aca="false">IF('Onshore - Sydney'!E764="","-",'Onshore - Sydney'!E764)</f>
        <v>2500</v>
      </c>
      <c r="H689" s="63" t="n">
        <f aca="false">IF(ISNUMBER(K689),COUNTIFS($J$6:$J$1916,J689,$K$6:$K$1916,"&lt;"&amp;K689)+1,"-")</f>
        <v>24</v>
      </c>
      <c r="I689" s="64" t="str">
        <f aca="false">IF('Onshore - Sydney'!E764="","Harga belum tersedia - hubungi konsultan TEG",IF(M689=2,"Saat ini tidak menerima pendaftaran siswa internasional baru",IF(M689=1,"Harga perlu dikonfirmasi ke sekolah"&amp;IF(""="","","; "&amp;""),"")))</f>
        <v>Harga perlu dikonfirmasi ke sekolah</v>
      </c>
      <c r="J689" s="0" t="s">
        <v>3968</v>
      </c>
      <c r="K689" s="0" t="n">
        <f aca="false">IF(M689=2,"",IF(ISNUMBER(SEARCH("rata-rata:",'Onshore - Sydney'!M764)),VALUE(MID('Onshore - Sydney'!M764,SEARCH("rata-rata:",'Onshore - Sydney'!M764)+11,FIND(";",'Onshore - Sydney'!M764&amp;";",SEARCH("rata-rata:",'Onshore - Sydney'!M764))-SEARCH("rata-rata:",'Onshore - Sydney'!M764)-11)),IF('Onshore - Sydney'!D764="Semester",'Onshore - Sydney'!E764*2,IF('Onshore - Sydney'!D764="Trimester",'Onshore - Sydney'!E764*3,IF('Onshore - Sydney'!D764="Term",'Onshore - Sydney'!E764*4,IF('Onshore - Sydney'!D764="Unit",'Onshore - Sydney'!E764*8,""))))))</f>
        <v>10000</v>
      </c>
      <c r="L689" s="0" t="n">
        <f aca="false">IF(AND(ISNUMBER('Onshore - Sydney'!E764),ISNUMBER(K689),ISNUMBER('Onshore - Sydney'!F764),ISNUMBER('Onshore - Sydney'!G764),OR('Onshore - Sydney'!F764&lt;&gt;0,ISNUMBER(SEARCH("Material 0 terverifikasi",'Onshore - Sydney'!M764))),OR('Onshore - Sydney'!G764&lt;&gt;0,ISNUMBER(SEARCH("Enrolment 0 terverifikasi",'Onshore - Sydney'!M764)))),1,0)</f>
        <v>1</v>
      </c>
      <c r="M689" s="0" t="n">
        <f aca="false">IF(OR('Onshore - Sydney'!E764="",ISNUMBER(SEARCH("BSB80120",'Onshore - Sydney'!B764&amp;'Onshore - Sydney'!M764)),ISNUMBER(SEARCH("Management (Learning)",'Onshore - Sydney'!B764))),2,IF(ISNUMBER(SEARCH("CEK:",'Onshore - Sydney'!M764)),1,0))</f>
        <v>1</v>
      </c>
    </row>
    <row r="690" customFormat="false" ht="28.35" hidden="false" customHeight="false" outlineLevel="0" collapsed="false">
      <c r="A690" s="63" t="s">
        <v>3533</v>
      </c>
      <c r="B690" s="64" t="s">
        <v>3923</v>
      </c>
      <c r="C690" s="63" t="s">
        <v>41</v>
      </c>
      <c r="D690" s="64" t="str">
        <f aca="false">TRIM(LEFT('Onshore - Sydney'!A1228,FIND(CHAR(10),'Onshore - Sydney'!A1228&amp;CHAR(10))-1))</f>
        <v>Whitehouse International College</v>
      </c>
      <c r="E690" s="63" t="str">
        <f aca="false">'Onshore - Sydney'!C1230&amp;""</f>
        <v>4 years</v>
      </c>
      <c r="F690" s="63" t="str">
        <f aca="false">IF('Onshore - Sydney'!D1230="","Belum tercatat",'Onshore - Sydney'!D1230)</f>
        <v>Term</v>
      </c>
      <c r="G690" s="65" t="n">
        <f aca="false">IF('Onshore - Sydney'!E1230="","-",'Onshore - Sydney'!E1230)</f>
        <v>2750</v>
      </c>
      <c r="H690" s="63" t="n">
        <f aca="false">IF(ISNUMBER(K690),COUNTIFS($J$6:$J$1916,J690,$K$6:$K$1916,"&lt;"&amp;K690)+1,"-")</f>
        <v>25</v>
      </c>
      <c r="I690" s="64" t="str">
        <f aca="false">IF('Onshore - Sydney'!E1230="","Harga belum tersedia - hubungi konsultan TEG",IF(M690=2,"Saat ini tidak menerima pendaftaran siswa internasional baru",IF(M690=1,"Program perlu dikonfirmasi ketersediaannya"&amp;IF(""="","","; "&amp;""),"")))</f>
        <v>Program perlu dikonfirmasi ketersediaannya</v>
      </c>
      <c r="J690" s="0" t="s">
        <v>3968</v>
      </c>
      <c r="K690" s="0" t="n">
        <f aca="false">IF(M690=2,"",IF(ISNUMBER(SEARCH("rata-rata:",'Onshore - Sydney'!M1230)),VALUE(MID('Onshore - Sydney'!M1230,SEARCH("rata-rata:",'Onshore - Sydney'!M1230)+11,FIND(";",'Onshore - Sydney'!M1230&amp;";",SEARCH("rata-rata:",'Onshore - Sydney'!M1230))-SEARCH("rata-rata:",'Onshore - Sydney'!M1230)-11)),IF('Onshore - Sydney'!D1230="Semester",'Onshore - Sydney'!E1230*2,IF('Onshore - Sydney'!D1230="Trimester",'Onshore - Sydney'!E1230*3,IF('Onshore - Sydney'!D1230="Term",'Onshore - Sydney'!E1230*4,IF('Onshore - Sydney'!D1230="Unit",'Onshore - Sydney'!E1230*8,""))))))</f>
        <v>11000</v>
      </c>
      <c r="L690" s="0" t="n">
        <f aca="false">IF(AND(ISNUMBER('Onshore - Sydney'!E1230),ISNUMBER(K690),ISNUMBER('Onshore - Sydney'!F1230),ISNUMBER('Onshore - Sydney'!G1230),OR('Onshore - Sydney'!F1230&lt;&gt;0,ISNUMBER(SEARCH("Material 0 terverifikasi",'Onshore - Sydney'!M1230))),OR('Onshore - Sydney'!G1230&lt;&gt;0,ISNUMBER(SEARCH("Enrolment 0 terverifikasi",'Onshore - Sydney'!M1230)))),1,0)</f>
        <v>1</v>
      </c>
      <c r="M690" s="0" t="n">
        <f aca="false">IF(OR('Onshore - Sydney'!E1230="",ISNUMBER(SEARCH("BSB80120",'Onshore - Sydney'!B1230&amp;'Onshore - Sydney'!M1230)),ISNUMBER(SEARCH("Management (Learning)",'Onshore - Sydney'!B1230))),2,IF(ISNUMBER(SEARCH("CEK:",'Onshore - Sydney'!M1230)),1,0))</f>
        <v>1</v>
      </c>
    </row>
    <row r="691" customFormat="false" ht="28.35" hidden="false" customHeight="false" outlineLevel="0" collapsed="false">
      <c r="A691" s="63" t="s">
        <v>3533</v>
      </c>
      <c r="B691" s="64" t="s">
        <v>3923</v>
      </c>
      <c r="C691" s="63" t="s">
        <v>41</v>
      </c>
      <c r="D691" s="64" t="str">
        <f aca="false">TRIM(LEFT('Onshore - Sydney'!A439,FIND(CHAR(10),'Onshore - Sydney'!A439&amp;CHAR(10))-1))</f>
        <v>Concord Institute</v>
      </c>
      <c r="E691" s="63" t="str">
        <f aca="false">'Onshore - Sydney'!C439&amp;""</f>
        <v>2,5 years</v>
      </c>
      <c r="F691" s="63" t="str">
        <f aca="false">IF('Onshore - Sydney'!D439="","Belum tercatat",'Onshore - Sydney'!D439)</f>
        <v>Term</v>
      </c>
      <c r="G691" s="65" t="n">
        <f aca="false">IF('Onshore - Sydney'!E439="","-",'Onshore - Sydney'!E439)</f>
        <v>2900</v>
      </c>
      <c r="H691" s="63" t="n">
        <f aca="false">IF(ISNUMBER(K691),COUNTIFS($J$6:$J$1916,J691,$K$6:$K$1916,"&lt;"&amp;K691)+1,"-")</f>
        <v>26</v>
      </c>
      <c r="I691" s="64" t="str">
        <f aca="false">IF('Onshore - Sydney'!E439="","Harga belum tersedia - hubungi konsultan TEG",IF(M691=2,"Saat ini tidak menerima pendaftaran siswa internasional baru",IF(M691=1,"Program perlu dikonfirmasi ketersediaannya"&amp;IF(""="","","; "&amp;""),"")))</f>
        <v>Program perlu dikonfirmasi ketersediaannya</v>
      </c>
      <c r="J691" s="0" t="s">
        <v>3968</v>
      </c>
      <c r="K691" s="0" t="n">
        <f aca="false">IF(M691=2,"",IF(ISNUMBER(SEARCH("rata-rata:",'Onshore - Sydney'!M439)),VALUE(MID('Onshore - Sydney'!M439,SEARCH("rata-rata:",'Onshore - Sydney'!M439)+11,FIND(";",'Onshore - Sydney'!M439&amp;";",SEARCH("rata-rata:",'Onshore - Sydney'!M439))-SEARCH("rata-rata:",'Onshore - Sydney'!M439)-11)),IF('Onshore - Sydney'!D439="Semester",'Onshore - Sydney'!E439*2,IF('Onshore - Sydney'!D439="Trimester",'Onshore - Sydney'!E439*3,IF('Onshore - Sydney'!D439="Term",'Onshore - Sydney'!E439*4,IF('Onshore - Sydney'!D439="Unit",'Onshore - Sydney'!E439*8,""))))))</f>
        <v>11600</v>
      </c>
      <c r="L691" s="0" t="n">
        <f aca="false">IF(AND(ISNUMBER('Onshore - Sydney'!E439),ISNUMBER(K691),ISNUMBER('Onshore - Sydney'!F439),ISNUMBER('Onshore - Sydney'!G439),OR('Onshore - Sydney'!F439&lt;&gt;0,ISNUMBER(SEARCH("Material 0 terverifikasi",'Onshore - Sydney'!M439))),OR('Onshore - Sydney'!G439&lt;&gt;0,ISNUMBER(SEARCH("Enrolment 0 terverifikasi",'Onshore - Sydney'!M439)))),1,0)</f>
        <v>1</v>
      </c>
      <c r="M691" s="0" t="n">
        <f aca="false">IF(OR('Onshore - Sydney'!E439="",ISNUMBER(SEARCH("BSB80120",'Onshore - Sydney'!B439&amp;'Onshore - Sydney'!M439)),ISNUMBER(SEARCH("Management (Learning)",'Onshore - Sydney'!B439))),2,IF(ISNUMBER(SEARCH("CEK:",'Onshore - Sydney'!M439)),1,0))</f>
        <v>1</v>
      </c>
    </row>
    <row r="692" customFormat="false" ht="28.35" hidden="false" customHeight="false" outlineLevel="0" collapsed="false">
      <c r="A692" s="63" t="s">
        <v>3533</v>
      </c>
      <c r="B692" s="64" t="s">
        <v>3923</v>
      </c>
      <c r="C692" s="63" t="s">
        <v>41</v>
      </c>
      <c r="D692" s="64" t="str">
        <f aca="false">TRIM(LEFT('Onshore - Sydney'!A796,FIND(CHAR(10),'Onshore - Sydney'!A796&amp;CHAR(10))-1))</f>
        <v>TAFE NSW</v>
      </c>
      <c r="E692" s="63" t="str">
        <f aca="false">'Onshore - Sydney'!C816&amp;""</f>
        <v>2 years</v>
      </c>
      <c r="F692" s="63" t="str">
        <f aca="false">IF('Onshore - Sydney'!D816="","Belum tercatat",'Onshore - Sydney'!D816)</f>
        <v>Term</v>
      </c>
      <c r="G692" s="65" t="n">
        <f aca="false">IF('Onshore - Sydney'!E816="","-",'Onshore - Sydney'!E816)</f>
        <v>3125</v>
      </c>
      <c r="H692" s="63" t="n">
        <f aca="false">IF(ISNUMBER(K692),COUNTIFS($J$6:$J$1916,J692,$K$6:$K$1916,"&lt;"&amp;K692)+1,"-")</f>
        <v>27</v>
      </c>
      <c r="I692" s="64" t="str">
        <f aca="false">IF('Onshore - Sydney'!E816="","Harga belum tersedia - hubungi konsultan TEG",IF(M692=2,"Saat ini tidak menerima pendaftaran siswa internasional baru",IF(M692=1,"Harga perlu dikonfirmasi ke sekolah"&amp;IF(""="","","; "&amp;""),"")))</f>
        <v/>
      </c>
      <c r="J692" s="0" t="s">
        <v>3968</v>
      </c>
      <c r="K692" s="0" t="n">
        <f aca="false">IF(M692=2,"",IF(ISNUMBER(SEARCH("rata-rata:",'Onshore - Sydney'!M816)),VALUE(MID('Onshore - Sydney'!M816,SEARCH("rata-rata:",'Onshore - Sydney'!M816)+11,FIND(";",'Onshore - Sydney'!M816&amp;";",SEARCH("rata-rata:",'Onshore - Sydney'!M816))-SEARCH("rata-rata:",'Onshore - Sydney'!M816)-11)),IF('Onshore - Sydney'!D816="Semester",'Onshore - Sydney'!E816*2,IF('Onshore - Sydney'!D816="Trimester",'Onshore - Sydney'!E816*3,IF('Onshore - Sydney'!D816="Term",'Onshore - Sydney'!E816*4,IF('Onshore - Sydney'!D816="Unit",'Onshore - Sydney'!E816*8,""))))))</f>
        <v>12500</v>
      </c>
      <c r="L692" s="0" t="n">
        <f aca="false">IF(AND(ISNUMBER('Onshore - Sydney'!E816),ISNUMBER(K692),ISNUMBER('Onshore - Sydney'!F816),ISNUMBER('Onshore - Sydney'!G816),OR('Onshore - Sydney'!F816&lt;&gt;0,ISNUMBER(SEARCH("Material 0 terverifikasi",'Onshore - Sydney'!M816))),OR('Onshore - Sydney'!G816&lt;&gt;0,ISNUMBER(SEARCH("Enrolment 0 terverifikasi",'Onshore - Sydney'!M816)))),1,0)</f>
        <v>0</v>
      </c>
      <c r="M692" s="0" t="n">
        <f aca="false">IF(OR('Onshore - Sydney'!E816="",ISNUMBER(SEARCH("BSB80120",'Onshore - Sydney'!B816&amp;'Onshore - Sydney'!M816)),ISNUMBER(SEARCH("Management (Learning)",'Onshore - Sydney'!B816))),2,IF(ISNUMBER(SEARCH("CEK:",'Onshore - Sydney'!M816)),1,0))</f>
        <v>0</v>
      </c>
    </row>
    <row r="693" customFormat="false" ht="28.35" hidden="false" customHeight="false" outlineLevel="0" collapsed="false">
      <c r="A693" s="63" t="s">
        <v>3533</v>
      </c>
      <c r="B693" s="64" t="s">
        <v>3923</v>
      </c>
      <c r="C693" s="63" t="s">
        <v>41</v>
      </c>
      <c r="D693" s="64" t="str">
        <f aca="false">TRIM(LEFT('Onshore - Sydney'!A1047,FIND(CHAR(10),'Onshore - Sydney'!A1047&amp;CHAR(10))-1))</f>
        <v>Western Sydney College (WSC)</v>
      </c>
      <c r="E693" s="63" t="str">
        <f aca="false">'Onshore - Sydney'!C1059&amp;""</f>
        <v>2 years</v>
      </c>
      <c r="F693" s="63" t="str">
        <f aca="false">IF('Onshore - Sydney'!D1059="","Belum tercatat",'Onshore - Sydney'!D1059)</f>
        <v>Term</v>
      </c>
      <c r="G693" s="65" t="n">
        <f aca="false">IF('Onshore - Sydney'!E1059="","-",'Onshore - Sydney'!E1059)</f>
        <v>3250</v>
      </c>
      <c r="H693" s="63" t="n">
        <f aca="false">IF(ISNUMBER(K693),COUNTIFS($J$6:$J$1916,J693,$K$6:$K$1916,"&lt;"&amp;K693)+1,"-")</f>
        <v>28</v>
      </c>
      <c r="I693" s="64" t="str">
        <f aca="false">IF('Onshore - Sydney'!E1059="","Harga belum tersedia - hubungi konsultan TEG",IF(M693=2,"Saat ini tidak menerima pendaftaran siswa internasional baru",IF(M693=1,"Harga perlu dikonfirmasi ke sekolah"&amp;IF(""="","","; "&amp;""),"")))</f>
        <v/>
      </c>
      <c r="J693" s="0" t="s">
        <v>3968</v>
      </c>
      <c r="K693" s="0" t="n">
        <f aca="false">IF(M693=2,"",IF(ISNUMBER(SEARCH("rata-rata:",'Onshore - Sydney'!M1059)),VALUE(MID('Onshore - Sydney'!M1059,SEARCH("rata-rata:",'Onshore - Sydney'!M1059)+11,FIND(";",'Onshore - Sydney'!M1059&amp;";",SEARCH("rata-rata:",'Onshore - Sydney'!M1059))-SEARCH("rata-rata:",'Onshore - Sydney'!M1059)-11)),IF('Onshore - Sydney'!D1059="Semester",'Onshore - Sydney'!E1059*2,IF('Onshore - Sydney'!D1059="Trimester",'Onshore - Sydney'!E1059*3,IF('Onshore - Sydney'!D1059="Term",'Onshore - Sydney'!E1059*4,IF('Onshore - Sydney'!D1059="Unit",'Onshore - Sydney'!E1059*8,""))))))</f>
        <v>13000</v>
      </c>
      <c r="L693" s="0" t="n">
        <f aca="false">IF(AND(ISNUMBER('Onshore - Sydney'!E1059),ISNUMBER(K693),ISNUMBER('Onshore - Sydney'!F1059),ISNUMBER('Onshore - Sydney'!G1059),OR('Onshore - Sydney'!F1059&lt;&gt;0,ISNUMBER(SEARCH("Material 0 terverifikasi",'Onshore - Sydney'!M1059))),OR('Onshore - Sydney'!G1059&lt;&gt;0,ISNUMBER(SEARCH("Enrolment 0 terverifikasi",'Onshore - Sydney'!M1059)))),1,0)</f>
        <v>1</v>
      </c>
      <c r="M693" s="0" t="n">
        <f aca="false">IF(OR('Onshore - Sydney'!E1059="",ISNUMBER(SEARCH("BSB80120",'Onshore - Sydney'!B1059&amp;'Onshore - Sydney'!M1059)),ISNUMBER(SEARCH("Management (Learning)",'Onshore - Sydney'!B1059))),2,IF(ISNUMBER(SEARCH("CEK:",'Onshore - Sydney'!M1059)),1,0))</f>
        <v>0</v>
      </c>
    </row>
    <row r="694" customFormat="false" ht="28.35" hidden="false" customHeight="false" outlineLevel="0" collapsed="false">
      <c r="A694" s="63" t="s">
        <v>3533</v>
      </c>
      <c r="B694" s="64" t="s">
        <v>3923</v>
      </c>
      <c r="C694" s="63" t="s">
        <v>41</v>
      </c>
      <c r="D694" s="64" t="str">
        <f aca="false">TRIM(LEFT('Onshore - Sydney'!A653,FIND(CHAR(10),'Onshore - Sydney'!A653&amp;CHAR(10))-1))</f>
        <v>National Academy of Professional Studies (NAPS)</v>
      </c>
      <c r="E694" s="63" t="str">
        <f aca="false">'Onshore - Sydney'!C661&amp;""</f>
        <v>2 years</v>
      </c>
      <c r="F694" s="63" t="str">
        <f aca="false">IF('Onshore - Sydney'!D661="","Belum tercatat",'Onshore - Sydney'!D661)</f>
        <v>Term</v>
      </c>
      <c r="G694" s="65" t="n">
        <f aca="false">IF('Onshore - Sydney'!E661="","-",'Onshore - Sydney'!E661)</f>
        <v>4500</v>
      </c>
      <c r="H694" s="63" t="n">
        <f aca="false">IF(ISNUMBER(K694),COUNTIFS($J$6:$J$1916,J694,$K$6:$K$1916,"&lt;"&amp;K694)+1,"-")</f>
        <v>29</v>
      </c>
      <c r="I694" s="64" t="str">
        <f aca="false">IF('Onshore - Sydney'!E661="","Harga belum tersedia - hubungi konsultan TEG",IF(M694=2,"Saat ini tidak menerima pendaftaran siswa internasional baru",IF(M694=1,"Harga perlu dikonfirmasi ke sekolah"&amp;IF(""="","","; "&amp;""),"")))</f>
        <v>Harga perlu dikonfirmasi ke sekolah</v>
      </c>
      <c r="J694" s="0" t="s">
        <v>3968</v>
      </c>
      <c r="K694" s="0" t="n">
        <f aca="false">IF(M694=2,"",IF(ISNUMBER(SEARCH("rata-rata:",'Onshore - Sydney'!M661)),VALUE(MID('Onshore - Sydney'!M661,SEARCH("rata-rata:",'Onshore - Sydney'!M661)+11,FIND(";",'Onshore - Sydney'!M661&amp;";",SEARCH("rata-rata:",'Onshore - Sydney'!M661))-SEARCH("rata-rata:",'Onshore - Sydney'!M661)-11)),IF('Onshore - Sydney'!D661="Semester",'Onshore - Sydney'!E661*2,IF('Onshore - Sydney'!D661="Trimester",'Onshore - Sydney'!E661*3,IF('Onshore - Sydney'!D661="Term",'Onshore - Sydney'!E661*4,IF('Onshore - Sydney'!D661="Unit",'Onshore - Sydney'!E661*8,""))))))</f>
        <v>18000</v>
      </c>
      <c r="L694" s="0" t="n">
        <f aca="false">IF(AND(ISNUMBER('Onshore - Sydney'!E661),ISNUMBER(K694),ISNUMBER('Onshore - Sydney'!F661),ISNUMBER('Onshore - Sydney'!G661),OR('Onshore - Sydney'!F661&lt;&gt;0,ISNUMBER(SEARCH("Material 0 terverifikasi",'Onshore - Sydney'!M661))),OR('Onshore - Sydney'!G661&lt;&gt;0,ISNUMBER(SEARCH("Enrolment 0 terverifikasi",'Onshore - Sydney'!M661)))),1,0)</f>
        <v>1</v>
      </c>
      <c r="M694" s="0" t="n">
        <f aca="false">IF(OR('Onshore - Sydney'!E661="",ISNUMBER(SEARCH("BSB80120",'Onshore - Sydney'!B661&amp;'Onshore - Sydney'!M661)),ISNUMBER(SEARCH("Management (Learning)",'Onshore - Sydney'!B661))),2,IF(ISNUMBER(SEARCH("CEK:",'Onshore - Sydney'!M661)),1,0))</f>
        <v>1</v>
      </c>
    </row>
    <row r="695" customFormat="false" ht="28.35" hidden="false" customHeight="false" outlineLevel="0" collapsed="false">
      <c r="A695" s="63" t="s">
        <v>3533</v>
      </c>
      <c r="B695" s="64" t="s">
        <v>3923</v>
      </c>
      <c r="C695" s="63" t="s">
        <v>41</v>
      </c>
      <c r="D695" s="64" t="str">
        <f aca="false">TRIM(LEFT('Onshore - Sydney'!A163,FIND(CHAR(10),'Onshore - Sydney'!A163&amp;CHAR(10))-1))</f>
        <v>Australian Catholic University (ACU)</v>
      </c>
      <c r="E695" s="63" t="str">
        <f aca="false">'Onshore - Sydney'!C265&amp;""</f>
        <v>1 year</v>
      </c>
      <c r="F695" s="63" t="str">
        <f aca="false">IF('Onshore - Sydney'!D265="","Belum tercatat",'Onshore - Sydney'!D265)</f>
        <v>Term</v>
      </c>
      <c r="G695" s="65" t="n">
        <f aca="false">IF('Onshore - Sydney'!E265="","-",'Onshore - Sydney'!E265)</f>
        <v>8906</v>
      </c>
      <c r="H695" s="63" t="n">
        <f aca="false">IF(ISNUMBER(K695),COUNTIFS($J$6:$J$1916,J695,$K$6:$K$1916,"&lt;"&amp;K695)+1,"-")</f>
        <v>30</v>
      </c>
      <c r="I695" s="64" t="str">
        <f aca="false">IF('Onshore - Sydney'!E265="","Harga belum tersedia - hubungi konsultan TEG",IF(M695=2,"Saat ini tidak menerima pendaftaran siswa internasional baru",IF(M695=1,"Harga perlu dikonfirmasi ke sekolah"&amp;IF(""="","","; "&amp;""),"")))</f>
        <v/>
      </c>
      <c r="J695" s="0" t="s">
        <v>3968</v>
      </c>
      <c r="K695" s="0" t="n">
        <f aca="false">IF(M695=2,"",IF(ISNUMBER(SEARCH("rata-rata:",'Onshore - Sydney'!M265)),VALUE(MID('Onshore - Sydney'!M265,SEARCH("rata-rata:",'Onshore - Sydney'!M265)+11,FIND(";",'Onshore - Sydney'!M265&amp;";",SEARCH("rata-rata:",'Onshore - Sydney'!M265))-SEARCH("rata-rata:",'Onshore - Sydney'!M265)-11)),IF('Onshore - Sydney'!D265="Semester",'Onshore - Sydney'!E265*2,IF('Onshore - Sydney'!D265="Trimester",'Onshore - Sydney'!E265*3,IF('Onshore - Sydney'!D265="Term",'Onshore - Sydney'!E265*4,IF('Onshore - Sydney'!D265="Unit",'Onshore - Sydney'!E265*8,""))))))</f>
        <v>35624</v>
      </c>
      <c r="L695" s="0" t="n">
        <f aca="false">IF(AND(ISNUMBER('Onshore - Sydney'!E265),ISNUMBER(K695),ISNUMBER('Onshore - Sydney'!F265),ISNUMBER('Onshore - Sydney'!G265),OR('Onshore - Sydney'!F265&lt;&gt;0,ISNUMBER(SEARCH("Material 0 terverifikasi",'Onshore - Sydney'!M265))),OR('Onshore - Sydney'!G265&lt;&gt;0,ISNUMBER(SEARCH("Enrolment 0 terverifikasi",'Onshore - Sydney'!M265)))),1,0)</f>
        <v>0</v>
      </c>
      <c r="M695" s="0" t="n">
        <f aca="false">IF(OR('Onshore - Sydney'!E265="",ISNUMBER(SEARCH("BSB80120",'Onshore - Sydney'!B265&amp;'Onshore - Sydney'!M265)),ISNUMBER(SEARCH("Management (Learning)",'Onshore - Sydney'!B265))),2,IF(ISNUMBER(SEARCH("CEK:",'Onshore - Sydney'!M265)),1,0))</f>
        <v>0</v>
      </c>
    </row>
    <row r="696" customFormat="false" ht="15" hidden="false" customHeight="false" outlineLevel="0" collapsed="false">
      <c r="A696" s="61" t="s">
        <v>3969</v>
      </c>
      <c r="B696" s="62"/>
      <c r="C696" s="62"/>
      <c r="D696" s="62"/>
      <c r="E696" s="62"/>
      <c r="F696" s="62"/>
      <c r="G696" s="62"/>
      <c r="H696" s="62"/>
      <c r="I696" s="62"/>
    </row>
    <row r="697" customFormat="false" ht="28.35" hidden="false" customHeight="false" outlineLevel="0" collapsed="false">
      <c r="A697" s="63" t="s">
        <v>3533</v>
      </c>
      <c r="B697" s="64" t="s">
        <v>3923</v>
      </c>
      <c r="C697" s="63" t="s">
        <v>42</v>
      </c>
      <c r="D697" s="64" t="str">
        <f aca="false">TRIM(LEFT('Onshore - Sydney'!A662,FIND(CHAR(10),'Onshore - Sydney'!A662&amp;CHAR(10))-1))</f>
        <v>New Cambridge College Sydney (NCCS)</v>
      </c>
      <c r="E697" s="63" t="str">
        <f aca="false">'Onshore - Sydney'!C668&amp;""</f>
        <v>3,5 years</v>
      </c>
      <c r="F697" s="63" t="str">
        <f aca="false">IF('Onshore - Sydney'!D668="","Belum tercatat",'Onshore - Sydney'!D668)</f>
        <v>Term</v>
      </c>
      <c r="G697" s="65" t="n">
        <f aca="false">IF('Onshore - Sydney'!E668="","-",'Onshore - Sydney'!E668)</f>
        <v>1800</v>
      </c>
      <c r="H697" s="63" t="n">
        <f aca="false">IF(ISNUMBER(K697),COUNTIFS($J$6:$J$1916,J697,$K$6:$K$1916,"&lt;"&amp;K697)+1,"-")</f>
        <v>1</v>
      </c>
      <c r="I697" s="64" t="str">
        <f aca="false">IF('Onshore - Sydney'!E668="","Harga belum tersedia - hubungi konsultan TEG",IF(M697=2,"Saat ini tidak menerima pendaftaran siswa internasional baru",IF(M697=1,"Harga perlu dikonfirmasi ke sekolah"&amp;IF(""="","","; "&amp;""),"")))</f>
        <v/>
      </c>
      <c r="J697" s="0" t="s">
        <v>3970</v>
      </c>
      <c r="K697" s="0" t="n">
        <f aca="false">IF(M697=2,"",IF(ISNUMBER(SEARCH("rata-rata:",'Onshore - Sydney'!M668)),VALUE(MID('Onshore - Sydney'!M668,SEARCH("rata-rata:",'Onshore - Sydney'!M668)+11,FIND(";",'Onshore - Sydney'!M668&amp;";",SEARCH("rata-rata:",'Onshore - Sydney'!M668))-SEARCH("rata-rata:",'Onshore - Sydney'!M668)-11)),IF('Onshore - Sydney'!D668="Semester",'Onshore - Sydney'!E668*2,IF('Onshore - Sydney'!D668="Trimester",'Onshore - Sydney'!E668*3,IF('Onshore - Sydney'!D668="Term",'Onshore - Sydney'!E668*4,IF('Onshore - Sydney'!D668="Unit",'Onshore - Sydney'!E668*8,""))))))</f>
        <v>7200</v>
      </c>
      <c r="L697" s="0" t="n">
        <f aca="false">IF(AND(ISNUMBER('Onshore - Sydney'!E668),ISNUMBER(K697),ISNUMBER('Onshore - Sydney'!F668),ISNUMBER('Onshore - Sydney'!G668),OR('Onshore - Sydney'!F668&lt;&gt;0,ISNUMBER(SEARCH("Material 0 terverifikasi",'Onshore - Sydney'!M668))),OR('Onshore - Sydney'!G668&lt;&gt;0,ISNUMBER(SEARCH("Enrolment 0 terverifikasi",'Onshore - Sydney'!M668)))),1,0)</f>
        <v>1</v>
      </c>
      <c r="M697" s="0" t="n">
        <f aca="false">IF(OR('Onshore - Sydney'!E668="",ISNUMBER(SEARCH("BSB80120",'Onshore - Sydney'!B668&amp;'Onshore - Sydney'!M668)),ISNUMBER(SEARCH("Management (Learning)",'Onshore - Sydney'!B668))),2,IF(ISNUMBER(SEARCH("CEK:",'Onshore - Sydney'!M668)),1,0))</f>
        <v>0</v>
      </c>
    </row>
    <row r="698" customFormat="false" ht="28.35" hidden="false" customHeight="false" outlineLevel="0" collapsed="false">
      <c r="A698" s="63" t="s">
        <v>3533</v>
      </c>
      <c r="B698" s="64" t="s">
        <v>3923</v>
      </c>
      <c r="C698" s="63" t="s">
        <v>42</v>
      </c>
      <c r="D698" s="64" t="str">
        <f aca="false">TRIM(LEFT('Onshore - Sydney'!A1047,FIND(CHAR(10),'Onshore - Sydney'!A1047&amp;CHAR(10))-1))</f>
        <v>Western Sydney College (WSC)</v>
      </c>
      <c r="E698" s="63" t="str">
        <f aca="false">'Onshore - Sydney'!C1060&amp;""</f>
        <v>1,5 years</v>
      </c>
      <c r="F698" s="63" t="str">
        <f aca="false">IF('Onshore - Sydney'!D1060="","Belum tercatat",'Onshore - Sydney'!D1060)</f>
        <v>Term</v>
      </c>
      <c r="G698" s="65" t="n">
        <f aca="false">IF('Onshore - Sydney'!E1060="","-",'Onshore - Sydney'!E1060)</f>
        <v>2000</v>
      </c>
      <c r="H698" s="63" t="n">
        <f aca="false">IF(ISNUMBER(K698),COUNTIFS($J$6:$J$1916,J698,$K$6:$K$1916,"&lt;"&amp;K698)+1,"-")</f>
        <v>2</v>
      </c>
      <c r="I698" s="64" t="str">
        <f aca="false">IF('Onshore - Sydney'!E1060="","Harga belum tersedia - hubungi konsultan TEG",IF(M698=2,"Saat ini tidak menerima pendaftaran siswa internasional baru",IF(M698=1,"Harga perlu dikonfirmasi ke sekolah"&amp;IF(""="","","; "&amp;""),"")))</f>
        <v/>
      </c>
      <c r="J698" s="0" t="s">
        <v>3970</v>
      </c>
      <c r="K698" s="0" t="n">
        <f aca="false">IF(M698=2,"",IF(ISNUMBER(SEARCH("rata-rata:",'Onshore - Sydney'!M1060)),VALUE(MID('Onshore - Sydney'!M1060,SEARCH("rata-rata:",'Onshore - Sydney'!M1060)+11,FIND(";",'Onshore - Sydney'!M1060&amp;";",SEARCH("rata-rata:",'Onshore - Sydney'!M1060))-SEARCH("rata-rata:",'Onshore - Sydney'!M1060)-11)),IF('Onshore - Sydney'!D1060="Semester",'Onshore - Sydney'!E1060*2,IF('Onshore - Sydney'!D1060="Trimester",'Onshore - Sydney'!E1060*3,IF('Onshore - Sydney'!D1060="Term",'Onshore - Sydney'!E1060*4,IF('Onshore - Sydney'!D1060="Unit",'Onshore - Sydney'!E1060*8,""))))))</f>
        <v>8000</v>
      </c>
      <c r="L698" s="0" t="n">
        <f aca="false">IF(AND(ISNUMBER('Onshore - Sydney'!E1060),ISNUMBER(K698),ISNUMBER('Onshore - Sydney'!F1060),ISNUMBER('Onshore - Sydney'!G1060),OR('Onshore - Sydney'!F1060&lt;&gt;0,ISNUMBER(SEARCH("Material 0 terverifikasi",'Onshore - Sydney'!M1060))),OR('Onshore - Sydney'!G1060&lt;&gt;0,ISNUMBER(SEARCH("Enrolment 0 terverifikasi",'Onshore - Sydney'!M1060)))),1,0)</f>
        <v>1</v>
      </c>
      <c r="M698" s="0" t="n">
        <f aca="false">IF(OR('Onshore - Sydney'!E1060="",ISNUMBER(SEARCH("BSB80120",'Onshore - Sydney'!B1060&amp;'Onshore - Sydney'!M1060)),ISNUMBER(SEARCH("Management (Learning)",'Onshore - Sydney'!B1060))),2,IF(ISNUMBER(SEARCH("CEK:",'Onshore - Sydney'!M1060)),1,0))</f>
        <v>0</v>
      </c>
    </row>
    <row r="699" customFormat="false" ht="28.35" hidden="false" customHeight="false" outlineLevel="0" collapsed="false">
      <c r="A699" s="63" t="s">
        <v>3533</v>
      </c>
      <c r="B699" s="64" t="s">
        <v>3923</v>
      </c>
      <c r="C699" s="63" t="s">
        <v>42</v>
      </c>
      <c r="D699" s="64" t="str">
        <f aca="false">TRIM(LEFT('Onshore - Sydney'!A678,FIND(CHAR(10),'Onshore - Sydney'!A678&amp;CHAR(10))-1))</f>
        <v>Novus College</v>
      </c>
      <c r="E699" s="63" t="str">
        <f aca="false">'Onshore - Sydney'!C680&amp;""</f>
        <v>3 years</v>
      </c>
      <c r="F699" s="63" t="str">
        <f aca="false">IF('Onshore - Sydney'!D680="","Belum tercatat",'Onshore - Sydney'!D680)</f>
        <v>Term</v>
      </c>
      <c r="G699" s="65" t="n">
        <f aca="false">IF('Onshore - Sydney'!E680="","-",'Onshore - Sydney'!E680)</f>
        <v>2200</v>
      </c>
      <c r="H699" s="63" t="n">
        <f aca="false">IF(ISNUMBER(K699),COUNTIFS($J$6:$J$1916,J699,$K$6:$K$1916,"&lt;"&amp;K699)+1,"-")</f>
        <v>3</v>
      </c>
      <c r="I699" s="64" t="str">
        <f aca="false">IF('Onshore - Sydney'!E680="","Harga belum tersedia - hubungi konsultan TEG",IF(M699=2,"Saat ini tidak menerima pendaftaran siswa internasional baru",IF(M699=1,"Program perlu dikonfirmasi ketersediaannya"&amp;IF(""="","","; "&amp;""),"")))</f>
        <v>Program perlu dikonfirmasi ketersediaannya</v>
      </c>
      <c r="J699" s="0" t="s">
        <v>3970</v>
      </c>
      <c r="K699" s="0" t="n">
        <f aca="false">IF(M699=2,"",IF(ISNUMBER(SEARCH("rata-rata:",'Onshore - Sydney'!M680)),VALUE(MID('Onshore - Sydney'!M680,SEARCH("rata-rata:",'Onshore - Sydney'!M680)+11,FIND(";",'Onshore - Sydney'!M680&amp;";",SEARCH("rata-rata:",'Onshore - Sydney'!M680))-SEARCH("rata-rata:",'Onshore - Sydney'!M680)-11)),IF('Onshore - Sydney'!D680="Semester",'Onshore - Sydney'!E680*2,IF('Onshore - Sydney'!D680="Trimester",'Onshore - Sydney'!E680*3,IF('Onshore - Sydney'!D680="Term",'Onshore - Sydney'!E680*4,IF('Onshore - Sydney'!D680="Unit",'Onshore - Sydney'!E680*8,""))))))</f>
        <v>8800</v>
      </c>
      <c r="L699" s="0" t="n">
        <f aca="false">IF(AND(ISNUMBER('Onshore - Sydney'!E680),ISNUMBER(K699),ISNUMBER('Onshore - Sydney'!F680),ISNUMBER('Onshore - Sydney'!G680),OR('Onshore - Sydney'!F680&lt;&gt;0,ISNUMBER(SEARCH("Material 0 terverifikasi",'Onshore - Sydney'!M680))),OR('Onshore - Sydney'!G680&lt;&gt;0,ISNUMBER(SEARCH("Enrolment 0 terverifikasi",'Onshore - Sydney'!M680)))),1,0)</f>
        <v>1</v>
      </c>
      <c r="M699" s="0" t="n">
        <f aca="false">IF(OR('Onshore - Sydney'!E680="",ISNUMBER(SEARCH("BSB80120",'Onshore - Sydney'!B680&amp;'Onshore - Sydney'!M680)),ISNUMBER(SEARCH("Management (Learning)",'Onshore - Sydney'!B680))),2,IF(ISNUMBER(SEARCH("CEK:",'Onshore - Sydney'!M680)),1,0))</f>
        <v>1</v>
      </c>
    </row>
    <row r="700" customFormat="false" ht="28.35" hidden="false" customHeight="false" outlineLevel="0" collapsed="false">
      <c r="A700" s="63" t="s">
        <v>3533</v>
      </c>
      <c r="B700" s="64" t="s">
        <v>3923</v>
      </c>
      <c r="C700" s="63" t="s">
        <v>42</v>
      </c>
      <c r="D700" s="64" t="str">
        <f aca="false">TRIM(LEFT('Onshore - Sydney'!A299,FIND(CHAR(10),'Onshore - Sydney'!A299&amp;CHAR(10))-1))</f>
        <v>Australian Harbour International College (AHIC)</v>
      </c>
      <c r="E700" s="63" t="str">
        <f aca="false">'Onshore - Sydney'!C300&amp;""</f>
        <v>4,5 years</v>
      </c>
      <c r="F700" s="63" t="str">
        <f aca="false">IF('Onshore - Sydney'!D300="","Belum tercatat",'Onshore - Sydney'!D300)</f>
        <v>Term</v>
      </c>
      <c r="G700" s="65" t="n">
        <f aca="false">IF('Onshore - Sydney'!E300="","-",'Onshore - Sydney'!E300)</f>
        <v>2375</v>
      </c>
      <c r="H700" s="63" t="n">
        <f aca="false">IF(ISNUMBER(K700),COUNTIFS($J$6:$J$1916,J700,$K$6:$K$1916,"&lt;"&amp;K700)+1,"-")</f>
        <v>4</v>
      </c>
      <c r="I700" s="64" t="str">
        <f aca="false">IF('Onshore - Sydney'!E300="","Harga belum tersedia - hubungi konsultan TEG",IF(M700=2,"Saat ini tidak menerima pendaftaran siswa internasional baru",IF(M700=1,"Harga perlu dikonfirmasi ke sekolah"&amp;IF(""="","","; "&amp;""),"")))</f>
        <v/>
      </c>
      <c r="J700" s="0" t="s">
        <v>3970</v>
      </c>
      <c r="K700" s="0" t="n">
        <f aca="false">IF(M700=2,"",IF(ISNUMBER(SEARCH("rata-rata:",'Onshore - Sydney'!M300)),VALUE(MID('Onshore - Sydney'!M300,SEARCH("rata-rata:",'Onshore - Sydney'!M300)+11,FIND(";",'Onshore - Sydney'!M300&amp;";",SEARCH("rata-rata:",'Onshore - Sydney'!M300))-SEARCH("rata-rata:",'Onshore - Sydney'!M300)-11)),IF('Onshore - Sydney'!D300="Semester",'Onshore - Sydney'!E300*2,IF('Onshore - Sydney'!D300="Trimester",'Onshore - Sydney'!E300*3,IF('Onshore - Sydney'!D300="Term",'Onshore - Sydney'!E300*4,IF('Onshore - Sydney'!D300="Unit",'Onshore - Sydney'!E300*8,""))))))</f>
        <v>9500</v>
      </c>
      <c r="L700" s="0" t="n">
        <f aca="false">IF(AND(ISNUMBER('Onshore - Sydney'!E300),ISNUMBER(K700),ISNUMBER('Onshore - Sydney'!F300),ISNUMBER('Onshore - Sydney'!G300),OR('Onshore - Sydney'!F300&lt;&gt;0,ISNUMBER(SEARCH("Material 0 terverifikasi",'Onshore - Sydney'!M300))),OR('Onshore - Sydney'!G300&lt;&gt;0,ISNUMBER(SEARCH("Enrolment 0 terverifikasi",'Onshore - Sydney'!M300)))),1,0)</f>
        <v>1</v>
      </c>
      <c r="M700" s="0" t="n">
        <f aca="false">IF(OR('Onshore - Sydney'!E300="",ISNUMBER(SEARCH("BSB80120",'Onshore - Sydney'!B300&amp;'Onshore - Sydney'!M300)),ISNUMBER(SEARCH("Management (Learning)",'Onshore - Sydney'!B300))),2,IF(ISNUMBER(SEARCH("CEK:",'Onshore - Sydney'!M300)),1,0))</f>
        <v>0</v>
      </c>
    </row>
    <row r="701" customFormat="false" ht="28.35" hidden="false" customHeight="false" outlineLevel="0" collapsed="false">
      <c r="A701" s="63" t="s">
        <v>3533</v>
      </c>
      <c r="B701" s="64" t="s">
        <v>3923</v>
      </c>
      <c r="C701" s="63" t="s">
        <v>42</v>
      </c>
      <c r="D701" s="64" t="str">
        <f aca="false">TRIM(LEFT('Onshore - Sydney'!A688,FIND(CHAR(10),'Onshore - Sydney'!A688&amp;CHAR(10))-1))</f>
        <v>Nurse Training Australia (NTA)</v>
      </c>
      <c r="E701" s="63" t="str">
        <f aca="false">'Onshore - Sydney'!C689&amp;""</f>
        <v>3,5 years</v>
      </c>
      <c r="F701" s="63" t="str">
        <f aca="false">IF('Onshore - Sydney'!D689="","Belum tercatat",'Onshore - Sydney'!D689)</f>
        <v>Term</v>
      </c>
      <c r="G701" s="65" t="n">
        <f aca="false">IF('Onshore - Sydney'!E689="","-",'Onshore - Sydney'!E689)</f>
        <v>2493.75</v>
      </c>
      <c r="H701" s="63" t="n">
        <f aca="false">IF(ISNUMBER(K701),COUNTIFS($J$6:$J$1916,J701,$K$6:$K$1916,"&lt;"&amp;K701)+1,"-")</f>
        <v>5</v>
      </c>
      <c r="I701" s="64" t="str">
        <f aca="false">IF('Onshore - Sydney'!E689="","Harga belum tersedia - hubungi konsultan TEG",IF(M701=2,"Saat ini tidak menerima pendaftaran siswa internasional baru",IF(M701=1,"Harga perlu dikonfirmasi ke sekolah"&amp;IF(""="","","; "&amp;""),"")))</f>
        <v/>
      </c>
      <c r="J701" s="0" t="s">
        <v>3970</v>
      </c>
      <c r="K701" s="0" t="n">
        <f aca="false">IF(M701=2,"",IF(ISNUMBER(SEARCH("rata-rata:",'Onshore - Sydney'!M689)),VALUE(MID('Onshore - Sydney'!M689,SEARCH("rata-rata:",'Onshore - Sydney'!M689)+11,FIND(";",'Onshore - Sydney'!M689&amp;";",SEARCH("rata-rata:",'Onshore - Sydney'!M689))-SEARCH("rata-rata:",'Onshore - Sydney'!M689)-11)),IF('Onshore - Sydney'!D689="Semester",'Onshore - Sydney'!E689*2,IF('Onshore - Sydney'!D689="Trimester",'Onshore - Sydney'!E689*3,IF('Onshore - Sydney'!D689="Term",'Onshore - Sydney'!E689*4,IF('Onshore - Sydney'!D689="Unit",'Onshore - Sydney'!E689*8,""))))))</f>
        <v>9975</v>
      </c>
      <c r="L701" s="0" t="n">
        <f aca="false">IF(AND(ISNUMBER('Onshore - Sydney'!E689),ISNUMBER(K701),ISNUMBER('Onshore - Sydney'!F689),ISNUMBER('Onshore - Sydney'!G689),OR('Onshore - Sydney'!F689&lt;&gt;0,ISNUMBER(SEARCH("Material 0 terverifikasi",'Onshore - Sydney'!M689))),OR('Onshore - Sydney'!G689&lt;&gt;0,ISNUMBER(SEARCH("Enrolment 0 terverifikasi",'Onshore - Sydney'!M689)))),1,0)</f>
        <v>1</v>
      </c>
      <c r="M701" s="0" t="n">
        <f aca="false">IF(OR('Onshore - Sydney'!E689="",ISNUMBER(SEARCH("BSB80120",'Onshore - Sydney'!B689&amp;'Onshore - Sydney'!M689)),ISNUMBER(SEARCH("Management (Learning)",'Onshore - Sydney'!B689))),2,IF(ISNUMBER(SEARCH("CEK:",'Onshore - Sydney'!M689)),1,0))</f>
        <v>0</v>
      </c>
    </row>
    <row r="702" customFormat="false" ht="15" hidden="false" customHeight="false" outlineLevel="0" collapsed="false">
      <c r="A702" s="61" t="s">
        <v>3971</v>
      </c>
      <c r="B702" s="62"/>
      <c r="C702" s="62"/>
      <c r="D702" s="62"/>
      <c r="E702" s="62"/>
      <c r="F702" s="62"/>
      <c r="G702" s="62"/>
      <c r="H702" s="62"/>
      <c r="I702" s="62"/>
    </row>
    <row r="703" customFormat="false" ht="28.35" hidden="false" customHeight="false" outlineLevel="0" collapsed="false">
      <c r="A703" s="63" t="s">
        <v>3533</v>
      </c>
      <c r="B703" s="64" t="s">
        <v>3923</v>
      </c>
      <c r="C703" s="63" t="s">
        <v>43</v>
      </c>
      <c r="D703" s="64" t="str">
        <f aca="false">TRIM(LEFT('Onshore - Sydney'!A796,FIND(CHAR(10),'Onshore - Sydney'!A796&amp;CHAR(10))-1))</f>
        <v>TAFE NSW</v>
      </c>
      <c r="E703" s="63" t="str">
        <f aca="false">'Onshore - Sydney'!C817&amp;""</f>
        <v>4 years</v>
      </c>
      <c r="F703" s="63" t="str">
        <f aca="false">IF('Onshore - Sydney'!D817="","Belum tercatat",'Onshore - Sydney'!D817)</f>
        <v>Term</v>
      </c>
      <c r="G703" s="65" t="n">
        <f aca="false">IF('Onshore - Sydney'!E817="","-",'Onshore - Sydney'!E817)</f>
        <v>3880</v>
      </c>
      <c r="H703" s="63" t="n">
        <f aca="false">IF(ISNUMBER(K703),COUNTIFS($J$6:$J$1916,J703,$K$6:$K$1916,"&lt;"&amp;K703)+1,"-")</f>
        <v>1</v>
      </c>
      <c r="I703" s="64" t="str">
        <f aca="false">IF('Onshore - Sydney'!E817="","Harga belum tersedia - hubungi konsultan TEG",IF(M703=2,"Saat ini tidak menerima pendaftaran siswa internasional baru",IF(M703=1,"Harga perlu dikonfirmasi ke sekolah"&amp;IF(""="","","; "&amp;""),"")))</f>
        <v/>
      </c>
      <c r="J703" s="0" t="s">
        <v>3972</v>
      </c>
      <c r="K703" s="0" t="n">
        <f aca="false">IF(M703=2,"",IF(ISNUMBER(SEARCH("rata-rata:",'Onshore - Sydney'!M817)),VALUE(MID('Onshore - Sydney'!M817,SEARCH("rata-rata:",'Onshore - Sydney'!M817)+11,FIND(";",'Onshore - Sydney'!M817&amp;";",SEARCH("rata-rata:",'Onshore - Sydney'!M817))-SEARCH("rata-rata:",'Onshore - Sydney'!M817)-11)),IF('Onshore - Sydney'!D817="Semester",'Onshore - Sydney'!E817*2,IF('Onshore - Sydney'!D817="Trimester",'Onshore - Sydney'!E817*3,IF('Onshore - Sydney'!D817="Term",'Onshore - Sydney'!E817*4,IF('Onshore - Sydney'!D817="Unit",'Onshore - Sydney'!E817*8,""))))))</f>
        <v>15520</v>
      </c>
      <c r="L703" s="0" t="n">
        <f aca="false">IF(AND(ISNUMBER('Onshore - Sydney'!E817),ISNUMBER(K703),ISNUMBER('Onshore - Sydney'!F817),ISNUMBER('Onshore - Sydney'!G817),OR('Onshore - Sydney'!F817&lt;&gt;0,ISNUMBER(SEARCH("Material 0 terverifikasi",'Onshore - Sydney'!M817))),OR('Onshore - Sydney'!G817&lt;&gt;0,ISNUMBER(SEARCH("Enrolment 0 terverifikasi",'Onshore - Sydney'!M817)))),1,0)</f>
        <v>0</v>
      </c>
      <c r="M703" s="0" t="n">
        <f aca="false">IF(OR('Onshore - Sydney'!E817="",ISNUMBER(SEARCH("BSB80120",'Onshore - Sydney'!B817&amp;'Onshore - Sydney'!M817)),ISNUMBER(SEARCH("Management (Learning)",'Onshore - Sydney'!B817))),2,IF(ISNUMBER(SEARCH("CEK:",'Onshore - Sydney'!M817)),1,0))</f>
        <v>0</v>
      </c>
    </row>
    <row r="704" customFormat="false" ht="28.35" hidden="false" customHeight="false" outlineLevel="0" collapsed="false">
      <c r="A704" s="63" t="s">
        <v>3533</v>
      </c>
      <c r="B704" s="64" t="s">
        <v>3923</v>
      </c>
      <c r="C704" s="63" t="s">
        <v>43</v>
      </c>
      <c r="D704" s="64" t="str">
        <f aca="false">TRIM(LEFT('Onshore - Sydney'!A653,FIND(CHAR(10),'Onshore - Sydney'!A653&amp;CHAR(10))-1))</f>
        <v>National Academy of Professional Studies (NAPS)</v>
      </c>
      <c r="E704" s="63" t="str">
        <f aca="false">'Onshore - Sydney'!C660&amp;""</f>
        <v>4 years</v>
      </c>
      <c r="F704" s="63" t="str">
        <f aca="false">IF('Onshore - Sydney'!D660="","Belum tercatat",'Onshore - Sydney'!D660)</f>
        <v>Term</v>
      </c>
      <c r="G704" s="65" t="n">
        <f aca="false">IF('Onshore - Sydney'!E660="","-",'Onshore - Sydney'!E660)</f>
        <v>4500</v>
      </c>
      <c r="H704" s="63" t="n">
        <f aca="false">IF(ISNUMBER(K704),COUNTIFS($J$6:$J$1916,J704,$K$6:$K$1916,"&lt;"&amp;K704)+1,"-")</f>
        <v>2</v>
      </c>
      <c r="I704" s="64" t="str">
        <f aca="false">IF('Onshore - Sydney'!E660="","Harga belum tersedia - hubungi konsultan TEG",IF(M704=2,"Saat ini tidak menerima pendaftaran siswa internasional baru",IF(M704=1,"Harga perlu dikonfirmasi ke sekolah"&amp;IF(""="","","; "&amp;""),"")))</f>
        <v>Harga perlu dikonfirmasi ke sekolah</v>
      </c>
      <c r="J704" s="0" t="s">
        <v>3972</v>
      </c>
      <c r="K704" s="0" t="n">
        <f aca="false">IF(M704=2,"",IF(ISNUMBER(SEARCH("rata-rata:",'Onshore - Sydney'!M660)),VALUE(MID('Onshore - Sydney'!M660,SEARCH("rata-rata:",'Onshore - Sydney'!M660)+11,FIND(";",'Onshore - Sydney'!M660&amp;";",SEARCH("rata-rata:",'Onshore - Sydney'!M660))-SEARCH("rata-rata:",'Onshore - Sydney'!M660)-11)),IF('Onshore - Sydney'!D660="Semester",'Onshore - Sydney'!E660*2,IF('Onshore - Sydney'!D660="Trimester",'Onshore - Sydney'!E660*3,IF('Onshore - Sydney'!D660="Term",'Onshore - Sydney'!E660*4,IF('Onshore - Sydney'!D660="Unit",'Onshore - Sydney'!E660*8,""))))))</f>
        <v>18000</v>
      </c>
      <c r="L704" s="0" t="n">
        <f aca="false">IF(AND(ISNUMBER('Onshore - Sydney'!E660),ISNUMBER(K704),ISNUMBER('Onshore - Sydney'!F660),ISNUMBER('Onshore - Sydney'!G660),OR('Onshore - Sydney'!F660&lt;&gt;0,ISNUMBER(SEARCH("Material 0 terverifikasi",'Onshore - Sydney'!M660))),OR('Onshore - Sydney'!G660&lt;&gt;0,ISNUMBER(SEARCH("Enrolment 0 terverifikasi",'Onshore - Sydney'!M660)))),1,0)</f>
        <v>1</v>
      </c>
      <c r="M704" s="0" t="n">
        <f aca="false">IF(OR('Onshore - Sydney'!E660="",ISNUMBER(SEARCH("BSB80120",'Onshore - Sydney'!B660&amp;'Onshore - Sydney'!M660)),ISNUMBER(SEARCH("Management (Learning)",'Onshore - Sydney'!B660))),2,IF(ISNUMBER(SEARCH("CEK:",'Onshore - Sydney'!M660)),1,0))</f>
        <v>1</v>
      </c>
    </row>
    <row r="705" customFormat="false" ht="28.35" hidden="false" customHeight="false" outlineLevel="0" collapsed="false">
      <c r="A705" s="63" t="s">
        <v>3533</v>
      </c>
      <c r="B705" s="64" t="s">
        <v>3923</v>
      </c>
      <c r="C705" s="63" t="s">
        <v>43</v>
      </c>
      <c r="D705" s="64" t="str">
        <f aca="false">TRIM(LEFT('Onshore - Sydney'!A888,FIND(CHAR(10),'Onshore - Sydney'!A888&amp;CHAR(10))-1))</f>
        <v>Torrens University Australia</v>
      </c>
      <c r="E705" s="63" t="str">
        <f aca="false">'Onshore - Sydney'!C970&amp;""</f>
        <v>3 years</v>
      </c>
      <c r="F705" s="63" t="str">
        <f aca="false">IF('Onshore - Sydney'!D970="","Belum tercatat",'Onshore - Sydney'!D970)</f>
        <v>Term</v>
      </c>
      <c r="G705" s="65" t="n">
        <f aca="false">IF('Onshore - Sydney'!E970="","-",'Onshore - Sydney'!E970)</f>
        <v>7333</v>
      </c>
      <c r="H705" s="63" t="n">
        <f aca="false">IF(ISNUMBER(K705),COUNTIFS($J$6:$J$1916,J705,$K$6:$K$1916,"&lt;"&amp;K705)+1,"-")</f>
        <v>3</v>
      </c>
      <c r="I705" s="64" t="str">
        <f aca="false">IF('Onshore - Sydney'!E970="","Harga belum tersedia - hubungi konsultan TEG",IF(M705=2,"Saat ini tidak menerima pendaftaran siswa internasional baru",IF(M705=1,"Harga perlu dikonfirmasi ke sekolah"&amp;IF(""="","","; "&amp;""),"")))</f>
        <v/>
      </c>
      <c r="J705" s="0" t="s">
        <v>3972</v>
      </c>
      <c r="K705" s="0" t="n">
        <f aca="false">IF(M705=2,"",IF(ISNUMBER(SEARCH("rata-rata:",'Onshore - Sydney'!M970)),VALUE(MID('Onshore - Sydney'!M970,SEARCH("rata-rata:",'Onshore - Sydney'!M970)+11,FIND(";",'Onshore - Sydney'!M970&amp;";",SEARCH("rata-rata:",'Onshore - Sydney'!M970))-SEARCH("rata-rata:",'Onshore - Sydney'!M970)-11)),IF('Onshore - Sydney'!D970="Semester",'Onshore - Sydney'!E970*2,IF('Onshore - Sydney'!D970="Trimester",'Onshore - Sydney'!E970*3,IF('Onshore - Sydney'!D970="Term",'Onshore - Sydney'!E970*4,IF('Onshore - Sydney'!D970="Unit",'Onshore - Sydney'!E970*8,""))))))</f>
        <v>29332</v>
      </c>
      <c r="L705" s="0" t="n">
        <f aca="false">IF(AND(ISNUMBER('Onshore - Sydney'!E970),ISNUMBER(K705),ISNUMBER('Onshore - Sydney'!F970),ISNUMBER('Onshore - Sydney'!G970),OR('Onshore - Sydney'!F970&lt;&gt;0,ISNUMBER(SEARCH("Material 0 terverifikasi",'Onshore - Sydney'!M970))),OR('Onshore - Sydney'!G970&lt;&gt;0,ISNUMBER(SEARCH("Enrolment 0 terverifikasi",'Onshore - Sydney'!M970)))),1,0)</f>
        <v>0</v>
      </c>
      <c r="M705" s="0" t="n">
        <f aca="false">IF(OR('Onshore - Sydney'!E970="",ISNUMBER(SEARCH("BSB80120",'Onshore - Sydney'!B970&amp;'Onshore - Sydney'!M970)),ISNUMBER(SEARCH("Management (Learning)",'Onshore - Sydney'!B970))),2,IF(ISNUMBER(SEARCH("CEK:",'Onshore - Sydney'!M970)),1,0))</f>
        <v>0</v>
      </c>
    </row>
    <row r="706" customFormat="false" ht="28.35" hidden="false" customHeight="false" outlineLevel="0" collapsed="false">
      <c r="A706" s="63" t="s">
        <v>3533</v>
      </c>
      <c r="B706" s="64" t="s">
        <v>3923</v>
      </c>
      <c r="C706" s="63" t="s">
        <v>43</v>
      </c>
      <c r="D706" s="64" t="str">
        <f aca="false">TRIM(LEFT('Onshore - Sydney'!A163,FIND(CHAR(10),'Onshore - Sydney'!A163&amp;CHAR(10))-1))</f>
        <v>Australian Catholic University (ACU)</v>
      </c>
      <c r="E706" s="63" t="str">
        <f aca="false">'Onshore - Sydney'!C239&amp;""</f>
        <v>4 years</v>
      </c>
      <c r="F706" s="63" t="str">
        <f aca="false">IF('Onshore - Sydney'!D239="","Belum tercatat",'Onshore - Sydney'!D239)</f>
        <v>Term</v>
      </c>
      <c r="G706" s="65" t="n">
        <f aca="false">IF('Onshore - Sydney'!E239="","-",'Onshore - Sydney'!E239)</f>
        <v>8098</v>
      </c>
      <c r="H706" s="63" t="n">
        <f aca="false">IF(ISNUMBER(K706),COUNTIFS($J$6:$J$1916,J706,$K$6:$K$1916,"&lt;"&amp;K706)+1,"-")</f>
        <v>4</v>
      </c>
      <c r="I706" s="64" t="str">
        <f aca="false">IF('Onshore - Sydney'!E239="","Harga belum tersedia - hubungi konsultan TEG",IF(M706=2,"Saat ini tidak menerima pendaftaran siswa internasional baru",IF(M706=1,"Harga perlu dikonfirmasi ke sekolah"&amp;IF(""="","","; "&amp;""),"")))</f>
        <v/>
      </c>
      <c r="J706" s="0" t="s">
        <v>3972</v>
      </c>
      <c r="K706" s="0" t="n">
        <f aca="false">IF(M706=2,"",IF(ISNUMBER(SEARCH("rata-rata:",'Onshore - Sydney'!M239)),VALUE(MID('Onshore - Sydney'!M239,SEARCH("rata-rata:",'Onshore - Sydney'!M239)+11,FIND(";",'Onshore - Sydney'!M239&amp;";",SEARCH("rata-rata:",'Onshore - Sydney'!M239))-SEARCH("rata-rata:",'Onshore - Sydney'!M239)-11)),IF('Onshore - Sydney'!D239="Semester",'Onshore - Sydney'!E239*2,IF('Onshore - Sydney'!D239="Trimester",'Onshore - Sydney'!E239*3,IF('Onshore - Sydney'!D239="Term",'Onshore - Sydney'!E239*4,IF('Onshore - Sydney'!D239="Unit",'Onshore - Sydney'!E239*8,""))))))</f>
        <v>32392</v>
      </c>
      <c r="L706" s="0" t="n">
        <f aca="false">IF(AND(ISNUMBER('Onshore - Sydney'!E239),ISNUMBER(K706),ISNUMBER('Onshore - Sydney'!F239),ISNUMBER('Onshore - Sydney'!G239),OR('Onshore - Sydney'!F239&lt;&gt;0,ISNUMBER(SEARCH("Material 0 terverifikasi",'Onshore - Sydney'!M239))),OR('Onshore - Sydney'!G239&lt;&gt;0,ISNUMBER(SEARCH("Enrolment 0 terverifikasi",'Onshore - Sydney'!M239)))),1,0)</f>
        <v>0</v>
      </c>
      <c r="M706" s="0" t="n">
        <f aca="false">IF(OR('Onshore - Sydney'!E239="",ISNUMBER(SEARCH("BSB80120",'Onshore - Sydney'!B239&amp;'Onshore - Sydney'!M239)),ISNUMBER(SEARCH("Management (Learning)",'Onshore - Sydney'!B239))),2,IF(ISNUMBER(SEARCH("CEK:",'Onshore - Sydney'!M239)),1,0))</f>
        <v>0</v>
      </c>
    </row>
    <row r="707" customFormat="false" ht="28.35" hidden="false" customHeight="false" outlineLevel="0" collapsed="false">
      <c r="A707" s="63" t="s">
        <v>3533</v>
      </c>
      <c r="B707" s="64" t="s">
        <v>3923</v>
      </c>
      <c r="C707" s="63" t="s">
        <v>43</v>
      </c>
      <c r="D707" s="64" t="str">
        <f aca="false">TRIM(LEFT('Onshore - Sydney'!A1062,FIND(CHAR(10),'Onshore - Sydney'!A1062&amp;CHAR(10))-1))</f>
        <v>Western Sydney University</v>
      </c>
      <c r="E707" s="63" t="str">
        <f aca="false">'Onshore - Sydney'!C1123&amp;""</f>
        <v>3 years</v>
      </c>
      <c r="F707" s="63" t="str">
        <f aca="false">IF('Onshore - Sydney'!D1123="","Belum tercatat",'Onshore - Sydney'!D1123)</f>
        <v>Term</v>
      </c>
      <c r="G707" s="65" t="n">
        <f aca="false">IF('Onshore - Sydney'!E1123="","-",'Onshore - Sydney'!E1123)</f>
        <v>8125</v>
      </c>
      <c r="H707" s="63" t="n">
        <f aca="false">IF(ISNUMBER(K707),COUNTIFS($J$6:$J$1916,J707,$K$6:$K$1916,"&lt;"&amp;K707)+1,"-")</f>
        <v>5</v>
      </c>
      <c r="I707" s="64" t="str">
        <f aca="false">IF('Onshore - Sydney'!E1123="","Harga belum tersedia - hubungi konsultan TEG",IF(M707=2,"Saat ini tidak menerima pendaftaran siswa internasional baru",IF(M707=1,"Harga perlu dikonfirmasi ke sekolah"&amp;IF(""="","","; "&amp;""),"")))</f>
        <v/>
      </c>
      <c r="J707" s="0" t="s">
        <v>3972</v>
      </c>
      <c r="K707" s="0" t="n">
        <f aca="false">IF(M707=2,"",IF(ISNUMBER(SEARCH("rata-rata:",'Onshore - Sydney'!M1123)),VALUE(MID('Onshore - Sydney'!M1123,SEARCH("rata-rata:",'Onshore - Sydney'!M1123)+11,FIND(";",'Onshore - Sydney'!M1123&amp;";",SEARCH("rata-rata:",'Onshore - Sydney'!M1123))-SEARCH("rata-rata:",'Onshore - Sydney'!M1123)-11)),IF('Onshore - Sydney'!D1123="Semester",'Onshore - Sydney'!E1123*2,IF('Onshore - Sydney'!D1123="Trimester",'Onshore - Sydney'!E1123*3,IF('Onshore - Sydney'!D1123="Term",'Onshore - Sydney'!E1123*4,IF('Onshore - Sydney'!D1123="Unit",'Onshore - Sydney'!E1123*8,""))))))</f>
        <v>32500</v>
      </c>
      <c r="L707" s="0" t="n">
        <f aca="false">IF(AND(ISNUMBER('Onshore - Sydney'!E1123),ISNUMBER(K707),ISNUMBER('Onshore - Sydney'!F1123),ISNUMBER('Onshore - Sydney'!G1123),OR('Onshore - Sydney'!F1123&lt;&gt;0,ISNUMBER(SEARCH("Material 0 terverifikasi",'Onshore - Sydney'!M1123))),OR('Onshore - Sydney'!G1123&lt;&gt;0,ISNUMBER(SEARCH("Enrolment 0 terverifikasi",'Onshore - Sydney'!M1123)))),1,0)</f>
        <v>0</v>
      </c>
      <c r="M707" s="0" t="n">
        <f aca="false">IF(OR('Onshore - Sydney'!E1123="",ISNUMBER(SEARCH("BSB80120",'Onshore - Sydney'!B1123&amp;'Onshore - Sydney'!M1123)),ISNUMBER(SEARCH("Management (Learning)",'Onshore - Sydney'!B1123))),2,IF(ISNUMBER(SEARCH("CEK:",'Onshore - Sydney'!M1123)),1,0))</f>
        <v>0</v>
      </c>
    </row>
    <row r="708" customFormat="false" ht="15" hidden="false" customHeight="false" outlineLevel="0" collapsed="false">
      <c r="A708" s="61" t="s">
        <v>3973</v>
      </c>
      <c r="B708" s="62"/>
      <c r="C708" s="62"/>
      <c r="D708" s="62"/>
      <c r="E708" s="62"/>
      <c r="F708" s="62"/>
      <c r="G708" s="62"/>
      <c r="H708" s="62"/>
      <c r="I708" s="62"/>
    </row>
    <row r="709" customFormat="false" ht="28.35" hidden="false" customHeight="false" outlineLevel="0" collapsed="false">
      <c r="A709" s="63" t="s">
        <v>3533</v>
      </c>
      <c r="B709" s="64" t="s">
        <v>3923</v>
      </c>
      <c r="C709" s="63" t="s">
        <v>3707</v>
      </c>
      <c r="D709" s="64" t="str">
        <f aca="false">TRIM(LEFT('Onshore - Sydney'!A688,FIND(CHAR(10),'Onshore - Sydney'!A688&amp;CHAR(10))-1))</f>
        <v>Nurse Training Australia (NTA)</v>
      </c>
      <c r="E709" s="63" t="str">
        <f aca="false">'Onshore - Sydney'!C691&amp;""</f>
        <v>4,5 years</v>
      </c>
      <c r="F709" s="63" t="str">
        <f aca="false">IF('Onshore - Sydney'!D691="","Belum tercatat",'Onshore - Sydney'!D691)</f>
        <v>Term</v>
      </c>
      <c r="G709" s="65" t="n">
        <f aca="false">IF('Onshore - Sydney'!E691="","-",'Onshore - Sydney'!E691)</f>
        <v>2493.75</v>
      </c>
      <c r="H709" s="63" t="n">
        <f aca="false">IF(ISNUMBER(K709),COUNTIFS($J$6:$J$1916,J709,$K$6:$K$1916,"&lt;"&amp;K709)+1,"-")</f>
        <v>1</v>
      </c>
      <c r="I709" s="64" t="str">
        <f aca="false">IF('Onshore - Sydney'!E691="","Harga belum tersedia - hubungi konsultan TEG",IF(M709=2,"Saat ini tidak menerima pendaftaran siswa internasional baru",IF(M709=1,"Harga perlu dikonfirmasi ke sekolah"&amp;IF(""="","","; "&amp;""),"")))</f>
        <v/>
      </c>
      <c r="J709" s="0" t="s">
        <v>3974</v>
      </c>
      <c r="K709" s="0" t="n">
        <f aca="false">IF(M709=2,"",IF(ISNUMBER(SEARCH("rata-rata:",'Onshore - Sydney'!M691)),VALUE(MID('Onshore - Sydney'!M691,SEARCH("rata-rata:",'Onshore - Sydney'!M691)+11,FIND(";",'Onshore - Sydney'!M691&amp;";",SEARCH("rata-rata:",'Onshore - Sydney'!M691))-SEARCH("rata-rata:",'Onshore - Sydney'!M691)-11)),IF('Onshore - Sydney'!D691="Semester",'Onshore - Sydney'!E691*2,IF('Onshore - Sydney'!D691="Trimester",'Onshore - Sydney'!E691*3,IF('Onshore - Sydney'!D691="Term",'Onshore - Sydney'!E691*4,IF('Onshore - Sydney'!D691="Unit",'Onshore - Sydney'!E691*8,""))))))</f>
        <v>9975</v>
      </c>
      <c r="L709" s="0" t="n">
        <f aca="false">IF(AND(ISNUMBER('Onshore - Sydney'!E691),ISNUMBER(K709),ISNUMBER('Onshore - Sydney'!F691),ISNUMBER('Onshore - Sydney'!G691),OR('Onshore - Sydney'!F691&lt;&gt;0,ISNUMBER(SEARCH("Material 0 terverifikasi",'Onshore - Sydney'!M691))),OR('Onshore - Sydney'!G691&lt;&gt;0,ISNUMBER(SEARCH("Enrolment 0 terverifikasi",'Onshore - Sydney'!M691)))),1,0)</f>
        <v>1</v>
      </c>
      <c r="M709" s="0" t="n">
        <f aca="false">IF(OR('Onshore - Sydney'!E691="",ISNUMBER(SEARCH("BSB80120",'Onshore - Sydney'!B691&amp;'Onshore - Sydney'!M691)),ISNUMBER(SEARCH("Management (Learning)",'Onshore - Sydney'!B691))),2,IF(ISNUMBER(SEARCH("CEK:",'Onshore - Sydney'!M691)),1,0))</f>
        <v>0</v>
      </c>
    </row>
    <row r="710" customFormat="false" ht="28.35" hidden="false" customHeight="false" outlineLevel="0" collapsed="false">
      <c r="A710" s="63" t="s">
        <v>3533</v>
      </c>
      <c r="B710" s="64" t="s">
        <v>3923</v>
      </c>
      <c r="C710" s="63" t="s">
        <v>3707</v>
      </c>
      <c r="D710" s="64" t="str">
        <f aca="false">TRIM(LEFT('Onshore - Sydney'!A1062,FIND(CHAR(10),'Onshore - Sydney'!A1062&amp;CHAR(10))-1))</f>
        <v>Western Sydney University</v>
      </c>
      <c r="E710" s="63" t="str">
        <f aca="false">'Onshore - Sydney'!C1208&amp;""</f>
        <v>0,5 year</v>
      </c>
      <c r="F710" s="63" t="str">
        <f aca="false">IF('Onshore - Sydney'!D1208="","Belum tercatat",'Onshore - Sydney'!D1208)</f>
        <v>Term</v>
      </c>
      <c r="G710" s="65" t="n">
        <f aca="false">IF('Onshore - Sydney'!E1208="","-",'Onshore - Sydney'!E1208)</f>
        <v>4347</v>
      </c>
      <c r="H710" s="63" t="n">
        <f aca="false">IF(ISNUMBER(K710),COUNTIFS($J$6:$J$1916,J710,$K$6:$K$1916,"&lt;"&amp;K710)+1,"-")</f>
        <v>2</v>
      </c>
      <c r="I710" s="64" t="str">
        <f aca="false">IF('Onshore - Sydney'!E1208="","Harga belum tersedia - hubungi konsultan TEG",IF(M710=2,"Saat ini tidak menerima pendaftaran siswa internasional baru",IF(M710=1,"Harga perlu dikonfirmasi ke sekolah"&amp;IF(""="","","; "&amp;""),"")))</f>
        <v/>
      </c>
      <c r="J710" s="0" t="s">
        <v>3974</v>
      </c>
      <c r="K710" s="0" t="n">
        <f aca="false">IF(M710=2,"",IF(ISNUMBER(SEARCH("rata-rata:",'Onshore - Sydney'!M1208)),VALUE(MID('Onshore - Sydney'!M1208,SEARCH("rata-rata:",'Onshore - Sydney'!M1208)+11,FIND(";",'Onshore - Sydney'!M1208&amp;";",SEARCH("rata-rata:",'Onshore - Sydney'!M1208))-SEARCH("rata-rata:",'Onshore - Sydney'!M1208)-11)),IF('Onshore - Sydney'!D1208="Semester",'Onshore - Sydney'!E1208*2,IF('Onshore - Sydney'!D1208="Trimester",'Onshore - Sydney'!E1208*3,IF('Onshore - Sydney'!D1208="Term",'Onshore - Sydney'!E1208*4,IF('Onshore - Sydney'!D1208="Unit",'Onshore - Sydney'!E1208*8,""))))))</f>
        <v>17388</v>
      </c>
      <c r="L710" s="0" t="n">
        <f aca="false">IF(AND(ISNUMBER('Onshore - Sydney'!E1208),ISNUMBER(K710),ISNUMBER('Onshore - Sydney'!F1208),ISNUMBER('Onshore - Sydney'!G1208),OR('Onshore - Sydney'!F1208&lt;&gt;0,ISNUMBER(SEARCH("Material 0 terverifikasi",'Onshore - Sydney'!M1208))),OR('Onshore - Sydney'!G1208&lt;&gt;0,ISNUMBER(SEARCH("Enrolment 0 terverifikasi",'Onshore - Sydney'!M1208)))),1,0)</f>
        <v>0</v>
      </c>
      <c r="M710" s="0" t="n">
        <f aca="false">IF(OR('Onshore - Sydney'!E1208="",ISNUMBER(SEARCH("BSB80120",'Onshore - Sydney'!B1208&amp;'Onshore - Sydney'!M1208)),ISNUMBER(SEARCH("Management (Learning)",'Onshore - Sydney'!B1208))),2,IF(ISNUMBER(SEARCH("CEK:",'Onshore - Sydney'!M1208)),1,0))</f>
        <v>0</v>
      </c>
    </row>
    <row r="711" customFormat="false" ht="15" hidden="false" customHeight="false" outlineLevel="0" collapsed="false">
      <c r="A711" s="61" t="s">
        <v>3975</v>
      </c>
      <c r="B711" s="62"/>
      <c r="C711" s="62"/>
      <c r="D711" s="62"/>
      <c r="E711" s="62"/>
      <c r="F711" s="62"/>
      <c r="G711" s="62"/>
      <c r="H711" s="62"/>
      <c r="I711" s="62"/>
    </row>
    <row r="712" customFormat="false" ht="28.35" hidden="false" customHeight="false" outlineLevel="0" collapsed="false">
      <c r="A712" s="63" t="s">
        <v>3533</v>
      </c>
      <c r="B712" s="64" t="s">
        <v>3923</v>
      </c>
      <c r="C712" s="63" t="s">
        <v>46</v>
      </c>
      <c r="D712" s="64" t="str">
        <f aca="false">TRIM(LEFT('Onshore - Sydney'!A163,FIND(CHAR(10),'Onshore - Sydney'!A163&amp;CHAR(10))-1))</f>
        <v>Australian Catholic University (ACU)</v>
      </c>
      <c r="E712" s="63" t="str">
        <f aca="false">'Onshore - Sydney'!C250&amp;""</f>
        <v>2 years</v>
      </c>
      <c r="F712" s="63" t="str">
        <f aca="false">IF('Onshore - Sydney'!D250="","Belum tercatat",'Onshore - Sydney'!D250)</f>
        <v>Term</v>
      </c>
      <c r="G712" s="65" t="n">
        <f aca="false">IF('Onshore - Sydney'!E250="","-",'Onshore - Sydney'!E250)</f>
        <v>8018</v>
      </c>
      <c r="H712" s="63" t="n">
        <f aca="false">IF(ISNUMBER(K712),COUNTIFS($J$6:$J$1916,J712,$K$6:$K$1916,"&lt;"&amp;K712)+1,"-")</f>
        <v>1</v>
      </c>
      <c r="I712" s="64" t="str">
        <f aca="false">IF('Onshore - Sydney'!E250="","Harga belum tersedia - hubungi konsultan TEG",IF(M712=2,"Saat ini tidak menerima pendaftaran siswa internasional baru",IF(M712=1,"Harga perlu dikonfirmasi ke sekolah"&amp;IF(""="","","; "&amp;""),"")))</f>
        <v/>
      </c>
      <c r="J712" s="0" t="s">
        <v>3976</v>
      </c>
      <c r="K712" s="0" t="n">
        <f aca="false">IF(M712=2,"",IF(ISNUMBER(SEARCH("rata-rata:",'Onshore - Sydney'!M250)),VALUE(MID('Onshore - Sydney'!M250,SEARCH("rata-rata:",'Onshore - Sydney'!M250)+11,FIND(";",'Onshore - Sydney'!M250&amp;";",SEARCH("rata-rata:",'Onshore - Sydney'!M250))-SEARCH("rata-rata:",'Onshore - Sydney'!M250)-11)),IF('Onshore - Sydney'!D250="Semester",'Onshore - Sydney'!E250*2,IF('Onshore - Sydney'!D250="Trimester",'Onshore - Sydney'!E250*3,IF('Onshore - Sydney'!D250="Term",'Onshore - Sydney'!E250*4,IF('Onshore - Sydney'!D250="Unit",'Onshore - Sydney'!E250*8,""))))))</f>
        <v>32072</v>
      </c>
      <c r="L712" s="0" t="n">
        <f aca="false">IF(AND(ISNUMBER('Onshore - Sydney'!E250),ISNUMBER(K712),ISNUMBER('Onshore - Sydney'!F250),ISNUMBER('Onshore - Sydney'!G250),OR('Onshore - Sydney'!F250&lt;&gt;0,ISNUMBER(SEARCH("Material 0 terverifikasi",'Onshore - Sydney'!M250))),OR('Onshore - Sydney'!G250&lt;&gt;0,ISNUMBER(SEARCH("Enrolment 0 terverifikasi",'Onshore - Sydney'!M250)))),1,0)</f>
        <v>0</v>
      </c>
      <c r="M712" s="0" t="n">
        <f aca="false">IF(OR('Onshore - Sydney'!E250="",ISNUMBER(SEARCH("BSB80120",'Onshore - Sydney'!B250&amp;'Onshore - Sydney'!M250)),ISNUMBER(SEARCH("Management (Learning)",'Onshore - Sydney'!B250))),2,IF(ISNUMBER(SEARCH("CEK:",'Onshore - Sydney'!M250)),1,0))</f>
        <v>0</v>
      </c>
    </row>
    <row r="713" customFormat="false" ht="28.35" hidden="false" customHeight="false" outlineLevel="0" collapsed="false">
      <c r="A713" s="63" t="s">
        <v>3533</v>
      </c>
      <c r="B713" s="64" t="s">
        <v>3923</v>
      </c>
      <c r="C713" s="63" t="s">
        <v>46</v>
      </c>
      <c r="D713" s="64" t="str">
        <f aca="false">TRIM(LEFT('Onshore - Sydney'!A1062,FIND(CHAR(10),'Onshore - Sydney'!A1062&amp;CHAR(10))-1))</f>
        <v>Western Sydney University</v>
      </c>
      <c r="E713" s="63" t="str">
        <f aca="false">'Onshore - Sydney'!C1206&amp;""</f>
        <v>2 years</v>
      </c>
      <c r="F713" s="63" t="str">
        <f aca="false">IF('Onshore - Sydney'!D1206="","Belum tercatat",'Onshore - Sydney'!D1206)</f>
        <v>Term</v>
      </c>
      <c r="G713" s="65" t="n">
        <f aca="false">IF('Onshore - Sydney'!E1206="","-",'Onshore - Sydney'!E1206)</f>
        <v>8694</v>
      </c>
      <c r="H713" s="63" t="n">
        <f aca="false">IF(ISNUMBER(K713),COUNTIFS($J$6:$J$1916,J713,$K$6:$K$1916,"&lt;"&amp;K713)+1,"-")</f>
        <v>2</v>
      </c>
      <c r="I713" s="64" t="str">
        <f aca="false">IF('Onshore - Sydney'!E1206="","Harga belum tersedia - hubungi konsultan TEG",IF(M713=2,"Saat ini tidak menerima pendaftaran siswa internasional baru",IF(M713=1,"Harga perlu dikonfirmasi ke sekolah"&amp;IF(""="","","; "&amp;""),"")))</f>
        <v/>
      </c>
      <c r="J713" s="0" t="s">
        <v>3976</v>
      </c>
      <c r="K713" s="0" t="n">
        <f aca="false">IF(M713=2,"",IF(ISNUMBER(SEARCH("rata-rata:",'Onshore - Sydney'!M1206)),VALUE(MID('Onshore - Sydney'!M1206,SEARCH("rata-rata:",'Onshore - Sydney'!M1206)+11,FIND(";",'Onshore - Sydney'!M1206&amp;";",SEARCH("rata-rata:",'Onshore - Sydney'!M1206))-SEARCH("rata-rata:",'Onshore - Sydney'!M1206)-11)),IF('Onshore - Sydney'!D1206="Semester",'Onshore - Sydney'!E1206*2,IF('Onshore - Sydney'!D1206="Trimester",'Onshore - Sydney'!E1206*3,IF('Onshore - Sydney'!D1206="Term",'Onshore - Sydney'!E1206*4,IF('Onshore - Sydney'!D1206="Unit",'Onshore - Sydney'!E1206*8,""))))))</f>
        <v>34776</v>
      </c>
      <c r="L713" s="0" t="n">
        <f aca="false">IF(AND(ISNUMBER('Onshore - Sydney'!E1206),ISNUMBER(K713),ISNUMBER('Onshore - Sydney'!F1206),ISNUMBER('Onshore - Sydney'!G1206),OR('Onshore - Sydney'!F1206&lt;&gt;0,ISNUMBER(SEARCH("Material 0 terverifikasi",'Onshore - Sydney'!M1206))),OR('Onshore - Sydney'!G1206&lt;&gt;0,ISNUMBER(SEARCH("Enrolment 0 terverifikasi",'Onshore - Sydney'!M1206)))),1,0)</f>
        <v>0</v>
      </c>
      <c r="M713" s="0" t="n">
        <f aca="false">IF(OR('Onshore - Sydney'!E1206="",ISNUMBER(SEARCH("BSB80120",'Onshore - Sydney'!B1206&amp;'Onshore - Sydney'!M1206)),ISNUMBER(SEARCH("Management (Learning)",'Onshore - Sydney'!B1206))),2,IF(ISNUMBER(SEARCH("CEK:",'Onshore - Sydney'!M1206)),1,0))</f>
        <v>0</v>
      </c>
    </row>
    <row r="714" customFormat="false" ht="15" hidden="false" customHeight="false" outlineLevel="0" collapsed="false">
      <c r="A714" s="61" t="s">
        <v>3977</v>
      </c>
      <c r="B714" s="62"/>
      <c r="C714" s="62"/>
      <c r="D714" s="62"/>
      <c r="E714" s="62"/>
      <c r="F714" s="62"/>
      <c r="G714" s="62"/>
      <c r="H714" s="62"/>
      <c r="I714" s="62"/>
    </row>
    <row r="715" customFormat="false" ht="28.35" hidden="false" customHeight="false" outlineLevel="0" collapsed="false">
      <c r="A715" s="63" t="s">
        <v>3533</v>
      </c>
      <c r="B715" s="64" t="s">
        <v>3923</v>
      </c>
      <c r="C715" s="63" t="s">
        <v>3821</v>
      </c>
      <c r="D715" s="64" t="str">
        <f aca="false">TRIM(LEFT('Onshore - Sydney'!A1062,FIND(CHAR(10),'Onshore - Sydney'!A1062&amp;CHAR(10))-1))</f>
        <v>Western Sydney University</v>
      </c>
      <c r="E715" s="63" t="str">
        <f aca="false">'Onshore - Sydney'!C1225&amp;""</f>
        <v>0,5 year</v>
      </c>
      <c r="F715" s="63" t="str">
        <f aca="false">IF('Onshore - Sydney'!D1225="","Belum tercatat",'Onshore - Sydney'!D1225)</f>
        <v>Term</v>
      </c>
      <c r="G715" s="65" t="n">
        <f aca="false">IF('Onshore - Sydney'!E1225="","-",'Onshore - Sydney'!E1225)</f>
        <v>4347</v>
      </c>
      <c r="H715" s="63" t="n">
        <f aca="false">IF(ISNUMBER(K715),COUNTIFS($J$6:$J$1916,J715,$K$6:$K$1916,"&lt;"&amp;K715)+1,"-")</f>
        <v>1</v>
      </c>
      <c r="I715" s="64" t="str">
        <f aca="false">IF('Onshore - Sydney'!E1225="","Harga belum tersedia - hubungi konsultan TEG",IF(M715=2,"Saat ini tidak menerima pendaftaran siswa internasional baru",IF(M715=1,"Harga perlu dikonfirmasi ke sekolah"&amp;IF(""="","","; "&amp;""),"")))</f>
        <v/>
      </c>
      <c r="J715" s="0" t="s">
        <v>3978</v>
      </c>
      <c r="K715" s="0" t="n">
        <f aca="false">IF(M715=2,"",IF(ISNUMBER(SEARCH("rata-rata:",'Onshore - Sydney'!M1225)),VALUE(MID('Onshore - Sydney'!M1225,SEARCH("rata-rata:",'Onshore - Sydney'!M1225)+11,FIND(";",'Onshore - Sydney'!M1225&amp;";",SEARCH("rata-rata:",'Onshore - Sydney'!M1225))-SEARCH("rata-rata:",'Onshore - Sydney'!M1225)-11)),IF('Onshore - Sydney'!D1225="Semester",'Onshore - Sydney'!E1225*2,IF('Onshore - Sydney'!D1225="Trimester",'Onshore - Sydney'!E1225*3,IF('Onshore - Sydney'!D1225="Term",'Onshore - Sydney'!E1225*4,IF('Onshore - Sydney'!D1225="Unit",'Onshore - Sydney'!E1225*8,""))))))</f>
        <v>17388</v>
      </c>
      <c r="L715" s="0" t="n">
        <f aca="false">IF(AND(ISNUMBER('Onshore - Sydney'!E1225),ISNUMBER(K715),ISNUMBER('Onshore - Sydney'!F1225),ISNUMBER('Onshore - Sydney'!G1225),OR('Onshore - Sydney'!F1225&lt;&gt;0,ISNUMBER(SEARCH("Material 0 terverifikasi",'Onshore - Sydney'!M1225))),OR('Onshore - Sydney'!G1225&lt;&gt;0,ISNUMBER(SEARCH("Enrolment 0 terverifikasi",'Onshore - Sydney'!M1225)))),1,0)</f>
        <v>0</v>
      </c>
      <c r="M715" s="0" t="n">
        <f aca="false">IF(OR('Onshore - Sydney'!E1225="",ISNUMBER(SEARCH("BSB80120",'Onshore - Sydney'!B1225&amp;'Onshore - Sydney'!M1225)),ISNUMBER(SEARCH("Management (Learning)",'Onshore - Sydney'!B1225))),2,IF(ISNUMBER(SEARCH("CEK:",'Onshore - Sydney'!M1225)),1,0))</f>
        <v>0</v>
      </c>
    </row>
    <row r="716" customFormat="false" ht="15" hidden="false" customHeight="false" outlineLevel="0" collapsed="false">
      <c r="A716" s="61" t="s">
        <v>3979</v>
      </c>
      <c r="B716" s="62"/>
      <c r="C716" s="62"/>
      <c r="D716" s="62"/>
      <c r="E716" s="62"/>
      <c r="F716" s="62"/>
      <c r="G716" s="62"/>
      <c r="H716" s="62"/>
      <c r="I716" s="62"/>
    </row>
    <row r="717" customFormat="false" ht="28.35" hidden="false" customHeight="false" outlineLevel="0" collapsed="false">
      <c r="A717" s="63" t="s">
        <v>3753</v>
      </c>
      <c r="B717" s="64" t="s">
        <v>3923</v>
      </c>
      <c r="C717" s="63" t="s">
        <v>41</v>
      </c>
      <c r="D717" s="64" t="str">
        <f aca="false">TRIM(LEFT('Onshore - Tasmania Hobart'!A8,FIND(CHAR(10),'Onshore - Tasmania Hobart'!A8&amp;CHAR(10))-1))</f>
        <v>Australian Sovereign College (AuSC)</v>
      </c>
      <c r="E717" s="63" t="str">
        <f aca="false">'Onshore - Tasmania Hobart'!C11&amp;""</f>
        <v>3 years</v>
      </c>
      <c r="F717" s="63" t="str">
        <f aca="false">IF('Onshore - Tasmania Hobart'!D11="","Belum tercatat",'Onshore - Tasmania Hobart'!D11)</f>
        <v>Term</v>
      </c>
      <c r="G717" s="65" t="n">
        <f aca="false">IF('Onshore - Tasmania Hobart'!E11="","-",'Onshore - Tasmania Hobart'!E11)</f>
        <v>2600</v>
      </c>
      <c r="H717" s="63" t="n">
        <f aca="false">IF(ISNUMBER(K717),COUNTIFS($J$6:$J$1916,J717,$K$6:$K$1916,"&lt;"&amp;K717)+1,"-")</f>
        <v>1</v>
      </c>
      <c r="I717" s="64" t="str">
        <f aca="false">IF('Onshore - Tasmania Hobart'!E11="","Harga belum tersedia - hubungi konsultan TEG",IF(M717=2,"Saat ini tidak menerima pendaftaran siswa internasional baru",IF(M717=1,"Harga perlu dikonfirmasi ke sekolah"&amp;IF(""="","","; "&amp;""),"")))</f>
        <v/>
      </c>
      <c r="J717" s="0" t="s">
        <v>3980</v>
      </c>
      <c r="K717" s="0" t="n">
        <f aca="false">IF(M717=2,"",IF(ISNUMBER(SEARCH("rata-rata:",'Onshore - Tasmania Hobart'!M11)),VALUE(MID('Onshore - Tasmania Hobart'!M11,SEARCH("rata-rata:",'Onshore - Tasmania Hobart'!M11)+11,FIND(";",'Onshore - Tasmania Hobart'!M11&amp;";",SEARCH("rata-rata:",'Onshore - Tasmania Hobart'!M11))-SEARCH("rata-rata:",'Onshore - Tasmania Hobart'!M11)-11)),IF('Onshore - Tasmania Hobart'!D11="Semester",'Onshore - Tasmania Hobart'!E11*2,IF('Onshore - Tasmania Hobart'!D11="Trimester",'Onshore - Tasmania Hobart'!E11*3,IF('Onshore - Tasmania Hobart'!D11="Term",'Onshore - Tasmania Hobart'!E11*4,IF('Onshore - Tasmania Hobart'!D11="Unit",'Onshore - Tasmania Hobart'!E11*8,""))))))</f>
        <v>10400</v>
      </c>
      <c r="L717" s="0" t="n">
        <f aca="false">IF(AND(ISNUMBER('Onshore - Tasmania Hobart'!E11),ISNUMBER(K717),ISNUMBER('Onshore - Tasmania Hobart'!F11),ISNUMBER('Onshore - Tasmania Hobart'!G11),OR('Onshore - Tasmania Hobart'!F11&lt;&gt;0,ISNUMBER(SEARCH("Material 0 terverifikasi",'Onshore - Tasmania Hobart'!M11))),OR('Onshore - Tasmania Hobart'!G11&lt;&gt;0,ISNUMBER(SEARCH("Enrolment 0 terverifikasi",'Onshore - Tasmania Hobart'!M11)))),1,0)</f>
        <v>1</v>
      </c>
      <c r="M717" s="0" t="n">
        <f aca="false">IF(OR('Onshore - Tasmania Hobart'!E11="",ISNUMBER(SEARCH("BSB80120",'Onshore - Tasmania Hobart'!B11&amp;'Onshore - Tasmania Hobart'!M11)),ISNUMBER(SEARCH("Management (Learning)",'Onshore - Tasmania Hobart'!B11))),2,IF(ISNUMBER(SEARCH("CEK:",'Onshore - Tasmania Hobart'!M11)),1,0))</f>
        <v>0</v>
      </c>
    </row>
    <row r="718" customFormat="false" ht="15" hidden="false" customHeight="false" outlineLevel="0" collapsed="false">
      <c r="A718" s="61" t="s">
        <v>3981</v>
      </c>
      <c r="B718" s="62"/>
      <c r="C718" s="62"/>
      <c r="D718" s="62"/>
      <c r="E718" s="62"/>
      <c r="F718" s="62"/>
      <c r="G718" s="62"/>
      <c r="H718" s="62"/>
      <c r="I718" s="62"/>
    </row>
    <row r="719" customFormat="false" ht="28.35" hidden="false" customHeight="false" outlineLevel="0" collapsed="false">
      <c r="A719" s="63" t="s">
        <v>3753</v>
      </c>
      <c r="B719" s="64" t="s">
        <v>3923</v>
      </c>
      <c r="C719" s="63" t="s">
        <v>42</v>
      </c>
      <c r="D719" s="64" t="str">
        <f aca="false">TRIM(LEFT('Onshore - Tasmania Hobart'!A8,FIND(CHAR(10),'Onshore - Tasmania Hobart'!A8&amp;CHAR(10))-1))</f>
        <v>Australian Sovereign College (AuSC)</v>
      </c>
      <c r="E719" s="63" t="str">
        <f aca="false">'Onshore - Tasmania Hobart'!C13&amp;""</f>
        <v>3 years</v>
      </c>
      <c r="F719" s="63" t="str">
        <f aca="false">IF('Onshore - Tasmania Hobart'!D13="","Belum tercatat",'Onshore - Tasmania Hobart'!D13)</f>
        <v>Term</v>
      </c>
      <c r="G719" s="65" t="n">
        <f aca="false">IF('Onshore - Tasmania Hobart'!E13="","-",'Onshore - Tasmania Hobart'!E13)</f>
        <v>2500</v>
      </c>
      <c r="H719" s="63" t="n">
        <f aca="false">IF(ISNUMBER(K719),COUNTIFS($J$6:$J$1916,J719,$K$6:$K$1916,"&lt;"&amp;K719)+1,"-")</f>
        <v>1</v>
      </c>
      <c r="I719" s="64" t="str">
        <f aca="false">IF('Onshore - Tasmania Hobart'!E13="","Harga belum tersedia - hubungi konsultan TEG",IF(M719=2,"Saat ini tidak menerima pendaftaran siswa internasional baru",IF(M719=1,"Harga perlu dikonfirmasi ke sekolah"&amp;IF(""="","","; "&amp;""),"")))</f>
        <v/>
      </c>
      <c r="J719" s="0" t="s">
        <v>3982</v>
      </c>
      <c r="K719" s="0" t="n">
        <f aca="false">IF(M719=2,"",IF(ISNUMBER(SEARCH("rata-rata:",'Onshore - Tasmania Hobart'!M13)),VALUE(MID('Onshore - Tasmania Hobart'!M13,SEARCH("rata-rata:",'Onshore - Tasmania Hobart'!M13)+11,FIND(";",'Onshore - Tasmania Hobart'!M13&amp;";",SEARCH("rata-rata:",'Onshore - Tasmania Hobart'!M13))-SEARCH("rata-rata:",'Onshore - Tasmania Hobart'!M13)-11)),IF('Onshore - Tasmania Hobart'!D13="Semester",'Onshore - Tasmania Hobart'!E13*2,IF('Onshore - Tasmania Hobart'!D13="Trimester",'Onshore - Tasmania Hobart'!E13*3,IF('Onshore - Tasmania Hobart'!D13="Term",'Onshore - Tasmania Hobart'!E13*4,IF('Onshore - Tasmania Hobart'!D13="Unit",'Onshore - Tasmania Hobart'!E13*8,""))))))</f>
        <v>10000</v>
      </c>
      <c r="L719" s="0" t="n">
        <f aca="false">IF(AND(ISNUMBER('Onshore - Tasmania Hobart'!E13),ISNUMBER(K719),ISNUMBER('Onshore - Tasmania Hobart'!F13),ISNUMBER('Onshore - Tasmania Hobart'!G13),OR('Onshore - Tasmania Hobart'!F13&lt;&gt;0,ISNUMBER(SEARCH("Material 0 terverifikasi",'Onshore - Tasmania Hobart'!M13))),OR('Onshore - Tasmania Hobart'!G13&lt;&gt;0,ISNUMBER(SEARCH("Enrolment 0 terverifikasi",'Onshore - Tasmania Hobart'!M13)))),1,0)</f>
        <v>1</v>
      </c>
      <c r="M719" s="0" t="n">
        <f aca="false">IF(OR('Onshore - Tasmania Hobart'!E13="",ISNUMBER(SEARCH("BSB80120",'Onshore - Tasmania Hobart'!B13&amp;'Onshore - Tasmania Hobart'!M13)),ISNUMBER(SEARCH("Management (Learning)",'Onshore - Tasmania Hobart'!B13))),2,IF(ISNUMBER(SEARCH("CEK:",'Onshore - Tasmania Hobart'!M13)),1,0))</f>
        <v>0</v>
      </c>
    </row>
    <row r="720" customFormat="false" ht="15" hidden="false" customHeight="false" outlineLevel="0" collapsed="false">
      <c r="A720" s="61" t="s">
        <v>3983</v>
      </c>
      <c r="B720" s="62"/>
      <c r="C720" s="62"/>
      <c r="D720" s="62"/>
      <c r="E720" s="62"/>
      <c r="F720" s="62"/>
      <c r="G720" s="62"/>
      <c r="H720" s="62"/>
      <c r="I720" s="62"/>
    </row>
    <row r="721" customFormat="false" ht="28.35" hidden="false" customHeight="false" outlineLevel="0" collapsed="false">
      <c r="A721" s="63" t="s">
        <v>3753</v>
      </c>
      <c r="B721" s="64" t="s">
        <v>3923</v>
      </c>
      <c r="C721" s="63" t="s">
        <v>43</v>
      </c>
      <c r="D721" s="64" t="str">
        <f aca="false">TRIM(LEFT('Onshore - Tasmania Hobart'!A21,FIND(CHAR(10),'Onshore - Tasmania Hobart'!A21&amp;CHAR(10))-1))</f>
        <v>University of Tasmania (UTAS)</v>
      </c>
      <c r="E721" s="63" t="str">
        <f aca="false">'Onshore - Tasmania Hobart'!C87&amp;""</f>
        <v>4 years</v>
      </c>
      <c r="F721" s="63" t="str">
        <f aca="false">IF('Onshore - Tasmania Hobart'!D87="","Belum tercatat",'Onshore - Tasmania Hobart'!D87)</f>
        <v>Term</v>
      </c>
      <c r="G721" s="65" t="n">
        <f aca="false">IF('Onshore - Tasmania Hobart'!E87="","-",'Onshore - Tasmania Hobart'!E87)</f>
        <v>9737.5</v>
      </c>
      <c r="H721" s="63" t="n">
        <f aca="false">IF(ISNUMBER(K721),COUNTIFS($J$6:$J$1916,J721,$K$6:$K$1916,"&lt;"&amp;K721)+1,"-")</f>
        <v>1</v>
      </c>
      <c r="I721" s="64" t="str">
        <f aca="false">IF('Onshore - Tasmania Hobart'!E87="","Harga belum tersedia - hubungi konsultan TEG",IF(M721=2,"Saat ini tidak menerima pendaftaran siswa internasional baru",IF(M721=1,"Harga perlu dikonfirmasi ke sekolah"&amp;IF(""="","","; "&amp;""),"")))</f>
        <v>Harga perlu dikonfirmasi ke sekolah</v>
      </c>
      <c r="J721" s="0" t="s">
        <v>3984</v>
      </c>
      <c r="K721" s="0" t="n">
        <f aca="false">IF(M721=2,"",IF(ISNUMBER(SEARCH("rata-rata:",'Onshore - Tasmania Hobart'!M87)),VALUE(MID('Onshore - Tasmania Hobart'!M87,SEARCH("rata-rata:",'Onshore - Tasmania Hobart'!M87)+11,FIND(";",'Onshore - Tasmania Hobart'!M87&amp;";",SEARCH("rata-rata:",'Onshore - Tasmania Hobart'!M87))-SEARCH("rata-rata:",'Onshore - Tasmania Hobart'!M87)-11)),IF('Onshore - Tasmania Hobart'!D87="Semester",'Onshore - Tasmania Hobart'!E87*2,IF('Onshore - Tasmania Hobart'!D87="Trimester",'Onshore - Tasmania Hobart'!E87*3,IF('Onshore - Tasmania Hobart'!D87="Term",'Onshore - Tasmania Hobart'!E87*4,IF('Onshore - Tasmania Hobart'!D87="Unit",'Onshore - Tasmania Hobart'!E87*8,""))))))</f>
        <v>38950</v>
      </c>
      <c r="L721" s="0" t="n">
        <f aca="false">IF(AND(ISNUMBER('Onshore - Tasmania Hobart'!E87),ISNUMBER(K721),ISNUMBER('Onshore - Tasmania Hobart'!F87),ISNUMBER('Onshore - Tasmania Hobart'!G87),OR('Onshore - Tasmania Hobart'!F87&lt;&gt;0,ISNUMBER(SEARCH("Material 0 terverifikasi",'Onshore - Tasmania Hobart'!M87))),OR('Onshore - Tasmania Hobart'!G87&lt;&gt;0,ISNUMBER(SEARCH("Enrolment 0 terverifikasi",'Onshore - Tasmania Hobart'!M87)))),1,0)</f>
        <v>0</v>
      </c>
      <c r="M721" s="0" t="n">
        <f aca="false">IF(OR('Onshore - Tasmania Hobart'!E87="",ISNUMBER(SEARCH("BSB80120",'Onshore - Tasmania Hobart'!B87&amp;'Onshore - Tasmania Hobart'!M87)),ISNUMBER(SEARCH("Management (Learning)",'Onshore - Tasmania Hobart'!B87))),2,IF(ISNUMBER(SEARCH("CEK:",'Onshore - Tasmania Hobart'!M87)),1,0))</f>
        <v>1</v>
      </c>
    </row>
    <row r="722" customFormat="false" ht="15" hidden="false" customHeight="false" outlineLevel="0" collapsed="false">
      <c r="A722" s="61" t="s">
        <v>3985</v>
      </c>
      <c r="B722" s="62"/>
      <c r="C722" s="62"/>
      <c r="D722" s="62"/>
      <c r="E722" s="62"/>
      <c r="F722" s="62"/>
      <c r="G722" s="62"/>
      <c r="H722" s="62"/>
      <c r="I722" s="62"/>
    </row>
    <row r="723" customFormat="false" ht="28.35" hidden="false" customHeight="false" outlineLevel="0" collapsed="false">
      <c r="A723" s="63" t="s">
        <v>3753</v>
      </c>
      <c r="B723" s="64" t="s">
        <v>3923</v>
      </c>
      <c r="C723" s="63" t="s">
        <v>3707</v>
      </c>
      <c r="D723" s="64" t="str">
        <f aca="false">TRIM(LEFT('Onshore - Tasmania Hobart'!A21,FIND(CHAR(10),'Onshore - Tasmania Hobart'!A21&amp;CHAR(10))-1))</f>
        <v>University of Tasmania (UTAS)</v>
      </c>
      <c r="E723" s="63" t="str">
        <f aca="false">'Onshore - Tasmania Hobart'!C103&amp;""</f>
        <v>1 year</v>
      </c>
      <c r="F723" s="63" t="str">
        <f aca="false">IF('Onshore - Tasmania Hobart'!D103="","Belum tercatat",'Onshore - Tasmania Hobart'!D103)</f>
        <v>Term</v>
      </c>
      <c r="G723" s="65" t="n">
        <f aca="false">IF('Onshore - Tasmania Hobart'!E103="","-",'Onshore - Tasmania Hobart'!E103)</f>
        <v>10487.5</v>
      </c>
      <c r="H723" s="63" t="n">
        <f aca="false">IF(ISNUMBER(K723),COUNTIFS($J$6:$J$1916,J723,$K$6:$K$1916,"&lt;"&amp;K723)+1,"-")</f>
        <v>1</v>
      </c>
      <c r="I723" s="64" t="str">
        <f aca="false">IF('Onshore - Tasmania Hobart'!E103="","Harga belum tersedia - hubungi konsultan TEG",IF(M723=2,"Saat ini tidak menerima pendaftaran siswa internasional baru",IF(M723=1,"Harga perlu dikonfirmasi ke sekolah"&amp;IF(""="","","; "&amp;""),"")))</f>
        <v>Harga perlu dikonfirmasi ke sekolah</v>
      </c>
      <c r="J723" s="0" t="s">
        <v>3986</v>
      </c>
      <c r="K723" s="0" t="n">
        <f aca="false">IF(M723=2,"",IF(ISNUMBER(SEARCH("rata-rata:",'Onshore - Tasmania Hobart'!M103)),VALUE(MID('Onshore - Tasmania Hobart'!M103,SEARCH("rata-rata:",'Onshore - Tasmania Hobart'!M103)+11,FIND(";",'Onshore - Tasmania Hobart'!M103&amp;";",SEARCH("rata-rata:",'Onshore - Tasmania Hobart'!M103))-SEARCH("rata-rata:",'Onshore - Tasmania Hobart'!M103)-11)),IF('Onshore - Tasmania Hobart'!D103="Semester",'Onshore - Tasmania Hobart'!E103*2,IF('Onshore - Tasmania Hobart'!D103="Trimester",'Onshore - Tasmania Hobart'!E103*3,IF('Onshore - Tasmania Hobart'!D103="Term",'Onshore - Tasmania Hobart'!E103*4,IF('Onshore - Tasmania Hobart'!D103="Unit",'Onshore - Tasmania Hobart'!E103*8,""))))))</f>
        <v>41950</v>
      </c>
      <c r="L723" s="0" t="n">
        <f aca="false">IF(AND(ISNUMBER('Onshore - Tasmania Hobart'!E103),ISNUMBER(K723),ISNUMBER('Onshore - Tasmania Hobart'!F103),ISNUMBER('Onshore - Tasmania Hobart'!G103),OR('Onshore - Tasmania Hobart'!F103&lt;&gt;0,ISNUMBER(SEARCH("Material 0 terverifikasi",'Onshore - Tasmania Hobart'!M103))),OR('Onshore - Tasmania Hobart'!G103&lt;&gt;0,ISNUMBER(SEARCH("Enrolment 0 terverifikasi",'Onshore - Tasmania Hobart'!M103)))),1,0)</f>
        <v>0</v>
      </c>
      <c r="M723" s="0" t="n">
        <f aca="false">IF(OR('Onshore - Tasmania Hobart'!E103="",ISNUMBER(SEARCH("BSB80120",'Onshore - Tasmania Hobart'!B103&amp;'Onshore - Tasmania Hobart'!M103)),ISNUMBER(SEARCH("Management (Learning)",'Onshore - Tasmania Hobart'!B103))),2,IF(ISNUMBER(SEARCH("CEK:",'Onshore - Tasmania Hobart'!M103)),1,0))</f>
        <v>1</v>
      </c>
    </row>
    <row r="724" customFormat="false" ht="15" hidden="false" customHeight="false" outlineLevel="0" collapsed="false">
      <c r="A724" s="61" t="s">
        <v>3987</v>
      </c>
      <c r="B724" s="62"/>
      <c r="C724" s="62"/>
      <c r="D724" s="62"/>
      <c r="E724" s="62"/>
      <c r="F724" s="62"/>
      <c r="G724" s="62"/>
      <c r="H724" s="62"/>
      <c r="I724" s="62"/>
    </row>
    <row r="725" customFormat="false" ht="28.35" hidden="false" customHeight="false" outlineLevel="0" collapsed="false">
      <c r="A725" s="63" t="s">
        <v>3753</v>
      </c>
      <c r="B725" s="64" t="s">
        <v>3923</v>
      </c>
      <c r="C725" s="63" t="s">
        <v>46</v>
      </c>
      <c r="D725" s="64" t="str">
        <f aca="false">TRIM(LEFT('Onshore - Tasmania Hobart'!A21,FIND(CHAR(10),'Onshore - Tasmania Hobart'!A21&amp;CHAR(10))-1))</f>
        <v>University of Tasmania (UTAS)</v>
      </c>
      <c r="E725" s="63" t="str">
        <f aca="false">'Onshore - Tasmania Hobart'!C97&amp;""</f>
        <v>2 years</v>
      </c>
      <c r="F725" s="63" t="str">
        <f aca="false">IF('Onshore - Tasmania Hobart'!D97="","Belum tercatat",'Onshore - Tasmania Hobart'!D97)</f>
        <v>Term</v>
      </c>
      <c r="G725" s="65" t="n">
        <f aca="false">IF('Onshore - Tasmania Hobart'!E97="","-",'Onshore - Tasmania Hobart'!E97)</f>
        <v>10237.5</v>
      </c>
      <c r="H725" s="63" t="n">
        <f aca="false">IF(ISNUMBER(K725),COUNTIFS($J$6:$J$1916,J725,$K$6:$K$1916,"&lt;"&amp;K725)+1,"-")</f>
        <v>1</v>
      </c>
      <c r="I725" s="64" t="str">
        <f aca="false">IF('Onshore - Tasmania Hobart'!E97="","Harga belum tersedia - hubungi konsultan TEG",IF(M725=2,"Saat ini tidak menerima pendaftaran siswa internasional baru",IF(M725=1,"Harga perlu dikonfirmasi ke sekolah"&amp;IF(""="","","; "&amp;""),"")))</f>
        <v>Harga perlu dikonfirmasi ke sekolah</v>
      </c>
      <c r="J725" s="0" t="s">
        <v>3988</v>
      </c>
      <c r="K725" s="0" t="n">
        <f aca="false">IF(M725=2,"",IF(ISNUMBER(SEARCH("rata-rata:",'Onshore - Tasmania Hobart'!M97)),VALUE(MID('Onshore - Tasmania Hobart'!M97,SEARCH("rata-rata:",'Onshore - Tasmania Hobart'!M97)+11,FIND(";",'Onshore - Tasmania Hobart'!M97&amp;";",SEARCH("rata-rata:",'Onshore - Tasmania Hobart'!M97))-SEARCH("rata-rata:",'Onshore - Tasmania Hobart'!M97)-11)),IF('Onshore - Tasmania Hobart'!D97="Semester",'Onshore - Tasmania Hobart'!E97*2,IF('Onshore - Tasmania Hobart'!D97="Trimester",'Onshore - Tasmania Hobart'!E97*3,IF('Onshore - Tasmania Hobart'!D97="Term",'Onshore - Tasmania Hobart'!E97*4,IF('Onshore - Tasmania Hobart'!D97="Unit",'Onshore - Tasmania Hobart'!E97*8,""))))))</f>
        <v>40950</v>
      </c>
      <c r="L725" s="0" t="n">
        <f aca="false">IF(AND(ISNUMBER('Onshore - Tasmania Hobart'!E97),ISNUMBER(K725),ISNUMBER('Onshore - Tasmania Hobart'!F97),ISNUMBER('Onshore - Tasmania Hobart'!G97),OR('Onshore - Tasmania Hobart'!F97&lt;&gt;0,ISNUMBER(SEARCH("Material 0 terverifikasi",'Onshore - Tasmania Hobart'!M97))),OR('Onshore - Tasmania Hobart'!G97&lt;&gt;0,ISNUMBER(SEARCH("Enrolment 0 terverifikasi",'Onshore - Tasmania Hobart'!M97)))),1,0)</f>
        <v>0</v>
      </c>
      <c r="M725" s="0" t="n">
        <f aca="false">IF(OR('Onshore - Tasmania Hobart'!E97="",ISNUMBER(SEARCH("BSB80120",'Onshore - Tasmania Hobart'!B97&amp;'Onshore - Tasmania Hobart'!M97)),ISNUMBER(SEARCH("Management (Learning)",'Onshore - Tasmania Hobart'!B97))),2,IF(ISNUMBER(SEARCH("CEK:",'Onshore - Tasmania Hobart'!M97)),1,0))</f>
        <v>1</v>
      </c>
    </row>
    <row r="726" customFormat="false" ht="15" hidden="false" customHeight="false" outlineLevel="0" collapsed="false">
      <c r="A726" s="61" t="s">
        <v>3989</v>
      </c>
      <c r="B726" s="62"/>
      <c r="C726" s="62"/>
      <c r="D726" s="62"/>
      <c r="E726" s="62"/>
      <c r="F726" s="62"/>
      <c r="G726" s="62"/>
      <c r="H726" s="62"/>
      <c r="I726" s="62"/>
    </row>
    <row r="727" customFormat="false" ht="28.35" hidden="false" customHeight="false" outlineLevel="0" collapsed="false">
      <c r="A727" s="63" t="s">
        <v>3659</v>
      </c>
      <c r="B727" s="64" t="s">
        <v>3990</v>
      </c>
      <c r="C727" s="63" t="s">
        <v>39</v>
      </c>
      <c r="D727" s="64" t="str">
        <f aca="false">TRIM(LEFT('Onshore - Adelaide'!A6,FIND(CHAR(10),'Onshore - Adelaide'!A6&amp;CHAR(10))-1))</f>
        <v>Abbey College Australia</v>
      </c>
      <c r="E727" s="63" t="str">
        <f aca="false">'Onshore - Adelaide'!C11&amp;""</f>
        <v>1 year</v>
      </c>
      <c r="F727" s="63" t="str">
        <f aca="false">IF('Onshore - Adelaide'!D11="","Belum tercatat",'Onshore - Adelaide'!D11)</f>
        <v>Term</v>
      </c>
      <c r="G727" s="65" t="n">
        <f aca="false">IF('Onshore - Adelaide'!E11="","-",'Onshore - Adelaide'!E11)</f>
        <v>2250</v>
      </c>
      <c r="H727" s="63" t="n">
        <f aca="false">IF(ISNUMBER(K727),COUNTIFS($J$6:$J$1916,J727,$K$6:$K$1916,"&lt;"&amp;K727)+1,"-")</f>
        <v>1</v>
      </c>
      <c r="I727" s="64" t="str">
        <f aca="false">IF('Onshore - Adelaide'!E11="","Harga belum tersedia - hubungi konsultan TEG",IF(M727=2,"Saat ini tidak menerima pendaftaran siswa internasional baru",IF(M727=1,"Harga perlu dikonfirmasi ke sekolah"&amp;IF(""="","","; "&amp;""),"")))</f>
        <v/>
      </c>
      <c r="J727" s="0" t="s">
        <v>3991</v>
      </c>
      <c r="K727" s="0" t="n">
        <f aca="false">IF(M727=2,"",IF(ISNUMBER(SEARCH("rata-rata:",'Onshore - Adelaide'!M11)),VALUE(MID('Onshore - Adelaide'!M11,SEARCH("rata-rata:",'Onshore - Adelaide'!M11)+11,FIND(";",'Onshore - Adelaide'!M11&amp;";",SEARCH("rata-rata:",'Onshore - Adelaide'!M11))-SEARCH("rata-rata:",'Onshore - Adelaide'!M11)-11)),IF('Onshore - Adelaide'!D11="Semester",'Onshore - Adelaide'!E11*2,IF('Onshore - Adelaide'!D11="Trimester",'Onshore - Adelaide'!E11*3,IF('Onshore - Adelaide'!D11="Term",'Onshore - Adelaide'!E11*4,IF('Onshore - Adelaide'!D11="Unit",'Onshore - Adelaide'!E11*8,""))))))</f>
        <v>9000</v>
      </c>
      <c r="L727" s="0" t="n">
        <f aca="false">IF(AND(ISNUMBER('Onshore - Adelaide'!E11),ISNUMBER(K727),ISNUMBER('Onshore - Adelaide'!F11),ISNUMBER('Onshore - Adelaide'!G11),OR('Onshore - Adelaide'!F11&lt;&gt;0,ISNUMBER(SEARCH("Material 0 terverifikasi",'Onshore - Adelaide'!M11))),OR('Onshore - Adelaide'!G11&lt;&gt;0,ISNUMBER(SEARCH("Enrolment 0 terverifikasi",'Onshore - Adelaide'!M11)))),1,0)</f>
        <v>1</v>
      </c>
      <c r="M727" s="0" t="n">
        <f aca="false">IF(OR('Onshore - Adelaide'!E11="",ISNUMBER(SEARCH("BSB80120",'Onshore - Adelaide'!B11&amp;'Onshore - Adelaide'!M11)),ISNUMBER(SEARCH("Management (Learning)",'Onshore - Adelaide'!B11))),2,IF(ISNUMBER(SEARCH("CEK:",'Onshore - Adelaide'!M11)),1,0))</f>
        <v>0</v>
      </c>
    </row>
    <row r="728" customFormat="false" ht="28.35" hidden="false" customHeight="false" outlineLevel="0" collapsed="false">
      <c r="A728" s="63" t="s">
        <v>3659</v>
      </c>
      <c r="B728" s="64" t="s">
        <v>3990</v>
      </c>
      <c r="C728" s="63" t="s">
        <v>39</v>
      </c>
      <c r="D728" s="64" t="str">
        <f aca="false">TRIM(LEFT('Onshore - Adelaide'!A381,FIND(CHAR(10),'Onshore - Adelaide'!A381&amp;CHAR(10))-1))</f>
        <v>Alliance College</v>
      </c>
      <c r="E728" s="63" t="str">
        <f aca="false">'Onshore - Adelaide'!C391&amp;""</f>
        <v>2 years</v>
      </c>
      <c r="F728" s="63" t="str">
        <f aca="false">IF('Onshore - Adelaide'!D391="","Belum tercatat",'Onshore - Adelaide'!D391)</f>
        <v>Term</v>
      </c>
      <c r="G728" s="65" t="n">
        <f aca="false">IF('Onshore - Adelaide'!E391="","-",'Onshore - Adelaide'!E391)</f>
        <v>3575</v>
      </c>
      <c r="H728" s="63" t="n">
        <f aca="false">IF(ISNUMBER(K728),COUNTIFS($J$6:$J$1916,J728,$K$6:$K$1916,"&lt;"&amp;K728)+1,"-")</f>
        <v>2</v>
      </c>
      <c r="I728" s="64" t="str">
        <f aca="false">IF('Onshore - Adelaide'!E391="","Harga belum tersedia - hubungi konsultan TEG",IF(M728=2,"Saat ini tidak menerima pendaftaran siswa internasional baru",IF(M728=1,"Harga perlu dikonfirmasi ke sekolah"&amp;IF(""="","","; "&amp;""),"")))</f>
        <v/>
      </c>
      <c r="J728" s="0" t="s">
        <v>3991</v>
      </c>
      <c r="K728" s="0" t="n">
        <f aca="false">IF(M728=2,"",IF(ISNUMBER(SEARCH("rata-rata:",'Onshore - Adelaide'!M391)),VALUE(MID('Onshore - Adelaide'!M391,SEARCH("rata-rata:",'Onshore - Adelaide'!M391)+11,FIND(";",'Onshore - Adelaide'!M391&amp;";",SEARCH("rata-rata:",'Onshore - Adelaide'!M391))-SEARCH("rata-rata:",'Onshore - Adelaide'!M391)-11)),IF('Onshore - Adelaide'!D391="Semester",'Onshore - Adelaide'!E391*2,IF('Onshore - Adelaide'!D391="Trimester",'Onshore - Adelaide'!E391*3,IF('Onshore - Adelaide'!D391="Term",'Onshore - Adelaide'!E391*4,IF('Onshore - Adelaide'!D391="Unit",'Onshore - Adelaide'!E391*8,""))))))</f>
        <v>14300</v>
      </c>
      <c r="L728" s="0" t="n">
        <f aca="false">IF(AND(ISNUMBER('Onshore - Adelaide'!E391),ISNUMBER(K728),ISNUMBER('Onshore - Adelaide'!F391),ISNUMBER('Onshore - Adelaide'!G391),OR('Onshore - Adelaide'!F391&lt;&gt;0,ISNUMBER(SEARCH("Material 0 terverifikasi",'Onshore - Adelaide'!M391))),OR('Onshore - Adelaide'!G391&lt;&gt;0,ISNUMBER(SEARCH("Enrolment 0 terverifikasi",'Onshore - Adelaide'!M391)))),1,0)</f>
        <v>1</v>
      </c>
      <c r="M728" s="0" t="n">
        <f aca="false">IF(OR('Onshore - Adelaide'!E391="",ISNUMBER(SEARCH("BSB80120",'Onshore - Adelaide'!B391&amp;'Onshore - Adelaide'!M391)),ISNUMBER(SEARCH("Management (Learning)",'Onshore - Adelaide'!B391))),2,IF(ISNUMBER(SEARCH("CEK:",'Onshore - Adelaide'!M391)),1,0))</f>
        <v>0</v>
      </c>
    </row>
    <row r="729" customFormat="false" ht="28.35" hidden="false" customHeight="false" outlineLevel="0" collapsed="false">
      <c r="A729" s="63" t="s">
        <v>3659</v>
      </c>
      <c r="B729" s="64" t="s">
        <v>3990</v>
      </c>
      <c r="C729" s="63" t="s">
        <v>39</v>
      </c>
      <c r="D729" s="64" t="str">
        <f aca="false">TRIM(LEFT('Onshore - Adelaide'!A474,FIND(CHAR(10),'Onshore - Adelaide'!A474&amp;CHAR(10))-1))</f>
        <v>Signet Institute of Australia</v>
      </c>
      <c r="E729" s="63" t="str">
        <f aca="false">'Onshore - Adelaide'!C474&amp;""</f>
        <v>2 years</v>
      </c>
      <c r="F729" s="63" t="str">
        <f aca="false">IF('Onshore - Adelaide'!D474="","Belum tercatat",'Onshore - Adelaide'!D474)</f>
        <v>Term</v>
      </c>
      <c r="G729" s="65" t="n">
        <f aca="false">IF('Onshore - Adelaide'!E474="","-",'Onshore - Adelaide'!E474)</f>
        <v>3650</v>
      </c>
      <c r="H729" s="63" t="n">
        <f aca="false">IF(ISNUMBER(K729),COUNTIFS($J$6:$J$1916,J729,$K$6:$K$1916,"&lt;"&amp;K729)+1,"-")</f>
        <v>3</v>
      </c>
      <c r="I729" s="64" t="str">
        <f aca="false">IF('Onshore - Adelaide'!E474="","Harga belum tersedia - hubungi konsultan TEG",IF(M729=2,"Saat ini tidak menerima pendaftaran siswa internasional baru",IF(M729=1,"Harga perlu dikonfirmasi ke sekolah"&amp;IF(""="","","; "&amp;""),"")))</f>
        <v/>
      </c>
      <c r="J729" s="0" t="s">
        <v>3991</v>
      </c>
      <c r="K729" s="0" t="n">
        <f aca="false">IF(M729=2,"",IF(ISNUMBER(SEARCH("rata-rata:",'Onshore - Adelaide'!M474)),VALUE(MID('Onshore - Adelaide'!M474,SEARCH("rata-rata:",'Onshore - Adelaide'!M474)+11,FIND(";",'Onshore - Adelaide'!M474&amp;";",SEARCH("rata-rata:",'Onshore - Adelaide'!M474))-SEARCH("rata-rata:",'Onshore - Adelaide'!M474)-11)),IF('Onshore - Adelaide'!D474="Semester",'Onshore - Adelaide'!E474*2,IF('Onshore - Adelaide'!D474="Trimester",'Onshore - Adelaide'!E474*3,IF('Onshore - Adelaide'!D474="Term",'Onshore - Adelaide'!E474*4,IF('Onshore - Adelaide'!D474="Unit",'Onshore - Adelaide'!E474*8,""))))))</f>
        <v>14600</v>
      </c>
      <c r="L729" s="0" t="n">
        <f aca="false">IF(AND(ISNUMBER('Onshore - Adelaide'!E474),ISNUMBER(K729),ISNUMBER('Onshore - Adelaide'!F474),ISNUMBER('Onshore - Adelaide'!G474),OR('Onshore - Adelaide'!F474&lt;&gt;0,ISNUMBER(SEARCH("Material 0 terverifikasi",'Onshore - Adelaide'!M474))),OR('Onshore - Adelaide'!G474&lt;&gt;0,ISNUMBER(SEARCH("Enrolment 0 terverifikasi",'Onshore - Adelaide'!M474)))),1,0)</f>
        <v>1</v>
      </c>
      <c r="M729" s="0" t="n">
        <f aca="false">IF(OR('Onshore - Adelaide'!E474="",ISNUMBER(SEARCH("BSB80120",'Onshore - Adelaide'!B474&amp;'Onshore - Adelaide'!M474)),ISNUMBER(SEARCH("Management (Learning)",'Onshore - Adelaide'!B474))),2,IF(ISNUMBER(SEARCH("CEK:",'Onshore - Adelaide'!M474)),1,0))</f>
        <v>0</v>
      </c>
    </row>
    <row r="730" customFormat="false" ht="28.35" hidden="false" customHeight="false" outlineLevel="0" collapsed="false">
      <c r="A730" s="63" t="s">
        <v>3659</v>
      </c>
      <c r="B730" s="64" t="s">
        <v>3990</v>
      </c>
      <c r="C730" s="63" t="s">
        <v>39</v>
      </c>
      <c r="D730" s="64" t="str">
        <f aca="false">TRIM(LEFT('Onshore - Adelaide'!A487,FIND(CHAR(10),'Onshore - Adelaide'!A487&amp;CHAR(10))-1))</f>
        <v>TAFE SA</v>
      </c>
      <c r="E730" s="63" t="str">
        <f aca="false">'Onshore - Adelaide'!C533&amp;""</f>
        <v>0,5 year</v>
      </c>
      <c r="F730" s="63" t="str">
        <f aca="false">IF('Onshore - Adelaide'!D533="","Belum tercatat",'Onshore - Adelaide'!D533)</f>
        <v>Semester</v>
      </c>
      <c r="G730" s="65" t="n">
        <f aca="false">IF('Onshore - Adelaide'!E533="","-",'Onshore - Adelaide'!E533)</f>
        <v>8235</v>
      </c>
      <c r="H730" s="63" t="n">
        <f aca="false">IF(ISNUMBER(K730),COUNTIFS($J$6:$J$1916,J730,$K$6:$K$1916,"&lt;"&amp;K730)+1,"-")</f>
        <v>4</v>
      </c>
      <c r="I730" s="64" t="str">
        <f aca="false">IF('Onshore - Adelaide'!E533="","Harga belum tersedia - hubungi konsultan TEG",IF(M730=2,"Saat ini tidak menerima pendaftaran siswa internasional baru",IF(M730=1,"Harga perlu dikonfirmasi ke sekolah"&amp;IF(""="","","; "&amp;""),"")))</f>
        <v/>
      </c>
      <c r="J730" s="0" t="s">
        <v>3991</v>
      </c>
      <c r="K730" s="0" t="n">
        <f aca="false">IF(M730=2,"",IF(ISNUMBER(SEARCH("rata-rata:",'Onshore - Adelaide'!M533)),VALUE(MID('Onshore - Adelaide'!M533,SEARCH("rata-rata:",'Onshore - Adelaide'!M533)+11,FIND(";",'Onshore - Adelaide'!M533&amp;";",SEARCH("rata-rata:",'Onshore - Adelaide'!M533))-SEARCH("rata-rata:",'Onshore - Adelaide'!M533)-11)),IF('Onshore - Adelaide'!D533="Semester",'Onshore - Adelaide'!E533*2,IF('Onshore - Adelaide'!D533="Trimester",'Onshore - Adelaide'!E533*3,IF('Onshore - Adelaide'!D533="Term",'Onshore - Adelaide'!E533*4,IF('Onshore - Adelaide'!D533="Unit",'Onshore - Adelaide'!E533*8,""))))))</f>
        <v>16470</v>
      </c>
      <c r="L730" s="0" t="n">
        <f aca="false">IF(AND(ISNUMBER('Onshore - Adelaide'!E533),ISNUMBER(K730),ISNUMBER('Onshore - Adelaide'!F533),ISNUMBER('Onshore - Adelaide'!G533),OR('Onshore - Adelaide'!F533&lt;&gt;0,ISNUMBER(SEARCH("Material 0 terverifikasi",'Onshore - Adelaide'!M533))),OR('Onshore - Adelaide'!G533&lt;&gt;0,ISNUMBER(SEARCH("Enrolment 0 terverifikasi",'Onshore - Adelaide'!M533)))),1,0)</f>
        <v>0</v>
      </c>
      <c r="M730" s="0" t="n">
        <f aca="false">IF(OR('Onshore - Adelaide'!E533="",ISNUMBER(SEARCH("BSB80120",'Onshore - Adelaide'!B533&amp;'Onshore - Adelaide'!M533)),ISNUMBER(SEARCH("Management (Learning)",'Onshore - Adelaide'!B533))),2,IF(ISNUMBER(SEARCH("CEK:",'Onshore - Adelaide'!M533)),1,0))</f>
        <v>0</v>
      </c>
    </row>
    <row r="731" customFormat="false" ht="15" hidden="false" customHeight="false" outlineLevel="0" collapsed="false">
      <c r="A731" s="61" t="s">
        <v>3992</v>
      </c>
      <c r="B731" s="62"/>
      <c r="C731" s="62"/>
      <c r="D731" s="62"/>
      <c r="E731" s="62"/>
      <c r="F731" s="62"/>
      <c r="G731" s="62"/>
      <c r="H731" s="62"/>
      <c r="I731" s="62"/>
    </row>
    <row r="732" customFormat="false" ht="28.35" hidden="false" customHeight="false" outlineLevel="0" collapsed="false">
      <c r="A732" s="63" t="s">
        <v>3659</v>
      </c>
      <c r="B732" s="64" t="s">
        <v>3990</v>
      </c>
      <c r="C732" s="63" t="s">
        <v>40</v>
      </c>
      <c r="D732" s="64" t="str">
        <f aca="false">TRIM(LEFT('Onshore - Adelaide'!A381,FIND(CHAR(10),'Onshore - Adelaide'!A381&amp;CHAR(10))-1))</f>
        <v>Alliance College</v>
      </c>
      <c r="E732" s="63" t="str">
        <f aca="false">'Onshore - Adelaide'!C392&amp;""</f>
        <v>2 years</v>
      </c>
      <c r="F732" s="63" t="str">
        <f aca="false">IF('Onshore - Adelaide'!D392="","Belum tercatat",'Onshore - Adelaide'!D392)</f>
        <v>Term</v>
      </c>
      <c r="G732" s="65" t="n">
        <f aca="false">IF('Onshore - Adelaide'!E392="","-",'Onshore - Adelaide'!E392)</f>
        <v>4075</v>
      </c>
      <c r="H732" s="63" t="n">
        <f aca="false">IF(ISNUMBER(K732),COUNTIFS($J$6:$J$1916,J732,$K$6:$K$1916,"&lt;"&amp;K732)+1,"-")</f>
        <v>1</v>
      </c>
      <c r="I732" s="64" t="str">
        <f aca="false">IF('Onshore - Adelaide'!E392="","Harga belum tersedia - hubungi konsultan TEG",IF(M732=2,"Saat ini tidak menerima pendaftaran siswa internasional baru",IF(M732=1,"Harga perlu dikonfirmasi ke sekolah"&amp;IF(""="","","; "&amp;""),"")))</f>
        <v/>
      </c>
      <c r="J732" s="0" t="s">
        <v>3993</v>
      </c>
      <c r="K732" s="0" t="n">
        <f aca="false">IF(M732=2,"",IF(ISNUMBER(SEARCH("rata-rata:",'Onshore - Adelaide'!M392)),VALUE(MID('Onshore - Adelaide'!M392,SEARCH("rata-rata:",'Onshore - Adelaide'!M392)+11,FIND(";",'Onshore - Adelaide'!M392&amp;";",SEARCH("rata-rata:",'Onshore - Adelaide'!M392))-SEARCH("rata-rata:",'Onshore - Adelaide'!M392)-11)),IF('Onshore - Adelaide'!D392="Semester",'Onshore - Adelaide'!E392*2,IF('Onshore - Adelaide'!D392="Trimester",'Onshore - Adelaide'!E392*3,IF('Onshore - Adelaide'!D392="Term",'Onshore - Adelaide'!E392*4,IF('Onshore - Adelaide'!D392="Unit",'Onshore - Adelaide'!E392*8,""))))))</f>
        <v>16300</v>
      </c>
      <c r="L732" s="0" t="n">
        <f aca="false">IF(AND(ISNUMBER('Onshore - Adelaide'!E392),ISNUMBER(K732),ISNUMBER('Onshore - Adelaide'!F392),ISNUMBER('Onshore - Adelaide'!G392),OR('Onshore - Adelaide'!F392&lt;&gt;0,ISNUMBER(SEARCH("Material 0 terverifikasi",'Onshore - Adelaide'!M392))),OR('Onshore - Adelaide'!G392&lt;&gt;0,ISNUMBER(SEARCH("Enrolment 0 terverifikasi",'Onshore - Adelaide'!M392)))),1,0)</f>
        <v>1</v>
      </c>
      <c r="M732" s="0" t="n">
        <f aca="false">IF(OR('Onshore - Adelaide'!E392="",ISNUMBER(SEARCH("BSB80120",'Onshore - Adelaide'!B392&amp;'Onshore - Adelaide'!M392)),ISNUMBER(SEARCH("Management (Learning)",'Onshore - Adelaide'!B392))),2,IF(ISNUMBER(SEARCH("CEK:",'Onshore - Adelaide'!M392)),1,0))</f>
        <v>0</v>
      </c>
    </row>
    <row r="733" customFormat="false" ht="28.35" hidden="false" customHeight="false" outlineLevel="0" collapsed="false">
      <c r="A733" s="63" t="s">
        <v>3659</v>
      </c>
      <c r="B733" s="64" t="s">
        <v>3990</v>
      </c>
      <c r="C733" s="63" t="s">
        <v>40</v>
      </c>
      <c r="D733" s="64" t="str">
        <f aca="false">TRIM(LEFT('Onshore - Adelaide'!A487,FIND(CHAR(10),'Onshore - Adelaide'!A487&amp;CHAR(10))-1))</f>
        <v>TAFE SA</v>
      </c>
      <c r="E733" s="63" t="str">
        <f aca="false">'Onshore - Adelaide'!C495&amp;""</f>
        <v>1 year</v>
      </c>
      <c r="F733" s="63" t="str">
        <f aca="false">IF('Onshore - Adelaide'!D495="","Belum tercatat",'Onshore - Adelaide'!D495)</f>
        <v>Semester</v>
      </c>
      <c r="G733" s="65" t="n">
        <f aca="false">IF('Onshore - Adelaide'!E495="","-",'Onshore - Adelaide'!E495)</f>
        <v>9660</v>
      </c>
      <c r="H733" s="63" t="n">
        <f aca="false">IF(ISNUMBER(K733),COUNTIFS($J$6:$J$1916,J733,$K$6:$K$1916,"&lt;"&amp;K733)+1,"-")</f>
        <v>2</v>
      </c>
      <c r="I733" s="64" t="str">
        <f aca="false">IF('Onshore - Adelaide'!E495="","Harga belum tersedia - hubungi konsultan TEG",IF(M733=2,"Saat ini tidak menerima pendaftaran siswa internasional baru",IF(M733=1,"Harga perlu dikonfirmasi ke sekolah"&amp;IF(""="","","; "&amp;""),"")))</f>
        <v/>
      </c>
      <c r="J733" s="0" t="s">
        <v>3993</v>
      </c>
      <c r="K733" s="0" t="n">
        <f aca="false">IF(M733=2,"",IF(ISNUMBER(SEARCH("rata-rata:",'Onshore - Adelaide'!M495)),VALUE(MID('Onshore - Adelaide'!M495,SEARCH("rata-rata:",'Onshore - Adelaide'!M495)+11,FIND(";",'Onshore - Adelaide'!M495&amp;";",SEARCH("rata-rata:",'Onshore - Adelaide'!M495))-SEARCH("rata-rata:",'Onshore - Adelaide'!M495)-11)),IF('Onshore - Adelaide'!D495="Semester",'Onshore - Adelaide'!E495*2,IF('Onshore - Adelaide'!D495="Trimester",'Onshore - Adelaide'!E495*3,IF('Onshore - Adelaide'!D495="Term",'Onshore - Adelaide'!E495*4,IF('Onshore - Adelaide'!D495="Unit",'Onshore - Adelaide'!E495*8,""))))))</f>
        <v>19320</v>
      </c>
      <c r="L733" s="0" t="n">
        <f aca="false">IF(AND(ISNUMBER('Onshore - Adelaide'!E495),ISNUMBER(K733),ISNUMBER('Onshore - Adelaide'!F495),ISNUMBER('Onshore - Adelaide'!G495),OR('Onshore - Adelaide'!F495&lt;&gt;0,ISNUMBER(SEARCH("Material 0 terverifikasi",'Onshore - Adelaide'!M495))),OR('Onshore - Adelaide'!G495&lt;&gt;0,ISNUMBER(SEARCH("Enrolment 0 terverifikasi",'Onshore - Adelaide'!M495)))),1,0)</f>
        <v>0</v>
      </c>
      <c r="M733" s="0" t="n">
        <f aca="false">IF(OR('Onshore - Adelaide'!E495="",ISNUMBER(SEARCH("BSB80120",'Onshore - Adelaide'!B495&amp;'Onshore - Adelaide'!M495)),ISNUMBER(SEARCH("Management (Learning)",'Onshore - Adelaide'!B495))),2,IF(ISNUMBER(SEARCH("CEK:",'Onshore - Adelaide'!M495)),1,0))</f>
        <v>0</v>
      </c>
    </row>
    <row r="734" customFormat="false" ht="15" hidden="false" customHeight="false" outlineLevel="0" collapsed="false">
      <c r="A734" s="61" t="s">
        <v>3994</v>
      </c>
      <c r="B734" s="62"/>
      <c r="C734" s="62"/>
      <c r="D734" s="62"/>
      <c r="E734" s="62"/>
      <c r="F734" s="62"/>
      <c r="G734" s="62"/>
      <c r="H734" s="62"/>
      <c r="I734" s="62"/>
    </row>
    <row r="735" customFormat="false" ht="28.35" hidden="false" customHeight="false" outlineLevel="0" collapsed="false">
      <c r="A735" s="63" t="s">
        <v>3659</v>
      </c>
      <c r="B735" s="64" t="s">
        <v>3990</v>
      </c>
      <c r="C735" s="63" t="s">
        <v>41</v>
      </c>
      <c r="D735" s="64" t="str">
        <f aca="false">TRIM(LEFT('Onshore - Adelaide'!A542,FIND(CHAR(10),'Onshore - Adelaide'!A542&amp;CHAR(10))-1))</f>
        <v>The Centre of Excellence</v>
      </c>
      <c r="E735" s="63" t="str">
        <f aca="false">'Onshore - Adelaide'!C542&amp;""</f>
        <v>3 years</v>
      </c>
      <c r="F735" s="63" t="str">
        <f aca="false">IF('Onshore - Adelaide'!D542="","Belum tercatat",'Onshore - Adelaide'!D542)</f>
        <v>Term</v>
      </c>
      <c r="G735" s="65" t="n">
        <f aca="false">IF('Onshore - Adelaide'!E542="","-",'Onshore - Adelaide'!E542)</f>
        <v>2700</v>
      </c>
      <c r="H735" s="63" t="n">
        <f aca="false">IF(ISNUMBER(K735),COUNTIFS($J$6:$J$1916,J735,$K$6:$K$1916,"&lt;"&amp;K735)+1,"-")</f>
        <v>1</v>
      </c>
      <c r="I735" s="64" t="str">
        <f aca="false">IF('Onshore - Adelaide'!E542="","Harga belum tersedia - hubungi konsultan TEG",IF(M735=2,"Saat ini tidak menerima pendaftaran siswa internasional baru",IF(M735=1,"Harga perlu dikonfirmasi ke sekolah"&amp;IF(""="","","; "&amp;""),"")))</f>
        <v/>
      </c>
      <c r="J735" s="0" t="s">
        <v>3995</v>
      </c>
      <c r="K735" s="0" t="n">
        <f aca="false">IF(M735=2,"",IF(ISNUMBER(SEARCH("rata-rata:",'Onshore - Adelaide'!M542)),VALUE(MID('Onshore - Adelaide'!M542,SEARCH("rata-rata:",'Onshore - Adelaide'!M542)+11,FIND(";",'Onshore - Adelaide'!M542&amp;";",SEARCH("rata-rata:",'Onshore - Adelaide'!M542))-SEARCH("rata-rata:",'Onshore - Adelaide'!M542)-11)),IF('Onshore - Adelaide'!D542="Semester",'Onshore - Adelaide'!E542*2,IF('Onshore - Adelaide'!D542="Trimester",'Onshore - Adelaide'!E542*3,IF('Onshore - Adelaide'!D542="Term",'Onshore - Adelaide'!E542*4,IF('Onshore - Adelaide'!D542="Unit",'Onshore - Adelaide'!E542*8,""))))))</f>
        <v>10800</v>
      </c>
      <c r="L735" s="0" t="n">
        <f aca="false">IF(AND(ISNUMBER('Onshore - Adelaide'!E542),ISNUMBER(K735),ISNUMBER('Onshore - Adelaide'!F542),ISNUMBER('Onshore - Adelaide'!G542),OR('Onshore - Adelaide'!F542&lt;&gt;0,ISNUMBER(SEARCH("Material 0 terverifikasi",'Onshore - Adelaide'!M542))),OR('Onshore - Adelaide'!G542&lt;&gt;0,ISNUMBER(SEARCH("Enrolment 0 terverifikasi",'Onshore - Adelaide'!M542)))),1,0)</f>
        <v>1</v>
      </c>
      <c r="M735" s="0" t="n">
        <f aca="false">IF(OR('Onshore - Adelaide'!E542="",ISNUMBER(SEARCH("BSB80120",'Onshore - Adelaide'!B542&amp;'Onshore - Adelaide'!M542)),ISNUMBER(SEARCH("Management (Learning)",'Onshore - Adelaide'!B542))),2,IF(ISNUMBER(SEARCH("CEK:",'Onshore - Adelaide'!M542)),1,0))</f>
        <v>0</v>
      </c>
    </row>
    <row r="736" customFormat="false" ht="28.35" hidden="false" customHeight="false" outlineLevel="0" collapsed="false">
      <c r="A736" s="63" t="s">
        <v>3659</v>
      </c>
      <c r="B736" s="64" t="s">
        <v>3990</v>
      </c>
      <c r="C736" s="63" t="s">
        <v>41</v>
      </c>
      <c r="D736" s="64" t="str">
        <f aca="false">TRIM(LEFT('Onshore - Adelaide'!A459,FIND(CHAR(10),'Onshore - Adelaide'!A459&amp;CHAR(10))-1))</f>
        <v>Keystone College of Business and Technology (KCBT)</v>
      </c>
      <c r="E736" s="63" t="str">
        <f aca="false">'Onshore - Adelaide'!C460&amp;""</f>
        <v>1,5 years</v>
      </c>
      <c r="F736" s="63" t="str">
        <f aca="false">IF('Onshore - Adelaide'!D460="","Belum tercatat",'Onshore - Adelaide'!D460)</f>
        <v>Term</v>
      </c>
      <c r="G736" s="65" t="n">
        <f aca="false">IF('Onshore - Adelaide'!E460="","-",'Onshore - Adelaide'!E460)</f>
        <v>3167</v>
      </c>
      <c r="H736" s="63" t="n">
        <f aca="false">IF(ISNUMBER(K736),COUNTIFS($J$6:$J$1916,J736,$K$6:$K$1916,"&lt;"&amp;K736)+1,"-")</f>
        <v>2</v>
      </c>
      <c r="I736" s="64" t="str">
        <f aca="false">IF('Onshore - Adelaide'!E460="","Harga belum tersedia - hubungi konsultan TEG",IF(M736=2,"Saat ini tidak menerima pendaftaran siswa internasional baru",IF(M736=1,"Harga perlu dikonfirmasi ke sekolah"&amp;IF(""="","","; "&amp;""),"")))</f>
        <v>Harga perlu dikonfirmasi ke sekolah</v>
      </c>
      <c r="J736" s="0" t="s">
        <v>3995</v>
      </c>
      <c r="K736" s="0" t="n">
        <f aca="false">IF(M736=2,"",IF(ISNUMBER(SEARCH("rata-rata:",'Onshore - Adelaide'!M460)),VALUE(MID('Onshore - Adelaide'!M460,SEARCH("rata-rata:",'Onshore - Adelaide'!M460)+11,FIND(";",'Onshore - Adelaide'!M460&amp;";",SEARCH("rata-rata:",'Onshore - Adelaide'!M460))-SEARCH("rata-rata:",'Onshore - Adelaide'!M460)-11)),IF('Onshore - Adelaide'!D460="Semester",'Onshore - Adelaide'!E460*2,IF('Onshore - Adelaide'!D460="Trimester",'Onshore - Adelaide'!E460*3,IF('Onshore - Adelaide'!D460="Term",'Onshore - Adelaide'!E460*4,IF('Onshore - Adelaide'!D460="Unit",'Onshore - Adelaide'!E460*8,""))))))</f>
        <v>12668</v>
      </c>
      <c r="L736" s="0" t="n">
        <f aca="false">IF(AND(ISNUMBER('Onshore - Adelaide'!E460),ISNUMBER(K736),ISNUMBER('Onshore - Adelaide'!F460),ISNUMBER('Onshore - Adelaide'!G460),OR('Onshore - Adelaide'!F460&lt;&gt;0,ISNUMBER(SEARCH("Material 0 terverifikasi",'Onshore - Adelaide'!M460))),OR('Onshore - Adelaide'!G460&lt;&gt;0,ISNUMBER(SEARCH("Enrolment 0 terverifikasi",'Onshore - Adelaide'!M460)))),1,0)</f>
        <v>1</v>
      </c>
      <c r="M736" s="0" t="n">
        <f aca="false">IF(OR('Onshore - Adelaide'!E460="",ISNUMBER(SEARCH("BSB80120",'Onshore - Adelaide'!B460&amp;'Onshore - Adelaide'!M460)),ISNUMBER(SEARCH("Management (Learning)",'Onshore - Adelaide'!B460))),2,IF(ISNUMBER(SEARCH("CEK:",'Onshore - Adelaide'!M460)),1,0))</f>
        <v>1</v>
      </c>
    </row>
    <row r="737" customFormat="false" ht="28.35" hidden="false" customHeight="false" outlineLevel="0" collapsed="false">
      <c r="A737" s="63" t="s">
        <v>3659</v>
      </c>
      <c r="B737" s="64" t="s">
        <v>3990</v>
      </c>
      <c r="C737" s="63" t="s">
        <v>41</v>
      </c>
      <c r="D737" s="64" t="str">
        <f aca="false">TRIM(LEFT('Onshore - Adelaide'!A474,FIND(CHAR(10),'Onshore - Adelaide'!A474&amp;CHAR(10))-1))</f>
        <v>Signet Institute of Australia</v>
      </c>
      <c r="E737" s="63" t="str">
        <f aca="false">'Onshore - Adelaide'!C478&amp;""</f>
        <v>4 years</v>
      </c>
      <c r="F737" s="63" t="str">
        <f aca="false">IF('Onshore - Adelaide'!D478="","Belum tercatat",'Onshore - Adelaide'!D478)</f>
        <v>Term</v>
      </c>
      <c r="G737" s="65" t="n">
        <f aca="false">IF('Onshore - Adelaide'!E478="","-",'Onshore - Adelaide'!E478)</f>
        <v>3800</v>
      </c>
      <c r="H737" s="63" t="n">
        <f aca="false">IF(ISNUMBER(K737),COUNTIFS($J$6:$J$1916,J737,$K$6:$K$1916,"&lt;"&amp;K737)+1,"-")</f>
        <v>3</v>
      </c>
      <c r="I737" s="64" t="str">
        <f aca="false">IF('Onshore - Adelaide'!E478="","Harga belum tersedia - hubungi konsultan TEG",IF(M737=2,"Saat ini tidak menerima pendaftaran siswa internasional baru",IF(M737=1,"Harga perlu dikonfirmasi ke sekolah"&amp;IF(""="","","; "&amp;""),"")))</f>
        <v/>
      </c>
      <c r="J737" s="0" t="s">
        <v>3995</v>
      </c>
      <c r="K737" s="0" t="n">
        <f aca="false">IF(M737=2,"",IF(ISNUMBER(SEARCH("rata-rata:",'Onshore - Adelaide'!M478)),VALUE(MID('Onshore - Adelaide'!M478,SEARCH("rata-rata:",'Onshore - Adelaide'!M478)+11,FIND(";",'Onshore - Adelaide'!M478&amp;";",SEARCH("rata-rata:",'Onshore - Adelaide'!M478))-SEARCH("rata-rata:",'Onshore - Adelaide'!M478)-11)),IF('Onshore - Adelaide'!D478="Semester",'Onshore - Adelaide'!E478*2,IF('Onshore - Adelaide'!D478="Trimester",'Onshore - Adelaide'!E478*3,IF('Onshore - Adelaide'!D478="Term",'Onshore - Adelaide'!E478*4,IF('Onshore - Adelaide'!D478="Unit",'Onshore - Adelaide'!E478*8,""))))))</f>
        <v>15200</v>
      </c>
      <c r="L737" s="0" t="n">
        <f aca="false">IF(AND(ISNUMBER('Onshore - Adelaide'!E478),ISNUMBER(K737),ISNUMBER('Onshore - Adelaide'!F478),ISNUMBER('Onshore - Adelaide'!G478),OR('Onshore - Adelaide'!F478&lt;&gt;0,ISNUMBER(SEARCH("Material 0 terverifikasi",'Onshore - Adelaide'!M478))),OR('Onshore - Adelaide'!G478&lt;&gt;0,ISNUMBER(SEARCH("Enrolment 0 terverifikasi",'Onshore - Adelaide'!M478)))),1,0)</f>
        <v>0</v>
      </c>
      <c r="M737" s="0" t="n">
        <f aca="false">IF(OR('Onshore - Adelaide'!E478="",ISNUMBER(SEARCH("BSB80120",'Onshore - Adelaide'!B478&amp;'Onshore - Adelaide'!M478)),ISNUMBER(SEARCH("Management (Learning)",'Onshore - Adelaide'!B478))),2,IF(ISNUMBER(SEARCH("CEK:",'Onshore - Adelaide'!M478)),1,0))</f>
        <v>0</v>
      </c>
    </row>
    <row r="738" customFormat="false" ht="28.35" hidden="false" customHeight="false" outlineLevel="0" collapsed="false">
      <c r="A738" s="63" t="s">
        <v>3659</v>
      </c>
      <c r="B738" s="64" t="s">
        <v>3990</v>
      </c>
      <c r="C738" s="63" t="s">
        <v>41</v>
      </c>
      <c r="D738" s="64" t="str">
        <f aca="false">TRIM(LEFT('Onshore - Adelaide'!A381,FIND(CHAR(10),'Onshore - Adelaide'!A381&amp;CHAR(10))-1))</f>
        <v>Alliance College</v>
      </c>
      <c r="E738" s="63" t="str">
        <f aca="false">'Onshore - Adelaide'!C394&amp;""</f>
        <v>3 years</v>
      </c>
      <c r="F738" s="63" t="str">
        <f aca="false">IF('Onshore - Adelaide'!D394="","Belum tercatat",'Onshore - Adelaide'!D394)</f>
        <v>Term</v>
      </c>
      <c r="G738" s="65" t="n">
        <f aca="false">IF('Onshore - Adelaide'!E394="","-",'Onshore - Adelaide'!E394)</f>
        <v>4010</v>
      </c>
      <c r="H738" s="63" t="n">
        <f aca="false">IF(ISNUMBER(K738),COUNTIFS($J$6:$J$1916,J738,$K$6:$K$1916,"&lt;"&amp;K738)+1,"-")</f>
        <v>4</v>
      </c>
      <c r="I738" s="64" t="str">
        <f aca="false">IF('Onshore - Adelaide'!E394="","Harga belum tersedia - hubungi konsultan TEG",IF(M738=2,"Saat ini tidak menerima pendaftaran siswa internasional baru",IF(M738=1,"Harga perlu dikonfirmasi ke sekolah"&amp;IF(""="","","; "&amp;""),"")))</f>
        <v/>
      </c>
      <c r="J738" s="0" t="s">
        <v>3995</v>
      </c>
      <c r="K738" s="0" t="n">
        <f aca="false">IF(M738=2,"",IF(ISNUMBER(SEARCH("rata-rata:",'Onshore - Adelaide'!M394)),VALUE(MID('Onshore - Adelaide'!M394,SEARCH("rata-rata:",'Onshore - Adelaide'!M394)+11,FIND(";",'Onshore - Adelaide'!M394&amp;";",SEARCH("rata-rata:",'Onshore - Adelaide'!M394))-SEARCH("rata-rata:",'Onshore - Adelaide'!M394)-11)),IF('Onshore - Adelaide'!D394="Semester",'Onshore - Adelaide'!E394*2,IF('Onshore - Adelaide'!D394="Trimester",'Onshore - Adelaide'!E394*3,IF('Onshore - Adelaide'!D394="Term",'Onshore - Adelaide'!E394*4,IF('Onshore - Adelaide'!D394="Unit",'Onshore - Adelaide'!E394*8,""))))))</f>
        <v>16040</v>
      </c>
      <c r="L738" s="0" t="n">
        <f aca="false">IF(AND(ISNUMBER('Onshore - Adelaide'!E394),ISNUMBER(K738),ISNUMBER('Onshore - Adelaide'!F394),ISNUMBER('Onshore - Adelaide'!G394),OR('Onshore - Adelaide'!F394&lt;&gt;0,ISNUMBER(SEARCH("Material 0 terverifikasi",'Onshore - Adelaide'!M394))),OR('Onshore - Adelaide'!G394&lt;&gt;0,ISNUMBER(SEARCH("Enrolment 0 terverifikasi",'Onshore - Adelaide'!M394)))),1,0)</f>
        <v>1</v>
      </c>
      <c r="M738" s="0" t="n">
        <f aca="false">IF(OR('Onshore - Adelaide'!E394="",ISNUMBER(SEARCH("BSB80120",'Onshore - Adelaide'!B394&amp;'Onshore - Adelaide'!M394)),ISNUMBER(SEARCH("Management (Learning)",'Onshore - Adelaide'!B394))),2,IF(ISNUMBER(SEARCH("CEK:",'Onshore - Adelaide'!M394)),1,0))</f>
        <v>0</v>
      </c>
    </row>
    <row r="739" customFormat="false" ht="15" hidden="false" customHeight="false" outlineLevel="0" collapsed="false">
      <c r="A739" s="61" t="s">
        <v>3996</v>
      </c>
      <c r="B739" s="62"/>
      <c r="C739" s="62"/>
      <c r="D739" s="62"/>
      <c r="E739" s="62"/>
      <c r="F739" s="62"/>
      <c r="G739" s="62"/>
      <c r="H739" s="62"/>
      <c r="I739" s="62"/>
    </row>
    <row r="740" customFormat="false" ht="28.35" hidden="false" customHeight="false" outlineLevel="0" collapsed="false">
      <c r="A740" s="63" t="s">
        <v>3659</v>
      </c>
      <c r="B740" s="64" t="s">
        <v>3990</v>
      </c>
      <c r="C740" s="63" t="s">
        <v>42</v>
      </c>
      <c r="D740" s="64" t="str">
        <f aca="false">TRIM(LEFT('Onshore - Adelaide'!A376,FIND(CHAR(10),'Onshore - Adelaide'!A376&amp;CHAR(10))-1))</f>
        <v>Albright Institute of Business and Language (AIBL)</v>
      </c>
      <c r="E740" s="63" t="str">
        <f aca="false">'Onshore - Adelaide'!C378&amp;""</f>
        <v>2 years</v>
      </c>
      <c r="F740" s="63" t="str">
        <f aca="false">IF('Onshore - Adelaide'!D378="","Belum tercatat",'Onshore - Adelaide'!D378)</f>
        <v>Term</v>
      </c>
      <c r="G740" s="65" t="n">
        <f aca="false">IF('Onshore - Adelaide'!E378="","-",'Onshore - Adelaide'!E378)</f>
        <v>2375</v>
      </c>
      <c r="H740" s="63" t="n">
        <f aca="false">IF(ISNUMBER(K740),COUNTIFS($J$6:$J$1916,J740,$K$6:$K$1916,"&lt;"&amp;K740)+1,"-")</f>
        <v>1</v>
      </c>
      <c r="I740" s="64" t="str">
        <f aca="false">IF('Onshore - Adelaide'!E378="","Harga belum tersedia - hubungi konsultan TEG",IF(M740=2,"Saat ini tidak menerima pendaftaran siswa internasional baru",IF(M740=1,"Harga perlu dikonfirmasi ke sekolah"&amp;IF(""="","","; "&amp;""),"")))</f>
        <v/>
      </c>
      <c r="J740" s="0" t="s">
        <v>3997</v>
      </c>
      <c r="K740" s="0" t="n">
        <f aca="false">IF(M740=2,"",IF(ISNUMBER(SEARCH("rata-rata:",'Onshore - Adelaide'!M378)),VALUE(MID('Onshore - Adelaide'!M378,SEARCH("rata-rata:",'Onshore - Adelaide'!M378)+11,FIND(";",'Onshore - Adelaide'!M378&amp;";",SEARCH("rata-rata:",'Onshore - Adelaide'!M378))-SEARCH("rata-rata:",'Onshore - Adelaide'!M378)-11)),IF('Onshore - Adelaide'!D378="Semester",'Onshore - Adelaide'!E378*2,IF('Onshore - Adelaide'!D378="Trimester",'Onshore - Adelaide'!E378*3,IF('Onshore - Adelaide'!D378="Term",'Onshore - Adelaide'!E378*4,IF('Onshore - Adelaide'!D378="Unit",'Onshore - Adelaide'!E378*8,""))))))</f>
        <v>9500</v>
      </c>
      <c r="L740" s="0" t="n">
        <f aca="false">IF(AND(ISNUMBER('Onshore - Adelaide'!E378),ISNUMBER(K740),ISNUMBER('Onshore - Adelaide'!F378),ISNUMBER('Onshore - Adelaide'!G378),OR('Onshore - Adelaide'!F378&lt;&gt;0,ISNUMBER(SEARCH("Material 0 terverifikasi",'Onshore - Adelaide'!M378))),OR('Onshore - Adelaide'!G378&lt;&gt;0,ISNUMBER(SEARCH("Enrolment 0 terverifikasi",'Onshore - Adelaide'!M378)))),1,0)</f>
        <v>1</v>
      </c>
      <c r="M740" s="0" t="n">
        <f aca="false">IF(OR('Onshore - Adelaide'!E378="",ISNUMBER(SEARCH("BSB80120",'Onshore - Adelaide'!B378&amp;'Onshore - Adelaide'!M378)),ISNUMBER(SEARCH("Management (Learning)",'Onshore - Adelaide'!B378))),2,IF(ISNUMBER(SEARCH("CEK:",'Onshore - Adelaide'!M378)),1,0))</f>
        <v>0</v>
      </c>
    </row>
    <row r="741" customFormat="false" ht="28.35" hidden="false" customHeight="false" outlineLevel="0" collapsed="false">
      <c r="A741" s="63" t="s">
        <v>3659</v>
      </c>
      <c r="B741" s="64" t="s">
        <v>3990</v>
      </c>
      <c r="C741" s="63" t="s">
        <v>42</v>
      </c>
      <c r="D741" s="64" t="str">
        <f aca="false">TRIM(LEFT('Onshore - Adelaide'!A459,FIND(CHAR(10),'Onshore - Adelaide'!A459&amp;CHAR(10))-1))</f>
        <v>Keystone College of Business and Technology (KCBT)</v>
      </c>
      <c r="E741" s="63" t="str">
        <f aca="false">'Onshore - Adelaide'!C461&amp;""</f>
        <v>2 years</v>
      </c>
      <c r="F741" s="63" t="str">
        <f aca="false">IF('Onshore - Adelaide'!D461="","Belum tercatat",'Onshore - Adelaide'!D461)</f>
        <v>Term</v>
      </c>
      <c r="G741" s="65" t="n">
        <f aca="false">IF('Onshore - Adelaide'!E461="","-",'Onshore - Adelaide'!E461)</f>
        <v>2442</v>
      </c>
      <c r="H741" s="63" t="n">
        <f aca="false">IF(ISNUMBER(K741),COUNTIFS($J$6:$J$1916,J741,$K$6:$K$1916,"&lt;"&amp;K741)+1,"-")</f>
        <v>2</v>
      </c>
      <c r="I741" s="64" t="str">
        <f aca="false">IF('Onshore - Adelaide'!E461="","Harga belum tersedia - hubungi konsultan TEG",IF(M741=2,"Saat ini tidak menerima pendaftaran siswa internasional baru",IF(M741=1,"Harga perlu dikonfirmasi ke sekolah"&amp;IF(""="","","; "&amp;""),"")))</f>
        <v/>
      </c>
      <c r="J741" s="0" t="s">
        <v>3997</v>
      </c>
      <c r="K741" s="0" t="n">
        <f aca="false">IF(M741=2,"",IF(ISNUMBER(SEARCH("rata-rata:",'Onshore - Adelaide'!M461)),VALUE(MID('Onshore - Adelaide'!M461,SEARCH("rata-rata:",'Onshore - Adelaide'!M461)+11,FIND(";",'Onshore - Adelaide'!M461&amp;";",SEARCH("rata-rata:",'Onshore - Adelaide'!M461))-SEARCH("rata-rata:",'Onshore - Adelaide'!M461)-11)),IF('Onshore - Adelaide'!D461="Semester",'Onshore - Adelaide'!E461*2,IF('Onshore - Adelaide'!D461="Trimester",'Onshore - Adelaide'!E461*3,IF('Onshore - Adelaide'!D461="Term",'Onshore - Adelaide'!E461*4,IF('Onshore - Adelaide'!D461="Unit",'Onshore - Adelaide'!E461*8,""))))))</f>
        <v>9768</v>
      </c>
      <c r="L741" s="0" t="n">
        <f aca="false">IF(AND(ISNUMBER('Onshore - Adelaide'!E461),ISNUMBER(K741),ISNUMBER('Onshore - Adelaide'!F461),ISNUMBER('Onshore - Adelaide'!G461),OR('Onshore - Adelaide'!F461&lt;&gt;0,ISNUMBER(SEARCH("Material 0 terverifikasi",'Onshore - Adelaide'!M461))),OR('Onshore - Adelaide'!G461&lt;&gt;0,ISNUMBER(SEARCH("Enrolment 0 terverifikasi",'Onshore - Adelaide'!M461)))),1,0)</f>
        <v>1</v>
      </c>
      <c r="M741" s="0" t="n">
        <f aca="false">IF(OR('Onshore - Adelaide'!E461="",ISNUMBER(SEARCH("BSB80120",'Onshore - Adelaide'!B461&amp;'Onshore - Adelaide'!M461)),ISNUMBER(SEARCH("Management (Learning)",'Onshore - Adelaide'!B461))),2,IF(ISNUMBER(SEARCH("CEK:",'Onshore - Adelaide'!M461)),1,0))</f>
        <v>0</v>
      </c>
    </row>
    <row r="742" customFormat="false" ht="28.35" hidden="false" customHeight="false" outlineLevel="0" collapsed="false">
      <c r="A742" s="63" t="s">
        <v>3659</v>
      </c>
      <c r="B742" s="64" t="s">
        <v>3990</v>
      </c>
      <c r="C742" s="63" t="s">
        <v>42</v>
      </c>
      <c r="D742" s="64" t="str">
        <f aca="false">TRIM(LEFT('Onshore - Adelaide'!A6,FIND(CHAR(10),'Onshore - Adelaide'!A6&amp;CHAR(10))-1))</f>
        <v>Abbey College Australia</v>
      </c>
      <c r="E742" s="63" t="str">
        <f aca="false">'Onshore - Adelaide'!C13&amp;""</f>
        <v>2 years</v>
      </c>
      <c r="F742" s="63" t="str">
        <f aca="false">IF('Onshore - Adelaide'!D13="","Belum tercatat",'Onshore - Adelaide'!D13)</f>
        <v>Term</v>
      </c>
      <c r="G742" s="65" t="n">
        <f aca="false">IF('Onshore - Adelaide'!E13="","-",'Onshore - Adelaide'!E13)</f>
        <v>2575</v>
      </c>
      <c r="H742" s="63" t="n">
        <f aca="false">IF(ISNUMBER(K742),COUNTIFS($J$6:$J$1916,J742,$K$6:$K$1916,"&lt;"&amp;K742)+1,"-")</f>
        <v>3</v>
      </c>
      <c r="I742" s="64" t="str">
        <f aca="false">IF('Onshore - Adelaide'!E13="","Harga belum tersedia - hubungi konsultan TEG",IF(M742=2,"Saat ini tidak menerima pendaftaran siswa internasional baru",IF(M742=1,"Harga perlu dikonfirmasi ke sekolah"&amp;IF(""="","","; "&amp;""),"")))</f>
        <v/>
      </c>
      <c r="J742" s="0" t="s">
        <v>3997</v>
      </c>
      <c r="K742" s="0" t="n">
        <f aca="false">IF(M742=2,"",IF(ISNUMBER(SEARCH("rata-rata:",'Onshore - Adelaide'!M13)),VALUE(MID('Onshore - Adelaide'!M13,SEARCH("rata-rata:",'Onshore - Adelaide'!M13)+11,FIND(";",'Onshore - Adelaide'!M13&amp;";",SEARCH("rata-rata:",'Onshore - Adelaide'!M13))-SEARCH("rata-rata:",'Onshore - Adelaide'!M13)-11)),IF('Onshore - Adelaide'!D13="Semester",'Onshore - Adelaide'!E13*2,IF('Onshore - Adelaide'!D13="Trimester",'Onshore - Adelaide'!E13*3,IF('Onshore - Adelaide'!D13="Term",'Onshore - Adelaide'!E13*4,IF('Onshore - Adelaide'!D13="Unit",'Onshore - Adelaide'!E13*8,""))))))</f>
        <v>10300</v>
      </c>
      <c r="L742" s="0" t="n">
        <f aca="false">IF(AND(ISNUMBER('Onshore - Adelaide'!E13),ISNUMBER(K742),ISNUMBER('Onshore - Adelaide'!F13),ISNUMBER('Onshore - Adelaide'!G13),OR('Onshore - Adelaide'!F13&lt;&gt;0,ISNUMBER(SEARCH("Material 0 terverifikasi",'Onshore - Adelaide'!M13))),OR('Onshore - Adelaide'!G13&lt;&gt;0,ISNUMBER(SEARCH("Enrolment 0 terverifikasi",'Onshore - Adelaide'!M13)))),1,0)</f>
        <v>1</v>
      </c>
      <c r="M742" s="0" t="n">
        <f aca="false">IF(OR('Onshore - Adelaide'!E13="",ISNUMBER(SEARCH("BSB80120",'Onshore - Adelaide'!B13&amp;'Onshore - Adelaide'!M13)),ISNUMBER(SEARCH("Management (Learning)",'Onshore - Adelaide'!B13))),2,IF(ISNUMBER(SEARCH("CEK:",'Onshore - Adelaide'!M13)),1,0))</f>
        <v>0</v>
      </c>
    </row>
    <row r="743" customFormat="false" ht="28.35" hidden="false" customHeight="false" outlineLevel="0" collapsed="false">
      <c r="A743" s="63" t="s">
        <v>3659</v>
      </c>
      <c r="B743" s="64" t="s">
        <v>3990</v>
      </c>
      <c r="C743" s="63" t="s">
        <v>42</v>
      </c>
      <c r="D743" s="64" t="str">
        <f aca="false">TRIM(LEFT('Onshore - Adelaide'!A398,FIND(CHAR(10),'Onshore - Adelaide'!A398&amp;CHAR(10))-1))</f>
        <v>Australian Business &amp; Culinary Institute (ABC Institute)</v>
      </c>
      <c r="E743" s="63" t="str">
        <f aca="false">'Onshore - Adelaide'!C398&amp;""</f>
        <v>2 years</v>
      </c>
      <c r="F743" s="63" t="str">
        <f aca="false">IF('Onshore - Adelaide'!D398="","Belum tercatat",'Onshore - Adelaide'!D398)</f>
        <v>Term</v>
      </c>
      <c r="G743" s="65" t="n">
        <f aca="false">IF('Onshore - Adelaide'!E398="","-",'Onshore - Adelaide'!E398)</f>
        <v>2687.5</v>
      </c>
      <c r="H743" s="63" t="n">
        <f aca="false">IF(ISNUMBER(K743),COUNTIFS($J$6:$J$1916,J743,$K$6:$K$1916,"&lt;"&amp;K743)+1,"-")</f>
        <v>4</v>
      </c>
      <c r="I743" s="64" t="str">
        <f aca="false">IF('Onshore - Adelaide'!E398="","Harga belum tersedia - hubungi konsultan TEG",IF(M743=2,"Saat ini tidak menerima pendaftaran siswa internasional baru",IF(M743=1,"Harga perlu dikonfirmasi ke sekolah"&amp;IF(""="","","; "&amp;""),"")))</f>
        <v/>
      </c>
      <c r="J743" s="0" t="s">
        <v>3997</v>
      </c>
      <c r="K743" s="0" t="n">
        <f aca="false">IF(M743=2,"",IF(ISNUMBER(SEARCH("rata-rata:",'Onshore - Adelaide'!M398)),VALUE(MID('Onshore - Adelaide'!M398,SEARCH("rata-rata:",'Onshore - Adelaide'!M398)+11,FIND(";",'Onshore - Adelaide'!M398&amp;";",SEARCH("rata-rata:",'Onshore - Adelaide'!M398))-SEARCH("rata-rata:",'Onshore - Adelaide'!M398)-11)),IF('Onshore - Adelaide'!D398="Semester",'Onshore - Adelaide'!E398*2,IF('Onshore - Adelaide'!D398="Trimester",'Onshore - Adelaide'!E398*3,IF('Onshore - Adelaide'!D398="Term",'Onshore - Adelaide'!E398*4,IF('Onshore - Adelaide'!D398="Unit",'Onshore - Adelaide'!E398*8,""))))))</f>
        <v>10750</v>
      </c>
      <c r="L743" s="0" t="n">
        <f aca="false">IF(AND(ISNUMBER('Onshore - Adelaide'!E398),ISNUMBER(K743),ISNUMBER('Onshore - Adelaide'!F398),ISNUMBER('Onshore - Adelaide'!G398),OR('Onshore - Adelaide'!F398&lt;&gt;0,ISNUMBER(SEARCH("Material 0 terverifikasi",'Onshore - Adelaide'!M398))),OR('Onshore - Adelaide'!G398&lt;&gt;0,ISNUMBER(SEARCH("Enrolment 0 terverifikasi",'Onshore - Adelaide'!M398)))),1,0)</f>
        <v>1</v>
      </c>
      <c r="M743" s="0" t="n">
        <f aca="false">IF(OR('Onshore - Adelaide'!E398="",ISNUMBER(SEARCH("BSB80120",'Onshore - Adelaide'!B398&amp;'Onshore - Adelaide'!M398)),ISNUMBER(SEARCH("Management (Learning)",'Onshore - Adelaide'!B398))),2,IF(ISNUMBER(SEARCH("CEK:",'Onshore - Adelaide'!M398)),1,0))</f>
        <v>0</v>
      </c>
    </row>
    <row r="744" customFormat="false" ht="28.35" hidden="false" customHeight="false" outlineLevel="0" collapsed="false">
      <c r="A744" s="63" t="s">
        <v>3659</v>
      </c>
      <c r="B744" s="64" t="s">
        <v>3990</v>
      </c>
      <c r="C744" s="63" t="s">
        <v>42</v>
      </c>
      <c r="D744" s="64" t="str">
        <f aca="false">TRIM(LEFT('Onshore - Adelaide'!A542,FIND(CHAR(10),'Onshore - Adelaide'!A542&amp;CHAR(10))-1))</f>
        <v>The Centre of Excellence</v>
      </c>
      <c r="E744" s="63" t="str">
        <f aca="false">'Onshore - Adelaide'!C543&amp;""</f>
        <v>2 years</v>
      </c>
      <c r="F744" s="63" t="str">
        <f aca="false">IF('Onshore - Adelaide'!D543="","Belum tercatat",'Onshore - Adelaide'!D543)</f>
        <v>Term</v>
      </c>
      <c r="G744" s="65" t="n">
        <f aca="false">IF('Onshore - Adelaide'!E543="","-",'Onshore - Adelaide'!E543)</f>
        <v>2700</v>
      </c>
      <c r="H744" s="63" t="n">
        <f aca="false">IF(ISNUMBER(K744),COUNTIFS($J$6:$J$1916,J744,$K$6:$K$1916,"&lt;"&amp;K744)+1,"-")</f>
        <v>5</v>
      </c>
      <c r="I744" s="64" t="str">
        <f aca="false">IF('Onshore - Adelaide'!E543="","Harga belum tersedia - hubungi konsultan TEG",IF(M744=2,"Saat ini tidak menerima pendaftaran siswa internasional baru",IF(M744=1,"Harga perlu dikonfirmasi ke sekolah"&amp;IF(""="","","; "&amp;""),"")))</f>
        <v/>
      </c>
      <c r="J744" s="0" t="s">
        <v>3997</v>
      </c>
      <c r="K744" s="0" t="n">
        <f aca="false">IF(M744=2,"",IF(ISNUMBER(SEARCH("rata-rata:",'Onshore - Adelaide'!M543)),VALUE(MID('Onshore - Adelaide'!M543,SEARCH("rata-rata:",'Onshore - Adelaide'!M543)+11,FIND(";",'Onshore - Adelaide'!M543&amp;";",SEARCH("rata-rata:",'Onshore - Adelaide'!M543))-SEARCH("rata-rata:",'Onshore - Adelaide'!M543)-11)),IF('Onshore - Adelaide'!D543="Semester",'Onshore - Adelaide'!E543*2,IF('Onshore - Adelaide'!D543="Trimester",'Onshore - Adelaide'!E543*3,IF('Onshore - Adelaide'!D543="Term",'Onshore - Adelaide'!E543*4,IF('Onshore - Adelaide'!D543="Unit",'Onshore - Adelaide'!E543*8,""))))))</f>
        <v>10800</v>
      </c>
      <c r="L744" s="0" t="n">
        <f aca="false">IF(AND(ISNUMBER('Onshore - Adelaide'!E543),ISNUMBER(K744),ISNUMBER('Onshore - Adelaide'!F543),ISNUMBER('Onshore - Adelaide'!G543),OR('Onshore - Adelaide'!F543&lt;&gt;0,ISNUMBER(SEARCH("Material 0 terverifikasi",'Onshore - Adelaide'!M543))),OR('Onshore - Adelaide'!G543&lt;&gt;0,ISNUMBER(SEARCH("Enrolment 0 terverifikasi",'Onshore - Adelaide'!M543)))),1,0)</f>
        <v>1</v>
      </c>
      <c r="M744" s="0" t="n">
        <f aca="false">IF(OR('Onshore - Adelaide'!E543="",ISNUMBER(SEARCH("BSB80120",'Onshore - Adelaide'!B543&amp;'Onshore - Adelaide'!M543)),ISNUMBER(SEARCH("Management (Learning)",'Onshore - Adelaide'!B543))),2,IF(ISNUMBER(SEARCH("CEK:",'Onshore - Adelaide'!M543)),1,0))</f>
        <v>0</v>
      </c>
    </row>
    <row r="745" customFormat="false" ht="28.35" hidden="false" customHeight="false" outlineLevel="0" collapsed="false">
      <c r="A745" s="63" t="s">
        <v>3659</v>
      </c>
      <c r="B745" s="64" t="s">
        <v>3990</v>
      </c>
      <c r="C745" s="63" t="s">
        <v>42</v>
      </c>
      <c r="D745" s="64" t="str">
        <f aca="false">TRIM(LEFT('Onshore - Adelaide'!A483,FIND(CHAR(10),'Onshore - Adelaide'!A483&amp;CHAR(10))-1))</f>
        <v>Sydney City College of Management</v>
      </c>
      <c r="E745" s="63" t="str">
        <f aca="false">'Onshore - Adelaide'!C485&amp;""</f>
        <v>2 years</v>
      </c>
      <c r="F745" s="63" t="str">
        <f aca="false">IF('Onshore - Adelaide'!D485="","Belum tercatat",'Onshore - Adelaide'!D485)</f>
        <v>Term</v>
      </c>
      <c r="G745" s="65" t="n">
        <f aca="false">IF('Onshore - Adelaide'!E485="","-",'Onshore - Adelaide'!E485)</f>
        <v>3125</v>
      </c>
      <c r="H745" s="63" t="n">
        <f aca="false">IF(ISNUMBER(K745),COUNTIFS($J$6:$J$1916,J745,$K$6:$K$1916,"&lt;"&amp;K745)+1,"-")</f>
        <v>6</v>
      </c>
      <c r="I745" s="64" t="str">
        <f aca="false">IF('Onshore - Adelaide'!E485="","Harga belum tersedia - hubungi konsultan TEG",IF(M745=2,"Saat ini tidak menerima pendaftaran siswa internasional baru",IF(M745=1,"Harga perlu dikonfirmasi ke sekolah"&amp;IF(""="","","; "&amp;""),"")))</f>
        <v/>
      </c>
      <c r="J745" s="0" t="s">
        <v>3997</v>
      </c>
      <c r="K745" s="0" t="n">
        <f aca="false">IF(M745=2,"",IF(ISNUMBER(SEARCH("rata-rata:",'Onshore - Adelaide'!M485)),VALUE(MID('Onshore - Adelaide'!M485,SEARCH("rata-rata:",'Onshore - Adelaide'!M485)+11,FIND(";",'Onshore - Adelaide'!M485&amp;";",SEARCH("rata-rata:",'Onshore - Adelaide'!M485))-SEARCH("rata-rata:",'Onshore - Adelaide'!M485)-11)),IF('Onshore - Adelaide'!D485="Semester",'Onshore - Adelaide'!E485*2,IF('Onshore - Adelaide'!D485="Trimester",'Onshore - Adelaide'!E485*3,IF('Onshore - Adelaide'!D485="Term",'Onshore - Adelaide'!E485*4,IF('Onshore - Adelaide'!D485="Unit",'Onshore - Adelaide'!E485*8,""))))))</f>
        <v>12500</v>
      </c>
      <c r="L745" s="0" t="n">
        <f aca="false">IF(AND(ISNUMBER('Onshore - Adelaide'!E485),ISNUMBER(K745),ISNUMBER('Onshore - Adelaide'!F485),ISNUMBER('Onshore - Adelaide'!G485),OR('Onshore - Adelaide'!F485&lt;&gt;0,ISNUMBER(SEARCH("Material 0 terverifikasi",'Onshore - Adelaide'!M485))),OR('Onshore - Adelaide'!G485&lt;&gt;0,ISNUMBER(SEARCH("Enrolment 0 terverifikasi",'Onshore - Adelaide'!M485)))),1,0)</f>
        <v>1</v>
      </c>
      <c r="M745" s="0" t="n">
        <f aca="false">IF(OR('Onshore - Adelaide'!E485="",ISNUMBER(SEARCH("BSB80120",'Onshore - Adelaide'!B485&amp;'Onshore - Adelaide'!M485)),ISNUMBER(SEARCH("Management (Learning)",'Onshore - Adelaide'!B485))),2,IF(ISNUMBER(SEARCH("CEK:",'Onshore - Adelaide'!M485)),1,0))</f>
        <v>0</v>
      </c>
    </row>
    <row r="746" customFormat="false" ht="28.35" hidden="false" customHeight="false" outlineLevel="0" collapsed="false">
      <c r="A746" s="63" t="s">
        <v>3659</v>
      </c>
      <c r="B746" s="64" t="s">
        <v>3990</v>
      </c>
      <c r="C746" s="63" t="s">
        <v>42</v>
      </c>
      <c r="D746" s="64" t="str">
        <f aca="false">TRIM(LEFT('Onshore - Adelaide'!A381,FIND(CHAR(10),'Onshore - Adelaide'!A381&amp;CHAR(10))-1))</f>
        <v>Alliance College</v>
      </c>
      <c r="E746" s="63" t="str">
        <f aca="false">'Onshore - Adelaide'!C393&amp;""</f>
        <v>2 years</v>
      </c>
      <c r="F746" s="63" t="str">
        <f aca="false">IF('Onshore - Adelaide'!D393="","Belum tercatat",'Onshore - Adelaide'!D393)</f>
        <v>Term</v>
      </c>
      <c r="G746" s="65" t="n">
        <f aca="false">IF('Onshore - Adelaide'!E393="","-",'Onshore - Adelaide'!E393)</f>
        <v>3640</v>
      </c>
      <c r="H746" s="63" t="n">
        <f aca="false">IF(ISNUMBER(K746),COUNTIFS($J$6:$J$1916,J746,$K$6:$K$1916,"&lt;"&amp;K746)+1,"-")</f>
        <v>7</v>
      </c>
      <c r="I746" s="64" t="str">
        <f aca="false">IF('Onshore - Adelaide'!E393="","Harga belum tersedia - hubungi konsultan TEG",IF(M746=2,"Saat ini tidak menerima pendaftaran siswa internasional baru",IF(M746=1,"Harga perlu dikonfirmasi ke sekolah"&amp;IF(""="","","; "&amp;""),"")))</f>
        <v/>
      </c>
      <c r="J746" s="0" t="s">
        <v>3997</v>
      </c>
      <c r="K746" s="0" t="n">
        <f aca="false">IF(M746=2,"",IF(ISNUMBER(SEARCH("rata-rata:",'Onshore - Adelaide'!M393)),VALUE(MID('Onshore - Adelaide'!M393,SEARCH("rata-rata:",'Onshore - Adelaide'!M393)+11,FIND(";",'Onshore - Adelaide'!M393&amp;";",SEARCH("rata-rata:",'Onshore - Adelaide'!M393))-SEARCH("rata-rata:",'Onshore - Adelaide'!M393)-11)),IF('Onshore - Adelaide'!D393="Semester",'Onshore - Adelaide'!E393*2,IF('Onshore - Adelaide'!D393="Trimester",'Onshore - Adelaide'!E393*3,IF('Onshore - Adelaide'!D393="Term",'Onshore - Adelaide'!E393*4,IF('Onshore - Adelaide'!D393="Unit",'Onshore - Adelaide'!E393*8,""))))))</f>
        <v>14560</v>
      </c>
      <c r="L746" s="0" t="n">
        <f aca="false">IF(AND(ISNUMBER('Onshore - Adelaide'!E393),ISNUMBER(K746),ISNUMBER('Onshore - Adelaide'!F393),ISNUMBER('Onshore - Adelaide'!G393),OR('Onshore - Adelaide'!F393&lt;&gt;0,ISNUMBER(SEARCH("Material 0 terverifikasi",'Onshore - Adelaide'!M393))),OR('Onshore - Adelaide'!G393&lt;&gt;0,ISNUMBER(SEARCH("Enrolment 0 terverifikasi",'Onshore - Adelaide'!M393)))),1,0)</f>
        <v>1</v>
      </c>
      <c r="M746" s="0" t="n">
        <f aca="false">IF(OR('Onshore - Adelaide'!E393="",ISNUMBER(SEARCH("BSB80120",'Onshore - Adelaide'!B393&amp;'Onshore - Adelaide'!M393)),ISNUMBER(SEARCH("Management (Learning)",'Onshore - Adelaide'!B393))),2,IF(ISNUMBER(SEARCH("CEK:",'Onshore - Adelaide'!M393)),1,0))</f>
        <v>0</v>
      </c>
    </row>
    <row r="747" customFormat="false" ht="28.35" hidden="false" customHeight="false" outlineLevel="0" collapsed="false">
      <c r="A747" s="63" t="s">
        <v>3659</v>
      </c>
      <c r="B747" s="64" t="s">
        <v>3990</v>
      </c>
      <c r="C747" s="63" t="s">
        <v>42</v>
      </c>
      <c r="D747" s="64" t="str">
        <f aca="false">TRIM(LEFT('Onshore - Adelaide'!A474,FIND(CHAR(10),'Onshore - Adelaide'!A474&amp;CHAR(10))-1))</f>
        <v>Signet Institute of Australia</v>
      </c>
      <c r="E747" s="63" t="str">
        <f aca="false">'Onshore - Adelaide'!C479&amp;""</f>
        <v>5 years</v>
      </c>
      <c r="F747" s="63" t="str">
        <f aca="false">IF('Onshore - Adelaide'!D479="","Belum tercatat",'Onshore - Adelaide'!D479)</f>
        <v>Term</v>
      </c>
      <c r="G747" s="65" t="n">
        <f aca="false">IF('Onshore - Adelaide'!E479="","-",'Onshore - Adelaide'!E479)</f>
        <v>3800</v>
      </c>
      <c r="H747" s="63" t="n">
        <f aca="false">IF(ISNUMBER(K747),COUNTIFS($J$6:$J$1916,J747,$K$6:$K$1916,"&lt;"&amp;K747)+1,"-")</f>
        <v>8</v>
      </c>
      <c r="I747" s="64" t="str">
        <f aca="false">IF('Onshore - Adelaide'!E479="","Harga belum tersedia - hubungi konsultan TEG",IF(M747=2,"Saat ini tidak menerima pendaftaran siswa internasional baru",IF(M747=1,"Harga perlu dikonfirmasi ke sekolah"&amp;IF(""="","","; "&amp;""),"")))</f>
        <v/>
      </c>
      <c r="J747" s="0" t="s">
        <v>3997</v>
      </c>
      <c r="K747" s="0" t="n">
        <f aca="false">IF(M747=2,"",IF(ISNUMBER(SEARCH("rata-rata:",'Onshore - Adelaide'!M479)),VALUE(MID('Onshore - Adelaide'!M479,SEARCH("rata-rata:",'Onshore - Adelaide'!M479)+11,FIND(";",'Onshore - Adelaide'!M479&amp;";",SEARCH("rata-rata:",'Onshore - Adelaide'!M479))-SEARCH("rata-rata:",'Onshore - Adelaide'!M479)-11)),IF('Onshore - Adelaide'!D479="Semester",'Onshore - Adelaide'!E479*2,IF('Onshore - Adelaide'!D479="Trimester",'Onshore - Adelaide'!E479*3,IF('Onshore - Adelaide'!D479="Term",'Onshore - Adelaide'!E479*4,IF('Onshore - Adelaide'!D479="Unit",'Onshore - Adelaide'!E479*8,""))))))</f>
        <v>15200</v>
      </c>
      <c r="L747" s="0" t="n">
        <f aca="false">IF(AND(ISNUMBER('Onshore - Adelaide'!E479),ISNUMBER(K747),ISNUMBER('Onshore - Adelaide'!F479),ISNUMBER('Onshore - Adelaide'!G479),OR('Onshore - Adelaide'!F479&lt;&gt;0,ISNUMBER(SEARCH("Material 0 terverifikasi",'Onshore - Adelaide'!M479))),OR('Onshore - Adelaide'!G479&lt;&gt;0,ISNUMBER(SEARCH("Enrolment 0 terverifikasi",'Onshore - Adelaide'!M479)))),1,0)</f>
        <v>0</v>
      </c>
      <c r="M747" s="0" t="n">
        <f aca="false">IF(OR('Onshore - Adelaide'!E479="",ISNUMBER(SEARCH("BSB80120",'Onshore - Adelaide'!B479&amp;'Onshore - Adelaide'!M479)),ISNUMBER(SEARCH("Management (Learning)",'Onshore - Adelaide'!B479))),2,IF(ISNUMBER(SEARCH("CEK:",'Onshore - Adelaide'!M479)),1,0))</f>
        <v>0</v>
      </c>
    </row>
    <row r="748" customFormat="false" ht="28.35" hidden="false" customHeight="false" outlineLevel="0" collapsed="false">
      <c r="A748" s="63" t="s">
        <v>3659</v>
      </c>
      <c r="B748" s="64" t="s">
        <v>3990</v>
      </c>
      <c r="C748" s="63" t="s">
        <v>42</v>
      </c>
      <c r="D748" s="64" t="str">
        <f aca="false">TRIM(LEFT('Onshore - Adelaide'!A487,FIND(CHAR(10),'Onshore - Adelaide'!A487&amp;CHAR(10))-1))</f>
        <v>TAFE SA</v>
      </c>
      <c r="E748" s="63" t="str">
        <f aca="false">'Onshore - Adelaide'!C498&amp;""</f>
        <v>2 years</v>
      </c>
      <c r="F748" s="63" t="str">
        <f aca="false">IF('Onshore - Adelaide'!D498="","Belum tercatat",'Onshore - Adelaide'!D498)</f>
        <v>Semester</v>
      </c>
      <c r="G748" s="65" t="n">
        <f aca="false">IF('Onshore - Adelaide'!E498="","-",'Onshore - Adelaide'!E498)</f>
        <v>10720</v>
      </c>
      <c r="H748" s="63" t="n">
        <f aca="false">IF(ISNUMBER(K748),COUNTIFS($J$6:$J$1916,J748,$K$6:$K$1916,"&lt;"&amp;K748)+1,"-")</f>
        <v>9</v>
      </c>
      <c r="I748" s="64" t="str">
        <f aca="false">IF('Onshore - Adelaide'!E498="","Harga belum tersedia - hubungi konsultan TEG",IF(M748=2,"Saat ini tidak menerima pendaftaran siswa internasional baru",IF(M748=1,"Harga perlu dikonfirmasi ke sekolah"&amp;IF(""="","","; "&amp;""),"")))</f>
        <v/>
      </c>
      <c r="J748" s="0" t="s">
        <v>3997</v>
      </c>
      <c r="K748" s="0" t="n">
        <f aca="false">IF(M748=2,"",IF(ISNUMBER(SEARCH("rata-rata:",'Onshore - Adelaide'!M498)),VALUE(MID('Onshore - Adelaide'!M498,SEARCH("rata-rata:",'Onshore - Adelaide'!M498)+11,FIND(";",'Onshore - Adelaide'!M498&amp;";",SEARCH("rata-rata:",'Onshore - Adelaide'!M498))-SEARCH("rata-rata:",'Onshore - Adelaide'!M498)-11)),IF('Onshore - Adelaide'!D498="Semester",'Onshore - Adelaide'!E498*2,IF('Onshore - Adelaide'!D498="Trimester",'Onshore - Adelaide'!E498*3,IF('Onshore - Adelaide'!D498="Term",'Onshore - Adelaide'!E498*4,IF('Onshore - Adelaide'!D498="Unit",'Onshore - Adelaide'!E498*8,""))))))</f>
        <v>21440</v>
      </c>
      <c r="L748" s="0" t="n">
        <f aca="false">IF(AND(ISNUMBER('Onshore - Adelaide'!E498),ISNUMBER(K748),ISNUMBER('Onshore - Adelaide'!F498),ISNUMBER('Onshore - Adelaide'!G498),OR('Onshore - Adelaide'!F498&lt;&gt;0,ISNUMBER(SEARCH("Material 0 terverifikasi",'Onshore - Adelaide'!M498))),OR('Onshore - Adelaide'!G498&lt;&gt;0,ISNUMBER(SEARCH("Enrolment 0 terverifikasi",'Onshore - Adelaide'!M498)))),1,0)</f>
        <v>0</v>
      </c>
      <c r="M748" s="0" t="n">
        <f aca="false">IF(OR('Onshore - Adelaide'!E498="",ISNUMBER(SEARCH("BSB80120",'Onshore - Adelaide'!B498&amp;'Onshore - Adelaide'!M498)),ISNUMBER(SEARCH("Management (Learning)",'Onshore - Adelaide'!B498))),2,IF(ISNUMBER(SEARCH("CEK:",'Onshore - Adelaide'!M498)),1,0))</f>
        <v>0</v>
      </c>
    </row>
    <row r="749" customFormat="false" ht="15" hidden="false" customHeight="false" outlineLevel="0" collapsed="false">
      <c r="A749" s="61" t="s">
        <v>3998</v>
      </c>
      <c r="B749" s="62"/>
      <c r="C749" s="62"/>
      <c r="D749" s="62"/>
      <c r="E749" s="62"/>
      <c r="F749" s="62"/>
      <c r="G749" s="62"/>
      <c r="H749" s="62"/>
      <c r="I749" s="62"/>
    </row>
    <row r="750" customFormat="false" ht="28.35" hidden="false" customHeight="false" outlineLevel="0" collapsed="false">
      <c r="A750" s="63" t="s">
        <v>3659</v>
      </c>
      <c r="B750" s="64" t="s">
        <v>3990</v>
      </c>
      <c r="C750" s="63" t="s">
        <v>43</v>
      </c>
      <c r="D750" s="64" t="str">
        <f aca="false">TRIM(LEFT('Onshore - Adelaide'!A15,FIND(CHAR(10),'Onshore - Adelaide'!A15&amp;CHAR(10))-1))</f>
        <v>Adelaide University</v>
      </c>
      <c r="E750" s="63" t="str">
        <f aca="false">'Onshore - Adelaide'!C48&amp;""</f>
        <v>4 years</v>
      </c>
      <c r="F750" s="63" t="str">
        <f aca="false">IF('Onshore - Adelaide'!D48="","Belum tercatat",'Onshore - Adelaide'!D48)</f>
        <v>Term</v>
      </c>
      <c r="G750" s="65" t="n">
        <f aca="false">IF('Onshore - Adelaide'!E48="","-",'Onshore - Adelaide'!E48)</f>
        <v>12150</v>
      </c>
      <c r="H750" s="63" t="n">
        <f aca="false">IF(ISNUMBER(K750),COUNTIFS($J$6:$J$1916,J750,$K$6:$K$1916,"&lt;"&amp;K750)+1,"-")</f>
        <v>1</v>
      </c>
      <c r="I750" s="64" t="str">
        <f aca="false">IF('Onshore - Adelaide'!E48="","Harga belum tersedia - hubungi konsultan TEG",IF(M750=2,"Saat ini tidak menerima pendaftaran siswa internasional baru",IF(M750=1,"Harga perlu dikonfirmasi ke sekolah"&amp;IF(""="","","; "&amp;""),"")))</f>
        <v/>
      </c>
      <c r="J750" s="0" t="s">
        <v>3999</v>
      </c>
      <c r="K750" s="0" t="n">
        <f aca="false">IF(M750=2,"",IF(ISNUMBER(SEARCH("rata-rata:",'Onshore - Adelaide'!M48)),VALUE(MID('Onshore - Adelaide'!M48,SEARCH("rata-rata:",'Onshore - Adelaide'!M48)+11,FIND(";",'Onshore - Adelaide'!M48&amp;";",SEARCH("rata-rata:",'Onshore - Adelaide'!M48))-SEARCH("rata-rata:",'Onshore - Adelaide'!M48)-11)),IF('Onshore - Adelaide'!D48="Semester",'Onshore - Adelaide'!E48*2,IF('Onshore - Adelaide'!D48="Trimester",'Onshore - Adelaide'!E48*3,IF('Onshore - Adelaide'!D48="Term",'Onshore - Adelaide'!E48*4,IF('Onshore - Adelaide'!D48="Unit",'Onshore - Adelaide'!E48*8,""))))))</f>
        <v>48600</v>
      </c>
      <c r="L750" s="0" t="n">
        <f aca="false">IF(AND(ISNUMBER('Onshore - Adelaide'!E48),ISNUMBER(K750),ISNUMBER('Onshore - Adelaide'!F48),ISNUMBER('Onshore - Adelaide'!G48),OR('Onshore - Adelaide'!F48&lt;&gt;0,ISNUMBER(SEARCH("Material 0 terverifikasi",'Onshore - Adelaide'!M48))),OR('Onshore - Adelaide'!G48&lt;&gt;0,ISNUMBER(SEARCH("Enrolment 0 terverifikasi",'Onshore - Adelaide'!M48)))),1,0)</f>
        <v>0</v>
      </c>
      <c r="M750" s="0" t="n">
        <f aca="false">IF(OR('Onshore - Adelaide'!E48="",ISNUMBER(SEARCH("BSB80120",'Onshore - Adelaide'!B48&amp;'Onshore - Adelaide'!M48)),ISNUMBER(SEARCH("Management (Learning)",'Onshore - Adelaide'!B48))),2,IF(ISNUMBER(SEARCH("CEK:",'Onshore - Adelaide'!M48)),1,0))</f>
        <v>0</v>
      </c>
    </row>
    <row r="751" customFormat="false" ht="15" hidden="false" customHeight="false" outlineLevel="0" collapsed="false">
      <c r="A751" s="61" t="s">
        <v>4000</v>
      </c>
      <c r="B751" s="62"/>
      <c r="C751" s="62"/>
      <c r="D751" s="62"/>
      <c r="E751" s="62"/>
      <c r="F751" s="62"/>
      <c r="G751" s="62"/>
      <c r="H751" s="62"/>
      <c r="I751" s="62"/>
    </row>
    <row r="752" customFormat="false" ht="28.35" hidden="false" customHeight="false" outlineLevel="0" collapsed="false">
      <c r="A752" s="63" t="s">
        <v>3659</v>
      </c>
      <c r="B752" s="64" t="s">
        <v>3990</v>
      </c>
      <c r="C752" s="63" t="s">
        <v>46</v>
      </c>
      <c r="D752" s="64" t="str">
        <f aca="false">TRIM(LEFT('Onshore - Adelaide'!A545,FIND(CHAR(10),'Onshore - Adelaide'!A545&amp;CHAR(10))-1))</f>
        <v>Torrens University Australia</v>
      </c>
      <c r="E752" s="63" t="str">
        <f aca="false">'Onshore - Adelaide'!C567&amp;""</f>
        <v>2 years</v>
      </c>
      <c r="F752" s="63" t="str">
        <f aca="false">IF('Onshore - Adelaide'!D567="","Belum tercatat",'Onshore - Adelaide'!D567)</f>
        <v>Term</v>
      </c>
      <c r="G752" s="65" t="n">
        <f aca="false">IF('Onshore - Adelaide'!E567="","-",'Onshore - Adelaide'!E567)</f>
        <v>9000</v>
      </c>
      <c r="H752" s="63" t="n">
        <f aca="false">IF(ISNUMBER(K752),COUNTIFS($J$6:$J$1916,J752,$K$6:$K$1916,"&lt;"&amp;K752)+1,"-")</f>
        <v>1</v>
      </c>
      <c r="I752" s="64" t="str">
        <f aca="false">IF('Onshore - Adelaide'!E567="","Harga belum tersedia - hubungi konsultan TEG",IF(M752=2,"Saat ini tidak menerima pendaftaran siswa internasional baru",IF(M752=1,"Harga perlu dikonfirmasi ke sekolah"&amp;IF(""="","","; "&amp;""),"")))</f>
        <v/>
      </c>
      <c r="J752" s="0" t="s">
        <v>4001</v>
      </c>
      <c r="K752" s="0" t="n">
        <f aca="false">IF(M752=2,"",IF(ISNUMBER(SEARCH("rata-rata:",'Onshore - Adelaide'!M567)),VALUE(MID('Onshore - Adelaide'!M567,SEARCH("rata-rata:",'Onshore - Adelaide'!M567)+11,FIND(";",'Onshore - Adelaide'!M567&amp;";",SEARCH("rata-rata:",'Onshore - Adelaide'!M567))-SEARCH("rata-rata:",'Onshore - Adelaide'!M567)-11)),IF('Onshore - Adelaide'!D567="Semester",'Onshore - Adelaide'!E567*2,IF('Onshore - Adelaide'!D567="Trimester",'Onshore - Adelaide'!E567*3,IF('Onshore - Adelaide'!D567="Term",'Onshore - Adelaide'!E567*4,IF('Onshore - Adelaide'!D567="Unit",'Onshore - Adelaide'!E567*8,""))))))</f>
        <v>36000</v>
      </c>
      <c r="L752" s="0" t="n">
        <f aca="false">IF(AND(ISNUMBER('Onshore - Adelaide'!E567),ISNUMBER(K752),ISNUMBER('Onshore - Adelaide'!F567),ISNUMBER('Onshore - Adelaide'!G567),OR('Onshore - Adelaide'!F567&lt;&gt;0,ISNUMBER(SEARCH("Material 0 terverifikasi",'Onshore - Adelaide'!M567))),OR('Onshore - Adelaide'!G567&lt;&gt;0,ISNUMBER(SEARCH("Enrolment 0 terverifikasi",'Onshore - Adelaide'!M567)))),1,0)</f>
        <v>0</v>
      </c>
      <c r="M752" s="0" t="n">
        <f aca="false">IF(OR('Onshore - Adelaide'!E567="",ISNUMBER(SEARCH("BSB80120",'Onshore - Adelaide'!B567&amp;'Onshore - Adelaide'!M567)),ISNUMBER(SEARCH("Management (Learning)",'Onshore - Adelaide'!B567))),2,IF(ISNUMBER(SEARCH("CEK:",'Onshore - Adelaide'!M567)),1,0))</f>
        <v>0</v>
      </c>
    </row>
    <row r="753" customFormat="false" ht="28.35" hidden="false" customHeight="false" outlineLevel="0" collapsed="false">
      <c r="A753" s="63" t="s">
        <v>3659</v>
      </c>
      <c r="B753" s="64" t="s">
        <v>3990</v>
      </c>
      <c r="C753" s="63" t="s">
        <v>46</v>
      </c>
      <c r="D753" s="64" t="str">
        <f aca="false">TRIM(LEFT('Onshore - Adelaide'!A15,FIND(CHAR(10),'Onshore - Adelaide'!A15&amp;CHAR(10))-1))</f>
        <v>Adelaide University</v>
      </c>
      <c r="E753" s="63" t="str">
        <f aca="false">'Onshore - Adelaide'!C292&amp;""</f>
        <v>2 years</v>
      </c>
      <c r="F753" s="63" t="str">
        <f aca="false">IF('Onshore - Adelaide'!D292="","Belum tercatat",'Onshore - Adelaide'!D292)</f>
        <v>Term</v>
      </c>
      <c r="G753" s="65" t="n">
        <f aca="false">IF('Onshore - Adelaide'!E292="","-",'Onshore - Adelaide'!E292)</f>
        <v>12150</v>
      </c>
      <c r="H753" s="63" t="n">
        <f aca="false">IF(ISNUMBER(K753),COUNTIFS($J$6:$J$1916,J753,$K$6:$K$1916,"&lt;"&amp;K753)+1,"-")</f>
        <v>2</v>
      </c>
      <c r="I753" s="64" t="str">
        <f aca="false">IF('Onshore - Adelaide'!E292="","Harga belum tersedia - hubungi konsultan TEG",IF(M753=2,"Saat ini tidak menerima pendaftaran siswa internasional baru",IF(M753=1,"Harga perlu dikonfirmasi ke sekolah"&amp;IF(""="","","; "&amp;""),"")))</f>
        <v/>
      </c>
      <c r="J753" s="0" t="s">
        <v>4001</v>
      </c>
      <c r="K753" s="0" t="n">
        <f aca="false">IF(M753=2,"",IF(ISNUMBER(SEARCH("rata-rata:",'Onshore - Adelaide'!M292)),VALUE(MID('Onshore - Adelaide'!M292,SEARCH("rata-rata:",'Onshore - Adelaide'!M292)+11,FIND(";",'Onshore - Adelaide'!M292&amp;";",SEARCH("rata-rata:",'Onshore - Adelaide'!M292))-SEARCH("rata-rata:",'Onshore - Adelaide'!M292)-11)),IF('Onshore - Adelaide'!D292="Semester",'Onshore - Adelaide'!E292*2,IF('Onshore - Adelaide'!D292="Trimester",'Onshore - Adelaide'!E292*3,IF('Onshore - Adelaide'!D292="Term",'Onshore - Adelaide'!E292*4,IF('Onshore - Adelaide'!D292="Unit",'Onshore - Adelaide'!E292*8,""))))))</f>
        <v>48600</v>
      </c>
      <c r="L753" s="0" t="n">
        <f aca="false">IF(AND(ISNUMBER('Onshore - Adelaide'!E292),ISNUMBER(K753),ISNUMBER('Onshore - Adelaide'!F292),ISNUMBER('Onshore - Adelaide'!G292),OR('Onshore - Adelaide'!F292&lt;&gt;0,ISNUMBER(SEARCH("Material 0 terverifikasi",'Onshore - Adelaide'!M292))),OR('Onshore - Adelaide'!G292&lt;&gt;0,ISNUMBER(SEARCH("Enrolment 0 terverifikasi",'Onshore - Adelaide'!M292)))),1,0)</f>
        <v>0</v>
      </c>
      <c r="M753" s="0" t="n">
        <f aca="false">IF(OR('Onshore - Adelaide'!E292="",ISNUMBER(SEARCH("BSB80120",'Onshore - Adelaide'!B292&amp;'Onshore - Adelaide'!M292)),ISNUMBER(SEARCH("Management (Learning)",'Onshore - Adelaide'!B292))),2,IF(ISNUMBER(SEARCH("CEK:",'Onshore - Adelaide'!M292)),1,0))</f>
        <v>0</v>
      </c>
    </row>
    <row r="754" customFormat="false" ht="15" hidden="false" customHeight="false" outlineLevel="0" collapsed="false">
      <c r="A754" s="61" t="s">
        <v>4002</v>
      </c>
      <c r="B754" s="62"/>
      <c r="C754" s="62"/>
      <c r="D754" s="62"/>
      <c r="E754" s="62"/>
      <c r="F754" s="62"/>
      <c r="G754" s="62"/>
      <c r="H754" s="62"/>
      <c r="I754" s="62"/>
    </row>
    <row r="755" customFormat="false" ht="28.35" hidden="false" customHeight="false" outlineLevel="0" collapsed="false">
      <c r="A755" s="63" t="s">
        <v>3563</v>
      </c>
      <c r="B755" s="64" t="s">
        <v>3990</v>
      </c>
      <c r="C755" s="63" t="s">
        <v>39</v>
      </c>
      <c r="D755" s="64" t="str">
        <f aca="false">TRIM(LEFT('Onshore - Brisbane'!A191,FIND(CHAR(10),'Onshore - Brisbane'!A191&amp;CHAR(10))-1))</f>
        <v>Everthought College of Construction</v>
      </c>
      <c r="E755" s="63" t="str">
        <f aca="false">'Onshore - Brisbane'!C192&amp;""</f>
        <v>1,5 years</v>
      </c>
      <c r="F755" s="63" t="str">
        <f aca="false">IF('Onshore - Brisbane'!D192="","Belum tercatat",'Onshore - Brisbane'!D192)</f>
        <v>Term</v>
      </c>
      <c r="G755" s="65" t="n">
        <f aca="false">IF('Onshore - Brisbane'!E192="","-",'Onshore - Brisbane'!E192)</f>
        <v>2083</v>
      </c>
      <c r="H755" s="63" t="n">
        <f aca="false">IF(ISNUMBER(K755),COUNTIFS($J$6:$J$1916,J755,$K$6:$K$1916,"&lt;"&amp;K755)+1,"-")</f>
        <v>1</v>
      </c>
      <c r="I755" s="64" t="str">
        <f aca="false">IF('Onshore - Brisbane'!E192="","Harga belum tersedia - hubungi konsultan TEG",IF(M755=2,"Saat ini tidak menerima pendaftaran siswa internasional baru",IF(M755=1,"Harga perlu dikonfirmasi ke sekolah"&amp;IF(""="","","; "&amp;""),"")))</f>
        <v/>
      </c>
      <c r="J755" s="0" t="s">
        <v>4003</v>
      </c>
      <c r="K755" s="0" t="n">
        <f aca="false">IF(M755=2,"",IF(ISNUMBER(SEARCH("rata-rata:",'Onshore - Brisbane'!M192)),VALUE(MID('Onshore - Brisbane'!M192,SEARCH("rata-rata:",'Onshore - Brisbane'!M192)+11,FIND(";",'Onshore - Brisbane'!M192&amp;";",SEARCH("rata-rata:",'Onshore - Brisbane'!M192))-SEARCH("rata-rata:",'Onshore - Brisbane'!M192)-11)),IF('Onshore - Brisbane'!D192="Semester",'Onshore - Brisbane'!E192*2,IF('Onshore - Brisbane'!D192="Trimester",'Onshore - Brisbane'!E192*3,IF('Onshore - Brisbane'!D192="Term",'Onshore - Brisbane'!E192*4,IF('Onshore - Brisbane'!D192="Unit",'Onshore - Brisbane'!E192*8,""))))))</f>
        <v>8332</v>
      </c>
      <c r="L755" s="0" t="n">
        <f aca="false">IF(AND(ISNUMBER('Onshore - Brisbane'!E192),ISNUMBER(K755),ISNUMBER('Onshore - Brisbane'!F192),ISNUMBER('Onshore - Brisbane'!G192),OR('Onshore - Brisbane'!F192&lt;&gt;0,ISNUMBER(SEARCH("Material 0 terverifikasi",'Onshore - Brisbane'!M192))),OR('Onshore - Brisbane'!G192&lt;&gt;0,ISNUMBER(SEARCH("Enrolment 0 terverifikasi",'Onshore - Brisbane'!M192)))),1,0)</f>
        <v>1</v>
      </c>
      <c r="M755" s="0" t="n">
        <f aca="false">IF(OR('Onshore - Brisbane'!E192="",ISNUMBER(SEARCH("BSB80120",'Onshore - Brisbane'!B192&amp;'Onshore - Brisbane'!M192)),ISNUMBER(SEARCH("Management (Learning)",'Onshore - Brisbane'!B192))),2,IF(ISNUMBER(SEARCH("CEK:",'Onshore - Brisbane'!M192)),1,0))</f>
        <v>0</v>
      </c>
    </row>
    <row r="756" customFormat="false" ht="15" hidden="false" customHeight="false" outlineLevel="0" collapsed="false">
      <c r="A756" s="61" t="s">
        <v>4004</v>
      </c>
      <c r="B756" s="62"/>
      <c r="C756" s="62"/>
      <c r="D756" s="62"/>
      <c r="E756" s="62"/>
      <c r="F756" s="62"/>
      <c r="G756" s="62"/>
      <c r="H756" s="62"/>
      <c r="I756" s="62"/>
    </row>
    <row r="757" customFormat="false" ht="28.35" hidden="false" customHeight="false" outlineLevel="0" collapsed="false">
      <c r="A757" s="63" t="s">
        <v>3563</v>
      </c>
      <c r="B757" s="64" t="s">
        <v>3990</v>
      </c>
      <c r="C757" s="63" t="s">
        <v>40</v>
      </c>
      <c r="D757" s="64" t="str">
        <f aca="false">TRIM(LEFT('Onshore - Brisbane'!A191,FIND(CHAR(10),'Onshore - Brisbane'!A191&amp;CHAR(10))-1))</f>
        <v>Everthought College of Construction</v>
      </c>
      <c r="E757" s="63" t="str">
        <f aca="false">'Onshore - Brisbane'!C198&amp;""</f>
        <v>2,5 years</v>
      </c>
      <c r="F757" s="63" t="str">
        <f aca="false">IF('Onshore - Brisbane'!D198="","Belum tercatat",'Onshore - Brisbane'!D198)</f>
        <v>Term</v>
      </c>
      <c r="G757" s="65" t="n">
        <f aca="false">IF('Onshore - Brisbane'!E198="","-",'Onshore - Brisbane'!E198)</f>
        <v>2083</v>
      </c>
      <c r="H757" s="63" t="n">
        <f aca="false">IF(ISNUMBER(K757),COUNTIFS($J$6:$J$1916,J757,$K$6:$K$1916,"&lt;"&amp;K757)+1,"-")</f>
        <v>1</v>
      </c>
      <c r="I757" s="64" t="str">
        <f aca="false">IF('Onshore - Brisbane'!E198="","Harga belum tersedia - hubungi konsultan TEG",IF(M757=2,"Saat ini tidak menerima pendaftaran siswa internasional baru",IF(M757=1,"Harga perlu dikonfirmasi ke sekolah"&amp;IF(""="","","; "&amp;""),"")))</f>
        <v/>
      </c>
      <c r="J757" s="0" t="s">
        <v>4005</v>
      </c>
      <c r="K757" s="0" t="n">
        <f aca="false">IF(M757=2,"",IF(ISNUMBER(SEARCH("rata-rata:",'Onshore - Brisbane'!M198)),VALUE(MID('Onshore - Brisbane'!M198,SEARCH("rata-rata:",'Onshore - Brisbane'!M198)+11,FIND(";",'Onshore - Brisbane'!M198&amp;";",SEARCH("rata-rata:",'Onshore - Brisbane'!M198))-SEARCH("rata-rata:",'Onshore - Brisbane'!M198)-11)),IF('Onshore - Brisbane'!D198="Semester",'Onshore - Brisbane'!E198*2,IF('Onshore - Brisbane'!D198="Trimester",'Onshore - Brisbane'!E198*3,IF('Onshore - Brisbane'!D198="Term",'Onshore - Brisbane'!E198*4,IF('Onshore - Brisbane'!D198="Unit",'Onshore - Brisbane'!E198*8,""))))))</f>
        <v>8332</v>
      </c>
      <c r="L757" s="0" t="n">
        <f aca="false">IF(AND(ISNUMBER('Onshore - Brisbane'!E198),ISNUMBER(K757),ISNUMBER('Onshore - Brisbane'!F198),ISNUMBER('Onshore - Brisbane'!G198),OR('Onshore - Brisbane'!F198&lt;&gt;0,ISNUMBER(SEARCH("Material 0 terverifikasi",'Onshore - Brisbane'!M198))),OR('Onshore - Brisbane'!G198&lt;&gt;0,ISNUMBER(SEARCH("Enrolment 0 terverifikasi",'Onshore - Brisbane'!M198)))),1,0)</f>
        <v>1</v>
      </c>
      <c r="M757" s="0" t="n">
        <f aca="false">IF(OR('Onshore - Brisbane'!E198="",ISNUMBER(SEARCH("BSB80120",'Onshore - Brisbane'!B198&amp;'Onshore - Brisbane'!M198)),ISNUMBER(SEARCH("Management (Learning)",'Onshore - Brisbane'!B198))),2,IF(ISNUMBER(SEARCH("CEK:",'Onshore - Brisbane'!M198)),1,0))</f>
        <v>0</v>
      </c>
    </row>
    <row r="758" customFormat="false" ht="15" hidden="false" customHeight="false" outlineLevel="0" collapsed="false">
      <c r="A758" s="61" t="s">
        <v>4006</v>
      </c>
      <c r="B758" s="62"/>
      <c r="C758" s="62"/>
      <c r="D758" s="62"/>
      <c r="E758" s="62"/>
      <c r="F758" s="62"/>
      <c r="G758" s="62"/>
      <c r="H758" s="62"/>
      <c r="I758" s="62"/>
    </row>
    <row r="759" customFormat="false" ht="28.35" hidden="false" customHeight="false" outlineLevel="0" collapsed="false">
      <c r="A759" s="63" t="s">
        <v>3563</v>
      </c>
      <c r="B759" s="64" t="s">
        <v>3990</v>
      </c>
      <c r="C759" s="63" t="s">
        <v>41</v>
      </c>
      <c r="D759" s="64" t="str">
        <f aca="false">TRIM(LEFT('Onshore - Brisbane'!A191,FIND(CHAR(10),'Onshore - Brisbane'!A191&amp;CHAR(10))-1))</f>
        <v>Everthought College of Construction</v>
      </c>
      <c r="E759" s="63" t="str">
        <f aca="false">'Onshore - Brisbane'!C200&amp;""</f>
        <v>2,5 years</v>
      </c>
      <c r="F759" s="63" t="str">
        <f aca="false">IF('Onshore - Brisbane'!D200="","Belum tercatat",'Onshore - Brisbane'!D200)</f>
        <v>Term</v>
      </c>
      <c r="G759" s="65" t="n">
        <f aca="false">IF('Onshore - Brisbane'!E200="","-",'Onshore - Brisbane'!E200)</f>
        <v>2083</v>
      </c>
      <c r="H759" s="63" t="n">
        <f aca="false">IF(ISNUMBER(K759),COUNTIFS($J$6:$J$1916,J759,$K$6:$K$1916,"&lt;"&amp;K759)+1,"-")</f>
        <v>1</v>
      </c>
      <c r="I759" s="64" t="str">
        <f aca="false">IF('Onshore - Brisbane'!E200="","Harga belum tersedia - hubungi konsultan TEG",IF(M759=2,"Saat ini tidak menerima pendaftaran siswa internasional baru",IF(M759=1,"Harga perlu dikonfirmasi ke sekolah"&amp;IF(""="","","; "&amp;""),"")))</f>
        <v/>
      </c>
      <c r="J759" s="0" t="s">
        <v>4007</v>
      </c>
      <c r="K759" s="0" t="n">
        <f aca="false">IF(M759=2,"",IF(ISNUMBER(SEARCH("rata-rata:",'Onshore - Brisbane'!M200)),VALUE(MID('Onshore - Brisbane'!M200,SEARCH("rata-rata:",'Onshore - Brisbane'!M200)+11,FIND(";",'Onshore - Brisbane'!M200&amp;";",SEARCH("rata-rata:",'Onshore - Brisbane'!M200))-SEARCH("rata-rata:",'Onshore - Brisbane'!M200)-11)),IF('Onshore - Brisbane'!D200="Semester",'Onshore - Brisbane'!E200*2,IF('Onshore - Brisbane'!D200="Trimester",'Onshore - Brisbane'!E200*3,IF('Onshore - Brisbane'!D200="Term",'Onshore - Brisbane'!E200*4,IF('Onshore - Brisbane'!D200="Unit",'Onshore - Brisbane'!E200*8,""))))))</f>
        <v>8332</v>
      </c>
      <c r="L759" s="0" t="n">
        <f aca="false">IF(AND(ISNUMBER('Onshore - Brisbane'!E200),ISNUMBER(K759),ISNUMBER('Onshore - Brisbane'!F200),ISNUMBER('Onshore - Brisbane'!G200),OR('Onshore - Brisbane'!F200&lt;&gt;0,ISNUMBER(SEARCH("Material 0 terverifikasi",'Onshore - Brisbane'!M200))),OR('Onshore - Brisbane'!G200&lt;&gt;0,ISNUMBER(SEARCH("Enrolment 0 terverifikasi",'Onshore - Brisbane'!M200)))),1,0)</f>
        <v>1</v>
      </c>
      <c r="M759" s="0" t="n">
        <f aca="false">IF(OR('Onshore - Brisbane'!E200="",ISNUMBER(SEARCH("BSB80120",'Onshore - Brisbane'!B200&amp;'Onshore - Brisbane'!M200)),ISNUMBER(SEARCH("Management (Learning)",'Onshore - Brisbane'!B200))),2,IF(ISNUMBER(SEARCH("CEK:",'Onshore - Brisbane'!M200)),1,0))</f>
        <v>0</v>
      </c>
    </row>
    <row r="760" customFormat="false" ht="28.35" hidden="false" customHeight="false" outlineLevel="0" collapsed="false">
      <c r="A760" s="63" t="s">
        <v>3563</v>
      </c>
      <c r="B760" s="64" t="s">
        <v>3990</v>
      </c>
      <c r="C760" s="63" t="s">
        <v>41</v>
      </c>
      <c r="D760" s="64" t="str">
        <f aca="false">TRIM(LEFT('Onshore - Brisbane'!A296,FIND(CHAR(10),'Onshore - Brisbane'!A296&amp;CHAR(10))-1))</f>
        <v>Skills Institute Australia</v>
      </c>
      <c r="E760" s="63" t="str">
        <f aca="false">'Onshore - Brisbane'!C301&amp;""</f>
        <v>3 years</v>
      </c>
      <c r="F760" s="63" t="str">
        <f aca="false">IF('Onshore - Brisbane'!D301="","Belum tercatat",'Onshore - Brisbane'!D301)</f>
        <v>Term</v>
      </c>
      <c r="G760" s="65" t="n">
        <f aca="false">IF('Onshore - Brisbane'!E301="","-",'Onshore - Brisbane'!E301)</f>
        <v>2500</v>
      </c>
      <c r="H760" s="63" t="n">
        <f aca="false">IF(ISNUMBER(K760),COUNTIFS($J$6:$J$1916,J760,$K$6:$K$1916,"&lt;"&amp;K760)+1,"-")</f>
        <v>2</v>
      </c>
      <c r="I760" s="64" t="str">
        <f aca="false">IF('Onshore - Brisbane'!E301="","Harga belum tersedia - hubungi konsultan TEG",IF(M760=2,"Saat ini tidak menerima pendaftaran siswa internasional baru",IF(M760=1,"Harga perlu dikonfirmasi ke sekolah"&amp;IF(""="","","; "&amp;""),"")))</f>
        <v/>
      </c>
      <c r="J760" s="0" t="s">
        <v>4007</v>
      </c>
      <c r="K760" s="0" t="n">
        <f aca="false">IF(M760=2,"",IF(ISNUMBER(SEARCH("rata-rata:",'Onshore - Brisbane'!M301)),VALUE(MID('Onshore - Brisbane'!M301,SEARCH("rata-rata:",'Onshore - Brisbane'!M301)+11,FIND(";",'Onshore - Brisbane'!M301&amp;";",SEARCH("rata-rata:",'Onshore - Brisbane'!M301))-SEARCH("rata-rata:",'Onshore - Brisbane'!M301)-11)),IF('Onshore - Brisbane'!D301="Semester",'Onshore - Brisbane'!E301*2,IF('Onshore - Brisbane'!D301="Trimester",'Onshore - Brisbane'!E301*3,IF('Onshore - Brisbane'!D301="Term",'Onshore - Brisbane'!E301*4,IF('Onshore - Brisbane'!D301="Unit",'Onshore - Brisbane'!E301*8,""))))))</f>
        <v>10000</v>
      </c>
      <c r="L760" s="0" t="n">
        <f aca="false">IF(AND(ISNUMBER('Onshore - Brisbane'!E301),ISNUMBER(K760),ISNUMBER('Onshore - Brisbane'!F301),ISNUMBER('Onshore - Brisbane'!G301),OR('Onshore - Brisbane'!F301&lt;&gt;0,ISNUMBER(SEARCH("Material 0 terverifikasi",'Onshore - Brisbane'!M301))),OR('Onshore - Brisbane'!G301&lt;&gt;0,ISNUMBER(SEARCH("Enrolment 0 terverifikasi",'Onshore - Brisbane'!M301)))),1,0)</f>
        <v>1</v>
      </c>
      <c r="M760" s="0" t="n">
        <f aca="false">IF(OR('Onshore - Brisbane'!E301="",ISNUMBER(SEARCH("BSB80120",'Onshore - Brisbane'!B301&amp;'Onshore - Brisbane'!M301)),ISNUMBER(SEARCH("Management (Learning)",'Onshore - Brisbane'!B301))),2,IF(ISNUMBER(SEARCH("CEK:",'Onshore - Brisbane'!M301)),1,0))</f>
        <v>0</v>
      </c>
    </row>
    <row r="761" customFormat="false" ht="28.35" hidden="false" customHeight="false" outlineLevel="0" collapsed="false">
      <c r="A761" s="63" t="s">
        <v>3563</v>
      </c>
      <c r="B761" s="64" t="s">
        <v>3990</v>
      </c>
      <c r="C761" s="63" t="s">
        <v>41</v>
      </c>
      <c r="D761" s="64" t="str">
        <f aca="false">TRIM(LEFT('Onshore - Brisbane'!A238,FIND(CHAR(10),'Onshore - Brisbane'!A238&amp;CHAR(10))-1))</f>
        <v>Hospitality Training Academy (HTA)</v>
      </c>
      <c r="E761" s="63" t="str">
        <f aca="false">'Onshore - Brisbane'!C242&amp;""</f>
        <v>2 years</v>
      </c>
      <c r="F761" s="63" t="str">
        <f aca="false">IF('Onshore - Brisbane'!D242="","Belum tercatat",'Onshore - Brisbane'!D242)</f>
        <v>Term</v>
      </c>
      <c r="G761" s="65" t="n">
        <f aca="false">IF('Onshore - Brisbane'!E242="","-",'Onshore - Brisbane'!E242)</f>
        <v>2625</v>
      </c>
      <c r="H761" s="63" t="n">
        <f aca="false">IF(ISNUMBER(K761),COUNTIFS($J$6:$J$1916,J761,$K$6:$K$1916,"&lt;"&amp;K761)+1,"-")</f>
        <v>3</v>
      </c>
      <c r="I761" s="64" t="str">
        <f aca="false">IF('Onshore - Brisbane'!E242="","Harga belum tersedia - hubungi konsultan TEG",IF(M761=2,"Saat ini tidak menerima pendaftaran siswa internasional baru",IF(M761=1,"Harga perlu dikonfirmasi ke sekolah"&amp;IF(""="","","; "&amp;""),"")))</f>
        <v/>
      </c>
      <c r="J761" s="0" t="s">
        <v>4007</v>
      </c>
      <c r="K761" s="0" t="n">
        <f aca="false">IF(M761=2,"",IF(ISNUMBER(SEARCH("rata-rata:",'Onshore - Brisbane'!M242)),VALUE(MID('Onshore - Brisbane'!M242,SEARCH("rata-rata:",'Onshore - Brisbane'!M242)+11,FIND(";",'Onshore - Brisbane'!M242&amp;";",SEARCH("rata-rata:",'Onshore - Brisbane'!M242))-SEARCH("rata-rata:",'Onshore - Brisbane'!M242)-11)),IF('Onshore - Brisbane'!D242="Semester",'Onshore - Brisbane'!E242*2,IF('Onshore - Brisbane'!D242="Trimester",'Onshore - Brisbane'!E242*3,IF('Onshore - Brisbane'!D242="Term",'Onshore - Brisbane'!E242*4,IF('Onshore - Brisbane'!D242="Unit",'Onshore - Brisbane'!E242*8,""))))))</f>
        <v>10500</v>
      </c>
      <c r="L761" s="0" t="n">
        <f aca="false">IF(AND(ISNUMBER('Onshore - Brisbane'!E242),ISNUMBER(K761),ISNUMBER('Onshore - Brisbane'!F242),ISNUMBER('Onshore - Brisbane'!G242),OR('Onshore - Brisbane'!F242&lt;&gt;0,ISNUMBER(SEARCH("Material 0 terverifikasi",'Onshore - Brisbane'!M242))),OR('Onshore - Brisbane'!G242&lt;&gt;0,ISNUMBER(SEARCH("Enrolment 0 terverifikasi",'Onshore - Brisbane'!M242)))),1,0)</f>
        <v>1</v>
      </c>
      <c r="M761" s="0" t="n">
        <f aca="false">IF(OR('Onshore - Brisbane'!E242="",ISNUMBER(SEARCH("BSB80120",'Onshore - Brisbane'!B242&amp;'Onshore - Brisbane'!M242)),ISNUMBER(SEARCH("Management (Learning)",'Onshore - Brisbane'!B242))),2,IF(ISNUMBER(SEARCH("CEK:",'Onshore - Brisbane'!M242)),1,0))</f>
        <v>0</v>
      </c>
    </row>
    <row r="762" customFormat="false" ht="15" hidden="false" customHeight="false" outlineLevel="0" collapsed="false">
      <c r="A762" s="61" t="s">
        <v>4008</v>
      </c>
      <c r="B762" s="62"/>
      <c r="C762" s="62"/>
      <c r="D762" s="62"/>
      <c r="E762" s="62"/>
      <c r="F762" s="62"/>
      <c r="G762" s="62"/>
      <c r="H762" s="62"/>
      <c r="I762" s="62"/>
    </row>
    <row r="763" customFormat="false" ht="28.35" hidden="false" customHeight="false" outlineLevel="0" collapsed="false">
      <c r="A763" s="63" t="s">
        <v>3563</v>
      </c>
      <c r="B763" s="64" t="s">
        <v>3990</v>
      </c>
      <c r="C763" s="63" t="s">
        <v>42</v>
      </c>
      <c r="D763" s="64" t="str">
        <f aca="false">TRIM(LEFT('Onshore - Brisbane'!A244,FIND(CHAR(10),'Onshore - Brisbane'!A244&amp;CHAR(10))-1))</f>
        <v>Imperial Institute of Sydney (IIS)</v>
      </c>
      <c r="E763" s="63" t="str">
        <f aca="false">'Onshore - Brisbane'!C245&amp;""</f>
        <v>2 years</v>
      </c>
      <c r="F763" s="63" t="str">
        <f aca="false">IF('Onshore - Brisbane'!D245="","Belum tercatat",'Onshore - Brisbane'!D245)</f>
        <v>Term</v>
      </c>
      <c r="G763" s="65" t="n">
        <f aca="false">IF('Onshore - Brisbane'!E245="","-",'Onshore - Brisbane'!E245)</f>
        <v>2250</v>
      </c>
      <c r="H763" s="63" t="n">
        <f aca="false">IF(ISNUMBER(K763),COUNTIFS($J$6:$J$1916,J763,$K$6:$K$1916,"&lt;"&amp;K763)+1,"-")</f>
        <v>1</v>
      </c>
      <c r="I763" s="64" t="str">
        <f aca="false">IF('Onshore - Brisbane'!E245="","Harga belum tersedia - hubungi konsultan TEG",IF(M763=2,"Saat ini tidak menerima pendaftaran siswa internasional baru",IF(M763=1,"Program perlu dikonfirmasi ketersediaannya"&amp;IF(""="","","; "&amp;""),"")))</f>
        <v>Program perlu dikonfirmasi ketersediaannya</v>
      </c>
      <c r="J763" s="0" t="s">
        <v>4009</v>
      </c>
      <c r="K763" s="0" t="n">
        <f aca="false">IF(M763=2,"",IF(ISNUMBER(SEARCH("rata-rata:",'Onshore - Brisbane'!M245)),VALUE(MID('Onshore - Brisbane'!M245,SEARCH("rata-rata:",'Onshore - Brisbane'!M245)+11,FIND(";",'Onshore - Brisbane'!M245&amp;";",SEARCH("rata-rata:",'Onshore - Brisbane'!M245))-SEARCH("rata-rata:",'Onshore - Brisbane'!M245)-11)),IF('Onshore - Brisbane'!D245="Semester",'Onshore - Brisbane'!E245*2,IF('Onshore - Brisbane'!D245="Trimester",'Onshore - Brisbane'!E245*3,IF('Onshore - Brisbane'!D245="Term",'Onshore - Brisbane'!E245*4,IF('Onshore - Brisbane'!D245="Unit",'Onshore - Brisbane'!E245*8,""))))))</f>
        <v>9000</v>
      </c>
      <c r="L763" s="0" t="n">
        <f aca="false">IF(AND(ISNUMBER('Onshore - Brisbane'!E245),ISNUMBER(K763),ISNUMBER('Onshore - Brisbane'!F245),ISNUMBER('Onshore - Brisbane'!G245),OR('Onshore - Brisbane'!F245&lt;&gt;0,ISNUMBER(SEARCH("Material 0 terverifikasi",'Onshore - Brisbane'!M245))),OR('Onshore - Brisbane'!G245&lt;&gt;0,ISNUMBER(SEARCH("Enrolment 0 terverifikasi",'Onshore - Brisbane'!M245)))),1,0)</f>
        <v>0</v>
      </c>
      <c r="M763" s="0" t="n">
        <f aca="false">IF(OR('Onshore - Brisbane'!E245="",ISNUMBER(SEARCH("BSB80120",'Onshore - Brisbane'!B245&amp;'Onshore - Brisbane'!M245)),ISNUMBER(SEARCH("Management (Learning)",'Onshore - Brisbane'!B245))),2,IF(ISNUMBER(SEARCH("CEK:",'Onshore - Brisbane'!M245)),1,0))</f>
        <v>1</v>
      </c>
    </row>
    <row r="764" customFormat="false" ht="28.35" hidden="false" customHeight="false" outlineLevel="0" collapsed="false">
      <c r="A764" s="63" t="s">
        <v>3563</v>
      </c>
      <c r="B764" s="64" t="s">
        <v>3990</v>
      </c>
      <c r="C764" s="63" t="s">
        <v>42</v>
      </c>
      <c r="D764" s="64" t="str">
        <f aca="false">TRIM(LEFT('Onshore - Brisbane'!A22,FIND(CHAR(10),'Onshore - Brisbane'!A22&amp;CHAR(10))-1))</f>
        <v>Albright Institute of Business and Language (AIBL)</v>
      </c>
      <c r="E764" s="63" t="str">
        <f aca="false">'Onshore - Brisbane'!C24&amp;""</f>
        <v>2 years</v>
      </c>
      <c r="F764" s="63" t="str">
        <f aca="false">IF('Onshore - Brisbane'!D24="","Belum tercatat",'Onshore - Brisbane'!D24)</f>
        <v>Term</v>
      </c>
      <c r="G764" s="65" t="n">
        <f aca="false">IF('Onshore - Brisbane'!E24="","-",'Onshore - Brisbane'!E24)</f>
        <v>2375</v>
      </c>
      <c r="H764" s="63" t="n">
        <f aca="false">IF(ISNUMBER(K764),COUNTIFS($J$6:$J$1916,J764,$K$6:$K$1916,"&lt;"&amp;K764)+1,"-")</f>
        <v>2</v>
      </c>
      <c r="I764" s="64" t="str">
        <f aca="false">IF('Onshore - Brisbane'!E24="","Harga belum tersedia - hubungi konsultan TEG",IF(M764=2,"Saat ini tidak menerima pendaftaran siswa internasional baru",IF(M764=1,"Harga perlu dikonfirmasi ke sekolah"&amp;IF(""="","","; "&amp;""),"")))</f>
        <v/>
      </c>
      <c r="J764" s="0" t="s">
        <v>4009</v>
      </c>
      <c r="K764" s="0" t="n">
        <f aca="false">IF(M764=2,"",IF(ISNUMBER(SEARCH("rata-rata:",'Onshore - Brisbane'!M24)),VALUE(MID('Onshore - Brisbane'!M24,SEARCH("rata-rata:",'Onshore - Brisbane'!M24)+11,FIND(";",'Onshore - Brisbane'!M24&amp;";",SEARCH("rata-rata:",'Onshore - Brisbane'!M24))-SEARCH("rata-rata:",'Onshore - Brisbane'!M24)-11)),IF('Onshore - Brisbane'!D24="Semester",'Onshore - Brisbane'!E24*2,IF('Onshore - Brisbane'!D24="Trimester",'Onshore - Brisbane'!E24*3,IF('Onshore - Brisbane'!D24="Term",'Onshore - Brisbane'!E24*4,IF('Onshore - Brisbane'!D24="Unit",'Onshore - Brisbane'!E24*8,""))))))</f>
        <v>9500</v>
      </c>
      <c r="L764" s="0" t="n">
        <f aca="false">IF(AND(ISNUMBER('Onshore - Brisbane'!E24),ISNUMBER(K764),ISNUMBER('Onshore - Brisbane'!F24),ISNUMBER('Onshore - Brisbane'!G24),OR('Onshore - Brisbane'!F24&lt;&gt;0,ISNUMBER(SEARCH("Material 0 terverifikasi",'Onshore - Brisbane'!M24))),OR('Onshore - Brisbane'!G24&lt;&gt;0,ISNUMBER(SEARCH("Enrolment 0 terverifikasi",'Onshore - Brisbane'!M24)))),1,0)</f>
        <v>1</v>
      </c>
      <c r="M764" s="0" t="n">
        <f aca="false">IF(OR('Onshore - Brisbane'!E24="",ISNUMBER(SEARCH("BSB80120",'Onshore - Brisbane'!B24&amp;'Onshore - Brisbane'!M24)),ISNUMBER(SEARCH("Management (Learning)",'Onshore - Brisbane'!B24))),2,IF(ISNUMBER(SEARCH("CEK:",'Onshore - Brisbane'!M24)),1,0))</f>
        <v>0</v>
      </c>
    </row>
    <row r="765" customFormat="false" ht="28.35" hidden="false" customHeight="false" outlineLevel="0" collapsed="false">
      <c r="A765" s="63" t="s">
        <v>3563</v>
      </c>
      <c r="B765" s="64" t="s">
        <v>3990</v>
      </c>
      <c r="C765" s="63" t="s">
        <v>42</v>
      </c>
      <c r="D765" s="64" t="str">
        <f aca="false">TRIM(LEFT('Onshore - Brisbane'!A296,FIND(CHAR(10),'Onshore - Brisbane'!A296&amp;CHAR(10))-1))</f>
        <v>Skills Institute Australia</v>
      </c>
      <c r="E765" s="63" t="str">
        <f aca="false">'Onshore - Brisbane'!C304&amp;""</f>
        <v>2 years</v>
      </c>
      <c r="F765" s="63" t="str">
        <f aca="false">IF('Onshore - Brisbane'!D304="","Belum tercatat",'Onshore - Brisbane'!D304)</f>
        <v>Term</v>
      </c>
      <c r="G765" s="65" t="n">
        <f aca="false">IF('Onshore - Brisbane'!E304="","-",'Onshore - Brisbane'!E304)</f>
        <v>2400</v>
      </c>
      <c r="H765" s="63" t="n">
        <f aca="false">IF(ISNUMBER(K765),COUNTIFS($J$6:$J$1916,J765,$K$6:$K$1916,"&lt;"&amp;K765)+1,"-")</f>
        <v>3</v>
      </c>
      <c r="I765" s="64" t="str">
        <f aca="false">IF('Onshore - Brisbane'!E304="","Harga belum tersedia - hubungi konsultan TEG",IF(M765=2,"Saat ini tidak menerima pendaftaran siswa internasional baru",IF(M765=1,"Harga perlu dikonfirmasi ke sekolah"&amp;IF(""="","","; "&amp;""),"")))</f>
        <v/>
      </c>
      <c r="J765" s="0" t="s">
        <v>4009</v>
      </c>
      <c r="K765" s="0" t="n">
        <f aca="false">IF(M765=2,"",IF(ISNUMBER(SEARCH("rata-rata:",'Onshore - Brisbane'!M304)),VALUE(MID('Onshore - Brisbane'!M304,SEARCH("rata-rata:",'Onshore - Brisbane'!M304)+11,FIND(";",'Onshore - Brisbane'!M304&amp;";",SEARCH("rata-rata:",'Onshore - Brisbane'!M304))-SEARCH("rata-rata:",'Onshore - Brisbane'!M304)-11)),IF('Onshore - Brisbane'!D304="Semester",'Onshore - Brisbane'!E304*2,IF('Onshore - Brisbane'!D304="Trimester",'Onshore - Brisbane'!E304*3,IF('Onshore - Brisbane'!D304="Term",'Onshore - Brisbane'!E304*4,IF('Onshore - Brisbane'!D304="Unit",'Onshore - Brisbane'!E304*8,""))))))</f>
        <v>9600</v>
      </c>
      <c r="L765" s="0" t="n">
        <f aca="false">IF(AND(ISNUMBER('Onshore - Brisbane'!E304),ISNUMBER(K765),ISNUMBER('Onshore - Brisbane'!F304),ISNUMBER('Onshore - Brisbane'!G304),OR('Onshore - Brisbane'!F304&lt;&gt;0,ISNUMBER(SEARCH("Material 0 terverifikasi",'Onshore - Brisbane'!M304))),OR('Onshore - Brisbane'!G304&lt;&gt;0,ISNUMBER(SEARCH("Enrolment 0 terverifikasi",'Onshore - Brisbane'!M304)))),1,0)</f>
        <v>1</v>
      </c>
      <c r="M765" s="0" t="n">
        <f aca="false">IF(OR('Onshore - Brisbane'!E304="",ISNUMBER(SEARCH("BSB80120",'Onshore - Brisbane'!B304&amp;'Onshore - Brisbane'!M304)),ISNUMBER(SEARCH("Management (Learning)",'Onshore - Brisbane'!B304))),2,IF(ISNUMBER(SEARCH("CEK:",'Onshore - Brisbane'!M304)),1,0))</f>
        <v>0</v>
      </c>
    </row>
    <row r="766" customFormat="false" ht="28.35" hidden="false" customHeight="false" outlineLevel="0" collapsed="false">
      <c r="A766" s="63" t="s">
        <v>3563</v>
      </c>
      <c r="B766" s="64" t="s">
        <v>3990</v>
      </c>
      <c r="C766" s="63" t="s">
        <v>42</v>
      </c>
      <c r="D766" s="64" t="str">
        <f aca="false">TRIM(LEFT('Onshore - Brisbane'!A191,FIND(CHAR(10),'Onshore - Brisbane'!A191&amp;CHAR(10))-1))</f>
        <v>Everthought College of Construction</v>
      </c>
      <c r="E766" s="63" t="str">
        <f aca="false">'Onshore - Brisbane'!C196&amp;""</f>
        <v>2 years</v>
      </c>
      <c r="F766" s="63" t="str">
        <f aca="false">IF('Onshore - Brisbane'!D196="","Belum tercatat",'Onshore - Brisbane'!D196)</f>
        <v>Term</v>
      </c>
      <c r="G766" s="65" t="n">
        <f aca="false">IF('Onshore - Brisbane'!E196="","-",'Onshore - Brisbane'!E196)</f>
        <v>2688</v>
      </c>
      <c r="H766" s="63" t="n">
        <f aca="false">IF(ISNUMBER(K766),COUNTIFS($J$6:$J$1916,J766,$K$6:$K$1916,"&lt;"&amp;K766)+1,"-")</f>
        <v>4</v>
      </c>
      <c r="I766" s="64" t="str">
        <f aca="false">IF('Onshore - Brisbane'!E196="","Harga belum tersedia - hubungi konsultan TEG",IF(M766=2,"Saat ini tidak menerima pendaftaran siswa internasional baru",IF(M766=1,"Harga perlu dikonfirmasi ke sekolah"&amp;IF(""="","","; "&amp;""),"")))</f>
        <v/>
      </c>
      <c r="J766" s="0" t="s">
        <v>4009</v>
      </c>
      <c r="K766" s="0" t="n">
        <f aca="false">IF(M766=2,"",IF(ISNUMBER(SEARCH("rata-rata:",'Onshore - Brisbane'!M196)),VALUE(MID('Onshore - Brisbane'!M196,SEARCH("rata-rata:",'Onshore - Brisbane'!M196)+11,FIND(";",'Onshore - Brisbane'!M196&amp;";",SEARCH("rata-rata:",'Onshore - Brisbane'!M196))-SEARCH("rata-rata:",'Onshore - Brisbane'!M196)-11)),IF('Onshore - Brisbane'!D196="Semester",'Onshore - Brisbane'!E196*2,IF('Onshore - Brisbane'!D196="Trimester",'Onshore - Brisbane'!E196*3,IF('Onshore - Brisbane'!D196="Term",'Onshore - Brisbane'!E196*4,IF('Onshore - Brisbane'!D196="Unit",'Onshore - Brisbane'!E196*8,""))))))</f>
        <v>10752</v>
      </c>
      <c r="L766" s="0" t="n">
        <f aca="false">IF(AND(ISNUMBER('Onshore - Brisbane'!E196),ISNUMBER(K766),ISNUMBER('Onshore - Brisbane'!F196),ISNUMBER('Onshore - Brisbane'!G196),OR('Onshore - Brisbane'!F196&lt;&gt;0,ISNUMBER(SEARCH("Material 0 terverifikasi",'Onshore - Brisbane'!M196))),OR('Onshore - Brisbane'!G196&lt;&gt;0,ISNUMBER(SEARCH("Enrolment 0 terverifikasi",'Onshore - Brisbane'!M196)))),1,0)</f>
        <v>1</v>
      </c>
      <c r="M766" s="0" t="n">
        <f aca="false">IF(OR('Onshore - Brisbane'!E196="",ISNUMBER(SEARCH("BSB80120",'Onshore - Brisbane'!B196&amp;'Onshore - Brisbane'!M196)),ISNUMBER(SEARCH("Management (Learning)",'Onshore - Brisbane'!B196))),2,IF(ISNUMBER(SEARCH("CEK:",'Onshore - Brisbane'!M196)),1,0))</f>
        <v>0</v>
      </c>
    </row>
    <row r="767" customFormat="false" ht="28.35" hidden="false" customHeight="false" outlineLevel="0" collapsed="false">
      <c r="A767" s="63" t="s">
        <v>3563</v>
      </c>
      <c r="B767" s="64" t="s">
        <v>3990</v>
      </c>
      <c r="C767" s="63" t="s">
        <v>42</v>
      </c>
      <c r="D767" s="64" t="str">
        <f aca="false">TRIM(LEFT('Onshore - Brisbane'!A201,FIND(CHAR(10),'Onshore - Brisbane'!A201&amp;CHAR(10))-1))</f>
        <v>Federation Academy</v>
      </c>
      <c r="E767" s="63" t="str">
        <f aca="false">'Onshore - Brisbane'!C201&amp;""</f>
        <v>2,5 years</v>
      </c>
      <c r="F767" s="63" t="str">
        <f aca="false">IF('Onshore - Brisbane'!D201="","Belum tercatat",'Onshore - Brisbane'!D201)</f>
        <v>Term</v>
      </c>
      <c r="G767" s="65" t="n">
        <f aca="false">IF('Onshore - Brisbane'!E201="","-",'Onshore - Brisbane'!E201)</f>
        <v>3000</v>
      </c>
      <c r="H767" s="63" t="n">
        <f aca="false">IF(ISNUMBER(K767),COUNTIFS($J$6:$J$1916,J767,$K$6:$K$1916,"&lt;"&amp;K767)+1,"-")</f>
        <v>5</v>
      </c>
      <c r="I767" s="64" t="str">
        <f aca="false">IF('Onshore - Brisbane'!E201="","Harga belum tersedia - hubungi konsultan TEG",IF(M767=2,"Saat ini tidak menerima pendaftaran siswa internasional baru",IF(M767=1,"Harga perlu dikonfirmasi ke sekolah"&amp;IF(""="","","; "&amp;""),"")))</f>
        <v/>
      </c>
      <c r="J767" s="0" t="s">
        <v>4009</v>
      </c>
      <c r="K767" s="0" t="n">
        <f aca="false">IF(M767=2,"",IF(ISNUMBER(SEARCH("rata-rata:",'Onshore - Brisbane'!M201)),VALUE(MID('Onshore - Brisbane'!M201,SEARCH("rata-rata:",'Onshore - Brisbane'!M201)+11,FIND(";",'Onshore - Brisbane'!M201&amp;";",SEARCH("rata-rata:",'Onshore - Brisbane'!M201))-SEARCH("rata-rata:",'Onshore - Brisbane'!M201)-11)),IF('Onshore - Brisbane'!D201="Semester",'Onshore - Brisbane'!E201*2,IF('Onshore - Brisbane'!D201="Trimester",'Onshore - Brisbane'!E201*3,IF('Onshore - Brisbane'!D201="Term",'Onshore - Brisbane'!E201*4,IF('Onshore - Brisbane'!D201="Unit",'Onshore - Brisbane'!E201*8,""))))))</f>
        <v>12000</v>
      </c>
      <c r="L767" s="0" t="n">
        <f aca="false">IF(AND(ISNUMBER('Onshore - Brisbane'!E201),ISNUMBER(K767),ISNUMBER('Onshore - Brisbane'!F201),ISNUMBER('Onshore - Brisbane'!G201),OR('Onshore - Brisbane'!F201&lt;&gt;0,ISNUMBER(SEARCH("Material 0 terverifikasi",'Onshore - Brisbane'!M201))),OR('Onshore - Brisbane'!G201&lt;&gt;0,ISNUMBER(SEARCH("Enrolment 0 terverifikasi",'Onshore - Brisbane'!M201)))),1,0)</f>
        <v>1</v>
      </c>
      <c r="M767" s="0" t="n">
        <f aca="false">IF(OR('Onshore - Brisbane'!E201="",ISNUMBER(SEARCH("BSB80120",'Onshore - Brisbane'!B201&amp;'Onshore - Brisbane'!M201)),ISNUMBER(SEARCH("Management (Learning)",'Onshore - Brisbane'!B201))),2,IF(ISNUMBER(SEARCH("CEK:",'Onshore - Brisbane'!M201)),1,0))</f>
        <v>0</v>
      </c>
    </row>
    <row r="768" customFormat="false" ht="15" hidden="false" customHeight="false" outlineLevel="0" collapsed="false">
      <c r="A768" s="61" t="s">
        <v>4010</v>
      </c>
      <c r="B768" s="62"/>
      <c r="C768" s="62"/>
      <c r="D768" s="62"/>
      <c r="E768" s="62"/>
      <c r="F768" s="62"/>
      <c r="G768" s="62"/>
      <c r="H768" s="62"/>
      <c r="I768" s="62"/>
    </row>
    <row r="769" customFormat="false" ht="28.35" hidden="false" customHeight="false" outlineLevel="0" collapsed="false">
      <c r="A769" s="63" t="s">
        <v>3563</v>
      </c>
      <c r="B769" s="64" t="s">
        <v>3990</v>
      </c>
      <c r="C769" s="63" t="s">
        <v>43</v>
      </c>
      <c r="D769" s="64" t="str">
        <f aca="false">TRIM(LEFT('Onshore - Brisbane'!A307,FIND(CHAR(10),'Onshore - Brisbane'!A307&amp;CHAR(10))-1))</f>
        <v>Torrens University Australia</v>
      </c>
      <c r="E769" s="63" t="str">
        <f aca="false">'Onshore - Brisbane'!C347&amp;""</f>
        <v>3 years</v>
      </c>
      <c r="F769" s="63" t="str">
        <f aca="false">IF('Onshore - Brisbane'!D347="","Belum tercatat",'Onshore - Brisbane'!D347)</f>
        <v>Term</v>
      </c>
      <c r="G769" s="65" t="n">
        <f aca="false">IF('Onshore - Brisbane'!E347="","-",'Onshore - Brisbane'!E347)</f>
        <v>9375</v>
      </c>
      <c r="H769" s="63" t="n">
        <f aca="false">IF(ISNUMBER(K769),COUNTIFS($J$6:$J$1916,J769,$K$6:$K$1916,"&lt;"&amp;K769)+1,"-")</f>
        <v>1</v>
      </c>
      <c r="I769" s="64" t="str">
        <f aca="false">IF('Onshore - Brisbane'!E347="","Harga belum tersedia - hubungi konsultan TEG",IF(M769=2,"Saat ini tidak menerima pendaftaran siswa internasional baru",IF(M769=1,"Program perlu dikonfirmasi ketersediaannya"&amp;IF(""="","","; "&amp;""),"")))</f>
        <v>Program perlu dikonfirmasi ketersediaannya</v>
      </c>
      <c r="J769" s="0" t="s">
        <v>4011</v>
      </c>
      <c r="K769" s="0" t="n">
        <f aca="false">IF(M769=2,"",IF(ISNUMBER(SEARCH("rata-rata:",'Onshore - Brisbane'!M347)),VALUE(MID('Onshore - Brisbane'!M347,SEARCH("rata-rata:",'Onshore - Brisbane'!M347)+11,FIND(";",'Onshore - Brisbane'!M347&amp;";",SEARCH("rata-rata:",'Onshore - Brisbane'!M347))-SEARCH("rata-rata:",'Onshore - Brisbane'!M347)-11)),IF('Onshore - Brisbane'!D347="Semester",'Onshore - Brisbane'!E347*2,IF('Onshore - Brisbane'!D347="Trimester",'Onshore - Brisbane'!E347*3,IF('Onshore - Brisbane'!D347="Term",'Onshore - Brisbane'!E347*4,IF('Onshore - Brisbane'!D347="Unit",'Onshore - Brisbane'!E347*8,""))))))</f>
        <v>37500</v>
      </c>
      <c r="L769" s="0" t="n">
        <f aca="false">IF(AND(ISNUMBER('Onshore - Brisbane'!E347),ISNUMBER(K769),ISNUMBER('Onshore - Brisbane'!F347),ISNUMBER('Onshore - Brisbane'!G347),OR('Onshore - Brisbane'!F347&lt;&gt;0,ISNUMBER(SEARCH("Material 0 terverifikasi",'Onshore - Brisbane'!M347))),OR('Onshore - Brisbane'!G347&lt;&gt;0,ISNUMBER(SEARCH("Enrolment 0 terverifikasi",'Onshore - Brisbane'!M347)))),1,0)</f>
        <v>0</v>
      </c>
      <c r="M769" s="0" t="n">
        <f aca="false">IF(OR('Onshore - Brisbane'!E347="",ISNUMBER(SEARCH("BSB80120",'Onshore - Brisbane'!B347&amp;'Onshore - Brisbane'!M347)),ISNUMBER(SEARCH("Management (Learning)",'Onshore - Brisbane'!B347))),2,IF(ISNUMBER(SEARCH("CEK:",'Onshore - Brisbane'!M347)),1,0))</f>
        <v>1</v>
      </c>
    </row>
    <row r="770" customFormat="false" ht="15" hidden="false" customHeight="false" outlineLevel="0" collapsed="false">
      <c r="A770" s="61" t="s">
        <v>4012</v>
      </c>
      <c r="B770" s="62"/>
      <c r="C770" s="62"/>
      <c r="D770" s="62"/>
      <c r="E770" s="62"/>
      <c r="F770" s="62"/>
      <c r="G770" s="62"/>
      <c r="H770" s="62"/>
      <c r="I770" s="62"/>
    </row>
    <row r="771" customFormat="false" ht="28.35" hidden="false" customHeight="false" outlineLevel="0" collapsed="false">
      <c r="A771" s="63" t="s">
        <v>3563</v>
      </c>
      <c r="B771" s="64" t="s">
        <v>3990</v>
      </c>
      <c r="C771" s="63" t="s">
        <v>3707</v>
      </c>
      <c r="D771" s="64" t="str">
        <f aca="false">TRIM(LEFT('Onshore - Brisbane'!A183,FIND(CHAR(10),'Onshore - Brisbane'!A183&amp;CHAR(10))-1))</f>
        <v>ECA College</v>
      </c>
      <c r="E771" s="63" t="str">
        <f aca="false">'Onshore - Brisbane'!C183&amp;""</f>
        <v>1 year</v>
      </c>
      <c r="F771" s="63" t="str">
        <f aca="false">IF('Onshore - Brisbane'!D183="","Belum tercatat",'Onshore - Brisbane'!D183)</f>
        <v>Term</v>
      </c>
      <c r="G771" s="65" t="n">
        <f aca="false">IF('Onshore - Brisbane'!E183="","-",'Onshore - Brisbane'!E183)</f>
        <v>3000</v>
      </c>
      <c r="H771" s="63" t="n">
        <f aca="false">IF(ISNUMBER(K771),COUNTIFS($J$6:$J$1916,J771,$K$6:$K$1916,"&lt;"&amp;K771)+1,"-")</f>
        <v>1</v>
      </c>
      <c r="I771" s="64" t="str">
        <f aca="false">IF('Onshore - Brisbane'!E183="","Harga belum tersedia - hubungi konsultan TEG",IF(M771=2,"Saat ini tidak menerima pendaftaran siswa internasional baru",IF(M771=1,"Harga perlu dikonfirmasi ke sekolah"&amp;IF(""="","","; "&amp;""),"")))</f>
        <v/>
      </c>
      <c r="J771" s="0" t="s">
        <v>4013</v>
      </c>
      <c r="K771" s="0" t="n">
        <f aca="false">IF(M771=2,"",IF(ISNUMBER(SEARCH("rata-rata:",'Onshore - Brisbane'!M183)),VALUE(MID('Onshore - Brisbane'!M183,SEARCH("rata-rata:",'Onshore - Brisbane'!M183)+11,FIND(";",'Onshore - Brisbane'!M183&amp;";",SEARCH("rata-rata:",'Onshore - Brisbane'!M183))-SEARCH("rata-rata:",'Onshore - Brisbane'!M183)-11)),IF('Onshore - Brisbane'!D183="Semester",'Onshore - Brisbane'!E183*2,IF('Onshore - Brisbane'!D183="Trimester",'Onshore - Brisbane'!E183*3,IF('Onshore - Brisbane'!D183="Term",'Onshore - Brisbane'!E183*4,IF('Onshore - Brisbane'!D183="Unit",'Onshore - Brisbane'!E183*8,""))))))</f>
        <v>12000</v>
      </c>
      <c r="L771" s="0" t="n">
        <f aca="false">IF(AND(ISNUMBER('Onshore - Brisbane'!E183),ISNUMBER(K771),ISNUMBER('Onshore - Brisbane'!F183),ISNUMBER('Onshore - Brisbane'!G183),OR('Onshore - Brisbane'!F183&lt;&gt;0,ISNUMBER(SEARCH("Material 0 terverifikasi",'Onshore - Brisbane'!M183))),OR('Onshore - Brisbane'!G183&lt;&gt;0,ISNUMBER(SEARCH("Enrolment 0 terverifikasi",'Onshore - Brisbane'!M183)))),1,0)</f>
        <v>0</v>
      </c>
      <c r="M771" s="0" t="n">
        <f aca="false">IF(OR('Onshore - Brisbane'!E183="",ISNUMBER(SEARCH("BSB80120",'Onshore - Brisbane'!B183&amp;'Onshore - Brisbane'!M183)),ISNUMBER(SEARCH("Management (Learning)",'Onshore - Brisbane'!B183))),2,IF(ISNUMBER(SEARCH("CEK:",'Onshore - Brisbane'!M183)),1,0))</f>
        <v>0</v>
      </c>
    </row>
    <row r="772" customFormat="false" ht="15" hidden="false" customHeight="false" outlineLevel="0" collapsed="false">
      <c r="A772" s="61" t="s">
        <v>4014</v>
      </c>
      <c r="B772" s="62"/>
      <c r="C772" s="62"/>
      <c r="D772" s="62"/>
      <c r="E772" s="62"/>
      <c r="F772" s="62"/>
      <c r="G772" s="62"/>
      <c r="H772" s="62"/>
      <c r="I772" s="62"/>
    </row>
    <row r="773" customFormat="false" ht="28.35" hidden="false" customHeight="false" outlineLevel="0" collapsed="false">
      <c r="A773" s="63" t="s">
        <v>3563</v>
      </c>
      <c r="B773" s="64" t="s">
        <v>3990</v>
      </c>
      <c r="C773" s="63" t="s">
        <v>46</v>
      </c>
      <c r="D773" s="64" t="str">
        <f aca="false">TRIM(LEFT('Onshore - Brisbane'!A307,FIND(CHAR(10),'Onshore - Brisbane'!A307&amp;CHAR(10))-1))</f>
        <v>Torrens University Australia</v>
      </c>
      <c r="E773" s="63" t="str">
        <f aca="false">'Onshore - Brisbane'!C329&amp;""</f>
        <v>2 years</v>
      </c>
      <c r="F773" s="63" t="str">
        <f aca="false">IF('Onshore - Brisbane'!D329="","Belum tercatat",'Onshore - Brisbane'!D329)</f>
        <v>Term</v>
      </c>
      <c r="G773" s="65" t="n">
        <f aca="false">IF('Onshore - Brisbane'!E329="","-",'Onshore - Brisbane'!E329)</f>
        <v>9000</v>
      </c>
      <c r="H773" s="63" t="n">
        <f aca="false">IF(ISNUMBER(K773),COUNTIFS($J$6:$J$1916,J773,$K$6:$K$1916,"&lt;"&amp;K773)+1,"-")</f>
        <v>1</v>
      </c>
      <c r="I773" s="64" t="str">
        <f aca="false">IF('Onshore - Brisbane'!E329="","Harga belum tersedia - hubungi konsultan TEG",IF(M773=2,"Saat ini tidak menerima pendaftaran siswa internasional baru",IF(M773=1,"Harga perlu dikonfirmasi ke sekolah"&amp;IF(""="","","; "&amp;""),"")))</f>
        <v/>
      </c>
      <c r="J773" s="0" t="s">
        <v>4015</v>
      </c>
      <c r="K773" s="0" t="n">
        <f aca="false">IF(M773=2,"",IF(ISNUMBER(SEARCH("rata-rata:",'Onshore - Brisbane'!M329)),VALUE(MID('Onshore - Brisbane'!M329,SEARCH("rata-rata:",'Onshore - Brisbane'!M329)+11,FIND(";",'Onshore - Brisbane'!M329&amp;";",SEARCH("rata-rata:",'Onshore - Brisbane'!M329))-SEARCH("rata-rata:",'Onshore - Brisbane'!M329)-11)),IF('Onshore - Brisbane'!D329="Semester",'Onshore - Brisbane'!E329*2,IF('Onshore - Brisbane'!D329="Trimester",'Onshore - Brisbane'!E329*3,IF('Onshore - Brisbane'!D329="Term",'Onshore - Brisbane'!E329*4,IF('Onshore - Brisbane'!D329="Unit",'Onshore - Brisbane'!E329*8,""))))))</f>
        <v>36000</v>
      </c>
      <c r="L773" s="0" t="n">
        <f aca="false">IF(AND(ISNUMBER('Onshore - Brisbane'!E329),ISNUMBER(K773),ISNUMBER('Onshore - Brisbane'!F329),ISNUMBER('Onshore - Brisbane'!G329),OR('Onshore - Brisbane'!F329&lt;&gt;0,ISNUMBER(SEARCH("Material 0 terverifikasi",'Onshore - Brisbane'!M329))),OR('Onshore - Brisbane'!G329&lt;&gt;0,ISNUMBER(SEARCH("Enrolment 0 terverifikasi",'Onshore - Brisbane'!M329)))),1,0)</f>
        <v>0</v>
      </c>
      <c r="M773" s="0" t="n">
        <f aca="false">IF(OR('Onshore - Brisbane'!E329="",ISNUMBER(SEARCH("BSB80120",'Onshore - Brisbane'!B329&amp;'Onshore - Brisbane'!M329)),ISNUMBER(SEARCH("Management (Learning)",'Onshore - Brisbane'!B329))),2,IF(ISNUMBER(SEARCH("CEK:",'Onshore - Brisbane'!M329)),1,0))</f>
        <v>0</v>
      </c>
    </row>
    <row r="774" customFormat="false" ht="15" hidden="false" customHeight="false" outlineLevel="0" collapsed="false">
      <c r="A774" s="61" t="s">
        <v>4016</v>
      </c>
      <c r="B774" s="62"/>
      <c r="C774" s="62"/>
      <c r="D774" s="62"/>
      <c r="E774" s="62"/>
      <c r="F774" s="62"/>
      <c r="G774" s="62"/>
      <c r="H774" s="62"/>
      <c r="I774" s="62"/>
    </row>
    <row r="775" customFormat="false" ht="28.35" hidden="false" customHeight="false" outlineLevel="0" collapsed="false">
      <c r="A775" s="63" t="s">
        <v>3718</v>
      </c>
      <c r="B775" s="64" t="s">
        <v>3990</v>
      </c>
      <c r="C775" s="63" t="s">
        <v>39</v>
      </c>
      <c r="D775" s="64" t="str">
        <f aca="false">TRIM(LEFT('Onshore - Canberra'!A143,FIND(CHAR(10),'Onshore - Canberra'!A143&amp;CHAR(10))-1))</f>
        <v>Mid City College</v>
      </c>
      <c r="E775" s="63" t="str">
        <f aca="false">'Onshore - Canberra'!C149&amp;""</f>
        <v>2 years</v>
      </c>
      <c r="F775" s="63" t="str">
        <f aca="false">IF('Onshore - Canberra'!D149="","Belum tercatat",'Onshore - Canberra'!D149)</f>
        <v>Term</v>
      </c>
      <c r="G775" s="65" t="n">
        <f aca="false">IF('Onshore - Canberra'!E149="","-",'Onshore - Canberra'!E149)</f>
        <v>2937.5</v>
      </c>
      <c r="H775" s="63" t="n">
        <f aca="false">IF(ISNUMBER(K775),COUNTIFS($J$6:$J$1916,J775,$K$6:$K$1916,"&lt;"&amp;K775)+1,"-")</f>
        <v>1</v>
      </c>
      <c r="I775" s="64" t="str">
        <f aca="false">IF('Onshore - Canberra'!E149="","Harga belum tersedia - hubungi konsultan TEG",IF(M775=2,"Saat ini tidak menerima pendaftaran siswa internasional baru",IF(M775=1,"Harga perlu dikonfirmasi ke sekolah"&amp;IF(""="","","; "&amp;""),"")))</f>
        <v/>
      </c>
      <c r="J775" s="0" t="s">
        <v>4017</v>
      </c>
      <c r="K775" s="0" t="n">
        <f aca="false">IF(M775=2,"",IF(ISNUMBER(SEARCH("rata-rata:",'Onshore - Canberra'!M149)),VALUE(MID('Onshore - Canberra'!M149,SEARCH("rata-rata:",'Onshore - Canberra'!M149)+11,FIND(";",'Onshore - Canberra'!M149&amp;";",SEARCH("rata-rata:",'Onshore - Canberra'!M149))-SEARCH("rata-rata:",'Onshore - Canberra'!M149)-11)),IF('Onshore - Canberra'!D149="Semester",'Onshore - Canberra'!E149*2,IF('Onshore - Canberra'!D149="Trimester",'Onshore - Canberra'!E149*3,IF('Onshore - Canberra'!D149="Term",'Onshore - Canberra'!E149*4,IF('Onshore - Canberra'!D149="Unit",'Onshore - Canberra'!E149*8,""))))))</f>
        <v>11750</v>
      </c>
      <c r="L775" s="0" t="n">
        <f aca="false">IF(AND(ISNUMBER('Onshore - Canberra'!E149),ISNUMBER(K775),ISNUMBER('Onshore - Canberra'!F149),ISNUMBER('Onshore - Canberra'!G149),OR('Onshore - Canberra'!F149&lt;&gt;0,ISNUMBER(SEARCH("Material 0 terverifikasi",'Onshore - Canberra'!M149))),OR('Onshore - Canberra'!G149&lt;&gt;0,ISNUMBER(SEARCH("Enrolment 0 terverifikasi",'Onshore - Canberra'!M149)))),1,0)</f>
        <v>1</v>
      </c>
      <c r="M775" s="0" t="n">
        <f aca="false">IF(OR('Onshore - Canberra'!E149="",ISNUMBER(SEARCH("BSB80120",'Onshore - Canberra'!B149&amp;'Onshore - Canberra'!M149)),ISNUMBER(SEARCH("Management (Learning)",'Onshore - Canberra'!B149))),2,IF(ISNUMBER(SEARCH("CEK:",'Onshore - Canberra'!M149)),1,0))</f>
        <v>0</v>
      </c>
    </row>
    <row r="776" customFormat="false" ht="15" hidden="false" customHeight="false" outlineLevel="0" collapsed="false">
      <c r="A776" s="61" t="s">
        <v>4018</v>
      </c>
      <c r="B776" s="62"/>
      <c r="C776" s="62"/>
      <c r="D776" s="62"/>
      <c r="E776" s="62"/>
      <c r="F776" s="62"/>
      <c r="G776" s="62"/>
      <c r="H776" s="62"/>
      <c r="I776" s="62"/>
    </row>
    <row r="777" customFormat="false" ht="28.35" hidden="false" customHeight="false" outlineLevel="0" collapsed="false">
      <c r="A777" s="63" t="s">
        <v>3718</v>
      </c>
      <c r="B777" s="64" t="s">
        <v>3990</v>
      </c>
      <c r="C777" s="63" t="s">
        <v>42</v>
      </c>
      <c r="D777" s="64" t="str">
        <f aca="false">TRIM(LEFT('Onshore - Canberra'!A113,FIND(CHAR(10),'Onshore - Canberra'!A113&amp;CHAR(10))-1))</f>
        <v>Capital College</v>
      </c>
      <c r="E777" s="63" t="str">
        <f aca="false">'Onshore - Canberra'!C113&amp;""</f>
        <v>2 years</v>
      </c>
      <c r="F777" s="63" t="str">
        <f aca="false">IF('Onshore - Canberra'!D113="","Belum tercatat",'Onshore - Canberra'!D113)</f>
        <v>Term</v>
      </c>
      <c r="G777" s="65" t="n">
        <f aca="false">IF('Onshore - Canberra'!E113="","-",'Onshore - Canberra'!E113)</f>
        <v>2250</v>
      </c>
      <c r="H777" s="63" t="n">
        <f aca="false">IF(ISNUMBER(K777),COUNTIFS($J$6:$J$1916,J777,$K$6:$K$1916,"&lt;"&amp;K777)+1,"-")</f>
        <v>1</v>
      </c>
      <c r="I777" s="64" t="str">
        <f aca="false">IF('Onshore - Canberra'!E113="","Harga belum tersedia - hubungi konsultan TEG",IF(M777=2,"Saat ini tidak menerima pendaftaran siswa internasional baru",IF(M777=1,"Harga perlu dikonfirmasi ke sekolah"&amp;IF(""="","","; "&amp;""),"")))</f>
        <v>Harga perlu dikonfirmasi ke sekolah</v>
      </c>
      <c r="J777" s="0" t="s">
        <v>4019</v>
      </c>
      <c r="K777" s="0" t="n">
        <f aca="false">IF(M777=2,"",IF(ISNUMBER(SEARCH("rata-rata:",'Onshore - Canberra'!M113)),VALUE(MID('Onshore - Canberra'!M113,SEARCH("rata-rata:",'Onshore - Canberra'!M113)+11,FIND(";",'Onshore - Canberra'!M113&amp;";",SEARCH("rata-rata:",'Onshore - Canberra'!M113))-SEARCH("rata-rata:",'Onshore - Canberra'!M113)-11)),IF('Onshore - Canberra'!D113="Semester",'Onshore - Canberra'!E113*2,IF('Onshore - Canberra'!D113="Trimester",'Onshore - Canberra'!E113*3,IF('Onshore - Canberra'!D113="Term",'Onshore - Canberra'!E113*4,IF('Onshore - Canberra'!D113="Unit",'Onshore - Canberra'!E113*8,""))))))</f>
        <v>9000</v>
      </c>
      <c r="L777" s="0" t="n">
        <f aca="false">IF(AND(ISNUMBER('Onshore - Canberra'!E113),ISNUMBER(K777),ISNUMBER('Onshore - Canberra'!F113),ISNUMBER('Onshore - Canberra'!G113),OR('Onshore - Canberra'!F113&lt;&gt;0,ISNUMBER(SEARCH("Material 0 terverifikasi",'Onshore - Canberra'!M113))),OR('Onshore - Canberra'!G113&lt;&gt;0,ISNUMBER(SEARCH("Enrolment 0 terverifikasi",'Onshore - Canberra'!M113)))),1,0)</f>
        <v>1</v>
      </c>
      <c r="M777" s="0" t="n">
        <f aca="false">IF(OR('Onshore - Canberra'!E113="",ISNUMBER(SEARCH("BSB80120",'Onshore - Canberra'!B113&amp;'Onshore - Canberra'!M113)),ISNUMBER(SEARCH("Management (Learning)",'Onshore - Canberra'!B113))),2,IF(ISNUMBER(SEARCH("CEK:",'Onshore - Canberra'!M113)),1,0))</f>
        <v>1</v>
      </c>
    </row>
    <row r="778" customFormat="false" ht="15" hidden="false" customHeight="false" outlineLevel="0" collapsed="false">
      <c r="A778" s="61" t="s">
        <v>4020</v>
      </c>
      <c r="B778" s="62"/>
      <c r="C778" s="62"/>
      <c r="D778" s="62"/>
      <c r="E778" s="62"/>
      <c r="F778" s="62"/>
      <c r="G778" s="62"/>
      <c r="H778" s="62"/>
      <c r="I778" s="62"/>
    </row>
    <row r="779" customFormat="false" ht="28.35" hidden="false" customHeight="false" outlineLevel="0" collapsed="false">
      <c r="A779" s="63" t="s">
        <v>3583</v>
      </c>
      <c r="B779" s="64" t="s">
        <v>3990</v>
      </c>
      <c r="C779" s="63" t="s">
        <v>41</v>
      </c>
      <c r="D779" s="64" t="str">
        <f aca="false">TRIM(LEFT('Onshore - Darwin (NT)'!A6,FIND(CHAR(10),'Onshore - Darwin (NT)'!A6&amp;CHAR(10))-1))</f>
        <v>Alice Springs College of Australia (ASCA)</v>
      </c>
      <c r="E779" s="63" t="str">
        <f aca="false">'Onshore - Darwin (NT)'!C14&amp;""</f>
        <v>2 years</v>
      </c>
      <c r="F779" s="63" t="str">
        <f aca="false">IF('Onshore - Darwin (NT)'!D14="","Belum tercatat",'Onshore - Darwin (NT)'!D14)</f>
        <v>Term</v>
      </c>
      <c r="G779" s="65" t="n">
        <f aca="false">IF('Onshore - Darwin (NT)'!E14="","-",'Onshore - Darwin (NT)'!E14)</f>
        <v>2000</v>
      </c>
      <c r="H779" s="63" t="n">
        <f aca="false">IF(ISNUMBER(K779),COUNTIFS($J$6:$J$1916,J779,$K$6:$K$1916,"&lt;"&amp;K779)+1,"-")</f>
        <v>1</v>
      </c>
      <c r="I779" s="64" t="str">
        <f aca="false">IF('Onshore - Darwin (NT)'!E14="","Harga belum tersedia - hubungi konsultan TEG",IF(M779=2,"Saat ini tidak menerima pendaftaran siswa internasional baru",IF(M779=1,"Harga perlu dikonfirmasi ke sekolah"&amp;IF(""="","","; "&amp;""),"")))</f>
        <v/>
      </c>
      <c r="J779" s="0" t="s">
        <v>4021</v>
      </c>
      <c r="K779" s="0" t="n">
        <f aca="false">IF(M779=2,"",IF(ISNUMBER(SEARCH("rata-rata:",'Onshore - Darwin (NT)'!M14)),VALUE(MID('Onshore - Darwin (NT)'!M14,SEARCH("rata-rata:",'Onshore - Darwin (NT)'!M14)+11,FIND(";",'Onshore - Darwin (NT)'!M14&amp;";",SEARCH("rata-rata:",'Onshore - Darwin (NT)'!M14))-SEARCH("rata-rata:",'Onshore - Darwin (NT)'!M14)-11)),IF('Onshore - Darwin (NT)'!D14="Semester",'Onshore - Darwin (NT)'!E14*2,IF('Onshore - Darwin (NT)'!D14="Trimester",'Onshore - Darwin (NT)'!E14*3,IF('Onshore - Darwin (NT)'!D14="Term",'Onshore - Darwin (NT)'!E14*4,IF('Onshore - Darwin (NT)'!D14="Unit",'Onshore - Darwin (NT)'!E14*8,""))))))</f>
        <v>8000</v>
      </c>
      <c r="L779" s="0" t="n">
        <f aca="false">IF(AND(ISNUMBER('Onshore - Darwin (NT)'!E14),ISNUMBER(K779),ISNUMBER('Onshore - Darwin (NT)'!F14),ISNUMBER('Onshore - Darwin (NT)'!G14),OR('Onshore - Darwin (NT)'!F14&lt;&gt;0,ISNUMBER(SEARCH("Material 0 terverifikasi",'Onshore - Darwin (NT)'!M14))),OR('Onshore - Darwin (NT)'!G14&lt;&gt;0,ISNUMBER(SEARCH("Enrolment 0 terverifikasi",'Onshore - Darwin (NT)'!M14)))),1,0)</f>
        <v>1</v>
      </c>
      <c r="M779" s="0" t="n">
        <f aca="false">IF(OR('Onshore - Darwin (NT)'!E14="",ISNUMBER(SEARCH("BSB80120",'Onshore - Darwin (NT)'!B14&amp;'Onshore - Darwin (NT)'!M14)),ISNUMBER(SEARCH("Management (Learning)",'Onshore - Darwin (NT)'!B14))),2,IF(ISNUMBER(SEARCH("CEK:",'Onshore - Darwin (NT)'!M14)),1,0))</f>
        <v>0</v>
      </c>
    </row>
    <row r="780" customFormat="false" ht="28.35" hidden="false" customHeight="false" outlineLevel="0" collapsed="false">
      <c r="A780" s="63" t="s">
        <v>3583</v>
      </c>
      <c r="B780" s="64" t="s">
        <v>3990</v>
      </c>
      <c r="C780" s="63" t="s">
        <v>41</v>
      </c>
      <c r="D780" s="64" t="str">
        <f aca="false">TRIM(LEFT('Onshore - Darwin (NT)'!A20,FIND(CHAR(10),'Onshore - Darwin (NT)'!A20&amp;CHAR(10))-1))</f>
        <v>Charles Darwin University (CDU)</v>
      </c>
      <c r="E780" s="63" t="str">
        <f aca="false">'Onshore - Darwin (NT)'!C67&amp;""</f>
        <v>1 year</v>
      </c>
      <c r="F780" s="63" t="str">
        <f aca="false">IF('Onshore - Darwin (NT)'!D67="","Belum tercatat",'Onshore - Darwin (NT)'!D67)</f>
        <v>Term</v>
      </c>
      <c r="G780" s="65" t="n">
        <f aca="false">IF('Onshore - Darwin (NT)'!E67="","-",'Onshore - Darwin (NT)'!E67)</f>
        <v>9848</v>
      </c>
      <c r="H780" s="63" t="n">
        <f aca="false">IF(ISNUMBER(K780),COUNTIFS($J$6:$J$1916,J780,$K$6:$K$1916,"&lt;"&amp;K780)+1,"-")</f>
        <v>2</v>
      </c>
      <c r="I780" s="64" t="str">
        <f aca="false">IF('Onshore - Darwin (NT)'!E67="","Harga belum tersedia - hubungi konsultan TEG",IF(M780=2,"Saat ini tidak menerima pendaftaran siswa internasional baru",IF(M780=1,"Harga perlu dikonfirmasi ke sekolah"&amp;IF(""="","","; "&amp;""),"")))</f>
        <v/>
      </c>
      <c r="J780" s="0" t="s">
        <v>4021</v>
      </c>
      <c r="K780" s="0" t="n">
        <f aca="false">IF(M780=2,"",IF(ISNUMBER(SEARCH("rata-rata:",'Onshore - Darwin (NT)'!M67)),VALUE(MID('Onshore - Darwin (NT)'!M67,SEARCH("rata-rata:",'Onshore - Darwin (NT)'!M67)+11,FIND(";",'Onshore - Darwin (NT)'!M67&amp;";",SEARCH("rata-rata:",'Onshore - Darwin (NT)'!M67))-SEARCH("rata-rata:",'Onshore - Darwin (NT)'!M67)-11)),IF('Onshore - Darwin (NT)'!D67="Semester",'Onshore - Darwin (NT)'!E67*2,IF('Onshore - Darwin (NT)'!D67="Trimester",'Onshore - Darwin (NT)'!E67*3,IF('Onshore - Darwin (NT)'!D67="Term",'Onshore - Darwin (NT)'!E67*4,IF('Onshore - Darwin (NT)'!D67="Unit",'Onshore - Darwin (NT)'!E67*8,""))))))</f>
        <v>39392</v>
      </c>
      <c r="L780" s="0" t="n">
        <f aca="false">IF(AND(ISNUMBER('Onshore - Darwin (NT)'!E67),ISNUMBER(K780),ISNUMBER('Onshore - Darwin (NT)'!F67),ISNUMBER('Onshore - Darwin (NT)'!G67),OR('Onshore - Darwin (NT)'!F67&lt;&gt;0,ISNUMBER(SEARCH("Material 0 terverifikasi",'Onshore - Darwin (NT)'!M67))),OR('Onshore - Darwin (NT)'!G67&lt;&gt;0,ISNUMBER(SEARCH("Enrolment 0 terverifikasi",'Onshore - Darwin (NT)'!M67)))),1,0)</f>
        <v>0</v>
      </c>
      <c r="M780" s="0" t="n">
        <f aca="false">IF(OR('Onshore - Darwin (NT)'!E67="",ISNUMBER(SEARCH("BSB80120",'Onshore - Darwin (NT)'!B67&amp;'Onshore - Darwin (NT)'!M67)),ISNUMBER(SEARCH("Management (Learning)",'Onshore - Darwin (NT)'!B67))),2,IF(ISNUMBER(SEARCH("CEK:",'Onshore - Darwin (NT)'!M67)),1,0))</f>
        <v>0</v>
      </c>
    </row>
    <row r="781" customFormat="false" ht="15" hidden="false" customHeight="false" outlineLevel="0" collapsed="false">
      <c r="A781" s="61" t="s">
        <v>4022</v>
      </c>
      <c r="B781" s="62"/>
      <c r="C781" s="62"/>
      <c r="D781" s="62"/>
      <c r="E781" s="62"/>
      <c r="F781" s="62"/>
      <c r="G781" s="62"/>
      <c r="H781" s="62"/>
      <c r="I781" s="62"/>
    </row>
    <row r="782" customFormat="false" ht="28.35" hidden="false" customHeight="false" outlineLevel="0" collapsed="false">
      <c r="A782" s="63" t="s">
        <v>3583</v>
      </c>
      <c r="B782" s="64" t="s">
        <v>3990</v>
      </c>
      <c r="C782" s="63" t="s">
        <v>42</v>
      </c>
      <c r="D782" s="64" t="str">
        <f aca="false">TRIM(LEFT('Onshore - Darwin (NT)'!A146,FIND(CHAR(10),'Onshore - Darwin (NT)'!A146&amp;CHAR(10))-1))</f>
        <v>Sydney City College of Management</v>
      </c>
      <c r="E782" s="63" t="str">
        <f aca="false">'Onshore - Darwin (NT)'!C148&amp;""</f>
        <v>2 years</v>
      </c>
      <c r="F782" s="63" t="str">
        <f aca="false">IF('Onshore - Darwin (NT)'!D148="","Belum tercatat",'Onshore - Darwin (NT)'!D148)</f>
        <v>Term</v>
      </c>
      <c r="G782" s="65" t="n">
        <f aca="false">IF('Onshore - Darwin (NT)'!E148="","-",'Onshore - Darwin (NT)'!E148)</f>
        <v>3125</v>
      </c>
      <c r="H782" s="63" t="n">
        <f aca="false">IF(ISNUMBER(K782),COUNTIFS($J$6:$J$1916,J782,$K$6:$K$1916,"&lt;"&amp;K782)+1,"-")</f>
        <v>1</v>
      </c>
      <c r="I782" s="64" t="str">
        <f aca="false">IF('Onshore - Darwin (NT)'!E148="","Harga belum tersedia - hubungi konsultan TEG",IF(M782=2,"Saat ini tidak menerima pendaftaran siswa internasional baru",IF(M782=1,"Harga perlu dikonfirmasi ke sekolah"&amp;IF(""="","","; "&amp;""),"")))</f>
        <v/>
      </c>
      <c r="J782" s="0" t="s">
        <v>4023</v>
      </c>
      <c r="K782" s="0" t="n">
        <f aca="false">IF(M782=2,"",IF(ISNUMBER(SEARCH("rata-rata:",'Onshore - Darwin (NT)'!M148)),VALUE(MID('Onshore - Darwin (NT)'!M148,SEARCH("rata-rata:",'Onshore - Darwin (NT)'!M148)+11,FIND(";",'Onshore - Darwin (NT)'!M148&amp;";",SEARCH("rata-rata:",'Onshore - Darwin (NT)'!M148))-SEARCH("rata-rata:",'Onshore - Darwin (NT)'!M148)-11)),IF('Onshore - Darwin (NT)'!D148="Semester",'Onshore - Darwin (NT)'!E148*2,IF('Onshore - Darwin (NT)'!D148="Trimester",'Onshore - Darwin (NT)'!E148*3,IF('Onshore - Darwin (NT)'!D148="Term",'Onshore - Darwin (NT)'!E148*4,IF('Onshore - Darwin (NT)'!D148="Unit",'Onshore - Darwin (NT)'!E148*8,""))))))</f>
        <v>12500</v>
      </c>
      <c r="L782" s="0" t="n">
        <f aca="false">IF(AND(ISNUMBER('Onshore - Darwin (NT)'!E148),ISNUMBER(K782),ISNUMBER('Onshore - Darwin (NT)'!F148),ISNUMBER('Onshore - Darwin (NT)'!G148),OR('Onshore - Darwin (NT)'!F148&lt;&gt;0,ISNUMBER(SEARCH("Material 0 terverifikasi",'Onshore - Darwin (NT)'!M148))),OR('Onshore - Darwin (NT)'!G148&lt;&gt;0,ISNUMBER(SEARCH("Enrolment 0 terverifikasi",'Onshore - Darwin (NT)'!M148)))),1,0)</f>
        <v>1</v>
      </c>
      <c r="M782" s="0" t="n">
        <f aca="false">IF(OR('Onshore - Darwin (NT)'!E148="",ISNUMBER(SEARCH("BSB80120",'Onshore - Darwin (NT)'!B148&amp;'Onshore - Darwin (NT)'!M148)),ISNUMBER(SEARCH("Management (Learning)",'Onshore - Darwin (NT)'!B148))),2,IF(ISNUMBER(SEARCH("CEK:",'Onshore - Darwin (NT)'!M148)),1,0))</f>
        <v>0</v>
      </c>
    </row>
    <row r="783" customFormat="false" ht="28.35" hidden="false" customHeight="false" outlineLevel="0" collapsed="false">
      <c r="A783" s="63" t="s">
        <v>3583</v>
      </c>
      <c r="B783" s="64" t="s">
        <v>3990</v>
      </c>
      <c r="C783" s="63" t="s">
        <v>42</v>
      </c>
      <c r="D783" s="64" t="str">
        <f aca="false">TRIM(LEFT('Onshore - Darwin (NT)'!A20,FIND(CHAR(10),'Onshore - Darwin (NT)'!A20&amp;CHAR(10))-1))</f>
        <v>Charles Darwin University (CDU)</v>
      </c>
      <c r="E783" s="63" t="str">
        <f aca="false">'Onshore - Darwin (NT)'!C71&amp;""</f>
        <v>2 years</v>
      </c>
      <c r="F783" s="63" t="str">
        <f aca="false">IF('Onshore - Darwin (NT)'!D71="","Belum tercatat",'Onshore - Darwin (NT)'!D71)</f>
        <v>Term</v>
      </c>
      <c r="G783" s="65" t="n">
        <f aca="false">IF('Onshore - Darwin (NT)'!E71="","-",'Onshore - Darwin (NT)'!E71)</f>
        <v>9848</v>
      </c>
      <c r="H783" s="63" t="n">
        <f aca="false">IF(ISNUMBER(K783),COUNTIFS($J$6:$J$1916,J783,$K$6:$K$1916,"&lt;"&amp;K783)+1,"-")</f>
        <v>2</v>
      </c>
      <c r="I783" s="64" t="str">
        <f aca="false">IF('Onshore - Darwin (NT)'!E71="","Harga belum tersedia - hubungi konsultan TEG",IF(M783=2,"Saat ini tidak menerima pendaftaran siswa internasional baru",IF(M783=1,"Harga perlu dikonfirmasi ke sekolah"&amp;IF(""="","","; "&amp;""),"")))</f>
        <v/>
      </c>
      <c r="J783" s="0" t="s">
        <v>4023</v>
      </c>
      <c r="K783" s="0" t="n">
        <f aca="false">IF(M783=2,"",IF(ISNUMBER(SEARCH("rata-rata:",'Onshore - Darwin (NT)'!M71)),VALUE(MID('Onshore - Darwin (NT)'!M71,SEARCH("rata-rata:",'Onshore - Darwin (NT)'!M71)+11,FIND(";",'Onshore - Darwin (NT)'!M71&amp;";",SEARCH("rata-rata:",'Onshore - Darwin (NT)'!M71))-SEARCH("rata-rata:",'Onshore - Darwin (NT)'!M71)-11)),IF('Onshore - Darwin (NT)'!D71="Semester",'Onshore - Darwin (NT)'!E71*2,IF('Onshore - Darwin (NT)'!D71="Trimester",'Onshore - Darwin (NT)'!E71*3,IF('Onshore - Darwin (NT)'!D71="Term",'Onshore - Darwin (NT)'!E71*4,IF('Onshore - Darwin (NT)'!D71="Unit",'Onshore - Darwin (NT)'!E71*8,""))))))</f>
        <v>39392</v>
      </c>
      <c r="L783" s="0" t="n">
        <f aca="false">IF(AND(ISNUMBER('Onshore - Darwin (NT)'!E71),ISNUMBER(K783),ISNUMBER('Onshore - Darwin (NT)'!F71),ISNUMBER('Onshore - Darwin (NT)'!G71),OR('Onshore - Darwin (NT)'!F71&lt;&gt;0,ISNUMBER(SEARCH("Material 0 terverifikasi",'Onshore - Darwin (NT)'!M71))),OR('Onshore - Darwin (NT)'!G71&lt;&gt;0,ISNUMBER(SEARCH("Enrolment 0 terverifikasi",'Onshore - Darwin (NT)'!M71)))),1,0)</f>
        <v>0</v>
      </c>
      <c r="M783" s="0" t="n">
        <f aca="false">IF(OR('Onshore - Darwin (NT)'!E71="",ISNUMBER(SEARCH("BSB80120",'Onshore - Darwin (NT)'!B71&amp;'Onshore - Darwin (NT)'!M71)),ISNUMBER(SEARCH("Management (Learning)",'Onshore - Darwin (NT)'!B71))),2,IF(ISNUMBER(SEARCH("CEK:",'Onshore - Darwin (NT)'!M71)),1,0))</f>
        <v>0</v>
      </c>
    </row>
    <row r="784" customFormat="false" ht="15" hidden="false" customHeight="false" outlineLevel="0" collapsed="false">
      <c r="A784" s="61" t="s">
        <v>4024</v>
      </c>
      <c r="B784" s="62"/>
      <c r="C784" s="62"/>
      <c r="D784" s="62"/>
      <c r="E784" s="62"/>
      <c r="F784" s="62"/>
      <c r="G784" s="62"/>
      <c r="H784" s="62"/>
      <c r="I784" s="62"/>
    </row>
    <row r="785" customFormat="false" ht="28.35" hidden="false" customHeight="false" outlineLevel="0" collapsed="false">
      <c r="A785" s="63" t="s">
        <v>3583</v>
      </c>
      <c r="B785" s="64" t="s">
        <v>3990</v>
      </c>
      <c r="C785" s="63" t="s">
        <v>43</v>
      </c>
      <c r="D785" s="64" t="str">
        <f aca="false">TRIM(LEFT('Onshore - Darwin (NT)'!A20,FIND(CHAR(10),'Onshore - Darwin (NT)'!A20&amp;CHAR(10))-1))</f>
        <v>Charles Darwin University (CDU)</v>
      </c>
      <c r="E785" s="63" t="str">
        <f aca="false">'Onshore - Darwin (NT)'!C22&amp;""</f>
        <v>3 years</v>
      </c>
      <c r="F785" s="63" t="str">
        <f aca="false">IF('Onshore - Darwin (NT)'!D22="","Belum tercatat",'Onshore - Darwin (NT)'!D22)</f>
        <v>Term</v>
      </c>
      <c r="G785" s="65" t="n">
        <f aca="false">IF('Onshore - Darwin (NT)'!E22="","-",'Onshore - Darwin (NT)'!E22)</f>
        <v>8008</v>
      </c>
      <c r="H785" s="63" t="n">
        <f aca="false">IF(ISNUMBER(K785),COUNTIFS($J$6:$J$1916,J785,$K$6:$K$1916,"&lt;"&amp;K785)+1,"-")</f>
        <v>1</v>
      </c>
      <c r="I785" s="64" t="str">
        <f aca="false">IF('Onshore - Darwin (NT)'!E22="","Harga belum tersedia - hubungi konsultan TEG",IF(M785=2,"Saat ini tidak menerima pendaftaran siswa internasional baru",IF(M785=1,"Harga perlu dikonfirmasi ke sekolah"&amp;IF(""="","","; "&amp;""),"")))</f>
        <v/>
      </c>
      <c r="J785" s="0" t="s">
        <v>4025</v>
      </c>
      <c r="K785" s="0" t="n">
        <f aca="false">IF(M785=2,"",IF(ISNUMBER(SEARCH("rata-rata:",'Onshore - Darwin (NT)'!M22)),VALUE(MID('Onshore - Darwin (NT)'!M22,SEARCH("rata-rata:",'Onshore - Darwin (NT)'!M22)+11,FIND(";",'Onshore - Darwin (NT)'!M22&amp;";",SEARCH("rata-rata:",'Onshore - Darwin (NT)'!M22))-SEARCH("rata-rata:",'Onshore - Darwin (NT)'!M22)-11)),IF('Onshore - Darwin (NT)'!D22="Semester",'Onshore - Darwin (NT)'!E22*2,IF('Onshore - Darwin (NT)'!D22="Trimester",'Onshore - Darwin (NT)'!E22*3,IF('Onshore - Darwin (NT)'!D22="Term",'Onshore - Darwin (NT)'!E22*4,IF('Onshore - Darwin (NT)'!D22="Unit",'Onshore - Darwin (NT)'!E22*8,""))))))</f>
        <v>32032</v>
      </c>
      <c r="L785" s="0" t="n">
        <f aca="false">IF(AND(ISNUMBER('Onshore - Darwin (NT)'!E22),ISNUMBER(K785),ISNUMBER('Onshore - Darwin (NT)'!F22),ISNUMBER('Onshore - Darwin (NT)'!G22),OR('Onshore - Darwin (NT)'!F22&lt;&gt;0,ISNUMBER(SEARCH("Material 0 terverifikasi",'Onshore - Darwin (NT)'!M22))),OR('Onshore - Darwin (NT)'!G22&lt;&gt;0,ISNUMBER(SEARCH("Enrolment 0 terverifikasi",'Onshore - Darwin (NT)'!M22)))),1,0)</f>
        <v>0</v>
      </c>
      <c r="M785" s="0" t="n">
        <f aca="false">IF(OR('Onshore - Darwin (NT)'!E22="",ISNUMBER(SEARCH("BSB80120",'Onshore - Darwin (NT)'!B22&amp;'Onshore - Darwin (NT)'!M22)),ISNUMBER(SEARCH("Management (Learning)",'Onshore - Darwin (NT)'!B22))),2,IF(ISNUMBER(SEARCH("CEK:",'Onshore - Darwin (NT)'!M22)),1,0))</f>
        <v>0</v>
      </c>
    </row>
    <row r="786" customFormat="false" ht="15" hidden="false" customHeight="false" outlineLevel="0" collapsed="false">
      <c r="A786" s="61" t="s">
        <v>4026</v>
      </c>
      <c r="B786" s="62"/>
      <c r="C786" s="62"/>
      <c r="D786" s="62"/>
      <c r="E786" s="62"/>
      <c r="F786" s="62"/>
      <c r="G786" s="62"/>
      <c r="H786" s="62"/>
      <c r="I786" s="62"/>
    </row>
    <row r="787" customFormat="false" ht="28.35" hidden="false" customHeight="false" outlineLevel="0" collapsed="false">
      <c r="A787" s="63" t="s">
        <v>3583</v>
      </c>
      <c r="B787" s="64" t="s">
        <v>3990</v>
      </c>
      <c r="C787" s="63" t="s">
        <v>46</v>
      </c>
      <c r="D787" s="64" t="str">
        <f aca="false">TRIM(LEFT('Onshore - Darwin (NT)'!A20,FIND(CHAR(10),'Onshore - Darwin (NT)'!A20&amp;CHAR(10))-1))</f>
        <v>Charles Darwin University (CDU)</v>
      </c>
      <c r="E787" s="63" t="str">
        <f aca="false">'Onshore - Darwin (NT)'!C24&amp;""</f>
        <v>2 years</v>
      </c>
      <c r="F787" s="63" t="str">
        <f aca="false">IF('Onshore - Darwin (NT)'!D24="","Belum tercatat",'Onshore - Darwin (NT)'!D24)</f>
        <v>Term</v>
      </c>
      <c r="G787" s="65" t="n">
        <f aca="false">IF('Onshore - Darwin (NT)'!E24="","-",'Onshore - Darwin (NT)'!E24)</f>
        <v>9418</v>
      </c>
      <c r="H787" s="63" t="n">
        <f aca="false">IF(ISNUMBER(K787),COUNTIFS($J$6:$J$1916,J787,$K$6:$K$1916,"&lt;"&amp;K787)+1,"-")</f>
        <v>1</v>
      </c>
      <c r="I787" s="64" t="str">
        <f aca="false">IF('Onshore - Darwin (NT)'!E24="","Harga belum tersedia - hubungi konsultan TEG",IF(M787=2,"Saat ini tidak menerima pendaftaran siswa internasional baru",IF(M787=1,"Harga perlu dikonfirmasi ke sekolah"&amp;IF(""="","","; "&amp;""),"")))</f>
        <v/>
      </c>
      <c r="J787" s="0" t="s">
        <v>4027</v>
      </c>
      <c r="K787" s="0" t="n">
        <f aca="false">IF(M787=2,"",IF(ISNUMBER(SEARCH("rata-rata:",'Onshore - Darwin (NT)'!M24)),VALUE(MID('Onshore - Darwin (NT)'!M24,SEARCH("rata-rata:",'Onshore - Darwin (NT)'!M24)+11,FIND(";",'Onshore - Darwin (NT)'!M24&amp;";",SEARCH("rata-rata:",'Onshore - Darwin (NT)'!M24))-SEARCH("rata-rata:",'Onshore - Darwin (NT)'!M24)-11)),IF('Onshore - Darwin (NT)'!D24="Semester",'Onshore - Darwin (NT)'!E24*2,IF('Onshore - Darwin (NT)'!D24="Trimester",'Onshore - Darwin (NT)'!E24*3,IF('Onshore - Darwin (NT)'!D24="Term",'Onshore - Darwin (NT)'!E24*4,IF('Onshore - Darwin (NT)'!D24="Unit",'Onshore - Darwin (NT)'!E24*8,""))))))</f>
        <v>37672</v>
      </c>
      <c r="L787" s="0" t="n">
        <f aca="false">IF(AND(ISNUMBER('Onshore - Darwin (NT)'!E24),ISNUMBER(K787),ISNUMBER('Onshore - Darwin (NT)'!F24),ISNUMBER('Onshore - Darwin (NT)'!G24),OR('Onshore - Darwin (NT)'!F24&lt;&gt;0,ISNUMBER(SEARCH("Material 0 terverifikasi",'Onshore - Darwin (NT)'!M24))),OR('Onshore - Darwin (NT)'!G24&lt;&gt;0,ISNUMBER(SEARCH("Enrolment 0 terverifikasi",'Onshore - Darwin (NT)'!M24)))),1,0)</f>
        <v>0</v>
      </c>
      <c r="M787" s="0" t="n">
        <f aca="false">IF(OR('Onshore - Darwin (NT)'!E24="",ISNUMBER(SEARCH("BSB80120",'Onshore - Darwin (NT)'!B24&amp;'Onshore - Darwin (NT)'!M24)),ISNUMBER(SEARCH("Management (Learning)",'Onshore - Darwin (NT)'!B24))),2,IF(ISNUMBER(SEARCH("CEK:",'Onshore - Darwin (NT)'!M24)),1,0))</f>
        <v>0</v>
      </c>
    </row>
    <row r="788" customFormat="false" ht="15" hidden="false" customHeight="false" outlineLevel="0" collapsed="false">
      <c r="A788" s="61" t="s">
        <v>4028</v>
      </c>
      <c r="B788" s="62"/>
      <c r="C788" s="62"/>
      <c r="D788" s="62"/>
      <c r="E788" s="62"/>
      <c r="F788" s="62"/>
      <c r="G788" s="62"/>
      <c r="H788" s="62"/>
      <c r="I788" s="62"/>
    </row>
    <row r="789" customFormat="false" ht="28.35" hidden="false" customHeight="false" outlineLevel="0" collapsed="false">
      <c r="A789" s="63" t="s">
        <v>3878</v>
      </c>
      <c r="B789" s="64" t="s">
        <v>3990</v>
      </c>
      <c r="C789" s="63" t="s">
        <v>42</v>
      </c>
      <c r="D789" s="64" t="str">
        <f aca="false">TRIM(LEFT('Onshore - Gosford'!A6,FIND(CHAR(10),'Onshore - Gosford'!A6&amp;CHAR(10))-1))</f>
        <v>Novus College</v>
      </c>
      <c r="E789" s="63" t="str">
        <f aca="false">'Onshore - Gosford'!C9&amp;""</f>
        <v>2 years</v>
      </c>
      <c r="F789" s="63" t="str">
        <f aca="false">IF('Onshore - Gosford'!D9="","Belum tercatat",'Onshore - Gosford'!D9)</f>
        <v>Term</v>
      </c>
      <c r="G789" s="65" t="n">
        <f aca="false">IF('Onshore - Gosford'!E9="","-",'Onshore - Gosford'!E9)</f>
        <v>2100</v>
      </c>
      <c r="H789" s="63" t="n">
        <f aca="false">IF(ISNUMBER(K789),COUNTIFS($J$6:$J$1916,J789,$K$6:$K$1916,"&lt;"&amp;K789)+1,"-")</f>
        <v>1</v>
      </c>
      <c r="I789" s="64" t="str">
        <f aca="false">IF('Onshore - Gosford'!E9="","Harga belum tersedia - hubungi konsultan TEG",IF(M789=2,"Saat ini tidak menerima pendaftaran siswa internasional baru",IF(M789=1,"Program perlu dikonfirmasi ketersediaannya"&amp;IF(""="","","; "&amp;""),"")))</f>
        <v>Program perlu dikonfirmasi ketersediaannya</v>
      </c>
      <c r="J789" s="0" t="s">
        <v>4029</v>
      </c>
      <c r="K789" s="0" t="n">
        <f aca="false">IF(M789=2,"",IF(ISNUMBER(SEARCH("rata-rata:",'Onshore - Gosford'!M9)),VALUE(MID('Onshore - Gosford'!M9,SEARCH("rata-rata:",'Onshore - Gosford'!M9)+11,FIND(";",'Onshore - Gosford'!M9&amp;";",SEARCH("rata-rata:",'Onshore - Gosford'!M9))-SEARCH("rata-rata:",'Onshore - Gosford'!M9)-11)),IF('Onshore - Gosford'!D9="Semester",'Onshore - Gosford'!E9*2,IF('Onshore - Gosford'!D9="Trimester",'Onshore - Gosford'!E9*3,IF('Onshore - Gosford'!D9="Term",'Onshore - Gosford'!E9*4,IF('Onshore - Gosford'!D9="Unit",'Onshore - Gosford'!E9*8,""))))))</f>
        <v>8400</v>
      </c>
      <c r="L789" s="0" t="n">
        <f aca="false">IF(AND(ISNUMBER('Onshore - Gosford'!E9),ISNUMBER(K789),ISNUMBER('Onshore - Gosford'!F9),ISNUMBER('Onshore - Gosford'!G9),OR('Onshore - Gosford'!F9&lt;&gt;0,ISNUMBER(SEARCH("Material 0 terverifikasi",'Onshore - Gosford'!M9))),OR('Onshore - Gosford'!G9&lt;&gt;0,ISNUMBER(SEARCH("Enrolment 0 terverifikasi",'Onshore - Gosford'!M9)))),1,0)</f>
        <v>1</v>
      </c>
      <c r="M789" s="0" t="n">
        <f aca="false">IF(OR('Onshore - Gosford'!E9="",ISNUMBER(SEARCH("BSB80120",'Onshore - Gosford'!B9&amp;'Onshore - Gosford'!M9)),ISNUMBER(SEARCH("Management (Learning)",'Onshore - Gosford'!B9))),2,IF(ISNUMBER(SEARCH("CEK:",'Onshore - Gosford'!M9)),1,0))</f>
        <v>1</v>
      </c>
    </row>
    <row r="790" customFormat="false" ht="15" hidden="false" customHeight="false" outlineLevel="0" collapsed="false">
      <c r="A790" s="61" t="s">
        <v>4030</v>
      </c>
      <c r="B790" s="62"/>
      <c r="C790" s="62"/>
      <c r="D790" s="62"/>
      <c r="E790" s="62"/>
      <c r="F790" s="62"/>
      <c r="G790" s="62"/>
      <c r="H790" s="62"/>
      <c r="I790" s="62"/>
    </row>
    <row r="791" customFormat="false" ht="28.35" hidden="false" customHeight="false" outlineLevel="0" collapsed="false">
      <c r="A791" s="63" t="s">
        <v>3544</v>
      </c>
      <c r="B791" s="64" t="s">
        <v>3990</v>
      </c>
      <c r="C791" s="63" t="s">
        <v>39</v>
      </c>
      <c r="D791" s="64" t="str">
        <f aca="false">TRIM(LEFT('Onshore- Melbourne'!A240,FIND(CHAR(10),'Onshore- Melbourne'!A240&amp;CHAR(10))-1))</f>
        <v>Baxter Institute</v>
      </c>
      <c r="E791" s="63" t="str">
        <f aca="false">'Onshore- Melbourne'!C244&amp;""</f>
        <v>2 years</v>
      </c>
      <c r="F791" s="63" t="str">
        <f aca="false">IF('Onshore- Melbourne'!D244="","Belum tercatat",'Onshore- Melbourne'!D244)</f>
        <v>Term</v>
      </c>
      <c r="G791" s="65" t="n">
        <f aca="false">IF('Onshore- Melbourne'!E244="","-",'Onshore- Melbourne'!E244)</f>
        <v>2000</v>
      </c>
      <c r="H791" s="63" t="n">
        <f aca="false">IF(ISNUMBER(K791),COUNTIFS($J$6:$J$1916,J791,$K$6:$K$1916,"&lt;"&amp;K791)+1,"-")</f>
        <v>1</v>
      </c>
      <c r="I791" s="64" t="str">
        <f aca="false">IF('Onshore- Melbourne'!E244="","Harga belum tersedia - hubungi konsultan TEG",IF(M791=2,"Saat ini tidak menerima pendaftaran siswa internasional baru",IF(M791=1,"Harga perlu dikonfirmasi ke sekolah"&amp;IF(""="","","; "&amp;""),"")))</f>
        <v/>
      </c>
      <c r="J791" s="0" t="s">
        <v>4031</v>
      </c>
      <c r="K791" s="0" t="n">
        <f aca="false">IF(M791=2,"",IF(ISNUMBER(SEARCH("rata-rata:",'Onshore- Melbourne'!M244)),VALUE(MID('Onshore- Melbourne'!M244,SEARCH("rata-rata:",'Onshore- Melbourne'!M244)+11,FIND(";",'Onshore- Melbourne'!M244&amp;";",SEARCH("rata-rata:",'Onshore- Melbourne'!M244))-SEARCH("rata-rata:",'Onshore- Melbourne'!M244)-11)),IF('Onshore- Melbourne'!D244="Semester",'Onshore- Melbourne'!E244*2,IF('Onshore- Melbourne'!D244="Trimester",'Onshore- Melbourne'!E244*3,IF('Onshore- Melbourne'!D244="Term",'Onshore- Melbourne'!E244*4,IF('Onshore- Melbourne'!D244="Unit",'Onshore- Melbourne'!E244*8,""))))))</f>
        <v>8000</v>
      </c>
      <c r="L791" s="0" t="n">
        <f aca="false">IF(AND(ISNUMBER('Onshore- Melbourne'!E244),ISNUMBER(K791),ISNUMBER('Onshore- Melbourne'!F244),ISNUMBER('Onshore- Melbourne'!G244),OR('Onshore- Melbourne'!F244&lt;&gt;0,ISNUMBER(SEARCH("Material 0 terverifikasi",'Onshore- Melbourne'!M244))),OR('Onshore- Melbourne'!G244&lt;&gt;0,ISNUMBER(SEARCH("Enrolment 0 terverifikasi",'Onshore- Melbourne'!M244)))),1,0)</f>
        <v>1</v>
      </c>
      <c r="M791" s="0" t="n">
        <f aca="false">IF(OR('Onshore- Melbourne'!E244="",ISNUMBER(SEARCH("BSB80120",'Onshore- Melbourne'!B244&amp;'Onshore- Melbourne'!M244)),ISNUMBER(SEARCH("Management (Learning)",'Onshore- Melbourne'!B244))),2,IF(ISNUMBER(SEARCH("CEK:",'Onshore- Melbourne'!M244)),1,0))</f>
        <v>0</v>
      </c>
    </row>
    <row r="792" customFormat="false" ht="28.35" hidden="false" customHeight="false" outlineLevel="0" collapsed="false">
      <c r="A792" s="63" t="s">
        <v>3544</v>
      </c>
      <c r="B792" s="64" t="s">
        <v>3990</v>
      </c>
      <c r="C792" s="63" t="s">
        <v>39</v>
      </c>
      <c r="D792" s="64" t="str">
        <f aca="false">TRIM(LEFT('Onshore- Melbourne'!A572,FIND(CHAR(10),'Onshore- Melbourne'!A572&amp;CHAR(10))-1))</f>
        <v>Wattle College</v>
      </c>
      <c r="E792" s="63" t="str">
        <f aca="false">'Onshore- Melbourne'!C574&amp;""</f>
        <v>1,5 years</v>
      </c>
      <c r="F792" s="63" t="str">
        <f aca="false">IF('Onshore- Melbourne'!D574="","Belum tercatat",'Onshore- Melbourne'!D574)</f>
        <v>Term</v>
      </c>
      <c r="G792" s="65" t="n">
        <f aca="false">IF('Onshore- Melbourne'!E574="","-",'Onshore- Melbourne'!E574)</f>
        <v>2000</v>
      </c>
      <c r="H792" s="63" t="n">
        <f aca="false">IF(ISNUMBER(K792),COUNTIFS($J$6:$J$1916,J792,$K$6:$K$1916,"&lt;"&amp;K792)+1,"-")</f>
        <v>1</v>
      </c>
      <c r="I792" s="64" t="str">
        <f aca="false">IF('Onshore- Melbourne'!E574="","Harga belum tersedia - hubungi konsultan TEG",IF(M792=2,"Saat ini tidak menerima pendaftaran siswa internasional baru",IF(M792=1,"Harga perlu dikonfirmasi ke sekolah"&amp;IF(""="","","; "&amp;""),"")))</f>
        <v/>
      </c>
      <c r="J792" s="0" t="s">
        <v>4031</v>
      </c>
      <c r="K792" s="0" t="n">
        <f aca="false">IF(M792=2,"",IF(ISNUMBER(SEARCH("rata-rata:",'Onshore- Melbourne'!M574)),VALUE(MID('Onshore- Melbourne'!M574,SEARCH("rata-rata:",'Onshore- Melbourne'!M574)+11,FIND(";",'Onshore- Melbourne'!M574&amp;";",SEARCH("rata-rata:",'Onshore- Melbourne'!M574))-SEARCH("rata-rata:",'Onshore- Melbourne'!M574)-11)),IF('Onshore- Melbourne'!D574="Semester",'Onshore- Melbourne'!E574*2,IF('Onshore- Melbourne'!D574="Trimester",'Onshore- Melbourne'!E574*3,IF('Onshore- Melbourne'!D574="Term",'Onshore- Melbourne'!E574*4,IF('Onshore- Melbourne'!D574="Unit",'Onshore- Melbourne'!E574*8,""))))))</f>
        <v>8000</v>
      </c>
      <c r="L792" s="0" t="n">
        <f aca="false">IF(AND(ISNUMBER('Onshore- Melbourne'!E574),ISNUMBER(K792),ISNUMBER('Onshore- Melbourne'!F574),ISNUMBER('Onshore- Melbourne'!G574),OR('Onshore- Melbourne'!F574&lt;&gt;0,ISNUMBER(SEARCH("Material 0 terverifikasi",'Onshore- Melbourne'!M574))),OR('Onshore- Melbourne'!G574&lt;&gt;0,ISNUMBER(SEARCH("Enrolment 0 terverifikasi",'Onshore- Melbourne'!M574)))),1,0)</f>
        <v>1</v>
      </c>
      <c r="M792" s="0" t="n">
        <f aca="false">IF(OR('Onshore- Melbourne'!E574="",ISNUMBER(SEARCH("BSB80120",'Onshore- Melbourne'!B574&amp;'Onshore- Melbourne'!M574)),ISNUMBER(SEARCH("Management (Learning)",'Onshore- Melbourne'!B574))),2,IF(ISNUMBER(SEARCH("CEK:",'Onshore- Melbourne'!M574)),1,0))</f>
        <v>0</v>
      </c>
    </row>
    <row r="793" customFormat="false" ht="28.35" hidden="false" customHeight="false" outlineLevel="0" collapsed="false">
      <c r="A793" s="63" t="s">
        <v>3544</v>
      </c>
      <c r="B793" s="64" t="s">
        <v>3990</v>
      </c>
      <c r="C793" s="63" t="s">
        <v>39</v>
      </c>
      <c r="D793" s="64" t="str">
        <f aca="false">TRIM(LEFT('Onshore- Melbourne'!A271,FIND(CHAR(10),'Onshore- Melbourne'!A271&amp;CHAR(10))-1))</f>
        <v>Everthought College of Construction</v>
      </c>
      <c r="E793" s="63" t="str">
        <f aca="false">'Onshore- Melbourne'!C272&amp;""</f>
        <v>1,5 years</v>
      </c>
      <c r="F793" s="63" t="str">
        <f aca="false">IF('Onshore- Melbourne'!D272="","Belum tercatat",'Onshore- Melbourne'!D272)</f>
        <v>Term</v>
      </c>
      <c r="G793" s="65" t="n">
        <f aca="false">IF('Onshore- Melbourne'!E272="","-",'Onshore- Melbourne'!E272)</f>
        <v>2083</v>
      </c>
      <c r="H793" s="63" t="n">
        <f aca="false">IF(ISNUMBER(K793),COUNTIFS($J$6:$J$1916,J793,$K$6:$K$1916,"&lt;"&amp;K793)+1,"-")</f>
        <v>3</v>
      </c>
      <c r="I793" s="64" t="str">
        <f aca="false">IF('Onshore- Melbourne'!E272="","Harga belum tersedia - hubungi konsultan TEG",IF(M793=2,"Saat ini tidak menerima pendaftaran siswa internasional baru",IF(M793=1,"Harga perlu dikonfirmasi ke sekolah"&amp;IF(""="","","; "&amp;""),"")))</f>
        <v/>
      </c>
      <c r="J793" s="0" t="s">
        <v>4031</v>
      </c>
      <c r="K793" s="0" t="n">
        <f aca="false">IF(M793=2,"",IF(ISNUMBER(SEARCH("rata-rata:",'Onshore- Melbourne'!M272)),VALUE(MID('Onshore- Melbourne'!M272,SEARCH("rata-rata:",'Onshore- Melbourne'!M272)+11,FIND(";",'Onshore- Melbourne'!M272&amp;";",SEARCH("rata-rata:",'Onshore- Melbourne'!M272))-SEARCH("rata-rata:",'Onshore- Melbourne'!M272)-11)),IF('Onshore- Melbourne'!D272="Semester",'Onshore- Melbourne'!E272*2,IF('Onshore- Melbourne'!D272="Trimester",'Onshore- Melbourne'!E272*3,IF('Onshore- Melbourne'!D272="Term",'Onshore- Melbourne'!E272*4,IF('Onshore- Melbourne'!D272="Unit",'Onshore- Melbourne'!E272*8,""))))))</f>
        <v>8332</v>
      </c>
      <c r="L793" s="0" t="n">
        <f aca="false">IF(AND(ISNUMBER('Onshore- Melbourne'!E272),ISNUMBER(K793),ISNUMBER('Onshore- Melbourne'!F272),ISNUMBER('Onshore- Melbourne'!G272),OR('Onshore- Melbourne'!F272&lt;&gt;0,ISNUMBER(SEARCH("Material 0 terverifikasi",'Onshore- Melbourne'!M272))),OR('Onshore- Melbourne'!G272&lt;&gt;0,ISNUMBER(SEARCH("Enrolment 0 terverifikasi",'Onshore- Melbourne'!M272)))),1,0)</f>
        <v>1</v>
      </c>
      <c r="M793" s="0" t="n">
        <f aca="false">IF(OR('Onshore- Melbourne'!E272="",ISNUMBER(SEARCH("BSB80120",'Onshore- Melbourne'!B272&amp;'Onshore- Melbourne'!M272)),ISNUMBER(SEARCH("Management (Learning)",'Onshore- Melbourne'!B272))),2,IF(ISNUMBER(SEARCH("CEK:",'Onshore- Melbourne'!M272)),1,0))</f>
        <v>0</v>
      </c>
    </row>
    <row r="794" customFormat="false" ht="28.35" hidden="false" customHeight="false" outlineLevel="0" collapsed="false">
      <c r="A794" s="63" t="s">
        <v>3544</v>
      </c>
      <c r="B794" s="64" t="s">
        <v>3990</v>
      </c>
      <c r="C794" s="63" t="s">
        <v>39</v>
      </c>
      <c r="D794" s="64" t="str">
        <f aca="false">TRIM(LEFT('Onshore- Melbourne'!A208,FIND(CHAR(10),'Onshore- Melbourne'!A208&amp;CHAR(10))-1))</f>
        <v>Australian Institute of Digital Technology (AIDT)</v>
      </c>
      <c r="E794" s="63" t="str">
        <f aca="false">'Onshore- Melbourne'!C212&amp;""</f>
        <v>1,5 years</v>
      </c>
      <c r="F794" s="63" t="str">
        <f aca="false">IF('Onshore- Melbourne'!D212="","Belum tercatat",'Onshore- Melbourne'!D212)</f>
        <v>Term</v>
      </c>
      <c r="G794" s="65" t="n">
        <f aca="false">IF('Onshore- Melbourne'!E212="","-",'Onshore- Melbourne'!E212)</f>
        <v>2200</v>
      </c>
      <c r="H794" s="63" t="n">
        <f aca="false">IF(ISNUMBER(K794),COUNTIFS($J$6:$J$1916,J794,$K$6:$K$1916,"&lt;"&amp;K794)+1,"-")</f>
        <v>4</v>
      </c>
      <c r="I794" s="64" t="str">
        <f aca="false">IF('Onshore- Melbourne'!E212="","Harga belum tersedia - hubungi konsultan TEG",IF(M794=2,"Saat ini tidak menerima pendaftaran siswa internasional baru",IF(M794=1,"Harga perlu dikonfirmasi ke sekolah"&amp;IF(""="","","; "&amp;""),"")))</f>
        <v/>
      </c>
      <c r="J794" s="0" t="s">
        <v>4031</v>
      </c>
      <c r="K794" s="0" t="n">
        <f aca="false">IF(M794=2,"",IF(ISNUMBER(SEARCH("rata-rata:",'Onshore- Melbourne'!M212)),VALUE(MID('Onshore- Melbourne'!M212,SEARCH("rata-rata:",'Onshore- Melbourne'!M212)+11,FIND(";",'Onshore- Melbourne'!M212&amp;";",SEARCH("rata-rata:",'Onshore- Melbourne'!M212))-SEARCH("rata-rata:",'Onshore- Melbourne'!M212)-11)),IF('Onshore- Melbourne'!D212="Semester",'Onshore- Melbourne'!E212*2,IF('Onshore- Melbourne'!D212="Trimester",'Onshore- Melbourne'!E212*3,IF('Onshore- Melbourne'!D212="Term",'Onshore- Melbourne'!E212*4,IF('Onshore- Melbourne'!D212="Unit",'Onshore- Melbourne'!E212*8,""))))))</f>
        <v>8800</v>
      </c>
      <c r="L794" s="0" t="n">
        <f aca="false">IF(AND(ISNUMBER('Onshore- Melbourne'!E212),ISNUMBER(K794),ISNUMBER('Onshore- Melbourne'!F212),ISNUMBER('Onshore- Melbourne'!G212),OR('Onshore- Melbourne'!F212&lt;&gt;0,ISNUMBER(SEARCH("Material 0 terverifikasi",'Onshore- Melbourne'!M212))),OR('Onshore- Melbourne'!G212&lt;&gt;0,ISNUMBER(SEARCH("Enrolment 0 terverifikasi",'Onshore- Melbourne'!M212)))),1,0)</f>
        <v>1</v>
      </c>
      <c r="M794" s="0" t="n">
        <f aca="false">IF(OR('Onshore- Melbourne'!E212="",ISNUMBER(SEARCH("BSB80120",'Onshore- Melbourne'!B212&amp;'Onshore- Melbourne'!M212)),ISNUMBER(SEARCH("Management (Learning)",'Onshore- Melbourne'!B212))),2,IF(ISNUMBER(SEARCH("CEK:",'Onshore- Melbourne'!M212)),1,0))</f>
        <v>0</v>
      </c>
    </row>
    <row r="795" customFormat="false" ht="28.35" hidden="false" customHeight="false" outlineLevel="0" collapsed="false">
      <c r="A795" s="63" t="s">
        <v>3544</v>
      </c>
      <c r="B795" s="64" t="s">
        <v>3990</v>
      </c>
      <c r="C795" s="63" t="s">
        <v>39</v>
      </c>
      <c r="D795" s="64" t="str">
        <f aca="false">TRIM(LEFT('Onshore- Melbourne'!A407,FIND(CHAR(10),'Onshore- Melbourne'!A407&amp;CHAR(10))-1))</f>
        <v>Sacred Heart International College (SHIC)</v>
      </c>
      <c r="E795" s="63" t="str">
        <f aca="false">'Onshore- Melbourne'!C411&amp;""</f>
        <v>1,5 years</v>
      </c>
      <c r="F795" s="63" t="str">
        <f aca="false">IF('Onshore- Melbourne'!D411="","Belum tercatat",'Onshore- Melbourne'!D411)</f>
        <v>Term</v>
      </c>
      <c r="G795" s="65" t="n">
        <f aca="false">IF('Onshore- Melbourne'!E411="","-",'Onshore- Melbourne'!E411)</f>
        <v>2300</v>
      </c>
      <c r="H795" s="63" t="n">
        <f aca="false">IF(ISNUMBER(K795),COUNTIFS($J$6:$J$1916,J795,$K$6:$K$1916,"&lt;"&amp;K795)+1,"-")</f>
        <v>5</v>
      </c>
      <c r="I795" s="64" t="str">
        <f aca="false">IF('Onshore- Melbourne'!E411="","Harga belum tersedia - hubungi konsultan TEG",IF(M795=2,"Saat ini tidak menerima pendaftaran siswa internasional baru",IF(M795=1,"Harga promo sudah berakhir - konfirmasi harga terbaru"&amp;IF(""="","","; "&amp;""),"")))</f>
        <v>Harga promo sudah berakhir - konfirmasi harga terbaru</v>
      </c>
      <c r="J795" s="0" t="s">
        <v>4031</v>
      </c>
      <c r="K795" s="0" t="n">
        <f aca="false">IF(M795=2,"",IF(ISNUMBER(SEARCH("rata-rata:",'Onshore- Melbourne'!M411)),VALUE(MID('Onshore- Melbourne'!M411,SEARCH("rata-rata:",'Onshore- Melbourne'!M411)+11,FIND(";",'Onshore- Melbourne'!M411&amp;";",SEARCH("rata-rata:",'Onshore- Melbourne'!M411))-SEARCH("rata-rata:",'Onshore- Melbourne'!M411)-11)),IF('Onshore- Melbourne'!D411="Semester",'Onshore- Melbourne'!E411*2,IF('Onshore- Melbourne'!D411="Trimester",'Onshore- Melbourne'!E411*3,IF('Onshore- Melbourne'!D411="Term",'Onshore- Melbourne'!E411*4,IF('Onshore- Melbourne'!D411="Unit",'Onshore- Melbourne'!E411*8,""))))))</f>
        <v>9200</v>
      </c>
      <c r="L795" s="0" t="n">
        <f aca="false">IF(AND(ISNUMBER('Onshore- Melbourne'!E411),ISNUMBER(K795),ISNUMBER('Onshore- Melbourne'!F411),ISNUMBER('Onshore- Melbourne'!G411),OR('Onshore- Melbourne'!F411&lt;&gt;0,ISNUMBER(SEARCH("Material 0 terverifikasi",'Onshore- Melbourne'!M411))),OR('Onshore- Melbourne'!G411&lt;&gt;0,ISNUMBER(SEARCH("Enrolment 0 terverifikasi",'Onshore- Melbourne'!M411)))),1,0)</f>
        <v>1</v>
      </c>
      <c r="M795" s="0" t="n">
        <f aca="false">IF(OR('Onshore- Melbourne'!E411="",ISNUMBER(SEARCH("BSB80120",'Onshore- Melbourne'!B411&amp;'Onshore- Melbourne'!M411)),ISNUMBER(SEARCH("Management (Learning)",'Onshore- Melbourne'!B411))),2,IF(ISNUMBER(SEARCH("CEK:",'Onshore- Melbourne'!M411)),1,0))</f>
        <v>1</v>
      </c>
    </row>
    <row r="796" customFormat="false" ht="28.35" hidden="false" customHeight="false" outlineLevel="0" collapsed="false">
      <c r="A796" s="63" t="s">
        <v>3544</v>
      </c>
      <c r="B796" s="64" t="s">
        <v>3990</v>
      </c>
      <c r="C796" s="63" t="s">
        <v>39</v>
      </c>
      <c r="D796" s="64" t="str">
        <f aca="false">TRIM(LEFT('Onshore- Melbourne'!A65,FIND(CHAR(10),'Onshore- Melbourne'!A65&amp;CHAR(10))-1))</f>
        <v>ALTEC College</v>
      </c>
      <c r="E796" s="63" t="str">
        <f aca="false">'Onshore- Melbourne'!C68&amp;""</f>
        <v>2 years</v>
      </c>
      <c r="F796" s="63" t="str">
        <f aca="false">IF('Onshore- Melbourne'!D68="","Belum tercatat",'Onshore- Melbourne'!D68)</f>
        <v>Term</v>
      </c>
      <c r="G796" s="65" t="n">
        <f aca="false">IF('Onshore- Melbourne'!E68="","-",'Onshore- Melbourne'!E68)</f>
        <v>2500</v>
      </c>
      <c r="H796" s="63" t="n">
        <f aca="false">IF(ISNUMBER(K796),COUNTIFS($J$6:$J$1916,J796,$K$6:$K$1916,"&lt;"&amp;K796)+1,"-")</f>
        <v>6</v>
      </c>
      <c r="I796" s="64" t="str">
        <f aca="false">IF('Onshore- Melbourne'!E68="","Harga belum tersedia - hubungi konsultan TEG",IF(M796=2,"Saat ini tidak menerima pendaftaran siswa internasional baru",IF(M796=1,"Harga perlu dikonfirmasi ke sekolah"&amp;IF(""="","","; "&amp;""),"")))</f>
        <v/>
      </c>
      <c r="J796" s="0" t="s">
        <v>4031</v>
      </c>
      <c r="K796" s="0" t="n">
        <f aca="false">IF(M796=2,"",IF(ISNUMBER(SEARCH("rata-rata:",'Onshore- Melbourne'!M68)),VALUE(MID('Onshore- Melbourne'!M68,SEARCH("rata-rata:",'Onshore- Melbourne'!M68)+11,FIND(";",'Onshore- Melbourne'!M68&amp;";",SEARCH("rata-rata:",'Onshore- Melbourne'!M68))-SEARCH("rata-rata:",'Onshore- Melbourne'!M68)-11)),IF('Onshore- Melbourne'!D68="Semester",'Onshore- Melbourne'!E68*2,IF('Onshore- Melbourne'!D68="Trimester",'Onshore- Melbourne'!E68*3,IF('Onshore- Melbourne'!D68="Term",'Onshore- Melbourne'!E68*4,IF('Onshore- Melbourne'!D68="Unit",'Onshore- Melbourne'!E68*8,""))))))</f>
        <v>10000</v>
      </c>
      <c r="L796" s="0" t="n">
        <f aca="false">IF(AND(ISNUMBER('Onshore- Melbourne'!E68),ISNUMBER(K796),ISNUMBER('Onshore- Melbourne'!F68),ISNUMBER('Onshore- Melbourne'!G68),OR('Onshore- Melbourne'!F68&lt;&gt;0,ISNUMBER(SEARCH("Material 0 terverifikasi",'Onshore- Melbourne'!M68))),OR('Onshore- Melbourne'!G68&lt;&gt;0,ISNUMBER(SEARCH("Enrolment 0 terverifikasi",'Onshore- Melbourne'!M68)))),1,0)</f>
        <v>1</v>
      </c>
      <c r="M796" s="0" t="n">
        <f aca="false">IF(OR('Onshore- Melbourne'!E68="",ISNUMBER(SEARCH("BSB80120",'Onshore- Melbourne'!B68&amp;'Onshore- Melbourne'!M68)),ISNUMBER(SEARCH("Management (Learning)",'Onshore- Melbourne'!B68))),2,IF(ISNUMBER(SEARCH("CEK:",'Onshore- Melbourne'!M68)),1,0))</f>
        <v>0</v>
      </c>
    </row>
    <row r="797" customFormat="false" ht="28.35" hidden="false" customHeight="false" outlineLevel="0" collapsed="false">
      <c r="A797" s="63" t="s">
        <v>3544</v>
      </c>
      <c r="B797" s="64" t="s">
        <v>3990</v>
      </c>
      <c r="C797" s="63" t="s">
        <v>39</v>
      </c>
      <c r="D797" s="64" t="str">
        <f aca="false">TRIM(LEFT('Onshore- Melbourne'!A429,FIND(CHAR(10),'Onshore- Melbourne'!A429&amp;CHAR(10))-1))</f>
        <v>States College Australia</v>
      </c>
      <c r="E797" s="63" t="str">
        <f aca="false">'Onshore- Melbourne'!C433&amp;""</f>
        <v>1 year</v>
      </c>
      <c r="F797" s="63" t="str">
        <f aca="false">IF('Onshore- Melbourne'!D433="","Belum tercatat",'Onshore- Melbourne'!D433)</f>
        <v>Term</v>
      </c>
      <c r="G797" s="65" t="n">
        <f aca="false">IF('Onshore- Melbourne'!E433="","-",'Onshore- Melbourne'!E433)</f>
        <v>2500</v>
      </c>
      <c r="H797" s="63" t="n">
        <f aca="false">IF(ISNUMBER(K797),COUNTIFS($J$6:$J$1916,J797,$K$6:$K$1916,"&lt;"&amp;K797)+1,"-")</f>
        <v>6</v>
      </c>
      <c r="I797" s="64" t="str">
        <f aca="false">IF('Onshore- Melbourne'!E433="","Harga belum tersedia - hubungi konsultan TEG",IF(M797=2,"Saat ini tidak menerima pendaftaran siswa internasional baru",IF(M797=1,"Harga perlu dikonfirmasi ke sekolah"&amp;IF(""="","","; "&amp;""),"")))</f>
        <v/>
      </c>
      <c r="J797" s="0" t="s">
        <v>4031</v>
      </c>
      <c r="K797" s="0" t="n">
        <f aca="false">IF(M797=2,"",IF(ISNUMBER(SEARCH("rata-rata:",'Onshore- Melbourne'!M433)),VALUE(MID('Onshore- Melbourne'!M433,SEARCH("rata-rata:",'Onshore- Melbourne'!M433)+11,FIND(";",'Onshore- Melbourne'!M433&amp;";",SEARCH("rata-rata:",'Onshore- Melbourne'!M433))-SEARCH("rata-rata:",'Onshore- Melbourne'!M433)-11)),IF('Onshore- Melbourne'!D433="Semester",'Onshore- Melbourne'!E433*2,IF('Onshore- Melbourne'!D433="Trimester",'Onshore- Melbourne'!E433*3,IF('Onshore- Melbourne'!D433="Term",'Onshore- Melbourne'!E433*4,IF('Onshore- Melbourne'!D433="Unit",'Onshore- Melbourne'!E433*8,""))))))</f>
        <v>10000</v>
      </c>
      <c r="L797" s="0" t="n">
        <f aca="false">IF(AND(ISNUMBER('Onshore- Melbourne'!E433),ISNUMBER(K797),ISNUMBER('Onshore- Melbourne'!F433),ISNUMBER('Onshore- Melbourne'!G433),OR('Onshore- Melbourne'!F433&lt;&gt;0,ISNUMBER(SEARCH("Material 0 terverifikasi",'Onshore- Melbourne'!M433))),OR('Onshore- Melbourne'!G433&lt;&gt;0,ISNUMBER(SEARCH("Enrolment 0 terverifikasi",'Onshore- Melbourne'!M433)))),1,0)</f>
        <v>1</v>
      </c>
      <c r="M797" s="0" t="n">
        <f aca="false">IF(OR('Onshore- Melbourne'!E433="",ISNUMBER(SEARCH("BSB80120",'Onshore- Melbourne'!B433&amp;'Onshore- Melbourne'!M433)),ISNUMBER(SEARCH("Management (Learning)",'Onshore- Melbourne'!B433))),2,IF(ISNUMBER(SEARCH("CEK:",'Onshore- Melbourne'!M433)),1,0))</f>
        <v>0</v>
      </c>
    </row>
    <row r="798" customFormat="false" ht="28.35" hidden="false" customHeight="false" outlineLevel="0" collapsed="false">
      <c r="A798" s="63" t="s">
        <v>3544</v>
      </c>
      <c r="B798" s="64" t="s">
        <v>3990</v>
      </c>
      <c r="C798" s="63" t="s">
        <v>39</v>
      </c>
      <c r="D798" s="64" t="str">
        <f aca="false">TRIM(LEFT('Onshore- Melbourne'!A417,FIND(CHAR(10),'Onshore- Melbourne'!A417&amp;CHAR(10))-1))</f>
        <v>Signet Institute of Australia</v>
      </c>
      <c r="E798" s="63" t="str">
        <f aca="false">'Onshore- Melbourne'!C417&amp;""</f>
        <v>2 years</v>
      </c>
      <c r="F798" s="63" t="str">
        <f aca="false">IF('Onshore- Melbourne'!D417="","Belum tercatat",'Onshore- Melbourne'!D417)</f>
        <v>Term</v>
      </c>
      <c r="G798" s="65" t="n">
        <f aca="false">IF('Onshore- Melbourne'!E417="","-",'Onshore- Melbourne'!E417)</f>
        <v>3650</v>
      </c>
      <c r="H798" s="63" t="n">
        <f aca="false">IF(ISNUMBER(K798),COUNTIFS($J$6:$J$1916,J798,$K$6:$K$1916,"&lt;"&amp;K798)+1,"-")</f>
        <v>8</v>
      </c>
      <c r="I798" s="64" t="str">
        <f aca="false">IF('Onshore- Melbourne'!E417="","Harga belum tersedia - hubungi konsultan TEG",IF(M798=2,"Saat ini tidak menerima pendaftaran siswa internasional baru",IF(M798=1,"Harga perlu dikonfirmasi ke sekolah"&amp;IF(""="","","; "&amp;""),"")))</f>
        <v/>
      </c>
      <c r="J798" s="0" t="s">
        <v>4031</v>
      </c>
      <c r="K798" s="0" t="n">
        <f aca="false">IF(M798=2,"",IF(ISNUMBER(SEARCH("rata-rata:",'Onshore- Melbourne'!M417)),VALUE(MID('Onshore- Melbourne'!M417,SEARCH("rata-rata:",'Onshore- Melbourne'!M417)+11,FIND(";",'Onshore- Melbourne'!M417&amp;";",SEARCH("rata-rata:",'Onshore- Melbourne'!M417))-SEARCH("rata-rata:",'Onshore- Melbourne'!M417)-11)),IF('Onshore- Melbourne'!D417="Semester",'Onshore- Melbourne'!E417*2,IF('Onshore- Melbourne'!D417="Trimester",'Onshore- Melbourne'!E417*3,IF('Onshore- Melbourne'!D417="Term",'Onshore- Melbourne'!E417*4,IF('Onshore- Melbourne'!D417="Unit",'Onshore- Melbourne'!E417*8,""))))))</f>
        <v>14600</v>
      </c>
      <c r="L798" s="0" t="n">
        <f aca="false">IF(AND(ISNUMBER('Onshore- Melbourne'!E417),ISNUMBER(K798),ISNUMBER('Onshore- Melbourne'!F417),ISNUMBER('Onshore- Melbourne'!G417),OR('Onshore- Melbourne'!F417&lt;&gt;0,ISNUMBER(SEARCH("Material 0 terverifikasi",'Onshore- Melbourne'!M417))),OR('Onshore- Melbourne'!G417&lt;&gt;0,ISNUMBER(SEARCH("Enrolment 0 terverifikasi",'Onshore- Melbourne'!M417)))),1,0)</f>
        <v>1</v>
      </c>
      <c r="M798" s="0" t="n">
        <f aca="false">IF(OR('Onshore- Melbourne'!E417="",ISNUMBER(SEARCH("BSB80120",'Onshore- Melbourne'!B417&amp;'Onshore- Melbourne'!M417)),ISNUMBER(SEARCH("Management (Learning)",'Onshore- Melbourne'!B417))),2,IF(ISNUMBER(SEARCH("CEK:",'Onshore- Melbourne'!M417)),1,0))</f>
        <v>0</v>
      </c>
    </row>
    <row r="799" customFormat="false" ht="15" hidden="false" customHeight="false" outlineLevel="0" collapsed="false">
      <c r="A799" s="61" t="s">
        <v>4032</v>
      </c>
      <c r="B799" s="62"/>
      <c r="C799" s="62"/>
      <c r="D799" s="62"/>
      <c r="E799" s="62"/>
      <c r="F799" s="62"/>
      <c r="G799" s="62"/>
      <c r="H799" s="62"/>
      <c r="I799" s="62"/>
    </row>
    <row r="800" customFormat="false" ht="28.35" hidden="false" customHeight="false" outlineLevel="0" collapsed="false">
      <c r="A800" s="63" t="s">
        <v>3544</v>
      </c>
      <c r="B800" s="64" t="s">
        <v>3990</v>
      </c>
      <c r="C800" s="63" t="s">
        <v>40</v>
      </c>
      <c r="D800" s="64" t="str">
        <f aca="false">TRIM(LEFT('Onshore- Melbourne'!A561,FIND(CHAR(10),'Onshore- Melbourne'!A561&amp;CHAR(10))-1))</f>
        <v>TR4INRIGHT</v>
      </c>
      <c r="E800" s="63" t="str">
        <f aca="false">'Onshore- Melbourne'!C561&amp;""</f>
        <v>2 years</v>
      </c>
      <c r="F800" s="63" t="str">
        <f aca="false">IF('Onshore- Melbourne'!D561="","Belum tercatat",'Onshore- Melbourne'!D561)</f>
        <v>Term</v>
      </c>
      <c r="G800" s="65" t="n">
        <f aca="false">IF('Onshore- Melbourne'!E561="","-",'Onshore- Melbourne'!E561)</f>
        <v>1500</v>
      </c>
      <c r="H800" s="63" t="n">
        <f aca="false">IF(ISNUMBER(K800),COUNTIFS($J$6:$J$1916,J800,$K$6:$K$1916,"&lt;"&amp;K800)+1,"-")</f>
        <v>1</v>
      </c>
      <c r="I800" s="64" t="str">
        <f aca="false">IF('Onshore- Melbourne'!E561="","Harga belum tersedia - hubungi konsultan TEG",IF(M800=2,"Saat ini tidak menerima pendaftaran siswa internasional baru",IF(M800=1,"Harga perlu dikonfirmasi ke sekolah"&amp;IF(""="","","; "&amp;""),"")))</f>
        <v/>
      </c>
      <c r="J800" s="0" t="s">
        <v>4033</v>
      </c>
      <c r="K800" s="0" t="n">
        <f aca="false">IF(M800=2,"",IF(ISNUMBER(SEARCH("rata-rata:",'Onshore- Melbourne'!M561)),VALUE(MID('Onshore- Melbourne'!M561,SEARCH("rata-rata:",'Onshore- Melbourne'!M561)+11,FIND(";",'Onshore- Melbourne'!M561&amp;";",SEARCH("rata-rata:",'Onshore- Melbourne'!M561))-SEARCH("rata-rata:",'Onshore- Melbourne'!M561)-11)),IF('Onshore- Melbourne'!D561="Semester",'Onshore- Melbourne'!E561*2,IF('Onshore- Melbourne'!D561="Trimester",'Onshore- Melbourne'!E561*3,IF('Onshore- Melbourne'!D561="Term",'Onshore- Melbourne'!E561*4,IF('Onshore- Melbourne'!D561="Unit",'Onshore- Melbourne'!E561*8,""))))))</f>
        <v>6000</v>
      </c>
      <c r="L800" s="0" t="n">
        <f aca="false">IF(AND(ISNUMBER('Onshore- Melbourne'!E561),ISNUMBER(K800),ISNUMBER('Onshore- Melbourne'!F561),ISNUMBER('Onshore- Melbourne'!G561),OR('Onshore- Melbourne'!F561&lt;&gt;0,ISNUMBER(SEARCH("Material 0 terverifikasi",'Onshore- Melbourne'!M561))),OR('Onshore- Melbourne'!G561&lt;&gt;0,ISNUMBER(SEARCH("Enrolment 0 terverifikasi",'Onshore- Melbourne'!M561)))),1,0)</f>
        <v>1</v>
      </c>
      <c r="M800" s="0" t="n">
        <f aca="false">IF(OR('Onshore- Melbourne'!E561="",ISNUMBER(SEARCH("BSB80120",'Onshore- Melbourne'!B561&amp;'Onshore- Melbourne'!M561)),ISNUMBER(SEARCH("Management (Learning)",'Onshore- Melbourne'!B561))),2,IF(ISNUMBER(SEARCH("CEK:",'Onshore- Melbourne'!M561)),1,0))</f>
        <v>0</v>
      </c>
    </row>
    <row r="801" customFormat="false" ht="28.35" hidden="false" customHeight="false" outlineLevel="0" collapsed="false">
      <c r="A801" s="63" t="s">
        <v>3544</v>
      </c>
      <c r="B801" s="64" t="s">
        <v>3990</v>
      </c>
      <c r="C801" s="63" t="s">
        <v>40</v>
      </c>
      <c r="D801" s="64" t="str">
        <f aca="false">TRIM(LEFT('Onshore- Melbourne'!A377,FIND(CHAR(10),'Onshore- Melbourne'!A377&amp;CHAR(10))-1))</f>
        <v>National Training College of Australia (NTCA)</v>
      </c>
      <c r="E801" s="63" t="str">
        <f aca="false">'Onshore- Melbourne'!C377&amp;""</f>
        <v>2 years</v>
      </c>
      <c r="F801" s="63" t="str">
        <f aca="false">IF('Onshore- Melbourne'!D377="","Belum tercatat",'Onshore- Melbourne'!D377)</f>
        <v>Term</v>
      </c>
      <c r="G801" s="65" t="n">
        <f aca="false">IF('Onshore- Melbourne'!E377="","-",'Onshore- Melbourne'!E377)</f>
        <v>2000</v>
      </c>
      <c r="H801" s="63" t="n">
        <f aca="false">IF(ISNUMBER(K801),COUNTIFS($J$6:$J$1916,J801,$K$6:$K$1916,"&lt;"&amp;K801)+1,"-")</f>
        <v>2</v>
      </c>
      <c r="I801" s="64" t="str">
        <f aca="false">IF('Onshore- Melbourne'!E377="","Harga belum tersedia - hubungi konsultan TEG",IF(M801=2,"Saat ini tidak menerima pendaftaran siswa internasional baru",IF(M801=1,"Harga perlu dikonfirmasi ke sekolah"&amp;IF(""="","","; "&amp;""),"")))</f>
        <v/>
      </c>
      <c r="J801" s="0" t="s">
        <v>4033</v>
      </c>
      <c r="K801" s="0" t="n">
        <f aca="false">IF(M801=2,"",IF(ISNUMBER(SEARCH("rata-rata:",'Onshore- Melbourne'!M377)),VALUE(MID('Onshore- Melbourne'!M377,SEARCH("rata-rata:",'Onshore- Melbourne'!M377)+11,FIND(";",'Onshore- Melbourne'!M377&amp;";",SEARCH("rata-rata:",'Onshore- Melbourne'!M377))-SEARCH("rata-rata:",'Onshore- Melbourne'!M377)-11)),IF('Onshore- Melbourne'!D377="Semester",'Onshore- Melbourne'!E377*2,IF('Onshore- Melbourne'!D377="Trimester",'Onshore- Melbourne'!E377*3,IF('Onshore- Melbourne'!D377="Term",'Onshore- Melbourne'!E377*4,IF('Onshore- Melbourne'!D377="Unit",'Onshore- Melbourne'!E377*8,""))))))</f>
        <v>8000</v>
      </c>
      <c r="L801" s="0" t="n">
        <f aca="false">IF(AND(ISNUMBER('Onshore- Melbourne'!E377),ISNUMBER(K801),ISNUMBER('Onshore- Melbourne'!F377),ISNUMBER('Onshore- Melbourne'!G377),OR('Onshore- Melbourne'!F377&lt;&gt;0,ISNUMBER(SEARCH("Material 0 terverifikasi",'Onshore- Melbourne'!M377))),OR('Onshore- Melbourne'!G377&lt;&gt;0,ISNUMBER(SEARCH("Enrolment 0 terverifikasi",'Onshore- Melbourne'!M377)))),1,0)</f>
        <v>1</v>
      </c>
      <c r="M801" s="0" t="n">
        <f aca="false">IF(OR('Onshore- Melbourne'!E377="",ISNUMBER(SEARCH("BSB80120",'Onshore- Melbourne'!B377&amp;'Onshore- Melbourne'!M377)),ISNUMBER(SEARCH("Management (Learning)",'Onshore- Melbourne'!B377))),2,IF(ISNUMBER(SEARCH("CEK:",'Onshore- Melbourne'!M377)),1,0))</f>
        <v>0</v>
      </c>
    </row>
    <row r="802" customFormat="false" ht="28.35" hidden="false" customHeight="false" outlineLevel="0" collapsed="false">
      <c r="A802" s="63" t="s">
        <v>3544</v>
      </c>
      <c r="B802" s="64" t="s">
        <v>3990</v>
      </c>
      <c r="C802" s="63" t="s">
        <v>40</v>
      </c>
      <c r="D802" s="64" t="str">
        <f aca="false">TRIM(LEFT('Onshore- Melbourne'!A271,FIND(CHAR(10),'Onshore- Melbourne'!A271&amp;CHAR(10))-1))</f>
        <v>Everthought College of Construction</v>
      </c>
      <c r="E802" s="63" t="str">
        <f aca="false">'Onshore- Melbourne'!C274&amp;""</f>
        <v>2,5 years</v>
      </c>
      <c r="F802" s="63" t="str">
        <f aca="false">IF('Onshore- Melbourne'!D274="","Belum tercatat",'Onshore- Melbourne'!D274)</f>
        <v>Term</v>
      </c>
      <c r="G802" s="65" t="n">
        <f aca="false">IF('Onshore- Melbourne'!E274="","-",'Onshore- Melbourne'!E274)</f>
        <v>2083</v>
      </c>
      <c r="H802" s="63" t="n">
        <f aca="false">IF(ISNUMBER(K802),COUNTIFS($J$6:$J$1916,J802,$K$6:$K$1916,"&lt;"&amp;K802)+1,"-")</f>
        <v>3</v>
      </c>
      <c r="I802" s="64" t="str">
        <f aca="false">IF('Onshore- Melbourne'!E274="","Harga belum tersedia - hubungi konsultan TEG",IF(M802=2,"Saat ini tidak menerima pendaftaran siswa internasional baru",IF(M802=1,"Harga perlu dikonfirmasi ke sekolah"&amp;IF(""="","","; "&amp;""),"")))</f>
        <v/>
      </c>
      <c r="J802" s="0" t="s">
        <v>4033</v>
      </c>
      <c r="K802" s="0" t="n">
        <f aca="false">IF(M802=2,"",IF(ISNUMBER(SEARCH("rata-rata:",'Onshore- Melbourne'!M274)),VALUE(MID('Onshore- Melbourne'!M274,SEARCH("rata-rata:",'Onshore- Melbourne'!M274)+11,FIND(";",'Onshore- Melbourne'!M274&amp;";",SEARCH("rata-rata:",'Onshore- Melbourne'!M274))-SEARCH("rata-rata:",'Onshore- Melbourne'!M274)-11)),IF('Onshore- Melbourne'!D274="Semester",'Onshore- Melbourne'!E274*2,IF('Onshore- Melbourne'!D274="Trimester",'Onshore- Melbourne'!E274*3,IF('Onshore- Melbourne'!D274="Term",'Onshore- Melbourne'!E274*4,IF('Onshore- Melbourne'!D274="Unit",'Onshore- Melbourne'!E274*8,""))))))</f>
        <v>8332</v>
      </c>
      <c r="L802" s="0" t="n">
        <f aca="false">IF(AND(ISNUMBER('Onshore- Melbourne'!E274),ISNUMBER(K802),ISNUMBER('Onshore- Melbourne'!F274),ISNUMBER('Onshore- Melbourne'!G274),OR('Onshore- Melbourne'!F274&lt;&gt;0,ISNUMBER(SEARCH("Material 0 terverifikasi",'Onshore- Melbourne'!M274))),OR('Onshore- Melbourne'!G274&lt;&gt;0,ISNUMBER(SEARCH("Enrolment 0 terverifikasi",'Onshore- Melbourne'!M274)))),1,0)</f>
        <v>1</v>
      </c>
      <c r="M802" s="0" t="n">
        <f aca="false">IF(OR('Onshore- Melbourne'!E274="",ISNUMBER(SEARCH("BSB80120",'Onshore- Melbourne'!B274&amp;'Onshore- Melbourne'!M274)),ISNUMBER(SEARCH("Management (Learning)",'Onshore- Melbourne'!B274))),2,IF(ISNUMBER(SEARCH("CEK:",'Onshore- Melbourne'!M274)),1,0))</f>
        <v>0</v>
      </c>
    </row>
    <row r="803" customFormat="false" ht="28.35" hidden="false" customHeight="false" outlineLevel="0" collapsed="false">
      <c r="A803" s="63" t="s">
        <v>3544</v>
      </c>
      <c r="B803" s="64" t="s">
        <v>3990</v>
      </c>
      <c r="C803" s="63" t="s">
        <v>40</v>
      </c>
      <c r="D803" s="64" t="str">
        <f aca="false">TRIM(LEFT('Onshore- Melbourne'!A353,FIND(CHAR(10),'Onshore- Melbourne'!A353&amp;CHAR(10))-1))</f>
        <v>Matic International College</v>
      </c>
      <c r="E803" s="63" t="str">
        <f aca="false">'Onshore- Melbourne'!C353&amp;""</f>
        <v>1 year</v>
      </c>
      <c r="F803" s="63" t="str">
        <f aca="false">IF('Onshore- Melbourne'!D353="","Belum tercatat",'Onshore- Melbourne'!D353)</f>
        <v>Term</v>
      </c>
      <c r="G803" s="65" t="n">
        <f aca="false">IF('Onshore- Melbourne'!E353="","-",'Onshore- Melbourne'!E353)</f>
        <v>3250</v>
      </c>
      <c r="H803" s="63" t="n">
        <f aca="false">IF(ISNUMBER(K803),COUNTIFS($J$6:$J$1916,J803,$K$6:$K$1916,"&lt;"&amp;K803)+1,"-")</f>
        <v>4</v>
      </c>
      <c r="I803" s="64" t="str">
        <f aca="false">IF('Onshore- Melbourne'!E353="","Harga belum tersedia - hubungi konsultan TEG",IF(M803=2,"Saat ini tidak menerima pendaftaran siswa internasional baru",IF(M803=1,"Harga perlu dikonfirmasi ke sekolah"&amp;IF(""="","","; "&amp;""),"")))</f>
        <v/>
      </c>
      <c r="J803" s="0" t="s">
        <v>4033</v>
      </c>
      <c r="K803" s="0" t="n">
        <f aca="false">IF(M803=2,"",IF(ISNUMBER(SEARCH("rata-rata:",'Onshore- Melbourne'!M353)),VALUE(MID('Onshore- Melbourne'!M353,SEARCH("rata-rata:",'Onshore- Melbourne'!M353)+11,FIND(";",'Onshore- Melbourne'!M353&amp;";",SEARCH("rata-rata:",'Onshore- Melbourne'!M353))-SEARCH("rata-rata:",'Onshore- Melbourne'!M353)-11)),IF('Onshore- Melbourne'!D353="Semester",'Onshore- Melbourne'!E353*2,IF('Onshore- Melbourne'!D353="Trimester",'Onshore- Melbourne'!E353*3,IF('Onshore- Melbourne'!D353="Term",'Onshore- Melbourne'!E353*4,IF('Onshore- Melbourne'!D353="Unit",'Onshore- Melbourne'!E353*8,""))))))</f>
        <v>13000</v>
      </c>
      <c r="L803" s="0" t="n">
        <f aca="false">IF(AND(ISNUMBER('Onshore- Melbourne'!E353),ISNUMBER(K803),ISNUMBER('Onshore- Melbourne'!F353),ISNUMBER('Onshore- Melbourne'!G353),OR('Onshore- Melbourne'!F353&lt;&gt;0,ISNUMBER(SEARCH("Material 0 terverifikasi",'Onshore- Melbourne'!M353))),OR('Onshore- Melbourne'!G353&lt;&gt;0,ISNUMBER(SEARCH("Enrolment 0 terverifikasi",'Onshore- Melbourne'!M353)))),1,0)</f>
        <v>1</v>
      </c>
      <c r="M803" s="0" t="n">
        <f aca="false">IF(OR('Onshore- Melbourne'!E353="",ISNUMBER(SEARCH("BSB80120",'Onshore- Melbourne'!B353&amp;'Onshore- Melbourne'!M353)),ISNUMBER(SEARCH("Management (Learning)",'Onshore- Melbourne'!B353))),2,IF(ISNUMBER(SEARCH("CEK:",'Onshore- Melbourne'!M353)),1,0))</f>
        <v>0</v>
      </c>
    </row>
    <row r="804" customFormat="false" ht="15" hidden="false" customHeight="false" outlineLevel="0" collapsed="false">
      <c r="A804" s="61" t="s">
        <v>4034</v>
      </c>
      <c r="B804" s="62"/>
      <c r="C804" s="62"/>
      <c r="D804" s="62"/>
      <c r="E804" s="62"/>
      <c r="F804" s="62"/>
      <c r="G804" s="62"/>
      <c r="H804" s="62"/>
      <c r="I804" s="62"/>
    </row>
    <row r="805" customFormat="false" ht="28.35" hidden="false" customHeight="false" outlineLevel="0" collapsed="false">
      <c r="A805" s="63" t="s">
        <v>3544</v>
      </c>
      <c r="B805" s="64" t="s">
        <v>3990</v>
      </c>
      <c r="C805" s="63" t="s">
        <v>41</v>
      </c>
      <c r="D805" s="64" t="str">
        <f aca="false">TRIM(LEFT('Onshore- Melbourne'!A561,FIND(CHAR(10),'Onshore- Melbourne'!A561&amp;CHAR(10))-1))</f>
        <v>TR4INRIGHT</v>
      </c>
      <c r="E805" s="63" t="str">
        <f aca="false">'Onshore- Melbourne'!C562&amp;""</f>
        <v>2,5 years</v>
      </c>
      <c r="F805" s="63" t="str">
        <f aca="false">IF('Onshore- Melbourne'!D562="","Belum tercatat",'Onshore- Melbourne'!D562)</f>
        <v>Term</v>
      </c>
      <c r="G805" s="65" t="n">
        <f aca="false">IF('Onshore- Melbourne'!E562="","-",'Onshore- Melbourne'!E562)</f>
        <v>1700</v>
      </c>
      <c r="H805" s="63" t="n">
        <f aca="false">IF(ISNUMBER(K805),COUNTIFS($J$6:$J$1916,J805,$K$6:$K$1916,"&lt;"&amp;K805)+1,"-")</f>
        <v>1</v>
      </c>
      <c r="I805" s="64" t="str">
        <f aca="false">IF('Onshore- Melbourne'!E562="","Harga belum tersedia - hubungi konsultan TEG",IF(M805=2,"Saat ini tidak menerima pendaftaran siswa internasional baru",IF(M805=1,"Harga perlu dikonfirmasi ke sekolah"&amp;IF(""="","","; "&amp;""),"")))</f>
        <v/>
      </c>
      <c r="J805" s="0" t="s">
        <v>4035</v>
      </c>
      <c r="K805" s="0" t="n">
        <f aca="false">IF(M805=2,"",IF(ISNUMBER(SEARCH("rata-rata:",'Onshore- Melbourne'!M562)),VALUE(MID('Onshore- Melbourne'!M562,SEARCH("rata-rata:",'Onshore- Melbourne'!M562)+11,FIND(";",'Onshore- Melbourne'!M562&amp;";",SEARCH("rata-rata:",'Onshore- Melbourne'!M562))-SEARCH("rata-rata:",'Onshore- Melbourne'!M562)-11)),IF('Onshore- Melbourne'!D562="Semester",'Onshore- Melbourne'!E562*2,IF('Onshore- Melbourne'!D562="Trimester",'Onshore- Melbourne'!E562*3,IF('Onshore- Melbourne'!D562="Term",'Onshore- Melbourne'!E562*4,IF('Onshore- Melbourne'!D562="Unit",'Onshore- Melbourne'!E562*8,""))))))</f>
        <v>6800</v>
      </c>
      <c r="L805" s="0" t="n">
        <f aca="false">IF(AND(ISNUMBER('Onshore- Melbourne'!E562),ISNUMBER(K805),ISNUMBER('Onshore- Melbourne'!F562),ISNUMBER('Onshore- Melbourne'!G562),OR('Onshore- Melbourne'!F562&lt;&gt;0,ISNUMBER(SEARCH("Material 0 terverifikasi",'Onshore- Melbourne'!M562))),OR('Onshore- Melbourne'!G562&lt;&gt;0,ISNUMBER(SEARCH("Enrolment 0 terverifikasi",'Onshore- Melbourne'!M562)))),1,0)</f>
        <v>1</v>
      </c>
      <c r="M805" s="0" t="n">
        <f aca="false">IF(OR('Onshore- Melbourne'!E562="",ISNUMBER(SEARCH("BSB80120",'Onshore- Melbourne'!B562&amp;'Onshore- Melbourne'!M562)),ISNUMBER(SEARCH("Management (Learning)",'Onshore- Melbourne'!B562))),2,IF(ISNUMBER(SEARCH("CEK:",'Onshore- Melbourne'!M562)),1,0))</f>
        <v>0</v>
      </c>
    </row>
    <row r="806" customFormat="false" ht="28.35" hidden="false" customHeight="false" outlineLevel="0" collapsed="false">
      <c r="A806" s="63" t="s">
        <v>3544</v>
      </c>
      <c r="B806" s="64" t="s">
        <v>3990</v>
      </c>
      <c r="C806" s="63" t="s">
        <v>41</v>
      </c>
      <c r="D806" s="64" t="str">
        <f aca="false">TRIM(LEFT('Onshore- Melbourne'!A377,FIND(CHAR(10),'Onshore- Melbourne'!A377&amp;CHAR(10))-1))</f>
        <v>National Training College of Australia (NTCA)</v>
      </c>
      <c r="E806" s="63" t="str">
        <f aca="false">'Onshore- Melbourne'!C380&amp;""</f>
        <v>2 years</v>
      </c>
      <c r="F806" s="63" t="str">
        <f aca="false">IF('Onshore- Melbourne'!D380="","Belum tercatat",'Onshore- Melbourne'!D380)</f>
        <v>Term</v>
      </c>
      <c r="G806" s="65" t="n">
        <f aca="false">IF('Onshore- Melbourne'!E380="","-",'Onshore- Melbourne'!E380)</f>
        <v>2000</v>
      </c>
      <c r="H806" s="63" t="n">
        <f aca="false">IF(ISNUMBER(K806),COUNTIFS($J$6:$J$1916,J806,$K$6:$K$1916,"&lt;"&amp;K806)+1,"-")</f>
        <v>2</v>
      </c>
      <c r="I806" s="64" t="str">
        <f aca="false">IF('Onshore- Melbourne'!E380="","Harga belum tersedia - hubungi konsultan TEG",IF(M806=2,"Saat ini tidak menerima pendaftaran siswa internasional baru",IF(M806=1,"Harga perlu dikonfirmasi ke sekolah"&amp;IF(""="","","; "&amp;""),"")))</f>
        <v/>
      </c>
      <c r="J806" s="0" t="s">
        <v>4035</v>
      </c>
      <c r="K806" s="0" t="n">
        <f aca="false">IF(M806=2,"",IF(ISNUMBER(SEARCH("rata-rata:",'Onshore- Melbourne'!M380)),VALUE(MID('Onshore- Melbourne'!M380,SEARCH("rata-rata:",'Onshore- Melbourne'!M380)+11,FIND(";",'Onshore- Melbourne'!M380&amp;";",SEARCH("rata-rata:",'Onshore- Melbourne'!M380))-SEARCH("rata-rata:",'Onshore- Melbourne'!M380)-11)),IF('Onshore- Melbourne'!D380="Semester",'Onshore- Melbourne'!E380*2,IF('Onshore- Melbourne'!D380="Trimester",'Onshore- Melbourne'!E380*3,IF('Onshore- Melbourne'!D380="Term",'Onshore- Melbourne'!E380*4,IF('Onshore- Melbourne'!D380="Unit",'Onshore- Melbourne'!E380*8,""))))))</f>
        <v>8000</v>
      </c>
      <c r="L806" s="0" t="n">
        <f aca="false">IF(AND(ISNUMBER('Onshore- Melbourne'!E380),ISNUMBER(K806),ISNUMBER('Onshore- Melbourne'!F380),ISNUMBER('Onshore- Melbourne'!G380),OR('Onshore- Melbourne'!F380&lt;&gt;0,ISNUMBER(SEARCH("Material 0 terverifikasi",'Onshore- Melbourne'!M380))),OR('Onshore- Melbourne'!G380&lt;&gt;0,ISNUMBER(SEARCH("Enrolment 0 terverifikasi",'Onshore- Melbourne'!M380)))),1,0)</f>
        <v>1</v>
      </c>
      <c r="M806" s="0" t="n">
        <f aca="false">IF(OR('Onshore- Melbourne'!E380="",ISNUMBER(SEARCH("BSB80120",'Onshore- Melbourne'!B380&amp;'Onshore- Melbourne'!M380)),ISNUMBER(SEARCH("Management (Learning)",'Onshore- Melbourne'!B380))),2,IF(ISNUMBER(SEARCH("CEK:",'Onshore- Melbourne'!M380)),1,0))</f>
        <v>0</v>
      </c>
    </row>
    <row r="807" customFormat="false" ht="28.35" hidden="false" customHeight="false" outlineLevel="0" collapsed="false">
      <c r="A807" s="63" t="s">
        <v>3544</v>
      </c>
      <c r="B807" s="64" t="s">
        <v>3990</v>
      </c>
      <c r="C807" s="63" t="s">
        <v>41</v>
      </c>
      <c r="D807" s="64" t="str">
        <f aca="false">TRIM(LEFT('Onshore- Melbourne'!A271,FIND(CHAR(10),'Onshore- Melbourne'!A271&amp;CHAR(10))-1))</f>
        <v>Everthought College of Construction</v>
      </c>
      <c r="E807" s="63" t="str">
        <f aca="false">'Onshore- Melbourne'!C276&amp;""</f>
        <v>2,5 years</v>
      </c>
      <c r="F807" s="63" t="str">
        <f aca="false">IF('Onshore- Melbourne'!D276="","Belum tercatat",'Onshore- Melbourne'!D276)</f>
        <v>Term</v>
      </c>
      <c r="G807" s="65" t="n">
        <f aca="false">IF('Onshore- Melbourne'!E276="","-",'Onshore- Melbourne'!E276)</f>
        <v>2083</v>
      </c>
      <c r="H807" s="63" t="n">
        <f aca="false">IF(ISNUMBER(K807),COUNTIFS($J$6:$J$1916,J807,$K$6:$K$1916,"&lt;"&amp;K807)+1,"-")</f>
        <v>3</v>
      </c>
      <c r="I807" s="64" t="str">
        <f aca="false">IF('Onshore- Melbourne'!E276="","Harga belum tersedia - hubungi konsultan TEG",IF(M807=2,"Saat ini tidak menerima pendaftaran siswa internasional baru",IF(M807=1,"Harga perlu dikonfirmasi ke sekolah"&amp;IF(""="","","; "&amp;""),"")))</f>
        <v/>
      </c>
      <c r="J807" s="0" t="s">
        <v>4035</v>
      </c>
      <c r="K807" s="0" t="n">
        <f aca="false">IF(M807=2,"",IF(ISNUMBER(SEARCH("rata-rata:",'Onshore- Melbourne'!M276)),VALUE(MID('Onshore- Melbourne'!M276,SEARCH("rata-rata:",'Onshore- Melbourne'!M276)+11,FIND(";",'Onshore- Melbourne'!M276&amp;";",SEARCH("rata-rata:",'Onshore- Melbourne'!M276))-SEARCH("rata-rata:",'Onshore- Melbourne'!M276)-11)),IF('Onshore- Melbourne'!D276="Semester",'Onshore- Melbourne'!E276*2,IF('Onshore- Melbourne'!D276="Trimester",'Onshore- Melbourne'!E276*3,IF('Onshore- Melbourne'!D276="Term",'Onshore- Melbourne'!E276*4,IF('Onshore- Melbourne'!D276="Unit",'Onshore- Melbourne'!E276*8,""))))))</f>
        <v>8332</v>
      </c>
      <c r="L807" s="0" t="n">
        <f aca="false">IF(AND(ISNUMBER('Onshore- Melbourne'!E276),ISNUMBER(K807),ISNUMBER('Onshore- Melbourne'!F276),ISNUMBER('Onshore- Melbourne'!G276),OR('Onshore- Melbourne'!F276&lt;&gt;0,ISNUMBER(SEARCH("Material 0 terverifikasi",'Onshore- Melbourne'!M276))),OR('Onshore- Melbourne'!G276&lt;&gt;0,ISNUMBER(SEARCH("Enrolment 0 terverifikasi",'Onshore- Melbourne'!M276)))),1,0)</f>
        <v>1</v>
      </c>
      <c r="M807" s="0" t="n">
        <f aca="false">IF(OR('Onshore- Melbourne'!E276="",ISNUMBER(SEARCH("BSB80120",'Onshore- Melbourne'!B276&amp;'Onshore- Melbourne'!M276)),ISNUMBER(SEARCH("Management (Learning)",'Onshore- Melbourne'!B276))),2,IF(ISNUMBER(SEARCH("CEK:",'Onshore- Melbourne'!M276)),1,0))</f>
        <v>0</v>
      </c>
    </row>
    <row r="808" customFormat="false" ht="28.35" hidden="false" customHeight="false" outlineLevel="0" collapsed="false">
      <c r="A808" s="63" t="s">
        <v>3544</v>
      </c>
      <c r="B808" s="64" t="s">
        <v>3990</v>
      </c>
      <c r="C808" s="63" t="s">
        <v>41</v>
      </c>
      <c r="D808" s="64" t="str">
        <f aca="false">TRIM(LEFT('Onshore- Melbourne'!A572,FIND(CHAR(10),'Onshore- Melbourne'!A572&amp;CHAR(10))-1))</f>
        <v>Wattle College</v>
      </c>
      <c r="E808" s="63" t="str">
        <f aca="false">'Onshore- Melbourne'!C575&amp;""</f>
        <v>2,5 years</v>
      </c>
      <c r="F808" s="63" t="str">
        <f aca="false">IF('Onshore- Melbourne'!D575="","Belum tercatat",'Onshore- Melbourne'!D575)</f>
        <v>Term</v>
      </c>
      <c r="G808" s="65" t="n">
        <f aca="false">IF('Onshore- Melbourne'!E575="","-",'Onshore- Melbourne'!E575)</f>
        <v>2200</v>
      </c>
      <c r="H808" s="63" t="n">
        <f aca="false">IF(ISNUMBER(K808),COUNTIFS($J$6:$J$1916,J808,$K$6:$K$1916,"&lt;"&amp;K808)+1,"-")</f>
        <v>4</v>
      </c>
      <c r="I808" s="64" t="str">
        <f aca="false">IF('Onshore- Melbourne'!E575="","Harga belum tersedia - hubungi konsultan TEG",IF(M808=2,"Saat ini tidak menerima pendaftaran siswa internasional baru",IF(M808=1,"Harga perlu dikonfirmasi ke sekolah"&amp;IF(""="","","; "&amp;""),"")))</f>
        <v/>
      </c>
      <c r="J808" s="0" t="s">
        <v>4035</v>
      </c>
      <c r="K808" s="0" t="n">
        <f aca="false">IF(M808=2,"",IF(ISNUMBER(SEARCH("rata-rata:",'Onshore- Melbourne'!M575)),VALUE(MID('Onshore- Melbourne'!M575,SEARCH("rata-rata:",'Onshore- Melbourne'!M575)+11,FIND(";",'Onshore- Melbourne'!M575&amp;";",SEARCH("rata-rata:",'Onshore- Melbourne'!M575))-SEARCH("rata-rata:",'Onshore- Melbourne'!M575)-11)),IF('Onshore- Melbourne'!D575="Semester",'Onshore- Melbourne'!E575*2,IF('Onshore- Melbourne'!D575="Trimester",'Onshore- Melbourne'!E575*3,IF('Onshore- Melbourne'!D575="Term",'Onshore- Melbourne'!E575*4,IF('Onshore- Melbourne'!D575="Unit",'Onshore- Melbourne'!E575*8,""))))))</f>
        <v>8800</v>
      </c>
      <c r="L808" s="0" t="n">
        <f aca="false">IF(AND(ISNUMBER('Onshore- Melbourne'!E575),ISNUMBER(K808),ISNUMBER('Onshore- Melbourne'!F575),ISNUMBER('Onshore- Melbourne'!G575),OR('Onshore- Melbourne'!F575&lt;&gt;0,ISNUMBER(SEARCH("Material 0 terverifikasi",'Onshore- Melbourne'!M575))),OR('Onshore- Melbourne'!G575&lt;&gt;0,ISNUMBER(SEARCH("Enrolment 0 terverifikasi",'Onshore- Melbourne'!M575)))),1,0)</f>
        <v>1</v>
      </c>
      <c r="M808" s="0" t="n">
        <f aca="false">IF(OR('Onshore- Melbourne'!E575="",ISNUMBER(SEARCH("BSB80120",'Onshore- Melbourne'!B575&amp;'Onshore- Melbourne'!M575)),ISNUMBER(SEARCH("Management (Learning)",'Onshore- Melbourne'!B575))),2,IF(ISNUMBER(SEARCH("CEK:",'Onshore- Melbourne'!M575)),1,0))</f>
        <v>0</v>
      </c>
    </row>
    <row r="809" customFormat="false" ht="28.35" hidden="false" customHeight="false" outlineLevel="0" collapsed="false">
      <c r="A809" s="63" t="s">
        <v>3544</v>
      </c>
      <c r="B809" s="64" t="s">
        <v>3990</v>
      </c>
      <c r="C809" s="63" t="s">
        <v>41</v>
      </c>
      <c r="D809" s="64" t="str">
        <f aca="false">TRIM(LEFT('Onshore- Melbourne'!A407,FIND(CHAR(10),'Onshore- Melbourne'!A407&amp;CHAR(10))-1))</f>
        <v>Sacred Heart International College (SHIC)</v>
      </c>
      <c r="E809" s="63" t="str">
        <f aca="false">'Onshore- Melbourne'!C412&amp;""</f>
        <v>2,5 years</v>
      </c>
      <c r="F809" s="63" t="str">
        <f aca="false">IF('Onshore- Melbourne'!D412="","Belum tercatat",'Onshore- Melbourne'!D412)</f>
        <v>Term</v>
      </c>
      <c r="G809" s="65" t="n">
        <f aca="false">IF('Onshore- Melbourne'!E412="","-",'Onshore- Melbourne'!E412)</f>
        <v>2300</v>
      </c>
      <c r="H809" s="63" t="n">
        <f aca="false">IF(ISNUMBER(K809),COUNTIFS($J$6:$J$1916,J809,$K$6:$K$1916,"&lt;"&amp;K809)+1,"-")</f>
        <v>5</v>
      </c>
      <c r="I809" s="64" t="str">
        <f aca="false">IF('Onshore- Melbourne'!E412="","Harga belum tersedia - hubungi konsultan TEG",IF(M809=2,"Saat ini tidak menerima pendaftaran siswa internasional baru",IF(M809=1,"Harga promo sudah berakhir - konfirmasi harga terbaru"&amp;IF(""="","","; "&amp;""),"")))</f>
        <v>Harga promo sudah berakhir - konfirmasi harga terbaru</v>
      </c>
      <c r="J809" s="0" t="s">
        <v>4035</v>
      </c>
      <c r="K809" s="0" t="n">
        <f aca="false">IF(M809=2,"",IF(ISNUMBER(SEARCH("rata-rata:",'Onshore- Melbourne'!M412)),VALUE(MID('Onshore- Melbourne'!M412,SEARCH("rata-rata:",'Onshore- Melbourne'!M412)+11,FIND(";",'Onshore- Melbourne'!M412&amp;";",SEARCH("rata-rata:",'Onshore- Melbourne'!M412))-SEARCH("rata-rata:",'Onshore- Melbourne'!M412)-11)),IF('Onshore- Melbourne'!D412="Semester",'Onshore- Melbourne'!E412*2,IF('Onshore- Melbourne'!D412="Trimester",'Onshore- Melbourne'!E412*3,IF('Onshore- Melbourne'!D412="Term",'Onshore- Melbourne'!E412*4,IF('Onshore- Melbourne'!D412="Unit",'Onshore- Melbourne'!E412*8,""))))))</f>
        <v>9200</v>
      </c>
      <c r="L809" s="0" t="n">
        <f aca="false">IF(AND(ISNUMBER('Onshore- Melbourne'!E412),ISNUMBER(K809),ISNUMBER('Onshore- Melbourne'!F412),ISNUMBER('Onshore- Melbourne'!G412),OR('Onshore- Melbourne'!F412&lt;&gt;0,ISNUMBER(SEARCH("Material 0 terverifikasi",'Onshore- Melbourne'!M412))),OR('Onshore- Melbourne'!G412&lt;&gt;0,ISNUMBER(SEARCH("Enrolment 0 terverifikasi",'Onshore- Melbourne'!M412)))),1,0)</f>
        <v>1</v>
      </c>
      <c r="M809" s="0" t="n">
        <f aca="false">IF(OR('Onshore- Melbourne'!E412="",ISNUMBER(SEARCH("BSB80120",'Onshore- Melbourne'!B412&amp;'Onshore- Melbourne'!M412)),ISNUMBER(SEARCH("Management (Learning)",'Onshore- Melbourne'!B412))),2,IF(ISNUMBER(SEARCH("CEK:",'Onshore- Melbourne'!M412)),1,0))</f>
        <v>1</v>
      </c>
    </row>
    <row r="810" customFormat="false" ht="28.35" hidden="false" customHeight="false" outlineLevel="0" collapsed="false">
      <c r="A810" s="63" t="s">
        <v>3544</v>
      </c>
      <c r="B810" s="64" t="s">
        <v>3990</v>
      </c>
      <c r="C810" s="63" t="s">
        <v>41</v>
      </c>
      <c r="D810" s="64" t="str">
        <f aca="false">TRIM(LEFT('Onshore- Melbourne'!A53,FIND(CHAR(10),'Onshore- Melbourne'!A53&amp;CHAR(10))-1))</f>
        <v>Albright Institute of Business and Language (AIBL)</v>
      </c>
      <c r="E810" s="63" t="str">
        <f aca="false">'Onshore- Melbourne'!C53&amp;""</f>
        <v>2 years</v>
      </c>
      <c r="F810" s="63" t="str">
        <f aca="false">IF('Onshore- Melbourne'!D53="","Belum tercatat",'Onshore- Melbourne'!D53)</f>
        <v>Term</v>
      </c>
      <c r="G810" s="65" t="n">
        <f aca="false">IF('Onshore- Melbourne'!E53="","-",'Onshore- Melbourne'!E53)</f>
        <v>2500</v>
      </c>
      <c r="H810" s="63" t="n">
        <f aca="false">IF(ISNUMBER(K810),COUNTIFS($J$6:$J$1916,J810,$K$6:$K$1916,"&lt;"&amp;K810)+1,"-")</f>
        <v>6</v>
      </c>
      <c r="I810" s="64" t="str">
        <f aca="false">IF('Onshore- Melbourne'!E53="","Harga belum tersedia - hubungi konsultan TEG",IF(M810=2,"Saat ini tidak menerima pendaftaran siswa internasional baru",IF(M810=1,"Harga perlu dikonfirmasi ke sekolah"&amp;IF(""="","","; "&amp;""),"")))</f>
        <v/>
      </c>
      <c r="J810" s="0" t="s">
        <v>4035</v>
      </c>
      <c r="K810" s="0" t="n">
        <f aca="false">IF(M810=2,"",IF(ISNUMBER(SEARCH("rata-rata:",'Onshore- Melbourne'!M53)),VALUE(MID('Onshore- Melbourne'!M53,SEARCH("rata-rata:",'Onshore- Melbourne'!M53)+11,FIND(";",'Onshore- Melbourne'!M53&amp;";",SEARCH("rata-rata:",'Onshore- Melbourne'!M53))-SEARCH("rata-rata:",'Onshore- Melbourne'!M53)-11)),IF('Onshore- Melbourne'!D53="Semester",'Onshore- Melbourne'!E53*2,IF('Onshore- Melbourne'!D53="Trimester",'Onshore- Melbourne'!E53*3,IF('Onshore- Melbourne'!D53="Term",'Onshore- Melbourne'!E53*4,IF('Onshore- Melbourne'!D53="Unit",'Onshore- Melbourne'!E53*8,""))))))</f>
        <v>10000</v>
      </c>
      <c r="L810" s="0" t="n">
        <f aca="false">IF(AND(ISNUMBER('Onshore- Melbourne'!E53),ISNUMBER(K810),ISNUMBER('Onshore- Melbourne'!F53),ISNUMBER('Onshore- Melbourne'!G53),OR('Onshore- Melbourne'!F53&lt;&gt;0,ISNUMBER(SEARCH("Material 0 terverifikasi",'Onshore- Melbourne'!M53))),OR('Onshore- Melbourne'!G53&lt;&gt;0,ISNUMBER(SEARCH("Enrolment 0 terverifikasi",'Onshore- Melbourne'!M53)))),1,0)</f>
        <v>1</v>
      </c>
      <c r="M810" s="0" t="n">
        <f aca="false">IF(OR('Onshore- Melbourne'!E53="",ISNUMBER(SEARCH("BSB80120",'Onshore- Melbourne'!B53&amp;'Onshore- Melbourne'!M53)),ISNUMBER(SEARCH("Management (Learning)",'Onshore- Melbourne'!B53))),2,IF(ISNUMBER(SEARCH("CEK:",'Onshore- Melbourne'!M53)),1,0))</f>
        <v>0</v>
      </c>
    </row>
    <row r="811" customFormat="false" ht="28.35" hidden="false" customHeight="false" outlineLevel="0" collapsed="false">
      <c r="A811" s="63" t="s">
        <v>3544</v>
      </c>
      <c r="B811" s="64" t="s">
        <v>3990</v>
      </c>
      <c r="C811" s="63" t="s">
        <v>41</v>
      </c>
      <c r="D811" s="64" t="str">
        <f aca="false">TRIM(LEFT('Onshore- Melbourne'!A65,FIND(CHAR(10),'Onshore- Melbourne'!A65&amp;CHAR(10))-1))</f>
        <v>ALTEC College</v>
      </c>
      <c r="E811" s="63" t="str">
        <f aca="false">'Onshore- Melbourne'!C69&amp;""</f>
        <v>3,5 years</v>
      </c>
      <c r="F811" s="63" t="str">
        <f aca="false">IF('Onshore- Melbourne'!D69="","Belum tercatat",'Onshore- Melbourne'!D69)</f>
        <v>Term</v>
      </c>
      <c r="G811" s="65" t="n">
        <f aca="false">IF('Onshore- Melbourne'!E69="","-",'Onshore- Melbourne'!E69)</f>
        <v>2500</v>
      </c>
      <c r="H811" s="63" t="n">
        <f aca="false">IF(ISNUMBER(K811),COUNTIFS($J$6:$J$1916,J811,$K$6:$K$1916,"&lt;"&amp;K811)+1,"-")</f>
        <v>6</v>
      </c>
      <c r="I811" s="64" t="str">
        <f aca="false">IF('Onshore- Melbourne'!E69="","Harga belum tersedia - hubungi konsultan TEG",IF(M811=2,"Saat ini tidak menerima pendaftaran siswa internasional baru",IF(M811=1,"Harga perlu dikonfirmasi ke sekolah"&amp;IF(""="","","; "&amp;""),"")))</f>
        <v/>
      </c>
      <c r="J811" s="0" t="s">
        <v>4035</v>
      </c>
      <c r="K811" s="0" t="n">
        <f aca="false">IF(M811=2,"",IF(ISNUMBER(SEARCH("rata-rata:",'Onshore- Melbourne'!M69)),VALUE(MID('Onshore- Melbourne'!M69,SEARCH("rata-rata:",'Onshore- Melbourne'!M69)+11,FIND(";",'Onshore- Melbourne'!M69&amp;";",SEARCH("rata-rata:",'Onshore- Melbourne'!M69))-SEARCH("rata-rata:",'Onshore- Melbourne'!M69)-11)),IF('Onshore- Melbourne'!D69="Semester",'Onshore- Melbourne'!E69*2,IF('Onshore- Melbourne'!D69="Trimester",'Onshore- Melbourne'!E69*3,IF('Onshore- Melbourne'!D69="Term",'Onshore- Melbourne'!E69*4,IF('Onshore- Melbourne'!D69="Unit",'Onshore- Melbourne'!E69*8,""))))))</f>
        <v>10000</v>
      </c>
      <c r="L811" s="0" t="n">
        <f aca="false">IF(AND(ISNUMBER('Onshore- Melbourne'!E69),ISNUMBER(K811),ISNUMBER('Onshore- Melbourne'!F69),ISNUMBER('Onshore- Melbourne'!G69),OR('Onshore- Melbourne'!F69&lt;&gt;0,ISNUMBER(SEARCH("Material 0 terverifikasi",'Onshore- Melbourne'!M69))),OR('Onshore- Melbourne'!G69&lt;&gt;0,ISNUMBER(SEARCH("Enrolment 0 terverifikasi",'Onshore- Melbourne'!M69)))),1,0)</f>
        <v>1</v>
      </c>
      <c r="M811" s="0" t="n">
        <f aca="false">IF(OR('Onshore- Melbourne'!E69="",ISNUMBER(SEARCH("BSB80120",'Onshore- Melbourne'!B69&amp;'Onshore- Melbourne'!M69)),ISNUMBER(SEARCH("Management (Learning)",'Onshore- Melbourne'!B69))),2,IF(ISNUMBER(SEARCH("CEK:",'Onshore- Melbourne'!M69)),1,0))</f>
        <v>0</v>
      </c>
    </row>
    <row r="812" customFormat="false" ht="28.35" hidden="false" customHeight="false" outlineLevel="0" collapsed="false">
      <c r="A812" s="63" t="s">
        <v>3544</v>
      </c>
      <c r="B812" s="64" t="s">
        <v>3990</v>
      </c>
      <c r="C812" s="63" t="s">
        <v>41</v>
      </c>
      <c r="D812" s="64" t="str">
        <f aca="false">TRIM(LEFT('Onshore- Melbourne'!A218,FIND(CHAR(10),'Onshore- Melbourne'!A218&amp;CHAR(10))-1))</f>
        <v>Australian Sovereign College (AuSC)</v>
      </c>
      <c r="E812" s="63" t="str">
        <f aca="false">'Onshore- Melbourne'!C225&amp;""</f>
        <v>2 years</v>
      </c>
      <c r="F812" s="63" t="str">
        <f aca="false">IF('Onshore- Melbourne'!D225="","Belum tercatat",'Onshore- Melbourne'!D225)</f>
        <v>Term</v>
      </c>
      <c r="G812" s="65" t="n">
        <f aca="false">IF('Onshore- Melbourne'!E225="","-",'Onshore- Melbourne'!E225)</f>
        <v>2625</v>
      </c>
      <c r="H812" s="63" t="n">
        <f aca="false">IF(ISNUMBER(K812),COUNTIFS($J$6:$J$1916,J812,$K$6:$K$1916,"&lt;"&amp;K812)+1,"-")</f>
        <v>8</v>
      </c>
      <c r="I812" s="64" t="str">
        <f aca="false">IF('Onshore- Melbourne'!E225="","Harga belum tersedia - hubungi konsultan TEG",IF(M812=2,"Saat ini tidak menerima pendaftaran siswa internasional baru",IF(M812=1,"Harga perlu dikonfirmasi ke sekolah"&amp;IF(""="","","; "&amp;""),"")))</f>
        <v/>
      </c>
      <c r="J812" s="0" t="s">
        <v>4035</v>
      </c>
      <c r="K812" s="0" t="n">
        <f aca="false">IF(M812=2,"",IF(ISNUMBER(SEARCH("rata-rata:",'Onshore- Melbourne'!M225)),VALUE(MID('Onshore- Melbourne'!M225,SEARCH("rata-rata:",'Onshore- Melbourne'!M225)+11,FIND(";",'Onshore- Melbourne'!M225&amp;";",SEARCH("rata-rata:",'Onshore- Melbourne'!M225))-SEARCH("rata-rata:",'Onshore- Melbourne'!M225)-11)),IF('Onshore- Melbourne'!D225="Semester",'Onshore- Melbourne'!E225*2,IF('Onshore- Melbourne'!D225="Trimester",'Onshore- Melbourne'!E225*3,IF('Onshore- Melbourne'!D225="Term",'Onshore- Melbourne'!E225*4,IF('Onshore- Melbourne'!D225="Unit",'Onshore- Melbourne'!E225*8,""))))))</f>
        <v>10500</v>
      </c>
      <c r="L812" s="0" t="n">
        <f aca="false">IF(AND(ISNUMBER('Onshore- Melbourne'!E225),ISNUMBER(K812),ISNUMBER('Onshore- Melbourne'!F225),ISNUMBER('Onshore- Melbourne'!G225),OR('Onshore- Melbourne'!F225&lt;&gt;0,ISNUMBER(SEARCH("Material 0 terverifikasi",'Onshore- Melbourne'!M225))),OR('Onshore- Melbourne'!G225&lt;&gt;0,ISNUMBER(SEARCH("Enrolment 0 terverifikasi",'Onshore- Melbourne'!M225)))),1,0)</f>
        <v>1</v>
      </c>
      <c r="M812" s="0" t="n">
        <f aca="false">IF(OR('Onshore- Melbourne'!E225="",ISNUMBER(SEARCH("BSB80120",'Onshore- Melbourne'!B225&amp;'Onshore- Melbourne'!M225)),ISNUMBER(SEARCH("Management (Learning)",'Onshore- Melbourne'!B225))),2,IF(ISNUMBER(SEARCH("CEK:",'Onshore- Melbourne'!M225)),1,0))</f>
        <v>0</v>
      </c>
    </row>
    <row r="813" customFormat="false" ht="28.35" hidden="false" customHeight="false" outlineLevel="0" collapsed="false">
      <c r="A813" s="63" t="s">
        <v>3544</v>
      </c>
      <c r="B813" s="64" t="s">
        <v>3990</v>
      </c>
      <c r="C813" s="63" t="s">
        <v>41</v>
      </c>
      <c r="D813" s="64" t="str">
        <f aca="false">TRIM(LEFT('Onshore- Melbourne'!A436,FIND(CHAR(10),'Onshore- Melbourne'!A436&amp;CHAR(10))-1))</f>
        <v>The Centre of Excellence</v>
      </c>
      <c r="E813" s="63" t="str">
        <f aca="false">'Onshore- Melbourne'!C442&amp;""</f>
        <v>3 years</v>
      </c>
      <c r="F813" s="63" t="str">
        <f aca="false">IF('Onshore- Melbourne'!D442="","Belum tercatat",'Onshore- Melbourne'!D442)</f>
        <v>Term</v>
      </c>
      <c r="G813" s="65" t="n">
        <f aca="false">IF('Onshore- Melbourne'!E442="","-",'Onshore- Melbourne'!E442)</f>
        <v>2700</v>
      </c>
      <c r="H813" s="63" t="n">
        <f aca="false">IF(ISNUMBER(K813),COUNTIFS($J$6:$J$1916,J813,$K$6:$K$1916,"&lt;"&amp;K813)+1,"-")</f>
        <v>9</v>
      </c>
      <c r="I813" s="64" t="str">
        <f aca="false">IF('Onshore- Melbourne'!E442="","Harga belum tersedia - hubungi konsultan TEG",IF(M813=2,"Saat ini tidak menerima pendaftaran siswa internasional baru",IF(M813=1,"Harga perlu dikonfirmasi ke sekolah"&amp;IF(""="","","; "&amp;""),"")))</f>
        <v/>
      </c>
      <c r="J813" s="0" t="s">
        <v>4035</v>
      </c>
      <c r="K813" s="0" t="n">
        <f aca="false">IF(M813=2,"",IF(ISNUMBER(SEARCH("rata-rata:",'Onshore- Melbourne'!M442)),VALUE(MID('Onshore- Melbourne'!M442,SEARCH("rata-rata:",'Onshore- Melbourne'!M442)+11,FIND(";",'Onshore- Melbourne'!M442&amp;";",SEARCH("rata-rata:",'Onshore- Melbourne'!M442))-SEARCH("rata-rata:",'Onshore- Melbourne'!M442)-11)),IF('Onshore- Melbourne'!D442="Semester",'Onshore- Melbourne'!E442*2,IF('Onshore- Melbourne'!D442="Trimester",'Onshore- Melbourne'!E442*3,IF('Onshore- Melbourne'!D442="Term",'Onshore- Melbourne'!E442*4,IF('Onshore- Melbourne'!D442="Unit",'Onshore- Melbourne'!E442*8,""))))))</f>
        <v>10800</v>
      </c>
      <c r="L813" s="0" t="n">
        <f aca="false">IF(AND(ISNUMBER('Onshore- Melbourne'!E442),ISNUMBER(K813),ISNUMBER('Onshore- Melbourne'!F442),ISNUMBER('Onshore- Melbourne'!G442),OR('Onshore- Melbourne'!F442&lt;&gt;0,ISNUMBER(SEARCH("Material 0 terverifikasi",'Onshore- Melbourne'!M442))),OR('Onshore- Melbourne'!G442&lt;&gt;0,ISNUMBER(SEARCH("Enrolment 0 terverifikasi",'Onshore- Melbourne'!M442)))),1,0)</f>
        <v>1</v>
      </c>
      <c r="M813" s="0" t="n">
        <f aca="false">IF(OR('Onshore- Melbourne'!E442="",ISNUMBER(SEARCH("BSB80120",'Onshore- Melbourne'!B442&amp;'Onshore- Melbourne'!M442)),ISNUMBER(SEARCH("Management (Learning)",'Onshore- Melbourne'!B442))),2,IF(ISNUMBER(SEARCH("CEK:",'Onshore- Melbourne'!M442)),1,0))</f>
        <v>0</v>
      </c>
    </row>
    <row r="814" customFormat="false" ht="28.35" hidden="false" customHeight="false" outlineLevel="0" collapsed="false">
      <c r="A814" s="63" t="s">
        <v>3544</v>
      </c>
      <c r="B814" s="64" t="s">
        <v>3990</v>
      </c>
      <c r="C814" s="63" t="s">
        <v>41</v>
      </c>
      <c r="D814" s="64" t="str">
        <f aca="false">TRIM(LEFT('Onshore- Melbourne'!A240,FIND(CHAR(10),'Onshore- Melbourne'!A240&amp;CHAR(10))-1))</f>
        <v>Baxter Institute</v>
      </c>
      <c r="E814" s="63" t="str">
        <f aca="false">'Onshore- Melbourne'!C242&amp;""</f>
        <v>3 years</v>
      </c>
      <c r="F814" s="63" t="str">
        <f aca="false">IF('Onshore- Melbourne'!D242="","Belum tercatat",'Onshore- Melbourne'!D242)</f>
        <v>Term</v>
      </c>
      <c r="G814" s="65" t="n">
        <f aca="false">IF('Onshore- Melbourne'!E242="","-",'Onshore- Melbourne'!E242)</f>
        <v>3000</v>
      </c>
      <c r="H814" s="63" t="n">
        <f aca="false">IF(ISNUMBER(K814),COUNTIFS($J$6:$J$1916,J814,$K$6:$K$1916,"&lt;"&amp;K814)+1,"-")</f>
        <v>10</v>
      </c>
      <c r="I814" s="64" t="str">
        <f aca="false">IF('Onshore- Melbourne'!E242="","Harga belum tersedia - hubungi konsultan TEG",IF(M814=2,"Saat ini tidak menerima pendaftaran siswa internasional baru",IF(M814=1,"Harga perlu dikonfirmasi ke sekolah"&amp;IF(""="","","; "&amp;""),"")))</f>
        <v/>
      </c>
      <c r="J814" s="0" t="s">
        <v>4035</v>
      </c>
      <c r="K814" s="0" t="n">
        <f aca="false">IF(M814=2,"",IF(ISNUMBER(SEARCH("rata-rata:",'Onshore- Melbourne'!M242)),VALUE(MID('Onshore- Melbourne'!M242,SEARCH("rata-rata:",'Onshore- Melbourne'!M242)+11,FIND(";",'Onshore- Melbourne'!M242&amp;";",SEARCH("rata-rata:",'Onshore- Melbourne'!M242))-SEARCH("rata-rata:",'Onshore- Melbourne'!M242)-11)),IF('Onshore- Melbourne'!D242="Semester",'Onshore- Melbourne'!E242*2,IF('Onshore- Melbourne'!D242="Trimester",'Onshore- Melbourne'!E242*3,IF('Onshore- Melbourne'!D242="Term",'Onshore- Melbourne'!E242*4,IF('Onshore- Melbourne'!D242="Unit",'Onshore- Melbourne'!E242*8,""))))))</f>
        <v>12000</v>
      </c>
      <c r="L814" s="0" t="n">
        <f aca="false">IF(AND(ISNUMBER('Onshore- Melbourne'!E242),ISNUMBER(K814),ISNUMBER('Onshore- Melbourne'!F242),ISNUMBER('Onshore- Melbourne'!G242),OR('Onshore- Melbourne'!F242&lt;&gt;0,ISNUMBER(SEARCH("Material 0 terverifikasi",'Onshore- Melbourne'!M242))),OR('Onshore- Melbourne'!G242&lt;&gt;0,ISNUMBER(SEARCH("Enrolment 0 terverifikasi",'Onshore- Melbourne'!M242)))),1,0)</f>
        <v>1</v>
      </c>
      <c r="M814" s="0" t="n">
        <f aca="false">IF(OR('Onshore- Melbourne'!E242="",ISNUMBER(SEARCH("BSB80120",'Onshore- Melbourne'!B242&amp;'Onshore- Melbourne'!M242)),ISNUMBER(SEARCH("Management (Learning)",'Onshore- Melbourne'!B242))),2,IF(ISNUMBER(SEARCH("CEK:",'Onshore- Melbourne'!M242)),1,0))</f>
        <v>0</v>
      </c>
    </row>
    <row r="815" customFormat="false" ht="28.35" hidden="false" customHeight="false" outlineLevel="0" collapsed="false">
      <c r="A815" s="63" t="s">
        <v>3544</v>
      </c>
      <c r="B815" s="64" t="s">
        <v>3990</v>
      </c>
      <c r="C815" s="63" t="s">
        <v>41</v>
      </c>
      <c r="D815" s="64" t="str">
        <f aca="false">TRIM(LEFT('Onshore- Melbourne'!A417,FIND(CHAR(10),'Onshore- Melbourne'!A417&amp;CHAR(10))-1))</f>
        <v>Signet Institute of Australia</v>
      </c>
      <c r="E815" s="63" t="str">
        <f aca="false">'Onshore- Melbourne'!C421&amp;""</f>
        <v>4 years</v>
      </c>
      <c r="F815" s="63" t="str">
        <f aca="false">IF('Onshore- Melbourne'!D421="","Belum tercatat",'Onshore- Melbourne'!D421)</f>
        <v>Term</v>
      </c>
      <c r="G815" s="65" t="n">
        <f aca="false">IF('Onshore- Melbourne'!E421="","-",'Onshore- Melbourne'!E421)</f>
        <v>3800</v>
      </c>
      <c r="H815" s="63" t="n">
        <f aca="false">IF(ISNUMBER(K815),COUNTIFS($J$6:$J$1916,J815,$K$6:$K$1916,"&lt;"&amp;K815)+1,"-")</f>
        <v>11</v>
      </c>
      <c r="I815" s="64" t="str">
        <f aca="false">IF('Onshore- Melbourne'!E421="","Harga belum tersedia - hubungi konsultan TEG",IF(M815=2,"Saat ini tidak menerima pendaftaran siswa internasional baru",IF(M815=1,"Harga perlu dikonfirmasi ke sekolah"&amp;IF(""="","","; "&amp;""),"")))</f>
        <v/>
      </c>
      <c r="J815" s="0" t="s">
        <v>4035</v>
      </c>
      <c r="K815" s="0" t="n">
        <f aca="false">IF(M815=2,"",IF(ISNUMBER(SEARCH("rata-rata:",'Onshore- Melbourne'!M421)),VALUE(MID('Onshore- Melbourne'!M421,SEARCH("rata-rata:",'Onshore- Melbourne'!M421)+11,FIND(";",'Onshore- Melbourne'!M421&amp;";",SEARCH("rata-rata:",'Onshore- Melbourne'!M421))-SEARCH("rata-rata:",'Onshore- Melbourne'!M421)-11)),IF('Onshore- Melbourne'!D421="Semester",'Onshore- Melbourne'!E421*2,IF('Onshore- Melbourne'!D421="Trimester",'Onshore- Melbourne'!E421*3,IF('Onshore- Melbourne'!D421="Term",'Onshore- Melbourne'!E421*4,IF('Onshore- Melbourne'!D421="Unit",'Onshore- Melbourne'!E421*8,""))))))</f>
        <v>15200</v>
      </c>
      <c r="L815" s="0" t="n">
        <f aca="false">IF(AND(ISNUMBER('Onshore- Melbourne'!E421),ISNUMBER(K815),ISNUMBER('Onshore- Melbourne'!F421),ISNUMBER('Onshore- Melbourne'!G421),OR('Onshore- Melbourne'!F421&lt;&gt;0,ISNUMBER(SEARCH("Material 0 terverifikasi",'Onshore- Melbourne'!M421))),OR('Onshore- Melbourne'!G421&lt;&gt;0,ISNUMBER(SEARCH("Enrolment 0 terverifikasi",'Onshore- Melbourne'!M421)))),1,0)</f>
        <v>0</v>
      </c>
      <c r="M815" s="0" t="n">
        <f aca="false">IF(OR('Onshore- Melbourne'!E421="",ISNUMBER(SEARCH("BSB80120",'Onshore- Melbourne'!B421&amp;'Onshore- Melbourne'!M421)),ISNUMBER(SEARCH("Management (Learning)",'Onshore- Melbourne'!B421))),2,IF(ISNUMBER(SEARCH("CEK:",'Onshore- Melbourne'!M421)),1,0))</f>
        <v>0</v>
      </c>
    </row>
    <row r="816" customFormat="false" ht="15" hidden="false" customHeight="false" outlineLevel="0" collapsed="false">
      <c r="A816" s="61" t="s">
        <v>4036</v>
      </c>
      <c r="B816" s="62"/>
      <c r="C816" s="62"/>
      <c r="D816" s="62"/>
      <c r="E816" s="62"/>
      <c r="F816" s="62"/>
      <c r="G816" s="62"/>
      <c r="H816" s="62"/>
      <c r="I816" s="62"/>
    </row>
    <row r="817" customFormat="false" ht="28.35" hidden="false" customHeight="false" outlineLevel="0" collapsed="false">
      <c r="A817" s="63" t="s">
        <v>3544</v>
      </c>
      <c r="B817" s="64" t="s">
        <v>3990</v>
      </c>
      <c r="C817" s="63" t="s">
        <v>42</v>
      </c>
      <c r="D817" s="64" t="str">
        <f aca="false">TRIM(LEFT('Onshore- Melbourne'!A561,FIND(CHAR(10),'Onshore- Melbourne'!A561&amp;CHAR(10))-1))</f>
        <v>TR4INRIGHT</v>
      </c>
      <c r="E817" s="63" t="str">
        <f aca="false">'Onshore- Melbourne'!C563&amp;""</f>
        <v>2 years</v>
      </c>
      <c r="F817" s="63" t="str">
        <f aca="false">IF('Onshore- Melbourne'!D563="","Belum tercatat",'Onshore- Melbourne'!D563)</f>
        <v>Term</v>
      </c>
      <c r="G817" s="65" t="n">
        <f aca="false">IF('Onshore- Melbourne'!E563="","-",'Onshore- Melbourne'!E563)</f>
        <v>1860</v>
      </c>
      <c r="H817" s="63" t="n">
        <f aca="false">IF(ISNUMBER(K817),COUNTIFS($J$6:$J$1916,J817,$K$6:$K$1916,"&lt;"&amp;K817)+1,"-")</f>
        <v>1</v>
      </c>
      <c r="I817" s="64" t="str">
        <f aca="false">IF('Onshore- Melbourne'!E563="","Harga belum tersedia - hubungi konsultan TEG",IF(M817=2,"Saat ini tidak menerima pendaftaran siswa internasional baru",IF(M817=1,"Harga perlu dikonfirmasi ke sekolah"&amp;IF(""="","","; "&amp;""),"")))</f>
        <v/>
      </c>
      <c r="J817" s="0" t="s">
        <v>4037</v>
      </c>
      <c r="K817" s="0" t="n">
        <f aca="false">IF(M817=2,"",IF(ISNUMBER(SEARCH("rata-rata:",'Onshore- Melbourne'!M563)),VALUE(MID('Onshore- Melbourne'!M563,SEARCH("rata-rata:",'Onshore- Melbourne'!M563)+11,FIND(";",'Onshore- Melbourne'!M563&amp;";",SEARCH("rata-rata:",'Onshore- Melbourne'!M563))-SEARCH("rata-rata:",'Onshore- Melbourne'!M563)-11)),IF('Onshore- Melbourne'!D563="Semester",'Onshore- Melbourne'!E563*2,IF('Onshore- Melbourne'!D563="Trimester",'Onshore- Melbourne'!E563*3,IF('Onshore- Melbourne'!D563="Term",'Onshore- Melbourne'!E563*4,IF('Onshore- Melbourne'!D563="Unit",'Onshore- Melbourne'!E563*8,""))))))</f>
        <v>7440</v>
      </c>
      <c r="L817" s="0" t="n">
        <f aca="false">IF(AND(ISNUMBER('Onshore- Melbourne'!E563),ISNUMBER(K817),ISNUMBER('Onshore- Melbourne'!F563),ISNUMBER('Onshore- Melbourne'!G563),OR('Onshore- Melbourne'!F563&lt;&gt;0,ISNUMBER(SEARCH("Material 0 terverifikasi",'Onshore- Melbourne'!M563))),OR('Onshore- Melbourne'!G563&lt;&gt;0,ISNUMBER(SEARCH("Enrolment 0 terverifikasi",'Onshore- Melbourne'!M563)))),1,0)</f>
        <v>1</v>
      </c>
      <c r="M817" s="0" t="n">
        <f aca="false">IF(OR('Onshore- Melbourne'!E563="",ISNUMBER(SEARCH("BSB80120",'Onshore- Melbourne'!B563&amp;'Onshore- Melbourne'!M563)),ISNUMBER(SEARCH("Management (Learning)",'Onshore- Melbourne'!B563))),2,IF(ISNUMBER(SEARCH("CEK:",'Onshore- Melbourne'!M563)),1,0))</f>
        <v>0</v>
      </c>
    </row>
    <row r="818" customFormat="false" ht="28.35" hidden="false" customHeight="false" outlineLevel="0" collapsed="false">
      <c r="A818" s="63" t="s">
        <v>3544</v>
      </c>
      <c r="B818" s="64" t="s">
        <v>3990</v>
      </c>
      <c r="C818" s="63" t="s">
        <v>42</v>
      </c>
      <c r="D818" s="64" t="str">
        <f aca="false">TRIM(LEFT('Onshore- Melbourne'!A53,FIND(CHAR(10),'Onshore- Melbourne'!A53&amp;CHAR(10))-1))</f>
        <v>Albright Institute of Business and Language (AIBL)</v>
      </c>
      <c r="E818" s="63" t="str">
        <f aca="false">'Onshore- Melbourne'!C57&amp;""</f>
        <v>2 years</v>
      </c>
      <c r="F818" s="63" t="str">
        <f aca="false">IF('Onshore- Melbourne'!D57="","Belum tercatat",'Onshore- Melbourne'!D57)</f>
        <v>Term</v>
      </c>
      <c r="G818" s="65" t="n">
        <f aca="false">IF('Onshore- Melbourne'!E57="","-",'Onshore- Melbourne'!E57)</f>
        <v>2375</v>
      </c>
      <c r="H818" s="63" t="n">
        <f aca="false">IF(ISNUMBER(K818),COUNTIFS($J$6:$J$1916,J818,$K$6:$K$1916,"&lt;"&amp;K818)+1,"-")</f>
        <v>2</v>
      </c>
      <c r="I818" s="64" t="str">
        <f aca="false">IF('Onshore- Melbourne'!E57="","Harga belum tersedia - hubungi konsultan TEG",IF(M818=2,"Saat ini tidak menerima pendaftaran siswa internasional baru",IF(M818=1,"Harga perlu dikonfirmasi ke sekolah"&amp;IF(""="","","; "&amp;""),"")))</f>
        <v/>
      </c>
      <c r="J818" s="0" t="s">
        <v>4037</v>
      </c>
      <c r="K818" s="0" t="n">
        <f aca="false">IF(M818=2,"",IF(ISNUMBER(SEARCH("rata-rata:",'Onshore- Melbourne'!M57)),VALUE(MID('Onshore- Melbourne'!M57,SEARCH("rata-rata:",'Onshore- Melbourne'!M57)+11,FIND(";",'Onshore- Melbourne'!M57&amp;";",SEARCH("rata-rata:",'Onshore- Melbourne'!M57))-SEARCH("rata-rata:",'Onshore- Melbourne'!M57)-11)),IF('Onshore- Melbourne'!D57="Semester",'Onshore- Melbourne'!E57*2,IF('Onshore- Melbourne'!D57="Trimester",'Onshore- Melbourne'!E57*3,IF('Onshore- Melbourne'!D57="Term",'Onshore- Melbourne'!E57*4,IF('Onshore- Melbourne'!D57="Unit",'Onshore- Melbourne'!E57*8,""))))))</f>
        <v>9500</v>
      </c>
      <c r="L818" s="0" t="n">
        <f aca="false">IF(AND(ISNUMBER('Onshore- Melbourne'!E57),ISNUMBER(K818),ISNUMBER('Onshore- Melbourne'!F57),ISNUMBER('Onshore- Melbourne'!G57),OR('Onshore- Melbourne'!F57&lt;&gt;0,ISNUMBER(SEARCH("Material 0 terverifikasi",'Onshore- Melbourne'!M57))),OR('Onshore- Melbourne'!G57&lt;&gt;0,ISNUMBER(SEARCH("Enrolment 0 terverifikasi",'Onshore- Melbourne'!M57)))),1,0)</f>
        <v>1</v>
      </c>
      <c r="M818" s="0" t="n">
        <f aca="false">IF(OR('Onshore- Melbourne'!E57="",ISNUMBER(SEARCH("BSB80120",'Onshore- Melbourne'!B57&amp;'Onshore- Melbourne'!M57)),ISNUMBER(SEARCH("Management (Learning)",'Onshore- Melbourne'!B57))),2,IF(ISNUMBER(SEARCH("CEK:",'Onshore- Melbourne'!M57)),1,0))</f>
        <v>0</v>
      </c>
    </row>
    <row r="819" customFormat="false" ht="28.35" hidden="false" customHeight="false" outlineLevel="0" collapsed="false">
      <c r="A819" s="63" t="s">
        <v>3544</v>
      </c>
      <c r="B819" s="64" t="s">
        <v>3990</v>
      </c>
      <c r="C819" s="63" t="s">
        <v>42</v>
      </c>
      <c r="D819" s="64" t="str">
        <f aca="false">TRIM(LEFT('Onshore- Melbourne'!A90,FIND(CHAR(10),'Onshore- Melbourne'!A90&amp;CHAR(10))-1))</f>
        <v>Australian Business &amp; Culinary Institute (ABC Institute)</v>
      </c>
      <c r="E819" s="63" t="str">
        <f aca="false">'Onshore- Melbourne'!C90&amp;""</f>
        <v>2 years</v>
      </c>
      <c r="F819" s="63" t="str">
        <f aca="false">IF('Onshore- Melbourne'!D90="","Belum tercatat",'Onshore- Melbourne'!D90)</f>
        <v>Term</v>
      </c>
      <c r="G819" s="65" t="n">
        <f aca="false">IF('Onshore- Melbourne'!E90="","-",'Onshore- Melbourne'!E90)</f>
        <v>2562.5</v>
      </c>
      <c r="H819" s="63" t="n">
        <f aca="false">IF(ISNUMBER(K819),COUNTIFS($J$6:$J$1916,J819,$K$6:$K$1916,"&lt;"&amp;K819)+1,"-")</f>
        <v>3</v>
      </c>
      <c r="I819" s="64" t="str">
        <f aca="false">IF('Onshore- Melbourne'!E90="","Harga belum tersedia - hubungi konsultan TEG",IF(M819=2,"Saat ini tidak menerima pendaftaran siswa internasional baru",IF(M819=1,"Harga perlu dikonfirmasi ke sekolah"&amp;IF(""="","","; "&amp;""),"")))</f>
        <v/>
      </c>
      <c r="J819" s="0" t="s">
        <v>4037</v>
      </c>
      <c r="K819" s="0" t="n">
        <f aca="false">IF(M819=2,"",IF(ISNUMBER(SEARCH("rata-rata:",'Onshore- Melbourne'!M90)),VALUE(MID('Onshore- Melbourne'!M90,SEARCH("rata-rata:",'Onshore- Melbourne'!M90)+11,FIND(";",'Onshore- Melbourne'!M90&amp;";",SEARCH("rata-rata:",'Onshore- Melbourne'!M90))-SEARCH("rata-rata:",'Onshore- Melbourne'!M90)-11)),IF('Onshore- Melbourne'!D90="Semester",'Onshore- Melbourne'!E90*2,IF('Onshore- Melbourne'!D90="Trimester",'Onshore- Melbourne'!E90*3,IF('Onshore- Melbourne'!D90="Term",'Onshore- Melbourne'!E90*4,IF('Onshore- Melbourne'!D90="Unit",'Onshore- Melbourne'!E90*8,""))))))</f>
        <v>10250</v>
      </c>
      <c r="L819" s="0" t="n">
        <f aca="false">IF(AND(ISNUMBER('Onshore- Melbourne'!E90),ISNUMBER(K819),ISNUMBER('Onshore- Melbourne'!F90),ISNUMBER('Onshore- Melbourne'!G90),OR('Onshore- Melbourne'!F90&lt;&gt;0,ISNUMBER(SEARCH("Material 0 terverifikasi",'Onshore- Melbourne'!M90))),OR('Onshore- Melbourne'!G90&lt;&gt;0,ISNUMBER(SEARCH("Enrolment 0 terverifikasi",'Onshore- Melbourne'!M90)))),1,0)</f>
        <v>1</v>
      </c>
      <c r="M819" s="0" t="n">
        <f aca="false">IF(OR('Onshore- Melbourne'!E90="",ISNUMBER(SEARCH("BSB80120",'Onshore- Melbourne'!B90&amp;'Onshore- Melbourne'!M90)),ISNUMBER(SEARCH("Management (Learning)",'Onshore- Melbourne'!B90))),2,IF(ISNUMBER(SEARCH("CEK:",'Onshore- Melbourne'!M90)),1,0))</f>
        <v>0</v>
      </c>
    </row>
    <row r="820" customFormat="false" ht="28.35" hidden="false" customHeight="false" outlineLevel="0" collapsed="false">
      <c r="A820" s="63" t="s">
        <v>3544</v>
      </c>
      <c r="B820" s="64" t="s">
        <v>3990</v>
      </c>
      <c r="C820" s="63" t="s">
        <v>42</v>
      </c>
      <c r="D820" s="64" t="str">
        <f aca="false">TRIM(LEFT('Onshore- Melbourne'!A218,FIND(CHAR(10),'Onshore- Melbourne'!A218&amp;CHAR(10))-1))</f>
        <v>Australian Sovereign College (AuSC)</v>
      </c>
      <c r="E820" s="63" t="str">
        <f aca="false">'Onshore- Melbourne'!C234&amp;""</f>
        <v>2 years</v>
      </c>
      <c r="F820" s="63" t="str">
        <f aca="false">IF('Onshore- Melbourne'!D234="","Belum tercatat",'Onshore- Melbourne'!D234)</f>
        <v>Term</v>
      </c>
      <c r="G820" s="65" t="n">
        <f aca="false">IF('Onshore- Melbourne'!E234="","-",'Onshore- Melbourne'!E234)</f>
        <v>2625</v>
      </c>
      <c r="H820" s="63" t="n">
        <f aca="false">IF(ISNUMBER(K820),COUNTIFS($J$6:$J$1916,J820,$K$6:$K$1916,"&lt;"&amp;K820)+1,"-")</f>
        <v>4</v>
      </c>
      <c r="I820" s="64" t="str">
        <f aca="false">IF('Onshore- Melbourne'!E234="","Harga belum tersedia - hubungi konsultan TEG",IF(M820=2,"Saat ini tidak menerima pendaftaran siswa internasional baru",IF(M820=1,"Harga perlu dikonfirmasi ke sekolah"&amp;IF(""="","","; "&amp;""),"")))</f>
        <v/>
      </c>
      <c r="J820" s="0" t="s">
        <v>4037</v>
      </c>
      <c r="K820" s="0" t="n">
        <f aca="false">IF(M820=2,"",IF(ISNUMBER(SEARCH("rata-rata:",'Onshore- Melbourne'!M234)),VALUE(MID('Onshore- Melbourne'!M234,SEARCH("rata-rata:",'Onshore- Melbourne'!M234)+11,FIND(";",'Onshore- Melbourne'!M234&amp;";",SEARCH("rata-rata:",'Onshore- Melbourne'!M234))-SEARCH("rata-rata:",'Onshore- Melbourne'!M234)-11)),IF('Onshore- Melbourne'!D234="Semester",'Onshore- Melbourne'!E234*2,IF('Onshore- Melbourne'!D234="Trimester",'Onshore- Melbourne'!E234*3,IF('Onshore- Melbourne'!D234="Term",'Onshore- Melbourne'!E234*4,IF('Onshore- Melbourne'!D234="Unit",'Onshore- Melbourne'!E234*8,""))))))</f>
        <v>10500</v>
      </c>
      <c r="L820" s="0" t="n">
        <f aca="false">IF(AND(ISNUMBER('Onshore- Melbourne'!E234),ISNUMBER(K820),ISNUMBER('Onshore- Melbourne'!F234),ISNUMBER('Onshore- Melbourne'!G234),OR('Onshore- Melbourne'!F234&lt;&gt;0,ISNUMBER(SEARCH("Material 0 terverifikasi",'Onshore- Melbourne'!M234))),OR('Onshore- Melbourne'!G234&lt;&gt;0,ISNUMBER(SEARCH("Enrolment 0 terverifikasi",'Onshore- Melbourne'!M234)))),1,0)</f>
        <v>1</v>
      </c>
      <c r="M820" s="0" t="n">
        <f aca="false">IF(OR('Onshore- Melbourne'!E234="",ISNUMBER(SEARCH("BSB80120",'Onshore- Melbourne'!B234&amp;'Onshore- Melbourne'!M234)),ISNUMBER(SEARCH("Management (Learning)",'Onshore- Melbourne'!B234))),2,IF(ISNUMBER(SEARCH("CEK:",'Onshore- Melbourne'!M234)),1,0))</f>
        <v>0</v>
      </c>
    </row>
    <row r="821" customFormat="false" ht="28.35" hidden="false" customHeight="false" outlineLevel="0" collapsed="false">
      <c r="A821" s="63" t="s">
        <v>3544</v>
      </c>
      <c r="B821" s="64" t="s">
        <v>3990</v>
      </c>
      <c r="C821" s="63" t="s">
        <v>42</v>
      </c>
      <c r="D821" s="64" t="str">
        <f aca="false">TRIM(LEFT('Onshore- Melbourne'!A436,FIND(CHAR(10),'Onshore- Melbourne'!A436&amp;CHAR(10))-1))</f>
        <v>The Centre of Excellence</v>
      </c>
      <c r="E821" s="63" t="str">
        <f aca="false">'Onshore- Melbourne'!C438&amp;""</f>
        <v>2 years</v>
      </c>
      <c r="F821" s="63" t="str">
        <f aca="false">IF('Onshore- Melbourne'!D438="","Belum tercatat",'Onshore- Melbourne'!D438)</f>
        <v>Term</v>
      </c>
      <c r="G821" s="65" t="n">
        <f aca="false">IF('Onshore- Melbourne'!E438="","-",'Onshore- Melbourne'!E438)</f>
        <v>2700</v>
      </c>
      <c r="H821" s="63" t="n">
        <f aca="false">IF(ISNUMBER(K821),COUNTIFS($J$6:$J$1916,J821,$K$6:$K$1916,"&lt;"&amp;K821)+1,"-")</f>
        <v>5</v>
      </c>
      <c r="I821" s="64" t="str">
        <f aca="false">IF('Onshore- Melbourne'!E438="","Harga belum tersedia - hubungi konsultan TEG",IF(M821=2,"Saat ini tidak menerima pendaftaran siswa internasional baru",IF(M821=1,"Harga perlu dikonfirmasi ke sekolah"&amp;IF(""="","","; "&amp;""),"")))</f>
        <v/>
      </c>
      <c r="J821" s="0" t="s">
        <v>4037</v>
      </c>
      <c r="K821" s="0" t="n">
        <f aca="false">IF(M821=2,"",IF(ISNUMBER(SEARCH("rata-rata:",'Onshore- Melbourne'!M438)),VALUE(MID('Onshore- Melbourne'!M438,SEARCH("rata-rata:",'Onshore- Melbourne'!M438)+11,FIND(";",'Onshore- Melbourne'!M438&amp;";",SEARCH("rata-rata:",'Onshore- Melbourne'!M438))-SEARCH("rata-rata:",'Onshore- Melbourne'!M438)-11)),IF('Onshore- Melbourne'!D438="Semester",'Onshore- Melbourne'!E438*2,IF('Onshore- Melbourne'!D438="Trimester",'Onshore- Melbourne'!E438*3,IF('Onshore- Melbourne'!D438="Term",'Onshore- Melbourne'!E438*4,IF('Onshore- Melbourne'!D438="Unit",'Onshore- Melbourne'!E438*8,""))))))</f>
        <v>10800</v>
      </c>
      <c r="L821" s="0" t="n">
        <f aca="false">IF(AND(ISNUMBER('Onshore- Melbourne'!E438),ISNUMBER(K821),ISNUMBER('Onshore- Melbourne'!F438),ISNUMBER('Onshore- Melbourne'!G438),OR('Onshore- Melbourne'!F438&lt;&gt;0,ISNUMBER(SEARCH("Material 0 terverifikasi",'Onshore- Melbourne'!M438))),OR('Onshore- Melbourne'!G438&lt;&gt;0,ISNUMBER(SEARCH("Enrolment 0 terverifikasi",'Onshore- Melbourne'!M438)))),1,0)</f>
        <v>1</v>
      </c>
      <c r="M821" s="0" t="n">
        <f aca="false">IF(OR('Onshore- Melbourne'!E438="",ISNUMBER(SEARCH("BSB80120",'Onshore- Melbourne'!B438&amp;'Onshore- Melbourne'!M438)),ISNUMBER(SEARCH("Management (Learning)",'Onshore- Melbourne'!B438))),2,IF(ISNUMBER(SEARCH("CEK:",'Onshore- Melbourne'!M438)),1,0))</f>
        <v>0</v>
      </c>
    </row>
    <row r="822" customFormat="false" ht="28.35" hidden="false" customHeight="false" outlineLevel="0" collapsed="false">
      <c r="A822" s="63" t="s">
        <v>3544</v>
      </c>
      <c r="B822" s="64" t="s">
        <v>3990</v>
      </c>
      <c r="C822" s="63" t="s">
        <v>42</v>
      </c>
      <c r="D822" s="64" t="str">
        <f aca="false">TRIM(LEFT('Onshore- Melbourne'!A417,FIND(CHAR(10),'Onshore- Melbourne'!A417&amp;CHAR(10))-1))</f>
        <v>Signet Institute of Australia</v>
      </c>
      <c r="E822" s="63" t="str">
        <f aca="false">'Onshore- Melbourne'!C422&amp;""</f>
        <v>5 years</v>
      </c>
      <c r="F822" s="63" t="str">
        <f aca="false">IF('Onshore- Melbourne'!D422="","Belum tercatat",'Onshore- Melbourne'!D422)</f>
        <v>Term</v>
      </c>
      <c r="G822" s="65" t="n">
        <f aca="false">IF('Onshore- Melbourne'!E422="","-",'Onshore- Melbourne'!E422)</f>
        <v>3800</v>
      </c>
      <c r="H822" s="63" t="n">
        <f aca="false">IF(ISNUMBER(K822),COUNTIFS($J$6:$J$1916,J822,$K$6:$K$1916,"&lt;"&amp;K822)+1,"-")</f>
        <v>6</v>
      </c>
      <c r="I822" s="64" t="str">
        <f aca="false">IF('Onshore- Melbourne'!E422="","Harga belum tersedia - hubungi konsultan TEG",IF(M822=2,"Saat ini tidak menerima pendaftaran siswa internasional baru",IF(M822=1,"Harga perlu dikonfirmasi ke sekolah"&amp;IF(""="","","; "&amp;""),"")))</f>
        <v/>
      </c>
      <c r="J822" s="0" t="s">
        <v>4037</v>
      </c>
      <c r="K822" s="0" t="n">
        <f aca="false">IF(M822=2,"",IF(ISNUMBER(SEARCH("rata-rata:",'Onshore- Melbourne'!M422)),VALUE(MID('Onshore- Melbourne'!M422,SEARCH("rata-rata:",'Onshore- Melbourne'!M422)+11,FIND(";",'Onshore- Melbourne'!M422&amp;";",SEARCH("rata-rata:",'Onshore- Melbourne'!M422))-SEARCH("rata-rata:",'Onshore- Melbourne'!M422)-11)),IF('Onshore- Melbourne'!D422="Semester",'Onshore- Melbourne'!E422*2,IF('Onshore- Melbourne'!D422="Trimester",'Onshore- Melbourne'!E422*3,IF('Onshore- Melbourne'!D422="Term",'Onshore- Melbourne'!E422*4,IF('Onshore- Melbourne'!D422="Unit",'Onshore- Melbourne'!E422*8,""))))))</f>
        <v>15200</v>
      </c>
      <c r="L822" s="0" t="n">
        <f aca="false">IF(AND(ISNUMBER('Onshore- Melbourne'!E422),ISNUMBER(K822),ISNUMBER('Onshore- Melbourne'!F422),ISNUMBER('Onshore- Melbourne'!G422),OR('Onshore- Melbourne'!F422&lt;&gt;0,ISNUMBER(SEARCH("Material 0 terverifikasi",'Onshore- Melbourne'!M422))),OR('Onshore- Melbourne'!G422&lt;&gt;0,ISNUMBER(SEARCH("Enrolment 0 terverifikasi",'Onshore- Melbourne'!M422)))),1,0)</f>
        <v>0</v>
      </c>
      <c r="M822" s="0" t="n">
        <f aca="false">IF(OR('Onshore- Melbourne'!E422="",ISNUMBER(SEARCH("BSB80120",'Onshore- Melbourne'!B422&amp;'Onshore- Melbourne'!M422)),ISNUMBER(SEARCH("Management (Learning)",'Onshore- Melbourne'!B422))),2,IF(ISNUMBER(SEARCH("CEK:",'Onshore- Melbourne'!M422)),1,0))</f>
        <v>0</v>
      </c>
    </row>
    <row r="823" customFormat="false" ht="15" hidden="false" customHeight="false" outlineLevel="0" collapsed="false">
      <c r="A823" s="61" t="s">
        <v>4038</v>
      </c>
      <c r="B823" s="62"/>
      <c r="C823" s="62"/>
      <c r="D823" s="62"/>
      <c r="E823" s="62"/>
      <c r="F823" s="62"/>
      <c r="G823" s="62"/>
      <c r="H823" s="62"/>
      <c r="I823" s="62"/>
    </row>
    <row r="824" customFormat="false" ht="28.35" hidden="false" customHeight="false" outlineLevel="0" collapsed="false">
      <c r="A824" s="63" t="s">
        <v>3544</v>
      </c>
      <c r="B824" s="64" t="s">
        <v>3990</v>
      </c>
      <c r="C824" s="63" t="s">
        <v>3707</v>
      </c>
      <c r="D824" s="64" t="str">
        <f aca="false">TRIM(LEFT('Onshore- Melbourne'!A266,FIND(CHAR(10),'Onshore- Melbourne'!A266&amp;CHAR(10))-1))</f>
        <v>ECA College</v>
      </c>
      <c r="E824" s="63" t="str">
        <f aca="false">'Onshore- Melbourne'!C266&amp;""</f>
        <v>1 year</v>
      </c>
      <c r="F824" s="63" t="str">
        <f aca="false">IF('Onshore- Melbourne'!D266="","Belum tercatat",'Onshore- Melbourne'!D266)</f>
        <v>Term</v>
      </c>
      <c r="G824" s="65" t="n">
        <f aca="false">IF('Onshore- Melbourne'!E266="","-",'Onshore- Melbourne'!E266)</f>
        <v>3000</v>
      </c>
      <c r="H824" s="63" t="n">
        <f aca="false">IF(ISNUMBER(K824),COUNTIFS($J$6:$J$1916,J824,$K$6:$K$1916,"&lt;"&amp;K824)+1,"-")</f>
        <v>1</v>
      </c>
      <c r="I824" s="64" t="str">
        <f aca="false">IF('Onshore- Melbourne'!E266="","Harga belum tersedia - hubungi konsultan TEG",IF(M824=2,"Saat ini tidak menerima pendaftaran siswa internasional baru",IF(M824=1,"Harga perlu dikonfirmasi ke sekolah"&amp;IF(""="","","; "&amp;""),"")))</f>
        <v/>
      </c>
      <c r="J824" s="0" t="s">
        <v>4039</v>
      </c>
      <c r="K824" s="0" t="n">
        <f aca="false">IF(M824=2,"",IF(ISNUMBER(SEARCH("rata-rata:",'Onshore- Melbourne'!M266)),VALUE(MID('Onshore- Melbourne'!M266,SEARCH("rata-rata:",'Onshore- Melbourne'!M266)+11,FIND(";",'Onshore- Melbourne'!M266&amp;";",SEARCH("rata-rata:",'Onshore- Melbourne'!M266))-SEARCH("rata-rata:",'Onshore- Melbourne'!M266)-11)),IF('Onshore- Melbourne'!D266="Semester",'Onshore- Melbourne'!E266*2,IF('Onshore- Melbourne'!D266="Trimester",'Onshore- Melbourne'!E266*3,IF('Onshore- Melbourne'!D266="Term",'Onshore- Melbourne'!E266*4,IF('Onshore- Melbourne'!D266="Unit",'Onshore- Melbourne'!E266*8,""))))))</f>
        <v>12000</v>
      </c>
      <c r="L824" s="0" t="n">
        <f aca="false">IF(AND(ISNUMBER('Onshore- Melbourne'!E266),ISNUMBER(K824),ISNUMBER('Onshore- Melbourne'!F266),ISNUMBER('Onshore- Melbourne'!G266),OR('Onshore- Melbourne'!F266&lt;&gt;0,ISNUMBER(SEARCH("Material 0 terverifikasi",'Onshore- Melbourne'!M266))),OR('Onshore- Melbourne'!G266&lt;&gt;0,ISNUMBER(SEARCH("Enrolment 0 terverifikasi",'Onshore- Melbourne'!M266)))),1,0)</f>
        <v>1</v>
      </c>
      <c r="M824" s="0" t="n">
        <f aca="false">IF(OR('Onshore- Melbourne'!E266="",ISNUMBER(SEARCH("BSB80120",'Onshore- Melbourne'!B266&amp;'Onshore- Melbourne'!M266)),ISNUMBER(SEARCH("Management (Learning)",'Onshore- Melbourne'!B266))),2,IF(ISNUMBER(SEARCH("CEK:",'Onshore- Melbourne'!M266)),1,0))</f>
        <v>0</v>
      </c>
    </row>
    <row r="825" customFormat="false" ht="15" hidden="false" customHeight="false" outlineLevel="0" collapsed="false">
      <c r="A825" s="61" t="s">
        <v>4040</v>
      </c>
      <c r="B825" s="62"/>
      <c r="C825" s="62"/>
      <c r="D825" s="62"/>
      <c r="E825" s="62"/>
      <c r="F825" s="62"/>
      <c r="G825" s="62"/>
      <c r="H825" s="62"/>
      <c r="I825" s="62"/>
    </row>
    <row r="826" customFormat="false" ht="28.35" hidden="false" customHeight="false" outlineLevel="0" collapsed="false">
      <c r="A826" s="63" t="s">
        <v>3544</v>
      </c>
      <c r="B826" s="64" t="s">
        <v>3990</v>
      </c>
      <c r="C826" s="63" t="s">
        <v>46</v>
      </c>
      <c r="D826" s="64" t="str">
        <f aca="false">TRIM(LEFT('Onshore- Melbourne'!A461,FIND(CHAR(10),'Onshore- Melbourne'!A461&amp;CHAR(10))-1))</f>
        <v>Torrens University Australia</v>
      </c>
      <c r="E826" s="63" t="str">
        <f aca="false">'Onshore- Melbourne'!C487&amp;""</f>
        <v>2 years</v>
      </c>
      <c r="F826" s="63" t="str">
        <f aca="false">IF('Onshore- Melbourne'!D487="","Belum tercatat",'Onshore- Melbourne'!D487)</f>
        <v>Term</v>
      </c>
      <c r="G826" s="65" t="n">
        <f aca="false">IF('Onshore- Melbourne'!E487="","-",'Onshore- Melbourne'!E487)</f>
        <v>9000</v>
      </c>
      <c r="H826" s="63" t="n">
        <f aca="false">IF(ISNUMBER(K826),COUNTIFS($J$6:$J$1916,J826,$K$6:$K$1916,"&lt;"&amp;K826)+1,"-")</f>
        <v>1</v>
      </c>
      <c r="I826" s="64" t="str">
        <f aca="false">IF('Onshore- Melbourne'!E487="","Harga belum tersedia - hubungi konsultan TEG",IF(M826=2,"Saat ini tidak menerima pendaftaran siswa internasional baru",IF(M826=1,"Harga perlu dikonfirmasi ke sekolah"&amp;IF(""="","","; "&amp;""),"")))</f>
        <v/>
      </c>
      <c r="J826" s="0" t="s">
        <v>4041</v>
      </c>
      <c r="K826" s="0" t="n">
        <f aca="false">IF(M826=2,"",IF(ISNUMBER(SEARCH("rata-rata:",'Onshore- Melbourne'!M487)),VALUE(MID('Onshore- Melbourne'!M487,SEARCH("rata-rata:",'Onshore- Melbourne'!M487)+11,FIND(";",'Onshore- Melbourne'!M487&amp;";",SEARCH("rata-rata:",'Onshore- Melbourne'!M487))-SEARCH("rata-rata:",'Onshore- Melbourne'!M487)-11)),IF('Onshore- Melbourne'!D487="Semester",'Onshore- Melbourne'!E487*2,IF('Onshore- Melbourne'!D487="Trimester",'Onshore- Melbourne'!E487*3,IF('Onshore- Melbourne'!D487="Term",'Onshore- Melbourne'!E487*4,IF('Onshore- Melbourne'!D487="Unit",'Onshore- Melbourne'!E487*8,""))))))</f>
        <v>36000</v>
      </c>
      <c r="L826" s="0" t="n">
        <f aca="false">IF(AND(ISNUMBER('Onshore- Melbourne'!E487),ISNUMBER(K826),ISNUMBER('Onshore- Melbourne'!F487),ISNUMBER('Onshore- Melbourne'!G487),OR('Onshore- Melbourne'!F487&lt;&gt;0,ISNUMBER(SEARCH("Material 0 terverifikasi",'Onshore- Melbourne'!M487))),OR('Onshore- Melbourne'!G487&lt;&gt;0,ISNUMBER(SEARCH("Enrolment 0 terverifikasi",'Onshore- Melbourne'!M487)))),1,0)</f>
        <v>0</v>
      </c>
      <c r="M826" s="0" t="n">
        <f aca="false">IF(OR('Onshore- Melbourne'!E487="",ISNUMBER(SEARCH("BSB80120",'Onshore- Melbourne'!B487&amp;'Onshore- Melbourne'!M487)),ISNUMBER(SEARCH("Management (Learning)",'Onshore- Melbourne'!B487))),2,IF(ISNUMBER(SEARCH("CEK:",'Onshore- Melbourne'!M487)),1,0))</f>
        <v>0</v>
      </c>
    </row>
    <row r="827" customFormat="false" ht="15" hidden="false" customHeight="false" outlineLevel="0" collapsed="false">
      <c r="A827" s="61" t="s">
        <v>4042</v>
      </c>
      <c r="B827" s="62"/>
      <c r="C827" s="62"/>
      <c r="D827" s="62"/>
      <c r="E827" s="62"/>
      <c r="F827" s="62"/>
      <c r="G827" s="62"/>
      <c r="H827" s="62"/>
      <c r="I827" s="62"/>
    </row>
    <row r="828" customFormat="false" ht="28.35" hidden="false" customHeight="false" outlineLevel="0" collapsed="false">
      <c r="A828" s="63" t="s">
        <v>3573</v>
      </c>
      <c r="B828" s="64" t="s">
        <v>3990</v>
      </c>
      <c r="C828" s="63" t="s">
        <v>39</v>
      </c>
      <c r="D828" s="64" t="str">
        <f aca="false">TRIM(LEFT('Onshore - Perth'!A53,FIND(CHAR(10),'Onshore - Perth'!A53&amp;CHAR(10))-1))</f>
        <v>Everthought College of Construction</v>
      </c>
      <c r="E828" s="63" t="str">
        <f aca="false">'Onshore - Perth'!C54&amp;""</f>
        <v>1,5 years</v>
      </c>
      <c r="F828" s="63" t="str">
        <f aca="false">IF('Onshore - Perth'!D54="","Belum tercatat",'Onshore - Perth'!D54)</f>
        <v>Term</v>
      </c>
      <c r="G828" s="65" t="n">
        <f aca="false">IF('Onshore - Perth'!E54="","-",'Onshore - Perth'!E54)</f>
        <v>2083</v>
      </c>
      <c r="H828" s="63" t="n">
        <f aca="false">IF(ISNUMBER(K828),COUNTIFS($J$6:$J$1916,J828,$K$6:$K$1916,"&lt;"&amp;K828)+1,"-")</f>
        <v>1</v>
      </c>
      <c r="I828" s="64" t="str">
        <f aca="false">IF('Onshore - Perth'!E54="","Harga belum tersedia - hubungi konsultan TEG",IF(M828=2,"Saat ini tidak menerima pendaftaran siswa internasional baru",IF(M828=1,"Harga perlu dikonfirmasi ke sekolah"&amp;IF(""="","","; "&amp;""),"")))</f>
        <v/>
      </c>
      <c r="J828" s="0" t="s">
        <v>4043</v>
      </c>
      <c r="K828" s="0" t="n">
        <f aca="false">IF(M828=2,"",IF(ISNUMBER(SEARCH("rata-rata:",'Onshore - Perth'!M54)),VALUE(MID('Onshore - Perth'!M54,SEARCH("rata-rata:",'Onshore - Perth'!M54)+11,FIND(";",'Onshore - Perth'!M54&amp;";",SEARCH("rata-rata:",'Onshore - Perth'!M54))-SEARCH("rata-rata:",'Onshore - Perth'!M54)-11)),IF('Onshore - Perth'!D54="Semester",'Onshore - Perth'!E54*2,IF('Onshore - Perth'!D54="Trimester",'Onshore - Perth'!E54*3,IF('Onshore - Perth'!D54="Term",'Onshore - Perth'!E54*4,IF('Onshore - Perth'!D54="Unit",'Onshore - Perth'!E54*8,""))))))</f>
        <v>8332</v>
      </c>
      <c r="L828" s="0" t="n">
        <f aca="false">IF(AND(ISNUMBER('Onshore - Perth'!E54),ISNUMBER(K828),ISNUMBER('Onshore - Perth'!F54),ISNUMBER('Onshore - Perth'!G54),OR('Onshore - Perth'!F54&lt;&gt;0,ISNUMBER(SEARCH("Material 0 terverifikasi",'Onshore - Perth'!M54))),OR('Onshore - Perth'!G54&lt;&gt;0,ISNUMBER(SEARCH("Enrolment 0 terverifikasi",'Onshore - Perth'!M54)))),1,0)</f>
        <v>1</v>
      </c>
      <c r="M828" s="0" t="n">
        <f aca="false">IF(OR('Onshore - Perth'!E54="",ISNUMBER(SEARCH("BSB80120",'Onshore - Perth'!B54&amp;'Onshore - Perth'!M54)),ISNUMBER(SEARCH("Management (Learning)",'Onshore - Perth'!B54))),2,IF(ISNUMBER(SEARCH("CEK:",'Onshore - Perth'!M54)),1,0))</f>
        <v>0</v>
      </c>
    </row>
    <row r="829" customFormat="false" ht="28.35" hidden="false" customHeight="false" outlineLevel="0" collapsed="false">
      <c r="A829" s="63" t="s">
        <v>3573</v>
      </c>
      <c r="B829" s="64" t="s">
        <v>3990</v>
      </c>
      <c r="C829" s="63" t="s">
        <v>39</v>
      </c>
      <c r="D829" s="64" t="str">
        <f aca="false">TRIM(LEFT('Onshore - Perth'!A38,FIND(CHAR(10),'Onshore - Perth'!A38&amp;CHAR(10))-1))</f>
        <v>Baxter Institute</v>
      </c>
      <c r="E829" s="63" t="str">
        <f aca="false">'Onshore - Perth'!C38&amp;""</f>
        <v>2 years</v>
      </c>
      <c r="F829" s="63" t="str">
        <f aca="false">IF('Onshore - Perth'!D38="","Belum tercatat",'Onshore - Perth'!D38)</f>
        <v>Term</v>
      </c>
      <c r="G829" s="65" t="n">
        <f aca="false">IF('Onshore - Perth'!E38="","-",'Onshore - Perth'!E38)</f>
        <v>2500</v>
      </c>
      <c r="H829" s="63" t="n">
        <f aca="false">IF(ISNUMBER(K829),COUNTIFS($J$6:$J$1916,J829,$K$6:$K$1916,"&lt;"&amp;K829)+1,"-")</f>
        <v>2</v>
      </c>
      <c r="I829" s="64" t="str">
        <f aca="false">IF('Onshore - Perth'!E38="","Harga belum tersedia - hubungi konsultan TEG",IF(M829=2,"Saat ini tidak menerima pendaftaran siswa internasional baru",IF(M829=1,"Harga perlu dikonfirmasi ke sekolah"&amp;IF(""="","","; "&amp;""),"")))</f>
        <v/>
      </c>
      <c r="J829" s="0" t="s">
        <v>4043</v>
      </c>
      <c r="K829" s="0" t="n">
        <f aca="false">IF(M829=2,"",IF(ISNUMBER(SEARCH("rata-rata:",'Onshore - Perth'!M38)),VALUE(MID('Onshore - Perth'!M38,SEARCH("rata-rata:",'Onshore - Perth'!M38)+11,FIND(";",'Onshore - Perth'!M38&amp;";",SEARCH("rata-rata:",'Onshore - Perth'!M38))-SEARCH("rata-rata:",'Onshore - Perth'!M38)-11)),IF('Onshore - Perth'!D38="Semester",'Onshore - Perth'!E38*2,IF('Onshore - Perth'!D38="Trimester",'Onshore - Perth'!E38*3,IF('Onshore - Perth'!D38="Term",'Onshore - Perth'!E38*4,IF('Onshore - Perth'!D38="Unit",'Onshore - Perth'!E38*8,""))))))</f>
        <v>10000</v>
      </c>
      <c r="L829" s="0" t="n">
        <f aca="false">IF(AND(ISNUMBER('Onshore - Perth'!E38),ISNUMBER(K829),ISNUMBER('Onshore - Perth'!F38),ISNUMBER('Onshore - Perth'!G38),OR('Onshore - Perth'!F38&lt;&gt;0,ISNUMBER(SEARCH("Material 0 terverifikasi",'Onshore - Perth'!M38))),OR('Onshore - Perth'!G38&lt;&gt;0,ISNUMBER(SEARCH("Enrolment 0 terverifikasi",'Onshore - Perth'!M38)))),1,0)</f>
        <v>1</v>
      </c>
      <c r="M829" s="0" t="n">
        <f aca="false">IF(OR('Onshore - Perth'!E38="",ISNUMBER(SEARCH("BSB80120",'Onshore - Perth'!B38&amp;'Onshore - Perth'!M38)),ISNUMBER(SEARCH("Management (Learning)",'Onshore - Perth'!B38))),2,IF(ISNUMBER(SEARCH("CEK:",'Onshore - Perth'!M38)),1,0))</f>
        <v>0</v>
      </c>
    </row>
    <row r="830" customFormat="false" ht="28.35" hidden="false" customHeight="false" outlineLevel="0" collapsed="false">
      <c r="A830" s="63" t="s">
        <v>3573</v>
      </c>
      <c r="B830" s="64" t="s">
        <v>3990</v>
      </c>
      <c r="C830" s="63" t="s">
        <v>39</v>
      </c>
      <c r="D830" s="64" t="str">
        <f aca="false">TRIM(LEFT('Onshore - Perth'!A110,FIND(CHAR(10),'Onshore - Perth'!A110&amp;CHAR(10))-1))</f>
        <v>Keystone College of Business and Technology (KCBT)</v>
      </c>
      <c r="E830" s="63" t="str">
        <f aca="false">'Onshore - Perth'!C112&amp;""</f>
        <v>1,5 years</v>
      </c>
      <c r="F830" s="63" t="str">
        <f aca="false">IF('Onshore - Perth'!D112="","Belum tercatat",'Onshore - Perth'!D112)</f>
        <v>Term</v>
      </c>
      <c r="G830" s="65" t="n">
        <f aca="false">IF('Onshore - Perth'!E112="","-",'Onshore - Perth'!E112)</f>
        <v>2500</v>
      </c>
      <c r="H830" s="63" t="n">
        <f aca="false">IF(ISNUMBER(K830),COUNTIFS($J$6:$J$1916,J830,$K$6:$K$1916,"&lt;"&amp;K830)+1,"-")</f>
        <v>2</v>
      </c>
      <c r="I830" s="64" t="str">
        <f aca="false">IF('Onshore - Perth'!E112="","Harga belum tersedia - hubungi konsultan TEG",IF(M830=2,"Saat ini tidak menerima pendaftaran siswa internasional baru",IF(M830=1,"Harga perlu dikonfirmasi ke sekolah"&amp;IF(""="","","; "&amp;""),"")))</f>
        <v/>
      </c>
      <c r="J830" s="0" t="s">
        <v>4043</v>
      </c>
      <c r="K830" s="0" t="n">
        <f aca="false">IF(M830=2,"",IF(ISNUMBER(SEARCH("rata-rata:",'Onshore - Perth'!M112)),VALUE(MID('Onshore - Perth'!M112,SEARCH("rata-rata:",'Onshore - Perth'!M112)+11,FIND(";",'Onshore - Perth'!M112&amp;";",SEARCH("rata-rata:",'Onshore - Perth'!M112))-SEARCH("rata-rata:",'Onshore - Perth'!M112)-11)),IF('Onshore - Perth'!D112="Semester",'Onshore - Perth'!E112*2,IF('Onshore - Perth'!D112="Trimester",'Onshore - Perth'!E112*3,IF('Onshore - Perth'!D112="Term",'Onshore - Perth'!E112*4,IF('Onshore - Perth'!D112="Unit",'Onshore - Perth'!E112*8,""))))))</f>
        <v>10000</v>
      </c>
      <c r="L830" s="0" t="n">
        <f aca="false">IF(AND(ISNUMBER('Onshore - Perth'!E112),ISNUMBER(K830),ISNUMBER('Onshore - Perth'!F112),ISNUMBER('Onshore - Perth'!G112),OR('Onshore - Perth'!F112&lt;&gt;0,ISNUMBER(SEARCH("Material 0 terverifikasi",'Onshore - Perth'!M112))),OR('Onshore - Perth'!G112&lt;&gt;0,ISNUMBER(SEARCH("Enrolment 0 terverifikasi",'Onshore - Perth'!M112)))),1,0)</f>
        <v>1</v>
      </c>
      <c r="M830" s="0" t="n">
        <f aca="false">IF(OR('Onshore - Perth'!E112="",ISNUMBER(SEARCH("BSB80120",'Onshore - Perth'!B112&amp;'Onshore - Perth'!M112)),ISNUMBER(SEARCH("Management (Learning)",'Onshore - Perth'!B112))),2,IF(ISNUMBER(SEARCH("CEK:",'Onshore - Perth'!M112)),1,0))</f>
        <v>0</v>
      </c>
    </row>
    <row r="831" customFormat="false" ht="28.35" hidden="false" customHeight="false" outlineLevel="0" collapsed="false">
      <c r="A831" s="63" t="s">
        <v>3573</v>
      </c>
      <c r="B831" s="64" t="s">
        <v>3990</v>
      </c>
      <c r="C831" s="63" t="s">
        <v>39</v>
      </c>
      <c r="D831" s="64" t="str">
        <f aca="false">TRIM(LEFT('Onshore - Perth'!A62,FIND(CHAR(10),'Onshore - Perth'!A62&amp;CHAR(10))-1))</f>
        <v>Global College Australasia</v>
      </c>
      <c r="E831" s="63" t="str">
        <f aca="false">'Onshore - Perth'!C75&amp;""</f>
        <v>1,5 years</v>
      </c>
      <c r="F831" s="63" t="str">
        <f aca="false">IF('Onshore - Perth'!D75="","Belum tercatat",'Onshore - Perth'!D75)</f>
        <v>Term</v>
      </c>
      <c r="G831" s="65" t="n">
        <f aca="false">IF('Onshore - Perth'!E75="","-",'Onshore - Perth'!E75)</f>
        <v>3250</v>
      </c>
      <c r="H831" s="63" t="n">
        <f aca="false">IF(ISNUMBER(K831),COUNTIFS($J$6:$J$1916,J831,$K$6:$K$1916,"&lt;"&amp;K831)+1,"-")</f>
        <v>4</v>
      </c>
      <c r="I831" s="64" t="str">
        <f aca="false">IF('Onshore - Perth'!E75="","Harga belum tersedia - hubungi konsultan TEG",IF(M831=2,"Saat ini tidak menerima pendaftaran siswa internasional baru",IF(M831=1,"Harga perlu dikonfirmasi ke sekolah"&amp;IF(""="","","; "&amp;""),"")))</f>
        <v/>
      </c>
      <c r="J831" s="0" t="s">
        <v>4043</v>
      </c>
      <c r="K831" s="0" t="n">
        <f aca="false">IF(M831=2,"",IF(ISNUMBER(SEARCH("rata-rata:",'Onshore - Perth'!M75)),VALUE(MID('Onshore - Perth'!M75,SEARCH("rata-rata:",'Onshore - Perth'!M75)+11,FIND(";",'Onshore - Perth'!M75&amp;";",SEARCH("rata-rata:",'Onshore - Perth'!M75))-SEARCH("rata-rata:",'Onshore - Perth'!M75)-11)),IF('Onshore - Perth'!D75="Semester",'Onshore - Perth'!E75*2,IF('Onshore - Perth'!D75="Trimester",'Onshore - Perth'!E75*3,IF('Onshore - Perth'!D75="Term",'Onshore - Perth'!E75*4,IF('Onshore - Perth'!D75="Unit",'Onshore - Perth'!E75*8,""))))))</f>
        <v>13000</v>
      </c>
      <c r="L831" s="0" t="n">
        <f aca="false">IF(AND(ISNUMBER('Onshore - Perth'!E75),ISNUMBER(K831),ISNUMBER('Onshore - Perth'!F75),ISNUMBER('Onshore - Perth'!G75),OR('Onshore - Perth'!F75&lt;&gt;0,ISNUMBER(SEARCH("Material 0 terverifikasi",'Onshore - Perth'!M75))),OR('Onshore - Perth'!G75&lt;&gt;0,ISNUMBER(SEARCH("Enrolment 0 terverifikasi",'Onshore - Perth'!M75)))),1,0)</f>
        <v>0</v>
      </c>
      <c r="M831" s="0" t="n">
        <f aca="false">IF(OR('Onshore - Perth'!E75="",ISNUMBER(SEARCH("BSB80120",'Onshore - Perth'!B75&amp;'Onshore - Perth'!M75)),ISNUMBER(SEARCH("Management (Learning)",'Onshore - Perth'!B75))),2,IF(ISNUMBER(SEARCH("CEK:",'Onshore - Perth'!M75)),1,0))</f>
        <v>0</v>
      </c>
    </row>
    <row r="832" customFormat="false" ht="15" hidden="false" customHeight="false" outlineLevel="0" collapsed="false">
      <c r="A832" s="61" t="s">
        <v>4044</v>
      </c>
      <c r="B832" s="62"/>
      <c r="C832" s="62"/>
      <c r="D832" s="62"/>
      <c r="E832" s="62"/>
      <c r="F832" s="62"/>
      <c r="G832" s="62"/>
      <c r="H832" s="62"/>
      <c r="I832" s="62"/>
    </row>
    <row r="833" customFormat="false" ht="28.35" hidden="false" customHeight="false" outlineLevel="0" collapsed="false">
      <c r="A833" s="63" t="s">
        <v>3573</v>
      </c>
      <c r="B833" s="64" t="s">
        <v>3990</v>
      </c>
      <c r="C833" s="63" t="s">
        <v>40</v>
      </c>
      <c r="D833" s="64" t="str">
        <f aca="false">TRIM(LEFT('Onshore - Perth'!A53,FIND(CHAR(10),'Onshore - Perth'!A53&amp;CHAR(10))-1))</f>
        <v>Everthought College of Construction</v>
      </c>
      <c r="E833" s="63" t="str">
        <f aca="false">'Onshore - Perth'!C59&amp;""</f>
        <v>2,5 years</v>
      </c>
      <c r="F833" s="63" t="str">
        <f aca="false">IF('Onshore - Perth'!D59="","Belum tercatat",'Onshore - Perth'!D59)</f>
        <v>Term</v>
      </c>
      <c r="G833" s="65" t="n">
        <f aca="false">IF('Onshore - Perth'!E59="","-",'Onshore - Perth'!E59)</f>
        <v>2083</v>
      </c>
      <c r="H833" s="63" t="n">
        <f aca="false">IF(ISNUMBER(K833),COUNTIFS($J$6:$J$1916,J833,$K$6:$K$1916,"&lt;"&amp;K833)+1,"-")</f>
        <v>1</v>
      </c>
      <c r="I833" s="64" t="str">
        <f aca="false">IF('Onshore - Perth'!E59="","Harga belum tersedia - hubungi konsultan TEG",IF(M833=2,"Saat ini tidak menerima pendaftaran siswa internasional baru",IF(M833=1,"Harga perlu dikonfirmasi ke sekolah"&amp;IF(""="","","; "&amp;""),"")))</f>
        <v/>
      </c>
      <c r="J833" s="0" t="s">
        <v>4045</v>
      </c>
      <c r="K833" s="0" t="n">
        <f aca="false">IF(M833=2,"",IF(ISNUMBER(SEARCH("rata-rata:",'Onshore - Perth'!M59)),VALUE(MID('Onshore - Perth'!M59,SEARCH("rata-rata:",'Onshore - Perth'!M59)+11,FIND(";",'Onshore - Perth'!M59&amp;";",SEARCH("rata-rata:",'Onshore - Perth'!M59))-SEARCH("rata-rata:",'Onshore - Perth'!M59)-11)),IF('Onshore - Perth'!D59="Semester",'Onshore - Perth'!E59*2,IF('Onshore - Perth'!D59="Trimester",'Onshore - Perth'!E59*3,IF('Onshore - Perth'!D59="Term",'Onshore - Perth'!E59*4,IF('Onshore - Perth'!D59="Unit",'Onshore - Perth'!E59*8,""))))))</f>
        <v>8332</v>
      </c>
      <c r="L833" s="0" t="n">
        <f aca="false">IF(AND(ISNUMBER('Onshore - Perth'!E59),ISNUMBER(K833),ISNUMBER('Onshore - Perth'!F59),ISNUMBER('Onshore - Perth'!G59),OR('Onshore - Perth'!F59&lt;&gt;0,ISNUMBER(SEARCH("Material 0 terverifikasi",'Onshore - Perth'!M59))),OR('Onshore - Perth'!G59&lt;&gt;0,ISNUMBER(SEARCH("Enrolment 0 terverifikasi",'Onshore - Perth'!M59)))),1,0)</f>
        <v>1</v>
      </c>
      <c r="M833" s="0" t="n">
        <f aca="false">IF(OR('Onshore - Perth'!E59="",ISNUMBER(SEARCH("BSB80120",'Onshore - Perth'!B59&amp;'Onshore - Perth'!M59)),ISNUMBER(SEARCH("Management (Learning)",'Onshore - Perth'!B59))),2,IF(ISNUMBER(SEARCH("CEK:",'Onshore - Perth'!M59)),1,0))</f>
        <v>0</v>
      </c>
    </row>
    <row r="834" customFormat="false" ht="15" hidden="false" customHeight="false" outlineLevel="0" collapsed="false">
      <c r="A834" s="61" t="s">
        <v>4046</v>
      </c>
      <c r="B834" s="62"/>
      <c r="C834" s="62"/>
      <c r="D834" s="62"/>
      <c r="E834" s="62"/>
      <c r="F834" s="62"/>
      <c r="G834" s="62"/>
      <c r="H834" s="62"/>
      <c r="I834" s="62"/>
    </row>
    <row r="835" customFormat="false" ht="28.35" hidden="false" customHeight="false" outlineLevel="0" collapsed="false">
      <c r="A835" s="63" t="s">
        <v>3573</v>
      </c>
      <c r="B835" s="64" t="s">
        <v>3990</v>
      </c>
      <c r="C835" s="63" t="s">
        <v>41</v>
      </c>
      <c r="D835" s="64" t="str">
        <f aca="false">TRIM(LEFT('Onshore - Perth'!A53,FIND(CHAR(10),'Onshore - Perth'!A53&amp;CHAR(10))-1))</f>
        <v>Everthought College of Construction</v>
      </c>
      <c r="E835" s="63" t="str">
        <f aca="false">'Onshore - Perth'!C61&amp;""</f>
        <v>2,5 years</v>
      </c>
      <c r="F835" s="63" t="str">
        <f aca="false">IF('Onshore - Perth'!D61="","Belum tercatat",'Onshore - Perth'!D61)</f>
        <v>Term</v>
      </c>
      <c r="G835" s="65" t="n">
        <f aca="false">IF('Onshore - Perth'!E61="","-",'Onshore - Perth'!E61)</f>
        <v>2083</v>
      </c>
      <c r="H835" s="63" t="n">
        <f aca="false">IF(ISNUMBER(K835),COUNTIFS($J$6:$J$1916,J835,$K$6:$K$1916,"&lt;"&amp;K835)+1,"-")</f>
        <v>1</v>
      </c>
      <c r="I835" s="64" t="str">
        <f aca="false">IF('Onshore - Perth'!E61="","Harga belum tersedia - hubungi konsultan TEG",IF(M835=2,"Saat ini tidak menerima pendaftaran siswa internasional baru",IF(M835=1,"Harga perlu dikonfirmasi ke sekolah"&amp;IF(""="","","; "&amp;""),"")))</f>
        <v/>
      </c>
      <c r="J835" s="0" t="s">
        <v>4047</v>
      </c>
      <c r="K835" s="0" t="n">
        <f aca="false">IF(M835=2,"",IF(ISNUMBER(SEARCH("rata-rata:",'Onshore - Perth'!M61)),VALUE(MID('Onshore - Perth'!M61,SEARCH("rata-rata:",'Onshore - Perth'!M61)+11,FIND(";",'Onshore - Perth'!M61&amp;";",SEARCH("rata-rata:",'Onshore - Perth'!M61))-SEARCH("rata-rata:",'Onshore - Perth'!M61)-11)),IF('Onshore - Perth'!D61="Semester",'Onshore - Perth'!E61*2,IF('Onshore - Perth'!D61="Trimester",'Onshore - Perth'!E61*3,IF('Onshore - Perth'!D61="Term",'Onshore - Perth'!E61*4,IF('Onshore - Perth'!D61="Unit",'Onshore - Perth'!E61*8,""))))))</f>
        <v>8332</v>
      </c>
      <c r="L835" s="0" t="n">
        <f aca="false">IF(AND(ISNUMBER('Onshore - Perth'!E61),ISNUMBER(K835),ISNUMBER('Onshore - Perth'!F61),ISNUMBER('Onshore - Perth'!G61),OR('Onshore - Perth'!F61&lt;&gt;0,ISNUMBER(SEARCH("Material 0 terverifikasi",'Onshore - Perth'!M61))),OR('Onshore - Perth'!G61&lt;&gt;0,ISNUMBER(SEARCH("Enrolment 0 terverifikasi",'Onshore - Perth'!M61)))),1,0)</f>
        <v>1</v>
      </c>
      <c r="M835" s="0" t="n">
        <f aca="false">IF(OR('Onshore - Perth'!E61="",ISNUMBER(SEARCH("BSB80120",'Onshore - Perth'!B61&amp;'Onshore - Perth'!M61)),ISNUMBER(SEARCH("Management (Learning)",'Onshore - Perth'!B61))),2,IF(ISNUMBER(SEARCH("CEK:",'Onshore - Perth'!M61)),1,0))</f>
        <v>0</v>
      </c>
    </row>
    <row r="836" customFormat="false" ht="28.35" hidden="false" customHeight="false" outlineLevel="0" collapsed="false">
      <c r="A836" s="63" t="s">
        <v>3573</v>
      </c>
      <c r="B836" s="64" t="s">
        <v>3990</v>
      </c>
      <c r="C836" s="63" t="s">
        <v>41</v>
      </c>
      <c r="D836" s="64" t="str">
        <f aca="false">TRIM(LEFT('Onshore - Perth'!A110,FIND(CHAR(10),'Onshore - Perth'!A110&amp;CHAR(10))-1))</f>
        <v>Keystone College of Business and Technology (KCBT)</v>
      </c>
      <c r="E836" s="63" t="str">
        <f aca="false">'Onshore - Perth'!C110&amp;""</f>
        <v>2 years</v>
      </c>
      <c r="F836" s="63" t="str">
        <f aca="false">IF('Onshore - Perth'!D110="","Belum tercatat",'Onshore - Perth'!D110)</f>
        <v>Term</v>
      </c>
      <c r="G836" s="65" t="n">
        <f aca="false">IF('Onshore - Perth'!E110="","-",'Onshore - Perth'!E110)</f>
        <v>2500</v>
      </c>
      <c r="H836" s="63" t="n">
        <f aca="false">IF(ISNUMBER(K836),COUNTIFS($J$6:$J$1916,J836,$K$6:$K$1916,"&lt;"&amp;K836)+1,"-")</f>
        <v>2</v>
      </c>
      <c r="I836" s="64" t="str">
        <f aca="false">IF('Onshore - Perth'!E110="","Harga belum tersedia - hubungi konsultan TEG",IF(M836=2,"Saat ini tidak menerima pendaftaran siswa internasional baru",IF(M836=1,"Harga perlu dikonfirmasi ke sekolah"&amp;IF(""="","","; "&amp;""),"")))</f>
        <v/>
      </c>
      <c r="J836" s="0" t="s">
        <v>4047</v>
      </c>
      <c r="K836" s="0" t="n">
        <f aca="false">IF(M836=2,"",IF(ISNUMBER(SEARCH("rata-rata:",'Onshore - Perth'!M110)),VALUE(MID('Onshore - Perth'!M110,SEARCH("rata-rata:",'Onshore - Perth'!M110)+11,FIND(";",'Onshore - Perth'!M110&amp;";",SEARCH("rata-rata:",'Onshore - Perth'!M110))-SEARCH("rata-rata:",'Onshore - Perth'!M110)-11)),IF('Onshore - Perth'!D110="Semester",'Onshore - Perth'!E110*2,IF('Onshore - Perth'!D110="Trimester",'Onshore - Perth'!E110*3,IF('Onshore - Perth'!D110="Term",'Onshore - Perth'!E110*4,IF('Onshore - Perth'!D110="Unit",'Onshore - Perth'!E110*8,""))))))</f>
        <v>10000</v>
      </c>
      <c r="L836" s="0" t="n">
        <f aca="false">IF(AND(ISNUMBER('Onshore - Perth'!E110),ISNUMBER(K836),ISNUMBER('Onshore - Perth'!F110),ISNUMBER('Onshore - Perth'!G110),OR('Onshore - Perth'!F110&lt;&gt;0,ISNUMBER(SEARCH("Material 0 terverifikasi",'Onshore - Perth'!M110))),OR('Onshore - Perth'!G110&lt;&gt;0,ISNUMBER(SEARCH("Enrolment 0 terverifikasi",'Onshore - Perth'!M110)))),1,0)</f>
        <v>1</v>
      </c>
      <c r="M836" s="0" t="n">
        <f aca="false">IF(OR('Onshore - Perth'!E110="",ISNUMBER(SEARCH("BSB80120",'Onshore - Perth'!B110&amp;'Onshore - Perth'!M110)),ISNUMBER(SEARCH("Management (Learning)",'Onshore - Perth'!B110))),2,IF(ISNUMBER(SEARCH("CEK:",'Onshore - Perth'!M110)),1,0))</f>
        <v>0</v>
      </c>
    </row>
    <row r="837" customFormat="false" ht="28.35" hidden="false" customHeight="false" outlineLevel="0" collapsed="false">
      <c r="A837" s="63" t="s">
        <v>3573</v>
      </c>
      <c r="B837" s="64" t="s">
        <v>3990</v>
      </c>
      <c r="C837" s="63" t="s">
        <v>41</v>
      </c>
      <c r="D837" s="64" t="str">
        <f aca="false">TRIM(LEFT('Onshore - Perth'!A139,FIND(CHAR(10),'Onshore - Perth'!A139&amp;CHAR(10))-1))</f>
        <v>Skills Institute Australia</v>
      </c>
      <c r="E837" s="63" t="str">
        <f aca="false">'Onshore - Perth'!C144&amp;""</f>
        <v>3 years</v>
      </c>
      <c r="F837" s="63" t="str">
        <f aca="false">IF('Onshore - Perth'!D144="","Belum tercatat",'Onshore - Perth'!D144)</f>
        <v>Term</v>
      </c>
      <c r="G837" s="65" t="n">
        <f aca="false">IF('Onshore - Perth'!E144="","-",'Onshore - Perth'!E144)</f>
        <v>2500</v>
      </c>
      <c r="H837" s="63" t="n">
        <f aca="false">IF(ISNUMBER(K837),COUNTIFS($J$6:$J$1916,J837,$K$6:$K$1916,"&lt;"&amp;K837)+1,"-")</f>
        <v>2</v>
      </c>
      <c r="I837" s="64" t="str">
        <f aca="false">IF('Onshore - Perth'!E144="","Harga belum tersedia - hubungi konsultan TEG",IF(M837=2,"Saat ini tidak menerima pendaftaran siswa internasional baru",IF(M837=1,"Harga perlu dikonfirmasi ke sekolah"&amp;IF(""="","","; "&amp;""),"")))</f>
        <v/>
      </c>
      <c r="J837" s="0" t="s">
        <v>4047</v>
      </c>
      <c r="K837" s="0" t="n">
        <f aca="false">IF(M837=2,"",IF(ISNUMBER(SEARCH("rata-rata:",'Onshore - Perth'!M144)),VALUE(MID('Onshore - Perth'!M144,SEARCH("rata-rata:",'Onshore - Perth'!M144)+11,FIND(";",'Onshore - Perth'!M144&amp;";",SEARCH("rata-rata:",'Onshore - Perth'!M144))-SEARCH("rata-rata:",'Onshore - Perth'!M144)-11)),IF('Onshore - Perth'!D144="Semester",'Onshore - Perth'!E144*2,IF('Onshore - Perth'!D144="Trimester",'Onshore - Perth'!E144*3,IF('Onshore - Perth'!D144="Term",'Onshore - Perth'!E144*4,IF('Onshore - Perth'!D144="Unit",'Onshore - Perth'!E144*8,""))))))</f>
        <v>10000</v>
      </c>
      <c r="L837" s="0" t="n">
        <f aca="false">IF(AND(ISNUMBER('Onshore - Perth'!E144),ISNUMBER(K837),ISNUMBER('Onshore - Perth'!F144),ISNUMBER('Onshore - Perth'!G144),OR('Onshore - Perth'!F144&lt;&gt;0,ISNUMBER(SEARCH("Material 0 terverifikasi",'Onshore - Perth'!M144))),OR('Onshore - Perth'!G144&lt;&gt;0,ISNUMBER(SEARCH("Enrolment 0 terverifikasi",'Onshore - Perth'!M144)))),1,0)</f>
        <v>1</v>
      </c>
      <c r="M837" s="0" t="n">
        <f aca="false">IF(OR('Onshore - Perth'!E144="",ISNUMBER(SEARCH("BSB80120",'Onshore - Perth'!B144&amp;'Onshore - Perth'!M144)),ISNUMBER(SEARCH("Management (Learning)",'Onshore - Perth'!B144))),2,IF(ISNUMBER(SEARCH("CEK:",'Onshore - Perth'!M144)),1,0))</f>
        <v>0</v>
      </c>
    </row>
    <row r="838" customFormat="false" ht="28.35" hidden="false" customHeight="false" outlineLevel="0" collapsed="false">
      <c r="A838" s="63" t="s">
        <v>3573</v>
      </c>
      <c r="B838" s="64" t="s">
        <v>3990</v>
      </c>
      <c r="C838" s="63" t="s">
        <v>41</v>
      </c>
      <c r="D838" s="64" t="str">
        <f aca="false">TRIM(LEFT('Onshore - Perth'!A62,FIND(CHAR(10),'Onshore - Perth'!A62&amp;CHAR(10))-1))</f>
        <v>Global College Australasia</v>
      </c>
      <c r="E838" s="63" t="str">
        <f aca="false">'Onshore - Perth'!C70&amp;""</f>
        <v>2 years</v>
      </c>
      <c r="F838" s="63" t="str">
        <f aca="false">IF('Onshore - Perth'!D70="","Belum tercatat",'Onshore - Perth'!D70)</f>
        <v>Term</v>
      </c>
      <c r="G838" s="65" t="n">
        <f aca="false">IF('Onshore - Perth'!E70="","-",'Onshore - Perth'!E70)</f>
        <v>3375</v>
      </c>
      <c r="H838" s="63" t="n">
        <f aca="false">IF(ISNUMBER(K838),COUNTIFS($J$6:$J$1916,J838,$K$6:$K$1916,"&lt;"&amp;K838)+1,"-")</f>
        <v>4</v>
      </c>
      <c r="I838" s="64" t="str">
        <f aca="false">IF('Onshore - Perth'!E70="","Harga belum tersedia - hubungi konsultan TEG",IF(M838=2,"Saat ini tidak menerima pendaftaran siswa internasional baru",IF(M838=1,"Harga perlu dikonfirmasi ke sekolah"&amp;IF(""="","","; "&amp;""),"")))</f>
        <v/>
      </c>
      <c r="J838" s="0" t="s">
        <v>4047</v>
      </c>
      <c r="K838" s="0" t="n">
        <f aca="false">IF(M838=2,"",IF(ISNUMBER(SEARCH("rata-rata:",'Onshore - Perth'!M70)),VALUE(MID('Onshore - Perth'!M70,SEARCH("rata-rata:",'Onshore - Perth'!M70)+11,FIND(";",'Onshore - Perth'!M70&amp;";",SEARCH("rata-rata:",'Onshore - Perth'!M70))-SEARCH("rata-rata:",'Onshore - Perth'!M70)-11)),IF('Onshore - Perth'!D70="Semester",'Onshore - Perth'!E70*2,IF('Onshore - Perth'!D70="Trimester",'Onshore - Perth'!E70*3,IF('Onshore - Perth'!D70="Term",'Onshore - Perth'!E70*4,IF('Onshore - Perth'!D70="Unit",'Onshore - Perth'!E70*8,""))))))</f>
        <v>13500</v>
      </c>
      <c r="L838" s="0" t="n">
        <f aca="false">IF(AND(ISNUMBER('Onshore - Perth'!E70),ISNUMBER(K838),ISNUMBER('Onshore - Perth'!F70),ISNUMBER('Onshore - Perth'!G70),OR('Onshore - Perth'!F70&lt;&gt;0,ISNUMBER(SEARCH("Material 0 terverifikasi",'Onshore - Perth'!M70))),OR('Onshore - Perth'!G70&lt;&gt;0,ISNUMBER(SEARCH("Enrolment 0 terverifikasi",'Onshore - Perth'!M70)))),1,0)</f>
        <v>1</v>
      </c>
      <c r="M838" s="0" t="n">
        <f aca="false">IF(OR('Onshore - Perth'!E70="",ISNUMBER(SEARCH("BSB80120",'Onshore - Perth'!B70&amp;'Onshore - Perth'!M70)),ISNUMBER(SEARCH("Management (Learning)",'Onshore - Perth'!B70))),2,IF(ISNUMBER(SEARCH("CEK:",'Onshore - Perth'!M70)),1,0))</f>
        <v>0</v>
      </c>
    </row>
    <row r="839" customFormat="false" ht="15" hidden="false" customHeight="false" outlineLevel="0" collapsed="false">
      <c r="A839" s="61" t="s">
        <v>4048</v>
      </c>
      <c r="B839" s="62"/>
      <c r="C839" s="62"/>
      <c r="D839" s="62"/>
      <c r="E839" s="62"/>
      <c r="F839" s="62"/>
      <c r="G839" s="62"/>
      <c r="H839" s="62"/>
      <c r="I839" s="62"/>
    </row>
    <row r="840" customFormat="false" ht="28.35" hidden="false" customHeight="false" outlineLevel="0" collapsed="false">
      <c r="A840" s="63" t="s">
        <v>3573</v>
      </c>
      <c r="B840" s="64" t="s">
        <v>3990</v>
      </c>
      <c r="C840" s="63" t="s">
        <v>42</v>
      </c>
      <c r="D840" s="64" t="str">
        <f aca="false">TRIM(LEFT('Onshore - Perth'!A133,FIND(CHAR(10),'Onshore - Perth'!A133&amp;CHAR(10))-1))</f>
        <v>Novus College</v>
      </c>
      <c r="E840" s="63" t="str">
        <f aca="false">'Onshore - Perth'!C136&amp;""</f>
        <v>2 years</v>
      </c>
      <c r="F840" s="63" t="str">
        <f aca="false">IF('Onshore - Perth'!D136="","Belum tercatat",'Onshore - Perth'!D136)</f>
        <v>Term</v>
      </c>
      <c r="G840" s="65" t="n">
        <f aca="false">IF('Onshore - Perth'!E136="","-",'Onshore - Perth'!E136)</f>
        <v>2100</v>
      </c>
      <c r="H840" s="63" t="n">
        <f aca="false">IF(ISNUMBER(K840),COUNTIFS($J$6:$J$1916,J840,$K$6:$K$1916,"&lt;"&amp;K840)+1,"-")</f>
        <v>1</v>
      </c>
      <c r="I840" s="64" t="str">
        <f aca="false">IF('Onshore - Perth'!E136="","Harga belum tersedia - hubungi konsultan TEG",IF(M840=2,"Saat ini tidak menerima pendaftaran siswa internasional baru",IF(M840=1,"Program perlu dikonfirmasi ketersediaannya"&amp;IF(""="","","; "&amp;""),"")))</f>
        <v>Program perlu dikonfirmasi ketersediaannya</v>
      </c>
      <c r="J840" s="0" t="s">
        <v>4049</v>
      </c>
      <c r="K840" s="0" t="n">
        <f aca="false">IF(M840=2,"",IF(ISNUMBER(SEARCH("rata-rata:",'Onshore - Perth'!M136)),VALUE(MID('Onshore - Perth'!M136,SEARCH("rata-rata:",'Onshore - Perth'!M136)+11,FIND(";",'Onshore - Perth'!M136&amp;";",SEARCH("rata-rata:",'Onshore - Perth'!M136))-SEARCH("rata-rata:",'Onshore - Perth'!M136)-11)),IF('Onshore - Perth'!D136="Semester",'Onshore - Perth'!E136*2,IF('Onshore - Perth'!D136="Trimester",'Onshore - Perth'!E136*3,IF('Onshore - Perth'!D136="Term",'Onshore - Perth'!E136*4,IF('Onshore - Perth'!D136="Unit",'Onshore - Perth'!E136*8,""))))))</f>
        <v>8400</v>
      </c>
      <c r="L840" s="0" t="n">
        <f aca="false">IF(AND(ISNUMBER('Onshore - Perth'!E136),ISNUMBER(K840),ISNUMBER('Onshore - Perth'!F136),ISNUMBER('Onshore - Perth'!G136),OR('Onshore - Perth'!F136&lt;&gt;0,ISNUMBER(SEARCH("Material 0 terverifikasi",'Onshore - Perth'!M136))),OR('Onshore - Perth'!G136&lt;&gt;0,ISNUMBER(SEARCH("Enrolment 0 terverifikasi",'Onshore - Perth'!M136)))),1,0)</f>
        <v>1</v>
      </c>
      <c r="M840" s="0" t="n">
        <f aca="false">IF(OR('Onshore - Perth'!E136="",ISNUMBER(SEARCH("BSB80120",'Onshore - Perth'!B136&amp;'Onshore - Perth'!M136)),ISNUMBER(SEARCH("Management (Learning)",'Onshore - Perth'!B136))),2,IF(ISNUMBER(SEARCH("CEK:",'Onshore - Perth'!M136)),1,0))</f>
        <v>1</v>
      </c>
    </row>
    <row r="841" customFormat="false" ht="28.35" hidden="false" customHeight="false" outlineLevel="0" collapsed="false">
      <c r="A841" s="63" t="s">
        <v>3573</v>
      </c>
      <c r="B841" s="64" t="s">
        <v>3990</v>
      </c>
      <c r="C841" s="63" t="s">
        <v>42</v>
      </c>
      <c r="D841" s="64" t="str">
        <f aca="false">TRIM(LEFT('Onshore - Perth'!A28,FIND(CHAR(10),'Onshore - Perth'!A28&amp;CHAR(10))-1))</f>
        <v>Apeiro Institute</v>
      </c>
      <c r="E841" s="63" t="str">
        <f aca="false">'Onshore - Perth'!C35&amp;""</f>
        <v>2,5 years</v>
      </c>
      <c r="F841" s="63" t="str">
        <f aca="false">IF('Onshore - Perth'!D35="","Belum tercatat",'Onshore - Perth'!D35)</f>
        <v>Term</v>
      </c>
      <c r="G841" s="65" t="n">
        <f aca="false">IF('Onshore - Perth'!E35="","-",'Onshore - Perth'!E35)</f>
        <v>2350</v>
      </c>
      <c r="H841" s="63" t="n">
        <f aca="false">IF(ISNUMBER(K841),COUNTIFS($J$6:$J$1916,J841,$K$6:$K$1916,"&lt;"&amp;K841)+1,"-")</f>
        <v>2</v>
      </c>
      <c r="I841" s="64" t="str">
        <f aca="false">IF('Onshore - Perth'!E35="","Harga belum tersedia - hubungi konsultan TEG",IF(M841=2,"Saat ini tidak menerima pendaftaran siswa internasional baru",IF(M841=1,"Harga perlu dikonfirmasi ke sekolah"&amp;IF(""="","","; "&amp;""),"")))</f>
        <v/>
      </c>
      <c r="J841" s="0" t="s">
        <v>4049</v>
      </c>
      <c r="K841" s="0" t="n">
        <f aca="false">IF(M841=2,"",IF(ISNUMBER(SEARCH("rata-rata:",'Onshore - Perth'!M35)),VALUE(MID('Onshore - Perth'!M35,SEARCH("rata-rata:",'Onshore - Perth'!M35)+11,FIND(";",'Onshore - Perth'!M35&amp;";",SEARCH("rata-rata:",'Onshore - Perth'!M35))-SEARCH("rata-rata:",'Onshore - Perth'!M35)-11)),IF('Onshore - Perth'!D35="Semester",'Onshore - Perth'!E35*2,IF('Onshore - Perth'!D35="Trimester",'Onshore - Perth'!E35*3,IF('Onshore - Perth'!D35="Term",'Onshore - Perth'!E35*4,IF('Onshore - Perth'!D35="Unit",'Onshore - Perth'!E35*8,""))))))</f>
        <v>9400</v>
      </c>
      <c r="L841" s="0" t="n">
        <f aca="false">IF(AND(ISNUMBER('Onshore - Perth'!E35),ISNUMBER(K841),ISNUMBER('Onshore - Perth'!F35),ISNUMBER('Onshore - Perth'!G35),OR('Onshore - Perth'!F35&lt;&gt;0,ISNUMBER(SEARCH("Material 0 terverifikasi",'Onshore - Perth'!M35))),OR('Onshore - Perth'!G35&lt;&gt;0,ISNUMBER(SEARCH("Enrolment 0 terverifikasi",'Onshore - Perth'!M35)))),1,0)</f>
        <v>1</v>
      </c>
      <c r="M841" s="0" t="n">
        <f aca="false">IF(OR('Onshore - Perth'!E35="",ISNUMBER(SEARCH("BSB80120",'Onshore - Perth'!B35&amp;'Onshore - Perth'!M35)),ISNUMBER(SEARCH("Management (Learning)",'Onshore - Perth'!B35))),2,IF(ISNUMBER(SEARCH("CEK:",'Onshore - Perth'!M35)),1,0))</f>
        <v>0</v>
      </c>
    </row>
    <row r="842" customFormat="false" ht="28.35" hidden="false" customHeight="false" outlineLevel="0" collapsed="false">
      <c r="A842" s="63" t="s">
        <v>3573</v>
      </c>
      <c r="B842" s="64" t="s">
        <v>3990</v>
      </c>
      <c r="C842" s="63" t="s">
        <v>42</v>
      </c>
      <c r="D842" s="64" t="str">
        <f aca="false">TRIM(LEFT('Onshore - Perth'!A139,FIND(CHAR(10),'Onshore - Perth'!A139&amp;CHAR(10))-1))</f>
        <v>Skills Institute Australia</v>
      </c>
      <c r="E842" s="63" t="str">
        <f aca="false">'Onshore - Perth'!C146&amp;""</f>
        <v>2 years</v>
      </c>
      <c r="F842" s="63" t="str">
        <f aca="false">IF('Onshore - Perth'!D146="","Belum tercatat",'Onshore - Perth'!D146)</f>
        <v>Term</v>
      </c>
      <c r="G842" s="65" t="n">
        <f aca="false">IF('Onshore - Perth'!E146="","-",'Onshore - Perth'!E146)</f>
        <v>2400</v>
      </c>
      <c r="H842" s="63" t="n">
        <f aca="false">IF(ISNUMBER(K842),COUNTIFS($J$6:$J$1916,J842,$K$6:$K$1916,"&lt;"&amp;K842)+1,"-")</f>
        <v>3</v>
      </c>
      <c r="I842" s="64" t="str">
        <f aca="false">IF('Onshore - Perth'!E146="","Harga belum tersedia - hubungi konsultan TEG",IF(M842=2,"Saat ini tidak menerima pendaftaran siswa internasional baru",IF(M842=1,"Harga perlu dikonfirmasi ke sekolah"&amp;IF(""="","","; "&amp;""),"")))</f>
        <v/>
      </c>
      <c r="J842" s="0" t="s">
        <v>4049</v>
      </c>
      <c r="K842" s="0" t="n">
        <f aca="false">IF(M842=2,"",IF(ISNUMBER(SEARCH("rata-rata:",'Onshore - Perth'!M146)),VALUE(MID('Onshore - Perth'!M146,SEARCH("rata-rata:",'Onshore - Perth'!M146)+11,FIND(";",'Onshore - Perth'!M146&amp;";",SEARCH("rata-rata:",'Onshore - Perth'!M146))-SEARCH("rata-rata:",'Onshore - Perth'!M146)-11)),IF('Onshore - Perth'!D146="Semester",'Onshore - Perth'!E146*2,IF('Onshore - Perth'!D146="Trimester",'Onshore - Perth'!E146*3,IF('Onshore - Perth'!D146="Term",'Onshore - Perth'!E146*4,IF('Onshore - Perth'!D146="Unit",'Onshore - Perth'!E146*8,""))))))</f>
        <v>9600</v>
      </c>
      <c r="L842" s="0" t="n">
        <f aca="false">IF(AND(ISNUMBER('Onshore - Perth'!E146),ISNUMBER(K842),ISNUMBER('Onshore - Perth'!F146),ISNUMBER('Onshore - Perth'!G146),OR('Onshore - Perth'!F146&lt;&gt;0,ISNUMBER(SEARCH("Material 0 terverifikasi",'Onshore - Perth'!M146))),OR('Onshore - Perth'!G146&lt;&gt;0,ISNUMBER(SEARCH("Enrolment 0 terverifikasi",'Onshore - Perth'!M146)))),1,0)</f>
        <v>1</v>
      </c>
      <c r="M842" s="0" t="n">
        <f aca="false">IF(OR('Onshore - Perth'!E146="",ISNUMBER(SEARCH("BSB80120",'Onshore - Perth'!B146&amp;'Onshore - Perth'!M146)),ISNUMBER(SEARCH("Management (Learning)",'Onshore - Perth'!B146))),2,IF(ISNUMBER(SEARCH("CEK:",'Onshore - Perth'!M146)),1,0))</f>
        <v>0</v>
      </c>
    </row>
    <row r="843" customFormat="false" ht="28.35" hidden="false" customHeight="false" outlineLevel="0" collapsed="false">
      <c r="A843" s="63" t="s">
        <v>3573</v>
      </c>
      <c r="B843" s="64" t="s">
        <v>3990</v>
      </c>
      <c r="C843" s="63" t="s">
        <v>42</v>
      </c>
      <c r="D843" s="64" t="str">
        <f aca="false">TRIM(LEFT('Onshore - Perth'!A110,FIND(CHAR(10),'Onshore - Perth'!A110&amp;CHAR(10))-1))</f>
        <v>Keystone College of Business and Technology (KCBT)</v>
      </c>
      <c r="E843" s="63" t="str">
        <f aca="false">'Onshore - Perth'!C114&amp;""</f>
        <v>2 years</v>
      </c>
      <c r="F843" s="63" t="str">
        <f aca="false">IF('Onshore - Perth'!D114="","Belum tercatat",'Onshore - Perth'!D114)</f>
        <v>Term</v>
      </c>
      <c r="G843" s="65" t="n">
        <f aca="false">IF('Onshore - Perth'!E114="","-",'Onshore - Perth'!E114)</f>
        <v>2500</v>
      </c>
      <c r="H843" s="63" t="n">
        <f aca="false">IF(ISNUMBER(K843),COUNTIFS($J$6:$J$1916,J843,$K$6:$K$1916,"&lt;"&amp;K843)+1,"-")</f>
        <v>4</v>
      </c>
      <c r="I843" s="64" t="str">
        <f aca="false">IF('Onshore - Perth'!E114="","Harga belum tersedia - hubungi konsultan TEG",IF(M843=2,"Saat ini tidak menerima pendaftaran siswa internasional baru",IF(M843=1,"Harga perlu dikonfirmasi ke sekolah"&amp;IF(""="","","; "&amp;""),"")))</f>
        <v>Harga perlu dikonfirmasi ke sekolah</v>
      </c>
      <c r="J843" s="0" t="s">
        <v>4049</v>
      </c>
      <c r="K843" s="0" t="n">
        <f aca="false">IF(M843=2,"",IF(ISNUMBER(SEARCH("rata-rata:",'Onshore - Perth'!M114)),VALUE(MID('Onshore - Perth'!M114,SEARCH("rata-rata:",'Onshore - Perth'!M114)+11,FIND(";",'Onshore - Perth'!M114&amp;";",SEARCH("rata-rata:",'Onshore - Perth'!M114))-SEARCH("rata-rata:",'Onshore - Perth'!M114)-11)),IF('Onshore - Perth'!D114="Semester",'Onshore - Perth'!E114*2,IF('Onshore - Perth'!D114="Trimester",'Onshore - Perth'!E114*3,IF('Onshore - Perth'!D114="Term",'Onshore - Perth'!E114*4,IF('Onshore - Perth'!D114="Unit",'Onshore - Perth'!E114*8,""))))))</f>
        <v>10000</v>
      </c>
      <c r="L843" s="0" t="n">
        <f aca="false">IF(AND(ISNUMBER('Onshore - Perth'!E114),ISNUMBER(K843),ISNUMBER('Onshore - Perth'!F114),ISNUMBER('Onshore - Perth'!G114),OR('Onshore - Perth'!F114&lt;&gt;0,ISNUMBER(SEARCH("Material 0 terverifikasi",'Onshore - Perth'!M114))),OR('Onshore - Perth'!G114&lt;&gt;0,ISNUMBER(SEARCH("Enrolment 0 terverifikasi",'Onshore - Perth'!M114)))),1,0)</f>
        <v>1</v>
      </c>
      <c r="M843" s="0" t="n">
        <f aca="false">IF(OR('Onshore - Perth'!E114="",ISNUMBER(SEARCH("BSB80120",'Onshore - Perth'!B114&amp;'Onshore - Perth'!M114)),ISNUMBER(SEARCH("Management (Learning)",'Onshore - Perth'!B114))),2,IF(ISNUMBER(SEARCH("CEK:",'Onshore - Perth'!M114)),1,0))</f>
        <v>1</v>
      </c>
    </row>
    <row r="844" customFormat="false" ht="28.35" hidden="false" customHeight="false" outlineLevel="0" collapsed="false">
      <c r="A844" s="63" t="s">
        <v>3573</v>
      </c>
      <c r="B844" s="64" t="s">
        <v>3990</v>
      </c>
      <c r="C844" s="63" t="s">
        <v>42</v>
      </c>
      <c r="D844" s="64" t="str">
        <f aca="false">TRIM(LEFT('Onshore - Perth'!A53,FIND(CHAR(10),'Onshore - Perth'!A53&amp;CHAR(10))-1))</f>
        <v>Everthought College of Construction</v>
      </c>
      <c r="E844" s="63" t="str">
        <f aca="false">'Onshore - Perth'!C57&amp;""</f>
        <v>2 years</v>
      </c>
      <c r="F844" s="63" t="str">
        <f aca="false">IF('Onshore - Perth'!D57="","Belum tercatat",'Onshore - Perth'!D57)</f>
        <v>Term</v>
      </c>
      <c r="G844" s="65" t="n">
        <f aca="false">IF('Onshore - Perth'!E57="","-",'Onshore - Perth'!E57)</f>
        <v>2688</v>
      </c>
      <c r="H844" s="63" t="n">
        <f aca="false">IF(ISNUMBER(K844),COUNTIFS($J$6:$J$1916,J844,$K$6:$K$1916,"&lt;"&amp;K844)+1,"-")</f>
        <v>5</v>
      </c>
      <c r="I844" s="64" t="str">
        <f aca="false">IF('Onshore - Perth'!E57="","Harga belum tersedia - hubungi konsultan TEG",IF(M844=2,"Saat ini tidak menerima pendaftaran siswa internasional baru",IF(M844=1,"Harga perlu dikonfirmasi ke sekolah"&amp;IF(""="","","; "&amp;""),"")))</f>
        <v/>
      </c>
      <c r="J844" s="0" t="s">
        <v>4049</v>
      </c>
      <c r="K844" s="0" t="n">
        <f aca="false">IF(M844=2,"",IF(ISNUMBER(SEARCH("rata-rata:",'Onshore - Perth'!M57)),VALUE(MID('Onshore - Perth'!M57,SEARCH("rata-rata:",'Onshore - Perth'!M57)+11,FIND(";",'Onshore - Perth'!M57&amp;";",SEARCH("rata-rata:",'Onshore - Perth'!M57))-SEARCH("rata-rata:",'Onshore - Perth'!M57)-11)),IF('Onshore - Perth'!D57="Semester",'Onshore - Perth'!E57*2,IF('Onshore - Perth'!D57="Trimester",'Onshore - Perth'!E57*3,IF('Onshore - Perth'!D57="Term",'Onshore - Perth'!E57*4,IF('Onshore - Perth'!D57="Unit",'Onshore - Perth'!E57*8,""))))))</f>
        <v>10752</v>
      </c>
      <c r="L844" s="0" t="n">
        <f aca="false">IF(AND(ISNUMBER('Onshore - Perth'!E57),ISNUMBER(K844),ISNUMBER('Onshore - Perth'!F57),ISNUMBER('Onshore - Perth'!G57),OR('Onshore - Perth'!F57&lt;&gt;0,ISNUMBER(SEARCH("Material 0 terverifikasi",'Onshore - Perth'!M57))),OR('Onshore - Perth'!G57&lt;&gt;0,ISNUMBER(SEARCH("Enrolment 0 terverifikasi",'Onshore - Perth'!M57)))),1,0)</f>
        <v>1</v>
      </c>
      <c r="M844" s="0" t="n">
        <f aca="false">IF(OR('Onshore - Perth'!E57="",ISNUMBER(SEARCH("BSB80120",'Onshore - Perth'!B57&amp;'Onshore - Perth'!M57)),ISNUMBER(SEARCH("Management (Learning)",'Onshore - Perth'!B57))),2,IF(ISNUMBER(SEARCH("CEK:",'Onshore - Perth'!M57)),1,0))</f>
        <v>0</v>
      </c>
    </row>
    <row r="845" customFormat="false" ht="28.35" hidden="false" customHeight="false" outlineLevel="0" collapsed="false">
      <c r="A845" s="63" t="s">
        <v>3573</v>
      </c>
      <c r="B845" s="64" t="s">
        <v>3990</v>
      </c>
      <c r="C845" s="63" t="s">
        <v>42</v>
      </c>
      <c r="D845" s="64" t="str">
        <f aca="false">TRIM(LEFT('Onshore - Perth'!A62,FIND(CHAR(10),'Onshore - Perth'!A62&amp;CHAR(10))-1))</f>
        <v>Global College Australasia</v>
      </c>
      <c r="E845" s="63" t="str">
        <f aca="false">'Onshore - Perth'!C71&amp;""</f>
        <v>4 years</v>
      </c>
      <c r="F845" s="63" t="str">
        <f aca="false">IF('Onshore - Perth'!D71="","Belum tercatat",'Onshore - Perth'!D71)</f>
        <v>Term</v>
      </c>
      <c r="G845" s="65" t="n">
        <f aca="false">IF('Onshore - Perth'!E71="","-",'Onshore - Perth'!E71)</f>
        <v>3375</v>
      </c>
      <c r="H845" s="63" t="n">
        <f aca="false">IF(ISNUMBER(K845),COUNTIFS($J$6:$J$1916,J845,$K$6:$K$1916,"&lt;"&amp;K845)+1,"-")</f>
        <v>6</v>
      </c>
      <c r="I845" s="64" t="str">
        <f aca="false">IF('Onshore - Perth'!E71="","Harga belum tersedia - hubungi konsultan TEG",IF(M845=2,"Saat ini tidak menerima pendaftaran siswa internasional baru",IF(M845=1,"Harga perlu dikonfirmasi ke sekolah"&amp;IF(""="","","; "&amp;""),"")))</f>
        <v/>
      </c>
      <c r="J845" s="0" t="s">
        <v>4049</v>
      </c>
      <c r="K845" s="0" t="n">
        <f aca="false">IF(M845=2,"",IF(ISNUMBER(SEARCH("rata-rata:",'Onshore - Perth'!M71)),VALUE(MID('Onshore - Perth'!M71,SEARCH("rata-rata:",'Onshore - Perth'!M71)+11,FIND(";",'Onshore - Perth'!M71&amp;";",SEARCH("rata-rata:",'Onshore - Perth'!M71))-SEARCH("rata-rata:",'Onshore - Perth'!M71)-11)),IF('Onshore - Perth'!D71="Semester",'Onshore - Perth'!E71*2,IF('Onshore - Perth'!D71="Trimester",'Onshore - Perth'!E71*3,IF('Onshore - Perth'!D71="Term",'Onshore - Perth'!E71*4,IF('Onshore - Perth'!D71="Unit",'Onshore - Perth'!E71*8,""))))))</f>
        <v>13500</v>
      </c>
      <c r="L845" s="0" t="n">
        <f aca="false">IF(AND(ISNUMBER('Onshore - Perth'!E71),ISNUMBER(K845),ISNUMBER('Onshore - Perth'!F71),ISNUMBER('Onshore - Perth'!G71),OR('Onshore - Perth'!F71&lt;&gt;0,ISNUMBER(SEARCH("Material 0 terverifikasi",'Onshore - Perth'!M71))),OR('Onshore - Perth'!G71&lt;&gt;0,ISNUMBER(SEARCH("Enrolment 0 terverifikasi",'Onshore - Perth'!M71)))),1,0)</f>
        <v>1</v>
      </c>
      <c r="M845" s="0" t="n">
        <f aca="false">IF(OR('Onshore - Perth'!E71="",ISNUMBER(SEARCH("BSB80120",'Onshore - Perth'!B71&amp;'Onshore - Perth'!M71)),ISNUMBER(SEARCH("Management (Learning)",'Onshore - Perth'!B71))),2,IF(ISNUMBER(SEARCH("CEK:",'Onshore - Perth'!M71)),1,0))</f>
        <v>0</v>
      </c>
    </row>
    <row r="846" customFormat="false" ht="15" hidden="false" customHeight="false" outlineLevel="0" collapsed="false">
      <c r="A846" s="61" t="s">
        <v>4050</v>
      </c>
      <c r="B846" s="62"/>
      <c r="C846" s="62"/>
      <c r="D846" s="62"/>
      <c r="E846" s="62"/>
      <c r="F846" s="62"/>
      <c r="G846" s="62"/>
      <c r="H846" s="62"/>
      <c r="I846" s="62"/>
    </row>
    <row r="847" customFormat="false" ht="28.35" hidden="false" customHeight="false" outlineLevel="0" collapsed="false">
      <c r="A847" s="63" t="s">
        <v>3533</v>
      </c>
      <c r="B847" s="64" t="s">
        <v>3990</v>
      </c>
      <c r="C847" s="63" t="s">
        <v>39</v>
      </c>
      <c r="D847" s="64" t="str">
        <f aca="false">TRIM(LEFT('Onshore - Sydney'!A330,FIND(CHAR(10),'Onshore - Sydney'!A330&amp;CHAR(10))-1))</f>
        <v>Australian International College of Skills &amp; Education (AICSE)</v>
      </c>
      <c r="E847" s="63" t="str">
        <f aca="false">'Onshore - Sydney'!C330&amp;""</f>
        <v>1,5 years</v>
      </c>
      <c r="F847" s="63" t="str">
        <f aca="false">IF('Onshore - Sydney'!D330="","Belum tercatat",'Onshore - Sydney'!D330)</f>
        <v>Term</v>
      </c>
      <c r="G847" s="65" t="n">
        <f aca="false">IF('Onshore - Sydney'!E330="","-",'Onshore - Sydney'!E330)</f>
        <v>2000</v>
      </c>
      <c r="H847" s="63" t="n">
        <f aca="false">IF(ISNUMBER(K847),COUNTIFS($J$6:$J$1916,J847,$K$6:$K$1916,"&lt;"&amp;K847)+1,"-")</f>
        <v>1</v>
      </c>
      <c r="I847" s="64" t="str">
        <f aca="false">IF('Onshore - Sydney'!E330="","Harga belum tersedia - hubungi konsultan TEG",IF(M847=2,"Saat ini tidak menerima pendaftaran siswa internasional baru",IF(M847=1,"Harga perlu dikonfirmasi ke sekolah"&amp;IF(""="","","; "&amp;""),"")))</f>
        <v/>
      </c>
      <c r="J847" s="0" t="s">
        <v>4051</v>
      </c>
      <c r="K847" s="0" t="n">
        <f aca="false">IF(M847=2,"",IF(ISNUMBER(SEARCH("rata-rata:",'Onshore - Sydney'!M330)),VALUE(MID('Onshore - Sydney'!M330,SEARCH("rata-rata:",'Onshore - Sydney'!M330)+11,FIND(";",'Onshore - Sydney'!M330&amp;";",SEARCH("rata-rata:",'Onshore - Sydney'!M330))-SEARCH("rata-rata:",'Onshore - Sydney'!M330)-11)),IF('Onshore - Sydney'!D330="Semester",'Onshore - Sydney'!E330*2,IF('Onshore - Sydney'!D330="Trimester",'Onshore - Sydney'!E330*3,IF('Onshore - Sydney'!D330="Term",'Onshore - Sydney'!E330*4,IF('Onshore - Sydney'!D330="Unit",'Onshore - Sydney'!E330*8,""))))))</f>
        <v>8000</v>
      </c>
      <c r="L847" s="0" t="n">
        <f aca="false">IF(AND(ISNUMBER('Onshore - Sydney'!E330),ISNUMBER(K847),ISNUMBER('Onshore - Sydney'!F330),ISNUMBER('Onshore - Sydney'!G330),OR('Onshore - Sydney'!F330&lt;&gt;0,ISNUMBER(SEARCH("Material 0 terverifikasi",'Onshore - Sydney'!M330))),OR('Onshore - Sydney'!G330&lt;&gt;0,ISNUMBER(SEARCH("Enrolment 0 terverifikasi",'Onshore - Sydney'!M330)))),1,0)</f>
        <v>1</v>
      </c>
      <c r="M847" s="0" t="n">
        <f aca="false">IF(OR('Onshore - Sydney'!E330="",ISNUMBER(SEARCH("BSB80120",'Onshore - Sydney'!B330&amp;'Onshore - Sydney'!M330)),ISNUMBER(SEARCH("Management (Learning)",'Onshore - Sydney'!B330))),2,IF(ISNUMBER(SEARCH("CEK:",'Onshore - Sydney'!M330)),1,0))</f>
        <v>0</v>
      </c>
    </row>
    <row r="848" customFormat="false" ht="28.35" hidden="false" customHeight="false" outlineLevel="0" collapsed="false">
      <c r="A848" s="63" t="s">
        <v>3533</v>
      </c>
      <c r="B848" s="64" t="s">
        <v>3990</v>
      </c>
      <c r="C848" s="63" t="s">
        <v>39</v>
      </c>
      <c r="D848" s="64" t="str">
        <f aca="false">TRIM(LEFT('Onshore - Sydney'!A630,FIND(CHAR(10),'Onshore - Sydney'!A630&amp;CHAR(10))-1))</f>
        <v>Legend Institute</v>
      </c>
      <c r="E848" s="63" t="str">
        <f aca="false">'Onshore - Sydney'!C633&amp;""</f>
        <v>1 year</v>
      </c>
      <c r="F848" s="63" t="str">
        <f aca="false">IF('Onshore - Sydney'!D633="","Belum tercatat",'Onshore - Sydney'!D633)</f>
        <v>Term</v>
      </c>
      <c r="G848" s="65" t="n">
        <f aca="false">IF('Onshore - Sydney'!E633="","-",'Onshore - Sydney'!E633)</f>
        <v>2000</v>
      </c>
      <c r="H848" s="63" t="n">
        <f aca="false">IF(ISNUMBER(K848),COUNTIFS($J$6:$J$1916,J848,$K$6:$K$1916,"&lt;"&amp;K848)+1,"-")</f>
        <v>1</v>
      </c>
      <c r="I848" s="64" t="str">
        <f aca="false">IF('Onshore - Sydney'!E633="","Harga belum tersedia - hubungi konsultan TEG",IF(M848=2,"Saat ini tidak menerima pendaftaran siswa internasional baru",IF(M848=1,"Harga perlu dikonfirmasi ke sekolah"&amp;IF(""="","","; "&amp;""),"")))</f>
        <v/>
      </c>
      <c r="J848" s="0" t="s">
        <v>4051</v>
      </c>
      <c r="K848" s="0" t="n">
        <f aca="false">IF(M848=2,"",IF(ISNUMBER(SEARCH("rata-rata:",'Onshore - Sydney'!M633)),VALUE(MID('Onshore - Sydney'!M633,SEARCH("rata-rata:",'Onshore - Sydney'!M633)+11,FIND(";",'Onshore - Sydney'!M633&amp;";",SEARCH("rata-rata:",'Onshore - Sydney'!M633))-SEARCH("rata-rata:",'Onshore - Sydney'!M633)-11)),IF('Onshore - Sydney'!D633="Semester",'Onshore - Sydney'!E633*2,IF('Onshore - Sydney'!D633="Trimester",'Onshore - Sydney'!E633*3,IF('Onshore - Sydney'!D633="Term",'Onshore - Sydney'!E633*4,IF('Onshore - Sydney'!D633="Unit",'Onshore - Sydney'!E633*8,""))))))</f>
        <v>8000</v>
      </c>
      <c r="L848" s="0" t="n">
        <f aca="false">IF(AND(ISNUMBER('Onshore - Sydney'!E633),ISNUMBER(K848),ISNUMBER('Onshore - Sydney'!F633),ISNUMBER('Onshore - Sydney'!G633),OR('Onshore - Sydney'!F633&lt;&gt;0,ISNUMBER(SEARCH("Material 0 terverifikasi",'Onshore - Sydney'!M633))),OR('Onshore - Sydney'!G633&lt;&gt;0,ISNUMBER(SEARCH("Enrolment 0 terverifikasi",'Onshore - Sydney'!M633)))),1,0)</f>
        <v>1</v>
      </c>
      <c r="M848" s="0" t="n">
        <f aca="false">IF(OR('Onshore - Sydney'!E633="",ISNUMBER(SEARCH("BSB80120",'Onshore - Sydney'!B633&amp;'Onshore - Sydney'!M633)),ISNUMBER(SEARCH("Management (Learning)",'Onshore - Sydney'!B633))),2,IF(ISNUMBER(SEARCH("CEK:",'Onshore - Sydney'!M633)),1,0))</f>
        <v>0</v>
      </c>
    </row>
    <row r="849" customFormat="false" ht="28.35" hidden="false" customHeight="false" outlineLevel="0" collapsed="false">
      <c r="A849" s="63" t="s">
        <v>3533</v>
      </c>
      <c r="B849" s="64" t="s">
        <v>3990</v>
      </c>
      <c r="C849" s="63" t="s">
        <v>39</v>
      </c>
      <c r="D849" s="64" t="str">
        <f aca="false">TRIM(LEFT('Onshore - Sydney'!A6,FIND(CHAR(10),'Onshore - Sydney'!A6&amp;CHAR(10))-1))</f>
        <v>Abbey College Australia</v>
      </c>
      <c r="E849" s="63" t="str">
        <f aca="false">'Onshore - Sydney'!C11&amp;""</f>
        <v>1 year</v>
      </c>
      <c r="F849" s="63" t="str">
        <f aca="false">IF('Onshore - Sydney'!D11="","Belum tercatat",'Onshore - Sydney'!D11)</f>
        <v>Term</v>
      </c>
      <c r="G849" s="65" t="n">
        <f aca="false">IF('Onshore - Sydney'!E11="","-",'Onshore - Sydney'!E11)</f>
        <v>2250</v>
      </c>
      <c r="H849" s="63" t="n">
        <f aca="false">IF(ISNUMBER(K849),COUNTIFS($J$6:$J$1916,J849,$K$6:$K$1916,"&lt;"&amp;K849)+1,"-")</f>
        <v>3</v>
      </c>
      <c r="I849" s="64" t="str">
        <f aca="false">IF('Onshore - Sydney'!E11="","Harga belum tersedia - hubungi konsultan TEG",IF(M849=2,"Saat ini tidak menerima pendaftaran siswa internasional baru",IF(M849=1,"Harga perlu dikonfirmasi ke sekolah"&amp;IF(""="","","; "&amp;""),"")))</f>
        <v/>
      </c>
      <c r="J849" s="0" t="s">
        <v>4051</v>
      </c>
      <c r="K849" s="0" t="n">
        <f aca="false">IF(M849=2,"",IF(ISNUMBER(SEARCH("rata-rata:",'Onshore - Sydney'!M11)),VALUE(MID('Onshore - Sydney'!M11,SEARCH("rata-rata:",'Onshore - Sydney'!M11)+11,FIND(";",'Onshore - Sydney'!M11&amp;";",SEARCH("rata-rata:",'Onshore - Sydney'!M11))-SEARCH("rata-rata:",'Onshore - Sydney'!M11)-11)),IF('Onshore - Sydney'!D11="Semester",'Onshore - Sydney'!E11*2,IF('Onshore - Sydney'!D11="Trimester",'Onshore - Sydney'!E11*3,IF('Onshore - Sydney'!D11="Term",'Onshore - Sydney'!E11*4,IF('Onshore - Sydney'!D11="Unit",'Onshore - Sydney'!E11*8,""))))))</f>
        <v>9000</v>
      </c>
      <c r="L849" s="0" t="n">
        <f aca="false">IF(AND(ISNUMBER('Onshore - Sydney'!E11),ISNUMBER(K849),ISNUMBER('Onshore - Sydney'!F11),ISNUMBER('Onshore - Sydney'!G11),OR('Onshore - Sydney'!F11&lt;&gt;0,ISNUMBER(SEARCH("Material 0 terverifikasi",'Onshore - Sydney'!M11))),OR('Onshore - Sydney'!G11&lt;&gt;0,ISNUMBER(SEARCH("Enrolment 0 terverifikasi",'Onshore - Sydney'!M11)))),1,0)</f>
        <v>1</v>
      </c>
      <c r="M849" s="0" t="n">
        <f aca="false">IF(OR('Onshore - Sydney'!E11="",ISNUMBER(SEARCH("BSB80120",'Onshore - Sydney'!B11&amp;'Onshore - Sydney'!M11)),ISNUMBER(SEARCH("Management (Learning)",'Onshore - Sydney'!B11))),2,IF(ISNUMBER(SEARCH("CEK:",'Onshore - Sydney'!M11)),1,0))</f>
        <v>0</v>
      </c>
    </row>
    <row r="850" customFormat="false" ht="28.35" hidden="false" customHeight="false" outlineLevel="0" collapsed="false">
      <c r="A850" s="63" t="s">
        <v>3533</v>
      </c>
      <c r="B850" s="64" t="s">
        <v>3990</v>
      </c>
      <c r="C850" s="63" t="s">
        <v>39</v>
      </c>
      <c r="D850" s="64" t="str">
        <f aca="false">TRIM(LEFT('Onshore - Sydney'!A699,FIND(CHAR(10),'Onshore - Sydney'!A699&amp;CHAR(10))-1))</f>
        <v>NVR Education</v>
      </c>
      <c r="E850" s="63" t="str">
        <f aca="false">'Onshore - Sydney'!C699&amp;""</f>
        <v>2 years</v>
      </c>
      <c r="F850" s="63" t="str">
        <f aca="false">IF('Onshore - Sydney'!D699="","Belum tercatat",'Onshore - Sydney'!D699)</f>
        <v>Term</v>
      </c>
      <c r="G850" s="65" t="n">
        <f aca="false">IF('Onshore - Sydney'!E699="","-",'Onshore - Sydney'!E699)</f>
        <v>2300</v>
      </c>
      <c r="H850" s="63" t="n">
        <f aca="false">IF(ISNUMBER(K850),COUNTIFS($J$6:$J$1916,J850,$K$6:$K$1916,"&lt;"&amp;K850)+1,"-")</f>
        <v>4</v>
      </c>
      <c r="I850" s="64" t="str">
        <f aca="false">IF('Onshore - Sydney'!E699="","Harga belum tersedia - hubungi konsultan TEG",IF(M850=2,"Saat ini tidak menerima pendaftaran siswa internasional baru",IF(M850=1,"Harga perlu dikonfirmasi ke sekolah"&amp;IF(""="","","; "&amp;""),"")))</f>
        <v>Harga perlu dikonfirmasi ke sekolah</v>
      </c>
      <c r="J850" s="0" t="s">
        <v>4051</v>
      </c>
      <c r="K850" s="0" t="n">
        <f aca="false">IF(M850=2,"",IF(ISNUMBER(SEARCH("rata-rata:",'Onshore - Sydney'!M699)),VALUE(MID('Onshore - Sydney'!M699,SEARCH("rata-rata:",'Onshore - Sydney'!M699)+11,FIND(";",'Onshore - Sydney'!M699&amp;";",SEARCH("rata-rata:",'Onshore - Sydney'!M699))-SEARCH("rata-rata:",'Onshore - Sydney'!M699)-11)),IF('Onshore - Sydney'!D699="Semester",'Onshore - Sydney'!E699*2,IF('Onshore - Sydney'!D699="Trimester",'Onshore - Sydney'!E699*3,IF('Onshore - Sydney'!D699="Term",'Onshore - Sydney'!E699*4,IF('Onshore - Sydney'!D699="Unit",'Onshore - Sydney'!E699*8,""))))))</f>
        <v>9200</v>
      </c>
      <c r="L850" s="0" t="n">
        <f aca="false">IF(AND(ISNUMBER('Onshore - Sydney'!E699),ISNUMBER(K850),ISNUMBER('Onshore - Sydney'!F699),ISNUMBER('Onshore - Sydney'!G699),OR('Onshore - Sydney'!F699&lt;&gt;0,ISNUMBER(SEARCH("Material 0 terverifikasi",'Onshore - Sydney'!M699))),OR('Onshore - Sydney'!G699&lt;&gt;0,ISNUMBER(SEARCH("Enrolment 0 terverifikasi",'Onshore - Sydney'!M699)))),1,0)</f>
        <v>1</v>
      </c>
      <c r="M850" s="0" t="n">
        <f aca="false">IF(OR('Onshore - Sydney'!E699="",ISNUMBER(SEARCH("BSB80120",'Onshore - Sydney'!B699&amp;'Onshore - Sydney'!M699)),ISNUMBER(SEARCH("Management (Learning)",'Onshore - Sydney'!B699))),2,IF(ISNUMBER(SEARCH("CEK:",'Onshore - Sydney'!M699)),1,0))</f>
        <v>1</v>
      </c>
    </row>
    <row r="851" customFormat="false" ht="28.35" hidden="false" customHeight="false" outlineLevel="0" collapsed="false">
      <c r="A851" s="63" t="s">
        <v>3533</v>
      </c>
      <c r="B851" s="64" t="s">
        <v>3990</v>
      </c>
      <c r="C851" s="63" t="s">
        <v>39</v>
      </c>
      <c r="D851" s="64" t="str">
        <f aca="false">TRIM(LEFT('Onshore - Sydney'!A1047,FIND(CHAR(10),'Onshore - Sydney'!A1047&amp;CHAR(10))-1))</f>
        <v>Western Sydney College (WSC)</v>
      </c>
      <c r="E851" s="63" t="str">
        <f aca="false">'Onshore - Sydney'!C1061&amp;""</f>
        <v>2 years</v>
      </c>
      <c r="F851" s="63" t="str">
        <f aca="false">IF('Onshore - Sydney'!D1061="","Belum tercatat",'Onshore - Sydney'!D1061)</f>
        <v>Term</v>
      </c>
      <c r="G851" s="65" t="n">
        <f aca="false">IF('Onshore - Sydney'!E1061="","-",'Onshore - Sydney'!E1061)</f>
        <v>2400</v>
      </c>
      <c r="H851" s="63" t="n">
        <f aca="false">IF(ISNUMBER(K851),COUNTIFS($J$6:$J$1916,J851,$K$6:$K$1916,"&lt;"&amp;K851)+1,"-")</f>
        <v>5</v>
      </c>
      <c r="I851" s="64" t="str">
        <f aca="false">IF('Onshore - Sydney'!E1061="","Harga belum tersedia - hubungi konsultan TEG",IF(M851=2,"Saat ini tidak menerima pendaftaran siswa internasional baru",IF(M851=1,"Harga perlu dikonfirmasi ke sekolah"&amp;IF(""="","","; "&amp;""),"")))</f>
        <v/>
      </c>
      <c r="J851" s="0" t="s">
        <v>4051</v>
      </c>
      <c r="K851" s="0" t="n">
        <f aca="false">IF(M851=2,"",IF(ISNUMBER(SEARCH("rata-rata:",'Onshore - Sydney'!M1061)),VALUE(MID('Onshore - Sydney'!M1061,SEARCH("rata-rata:",'Onshore - Sydney'!M1061)+11,FIND(";",'Onshore - Sydney'!M1061&amp;";",SEARCH("rata-rata:",'Onshore - Sydney'!M1061))-SEARCH("rata-rata:",'Onshore - Sydney'!M1061)-11)),IF('Onshore - Sydney'!D1061="Semester",'Onshore - Sydney'!E1061*2,IF('Onshore - Sydney'!D1061="Trimester",'Onshore - Sydney'!E1061*3,IF('Onshore - Sydney'!D1061="Term",'Onshore - Sydney'!E1061*4,IF('Onshore - Sydney'!D1061="Unit",'Onshore - Sydney'!E1061*8,""))))))</f>
        <v>9600</v>
      </c>
      <c r="L851" s="0" t="n">
        <f aca="false">IF(AND(ISNUMBER('Onshore - Sydney'!E1061),ISNUMBER(K851),ISNUMBER('Onshore - Sydney'!F1061),ISNUMBER('Onshore - Sydney'!G1061),OR('Onshore - Sydney'!F1061&lt;&gt;0,ISNUMBER(SEARCH("Material 0 terverifikasi",'Onshore - Sydney'!M1061))),OR('Onshore - Sydney'!G1061&lt;&gt;0,ISNUMBER(SEARCH("Enrolment 0 terverifikasi",'Onshore - Sydney'!M1061)))),1,0)</f>
        <v>1</v>
      </c>
      <c r="M851" s="0" t="n">
        <f aca="false">IF(OR('Onshore - Sydney'!E1061="",ISNUMBER(SEARCH("BSB80120",'Onshore - Sydney'!B1061&amp;'Onshore - Sydney'!M1061)),ISNUMBER(SEARCH("Management (Learning)",'Onshore - Sydney'!B1061))),2,IF(ISNUMBER(SEARCH("CEK:",'Onshore - Sydney'!M1061)),1,0))</f>
        <v>0</v>
      </c>
    </row>
    <row r="852" customFormat="false" ht="28.35" hidden="false" customHeight="false" outlineLevel="0" collapsed="false">
      <c r="A852" s="63" t="s">
        <v>3533</v>
      </c>
      <c r="B852" s="64" t="s">
        <v>3990</v>
      </c>
      <c r="C852" s="63" t="s">
        <v>39</v>
      </c>
      <c r="D852" s="64" t="str">
        <f aca="false">TRIM(LEFT('Onshore - Sydney'!A126,FIND(CHAR(10),'Onshore - Sydney'!A126&amp;CHAR(10))-1))</f>
        <v>Alpha College of Australia (ACA)</v>
      </c>
      <c r="E852" s="63" t="str">
        <f aca="false">'Onshore - Sydney'!C126&amp;""</f>
        <v>2 years</v>
      </c>
      <c r="F852" s="63" t="str">
        <f aca="false">IF('Onshore - Sydney'!D126="","Belum tercatat",'Onshore - Sydney'!D126)</f>
        <v>Term</v>
      </c>
      <c r="G852" s="65" t="n">
        <f aca="false">IF('Onshore - Sydney'!E126="","-",'Onshore - Sydney'!E126)</f>
        <v>2500</v>
      </c>
      <c r="H852" s="63" t="n">
        <f aca="false">IF(ISNUMBER(K852),COUNTIFS($J$6:$J$1916,J852,$K$6:$K$1916,"&lt;"&amp;K852)+1,"-")</f>
        <v>6</v>
      </c>
      <c r="I852" s="64" t="str">
        <f aca="false">IF('Onshore - Sydney'!E126="","Harga belum tersedia - hubungi konsultan TEG",IF(M852=2,"Saat ini tidak menerima pendaftaran siswa internasional baru",IF(M852=1,"Harga perlu dikonfirmasi ke sekolah"&amp;IF(""="","","; "&amp;""),"")))</f>
        <v/>
      </c>
      <c r="J852" s="0" t="s">
        <v>4051</v>
      </c>
      <c r="K852" s="0" t="n">
        <f aca="false">IF(M852=2,"",IF(ISNUMBER(SEARCH("rata-rata:",'Onshore - Sydney'!M126)),VALUE(MID('Onshore - Sydney'!M126,SEARCH("rata-rata:",'Onshore - Sydney'!M126)+11,FIND(";",'Onshore - Sydney'!M126&amp;";",SEARCH("rata-rata:",'Onshore - Sydney'!M126))-SEARCH("rata-rata:",'Onshore - Sydney'!M126)-11)),IF('Onshore - Sydney'!D126="Semester",'Onshore - Sydney'!E126*2,IF('Onshore - Sydney'!D126="Trimester",'Onshore - Sydney'!E126*3,IF('Onshore - Sydney'!D126="Term",'Onshore - Sydney'!E126*4,IF('Onshore - Sydney'!D126="Unit",'Onshore - Sydney'!E126*8,""))))))</f>
        <v>10000</v>
      </c>
      <c r="L852" s="0" t="n">
        <f aca="false">IF(AND(ISNUMBER('Onshore - Sydney'!E126),ISNUMBER(K852),ISNUMBER('Onshore - Sydney'!F126),ISNUMBER('Onshore - Sydney'!G126),OR('Onshore - Sydney'!F126&lt;&gt;0,ISNUMBER(SEARCH("Material 0 terverifikasi",'Onshore - Sydney'!M126))),OR('Onshore - Sydney'!G126&lt;&gt;0,ISNUMBER(SEARCH("Enrolment 0 terverifikasi",'Onshore - Sydney'!M126)))),1,0)</f>
        <v>1</v>
      </c>
      <c r="M852" s="0" t="n">
        <f aca="false">IF(OR('Onshore - Sydney'!E126="",ISNUMBER(SEARCH("BSB80120",'Onshore - Sydney'!B126&amp;'Onshore - Sydney'!M126)),ISNUMBER(SEARCH("Management (Learning)",'Onshore - Sydney'!B126))),2,IF(ISNUMBER(SEARCH("CEK:",'Onshore - Sydney'!M126)),1,0))</f>
        <v>0</v>
      </c>
    </row>
    <row r="853" customFormat="false" ht="28.35" hidden="false" customHeight="false" outlineLevel="0" collapsed="false">
      <c r="A853" s="63" t="s">
        <v>3533</v>
      </c>
      <c r="B853" s="64" t="s">
        <v>3990</v>
      </c>
      <c r="C853" s="63" t="s">
        <v>39</v>
      </c>
      <c r="D853" s="64" t="str">
        <f aca="false">TRIM(LEFT('Onshore - Sydney'!A620,FIND(CHAR(10),'Onshore - Sydney'!A620&amp;CHAR(10))-1))</f>
        <v>Le Pont International College</v>
      </c>
      <c r="E853" s="63" t="str">
        <f aca="false">'Onshore - Sydney'!C621&amp;""</f>
        <v>1 year</v>
      </c>
      <c r="F853" s="63" t="str">
        <f aca="false">IF('Onshore - Sydney'!D621="","Belum tercatat",'Onshore - Sydney'!D621)</f>
        <v>Term</v>
      </c>
      <c r="G853" s="65" t="n">
        <f aca="false">IF('Onshore - Sydney'!E621="","-",'Onshore - Sydney'!E621)</f>
        <v>2500</v>
      </c>
      <c r="H853" s="63" t="n">
        <f aca="false">IF(ISNUMBER(K853),COUNTIFS($J$6:$J$1916,J853,$K$6:$K$1916,"&lt;"&amp;K853)+1,"-")</f>
        <v>6</v>
      </c>
      <c r="I853" s="64" t="str">
        <f aca="false">IF('Onshore - Sydney'!E621="","Harga belum tersedia - hubungi konsultan TEG",IF(M853=2,"Saat ini tidak menerima pendaftaran siswa internasional baru",IF(M853=1,"Harga perlu dikonfirmasi ke sekolah"&amp;IF(""="","","; "&amp;""),"")))</f>
        <v/>
      </c>
      <c r="J853" s="0" t="s">
        <v>4051</v>
      </c>
      <c r="K853" s="0" t="n">
        <f aca="false">IF(M853=2,"",IF(ISNUMBER(SEARCH("rata-rata:",'Onshore - Sydney'!M621)),VALUE(MID('Onshore - Sydney'!M621,SEARCH("rata-rata:",'Onshore - Sydney'!M621)+11,FIND(";",'Onshore - Sydney'!M621&amp;";",SEARCH("rata-rata:",'Onshore - Sydney'!M621))-SEARCH("rata-rata:",'Onshore - Sydney'!M621)-11)),IF('Onshore - Sydney'!D621="Semester",'Onshore - Sydney'!E621*2,IF('Onshore - Sydney'!D621="Trimester",'Onshore - Sydney'!E621*3,IF('Onshore - Sydney'!D621="Term",'Onshore - Sydney'!E621*4,IF('Onshore - Sydney'!D621="Unit",'Onshore - Sydney'!E621*8,""))))))</f>
        <v>10000</v>
      </c>
      <c r="L853" s="0" t="n">
        <f aca="false">IF(AND(ISNUMBER('Onshore - Sydney'!E621),ISNUMBER(K853),ISNUMBER('Onshore - Sydney'!F621),ISNUMBER('Onshore - Sydney'!G621),OR('Onshore - Sydney'!F621&lt;&gt;0,ISNUMBER(SEARCH("Material 0 terverifikasi",'Onshore - Sydney'!M621))),OR('Onshore - Sydney'!G621&lt;&gt;0,ISNUMBER(SEARCH("Enrolment 0 terverifikasi",'Onshore - Sydney'!M621)))),1,0)</f>
        <v>1</v>
      </c>
      <c r="M853" s="0" t="n">
        <f aca="false">IF(OR('Onshore - Sydney'!E621="",ISNUMBER(SEARCH("BSB80120",'Onshore - Sydney'!B621&amp;'Onshore - Sydney'!M621)),ISNUMBER(SEARCH("Management (Learning)",'Onshore - Sydney'!B621))),2,IF(ISNUMBER(SEARCH("CEK:",'Onshore - Sydney'!M621)),1,0))</f>
        <v>0</v>
      </c>
    </row>
    <row r="854" customFormat="false" ht="28.35" hidden="false" customHeight="false" outlineLevel="0" collapsed="false">
      <c r="A854" s="63" t="s">
        <v>3533</v>
      </c>
      <c r="B854" s="64" t="s">
        <v>3990</v>
      </c>
      <c r="C854" s="63" t="s">
        <v>39</v>
      </c>
      <c r="D854" s="64" t="str">
        <f aca="false">TRIM(LEFT('Onshore - Sydney'!A1237,FIND(CHAR(10),'Onshore - Sydney'!A1237&amp;CHAR(10))-1))</f>
        <v>York Business Institute</v>
      </c>
      <c r="E854" s="63" t="str">
        <f aca="false">'Onshore - Sydney'!C1248&amp;""</f>
        <v>2 years</v>
      </c>
      <c r="F854" s="63" t="str">
        <f aca="false">IF('Onshore - Sydney'!D1248="","Belum tercatat",'Onshore - Sydney'!D1248)</f>
        <v>Term</v>
      </c>
      <c r="G854" s="65" t="n">
        <f aca="false">IF('Onshore - Sydney'!E1248="","-",'Onshore - Sydney'!E1248)</f>
        <v>2500</v>
      </c>
      <c r="H854" s="63" t="n">
        <f aca="false">IF(ISNUMBER(K854),COUNTIFS($J$6:$J$1916,J854,$K$6:$K$1916,"&lt;"&amp;K854)+1,"-")</f>
        <v>6</v>
      </c>
      <c r="I854" s="64" t="str">
        <f aca="false">IF('Onshore - Sydney'!E1248="","Harga belum tersedia - hubungi konsultan TEG",IF(M854=2,"Saat ini tidak menerima pendaftaran siswa internasional baru",IF(M854=1,"Harga perlu dikonfirmasi ke sekolah"&amp;IF(""="","","; "&amp;""),"")))</f>
        <v>Harga perlu dikonfirmasi ke sekolah</v>
      </c>
      <c r="J854" s="0" t="s">
        <v>4051</v>
      </c>
      <c r="K854" s="0" t="n">
        <f aca="false">IF(M854=2,"",IF(ISNUMBER(SEARCH("rata-rata:",'Onshore - Sydney'!M1248)),VALUE(MID('Onshore - Sydney'!M1248,SEARCH("rata-rata:",'Onshore - Sydney'!M1248)+11,FIND(";",'Onshore - Sydney'!M1248&amp;";",SEARCH("rata-rata:",'Onshore - Sydney'!M1248))-SEARCH("rata-rata:",'Onshore - Sydney'!M1248)-11)),IF('Onshore - Sydney'!D1248="Semester",'Onshore - Sydney'!E1248*2,IF('Onshore - Sydney'!D1248="Trimester",'Onshore - Sydney'!E1248*3,IF('Onshore - Sydney'!D1248="Term",'Onshore - Sydney'!E1248*4,IF('Onshore - Sydney'!D1248="Unit",'Onshore - Sydney'!E1248*8,""))))))</f>
        <v>10000</v>
      </c>
      <c r="L854" s="0" t="n">
        <f aca="false">IF(AND(ISNUMBER('Onshore - Sydney'!E1248),ISNUMBER(K854),ISNUMBER('Onshore - Sydney'!F1248),ISNUMBER('Onshore - Sydney'!G1248),OR('Onshore - Sydney'!F1248&lt;&gt;0,ISNUMBER(SEARCH("Material 0 terverifikasi",'Onshore - Sydney'!M1248))),OR('Onshore - Sydney'!G1248&lt;&gt;0,ISNUMBER(SEARCH("Enrolment 0 terverifikasi",'Onshore - Sydney'!M1248)))),1,0)</f>
        <v>1</v>
      </c>
      <c r="M854" s="0" t="n">
        <f aca="false">IF(OR('Onshore - Sydney'!E1248="",ISNUMBER(SEARCH("BSB80120",'Onshore - Sydney'!B1248&amp;'Onshore - Sydney'!M1248)),ISNUMBER(SEARCH("Management (Learning)",'Onshore - Sydney'!B1248))),2,IF(ISNUMBER(SEARCH("CEK:",'Onshore - Sydney'!M1248)),1,0))</f>
        <v>1</v>
      </c>
    </row>
    <row r="855" customFormat="false" ht="28.35" hidden="false" customHeight="false" outlineLevel="0" collapsed="false">
      <c r="A855" s="63" t="s">
        <v>3533</v>
      </c>
      <c r="B855" s="64" t="s">
        <v>3990</v>
      </c>
      <c r="C855" s="63" t="s">
        <v>39</v>
      </c>
      <c r="D855" s="64" t="str">
        <f aca="false">TRIM(LEFT('Onshore - Sydney'!A299,FIND(CHAR(10),'Onshore - Sydney'!A299&amp;CHAR(10))-1))</f>
        <v>Australian Harbour International College (AHIC)</v>
      </c>
      <c r="E855" s="63" t="str">
        <f aca="false">'Onshore - Sydney'!C311&amp;""</f>
        <v>2 years</v>
      </c>
      <c r="F855" s="63" t="str">
        <f aca="false">IF('Onshore - Sydney'!D311="","Belum tercatat",'Onshore - Sydney'!D311)</f>
        <v>Term</v>
      </c>
      <c r="G855" s="65" t="n">
        <f aca="false">IF('Onshore - Sydney'!E311="","-",'Onshore - Sydney'!E311)</f>
        <v>3000</v>
      </c>
      <c r="H855" s="63" t="n">
        <f aca="false">IF(ISNUMBER(K855),COUNTIFS($J$6:$J$1916,J855,$K$6:$K$1916,"&lt;"&amp;K855)+1,"-")</f>
        <v>9</v>
      </c>
      <c r="I855" s="64" t="str">
        <f aca="false">IF('Onshore - Sydney'!E311="","Harga belum tersedia - hubungi konsultan TEG",IF(M855=2,"Saat ini tidak menerima pendaftaran siswa internasional baru",IF(M855=1,"Harga perlu dikonfirmasi ke sekolah"&amp;IF(""="","","; "&amp;""),"")))</f>
        <v/>
      </c>
      <c r="J855" s="0" t="s">
        <v>4051</v>
      </c>
      <c r="K855" s="0" t="n">
        <f aca="false">IF(M855=2,"",IF(ISNUMBER(SEARCH("rata-rata:",'Onshore - Sydney'!M311)),VALUE(MID('Onshore - Sydney'!M311,SEARCH("rata-rata:",'Onshore - Sydney'!M311)+11,FIND(";",'Onshore - Sydney'!M311&amp;";",SEARCH("rata-rata:",'Onshore - Sydney'!M311))-SEARCH("rata-rata:",'Onshore - Sydney'!M311)-11)),IF('Onshore - Sydney'!D311="Semester",'Onshore - Sydney'!E311*2,IF('Onshore - Sydney'!D311="Trimester",'Onshore - Sydney'!E311*3,IF('Onshore - Sydney'!D311="Term",'Onshore - Sydney'!E311*4,IF('Onshore - Sydney'!D311="Unit",'Onshore - Sydney'!E311*8,""))))))</f>
        <v>12000</v>
      </c>
      <c r="L855" s="0" t="n">
        <f aca="false">IF(AND(ISNUMBER('Onshore - Sydney'!E311),ISNUMBER(K855),ISNUMBER('Onshore - Sydney'!F311),ISNUMBER('Onshore - Sydney'!G311),OR('Onshore - Sydney'!F311&lt;&gt;0,ISNUMBER(SEARCH("Material 0 terverifikasi",'Onshore - Sydney'!M311))),OR('Onshore - Sydney'!G311&lt;&gt;0,ISNUMBER(SEARCH("Enrolment 0 terverifikasi",'Onshore - Sydney'!M311)))),1,0)</f>
        <v>1</v>
      </c>
      <c r="M855" s="0" t="n">
        <f aca="false">IF(OR('Onshore - Sydney'!E311="",ISNUMBER(SEARCH("BSB80120",'Onshore - Sydney'!B311&amp;'Onshore - Sydney'!M311)),ISNUMBER(SEARCH("Management (Learning)",'Onshore - Sydney'!B311))),2,IF(ISNUMBER(SEARCH("CEK:",'Onshore - Sydney'!M311)),1,0))</f>
        <v>0</v>
      </c>
    </row>
    <row r="856" customFormat="false" ht="28.35" hidden="false" customHeight="false" outlineLevel="0" collapsed="false">
      <c r="A856" s="63" t="s">
        <v>3533</v>
      </c>
      <c r="B856" s="64" t="s">
        <v>3990</v>
      </c>
      <c r="C856" s="63" t="s">
        <v>39</v>
      </c>
      <c r="D856" s="64" t="str">
        <f aca="false">TRIM(LEFT('Onshore - Sydney'!A364,FIND(CHAR(10),'Onshore - Sydney'!A364&amp;CHAR(10))-1))</f>
        <v>Be Qualified</v>
      </c>
      <c r="E856" s="63" t="str">
        <f aca="false">'Onshore - Sydney'!C364&amp;""</f>
        <v>1 year</v>
      </c>
      <c r="F856" s="63" t="str">
        <f aca="false">IF('Onshore - Sydney'!D364="","Belum tercatat",'Onshore - Sydney'!D364)</f>
        <v>Term</v>
      </c>
      <c r="G856" s="65" t="n">
        <f aca="false">IF('Onshore - Sydney'!E364="","-",'Onshore - Sydney'!E364)</f>
        <v>3000</v>
      </c>
      <c r="H856" s="63" t="n">
        <f aca="false">IF(ISNUMBER(K856),COUNTIFS($J$6:$J$1916,J856,$K$6:$K$1916,"&lt;"&amp;K856)+1,"-")</f>
        <v>9</v>
      </c>
      <c r="I856" s="64" t="str">
        <f aca="false">IF('Onshore - Sydney'!E364="","Harga belum tersedia - hubungi konsultan TEG",IF(M856=2,"Saat ini tidak menerima pendaftaran siswa internasional baru",IF(M856=1,"Harga perlu dikonfirmasi ke sekolah"&amp;IF(""="","","; "&amp;""),"")))</f>
        <v/>
      </c>
      <c r="J856" s="0" t="s">
        <v>4051</v>
      </c>
      <c r="K856" s="0" t="n">
        <f aca="false">IF(M856=2,"",IF(ISNUMBER(SEARCH("rata-rata:",'Onshore - Sydney'!M364)),VALUE(MID('Onshore - Sydney'!M364,SEARCH("rata-rata:",'Onshore - Sydney'!M364)+11,FIND(";",'Onshore - Sydney'!M364&amp;";",SEARCH("rata-rata:",'Onshore - Sydney'!M364))-SEARCH("rata-rata:",'Onshore - Sydney'!M364)-11)),IF('Onshore - Sydney'!D364="Semester",'Onshore - Sydney'!E364*2,IF('Onshore - Sydney'!D364="Trimester",'Onshore - Sydney'!E364*3,IF('Onshore - Sydney'!D364="Term",'Onshore - Sydney'!E364*4,IF('Onshore - Sydney'!D364="Unit",'Onshore - Sydney'!E364*8,""))))))</f>
        <v>12000</v>
      </c>
      <c r="L856" s="0" t="n">
        <f aca="false">IF(AND(ISNUMBER('Onshore - Sydney'!E364),ISNUMBER(K856),ISNUMBER('Onshore - Sydney'!F364),ISNUMBER('Onshore - Sydney'!G364),OR('Onshore - Sydney'!F364&lt;&gt;0,ISNUMBER(SEARCH("Material 0 terverifikasi",'Onshore - Sydney'!M364))),OR('Onshore - Sydney'!G364&lt;&gt;0,ISNUMBER(SEARCH("Enrolment 0 terverifikasi",'Onshore - Sydney'!M364)))),1,0)</f>
        <v>0</v>
      </c>
      <c r="M856" s="0" t="n">
        <f aca="false">IF(OR('Onshore - Sydney'!E364="",ISNUMBER(SEARCH("BSB80120",'Onshore - Sydney'!B364&amp;'Onshore - Sydney'!M364)),ISNUMBER(SEARCH("Management (Learning)",'Onshore - Sydney'!B364))),2,IF(ISNUMBER(SEARCH("CEK:",'Onshore - Sydney'!M364)),1,0))</f>
        <v>0</v>
      </c>
    </row>
    <row r="857" customFormat="false" ht="28.35" hidden="false" customHeight="false" outlineLevel="0" collapsed="false">
      <c r="A857" s="63" t="s">
        <v>3533</v>
      </c>
      <c r="B857" s="64" t="s">
        <v>3990</v>
      </c>
      <c r="C857" s="63" t="s">
        <v>39</v>
      </c>
      <c r="D857" s="64" t="str">
        <f aca="false">TRIM(LEFT('Onshore - Sydney'!A728,FIND(CHAR(10),'Onshore - Sydney'!A728&amp;CHAR(10))-1))</f>
        <v>Rosehill College</v>
      </c>
      <c r="E857" s="63" t="str">
        <f aca="false">'Onshore - Sydney'!C728&amp;""</f>
        <v>2 years</v>
      </c>
      <c r="F857" s="63" t="str">
        <f aca="false">IF('Onshore - Sydney'!D728="","Belum tercatat",'Onshore - Sydney'!D728)</f>
        <v>Term</v>
      </c>
      <c r="G857" s="65" t="n">
        <f aca="false">IF('Onshore - Sydney'!E728="","-",'Onshore - Sydney'!E728)</f>
        <v>3250</v>
      </c>
      <c r="H857" s="63" t="n">
        <f aca="false">IF(ISNUMBER(K857),COUNTIFS($J$6:$J$1916,J857,$K$6:$K$1916,"&lt;"&amp;K857)+1,"-")</f>
        <v>11</v>
      </c>
      <c r="I857" s="64" t="str">
        <f aca="false">IF('Onshore - Sydney'!E728="","Harga belum tersedia - hubungi konsultan TEG",IF(M857=2,"Saat ini tidak menerima pendaftaran siswa internasional baru",IF(M857=1,"Harga perlu dikonfirmasi ke sekolah"&amp;IF(""="","","; "&amp;""),"")))</f>
        <v>Harga perlu dikonfirmasi ke sekolah</v>
      </c>
      <c r="J857" s="0" t="s">
        <v>4051</v>
      </c>
      <c r="K857" s="0" t="n">
        <f aca="false">IF(M857=2,"",IF(ISNUMBER(SEARCH("rata-rata:",'Onshore - Sydney'!M728)),VALUE(MID('Onshore - Sydney'!M728,SEARCH("rata-rata:",'Onshore - Sydney'!M728)+11,FIND(";",'Onshore - Sydney'!M728&amp;";",SEARCH("rata-rata:",'Onshore - Sydney'!M728))-SEARCH("rata-rata:",'Onshore - Sydney'!M728)-11)),IF('Onshore - Sydney'!D728="Semester",'Onshore - Sydney'!E728*2,IF('Onshore - Sydney'!D728="Trimester",'Onshore - Sydney'!E728*3,IF('Onshore - Sydney'!D728="Term",'Onshore - Sydney'!E728*4,IF('Onshore - Sydney'!D728="Unit",'Onshore - Sydney'!E728*8,""))))))</f>
        <v>13000</v>
      </c>
      <c r="L857" s="0" t="n">
        <f aca="false">IF(AND(ISNUMBER('Onshore - Sydney'!E728),ISNUMBER(K857),ISNUMBER('Onshore - Sydney'!F728),ISNUMBER('Onshore - Sydney'!G728),OR('Onshore - Sydney'!F728&lt;&gt;0,ISNUMBER(SEARCH("Material 0 terverifikasi",'Onshore - Sydney'!M728))),OR('Onshore - Sydney'!G728&lt;&gt;0,ISNUMBER(SEARCH("Enrolment 0 terverifikasi",'Onshore - Sydney'!M728)))),1,0)</f>
        <v>1</v>
      </c>
      <c r="M857" s="0" t="n">
        <f aca="false">IF(OR('Onshore - Sydney'!E728="",ISNUMBER(SEARCH("BSB80120",'Onshore - Sydney'!B728&amp;'Onshore - Sydney'!M728)),ISNUMBER(SEARCH("Management (Learning)",'Onshore - Sydney'!B728))),2,IF(ISNUMBER(SEARCH("CEK:",'Onshore - Sydney'!M728)),1,0))</f>
        <v>1</v>
      </c>
    </row>
    <row r="858" customFormat="false" ht="28.35" hidden="false" customHeight="false" outlineLevel="0" collapsed="false">
      <c r="A858" s="63" t="s">
        <v>3533</v>
      </c>
      <c r="B858" s="64" t="s">
        <v>3990</v>
      </c>
      <c r="C858" s="63" t="s">
        <v>39</v>
      </c>
      <c r="D858" s="64" t="str">
        <f aca="false">TRIM(LEFT('Onshore - Sydney'!A745,FIND(CHAR(10),'Onshore - Sydney'!A745&amp;CHAR(10))-1))</f>
        <v>Signet Institute of Australia</v>
      </c>
      <c r="E858" s="63" t="str">
        <f aca="false">'Onshore - Sydney'!C745&amp;""</f>
        <v>2 years</v>
      </c>
      <c r="F858" s="63" t="str">
        <f aca="false">IF('Onshore - Sydney'!D745="","Belum tercatat",'Onshore - Sydney'!D745)</f>
        <v>Term</v>
      </c>
      <c r="G858" s="65" t="n">
        <f aca="false">IF('Onshore - Sydney'!E745="","-",'Onshore - Sydney'!E745)</f>
        <v>3650</v>
      </c>
      <c r="H858" s="63" t="n">
        <f aca="false">IF(ISNUMBER(K858),COUNTIFS($J$6:$J$1916,J858,$K$6:$K$1916,"&lt;"&amp;K858)+1,"-")</f>
        <v>12</v>
      </c>
      <c r="I858" s="64" t="str">
        <f aca="false">IF('Onshore - Sydney'!E745="","Harga belum tersedia - hubungi konsultan TEG",IF(M858=2,"Saat ini tidak menerima pendaftaran siswa internasional baru",IF(M858=1,"Harga perlu dikonfirmasi ke sekolah"&amp;IF(""="","","; "&amp;""),"")))</f>
        <v/>
      </c>
      <c r="J858" s="0" t="s">
        <v>4051</v>
      </c>
      <c r="K858" s="0" t="n">
        <f aca="false">IF(M858=2,"",IF(ISNUMBER(SEARCH("rata-rata:",'Onshore - Sydney'!M745)),VALUE(MID('Onshore - Sydney'!M745,SEARCH("rata-rata:",'Onshore - Sydney'!M745)+11,FIND(";",'Onshore - Sydney'!M745&amp;";",SEARCH("rata-rata:",'Onshore - Sydney'!M745))-SEARCH("rata-rata:",'Onshore - Sydney'!M745)-11)),IF('Onshore - Sydney'!D745="Semester",'Onshore - Sydney'!E745*2,IF('Onshore - Sydney'!D745="Trimester",'Onshore - Sydney'!E745*3,IF('Onshore - Sydney'!D745="Term",'Onshore - Sydney'!E745*4,IF('Onshore - Sydney'!D745="Unit",'Onshore - Sydney'!E745*8,""))))))</f>
        <v>14600</v>
      </c>
      <c r="L858" s="0" t="n">
        <f aca="false">IF(AND(ISNUMBER('Onshore - Sydney'!E745),ISNUMBER(K858),ISNUMBER('Onshore - Sydney'!F745),ISNUMBER('Onshore - Sydney'!G745),OR('Onshore - Sydney'!F745&lt;&gt;0,ISNUMBER(SEARCH("Material 0 terverifikasi",'Onshore - Sydney'!M745))),OR('Onshore - Sydney'!G745&lt;&gt;0,ISNUMBER(SEARCH("Enrolment 0 terverifikasi",'Onshore - Sydney'!M745)))),1,0)</f>
        <v>1</v>
      </c>
      <c r="M858" s="0" t="n">
        <f aca="false">IF(OR('Onshore - Sydney'!E745="",ISNUMBER(SEARCH("BSB80120",'Onshore - Sydney'!B745&amp;'Onshore - Sydney'!M745)),ISNUMBER(SEARCH("Management (Learning)",'Onshore - Sydney'!B745))),2,IF(ISNUMBER(SEARCH("CEK:",'Onshore - Sydney'!M745)),1,0))</f>
        <v>0</v>
      </c>
    </row>
    <row r="859" customFormat="false" ht="28.35" hidden="false" customHeight="false" outlineLevel="0" collapsed="false">
      <c r="A859" s="63" t="s">
        <v>3533</v>
      </c>
      <c r="B859" s="64" t="s">
        <v>3990</v>
      </c>
      <c r="C859" s="63" t="s">
        <v>39</v>
      </c>
      <c r="D859" s="64" t="str">
        <f aca="false">TRIM(LEFT('Onshore - Sydney'!A796,FIND(CHAR(10),'Onshore - Sydney'!A796&amp;CHAR(10))-1))</f>
        <v>TAFE NSW</v>
      </c>
      <c r="E859" s="63" t="str">
        <f aca="false">'Onshore - Sydney'!C849&amp;""</f>
        <v>0,5 year</v>
      </c>
      <c r="F859" s="63" t="str">
        <f aca="false">IF('Onshore - Sydney'!D849="","Belum tercatat",'Onshore - Sydney'!D849)</f>
        <v>Term</v>
      </c>
      <c r="G859" s="65" t="n">
        <f aca="false">IF('Onshore - Sydney'!E849="","-",'Onshore - Sydney'!E849)</f>
        <v>8400</v>
      </c>
      <c r="H859" s="63" t="n">
        <f aca="false">IF(ISNUMBER(K859),COUNTIFS($J$6:$J$1916,J859,$K$6:$K$1916,"&lt;"&amp;K859)+1,"-")</f>
        <v>13</v>
      </c>
      <c r="I859" s="64" t="str">
        <f aca="false">IF('Onshore - Sydney'!E849="","Harga belum tersedia - hubungi konsultan TEG",IF(M859=2,"Saat ini tidak menerima pendaftaran siswa internasional baru",IF(M859=1,"Harga perlu dikonfirmasi ke sekolah"&amp;IF(""="","","; "&amp;""),"")))</f>
        <v/>
      </c>
      <c r="J859" s="0" t="s">
        <v>4051</v>
      </c>
      <c r="K859" s="0" t="n">
        <f aca="false">IF(M859=2,"",IF(ISNUMBER(SEARCH("rata-rata:",'Onshore - Sydney'!M849)),VALUE(MID('Onshore - Sydney'!M849,SEARCH("rata-rata:",'Onshore - Sydney'!M849)+11,FIND(";",'Onshore - Sydney'!M849&amp;";",SEARCH("rata-rata:",'Onshore - Sydney'!M849))-SEARCH("rata-rata:",'Onshore - Sydney'!M849)-11)),IF('Onshore - Sydney'!D849="Semester",'Onshore - Sydney'!E849*2,IF('Onshore - Sydney'!D849="Trimester",'Onshore - Sydney'!E849*3,IF('Onshore - Sydney'!D849="Term",'Onshore - Sydney'!E849*4,IF('Onshore - Sydney'!D849="Unit",'Onshore - Sydney'!E849*8,""))))))</f>
        <v>33600</v>
      </c>
      <c r="L859" s="0" t="n">
        <f aca="false">IF(AND(ISNUMBER('Onshore - Sydney'!E849),ISNUMBER(K859),ISNUMBER('Onshore - Sydney'!F849),ISNUMBER('Onshore - Sydney'!G849),OR('Onshore - Sydney'!F849&lt;&gt;0,ISNUMBER(SEARCH("Material 0 terverifikasi",'Onshore - Sydney'!M849))),OR('Onshore - Sydney'!G849&lt;&gt;0,ISNUMBER(SEARCH("Enrolment 0 terverifikasi",'Onshore - Sydney'!M849)))),1,0)</f>
        <v>0</v>
      </c>
      <c r="M859" s="0" t="n">
        <f aca="false">IF(OR('Onshore - Sydney'!E849="",ISNUMBER(SEARCH("BSB80120",'Onshore - Sydney'!B849&amp;'Onshore - Sydney'!M849)),ISNUMBER(SEARCH("Management (Learning)",'Onshore - Sydney'!B849))),2,IF(ISNUMBER(SEARCH("CEK:",'Onshore - Sydney'!M849)),1,0))</f>
        <v>0</v>
      </c>
    </row>
    <row r="860" customFormat="false" ht="15" hidden="false" customHeight="false" outlineLevel="0" collapsed="false">
      <c r="A860" s="61" t="s">
        <v>4052</v>
      </c>
      <c r="B860" s="62"/>
      <c r="C860" s="62"/>
      <c r="D860" s="62"/>
      <c r="E860" s="62"/>
      <c r="F860" s="62"/>
      <c r="G860" s="62"/>
      <c r="H860" s="62"/>
      <c r="I860" s="62"/>
    </row>
    <row r="861" customFormat="false" ht="28.35" hidden="false" customHeight="false" outlineLevel="0" collapsed="false">
      <c r="A861" s="63" t="s">
        <v>3533</v>
      </c>
      <c r="B861" s="64" t="s">
        <v>3990</v>
      </c>
      <c r="C861" s="63" t="s">
        <v>40</v>
      </c>
      <c r="D861" s="64" t="str">
        <f aca="false">TRIM(LEFT('Onshore - Sydney'!A630,FIND(CHAR(10),'Onshore - Sydney'!A630&amp;CHAR(10))-1))</f>
        <v>Legend Institute</v>
      </c>
      <c r="E861" s="63" t="str">
        <f aca="false">'Onshore - Sydney'!C634&amp;""</f>
        <v>2 years</v>
      </c>
      <c r="F861" s="63" t="str">
        <f aca="false">IF('Onshore - Sydney'!D634="","Belum tercatat",'Onshore - Sydney'!D634)</f>
        <v>Term</v>
      </c>
      <c r="G861" s="65" t="n">
        <f aca="false">IF('Onshore - Sydney'!E634="","-",'Onshore - Sydney'!E634)</f>
        <v>2000</v>
      </c>
      <c r="H861" s="63" t="n">
        <f aca="false">IF(ISNUMBER(K861),COUNTIFS($J$6:$J$1916,J861,$K$6:$K$1916,"&lt;"&amp;K861)+1,"-")</f>
        <v>1</v>
      </c>
      <c r="I861" s="64" t="str">
        <f aca="false">IF('Onshore - Sydney'!E634="","Harga belum tersedia - hubungi konsultan TEG",IF(M861=2,"Saat ini tidak menerima pendaftaran siswa internasional baru",IF(M861=1,"Harga perlu dikonfirmasi ke sekolah"&amp;IF(""="","","; "&amp;""),"")))</f>
        <v/>
      </c>
      <c r="J861" s="0" t="s">
        <v>4053</v>
      </c>
      <c r="K861" s="0" t="n">
        <f aca="false">IF(M861=2,"",IF(ISNUMBER(SEARCH("rata-rata:",'Onshore - Sydney'!M634)),VALUE(MID('Onshore - Sydney'!M634,SEARCH("rata-rata:",'Onshore - Sydney'!M634)+11,FIND(";",'Onshore - Sydney'!M634&amp;";",SEARCH("rata-rata:",'Onshore - Sydney'!M634))-SEARCH("rata-rata:",'Onshore - Sydney'!M634)-11)),IF('Onshore - Sydney'!D634="Semester",'Onshore - Sydney'!E634*2,IF('Onshore - Sydney'!D634="Trimester",'Onshore - Sydney'!E634*3,IF('Onshore - Sydney'!D634="Term",'Onshore - Sydney'!E634*4,IF('Onshore - Sydney'!D634="Unit",'Onshore - Sydney'!E634*8,""))))))</f>
        <v>8000</v>
      </c>
      <c r="L861" s="0" t="n">
        <f aca="false">IF(AND(ISNUMBER('Onshore - Sydney'!E634),ISNUMBER(K861),ISNUMBER('Onshore - Sydney'!F634),ISNUMBER('Onshore - Sydney'!G634),OR('Onshore - Sydney'!F634&lt;&gt;0,ISNUMBER(SEARCH("Material 0 terverifikasi",'Onshore - Sydney'!M634))),OR('Onshore - Sydney'!G634&lt;&gt;0,ISNUMBER(SEARCH("Enrolment 0 terverifikasi",'Onshore - Sydney'!M634)))),1,0)</f>
        <v>1</v>
      </c>
      <c r="M861" s="0" t="n">
        <f aca="false">IF(OR('Onshore - Sydney'!E634="",ISNUMBER(SEARCH("BSB80120",'Onshore - Sydney'!B634&amp;'Onshore - Sydney'!M634)),ISNUMBER(SEARCH("Management (Learning)",'Onshore - Sydney'!B634))),2,IF(ISNUMBER(SEARCH("CEK:",'Onshore - Sydney'!M634)),1,0))</f>
        <v>0</v>
      </c>
    </row>
    <row r="862" customFormat="false" ht="28.35" hidden="false" customHeight="false" outlineLevel="0" collapsed="false">
      <c r="A862" s="63" t="s">
        <v>3533</v>
      </c>
      <c r="B862" s="64" t="s">
        <v>3990</v>
      </c>
      <c r="C862" s="63" t="s">
        <v>40</v>
      </c>
      <c r="D862" s="64" t="str">
        <f aca="false">TRIM(LEFT('Onshore - Sydney'!A35,FIND(CHAR(10),'Onshore - Sydney'!A35&amp;CHAR(10))-1))</f>
        <v>Academia of Trade</v>
      </c>
      <c r="E862" s="63" t="str">
        <f aca="false">'Onshore - Sydney'!C40&amp;""</f>
        <v>2 years</v>
      </c>
      <c r="F862" s="63" t="str">
        <f aca="false">IF('Onshore - Sydney'!D40="","Belum tercatat",'Onshore - Sydney'!D40)</f>
        <v>Term</v>
      </c>
      <c r="G862" s="65" t="n">
        <f aca="false">IF('Onshore - Sydney'!E40="","-",'Onshore - Sydney'!E40)</f>
        <v>2250</v>
      </c>
      <c r="H862" s="63" t="n">
        <f aca="false">IF(ISNUMBER(K862),COUNTIFS($J$6:$J$1916,J862,$K$6:$K$1916,"&lt;"&amp;K862)+1,"-")</f>
        <v>2</v>
      </c>
      <c r="I862" s="64" t="str">
        <f aca="false">IF('Onshore - Sydney'!E40="","Harga belum tersedia - hubungi konsultan TEG",IF(M862=2,"Saat ini tidak menerima pendaftaran siswa internasional baru",IF(M862=1,"Harga perlu dikonfirmasi ke sekolah"&amp;IF(""="","","; "&amp;""),"")))</f>
        <v/>
      </c>
      <c r="J862" s="0" t="s">
        <v>4053</v>
      </c>
      <c r="K862" s="0" t="n">
        <f aca="false">IF(M862=2,"",IF(ISNUMBER(SEARCH("rata-rata:",'Onshore - Sydney'!M40)),VALUE(MID('Onshore - Sydney'!M40,SEARCH("rata-rata:",'Onshore - Sydney'!M40)+11,FIND(";",'Onshore - Sydney'!M40&amp;";",SEARCH("rata-rata:",'Onshore - Sydney'!M40))-SEARCH("rata-rata:",'Onshore - Sydney'!M40)-11)),IF('Onshore - Sydney'!D40="Semester",'Onshore - Sydney'!E40*2,IF('Onshore - Sydney'!D40="Trimester",'Onshore - Sydney'!E40*3,IF('Onshore - Sydney'!D40="Term",'Onshore - Sydney'!E40*4,IF('Onshore - Sydney'!D40="Unit",'Onshore - Sydney'!E40*8,""))))))</f>
        <v>9000</v>
      </c>
      <c r="L862" s="0" t="n">
        <f aca="false">IF(AND(ISNUMBER('Onshore - Sydney'!E40),ISNUMBER(K862),ISNUMBER('Onshore - Sydney'!F40),ISNUMBER('Onshore - Sydney'!G40),OR('Onshore - Sydney'!F40&lt;&gt;0,ISNUMBER(SEARCH("Material 0 terverifikasi",'Onshore - Sydney'!M40))),OR('Onshore - Sydney'!G40&lt;&gt;0,ISNUMBER(SEARCH("Enrolment 0 terverifikasi",'Onshore - Sydney'!M40)))),1,0)</f>
        <v>1</v>
      </c>
      <c r="M862" s="0" t="n">
        <f aca="false">IF(OR('Onshore - Sydney'!E40="",ISNUMBER(SEARCH("BSB80120",'Onshore - Sydney'!B40&amp;'Onshore - Sydney'!M40)),ISNUMBER(SEARCH("Management (Learning)",'Onshore - Sydney'!B40))),2,IF(ISNUMBER(SEARCH("CEK:",'Onshore - Sydney'!M40)),1,0))</f>
        <v>0</v>
      </c>
    </row>
    <row r="863" customFormat="false" ht="28.35" hidden="false" customHeight="false" outlineLevel="0" collapsed="false">
      <c r="A863" s="63" t="s">
        <v>3533</v>
      </c>
      <c r="B863" s="64" t="s">
        <v>3990</v>
      </c>
      <c r="C863" s="63" t="s">
        <v>40</v>
      </c>
      <c r="D863" s="64" t="str">
        <f aca="false">TRIM(LEFT('Onshore - Sydney'!A126,FIND(CHAR(10),'Onshore - Sydney'!A126&amp;CHAR(10))-1))</f>
        <v>Alpha College of Australia (ACA)</v>
      </c>
      <c r="E863" s="63" t="str">
        <f aca="false">'Onshore - Sydney'!C127&amp;""</f>
        <v>1 year</v>
      </c>
      <c r="F863" s="63" t="str">
        <f aca="false">IF('Onshore - Sydney'!D127="","Belum tercatat",'Onshore - Sydney'!D127)</f>
        <v>Term</v>
      </c>
      <c r="G863" s="65" t="n">
        <f aca="false">IF('Onshore - Sydney'!E127="","-",'Onshore - Sydney'!E127)</f>
        <v>2500</v>
      </c>
      <c r="H863" s="63" t="n">
        <f aca="false">IF(ISNUMBER(K863),COUNTIFS($J$6:$J$1916,J863,$K$6:$K$1916,"&lt;"&amp;K863)+1,"-")</f>
        <v>3</v>
      </c>
      <c r="I863" s="64" t="str">
        <f aca="false">IF('Onshore - Sydney'!E127="","Harga belum tersedia - hubungi konsultan TEG",IF(M863=2,"Saat ini tidak menerima pendaftaran siswa internasional baru",IF(M863=1,"Harga perlu dikonfirmasi ke sekolah"&amp;IF(""="","","; "&amp;""),"")))</f>
        <v/>
      </c>
      <c r="J863" s="0" t="s">
        <v>4053</v>
      </c>
      <c r="K863" s="0" t="n">
        <f aca="false">IF(M863=2,"",IF(ISNUMBER(SEARCH("rata-rata:",'Onshore - Sydney'!M127)),VALUE(MID('Onshore - Sydney'!M127,SEARCH("rata-rata:",'Onshore - Sydney'!M127)+11,FIND(";",'Onshore - Sydney'!M127&amp;";",SEARCH("rata-rata:",'Onshore - Sydney'!M127))-SEARCH("rata-rata:",'Onshore - Sydney'!M127)-11)),IF('Onshore - Sydney'!D127="Semester",'Onshore - Sydney'!E127*2,IF('Onshore - Sydney'!D127="Trimester",'Onshore - Sydney'!E127*3,IF('Onshore - Sydney'!D127="Term",'Onshore - Sydney'!E127*4,IF('Onshore - Sydney'!D127="Unit",'Onshore - Sydney'!E127*8,""))))))</f>
        <v>10000</v>
      </c>
      <c r="L863" s="0" t="n">
        <f aca="false">IF(AND(ISNUMBER('Onshore - Sydney'!E127),ISNUMBER(K863),ISNUMBER('Onshore - Sydney'!F127),ISNUMBER('Onshore - Sydney'!G127),OR('Onshore - Sydney'!F127&lt;&gt;0,ISNUMBER(SEARCH("Material 0 terverifikasi",'Onshore - Sydney'!M127))),OR('Onshore - Sydney'!G127&lt;&gt;0,ISNUMBER(SEARCH("Enrolment 0 terverifikasi",'Onshore - Sydney'!M127)))),1,0)</f>
        <v>1</v>
      </c>
      <c r="M863" s="0" t="n">
        <f aca="false">IF(OR('Onshore - Sydney'!E127="",ISNUMBER(SEARCH("BSB80120",'Onshore - Sydney'!B127&amp;'Onshore - Sydney'!M127)),ISNUMBER(SEARCH("Management (Learning)",'Onshore - Sydney'!B127))),2,IF(ISNUMBER(SEARCH("CEK:",'Onshore - Sydney'!M127)),1,0))</f>
        <v>0</v>
      </c>
    </row>
    <row r="864" customFormat="false" ht="28.35" hidden="false" customHeight="false" outlineLevel="0" collapsed="false">
      <c r="A864" s="63" t="s">
        <v>3533</v>
      </c>
      <c r="B864" s="64" t="s">
        <v>3990</v>
      </c>
      <c r="C864" s="63" t="s">
        <v>40</v>
      </c>
      <c r="D864" s="64" t="str">
        <f aca="false">TRIM(LEFT('Onshore - Sydney'!A345,FIND(CHAR(10),'Onshore - Sydney'!A345&amp;CHAR(10))-1))</f>
        <v>Australian International College of Skills &amp; Education (AICSE)</v>
      </c>
      <c r="E864" s="63" t="str">
        <f aca="false">'Onshore - Sydney'!C345&amp;""</f>
        <v>2 years</v>
      </c>
      <c r="F864" s="63" t="str">
        <f aca="false">IF('Onshore - Sydney'!D345="","Belum tercatat",'Onshore - Sydney'!D345)</f>
        <v>Term</v>
      </c>
      <c r="G864" s="65" t="n">
        <f aca="false">IF('Onshore - Sydney'!E345="","-",'Onshore - Sydney'!E345)</f>
        <v>2600</v>
      </c>
      <c r="H864" s="63" t="n">
        <f aca="false">IF(ISNUMBER(K864),COUNTIFS($J$6:$J$1916,J864,$K$6:$K$1916,"&lt;"&amp;K864)+1,"-")</f>
        <v>4</v>
      </c>
      <c r="I864" s="64" t="str">
        <f aca="false">IF('Onshore - Sydney'!E345="","Harga belum tersedia - hubungi konsultan TEG",IF(M864=2,"Saat ini tidak menerima pendaftaran siswa internasional baru",IF(M864=1,"Harga perlu dikonfirmasi ke sekolah"&amp;IF(""="","","; "&amp;""),"")))</f>
        <v/>
      </c>
      <c r="J864" s="0" t="s">
        <v>4053</v>
      </c>
      <c r="K864" s="0" t="n">
        <f aca="false">IF(M864=2,"",IF(ISNUMBER(SEARCH("rata-rata:",'Onshore - Sydney'!M345)),VALUE(MID('Onshore - Sydney'!M345,SEARCH("rata-rata:",'Onshore - Sydney'!M345)+11,FIND(";",'Onshore - Sydney'!M345&amp;";",SEARCH("rata-rata:",'Onshore - Sydney'!M345))-SEARCH("rata-rata:",'Onshore - Sydney'!M345)-11)),IF('Onshore - Sydney'!D345="Semester",'Onshore - Sydney'!E345*2,IF('Onshore - Sydney'!D345="Trimester",'Onshore - Sydney'!E345*3,IF('Onshore - Sydney'!D345="Term",'Onshore - Sydney'!E345*4,IF('Onshore - Sydney'!D345="Unit",'Onshore - Sydney'!E345*8,""))))))</f>
        <v>10400</v>
      </c>
      <c r="L864" s="0" t="n">
        <f aca="false">IF(AND(ISNUMBER('Onshore - Sydney'!E345),ISNUMBER(K864),ISNUMBER('Onshore - Sydney'!F345),ISNUMBER('Onshore - Sydney'!G345),OR('Onshore - Sydney'!F345&lt;&gt;0,ISNUMBER(SEARCH("Material 0 terverifikasi",'Onshore - Sydney'!M345))),OR('Onshore - Sydney'!G345&lt;&gt;0,ISNUMBER(SEARCH("Enrolment 0 terverifikasi",'Onshore - Sydney'!M345)))),1,0)</f>
        <v>1</v>
      </c>
      <c r="M864" s="0" t="n">
        <f aca="false">IF(OR('Onshore - Sydney'!E345="",ISNUMBER(SEARCH("BSB80120",'Onshore - Sydney'!B345&amp;'Onshore - Sydney'!M345)),ISNUMBER(SEARCH("Management (Learning)",'Onshore - Sydney'!B345))),2,IF(ISNUMBER(SEARCH("CEK:",'Onshore - Sydney'!M345)),1,0))</f>
        <v>0</v>
      </c>
    </row>
    <row r="865" customFormat="false" ht="15" hidden="false" customHeight="false" outlineLevel="0" collapsed="false">
      <c r="A865" s="61" t="s">
        <v>4054</v>
      </c>
      <c r="B865" s="62"/>
      <c r="C865" s="62"/>
      <c r="D865" s="62"/>
      <c r="E865" s="62"/>
      <c r="F865" s="62"/>
      <c r="G865" s="62"/>
      <c r="H865" s="62"/>
      <c r="I865" s="62"/>
    </row>
    <row r="866" customFormat="false" ht="28.35" hidden="false" customHeight="false" outlineLevel="0" collapsed="false">
      <c r="A866" s="63" t="s">
        <v>3533</v>
      </c>
      <c r="B866" s="64" t="s">
        <v>3990</v>
      </c>
      <c r="C866" s="63" t="s">
        <v>41</v>
      </c>
      <c r="D866" s="64" t="str">
        <f aca="false">TRIM(LEFT('Onshore - Sydney'!A104,FIND(CHAR(10),'Onshore - Sydney'!A104&amp;CHAR(10))-1))</f>
        <v>Albury College</v>
      </c>
      <c r="E866" s="63" t="str">
        <f aca="false">'Onshore - Sydney'!C106&amp;""</f>
        <v>2,5 years</v>
      </c>
      <c r="F866" s="63" t="str">
        <f aca="false">IF('Onshore - Sydney'!D106="","Belum tercatat",'Onshore - Sydney'!D106)</f>
        <v>Term</v>
      </c>
      <c r="G866" s="65" t="n">
        <f aca="false">IF('Onshore - Sydney'!E106="","-",'Onshore - Sydney'!E106)</f>
        <v>1900</v>
      </c>
      <c r="H866" s="63" t="n">
        <f aca="false">IF(ISNUMBER(K866),COUNTIFS($J$6:$J$1916,J866,$K$6:$K$1916,"&lt;"&amp;K866)+1,"-")</f>
        <v>1</v>
      </c>
      <c r="I866" s="64" t="str">
        <f aca="false">IF('Onshore - Sydney'!E106="","Harga belum tersedia - hubungi konsultan TEG",IF(M866=2,"Saat ini tidak menerima pendaftaran siswa internasional baru",IF(M866=1,"Harga perlu dikonfirmasi ke sekolah"&amp;IF(""="","","; "&amp;""),"")))</f>
        <v/>
      </c>
      <c r="J866" s="0" t="s">
        <v>4055</v>
      </c>
      <c r="K866" s="0" t="n">
        <f aca="false">IF(M866=2,"",IF(ISNUMBER(SEARCH("rata-rata:",'Onshore - Sydney'!M106)),VALUE(MID('Onshore - Sydney'!M106,SEARCH("rata-rata:",'Onshore - Sydney'!M106)+11,FIND(";",'Onshore - Sydney'!M106&amp;";",SEARCH("rata-rata:",'Onshore - Sydney'!M106))-SEARCH("rata-rata:",'Onshore - Sydney'!M106)-11)),IF('Onshore - Sydney'!D106="Semester",'Onshore - Sydney'!E106*2,IF('Onshore - Sydney'!D106="Trimester",'Onshore - Sydney'!E106*3,IF('Onshore - Sydney'!D106="Term",'Onshore - Sydney'!E106*4,IF('Onshore - Sydney'!D106="Unit",'Onshore - Sydney'!E106*8,""))))))</f>
        <v>7600</v>
      </c>
      <c r="L866" s="0" t="n">
        <f aca="false">IF(AND(ISNUMBER('Onshore - Sydney'!E106),ISNUMBER(K866),ISNUMBER('Onshore - Sydney'!F106),ISNUMBER('Onshore - Sydney'!G106),OR('Onshore - Sydney'!F106&lt;&gt;0,ISNUMBER(SEARCH("Material 0 terverifikasi",'Onshore - Sydney'!M106))),OR('Onshore - Sydney'!G106&lt;&gt;0,ISNUMBER(SEARCH("Enrolment 0 terverifikasi",'Onshore - Sydney'!M106)))),1,0)</f>
        <v>1</v>
      </c>
      <c r="M866" s="0" t="n">
        <f aca="false">IF(OR('Onshore - Sydney'!E106="",ISNUMBER(SEARCH("BSB80120",'Onshore - Sydney'!B106&amp;'Onshore - Sydney'!M106)),ISNUMBER(SEARCH("Management (Learning)",'Onshore - Sydney'!B106))),2,IF(ISNUMBER(SEARCH("CEK:",'Onshore - Sydney'!M106)),1,0))</f>
        <v>0</v>
      </c>
    </row>
    <row r="867" customFormat="false" ht="28.35" hidden="false" customHeight="false" outlineLevel="0" collapsed="false">
      <c r="A867" s="63" t="s">
        <v>3533</v>
      </c>
      <c r="B867" s="64" t="s">
        <v>3990</v>
      </c>
      <c r="C867" s="63" t="s">
        <v>41</v>
      </c>
      <c r="D867" s="64" t="str">
        <f aca="false">TRIM(LEFT('Onshore - Sydney'!A112,FIND(CHAR(10),'Onshore - Sydney'!A112&amp;CHAR(10))-1))</f>
        <v>Alice Springs College of Australia (ASCA)</v>
      </c>
      <c r="E867" s="63" t="str">
        <f aca="false">'Onshore - Sydney'!C120&amp;""</f>
        <v>2 years</v>
      </c>
      <c r="F867" s="63" t="str">
        <f aca="false">IF('Onshore - Sydney'!D120="","Belum tercatat",'Onshore - Sydney'!D120)</f>
        <v>Term</v>
      </c>
      <c r="G867" s="65" t="n">
        <f aca="false">IF('Onshore - Sydney'!E120="","-",'Onshore - Sydney'!E120)</f>
        <v>2000</v>
      </c>
      <c r="H867" s="63" t="n">
        <f aca="false">IF(ISNUMBER(K867),COUNTIFS($J$6:$J$1916,J867,$K$6:$K$1916,"&lt;"&amp;K867)+1,"-")</f>
        <v>2</v>
      </c>
      <c r="I867" s="64" t="str">
        <f aca="false">IF('Onshore - Sydney'!E120="","Harga belum tersedia - hubungi konsultan TEG",IF(M867=2,"Saat ini tidak menerima pendaftaran siswa internasional baru",IF(M867=1,"Harga perlu dikonfirmasi ke sekolah"&amp;IF(""="","","; "&amp;""),"")))</f>
        <v/>
      </c>
      <c r="J867" s="0" t="s">
        <v>4055</v>
      </c>
      <c r="K867" s="0" t="n">
        <f aca="false">IF(M867=2,"",IF(ISNUMBER(SEARCH("rata-rata:",'Onshore - Sydney'!M120)),VALUE(MID('Onshore - Sydney'!M120,SEARCH("rata-rata:",'Onshore - Sydney'!M120)+11,FIND(";",'Onshore - Sydney'!M120&amp;";",SEARCH("rata-rata:",'Onshore - Sydney'!M120))-SEARCH("rata-rata:",'Onshore - Sydney'!M120)-11)),IF('Onshore - Sydney'!D120="Semester",'Onshore - Sydney'!E120*2,IF('Onshore - Sydney'!D120="Trimester",'Onshore - Sydney'!E120*3,IF('Onshore - Sydney'!D120="Term",'Onshore - Sydney'!E120*4,IF('Onshore - Sydney'!D120="Unit",'Onshore - Sydney'!E120*8,""))))))</f>
        <v>8000</v>
      </c>
      <c r="L867" s="0" t="n">
        <f aca="false">IF(AND(ISNUMBER('Onshore - Sydney'!E120),ISNUMBER(K867),ISNUMBER('Onshore - Sydney'!F120),ISNUMBER('Onshore - Sydney'!G120),OR('Onshore - Sydney'!F120&lt;&gt;0,ISNUMBER(SEARCH("Material 0 terverifikasi",'Onshore - Sydney'!M120))),OR('Onshore - Sydney'!G120&lt;&gt;0,ISNUMBER(SEARCH("Enrolment 0 terverifikasi",'Onshore - Sydney'!M120)))),1,0)</f>
        <v>1</v>
      </c>
      <c r="M867" s="0" t="n">
        <f aca="false">IF(OR('Onshore - Sydney'!E120="",ISNUMBER(SEARCH("BSB80120",'Onshore - Sydney'!B120&amp;'Onshore - Sydney'!M120)),ISNUMBER(SEARCH("Management (Learning)",'Onshore - Sydney'!B120))),2,IF(ISNUMBER(SEARCH("CEK:",'Onshore - Sydney'!M120)),1,0))</f>
        <v>0</v>
      </c>
    </row>
    <row r="868" customFormat="false" ht="28.35" hidden="false" customHeight="false" outlineLevel="0" collapsed="false">
      <c r="A868" s="63" t="s">
        <v>3533</v>
      </c>
      <c r="B868" s="64" t="s">
        <v>3990</v>
      </c>
      <c r="C868" s="63" t="s">
        <v>41</v>
      </c>
      <c r="D868" s="64" t="str">
        <f aca="false">TRIM(LEFT('Onshore - Sydney'!A630,FIND(CHAR(10),'Onshore - Sydney'!A630&amp;CHAR(10))-1))</f>
        <v>Legend Institute</v>
      </c>
      <c r="E868" s="63" t="str">
        <f aca="false">'Onshore - Sydney'!C635&amp;""</f>
        <v>2 years</v>
      </c>
      <c r="F868" s="63" t="str">
        <f aca="false">IF('Onshore - Sydney'!D635="","Belum tercatat",'Onshore - Sydney'!D635)</f>
        <v>Term</v>
      </c>
      <c r="G868" s="65" t="n">
        <f aca="false">IF('Onshore - Sydney'!E635="","-",'Onshore - Sydney'!E635)</f>
        <v>2000</v>
      </c>
      <c r="H868" s="63" t="n">
        <f aca="false">IF(ISNUMBER(K868),COUNTIFS($J$6:$J$1916,J868,$K$6:$K$1916,"&lt;"&amp;K868)+1,"-")</f>
        <v>2</v>
      </c>
      <c r="I868" s="64" t="str">
        <f aca="false">IF('Onshore - Sydney'!E635="","Harga belum tersedia - hubungi konsultan TEG",IF(M868=2,"Saat ini tidak menerima pendaftaran siswa internasional baru",IF(M868=1,"Harga perlu dikonfirmasi ke sekolah"&amp;IF(""="","","; "&amp;""),"")))</f>
        <v/>
      </c>
      <c r="J868" s="0" t="s">
        <v>4055</v>
      </c>
      <c r="K868" s="0" t="n">
        <f aca="false">IF(M868=2,"",IF(ISNUMBER(SEARCH("rata-rata:",'Onshore - Sydney'!M635)),VALUE(MID('Onshore - Sydney'!M635,SEARCH("rata-rata:",'Onshore - Sydney'!M635)+11,FIND(";",'Onshore - Sydney'!M635&amp;";",SEARCH("rata-rata:",'Onshore - Sydney'!M635))-SEARCH("rata-rata:",'Onshore - Sydney'!M635)-11)),IF('Onshore - Sydney'!D635="Semester",'Onshore - Sydney'!E635*2,IF('Onshore - Sydney'!D635="Trimester",'Onshore - Sydney'!E635*3,IF('Onshore - Sydney'!D635="Term",'Onshore - Sydney'!E635*4,IF('Onshore - Sydney'!D635="Unit",'Onshore - Sydney'!E635*8,""))))))</f>
        <v>8000</v>
      </c>
      <c r="L868" s="0" t="n">
        <f aca="false">IF(AND(ISNUMBER('Onshore - Sydney'!E635),ISNUMBER(K868),ISNUMBER('Onshore - Sydney'!F635),ISNUMBER('Onshore - Sydney'!G635),OR('Onshore - Sydney'!F635&lt;&gt;0,ISNUMBER(SEARCH("Material 0 terverifikasi",'Onshore - Sydney'!M635))),OR('Onshore - Sydney'!G635&lt;&gt;0,ISNUMBER(SEARCH("Enrolment 0 terverifikasi",'Onshore - Sydney'!M635)))),1,0)</f>
        <v>1</v>
      </c>
      <c r="M868" s="0" t="n">
        <f aca="false">IF(OR('Onshore - Sydney'!E635="",ISNUMBER(SEARCH("BSB80120",'Onshore - Sydney'!B635&amp;'Onshore - Sydney'!M635)),ISNUMBER(SEARCH("Management (Learning)",'Onshore - Sydney'!B635))),2,IF(ISNUMBER(SEARCH("CEK:",'Onshore - Sydney'!M635)),1,0))</f>
        <v>0</v>
      </c>
    </row>
    <row r="869" customFormat="false" ht="28.35" hidden="false" customHeight="false" outlineLevel="0" collapsed="false">
      <c r="A869" s="63" t="s">
        <v>3533</v>
      </c>
      <c r="B869" s="64" t="s">
        <v>3990</v>
      </c>
      <c r="C869" s="63" t="s">
        <v>41</v>
      </c>
      <c r="D869" s="64" t="str">
        <f aca="false">TRIM(LEFT('Onshore - Sydney'!A699,FIND(CHAR(10),'Onshore - Sydney'!A699&amp;CHAR(10))-1))</f>
        <v>NVR Education</v>
      </c>
      <c r="E869" s="63" t="str">
        <f aca="false">'Onshore - Sydney'!C700&amp;""</f>
        <v>1,5 years</v>
      </c>
      <c r="F869" s="63" t="str">
        <f aca="false">IF('Onshore - Sydney'!D700="","Belum tercatat",'Onshore - Sydney'!D700)</f>
        <v>Term</v>
      </c>
      <c r="G869" s="65" t="n">
        <f aca="false">IF('Onshore - Sydney'!E700="","-",'Onshore - Sydney'!E700)</f>
        <v>2000</v>
      </c>
      <c r="H869" s="63" t="n">
        <f aca="false">IF(ISNUMBER(K869),COUNTIFS($J$6:$J$1916,J869,$K$6:$K$1916,"&lt;"&amp;K869)+1,"-")</f>
        <v>2</v>
      </c>
      <c r="I869" s="64" t="str">
        <f aca="false">IF('Onshore - Sydney'!E700="","Harga belum tersedia - hubungi konsultan TEG",IF(M869=2,"Saat ini tidak menerima pendaftaran siswa internasional baru",IF(M869=1,"Harga perlu dikonfirmasi ke sekolah"&amp;IF(""="","","; "&amp;""),"")))</f>
        <v>Harga perlu dikonfirmasi ke sekolah</v>
      </c>
      <c r="J869" s="0" t="s">
        <v>4055</v>
      </c>
      <c r="K869" s="0" t="n">
        <f aca="false">IF(M869=2,"",IF(ISNUMBER(SEARCH("rata-rata:",'Onshore - Sydney'!M700)),VALUE(MID('Onshore - Sydney'!M700,SEARCH("rata-rata:",'Onshore - Sydney'!M700)+11,FIND(";",'Onshore - Sydney'!M700&amp;";",SEARCH("rata-rata:",'Onshore - Sydney'!M700))-SEARCH("rata-rata:",'Onshore - Sydney'!M700)-11)),IF('Onshore - Sydney'!D700="Semester",'Onshore - Sydney'!E700*2,IF('Onshore - Sydney'!D700="Trimester",'Onshore - Sydney'!E700*3,IF('Onshore - Sydney'!D700="Term",'Onshore - Sydney'!E700*4,IF('Onshore - Sydney'!D700="Unit",'Onshore - Sydney'!E700*8,""))))))</f>
        <v>8000</v>
      </c>
      <c r="L869" s="0" t="n">
        <f aca="false">IF(AND(ISNUMBER('Onshore - Sydney'!E700),ISNUMBER(K869),ISNUMBER('Onshore - Sydney'!F700),ISNUMBER('Onshore - Sydney'!G700),OR('Onshore - Sydney'!F700&lt;&gt;0,ISNUMBER(SEARCH("Material 0 terverifikasi",'Onshore - Sydney'!M700))),OR('Onshore - Sydney'!G700&lt;&gt;0,ISNUMBER(SEARCH("Enrolment 0 terverifikasi",'Onshore - Sydney'!M700)))),1,0)</f>
        <v>1</v>
      </c>
      <c r="M869" s="0" t="n">
        <f aca="false">IF(OR('Onshore - Sydney'!E700="",ISNUMBER(SEARCH("BSB80120",'Onshore - Sydney'!B700&amp;'Onshore - Sydney'!M700)),ISNUMBER(SEARCH("Management (Learning)",'Onshore - Sydney'!B700))),2,IF(ISNUMBER(SEARCH("CEK:",'Onshore - Sydney'!M700)),1,0))</f>
        <v>1</v>
      </c>
    </row>
    <row r="870" customFormat="false" ht="28.35" hidden="false" customHeight="false" outlineLevel="0" collapsed="false">
      <c r="A870" s="63" t="s">
        <v>3533</v>
      </c>
      <c r="B870" s="64" t="s">
        <v>3990</v>
      </c>
      <c r="C870" s="63" t="s">
        <v>41</v>
      </c>
      <c r="D870" s="64" t="str">
        <f aca="false">TRIM(LEFT('Onshore - Sydney'!A678,FIND(CHAR(10),'Onshore - Sydney'!A678&amp;CHAR(10))-1))</f>
        <v>Novus College</v>
      </c>
      <c r="E870" s="63" t="str">
        <f aca="false">'Onshore - Sydney'!C681&amp;""</f>
        <v>3 years</v>
      </c>
      <c r="F870" s="63" t="str">
        <f aca="false">IF('Onshore - Sydney'!D681="","Belum tercatat",'Onshore - Sydney'!D681)</f>
        <v>Term</v>
      </c>
      <c r="G870" s="65" t="n">
        <f aca="false">IF('Onshore - Sydney'!E681="","-",'Onshore - Sydney'!E681)</f>
        <v>2200</v>
      </c>
      <c r="H870" s="63" t="n">
        <f aca="false">IF(ISNUMBER(K870),COUNTIFS($J$6:$J$1916,J870,$K$6:$K$1916,"&lt;"&amp;K870)+1,"-")</f>
        <v>5</v>
      </c>
      <c r="I870" s="64" t="str">
        <f aca="false">IF('Onshore - Sydney'!E681="","Harga belum tersedia - hubungi konsultan TEG",IF(M870=2,"Saat ini tidak menerima pendaftaran siswa internasional baru",IF(M870=1,"Program perlu dikonfirmasi ketersediaannya"&amp;IF(""="","","; "&amp;""),"")))</f>
        <v>Program perlu dikonfirmasi ketersediaannya</v>
      </c>
      <c r="J870" s="0" t="s">
        <v>4055</v>
      </c>
      <c r="K870" s="0" t="n">
        <f aca="false">IF(M870=2,"",IF(ISNUMBER(SEARCH("rata-rata:",'Onshore - Sydney'!M681)),VALUE(MID('Onshore - Sydney'!M681,SEARCH("rata-rata:",'Onshore - Sydney'!M681)+11,FIND(";",'Onshore - Sydney'!M681&amp;";",SEARCH("rata-rata:",'Onshore - Sydney'!M681))-SEARCH("rata-rata:",'Onshore - Sydney'!M681)-11)),IF('Onshore - Sydney'!D681="Semester",'Onshore - Sydney'!E681*2,IF('Onshore - Sydney'!D681="Trimester",'Onshore - Sydney'!E681*3,IF('Onshore - Sydney'!D681="Term",'Onshore - Sydney'!E681*4,IF('Onshore - Sydney'!D681="Unit",'Onshore - Sydney'!E681*8,""))))))</f>
        <v>8800</v>
      </c>
      <c r="L870" s="0" t="n">
        <f aca="false">IF(AND(ISNUMBER('Onshore - Sydney'!E681),ISNUMBER(K870),ISNUMBER('Onshore - Sydney'!F681),ISNUMBER('Onshore - Sydney'!G681),OR('Onshore - Sydney'!F681&lt;&gt;0,ISNUMBER(SEARCH("Material 0 terverifikasi",'Onshore - Sydney'!M681))),OR('Onshore - Sydney'!G681&lt;&gt;0,ISNUMBER(SEARCH("Enrolment 0 terverifikasi",'Onshore - Sydney'!M681)))),1,0)</f>
        <v>1</v>
      </c>
      <c r="M870" s="0" t="n">
        <f aca="false">IF(OR('Onshore - Sydney'!E681="",ISNUMBER(SEARCH("BSB80120",'Onshore - Sydney'!B681&amp;'Onshore - Sydney'!M681)),ISNUMBER(SEARCH("Management (Learning)",'Onshore - Sydney'!B681))),2,IF(ISNUMBER(SEARCH("CEK:",'Onshore - Sydney'!M681)),1,0))</f>
        <v>1</v>
      </c>
    </row>
    <row r="871" customFormat="false" ht="28.35" hidden="false" customHeight="false" outlineLevel="0" collapsed="false">
      <c r="A871" s="63" t="s">
        <v>3533</v>
      </c>
      <c r="B871" s="64" t="s">
        <v>3990</v>
      </c>
      <c r="C871" s="63" t="s">
        <v>41</v>
      </c>
      <c r="D871" s="64" t="str">
        <f aca="false">TRIM(LEFT('Onshore - Sydney'!A35,FIND(CHAR(10),'Onshore - Sydney'!A35&amp;CHAR(10))-1))</f>
        <v>Academia of Trade</v>
      </c>
      <c r="E871" s="63" t="str">
        <f aca="false">'Onshore - Sydney'!C39&amp;""</f>
        <v>2,5 years</v>
      </c>
      <c r="F871" s="63" t="str">
        <f aca="false">IF('Onshore - Sydney'!D39="","Belum tercatat",'Onshore - Sydney'!D39)</f>
        <v>Term</v>
      </c>
      <c r="G871" s="65" t="n">
        <f aca="false">IF('Onshore - Sydney'!E39="","-",'Onshore - Sydney'!E39)</f>
        <v>2250</v>
      </c>
      <c r="H871" s="63" t="n">
        <f aca="false">IF(ISNUMBER(K871),COUNTIFS($J$6:$J$1916,J871,$K$6:$K$1916,"&lt;"&amp;K871)+1,"-")</f>
        <v>6</v>
      </c>
      <c r="I871" s="64" t="str">
        <f aca="false">IF('Onshore - Sydney'!E39="","Harga belum tersedia - hubungi konsultan TEG",IF(M871=2,"Saat ini tidak menerima pendaftaran siswa internasional baru",IF(M871=1,"Harga perlu dikonfirmasi ke sekolah"&amp;IF(""="","","; "&amp;""),"")))</f>
        <v/>
      </c>
      <c r="J871" s="0" t="s">
        <v>4055</v>
      </c>
      <c r="K871" s="0" t="n">
        <f aca="false">IF(M871=2,"",IF(ISNUMBER(SEARCH("rata-rata:",'Onshore - Sydney'!M39)),VALUE(MID('Onshore - Sydney'!M39,SEARCH("rata-rata:",'Onshore - Sydney'!M39)+11,FIND(";",'Onshore - Sydney'!M39&amp;";",SEARCH("rata-rata:",'Onshore - Sydney'!M39))-SEARCH("rata-rata:",'Onshore - Sydney'!M39)-11)),IF('Onshore - Sydney'!D39="Semester",'Onshore - Sydney'!E39*2,IF('Onshore - Sydney'!D39="Trimester",'Onshore - Sydney'!E39*3,IF('Onshore - Sydney'!D39="Term",'Onshore - Sydney'!E39*4,IF('Onshore - Sydney'!D39="Unit",'Onshore - Sydney'!E39*8,""))))))</f>
        <v>9000</v>
      </c>
      <c r="L871" s="0" t="n">
        <f aca="false">IF(AND(ISNUMBER('Onshore - Sydney'!E39),ISNUMBER(K871),ISNUMBER('Onshore - Sydney'!F39),ISNUMBER('Onshore - Sydney'!G39),OR('Onshore - Sydney'!F39&lt;&gt;0,ISNUMBER(SEARCH("Material 0 terverifikasi",'Onshore - Sydney'!M39))),OR('Onshore - Sydney'!G39&lt;&gt;0,ISNUMBER(SEARCH("Enrolment 0 terverifikasi",'Onshore - Sydney'!M39)))),1,0)</f>
        <v>1</v>
      </c>
      <c r="M871" s="0" t="n">
        <f aca="false">IF(OR('Onshore - Sydney'!E39="",ISNUMBER(SEARCH("BSB80120",'Onshore - Sydney'!B39&amp;'Onshore - Sydney'!M39)),ISNUMBER(SEARCH("Management (Learning)",'Onshore - Sydney'!B39))),2,IF(ISNUMBER(SEARCH("CEK:",'Onshore - Sydney'!M39)),1,0))</f>
        <v>0</v>
      </c>
    </row>
    <row r="872" customFormat="false" ht="28.35" hidden="false" customHeight="false" outlineLevel="0" collapsed="false">
      <c r="A872" s="63" t="s">
        <v>3533</v>
      </c>
      <c r="B872" s="64" t="s">
        <v>3990</v>
      </c>
      <c r="C872" s="63" t="s">
        <v>41</v>
      </c>
      <c r="D872" s="64" t="str">
        <f aca="false">TRIM(LEFT('Onshore - Sydney'!A330,FIND(CHAR(10),'Onshore - Sydney'!A330&amp;CHAR(10))-1))</f>
        <v>Australian International College of Skills &amp; Education (AICSE)</v>
      </c>
      <c r="E872" s="63" t="str">
        <f aca="false">'Onshore - Sydney'!C335&amp;""</f>
        <v>1,5 years</v>
      </c>
      <c r="F872" s="63" t="str">
        <f aca="false">IF('Onshore - Sydney'!D335="","Belum tercatat",'Onshore - Sydney'!D335)</f>
        <v>Term</v>
      </c>
      <c r="G872" s="65" t="n">
        <f aca="false">IF('Onshore - Sydney'!E335="","-",'Onshore - Sydney'!E335)</f>
        <v>2400</v>
      </c>
      <c r="H872" s="63" t="n">
        <f aca="false">IF(ISNUMBER(K872),COUNTIFS($J$6:$J$1916,J872,$K$6:$K$1916,"&lt;"&amp;K872)+1,"-")</f>
        <v>7</v>
      </c>
      <c r="I872" s="64" t="str">
        <f aca="false">IF('Onshore - Sydney'!E335="","Harga belum tersedia - hubungi konsultan TEG",IF(M872=2,"Saat ini tidak menerima pendaftaran siswa internasional baru",IF(M872=1,"Harga perlu dikonfirmasi ke sekolah"&amp;IF(""="","","; "&amp;""),"")))</f>
        <v/>
      </c>
      <c r="J872" s="0" t="s">
        <v>4055</v>
      </c>
      <c r="K872" s="0" t="n">
        <f aca="false">IF(M872=2,"",IF(ISNUMBER(SEARCH("rata-rata:",'Onshore - Sydney'!M335)),VALUE(MID('Onshore - Sydney'!M335,SEARCH("rata-rata:",'Onshore - Sydney'!M335)+11,FIND(";",'Onshore - Sydney'!M335&amp;";",SEARCH("rata-rata:",'Onshore - Sydney'!M335))-SEARCH("rata-rata:",'Onshore - Sydney'!M335)-11)),IF('Onshore - Sydney'!D335="Semester",'Onshore - Sydney'!E335*2,IF('Onshore - Sydney'!D335="Trimester",'Onshore - Sydney'!E335*3,IF('Onshore - Sydney'!D335="Term",'Onshore - Sydney'!E335*4,IF('Onshore - Sydney'!D335="Unit",'Onshore - Sydney'!E335*8,""))))))</f>
        <v>9600</v>
      </c>
      <c r="L872" s="0" t="n">
        <f aca="false">IF(AND(ISNUMBER('Onshore - Sydney'!E335),ISNUMBER(K872),ISNUMBER('Onshore - Sydney'!F335),ISNUMBER('Onshore - Sydney'!G335),OR('Onshore - Sydney'!F335&lt;&gt;0,ISNUMBER(SEARCH("Material 0 terverifikasi",'Onshore - Sydney'!M335))),OR('Onshore - Sydney'!G335&lt;&gt;0,ISNUMBER(SEARCH("Enrolment 0 terverifikasi",'Onshore - Sydney'!M335)))),1,0)</f>
        <v>1</v>
      </c>
      <c r="M872" s="0" t="n">
        <f aca="false">IF(OR('Onshore - Sydney'!E335="",ISNUMBER(SEARCH("BSB80120",'Onshore - Sydney'!B335&amp;'Onshore - Sydney'!M335)),ISNUMBER(SEARCH("Management (Learning)",'Onshore - Sydney'!B335))),2,IF(ISNUMBER(SEARCH("CEK:",'Onshore - Sydney'!M335)),1,0))</f>
        <v>0</v>
      </c>
    </row>
    <row r="873" customFormat="false" ht="28.35" hidden="false" customHeight="false" outlineLevel="0" collapsed="false">
      <c r="A873" s="63" t="s">
        <v>3533</v>
      </c>
      <c r="B873" s="64" t="s">
        <v>3990</v>
      </c>
      <c r="C873" s="63" t="s">
        <v>41</v>
      </c>
      <c r="D873" s="64" t="str">
        <f aca="false">TRIM(LEFT('Onshore - Sydney'!A126,FIND(CHAR(10),'Onshore - Sydney'!A126&amp;CHAR(10))-1))</f>
        <v>Alpha College of Australia (ACA)</v>
      </c>
      <c r="E873" s="63" t="str">
        <f aca="false">'Onshore - Sydney'!C128&amp;""</f>
        <v>1 year</v>
      </c>
      <c r="F873" s="63" t="str">
        <f aca="false">IF('Onshore - Sydney'!D128="","Belum tercatat",'Onshore - Sydney'!D128)</f>
        <v>Term</v>
      </c>
      <c r="G873" s="65" t="n">
        <f aca="false">IF('Onshore - Sydney'!E128="","-",'Onshore - Sydney'!E128)</f>
        <v>2500</v>
      </c>
      <c r="H873" s="63" t="n">
        <f aca="false">IF(ISNUMBER(K873),COUNTIFS($J$6:$J$1916,J873,$K$6:$K$1916,"&lt;"&amp;K873)+1,"-")</f>
        <v>8</v>
      </c>
      <c r="I873" s="64" t="str">
        <f aca="false">IF('Onshore - Sydney'!E128="","Harga belum tersedia - hubungi konsultan TEG",IF(M873=2,"Saat ini tidak menerima pendaftaran siswa internasional baru",IF(M873=1,"Harga perlu dikonfirmasi ke sekolah"&amp;IF(""="","","; "&amp;""),"")))</f>
        <v/>
      </c>
      <c r="J873" s="0" t="s">
        <v>4055</v>
      </c>
      <c r="K873" s="0" t="n">
        <f aca="false">IF(M873=2,"",IF(ISNUMBER(SEARCH("rata-rata:",'Onshore - Sydney'!M128)),VALUE(MID('Onshore - Sydney'!M128,SEARCH("rata-rata:",'Onshore - Sydney'!M128)+11,FIND(";",'Onshore - Sydney'!M128&amp;";",SEARCH("rata-rata:",'Onshore - Sydney'!M128))-SEARCH("rata-rata:",'Onshore - Sydney'!M128)-11)),IF('Onshore - Sydney'!D128="Semester",'Onshore - Sydney'!E128*2,IF('Onshore - Sydney'!D128="Trimester",'Onshore - Sydney'!E128*3,IF('Onshore - Sydney'!D128="Term",'Onshore - Sydney'!E128*4,IF('Onshore - Sydney'!D128="Unit",'Onshore - Sydney'!E128*8,""))))))</f>
        <v>10000</v>
      </c>
      <c r="L873" s="0" t="n">
        <f aca="false">IF(AND(ISNUMBER('Onshore - Sydney'!E128),ISNUMBER(K873),ISNUMBER('Onshore - Sydney'!F128),ISNUMBER('Onshore - Sydney'!G128),OR('Onshore - Sydney'!F128&lt;&gt;0,ISNUMBER(SEARCH("Material 0 terverifikasi",'Onshore - Sydney'!M128))),OR('Onshore - Sydney'!G128&lt;&gt;0,ISNUMBER(SEARCH("Enrolment 0 terverifikasi",'Onshore - Sydney'!M128)))),1,0)</f>
        <v>1</v>
      </c>
      <c r="M873" s="0" t="n">
        <f aca="false">IF(OR('Onshore - Sydney'!E128="",ISNUMBER(SEARCH("BSB80120",'Onshore - Sydney'!B128&amp;'Onshore - Sydney'!M128)),ISNUMBER(SEARCH("Management (Learning)",'Onshore - Sydney'!B128))),2,IF(ISNUMBER(SEARCH("CEK:",'Onshore - Sydney'!M128)),1,0))</f>
        <v>0</v>
      </c>
    </row>
    <row r="874" customFormat="false" ht="28.35" hidden="false" customHeight="false" outlineLevel="0" collapsed="false">
      <c r="A874" s="63" t="s">
        <v>3533</v>
      </c>
      <c r="B874" s="64" t="s">
        <v>3990</v>
      </c>
      <c r="C874" s="63" t="s">
        <v>41</v>
      </c>
      <c r="D874" s="64" t="str">
        <f aca="false">TRIM(LEFT('Onshore - Sydney'!A472,FIND(CHAR(10),'Onshore - Sydney'!A472&amp;CHAR(10))-1))</f>
        <v>George Brown College</v>
      </c>
      <c r="E874" s="63" t="str">
        <f aca="false">'Onshore - Sydney'!C487&amp;""</f>
        <v>4 years</v>
      </c>
      <c r="F874" s="63" t="str">
        <f aca="false">IF('Onshore - Sydney'!D487="","Belum tercatat",'Onshore - Sydney'!D487)</f>
        <v>Term</v>
      </c>
      <c r="G874" s="65" t="n">
        <f aca="false">IF('Onshore - Sydney'!E487="","-",'Onshore - Sydney'!E487)</f>
        <v>2500</v>
      </c>
      <c r="H874" s="63" t="n">
        <f aca="false">IF(ISNUMBER(K874),COUNTIFS($J$6:$J$1916,J874,$K$6:$K$1916,"&lt;"&amp;K874)+1,"-")</f>
        <v>8</v>
      </c>
      <c r="I874" s="64" t="str">
        <f aca="false">IF('Onshore - Sydney'!E487="","Harga belum tersedia - hubungi konsultan TEG",IF(M874=2,"Saat ini tidak menerima pendaftaran siswa internasional baru",IF(M874=1,"Harga perlu dikonfirmasi ke sekolah"&amp;IF(""="","","; "&amp;""),"")))</f>
        <v/>
      </c>
      <c r="J874" s="0" t="s">
        <v>4055</v>
      </c>
      <c r="K874" s="0" t="n">
        <f aca="false">IF(M874=2,"",IF(ISNUMBER(SEARCH("rata-rata:",'Onshore - Sydney'!M487)),VALUE(MID('Onshore - Sydney'!M487,SEARCH("rata-rata:",'Onshore - Sydney'!M487)+11,FIND(";",'Onshore - Sydney'!M487&amp;";",SEARCH("rata-rata:",'Onshore - Sydney'!M487))-SEARCH("rata-rata:",'Onshore - Sydney'!M487)-11)),IF('Onshore - Sydney'!D487="Semester",'Onshore - Sydney'!E487*2,IF('Onshore - Sydney'!D487="Trimester",'Onshore - Sydney'!E487*3,IF('Onshore - Sydney'!D487="Term",'Onshore - Sydney'!E487*4,IF('Onshore - Sydney'!D487="Unit",'Onshore - Sydney'!E487*8,""))))))</f>
        <v>10000</v>
      </c>
      <c r="L874" s="0" t="n">
        <f aca="false">IF(AND(ISNUMBER('Onshore - Sydney'!E487),ISNUMBER(K874),ISNUMBER('Onshore - Sydney'!F487),ISNUMBER('Onshore - Sydney'!G487),OR('Onshore - Sydney'!F487&lt;&gt;0,ISNUMBER(SEARCH("Material 0 terverifikasi",'Onshore - Sydney'!M487))),OR('Onshore - Sydney'!G487&lt;&gt;0,ISNUMBER(SEARCH("Enrolment 0 terverifikasi",'Onshore - Sydney'!M487)))),1,0)</f>
        <v>1</v>
      </c>
      <c r="M874" s="0" t="n">
        <f aca="false">IF(OR('Onshore - Sydney'!E487="",ISNUMBER(SEARCH("BSB80120",'Onshore - Sydney'!B487&amp;'Onshore - Sydney'!M487)),ISNUMBER(SEARCH("Management (Learning)",'Onshore - Sydney'!B487))),2,IF(ISNUMBER(SEARCH("CEK:",'Onshore - Sydney'!M487)),1,0))</f>
        <v>0</v>
      </c>
    </row>
    <row r="875" customFormat="false" ht="28.35" hidden="false" customHeight="false" outlineLevel="0" collapsed="false">
      <c r="A875" s="63" t="s">
        <v>3533</v>
      </c>
      <c r="B875" s="64" t="s">
        <v>3990</v>
      </c>
      <c r="C875" s="63" t="s">
        <v>41</v>
      </c>
      <c r="D875" s="64" t="str">
        <f aca="false">TRIM(LEFT('Onshore - Sydney'!A490,FIND(CHAR(10),'Onshore - Sydney'!A490&amp;CHAR(10))-1))</f>
        <v>Global College of Management</v>
      </c>
      <c r="E875" s="63" t="str">
        <f aca="false">'Onshore - Sydney'!C493&amp;""</f>
        <v>2 years</v>
      </c>
      <c r="F875" s="63" t="str">
        <f aca="false">IF('Onshore - Sydney'!D493="","Belum tercatat",'Onshore - Sydney'!D493)</f>
        <v>Term</v>
      </c>
      <c r="G875" s="65" t="n">
        <f aca="false">IF('Onshore - Sydney'!E493="","-",'Onshore - Sydney'!E493)</f>
        <v>2500</v>
      </c>
      <c r="H875" s="63" t="n">
        <f aca="false">IF(ISNUMBER(K875),COUNTIFS($J$6:$J$1916,J875,$K$6:$K$1916,"&lt;"&amp;K875)+1,"-")</f>
        <v>8</v>
      </c>
      <c r="I875" s="64" t="str">
        <f aca="false">IF('Onshore - Sydney'!E493="","Harga belum tersedia - hubungi konsultan TEG",IF(M875=2,"Saat ini tidak menerima pendaftaran siswa internasional baru",IF(M875=1,"Program perlu dikonfirmasi ketersediaannya"&amp;IF(""="","","; "&amp;""),"")))</f>
        <v>Program perlu dikonfirmasi ketersediaannya</v>
      </c>
      <c r="J875" s="0" t="s">
        <v>4055</v>
      </c>
      <c r="K875" s="0" t="n">
        <f aca="false">IF(M875=2,"",IF(ISNUMBER(SEARCH("rata-rata:",'Onshore - Sydney'!M493)),VALUE(MID('Onshore - Sydney'!M493,SEARCH("rata-rata:",'Onshore - Sydney'!M493)+11,FIND(";",'Onshore - Sydney'!M493&amp;";",SEARCH("rata-rata:",'Onshore - Sydney'!M493))-SEARCH("rata-rata:",'Onshore - Sydney'!M493)-11)),IF('Onshore - Sydney'!D493="Semester",'Onshore - Sydney'!E493*2,IF('Onshore - Sydney'!D493="Trimester",'Onshore - Sydney'!E493*3,IF('Onshore - Sydney'!D493="Term",'Onshore - Sydney'!E493*4,IF('Onshore - Sydney'!D493="Unit",'Onshore - Sydney'!E493*8,""))))))</f>
        <v>10000</v>
      </c>
      <c r="L875" s="0" t="n">
        <f aca="false">IF(AND(ISNUMBER('Onshore - Sydney'!E493),ISNUMBER(K875),ISNUMBER('Onshore - Sydney'!F493),ISNUMBER('Onshore - Sydney'!G493),OR('Onshore - Sydney'!F493&lt;&gt;0,ISNUMBER(SEARCH("Material 0 terverifikasi",'Onshore - Sydney'!M493))),OR('Onshore - Sydney'!G493&lt;&gt;0,ISNUMBER(SEARCH("Enrolment 0 terverifikasi",'Onshore - Sydney'!M493)))),1,0)</f>
        <v>1</v>
      </c>
      <c r="M875" s="0" t="n">
        <f aca="false">IF(OR('Onshore - Sydney'!E493="",ISNUMBER(SEARCH("BSB80120",'Onshore - Sydney'!B493&amp;'Onshore - Sydney'!M493)),ISNUMBER(SEARCH("Management (Learning)",'Onshore - Sydney'!B493))),2,IF(ISNUMBER(SEARCH("CEK:",'Onshore - Sydney'!M493)),1,0))</f>
        <v>1</v>
      </c>
    </row>
    <row r="876" customFormat="false" ht="28.35" hidden="false" customHeight="false" outlineLevel="0" collapsed="false">
      <c r="A876" s="63" t="s">
        <v>3533</v>
      </c>
      <c r="B876" s="64" t="s">
        <v>3990</v>
      </c>
      <c r="C876" s="63" t="s">
        <v>41</v>
      </c>
      <c r="D876" s="64" t="str">
        <f aca="false">TRIM(LEFT('Onshore - Sydney'!A1237,FIND(CHAR(10),'Onshore - Sydney'!A1237&amp;CHAR(10))-1))</f>
        <v>York Business Institute</v>
      </c>
      <c r="E876" s="63" t="str">
        <f aca="false">'Onshore - Sydney'!C1251&amp;""</f>
        <v>3 years</v>
      </c>
      <c r="F876" s="63" t="str">
        <f aca="false">IF('Onshore - Sydney'!D1251="","Belum tercatat",'Onshore - Sydney'!D1251)</f>
        <v>Term</v>
      </c>
      <c r="G876" s="65" t="n">
        <f aca="false">IF('Onshore - Sydney'!E1251="","-",'Onshore - Sydney'!E1251)</f>
        <v>2500</v>
      </c>
      <c r="H876" s="63" t="n">
        <f aca="false">IF(ISNUMBER(K876),COUNTIFS($J$6:$J$1916,J876,$K$6:$K$1916,"&lt;"&amp;K876)+1,"-")</f>
        <v>8</v>
      </c>
      <c r="I876" s="64" t="str">
        <f aca="false">IF('Onshore - Sydney'!E1251="","Harga belum tersedia - hubungi konsultan TEG",IF(M876=2,"Saat ini tidak menerima pendaftaran siswa internasional baru",IF(M876=1,"Harga perlu dikonfirmasi ke sekolah"&amp;IF(""="","","; "&amp;""),"")))</f>
        <v>Harga perlu dikonfirmasi ke sekolah</v>
      </c>
      <c r="J876" s="0" t="s">
        <v>4055</v>
      </c>
      <c r="K876" s="0" t="n">
        <f aca="false">IF(M876=2,"",IF(ISNUMBER(SEARCH("rata-rata:",'Onshore - Sydney'!M1251)),VALUE(MID('Onshore - Sydney'!M1251,SEARCH("rata-rata:",'Onshore - Sydney'!M1251)+11,FIND(";",'Onshore - Sydney'!M1251&amp;";",SEARCH("rata-rata:",'Onshore - Sydney'!M1251))-SEARCH("rata-rata:",'Onshore - Sydney'!M1251)-11)),IF('Onshore - Sydney'!D1251="Semester",'Onshore - Sydney'!E1251*2,IF('Onshore - Sydney'!D1251="Trimester",'Onshore - Sydney'!E1251*3,IF('Onshore - Sydney'!D1251="Term",'Onshore - Sydney'!E1251*4,IF('Onshore - Sydney'!D1251="Unit",'Onshore - Sydney'!E1251*8,""))))))</f>
        <v>10000</v>
      </c>
      <c r="L876" s="0" t="n">
        <f aca="false">IF(AND(ISNUMBER('Onshore - Sydney'!E1251),ISNUMBER(K876),ISNUMBER('Onshore - Sydney'!F1251),ISNUMBER('Onshore - Sydney'!G1251),OR('Onshore - Sydney'!F1251&lt;&gt;0,ISNUMBER(SEARCH("Material 0 terverifikasi",'Onshore - Sydney'!M1251))),OR('Onshore - Sydney'!G1251&lt;&gt;0,ISNUMBER(SEARCH("Enrolment 0 terverifikasi",'Onshore - Sydney'!M1251)))),1,0)</f>
        <v>1</v>
      </c>
      <c r="M876" s="0" t="n">
        <f aca="false">IF(OR('Onshore - Sydney'!E1251="",ISNUMBER(SEARCH("BSB80120",'Onshore - Sydney'!B1251&amp;'Onshore - Sydney'!M1251)),ISNUMBER(SEARCH("Management (Learning)",'Onshore - Sydney'!B1251))),2,IF(ISNUMBER(SEARCH("CEK:",'Onshore - Sydney'!M1251)),1,0))</f>
        <v>1</v>
      </c>
    </row>
    <row r="877" customFormat="false" ht="28.35" hidden="false" customHeight="false" outlineLevel="0" collapsed="false">
      <c r="A877" s="63" t="s">
        <v>3533</v>
      </c>
      <c r="B877" s="64" t="s">
        <v>3990</v>
      </c>
      <c r="C877" s="63" t="s">
        <v>41</v>
      </c>
      <c r="D877" s="64" t="str">
        <f aca="false">TRIM(LEFT('Onshore - Sydney'!A364,FIND(CHAR(10),'Onshore - Sydney'!A364&amp;CHAR(10))-1))</f>
        <v>Be Qualified</v>
      </c>
      <c r="E877" s="63" t="str">
        <f aca="false">'Onshore - Sydney'!C369&amp;""</f>
        <v>1 year</v>
      </c>
      <c r="F877" s="63" t="str">
        <f aca="false">IF('Onshore - Sydney'!D369="","Belum tercatat",'Onshore - Sydney'!D369)</f>
        <v>Term</v>
      </c>
      <c r="G877" s="65" t="n">
        <f aca="false">IF('Onshore - Sydney'!E369="","-",'Onshore - Sydney'!E369)</f>
        <v>2650</v>
      </c>
      <c r="H877" s="63" t="n">
        <f aca="false">IF(ISNUMBER(K877),COUNTIFS($J$6:$J$1916,J877,$K$6:$K$1916,"&lt;"&amp;K877)+1,"-")</f>
        <v>12</v>
      </c>
      <c r="I877" s="64" t="str">
        <f aca="false">IF('Onshore - Sydney'!E369="","Harga belum tersedia - hubungi konsultan TEG",IF(M877=2,"Saat ini tidak menerima pendaftaran siswa internasional baru",IF(M877=1,"Harga perlu dikonfirmasi ke sekolah"&amp;IF(""="","","; "&amp;""),"")))</f>
        <v/>
      </c>
      <c r="J877" s="0" t="s">
        <v>4055</v>
      </c>
      <c r="K877" s="0" t="n">
        <f aca="false">IF(M877=2,"",IF(ISNUMBER(SEARCH("rata-rata:",'Onshore - Sydney'!M369)),VALUE(MID('Onshore - Sydney'!M369,SEARCH("rata-rata:",'Onshore - Sydney'!M369)+11,FIND(";",'Onshore - Sydney'!M369&amp;";",SEARCH("rata-rata:",'Onshore - Sydney'!M369))-SEARCH("rata-rata:",'Onshore - Sydney'!M369)-11)),IF('Onshore - Sydney'!D369="Semester",'Onshore - Sydney'!E369*2,IF('Onshore - Sydney'!D369="Trimester",'Onshore - Sydney'!E369*3,IF('Onshore - Sydney'!D369="Term",'Onshore - Sydney'!E369*4,IF('Onshore - Sydney'!D369="Unit",'Onshore - Sydney'!E369*8,""))))))</f>
        <v>10600</v>
      </c>
      <c r="L877" s="0" t="n">
        <f aca="false">IF(AND(ISNUMBER('Onshore - Sydney'!E369),ISNUMBER(K877),ISNUMBER('Onshore - Sydney'!F369),ISNUMBER('Onshore - Sydney'!G369),OR('Onshore - Sydney'!F369&lt;&gt;0,ISNUMBER(SEARCH("Material 0 terverifikasi",'Onshore - Sydney'!M369))),OR('Onshore - Sydney'!G369&lt;&gt;0,ISNUMBER(SEARCH("Enrolment 0 terverifikasi",'Onshore - Sydney'!M369)))),1,0)</f>
        <v>0</v>
      </c>
      <c r="M877" s="0" t="n">
        <f aca="false">IF(OR('Onshore - Sydney'!E369="",ISNUMBER(SEARCH("BSB80120",'Onshore - Sydney'!B369&amp;'Onshore - Sydney'!M369)),ISNUMBER(SEARCH("Management (Learning)",'Onshore - Sydney'!B369))),2,IF(ISNUMBER(SEARCH("CEK:",'Onshore - Sydney'!M369)),1,0))</f>
        <v>0</v>
      </c>
    </row>
    <row r="878" customFormat="false" ht="28.35" hidden="false" customHeight="false" outlineLevel="0" collapsed="false">
      <c r="A878" s="63" t="s">
        <v>3533</v>
      </c>
      <c r="B878" s="64" t="s">
        <v>3990</v>
      </c>
      <c r="C878" s="63" t="s">
        <v>41</v>
      </c>
      <c r="D878" s="64" t="str">
        <f aca="false">TRIM(LEFT('Onshore - Sydney'!A796,FIND(CHAR(10),'Onshore - Sydney'!A796&amp;CHAR(10))-1))</f>
        <v>TAFE NSW</v>
      </c>
      <c r="E878" s="63" t="str">
        <f aca="false">'Onshore - Sydney'!C797&amp;""</f>
        <v>2 years</v>
      </c>
      <c r="F878" s="63" t="str">
        <f aca="false">IF('Onshore - Sydney'!D797="","Belum tercatat",'Onshore - Sydney'!D797)</f>
        <v>Term</v>
      </c>
      <c r="G878" s="65" t="n">
        <f aca="false">IF('Onshore - Sydney'!E797="","-",'Onshore - Sydney'!E797)</f>
        <v>3500</v>
      </c>
      <c r="H878" s="63" t="n">
        <f aca="false">IF(ISNUMBER(K878),COUNTIFS($J$6:$J$1916,J878,$K$6:$K$1916,"&lt;"&amp;K878)+1,"-")</f>
        <v>13</v>
      </c>
      <c r="I878" s="64" t="str">
        <f aca="false">IF('Onshore - Sydney'!E797="","Harga belum tersedia - hubungi konsultan TEG",IF(M878=2,"Saat ini tidak menerima pendaftaran siswa internasional baru",IF(M878=1,"Harga perlu dikonfirmasi ke sekolah"&amp;IF(""="","","; "&amp;""),"")))</f>
        <v/>
      </c>
      <c r="J878" s="0" t="s">
        <v>4055</v>
      </c>
      <c r="K878" s="0" t="n">
        <f aca="false">IF(M878=2,"",IF(ISNUMBER(SEARCH("rata-rata:",'Onshore - Sydney'!M797)),VALUE(MID('Onshore - Sydney'!M797,SEARCH("rata-rata:",'Onshore - Sydney'!M797)+11,FIND(";",'Onshore - Sydney'!M797&amp;";",SEARCH("rata-rata:",'Onshore - Sydney'!M797))-SEARCH("rata-rata:",'Onshore - Sydney'!M797)-11)),IF('Onshore - Sydney'!D797="Semester",'Onshore - Sydney'!E797*2,IF('Onshore - Sydney'!D797="Trimester",'Onshore - Sydney'!E797*3,IF('Onshore - Sydney'!D797="Term",'Onshore - Sydney'!E797*4,IF('Onshore - Sydney'!D797="Unit",'Onshore - Sydney'!E797*8,""))))))</f>
        <v>14000</v>
      </c>
      <c r="L878" s="0" t="n">
        <f aca="false">IF(AND(ISNUMBER('Onshore - Sydney'!E797),ISNUMBER(K878),ISNUMBER('Onshore - Sydney'!F797),ISNUMBER('Onshore - Sydney'!G797),OR('Onshore - Sydney'!F797&lt;&gt;0,ISNUMBER(SEARCH("Material 0 terverifikasi",'Onshore - Sydney'!M797))),OR('Onshore - Sydney'!G797&lt;&gt;0,ISNUMBER(SEARCH("Enrolment 0 terverifikasi",'Onshore - Sydney'!M797)))),1,0)</f>
        <v>0</v>
      </c>
      <c r="M878" s="0" t="n">
        <f aca="false">IF(OR('Onshore - Sydney'!E797="",ISNUMBER(SEARCH("BSB80120",'Onshore - Sydney'!B797&amp;'Onshore - Sydney'!M797)),ISNUMBER(SEARCH("Management (Learning)",'Onshore - Sydney'!B797))),2,IF(ISNUMBER(SEARCH("CEK:",'Onshore - Sydney'!M797)),1,0))</f>
        <v>0</v>
      </c>
    </row>
    <row r="879" customFormat="false" ht="15" hidden="false" customHeight="false" outlineLevel="0" collapsed="false">
      <c r="A879" s="61" t="s">
        <v>4056</v>
      </c>
      <c r="B879" s="62"/>
      <c r="C879" s="62"/>
      <c r="D879" s="62"/>
      <c r="E879" s="62"/>
      <c r="F879" s="62"/>
      <c r="G879" s="62"/>
      <c r="H879" s="62"/>
      <c r="I879" s="62"/>
    </row>
    <row r="880" customFormat="false" ht="28.35" hidden="false" customHeight="false" outlineLevel="0" collapsed="false">
      <c r="A880" s="63" t="s">
        <v>3533</v>
      </c>
      <c r="B880" s="64" t="s">
        <v>3990</v>
      </c>
      <c r="C880" s="63" t="s">
        <v>42</v>
      </c>
      <c r="D880" s="64" t="str">
        <f aca="false">TRIM(LEFT('Onshore - Sydney'!A672,FIND(CHAR(10),'Onshore - Sydney'!A672&amp;CHAR(10))-1))</f>
        <v>New Era Institute</v>
      </c>
      <c r="E880" s="63" t="str">
        <f aca="false">'Onshore - Sydney'!C674&amp;""</f>
        <v>2 years</v>
      </c>
      <c r="F880" s="63" t="str">
        <f aca="false">IF('Onshore - Sydney'!D674="","Belum tercatat",'Onshore - Sydney'!D674)</f>
        <v>Term</v>
      </c>
      <c r="G880" s="65" t="n">
        <f aca="false">IF('Onshore - Sydney'!E674="","-",'Onshore - Sydney'!E674)</f>
        <v>1930</v>
      </c>
      <c r="H880" s="63" t="n">
        <f aca="false">IF(ISNUMBER(K880),COUNTIFS($J$6:$J$1916,J880,$K$6:$K$1916,"&lt;"&amp;K880)+1,"-")</f>
        <v>1</v>
      </c>
      <c r="I880" s="64" t="str">
        <f aca="false">IF('Onshore - Sydney'!E674="","Harga belum tersedia - hubungi konsultan TEG",IF(M880=2,"Saat ini tidak menerima pendaftaran siswa internasional baru",IF(M880=1,"Harga perlu dikonfirmasi ke sekolah"&amp;IF(""="","","; "&amp;""),"")))</f>
        <v/>
      </c>
      <c r="J880" s="0" t="s">
        <v>4057</v>
      </c>
      <c r="K880" s="0" t="n">
        <f aca="false">IF(M880=2,"",IF(ISNUMBER(SEARCH("rata-rata:",'Onshore - Sydney'!M674)),VALUE(MID('Onshore - Sydney'!M674,SEARCH("rata-rata:",'Onshore - Sydney'!M674)+11,FIND(";",'Onshore - Sydney'!M674&amp;";",SEARCH("rata-rata:",'Onshore - Sydney'!M674))-SEARCH("rata-rata:",'Onshore - Sydney'!M674)-11)),IF('Onshore - Sydney'!D674="Semester",'Onshore - Sydney'!E674*2,IF('Onshore - Sydney'!D674="Trimester",'Onshore - Sydney'!E674*3,IF('Onshore - Sydney'!D674="Term",'Onshore - Sydney'!E674*4,IF('Onshore - Sydney'!D674="Unit",'Onshore - Sydney'!E674*8,""))))))</f>
        <v>7720</v>
      </c>
      <c r="L880" s="0" t="n">
        <f aca="false">IF(AND(ISNUMBER('Onshore - Sydney'!E674),ISNUMBER(K880),ISNUMBER('Onshore - Sydney'!F674),ISNUMBER('Onshore - Sydney'!G674),OR('Onshore - Sydney'!F674&lt;&gt;0,ISNUMBER(SEARCH("Material 0 terverifikasi",'Onshore - Sydney'!M674))),OR('Onshore - Sydney'!G674&lt;&gt;0,ISNUMBER(SEARCH("Enrolment 0 terverifikasi",'Onshore - Sydney'!M674)))),1,0)</f>
        <v>1</v>
      </c>
      <c r="M880" s="0" t="n">
        <f aca="false">IF(OR('Onshore - Sydney'!E674="",ISNUMBER(SEARCH("BSB80120",'Onshore - Sydney'!B674&amp;'Onshore - Sydney'!M674)),ISNUMBER(SEARCH("Management (Learning)",'Onshore - Sydney'!B674))),2,IF(ISNUMBER(SEARCH("CEK:",'Onshore - Sydney'!M674)),1,0))</f>
        <v>0</v>
      </c>
    </row>
    <row r="881" customFormat="false" ht="28.35" hidden="false" customHeight="false" outlineLevel="0" collapsed="false">
      <c r="A881" s="63" t="s">
        <v>3533</v>
      </c>
      <c r="B881" s="64" t="s">
        <v>3990</v>
      </c>
      <c r="C881" s="63" t="s">
        <v>42</v>
      </c>
      <c r="D881" s="64" t="str">
        <f aca="false">TRIM(LEFT('Onshore - Sydney'!A678,FIND(CHAR(10),'Onshore - Sydney'!A678&amp;CHAR(10))-1))</f>
        <v>Novus College</v>
      </c>
      <c r="E881" s="63" t="str">
        <f aca="false">'Onshore - Sydney'!C684&amp;""</f>
        <v>4 years</v>
      </c>
      <c r="F881" s="63" t="str">
        <f aca="false">IF('Onshore - Sydney'!D684="","Belum tercatat",'Onshore - Sydney'!D684)</f>
        <v>Term</v>
      </c>
      <c r="G881" s="65" t="n">
        <f aca="false">IF('Onshore - Sydney'!E684="","-",'Onshore - Sydney'!E684)</f>
        <v>2100</v>
      </c>
      <c r="H881" s="63" t="n">
        <f aca="false">IF(ISNUMBER(K881),COUNTIFS($J$6:$J$1916,J881,$K$6:$K$1916,"&lt;"&amp;K881)+1,"-")</f>
        <v>2</v>
      </c>
      <c r="I881" s="64" t="str">
        <f aca="false">IF('Onshore - Sydney'!E684="","Harga belum tersedia - hubungi konsultan TEG",IF(M881=2,"Saat ini tidak menerima pendaftaran siswa internasional baru",IF(M881=1,"Program perlu dikonfirmasi ketersediaannya"&amp;IF(""="","","; "&amp;""),"")))</f>
        <v>Program perlu dikonfirmasi ketersediaannya</v>
      </c>
      <c r="J881" s="0" t="s">
        <v>4057</v>
      </c>
      <c r="K881" s="0" t="n">
        <f aca="false">IF(M881=2,"",IF(ISNUMBER(SEARCH("rata-rata:",'Onshore - Sydney'!M684)),VALUE(MID('Onshore - Sydney'!M684,SEARCH("rata-rata:",'Onshore - Sydney'!M684)+11,FIND(";",'Onshore - Sydney'!M684&amp;";",SEARCH("rata-rata:",'Onshore - Sydney'!M684))-SEARCH("rata-rata:",'Onshore - Sydney'!M684)-11)),IF('Onshore - Sydney'!D684="Semester",'Onshore - Sydney'!E684*2,IF('Onshore - Sydney'!D684="Trimester",'Onshore - Sydney'!E684*3,IF('Onshore - Sydney'!D684="Term",'Onshore - Sydney'!E684*4,IF('Onshore - Sydney'!D684="Unit",'Onshore - Sydney'!E684*8,""))))))</f>
        <v>8400</v>
      </c>
      <c r="L881" s="0" t="n">
        <f aca="false">IF(AND(ISNUMBER('Onshore - Sydney'!E684),ISNUMBER(K881),ISNUMBER('Onshore - Sydney'!F684),ISNUMBER('Onshore - Sydney'!G684),OR('Onshore - Sydney'!F684&lt;&gt;0,ISNUMBER(SEARCH("Material 0 terverifikasi",'Onshore - Sydney'!M684))),OR('Onshore - Sydney'!G684&lt;&gt;0,ISNUMBER(SEARCH("Enrolment 0 terverifikasi",'Onshore - Sydney'!M684)))),1,0)</f>
        <v>1</v>
      </c>
      <c r="M881" s="0" t="n">
        <f aca="false">IF(OR('Onshore - Sydney'!E684="",ISNUMBER(SEARCH("BSB80120",'Onshore - Sydney'!B684&amp;'Onshore - Sydney'!M684)),ISNUMBER(SEARCH("Management (Learning)",'Onshore - Sydney'!B684))),2,IF(ISNUMBER(SEARCH("CEK:",'Onshore - Sydney'!M684)),1,0))</f>
        <v>1</v>
      </c>
    </row>
    <row r="882" customFormat="false" ht="28.35" hidden="false" customHeight="false" outlineLevel="0" collapsed="false">
      <c r="A882" s="63" t="s">
        <v>3533</v>
      </c>
      <c r="B882" s="64" t="s">
        <v>3990</v>
      </c>
      <c r="C882" s="63" t="s">
        <v>42</v>
      </c>
      <c r="D882" s="64" t="str">
        <f aca="false">TRIM(LEFT('Onshore - Sydney'!A790,FIND(CHAR(10),'Onshore - Sydney'!A790&amp;CHAR(10))-1))</f>
        <v>Sydney Metropolitan International College</v>
      </c>
      <c r="E882" s="63" t="str">
        <f aca="false">'Onshore - Sydney'!C795&amp;""</f>
        <v>2 years</v>
      </c>
      <c r="F882" s="63" t="str">
        <f aca="false">IF('Onshore - Sydney'!D795="","Belum tercatat",'Onshore - Sydney'!D795)</f>
        <v>Term</v>
      </c>
      <c r="G882" s="65" t="n">
        <f aca="false">IF('Onshore - Sydney'!E795="","-",'Onshore - Sydney'!E795)</f>
        <v>2100</v>
      </c>
      <c r="H882" s="63" t="n">
        <f aca="false">IF(ISNUMBER(K882),COUNTIFS($J$6:$J$1916,J882,$K$6:$K$1916,"&lt;"&amp;K882)+1,"-")</f>
        <v>2</v>
      </c>
      <c r="I882" s="64" t="str">
        <f aca="false">IF('Onshore - Sydney'!E795="","Harga belum tersedia - hubungi konsultan TEG",IF(M882=2,"Saat ini tidak menerima pendaftaran siswa internasional baru",IF(M882=1,"Harga perlu dikonfirmasi ke sekolah"&amp;IF(""="","","; "&amp;""),"")))</f>
        <v/>
      </c>
      <c r="J882" s="0" t="s">
        <v>4057</v>
      </c>
      <c r="K882" s="0" t="n">
        <f aca="false">IF(M882=2,"",IF(ISNUMBER(SEARCH("rata-rata:",'Onshore - Sydney'!M795)),VALUE(MID('Onshore - Sydney'!M795,SEARCH("rata-rata:",'Onshore - Sydney'!M795)+11,FIND(";",'Onshore - Sydney'!M795&amp;";",SEARCH("rata-rata:",'Onshore - Sydney'!M795))-SEARCH("rata-rata:",'Onshore - Sydney'!M795)-11)),IF('Onshore - Sydney'!D795="Semester",'Onshore - Sydney'!E795*2,IF('Onshore - Sydney'!D795="Trimester",'Onshore - Sydney'!E795*3,IF('Onshore - Sydney'!D795="Term",'Onshore - Sydney'!E795*4,IF('Onshore - Sydney'!D795="Unit",'Onshore - Sydney'!E795*8,""))))))</f>
        <v>8400</v>
      </c>
      <c r="L882" s="0" t="n">
        <f aca="false">IF(AND(ISNUMBER('Onshore - Sydney'!E795),ISNUMBER(K882),ISNUMBER('Onshore - Sydney'!F795),ISNUMBER('Onshore - Sydney'!G795),OR('Onshore - Sydney'!F795&lt;&gt;0,ISNUMBER(SEARCH("Material 0 terverifikasi",'Onshore - Sydney'!M795))),OR('Onshore - Sydney'!G795&lt;&gt;0,ISNUMBER(SEARCH("Enrolment 0 terverifikasi",'Onshore - Sydney'!M795)))),1,0)</f>
        <v>1</v>
      </c>
      <c r="M882" s="0" t="n">
        <f aca="false">IF(OR('Onshore - Sydney'!E795="",ISNUMBER(SEARCH("BSB80120",'Onshore - Sydney'!B795&amp;'Onshore - Sydney'!M795)),ISNUMBER(SEARCH("Management (Learning)",'Onshore - Sydney'!B795))),2,IF(ISNUMBER(SEARCH("CEK:",'Onshore - Sydney'!M795)),1,0))</f>
        <v>0</v>
      </c>
    </row>
    <row r="883" customFormat="false" ht="28.35" hidden="false" customHeight="false" outlineLevel="0" collapsed="false">
      <c r="A883" s="63" t="s">
        <v>3533</v>
      </c>
      <c r="B883" s="64" t="s">
        <v>3990</v>
      </c>
      <c r="C883" s="63" t="s">
        <v>42</v>
      </c>
      <c r="D883" s="64" t="str">
        <f aca="false">TRIM(LEFT('Onshore - Sydney'!A699,FIND(CHAR(10),'Onshore - Sydney'!A699&amp;CHAR(10))-1))</f>
        <v>NVR Education</v>
      </c>
      <c r="E883" s="63" t="str">
        <f aca="false">'Onshore - Sydney'!C701&amp;""</f>
        <v>2 years</v>
      </c>
      <c r="F883" s="63" t="str">
        <f aca="false">IF('Onshore - Sydney'!D701="","Belum tercatat",'Onshore - Sydney'!D701)</f>
        <v>Term</v>
      </c>
      <c r="G883" s="65" t="n">
        <f aca="false">IF('Onshore - Sydney'!E701="","-",'Onshore - Sydney'!E701)</f>
        <v>2200</v>
      </c>
      <c r="H883" s="63" t="n">
        <f aca="false">IF(ISNUMBER(K883),COUNTIFS($J$6:$J$1916,J883,$K$6:$K$1916,"&lt;"&amp;K883)+1,"-")</f>
        <v>4</v>
      </c>
      <c r="I883" s="64" t="str">
        <f aca="false">IF('Onshore - Sydney'!E701="","Harga belum tersedia - hubungi konsultan TEG",IF(M883=2,"Saat ini tidak menerima pendaftaran siswa internasional baru",IF(M883=1,"Harga perlu dikonfirmasi ke sekolah"&amp;IF(""="","","; "&amp;""),"")))</f>
        <v>Harga perlu dikonfirmasi ke sekolah</v>
      </c>
      <c r="J883" s="0" t="s">
        <v>4057</v>
      </c>
      <c r="K883" s="0" t="n">
        <f aca="false">IF(M883=2,"",IF(ISNUMBER(SEARCH("rata-rata:",'Onshore - Sydney'!M701)),VALUE(MID('Onshore - Sydney'!M701,SEARCH("rata-rata:",'Onshore - Sydney'!M701)+11,FIND(";",'Onshore - Sydney'!M701&amp;";",SEARCH("rata-rata:",'Onshore - Sydney'!M701))-SEARCH("rata-rata:",'Onshore - Sydney'!M701)-11)),IF('Onshore - Sydney'!D701="Semester",'Onshore - Sydney'!E701*2,IF('Onshore - Sydney'!D701="Trimester",'Onshore - Sydney'!E701*3,IF('Onshore - Sydney'!D701="Term",'Onshore - Sydney'!E701*4,IF('Onshore - Sydney'!D701="Unit",'Onshore - Sydney'!E701*8,""))))))</f>
        <v>8800</v>
      </c>
      <c r="L883" s="0" t="n">
        <f aca="false">IF(AND(ISNUMBER('Onshore - Sydney'!E701),ISNUMBER(K883),ISNUMBER('Onshore - Sydney'!F701),ISNUMBER('Onshore - Sydney'!G701),OR('Onshore - Sydney'!F701&lt;&gt;0,ISNUMBER(SEARCH("Material 0 terverifikasi",'Onshore - Sydney'!M701))),OR('Onshore - Sydney'!G701&lt;&gt;0,ISNUMBER(SEARCH("Enrolment 0 terverifikasi",'Onshore - Sydney'!M701)))),1,0)</f>
        <v>1</v>
      </c>
      <c r="M883" s="0" t="n">
        <f aca="false">IF(OR('Onshore - Sydney'!E701="",ISNUMBER(SEARCH("BSB80120",'Onshore - Sydney'!B701&amp;'Onshore - Sydney'!M701)),ISNUMBER(SEARCH("Management (Learning)",'Onshore - Sydney'!B701))),2,IF(ISNUMBER(SEARCH("CEK:",'Onshore - Sydney'!M701)),1,0))</f>
        <v>1</v>
      </c>
    </row>
    <row r="884" customFormat="false" ht="28.35" hidden="false" customHeight="false" outlineLevel="0" collapsed="false">
      <c r="A884" s="63" t="s">
        <v>3533</v>
      </c>
      <c r="B884" s="64" t="s">
        <v>3990</v>
      </c>
      <c r="C884" s="63" t="s">
        <v>42</v>
      </c>
      <c r="D884" s="64" t="str">
        <f aca="false">TRIM(LEFT('Onshore - Sydney'!A1237,FIND(CHAR(10),'Onshore - Sydney'!A1237&amp;CHAR(10))-1))</f>
        <v>York Business Institute</v>
      </c>
      <c r="E884" s="63" t="str">
        <f aca="false">'Onshore - Sydney'!C1254&amp;""</f>
        <v>2 years</v>
      </c>
      <c r="F884" s="63" t="str">
        <f aca="false">IF('Onshore - Sydney'!D1254="","Belum tercatat",'Onshore - Sydney'!D1254)</f>
        <v>Term</v>
      </c>
      <c r="G884" s="65" t="n">
        <f aca="false">IF('Onshore - Sydney'!E1254="","-",'Onshore - Sydney'!E1254)</f>
        <v>2200</v>
      </c>
      <c r="H884" s="63" t="n">
        <f aca="false">IF(ISNUMBER(K884),COUNTIFS($J$6:$J$1916,J884,$K$6:$K$1916,"&lt;"&amp;K884)+1,"-")</f>
        <v>4</v>
      </c>
      <c r="I884" s="64" t="str">
        <f aca="false">IF('Onshore - Sydney'!E1254="","Harga belum tersedia - hubungi konsultan TEG",IF(M884=2,"Saat ini tidak menerima pendaftaran siswa internasional baru",IF(M884=1,"Harga perlu dikonfirmasi ke sekolah"&amp;IF(""="","","; "&amp;""),"")))</f>
        <v>Harga perlu dikonfirmasi ke sekolah</v>
      </c>
      <c r="J884" s="0" t="s">
        <v>4057</v>
      </c>
      <c r="K884" s="0" t="n">
        <f aca="false">IF(M884=2,"",IF(ISNUMBER(SEARCH("rata-rata:",'Onshore - Sydney'!M1254)),VALUE(MID('Onshore - Sydney'!M1254,SEARCH("rata-rata:",'Onshore - Sydney'!M1254)+11,FIND(";",'Onshore - Sydney'!M1254&amp;";",SEARCH("rata-rata:",'Onshore - Sydney'!M1254))-SEARCH("rata-rata:",'Onshore - Sydney'!M1254)-11)),IF('Onshore - Sydney'!D1254="Semester",'Onshore - Sydney'!E1254*2,IF('Onshore - Sydney'!D1254="Trimester",'Onshore - Sydney'!E1254*3,IF('Onshore - Sydney'!D1254="Term",'Onshore - Sydney'!E1254*4,IF('Onshore - Sydney'!D1254="Unit",'Onshore - Sydney'!E1254*8,""))))))</f>
        <v>8800</v>
      </c>
      <c r="L884" s="0" t="n">
        <f aca="false">IF(AND(ISNUMBER('Onshore - Sydney'!E1254),ISNUMBER(K884),ISNUMBER('Onshore - Sydney'!F1254),ISNUMBER('Onshore - Sydney'!G1254),OR('Onshore - Sydney'!F1254&lt;&gt;0,ISNUMBER(SEARCH("Material 0 terverifikasi",'Onshore - Sydney'!M1254))),OR('Onshore - Sydney'!G1254&lt;&gt;0,ISNUMBER(SEARCH("Enrolment 0 terverifikasi",'Onshore - Sydney'!M1254)))),1,0)</f>
        <v>1</v>
      </c>
      <c r="M884" s="0" t="n">
        <f aca="false">IF(OR('Onshore - Sydney'!E1254="",ISNUMBER(SEARCH("BSB80120",'Onshore - Sydney'!B1254&amp;'Onshore - Sydney'!M1254)),ISNUMBER(SEARCH("Management (Learning)",'Onshore - Sydney'!B1254))),2,IF(ISNUMBER(SEARCH("CEK:",'Onshore - Sydney'!M1254)),1,0))</f>
        <v>1</v>
      </c>
    </row>
    <row r="885" customFormat="false" ht="28.35" hidden="false" customHeight="false" outlineLevel="0" collapsed="false">
      <c r="A885" s="63" t="s">
        <v>3533</v>
      </c>
      <c r="B885" s="64" t="s">
        <v>3990</v>
      </c>
      <c r="C885" s="63" t="s">
        <v>42</v>
      </c>
      <c r="D885" s="64" t="str">
        <f aca="false">TRIM(LEFT('Onshore - Sydney'!A126,FIND(CHAR(10),'Onshore - Sydney'!A126&amp;CHAR(10))-1))</f>
        <v>Alpha College of Australia (ACA)</v>
      </c>
      <c r="E885" s="63" t="str">
        <f aca="false">'Onshore - Sydney'!C129&amp;""</f>
        <v>2 years</v>
      </c>
      <c r="F885" s="63" t="str">
        <f aca="false">IF('Onshore - Sydney'!D129="","Belum tercatat",'Onshore - Sydney'!D129)</f>
        <v>Term</v>
      </c>
      <c r="G885" s="65" t="n">
        <f aca="false">IF('Onshore - Sydney'!E129="","-",'Onshore - Sydney'!E129)</f>
        <v>2250</v>
      </c>
      <c r="H885" s="63" t="n">
        <f aca="false">IF(ISNUMBER(K885),COUNTIFS($J$6:$J$1916,J885,$K$6:$K$1916,"&lt;"&amp;K885)+1,"-")</f>
        <v>6</v>
      </c>
      <c r="I885" s="64" t="str">
        <f aca="false">IF('Onshore - Sydney'!E129="","Harga belum tersedia - hubungi konsultan TEG",IF(M885=2,"Saat ini tidak menerima pendaftaran siswa internasional baru",IF(M885=1,"Harga perlu dikonfirmasi ke sekolah"&amp;IF(""="","","; "&amp;""),"")))</f>
        <v/>
      </c>
      <c r="J885" s="0" t="s">
        <v>4057</v>
      </c>
      <c r="K885" s="0" t="n">
        <f aca="false">IF(M885=2,"",IF(ISNUMBER(SEARCH("rata-rata:",'Onshore - Sydney'!M129)),VALUE(MID('Onshore - Sydney'!M129,SEARCH("rata-rata:",'Onshore - Sydney'!M129)+11,FIND(";",'Onshore - Sydney'!M129&amp;";",SEARCH("rata-rata:",'Onshore - Sydney'!M129))-SEARCH("rata-rata:",'Onshore - Sydney'!M129)-11)),IF('Onshore - Sydney'!D129="Semester",'Onshore - Sydney'!E129*2,IF('Onshore - Sydney'!D129="Trimester",'Onshore - Sydney'!E129*3,IF('Onshore - Sydney'!D129="Term",'Onshore - Sydney'!E129*4,IF('Onshore - Sydney'!D129="Unit",'Onshore - Sydney'!E129*8,""))))))</f>
        <v>9000</v>
      </c>
      <c r="L885" s="0" t="n">
        <f aca="false">IF(AND(ISNUMBER('Onshore - Sydney'!E129),ISNUMBER(K885),ISNUMBER('Onshore - Sydney'!F129),ISNUMBER('Onshore - Sydney'!G129),OR('Onshore - Sydney'!F129&lt;&gt;0,ISNUMBER(SEARCH("Material 0 terverifikasi",'Onshore - Sydney'!M129))),OR('Onshore - Sydney'!G129&lt;&gt;0,ISNUMBER(SEARCH("Enrolment 0 terverifikasi",'Onshore - Sydney'!M129)))),1,0)</f>
        <v>1</v>
      </c>
      <c r="M885" s="0" t="n">
        <f aca="false">IF(OR('Onshore - Sydney'!E129="",ISNUMBER(SEARCH("BSB80120",'Onshore - Sydney'!B129&amp;'Onshore - Sydney'!M129)),ISNUMBER(SEARCH("Management (Learning)",'Onshore - Sydney'!B129))),2,IF(ISNUMBER(SEARCH("CEK:",'Onshore - Sydney'!M129)),1,0))</f>
        <v>0</v>
      </c>
    </row>
    <row r="886" customFormat="false" ht="28.35" hidden="false" customHeight="false" outlineLevel="0" collapsed="false">
      <c r="A886" s="63" t="s">
        <v>3533</v>
      </c>
      <c r="B886" s="64" t="s">
        <v>3990</v>
      </c>
      <c r="C886" s="63" t="s">
        <v>42</v>
      </c>
      <c r="D886" s="64" t="str">
        <f aca="false">TRIM(LEFT('Onshore - Sydney'!A536,FIND(CHAR(10),'Onshore - Sydney'!A536&amp;CHAR(10))-1))</f>
        <v>Imperial Institute of Sydney (IIS)</v>
      </c>
      <c r="E886" s="63" t="str">
        <f aca="false">'Onshore - Sydney'!C537&amp;""</f>
        <v>2 years</v>
      </c>
      <c r="F886" s="63" t="str">
        <f aca="false">IF('Onshore - Sydney'!D537="","Belum tercatat",'Onshore - Sydney'!D537)</f>
        <v>Term</v>
      </c>
      <c r="G886" s="65" t="n">
        <f aca="false">IF('Onshore - Sydney'!E537="","-",'Onshore - Sydney'!E537)</f>
        <v>2250</v>
      </c>
      <c r="H886" s="63" t="n">
        <f aca="false">IF(ISNUMBER(K886),COUNTIFS($J$6:$J$1916,J886,$K$6:$K$1916,"&lt;"&amp;K886)+1,"-")</f>
        <v>6</v>
      </c>
      <c r="I886" s="64" t="str">
        <f aca="false">IF('Onshore - Sydney'!E537="","Harga belum tersedia - hubungi konsultan TEG",IF(M886=2,"Saat ini tidak menerima pendaftaran siswa internasional baru",IF(M886=1,"Harga perlu dikonfirmasi ke sekolah"&amp;IF(""="","","; "&amp;""),"")))</f>
        <v/>
      </c>
      <c r="J886" s="0" t="s">
        <v>4057</v>
      </c>
      <c r="K886" s="0" t="n">
        <f aca="false">IF(M886=2,"",IF(ISNUMBER(SEARCH("rata-rata:",'Onshore - Sydney'!M537)),VALUE(MID('Onshore - Sydney'!M537,SEARCH("rata-rata:",'Onshore - Sydney'!M537)+11,FIND(";",'Onshore - Sydney'!M537&amp;";",SEARCH("rata-rata:",'Onshore - Sydney'!M537))-SEARCH("rata-rata:",'Onshore - Sydney'!M537)-11)),IF('Onshore - Sydney'!D537="Semester",'Onshore - Sydney'!E537*2,IF('Onshore - Sydney'!D537="Trimester",'Onshore - Sydney'!E537*3,IF('Onshore - Sydney'!D537="Term",'Onshore - Sydney'!E537*4,IF('Onshore - Sydney'!D537="Unit",'Onshore - Sydney'!E537*8,""))))))</f>
        <v>9000</v>
      </c>
      <c r="L886" s="0" t="n">
        <f aca="false">IF(AND(ISNUMBER('Onshore - Sydney'!E537),ISNUMBER(K886),ISNUMBER('Onshore - Sydney'!F537),ISNUMBER('Onshore - Sydney'!G537),OR('Onshore - Sydney'!F537&lt;&gt;0,ISNUMBER(SEARCH("Material 0 terverifikasi",'Onshore - Sydney'!M537))),OR('Onshore - Sydney'!G537&lt;&gt;0,ISNUMBER(SEARCH("Enrolment 0 terverifikasi",'Onshore - Sydney'!M537)))),1,0)</f>
        <v>0</v>
      </c>
      <c r="M886" s="0" t="n">
        <f aca="false">IF(OR('Onshore - Sydney'!E537="",ISNUMBER(SEARCH("BSB80120",'Onshore - Sydney'!B537&amp;'Onshore - Sydney'!M537)),ISNUMBER(SEARCH("Management (Learning)",'Onshore - Sydney'!B537))),2,IF(ISNUMBER(SEARCH("CEK:",'Onshore - Sydney'!M537)),1,0))</f>
        <v>0</v>
      </c>
    </row>
    <row r="887" customFormat="false" ht="28.35" hidden="false" customHeight="false" outlineLevel="0" collapsed="false">
      <c r="A887" s="63" t="s">
        <v>3533</v>
      </c>
      <c r="B887" s="64" t="s">
        <v>3990</v>
      </c>
      <c r="C887" s="63" t="s">
        <v>42</v>
      </c>
      <c r="D887" s="64" t="str">
        <f aca="false">TRIM(LEFT('Onshore - Sydney'!A132,FIND(CHAR(10),'Onshore - Sydney'!A132&amp;CHAR(10))-1))</f>
        <v>Apeiro Institute</v>
      </c>
      <c r="E887" s="63" t="str">
        <f aca="false">'Onshore - Sydney'!C137&amp;""</f>
        <v>2,5 years</v>
      </c>
      <c r="F887" s="63" t="str">
        <f aca="false">IF('Onshore - Sydney'!D137="","Belum tercatat",'Onshore - Sydney'!D137)</f>
        <v>Term</v>
      </c>
      <c r="G887" s="65" t="n">
        <f aca="false">IF('Onshore - Sydney'!E137="","-",'Onshore - Sydney'!E137)</f>
        <v>2350</v>
      </c>
      <c r="H887" s="63" t="n">
        <f aca="false">IF(ISNUMBER(K887),COUNTIFS($J$6:$J$1916,J887,$K$6:$K$1916,"&lt;"&amp;K887)+1,"-")</f>
        <v>8</v>
      </c>
      <c r="I887" s="64" t="str">
        <f aca="false">IF('Onshore - Sydney'!E137="","Harga belum tersedia - hubungi konsultan TEG",IF(M887=2,"Saat ini tidak menerima pendaftaran siswa internasional baru",IF(M887=1,"Harga perlu dikonfirmasi ke sekolah"&amp;IF(""="","","; "&amp;""),"")))</f>
        <v/>
      </c>
      <c r="J887" s="0" t="s">
        <v>4057</v>
      </c>
      <c r="K887" s="0" t="n">
        <f aca="false">IF(M887=2,"",IF(ISNUMBER(SEARCH("rata-rata:",'Onshore - Sydney'!M137)),VALUE(MID('Onshore - Sydney'!M137,SEARCH("rata-rata:",'Onshore - Sydney'!M137)+11,FIND(";",'Onshore - Sydney'!M137&amp;";",SEARCH("rata-rata:",'Onshore - Sydney'!M137))-SEARCH("rata-rata:",'Onshore - Sydney'!M137)-11)),IF('Onshore - Sydney'!D137="Semester",'Onshore - Sydney'!E137*2,IF('Onshore - Sydney'!D137="Trimester",'Onshore - Sydney'!E137*3,IF('Onshore - Sydney'!D137="Term",'Onshore - Sydney'!E137*4,IF('Onshore - Sydney'!D137="Unit",'Onshore - Sydney'!E137*8,""))))))</f>
        <v>9400</v>
      </c>
      <c r="L887" s="0" t="n">
        <f aca="false">IF(AND(ISNUMBER('Onshore - Sydney'!E137),ISNUMBER(K887),ISNUMBER('Onshore - Sydney'!F137),ISNUMBER('Onshore - Sydney'!G137),OR('Onshore - Sydney'!F137&lt;&gt;0,ISNUMBER(SEARCH("Material 0 terverifikasi",'Onshore - Sydney'!M137))),OR('Onshore - Sydney'!G137&lt;&gt;0,ISNUMBER(SEARCH("Enrolment 0 terverifikasi",'Onshore - Sydney'!M137)))),1,0)</f>
        <v>1</v>
      </c>
      <c r="M887" s="0" t="n">
        <f aca="false">IF(OR('Onshore - Sydney'!E137="",ISNUMBER(SEARCH("BSB80120",'Onshore - Sydney'!B137&amp;'Onshore - Sydney'!M137)),ISNUMBER(SEARCH("Management (Learning)",'Onshore - Sydney'!B137))),2,IF(ISNUMBER(SEARCH("CEK:",'Onshore - Sydney'!M137)),1,0))</f>
        <v>0</v>
      </c>
    </row>
    <row r="888" customFormat="false" ht="28.35" hidden="false" customHeight="false" outlineLevel="0" collapsed="false">
      <c r="A888" s="63" t="s">
        <v>3533</v>
      </c>
      <c r="B888" s="64" t="s">
        <v>3990</v>
      </c>
      <c r="C888" s="63" t="s">
        <v>42</v>
      </c>
      <c r="D888" s="64" t="str">
        <f aca="false">TRIM(LEFT('Onshore - Sydney'!A98,FIND(CHAR(10),'Onshore - Sydney'!A98&amp;CHAR(10))-1))</f>
        <v>Albright Institute of Business and Language (AIBL)</v>
      </c>
      <c r="E888" s="63" t="str">
        <f aca="false">'Onshore - Sydney'!C100&amp;""</f>
        <v>2 years</v>
      </c>
      <c r="F888" s="63" t="str">
        <f aca="false">IF('Onshore - Sydney'!D100="","Belum tercatat",'Onshore - Sydney'!D100)</f>
        <v>Term</v>
      </c>
      <c r="G888" s="65" t="n">
        <f aca="false">IF('Onshore - Sydney'!E100="","-",'Onshore - Sydney'!E100)</f>
        <v>2375</v>
      </c>
      <c r="H888" s="63" t="n">
        <f aca="false">IF(ISNUMBER(K888),COUNTIFS($J$6:$J$1916,J888,$K$6:$K$1916,"&lt;"&amp;K888)+1,"-")</f>
        <v>9</v>
      </c>
      <c r="I888" s="64" t="str">
        <f aca="false">IF('Onshore - Sydney'!E100="","Harga belum tersedia - hubungi konsultan TEG",IF(M888=2,"Saat ini tidak menerima pendaftaran siswa internasional baru",IF(M888=1,"Harga perlu dikonfirmasi ke sekolah"&amp;IF(""="","","; "&amp;""),"")))</f>
        <v/>
      </c>
      <c r="J888" s="0" t="s">
        <v>4057</v>
      </c>
      <c r="K888" s="0" t="n">
        <f aca="false">IF(M888=2,"",IF(ISNUMBER(SEARCH("rata-rata:",'Onshore - Sydney'!M100)),VALUE(MID('Onshore - Sydney'!M100,SEARCH("rata-rata:",'Onshore - Sydney'!M100)+11,FIND(";",'Onshore - Sydney'!M100&amp;";",SEARCH("rata-rata:",'Onshore - Sydney'!M100))-SEARCH("rata-rata:",'Onshore - Sydney'!M100)-11)),IF('Onshore - Sydney'!D100="Semester",'Onshore - Sydney'!E100*2,IF('Onshore - Sydney'!D100="Trimester",'Onshore - Sydney'!E100*3,IF('Onshore - Sydney'!D100="Term",'Onshore - Sydney'!E100*4,IF('Onshore - Sydney'!D100="Unit",'Onshore - Sydney'!E100*8,""))))))</f>
        <v>9500</v>
      </c>
      <c r="L888" s="0" t="n">
        <f aca="false">IF(AND(ISNUMBER('Onshore - Sydney'!E100),ISNUMBER(K888),ISNUMBER('Onshore - Sydney'!F100),ISNUMBER('Onshore - Sydney'!G100),OR('Onshore - Sydney'!F100&lt;&gt;0,ISNUMBER(SEARCH("Material 0 terverifikasi",'Onshore - Sydney'!M100))),OR('Onshore - Sydney'!G100&lt;&gt;0,ISNUMBER(SEARCH("Enrolment 0 terverifikasi",'Onshore - Sydney'!M100)))),1,0)</f>
        <v>1</v>
      </c>
      <c r="M888" s="0" t="n">
        <f aca="false">IF(OR('Onshore - Sydney'!E100="",ISNUMBER(SEARCH("BSB80120",'Onshore - Sydney'!B100&amp;'Onshore - Sydney'!M100)),ISNUMBER(SEARCH("Management (Learning)",'Onshore - Sydney'!B100))),2,IF(ISNUMBER(SEARCH("CEK:",'Onshore - Sydney'!M100)),1,0))</f>
        <v>0</v>
      </c>
    </row>
    <row r="889" customFormat="false" ht="28.35" hidden="false" customHeight="false" outlineLevel="0" collapsed="false">
      <c r="A889" s="63" t="s">
        <v>3533</v>
      </c>
      <c r="B889" s="64" t="s">
        <v>3990</v>
      </c>
      <c r="C889" s="63" t="s">
        <v>42</v>
      </c>
      <c r="D889" s="64" t="str">
        <f aca="false">TRIM(LEFT('Onshore - Sydney'!A330,FIND(CHAR(10),'Onshore - Sydney'!A330&amp;CHAR(10))-1))</f>
        <v>Australian International College of Skills &amp; Education (AICSE)</v>
      </c>
      <c r="E889" s="63" t="str">
        <f aca="false">'Onshore - Sydney'!C336&amp;""</f>
        <v>2 years</v>
      </c>
      <c r="F889" s="63" t="str">
        <f aca="false">IF('Onshore - Sydney'!D336="","Belum tercatat",'Onshore - Sydney'!D336)</f>
        <v>Term</v>
      </c>
      <c r="G889" s="65" t="n">
        <f aca="false">IF('Onshore - Sydney'!E336="","-",'Onshore - Sydney'!E336)</f>
        <v>2500</v>
      </c>
      <c r="H889" s="63" t="n">
        <f aca="false">IF(ISNUMBER(K889),COUNTIFS($J$6:$J$1916,J889,$K$6:$K$1916,"&lt;"&amp;K889)+1,"-")</f>
        <v>10</v>
      </c>
      <c r="I889" s="64" t="str">
        <f aca="false">IF('Onshore - Sydney'!E336="","Harga belum tersedia - hubungi konsultan TEG",IF(M889=2,"Saat ini tidak menerima pendaftaran siswa internasional baru",IF(M889=1,"Harga perlu dikonfirmasi ke sekolah"&amp;IF(""="","","; "&amp;""),"")))</f>
        <v/>
      </c>
      <c r="J889" s="0" t="s">
        <v>4057</v>
      </c>
      <c r="K889" s="0" t="n">
        <f aca="false">IF(M889=2,"",IF(ISNUMBER(SEARCH("rata-rata:",'Onshore - Sydney'!M336)),VALUE(MID('Onshore - Sydney'!M336,SEARCH("rata-rata:",'Onshore - Sydney'!M336)+11,FIND(";",'Onshore - Sydney'!M336&amp;";",SEARCH("rata-rata:",'Onshore - Sydney'!M336))-SEARCH("rata-rata:",'Onshore - Sydney'!M336)-11)),IF('Onshore - Sydney'!D336="Semester",'Onshore - Sydney'!E336*2,IF('Onshore - Sydney'!D336="Trimester",'Onshore - Sydney'!E336*3,IF('Onshore - Sydney'!D336="Term",'Onshore - Sydney'!E336*4,IF('Onshore - Sydney'!D336="Unit",'Onshore - Sydney'!E336*8,""))))))</f>
        <v>10000</v>
      </c>
      <c r="L889" s="0" t="n">
        <f aca="false">IF(AND(ISNUMBER('Onshore - Sydney'!E336),ISNUMBER(K889),ISNUMBER('Onshore - Sydney'!F336),ISNUMBER('Onshore - Sydney'!G336),OR('Onshore - Sydney'!F336&lt;&gt;0,ISNUMBER(SEARCH("Material 0 terverifikasi",'Onshore - Sydney'!M336))),OR('Onshore - Sydney'!G336&lt;&gt;0,ISNUMBER(SEARCH("Enrolment 0 terverifikasi",'Onshore - Sydney'!M336)))),1,0)</f>
        <v>1</v>
      </c>
      <c r="M889" s="0" t="n">
        <f aca="false">IF(OR('Onshore - Sydney'!E336="",ISNUMBER(SEARCH("BSB80120",'Onshore - Sydney'!B336&amp;'Onshore - Sydney'!M336)),ISNUMBER(SEARCH("Management (Learning)",'Onshore - Sydney'!B336))),2,IF(ISNUMBER(SEARCH("CEK:",'Onshore - Sydney'!M336)),1,0))</f>
        <v>0</v>
      </c>
    </row>
    <row r="890" customFormat="false" ht="28.35" hidden="false" customHeight="false" outlineLevel="0" collapsed="false">
      <c r="A890" s="63" t="s">
        <v>3533</v>
      </c>
      <c r="B890" s="64" t="s">
        <v>3990</v>
      </c>
      <c r="C890" s="63" t="s">
        <v>42</v>
      </c>
      <c r="D890" s="64" t="str">
        <f aca="false">TRIM(LEFT('Onshore - Sydney'!A472,FIND(CHAR(10),'Onshore - Sydney'!A472&amp;CHAR(10))-1))</f>
        <v>George Brown College</v>
      </c>
      <c r="E890" s="63" t="str">
        <f aca="false">'Onshore - Sydney'!C480&amp;""</f>
        <v>2 years</v>
      </c>
      <c r="F890" s="63" t="str">
        <f aca="false">IF('Onshore - Sydney'!D480="","Belum tercatat",'Onshore - Sydney'!D480)</f>
        <v>Term</v>
      </c>
      <c r="G890" s="65" t="n">
        <f aca="false">IF('Onshore - Sydney'!E480="","-",'Onshore - Sydney'!E480)</f>
        <v>2500</v>
      </c>
      <c r="H890" s="63" t="n">
        <f aca="false">IF(ISNUMBER(K890),COUNTIFS($J$6:$J$1916,J890,$K$6:$K$1916,"&lt;"&amp;K890)+1,"-")</f>
        <v>10</v>
      </c>
      <c r="I890" s="64" t="str">
        <f aca="false">IF('Onshore - Sydney'!E480="","Harga belum tersedia - hubungi konsultan TEG",IF(M890=2,"Saat ini tidak menerima pendaftaran siswa internasional baru",IF(M890=1,"Harga perlu dikonfirmasi ke sekolah"&amp;IF(""="","","; "&amp;""),"")))</f>
        <v/>
      </c>
      <c r="J890" s="0" t="s">
        <v>4057</v>
      </c>
      <c r="K890" s="0" t="n">
        <f aca="false">IF(M890=2,"",IF(ISNUMBER(SEARCH("rata-rata:",'Onshore - Sydney'!M480)),VALUE(MID('Onshore - Sydney'!M480,SEARCH("rata-rata:",'Onshore - Sydney'!M480)+11,FIND(";",'Onshore - Sydney'!M480&amp;";",SEARCH("rata-rata:",'Onshore - Sydney'!M480))-SEARCH("rata-rata:",'Onshore - Sydney'!M480)-11)),IF('Onshore - Sydney'!D480="Semester",'Onshore - Sydney'!E480*2,IF('Onshore - Sydney'!D480="Trimester",'Onshore - Sydney'!E480*3,IF('Onshore - Sydney'!D480="Term",'Onshore - Sydney'!E480*4,IF('Onshore - Sydney'!D480="Unit",'Onshore - Sydney'!E480*8,""))))))</f>
        <v>10000</v>
      </c>
      <c r="L890" s="0" t="n">
        <f aca="false">IF(AND(ISNUMBER('Onshore - Sydney'!E480),ISNUMBER(K890),ISNUMBER('Onshore - Sydney'!F480),ISNUMBER('Onshore - Sydney'!G480),OR('Onshore - Sydney'!F480&lt;&gt;0,ISNUMBER(SEARCH("Material 0 terverifikasi",'Onshore - Sydney'!M480))),OR('Onshore - Sydney'!G480&lt;&gt;0,ISNUMBER(SEARCH("Enrolment 0 terverifikasi",'Onshore - Sydney'!M480)))),1,0)</f>
        <v>1</v>
      </c>
      <c r="M890" s="0" t="n">
        <f aca="false">IF(OR('Onshore - Sydney'!E480="",ISNUMBER(SEARCH("BSB80120",'Onshore - Sydney'!B480&amp;'Onshore - Sydney'!M480)),ISNUMBER(SEARCH("Management (Learning)",'Onshore - Sydney'!B480))),2,IF(ISNUMBER(SEARCH("CEK:",'Onshore - Sydney'!M480)),1,0))</f>
        <v>0</v>
      </c>
    </row>
    <row r="891" customFormat="false" ht="28.35" hidden="false" customHeight="false" outlineLevel="0" collapsed="false">
      <c r="A891" s="63" t="s">
        <v>3533</v>
      </c>
      <c r="B891" s="64" t="s">
        <v>3990</v>
      </c>
      <c r="C891" s="63" t="s">
        <v>42</v>
      </c>
      <c r="D891" s="64" t="str">
        <f aca="false">TRIM(LEFT('Onshore - Sydney'!A6,FIND(CHAR(10),'Onshore - Sydney'!A6&amp;CHAR(10))-1))</f>
        <v>Abbey College Australia</v>
      </c>
      <c r="E891" s="63" t="str">
        <f aca="false">'Onshore - Sydney'!C13&amp;""</f>
        <v>2 years</v>
      </c>
      <c r="F891" s="63" t="str">
        <f aca="false">IF('Onshore - Sydney'!D13="","Belum tercatat",'Onshore - Sydney'!D13)</f>
        <v>Term</v>
      </c>
      <c r="G891" s="65" t="n">
        <f aca="false">IF('Onshore - Sydney'!E13="","-",'Onshore - Sydney'!E13)</f>
        <v>2575</v>
      </c>
      <c r="H891" s="63" t="n">
        <f aca="false">IF(ISNUMBER(K891),COUNTIFS($J$6:$J$1916,J891,$K$6:$K$1916,"&lt;"&amp;K891)+1,"-")</f>
        <v>12</v>
      </c>
      <c r="I891" s="64" t="str">
        <f aca="false">IF('Onshore - Sydney'!E13="","Harga belum tersedia - hubungi konsultan TEG",IF(M891=2,"Saat ini tidak menerima pendaftaran siswa internasional baru",IF(M891=1,"Harga perlu dikonfirmasi ke sekolah"&amp;IF(""="","","; "&amp;""),"")))</f>
        <v/>
      </c>
      <c r="J891" s="0" t="s">
        <v>4057</v>
      </c>
      <c r="K891" s="0" t="n">
        <f aca="false">IF(M891=2,"",IF(ISNUMBER(SEARCH("rata-rata:",'Onshore - Sydney'!M13)),VALUE(MID('Onshore - Sydney'!M13,SEARCH("rata-rata:",'Onshore - Sydney'!M13)+11,FIND(";",'Onshore - Sydney'!M13&amp;";",SEARCH("rata-rata:",'Onshore - Sydney'!M13))-SEARCH("rata-rata:",'Onshore - Sydney'!M13)-11)),IF('Onshore - Sydney'!D13="Semester",'Onshore - Sydney'!E13*2,IF('Onshore - Sydney'!D13="Trimester",'Onshore - Sydney'!E13*3,IF('Onshore - Sydney'!D13="Term",'Onshore - Sydney'!E13*4,IF('Onshore - Sydney'!D13="Unit",'Onshore - Sydney'!E13*8,""))))))</f>
        <v>10300</v>
      </c>
      <c r="L891" s="0" t="n">
        <f aca="false">IF(AND(ISNUMBER('Onshore - Sydney'!E13),ISNUMBER(K891),ISNUMBER('Onshore - Sydney'!F13),ISNUMBER('Onshore - Sydney'!G13),OR('Onshore - Sydney'!F13&lt;&gt;0,ISNUMBER(SEARCH("Material 0 terverifikasi",'Onshore - Sydney'!M13))),OR('Onshore - Sydney'!G13&lt;&gt;0,ISNUMBER(SEARCH("Enrolment 0 terverifikasi",'Onshore - Sydney'!M13)))),1,0)</f>
        <v>1</v>
      </c>
      <c r="M891" s="0" t="n">
        <f aca="false">IF(OR('Onshore - Sydney'!E13="",ISNUMBER(SEARCH("BSB80120",'Onshore - Sydney'!B13&amp;'Onshore - Sydney'!M13)),ISNUMBER(SEARCH("Management (Learning)",'Onshore - Sydney'!B13))),2,IF(ISNUMBER(SEARCH("CEK:",'Onshore - Sydney'!M13)),1,0))</f>
        <v>0</v>
      </c>
    </row>
    <row r="892" customFormat="false" ht="28.35" hidden="false" customHeight="false" outlineLevel="0" collapsed="false">
      <c r="A892" s="63" t="s">
        <v>3533</v>
      </c>
      <c r="B892" s="64" t="s">
        <v>3990</v>
      </c>
      <c r="C892" s="63" t="s">
        <v>42</v>
      </c>
      <c r="D892" s="64" t="str">
        <f aca="false">TRIM(LEFT('Onshore - Sydney'!A364,FIND(CHAR(10),'Onshore - Sydney'!A364&amp;CHAR(10))-1))</f>
        <v>Be Qualified</v>
      </c>
      <c r="E892" s="63" t="str">
        <f aca="false">'Onshore - Sydney'!C368&amp;""</f>
        <v>1 year</v>
      </c>
      <c r="F892" s="63" t="str">
        <f aca="false">IF('Onshore - Sydney'!D368="","Belum tercatat",'Onshore - Sydney'!D368)</f>
        <v>Term</v>
      </c>
      <c r="G892" s="65" t="n">
        <f aca="false">IF('Onshore - Sydney'!E368="","-",'Onshore - Sydney'!E368)</f>
        <v>2750</v>
      </c>
      <c r="H892" s="63" t="n">
        <f aca="false">IF(ISNUMBER(K892),COUNTIFS($J$6:$J$1916,J892,$K$6:$K$1916,"&lt;"&amp;K892)+1,"-")</f>
        <v>13</v>
      </c>
      <c r="I892" s="64" t="str">
        <f aca="false">IF('Onshore - Sydney'!E368="","Harga belum tersedia - hubungi konsultan TEG",IF(M892=2,"Saat ini tidak menerima pendaftaran siswa internasional baru",IF(M892=1,"Harga perlu dikonfirmasi ke sekolah"&amp;IF(""="","","; "&amp;""),"")))</f>
        <v/>
      </c>
      <c r="J892" s="0" t="s">
        <v>4057</v>
      </c>
      <c r="K892" s="0" t="n">
        <f aca="false">IF(M892=2,"",IF(ISNUMBER(SEARCH("rata-rata:",'Onshore - Sydney'!M368)),VALUE(MID('Onshore - Sydney'!M368,SEARCH("rata-rata:",'Onshore - Sydney'!M368)+11,FIND(";",'Onshore - Sydney'!M368&amp;";",SEARCH("rata-rata:",'Onshore - Sydney'!M368))-SEARCH("rata-rata:",'Onshore - Sydney'!M368)-11)),IF('Onshore - Sydney'!D368="Semester",'Onshore - Sydney'!E368*2,IF('Onshore - Sydney'!D368="Trimester",'Onshore - Sydney'!E368*3,IF('Onshore - Sydney'!D368="Term",'Onshore - Sydney'!E368*4,IF('Onshore - Sydney'!D368="Unit",'Onshore - Sydney'!E368*8,""))))))</f>
        <v>11000</v>
      </c>
      <c r="L892" s="0" t="n">
        <f aca="false">IF(AND(ISNUMBER('Onshore - Sydney'!E368),ISNUMBER(K892),ISNUMBER('Onshore - Sydney'!F368),ISNUMBER('Onshore - Sydney'!G368),OR('Onshore - Sydney'!F368&lt;&gt;0,ISNUMBER(SEARCH("Material 0 terverifikasi",'Onshore - Sydney'!M368))),OR('Onshore - Sydney'!G368&lt;&gt;0,ISNUMBER(SEARCH("Enrolment 0 terverifikasi",'Onshore - Sydney'!M368)))),1,0)</f>
        <v>0</v>
      </c>
      <c r="M892" s="0" t="n">
        <f aca="false">IF(OR('Onshore - Sydney'!E368="",ISNUMBER(SEARCH("BSB80120",'Onshore - Sydney'!B368&amp;'Onshore - Sydney'!M368)),ISNUMBER(SEARCH("Management (Learning)",'Onshore - Sydney'!B368))),2,IF(ISNUMBER(SEARCH("CEK:",'Onshore - Sydney'!M368)),1,0))</f>
        <v>0</v>
      </c>
    </row>
    <row r="893" customFormat="false" ht="28.35" hidden="false" customHeight="false" outlineLevel="0" collapsed="false">
      <c r="A893" s="63" t="s">
        <v>3533</v>
      </c>
      <c r="B893" s="64" t="s">
        <v>3990</v>
      </c>
      <c r="C893" s="63" t="s">
        <v>42</v>
      </c>
      <c r="D893" s="64" t="str">
        <f aca="false">TRIM(LEFT('Onshore - Sydney'!A299,FIND(CHAR(10),'Onshore - Sydney'!A299&amp;CHAR(10))-1))</f>
        <v>Australian Harbour International College (AHIC)</v>
      </c>
      <c r="E893" s="63" t="str">
        <f aca="false">'Onshore - Sydney'!C310&amp;""</f>
        <v>3 years</v>
      </c>
      <c r="F893" s="63" t="str">
        <f aca="false">IF('Onshore - Sydney'!D310="","Belum tercatat",'Onshore - Sydney'!D310)</f>
        <v>Term</v>
      </c>
      <c r="G893" s="65" t="n">
        <f aca="false">IF('Onshore - Sydney'!E310="","-",'Onshore - Sydney'!E310)</f>
        <v>3000</v>
      </c>
      <c r="H893" s="63" t="n">
        <f aca="false">IF(ISNUMBER(K893),COUNTIFS($J$6:$J$1916,J893,$K$6:$K$1916,"&lt;"&amp;K893)+1,"-")</f>
        <v>14</v>
      </c>
      <c r="I893" s="64" t="str">
        <f aca="false">IF('Onshore - Sydney'!E310="","Harga belum tersedia - hubungi konsultan TEG",IF(M893=2,"Saat ini tidak menerima pendaftaran siswa internasional baru",IF(M893=1,"Harga perlu dikonfirmasi ke sekolah"&amp;IF(""="","","; "&amp;""),"")))</f>
        <v/>
      </c>
      <c r="J893" s="0" t="s">
        <v>4057</v>
      </c>
      <c r="K893" s="0" t="n">
        <f aca="false">IF(M893=2,"",IF(ISNUMBER(SEARCH("rata-rata:",'Onshore - Sydney'!M310)),VALUE(MID('Onshore - Sydney'!M310,SEARCH("rata-rata:",'Onshore - Sydney'!M310)+11,FIND(";",'Onshore - Sydney'!M310&amp;";",SEARCH("rata-rata:",'Onshore - Sydney'!M310))-SEARCH("rata-rata:",'Onshore - Sydney'!M310)-11)),IF('Onshore - Sydney'!D310="Semester",'Onshore - Sydney'!E310*2,IF('Onshore - Sydney'!D310="Trimester",'Onshore - Sydney'!E310*3,IF('Onshore - Sydney'!D310="Term",'Onshore - Sydney'!E310*4,IF('Onshore - Sydney'!D310="Unit",'Onshore - Sydney'!E310*8,""))))))</f>
        <v>12000</v>
      </c>
      <c r="L893" s="0" t="n">
        <f aca="false">IF(AND(ISNUMBER('Onshore - Sydney'!E310),ISNUMBER(K893),ISNUMBER('Onshore - Sydney'!F310),ISNUMBER('Onshore - Sydney'!G310),OR('Onshore - Sydney'!F310&lt;&gt;0,ISNUMBER(SEARCH("Material 0 terverifikasi",'Onshore - Sydney'!M310))),OR('Onshore - Sydney'!G310&lt;&gt;0,ISNUMBER(SEARCH("Enrolment 0 terverifikasi",'Onshore - Sydney'!M310)))),1,0)</f>
        <v>1</v>
      </c>
      <c r="M893" s="0" t="n">
        <f aca="false">IF(OR('Onshore - Sydney'!E310="",ISNUMBER(SEARCH("BSB80120",'Onshore - Sydney'!B310&amp;'Onshore - Sydney'!M310)),ISNUMBER(SEARCH("Management (Learning)",'Onshore - Sydney'!B310))),2,IF(ISNUMBER(SEARCH("CEK:",'Onshore - Sydney'!M310)),1,0))</f>
        <v>0</v>
      </c>
    </row>
    <row r="894" customFormat="false" ht="28.35" hidden="false" customHeight="false" outlineLevel="0" collapsed="false">
      <c r="A894" s="63" t="s">
        <v>3533</v>
      </c>
      <c r="B894" s="64" t="s">
        <v>3990</v>
      </c>
      <c r="C894" s="63" t="s">
        <v>42</v>
      </c>
      <c r="D894" s="64" t="str">
        <f aca="false">TRIM(LEFT('Onshore - Sydney'!A728,FIND(CHAR(10),'Onshore - Sydney'!A728&amp;CHAR(10))-1))</f>
        <v>Rosehill College</v>
      </c>
      <c r="E894" s="63" t="str">
        <f aca="false">'Onshore - Sydney'!C729&amp;""</f>
        <v>2 years</v>
      </c>
      <c r="F894" s="63" t="str">
        <f aca="false">IF('Onshore - Sydney'!D729="","Belum tercatat",'Onshore - Sydney'!D729)</f>
        <v>Term</v>
      </c>
      <c r="G894" s="65" t="n">
        <f aca="false">IF('Onshore - Sydney'!E729="","-",'Onshore - Sydney'!E729)</f>
        <v>3125</v>
      </c>
      <c r="H894" s="63" t="n">
        <f aca="false">IF(ISNUMBER(K894),COUNTIFS($J$6:$J$1916,J894,$K$6:$K$1916,"&lt;"&amp;K894)+1,"-")</f>
        <v>15</v>
      </c>
      <c r="I894" s="64" t="str">
        <f aca="false">IF('Onshore - Sydney'!E729="","Harga belum tersedia - hubungi konsultan TEG",IF(M894=2,"Saat ini tidak menerima pendaftaran siswa internasional baru",IF(M894=1,"Harga perlu dikonfirmasi ke sekolah"&amp;IF(""="","","; "&amp;""),"")))</f>
        <v/>
      </c>
      <c r="J894" s="0" t="s">
        <v>4057</v>
      </c>
      <c r="K894" s="0" t="n">
        <f aca="false">IF(M894=2,"",IF(ISNUMBER(SEARCH("rata-rata:",'Onshore - Sydney'!M729)),VALUE(MID('Onshore - Sydney'!M729,SEARCH("rata-rata:",'Onshore - Sydney'!M729)+11,FIND(";",'Onshore - Sydney'!M729&amp;";",SEARCH("rata-rata:",'Onshore - Sydney'!M729))-SEARCH("rata-rata:",'Onshore - Sydney'!M729)-11)),IF('Onshore - Sydney'!D729="Semester",'Onshore - Sydney'!E729*2,IF('Onshore - Sydney'!D729="Trimester",'Onshore - Sydney'!E729*3,IF('Onshore - Sydney'!D729="Term",'Onshore - Sydney'!E729*4,IF('Onshore - Sydney'!D729="Unit",'Onshore - Sydney'!E729*8,""))))))</f>
        <v>12500</v>
      </c>
      <c r="L894" s="0" t="n">
        <f aca="false">IF(AND(ISNUMBER('Onshore - Sydney'!E729),ISNUMBER(K894),ISNUMBER('Onshore - Sydney'!F729),ISNUMBER('Onshore - Sydney'!G729),OR('Onshore - Sydney'!F729&lt;&gt;0,ISNUMBER(SEARCH("Material 0 terverifikasi",'Onshore - Sydney'!M729))),OR('Onshore - Sydney'!G729&lt;&gt;0,ISNUMBER(SEARCH("Enrolment 0 terverifikasi",'Onshore - Sydney'!M729)))),1,0)</f>
        <v>1</v>
      </c>
      <c r="M894" s="0" t="n">
        <f aca="false">IF(OR('Onshore - Sydney'!E729="",ISNUMBER(SEARCH("BSB80120",'Onshore - Sydney'!B729&amp;'Onshore - Sydney'!M729)),ISNUMBER(SEARCH("Management (Learning)",'Onshore - Sydney'!B729))),2,IF(ISNUMBER(SEARCH("CEK:",'Onshore - Sydney'!M729)),1,0))</f>
        <v>0</v>
      </c>
    </row>
    <row r="895" customFormat="false" ht="28.35" hidden="false" customHeight="false" outlineLevel="0" collapsed="false">
      <c r="A895" s="63" t="s">
        <v>3533</v>
      </c>
      <c r="B895" s="64" t="s">
        <v>3990</v>
      </c>
      <c r="C895" s="63" t="s">
        <v>42</v>
      </c>
      <c r="D895" s="64" t="str">
        <f aca="false">TRIM(LEFT('Onshore - Sydney'!A759,FIND(CHAR(10),'Onshore - Sydney'!A759&amp;CHAR(10))-1))</f>
        <v>Sydney City College of Management</v>
      </c>
      <c r="E895" s="63" t="str">
        <f aca="false">'Onshore - Sydney'!C761&amp;""</f>
        <v>2 years</v>
      </c>
      <c r="F895" s="63" t="str">
        <f aca="false">IF('Onshore - Sydney'!D761="","Belum tercatat",'Onshore - Sydney'!D761)</f>
        <v>Term</v>
      </c>
      <c r="G895" s="65" t="n">
        <f aca="false">IF('Onshore - Sydney'!E761="","-",'Onshore - Sydney'!E761)</f>
        <v>3125</v>
      </c>
      <c r="H895" s="63" t="n">
        <f aca="false">IF(ISNUMBER(K895),COUNTIFS($J$6:$J$1916,J895,$K$6:$K$1916,"&lt;"&amp;K895)+1,"-")</f>
        <v>15</v>
      </c>
      <c r="I895" s="64" t="str">
        <f aca="false">IF('Onshore - Sydney'!E761="","Harga belum tersedia - hubungi konsultan TEG",IF(M895=2,"Saat ini tidak menerima pendaftaran siswa internasional baru",IF(M895=1,"Harga perlu dikonfirmasi ke sekolah"&amp;IF(""="","","; "&amp;""),"")))</f>
        <v/>
      </c>
      <c r="J895" s="0" t="s">
        <v>4057</v>
      </c>
      <c r="K895" s="0" t="n">
        <f aca="false">IF(M895=2,"",IF(ISNUMBER(SEARCH("rata-rata:",'Onshore - Sydney'!M761)),VALUE(MID('Onshore - Sydney'!M761,SEARCH("rata-rata:",'Onshore - Sydney'!M761)+11,FIND(";",'Onshore - Sydney'!M761&amp;";",SEARCH("rata-rata:",'Onshore - Sydney'!M761))-SEARCH("rata-rata:",'Onshore - Sydney'!M761)-11)),IF('Onshore - Sydney'!D761="Semester",'Onshore - Sydney'!E761*2,IF('Onshore - Sydney'!D761="Trimester",'Onshore - Sydney'!E761*3,IF('Onshore - Sydney'!D761="Term",'Onshore - Sydney'!E761*4,IF('Onshore - Sydney'!D761="Unit",'Onshore - Sydney'!E761*8,""))))))</f>
        <v>12500</v>
      </c>
      <c r="L895" s="0" t="n">
        <f aca="false">IF(AND(ISNUMBER('Onshore - Sydney'!E761),ISNUMBER(K895),ISNUMBER('Onshore - Sydney'!F761),ISNUMBER('Onshore - Sydney'!G761),OR('Onshore - Sydney'!F761&lt;&gt;0,ISNUMBER(SEARCH("Material 0 terverifikasi",'Onshore - Sydney'!M761))),OR('Onshore - Sydney'!G761&lt;&gt;0,ISNUMBER(SEARCH("Enrolment 0 terverifikasi",'Onshore - Sydney'!M761)))),1,0)</f>
        <v>1</v>
      </c>
      <c r="M895" s="0" t="n">
        <f aca="false">IF(OR('Onshore - Sydney'!E761="",ISNUMBER(SEARCH("BSB80120",'Onshore - Sydney'!B761&amp;'Onshore - Sydney'!M761)),ISNUMBER(SEARCH("Management (Learning)",'Onshore - Sydney'!B761))),2,IF(ISNUMBER(SEARCH("CEK:",'Onshore - Sydney'!M761)),1,0))</f>
        <v>0</v>
      </c>
    </row>
    <row r="896" customFormat="false" ht="28.35" hidden="false" customHeight="false" outlineLevel="0" collapsed="false">
      <c r="A896" s="63" t="s">
        <v>3533</v>
      </c>
      <c r="B896" s="64" t="s">
        <v>3990</v>
      </c>
      <c r="C896" s="63" t="s">
        <v>42</v>
      </c>
      <c r="D896" s="64" t="str">
        <f aca="false">TRIM(LEFT('Onshore - Sydney'!A121,FIND(CHAR(10),'Onshore - Sydney'!A121&amp;CHAR(10))-1))</f>
        <v>Alliance College</v>
      </c>
      <c r="E896" s="63" t="str">
        <f aca="false">'Onshore - Sydney'!C124&amp;""</f>
        <v>2 years</v>
      </c>
      <c r="F896" s="63" t="str">
        <f aca="false">IF('Onshore - Sydney'!D124="","Belum tercatat",'Onshore - Sydney'!D124)</f>
        <v>Term</v>
      </c>
      <c r="G896" s="65" t="n">
        <f aca="false">IF('Onshore - Sydney'!E124="","-",'Onshore - Sydney'!E124)</f>
        <v>3200</v>
      </c>
      <c r="H896" s="63" t="n">
        <f aca="false">IF(ISNUMBER(K896),COUNTIFS($J$6:$J$1916,J896,$K$6:$K$1916,"&lt;"&amp;K896)+1,"-")</f>
        <v>17</v>
      </c>
      <c r="I896" s="64" t="str">
        <f aca="false">IF('Onshore - Sydney'!E124="","Harga belum tersedia - hubungi konsultan TEG",IF(M896=2,"Saat ini tidak menerima pendaftaran siswa internasional baru",IF(M896=1,"Harga perlu dikonfirmasi ke sekolah"&amp;IF(""="","","; "&amp;""),"")))</f>
        <v/>
      </c>
      <c r="J896" s="0" t="s">
        <v>4057</v>
      </c>
      <c r="K896" s="0" t="n">
        <f aca="false">IF(M896=2,"",IF(ISNUMBER(SEARCH("rata-rata:",'Onshore - Sydney'!M124)),VALUE(MID('Onshore - Sydney'!M124,SEARCH("rata-rata:",'Onshore - Sydney'!M124)+11,FIND(";",'Onshore - Sydney'!M124&amp;";",SEARCH("rata-rata:",'Onshore - Sydney'!M124))-SEARCH("rata-rata:",'Onshore - Sydney'!M124)-11)),IF('Onshore - Sydney'!D124="Semester",'Onshore - Sydney'!E124*2,IF('Onshore - Sydney'!D124="Trimester",'Onshore - Sydney'!E124*3,IF('Onshore - Sydney'!D124="Term",'Onshore - Sydney'!E124*4,IF('Onshore - Sydney'!D124="Unit",'Onshore - Sydney'!E124*8,""))))))</f>
        <v>12800</v>
      </c>
      <c r="L896" s="0" t="n">
        <f aca="false">IF(AND(ISNUMBER('Onshore - Sydney'!E124),ISNUMBER(K896),ISNUMBER('Onshore - Sydney'!F124),ISNUMBER('Onshore - Sydney'!G124),OR('Onshore - Sydney'!F124&lt;&gt;0,ISNUMBER(SEARCH("Material 0 terverifikasi",'Onshore - Sydney'!M124))),OR('Onshore - Sydney'!G124&lt;&gt;0,ISNUMBER(SEARCH("Enrolment 0 terverifikasi",'Onshore - Sydney'!M124)))),1,0)</f>
        <v>1</v>
      </c>
      <c r="M896" s="0" t="n">
        <f aca="false">IF(OR('Onshore - Sydney'!E124="",ISNUMBER(SEARCH("BSB80120",'Onshore - Sydney'!B124&amp;'Onshore - Sydney'!M124)),ISNUMBER(SEARCH("Management (Learning)",'Onshore - Sydney'!B124))),2,IF(ISNUMBER(SEARCH("CEK:",'Onshore - Sydney'!M124)),1,0))</f>
        <v>0</v>
      </c>
    </row>
    <row r="897" customFormat="false" ht="28.35" hidden="false" customHeight="false" outlineLevel="0" collapsed="false">
      <c r="A897" s="63" t="s">
        <v>3533</v>
      </c>
      <c r="B897" s="64" t="s">
        <v>3990</v>
      </c>
      <c r="C897" s="63" t="s">
        <v>42</v>
      </c>
      <c r="D897" s="64" t="str">
        <f aca="false">TRIM(LEFT('Onshore - Sydney'!A1047,FIND(CHAR(10),'Onshore - Sydney'!A1047&amp;CHAR(10))-1))</f>
        <v>Western Sydney College (WSC)</v>
      </c>
      <c r="E897" s="63" t="str">
        <f aca="false">'Onshore - Sydney'!C1058&amp;""</f>
        <v>2 years</v>
      </c>
      <c r="F897" s="63" t="str">
        <f aca="false">IF('Onshore - Sydney'!D1058="","Belum tercatat",'Onshore - Sydney'!D1058)</f>
        <v>Term</v>
      </c>
      <c r="G897" s="65" t="n">
        <f aca="false">IF('Onshore - Sydney'!E1058="","-",'Onshore - Sydney'!E1058)</f>
        <v>3250</v>
      </c>
      <c r="H897" s="63" t="n">
        <f aca="false">IF(ISNUMBER(K897),COUNTIFS($J$6:$J$1916,J897,$K$6:$K$1916,"&lt;"&amp;K897)+1,"-")</f>
        <v>18</v>
      </c>
      <c r="I897" s="64" t="str">
        <f aca="false">IF('Onshore - Sydney'!E1058="","Harga belum tersedia - hubungi konsultan TEG",IF(M897=2,"Saat ini tidak menerima pendaftaran siswa internasional baru",IF(M897=1,"Harga perlu dikonfirmasi ke sekolah"&amp;IF(""="","","; "&amp;""),"")))</f>
        <v/>
      </c>
      <c r="J897" s="0" t="s">
        <v>4057</v>
      </c>
      <c r="K897" s="0" t="n">
        <f aca="false">IF(M897=2,"",IF(ISNUMBER(SEARCH("rata-rata:",'Onshore - Sydney'!M1058)),VALUE(MID('Onshore - Sydney'!M1058,SEARCH("rata-rata:",'Onshore - Sydney'!M1058)+11,FIND(";",'Onshore - Sydney'!M1058&amp;";",SEARCH("rata-rata:",'Onshore - Sydney'!M1058))-SEARCH("rata-rata:",'Onshore - Sydney'!M1058)-11)),IF('Onshore - Sydney'!D1058="Semester",'Onshore - Sydney'!E1058*2,IF('Onshore - Sydney'!D1058="Trimester",'Onshore - Sydney'!E1058*3,IF('Onshore - Sydney'!D1058="Term",'Onshore - Sydney'!E1058*4,IF('Onshore - Sydney'!D1058="Unit",'Onshore - Sydney'!E1058*8,""))))))</f>
        <v>13000</v>
      </c>
      <c r="L897" s="0" t="n">
        <f aca="false">IF(AND(ISNUMBER('Onshore - Sydney'!E1058),ISNUMBER(K897),ISNUMBER('Onshore - Sydney'!F1058),ISNUMBER('Onshore - Sydney'!G1058),OR('Onshore - Sydney'!F1058&lt;&gt;0,ISNUMBER(SEARCH("Material 0 terverifikasi",'Onshore - Sydney'!M1058))),OR('Onshore - Sydney'!G1058&lt;&gt;0,ISNUMBER(SEARCH("Enrolment 0 terverifikasi",'Onshore - Sydney'!M1058)))),1,0)</f>
        <v>1</v>
      </c>
      <c r="M897" s="0" t="n">
        <f aca="false">IF(OR('Onshore - Sydney'!E1058="",ISNUMBER(SEARCH("BSB80120",'Onshore - Sydney'!B1058&amp;'Onshore - Sydney'!M1058)),ISNUMBER(SEARCH("Management (Learning)",'Onshore - Sydney'!B1058))),2,IF(ISNUMBER(SEARCH("CEK:",'Onshore - Sydney'!M1058)),1,0))</f>
        <v>0</v>
      </c>
    </row>
    <row r="898" customFormat="false" ht="28.35" hidden="false" customHeight="false" outlineLevel="0" collapsed="false">
      <c r="A898" s="63" t="s">
        <v>3533</v>
      </c>
      <c r="B898" s="64" t="s">
        <v>3990</v>
      </c>
      <c r="C898" s="63" t="s">
        <v>42</v>
      </c>
      <c r="D898" s="64" t="str">
        <f aca="false">TRIM(LEFT('Onshore - Sydney'!A796,FIND(CHAR(10),'Onshore - Sydney'!A796&amp;CHAR(10))-1))</f>
        <v>TAFE NSW</v>
      </c>
      <c r="E898" s="63" t="str">
        <f aca="false">'Onshore - Sydney'!C819&amp;""</f>
        <v>2 years</v>
      </c>
      <c r="F898" s="63" t="str">
        <f aca="false">IF('Onshore - Sydney'!D819="","Belum tercatat",'Onshore - Sydney'!D819)</f>
        <v>Term</v>
      </c>
      <c r="G898" s="65" t="n">
        <f aca="false">IF('Onshore - Sydney'!E819="","-",'Onshore - Sydney'!E819)</f>
        <v>3350</v>
      </c>
      <c r="H898" s="63" t="n">
        <f aca="false">IF(ISNUMBER(K898),COUNTIFS($J$6:$J$1916,J898,$K$6:$K$1916,"&lt;"&amp;K898)+1,"-")</f>
        <v>19</v>
      </c>
      <c r="I898" s="64" t="str">
        <f aca="false">IF('Onshore - Sydney'!E819="","Harga belum tersedia - hubungi konsultan TEG",IF(M898=2,"Saat ini tidak menerima pendaftaran siswa internasional baru",IF(M898=1,"Harga perlu dikonfirmasi ke sekolah"&amp;IF(""="","","; "&amp;""),"")))</f>
        <v/>
      </c>
      <c r="J898" s="0" t="s">
        <v>4057</v>
      </c>
      <c r="K898" s="0" t="n">
        <f aca="false">IF(M898=2,"",IF(ISNUMBER(SEARCH("rata-rata:",'Onshore - Sydney'!M819)),VALUE(MID('Onshore - Sydney'!M819,SEARCH("rata-rata:",'Onshore - Sydney'!M819)+11,FIND(";",'Onshore - Sydney'!M819&amp;";",SEARCH("rata-rata:",'Onshore - Sydney'!M819))-SEARCH("rata-rata:",'Onshore - Sydney'!M819)-11)),IF('Onshore - Sydney'!D819="Semester",'Onshore - Sydney'!E819*2,IF('Onshore - Sydney'!D819="Trimester",'Onshore - Sydney'!E819*3,IF('Onshore - Sydney'!D819="Term",'Onshore - Sydney'!E819*4,IF('Onshore - Sydney'!D819="Unit",'Onshore - Sydney'!E819*8,""))))))</f>
        <v>13400</v>
      </c>
      <c r="L898" s="0" t="n">
        <f aca="false">IF(AND(ISNUMBER('Onshore - Sydney'!E819),ISNUMBER(K898),ISNUMBER('Onshore - Sydney'!F819),ISNUMBER('Onshore - Sydney'!G819),OR('Onshore - Sydney'!F819&lt;&gt;0,ISNUMBER(SEARCH("Material 0 terverifikasi",'Onshore - Sydney'!M819))),OR('Onshore - Sydney'!G819&lt;&gt;0,ISNUMBER(SEARCH("Enrolment 0 terverifikasi",'Onshore - Sydney'!M819)))),1,0)</f>
        <v>0</v>
      </c>
      <c r="M898" s="0" t="n">
        <f aca="false">IF(OR('Onshore - Sydney'!E819="",ISNUMBER(SEARCH("BSB80120",'Onshore - Sydney'!B819&amp;'Onshore - Sydney'!M819)),ISNUMBER(SEARCH("Management (Learning)",'Onshore - Sydney'!B819))),2,IF(ISNUMBER(SEARCH("CEK:",'Onshore - Sydney'!M819)),1,0))</f>
        <v>0</v>
      </c>
    </row>
    <row r="899" customFormat="false" ht="28.35" hidden="false" customHeight="false" outlineLevel="0" collapsed="false">
      <c r="A899" s="63" t="s">
        <v>3533</v>
      </c>
      <c r="B899" s="64" t="s">
        <v>3990</v>
      </c>
      <c r="C899" s="63" t="s">
        <v>42</v>
      </c>
      <c r="D899" s="64" t="str">
        <f aca="false">TRIM(LEFT('Onshore - Sydney'!A745,FIND(CHAR(10),'Onshore - Sydney'!A745&amp;CHAR(10))-1))</f>
        <v>Signet Institute of Australia</v>
      </c>
      <c r="E899" s="63" t="str">
        <f aca="false">'Onshore - Sydney'!C749&amp;""</f>
        <v>4 years</v>
      </c>
      <c r="F899" s="63" t="str">
        <f aca="false">IF('Onshore - Sydney'!D749="","Belum tercatat",'Onshore - Sydney'!D749)</f>
        <v>Term</v>
      </c>
      <c r="G899" s="65" t="n">
        <f aca="false">IF('Onshore - Sydney'!E749="","-",'Onshore - Sydney'!E749)</f>
        <v>3800</v>
      </c>
      <c r="H899" s="63" t="n">
        <f aca="false">IF(ISNUMBER(K899),COUNTIFS($J$6:$J$1916,J899,$K$6:$K$1916,"&lt;"&amp;K899)+1,"-")</f>
        <v>20</v>
      </c>
      <c r="I899" s="64" t="str">
        <f aca="false">IF('Onshore - Sydney'!E749="","Harga belum tersedia - hubungi konsultan TEG",IF(M899=2,"Saat ini tidak menerima pendaftaran siswa internasional baru",IF(M899=1,"Harga perlu dikonfirmasi ke sekolah"&amp;IF(""="","","; "&amp;""),"")))</f>
        <v/>
      </c>
      <c r="J899" s="0" t="s">
        <v>4057</v>
      </c>
      <c r="K899" s="0" t="n">
        <f aca="false">IF(M899=2,"",IF(ISNUMBER(SEARCH("rata-rata:",'Onshore - Sydney'!M749)),VALUE(MID('Onshore - Sydney'!M749,SEARCH("rata-rata:",'Onshore - Sydney'!M749)+11,FIND(";",'Onshore - Sydney'!M749&amp;";",SEARCH("rata-rata:",'Onshore - Sydney'!M749))-SEARCH("rata-rata:",'Onshore - Sydney'!M749)-11)),IF('Onshore - Sydney'!D749="Semester",'Onshore - Sydney'!E749*2,IF('Onshore - Sydney'!D749="Trimester",'Onshore - Sydney'!E749*3,IF('Onshore - Sydney'!D749="Term",'Onshore - Sydney'!E749*4,IF('Onshore - Sydney'!D749="Unit",'Onshore - Sydney'!E749*8,""))))))</f>
        <v>15200</v>
      </c>
      <c r="L899" s="0" t="n">
        <f aca="false">IF(AND(ISNUMBER('Onshore - Sydney'!E749),ISNUMBER(K899),ISNUMBER('Onshore - Sydney'!F749),ISNUMBER('Onshore - Sydney'!G749),OR('Onshore - Sydney'!F749&lt;&gt;0,ISNUMBER(SEARCH("Material 0 terverifikasi",'Onshore - Sydney'!M749))),OR('Onshore - Sydney'!G749&lt;&gt;0,ISNUMBER(SEARCH("Enrolment 0 terverifikasi",'Onshore - Sydney'!M749)))),1,0)</f>
        <v>0</v>
      </c>
      <c r="M899" s="0" t="n">
        <f aca="false">IF(OR('Onshore - Sydney'!E749="",ISNUMBER(SEARCH("BSB80120",'Onshore - Sydney'!B749&amp;'Onshore - Sydney'!M749)),ISNUMBER(SEARCH("Management (Learning)",'Onshore - Sydney'!B749))),2,IF(ISNUMBER(SEARCH("CEK:",'Onshore - Sydney'!M749)),1,0))</f>
        <v>0</v>
      </c>
    </row>
    <row r="900" customFormat="false" ht="15" hidden="false" customHeight="false" outlineLevel="0" collapsed="false">
      <c r="A900" s="61" t="s">
        <v>4058</v>
      </c>
      <c r="B900" s="62"/>
      <c r="C900" s="62"/>
      <c r="D900" s="62"/>
      <c r="E900" s="62"/>
      <c r="F900" s="62"/>
      <c r="G900" s="62"/>
      <c r="H900" s="62"/>
      <c r="I900" s="62"/>
    </row>
    <row r="901" customFormat="false" ht="28.35" hidden="false" customHeight="false" outlineLevel="0" collapsed="false">
      <c r="A901" s="63" t="s">
        <v>3533</v>
      </c>
      <c r="B901" s="64" t="s">
        <v>3990</v>
      </c>
      <c r="C901" s="63" t="s">
        <v>43</v>
      </c>
      <c r="D901" s="64" t="str">
        <f aca="false">TRIM(LEFT('Onshore - Sydney'!A888,FIND(CHAR(10),'Onshore - Sydney'!A888&amp;CHAR(10))-1))</f>
        <v>Torrens University Australia</v>
      </c>
      <c r="E901" s="63" t="str">
        <f aca="false">'Onshore - Sydney'!C933&amp;""</f>
        <v>3 years</v>
      </c>
      <c r="F901" s="63" t="str">
        <f aca="false">IF('Onshore - Sydney'!D933="","Belum tercatat",'Onshore - Sydney'!D933)</f>
        <v>Term</v>
      </c>
      <c r="G901" s="65" t="n">
        <f aca="false">IF('Onshore - Sydney'!E933="","-",'Onshore - Sydney'!E933)</f>
        <v>9375</v>
      </c>
      <c r="H901" s="63" t="n">
        <f aca="false">IF(ISNUMBER(K901),COUNTIFS($J$6:$J$1916,J901,$K$6:$K$1916,"&lt;"&amp;K901)+1,"-")</f>
        <v>1</v>
      </c>
      <c r="I901" s="64" t="str">
        <f aca="false">IF('Onshore - Sydney'!E933="","Harga belum tersedia - hubungi konsultan TEG",IF(M901=2,"Saat ini tidak menerima pendaftaran siswa internasional baru",IF(M901=1,"Harga perlu dikonfirmasi ke sekolah"&amp;IF(""="","","; "&amp;""),"")))</f>
        <v/>
      </c>
      <c r="J901" s="0" t="s">
        <v>4059</v>
      </c>
      <c r="K901" s="0" t="n">
        <f aca="false">IF(M901=2,"",IF(ISNUMBER(SEARCH("rata-rata:",'Onshore - Sydney'!M933)),VALUE(MID('Onshore - Sydney'!M933,SEARCH("rata-rata:",'Onshore - Sydney'!M933)+11,FIND(";",'Onshore - Sydney'!M933&amp;";",SEARCH("rata-rata:",'Onshore - Sydney'!M933))-SEARCH("rata-rata:",'Onshore - Sydney'!M933)-11)),IF('Onshore - Sydney'!D933="Semester",'Onshore - Sydney'!E933*2,IF('Onshore - Sydney'!D933="Trimester",'Onshore - Sydney'!E933*3,IF('Onshore - Sydney'!D933="Term",'Onshore - Sydney'!E933*4,IF('Onshore - Sydney'!D933="Unit",'Onshore - Sydney'!E933*8,""))))))</f>
        <v>37500</v>
      </c>
      <c r="L901" s="0" t="n">
        <f aca="false">IF(AND(ISNUMBER('Onshore - Sydney'!E933),ISNUMBER(K901),ISNUMBER('Onshore - Sydney'!F933),ISNUMBER('Onshore - Sydney'!G933),OR('Onshore - Sydney'!F933&lt;&gt;0,ISNUMBER(SEARCH("Material 0 terverifikasi",'Onshore - Sydney'!M933))),OR('Onshore - Sydney'!G933&lt;&gt;0,ISNUMBER(SEARCH("Enrolment 0 terverifikasi",'Onshore - Sydney'!M933)))),1,0)</f>
        <v>0</v>
      </c>
      <c r="M901" s="0" t="n">
        <f aca="false">IF(OR('Onshore - Sydney'!E933="",ISNUMBER(SEARCH("BSB80120",'Onshore - Sydney'!B933&amp;'Onshore - Sydney'!M933)),ISNUMBER(SEARCH("Management (Learning)",'Onshore - Sydney'!B933))),2,IF(ISNUMBER(SEARCH("CEK:",'Onshore - Sydney'!M933)),1,0))</f>
        <v>0</v>
      </c>
    </row>
    <row r="902" customFormat="false" ht="28.35" hidden="false" customHeight="false" outlineLevel="0" collapsed="false">
      <c r="A902" s="63" t="s">
        <v>3533</v>
      </c>
      <c r="B902" s="64" t="s">
        <v>3990</v>
      </c>
      <c r="C902" s="63" t="s">
        <v>43</v>
      </c>
      <c r="D902" s="64" t="str">
        <f aca="false">TRIM(LEFT('Onshore - Sydney'!A1062,FIND(CHAR(10),'Onshore - Sydney'!A1062&amp;CHAR(10))-1))</f>
        <v>Western Sydney University</v>
      </c>
      <c r="E902" s="63" t="str">
        <f aca="false">'Onshore - Sydney'!C1071&amp;""</f>
        <v>3 years</v>
      </c>
      <c r="F902" s="63" t="str">
        <f aca="false">IF('Onshore - Sydney'!D1071="","Belum tercatat",'Onshore - Sydney'!D1071)</f>
        <v>Term</v>
      </c>
      <c r="G902" s="65" t="n">
        <f aca="false">IF('Onshore - Sydney'!E1071="","-",'Onshore - Sydney'!E1071)</f>
        <v>10229</v>
      </c>
      <c r="H902" s="63" t="n">
        <f aca="false">IF(ISNUMBER(K902),COUNTIFS($J$6:$J$1916,J902,$K$6:$K$1916,"&lt;"&amp;K902)+1,"-")</f>
        <v>2</v>
      </c>
      <c r="I902" s="64" t="str">
        <f aca="false">IF('Onshore - Sydney'!E1071="","Harga belum tersedia - hubungi konsultan TEG",IF(M902=2,"Saat ini tidak menerima pendaftaran siswa internasional baru",IF(M902=1,"Harga perlu dikonfirmasi ke sekolah"&amp;IF(""="","","; "&amp;""),"")))</f>
        <v/>
      </c>
      <c r="J902" s="0" t="s">
        <v>4059</v>
      </c>
      <c r="K902" s="0" t="n">
        <f aca="false">IF(M902=2,"",IF(ISNUMBER(SEARCH("rata-rata:",'Onshore - Sydney'!M1071)),VALUE(MID('Onshore - Sydney'!M1071,SEARCH("rata-rata:",'Onshore - Sydney'!M1071)+11,FIND(";",'Onshore - Sydney'!M1071&amp;";",SEARCH("rata-rata:",'Onshore - Sydney'!M1071))-SEARCH("rata-rata:",'Onshore - Sydney'!M1071)-11)),IF('Onshore - Sydney'!D1071="Semester",'Onshore - Sydney'!E1071*2,IF('Onshore - Sydney'!D1071="Trimester",'Onshore - Sydney'!E1071*3,IF('Onshore - Sydney'!D1071="Term",'Onshore - Sydney'!E1071*4,IF('Onshore - Sydney'!D1071="Unit",'Onshore - Sydney'!E1071*8,""))))))</f>
        <v>40916</v>
      </c>
      <c r="L902" s="0" t="n">
        <f aca="false">IF(AND(ISNUMBER('Onshore - Sydney'!E1071),ISNUMBER(K902),ISNUMBER('Onshore - Sydney'!F1071),ISNUMBER('Onshore - Sydney'!G1071),OR('Onshore - Sydney'!F1071&lt;&gt;0,ISNUMBER(SEARCH("Material 0 terverifikasi",'Onshore - Sydney'!M1071))),OR('Onshore - Sydney'!G1071&lt;&gt;0,ISNUMBER(SEARCH("Enrolment 0 terverifikasi",'Onshore - Sydney'!M1071)))),1,0)</f>
        <v>0</v>
      </c>
      <c r="M902" s="0" t="n">
        <f aca="false">IF(OR('Onshore - Sydney'!E1071="",ISNUMBER(SEARCH("BSB80120",'Onshore - Sydney'!B1071&amp;'Onshore - Sydney'!M1071)),ISNUMBER(SEARCH("Management (Learning)",'Onshore - Sydney'!B1071))),2,IF(ISNUMBER(SEARCH("CEK:",'Onshore - Sydney'!M1071)),1,0))</f>
        <v>0</v>
      </c>
    </row>
    <row r="903" customFormat="false" ht="15" hidden="false" customHeight="false" outlineLevel="0" collapsed="false">
      <c r="A903" s="61" t="s">
        <v>4060</v>
      </c>
      <c r="B903" s="62"/>
      <c r="C903" s="62"/>
      <c r="D903" s="62"/>
      <c r="E903" s="62"/>
      <c r="F903" s="62"/>
      <c r="G903" s="62"/>
      <c r="H903" s="62"/>
      <c r="I903" s="62"/>
    </row>
    <row r="904" customFormat="false" ht="28.35" hidden="false" customHeight="false" outlineLevel="0" collapsed="false">
      <c r="A904" s="63" t="s">
        <v>3533</v>
      </c>
      <c r="B904" s="64" t="s">
        <v>3990</v>
      </c>
      <c r="C904" s="63" t="s">
        <v>3707</v>
      </c>
      <c r="D904" s="64" t="str">
        <f aca="false">TRIM(LEFT('Onshore - Sydney'!A443,FIND(CHAR(10),'Onshore - Sydney'!A443&amp;CHAR(10))-1))</f>
        <v>ECA College</v>
      </c>
      <c r="E904" s="63" t="str">
        <f aca="false">'Onshore - Sydney'!C443&amp;""</f>
        <v>1 year</v>
      </c>
      <c r="F904" s="63" t="str">
        <f aca="false">IF('Onshore - Sydney'!D443="","Belum tercatat",'Onshore - Sydney'!D443)</f>
        <v>Term</v>
      </c>
      <c r="G904" s="65" t="n">
        <f aca="false">IF('Onshore - Sydney'!E443="","-",'Onshore - Sydney'!E443)</f>
        <v>3000</v>
      </c>
      <c r="H904" s="63" t="n">
        <f aca="false">IF(ISNUMBER(K904),COUNTIFS($J$6:$J$1916,J904,$K$6:$K$1916,"&lt;"&amp;K904)+1,"-")</f>
        <v>1</v>
      </c>
      <c r="I904" s="64" t="str">
        <f aca="false">IF('Onshore - Sydney'!E443="","Harga belum tersedia - hubungi konsultan TEG",IF(M904=2,"Saat ini tidak menerima pendaftaran siswa internasional baru",IF(M904=1,"Harga perlu dikonfirmasi ke sekolah"&amp;IF(""="","","; "&amp;""),"")))</f>
        <v/>
      </c>
      <c r="J904" s="0" t="s">
        <v>4061</v>
      </c>
      <c r="K904" s="0" t="n">
        <f aca="false">IF(M904=2,"",IF(ISNUMBER(SEARCH("rata-rata:",'Onshore - Sydney'!M443)),VALUE(MID('Onshore - Sydney'!M443,SEARCH("rata-rata:",'Onshore - Sydney'!M443)+11,FIND(";",'Onshore - Sydney'!M443&amp;";",SEARCH("rata-rata:",'Onshore - Sydney'!M443))-SEARCH("rata-rata:",'Onshore - Sydney'!M443)-11)),IF('Onshore - Sydney'!D443="Semester",'Onshore - Sydney'!E443*2,IF('Onshore - Sydney'!D443="Trimester",'Onshore - Sydney'!E443*3,IF('Onshore - Sydney'!D443="Term",'Onshore - Sydney'!E443*4,IF('Onshore - Sydney'!D443="Unit",'Onshore - Sydney'!E443*8,""))))))</f>
        <v>12000</v>
      </c>
      <c r="L904" s="0" t="n">
        <f aca="false">IF(AND(ISNUMBER('Onshore - Sydney'!E443),ISNUMBER(K904),ISNUMBER('Onshore - Sydney'!F443),ISNUMBER('Onshore - Sydney'!G443),OR('Onshore - Sydney'!F443&lt;&gt;0,ISNUMBER(SEARCH("Material 0 terverifikasi",'Onshore - Sydney'!M443))),OR('Onshore - Sydney'!G443&lt;&gt;0,ISNUMBER(SEARCH("Enrolment 0 terverifikasi",'Onshore - Sydney'!M443)))),1,0)</f>
        <v>1</v>
      </c>
      <c r="M904" s="0" t="n">
        <f aca="false">IF(OR('Onshore - Sydney'!E443="",ISNUMBER(SEARCH("BSB80120",'Onshore - Sydney'!B443&amp;'Onshore - Sydney'!M443)),ISNUMBER(SEARCH("Management (Learning)",'Onshore - Sydney'!B443))),2,IF(ISNUMBER(SEARCH("CEK:",'Onshore - Sydney'!M443)),1,0))</f>
        <v>0</v>
      </c>
    </row>
    <row r="905" customFormat="false" ht="28.35" hidden="false" customHeight="false" outlineLevel="0" collapsed="false">
      <c r="A905" s="63" t="s">
        <v>3533</v>
      </c>
      <c r="B905" s="64" t="s">
        <v>3990</v>
      </c>
      <c r="C905" s="63" t="s">
        <v>3707</v>
      </c>
      <c r="D905" s="64" t="str">
        <f aca="false">TRIM(LEFT('Onshore - Sydney'!A1062,FIND(CHAR(10),'Onshore - Sydney'!A1062&amp;CHAR(10))-1))</f>
        <v>Western Sydney University</v>
      </c>
      <c r="E905" s="63" t="str">
        <f aca="false">'Onshore - Sydney'!C1180&amp;""</f>
        <v>1 year</v>
      </c>
      <c r="F905" s="63" t="str">
        <f aca="false">IF('Onshore - Sydney'!D1180="","Belum tercatat",'Onshore - Sydney'!D1180)</f>
        <v>Term</v>
      </c>
      <c r="G905" s="65" t="n">
        <f aca="false">IF('Onshore - Sydney'!E1180="","-",'Onshore - Sydney'!E1180)</f>
        <v>10305</v>
      </c>
      <c r="H905" s="63" t="n">
        <f aca="false">IF(ISNUMBER(K905),COUNTIFS($J$6:$J$1916,J905,$K$6:$K$1916,"&lt;"&amp;K905)+1,"-")</f>
        <v>2</v>
      </c>
      <c r="I905" s="64" t="str">
        <f aca="false">IF('Onshore - Sydney'!E1180="","Harga belum tersedia - hubungi konsultan TEG",IF(M905=2,"Saat ini tidak menerima pendaftaran siswa internasional baru",IF(M905=1,"Harga perlu dikonfirmasi ke sekolah"&amp;IF(""="","","; "&amp;""),"")))</f>
        <v/>
      </c>
      <c r="J905" s="0" t="s">
        <v>4061</v>
      </c>
      <c r="K905" s="0" t="n">
        <f aca="false">IF(M905=2,"",IF(ISNUMBER(SEARCH("rata-rata:",'Onshore - Sydney'!M1180)),VALUE(MID('Onshore - Sydney'!M1180,SEARCH("rata-rata:",'Onshore - Sydney'!M1180)+11,FIND(";",'Onshore - Sydney'!M1180&amp;";",SEARCH("rata-rata:",'Onshore - Sydney'!M1180))-SEARCH("rata-rata:",'Onshore - Sydney'!M1180)-11)),IF('Onshore - Sydney'!D1180="Semester",'Onshore - Sydney'!E1180*2,IF('Onshore - Sydney'!D1180="Trimester",'Onshore - Sydney'!E1180*3,IF('Onshore - Sydney'!D1180="Term",'Onshore - Sydney'!E1180*4,IF('Onshore - Sydney'!D1180="Unit",'Onshore - Sydney'!E1180*8,""))))))</f>
        <v>41220</v>
      </c>
      <c r="L905" s="0" t="n">
        <f aca="false">IF(AND(ISNUMBER('Onshore - Sydney'!E1180),ISNUMBER(K905),ISNUMBER('Onshore - Sydney'!F1180),ISNUMBER('Onshore - Sydney'!G1180),OR('Onshore - Sydney'!F1180&lt;&gt;0,ISNUMBER(SEARCH("Material 0 terverifikasi",'Onshore - Sydney'!M1180))),OR('Onshore - Sydney'!G1180&lt;&gt;0,ISNUMBER(SEARCH("Enrolment 0 terverifikasi",'Onshore - Sydney'!M1180)))),1,0)</f>
        <v>0</v>
      </c>
      <c r="M905" s="0" t="n">
        <f aca="false">IF(OR('Onshore - Sydney'!E1180="",ISNUMBER(SEARCH("BSB80120",'Onshore - Sydney'!B1180&amp;'Onshore - Sydney'!M1180)),ISNUMBER(SEARCH("Management (Learning)",'Onshore - Sydney'!B1180))),2,IF(ISNUMBER(SEARCH("CEK:",'Onshore - Sydney'!M1180)),1,0))</f>
        <v>0</v>
      </c>
    </row>
    <row r="906" customFormat="false" ht="15" hidden="false" customHeight="false" outlineLevel="0" collapsed="false">
      <c r="A906" s="61" t="s">
        <v>4062</v>
      </c>
      <c r="B906" s="62"/>
      <c r="C906" s="62"/>
      <c r="D906" s="62"/>
      <c r="E906" s="62"/>
      <c r="F906" s="62"/>
      <c r="G906" s="62"/>
      <c r="H906" s="62"/>
      <c r="I906" s="62"/>
    </row>
    <row r="907" customFormat="false" ht="28.35" hidden="false" customHeight="false" outlineLevel="0" collapsed="false">
      <c r="A907" s="63" t="s">
        <v>3533</v>
      </c>
      <c r="B907" s="64" t="s">
        <v>3990</v>
      </c>
      <c r="C907" s="63" t="s">
        <v>46</v>
      </c>
      <c r="D907" s="64" t="str">
        <f aca="false">TRIM(LEFT('Onshore - Sydney'!A888,FIND(CHAR(10),'Onshore - Sydney'!A888&amp;CHAR(10))-1))</f>
        <v>Torrens University Australia</v>
      </c>
      <c r="E907" s="63" t="str">
        <f aca="false">'Onshore - Sydney'!C914&amp;""</f>
        <v>2 years</v>
      </c>
      <c r="F907" s="63" t="str">
        <f aca="false">IF('Onshore - Sydney'!D914="","Belum tercatat",'Onshore - Sydney'!D914)</f>
        <v>Term</v>
      </c>
      <c r="G907" s="65" t="n">
        <f aca="false">IF('Onshore - Sydney'!E914="","-",'Onshore - Sydney'!E914)</f>
        <v>9000</v>
      </c>
      <c r="H907" s="63" t="n">
        <f aca="false">IF(ISNUMBER(K907),COUNTIFS($J$6:$J$1916,J907,$K$6:$K$1916,"&lt;"&amp;K907)+1,"-")</f>
        <v>1</v>
      </c>
      <c r="I907" s="64" t="str">
        <f aca="false">IF('Onshore - Sydney'!E914="","Harga belum tersedia - hubungi konsultan TEG",IF(M907=2,"Saat ini tidak menerima pendaftaran siswa internasional baru",IF(M907=1,"Harga perlu dikonfirmasi ke sekolah"&amp;IF(""="","","; "&amp;""),"")))</f>
        <v/>
      </c>
      <c r="J907" s="0" t="s">
        <v>4063</v>
      </c>
      <c r="K907" s="0" t="n">
        <f aca="false">IF(M907=2,"",IF(ISNUMBER(SEARCH("rata-rata:",'Onshore - Sydney'!M914)),VALUE(MID('Onshore - Sydney'!M914,SEARCH("rata-rata:",'Onshore - Sydney'!M914)+11,FIND(";",'Onshore - Sydney'!M914&amp;";",SEARCH("rata-rata:",'Onshore - Sydney'!M914))-SEARCH("rata-rata:",'Onshore - Sydney'!M914)-11)),IF('Onshore - Sydney'!D914="Semester",'Onshore - Sydney'!E914*2,IF('Onshore - Sydney'!D914="Trimester",'Onshore - Sydney'!E914*3,IF('Onshore - Sydney'!D914="Term",'Onshore - Sydney'!E914*4,IF('Onshore - Sydney'!D914="Unit",'Onshore - Sydney'!E914*8,""))))))</f>
        <v>36000</v>
      </c>
      <c r="L907" s="0" t="n">
        <f aca="false">IF(AND(ISNUMBER('Onshore - Sydney'!E914),ISNUMBER(K907),ISNUMBER('Onshore - Sydney'!F914),ISNUMBER('Onshore - Sydney'!G914),OR('Onshore - Sydney'!F914&lt;&gt;0,ISNUMBER(SEARCH("Material 0 terverifikasi",'Onshore - Sydney'!M914))),OR('Onshore - Sydney'!G914&lt;&gt;0,ISNUMBER(SEARCH("Enrolment 0 terverifikasi",'Onshore - Sydney'!M914)))),1,0)</f>
        <v>0</v>
      </c>
      <c r="M907" s="0" t="n">
        <f aca="false">IF(OR('Onshore - Sydney'!E914="",ISNUMBER(SEARCH("BSB80120",'Onshore - Sydney'!B914&amp;'Onshore - Sydney'!M914)),ISNUMBER(SEARCH("Management (Learning)",'Onshore - Sydney'!B914))),2,IF(ISNUMBER(SEARCH("CEK:",'Onshore - Sydney'!M914)),1,0))</f>
        <v>0</v>
      </c>
    </row>
    <row r="908" customFormat="false" ht="28.35" hidden="false" customHeight="false" outlineLevel="0" collapsed="false">
      <c r="A908" s="63" t="s">
        <v>3533</v>
      </c>
      <c r="B908" s="64" t="s">
        <v>3990</v>
      </c>
      <c r="C908" s="63" t="s">
        <v>46</v>
      </c>
      <c r="D908" s="64" t="str">
        <f aca="false">TRIM(LEFT('Onshore - Sydney'!A1062,FIND(CHAR(10),'Onshore - Sydney'!A1062&amp;CHAR(10))-1))</f>
        <v>Western Sydney University</v>
      </c>
      <c r="E908" s="63" t="str">
        <f aca="false">'Onshore - Sydney'!C1169&amp;""</f>
        <v>2 years</v>
      </c>
      <c r="F908" s="63" t="str">
        <f aca="false">IF('Onshore - Sydney'!D1169="","Belum tercatat",'Onshore - Sydney'!D1169)</f>
        <v>Term</v>
      </c>
      <c r="G908" s="65" t="n">
        <f aca="false">IF('Onshore - Sydney'!E1169="","-",'Onshore - Sydney'!E1169)</f>
        <v>10305</v>
      </c>
      <c r="H908" s="63" t="n">
        <f aca="false">IF(ISNUMBER(K908),COUNTIFS($J$6:$J$1916,J908,$K$6:$K$1916,"&lt;"&amp;K908)+1,"-")</f>
        <v>2</v>
      </c>
      <c r="I908" s="64" t="str">
        <f aca="false">IF('Onshore - Sydney'!E1169="","Harga belum tersedia - hubungi konsultan TEG",IF(M908=2,"Saat ini tidak menerima pendaftaran siswa internasional baru",IF(M908=1,"Harga perlu dikonfirmasi ke sekolah"&amp;IF(""="","","; "&amp;""),"")))</f>
        <v/>
      </c>
      <c r="J908" s="0" t="s">
        <v>4063</v>
      </c>
      <c r="K908" s="0" t="n">
        <f aca="false">IF(M908=2,"",IF(ISNUMBER(SEARCH("rata-rata:",'Onshore - Sydney'!M1169)),VALUE(MID('Onshore - Sydney'!M1169,SEARCH("rata-rata:",'Onshore - Sydney'!M1169)+11,FIND(";",'Onshore - Sydney'!M1169&amp;";",SEARCH("rata-rata:",'Onshore - Sydney'!M1169))-SEARCH("rata-rata:",'Onshore - Sydney'!M1169)-11)),IF('Onshore - Sydney'!D1169="Semester",'Onshore - Sydney'!E1169*2,IF('Onshore - Sydney'!D1169="Trimester",'Onshore - Sydney'!E1169*3,IF('Onshore - Sydney'!D1169="Term",'Onshore - Sydney'!E1169*4,IF('Onshore - Sydney'!D1169="Unit",'Onshore - Sydney'!E1169*8,""))))))</f>
        <v>41220</v>
      </c>
      <c r="L908" s="0" t="n">
        <f aca="false">IF(AND(ISNUMBER('Onshore - Sydney'!E1169),ISNUMBER(K908),ISNUMBER('Onshore - Sydney'!F1169),ISNUMBER('Onshore - Sydney'!G1169),OR('Onshore - Sydney'!F1169&lt;&gt;0,ISNUMBER(SEARCH("Material 0 terverifikasi",'Onshore - Sydney'!M1169))),OR('Onshore - Sydney'!G1169&lt;&gt;0,ISNUMBER(SEARCH("Enrolment 0 terverifikasi",'Onshore - Sydney'!M1169)))),1,0)</f>
        <v>0</v>
      </c>
      <c r="M908" s="0" t="n">
        <f aca="false">IF(OR('Onshore - Sydney'!E1169="",ISNUMBER(SEARCH("BSB80120",'Onshore - Sydney'!B1169&amp;'Onshore - Sydney'!M1169)),ISNUMBER(SEARCH("Management (Learning)",'Onshore - Sydney'!B1169))),2,IF(ISNUMBER(SEARCH("CEK:",'Onshore - Sydney'!M1169)),1,0))</f>
        <v>0</v>
      </c>
    </row>
    <row r="909" customFormat="false" ht="15" hidden="false" customHeight="false" outlineLevel="0" collapsed="false">
      <c r="A909" s="61" t="s">
        <v>4064</v>
      </c>
      <c r="B909" s="62"/>
      <c r="C909" s="62"/>
      <c r="D909" s="62"/>
      <c r="E909" s="62"/>
      <c r="F909" s="62"/>
      <c r="G909" s="62"/>
      <c r="H909" s="62"/>
      <c r="I909" s="62"/>
    </row>
    <row r="910" customFormat="false" ht="28.35" hidden="false" customHeight="false" outlineLevel="0" collapsed="false">
      <c r="A910" s="63" t="s">
        <v>3753</v>
      </c>
      <c r="B910" s="64" t="s">
        <v>3990</v>
      </c>
      <c r="C910" s="63" t="s">
        <v>41</v>
      </c>
      <c r="D910" s="64" t="str">
        <f aca="false">TRIM(LEFT('Onshore - Tasmania Hobart'!A8,FIND(CHAR(10),'Onshore - Tasmania Hobart'!A8&amp;CHAR(10))-1))</f>
        <v>Australian Sovereign College (AuSC)</v>
      </c>
      <c r="E910" s="63" t="str">
        <f aca="false">'Onshore - Tasmania Hobart'!C15&amp;""</f>
        <v>2 years</v>
      </c>
      <c r="F910" s="63" t="str">
        <f aca="false">IF('Onshore - Tasmania Hobart'!D15="","Belum tercatat",'Onshore - Tasmania Hobart'!D15)</f>
        <v>Term</v>
      </c>
      <c r="G910" s="65" t="n">
        <f aca="false">IF('Onshore - Tasmania Hobart'!E15="","-",'Onshore - Tasmania Hobart'!E15)</f>
        <v>2625</v>
      </c>
      <c r="H910" s="63" t="n">
        <f aca="false">IF(ISNUMBER(K910),COUNTIFS($J$6:$J$1916,J910,$K$6:$K$1916,"&lt;"&amp;K910)+1,"-")</f>
        <v>1</v>
      </c>
      <c r="I910" s="64" t="str">
        <f aca="false">IF('Onshore - Tasmania Hobart'!E15="","Harga belum tersedia - hubungi konsultan TEG",IF(M910=2,"Saat ini tidak menerima pendaftaran siswa internasional baru",IF(M910=1,"Harga perlu dikonfirmasi ke sekolah"&amp;IF(""="","","; "&amp;""),"")))</f>
        <v/>
      </c>
      <c r="J910" s="0" t="s">
        <v>4065</v>
      </c>
      <c r="K910" s="0" t="n">
        <f aca="false">IF(M910=2,"",IF(ISNUMBER(SEARCH("rata-rata:",'Onshore - Tasmania Hobart'!M15)),VALUE(MID('Onshore - Tasmania Hobart'!M15,SEARCH("rata-rata:",'Onshore - Tasmania Hobart'!M15)+11,FIND(";",'Onshore - Tasmania Hobart'!M15&amp;";",SEARCH("rata-rata:",'Onshore - Tasmania Hobart'!M15))-SEARCH("rata-rata:",'Onshore - Tasmania Hobart'!M15)-11)),IF('Onshore - Tasmania Hobart'!D15="Semester",'Onshore - Tasmania Hobart'!E15*2,IF('Onshore - Tasmania Hobart'!D15="Trimester",'Onshore - Tasmania Hobart'!E15*3,IF('Onshore - Tasmania Hobart'!D15="Term",'Onshore - Tasmania Hobart'!E15*4,IF('Onshore - Tasmania Hobart'!D15="Unit",'Onshore - Tasmania Hobart'!E15*8,""))))))</f>
        <v>10500</v>
      </c>
      <c r="L910" s="0" t="n">
        <f aca="false">IF(AND(ISNUMBER('Onshore - Tasmania Hobart'!E15),ISNUMBER(K910),ISNUMBER('Onshore - Tasmania Hobart'!F15),ISNUMBER('Onshore - Tasmania Hobart'!G15),OR('Onshore - Tasmania Hobart'!F15&lt;&gt;0,ISNUMBER(SEARCH("Material 0 terverifikasi",'Onshore - Tasmania Hobart'!M15))),OR('Onshore - Tasmania Hobart'!G15&lt;&gt;0,ISNUMBER(SEARCH("Enrolment 0 terverifikasi",'Onshore - Tasmania Hobart'!M15)))),1,0)</f>
        <v>1</v>
      </c>
      <c r="M910" s="0" t="n">
        <f aca="false">IF(OR('Onshore - Tasmania Hobart'!E15="",ISNUMBER(SEARCH("BSB80120",'Onshore - Tasmania Hobart'!B15&amp;'Onshore - Tasmania Hobart'!M15)),ISNUMBER(SEARCH("Management (Learning)",'Onshore - Tasmania Hobart'!B15))),2,IF(ISNUMBER(SEARCH("CEK:",'Onshore - Tasmania Hobart'!M15)),1,0))</f>
        <v>0</v>
      </c>
    </row>
    <row r="911" customFormat="false" ht="15" hidden="false" customHeight="false" outlineLevel="0" collapsed="false">
      <c r="A911" s="61" t="s">
        <v>4066</v>
      </c>
      <c r="B911" s="62"/>
      <c r="C911" s="62"/>
      <c r="D911" s="62"/>
      <c r="E911" s="62"/>
      <c r="F911" s="62"/>
      <c r="G911" s="62"/>
      <c r="H911" s="62"/>
      <c r="I911" s="62"/>
    </row>
    <row r="912" customFormat="false" ht="28.35" hidden="false" customHeight="false" outlineLevel="0" collapsed="false">
      <c r="A912" s="63" t="s">
        <v>3753</v>
      </c>
      <c r="B912" s="64" t="s">
        <v>3990</v>
      </c>
      <c r="C912" s="63" t="s">
        <v>43</v>
      </c>
      <c r="D912" s="64" t="str">
        <f aca="false">TRIM(LEFT('Onshore - Tasmania Hobart'!A21,FIND(CHAR(10),'Onshore - Tasmania Hobart'!A21&amp;CHAR(10))-1))</f>
        <v>University of Tasmania (UTAS)</v>
      </c>
      <c r="E912" s="63" t="str">
        <f aca="false">'Onshore - Tasmania Hobart'!C31&amp;""</f>
        <v>3 years</v>
      </c>
      <c r="F912" s="63" t="str">
        <f aca="false">IF('Onshore - Tasmania Hobart'!D31="","Belum tercatat",'Onshore - Tasmania Hobart'!D31)</f>
        <v>Term</v>
      </c>
      <c r="G912" s="65" t="n">
        <f aca="false">IF('Onshore - Tasmania Hobart'!E31="","-",'Onshore - Tasmania Hobart'!E31)</f>
        <v>10487.5</v>
      </c>
      <c r="H912" s="63" t="n">
        <f aca="false">IF(ISNUMBER(K912),COUNTIFS($J$6:$J$1916,J912,$K$6:$K$1916,"&lt;"&amp;K912)+1,"-")</f>
        <v>1</v>
      </c>
      <c r="I912" s="64" t="str">
        <f aca="false">IF('Onshore - Tasmania Hobart'!E31="","Harga belum tersedia - hubungi konsultan TEG",IF(M912=2,"Saat ini tidak menerima pendaftaran siswa internasional baru",IF(M912=1,"Harga perlu dikonfirmasi ke sekolah"&amp;IF(""="","","; "&amp;""),"")))</f>
        <v>Harga perlu dikonfirmasi ke sekolah</v>
      </c>
      <c r="J912" s="0" t="s">
        <v>4067</v>
      </c>
      <c r="K912" s="0" t="n">
        <f aca="false">IF(M912=2,"",IF(ISNUMBER(SEARCH("rata-rata:",'Onshore - Tasmania Hobart'!M31)),VALUE(MID('Onshore - Tasmania Hobart'!M31,SEARCH("rata-rata:",'Onshore - Tasmania Hobart'!M31)+11,FIND(";",'Onshore - Tasmania Hobart'!M31&amp;";",SEARCH("rata-rata:",'Onshore - Tasmania Hobart'!M31))-SEARCH("rata-rata:",'Onshore - Tasmania Hobart'!M31)-11)),IF('Onshore - Tasmania Hobart'!D31="Semester",'Onshore - Tasmania Hobart'!E31*2,IF('Onshore - Tasmania Hobart'!D31="Trimester",'Onshore - Tasmania Hobart'!E31*3,IF('Onshore - Tasmania Hobart'!D31="Term",'Onshore - Tasmania Hobart'!E31*4,IF('Onshore - Tasmania Hobart'!D31="Unit",'Onshore - Tasmania Hobart'!E31*8,""))))))</f>
        <v>41950</v>
      </c>
      <c r="L912" s="0" t="n">
        <f aca="false">IF(AND(ISNUMBER('Onshore - Tasmania Hobart'!E31),ISNUMBER(K912),ISNUMBER('Onshore - Tasmania Hobart'!F31),ISNUMBER('Onshore - Tasmania Hobart'!G31),OR('Onshore - Tasmania Hobart'!F31&lt;&gt;0,ISNUMBER(SEARCH("Material 0 terverifikasi",'Onshore - Tasmania Hobart'!M31))),OR('Onshore - Tasmania Hobart'!G31&lt;&gt;0,ISNUMBER(SEARCH("Enrolment 0 terverifikasi",'Onshore - Tasmania Hobart'!M31)))),1,0)</f>
        <v>0</v>
      </c>
      <c r="M912" s="0" t="n">
        <f aca="false">IF(OR('Onshore - Tasmania Hobart'!E31="",ISNUMBER(SEARCH("BSB80120",'Onshore - Tasmania Hobart'!B31&amp;'Onshore - Tasmania Hobart'!M31)),ISNUMBER(SEARCH("Management (Learning)",'Onshore - Tasmania Hobart'!B31))),2,IF(ISNUMBER(SEARCH("CEK:",'Onshore - Tasmania Hobart'!M31)),1,0))</f>
        <v>1</v>
      </c>
    </row>
    <row r="913" customFormat="false" ht="15" hidden="false" customHeight="false" outlineLevel="0" collapsed="false">
      <c r="A913" s="61" t="s">
        <v>4068</v>
      </c>
      <c r="B913" s="62"/>
      <c r="C913" s="62"/>
      <c r="D913" s="62"/>
      <c r="E913" s="62"/>
      <c r="F913" s="62"/>
      <c r="G913" s="62"/>
      <c r="H913" s="62"/>
      <c r="I913" s="62"/>
    </row>
    <row r="914" customFormat="false" ht="28.35" hidden="false" customHeight="false" outlineLevel="0" collapsed="false">
      <c r="A914" s="63" t="s">
        <v>3753</v>
      </c>
      <c r="B914" s="64" t="s">
        <v>3990</v>
      </c>
      <c r="C914" s="63" t="s">
        <v>3707</v>
      </c>
      <c r="D914" s="64" t="str">
        <f aca="false">TRIM(LEFT('Onshore - Tasmania Hobart'!A21,FIND(CHAR(10),'Onshore - Tasmania Hobart'!A21&amp;CHAR(10))-1))</f>
        <v>University of Tasmania (UTAS)</v>
      </c>
      <c r="E914" s="63" t="str">
        <f aca="false">'Onshore - Tasmania Hobart'!C52&amp;""</f>
        <v>0,5 years</v>
      </c>
      <c r="F914" s="63" t="str">
        <f aca="false">IF('Onshore - Tasmania Hobart'!D52="","Belum tercatat",'Onshore - Tasmania Hobart'!D52)</f>
        <v>Term</v>
      </c>
      <c r="G914" s="65" t="n">
        <f aca="false">IF('Onshore - Tasmania Hobart'!E52="","-",'Onshore - Tasmania Hobart'!E52)</f>
        <v>10062.5</v>
      </c>
      <c r="H914" s="63" t="n">
        <f aca="false">IF(ISNUMBER(K914),COUNTIFS($J$6:$J$1916,J914,$K$6:$K$1916,"&lt;"&amp;K914)+1,"-")</f>
        <v>1</v>
      </c>
      <c r="I914" s="64" t="str">
        <f aca="false">IF('Onshore - Tasmania Hobart'!E52="","Harga belum tersedia - hubungi konsultan TEG",IF(M914=2,"Saat ini tidak menerima pendaftaran siswa internasional baru",IF(M914=1,"Harga perlu dikonfirmasi ke sekolah"&amp;IF(""="","","; "&amp;""),"")))</f>
        <v/>
      </c>
      <c r="J914" s="0" t="s">
        <v>4069</v>
      </c>
      <c r="K914" s="0" t="n">
        <f aca="false">IF(M914=2,"",IF(ISNUMBER(SEARCH("rata-rata:",'Onshore - Tasmania Hobart'!M52)),VALUE(MID('Onshore - Tasmania Hobart'!M52,SEARCH("rata-rata:",'Onshore - Tasmania Hobart'!M52)+11,FIND(";",'Onshore - Tasmania Hobart'!M52&amp;";",SEARCH("rata-rata:",'Onshore - Tasmania Hobart'!M52))-SEARCH("rata-rata:",'Onshore - Tasmania Hobart'!M52)-11)),IF('Onshore - Tasmania Hobart'!D52="Semester",'Onshore - Tasmania Hobart'!E52*2,IF('Onshore - Tasmania Hobart'!D52="Trimester",'Onshore - Tasmania Hobart'!E52*3,IF('Onshore - Tasmania Hobart'!D52="Term",'Onshore - Tasmania Hobart'!E52*4,IF('Onshore - Tasmania Hobart'!D52="Unit",'Onshore - Tasmania Hobart'!E52*8,""))))))</f>
        <v>40250</v>
      </c>
      <c r="L914" s="0" t="n">
        <f aca="false">IF(AND(ISNUMBER('Onshore - Tasmania Hobart'!E52),ISNUMBER(K914),ISNUMBER('Onshore - Tasmania Hobart'!F52),ISNUMBER('Onshore - Tasmania Hobart'!G52),OR('Onshore - Tasmania Hobart'!F52&lt;&gt;0,ISNUMBER(SEARCH("Material 0 terverifikasi",'Onshore - Tasmania Hobart'!M52))),OR('Onshore - Tasmania Hobart'!G52&lt;&gt;0,ISNUMBER(SEARCH("Enrolment 0 terverifikasi",'Onshore - Tasmania Hobart'!M52)))),1,0)</f>
        <v>0</v>
      </c>
      <c r="M914" s="0" t="n">
        <f aca="false">IF(OR('Onshore - Tasmania Hobart'!E52="",ISNUMBER(SEARCH("BSB80120",'Onshore - Tasmania Hobart'!B52&amp;'Onshore - Tasmania Hobart'!M52)),ISNUMBER(SEARCH("Management (Learning)",'Onshore - Tasmania Hobart'!B52))),2,IF(ISNUMBER(SEARCH("CEK:",'Onshore - Tasmania Hobart'!M52)),1,0))</f>
        <v>0</v>
      </c>
    </row>
    <row r="915" customFormat="false" ht="15" hidden="false" customHeight="false" outlineLevel="0" collapsed="false">
      <c r="A915" s="61" t="s">
        <v>4070</v>
      </c>
      <c r="B915" s="62"/>
      <c r="C915" s="62"/>
      <c r="D915" s="62"/>
      <c r="E915" s="62"/>
      <c r="F915" s="62"/>
      <c r="G915" s="62"/>
      <c r="H915" s="62"/>
      <c r="I915" s="62"/>
    </row>
    <row r="916" customFormat="false" ht="28.35" hidden="false" customHeight="false" outlineLevel="0" collapsed="false">
      <c r="A916" s="63" t="s">
        <v>3753</v>
      </c>
      <c r="B916" s="64" t="s">
        <v>3990</v>
      </c>
      <c r="C916" s="63" t="s">
        <v>46</v>
      </c>
      <c r="D916" s="64" t="str">
        <f aca="false">TRIM(LEFT('Onshore - Tasmania Hobart'!A21,FIND(CHAR(10),'Onshore - Tasmania Hobart'!A21&amp;CHAR(10))-1))</f>
        <v>University of Tasmania (UTAS)</v>
      </c>
      <c r="E916" s="63" t="str">
        <f aca="false">'Onshore - Tasmania Hobart'!C79&amp;""</f>
        <v>2 years</v>
      </c>
      <c r="F916" s="63" t="str">
        <f aca="false">IF('Onshore - Tasmania Hobart'!D79="","Belum tercatat",'Onshore - Tasmania Hobart'!D79)</f>
        <v>Term</v>
      </c>
      <c r="G916" s="65" t="n">
        <f aca="false">IF('Onshore - Tasmania Hobart'!E79="","-",'Onshore - Tasmania Hobart'!E79)</f>
        <v>10062.5</v>
      </c>
      <c r="H916" s="63" t="n">
        <f aca="false">IF(ISNUMBER(K916),COUNTIFS($J$6:$J$1916,J916,$K$6:$K$1916,"&lt;"&amp;K916)+1,"-")</f>
        <v>1</v>
      </c>
      <c r="I916" s="64" t="str">
        <f aca="false">IF('Onshore - Tasmania Hobart'!E79="","Harga belum tersedia - hubungi konsultan TEG",IF(M916=2,"Saat ini tidak menerima pendaftaran siswa internasional baru",IF(M916=1,"Harga perlu dikonfirmasi ke sekolah"&amp;IF(""="","","; "&amp;""),"")))</f>
        <v/>
      </c>
      <c r="J916" s="0" t="s">
        <v>4071</v>
      </c>
      <c r="K916" s="0" t="n">
        <f aca="false">IF(M916=2,"",IF(ISNUMBER(SEARCH("rata-rata:",'Onshore - Tasmania Hobart'!M79)),VALUE(MID('Onshore - Tasmania Hobart'!M79,SEARCH("rata-rata:",'Onshore - Tasmania Hobart'!M79)+11,FIND(";",'Onshore - Tasmania Hobart'!M79&amp;";",SEARCH("rata-rata:",'Onshore - Tasmania Hobart'!M79))-SEARCH("rata-rata:",'Onshore - Tasmania Hobart'!M79)-11)),IF('Onshore - Tasmania Hobart'!D79="Semester",'Onshore - Tasmania Hobart'!E79*2,IF('Onshore - Tasmania Hobart'!D79="Trimester",'Onshore - Tasmania Hobart'!E79*3,IF('Onshore - Tasmania Hobart'!D79="Term",'Onshore - Tasmania Hobart'!E79*4,IF('Onshore - Tasmania Hobart'!D79="Unit",'Onshore - Tasmania Hobart'!E79*8,""))))))</f>
        <v>40250</v>
      </c>
      <c r="L916" s="0" t="n">
        <f aca="false">IF(AND(ISNUMBER('Onshore - Tasmania Hobart'!E79),ISNUMBER(K916),ISNUMBER('Onshore - Tasmania Hobart'!F79),ISNUMBER('Onshore - Tasmania Hobart'!G79),OR('Onshore - Tasmania Hobart'!F79&lt;&gt;0,ISNUMBER(SEARCH("Material 0 terverifikasi",'Onshore - Tasmania Hobart'!M79))),OR('Onshore - Tasmania Hobart'!G79&lt;&gt;0,ISNUMBER(SEARCH("Enrolment 0 terverifikasi",'Onshore - Tasmania Hobart'!M79)))),1,0)</f>
        <v>0</v>
      </c>
      <c r="M916" s="0" t="n">
        <f aca="false">IF(OR('Onshore - Tasmania Hobart'!E79="",ISNUMBER(SEARCH("BSB80120",'Onshore - Tasmania Hobart'!B79&amp;'Onshore - Tasmania Hobart'!M79)),ISNUMBER(SEARCH("Management (Learning)",'Onshore - Tasmania Hobart'!B79))),2,IF(ISNUMBER(SEARCH("CEK:",'Onshore - Tasmania Hobart'!M79)),1,0))</f>
        <v>0</v>
      </c>
    </row>
    <row r="917" customFormat="false" ht="15" hidden="false" customHeight="false" outlineLevel="0" collapsed="false">
      <c r="A917" s="61" t="s">
        <v>4072</v>
      </c>
      <c r="B917" s="62"/>
      <c r="C917" s="62"/>
      <c r="D917" s="62"/>
      <c r="E917" s="62"/>
      <c r="F917" s="62"/>
      <c r="G917" s="62"/>
      <c r="H917" s="62"/>
      <c r="I917" s="62"/>
    </row>
    <row r="918" customFormat="false" ht="15" hidden="false" customHeight="false" outlineLevel="0" collapsed="false">
      <c r="A918" s="63" t="s">
        <v>3659</v>
      </c>
      <c r="B918" s="64" t="s">
        <v>4073</v>
      </c>
      <c r="C918" s="63" t="s">
        <v>40</v>
      </c>
      <c r="D918" s="64" t="str">
        <f aca="false">TRIM(LEFT('Onshore - Adelaide'!A487,FIND(CHAR(10),'Onshore - Adelaide'!A487&amp;CHAR(10))-1))</f>
        <v>TAFE SA</v>
      </c>
      <c r="E918" s="63" t="str">
        <f aca="false">'Onshore - Adelaide'!C487&amp;""</f>
        <v>1 year</v>
      </c>
      <c r="F918" s="63" t="str">
        <f aca="false">IF('Onshore - Adelaide'!D487="","Belum tercatat",'Onshore - Adelaide'!D487)</f>
        <v>Semester</v>
      </c>
      <c r="G918" s="65" t="n">
        <f aca="false">IF('Onshore - Adelaide'!E487="","-",'Onshore - Adelaide'!E487)</f>
        <v>9275</v>
      </c>
      <c r="H918" s="63" t="n">
        <f aca="false">IF(ISNUMBER(K918),COUNTIFS($J$6:$J$1916,J918,$K$6:$K$1916,"&lt;"&amp;K918)+1,"-")</f>
        <v>1</v>
      </c>
      <c r="I918" s="64" t="str">
        <f aca="false">IF('Onshore - Adelaide'!E487="","Harga belum tersedia - hubungi konsultan TEG",IF(M918=2,"Saat ini tidak menerima pendaftaran siswa internasional baru",IF(M918=1,"Harga perlu dikonfirmasi ke sekolah"&amp;IF(""="","","; "&amp;""),"")))</f>
        <v/>
      </c>
      <c r="J918" s="0" t="s">
        <v>4074</v>
      </c>
      <c r="K918" s="0" t="n">
        <f aca="false">IF(M918=2,"",IF(ISNUMBER(SEARCH("rata-rata:",'Onshore - Adelaide'!M487)),VALUE(MID('Onshore - Adelaide'!M487,SEARCH("rata-rata:",'Onshore - Adelaide'!M487)+11,FIND(";",'Onshore - Adelaide'!M487&amp;";",SEARCH("rata-rata:",'Onshore - Adelaide'!M487))-SEARCH("rata-rata:",'Onshore - Adelaide'!M487)-11)),IF('Onshore - Adelaide'!D487="Semester",'Onshore - Adelaide'!E487*2,IF('Onshore - Adelaide'!D487="Trimester",'Onshore - Adelaide'!E487*3,IF('Onshore - Adelaide'!D487="Term",'Onshore - Adelaide'!E487*4,IF('Onshore - Adelaide'!D487="Unit",'Onshore - Adelaide'!E487*8,""))))))</f>
        <v>18550</v>
      </c>
      <c r="L918" s="0" t="n">
        <f aca="false">IF(AND(ISNUMBER('Onshore - Adelaide'!E487),ISNUMBER(K918),ISNUMBER('Onshore - Adelaide'!F487),ISNUMBER('Onshore - Adelaide'!G487),OR('Onshore - Adelaide'!F487&lt;&gt;0,ISNUMBER(SEARCH("Material 0 terverifikasi",'Onshore - Adelaide'!M487))),OR('Onshore - Adelaide'!G487&lt;&gt;0,ISNUMBER(SEARCH("Enrolment 0 terverifikasi",'Onshore - Adelaide'!M487)))),1,0)</f>
        <v>0</v>
      </c>
      <c r="M918" s="0" t="n">
        <f aca="false">IF(OR('Onshore - Adelaide'!E487="",ISNUMBER(SEARCH("BSB80120",'Onshore - Adelaide'!B487&amp;'Onshore - Adelaide'!M487)),ISNUMBER(SEARCH("Management (Learning)",'Onshore - Adelaide'!B487))),2,IF(ISNUMBER(SEARCH("CEK:",'Onshore - Adelaide'!M487)),1,0))</f>
        <v>0</v>
      </c>
    </row>
    <row r="919" customFormat="false" ht="15" hidden="false" customHeight="false" outlineLevel="0" collapsed="false">
      <c r="A919" s="61" t="s">
        <v>4075</v>
      </c>
      <c r="B919" s="62"/>
      <c r="C919" s="62"/>
      <c r="D919" s="62"/>
      <c r="E919" s="62"/>
      <c r="F919" s="62"/>
      <c r="G919" s="62"/>
      <c r="H919" s="62"/>
      <c r="I919" s="62"/>
    </row>
    <row r="920" customFormat="false" ht="15" hidden="false" customHeight="false" outlineLevel="0" collapsed="false">
      <c r="A920" s="63" t="s">
        <v>3659</v>
      </c>
      <c r="B920" s="64" t="s">
        <v>4073</v>
      </c>
      <c r="C920" s="63" t="s">
        <v>41</v>
      </c>
      <c r="D920" s="64" t="str">
        <f aca="false">TRIM(LEFT('Onshore - Adelaide'!A487,FIND(CHAR(10),'Onshore - Adelaide'!A487&amp;CHAR(10))-1))</f>
        <v>TAFE SA</v>
      </c>
      <c r="E920" s="63" t="str">
        <f aca="false">'Onshore - Adelaide'!C491&amp;""</f>
        <v>2 years</v>
      </c>
      <c r="F920" s="63" t="str">
        <f aca="false">IF('Onshore - Adelaide'!D491="","Belum tercatat",'Onshore - Adelaide'!D491)</f>
        <v>Semester</v>
      </c>
      <c r="G920" s="65" t="n">
        <f aca="false">IF('Onshore - Adelaide'!E491="","-",'Onshore - Adelaide'!E491)</f>
        <v>9720</v>
      </c>
      <c r="H920" s="63" t="n">
        <f aca="false">IF(ISNUMBER(K920),COUNTIFS($J$6:$J$1916,J920,$K$6:$K$1916,"&lt;"&amp;K920)+1,"-")</f>
        <v>1</v>
      </c>
      <c r="I920" s="64" t="str">
        <f aca="false">IF('Onshore - Adelaide'!E491="","Harga belum tersedia - hubungi konsultan TEG",IF(M920=2,"Saat ini tidak menerima pendaftaran siswa internasional baru",IF(M920=1,"Harga perlu dikonfirmasi ke sekolah"&amp;IF(""="","","; "&amp;""),"")))</f>
        <v/>
      </c>
      <c r="J920" s="0" t="s">
        <v>4076</v>
      </c>
      <c r="K920" s="0" t="n">
        <f aca="false">IF(M920=2,"",IF(ISNUMBER(SEARCH("rata-rata:",'Onshore - Adelaide'!M491)),VALUE(MID('Onshore - Adelaide'!M491,SEARCH("rata-rata:",'Onshore - Adelaide'!M491)+11,FIND(";",'Onshore - Adelaide'!M491&amp;";",SEARCH("rata-rata:",'Onshore - Adelaide'!M491))-SEARCH("rata-rata:",'Onshore - Adelaide'!M491)-11)),IF('Onshore - Adelaide'!D491="Semester",'Onshore - Adelaide'!E491*2,IF('Onshore - Adelaide'!D491="Trimester",'Onshore - Adelaide'!E491*3,IF('Onshore - Adelaide'!D491="Term",'Onshore - Adelaide'!E491*4,IF('Onshore - Adelaide'!D491="Unit",'Onshore - Adelaide'!E491*8,""))))))</f>
        <v>19440</v>
      </c>
      <c r="L920" s="0" t="n">
        <f aca="false">IF(AND(ISNUMBER('Onshore - Adelaide'!E491),ISNUMBER(K920),ISNUMBER('Onshore - Adelaide'!F491),ISNUMBER('Onshore - Adelaide'!G491),OR('Onshore - Adelaide'!F491&lt;&gt;0,ISNUMBER(SEARCH("Material 0 terverifikasi",'Onshore - Adelaide'!M491))),OR('Onshore - Adelaide'!G491&lt;&gt;0,ISNUMBER(SEARCH("Enrolment 0 terverifikasi",'Onshore - Adelaide'!M491)))),1,0)</f>
        <v>0</v>
      </c>
      <c r="M920" s="0" t="n">
        <f aca="false">IF(OR('Onshore - Adelaide'!E491="",ISNUMBER(SEARCH("BSB80120",'Onshore - Adelaide'!B491&amp;'Onshore - Adelaide'!M491)),ISNUMBER(SEARCH("Management (Learning)",'Onshore - Adelaide'!B491))),2,IF(ISNUMBER(SEARCH("CEK:",'Onshore - Adelaide'!M491)),1,0))</f>
        <v>0</v>
      </c>
    </row>
    <row r="921" customFormat="false" ht="15" hidden="false" customHeight="false" outlineLevel="0" collapsed="false">
      <c r="A921" s="61" t="s">
        <v>4077</v>
      </c>
      <c r="B921" s="62"/>
      <c r="C921" s="62"/>
      <c r="D921" s="62"/>
      <c r="E921" s="62"/>
      <c r="F921" s="62"/>
      <c r="G921" s="62"/>
      <c r="H921" s="62"/>
      <c r="I921" s="62"/>
    </row>
    <row r="922" customFormat="false" ht="15" hidden="false" customHeight="false" outlineLevel="0" collapsed="false">
      <c r="A922" s="63" t="s">
        <v>3659</v>
      </c>
      <c r="B922" s="64" t="s">
        <v>4073</v>
      </c>
      <c r="C922" s="63" t="s">
        <v>42</v>
      </c>
      <c r="D922" s="64" t="str">
        <f aca="false">TRIM(LEFT('Onshore - Adelaide'!A487,FIND(CHAR(10),'Onshore - Adelaide'!A487&amp;CHAR(10))-1))</f>
        <v>TAFE SA</v>
      </c>
      <c r="E922" s="63" t="str">
        <f aca="false">'Onshore - Adelaide'!C493&amp;""</f>
        <v>1 year</v>
      </c>
      <c r="F922" s="63" t="str">
        <f aca="false">IF('Onshore - Adelaide'!D493="","Belum tercatat",'Onshore - Adelaide'!D493)</f>
        <v>Semester</v>
      </c>
      <c r="G922" s="65" t="n">
        <f aca="false">IF('Onshore - Adelaide'!E493="","-",'Onshore - Adelaide'!E493)</f>
        <v>10225</v>
      </c>
      <c r="H922" s="63" t="n">
        <f aca="false">IF(ISNUMBER(K922),COUNTIFS($J$6:$J$1916,J922,$K$6:$K$1916,"&lt;"&amp;K922)+1,"-")</f>
        <v>1</v>
      </c>
      <c r="I922" s="64" t="str">
        <f aca="false">IF('Onshore - Adelaide'!E493="","Harga belum tersedia - hubungi konsultan TEG",IF(M922=2,"Saat ini tidak menerima pendaftaran siswa internasional baru",IF(M922=1,"Harga perlu dikonfirmasi ke sekolah"&amp;IF(""="","","; "&amp;""),"")))</f>
        <v/>
      </c>
      <c r="J922" s="0" t="s">
        <v>4078</v>
      </c>
      <c r="K922" s="0" t="n">
        <f aca="false">IF(M922=2,"",IF(ISNUMBER(SEARCH("rata-rata:",'Onshore - Adelaide'!M493)),VALUE(MID('Onshore - Adelaide'!M493,SEARCH("rata-rata:",'Onshore - Adelaide'!M493)+11,FIND(";",'Onshore - Adelaide'!M493&amp;";",SEARCH("rata-rata:",'Onshore - Adelaide'!M493))-SEARCH("rata-rata:",'Onshore - Adelaide'!M493)-11)),IF('Onshore - Adelaide'!D493="Semester",'Onshore - Adelaide'!E493*2,IF('Onshore - Adelaide'!D493="Trimester",'Onshore - Adelaide'!E493*3,IF('Onshore - Adelaide'!D493="Term",'Onshore - Adelaide'!E493*4,IF('Onshore - Adelaide'!D493="Unit",'Onshore - Adelaide'!E493*8,""))))))</f>
        <v>20450</v>
      </c>
      <c r="L922" s="0" t="n">
        <f aca="false">IF(AND(ISNUMBER('Onshore - Adelaide'!E493),ISNUMBER(K922),ISNUMBER('Onshore - Adelaide'!F493),ISNUMBER('Onshore - Adelaide'!G493),OR('Onshore - Adelaide'!F493&lt;&gt;0,ISNUMBER(SEARCH("Material 0 terverifikasi",'Onshore - Adelaide'!M493))),OR('Onshore - Adelaide'!G493&lt;&gt;0,ISNUMBER(SEARCH("Enrolment 0 terverifikasi",'Onshore - Adelaide'!M493)))),1,0)</f>
        <v>0</v>
      </c>
      <c r="M922" s="0" t="n">
        <f aca="false">IF(OR('Onshore - Adelaide'!E493="",ISNUMBER(SEARCH("BSB80120",'Onshore - Adelaide'!B493&amp;'Onshore - Adelaide'!M493)),ISNUMBER(SEARCH("Management (Learning)",'Onshore - Adelaide'!B493))),2,IF(ISNUMBER(SEARCH("CEK:",'Onshore - Adelaide'!M493)),1,0))</f>
        <v>0</v>
      </c>
    </row>
    <row r="923" customFormat="false" ht="15" hidden="false" customHeight="false" outlineLevel="0" collapsed="false">
      <c r="A923" s="61" t="s">
        <v>4079</v>
      </c>
      <c r="B923" s="62"/>
      <c r="C923" s="62"/>
      <c r="D923" s="62"/>
      <c r="E923" s="62"/>
      <c r="F923" s="62"/>
      <c r="G923" s="62"/>
      <c r="H923" s="62"/>
      <c r="I923" s="62"/>
    </row>
    <row r="924" customFormat="false" ht="28.35" hidden="false" customHeight="false" outlineLevel="0" collapsed="false">
      <c r="A924" s="63" t="s">
        <v>3659</v>
      </c>
      <c r="B924" s="64" t="s">
        <v>4073</v>
      </c>
      <c r="C924" s="63" t="s">
        <v>43</v>
      </c>
      <c r="D924" s="64" t="str">
        <f aca="false">TRIM(LEFT('Onshore - Adelaide'!A441,FIND(CHAR(10),'Onshore - Adelaide'!A441&amp;CHAR(10))-1))</f>
        <v>Greenwich Higher Education (Academy of Interactive Technology Pty Ltd)</v>
      </c>
      <c r="E924" s="63" t="str">
        <f aca="false">'Onshore - Adelaide'!C442&amp;""</f>
        <v>3 years</v>
      </c>
      <c r="F924" s="63" t="str">
        <f aca="false">IF('Onshore - Adelaide'!D442="","Belum tercatat",'Onshore - Adelaide'!D442)</f>
        <v>Term</v>
      </c>
      <c r="G924" s="65" t="n">
        <f aca="false">IF('Onshore - Adelaide'!E442="","-",'Onshore - Adelaide'!E442)</f>
        <v>4025</v>
      </c>
      <c r="H924" s="63" t="n">
        <f aca="false">IF(ISNUMBER(K924),COUNTIFS($J$6:$J$1916,J924,$K$6:$K$1916,"&lt;"&amp;K924)+1,"-")</f>
        <v>1</v>
      </c>
      <c r="I924" s="64" t="str">
        <f aca="false">IF('Onshore - Adelaide'!E442="","Harga belum tersedia - hubungi konsultan TEG",IF(M924=2,"Saat ini tidak menerima pendaftaran siswa internasional baru",IF(M924=1,"Program perlu dikonfirmasi ketersediaannya"&amp;IF(""="","","; "&amp;""),"")))</f>
        <v>Program perlu dikonfirmasi ketersediaannya</v>
      </c>
      <c r="J924" s="0" t="s">
        <v>4080</v>
      </c>
      <c r="K924" s="0" t="n">
        <f aca="false">IF(M924=2,"",IF(ISNUMBER(SEARCH("rata-rata:",'Onshore - Adelaide'!M442)),VALUE(MID('Onshore - Adelaide'!M442,SEARCH("rata-rata:",'Onshore - Adelaide'!M442)+11,FIND(";",'Onshore - Adelaide'!M442&amp;";",SEARCH("rata-rata:",'Onshore - Adelaide'!M442))-SEARCH("rata-rata:",'Onshore - Adelaide'!M442)-11)),IF('Onshore - Adelaide'!D442="Semester",'Onshore - Adelaide'!E442*2,IF('Onshore - Adelaide'!D442="Trimester",'Onshore - Adelaide'!E442*3,IF('Onshore - Adelaide'!D442="Term",'Onshore - Adelaide'!E442*4,IF('Onshore - Adelaide'!D442="Unit",'Onshore - Adelaide'!E442*8,""))))))</f>
        <v>16100</v>
      </c>
      <c r="L924" s="0" t="n">
        <f aca="false">IF(AND(ISNUMBER('Onshore - Adelaide'!E442),ISNUMBER(K924),ISNUMBER('Onshore - Adelaide'!F442),ISNUMBER('Onshore - Adelaide'!G442),OR('Onshore - Adelaide'!F442&lt;&gt;0,ISNUMBER(SEARCH("Material 0 terverifikasi",'Onshore - Adelaide'!M442))),OR('Onshore - Adelaide'!G442&lt;&gt;0,ISNUMBER(SEARCH("Enrolment 0 terverifikasi",'Onshore - Adelaide'!M442)))),1,0)</f>
        <v>1</v>
      </c>
      <c r="M924" s="0" t="n">
        <f aca="false">IF(OR('Onshore - Adelaide'!E442="",ISNUMBER(SEARCH("BSB80120",'Onshore - Adelaide'!B442&amp;'Onshore - Adelaide'!M442)),ISNUMBER(SEARCH("Management (Learning)",'Onshore - Adelaide'!B442))),2,IF(ISNUMBER(SEARCH("CEK:",'Onshore - Adelaide'!M442)),1,0))</f>
        <v>1</v>
      </c>
    </row>
    <row r="925" customFormat="false" ht="15" hidden="false" customHeight="false" outlineLevel="0" collapsed="false">
      <c r="A925" s="63" t="s">
        <v>3659</v>
      </c>
      <c r="B925" s="64" t="s">
        <v>4073</v>
      </c>
      <c r="C925" s="63" t="s">
        <v>43</v>
      </c>
      <c r="D925" s="64" t="str">
        <f aca="false">TRIM(LEFT('Onshore - Adelaide'!A15,FIND(CHAR(10),'Onshore - Adelaide'!A15&amp;CHAR(10))-1))</f>
        <v>Adelaide University</v>
      </c>
      <c r="E925" s="63" t="str">
        <f aca="false">'Onshore - Adelaide'!C121&amp;""</f>
        <v>3 years</v>
      </c>
      <c r="F925" s="63" t="str">
        <f aca="false">IF('Onshore - Adelaide'!D121="","Belum tercatat",'Onshore - Adelaide'!D121)</f>
        <v>Term</v>
      </c>
      <c r="G925" s="65" t="n">
        <f aca="false">IF('Onshore - Adelaide'!E121="","-",'Onshore - Adelaide'!E121)</f>
        <v>10850</v>
      </c>
      <c r="H925" s="63" t="n">
        <f aca="false">IF(ISNUMBER(K925),COUNTIFS($J$6:$J$1916,J925,$K$6:$K$1916,"&lt;"&amp;K925)+1,"-")</f>
        <v>2</v>
      </c>
      <c r="I925" s="64" t="str">
        <f aca="false">IF('Onshore - Adelaide'!E121="","Harga belum tersedia - hubungi konsultan TEG",IF(M925=2,"Saat ini tidak menerima pendaftaran siswa internasional baru",IF(M925=1,"Harga perlu dikonfirmasi ke sekolah"&amp;IF(""="","","; "&amp;""),"")))</f>
        <v/>
      </c>
      <c r="J925" s="0" t="s">
        <v>4080</v>
      </c>
      <c r="K925" s="0" t="n">
        <f aca="false">IF(M925=2,"",IF(ISNUMBER(SEARCH("rata-rata:",'Onshore - Adelaide'!M121)),VALUE(MID('Onshore - Adelaide'!M121,SEARCH("rata-rata:",'Onshore - Adelaide'!M121)+11,FIND(";",'Onshore - Adelaide'!M121&amp;";",SEARCH("rata-rata:",'Onshore - Adelaide'!M121))-SEARCH("rata-rata:",'Onshore - Adelaide'!M121)-11)),IF('Onshore - Adelaide'!D121="Semester",'Onshore - Adelaide'!E121*2,IF('Onshore - Adelaide'!D121="Trimester",'Onshore - Adelaide'!E121*3,IF('Onshore - Adelaide'!D121="Term",'Onshore - Adelaide'!E121*4,IF('Onshore - Adelaide'!D121="Unit",'Onshore - Adelaide'!E121*8,""))))))</f>
        <v>43400</v>
      </c>
      <c r="L925" s="0" t="n">
        <f aca="false">IF(AND(ISNUMBER('Onshore - Adelaide'!E121),ISNUMBER(K925),ISNUMBER('Onshore - Adelaide'!F121),ISNUMBER('Onshore - Adelaide'!G121),OR('Onshore - Adelaide'!F121&lt;&gt;0,ISNUMBER(SEARCH("Material 0 terverifikasi",'Onshore - Adelaide'!M121))),OR('Onshore - Adelaide'!G121&lt;&gt;0,ISNUMBER(SEARCH("Enrolment 0 terverifikasi",'Onshore - Adelaide'!M121)))),1,0)</f>
        <v>0</v>
      </c>
      <c r="M925" s="0" t="n">
        <f aca="false">IF(OR('Onshore - Adelaide'!E121="",ISNUMBER(SEARCH("BSB80120",'Onshore - Adelaide'!B121&amp;'Onshore - Adelaide'!M121)),ISNUMBER(SEARCH("Management (Learning)",'Onshore - Adelaide'!B121))),2,IF(ISNUMBER(SEARCH("CEK:",'Onshore - Adelaide'!M121)),1,0))</f>
        <v>0</v>
      </c>
    </row>
    <row r="926" customFormat="false" ht="15" hidden="false" customHeight="false" outlineLevel="0" collapsed="false">
      <c r="A926" s="61" t="s">
        <v>4081</v>
      </c>
      <c r="B926" s="62"/>
      <c r="C926" s="62"/>
      <c r="D926" s="62"/>
      <c r="E926" s="62"/>
      <c r="F926" s="62"/>
      <c r="G926" s="62"/>
      <c r="H926" s="62"/>
      <c r="I926" s="62"/>
    </row>
    <row r="927" customFormat="false" ht="15" hidden="false" customHeight="false" outlineLevel="0" collapsed="false">
      <c r="A927" s="63" t="s">
        <v>3659</v>
      </c>
      <c r="B927" s="64" t="s">
        <v>4073</v>
      </c>
      <c r="C927" s="63" t="s">
        <v>3707</v>
      </c>
      <c r="D927" s="64" t="str">
        <f aca="false">TRIM(LEFT('Onshore - Adelaide'!A15,FIND(CHAR(10),'Onshore - Adelaide'!A15&amp;CHAR(10))-1))</f>
        <v>Adelaide University</v>
      </c>
      <c r="E927" s="63" t="str">
        <f aca="false">'Onshore - Adelaide'!C325&amp;""</f>
        <v>0,5 year</v>
      </c>
      <c r="F927" s="63" t="str">
        <f aca="false">IF('Onshore - Adelaide'!D325="","Belum tercatat",'Onshore - Adelaide'!D325)</f>
        <v>Term</v>
      </c>
      <c r="G927" s="65" t="n">
        <f aca="false">IF('Onshore - Adelaide'!E325="","-",'Onshore - Adelaide'!E325)</f>
        <v>11275</v>
      </c>
      <c r="H927" s="63" t="n">
        <f aca="false">IF(ISNUMBER(K927),COUNTIFS($J$6:$J$1916,J927,$K$6:$K$1916,"&lt;"&amp;K927)+1,"-")</f>
        <v>1</v>
      </c>
      <c r="I927" s="64" t="str">
        <f aca="false">IF('Onshore - Adelaide'!E325="","Harga belum tersedia - hubungi konsultan TEG",IF(M927=2,"Saat ini tidak menerima pendaftaran siswa internasional baru",IF(M927=1,"Harga perlu dikonfirmasi ke sekolah"&amp;IF(""="","","; "&amp;""),"")))</f>
        <v/>
      </c>
      <c r="J927" s="0" t="s">
        <v>4082</v>
      </c>
      <c r="K927" s="0" t="n">
        <f aca="false">IF(M927=2,"",IF(ISNUMBER(SEARCH("rata-rata:",'Onshore - Adelaide'!M325)),VALUE(MID('Onshore - Adelaide'!M325,SEARCH("rata-rata:",'Onshore - Adelaide'!M325)+11,FIND(";",'Onshore - Adelaide'!M325&amp;";",SEARCH("rata-rata:",'Onshore - Adelaide'!M325))-SEARCH("rata-rata:",'Onshore - Adelaide'!M325)-11)),IF('Onshore - Adelaide'!D325="Semester",'Onshore - Adelaide'!E325*2,IF('Onshore - Adelaide'!D325="Trimester",'Onshore - Adelaide'!E325*3,IF('Onshore - Adelaide'!D325="Term",'Onshore - Adelaide'!E325*4,IF('Onshore - Adelaide'!D325="Unit",'Onshore - Adelaide'!E325*8,""))))))</f>
        <v>45100</v>
      </c>
      <c r="L927" s="0" t="n">
        <f aca="false">IF(AND(ISNUMBER('Onshore - Adelaide'!E325),ISNUMBER(K927),ISNUMBER('Onshore - Adelaide'!F325),ISNUMBER('Onshore - Adelaide'!G325),OR('Onshore - Adelaide'!F325&lt;&gt;0,ISNUMBER(SEARCH("Material 0 terverifikasi",'Onshore - Adelaide'!M325))),OR('Onshore - Adelaide'!G325&lt;&gt;0,ISNUMBER(SEARCH("Enrolment 0 terverifikasi",'Onshore - Adelaide'!M325)))),1,0)</f>
        <v>0</v>
      </c>
      <c r="M927" s="0" t="n">
        <f aca="false">IF(OR('Onshore - Adelaide'!E325="",ISNUMBER(SEARCH("BSB80120",'Onshore - Adelaide'!B325&amp;'Onshore - Adelaide'!M325)),ISNUMBER(SEARCH("Management (Learning)",'Onshore - Adelaide'!B325))),2,IF(ISNUMBER(SEARCH("CEK:",'Onshore - Adelaide'!M325)),1,0))</f>
        <v>0</v>
      </c>
    </row>
    <row r="928" customFormat="false" ht="15" hidden="false" customHeight="false" outlineLevel="0" collapsed="false">
      <c r="A928" s="61" t="s">
        <v>4083</v>
      </c>
      <c r="B928" s="62"/>
      <c r="C928" s="62"/>
      <c r="D928" s="62"/>
      <c r="E928" s="62"/>
      <c r="F928" s="62"/>
      <c r="G928" s="62"/>
      <c r="H928" s="62"/>
      <c r="I928" s="62"/>
    </row>
    <row r="929" customFormat="false" ht="15" hidden="false" customHeight="false" outlineLevel="0" collapsed="false">
      <c r="A929" s="63" t="s">
        <v>3659</v>
      </c>
      <c r="B929" s="64" t="s">
        <v>4073</v>
      </c>
      <c r="C929" s="63" t="s">
        <v>46</v>
      </c>
      <c r="D929" s="64" t="str">
        <f aca="false">TRIM(LEFT('Onshore - Adelaide'!A15,FIND(CHAR(10),'Onshore - Adelaide'!A15&amp;CHAR(10))-1))</f>
        <v>Adelaide University</v>
      </c>
      <c r="E929" s="63" t="str">
        <f aca="false">'Onshore - Adelaide'!C291&amp;""</f>
        <v>2 years</v>
      </c>
      <c r="F929" s="63" t="str">
        <f aca="false">IF('Onshore - Adelaide'!D291="","Belum tercatat",'Onshore - Adelaide'!D291)</f>
        <v>Term</v>
      </c>
      <c r="G929" s="65" t="n">
        <f aca="false">IF('Onshore - Adelaide'!E291="","-",'Onshore - Adelaide'!E291)</f>
        <v>12150</v>
      </c>
      <c r="H929" s="63" t="n">
        <f aca="false">IF(ISNUMBER(K929),COUNTIFS($J$6:$J$1916,J929,$K$6:$K$1916,"&lt;"&amp;K929)+1,"-")</f>
        <v>1</v>
      </c>
      <c r="I929" s="64" t="str">
        <f aca="false">IF('Onshore - Adelaide'!E291="","Harga belum tersedia - hubungi konsultan TEG",IF(M929=2,"Saat ini tidak menerima pendaftaran siswa internasional baru",IF(M929=1,"Harga perlu dikonfirmasi ke sekolah"&amp;IF(""="","","; "&amp;""),"")))</f>
        <v/>
      </c>
      <c r="J929" s="0" t="s">
        <v>4084</v>
      </c>
      <c r="K929" s="0" t="n">
        <f aca="false">IF(M929=2,"",IF(ISNUMBER(SEARCH("rata-rata:",'Onshore - Adelaide'!M291)),VALUE(MID('Onshore - Adelaide'!M291,SEARCH("rata-rata:",'Onshore - Adelaide'!M291)+11,FIND(";",'Onshore - Adelaide'!M291&amp;";",SEARCH("rata-rata:",'Onshore - Adelaide'!M291))-SEARCH("rata-rata:",'Onshore - Adelaide'!M291)-11)),IF('Onshore - Adelaide'!D291="Semester",'Onshore - Adelaide'!E291*2,IF('Onshore - Adelaide'!D291="Trimester",'Onshore - Adelaide'!E291*3,IF('Onshore - Adelaide'!D291="Term",'Onshore - Adelaide'!E291*4,IF('Onshore - Adelaide'!D291="Unit",'Onshore - Adelaide'!E291*8,""))))))</f>
        <v>48600</v>
      </c>
      <c r="L929" s="0" t="n">
        <f aca="false">IF(AND(ISNUMBER('Onshore - Adelaide'!E291),ISNUMBER(K929),ISNUMBER('Onshore - Adelaide'!F291),ISNUMBER('Onshore - Adelaide'!G291),OR('Onshore - Adelaide'!F291&lt;&gt;0,ISNUMBER(SEARCH("Material 0 terverifikasi",'Onshore - Adelaide'!M291))),OR('Onshore - Adelaide'!G291&lt;&gt;0,ISNUMBER(SEARCH("Enrolment 0 terverifikasi",'Onshore - Adelaide'!M291)))),1,0)</f>
        <v>0</v>
      </c>
      <c r="M929" s="0" t="n">
        <f aca="false">IF(OR('Onshore - Adelaide'!E291="",ISNUMBER(SEARCH("BSB80120",'Onshore - Adelaide'!B291&amp;'Onshore - Adelaide'!M291)),ISNUMBER(SEARCH("Management (Learning)",'Onshore - Adelaide'!B291))),2,IF(ISNUMBER(SEARCH("CEK:",'Onshore - Adelaide'!M291)),1,0))</f>
        <v>0</v>
      </c>
    </row>
    <row r="930" customFormat="false" ht="15" hidden="false" customHeight="false" outlineLevel="0" collapsed="false">
      <c r="A930" s="61" t="s">
        <v>4085</v>
      </c>
      <c r="B930" s="62"/>
      <c r="C930" s="62"/>
      <c r="D930" s="62"/>
      <c r="E930" s="62"/>
      <c r="F930" s="62"/>
      <c r="G930" s="62"/>
      <c r="H930" s="62"/>
      <c r="I930" s="62"/>
    </row>
    <row r="931" customFormat="false" ht="15" hidden="false" customHeight="false" outlineLevel="0" collapsed="false">
      <c r="A931" s="63" t="s">
        <v>3563</v>
      </c>
      <c r="B931" s="64" t="s">
        <v>4073</v>
      </c>
      <c r="C931" s="63" t="s">
        <v>41</v>
      </c>
      <c r="D931" s="64" t="str">
        <f aca="false">TRIM(LEFT('Onshore - Brisbane'!A307,FIND(CHAR(10),'Onshore - Brisbane'!A307&amp;CHAR(10))-1))</f>
        <v>Torrens University Australia</v>
      </c>
      <c r="E931" s="63" t="str">
        <f aca="false">'Onshore - Brisbane'!C344&amp;""</f>
        <v>1 year</v>
      </c>
      <c r="F931" s="63" t="str">
        <f aca="false">IF('Onshore - Brisbane'!D344="","Belum tercatat",'Onshore - Brisbane'!D344)</f>
        <v>Term</v>
      </c>
      <c r="G931" s="65" t="n">
        <f aca="false">IF('Onshore - Brisbane'!E344="","-",'Onshore - Brisbane'!E344)</f>
        <v>6250</v>
      </c>
      <c r="H931" s="63" t="n">
        <f aca="false">IF(ISNUMBER(K931),COUNTIFS($J$6:$J$1916,J931,$K$6:$K$1916,"&lt;"&amp;K931)+1,"-")</f>
        <v>1</v>
      </c>
      <c r="I931" s="64" t="str">
        <f aca="false">IF('Onshore - Brisbane'!E344="","Harga belum tersedia - hubungi konsultan TEG",IF(M931=2,"Saat ini tidak menerima pendaftaran siswa internasional baru",IF(M931=1,"Harga perlu dikonfirmasi ke sekolah"&amp;IF(""="","","; "&amp;""),"")))</f>
        <v/>
      </c>
      <c r="J931" s="0" t="s">
        <v>4086</v>
      </c>
      <c r="K931" s="0" t="n">
        <f aca="false">IF(M931=2,"",IF(ISNUMBER(SEARCH("rata-rata:",'Onshore - Brisbane'!M344)),VALUE(MID('Onshore - Brisbane'!M344,SEARCH("rata-rata:",'Onshore - Brisbane'!M344)+11,FIND(";",'Onshore - Brisbane'!M344&amp;";",SEARCH("rata-rata:",'Onshore - Brisbane'!M344))-SEARCH("rata-rata:",'Onshore - Brisbane'!M344)-11)),IF('Onshore - Brisbane'!D344="Semester",'Onshore - Brisbane'!E344*2,IF('Onshore - Brisbane'!D344="Trimester",'Onshore - Brisbane'!E344*3,IF('Onshore - Brisbane'!D344="Term",'Onshore - Brisbane'!E344*4,IF('Onshore - Brisbane'!D344="Unit",'Onshore - Brisbane'!E344*8,""))))))</f>
        <v>25000</v>
      </c>
      <c r="L931" s="0" t="n">
        <f aca="false">IF(AND(ISNUMBER('Onshore - Brisbane'!E344),ISNUMBER(K931),ISNUMBER('Onshore - Brisbane'!F344),ISNUMBER('Onshore - Brisbane'!G344),OR('Onshore - Brisbane'!F344&lt;&gt;0,ISNUMBER(SEARCH("Material 0 terverifikasi",'Onshore - Brisbane'!M344))),OR('Onshore - Brisbane'!G344&lt;&gt;0,ISNUMBER(SEARCH("Enrolment 0 terverifikasi",'Onshore - Brisbane'!M344)))),1,0)</f>
        <v>0</v>
      </c>
      <c r="M931" s="0" t="n">
        <f aca="false">IF(OR('Onshore - Brisbane'!E344="",ISNUMBER(SEARCH("BSB80120",'Onshore - Brisbane'!B344&amp;'Onshore - Brisbane'!M344)),ISNUMBER(SEARCH("Management (Learning)",'Onshore - Brisbane'!B344))),2,IF(ISNUMBER(SEARCH("CEK:",'Onshore - Brisbane'!M344)),1,0))</f>
        <v>0</v>
      </c>
    </row>
    <row r="932" customFormat="false" ht="15" hidden="false" customHeight="false" outlineLevel="0" collapsed="false">
      <c r="A932" s="63" t="s">
        <v>3563</v>
      </c>
      <c r="B932" s="64" t="s">
        <v>4073</v>
      </c>
      <c r="C932" s="63" t="s">
        <v>41</v>
      </c>
      <c r="D932" s="64" t="str">
        <f aca="false">TRIM(LEFT('Onshore - Brisbane'!A53,FIND(CHAR(10),'Onshore - Brisbane'!A53&amp;CHAR(10))-1))</f>
        <v>Australian Catholic University (ACU)</v>
      </c>
      <c r="E932" s="63" t="str">
        <f aca="false">'Onshore - Brisbane'!C154&amp;""</f>
        <v>1 year</v>
      </c>
      <c r="F932" s="63" t="str">
        <f aca="false">IF('Onshore - Brisbane'!D154="","Belum tercatat",'Onshore - Brisbane'!D154)</f>
        <v>Term</v>
      </c>
      <c r="G932" s="65" t="n">
        <f aca="false">IF('Onshore - Brisbane'!E154="","-",'Onshore - Brisbane'!E154)</f>
        <v>8906</v>
      </c>
      <c r="H932" s="63" t="n">
        <f aca="false">IF(ISNUMBER(K932),COUNTIFS($J$6:$J$1916,J932,$K$6:$K$1916,"&lt;"&amp;K932)+1,"-")</f>
        <v>2</v>
      </c>
      <c r="I932" s="64" t="str">
        <f aca="false">IF('Onshore - Brisbane'!E154="","Harga belum tersedia - hubungi konsultan TEG",IF(M932=2,"Saat ini tidak menerima pendaftaran siswa internasional baru",IF(M932=1,"Harga perlu dikonfirmasi ke sekolah"&amp;IF(""="","","; "&amp;""),"")))</f>
        <v/>
      </c>
      <c r="J932" s="0" t="s">
        <v>4086</v>
      </c>
      <c r="K932" s="0" t="n">
        <f aca="false">IF(M932=2,"",IF(ISNUMBER(SEARCH("rata-rata:",'Onshore - Brisbane'!M154)),VALUE(MID('Onshore - Brisbane'!M154,SEARCH("rata-rata:",'Onshore - Brisbane'!M154)+11,FIND(";",'Onshore - Brisbane'!M154&amp;";",SEARCH("rata-rata:",'Onshore - Brisbane'!M154))-SEARCH("rata-rata:",'Onshore - Brisbane'!M154)-11)),IF('Onshore - Brisbane'!D154="Semester",'Onshore - Brisbane'!E154*2,IF('Onshore - Brisbane'!D154="Trimester",'Onshore - Brisbane'!E154*3,IF('Onshore - Brisbane'!D154="Term",'Onshore - Brisbane'!E154*4,IF('Onshore - Brisbane'!D154="Unit",'Onshore - Brisbane'!E154*8,""))))))</f>
        <v>35624</v>
      </c>
      <c r="L932" s="0" t="n">
        <f aca="false">IF(AND(ISNUMBER('Onshore - Brisbane'!E154),ISNUMBER(K932),ISNUMBER('Onshore - Brisbane'!F154),ISNUMBER('Onshore - Brisbane'!G154),OR('Onshore - Brisbane'!F154&lt;&gt;0,ISNUMBER(SEARCH("Material 0 terverifikasi",'Onshore - Brisbane'!M154))),OR('Onshore - Brisbane'!G154&lt;&gt;0,ISNUMBER(SEARCH("Enrolment 0 terverifikasi",'Onshore - Brisbane'!M154)))),1,0)</f>
        <v>0</v>
      </c>
      <c r="M932" s="0" t="n">
        <f aca="false">IF(OR('Onshore - Brisbane'!E154="",ISNUMBER(SEARCH("BSB80120",'Onshore - Brisbane'!B154&amp;'Onshore - Brisbane'!M154)),ISNUMBER(SEARCH("Management (Learning)",'Onshore - Brisbane'!B154))),2,IF(ISNUMBER(SEARCH("CEK:",'Onshore - Brisbane'!M154)),1,0))</f>
        <v>0</v>
      </c>
    </row>
    <row r="933" customFormat="false" ht="15" hidden="false" customHeight="false" outlineLevel="0" collapsed="false">
      <c r="A933" s="61" t="s">
        <v>4087</v>
      </c>
      <c r="B933" s="62"/>
      <c r="C933" s="62"/>
      <c r="D933" s="62"/>
      <c r="E933" s="62"/>
      <c r="F933" s="62"/>
      <c r="G933" s="62"/>
      <c r="H933" s="62"/>
      <c r="I933" s="62"/>
    </row>
    <row r="934" customFormat="false" ht="15" hidden="false" customHeight="false" outlineLevel="0" collapsed="false">
      <c r="A934" s="63" t="s">
        <v>3563</v>
      </c>
      <c r="B934" s="64" t="s">
        <v>4073</v>
      </c>
      <c r="C934" s="63" t="s">
        <v>42</v>
      </c>
      <c r="D934" s="64" t="str">
        <f aca="false">TRIM(LEFT('Onshore - Brisbane'!A307,FIND(CHAR(10),'Onshore - Brisbane'!A307&amp;CHAR(10))-1))</f>
        <v>Torrens University Australia</v>
      </c>
      <c r="E934" s="63" t="str">
        <f aca="false">'Onshore - Brisbane'!C343&amp;""</f>
        <v>2 years</v>
      </c>
      <c r="F934" s="63" t="str">
        <f aca="false">IF('Onshore - Brisbane'!D343="","Belum tercatat",'Onshore - Brisbane'!D343)</f>
        <v>Term</v>
      </c>
      <c r="G934" s="65" t="n">
        <f aca="false">IF('Onshore - Brisbane'!E343="","-",'Onshore - Brisbane'!E343)</f>
        <v>6250</v>
      </c>
      <c r="H934" s="63" t="n">
        <f aca="false">IF(ISNUMBER(K934),COUNTIFS($J$6:$J$1916,J934,$K$6:$K$1916,"&lt;"&amp;K934)+1,"-")</f>
        <v>1</v>
      </c>
      <c r="I934" s="64" t="str">
        <f aca="false">IF('Onshore - Brisbane'!E343="","Harga belum tersedia - hubungi konsultan TEG",IF(M934=2,"Saat ini tidak menerima pendaftaran siswa internasional baru",IF(M934=1,"Harga perlu dikonfirmasi ke sekolah"&amp;IF(""="","","; "&amp;""),"")))</f>
        <v/>
      </c>
      <c r="J934" s="0" t="s">
        <v>4088</v>
      </c>
      <c r="K934" s="0" t="n">
        <f aca="false">IF(M934=2,"",IF(ISNUMBER(SEARCH("rata-rata:",'Onshore - Brisbane'!M343)),VALUE(MID('Onshore - Brisbane'!M343,SEARCH("rata-rata:",'Onshore - Brisbane'!M343)+11,FIND(";",'Onshore - Brisbane'!M343&amp;";",SEARCH("rata-rata:",'Onshore - Brisbane'!M343))-SEARCH("rata-rata:",'Onshore - Brisbane'!M343)-11)),IF('Onshore - Brisbane'!D343="Semester",'Onshore - Brisbane'!E343*2,IF('Onshore - Brisbane'!D343="Trimester",'Onshore - Brisbane'!E343*3,IF('Onshore - Brisbane'!D343="Term",'Onshore - Brisbane'!E343*4,IF('Onshore - Brisbane'!D343="Unit",'Onshore - Brisbane'!E343*8,""))))))</f>
        <v>25000</v>
      </c>
      <c r="L934" s="0" t="n">
        <f aca="false">IF(AND(ISNUMBER('Onshore - Brisbane'!E343),ISNUMBER(K934),ISNUMBER('Onshore - Brisbane'!F343),ISNUMBER('Onshore - Brisbane'!G343),OR('Onshore - Brisbane'!F343&lt;&gt;0,ISNUMBER(SEARCH("Material 0 terverifikasi",'Onshore - Brisbane'!M343))),OR('Onshore - Brisbane'!G343&lt;&gt;0,ISNUMBER(SEARCH("Enrolment 0 terverifikasi",'Onshore - Brisbane'!M343)))),1,0)</f>
        <v>0</v>
      </c>
      <c r="M934" s="0" t="n">
        <f aca="false">IF(OR('Onshore - Brisbane'!E343="",ISNUMBER(SEARCH("BSB80120",'Onshore - Brisbane'!B343&amp;'Onshore - Brisbane'!M343)),ISNUMBER(SEARCH("Management (Learning)",'Onshore - Brisbane'!B343))),2,IF(ISNUMBER(SEARCH("CEK:",'Onshore - Brisbane'!M343)),1,0))</f>
        <v>0</v>
      </c>
    </row>
    <row r="935" customFormat="false" ht="15" hidden="false" customHeight="false" outlineLevel="0" collapsed="false">
      <c r="A935" s="61" t="s">
        <v>4089</v>
      </c>
      <c r="B935" s="62"/>
      <c r="C935" s="62"/>
      <c r="D935" s="62"/>
      <c r="E935" s="62"/>
      <c r="F935" s="62"/>
      <c r="G935" s="62"/>
      <c r="H935" s="62"/>
      <c r="I935" s="62"/>
    </row>
    <row r="936" customFormat="false" ht="28.35" hidden="false" customHeight="false" outlineLevel="0" collapsed="false">
      <c r="A936" s="63" t="s">
        <v>3563</v>
      </c>
      <c r="B936" s="64" t="s">
        <v>4073</v>
      </c>
      <c r="C936" s="63" t="s">
        <v>43</v>
      </c>
      <c r="D936" s="64" t="str">
        <f aca="false">TRIM(LEFT('Onshore - Brisbane'!A235,FIND(CHAR(10),'Onshore - Brisbane'!A235&amp;CHAR(10))-1))</f>
        <v>Greenwich Higher Education (Academy of Interactive Technology Pty Ltd)</v>
      </c>
      <c r="E936" s="63" t="str">
        <f aca="false">'Onshore - Brisbane'!C236&amp;""</f>
        <v>3 years</v>
      </c>
      <c r="F936" s="63" t="str">
        <f aca="false">IF('Onshore - Brisbane'!D236="","Belum tercatat",'Onshore - Brisbane'!D236)</f>
        <v>Term</v>
      </c>
      <c r="G936" s="65" t="n">
        <f aca="false">IF('Onshore - Brisbane'!E236="","-",'Onshore - Brisbane'!E236)</f>
        <v>4025</v>
      </c>
      <c r="H936" s="63" t="n">
        <f aca="false">IF(ISNUMBER(K936),COUNTIFS($J$6:$J$1916,J936,$K$6:$K$1916,"&lt;"&amp;K936)+1,"-")</f>
        <v>1</v>
      </c>
      <c r="I936" s="64" t="str">
        <f aca="false">IF('Onshore - Brisbane'!E236="","Harga belum tersedia - hubungi konsultan TEG",IF(M936=2,"Saat ini tidak menerima pendaftaran siswa internasional baru",IF(M936=1,"Program perlu dikonfirmasi ketersediaannya"&amp;IF(""="","","; "&amp;""),"")))</f>
        <v>Program perlu dikonfirmasi ketersediaannya</v>
      </c>
      <c r="J936" s="0" t="s">
        <v>4090</v>
      </c>
      <c r="K936" s="0" t="n">
        <f aca="false">IF(M936=2,"",IF(ISNUMBER(SEARCH("rata-rata:",'Onshore - Brisbane'!M236)),VALUE(MID('Onshore - Brisbane'!M236,SEARCH("rata-rata:",'Onshore - Brisbane'!M236)+11,FIND(";",'Onshore - Brisbane'!M236&amp;";",SEARCH("rata-rata:",'Onshore - Brisbane'!M236))-SEARCH("rata-rata:",'Onshore - Brisbane'!M236)-11)),IF('Onshore - Brisbane'!D236="Semester",'Onshore - Brisbane'!E236*2,IF('Onshore - Brisbane'!D236="Trimester",'Onshore - Brisbane'!E236*3,IF('Onshore - Brisbane'!D236="Term",'Onshore - Brisbane'!E236*4,IF('Onshore - Brisbane'!D236="Unit",'Onshore - Brisbane'!E236*8,""))))))</f>
        <v>16100</v>
      </c>
      <c r="L936" s="0" t="n">
        <f aca="false">IF(AND(ISNUMBER('Onshore - Brisbane'!E236),ISNUMBER(K936),ISNUMBER('Onshore - Brisbane'!F236),ISNUMBER('Onshore - Brisbane'!G236),OR('Onshore - Brisbane'!F236&lt;&gt;0,ISNUMBER(SEARCH("Material 0 terverifikasi",'Onshore - Brisbane'!M236))),OR('Onshore - Brisbane'!G236&lt;&gt;0,ISNUMBER(SEARCH("Enrolment 0 terverifikasi",'Onshore - Brisbane'!M236)))),1,0)</f>
        <v>1</v>
      </c>
      <c r="M936" s="0" t="n">
        <f aca="false">IF(OR('Onshore - Brisbane'!E236="",ISNUMBER(SEARCH("BSB80120",'Onshore - Brisbane'!B236&amp;'Onshore - Brisbane'!M236)),ISNUMBER(SEARCH("Management (Learning)",'Onshore - Brisbane'!B236))),2,IF(ISNUMBER(SEARCH("CEK:",'Onshore - Brisbane'!M236)),1,0))</f>
        <v>1</v>
      </c>
    </row>
    <row r="937" customFormat="false" ht="15" hidden="false" customHeight="false" outlineLevel="0" collapsed="false">
      <c r="A937" s="63" t="s">
        <v>3563</v>
      </c>
      <c r="B937" s="64" t="s">
        <v>4073</v>
      </c>
      <c r="C937" s="63" t="s">
        <v>43</v>
      </c>
      <c r="D937" s="64" t="str">
        <f aca="false">TRIM(LEFT('Onshore - Brisbane'!A53,FIND(CHAR(10),'Onshore - Brisbane'!A53&amp;CHAR(10))-1))</f>
        <v>Australian Catholic University (ACU)</v>
      </c>
      <c r="E937" s="63" t="str">
        <f aca="false">'Onshore - Brisbane'!C88&amp;""</f>
        <v>3 years</v>
      </c>
      <c r="F937" s="63" t="str">
        <f aca="false">IF('Onshore - Brisbane'!D88="","Belum tercatat",'Onshore - Brisbane'!D88)</f>
        <v>Term</v>
      </c>
      <c r="G937" s="65" t="n">
        <f aca="false">IF('Onshore - Brisbane'!E88="","-",'Onshore - Brisbane'!E88)</f>
        <v>8906</v>
      </c>
      <c r="H937" s="63" t="n">
        <f aca="false">IF(ISNUMBER(K937),COUNTIFS($J$6:$J$1916,J937,$K$6:$K$1916,"&lt;"&amp;K937)+1,"-")</f>
        <v>2</v>
      </c>
      <c r="I937" s="64" t="str">
        <f aca="false">IF('Onshore - Brisbane'!E88="","Harga belum tersedia - hubungi konsultan TEG",IF(M937=2,"Saat ini tidak menerima pendaftaran siswa internasional baru",IF(M937=1,"Harga perlu dikonfirmasi ke sekolah"&amp;IF(""="","","; "&amp;""),"")))</f>
        <v/>
      </c>
      <c r="J937" s="0" t="s">
        <v>4090</v>
      </c>
      <c r="K937" s="0" t="n">
        <f aca="false">IF(M937=2,"",IF(ISNUMBER(SEARCH("rata-rata:",'Onshore - Brisbane'!M88)),VALUE(MID('Onshore - Brisbane'!M88,SEARCH("rata-rata:",'Onshore - Brisbane'!M88)+11,FIND(";",'Onshore - Brisbane'!M88&amp;";",SEARCH("rata-rata:",'Onshore - Brisbane'!M88))-SEARCH("rata-rata:",'Onshore - Brisbane'!M88)-11)),IF('Onshore - Brisbane'!D88="Semester",'Onshore - Brisbane'!E88*2,IF('Onshore - Brisbane'!D88="Trimester",'Onshore - Brisbane'!E88*3,IF('Onshore - Brisbane'!D88="Term",'Onshore - Brisbane'!E88*4,IF('Onshore - Brisbane'!D88="Unit",'Onshore - Brisbane'!E88*8,""))))))</f>
        <v>35624</v>
      </c>
      <c r="L937" s="0" t="n">
        <f aca="false">IF(AND(ISNUMBER('Onshore - Brisbane'!E88),ISNUMBER(K937),ISNUMBER('Onshore - Brisbane'!F88),ISNUMBER('Onshore - Brisbane'!G88),OR('Onshore - Brisbane'!F88&lt;&gt;0,ISNUMBER(SEARCH("Material 0 terverifikasi",'Onshore - Brisbane'!M88))),OR('Onshore - Brisbane'!G88&lt;&gt;0,ISNUMBER(SEARCH("Enrolment 0 terverifikasi",'Onshore - Brisbane'!M88)))),1,0)</f>
        <v>0</v>
      </c>
      <c r="M937" s="0" t="n">
        <f aca="false">IF(OR('Onshore - Brisbane'!E88="",ISNUMBER(SEARCH("BSB80120",'Onshore - Brisbane'!B88&amp;'Onshore - Brisbane'!M88)),ISNUMBER(SEARCH("Management (Learning)",'Onshore - Brisbane'!B88))),2,IF(ISNUMBER(SEARCH("CEK:",'Onshore - Brisbane'!M88)),1,0))</f>
        <v>0</v>
      </c>
    </row>
    <row r="938" customFormat="false" ht="15" hidden="false" customHeight="false" outlineLevel="0" collapsed="false">
      <c r="A938" s="63" t="s">
        <v>3563</v>
      </c>
      <c r="B938" s="64" t="s">
        <v>4073</v>
      </c>
      <c r="C938" s="63" t="s">
        <v>43</v>
      </c>
      <c r="D938" s="64" t="str">
        <f aca="false">TRIM(LEFT('Onshore - Brisbane'!A307,FIND(CHAR(10),'Onshore - Brisbane'!A307&amp;CHAR(10))-1))</f>
        <v>Torrens University Australia</v>
      </c>
      <c r="E938" s="63" t="str">
        <f aca="false">'Onshore - Brisbane'!C341&amp;""</f>
        <v>3 years</v>
      </c>
      <c r="F938" s="63" t="str">
        <f aca="false">IF('Onshore - Brisbane'!D341="","Belum tercatat",'Onshore - Brisbane'!D341)</f>
        <v>Term</v>
      </c>
      <c r="G938" s="65" t="n">
        <f aca="false">IF('Onshore - Brisbane'!E341="","-",'Onshore - Brisbane'!E341)</f>
        <v>9375</v>
      </c>
      <c r="H938" s="63" t="n">
        <f aca="false">IF(ISNUMBER(K938),COUNTIFS($J$6:$J$1916,J938,$K$6:$K$1916,"&lt;"&amp;K938)+1,"-")</f>
        <v>3</v>
      </c>
      <c r="I938" s="64" t="str">
        <f aca="false">IF('Onshore - Brisbane'!E341="","Harga belum tersedia - hubungi konsultan TEG",IF(M938=2,"Saat ini tidak menerima pendaftaran siswa internasional baru",IF(M938=1,"Harga perlu dikonfirmasi ke sekolah"&amp;IF(""="","","; "&amp;""),"")))</f>
        <v/>
      </c>
      <c r="J938" s="0" t="s">
        <v>4090</v>
      </c>
      <c r="K938" s="0" t="n">
        <f aca="false">IF(M938=2,"",IF(ISNUMBER(SEARCH("rata-rata:",'Onshore - Brisbane'!M341)),VALUE(MID('Onshore - Brisbane'!M341,SEARCH("rata-rata:",'Onshore - Brisbane'!M341)+11,FIND(";",'Onshore - Brisbane'!M341&amp;";",SEARCH("rata-rata:",'Onshore - Brisbane'!M341))-SEARCH("rata-rata:",'Onshore - Brisbane'!M341)-11)),IF('Onshore - Brisbane'!D341="Semester",'Onshore - Brisbane'!E341*2,IF('Onshore - Brisbane'!D341="Trimester",'Onshore - Brisbane'!E341*3,IF('Onshore - Brisbane'!D341="Term",'Onshore - Brisbane'!E341*4,IF('Onshore - Brisbane'!D341="Unit",'Onshore - Brisbane'!E341*8,""))))))</f>
        <v>37500</v>
      </c>
      <c r="L938" s="0" t="n">
        <f aca="false">IF(AND(ISNUMBER('Onshore - Brisbane'!E341),ISNUMBER(K938),ISNUMBER('Onshore - Brisbane'!F341),ISNUMBER('Onshore - Brisbane'!G341),OR('Onshore - Brisbane'!F341&lt;&gt;0,ISNUMBER(SEARCH("Material 0 terverifikasi",'Onshore - Brisbane'!M341))),OR('Onshore - Brisbane'!G341&lt;&gt;0,ISNUMBER(SEARCH("Enrolment 0 terverifikasi",'Onshore - Brisbane'!M341)))),1,0)</f>
        <v>0</v>
      </c>
      <c r="M938" s="0" t="n">
        <f aca="false">IF(OR('Onshore - Brisbane'!E341="",ISNUMBER(SEARCH("BSB80120",'Onshore - Brisbane'!B341&amp;'Onshore - Brisbane'!M341)),ISNUMBER(SEARCH("Management (Learning)",'Onshore - Brisbane'!B341))),2,IF(ISNUMBER(SEARCH("CEK:",'Onshore - Brisbane'!M341)),1,0))</f>
        <v>0</v>
      </c>
    </row>
    <row r="939" customFormat="false" ht="15" hidden="false" customHeight="false" outlineLevel="0" collapsed="false">
      <c r="A939" s="61" t="s">
        <v>4091</v>
      </c>
      <c r="B939" s="62"/>
      <c r="C939" s="62"/>
      <c r="D939" s="62"/>
      <c r="E939" s="62"/>
      <c r="F939" s="62"/>
      <c r="G939" s="62"/>
      <c r="H939" s="62"/>
      <c r="I939" s="62"/>
    </row>
    <row r="940" customFormat="false" ht="15" hidden="false" customHeight="false" outlineLevel="0" collapsed="false">
      <c r="A940" s="63" t="s">
        <v>3563</v>
      </c>
      <c r="B940" s="64" t="s">
        <v>4073</v>
      </c>
      <c r="C940" s="63" t="s">
        <v>46</v>
      </c>
      <c r="D940" s="64" t="str">
        <f aca="false">TRIM(LEFT('Onshore - Brisbane'!A53,FIND(CHAR(10),'Onshore - Brisbane'!A53&amp;CHAR(10))-1))</f>
        <v>Australian Catholic University (ACU)</v>
      </c>
      <c r="E940" s="63" t="str">
        <f aca="false">'Onshore - Brisbane'!C108&amp;""</f>
        <v>2 years</v>
      </c>
      <c r="F940" s="63" t="str">
        <f aca="false">IF('Onshore - Brisbane'!D108="","Belum tercatat",'Onshore - Brisbane'!D108)</f>
        <v>Term</v>
      </c>
      <c r="G940" s="65" t="n">
        <f aca="false">IF('Onshore - Brisbane'!E108="","-",'Onshore - Brisbane'!E108)</f>
        <v>8906</v>
      </c>
      <c r="H940" s="63" t="n">
        <f aca="false">IF(ISNUMBER(K940),COUNTIFS($J$6:$J$1916,J940,$K$6:$K$1916,"&lt;"&amp;K940)+1,"-")</f>
        <v>1</v>
      </c>
      <c r="I940" s="64" t="str">
        <f aca="false">IF('Onshore - Brisbane'!E108="","Harga belum tersedia - hubungi konsultan TEG",IF(M940=2,"Saat ini tidak menerima pendaftaran siswa internasional baru",IF(M940=1,"Harga perlu dikonfirmasi ke sekolah"&amp;IF(""="","","; "&amp;""),"")))</f>
        <v/>
      </c>
      <c r="J940" s="0" t="s">
        <v>4092</v>
      </c>
      <c r="K940" s="0" t="n">
        <f aca="false">IF(M940=2,"",IF(ISNUMBER(SEARCH("rata-rata:",'Onshore - Brisbane'!M108)),VALUE(MID('Onshore - Brisbane'!M108,SEARCH("rata-rata:",'Onshore - Brisbane'!M108)+11,FIND(";",'Onshore - Brisbane'!M108&amp;";",SEARCH("rata-rata:",'Onshore - Brisbane'!M108))-SEARCH("rata-rata:",'Onshore - Brisbane'!M108)-11)),IF('Onshore - Brisbane'!D108="Semester",'Onshore - Brisbane'!E108*2,IF('Onshore - Brisbane'!D108="Trimester",'Onshore - Brisbane'!E108*3,IF('Onshore - Brisbane'!D108="Term",'Onshore - Brisbane'!E108*4,IF('Onshore - Brisbane'!D108="Unit",'Onshore - Brisbane'!E108*8,""))))))</f>
        <v>35624</v>
      </c>
      <c r="L940" s="0" t="n">
        <f aca="false">IF(AND(ISNUMBER('Onshore - Brisbane'!E108),ISNUMBER(K940),ISNUMBER('Onshore - Brisbane'!F108),ISNUMBER('Onshore - Brisbane'!G108),OR('Onshore - Brisbane'!F108&lt;&gt;0,ISNUMBER(SEARCH("Material 0 terverifikasi",'Onshore - Brisbane'!M108))),OR('Onshore - Brisbane'!G108&lt;&gt;0,ISNUMBER(SEARCH("Enrolment 0 terverifikasi",'Onshore - Brisbane'!M108)))),1,0)</f>
        <v>0</v>
      </c>
      <c r="M940" s="0" t="n">
        <f aca="false">IF(OR('Onshore - Brisbane'!E108="",ISNUMBER(SEARCH("BSB80120",'Onshore - Brisbane'!B108&amp;'Onshore - Brisbane'!M108)),ISNUMBER(SEARCH("Management (Learning)",'Onshore - Brisbane'!B108))),2,IF(ISNUMBER(SEARCH("CEK:",'Onshore - Brisbane'!M108)),1,0))</f>
        <v>0</v>
      </c>
    </row>
    <row r="941" customFormat="false" ht="15" hidden="false" customHeight="false" outlineLevel="0" collapsed="false">
      <c r="A941" s="61" t="s">
        <v>4093</v>
      </c>
      <c r="B941" s="62"/>
      <c r="C941" s="62"/>
      <c r="D941" s="62"/>
      <c r="E941" s="62"/>
      <c r="F941" s="62"/>
      <c r="G941" s="62"/>
      <c r="H941" s="62"/>
      <c r="I941" s="62"/>
    </row>
    <row r="942" customFormat="false" ht="15" hidden="false" customHeight="false" outlineLevel="0" collapsed="false">
      <c r="A942" s="63" t="s">
        <v>3718</v>
      </c>
      <c r="B942" s="64" t="s">
        <v>4073</v>
      </c>
      <c r="C942" s="63" t="s">
        <v>41</v>
      </c>
      <c r="D942" s="64" t="str">
        <f aca="false">TRIM(LEFT('Onshore - Canberra'!A6,FIND(CHAR(10),'Onshore - Canberra'!A6&amp;CHAR(10))-1))</f>
        <v>Australian Catholic University (ACU)</v>
      </c>
      <c r="E942" s="63" t="str">
        <f aca="false">'Onshore - Canberra'!C107&amp;""</f>
        <v>1 year</v>
      </c>
      <c r="F942" s="63" t="str">
        <f aca="false">IF('Onshore - Canberra'!D107="","Belum tercatat",'Onshore - Canberra'!D107)</f>
        <v>Term</v>
      </c>
      <c r="G942" s="65" t="n">
        <f aca="false">IF('Onshore - Canberra'!E107="","-",'Onshore - Canberra'!E107)</f>
        <v>8906</v>
      </c>
      <c r="H942" s="63" t="n">
        <f aca="false">IF(ISNUMBER(K942),COUNTIFS($J$6:$J$1916,J942,$K$6:$K$1916,"&lt;"&amp;K942)+1,"-")</f>
        <v>1</v>
      </c>
      <c r="I942" s="64" t="str">
        <f aca="false">IF('Onshore - Canberra'!E107="","Harga belum tersedia - hubungi konsultan TEG",IF(M942=2,"Saat ini tidak menerima pendaftaran siswa internasional baru",IF(M942=1,"Harga perlu dikonfirmasi ke sekolah"&amp;IF(""="","","; "&amp;""),"")))</f>
        <v/>
      </c>
      <c r="J942" s="0" t="s">
        <v>4094</v>
      </c>
      <c r="K942" s="0" t="n">
        <f aca="false">IF(M942=2,"",IF(ISNUMBER(SEARCH("rata-rata:",'Onshore - Canberra'!M107)),VALUE(MID('Onshore - Canberra'!M107,SEARCH("rata-rata:",'Onshore - Canberra'!M107)+11,FIND(";",'Onshore - Canberra'!M107&amp;";",SEARCH("rata-rata:",'Onshore - Canberra'!M107))-SEARCH("rata-rata:",'Onshore - Canberra'!M107)-11)),IF('Onshore - Canberra'!D107="Semester",'Onshore - Canberra'!E107*2,IF('Onshore - Canberra'!D107="Trimester",'Onshore - Canberra'!E107*3,IF('Onshore - Canberra'!D107="Term",'Onshore - Canberra'!E107*4,IF('Onshore - Canberra'!D107="Unit",'Onshore - Canberra'!E107*8,""))))))</f>
        <v>35624</v>
      </c>
      <c r="L942" s="0" t="n">
        <f aca="false">IF(AND(ISNUMBER('Onshore - Canberra'!E107),ISNUMBER(K942),ISNUMBER('Onshore - Canberra'!F107),ISNUMBER('Onshore - Canberra'!G107),OR('Onshore - Canberra'!F107&lt;&gt;0,ISNUMBER(SEARCH("Material 0 terverifikasi",'Onshore - Canberra'!M107))),OR('Onshore - Canberra'!G107&lt;&gt;0,ISNUMBER(SEARCH("Enrolment 0 terverifikasi",'Onshore - Canberra'!M107)))),1,0)</f>
        <v>0</v>
      </c>
      <c r="M942" s="0" t="n">
        <f aca="false">IF(OR('Onshore - Canberra'!E107="",ISNUMBER(SEARCH("BSB80120",'Onshore - Canberra'!B107&amp;'Onshore - Canberra'!M107)),ISNUMBER(SEARCH("Management (Learning)",'Onshore - Canberra'!B107))),2,IF(ISNUMBER(SEARCH("CEK:",'Onshore - Canberra'!M107)),1,0))</f>
        <v>0</v>
      </c>
    </row>
    <row r="943" customFormat="false" ht="15" hidden="false" customHeight="false" outlineLevel="0" collapsed="false">
      <c r="A943" s="61" t="s">
        <v>4095</v>
      </c>
      <c r="B943" s="62"/>
      <c r="C943" s="62"/>
      <c r="D943" s="62"/>
      <c r="E943" s="62"/>
      <c r="F943" s="62"/>
      <c r="G943" s="62"/>
      <c r="H943" s="62"/>
      <c r="I943" s="62"/>
    </row>
    <row r="944" customFormat="false" ht="15" hidden="false" customHeight="false" outlineLevel="0" collapsed="false">
      <c r="A944" s="63" t="s">
        <v>3718</v>
      </c>
      <c r="B944" s="64" t="s">
        <v>4073</v>
      </c>
      <c r="C944" s="63" t="s">
        <v>43</v>
      </c>
      <c r="D944" s="64" t="str">
        <f aca="false">TRIM(LEFT('Onshore - Canberra'!A6,FIND(CHAR(10),'Onshore - Canberra'!A6&amp;CHAR(10))-1))</f>
        <v>Australian Catholic University (ACU)</v>
      </c>
      <c r="E944" s="63" t="str">
        <f aca="false">'Onshore - Canberra'!C41&amp;""</f>
        <v>3 years</v>
      </c>
      <c r="F944" s="63" t="str">
        <f aca="false">IF('Onshore - Canberra'!D41="","Belum tercatat",'Onshore - Canberra'!D41)</f>
        <v>Term</v>
      </c>
      <c r="G944" s="65" t="n">
        <f aca="false">IF('Onshore - Canberra'!E41="","-",'Onshore - Canberra'!E41)</f>
        <v>8906</v>
      </c>
      <c r="H944" s="63" t="n">
        <f aca="false">IF(ISNUMBER(K944),COUNTIFS($J$6:$J$1916,J944,$K$6:$K$1916,"&lt;"&amp;K944)+1,"-")</f>
        <v>1</v>
      </c>
      <c r="I944" s="64" t="str">
        <f aca="false">IF('Onshore - Canberra'!E41="","Harga belum tersedia - hubungi konsultan TEG",IF(M944=2,"Saat ini tidak menerima pendaftaran siswa internasional baru",IF(M944=1,"Harga perlu dikonfirmasi ke sekolah"&amp;IF(""="","","; "&amp;""),"")))</f>
        <v/>
      </c>
      <c r="J944" s="0" t="s">
        <v>4096</v>
      </c>
      <c r="K944" s="0" t="n">
        <f aca="false">IF(M944=2,"",IF(ISNUMBER(SEARCH("rata-rata:",'Onshore - Canberra'!M41)),VALUE(MID('Onshore - Canberra'!M41,SEARCH("rata-rata:",'Onshore - Canberra'!M41)+11,FIND(";",'Onshore - Canberra'!M41&amp;";",SEARCH("rata-rata:",'Onshore - Canberra'!M41))-SEARCH("rata-rata:",'Onshore - Canberra'!M41)-11)),IF('Onshore - Canberra'!D41="Semester",'Onshore - Canberra'!E41*2,IF('Onshore - Canberra'!D41="Trimester",'Onshore - Canberra'!E41*3,IF('Onshore - Canberra'!D41="Term",'Onshore - Canberra'!E41*4,IF('Onshore - Canberra'!D41="Unit",'Onshore - Canberra'!E41*8,""))))))</f>
        <v>35624</v>
      </c>
      <c r="L944" s="0" t="n">
        <f aca="false">IF(AND(ISNUMBER('Onshore - Canberra'!E41),ISNUMBER(K944),ISNUMBER('Onshore - Canberra'!F41),ISNUMBER('Onshore - Canberra'!G41),OR('Onshore - Canberra'!F41&lt;&gt;0,ISNUMBER(SEARCH("Material 0 terverifikasi",'Onshore - Canberra'!M41))),OR('Onshore - Canberra'!G41&lt;&gt;0,ISNUMBER(SEARCH("Enrolment 0 terverifikasi",'Onshore - Canberra'!M41)))),1,0)</f>
        <v>0</v>
      </c>
      <c r="M944" s="0" t="n">
        <f aca="false">IF(OR('Onshore - Canberra'!E41="",ISNUMBER(SEARCH("BSB80120",'Onshore - Canberra'!B41&amp;'Onshore - Canberra'!M41)),ISNUMBER(SEARCH("Management (Learning)",'Onshore - Canberra'!B41))),2,IF(ISNUMBER(SEARCH("CEK:",'Onshore - Canberra'!M41)),1,0))</f>
        <v>0</v>
      </c>
    </row>
    <row r="945" customFormat="false" ht="15" hidden="false" customHeight="false" outlineLevel="0" collapsed="false">
      <c r="A945" s="61" t="s">
        <v>4097</v>
      </c>
      <c r="B945" s="62"/>
      <c r="C945" s="62"/>
      <c r="D945" s="62"/>
      <c r="E945" s="62"/>
      <c r="F945" s="62"/>
      <c r="G945" s="62"/>
      <c r="H945" s="62"/>
      <c r="I945" s="62"/>
    </row>
    <row r="946" customFormat="false" ht="15" hidden="false" customHeight="false" outlineLevel="0" collapsed="false">
      <c r="A946" s="63" t="s">
        <v>3718</v>
      </c>
      <c r="B946" s="64" t="s">
        <v>4073</v>
      </c>
      <c r="C946" s="63" t="s">
        <v>46</v>
      </c>
      <c r="D946" s="64" t="str">
        <f aca="false">TRIM(LEFT('Onshore - Canberra'!A6,FIND(CHAR(10),'Onshore - Canberra'!A6&amp;CHAR(10))-1))</f>
        <v>Australian Catholic University (ACU)</v>
      </c>
      <c r="E946" s="63" t="str">
        <f aca="false">'Onshore - Canberra'!C61&amp;""</f>
        <v>2 years</v>
      </c>
      <c r="F946" s="63" t="str">
        <f aca="false">IF('Onshore - Canberra'!D61="","Belum tercatat",'Onshore - Canberra'!D61)</f>
        <v>Term</v>
      </c>
      <c r="G946" s="65" t="n">
        <f aca="false">IF('Onshore - Canberra'!E61="","-",'Onshore - Canberra'!E61)</f>
        <v>8906</v>
      </c>
      <c r="H946" s="63" t="n">
        <f aca="false">IF(ISNUMBER(K946),COUNTIFS($J$6:$J$1916,J946,$K$6:$K$1916,"&lt;"&amp;K946)+1,"-")</f>
        <v>1</v>
      </c>
      <c r="I946" s="64" t="str">
        <f aca="false">IF('Onshore - Canberra'!E61="","Harga belum tersedia - hubungi konsultan TEG",IF(M946=2,"Saat ini tidak menerima pendaftaran siswa internasional baru",IF(M946=1,"Harga perlu dikonfirmasi ke sekolah"&amp;IF(""="","","; "&amp;""),"")))</f>
        <v/>
      </c>
      <c r="J946" s="0" t="s">
        <v>4098</v>
      </c>
      <c r="K946" s="0" t="n">
        <f aca="false">IF(M946=2,"",IF(ISNUMBER(SEARCH("rata-rata:",'Onshore - Canberra'!M61)),VALUE(MID('Onshore - Canberra'!M61,SEARCH("rata-rata:",'Onshore - Canberra'!M61)+11,FIND(";",'Onshore - Canberra'!M61&amp;";",SEARCH("rata-rata:",'Onshore - Canberra'!M61))-SEARCH("rata-rata:",'Onshore - Canberra'!M61)-11)),IF('Onshore - Canberra'!D61="Semester",'Onshore - Canberra'!E61*2,IF('Onshore - Canberra'!D61="Trimester",'Onshore - Canberra'!E61*3,IF('Onshore - Canberra'!D61="Term",'Onshore - Canberra'!E61*4,IF('Onshore - Canberra'!D61="Unit",'Onshore - Canberra'!E61*8,""))))))</f>
        <v>35624</v>
      </c>
      <c r="L946" s="0" t="n">
        <f aca="false">IF(AND(ISNUMBER('Onshore - Canberra'!E61),ISNUMBER(K946),ISNUMBER('Onshore - Canberra'!F61),ISNUMBER('Onshore - Canberra'!G61),OR('Onshore - Canberra'!F61&lt;&gt;0,ISNUMBER(SEARCH("Material 0 terverifikasi",'Onshore - Canberra'!M61))),OR('Onshore - Canberra'!G61&lt;&gt;0,ISNUMBER(SEARCH("Enrolment 0 terverifikasi",'Onshore - Canberra'!M61)))),1,0)</f>
        <v>0</v>
      </c>
      <c r="M946" s="0" t="n">
        <f aca="false">IF(OR('Onshore - Canberra'!E61="",ISNUMBER(SEARCH("BSB80120",'Onshore - Canberra'!B61&amp;'Onshore - Canberra'!M61)),ISNUMBER(SEARCH("Management (Learning)",'Onshore - Canberra'!B61))),2,IF(ISNUMBER(SEARCH("CEK:",'Onshore - Canberra'!M61)),1,0))</f>
        <v>0</v>
      </c>
    </row>
    <row r="947" customFormat="false" ht="15" hidden="false" customHeight="false" outlineLevel="0" collapsed="false">
      <c r="A947" s="61" t="s">
        <v>4099</v>
      </c>
      <c r="B947" s="62"/>
      <c r="C947" s="62"/>
      <c r="D947" s="62"/>
      <c r="E947" s="62"/>
      <c r="F947" s="62"/>
      <c r="G947" s="62"/>
      <c r="H947" s="62"/>
      <c r="I947" s="62"/>
    </row>
    <row r="948" customFormat="false" ht="15" hidden="false" customHeight="false" outlineLevel="0" collapsed="false">
      <c r="A948" s="63" t="s">
        <v>3583</v>
      </c>
      <c r="B948" s="64" t="s">
        <v>4073</v>
      </c>
      <c r="C948" s="63" t="s">
        <v>43</v>
      </c>
      <c r="D948" s="64" t="str">
        <f aca="false">TRIM(LEFT('Onshore - Darwin (NT)'!A20,FIND(CHAR(10),'Onshore - Darwin (NT)'!A20&amp;CHAR(10))-1))</f>
        <v>Charles Darwin University (CDU)</v>
      </c>
      <c r="E948" s="63" t="str">
        <f aca="false">'Onshore - Darwin (NT)'!C23&amp;""</f>
        <v>3 years</v>
      </c>
      <c r="F948" s="63" t="str">
        <f aca="false">IF('Onshore - Darwin (NT)'!D23="","Belum tercatat",'Onshore - Darwin (NT)'!D23)</f>
        <v>Term</v>
      </c>
      <c r="G948" s="65" t="n">
        <f aca="false">IF('Onshore - Darwin (NT)'!E23="","-",'Onshore - Darwin (NT)'!E23)</f>
        <v>7526</v>
      </c>
      <c r="H948" s="63" t="n">
        <f aca="false">IF(ISNUMBER(K948),COUNTIFS($J$6:$J$1916,J948,$K$6:$K$1916,"&lt;"&amp;K948)+1,"-")</f>
        <v>1</v>
      </c>
      <c r="I948" s="64" t="str">
        <f aca="false">IF('Onshore - Darwin (NT)'!E23="","Harga belum tersedia - hubungi konsultan TEG",IF(M948=2,"Saat ini tidak menerima pendaftaran siswa internasional baru",IF(M948=1,"Harga perlu dikonfirmasi ke sekolah"&amp;IF(""="","","; "&amp;""),"")))</f>
        <v/>
      </c>
      <c r="J948" s="0" t="s">
        <v>4100</v>
      </c>
      <c r="K948" s="0" t="n">
        <f aca="false">IF(M948=2,"",IF(ISNUMBER(SEARCH("rata-rata:",'Onshore - Darwin (NT)'!M23)),VALUE(MID('Onshore - Darwin (NT)'!M23,SEARCH("rata-rata:",'Onshore - Darwin (NT)'!M23)+11,FIND(";",'Onshore - Darwin (NT)'!M23&amp;";",SEARCH("rata-rata:",'Onshore - Darwin (NT)'!M23))-SEARCH("rata-rata:",'Onshore - Darwin (NT)'!M23)-11)),IF('Onshore - Darwin (NT)'!D23="Semester",'Onshore - Darwin (NT)'!E23*2,IF('Onshore - Darwin (NT)'!D23="Trimester",'Onshore - Darwin (NT)'!E23*3,IF('Onshore - Darwin (NT)'!D23="Term",'Onshore - Darwin (NT)'!E23*4,IF('Onshore - Darwin (NT)'!D23="Unit",'Onshore - Darwin (NT)'!E23*8,""))))))</f>
        <v>30104</v>
      </c>
      <c r="L948" s="0" t="n">
        <f aca="false">IF(AND(ISNUMBER('Onshore - Darwin (NT)'!E23),ISNUMBER(K948),ISNUMBER('Onshore - Darwin (NT)'!F23),ISNUMBER('Onshore - Darwin (NT)'!G23),OR('Onshore - Darwin (NT)'!F23&lt;&gt;0,ISNUMBER(SEARCH("Material 0 terverifikasi",'Onshore - Darwin (NT)'!M23))),OR('Onshore - Darwin (NT)'!G23&lt;&gt;0,ISNUMBER(SEARCH("Enrolment 0 terverifikasi",'Onshore - Darwin (NT)'!M23)))),1,0)</f>
        <v>0</v>
      </c>
      <c r="M948" s="0" t="n">
        <f aca="false">IF(OR('Onshore - Darwin (NT)'!E23="",ISNUMBER(SEARCH("BSB80120",'Onshore - Darwin (NT)'!B23&amp;'Onshore - Darwin (NT)'!M23)),ISNUMBER(SEARCH("Management (Learning)",'Onshore - Darwin (NT)'!B23))),2,IF(ISNUMBER(SEARCH("CEK:",'Onshore - Darwin (NT)'!M23)),1,0))</f>
        <v>0</v>
      </c>
    </row>
    <row r="949" customFormat="false" ht="15" hidden="false" customHeight="false" outlineLevel="0" collapsed="false">
      <c r="A949" s="61" t="s">
        <v>4101</v>
      </c>
      <c r="B949" s="62"/>
      <c r="C949" s="62"/>
      <c r="D949" s="62"/>
      <c r="E949" s="62"/>
      <c r="F949" s="62"/>
      <c r="G949" s="62"/>
      <c r="H949" s="62"/>
      <c r="I949" s="62"/>
    </row>
    <row r="950" customFormat="false" ht="15" hidden="false" customHeight="false" outlineLevel="0" collapsed="false">
      <c r="A950" s="63" t="s">
        <v>3544</v>
      </c>
      <c r="B950" s="64" t="s">
        <v>4073</v>
      </c>
      <c r="C950" s="63" t="s">
        <v>41</v>
      </c>
      <c r="D950" s="64" t="str">
        <f aca="false">TRIM(LEFT('Onshore- Melbourne'!A18,FIND(CHAR(10),'Onshore- Melbourne'!A18&amp;CHAR(10))-1))</f>
        <v>Academy of Interactive Technology (AIT)</v>
      </c>
      <c r="E950" s="63" t="str">
        <f aca="false">'Onshore- Melbourne'!C23&amp;""</f>
        <v>1 year</v>
      </c>
      <c r="F950" s="63" t="str">
        <f aca="false">IF('Onshore- Melbourne'!D23="","Belum tercatat",'Onshore- Melbourne'!D23)</f>
        <v>Term</v>
      </c>
      <c r="G950" s="65" t="n">
        <f aca="false">IF('Onshore- Melbourne'!E23="","-",'Onshore- Melbourne'!E23)</f>
        <v>5750</v>
      </c>
      <c r="H950" s="63" t="n">
        <f aca="false">IF(ISNUMBER(K950),COUNTIFS($J$6:$J$1916,J950,$K$6:$K$1916,"&lt;"&amp;K950)+1,"-")</f>
        <v>1</v>
      </c>
      <c r="I950" s="64" t="str">
        <f aca="false">IF('Onshore- Melbourne'!E23="","Harga belum tersedia - hubungi konsultan TEG",IF(M950=2,"Saat ini tidak menerima pendaftaran siswa internasional baru",IF(M950=1,"Harga perlu dikonfirmasi ke sekolah"&amp;IF(""="","","; "&amp;""),"")))</f>
        <v>Harga perlu dikonfirmasi ke sekolah</v>
      </c>
      <c r="J950" s="0" t="s">
        <v>4102</v>
      </c>
      <c r="K950" s="0" t="n">
        <f aca="false">IF(M950=2,"",IF(ISNUMBER(SEARCH("rata-rata:",'Onshore- Melbourne'!M23)),VALUE(MID('Onshore- Melbourne'!M23,SEARCH("rata-rata:",'Onshore- Melbourne'!M23)+11,FIND(";",'Onshore- Melbourne'!M23&amp;";",SEARCH("rata-rata:",'Onshore- Melbourne'!M23))-SEARCH("rata-rata:",'Onshore- Melbourne'!M23)-11)),IF('Onshore- Melbourne'!D23="Semester",'Onshore- Melbourne'!E23*2,IF('Onshore- Melbourne'!D23="Trimester",'Onshore- Melbourne'!E23*3,IF('Onshore- Melbourne'!D23="Term",'Onshore- Melbourne'!E23*4,IF('Onshore- Melbourne'!D23="Unit",'Onshore- Melbourne'!E23*8,""))))))</f>
        <v>23000</v>
      </c>
      <c r="L950" s="0" t="n">
        <f aca="false">IF(AND(ISNUMBER('Onshore- Melbourne'!E23),ISNUMBER(K950),ISNUMBER('Onshore- Melbourne'!F23),ISNUMBER('Onshore- Melbourne'!G23),OR('Onshore- Melbourne'!F23&lt;&gt;0,ISNUMBER(SEARCH("Material 0 terverifikasi",'Onshore- Melbourne'!M23))),OR('Onshore- Melbourne'!G23&lt;&gt;0,ISNUMBER(SEARCH("Enrolment 0 terverifikasi",'Onshore- Melbourne'!M23)))),1,0)</f>
        <v>0</v>
      </c>
      <c r="M950" s="0" t="n">
        <f aca="false">IF(OR('Onshore- Melbourne'!E23="",ISNUMBER(SEARCH("BSB80120",'Onshore- Melbourne'!B23&amp;'Onshore- Melbourne'!M23)),ISNUMBER(SEARCH("Management (Learning)",'Onshore- Melbourne'!B23))),2,IF(ISNUMBER(SEARCH("CEK:",'Onshore- Melbourne'!M23)),1,0))</f>
        <v>1</v>
      </c>
    </row>
    <row r="951" customFormat="false" ht="15" hidden="false" customHeight="false" outlineLevel="0" collapsed="false">
      <c r="A951" s="63" t="s">
        <v>3544</v>
      </c>
      <c r="B951" s="64" t="s">
        <v>4073</v>
      </c>
      <c r="C951" s="63" t="s">
        <v>41</v>
      </c>
      <c r="D951" s="64" t="str">
        <f aca="false">TRIM(LEFT('Onshore- Melbourne'!A461,FIND(CHAR(10),'Onshore- Melbourne'!A461&amp;CHAR(10))-1))</f>
        <v>Torrens University Australia</v>
      </c>
      <c r="E951" s="63" t="str">
        <f aca="false">'Onshore- Melbourne'!C503&amp;""</f>
        <v>1 year</v>
      </c>
      <c r="F951" s="63" t="str">
        <f aca="false">IF('Onshore- Melbourne'!D503="","Belum tercatat",'Onshore- Melbourne'!D503)</f>
        <v>Term</v>
      </c>
      <c r="G951" s="65" t="n">
        <f aca="false">IF('Onshore- Melbourne'!E503="","-",'Onshore- Melbourne'!E503)</f>
        <v>6250</v>
      </c>
      <c r="H951" s="63" t="n">
        <f aca="false">IF(ISNUMBER(K951),COUNTIFS($J$6:$J$1916,J951,$K$6:$K$1916,"&lt;"&amp;K951)+1,"-")</f>
        <v>2</v>
      </c>
      <c r="I951" s="64" t="str">
        <f aca="false">IF('Onshore- Melbourne'!E503="","Harga belum tersedia - hubungi konsultan TEG",IF(M951=2,"Saat ini tidak menerima pendaftaran siswa internasional baru",IF(M951=1,"Harga perlu dikonfirmasi ke sekolah"&amp;IF(""="","","; "&amp;""),"")))</f>
        <v/>
      </c>
      <c r="J951" s="0" t="s">
        <v>4102</v>
      </c>
      <c r="K951" s="0" t="n">
        <f aca="false">IF(M951=2,"",IF(ISNUMBER(SEARCH("rata-rata:",'Onshore- Melbourne'!M503)),VALUE(MID('Onshore- Melbourne'!M503,SEARCH("rata-rata:",'Onshore- Melbourne'!M503)+11,FIND(";",'Onshore- Melbourne'!M503&amp;";",SEARCH("rata-rata:",'Onshore- Melbourne'!M503))-SEARCH("rata-rata:",'Onshore- Melbourne'!M503)-11)),IF('Onshore- Melbourne'!D503="Semester",'Onshore- Melbourne'!E503*2,IF('Onshore- Melbourne'!D503="Trimester",'Onshore- Melbourne'!E503*3,IF('Onshore- Melbourne'!D503="Term",'Onshore- Melbourne'!E503*4,IF('Onshore- Melbourne'!D503="Unit",'Onshore- Melbourne'!E503*8,""))))))</f>
        <v>25000</v>
      </c>
      <c r="L951" s="0" t="n">
        <f aca="false">IF(AND(ISNUMBER('Onshore- Melbourne'!E503),ISNUMBER(K951),ISNUMBER('Onshore- Melbourne'!F503),ISNUMBER('Onshore- Melbourne'!G503),OR('Onshore- Melbourne'!F503&lt;&gt;0,ISNUMBER(SEARCH("Material 0 terverifikasi",'Onshore- Melbourne'!M503))),OR('Onshore- Melbourne'!G503&lt;&gt;0,ISNUMBER(SEARCH("Enrolment 0 terverifikasi",'Onshore- Melbourne'!M503)))),1,0)</f>
        <v>0</v>
      </c>
      <c r="M951" s="0" t="n">
        <f aca="false">IF(OR('Onshore- Melbourne'!E503="",ISNUMBER(SEARCH("BSB80120",'Onshore- Melbourne'!B503&amp;'Onshore- Melbourne'!M503)),ISNUMBER(SEARCH("Management (Learning)",'Onshore- Melbourne'!B503))),2,IF(ISNUMBER(SEARCH("CEK:",'Onshore- Melbourne'!M503)),1,0))</f>
        <v>0</v>
      </c>
    </row>
    <row r="952" customFormat="false" ht="15" hidden="false" customHeight="false" outlineLevel="0" collapsed="false">
      <c r="A952" s="63" t="s">
        <v>3544</v>
      </c>
      <c r="B952" s="64" t="s">
        <v>4073</v>
      </c>
      <c r="C952" s="63" t="s">
        <v>41</v>
      </c>
      <c r="D952" s="64" t="str">
        <f aca="false">TRIM(LEFT('Onshore- Melbourne'!A94,FIND(CHAR(10),'Onshore- Melbourne'!A94&amp;CHAR(10))-1))</f>
        <v>Australian Catholic University (ACU)</v>
      </c>
      <c r="E952" s="63" t="str">
        <f aca="false">'Onshore- Melbourne'!C195&amp;""</f>
        <v>1 year</v>
      </c>
      <c r="F952" s="63" t="str">
        <f aca="false">IF('Onshore- Melbourne'!D195="","Belum tercatat",'Onshore- Melbourne'!D195)</f>
        <v>Term</v>
      </c>
      <c r="G952" s="65" t="n">
        <f aca="false">IF('Onshore- Melbourne'!E195="","-",'Onshore- Melbourne'!E195)</f>
        <v>8906</v>
      </c>
      <c r="H952" s="63" t="n">
        <f aca="false">IF(ISNUMBER(K952),COUNTIFS($J$6:$J$1916,J952,$K$6:$K$1916,"&lt;"&amp;K952)+1,"-")</f>
        <v>3</v>
      </c>
      <c r="I952" s="64" t="str">
        <f aca="false">IF('Onshore- Melbourne'!E195="","Harga belum tersedia - hubungi konsultan TEG",IF(M952=2,"Saat ini tidak menerima pendaftaran siswa internasional baru",IF(M952=1,"Harga perlu dikonfirmasi ke sekolah"&amp;IF(""="","","; "&amp;""),"")))</f>
        <v/>
      </c>
      <c r="J952" s="0" t="s">
        <v>4102</v>
      </c>
      <c r="K952" s="0" t="n">
        <f aca="false">IF(M952=2,"",IF(ISNUMBER(SEARCH("rata-rata:",'Onshore- Melbourne'!M195)),VALUE(MID('Onshore- Melbourne'!M195,SEARCH("rata-rata:",'Onshore- Melbourne'!M195)+11,FIND(";",'Onshore- Melbourne'!M195&amp;";",SEARCH("rata-rata:",'Onshore- Melbourne'!M195))-SEARCH("rata-rata:",'Onshore- Melbourne'!M195)-11)),IF('Onshore- Melbourne'!D195="Semester",'Onshore- Melbourne'!E195*2,IF('Onshore- Melbourne'!D195="Trimester",'Onshore- Melbourne'!E195*3,IF('Onshore- Melbourne'!D195="Term",'Onshore- Melbourne'!E195*4,IF('Onshore- Melbourne'!D195="Unit",'Onshore- Melbourne'!E195*8,""))))))</f>
        <v>35624</v>
      </c>
      <c r="L952" s="0" t="n">
        <f aca="false">IF(AND(ISNUMBER('Onshore- Melbourne'!E195),ISNUMBER(K952),ISNUMBER('Onshore- Melbourne'!F195),ISNUMBER('Onshore- Melbourne'!G195),OR('Onshore- Melbourne'!F195&lt;&gt;0,ISNUMBER(SEARCH("Material 0 terverifikasi",'Onshore- Melbourne'!M195))),OR('Onshore- Melbourne'!G195&lt;&gt;0,ISNUMBER(SEARCH("Enrolment 0 terverifikasi",'Onshore- Melbourne'!M195)))),1,0)</f>
        <v>0</v>
      </c>
      <c r="M952" s="0" t="n">
        <f aca="false">IF(OR('Onshore- Melbourne'!E195="",ISNUMBER(SEARCH("BSB80120",'Onshore- Melbourne'!B195&amp;'Onshore- Melbourne'!M195)),ISNUMBER(SEARCH("Management (Learning)",'Onshore- Melbourne'!B195))),2,IF(ISNUMBER(SEARCH("CEK:",'Onshore- Melbourne'!M195)),1,0))</f>
        <v>0</v>
      </c>
    </row>
    <row r="953" customFormat="false" ht="15" hidden="false" customHeight="false" outlineLevel="0" collapsed="false">
      <c r="A953" s="61" t="s">
        <v>4103</v>
      </c>
      <c r="B953" s="62"/>
      <c r="C953" s="62"/>
      <c r="D953" s="62"/>
      <c r="E953" s="62"/>
      <c r="F953" s="62"/>
      <c r="G953" s="62"/>
      <c r="H953" s="62"/>
      <c r="I953" s="62"/>
    </row>
    <row r="954" customFormat="false" ht="15" hidden="false" customHeight="false" outlineLevel="0" collapsed="false">
      <c r="A954" s="63" t="s">
        <v>3544</v>
      </c>
      <c r="B954" s="64" t="s">
        <v>4073</v>
      </c>
      <c r="C954" s="63" t="s">
        <v>42</v>
      </c>
      <c r="D954" s="64" t="str">
        <f aca="false">TRIM(LEFT('Onshore- Melbourne'!A461,FIND(CHAR(10),'Onshore- Melbourne'!A461&amp;CHAR(10))-1))</f>
        <v>Torrens University Australia</v>
      </c>
      <c r="E954" s="63" t="str">
        <f aca="false">'Onshore- Melbourne'!C502&amp;""</f>
        <v>2 years</v>
      </c>
      <c r="F954" s="63" t="str">
        <f aca="false">IF('Onshore- Melbourne'!D502="","Belum tercatat",'Onshore- Melbourne'!D502)</f>
        <v>Term</v>
      </c>
      <c r="G954" s="65" t="n">
        <f aca="false">IF('Onshore- Melbourne'!E502="","-",'Onshore- Melbourne'!E502)</f>
        <v>6250</v>
      </c>
      <c r="H954" s="63" t="n">
        <f aca="false">IF(ISNUMBER(K954),COUNTIFS($J$6:$J$1916,J954,$K$6:$K$1916,"&lt;"&amp;K954)+1,"-")</f>
        <v>1</v>
      </c>
      <c r="I954" s="64" t="str">
        <f aca="false">IF('Onshore- Melbourne'!E502="","Harga belum tersedia - hubungi konsultan TEG",IF(M954=2,"Saat ini tidak menerima pendaftaran siswa internasional baru",IF(M954=1,"Harga perlu dikonfirmasi ke sekolah"&amp;IF(""="","","; "&amp;""),"")))</f>
        <v/>
      </c>
      <c r="J954" s="0" t="s">
        <v>4104</v>
      </c>
      <c r="K954" s="0" t="n">
        <f aca="false">IF(M954=2,"",IF(ISNUMBER(SEARCH("rata-rata:",'Onshore- Melbourne'!M502)),VALUE(MID('Onshore- Melbourne'!M502,SEARCH("rata-rata:",'Onshore- Melbourne'!M502)+11,FIND(";",'Onshore- Melbourne'!M502&amp;";",SEARCH("rata-rata:",'Onshore- Melbourne'!M502))-SEARCH("rata-rata:",'Onshore- Melbourne'!M502)-11)),IF('Onshore- Melbourne'!D502="Semester",'Onshore- Melbourne'!E502*2,IF('Onshore- Melbourne'!D502="Trimester",'Onshore- Melbourne'!E502*3,IF('Onshore- Melbourne'!D502="Term",'Onshore- Melbourne'!E502*4,IF('Onshore- Melbourne'!D502="Unit",'Onshore- Melbourne'!E502*8,""))))))</f>
        <v>25000</v>
      </c>
      <c r="L954" s="0" t="n">
        <f aca="false">IF(AND(ISNUMBER('Onshore- Melbourne'!E502),ISNUMBER(K954),ISNUMBER('Onshore- Melbourne'!F502),ISNUMBER('Onshore- Melbourne'!G502),OR('Onshore- Melbourne'!F502&lt;&gt;0,ISNUMBER(SEARCH("Material 0 terverifikasi",'Onshore- Melbourne'!M502))),OR('Onshore- Melbourne'!G502&lt;&gt;0,ISNUMBER(SEARCH("Enrolment 0 terverifikasi",'Onshore- Melbourne'!M502)))),1,0)</f>
        <v>0</v>
      </c>
      <c r="M954" s="0" t="n">
        <f aca="false">IF(OR('Onshore- Melbourne'!E502="",ISNUMBER(SEARCH("BSB80120",'Onshore- Melbourne'!B502&amp;'Onshore- Melbourne'!M502)),ISNUMBER(SEARCH("Management (Learning)",'Onshore- Melbourne'!B502))),2,IF(ISNUMBER(SEARCH("CEK:",'Onshore- Melbourne'!M502)),1,0))</f>
        <v>0</v>
      </c>
    </row>
    <row r="955" customFormat="false" ht="15" hidden="false" customHeight="false" outlineLevel="0" collapsed="false">
      <c r="A955" s="61" t="s">
        <v>4105</v>
      </c>
      <c r="B955" s="62"/>
      <c r="C955" s="62"/>
      <c r="D955" s="62"/>
      <c r="E955" s="62"/>
      <c r="F955" s="62"/>
      <c r="G955" s="62"/>
      <c r="H955" s="62"/>
      <c r="I955" s="62"/>
    </row>
    <row r="956" customFormat="false" ht="55.2" hidden="false" customHeight="false" outlineLevel="0" collapsed="false">
      <c r="A956" s="63" t="s">
        <v>3544</v>
      </c>
      <c r="B956" s="64" t="s">
        <v>4073</v>
      </c>
      <c r="C956" s="63" t="s">
        <v>43</v>
      </c>
      <c r="D956" s="64" t="str">
        <f aca="false">TRIM(LEFT('Onshore- Melbourne'!A294,FIND(CHAR(10),'Onshore- Melbourne'!A294&amp;CHAR(10))-1))</f>
        <v>Greenwich Higher Education (Academy of Interactive Technology Pty Ltd)</v>
      </c>
      <c r="E956" s="63" t="str">
        <f aca="false">'Onshore- Melbourne'!C295&amp;""</f>
        <v>3 years</v>
      </c>
      <c r="F956" s="63" t="str">
        <f aca="false">IF('Onshore- Melbourne'!D295="","Belum tercatat",'Onshore- Melbourne'!D295)</f>
        <v>Unit</v>
      </c>
      <c r="G956" s="65" t="n">
        <f aca="false">IF('Onshore- Melbourne'!E295="","-",'Onshore- Melbourne'!E295)</f>
        <v>2012.5</v>
      </c>
      <c r="H956" s="63" t="n">
        <f aca="false">IF(ISNUMBER(K956),COUNTIFS($J$6:$J$1916,J956,$K$6:$K$1916,"&lt;"&amp;K956)+1,"-")</f>
        <v>1</v>
      </c>
      <c r="I956" s="64" t="str">
        <f aca="false">IF('Onshore- Melbourne'!E295="","Harga belum tersedia - hubungi konsultan TEG",IF(M956=2,"Saat ini tidak menerima pendaftaran siswa internasional baru",IF(M956=1,"Harga perlu dikonfirmasi ke sekolah"&amp;IF("Harga promo s.d. 13/09/2027; Harga dihitung per unit; total tergantung jumlah unit yang diambil; Sudah termasuk beasiswa 30% (syarat berlaku)"="","","; "&amp;"Harga promo s.d. 13/09/2027; Harga dihitung per unit; total tergantung jumlah unit yang diambil; Sudah termasuk beasiswa 30% (syarat berlaku)"),"Harga promo s.d. 13/09/2027; Harga dihitung per unit; total tergantung jumlah unit yang diambil; Sudah termasuk beasiswa 30% (syarat berlaku)")))</f>
        <v>Harga promo s.d. 13/09/2027; Harga dihitung per unit; total tergantung jumlah unit yang diambil; Sudah termasuk beasiswa 30% (syarat berlaku)</v>
      </c>
      <c r="J956" s="0" t="s">
        <v>4106</v>
      </c>
      <c r="K956" s="0" t="n">
        <f aca="false">IF(M956=2,"",IF(ISNUMBER(SEARCH("rata-rata:",'Onshore- Melbourne'!M295)),VALUE(MID('Onshore- Melbourne'!M295,SEARCH("rata-rata:",'Onshore- Melbourne'!M295)+11,FIND(";",'Onshore- Melbourne'!M295&amp;";",SEARCH("rata-rata:",'Onshore- Melbourne'!M295))-SEARCH("rata-rata:",'Onshore- Melbourne'!M295)-11)),IF('Onshore- Melbourne'!D295="Semester",'Onshore- Melbourne'!E295*2,IF('Onshore- Melbourne'!D295="Trimester",'Onshore- Melbourne'!E295*3,IF('Onshore- Melbourne'!D295="Term",'Onshore- Melbourne'!E295*4,IF('Onshore- Melbourne'!D295="Unit",'Onshore- Melbourne'!E295*8,""))))))</f>
        <v>16100</v>
      </c>
      <c r="L956" s="0" t="n">
        <f aca="false">IF(AND(ISNUMBER('Onshore- Melbourne'!E295),ISNUMBER(K956),ISNUMBER('Onshore- Melbourne'!F295),ISNUMBER('Onshore- Melbourne'!G295),OR('Onshore- Melbourne'!F295&lt;&gt;0,ISNUMBER(SEARCH("Material 0 terverifikasi",'Onshore- Melbourne'!M295))),OR('Onshore- Melbourne'!G295&lt;&gt;0,ISNUMBER(SEARCH("Enrolment 0 terverifikasi",'Onshore- Melbourne'!M295)))),1,0)</f>
        <v>1</v>
      </c>
      <c r="M956" s="0" t="n">
        <f aca="false">IF(OR('Onshore- Melbourne'!E295="",ISNUMBER(SEARCH("BSB80120",'Onshore- Melbourne'!B295&amp;'Onshore- Melbourne'!M295)),ISNUMBER(SEARCH("Management (Learning)",'Onshore- Melbourne'!B295))),2,IF(ISNUMBER(SEARCH("CEK:",'Onshore- Melbourne'!M295)),1,0))</f>
        <v>0</v>
      </c>
    </row>
    <row r="957" customFormat="false" ht="15" hidden="false" customHeight="false" outlineLevel="0" collapsed="false">
      <c r="A957" s="63" t="s">
        <v>3544</v>
      </c>
      <c r="B957" s="64" t="s">
        <v>4073</v>
      </c>
      <c r="C957" s="63" t="s">
        <v>43</v>
      </c>
      <c r="D957" s="64" t="str">
        <f aca="false">TRIM(LEFT('Onshore- Melbourne'!A18,FIND(CHAR(10),'Onshore- Melbourne'!A18&amp;CHAR(10))-1))</f>
        <v>Academy of Interactive Technology (AIT)</v>
      </c>
      <c r="E957" s="63" t="str">
        <f aca="false">'Onshore- Melbourne'!C18&amp;""</f>
        <v>3 years</v>
      </c>
      <c r="F957" s="63" t="str">
        <f aca="false">IF('Onshore- Melbourne'!D18="","Belum tercatat",'Onshore- Melbourne'!D18)</f>
        <v>Term</v>
      </c>
      <c r="G957" s="65" t="n">
        <f aca="false">IF('Onshore- Melbourne'!E18="","-",'Onshore- Melbourne'!E18)</f>
        <v>5750</v>
      </c>
      <c r="H957" s="63" t="n">
        <f aca="false">IF(ISNUMBER(K957),COUNTIFS($J$6:$J$1916,J957,$K$6:$K$1916,"&lt;"&amp;K957)+1,"-")</f>
        <v>2</v>
      </c>
      <c r="I957" s="64" t="str">
        <f aca="false">IF('Onshore- Melbourne'!E18="","Harga belum tersedia - hubungi konsultan TEG",IF(M957=2,"Saat ini tidak menerima pendaftaran siswa internasional baru",IF(M957=1,"Program perlu dikonfirmasi ketersediaannya"&amp;IF(""="","","; "&amp;""),"")))</f>
        <v>Program perlu dikonfirmasi ketersediaannya</v>
      </c>
      <c r="J957" s="0" t="s">
        <v>4106</v>
      </c>
      <c r="K957" s="0" t="n">
        <f aca="false">IF(M957=2,"",IF(ISNUMBER(SEARCH("rata-rata:",'Onshore- Melbourne'!M18)),VALUE(MID('Onshore- Melbourne'!M18,SEARCH("rata-rata:",'Onshore- Melbourne'!M18)+11,FIND(";",'Onshore- Melbourne'!M18&amp;";",SEARCH("rata-rata:",'Onshore- Melbourne'!M18))-SEARCH("rata-rata:",'Onshore- Melbourne'!M18)-11)),IF('Onshore- Melbourne'!D18="Semester",'Onshore- Melbourne'!E18*2,IF('Onshore- Melbourne'!D18="Trimester",'Onshore- Melbourne'!E18*3,IF('Onshore- Melbourne'!D18="Term",'Onshore- Melbourne'!E18*4,IF('Onshore- Melbourne'!D18="Unit",'Onshore- Melbourne'!E18*8,""))))))</f>
        <v>23000</v>
      </c>
      <c r="L957" s="0" t="n">
        <f aca="false">IF(AND(ISNUMBER('Onshore- Melbourne'!E18),ISNUMBER(K957),ISNUMBER('Onshore- Melbourne'!F18),ISNUMBER('Onshore- Melbourne'!G18),OR('Onshore- Melbourne'!F18&lt;&gt;0,ISNUMBER(SEARCH("Material 0 terverifikasi",'Onshore- Melbourne'!M18))),OR('Onshore- Melbourne'!G18&lt;&gt;0,ISNUMBER(SEARCH("Enrolment 0 terverifikasi",'Onshore- Melbourne'!M18)))),1,0)</f>
        <v>0</v>
      </c>
      <c r="M957" s="0" t="n">
        <f aca="false">IF(OR('Onshore- Melbourne'!E18="",ISNUMBER(SEARCH("BSB80120",'Onshore- Melbourne'!B18&amp;'Onshore- Melbourne'!M18)),ISNUMBER(SEARCH("Management (Learning)",'Onshore- Melbourne'!B18))),2,IF(ISNUMBER(SEARCH("CEK:",'Onshore- Melbourne'!M18)),1,0))</f>
        <v>1</v>
      </c>
    </row>
    <row r="958" customFormat="false" ht="15" hidden="false" customHeight="false" outlineLevel="0" collapsed="false">
      <c r="A958" s="63" t="s">
        <v>3544</v>
      </c>
      <c r="B958" s="64" t="s">
        <v>4073</v>
      </c>
      <c r="C958" s="63" t="s">
        <v>43</v>
      </c>
      <c r="D958" s="64" t="str">
        <f aca="false">TRIM(LEFT('Onshore- Melbourne'!A94,FIND(CHAR(10),'Onshore- Melbourne'!A94&amp;CHAR(10))-1))</f>
        <v>Australian Catholic University (ACU)</v>
      </c>
      <c r="E958" s="63" t="str">
        <f aca="false">'Onshore- Melbourne'!C129&amp;""</f>
        <v>3 years</v>
      </c>
      <c r="F958" s="63" t="str">
        <f aca="false">IF('Onshore- Melbourne'!D129="","Belum tercatat",'Onshore- Melbourne'!D129)</f>
        <v>Term</v>
      </c>
      <c r="G958" s="65" t="n">
        <f aca="false">IF('Onshore- Melbourne'!E129="","-",'Onshore- Melbourne'!E129)</f>
        <v>8906</v>
      </c>
      <c r="H958" s="63" t="n">
        <f aca="false">IF(ISNUMBER(K958),COUNTIFS($J$6:$J$1916,J958,$K$6:$K$1916,"&lt;"&amp;K958)+1,"-")</f>
        <v>3</v>
      </c>
      <c r="I958" s="64" t="str">
        <f aca="false">IF('Onshore- Melbourne'!E129="","Harga belum tersedia - hubungi konsultan TEG",IF(M958=2,"Saat ini tidak menerima pendaftaran siswa internasional baru",IF(M958=1,"Harga perlu dikonfirmasi ke sekolah"&amp;IF(""="","","; "&amp;""),"")))</f>
        <v/>
      </c>
      <c r="J958" s="0" t="s">
        <v>4106</v>
      </c>
      <c r="K958" s="0" t="n">
        <f aca="false">IF(M958=2,"",IF(ISNUMBER(SEARCH("rata-rata:",'Onshore- Melbourne'!M129)),VALUE(MID('Onshore- Melbourne'!M129,SEARCH("rata-rata:",'Onshore- Melbourne'!M129)+11,FIND(";",'Onshore- Melbourne'!M129&amp;";",SEARCH("rata-rata:",'Onshore- Melbourne'!M129))-SEARCH("rata-rata:",'Onshore- Melbourne'!M129)-11)),IF('Onshore- Melbourne'!D129="Semester",'Onshore- Melbourne'!E129*2,IF('Onshore- Melbourne'!D129="Trimester",'Onshore- Melbourne'!E129*3,IF('Onshore- Melbourne'!D129="Term",'Onshore- Melbourne'!E129*4,IF('Onshore- Melbourne'!D129="Unit",'Onshore- Melbourne'!E129*8,""))))))</f>
        <v>35624</v>
      </c>
      <c r="L958" s="0" t="n">
        <f aca="false">IF(AND(ISNUMBER('Onshore- Melbourne'!E129),ISNUMBER(K958),ISNUMBER('Onshore- Melbourne'!F129),ISNUMBER('Onshore- Melbourne'!G129),OR('Onshore- Melbourne'!F129&lt;&gt;0,ISNUMBER(SEARCH("Material 0 terverifikasi",'Onshore- Melbourne'!M129))),OR('Onshore- Melbourne'!G129&lt;&gt;0,ISNUMBER(SEARCH("Enrolment 0 terverifikasi",'Onshore- Melbourne'!M129)))),1,0)</f>
        <v>0</v>
      </c>
      <c r="M958" s="0" t="n">
        <f aca="false">IF(OR('Onshore- Melbourne'!E129="",ISNUMBER(SEARCH("BSB80120",'Onshore- Melbourne'!B129&amp;'Onshore- Melbourne'!M129)),ISNUMBER(SEARCH("Management (Learning)",'Onshore- Melbourne'!B129))),2,IF(ISNUMBER(SEARCH("CEK:",'Onshore- Melbourne'!M129)),1,0))</f>
        <v>0</v>
      </c>
    </row>
    <row r="959" customFormat="false" ht="15" hidden="false" customHeight="false" outlineLevel="0" collapsed="false">
      <c r="A959" s="63" t="s">
        <v>3544</v>
      </c>
      <c r="B959" s="64" t="s">
        <v>4073</v>
      </c>
      <c r="C959" s="63" t="s">
        <v>43</v>
      </c>
      <c r="D959" s="64" t="str">
        <f aca="false">TRIM(LEFT('Onshore- Melbourne'!A461,FIND(CHAR(10),'Onshore- Melbourne'!A461&amp;CHAR(10))-1))</f>
        <v>Torrens University Australia</v>
      </c>
      <c r="E959" s="63" t="str">
        <f aca="false">'Onshore- Melbourne'!C500&amp;""</f>
        <v>3 years</v>
      </c>
      <c r="F959" s="63" t="str">
        <f aca="false">IF('Onshore- Melbourne'!D500="","Belum tercatat",'Onshore- Melbourne'!D500)</f>
        <v>Term</v>
      </c>
      <c r="G959" s="65" t="n">
        <f aca="false">IF('Onshore- Melbourne'!E500="","-",'Onshore- Melbourne'!E500)</f>
        <v>9375</v>
      </c>
      <c r="H959" s="63" t="n">
        <f aca="false">IF(ISNUMBER(K959),COUNTIFS($J$6:$J$1916,J959,$K$6:$K$1916,"&lt;"&amp;K959)+1,"-")</f>
        <v>4</v>
      </c>
      <c r="I959" s="64" t="str">
        <f aca="false">IF('Onshore- Melbourne'!E500="","Harga belum tersedia - hubungi konsultan TEG",IF(M959=2,"Saat ini tidak menerima pendaftaran siswa internasional baru",IF(M959=1,"Harga perlu dikonfirmasi ke sekolah"&amp;IF(""="","","; "&amp;""),"")))</f>
        <v/>
      </c>
      <c r="J959" s="0" t="s">
        <v>4106</v>
      </c>
      <c r="K959" s="0" t="n">
        <f aca="false">IF(M959=2,"",IF(ISNUMBER(SEARCH("rata-rata:",'Onshore- Melbourne'!M500)),VALUE(MID('Onshore- Melbourne'!M500,SEARCH("rata-rata:",'Onshore- Melbourne'!M500)+11,FIND(";",'Onshore- Melbourne'!M500&amp;";",SEARCH("rata-rata:",'Onshore- Melbourne'!M500))-SEARCH("rata-rata:",'Onshore- Melbourne'!M500)-11)),IF('Onshore- Melbourne'!D500="Semester",'Onshore- Melbourne'!E500*2,IF('Onshore- Melbourne'!D500="Trimester",'Onshore- Melbourne'!E500*3,IF('Onshore- Melbourne'!D500="Term",'Onshore- Melbourne'!E500*4,IF('Onshore- Melbourne'!D500="Unit",'Onshore- Melbourne'!E500*8,""))))))</f>
        <v>37500</v>
      </c>
      <c r="L959" s="0" t="n">
        <f aca="false">IF(AND(ISNUMBER('Onshore- Melbourne'!E500),ISNUMBER(K959),ISNUMBER('Onshore- Melbourne'!F500),ISNUMBER('Onshore- Melbourne'!G500),OR('Onshore- Melbourne'!F500&lt;&gt;0,ISNUMBER(SEARCH("Material 0 terverifikasi",'Onshore- Melbourne'!M500))),OR('Onshore- Melbourne'!G500&lt;&gt;0,ISNUMBER(SEARCH("Enrolment 0 terverifikasi",'Onshore- Melbourne'!M500)))),1,0)</f>
        <v>0</v>
      </c>
      <c r="M959" s="0" t="n">
        <f aca="false">IF(OR('Onshore- Melbourne'!E500="",ISNUMBER(SEARCH("BSB80120",'Onshore- Melbourne'!B500&amp;'Onshore- Melbourne'!M500)),ISNUMBER(SEARCH("Management (Learning)",'Onshore- Melbourne'!B500))),2,IF(ISNUMBER(SEARCH("CEK:",'Onshore- Melbourne'!M500)),1,0))</f>
        <v>0</v>
      </c>
    </row>
    <row r="960" customFormat="false" ht="15" hidden="false" customHeight="false" outlineLevel="0" collapsed="false">
      <c r="A960" s="61" t="s">
        <v>4107</v>
      </c>
      <c r="B960" s="62"/>
      <c r="C960" s="62"/>
      <c r="D960" s="62"/>
      <c r="E960" s="62"/>
      <c r="F960" s="62"/>
      <c r="G960" s="62"/>
      <c r="H960" s="62"/>
      <c r="I960" s="62"/>
    </row>
    <row r="961" customFormat="false" ht="15" hidden="false" customHeight="false" outlineLevel="0" collapsed="false">
      <c r="A961" s="63" t="s">
        <v>3544</v>
      </c>
      <c r="B961" s="64" t="s">
        <v>4073</v>
      </c>
      <c r="C961" s="63" t="s">
        <v>46</v>
      </c>
      <c r="D961" s="64" t="str">
        <f aca="false">TRIM(LEFT('Onshore- Melbourne'!A94,FIND(CHAR(10),'Onshore- Melbourne'!A94&amp;CHAR(10))-1))</f>
        <v>Australian Catholic University (ACU)</v>
      </c>
      <c r="E961" s="63" t="str">
        <f aca="false">'Onshore- Melbourne'!C149&amp;""</f>
        <v>2 years</v>
      </c>
      <c r="F961" s="63" t="str">
        <f aca="false">IF('Onshore- Melbourne'!D149="","Belum tercatat",'Onshore- Melbourne'!D149)</f>
        <v>Term</v>
      </c>
      <c r="G961" s="65" t="n">
        <f aca="false">IF('Onshore- Melbourne'!E149="","-",'Onshore- Melbourne'!E149)</f>
        <v>8906</v>
      </c>
      <c r="H961" s="63" t="n">
        <f aca="false">IF(ISNUMBER(K961),COUNTIFS($J$6:$J$1916,J961,$K$6:$K$1916,"&lt;"&amp;K961)+1,"-")</f>
        <v>1</v>
      </c>
      <c r="I961" s="64" t="str">
        <f aca="false">IF('Onshore- Melbourne'!E149="","Harga belum tersedia - hubungi konsultan TEG",IF(M961=2,"Saat ini tidak menerima pendaftaran siswa internasional baru",IF(M961=1,"Harga perlu dikonfirmasi ke sekolah"&amp;IF(""="","","; "&amp;""),"")))</f>
        <v/>
      </c>
      <c r="J961" s="0" t="s">
        <v>4108</v>
      </c>
      <c r="K961" s="0" t="n">
        <f aca="false">IF(M961=2,"",IF(ISNUMBER(SEARCH("rata-rata:",'Onshore- Melbourne'!M149)),VALUE(MID('Onshore- Melbourne'!M149,SEARCH("rata-rata:",'Onshore- Melbourne'!M149)+11,FIND(";",'Onshore- Melbourne'!M149&amp;";",SEARCH("rata-rata:",'Onshore- Melbourne'!M149))-SEARCH("rata-rata:",'Onshore- Melbourne'!M149)-11)),IF('Onshore- Melbourne'!D149="Semester",'Onshore- Melbourne'!E149*2,IF('Onshore- Melbourne'!D149="Trimester",'Onshore- Melbourne'!E149*3,IF('Onshore- Melbourne'!D149="Term",'Onshore- Melbourne'!E149*4,IF('Onshore- Melbourne'!D149="Unit",'Onshore- Melbourne'!E149*8,""))))))</f>
        <v>35624</v>
      </c>
      <c r="L961" s="0" t="n">
        <f aca="false">IF(AND(ISNUMBER('Onshore- Melbourne'!E149),ISNUMBER(K961),ISNUMBER('Onshore- Melbourne'!F149),ISNUMBER('Onshore- Melbourne'!G149),OR('Onshore- Melbourne'!F149&lt;&gt;0,ISNUMBER(SEARCH("Material 0 terverifikasi",'Onshore- Melbourne'!M149))),OR('Onshore- Melbourne'!G149&lt;&gt;0,ISNUMBER(SEARCH("Enrolment 0 terverifikasi",'Onshore- Melbourne'!M149)))),1,0)</f>
        <v>0</v>
      </c>
      <c r="M961" s="0" t="n">
        <f aca="false">IF(OR('Onshore- Melbourne'!E149="",ISNUMBER(SEARCH("BSB80120",'Onshore- Melbourne'!B149&amp;'Onshore- Melbourne'!M149)),ISNUMBER(SEARCH("Management (Learning)",'Onshore- Melbourne'!B149))),2,IF(ISNUMBER(SEARCH("CEK:",'Onshore- Melbourne'!M149)),1,0))</f>
        <v>0</v>
      </c>
    </row>
    <row r="962" customFormat="false" ht="15" hidden="false" customHeight="false" outlineLevel="0" collapsed="false">
      <c r="A962" s="61" t="s">
        <v>4109</v>
      </c>
      <c r="B962" s="62"/>
      <c r="C962" s="62"/>
      <c r="D962" s="62"/>
      <c r="E962" s="62"/>
      <c r="F962" s="62"/>
      <c r="G962" s="62"/>
      <c r="H962" s="62"/>
      <c r="I962" s="62"/>
    </row>
    <row r="963" customFormat="false" ht="28.35" hidden="false" customHeight="false" outlineLevel="0" collapsed="false">
      <c r="A963" s="63" t="s">
        <v>3573</v>
      </c>
      <c r="B963" s="64" t="s">
        <v>4073</v>
      </c>
      <c r="C963" s="63" t="s">
        <v>43</v>
      </c>
      <c r="D963" s="64" t="str">
        <f aca="false">TRIM(LEFT('Onshore - Perth'!A89,FIND(CHAR(10),'Onshore - Perth'!A89&amp;CHAR(10))-1))</f>
        <v>Greenwich Higher Education (Academy of Interactive Technology Pty Ltd)</v>
      </c>
      <c r="E963" s="63" t="str">
        <f aca="false">'Onshore - Perth'!C90&amp;""</f>
        <v>3 years</v>
      </c>
      <c r="F963" s="63" t="str">
        <f aca="false">IF('Onshore - Perth'!D90="","Belum tercatat",'Onshore - Perth'!D90)</f>
        <v>Term</v>
      </c>
      <c r="G963" s="65" t="n">
        <f aca="false">IF('Onshore - Perth'!E90="","-",'Onshore - Perth'!E90)</f>
        <v>4025</v>
      </c>
      <c r="H963" s="63" t="n">
        <f aca="false">IF(ISNUMBER(K963),COUNTIFS($J$6:$J$1916,J963,$K$6:$K$1916,"&lt;"&amp;K963)+1,"-")</f>
        <v>1</v>
      </c>
      <c r="I963" s="64" t="str">
        <f aca="false">IF('Onshore - Perth'!E90="","Harga belum tersedia - hubungi konsultan TEG",IF(M963=2,"Saat ini tidak menerima pendaftaran siswa internasional baru",IF(M963=1,"Program perlu dikonfirmasi ketersediaannya"&amp;IF(""="","","; "&amp;""),"")))</f>
        <v>Program perlu dikonfirmasi ketersediaannya</v>
      </c>
      <c r="J963" s="0" t="s">
        <v>4110</v>
      </c>
      <c r="K963" s="0" t="n">
        <f aca="false">IF(M963=2,"",IF(ISNUMBER(SEARCH("rata-rata:",'Onshore - Perth'!M90)),VALUE(MID('Onshore - Perth'!M90,SEARCH("rata-rata:",'Onshore - Perth'!M90)+11,FIND(";",'Onshore - Perth'!M90&amp;";",SEARCH("rata-rata:",'Onshore - Perth'!M90))-SEARCH("rata-rata:",'Onshore - Perth'!M90)-11)),IF('Onshore - Perth'!D90="Semester",'Onshore - Perth'!E90*2,IF('Onshore - Perth'!D90="Trimester",'Onshore - Perth'!E90*3,IF('Onshore - Perth'!D90="Term",'Onshore - Perth'!E90*4,IF('Onshore - Perth'!D90="Unit",'Onshore - Perth'!E90*8,""))))))</f>
        <v>16100</v>
      </c>
      <c r="L963" s="0" t="n">
        <f aca="false">IF(AND(ISNUMBER('Onshore - Perth'!E90),ISNUMBER(K963),ISNUMBER('Onshore - Perth'!F90),ISNUMBER('Onshore - Perth'!G90),OR('Onshore - Perth'!F90&lt;&gt;0,ISNUMBER(SEARCH("Material 0 terverifikasi",'Onshore - Perth'!M90))),OR('Onshore - Perth'!G90&lt;&gt;0,ISNUMBER(SEARCH("Enrolment 0 terverifikasi",'Onshore - Perth'!M90)))),1,0)</f>
        <v>1</v>
      </c>
      <c r="M963" s="0" t="n">
        <f aca="false">IF(OR('Onshore - Perth'!E90="",ISNUMBER(SEARCH("BSB80120",'Onshore - Perth'!B90&amp;'Onshore - Perth'!M90)),ISNUMBER(SEARCH("Management (Learning)",'Onshore - Perth'!B90))),2,IF(ISNUMBER(SEARCH("CEK:",'Onshore - Perth'!M90)),1,0))</f>
        <v>1</v>
      </c>
    </row>
    <row r="964" customFormat="false" ht="15" hidden="false" customHeight="false" outlineLevel="0" collapsed="false">
      <c r="A964" s="61" t="s">
        <v>4111</v>
      </c>
      <c r="B964" s="62"/>
      <c r="C964" s="62"/>
      <c r="D964" s="62"/>
      <c r="E964" s="62"/>
      <c r="F964" s="62"/>
      <c r="G964" s="62"/>
      <c r="H964" s="62"/>
      <c r="I964" s="62"/>
    </row>
    <row r="965" customFormat="false" ht="28.35" hidden="false" customHeight="false" outlineLevel="0" collapsed="false">
      <c r="A965" s="63" t="s">
        <v>3533</v>
      </c>
      <c r="B965" s="64" t="s">
        <v>4073</v>
      </c>
      <c r="C965" s="63" t="s">
        <v>40</v>
      </c>
      <c r="D965" s="64" t="str">
        <f aca="false">TRIM(LEFT('Onshore - Sydney'!A268,FIND(CHAR(10),'Onshore - Sydney'!A268&amp;CHAR(10))-1))</f>
        <v>Australian College of Business Intelligence (ACBI)</v>
      </c>
      <c r="E965" s="63" t="str">
        <f aca="false">'Onshore - Sydney'!C281&amp;""</f>
        <v>52 weeks (4 terms)</v>
      </c>
      <c r="F965" s="63" t="str">
        <f aca="false">IF('Onshore - Sydney'!D281="","Belum tercatat",'Onshore - Sydney'!D281)</f>
        <v>Term</v>
      </c>
      <c r="G965" s="65" t="n">
        <f aca="false">IF('Onshore - Sydney'!E281="","-",'Onshore - Sydney'!E281)</f>
        <v>1710</v>
      </c>
      <c r="H965" s="63" t="n">
        <f aca="false">IF(ISNUMBER(K965),COUNTIFS($J$6:$J$1916,J965,$K$6:$K$1916,"&lt;"&amp;K965)+1,"-")</f>
        <v>1</v>
      </c>
      <c r="I965" s="64" t="str">
        <f aca="false">IF('Onshore - Sydney'!E281="","Harga belum tersedia - hubungi konsultan TEG",IF(M965=2,"Saat ini tidak menerima pendaftaran siswa internasional baru",IF(M965=1,"Harga perlu dikonfirmasi ke sekolah"&amp;IF(""="","","; "&amp;""),"")))</f>
        <v/>
      </c>
      <c r="J965" s="0" t="s">
        <v>4112</v>
      </c>
      <c r="K965" s="0" t="n">
        <f aca="false">IF(M965=2,"",IF(ISNUMBER(SEARCH("rata-rata:",'Onshore - Sydney'!M281)),VALUE(MID('Onshore - Sydney'!M281,SEARCH("rata-rata:",'Onshore - Sydney'!M281)+11,FIND(";",'Onshore - Sydney'!M281&amp;";",SEARCH("rata-rata:",'Onshore - Sydney'!M281))-SEARCH("rata-rata:",'Onshore - Sydney'!M281)-11)),IF('Onshore - Sydney'!D281="Semester",'Onshore - Sydney'!E281*2,IF('Onshore - Sydney'!D281="Trimester",'Onshore - Sydney'!E281*3,IF('Onshore - Sydney'!D281="Term",'Onshore - Sydney'!E281*4,IF('Onshore - Sydney'!D281="Unit",'Onshore - Sydney'!E281*8,""))))))</f>
        <v>6840</v>
      </c>
      <c r="L965" s="0" t="n">
        <f aca="false">IF(AND(ISNUMBER('Onshore - Sydney'!E281),ISNUMBER(K965),ISNUMBER('Onshore - Sydney'!F281),ISNUMBER('Onshore - Sydney'!G281),OR('Onshore - Sydney'!F281&lt;&gt;0,ISNUMBER(SEARCH("Material 0 terverifikasi",'Onshore - Sydney'!M281))),OR('Onshore - Sydney'!G281&lt;&gt;0,ISNUMBER(SEARCH("Enrolment 0 terverifikasi",'Onshore - Sydney'!M281)))),1,0)</f>
        <v>1</v>
      </c>
      <c r="M965" s="0" t="n">
        <f aca="false">IF(OR('Onshore - Sydney'!E281="",ISNUMBER(SEARCH("BSB80120",'Onshore - Sydney'!B281&amp;'Onshore - Sydney'!M281)),ISNUMBER(SEARCH("Management (Learning)",'Onshore - Sydney'!B281))),2,IF(ISNUMBER(SEARCH("CEK:",'Onshore - Sydney'!M281)),1,0))</f>
        <v>0</v>
      </c>
    </row>
    <row r="966" customFormat="false" ht="15" hidden="false" customHeight="false" outlineLevel="0" collapsed="false">
      <c r="A966" s="63" t="s">
        <v>3533</v>
      </c>
      <c r="B966" s="64" t="s">
        <v>4073</v>
      </c>
      <c r="C966" s="63" t="s">
        <v>40</v>
      </c>
      <c r="D966" s="64" t="str">
        <f aca="false">TRIM(LEFT('Onshore - Sydney'!A796,FIND(CHAR(10),'Onshore - Sydney'!A796&amp;CHAR(10))-1))</f>
        <v>TAFE NSW</v>
      </c>
      <c r="E966" s="63" t="str">
        <f aca="false">'Onshore - Sydney'!C848&amp;""</f>
        <v>1 year</v>
      </c>
      <c r="F966" s="63" t="str">
        <f aca="false">IF('Onshore - Sydney'!D848="","Belum tercatat",'Onshore - Sydney'!D848)</f>
        <v>Term</v>
      </c>
      <c r="G966" s="65" t="n">
        <f aca="false">IF('Onshore - Sydney'!E848="","-",'Onshore - Sydney'!E848)</f>
        <v>4988</v>
      </c>
      <c r="H966" s="63" t="n">
        <f aca="false">IF(ISNUMBER(K966),COUNTIFS($J$6:$J$1916,J966,$K$6:$K$1916,"&lt;"&amp;K966)+1,"-")</f>
        <v>2</v>
      </c>
      <c r="I966" s="64" t="str">
        <f aca="false">IF('Onshore - Sydney'!E848="","Harga belum tersedia - hubungi konsultan TEG",IF(M966=2,"Saat ini tidak menerima pendaftaran siswa internasional baru",IF(M966=1,"Harga perlu dikonfirmasi ke sekolah"&amp;IF(""="","","; "&amp;""),"")))</f>
        <v/>
      </c>
      <c r="J966" s="0" t="s">
        <v>4112</v>
      </c>
      <c r="K966" s="0" t="n">
        <f aca="false">IF(M966=2,"",IF(ISNUMBER(SEARCH("rata-rata:",'Onshore - Sydney'!M848)),VALUE(MID('Onshore - Sydney'!M848,SEARCH("rata-rata:",'Onshore - Sydney'!M848)+11,FIND(";",'Onshore - Sydney'!M848&amp;";",SEARCH("rata-rata:",'Onshore - Sydney'!M848))-SEARCH("rata-rata:",'Onshore - Sydney'!M848)-11)),IF('Onshore - Sydney'!D848="Semester",'Onshore - Sydney'!E848*2,IF('Onshore - Sydney'!D848="Trimester",'Onshore - Sydney'!E848*3,IF('Onshore - Sydney'!D848="Term",'Onshore - Sydney'!E848*4,IF('Onshore - Sydney'!D848="Unit",'Onshore - Sydney'!E848*8,""))))))</f>
        <v>19952</v>
      </c>
      <c r="L966" s="0" t="n">
        <f aca="false">IF(AND(ISNUMBER('Onshore - Sydney'!E848),ISNUMBER(K966),ISNUMBER('Onshore - Sydney'!F848),ISNUMBER('Onshore - Sydney'!G848),OR('Onshore - Sydney'!F848&lt;&gt;0,ISNUMBER(SEARCH("Material 0 terverifikasi",'Onshore - Sydney'!M848))),OR('Onshore - Sydney'!G848&lt;&gt;0,ISNUMBER(SEARCH("Enrolment 0 terverifikasi",'Onshore - Sydney'!M848)))),1,0)</f>
        <v>0</v>
      </c>
      <c r="M966" s="0" t="n">
        <f aca="false">IF(OR('Onshore - Sydney'!E848="",ISNUMBER(SEARCH("BSB80120",'Onshore - Sydney'!B848&amp;'Onshore - Sydney'!M848)),ISNUMBER(SEARCH("Management (Learning)",'Onshore - Sydney'!B848))),2,IF(ISNUMBER(SEARCH("CEK:",'Onshore - Sydney'!M848)),1,0))</f>
        <v>0</v>
      </c>
    </row>
    <row r="967" customFormat="false" ht="15" hidden="false" customHeight="false" outlineLevel="0" collapsed="false">
      <c r="A967" s="61" t="s">
        <v>4113</v>
      </c>
      <c r="B967" s="62"/>
      <c r="C967" s="62"/>
      <c r="D967" s="62"/>
      <c r="E967" s="62"/>
      <c r="F967" s="62"/>
      <c r="G967" s="62"/>
      <c r="H967" s="62"/>
      <c r="I967" s="62"/>
    </row>
    <row r="968" customFormat="false" ht="15" hidden="false" customHeight="false" outlineLevel="0" collapsed="false">
      <c r="A968" s="63" t="s">
        <v>3533</v>
      </c>
      <c r="B968" s="64" t="s">
        <v>4073</v>
      </c>
      <c r="C968" s="63" t="s">
        <v>41</v>
      </c>
      <c r="D968" s="64" t="str">
        <f aca="false">TRIM(LEFT('Onshore - Sydney'!A1016,FIND(CHAR(10),'Onshore - Sydney'!A1016&amp;CHAR(10))-1))</f>
        <v>Victory Institute</v>
      </c>
      <c r="E968" s="63" t="str">
        <f aca="false">'Onshore - Sydney'!C1022&amp;""</f>
        <v>3 years</v>
      </c>
      <c r="F968" s="63" t="str">
        <f aca="false">IF('Onshore - Sydney'!D1022="","Belum tercatat",'Onshore - Sydney'!D1022)</f>
        <v>Term</v>
      </c>
      <c r="G968" s="65" t="n">
        <f aca="false">IF('Onshore - Sydney'!E1022="","-",'Onshore - Sydney'!E1022)</f>
        <v>1750</v>
      </c>
      <c r="H968" s="63" t="n">
        <f aca="false">IF(ISNUMBER(K968),COUNTIFS($J$6:$J$1916,J968,$K$6:$K$1916,"&lt;"&amp;K968)+1,"-")</f>
        <v>1</v>
      </c>
      <c r="I968" s="64" t="str">
        <f aca="false">IF('Onshore - Sydney'!E1022="","Harga belum tersedia - hubungi konsultan TEG",IF(M968=2,"Saat ini tidak menerima pendaftaran siswa internasional baru",IF(M968=1,"Harga perlu dikonfirmasi ke sekolah"&amp;IF(""="","","; "&amp;""),"")))</f>
        <v/>
      </c>
      <c r="J968" s="0" t="s">
        <v>4114</v>
      </c>
      <c r="K968" s="0" t="n">
        <f aca="false">IF(M968=2,"",IF(ISNUMBER(SEARCH("rata-rata:",'Onshore - Sydney'!M1022)),VALUE(MID('Onshore - Sydney'!M1022,SEARCH("rata-rata:",'Onshore - Sydney'!M1022)+11,FIND(";",'Onshore - Sydney'!M1022&amp;";",SEARCH("rata-rata:",'Onshore - Sydney'!M1022))-SEARCH("rata-rata:",'Onshore - Sydney'!M1022)-11)),IF('Onshore - Sydney'!D1022="Semester",'Onshore - Sydney'!E1022*2,IF('Onshore - Sydney'!D1022="Trimester",'Onshore - Sydney'!E1022*3,IF('Onshore - Sydney'!D1022="Term",'Onshore - Sydney'!E1022*4,IF('Onshore - Sydney'!D1022="Unit",'Onshore - Sydney'!E1022*8,""))))))</f>
        <v>7000</v>
      </c>
      <c r="L968" s="0" t="n">
        <f aca="false">IF(AND(ISNUMBER('Onshore - Sydney'!E1022),ISNUMBER(K968),ISNUMBER('Onshore - Sydney'!F1022),ISNUMBER('Onshore - Sydney'!G1022),OR('Onshore - Sydney'!F1022&lt;&gt;0,ISNUMBER(SEARCH("Material 0 terverifikasi",'Onshore - Sydney'!M1022))),OR('Onshore - Sydney'!G1022&lt;&gt;0,ISNUMBER(SEARCH("Enrolment 0 terverifikasi",'Onshore - Sydney'!M1022)))),1,0)</f>
        <v>1</v>
      </c>
      <c r="M968" s="0" t="n">
        <f aca="false">IF(OR('Onshore - Sydney'!E1022="",ISNUMBER(SEARCH("BSB80120",'Onshore - Sydney'!B1022&amp;'Onshore - Sydney'!M1022)),ISNUMBER(SEARCH("Management (Learning)",'Onshore - Sydney'!B1022))),2,IF(ISNUMBER(SEARCH("CEK:",'Onshore - Sydney'!M1022)),1,0))</f>
        <v>0</v>
      </c>
    </row>
    <row r="969" customFormat="false" ht="28.35" hidden="false" customHeight="false" outlineLevel="0" collapsed="false">
      <c r="A969" s="63" t="s">
        <v>3533</v>
      </c>
      <c r="B969" s="64" t="s">
        <v>4073</v>
      </c>
      <c r="C969" s="63" t="s">
        <v>41</v>
      </c>
      <c r="D969" s="64" t="str">
        <f aca="false">TRIM(LEFT('Onshore - Sydney'!A268,FIND(CHAR(10),'Onshore - Sydney'!A268&amp;CHAR(10))-1))</f>
        <v>Australian College of Business Intelligence (ACBI)</v>
      </c>
      <c r="E969" s="63" t="str">
        <f aca="false">'Onshore - Sydney'!C282&amp;""</f>
        <v>78 weeks (6 terms)</v>
      </c>
      <c r="F969" s="63" t="str">
        <f aca="false">IF('Onshore - Sydney'!D282="","Belum tercatat",'Onshore - Sydney'!D282)</f>
        <v>Term</v>
      </c>
      <c r="G969" s="65" t="n">
        <f aca="false">IF('Onshore - Sydney'!E282="","-",'Onshore - Sydney'!E282)</f>
        <v>2160</v>
      </c>
      <c r="H969" s="63" t="n">
        <f aca="false">IF(ISNUMBER(K969),COUNTIFS($J$6:$J$1916,J969,$K$6:$K$1916,"&lt;"&amp;K969)+1,"-")</f>
        <v>2</v>
      </c>
      <c r="I969" s="64" t="str">
        <f aca="false">IF('Onshore - Sydney'!E282="","Harga belum tersedia - hubungi konsultan TEG",IF(M969=2,"Saat ini tidak menerima pendaftaran siswa internasional baru",IF(M969=1,"Harga perlu dikonfirmasi ke sekolah"&amp;IF(""="","","; "&amp;""),"")))</f>
        <v/>
      </c>
      <c r="J969" s="0" t="s">
        <v>4114</v>
      </c>
      <c r="K969" s="0" t="n">
        <f aca="false">IF(M969=2,"",IF(ISNUMBER(SEARCH("rata-rata:",'Onshore - Sydney'!M282)),VALUE(MID('Onshore - Sydney'!M282,SEARCH("rata-rata:",'Onshore - Sydney'!M282)+11,FIND(";",'Onshore - Sydney'!M282&amp;";",SEARCH("rata-rata:",'Onshore - Sydney'!M282))-SEARCH("rata-rata:",'Onshore - Sydney'!M282)-11)),IF('Onshore - Sydney'!D282="Semester",'Onshore - Sydney'!E282*2,IF('Onshore - Sydney'!D282="Trimester",'Onshore - Sydney'!E282*3,IF('Onshore - Sydney'!D282="Term",'Onshore - Sydney'!E282*4,IF('Onshore - Sydney'!D282="Unit",'Onshore - Sydney'!E282*8,""))))))</f>
        <v>8640</v>
      </c>
      <c r="L969" s="0" t="n">
        <f aca="false">IF(AND(ISNUMBER('Onshore - Sydney'!E282),ISNUMBER(K969),ISNUMBER('Onshore - Sydney'!F282),ISNUMBER('Onshore - Sydney'!G282),OR('Onshore - Sydney'!F282&lt;&gt;0,ISNUMBER(SEARCH("Material 0 terverifikasi",'Onshore - Sydney'!M282))),OR('Onshore - Sydney'!G282&lt;&gt;0,ISNUMBER(SEARCH("Enrolment 0 terverifikasi",'Onshore - Sydney'!M282)))),1,0)</f>
        <v>1</v>
      </c>
      <c r="M969" s="0" t="n">
        <f aca="false">IF(OR('Onshore - Sydney'!E282="",ISNUMBER(SEARCH("BSB80120",'Onshore - Sydney'!B282&amp;'Onshore - Sydney'!M282)),ISNUMBER(SEARCH("Management (Learning)",'Onshore - Sydney'!B282))),2,IF(ISNUMBER(SEARCH("CEK:",'Onshore - Sydney'!M282)),1,0))</f>
        <v>0</v>
      </c>
    </row>
    <row r="970" customFormat="false" ht="15" hidden="false" customHeight="false" outlineLevel="0" collapsed="false">
      <c r="A970" s="63" t="s">
        <v>3533</v>
      </c>
      <c r="B970" s="64" t="s">
        <v>4073</v>
      </c>
      <c r="C970" s="63" t="s">
        <v>41</v>
      </c>
      <c r="D970" s="64" t="str">
        <f aca="false">TRIM(LEFT('Onshore - Sydney'!A796,FIND(CHAR(10),'Onshore - Sydney'!A796&amp;CHAR(10))-1))</f>
        <v>TAFE NSW</v>
      </c>
      <c r="E970" s="63" t="str">
        <f aca="false">'Onshore - Sydney'!C859&amp;""</f>
        <v>1,5 years</v>
      </c>
      <c r="F970" s="63" t="str">
        <f aca="false">IF('Onshore - Sydney'!D859="","Belum tercatat",'Onshore - Sydney'!D859)</f>
        <v>Term</v>
      </c>
      <c r="G970" s="65" t="n">
        <f aca="false">IF('Onshore - Sydney'!E859="","-",'Onshore - Sydney'!E859)</f>
        <v>4400</v>
      </c>
      <c r="H970" s="63" t="n">
        <f aca="false">IF(ISNUMBER(K970),COUNTIFS($J$6:$J$1916,J970,$K$6:$K$1916,"&lt;"&amp;K970)+1,"-")</f>
        <v>3</v>
      </c>
      <c r="I970" s="64" t="str">
        <f aca="false">IF('Onshore - Sydney'!E859="","Harga belum tersedia - hubungi konsultan TEG",IF(M970=2,"Saat ini tidak menerima pendaftaran siswa internasional baru",IF(M970=1,"Harga perlu dikonfirmasi ke sekolah"&amp;IF(""="","","; "&amp;""),"")))</f>
        <v/>
      </c>
      <c r="J970" s="0" t="s">
        <v>4114</v>
      </c>
      <c r="K970" s="0" t="n">
        <f aca="false">IF(M970=2,"",IF(ISNUMBER(SEARCH("rata-rata:",'Onshore - Sydney'!M859)),VALUE(MID('Onshore - Sydney'!M859,SEARCH("rata-rata:",'Onshore - Sydney'!M859)+11,FIND(";",'Onshore - Sydney'!M859&amp;";",SEARCH("rata-rata:",'Onshore - Sydney'!M859))-SEARCH("rata-rata:",'Onshore - Sydney'!M859)-11)),IF('Onshore - Sydney'!D859="Semester",'Onshore - Sydney'!E859*2,IF('Onshore - Sydney'!D859="Trimester",'Onshore - Sydney'!E859*3,IF('Onshore - Sydney'!D859="Term",'Onshore - Sydney'!E859*4,IF('Onshore - Sydney'!D859="Unit",'Onshore - Sydney'!E859*8,""))))))</f>
        <v>17600</v>
      </c>
      <c r="L970" s="0" t="n">
        <f aca="false">IF(AND(ISNUMBER('Onshore - Sydney'!E859),ISNUMBER(K970),ISNUMBER('Onshore - Sydney'!F859),ISNUMBER('Onshore - Sydney'!G859),OR('Onshore - Sydney'!F859&lt;&gt;0,ISNUMBER(SEARCH("Material 0 terverifikasi",'Onshore - Sydney'!M859))),OR('Onshore - Sydney'!G859&lt;&gt;0,ISNUMBER(SEARCH("Enrolment 0 terverifikasi",'Onshore - Sydney'!M859)))),1,0)</f>
        <v>0</v>
      </c>
      <c r="M970" s="0" t="n">
        <f aca="false">IF(OR('Onshore - Sydney'!E859="",ISNUMBER(SEARCH("BSB80120",'Onshore - Sydney'!B859&amp;'Onshore - Sydney'!M859)),ISNUMBER(SEARCH("Management (Learning)",'Onshore - Sydney'!B859))),2,IF(ISNUMBER(SEARCH("CEK:",'Onshore - Sydney'!M859)),1,0))</f>
        <v>0</v>
      </c>
    </row>
    <row r="971" customFormat="false" ht="15" hidden="false" customHeight="false" outlineLevel="0" collapsed="false">
      <c r="A971" s="63" t="s">
        <v>3533</v>
      </c>
      <c r="B971" s="64" t="s">
        <v>4073</v>
      </c>
      <c r="C971" s="63" t="s">
        <v>41</v>
      </c>
      <c r="D971" s="64" t="str">
        <f aca="false">TRIM(LEFT('Onshore - Sydney'!A63,FIND(CHAR(10),'Onshore - Sydney'!A63&amp;CHAR(10))-1))</f>
        <v>Academy of Interactive Technology (AIT)</v>
      </c>
      <c r="E971" s="63" t="str">
        <f aca="false">'Onshore - Sydney'!C68&amp;""</f>
        <v>1 year</v>
      </c>
      <c r="F971" s="63" t="str">
        <f aca="false">IF('Onshore - Sydney'!D68="","Belum tercatat",'Onshore - Sydney'!D68)</f>
        <v>Term</v>
      </c>
      <c r="G971" s="65" t="n">
        <f aca="false">IF('Onshore - Sydney'!E68="","-",'Onshore - Sydney'!E68)</f>
        <v>5750</v>
      </c>
      <c r="H971" s="63" t="n">
        <f aca="false">IF(ISNUMBER(K971),COUNTIFS($J$6:$J$1916,J971,$K$6:$K$1916,"&lt;"&amp;K971)+1,"-")</f>
        <v>4</v>
      </c>
      <c r="I971" s="64" t="str">
        <f aca="false">IF('Onshore - Sydney'!E68="","Harga belum tersedia - hubungi konsultan TEG",IF(M971=2,"Saat ini tidak menerima pendaftaran siswa internasional baru",IF(M971=1,"Harga perlu dikonfirmasi ke sekolah"&amp;IF(""="","","; "&amp;""),"")))</f>
        <v>Harga perlu dikonfirmasi ke sekolah</v>
      </c>
      <c r="J971" s="0" t="s">
        <v>4114</v>
      </c>
      <c r="K971" s="0" t="n">
        <f aca="false">IF(M971=2,"",IF(ISNUMBER(SEARCH("rata-rata:",'Onshore - Sydney'!M68)),VALUE(MID('Onshore - Sydney'!M68,SEARCH("rata-rata:",'Onshore - Sydney'!M68)+11,FIND(";",'Onshore - Sydney'!M68&amp;";",SEARCH("rata-rata:",'Onshore - Sydney'!M68))-SEARCH("rata-rata:",'Onshore - Sydney'!M68)-11)),IF('Onshore - Sydney'!D68="Semester",'Onshore - Sydney'!E68*2,IF('Onshore - Sydney'!D68="Trimester",'Onshore - Sydney'!E68*3,IF('Onshore - Sydney'!D68="Term",'Onshore - Sydney'!E68*4,IF('Onshore - Sydney'!D68="Unit",'Onshore - Sydney'!E68*8,""))))))</f>
        <v>23000</v>
      </c>
      <c r="L971" s="0" t="n">
        <f aca="false">IF(AND(ISNUMBER('Onshore - Sydney'!E68),ISNUMBER(K971),ISNUMBER('Onshore - Sydney'!F68),ISNUMBER('Onshore - Sydney'!G68),OR('Onshore - Sydney'!F68&lt;&gt;0,ISNUMBER(SEARCH("Material 0 terverifikasi",'Onshore - Sydney'!M68))),OR('Onshore - Sydney'!G68&lt;&gt;0,ISNUMBER(SEARCH("Enrolment 0 terverifikasi",'Onshore - Sydney'!M68)))),1,0)</f>
        <v>0</v>
      </c>
      <c r="M971" s="0" t="n">
        <f aca="false">IF(OR('Onshore - Sydney'!E68="",ISNUMBER(SEARCH("BSB80120",'Onshore - Sydney'!B68&amp;'Onshore - Sydney'!M68)),ISNUMBER(SEARCH("Management (Learning)",'Onshore - Sydney'!B68))),2,IF(ISNUMBER(SEARCH("CEK:",'Onshore - Sydney'!M68)),1,0))</f>
        <v>1</v>
      </c>
    </row>
    <row r="972" customFormat="false" ht="15" hidden="false" customHeight="false" outlineLevel="0" collapsed="false">
      <c r="A972" s="63" t="s">
        <v>3533</v>
      </c>
      <c r="B972" s="64" t="s">
        <v>4073</v>
      </c>
      <c r="C972" s="63" t="s">
        <v>41</v>
      </c>
      <c r="D972" s="64" t="str">
        <f aca="false">TRIM(LEFT('Onshore - Sydney'!A888,FIND(CHAR(10),'Onshore - Sydney'!A888&amp;CHAR(10))-1))</f>
        <v>Torrens University Australia</v>
      </c>
      <c r="E972" s="63" t="str">
        <f aca="false">'Onshore - Sydney'!C923&amp;""</f>
        <v>1,5 years</v>
      </c>
      <c r="F972" s="63" t="str">
        <f aca="false">IF('Onshore - Sydney'!D923="","Belum tercatat",'Onshore - Sydney'!D923)</f>
        <v>Term</v>
      </c>
      <c r="G972" s="65" t="n">
        <f aca="false">IF('Onshore - Sydney'!E923="","-",'Onshore - Sydney'!E923)</f>
        <v>6250</v>
      </c>
      <c r="H972" s="63" t="n">
        <f aca="false">IF(ISNUMBER(K972),COUNTIFS($J$6:$J$1916,J972,$K$6:$K$1916,"&lt;"&amp;K972)+1,"-")</f>
        <v>5</v>
      </c>
      <c r="I972" s="64" t="str">
        <f aca="false">IF('Onshore - Sydney'!E923="","Harga belum tersedia - hubungi konsultan TEG",IF(M972=2,"Saat ini tidak menerima pendaftaran siswa internasional baru",IF(M972=1,"Harga perlu dikonfirmasi ke sekolah"&amp;IF(""="","","; "&amp;""),"")))</f>
        <v/>
      </c>
      <c r="J972" s="0" t="s">
        <v>4114</v>
      </c>
      <c r="K972" s="0" t="n">
        <f aca="false">IF(M972=2,"",IF(ISNUMBER(SEARCH("rata-rata:",'Onshore - Sydney'!M923)),VALUE(MID('Onshore - Sydney'!M923,SEARCH("rata-rata:",'Onshore - Sydney'!M923)+11,FIND(";",'Onshore - Sydney'!M923&amp;";",SEARCH("rata-rata:",'Onshore - Sydney'!M923))-SEARCH("rata-rata:",'Onshore - Sydney'!M923)-11)),IF('Onshore - Sydney'!D923="Semester",'Onshore - Sydney'!E923*2,IF('Onshore - Sydney'!D923="Trimester",'Onshore - Sydney'!E923*3,IF('Onshore - Sydney'!D923="Term",'Onshore - Sydney'!E923*4,IF('Onshore - Sydney'!D923="Unit",'Onshore - Sydney'!E923*8,""))))))</f>
        <v>25000</v>
      </c>
      <c r="L972" s="0" t="n">
        <f aca="false">IF(AND(ISNUMBER('Onshore - Sydney'!E923),ISNUMBER(K972),ISNUMBER('Onshore - Sydney'!F923),ISNUMBER('Onshore - Sydney'!G923),OR('Onshore - Sydney'!F923&lt;&gt;0,ISNUMBER(SEARCH("Material 0 terverifikasi",'Onshore - Sydney'!M923))),OR('Onshore - Sydney'!G923&lt;&gt;0,ISNUMBER(SEARCH("Enrolment 0 terverifikasi",'Onshore - Sydney'!M923)))),1,0)</f>
        <v>0</v>
      </c>
      <c r="M972" s="0" t="n">
        <f aca="false">IF(OR('Onshore - Sydney'!E923="",ISNUMBER(SEARCH("BSB80120",'Onshore - Sydney'!B923&amp;'Onshore - Sydney'!M923)),ISNUMBER(SEARCH("Management (Learning)",'Onshore - Sydney'!B923))),2,IF(ISNUMBER(SEARCH("CEK:",'Onshore - Sydney'!M923)),1,0))</f>
        <v>0</v>
      </c>
    </row>
    <row r="973" customFormat="false" ht="15" hidden="false" customHeight="false" outlineLevel="0" collapsed="false">
      <c r="A973" s="63" t="s">
        <v>3533</v>
      </c>
      <c r="B973" s="64" t="s">
        <v>4073</v>
      </c>
      <c r="C973" s="63" t="s">
        <v>41</v>
      </c>
      <c r="D973" s="64" t="str">
        <f aca="false">TRIM(LEFT('Onshore - Sydney'!A163,FIND(CHAR(10),'Onshore - Sydney'!A163&amp;CHAR(10))-1))</f>
        <v>Australian Catholic University (ACU)</v>
      </c>
      <c r="E973" s="63" t="str">
        <f aca="false">'Onshore - Sydney'!C264&amp;""</f>
        <v>1 year</v>
      </c>
      <c r="F973" s="63" t="str">
        <f aca="false">IF('Onshore - Sydney'!D264="","Belum tercatat",'Onshore - Sydney'!D264)</f>
        <v>Term</v>
      </c>
      <c r="G973" s="65" t="n">
        <f aca="false">IF('Onshore - Sydney'!E264="","-",'Onshore - Sydney'!E264)</f>
        <v>8906</v>
      </c>
      <c r="H973" s="63" t="n">
        <f aca="false">IF(ISNUMBER(K973),COUNTIFS($J$6:$J$1916,J973,$K$6:$K$1916,"&lt;"&amp;K973)+1,"-")</f>
        <v>6</v>
      </c>
      <c r="I973" s="64" t="str">
        <f aca="false">IF('Onshore - Sydney'!E264="","Harga belum tersedia - hubungi konsultan TEG",IF(M973=2,"Saat ini tidak menerima pendaftaran siswa internasional baru",IF(M973=1,"Harga perlu dikonfirmasi ke sekolah"&amp;IF(""="","","; "&amp;""),"")))</f>
        <v/>
      </c>
      <c r="J973" s="0" t="s">
        <v>4114</v>
      </c>
      <c r="K973" s="0" t="n">
        <f aca="false">IF(M973=2,"",IF(ISNUMBER(SEARCH("rata-rata:",'Onshore - Sydney'!M264)),VALUE(MID('Onshore - Sydney'!M264,SEARCH("rata-rata:",'Onshore - Sydney'!M264)+11,FIND(";",'Onshore - Sydney'!M264&amp;";",SEARCH("rata-rata:",'Onshore - Sydney'!M264))-SEARCH("rata-rata:",'Onshore - Sydney'!M264)-11)),IF('Onshore - Sydney'!D264="Semester",'Onshore - Sydney'!E264*2,IF('Onshore - Sydney'!D264="Trimester",'Onshore - Sydney'!E264*3,IF('Onshore - Sydney'!D264="Term",'Onshore - Sydney'!E264*4,IF('Onshore - Sydney'!D264="Unit",'Onshore - Sydney'!E264*8,""))))))</f>
        <v>35624</v>
      </c>
      <c r="L973" s="0" t="n">
        <f aca="false">IF(AND(ISNUMBER('Onshore - Sydney'!E264),ISNUMBER(K973),ISNUMBER('Onshore - Sydney'!F264),ISNUMBER('Onshore - Sydney'!G264),OR('Onshore - Sydney'!F264&lt;&gt;0,ISNUMBER(SEARCH("Material 0 terverifikasi",'Onshore - Sydney'!M264))),OR('Onshore - Sydney'!G264&lt;&gt;0,ISNUMBER(SEARCH("Enrolment 0 terverifikasi",'Onshore - Sydney'!M264)))),1,0)</f>
        <v>0</v>
      </c>
      <c r="M973" s="0" t="n">
        <f aca="false">IF(OR('Onshore - Sydney'!E264="",ISNUMBER(SEARCH("BSB80120",'Onshore - Sydney'!B264&amp;'Onshore - Sydney'!M264)),ISNUMBER(SEARCH("Management (Learning)",'Onshore - Sydney'!B264))),2,IF(ISNUMBER(SEARCH("CEK:",'Onshore - Sydney'!M264)),1,0))</f>
        <v>0</v>
      </c>
    </row>
    <row r="974" customFormat="false" ht="15" hidden="false" customHeight="false" outlineLevel="0" collapsed="false">
      <c r="A974" s="61" t="s">
        <v>4115</v>
      </c>
      <c r="B974" s="62"/>
      <c r="C974" s="62"/>
      <c r="D974" s="62"/>
      <c r="E974" s="62"/>
      <c r="F974" s="62"/>
      <c r="G974" s="62"/>
      <c r="H974" s="62"/>
      <c r="I974" s="62"/>
    </row>
    <row r="975" customFormat="false" ht="28.35" hidden="false" customHeight="false" outlineLevel="0" collapsed="false">
      <c r="A975" s="63" t="s">
        <v>3533</v>
      </c>
      <c r="B975" s="64" t="s">
        <v>4073</v>
      </c>
      <c r="C975" s="63" t="s">
        <v>42</v>
      </c>
      <c r="D975" s="64" t="str">
        <f aca="false">TRIM(LEFT('Onshore - Sydney'!A268,FIND(CHAR(10),'Onshore - Sydney'!A268&amp;CHAR(10))-1))</f>
        <v>Australian College of Business Intelligence (ACBI)</v>
      </c>
      <c r="E975" s="63" t="str">
        <f aca="false">'Onshore - Sydney'!C283&amp;""</f>
        <v>52 weeks (4 terms)</v>
      </c>
      <c r="F975" s="63" t="str">
        <f aca="false">IF('Onshore - Sydney'!D283="","Belum tercatat",'Onshore - Sydney'!D283)</f>
        <v>Term</v>
      </c>
      <c r="G975" s="65" t="n">
        <f aca="false">IF('Onshore - Sydney'!E283="","-",'Onshore - Sydney'!E283)</f>
        <v>2160</v>
      </c>
      <c r="H975" s="63" t="n">
        <f aca="false">IF(ISNUMBER(K975),COUNTIFS($J$6:$J$1916,J975,$K$6:$K$1916,"&lt;"&amp;K975)+1,"-")</f>
        <v>1</v>
      </c>
      <c r="I975" s="64" t="str">
        <f aca="false">IF('Onshore - Sydney'!E283="","Harga belum tersedia - hubungi konsultan TEG",IF(M975=2,"Saat ini tidak menerima pendaftaran siswa internasional baru",IF(M975=1,"Harga perlu dikonfirmasi ke sekolah"&amp;IF(""="","","; "&amp;""),"")))</f>
        <v/>
      </c>
      <c r="J975" s="0" t="s">
        <v>4116</v>
      </c>
      <c r="K975" s="0" t="n">
        <f aca="false">IF(M975=2,"",IF(ISNUMBER(SEARCH("rata-rata:",'Onshore - Sydney'!M283)),VALUE(MID('Onshore - Sydney'!M283,SEARCH("rata-rata:",'Onshore - Sydney'!M283)+11,FIND(";",'Onshore - Sydney'!M283&amp;";",SEARCH("rata-rata:",'Onshore - Sydney'!M283))-SEARCH("rata-rata:",'Onshore - Sydney'!M283)-11)),IF('Onshore - Sydney'!D283="Semester",'Onshore - Sydney'!E283*2,IF('Onshore - Sydney'!D283="Trimester",'Onshore - Sydney'!E283*3,IF('Onshore - Sydney'!D283="Term",'Onshore - Sydney'!E283*4,IF('Onshore - Sydney'!D283="Unit",'Onshore - Sydney'!E283*8,""))))))</f>
        <v>8640</v>
      </c>
      <c r="L975" s="0" t="n">
        <f aca="false">IF(AND(ISNUMBER('Onshore - Sydney'!E283),ISNUMBER(K975),ISNUMBER('Onshore - Sydney'!F283),ISNUMBER('Onshore - Sydney'!G283),OR('Onshore - Sydney'!F283&lt;&gt;0,ISNUMBER(SEARCH("Material 0 terverifikasi",'Onshore - Sydney'!M283))),OR('Onshore - Sydney'!G283&lt;&gt;0,ISNUMBER(SEARCH("Enrolment 0 terverifikasi",'Onshore - Sydney'!M283)))),1,0)</f>
        <v>1</v>
      </c>
      <c r="M975" s="0" t="n">
        <f aca="false">IF(OR('Onshore - Sydney'!E283="",ISNUMBER(SEARCH("BSB80120",'Onshore - Sydney'!B283&amp;'Onshore - Sydney'!M283)),ISNUMBER(SEARCH("Management (Learning)",'Onshore - Sydney'!B283))),2,IF(ISNUMBER(SEARCH("CEK:",'Onshore - Sydney'!M283)),1,0))</f>
        <v>0</v>
      </c>
    </row>
    <row r="976" customFormat="false" ht="15" hidden="false" customHeight="false" outlineLevel="0" collapsed="false">
      <c r="A976" s="63" t="s">
        <v>3533</v>
      </c>
      <c r="B976" s="64" t="s">
        <v>4073</v>
      </c>
      <c r="C976" s="63" t="s">
        <v>42</v>
      </c>
      <c r="D976" s="64" t="str">
        <f aca="false">TRIM(LEFT('Onshore - Sydney'!A796,FIND(CHAR(10),'Onshore - Sydney'!A796&amp;CHAR(10))-1))</f>
        <v>TAFE NSW</v>
      </c>
      <c r="E976" s="63" t="str">
        <f aca="false">'Onshore - Sydney'!C856&amp;""</f>
        <v>3 years</v>
      </c>
      <c r="F976" s="63" t="str">
        <f aca="false">IF('Onshore - Sydney'!D856="","Belum tercatat",'Onshore - Sydney'!D856)</f>
        <v>Term</v>
      </c>
      <c r="G976" s="65" t="n">
        <f aca="false">IF('Onshore - Sydney'!E856="","-",'Onshore - Sydney'!E856)</f>
        <v>4988</v>
      </c>
      <c r="H976" s="63" t="n">
        <f aca="false">IF(ISNUMBER(K976),COUNTIFS($J$6:$J$1916,J976,$K$6:$K$1916,"&lt;"&amp;K976)+1,"-")</f>
        <v>2</v>
      </c>
      <c r="I976" s="64" t="str">
        <f aca="false">IF('Onshore - Sydney'!E856="","Harga belum tersedia - hubungi konsultan TEG",IF(M976=2,"Saat ini tidak menerima pendaftaran siswa internasional baru",IF(M976=1,"Harga perlu dikonfirmasi ke sekolah"&amp;IF(""="","","; "&amp;""),"")))</f>
        <v/>
      </c>
      <c r="J976" s="0" t="s">
        <v>4116</v>
      </c>
      <c r="K976" s="0" t="n">
        <f aca="false">IF(M976=2,"",IF(ISNUMBER(SEARCH("rata-rata:",'Onshore - Sydney'!M856)),VALUE(MID('Onshore - Sydney'!M856,SEARCH("rata-rata:",'Onshore - Sydney'!M856)+11,FIND(";",'Onshore - Sydney'!M856&amp;";",SEARCH("rata-rata:",'Onshore - Sydney'!M856))-SEARCH("rata-rata:",'Onshore - Sydney'!M856)-11)),IF('Onshore - Sydney'!D856="Semester",'Onshore - Sydney'!E856*2,IF('Onshore - Sydney'!D856="Trimester",'Onshore - Sydney'!E856*3,IF('Onshore - Sydney'!D856="Term",'Onshore - Sydney'!E856*4,IF('Onshore - Sydney'!D856="Unit",'Onshore - Sydney'!E856*8,""))))))</f>
        <v>19952</v>
      </c>
      <c r="L976" s="0" t="n">
        <f aca="false">IF(AND(ISNUMBER('Onshore - Sydney'!E856),ISNUMBER(K976),ISNUMBER('Onshore - Sydney'!F856),ISNUMBER('Onshore - Sydney'!G856),OR('Onshore - Sydney'!F856&lt;&gt;0,ISNUMBER(SEARCH("Material 0 terverifikasi",'Onshore - Sydney'!M856))),OR('Onshore - Sydney'!G856&lt;&gt;0,ISNUMBER(SEARCH("Enrolment 0 terverifikasi",'Onshore - Sydney'!M856)))),1,0)</f>
        <v>0</v>
      </c>
      <c r="M976" s="0" t="n">
        <f aca="false">IF(OR('Onshore - Sydney'!E856="",ISNUMBER(SEARCH("BSB80120",'Onshore - Sydney'!B856&amp;'Onshore - Sydney'!M856)),ISNUMBER(SEARCH("Management (Learning)",'Onshore - Sydney'!B856))),2,IF(ISNUMBER(SEARCH("CEK:",'Onshore - Sydney'!M856)),1,0))</f>
        <v>0</v>
      </c>
    </row>
    <row r="977" customFormat="false" ht="15" hidden="false" customHeight="false" outlineLevel="0" collapsed="false">
      <c r="A977" s="63" t="s">
        <v>3533</v>
      </c>
      <c r="B977" s="64" t="s">
        <v>4073</v>
      </c>
      <c r="C977" s="63" t="s">
        <v>42</v>
      </c>
      <c r="D977" s="64" t="str">
        <f aca="false">TRIM(LEFT('Onshore - Sydney'!A888,FIND(CHAR(10),'Onshore - Sydney'!A888&amp;CHAR(10))-1))</f>
        <v>Torrens University Australia</v>
      </c>
      <c r="E977" s="63" t="str">
        <f aca="false">'Onshore - Sydney'!C929&amp;""</f>
        <v>2 years</v>
      </c>
      <c r="F977" s="63" t="str">
        <f aca="false">IF('Onshore - Sydney'!D929="","Belum tercatat",'Onshore - Sydney'!D929)</f>
        <v>Term</v>
      </c>
      <c r="G977" s="65" t="n">
        <f aca="false">IF('Onshore - Sydney'!E929="","-",'Onshore - Sydney'!E929)</f>
        <v>6250</v>
      </c>
      <c r="H977" s="63" t="n">
        <f aca="false">IF(ISNUMBER(K977),COUNTIFS($J$6:$J$1916,J977,$K$6:$K$1916,"&lt;"&amp;K977)+1,"-")</f>
        <v>3</v>
      </c>
      <c r="I977" s="64" t="str">
        <f aca="false">IF('Onshore - Sydney'!E929="","Harga belum tersedia - hubungi konsultan TEG",IF(M977=2,"Saat ini tidak menerima pendaftaran siswa internasional baru",IF(M977=1,"Harga perlu dikonfirmasi ke sekolah"&amp;IF(""="","","; "&amp;""),"")))</f>
        <v/>
      </c>
      <c r="J977" s="0" t="s">
        <v>4116</v>
      </c>
      <c r="K977" s="0" t="n">
        <f aca="false">IF(M977=2,"",IF(ISNUMBER(SEARCH("rata-rata:",'Onshore - Sydney'!M929)),VALUE(MID('Onshore - Sydney'!M929,SEARCH("rata-rata:",'Onshore - Sydney'!M929)+11,FIND(";",'Onshore - Sydney'!M929&amp;";",SEARCH("rata-rata:",'Onshore - Sydney'!M929))-SEARCH("rata-rata:",'Onshore - Sydney'!M929)-11)),IF('Onshore - Sydney'!D929="Semester",'Onshore - Sydney'!E929*2,IF('Onshore - Sydney'!D929="Trimester",'Onshore - Sydney'!E929*3,IF('Onshore - Sydney'!D929="Term",'Onshore - Sydney'!E929*4,IF('Onshore - Sydney'!D929="Unit",'Onshore - Sydney'!E929*8,""))))))</f>
        <v>25000</v>
      </c>
      <c r="L977" s="0" t="n">
        <f aca="false">IF(AND(ISNUMBER('Onshore - Sydney'!E929),ISNUMBER(K977),ISNUMBER('Onshore - Sydney'!F929),ISNUMBER('Onshore - Sydney'!G929),OR('Onshore - Sydney'!F929&lt;&gt;0,ISNUMBER(SEARCH("Material 0 terverifikasi",'Onshore - Sydney'!M929))),OR('Onshore - Sydney'!G929&lt;&gt;0,ISNUMBER(SEARCH("Enrolment 0 terverifikasi",'Onshore - Sydney'!M929)))),1,0)</f>
        <v>0</v>
      </c>
      <c r="M977" s="0" t="n">
        <f aca="false">IF(OR('Onshore - Sydney'!E929="",ISNUMBER(SEARCH("BSB80120",'Onshore - Sydney'!B929&amp;'Onshore - Sydney'!M929)),ISNUMBER(SEARCH("Management (Learning)",'Onshore - Sydney'!B929))),2,IF(ISNUMBER(SEARCH("CEK:",'Onshore - Sydney'!M929)),1,0))</f>
        <v>0</v>
      </c>
    </row>
    <row r="978" customFormat="false" ht="15" hidden="false" customHeight="false" outlineLevel="0" collapsed="false">
      <c r="A978" s="61" t="s">
        <v>4117</v>
      </c>
      <c r="B978" s="62"/>
      <c r="C978" s="62"/>
      <c r="D978" s="62"/>
      <c r="E978" s="62"/>
      <c r="F978" s="62"/>
      <c r="G978" s="62"/>
      <c r="H978" s="62"/>
      <c r="I978" s="62"/>
    </row>
    <row r="979" customFormat="false" ht="55.2" hidden="false" customHeight="false" outlineLevel="0" collapsed="false">
      <c r="A979" s="63" t="s">
        <v>3533</v>
      </c>
      <c r="B979" s="64" t="s">
        <v>4073</v>
      </c>
      <c r="C979" s="63" t="s">
        <v>43</v>
      </c>
      <c r="D979" s="64" t="str">
        <f aca="false">TRIM(LEFT('Onshore - Sydney'!A513,FIND(CHAR(10),'Onshore - Sydney'!A513&amp;CHAR(10))-1))</f>
        <v>Greenwich Higher Education (Academy of Interactive Technology Pty Ltd)</v>
      </c>
      <c r="E979" s="63" t="str">
        <f aca="false">'Onshore - Sydney'!C514&amp;""</f>
        <v>3 years</v>
      </c>
      <c r="F979" s="63" t="str">
        <f aca="false">IF('Onshore - Sydney'!D514="","Belum tercatat",'Onshore - Sydney'!D514)</f>
        <v>Unit</v>
      </c>
      <c r="G979" s="65" t="n">
        <f aca="false">IF('Onshore - Sydney'!E514="","-",'Onshore - Sydney'!E514)</f>
        <v>2012.5</v>
      </c>
      <c r="H979" s="63" t="n">
        <f aca="false">IF(ISNUMBER(K979),COUNTIFS($J$6:$J$1916,J979,$K$6:$K$1916,"&lt;"&amp;K979)+1,"-")</f>
        <v>1</v>
      </c>
      <c r="I979" s="64" t="str">
        <f aca="false">IF('Onshore - Sydney'!E514="","Harga belum tersedia - hubungi konsultan TEG",IF(M979=2,"Saat ini tidak menerima pendaftaran siswa internasional baru",IF(M979=1,"Harga perlu dikonfirmasi ke sekolah"&amp;IF("Harga promo s.d. 13/09/2027; Harga dihitung per unit; total tergantung jumlah unit yang diambil; Sudah termasuk beasiswa 30% (syarat berlaku)"="","","; "&amp;"Harga promo s.d. 13/09/2027; Harga dihitung per unit; total tergantung jumlah unit yang diambil; Sudah termasuk beasiswa 30% (syarat berlaku)"),"Harga promo s.d. 13/09/2027; Harga dihitung per unit; total tergantung jumlah unit yang diambil; Sudah termasuk beasiswa 30% (syarat berlaku)")))</f>
        <v>Harga promo s.d. 13/09/2027; Harga dihitung per unit; total tergantung jumlah unit yang diambil; Sudah termasuk beasiswa 30% (syarat berlaku)</v>
      </c>
      <c r="J979" s="0" t="s">
        <v>4118</v>
      </c>
      <c r="K979" s="0" t="n">
        <f aca="false">IF(M979=2,"",IF(ISNUMBER(SEARCH("rata-rata:",'Onshore - Sydney'!M514)),VALUE(MID('Onshore - Sydney'!M514,SEARCH("rata-rata:",'Onshore - Sydney'!M514)+11,FIND(";",'Onshore - Sydney'!M514&amp;";",SEARCH("rata-rata:",'Onshore - Sydney'!M514))-SEARCH("rata-rata:",'Onshore - Sydney'!M514)-11)),IF('Onshore - Sydney'!D514="Semester",'Onshore - Sydney'!E514*2,IF('Onshore - Sydney'!D514="Trimester",'Onshore - Sydney'!E514*3,IF('Onshore - Sydney'!D514="Term",'Onshore - Sydney'!E514*4,IF('Onshore - Sydney'!D514="Unit",'Onshore - Sydney'!E514*8,""))))))</f>
        <v>16100</v>
      </c>
      <c r="L979" s="0" t="n">
        <f aca="false">IF(AND(ISNUMBER('Onshore - Sydney'!E514),ISNUMBER(K979),ISNUMBER('Onshore - Sydney'!F514),ISNUMBER('Onshore - Sydney'!G514),OR('Onshore - Sydney'!F514&lt;&gt;0,ISNUMBER(SEARCH("Material 0 terverifikasi",'Onshore - Sydney'!M514))),OR('Onshore - Sydney'!G514&lt;&gt;0,ISNUMBER(SEARCH("Enrolment 0 terverifikasi",'Onshore - Sydney'!M514)))),1,0)</f>
        <v>1</v>
      </c>
      <c r="M979" s="0" t="n">
        <f aca="false">IF(OR('Onshore - Sydney'!E514="",ISNUMBER(SEARCH("BSB80120",'Onshore - Sydney'!B514&amp;'Onshore - Sydney'!M514)),ISNUMBER(SEARCH("Management (Learning)",'Onshore - Sydney'!B514))),2,IF(ISNUMBER(SEARCH("CEK:",'Onshore - Sydney'!M514)),1,0))</f>
        <v>0</v>
      </c>
    </row>
    <row r="980" customFormat="false" ht="15" hidden="false" customHeight="false" outlineLevel="0" collapsed="false">
      <c r="A980" s="63" t="s">
        <v>3533</v>
      </c>
      <c r="B980" s="64" t="s">
        <v>4073</v>
      </c>
      <c r="C980" s="63" t="s">
        <v>43</v>
      </c>
      <c r="D980" s="64" t="str">
        <f aca="false">TRIM(LEFT('Onshore - Sydney'!A63,FIND(CHAR(10),'Onshore - Sydney'!A63&amp;CHAR(10))-1))</f>
        <v>Academy of Interactive Technology (AIT)</v>
      </c>
      <c r="E980" s="63" t="str">
        <f aca="false">'Onshore - Sydney'!C63&amp;""</f>
        <v>3 years</v>
      </c>
      <c r="F980" s="63" t="str">
        <f aca="false">IF('Onshore - Sydney'!D63="","Belum tercatat",'Onshore - Sydney'!D63)</f>
        <v>Term</v>
      </c>
      <c r="G980" s="65" t="n">
        <f aca="false">IF('Onshore - Sydney'!E63="","-",'Onshore - Sydney'!E63)</f>
        <v>5750</v>
      </c>
      <c r="H980" s="63" t="n">
        <f aca="false">IF(ISNUMBER(K980),COUNTIFS($J$6:$J$1916,J980,$K$6:$K$1916,"&lt;"&amp;K980)+1,"-")</f>
        <v>2</v>
      </c>
      <c r="I980" s="64" t="str">
        <f aca="false">IF('Onshore - Sydney'!E63="","Harga belum tersedia - hubungi konsultan TEG",IF(M980=2,"Saat ini tidak menerima pendaftaran siswa internasional baru",IF(M980=1,"Program perlu dikonfirmasi ketersediaannya"&amp;IF(""="","","; "&amp;""),"")))</f>
        <v>Program perlu dikonfirmasi ketersediaannya</v>
      </c>
      <c r="J980" s="0" t="s">
        <v>4118</v>
      </c>
      <c r="K980" s="0" t="n">
        <f aca="false">IF(M980=2,"",IF(ISNUMBER(SEARCH("rata-rata:",'Onshore - Sydney'!M63)),VALUE(MID('Onshore - Sydney'!M63,SEARCH("rata-rata:",'Onshore - Sydney'!M63)+11,FIND(";",'Onshore - Sydney'!M63&amp;";",SEARCH("rata-rata:",'Onshore - Sydney'!M63))-SEARCH("rata-rata:",'Onshore - Sydney'!M63)-11)),IF('Onshore - Sydney'!D63="Semester",'Onshore - Sydney'!E63*2,IF('Onshore - Sydney'!D63="Trimester",'Onshore - Sydney'!E63*3,IF('Onshore - Sydney'!D63="Term",'Onshore - Sydney'!E63*4,IF('Onshore - Sydney'!D63="Unit",'Onshore - Sydney'!E63*8,""))))))</f>
        <v>23000</v>
      </c>
      <c r="L980" s="0" t="n">
        <f aca="false">IF(AND(ISNUMBER('Onshore - Sydney'!E63),ISNUMBER(K980),ISNUMBER('Onshore - Sydney'!F63),ISNUMBER('Onshore - Sydney'!G63),OR('Onshore - Sydney'!F63&lt;&gt;0,ISNUMBER(SEARCH("Material 0 terverifikasi",'Onshore - Sydney'!M63))),OR('Onshore - Sydney'!G63&lt;&gt;0,ISNUMBER(SEARCH("Enrolment 0 terverifikasi",'Onshore - Sydney'!M63)))),1,0)</f>
        <v>0</v>
      </c>
      <c r="M980" s="0" t="n">
        <f aca="false">IF(OR('Onshore - Sydney'!E63="",ISNUMBER(SEARCH("BSB80120",'Onshore - Sydney'!B63&amp;'Onshore - Sydney'!M63)),ISNUMBER(SEARCH("Management (Learning)",'Onshore - Sydney'!B63))),2,IF(ISNUMBER(SEARCH("CEK:",'Onshore - Sydney'!M63)),1,0))</f>
        <v>1</v>
      </c>
    </row>
    <row r="981" customFormat="false" ht="15" hidden="false" customHeight="false" outlineLevel="0" collapsed="false">
      <c r="A981" s="63" t="s">
        <v>3533</v>
      </c>
      <c r="B981" s="64" t="s">
        <v>4073</v>
      </c>
      <c r="C981" s="63" t="s">
        <v>43</v>
      </c>
      <c r="D981" s="64" t="str">
        <f aca="false">TRIM(LEFT('Onshore - Sydney'!A796,FIND(CHAR(10),'Onshore - Sydney'!A796&amp;CHAR(10))-1))</f>
        <v>TAFE NSW</v>
      </c>
      <c r="E981" s="63" t="str">
        <f aca="false">'Onshore - Sydney'!C854&amp;""</f>
        <v>3 years</v>
      </c>
      <c r="F981" s="63" t="str">
        <f aca="false">IF('Onshore - Sydney'!D854="","Belum tercatat",'Onshore - Sydney'!D854)</f>
        <v>Term</v>
      </c>
      <c r="G981" s="65" t="n">
        <f aca="false">IF('Onshore - Sydney'!E854="","-",'Onshore - Sydney'!E854)</f>
        <v>6060</v>
      </c>
      <c r="H981" s="63" t="n">
        <f aca="false">IF(ISNUMBER(K981),COUNTIFS($J$6:$J$1916,J981,$K$6:$K$1916,"&lt;"&amp;K981)+1,"-")</f>
        <v>3</v>
      </c>
      <c r="I981" s="64" t="str">
        <f aca="false">IF('Onshore - Sydney'!E854="","Harga belum tersedia - hubungi konsultan TEG",IF(M981=2,"Saat ini tidak menerima pendaftaran siswa internasional baru",IF(M981=1,"Harga perlu dikonfirmasi ke sekolah"&amp;IF(""="","","; "&amp;""),"")))</f>
        <v/>
      </c>
      <c r="J981" s="0" t="s">
        <v>4118</v>
      </c>
      <c r="K981" s="0" t="n">
        <f aca="false">IF(M981=2,"",IF(ISNUMBER(SEARCH("rata-rata:",'Onshore - Sydney'!M854)),VALUE(MID('Onshore - Sydney'!M854,SEARCH("rata-rata:",'Onshore - Sydney'!M854)+11,FIND(";",'Onshore - Sydney'!M854&amp;";",SEARCH("rata-rata:",'Onshore - Sydney'!M854))-SEARCH("rata-rata:",'Onshore - Sydney'!M854)-11)),IF('Onshore - Sydney'!D854="Semester",'Onshore - Sydney'!E854*2,IF('Onshore - Sydney'!D854="Trimester",'Onshore - Sydney'!E854*3,IF('Onshore - Sydney'!D854="Term",'Onshore - Sydney'!E854*4,IF('Onshore - Sydney'!D854="Unit",'Onshore - Sydney'!E854*8,""))))))</f>
        <v>24240</v>
      </c>
      <c r="L981" s="0" t="n">
        <f aca="false">IF(AND(ISNUMBER('Onshore - Sydney'!E854),ISNUMBER(K981),ISNUMBER('Onshore - Sydney'!F854),ISNUMBER('Onshore - Sydney'!G854),OR('Onshore - Sydney'!F854&lt;&gt;0,ISNUMBER(SEARCH("Material 0 terverifikasi",'Onshore - Sydney'!M854))),OR('Onshore - Sydney'!G854&lt;&gt;0,ISNUMBER(SEARCH("Enrolment 0 terverifikasi",'Onshore - Sydney'!M854)))),1,0)</f>
        <v>0</v>
      </c>
      <c r="M981" s="0" t="n">
        <f aca="false">IF(OR('Onshore - Sydney'!E854="",ISNUMBER(SEARCH("BSB80120",'Onshore - Sydney'!B854&amp;'Onshore - Sydney'!M854)),ISNUMBER(SEARCH("Management (Learning)",'Onshore - Sydney'!B854))),2,IF(ISNUMBER(SEARCH("CEK:",'Onshore - Sydney'!M854)),1,0))</f>
        <v>0</v>
      </c>
    </row>
    <row r="982" customFormat="false" ht="15" hidden="false" customHeight="false" outlineLevel="0" collapsed="false">
      <c r="A982" s="63" t="s">
        <v>3533</v>
      </c>
      <c r="B982" s="64" t="s">
        <v>4073</v>
      </c>
      <c r="C982" s="63" t="s">
        <v>43</v>
      </c>
      <c r="D982" s="64" t="str">
        <f aca="false">TRIM(LEFT('Onshore - Sydney'!A1062,FIND(CHAR(10),'Onshore - Sydney'!A1062&amp;CHAR(10))-1))</f>
        <v>Western Sydney University</v>
      </c>
      <c r="E982" s="63" t="str">
        <f aca="false">'Onshore - Sydney'!C1062&amp;""</f>
        <v>3 years</v>
      </c>
      <c r="F982" s="63" t="str">
        <f aca="false">IF('Onshore - Sydney'!D1062="","Belum tercatat",'Onshore - Sydney'!D1062)</f>
        <v>Term</v>
      </c>
      <c r="G982" s="65" t="n">
        <f aca="false">IF('Onshore - Sydney'!E1062="","-",'Onshore - Sydney'!E1062)</f>
        <v>8125</v>
      </c>
      <c r="H982" s="63" t="n">
        <f aca="false">IF(ISNUMBER(K982),COUNTIFS($J$6:$J$1916,J982,$K$6:$K$1916,"&lt;"&amp;K982)+1,"-")</f>
        <v>4</v>
      </c>
      <c r="I982" s="64" t="str">
        <f aca="false">IF('Onshore - Sydney'!E1062="","Harga belum tersedia - hubungi konsultan TEG",IF(M982=2,"Saat ini tidak menerima pendaftaran siswa internasional baru",IF(M982=1,"Harga perlu dikonfirmasi ke sekolah"&amp;IF(""="","","; "&amp;""),"")))</f>
        <v/>
      </c>
      <c r="J982" s="0" t="s">
        <v>4118</v>
      </c>
      <c r="K982" s="0" t="n">
        <f aca="false">IF(M982=2,"",IF(ISNUMBER(SEARCH("rata-rata:",'Onshore - Sydney'!M1062)),VALUE(MID('Onshore - Sydney'!M1062,SEARCH("rata-rata:",'Onshore - Sydney'!M1062)+11,FIND(";",'Onshore - Sydney'!M1062&amp;";",SEARCH("rata-rata:",'Onshore - Sydney'!M1062))-SEARCH("rata-rata:",'Onshore - Sydney'!M1062)-11)),IF('Onshore - Sydney'!D1062="Semester",'Onshore - Sydney'!E1062*2,IF('Onshore - Sydney'!D1062="Trimester",'Onshore - Sydney'!E1062*3,IF('Onshore - Sydney'!D1062="Term",'Onshore - Sydney'!E1062*4,IF('Onshore - Sydney'!D1062="Unit",'Onshore - Sydney'!E1062*8,""))))))</f>
        <v>32500</v>
      </c>
      <c r="L982" s="0" t="n">
        <f aca="false">IF(AND(ISNUMBER('Onshore - Sydney'!E1062),ISNUMBER(K982),ISNUMBER('Onshore - Sydney'!F1062),ISNUMBER('Onshore - Sydney'!G1062),OR('Onshore - Sydney'!F1062&lt;&gt;0,ISNUMBER(SEARCH("Material 0 terverifikasi",'Onshore - Sydney'!M1062))),OR('Onshore - Sydney'!G1062&lt;&gt;0,ISNUMBER(SEARCH("Enrolment 0 terverifikasi",'Onshore - Sydney'!M1062)))),1,0)</f>
        <v>0</v>
      </c>
      <c r="M982" s="0" t="n">
        <f aca="false">IF(OR('Onshore - Sydney'!E1062="",ISNUMBER(SEARCH("BSB80120",'Onshore - Sydney'!B1062&amp;'Onshore - Sydney'!M1062)),ISNUMBER(SEARCH("Management (Learning)",'Onshore - Sydney'!B1062))),2,IF(ISNUMBER(SEARCH("CEK:",'Onshore - Sydney'!M1062)),1,0))</f>
        <v>0</v>
      </c>
    </row>
    <row r="983" customFormat="false" ht="15" hidden="false" customHeight="false" outlineLevel="0" collapsed="false">
      <c r="A983" s="63" t="s">
        <v>3533</v>
      </c>
      <c r="B983" s="64" t="s">
        <v>4073</v>
      </c>
      <c r="C983" s="63" t="s">
        <v>43</v>
      </c>
      <c r="D983" s="64" t="str">
        <f aca="false">TRIM(LEFT('Onshore - Sydney'!A163,FIND(CHAR(10),'Onshore - Sydney'!A163&amp;CHAR(10))-1))</f>
        <v>Australian Catholic University (ACU)</v>
      </c>
      <c r="E983" s="63" t="str">
        <f aca="false">'Onshore - Sydney'!C198&amp;""</f>
        <v>3 years</v>
      </c>
      <c r="F983" s="63" t="str">
        <f aca="false">IF('Onshore - Sydney'!D198="","Belum tercatat",'Onshore - Sydney'!D198)</f>
        <v>Term</v>
      </c>
      <c r="G983" s="65" t="n">
        <f aca="false">IF('Onshore - Sydney'!E198="","-",'Onshore - Sydney'!E198)</f>
        <v>8906</v>
      </c>
      <c r="H983" s="63" t="n">
        <f aca="false">IF(ISNUMBER(K983),COUNTIFS($J$6:$J$1916,J983,$K$6:$K$1916,"&lt;"&amp;K983)+1,"-")</f>
        <v>5</v>
      </c>
      <c r="I983" s="64" t="str">
        <f aca="false">IF('Onshore - Sydney'!E198="","Harga belum tersedia - hubungi konsultan TEG",IF(M983=2,"Saat ini tidak menerima pendaftaran siswa internasional baru",IF(M983=1,"Harga perlu dikonfirmasi ke sekolah"&amp;IF(""="","","; "&amp;""),"")))</f>
        <v/>
      </c>
      <c r="J983" s="0" t="s">
        <v>4118</v>
      </c>
      <c r="K983" s="0" t="n">
        <f aca="false">IF(M983=2,"",IF(ISNUMBER(SEARCH("rata-rata:",'Onshore - Sydney'!M198)),VALUE(MID('Onshore - Sydney'!M198,SEARCH("rata-rata:",'Onshore - Sydney'!M198)+11,FIND(";",'Onshore - Sydney'!M198&amp;";",SEARCH("rata-rata:",'Onshore - Sydney'!M198))-SEARCH("rata-rata:",'Onshore - Sydney'!M198)-11)),IF('Onshore - Sydney'!D198="Semester",'Onshore - Sydney'!E198*2,IF('Onshore - Sydney'!D198="Trimester",'Onshore - Sydney'!E198*3,IF('Onshore - Sydney'!D198="Term",'Onshore - Sydney'!E198*4,IF('Onshore - Sydney'!D198="Unit",'Onshore - Sydney'!E198*8,""))))))</f>
        <v>35624</v>
      </c>
      <c r="L983" s="0" t="n">
        <f aca="false">IF(AND(ISNUMBER('Onshore - Sydney'!E198),ISNUMBER(K983),ISNUMBER('Onshore - Sydney'!F198),ISNUMBER('Onshore - Sydney'!G198),OR('Onshore - Sydney'!F198&lt;&gt;0,ISNUMBER(SEARCH("Material 0 terverifikasi",'Onshore - Sydney'!M198))),OR('Onshore - Sydney'!G198&lt;&gt;0,ISNUMBER(SEARCH("Enrolment 0 terverifikasi",'Onshore - Sydney'!M198)))),1,0)</f>
        <v>0</v>
      </c>
      <c r="M983" s="0" t="n">
        <f aca="false">IF(OR('Onshore - Sydney'!E198="",ISNUMBER(SEARCH("BSB80120",'Onshore - Sydney'!B198&amp;'Onshore - Sydney'!M198)),ISNUMBER(SEARCH("Management (Learning)",'Onshore - Sydney'!B198))),2,IF(ISNUMBER(SEARCH("CEK:",'Onshore - Sydney'!M198)),1,0))</f>
        <v>0</v>
      </c>
    </row>
    <row r="984" customFormat="false" ht="15" hidden="false" customHeight="false" outlineLevel="0" collapsed="false">
      <c r="A984" s="63" t="s">
        <v>3533</v>
      </c>
      <c r="B984" s="64" t="s">
        <v>4073</v>
      </c>
      <c r="C984" s="63" t="s">
        <v>43</v>
      </c>
      <c r="D984" s="64" t="str">
        <f aca="false">TRIM(LEFT('Onshore - Sydney'!A888,FIND(CHAR(10),'Onshore - Sydney'!A888&amp;CHAR(10))-1))</f>
        <v>Torrens University Australia</v>
      </c>
      <c r="E984" s="63" t="str">
        <f aca="false">'Onshore - Sydney'!C924&amp;""</f>
        <v>3 years</v>
      </c>
      <c r="F984" s="63" t="str">
        <f aca="false">IF('Onshore - Sydney'!D924="","Belum tercatat",'Onshore - Sydney'!D924)</f>
        <v>Term</v>
      </c>
      <c r="G984" s="65" t="n">
        <f aca="false">IF('Onshore - Sydney'!E924="","-",'Onshore - Sydney'!E924)</f>
        <v>9375</v>
      </c>
      <c r="H984" s="63" t="n">
        <f aca="false">IF(ISNUMBER(K984),COUNTIFS($J$6:$J$1916,J984,$K$6:$K$1916,"&lt;"&amp;K984)+1,"-")</f>
        <v>6</v>
      </c>
      <c r="I984" s="64" t="str">
        <f aca="false">IF('Onshore - Sydney'!E924="","Harga belum tersedia - hubungi konsultan TEG",IF(M984=2,"Saat ini tidak menerima pendaftaran siswa internasional baru",IF(M984=1,"Harga perlu dikonfirmasi ke sekolah"&amp;IF(""="","","; "&amp;""),"")))</f>
        <v/>
      </c>
      <c r="J984" s="0" t="s">
        <v>4118</v>
      </c>
      <c r="K984" s="0" t="n">
        <f aca="false">IF(M984=2,"",IF(ISNUMBER(SEARCH("rata-rata:",'Onshore - Sydney'!M924)),VALUE(MID('Onshore - Sydney'!M924,SEARCH("rata-rata:",'Onshore - Sydney'!M924)+11,FIND(";",'Onshore - Sydney'!M924&amp;";",SEARCH("rata-rata:",'Onshore - Sydney'!M924))-SEARCH("rata-rata:",'Onshore - Sydney'!M924)-11)),IF('Onshore - Sydney'!D924="Semester",'Onshore - Sydney'!E924*2,IF('Onshore - Sydney'!D924="Trimester",'Onshore - Sydney'!E924*3,IF('Onshore - Sydney'!D924="Term",'Onshore - Sydney'!E924*4,IF('Onshore - Sydney'!D924="Unit",'Onshore - Sydney'!E924*8,""))))))</f>
        <v>37500</v>
      </c>
      <c r="L984" s="0" t="n">
        <f aca="false">IF(AND(ISNUMBER('Onshore - Sydney'!E924),ISNUMBER(K984),ISNUMBER('Onshore - Sydney'!F924),ISNUMBER('Onshore - Sydney'!G924),OR('Onshore - Sydney'!F924&lt;&gt;0,ISNUMBER(SEARCH("Material 0 terverifikasi",'Onshore - Sydney'!M924))),OR('Onshore - Sydney'!G924&lt;&gt;0,ISNUMBER(SEARCH("Enrolment 0 terverifikasi",'Onshore - Sydney'!M924)))),1,0)</f>
        <v>0</v>
      </c>
      <c r="M984" s="0" t="n">
        <f aca="false">IF(OR('Onshore - Sydney'!E924="",ISNUMBER(SEARCH("BSB80120",'Onshore - Sydney'!B924&amp;'Onshore - Sydney'!M924)),ISNUMBER(SEARCH("Management (Learning)",'Onshore - Sydney'!B924))),2,IF(ISNUMBER(SEARCH("CEK:",'Onshore - Sydney'!M924)),1,0))</f>
        <v>0</v>
      </c>
    </row>
    <row r="985" customFormat="false" ht="15" hidden="false" customHeight="false" outlineLevel="0" collapsed="false">
      <c r="A985" s="61" t="s">
        <v>4119</v>
      </c>
      <c r="B985" s="62"/>
      <c r="C985" s="62"/>
      <c r="D985" s="62"/>
      <c r="E985" s="62"/>
      <c r="F985" s="62"/>
      <c r="G985" s="62"/>
      <c r="H985" s="62"/>
      <c r="I985" s="62"/>
    </row>
    <row r="986" customFormat="false" ht="15" hidden="false" customHeight="false" outlineLevel="0" collapsed="false">
      <c r="A986" s="63" t="s">
        <v>3533</v>
      </c>
      <c r="B986" s="64" t="s">
        <v>4073</v>
      </c>
      <c r="C986" s="63" t="s">
        <v>3707</v>
      </c>
      <c r="D986" s="64" t="str">
        <f aca="false">TRIM(LEFT('Onshore - Sydney'!A888,FIND(CHAR(10),'Onshore - Sydney'!A888&amp;CHAR(10))-1))</f>
        <v>Torrens University Australia</v>
      </c>
      <c r="E986" s="63" t="str">
        <f aca="false">'Onshore - Sydney'!C938&amp;""</f>
        <v>0,5 year</v>
      </c>
      <c r="F986" s="63" t="str">
        <f aca="false">IF('Onshore - Sydney'!D938="","Belum tercatat",'Onshore - Sydney'!D938)</f>
        <v>Term</v>
      </c>
      <c r="G986" s="65" t="n">
        <f aca="false">IF('Onshore - Sydney'!E938="","-",'Onshore - Sydney'!E938)</f>
        <v>4450</v>
      </c>
      <c r="H986" s="63" t="n">
        <f aca="false">IF(ISNUMBER(K986),COUNTIFS($J$6:$J$1916,J986,$K$6:$K$1916,"&lt;"&amp;K986)+1,"-")</f>
        <v>1</v>
      </c>
      <c r="I986" s="64" t="str">
        <f aca="false">IF('Onshore - Sydney'!E938="","Harga belum tersedia - hubungi konsultan TEG",IF(M986=2,"Saat ini tidak menerima pendaftaran siswa internasional baru",IF(M986=1,"Harga perlu dikonfirmasi ke sekolah"&amp;IF(""="","","; "&amp;""),"")))</f>
        <v/>
      </c>
      <c r="J986" s="0" t="s">
        <v>4120</v>
      </c>
      <c r="K986" s="0" t="n">
        <f aca="false">IF(M986=2,"",IF(ISNUMBER(SEARCH("rata-rata:",'Onshore - Sydney'!M938)),VALUE(MID('Onshore - Sydney'!M938,SEARCH("rata-rata:",'Onshore - Sydney'!M938)+11,FIND(";",'Onshore - Sydney'!M938&amp;";",SEARCH("rata-rata:",'Onshore - Sydney'!M938))-SEARCH("rata-rata:",'Onshore - Sydney'!M938)-11)),IF('Onshore - Sydney'!D938="Semester",'Onshore - Sydney'!E938*2,IF('Onshore - Sydney'!D938="Trimester",'Onshore - Sydney'!E938*3,IF('Onshore - Sydney'!D938="Term",'Onshore - Sydney'!E938*4,IF('Onshore - Sydney'!D938="Unit",'Onshore - Sydney'!E938*8,""))))))</f>
        <v>17800</v>
      </c>
      <c r="L986" s="0" t="n">
        <f aca="false">IF(AND(ISNUMBER('Onshore - Sydney'!E938),ISNUMBER(K986),ISNUMBER('Onshore - Sydney'!F938),ISNUMBER('Onshore - Sydney'!G938),OR('Onshore - Sydney'!F938&lt;&gt;0,ISNUMBER(SEARCH("Material 0 terverifikasi",'Onshore - Sydney'!M938))),OR('Onshore - Sydney'!G938&lt;&gt;0,ISNUMBER(SEARCH("Enrolment 0 terverifikasi",'Onshore - Sydney'!M938)))),1,0)</f>
        <v>0</v>
      </c>
      <c r="M986" s="0" t="n">
        <f aca="false">IF(OR('Onshore - Sydney'!E938="",ISNUMBER(SEARCH("BSB80120",'Onshore - Sydney'!B938&amp;'Onshore - Sydney'!M938)),ISNUMBER(SEARCH("Management (Learning)",'Onshore - Sydney'!B938))),2,IF(ISNUMBER(SEARCH("CEK:",'Onshore - Sydney'!M938)),1,0))</f>
        <v>0</v>
      </c>
    </row>
    <row r="987" customFormat="false" ht="15" hidden="false" customHeight="false" outlineLevel="0" collapsed="false">
      <c r="A987" s="61" t="s">
        <v>4121</v>
      </c>
      <c r="B987" s="62"/>
      <c r="C987" s="62"/>
      <c r="D987" s="62"/>
      <c r="E987" s="62"/>
      <c r="F987" s="62"/>
      <c r="G987" s="62"/>
      <c r="H987" s="62"/>
      <c r="I987" s="62"/>
    </row>
    <row r="988" customFormat="false" ht="15" hidden="false" customHeight="false" outlineLevel="0" collapsed="false">
      <c r="A988" s="63" t="s">
        <v>3533</v>
      </c>
      <c r="B988" s="64" t="s">
        <v>4073</v>
      </c>
      <c r="C988" s="63" t="s">
        <v>46</v>
      </c>
      <c r="D988" s="64" t="str">
        <f aca="false">TRIM(LEFT('Onshore - Sydney'!A1062,FIND(CHAR(10),'Onshore - Sydney'!A1062&amp;CHAR(10))-1))</f>
        <v>Western Sydney University</v>
      </c>
      <c r="E988" s="63" t="str">
        <f aca="false">'Onshore - Sydney'!C1222&amp;""</f>
        <v>2 years</v>
      </c>
      <c r="F988" s="63" t="str">
        <f aca="false">IF('Onshore - Sydney'!D1222="","Belum tercatat",'Onshore - Sydney'!D1222)</f>
        <v>Term</v>
      </c>
      <c r="G988" s="65" t="n">
        <f aca="false">IF('Onshore - Sydney'!E1222="","-",'Onshore - Sydney'!E1222)</f>
        <v>6632</v>
      </c>
      <c r="H988" s="63" t="n">
        <f aca="false">IF(ISNUMBER(K988),COUNTIFS($J$6:$J$1916,J988,$K$6:$K$1916,"&lt;"&amp;K988)+1,"-")</f>
        <v>1</v>
      </c>
      <c r="I988" s="64" t="str">
        <f aca="false">IF('Onshore - Sydney'!E1222="","Harga belum tersedia - hubungi konsultan TEG",IF(M988=2,"Saat ini tidak menerima pendaftaran siswa internasional baru",IF(M988=1,"Harga perlu dikonfirmasi ke sekolah"&amp;IF(""="","","; "&amp;""),"")))</f>
        <v/>
      </c>
      <c r="J988" s="0" t="s">
        <v>4122</v>
      </c>
      <c r="K988" s="0" t="n">
        <f aca="false">IF(M988=2,"",IF(ISNUMBER(SEARCH("rata-rata:",'Onshore - Sydney'!M1222)),VALUE(MID('Onshore - Sydney'!M1222,SEARCH("rata-rata:",'Onshore - Sydney'!M1222)+11,FIND(";",'Onshore - Sydney'!M1222&amp;";",SEARCH("rata-rata:",'Onshore - Sydney'!M1222))-SEARCH("rata-rata:",'Onshore - Sydney'!M1222)-11)),IF('Onshore - Sydney'!D1222="Semester",'Onshore - Sydney'!E1222*2,IF('Onshore - Sydney'!D1222="Trimester",'Onshore - Sydney'!E1222*3,IF('Onshore - Sydney'!D1222="Term",'Onshore - Sydney'!E1222*4,IF('Onshore - Sydney'!D1222="Unit",'Onshore - Sydney'!E1222*8,""))))))</f>
        <v>26528</v>
      </c>
      <c r="L988" s="0" t="n">
        <f aca="false">IF(AND(ISNUMBER('Onshore - Sydney'!E1222),ISNUMBER(K988),ISNUMBER('Onshore - Sydney'!F1222),ISNUMBER('Onshore - Sydney'!G1222),OR('Onshore - Sydney'!F1222&lt;&gt;0,ISNUMBER(SEARCH("Material 0 terverifikasi",'Onshore - Sydney'!M1222))),OR('Onshore - Sydney'!G1222&lt;&gt;0,ISNUMBER(SEARCH("Enrolment 0 terverifikasi",'Onshore - Sydney'!M1222)))),1,0)</f>
        <v>0</v>
      </c>
      <c r="M988" s="0" t="n">
        <f aca="false">IF(OR('Onshore - Sydney'!E1222="",ISNUMBER(SEARCH("BSB80120",'Onshore - Sydney'!B1222&amp;'Onshore - Sydney'!M1222)),ISNUMBER(SEARCH("Management (Learning)",'Onshore - Sydney'!B1222))),2,IF(ISNUMBER(SEARCH("CEK:",'Onshore - Sydney'!M1222)),1,0))</f>
        <v>0</v>
      </c>
    </row>
    <row r="989" customFormat="false" ht="15" hidden="false" customHeight="false" outlineLevel="0" collapsed="false">
      <c r="A989" s="63" t="s">
        <v>3533</v>
      </c>
      <c r="B989" s="64" t="s">
        <v>4073</v>
      </c>
      <c r="C989" s="63" t="s">
        <v>46</v>
      </c>
      <c r="D989" s="64" t="str">
        <f aca="false">TRIM(LEFT('Onshore - Sydney'!A888,FIND(CHAR(10),'Onshore - Sydney'!A888&amp;CHAR(10))-1))</f>
        <v>Torrens University Australia</v>
      </c>
      <c r="E989" s="63" t="str">
        <f aca="false">'Onshore - Sydney'!C939&amp;""</f>
        <v>2 years</v>
      </c>
      <c r="F989" s="63" t="str">
        <f aca="false">IF('Onshore - Sydney'!D939="","Belum tercatat",'Onshore - Sydney'!D939)</f>
        <v>Term</v>
      </c>
      <c r="G989" s="65" t="n">
        <f aca="false">IF('Onshore - Sydney'!E939="","-",'Onshore - Sydney'!E939)</f>
        <v>8900</v>
      </c>
      <c r="H989" s="63" t="n">
        <f aca="false">IF(ISNUMBER(K989),COUNTIFS($J$6:$J$1916,J989,$K$6:$K$1916,"&lt;"&amp;K989)+1,"-")</f>
        <v>2</v>
      </c>
      <c r="I989" s="64" t="str">
        <f aca="false">IF('Onshore - Sydney'!E939="","Harga belum tersedia - hubungi konsultan TEG",IF(M989=2,"Saat ini tidak menerima pendaftaran siswa internasional baru",IF(M989=1,"Harga perlu dikonfirmasi ke sekolah"&amp;IF(""="","","; "&amp;""),"")))</f>
        <v/>
      </c>
      <c r="J989" s="0" t="s">
        <v>4122</v>
      </c>
      <c r="K989" s="0" t="n">
        <f aca="false">IF(M989=2,"",IF(ISNUMBER(SEARCH("rata-rata:",'Onshore - Sydney'!M939)),VALUE(MID('Onshore - Sydney'!M939,SEARCH("rata-rata:",'Onshore - Sydney'!M939)+11,FIND(";",'Onshore - Sydney'!M939&amp;";",SEARCH("rata-rata:",'Onshore - Sydney'!M939))-SEARCH("rata-rata:",'Onshore - Sydney'!M939)-11)),IF('Onshore - Sydney'!D939="Semester",'Onshore - Sydney'!E939*2,IF('Onshore - Sydney'!D939="Trimester",'Onshore - Sydney'!E939*3,IF('Onshore - Sydney'!D939="Term",'Onshore - Sydney'!E939*4,IF('Onshore - Sydney'!D939="Unit",'Onshore - Sydney'!E939*8,""))))))</f>
        <v>35600</v>
      </c>
      <c r="L989" s="0" t="n">
        <f aca="false">IF(AND(ISNUMBER('Onshore - Sydney'!E939),ISNUMBER(K989),ISNUMBER('Onshore - Sydney'!F939),ISNUMBER('Onshore - Sydney'!G939),OR('Onshore - Sydney'!F939&lt;&gt;0,ISNUMBER(SEARCH("Material 0 terverifikasi",'Onshore - Sydney'!M939))),OR('Onshore - Sydney'!G939&lt;&gt;0,ISNUMBER(SEARCH("Enrolment 0 terverifikasi",'Onshore - Sydney'!M939)))),1,0)</f>
        <v>0</v>
      </c>
      <c r="M989" s="0" t="n">
        <f aca="false">IF(OR('Onshore - Sydney'!E939="",ISNUMBER(SEARCH("BSB80120",'Onshore - Sydney'!B939&amp;'Onshore - Sydney'!M939)),ISNUMBER(SEARCH("Management (Learning)",'Onshore - Sydney'!B939))),2,IF(ISNUMBER(SEARCH("CEK:",'Onshore - Sydney'!M939)),1,0))</f>
        <v>0</v>
      </c>
    </row>
    <row r="990" customFormat="false" ht="15" hidden="false" customHeight="false" outlineLevel="0" collapsed="false">
      <c r="A990" s="63" t="s">
        <v>3533</v>
      </c>
      <c r="B990" s="64" t="s">
        <v>4073</v>
      </c>
      <c r="C990" s="63" t="s">
        <v>46</v>
      </c>
      <c r="D990" s="64" t="str">
        <f aca="false">TRIM(LEFT('Onshore - Sydney'!A163,FIND(CHAR(10),'Onshore - Sydney'!A163&amp;CHAR(10))-1))</f>
        <v>Australian Catholic University (ACU)</v>
      </c>
      <c r="E990" s="63" t="str">
        <f aca="false">'Onshore - Sydney'!C218&amp;""</f>
        <v>2 years</v>
      </c>
      <c r="F990" s="63" t="str">
        <f aca="false">IF('Onshore - Sydney'!D218="","Belum tercatat",'Onshore - Sydney'!D218)</f>
        <v>Term</v>
      </c>
      <c r="G990" s="65" t="n">
        <f aca="false">IF('Onshore - Sydney'!E218="","-",'Onshore - Sydney'!E218)</f>
        <v>8906</v>
      </c>
      <c r="H990" s="63" t="n">
        <f aca="false">IF(ISNUMBER(K990),COUNTIFS($J$6:$J$1916,J990,$K$6:$K$1916,"&lt;"&amp;K990)+1,"-")</f>
        <v>3</v>
      </c>
      <c r="I990" s="64" t="str">
        <f aca="false">IF('Onshore - Sydney'!E218="","Harga belum tersedia - hubungi konsultan TEG",IF(M990=2,"Saat ini tidak menerima pendaftaran siswa internasional baru",IF(M990=1,"Harga perlu dikonfirmasi ke sekolah"&amp;IF(""="","","; "&amp;""),"")))</f>
        <v/>
      </c>
      <c r="J990" s="0" t="s">
        <v>4122</v>
      </c>
      <c r="K990" s="0" t="n">
        <f aca="false">IF(M990=2,"",IF(ISNUMBER(SEARCH("rata-rata:",'Onshore - Sydney'!M218)),VALUE(MID('Onshore - Sydney'!M218,SEARCH("rata-rata:",'Onshore - Sydney'!M218)+11,FIND(";",'Onshore - Sydney'!M218&amp;";",SEARCH("rata-rata:",'Onshore - Sydney'!M218))-SEARCH("rata-rata:",'Onshore - Sydney'!M218)-11)),IF('Onshore - Sydney'!D218="Semester",'Onshore - Sydney'!E218*2,IF('Onshore - Sydney'!D218="Trimester",'Onshore - Sydney'!E218*3,IF('Onshore - Sydney'!D218="Term",'Onshore - Sydney'!E218*4,IF('Onshore - Sydney'!D218="Unit",'Onshore - Sydney'!E218*8,""))))))</f>
        <v>35624</v>
      </c>
      <c r="L990" s="0" t="n">
        <f aca="false">IF(AND(ISNUMBER('Onshore - Sydney'!E218),ISNUMBER(K990),ISNUMBER('Onshore - Sydney'!F218),ISNUMBER('Onshore - Sydney'!G218),OR('Onshore - Sydney'!F218&lt;&gt;0,ISNUMBER(SEARCH("Material 0 terverifikasi",'Onshore - Sydney'!M218))),OR('Onshore - Sydney'!G218&lt;&gt;0,ISNUMBER(SEARCH("Enrolment 0 terverifikasi",'Onshore - Sydney'!M218)))),1,0)</f>
        <v>0</v>
      </c>
      <c r="M990" s="0" t="n">
        <f aca="false">IF(OR('Onshore - Sydney'!E218="",ISNUMBER(SEARCH("BSB80120",'Onshore - Sydney'!B218&amp;'Onshore - Sydney'!M218)),ISNUMBER(SEARCH("Management (Learning)",'Onshore - Sydney'!B218))),2,IF(ISNUMBER(SEARCH("CEK:",'Onshore - Sydney'!M218)),1,0))</f>
        <v>0</v>
      </c>
    </row>
    <row r="991" customFormat="false" ht="15" hidden="false" customHeight="false" outlineLevel="0" collapsed="false">
      <c r="A991" s="61" t="s">
        <v>4123</v>
      </c>
      <c r="B991" s="62"/>
      <c r="C991" s="62"/>
      <c r="D991" s="62"/>
      <c r="E991" s="62"/>
      <c r="F991" s="62"/>
      <c r="G991" s="62"/>
      <c r="H991" s="62"/>
      <c r="I991" s="62"/>
    </row>
    <row r="992" customFormat="false" ht="15" hidden="false" customHeight="false" outlineLevel="0" collapsed="false">
      <c r="A992" s="63" t="s">
        <v>3753</v>
      </c>
      <c r="B992" s="64" t="s">
        <v>4073</v>
      </c>
      <c r="C992" s="63" t="s">
        <v>41</v>
      </c>
      <c r="D992" s="64" t="str">
        <f aca="false">TRIM(LEFT('Onshore - Tasmania Hobart'!A21,FIND(CHAR(10),'Onshore - Tasmania Hobart'!A21&amp;CHAR(10))-1))</f>
        <v>University of Tasmania (UTAS)</v>
      </c>
      <c r="E992" s="63" t="str">
        <f aca="false">'Onshore - Tasmania Hobart'!C30&amp;""</f>
        <v>1 year</v>
      </c>
      <c r="F992" s="63" t="str">
        <f aca="false">IF('Onshore - Tasmania Hobart'!D30="","Belum tercatat",'Onshore - Tasmania Hobart'!D30)</f>
        <v>Term</v>
      </c>
      <c r="G992" s="65" t="n">
        <f aca="false">IF('Onshore - Tasmania Hobart'!E30="","-",'Onshore - Tasmania Hobart'!E30)</f>
        <v>10062.5</v>
      </c>
      <c r="H992" s="63" t="n">
        <f aca="false">IF(ISNUMBER(K992),COUNTIFS($J$6:$J$1916,J992,$K$6:$K$1916,"&lt;"&amp;K992)+1,"-")</f>
        <v>1</v>
      </c>
      <c r="I992" s="64" t="str">
        <f aca="false">IF('Onshore - Tasmania Hobart'!E30="","Harga belum tersedia - hubungi konsultan TEG",IF(M992=2,"Saat ini tidak menerima pendaftaran siswa internasional baru",IF(M992=1,"Harga perlu dikonfirmasi ke sekolah"&amp;IF(""="","","; "&amp;""),"")))</f>
        <v>Harga perlu dikonfirmasi ke sekolah</v>
      </c>
      <c r="J992" s="0" t="s">
        <v>4124</v>
      </c>
      <c r="K992" s="0" t="n">
        <f aca="false">IF(M992=2,"",IF(ISNUMBER(SEARCH("rata-rata:",'Onshore - Tasmania Hobart'!M30)),VALUE(MID('Onshore - Tasmania Hobart'!M30,SEARCH("rata-rata:",'Onshore - Tasmania Hobart'!M30)+11,FIND(";",'Onshore - Tasmania Hobart'!M30&amp;";",SEARCH("rata-rata:",'Onshore - Tasmania Hobart'!M30))-SEARCH("rata-rata:",'Onshore - Tasmania Hobart'!M30)-11)),IF('Onshore - Tasmania Hobart'!D30="Semester",'Onshore - Tasmania Hobart'!E30*2,IF('Onshore - Tasmania Hobart'!D30="Trimester",'Onshore - Tasmania Hobart'!E30*3,IF('Onshore - Tasmania Hobart'!D30="Term",'Onshore - Tasmania Hobart'!E30*4,IF('Onshore - Tasmania Hobart'!D30="Unit",'Onshore - Tasmania Hobart'!E30*8,""))))))</f>
        <v>40250</v>
      </c>
      <c r="L992" s="0" t="n">
        <f aca="false">IF(AND(ISNUMBER('Onshore - Tasmania Hobart'!E30),ISNUMBER(K992),ISNUMBER('Onshore - Tasmania Hobart'!F30),ISNUMBER('Onshore - Tasmania Hobart'!G30),OR('Onshore - Tasmania Hobart'!F30&lt;&gt;0,ISNUMBER(SEARCH("Material 0 terverifikasi",'Onshore - Tasmania Hobart'!M30))),OR('Onshore - Tasmania Hobart'!G30&lt;&gt;0,ISNUMBER(SEARCH("Enrolment 0 terverifikasi",'Onshore - Tasmania Hobart'!M30)))),1,0)</f>
        <v>0</v>
      </c>
      <c r="M992" s="0" t="n">
        <f aca="false">IF(OR('Onshore - Tasmania Hobart'!E30="",ISNUMBER(SEARCH("BSB80120",'Onshore - Tasmania Hobart'!B30&amp;'Onshore - Tasmania Hobart'!M30)),ISNUMBER(SEARCH("Management (Learning)",'Onshore - Tasmania Hobart'!B30))),2,IF(ISNUMBER(SEARCH("CEK:",'Onshore - Tasmania Hobart'!M30)),1,0))</f>
        <v>1</v>
      </c>
    </row>
    <row r="993" customFormat="false" ht="15" hidden="false" customHeight="false" outlineLevel="0" collapsed="false">
      <c r="A993" s="61" t="s">
        <v>4125</v>
      </c>
      <c r="B993" s="62"/>
      <c r="C993" s="62"/>
      <c r="D993" s="62"/>
      <c r="E993" s="62"/>
      <c r="F993" s="62"/>
      <c r="G993" s="62"/>
      <c r="H993" s="62"/>
      <c r="I993" s="62"/>
    </row>
    <row r="994" customFormat="false" ht="15" hidden="false" customHeight="false" outlineLevel="0" collapsed="false">
      <c r="A994" s="63" t="s">
        <v>3753</v>
      </c>
      <c r="B994" s="64" t="s">
        <v>4073</v>
      </c>
      <c r="C994" s="63" t="s">
        <v>43</v>
      </c>
      <c r="D994" s="64" t="str">
        <f aca="false">TRIM(LEFT('Onshore - Tasmania Hobart'!A21,FIND(CHAR(10),'Onshore - Tasmania Hobart'!A21&amp;CHAR(10))-1))</f>
        <v>University of Tasmania (UTAS)</v>
      </c>
      <c r="E994" s="63" t="str">
        <f aca="false">'Onshore - Tasmania Hobart'!C34&amp;""</f>
        <v>3 years</v>
      </c>
      <c r="F994" s="63" t="str">
        <f aca="false">IF('Onshore - Tasmania Hobart'!D34="","Belum tercatat",'Onshore - Tasmania Hobart'!D34)</f>
        <v>Term</v>
      </c>
      <c r="G994" s="65" t="n">
        <f aca="false">IF('Onshore - Tasmania Hobart'!E34="","-",'Onshore - Tasmania Hobart'!E34)</f>
        <v>10062.5</v>
      </c>
      <c r="H994" s="63" t="n">
        <f aca="false">IF(ISNUMBER(K994),COUNTIFS($J$6:$J$1916,J994,$K$6:$K$1916,"&lt;"&amp;K994)+1,"-")</f>
        <v>1</v>
      </c>
      <c r="I994" s="64" t="str">
        <f aca="false">IF('Onshore - Tasmania Hobart'!E34="","Harga belum tersedia - hubungi konsultan TEG",IF(M994=2,"Saat ini tidak menerima pendaftaran siswa internasional baru",IF(M994=1,"Harga perlu dikonfirmasi ke sekolah"&amp;IF(""="","","; "&amp;""),"")))</f>
        <v/>
      </c>
      <c r="J994" s="0" t="s">
        <v>4126</v>
      </c>
      <c r="K994" s="0" t="n">
        <f aca="false">IF(M994=2,"",IF(ISNUMBER(SEARCH("rata-rata:",'Onshore - Tasmania Hobart'!M34)),VALUE(MID('Onshore - Tasmania Hobart'!M34,SEARCH("rata-rata:",'Onshore - Tasmania Hobart'!M34)+11,FIND(";",'Onshore - Tasmania Hobart'!M34&amp;";",SEARCH("rata-rata:",'Onshore - Tasmania Hobart'!M34))-SEARCH("rata-rata:",'Onshore - Tasmania Hobart'!M34)-11)),IF('Onshore - Tasmania Hobart'!D34="Semester",'Onshore - Tasmania Hobart'!E34*2,IF('Onshore - Tasmania Hobart'!D34="Trimester",'Onshore - Tasmania Hobart'!E34*3,IF('Onshore - Tasmania Hobart'!D34="Term",'Onshore - Tasmania Hobart'!E34*4,IF('Onshore - Tasmania Hobart'!D34="Unit",'Onshore - Tasmania Hobart'!E34*8,""))))))</f>
        <v>40250</v>
      </c>
      <c r="L994" s="0" t="n">
        <f aca="false">IF(AND(ISNUMBER('Onshore - Tasmania Hobart'!E34),ISNUMBER(K994),ISNUMBER('Onshore - Tasmania Hobart'!F34),ISNUMBER('Onshore - Tasmania Hobart'!G34),OR('Onshore - Tasmania Hobart'!F34&lt;&gt;0,ISNUMBER(SEARCH("Material 0 terverifikasi",'Onshore - Tasmania Hobart'!M34))),OR('Onshore - Tasmania Hobart'!G34&lt;&gt;0,ISNUMBER(SEARCH("Enrolment 0 terverifikasi",'Onshore - Tasmania Hobart'!M34)))),1,0)</f>
        <v>0</v>
      </c>
      <c r="M994" s="0" t="n">
        <f aca="false">IF(OR('Onshore - Tasmania Hobart'!E34="",ISNUMBER(SEARCH("BSB80120",'Onshore - Tasmania Hobart'!B34&amp;'Onshore - Tasmania Hobart'!M34)),ISNUMBER(SEARCH("Management (Learning)",'Onshore - Tasmania Hobart'!B34))),2,IF(ISNUMBER(SEARCH("CEK:",'Onshore - Tasmania Hobart'!M34)),1,0))</f>
        <v>0</v>
      </c>
    </row>
    <row r="995" customFormat="false" ht="15" hidden="false" customHeight="false" outlineLevel="0" collapsed="false">
      <c r="A995" s="61" t="s">
        <v>4127</v>
      </c>
      <c r="B995" s="62"/>
      <c r="C995" s="62"/>
      <c r="D995" s="62"/>
      <c r="E995" s="62"/>
      <c r="F995" s="62"/>
      <c r="G995" s="62"/>
      <c r="H995" s="62"/>
      <c r="I995" s="62"/>
    </row>
    <row r="996" customFormat="false" ht="28.35" hidden="false" customHeight="false" outlineLevel="0" collapsed="false">
      <c r="A996" s="63" t="s">
        <v>3659</v>
      </c>
      <c r="B996" s="64" t="s">
        <v>4128</v>
      </c>
      <c r="C996" s="63" t="s">
        <v>43</v>
      </c>
      <c r="D996" s="64" t="str">
        <f aca="false">TRIM(LEFT('Onshore - Adelaide'!A611,FIND(CHAR(10),'Onshore - Adelaide'!A611&amp;CHAR(10))-1))</f>
        <v>UniSC (University of the Sunshine Coast) - Adelaide</v>
      </c>
      <c r="E996" s="63" t="str">
        <f aca="false">'Onshore - Adelaide'!C612&amp;""</f>
        <v>3 years</v>
      </c>
      <c r="F996" s="63" t="str">
        <f aca="false">IF('Onshore - Adelaide'!D612="","Belum tercatat",'Onshore - Adelaide'!D612)</f>
        <v>Term</v>
      </c>
      <c r="G996" s="65" t="n">
        <f aca="false">IF('Onshore - Adelaide'!E612="","-",'Onshore - Adelaide'!E612)</f>
        <v>6500</v>
      </c>
      <c r="H996" s="63" t="n">
        <f aca="false">IF(ISNUMBER(K996),COUNTIFS($J$6:$J$1916,J996,$K$6:$K$1916,"&lt;"&amp;K996)+1,"-")</f>
        <v>1</v>
      </c>
      <c r="I996" s="64" t="str">
        <f aca="false">IF('Onshore - Adelaide'!E612="","Harga belum tersedia - hubungi konsultan TEG",IF(M996=2,"Saat ini tidak menerima pendaftaran siswa internasional baru",IF(M996=1,"Harga perlu dikonfirmasi ke sekolah"&amp;IF(""="","","; "&amp;""),"")))</f>
        <v/>
      </c>
      <c r="J996" s="0" t="s">
        <v>4129</v>
      </c>
      <c r="K996" s="0" t="n">
        <f aca="false">IF(M996=2,"",IF(ISNUMBER(SEARCH("rata-rata:",'Onshore - Adelaide'!M612)),VALUE(MID('Onshore - Adelaide'!M612,SEARCH("rata-rata:",'Onshore - Adelaide'!M612)+11,FIND(";",'Onshore - Adelaide'!M612&amp;";",SEARCH("rata-rata:",'Onshore - Adelaide'!M612))-SEARCH("rata-rata:",'Onshore - Adelaide'!M612)-11)),IF('Onshore - Adelaide'!D612="Semester",'Onshore - Adelaide'!E612*2,IF('Onshore - Adelaide'!D612="Trimester",'Onshore - Adelaide'!E612*3,IF('Onshore - Adelaide'!D612="Term",'Onshore - Adelaide'!E612*4,IF('Onshore - Adelaide'!D612="Unit",'Onshore - Adelaide'!E612*8,""))))))</f>
        <v>26000</v>
      </c>
      <c r="L996" s="0" t="n">
        <f aca="false">IF(AND(ISNUMBER('Onshore - Adelaide'!E612),ISNUMBER(K996),ISNUMBER('Onshore - Adelaide'!F612),ISNUMBER('Onshore - Adelaide'!G612),OR('Onshore - Adelaide'!F612&lt;&gt;0,ISNUMBER(SEARCH("Material 0 terverifikasi",'Onshore - Adelaide'!M612))),OR('Onshore - Adelaide'!G612&lt;&gt;0,ISNUMBER(SEARCH("Enrolment 0 terverifikasi",'Onshore - Adelaide'!M612)))),1,0)</f>
        <v>0</v>
      </c>
      <c r="M996" s="0" t="n">
        <f aca="false">IF(OR('Onshore - Adelaide'!E612="",ISNUMBER(SEARCH("BSB80120",'Onshore - Adelaide'!B612&amp;'Onshore - Adelaide'!M612)),ISNUMBER(SEARCH("Management (Learning)",'Onshore - Adelaide'!B612))),2,IF(ISNUMBER(SEARCH("CEK:",'Onshore - Adelaide'!M612)),1,0))</f>
        <v>0</v>
      </c>
    </row>
    <row r="997" customFormat="false" ht="15" hidden="false" customHeight="false" outlineLevel="0" collapsed="false">
      <c r="A997" s="63" t="s">
        <v>3659</v>
      </c>
      <c r="B997" s="64" t="s">
        <v>4128</v>
      </c>
      <c r="C997" s="63" t="s">
        <v>43</v>
      </c>
      <c r="D997" s="64" t="str">
        <f aca="false">TRIM(LEFT('Onshore - Adelaide'!A15,FIND(CHAR(10),'Onshore - Adelaide'!A15&amp;CHAR(10))-1))</f>
        <v>Adelaide University</v>
      </c>
      <c r="E997" s="63" t="str">
        <f aca="false">'Onshore - Adelaide'!C265&amp;""</f>
        <v>3 years</v>
      </c>
      <c r="F997" s="63" t="str">
        <f aca="false">IF('Onshore - Adelaide'!D265="","Belum tercatat",'Onshore - Adelaide'!D265)</f>
        <v>Term</v>
      </c>
      <c r="G997" s="65" t="n">
        <f aca="false">IF('Onshore - Adelaide'!E265="","-",'Onshore - Adelaide'!E265)</f>
        <v>10850</v>
      </c>
      <c r="H997" s="63" t="n">
        <f aca="false">IF(ISNUMBER(K997),COUNTIFS($J$6:$J$1916,J997,$K$6:$K$1916,"&lt;"&amp;K997)+1,"-")</f>
        <v>2</v>
      </c>
      <c r="I997" s="64" t="str">
        <f aca="false">IF('Onshore - Adelaide'!E265="","Harga belum tersedia - hubungi konsultan TEG",IF(M997=2,"Saat ini tidak menerima pendaftaran siswa internasional baru",IF(M997=1,"Harga perlu dikonfirmasi ke sekolah"&amp;IF(""="","","; "&amp;""),"")))</f>
        <v/>
      </c>
      <c r="J997" s="0" t="s">
        <v>4129</v>
      </c>
      <c r="K997" s="0" t="n">
        <f aca="false">IF(M997=2,"",IF(ISNUMBER(SEARCH("rata-rata:",'Onshore - Adelaide'!M265)),VALUE(MID('Onshore - Adelaide'!M265,SEARCH("rata-rata:",'Onshore - Adelaide'!M265)+11,FIND(";",'Onshore - Adelaide'!M265&amp;";",SEARCH("rata-rata:",'Onshore - Adelaide'!M265))-SEARCH("rata-rata:",'Onshore - Adelaide'!M265)-11)),IF('Onshore - Adelaide'!D265="Semester",'Onshore - Adelaide'!E265*2,IF('Onshore - Adelaide'!D265="Trimester",'Onshore - Adelaide'!E265*3,IF('Onshore - Adelaide'!D265="Term",'Onshore - Adelaide'!E265*4,IF('Onshore - Adelaide'!D265="Unit",'Onshore - Adelaide'!E265*8,""))))))</f>
        <v>43400</v>
      </c>
      <c r="L997" s="0" t="n">
        <f aca="false">IF(AND(ISNUMBER('Onshore - Adelaide'!E265),ISNUMBER(K997),ISNUMBER('Onshore - Adelaide'!F265),ISNUMBER('Onshore - Adelaide'!G265),OR('Onshore - Adelaide'!F265&lt;&gt;0,ISNUMBER(SEARCH("Material 0 terverifikasi",'Onshore - Adelaide'!M265))),OR('Onshore - Adelaide'!G265&lt;&gt;0,ISNUMBER(SEARCH("Enrolment 0 terverifikasi",'Onshore - Adelaide'!M265)))),1,0)</f>
        <v>0</v>
      </c>
      <c r="M997" s="0" t="n">
        <f aca="false">IF(OR('Onshore - Adelaide'!E265="",ISNUMBER(SEARCH("BSB80120",'Onshore - Adelaide'!B265&amp;'Onshore - Adelaide'!M265)),ISNUMBER(SEARCH("Management (Learning)",'Onshore - Adelaide'!B265))),2,IF(ISNUMBER(SEARCH("CEK:",'Onshore - Adelaide'!M265)),1,0))</f>
        <v>0</v>
      </c>
    </row>
    <row r="998" customFormat="false" ht="15" hidden="false" customHeight="false" outlineLevel="0" collapsed="false">
      <c r="A998" s="61" t="s">
        <v>4130</v>
      </c>
      <c r="B998" s="62"/>
      <c r="C998" s="62"/>
      <c r="D998" s="62"/>
      <c r="E998" s="62"/>
      <c r="F998" s="62"/>
      <c r="G998" s="62"/>
      <c r="H998" s="62"/>
      <c r="I998" s="62"/>
    </row>
    <row r="999" customFormat="false" ht="15" hidden="false" customHeight="false" outlineLevel="0" collapsed="false">
      <c r="A999" s="63" t="s">
        <v>3659</v>
      </c>
      <c r="B999" s="64" t="s">
        <v>4128</v>
      </c>
      <c r="C999" s="63" t="s">
        <v>46</v>
      </c>
      <c r="D999" s="64" t="str">
        <f aca="false">TRIM(LEFT('Onshore - Adelaide'!A15,FIND(CHAR(10),'Onshore - Adelaide'!A15&amp;CHAR(10))-1))</f>
        <v>Adelaide University</v>
      </c>
      <c r="E999" s="63" t="str">
        <f aca="false">'Onshore - Adelaide'!C371&amp;""</f>
        <v>2 years</v>
      </c>
      <c r="F999" s="63" t="str">
        <f aca="false">IF('Onshore - Adelaide'!D371="","Belum tercatat",'Onshore - Adelaide'!D371)</f>
        <v>Term</v>
      </c>
      <c r="G999" s="65" t="n">
        <f aca="false">IF('Onshore - Adelaide'!E371="","-",'Onshore - Adelaide'!E371)</f>
        <v>11275</v>
      </c>
      <c r="H999" s="63" t="n">
        <f aca="false">IF(ISNUMBER(K999),COUNTIFS($J$6:$J$1916,J999,$K$6:$K$1916,"&lt;"&amp;K999)+1,"-")</f>
        <v>1</v>
      </c>
      <c r="I999" s="64" t="str">
        <f aca="false">IF('Onshore - Adelaide'!E371="","Harga belum tersedia - hubungi konsultan TEG",IF(M999=2,"Saat ini tidak menerima pendaftaran siswa internasional baru",IF(M999=1,"Harga perlu dikonfirmasi ke sekolah"&amp;IF(""="","","; "&amp;""),"")))</f>
        <v/>
      </c>
      <c r="J999" s="0" t="s">
        <v>4131</v>
      </c>
      <c r="K999" s="0" t="n">
        <f aca="false">IF(M999=2,"",IF(ISNUMBER(SEARCH("rata-rata:",'Onshore - Adelaide'!M371)),VALUE(MID('Onshore - Adelaide'!M371,SEARCH("rata-rata:",'Onshore - Adelaide'!M371)+11,FIND(";",'Onshore - Adelaide'!M371&amp;";",SEARCH("rata-rata:",'Onshore - Adelaide'!M371))-SEARCH("rata-rata:",'Onshore - Adelaide'!M371)-11)),IF('Onshore - Adelaide'!D371="Semester",'Onshore - Adelaide'!E371*2,IF('Onshore - Adelaide'!D371="Trimester",'Onshore - Adelaide'!E371*3,IF('Onshore - Adelaide'!D371="Term",'Onshore - Adelaide'!E371*4,IF('Onshore - Adelaide'!D371="Unit",'Onshore - Adelaide'!E371*8,""))))))</f>
        <v>45100</v>
      </c>
      <c r="L999" s="0" t="n">
        <f aca="false">IF(AND(ISNUMBER('Onshore - Adelaide'!E371),ISNUMBER(K999),ISNUMBER('Onshore - Adelaide'!F371),ISNUMBER('Onshore - Adelaide'!G371),OR('Onshore - Adelaide'!F371&lt;&gt;0,ISNUMBER(SEARCH("Material 0 terverifikasi",'Onshore - Adelaide'!M371))),OR('Onshore - Adelaide'!G371&lt;&gt;0,ISNUMBER(SEARCH("Enrolment 0 terverifikasi",'Onshore - Adelaide'!M371)))),1,0)</f>
        <v>0</v>
      </c>
      <c r="M999" s="0" t="n">
        <f aca="false">IF(OR('Onshore - Adelaide'!E371="",ISNUMBER(SEARCH("BSB80120",'Onshore - Adelaide'!B371&amp;'Onshore - Adelaide'!M371)),ISNUMBER(SEARCH("Management (Learning)",'Onshore - Adelaide'!B371))),2,IF(ISNUMBER(SEARCH("CEK:",'Onshore - Adelaide'!M371)),1,0))</f>
        <v>0</v>
      </c>
    </row>
    <row r="1000" customFormat="false" ht="15" hidden="false" customHeight="false" outlineLevel="0" collapsed="false">
      <c r="A1000" s="61" t="s">
        <v>4132</v>
      </c>
      <c r="B1000" s="62"/>
      <c r="C1000" s="62"/>
      <c r="D1000" s="62"/>
      <c r="E1000" s="62"/>
      <c r="F1000" s="62"/>
      <c r="G1000" s="62"/>
      <c r="H1000" s="62"/>
      <c r="I1000" s="62"/>
    </row>
    <row r="1001" customFormat="false" ht="15" hidden="false" customHeight="false" outlineLevel="0" collapsed="false">
      <c r="A1001" s="63" t="s">
        <v>3563</v>
      </c>
      <c r="B1001" s="64" t="s">
        <v>4128</v>
      </c>
      <c r="C1001" s="63" t="s">
        <v>41</v>
      </c>
      <c r="D1001" s="64" t="str">
        <f aca="false">TRIM(LEFT('Onshore - Brisbane'!A53,FIND(CHAR(10),'Onshore - Brisbane'!A53&amp;CHAR(10))-1))</f>
        <v>Australian Catholic University (ACU)</v>
      </c>
      <c r="E1001" s="63" t="str">
        <f aca="false">'Onshore - Brisbane'!C149&amp;""</f>
        <v>1 year</v>
      </c>
      <c r="F1001" s="63" t="str">
        <f aca="false">IF('Onshore - Brisbane'!D149="","Belum tercatat",'Onshore - Brisbane'!D149)</f>
        <v>Term</v>
      </c>
      <c r="G1001" s="65" t="n">
        <f aca="false">IF('Onshore - Brisbane'!E149="","-",'Onshore - Brisbane'!E149)</f>
        <v>8906</v>
      </c>
      <c r="H1001" s="63" t="n">
        <f aca="false">IF(ISNUMBER(K1001),COUNTIFS($J$6:$J$1916,J1001,$K$6:$K$1916,"&lt;"&amp;K1001)+1,"-")</f>
        <v>1</v>
      </c>
      <c r="I1001" s="64" t="str">
        <f aca="false">IF('Onshore - Brisbane'!E149="","Harga belum tersedia - hubungi konsultan TEG",IF(M1001=2,"Saat ini tidak menerima pendaftaran siswa internasional baru",IF(M1001=1,"Harga perlu dikonfirmasi ke sekolah"&amp;IF(""="","","; "&amp;""),"")))</f>
        <v/>
      </c>
      <c r="J1001" s="0" t="s">
        <v>4133</v>
      </c>
      <c r="K1001" s="0" t="n">
        <f aca="false">IF(M1001=2,"",IF(ISNUMBER(SEARCH("rata-rata:",'Onshore - Brisbane'!M149)),VALUE(MID('Onshore - Brisbane'!M149,SEARCH("rata-rata:",'Onshore - Brisbane'!M149)+11,FIND(";",'Onshore - Brisbane'!M149&amp;";",SEARCH("rata-rata:",'Onshore - Brisbane'!M149))-SEARCH("rata-rata:",'Onshore - Brisbane'!M149)-11)),IF('Onshore - Brisbane'!D149="Semester",'Onshore - Brisbane'!E149*2,IF('Onshore - Brisbane'!D149="Trimester",'Onshore - Brisbane'!E149*3,IF('Onshore - Brisbane'!D149="Term",'Onshore - Brisbane'!E149*4,IF('Onshore - Brisbane'!D149="Unit",'Onshore - Brisbane'!E149*8,""))))))</f>
        <v>35624</v>
      </c>
      <c r="L1001" s="0" t="n">
        <f aca="false">IF(AND(ISNUMBER('Onshore - Brisbane'!E149),ISNUMBER(K1001),ISNUMBER('Onshore - Brisbane'!F149),ISNUMBER('Onshore - Brisbane'!G149),OR('Onshore - Brisbane'!F149&lt;&gt;0,ISNUMBER(SEARCH("Material 0 terverifikasi",'Onshore - Brisbane'!M149))),OR('Onshore - Brisbane'!G149&lt;&gt;0,ISNUMBER(SEARCH("Enrolment 0 terverifikasi",'Onshore - Brisbane'!M149)))),1,0)</f>
        <v>0</v>
      </c>
      <c r="M1001" s="0" t="n">
        <f aca="false">IF(OR('Onshore - Brisbane'!E149="",ISNUMBER(SEARCH("BSB80120",'Onshore - Brisbane'!B149&amp;'Onshore - Brisbane'!M149)),ISNUMBER(SEARCH("Management (Learning)",'Onshore - Brisbane'!B149))),2,IF(ISNUMBER(SEARCH("CEK:",'Onshore - Brisbane'!M149)),1,0))</f>
        <v>0</v>
      </c>
    </row>
    <row r="1002" customFormat="false" ht="15" hidden="false" customHeight="false" outlineLevel="0" collapsed="false">
      <c r="A1002" s="61" t="s">
        <v>4134</v>
      </c>
      <c r="B1002" s="62"/>
      <c r="C1002" s="62"/>
      <c r="D1002" s="62"/>
      <c r="E1002" s="62"/>
      <c r="F1002" s="62"/>
      <c r="G1002" s="62"/>
      <c r="H1002" s="62"/>
      <c r="I1002" s="62"/>
    </row>
    <row r="1003" customFormat="false" ht="15" hidden="false" customHeight="false" outlineLevel="0" collapsed="false">
      <c r="A1003" s="63" t="s">
        <v>3563</v>
      </c>
      <c r="B1003" s="64" t="s">
        <v>4128</v>
      </c>
      <c r="C1003" s="63" t="s">
        <v>43</v>
      </c>
      <c r="D1003" s="64" t="str">
        <f aca="false">TRIM(LEFT('Onshore - Brisbane'!A53,FIND(CHAR(10),'Onshore - Brisbane'!A53&amp;CHAR(10))-1))</f>
        <v>Australian Catholic University (ACU)</v>
      </c>
      <c r="E1003" s="63" t="str">
        <f aca="false">'Onshore - Brisbane'!C90&amp;""</f>
        <v>4 years</v>
      </c>
      <c r="F1003" s="63" t="str">
        <f aca="false">IF('Onshore - Brisbane'!D90="","Belum tercatat",'Onshore - Brisbane'!D90)</f>
        <v>Term</v>
      </c>
      <c r="G1003" s="65" t="n">
        <f aca="false">IF('Onshore - Brisbane'!E90="","-",'Onshore - Brisbane'!E90)</f>
        <v>8906</v>
      </c>
      <c r="H1003" s="63" t="n">
        <f aca="false">IF(ISNUMBER(K1003),COUNTIFS($J$6:$J$1916,J1003,$K$6:$K$1916,"&lt;"&amp;K1003)+1,"-")</f>
        <v>1</v>
      </c>
      <c r="I1003" s="64" t="str">
        <f aca="false">IF('Onshore - Brisbane'!E90="","Harga belum tersedia - hubungi konsultan TEG",IF(M1003=2,"Saat ini tidak menerima pendaftaran siswa internasional baru",IF(M1003=1,"Harga perlu dikonfirmasi ke sekolah"&amp;IF(""="","","; "&amp;""),"")))</f>
        <v/>
      </c>
      <c r="J1003" s="0" t="s">
        <v>4135</v>
      </c>
      <c r="K1003" s="0" t="n">
        <f aca="false">IF(M1003=2,"",IF(ISNUMBER(SEARCH("rata-rata:",'Onshore - Brisbane'!M90)),VALUE(MID('Onshore - Brisbane'!M90,SEARCH("rata-rata:",'Onshore - Brisbane'!M90)+11,FIND(";",'Onshore - Brisbane'!M90&amp;";",SEARCH("rata-rata:",'Onshore - Brisbane'!M90))-SEARCH("rata-rata:",'Onshore - Brisbane'!M90)-11)),IF('Onshore - Brisbane'!D90="Semester",'Onshore - Brisbane'!E90*2,IF('Onshore - Brisbane'!D90="Trimester",'Onshore - Brisbane'!E90*3,IF('Onshore - Brisbane'!D90="Term",'Onshore - Brisbane'!E90*4,IF('Onshore - Brisbane'!D90="Unit",'Onshore - Brisbane'!E90*8,""))))))</f>
        <v>35624</v>
      </c>
      <c r="L1003" s="0" t="n">
        <f aca="false">IF(AND(ISNUMBER('Onshore - Brisbane'!E90),ISNUMBER(K1003),ISNUMBER('Onshore - Brisbane'!F90),ISNUMBER('Onshore - Brisbane'!G90),OR('Onshore - Brisbane'!F90&lt;&gt;0,ISNUMBER(SEARCH("Material 0 terverifikasi",'Onshore - Brisbane'!M90))),OR('Onshore - Brisbane'!G90&lt;&gt;0,ISNUMBER(SEARCH("Enrolment 0 terverifikasi",'Onshore - Brisbane'!M90)))),1,0)</f>
        <v>0</v>
      </c>
      <c r="M1003" s="0" t="n">
        <f aca="false">IF(OR('Onshore - Brisbane'!E90="",ISNUMBER(SEARCH("BSB80120",'Onshore - Brisbane'!B90&amp;'Onshore - Brisbane'!M90)),ISNUMBER(SEARCH("Management (Learning)",'Onshore - Brisbane'!B90))),2,IF(ISNUMBER(SEARCH("CEK:",'Onshore - Brisbane'!M90)),1,0))</f>
        <v>0</v>
      </c>
    </row>
    <row r="1004" customFormat="false" ht="15" hidden="false" customHeight="false" outlineLevel="0" collapsed="false">
      <c r="A1004" s="61" t="s">
        <v>4136</v>
      </c>
      <c r="B1004" s="62"/>
      <c r="C1004" s="62"/>
      <c r="D1004" s="62"/>
      <c r="E1004" s="62"/>
      <c r="F1004" s="62"/>
      <c r="G1004" s="62"/>
      <c r="H1004" s="62"/>
      <c r="I1004" s="62"/>
    </row>
    <row r="1005" customFormat="false" ht="15" hidden="false" customHeight="false" outlineLevel="0" collapsed="false">
      <c r="A1005" s="63" t="s">
        <v>3563</v>
      </c>
      <c r="B1005" s="64" t="s">
        <v>4128</v>
      </c>
      <c r="C1005" s="63" t="s">
        <v>46</v>
      </c>
      <c r="D1005" s="64" t="str">
        <f aca="false">TRIM(LEFT('Onshore - Brisbane'!A53,FIND(CHAR(10),'Onshore - Brisbane'!A53&amp;CHAR(10))-1))</f>
        <v>Australian Catholic University (ACU)</v>
      </c>
      <c r="E1005" s="63" t="str">
        <f aca="false">'Onshore - Brisbane'!C84&amp;""</f>
        <v>4 years</v>
      </c>
      <c r="F1005" s="63" t="str">
        <f aca="false">IF('Onshore - Brisbane'!D84="","Belum tercatat",'Onshore - Brisbane'!D84)</f>
        <v>Term</v>
      </c>
      <c r="G1005" s="65" t="n">
        <f aca="false">IF('Onshore - Brisbane'!E84="","-",'Onshore - Brisbane'!E84)</f>
        <v>8906</v>
      </c>
      <c r="H1005" s="63" t="n">
        <f aca="false">IF(ISNUMBER(K1005),COUNTIFS($J$6:$J$1916,J1005,$K$6:$K$1916,"&lt;"&amp;K1005)+1,"-")</f>
        <v>1</v>
      </c>
      <c r="I1005" s="64" t="str">
        <f aca="false">IF('Onshore - Brisbane'!E84="","Harga belum tersedia - hubungi konsultan TEG",IF(M1005=2,"Saat ini tidak menerima pendaftaran siswa internasional baru",IF(M1005=1,"Harga perlu dikonfirmasi ke sekolah"&amp;IF(""="","","; "&amp;""),"")))</f>
        <v/>
      </c>
      <c r="J1005" s="0" t="s">
        <v>4137</v>
      </c>
      <c r="K1005" s="0" t="n">
        <f aca="false">IF(M1005=2,"",IF(ISNUMBER(SEARCH("rata-rata:",'Onshore - Brisbane'!M84)),VALUE(MID('Onshore - Brisbane'!M84,SEARCH("rata-rata:",'Onshore - Brisbane'!M84)+11,FIND(";",'Onshore - Brisbane'!M84&amp;";",SEARCH("rata-rata:",'Onshore - Brisbane'!M84))-SEARCH("rata-rata:",'Onshore - Brisbane'!M84)-11)),IF('Onshore - Brisbane'!D84="Semester",'Onshore - Brisbane'!E84*2,IF('Onshore - Brisbane'!D84="Trimester",'Onshore - Brisbane'!E84*3,IF('Onshore - Brisbane'!D84="Term",'Onshore - Brisbane'!E84*4,IF('Onshore - Brisbane'!D84="Unit",'Onshore - Brisbane'!E84*8,""))))))</f>
        <v>35624</v>
      </c>
      <c r="L1005" s="0" t="n">
        <f aca="false">IF(AND(ISNUMBER('Onshore - Brisbane'!E84),ISNUMBER(K1005),ISNUMBER('Onshore - Brisbane'!F84),ISNUMBER('Onshore - Brisbane'!G84),OR('Onshore - Brisbane'!F84&lt;&gt;0,ISNUMBER(SEARCH("Material 0 terverifikasi",'Onshore - Brisbane'!M84))),OR('Onshore - Brisbane'!G84&lt;&gt;0,ISNUMBER(SEARCH("Enrolment 0 terverifikasi",'Onshore - Brisbane'!M84)))),1,0)</f>
        <v>0</v>
      </c>
      <c r="M1005" s="0" t="n">
        <f aca="false">IF(OR('Onshore - Brisbane'!E84="",ISNUMBER(SEARCH("BSB80120",'Onshore - Brisbane'!B84&amp;'Onshore - Brisbane'!M84)),ISNUMBER(SEARCH("Management (Learning)",'Onshore - Brisbane'!B84))),2,IF(ISNUMBER(SEARCH("CEK:",'Onshore - Brisbane'!M84)),1,0))</f>
        <v>0</v>
      </c>
    </row>
    <row r="1006" customFormat="false" ht="15" hidden="false" customHeight="false" outlineLevel="0" collapsed="false">
      <c r="A1006" s="61" t="s">
        <v>4138</v>
      </c>
      <c r="B1006" s="62"/>
      <c r="C1006" s="62"/>
      <c r="D1006" s="62"/>
      <c r="E1006" s="62"/>
      <c r="F1006" s="62"/>
      <c r="G1006" s="62"/>
      <c r="H1006" s="62"/>
      <c r="I1006" s="62"/>
    </row>
    <row r="1007" customFormat="false" ht="15" hidden="false" customHeight="false" outlineLevel="0" collapsed="false">
      <c r="A1007" s="63" t="s">
        <v>3718</v>
      </c>
      <c r="B1007" s="64" t="s">
        <v>4128</v>
      </c>
      <c r="C1007" s="63" t="s">
        <v>41</v>
      </c>
      <c r="D1007" s="64" t="str">
        <f aca="false">TRIM(LEFT('Onshore - Canberra'!A6,FIND(CHAR(10),'Onshore - Canberra'!A6&amp;CHAR(10))-1))</f>
        <v>Australian Catholic University (ACU)</v>
      </c>
      <c r="E1007" s="63" t="str">
        <f aca="false">'Onshore - Canberra'!C102&amp;""</f>
        <v>1 year</v>
      </c>
      <c r="F1007" s="63" t="str">
        <f aca="false">IF('Onshore - Canberra'!D102="","Belum tercatat",'Onshore - Canberra'!D102)</f>
        <v>Term</v>
      </c>
      <c r="G1007" s="65" t="n">
        <f aca="false">IF('Onshore - Canberra'!E102="","-",'Onshore - Canberra'!E102)</f>
        <v>8906</v>
      </c>
      <c r="H1007" s="63" t="n">
        <f aca="false">IF(ISNUMBER(K1007),COUNTIFS($J$6:$J$1916,J1007,$K$6:$K$1916,"&lt;"&amp;K1007)+1,"-")</f>
        <v>1</v>
      </c>
      <c r="I1007" s="64" t="str">
        <f aca="false">IF('Onshore - Canberra'!E102="","Harga belum tersedia - hubungi konsultan TEG",IF(M1007=2,"Saat ini tidak menerima pendaftaran siswa internasional baru",IF(M1007=1,"Harga perlu dikonfirmasi ke sekolah"&amp;IF(""="","","; "&amp;""),"")))</f>
        <v/>
      </c>
      <c r="J1007" s="0" t="s">
        <v>4139</v>
      </c>
      <c r="K1007" s="0" t="n">
        <f aca="false">IF(M1007=2,"",IF(ISNUMBER(SEARCH("rata-rata:",'Onshore - Canberra'!M102)),VALUE(MID('Onshore - Canberra'!M102,SEARCH("rata-rata:",'Onshore - Canberra'!M102)+11,FIND(";",'Onshore - Canberra'!M102&amp;";",SEARCH("rata-rata:",'Onshore - Canberra'!M102))-SEARCH("rata-rata:",'Onshore - Canberra'!M102)-11)),IF('Onshore - Canberra'!D102="Semester",'Onshore - Canberra'!E102*2,IF('Onshore - Canberra'!D102="Trimester",'Onshore - Canberra'!E102*3,IF('Onshore - Canberra'!D102="Term",'Onshore - Canberra'!E102*4,IF('Onshore - Canberra'!D102="Unit",'Onshore - Canberra'!E102*8,""))))))</f>
        <v>35624</v>
      </c>
      <c r="L1007" s="0" t="n">
        <f aca="false">IF(AND(ISNUMBER('Onshore - Canberra'!E102),ISNUMBER(K1007),ISNUMBER('Onshore - Canberra'!F102),ISNUMBER('Onshore - Canberra'!G102),OR('Onshore - Canberra'!F102&lt;&gt;0,ISNUMBER(SEARCH("Material 0 terverifikasi",'Onshore - Canberra'!M102))),OR('Onshore - Canberra'!G102&lt;&gt;0,ISNUMBER(SEARCH("Enrolment 0 terverifikasi",'Onshore - Canberra'!M102)))),1,0)</f>
        <v>0</v>
      </c>
      <c r="M1007" s="0" t="n">
        <f aca="false">IF(OR('Onshore - Canberra'!E102="",ISNUMBER(SEARCH("BSB80120",'Onshore - Canberra'!B102&amp;'Onshore - Canberra'!M102)),ISNUMBER(SEARCH("Management (Learning)",'Onshore - Canberra'!B102))),2,IF(ISNUMBER(SEARCH("CEK:",'Onshore - Canberra'!M102)),1,0))</f>
        <v>0</v>
      </c>
    </row>
    <row r="1008" customFormat="false" ht="15" hidden="false" customHeight="false" outlineLevel="0" collapsed="false">
      <c r="A1008" s="61" t="s">
        <v>4140</v>
      </c>
      <c r="B1008" s="62"/>
      <c r="C1008" s="62"/>
      <c r="D1008" s="62"/>
      <c r="E1008" s="62"/>
      <c r="F1008" s="62"/>
      <c r="G1008" s="62"/>
      <c r="H1008" s="62"/>
      <c r="I1008" s="62"/>
    </row>
    <row r="1009" customFormat="false" ht="15" hidden="false" customHeight="false" outlineLevel="0" collapsed="false">
      <c r="A1009" s="63" t="s">
        <v>3718</v>
      </c>
      <c r="B1009" s="64" t="s">
        <v>4128</v>
      </c>
      <c r="C1009" s="63" t="s">
        <v>43</v>
      </c>
      <c r="D1009" s="64" t="str">
        <f aca="false">TRIM(LEFT('Onshore - Canberra'!A125,FIND(CHAR(10),'Onshore - Canberra'!A125&amp;CHAR(10))-1))</f>
        <v>CIHE Australia</v>
      </c>
      <c r="E1009" s="63" t="str">
        <f aca="false">'Onshore - Canberra'!C130&amp;""</f>
        <v>4 years</v>
      </c>
      <c r="F1009" s="63" t="str">
        <f aca="false">IF('Onshore - Canberra'!D130="","Belum tercatat",'Onshore - Canberra'!D130)</f>
        <v>Term</v>
      </c>
      <c r="G1009" s="65" t="n">
        <f aca="false">IF('Onshore - Canberra'!E130="","-",'Onshore - Canberra'!E130)</f>
        <v>5000</v>
      </c>
      <c r="H1009" s="63" t="n">
        <f aca="false">IF(ISNUMBER(K1009),COUNTIFS($J$6:$J$1916,J1009,$K$6:$K$1916,"&lt;"&amp;K1009)+1,"-")</f>
        <v>1</v>
      </c>
      <c r="I1009" s="64" t="str">
        <f aca="false">IF('Onshore - Canberra'!E130="","Harga belum tersedia - hubungi konsultan TEG",IF(M1009=2,"Saat ini tidak menerima pendaftaran siswa internasional baru",IF(M1009=1,"Harga perlu dikonfirmasi ke sekolah"&amp;IF(""="","","; "&amp;""),"")))</f>
        <v>Harga perlu dikonfirmasi ke sekolah</v>
      </c>
      <c r="J1009" s="0" t="s">
        <v>4141</v>
      </c>
      <c r="K1009" s="0" t="n">
        <f aca="false">IF(M1009=2,"",IF(ISNUMBER(SEARCH("rata-rata:",'Onshore - Canberra'!M130)),VALUE(MID('Onshore - Canberra'!M130,SEARCH("rata-rata:",'Onshore - Canberra'!M130)+11,FIND(";",'Onshore - Canberra'!M130&amp;";",SEARCH("rata-rata:",'Onshore - Canberra'!M130))-SEARCH("rata-rata:",'Onshore - Canberra'!M130)-11)),IF('Onshore - Canberra'!D130="Semester",'Onshore - Canberra'!E130*2,IF('Onshore - Canberra'!D130="Trimester",'Onshore - Canberra'!E130*3,IF('Onshore - Canberra'!D130="Term",'Onshore - Canberra'!E130*4,IF('Onshore - Canberra'!D130="Unit",'Onshore - Canberra'!E130*8,""))))))</f>
        <v>20000</v>
      </c>
      <c r="L1009" s="0" t="n">
        <f aca="false">IF(AND(ISNUMBER('Onshore - Canberra'!E130),ISNUMBER(K1009),ISNUMBER('Onshore - Canberra'!F130),ISNUMBER('Onshore - Canberra'!G130),OR('Onshore - Canberra'!F130&lt;&gt;0,ISNUMBER(SEARCH("Material 0 terverifikasi",'Onshore - Canberra'!M130))),OR('Onshore - Canberra'!G130&lt;&gt;0,ISNUMBER(SEARCH("Enrolment 0 terverifikasi",'Onshore - Canberra'!M130)))),1,0)</f>
        <v>1</v>
      </c>
      <c r="M1009" s="0" t="n">
        <f aca="false">IF(OR('Onshore - Canberra'!E130="",ISNUMBER(SEARCH("BSB80120",'Onshore - Canberra'!B130&amp;'Onshore - Canberra'!M130)),ISNUMBER(SEARCH("Management (Learning)",'Onshore - Canberra'!B130))),2,IF(ISNUMBER(SEARCH("CEK:",'Onshore - Canberra'!M130)),1,0))</f>
        <v>1</v>
      </c>
    </row>
    <row r="1010" customFormat="false" ht="15" hidden="false" customHeight="false" outlineLevel="0" collapsed="false">
      <c r="A1010" s="63" t="s">
        <v>3718</v>
      </c>
      <c r="B1010" s="64" t="s">
        <v>4128</v>
      </c>
      <c r="C1010" s="63" t="s">
        <v>43</v>
      </c>
      <c r="D1010" s="64" t="str">
        <f aca="false">TRIM(LEFT('Onshore - Canberra'!A6,FIND(CHAR(10),'Onshore - Canberra'!A6&amp;CHAR(10))-1))</f>
        <v>Australian Catholic University (ACU)</v>
      </c>
      <c r="E1010" s="63" t="str">
        <f aca="false">'Onshore - Canberra'!C43&amp;""</f>
        <v>4 years</v>
      </c>
      <c r="F1010" s="63" t="str">
        <f aca="false">IF('Onshore - Canberra'!D43="","Belum tercatat",'Onshore - Canberra'!D43)</f>
        <v>Term</v>
      </c>
      <c r="G1010" s="65" t="n">
        <f aca="false">IF('Onshore - Canberra'!E43="","-",'Onshore - Canberra'!E43)</f>
        <v>8906</v>
      </c>
      <c r="H1010" s="63" t="n">
        <f aca="false">IF(ISNUMBER(K1010),COUNTIFS($J$6:$J$1916,J1010,$K$6:$K$1916,"&lt;"&amp;K1010)+1,"-")</f>
        <v>2</v>
      </c>
      <c r="I1010" s="64" t="str">
        <f aca="false">IF('Onshore - Canberra'!E43="","Harga belum tersedia - hubungi konsultan TEG",IF(M1010=2,"Saat ini tidak menerima pendaftaran siswa internasional baru",IF(M1010=1,"Harga perlu dikonfirmasi ke sekolah"&amp;IF(""="","","; "&amp;""),"")))</f>
        <v/>
      </c>
      <c r="J1010" s="0" t="s">
        <v>4141</v>
      </c>
      <c r="K1010" s="0" t="n">
        <f aca="false">IF(M1010=2,"",IF(ISNUMBER(SEARCH("rata-rata:",'Onshore - Canberra'!M43)),VALUE(MID('Onshore - Canberra'!M43,SEARCH("rata-rata:",'Onshore - Canberra'!M43)+11,FIND(";",'Onshore - Canberra'!M43&amp;";",SEARCH("rata-rata:",'Onshore - Canberra'!M43))-SEARCH("rata-rata:",'Onshore - Canberra'!M43)-11)),IF('Onshore - Canberra'!D43="Semester",'Onshore - Canberra'!E43*2,IF('Onshore - Canberra'!D43="Trimester",'Onshore - Canberra'!E43*3,IF('Onshore - Canberra'!D43="Term",'Onshore - Canberra'!E43*4,IF('Onshore - Canberra'!D43="Unit",'Onshore - Canberra'!E43*8,""))))))</f>
        <v>35624</v>
      </c>
      <c r="L1010" s="0" t="n">
        <f aca="false">IF(AND(ISNUMBER('Onshore - Canberra'!E43),ISNUMBER(K1010),ISNUMBER('Onshore - Canberra'!F43),ISNUMBER('Onshore - Canberra'!G43),OR('Onshore - Canberra'!F43&lt;&gt;0,ISNUMBER(SEARCH("Material 0 terverifikasi",'Onshore - Canberra'!M43))),OR('Onshore - Canberra'!G43&lt;&gt;0,ISNUMBER(SEARCH("Enrolment 0 terverifikasi",'Onshore - Canberra'!M43)))),1,0)</f>
        <v>0</v>
      </c>
      <c r="M1010" s="0" t="n">
        <f aca="false">IF(OR('Onshore - Canberra'!E43="",ISNUMBER(SEARCH("BSB80120",'Onshore - Canberra'!B43&amp;'Onshore - Canberra'!M43)),ISNUMBER(SEARCH("Management (Learning)",'Onshore - Canberra'!B43))),2,IF(ISNUMBER(SEARCH("CEK:",'Onshore - Canberra'!M43)),1,0))</f>
        <v>0</v>
      </c>
    </row>
    <row r="1011" customFormat="false" ht="15" hidden="false" customHeight="false" outlineLevel="0" collapsed="false">
      <c r="A1011" s="61" t="s">
        <v>4142</v>
      </c>
      <c r="B1011" s="62"/>
      <c r="C1011" s="62"/>
      <c r="D1011" s="62"/>
      <c r="E1011" s="62"/>
      <c r="F1011" s="62"/>
      <c r="G1011" s="62"/>
      <c r="H1011" s="62"/>
      <c r="I1011" s="62"/>
    </row>
    <row r="1012" customFormat="false" ht="15" hidden="false" customHeight="false" outlineLevel="0" collapsed="false">
      <c r="A1012" s="63" t="s">
        <v>3718</v>
      </c>
      <c r="B1012" s="64" t="s">
        <v>4128</v>
      </c>
      <c r="C1012" s="63" t="s">
        <v>3707</v>
      </c>
      <c r="D1012" s="64" t="str">
        <f aca="false">TRIM(LEFT('Onshore - Canberra'!A125,FIND(CHAR(10),'Onshore - Canberra'!A125&amp;CHAR(10))-1))</f>
        <v>CIHE Australia</v>
      </c>
      <c r="E1012" s="63" t="str">
        <f aca="false">'Onshore - Canberra'!C128&amp;""</f>
        <v>1 year</v>
      </c>
      <c r="F1012" s="63" t="str">
        <f aca="false">IF('Onshore - Canberra'!D128="","Belum tercatat",'Onshore - Canberra'!D128)</f>
        <v>Term</v>
      </c>
      <c r="G1012" s="65" t="n">
        <f aca="false">IF('Onshore - Canberra'!E128="","-",'Onshore - Canberra'!E128)</f>
        <v>6250</v>
      </c>
      <c r="H1012" s="63" t="n">
        <f aca="false">IF(ISNUMBER(K1012),COUNTIFS($J$6:$J$1916,J1012,$K$6:$K$1916,"&lt;"&amp;K1012)+1,"-")</f>
        <v>1</v>
      </c>
      <c r="I1012" s="64" t="str">
        <f aca="false">IF('Onshore - Canberra'!E128="","Harga belum tersedia - hubungi konsultan TEG",IF(M1012=2,"Saat ini tidak menerima pendaftaran siswa internasional baru",IF(M1012=1,"Harga perlu dikonfirmasi ke sekolah"&amp;IF(""="","","; "&amp;""),"")))</f>
        <v>Harga perlu dikonfirmasi ke sekolah</v>
      </c>
      <c r="J1012" s="0" t="s">
        <v>4143</v>
      </c>
      <c r="K1012" s="0" t="n">
        <f aca="false">IF(M1012=2,"",IF(ISNUMBER(SEARCH("rata-rata:",'Onshore - Canberra'!M128)),VALUE(MID('Onshore - Canberra'!M128,SEARCH("rata-rata:",'Onshore - Canberra'!M128)+11,FIND(";",'Onshore - Canberra'!M128&amp;";",SEARCH("rata-rata:",'Onshore - Canberra'!M128))-SEARCH("rata-rata:",'Onshore - Canberra'!M128)-11)),IF('Onshore - Canberra'!D128="Semester",'Onshore - Canberra'!E128*2,IF('Onshore - Canberra'!D128="Trimester",'Onshore - Canberra'!E128*3,IF('Onshore - Canberra'!D128="Term",'Onshore - Canberra'!E128*4,IF('Onshore - Canberra'!D128="Unit",'Onshore - Canberra'!E128*8,""))))))</f>
        <v>25000</v>
      </c>
      <c r="L1012" s="0" t="n">
        <f aca="false">IF(AND(ISNUMBER('Onshore - Canberra'!E128),ISNUMBER(K1012),ISNUMBER('Onshore - Canberra'!F128),ISNUMBER('Onshore - Canberra'!G128),OR('Onshore - Canberra'!F128&lt;&gt;0,ISNUMBER(SEARCH("Material 0 terverifikasi",'Onshore - Canberra'!M128))),OR('Onshore - Canberra'!G128&lt;&gt;0,ISNUMBER(SEARCH("Enrolment 0 terverifikasi",'Onshore - Canberra'!M128)))),1,0)</f>
        <v>1</v>
      </c>
      <c r="M1012" s="0" t="n">
        <f aca="false">IF(OR('Onshore - Canberra'!E128="",ISNUMBER(SEARCH("BSB80120",'Onshore - Canberra'!B128&amp;'Onshore - Canberra'!M128)),ISNUMBER(SEARCH("Management (Learning)",'Onshore - Canberra'!B128))),2,IF(ISNUMBER(SEARCH("CEK:",'Onshore - Canberra'!M128)),1,0))</f>
        <v>1</v>
      </c>
    </row>
    <row r="1013" customFormat="false" ht="15" hidden="false" customHeight="false" outlineLevel="0" collapsed="false">
      <c r="A1013" s="61" t="s">
        <v>4144</v>
      </c>
      <c r="B1013" s="62"/>
      <c r="C1013" s="62"/>
      <c r="D1013" s="62"/>
      <c r="E1013" s="62"/>
      <c r="F1013" s="62"/>
      <c r="G1013" s="62"/>
      <c r="H1013" s="62"/>
      <c r="I1013" s="62"/>
    </row>
    <row r="1014" customFormat="false" ht="15" hidden="false" customHeight="false" outlineLevel="0" collapsed="false">
      <c r="A1014" s="63" t="s">
        <v>3718</v>
      </c>
      <c r="B1014" s="64" t="s">
        <v>4128</v>
      </c>
      <c r="C1014" s="63" t="s">
        <v>46</v>
      </c>
      <c r="D1014" s="64" t="str">
        <f aca="false">TRIM(LEFT('Onshore - Canberra'!A125,FIND(CHAR(10),'Onshore - Canberra'!A125&amp;CHAR(10))-1))</f>
        <v>CIHE Australia</v>
      </c>
      <c r="E1014" s="63" t="str">
        <f aca="false">'Onshore - Canberra'!C129&amp;""</f>
        <v>2 years</v>
      </c>
      <c r="F1014" s="63" t="str">
        <f aca="false">IF('Onshore - Canberra'!D129="","Belum tercatat",'Onshore - Canberra'!D129)</f>
        <v>Term</v>
      </c>
      <c r="G1014" s="65" t="n">
        <f aca="false">IF('Onshore - Canberra'!E129="","-",'Onshore - Canberra'!E129)</f>
        <v>6250</v>
      </c>
      <c r="H1014" s="63" t="n">
        <f aca="false">IF(ISNUMBER(K1014),COUNTIFS($J$6:$J$1916,J1014,$K$6:$K$1916,"&lt;"&amp;K1014)+1,"-")</f>
        <v>1</v>
      </c>
      <c r="I1014" s="64" t="str">
        <f aca="false">IF('Onshore - Canberra'!E129="","Harga belum tersedia - hubungi konsultan TEG",IF(M1014=2,"Saat ini tidak menerima pendaftaran siswa internasional baru",IF(M1014=1,"Harga perlu dikonfirmasi ke sekolah"&amp;IF(""="","","; "&amp;""),"")))</f>
        <v/>
      </c>
      <c r="J1014" s="0" t="s">
        <v>4145</v>
      </c>
      <c r="K1014" s="0" t="n">
        <f aca="false">IF(M1014=2,"",IF(ISNUMBER(SEARCH("rata-rata:",'Onshore - Canberra'!M129)),VALUE(MID('Onshore - Canberra'!M129,SEARCH("rata-rata:",'Onshore - Canberra'!M129)+11,FIND(";",'Onshore - Canberra'!M129&amp;";",SEARCH("rata-rata:",'Onshore - Canberra'!M129))-SEARCH("rata-rata:",'Onshore - Canberra'!M129)-11)),IF('Onshore - Canberra'!D129="Semester",'Onshore - Canberra'!E129*2,IF('Onshore - Canberra'!D129="Trimester",'Onshore - Canberra'!E129*3,IF('Onshore - Canberra'!D129="Term",'Onshore - Canberra'!E129*4,IF('Onshore - Canberra'!D129="Unit",'Onshore - Canberra'!E129*8,""))))))</f>
        <v>25000</v>
      </c>
      <c r="L1014" s="0" t="n">
        <f aca="false">IF(AND(ISNUMBER('Onshore - Canberra'!E129),ISNUMBER(K1014),ISNUMBER('Onshore - Canberra'!F129),ISNUMBER('Onshore - Canberra'!G129),OR('Onshore - Canberra'!F129&lt;&gt;0,ISNUMBER(SEARCH("Material 0 terverifikasi",'Onshore - Canberra'!M129))),OR('Onshore - Canberra'!G129&lt;&gt;0,ISNUMBER(SEARCH("Enrolment 0 terverifikasi",'Onshore - Canberra'!M129)))),1,0)</f>
        <v>1</v>
      </c>
      <c r="M1014" s="0" t="n">
        <f aca="false">IF(OR('Onshore - Canberra'!E129="",ISNUMBER(SEARCH("BSB80120",'Onshore - Canberra'!B129&amp;'Onshore - Canberra'!M129)),ISNUMBER(SEARCH("Management (Learning)",'Onshore - Canberra'!B129))),2,IF(ISNUMBER(SEARCH("CEK:",'Onshore - Canberra'!M129)),1,0))</f>
        <v>0</v>
      </c>
    </row>
    <row r="1015" customFormat="false" ht="15" hidden="false" customHeight="false" outlineLevel="0" collapsed="false">
      <c r="A1015" s="63" t="s">
        <v>3718</v>
      </c>
      <c r="B1015" s="64" t="s">
        <v>4128</v>
      </c>
      <c r="C1015" s="63" t="s">
        <v>46</v>
      </c>
      <c r="D1015" s="64" t="str">
        <f aca="false">TRIM(LEFT('Onshore - Canberra'!A6,FIND(CHAR(10),'Onshore - Canberra'!A6&amp;CHAR(10))-1))</f>
        <v>Australian Catholic University (ACU)</v>
      </c>
      <c r="E1015" s="63" t="str">
        <f aca="false">'Onshore - Canberra'!C37&amp;""</f>
        <v>4 years</v>
      </c>
      <c r="F1015" s="63" t="str">
        <f aca="false">IF('Onshore - Canberra'!D37="","Belum tercatat",'Onshore - Canberra'!D37)</f>
        <v>Term</v>
      </c>
      <c r="G1015" s="65" t="n">
        <f aca="false">IF('Onshore - Canberra'!E37="","-",'Onshore - Canberra'!E37)</f>
        <v>8906</v>
      </c>
      <c r="H1015" s="63" t="n">
        <f aca="false">IF(ISNUMBER(K1015),COUNTIFS($J$6:$J$1916,J1015,$K$6:$K$1916,"&lt;"&amp;K1015)+1,"-")</f>
        <v>2</v>
      </c>
      <c r="I1015" s="64" t="str">
        <f aca="false">IF('Onshore - Canberra'!E37="","Harga belum tersedia - hubungi konsultan TEG",IF(M1015=2,"Saat ini tidak menerima pendaftaran siswa internasional baru",IF(M1015=1,"Harga perlu dikonfirmasi ke sekolah"&amp;IF(""="","","; "&amp;""),"")))</f>
        <v/>
      </c>
      <c r="J1015" s="0" t="s">
        <v>4145</v>
      </c>
      <c r="K1015" s="0" t="n">
        <f aca="false">IF(M1015=2,"",IF(ISNUMBER(SEARCH("rata-rata:",'Onshore - Canberra'!M37)),VALUE(MID('Onshore - Canberra'!M37,SEARCH("rata-rata:",'Onshore - Canberra'!M37)+11,FIND(";",'Onshore - Canberra'!M37&amp;";",SEARCH("rata-rata:",'Onshore - Canberra'!M37))-SEARCH("rata-rata:",'Onshore - Canberra'!M37)-11)),IF('Onshore - Canberra'!D37="Semester",'Onshore - Canberra'!E37*2,IF('Onshore - Canberra'!D37="Trimester",'Onshore - Canberra'!E37*3,IF('Onshore - Canberra'!D37="Term",'Onshore - Canberra'!E37*4,IF('Onshore - Canberra'!D37="Unit",'Onshore - Canberra'!E37*8,""))))))</f>
        <v>35624</v>
      </c>
      <c r="L1015" s="0" t="n">
        <f aca="false">IF(AND(ISNUMBER('Onshore - Canberra'!E37),ISNUMBER(K1015),ISNUMBER('Onshore - Canberra'!F37),ISNUMBER('Onshore - Canberra'!G37),OR('Onshore - Canberra'!F37&lt;&gt;0,ISNUMBER(SEARCH("Material 0 terverifikasi",'Onshore - Canberra'!M37))),OR('Onshore - Canberra'!G37&lt;&gt;0,ISNUMBER(SEARCH("Enrolment 0 terverifikasi",'Onshore - Canberra'!M37)))),1,0)</f>
        <v>0</v>
      </c>
      <c r="M1015" s="0" t="n">
        <f aca="false">IF(OR('Onshore - Canberra'!E37="",ISNUMBER(SEARCH("BSB80120",'Onshore - Canberra'!B37&amp;'Onshore - Canberra'!M37)),ISNUMBER(SEARCH("Management (Learning)",'Onshore - Canberra'!B37))),2,IF(ISNUMBER(SEARCH("CEK:",'Onshore - Canberra'!M37)),1,0))</f>
        <v>0</v>
      </c>
    </row>
    <row r="1016" customFormat="false" ht="15" hidden="false" customHeight="false" outlineLevel="0" collapsed="false">
      <c r="A1016" s="61" t="s">
        <v>4146</v>
      </c>
      <c r="B1016" s="62"/>
      <c r="C1016" s="62"/>
      <c r="D1016" s="62"/>
      <c r="E1016" s="62"/>
      <c r="F1016" s="62"/>
      <c r="G1016" s="62"/>
      <c r="H1016" s="62"/>
      <c r="I1016" s="62"/>
    </row>
    <row r="1017" customFormat="false" ht="15" hidden="false" customHeight="false" outlineLevel="0" collapsed="false">
      <c r="A1017" s="63" t="s">
        <v>3583</v>
      </c>
      <c r="B1017" s="64" t="s">
        <v>4128</v>
      </c>
      <c r="C1017" s="63" t="s">
        <v>43</v>
      </c>
      <c r="D1017" s="64" t="str">
        <f aca="false">TRIM(LEFT('Onshore - Darwin (NT)'!A20,FIND(CHAR(10),'Onshore - Darwin (NT)'!A20&amp;CHAR(10))-1))</f>
        <v>Charles Darwin University (CDU)</v>
      </c>
      <c r="E1017" s="63" t="str">
        <f aca="false">'Onshore - Darwin (NT)'!C52&amp;""</f>
        <v>4 years</v>
      </c>
      <c r="F1017" s="63" t="str">
        <f aca="false">IF('Onshore - Darwin (NT)'!D52="","Belum tercatat",'Onshore - Darwin (NT)'!D52)</f>
        <v>Term</v>
      </c>
      <c r="G1017" s="65" t="n">
        <f aca="false">IF('Onshore - Darwin (NT)'!E52="","-",'Onshore - Darwin (NT)'!E52)</f>
        <v>7858</v>
      </c>
      <c r="H1017" s="63" t="n">
        <f aca="false">IF(ISNUMBER(K1017),COUNTIFS($J$6:$J$1916,J1017,$K$6:$K$1916,"&lt;"&amp;K1017)+1,"-")</f>
        <v>1</v>
      </c>
      <c r="I1017" s="64" t="str">
        <f aca="false">IF('Onshore - Darwin (NT)'!E52="","Harga belum tersedia - hubungi konsultan TEG",IF(M1017=2,"Saat ini tidak menerima pendaftaran siswa internasional baru",IF(M1017=1,"Harga perlu dikonfirmasi ke sekolah"&amp;IF(""="","","; "&amp;""),"")))</f>
        <v/>
      </c>
      <c r="J1017" s="0" t="s">
        <v>4147</v>
      </c>
      <c r="K1017" s="0" t="n">
        <f aca="false">IF(M1017=2,"",IF(ISNUMBER(SEARCH("rata-rata:",'Onshore - Darwin (NT)'!M52)),VALUE(MID('Onshore - Darwin (NT)'!M52,SEARCH("rata-rata:",'Onshore - Darwin (NT)'!M52)+11,FIND(";",'Onshore - Darwin (NT)'!M52&amp;";",SEARCH("rata-rata:",'Onshore - Darwin (NT)'!M52))-SEARCH("rata-rata:",'Onshore - Darwin (NT)'!M52)-11)),IF('Onshore - Darwin (NT)'!D52="Semester",'Onshore - Darwin (NT)'!E52*2,IF('Onshore - Darwin (NT)'!D52="Trimester",'Onshore - Darwin (NT)'!E52*3,IF('Onshore - Darwin (NT)'!D52="Term",'Onshore - Darwin (NT)'!E52*4,IF('Onshore - Darwin (NT)'!D52="Unit",'Onshore - Darwin (NT)'!E52*8,""))))))</f>
        <v>31432</v>
      </c>
      <c r="L1017" s="0" t="n">
        <f aca="false">IF(AND(ISNUMBER('Onshore - Darwin (NT)'!E52),ISNUMBER(K1017),ISNUMBER('Onshore - Darwin (NT)'!F52),ISNUMBER('Onshore - Darwin (NT)'!G52),OR('Onshore - Darwin (NT)'!F52&lt;&gt;0,ISNUMBER(SEARCH("Material 0 terverifikasi",'Onshore - Darwin (NT)'!M52))),OR('Onshore - Darwin (NT)'!G52&lt;&gt;0,ISNUMBER(SEARCH("Enrolment 0 terverifikasi",'Onshore - Darwin (NT)'!M52)))),1,0)</f>
        <v>0</v>
      </c>
      <c r="M1017" s="0" t="n">
        <f aca="false">IF(OR('Onshore - Darwin (NT)'!E52="",ISNUMBER(SEARCH("BSB80120",'Onshore - Darwin (NT)'!B52&amp;'Onshore - Darwin (NT)'!M52)),ISNUMBER(SEARCH("Management (Learning)",'Onshore - Darwin (NT)'!B52))),2,IF(ISNUMBER(SEARCH("CEK:",'Onshore - Darwin (NT)'!M52)),1,0))</f>
        <v>0</v>
      </c>
    </row>
    <row r="1018" customFormat="false" ht="15" hidden="false" customHeight="false" outlineLevel="0" collapsed="false">
      <c r="A1018" s="61" t="s">
        <v>4148</v>
      </c>
      <c r="B1018" s="62"/>
      <c r="C1018" s="62"/>
      <c r="D1018" s="62"/>
      <c r="E1018" s="62"/>
      <c r="F1018" s="62"/>
      <c r="G1018" s="62"/>
      <c r="H1018" s="62"/>
      <c r="I1018" s="62"/>
    </row>
    <row r="1019" customFormat="false" ht="15" hidden="false" customHeight="false" outlineLevel="0" collapsed="false">
      <c r="A1019" s="63" t="s">
        <v>3583</v>
      </c>
      <c r="B1019" s="64" t="s">
        <v>4128</v>
      </c>
      <c r="C1019" s="63" t="s">
        <v>3707</v>
      </c>
      <c r="D1019" s="64" t="str">
        <f aca="false">TRIM(LEFT('Onshore - Darwin (NT)'!A20,FIND(CHAR(10),'Onshore - Darwin (NT)'!A20&amp;CHAR(10))-1))</f>
        <v>Charles Darwin University (CDU)</v>
      </c>
      <c r="E1019" s="63" t="str">
        <f aca="false">'Onshore - Darwin (NT)'!C57&amp;""</f>
        <v>0,5 year</v>
      </c>
      <c r="F1019" s="63" t="str">
        <f aca="false">IF('Onshore - Darwin (NT)'!D57="","Belum tercatat",'Onshore - Darwin (NT)'!D57)</f>
        <v>Term</v>
      </c>
      <c r="G1019" s="65" t="n">
        <f aca="false">IF('Onshore - Darwin (NT)'!E57="","-",'Onshore - Darwin (NT)'!E57)</f>
        <v>8190</v>
      </c>
      <c r="H1019" s="63" t="n">
        <f aca="false">IF(ISNUMBER(K1019),COUNTIFS($J$6:$J$1916,J1019,$K$6:$K$1916,"&lt;"&amp;K1019)+1,"-")</f>
        <v>1</v>
      </c>
      <c r="I1019" s="64" t="str">
        <f aca="false">IF('Onshore - Darwin (NT)'!E57="","Harga belum tersedia - hubungi konsultan TEG",IF(M1019=2,"Saat ini tidak menerima pendaftaran siswa internasional baru",IF(M1019=1,"Harga perlu dikonfirmasi ke sekolah"&amp;IF(""="","","; "&amp;""),"")))</f>
        <v/>
      </c>
      <c r="J1019" s="0" t="s">
        <v>4149</v>
      </c>
      <c r="K1019" s="0" t="n">
        <f aca="false">IF(M1019=2,"",IF(ISNUMBER(SEARCH("rata-rata:",'Onshore - Darwin (NT)'!M57)),VALUE(MID('Onshore - Darwin (NT)'!M57,SEARCH("rata-rata:",'Onshore - Darwin (NT)'!M57)+11,FIND(";",'Onshore - Darwin (NT)'!M57&amp;";",SEARCH("rata-rata:",'Onshore - Darwin (NT)'!M57))-SEARCH("rata-rata:",'Onshore - Darwin (NT)'!M57)-11)),IF('Onshore - Darwin (NT)'!D57="Semester",'Onshore - Darwin (NT)'!E57*2,IF('Onshore - Darwin (NT)'!D57="Trimester",'Onshore - Darwin (NT)'!E57*3,IF('Onshore - Darwin (NT)'!D57="Term",'Onshore - Darwin (NT)'!E57*4,IF('Onshore - Darwin (NT)'!D57="Unit",'Onshore - Darwin (NT)'!E57*8,""))))))</f>
        <v>32760</v>
      </c>
      <c r="L1019" s="0" t="n">
        <f aca="false">IF(AND(ISNUMBER('Onshore - Darwin (NT)'!E57),ISNUMBER(K1019),ISNUMBER('Onshore - Darwin (NT)'!F57),ISNUMBER('Onshore - Darwin (NT)'!G57),OR('Onshore - Darwin (NT)'!F57&lt;&gt;0,ISNUMBER(SEARCH("Material 0 terverifikasi",'Onshore - Darwin (NT)'!M57))),OR('Onshore - Darwin (NT)'!G57&lt;&gt;0,ISNUMBER(SEARCH("Enrolment 0 terverifikasi",'Onshore - Darwin (NT)'!M57)))),1,0)</f>
        <v>0</v>
      </c>
      <c r="M1019" s="0" t="n">
        <f aca="false">IF(OR('Onshore - Darwin (NT)'!E57="",ISNUMBER(SEARCH("BSB80120",'Onshore - Darwin (NT)'!B57&amp;'Onshore - Darwin (NT)'!M57)),ISNUMBER(SEARCH("Management (Learning)",'Onshore - Darwin (NT)'!B57))),2,IF(ISNUMBER(SEARCH("CEK:",'Onshore - Darwin (NT)'!M57)),1,0))</f>
        <v>0</v>
      </c>
    </row>
    <row r="1020" customFormat="false" ht="15" hidden="false" customHeight="false" outlineLevel="0" collapsed="false">
      <c r="A1020" s="61" t="s">
        <v>4150</v>
      </c>
      <c r="B1020" s="62"/>
      <c r="C1020" s="62"/>
      <c r="D1020" s="62"/>
      <c r="E1020" s="62"/>
      <c r="F1020" s="62"/>
      <c r="G1020" s="62"/>
      <c r="H1020" s="62"/>
      <c r="I1020" s="62"/>
    </row>
    <row r="1021" customFormat="false" ht="15" hidden="false" customHeight="false" outlineLevel="0" collapsed="false">
      <c r="A1021" s="63" t="s">
        <v>3583</v>
      </c>
      <c r="B1021" s="64" t="s">
        <v>4128</v>
      </c>
      <c r="C1021" s="63" t="s">
        <v>46</v>
      </c>
      <c r="D1021" s="64" t="str">
        <f aca="false">TRIM(LEFT('Onshore - Darwin (NT)'!A20,FIND(CHAR(10),'Onshore - Darwin (NT)'!A20&amp;CHAR(10))-1))</f>
        <v>Charles Darwin University (CDU)</v>
      </c>
      <c r="E1021" s="63" t="str">
        <f aca="false">'Onshore - Darwin (NT)'!C56&amp;""</f>
        <v>4,5 years</v>
      </c>
      <c r="F1021" s="63" t="str">
        <f aca="false">IF('Onshore - Darwin (NT)'!D56="","Belum tercatat",'Onshore - Darwin (NT)'!D56)</f>
        <v>Term</v>
      </c>
      <c r="G1021" s="65" t="n">
        <f aca="false">IF('Onshore - Darwin (NT)'!E56="","-",'Onshore - Darwin (NT)'!E56)</f>
        <v>7858</v>
      </c>
      <c r="H1021" s="63" t="n">
        <f aca="false">IF(ISNUMBER(K1021),COUNTIFS($J$6:$J$1916,J1021,$K$6:$K$1916,"&lt;"&amp;K1021)+1,"-")</f>
        <v>1</v>
      </c>
      <c r="I1021" s="64" t="str">
        <f aca="false">IF('Onshore - Darwin (NT)'!E56="","Harga belum tersedia - hubungi konsultan TEG",IF(M1021=2,"Saat ini tidak menerima pendaftaran siswa internasional baru",IF(M1021=1,"Harga perlu dikonfirmasi ke sekolah"&amp;IF(""="","","; "&amp;""),"")))</f>
        <v/>
      </c>
      <c r="J1021" s="0" t="s">
        <v>4151</v>
      </c>
      <c r="K1021" s="0" t="n">
        <f aca="false">IF(M1021=2,"",IF(ISNUMBER(SEARCH("rata-rata:",'Onshore - Darwin (NT)'!M56)),VALUE(MID('Onshore - Darwin (NT)'!M56,SEARCH("rata-rata:",'Onshore - Darwin (NT)'!M56)+11,FIND(";",'Onshore - Darwin (NT)'!M56&amp;";",SEARCH("rata-rata:",'Onshore - Darwin (NT)'!M56))-SEARCH("rata-rata:",'Onshore - Darwin (NT)'!M56)-11)),IF('Onshore - Darwin (NT)'!D56="Semester",'Onshore - Darwin (NT)'!E56*2,IF('Onshore - Darwin (NT)'!D56="Trimester",'Onshore - Darwin (NT)'!E56*3,IF('Onshore - Darwin (NT)'!D56="Term",'Onshore - Darwin (NT)'!E56*4,IF('Onshore - Darwin (NT)'!D56="Unit",'Onshore - Darwin (NT)'!E56*8,""))))))</f>
        <v>31432</v>
      </c>
      <c r="L1021" s="0" t="n">
        <f aca="false">IF(AND(ISNUMBER('Onshore - Darwin (NT)'!E56),ISNUMBER(K1021),ISNUMBER('Onshore - Darwin (NT)'!F56),ISNUMBER('Onshore - Darwin (NT)'!G56),OR('Onshore - Darwin (NT)'!F56&lt;&gt;0,ISNUMBER(SEARCH("Material 0 terverifikasi",'Onshore - Darwin (NT)'!M56))),OR('Onshore - Darwin (NT)'!G56&lt;&gt;0,ISNUMBER(SEARCH("Enrolment 0 terverifikasi",'Onshore - Darwin (NT)'!M56)))),1,0)</f>
        <v>0</v>
      </c>
      <c r="M1021" s="0" t="n">
        <f aca="false">IF(OR('Onshore - Darwin (NT)'!E56="",ISNUMBER(SEARCH("BSB80120",'Onshore - Darwin (NT)'!B56&amp;'Onshore - Darwin (NT)'!M56)),ISNUMBER(SEARCH("Management (Learning)",'Onshore - Darwin (NT)'!B56))),2,IF(ISNUMBER(SEARCH("CEK:",'Onshore - Darwin (NT)'!M56)),1,0))</f>
        <v>0</v>
      </c>
    </row>
    <row r="1022" customFormat="false" ht="15" hidden="false" customHeight="false" outlineLevel="0" collapsed="false">
      <c r="A1022" s="61" t="s">
        <v>4152</v>
      </c>
      <c r="B1022" s="62"/>
      <c r="C1022" s="62"/>
      <c r="D1022" s="62"/>
      <c r="E1022" s="62"/>
      <c r="F1022" s="62"/>
      <c r="G1022" s="62"/>
      <c r="H1022" s="62"/>
      <c r="I1022" s="62"/>
    </row>
    <row r="1023" customFormat="false" ht="28.35" hidden="false" customHeight="false" outlineLevel="0" collapsed="false">
      <c r="A1023" s="63" t="s">
        <v>3544</v>
      </c>
      <c r="B1023" s="64" t="s">
        <v>4128</v>
      </c>
      <c r="C1023" s="63" t="s">
        <v>41</v>
      </c>
      <c r="D1023" s="64" t="str">
        <f aca="false">TRIM(LEFT('Onshore- Melbourne'!A454,FIND(CHAR(10),'Onshore- Melbourne'!A454&amp;CHAR(10))-1))</f>
        <v>TKL College (Training for Knowledge and Livelihood)</v>
      </c>
      <c r="E1023" s="63" t="str">
        <f aca="false">'Onshore- Melbourne'!C460&amp;""</f>
        <v>2 years</v>
      </c>
      <c r="F1023" s="63" t="str">
        <f aca="false">IF('Onshore- Melbourne'!D460="","Belum tercatat",'Onshore- Melbourne'!D460)</f>
        <v>Term</v>
      </c>
      <c r="G1023" s="65" t="n">
        <f aca="false">IF('Onshore- Melbourne'!E460="","-",'Onshore- Melbourne'!E460)</f>
        <v>2200</v>
      </c>
      <c r="H1023" s="63" t="n">
        <f aca="false">IF(ISNUMBER(K1023),COUNTIFS($J$6:$J$1916,J1023,$K$6:$K$1916,"&lt;"&amp;K1023)+1,"-")</f>
        <v>1</v>
      </c>
      <c r="I1023" s="64" t="str">
        <f aca="false">IF('Onshore- Melbourne'!E460="","Harga belum tersedia - hubungi konsultan TEG",IF(M1023=2,"Saat ini tidak menerima pendaftaran siswa internasional baru",IF(M1023=1,"Program perlu dikonfirmasi ketersediaannya"&amp;IF(""="","","; "&amp;""),"")))</f>
        <v>Program perlu dikonfirmasi ketersediaannya</v>
      </c>
      <c r="J1023" s="0" t="s">
        <v>4153</v>
      </c>
      <c r="K1023" s="0" t="n">
        <f aca="false">IF(M1023=2,"",IF(ISNUMBER(SEARCH("rata-rata:",'Onshore- Melbourne'!M460)),VALUE(MID('Onshore- Melbourne'!M460,SEARCH("rata-rata:",'Onshore- Melbourne'!M460)+11,FIND(";",'Onshore- Melbourne'!M460&amp;";",SEARCH("rata-rata:",'Onshore- Melbourne'!M460))-SEARCH("rata-rata:",'Onshore- Melbourne'!M460)-11)),IF('Onshore- Melbourne'!D460="Semester",'Onshore- Melbourne'!E460*2,IF('Onshore- Melbourne'!D460="Trimester",'Onshore- Melbourne'!E460*3,IF('Onshore- Melbourne'!D460="Term",'Onshore- Melbourne'!E460*4,IF('Onshore- Melbourne'!D460="Unit",'Onshore- Melbourne'!E460*8,""))))))</f>
        <v>8800</v>
      </c>
      <c r="L1023" s="0" t="n">
        <f aca="false">IF(AND(ISNUMBER('Onshore- Melbourne'!E460),ISNUMBER(K1023),ISNUMBER('Onshore- Melbourne'!F460),ISNUMBER('Onshore- Melbourne'!G460),OR('Onshore- Melbourne'!F460&lt;&gt;0,ISNUMBER(SEARCH("Material 0 terverifikasi",'Onshore- Melbourne'!M460))),OR('Onshore- Melbourne'!G460&lt;&gt;0,ISNUMBER(SEARCH("Enrolment 0 terverifikasi",'Onshore- Melbourne'!M460)))),1,0)</f>
        <v>1</v>
      </c>
      <c r="M1023" s="0" t="n">
        <f aca="false">IF(OR('Onshore- Melbourne'!E460="",ISNUMBER(SEARCH("BSB80120",'Onshore- Melbourne'!B460&amp;'Onshore- Melbourne'!M460)),ISNUMBER(SEARCH("Management (Learning)",'Onshore- Melbourne'!B460))),2,IF(ISNUMBER(SEARCH("CEK:",'Onshore- Melbourne'!M460)),1,0))</f>
        <v>1</v>
      </c>
    </row>
    <row r="1024" customFormat="false" ht="15" hidden="false" customHeight="false" outlineLevel="0" collapsed="false">
      <c r="A1024" s="63" t="s">
        <v>3544</v>
      </c>
      <c r="B1024" s="64" t="s">
        <v>4128</v>
      </c>
      <c r="C1024" s="63" t="s">
        <v>41</v>
      </c>
      <c r="D1024" s="64" t="str">
        <f aca="false">TRIM(LEFT('Onshore- Melbourne'!A94,FIND(CHAR(10),'Onshore- Melbourne'!A94&amp;CHAR(10))-1))</f>
        <v>Australian Catholic University (ACU)</v>
      </c>
      <c r="E1024" s="63" t="str">
        <f aca="false">'Onshore- Melbourne'!C190&amp;""</f>
        <v>1 year</v>
      </c>
      <c r="F1024" s="63" t="str">
        <f aca="false">IF('Onshore- Melbourne'!D190="","Belum tercatat",'Onshore- Melbourne'!D190)</f>
        <v>Term</v>
      </c>
      <c r="G1024" s="65" t="n">
        <f aca="false">IF('Onshore- Melbourne'!E190="","-",'Onshore- Melbourne'!E190)</f>
        <v>8906</v>
      </c>
      <c r="H1024" s="63" t="n">
        <f aca="false">IF(ISNUMBER(K1024),COUNTIFS($J$6:$J$1916,J1024,$K$6:$K$1916,"&lt;"&amp;K1024)+1,"-")</f>
        <v>2</v>
      </c>
      <c r="I1024" s="64" t="str">
        <f aca="false">IF('Onshore- Melbourne'!E190="","Harga belum tersedia - hubungi konsultan TEG",IF(M1024=2,"Saat ini tidak menerima pendaftaran siswa internasional baru",IF(M1024=1,"Harga perlu dikonfirmasi ke sekolah"&amp;IF(""="","","; "&amp;""),"")))</f>
        <v/>
      </c>
      <c r="J1024" s="0" t="s">
        <v>4153</v>
      </c>
      <c r="K1024" s="0" t="n">
        <f aca="false">IF(M1024=2,"",IF(ISNUMBER(SEARCH("rata-rata:",'Onshore- Melbourne'!M190)),VALUE(MID('Onshore- Melbourne'!M190,SEARCH("rata-rata:",'Onshore- Melbourne'!M190)+11,FIND(";",'Onshore- Melbourne'!M190&amp;";",SEARCH("rata-rata:",'Onshore- Melbourne'!M190))-SEARCH("rata-rata:",'Onshore- Melbourne'!M190)-11)),IF('Onshore- Melbourne'!D190="Semester",'Onshore- Melbourne'!E190*2,IF('Onshore- Melbourne'!D190="Trimester",'Onshore- Melbourne'!E190*3,IF('Onshore- Melbourne'!D190="Term",'Onshore- Melbourne'!E190*4,IF('Onshore- Melbourne'!D190="Unit",'Onshore- Melbourne'!E190*8,""))))))</f>
        <v>35624</v>
      </c>
      <c r="L1024" s="0" t="n">
        <f aca="false">IF(AND(ISNUMBER('Onshore- Melbourne'!E190),ISNUMBER(K1024),ISNUMBER('Onshore- Melbourne'!F190),ISNUMBER('Onshore- Melbourne'!G190),OR('Onshore- Melbourne'!F190&lt;&gt;0,ISNUMBER(SEARCH("Material 0 terverifikasi",'Onshore- Melbourne'!M190))),OR('Onshore- Melbourne'!G190&lt;&gt;0,ISNUMBER(SEARCH("Enrolment 0 terverifikasi",'Onshore- Melbourne'!M190)))),1,0)</f>
        <v>0</v>
      </c>
      <c r="M1024" s="0" t="n">
        <f aca="false">IF(OR('Onshore- Melbourne'!E190="",ISNUMBER(SEARCH("BSB80120",'Onshore- Melbourne'!B190&amp;'Onshore- Melbourne'!M190)),ISNUMBER(SEARCH("Management (Learning)",'Onshore- Melbourne'!B190))),2,IF(ISNUMBER(SEARCH("CEK:",'Onshore- Melbourne'!M190)),1,0))</f>
        <v>0</v>
      </c>
    </row>
    <row r="1025" customFormat="false" ht="15" hidden="false" customHeight="false" outlineLevel="0" collapsed="false">
      <c r="A1025" s="61" t="s">
        <v>4154</v>
      </c>
      <c r="B1025" s="62"/>
      <c r="C1025" s="62"/>
      <c r="D1025" s="62"/>
      <c r="E1025" s="62"/>
      <c r="F1025" s="62"/>
      <c r="G1025" s="62"/>
      <c r="H1025" s="62"/>
      <c r="I1025" s="62"/>
    </row>
    <row r="1026" customFormat="false" ht="15" hidden="false" customHeight="false" outlineLevel="0" collapsed="false">
      <c r="A1026" s="63" t="s">
        <v>3544</v>
      </c>
      <c r="B1026" s="64" t="s">
        <v>4128</v>
      </c>
      <c r="C1026" s="63" t="s">
        <v>43</v>
      </c>
      <c r="D1026" s="64" t="str">
        <f aca="false">TRIM(LEFT('Onshore- Melbourne'!A94,FIND(CHAR(10),'Onshore- Melbourne'!A94&amp;CHAR(10))-1))</f>
        <v>Australian Catholic University (ACU)</v>
      </c>
      <c r="E1026" s="63" t="str">
        <f aca="false">'Onshore- Melbourne'!C131&amp;""</f>
        <v>4 years</v>
      </c>
      <c r="F1026" s="63" t="str">
        <f aca="false">IF('Onshore- Melbourne'!D131="","Belum tercatat",'Onshore- Melbourne'!D131)</f>
        <v>Term</v>
      </c>
      <c r="G1026" s="65" t="n">
        <f aca="false">IF('Onshore- Melbourne'!E131="","-",'Onshore- Melbourne'!E131)</f>
        <v>8906</v>
      </c>
      <c r="H1026" s="63" t="n">
        <f aca="false">IF(ISNUMBER(K1026),COUNTIFS($J$6:$J$1916,J1026,$K$6:$K$1916,"&lt;"&amp;K1026)+1,"-")</f>
        <v>1</v>
      </c>
      <c r="I1026" s="64" t="str">
        <f aca="false">IF('Onshore- Melbourne'!E131="","Harga belum tersedia - hubungi konsultan TEG",IF(M1026=2,"Saat ini tidak menerima pendaftaran siswa internasional baru",IF(M1026=1,"Harga perlu dikonfirmasi ke sekolah"&amp;IF(""="","","; "&amp;""),"")))</f>
        <v/>
      </c>
      <c r="J1026" s="0" t="s">
        <v>4155</v>
      </c>
      <c r="K1026" s="0" t="n">
        <f aca="false">IF(M1026=2,"",IF(ISNUMBER(SEARCH("rata-rata:",'Onshore- Melbourne'!M131)),VALUE(MID('Onshore- Melbourne'!M131,SEARCH("rata-rata:",'Onshore- Melbourne'!M131)+11,FIND(";",'Onshore- Melbourne'!M131&amp;";",SEARCH("rata-rata:",'Onshore- Melbourne'!M131))-SEARCH("rata-rata:",'Onshore- Melbourne'!M131)-11)),IF('Onshore- Melbourne'!D131="Semester",'Onshore- Melbourne'!E131*2,IF('Onshore- Melbourne'!D131="Trimester",'Onshore- Melbourne'!E131*3,IF('Onshore- Melbourne'!D131="Term",'Onshore- Melbourne'!E131*4,IF('Onshore- Melbourne'!D131="Unit",'Onshore- Melbourne'!E131*8,""))))))</f>
        <v>35624</v>
      </c>
      <c r="L1026" s="0" t="n">
        <f aca="false">IF(AND(ISNUMBER('Onshore- Melbourne'!E131),ISNUMBER(K1026),ISNUMBER('Onshore- Melbourne'!F131),ISNUMBER('Onshore- Melbourne'!G131),OR('Onshore- Melbourne'!F131&lt;&gt;0,ISNUMBER(SEARCH("Material 0 terverifikasi",'Onshore- Melbourne'!M131))),OR('Onshore- Melbourne'!G131&lt;&gt;0,ISNUMBER(SEARCH("Enrolment 0 terverifikasi",'Onshore- Melbourne'!M131)))),1,0)</f>
        <v>0</v>
      </c>
      <c r="M1026" s="0" t="n">
        <f aca="false">IF(OR('Onshore- Melbourne'!E131="",ISNUMBER(SEARCH("BSB80120",'Onshore- Melbourne'!B131&amp;'Onshore- Melbourne'!M131)),ISNUMBER(SEARCH("Management (Learning)",'Onshore- Melbourne'!B131))),2,IF(ISNUMBER(SEARCH("CEK:",'Onshore- Melbourne'!M131)),1,0))</f>
        <v>0</v>
      </c>
    </row>
    <row r="1027" customFormat="false" ht="15" hidden="false" customHeight="false" outlineLevel="0" collapsed="false">
      <c r="A1027" s="61" t="s">
        <v>4156</v>
      </c>
      <c r="B1027" s="62"/>
      <c r="C1027" s="62"/>
      <c r="D1027" s="62"/>
      <c r="E1027" s="62"/>
      <c r="F1027" s="62"/>
      <c r="G1027" s="62"/>
      <c r="H1027" s="62"/>
      <c r="I1027" s="62"/>
    </row>
    <row r="1028" customFormat="false" ht="15" hidden="false" customHeight="false" outlineLevel="0" collapsed="false">
      <c r="A1028" s="63" t="s">
        <v>3544</v>
      </c>
      <c r="B1028" s="64" t="s">
        <v>4128</v>
      </c>
      <c r="C1028" s="63" t="s">
        <v>3707</v>
      </c>
      <c r="D1028" s="64" t="str">
        <f aca="false">TRIM(LEFT('Onshore- Melbourne'!A461,FIND(CHAR(10),'Onshore- Melbourne'!A461&amp;CHAR(10))-1))</f>
        <v>Torrens University Australia</v>
      </c>
      <c r="E1028" s="63" t="str">
        <f aca="false">'Onshore- Melbourne'!C524&amp;""</f>
        <v>0,5 year</v>
      </c>
      <c r="F1028" s="63" t="str">
        <f aca="false">IF('Onshore- Melbourne'!D524="","Belum tercatat",'Onshore- Melbourne'!D524)</f>
        <v>Term</v>
      </c>
      <c r="G1028" s="65" t="n">
        <f aca="false">IF('Onshore- Melbourne'!E524="","-",'Onshore- Melbourne'!E524)</f>
        <v>3513</v>
      </c>
      <c r="H1028" s="63" t="n">
        <f aca="false">IF(ISNUMBER(K1028),COUNTIFS($J$6:$J$1916,J1028,$K$6:$K$1916,"&lt;"&amp;K1028)+1,"-")</f>
        <v>1</v>
      </c>
      <c r="I1028" s="64" t="str">
        <f aca="false">IF('Onshore- Melbourne'!E524="","Harga belum tersedia - hubungi konsultan TEG",IF(M1028=2,"Saat ini tidak menerima pendaftaran siswa internasional baru",IF(M1028=1,"Harga perlu dikonfirmasi ke sekolah"&amp;IF(""="","","; "&amp;""),"")))</f>
        <v/>
      </c>
      <c r="J1028" s="0" t="s">
        <v>4157</v>
      </c>
      <c r="K1028" s="0" t="n">
        <f aca="false">IF(M1028=2,"",IF(ISNUMBER(SEARCH("rata-rata:",'Onshore- Melbourne'!M524)),VALUE(MID('Onshore- Melbourne'!M524,SEARCH("rata-rata:",'Onshore- Melbourne'!M524)+11,FIND(";",'Onshore- Melbourne'!M524&amp;";",SEARCH("rata-rata:",'Onshore- Melbourne'!M524))-SEARCH("rata-rata:",'Onshore- Melbourne'!M524)-11)),IF('Onshore- Melbourne'!D524="Semester",'Onshore- Melbourne'!E524*2,IF('Onshore- Melbourne'!D524="Trimester",'Onshore- Melbourne'!E524*3,IF('Onshore- Melbourne'!D524="Term",'Onshore- Melbourne'!E524*4,IF('Onshore- Melbourne'!D524="Unit",'Onshore- Melbourne'!E524*8,""))))))</f>
        <v>14052</v>
      </c>
      <c r="L1028" s="0" t="n">
        <f aca="false">IF(AND(ISNUMBER('Onshore- Melbourne'!E524),ISNUMBER(K1028),ISNUMBER('Onshore- Melbourne'!F524),ISNUMBER('Onshore- Melbourne'!G524),OR('Onshore- Melbourne'!F524&lt;&gt;0,ISNUMBER(SEARCH("Material 0 terverifikasi",'Onshore- Melbourne'!M524))),OR('Onshore- Melbourne'!G524&lt;&gt;0,ISNUMBER(SEARCH("Enrolment 0 terverifikasi",'Onshore- Melbourne'!M524)))),1,0)</f>
        <v>0</v>
      </c>
      <c r="M1028" s="0" t="n">
        <f aca="false">IF(OR('Onshore- Melbourne'!E524="",ISNUMBER(SEARCH("BSB80120",'Onshore- Melbourne'!B524&amp;'Onshore- Melbourne'!M524)),ISNUMBER(SEARCH("Management (Learning)",'Onshore- Melbourne'!B524))),2,IF(ISNUMBER(SEARCH("CEK:",'Onshore- Melbourne'!M524)),1,0))</f>
        <v>0</v>
      </c>
    </row>
    <row r="1029" customFormat="false" ht="15" hidden="false" customHeight="false" outlineLevel="0" collapsed="false">
      <c r="A1029" s="63" t="s">
        <v>3544</v>
      </c>
      <c r="B1029" s="64" t="s">
        <v>4128</v>
      </c>
      <c r="C1029" s="63" t="s">
        <v>3707</v>
      </c>
      <c r="D1029" s="64" t="str">
        <f aca="false">TRIM(LEFT('Onshore- Melbourne'!A336,FIND(CHAR(10),'Onshore- Melbourne'!A336&amp;CHAR(10))-1))</f>
        <v>Laurus Higher Education</v>
      </c>
      <c r="E1029" s="63" t="str">
        <f aca="false">'Onshore- Melbourne'!C337&amp;""</f>
        <v>1 year</v>
      </c>
      <c r="F1029" s="63" t="str">
        <f aca="false">IF('Onshore- Melbourne'!D337="","Belum tercatat",'Onshore- Melbourne'!D337)</f>
        <v>Term</v>
      </c>
      <c r="G1029" s="65" t="n">
        <f aca="false">IF('Onshore- Melbourne'!E337="","-",'Onshore- Melbourne'!E337)</f>
        <v>4875</v>
      </c>
      <c r="H1029" s="63" t="n">
        <f aca="false">IF(ISNUMBER(K1029),COUNTIFS($J$6:$J$1916,J1029,$K$6:$K$1916,"&lt;"&amp;K1029)+1,"-")</f>
        <v>2</v>
      </c>
      <c r="I1029" s="64" t="str">
        <f aca="false">IF('Onshore- Melbourne'!E337="","Harga belum tersedia - hubungi konsultan TEG",IF(M1029=2,"Saat ini tidak menerima pendaftaran siswa internasional baru",IF(M1029=1,"Harga perlu dikonfirmasi ke sekolah"&amp;IF(""="","","; "&amp;""),"")))</f>
        <v/>
      </c>
      <c r="J1029" s="0" t="s">
        <v>4157</v>
      </c>
      <c r="K1029" s="0" t="n">
        <f aca="false">IF(M1029=2,"",IF(ISNUMBER(SEARCH("rata-rata:",'Onshore- Melbourne'!M337)),VALUE(MID('Onshore- Melbourne'!M337,SEARCH("rata-rata:",'Onshore- Melbourne'!M337)+11,FIND(";",'Onshore- Melbourne'!M337&amp;";",SEARCH("rata-rata:",'Onshore- Melbourne'!M337))-SEARCH("rata-rata:",'Onshore- Melbourne'!M337)-11)),IF('Onshore- Melbourne'!D337="Semester",'Onshore- Melbourne'!E337*2,IF('Onshore- Melbourne'!D337="Trimester",'Onshore- Melbourne'!E337*3,IF('Onshore- Melbourne'!D337="Term",'Onshore- Melbourne'!E337*4,IF('Onshore- Melbourne'!D337="Unit",'Onshore- Melbourne'!E337*8,""))))))</f>
        <v>19500</v>
      </c>
      <c r="L1029" s="0" t="n">
        <f aca="false">IF(AND(ISNUMBER('Onshore- Melbourne'!E337),ISNUMBER(K1029),ISNUMBER('Onshore- Melbourne'!F337),ISNUMBER('Onshore- Melbourne'!G337),OR('Onshore- Melbourne'!F337&lt;&gt;0,ISNUMBER(SEARCH("Material 0 terverifikasi",'Onshore- Melbourne'!M337))),OR('Onshore- Melbourne'!G337&lt;&gt;0,ISNUMBER(SEARCH("Enrolment 0 terverifikasi",'Onshore- Melbourne'!M337)))),1,0)</f>
        <v>1</v>
      </c>
      <c r="M1029" s="0" t="n">
        <f aca="false">IF(OR('Onshore- Melbourne'!E337="",ISNUMBER(SEARCH("BSB80120",'Onshore- Melbourne'!B337&amp;'Onshore- Melbourne'!M337)),ISNUMBER(SEARCH("Management (Learning)",'Onshore- Melbourne'!B337))),2,IF(ISNUMBER(SEARCH("CEK:",'Onshore- Melbourne'!M337)),1,0))</f>
        <v>0</v>
      </c>
    </row>
    <row r="1030" customFormat="false" ht="15" hidden="false" customHeight="false" outlineLevel="0" collapsed="false">
      <c r="A1030" s="61" t="s">
        <v>4158</v>
      </c>
      <c r="B1030" s="62"/>
      <c r="C1030" s="62"/>
      <c r="D1030" s="62"/>
      <c r="E1030" s="62"/>
      <c r="F1030" s="62"/>
      <c r="G1030" s="62"/>
      <c r="H1030" s="62"/>
      <c r="I1030" s="62"/>
    </row>
    <row r="1031" customFormat="false" ht="15" hidden="false" customHeight="false" outlineLevel="0" collapsed="false">
      <c r="A1031" s="63" t="s">
        <v>3544</v>
      </c>
      <c r="B1031" s="64" t="s">
        <v>4128</v>
      </c>
      <c r="C1031" s="63" t="s">
        <v>46</v>
      </c>
      <c r="D1031" s="64" t="str">
        <f aca="false">TRIM(LEFT('Onshore- Melbourne'!A298,FIND(CHAR(10),'Onshore- Melbourne'!A298&amp;CHAR(10))-1))</f>
        <v>Higher Education Leadership Institute (HELI)</v>
      </c>
      <c r="E1031" s="63" t="str">
        <f aca="false">'Onshore- Melbourne'!C300&amp;""</f>
        <v>2 years</v>
      </c>
      <c r="F1031" s="63" t="str">
        <f aca="false">IF('Onshore- Melbourne'!D300="","Belum tercatat",'Onshore- Melbourne'!D300)</f>
        <v>Trimester</v>
      </c>
      <c r="G1031" s="65" t="n">
        <f aca="false">IF('Onshore- Melbourne'!E300="","-",'Onshore- Melbourne'!E300)</f>
        <v>8100</v>
      </c>
      <c r="H1031" s="63" t="n">
        <f aca="false">IF(ISNUMBER(K1031),COUNTIFS($J$6:$J$1916,J1031,$K$6:$K$1916,"&lt;"&amp;K1031)+1,"-")</f>
        <v>1</v>
      </c>
      <c r="I1031" s="64" t="str">
        <f aca="false">IF('Onshore- Melbourne'!E300="","Harga belum tersedia - hubungi konsultan TEG",IF(M1031=2,"Saat ini tidak menerima pendaftaran siswa internasional baru",IF(M1031=1,"Harga perlu dikonfirmasi ke sekolah"&amp;IF(""="","","; "&amp;""),"")))</f>
        <v/>
      </c>
      <c r="J1031" s="0" t="s">
        <v>4159</v>
      </c>
      <c r="K1031" s="0" t="n">
        <f aca="false">IF(M1031=2,"",IF(ISNUMBER(SEARCH("rata-rata:",'Onshore- Melbourne'!M300)),VALUE(MID('Onshore- Melbourne'!M300,SEARCH("rata-rata:",'Onshore- Melbourne'!M300)+11,FIND(";",'Onshore- Melbourne'!M300&amp;";",SEARCH("rata-rata:",'Onshore- Melbourne'!M300))-SEARCH("rata-rata:",'Onshore- Melbourne'!M300)-11)),IF('Onshore- Melbourne'!D300="Semester",'Onshore- Melbourne'!E300*2,IF('Onshore- Melbourne'!D300="Trimester",'Onshore- Melbourne'!E300*3,IF('Onshore- Melbourne'!D300="Term",'Onshore- Melbourne'!E300*4,IF('Onshore- Melbourne'!D300="Unit",'Onshore- Melbourne'!E300*8,""))))))</f>
        <v>24300</v>
      </c>
      <c r="L1031" s="0" t="n">
        <f aca="false">IF(AND(ISNUMBER('Onshore- Melbourne'!E300),ISNUMBER(K1031),ISNUMBER('Onshore- Melbourne'!F300),ISNUMBER('Onshore- Melbourne'!G300),OR('Onshore- Melbourne'!F300&lt;&gt;0,ISNUMBER(SEARCH("Material 0 terverifikasi",'Onshore- Melbourne'!M300))),OR('Onshore- Melbourne'!G300&lt;&gt;0,ISNUMBER(SEARCH("Enrolment 0 terverifikasi",'Onshore- Melbourne'!M300)))),1,0)</f>
        <v>0</v>
      </c>
      <c r="M1031" s="0" t="n">
        <f aca="false">IF(OR('Onshore- Melbourne'!E300="",ISNUMBER(SEARCH("BSB80120",'Onshore- Melbourne'!B300&amp;'Onshore- Melbourne'!M300)),ISNUMBER(SEARCH("Management (Learning)",'Onshore- Melbourne'!B300))),2,IF(ISNUMBER(SEARCH("CEK:",'Onshore- Melbourne'!M300)),1,0))</f>
        <v>0</v>
      </c>
    </row>
    <row r="1032" customFormat="false" ht="15" hidden="false" customHeight="false" outlineLevel="0" collapsed="false">
      <c r="A1032" s="63" t="s">
        <v>3544</v>
      </c>
      <c r="B1032" s="64" t="s">
        <v>4128</v>
      </c>
      <c r="C1032" s="63" t="s">
        <v>46</v>
      </c>
      <c r="D1032" s="64" t="str">
        <f aca="false">TRIM(LEFT('Onshore- Melbourne'!A461,FIND(CHAR(10),'Onshore- Melbourne'!A461&amp;CHAR(10))-1))</f>
        <v>Torrens University Australia</v>
      </c>
      <c r="E1032" s="63" t="str">
        <f aca="false">'Onshore- Melbourne'!C526&amp;""</f>
        <v>1,5 years</v>
      </c>
      <c r="F1032" s="63" t="str">
        <f aca="false">IF('Onshore- Melbourne'!D526="","Belum tercatat",'Onshore- Melbourne'!D526)</f>
        <v>Term</v>
      </c>
      <c r="G1032" s="65" t="n">
        <f aca="false">IF('Onshore- Melbourne'!E526="","-",'Onshore- Melbourne'!E526)</f>
        <v>7025</v>
      </c>
      <c r="H1032" s="63" t="n">
        <f aca="false">IF(ISNUMBER(K1032),COUNTIFS($J$6:$J$1916,J1032,$K$6:$K$1916,"&lt;"&amp;K1032)+1,"-")</f>
        <v>2</v>
      </c>
      <c r="I1032" s="64" t="str">
        <f aca="false">IF('Onshore- Melbourne'!E526="","Harga belum tersedia - hubungi konsultan TEG",IF(M1032=2,"Saat ini tidak menerima pendaftaran siswa internasional baru",IF(M1032=1,"Harga perlu dikonfirmasi ke sekolah"&amp;IF(""="","","; "&amp;""),"")))</f>
        <v/>
      </c>
      <c r="J1032" s="0" t="s">
        <v>4159</v>
      </c>
      <c r="K1032" s="0" t="n">
        <f aca="false">IF(M1032=2,"",IF(ISNUMBER(SEARCH("rata-rata:",'Onshore- Melbourne'!M526)),VALUE(MID('Onshore- Melbourne'!M526,SEARCH("rata-rata:",'Onshore- Melbourne'!M526)+11,FIND(";",'Onshore- Melbourne'!M526&amp;";",SEARCH("rata-rata:",'Onshore- Melbourne'!M526))-SEARCH("rata-rata:",'Onshore- Melbourne'!M526)-11)),IF('Onshore- Melbourne'!D526="Semester",'Onshore- Melbourne'!E526*2,IF('Onshore- Melbourne'!D526="Trimester",'Onshore- Melbourne'!E526*3,IF('Onshore- Melbourne'!D526="Term",'Onshore- Melbourne'!E526*4,IF('Onshore- Melbourne'!D526="Unit",'Onshore- Melbourne'!E526*8,""))))))</f>
        <v>28100</v>
      </c>
      <c r="L1032" s="0" t="n">
        <f aca="false">IF(AND(ISNUMBER('Onshore- Melbourne'!E526),ISNUMBER(K1032),ISNUMBER('Onshore- Melbourne'!F526),ISNUMBER('Onshore- Melbourne'!G526),OR('Onshore- Melbourne'!F526&lt;&gt;0,ISNUMBER(SEARCH("Material 0 terverifikasi",'Onshore- Melbourne'!M526))),OR('Onshore- Melbourne'!G526&lt;&gt;0,ISNUMBER(SEARCH("Enrolment 0 terverifikasi",'Onshore- Melbourne'!M526)))),1,0)</f>
        <v>0</v>
      </c>
      <c r="M1032" s="0" t="n">
        <f aca="false">IF(OR('Onshore- Melbourne'!E526="",ISNUMBER(SEARCH("BSB80120",'Onshore- Melbourne'!B526&amp;'Onshore- Melbourne'!M526)),ISNUMBER(SEARCH("Management (Learning)",'Onshore- Melbourne'!B526))),2,IF(ISNUMBER(SEARCH("CEK:",'Onshore- Melbourne'!M526)),1,0))</f>
        <v>0</v>
      </c>
    </row>
    <row r="1033" customFormat="false" ht="15" hidden="false" customHeight="false" outlineLevel="0" collapsed="false">
      <c r="A1033" s="63" t="s">
        <v>3544</v>
      </c>
      <c r="B1033" s="64" t="s">
        <v>4128</v>
      </c>
      <c r="C1033" s="63" t="s">
        <v>46</v>
      </c>
      <c r="D1033" s="64" t="str">
        <f aca="false">TRIM(LEFT('Onshore- Melbourne'!A94,FIND(CHAR(10),'Onshore- Melbourne'!A94&amp;CHAR(10))-1))</f>
        <v>Australian Catholic University (ACU)</v>
      </c>
      <c r="E1033" s="63" t="str">
        <f aca="false">'Onshore- Melbourne'!C125&amp;""</f>
        <v>4 years</v>
      </c>
      <c r="F1033" s="63" t="str">
        <f aca="false">IF('Onshore- Melbourne'!D125="","Belum tercatat",'Onshore- Melbourne'!D125)</f>
        <v>Term</v>
      </c>
      <c r="G1033" s="65" t="n">
        <f aca="false">IF('Onshore- Melbourne'!E125="","-",'Onshore- Melbourne'!E125)</f>
        <v>8906</v>
      </c>
      <c r="H1033" s="63" t="n">
        <f aca="false">IF(ISNUMBER(K1033),COUNTIFS($J$6:$J$1916,J1033,$K$6:$K$1916,"&lt;"&amp;K1033)+1,"-")</f>
        <v>3</v>
      </c>
      <c r="I1033" s="64" t="str">
        <f aca="false">IF('Onshore- Melbourne'!E125="","Harga belum tersedia - hubungi konsultan TEG",IF(M1033=2,"Saat ini tidak menerima pendaftaran siswa internasional baru",IF(M1033=1,"Harga perlu dikonfirmasi ke sekolah"&amp;IF(""="","","; "&amp;""),"")))</f>
        <v/>
      </c>
      <c r="J1033" s="0" t="s">
        <v>4159</v>
      </c>
      <c r="K1033" s="0" t="n">
        <f aca="false">IF(M1033=2,"",IF(ISNUMBER(SEARCH("rata-rata:",'Onshore- Melbourne'!M125)),VALUE(MID('Onshore- Melbourne'!M125,SEARCH("rata-rata:",'Onshore- Melbourne'!M125)+11,FIND(";",'Onshore- Melbourne'!M125&amp;";",SEARCH("rata-rata:",'Onshore- Melbourne'!M125))-SEARCH("rata-rata:",'Onshore- Melbourne'!M125)-11)),IF('Onshore- Melbourne'!D125="Semester",'Onshore- Melbourne'!E125*2,IF('Onshore- Melbourne'!D125="Trimester",'Onshore- Melbourne'!E125*3,IF('Onshore- Melbourne'!D125="Term",'Onshore- Melbourne'!E125*4,IF('Onshore- Melbourne'!D125="Unit",'Onshore- Melbourne'!E125*8,""))))))</f>
        <v>35624</v>
      </c>
      <c r="L1033" s="0" t="n">
        <f aca="false">IF(AND(ISNUMBER('Onshore- Melbourne'!E125),ISNUMBER(K1033),ISNUMBER('Onshore- Melbourne'!F125),ISNUMBER('Onshore- Melbourne'!G125),OR('Onshore- Melbourne'!F125&lt;&gt;0,ISNUMBER(SEARCH("Material 0 terverifikasi",'Onshore- Melbourne'!M125))),OR('Onshore- Melbourne'!G125&lt;&gt;0,ISNUMBER(SEARCH("Enrolment 0 terverifikasi",'Onshore- Melbourne'!M125)))),1,0)</f>
        <v>0</v>
      </c>
      <c r="M1033" s="0" t="n">
        <f aca="false">IF(OR('Onshore- Melbourne'!E125="",ISNUMBER(SEARCH("BSB80120",'Onshore- Melbourne'!B125&amp;'Onshore- Melbourne'!M125)),ISNUMBER(SEARCH("Management (Learning)",'Onshore- Melbourne'!B125))),2,IF(ISNUMBER(SEARCH("CEK:",'Onshore- Melbourne'!M125)),1,0))</f>
        <v>0</v>
      </c>
    </row>
    <row r="1034" customFormat="false" ht="15" hidden="false" customHeight="false" outlineLevel="0" collapsed="false">
      <c r="A1034" s="61" t="s">
        <v>4160</v>
      </c>
      <c r="B1034" s="62"/>
      <c r="C1034" s="62"/>
      <c r="D1034" s="62"/>
      <c r="E1034" s="62"/>
      <c r="F1034" s="62"/>
      <c r="G1034" s="62"/>
      <c r="H1034" s="62"/>
      <c r="I1034" s="62"/>
    </row>
    <row r="1035" customFormat="false" ht="15" hidden="false" customHeight="false" outlineLevel="0" collapsed="false">
      <c r="A1035" s="63" t="s">
        <v>3573</v>
      </c>
      <c r="B1035" s="64" t="s">
        <v>4128</v>
      </c>
      <c r="C1035" s="63" t="s">
        <v>42</v>
      </c>
      <c r="D1035" s="64" t="str">
        <f aca="false">TRIM(LEFT('Onshore - Perth'!A6,FIND(CHAR(10),'Onshore - Perth'!A6&amp;CHAR(10))-1))</f>
        <v>Academies Australasia</v>
      </c>
      <c r="E1035" s="63" t="str">
        <f aca="false">'Onshore - Perth'!C11&amp;""</f>
        <v>1,5 year</v>
      </c>
      <c r="F1035" s="63" t="str">
        <f aca="false">IF('Onshore - Perth'!D11="","Belum tercatat",'Onshore - Perth'!D11)</f>
        <v>Term</v>
      </c>
      <c r="G1035" s="65" t="n">
        <f aca="false">IF('Onshore - Perth'!E11="","-",'Onshore - Perth'!E11)</f>
        <v>2500</v>
      </c>
      <c r="H1035" s="63" t="n">
        <f aca="false">IF(ISNUMBER(K1035),COUNTIFS($J$6:$J$1916,J1035,$K$6:$K$1916,"&lt;"&amp;K1035)+1,"-")</f>
        <v>1</v>
      </c>
      <c r="I1035" s="64" t="str">
        <f aca="false">IF('Onshore - Perth'!E11="","Harga belum tersedia - hubungi konsultan TEG",IF(M1035=2,"Saat ini tidak menerima pendaftaran siswa internasional baru",IF(M1035=1,"Harga perlu dikonfirmasi ke sekolah"&amp;IF(""="","","; "&amp;""),"")))</f>
        <v>Harga perlu dikonfirmasi ke sekolah</v>
      </c>
      <c r="J1035" s="0" t="s">
        <v>4161</v>
      </c>
      <c r="K1035" s="0" t="n">
        <f aca="false">IF(M1035=2,"",IF(ISNUMBER(SEARCH("rata-rata:",'Onshore - Perth'!M11)),VALUE(MID('Onshore - Perth'!M11,SEARCH("rata-rata:",'Onshore - Perth'!M11)+11,FIND(";",'Onshore - Perth'!M11&amp;";",SEARCH("rata-rata:",'Onshore - Perth'!M11))-SEARCH("rata-rata:",'Onshore - Perth'!M11)-11)),IF('Onshore - Perth'!D11="Semester",'Onshore - Perth'!E11*2,IF('Onshore - Perth'!D11="Trimester",'Onshore - Perth'!E11*3,IF('Onshore - Perth'!D11="Term",'Onshore - Perth'!E11*4,IF('Onshore - Perth'!D11="Unit",'Onshore - Perth'!E11*8,""))))))</f>
        <v>10000</v>
      </c>
      <c r="L1035" s="0" t="n">
        <f aca="false">IF(AND(ISNUMBER('Onshore - Perth'!E11),ISNUMBER(K1035),ISNUMBER('Onshore - Perth'!F11),ISNUMBER('Onshore - Perth'!G11),OR('Onshore - Perth'!F11&lt;&gt;0,ISNUMBER(SEARCH("Material 0 terverifikasi",'Onshore - Perth'!M11))),OR('Onshore - Perth'!G11&lt;&gt;0,ISNUMBER(SEARCH("Enrolment 0 terverifikasi",'Onshore - Perth'!M11)))),1,0)</f>
        <v>1</v>
      </c>
      <c r="M1035" s="0" t="n">
        <f aca="false">IF(OR('Onshore - Perth'!E11="",ISNUMBER(SEARCH("BSB80120",'Onshore - Perth'!B11&amp;'Onshore - Perth'!M11)),ISNUMBER(SEARCH("Management (Learning)",'Onshore - Perth'!B11))),2,IF(ISNUMBER(SEARCH("CEK:",'Onshore - Perth'!M11)),1,0))</f>
        <v>1</v>
      </c>
    </row>
    <row r="1036" customFormat="false" ht="15" hidden="false" customHeight="false" outlineLevel="0" collapsed="false">
      <c r="A1036" s="61" t="s">
        <v>4162</v>
      </c>
      <c r="B1036" s="62"/>
      <c r="C1036" s="62"/>
      <c r="D1036" s="62"/>
      <c r="E1036" s="62"/>
      <c r="F1036" s="62"/>
      <c r="G1036" s="62"/>
      <c r="H1036" s="62"/>
      <c r="I1036" s="62"/>
    </row>
    <row r="1037" customFormat="false" ht="15" hidden="false" customHeight="false" outlineLevel="0" collapsed="false">
      <c r="A1037" s="63" t="s">
        <v>3573</v>
      </c>
      <c r="B1037" s="64" t="s">
        <v>4128</v>
      </c>
      <c r="C1037" s="63" t="s">
        <v>43</v>
      </c>
      <c r="D1037" s="64" t="str">
        <f aca="false">TRIM(LEFT('Onshore - Perth'!A44,FIND(CHAR(10),'Onshore - Perth'!A44&amp;CHAR(10))-1))</f>
        <v>CIHE Australia</v>
      </c>
      <c r="E1037" s="63" t="str">
        <f aca="false">'Onshore - Perth'!C49&amp;""</f>
        <v>4 years</v>
      </c>
      <c r="F1037" s="63" t="str">
        <f aca="false">IF('Onshore - Perth'!D49="","Belum tercatat",'Onshore - Perth'!D49)</f>
        <v>Term</v>
      </c>
      <c r="G1037" s="65" t="n">
        <f aca="false">IF('Onshore - Perth'!E49="","-",'Onshore - Perth'!E49)</f>
        <v>5000</v>
      </c>
      <c r="H1037" s="63" t="n">
        <f aca="false">IF(ISNUMBER(K1037),COUNTIFS($J$6:$J$1916,J1037,$K$6:$K$1916,"&lt;"&amp;K1037)+1,"-")</f>
        <v>1</v>
      </c>
      <c r="I1037" s="64" t="str">
        <f aca="false">IF('Onshore - Perth'!E49="","Harga belum tersedia - hubungi konsultan TEG",IF(M1037=2,"Saat ini tidak menerima pendaftaran siswa internasional baru",IF(M1037=1,"Harga perlu dikonfirmasi ke sekolah"&amp;IF(""="","","; "&amp;""),"")))</f>
        <v>Harga perlu dikonfirmasi ke sekolah</v>
      </c>
      <c r="J1037" s="0" t="s">
        <v>4163</v>
      </c>
      <c r="K1037" s="0" t="n">
        <f aca="false">IF(M1037=2,"",IF(ISNUMBER(SEARCH("rata-rata:",'Onshore - Perth'!M49)),VALUE(MID('Onshore - Perth'!M49,SEARCH("rata-rata:",'Onshore - Perth'!M49)+11,FIND(";",'Onshore - Perth'!M49&amp;";",SEARCH("rata-rata:",'Onshore - Perth'!M49))-SEARCH("rata-rata:",'Onshore - Perth'!M49)-11)),IF('Onshore - Perth'!D49="Semester",'Onshore - Perth'!E49*2,IF('Onshore - Perth'!D49="Trimester",'Onshore - Perth'!E49*3,IF('Onshore - Perth'!D49="Term",'Onshore - Perth'!E49*4,IF('Onshore - Perth'!D49="Unit",'Onshore - Perth'!E49*8,""))))))</f>
        <v>20000</v>
      </c>
      <c r="L1037" s="0" t="n">
        <f aca="false">IF(AND(ISNUMBER('Onshore - Perth'!E49),ISNUMBER(K1037),ISNUMBER('Onshore - Perth'!F49),ISNUMBER('Onshore - Perth'!G49),OR('Onshore - Perth'!F49&lt;&gt;0,ISNUMBER(SEARCH("Material 0 terverifikasi",'Onshore - Perth'!M49))),OR('Onshore - Perth'!G49&lt;&gt;0,ISNUMBER(SEARCH("Enrolment 0 terverifikasi",'Onshore - Perth'!M49)))),1,0)</f>
        <v>1</v>
      </c>
      <c r="M1037" s="0" t="n">
        <f aca="false">IF(OR('Onshore - Perth'!E49="",ISNUMBER(SEARCH("BSB80120",'Onshore - Perth'!B49&amp;'Onshore - Perth'!M49)),ISNUMBER(SEARCH("Management (Learning)",'Onshore - Perth'!B49))),2,IF(ISNUMBER(SEARCH("CEK:",'Onshore - Perth'!M49)),1,0))</f>
        <v>1</v>
      </c>
    </row>
    <row r="1038" customFormat="false" ht="15" hidden="false" customHeight="false" outlineLevel="0" collapsed="false">
      <c r="A1038" s="61" t="s">
        <v>4164</v>
      </c>
      <c r="B1038" s="62"/>
      <c r="C1038" s="62"/>
      <c r="D1038" s="62"/>
      <c r="E1038" s="62"/>
      <c r="F1038" s="62"/>
      <c r="G1038" s="62"/>
      <c r="H1038" s="62"/>
      <c r="I1038" s="62"/>
    </row>
    <row r="1039" customFormat="false" ht="15" hidden="false" customHeight="false" outlineLevel="0" collapsed="false">
      <c r="A1039" s="63" t="s">
        <v>3573</v>
      </c>
      <c r="B1039" s="64" t="s">
        <v>4128</v>
      </c>
      <c r="C1039" s="63" t="s">
        <v>3707</v>
      </c>
      <c r="D1039" s="64" t="str">
        <f aca="false">TRIM(LEFT('Onshore - Perth'!A44,FIND(CHAR(10),'Onshore - Perth'!A44&amp;CHAR(10))-1))</f>
        <v>CIHE Australia</v>
      </c>
      <c r="E1039" s="63" t="str">
        <f aca="false">'Onshore - Perth'!C47&amp;""</f>
        <v>1 year</v>
      </c>
      <c r="F1039" s="63" t="str">
        <f aca="false">IF('Onshore - Perth'!D47="","Belum tercatat",'Onshore - Perth'!D47)</f>
        <v>Term</v>
      </c>
      <c r="G1039" s="65" t="n">
        <f aca="false">IF('Onshore - Perth'!E47="","-",'Onshore - Perth'!E47)</f>
        <v>6250</v>
      </c>
      <c r="H1039" s="63" t="n">
        <f aca="false">IF(ISNUMBER(K1039),COUNTIFS($J$6:$J$1916,J1039,$K$6:$K$1916,"&lt;"&amp;K1039)+1,"-")</f>
        <v>1</v>
      </c>
      <c r="I1039" s="64" t="str">
        <f aca="false">IF('Onshore - Perth'!E47="","Harga belum tersedia - hubungi konsultan TEG",IF(M1039=2,"Saat ini tidak menerima pendaftaran siswa internasional baru",IF(M1039=1,"Harga perlu dikonfirmasi ke sekolah"&amp;IF(""="","","; "&amp;""),"")))</f>
        <v>Harga perlu dikonfirmasi ke sekolah</v>
      </c>
      <c r="J1039" s="0" t="s">
        <v>4165</v>
      </c>
      <c r="K1039" s="0" t="n">
        <f aca="false">IF(M1039=2,"",IF(ISNUMBER(SEARCH("rata-rata:",'Onshore - Perth'!M47)),VALUE(MID('Onshore - Perth'!M47,SEARCH("rata-rata:",'Onshore - Perth'!M47)+11,FIND(";",'Onshore - Perth'!M47&amp;";",SEARCH("rata-rata:",'Onshore - Perth'!M47))-SEARCH("rata-rata:",'Onshore - Perth'!M47)-11)),IF('Onshore - Perth'!D47="Semester",'Onshore - Perth'!E47*2,IF('Onshore - Perth'!D47="Trimester",'Onshore - Perth'!E47*3,IF('Onshore - Perth'!D47="Term",'Onshore - Perth'!E47*4,IF('Onshore - Perth'!D47="Unit",'Onshore - Perth'!E47*8,""))))))</f>
        <v>25000</v>
      </c>
      <c r="L1039" s="0" t="n">
        <f aca="false">IF(AND(ISNUMBER('Onshore - Perth'!E47),ISNUMBER(K1039),ISNUMBER('Onshore - Perth'!F47),ISNUMBER('Onshore - Perth'!G47),OR('Onshore - Perth'!F47&lt;&gt;0,ISNUMBER(SEARCH("Material 0 terverifikasi",'Onshore - Perth'!M47))),OR('Onshore - Perth'!G47&lt;&gt;0,ISNUMBER(SEARCH("Enrolment 0 terverifikasi",'Onshore - Perth'!M47)))),1,0)</f>
        <v>1</v>
      </c>
      <c r="M1039" s="0" t="n">
        <f aca="false">IF(OR('Onshore - Perth'!E47="",ISNUMBER(SEARCH("BSB80120",'Onshore - Perth'!B47&amp;'Onshore - Perth'!M47)),ISNUMBER(SEARCH("Management (Learning)",'Onshore - Perth'!B47))),2,IF(ISNUMBER(SEARCH("CEK:",'Onshore - Perth'!M47)),1,0))</f>
        <v>1</v>
      </c>
    </row>
    <row r="1040" customFormat="false" ht="15" hidden="false" customHeight="false" outlineLevel="0" collapsed="false">
      <c r="A1040" s="61" t="s">
        <v>4166</v>
      </c>
      <c r="B1040" s="62"/>
      <c r="C1040" s="62"/>
      <c r="D1040" s="62"/>
      <c r="E1040" s="62"/>
      <c r="F1040" s="62"/>
      <c r="G1040" s="62"/>
      <c r="H1040" s="62"/>
      <c r="I1040" s="62"/>
    </row>
    <row r="1041" customFormat="false" ht="15" hidden="false" customHeight="false" outlineLevel="0" collapsed="false">
      <c r="A1041" s="63" t="s">
        <v>3573</v>
      </c>
      <c r="B1041" s="64" t="s">
        <v>4128</v>
      </c>
      <c r="C1041" s="63" t="s">
        <v>46</v>
      </c>
      <c r="D1041" s="64" t="str">
        <f aca="false">TRIM(LEFT('Onshore - Perth'!A44,FIND(CHAR(10),'Onshore - Perth'!A44&amp;CHAR(10))-1))</f>
        <v>CIHE Australia</v>
      </c>
      <c r="E1041" s="63" t="str">
        <f aca="false">'Onshore - Perth'!C48&amp;""</f>
        <v>2 years</v>
      </c>
      <c r="F1041" s="63" t="str">
        <f aca="false">IF('Onshore - Perth'!D48="","Belum tercatat",'Onshore - Perth'!D48)</f>
        <v>Term</v>
      </c>
      <c r="G1041" s="65" t="n">
        <f aca="false">IF('Onshore - Perth'!E48="","-",'Onshore - Perth'!E48)</f>
        <v>6250</v>
      </c>
      <c r="H1041" s="63" t="n">
        <f aca="false">IF(ISNUMBER(K1041),COUNTIFS($J$6:$J$1916,J1041,$K$6:$K$1916,"&lt;"&amp;K1041)+1,"-")</f>
        <v>1</v>
      </c>
      <c r="I1041" s="64" t="str">
        <f aca="false">IF('Onshore - Perth'!E48="","Harga belum tersedia - hubungi konsultan TEG",IF(M1041=2,"Saat ini tidak menerima pendaftaran siswa internasional baru",IF(M1041=1,"Harga perlu dikonfirmasi ke sekolah"&amp;IF(""="","","; "&amp;""),"")))</f>
        <v/>
      </c>
      <c r="J1041" s="0" t="s">
        <v>4167</v>
      </c>
      <c r="K1041" s="0" t="n">
        <f aca="false">IF(M1041=2,"",IF(ISNUMBER(SEARCH("rata-rata:",'Onshore - Perth'!M48)),VALUE(MID('Onshore - Perth'!M48,SEARCH("rata-rata:",'Onshore - Perth'!M48)+11,FIND(";",'Onshore - Perth'!M48&amp;";",SEARCH("rata-rata:",'Onshore - Perth'!M48))-SEARCH("rata-rata:",'Onshore - Perth'!M48)-11)),IF('Onshore - Perth'!D48="Semester",'Onshore - Perth'!E48*2,IF('Onshore - Perth'!D48="Trimester",'Onshore - Perth'!E48*3,IF('Onshore - Perth'!D48="Term",'Onshore - Perth'!E48*4,IF('Onshore - Perth'!D48="Unit",'Onshore - Perth'!E48*8,""))))))</f>
        <v>25000</v>
      </c>
      <c r="L1041" s="0" t="n">
        <f aca="false">IF(AND(ISNUMBER('Onshore - Perth'!E48),ISNUMBER(K1041),ISNUMBER('Onshore - Perth'!F48),ISNUMBER('Onshore - Perth'!G48),OR('Onshore - Perth'!F48&lt;&gt;0,ISNUMBER(SEARCH("Material 0 terverifikasi",'Onshore - Perth'!M48))),OR('Onshore - Perth'!G48&lt;&gt;0,ISNUMBER(SEARCH("Enrolment 0 terverifikasi",'Onshore - Perth'!M48)))),1,0)</f>
        <v>1</v>
      </c>
      <c r="M1041" s="0" t="n">
        <f aca="false">IF(OR('Onshore - Perth'!E48="",ISNUMBER(SEARCH("BSB80120",'Onshore - Perth'!B48&amp;'Onshore - Perth'!M48)),ISNUMBER(SEARCH("Management (Learning)",'Onshore - Perth'!B48))),2,IF(ISNUMBER(SEARCH("CEK:",'Onshore - Perth'!M48)),1,0))</f>
        <v>0</v>
      </c>
    </row>
    <row r="1042" customFormat="false" ht="15" hidden="false" customHeight="false" outlineLevel="0" collapsed="false">
      <c r="A1042" s="61" t="s">
        <v>4168</v>
      </c>
      <c r="B1042" s="62"/>
      <c r="C1042" s="62"/>
      <c r="D1042" s="62"/>
      <c r="E1042" s="62"/>
      <c r="F1042" s="62"/>
      <c r="G1042" s="62"/>
      <c r="H1042" s="62"/>
      <c r="I1042" s="62"/>
    </row>
    <row r="1043" customFormat="false" ht="15" hidden="false" customHeight="false" outlineLevel="0" collapsed="false">
      <c r="A1043" s="63" t="s">
        <v>3533</v>
      </c>
      <c r="B1043" s="64" t="s">
        <v>4128</v>
      </c>
      <c r="C1043" s="63" t="s">
        <v>41</v>
      </c>
      <c r="D1043" s="64" t="str">
        <f aca="false">TRIM(LEFT('Onshore - Sydney'!A373,FIND(CHAR(10),'Onshore - Sydney'!A373&amp;CHAR(10))-1))</f>
        <v>Berkeley Business Institute (BBI)</v>
      </c>
      <c r="E1043" s="63" t="str">
        <f aca="false">'Onshore - Sydney'!C383&amp;""</f>
        <v>2,5 years</v>
      </c>
      <c r="F1043" s="63" t="str">
        <f aca="false">IF('Onshore - Sydney'!D383="","Belum tercatat",'Onshore - Sydney'!D383)</f>
        <v>Term</v>
      </c>
      <c r="G1043" s="65" t="n">
        <f aca="false">IF('Onshore - Sydney'!E383="","-",'Onshore - Sydney'!E383)</f>
        <v>2000</v>
      </c>
      <c r="H1043" s="63" t="n">
        <f aca="false">IF(ISNUMBER(K1043),COUNTIFS($J$6:$J$1916,J1043,$K$6:$K$1916,"&lt;"&amp;K1043)+1,"-")</f>
        <v>1</v>
      </c>
      <c r="I1043" s="64" t="str">
        <f aca="false">IF('Onshore - Sydney'!E383="","Harga belum tersedia - hubungi konsultan TEG",IF(M1043=2,"Saat ini tidak menerima pendaftaran siswa internasional baru",IF(M1043=1,"Harga perlu dikonfirmasi ke sekolah"&amp;IF(""="","","; "&amp;""),"")))</f>
        <v>Harga perlu dikonfirmasi ke sekolah</v>
      </c>
      <c r="J1043" s="0" t="s">
        <v>4169</v>
      </c>
      <c r="K1043" s="0" t="n">
        <f aca="false">IF(M1043=2,"",IF(ISNUMBER(SEARCH("rata-rata:",'Onshore - Sydney'!M383)),VALUE(MID('Onshore - Sydney'!M383,SEARCH("rata-rata:",'Onshore - Sydney'!M383)+11,FIND(";",'Onshore - Sydney'!M383&amp;";",SEARCH("rata-rata:",'Onshore - Sydney'!M383))-SEARCH("rata-rata:",'Onshore - Sydney'!M383)-11)),IF('Onshore - Sydney'!D383="Semester",'Onshore - Sydney'!E383*2,IF('Onshore - Sydney'!D383="Trimester",'Onshore - Sydney'!E383*3,IF('Onshore - Sydney'!D383="Term",'Onshore - Sydney'!E383*4,IF('Onshore - Sydney'!D383="Unit",'Onshore - Sydney'!E383*8,""))))))</f>
        <v>8000</v>
      </c>
      <c r="L1043" s="0" t="n">
        <f aca="false">IF(AND(ISNUMBER('Onshore - Sydney'!E383),ISNUMBER(K1043),ISNUMBER('Onshore - Sydney'!F383),ISNUMBER('Onshore - Sydney'!G383),OR('Onshore - Sydney'!F383&lt;&gt;0,ISNUMBER(SEARCH("Material 0 terverifikasi",'Onshore - Sydney'!M383))),OR('Onshore - Sydney'!G383&lt;&gt;0,ISNUMBER(SEARCH("Enrolment 0 terverifikasi",'Onshore - Sydney'!M383)))),1,0)</f>
        <v>1</v>
      </c>
      <c r="M1043" s="0" t="n">
        <f aca="false">IF(OR('Onshore - Sydney'!E383="",ISNUMBER(SEARCH("BSB80120",'Onshore - Sydney'!B383&amp;'Onshore - Sydney'!M383)),ISNUMBER(SEARCH("Management (Learning)",'Onshore - Sydney'!B383))),2,IF(ISNUMBER(SEARCH("CEK:",'Onshore - Sydney'!M383)),1,0))</f>
        <v>1</v>
      </c>
    </row>
    <row r="1044" customFormat="false" ht="28.35" hidden="false" customHeight="false" outlineLevel="0" collapsed="false">
      <c r="A1044" s="63" t="s">
        <v>3533</v>
      </c>
      <c r="B1044" s="64" t="s">
        <v>4128</v>
      </c>
      <c r="C1044" s="63" t="s">
        <v>41</v>
      </c>
      <c r="D1044" s="64" t="str">
        <f aca="false">TRIM(LEFT('Onshore - Sydney'!A881,FIND(CHAR(10),'Onshore - Sydney'!A881&amp;CHAR(10))-1))</f>
        <v>TKL College (Training for Knowledge and Livelihood)</v>
      </c>
      <c r="E1044" s="63" t="str">
        <f aca="false">'Onshore - Sydney'!C887&amp;""</f>
        <v>2 years</v>
      </c>
      <c r="F1044" s="63" t="str">
        <f aca="false">IF('Onshore - Sydney'!D887="","Belum tercatat",'Onshore - Sydney'!D887)</f>
        <v>Term</v>
      </c>
      <c r="G1044" s="65" t="n">
        <f aca="false">IF('Onshore - Sydney'!E887="","-",'Onshore - Sydney'!E887)</f>
        <v>2200</v>
      </c>
      <c r="H1044" s="63" t="n">
        <f aca="false">IF(ISNUMBER(K1044),COUNTIFS($J$6:$J$1916,J1044,$K$6:$K$1916,"&lt;"&amp;K1044)+1,"-")</f>
        <v>2</v>
      </c>
      <c r="I1044" s="64" t="str">
        <f aca="false">IF('Onshore - Sydney'!E887="","Harga belum tersedia - hubungi konsultan TEG",IF(M1044=2,"Saat ini tidak menerima pendaftaran siswa internasional baru",IF(M1044=1,"Harga perlu dikonfirmasi ke sekolah"&amp;IF(""="","","; "&amp;""),"")))</f>
        <v/>
      </c>
      <c r="J1044" s="0" t="s">
        <v>4169</v>
      </c>
      <c r="K1044" s="0" t="n">
        <f aca="false">IF(M1044=2,"",IF(ISNUMBER(SEARCH("rata-rata:",'Onshore - Sydney'!M887)),VALUE(MID('Onshore - Sydney'!M887,SEARCH("rata-rata:",'Onshore - Sydney'!M887)+11,FIND(";",'Onshore - Sydney'!M887&amp;";",SEARCH("rata-rata:",'Onshore - Sydney'!M887))-SEARCH("rata-rata:",'Onshore - Sydney'!M887)-11)),IF('Onshore - Sydney'!D887="Semester",'Onshore - Sydney'!E887*2,IF('Onshore - Sydney'!D887="Trimester",'Onshore - Sydney'!E887*3,IF('Onshore - Sydney'!D887="Term",'Onshore - Sydney'!E887*4,IF('Onshore - Sydney'!D887="Unit",'Onshore - Sydney'!E887*8,""))))))</f>
        <v>8800</v>
      </c>
      <c r="L1044" s="0" t="n">
        <f aca="false">IF(AND(ISNUMBER('Onshore - Sydney'!E887),ISNUMBER(K1044),ISNUMBER('Onshore - Sydney'!F887),ISNUMBER('Onshore - Sydney'!G887),OR('Onshore - Sydney'!F887&lt;&gt;0,ISNUMBER(SEARCH("Material 0 terverifikasi",'Onshore - Sydney'!M887))),OR('Onshore - Sydney'!G887&lt;&gt;0,ISNUMBER(SEARCH("Enrolment 0 terverifikasi",'Onshore - Sydney'!M887)))),1,0)</f>
        <v>1</v>
      </c>
      <c r="M1044" s="0" t="n">
        <f aca="false">IF(OR('Onshore - Sydney'!E887="",ISNUMBER(SEARCH("BSB80120",'Onshore - Sydney'!B887&amp;'Onshore - Sydney'!M887)),ISNUMBER(SEARCH("Management (Learning)",'Onshore - Sydney'!B887))),2,IF(ISNUMBER(SEARCH("CEK:",'Onshore - Sydney'!M887)),1,0))</f>
        <v>0</v>
      </c>
    </row>
    <row r="1045" customFormat="false" ht="15" hidden="false" customHeight="false" outlineLevel="0" collapsed="false">
      <c r="A1045" s="63" t="s">
        <v>3533</v>
      </c>
      <c r="B1045" s="64" t="s">
        <v>4128</v>
      </c>
      <c r="C1045" s="63" t="s">
        <v>41</v>
      </c>
      <c r="D1045" s="64" t="str">
        <f aca="false">TRIM(LEFT('Onshore - Sydney'!A163,FIND(CHAR(10),'Onshore - Sydney'!A163&amp;CHAR(10))-1))</f>
        <v>Australian Catholic University (ACU)</v>
      </c>
      <c r="E1045" s="63" t="str">
        <f aca="false">'Onshore - Sydney'!C259&amp;""</f>
        <v>1 year</v>
      </c>
      <c r="F1045" s="63" t="str">
        <f aca="false">IF('Onshore - Sydney'!D259="","Belum tercatat",'Onshore - Sydney'!D259)</f>
        <v>Term</v>
      </c>
      <c r="G1045" s="65" t="n">
        <f aca="false">IF('Onshore - Sydney'!E259="","-",'Onshore - Sydney'!E259)</f>
        <v>8906</v>
      </c>
      <c r="H1045" s="63" t="n">
        <f aca="false">IF(ISNUMBER(K1045),COUNTIFS($J$6:$J$1916,J1045,$K$6:$K$1916,"&lt;"&amp;K1045)+1,"-")</f>
        <v>3</v>
      </c>
      <c r="I1045" s="64" t="str">
        <f aca="false">IF('Onshore - Sydney'!E259="","Harga belum tersedia - hubungi konsultan TEG",IF(M1045=2,"Saat ini tidak menerima pendaftaran siswa internasional baru",IF(M1045=1,"Harga perlu dikonfirmasi ke sekolah"&amp;IF(""="","","; "&amp;""),"")))</f>
        <v/>
      </c>
      <c r="J1045" s="0" t="s">
        <v>4169</v>
      </c>
      <c r="K1045" s="0" t="n">
        <f aca="false">IF(M1045=2,"",IF(ISNUMBER(SEARCH("rata-rata:",'Onshore - Sydney'!M259)),VALUE(MID('Onshore - Sydney'!M259,SEARCH("rata-rata:",'Onshore - Sydney'!M259)+11,FIND(";",'Onshore - Sydney'!M259&amp;";",SEARCH("rata-rata:",'Onshore - Sydney'!M259))-SEARCH("rata-rata:",'Onshore - Sydney'!M259)-11)),IF('Onshore - Sydney'!D259="Semester",'Onshore - Sydney'!E259*2,IF('Onshore - Sydney'!D259="Trimester",'Onshore - Sydney'!E259*3,IF('Onshore - Sydney'!D259="Term",'Onshore - Sydney'!E259*4,IF('Onshore - Sydney'!D259="Unit",'Onshore - Sydney'!E259*8,""))))))</f>
        <v>35624</v>
      </c>
      <c r="L1045" s="0" t="n">
        <f aca="false">IF(AND(ISNUMBER('Onshore - Sydney'!E259),ISNUMBER(K1045),ISNUMBER('Onshore - Sydney'!F259),ISNUMBER('Onshore - Sydney'!G259),OR('Onshore - Sydney'!F259&lt;&gt;0,ISNUMBER(SEARCH("Material 0 terverifikasi",'Onshore - Sydney'!M259))),OR('Onshore - Sydney'!G259&lt;&gt;0,ISNUMBER(SEARCH("Enrolment 0 terverifikasi",'Onshore - Sydney'!M259)))),1,0)</f>
        <v>0</v>
      </c>
      <c r="M1045" s="0" t="n">
        <f aca="false">IF(OR('Onshore - Sydney'!E259="",ISNUMBER(SEARCH("BSB80120",'Onshore - Sydney'!B259&amp;'Onshore - Sydney'!M259)),ISNUMBER(SEARCH("Management (Learning)",'Onshore - Sydney'!B259))),2,IF(ISNUMBER(SEARCH("CEK:",'Onshore - Sydney'!M259)),1,0))</f>
        <v>0</v>
      </c>
    </row>
    <row r="1046" customFormat="false" ht="15" hidden="false" customHeight="false" outlineLevel="0" collapsed="false">
      <c r="A1046" s="61" t="s">
        <v>4170</v>
      </c>
      <c r="B1046" s="62"/>
      <c r="C1046" s="62"/>
      <c r="D1046" s="62"/>
      <c r="E1046" s="62"/>
      <c r="F1046" s="62"/>
      <c r="G1046" s="62"/>
      <c r="H1046" s="62"/>
      <c r="I1046" s="62"/>
    </row>
    <row r="1047" customFormat="false" ht="15" hidden="false" customHeight="false" outlineLevel="0" collapsed="false">
      <c r="A1047" s="63" t="s">
        <v>3533</v>
      </c>
      <c r="B1047" s="64" t="s">
        <v>4128</v>
      </c>
      <c r="C1047" s="63" t="s">
        <v>42</v>
      </c>
      <c r="D1047" s="64" t="str">
        <f aca="false">TRIM(LEFT('Onshore - Sydney'!A50,FIND(CHAR(10),'Onshore - Sydney'!A50&amp;CHAR(10))-1))</f>
        <v>Academies Australasia</v>
      </c>
      <c r="E1047" s="63" t="str">
        <f aca="false">'Onshore - Sydney'!C62&amp;""</f>
        <v>1 years</v>
      </c>
      <c r="F1047" s="63" t="str">
        <f aca="false">IF('Onshore - Sydney'!D62="","Belum tercatat",'Onshore - Sydney'!D62)</f>
        <v>Term</v>
      </c>
      <c r="G1047" s="65" t="n">
        <f aca="false">IF('Onshore - Sydney'!E62="","-",'Onshore - Sydney'!E62)</f>
        <v>2500</v>
      </c>
      <c r="H1047" s="63" t="n">
        <f aca="false">IF(ISNUMBER(K1047),COUNTIFS($J$6:$J$1916,J1047,$K$6:$K$1916,"&lt;"&amp;K1047)+1,"-")</f>
        <v>1</v>
      </c>
      <c r="I1047" s="64" t="str">
        <f aca="false">IF('Onshore - Sydney'!E62="","Harga belum tersedia - hubungi konsultan TEG",IF(M1047=2,"Saat ini tidak menerima pendaftaran siswa internasional baru",IF(M1047=1,"Harga perlu dikonfirmasi ke sekolah"&amp;IF(""="","","; "&amp;""),"")))</f>
        <v>Harga perlu dikonfirmasi ke sekolah</v>
      </c>
      <c r="J1047" s="0" t="s">
        <v>4171</v>
      </c>
      <c r="K1047" s="0" t="n">
        <f aca="false">IF(M1047=2,"",IF(ISNUMBER(SEARCH("rata-rata:",'Onshore - Sydney'!M62)),VALUE(MID('Onshore - Sydney'!M62,SEARCH("rata-rata:",'Onshore - Sydney'!M62)+11,FIND(";",'Onshore - Sydney'!M62&amp;";",SEARCH("rata-rata:",'Onshore - Sydney'!M62))-SEARCH("rata-rata:",'Onshore - Sydney'!M62)-11)),IF('Onshore - Sydney'!D62="Semester",'Onshore - Sydney'!E62*2,IF('Onshore - Sydney'!D62="Trimester",'Onshore - Sydney'!E62*3,IF('Onshore - Sydney'!D62="Term",'Onshore - Sydney'!E62*4,IF('Onshore - Sydney'!D62="Unit",'Onshore - Sydney'!E62*8,""))))))</f>
        <v>10000</v>
      </c>
      <c r="L1047" s="0" t="n">
        <f aca="false">IF(AND(ISNUMBER('Onshore - Sydney'!E62),ISNUMBER(K1047),ISNUMBER('Onshore - Sydney'!F62),ISNUMBER('Onshore - Sydney'!G62),OR('Onshore - Sydney'!F62&lt;&gt;0,ISNUMBER(SEARCH("Material 0 terverifikasi",'Onshore - Sydney'!M62))),OR('Onshore - Sydney'!G62&lt;&gt;0,ISNUMBER(SEARCH("Enrolment 0 terverifikasi",'Onshore - Sydney'!M62)))),1,0)</f>
        <v>1</v>
      </c>
      <c r="M1047" s="0" t="n">
        <f aca="false">IF(OR('Onshore - Sydney'!E62="",ISNUMBER(SEARCH("BSB80120",'Onshore - Sydney'!B62&amp;'Onshore - Sydney'!M62)),ISNUMBER(SEARCH("Management (Learning)",'Onshore - Sydney'!B62))),2,IF(ISNUMBER(SEARCH("CEK:",'Onshore - Sydney'!M62)),1,0))</f>
        <v>1</v>
      </c>
    </row>
    <row r="1048" customFormat="false" ht="15" hidden="false" customHeight="false" outlineLevel="0" collapsed="false">
      <c r="A1048" s="61" t="s">
        <v>4172</v>
      </c>
      <c r="B1048" s="62"/>
      <c r="C1048" s="62"/>
      <c r="D1048" s="62"/>
      <c r="E1048" s="62"/>
      <c r="F1048" s="62"/>
      <c r="G1048" s="62"/>
      <c r="H1048" s="62"/>
      <c r="I1048" s="62"/>
    </row>
    <row r="1049" customFormat="false" ht="15" hidden="false" customHeight="false" outlineLevel="0" collapsed="false">
      <c r="A1049" s="63" t="s">
        <v>3533</v>
      </c>
      <c r="B1049" s="64" t="s">
        <v>4128</v>
      </c>
      <c r="C1049" s="63" t="s">
        <v>43</v>
      </c>
      <c r="D1049" s="64" t="str">
        <f aca="false">TRIM(LEFT('Onshore - Sydney'!A422,FIND(CHAR(10),'Onshore - Sydney'!A422&amp;CHAR(10))-1))</f>
        <v>CIHE Australia</v>
      </c>
      <c r="E1049" s="63" t="str">
        <f aca="false">'Onshore - Sydney'!C427&amp;""</f>
        <v>4 years</v>
      </c>
      <c r="F1049" s="63" t="str">
        <f aca="false">IF('Onshore - Sydney'!D427="","Belum tercatat",'Onshore - Sydney'!D427)</f>
        <v>Term</v>
      </c>
      <c r="G1049" s="65" t="n">
        <f aca="false">IF('Onshore - Sydney'!E427="","-",'Onshore - Sydney'!E427)</f>
        <v>4250</v>
      </c>
      <c r="H1049" s="63" t="n">
        <f aca="false">IF(ISNUMBER(K1049),COUNTIFS($J$6:$J$1916,J1049,$K$6:$K$1916,"&lt;"&amp;K1049)+1,"-")</f>
        <v>1</v>
      </c>
      <c r="I1049" s="64" t="str">
        <f aca="false">IF('Onshore - Sydney'!E427="","Harga belum tersedia - hubungi konsultan TEG",IF(M1049=2,"Saat ini tidak menerima pendaftaran siswa internasional baru",IF(M1049=1,"Harga perlu dikonfirmasi ke sekolah"&amp;IF(""="","","; "&amp;""),"")))</f>
        <v>Harga perlu dikonfirmasi ke sekolah</v>
      </c>
      <c r="J1049" s="0" t="s">
        <v>4173</v>
      </c>
      <c r="K1049" s="0" t="n">
        <f aca="false">IF(M1049=2,"",IF(ISNUMBER(SEARCH("rata-rata:",'Onshore - Sydney'!M427)),VALUE(MID('Onshore - Sydney'!M427,SEARCH("rata-rata:",'Onshore - Sydney'!M427)+11,FIND(";",'Onshore - Sydney'!M427&amp;";",SEARCH("rata-rata:",'Onshore - Sydney'!M427))-SEARCH("rata-rata:",'Onshore - Sydney'!M427)-11)),IF('Onshore - Sydney'!D427="Semester",'Onshore - Sydney'!E427*2,IF('Onshore - Sydney'!D427="Trimester",'Onshore - Sydney'!E427*3,IF('Onshore - Sydney'!D427="Term",'Onshore - Sydney'!E427*4,IF('Onshore - Sydney'!D427="Unit",'Onshore - Sydney'!E427*8,""))))))</f>
        <v>17000</v>
      </c>
      <c r="L1049" s="0" t="n">
        <f aca="false">IF(AND(ISNUMBER('Onshore - Sydney'!E427),ISNUMBER(K1049),ISNUMBER('Onshore - Sydney'!F427),ISNUMBER('Onshore - Sydney'!G427),OR('Onshore - Sydney'!F427&lt;&gt;0,ISNUMBER(SEARCH("Material 0 terverifikasi",'Onshore - Sydney'!M427))),OR('Onshore - Sydney'!G427&lt;&gt;0,ISNUMBER(SEARCH("Enrolment 0 terverifikasi",'Onshore - Sydney'!M427)))),1,0)</f>
        <v>1</v>
      </c>
      <c r="M1049" s="0" t="n">
        <f aca="false">IF(OR('Onshore - Sydney'!E427="",ISNUMBER(SEARCH("BSB80120",'Onshore - Sydney'!B427&amp;'Onshore - Sydney'!M427)),ISNUMBER(SEARCH("Management (Learning)",'Onshore - Sydney'!B427))),2,IF(ISNUMBER(SEARCH("CEK:",'Onshore - Sydney'!M427)),1,0))</f>
        <v>1</v>
      </c>
    </row>
    <row r="1050" customFormat="false" ht="15" hidden="false" customHeight="false" outlineLevel="0" collapsed="false">
      <c r="A1050" s="63" t="s">
        <v>3533</v>
      </c>
      <c r="B1050" s="64" t="s">
        <v>4128</v>
      </c>
      <c r="C1050" s="63" t="s">
        <v>43</v>
      </c>
      <c r="D1050" s="64" t="str">
        <f aca="false">TRIM(LEFT('Onshore - Sydney'!A1062,FIND(CHAR(10),'Onshore - Sydney'!A1062&amp;CHAR(10))-1))</f>
        <v>Western Sydney University</v>
      </c>
      <c r="E1050" s="63" t="str">
        <f aca="false">'Onshore - Sydney'!C1129&amp;""</f>
        <v>3 years</v>
      </c>
      <c r="F1050" s="63" t="str">
        <f aca="false">IF('Onshore - Sydney'!D1129="","Belum tercatat",'Onshore - Sydney'!D1129)</f>
        <v>Term</v>
      </c>
      <c r="G1050" s="65" t="n">
        <f aca="false">IF('Onshore - Sydney'!E1129="","-",'Onshore - Sydney'!E1129)</f>
        <v>8125</v>
      </c>
      <c r="H1050" s="63" t="n">
        <f aca="false">IF(ISNUMBER(K1050),COUNTIFS($J$6:$J$1916,J1050,$K$6:$K$1916,"&lt;"&amp;K1050)+1,"-")</f>
        <v>2</v>
      </c>
      <c r="I1050" s="64" t="str">
        <f aca="false">IF('Onshore - Sydney'!E1129="","Harga belum tersedia - hubungi konsultan TEG",IF(M1050=2,"Saat ini tidak menerima pendaftaran siswa internasional baru",IF(M1050=1,"Harga perlu dikonfirmasi ke sekolah"&amp;IF(""="","","; "&amp;""),"")))</f>
        <v/>
      </c>
      <c r="J1050" s="0" t="s">
        <v>4173</v>
      </c>
      <c r="K1050" s="0" t="n">
        <f aca="false">IF(M1050=2,"",IF(ISNUMBER(SEARCH("rata-rata:",'Onshore - Sydney'!M1129)),VALUE(MID('Onshore - Sydney'!M1129,SEARCH("rata-rata:",'Onshore - Sydney'!M1129)+11,FIND(";",'Onshore - Sydney'!M1129&amp;";",SEARCH("rata-rata:",'Onshore - Sydney'!M1129))-SEARCH("rata-rata:",'Onshore - Sydney'!M1129)-11)),IF('Onshore - Sydney'!D1129="Semester",'Onshore - Sydney'!E1129*2,IF('Onshore - Sydney'!D1129="Trimester",'Onshore - Sydney'!E1129*3,IF('Onshore - Sydney'!D1129="Term",'Onshore - Sydney'!E1129*4,IF('Onshore - Sydney'!D1129="Unit",'Onshore - Sydney'!E1129*8,""))))))</f>
        <v>32500</v>
      </c>
      <c r="L1050" s="0" t="n">
        <f aca="false">IF(AND(ISNUMBER('Onshore - Sydney'!E1129),ISNUMBER(K1050),ISNUMBER('Onshore - Sydney'!F1129),ISNUMBER('Onshore - Sydney'!G1129),OR('Onshore - Sydney'!F1129&lt;&gt;0,ISNUMBER(SEARCH("Material 0 terverifikasi",'Onshore - Sydney'!M1129))),OR('Onshore - Sydney'!G1129&lt;&gt;0,ISNUMBER(SEARCH("Enrolment 0 terverifikasi",'Onshore - Sydney'!M1129)))),1,0)</f>
        <v>0</v>
      </c>
      <c r="M1050" s="0" t="n">
        <f aca="false">IF(OR('Onshore - Sydney'!E1129="",ISNUMBER(SEARCH("BSB80120",'Onshore - Sydney'!B1129&amp;'Onshore - Sydney'!M1129)),ISNUMBER(SEARCH("Management (Learning)",'Onshore - Sydney'!B1129))),2,IF(ISNUMBER(SEARCH("CEK:",'Onshore - Sydney'!M1129)),1,0))</f>
        <v>0</v>
      </c>
    </row>
    <row r="1051" customFormat="false" ht="15" hidden="false" customHeight="false" outlineLevel="0" collapsed="false">
      <c r="A1051" s="63" t="s">
        <v>3533</v>
      </c>
      <c r="B1051" s="64" t="s">
        <v>4128</v>
      </c>
      <c r="C1051" s="63" t="s">
        <v>43</v>
      </c>
      <c r="D1051" s="64" t="str">
        <f aca="false">TRIM(LEFT('Onshore - Sydney'!A163,FIND(CHAR(10),'Onshore - Sydney'!A163&amp;CHAR(10))-1))</f>
        <v>Australian Catholic University (ACU)</v>
      </c>
      <c r="E1051" s="63" t="str">
        <f aca="false">'Onshore - Sydney'!C200&amp;""</f>
        <v>4 years</v>
      </c>
      <c r="F1051" s="63" t="str">
        <f aca="false">IF('Onshore - Sydney'!D200="","Belum tercatat",'Onshore - Sydney'!D200)</f>
        <v>Term</v>
      </c>
      <c r="G1051" s="65" t="n">
        <f aca="false">IF('Onshore - Sydney'!E200="","-",'Onshore - Sydney'!E200)</f>
        <v>8906</v>
      </c>
      <c r="H1051" s="63" t="n">
        <f aca="false">IF(ISNUMBER(K1051),COUNTIFS($J$6:$J$1916,J1051,$K$6:$K$1916,"&lt;"&amp;K1051)+1,"-")</f>
        <v>3</v>
      </c>
      <c r="I1051" s="64" t="str">
        <f aca="false">IF('Onshore - Sydney'!E200="","Harga belum tersedia - hubungi konsultan TEG",IF(M1051=2,"Saat ini tidak menerima pendaftaran siswa internasional baru",IF(M1051=1,"Harga perlu dikonfirmasi ke sekolah"&amp;IF(""="","","; "&amp;""),"")))</f>
        <v/>
      </c>
      <c r="J1051" s="0" t="s">
        <v>4173</v>
      </c>
      <c r="K1051" s="0" t="n">
        <f aca="false">IF(M1051=2,"",IF(ISNUMBER(SEARCH("rata-rata:",'Onshore - Sydney'!M200)),VALUE(MID('Onshore - Sydney'!M200,SEARCH("rata-rata:",'Onshore - Sydney'!M200)+11,FIND(";",'Onshore - Sydney'!M200&amp;";",SEARCH("rata-rata:",'Onshore - Sydney'!M200))-SEARCH("rata-rata:",'Onshore - Sydney'!M200)-11)),IF('Onshore - Sydney'!D200="Semester",'Onshore - Sydney'!E200*2,IF('Onshore - Sydney'!D200="Trimester",'Onshore - Sydney'!E200*3,IF('Onshore - Sydney'!D200="Term",'Onshore - Sydney'!E200*4,IF('Onshore - Sydney'!D200="Unit",'Onshore - Sydney'!E200*8,""))))))</f>
        <v>35624</v>
      </c>
      <c r="L1051" s="0" t="n">
        <f aca="false">IF(AND(ISNUMBER('Onshore - Sydney'!E200),ISNUMBER(K1051),ISNUMBER('Onshore - Sydney'!F200),ISNUMBER('Onshore - Sydney'!G200),OR('Onshore - Sydney'!F200&lt;&gt;0,ISNUMBER(SEARCH("Material 0 terverifikasi",'Onshore - Sydney'!M200))),OR('Onshore - Sydney'!G200&lt;&gt;0,ISNUMBER(SEARCH("Enrolment 0 terverifikasi",'Onshore - Sydney'!M200)))),1,0)</f>
        <v>0</v>
      </c>
      <c r="M1051" s="0" t="n">
        <f aca="false">IF(OR('Onshore - Sydney'!E200="",ISNUMBER(SEARCH("BSB80120",'Onshore - Sydney'!B200&amp;'Onshore - Sydney'!M200)),ISNUMBER(SEARCH("Management (Learning)",'Onshore - Sydney'!B200))),2,IF(ISNUMBER(SEARCH("CEK:",'Onshore - Sydney'!M200)),1,0))</f>
        <v>0</v>
      </c>
    </row>
    <row r="1052" customFormat="false" ht="15" hidden="false" customHeight="false" outlineLevel="0" collapsed="false">
      <c r="A1052" s="61" t="s">
        <v>4174</v>
      </c>
      <c r="B1052" s="62"/>
      <c r="C1052" s="62"/>
      <c r="D1052" s="62"/>
      <c r="E1052" s="62"/>
      <c r="F1052" s="62"/>
      <c r="G1052" s="62"/>
      <c r="H1052" s="62"/>
      <c r="I1052" s="62"/>
    </row>
    <row r="1053" customFormat="false" ht="15" hidden="false" customHeight="false" outlineLevel="0" collapsed="false">
      <c r="A1053" s="63" t="s">
        <v>3533</v>
      </c>
      <c r="B1053" s="64" t="s">
        <v>4128</v>
      </c>
      <c r="C1053" s="63" t="s">
        <v>3707</v>
      </c>
      <c r="D1053" s="64" t="str">
        <f aca="false">TRIM(LEFT('Onshore - Sydney'!A888,FIND(CHAR(10),'Onshore - Sydney'!A888&amp;CHAR(10))-1))</f>
        <v>Torrens University Australia</v>
      </c>
      <c r="E1053" s="63" t="str">
        <f aca="false">'Onshore - Sydney'!C957&amp;""</f>
        <v>0,5 year</v>
      </c>
      <c r="F1053" s="63" t="str">
        <f aca="false">IF('Onshore - Sydney'!D957="","Belum tercatat",'Onshore - Sydney'!D957)</f>
        <v>Term</v>
      </c>
      <c r="G1053" s="65" t="n">
        <f aca="false">IF('Onshore - Sydney'!E957="","-",'Onshore - Sydney'!E957)</f>
        <v>3513</v>
      </c>
      <c r="H1053" s="63" t="n">
        <f aca="false">IF(ISNUMBER(K1053),COUNTIFS($J$6:$J$1916,J1053,$K$6:$K$1916,"&lt;"&amp;K1053)+1,"-")</f>
        <v>1</v>
      </c>
      <c r="I1053" s="64" t="str">
        <f aca="false">IF('Onshore - Sydney'!E957="","Harga belum tersedia - hubungi konsultan TEG",IF(M1053=2,"Saat ini tidak menerima pendaftaran siswa internasional baru",IF(M1053=1,"Harga perlu dikonfirmasi ke sekolah"&amp;IF(""="","","; "&amp;""),"")))</f>
        <v/>
      </c>
      <c r="J1053" s="0" t="s">
        <v>4175</v>
      </c>
      <c r="K1053" s="0" t="n">
        <f aca="false">IF(M1053=2,"",IF(ISNUMBER(SEARCH("rata-rata:",'Onshore - Sydney'!M957)),VALUE(MID('Onshore - Sydney'!M957,SEARCH("rata-rata:",'Onshore - Sydney'!M957)+11,FIND(";",'Onshore - Sydney'!M957&amp;";",SEARCH("rata-rata:",'Onshore - Sydney'!M957))-SEARCH("rata-rata:",'Onshore - Sydney'!M957)-11)),IF('Onshore - Sydney'!D957="Semester",'Onshore - Sydney'!E957*2,IF('Onshore - Sydney'!D957="Trimester",'Onshore - Sydney'!E957*3,IF('Onshore - Sydney'!D957="Term",'Onshore - Sydney'!E957*4,IF('Onshore - Sydney'!D957="Unit",'Onshore - Sydney'!E957*8,""))))))</f>
        <v>14052</v>
      </c>
      <c r="L1053" s="0" t="n">
        <f aca="false">IF(AND(ISNUMBER('Onshore - Sydney'!E957),ISNUMBER(K1053),ISNUMBER('Onshore - Sydney'!F957),ISNUMBER('Onshore - Sydney'!G957),OR('Onshore - Sydney'!F957&lt;&gt;0,ISNUMBER(SEARCH("Material 0 terverifikasi",'Onshore - Sydney'!M957))),OR('Onshore - Sydney'!G957&lt;&gt;0,ISNUMBER(SEARCH("Enrolment 0 terverifikasi",'Onshore - Sydney'!M957)))),1,0)</f>
        <v>0</v>
      </c>
      <c r="M1053" s="0" t="n">
        <f aca="false">IF(OR('Onshore - Sydney'!E957="",ISNUMBER(SEARCH("BSB80120",'Onshore - Sydney'!B957&amp;'Onshore - Sydney'!M957)),ISNUMBER(SEARCH("Management (Learning)",'Onshore - Sydney'!B957))),2,IF(ISNUMBER(SEARCH("CEK:",'Onshore - Sydney'!M957)),1,0))</f>
        <v>0</v>
      </c>
    </row>
    <row r="1054" customFormat="false" ht="15" hidden="false" customHeight="false" outlineLevel="0" collapsed="false">
      <c r="A1054" s="63" t="s">
        <v>3533</v>
      </c>
      <c r="B1054" s="64" t="s">
        <v>4128</v>
      </c>
      <c r="C1054" s="63" t="s">
        <v>3707</v>
      </c>
      <c r="D1054" s="64" t="str">
        <f aca="false">TRIM(LEFT('Onshore - Sydney'!A422,FIND(CHAR(10),'Onshore - Sydney'!A422&amp;CHAR(10))-1))</f>
        <v>CIHE Australia</v>
      </c>
      <c r="E1054" s="63" t="str">
        <f aca="false">'Onshore - Sydney'!C425&amp;""</f>
        <v>1 year</v>
      </c>
      <c r="F1054" s="63" t="str">
        <f aca="false">IF('Onshore - Sydney'!D425="","Belum tercatat",'Onshore - Sydney'!D425)</f>
        <v>Term</v>
      </c>
      <c r="G1054" s="65" t="n">
        <f aca="false">IF('Onshore - Sydney'!E425="","-",'Onshore - Sydney'!E425)</f>
        <v>5625</v>
      </c>
      <c r="H1054" s="63" t="n">
        <f aca="false">IF(ISNUMBER(K1054),COUNTIFS($J$6:$J$1916,J1054,$K$6:$K$1916,"&lt;"&amp;K1054)+1,"-")</f>
        <v>2</v>
      </c>
      <c r="I1054" s="64" t="str">
        <f aca="false">IF('Onshore - Sydney'!E425="","Harga belum tersedia - hubungi konsultan TEG",IF(M1054=2,"Saat ini tidak menerima pendaftaran siswa internasional baru",IF(M1054=1,"Harga perlu dikonfirmasi ke sekolah"&amp;IF(""="","","; "&amp;""),"")))</f>
        <v>Harga perlu dikonfirmasi ke sekolah</v>
      </c>
      <c r="J1054" s="0" t="s">
        <v>4175</v>
      </c>
      <c r="K1054" s="0" t="n">
        <f aca="false">IF(M1054=2,"",IF(ISNUMBER(SEARCH("rata-rata:",'Onshore - Sydney'!M425)),VALUE(MID('Onshore - Sydney'!M425,SEARCH("rata-rata:",'Onshore - Sydney'!M425)+11,FIND(";",'Onshore - Sydney'!M425&amp;";",SEARCH("rata-rata:",'Onshore - Sydney'!M425))-SEARCH("rata-rata:",'Onshore - Sydney'!M425)-11)),IF('Onshore - Sydney'!D425="Semester",'Onshore - Sydney'!E425*2,IF('Onshore - Sydney'!D425="Trimester",'Onshore - Sydney'!E425*3,IF('Onshore - Sydney'!D425="Term",'Onshore - Sydney'!E425*4,IF('Onshore - Sydney'!D425="Unit",'Onshore - Sydney'!E425*8,""))))))</f>
        <v>22500</v>
      </c>
      <c r="L1054" s="0" t="n">
        <f aca="false">IF(AND(ISNUMBER('Onshore - Sydney'!E425),ISNUMBER(K1054),ISNUMBER('Onshore - Sydney'!F425),ISNUMBER('Onshore - Sydney'!G425),OR('Onshore - Sydney'!F425&lt;&gt;0,ISNUMBER(SEARCH("Material 0 terverifikasi",'Onshore - Sydney'!M425))),OR('Onshore - Sydney'!G425&lt;&gt;0,ISNUMBER(SEARCH("Enrolment 0 terverifikasi",'Onshore - Sydney'!M425)))),1,0)</f>
        <v>1</v>
      </c>
      <c r="M1054" s="0" t="n">
        <f aca="false">IF(OR('Onshore - Sydney'!E425="",ISNUMBER(SEARCH("BSB80120",'Onshore - Sydney'!B425&amp;'Onshore - Sydney'!M425)),ISNUMBER(SEARCH("Management (Learning)",'Onshore - Sydney'!B425))),2,IF(ISNUMBER(SEARCH("CEK:",'Onshore - Sydney'!M425)),1,0))</f>
        <v>1</v>
      </c>
    </row>
    <row r="1055" customFormat="false" ht="15" hidden="false" customHeight="false" outlineLevel="0" collapsed="false">
      <c r="A1055" s="63" t="s">
        <v>3533</v>
      </c>
      <c r="B1055" s="64" t="s">
        <v>4128</v>
      </c>
      <c r="C1055" s="63" t="s">
        <v>3707</v>
      </c>
      <c r="D1055" s="64" t="str">
        <f aca="false">TRIM(LEFT('Onshore - Sydney'!A1062,FIND(CHAR(10),'Onshore - Sydney'!A1062&amp;CHAR(10))-1))</f>
        <v>Western Sydney University</v>
      </c>
      <c r="E1055" s="63" t="str">
        <f aca="false">'Onshore - Sydney'!C1216&amp;""</f>
        <v>1 year</v>
      </c>
      <c r="F1055" s="63" t="str">
        <f aca="false">IF('Onshore - Sydney'!D1216="","Belum tercatat",'Onshore - Sydney'!D1216)</f>
        <v>Term</v>
      </c>
      <c r="G1055" s="65" t="n">
        <f aca="false">IF('Onshore - Sydney'!E1216="","-",'Onshore - Sydney'!E1216)</f>
        <v>8694</v>
      </c>
      <c r="H1055" s="63" t="n">
        <f aca="false">IF(ISNUMBER(K1055),COUNTIFS($J$6:$J$1916,J1055,$K$6:$K$1916,"&lt;"&amp;K1055)+1,"-")</f>
        <v>3</v>
      </c>
      <c r="I1055" s="64" t="str">
        <f aca="false">IF('Onshore - Sydney'!E1216="","Harga belum tersedia - hubungi konsultan TEG",IF(M1055=2,"Saat ini tidak menerima pendaftaran siswa internasional baru",IF(M1055=1,"Harga perlu dikonfirmasi ke sekolah"&amp;IF(""="","","; "&amp;""),"")))</f>
        <v/>
      </c>
      <c r="J1055" s="0" t="s">
        <v>4175</v>
      </c>
      <c r="K1055" s="0" t="n">
        <f aca="false">IF(M1055=2,"",IF(ISNUMBER(SEARCH("rata-rata:",'Onshore - Sydney'!M1216)),VALUE(MID('Onshore - Sydney'!M1216,SEARCH("rata-rata:",'Onshore - Sydney'!M1216)+11,FIND(";",'Onshore - Sydney'!M1216&amp;";",SEARCH("rata-rata:",'Onshore - Sydney'!M1216))-SEARCH("rata-rata:",'Onshore - Sydney'!M1216)-11)),IF('Onshore - Sydney'!D1216="Semester",'Onshore - Sydney'!E1216*2,IF('Onshore - Sydney'!D1216="Trimester",'Onshore - Sydney'!E1216*3,IF('Onshore - Sydney'!D1216="Term",'Onshore - Sydney'!E1216*4,IF('Onshore - Sydney'!D1216="Unit",'Onshore - Sydney'!E1216*8,""))))))</f>
        <v>34776</v>
      </c>
      <c r="L1055" s="0" t="n">
        <f aca="false">IF(AND(ISNUMBER('Onshore - Sydney'!E1216),ISNUMBER(K1055),ISNUMBER('Onshore - Sydney'!F1216),ISNUMBER('Onshore - Sydney'!G1216),OR('Onshore - Sydney'!F1216&lt;&gt;0,ISNUMBER(SEARCH("Material 0 terverifikasi",'Onshore - Sydney'!M1216))),OR('Onshore - Sydney'!G1216&lt;&gt;0,ISNUMBER(SEARCH("Enrolment 0 terverifikasi",'Onshore - Sydney'!M1216)))),1,0)</f>
        <v>0</v>
      </c>
      <c r="M1055" s="0" t="n">
        <f aca="false">IF(OR('Onshore - Sydney'!E1216="",ISNUMBER(SEARCH("BSB80120",'Onshore - Sydney'!B1216&amp;'Onshore - Sydney'!M1216)),ISNUMBER(SEARCH("Management (Learning)",'Onshore - Sydney'!B1216))),2,IF(ISNUMBER(SEARCH("CEK:",'Onshore - Sydney'!M1216)),1,0))</f>
        <v>0</v>
      </c>
    </row>
    <row r="1056" customFormat="false" ht="15" hidden="false" customHeight="false" outlineLevel="0" collapsed="false">
      <c r="A1056" s="61" t="s">
        <v>4176</v>
      </c>
      <c r="B1056" s="62"/>
      <c r="C1056" s="62"/>
      <c r="D1056" s="62"/>
      <c r="E1056" s="62"/>
      <c r="F1056" s="62"/>
      <c r="G1056" s="62"/>
      <c r="H1056" s="62"/>
      <c r="I1056" s="62"/>
    </row>
    <row r="1057" customFormat="false" ht="15" hidden="false" customHeight="false" outlineLevel="0" collapsed="false">
      <c r="A1057" s="63" t="s">
        <v>3533</v>
      </c>
      <c r="B1057" s="64" t="s">
        <v>4128</v>
      </c>
      <c r="C1057" s="63" t="s">
        <v>46</v>
      </c>
      <c r="D1057" s="64" t="str">
        <f aca="false">TRIM(LEFT('Onshore - Sydney'!A422,FIND(CHAR(10),'Onshore - Sydney'!A422&amp;CHAR(10))-1))</f>
        <v>CIHE Australia</v>
      </c>
      <c r="E1057" s="63" t="str">
        <f aca="false">'Onshore - Sydney'!C426&amp;""</f>
        <v>2 years</v>
      </c>
      <c r="F1057" s="63" t="str">
        <f aca="false">IF('Onshore - Sydney'!D426="","Belum tercatat",'Onshore - Sydney'!D426)</f>
        <v>Term</v>
      </c>
      <c r="G1057" s="65" t="n">
        <f aca="false">IF('Onshore - Sydney'!E426="","-",'Onshore - Sydney'!E426)</f>
        <v>6250</v>
      </c>
      <c r="H1057" s="63" t="n">
        <f aca="false">IF(ISNUMBER(K1057),COUNTIFS($J$6:$J$1916,J1057,$K$6:$K$1916,"&lt;"&amp;K1057)+1,"-")</f>
        <v>1</v>
      </c>
      <c r="I1057" s="64" t="str">
        <f aca="false">IF('Onshore - Sydney'!E426="","Harga belum tersedia - hubungi konsultan TEG",IF(M1057=2,"Saat ini tidak menerima pendaftaran siswa internasional baru",IF(M1057=1,"Harga perlu dikonfirmasi ke sekolah"&amp;IF(""="","","; "&amp;""),"")))</f>
        <v/>
      </c>
      <c r="J1057" s="0" t="s">
        <v>4177</v>
      </c>
      <c r="K1057" s="0" t="n">
        <f aca="false">IF(M1057=2,"",IF(ISNUMBER(SEARCH("rata-rata:",'Onshore - Sydney'!M426)),VALUE(MID('Onshore - Sydney'!M426,SEARCH("rata-rata:",'Onshore - Sydney'!M426)+11,FIND(";",'Onshore - Sydney'!M426&amp;";",SEARCH("rata-rata:",'Onshore - Sydney'!M426))-SEARCH("rata-rata:",'Onshore - Sydney'!M426)-11)),IF('Onshore - Sydney'!D426="Semester",'Onshore - Sydney'!E426*2,IF('Onshore - Sydney'!D426="Trimester",'Onshore - Sydney'!E426*3,IF('Onshore - Sydney'!D426="Term",'Onshore - Sydney'!E426*4,IF('Onshore - Sydney'!D426="Unit",'Onshore - Sydney'!E426*8,""))))))</f>
        <v>25000</v>
      </c>
      <c r="L1057" s="0" t="n">
        <f aca="false">IF(AND(ISNUMBER('Onshore - Sydney'!E426),ISNUMBER(K1057),ISNUMBER('Onshore - Sydney'!F426),ISNUMBER('Onshore - Sydney'!G426),OR('Onshore - Sydney'!F426&lt;&gt;0,ISNUMBER(SEARCH("Material 0 terverifikasi",'Onshore - Sydney'!M426))),OR('Onshore - Sydney'!G426&lt;&gt;0,ISNUMBER(SEARCH("Enrolment 0 terverifikasi",'Onshore - Sydney'!M426)))),1,0)</f>
        <v>1</v>
      </c>
      <c r="M1057" s="0" t="n">
        <f aca="false">IF(OR('Onshore - Sydney'!E426="",ISNUMBER(SEARCH("BSB80120",'Onshore - Sydney'!B426&amp;'Onshore - Sydney'!M426)),ISNUMBER(SEARCH("Management (Learning)",'Onshore - Sydney'!B426))),2,IF(ISNUMBER(SEARCH("CEK:",'Onshore - Sydney'!M426)),1,0))</f>
        <v>0</v>
      </c>
    </row>
    <row r="1058" customFormat="false" ht="15" hidden="false" customHeight="false" outlineLevel="0" collapsed="false">
      <c r="A1058" s="63" t="s">
        <v>3533</v>
      </c>
      <c r="B1058" s="64" t="s">
        <v>4128</v>
      </c>
      <c r="C1058" s="63" t="s">
        <v>46</v>
      </c>
      <c r="D1058" s="64" t="str">
        <f aca="false">TRIM(LEFT('Onshore - Sydney'!A888,FIND(CHAR(10),'Onshore - Sydney'!A888&amp;CHAR(10))-1))</f>
        <v>Torrens University Australia</v>
      </c>
      <c r="E1058" s="63" t="str">
        <f aca="false">'Onshore - Sydney'!C959&amp;""</f>
        <v>1,5 years</v>
      </c>
      <c r="F1058" s="63" t="str">
        <f aca="false">IF('Onshore - Sydney'!D959="","Belum tercatat",'Onshore - Sydney'!D959)</f>
        <v>Term</v>
      </c>
      <c r="G1058" s="65" t="n">
        <f aca="false">IF('Onshore - Sydney'!E959="","-",'Onshore - Sydney'!E959)</f>
        <v>7025</v>
      </c>
      <c r="H1058" s="63" t="n">
        <f aca="false">IF(ISNUMBER(K1058),COUNTIFS($J$6:$J$1916,J1058,$K$6:$K$1916,"&lt;"&amp;K1058)+1,"-")</f>
        <v>2</v>
      </c>
      <c r="I1058" s="64" t="str">
        <f aca="false">IF('Onshore - Sydney'!E959="","Harga belum tersedia - hubungi konsultan TEG",IF(M1058=2,"Saat ini tidak menerima pendaftaran siswa internasional baru",IF(M1058=1,"Harga perlu dikonfirmasi ke sekolah"&amp;IF(""="","","; "&amp;""),"")))</f>
        <v/>
      </c>
      <c r="J1058" s="0" t="s">
        <v>4177</v>
      </c>
      <c r="K1058" s="0" t="n">
        <f aca="false">IF(M1058=2,"",IF(ISNUMBER(SEARCH("rata-rata:",'Onshore - Sydney'!M959)),VALUE(MID('Onshore - Sydney'!M959,SEARCH("rata-rata:",'Onshore - Sydney'!M959)+11,FIND(";",'Onshore - Sydney'!M959&amp;";",SEARCH("rata-rata:",'Onshore - Sydney'!M959))-SEARCH("rata-rata:",'Onshore - Sydney'!M959)-11)),IF('Onshore - Sydney'!D959="Semester",'Onshore - Sydney'!E959*2,IF('Onshore - Sydney'!D959="Trimester",'Onshore - Sydney'!E959*3,IF('Onshore - Sydney'!D959="Term",'Onshore - Sydney'!E959*4,IF('Onshore - Sydney'!D959="Unit",'Onshore - Sydney'!E959*8,""))))))</f>
        <v>28100</v>
      </c>
      <c r="L1058" s="0" t="n">
        <f aca="false">IF(AND(ISNUMBER('Onshore - Sydney'!E959),ISNUMBER(K1058),ISNUMBER('Onshore - Sydney'!F959),ISNUMBER('Onshore - Sydney'!G959),OR('Onshore - Sydney'!F959&lt;&gt;0,ISNUMBER(SEARCH("Material 0 terverifikasi",'Onshore - Sydney'!M959))),OR('Onshore - Sydney'!G959&lt;&gt;0,ISNUMBER(SEARCH("Enrolment 0 terverifikasi",'Onshore - Sydney'!M959)))),1,0)</f>
        <v>0</v>
      </c>
      <c r="M1058" s="0" t="n">
        <f aca="false">IF(OR('Onshore - Sydney'!E959="",ISNUMBER(SEARCH("BSB80120",'Onshore - Sydney'!B959&amp;'Onshore - Sydney'!M959)),ISNUMBER(SEARCH("Management (Learning)",'Onshore - Sydney'!B959))),2,IF(ISNUMBER(SEARCH("CEK:",'Onshore - Sydney'!M959)),1,0))</f>
        <v>0</v>
      </c>
    </row>
    <row r="1059" customFormat="false" ht="15" hidden="false" customHeight="false" outlineLevel="0" collapsed="false">
      <c r="A1059" s="63" t="s">
        <v>3533</v>
      </c>
      <c r="B1059" s="64" t="s">
        <v>4128</v>
      </c>
      <c r="C1059" s="63" t="s">
        <v>46</v>
      </c>
      <c r="D1059" s="64" t="str">
        <f aca="false">TRIM(LEFT('Onshore - Sydney'!A1062,FIND(CHAR(10),'Onshore - Sydney'!A1062&amp;CHAR(10))-1))</f>
        <v>Western Sydney University</v>
      </c>
      <c r="E1059" s="63" t="str">
        <f aca="false">'Onshore - Sydney'!C1211&amp;""</f>
        <v>2,5 years</v>
      </c>
      <c r="F1059" s="63" t="str">
        <f aca="false">IF('Onshore - Sydney'!D1211="","Belum tercatat",'Onshore - Sydney'!D1211)</f>
        <v>Term</v>
      </c>
      <c r="G1059" s="65" t="n">
        <f aca="false">IF('Onshore - Sydney'!E1211="","-",'Onshore - Sydney'!E1211)</f>
        <v>8768</v>
      </c>
      <c r="H1059" s="63" t="n">
        <f aca="false">IF(ISNUMBER(K1059),COUNTIFS($J$6:$J$1916,J1059,$K$6:$K$1916,"&lt;"&amp;K1059)+1,"-")</f>
        <v>3</v>
      </c>
      <c r="I1059" s="64" t="str">
        <f aca="false">IF('Onshore - Sydney'!E1211="","Harga belum tersedia - hubungi konsultan TEG",IF(M1059=2,"Saat ini tidak menerima pendaftaran siswa internasional baru",IF(M1059=1,"Harga perlu dikonfirmasi ke sekolah"&amp;IF(""="","","; "&amp;""),"")))</f>
        <v/>
      </c>
      <c r="J1059" s="0" t="s">
        <v>4177</v>
      </c>
      <c r="K1059" s="0" t="n">
        <f aca="false">IF(M1059=2,"",IF(ISNUMBER(SEARCH("rata-rata:",'Onshore - Sydney'!M1211)),VALUE(MID('Onshore - Sydney'!M1211,SEARCH("rata-rata:",'Onshore - Sydney'!M1211)+11,FIND(";",'Onshore - Sydney'!M1211&amp;";",SEARCH("rata-rata:",'Onshore - Sydney'!M1211))-SEARCH("rata-rata:",'Onshore - Sydney'!M1211)-11)),IF('Onshore - Sydney'!D1211="Semester",'Onshore - Sydney'!E1211*2,IF('Onshore - Sydney'!D1211="Trimester",'Onshore - Sydney'!E1211*3,IF('Onshore - Sydney'!D1211="Term",'Onshore - Sydney'!E1211*4,IF('Onshore - Sydney'!D1211="Unit",'Onshore - Sydney'!E1211*8,""))))))</f>
        <v>35072</v>
      </c>
      <c r="L1059" s="0" t="n">
        <f aca="false">IF(AND(ISNUMBER('Onshore - Sydney'!E1211),ISNUMBER(K1059),ISNUMBER('Onshore - Sydney'!F1211),ISNUMBER('Onshore - Sydney'!G1211),OR('Onshore - Sydney'!F1211&lt;&gt;0,ISNUMBER(SEARCH("Material 0 terverifikasi",'Onshore - Sydney'!M1211))),OR('Onshore - Sydney'!G1211&lt;&gt;0,ISNUMBER(SEARCH("Enrolment 0 terverifikasi",'Onshore - Sydney'!M1211)))),1,0)</f>
        <v>0</v>
      </c>
      <c r="M1059" s="0" t="n">
        <f aca="false">IF(OR('Onshore - Sydney'!E1211="",ISNUMBER(SEARCH("BSB80120",'Onshore - Sydney'!B1211&amp;'Onshore - Sydney'!M1211)),ISNUMBER(SEARCH("Management (Learning)",'Onshore - Sydney'!B1211))),2,IF(ISNUMBER(SEARCH("CEK:",'Onshore - Sydney'!M1211)),1,0))</f>
        <v>0</v>
      </c>
    </row>
    <row r="1060" customFormat="false" ht="15" hidden="false" customHeight="false" outlineLevel="0" collapsed="false">
      <c r="A1060" s="63" t="s">
        <v>3533</v>
      </c>
      <c r="B1060" s="64" t="s">
        <v>4128</v>
      </c>
      <c r="C1060" s="63" t="s">
        <v>46</v>
      </c>
      <c r="D1060" s="64" t="str">
        <f aca="false">TRIM(LEFT('Onshore - Sydney'!A163,FIND(CHAR(10),'Onshore - Sydney'!A163&amp;CHAR(10))-1))</f>
        <v>Australian Catholic University (ACU)</v>
      </c>
      <c r="E1060" s="63" t="str">
        <f aca="false">'Onshore - Sydney'!C194&amp;""</f>
        <v>4 years</v>
      </c>
      <c r="F1060" s="63" t="str">
        <f aca="false">IF('Onshore - Sydney'!D194="","Belum tercatat",'Onshore - Sydney'!D194)</f>
        <v>Term</v>
      </c>
      <c r="G1060" s="65" t="n">
        <f aca="false">IF('Onshore - Sydney'!E194="","-",'Onshore - Sydney'!E194)</f>
        <v>8906</v>
      </c>
      <c r="H1060" s="63" t="n">
        <f aca="false">IF(ISNUMBER(K1060),COUNTIFS($J$6:$J$1916,J1060,$K$6:$K$1916,"&lt;"&amp;K1060)+1,"-")</f>
        <v>4</v>
      </c>
      <c r="I1060" s="64" t="str">
        <f aca="false">IF('Onshore - Sydney'!E194="","Harga belum tersedia - hubungi konsultan TEG",IF(M1060=2,"Saat ini tidak menerima pendaftaran siswa internasional baru",IF(M1060=1,"Harga perlu dikonfirmasi ke sekolah"&amp;IF(""="","","; "&amp;""),"")))</f>
        <v/>
      </c>
      <c r="J1060" s="0" t="s">
        <v>4177</v>
      </c>
      <c r="K1060" s="0" t="n">
        <f aca="false">IF(M1060=2,"",IF(ISNUMBER(SEARCH("rata-rata:",'Onshore - Sydney'!M194)),VALUE(MID('Onshore - Sydney'!M194,SEARCH("rata-rata:",'Onshore - Sydney'!M194)+11,FIND(";",'Onshore - Sydney'!M194&amp;";",SEARCH("rata-rata:",'Onshore - Sydney'!M194))-SEARCH("rata-rata:",'Onshore - Sydney'!M194)-11)),IF('Onshore - Sydney'!D194="Semester",'Onshore - Sydney'!E194*2,IF('Onshore - Sydney'!D194="Trimester",'Onshore - Sydney'!E194*3,IF('Onshore - Sydney'!D194="Term",'Onshore - Sydney'!E194*4,IF('Onshore - Sydney'!D194="Unit",'Onshore - Sydney'!E194*8,""))))))</f>
        <v>35624</v>
      </c>
      <c r="L1060" s="0" t="n">
        <f aca="false">IF(AND(ISNUMBER('Onshore - Sydney'!E194),ISNUMBER(K1060),ISNUMBER('Onshore - Sydney'!F194),ISNUMBER('Onshore - Sydney'!G194),OR('Onshore - Sydney'!F194&lt;&gt;0,ISNUMBER(SEARCH("Material 0 terverifikasi",'Onshore - Sydney'!M194))),OR('Onshore - Sydney'!G194&lt;&gt;0,ISNUMBER(SEARCH("Enrolment 0 terverifikasi",'Onshore - Sydney'!M194)))),1,0)</f>
        <v>0</v>
      </c>
      <c r="M1060" s="0" t="n">
        <f aca="false">IF(OR('Onshore - Sydney'!E194="",ISNUMBER(SEARCH("BSB80120",'Onshore - Sydney'!B194&amp;'Onshore - Sydney'!M194)),ISNUMBER(SEARCH("Management (Learning)",'Onshore - Sydney'!B194))),2,IF(ISNUMBER(SEARCH("CEK:",'Onshore - Sydney'!M194)),1,0))</f>
        <v>0</v>
      </c>
    </row>
    <row r="1061" customFormat="false" ht="15" hidden="false" customHeight="false" outlineLevel="0" collapsed="false">
      <c r="A1061" s="61" t="s">
        <v>4178</v>
      </c>
      <c r="B1061" s="62"/>
      <c r="C1061" s="62"/>
      <c r="D1061" s="62"/>
      <c r="E1061" s="62"/>
      <c r="F1061" s="62"/>
      <c r="G1061" s="62"/>
      <c r="H1061" s="62"/>
      <c r="I1061" s="62"/>
    </row>
    <row r="1062" customFormat="false" ht="15" hidden="false" customHeight="false" outlineLevel="0" collapsed="false">
      <c r="A1062" s="63" t="s">
        <v>3753</v>
      </c>
      <c r="B1062" s="64" t="s">
        <v>4128</v>
      </c>
      <c r="C1062" s="63" t="s">
        <v>43</v>
      </c>
      <c r="D1062" s="64" t="str">
        <f aca="false">TRIM(LEFT('Onshore - Tasmania Hobart'!A21,FIND(CHAR(10),'Onshore - Tasmania Hobart'!A21&amp;CHAR(10))-1))</f>
        <v>University of Tasmania (UTAS)</v>
      </c>
      <c r="E1062" s="63" t="str">
        <f aca="false">'Onshore - Tasmania Hobart'!C68&amp;""</f>
        <v>4 years</v>
      </c>
      <c r="F1062" s="63" t="str">
        <f aca="false">IF('Onshore - Tasmania Hobart'!D68="","Belum tercatat",'Onshore - Tasmania Hobart'!D68)</f>
        <v>Term</v>
      </c>
      <c r="G1062" s="65" t="n">
        <f aca="false">IF('Onshore - Tasmania Hobart'!E68="","-",'Onshore - Tasmania Hobart'!E68)</f>
        <v>9562.5</v>
      </c>
      <c r="H1062" s="63" t="n">
        <f aca="false">IF(ISNUMBER(K1062),COUNTIFS($J$6:$J$1916,J1062,$K$6:$K$1916,"&lt;"&amp;K1062)+1,"-")</f>
        <v>1</v>
      </c>
      <c r="I1062" s="64" t="str">
        <f aca="false">IF('Onshore - Tasmania Hobart'!E68="","Harga belum tersedia - hubungi konsultan TEG",IF(M1062=2,"Saat ini tidak menerima pendaftaran siswa internasional baru",IF(M1062=1,"Harga perlu dikonfirmasi ke sekolah"&amp;IF(""="","","; "&amp;""),"")))</f>
        <v>Harga perlu dikonfirmasi ke sekolah</v>
      </c>
      <c r="J1062" s="0" t="s">
        <v>4179</v>
      </c>
      <c r="K1062" s="0" t="n">
        <f aca="false">IF(M1062=2,"",IF(ISNUMBER(SEARCH("rata-rata:",'Onshore - Tasmania Hobart'!M68)),VALUE(MID('Onshore - Tasmania Hobart'!M68,SEARCH("rata-rata:",'Onshore - Tasmania Hobart'!M68)+11,FIND(";",'Onshore - Tasmania Hobart'!M68&amp;";",SEARCH("rata-rata:",'Onshore - Tasmania Hobart'!M68))-SEARCH("rata-rata:",'Onshore - Tasmania Hobart'!M68)-11)),IF('Onshore - Tasmania Hobart'!D68="Semester",'Onshore - Tasmania Hobart'!E68*2,IF('Onshore - Tasmania Hobart'!D68="Trimester",'Onshore - Tasmania Hobart'!E68*3,IF('Onshore - Tasmania Hobart'!D68="Term",'Onshore - Tasmania Hobart'!E68*4,IF('Onshore - Tasmania Hobart'!D68="Unit",'Onshore - Tasmania Hobart'!E68*8,""))))))</f>
        <v>38250</v>
      </c>
      <c r="L1062" s="0" t="n">
        <f aca="false">IF(AND(ISNUMBER('Onshore - Tasmania Hobart'!E68),ISNUMBER(K1062),ISNUMBER('Onshore - Tasmania Hobart'!F68),ISNUMBER('Onshore - Tasmania Hobart'!G68),OR('Onshore - Tasmania Hobart'!F68&lt;&gt;0,ISNUMBER(SEARCH("Material 0 terverifikasi",'Onshore - Tasmania Hobart'!M68))),OR('Onshore - Tasmania Hobart'!G68&lt;&gt;0,ISNUMBER(SEARCH("Enrolment 0 terverifikasi",'Onshore - Tasmania Hobart'!M68)))),1,0)</f>
        <v>0</v>
      </c>
      <c r="M1062" s="0" t="n">
        <f aca="false">IF(OR('Onshore - Tasmania Hobart'!E68="",ISNUMBER(SEARCH("BSB80120",'Onshore - Tasmania Hobart'!B68&amp;'Onshore - Tasmania Hobart'!M68)),ISNUMBER(SEARCH("Management (Learning)",'Onshore - Tasmania Hobart'!B68))),2,IF(ISNUMBER(SEARCH("CEK:",'Onshore - Tasmania Hobart'!M68)),1,0))</f>
        <v>1</v>
      </c>
    </row>
    <row r="1063" customFormat="false" ht="15" hidden="false" customHeight="false" outlineLevel="0" collapsed="false">
      <c r="A1063" s="61" t="s">
        <v>4180</v>
      </c>
      <c r="B1063" s="62"/>
      <c r="C1063" s="62"/>
      <c r="D1063" s="62"/>
      <c r="E1063" s="62"/>
      <c r="F1063" s="62"/>
      <c r="G1063" s="62"/>
      <c r="H1063" s="62"/>
      <c r="I1063" s="62"/>
    </row>
    <row r="1064" customFormat="false" ht="15" hidden="false" customHeight="false" outlineLevel="0" collapsed="false">
      <c r="A1064" s="63" t="s">
        <v>3753</v>
      </c>
      <c r="B1064" s="64" t="s">
        <v>4128</v>
      </c>
      <c r="C1064" s="63" t="s">
        <v>46</v>
      </c>
      <c r="D1064" s="64" t="str">
        <f aca="false">TRIM(LEFT('Onshore - Tasmania Hobart'!A21,FIND(CHAR(10),'Onshore - Tasmania Hobart'!A21&amp;CHAR(10))-1))</f>
        <v>University of Tasmania (UTAS)</v>
      </c>
      <c r="E1064" s="63" t="str">
        <f aca="false">'Onshore - Tasmania Hobart'!C70&amp;""</f>
        <v>2 yeas</v>
      </c>
      <c r="F1064" s="63" t="str">
        <f aca="false">IF('Onshore - Tasmania Hobart'!D70="","Belum tercatat",'Onshore - Tasmania Hobart'!D70)</f>
        <v>Term</v>
      </c>
      <c r="G1064" s="65" t="n">
        <f aca="false">IF('Onshore - Tasmania Hobart'!E70="","-",'Onshore - Tasmania Hobart'!E70)</f>
        <v>9562.5</v>
      </c>
      <c r="H1064" s="63" t="n">
        <f aca="false">IF(ISNUMBER(K1064),COUNTIFS($J$6:$J$1916,J1064,$K$6:$K$1916,"&lt;"&amp;K1064)+1,"-")</f>
        <v>1</v>
      </c>
      <c r="I1064" s="64" t="str">
        <f aca="false">IF('Onshore - Tasmania Hobart'!E70="","Harga belum tersedia - hubungi konsultan TEG",IF(M1064=2,"Saat ini tidak menerima pendaftaran siswa internasional baru",IF(M1064=1,"Harga perlu dikonfirmasi ke sekolah"&amp;IF(""="","","; "&amp;""),"")))</f>
        <v>Harga perlu dikonfirmasi ke sekolah</v>
      </c>
      <c r="J1064" s="0" t="s">
        <v>4181</v>
      </c>
      <c r="K1064" s="0" t="n">
        <f aca="false">IF(M1064=2,"",IF(ISNUMBER(SEARCH("rata-rata:",'Onshore - Tasmania Hobart'!M70)),VALUE(MID('Onshore - Tasmania Hobart'!M70,SEARCH("rata-rata:",'Onshore - Tasmania Hobart'!M70)+11,FIND(";",'Onshore - Tasmania Hobart'!M70&amp;";",SEARCH("rata-rata:",'Onshore - Tasmania Hobart'!M70))-SEARCH("rata-rata:",'Onshore - Tasmania Hobart'!M70)-11)),IF('Onshore - Tasmania Hobart'!D70="Semester",'Onshore - Tasmania Hobart'!E70*2,IF('Onshore - Tasmania Hobart'!D70="Trimester",'Onshore - Tasmania Hobart'!E70*3,IF('Onshore - Tasmania Hobart'!D70="Term",'Onshore - Tasmania Hobart'!E70*4,IF('Onshore - Tasmania Hobart'!D70="Unit",'Onshore - Tasmania Hobart'!E70*8,""))))))</f>
        <v>38250</v>
      </c>
      <c r="L1064" s="0" t="n">
        <f aca="false">IF(AND(ISNUMBER('Onshore - Tasmania Hobart'!E70),ISNUMBER(K1064),ISNUMBER('Onshore - Tasmania Hobart'!F70),ISNUMBER('Onshore - Tasmania Hobart'!G70),OR('Onshore - Tasmania Hobart'!F70&lt;&gt;0,ISNUMBER(SEARCH("Material 0 terverifikasi",'Onshore - Tasmania Hobart'!M70))),OR('Onshore - Tasmania Hobart'!G70&lt;&gt;0,ISNUMBER(SEARCH("Enrolment 0 terverifikasi",'Onshore - Tasmania Hobart'!M70)))),1,0)</f>
        <v>0</v>
      </c>
      <c r="M1064" s="0" t="n">
        <f aca="false">IF(OR('Onshore - Tasmania Hobart'!E70="",ISNUMBER(SEARCH("BSB80120",'Onshore - Tasmania Hobart'!B70&amp;'Onshore - Tasmania Hobart'!M70)),ISNUMBER(SEARCH("Management (Learning)",'Onshore - Tasmania Hobart'!B70))),2,IF(ISNUMBER(SEARCH("CEK:",'Onshore - Tasmania Hobart'!M70)),1,0))</f>
        <v>1</v>
      </c>
    </row>
    <row r="1065" customFormat="false" ht="15" hidden="false" customHeight="false" outlineLevel="0" collapsed="false">
      <c r="A1065" s="61" t="s">
        <v>4182</v>
      </c>
      <c r="B1065" s="62"/>
      <c r="C1065" s="62"/>
      <c r="D1065" s="62"/>
      <c r="E1065" s="62"/>
      <c r="F1065" s="62"/>
      <c r="G1065" s="62"/>
      <c r="H1065" s="62"/>
      <c r="I1065" s="62"/>
    </row>
    <row r="1066" customFormat="false" ht="15" hidden="false" customHeight="false" outlineLevel="0" collapsed="false">
      <c r="A1066" s="63" t="s">
        <v>3659</v>
      </c>
      <c r="B1066" s="64" t="s">
        <v>4183</v>
      </c>
      <c r="C1066" s="63" t="s">
        <v>43</v>
      </c>
      <c r="D1066" s="64" t="str">
        <f aca="false">TRIM(LEFT('Onshore - Adelaide'!A15,FIND(CHAR(10),'Onshore - Adelaide'!A15&amp;CHAR(10))-1))</f>
        <v>Adelaide University</v>
      </c>
      <c r="E1066" s="63" t="str">
        <f aca="false">'Onshore - Adelaide'!C57&amp;""</f>
        <v>3 years</v>
      </c>
      <c r="F1066" s="63" t="str">
        <f aca="false">IF('Onshore - Adelaide'!D57="","Belum tercatat",'Onshore - Adelaide'!D57)</f>
        <v>Term</v>
      </c>
      <c r="G1066" s="65" t="n">
        <f aca="false">IF('Onshore - Adelaide'!E57="","-",'Onshore - Adelaide'!E57)</f>
        <v>11275</v>
      </c>
      <c r="H1066" s="63" t="n">
        <f aca="false">IF(ISNUMBER(K1066),COUNTIFS($J$6:$J$1916,J1066,$K$6:$K$1916,"&lt;"&amp;K1066)+1,"-")</f>
        <v>1</v>
      </c>
      <c r="I1066" s="64" t="str">
        <f aca="false">IF('Onshore - Adelaide'!E57="","Harga belum tersedia - hubungi konsultan TEG",IF(M1066=2,"Saat ini tidak menerima pendaftaran siswa internasional baru",IF(M1066=1,"Harga perlu dikonfirmasi ke sekolah"&amp;IF(""="","","; "&amp;""),"")))</f>
        <v/>
      </c>
      <c r="J1066" s="0" t="s">
        <v>4184</v>
      </c>
      <c r="K1066" s="0" t="n">
        <f aca="false">IF(M1066=2,"",IF(ISNUMBER(SEARCH("rata-rata:",'Onshore - Adelaide'!M57)),VALUE(MID('Onshore - Adelaide'!M57,SEARCH("rata-rata:",'Onshore - Adelaide'!M57)+11,FIND(";",'Onshore - Adelaide'!M57&amp;";",SEARCH("rata-rata:",'Onshore - Adelaide'!M57))-SEARCH("rata-rata:",'Onshore - Adelaide'!M57)-11)),IF('Onshore - Adelaide'!D57="Semester",'Onshore - Adelaide'!E57*2,IF('Onshore - Adelaide'!D57="Trimester",'Onshore - Adelaide'!E57*3,IF('Onshore - Adelaide'!D57="Term",'Onshore - Adelaide'!E57*4,IF('Onshore - Adelaide'!D57="Unit",'Onshore - Adelaide'!E57*8,""))))))</f>
        <v>45100</v>
      </c>
      <c r="L1066" s="0" t="n">
        <f aca="false">IF(AND(ISNUMBER('Onshore - Adelaide'!E57),ISNUMBER(K1066),ISNUMBER('Onshore - Adelaide'!F57),ISNUMBER('Onshore - Adelaide'!G57),OR('Onshore - Adelaide'!F57&lt;&gt;0,ISNUMBER(SEARCH("Material 0 terverifikasi",'Onshore - Adelaide'!M57))),OR('Onshore - Adelaide'!G57&lt;&gt;0,ISNUMBER(SEARCH("Enrolment 0 terverifikasi",'Onshore - Adelaide'!M57)))),1,0)</f>
        <v>0</v>
      </c>
      <c r="M1066" s="0" t="n">
        <f aca="false">IF(OR('Onshore - Adelaide'!E57="",ISNUMBER(SEARCH("BSB80120",'Onshore - Adelaide'!B57&amp;'Onshore - Adelaide'!M57)),ISNUMBER(SEARCH("Management (Learning)",'Onshore - Adelaide'!B57))),2,IF(ISNUMBER(SEARCH("CEK:",'Onshore - Adelaide'!M57)),1,0))</f>
        <v>0</v>
      </c>
    </row>
    <row r="1067" customFormat="false" ht="15" hidden="false" customHeight="false" outlineLevel="0" collapsed="false">
      <c r="A1067" s="61" t="s">
        <v>4188</v>
      </c>
      <c r="B1067" s="62"/>
      <c r="C1067" s="62"/>
      <c r="D1067" s="62"/>
      <c r="E1067" s="62"/>
      <c r="F1067" s="62"/>
      <c r="G1067" s="62"/>
      <c r="H1067" s="62"/>
      <c r="I1067" s="62"/>
    </row>
    <row r="1068" customFormat="false" ht="15" hidden="false" customHeight="false" outlineLevel="0" collapsed="false">
      <c r="A1068" s="63" t="s">
        <v>3563</v>
      </c>
      <c r="B1068" s="64" t="s">
        <v>4183</v>
      </c>
      <c r="C1068" s="63" t="s">
        <v>4186</v>
      </c>
      <c r="D1068" s="64" t="str">
        <f aca="false">TRIM(LEFT('Onshore - Brisbane'!A53,FIND(CHAR(10),'Onshore - Brisbane'!A53&amp;CHAR(10))-1))</f>
        <v>Australian Catholic University (ACU)</v>
      </c>
      <c r="E1068" s="63" t="str">
        <f aca="false">'Onshore - Brisbane'!C156&amp;""</f>
        <v>1 year</v>
      </c>
      <c r="F1068" s="63" t="str">
        <f aca="false">IF('Onshore - Brisbane'!D156="","Belum tercatat",'Onshore - Brisbane'!D156)</f>
        <v>Term</v>
      </c>
      <c r="G1068" s="65" t="n">
        <f aca="false">IF('Onshore - Brisbane'!E156="","-",'Onshore - Brisbane'!E156)</f>
        <v>5780</v>
      </c>
      <c r="H1068" s="63" t="n">
        <f aca="false">IF(ISNUMBER(K1068),COUNTIFS($J$6:$J$1916,J1068,$K$6:$K$1916,"&lt;"&amp;K1068)+1,"-")</f>
        <v>1</v>
      </c>
      <c r="I1068" s="64" t="str">
        <f aca="false">IF('Onshore - Brisbane'!E156="","Harga belum tersedia - hubungi konsultan TEG",IF(M1068=2,"Saat ini tidak menerima pendaftaran siswa internasional baru",IF(M1068=1,"Harga perlu dikonfirmasi ke sekolah"&amp;IF(""="","","; "&amp;""),"")))</f>
        <v/>
      </c>
      <c r="J1068" s="0" t="s">
        <v>4189</v>
      </c>
      <c r="K1068" s="0" t="n">
        <f aca="false">IF(M1068=2,"",IF(ISNUMBER(SEARCH("rata-rata:",'Onshore - Brisbane'!M156)),VALUE(MID('Onshore - Brisbane'!M156,SEARCH("rata-rata:",'Onshore - Brisbane'!M156)+11,FIND(";",'Onshore - Brisbane'!M156&amp;";",SEARCH("rata-rata:",'Onshore - Brisbane'!M156))-SEARCH("rata-rata:",'Onshore - Brisbane'!M156)-11)),IF('Onshore - Brisbane'!D156="Semester",'Onshore - Brisbane'!E156*2,IF('Onshore - Brisbane'!D156="Trimester",'Onshore - Brisbane'!E156*3,IF('Onshore - Brisbane'!D156="Term",'Onshore - Brisbane'!E156*4,IF('Onshore - Brisbane'!D156="Unit",'Onshore - Brisbane'!E156*8,""))))))</f>
        <v>23120</v>
      </c>
      <c r="L1068" s="0" t="n">
        <f aca="false">IF(AND(ISNUMBER('Onshore - Brisbane'!E156),ISNUMBER(K1068),ISNUMBER('Onshore - Brisbane'!F156),ISNUMBER('Onshore - Brisbane'!G156),OR('Onshore - Brisbane'!F156&lt;&gt;0,ISNUMBER(SEARCH("Material 0 terverifikasi",'Onshore - Brisbane'!M156))),OR('Onshore - Brisbane'!G156&lt;&gt;0,ISNUMBER(SEARCH("Enrolment 0 terverifikasi",'Onshore - Brisbane'!M156)))),1,0)</f>
        <v>0</v>
      </c>
      <c r="M1068" s="0" t="n">
        <f aca="false">IF(OR('Onshore - Brisbane'!E156="",ISNUMBER(SEARCH("BSB80120",'Onshore - Brisbane'!B156&amp;'Onshore - Brisbane'!M156)),ISNUMBER(SEARCH("Management (Learning)",'Onshore - Brisbane'!B156))),2,IF(ISNUMBER(SEARCH("CEK:",'Onshore - Brisbane'!M156)),1,0))</f>
        <v>0</v>
      </c>
    </row>
    <row r="1069" customFormat="false" ht="15" hidden="false" customHeight="false" outlineLevel="0" collapsed="false">
      <c r="A1069" s="61" t="s">
        <v>4190</v>
      </c>
      <c r="B1069" s="62"/>
      <c r="C1069" s="62"/>
      <c r="D1069" s="62"/>
      <c r="E1069" s="62"/>
      <c r="F1069" s="62"/>
      <c r="G1069" s="62"/>
      <c r="H1069" s="62"/>
      <c r="I1069" s="62"/>
    </row>
    <row r="1070" customFormat="false" ht="15" hidden="false" customHeight="false" outlineLevel="0" collapsed="false">
      <c r="A1070" s="63" t="s">
        <v>3563</v>
      </c>
      <c r="B1070" s="64" t="s">
        <v>4183</v>
      </c>
      <c r="C1070" s="63" t="s">
        <v>3821</v>
      </c>
      <c r="D1070" s="64" t="str">
        <f aca="false">TRIM(LEFT('Onshore - Brisbane'!A53,FIND(CHAR(10),'Onshore - Brisbane'!A53&amp;CHAR(10))-1))</f>
        <v>Australian Catholic University (ACU)</v>
      </c>
      <c r="E1070" s="63" t="str">
        <f aca="false">'Onshore - Brisbane'!C157&amp;""</f>
        <v>1 year</v>
      </c>
      <c r="F1070" s="63" t="str">
        <f aca="false">IF('Onshore - Brisbane'!D157="","Belum tercatat",'Onshore - Brisbane'!D157)</f>
        <v>Term</v>
      </c>
      <c r="G1070" s="65" t="n">
        <f aca="false">IF('Onshore - Brisbane'!E157="","-",'Onshore - Brisbane'!E157)</f>
        <v>5000</v>
      </c>
      <c r="H1070" s="63" t="n">
        <f aca="false">IF(ISNUMBER(K1070),COUNTIFS($J$6:$J$1916,J1070,$K$6:$K$1916,"&lt;"&amp;K1070)+1,"-")</f>
        <v>1</v>
      </c>
      <c r="I1070" s="64" t="str">
        <f aca="false">IF('Onshore - Brisbane'!E157="","Harga belum tersedia - hubungi konsultan TEG",IF(M1070=2,"Saat ini tidak menerima pendaftaran siswa internasional baru",IF(M1070=1,"Harga perlu dikonfirmasi ke sekolah"&amp;IF(""="","","; "&amp;""),"")))</f>
        <v/>
      </c>
      <c r="J1070" s="0" t="s">
        <v>4191</v>
      </c>
      <c r="K1070" s="0" t="n">
        <f aca="false">IF(M1070=2,"",IF(ISNUMBER(SEARCH("rata-rata:",'Onshore - Brisbane'!M157)),VALUE(MID('Onshore - Brisbane'!M157,SEARCH("rata-rata:",'Onshore - Brisbane'!M157)+11,FIND(";",'Onshore - Brisbane'!M157&amp;";",SEARCH("rata-rata:",'Onshore - Brisbane'!M157))-SEARCH("rata-rata:",'Onshore - Brisbane'!M157)-11)),IF('Onshore - Brisbane'!D157="Semester",'Onshore - Brisbane'!E157*2,IF('Onshore - Brisbane'!D157="Trimester",'Onshore - Brisbane'!E157*3,IF('Onshore - Brisbane'!D157="Term",'Onshore - Brisbane'!E157*4,IF('Onshore - Brisbane'!D157="Unit",'Onshore - Brisbane'!E157*8,""))))))</f>
        <v>20000</v>
      </c>
      <c r="L1070" s="0" t="n">
        <f aca="false">IF(AND(ISNUMBER('Onshore - Brisbane'!E157),ISNUMBER(K1070),ISNUMBER('Onshore - Brisbane'!F157),ISNUMBER('Onshore - Brisbane'!G157),OR('Onshore - Brisbane'!F157&lt;&gt;0,ISNUMBER(SEARCH("Material 0 terverifikasi",'Onshore - Brisbane'!M157))),OR('Onshore - Brisbane'!G157&lt;&gt;0,ISNUMBER(SEARCH("Enrolment 0 terverifikasi",'Onshore - Brisbane'!M157)))),1,0)</f>
        <v>0</v>
      </c>
      <c r="M1070" s="0" t="n">
        <f aca="false">IF(OR('Onshore - Brisbane'!E157="",ISNUMBER(SEARCH("BSB80120",'Onshore - Brisbane'!B157&amp;'Onshore - Brisbane'!M157)),ISNUMBER(SEARCH("Management (Learning)",'Onshore - Brisbane'!B157))),2,IF(ISNUMBER(SEARCH("CEK:",'Onshore - Brisbane'!M157)),1,0))</f>
        <v>0</v>
      </c>
    </row>
    <row r="1071" customFormat="false" ht="15" hidden="false" customHeight="false" outlineLevel="0" collapsed="false">
      <c r="A1071" s="61" t="s">
        <v>4192</v>
      </c>
      <c r="B1071" s="62"/>
      <c r="C1071" s="62"/>
      <c r="D1071" s="62"/>
      <c r="E1071" s="62"/>
      <c r="F1071" s="62"/>
      <c r="G1071" s="62"/>
      <c r="H1071" s="62"/>
      <c r="I1071" s="62"/>
    </row>
    <row r="1072" customFormat="false" ht="15" hidden="false" customHeight="false" outlineLevel="0" collapsed="false">
      <c r="A1072" s="63" t="s">
        <v>3718</v>
      </c>
      <c r="B1072" s="64" t="s">
        <v>4183</v>
      </c>
      <c r="C1072" s="63" t="s">
        <v>4186</v>
      </c>
      <c r="D1072" s="64" t="str">
        <f aca="false">TRIM(LEFT('Onshore - Canberra'!A6,FIND(CHAR(10),'Onshore - Canberra'!A6&amp;CHAR(10))-1))</f>
        <v>Australian Catholic University (ACU)</v>
      </c>
      <c r="E1072" s="63" t="str">
        <f aca="false">'Onshore - Canberra'!C109&amp;""</f>
        <v>1 year</v>
      </c>
      <c r="F1072" s="63" t="str">
        <f aca="false">IF('Onshore - Canberra'!D109="","Belum tercatat",'Onshore - Canberra'!D109)</f>
        <v>Term</v>
      </c>
      <c r="G1072" s="65" t="n">
        <f aca="false">IF('Onshore - Canberra'!E109="","-",'Onshore - Canberra'!E109)</f>
        <v>5780</v>
      </c>
      <c r="H1072" s="63" t="n">
        <f aca="false">IF(ISNUMBER(K1072),COUNTIFS($J$6:$J$1916,J1072,$K$6:$K$1916,"&lt;"&amp;K1072)+1,"-")</f>
        <v>1</v>
      </c>
      <c r="I1072" s="64" t="str">
        <f aca="false">IF('Onshore - Canberra'!E109="","Harga belum tersedia - hubungi konsultan TEG",IF(M1072=2,"Saat ini tidak menerima pendaftaran siswa internasional baru",IF(M1072=1,"Harga perlu dikonfirmasi ke sekolah"&amp;IF(""="","","; "&amp;""),"")))</f>
        <v/>
      </c>
      <c r="J1072" s="0" t="s">
        <v>4193</v>
      </c>
      <c r="K1072" s="0" t="n">
        <f aca="false">IF(M1072=2,"",IF(ISNUMBER(SEARCH("rata-rata:",'Onshore - Canberra'!M109)),VALUE(MID('Onshore - Canberra'!M109,SEARCH("rata-rata:",'Onshore - Canberra'!M109)+11,FIND(";",'Onshore - Canberra'!M109&amp;";",SEARCH("rata-rata:",'Onshore - Canberra'!M109))-SEARCH("rata-rata:",'Onshore - Canberra'!M109)-11)),IF('Onshore - Canberra'!D109="Semester",'Onshore - Canberra'!E109*2,IF('Onshore - Canberra'!D109="Trimester",'Onshore - Canberra'!E109*3,IF('Onshore - Canberra'!D109="Term",'Onshore - Canberra'!E109*4,IF('Onshore - Canberra'!D109="Unit",'Onshore - Canberra'!E109*8,""))))))</f>
        <v>23120</v>
      </c>
      <c r="L1072" s="0" t="n">
        <f aca="false">IF(AND(ISNUMBER('Onshore - Canberra'!E109),ISNUMBER(K1072),ISNUMBER('Onshore - Canberra'!F109),ISNUMBER('Onshore - Canberra'!G109),OR('Onshore - Canberra'!F109&lt;&gt;0,ISNUMBER(SEARCH("Material 0 terverifikasi",'Onshore - Canberra'!M109))),OR('Onshore - Canberra'!G109&lt;&gt;0,ISNUMBER(SEARCH("Enrolment 0 terverifikasi",'Onshore - Canberra'!M109)))),1,0)</f>
        <v>0</v>
      </c>
      <c r="M1072" s="0" t="n">
        <f aca="false">IF(OR('Onshore - Canberra'!E109="",ISNUMBER(SEARCH("BSB80120",'Onshore - Canberra'!B109&amp;'Onshore - Canberra'!M109)),ISNUMBER(SEARCH("Management (Learning)",'Onshore - Canberra'!B109))),2,IF(ISNUMBER(SEARCH("CEK:",'Onshore - Canberra'!M109)),1,0))</f>
        <v>0</v>
      </c>
    </row>
    <row r="1073" customFormat="false" ht="15" hidden="false" customHeight="false" outlineLevel="0" collapsed="false">
      <c r="A1073" s="61" t="s">
        <v>4194</v>
      </c>
      <c r="B1073" s="62"/>
      <c r="C1073" s="62"/>
      <c r="D1073" s="62"/>
      <c r="E1073" s="62"/>
      <c r="F1073" s="62"/>
      <c r="G1073" s="62"/>
      <c r="H1073" s="62"/>
      <c r="I1073" s="62"/>
    </row>
    <row r="1074" customFormat="false" ht="15" hidden="false" customHeight="false" outlineLevel="0" collapsed="false">
      <c r="A1074" s="63" t="s">
        <v>3718</v>
      </c>
      <c r="B1074" s="64" t="s">
        <v>4183</v>
      </c>
      <c r="C1074" s="63" t="s">
        <v>3821</v>
      </c>
      <c r="D1074" s="64" t="str">
        <f aca="false">TRIM(LEFT('Onshore - Canberra'!A6,FIND(CHAR(10),'Onshore - Canberra'!A6&amp;CHAR(10))-1))</f>
        <v>Australian Catholic University (ACU)</v>
      </c>
      <c r="E1074" s="63" t="str">
        <f aca="false">'Onshore - Canberra'!C110&amp;""</f>
        <v>1 year</v>
      </c>
      <c r="F1074" s="63" t="str">
        <f aca="false">IF('Onshore - Canberra'!D110="","Belum tercatat",'Onshore - Canberra'!D110)</f>
        <v>Term</v>
      </c>
      <c r="G1074" s="65" t="n">
        <f aca="false">IF('Onshore - Canberra'!E110="","-",'Onshore - Canberra'!E110)</f>
        <v>5000</v>
      </c>
      <c r="H1074" s="63" t="n">
        <f aca="false">IF(ISNUMBER(K1074),COUNTIFS($J$6:$J$1916,J1074,$K$6:$K$1916,"&lt;"&amp;K1074)+1,"-")</f>
        <v>1</v>
      </c>
      <c r="I1074" s="64" t="str">
        <f aca="false">IF('Onshore - Canberra'!E110="","Harga belum tersedia - hubungi konsultan TEG",IF(M1074=2,"Saat ini tidak menerima pendaftaran siswa internasional baru",IF(M1074=1,"Harga perlu dikonfirmasi ke sekolah"&amp;IF(""="","","; "&amp;""),"")))</f>
        <v/>
      </c>
      <c r="J1074" s="0" t="s">
        <v>4195</v>
      </c>
      <c r="K1074" s="0" t="n">
        <f aca="false">IF(M1074=2,"",IF(ISNUMBER(SEARCH("rata-rata:",'Onshore - Canberra'!M110)),VALUE(MID('Onshore - Canberra'!M110,SEARCH("rata-rata:",'Onshore - Canberra'!M110)+11,FIND(";",'Onshore - Canberra'!M110&amp;";",SEARCH("rata-rata:",'Onshore - Canberra'!M110))-SEARCH("rata-rata:",'Onshore - Canberra'!M110)-11)),IF('Onshore - Canberra'!D110="Semester",'Onshore - Canberra'!E110*2,IF('Onshore - Canberra'!D110="Trimester",'Onshore - Canberra'!E110*3,IF('Onshore - Canberra'!D110="Term",'Onshore - Canberra'!E110*4,IF('Onshore - Canberra'!D110="Unit",'Onshore - Canberra'!E110*8,""))))))</f>
        <v>20000</v>
      </c>
      <c r="L1074" s="0" t="n">
        <f aca="false">IF(AND(ISNUMBER('Onshore - Canberra'!E110),ISNUMBER(K1074),ISNUMBER('Onshore - Canberra'!F110),ISNUMBER('Onshore - Canberra'!G110),OR('Onshore - Canberra'!F110&lt;&gt;0,ISNUMBER(SEARCH("Material 0 terverifikasi",'Onshore - Canberra'!M110))),OR('Onshore - Canberra'!G110&lt;&gt;0,ISNUMBER(SEARCH("Enrolment 0 terverifikasi",'Onshore - Canberra'!M110)))),1,0)</f>
        <v>0</v>
      </c>
      <c r="M1074" s="0" t="n">
        <f aca="false">IF(OR('Onshore - Canberra'!E110="",ISNUMBER(SEARCH("BSB80120",'Onshore - Canberra'!B110&amp;'Onshore - Canberra'!M110)),ISNUMBER(SEARCH("Management (Learning)",'Onshore - Canberra'!B110))),2,IF(ISNUMBER(SEARCH("CEK:",'Onshore - Canberra'!M110)),1,0))</f>
        <v>0</v>
      </c>
    </row>
    <row r="1075" customFormat="false" ht="15" hidden="false" customHeight="false" outlineLevel="0" collapsed="false">
      <c r="A1075" s="61" t="s">
        <v>4196</v>
      </c>
      <c r="B1075" s="62"/>
      <c r="C1075" s="62"/>
      <c r="D1075" s="62"/>
      <c r="E1075" s="62"/>
      <c r="F1075" s="62"/>
      <c r="G1075" s="62"/>
      <c r="H1075" s="62"/>
      <c r="I1075" s="62"/>
    </row>
    <row r="1076" customFormat="false" ht="15" hidden="false" customHeight="false" outlineLevel="0" collapsed="false">
      <c r="A1076" s="63" t="s">
        <v>3544</v>
      </c>
      <c r="B1076" s="64" t="s">
        <v>4183</v>
      </c>
      <c r="C1076" s="63" t="s">
        <v>4186</v>
      </c>
      <c r="D1076" s="64" t="str">
        <f aca="false">TRIM(LEFT('Onshore- Melbourne'!A94,FIND(CHAR(10),'Onshore- Melbourne'!A94&amp;CHAR(10))-1))</f>
        <v>Australian Catholic University (ACU)</v>
      </c>
      <c r="E1076" s="63" t="str">
        <f aca="false">'Onshore- Melbourne'!C197&amp;""</f>
        <v>1 year</v>
      </c>
      <c r="F1076" s="63" t="str">
        <f aca="false">IF('Onshore- Melbourne'!D197="","Belum tercatat",'Onshore- Melbourne'!D197)</f>
        <v>Term</v>
      </c>
      <c r="G1076" s="65" t="n">
        <f aca="false">IF('Onshore- Melbourne'!E197="","-",'Onshore- Melbourne'!E197)</f>
        <v>5780</v>
      </c>
      <c r="H1076" s="63" t="n">
        <f aca="false">IF(ISNUMBER(K1076),COUNTIFS($J$6:$J$1916,J1076,$K$6:$K$1916,"&lt;"&amp;K1076)+1,"-")</f>
        <v>1</v>
      </c>
      <c r="I1076" s="64" t="str">
        <f aca="false">IF('Onshore- Melbourne'!E197="","Harga belum tersedia - hubungi konsultan TEG",IF(M1076=2,"Saat ini tidak menerima pendaftaran siswa internasional baru",IF(M1076=1,"Harga perlu dikonfirmasi ke sekolah"&amp;IF(""="","","; "&amp;""),"")))</f>
        <v/>
      </c>
      <c r="J1076" s="0" t="s">
        <v>4197</v>
      </c>
      <c r="K1076" s="0" t="n">
        <f aca="false">IF(M1076=2,"",IF(ISNUMBER(SEARCH("rata-rata:",'Onshore- Melbourne'!M197)),VALUE(MID('Onshore- Melbourne'!M197,SEARCH("rata-rata:",'Onshore- Melbourne'!M197)+11,FIND(";",'Onshore- Melbourne'!M197&amp;";",SEARCH("rata-rata:",'Onshore- Melbourne'!M197))-SEARCH("rata-rata:",'Onshore- Melbourne'!M197)-11)),IF('Onshore- Melbourne'!D197="Semester",'Onshore- Melbourne'!E197*2,IF('Onshore- Melbourne'!D197="Trimester",'Onshore- Melbourne'!E197*3,IF('Onshore- Melbourne'!D197="Term",'Onshore- Melbourne'!E197*4,IF('Onshore- Melbourne'!D197="Unit",'Onshore- Melbourne'!E197*8,""))))))</f>
        <v>23120</v>
      </c>
      <c r="L1076" s="0" t="n">
        <f aca="false">IF(AND(ISNUMBER('Onshore- Melbourne'!E197),ISNUMBER(K1076),ISNUMBER('Onshore- Melbourne'!F197),ISNUMBER('Onshore- Melbourne'!G197),OR('Onshore- Melbourne'!F197&lt;&gt;0,ISNUMBER(SEARCH("Material 0 terverifikasi",'Onshore- Melbourne'!M197))),OR('Onshore- Melbourne'!G197&lt;&gt;0,ISNUMBER(SEARCH("Enrolment 0 terverifikasi",'Onshore- Melbourne'!M197)))),1,0)</f>
        <v>0</v>
      </c>
      <c r="M1076" s="0" t="n">
        <f aca="false">IF(OR('Onshore- Melbourne'!E197="",ISNUMBER(SEARCH("BSB80120",'Onshore- Melbourne'!B197&amp;'Onshore- Melbourne'!M197)),ISNUMBER(SEARCH("Management (Learning)",'Onshore- Melbourne'!B197))),2,IF(ISNUMBER(SEARCH("CEK:",'Onshore- Melbourne'!M197)),1,0))</f>
        <v>0</v>
      </c>
    </row>
    <row r="1077" customFormat="false" ht="15" hidden="false" customHeight="false" outlineLevel="0" collapsed="false">
      <c r="A1077" s="61" t="s">
        <v>4198</v>
      </c>
      <c r="B1077" s="62"/>
      <c r="C1077" s="62"/>
      <c r="D1077" s="62"/>
      <c r="E1077" s="62"/>
      <c r="F1077" s="62"/>
      <c r="G1077" s="62"/>
      <c r="H1077" s="62"/>
      <c r="I1077" s="62"/>
    </row>
    <row r="1078" customFormat="false" ht="15" hidden="false" customHeight="false" outlineLevel="0" collapsed="false">
      <c r="A1078" s="63" t="s">
        <v>3544</v>
      </c>
      <c r="B1078" s="64" t="s">
        <v>4183</v>
      </c>
      <c r="C1078" s="63" t="s">
        <v>3821</v>
      </c>
      <c r="D1078" s="64" t="str">
        <f aca="false">TRIM(LEFT('Onshore- Melbourne'!A94,FIND(CHAR(10),'Onshore- Melbourne'!A94&amp;CHAR(10))-1))</f>
        <v>Australian Catholic University (ACU)</v>
      </c>
      <c r="E1078" s="63" t="str">
        <f aca="false">'Onshore- Melbourne'!C198&amp;""</f>
        <v>1 year</v>
      </c>
      <c r="F1078" s="63" t="str">
        <f aca="false">IF('Onshore- Melbourne'!D198="","Belum tercatat",'Onshore- Melbourne'!D198)</f>
        <v>Term</v>
      </c>
      <c r="G1078" s="65" t="n">
        <f aca="false">IF('Onshore- Melbourne'!E198="","-",'Onshore- Melbourne'!E198)</f>
        <v>5000</v>
      </c>
      <c r="H1078" s="63" t="n">
        <f aca="false">IF(ISNUMBER(K1078),COUNTIFS($J$6:$J$1916,J1078,$K$6:$K$1916,"&lt;"&amp;K1078)+1,"-")</f>
        <v>1</v>
      </c>
      <c r="I1078" s="64" t="str">
        <f aca="false">IF('Onshore- Melbourne'!E198="","Harga belum tersedia - hubungi konsultan TEG",IF(M1078=2,"Saat ini tidak menerima pendaftaran siswa internasional baru",IF(M1078=1,"Harga perlu dikonfirmasi ke sekolah"&amp;IF(""="","","; "&amp;""),"")))</f>
        <v/>
      </c>
      <c r="J1078" s="0" t="s">
        <v>4199</v>
      </c>
      <c r="K1078" s="0" t="n">
        <f aca="false">IF(M1078=2,"",IF(ISNUMBER(SEARCH("rata-rata:",'Onshore- Melbourne'!M198)),VALUE(MID('Onshore- Melbourne'!M198,SEARCH("rata-rata:",'Onshore- Melbourne'!M198)+11,FIND(";",'Onshore- Melbourne'!M198&amp;";",SEARCH("rata-rata:",'Onshore- Melbourne'!M198))-SEARCH("rata-rata:",'Onshore- Melbourne'!M198)-11)),IF('Onshore- Melbourne'!D198="Semester",'Onshore- Melbourne'!E198*2,IF('Onshore- Melbourne'!D198="Trimester",'Onshore- Melbourne'!E198*3,IF('Onshore- Melbourne'!D198="Term",'Onshore- Melbourne'!E198*4,IF('Onshore- Melbourne'!D198="Unit",'Onshore- Melbourne'!E198*8,""))))))</f>
        <v>20000</v>
      </c>
      <c r="L1078" s="0" t="n">
        <f aca="false">IF(AND(ISNUMBER('Onshore- Melbourne'!E198),ISNUMBER(K1078),ISNUMBER('Onshore- Melbourne'!F198),ISNUMBER('Onshore- Melbourne'!G198),OR('Onshore- Melbourne'!F198&lt;&gt;0,ISNUMBER(SEARCH("Material 0 terverifikasi",'Onshore- Melbourne'!M198))),OR('Onshore- Melbourne'!G198&lt;&gt;0,ISNUMBER(SEARCH("Enrolment 0 terverifikasi",'Onshore- Melbourne'!M198)))),1,0)</f>
        <v>0</v>
      </c>
      <c r="M1078" s="0" t="n">
        <f aca="false">IF(OR('Onshore- Melbourne'!E198="",ISNUMBER(SEARCH("BSB80120",'Onshore- Melbourne'!B198&amp;'Onshore- Melbourne'!M198)),ISNUMBER(SEARCH("Management (Learning)",'Onshore- Melbourne'!B198))),2,IF(ISNUMBER(SEARCH("CEK:",'Onshore- Melbourne'!M198)),1,0))</f>
        <v>0</v>
      </c>
    </row>
    <row r="1079" customFormat="false" ht="15" hidden="false" customHeight="false" outlineLevel="0" collapsed="false">
      <c r="A1079" s="61" t="s">
        <v>4200</v>
      </c>
      <c r="B1079" s="62"/>
      <c r="C1079" s="62"/>
      <c r="D1079" s="62"/>
      <c r="E1079" s="62"/>
      <c r="F1079" s="62"/>
      <c r="G1079" s="62"/>
      <c r="H1079" s="62"/>
      <c r="I1079" s="62"/>
    </row>
    <row r="1080" customFormat="false" ht="15" hidden="false" customHeight="false" outlineLevel="0" collapsed="false">
      <c r="A1080" s="63" t="s">
        <v>3533</v>
      </c>
      <c r="B1080" s="64" t="s">
        <v>4183</v>
      </c>
      <c r="C1080" s="63" t="s">
        <v>40</v>
      </c>
      <c r="D1080" s="64" t="str">
        <f aca="false">TRIM(LEFT('Onshore - Sydney'!A796,FIND(CHAR(10),'Onshore - Sydney'!A796&amp;CHAR(10))-1))</f>
        <v>TAFE NSW</v>
      </c>
      <c r="E1080" s="63" t="str">
        <f aca="false">'Onshore - Sydney'!C796&amp;""</f>
        <v>1 year</v>
      </c>
      <c r="F1080" s="63" t="str">
        <f aca="false">IF('Onshore - Sydney'!D796="","Belum tercatat",'Onshore - Sydney'!D796)</f>
        <v>Term</v>
      </c>
      <c r="G1080" s="65" t="n">
        <f aca="false">IF('Onshore - Sydney'!E796="","-",'Onshore - Sydney'!E796)</f>
        <v>4575</v>
      </c>
      <c r="H1080" s="63" t="n">
        <f aca="false">IF(ISNUMBER(K1080),COUNTIFS($J$6:$J$1916,J1080,$K$6:$K$1916,"&lt;"&amp;K1080)+1,"-")</f>
        <v>1</v>
      </c>
      <c r="I1080" s="64" t="str">
        <f aca="false">IF('Onshore - Sydney'!E796="","Harga belum tersedia - hubungi konsultan TEG",IF(M1080=2,"Saat ini tidak menerima pendaftaran siswa internasional baru",IF(M1080=1,"Harga perlu dikonfirmasi ke sekolah"&amp;IF(""="","","; "&amp;""),"")))</f>
        <v/>
      </c>
      <c r="J1080" s="0" t="s">
        <v>4201</v>
      </c>
      <c r="K1080" s="0" t="n">
        <f aca="false">IF(M1080=2,"",IF(ISNUMBER(SEARCH("rata-rata:",'Onshore - Sydney'!M796)),VALUE(MID('Onshore - Sydney'!M796,SEARCH("rata-rata:",'Onshore - Sydney'!M796)+11,FIND(";",'Onshore - Sydney'!M796&amp;";",SEARCH("rata-rata:",'Onshore - Sydney'!M796))-SEARCH("rata-rata:",'Onshore - Sydney'!M796)-11)),IF('Onshore - Sydney'!D796="Semester",'Onshore - Sydney'!E796*2,IF('Onshore - Sydney'!D796="Trimester",'Onshore - Sydney'!E796*3,IF('Onshore - Sydney'!D796="Term",'Onshore - Sydney'!E796*4,IF('Onshore - Sydney'!D796="Unit",'Onshore - Sydney'!E796*8,""))))))</f>
        <v>18300</v>
      </c>
      <c r="L1080" s="0" t="n">
        <f aca="false">IF(AND(ISNUMBER('Onshore - Sydney'!E796),ISNUMBER(K1080),ISNUMBER('Onshore - Sydney'!F796),ISNUMBER('Onshore - Sydney'!G796),OR('Onshore - Sydney'!F796&lt;&gt;0,ISNUMBER(SEARCH("Material 0 terverifikasi",'Onshore - Sydney'!M796))),OR('Onshore - Sydney'!G796&lt;&gt;0,ISNUMBER(SEARCH("Enrolment 0 terverifikasi",'Onshore - Sydney'!M796)))),1,0)</f>
        <v>0</v>
      </c>
      <c r="M1080" s="0" t="n">
        <f aca="false">IF(OR('Onshore - Sydney'!E796="",ISNUMBER(SEARCH("BSB80120",'Onshore - Sydney'!B796&amp;'Onshore - Sydney'!M796)),ISNUMBER(SEARCH("Management (Learning)",'Onshore - Sydney'!B796))),2,IF(ISNUMBER(SEARCH("CEK:",'Onshore - Sydney'!M796)),1,0))</f>
        <v>0</v>
      </c>
    </row>
    <row r="1081" customFormat="false" ht="15" hidden="false" customHeight="false" outlineLevel="0" collapsed="false">
      <c r="A1081" s="61" t="s">
        <v>4202</v>
      </c>
      <c r="B1081" s="62"/>
      <c r="C1081" s="62"/>
      <c r="D1081" s="62"/>
      <c r="E1081" s="62"/>
      <c r="F1081" s="62"/>
      <c r="G1081" s="62"/>
      <c r="H1081" s="62"/>
      <c r="I1081" s="62"/>
    </row>
    <row r="1082" customFormat="false" ht="15" hidden="false" customHeight="false" outlineLevel="0" collapsed="false">
      <c r="A1082" s="63" t="s">
        <v>3533</v>
      </c>
      <c r="B1082" s="64" t="s">
        <v>4183</v>
      </c>
      <c r="C1082" s="63" t="s">
        <v>4186</v>
      </c>
      <c r="D1082" s="64" t="str">
        <f aca="false">TRIM(LEFT('Onshore - Sydney'!A163,FIND(CHAR(10),'Onshore - Sydney'!A163&amp;CHAR(10))-1))</f>
        <v>Australian Catholic University (ACU)</v>
      </c>
      <c r="E1082" s="63" t="str">
        <f aca="false">'Onshore - Sydney'!C266&amp;""</f>
        <v>1 year</v>
      </c>
      <c r="F1082" s="63" t="str">
        <f aca="false">IF('Onshore - Sydney'!D266="","Belum tercatat",'Onshore - Sydney'!D266)</f>
        <v>Term</v>
      </c>
      <c r="G1082" s="65" t="n">
        <f aca="false">IF('Onshore - Sydney'!E266="","-",'Onshore - Sydney'!E266)</f>
        <v>5780</v>
      </c>
      <c r="H1082" s="63" t="n">
        <f aca="false">IF(ISNUMBER(K1082),COUNTIFS($J$6:$J$1916,J1082,$K$6:$K$1916,"&lt;"&amp;K1082)+1,"-")</f>
        <v>1</v>
      </c>
      <c r="I1082" s="64" t="str">
        <f aca="false">IF('Onshore - Sydney'!E266="","Harga belum tersedia - hubungi konsultan TEG",IF(M1082=2,"Saat ini tidak menerima pendaftaran siswa internasional baru",IF(M1082=1,"Harga perlu dikonfirmasi ke sekolah"&amp;IF(""="","","; "&amp;""),"")))</f>
        <v/>
      </c>
      <c r="J1082" s="0" t="s">
        <v>4203</v>
      </c>
      <c r="K1082" s="0" t="n">
        <f aca="false">IF(M1082=2,"",IF(ISNUMBER(SEARCH("rata-rata:",'Onshore - Sydney'!M266)),VALUE(MID('Onshore - Sydney'!M266,SEARCH("rata-rata:",'Onshore - Sydney'!M266)+11,FIND(";",'Onshore - Sydney'!M266&amp;";",SEARCH("rata-rata:",'Onshore - Sydney'!M266))-SEARCH("rata-rata:",'Onshore - Sydney'!M266)-11)),IF('Onshore - Sydney'!D266="Semester",'Onshore - Sydney'!E266*2,IF('Onshore - Sydney'!D266="Trimester",'Onshore - Sydney'!E266*3,IF('Onshore - Sydney'!D266="Term",'Onshore - Sydney'!E266*4,IF('Onshore - Sydney'!D266="Unit",'Onshore - Sydney'!E266*8,""))))))</f>
        <v>23120</v>
      </c>
      <c r="L1082" s="0" t="n">
        <f aca="false">IF(AND(ISNUMBER('Onshore - Sydney'!E266),ISNUMBER(K1082),ISNUMBER('Onshore - Sydney'!F266),ISNUMBER('Onshore - Sydney'!G266),OR('Onshore - Sydney'!F266&lt;&gt;0,ISNUMBER(SEARCH("Material 0 terverifikasi",'Onshore - Sydney'!M266))),OR('Onshore - Sydney'!G266&lt;&gt;0,ISNUMBER(SEARCH("Enrolment 0 terverifikasi",'Onshore - Sydney'!M266)))),1,0)</f>
        <v>0</v>
      </c>
      <c r="M1082" s="0" t="n">
        <f aca="false">IF(OR('Onshore - Sydney'!E266="",ISNUMBER(SEARCH("BSB80120",'Onshore - Sydney'!B266&amp;'Onshore - Sydney'!M266)),ISNUMBER(SEARCH("Management (Learning)",'Onshore - Sydney'!B266))),2,IF(ISNUMBER(SEARCH("CEK:",'Onshore - Sydney'!M266)),1,0))</f>
        <v>0</v>
      </c>
    </row>
    <row r="1083" customFormat="false" ht="15" hidden="false" customHeight="false" outlineLevel="0" collapsed="false">
      <c r="A1083" s="61" t="s">
        <v>4204</v>
      </c>
      <c r="B1083" s="62"/>
      <c r="C1083" s="62"/>
      <c r="D1083" s="62"/>
      <c r="E1083" s="62"/>
      <c r="F1083" s="62"/>
      <c r="G1083" s="62"/>
      <c r="H1083" s="62"/>
      <c r="I1083" s="62"/>
    </row>
    <row r="1084" customFormat="false" ht="15" hidden="false" customHeight="false" outlineLevel="0" collapsed="false">
      <c r="A1084" s="63" t="s">
        <v>3533</v>
      </c>
      <c r="B1084" s="64" t="s">
        <v>4183</v>
      </c>
      <c r="C1084" s="63" t="s">
        <v>3821</v>
      </c>
      <c r="D1084" s="64" t="str">
        <f aca="false">TRIM(LEFT('Onshore - Sydney'!A163,FIND(CHAR(10),'Onshore - Sydney'!A163&amp;CHAR(10))-1))</f>
        <v>Australian Catholic University (ACU)</v>
      </c>
      <c r="E1084" s="63" t="str">
        <f aca="false">'Onshore - Sydney'!C267&amp;""</f>
        <v>1 year</v>
      </c>
      <c r="F1084" s="63" t="str">
        <f aca="false">IF('Onshore - Sydney'!D267="","Belum tercatat",'Onshore - Sydney'!D267)</f>
        <v>Term</v>
      </c>
      <c r="G1084" s="65" t="n">
        <f aca="false">IF('Onshore - Sydney'!E267="","-",'Onshore - Sydney'!E267)</f>
        <v>5000</v>
      </c>
      <c r="H1084" s="63" t="n">
        <f aca="false">IF(ISNUMBER(K1084),COUNTIFS($J$6:$J$1916,J1084,$K$6:$K$1916,"&lt;"&amp;K1084)+1,"-")</f>
        <v>1</v>
      </c>
      <c r="I1084" s="64" t="str">
        <f aca="false">IF('Onshore - Sydney'!E267="","Harga belum tersedia - hubungi konsultan TEG",IF(M1084=2,"Saat ini tidak menerima pendaftaran siswa internasional baru",IF(M1084=1,"Harga perlu dikonfirmasi ke sekolah"&amp;IF(""="","","; "&amp;""),"")))</f>
        <v/>
      </c>
      <c r="J1084" s="0" t="s">
        <v>4205</v>
      </c>
      <c r="K1084" s="0" t="n">
        <f aca="false">IF(M1084=2,"",IF(ISNUMBER(SEARCH("rata-rata:",'Onshore - Sydney'!M267)),VALUE(MID('Onshore - Sydney'!M267,SEARCH("rata-rata:",'Onshore - Sydney'!M267)+11,FIND(";",'Onshore - Sydney'!M267&amp;";",SEARCH("rata-rata:",'Onshore - Sydney'!M267))-SEARCH("rata-rata:",'Onshore - Sydney'!M267)-11)),IF('Onshore - Sydney'!D267="Semester",'Onshore - Sydney'!E267*2,IF('Onshore - Sydney'!D267="Trimester",'Onshore - Sydney'!E267*3,IF('Onshore - Sydney'!D267="Term",'Onshore - Sydney'!E267*4,IF('Onshore - Sydney'!D267="Unit",'Onshore - Sydney'!E267*8,""))))))</f>
        <v>20000</v>
      </c>
      <c r="L1084" s="0" t="n">
        <f aca="false">IF(AND(ISNUMBER('Onshore - Sydney'!E267),ISNUMBER(K1084),ISNUMBER('Onshore - Sydney'!F267),ISNUMBER('Onshore - Sydney'!G267),OR('Onshore - Sydney'!F267&lt;&gt;0,ISNUMBER(SEARCH("Material 0 terverifikasi",'Onshore - Sydney'!M267))),OR('Onshore - Sydney'!G267&lt;&gt;0,ISNUMBER(SEARCH("Enrolment 0 terverifikasi",'Onshore - Sydney'!M267)))),1,0)</f>
        <v>0</v>
      </c>
      <c r="M1084" s="0" t="n">
        <f aca="false">IF(OR('Onshore - Sydney'!E267="",ISNUMBER(SEARCH("BSB80120",'Onshore - Sydney'!B267&amp;'Onshore - Sydney'!M267)),ISNUMBER(SEARCH("Management (Learning)",'Onshore - Sydney'!B267))),2,IF(ISNUMBER(SEARCH("CEK:",'Onshore - Sydney'!M267)),1,0))</f>
        <v>0</v>
      </c>
    </row>
    <row r="1085" customFormat="false" ht="15" hidden="false" customHeight="false" outlineLevel="0" collapsed="false">
      <c r="A1085" s="61" t="s">
        <v>4206</v>
      </c>
      <c r="B1085" s="62"/>
      <c r="C1085" s="62"/>
      <c r="D1085" s="62"/>
      <c r="E1085" s="62"/>
      <c r="F1085" s="62"/>
      <c r="G1085" s="62"/>
      <c r="H1085" s="62"/>
      <c r="I1085" s="62"/>
    </row>
    <row r="1086" customFormat="false" ht="15" hidden="false" customHeight="false" outlineLevel="0" collapsed="false">
      <c r="A1086" s="63" t="s">
        <v>3659</v>
      </c>
      <c r="B1086" s="64" t="s">
        <v>4207</v>
      </c>
      <c r="C1086" s="63" t="s">
        <v>39</v>
      </c>
      <c r="D1086" s="64" t="str">
        <f aca="false">TRIM(LEFT('Onshore - Adelaide'!A487,FIND(CHAR(10),'Onshore - Adelaide'!A487&amp;CHAR(10))-1))</f>
        <v>TAFE SA</v>
      </c>
      <c r="E1086" s="63" t="str">
        <f aca="false">'Onshore - Adelaide'!C500&amp;""</f>
        <v>0,5 year</v>
      </c>
      <c r="F1086" s="63" t="str">
        <f aca="false">IF('Onshore - Adelaide'!D500="","Belum tercatat",'Onshore - Adelaide'!D500)</f>
        <v>Semester</v>
      </c>
      <c r="G1086" s="65" t="n">
        <f aca="false">IF('Onshore - Adelaide'!E500="","-",'Onshore - Adelaide'!E500)</f>
        <v>8130</v>
      </c>
      <c r="H1086" s="63" t="n">
        <f aca="false">IF(ISNUMBER(K1086),COUNTIFS($J$6:$J$1916,J1086,$K$6:$K$1916,"&lt;"&amp;K1086)+1,"-")</f>
        <v>1</v>
      </c>
      <c r="I1086" s="64" t="str">
        <f aca="false">IF('Onshore - Adelaide'!E500="","Harga belum tersedia - hubungi konsultan TEG",IF(M1086=2,"Saat ini tidak menerima pendaftaran siswa internasional baru",IF(M1086=1,"Harga perlu dikonfirmasi ke sekolah"&amp;IF(""="","","; "&amp;""),"")))</f>
        <v/>
      </c>
      <c r="J1086" s="0" t="s">
        <v>4208</v>
      </c>
      <c r="K1086" s="0" t="n">
        <f aca="false">IF(M1086=2,"",IF(ISNUMBER(SEARCH("rata-rata:",'Onshore - Adelaide'!M500)),VALUE(MID('Onshore - Adelaide'!M500,SEARCH("rata-rata:",'Onshore - Adelaide'!M500)+11,FIND(";",'Onshore - Adelaide'!M500&amp;";",SEARCH("rata-rata:",'Onshore - Adelaide'!M500))-SEARCH("rata-rata:",'Onshore - Adelaide'!M500)-11)),IF('Onshore - Adelaide'!D500="Semester",'Onshore - Adelaide'!E500*2,IF('Onshore - Adelaide'!D500="Trimester",'Onshore - Adelaide'!E500*3,IF('Onshore - Adelaide'!D500="Term",'Onshore - Adelaide'!E500*4,IF('Onshore - Adelaide'!D500="Unit",'Onshore - Adelaide'!E500*8,""))))))</f>
        <v>16260</v>
      </c>
      <c r="L1086" s="0" t="n">
        <f aca="false">IF(AND(ISNUMBER('Onshore - Adelaide'!E500),ISNUMBER(K1086),ISNUMBER('Onshore - Adelaide'!F500),ISNUMBER('Onshore - Adelaide'!G500),OR('Onshore - Adelaide'!F500&lt;&gt;0,ISNUMBER(SEARCH("Material 0 terverifikasi",'Onshore - Adelaide'!M500))),OR('Onshore - Adelaide'!G500&lt;&gt;0,ISNUMBER(SEARCH("Enrolment 0 terverifikasi",'Onshore - Adelaide'!M500)))),1,0)</f>
        <v>0</v>
      </c>
      <c r="M1086" s="0" t="n">
        <f aca="false">IF(OR('Onshore - Adelaide'!E500="",ISNUMBER(SEARCH("BSB80120",'Onshore - Adelaide'!B500&amp;'Onshore - Adelaide'!M500)),ISNUMBER(SEARCH("Management (Learning)",'Onshore - Adelaide'!B500))),2,IF(ISNUMBER(SEARCH("CEK:",'Onshore - Adelaide'!M500)),1,0))</f>
        <v>0</v>
      </c>
    </row>
    <row r="1087" customFormat="false" ht="15" hidden="false" customHeight="false" outlineLevel="0" collapsed="false">
      <c r="A1087" s="61" t="s">
        <v>4209</v>
      </c>
      <c r="B1087" s="62"/>
      <c r="C1087" s="62"/>
      <c r="D1087" s="62"/>
      <c r="E1087" s="62"/>
      <c r="F1087" s="62"/>
      <c r="G1087" s="62"/>
      <c r="H1087" s="62"/>
      <c r="I1087" s="62"/>
    </row>
    <row r="1088" customFormat="false" ht="15" hidden="false" customHeight="false" outlineLevel="0" collapsed="false">
      <c r="A1088" s="63" t="s">
        <v>3659</v>
      </c>
      <c r="B1088" s="64" t="s">
        <v>4207</v>
      </c>
      <c r="C1088" s="63" t="s">
        <v>40</v>
      </c>
      <c r="D1088" s="64" t="str">
        <f aca="false">TRIM(LEFT('Onshore - Adelaide'!A433,FIND(CHAR(10),'Onshore - Adelaide'!A433&amp;CHAR(10))-1))</f>
        <v>Greenwich College</v>
      </c>
      <c r="E1088" s="63" t="str">
        <f aca="false">'Onshore - Adelaide'!C437&amp;""</f>
        <v>84 weeks</v>
      </c>
      <c r="F1088" s="63" t="str">
        <f aca="false">IF('Onshore - Adelaide'!D437="","Belum tercatat",'Onshore - Adelaide'!D437)</f>
        <v>Term</v>
      </c>
      <c r="G1088" s="65" t="n">
        <f aca="false">IF('Onshore - Adelaide'!E437="","-",'Onshore - Adelaide'!E437)</f>
        <v>1600</v>
      </c>
      <c r="H1088" s="63" t="n">
        <f aca="false">IF(ISNUMBER(K1088),COUNTIFS($J$6:$J$1916,J1088,$K$6:$K$1916,"&lt;"&amp;K1088)+1,"-")</f>
        <v>1</v>
      </c>
      <c r="I1088" s="64" t="str">
        <f aca="false">IF('Onshore - Adelaide'!E437="","Harga belum tersedia - hubungi konsultan TEG",IF(M1088=2,"Saat ini tidak menerima pendaftaran siswa internasional baru",IF(M1088=1,"Harga perlu dikonfirmasi ke sekolah"&amp;IF(""="","","; "&amp;""),"")))</f>
        <v/>
      </c>
      <c r="J1088" s="0" t="s">
        <v>4210</v>
      </c>
      <c r="K1088" s="0" t="n">
        <f aca="false">IF(M1088=2,"",IF(ISNUMBER(SEARCH("rata-rata:",'Onshore - Adelaide'!M437)),VALUE(MID('Onshore - Adelaide'!M437,SEARCH("rata-rata:",'Onshore - Adelaide'!M437)+11,FIND(";",'Onshore - Adelaide'!M437&amp;";",SEARCH("rata-rata:",'Onshore - Adelaide'!M437))-SEARCH("rata-rata:",'Onshore - Adelaide'!M437)-11)),IF('Onshore - Adelaide'!D437="Semester",'Onshore - Adelaide'!E437*2,IF('Onshore - Adelaide'!D437="Trimester",'Onshore - Adelaide'!E437*3,IF('Onshore - Adelaide'!D437="Term",'Onshore - Adelaide'!E437*4,IF('Onshore - Adelaide'!D437="Unit",'Onshore - Adelaide'!E437*8,""))))))</f>
        <v>6400</v>
      </c>
      <c r="L1088" s="0" t="n">
        <f aca="false">IF(AND(ISNUMBER('Onshore - Adelaide'!E437),ISNUMBER(K1088),ISNUMBER('Onshore - Adelaide'!F437),ISNUMBER('Onshore - Adelaide'!G437),OR('Onshore - Adelaide'!F437&lt;&gt;0,ISNUMBER(SEARCH("Material 0 terverifikasi",'Onshore - Adelaide'!M437))),OR('Onshore - Adelaide'!G437&lt;&gt;0,ISNUMBER(SEARCH("Enrolment 0 terverifikasi",'Onshore - Adelaide'!M437)))),1,0)</f>
        <v>1</v>
      </c>
      <c r="M1088" s="0" t="n">
        <f aca="false">IF(OR('Onshore - Adelaide'!E437="",ISNUMBER(SEARCH("BSB80120",'Onshore - Adelaide'!B437&amp;'Onshore - Adelaide'!M437)),ISNUMBER(SEARCH("Management (Learning)",'Onshore - Adelaide'!B437))),2,IF(ISNUMBER(SEARCH("CEK:",'Onshore - Adelaide'!M437)),1,0))</f>
        <v>0</v>
      </c>
    </row>
    <row r="1089" customFormat="false" ht="15" hidden="false" customHeight="false" outlineLevel="0" collapsed="false">
      <c r="A1089" s="61" t="s">
        <v>4211</v>
      </c>
      <c r="B1089" s="62"/>
      <c r="C1089" s="62"/>
      <c r="D1089" s="62"/>
      <c r="E1089" s="62"/>
      <c r="F1089" s="62"/>
      <c r="G1089" s="62"/>
      <c r="H1089" s="62"/>
      <c r="I1089" s="62"/>
    </row>
    <row r="1090" customFormat="false" ht="15" hidden="false" customHeight="false" outlineLevel="0" collapsed="false">
      <c r="A1090" s="63" t="s">
        <v>3659</v>
      </c>
      <c r="B1090" s="64" t="s">
        <v>4207</v>
      </c>
      <c r="C1090" s="63" t="s">
        <v>41</v>
      </c>
      <c r="D1090" s="64" t="str">
        <f aca="false">TRIM(LEFT('Onshore - Adelaide'!A487,FIND(CHAR(10),'Onshore - Adelaide'!A487&amp;CHAR(10))-1))</f>
        <v>TAFE SA</v>
      </c>
      <c r="E1090" s="63" t="str">
        <f aca="false">'Onshore - Adelaide'!C506&amp;""</f>
        <v>2 years</v>
      </c>
      <c r="F1090" s="63" t="str">
        <f aca="false">IF('Onshore - Adelaide'!D506="","Belum tercatat",'Onshore - Adelaide'!D506)</f>
        <v>Semester</v>
      </c>
      <c r="G1090" s="65" t="n">
        <f aca="false">IF('Onshore - Adelaide'!E506="","-",'Onshore - Adelaide'!E506)</f>
        <v>11695</v>
      </c>
      <c r="H1090" s="63" t="n">
        <f aca="false">IF(ISNUMBER(K1090),COUNTIFS($J$6:$J$1916,J1090,$K$6:$K$1916,"&lt;"&amp;K1090)+1,"-")</f>
        <v>1</v>
      </c>
      <c r="I1090" s="64" t="str">
        <f aca="false">IF('Onshore - Adelaide'!E506="","Harga belum tersedia - hubungi konsultan TEG",IF(M1090=2,"Saat ini tidak menerima pendaftaran siswa internasional baru",IF(M1090=1,"Harga perlu dikonfirmasi ke sekolah"&amp;IF(""="","","; "&amp;""),"")))</f>
        <v/>
      </c>
      <c r="J1090" s="0" t="s">
        <v>4212</v>
      </c>
      <c r="K1090" s="0" t="n">
        <f aca="false">IF(M1090=2,"",IF(ISNUMBER(SEARCH("rata-rata:",'Onshore - Adelaide'!M506)),VALUE(MID('Onshore - Adelaide'!M506,SEARCH("rata-rata:",'Onshore - Adelaide'!M506)+11,FIND(";",'Onshore - Adelaide'!M506&amp;";",SEARCH("rata-rata:",'Onshore - Adelaide'!M506))-SEARCH("rata-rata:",'Onshore - Adelaide'!M506)-11)),IF('Onshore - Adelaide'!D506="Semester",'Onshore - Adelaide'!E506*2,IF('Onshore - Adelaide'!D506="Trimester",'Onshore - Adelaide'!E506*3,IF('Onshore - Adelaide'!D506="Term",'Onshore - Adelaide'!E506*4,IF('Onshore - Adelaide'!D506="Unit",'Onshore - Adelaide'!E506*8,""))))))</f>
        <v>23390</v>
      </c>
      <c r="L1090" s="0" t="n">
        <f aca="false">IF(AND(ISNUMBER('Onshore - Adelaide'!E506),ISNUMBER(K1090),ISNUMBER('Onshore - Adelaide'!F506),ISNUMBER('Onshore - Adelaide'!G506),OR('Onshore - Adelaide'!F506&lt;&gt;0,ISNUMBER(SEARCH("Material 0 terverifikasi",'Onshore - Adelaide'!M506))),OR('Onshore - Adelaide'!G506&lt;&gt;0,ISNUMBER(SEARCH("Enrolment 0 terverifikasi",'Onshore - Adelaide'!M506)))),1,0)</f>
        <v>0</v>
      </c>
      <c r="M1090" s="0" t="n">
        <f aca="false">IF(OR('Onshore - Adelaide'!E506="",ISNUMBER(SEARCH("BSB80120",'Onshore - Adelaide'!B506&amp;'Onshore - Adelaide'!M506)),ISNUMBER(SEARCH("Management (Learning)",'Onshore - Adelaide'!B506))),2,IF(ISNUMBER(SEARCH("CEK:",'Onshore - Adelaide'!M506)),1,0))</f>
        <v>0</v>
      </c>
    </row>
    <row r="1091" customFormat="false" ht="15" hidden="false" customHeight="false" outlineLevel="0" collapsed="false">
      <c r="A1091" s="63" t="s">
        <v>3659</v>
      </c>
      <c r="B1091" s="64" t="s">
        <v>4207</v>
      </c>
      <c r="C1091" s="63" t="s">
        <v>41</v>
      </c>
      <c r="D1091" s="64" t="str">
        <f aca="false">TRIM(LEFT('Onshore - Adelaide'!A545,FIND(CHAR(10),'Onshore - Adelaide'!A545&amp;CHAR(10))-1))</f>
        <v>Torrens University Australia</v>
      </c>
      <c r="E1091" s="63" t="str">
        <f aca="false">'Onshore - Adelaide'!C599&amp;""</f>
        <v>1,5 years</v>
      </c>
      <c r="F1091" s="63" t="str">
        <f aca="false">IF('Onshore - Adelaide'!D599="","Belum tercatat",'Onshore - Adelaide'!D599)</f>
        <v>Term</v>
      </c>
      <c r="G1091" s="65" t="n">
        <f aca="false">IF('Onshore - Adelaide'!E599="","-",'Onshore - Adelaide'!E599)</f>
        <v>6563</v>
      </c>
      <c r="H1091" s="63" t="n">
        <f aca="false">IF(ISNUMBER(K1091),COUNTIFS($J$6:$J$1916,J1091,$K$6:$K$1916,"&lt;"&amp;K1091)+1,"-")</f>
        <v>2</v>
      </c>
      <c r="I1091" s="64" t="str">
        <f aca="false">IF('Onshore - Adelaide'!E599="","Harga belum tersedia - hubungi konsultan TEG",IF(M1091=2,"Saat ini tidak menerima pendaftaran siswa internasional baru",IF(M1091=1,"Harga perlu dikonfirmasi ke sekolah"&amp;IF(""="","","; "&amp;""),"")))</f>
        <v/>
      </c>
      <c r="J1091" s="0" t="s">
        <v>4212</v>
      </c>
      <c r="K1091" s="0" t="n">
        <f aca="false">IF(M1091=2,"",IF(ISNUMBER(SEARCH("rata-rata:",'Onshore - Adelaide'!M599)),VALUE(MID('Onshore - Adelaide'!M599,SEARCH("rata-rata:",'Onshore - Adelaide'!M599)+11,FIND(";",'Onshore - Adelaide'!M599&amp;";",SEARCH("rata-rata:",'Onshore - Adelaide'!M599))-SEARCH("rata-rata:",'Onshore - Adelaide'!M599)-11)),IF('Onshore - Adelaide'!D599="Semester",'Onshore - Adelaide'!E599*2,IF('Onshore - Adelaide'!D599="Trimester",'Onshore - Adelaide'!E599*3,IF('Onshore - Adelaide'!D599="Term",'Onshore - Adelaide'!E599*4,IF('Onshore - Adelaide'!D599="Unit",'Onshore - Adelaide'!E599*8,""))))))</f>
        <v>26252</v>
      </c>
      <c r="L1091" s="0" t="n">
        <f aca="false">IF(AND(ISNUMBER('Onshore - Adelaide'!E599),ISNUMBER(K1091),ISNUMBER('Onshore - Adelaide'!F599),ISNUMBER('Onshore - Adelaide'!G599),OR('Onshore - Adelaide'!F599&lt;&gt;0,ISNUMBER(SEARCH("Material 0 terverifikasi",'Onshore - Adelaide'!M599))),OR('Onshore - Adelaide'!G599&lt;&gt;0,ISNUMBER(SEARCH("Enrolment 0 terverifikasi",'Onshore - Adelaide'!M599)))),1,0)</f>
        <v>0</v>
      </c>
      <c r="M1091" s="0" t="n">
        <f aca="false">IF(OR('Onshore - Adelaide'!E599="",ISNUMBER(SEARCH("BSB80120",'Onshore - Adelaide'!B599&amp;'Onshore - Adelaide'!M599)),ISNUMBER(SEARCH("Management (Learning)",'Onshore - Adelaide'!B599))),2,IF(ISNUMBER(SEARCH("CEK:",'Onshore - Adelaide'!M599)),1,0))</f>
        <v>0</v>
      </c>
    </row>
    <row r="1092" customFormat="false" ht="15" hidden="false" customHeight="false" outlineLevel="0" collapsed="false">
      <c r="A1092" s="61" t="s">
        <v>4213</v>
      </c>
      <c r="B1092" s="62"/>
      <c r="C1092" s="62"/>
      <c r="D1092" s="62"/>
      <c r="E1092" s="62"/>
      <c r="F1092" s="62"/>
      <c r="G1092" s="62"/>
      <c r="H1092" s="62"/>
      <c r="I1092" s="62"/>
    </row>
    <row r="1093" customFormat="false" ht="15" hidden="false" customHeight="false" outlineLevel="0" collapsed="false">
      <c r="A1093" s="63" t="s">
        <v>3659</v>
      </c>
      <c r="B1093" s="64" t="s">
        <v>4207</v>
      </c>
      <c r="C1093" s="63" t="s">
        <v>42</v>
      </c>
      <c r="D1093" s="64" t="str">
        <f aca="false">TRIM(LEFT('Onshore - Adelaide'!A487,FIND(CHAR(10),'Onshore - Adelaide'!A487&amp;CHAR(10))-1))</f>
        <v>TAFE SA</v>
      </c>
      <c r="E1093" s="63" t="str">
        <f aca="false">'Onshore - Adelaide'!C535&amp;""</f>
        <v>2 years</v>
      </c>
      <c r="F1093" s="63" t="str">
        <f aca="false">IF('Onshore - Adelaide'!D535="","Belum tercatat",'Onshore - Adelaide'!D535)</f>
        <v>Semester</v>
      </c>
      <c r="G1093" s="65" t="n">
        <f aca="false">IF('Onshore - Adelaide'!E535="","-",'Onshore - Adelaide'!E535)</f>
        <v>10720</v>
      </c>
      <c r="H1093" s="63" t="n">
        <f aca="false">IF(ISNUMBER(K1093),COUNTIFS($J$6:$J$1916,J1093,$K$6:$K$1916,"&lt;"&amp;K1093)+1,"-")</f>
        <v>1</v>
      </c>
      <c r="I1093" s="64" t="str">
        <f aca="false">IF('Onshore - Adelaide'!E535="","Harga belum tersedia - hubungi konsultan TEG",IF(M1093=2,"Saat ini tidak menerima pendaftaran siswa internasional baru",IF(M1093=1,"Harga perlu dikonfirmasi ke sekolah"&amp;IF(""="","","; "&amp;""),"")))</f>
        <v/>
      </c>
      <c r="J1093" s="0" t="s">
        <v>4214</v>
      </c>
      <c r="K1093" s="0" t="n">
        <f aca="false">IF(M1093=2,"",IF(ISNUMBER(SEARCH("rata-rata:",'Onshore - Adelaide'!M535)),VALUE(MID('Onshore - Adelaide'!M535,SEARCH("rata-rata:",'Onshore - Adelaide'!M535)+11,FIND(";",'Onshore - Adelaide'!M535&amp;";",SEARCH("rata-rata:",'Onshore - Adelaide'!M535))-SEARCH("rata-rata:",'Onshore - Adelaide'!M535)-11)),IF('Onshore - Adelaide'!D535="Semester",'Onshore - Adelaide'!E535*2,IF('Onshore - Adelaide'!D535="Trimester",'Onshore - Adelaide'!E535*3,IF('Onshore - Adelaide'!D535="Term",'Onshore - Adelaide'!E535*4,IF('Onshore - Adelaide'!D535="Unit",'Onshore - Adelaide'!E535*8,""))))))</f>
        <v>21440</v>
      </c>
      <c r="L1093" s="0" t="n">
        <f aca="false">IF(AND(ISNUMBER('Onshore - Adelaide'!E535),ISNUMBER(K1093),ISNUMBER('Onshore - Adelaide'!F535),ISNUMBER('Onshore - Adelaide'!G535),OR('Onshore - Adelaide'!F535&lt;&gt;0,ISNUMBER(SEARCH("Material 0 terverifikasi",'Onshore - Adelaide'!M535))),OR('Onshore - Adelaide'!G535&lt;&gt;0,ISNUMBER(SEARCH("Enrolment 0 terverifikasi",'Onshore - Adelaide'!M535)))),1,0)</f>
        <v>0</v>
      </c>
      <c r="M1093" s="0" t="n">
        <f aca="false">IF(OR('Onshore - Adelaide'!E535="",ISNUMBER(SEARCH("BSB80120",'Onshore - Adelaide'!B535&amp;'Onshore - Adelaide'!M535)),ISNUMBER(SEARCH("Management (Learning)",'Onshore - Adelaide'!B535))),2,IF(ISNUMBER(SEARCH("CEK:",'Onshore - Adelaide'!M535)),1,0))</f>
        <v>0</v>
      </c>
    </row>
    <row r="1094" customFormat="false" ht="15" hidden="false" customHeight="false" outlineLevel="0" collapsed="false">
      <c r="A1094" s="61" t="s">
        <v>4215</v>
      </c>
      <c r="B1094" s="62"/>
      <c r="C1094" s="62"/>
      <c r="D1094" s="62"/>
      <c r="E1094" s="62"/>
      <c r="F1094" s="62"/>
      <c r="G1094" s="62"/>
      <c r="H1094" s="62"/>
      <c r="I1094" s="62"/>
    </row>
    <row r="1095" customFormat="false" ht="15" hidden="false" customHeight="false" outlineLevel="0" collapsed="false">
      <c r="A1095" s="63" t="s">
        <v>3659</v>
      </c>
      <c r="B1095" s="64" t="s">
        <v>4207</v>
      </c>
      <c r="C1095" s="63" t="s">
        <v>43</v>
      </c>
      <c r="D1095" s="64" t="str">
        <f aca="false">TRIM(LEFT('Onshore - Adelaide'!A545,FIND(CHAR(10),'Onshore - Adelaide'!A545&amp;CHAR(10))-1))</f>
        <v>Torrens University Australia</v>
      </c>
      <c r="E1095" s="63" t="str">
        <f aca="false">'Onshore - Adelaide'!C592&amp;""</f>
        <v>3 years</v>
      </c>
      <c r="F1095" s="63" t="str">
        <f aca="false">IF('Onshore - Adelaide'!D592="","Belum tercatat",'Onshore - Adelaide'!D592)</f>
        <v>Term</v>
      </c>
      <c r="G1095" s="65" t="n">
        <f aca="false">IF('Onshore - Adelaide'!E592="","-",'Onshore - Adelaide'!E592)</f>
        <v>8750</v>
      </c>
      <c r="H1095" s="63" t="n">
        <f aca="false">IF(ISNUMBER(K1095),COUNTIFS($J$6:$J$1916,J1095,$K$6:$K$1916,"&lt;"&amp;K1095)+1,"-")</f>
        <v>1</v>
      </c>
      <c r="I1095" s="64" t="str">
        <f aca="false">IF('Onshore - Adelaide'!E592="","Harga belum tersedia - hubungi konsultan TEG",IF(M1095=2,"Saat ini tidak menerima pendaftaran siswa internasional baru",IF(M1095=1,"Harga perlu dikonfirmasi ke sekolah"&amp;IF(""="","","; "&amp;""),"")))</f>
        <v/>
      </c>
      <c r="J1095" s="0" t="s">
        <v>4216</v>
      </c>
      <c r="K1095" s="0" t="n">
        <f aca="false">IF(M1095=2,"",IF(ISNUMBER(SEARCH("rata-rata:",'Onshore - Adelaide'!M592)),VALUE(MID('Onshore - Adelaide'!M592,SEARCH("rata-rata:",'Onshore - Adelaide'!M592)+11,FIND(";",'Onshore - Adelaide'!M592&amp;";",SEARCH("rata-rata:",'Onshore - Adelaide'!M592))-SEARCH("rata-rata:",'Onshore - Adelaide'!M592)-11)),IF('Onshore - Adelaide'!D592="Semester",'Onshore - Adelaide'!E592*2,IF('Onshore - Adelaide'!D592="Trimester",'Onshore - Adelaide'!E592*3,IF('Onshore - Adelaide'!D592="Term",'Onshore - Adelaide'!E592*4,IF('Onshore - Adelaide'!D592="Unit",'Onshore - Adelaide'!E592*8,""))))))</f>
        <v>35000</v>
      </c>
      <c r="L1095" s="0" t="n">
        <f aca="false">IF(AND(ISNUMBER('Onshore - Adelaide'!E592),ISNUMBER(K1095),ISNUMBER('Onshore - Adelaide'!F592),ISNUMBER('Onshore - Adelaide'!G592),OR('Onshore - Adelaide'!F592&lt;&gt;0,ISNUMBER(SEARCH("Material 0 terverifikasi",'Onshore - Adelaide'!M592))),OR('Onshore - Adelaide'!G592&lt;&gt;0,ISNUMBER(SEARCH("Enrolment 0 terverifikasi",'Onshore - Adelaide'!M592)))),1,0)</f>
        <v>0</v>
      </c>
      <c r="M1095" s="0" t="n">
        <f aca="false">IF(OR('Onshore - Adelaide'!E592="",ISNUMBER(SEARCH("BSB80120",'Onshore - Adelaide'!B592&amp;'Onshore - Adelaide'!M592)),ISNUMBER(SEARCH("Management (Learning)",'Onshore - Adelaide'!B592))),2,IF(ISNUMBER(SEARCH("CEK:",'Onshore - Adelaide'!M592)),1,0))</f>
        <v>0</v>
      </c>
    </row>
    <row r="1096" customFormat="false" ht="15" hidden="false" customHeight="false" outlineLevel="0" collapsed="false">
      <c r="A1096" s="63" t="s">
        <v>3659</v>
      </c>
      <c r="B1096" s="64" t="s">
        <v>4207</v>
      </c>
      <c r="C1096" s="63" t="s">
        <v>43</v>
      </c>
      <c r="D1096" s="64" t="str">
        <f aca="false">TRIM(LEFT('Onshore - Adelaide'!A15,FIND(CHAR(10),'Onshore - Adelaide'!A15&amp;CHAR(10))-1))</f>
        <v>Adelaide University</v>
      </c>
      <c r="E1096" s="63" t="str">
        <f aca="false">'Onshore - Adelaide'!C89&amp;""</f>
        <v>3 years</v>
      </c>
      <c r="F1096" s="63" t="str">
        <f aca="false">IF('Onshore - Adelaide'!D89="","Belum tercatat",'Onshore - Adelaide'!D89)</f>
        <v>Term</v>
      </c>
      <c r="G1096" s="65" t="n">
        <f aca="false">IF('Onshore - Adelaide'!E89="","-",'Onshore - Adelaide'!E89)</f>
        <v>10850</v>
      </c>
      <c r="H1096" s="63" t="n">
        <f aca="false">IF(ISNUMBER(K1096),COUNTIFS($J$6:$J$1916,J1096,$K$6:$K$1916,"&lt;"&amp;K1096)+1,"-")</f>
        <v>2</v>
      </c>
      <c r="I1096" s="64" t="str">
        <f aca="false">IF('Onshore - Adelaide'!E89="","Harga belum tersedia - hubungi konsultan TEG",IF(M1096=2,"Saat ini tidak menerima pendaftaran siswa internasional baru",IF(M1096=1,"Harga perlu dikonfirmasi ke sekolah"&amp;IF(""="","","; "&amp;""),"")))</f>
        <v/>
      </c>
      <c r="J1096" s="0" t="s">
        <v>4216</v>
      </c>
      <c r="K1096" s="0" t="n">
        <f aca="false">IF(M1096=2,"",IF(ISNUMBER(SEARCH("rata-rata:",'Onshore - Adelaide'!M89)),VALUE(MID('Onshore - Adelaide'!M89,SEARCH("rata-rata:",'Onshore - Adelaide'!M89)+11,FIND(";",'Onshore - Adelaide'!M89&amp;";",SEARCH("rata-rata:",'Onshore - Adelaide'!M89))-SEARCH("rata-rata:",'Onshore - Adelaide'!M89)-11)),IF('Onshore - Adelaide'!D89="Semester",'Onshore - Adelaide'!E89*2,IF('Onshore - Adelaide'!D89="Trimester",'Onshore - Adelaide'!E89*3,IF('Onshore - Adelaide'!D89="Term",'Onshore - Adelaide'!E89*4,IF('Onshore - Adelaide'!D89="Unit",'Onshore - Adelaide'!E89*8,""))))))</f>
        <v>43400</v>
      </c>
      <c r="L1096" s="0" t="n">
        <f aca="false">IF(AND(ISNUMBER('Onshore - Adelaide'!E89),ISNUMBER(K1096),ISNUMBER('Onshore - Adelaide'!F89),ISNUMBER('Onshore - Adelaide'!G89),OR('Onshore - Adelaide'!F89&lt;&gt;0,ISNUMBER(SEARCH("Material 0 terverifikasi",'Onshore - Adelaide'!M89))),OR('Onshore - Adelaide'!G89&lt;&gt;0,ISNUMBER(SEARCH("Enrolment 0 terverifikasi",'Onshore - Adelaide'!M89)))),1,0)</f>
        <v>0</v>
      </c>
      <c r="M1096" s="0" t="n">
        <f aca="false">IF(OR('Onshore - Adelaide'!E89="",ISNUMBER(SEARCH("BSB80120",'Onshore - Adelaide'!B89&amp;'Onshore - Adelaide'!M89)),ISNUMBER(SEARCH("Management (Learning)",'Onshore - Adelaide'!B89))),2,IF(ISNUMBER(SEARCH("CEK:",'Onshore - Adelaide'!M89)),1,0))</f>
        <v>0</v>
      </c>
    </row>
    <row r="1097" customFormat="false" ht="15" hidden="false" customHeight="false" outlineLevel="0" collapsed="false">
      <c r="A1097" s="61" t="s">
        <v>4217</v>
      </c>
      <c r="B1097" s="62"/>
      <c r="C1097" s="62"/>
      <c r="D1097" s="62"/>
      <c r="E1097" s="62"/>
      <c r="F1097" s="62"/>
      <c r="G1097" s="62"/>
      <c r="H1097" s="62"/>
      <c r="I1097" s="62"/>
    </row>
    <row r="1098" customFormat="false" ht="15" hidden="false" customHeight="false" outlineLevel="0" collapsed="false">
      <c r="A1098" s="63" t="s">
        <v>3659</v>
      </c>
      <c r="B1098" s="64" t="s">
        <v>4207</v>
      </c>
      <c r="C1098" s="63" t="s">
        <v>3707</v>
      </c>
      <c r="D1098" s="64" t="str">
        <f aca="false">TRIM(LEFT('Onshore - Adelaide'!A545,FIND(CHAR(10),'Onshore - Adelaide'!A545&amp;CHAR(10))-1))</f>
        <v>Torrens University Australia</v>
      </c>
      <c r="E1098" s="63" t="str">
        <f aca="false">'Onshore - Adelaide'!C593&amp;""</f>
        <v>0,5 year</v>
      </c>
      <c r="F1098" s="63" t="str">
        <f aca="false">IF('Onshore - Adelaide'!D593="","Belum tercatat",'Onshore - Adelaide'!D593)</f>
        <v>Term</v>
      </c>
      <c r="G1098" s="65" t="n">
        <f aca="false">IF('Onshore - Adelaide'!E593="","-",'Onshore - Adelaide'!E593)</f>
        <v>3975</v>
      </c>
      <c r="H1098" s="63" t="n">
        <f aca="false">IF(ISNUMBER(K1098),COUNTIFS($J$6:$J$1916,J1098,$K$6:$K$1916,"&lt;"&amp;K1098)+1,"-")</f>
        <v>1</v>
      </c>
      <c r="I1098" s="64" t="str">
        <f aca="false">IF('Onshore - Adelaide'!E593="","Harga belum tersedia - hubungi konsultan TEG",IF(M1098=2,"Saat ini tidak menerima pendaftaran siswa internasional baru",IF(M1098=1,"Harga perlu dikonfirmasi ke sekolah"&amp;IF(""="","","; "&amp;""),"")))</f>
        <v/>
      </c>
      <c r="J1098" s="0" t="s">
        <v>4218</v>
      </c>
      <c r="K1098" s="0" t="n">
        <f aca="false">IF(M1098=2,"",IF(ISNUMBER(SEARCH("rata-rata:",'Onshore - Adelaide'!M593)),VALUE(MID('Onshore - Adelaide'!M593,SEARCH("rata-rata:",'Onshore - Adelaide'!M593)+11,FIND(";",'Onshore - Adelaide'!M593&amp;";",SEARCH("rata-rata:",'Onshore - Adelaide'!M593))-SEARCH("rata-rata:",'Onshore - Adelaide'!M593)-11)),IF('Onshore - Adelaide'!D593="Semester",'Onshore - Adelaide'!E593*2,IF('Onshore - Adelaide'!D593="Trimester",'Onshore - Adelaide'!E593*3,IF('Onshore - Adelaide'!D593="Term",'Onshore - Adelaide'!E593*4,IF('Onshore - Adelaide'!D593="Unit",'Onshore - Adelaide'!E593*8,""))))))</f>
        <v>15900</v>
      </c>
      <c r="L1098" s="0" t="n">
        <f aca="false">IF(AND(ISNUMBER('Onshore - Adelaide'!E593),ISNUMBER(K1098),ISNUMBER('Onshore - Adelaide'!F593),ISNUMBER('Onshore - Adelaide'!G593),OR('Onshore - Adelaide'!F593&lt;&gt;0,ISNUMBER(SEARCH("Material 0 terverifikasi",'Onshore - Adelaide'!M593))),OR('Onshore - Adelaide'!G593&lt;&gt;0,ISNUMBER(SEARCH("Enrolment 0 terverifikasi",'Onshore - Adelaide'!M593)))),1,0)</f>
        <v>0</v>
      </c>
      <c r="M1098" s="0" t="n">
        <f aca="false">IF(OR('Onshore - Adelaide'!E593="",ISNUMBER(SEARCH("BSB80120",'Onshore - Adelaide'!B593&amp;'Onshore - Adelaide'!M593)),ISNUMBER(SEARCH("Management (Learning)",'Onshore - Adelaide'!B593))),2,IF(ISNUMBER(SEARCH("CEK:",'Onshore - Adelaide'!M593)),1,0))</f>
        <v>0</v>
      </c>
    </row>
    <row r="1099" customFormat="false" ht="15" hidden="false" customHeight="false" outlineLevel="0" collapsed="false">
      <c r="A1099" s="61" t="s">
        <v>4219</v>
      </c>
      <c r="B1099" s="62"/>
      <c r="C1099" s="62"/>
      <c r="D1099" s="62"/>
      <c r="E1099" s="62"/>
      <c r="F1099" s="62"/>
      <c r="G1099" s="62"/>
      <c r="H1099" s="62"/>
      <c r="I1099" s="62"/>
    </row>
    <row r="1100" customFormat="false" ht="15" hidden="false" customHeight="false" outlineLevel="0" collapsed="false">
      <c r="A1100" s="63" t="s">
        <v>3659</v>
      </c>
      <c r="B1100" s="64" t="s">
        <v>4207</v>
      </c>
      <c r="C1100" s="63" t="s">
        <v>46</v>
      </c>
      <c r="D1100" s="64" t="str">
        <f aca="false">TRIM(LEFT('Onshore - Adelaide'!A545,FIND(CHAR(10),'Onshore - Adelaide'!A545&amp;CHAR(10))-1))</f>
        <v>Torrens University Australia</v>
      </c>
      <c r="E1100" s="63" t="str">
        <f aca="false">'Onshore - Adelaide'!C559&amp;""</f>
        <v>2 years</v>
      </c>
      <c r="F1100" s="63" t="str">
        <f aca="false">IF('Onshore - Adelaide'!D559="","Belum tercatat",'Onshore - Adelaide'!D559)</f>
        <v>Term</v>
      </c>
      <c r="G1100" s="65" t="n">
        <f aca="false">IF('Onshore - Adelaide'!E559="","-",'Onshore - Adelaide'!E559)</f>
        <v>7950</v>
      </c>
      <c r="H1100" s="63" t="n">
        <f aca="false">IF(ISNUMBER(K1100),COUNTIFS($J$6:$J$1916,J1100,$K$6:$K$1916,"&lt;"&amp;K1100)+1,"-")</f>
        <v>1</v>
      </c>
      <c r="I1100" s="64" t="str">
        <f aca="false">IF('Onshore - Adelaide'!E559="","Harga belum tersedia - hubungi konsultan TEG",IF(M1100=2,"Saat ini tidak menerima pendaftaran siswa internasional baru",IF(M1100=1,"Harga perlu dikonfirmasi ke sekolah"&amp;IF(""="","","; "&amp;""),"")))</f>
        <v/>
      </c>
      <c r="J1100" s="0" t="s">
        <v>4220</v>
      </c>
      <c r="K1100" s="0" t="n">
        <f aca="false">IF(M1100=2,"",IF(ISNUMBER(SEARCH("rata-rata:",'Onshore - Adelaide'!M559)),VALUE(MID('Onshore - Adelaide'!M559,SEARCH("rata-rata:",'Onshore - Adelaide'!M559)+11,FIND(";",'Onshore - Adelaide'!M559&amp;";",SEARCH("rata-rata:",'Onshore - Adelaide'!M559))-SEARCH("rata-rata:",'Onshore - Adelaide'!M559)-11)),IF('Onshore - Adelaide'!D559="Semester",'Onshore - Adelaide'!E559*2,IF('Onshore - Adelaide'!D559="Trimester",'Onshore - Adelaide'!E559*3,IF('Onshore - Adelaide'!D559="Term",'Onshore - Adelaide'!E559*4,IF('Onshore - Adelaide'!D559="Unit",'Onshore - Adelaide'!E559*8,""))))))</f>
        <v>31800</v>
      </c>
      <c r="L1100" s="0" t="n">
        <f aca="false">IF(AND(ISNUMBER('Onshore - Adelaide'!E559),ISNUMBER(K1100),ISNUMBER('Onshore - Adelaide'!F559),ISNUMBER('Onshore - Adelaide'!G559),OR('Onshore - Adelaide'!F559&lt;&gt;0,ISNUMBER(SEARCH("Material 0 terverifikasi",'Onshore - Adelaide'!M559))),OR('Onshore - Adelaide'!G559&lt;&gt;0,ISNUMBER(SEARCH("Enrolment 0 terverifikasi",'Onshore - Adelaide'!M559)))),1,0)</f>
        <v>0</v>
      </c>
      <c r="M1100" s="0" t="n">
        <f aca="false">IF(OR('Onshore - Adelaide'!E559="",ISNUMBER(SEARCH("BSB80120",'Onshore - Adelaide'!B559&amp;'Onshore - Adelaide'!M559)),ISNUMBER(SEARCH("Management (Learning)",'Onshore - Adelaide'!B559))),2,IF(ISNUMBER(SEARCH("CEK:",'Onshore - Adelaide'!M559)),1,0))</f>
        <v>0</v>
      </c>
    </row>
    <row r="1101" customFormat="false" ht="15" hidden="false" customHeight="false" outlineLevel="0" collapsed="false">
      <c r="A1101" s="63" t="s">
        <v>3659</v>
      </c>
      <c r="B1101" s="64" t="s">
        <v>4207</v>
      </c>
      <c r="C1101" s="63" t="s">
        <v>46</v>
      </c>
      <c r="D1101" s="64" t="str">
        <f aca="false">TRIM(LEFT('Onshore - Adelaide'!A15,FIND(CHAR(10),'Onshore - Adelaide'!A15&amp;CHAR(10))-1))</f>
        <v>Adelaide University</v>
      </c>
      <c r="E1101" s="63" t="str">
        <f aca="false">'Onshore - Adelaide'!C355&amp;""</f>
        <v>2 years</v>
      </c>
      <c r="F1101" s="63" t="str">
        <f aca="false">IF('Onshore - Adelaide'!D355="","Belum tercatat",'Onshore - Adelaide'!D355)</f>
        <v>Term</v>
      </c>
      <c r="G1101" s="65" t="n">
        <f aca="false">IF('Onshore - Adelaide'!E355="","-",'Onshore - Adelaide'!E355)</f>
        <v>12150</v>
      </c>
      <c r="H1101" s="63" t="n">
        <f aca="false">IF(ISNUMBER(K1101),COUNTIFS($J$6:$J$1916,J1101,$K$6:$K$1916,"&lt;"&amp;K1101)+1,"-")</f>
        <v>2</v>
      </c>
      <c r="I1101" s="64" t="str">
        <f aca="false">IF('Onshore - Adelaide'!E355="","Harga belum tersedia - hubungi konsultan TEG",IF(M1101=2,"Saat ini tidak menerima pendaftaran siswa internasional baru",IF(M1101=1,"Harga perlu dikonfirmasi ke sekolah"&amp;IF(""="","","; "&amp;""),"")))</f>
        <v/>
      </c>
      <c r="J1101" s="0" t="s">
        <v>4220</v>
      </c>
      <c r="K1101" s="0" t="n">
        <f aca="false">IF(M1101=2,"",IF(ISNUMBER(SEARCH("rata-rata:",'Onshore - Adelaide'!M355)),VALUE(MID('Onshore - Adelaide'!M355,SEARCH("rata-rata:",'Onshore - Adelaide'!M355)+11,FIND(";",'Onshore - Adelaide'!M355&amp;";",SEARCH("rata-rata:",'Onshore - Adelaide'!M355))-SEARCH("rata-rata:",'Onshore - Adelaide'!M355)-11)),IF('Onshore - Adelaide'!D355="Semester",'Onshore - Adelaide'!E355*2,IF('Onshore - Adelaide'!D355="Trimester",'Onshore - Adelaide'!E355*3,IF('Onshore - Adelaide'!D355="Term",'Onshore - Adelaide'!E355*4,IF('Onshore - Adelaide'!D355="Unit",'Onshore - Adelaide'!E355*8,""))))))</f>
        <v>48600</v>
      </c>
      <c r="L1101" s="0" t="n">
        <f aca="false">IF(AND(ISNUMBER('Onshore - Adelaide'!E355),ISNUMBER(K1101),ISNUMBER('Onshore - Adelaide'!F355),ISNUMBER('Onshore - Adelaide'!G355),OR('Onshore - Adelaide'!F355&lt;&gt;0,ISNUMBER(SEARCH("Material 0 terverifikasi",'Onshore - Adelaide'!M355))),OR('Onshore - Adelaide'!G355&lt;&gt;0,ISNUMBER(SEARCH("Enrolment 0 terverifikasi",'Onshore - Adelaide'!M355)))),1,0)</f>
        <v>0</v>
      </c>
      <c r="M1101" s="0" t="n">
        <f aca="false">IF(OR('Onshore - Adelaide'!E355="",ISNUMBER(SEARCH("BSB80120",'Onshore - Adelaide'!B355&amp;'Onshore - Adelaide'!M355)),ISNUMBER(SEARCH("Management (Learning)",'Onshore - Adelaide'!B355))),2,IF(ISNUMBER(SEARCH("CEK:",'Onshore - Adelaide'!M355)),1,0))</f>
        <v>0</v>
      </c>
    </row>
    <row r="1102" customFormat="false" ht="15" hidden="false" customHeight="false" outlineLevel="0" collapsed="false">
      <c r="A1102" s="61" t="s">
        <v>4221</v>
      </c>
      <c r="B1102" s="62"/>
      <c r="C1102" s="62"/>
      <c r="D1102" s="62"/>
      <c r="E1102" s="62"/>
      <c r="F1102" s="62"/>
      <c r="G1102" s="62"/>
      <c r="H1102" s="62"/>
      <c r="I1102" s="62"/>
    </row>
    <row r="1103" customFormat="false" ht="15" hidden="false" customHeight="false" outlineLevel="0" collapsed="false">
      <c r="A1103" s="63" t="s">
        <v>3659</v>
      </c>
      <c r="B1103" s="64" t="s">
        <v>4207</v>
      </c>
      <c r="C1103" s="63" t="s">
        <v>4222</v>
      </c>
      <c r="D1103" s="64" t="str">
        <f aca="false">TRIM(LEFT('Onshore - Adelaide'!A15,FIND(CHAR(10),'Onshore - Adelaide'!A15&amp;CHAR(10))-1))</f>
        <v>Adelaide University</v>
      </c>
      <c r="E1103" s="63" t="str">
        <f aca="false">'Onshore - Adelaide'!C283&amp;""</f>
        <v>3 years</v>
      </c>
      <c r="F1103" s="63" t="str">
        <f aca="false">IF('Onshore - Adelaide'!D283="","Belum tercatat",'Onshore - Adelaide'!D283)</f>
        <v>Term</v>
      </c>
      <c r="G1103" s="65" t="n">
        <f aca="false">IF('Onshore - Adelaide'!E283="","-",'Onshore - Adelaide'!E283)</f>
        <v>21175</v>
      </c>
      <c r="H1103" s="63" t="n">
        <f aca="false">IF(ISNUMBER(K1103),COUNTIFS($J$6:$J$1916,J1103,$K$6:$K$1916,"&lt;"&amp;K1103)+1,"-")</f>
        <v>1</v>
      </c>
      <c r="I1103" s="64" t="str">
        <f aca="false">IF('Onshore - Adelaide'!E283="","Harga belum tersedia - hubungi konsultan TEG",IF(M1103=2,"Saat ini tidak menerima pendaftaran siswa internasional baru",IF(M1103=1,"Harga perlu dikonfirmasi ke sekolah"&amp;IF(""="","","; "&amp;""),"")))</f>
        <v/>
      </c>
      <c r="J1103" s="0" t="s">
        <v>4223</v>
      </c>
      <c r="K1103" s="0" t="n">
        <f aca="false">IF(M1103=2,"",IF(ISNUMBER(SEARCH("rata-rata:",'Onshore - Adelaide'!M283)),VALUE(MID('Onshore - Adelaide'!M283,SEARCH("rata-rata:",'Onshore - Adelaide'!M283)+11,FIND(";",'Onshore - Adelaide'!M283&amp;";",SEARCH("rata-rata:",'Onshore - Adelaide'!M283))-SEARCH("rata-rata:",'Onshore - Adelaide'!M283)-11)),IF('Onshore - Adelaide'!D283="Semester",'Onshore - Adelaide'!E283*2,IF('Onshore - Adelaide'!D283="Trimester",'Onshore - Adelaide'!E283*3,IF('Onshore - Adelaide'!D283="Term",'Onshore - Adelaide'!E283*4,IF('Onshore - Adelaide'!D283="Unit",'Onshore - Adelaide'!E283*8,""))))))</f>
        <v>84700</v>
      </c>
      <c r="L1103" s="0" t="n">
        <f aca="false">IF(AND(ISNUMBER('Onshore - Adelaide'!E283),ISNUMBER(K1103),ISNUMBER('Onshore - Adelaide'!F283),ISNUMBER('Onshore - Adelaide'!G283),OR('Onshore - Adelaide'!F283&lt;&gt;0,ISNUMBER(SEARCH("Material 0 terverifikasi",'Onshore - Adelaide'!M283))),OR('Onshore - Adelaide'!G283&lt;&gt;0,ISNUMBER(SEARCH("Enrolment 0 terverifikasi",'Onshore - Adelaide'!M283)))),1,0)</f>
        <v>0</v>
      </c>
      <c r="M1103" s="0" t="n">
        <f aca="false">IF(OR('Onshore - Adelaide'!E283="",ISNUMBER(SEARCH("BSB80120",'Onshore - Adelaide'!B283&amp;'Onshore - Adelaide'!M283)),ISNUMBER(SEARCH("Management (Learning)",'Onshore - Adelaide'!B283))),2,IF(ISNUMBER(SEARCH("CEK:",'Onshore - Adelaide'!M283)),1,0))</f>
        <v>0</v>
      </c>
    </row>
    <row r="1104" customFormat="false" ht="15" hidden="false" customHeight="false" outlineLevel="0" collapsed="false">
      <c r="A1104" s="61" t="s">
        <v>4224</v>
      </c>
      <c r="B1104" s="62"/>
      <c r="C1104" s="62"/>
      <c r="D1104" s="62"/>
      <c r="E1104" s="62"/>
      <c r="F1104" s="62"/>
      <c r="G1104" s="62"/>
      <c r="H1104" s="62"/>
      <c r="I1104" s="62"/>
    </row>
    <row r="1105" customFormat="false" ht="15" hidden="false" customHeight="false" outlineLevel="0" collapsed="false">
      <c r="A1105" s="63" t="s">
        <v>3563</v>
      </c>
      <c r="B1105" s="64" t="s">
        <v>4207</v>
      </c>
      <c r="C1105" s="63" t="s">
        <v>40</v>
      </c>
      <c r="D1105" s="64" t="str">
        <f aca="false">TRIM(LEFT('Onshore - Brisbane'!A206,FIND(CHAR(10),'Onshore - Brisbane'!A206&amp;CHAR(10))-1))</f>
        <v>Greenwich College</v>
      </c>
      <c r="E1105" s="63" t="str">
        <f aca="false">'Onshore - Brisbane'!C218&amp;""</f>
        <v>84 weeks</v>
      </c>
      <c r="F1105" s="63" t="str">
        <f aca="false">IF('Onshore - Brisbane'!D218="","Belum tercatat",'Onshore - Brisbane'!D218)</f>
        <v>Term</v>
      </c>
      <c r="G1105" s="65" t="n">
        <f aca="false">IF('Onshore - Brisbane'!E218="","-",'Onshore - Brisbane'!E218)</f>
        <v>1600</v>
      </c>
      <c r="H1105" s="63" t="n">
        <f aca="false">IF(ISNUMBER(K1105),COUNTIFS($J$6:$J$1916,J1105,$K$6:$K$1916,"&lt;"&amp;K1105)+1,"-")</f>
        <v>1</v>
      </c>
      <c r="I1105" s="64" t="str">
        <f aca="false">IF('Onshore - Brisbane'!E218="","Harga belum tersedia - hubungi konsultan TEG",IF(M1105=2,"Saat ini tidak menerima pendaftaran siswa internasional baru",IF(M1105=1,"Harga perlu dikonfirmasi ke sekolah"&amp;IF(""="","","; "&amp;""),"")))</f>
        <v/>
      </c>
      <c r="J1105" s="0" t="s">
        <v>4225</v>
      </c>
      <c r="K1105" s="0" t="n">
        <f aca="false">IF(M1105=2,"",IF(ISNUMBER(SEARCH("rata-rata:",'Onshore - Brisbane'!M218)),VALUE(MID('Onshore - Brisbane'!M218,SEARCH("rata-rata:",'Onshore - Brisbane'!M218)+11,FIND(";",'Onshore - Brisbane'!M218&amp;";",SEARCH("rata-rata:",'Onshore - Brisbane'!M218))-SEARCH("rata-rata:",'Onshore - Brisbane'!M218)-11)),IF('Onshore - Brisbane'!D218="Semester",'Onshore - Brisbane'!E218*2,IF('Onshore - Brisbane'!D218="Trimester",'Onshore - Brisbane'!E218*3,IF('Onshore - Brisbane'!D218="Term",'Onshore - Brisbane'!E218*4,IF('Onshore - Brisbane'!D218="Unit",'Onshore - Brisbane'!E218*8,""))))))</f>
        <v>6400</v>
      </c>
      <c r="L1105" s="0" t="n">
        <f aca="false">IF(AND(ISNUMBER('Onshore - Brisbane'!E218),ISNUMBER(K1105),ISNUMBER('Onshore - Brisbane'!F218),ISNUMBER('Onshore - Brisbane'!G218),OR('Onshore - Brisbane'!F218&lt;&gt;0,ISNUMBER(SEARCH("Material 0 terverifikasi",'Onshore - Brisbane'!M218))),OR('Onshore - Brisbane'!G218&lt;&gt;0,ISNUMBER(SEARCH("Enrolment 0 terverifikasi",'Onshore - Brisbane'!M218)))),1,0)</f>
        <v>1</v>
      </c>
      <c r="M1105" s="0" t="n">
        <f aca="false">IF(OR('Onshore - Brisbane'!E218="",ISNUMBER(SEARCH("BSB80120",'Onshore - Brisbane'!B218&amp;'Onshore - Brisbane'!M218)),ISNUMBER(SEARCH("Management (Learning)",'Onshore - Brisbane'!B218))),2,IF(ISNUMBER(SEARCH("CEK:",'Onshore - Brisbane'!M218)),1,0))</f>
        <v>0</v>
      </c>
    </row>
    <row r="1106" customFormat="false" ht="15" hidden="false" customHeight="false" outlineLevel="0" collapsed="false">
      <c r="A1106" s="63" t="s">
        <v>3563</v>
      </c>
      <c r="B1106" s="64" t="s">
        <v>4207</v>
      </c>
      <c r="C1106" s="63" t="s">
        <v>40</v>
      </c>
      <c r="D1106" s="64" t="str">
        <f aca="false">TRIM(LEFT('Onshore - Brisbane'!A161,FIND(CHAR(10),'Onshore - Brisbane'!A161&amp;CHAR(10))-1))</f>
        <v>Australian Skills Management Institute (ASMI)</v>
      </c>
      <c r="E1106" s="63" t="str">
        <f aca="false">'Onshore - Brisbane'!C169&amp;""</f>
        <v>2 years</v>
      </c>
      <c r="F1106" s="63" t="str">
        <f aca="false">IF('Onshore - Brisbane'!D169="","Belum tercatat",'Onshore - Brisbane'!D169)</f>
        <v>Term</v>
      </c>
      <c r="G1106" s="65" t="n">
        <f aca="false">IF('Onshore - Brisbane'!E169="","-",'Onshore - Brisbane'!E169)</f>
        <v>1650</v>
      </c>
      <c r="H1106" s="63" t="n">
        <f aca="false">IF(ISNUMBER(K1106),COUNTIFS($J$6:$J$1916,J1106,$K$6:$K$1916,"&lt;"&amp;K1106)+1,"-")</f>
        <v>2</v>
      </c>
      <c r="I1106" s="64" t="str">
        <f aca="false">IF('Onshore - Brisbane'!E169="","Harga belum tersedia - hubungi konsultan TEG",IF(M1106=2,"Saat ini tidak menerima pendaftaran siswa internasional baru",IF(M1106=1,"Harga perlu dikonfirmasi ke sekolah"&amp;IF(""="","","; "&amp;""),"")))</f>
        <v/>
      </c>
      <c r="J1106" s="0" t="s">
        <v>4225</v>
      </c>
      <c r="K1106" s="0" t="n">
        <f aca="false">IF(M1106=2,"",IF(ISNUMBER(SEARCH("rata-rata:",'Onshore - Brisbane'!M169)),VALUE(MID('Onshore - Brisbane'!M169,SEARCH("rata-rata:",'Onshore - Brisbane'!M169)+11,FIND(";",'Onshore - Brisbane'!M169&amp;";",SEARCH("rata-rata:",'Onshore - Brisbane'!M169))-SEARCH("rata-rata:",'Onshore - Brisbane'!M169)-11)),IF('Onshore - Brisbane'!D169="Semester",'Onshore - Brisbane'!E169*2,IF('Onshore - Brisbane'!D169="Trimester",'Onshore - Brisbane'!E169*3,IF('Onshore - Brisbane'!D169="Term",'Onshore - Brisbane'!E169*4,IF('Onshore - Brisbane'!D169="Unit",'Onshore - Brisbane'!E169*8,""))))))</f>
        <v>6600</v>
      </c>
      <c r="L1106" s="0" t="n">
        <f aca="false">IF(AND(ISNUMBER('Onshore - Brisbane'!E169),ISNUMBER(K1106),ISNUMBER('Onshore - Brisbane'!F169),ISNUMBER('Onshore - Brisbane'!G169),OR('Onshore - Brisbane'!F169&lt;&gt;0,ISNUMBER(SEARCH("Material 0 terverifikasi",'Onshore - Brisbane'!M169))),OR('Onshore - Brisbane'!G169&lt;&gt;0,ISNUMBER(SEARCH("Enrolment 0 terverifikasi",'Onshore - Brisbane'!M169)))),1,0)</f>
        <v>1</v>
      </c>
      <c r="M1106" s="0" t="n">
        <f aca="false">IF(OR('Onshore - Brisbane'!E169="",ISNUMBER(SEARCH("BSB80120",'Onshore - Brisbane'!B169&amp;'Onshore - Brisbane'!M169)),ISNUMBER(SEARCH("Management (Learning)",'Onshore - Brisbane'!B169))),2,IF(ISNUMBER(SEARCH("CEK:",'Onshore - Brisbane'!M169)),1,0))</f>
        <v>0</v>
      </c>
    </row>
    <row r="1107" customFormat="false" ht="15" hidden="false" customHeight="false" outlineLevel="0" collapsed="false">
      <c r="A1107" s="63" t="s">
        <v>3563</v>
      </c>
      <c r="B1107" s="64" t="s">
        <v>4207</v>
      </c>
      <c r="C1107" s="63" t="s">
        <v>40</v>
      </c>
      <c r="D1107" s="64" t="str">
        <f aca="false">TRIM(LEFT('Onshore - Brisbane'!A26,FIND(CHAR(10),'Onshore - Brisbane'!A26&amp;CHAR(10))-1))</f>
        <v>American College</v>
      </c>
      <c r="E1107" s="63" t="str">
        <f aca="false">'Onshore - Brisbane'!C31&amp;""</f>
        <v>2 years</v>
      </c>
      <c r="F1107" s="63" t="str">
        <f aca="false">IF('Onshore - Brisbane'!D31="","Belum tercatat",'Onshore - Brisbane'!D31)</f>
        <v>Term</v>
      </c>
      <c r="G1107" s="65" t="n">
        <f aca="false">IF('Onshore - Brisbane'!E31="","-",'Onshore - Brisbane'!E31)</f>
        <v>2500</v>
      </c>
      <c r="H1107" s="63" t="n">
        <f aca="false">IF(ISNUMBER(K1107),COUNTIFS($J$6:$J$1916,J1107,$K$6:$K$1916,"&lt;"&amp;K1107)+1,"-")</f>
        <v>3</v>
      </c>
      <c r="I1107" s="64" t="str">
        <f aca="false">IF('Onshore - Brisbane'!E31="","Harga belum tersedia - hubungi konsultan TEG",IF(M1107=2,"Saat ini tidak menerima pendaftaran siswa internasional baru",IF(M1107=1,"Harga perlu dikonfirmasi ke sekolah"&amp;IF(""="","","; "&amp;""),"")))</f>
        <v/>
      </c>
      <c r="J1107" s="0" t="s">
        <v>4225</v>
      </c>
      <c r="K1107" s="0" t="n">
        <f aca="false">IF(M1107=2,"",IF(ISNUMBER(SEARCH("rata-rata:",'Onshore - Brisbane'!M31)),VALUE(MID('Onshore - Brisbane'!M31,SEARCH("rata-rata:",'Onshore - Brisbane'!M31)+11,FIND(";",'Onshore - Brisbane'!M31&amp;";",SEARCH("rata-rata:",'Onshore - Brisbane'!M31))-SEARCH("rata-rata:",'Onshore - Brisbane'!M31)-11)),IF('Onshore - Brisbane'!D31="Semester",'Onshore - Brisbane'!E31*2,IF('Onshore - Brisbane'!D31="Trimester",'Onshore - Brisbane'!E31*3,IF('Onshore - Brisbane'!D31="Term",'Onshore - Brisbane'!E31*4,IF('Onshore - Brisbane'!D31="Unit",'Onshore - Brisbane'!E31*8,""))))))</f>
        <v>10000</v>
      </c>
      <c r="L1107" s="0" t="n">
        <f aca="false">IF(AND(ISNUMBER('Onshore - Brisbane'!E31),ISNUMBER(K1107),ISNUMBER('Onshore - Brisbane'!F31),ISNUMBER('Onshore - Brisbane'!G31),OR('Onshore - Brisbane'!F31&lt;&gt;0,ISNUMBER(SEARCH("Material 0 terverifikasi",'Onshore - Brisbane'!M31))),OR('Onshore - Brisbane'!G31&lt;&gt;0,ISNUMBER(SEARCH("Enrolment 0 terverifikasi",'Onshore - Brisbane'!M31)))),1,0)</f>
        <v>1</v>
      </c>
      <c r="M1107" s="0" t="n">
        <f aca="false">IF(OR('Onshore - Brisbane'!E31="",ISNUMBER(SEARCH("BSB80120",'Onshore - Brisbane'!B31&amp;'Onshore - Brisbane'!M31)),ISNUMBER(SEARCH("Management (Learning)",'Onshore - Brisbane'!B31))),2,IF(ISNUMBER(SEARCH("CEK:",'Onshore - Brisbane'!M31)),1,0))</f>
        <v>0</v>
      </c>
    </row>
    <row r="1108" customFormat="false" ht="15" hidden="false" customHeight="false" outlineLevel="0" collapsed="false">
      <c r="A1108" s="61" t="s">
        <v>4226</v>
      </c>
      <c r="B1108" s="62"/>
      <c r="C1108" s="62"/>
      <c r="D1108" s="62"/>
      <c r="E1108" s="62"/>
      <c r="F1108" s="62"/>
      <c r="G1108" s="62"/>
      <c r="H1108" s="62"/>
      <c r="I1108" s="62"/>
    </row>
    <row r="1109" customFormat="false" ht="15" hidden="false" customHeight="false" outlineLevel="0" collapsed="false">
      <c r="A1109" s="63" t="s">
        <v>3563</v>
      </c>
      <c r="B1109" s="64" t="s">
        <v>4207</v>
      </c>
      <c r="C1109" s="63" t="s">
        <v>41</v>
      </c>
      <c r="D1109" s="64" t="str">
        <f aca="false">TRIM(LEFT('Onshore - Brisbane'!A307,FIND(CHAR(10),'Onshore - Brisbane'!A307&amp;CHAR(10))-1))</f>
        <v>Torrens University Australia</v>
      </c>
      <c r="E1109" s="63" t="str">
        <f aca="false">'Onshore - Brisbane'!C379&amp;""</f>
        <v>1,5 years</v>
      </c>
      <c r="F1109" s="63" t="str">
        <f aca="false">IF('Onshore - Brisbane'!D379="","Belum tercatat",'Onshore - Brisbane'!D379)</f>
        <v>Term</v>
      </c>
      <c r="G1109" s="65" t="n">
        <f aca="false">IF('Onshore - Brisbane'!E379="","-",'Onshore - Brisbane'!E379)</f>
        <v>6563</v>
      </c>
      <c r="H1109" s="63" t="n">
        <f aca="false">IF(ISNUMBER(K1109),COUNTIFS($J$6:$J$1916,J1109,$K$6:$K$1916,"&lt;"&amp;K1109)+1,"-")</f>
        <v>1</v>
      </c>
      <c r="I1109" s="64" t="str">
        <f aca="false">IF('Onshore - Brisbane'!E379="","Harga belum tersedia - hubungi konsultan TEG",IF(M1109=2,"Saat ini tidak menerima pendaftaran siswa internasional baru",IF(M1109=1,"Harga perlu dikonfirmasi ke sekolah"&amp;IF(""="","","; "&amp;""),"")))</f>
        <v/>
      </c>
      <c r="J1109" s="0" t="s">
        <v>4227</v>
      </c>
      <c r="K1109" s="0" t="n">
        <f aca="false">IF(M1109=2,"",IF(ISNUMBER(SEARCH("rata-rata:",'Onshore - Brisbane'!M379)),VALUE(MID('Onshore - Brisbane'!M379,SEARCH("rata-rata:",'Onshore - Brisbane'!M379)+11,FIND(";",'Onshore - Brisbane'!M379&amp;";",SEARCH("rata-rata:",'Onshore - Brisbane'!M379))-SEARCH("rata-rata:",'Onshore - Brisbane'!M379)-11)),IF('Onshore - Brisbane'!D379="Semester",'Onshore - Brisbane'!E379*2,IF('Onshore - Brisbane'!D379="Trimester",'Onshore - Brisbane'!E379*3,IF('Onshore - Brisbane'!D379="Term",'Onshore - Brisbane'!E379*4,IF('Onshore - Brisbane'!D379="Unit",'Onshore - Brisbane'!E379*8,""))))))</f>
        <v>26252</v>
      </c>
      <c r="L1109" s="0" t="n">
        <f aca="false">IF(AND(ISNUMBER('Onshore - Brisbane'!E379),ISNUMBER(K1109),ISNUMBER('Onshore - Brisbane'!F379),ISNUMBER('Onshore - Brisbane'!G379),OR('Onshore - Brisbane'!F379&lt;&gt;0,ISNUMBER(SEARCH("Material 0 terverifikasi",'Onshore - Brisbane'!M379))),OR('Onshore - Brisbane'!G379&lt;&gt;0,ISNUMBER(SEARCH("Enrolment 0 terverifikasi",'Onshore - Brisbane'!M379)))),1,0)</f>
        <v>0</v>
      </c>
      <c r="M1109" s="0" t="n">
        <f aca="false">IF(OR('Onshore - Brisbane'!E379="",ISNUMBER(SEARCH("BSB80120",'Onshore - Brisbane'!B379&amp;'Onshore - Brisbane'!M379)),ISNUMBER(SEARCH("Management (Learning)",'Onshore - Brisbane'!B379))),2,IF(ISNUMBER(SEARCH("CEK:",'Onshore - Brisbane'!M379)),1,0))</f>
        <v>0</v>
      </c>
    </row>
    <row r="1110" customFormat="false" ht="15" hidden="false" customHeight="false" outlineLevel="0" collapsed="false">
      <c r="A1110" s="63" t="s">
        <v>3563</v>
      </c>
      <c r="B1110" s="64" t="s">
        <v>4207</v>
      </c>
      <c r="C1110" s="63" t="s">
        <v>41</v>
      </c>
      <c r="D1110" s="64" t="str">
        <f aca="false">TRIM(LEFT('Onshore - Brisbane'!A53,FIND(CHAR(10),'Onshore - Brisbane'!A53&amp;CHAR(10))-1))</f>
        <v>Australian Catholic University (ACU)</v>
      </c>
      <c r="E1110" s="63" t="str">
        <f aca="false">'Onshore - Brisbane'!C146&amp;""</f>
        <v>1 year</v>
      </c>
      <c r="F1110" s="63" t="str">
        <f aca="false">IF('Onshore - Brisbane'!D146="","Belum tercatat",'Onshore - Brisbane'!D146)</f>
        <v>Term</v>
      </c>
      <c r="G1110" s="65" t="n">
        <f aca="false">IF('Onshore - Brisbane'!E146="","-",'Onshore - Brisbane'!E146)</f>
        <v>7086</v>
      </c>
      <c r="H1110" s="63" t="n">
        <f aca="false">IF(ISNUMBER(K1110),COUNTIFS($J$6:$J$1916,J1110,$K$6:$K$1916,"&lt;"&amp;K1110)+1,"-")</f>
        <v>2</v>
      </c>
      <c r="I1110" s="64" t="str">
        <f aca="false">IF('Onshore - Brisbane'!E146="","Harga belum tersedia - hubungi konsultan TEG",IF(M1110=2,"Saat ini tidak menerima pendaftaran siswa internasional baru",IF(M1110=1,"Harga perlu dikonfirmasi ke sekolah"&amp;IF(""="","","; "&amp;""),"")))</f>
        <v/>
      </c>
      <c r="J1110" s="0" t="s">
        <v>4227</v>
      </c>
      <c r="K1110" s="0" t="n">
        <f aca="false">IF(M1110=2,"",IF(ISNUMBER(SEARCH("rata-rata:",'Onshore - Brisbane'!M146)),VALUE(MID('Onshore - Brisbane'!M146,SEARCH("rata-rata:",'Onshore - Brisbane'!M146)+11,FIND(";",'Onshore - Brisbane'!M146&amp;";",SEARCH("rata-rata:",'Onshore - Brisbane'!M146))-SEARCH("rata-rata:",'Onshore - Brisbane'!M146)-11)),IF('Onshore - Brisbane'!D146="Semester",'Onshore - Brisbane'!E146*2,IF('Onshore - Brisbane'!D146="Trimester",'Onshore - Brisbane'!E146*3,IF('Onshore - Brisbane'!D146="Term",'Onshore - Brisbane'!E146*4,IF('Onshore - Brisbane'!D146="Unit",'Onshore - Brisbane'!E146*8,""))))))</f>
        <v>28344</v>
      </c>
      <c r="L1110" s="0" t="n">
        <f aca="false">IF(AND(ISNUMBER('Onshore - Brisbane'!E146),ISNUMBER(K1110),ISNUMBER('Onshore - Brisbane'!F146),ISNUMBER('Onshore - Brisbane'!G146),OR('Onshore - Brisbane'!F146&lt;&gt;0,ISNUMBER(SEARCH("Material 0 terverifikasi",'Onshore - Brisbane'!M146))),OR('Onshore - Brisbane'!G146&lt;&gt;0,ISNUMBER(SEARCH("Enrolment 0 terverifikasi",'Onshore - Brisbane'!M146)))),1,0)</f>
        <v>0</v>
      </c>
      <c r="M1110" s="0" t="n">
        <f aca="false">IF(OR('Onshore - Brisbane'!E146="",ISNUMBER(SEARCH("BSB80120",'Onshore - Brisbane'!B146&amp;'Onshore - Brisbane'!M146)),ISNUMBER(SEARCH("Management (Learning)",'Onshore - Brisbane'!B146))),2,IF(ISNUMBER(SEARCH("CEK:",'Onshore - Brisbane'!M146)),1,0))</f>
        <v>0</v>
      </c>
    </row>
    <row r="1111" customFormat="false" ht="15" hidden="false" customHeight="false" outlineLevel="0" collapsed="false">
      <c r="A1111" s="61" t="s">
        <v>4228</v>
      </c>
      <c r="B1111" s="62"/>
      <c r="C1111" s="62"/>
      <c r="D1111" s="62"/>
      <c r="E1111" s="62"/>
      <c r="F1111" s="62"/>
      <c r="G1111" s="62"/>
      <c r="H1111" s="62"/>
      <c r="I1111" s="62"/>
    </row>
    <row r="1112" customFormat="false" ht="15" hidden="false" customHeight="false" outlineLevel="0" collapsed="false">
      <c r="A1112" s="63" t="s">
        <v>3563</v>
      </c>
      <c r="B1112" s="64" t="s">
        <v>4207</v>
      </c>
      <c r="C1112" s="63" t="s">
        <v>43</v>
      </c>
      <c r="D1112" s="64" t="str">
        <f aca="false">TRIM(LEFT('Onshore - Brisbane'!A307,FIND(CHAR(10),'Onshore - Brisbane'!A307&amp;CHAR(10))-1))</f>
        <v>Torrens University Australia</v>
      </c>
      <c r="E1112" s="63" t="str">
        <f aca="false">'Onshore - Brisbane'!C367&amp;""</f>
        <v>4 years</v>
      </c>
      <c r="F1112" s="63" t="str">
        <f aca="false">IF('Onshore - Brisbane'!D367="","Belum tercatat",'Onshore - Brisbane'!D367)</f>
        <v>Term</v>
      </c>
      <c r="G1112" s="65" t="n">
        <f aca="false">IF('Onshore - Brisbane'!E367="","-",'Onshore - Brisbane'!E367)</f>
        <v>7333</v>
      </c>
      <c r="H1112" s="63" t="n">
        <f aca="false">IF(ISNUMBER(K1112),COUNTIFS($J$6:$J$1916,J1112,$K$6:$K$1916,"&lt;"&amp;K1112)+1,"-")</f>
        <v>1</v>
      </c>
      <c r="I1112" s="64" t="str">
        <f aca="false">IF('Onshore - Brisbane'!E367="","Harga belum tersedia - hubungi konsultan TEG",IF(M1112=2,"Saat ini tidak menerima pendaftaran siswa internasional baru",IF(M1112=1,"Harga perlu dikonfirmasi ke sekolah"&amp;IF(""="","","; "&amp;""),"")))</f>
        <v/>
      </c>
      <c r="J1112" s="0" t="s">
        <v>4229</v>
      </c>
      <c r="K1112" s="0" t="n">
        <f aca="false">IF(M1112=2,"",IF(ISNUMBER(SEARCH("rata-rata:",'Onshore - Brisbane'!M367)),VALUE(MID('Onshore - Brisbane'!M367,SEARCH("rata-rata:",'Onshore - Brisbane'!M367)+11,FIND(";",'Onshore - Brisbane'!M367&amp;";",SEARCH("rata-rata:",'Onshore - Brisbane'!M367))-SEARCH("rata-rata:",'Onshore - Brisbane'!M367)-11)),IF('Onshore - Brisbane'!D367="Semester",'Onshore - Brisbane'!E367*2,IF('Onshore - Brisbane'!D367="Trimester",'Onshore - Brisbane'!E367*3,IF('Onshore - Brisbane'!D367="Term",'Onshore - Brisbane'!E367*4,IF('Onshore - Brisbane'!D367="Unit",'Onshore - Brisbane'!E367*8,""))))))</f>
        <v>29332</v>
      </c>
      <c r="L1112" s="0" t="n">
        <f aca="false">IF(AND(ISNUMBER('Onshore - Brisbane'!E367),ISNUMBER(K1112),ISNUMBER('Onshore - Brisbane'!F367),ISNUMBER('Onshore - Brisbane'!G367),OR('Onshore - Brisbane'!F367&lt;&gt;0,ISNUMBER(SEARCH("Material 0 terverifikasi",'Onshore - Brisbane'!M367))),OR('Onshore - Brisbane'!G367&lt;&gt;0,ISNUMBER(SEARCH("Enrolment 0 terverifikasi",'Onshore - Brisbane'!M367)))),1,0)</f>
        <v>0</v>
      </c>
      <c r="M1112" s="0" t="n">
        <f aca="false">IF(OR('Onshore - Brisbane'!E367="",ISNUMBER(SEARCH("BSB80120",'Onshore - Brisbane'!B367&amp;'Onshore - Brisbane'!M367)),ISNUMBER(SEARCH("Management (Learning)",'Onshore - Brisbane'!B367))),2,IF(ISNUMBER(SEARCH("CEK:",'Onshore - Brisbane'!M367)),1,0))</f>
        <v>0</v>
      </c>
    </row>
    <row r="1113" customFormat="false" ht="15" hidden="false" customHeight="false" outlineLevel="0" collapsed="false">
      <c r="A1113" s="63" t="s">
        <v>3563</v>
      </c>
      <c r="B1113" s="64" t="s">
        <v>4207</v>
      </c>
      <c r="C1113" s="63" t="s">
        <v>43</v>
      </c>
      <c r="D1113" s="64" t="str">
        <f aca="false">TRIM(LEFT('Onshore - Brisbane'!A53,FIND(CHAR(10),'Onshore - Brisbane'!A53&amp;CHAR(10))-1))</f>
        <v>Australian Catholic University (ACU)</v>
      </c>
      <c r="E1113" s="63" t="str">
        <f aca="false">'Onshore - Brisbane'!C113&amp;""</f>
        <v>3 years</v>
      </c>
      <c r="F1113" s="63" t="str">
        <f aca="false">IF('Onshore - Brisbane'!D113="","Belum tercatat",'Onshore - Brisbane'!D113)</f>
        <v>Term</v>
      </c>
      <c r="G1113" s="65" t="n">
        <f aca="false">IF('Onshore - Brisbane'!E113="","-",'Onshore - Brisbane'!E113)</f>
        <v>8098</v>
      </c>
      <c r="H1113" s="63" t="n">
        <f aca="false">IF(ISNUMBER(K1113),COUNTIFS($J$6:$J$1916,J1113,$K$6:$K$1916,"&lt;"&amp;K1113)+1,"-")</f>
        <v>2</v>
      </c>
      <c r="I1113" s="64" t="str">
        <f aca="false">IF('Onshore - Brisbane'!E113="","Harga belum tersedia - hubungi konsultan TEG",IF(M1113=2,"Saat ini tidak menerima pendaftaran siswa internasional baru",IF(M1113=1,"Harga perlu dikonfirmasi ke sekolah"&amp;IF(""="","","; "&amp;""),"")))</f>
        <v/>
      </c>
      <c r="J1113" s="0" t="s">
        <v>4229</v>
      </c>
      <c r="K1113" s="0" t="n">
        <f aca="false">IF(M1113=2,"",IF(ISNUMBER(SEARCH("rata-rata:",'Onshore - Brisbane'!M113)),VALUE(MID('Onshore - Brisbane'!M113,SEARCH("rata-rata:",'Onshore - Brisbane'!M113)+11,FIND(";",'Onshore - Brisbane'!M113&amp;";",SEARCH("rata-rata:",'Onshore - Brisbane'!M113))-SEARCH("rata-rata:",'Onshore - Brisbane'!M113)-11)),IF('Onshore - Brisbane'!D113="Semester",'Onshore - Brisbane'!E113*2,IF('Onshore - Brisbane'!D113="Trimester",'Onshore - Brisbane'!E113*3,IF('Onshore - Brisbane'!D113="Term",'Onshore - Brisbane'!E113*4,IF('Onshore - Brisbane'!D113="Unit",'Onshore - Brisbane'!E113*8,""))))))</f>
        <v>32392</v>
      </c>
      <c r="L1113" s="0" t="n">
        <f aca="false">IF(AND(ISNUMBER('Onshore - Brisbane'!E113),ISNUMBER(K1113),ISNUMBER('Onshore - Brisbane'!F113),ISNUMBER('Onshore - Brisbane'!G113),OR('Onshore - Brisbane'!F113&lt;&gt;0,ISNUMBER(SEARCH("Material 0 terverifikasi",'Onshore - Brisbane'!M113))),OR('Onshore - Brisbane'!G113&lt;&gt;0,ISNUMBER(SEARCH("Enrolment 0 terverifikasi",'Onshore - Brisbane'!M113)))),1,0)</f>
        <v>0</v>
      </c>
      <c r="M1113" s="0" t="n">
        <f aca="false">IF(OR('Onshore - Brisbane'!E113="",ISNUMBER(SEARCH("BSB80120",'Onshore - Brisbane'!B113&amp;'Onshore - Brisbane'!M113)),ISNUMBER(SEARCH("Management (Learning)",'Onshore - Brisbane'!B113))),2,IF(ISNUMBER(SEARCH("CEK:",'Onshore - Brisbane'!M113)),1,0))</f>
        <v>0</v>
      </c>
    </row>
    <row r="1114" customFormat="false" ht="15" hidden="false" customHeight="false" outlineLevel="0" collapsed="false">
      <c r="A1114" s="61" t="s">
        <v>4230</v>
      </c>
      <c r="B1114" s="62"/>
      <c r="C1114" s="62"/>
      <c r="D1114" s="62"/>
      <c r="E1114" s="62"/>
      <c r="F1114" s="62"/>
      <c r="G1114" s="62"/>
      <c r="H1114" s="62"/>
      <c r="I1114" s="62"/>
    </row>
    <row r="1115" customFormat="false" ht="15" hidden="false" customHeight="false" outlineLevel="0" collapsed="false">
      <c r="A1115" s="63" t="s">
        <v>3563</v>
      </c>
      <c r="B1115" s="64" t="s">
        <v>4207</v>
      </c>
      <c r="C1115" s="63" t="s">
        <v>3707</v>
      </c>
      <c r="D1115" s="64" t="str">
        <f aca="false">TRIM(LEFT('Onshore - Brisbane'!A307,FIND(CHAR(10),'Onshore - Brisbane'!A307&amp;CHAR(10))-1))</f>
        <v>Torrens University Australia</v>
      </c>
      <c r="E1115" s="63" t="str">
        <f aca="false">'Onshore - Brisbane'!C373&amp;""</f>
        <v>0,5 year</v>
      </c>
      <c r="F1115" s="63" t="str">
        <f aca="false">IF('Onshore - Brisbane'!D373="","Belum tercatat",'Onshore - Brisbane'!D373)</f>
        <v>Term</v>
      </c>
      <c r="G1115" s="65" t="n">
        <f aca="false">IF('Onshore - Brisbane'!E373="","-",'Onshore - Brisbane'!E373)</f>
        <v>3975</v>
      </c>
      <c r="H1115" s="63" t="n">
        <f aca="false">IF(ISNUMBER(K1115),COUNTIFS($J$6:$J$1916,J1115,$K$6:$K$1916,"&lt;"&amp;K1115)+1,"-")</f>
        <v>1</v>
      </c>
      <c r="I1115" s="64" t="str">
        <f aca="false">IF('Onshore - Brisbane'!E373="","Harga belum tersedia - hubungi konsultan TEG",IF(M1115=2,"Saat ini tidak menerima pendaftaran siswa internasional baru",IF(M1115=1,"Harga perlu dikonfirmasi ke sekolah"&amp;IF(""="","","; "&amp;""),"")))</f>
        <v/>
      </c>
      <c r="J1115" s="0" t="s">
        <v>4231</v>
      </c>
      <c r="K1115" s="0" t="n">
        <f aca="false">IF(M1115=2,"",IF(ISNUMBER(SEARCH("rata-rata:",'Onshore - Brisbane'!M373)),VALUE(MID('Onshore - Brisbane'!M373,SEARCH("rata-rata:",'Onshore - Brisbane'!M373)+11,FIND(";",'Onshore - Brisbane'!M373&amp;";",SEARCH("rata-rata:",'Onshore - Brisbane'!M373))-SEARCH("rata-rata:",'Onshore - Brisbane'!M373)-11)),IF('Onshore - Brisbane'!D373="Semester",'Onshore - Brisbane'!E373*2,IF('Onshore - Brisbane'!D373="Trimester",'Onshore - Brisbane'!E373*3,IF('Onshore - Brisbane'!D373="Term",'Onshore - Brisbane'!E373*4,IF('Onshore - Brisbane'!D373="Unit",'Onshore - Brisbane'!E373*8,""))))))</f>
        <v>15900</v>
      </c>
      <c r="L1115" s="0" t="n">
        <f aca="false">IF(AND(ISNUMBER('Onshore - Brisbane'!E373),ISNUMBER(K1115),ISNUMBER('Onshore - Brisbane'!F373),ISNUMBER('Onshore - Brisbane'!G373),OR('Onshore - Brisbane'!F373&lt;&gt;0,ISNUMBER(SEARCH("Material 0 terverifikasi",'Onshore - Brisbane'!M373))),OR('Onshore - Brisbane'!G373&lt;&gt;0,ISNUMBER(SEARCH("Enrolment 0 terverifikasi",'Onshore - Brisbane'!M373)))),1,0)</f>
        <v>0</v>
      </c>
      <c r="M1115" s="0" t="n">
        <f aca="false">IF(OR('Onshore - Brisbane'!E373="",ISNUMBER(SEARCH("BSB80120",'Onshore - Brisbane'!B373&amp;'Onshore - Brisbane'!M373)),ISNUMBER(SEARCH("Management (Learning)",'Onshore - Brisbane'!B373))),2,IF(ISNUMBER(SEARCH("CEK:",'Onshore - Brisbane'!M373)),1,0))</f>
        <v>0</v>
      </c>
    </row>
    <row r="1116" customFormat="false" ht="15" hidden="false" customHeight="false" outlineLevel="0" collapsed="false">
      <c r="A1116" s="63" t="s">
        <v>3563</v>
      </c>
      <c r="B1116" s="64" t="s">
        <v>4207</v>
      </c>
      <c r="C1116" s="63" t="s">
        <v>3707</v>
      </c>
      <c r="D1116" s="64" t="str">
        <f aca="false">TRIM(LEFT('Onshore - Brisbane'!A188,FIND(CHAR(10),'Onshore - Brisbane'!A188&amp;CHAR(10))-1))</f>
        <v>ECA College of Health Sciences (CHS)</v>
      </c>
      <c r="E1116" s="63" t="str">
        <f aca="false">'Onshore - Brisbane'!C188&amp;""</f>
        <v>0,75 year</v>
      </c>
      <c r="F1116" s="63" t="str">
        <f aca="false">IF('Onshore - Brisbane'!D188="","Belum tercatat",'Onshore - Brisbane'!D188)</f>
        <v>Trimester</v>
      </c>
      <c r="G1116" s="65" t="n">
        <f aca="false">IF('Onshore - Brisbane'!E188="","-",'Onshore - Brisbane'!E188)</f>
        <v>7800</v>
      </c>
      <c r="H1116" s="63" t="n">
        <f aca="false">IF(ISNUMBER(K1116),COUNTIFS($J$6:$J$1916,J1116,$K$6:$K$1916,"&lt;"&amp;K1116)+1,"-")</f>
        <v>2</v>
      </c>
      <c r="I1116" s="64" t="str">
        <f aca="false">IF('Onshore - Brisbane'!E188="","Harga belum tersedia - hubungi konsultan TEG",IF(M1116=2,"Saat ini tidak menerima pendaftaran siswa internasional baru",IF(M1116=1,"Harga perlu dikonfirmasi ke sekolah"&amp;IF(""="","","; "&amp;""),"")))</f>
        <v/>
      </c>
      <c r="J1116" s="0" t="s">
        <v>4231</v>
      </c>
      <c r="K1116" s="0" t="n">
        <f aca="false">IF(M1116=2,"",IF(ISNUMBER(SEARCH("rata-rata:",'Onshore - Brisbane'!M188)),VALUE(MID('Onshore - Brisbane'!M188,SEARCH("rata-rata:",'Onshore - Brisbane'!M188)+11,FIND(";",'Onshore - Brisbane'!M188&amp;";",SEARCH("rata-rata:",'Onshore - Brisbane'!M188))-SEARCH("rata-rata:",'Onshore - Brisbane'!M188)-11)),IF('Onshore - Brisbane'!D188="Semester",'Onshore - Brisbane'!E188*2,IF('Onshore - Brisbane'!D188="Trimester",'Onshore - Brisbane'!E188*3,IF('Onshore - Brisbane'!D188="Term",'Onshore - Brisbane'!E188*4,IF('Onshore - Brisbane'!D188="Unit",'Onshore - Brisbane'!E188*8,""))))))</f>
        <v>23400</v>
      </c>
      <c r="L1116" s="0" t="n">
        <f aca="false">IF(AND(ISNUMBER('Onshore - Brisbane'!E188),ISNUMBER(K1116),ISNUMBER('Onshore - Brisbane'!F188),ISNUMBER('Onshore - Brisbane'!G188),OR('Onshore - Brisbane'!F188&lt;&gt;0,ISNUMBER(SEARCH("Material 0 terverifikasi",'Onshore - Brisbane'!M188))),OR('Onshore - Brisbane'!G188&lt;&gt;0,ISNUMBER(SEARCH("Enrolment 0 terverifikasi",'Onshore - Brisbane'!M188)))),1,0)</f>
        <v>0</v>
      </c>
      <c r="M1116" s="0" t="n">
        <f aca="false">IF(OR('Onshore - Brisbane'!E188="",ISNUMBER(SEARCH("BSB80120",'Onshore - Brisbane'!B188&amp;'Onshore - Brisbane'!M188)),ISNUMBER(SEARCH("Management (Learning)",'Onshore - Brisbane'!B188))),2,IF(ISNUMBER(SEARCH("CEK:",'Onshore - Brisbane'!M188)),1,0))</f>
        <v>0</v>
      </c>
    </row>
    <row r="1117" customFormat="false" ht="15" hidden="false" customHeight="false" outlineLevel="0" collapsed="false">
      <c r="A1117" s="63" t="s">
        <v>3563</v>
      </c>
      <c r="B1117" s="64" t="s">
        <v>4207</v>
      </c>
      <c r="C1117" s="63" t="s">
        <v>3707</v>
      </c>
      <c r="D1117" s="64" t="str">
        <f aca="false">TRIM(LEFT('Onshore - Brisbane'!A53,FIND(CHAR(10),'Onshore - Brisbane'!A53&amp;CHAR(10))-1))</f>
        <v>Australian Catholic University (ACU)</v>
      </c>
      <c r="E1117" s="63" t="str">
        <f aca="false">'Onshore - Brisbane'!C131&amp;""</f>
        <v>1 year</v>
      </c>
      <c r="F1117" s="63" t="str">
        <f aca="false">IF('Onshore - Brisbane'!D131="","Belum tercatat",'Onshore - Brisbane'!D131)</f>
        <v>Term</v>
      </c>
      <c r="G1117" s="65" t="n">
        <f aca="false">IF('Onshore - Brisbane'!E131="","-",'Onshore - Brisbane'!E131)</f>
        <v>8018</v>
      </c>
      <c r="H1117" s="63" t="n">
        <f aca="false">IF(ISNUMBER(K1117),COUNTIFS($J$6:$J$1916,J1117,$K$6:$K$1916,"&lt;"&amp;K1117)+1,"-")</f>
        <v>3</v>
      </c>
      <c r="I1117" s="64" t="str">
        <f aca="false">IF('Onshore - Brisbane'!E131="","Harga belum tersedia - hubungi konsultan TEG",IF(M1117=2,"Saat ini tidak menerima pendaftaran siswa internasional baru",IF(M1117=1,"Harga perlu dikonfirmasi ke sekolah"&amp;IF(""="","","; "&amp;""),"")))</f>
        <v/>
      </c>
      <c r="J1117" s="0" t="s">
        <v>4231</v>
      </c>
      <c r="K1117" s="0" t="n">
        <f aca="false">IF(M1117=2,"",IF(ISNUMBER(SEARCH("rata-rata:",'Onshore - Brisbane'!M131)),VALUE(MID('Onshore - Brisbane'!M131,SEARCH("rata-rata:",'Onshore - Brisbane'!M131)+11,FIND(";",'Onshore - Brisbane'!M131&amp;";",SEARCH("rata-rata:",'Onshore - Brisbane'!M131))-SEARCH("rata-rata:",'Onshore - Brisbane'!M131)-11)),IF('Onshore - Brisbane'!D131="Semester",'Onshore - Brisbane'!E131*2,IF('Onshore - Brisbane'!D131="Trimester",'Onshore - Brisbane'!E131*3,IF('Onshore - Brisbane'!D131="Term",'Onshore - Brisbane'!E131*4,IF('Onshore - Brisbane'!D131="Unit",'Onshore - Brisbane'!E131*8,""))))))</f>
        <v>32072</v>
      </c>
      <c r="L1117" s="0" t="n">
        <f aca="false">IF(AND(ISNUMBER('Onshore - Brisbane'!E131),ISNUMBER(K1117),ISNUMBER('Onshore - Brisbane'!F131),ISNUMBER('Onshore - Brisbane'!G131),OR('Onshore - Brisbane'!F131&lt;&gt;0,ISNUMBER(SEARCH("Material 0 terverifikasi",'Onshore - Brisbane'!M131))),OR('Onshore - Brisbane'!G131&lt;&gt;0,ISNUMBER(SEARCH("Enrolment 0 terverifikasi",'Onshore - Brisbane'!M131)))),1,0)</f>
        <v>0</v>
      </c>
      <c r="M1117" s="0" t="n">
        <f aca="false">IF(OR('Onshore - Brisbane'!E131="",ISNUMBER(SEARCH("BSB80120",'Onshore - Brisbane'!B131&amp;'Onshore - Brisbane'!M131)),ISNUMBER(SEARCH("Management (Learning)",'Onshore - Brisbane'!B131))),2,IF(ISNUMBER(SEARCH("CEK:",'Onshore - Brisbane'!M131)),1,0))</f>
        <v>0</v>
      </c>
    </row>
    <row r="1118" customFormat="false" ht="15" hidden="false" customHeight="false" outlineLevel="0" collapsed="false">
      <c r="A1118" s="61" t="s">
        <v>4232</v>
      </c>
      <c r="B1118" s="62"/>
      <c r="C1118" s="62"/>
      <c r="D1118" s="62"/>
      <c r="E1118" s="62"/>
      <c r="F1118" s="62"/>
      <c r="G1118" s="62"/>
      <c r="H1118" s="62"/>
      <c r="I1118" s="62"/>
    </row>
    <row r="1119" customFormat="false" ht="15" hidden="false" customHeight="false" outlineLevel="0" collapsed="false">
      <c r="A1119" s="63" t="s">
        <v>3563</v>
      </c>
      <c r="B1119" s="64" t="s">
        <v>4207</v>
      </c>
      <c r="C1119" s="63" t="s">
        <v>46</v>
      </c>
      <c r="D1119" s="64" t="str">
        <f aca="false">TRIM(LEFT('Onshore - Brisbane'!A188,FIND(CHAR(10),'Onshore - Brisbane'!A188&amp;CHAR(10))-1))</f>
        <v>ECA College of Health Sciences (CHS)</v>
      </c>
      <c r="E1119" s="63" t="str">
        <f aca="false">'Onshore - Brisbane'!C190&amp;""</f>
        <v>2 years</v>
      </c>
      <c r="F1119" s="63" t="str">
        <f aca="false">IF('Onshore - Brisbane'!D190="","Belum tercatat",'Onshore - Brisbane'!D190)</f>
        <v>Trimester</v>
      </c>
      <c r="G1119" s="65" t="n">
        <f aca="false">IF('Onshore - Brisbane'!E190="","-",'Onshore - Brisbane'!E190)</f>
        <v>7800</v>
      </c>
      <c r="H1119" s="63" t="n">
        <f aca="false">IF(ISNUMBER(K1119),COUNTIFS($J$6:$J$1916,J1119,$K$6:$K$1916,"&lt;"&amp;K1119)+1,"-")</f>
        <v>1</v>
      </c>
      <c r="I1119" s="64" t="str">
        <f aca="false">IF('Onshore - Brisbane'!E190="","Harga belum tersedia - hubungi konsultan TEG",IF(M1119=2,"Saat ini tidak menerima pendaftaran siswa internasional baru",IF(M1119=1,"Harga perlu dikonfirmasi ke sekolah"&amp;IF(""="","","; "&amp;""),"")))</f>
        <v/>
      </c>
      <c r="J1119" s="0" t="s">
        <v>4233</v>
      </c>
      <c r="K1119" s="0" t="n">
        <f aca="false">IF(M1119=2,"",IF(ISNUMBER(SEARCH("rata-rata:",'Onshore - Brisbane'!M190)),VALUE(MID('Onshore - Brisbane'!M190,SEARCH("rata-rata:",'Onshore - Brisbane'!M190)+11,FIND(";",'Onshore - Brisbane'!M190&amp;";",SEARCH("rata-rata:",'Onshore - Brisbane'!M190))-SEARCH("rata-rata:",'Onshore - Brisbane'!M190)-11)),IF('Onshore - Brisbane'!D190="Semester",'Onshore - Brisbane'!E190*2,IF('Onshore - Brisbane'!D190="Trimester",'Onshore - Brisbane'!E190*3,IF('Onshore - Brisbane'!D190="Term",'Onshore - Brisbane'!E190*4,IF('Onshore - Brisbane'!D190="Unit",'Onshore - Brisbane'!E190*8,""))))))</f>
        <v>23400</v>
      </c>
      <c r="L1119" s="0" t="n">
        <f aca="false">IF(AND(ISNUMBER('Onshore - Brisbane'!E190),ISNUMBER(K1119),ISNUMBER('Onshore - Brisbane'!F190),ISNUMBER('Onshore - Brisbane'!G190),OR('Onshore - Brisbane'!F190&lt;&gt;0,ISNUMBER(SEARCH("Material 0 terverifikasi",'Onshore - Brisbane'!M190))),OR('Onshore - Brisbane'!G190&lt;&gt;0,ISNUMBER(SEARCH("Enrolment 0 terverifikasi",'Onshore - Brisbane'!M190)))),1,0)</f>
        <v>0</v>
      </c>
      <c r="M1119" s="0" t="n">
        <f aca="false">IF(OR('Onshore - Brisbane'!E190="",ISNUMBER(SEARCH("BSB80120",'Onshore - Brisbane'!B190&amp;'Onshore - Brisbane'!M190)),ISNUMBER(SEARCH("Management (Learning)",'Onshore - Brisbane'!B190))),2,IF(ISNUMBER(SEARCH("CEK:",'Onshore - Brisbane'!M190)),1,0))</f>
        <v>0</v>
      </c>
    </row>
    <row r="1120" customFormat="false" ht="15" hidden="false" customHeight="false" outlineLevel="0" collapsed="false">
      <c r="A1120" s="63" t="s">
        <v>3563</v>
      </c>
      <c r="B1120" s="64" t="s">
        <v>4207</v>
      </c>
      <c r="C1120" s="63" t="s">
        <v>46</v>
      </c>
      <c r="D1120" s="64" t="str">
        <f aca="false">TRIM(LEFT('Onshore - Brisbane'!A307,FIND(CHAR(10),'Onshore - Brisbane'!A307&amp;CHAR(10))-1))</f>
        <v>Torrens University Australia</v>
      </c>
      <c r="E1120" s="63" t="str">
        <f aca="false">'Onshore - Brisbane'!C321&amp;""</f>
        <v>2 years</v>
      </c>
      <c r="F1120" s="63" t="str">
        <f aca="false">IF('Onshore - Brisbane'!D321="","Belum tercatat",'Onshore - Brisbane'!D321)</f>
        <v>Term</v>
      </c>
      <c r="G1120" s="65" t="n">
        <f aca="false">IF('Onshore - Brisbane'!E321="","-",'Onshore - Brisbane'!E321)</f>
        <v>7950</v>
      </c>
      <c r="H1120" s="63" t="n">
        <f aca="false">IF(ISNUMBER(K1120),COUNTIFS($J$6:$J$1916,J1120,$K$6:$K$1916,"&lt;"&amp;K1120)+1,"-")</f>
        <v>2</v>
      </c>
      <c r="I1120" s="64" t="str">
        <f aca="false">IF('Onshore - Brisbane'!E321="","Harga belum tersedia - hubungi konsultan TEG",IF(M1120=2,"Saat ini tidak menerima pendaftaran siswa internasional baru",IF(M1120=1,"Harga perlu dikonfirmasi ke sekolah"&amp;IF(""="","","; "&amp;""),"")))</f>
        <v/>
      </c>
      <c r="J1120" s="0" t="s">
        <v>4233</v>
      </c>
      <c r="K1120" s="0" t="n">
        <f aca="false">IF(M1120=2,"",IF(ISNUMBER(SEARCH("rata-rata:",'Onshore - Brisbane'!M321)),VALUE(MID('Onshore - Brisbane'!M321,SEARCH("rata-rata:",'Onshore - Brisbane'!M321)+11,FIND(";",'Onshore - Brisbane'!M321&amp;";",SEARCH("rata-rata:",'Onshore - Brisbane'!M321))-SEARCH("rata-rata:",'Onshore - Brisbane'!M321)-11)),IF('Onshore - Brisbane'!D321="Semester",'Onshore - Brisbane'!E321*2,IF('Onshore - Brisbane'!D321="Trimester",'Onshore - Brisbane'!E321*3,IF('Onshore - Brisbane'!D321="Term",'Onshore - Brisbane'!E321*4,IF('Onshore - Brisbane'!D321="Unit",'Onshore - Brisbane'!E321*8,""))))))</f>
        <v>31800</v>
      </c>
      <c r="L1120" s="0" t="n">
        <f aca="false">IF(AND(ISNUMBER('Onshore - Brisbane'!E321),ISNUMBER(K1120),ISNUMBER('Onshore - Brisbane'!F321),ISNUMBER('Onshore - Brisbane'!G321),OR('Onshore - Brisbane'!F321&lt;&gt;0,ISNUMBER(SEARCH("Material 0 terverifikasi",'Onshore - Brisbane'!M321))),OR('Onshore - Brisbane'!G321&lt;&gt;0,ISNUMBER(SEARCH("Enrolment 0 terverifikasi",'Onshore - Brisbane'!M321)))),1,0)</f>
        <v>0</v>
      </c>
      <c r="M1120" s="0" t="n">
        <f aca="false">IF(OR('Onshore - Brisbane'!E321="",ISNUMBER(SEARCH("BSB80120",'Onshore - Brisbane'!B321&amp;'Onshore - Brisbane'!M321)),ISNUMBER(SEARCH("Management (Learning)",'Onshore - Brisbane'!B321))),2,IF(ISNUMBER(SEARCH("CEK:",'Onshore - Brisbane'!M321)),1,0))</f>
        <v>0</v>
      </c>
    </row>
    <row r="1121" customFormat="false" ht="15" hidden="false" customHeight="false" outlineLevel="0" collapsed="false">
      <c r="A1121" s="63" t="s">
        <v>3563</v>
      </c>
      <c r="B1121" s="64" t="s">
        <v>4207</v>
      </c>
      <c r="C1121" s="63" t="s">
        <v>46</v>
      </c>
      <c r="D1121" s="64" t="str">
        <f aca="false">TRIM(LEFT('Onshore - Brisbane'!A53,FIND(CHAR(10),'Onshore - Brisbane'!A53&amp;CHAR(10))-1))</f>
        <v>Australian Catholic University (ACU)</v>
      </c>
      <c r="E1121" s="63" t="str">
        <f aca="false">'Onshore - Brisbane'!C132&amp;""</f>
        <v>2 years</v>
      </c>
      <c r="F1121" s="63" t="str">
        <f aca="false">IF('Onshore - Brisbane'!D132="","Belum tercatat",'Onshore - Brisbane'!D132)</f>
        <v>Term</v>
      </c>
      <c r="G1121" s="65" t="n">
        <f aca="false">IF('Onshore - Brisbane'!E132="","-",'Onshore - Brisbane'!E132)</f>
        <v>8018</v>
      </c>
      <c r="H1121" s="63" t="n">
        <f aca="false">IF(ISNUMBER(K1121),COUNTIFS($J$6:$J$1916,J1121,$K$6:$K$1916,"&lt;"&amp;K1121)+1,"-")</f>
        <v>3</v>
      </c>
      <c r="I1121" s="64" t="str">
        <f aca="false">IF('Onshore - Brisbane'!E132="","Harga belum tersedia - hubungi konsultan TEG",IF(M1121=2,"Saat ini tidak menerima pendaftaran siswa internasional baru",IF(M1121=1,"Harga perlu dikonfirmasi ke sekolah"&amp;IF(""="","","; "&amp;""),"")))</f>
        <v/>
      </c>
      <c r="J1121" s="0" t="s">
        <v>4233</v>
      </c>
      <c r="K1121" s="0" t="n">
        <f aca="false">IF(M1121=2,"",IF(ISNUMBER(SEARCH("rata-rata:",'Onshore - Brisbane'!M132)),VALUE(MID('Onshore - Brisbane'!M132,SEARCH("rata-rata:",'Onshore - Brisbane'!M132)+11,FIND(";",'Onshore - Brisbane'!M132&amp;";",SEARCH("rata-rata:",'Onshore - Brisbane'!M132))-SEARCH("rata-rata:",'Onshore - Brisbane'!M132)-11)),IF('Onshore - Brisbane'!D132="Semester",'Onshore - Brisbane'!E132*2,IF('Onshore - Brisbane'!D132="Trimester",'Onshore - Brisbane'!E132*3,IF('Onshore - Brisbane'!D132="Term",'Onshore - Brisbane'!E132*4,IF('Onshore - Brisbane'!D132="Unit",'Onshore - Brisbane'!E132*8,""))))))</f>
        <v>32072</v>
      </c>
      <c r="L1121" s="0" t="n">
        <f aca="false">IF(AND(ISNUMBER('Onshore - Brisbane'!E132),ISNUMBER(K1121),ISNUMBER('Onshore - Brisbane'!F132),ISNUMBER('Onshore - Brisbane'!G132),OR('Onshore - Brisbane'!F132&lt;&gt;0,ISNUMBER(SEARCH("Material 0 terverifikasi",'Onshore - Brisbane'!M132))),OR('Onshore - Brisbane'!G132&lt;&gt;0,ISNUMBER(SEARCH("Enrolment 0 terverifikasi",'Onshore - Brisbane'!M132)))),1,0)</f>
        <v>0</v>
      </c>
      <c r="M1121" s="0" t="n">
        <f aca="false">IF(OR('Onshore - Brisbane'!E132="",ISNUMBER(SEARCH("BSB80120",'Onshore - Brisbane'!B132&amp;'Onshore - Brisbane'!M132)),ISNUMBER(SEARCH("Management (Learning)",'Onshore - Brisbane'!B132))),2,IF(ISNUMBER(SEARCH("CEK:",'Onshore - Brisbane'!M132)),1,0))</f>
        <v>0</v>
      </c>
    </row>
    <row r="1122" customFormat="false" ht="15" hidden="false" customHeight="false" outlineLevel="0" collapsed="false">
      <c r="A1122" s="61" t="s">
        <v>4234</v>
      </c>
      <c r="B1122" s="62"/>
      <c r="C1122" s="62"/>
      <c r="D1122" s="62"/>
      <c r="E1122" s="62"/>
      <c r="F1122" s="62"/>
      <c r="G1122" s="62"/>
      <c r="H1122" s="62"/>
      <c r="I1122" s="62"/>
    </row>
    <row r="1123" customFormat="false" ht="15" hidden="false" customHeight="false" outlineLevel="0" collapsed="false">
      <c r="A1123" s="63" t="s">
        <v>3718</v>
      </c>
      <c r="B1123" s="64" t="s">
        <v>4207</v>
      </c>
      <c r="C1123" s="63" t="s">
        <v>39</v>
      </c>
      <c r="D1123" s="64" t="str">
        <f aca="false">TRIM(LEFT('Onshore - Canberra'!A156,FIND(CHAR(10),'Onshore - Canberra'!A156&amp;CHAR(10))-1))</f>
        <v>Whitehouse International College</v>
      </c>
      <c r="E1123" s="63" t="str">
        <f aca="false">'Onshore - Canberra'!C156&amp;""</f>
        <v>1 year</v>
      </c>
      <c r="F1123" s="63" t="str">
        <f aca="false">IF('Onshore - Canberra'!D156="","Belum tercatat",'Onshore - Canberra'!D156)</f>
        <v>Term</v>
      </c>
      <c r="G1123" s="65" t="n">
        <f aca="false">IF('Onshore - Canberra'!E156="","-",'Onshore - Canberra'!E156)</f>
        <v>2750</v>
      </c>
      <c r="H1123" s="63" t="n">
        <f aca="false">IF(ISNUMBER(K1123),COUNTIFS($J$6:$J$1916,J1123,$K$6:$K$1916,"&lt;"&amp;K1123)+1,"-")</f>
        <v>1</v>
      </c>
      <c r="I1123" s="64" t="str">
        <f aca="false">IF('Onshore - Canberra'!E156="","Harga belum tersedia - hubungi konsultan TEG",IF(M1123=2,"Saat ini tidak menerima pendaftaran siswa internasional baru",IF(M1123=1,"Harga perlu dikonfirmasi ke sekolah"&amp;IF(""="","","; "&amp;""),"")))</f>
        <v>Harga perlu dikonfirmasi ke sekolah</v>
      </c>
      <c r="J1123" s="0" t="s">
        <v>4235</v>
      </c>
      <c r="K1123" s="0" t="n">
        <f aca="false">IF(M1123=2,"",IF(ISNUMBER(SEARCH("rata-rata:",'Onshore - Canberra'!M156)),VALUE(MID('Onshore - Canberra'!M156,SEARCH("rata-rata:",'Onshore - Canberra'!M156)+11,FIND(";",'Onshore - Canberra'!M156&amp;";",SEARCH("rata-rata:",'Onshore - Canberra'!M156))-SEARCH("rata-rata:",'Onshore - Canberra'!M156)-11)),IF('Onshore - Canberra'!D156="Semester",'Onshore - Canberra'!E156*2,IF('Onshore - Canberra'!D156="Trimester",'Onshore - Canberra'!E156*3,IF('Onshore - Canberra'!D156="Term",'Onshore - Canberra'!E156*4,IF('Onshore - Canberra'!D156="Unit",'Onshore - Canberra'!E156*8,""))))))</f>
        <v>11000</v>
      </c>
      <c r="L1123" s="0" t="n">
        <f aca="false">IF(AND(ISNUMBER('Onshore - Canberra'!E156),ISNUMBER(K1123),ISNUMBER('Onshore - Canberra'!F156),ISNUMBER('Onshore - Canberra'!G156),OR('Onshore - Canberra'!F156&lt;&gt;0,ISNUMBER(SEARCH("Material 0 terverifikasi",'Onshore - Canberra'!M156))),OR('Onshore - Canberra'!G156&lt;&gt;0,ISNUMBER(SEARCH("Enrolment 0 terverifikasi",'Onshore - Canberra'!M156)))),1,0)</f>
        <v>1</v>
      </c>
      <c r="M1123" s="0" t="n">
        <f aca="false">IF(OR('Onshore - Canberra'!E156="",ISNUMBER(SEARCH("BSB80120",'Onshore - Canberra'!B156&amp;'Onshore - Canberra'!M156)),ISNUMBER(SEARCH("Management (Learning)",'Onshore - Canberra'!B156))),2,IF(ISNUMBER(SEARCH("CEK:",'Onshore - Canberra'!M156)),1,0))</f>
        <v>1</v>
      </c>
    </row>
    <row r="1124" customFormat="false" ht="15" hidden="false" customHeight="false" outlineLevel="0" collapsed="false">
      <c r="A1124" s="61" t="s">
        <v>4236</v>
      </c>
      <c r="B1124" s="62"/>
      <c r="C1124" s="62"/>
      <c r="D1124" s="62"/>
      <c r="E1124" s="62"/>
      <c r="F1124" s="62"/>
      <c r="G1124" s="62"/>
      <c r="H1124" s="62"/>
      <c r="I1124" s="62"/>
    </row>
    <row r="1125" customFormat="false" ht="15" hidden="false" customHeight="false" outlineLevel="0" collapsed="false">
      <c r="A1125" s="63" t="s">
        <v>3718</v>
      </c>
      <c r="B1125" s="64" t="s">
        <v>4207</v>
      </c>
      <c r="C1125" s="63" t="s">
        <v>40</v>
      </c>
      <c r="D1125" s="64" t="str">
        <f aca="false">TRIM(LEFT('Onshore - Canberra'!A156,FIND(CHAR(10),'Onshore - Canberra'!A156&amp;CHAR(10))-1))</f>
        <v>Whitehouse International College</v>
      </c>
      <c r="E1125" s="63" t="str">
        <f aca="false">'Onshore - Canberra'!C157&amp;""</f>
        <v>1 year</v>
      </c>
      <c r="F1125" s="63" t="str">
        <f aca="false">IF('Onshore - Canberra'!D157="","Belum tercatat",'Onshore - Canberra'!D157)</f>
        <v>Term</v>
      </c>
      <c r="G1125" s="65" t="n">
        <f aca="false">IF('Onshore - Canberra'!E157="","-",'Onshore - Canberra'!E157)</f>
        <v>2750</v>
      </c>
      <c r="H1125" s="63" t="n">
        <f aca="false">IF(ISNUMBER(K1125),COUNTIFS($J$6:$J$1916,J1125,$K$6:$K$1916,"&lt;"&amp;K1125)+1,"-")</f>
        <v>1</v>
      </c>
      <c r="I1125" s="64" t="str">
        <f aca="false">IF('Onshore - Canberra'!E157="","Harga belum tersedia - hubungi konsultan TEG",IF(M1125=2,"Saat ini tidak menerima pendaftaran siswa internasional baru",IF(M1125=1,"Harga perlu dikonfirmasi ke sekolah"&amp;IF(""="","","; "&amp;""),"")))</f>
        <v/>
      </c>
      <c r="J1125" s="0" t="s">
        <v>4237</v>
      </c>
      <c r="K1125" s="0" t="n">
        <f aca="false">IF(M1125=2,"",IF(ISNUMBER(SEARCH("rata-rata:",'Onshore - Canberra'!M157)),VALUE(MID('Onshore - Canberra'!M157,SEARCH("rata-rata:",'Onshore - Canberra'!M157)+11,FIND(";",'Onshore - Canberra'!M157&amp;";",SEARCH("rata-rata:",'Onshore - Canberra'!M157))-SEARCH("rata-rata:",'Onshore - Canberra'!M157)-11)),IF('Onshore - Canberra'!D157="Semester",'Onshore - Canberra'!E157*2,IF('Onshore - Canberra'!D157="Trimester",'Onshore - Canberra'!E157*3,IF('Onshore - Canberra'!D157="Term",'Onshore - Canberra'!E157*4,IF('Onshore - Canberra'!D157="Unit",'Onshore - Canberra'!E157*8,""))))))</f>
        <v>11000</v>
      </c>
      <c r="L1125" s="0" t="n">
        <f aca="false">IF(AND(ISNUMBER('Onshore - Canberra'!E157),ISNUMBER(K1125),ISNUMBER('Onshore - Canberra'!F157),ISNUMBER('Onshore - Canberra'!G157),OR('Onshore - Canberra'!F157&lt;&gt;0,ISNUMBER(SEARCH("Material 0 terverifikasi",'Onshore - Canberra'!M157))),OR('Onshore - Canberra'!G157&lt;&gt;0,ISNUMBER(SEARCH("Enrolment 0 terverifikasi",'Onshore - Canberra'!M157)))),1,0)</f>
        <v>1</v>
      </c>
      <c r="M1125" s="0" t="n">
        <f aca="false">IF(OR('Onshore - Canberra'!E157="",ISNUMBER(SEARCH("BSB80120",'Onshore - Canberra'!B157&amp;'Onshore - Canberra'!M157)),ISNUMBER(SEARCH("Management (Learning)",'Onshore - Canberra'!B157))),2,IF(ISNUMBER(SEARCH("CEK:",'Onshore - Canberra'!M157)),1,0))</f>
        <v>0</v>
      </c>
    </row>
    <row r="1126" customFormat="false" ht="15" hidden="false" customHeight="false" outlineLevel="0" collapsed="false">
      <c r="A1126" s="61" t="s">
        <v>4238</v>
      </c>
      <c r="B1126" s="62"/>
      <c r="C1126" s="62"/>
      <c r="D1126" s="62"/>
      <c r="E1126" s="62"/>
      <c r="F1126" s="62"/>
      <c r="G1126" s="62"/>
      <c r="H1126" s="62"/>
      <c r="I1126" s="62"/>
    </row>
    <row r="1127" customFormat="false" ht="15" hidden="false" customHeight="false" outlineLevel="0" collapsed="false">
      <c r="A1127" s="63" t="s">
        <v>3718</v>
      </c>
      <c r="B1127" s="64" t="s">
        <v>4207</v>
      </c>
      <c r="C1127" s="63" t="s">
        <v>41</v>
      </c>
      <c r="D1127" s="64" t="str">
        <f aca="false">TRIM(LEFT('Onshore - Canberra'!A6,FIND(CHAR(10),'Onshore - Canberra'!A6&amp;CHAR(10))-1))</f>
        <v>Australian Catholic University (ACU)</v>
      </c>
      <c r="E1127" s="63" t="str">
        <f aca="false">'Onshore - Canberra'!C99&amp;""</f>
        <v>1 year</v>
      </c>
      <c r="F1127" s="63" t="str">
        <f aca="false">IF('Onshore - Canberra'!D99="","Belum tercatat",'Onshore - Canberra'!D99)</f>
        <v>Term</v>
      </c>
      <c r="G1127" s="65" t="n">
        <f aca="false">IF('Onshore - Canberra'!E99="","-",'Onshore - Canberra'!E99)</f>
        <v>7086</v>
      </c>
      <c r="H1127" s="63" t="n">
        <f aca="false">IF(ISNUMBER(K1127),COUNTIFS($J$6:$J$1916,J1127,$K$6:$K$1916,"&lt;"&amp;K1127)+1,"-")</f>
        <v>1</v>
      </c>
      <c r="I1127" s="64" t="str">
        <f aca="false">IF('Onshore - Canberra'!E99="","Harga belum tersedia - hubungi konsultan TEG",IF(M1127=2,"Saat ini tidak menerima pendaftaran siswa internasional baru",IF(M1127=1,"Harga perlu dikonfirmasi ke sekolah"&amp;IF(""="","","; "&amp;""),"")))</f>
        <v/>
      </c>
      <c r="J1127" s="0" t="s">
        <v>4239</v>
      </c>
      <c r="K1127" s="0" t="n">
        <f aca="false">IF(M1127=2,"",IF(ISNUMBER(SEARCH("rata-rata:",'Onshore - Canberra'!M99)),VALUE(MID('Onshore - Canberra'!M99,SEARCH("rata-rata:",'Onshore - Canberra'!M99)+11,FIND(";",'Onshore - Canberra'!M99&amp;";",SEARCH("rata-rata:",'Onshore - Canberra'!M99))-SEARCH("rata-rata:",'Onshore - Canberra'!M99)-11)),IF('Onshore - Canberra'!D99="Semester",'Onshore - Canberra'!E99*2,IF('Onshore - Canberra'!D99="Trimester",'Onshore - Canberra'!E99*3,IF('Onshore - Canberra'!D99="Term",'Onshore - Canberra'!E99*4,IF('Onshore - Canberra'!D99="Unit",'Onshore - Canberra'!E99*8,""))))))</f>
        <v>28344</v>
      </c>
      <c r="L1127" s="0" t="n">
        <f aca="false">IF(AND(ISNUMBER('Onshore - Canberra'!E99),ISNUMBER(K1127),ISNUMBER('Onshore - Canberra'!F99),ISNUMBER('Onshore - Canberra'!G99),OR('Onshore - Canberra'!F99&lt;&gt;0,ISNUMBER(SEARCH("Material 0 terverifikasi",'Onshore - Canberra'!M99))),OR('Onshore - Canberra'!G99&lt;&gt;0,ISNUMBER(SEARCH("Enrolment 0 terverifikasi",'Onshore - Canberra'!M99)))),1,0)</f>
        <v>0</v>
      </c>
      <c r="M1127" s="0" t="n">
        <f aca="false">IF(OR('Onshore - Canberra'!E99="",ISNUMBER(SEARCH("BSB80120",'Onshore - Canberra'!B99&amp;'Onshore - Canberra'!M99)),ISNUMBER(SEARCH("Management (Learning)",'Onshore - Canberra'!B99))),2,IF(ISNUMBER(SEARCH("CEK:",'Onshore - Canberra'!M99)),1,0))</f>
        <v>0</v>
      </c>
    </row>
    <row r="1128" customFormat="false" ht="15" hidden="false" customHeight="false" outlineLevel="0" collapsed="false">
      <c r="A1128" s="61" t="s">
        <v>4240</v>
      </c>
      <c r="B1128" s="62"/>
      <c r="C1128" s="62"/>
      <c r="D1128" s="62"/>
      <c r="E1128" s="62"/>
      <c r="F1128" s="62"/>
      <c r="G1128" s="62"/>
      <c r="H1128" s="62"/>
      <c r="I1128" s="62"/>
    </row>
    <row r="1129" customFormat="false" ht="15" hidden="false" customHeight="false" outlineLevel="0" collapsed="false">
      <c r="A1129" s="63" t="s">
        <v>3718</v>
      </c>
      <c r="B1129" s="64" t="s">
        <v>4207</v>
      </c>
      <c r="C1129" s="63" t="s">
        <v>43</v>
      </c>
      <c r="D1129" s="64" t="str">
        <f aca="false">TRIM(LEFT('Onshore - Canberra'!A6,FIND(CHAR(10),'Onshore - Canberra'!A6&amp;CHAR(10))-1))</f>
        <v>Australian Catholic University (ACU)</v>
      </c>
      <c r="E1129" s="63" t="str">
        <f aca="false">'Onshore - Canberra'!C66&amp;""</f>
        <v>3 years</v>
      </c>
      <c r="F1129" s="63" t="str">
        <f aca="false">IF('Onshore - Canberra'!D66="","Belum tercatat",'Onshore - Canberra'!D66)</f>
        <v>Term</v>
      </c>
      <c r="G1129" s="65" t="n">
        <f aca="false">IF('Onshore - Canberra'!E66="","-",'Onshore - Canberra'!E66)</f>
        <v>8098</v>
      </c>
      <c r="H1129" s="63" t="n">
        <f aca="false">IF(ISNUMBER(K1129),COUNTIFS($J$6:$J$1916,J1129,$K$6:$K$1916,"&lt;"&amp;K1129)+1,"-")</f>
        <v>1</v>
      </c>
      <c r="I1129" s="64" t="str">
        <f aca="false">IF('Onshore - Canberra'!E66="","Harga belum tersedia - hubungi konsultan TEG",IF(M1129=2,"Saat ini tidak menerima pendaftaran siswa internasional baru",IF(M1129=1,"Harga perlu dikonfirmasi ke sekolah"&amp;IF(""="","","; "&amp;""),"")))</f>
        <v/>
      </c>
      <c r="J1129" s="0" t="s">
        <v>4241</v>
      </c>
      <c r="K1129" s="0" t="n">
        <f aca="false">IF(M1129=2,"",IF(ISNUMBER(SEARCH("rata-rata:",'Onshore - Canberra'!M66)),VALUE(MID('Onshore - Canberra'!M66,SEARCH("rata-rata:",'Onshore - Canberra'!M66)+11,FIND(";",'Onshore - Canberra'!M66&amp;";",SEARCH("rata-rata:",'Onshore - Canberra'!M66))-SEARCH("rata-rata:",'Onshore - Canberra'!M66)-11)),IF('Onshore - Canberra'!D66="Semester",'Onshore - Canberra'!E66*2,IF('Onshore - Canberra'!D66="Trimester",'Onshore - Canberra'!E66*3,IF('Onshore - Canberra'!D66="Term",'Onshore - Canberra'!E66*4,IF('Onshore - Canberra'!D66="Unit",'Onshore - Canberra'!E66*8,""))))))</f>
        <v>32392</v>
      </c>
      <c r="L1129" s="0" t="n">
        <f aca="false">IF(AND(ISNUMBER('Onshore - Canberra'!E66),ISNUMBER(K1129),ISNUMBER('Onshore - Canberra'!F66),ISNUMBER('Onshore - Canberra'!G66),OR('Onshore - Canberra'!F66&lt;&gt;0,ISNUMBER(SEARCH("Material 0 terverifikasi",'Onshore - Canberra'!M66))),OR('Onshore - Canberra'!G66&lt;&gt;0,ISNUMBER(SEARCH("Enrolment 0 terverifikasi",'Onshore - Canberra'!M66)))),1,0)</f>
        <v>0</v>
      </c>
      <c r="M1129" s="0" t="n">
        <f aca="false">IF(OR('Onshore - Canberra'!E66="",ISNUMBER(SEARCH("BSB80120",'Onshore - Canberra'!B66&amp;'Onshore - Canberra'!M66)),ISNUMBER(SEARCH("Management (Learning)",'Onshore - Canberra'!B66))),2,IF(ISNUMBER(SEARCH("CEK:",'Onshore - Canberra'!M66)),1,0))</f>
        <v>0</v>
      </c>
    </row>
    <row r="1130" customFormat="false" ht="15" hidden="false" customHeight="false" outlineLevel="0" collapsed="false">
      <c r="A1130" s="61" t="s">
        <v>4242</v>
      </c>
      <c r="B1130" s="62"/>
      <c r="C1130" s="62"/>
      <c r="D1130" s="62"/>
      <c r="E1130" s="62"/>
      <c r="F1130" s="62"/>
      <c r="G1130" s="62"/>
      <c r="H1130" s="62"/>
      <c r="I1130" s="62"/>
    </row>
    <row r="1131" customFormat="false" ht="15" hidden="false" customHeight="false" outlineLevel="0" collapsed="false">
      <c r="A1131" s="63" t="s">
        <v>3718</v>
      </c>
      <c r="B1131" s="64" t="s">
        <v>4207</v>
      </c>
      <c r="C1131" s="63" t="s">
        <v>3707</v>
      </c>
      <c r="D1131" s="64" t="str">
        <f aca="false">TRIM(LEFT('Onshore - Canberra'!A6,FIND(CHAR(10),'Onshore - Canberra'!A6&amp;CHAR(10))-1))</f>
        <v>Australian Catholic University (ACU)</v>
      </c>
      <c r="E1131" s="63" t="str">
        <f aca="false">'Onshore - Canberra'!C84&amp;""</f>
        <v>1 year</v>
      </c>
      <c r="F1131" s="63" t="str">
        <f aca="false">IF('Onshore - Canberra'!D84="","Belum tercatat",'Onshore - Canberra'!D84)</f>
        <v>Term</v>
      </c>
      <c r="G1131" s="65" t="n">
        <f aca="false">IF('Onshore - Canberra'!E84="","-",'Onshore - Canberra'!E84)</f>
        <v>8018</v>
      </c>
      <c r="H1131" s="63" t="n">
        <f aca="false">IF(ISNUMBER(K1131),COUNTIFS($J$6:$J$1916,J1131,$K$6:$K$1916,"&lt;"&amp;K1131)+1,"-")</f>
        <v>1</v>
      </c>
      <c r="I1131" s="64" t="str">
        <f aca="false">IF('Onshore - Canberra'!E84="","Harga belum tersedia - hubungi konsultan TEG",IF(M1131=2,"Saat ini tidak menerima pendaftaran siswa internasional baru",IF(M1131=1,"Harga perlu dikonfirmasi ke sekolah"&amp;IF(""="","","; "&amp;""),"")))</f>
        <v/>
      </c>
      <c r="J1131" s="0" t="s">
        <v>4243</v>
      </c>
      <c r="K1131" s="0" t="n">
        <f aca="false">IF(M1131=2,"",IF(ISNUMBER(SEARCH("rata-rata:",'Onshore - Canberra'!M84)),VALUE(MID('Onshore - Canberra'!M84,SEARCH("rata-rata:",'Onshore - Canberra'!M84)+11,FIND(";",'Onshore - Canberra'!M84&amp;";",SEARCH("rata-rata:",'Onshore - Canberra'!M84))-SEARCH("rata-rata:",'Onshore - Canberra'!M84)-11)),IF('Onshore - Canberra'!D84="Semester",'Onshore - Canberra'!E84*2,IF('Onshore - Canberra'!D84="Trimester",'Onshore - Canberra'!E84*3,IF('Onshore - Canberra'!D84="Term",'Onshore - Canberra'!E84*4,IF('Onshore - Canberra'!D84="Unit",'Onshore - Canberra'!E84*8,""))))))</f>
        <v>32072</v>
      </c>
      <c r="L1131" s="0" t="n">
        <f aca="false">IF(AND(ISNUMBER('Onshore - Canberra'!E84),ISNUMBER(K1131),ISNUMBER('Onshore - Canberra'!F84),ISNUMBER('Onshore - Canberra'!G84),OR('Onshore - Canberra'!F84&lt;&gt;0,ISNUMBER(SEARCH("Material 0 terverifikasi",'Onshore - Canberra'!M84))),OR('Onshore - Canberra'!G84&lt;&gt;0,ISNUMBER(SEARCH("Enrolment 0 terverifikasi",'Onshore - Canberra'!M84)))),1,0)</f>
        <v>0</v>
      </c>
      <c r="M1131" s="0" t="n">
        <f aca="false">IF(OR('Onshore - Canberra'!E84="",ISNUMBER(SEARCH("BSB80120",'Onshore - Canberra'!B84&amp;'Onshore - Canberra'!M84)),ISNUMBER(SEARCH("Management (Learning)",'Onshore - Canberra'!B84))),2,IF(ISNUMBER(SEARCH("CEK:",'Onshore - Canberra'!M84)),1,0))</f>
        <v>0</v>
      </c>
    </row>
    <row r="1132" customFormat="false" ht="15" hidden="false" customHeight="false" outlineLevel="0" collapsed="false">
      <c r="A1132" s="61" t="s">
        <v>4244</v>
      </c>
      <c r="B1132" s="62"/>
      <c r="C1132" s="62"/>
      <c r="D1132" s="62"/>
      <c r="E1132" s="62"/>
      <c r="F1132" s="62"/>
      <c r="G1132" s="62"/>
      <c r="H1132" s="62"/>
      <c r="I1132" s="62"/>
    </row>
    <row r="1133" customFormat="false" ht="15" hidden="false" customHeight="false" outlineLevel="0" collapsed="false">
      <c r="A1133" s="63" t="s">
        <v>3718</v>
      </c>
      <c r="B1133" s="64" t="s">
        <v>4207</v>
      </c>
      <c r="C1133" s="63" t="s">
        <v>46</v>
      </c>
      <c r="D1133" s="64" t="str">
        <f aca="false">TRIM(LEFT('Onshore - Canberra'!A6,FIND(CHAR(10),'Onshore - Canberra'!A6&amp;CHAR(10))-1))</f>
        <v>Australian Catholic University (ACU)</v>
      </c>
      <c r="E1133" s="63" t="str">
        <f aca="false">'Onshore - Canberra'!C85&amp;""</f>
        <v>2 years</v>
      </c>
      <c r="F1133" s="63" t="str">
        <f aca="false">IF('Onshore - Canberra'!D85="","Belum tercatat",'Onshore - Canberra'!D85)</f>
        <v>Term</v>
      </c>
      <c r="G1133" s="65" t="n">
        <f aca="false">IF('Onshore - Canberra'!E85="","-",'Onshore - Canberra'!E85)</f>
        <v>8018</v>
      </c>
      <c r="H1133" s="63" t="n">
        <f aca="false">IF(ISNUMBER(K1133),COUNTIFS($J$6:$J$1916,J1133,$K$6:$K$1916,"&lt;"&amp;K1133)+1,"-")</f>
        <v>1</v>
      </c>
      <c r="I1133" s="64" t="str">
        <f aca="false">IF('Onshore - Canberra'!E85="","Harga belum tersedia - hubungi konsultan TEG",IF(M1133=2,"Saat ini tidak menerima pendaftaran siswa internasional baru",IF(M1133=1,"Harga perlu dikonfirmasi ke sekolah"&amp;IF(""="","","; "&amp;""),"")))</f>
        <v/>
      </c>
      <c r="J1133" s="0" t="s">
        <v>4245</v>
      </c>
      <c r="K1133" s="0" t="n">
        <f aca="false">IF(M1133=2,"",IF(ISNUMBER(SEARCH("rata-rata:",'Onshore - Canberra'!M85)),VALUE(MID('Onshore - Canberra'!M85,SEARCH("rata-rata:",'Onshore - Canberra'!M85)+11,FIND(";",'Onshore - Canberra'!M85&amp;";",SEARCH("rata-rata:",'Onshore - Canberra'!M85))-SEARCH("rata-rata:",'Onshore - Canberra'!M85)-11)),IF('Onshore - Canberra'!D85="Semester",'Onshore - Canberra'!E85*2,IF('Onshore - Canberra'!D85="Trimester",'Onshore - Canberra'!E85*3,IF('Onshore - Canberra'!D85="Term",'Onshore - Canberra'!E85*4,IF('Onshore - Canberra'!D85="Unit",'Onshore - Canberra'!E85*8,""))))))</f>
        <v>32072</v>
      </c>
      <c r="L1133" s="0" t="n">
        <f aca="false">IF(AND(ISNUMBER('Onshore - Canberra'!E85),ISNUMBER(K1133),ISNUMBER('Onshore - Canberra'!F85),ISNUMBER('Onshore - Canberra'!G85),OR('Onshore - Canberra'!F85&lt;&gt;0,ISNUMBER(SEARCH("Material 0 terverifikasi",'Onshore - Canberra'!M85))),OR('Onshore - Canberra'!G85&lt;&gt;0,ISNUMBER(SEARCH("Enrolment 0 terverifikasi",'Onshore - Canberra'!M85)))),1,0)</f>
        <v>0</v>
      </c>
      <c r="M1133" s="0" t="n">
        <f aca="false">IF(OR('Onshore - Canberra'!E85="",ISNUMBER(SEARCH("BSB80120",'Onshore - Canberra'!B85&amp;'Onshore - Canberra'!M85)),ISNUMBER(SEARCH("Management (Learning)",'Onshore - Canberra'!B85))),2,IF(ISNUMBER(SEARCH("CEK:",'Onshore - Canberra'!M85)),1,0))</f>
        <v>0</v>
      </c>
    </row>
    <row r="1134" customFormat="false" ht="15" hidden="false" customHeight="false" outlineLevel="0" collapsed="false">
      <c r="A1134" s="61" t="s">
        <v>4246</v>
      </c>
      <c r="B1134" s="62"/>
      <c r="C1134" s="62"/>
      <c r="D1134" s="62"/>
      <c r="E1134" s="62"/>
      <c r="F1134" s="62"/>
      <c r="G1134" s="62"/>
      <c r="H1134" s="62"/>
      <c r="I1134" s="62"/>
    </row>
    <row r="1135" customFormat="false" ht="15" hidden="false" customHeight="false" outlineLevel="0" collapsed="false">
      <c r="A1135" s="63" t="s">
        <v>3583</v>
      </c>
      <c r="B1135" s="64" t="s">
        <v>4207</v>
      </c>
      <c r="C1135" s="63" t="s">
        <v>41</v>
      </c>
      <c r="D1135" s="64" t="str">
        <f aca="false">TRIM(LEFT('Onshore - Darwin (NT)'!A20,FIND(CHAR(10),'Onshore - Darwin (NT)'!A20&amp;CHAR(10))-1))</f>
        <v>Charles Darwin University (CDU)</v>
      </c>
      <c r="E1135" s="63" t="str">
        <f aca="false">'Onshore - Darwin (NT)'!C113&amp;""</f>
        <v>1 year</v>
      </c>
      <c r="F1135" s="63" t="str">
        <f aca="false">IF('Onshore - Darwin (NT)'!D113="","Belum tercatat",'Onshore - Darwin (NT)'!D113)</f>
        <v>Term</v>
      </c>
      <c r="G1135" s="65" t="n">
        <f aca="false">IF('Onshore - Darwin (NT)'!E113="","-",'Onshore - Darwin (NT)'!E113)</f>
        <v>8302</v>
      </c>
      <c r="H1135" s="63" t="n">
        <f aca="false">IF(ISNUMBER(K1135),COUNTIFS($J$6:$J$1916,J1135,$K$6:$K$1916,"&lt;"&amp;K1135)+1,"-")</f>
        <v>1</v>
      </c>
      <c r="I1135" s="64" t="str">
        <f aca="false">IF('Onshore - Darwin (NT)'!E113="","Harga belum tersedia - hubungi konsultan TEG",IF(M1135=2,"Saat ini tidak menerima pendaftaran siswa internasional baru",IF(M1135=1,"Harga perlu dikonfirmasi ke sekolah"&amp;IF(""="","","; "&amp;""),"")))</f>
        <v/>
      </c>
      <c r="J1135" s="0" t="s">
        <v>4247</v>
      </c>
      <c r="K1135" s="0" t="n">
        <f aca="false">IF(M1135=2,"",IF(ISNUMBER(SEARCH("rata-rata:",'Onshore - Darwin (NT)'!M113)),VALUE(MID('Onshore - Darwin (NT)'!M113,SEARCH("rata-rata:",'Onshore - Darwin (NT)'!M113)+11,FIND(";",'Onshore - Darwin (NT)'!M113&amp;";",SEARCH("rata-rata:",'Onshore - Darwin (NT)'!M113))-SEARCH("rata-rata:",'Onshore - Darwin (NT)'!M113)-11)),IF('Onshore - Darwin (NT)'!D113="Semester",'Onshore - Darwin (NT)'!E113*2,IF('Onshore - Darwin (NT)'!D113="Trimester",'Onshore - Darwin (NT)'!E113*3,IF('Onshore - Darwin (NT)'!D113="Term",'Onshore - Darwin (NT)'!E113*4,IF('Onshore - Darwin (NT)'!D113="Unit",'Onshore - Darwin (NT)'!E113*8,""))))))</f>
        <v>33208</v>
      </c>
      <c r="L1135" s="0" t="n">
        <f aca="false">IF(AND(ISNUMBER('Onshore - Darwin (NT)'!E113),ISNUMBER(K1135),ISNUMBER('Onshore - Darwin (NT)'!F113),ISNUMBER('Onshore - Darwin (NT)'!G113),OR('Onshore - Darwin (NT)'!F113&lt;&gt;0,ISNUMBER(SEARCH("Material 0 terverifikasi",'Onshore - Darwin (NT)'!M113))),OR('Onshore - Darwin (NT)'!G113&lt;&gt;0,ISNUMBER(SEARCH("Enrolment 0 terverifikasi",'Onshore - Darwin (NT)'!M113)))),1,0)</f>
        <v>0</v>
      </c>
      <c r="M1135" s="0" t="n">
        <f aca="false">IF(OR('Onshore - Darwin (NT)'!E113="",ISNUMBER(SEARCH("BSB80120",'Onshore - Darwin (NT)'!B113&amp;'Onshore - Darwin (NT)'!M113)),ISNUMBER(SEARCH("Management (Learning)",'Onshore - Darwin (NT)'!B113))),2,IF(ISNUMBER(SEARCH("CEK:",'Onshore - Darwin (NT)'!M113)),1,0))</f>
        <v>0</v>
      </c>
    </row>
    <row r="1136" customFormat="false" ht="15" hidden="false" customHeight="false" outlineLevel="0" collapsed="false">
      <c r="A1136" s="61" t="s">
        <v>4248</v>
      </c>
      <c r="B1136" s="62"/>
      <c r="C1136" s="62"/>
      <c r="D1136" s="62"/>
      <c r="E1136" s="62"/>
      <c r="F1136" s="62"/>
      <c r="G1136" s="62"/>
      <c r="H1136" s="62"/>
      <c r="I1136" s="62"/>
    </row>
    <row r="1137" customFormat="false" ht="15" hidden="false" customHeight="false" outlineLevel="0" collapsed="false">
      <c r="A1137" s="63" t="s">
        <v>3583</v>
      </c>
      <c r="B1137" s="64" t="s">
        <v>4207</v>
      </c>
      <c r="C1137" s="63" t="s">
        <v>43</v>
      </c>
      <c r="D1137" s="64" t="str">
        <f aca="false">TRIM(LEFT('Onshore - Darwin (NT)'!A20,FIND(CHAR(10),'Onshore - Darwin (NT)'!A20&amp;CHAR(10))-1))</f>
        <v>Charles Darwin University (CDU)</v>
      </c>
      <c r="E1137" s="63" t="str">
        <f aca="false">'Onshore - Darwin (NT)'!C84&amp;""</f>
        <v>3 years</v>
      </c>
      <c r="F1137" s="63" t="str">
        <f aca="false">IF('Onshore - Darwin (NT)'!D84="","Belum tercatat",'Onshore - Darwin (NT)'!D84)</f>
        <v>Term</v>
      </c>
      <c r="G1137" s="65" t="n">
        <f aca="false">IF('Onshore - Darwin (NT)'!E84="","-",'Onshore - Darwin (NT)'!E84)</f>
        <v>7802</v>
      </c>
      <c r="H1137" s="63" t="n">
        <f aca="false">IF(ISNUMBER(K1137),COUNTIFS($J$6:$J$1916,J1137,$K$6:$K$1916,"&lt;"&amp;K1137)+1,"-")</f>
        <v>1</v>
      </c>
      <c r="I1137" s="64" t="str">
        <f aca="false">IF('Onshore - Darwin (NT)'!E84="","Harga belum tersedia - hubungi konsultan TEG",IF(M1137=2,"Saat ini tidak menerima pendaftaran siswa internasional baru",IF(M1137=1,"Harga perlu dikonfirmasi ke sekolah"&amp;IF(""="","","; "&amp;""),"")))</f>
        <v/>
      </c>
      <c r="J1137" s="0" t="s">
        <v>4249</v>
      </c>
      <c r="K1137" s="0" t="n">
        <f aca="false">IF(M1137=2,"",IF(ISNUMBER(SEARCH("rata-rata:",'Onshore - Darwin (NT)'!M84)),VALUE(MID('Onshore - Darwin (NT)'!M84,SEARCH("rata-rata:",'Onshore - Darwin (NT)'!M84)+11,FIND(";",'Onshore - Darwin (NT)'!M84&amp;";",SEARCH("rata-rata:",'Onshore - Darwin (NT)'!M84))-SEARCH("rata-rata:",'Onshore - Darwin (NT)'!M84)-11)),IF('Onshore - Darwin (NT)'!D84="Semester",'Onshore - Darwin (NT)'!E84*2,IF('Onshore - Darwin (NT)'!D84="Trimester",'Onshore - Darwin (NT)'!E84*3,IF('Onshore - Darwin (NT)'!D84="Term",'Onshore - Darwin (NT)'!E84*4,IF('Onshore - Darwin (NT)'!D84="Unit",'Onshore - Darwin (NT)'!E84*8,""))))))</f>
        <v>31208</v>
      </c>
      <c r="L1137" s="0" t="n">
        <f aca="false">IF(AND(ISNUMBER('Onshore - Darwin (NT)'!E84),ISNUMBER(K1137),ISNUMBER('Onshore - Darwin (NT)'!F84),ISNUMBER('Onshore - Darwin (NT)'!G84),OR('Onshore - Darwin (NT)'!F84&lt;&gt;0,ISNUMBER(SEARCH("Material 0 terverifikasi",'Onshore - Darwin (NT)'!M84))),OR('Onshore - Darwin (NT)'!G84&lt;&gt;0,ISNUMBER(SEARCH("Enrolment 0 terverifikasi",'Onshore - Darwin (NT)'!M84)))),1,0)</f>
        <v>0</v>
      </c>
      <c r="M1137" s="0" t="n">
        <f aca="false">IF(OR('Onshore - Darwin (NT)'!E84="",ISNUMBER(SEARCH("BSB80120",'Onshore - Darwin (NT)'!B84&amp;'Onshore - Darwin (NT)'!M84)),ISNUMBER(SEARCH("Management (Learning)",'Onshore - Darwin (NT)'!B84))),2,IF(ISNUMBER(SEARCH("CEK:",'Onshore - Darwin (NT)'!M84)),1,0))</f>
        <v>0</v>
      </c>
    </row>
    <row r="1138" customFormat="false" ht="15" hidden="false" customHeight="false" outlineLevel="0" collapsed="false">
      <c r="A1138" s="61" t="s">
        <v>4250</v>
      </c>
      <c r="B1138" s="62"/>
      <c r="C1138" s="62"/>
      <c r="D1138" s="62"/>
      <c r="E1138" s="62"/>
      <c r="F1138" s="62"/>
      <c r="G1138" s="62"/>
      <c r="H1138" s="62"/>
      <c r="I1138" s="62"/>
    </row>
    <row r="1139" customFormat="false" ht="15" hidden="false" customHeight="false" outlineLevel="0" collapsed="false">
      <c r="A1139" s="63" t="s">
        <v>3583</v>
      </c>
      <c r="B1139" s="64" t="s">
        <v>4207</v>
      </c>
      <c r="C1139" s="63" t="s">
        <v>3707</v>
      </c>
      <c r="D1139" s="64" t="str">
        <f aca="false">TRIM(LEFT('Onshore - Darwin (NT)'!A20,FIND(CHAR(10),'Onshore - Darwin (NT)'!A20&amp;CHAR(10))-1))</f>
        <v>Charles Darwin University (CDU)</v>
      </c>
      <c r="E1139" s="63" t="str">
        <f aca="false">'Onshore - Darwin (NT)'!C77&amp;""</f>
        <v>1 year</v>
      </c>
      <c r="F1139" s="63" t="str">
        <f aca="false">IF('Onshore - Darwin (NT)'!D77="","Belum tercatat",'Onshore - Darwin (NT)'!D77)</f>
        <v>Term</v>
      </c>
      <c r="G1139" s="65" t="n">
        <f aca="false">IF('Onshore - Darwin (NT)'!E77="","-",'Onshore - Darwin (NT)'!E77)</f>
        <v>8684</v>
      </c>
      <c r="H1139" s="63" t="n">
        <f aca="false">IF(ISNUMBER(K1139),COUNTIFS($J$6:$J$1916,J1139,$K$6:$K$1916,"&lt;"&amp;K1139)+1,"-")</f>
        <v>1</v>
      </c>
      <c r="I1139" s="64" t="str">
        <f aca="false">IF('Onshore - Darwin (NT)'!E77="","Harga belum tersedia - hubungi konsultan TEG",IF(M1139=2,"Saat ini tidak menerima pendaftaran siswa internasional baru",IF(M1139=1,"Harga perlu dikonfirmasi ke sekolah"&amp;IF(""="","","; "&amp;""),"")))</f>
        <v/>
      </c>
      <c r="J1139" s="0" t="s">
        <v>4251</v>
      </c>
      <c r="K1139" s="0" t="n">
        <f aca="false">IF(M1139=2,"",IF(ISNUMBER(SEARCH("rata-rata:",'Onshore - Darwin (NT)'!M77)),VALUE(MID('Onshore - Darwin (NT)'!M77,SEARCH("rata-rata:",'Onshore - Darwin (NT)'!M77)+11,FIND(";",'Onshore - Darwin (NT)'!M77&amp;";",SEARCH("rata-rata:",'Onshore - Darwin (NT)'!M77))-SEARCH("rata-rata:",'Onshore - Darwin (NT)'!M77)-11)),IF('Onshore - Darwin (NT)'!D77="Semester",'Onshore - Darwin (NT)'!E77*2,IF('Onshore - Darwin (NT)'!D77="Trimester",'Onshore - Darwin (NT)'!E77*3,IF('Onshore - Darwin (NT)'!D77="Term",'Onshore - Darwin (NT)'!E77*4,IF('Onshore - Darwin (NT)'!D77="Unit",'Onshore - Darwin (NT)'!E77*8,""))))))</f>
        <v>34736</v>
      </c>
      <c r="L1139" s="0" t="n">
        <f aca="false">IF(AND(ISNUMBER('Onshore - Darwin (NT)'!E77),ISNUMBER(K1139),ISNUMBER('Onshore - Darwin (NT)'!F77),ISNUMBER('Onshore - Darwin (NT)'!G77),OR('Onshore - Darwin (NT)'!F77&lt;&gt;0,ISNUMBER(SEARCH("Material 0 terverifikasi",'Onshore - Darwin (NT)'!M77))),OR('Onshore - Darwin (NT)'!G77&lt;&gt;0,ISNUMBER(SEARCH("Enrolment 0 terverifikasi",'Onshore - Darwin (NT)'!M77)))),1,0)</f>
        <v>0</v>
      </c>
      <c r="M1139" s="0" t="n">
        <f aca="false">IF(OR('Onshore - Darwin (NT)'!E77="",ISNUMBER(SEARCH("BSB80120",'Onshore - Darwin (NT)'!B77&amp;'Onshore - Darwin (NT)'!M77)),ISNUMBER(SEARCH("Management (Learning)",'Onshore - Darwin (NT)'!B77))),2,IF(ISNUMBER(SEARCH("CEK:",'Onshore - Darwin (NT)'!M77)),1,0))</f>
        <v>0</v>
      </c>
    </row>
    <row r="1140" customFormat="false" ht="15" hidden="false" customHeight="false" outlineLevel="0" collapsed="false">
      <c r="A1140" s="61" t="s">
        <v>4252</v>
      </c>
      <c r="B1140" s="62"/>
      <c r="C1140" s="62"/>
      <c r="D1140" s="62"/>
      <c r="E1140" s="62"/>
      <c r="F1140" s="62"/>
      <c r="G1140" s="62"/>
      <c r="H1140" s="62"/>
      <c r="I1140" s="62"/>
    </row>
    <row r="1141" customFormat="false" ht="15" hidden="false" customHeight="false" outlineLevel="0" collapsed="false">
      <c r="A1141" s="63" t="s">
        <v>3583</v>
      </c>
      <c r="B1141" s="64" t="s">
        <v>4207</v>
      </c>
      <c r="C1141" s="63" t="s">
        <v>46</v>
      </c>
      <c r="D1141" s="64" t="str">
        <f aca="false">TRIM(LEFT('Onshore - Darwin (NT)'!A20,FIND(CHAR(10),'Onshore - Darwin (NT)'!A20&amp;CHAR(10))-1))</f>
        <v>Charles Darwin University (CDU)</v>
      </c>
      <c r="E1141" s="63" t="str">
        <f aca="false">'Onshore - Darwin (NT)'!C87&amp;""</f>
        <v>1,5 years</v>
      </c>
      <c r="F1141" s="63" t="str">
        <f aca="false">IF('Onshore - Darwin (NT)'!D87="","Belum tercatat",'Onshore - Darwin (NT)'!D87)</f>
        <v>Term</v>
      </c>
      <c r="G1141" s="65" t="n">
        <f aca="false">IF('Onshore - Darwin (NT)'!E87="","-",'Onshore - Darwin (NT)'!E87)</f>
        <v>8684</v>
      </c>
      <c r="H1141" s="63" t="n">
        <f aca="false">IF(ISNUMBER(K1141),COUNTIFS($J$6:$J$1916,J1141,$K$6:$K$1916,"&lt;"&amp;K1141)+1,"-")</f>
        <v>1</v>
      </c>
      <c r="I1141" s="64" t="str">
        <f aca="false">IF('Onshore - Darwin (NT)'!E87="","Harga belum tersedia - hubungi konsultan TEG",IF(M1141=2,"Saat ini tidak menerima pendaftaran siswa internasional baru",IF(M1141=1,"Harga perlu dikonfirmasi ke sekolah"&amp;IF(""="","","; "&amp;""),"")))</f>
        <v/>
      </c>
      <c r="J1141" s="0" t="s">
        <v>4253</v>
      </c>
      <c r="K1141" s="0" t="n">
        <f aca="false">IF(M1141=2,"",IF(ISNUMBER(SEARCH("rata-rata:",'Onshore - Darwin (NT)'!M87)),VALUE(MID('Onshore - Darwin (NT)'!M87,SEARCH("rata-rata:",'Onshore - Darwin (NT)'!M87)+11,FIND(";",'Onshore - Darwin (NT)'!M87&amp;";",SEARCH("rata-rata:",'Onshore - Darwin (NT)'!M87))-SEARCH("rata-rata:",'Onshore - Darwin (NT)'!M87)-11)),IF('Onshore - Darwin (NT)'!D87="Semester",'Onshore - Darwin (NT)'!E87*2,IF('Onshore - Darwin (NT)'!D87="Trimester",'Onshore - Darwin (NT)'!E87*3,IF('Onshore - Darwin (NT)'!D87="Term",'Onshore - Darwin (NT)'!E87*4,IF('Onshore - Darwin (NT)'!D87="Unit",'Onshore - Darwin (NT)'!E87*8,""))))))</f>
        <v>34736</v>
      </c>
      <c r="L1141" s="0" t="n">
        <f aca="false">IF(AND(ISNUMBER('Onshore - Darwin (NT)'!E87),ISNUMBER(K1141),ISNUMBER('Onshore - Darwin (NT)'!F87),ISNUMBER('Onshore - Darwin (NT)'!G87),OR('Onshore - Darwin (NT)'!F87&lt;&gt;0,ISNUMBER(SEARCH("Material 0 terverifikasi",'Onshore - Darwin (NT)'!M87))),OR('Onshore - Darwin (NT)'!G87&lt;&gt;0,ISNUMBER(SEARCH("Enrolment 0 terverifikasi",'Onshore - Darwin (NT)'!M87)))),1,0)</f>
        <v>0</v>
      </c>
      <c r="M1141" s="0" t="n">
        <f aca="false">IF(OR('Onshore - Darwin (NT)'!E87="",ISNUMBER(SEARCH("BSB80120",'Onshore - Darwin (NT)'!B87&amp;'Onshore - Darwin (NT)'!M87)),ISNUMBER(SEARCH("Management (Learning)",'Onshore - Darwin (NT)'!B87))),2,IF(ISNUMBER(SEARCH("CEK:",'Onshore - Darwin (NT)'!M87)),1,0))</f>
        <v>0</v>
      </c>
    </row>
    <row r="1142" customFormat="false" ht="15" hidden="false" customHeight="false" outlineLevel="0" collapsed="false">
      <c r="A1142" s="61" t="s">
        <v>4254</v>
      </c>
      <c r="B1142" s="62"/>
      <c r="C1142" s="62"/>
      <c r="D1142" s="62"/>
      <c r="E1142" s="62"/>
      <c r="F1142" s="62"/>
      <c r="G1142" s="62"/>
      <c r="H1142" s="62"/>
      <c r="I1142" s="62"/>
    </row>
    <row r="1143" customFormat="false" ht="15" hidden="false" customHeight="false" outlineLevel="0" collapsed="false">
      <c r="A1143" s="63" t="s">
        <v>3583</v>
      </c>
      <c r="B1143" s="64" t="s">
        <v>4207</v>
      </c>
      <c r="C1143" s="63" t="s">
        <v>4222</v>
      </c>
      <c r="D1143" s="64" t="str">
        <f aca="false">TRIM(LEFT('Onshore - Darwin (NT)'!A20,FIND(CHAR(10),'Onshore - Darwin (NT)'!A20&amp;CHAR(10))-1))</f>
        <v>Charles Darwin University (CDU)</v>
      </c>
      <c r="E1143" s="63" t="str">
        <f aca="false">'Onshore - Darwin (NT)'!C108&amp;""</f>
        <v>2 years</v>
      </c>
      <c r="F1143" s="63" t="str">
        <f aca="false">IF('Onshore - Darwin (NT)'!D108="","Belum tercatat",'Onshore - Darwin (NT)'!D108)</f>
        <v>Term</v>
      </c>
      <c r="G1143" s="65" t="n">
        <f aca="false">IF('Onshore - Darwin (NT)'!E108="","-",'Onshore - Darwin (NT)'!E108)</f>
        <v>13028</v>
      </c>
      <c r="H1143" s="63" t="n">
        <f aca="false">IF(ISNUMBER(K1143),COUNTIFS($J$6:$J$1916,J1143,$K$6:$K$1916,"&lt;"&amp;K1143)+1,"-")</f>
        <v>1</v>
      </c>
      <c r="I1143" s="64" t="str">
        <f aca="false">IF('Onshore - Darwin (NT)'!E108="","Harga belum tersedia - hubungi konsultan TEG",IF(M1143=2,"Saat ini tidak menerima pendaftaran siswa internasional baru",IF(M1143=1,"Harga perlu dikonfirmasi ke sekolah"&amp;IF(""="","","; "&amp;""),"")))</f>
        <v/>
      </c>
      <c r="J1143" s="0" t="s">
        <v>4255</v>
      </c>
      <c r="K1143" s="0" t="n">
        <f aca="false">IF(M1143=2,"",IF(ISNUMBER(SEARCH("rata-rata:",'Onshore - Darwin (NT)'!M108)),VALUE(MID('Onshore - Darwin (NT)'!M108,SEARCH("rata-rata:",'Onshore - Darwin (NT)'!M108)+11,FIND(";",'Onshore - Darwin (NT)'!M108&amp;";",SEARCH("rata-rata:",'Onshore - Darwin (NT)'!M108))-SEARCH("rata-rata:",'Onshore - Darwin (NT)'!M108)-11)),IF('Onshore - Darwin (NT)'!D108="Semester",'Onshore - Darwin (NT)'!E108*2,IF('Onshore - Darwin (NT)'!D108="Trimester",'Onshore - Darwin (NT)'!E108*3,IF('Onshore - Darwin (NT)'!D108="Term",'Onshore - Darwin (NT)'!E108*4,IF('Onshore - Darwin (NT)'!D108="Unit",'Onshore - Darwin (NT)'!E108*8,""))))))</f>
        <v>52112</v>
      </c>
      <c r="L1143" s="0" t="n">
        <f aca="false">IF(AND(ISNUMBER('Onshore - Darwin (NT)'!E108),ISNUMBER(K1143),ISNUMBER('Onshore - Darwin (NT)'!F108),ISNUMBER('Onshore - Darwin (NT)'!G108),OR('Onshore - Darwin (NT)'!F108&lt;&gt;0,ISNUMBER(SEARCH("Material 0 terverifikasi",'Onshore - Darwin (NT)'!M108))),OR('Onshore - Darwin (NT)'!G108&lt;&gt;0,ISNUMBER(SEARCH("Enrolment 0 terverifikasi",'Onshore - Darwin (NT)'!M108)))),1,0)</f>
        <v>0</v>
      </c>
      <c r="M1143" s="0" t="n">
        <f aca="false">IF(OR('Onshore - Darwin (NT)'!E108="",ISNUMBER(SEARCH("BSB80120",'Onshore - Darwin (NT)'!B108&amp;'Onshore - Darwin (NT)'!M108)),ISNUMBER(SEARCH("Management (Learning)",'Onshore - Darwin (NT)'!B108))),2,IF(ISNUMBER(SEARCH("CEK:",'Onshore - Darwin (NT)'!M108)),1,0))</f>
        <v>0</v>
      </c>
    </row>
    <row r="1144" customFormat="false" ht="15" hidden="false" customHeight="false" outlineLevel="0" collapsed="false">
      <c r="A1144" s="61" t="s">
        <v>4256</v>
      </c>
      <c r="B1144" s="62"/>
      <c r="C1144" s="62"/>
      <c r="D1144" s="62"/>
      <c r="E1144" s="62"/>
      <c r="F1144" s="62"/>
      <c r="G1144" s="62"/>
      <c r="H1144" s="62"/>
      <c r="I1144" s="62"/>
    </row>
    <row r="1145" customFormat="false" ht="15" hidden="false" customHeight="false" outlineLevel="0" collapsed="false">
      <c r="A1145" s="63" t="s">
        <v>3544</v>
      </c>
      <c r="B1145" s="64" t="s">
        <v>4207</v>
      </c>
      <c r="C1145" s="63" t="s">
        <v>39</v>
      </c>
      <c r="D1145" s="64" t="str">
        <f aca="false">TRIM(LEFT('Onshore- Melbourne'!A417,FIND(CHAR(10),'Onshore- Melbourne'!A417&amp;CHAR(10))-1))</f>
        <v>Signet Institute of Australia</v>
      </c>
      <c r="E1145" s="63" t="str">
        <f aca="false">'Onshore- Melbourne'!C427&amp;""</f>
        <v>0,5 year</v>
      </c>
      <c r="F1145" s="63" t="str">
        <f aca="false">IF('Onshore- Melbourne'!D427="","Belum tercatat",'Onshore- Melbourne'!D427)</f>
        <v>Term</v>
      </c>
      <c r="G1145" s="65" t="n">
        <f aca="false">IF('Onshore- Melbourne'!E427="","-",'Onshore- Melbourne'!E427)</f>
        <v>3500</v>
      </c>
      <c r="H1145" s="63" t="n">
        <f aca="false">IF(ISNUMBER(K1145),COUNTIFS($J$6:$J$1916,J1145,$K$6:$K$1916,"&lt;"&amp;K1145)+1,"-")</f>
        <v>1</v>
      </c>
      <c r="I1145" s="64" t="str">
        <f aca="false">IF('Onshore- Melbourne'!E427="","Harga belum tersedia - hubungi konsultan TEG",IF(M1145=2,"Saat ini tidak menerima pendaftaran siswa internasional baru",IF(M1145=1,"Harga perlu dikonfirmasi ke sekolah"&amp;IF(""="","","; "&amp;""),"")))</f>
        <v/>
      </c>
      <c r="J1145" s="0" t="s">
        <v>4257</v>
      </c>
      <c r="K1145" s="0" t="n">
        <f aca="false">IF(M1145=2,"",IF(ISNUMBER(SEARCH("rata-rata:",'Onshore- Melbourne'!M427)),VALUE(MID('Onshore- Melbourne'!M427,SEARCH("rata-rata:",'Onshore- Melbourne'!M427)+11,FIND(";",'Onshore- Melbourne'!M427&amp;";",SEARCH("rata-rata:",'Onshore- Melbourne'!M427))-SEARCH("rata-rata:",'Onshore- Melbourne'!M427)-11)),IF('Onshore- Melbourne'!D427="Semester",'Onshore- Melbourne'!E427*2,IF('Onshore- Melbourne'!D427="Trimester",'Onshore- Melbourne'!E427*3,IF('Onshore- Melbourne'!D427="Term",'Onshore- Melbourne'!E427*4,IF('Onshore- Melbourne'!D427="Unit",'Onshore- Melbourne'!E427*8,""))))))</f>
        <v>14000</v>
      </c>
      <c r="L1145" s="0" t="n">
        <f aca="false">IF(AND(ISNUMBER('Onshore- Melbourne'!E427),ISNUMBER(K1145),ISNUMBER('Onshore- Melbourne'!F427),ISNUMBER('Onshore- Melbourne'!G427),OR('Onshore- Melbourne'!F427&lt;&gt;0,ISNUMBER(SEARCH("Material 0 terverifikasi",'Onshore- Melbourne'!M427))),OR('Onshore- Melbourne'!G427&lt;&gt;0,ISNUMBER(SEARCH("Enrolment 0 terverifikasi",'Onshore- Melbourne'!M427)))),1,0)</f>
        <v>0</v>
      </c>
      <c r="M1145" s="0" t="n">
        <f aca="false">IF(OR('Onshore- Melbourne'!E427="",ISNUMBER(SEARCH("BSB80120",'Onshore- Melbourne'!B427&amp;'Onshore- Melbourne'!M427)),ISNUMBER(SEARCH("Management (Learning)",'Onshore- Melbourne'!B427))),2,IF(ISNUMBER(SEARCH("CEK:",'Onshore- Melbourne'!M427)),1,0))</f>
        <v>0</v>
      </c>
    </row>
    <row r="1146" customFormat="false" ht="15" hidden="false" customHeight="false" outlineLevel="0" collapsed="false">
      <c r="A1146" s="61" t="s">
        <v>4258</v>
      </c>
      <c r="B1146" s="62"/>
      <c r="C1146" s="62"/>
      <c r="D1146" s="62"/>
      <c r="E1146" s="62"/>
      <c r="F1146" s="62"/>
      <c r="G1146" s="62"/>
      <c r="H1146" s="62"/>
      <c r="I1146" s="62"/>
    </row>
    <row r="1147" customFormat="false" ht="15" hidden="false" customHeight="false" outlineLevel="0" collapsed="false">
      <c r="A1147" s="63" t="s">
        <v>3544</v>
      </c>
      <c r="B1147" s="64" t="s">
        <v>4207</v>
      </c>
      <c r="C1147" s="63" t="s">
        <v>40</v>
      </c>
      <c r="D1147" s="64" t="str">
        <f aca="false">TRIM(LEFT('Onshore- Melbourne'!A61,FIND(CHAR(10),'Onshore- Melbourne'!A61&amp;CHAR(10))-1))</f>
        <v>Allied Institute</v>
      </c>
      <c r="E1147" s="63" t="str">
        <f aca="false">'Onshore- Melbourne'!C61&amp;""</f>
        <v>2 years</v>
      </c>
      <c r="F1147" s="63" t="str">
        <f aca="false">IF('Onshore- Melbourne'!D61="","Belum tercatat",'Onshore- Melbourne'!D61)</f>
        <v>Term</v>
      </c>
      <c r="G1147" s="65" t="n">
        <f aca="false">IF('Onshore- Melbourne'!E61="","-",'Onshore- Melbourne'!E61)</f>
        <v>1250</v>
      </c>
      <c r="H1147" s="63" t="n">
        <f aca="false">IF(ISNUMBER(K1147),COUNTIFS($J$6:$J$1916,J1147,$K$6:$K$1916,"&lt;"&amp;K1147)+1,"-")</f>
        <v>1</v>
      </c>
      <c r="I1147" s="64" t="str">
        <f aca="false">IF('Onshore- Melbourne'!E61="","Harga belum tersedia - hubungi konsultan TEG",IF(M1147=2,"Saat ini tidak menerima pendaftaran siswa internasional baru",IF(M1147=1,"Harga perlu dikonfirmasi ke sekolah"&amp;IF(""="","","; "&amp;""),"")))</f>
        <v>Harga perlu dikonfirmasi ke sekolah</v>
      </c>
      <c r="J1147" s="0" t="s">
        <v>4259</v>
      </c>
      <c r="K1147" s="0" t="n">
        <f aca="false">IF(M1147=2,"",IF(ISNUMBER(SEARCH("rata-rata:",'Onshore- Melbourne'!M61)),VALUE(MID('Onshore- Melbourne'!M61,SEARCH("rata-rata:",'Onshore- Melbourne'!M61)+11,FIND(";",'Onshore- Melbourne'!M61&amp;";",SEARCH("rata-rata:",'Onshore- Melbourne'!M61))-SEARCH("rata-rata:",'Onshore- Melbourne'!M61)-11)),IF('Onshore- Melbourne'!D61="Semester",'Onshore- Melbourne'!E61*2,IF('Onshore- Melbourne'!D61="Trimester",'Onshore- Melbourne'!E61*3,IF('Onshore- Melbourne'!D61="Term",'Onshore- Melbourne'!E61*4,IF('Onshore- Melbourne'!D61="Unit",'Onshore- Melbourne'!E61*8,""))))))</f>
        <v>5000</v>
      </c>
      <c r="L1147" s="0" t="n">
        <f aca="false">IF(AND(ISNUMBER('Onshore- Melbourne'!E61),ISNUMBER(K1147),ISNUMBER('Onshore- Melbourne'!F61),ISNUMBER('Onshore- Melbourne'!G61),OR('Onshore- Melbourne'!F61&lt;&gt;0,ISNUMBER(SEARCH("Material 0 terverifikasi",'Onshore- Melbourne'!M61))),OR('Onshore- Melbourne'!G61&lt;&gt;0,ISNUMBER(SEARCH("Enrolment 0 terverifikasi",'Onshore- Melbourne'!M61)))),1,0)</f>
        <v>1</v>
      </c>
      <c r="M1147" s="0" t="n">
        <f aca="false">IF(OR('Onshore- Melbourne'!E61="",ISNUMBER(SEARCH("BSB80120",'Onshore- Melbourne'!B61&amp;'Onshore- Melbourne'!M61)),ISNUMBER(SEARCH("Management (Learning)",'Onshore- Melbourne'!B61))),2,IF(ISNUMBER(SEARCH("CEK:",'Onshore- Melbourne'!M61)),1,0))</f>
        <v>1</v>
      </c>
    </row>
    <row r="1148" customFormat="false" ht="15" hidden="false" customHeight="false" outlineLevel="0" collapsed="false">
      <c r="A1148" s="63" t="s">
        <v>3544</v>
      </c>
      <c r="B1148" s="64" t="s">
        <v>4207</v>
      </c>
      <c r="C1148" s="63" t="s">
        <v>40</v>
      </c>
      <c r="D1148" s="64" t="str">
        <f aca="false">TRIM(LEFT('Onshore- Melbourne'!A277,FIND(CHAR(10),'Onshore- Melbourne'!A277&amp;CHAR(10))-1))</f>
        <v>Greenwich College</v>
      </c>
      <c r="E1148" s="63" t="str">
        <f aca="false">'Onshore- Melbourne'!C290&amp;""</f>
        <v>84 weeks</v>
      </c>
      <c r="F1148" s="63" t="str">
        <f aca="false">IF('Onshore- Melbourne'!D290="","Belum tercatat",'Onshore- Melbourne'!D290)</f>
        <v>Term</v>
      </c>
      <c r="G1148" s="65" t="n">
        <f aca="false">IF('Onshore- Melbourne'!E290="","-",'Onshore- Melbourne'!E290)</f>
        <v>1600</v>
      </c>
      <c r="H1148" s="63" t="n">
        <f aca="false">IF(ISNUMBER(K1148),COUNTIFS($J$6:$J$1916,J1148,$K$6:$K$1916,"&lt;"&amp;K1148)+1,"-")</f>
        <v>2</v>
      </c>
      <c r="I1148" s="64" t="str">
        <f aca="false">IF('Onshore- Melbourne'!E290="","Harga belum tersedia - hubungi konsultan TEG",IF(M1148=2,"Saat ini tidak menerima pendaftaran siswa internasional baru",IF(M1148=1,"Harga perlu dikonfirmasi ke sekolah"&amp;IF(""="","","; "&amp;""),"")))</f>
        <v/>
      </c>
      <c r="J1148" s="0" t="s">
        <v>4259</v>
      </c>
      <c r="K1148" s="0" t="n">
        <f aca="false">IF(M1148=2,"",IF(ISNUMBER(SEARCH("rata-rata:",'Onshore- Melbourne'!M290)),VALUE(MID('Onshore- Melbourne'!M290,SEARCH("rata-rata:",'Onshore- Melbourne'!M290)+11,FIND(";",'Onshore- Melbourne'!M290&amp;";",SEARCH("rata-rata:",'Onshore- Melbourne'!M290))-SEARCH("rata-rata:",'Onshore- Melbourne'!M290)-11)),IF('Onshore- Melbourne'!D290="Semester",'Onshore- Melbourne'!E290*2,IF('Onshore- Melbourne'!D290="Trimester",'Onshore- Melbourne'!E290*3,IF('Onshore- Melbourne'!D290="Term",'Onshore- Melbourne'!E290*4,IF('Onshore- Melbourne'!D290="Unit",'Onshore- Melbourne'!E290*8,""))))))</f>
        <v>6400</v>
      </c>
      <c r="L1148" s="0" t="n">
        <f aca="false">IF(AND(ISNUMBER('Onshore- Melbourne'!E290),ISNUMBER(K1148),ISNUMBER('Onshore- Melbourne'!F290),ISNUMBER('Onshore- Melbourne'!G290),OR('Onshore- Melbourne'!F290&lt;&gt;0,ISNUMBER(SEARCH("Material 0 terverifikasi",'Onshore- Melbourne'!M290))),OR('Onshore- Melbourne'!G290&lt;&gt;0,ISNUMBER(SEARCH("Enrolment 0 terverifikasi",'Onshore- Melbourne'!M290)))),1,0)</f>
        <v>1</v>
      </c>
      <c r="M1148" s="0" t="n">
        <f aca="false">IF(OR('Onshore- Melbourne'!E290="",ISNUMBER(SEARCH("BSB80120",'Onshore- Melbourne'!B290&amp;'Onshore- Melbourne'!M290)),ISNUMBER(SEARCH("Management (Learning)",'Onshore- Melbourne'!B290))),2,IF(ISNUMBER(SEARCH("CEK:",'Onshore- Melbourne'!M290)),1,0))</f>
        <v>0</v>
      </c>
    </row>
    <row r="1149" customFormat="false" ht="28.35" hidden="false" customHeight="false" outlineLevel="0" collapsed="false">
      <c r="A1149" s="63" t="s">
        <v>3544</v>
      </c>
      <c r="B1149" s="64" t="s">
        <v>4207</v>
      </c>
      <c r="C1149" s="63" t="s">
        <v>40</v>
      </c>
      <c r="D1149" s="64" t="str">
        <f aca="false">TRIM(LEFT('Onshore- Melbourne'!A208,FIND(CHAR(10),'Onshore- Melbourne'!A208&amp;CHAR(10))-1))</f>
        <v>Australian Institute of Digital Technology (AIDT)</v>
      </c>
      <c r="E1149" s="63" t="str">
        <f aca="false">'Onshore- Melbourne'!C215&amp;""</f>
        <v>2 years</v>
      </c>
      <c r="F1149" s="63" t="str">
        <f aca="false">IF('Onshore- Melbourne'!D215="","Belum tercatat",'Onshore- Melbourne'!D215)</f>
        <v>Term</v>
      </c>
      <c r="G1149" s="65" t="n">
        <f aca="false">IF('Onshore- Melbourne'!E215="","-",'Onshore- Melbourne'!E215)</f>
        <v>2500</v>
      </c>
      <c r="H1149" s="63" t="n">
        <f aca="false">IF(ISNUMBER(K1149),COUNTIFS($J$6:$J$1916,J1149,$K$6:$K$1916,"&lt;"&amp;K1149)+1,"-")</f>
        <v>3</v>
      </c>
      <c r="I1149" s="64" t="str">
        <f aca="false">IF('Onshore- Melbourne'!E215="","Harga belum tersedia - hubungi konsultan TEG",IF(M1149=2,"Saat ini tidak menerima pendaftaran siswa internasional baru",IF(M1149=1,"Harga perlu dikonfirmasi ke sekolah"&amp;IF(""="","","; "&amp;""),"")))</f>
        <v/>
      </c>
      <c r="J1149" s="0" t="s">
        <v>4259</v>
      </c>
      <c r="K1149" s="0" t="n">
        <f aca="false">IF(M1149=2,"",IF(ISNUMBER(SEARCH("rata-rata:",'Onshore- Melbourne'!M215)),VALUE(MID('Onshore- Melbourne'!M215,SEARCH("rata-rata:",'Onshore- Melbourne'!M215)+11,FIND(";",'Onshore- Melbourne'!M215&amp;";",SEARCH("rata-rata:",'Onshore- Melbourne'!M215))-SEARCH("rata-rata:",'Onshore- Melbourne'!M215)-11)),IF('Onshore- Melbourne'!D215="Semester",'Onshore- Melbourne'!E215*2,IF('Onshore- Melbourne'!D215="Trimester",'Onshore- Melbourne'!E215*3,IF('Onshore- Melbourne'!D215="Term",'Onshore- Melbourne'!E215*4,IF('Onshore- Melbourne'!D215="Unit",'Onshore- Melbourne'!E215*8,""))))))</f>
        <v>10000</v>
      </c>
      <c r="L1149" s="0" t="n">
        <f aca="false">IF(AND(ISNUMBER('Onshore- Melbourne'!E215),ISNUMBER(K1149),ISNUMBER('Onshore- Melbourne'!F215),ISNUMBER('Onshore- Melbourne'!G215),OR('Onshore- Melbourne'!F215&lt;&gt;0,ISNUMBER(SEARCH("Material 0 terverifikasi",'Onshore- Melbourne'!M215))),OR('Onshore- Melbourne'!G215&lt;&gt;0,ISNUMBER(SEARCH("Enrolment 0 terverifikasi",'Onshore- Melbourne'!M215)))),1,0)</f>
        <v>1</v>
      </c>
      <c r="M1149" s="0" t="n">
        <f aca="false">IF(OR('Onshore- Melbourne'!E215="",ISNUMBER(SEARCH("BSB80120",'Onshore- Melbourne'!B215&amp;'Onshore- Melbourne'!M215)),ISNUMBER(SEARCH("Management (Learning)",'Onshore- Melbourne'!B215))),2,IF(ISNUMBER(SEARCH("CEK:",'Onshore- Melbourne'!M215)),1,0))</f>
        <v>0</v>
      </c>
    </row>
    <row r="1150" customFormat="false" ht="15" hidden="false" customHeight="false" outlineLevel="0" collapsed="false">
      <c r="A1150" s="63" t="s">
        <v>3544</v>
      </c>
      <c r="B1150" s="64" t="s">
        <v>4207</v>
      </c>
      <c r="C1150" s="63" t="s">
        <v>40</v>
      </c>
      <c r="D1150" s="64" t="str">
        <f aca="false">TRIM(LEFT('Onshore- Melbourne'!A354,FIND(CHAR(10),'Onshore- Melbourne'!A354&amp;CHAR(10))-1))</f>
        <v>Melbourne Metro College</v>
      </c>
      <c r="E1150" s="63" t="str">
        <f aca="false">'Onshore- Melbourne'!C356&amp;""</f>
        <v>2 years</v>
      </c>
      <c r="F1150" s="63" t="str">
        <f aca="false">IF('Onshore- Melbourne'!D356="","Belum tercatat",'Onshore- Melbourne'!D356)</f>
        <v>Term</v>
      </c>
      <c r="G1150" s="65" t="n">
        <f aca="false">IF('Onshore- Melbourne'!E356="","-",'Onshore- Melbourne'!E356)</f>
        <v>2875</v>
      </c>
      <c r="H1150" s="63" t="n">
        <f aca="false">IF(ISNUMBER(K1150),COUNTIFS($J$6:$J$1916,J1150,$K$6:$K$1916,"&lt;"&amp;K1150)+1,"-")</f>
        <v>4</v>
      </c>
      <c r="I1150" s="64" t="str">
        <f aca="false">IF('Onshore- Melbourne'!E356="","Harga belum tersedia - hubungi konsultan TEG",IF(M1150=2,"Saat ini tidak menerima pendaftaran siswa internasional baru",IF(M1150=1,"Harga perlu dikonfirmasi ke sekolah"&amp;IF(""="","","; "&amp;""),"")))</f>
        <v/>
      </c>
      <c r="J1150" s="0" t="s">
        <v>4259</v>
      </c>
      <c r="K1150" s="0" t="n">
        <f aca="false">IF(M1150=2,"",IF(ISNUMBER(SEARCH("rata-rata:",'Onshore- Melbourne'!M356)),VALUE(MID('Onshore- Melbourne'!M356,SEARCH("rata-rata:",'Onshore- Melbourne'!M356)+11,FIND(";",'Onshore- Melbourne'!M356&amp;";",SEARCH("rata-rata:",'Onshore- Melbourne'!M356))-SEARCH("rata-rata:",'Onshore- Melbourne'!M356)-11)),IF('Onshore- Melbourne'!D356="Semester",'Onshore- Melbourne'!E356*2,IF('Onshore- Melbourne'!D356="Trimester",'Onshore- Melbourne'!E356*3,IF('Onshore- Melbourne'!D356="Term",'Onshore- Melbourne'!E356*4,IF('Onshore- Melbourne'!D356="Unit",'Onshore- Melbourne'!E356*8,""))))))</f>
        <v>11500</v>
      </c>
      <c r="L1150" s="0" t="n">
        <f aca="false">IF(AND(ISNUMBER('Onshore- Melbourne'!E356),ISNUMBER(K1150),ISNUMBER('Onshore- Melbourne'!F356),ISNUMBER('Onshore- Melbourne'!G356),OR('Onshore- Melbourne'!F356&lt;&gt;0,ISNUMBER(SEARCH("Material 0 terverifikasi",'Onshore- Melbourne'!M356))),OR('Onshore- Melbourne'!G356&lt;&gt;0,ISNUMBER(SEARCH("Enrolment 0 terverifikasi",'Onshore- Melbourne'!M356)))),1,0)</f>
        <v>1</v>
      </c>
      <c r="M1150" s="0" t="n">
        <f aca="false">IF(OR('Onshore- Melbourne'!E356="",ISNUMBER(SEARCH("BSB80120",'Onshore- Melbourne'!B356&amp;'Onshore- Melbourne'!M356)),ISNUMBER(SEARCH("Management (Learning)",'Onshore- Melbourne'!B356))),2,IF(ISNUMBER(SEARCH("CEK:",'Onshore- Melbourne'!M356)),1,0))</f>
        <v>0</v>
      </c>
    </row>
    <row r="1151" customFormat="false" ht="15" hidden="false" customHeight="false" outlineLevel="0" collapsed="false">
      <c r="A1151" s="63" t="s">
        <v>3544</v>
      </c>
      <c r="B1151" s="64" t="s">
        <v>4207</v>
      </c>
      <c r="C1151" s="63" t="s">
        <v>40</v>
      </c>
      <c r="D1151" s="64" t="str">
        <f aca="false">TRIM(LEFT('Onshore- Melbourne'!A218,FIND(CHAR(10),'Onshore- Melbourne'!A218&amp;CHAR(10))-1))</f>
        <v>Australian Sovereign College (AuSC)</v>
      </c>
      <c r="E1151" s="63" t="str">
        <f aca="false">'Onshore- Melbourne'!C218&amp;""</f>
        <v>2 years</v>
      </c>
      <c r="F1151" s="63" t="str">
        <f aca="false">IF('Onshore- Melbourne'!D218="","Belum tercatat",'Onshore- Melbourne'!D218)</f>
        <v>Term</v>
      </c>
      <c r="G1151" s="65" t="n">
        <f aca="false">IF('Onshore- Melbourne'!E218="","-",'Onshore- Melbourne'!E218)</f>
        <v>2950</v>
      </c>
      <c r="H1151" s="63" t="n">
        <f aca="false">IF(ISNUMBER(K1151),COUNTIFS($J$6:$J$1916,J1151,$K$6:$K$1916,"&lt;"&amp;K1151)+1,"-")</f>
        <v>5</v>
      </c>
      <c r="I1151" s="64" t="str">
        <f aca="false">IF('Onshore- Melbourne'!E218="","Harga belum tersedia - hubungi konsultan TEG",IF(M1151=2,"Saat ini tidak menerima pendaftaran siswa internasional baru",IF(M1151=1,"Harga perlu dikonfirmasi ke sekolah"&amp;IF(""="","","; "&amp;""),"")))</f>
        <v/>
      </c>
      <c r="J1151" s="0" t="s">
        <v>4259</v>
      </c>
      <c r="K1151" s="0" t="n">
        <f aca="false">IF(M1151=2,"",IF(ISNUMBER(SEARCH("rata-rata:",'Onshore- Melbourne'!M218)),VALUE(MID('Onshore- Melbourne'!M218,SEARCH("rata-rata:",'Onshore- Melbourne'!M218)+11,FIND(";",'Onshore- Melbourne'!M218&amp;";",SEARCH("rata-rata:",'Onshore- Melbourne'!M218))-SEARCH("rata-rata:",'Onshore- Melbourne'!M218)-11)),IF('Onshore- Melbourne'!D218="Semester",'Onshore- Melbourne'!E218*2,IF('Onshore- Melbourne'!D218="Trimester",'Onshore- Melbourne'!E218*3,IF('Onshore- Melbourne'!D218="Term",'Onshore- Melbourne'!E218*4,IF('Onshore- Melbourne'!D218="Unit",'Onshore- Melbourne'!E218*8,""))))))</f>
        <v>11800</v>
      </c>
      <c r="L1151" s="0" t="n">
        <f aca="false">IF(AND(ISNUMBER('Onshore- Melbourne'!E218),ISNUMBER(K1151),ISNUMBER('Onshore- Melbourne'!F218),ISNUMBER('Onshore- Melbourne'!G218),OR('Onshore- Melbourne'!F218&lt;&gt;0,ISNUMBER(SEARCH("Material 0 terverifikasi",'Onshore- Melbourne'!M218))),OR('Onshore- Melbourne'!G218&lt;&gt;0,ISNUMBER(SEARCH("Enrolment 0 terverifikasi",'Onshore- Melbourne'!M218)))),1,0)</f>
        <v>1</v>
      </c>
      <c r="M1151" s="0" t="n">
        <f aca="false">IF(OR('Onshore- Melbourne'!E218="",ISNUMBER(SEARCH("BSB80120",'Onshore- Melbourne'!B218&amp;'Onshore- Melbourne'!M218)),ISNUMBER(SEARCH("Management (Learning)",'Onshore- Melbourne'!B218))),2,IF(ISNUMBER(SEARCH("CEK:",'Onshore- Melbourne'!M218)),1,0))</f>
        <v>0</v>
      </c>
    </row>
    <row r="1152" customFormat="false" ht="15" hidden="false" customHeight="false" outlineLevel="0" collapsed="false">
      <c r="A1152" s="61" t="s">
        <v>4260</v>
      </c>
      <c r="B1152" s="62"/>
      <c r="C1152" s="62"/>
      <c r="D1152" s="62"/>
      <c r="E1152" s="62"/>
      <c r="F1152" s="62"/>
      <c r="G1152" s="62"/>
      <c r="H1152" s="62"/>
      <c r="I1152" s="62"/>
    </row>
    <row r="1153" customFormat="false" ht="15" hidden="false" customHeight="false" outlineLevel="0" collapsed="false">
      <c r="A1153" s="63" t="s">
        <v>3544</v>
      </c>
      <c r="B1153" s="64" t="s">
        <v>4207</v>
      </c>
      <c r="C1153" s="63" t="s">
        <v>41</v>
      </c>
      <c r="D1153" s="64" t="str">
        <f aca="false">TRIM(LEFT('Onshore- Melbourne'!A417,FIND(CHAR(10),'Onshore- Melbourne'!A417&amp;CHAR(10))-1))</f>
        <v>Signet Institute of Australia</v>
      </c>
      <c r="E1153" s="63" t="str">
        <f aca="false">'Onshore- Melbourne'!C426&amp;""</f>
        <v>4 years</v>
      </c>
      <c r="F1153" s="63" t="str">
        <f aca="false">IF('Onshore- Melbourne'!D426="","Belum tercatat",'Onshore- Melbourne'!D426)</f>
        <v>Term</v>
      </c>
      <c r="G1153" s="65" t="n">
        <f aca="false">IF('Onshore- Melbourne'!E426="","-",'Onshore- Melbourne'!E426)</f>
        <v>1800</v>
      </c>
      <c r="H1153" s="63" t="n">
        <f aca="false">IF(ISNUMBER(K1153),COUNTIFS($J$6:$J$1916,J1153,$K$6:$K$1916,"&lt;"&amp;K1153)+1,"-")</f>
        <v>1</v>
      </c>
      <c r="I1153" s="64" t="str">
        <f aca="false">IF('Onshore- Melbourne'!E426="","Harga belum tersedia - hubungi konsultan TEG",IF(M1153=2,"Saat ini tidak menerima pendaftaran siswa internasional baru",IF(M1153=1,"Harga perlu dikonfirmasi ke sekolah"&amp;IF(""="","","; "&amp;""),"")))</f>
        <v/>
      </c>
      <c r="J1153" s="0" t="s">
        <v>4261</v>
      </c>
      <c r="K1153" s="0" t="n">
        <f aca="false">IF(M1153=2,"",IF(ISNUMBER(SEARCH("rata-rata:",'Onshore- Melbourne'!M426)),VALUE(MID('Onshore- Melbourne'!M426,SEARCH("rata-rata:",'Onshore- Melbourne'!M426)+11,FIND(";",'Onshore- Melbourne'!M426&amp;";",SEARCH("rata-rata:",'Onshore- Melbourne'!M426))-SEARCH("rata-rata:",'Onshore- Melbourne'!M426)-11)),IF('Onshore- Melbourne'!D426="Semester",'Onshore- Melbourne'!E426*2,IF('Onshore- Melbourne'!D426="Trimester",'Onshore- Melbourne'!E426*3,IF('Onshore- Melbourne'!D426="Term",'Onshore- Melbourne'!E426*4,IF('Onshore- Melbourne'!D426="Unit",'Onshore- Melbourne'!E426*8,""))))))</f>
        <v>7200</v>
      </c>
      <c r="L1153" s="0" t="n">
        <f aca="false">IF(AND(ISNUMBER('Onshore- Melbourne'!E426),ISNUMBER(K1153),ISNUMBER('Onshore- Melbourne'!F426),ISNUMBER('Onshore- Melbourne'!G426),OR('Onshore- Melbourne'!F426&lt;&gt;0,ISNUMBER(SEARCH("Material 0 terverifikasi",'Onshore- Melbourne'!M426))),OR('Onshore- Melbourne'!G426&lt;&gt;0,ISNUMBER(SEARCH("Enrolment 0 terverifikasi",'Onshore- Melbourne'!M426)))),1,0)</f>
        <v>1</v>
      </c>
      <c r="M1153" s="0" t="n">
        <f aca="false">IF(OR('Onshore- Melbourne'!E426="",ISNUMBER(SEARCH("BSB80120",'Onshore- Melbourne'!B426&amp;'Onshore- Melbourne'!M426)),ISNUMBER(SEARCH("Management (Learning)",'Onshore- Melbourne'!B426))),2,IF(ISNUMBER(SEARCH("CEK:",'Onshore- Melbourne'!M426)),1,0))</f>
        <v>0</v>
      </c>
    </row>
    <row r="1154" customFormat="false" ht="15" hidden="false" customHeight="false" outlineLevel="0" collapsed="false">
      <c r="A1154" s="63" t="s">
        <v>3544</v>
      </c>
      <c r="B1154" s="64" t="s">
        <v>4207</v>
      </c>
      <c r="C1154" s="63" t="s">
        <v>41</v>
      </c>
      <c r="D1154" s="64" t="str">
        <f aca="false">TRIM(LEFT('Onshore- Melbourne'!A361,FIND(CHAR(10),'Onshore- Melbourne'!A361&amp;CHAR(10))-1))</f>
        <v>Menzies Institute of Technology</v>
      </c>
      <c r="E1154" s="63" t="str">
        <f aca="false">'Onshore- Melbourne'!C364&amp;""</f>
        <v>95 weeks</v>
      </c>
      <c r="F1154" s="63" t="str">
        <f aca="false">IF('Onshore- Melbourne'!D364="","Belum tercatat",'Onshore- Melbourne'!D364)</f>
        <v>Term</v>
      </c>
      <c r="G1154" s="65" t="n">
        <f aca="false">IF('Onshore- Melbourne'!E364="","-",'Onshore- Melbourne'!E364)</f>
        <v>2750</v>
      </c>
      <c r="H1154" s="63" t="n">
        <f aca="false">IF(ISNUMBER(K1154),COUNTIFS($J$6:$J$1916,J1154,$K$6:$K$1916,"&lt;"&amp;K1154)+1,"-")</f>
        <v>2</v>
      </c>
      <c r="I1154" s="64" t="str">
        <f aca="false">IF('Onshore- Melbourne'!E364="","Harga belum tersedia - hubungi konsultan TEG",IF(M1154=2,"Saat ini tidak menerima pendaftaran siswa internasional baru",IF(M1154=1,"Harga perlu dikonfirmasi ke sekolah"&amp;IF(""="","","; "&amp;""),"")))</f>
        <v>Harga perlu dikonfirmasi ke sekolah</v>
      </c>
      <c r="J1154" s="0" t="s">
        <v>4261</v>
      </c>
      <c r="K1154" s="0" t="n">
        <f aca="false">IF(M1154=2,"",IF(ISNUMBER(SEARCH("rata-rata:",'Onshore- Melbourne'!M364)),VALUE(MID('Onshore- Melbourne'!M364,SEARCH("rata-rata:",'Onshore- Melbourne'!M364)+11,FIND(";",'Onshore- Melbourne'!M364&amp;";",SEARCH("rata-rata:",'Onshore- Melbourne'!M364))-SEARCH("rata-rata:",'Onshore- Melbourne'!M364)-11)),IF('Onshore- Melbourne'!D364="Semester",'Onshore- Melbourne'!E364*2,IF('Onshore- Melbourne'!D364="Trimester",'Onshore- Melbourne'!E364*3,IF('Onshore- Melbourne'!D364="Term",'Onshore- Melbourne'!E364*4,IF('Onshore- Melbourne'!D364="Unit",'Onshore- Melbourne'!E364*8,""))))))</f>
        <v>11000</v>
      </c>
      <c r="L1154" s="0" t="n">
        <f aca="false">IF(AND(ISNUMBER('Onshore- Melbourne'!E364),ISNUMBER(K1154),ISNUMBER('Onshore- Melbourne'!F364),ISNUMBER('Onshore- Melbourne'!G364),OR('Onshore- Melbourne'!F364&lt;&gt;0,ISNUMBER(SEARCH("Material 0 terverifikasi",'Onshore- Melbourne'!M364))),OR('Onshore- Melbourne'!G364&lt;&gt;0,ISNUMBER(SEARCH("Enrolment 0 terverifikasi",'Onshore- Melbourne'!M364)))),1,0)</f>
        <v>1</v>
      </c>
      <c r="M1154" s="0" t="n">
        <f aca="false">IF(OR('Onshore- Melbourne'!E364="",ISNUMBER(SEARCH("BSB80120",'Onshore- Melbourne'!B364&amp;'Onshore- Melbourne'!M364)),ISNUMBER(SEARCH("Management (Learning)",'Onshore- Melbourne'!B364))),2,IF(ISNUMBER(SEARCH("CEK:",'Onshore- Melbourne'!M364)),1,0))</f>
        <v>1</v>
      </c>
    </row>
    <row r="1155" customFormat="false" ht="15" hidden="false" customHeight="false" outlineLevel="0" collapsed="false">
      <c r="A1155" s="63" t="s">
        <v>3544</v>
      </c>
      <c r="B1155" s="64" t="s">
        <v>4207</v>
      </c>
      <c r="C1155" s="63" t="s">
        <v>41</v>
      </c>
      <c r="D1155" s="64" t="str">
        <f aca="false">TRIM(LEFT('Onshore- Melbourne'!A461,FIND(CHAR(10),'Onshore- Melbourne'!A461&amp;CHAR(10))-1))</f>
        <v>Torrens University Australia</v>
      </c>
      <c r="E1155" s="63" t="str">
        <f aca="false">'Onshore- Melbourne'!C548&amp;""</f>
        <v>1,5 years</v>
      </c>
      <c r="F1155" s="63" t="str">
        <f aca="false">IF('Onshore- Melbourne'!D548="","Belum tercatat",'Onshore- Melbourne'!D548)</f>
        <v>Term</v>
      </c>
      <c r="G1155" s="65" t="n">
        <f aca="false">IF('Onshore- Melbourne'!E548="","-",'Onshore- Melbourne'!E548)</f>
        <v>6563</v>
      </c>
      <c r="H1155" s="63" t="n">
        <f aca="false">IF(ISNUMBER(K1155),COUNTIFS($J$6:$J$1916,J1155,$K$6:$K$1916,"&lt;"&amp;K1155)+1,"-")</f>
        <v>3</v>
      </c>
      <c r="I1155" s="64" t="str">
        <f aca="false">IF('Onshore- Melbourne'!E548="","Harga belum tersedia - hubungi konsultan TEG",IF(M1155=2,"Saat ini tidak menerima pendaftaran siswa internasional baru",IF(M1155=1,"Harga perlu dikonfirmasi ke sekolah"&amp;IF(""="","","; "&amp;""),"")))</f>
        <v/>
      </c>
      <c r="J1155" s="0" t="s">
        <v>4261</v>
      </c>
      <c r="K1155" s="0" t="n">
        <f aca="false">IF(M1155=2,"",IF(ISNUMBER(SEARCH("rata-rata:",'Onshore- Melbourne'!M548)),VALUE(MID('Onshore- Melbourne'!M548,SEARCH("rata-rata:",'Onshore- Melbourne'!M548)+11,FIND(";",'Onshore- Melbourne'!M548&amp;";",SEARCH("rata-rata:",'Onshore- Melbourne'!M548))-SEARCH("rata-rata:",'Onshore- Melbourne'!M548)-11)),IF('Onshore- Melbourne'!D548="Semester",'Onshore- Melbourne'!E548*2,IF('Onshore- Melbourne'!D548="Trimester",'Onshore- Melbourne'!E548*3,IF('Onshore- Melbourne'!D548="Term",'Onshore- Melbourne'!E548*4,IF('Onshore- Melbourne'!D548="Unit",'Onshore- Melbourne'!E548*8,""))))))</f>
        <v>26252</v>
      </c>
      <c r="L1155" s="0" t="n">
        <f aca="false">IF(AND(ISNUMBER('Onshore- Melbourne'!E548),ISNUMBER(K1155),ISNUMBER('Onshore- Melbourne'!F548),ISNUMBER('Onshore- Melbourne'!G548),OR('Onshore- Melbourne'!F548&lt;&gt;0,ISNUMBER(SEARCH("Material 0 terverifikasi",'Onshore- Melbourne'!M548))),OR('Onshore- Melbourne'!G548&lt;&gt;0,ISNUMBER(SEARCH("Enrolment 0 terverifikasi",'Onshore- Melbourne'!M548)))),1,0)</f>
        <v>0</v>
      </c>
      <c r="M1155" s="0" t="n">
        <f aca="false">IF(OR('Onshore- Melbourne'!E548="",ISNUMBER(SEARCH("BSB80120",'Onshore- Melbourne'!B548&amp;'Onshore- Melbourne'!M548)),ISNUMBER(SEARCH("Management (Learning)",'Onshore- Melbourne'!B548))),2,IF(ISNUMBER(SEARCH("CEK:",'Onshore- Melbourne'!M548)),1,0))</f>
        <v>0</v>
      </c>
    </row>
    <row r="1156" customFormat="false" ht="15" hidden="false" customHeight="false" outlineLevel="0" collapsed="false">
      <c r="A1156" s="63" t="s">
        <v>3544</v>
      </c>
      <c r="B1156" s="64" t="s">
        <v>4207</v>
      </c>
      <c r="C1156" s="63" t="s">
        <v>41</v>
      </c>
      <c r="D1156" s="64" t="str">
        <f aca="false">TRIM(LEFT('Onshore- Melbourne'!A94,FIND(CHAR(10),'Onshore- Melbourne'!A94&amp;CHAR(10))-1))</f>
        <v>Australian Catholic University (ACU)</v>
      </c>
      <c r="E1156" s="63" t="str">
        <f aca="false">'Onshore- Melbourne'!C187&amp;""</f>
        <v>1 year</v>
      </c>
      <c r="F1156" s="63" t="str">
        <f aca="false">IF('Onshore- Melbourne'!D187="","Belum tercatat",'Onshore- Melbourne'!D187)</f>
        <v>Term</v>
      </c>
      <c r="G1156" s="65" t="n">
        <f aca="false">IF('Onshore- Melbourne'!E187="","-",'Onshore- Melbourne'!E187)</f>
        <v>7086</v>
      </c>
      <c r="H1156" s="63" t="n">
        <f aca="false">IF(ISNUMBER(K1156),COUNTIFS($J$6:$J$1916,J1156,$K$6:$K$1916,"&lt;"&amp;K1156)+1,"-")</f>
        <v>4</v>
      </c>
      <c r="I1156" s="64" t="str">
        <f aca="false">IF('Onshore- Melbourne'!E187="","Harga belum tersedia - hubungi konsultan TEG",IF(M1156=2,"Saat ini tidak menerima pendaftaran siswa internasional baru",IF(M1156=1,"Harga perlu dikonfirmasi ke sekolah"&amp;IF(""="","","; "&amp;""),"")))</f>
        <v/>
      </c>
      <c r="J1156" s="0" t="s">
        <v>4261</v>
      </c>
      <c r="K1156" s="0" t="n">
        <f aca="false">IF(M1156=2,"",IF(ISNUMBER(SEARCH("rata-rata:",'Onshore- Melbourne'!M187)),VALUE(MID('Onshore- Melbourne'!M187,SEARCH("rata-rata:",'Onshore- Melbourne'!M187)+11,FIND(";",'Onshore- Melbourne'!M187&amp;";",SEARCH("rata-rata:",'Onshore- Melbourne'!M187))-SEARCH("rata-rata:",'Onshore- Melbourne'!M187)-11)),IF('Onshore- Melbourne'!D187="Semester",'Onshore- Melbourne'!E187*2,IF('Onshore- Melbourne'!D187="Trimester",'Onshore- Melbourne'!E187*3,IF('Onshore- Melbourne'!D187="Term",'Onshore- Melbourne'!E187*4,IF('Onshore- Melbourne'!D187="Unit",'Onshore- Melbourne'!E187*8,""))))))</f>
        <v>28344</v>
      </c>
      <c r="L1156" s="0" t="n">
        <f aca="false">IF(AND(ISNUMBER('Onshore- Melbourne'!E187),ISNUMBER(K1156),ISNUMBER('Onshore- Melbourne'!F187),ISNUMBER('Onshore- Melbourne'!G187),OR('Onshore- Melbourne'!F187&lt;&gt;0,ISNUMBER(SEARCH("Material 0 terverifikasi",'Onshore- Melbourne'!M187))),OR('Onshore- Melbourne'!G187&lt;&gt;0,ISNUMBER(SEARCH("Enrolment 0 terverifikasi",'Onshore- Melbourne'!M187)))),1,0)</f>
        <v>0</v>
      </c>
      <c r="M1156" s="0" t="n">
        <f aca="false">IF(OR('Onshore- Melbourne'!E187="",ISNUMBER(SEARCH("BSB80120",'Onshore- Melbourne'!B187&amp;'Onshore- Melbourne'!M187)),ISNUMBER(SEARCH("Management (Learning)",'Onshore- Melbourne'!B187))),2,IF(ISNUMBER(SEARCH("CEK:",'Onshore- Melbourne'!M187)),1,0))</f>
        <v>0</v>
      </c>
    </row>
    <row r="1157" customFormat="false" ht="15" hidden="false" customHeight="false" outlineLevel="0" collapsed="false">
      <c r="A1157" s="61" t="s">
        <v>4262</v>
      </c>
      <c r="B1157" s="62"/>
      <c r="C1157" s="62"/>
      <c r="D1157" s="62"/>
      <c r="E1157" s="62"/>
      <c r="F1157" s="62"/>
      <c r="G1157" s="62"/>
      <c r="H1157" s="62"/>
      <c r="I1157" s="62"/>
    </row>
    <row r="1158" customFormat="false" ht="15" hidden="false" customHeight="false" outlineLevel="0" collapsed="false">
      <c r="A1158" s="63" t="s">
        <v>3544</v>
      </c>
      <c r="B1158" s="64" t="s">
        <v>4207</v>
      </c>
      <c r="C1158" s="63" t="s">
        <v>43</v>
      </c>
      <c r="D1158" s="64" t="str">
        <f aca="false">TRIM(LEFT('Onshore- Melbourne'!A461,FIND(CHAR(10),'Onshore- Melbourne'!A461&amp;CHAR(10))-1))</f>
        <v>Torrens University Australia</v>
      </c>
      <c r="E1158" s="63" t="str">
        <f aca="false">'Onshore- Melbourne'!C534&amp;""</f>
        <v>4 years</v>
      </c>
      <c r="F1158" s="63" t="str">
        <f aca="false">IF('Onshore- Melbourne'!D534="","Belum tercatat",'Onshore- Melbourne'!D534)</f>
        <v>Term</v>
      </c>
      <c r="G1158" s="65" t="n">
        <f aca="false">IF('Onshore- Melbourne'!E534="","-",'Onshore- Melbourne'!E534)</f>
        <v>7333</v>
      </c>
      <c r="H1158" s="63" t="n">
        <f aca="false">IF(ISNUMBER(K1158),COUNTIFS($J$6:$J$1916,J1158,$K$6:$K$1916,"&lt;"&amp;K1158)+1,"-")</f>
        <v>1</v>
      </c>
      <c r="I1158" s="64" t="str">
        <f aca="false">IF('Onshore- Melbourne'!E534="","Harga belum tersedia - hubungi konsultan TEG",IF(M1158=2,"Saat ini tidak menerima pendaftaran siswa internasional baru",IF(M1158=1,"Harga perlu dikonfirmasi ke sekolah"&amp;IF(""="","","; "&amp;""),"")))</f>
        <v/>
      </c>
      <c r="J1158" s="0" t="s">
        <v>4263</v>
      </c>
      <c r="K1158" s="0" t="n">
        <f aca="false">IF(M1158=2,"",IF(ISNUMBER(SEARCH("rata-rata:",'Onshore- Melbourne'!M534)),VALUE(MID('Onshore- Melbourne'!M534,SEARCH("rata-rata:",'Onshore- Melbourne'!M534)+11,FIND(";",'Onshore- Melbourne'!M534&amp;";",SEARCH("rata-rata:",'Onshore- Melbourne'!M534))-SEARCH("rata-rata:",'Onshore- Melbourne'!M534)-11)),IF('Onshore- Melbourne'!D534="Semester",'Onshore- Melbourne'!E534*2,IF('Onshore- Melbourne'!D534="Trimester",'Onshore- Melbourne'!E534*3,IF('Onshore- Melbourne'!D534="Term",'Onshore- Melbourne'!E534*4,IF('Onshore- Melbourne'!D534="Unit",'Onshore- Melbourne'!E534*8,""))))))</f>
        <v>29332</v>
      </c>
      <c r="L1158" s="0" t="n">
        <f aca="false">IF(AND(ISNUMBER('Onshore- Melbourne'!E534),ISNUMBER(K1158),ISNUMBER('Onshore- Melbourne'!F534),ISNUMBER('Onshore- Melbourne'!G534),OR('Onshore- Melbourne'!F534&lt;&gt;0,ISNUMBER(SEARCH("Material 0 terverifikasi",'Onshore- Melbourne'!M534))),OR('Onshore- Melbourne'!G534&lt;&gt;0,ISNUMBER(SEARCH("Enrolment 0 terverifikasi",'Onshore- Melbourne'!M534)))),1,0)</f>
        <v>0</v>
      </c>
      <c r="M1158" s="0" t="n">
        <f aca="false">IF(OR('Onshore- Melbourne'!E534="",ISNUMBER(SEARCH("BSB80120",'Onshore- Melbourne'!B534&amp;'Onshore- Melbourne'!M534)),ISNUMBER(SEARCH("Management (Learning)",'Onshore- Melbourne'!B534))),2,IF(ISNUMBER(SEARCH("CEK:",'Onshore- Melbourne'!M534)),1,0))</f>
        <v>0</v>
      </c>
    </row>
    <row r="1159" customFormat="false" ht="15" hidden="false" customHeight="false" outlineLevel="0" collapsed="false">
      <c r="A1159" s="63" t="s">
        <v>3544</v>
      </c>
      <c r="B1159" s="64" t="s">
        <v>4207</v>
      </c>
      <c r="C1159" s="63" t="s">
        <v>43</v>
      </c>
      <c r="D1159" s="64" t="str">
        <f aca="false">TRIM(LEFT('Onshore- Melbourne'!A94,FIND(CHAR(10),'Onshore- Melbourne'!A94&amp;CHAR(10))-1))</f>
        <v>Australian Catholic University (ACU)</v>
      </c>
      <c r="E1159" s="63" t="str">
        <f aca="false">'Onshore- Melbourne'!C154&amp;""</f>
        <v>3 years</v>
      </c>
      <c r="F1159" s="63" t="str">
        <f aca="false">IF('Onshore- Melbourne'!D154="","Belum tercatat",'Onshore- Melbourne'!D154)</f>
        <v>Term</v>
      </c>
      <c r="G1159" s="65" t="n">
        <f aca="false">IF('Onshore- Melbourne'!E154="","-",'Onshore- Melbourne'!E154)</f>
        <v>8098</v>
      </c>
      <c r="H1159" s="63" t="n">
        <f aca="false">IF(ISNUMBER(K1159),COUNTIFS($J$6:$J$1916,J1159,$K$6:$K$1916,"&lt;"&amp;K1159)+1,"-")</f>
        <v>2</v>
      </c>
      <c r="I1159" s="64" t="str">
        <f aca="false">IF('Onshore- Melbourne'!E154="","Harga belum tersedia - hubungi konsultan TEG",IF(M1159=2,"Saat ini tidak menerima pendaftaran siswa internasional baru",IF(M1159=1,"Harga perlu dikonfirmasi ke sekolah"&amp;IF(""="","","; "&amp;""),"")))</f>
        <v/>
      </c>
      <c r="J1159" s="0" t="s">
        <v>4263</v>
      </c>
      <c r="K1159" s="0" t="n">
        <f aca="false">IF(M1159=2,"",IF(ISNUMBER(SEARCH("rata-rata:",'Onshore- Melbourne'!M154)),VALUE(MID('Onshore- Melbourne'!M154,SEARCH("rata-rata:",'Onshore- Melbourne'!M154)+11,FIND(";",'Onshore- Melbourne'!M154&amp;";",SEARCH("rata-rata:",'Onshore- Melbourne'!M154))-SEARCH("rata-rata:",'Onshore- Melbourne'!M154)-11)),IF('Onshore- Melbourne'!D154="Semester",'Onshore- Melbourne'!E154*2,IF('Onshore- Melbourne'!D154="Trimester",'Onshore- Melbourne'!E154*3,IF('Onshore- Melbourne'!D154="Term",'Onshore- Melbourne'!E154*4,IF('Onshore- Melbourne'!D154="Unit",'Onshore- Melbourne'!E154*8,""))))))</f>
        <v>32392</v>
      </c>
      <c r="L1159" s="0" t="n">
        <f aca="false">IF(AND(ISNUMBER('Onshore- Melbourne'!E154),ISNUMBER(K1159),ISNUMBER('Onshore- Melbourne'!F154),ISNUMBER('Onshore- Melbourne'!G154),OR('Onshore- Melbourne'!F154&lt;&gt;0,ISNUMBER(SEARCH("Material 0 terverifikasi",'Onshore- Melbourne'!M154))),OR('Onshore- Melbourne'!G154&lt;&gt;0,ISNUMBER(SEARCH("Enrolment 0 terverifikasi",'Onshore- Melbourne'!M154)))),1,0)</f>
        <v>0</v>
      </c>
      <c r="M1159" s="0" t="n">
        <f aca="false">IF(OR('Onshore- Melbourne'!E154="",ISNUMBER(SEARCH("BSB80120",'Onshore- Melbourne'!B154&amp;'Onshore- Melbourne'!M154)),ISNUMBER(SEARCH("Management (Learning)",'Onshore- Melbourne'!B154))),2,IF(ISNUMBER(SEARCH("CEK:",'Onshore- Melbourne'!M154)),1,0))</f>
        <v>0</v>
      </c>
    </row>
    <row r="1160" customFormat="false" ht="15" hidden="false" customHeight="false" outlineLevel="0" collapsed="false">
      <c r="A1160" s="63" t="s">
        <v>3544</v>
      </c>
      <c r="B1160" s="64" t="s">
        <v>4207</v>
      </c>
      <c r="C1160" s="63" t="s">
        <v>43</v>
      </c>
      <c r="D1160" s="64" t="str">
        <f aca="false">TRIM(LEFT('Onshore- Melbourne'!A566,FIND(CHAR(10),'Onshore- Melbourne'!A566&amp;CHAR(10))-1))</f>
        <v>University of Tasmania (UTAS)</v>
      </c>
      <c r="E1160" s="63" t="str">
        <f aca="false">'Onshore- Melbourne'!C566&amp;""</f>
        <v>3 years</v>
      </c>
      <c r="F1160" s="63" t="str">
        <f aca="false">IF('Onshore- Melbourne'!D566="","Belum tercatat",'Onshore- Melbourne'!D566)</f>
        <v>Term</v>
      </c>
      <c r="G1160" s="65" t="n">
        <f aca="false">IF('Onshore- Melbourne'!E566="","-",'Onshore- Melbourne'!E566)</f>
        <v>10737.5</v>
      </c>
      <c r="H1160" s="63" t="n">
        <f aca="false">IF(ISNUMBER(K1160),COUNTIFS($J$6:$J$1916,J1160,$K$6:$K$1916,"&lt;"&amp;K1160)+1,"-")</f>
        <v>3</v>
      </c>
      <c r="I1160" s="64" t="str">
        <f aca="false">IF('Onshore- Melbourne'!E566="","Harga belum tersedia - hubungi konsultan TEG",IF(M1160=2,"Saat ini tidak menerima pendaftaran siswa internasional baru",IF(M1160=1,"Program perlu dikonfirmasi ketersediaannya"&amp;IF(""="","","; "&amp;""),"")))</f>
        <v>Program perlu dikonfirmasi ketersediaannya</v>
      </c>
      <c r="J1160" s="0" t="s">
        <v>4263</v>
      </c>
      <c r="K1160" s="0" t="n">
        <f aca="false">IF(M1160=2,"",IF(ISNUMBER(SEARCH("rata-rata:",'Onshore- Melbourne'!M566)),VALUE(MID('Onshore- Melbourne'!M566,SEARCH("rata-rata:",'Onshore- Melbourne'!M566)+11,FIND(";",'Onshore- Melbourne'!M566&amp;";",SEARCH("rata-rata:",'Onshore- Melbourne'!M566))-SEARCH("rata-rata:",'Onshore- Melbourne'!M566)-11)),IF('Onshore- Melbourne'!D566="Semester",'Onshore- Melbourne'!E566*2,IF('Onshore- Melbourne'!D566="Trimester",'Onshore- Melbourne'!E566*3,IF('Onshore- Melbourne'!D566="Term",'Onshore- Melbourne'!E566*4,IF('Onshore- Melbourne'!D566="Unit",'Onshore- Melbourne'!E566*8,""))))))</f>
        <v>42950</v>
      </c>
      <c r="L1160" s="0" t="n">
        <f aca="false">IF(AND(ISNUMBER('Onshore- Melbourne'!E566),ISNUMBER(K1160),ISNUMBER('Onshore- Melbourne'!F566),ISNUMBER('Onshore- Melbourne'!G566),OR('Onshore- Melbourne'!F566&lt;&gt;0,ISNUMBER(SEARCH("Material 0 terverifikasi",'Onshore- Melbourne'!M566))),OR('Onshore- Melbourne'!G566&lt;&gt;0,ISNUMBER(SEARCH("Enrolment 0 terverifikasi",'Onshore- Melbourne'!M566)))),1,0)</f>
        <v>0</v>
      </c>
      <c r="M1160" s="0" t="n">
        <f aca="false">IF(OR('Onshore- Melbourne'!E566="",ISNUMBER(SEARCH("BSB80120",'Onshore- Melbourne'!B566&amp;'Onshore- Melbourne'!M566)),ISNUMBER(SEARCH("Management (Learning)",'Onshore- Melbourne'!B566))),2,IF(ISNUMBER(SEARCH("CEK:",'Onshore- Melbourne'!M566)),1,0))</f>
        <v>1</v>
      </c>
    </row>
    <row r="1161" customFormat="false" ht="15" hidden="false" customHeight="false" outlineLevel="0" collapsed="false">
      <c r="A1161" s="61" t="s">
        <v>4264</v>
      </c>
      <c r="B1161" s="62"/>
      <c r="C1161" s="62"/>
      <c r="D1161" s="62"/>
      <c r="E1161" s="62"/>
      <c r="F1161" s="62"/>
      <c r="G1161" s="62"/>
      <c r="H1161" s="62"/>
      <c r="I1161" s="62"/>
    </row>
    <row r="1162" customFormat="false" ht="15" hidden="false" customHeight="false" outlineLevel="0" collapsed="false">
      <c r="A1162" s="63" t="s">
        <v>3544</v>
      </c>
      <c r="B1162" s="64" t="s">
        <v>4207</v>
      </c>
      <c r="C1162" s="63" t="s">
        <v>3707</v>
      </c>
      <c r="D1162" s="64" t="str">
        <f aca="false">TRIM(LEFT('Onshore- Melbourne'!A461,FIND(CHAR(10),'Onshore- Melbourne'!A461&amp;CHAR(10))-1))</f>
        <v>Torrens University Australia</v>
      </c>
      <c r="E1162" s="63" t="str">
        <f aca="false">'Onshore- Melbourne'!C541&amp;""</f>
        <v>0,5 year</v>
      </c>
      <c r="F1162" s="63" t="str">
        <f aca="false">IF('Onshore- Melbourne'!D541="","Belum tercatat",'Onshore- Melbourne'!D541)</f>
        <v>Term</v>
      </c>
      <c r="G1162" s="65" t="n">
        <f aca="false">IF('Onshore- Melbourne'!E541="","-",'Onshore- Melbourne'!E541)</f>
        <v>3975</v>
      </c>
      <c r="H1162" s="63" t="n">
        <f aca="false">IF(ISNUMBER(K1162),COUNTIFS($J$6:$J$1916,J1162,$K$6:$K$1916,"&lt;"&amp;K1162)+1,"-")</f>
        <v>1</v>
      </c>
      <c r="I1162" s="64" t="str">
        <f aca="false">IF('Onshore- Melbourne'!E541="","Harga belum tersedia - hubungi konsultan TEG",IF(M1162=2,"Saat ini tidak menerima pendaftaran siswa internasional baru",IF(M1162=1,"Harga perlu dikonfirmasi ke sekolah"&amp;IF(""="","","; "&amp;""),"")))</f>
        <v/>
      </c>
      <c r="J1162" s="0" t="s">
        <v>4265</v>
      </c>
      <c r="K1162" s="0" t="n">
        <f aca="false">IF(M1162=2,"",IF(ISNUMBER(SEARCH("rata-rata:",'Onshore- Melbourne'!M541)),VALUE(MID('Onshore- Melbourne'!M541,SEARCH("rata-rata:",'Onshore- Melbourne'!M541)+11,FIND(";",'Onshore- Melbourne'!M541&amp;";",SEARCH("rata-rata:",'Onshore- Melbourne'!M541))-SEARCH("rata-rata:",'Onshore- Melbourne'!M541)-11)),IF('Onshore- Melbourne'!D541="Semester",'Onshore- Melbourne'!E541*2,IF('Onshore- Melbourne'!D541="Trimester",'Onshore- Melbourne'!E541*3,IF('Onshore- Melbourne'!D541="Term",'Onshore- Melbourne'!E541*4,IF('Onshore- Melbourne'!D541="Unit",'Onshore- Melbourne'!E541*8,""))))))</f>
        <v>15900</v>
      </c>
      <c r="L1162" s="0" t="n">
        <f aca="false">IF(AND(ISNUMBER('Onshore- Melbourne'!E541),ISNUMBER(K1162),ISNUMBER('Onshore- Melbourne'!F541),ISNUMBER('Onshore- Melbourne'!G541),OR('Onshore- Melbourne'!F541&lt;&gt;0,ISNUMBER(SEARCH("Material 0 terverifikasi",'Onshore- Melbourne'!M541))),OR('Onshore- Melbourne'!G541&lt;&gt;0,ISNUMBER(SEARCH("Enrolment 0 terverifikasi",'Onshore- Melbourne'!M541)))),1,0)</f>
        <v>0</v>
      </c>
      <c r="M1162" s="0" t="n">
        <f aca="false">IF(OR('Onshore- Melbourne'!E541="",ISNUMBER(SEARCH("BSB80120",'Onshore- Melbourne'!B541&amp;'Onshore- Melbourne'!M541)),ISNUMBER(SEARCH("Management (Learning)",'Onshore- Melbourne'!B541))),2,IF(ISNUMBER(SEARCH("CEK:",'Onshore- Melbourne'!M541)),1,0))</f>
        <v>0</v>
      </c>
    </row>
    <row r="1163" customFormat="false" ht="15" hidden="false" customHeight="false" outlineLevel="0" collapsed="false">
      <c r="A1163" s="63" t="s">
        <v>3544</v>
      </c>
      <c r="B1163" s="64" t="s">
        <v>4207</v>
      </c>
      <c r="C1163" s="63" t="s">
        <v>3707</v>
      </c>
      <c r="D1163" s="64" t="str">
        <f aca="false">TRIM(LEFT('Onshore- Melbourne'!A94,FIND(CHAR(10),'Onshore- Melbourne'!A94&amp;CHAR(10))-1))</f>
        <v>Australian Catholic University (ACU)</v>
      </c>
      <c r="E1163" s="63" t="str">
        <f aca="false">'Onshore- Melbourne'!C172&amp;""</f>
        <v>1 year</v>
      </c>
      <c r="F1163" s="63" t="str">
        <f aca="false">IF('Onshore- Melbourne'!D172="","Belum tercatat",'Onshore- Melbourne'!D172)</f>
        <v>Term</v>
      </c>
      <c r="G1163" s="65" t="n">
        <f aca="false">IF('Onshore- Melbourne'!E172="","-",'Onshore- Melbourne'!E172)</f>
        <v>8018</v>
      </c>
      <c r="H1163" s="63" t="n">
        <f aca="false">IF(ISNUMBER(K1163),COUNTIFS($J$6:$J$1916,J1163,$K$6:$K$1916,"&lt;"&amp;K1163)+1,"-")</f>
        <v>2</v>
      </c>
      <c r="I1163" s="64" t="str">
        <f aca="false">IF('Onshore- Melbourne'!E172="","Harga belum tersedia - hubungi konsultan TEG",IF(M1163=2,"Saat ini tidak menerima pendaftaran siswa internasional baru",IF(M1163=1,"Harga perlu dikonfirmasi ke sekolah"&amp;IF(""="","","; "&amp;""),"")))</f>
        <v/>
      </c>
      <c r="J1163" s="0" t="s">
        <v>4265</v>
      </c>
      <c r="K1163" s="0" t="n">
        <f aca="false">IF(M1163=2,"",IF(ISNUMBER(SEARCH("rata-rata:",'Onshore- Melbourne'!M172)),VALUE(MID('Onshore- Melbourne'!M172,SEARCH("rata-rata:",'Onshore- Melbourne'!M172)+11,FIND(";",'Onshore- Melbourne'!M172&amp;";",SEARCH("rata-rata:",'Onshore- Melbourne'!M172))-SEARCH("rata-rata:",'Onshore- Melbourne'!M172)-11)),IF('Onshore- Melbourne'!D172="Semester",'Onshore- Melbourne'!E172*2,IF('Onshore- Melbourne'!D172="Trimester",'Onshore- Melbourne'!E172*3,IF('Onshore- Melbourne'!D172="Term",'Onshore- Melbourne'!E172*4,IF('Onshore- Melbourne'!D172="Unit",'Onshore- Melbourne'!E172*8,""))))))</f>
        <v>32072</v>
      </c>
      <c r="L1163" s="0" t="n">
        <f aca="false">IF(AND(ISNUMBER('Onshore- Melbourne'!E172),ISNUMBER(K1163),ISNUMBER('Onshore- Melbourne'!F172),ISNUMBER('Onshore- Melbourne'!G172),OR('Onshore- Melbourne'!F172&lt;&gt;0,ISNUMBER(SEARCH("Material 0 terverifikasi",'Onshore- Melbourne'!M172))),OR('Onshore- Melbourne'!G172&lt;&gt;0,ISNUMBER(SEARCH("Enrolment 0 terverifikasi",'Onshore- Melbourne'!M172)))),1,0)</f>
        <v>0</v>
      </c>
      <c r="M1163" s="0" t="n">
        <f aca="false">IF(OR('Onshore- Melbourne'!E172="",ISNUMBER(SEARCH("BSB80120",'Onshore- Melbourne'!B172&amp;'Onshore- Melbourne'!M172)),ISNUMBER(SEARCH("Management (Learning)",'Onshore- Melbourne'!B172))),2,IF(ISNUMBER(SEARCH("CEK:",'Onshore- Melbourne'!M172)),1,0))</f>
        <v>0</v>
      </c>
    </row>
    <row r="1164" customFormat="false" ht="15" hidden="false" customHeight="false" outlineLevel="0" collapsed="false">
      <c r="A1164" s="61" t="s">
        <v>4266</v>
      </c>
      <c r="B1164" s="62"/>
      <c r="C1164" s="62"/>
      <c r="D1164" s="62"/>
      <c r="E1164" s="62"/>
      <c r="F1164" s="62"/>
      <c r="G1164" s="62"/>
      <c r="H1164" s="62"/>
      <c r="I1164" s="62"/>
    </row>
    <row r="1165" customFormat="false" ht="15" hidden="false" customHeight="false" outlineLevel="0" collapsed="false">
      <c r="A1165" s="63" t="s">
        <v>3544</v>
      </c>
      <c r="B1165" s="64" t="s">
        <v>4207</v>
      </c>
      <c r="C1165" s="63" t="s">
        <v>46</v>
      </c>
      <c r="D1165" s="64" t="str">
        <f aca="false">TRIM(LEFT('Onshore- Melbourne'!A566,FIND(CHAR(10),'Onshore- Melbourne'!A566&amp;CHAR(10))-1))</f>
        <v>University of Tasmania (UTAS)</v>
      </c>
      <c r="E1165" s="63" t="str">
        <f aca="false">'Onshore- Melbourne'!C571&amp;""</f>
        <v>2 years</v>
      </c>
      <c r="F1165" s="63" t="str">
        <f aca="false">IF('Onshore- Melbourne'!D571="","Belum tercatat",'Onshore- Melbourne'!D571)</f>
        <v>Term</v>
      </c>
      <c r="G1165" s="65" t="n">
        <f aca="false">IF('Onshore- Melbourne'!E571="","-",'Onshore- Melbourne'!E571)</f>
        <v>6647</v>
      </c>
      <c r="H1165" s="63" t="n">
        <f aca="false">IF(ISNUMBER(K1165),COUNTIFS($J$6:$J$1916,J1165,$K$6:$K$1916,"&lt;"&amp;K1165)+1,"-")</f>
        <v>1</v>
      </c>
      <c r="I1165" s="64" t="str">
        <f aca="false">IF('Onshore- Melbourne'!E571="","Harga belum tersedia - hubungi konsultan TEG",IF(M1165=2,"Saat ini tidak menerima pendaftaran siswa internasional baru",IF(M1165=1,"Harga perlu dikonfirmasi ke sekolah"&amp;IF(""="","","; "&amp;""),"")))</f>
        <v/>
      </c>
      <c r="J1165" s="0" t="s">
        <v>4267</v>
      </c>
      <c r="K1165" s="0" t="n">
        <f aca="false">IF(M1165=2,"",IF(ISNUMBER(SEARCH("rata-rata:",'Onshore- Melbourne'!M571)),VALUE(MID('Onshore- Melbourne'!M571,SEARCH("rata-rata:",'Onshore- Melbourne'!M571)+11,FIND(";",'Onshore- Melbourne'!M571&amp;";",SEARCH("rata-rata:",'Onshore- Melbourne'!M571))-SEARCH("rata-rata:",'Onshore- Melbourne'!M571)-11)),IF('Onshore- Melbourne'!D571="Semester",'Onshore- Melbourne'!E571*2,IF('Onshore- Melbourne'!D571="Trimester",'Onshore- Melbourne'!E571*3,IF('Onshore- Melbourne'!D571="Term",'Onshore- Melbourne'!E571*4,IF('Onshore- Melbourne'!D571="Unit",'Onshore- Melbourne'!E571*8,""))))))</f>
        <v>26588</v>
      </c>
      <c r="L1165" s="0" t="n">
        <f aca="false">IF(AND(ISNUMBER('Onshore- Melbourne'!E571),ISNUMBER(K1165),ISNUMBER('Onshore- Melbourne'!F571),ISNUMBER('Onshore- Melbourne'!G571),OR('Onshore- Melbourne'!F571&lt;&gt;0,ISNUMBER(SEARCH("Material 0 terverifikasi",'Onshore- Melbourne'!M571))),OR('Onshore- Melbourne'!G571&lt;&gt;0,ISNUMBER(SEARCH("Enrolment 0 terverifikasi",'Onshore- Melbourne'!M571)))),1,0)</f>
        <v>0</v>
      </c>
      <c r="M1165" s="0" t="n">
        <f aca="false">IF(OR('Onshore- Melbourne'!E571="",ISNUMBER(SEARCH("BSB80120",'Onshore- Melbourne'!B571&amp;'Onshore- Melbourne'!M571)),ISNUMBER(SEARCH("Management (Learning)",'Onshore- Melbourne'!B571))),2,IF(ISNUMBER(SEARCH("CEK:",'Onshore- Melbourne'!M571)),1,0))</f>
        <v>0</v>
      </c>
    </row>
    <row r="1166" customFormat="false" ht="15" hidden="false" customHeight="false" outlineLevel="0" collapsed="false">
      <c r="A1166" s="63" t="s">
        <v>3544</v>
      </c>
      <c r="B1166" s="64" t="s">
        <v>4207</v>
      </c>
      <c r="C1166" s="63" t="s">
        <v>46</v>
      </c>
      <c r="D1166" s="64" t="str">
        <f aca="false">TRIM(LEFT('Onshore- Melbourne'!A461,FIND(CHAR(10),'Onshore- Melbourne'!A461&amp;CHAR(10))-1))</f>
        <v>Torrens University Australia</v>
      </c>
      <c r="E1166" s="63" t="str">
        <f aca="false">'Onshore- Melbourne'!C479&amp;""</f>
        <v>2 years</v>
      </c>
      <c r="F1166" s="63" t="str">
        <f aca="false">IF('Onshore- Melbourne'!D479="","Belum tercatat",'Onshore- Melbourne'!D479)</f>
        <v>Term</v>
      </c>
      <c r="G1166" s="65" t="n">
        <f aca="false">IF('Onshore- Melbourne'!E479="","-",'Onshore- Melbourne'!E479)</f>
        <v>7950</v>
      </c>
      <c r="H1166" s="63" t="n">
        <f aca="false">IF(ISNUMBER(K1166),COUNTIFS($J$6:$J$1916,J1166,$K$6:$K$1916,"&lt;"&amp;K1166)+1,"-")</f>
        <v>2</v>
      </c>
      <c r="I1166" s="64" t="str">
        <f aca="false">IF('Onshore- Melbourne'!E479="","Harga belum tersedia - hubungi konsultan TEG",IF(M1166=2,"Saat ini tidak menerima pendaftaran siswa internasional baru",IF(M1166=1,"Harga perlu dikonfirmasi ke sekolah"&amp;IF(""="","","; "&amp;""),"")))</f>
        <v/>
      </c>
      <c r="J1166" s="0" t="s">
        <v>4267</v>
      </c>
      <c r="K1166" s="0" t="n">
        <f aca="false">IF(M1166=2,"",IF(ISNUMBER(SEARCH("rata-rata:",'Onshore- Melbourne'!M479)),VALUE(MID('Onshore- Melbourne'!M479,SEARCH("rata-rata:",'Onshore- Melbourne'!M479)+11,FIND(";",'Onshore- Melbourne'!M479&amp;";",SEARCH("rata-rata:",'Onshore- Melbourne'!M479))-SEARCH("rata-rata:",'Onshore- Melbourne'!M479)-11)),IF('Onshore- Melbourne'!D479="Semester",'Onshore- Melbourne'!E479*2,IF('Onshore- Melbourne'!D479="Trimester",'Onshore- Melbourne'!E479*3,IF('Onshore- Melbourne'!D479="Term",'Onshore- Melbourne'!E479*4,IF('Onshore- Melbourne'!D479="Unit",'Onshore- Melbourne'!E479*8,""))))))</f>
        <v>31800</v>
      </c>
      <c r="L1166" s="0" t="n">
        <f aca="false">IF(AND(ISNUMBER('Onshore- Melbourne'!E479),ISNUMBER(K1166),ISNUMBER('Onshore- Melbourne'!F479),ISNUMBER('Onshore- Melbourne'!G479),OR('Onshore- Melbourne'!F479&lt;&gt;0,ISNUMBER(SEARCH("Material 0 terverifikasi",'Onshore- Melbourne'!M479))),OR('Onshore- Melbourne'!G479&lt;&gt;0,ISNUMBER(SEARCH("Enrolment 0 terverifikasi",'Onshore- Melbourne'!M479)))),1,0)</f>
        <v>0</v>
      </c>
      <c r="M1166" s="0" t="n">
        <f aca="false">IF(OR('Onshore- Melbourne'!E479="",ISNUMBER(SEARCH("BSB80120",'Onshore- Melbourne'!B479&amp;'Onshore- Melbourne'!M479)),ISNUMBER(SEARCH("Management (Learning)",'Onshore- Melbourne'!B479))),2,IF(ISNUMBER(SEARCH("CEK:",'Onshore- Melbourne'!M479)),1,0))</f>
        <v>0</v>
      </c>
    </row>
    <row r="1167" customFormat="false" ht="15" hidden="false" customHeight="false" outlineLevel="0" collapsed="false">
      <c r="A1167" s="63" t="s">
        <v>3544</v>
      </c>
      <c r="B1167" s="64" t="s">
        <v>4207</v>
      </c>
      <c r="C1167" s="63" t="s">
        <v>46</v>
      </c>
      <c r="D1167" s="64" t="str">
        <f aca="false">TRIM(LEFT('Onshore- Melbourne'!A94,FIND(CHAR(10),'Onshore- Melbourne'!A94&amp;CHAR(10))-1))</f>
        <v>Australian Catholic University (ACU)</v>
      </c>
      <c r="E1167" s="63" t="str">
        <f aca="false">'Onshore- Melbourne'!C173&amp;""</f>
        <v>2 years</v>
      </c>
      <c r="F1167" s="63" t="str">
        <f aca="false">IF('Onshore- Melbourne'!D173="","Belum tercatat",'Onshore- Melbourne'!D173)</f>
        <v>Term</v>
      </c>
      <c r="G1167" s="65" t="n">
        <f aca="false">IF('Onshore- Melbourne'!E173="","-",'Onshore- Melbourne'!E173)</f>
        <v>8018</v>
      </c>
      <c r="H1167" s="63" t="n">
        <f aca="false">IF(ISNUMBER(K1167),COUNTIFS($J$6:$J$1916,J1167,$K$6:$K$1916,"&lt;"&amp;K1167)+1,"-")</f>
        <v>3</v>
      </c>
      <c r="I1167" s="64" t="str">
        <f aca="false">IF('Onshore- Melbourne'!E173="","Harga belum tersedia - hubungi konsultan TEG",IF(M1167=2,"Saat ini tidak menerima pendaftaran siswa internasional baru",IF(M1167=1,"Harga perlu dikonfirmasi ke sekolah"&amp;IF(""="","","; "&amp;""),"")))</f>
        <v/>
      </c>
      <c r="J1167" s="0" t="s">
        <v>4267</v>
      </c>
      <c r="K1167" s="0" t="n">
        <f aca="false">IF(M1167=2,"",IF(ISNUMBER(SEARCH("rata-rata:",'Onshore- Melbourne'!M173)),VALUE(MID('Onshore- Melbourne'!M173,SEARCH("rata-rata:",'Onshore- Melbourne'!M173)+11,FIND(";",'Onshore- Melbourne'!M173&amp;";",SEARCH("rata-rata:",'Onshore- Melbourne'!M173))-SEARCH("rata-rata:",'Onshore- Melbourne'!M173)-11)),IF('Onshore- Melbourne'!D173="Semester",'Onshore- Melbourne'!E173*2,IF('Onshore- Melbourne'!D173="Trimester",'Onshore- Melbourne'!E173*3,IF('Onshore- Melbourne'!D173="Term",'Onshore- Melbourne'!E173*4,IF('Onshore- Melbourne'!D173="Unit",'Onshore- Melbourne'!E173*8,""))))))</f>
        <v>32072</v>
      </c>
      <c r="L1167" s="0" t="n">
        <f aca="false">IF(AND(ISNUMBER('Onshore- Melbourne'!E173),ISNUMBER(K1167),ISNUMBER('Onshore- Melbourne'!F173),ISNUMBER('Onshore- Melbourne'!G173),OR('Onshore- Melbourne'!F173&lt;&gt;0,ISNUMBER(SEARCH("Material 0 terverifikasi",'Onshore- Melbourne'!M173))),OR('Onshore- Melbourne'!G173&lt;&gt;0,ISNUMBER(SEARCH("Enrolment 0 terverifikasi",'Onshore- Melbourne'!M173)))),1,0)</f>
        <v>0</v>
      </c>
      <c r="M1167" s="0" t="n">
        <f aca="false">IF(OR('Onshore- Melbourne'!E173="",ISNUMBER(SEARCH("BSB80120",'Onshore- Melbourne'!B173&amp;'Onshore- Melbourne'!M173)),ISNUMBER(SEARCH("Management (Learning)",'Onshore- Melbourne'!B173))),2,IF(ISNUMBER(SEARCH("CEK:",'Onshore- Melbourne'!M173)),1,0))</f>
        <v>0</v>
      </c>
    </row>
    <row r="1168" customFormat="false" ht="15" hidden="false" customHeight="false" outlineLevel="0" collapsed="false">
      <c r="A1168" s="61" t="s">
        <v>4268</v>
      </c>
      <c r="B1168" s="62"/>
      <c r="C1168" s="62"/>
      <c r="D1168" s="62"/>
      <c r="E1168" s="62"/>
      <c r="F1168" s="62"/>
      <c r="G1168" s="62"/>
      <c r="H1168" s="62"/>
      <c r="I1168" s="62"/>
    </row>
    <row r="1169" customFormat="false" ht="15" hidden="false" customHeight="false" outlineLevel="0" collapsed="false">
      <c r="A1169" s="63" t="s">
        <v>3573</v>
      </c>
      <c r="B1169" s="64" t="s">
        <v>4207</v>
      </c>
      <c r="C1169" s="63" t="s">
        <v>40</v>
      </c>
      <c r="D1169" s="64" t="str">
        <f aca="false">TRIM(LEFT('Onshore - Perth'!A77,FIND(CHAR(10),'Onshore - Perth'!A77&amp;CHAR(10))-1))</f>
        <v>Greenwich College</v>
      </c>
      <c r="E1169" s="63" t="str">
        <f aca="false">'Onshore - Perth'!C86&amp;""</f>
        <v>84 weeks</v>
      </c>
      <c r="F1169" s="63" t="str">
        <f aca="false">IF('Onshore - Perth'!D86="","Belum tercatat",'Onshore - Perth'!D86)</f>
        <v>Term</v>
      </c>
      <c r="G1169" s="65" t="n">
        <f aca="false">IF('Onshore - Perth'!E86="","-",'Onshore - Perth'!E86)</f>
        <v>1600</v>
      </c>
      <c r="H1169" s="63" t="n">
        <f aca="false">IF(ISNUMBER(K1169),COUNTIFS($J$6:$J$1916,J1169,$K$6:$K$1916,"&lt;"&amp;K1169)+1,"-")</f>
        <v>1</v>
      </c>
      <c r="I1169" s="64" t="str">
        <f aca="false">IF('Onshore - Perth'!E86="","Harga belum tersedia - hubungi konsultan TEG",IF(M1169=2,"Saat ini tidak menerima pendaftaran siswa internasional baru",IF(M1169=1,"Harga perlu dikonfirmasi ke sekolah"&amp;IF(""="","","; "&amp;""),"")))</f>
        <v/>
      </c>
      <c r="J1169" s="0" t="s">
        <v>4269</v>
      </c>
      <c r="K1169" s="0" t="n">
        <f aca="false">IF(M1169=2,"",IF(ISNUMBER(SEARCH("rata-rata:",'Onshore - Perth'!M86)),VALUE(MID('Onshore - Perth'!M86,SEARCH("rata-rata:",'Onshore - Perth'!M86)+11,FIND(";",'Onshore - Perth'!M86&amp;";",SEARCH("rata-rata:",'Onshore - Perth'!M86))-SEARCH("rata-rata:",'Onshore - Perth'!M86)-11)),IF('Onshore - Perth'!D86="Semester",'Onshore - Perth'!E86*2,IF('Onshore - Perth'!D86="Trimester",'Onshore - Perth'!E86*3,IF('Onshore - Perth'!D86="Term",'Onshore - Perth'!E86*4,IF('Onshore - Perth'!D86="Unit",'Onshore - Perth'!E86*8,""))))))</f>
        <v>6400</v>
      </c>
      <c r="L1169" s="0" t="n">
        <f aca="false">IF(AND(ISNUMBER('Onshore - Perth'!E86),ISNUMBER(K1169),ISNUMBER('Onshore - Perth'!F86),ISNUMBER('Onshore - Perth'!G86),OR('Onshore - Perth'!F86&lt;&gt;0,ISNUMBER(SEARCH("Material 0 terverifikasi",'Onshore - Perth'!M86))),OR('Onshore - Perth'!G86&lt;&gt;0,ISNUMBER(SEARCH("Enrolment 0 terverifikasi",'Onshore - Perth'!M86)))),1,0)</f>
        <v>1</v>
      </c>
      <c r="M1169" s="0" t="n">
        <f aca="false">IF(OR('Onshore - Perth'!E86="",ISNUMBER(SEARCH("BSB80120",'Onshore - Perth'!B86&amp;'Onshore - Perth'!M86)),ISNUMBER(SEARCH("Management (Learning)",'Onshore - Perth'!B86))),2,IF(ISNUMBER(SEARCH("CEK:",'Onshore - Perth'!M86)),1,0))</f>
        <v>0</v>
      </c>
    </row>
    <row r="1170" customFormat="false" ht="15" hidden="false" customHeight="false" outlineLevel="0" collapsed="false">
      <c r="A1170" s="61" t="s">
        <v>4270</v>
      </c>
      <c r="B1170" s="62"/>
      <c r="C1170" s="62"/>
      <c r="D1170" s="62"/>
      <c r="E1170" s="62"/>
      <c r="F1170" s="62"/>
      <c r="G1170" s="62"/>
      <c r="H1170" s="62"/>
      <c r="I1170" s="62"/>
    </row>
    <row r="1171" customFormat="false" ht="15" hidden="false" customHeight="false" outlineLevel="0" collapsed="false">
      <c r="A1171" s="63" t="s">
        <v>3573</v>
      </c>
      <c r="B1171" s="64" t="s">
        <v>4207</v>
      </c>
      <c r="C1171" s="63" t="s">
        <v>41</v>
      </c>
      <c r="D1171" s="64" t="str">
        <f aca="false">TRIM(LEFT('Onshore - Perth'!A62,FIND(CHAR(10),'Onshore - Perth'!A62&amp;CHAR(10))-1))</f>
        <v>Global College Australasia</v>
      </c>
      <c r="E1171" s="63" t="str">
        <f aca="false">'Onshore - Perth'!C69&amp;""</f>
        <v>2 years</v>
      </c>
      <c r="F1171" s="63" t="str">
        <f aca="false">IF('Onshore - Perth'!D69="","Belum tercatat",'Onshore - Perth'!D69)</f>
        <v>Term</v>
      </c>
      <c r="G1171" s="65" t="n">
        <f aca="false">IF('Onshore - Perth'!E69="","-",'Onshore - Perth'!E69)</f>
        <v>3350</v>
      </c>
      <c r="H1171" s="63" t="n">
        <f aca="false">IF(ISNUMBER(K1171),COUNTIFS($J$6:$J$1916,J1171,$K$6:$K$1916,"&lt;"&amp;K1171)+1,"-")</f>
        <v>1</v>
      </c>
      <c r="I1171" s="64" t="str">
        <f aca="false">IF('Onshore - Perth'!E69="","Harga belum tersedia - hubungi konsultan TEG",IF(M1171=2,"Saat ini tidak menerima pendaftaran siswa internasional baru",IF(M1171=1,"Harga perlu dikonfirmasi ke sekolah"&amp;IF(""="","","; "&amp;""),"")))</f>
        <v/>
      </c>
      <c r="J1171" s="0" t="s">
        <v>4271</v>
      </c>
      <c r="K1171" s="0" t="n">
        <f aca="false">IF(M1171=2,"",IF(ISNUMBER(SEARCH("rata-rata:",'Onshore - Perth'!M69)),VALUE(MID('Onshore - Perth'!M69,SEARCH("rata-rata:",'Onshore - Perth'!M69)+11,FIND(";",'Onshore - Perth'!M69&amp;";",SEARCH("rata-rata:",'Onshore - Perth'!M69))-SEARCH("rata-rata:",'Onshore - Perth'!M69)-11)),IF('Onshore - Perth'!D69="Semester",'Onshore - Perth'!E69*2,IF('Onshore - Perth'!D69="Trimester",'Onshore - Perth'!E69*3,IF('Onshore - Perth'!D69="Term",'Onshore - Perth'!E69*4,IF('Onshore - Perth'!D69="Unit",'Onshore - Perth'!E69*8,""))))))</f>
        <v>13400</v>
      </c>
      <c r="L1171" s="0" t="n">
        <f aca="false">IF(AND(ISNUMBER('Onshore - Perth'!E69),ISNUMBER(K1171),ISNUMBER('Onshore - Perth'!F69),ISNUMBER('Onshore - Perth'!G69),OR('Onshore - Perth'!F69&lt;&gt;0,ISNUMBER(SEARCH("Material 0 terverifikasi",'Onshore - Perth'!M69))),OR('Onshore - Perth'!G69&lt;&gt;0,ISNUMBER(SEARCH("Enrolment 0 terverifikasi",'Onshore - Perth'!M69)))),1,0)</f>
        <v>1</v>
      </c>
      <c r="M1171" s="0" t="n">
        <f aca="false">IF(OR('Onshore - Perth'!E69="",ISNUMBER(SEARCH("BSB80120",'Onshore - Perth'!B69&amp;'Onshore - Perth'!M69)),ISNUMBER(SEARCH("Management (Learning)",'Onshore - Perth'!B69))),2,IF(ISNUMBER(SEARCH("CEK:",'Onshore - Perth'!M69)),1,0))</f>
        <v>0</v>
      </c>
    </row>
    <row r="1172" customFormat="false" ht="15" hidden="false" customHeight="false" outlineLevel="0" collapsed="false">
      <c r="A1172" s="61" t="s">
        <v>4272</v>
      </c>
      <c r="B1172" s="62"/>
      <c r="C1172" s="62"/>
      <c r="D1172" s="62"/>
      <c r="E1172" s="62"/>
      <c r="F1172" s="62"/>
      <c r="G1172" s="62"/>
      <c r="H1172" s="62"/>
      <c r="I1172" s="62"/>
    </row>
    <row r="1173" customFormat="false" ht="15" hidden="false" customHeight="false" outlineLevel="0" collapsed="false">
      <c r="A1173" s="63" t="s">
        <v>3533</v>
      </c>
      <c r="B1173" s="64" t="s">
        <v>4207</v>
      </c>
      <c r="C1173" s="63" t="s">
        <v>39</v>
      </c>
      <c r="D1173" s="64" t="str">
        <f aca="false">TRIM(LEFT('Onshore - Sydney'!A15,FIND(CHAR(10),'Onshore - Sydney'!A15&amp;CHAR(10))-1))</f>
        <v>ABM Further Education</v>
      </c>
      <c r="E1173" s="63" t="str">
        <f aca="false">'Onshore - Sydney'!C15&amp;""</f>
        <v>1 year</v>
      </c>
      <c r="F1173" s="63" t="str">
        <f aca="false">IF('Onshore - Sydney'!D15="","Belum tercatat",'Onshore - Sydney'!D15)</f>
        <v>Term</v>
      </c>
      <c r="G1173" s="65" t="n">
        <f aca="false">IF('Onshore - Sydney'!E15="","-",'Onshore - Sydney'!E15)</f>
        <v>1895</v>
      </c>
      <c r="H1173" s="63" t="n">
        <f aca="false">IF(ISNUMBER(K1173),COUNTIFS($J$6:$J$1916,J1173,$K$6:$K$1916,"&lt;"&amp;K1173)+1,"-")</f>
        <v>1</v>
      </c>
      <c r="I1173" s="64" t="str">
        <f aca="false">IF('Onshore - Sydney'!E15="","Harga belum tersedia - hubungi konsultan TEG",IF(M1173=2,"Saat ini tidak menerima pendaftaran siswa internasional baru",IF(M1173=1,"Harga perlu dikonfirmasi ke sekolah"&amp;IF(""="","","; "&amp;""),"")))</f>
        <v/>
      </c>
      <c r="J1173" s="0" t="s">
        <v>4273</v>
      </c>
      <c r="K1173" s="0" t="n">
        <f aca="false">IF(M1173=2,"",IF(ISNUMBER(SEARCH("rata-rata:",'Onshore - Sydney'!M15)),VALUE(MID('Onshore - Sydney'!M15,SEARCH("rata-rata:",'Onshore - Sydney'!M15)+11,FIND(";",'Onshore - Sydney'!M15&amp;";",SEARCH("rata-rata:",'Onshore - Sydney'!M15))-SEARCH("rata-rata:",'Onshore - Sydney'!M15)-11)),IF('Onshore - Sydney'!D15="Semester",'Onshore - Sydney'!E15*2,IF('Onshore - Sydney'!D15="Trimester",'Onshore - Sydney'!E15*3,IF('Onshore - Sydney'!D15="Term",'Onshore - Sydney'!E15*4,IF('Onshore - Sydney'!D15="Unit",'Onshore - Sydney'!E15*8,""))))))</f>
        <v>7580</v>
      </c>
      <c r="L1173" s="0" t="n">
        <f aca="false">IF(AND(ISNUMBER('Onshore - Sydney'!E15),ISNUMBER(K1173),ISNUMBER('Onshore - Sydney'!F15),ISNUMBER('Onshore - Sydney'!G15),OR('Onshore - Sydney'!F15&lt;&gt;0,ISNUMBER(SEARCH("Material 0 terverifikasi",'Onshore - Sydney'!M15))),OR('Onshore - Sydney'!G15&lt;&gt;0,ISNUMBER(SEARCH("Enrolment 0 terverifikasi",'Onshore - Sydney'!M15)))),1,0)</f>
        <v>1</v>
      </c>
      <c r="M1173" s="0" t="n">
        <f aca="false">IF(OR('Onshore - Sydney'!E15="",ISNUMBER(SEARCH("BSB80120",'Onshore - Sydney'!B15&amp;'Onshore - Sydney'!M15)),ISNUMBER(SEARCH("Management (Learning)",'Onshore - Sydney'!B15))),2,IF(ISNUMBER(SEARCH("CEK:",'Onshore - Sydney'!M15)),1,0))</f>
        <v>0</v>
      </c>
    </row>
    <row r="1174" customFormat="false" ht="15" hidden="false" customHeight="false" outlineLevel="0" collapsed="false">
      <c r="A1174" s="63" t="s">
        <v>3533</v>
      </c>
      <c r="B1174" s="64" t="s">
        <v>4207</v>
      </c>
      <c r="C1174" s="63" t="s">
        <v>39</v>
      </c>
      <c r="D1174" s="64" t="str">
        <f aca="false">TRIM(LEFT('Onshore - Sydney'!A1228,FIND(CHAR(10),'Onshore - Sydney'!A1228&amp;CHAR(10))-1))</f>
        <v>Whitehouse International College</v>
      </c>
      <c r="E1174" s="63" t="str">
        <f aca="false">'Onshore - Sydney'!C1228&amp;""</f>
        <v>1 year</v>
      </c>
      <c r="F1174" s="63" t="str">
        <f aca="false">IF('Onshore - Sydney'!D1228="","Belum tercatat",'Onshore - Sydney'!D1228)</f>
        <v>Term</v>
      </c>
      <c r="G1174" s="65" t="n">
        <f aca="false">IF('Onshore - Sydney'!E1228="","-",'Onshore - Sydney'!E1228)</f>
        <v>2750</v>
      </c>
      <c r="H1174" s="63" t="n">
        <f aca="false">IF(ISNUMBER(K1174),COUNTIFS($J$6:$J$1916,J1174,$K$6:$K$1916,"&lt;"&amp;K1174)+1,"-")</f>
        <v>2</v>
      </c>
      <c r="I1174" s="64" t="str">
        <f aca="false">IF('Onshore - Sydney'!E1228="","Harga belum tersedia - hubungi konsultan TEG",IF(M1174=2,"Saat ini tidak menerima pendaftaran siswa internasional baru",IF(M1174=1,"Program perlu dikonfirmasi ketersediaannya"&amp;IF(""="","","; "&amp;""),"")))</f>
        <v>Program perlu dikonfirmasi ketersediaannya</v>
      </c>
      <c r="J1174" s="0" t="s">
        <v>4273</v>
      </c>
      <c r="K1174" s="0" t="n">
        <f aca="false">IF(M1174=2,"",IF(ISNUMBER(SEARCH("rata-rata:",'Onshore - Sydney'!M1228)),VALUE(MID('Onshore - Sydney'!M1228,SEARCH("rata-rata:",'Onshore - Sydney'!M1228)+11,FIND(";",'Onshore - Sydney'!M1228&amp;";",SEARCH("rata-rata:",'Onshore - Sydney'!M1228))-SEARCH("rata-rata:",'Onshore - Sydney'!M1228)-11)),IF('Onshore - Sydney'!D1228="Semester",'Onshore - Sydney'!E1228*2,IF('Onshore - Sydney'!D1228="Trimester",'Onshore - Sydney'!E1228*3,IF('Onshore - Sydney'!D1228="Term",'Onshore - Sydney'!E1228*4,IF('Onshore - Sydney'!D1228="Unit",'Onshore - Sydney'!E1228*8,""))))))</f>
        <v>11000</v>
      </c>
      <c r="L1174" s="0" t="n">
        <f aca="false">IF(AND(ISNUMBER('Onshore - Sydney'!E1228),ISNUMBER(K1174),ISNUMBER('Onshore - Sydney'!F1228),ISNUMBER('Onshore - Sydney'!G1228),OR('Onshore - Sydney'!F1228&lt;&gt;0,ISNUMBER(SEARCH("Material 0 terverifikasi",'Onshore - Sydney'!M1228))),OR('Onshore - Sydney'!G1228&lt;&gt;0,ISNUMBER(SEARCH("Enrolment 0 terverifikasi",'Onshore - Sydney'!M1228)))),1,0)</f>
        <v>1</v>
      </c>
      <c r="M1174" s="0" t="n">
        <f aca="false">IF(OR('Onshore - Sydney'!E1228="",ISNUMBER(SEARCH("BSB80120",'Onshore - Sydney'!B1228&amp;'Onshore - Sydney'!M1228)),ISNUMBER(SEARCH("Management (Learning)",'Onshore - Sydney'!B1228))),2,IF(ISNUMBER(SEARCH("CEK:",'Onshore - Sydney'!M1228)),1,0))</f>
        <v>1</v>
      </c>
    </row>
    <row r="1175" customFormat="false" ht="15" hidden="false" customHeight="false" outlineLevel="0" collapsed="false">
      <c r="A1175" s="63" t="s">
        <v>3533</v>
      </c>
      <c r="B1175" s="64" t="s">
        <v>4207</v>
      </c>
      <c r="C1175" s="63" t="s">
        <v>39</v>
      </c>
      <c r="D1175" s="64" t="str">
        <f aca="false">TRIM(LEFT('Onshore - Sydney'!A688,FIND(CHAR(10),'Onshore - Sydney'!A688&amp;CHAR(10))-1))</f>
        <v>Nurse Training Australia (NTA)</v>
      </c>
      <c r="E1175" s="63" t="str">
        <f aca="false">'Onshore - Sydney'!C692&amp;""</f>
        <v>0,5 year</v>
      </c>
      <c r="F1175" s="63" t="str">
        <f aca="false">IF('Onshore - Sydney'!D692="","Belum tercatat",'Onshore - Sydney'!D692)</f>
        <v>Term</v>
      </c>
      <c r="G1175" s="65" t="n">
        <f aca="false">IF('Onshore - Sydney'!E692="","-",'Onshore - Sydney'!E692)</f>
        <v>2875</v>
      </c>
      <c r="H1175" s="63" t="n">
        <f aca="false">IF(ISNUMBER(K1175),COUNTIFS($J$6:$J$1916,J1175,$K$6:$K$1916,"&lt;"&amp;K1175)+1,"-")</f>
        <v>3</v>
      </c>
      <c r="I1175" s="64" t="str">
        <f aca="false">IF('Onshore - Sydney'!E692="","Harga belum tersedia - hubungi konsultan TEG",IF(M1175=2,"Saat ini tidak menerima pendaftaran siswa internasional baru",IF(M1175=1,"Harga perlu dikonfirmasi ke sekolah"&amp;IF(""="","","; "&amp;""),"")))</f>
        <v/>
      </c>
      <c r="J1175" s="0" t="s">
        <v>4273</v>
      </c>
      <c r="K1175" s="0" t="n">
        <f aca="false">IF(M1175=2,"",IF(ISNUMBER(SEARCH("rata-rata:",'Onshore - Sydney'!M692)),VALUE(MID('Onshore - Sydney'!M692,SEARCH("rata-rata:",'Onshore - Sydney'!M692)+11,FIND(";",'Onshore - Sydney'!M692&amp;";",SEARCH("rata-rata:",'Onshore - Sydney'!M692))-SEARCH("rata-rata:",'Onshore - Sydney'!M692)-11)),IF('Onshore - Sydney'!D692="Semester",'Onshore - Sydney'!E692*2,IF('Onshore - Sydney'!D692="Trimester",'Onshore - Sydney'!E692*3,IF('Onshore - Sydney'!D692="Term",'Onshore - Sydney'!E692*4,IF('Onshore - Sydney'!D692="Unit",'Onshore - Sydney'!E692*8,""))))))</f>
        <v>11500</v>
      </c>
      <c r="L1175" s="0" t="n">
        <f aca="false">IF(AND(ISNUMBER('Onshore - Sydney'!E692),ISNUMBER(K1175),ISNUMBER('Onshore - Sydney'!F692),ISNUMBER('Onshore - Sydney'!G692),OR('Onshore - Sydney'!F692&lt;&gt;0,ISNUMBER(SEARCH("Material 0 terverifikasi",'Onshore - Sydney'!M692))),OR('Onshore - Sydney'!G692&lt;&gt;0,ISNUMBER(SEARCH("Enrolment 0 terverifikasi",'Onshore - Sydney'!M692)))),1,0)</f>
        <v>1</v>
      </c>
      <c r="M1175" s="0" t="n">
        <f aca="false">IF(OR('Onshore - Sydney'!E692="",ISNUMBER(SEARCH("BSB80120",'Onshore - Sydney'!B692&amp;'Onshore - Sydney'!M692)),ISNUMBER(SEARCH("Management (Learning)",'Onshore - Sydney'!B692))),2,IF(ISNUMBER(SEARCH("CEK:",'Onshore - Sydney'!M692)),1,0))</f>
        <v>0</v>
      </c>
    </row>
    <row r="1176" customFormat="false" ht="15" hidden="false" customHeight="false" outlineLevel="0" collapsed="false">
      <c r="A1176" s="61" t="s">
        <v>4274</v>
      </c>
      <c r="B1176" s="62"/>
      <c r="C1176" s="62"/>
      <c r="D1176" s="62"/>
      <c r="E1176" s="62"/>
      <c r="F1176" s="62"/>
      <c r="G1176" s="62"/>
      <c r="H1176" s="62"/>
      <c r="I1176" s="62"/>
    </row>
    <row r="1177" customFormat="false" ht="15" hidden="false" customHeight="false" outlineLevel="0" collapsed="false">
      <c r="A1177" s="63" t="s">
        <v>3533</v>
      </c>
      <c r="B1177" s="64" t="s">
        <v>4207</v>
      </c>
      <c r="C1177" s="63" t="s">
        <v>40</v>
      </c>
      <c r="D1177" s="64" t="str">
        <f aca="false">TRIM(LEFT('Onshore - Sydney'!A495,FIND(CHAR(10),'Onshore - Sydney'!A495&amp;CHAR(10))-1))</f>
        <v>Greenwich College</v>
      </c>
      <c r="E1177" s="63" t="str">
        <f aca="false">'Onshore - Sydney'!C509&amp;""</f>
        <v>84 weeks</v>
      </c>
      <c r="F1177" s="63" t="str">
        <f aca="false">IF('Onshore - Sydney'!D509="","Belum tercatat",'Onshore - Sydney'!D509)</f>
        <v>Term</v>
      </c>
      <c r="G1177" s="65" t="n">
        <f aca="false">IF('Onshore - Sydney'!E509="","-",'Onshore - Sydney'!E509)</f>
        <v>1600</v>
      </c>
      <c r="H1177" s="63" t="n">
        <f aca="false">IF(ISNUMBER(K1177),COUNTIFS($J$6:$J$1916,J1177,$K$6:$K$1916,"&lt;"&amp;K1177)+1,"-")</f>
        <v>1</v>
      </c>
      <c r="I1177" s="64" t="str">
        <f aca="false">IF('Onshore - Sydney'!E509="","Harga belum tersedia - hubungi konsultan TEG",IF(M1177=2,"Saat ini tidak menerima pendaftaran siswa internasional baru",IF(M1177=1,"Harga perlu dikonfirmasi ke sekolah"&amp;IF(""="","","; "&amp;""),"")))</f>
        <v/>
      </c>
      <c r="J1177" s="0" t="s">
        <v>4275</v>
      </c>
      <c r="K1177" s="0" t="n">
        <f aca="false">IF(M1177=2,"",IF(ISNUMBER(SEARCH("rata-rata:",'Onshore - Sydney'!M509)),VALUE(MID('Onshore - Sydney'!M509,SEARCH("rata-rata:",'Onshore - Sydney'!M509)+11,FIND(";",'Onshore - Sydney'!M509&amp;";",SEARCH("rata-rata:",'Onshore - Sydney'!M509))-SEARCH("rata-rata:",'Onshore - Sydney'!M509)-11)),IF('Onshore - Sydney'!D509="Semester",'Onshore - Sydney'!E509*2,IF('Onshore - Sydney'!D509="Trimester",'Onshore - Sydney'!E509*3,IF('Onshore - Sydney'!D509="Term",'Onshore - Sydney'!E509*4,IF('Onshore - Sydney'!D509="Unit",'Onshore - Sydney'!E509*8,""))))))</f>
        <v>6400</v>
      </c>
      <c r="L1177" s="0" t="n">
        <f aca="false">IF(AND(ISNUMBER('Onshore - Sydney'!E509),ISNUMBER(K1177),ISNUMBER('Onshore - Sydney'!F509),ISNUMBER('Onshore - Sydney'!G509),OR('Onshore - Sydney'!F509&lt;&gt;0,ISNUMBER(SEARCH("Material 0 terverifikasi",'Onshore - Sydney'!M509))),OR('Onshore - Sydney'!G509&lt;&gt;0,ISNUMBER(SEARCH("Enrolment 0 terverifikasi",'Onshore - Sydney'!M509)))),1,0)</f>
        <v>1</v>
      </c>
      <c r="M1177" s="0" t="n">
        <f aca="false">IF(OR('Onshore - Sydney'!E509="",ISNUMBER(SEARCH("BSB80120",'Onshore - Sydney'!B509&amp;'Onshore - Sydney'!M509)),ISNUMBER(SEARCH("Management (Learning)",'Onshore - Sydney'!B509))),2,IF(ISNUMBER(SEARCH("CEK:",'Onshore - Sydney'!M509)),1,0))</f>
        <v>0</v>
      </c>
    </row>
    <row r="1178" customFormat="false" ht="28.35" hidden="false" customHeight="false" outlineLevel="0" collapsed="false">
      <c r="A1178" s="63" t="s">
        <v>3533</v>
      </c>
      <c r="B1178" s="64" t="s">
        <v>4207</v>
      </c>
      <c r="C1178" s="63" t="s">
        <v>40</v>
      </c>
      <c r="D1178" s="64" t="str">
        <f aca="false">TRIM(LEFT('Onshore - Sydney'!A289,FIND(CHAR(10),'Onshore - Sydney'!A289&amp;CHAR(10))-1))</f>
        <v>Australian College of International Studies (ACIS)</v>
      </c>
      <c r="E1178" s="63" t="str">
        <f aca="false">'Onshore - Sydney'!C295&amp;""</f>
        <v>2 years</v>
      </c>
      <c r="F1178" s="63" t="str">
        <f aca="false">IF('Onshore - Sydney'!D295="","Belum tercatat",'Onshore - Sydney'!D295)</f>
        <v>Term</v>
      </c>
      <c r="G1178" s="65" t="n">
        <f aca="false">IF('Onshore - Sydney'!E295="","-",'Onshore - Sydney'!E295)</f>
        <v>1800</v>
      </c>
      <c r="H1178" s="63" t="n">
        <f aca="false">IF(ISNUMBER(K1178),COUNTIFS($J$6:$J$1916,J1178,$K$6:$K$1916,"&lt;"&amp;K1178)+1,"-")</f>
        <v>2</v>
      </c>
      <c r="I1178" s="64" t="str">
        <f aca="false">IF('Onshore - Sydney'!E295="","Harga belum tersedia - hubungi konsultan TEG",IF(M1178=2,"Saat ini tidak menerima pendaftaran siswa internasional baru",IF(M1178=1,"Harga perlu dikonfirmasi ke sekolah"&amp;IF(""="","","; "&amp;""),"")))</f>
        <v/>
      </c>
      <c r="J1178" s="0" t="s">
        <v>4275</v>
      </c>
      <c r="K1178" s="0" t="n">
        <f aca="false">IF(M1178=2,"",IF(ISNUMBER(SEARCH("rata-rata:",'Onshore - Sydney'!M295)),VALUE(MID('Onshore - Sydney'!M295,SEARCH("rata-rata:",'Onshore - Sydney'!M295)+11,FIND(";",'Onshore - Sydney'!M295&amp;";",SEARCH("rata-rata:",'Onshore - Sydney'!M295))-SEARCH("rata-rata:",'Onshore - Sydney'!M295)-11)),IF('Onshore - Sydney'!D295="Semester",'Onshore - Sydney'!E295*2,IF('Onshore - Sydney'!D295="Trimester",'Onshore - Sydney'!E295*3,IF('Onshore - Sydney'!D295="Term",'Onshore - Sydney'!E295*4,IF('Onshore - Sydney'!D295="Unit",'Onshore - Sydney'!E295*8,""))))))</f>
        <v>7200</v>
      </c>
      <c r="L1178" s="0" t="n">
        <f aca="false">IF(AND(ISNUMBER('Onshore - Sydney'!E295),ISNUMBER(K1178),ISNUMBER('Onshore - Sydney'!F295),ISNUMBER('Onshore - Sydney'!G295),OR('Onshore - Sydney'!F295&lt;&gt;0,ISNUMBER(SEARCH("Material 0 terverifikasi",'Onshore - Sydney'!M295))),OR('Onshore - Sydney'!G295&lt;&gt;0,ISNUMBER(SEARCH("Enrolment 0 terverifikasi",'Onshore - Sydney'!M295)))),1,0)</f>
        <v>1</v>
      </c>
      <c r="M1178" s="0" t="n">
        <f aca="false">IF(OR('Onshore - Sydney'!E295="",ISNUMBER(SEARCH("BSB80120",'Onshore - Sydney'!B295&amp;'Onshore - Sydney'!M295)),ISNUMBER(SEARCH("Management (Learning)",'Onshore - Sydney'!B295))),2,IF(ISNUMBER(SEARCH("CEK:",'Onshore - Sydney'!M295)),1,0))</f>
        <v>0</v>
      </c>
    </row>
    <row r="1179" customFormat="false" ht="15" hidden="false" customHeight="false" outlineLevel="0" collapsed="false">
      <c r="A1179" s="63" t="s">
        <v>3533</v>
      </c>
      <c r="B1179" s="64" t="s">
        <v>4207</v>
      </c>
      <c r="C1179" s="63" t="s">
        <v>40</v>
      </c>
      <c r="D1179" s="64" t="str">
        <f aca="false">TRIM(LEFT('Onshore - Sydney'!A778,FIND(CHAR(10),'Onshore - Sydney'!A778&amp;CHAR(10))-1))</f>
        <v>Sydney Metro College (SMC)</v>
      </c>
      <c r="E1179" s="63" t="str">
        <f aca="false">'Onshore - Sydney'!C787&amp;""</f>
        <v>2 years</v>
      </c>
      <c r="F1179" s="63" t="str">
        <f aca="false">IF('Onshore - Sydney'!D787="","Belum tercatat",'Onshore - Sydney'!D787)</f>
        <v>Term</v>
      </c>
      <c r="G1179" s="65" t="n">
        <f aca="false">IF('Onshore - Sydney'!E787="","-",'Onshore - Sydney'!E787)</f>
        <v>1815</v>
      </c>
      <c r="H1179" s="63" t="n">
        <f aca="false">IF(ISNUMBER(K1179),COUNTIFS($J$6:$J$1916,J1179,$K$6:$K$1916,"&lt;"&amp;K1179)+1,"-")</f>
        <v>3</v>
      </c>
      <c r="I1179" s="64" t="str">
        <f aca="false">IF('Onshore - Sydney'!E787="","Harga belum tersedia - hubungi konsultan TEG",IF(M1179=2,"Saat ini tidak menerima pendaftaran siswa internasional baru",IF(M1179=1,"Harga perlu dikonfirmasi ke sekolah"&amp;IF(""="","","; "&amp;""),"")))</f>
        <v/>
      </c>
      <c r="J1179" s="0" t="s">
        <v>4275</v>
      </c>
      <c r="K1179" s="0" t="n">
        <f aca="false">IF(M1179=2,"",IF(ISNUMBER(SEARCH("rata-rata:",'Onshore - Sydney'!M787)),VALUE(MID('Onshore - Sydney'!M787,SEARCH("rata-rata:",'Onshore - Sydney'!M787)+11,FIND(";",'Onshore - Sydney'!M787&amp;";",SEARCH("rata-rata:",'Onshore - Sydney'!M787))-SEARCH("rata-rata:",'Onshore - Sydney'!M787)-11)),IF('Onshore - Sydney'!D787="Semester",'Onshore - Sydney'!E787*2,IF('Onshore - Sydney'!D787="Trimester",'Onshore - Sydney'!E787*3,IF('Onshore - Sydney'!D787="Term",'Onshore - Sydney'!E787*4,IF('Onshore - Sydney'!D787="Unit",'Onshore - Sydney'!E787*8,""))))))</f>
        <v>7260</v>
      </c>
      <c r="L1179" s="0" t="n">
        <f aca="false">IF(AND(ISNUMBER('Onshore - Sydney'!E787),ISNUMBER(K1179),ISNUMBER('Onshore - Sydney'!F787),ISNUMBER('Onshore - Sydney'!G787),OR('Onshore - Sydney'!F787&lt;&gt;0,ISNUMBER(SEARCH("Material 0 terverifikasi",'Onshore - Sydney'!M787))),OR('Onshore - Sydney'!G787&lt;&gt;0,ISNUMBER(SEARCH("Enrolment 0 terverifikasi",'Onshore - Sydney'!M787)))),1,0)</f>
        <v>1</v>
      </c>
      <c r="M1179" s="0" t="n">
        <f aca="false">IF(OR('Onshore - Sydney'!E787="",ISNUMBER(SEARCH("BSB80120",'Onshore - Sydney'!B787&amp;'Onshore - Sydney'!M787)),ISNUMBER(SEARCH("Management (Learning)",'Onshore - Sydney'!B787))),2,IF(ISNUMBER(SEARCH("CEK:",'Onshore - Sydney'!M787)),1,0))</f>
        <v>0</v>
      </c>
    </row>
    <row r="1180" customFormat="false" ht="28.35" hidden="false" customHeight="false" outlineLevel="0" collapsed="false">
      <c r="A1180" s="63" t="s">
        <v>3533</v>
      </c>
      <c r="B1180" s="64" t="s">
        <v>4207</v>
      </c>
      <c r="C1180" s="63" t="s">
        <v>40</v>
      </c>
      <c r="D1180" s="64" t="str">
        <f aca="false">TRIM(LEFT('Onshore - Sydney'!A330,FIND(CHAR(10),'Onshore - Sydney'!A330&amp;CHAR(10))-1))</f>
        <v>Australian International College of Skills &amp; Education (AICSE)</v>
      </c>
      <c r="E1180" s="63" t="str">
        <f aca="false">'Onshore - Sydney'!C339&amp;""</f>
        <v>2 years</v>
      </c>
      <c r="F1180" s="63" t="str">
        <f aca="false">IF('Onshore - Sydney'!D339="","Belum tercatat",'Onshore - Sydney'!D339)</f>
        <v>Term</v>
      </c>
      <c r="G1180" s="65" t="n">
        <f aca="false">IF('Onshore - Sydney'!E339="","-",'Onshore - Sydney'!E339)</f>
        <v>1875</v>
      </c>
      <c r="H1180" s="63" t="n">
        <f aca="false">IF(ISNUMBER(K1180),COUNTIFS($J$6:$J$1916,J1180,$K$6:$K$1916,"&lt;"&amp;K1180)+1,"-")</f>
        <v>4</v>
      </c>
      <c r="I1180" s="64" t="str">
        <f aca="false">IF('Onshore - Sydney'!E339="","Harga belum tersedia - hubungi konsultan TEG",IF(M1180=2,"Saat ini tidak menerima pendaftaran siswa internasional baru",IF(M1180=1,"Harga perlu dikonfirmasi ke sekolah"&amp;IF(""="","","; "&amp;""),"")))</f>
        <v/>
      </c>
      <c r="J1180" s="0" t="s">
        <v>4275</v>
      </c>
      <c r="K1180" s="0" t="n">
        <f aca="false">IF(M1180=2,"",IF(ISNUMBER(SEARCH("rata-rata:",'Onshore - Sydney'!M339)),VALUE(MID('Onshore - Sydney'!M339,SEARCH("rata-rata:",'Onshore - Sydney'!M339)+11,FIND(";",'Onshore - Sydney'!M339&amp;";",SEARCH("rata-rata:",'Onshore - Sydney'!M339))-SEARCH("rata-rata:",'Onshore - Sydney'!M339)-11)),IF('Onshore - Sydney'!D339="Semester",'Onshore - Sydney'!E339*2,IF('Onshore - Sydney'!D339="Trimester",'Onshore - Sydney'!E339*3,IF('Onshore - Sydney'!D339="Term",'Onshore - Sydney'!E339*4,IF('Onshore - Sydney'!D339="Unit",'Onshore - Sydney'!E339*8,""))))))</f>
        <v>7500</v>
      </c>
      <c r="L1180" s="0" t="n">
        <f aca="false">IF(AND(ISNUMBER('Onshore - Sydney'!E339),ISNUMBER(K1180),ISNUMBER('Onshore - Sydney'!F339),ISNUMBER('Onshore - Sydney'!G339),OR('Onshore - Sydney'!F339&lt;&gt;0,ISNUMBER(SEARCH("Material 0 terverifikasi",'Onshore - Sydney'!M339))),OR('Onshore - Sydney'!G339&lt;&gt;0,ISNUMBER(SEARCH("Enrolment 0 terverifikasi",'Onshore - Sydney'!M339)))),1,0)</f>
        <v>1</v>
      </c>
      <c r="M1180" s="0" t="n">
        <f aca="false">IF(OR('Onshore - Sydney'!E339="",ISNUMBER(SEARCH("BSB80120",'Onshore - Sydney'!B339&amp;'Onshore - Sydney'!M339)),ISNUMBER(SEARCH("Management (Learning)",'Onshore - Sydney'!B339))),2,IF(ISNUMBER(SEARCH("CEK:",'Onshore - Sydney'!M339)),1,0))</f>
        <v>0</v>
      </c>
    </row>
    <row r="1181" customFormat="false" ht="15" hidden="false" customHeight="false" outlineLevel="0" collapsed="false">
      <c r="A1181" s="63" t="s">
        <v>3533</v>
      </c>
      <c r="B1181" s="64" t="s">
        <v>4207</v>
      </c>
      <c r="C1181" s="63" t="s">
        <v>40</v>
      </c>
      <c r="D1181" s="64" t="str">
        <f aca="false">TRIM(LEFT('Onshore - Sydney'!A15,FIND(CHAR(10),'Onshore - Sydney'!A15&amp;CHAR(10))-1))</f>
        <v>ABM Further Education</v>
      </c>
      <c r="E1181" s="63" t="str">
        <f aca="false">'Onshore - Sydney'!C16&amp;""</f>
        <v>2 years</v>
      </c>
      <c r="F1181" s="63" t="str">
        <f aca="false">IF('Onshore - Sydney'!D16="","Belum tercatat",'Onshore - Sydney'!D16)</f>
        <v>Term</v>
      </c>
      <c r="G1181" s="65" t="n">
        <f aca="false">IF('Onshore - Sydney'!E16="","-",'Onshore - Sydney'!E16)</f>
        <v>1895</v>
      </c>
      <c r="H1181" s="63" t="n">
        <f aca="false">IF(ISNUMBER(K1181),COUNTIFS($J$6:$J$1916,J1181,$K$6:$K$1916,"&lt;"&amp;K1181)+1,"-")</f>
        <v>5</v>
      </c>
      <c r="I1181" s="64" t="str">
        <f aca="false">IF('Onshore - Sydney'!E16="","Harga belum tersedia - hubungi konsultan TEG",IF(M1181=2,"Saat ini tidak menerima pendaftaran siswa internasional baru",IF(M1181=1,"Harga perlu dikonfirmasi ke sekolah"&amp;IF(""="","","; "&amp;""),"")))</f>
        <v/>
      </c>
      <c r="J1181" s="0" t="s">
        <v>4275</v>
      </c>
      <c r="K1181" s="0" t="n">
        <f aca="false">IF(M1181=2,"",IF(ISNUMBER(SEARCH("rata-rata:",'Onshore - Sydney'!M16)),VALUE(MID('Onshore - Sydney'!M16,SEARCH("rata-rata:",'Onshore - Sydney'!M16)+11,FIND(";",'Onshore - Sydney'!M16&amp;";",SEARCH("rata-rata:",'Onshore - Sydney'!M16))-SEARCH("rata-rata:",'Onshore - Sydney'!M16)-11)),IF('Onshore - Sydney'!D16="Semester",'Onshore - Sydney'!E16*2,IF('Onshore - Sydney'!D16="Trimester",'Onshore - Sydney'!E16*3,IF('Onshore - Sydney'!D16="Term",'Onshore - Sydney'!E16*4,IF('Onshore - Sydney'!D16="Unit",'Onshore - Sydney'!E16*8,""))))))</f>
        <v>7580</v>
      </c>
      <c r="L1181" s="0" t="n">
        <f aca="false">IF(AND(ISNUMBER('Onshore - Sydney'!E16),ISNUMBER(K1181),ISNUMBER('Onshore - Sydney'!F16),ISNUMBER('Onshore - Sydney'!G16),OR('Onshore - Sydney'!F16&lt;&gt;0,ISNUMBER(SEARCH("Material 0 terverifikasi",'Onshore - Sydney'!M16))),OR('Onshore - Sydney'!G16&lt;&gt;0,ISNUMBER(SEARCH("Enrolment 0 terverifikasi",'Onshore - Sydney'!M16)))),1,0)</f>
        <v>1</v>
      </c>
      <c r="M1181" s="0" t="n">
        <f aca="false">IF(OR('Onshore - Sydney'!E16="",ISNUMBER(SEARCH("BSB80120",'Onshore - Sydney'!B16&amp;'Onshore - Sydney'!M16)),ISNUMBER(SEARCH("Management (Learning)",'Onshore - Sydney'!B16))),2,IF(ISNUMBER(SEARCH("CEK:",'Onshore - Sydney'!M16)),1,0))</f>
        <v>0</v>
      </c>
    </row>
    <row r="1182" customFormat="false" ht="15" hidden="false" customHeight="false" outlineLevel="0" collapsed="false">
      <c r="A1182" s="63" t="s">
        <v>3533</v>
      </c>
      <c r="B1182" s="64" t="s">
        <v>4207</v>
      </c>
      <c r="C1182" s="63" t="s">
        <v>40</v>
      </c>
      <c r="D1182" s="64" t="str">
        <f aca="false">TRIM(LEFT('Onshore - Sydney'!A728,FIND(CHAR(10),'Onshore - Sydney'!A728&amp;CHAR(10))-1))</f>
        <v>Rosehill College</v>
      </c>
      <c r="E1182" s="63" t="str">
        <f aca="false">'Onshore - Sydney'!C732&amp;""</f>
        <v>2 years</v>
      </c>
      <c r="F1182" s="63" t="str">
        <f aca="false">IF('Onshore - Sydney'!D732="","Belum tercatat",'Onshore - Sydney'!D732)</f>
        <v>Term</v>
      </c>
      <c r="G1182" s="65" t="n">
        <f aca="false">IF('Onshore - Sydney'!E732="","-",'Onshore - Sydney'!E732)</f>
        <v>2000</v>
      </c>
      <c r="H1182" s="63" t="n">
        <f aca="false">IF(ISNUMBER(K1182),COUNTIFS($J$6:$J$1916,J1182,$K$6:$K$1916,"&lt;"&amp;K1182)+1,"-")</f>
        <v>6</v>
      </c>
      <c r="I1182" s="64" t="str">
        <f aca="false">IF('Onshore - Sydney'!E732="","Harga belum tersedia - hubungi konsultan TEG",IF(M1182=2,"Saat ini tidak menerima pendaftaran siswa internasional baru",IF(M1182=1,"Harga perlu dikonfirmasi ke sekolah"&amp;IF(""="","","; "&amp;""),"")))</f>
        <v/>
      </c>
      <c r="J1182" s="0" t="s">
        <v>4275</v>
      </c>
      <c r="K1182" s="0" t="n">
        <f aca="false">IF(M1182=2,"",IF(ISNUMBER(SEARCH("rata-rata:",'Onshore - Sydney'!M732)),VALUE(MID('Onshore - Sydney'!M732,SEARCH("rata-rata:",'Onshore - Sydney'!M732)+11,FIND(";",'Onshore - Sydney'!M732&amp;";",SEARCH("rata-rata:",'Onshore - Sydney'!M732))-SEARCH("rata-rata:",'Onshore - Sydney'!M732)-11)),IF('Onshore - Sydney'!D732="Semester",'Onshore - Sydney'!E732*2,IF('Onshore - Sydney'!D732="Trimester",'Onshore - Sydney'!E732*3,IF('Onshore - Sydney'!D732="Term",'Onshore - Sydney'!E732*4,IF('Onshore - Sydney'!D732="Unit",'Onshore - Sydney'!E732*8,""))))))</f>
        <v>8000</v>
      </c>
      <c r="L1182" s="0" t="n">
        <f aca="false">IF(AND(ISNUMBER('Onshore - Sydney'!E732),ISNUMBER(K1182),ISNUMBER('Onshore - Sydney'!F732),ISNUMBER('Onshore - Sydney'!G732),OR('Onshore - Sydney'!F732&lt;&gt;0,ISNUMBER(SEARCH("Material 0 terverifikasi",'Onshore - Sydney'!M732))),OR('Onshore - Sydney'!G732&lt;&gt;0,ISNUMBER(SEARCH("Enrolment 0 terverifikasi",'Onshore - Sydney'!M732)))),1,0)</f>
        <v>1</v>
      </c>
      <c r="M1182" s="0" t="n">
        <f aca="false">IF(OR('Onshore - Sydney'!E732="",ISNUMBER(SEARCH("BSB80120",'Onshore - Sydney'!B732&amp;'Onshore - Sydney'!M732)),ISNUMBER(SEARCH("Management (Learning)",'Onshore - Sydney'!B732))),2,IF(ISNUMBER(SEARCH("CEK:",'Onshore - Sydney'!M732)),1,0))</f>
        <v>0</v>
      </c>
    </row>
    <row r="1183" customFormat="false" ht="15" hidden="false" customHeight="false" outlineLevel="0" collapsed="false">
      <c r="A1183" s="63" t="s">
        <v>3533</v>
      </c>
      <c r="B1183" s="64" t="s">
        <v>4207</v>
      </c>
      <c r="C1183" s="63" t="s">
        <v>40</v>
      </c>
      <c r="D1183" s="64" t="str">
        <f aca="false">TRIM(LEFT('Onshore - Sydney'!A875,FIND(CHAR(10),'Onshore - Sydney'!A875&amp;CHAR(10))-1))</f>
        <v>Times Academy</v>
      </c>
      <c r="E1183" s="63" t="str">
        <f aca="false">'Onshore - Sydney'!C878&amp;""</f>
        <v>1,5 years</v>
      </c>
      <c r="F1183" s="63" t="str">
        <f aca="false">IF('Onshore - Sydney'!D878="","Belum tercatat",'Onshore - Sydney'!D878)</f>
        <v>Term</v>
      </c>
      <c r="G1183" s="65" t="n">
        <f aca="false">IF('Onshore - Sydney'!E878="","-",'Onshore - Sydney'!E878)</f>
        <v>2000</v>
      </c>
      <c r="H1183" s="63" t="n">
        <f aca="false">IF(ISNUMBER(K1183),COUNTIFS($J$6:$J$1916,J1183,$K$6:$K$1916,"&lt;"&amp;K1183)+1,"-")</f>
        <v>6</v>
      </c>
      <c r="I1183" s="64" t="str">
        <f aca="false">IF('Onshore - Sydney'!E878="","Harga belum tersedia - hubungi konsultan TEG",IF(M1183=2,"Saat ini tidak menerima pendaftaran siswa internasional baru",IF(M1183=1,"Harga perlu dikonfirmasi ke sekolah"&amp;IF(""="","","; "&amp;""),"")))</f>
        <v/>
      </c>
      <c r="J1183" s="0" t="s">
        <v>4275</v>
      </c>
      <c r="K1183" s="0" t="n">
        <f aca="false">IF(M1183=2,"",IF(ISNUMBER(SEARCH("rata-rata:",'Onshore - Sydney'!M878)),VALUE(MID('Onshore - Sydney'!M878,SEARCH("rata-rata:",'Onshore - Sydney'!M878)+11,FIND(";",'Onshore - Sydney'!M878&amp;";",SEARCH("rata-rata:",'Onshore - Sydney'!M878))-SEARCH("rata-rata:",'Onshore - Sydney'!M878)-11)),IF('Onshore - Sydney'!D878="Semester",'Onshore - Sydney'!E878*2,IF('Onshore - Sydney'!D878="Trimester",'Onshore - Sydney'!E878*3,IF('Onshore - Sydney'!D878="Term",'Onshore - Sydney'!E878*4,IF('Onshore - Sydney'!D878="Unit",'Onshore - Sydney'!E878*8,""))))))</f>
        <v>8000</v>
      </c>
      <c r="L1183" s="0" t="n">
        <f aca="false">IF(AND(ISNUMBER('Onshore - Sydney'!E878),ISNUMBER(K1183),ISNUMBER('Onshore - Sydney'!F878),ISNUMBER('Onshore - Sydney'!G878),OR('Onshore - Sydney'!F878&lt;&gt;0,ISNUMBER(SEARCH("Material 0 terverifikasi",'Onshore - Sydney'!M878))),OR('Onshore - Sydney'!G878&lt;&gt;0,ISNUMBER(SEARCH("Enrolment 0 terverifikasi",'Onshore - Sydney'!M878)))),1,0)</f>
        <v>1</v>
      </c>
      <c r="M1183" s="0" t="n">
        <f aca="false">IF(OR('Onshore - Sydney'!E878="",ISNUMBER(SEARCH("BSB80120",'Onshore - Sydney'!B878&amp;'Onshore - Sydney'!M878)),ISNUMBER(SEARCH("Management (Learning)",'Onshore - Sydney'!B878))),2,IF(ISNUMBER(SEARCH("CEK:",'Onshore - Sydney'!M878)),1,0))</f>
        <v>0</v>
      </c>
    </row>
    <row r="1184" customFormat="false" ht="15" hidden="false" customHeight="false" outlineLevel="0" collapsed="false">
      <c r="A1184" s="63" t="s">
        <v>3533</v>
      </c>
      <c r="B1184" s="64" t="s">
        <v>4207</v>
      </c>
      <c r="C1184" s="63" t="s">
        <v>40</v>
      </c>
      <c r="D1184" s="64" t="str">
        <f aca="false">TRIM(LEFT('Onshore - Sydney'!A790,FIND(CHAR(10),'Onshore - Sydney'!A790&amp;CHAR(10))-1))</f>
        <v>Sydney Metropolitan International College</v>
      </c>
      <c r="E1184" s="63" t="str">
        <f aca="false">'Onshore - Sydney'!C793&amp;""</f>
        <v>2 years</v>
      </c>
      <c r="F1184" s="63" t="str">
        <f aca="false">IF('Onshore - Sydney'!D793="","Belum tercatat",'Onshore - Sydney'!D793)</f>
        <v>Term</v>
      </c>
      <c r="G1184" s="65" t="n">
        <f aca="false">IF('Onshore - Sydney'!E793="","-",'Onshore - Sydney'!E793)</f>
        <v>2100</v>
      </c>
      <c r="H1184" s="63" t="n">
        <f aca="false">IF(ISNUMBER(K1184),COUNTIFS($J$6:$J$1916,J1184,$K$6:$K$1916,"&lt;"&amp;K1184)+1,"-")</f>
        <v>8</v>
      </c>
      <c r="I1184" s="64" t="str">
        <f aca="false">IF('Onshore - Sydney'!E793="","Harga belum tersedia - hubungi konsultan TEG",IF(M1184=2,"Saat ini tidak menerima pendaftaran siswa internasional baru",IF(M1184=1,"Harga perlu dikonfirmasi ke sekolah"&amp;IF(""="","","; "&amp;""),"")))</f>
        <v/>
      </c>
      <c r="J1184" s="0" t="s">
        <v>4275</v>
      </c>
      <c r="K1184" s="0" t="n">
        <f aca="false">IF(M1184=2,"",IF(ISNUMBER(SEARCH("rata-rata:",'Onshore - Sydney'!M793)),VALUE(MID('Onshore - Sydney'!M793,SEARCH("rata-rata:",'Onshore - Sydney'!M793)+11,FIND(";",'Onshore - Sydney'!M793&amp;";",SEARCH("rata-rata:",'Onshore - Sydney'!M793))-SEARCH("rata-rata:",'Onshore - Sydney'!M793)-11)),IF('Onshore - Sydney'!D793="Semester",'Onshore - Sydney'!E793*2,IF('Onshore - Sydney'!D793="Trimester",'Onshore - Sydney'!E793*3,IF('Onshore - Sydney'!D793="Term",'Onshore - Sydney'!E793*4,IF('Onshore - Sydney'!D793="Unit",'Onshore - Sydney'!E793*8,""))))))</f>
        <v>8400</v>
      </c>
      <c r="L1184" s="0" t="n">
        <f aca="false">IF(AND(ISNUMBER('Onshore - Sydney'!E793),ISNUMBER(K1184),ISNUMBER('Onshore - Sydney'!F793),ISNUMBER('Onshore - Sydney'!G793),OR('Onshore - Sydney'!F793&lt;&gt;0,ISNUMBER(SEARCH("Material 0 terverifikasi",'Onshore - Sydney'!M793))),OR('Onshore - Sydney'!G793&lt;&gt;0,ISNUMBER(SEARCH("Enrolment 0 terverifikasi",'Onshore - Sydney'!M793)))),1,0)</f>
        <v>1</v>
      </c>
      <c r="M1184" s="0" t="n">
        <f aca="false">IF(OR('Onshore - Sydney'!E793="",ISNUMBER(SEARCH("BSB80120",'Onshore - Sydney'!B793&amp;'Onshore - Sydney'!M793)),ISNUMBER(SEARCH("Management (Learning)",'Onshore - Sydney'!B793))),2,IF(ISNUMBER(SEARCH("CEK:",'Onshore - Sydney'!M793)),1,0))</f>
        <v>0</v>
      </c>
    </row>
    <row r="1185" customFormat="false" ht="15" hidden="false" customHeight="false" outlineLevel="0" collapsed="false">
      <c r="A1185" s="63" t="s">
        <v>3533</v>
      </c>
      <c r="B1185" s="64" t="s">
        <v>4207</v>
      </c>
      <c r="C1185" s="63" t="s">
        <v>40</v>
      </c>
      <c r="D1185" s="64" t="str">
        <f aca="false">TRIM(LEFT('Onshore - Sydney'!A517,FIND(CHAR(10),'Onshore - Sydney'!A517&amp;CHAR(10))-1))</f>
        <v>Harbourside Institute of Australia (HIA)</v>
      </c>
      <c r="E1185" s="63" t="str">
        <f aca="false">'Onshore - Sydney'!C525&amp;""</f>
        <v>2 years</v>
      </c>
      <c r="F1185" s="63" t="str">
        <f aca="false">IF('Onshore - Sydney'!D525="","Belum tercatat",'Onshore - Sydney'!D525)</f>
        <v>Term</v>
      </c>
      <c r="G1185" s="65" t="n">
        <f aca="false">IF('Onshore - Sydney'!E525="","-",'Onshore - Sydney'!E525)</f>
        <v>2150</v>
      </c>
      <c r="H1185" s="63" t="n">
        <f aca="false">IF(ISNUMBER(K1185),COUNTIFS($J$6:$J$1916,J1185,$K$6:$K$1916,"&lt;"&amp;K1185)+1,"-")</f>
        <v>9</v>
      </c>
      <c r="I1185" s="64" t="str">
        <f aca="false">IF('Onshore - Sydney'!E525="","Harga belum tersedia - hubungi konsultan TEG",IF(M1185=2,"Saat ini tidak menerima pendaftaran siswa internasional baru",IF(M1185=1,"Harga perlu dikonfirmasi ke sekolah"&amp;IF(""="","","; "&amp;""),"")))</f>
        <v>Harga perlu dikonfirmasi ke sekolah</v>
      </c>
      <c r="J1185" s="0" t="s">
        <v>4275</v>
      </c>
      <c r="K1185" s="0" t="n">
        <f aca="false">IF(M1185=2,"",IF(ISNUMBER(SEARCH("rata-rata:",'Onshore - Sydney'!M525)),VALUE(MID('Onshore - Sydney'!M525,SEARCH("rata-rata:",'Onshore - Sydney'!M525)+11,FIND(";",'Onshore - Sydney'!M525&amp;";",SEARCH("rata-rata:",'Onshore - Sydney'!M525))-SEARCH("rata-rata:",'Onshore - Sydney'!M525)-11)),IF('Onshore - Sydney'!D525="Semester",'Onshore - Sydney'!E525*2,IF('Onshore - Sydney'!D525="Trimester",'Onshore - Sydney'!E525*3,IF('Onshore - Sydney'!D525="Term",'Onshore - Sydney'!E525*4,IF('Onshore - Sydney'!D525="Unit",'Onshore - Sydney'!E525*8,""))))))</f>
        <v>8600</v>
      </c>
      <c r="L1185" s="0" t="n">
        <f aca="false">IF(AND(ISNUMBER('Onshore - Sydney'!E525),ISNUMBER(K1185),ISNUMBER('Onshore - Sydney'!F525),ISNUMBER('Onshore - Sydney'!G525),OR('Onshore - Sydney'!F525&lt;&gt;0,ISNUMBER(SEARCH("Material 0 terverifikasi",'Onshore - Sydney'!M525))),OR('Onshore - Sydney'!G525&lt;&gt;0,ISNUMBER(SEARCH("Enrolment 0 terverifikasi",'Onshore - Sydney'!M525)))),1,0)</f>
        <v>1</v>
      </c>
      <c r="M1185" s="0" t="n">
        <f aca="false">IF(OR('Onshore - Sydney'!E525="",ISNUMBER(SEARCH("BSB80120",'Onshore - Sydney'!B525&amp;'Onshore - Sydney'!M525)),ISNUMBER(SEARCH("Management (Learning)",'Onshore - Sydney'!B525))),2,IF(ISNUMBER(SEARCH("CEK:",'Onshore - Sydney'!M525)),1,0))</f>
        <v>1</v>
      </c>
    </row>
    <row r="1186" customFormat="false" ht="15" hidden="false" customHeight="false" outlineLevel="0" collapsed="false">
      <c r="A1186" s="63" t="s">
        <v>3533</v>
      </c>
      <c r="B1186" s="64" t="s">
        <v>4207</v>
      </c>
      <c r="C1186" s="63" t="s">
        <v>40</v>
      </c>
      <c r="D1186" s="64" t="str">
        <f aca="false">TRIM(LEFT('Onshore - Sydney'!A688,FIND(CHAR(10),'Onshore - Sydney'!A688&amp;CHAR(10))-1))</f>
        <v>Nurse Training Australia (NTA)</v>
      </c>
      <c r="E1186" s="63" t="str">
        <f aca="false">'Onshore - Sydney'!C693&amp;""</f>
        <v>1 year</v>
      </c>
      <c r="F1186" s="63" t="str">
        <f aca="false">IF('Onshore - Sydney'!D693="","Belum tercatat",'Onshore - Sydney'!D693)</f>
        <v>Term</v>
      </c>
      <c r="G1186" s="65" t="n">
        <f aca="false">IF('Onshore - Sydney'!E693="","-",'Onshore - Sydney'!E693)</f>
        <v>2287.5</v>
      </c>
      <c r="H1186" s="63" t="n">
        <f aca="false">IF(ISNUMBER(K1186),COUNTIFS($J$6:$J$1916,J1186,$K$6:$K$1916,"&lt;"&amp;K1186)+1,"-")</f>
        <v>10</v>
      </c>
      <c r="I1186" s="64" t="str">
        <f aca="false">IF('Onshore - Sydney'!E693="","Harga belum tersedia - hubungi konsultan TEG",IF(M1186=2,"Saat ini tidak menerima pendaftaran siswa internasional baru",IF(M1186=1,"Harga perlu dikonfirmasi ke sekolah"&amp;IF(""="","","; "&amp;""),"")))</f>
        <v/>
      </c>
      <c r="J1186" s="0" t="s">
        <v>4275</v>
      </c>
      <c r="K1186" s="0" t="n">
        <f aca="false">IF(M1186=2,"",IF(ISNUMBER(SEARCH("rata-rata:",'Onshore - Sydney'!M693)),VALUE(MID('Onshore - Sydney'!M693,SEARCH("rata-rata:",'Onshore - Sydney'!M693)+11,FIND(";",'Onshore - Sydney'!M693&amp;";",SEARCH("rata-rata:",'Onshore - Sydney'!M693))-SEARCH("rata-rata:",'Onshore - Sydney'!M693)-11)),IF('Onshore - Sydney'!D693="Semester",'Onshore - Sydney'!E693*2,IF('Onshore - Sydney'!D693="Trimester",'Onshore - Sydney'!E693*3,IF('Onshore - Sydney'!D693="Term",'Onshore - Sydney'!E693*4,IF('Onshore - Sydney'!D693="Unit",'Onshore - Sydney'!E693*8,""))))))</f>
        <v>9150</v>
      </c>
      <c r="L1186" s="0" t="n">
        <f aca="false">IF(AND(ISNUMBER('Onshore - Sydney'!E693),ISNUMBER(K1186),ISNUMBER('Onshore - Sydney'!F693),ISNUMBER('Onshore - Sydney'!G693),OR('Onshore - Sydney'!F693&lt;&gt;0,ISNUMBER(SEARCH("Material 0 terverifikasi",'Onshore - Sydney'!M693))),OR('Onshore - Sydney'!G693&lt;&gt;0,ISNUMBER(SEARCH("Enrolment 0 terverifikasi",'Onshore - Sydney'!M693)))),1,0)</f>
        <v>1</v>
      </c>
      <c r="M1186" s="0" t="n">
        <f aca="false">IF(OR('Onshore - Sydney'!E693="",ISNUMBER(SEARCH("BSB80120",'Onshore - Sydney'!B693&amp;'Onshore - Sydney'!M693)),ISNUMBER(SEARCH("Management (Learning)",'Onshore - Sydney'!B693))),2,IF(ISNUMBER(SEARCH("CEK:",'Onshore - Sydney'!M693)),1,0))</f>
        <v>0</v>
      </c>
    </row>
    <row r="1187" customFormat="false" ht="28.35" hidden="false" customHeight="false" outlineLevel="0" collapsed="false">
      <c r="A1187" s="63" t="s">
        <v>3533</v>
      </c>
      <c r="B1187" s="64" t="s">
        <v>4207</v>
      </c>
      <c r="C1187" s="63" t="s">
        <v>40</v>
      </c>
      <c r="D1187" s="64" t="str">
        <f aca="false">TRIM(LEFT('Onshore - Sydney'!A763,FIND(CHAR(10),'Onshore - Sydney'!A763&amp;CHAR(10))-1))</f>
        <v>Sydney College of Professional Education (SCPE)</v>
      </c>
      <c r="E1187" s="63" t="str">
        <f aca="false">'Onshore - Sydney'!C763&amp;""</f>
        <v>1,5 years</v>
      </c>
      <c r="F1187" s="63" t="str">
        <f aca="false">IF('Onshore - Sydney'!D763="","Belum tercatat",'Onshore - Sydney'!D763)</f>
        <v>Term</v>
      </c>
      <c r="G1187" s="65" t="n">
        <f aca="false">IF('Onshore - Sydney'!E763="","-",'Onshore - Sydney'!E763)</f>
        <v>2500</v>
      </c>
      <c r="H1187" s="63" t="n">
        <f aca="false">IF(ISNUMBER(K1187),COUNTIFS($J$6:$J$1916,J1187,$K$6:$K$1916,"&lt;"&amp;K1187)+1,"-")</f>
        <v>11</v>
      </c>
      <c r="I1187" s="64" t="str">
        <f aca="false">IF('Onshore - Sydney'!E763="","Harga belum tersedia - hubungi konsultan TEG",IF(M1187=2,"Saat ini tidak menerima pendaftaran siswa internasional baru",IF(M1187=1,"Harga perlu dikonfirmasi ke sekolah"&amp;IF(""="","","; "&amp;""),"")))</f>
        <v>Harga perlu dikonfirmasi ke sekolah</v>
      </c>
      <c r="J1187" s="0" t="s">
        <v>4275</v>
      </c>
      <c r="K1187" s="0" t="n">
        <f aca="false">IF(M1187=2,"",IF(ISNUMBER(SEARCH("rata-rata:",'Onshore - Sydney'!M763)),VALUE(MID('Onshore - Sydney'!M763,SEARCH("rata-rata:",'Onshore - Sydney'!M763)+11,FIND(";",'Onshore - Sydney'!M763&amp;";",SEARCH("rata-rata:",'Onshore - Sydney'!M763))-SEARCH("rata-rata:",'Onshore - Sydney'!M763)-11)),IF('Onshore - Sydney'!D763="Semester",'Onshore - Sydney'!E763*2,IF('Onshore - Sydney'!D763="Trimester",'Onshore - Sydney'!E763*3,IF('Onshore - Sydney'!D763="Term",'Onshore - Sydney'!E763*4,IF('Onshore - Sydney'!D763="Unit",'Onshore - Sydney'!E763*8,""))))))</f>
        <v>10000</v>
      </c>
      <c r="L1187" s="0" t="n">
        <f aca="false">IF(AND(ISNUMBER('Onshore - Sydney'!E763),ISNUMBER(K1187),ISNUMBER('Onshore - Sydney'!F763),ISNUMBER('Onshore - Sydney'!G763),OR('Onshore - Sydney'!F763&lt;&gt;0,ISNUMBER(SEARCH("Material 0 terverifikasi",'Onshore - Sydney'!M763))),OR('Onshore - Sydney'!G763&lt;&gt;0,ISNUMBER(SEARCH("Enrolment 0 terverifikasi",'Onshore - Sydney'!M763)))),1,0)</f>
        <v>1</v>
      </c>
      <c r="M1187" s="0" t="n">
        <f aca="false">IF(OR('Onshore - Sydney'!E763="",ISNUMBER(SEARCH("BSB80120",'Onshore - Sydney'!B763&amp;'Onshore - Sydney'!M763)),ISNUMBER(SEARCH("Management (Learning)",'Onshore - Sydney'!B763))),2,IF(ISNUMBER(SEARCH("CEK:",'Onshore - Sydney'!M763)),1,0))</f>
        <v>1</v>
      </c>
    </row>
    <row r="1188" customFormat="false" ht="15" hidden="false" customHeight="false" outlineLevel="0" collapsed="false">
      <c r="A1188" s="63" t="s">
        <v>3533</v>
      </c>
      <c r="B1188" s="64" t="s">
        <v>4207</v>
      </c>
      <c r="C1188" s="63" t="s">
        <v>40</v>
      </c>
      <c r="D1188" s="64" t="str">
        <f aca="false">TRIM(LEFT('Onshore - Sydney'!A1228,FIND(CHAR(10),'Onshore - Sydney'!A1228&amp;CHAR(10))-1))</f>
        <v>Whitehouse International College</v>
      </c>
      <c r="E1188" s="63" t="str">
        <f aca="false">'Onshore - Sydney'!C1229&amp;""</f>
        <v>1 year</v>
      </c>
      <c r="F1188" s="63" t="str">
        <f aca="false">IF('Onshore - Sydney'!D1229="","Belum tercatat",'Onshore - Sydney'!D1229)</f>
        <v>Term</v>
      </c>
      <c r="G1188" s="65" t="n">
        <f aca="false">IF('Onshore - Sydney'!E1229="","-",'Onshore - Sydney'!E1229)</f>
        <v>2750</v>
      </c>
      <c r="H1188" s="63" t="n">
        <f aca="false">IF(ISNUMBER(K1188),COUNTIFS($J$6:$J$1916,J1188,$K$6:$K$1916,"&lt;"&amp;K1188)+1,"-")</f>
        <v>12</v>
      </c>
      <c r="I1188" s="64" t="str">
        <f aca="false">IF('Onshore - Sydney'!E1229="","Harga belum tersedia - hubungi konsultan TEG",IF(M1188=2,"Saat ini tidak menerima pendaftaran siswa internasional baru",IF(M1188=1,"Program perlu dikonfirmasi ketersediaannya"&amp;IF(""="","","; "&amp;""),"")))</f>
        <v>Program perlu dikonfirmasi ketersediaannya</v>
      </c>
      <c r="J1188" s="0" t="s">
        <v>4275</v>
      </c>
      <c r="K1188" s="0" t="n">
        <f aca="false">IF(M1188=2,"",IF(ISNUMBER(SEARCH("rata-rata:",'Onshore - Sydney'!M1229)),VALUE(MID('Onshore - Sydney'!M1229,SEARCH("rata-rata:",'Onshore - Sydney'!M1229)+11,FIND(";",'Onshore - Sydney'!M1229&amp;";",SEARCH("rata-rata:",'Onshore - Sydney'!M1229))-SEARCH("rata-rata:",'Onshore - Sydney'!M1229)-11)),IF('Onshore - Sydney'!D1229="Semester",'Onshore - Sydney'!E1229*2,IF('Onshore - Sydney'!D1229="Trimester",'Onshore - Sydney'!E1229*3,IF('Onshore - Sydney'!D1229="Term",'Onshore - Sydney'!E1229*4,IF('Onshore - Sydney'!D1229="Unit",'Onshore - Sydney'!E1229*8,""))))))</f>
        <v>11000</v>
      </c>
      <c r="L1188" s="0" t="n">
        <f aca="false">IF(AND(ISNUMBER('Onshore - Sydney'!E1229),ISNUMBER(K1188),ISNUMBER('Onshore - Sydney'!F1229),ISNUMBER('Onshore - Sydney'!G1229),OR('Onshore - Sydney'!F1229&lt;&gt;0,ISNUMBER(SEARCH("Material 0 terverifikasi",'Onshore - Sydney'!M1229))),OR('Onshore - Sydney'!G1229&lt;&gt;0,ISNUMBER(SEARCH("Enrolment 0 terverifikasi",'Onshore - Sydney'!M1229)))),1,0)</f>
        <v>1</v>
      </c>
      <c r="M1188" s="0" t="n">
        <f aca="false">IF(OR('Onshore - Sydney'!E1229="",ISNUMBER(SEARCH("BSB80120",'Onshore - Sydney'!B1229&amp;'Onshore - Sydney'!M1229)),ISNUMBER(SEARCH("Management (Learning)",'Onshore - Sydney'!B1229))),2,IF(ISNUMBER(SEARCH("CEK:",'Onshore - Sydney'!M1229)),1,0))</f>
        <v>1</v>
      </c>
    </row>
    <row r="1189" customFormat="false" ht="15" hidden="false" customHeight="false" outlineLevel="0" collapsed="false">
      <c r="A1189" s="63" t="s">
        <v>3533</v>
      </c>
      <c r="B1189" s="64" t="s">
        <v>4207</v>
      </c>
      <c r="C1189" s="63" t="s">
        <v>40</v>
      </c>
      <c r="D1189" s="64" t="str">
        <f aca="false">TRIM(LEFT('Onshore - Sydney'!A796,FIND(CHAR(10),'Onshore - Sydney'!A796&amp;CHAR(10))-1))</f>
        <v>TAFE NSW</v>
      </c>
      <c r="E1189" s="63" t="str">
        <f aca="false">'Onshore - Sydney'!C814&amp;""</f>
        <v>1,5 years</v>
      </c>
      <c r="F1189" s="63" t="str">
        <f aca="false">IF('Onshore - Sydney'!D814="","Belum tercatat",'Onshore - Sydney'!D814)</f>
        <v>Term</v>
      </c>
      <c r="G1189" s="65" t="n">
        <f aca="false">IF('Onshore - Sydney'!E814="","-",'Onshore - Sydney'!E814)</f>
        <v>5250</v>
      </c>
      <c r="H1189" s="63" t="n">
        <f aca="false">IF(ISNUMBER(K1189),COUNTIFS($J$6:$J$1916,J1189,$K$6:$K$1916,"&lt;"&amp;K1189)+1,"-")</f>
        <v>13</v>
      </c>
      <c r="I1189" s="64" t="str">
        <f aca="false">IF('Onshore - Sydney'!E814="","Harga belum tersedia - hubungi konsultan TEG",IF(M1189=2,"Saat ini tidak menerima pendaftaran siswa internasional baru",IF(M1189=1,"Harga perlu dikonfirmasi ke sekolah"&amp;IF(""="","","; "&amp;""),"")))</f>
        <v/>
      </c>
      <c r="J1189" s="0" t="s">
        <v>4275</v>
      </c>
      <c r="K1189" s="0" t="n">
        <f aca="false">IF(M1189=2,"",IF(ISNUMBER(SEARCH("rata-rata:",'Onshore - Sydney'!M814)),VALUE(MID('Onshore - Sydney'!M814,SEARCH("rata-rata:",'Onshore - Sydney'!M814)+11,FIND(";",'Onshore - Sydney'!M814&amp;";",SEARCH("rata-rata:",'Onshore - Sydney'!M814))-SEARCH("rata-rata:",'Onshore - Sydney'!M814)-11)),IF('Onshore - Sydney'!D814="Semester",'Onshore - Sydney'!E814*2,IF('Onshore - Sydney'!D814="Trimester",'Onshore - Sydney'!E814*3,IF('Onshore - Sydney'!D814="Term",'Onshore - Sydney'!E814*4,IF('Onshore - Sydney'!D814="Unit",'Onshore - Sydney'!E814*8,""))))))</f>
        <v>21000</v>
      </c>
      <c r="L1189" s="0" t="n">
        <f aca="false">IF(AND(ISNUMBER('Onshore - Sydney'!E814),ISNUMBER(K1189),ISNUMBER('Onshore - Sydney'!F814),ISNUMBER('Onshore - Sydney'!G814),OR('Onshore - Sydney'!F814&lt;&gt;0,ISNUMBER(SEARCH("Material 0 terverifikasi",'Onshore - Sydney'!M814))),OR('Onshore - Sydney'!G814&lt;&gt;0,ISNUMBER(SEARCH("Enrolment 0 terverifikasi",'Onshore - Sydney'!M814)))),1,0)</f>
        <v>0</v>
      </c>
      <c r="M1189" s="0" t="n">
        <f aca="false">IF(OR('Onshore - Sydney'!E814="",ISNUMBER(SEARCH("BSB80120",'Onshore - Sydney'!B814&amp;'Onshore - Sydney'!M814)),ISNUMBER(SEARCH("Management (Learning)",'Onshore - Sydney'!B814))),2,IF(ISNUMBER(SEARCH("CEK:",'Onshore - Sydney'!M814)),1,0))</f>
        <v>0</v>
      </c>
    </row>
    <row r="1190" customFormat="false" ht="15" hidden="false" customHeight="false" outlineLevel="0" collapsed="false">
      <c r="A1190" s="61" t="s">
        <v>4276</v>
      </c>
      <c r="B1190" s="62"/>
      <c r="C1190" s="62"/>
      <c r="D1190" s="62"/>
      <c r="E1190" s="62"/>
      <c r="F1190" s="62"/>
      <c r="G1190" s="62"/>
      <c r="H1190" s="62"/>
      <c r="I1190" s="62"/>
    </row>
    <row r="1191" customFormat="false" ht="15" hidden="false" customHeight="false" outlineLevel="0" collapsed="false">
      <c r="A1191" s="63" t="s">
        <v>3533</v>
      </c>
      <c r="B1191" s="64" t="s">
        <v>4207</v>
      </c>
      <c r="C1191" s="63" t="s">
        <v>41</v>
      </c>
      <c r="D1191" s="64" t="str">
        <f aca="false">TRIM(LEFT('Onshore - Sydney'!A745,FIND(CHAR(10),'Onshore - Sydney'!A745&amp;CHAR(10))-1))</f>
        <v>Signet Institute of Australia</v>
      </c>
      <c r="E1191" s="63" t="str">
        <f aca="false">'Onshore - Sydney'!C752&amp;""</f>
        <v>4 years</v>
      </c>
      <c r="F1191" s="63" t="str">
        <f aca="false">IF('Onshore - Sydney'!D752="","Belum tercatat",'Onshore - Sydney'!D752)</f>
        <v>Term</v>
      </c>
      <c r="G1191" s="65" t="n">
        <f aca="false">IF('Onshore - Sydney'!E752="","-",'Onshore - Sydney'!E752)</f>
        <v>1800</v>
      </c>
      <c r="H1191" s="63" t="n">
        <f aca="false">IF(ISNUMBER(K1191),COUNTIFS($J$6:$J$1916,J1191,$K$6:$K$1916,"&lt;"&amp;K1191)+1,"-")</f>
        <v>1</v>
      </c>
      <c r="I1191" s="64" t="str">
        <f aca="false">IF('Onshore - Sydney'!E752="","Harga belum tersedia - hubungi konsultan TEG",IF(M1191=2,"Saat ini tidak menerima pendaftaran siswa internasional baru",IF(M1191=1,"Harga perlu dikonfirmasi ke sekolah"&amp;IF(""="","","; "&amp;""),"")))</f>
        <v/>
      </c>
      <c r="J1191" s="0" t="s">
        <v>4277</v>
      </c>
      <c r="K1191" s="0" t="n">
        <f aca="false">IF(M1191=2,"",IF(ISNUMBER(SEARCH("rata-rata:",'Onshore - Sydney'!M752)),VALUE(MID('Onshore - Sydney'!M752,SEARCH("rata-rata:",'Onshore - Sydney'!M752)+11,FIND(";",'Onshore - Sydney'!M752&amp;";",SEARCH("rata-rata:",'Onshore - Sydney'!M752))-SEARCH("rata-rata:",'Onshore - Sydney'!M752)-11)),IF('Onshore - Sydney'!D752="Semester",'Onshore - Sydney'!E752*2,IF('Onshore - Sydney'!D752="Trimester",'Onshore - Sydney'!E752*3,IF('Onshore - Sydney'!D752="Term",'Onshore - Sydney'!E752*4,IF('Onshore - Sydney'!D752="Unit",'Onshore - Sydney'!E752*8,""))))))</f>
        <v>7200</v>
      </c>
      <c r="L1191" s="0" t="n">
        <f aca="false">IF(AND(ISNUMBER('Onshore - Sydney'!E752),ISNUMBER(K1191),ISNUMBER('Onshore - Sydney'!F752),ISNUMBER('Onshore - Sydney'!G752),OR('Onshore - Sydney'!F752&lt;&gt;0,ISNUMBER(SEARCH("Material 0 terverifikasi",'Onshore - Sydney'!M752))),OR('Onshore - Sydney'!G752&lt;&gt;0,ISNUMBER(SEARCH("Enrolment 0 terverifikasi",'Onshore - Sydney'!M752)))),1,0)</f>
        <v>1</v>
      </c>
      <c r="M1191" s="0" t="n">
        <f aca="false">IF(OR('Onshore - Sydney'!E752="",ISNUMBER(SEARCH("BSB80120",'Onshore - Sydney'!B752&amp;'Onshore - Sydney'!M752)),ISNUMBER(SEARCH("Management (Learning)",'Onshore - Sydney'!B752))),2,IF(ISNUMBER(SEARCH("CEK:",'Onshore - Sydney'!M752)),1,0))</f>
        <v>0</v>
      </c>
    </row>
    <row r="1192" customFormat="false" ht="15" hidden="false" customHeight="false" outlineLevel="0" collapsed="false">
      <c r="A1192" s="63" t="s">
        <v>3533</v>
      </c>
      <c r="B1192" s="64" t="s">
        <v>4207</v>
      </c>
      <c r="C1192" s="63" t="s">
        <v>41</v>
      </c>
      <c r="D1192" s="64" t="str">
        <f aca="false">TRIM(LEFT('Onshore - Sydney'!A15,FIND(CHAR(10),'Onshore - Sydney'!A15&amp;CHAR(10))-1))</f>
        <v>ABM Further Education</v>
      </c>
      <c r="E1192" s="63" t="str">
        <f aca="false">'Onshore - Sydney'!C17&amp;""</f>
        <v>3 years</v>
      </c>
      <c r="F1192" s="63" t="str">
        <f aca="false">IF('Onshore - Sydney'!D17="","Belum tercatat",'Onshore - Sydney'!D17)</f>
        <v>Term</v>
      </c>
      <c r="G1192" s="65" t="n">
        <f aca="false">IF('Onshore - Sydney'!E17="","-",'Onshore - Sydney'!E17)</f>
        <v>1895</v>
      </c>
      <c r="H1192" s="63" t="n">
        <f aca="false">IF(ISNUMBER(K1192),COUNTIFS($J$6:$J$1916,J1192,$K$6:$K$1916,"&lt;"&amp;K1192)+1,"-")</f>
        <v>2</v>
      </c>
      <c r="I1192" s="64" t="str">
        <f aca="false">IF('Onshore - Sydney'!E17="","Harga belum tersedia - hubungi konsultan TEG",IF(M1192=2,"Saat ini tidak menerima pendaftaran siswa internasional baru",IF(M1192=1,"Harga perlu dikonfirmasi ke sekolah"&amp;IF(""="","","; "&amp;""),"")))</f>
        <v/>
      </c>
      <c r="J1192" s="0" t="s">
        <v>4277</v>
      </c>
      <c r="K1192" s="0" t="n">
        <f aca="false">IF(M1192=2,"",IF(ISNUMBER(SEARCH("rata-rata:",'Onshore - Sydney'!M17)),VALUE(MID('Onshore - Sydney'!M17,SEARCH("rata-rata:",'Onshore - Sydney'!M17)+11,FIND(";",'Onshore - Sydney'!M17&amp;";",SEARCH("rata-rata:",'Onshore - Sydney'!M17))-SEARCH("rata-rata:",'Onshore - Sydney'!M17)-11)),IF('Onshore - Sydney'!D17="Semester",'Onshore - Sydney'!E17*2,IF('Onshore - Sydney'!D17="Trimester",'Onshore - Sydney'!E17*3,IF('Onshore - Sydney'!D17="Term",'Onshore - Sydney'!E17*4,IF('Onshore - Sydney'!D17="Unit",'Onshore - Sydney'!E17*8,""))))))</f>
        <v>7580</v>
      </c>
      <c r="L1192" s="0" t="n">
        <f aca="false">IF(AND(ISNUMBER('Onshore - Sydney'!E17),ISNUMBER(K1192),ISNUMBER('Onshore - Sydney'!F17),ISNUMBER('Onshore - Sydney'!G17),OR('Onshore - Sydney'!F17&lt;&gt;0,ISNUMBER(SEARCH("Material 0 terverifikasi",'Onshore - Sydney'!M17))),OR('Onshore - Sydney'!G17&lt;&gt;0,ISNUMBER(SEARCH("Enrolment 0 terverifikasi",'Onshore - Sydney'!M17)))),1,0)</f>
        <v>1</v>
      </c>
      <c r="M1192" s="0" t="n">
        <f aca="false">IF(OR('Onshore - Sydney'!E17="",ISNUMBER(SEARCH("BSB80120",'Onshore - Sydney'!B17&amp;'Onshore - Sydney'!M17)),ISNUMBER(SEARCH("Management (Learning)",'Onshore - Sydney'!B17))),2,IF(ISNUMBER(SEARCH("CEK:",'Onshore - Sydney'!M17)),1,0))</f>
        <v>0</v>
      </c>
    </row>
    <row r="1193" customFormat="false" ht="15" hidden="false" customHeight="false" outlineLevel="0" collapsed="false">
      <c r="A1193" s="63" t="s">
        <v>3533</v>
      </c>
      <c r="B1193" s="64" t="s">
        <v>4207</v>
      </c>
      <c r="C1193" s="63" t="s">
        <v>41</v>
      </c>
      <c r="D1193" s="64" t="str">
        <f aca="false">TRIM(LEFT('Onshore - Sydney'!A796,FIND(CHAR(10),'Onshore - Sydney'!A796&amp;CHAR(10))-1))</f>
        <v>TAFE NSW</v>
      </c>
      <c r="E1193" s="63" t="str">
        <f aca="false">'Onshore - Sydney'!C833&amp;""</f>
        <v>1,5 years</v>
      </c>
      <c r="F1193" s="63" t="str">
        <f aca="false">IF('Onshore - Sydney'!D833="","Belum tercatat",'Onshore - Sydney'!D833)</f>
        <v>Term</v>
      </c>
      <c r="G1193" s="65" t="n">
        <f aca="false">IF('Onshore - Sydney'!E833="","-",'Onshore - Sydney'!E833)</f>
        <v>3667</v>
      </c>
      <c r="H1193" s="63" t="n">
        <f aca="false">IF(ISNUMBER(K1193),COUNTIFS($J$6:$J$1916,J1193,$K$6:$K$1916,"&lt;"&amp;K1193)+1,"-")</f>
        <v>3</v>
      </c>
      <c r="I1193" s="64" t="str">
        <f aca="false">IF('Onshore - Sydney'!E833="","Harga belum tersedia - hubungi konsultan TEG",IF(M1193=2,"Saat ini tidak menerima pendaftaran siswa internasional baru",IF(M1193=1,"Harga perlu dikonfirmasi ke sekolah"&amp;IF(""="","","; "&amp;""),"")))</f>
        <v/>
      </c>
      <c r="J1193" s="0" t="s">
        <v>4277</v>
      </c>
      <c r="K1193" s="0" t="n">
        <f aca="false">IF(M1193=2,"",IF(ISNUMBER(SEARCH("rata-rata:",'Onshore - Sydney'!M833)),VALUE(MID('Onshore - Sydney'!M833,SEARCH("rata-rata:",'Onshore - Sydney'!M833)+11,FIND(";",'Onshore - Sydney'!M833&amp;";",SEARCH("rata-rata:",'Onshore - Sydney'!M833))-SEARCH("rata-rata:",'Onshore - Sydney'!M833)-11)),IF('Onshore - Sydney'!D833="Semester",'Onshore - Sydney'!E833*2,IF('Onshore - Sydney'!D833="Trimester",'Onshore - Sydney'!E833*3,IF('Onshore - Sydney'!D833="Term",'Onshore - Sydney'!E833*4,IF('Onshore - Sydney'!D833="Unit",'Onshore - Sydney'!E833*8,""))))))</f>
        <v>14668</v>
      </c>
      <c r="L1193" s="0" t="n">
        <f aca="false">IF(AND(ISNUMBER('Onshore - Sydney'!E833),ISNUMBER(K1193),ISNUMBER('Onshore - Sydney'!F833),ISNUMBER('Onshore - Sydney'!G833),OR('Onshore - Sydney'!F833&lt;&gt;0,ISNUMBER(SEARCH("Material 0 terverifikasi",'Onshore - Sydney'!M833))),OR('Onshore - Sydney'!G833&lt;&gt;0,ISNUMBER(SEARCH("Enrolment 0 terverifikasi",'Onshore - Sydney'!M833)))),1,0)</f>
        <v>0</v>
      </c>
      <c r="M1193" s="0" t="n">
        <f aca="false">IF(OR('Onshore - Sydney'!E833="",ISNUMBER(SEARCH("BSB80120",'Onshore - Sydney'!B833&amp;'Onshore - Sydney'!M833)),ISNUMBER(SEARCH("Management (Learning)",'Onshore - Sydney'!B833))),2,IF(ISNUMBER(SEARCH("CEK:",'Onshore - Sydney'!M833)),1,0))</f>
        <v>0</v>
      </c>
    </row>
    <row r="1194" customFormat="false" ht="15" hidden="false" customHeight="false" outlineLevel="0" collapsed="false">
      <c r="A1194" s="63" t="s">
        <v>3533</v>
      </c>
      <c r="B1194" s="64" t="s">
        <v>4207</v>
      </c>
      <c r="C1194" s="63" t="s">
        <v>41</v>
      </c>
      <c r="D1194" s="64" t="str">
        <f aca="false">TRIM(LEFT('Onshore - Sydney'!A888,FIND(CHAR(10),'Onshore - Sydney'!A888&amp;CHAR(10))-1))</f>
        <v>Torrens University Australia</v>
      </c>
      <c r="E1194" s="63" t="str">
        <f aca="false">'Onshore - Sydney'!C980&amp;""</f>
        <v>1,5 years</v>
      </c>
      <c r="F1194" s="63" t="str">
        <f aca="false">IF('Onshore - Sydney'!D980="","Belum tercatat",'Onshore - Sydney'!D980)</f>
        <v>Term</v>
      </c>
      <c r="G1194" s="65" t="n">
        <f aca="false">IF('Onshore - Sydney'!E980="","-",'Onshore - Sydney'!E980)</f>
        <v>6563</v>
      </c>
      <c r="H1194" s="63" t="n">
        <f aca="false">IF(ISNUMBER(K1194),COUNTIFS($J$6:$J$1916,J1194,$K$6:$K$1916,"&lt;"&amp;K1194)+1,"-")</f>
        <v>4</v>
      </c>
      <c r="I1194" s="64" t="str">
        <f aca="false">IF('Onshore - Sydney'!E980="","Harga belum tersedia - hubungi konsultan TEG",IF(M1194=2,"Saat ini tidak menerima pendaftaran siswa internasional baru",IF(M1194=1,"Harga perlu dikonfirmasi ke sekolah"&amp;IF(""="","","; "&amp;""),"")))</f>
        <v/>
      </c>
      <c r="J1194" s="0" t="s">
        <v>4277</v>
      </c>
      <c r="K1194" s="0" t="n">
        <f aca="false">IF(M1194=2,"",IF(ISNUMBER(SEARCH("rata-rata:",'Onshore - Sydney'!M980)),VALUE(MID('Onshore - Sydney'!M980,SEARCH("rata-rata:",'Onshore - Sydney'!M980)+11,FIND(";",'Onshore - Sydney'!M980&amp;";",SEARCH("rata-rata:",'Onshore - Sydney'!M980))-SEARCH("rata-rata:",'Onshore - Sydney'!M980)-11)),IF('Onshore - Sydney'!D980="Semester",'Onshore - Sydney'!E980*2,IF('Onshore - Sydney'!D980="Trimester",'Onshore - Sydney'!E980*3,IF('Onshore - Sydney'!D980="Term",'Onshore - Sydney'!E980*4,IF('Onshore - Sydney'!D980="Unit",'Onshore - Sydney'!E980*8,""))))))</f>
        <v>26252</v>
      </c>
      <c r="L1194" s="0" t="n">
        <f aca="false">IF(AND(ISNUMBER('Onshore - Sydney'!E980),ISNUMBER(K1194),ISNUMBER('Onshore - Sydney'!F980),ISNUMBER('Onshore - Sydney'!G980),OR('Onshore - Sydney'!F980&lt;&gt;0,ISNUMBER(SEARCH("Material 0 terverifikasi",'Onshore - Sydney'!M980))),OR('Onshore - Sydney'!G980&lt;&gt;0,ISNUMBER(SEARCH("Enrolment 0 terverifikasi",'Onshore - Sydney'!M980)))),1,0)</f>
        <v>0</v>
      </c>
      <c r="M1194" s="0" t="n">
        <f aca="false">IF(OR('Onshore - Sydney'!E980="",ISNUMBER(SEARCH("BSB80120",'Onshore - Sydney'!B980&amp;'Onshore - Sydney'!M980)),ISNUMBER(SEARCH("Management (Learning)",'Onshore - Sydney'!B980))),2,IF(ISNUMBER(SEARCH("CEK:",'Onshore - Sydney'!M980)),1,0))</f>
        <v>0</v>
      </c>
    </row>
    <row r="1195" customFormat="false" ht="15" hidden="false" customHeight="false" outlineLevel="0" collapsed="false">
      <c r="A1195" s="63" t="s">
        <v>3533</v>
      </c>
      <c r="B1195" s="64" t="s">
        <v>4207</v>
      </c>
      <c r="C1195" s="63" t="s">
        <v>41</v>
      </c>
      <c r="D1195" s="64" t="str">
        <f aca="false">TRIM(LEFT('Onshore - Sydney'!A163,FIND(CHAR(10),'Onshore - Sydney'!A163&amp;CHAR(10))-1))</f>
        <v>Australian Catholic University (ACU)</v>
      </c>
      <c r="E1195" s="63" t="str">
        <f aca="false">'Onshore - Sydney'!C256&amp;""</f>
        <v>1 year</v>
      </c>
      <c r="F1195" s="63" t="str">
        <f aca="false">IF('Onshore - Sydney'!D256="","Belum tercatat",'Onshore - Sydney'!D256)</f>
        <v>Term</v>
      </c>
      <c r="G1195" s="65" t="n">
        <f aca="false">IF('Onshore - Sydney'!E256="","-",'Onshore - Sydney'!E256)</f>
        <v>7086</v>
      </c>
      <c r="H1195" s="63" t="n">
        <f aca="false">IF(ISNUMBER(K1195),COUNTIFS($J$6:$J$1916,J1195,$K$6:$K$1916,"&lt;"&amp;K1195)+1,"-")</f>
        <v>5</v>
      </c>
      <c r="I1195" s="64" t="str">
        <f aca="false">IF('Onshore - Sydney'!E256="","Harga belum tersedia - hubungi konsultan TEG",IF(M1195=2,"Saat ini tidak menerima pendaftaran siswa internasional baru",IF(M1195=1,"Harga perlu dikonfirmasi ke sekolah"&amp;IF(""="","","; "&amp;""),"")))</f>
        <v/>
      </c>
      <c r="J1195" s="0" t="s">
        <v>4277</v>
      </c>
      <c r="K1195" s="0" t="n">
        <f aca="false">IF(M1195=2,"",IF(ISNUMBER(SEARCH("rata-rata:",'Onshore - Sydney'!M256)),VALUE(MID('Onshore - Sydney'!M256,SEARCH("rata-rata:",'Onshore - Sydney'!M256)+11,FIND(";",'Onshore - Sydney'!M256&amp;";",SEARCH("rata-rata:",'Onshore - Sydney'!M256))-SEARCH("rata-rata:",'Onshore - Sydney'!M256)-11)),IF('Onshore - Sydney'!D256="Semester",'Onshore - Sydney'!E256*2,IF('Onshore - Sydney'!D256="Trimester",'Onshore - Sydney'!E256*3,IF('Onshore - Sydney'!D256="Term",'Onshore - Sydney'!E256*4,IF('Onshore - Sydney'!D256="Unit",'Onshore - Sydney'!E256*8,""))))))</f>
        <v>28344</v>
      </c>
      <c r="L1195" s="0" t="n">
        <f aca="false">IF(AND(ISNUMBER('Onshore - Sydney'!E256),ISNUMBER(K1195),ISNUMBER('Onshore - Sydney'!F256),ISNUMBER('Onshore - Sydney'!G256),OR('Onshore - Sydney'!F256&lt;&gt;0,ISNUMBER(SEARCH("Material 0 terverifikasi",'Onshore - Sydney'!M256))),OR('Onshore - Sydney'!G256&lt;&gt;0,ISNUMBER(SEARCH("Enrolment 0 terverifikasi",'Onshore - Sydney'!M256)))),1,0)</f>
        <v>0</v>
      </c>
      <c r="M1195" s="0" t="n">
        <f aca="false">IF(OR('Onshore - Sydney'!E256="",ISNUMBER(SEARCH("BSB80120",'Onshore - Sydney'!B256&amp;'Onshore - Sydney'!M256)),ISNUMBER(SEARCH("Management (Learning)",'Onshore - Sydney'!B256))),2,IF(ISNUMBER(SEARCH("CEK:",'Onshore - Sydney'!M256)),1,0))</f>
        <v>0</v>
      </c>
    </row>
    <row r="1196" customFormat="false" ht="15" hidden="false" customHeight="false" outlineLevel="0" collapsed="false">
      <c r="A1196" s="61" t="s">
        <v>4278</v>
      </c>
      <c r="B1196" s="62"/>
      <c r="C1196" s="62"/>
      <c r="D1196" s="62"/>
      <c r="E1196" s="62"/>
      <c r="F1196" s="62"/>
      <c r="G1196" s="62"/>
      <c r="H1196" s="62"/>
      <c r="I1196" s="62"/>
    </row>
    <row r="1197" customFormat="false" ht="15" hidden="false" customHeight="false" outlineLevel="0" collapsed="false">
      <c r="A1197" s="63" t="s">
        <v>3533</v>
      </c>
      <c r="B1197" s="64" t="s">
        <v>4207</v>
      </c>
      <c r="C1197" s="63" t="s">
        <v>43</v>
      </c>
      <c r="D1197" s="64" t="str">
        <f aca="false">TRIM(LEFT('Onshore - Sydney'!A888,FIND(CHAR(10),'Onshore - Sydney'!A888&amp;CHAR(10))-1))</f>
        <v>Torrens University Australia</v>
      </c>
      <c r="E1197" s="63" t="str">
        <f aca="false">'Onshore - Sydney'!C968&amp;""</f>
        <v>4 years</v>
      </c>
      <c r="F1197" s="63" t="str">
        <f aca="false">IF('Onshore - Sydney'!D968="","Belum tercatat",'Onshore - Sydney'!D968)</f>
        <v>Term</v>
      </c>
      <c r="G1197" s="65" t="n">
        <f aca="false">IF('Onshore - Sydney'!E968="","-",'Onshore - Sydney'!E968)</f>
        <v>7333</v>
      </c>
      <c r="H1197" s="63" t="n">
        <f aca="false">IF(ISNUMBER(K1197),COUNTIFS($J$6:$J$1916,J1197,$K$6:$K$1916,"&lt;"&amp;K1197)+1,"-")</f>
        <v>1</v>
      </c>
      <c r="I1197" s="64" t="str">
        <f aca="false">IF('Onshore - Sydney'!E968="","Harga belum tersedia - hubungi konsultan TEG",IF(M1197=2,"Saat ini tidak menerima pendaftaran siswa internasional baru",IF(M1197=1,"Harga perlu dikonfirmasi ke sekolah"&amp;IF(""="","","; "&amp;""),"")))</f>
        <v/>
      </c>
      <c r="J1197" s="0" t="s">
        <v>4279</v>
      </c>
      <c r="K1197" s="0" t="n">
        <f aca="false">IF(M1197=2,"",IF(ISNUMBER(SEARCH("rata-rata:",'Onshore - Sydney'!M968)),VALUE(MID('Onshore - Sydney'!M968,SEARCH("rata-rata:",'Onshore - Sydney'!M968)+11,FIND(";",'Onshore - Sydney'!M968&amp;";",SEARCH("rata-rata:",'Onshore - Sydney'!M968))-SEARCH("rata-rata:",'Onshore - Sydney'!M968)-11)),IF('Onshore - Sydney'!D968="Semester",'Onshore - Sydney'!E968*2,IF('Onshore - Sydney'!D968="Trimester",'Onshore - Sydney'!E968*3,IF('Onshore - Sydney'!D968="Term",'Onshore - Sydney'!E968*4,IF('Onshore - Sydney'!D968="Unit",'Onshore - Sydney'!E968*8,""))))))</f>
        <v>29332</v>
      </c>
      <c r="L1197" s="0" t="n">
        <f aca="false">IF(AND(ISNUMBER('Onshore - Sydney'!E968),ISNUMBER(K1197),ISNUMBER('Onshore - Sydney'!F968),ISNUMBER('Onshore - Sydney'!G968),OR('Onshore - Sydney'!F968&lt;&gt;0,ISNUMBER(SEARCH("Material 0 terverifikasi",'Onshore - Sydney'!M968))),OR('Onshore - Sydney'!G968&lt;&gt;0,ISNUMBER(SEARCH("Enrolment 0 terverifikasi",'Onshore - Sydney'!M968)))),1,0)</f>
        <v>0</v>
      </c>
      <c r="M1197" s="0" t="n">
        <f aca="false">IF(OR('Onshore - Sydney'!E968="",ISNUMBER(SEARCH("BSB80120",'Onshore - Sydney'!B968&amp;'Onshore - Sydney'!M968)),ISNUMBER(SEARCH("Management (Learning)",'Onshore - Sydney'!B968))),2,IF(ISNUMBER(SEARCH("CEK:",'Onshore - Sydney'!M968)),1,0))</f>
        <v>0</v>
      </c>
    </row>
    <row r="1198" customFormat="false" ht="15" hidden="false" customHeight="false" outlineLevel="0" collapsed="false">
      <c r="A1198" s="63" t="s">
        <v>3533</v>
      </c>
      <c r="B1198" s="64" t="s">
        <v>4207</v>
      </c>
      <c r="C1198" s="63" t="s">
        <v>43</v>
      </c>
      <c r="D1198" s="64" t="str">
        <f aca="false">TRIM(LEFT('Onshore - Sydney'!A163,FIND(CHAR(10),'Onshore - Sydney'!A163&amp;CHAR(10))-1))</f>
        <v>Australian Catholic University (ACU)</v>
      </c>
      <c r="E1198" s="63" t="str">
        <f aca="false">'Onshore - Sydney'!C223&amp;""</f>
        <v>3 years</v>
      </c>
      <c r="F1198" s="63" t="str">
        <f aca="false">IF('Onshore - Sydney'!D223="","Belum tercatat",'Onshore - Sydney'!D223)</f>
        <v>Term</v>
      </c>
      <c r="G1198" s="65" t="n">
        <f aca="false">IF('Onshore - Sydney'!E223="","-",'Onshore - Sydney'!E223)</f>
        <v>8098</v>
      </c>
      <c r="H1198" s="63" t="n">
        <f aca="false">IF(ISNUMBER(K1198),COUNTIFS($J$6:$J$1916,J1198,$K$6:$K$1916,"&lt;"&amp;K1198)+1,"-")</f>
        <v>2</v>
      </c>
      <c r="I1198" s="64" t="str">
        <f aca="false">IF('Onshore - Sydney'!E223="","Harga belum tersedia - hubungi konsultan TEG",IF(M1198=2,"Saat ini tidak menerima pendaftaran siswa internasional baru",IF(M1198=1,"Harga perlu dikonfirmasi ke sekolah"&amp;IF(""="","","; "&amp;""),"")))</f>
        <v/>
      </c>
      <c r="J1198" s="0" t="s">
        <v>4279</v>
      </c>
      <c r="K1198" s="0" t="n">
        <f aca="false">IF(M1198=2,"",IF(ISNUMBER(SEARCH("rata-rata:",'Onshore - Sydney'!M223)),VALUE(MID('Onshore - Sydney'!M223,SEARCH("rata-rata:",'Onshore - Sydney'!M223)+11,FIND(";",'Onshore - Sydney'!M223&amp;";",SEARCH("rata-rata:",'Onshore - Sydney'!M223))-SEARCH("rata-rata:",'Onshore - Sydney'!M223)-11)),IF('Onshore - Sydney'!D223="Semester",'Onshore - Sydney'!E223*2,IF('Onshore - Sydney'!D223="Trimester",'Onshore - Sydney'!E223*3,IF('Onshore - Sydney'!D223="Term",'Onshore - Sydney'!E223*4,IF('Onshore - Sydney'!D223="Unit",'Onshore - Sydney'!E223*8,""))))))</f>
        <v>32392</v>
      </c>
      <c r="L1198" s="0" t="n">
        <f aca="false">IF(AND(ISNUMBER('Onshore - Sydney'!E223),ISNUMBER(K1198),ISNUMBER('Onshore - Sydney'!F223),ISNUMBER('Onshore - Sydney'!G223),OR('Onshore - Sydney'!F223&lt;&gt;0,ISNUMBER(SEARCH("Material 0 terverifikasi",'Onshore - Sydney'!M223))),OR('Onshore - Sydney'!G223&lt;&gt;0,ISNUMBER(SEARCH("Enrolment 0 terverifikasi",'Onshore - Sydney'!M223)))),1,0)</f>
        <v>0</v>
      </c>
      <c r="M1198" s="0" t="n">
        <f aca="false">IF(OR('Onshore - Sydney'!E223="",ISNUMBER(SEARCH("BSB80120",'Onshore - Sydney'!B223&amp;'Onshore - Sydney'!M223)),ISNUMBER(SEARCH("Management (Learning)",'Onshore - Sydney'!B223))),2,IF(ISNUMBER(SEARCH("CEK:",'Onshore - Sydney'!M223)),1,0))</f>
        <v>0</v>
      </c>
    </row>
    <row r="1199" customFormat="false" ht="15" hidden="false" customHeight="false" outlineLevel="0" collapsed="false">
      <c r="A1199" s="63" t="s">
        <v>3533</v>
      </c>
      <c r="B1199" s="64" t="s">
        <v>4207</v>
      </c>
      <c r="C1199" s="63" t="s">
        <v>43</v>
      </c>
      <c r="D1199" s="64" t="str">
        <f aca="false">TRIM(LEFT('Onshore - Sydney'!A1062,FIND(CHAR(10),'Onshore - Sydney'!A1062&amp;CHAR(10))-1))</f>
        <v>Western Sydney University</v>
      </c>
      <c r="E1199" s="63" t="str">
        <f aca="false">'Onshore - Sydney'!C1085&amp;""</f>
        <v>3 years</v>
      </c>
      <c r="F1199" s="63" t="str">
        <f aca="false">IF('Onshore - Sydney'!D1085="","Belum tercatat",'Onshore - Sydney'!D1085)</f>
        <v>Term</v>
      </c>
      <c r="G1199" s="65" t="n">
        <f aca="false">IF('Onshore - Sydney'!E1085="","-",'Onshore - Sydney'!E1085)</f>
        <v>8694</v>
      </c>
      <c r="H1199" s="63" t="n">
        <f aca="false">IF(ISNUMBER(K1199),COUNTIFS($J$6:$J$1916,J1199,$K$6:$K$1916,"&lt;"&amp;K1199)+1,"-")</f>
        <v>3</v>
      </c>
      <c r="I1199" s="64" t="str">
        <f aca="false">IF('Onshore - Sydney'!E1085="","Harga belum tersedia - hubungi konsultan TEG",IF(M1199=2,"Saat ini tidak menerima pendaftaran siswa internasional baru",IF(M1199=1,"Harga perlu dikonfirmasi ke sekolah"&amp;IF(""="","","; "&amp;""),"")))</f>
        <v/>
      </c>
      <c r="J1199" s="0" t="s">
        <v>4279</v>
      </c>
      <c r="K1199" s="0" t="n">
        <f aca="false">IF(M1199=2,"",IF(ISNUMBER(SEARCH("rata-rata:",'Onshore - Sydney'!M1085)),VALUE(MID('Onshore - Sydney'!M1085,SEARCH("rata-rata:",'Onshore - Sydney'!M1085)+11,FIND(";",'Onshore - Sydney'!M1085&amp;";",SEARCH("rata-rata:",'Onshore - Sydney'!M1085))-SEARCH("rata-rata:",'Onshore - Sydney'!M1085)-11)),IF('Onshore - Sydney'!D1085="Semester",'Onshore - Sydney'!E1085*2,IF('Onshore - Sydney'!D1085="Trimester",'Onshore - Sydney'!E1085*3,IF('Onshore - Sydney'!D1085="Term",'Onshore - Sydney'!E1085*4,IF('Onshore - Sydney'!D1085="Unit",'Onshore - Sydney'!E1085*8,""))))))</f>
        <v>34776</v>
      </c>
      <c r="L1199" s="0" t="n">
        <f aca="false">IF(AND(ISNUMBER('Onshore - Sydney'!E1085),ISNUMBER(K1199),ISNUMBER('Onshore - Sydney'!F1085),ISNUMBER('Onshore - Sydney'!G1085),OR('Onshore - Sydney'!F1085&lt;&gt;0,ISNUMBER(SEARCH("Material 0 terverifikasi",'Onshore - Sydney'!M1085))),OR('Onshore - Sydney'!G1085&lt;&gt;0,ISNUMBER(SEARCH("Enrolment 0 terverifikasi",'Onshore - Sydney'!M1085)))),1,0)</f>
        <v>0</v>
      </c>
      <c r="M1199" s="0" t="n">
        <f aca="false">IF(OR('Onshore - Sydney'!E1085="",ISNUMBER(SEARCH("BSB80120",'Onshore - Sydney'!B1085&amp;'Onshore - Sydney'!M1085)),ISNUMBER(SEARCH("Management (Learning)",'Onshore - Sydney'!B1085))),2,IF(ISNUMBER(SEARCH("CEK:",'Onshore - Sydney'!M1085)),1,0))</f>
        <v>0</v>
      </c>
    </row>
    <row r="1200" customFormat="false" ht="15" hidden="false" customHeight="false" outlineLevel="0" collapsed="false">
      <c r="A1200" s="63" t="s">
        <v>3533</v>
      </c>
      <c r="B1200" s="64" t="s">
        <v>4207</v>
      </c>
      <c r="C1200" s="63" t="s">
        <v>43</v>
      </c>
      <c r="D1200" s="64" t="str">
        <f aca="false">TRIM(LEFT('Onshore - Sydney'!A394,FIND(CHAR(10),'Onshore - Sydney'!A394&amp;CHAR(10))-1))</f>
        <v>Charles Darwin University (CDU)</v>
      </c>
      <c r="E1200" s="63" t="str">
        <f aca="false">'Onshore - Sydney'!C400&amp;""</f>
        <v>3 years</v>
      </c>
      <c r="F1200" s="63" t="str">
        <f aca="false">IF('Onshore - Sydney'!D400="","Belum tercatat",'Onshore - Sydney'!D400)</f>
        <v>Term</v>
      </c>
      <c r="G1200" s="65" t="n">
        <f aca="false">IF('Onshore - Sydney'!E400="","-",'Onshore - Sydney'!E400)</f>
        <v>9680</v>
      </c>
      <c r="H1200" s="63" t="n">
        <f aca="false">IF(ISNUMBER(K1200),COUNTIFS($J$6:$J$1916,J1200,$K$6:$K$1916,"&lt;"&amp;K1200)+1,"-")</f>
        <v>4</v>
      </c>
      <c r="I1200" s="64" t="str">
        <f aca="false">IF('Onshore - Sydney'!E400="","Harga belum tersedia - hubungi konsultan TEG",IF(M1200=2,"Saat ini tidak menerima pendaftaran siswa internasional baru",IF(M1200=1,"Harga perlu dikonfirmasi ke sekolah"&amp;IF(""="","","; "&amp;""),"")))</f>
        <v/>
      </c>
      <c r="J1200" s="0" t="s">
        <v>4279</v>
      </c>
      <c r="K1200" s="0" t="n">
        <f aca="false">IF(M1200=2,"",IF(ISNUMBER(SEARCH("rata-rata:",'Onshore - Sydney'!M400)),VALUE(MID('Onshore - Sydney'!M400,SEARCH("rata-rata:",'Onshore - Sydney'!M400)+11,FIND(";",'Onshore - Sydney'!M400&amp;";",SEARCH("rata-rata:",'Onshore - Sydney'!M400))-SEARCH("rata-rata:",'Onshore - Sydney'!M400)-11)),IF('Onshore - Sydney'!D400="Semester",'Onshore - Sydney'!E400*2,IF('Onshore - Sydney'!D400="Trimester",'Onshore - Sydney'!E400*3,IF('Onshore - Sydney'!D400="Term",'Onshore - Sydney'!E400*4,IF('Onshore - Sydney'!D400="Unit",'Onshore - Sydney'!E400*8,""))))))</f>
        <v>38720</v>
      </c>
      <c r="L1200" s="0" t="n">
        <f aca="false">IF(AND(ISNUMBER('Onshore - Sydney'!E400),ISNUMBER(K1200),ISNUMBER('Onshore - Sydney'!F400),ISNUMBER('Onshore - Sydney'!G400),OR('Onshore - Sydney'!F400&lt;&gt;0,ISNUMBER(SEARCH("Material 0 terverifikasi",'Onshore - Sydney'!M400))),OR('Onshore - Sydney'!G400&lt;&gt;0,ISNUMBER(SEARCH("Enrolment 0 terverifikasi",'Onshore - Sydney'!M400)))),1,0)</f>
        <v>0</v>
      </c>
      <c r="M1200" s="0" t="n">
        <f aca="false">IF(OR('Onshore - Sydney'!E400="",ISNUMBER(SEARCH("BSB80120",'Onshore - Sydney'!B400&amp;'Onshore - Sydney'!M400)),ISNUMBER(SEARCH("Management (Learning)",'Onshore - Sydney'!B400))),2,IF(ISNUMBER(SEARCH("CEK:",'Onshore - Sydney'!M400)),1,0))</f>
        <v>0</v>
      </c>
    </row>
    <row r="1201" customFormat="false" ht="15" hidden="false" customHeight="false" outlineLevel="0" collapsed="false">
      <c r="A1201" s="63" t="s">
        <v>3533</v>
      </c>
      <c r="B1201" s="64" t="s">
        <v>4207</v>
      </c>
      <c r="C1201" s="63" t="s">
        <v>43</v>
      </c>
      <c r="D1201" s="64" t="str">
        <f aca="false">TRIM(LEFT('Onshore - Sydney'!A998,FIND(CHAR(10),'Onshore - Sydney'!A998&amp;CHAR(10))-1))</f>
        <v>University of Tasmania (UTAS)</v>
      </c>
      <c r="E1201" s="63" t="str">
        <f aca="false">'Onshore - Sydney'!C998&amp;""</f>
        <v>3 years</v>
      </c>
      <c r="F1201" s="63" t="str">
        <f aca="false">IF('Onshore - Sydney'!D998="","Belum tercatat",'Onshore - Sydney'!D998)</f>
        <v>Term</v>
      </c>
      <c r="G1201" s="65" t="n">
        <f aca="false">IF('Onshore - Sydney'!E998="","-",'Onshore - Sydney'!E998)</f>
        <v>10737.5</v>
      </c>
      <c r="H1201" s="63" t="n">
        <f aca="false">IF(ISNUMBER(K1201),COUNTIFS($J$6:$J$1916,J1201,$K$6:$K$1916,"&lt;"&amp;K1201)+1,"-")</f>
        <v>5</v>
      </c>
      <c r="I1201" s="64" t="str">
        <f aca="false">IF('Onshore - Sydney'!E998="","Harga belum tersedia - hubungi konsultan TEG",IF(M1201=2,"Saat ini tidak menerima pendaftaran siswa internasional baru",IF(M1201=1,"Program perlu dikonfirmasi ketersediaannya"&amp;IF(""="","","; "&amp;""),"")))</f>
        <v>Program perlu dikonfirmasi ketersediaannya</v>
      </c>
      <c r="J1201" s="0" t="s">
        <v>4279</v>
      </c>
      <c r="K1201" s="0" t="n">
        <f aca="false">IF(M1201=2,"",IF(ISNUMBER(SEARCH("rata-rata:",'Onshore - Sydney'!M998)),VALUE(MID('Onshore - Sydney'!M998,SEARCH("rata-rata:",'Onshore - Sydney'!M998)+11,FIND(";",'Onshore - Sydney'!M998&amp;";",SEARCH("rata-rata:",'Onshore - Sydney'!M998))-SEARCH("rata-rata:",'Onshore - Sydney'!M998)-11)),IF('Onshore - Sydney'!D998="Semester",'Onshore - Sydney'!E998*2,IF('Onshore - Sydney'!D998="Trimester",'Onshore - Sydney'!E998*3,IF('Onshore - Sydney'!D998="Term",'Onshore - Sydney'!E998*4,IF('Onshore - Sydney'!D998="Unit",'Onshore - Sydney'!E998*8,""))))))</f>
        <v>42950</v>
      </c>
      <c r="L1201" s="0" t="n">
        <f aca="false">IF(AND(ISNUMBER('Onshore - Sydney'!E998),ISNUMBER(K1201),ISNUMBER('Onshore - Sydney'!F998),ISNUMBER('Onshore - Sydney'!G998),OR('Onshore - Sydney'!F998&lt;&gt;0,ISNUMBER(SEARCH("Material 0 terverifikasi",'Onshore - Sydney'!M998))),OR('Onshore - Sydney'!G998&lt;&gt;0,ISNUMBER(SEARCH("Enrolment 0 terverifikasi",'Onshore - Sydney'!M998)))),1,0)</f>
        <v>0</v>
      </c>
      <c r="M1201" s="0" t="n">
        <f aca="false">IF(OR('Onshore - Sydney'!E998="",ISNUMBER(SEARCH("BSB80120",'Onshore - Sydney'!B998&amp;'Onshore - Sydney'!M998)),ISNUMBER(SEARCH("Management (Learning)",'Onshore - Sydney'!B998))),2,IF(ISNUMBER(SEARCH("CEK:",'Onshore - Sydney'!M998)),1,0))</f>
        <v>1</v>
      </c>
    </row>
    <row r="1202" customFormat="false" ht="15" hidden="false" customHeight="false" outlineLevel="0" collapsed="false">
      <c r="A1202" s="61" t="s">
        <v>4280</v>
      </c>
      <c r="B1202" s="62"/>
      <c r="C1202" s="62"/>
      <c r="D1202" s="62"/>
      <c r="E1202" s="62"/>
      <c r="F1202" s="62"/>
      <c r="G1202" s="62"/>
      <c r="H1202" s="62"/>
      <c r="I1202" s="62"/>
    </row>
    <row r="1203" customFormat="false" ht="15" hidden="false" customHeight="false" outlineLevel="0" collapsed="false">
      <c r="A1203" s="63" t="s">
        <v>3533</v>
      </c>
      <c r="B1203" s="64" t="s">
        <v>4207</v>
      </c>
      <c r="C1203" s="63" t="s">
        <v>3707</v>
      </c>
      <c r="D1203" s="64" t="str">
        <f aca="false">TRIM(LEFT('Onshore - Sydney'!A888,FIND(CHAR(10),'Onshore - Sydney'!A888&amp;CHAR(10))-1))</f>
        <v>Torrens University Australia</v>
      </c>
      <c r="E1203" s="63" t="str">
        <f aca="false">'Onshore - Sydney'!C974&amp;""</f>
        <v>0,5 year</v>
      </c>
      <c r="F1203" s="63" t="str">
        <f aca="false">IF('Onshore - Sydney'!D974="","Belum tercatat",'Onshore - Sydney'!D974)</f>
        <v>Term</v>
      </c>
      <c r="G1203" s="65" t="n">
        <f aca="false">IF('Onshore - Sydney'!E974="","-",'Onshore - Sydney'!E974)</f>
        <v>3975</v>
      </c>
      <c r="H1203" s="63" t="n">
        <f aca="false">IF(ISNUMBER(K1203),COUNTIFS($J$6:$J$1916,J1203,$K$6:$K$1916,"&lt;"&amp;K1203)+1,"-")</f>
        <v>1</v>
      </c>
      <c r="I1203" s="64" t="str">
        <f aca="false">IF('Onshore - Sydney'!E974="","Harga belum tersedia - hubungi konsultan TEG",IF(M1203=2,"Saat ini tidak menerima pendaftaran siswa internasional baru",IF(M1203=1,"Harga perlu dikonfirmasi ke sekolah"&amp;IF(""="","","; "&amp;""),"")))</f>
        <v/>
      </c>
      <c r="J1203" s="0" t="s">
        <v>4281</v>
      </c>
      <c r="K1203" s="0" t="n">
        <f aca="false">IF(M1203=2,"",IF(ISNUMBER(SEARCH("rata-rata:",'Onshore - Sydney'!M974)),VALUE(MID('Onshore - Sydney'!M974,SEARCH("rata-rata:",'Onshore - Sydney'!M974)+11,FIND(";",'Onshore - Sydney'!M974&amp;";",SEARCH("rata-rata:",'Onshore - Sydney'!M974))-SEARCH("rata-rata:",'Onshore - Sydney'!M974)-11)),IF('Onshore - Sydney'!D974="Semester",'Onshore - Sydney'!E974*2,IF('Onshore - Sydney'!D974="Trimester",'Onshore - Sydney'!E974*3,IF('Onshore - Sydney'!D974="Term",'Onshore - Sydney'!E974*4,IF('Onshore - Sydney'!D974="Unit",'Onshore - Sydney'!E974*8,""))))))</f>
        <v>15900</v>
      </c>
      <c r="L1203" s="0" t="n">
        <f aca="false">IF(AND(ISNUMBER('Onshore - Sydney'!E974),ISNUMBER(K1203),ISNUMBER('Onshore - Sydney'!F974),ISNUMBER('Onshore - Sydney'!G974),OR('Onshore - Sydney'!F974&lt;&gt;0,ISNUMBER(SEARCH("Material 0 terverifikasi",'Onshore - Sydney'!M974))),OR('Onshore - Sydney'!G974&lt;&gt;0,ISNUMBER(SEARCH("Enrolment 0 terverifikasi",'Onshore - Sydney'!M974)))),1,0)</f>
        <v>0</v>
      </c>
      <c r="M1203" s="0" t="n">
        <f aca="false">IF(OR('Onshore - Sydney'!E974="",ISNUMBER(SEARCH("BSB80120",'Onshore - Sydney'!B974&amp;'Onshore - Sydney'!M974)),ISNUMBER(SEARCH("Management (Learning)",'Onshore - Sydney'!B974))),2,IF(ISNUMBER(SEARCH("CEK:",'Onshore - Sydney'!M974)),1,0))</f>
        <v>0</v>
      </c>
    </row>
    <row r="1204" customFormat="false" ht="15" hidden="false" customHeight="false" outlineLevel="0" collapsed="false">
      <c r="A1204" s="63" t="s">
        <v>3533</v>
      </c>
      <c r="B1204" s="64" t="s">
        <v>4207</v>
      </c>
      <c r="C1204" s="63" t="s">
        <v>3707</v>
      </c>
      <c r="D1204" s="64" t="str">
        <f aca="false">TRIM(LEFT('Onshore - Sydney'!A1062,FIND(CHAR(10),'Onshore - Sydney'!A1062&amp;CHAR(10))-1))</f>
        <v>Western Sydney University</v>
      </c>
      <c r="E1204" s="63" t="str">
        <f aca="false">'Onshore - Sydney'!C1197&amp;""</f>
        <v>0,5 year</v>
      </c>
      <c r="F1204" s="63" t="str">
        <f aca="false">IF('Onshore - Sydney'!D1197="","Belum tercatat",'Onshore - Sydney'!D1197)</f>
        <v>Term</v>
      </c>
      <c r="G1204" s="65" t="n">
        <f aca="false">IF('Onshore - Sydney'!E1197="","-",'Onshore - Sydney'!E1197)</f>
        <v>4657</v>
      </c>
      <c r="H1204" s="63" t="n">
        <f aca="false">IF(ISNUMBER(K1204),COUNTIFS($J$6:$J$1916,J1204,$K$6:$K$1916,"&lt;"&amp;K1204)+1,"-")</f>
        <v>2</v>
      </c>
      <c r="I1204" s="64" t="str">
        <f aca="false">IF('Onshore - Sydney'!E1197="","Harga belum tersedia - hubungi konsultan TEG",IF(M1204=2,"Saat ini tidak menerima pendaftaran siswa internasional baru",IF(M1204=1,"Harga perlu dikonfirmasi ke sekolah"&amp;IF(""="","","; "&amp;""),"")))</f>
        <v/>
      </c>
      <c r="J1204" s="0" t="s">
        <v>4281</v>
      </c>
      <c r="K1204" s="0" t="n">
        <f aca="false">IF(M1204=2,"",IF(ISNUMBER(SEARCH("rata-rata:",'Onshore - Sydney'!M1197)),VALUE(MID('Onshore - Sydney'!M1197,SEARCH("rata-rata:",'Onshore - Sydney'!M1197)+11,FIND(";",'Onshore - Sydney'!M1197&amp;";",SEARCH("rata-rata:",'Onshore - Sydney'!M1197))-SEARCH("rata-rata:",'Onshore - Sydney'!M1197)-11)),IF('Onshore - Sydney'!D1197="Semester",'Onshore - Sydney'!E1197*2,IF('Onshore - Sydney'!D1197="Trimester",'Onshore - Sydney'!E1197*3,IF('Onshore - Sydney'!D1197="Term",'Onshore - Sydney'!E1197*4,IF('Onshore - Sydney'!D1197="Unit",'Onshore - Sydney'!E1197*8,""))))))</f>
        <v>18628</v>
      </c>
      <c r="L1204" s="0" t="n">
        <f aca="false">IF(AND(ISNUMBER('Onshore - Sydney'!E1197),ISNUMBER(K1204),ISNUMBER('Onshore - Sydney'!F1197),ISNUMBER('Onshore - Sydney'!G1197),OR('Onshore - Sydney'!F1197&lt;&gt;0,ISNUMBER(SEARCH("Material 0 terverifikasi",'Onshore - Sydney'!M1197))),OR('Onshore - Sydney'!G1197&lt;&gt;0,ISNUMBER(SEARCH("Enrolment 0 terverifikasi",'Onshore - Sydney'!M1197)))),1,0)</f>
        <v>0</v>
      </c>
      <c r="M1204" s="0" t="n">
        <f aca="false">IF(OR('Onshore - Sydney'!E1197="",ISNUMBER(SEARCH("BSB80120",'Onshore - Sydney'!B1197&amp;'Onshore - Sydney'!M1197)),ISNUMBER(SEARCH("Management (Learning)",'Onshore - Sydney'!B1197))),2,IF(ISNUMBER(SEARCH("CEK:",'Onshore - Sydney'!M1197)),1,0))</f>
        <v>0</v>
      </c>
    </row>
    <row r="1205" customFormat="false" ht="15" hidden="false" customHeight="false" outlineLevel="0" collapsed="false">
      <c r="A1205" s="63" t="s">
        <v>3533</v>
      </c>
      <c r="B1205" s="64" t="s">
        <v>4207</v>
      </c>
      <c r="C1205" s="63" t="s">
        <v>3707</v>
      </c>
      <c r="D1205" s="64" t="str">
        <f aca="false">TRIM(LEFT('Onshore - Sydney'!A448,FIND(CHAR(10),'Onshore - Sydney'!A448&amp;CHAR(10))-1))</f>
        <v>ECA College of Health Sciences (CHS)</v>
      </c>
      <c r="E1205" s="63" t="str">
        <f aca="false">'Onshore - Sydney'!C448&amp;""</f>
        <v>0,75 year</v>
      </c>
      <c r="F1205" s="63" t="str">
        <f aca="false">IF('Onshore - Sydney'!D448="","Belum tercatat",'Onshore - Sydney'!D448)</f>
        <v>Trimester</v>
      </c>
      <c r="G1205" s="65" t="n">
        <f aca="false">IF('Onshore - Sydney'!E448="","-",'Onshore - Sydney'!E448)</f>
        <v>7800</v>
      </c>
      <c r="H1205" s="63" t="n">
        <f aca="false">IF(ISNUMBER(K1205),COUNTIFS($J$6:$J$1916,J1205,$K$6:$K$1916,"&lt;"&amp;K1205)+1,"-")</f>
        <v>3</v>
      </c>
      <c r="I1205" s="64" t="str">
        <f aca="false">IF('Onshore - Sydney'!E448="","Harga belum tersedia - hubungi konsultan TEG",IF(M1205=2,"Saat ini tidak menerima pendaftaran siswa internasional baru",IF(M1205=1,"Harga perlu dikonfirmasi ke sekolah"&amp;IF(""="","","; "&amp;""),"")))</f>
        <v/>
      </c>
      <c r="J1205" s="0" t="s">
        <v>4281</v>
      </c>
      <c r="K1205" s="0" t="n">
        <f aca="false">IF(M1205=2,"",IF(ISNUMBER(SEARCH("rata-rata:",'Onshore - Sydney'!M448)),VALUE(MID('Onshore - Sydney'!M448,SEARCH("rata-rata:",'Onshore - Sydney'!M448)+11,FIND(";",'Onshore - Sydney'!M448&amp;";",SEARCH("rata-rata:",'Onshore - Sydney'!M448))-SEARCH("rata-rata:",'Onshore - Sydney'!M448)-11)),IF('Onshore - Sydney'!D448="Semester",'Onshore - Sydney'!E448*2,IF('Onshore - Sydney'!D448="Trimester",'Onshore - Sydney'!E448*3,IF('Onshore - Sydney'!D448="Term",'Onshore - Sydney'!E448*4,IF('Onshore - Sydney'!D448="Unit",'Onshore - Sydney'!E448*8,""))))))</f>
        <v>23400</v>
      </c>
      <c r="L1205" s="0" t="n">
        <f aca="false">IF(AND(ISNUMBER('Onshore - Sydney'!E448),ISNUMBER(K1205),ISNUMBER('Onshore - Sydney'!F448),ISNUMBER('Onshore - Sydney'!G448),OR('Onshore - Sydney'!F448&lt;&gt;0,ISNUMBER(SEARCH("Material 0 terverifikasi",'Onshore - Sydney'!M448))),OR('Onshore - Sydney'!G448&lt;&gt;0,ISNUMBER(SEARCH("Enrolment 0 terverifikasi",'Onshore - Sydney'!M448)))),1,0)</f>
        <v>0</v>
      </c>
      <c r="M1205" s="0" t="n">
        <f aca="false">IF(OR('Onshore - Sydney'!E448="",ISNUMBER(SEARCH("BSB80120",'Onshore - Sydney'!B448&amp;'Onshore - Sydney'!M448)),ISNUMBER(SEARCH("Management (Learning)",'Onshore - Sydney'!B448))),2,IF(ISNUMBER(SEARCH("CEK:",'Onshore - Sydney'!M448)),1,0))</f>
        <v>0</v>
      </c>
    </row>
    <row r="1206" customFormat="false" ht="15" hidden="false" customHeight="false" outlineLevel="0" collapsed="false">
      <c r="A1206" s="63" t="s">
        <v>3533</v>
      </c>
      <c r="B1206" s="64" t="s">
        <v>4207</v>
      </c>
      <c r="C1206" s="63" t="s">
        <v>3707</v>
      </c>
      <c r="D1206" s="64" t="str">
        <f aca="false">TRIM(LEFT('Onshore - Sydney'!A163,FIND(CHAR(10),'Onshore - Sydney'!A163&amp;CHAR(10))-1))</f>
        <v>Australian Catholic University (ACU)</v>
      </c>
      <c r="E1206" s="63" t="str">
        <f aca="false">'Onshore - Sydney'!C241&amp;""</f>
        <v>1 year</v>
      </c>
      <c r="F1206" s="63" t="str">
        <f aca="false">IF('Onshore - Sydney'!D241="","Belum tercatat",'Onshore - Sydney'!D241)</f>
        <v>Term</v>
      </c>
      <c r="G1206" s="65" t="n">
        <f aca="false">IF('Onshore - Sydney'!E241="","-",'Onshore - Sydney'!E241)</f>
        <v>8018</v>
      </c>
      <c r="H1206" s="63" t="n">
        <f aca="false">IF(ISNUMBER(K1206),COUNTIFS($J$6:$J$1916,J1206,$K$6:$K$1916,"&lt;"&amp;K1206)+1,"-")</f>
        <v>4</v>
      </c>
      <c r="I1206" s="64" t="str">
        <f aca="false">IF('Onshore - Sydney'!E241="","Harga belum tersedia - hubungi konsultan TEG",IF(M1206=2,"Saat ini tidak menerima pendaftaran siswa internasional baru",IF(M1206=1,"Harga perlu dikonfirmasi ke sekolah"&amp;IF(""="","","; "&amp;""),"")))</f>
        <v/>
      </c>
      <c r="J1206" s="0" t="s">
        <v>4281</v>
      </c>
      <c r="K1206" s="0" t="n">
        <f aca="false">IF(M1206=2,"",IF(ISNUMBER(SEARCH("rata-rata:",'Onshore - Sydney'!M241)),VALUE(MID('Onshore - Sydney'!M241,SEARCH("rata-rata:",'Onshore - Sydney'!M241)+11,FIND(";",'Onshore - Sydney'!M241&amp;";",SEARCH("rata-rata:",'Onshore - Sydney'!M241))-SEARCH("rata-rata:",'Onshore - Sydney'!M241)-11)),IF('Onshore - Sydney'!D241="Semester",'Onshore - Sydney'!E241*2,IF('Onshore - Sydney'!D241="Trimester",'Onshore - Sydney'!E241*3,IF('Onshore - Sydney'!D241="Term",'Onshore - Sydney'!E241*4,IF('Onshore - Sydney'!D241="Unit",'Onshore - Sydney'!E241*8,""))))))</f>
        <v>32072</v>
      </c>
      <c r="L1206" s="0" t="n">
        <f aca="false">IF(AND(ISNUMBER('Onshore - Sydney'!E241),ISNUMBER(K1206),ISNUMBER('Onshore - Sydney'!F241),ISNUMBER('Onshore - Sydney'!G241),OR('Onshore - Sydney'!F241&lt;&gt;0,ISNUMBER(SEARCH("Material 0 terverifikasi",'Onshore - Sydney'!M241))),OR('Onshore - Sydney'!G241&lt;&gt;0,ISNUMBER(SEARCH("Enrolment 0 terverifikasi",'Onshore - Sydney'!M241)))),1,0)</f>
        <v>0</v>
      </c>
      <c r="M1206" s="0" t="n">
        <f aca="false">IF(OR('Onshore - Sydney'!E241="",ISNUMBER(SEARCH("BSB80120",'Onshore - Sydney'!B241&amp;'Onshore - Sydney'!M241)),ISNUMBER(SEARCH("Management (Learning)",'Onshore - Sydney'!B241))),2,IF(ISNUMBER(SEARCH("CEK:",'Onshore - Sydney'!M241)),1,0))</f>
        <v>0</v>
      </c>
    </row>
    <row r="1207" customFormat="false" ht="15" hidden="false" customHeight="false" outlineLevel="0" collapsed="false">
      <c r="A1207" s="61" t="s">
        <v>4282</v>
      </c>
      <c r="B1207" s="62"/>
      <c r="C1207" s="62"/>
      <c r="D1207" s="62"/>
      <c r="E1207" s="62"/>
      <c r="F1207" s="62"/>
      <c r="G1207" s="62"/>
      <c r="H1207" s="62"/>
      <c r="I1207" s="62"/>
    </row>
    <row r="1208" customFormat="false" ht="15" hidden="false" customHeight="false" outlineLevel="0" collapsed="false">
      <c r="A1208" s="63" t="s">
        <v>3533</v>
      </c>
      <c r="B1208" s="64" t="s">
        <v>4207</v>
      </c>
      <c r="C1208" s="63" t="s">
        <v>46</v>
      </c>
      <c r="D1208" s="64" t="str">
        <f aca="false">TRIM(LEFT('Onshore - Sydney'!A448,FIND(CHAR(10),'Onshore - Sydney'!A448&amp;CHAR(10))-1))</f>
        <v>ECA College of Health Sciences (CHS)</v>
      </c>
      <c r="E1208" s="63" t="str">
        <f aca="false">'Onshore - Sydney'!C450&amp;""</f>
        <v>2 years</v>
      </c>
      <c r="F1208" s="63" t="str">
        <f aca="false">IF('Onshore - Sydney'!D450="","Belum tercatat",'Onshore - Sydney'!D450)</f>
        <v>Trimester</v>
      </c>
      <c r="G1208" s="65" t="n">
        <f aca="false">IF('Onshore - Sydney'!E450="","-",'Onshore - Sydney'!E450)</f>
        <v>7800</v>
      </c>
      <c r="H1208" s="63" t="n">
        <f aca="false">IF(ISNUMBER(K1208),COUNTIFS($J$6:$J$1916,J1208,$K$6:$K$1916,"&lt;"&amp;K1208)+1,"-")</f>
        <v>1</v>
      </c>
      <c r="I1208" s="64" t="str">
        <f aca="false">IF('Onshore - Sydney'!E450="","Harga belum tersedia - hubungi konsultan TEG",IF(M1208=2,"Saat ini tidak menerima pendaftaran siswa internasional baru",IF(M1208=1,"Harga perlu dikonfirmasi ke sekolah"&amp;IF(""="","","; "&amp;""),"")))</f>
        <v/>
      </c>
      <c r="J1208" s="0" t="s">
        <v>4283</v>
      </c>
      <c r="K1208" s="0" t="n">
        <f aca="false">IF(M1208=2,"",IF(ISNUMBER(SEARCH("rata-rata:",'Onshore - Sydney'!M450)),VALUE(MID('Onshore - Sydney'!M450,SEARCH("rata-rata:",'Onshore - Sydney'!M450)+11,FIND(";",'Onshore - Sydney'!M450&amp;";",SEARCH("rata-rata:",'Onshore - Sydney'!M450))-SEARCH("rata-rata:",'Onshore - Sydney'!M450)-11)),IF('Onshore - Sydney'!D450="Semester",'Onshore - Sydney'!E450*2,IF('Onshore - Sydney'!D450="Trimester",'Onshore - Sydney'!E450*3,IF('Onshore - Sydney'!D450="Term",'Onshore - Sydney'!E450*4,IF('Onshore - Sydney'!D450="Unit",'Onshore - Sydney'!E450*8,""))))))</f>
        <v>23400</v>
      </c>
      <c r="L1208" s="0" t="n">
        <f aca="false">IF(AND(ISNUMBER('Onshore - Sydney'!E450),ISNUMBER(K1208),ISNUMBER('Onshore - Sydney'!F450),ISNUMBER('Onshore - Sydney'!G450),OR('Onshore - Sydney'!F450&lt;&gt;0,ISNUMBER(SEARCH("Material 0 terverifikasi",'Onshore - Sydney'!M450))),OR('Onshore - Sydney'!G450&lt;&gt;0,ISNUMBER(SEARCH("Enrolment 0 terverifikasi",'Onshore - Sydney'!M450)))),1,0)</f>
        <v>0</v>
      </c>
      <c r="M1208" s="0" t="n">
        <f aca="false">IF(OR('Onshore - Sydney'!E450="",ISNUMBER(SEARCH("BSB80120",'Onshore - Sydney'!B450&amp;'Onshore - Sydney'!M450)),ISNUMBER(SEARCH("Management (Learning)",'Onshore - Sydney'!B450))),2,IF(ISNUMBER(SEARCH("CEK:",'Onshore - Sydney'!M450)),1,0))</f>
        <v>0</v>
      </c>
    </row>
    <row r="1209" customFormat="false" ht="15" hidden="false" customHeight="false" outlineLevel="0" collapsed="false">
      <c r="A1209" s="63" t="s">
        <v>3533</v>
      </c>
      <c r="B1209" s="64" t="s">
        <v>4207</v>
      </c>
      <c r="C1209" s="63" t="s">
        <v>46</v>
      </c>
      <c r="D1209" s="64" t="str">
        <f aca="false">TRIM(LEFT('Onshore - Sydney'!A998,FIND(CHAR(10),'Onshore - Sydney'!A998&amp;CHAR(10))-1))</f>
        <v>University of Tasmania (UTAS)</v>
      </c>
      <c r="E1209" s="63" t="str">
        <f aca="false">'Onshore - Sydney'!C1003&amp;""</f>
        <v>2 years</v>
      </c>
      <c r="F1209" s="63" t="str">
        <f aca="false">IF('Onshore - Sydney'!D1003="","Belum tercatat",'Onshore - Sydney'!D1003)</f>
        <v>Term</v>
      </c>
      <c r="G1209" s="65" t="n">
        <f aca="false">IF('Onshore - Sydney'!E1003="","-",'Onshore - Sydney'!E1003)</f>
        <v>6647</v>
      </c>
      <c r="H1209" s="63" t="n">
        <f aca="false">IF(ISNUMBER(K1209),COUNTIFS($J$6:$J$1916,J1209,$K$6:$K$1916,"&lt;"&amp;K1209)+1,"-")</f>
        <v>2</v>
      </c>
      <c r="I1209" s="64" t="str">
        <f aca="false">IF('Onshore - Sydney'!E1003="","Harga belum tersedia - hubungi konsultan TEG",IF(M1209=2,"Saat ini tidak menerima pendaftaran siswa internasional baru",IF(M1209=1,"Harga perlu dikonfirmasi ke sekolah"&amp;IF(""="","","; "&amp;""),"")))</f>
        <v/>
      </c>
      <c r="J1209" s="0" t="s">
        <v>4283</v>
      </c>
      <c r="K1209" s="0" t="n">
        <f aca="false">IF(M1209=2,"",IF(ISNUMBER(SEARCH("rata-rata:",'Onshore - Sydney'!M1003)),VALUE(MID('Onshore - Sydney'!M1003,SEARCH("rata-rata:",'Onshore - Sydney'!M1003)+11,FIND(";",'Onshore - Sydney'!M1003&amp;";",SEARCH("rata-rata:",'Onshore - Sydney'!M1003))-SEARCH("rata-rata:",'Onshore - Sydney'!M1003)-11)),IF('Onshore - Sydney'!D1003="Semester",'Onshore - Sydney'!E1003*2,IF('Onshore - Sydney'!D1003="Trimester",'Onshore - Sydney'!E1003*3,IF('Onshore - Sydney'!D1003="Term",'Onshore - Sydney'!E1003*4,IF('Onshore - Sydney'!D1003="Unit",'Onshore - Sydney'!E1003*8,""))))))</f>
        <v>26588</v>
      </c>
      <c r="L1209" s="0" t="n">
        <f aca="false">IF(AND(ISNUMBER('Onshore - Sydney'!E1003),ISNUMBER(K1209),ISNUMBER('Onshore - Sydney'!F1003),ISNUMBER('Onshore - Sydney'!G1003),OR('Onshore - Sydney'!F1003&lt;&gt;0,ISNUMBER(SEARCH("Material 0 terverifikasi",'Onshore - Sydney'!M1003))),OR('Onshore - Sydney'!G1003&lt;&gt;0,ISNUMBER(SEARCH("Enrolment 0 terverifikasi",'Onshore - Sydney'!M1003)))),1,0)</f>
        <v>0</v>
      </c>
      <c r="M1209" s="0" t="n">
        <f aca="false">IF(OR('Onshore - Sydney'!E1003="",ISNUMBER(SEARCH("BSB80120",'Onshore - Sydney'!B1003&amp;'Onshore - Sydney'!M1003)),ISNUMBER(SEARCH("Management (Learning)",'Onshore - Sydney'!B1003))),2,IF(ISNUMBER(SEARCH("CEK:",'Onshore - Sydney'!M1003)),1,0))</f>
        <v>0</v>
      </c>
    </row>
    <row r="1210" customFormat="false" ht="15" hidden="false" customHeight="false" outlineLevel="0" collapsed="false">
      <c r="A1210" s="63" t="s">
        <v>3533</v>
      </c>
      <c r="B1210" s="64" t="s">
        <v>4207</v>
      </c>
      <c r="C1210" s="63" t="s">
        <v>46</v>
      </c>
      <c r="D1210" s="64" t="str">
        <f aca="false">TRIM(LEFT('Onshore - Sydney'!A888,FIND(CHAR(10),'Onshore - Sydney'!A888&amp;CHAR(10))-1))</f>
        <v>Torrens University Australia</v>
      </c>
      <c r="E1210" s="63" t="str">
        <f aca="false">'Onshore - Sydney'!C906&amp;""</f>
        <v>2 years</v>
      </c>
      <c r="F1210" s="63" t="str">
        <f aca="false">IF('Onshore - Sydney'!D906="","Belum tercatat",'Onshore - Sydney'!D906)</f>
        <v>Term</v>
      </c>
      <c r="G1210" s="65" t="n">
        <f aca="false">IF('Onshore - Sydney'!E906="","-",'Onshore - Sydney'!E906)</f>
        <v>7950</v>
      </c>
      <c r="H1210" s="63" t="n">
        <f aca="false">IF(ISNUMBER(K1210),COUNTIFS($J$6:$J$1916,J1210,$K$6:$K$1916,"&lt;"&amp;K1210)+1,"-")</f>
        <v>3</v>
      </c>
      <c r="I1210" s="64" t="str">
        <f aca="false">IF('Onshore - Sydney'!E906="","Harga belum tersedia - hubungi konsultan TEG",IF(M1210=2,"Saat ini tidak menerima pendaftaran siswa internasional baru",IF(M1210=1,"Harga perlu dikonfirmasi ke sekolah"&amp;IF(""="","","; "&amp;""),"")))</f>
        <v/>
      </c>
      <c r="J1210" s="0" t="s">
        <v>4283</v>
      </c>
      <c r="K1210" s="0" t="n">
        <f aca="false">IF(M1210=2,"",IF(ISNUMBER(SEARCH("rata-rata:",'Onshore - Sydney'!M906)),VALUE(MID('Onshore - Sydney'!M906,SEARCH("rata-rata:",'Onshore - Sydney'!M906)+11,FIND(";",'Onshore - Sydney'!M906&amp;";",SEARCH("rata-rata:",'Onshore - Sydney'!M906))-SEARCH("rata-rata:",'Onshore - Sydney'!M906)-11)),IF('Onshore - Sydney'!D906="Semester",'Onshore - Sydney'!E906*2,IF('Onshore - Sydney'!D906="Trimester",'Onshore - Sydney'!E906*3,IF('Onshore - Sydney'!D906="Term",'Onshore - Sydney'!E906*4,IF('Onshore - Sydney'!D906="Unit",'Onshore - Sydney'!E906*8,""))))))</f>
        <v>31800</v>
      </c>
      <c r="L1210" s="0" t="n">
        <f aca="false">IF(AND(ISNUMBER('Onshore - Sydney'!E906),ISNUMBER(K1210),ISNUMBER('Onshore - Sydney'!F906),ISNUMBER('Onshore - Sydney'!G906),OR('Onshore - Sydney'!F906&lt;&gt;0,ISNUMBER(SEARCH("Material 0 terverifikasi",'Onshore - Sydney'!M906))),OR('Onshore - Sydney'!G906&lt;&gt;0,ISNUMBER(SEARCH("Enrolment 0 terverifikasi",'Onshore - Sydney'!M906)))),1,0)</f>
        <v>0</v>
      </c>
      <c r="M1210" s="0" t="n">
        <f aca="false">IF(OR('Onshore - Sydney'!E906="",ISNUMBER(SEARCH("BSB80120",'Onshore - Sydney'!B906&amp;'Onshore - Sydney'!M906)),ISNUMBER(SEARCH("Management (Learning)",'Onshore - Sydney'!B906))),2,IF(ISNUMBER(SEARCH("CEK:",'Onshore - Sydney'!M906)),1,0))</f>
        <v>0</v>
      </c>
    </row>
    <row r="1211" customFormat="false" ht="15" hidden="false" customHeight="false" outlineLevel="0" collapsed="false">
      <c r="A1211" s="63" t="s">
        <v>3533</v>
      </c>
      <c r="B1211" s="64" t="s">
        <v>4207</v>
      </c>
      <c r="C1211" s="63" t="s">
        <v>46</v>
      </c>
      <c r="D1211" s="64" t="str">
        <f aca="false">TRIM(LEFT('Onshore - Sydney'!A163,FIND(CHAR(10),'Onshore - Sydney'!A163&amp;CHAR(10))-1))</f>
        <v>Australian Catholic University (ACU)</v>
      </c>
      <c r="E1211" s="63" t="str">
        <f aca="false">'Onshore - Sydney'!C242&amp;""</f>
        <v>2 years</v>
      </c>
      <c r="F1211" s="63" t="str">
        <f aca="false">IF('Onshore - Sydney'!D242="","Belum tercatat",'Onshore - Sydney'!D242)</f>
        <v>Term</v>
      </c>
      <c r="G1211" s="65" t="n">
        <f aca="false">IF('Onshore - Sydney'!E242="","-",'Onshore - Sydney'!E242)</f>
        <v>8018</v>
      </c>
      <c r="H1211" s="63" t="n">
        <f aca="false">IF(ISNUMBER(K1211),COUNTIFS($J$6:$J$1916,J1211,$K$6:$K$1916,"&lt;"&amp;K1211)+1,"-")</f>
        <v>4</v>
      </c>
      <c r="I1211" s="64" t="str">
        <f aca="false">IF('Onshore - Sydney'!E242="","Harga belum tersedia - hubungi konsultan TEG",IF(M1211=2,"Saat ini tidak menerima pendaftaran siswa internasional baru",IF(M1211=1,"Harga perlu dikonfirmasi ke sekolah"&amp;IF(""="","","; "&amp;""),"")))</f>
        <v/>
      </c>
      <c r="J1211" s="0" t="s">
        <v>4283</v>
      </c>
      <c r="K1211" s="0" t="n">
        <f aca="false">IF(M1211=2,"",IF(ISNUMBER(SEARCH("rata-rata:",'Onshore - Sydney'!M242)),VALUE(MID('Onshore - Sydney'!M242,SEARCH("rata-rata:",'Onshore - Sydney'!M242)+11,FIND(";",'Onshore - Sydney'!M242&amp;";",SEARCH("rata-rata:",'Onshore - Sydney'!M242))-SEARCH("rata-rata:",'Onshore - Sydney'!M242)-11)),IF('Onshore - Sydney'!D242="Semester",'Onshore - Sydney'!E242*2,IF('Onshore - Sydney'!D242="Trimester",'Onshore - Sydney'!E242*3,IF('Onshore - Sydney'!D242="Term",'Onshore - Sydney'!E242*4,IF('Onshore - Sydney'!D242="Unit",'Onshore - Sydney'!E242*8,""))))))</f>
        <v>32072</v>
      </c>
      <c r="L1211" s="0" t="n">
        <f aca="false">IF(AND(ISNUMBER('Onshore - Sydney'!E242),ISNUMBER(K1211),ISNUMBER('Onshore - Sydney'!F242),ISNUMBER('Onshore - Sydney'!G242),OR('Onshore - Sydney'!F242&lt;&gt;0,ISNUMBER(SEARCH("Material 0 terverifikasi",'Onshore - Sydney'!M242))),OR('Onshore - Sydney'!G242&lt;&gt;0,ISNUMBER(SEARCH("Enrolment 0 terverifikasi",'Onshore - Sydney'!M242)))),1,0)</f>
        <v>0</v>
      </c>
      <c r="M1211" s="0" t="n">
        <f aca="false">IF(OR('Onshore - Sydney'!E242="",ISNUMBER(SEARCH("BSB80120",'Onshore - Sydney'!B242&amp;'Onshore - Sydney'!M242)),ISNUMBER(SEARCH("Management (Learning)",'Onshore - Sydney'!B242))),2,IF(ISNUMBER(SEARCH("CEK:",'Onshore - Sydney'!M242)),1,0))</f>
        <v>0</v>
      </c>
    </row>
    <row r="1212" customFormat="false" ht="15" hidden="false" customHeight="false" outlineLevel="0" collapsed="false">
      <c r="A1212" s="63" t="s">
        <v>3533</v>
      </c>
      <c r="B1212" s="64" t="s">
        <v>4207</v>
      </c>
      <c r="C1212" s="63" t="s">
        <v>46</v>
      </c>
      <c r="D1212" s="64" t="str">
        <f aca="false">TRIM(LEFT('Onshore - Sydney'!A1062,FIND(CHAR(10),'Onshore - Sydney'!A1062&amp;CHAR(10))-1))</f>
        <v>Western Sydney University</v>
      </c>
      <c r="E1212" s="63" t="str">
        <f aca="false">'Onshore - Sydney'!C1187&amp;""</f>
        <v>2 years</v>
      </c>
      <c r="F1212" s="63" t="str">
        <f aca="false">IF('Onshore - Sydney'!D1187="","Belum tercatat",'Onshore - Sydney'!D1187)</f>
        <v>Term</v>
      </c>
      <c r="G1212" s="65" t="n">
        <f aca="false">IF('Onshore - Sydney'!E1187="","-",'Onshore - Sydney'!E1187)</f>
        <v>8694</v>
      </c>
      <c r="H1212" s="63" t="n">
        <f aca="false">IF(ISNUMBER(K1212),COUNTIFS($J$6:$J$1916,J1212,$K$6:$K$1916,"&lt;"&amp;K1212)+1,"-")</f>
        <v>5</v>
      </c>
      <c r="I1212" s="64" t="str">
        <f aca="false">IF('Onshore - Sydney'!E1187="","Harga belum tersedia - hubungi konsultan TEG",IF(M1212=2,"Saat ini tidak menerima pendaftaran siswa internasional baru",IF(M1212=1,"Harga perlu dikonfirmasi ke sekolah"&amp;IF(""="","","; "&amp;""),"")))</f>
        <v/>
      </c>
      <c r="J1212" s="0" t="s">
        <v>4283</v>
      </c>
      <c r="K1212" s="0" t="n">
        <f aca="false">IF(M1212=2,"",IF(ISNUMBER(SEARCH("rata-rata:",'Onshore - Sydney'!M1187)),VALUE(MID('Onshore - Sydney'!M1187,SEARCH("rata-rata:",'Onshore - Sydney'!M1187)+11,FIND(";",'Onshore - Sydney'!M1187&amp;";",SEARCH("rata-rata:",'Onshore - Sydney'!M1187))-SEARCH("rata-rata:",'Onshore - Sydney'!M1187)-11)),IF('Onshore - Sydney'!D1187="Semester",'Onshore - Sydney'!E1187*2,IF('Onshore - Sydney'!D1187="Trimester",'Onshore - Sydney'!E1187*3,IF('Onshore - Sydney'!D1187="Term",'Onshore - Sydney'!E1187*4,IF('Onshore - Sydney'!D1187="Unit",'Onshore - Sydney'!E1187*8,""))))))</f>
        <v>34776</v>
      </c>
      <c r="L1212" s="0" t="n">
        <f aca="false">IF(AND(ISNUMBER('Onshore - Sydney'!E1187),ISNUMBER(K1212),ISNUMBER('Onshore - Sydney'!F1187),ISNUMBER('Onshore - Sydney'!G1187),OR('Onshore - Sydney'!F1187&lt;&gt;0,ISNUMBER(SEARCH("Material 0 terverifikasi",'Onshore - Sydney'!M1187))),OR('Onshore - Sydney'!G1187&lt;&gt;0,ISNUMBER(SEARCH("Enrolment 0 terverifikasi",'Onshore - Sydney'!M1187)))),1,0)</f>
        <v>0</v>
      </c>
      <c r="M1212" s="0" t="n">
        <f aca="false">IF(OR('Onshore - Sydney'!E1187="",ISNUMBER(SEARCH("BSB80120",'Onshore - Sydney'!B1187&amp;'Onshore - Sydney'!M1187)),ISNUMBER(SEARCH("Management (Learning)",'Onshore - Sydney'!B1187))),2,IF(ISNUMBER(SEARCH("CEK:",'Onshore - Sydney'!M1187)),1,0))</f>
        <v>0</v>
      </c>
    </row>
    <row r="1213" customFormat="false" ht="15" hidden="false" customHeight="false" outlineLevel="0" collapsed="false">
      <c r="A1213" s="63" t="s">
        <v>3533</v>
      </c>
      <c r="B1213" s="64" t="s">
        <v>4207</v>
      </c>
      <c r="C1213" s="63" t="s">
        <v>46</v>
      </c>
      <c r="D1213" s="64" t="str">
        <f aca="false">TRIM(LEFT('Onshore - Sydney'!A394,FIND(CHAR(10),'Onshore - Sydney'!A394&amp;CHAR(10))-1))</f>
        <v>Charles Darwin University (CDU)</v>
      </c>
      <c r="E1213" s="63" t="str">
        <f aca="false">'Onshore - Sydney'!C401&amp;""</f>
        <v>2 years</v>
      </c>
      <c r="F1213" s="63" t="str">
        <f aca="false">IF('Onshore - Sydney'!D401="","Belum tercatat",'Onshore - Sydney'!D401)</f>
        <v>Term</v>
      </c>
      <c r="G1213" s="65" t="n">
        <f aca="false">IF('Onshore - Sydney'!E401="","-",'Onshore - Sydney'!E401)</f>
        <v>10104</v>
      </c>
      <c r="H1213" s="63" t="n">
        <f aca="false">IF(ISNUMBER(K1213),COUNTIFS($J$6:$J$1916,J1213,$K$6:$K$1916,"&lt;"&amp;K1213)+1,"-")</f>
        <v>6</v>
      </c>
      <c r="I1213" s="64" t="str">
        <f aca="false">IF('Onshore - Sydney'!E401="","Harga belum tersedia - hubungi konsultan TEG",IF(M1213=2,"Saat ini tidak menerima pendaftaran siswa internasional baru",IF(M1213=1,"Harga perlu dikonfirmasi ke sekolah"&amp;IF(""="","","; "&amp;""),"")))</f>
        <v/>
      </c>
      <c r="J1213" s="0" t="s">
        <v>4283</v>
      </c>
      <c r="K1213" s="0" t="n">
        <f aca="false">IF(M1213=2,"",IF(ISNUMBER(SEARCH("rata-rata:",'Onshore - Sydney'!M401)),VALUE(MID('Onshore - Sydney'!M401,SEARCH("rata-rata:",'Onshore - Sydney'!M401)+11,FIND(";",'Onshore - Sydney'!M401&amp;";",SEARCH("rata-rata:",'Onshore - Sydney'!M401))-SEARCH("rata-rata:",'Onshore - Sydney'!M401)-11)),IF('Onshore - Sydney'!D401="Semester",'Onshore - Sydney'!E401*2,IF('Onshore - Sydney'!D401="Trimester",'Onshore - Sydney'!E401*3,IF('Onshore - Sydney'!D401="Term",'Onshore - Sydney'!E401*4,IF('Onshore - Sydney'!D401="Unit",'Onshore - Sydney'!E401*8,""))))))</f>
        <v>40416</v>
      </c>
      <c r="L1213" s="0" t="n">
        <f aca="false">IF(AND(ISNUMBER('Onshore - Sydney'!E401),ISNUMBER(K1213),ISNUMBER('Onshore - Sydney'!F401),ISNUMBER('Onshore - Sydney'!G401),OR('Onshore - Sydney'!F401&lt;&gt;0,ISNUMBER(SEARCH("Material 0 terverifikasi",'Onshore - Sydney'!M401))),OR('Onshore - Sydney'!G401&lt;&gt;0,ISNUMBER(SEARCH("Enrolment 0 terverifikasi",'Onshore - Sydney'!M401)))),1,0)</f>
        <v>0</v>
      </c>
      <c r="M1213" s="0" t="n">
        <f aca="false">IF(OR('Onshore - Sydney'!E401="",ISNUMBER(SEARCH("BSB80120",'Onshore - Sydney'!B401&amp;'Onshore - Sydney'!M401)),ISNUMBER(SEARCH("Management (Learning)",'Onshore - Sydney'!B401))),2,IF(ISNUMBER(SEARCH("CEK:",'Onshore - Sydney'!M401)),1,0))</f>
        <v>0</v>
      </c>
    </row>
    <row r="1214" customFormat="false" ht="15" hidden="false" customHeight="false" outlineLevel="0" collapsed="false">
      <c r="A1214" s="61" t="s">
        <v>4284</v>
      </c>
      <c r="B1214" s="62"/>
      <c r="C1214" s="62"/>
      <c r="D1214" s="62"/>
      <c r="E1214" s="62"/>
      <c r="F1214" s="62"/>
      <c r="G1214" s="62"/>
      <c r="H1214" s="62"/>
      <c r="I1214" s="62"/>
    </row>
    <row r="1215" customFormat="false" ht="15" hidden="false" customHeight="false" outlineLevel="0" collapsed="false">
      <c r="A1215" s="63" t="s">
        <v>3533</v>
      </c>
      <c r="B1215" s="64" t="s">
        <v>4207</v>
      </c>
      <c r="C1215" s="63" t="s">
        <v>4222</v>
      </c>
      <c r="D1215" s="64" t="str">
        <f aca="false">TRIM(LEFT('Onshore - Sydney'!A1062,FIND(CHAR(10),'Onshore - Sydney'!A1062&amp;CHAR(10))-1))</f>
        <v>Western Sydney University</v>
      </c>
      <c r="E1215" s="63" t="str">
        <f aca="false">'Onshore - Sydney'!C1112&amp;""</f>
        <v>5 years</v>
      </c>
      <c r="F1215" s="63" t="str">
        <f aca="false">IF('Onshore - Sydney'!D1112="","Belum tercatat",'Onshore - Sydney'!D1112)</f>
        <v>Term</v>
      </c>
      <c r="G1215" s="65" t="n">
        <f aca="false">IF('Onshore - Sydney'!E1112="","-",'Onshore - Sydney'!E1112)</f>
        <v>21380</v>
      </c>
      <c r="H1215" s="63" t="n">
        <f aca="false">IF(ISNUMBER(K1215),COUNTIFS($J$6:$J$1916,J1215,$K$6:$K$1916,"&lt;"&amp;K1215)+1,"-")</f>
        <v>1</v>
      </c>
      <c r="I1215" s="64" t="str">
        <f aca="false">IF('Onshore - Sydney'!E1112="","Harga belum tersedia - hubungi konsultan TEG",IF(M1215=2,"Saat ini tidak menerima pendaftaran siswa internasional baru",IF(M1215=1,"Harga perlu dikonfirmasi ke sekolah"&amp;IF(""="","","; "&amp;""),"")))</f>
        <v/>
      </c>
      <c r="J1215" s="0" t="s">
        <v>4285</v>
      </c>
      <c r="K1215" s="0" t="n">
        <f aca="false">IF(M1215=2,"",IF(ISNUMBER(SEARCH("rata-rata:",'Onshore - Sydney'!M1112)),VALUE(MID('Onshore - Sydney'!M1112,SEARCH("rata-rata:",'Onshore - Sydney'!M1112)+11,FIND(";",'Onshore - Sydney'!M1112&amp;";",SEARCH("rata-rata:",'Onshore - Sydney'!M1112))-SEARCH("rata-rata:",'Onshore - Sydney'!M1112)-11)),IF('Onshore - Sydney'!D1112="Semester",'Onshore - Sydney'!E1112*2,IF('Onshore - Sydney'!D1112="Trimester",'Onshore - Sydney'!E1112*3,IF('Onshore - Sydney'!D1112="Term",'Onshore - Sydney'!E1112*4,IF('Onshore - Sydney'!D1112="Unit",'Onshore - Sydney'!E1112*8,""))))))</f>
        <v>85520</v>
      </c>
      <c r="L1215" s="0" t="n">
        <f aca="false">IF(AND(ISNUMBER('Onshore - Sydney'!E1112),ISNUMBER(K1215),ISNUMBER('Onshore - Sydney'!F1112),ISNUMBER('Onshore - Sydney'!G1112),OR('Onshore - Sydney'!F1112&lt;&gt;0,ISNUMBER(SEARCH("Material 0 terverifikasi",'Onshore - Sydney'!M1112))),OR('Onshore - Sydney'!G1112&lt;&gt;0,ISNUMBER(SEARCH("Enrolment 0 terverifikasi",'Onshore - Sydney'!M1112)))),1,0)</f>
        <v>0</v>
      </c>
      <c r="M1215" s="0" t="n">
        <f aca="false">IF(OR('Onshore - Sydney'!E1112="",ISNUMBER(SEARCH("BSB80120",'Onshore - Sydney'!B1112&amp;'Onshore - Sydney'!M1112)),ISNUMBER(SEARCH("Management (Learning)",'Onshore - Sydney'!B1112))),2,IF(ISNUMBER(SEARCH("CEK:",'Onshore - Sydney'!M1112)),1,0))</f>
        <v>0</v>
      </c>
    </row>
    <row r="1216" customFormat="false" ht="15" hidden="false" customHeight="false" outlineLevel="0" collapsed="false">
      <c r="A1216" s="61" t="s">
        <v>4286</v>
      </c>
      <c r="B1216" s="62"/>
      <c r="C1216" s="62"/>
      <c r="D1216" s="62"/>
      <c r="E1216" s="62"/>
      <c r="F1216" s="62"/>
      <c r="G1216" s="62"/>
      <c r="H1216" s="62"/>
      <c r="I1216" s="62"/>
    </row>
    <row r="1217" customFormat="false" ht="15" hidden="false" customHeight="false" outlineLevel="0" collapsed="false">
      <c r="A1217" s="63" t="s">
        <v>3753</v>
      </c>
      <c r="B1217" s="64" t="s">
        <v>4207</v>
      </c>
      <c r="C1217" s="63" t="s">
        <v>40</v>
      </c>
      <c r="D1217" s="64" t="str">
        <f aca="false">TRIM(LEFT('Onshore - Tasmania Hobart'!A8,FIND(CHAR(10),'Onshore - Tasmania Hobart'!A8&amp;CHAR(10))-1))</f>
        <v>Australian Sovereign College (AuSC)</v>
      </c>
      <c r="E1217" s="63" t="str">
        <f aca="false">'Onshore - Tasmania Hobart'!C8&amp;""</f>
        <v>2 years</v>
      </c>
      <c r="F1217" s="63" t="str">
        <f aca="false">IF('Onshore - Tasmania Hobart'!D8="","Belum tercatat",'Onshore - Tasmania Hobart'!D8)</f>
        <v>Term</v>
      </c>
      <c r="G1217" s="65" t="n">
        <f aca="false">IF('Onshore - Tasmania Hobart'!E8="","-",'Onshore - Tasmania Hobart'!E8)</f>
        <v>2950</v>
      </c>
      <c r="H1217" s="63" t="n">
        <f aca="false">IF(ISNUMBER(K1217),COUNTIFS($J$6:$J$1916,J1217,$K$6:$K$1916,"&lt;"&amp;K1217)+1,"-")</f>
        <v>1</v>
      </c>
      <c r="I1217" s="64" t="str">
        <f aca="false">IF('Onshore - Tasmania Hobart'!E8="","Harga belum tersedia - hubungi konsultan TEG",IF(M1217=2,"Saat ini tidak menerima pendaftaran siswa internasional baru",IF(M1217=1,"Harga perlu dikonfirmasi ke sekolah"&amp;IF(""="","","; "&amp;""),"")))</f>
        <v/>
      </c>
      <c r="J1217" s="0" t="s">
        <v>4287</v>
      </c>
      <c r="K1217" s="0" t="n">
        <f aca="false">IF(M1217=2,"",IF(ISNUMBER(SEARCH("rata-rata:",'Onshore - Tasmania Hobart'!M8)),VALUE(MID('Onshore - Tasmania Hobart'!M8,SEARCH("rata-rata:",'Onshore - Tasmania Hobart'!M8)+11,FIND(";",'Onshore - Tasmania Hobart'!M8&amp;";",SEARCH("rata-rata:",'Onshore - Tasmania Hobart'!M8))-SEARCH("rata-rata:",'Onshore - Tasmania Hobart'!M8)-11)),IF('Onshore - Tasmania Hobart'!D8="Semester",'Onshore - Tasmania Hobart'!E8*2,IF('Onshore - Tasmania Hobart'!D8="Trimester",'Onshore - Tasmania Hobart'!E8*3,IF('Onshore - Tasmania Hobart'!D8="Term",'Onshore - Tasmania Hobart'!E8*4,IF('Onshore - Tasmania Hobart'!D8="Unit",'Onshore - Tasmania Hobart'!E8*8,""))))))</f>
        <v>11800</v>
      </c>
      <c r="L1217" s="0" t="n">
        <f aca="false">IF(AND(ISNUMBER('Onshore - Tasmania Hobart'!E8),ISNUMBER(K1217),ISNUMBER('Onshore - Tasmania Hobart'!F8),ISNUMBER('Onshore - Tasmania Hobart'!G8),OR('Onshore - Tasmania Hobart'!F8&lt;&gt;0,ISNUMBER(SEARCH("Material 0 terverifikasi",'Onshore - Tasmania Hobart'!M8))),OR('Onshore - Tasmania Hobart'!G8&lt;&gt;0,ISNUMBER(SEARCH("Enrolment 0 terverifikasi",'Onshore - Tasmania Hobart'!M8)))),1,0)</f>
        <v>1</v>
      </c>
      <c r="M1217" s="0" t="n">
        <f aca="false">IF(OR('Onshore - Tasmania Hobart'!E8="",ISNUMBER(SEARCH("BSB80120",'Onshore - Tasmania Hobart'!B8&amp;'Onshore - Tasmania Hobart'!M8)),ISNUMBER(SEARCH("Management (Learning)",'Onshore - Tasmania Hobart'!B8))),2,IF(ISNUMBER(SEARCH("CEK:",'Onshore - Tasmania Hobart'!M8)),1,0))</f>
        <v>0</v>
      </c>
    </row>
    <row r="1218" customFormat="false" ht="15" hidden="false" customHeight="false" outlineLevel="0" collapsed="false">
      <c r="A1218" s="61" t="s">
        <v>4288</v>
      </c>
      <c r="B1218" s="62"/>
      <c r="C1218" s="62"/>
      <c r="D1218" s="62"/>
      <c r="E1218" s="62"/>
      <c r="F1218" s="62"/>
      <c r="G1218" s="62"/>
      <c r="H1218" s="62"/>
      <c r="I1218" s="62"/>
    </row>
    <row r="1219" customFormat="false" ht="15" hidden="false" customHeight="false" outlineLevel="0" collapsed="false">
      <c r="A1219" s="63" t="s">
        <v>3753</v>
      </c>
      <c r="B1219" s="64" t="s">
        <v>4207</v>
      </c>
      <c r="C1219" s="63" t="s">
        <v>43</v>
      </c>
      <c r="D1219" s="64" t="str">
        <f aca="false">TRIM(LEFT('Onshore - Tasmania Hobart'!A21,FIND(CHAR(10),'Onshore - Tasmania Hobart'!A21&amp;CHAR(10))-1))</f>
        <v>University of Tasmania (UTAS)</v>
      </c>
      <c r="E1219" s="63" t="str">
        <f aca="false">'Onshore - Tasmania Hobart'!C84&amp;""</f>
        <v>3 years</v>
      </c>
      <c r="F1219" s="63" t="str">
        <f aca="false">IF('Onshore - Tasmania Hobart'!D84="","Belum tercatat",'Onshore - Tasmania Hobart'!D84)</f>
        <v>Term</v>
      </c>
      <c r="G1219" s="65" t="n">
        <f aca="false">IF('Onshore - Tasmania Hobart'!E84="","-",'Onshore - Tasmania Hobart'!E84)</f>
        <v>10737.5</v>
      </c>
      <c r="H1219" s="63" t="n">
        <f aca="false">IF(ISNUMBER(K1219),COUNTIFS($J$6:$J$1916,J1219,$K$6:$K$1916,"&lt;"&amp;K1219)+1,"-")</f>
        <v>1</v>
      </c>
      <c r="I1219" s="64" t="str">
        <f aca="false">IF('Onshore - Tasmania Hobart'!E84="","Harga belum tersedia - hubungi konsultan TEG",IF(M1219=2,"Saat ini tidak menerima pendaftaran siswa internasional baru",IF(M1219=1,"Harga perlu dikonfirmasi ke sekolah"&amp;IF(""="","","; "&amp;""),"")))</f>
        <v/>
      </c>
      <c r="J1219" s="0" t="s">
        <v>4289</v>
      </c>
      <c r="K1219" s="0" t="n">
        <f aca="false">IF(M1219=2,"",IF(ISNUMBER(SEARCH("rata-rata:",'Onshore - Tasmania Hobart'!M84)),VALUE(MID('Onshore - Tasmania Hobart'!M84,SEARCH("rata-rata:",'Onshore - Tasmania Hobart'!M84)+11,FIND(";",'Onshore - Tasmania Hobart'!M84&amp;";",SEARCH("rata-rata:",'Onshore - Tasmania Hobart'!M84))-SEARCH("rata-rata:",'Onshore - Tasmania Hobart'!M84)-11)),IF('Onshore - Tasmania Hobart'!D84="Semester",'Onshore - Tasmania Hobart'!E84*2,IF('Onshore - Tasmania Hobart'!D84="Trimester",'Onshore - Tasmania Hobart'!E84*3,IF('Onshore - Tasmania Hobart'!D84="Term",'Onshore - Tasmania Hobart'!E84*4,IF('Onshore - Tasmania Hobart'!D84="Unit",'Onshore - Tasmania Hobart'!E84*8,""))))))</f>
        <v>42950</v>
      </c>
      <c r="L1219" s="0" t="n">
        <f aca="false">IF(AND(ISNUMBER('Onshore - Tasmania Hobart'!E84),ISNUMBER(K1219),ISNUMBER('Onshore - Tasmania Hobart'!F84),ISNUMBER('Onshore - Tasmania Hobart'!G84),OR('Onshore - Tasmania Hobart'!F84&lt;&gt;0,ISNUMBER(SEARCH("Material 0 terverifikasi",'Onshore - Tasmania Hobart'!M84))),OR('Onshore - Tasmania Hobart'!G84&lt;&gt;0,ISNUMBER(SEARCH("Enrolment 0 terverifikasi",'Onshore - Tasmania Hobart'!M84)))),1,0)</f>
        <v>0</v>
      </c>
      <c r="M1219" s="0" t="n">
        <f aca="false">IF(OR('Onshore - Tasmania Hobart'!E84="",ISNUMBER(SEARCH("BSB80120",'Onshore - Tasmania Hobart'!B84&amp;'Onshore - Tasmania Hobart'!M84)),ISNUMBER(SEARCH("Management (Learning)",'Onshore - Tasmania Hobart'!B84))),2,IF(ISNUMBER(SEARCH("CEK:",'Onshore - Tasmania Hobart'!M84)),1,0))</f>
        <v>0</v>
      </c>
    </row>
    <row r="1220" customFormat="false" ht="15" hidden="false" customHeight="false" outlineLevel="0" collapsed="false">
      <c r="A1220" s="61" t="s">
        <v>4290</v>
      </c>
      <c r="B1220" s="62"/>
      <c r="C1220" s="62"/>
      <c r="D1220" s="62"/>
      <c r="E1220" s="62"/>
      <c r="F1220" s="62"/>
      <c r="G1220" s="62"/>
      <c r="H1220" s="62"/>
      <c r="I1220" s="62"/>
    </row>
    <row r="1221" customFormat="false" ht="15" hidden="false" customHeight="false" outlineLevel="0" collapsed="false">
      <c r="A1221" s="63" t="s">
        <v>3753</v>
      </c>
      <c r="B1221" s="64" t="s">
        <v>4207</v>
      </c>
      <c r="C1221" s="63" t="s">
        <v>3707</v>
      </c>
      <c r="D1221" s="64" t="str">
        <f aca="false">TRIM(LEFT('Onshore - Tasmania Hobart'!A21,FIND(CHAR(10),'Onshore - Tasmania Hobart'!A21&amp;CHAR(10))-1))</f>
        <v>University of Tasmania (UTAS)</v>
      </c>
      <c r="E1221" s="63" t="str">
        <f aca="false">'Onshore - Tasmania Hobart'!C105&amp;""</f>
        <v>1 year</v>
      </c>
      <c r="F1221" s="63" t="str">
        <f aca="false">IF('Onshore - Tasmania Hobart'!D105="","Belum tercatat",'Onshore - Tasmania Hobart'!D105)</f>
        <v>Term</v>
      </c>
      <c r="G1221" s="65" t="n">
        <f aca="false">IF('Onshore - Tasmania Hobart'!E105="","-",'Onshore - Tasmania Hobart'!E105)</f>
        <v>5118.75</v>
      </c>
      <c r="H1221" s="63" t="n">
        <f aca="false">IF(ISNUMBER(K1221),COUNTIFS($J$6:$J$1916,J1221,$K$6:$K$1916,"&lt;"&amp;K1221)+1,"-")</f>
        <v>1</v>
      </c>
      <c r="I1221" s="64" t="str">
        <f aca="false">IF('Onshore - Tasmania Hobart'!E105="","Harga belum tersedia - hubungi konsultan TEG",IF(M1221=2,"Saat ini tidak menerima pendaftaran siswa internasional baru",IF(M1221=1,"Harga perlu dikonfirmasi ke sekolah"&amp;IF(""="","","; "&amp;""),"")))</f>
        <v/>
      </c>
      <c r="J1221" s="0" t="s">
        <v>4291</v>
      </c>
      <c r="K1221" s="0" t="n">
        <f aca="false">IF(M1221=2,"",IF(ISNUMBER(SEARCH("rata-rata:",'Onshore - Tasmania Hobart'!M105)),VALUE(MID('Onshore - Tasmania Hobart'!M105,SEARCH("rata-rata:",'Onshore - Tasmania Hobart'!M105)+11,FIND(";",'Onshore - Tasmania Hobart'!M105&amp;";",SEARCH("rata-rata:",'Onshore - Tasmania Hobart'!M105))-SEARCH("rata-rata:",'Onshore - Tasmania Hobart'!M105)-11)),IF('Onshore - Tasmania Hobart'!D105="Semester",'Onshore - Tasmania Hobart'!E105*2,IF('Onshore - Tasmania Hobart'!D105="Trimester",'Onshore - Tasmania Hobart'!E105*3,IF('Onshore - Tasmania Hobart'!D105="Term",'Onshore - Tasmania Hobart'!E105*4,IF('Onshore - Tasmania Hobart'!D105="Unit",'Onshore - Tasmania Hobart'!E105*8,""))))))</f>
        <v>20475</v>
      </c>
      <c r="L1221" s="0" t="n">
        <f aca="false">IF(AND(ISNUMBER('Onshore - Tasmania Hobart'!E105),ISNUMBER(K1221),ISNUMBER('Onshore - Tasmania Hobart'!F105),ISNUMBER('Onshore - Tasmania Hobart'!G105),OR('Onshore - Tasmania Hobart'!F105&lt;&gt;0,ISNUMBER(SEARCH("Material 0 terverifikasi",'Onshore - Tasmania Hobart'!M105))),OR('Onshore - Tasmania Hobart'!G105&lt;&gt;0,ISNUMBER(SEARCH("Enrolment 0 terverifikasi",'Onshore - Tasmania Hobart'!M105)))),1,0)</f>
        <v>0</v>
      </c>
      <c r="M1221" s="0" t="n">
        <f aca="false">IF(OR('Onshore - Tasmania Hobart'!E105="",ISNUMBER(SEARCH("BSB80120",'Onshore - Tasmania Hobart'!B105&amp;'Onshore - Tasmania Hobart'!M105)),ISNUMBER(SEARCH("Management (Learning)",'Onshore - Tasmania Hobart'!B105))),2,IF(ISNUMBER(SEARCH("CEK:",'Onshore - Tasmania Hobart'!M105)),1,0))</f>
        <v>0</v>
      </c>
    </row>
    <row r="1222" customFormat="false" ht="15" hidden="false" customHeight="false" outlineLevel="0" collapsed="false">
      <c r="A1222" s="61" t="s">
        <v>4292</v>
      </c>
      <c r="B1222" s="62"/>
      <c r="C1222" s="62"/>
      <c r="D1222" s="62"/>
      <c r="E1222" s="62"/>
      <c r="F1222" s="62"/>
      <c r="G1222" s="62"/>
      <c r="H1222" s="62"/>
      <c r="I1222" s="62"/>
    </row>
    <row r="1223" customFormat="false" ht="15" hidden="false" customHeight="false" outlineLevel="0" collapsed="false">
      <c r="A1223" s="63" t="s">
        <v>3753</v>
      </c>
      <c r="B1223" s="64" t="s">
        <v>4207</v>
      </c>
      <c r="C1223" s="63" t="s">
        <v>46</v>
      </c>
      <c r="D1223" s="64" t="str">
        <f aca="false">TRIM(LEFT('Onshore - Tasmania Hobart'!A21,FIND(CHAR(10),'Onshore - Tasmania Hobart'!A21&amp;CHAR(10))-1))</f>
        <v>University of Tasmania (UTAS)</v>
      </c>
      <c r="E1223" s="63" t="str">
        <f aca="false">'Onshore - Tasmania Hobart'!C95&amp;""</f>
        <v>1 year</v>
      </c>
      <c r="F1223" s="63" t="str">
        <f aca="false">IF('Onshore - Tasmania Hobart'!D95="","Belum tercatat",'Onshore - Tasmania Hobart'!D95)</f>
        <v>Term</v>
      </c>
      <c r="G1223" s="65" t="n">
        <f aca="false">IF('Onshore - Tasmania Hobart'!E95="","-",'Onshore - Tasmania Hobart'!E95)</f>
        <v>10987.5</v>
      </c>
      <c r="H1223" s="63" t="n">
        <f aca="false">IF(ISNUMBER(K1223),COUNTIFS($J$6:$J$1916,J1223,$K$6:$K$1916,"&lt;"&amp;K1223)+1,"-")</f>
        <v>1</v>
      </c>
      <c r="I1223" s="64" t="str">
        <f aca="false">IF('Onshore - Tasmania Hobart'!E95="","Harga belum tersedia - hubungi konsultan TEG",IF(M1223=2,"Saat ini tidak menerima pendaftaran siswa internasional baru",IF(M1223=1,"Harga perlu dikonfirmasi ke sekolah"&amp;IF(""="","","; "&amp;""),"")))</f>
        <v/>
      </c>
      <c r="J1223" s="0" t="s">
        <v>4293</v>
      </c>
      <c r="K1223" s="0" t="n">
        <f aca="false">IF(M1223=2,"",IF(ISNUMBER(SEARCH("rata-rata:",'Onshore - Tasmania Hobart'!M95)),VALUE(MID('Onshore - Tasmania Hobart'!M95,SEARCH("rata-rata:",'Onshore - Tasmania Hobart'!M95)+11,FIND(";",'Onshore - Tasmania Hobart'!M95&amp;";",SEARCH("rata-rata:",'Onshore - Tasmania Hobart'!M95))-SEARCH("rata-rata:",'Onshore - Tasmania Hobart'!M95)-11)),IF('Onshore - Tasmania Hobart'!D95="Semester",'Onshore - Tasmania Hobart'!E95*2,IF('Onshore - Tasmania Hobart'!D95="Trimester",'Onshore - Tasmania Hobart'!E95*3,IF('Onshore - Tasmania Hobart'!D95="Term",'Onshore - Tasmania Hobart'!E95*4,IF('Onshore - Tasmania Hobart'!D95="Unit",'Onshore - Tasmania Hobart'!E95*8,""))))))</f>
        <v>43950</v>
      </c>
      <c r="L1223" s="0" t="n">
        <f aca="false">IF(AND(ISNUMBER('Onshore - Tasmania Hobart'!E95),ISNUMBER(K1223),ISNUMBER('Onshore - Tasmania Hobart'!F95),ISNUMBER('Onshore - Tasmania Hobart'!G95),OR('Onshore - Tasmania Hobart'!F95&lt;&gt;0,ISNUMBER(SEARCH("Material 0 terverifikasi",'Onshore - Tasmania Hobart'!M95))),OR('Onshore - Tasmania Hobart'!G95&lt;&gt;0,ISNUMBER(SEARCH("Enrolment 0 terverifikasi",'Onshore - Tasmania Hobart'!M95)))),1,0)</f>
        <v>0</v>
      </c>
      <c r="M1223" s="0" t="n">
        <f aca="false">IF(OR('Onshore - Tasmania Hobart'!E95="",ISNUMBER(SEARCH("BSB80120",'Onshore - Tasmania Hobart'!B95&amp;'Onshore - Tasmania Hobart'!M95)),ISNUMBER(SEARCH("Management (Learning)",'Onshore - Tasmania Hobart'!B95))),2,IF(ISNUMBER(SEARCH("CEK:",'Onshore - Tasmania Hobart'!M95)),1,0))</f>
        <v>0</v>
      </c>
    </row>
    <row r="1224" customFormat="false" ht="15" hidden="false" customHeight="false" outlineLevel="0" collapsed="false">
      <c r="A1224" s="61" t="s">
        <v>4294</v>
      </c>
      <c r="B1224" s="62"/>
      <c r="C1224" s="62"/>
      <c r="D1224" s="62"/>
      <c r="E1224" s="62"/>
      <c r="F1224" s="62"/>
      <c r="G1224" s="62"/>
      <c r="H1224" s="62"/>
      <c r="I1224" s="62"/>
    </row>
    <row r="1225" customFormat="false" ht="15" hidden="false" customHeight="false" outlineLevel="0" collapsed="false">
      <c r="A1225" s="63" t="s">
        <v>3753</v>
      </c>
      <c r="B1225" s="64" t="s">
        <v>4207</v>
      </c>
      <c r="C1225" s="63" t="s">
        <v>4222</v>
      </c>
      <c r="D1225" s="64" t="str">
        <f aca="false">TRIM(LEFT('Onshore - Tasmania Hobart'!A21,FIND(CHAR(10),'Onshore - Tasmania Hobart'!A21&amp;CHAR(10))-1))</f>
        <v>University of Tasmania (UTAS)</v>
      </c>
      <c r="E1225" s="63" t="str">
        <f aca="false">'Onshore - Tasmania Hobart'!C83&amp;""</f>
        <v>5 years</v>
      </c>
      <c r="F1225" s="63" t="str">
        <f aca="false">IF('Onshore - Tasmania Hobart'!D83="","Belum tercatat",'Onshore - Tasmania Hobart'!D83)</f>
        <v>Term</v>
      </c>
      <c r="G1225" s="65" t="n">
        <f aca="false">IF('Onshore - Tasmania Hobart'!E83="","-",'Onshore - Tasmania Hobart'!E83)</f>
        <v>23237.5</v>
      </c>
      <c r="H1225" s="63" t="n">
        <f aca="false">IF(ISNUMBER(K1225),COUNTIFS($J$6:$J$1916,J1225,$K$6:$K$1916,"&lt;"&amp;K1225)+1,"-")</f>
        <v>1</v>
      </c>
      <c r="I1225" s="64" t="str">
        <f aca="false">IF('Onshore - Tasmania Hobart'!E83="","Harga belum tersedia - hubungi konsultan TEG",IF(M1225=2,"Saat ini tidak menerima pendaftaran siswa internasional baru",IF(M1225=1,"Harga perlu dikonfirmasi ke sekolah"&amp;IF(""="","","; "&amp;""),"")))</f>
        <v>Harga perlu dikonfirmasi ke sekolah</v>
      </c>
      <c r="J1225" s="0" t="s">
        <v>4295</v>
      </c>
      <c r="K1225" s="0" t="n">
        <f aca="false">IF(M1225=2,"",IF(ISNUMBER(SEARCH("rata-rata:",'Onshore - Tasmania Hobart'!M83)),VALUE(MID('Onshore - Tasmania Hobart'!M83,SEARCH("rata-rata:",'Onshore - Tasmania Hobart'!M83)+11,FIND(";",'Onshore - Tasmania Hobart'!M83&amp;";",SEARCH("rata-rata:",'Onshore - Tasmania Hobart'!M83))-SEARCH("rata-rata:",'Onshore - Tasmania Hobart'!M83)-11)),IF('Onshore - Tasmania Hobart'!D83="Semester",'Onshore - Tasmania Hobart'!E83*2,IF('Onshore - Tasmania Hobart'!D83="Trimester",'Onshore - Tasmania Hobart'!E83*3,IF('Onshore - Tasmania Hobart'!D83="Term",'Onshore - Tasmania Hobart'!E83*4,IF('Onshore - Tasmania Hobart'!D83="Unit",'Onshore - Tasmania Hobart'!E83*8,""))))))</f>
        <v>92950</v>
      </c>
      <c r="L1225" s="0" t="n">
        <f aca="false">IF(AND(ISNUMBER('Onshore - Tasmania Hobart'!E83),ISNUMBER(K1225),ISNUMBER('Onshore - Tasmania Hobart'!F83),ISNUMBER('Onshore - Tasmania Hobart'!G83),OR('Onshore - Tasmania Hobart'!F83&lt;&gt;0,ISNUMBER(SEARCH("Material 0 terverifikasi",'Onshore - Tasmania Hobart'!M83))),OR('Onshore - Tasmania Hobart'!G83&lt;&gt;0,ISNUMBER(SEARCH("Enrolment 0 terverifikasi",'Onshore - Tasmania Hobart'!M83)))),1,0)</f>
        <v>0</v>
      </c>
      <c r="M1225" s="0" t="n">
        <f aca="false">IF(OR('Onshore - Tasmania Hobart'!E83="",ISNUMBER(SEARCH("BSB80120",'Onshore - Tasmania Hobart'!B83&amp;'Onshore - Tasmania Hobart'!M83)),ISNUMBER(SEARCH("Management (Learning)",'Onshore - Tasmania Hobart'!B83))),2,IF(ISNUMBER(SEARCH("CEK:",'Onshore - Tasmania Hobart'!M83)),1,0))</f>
        <v>1</v>
      </c>
    </row>
    <row r="1226" customFormat="false" ht="15" hidden="false" customHeight="false" outlineLevel="0" collapsed="false">
      <c r="A1226" s="61" t="s">
        <v>4296</v>
      </c>
      <c r="B1226" s="62"/>
      <c r="C1226" s="62"/>
      <c r="D1226" s="62"/>
      <c r="E1226" s="62"/>
      <c r="F1226" s="62"/>
      <c r="G1226" s="62"/>
      <c r="H1226" s="62"/>
      <c r="I1226" s="62"/>
    </row>
    <row r="1227" customFormat="false" ht="15" hidden="false" customHeight="false" outlineLevel="0" collapsed="false">
      <c r="A1227" s="63" t="s">
        <v>3659</v>
      </c>
      <c r="B1227" s="64" t="s">
        <v>4297</v>
      </c>
      <c r="C1227" s="63" t="s">
        <v>39</v>
      </c>
      <c r="D1227" s="64" t="str">
        <f aca="false">TRIM(LEFT('Onshore - Adelaide'!A487,FIND(CHAR(10),'Onshore - Adelaide'!A487&amp;CHAR(10))-1))</f>
        <v>TAFE SA</v>
      </c>
      <c r="E1227" s="63" t="str">
        <f aca="false">'Onshore - Adelaide'!C510&amp;""</f>
        <v>0,5 year</v>
      </c>
      <c r="F1227" s="63" t="str">
        <f aca="false">IF('Onshore - Adelaide'!D510="","Belum tercatat",'Onshore - Adelaide'!D510)</f>
        <v>Semester</v>
      </c>
      <c r="G1227" s="65" t="n">
        <f aca="false">IF('Onshore - Adelaide'!E510="","-",'Onshore - Adelaide'!E510)</f>
        <v>8130</v>
      </c>
      <c r="H1227" s="63" t="n">
        <f aca="false">IF(ISNUMBER(K1227),COUNTIFS($J$6:$J$1916,J1227,$K$6:$K$1916,"&lt;"&amp;K1227)+1,"-")</f>
        <v>1</v>
      </c>
      <c r="I1227" s="64" t="str">
        <f aca="false">IF('Onshore - Adelaide'!E510="","Harga belum tersedia - hubungi konsultan TEG",IF(M1227=2,"Saat ini tidak menerima pendaftaran siswa internasional baru",IF(M1227=1,"Harga perlu dikonfirmasi ke sekolah"&amp;IF(""="","","; "&amp;""),"")))</f>
        <v/>
      </c>
      <c r="J1227" s="0" t="s">
        <v>4298</v>
      </c>
      <c r="K1227" s="0" t="n">
        <f aca="false">IF(M1227=2,"",IF(ISNUMBER(SEARCH("rata-rata:",'Onshore - Adelaide'!M510)),VALUE(MID('Onshore - Adelaide'!M510,SEARCH("rata-rata:",'Onshore - Adelaide'!M510)+11,FIND(";",'Onshore - Adelaide'!M510&amp;";",SEARCH("rata-rata:",'Onshore - Adelaide'!M510))-SEARCH("rata-rata:",'Onshore - Adelaide'!M510)-11)),IF('Onshore - Adelaide'!D510="Semester",'Onshore - Adelaide'!E510*2,IF('Onshore - Adelaide'!D510="Trimester",'Onshore - Adelaide'!E510*3,IF('Onshore - Adelaide'!D510="Term",'Onshore - Adelaide'!E510*4,IF('Onshore - Adelaide'!D510="Unit",'Onshore - Adelaide'!E510*8,""))))))</f>
        <v>16260</v>
      </c>
      <c r="L1227" s="0" t="n">
        <f aca="false">IF(AND(ISNUMBER('Onshore - Adelaide'!E510),ISNUMBER(K1227),ISNUMBER('Onshore - Adelaide'!F510),ISNUMBER('Onshore - Adelaide'!G510),OR('Onshore - Adelaide'!F510&lt;&gt;0,ISNUMBER(SEARCH("Material 0 terverifikasi",'Onshore - Adelaide'!M510))),OR('Onshore - Adelaide'!G510&lt;&gt;0,ISNUMBER(SEARCH("Enrolment 0 terverifikasi",'Onshore - Adelaide'!M510)))),1,0)</f>
        <v>0</v>
      </c>
      <c r="M1227" s="0" t="n">
        <f aca="false">IF(OR('Onshore - Adelaide'!E510="",ISNUMBER(SEARCH("BSB80120",'Onshore - Adelaide'!B510&amp;'Onshore - Adelaide'!M510)),ISNUMBER(SEARCH("Management (Learning)",'Onshore - Adelaide'!B510))),2,IF(ISNUMBER(SEARCH("CEK:",'Onshore - Adelaide'!M510)),1,0))</f>
        <v>0</v>
      </c>
    </row>
    <row r="1228" customFormat="false" ht="15" hidden="false" customHeight="false" outlineLevel="0" collapsed="false">
      <c r="A1228" s="63" t="s">
        <v>3659</v>
      </c>
      <c r="B1228" s="64" t="s">
        <v>4297</v>
      </c>
      <c r="C1228" s="63" t="s">
        <v>39</v>
      </c>
      <c r="D1228" s="64" t="str">
        <f aca="false">TRIM(LEFT('Onshore - Adelaide'!A462,FIND(CHAR(10),'Onshore - Adelaide'!A462&amp;CHAR(10))-1))</f>
        <v>Le Cordon Bleu Australia</v>
      </c>
      <c r="E1228" s="63" t="str">
        <f aca="false">'Onshore - Adelaide'!C462&amp;""</f>
        <v>1,5 years</v>
      </c>
      <c r="F1228" s="63" t="str">
        <f aca="false">IF('Onshore - Adelaide'!D462="","Belum tercatat",'Onshore - Adelaide'!D462)</f>
        <v>Term</v>
      </c>
      <c r="G1228" s="65" t="n">
        <f aca="false">IF('Onshore - Adelaide'!E462="","-",'Onshore - Adelaide'!E462)</f>
        <v>6997.5</v>
      </c>
      <c r="H1228" s="63" t="n">
        <f aca="false">IF(ISNUMBER(K1228),COUNTIFS($J$6:$J$1916,J1228,$K$6:$K$1916,"&lt;"&amp;K1228)+1,"-")</f>
        <v>2</v>
      </c>
      <c r="I1228" s="64" t="str">
        <f aca="false">IF('Onshore - Adelaide'!E462="","Harga belum tersedia - hubungi konsultan TEG",IF(M1228=2,"Saat ini tidak menerima pendaftaran siswa internasional baru",IF(M1228=1,"Harga perlu dikonfirmasi ke sekolah"&amp;IF(""="","","; "&amp;""),"")))</f>
        <v/>
      </c>
      <c r="J1228" s="0" t="s">
        <v>4298</v>
      </c>
      <c r="K1228" s="0" t="n">
        <f aca="false">IF(M1228=2,"",IF(ISNUMBER(SEARCH("rata-rata:",'Onshore - Adelaide'!M462)),VALUE(MID('Onshore - Adelaide'!M462,SEARCH("rata-rata:",'Onshore - Adelaide'!M462)+11,FIND(";",'Onshore - Adelaide'!M462&amp;";",SEARCH("rata-rata:",'Onshore - Adelaide'!M462))-SEARCH("rata-rata:",'Onshore - Adelaide'!M462)-11)),IF('Onshore - Adelaide'!D462="Semester",'Onshore - Adelaide'!E462*2,IF('Onshore - Adelaide'!D462="Trimester",'Onshore - Adelaide'!E462*3,IF('Onshore - Adelaide'!D462="Term",'Onshore - Adelaide'!E462*4,IF('Onshore - Adelaide'!D462="Unit",'Onshore - Adelaide'!E462*8,""))))))</f>
        <v>27990</v>
      </c>
      <c r="L1228" s="0" t="n">
        <f aca="false">IF(AND(ISNUMBER('Onshore - Adelaide'!E462),ISNUMBER(K1228),ISNUMBER('Onshore - Adelaide'!F462),ISNUMBER('Onshore - Adelaide'!G462),OR('Onshore - Adelaide'!F462&lt;&gt;0,ISNUMBER(SEARCH("Material 0 terverifikasi",'Onshore - Adelaide'!M462))),OR('Onshore - Adelaide'!G462&lt;&gt;0,ISNUMBER(SEARCH("Enrolment 0 terverifikasi",'Onshore - Adelaide'!M462)))),1,0)</f>
        <v>0</v>
      </c>
      <c r="M1228" s="0" t="n">
        <f aca="false">IF(OR('Onshore - Adelaide'!E462="",ISNUMBER(SEARCH("BSB80120",'Onshore - Adelaide'!B462&amp;'Onshore - Adelaide'!M462)),ISNUMBER(SEARCH("Management (Learning)",'Onshore - Adelaide'!B462))),2,IF(ISNUMBER(SEARCH("CEK:",'Onshore - Adelaide'!M462)),1,0))</f>
        <v>0</v>
      </c>
    </row>
    <row r="1229" customFormat="false" ht="15" hidden="false" customHeight="false" outlineLevel="0" collapsed="false">
      <c r="A1229" s="61" t="s">
        <v>4299</v>
      </c>
      <c r="B1229" s="62"/>
      <c r="C1229" s="62"/>
      <c r="D1229" s="62"/>
      <c r="E1229" s="62"/>
      <c r="F1229" s="62"/>
      <c r="G1229" s="62"/>
      <c r="H1229" s="62"/>
      <c r="I1229" s="62"/>
    </row>
    <row r="1230" customFormat="false" ht="28.35" hidden="false" customHeight="false" outlineLevel="0" collapsed="false">
      <c r="A1230" s="63" t="s">
        <v>3659</v>
      </c>
      <c r="B1230" s="64" t="s">
        <v>4297</v>
      </c>
      <c r="C1230" s="63" t="s">
        <v>40</v>
      </c>
      <c r="D1230" s="64" t="str">
        <f aca="false">TRIM(LEFT('Onshore - Adelaide'!A398,FIND(CHAR(10),'Onshore - Adelaide'!A398&amp;CHAR(10))-1))</f>
        <v>Australian Business &amp; Culinary Institute (ABC Institute)</v>
      </c>
      <c r="E1230" s="63" t="str">
        <f aca="false">'Onshore - Adelaide'!C399&amp;""</f>
        <v>1,5 years</v>
      </c>
      <c r="F1230" s="63" t="str">
        <f aca="false">IF('Onshore - Adelaide'!D399="","Belum tercatat",'Onshore - Adelaide'!D399)</f>
        <v>Term</v>
      </c>
      <c r="G1230" s="65" t="n">
        <f aca="false">IF('Onshore - Adelaide'!E399="","-",'Onshore - Adelaide'!E399)</f>
        <v>2166.66</v>
      </c>
      <c r="H1230" s="63" t="n">
        <f aca="false">IF(ISNUMBER(K1230),COUNTIFS($J$6:$J$1916,J1230,$K$6:$K$1916,"&lt;"&amp;K1230)+1,"-")</f>
        <v>1</v>
      </c>
      <c r="I1230" s="64" t="str">
        <f aca="false">IF('Onshore - Adelaide'!E399="","Harga belum tersedia - hubungi konsultan TEG",IF(M1230=2,"Saat ini tidak menerima pendaftaran siswa internasional baru",IF(M1230=1,"Harga perlu dikonfirmasi ke sekolah"&amp;IF(""="","","; "&amp;""),"")))</f>
        <v/>
      </c>
      <c r="J1230" s="0" t="s">
        <v>4300</v>
      </c>
      <c r="K1230" s="0" t="n">
        <f aca="false">IF(M1230=2,"",IF(ISNUMBER(SEARCH("rata-rata:",'Onshore - Adelaide'!M399)),VALUE(MID('Onshore - Adelaide'!M399,SEARCH("rata-rata:",'Onshore - Adelaide'!M399)+11,FIND(";",'Onshore - Adelaide'!M399&amp;";",SEARCH("rata-rata:",'Onshore - Adelaide'!M399))-SEARCH("rata-rata:",'Onshore - Adelaide'!M399)-11)),IF('Onshore - Adelaide'!D399="Semester",'Onshore - Adelaide'!E399*2,IF('Onshore - Adelaide'!D399="Trimester",'Onshore - Adelaide'!E399*3,IF('Onshore - Adelaide'!D399="Term",'Onshore - Adelaide'!E399*4,IF('Onshore - Adelaide'!D399="Unit",'Onshore - Adelaide'!E399*8,""))))))</f>
        <v>8666.64</v>
      </c>
      <c r="L1230" s="0" t="n">
        <f aca="false">IF(AND(ISNUMBER('Onshore - Adelaide'!E399),ISNUMBER(K1230),ISNUMBER('Onshore - Adelaide'!F399),ISNUMBER('Onshore - Adelaide'!G399),OR('Onshore - Adelaide'!F399&lt;&gt;0,ISNUMBER(SEARCH("Material 0 terverifikasi",'Onshore - Adelaide'!M399))),OR('Onshore - Adelaide'!G399&lt;&gt;0,ISNUMBER(SEARCH("Enrolment 0 terverifikasi",'Onshore - Adelaide'!M399)))),1,0)</f>
        <v>1</v>
      </c>
      <c r="M1230" s="0" t="n">
        <f aca="false">IF(OR('Onshore - Adelaide'!E399="",ISNUMBER(SEARCH("BSB80120",'Onshore - Adelaide'!B399&amp;'Onshore - Adelaide'!M399)),ISNUMBER(SEARCH("Management (Learning)",'Onshore - Adelaide'!B399))),2,IF(ISNUMBER(SEARCH("CEK:",'Onshore - Adelaide'!M399)),1,0))</f>
        <v>0</v>
      </c>
    </row>
    <row r="1231" customFormat="false" ht="15" hidden="false" customHeight="false" outlineLevel="0" collapsed="false">
      <c r="A1231" s="63" t="s">
        <v>3659</v>
      </c>
      <c r="B1231" s="64" t="s">
        <v>4297</v>
      </c>
      <c r="C1231" s="63" t="s">
        <v>40</v>
      </c>
      <c r="D1231" s="64" t="str">
        <f aca="false">TRIM(LEFT('Onshore - Adelaide'!A381,FIND(CHAR(10),'Onshore - Adelaide'!A381&amp;CHAR(10))-1))</f>
        <v>Alliance College</v>
      </c>
      <c r="E1231" s="63" t="str">
        <f aca="false">'Onshore - Adelaide'!C383&amp;""</f>
        <v>2 years</v>
      </c>
      <c r="F1231" s="63" t="str">
        <f aca="false">IF('Onshore - Adelaide'!D383="","Belum tercatat",'Onshore - Adelaide'!D383)</f>
        <v>Term</v>
      </c>
      <c r="G1231" s="65" t="n">
        <f aca="false">IF('Onshore - Adelaide'!E383="","-",'Onshore - Adelaide'!E383)</f>
        <v>3850</v>
      </c>
      <c r="H1231" s="63" t="n">
        <f aca="false">IF(ISNUMBER(K1231),COUNTIFS($J$6:$J$1916,J1231,$K$6:$K$1916,"&lt;"&amp;K1231)+1,"-")</f>
        <v>2</v>
      </c>
      <c r="I1231" s="64" t="str">
        <f aca="false">IF('Onshore - Adelaide'!E383="","Harga belum tersedia - hubungi konsultan TEG",IF(M1231=2,"Saat ini tidak menerima pendaftaran siswa internasional baru",IF(M1231=1,"Harga perlu dikonfirmasi ke sekolah"&amp;IF(""="","","; "&amp;""),"")))</f>
        <v/>
      </c>
      <c r="J1231" s="0" t="s">
        <v>4300</v>
      </c>
      <c r="K1231" s="0" t="n">
        <f aca="false">IF(M1231=2,"",IF(ISNUMBER(SEARCH("rata-rata:",'Onshore - Adelaide'!M383)),VALUE(MID('Onshore - Adelaide'!M383,SEARCH("rata-rata:",'Onshore - Adelaide'!M383)+11,FIND(";",'Onshore - Adelaide'!M383&amp;";",SEARCH("rata-rata:",'Onshore - Adelaide'!M383))-SEARCH("rata-rata:",'Onshore - Adelaide'!M383)-11)),IF('Onshore - Adelaide'!D383="Semester",'Onshore - Adelaide'!E383*2,IF('Onshore - Adelaide'!D383="Trimester",'Onshore - Adelaide'!E383*3,IF('Onshore - Adelaide'!D383="Term",'Onshore - Adelaide'!E383*4,IF('Onshore - Adelaide'!D383="Unit",'Onshore - Adelaide'!E383*8,""))))))</f>
        <v>15400</v>
      </c>
      <c r="L1231" s="0" t="n">
        <f aca="false">IF(AND(ISNUMBER('Onshore - Adelaide'!E383),ISNUMBER(K1231),ISNUMBER('Onshore - Adelaide'!F383),ISNUMBER('Onshore - Adelaide'!G383),OR('Onshore - Adelaide'!F383&lt;&gt;0,ISNUMBER(SEARCH("Material 0 terverifikasi",'Onshore - Adelaide'!M383))),OR('Onshore - Adelaide'!G383&lt;&gt;0,ISNUMBER(SEARCH("Enrolment 0 terverifikasi",'Onshore - Adelaide'!M383)))),1,0)</f>
        <v>1</v>
      </c>
      <c r="M1231" s="0" t="n">
        <f aca="false">IF(OR('Onshore - Adelaide'!E383="",ISNUMBER(SEARCH("BSB80120",'Onshore - Adelaide'!B383&amp;'Onshore - Adelaide'!M383)),ISNUMBER(SEARCH("Management (Learning)",'Onshore - Adelaide'!B383))),2,IF(ISNUMBER(SEARCH("CEK:",'Onshore - Adelaide'!M383)),1,0))</f>
        <v>0</v>
      </c>
    </row>
    <row r="1232" customFormat="false" ht="15" hidden="false" customHeight="false" outlineLevel="0" collapsed="false">
      <c r="A1232" s="63" t="s">
        <v>3659</v>
      </c>
      <c r="B1232" s="64" t="s">
        <v>4297</v>
      </c>
      <c r="C1232" s="63" t="s">
        <v>40</v>
      </c>
      <c r="D1232" s="64" t="str">
        <f aca="false">TRIM(LEFT('Onshore - Adelaide'!A487,FIND(CHAR(10),'Onshore - Adelaide'!A487&amp;CHAR(10))-1))</f>
        <v>TAFE SA</v>
      </c>
      <c r="E1232" s="63" t="str">
        <f aca="false">'Onshore - Adelaide'!C516&amp;""</f>
        <v>0,5 year</v>
      </c>
      <c r="F1232" s="63" t="str">
        <f aca="false">IF('Onshore - Adelaide'!D516="","Belum tercatat",'Onshore - Adelaide'!D516)</f>
        <v>Semester</v>
      </c>
      <c r="G1232" s="65" t="n">
        <f aca="false">IF('Onshore - Adelaide'!E516="","-",'Onshore - Adelaide'!E516)</f>
        <v>12435</v>
      </c>
      <c r="H1232" s="63" t="n">
        <f aca="false">IF(ISNUMBER(K1232),COUNTIFS($J$6:$J$1916,J1232,$K$6:$K$1916,"&lt;"&amp;K1232)+1,"-")</f>
        <v>3</v>
      </c>
      <c r="I1232" s="64" t="str">
        <f aca="false">IF('Onshore - Adelaide'!E516="","Harga belum tersedia - hubungi konsultan TEG",IF(M1232=2,"Saat ini tidak menerima pendaftaran siswa internasional baru",IF(M1232=1,"Harga perlu dikonfirmasi ke sekolah"&amp;IF(""="","","; "&amp;""),"")))</f>
        <v/>
      </c>
      <c r="J1232" s="0" t="s">
        <v>4300</v>
      </c>
      <c r="K1232" s="0" t="n">
        <f aca="false">IF(M1232=2,"",IF(ISNUMBER(SEARCH("rata-rata:",'Onshore - Adelaide'!M516)),VALUE(MID('Onshore - Adelaide'!M516,SEARCH("rata-rata:",'Onshore - Adelaide'!M516)+11,FIND(";",'Onshore - Adelaide'!M516&amp;";",SEARCH("rata-rata:",'Onshore - Adelaide'!M516))-SEARCH("rata-rata:",'Onshore - Adelaide'!M516)-11)),IF('Onshore - Adelaide'!D516="Semester",'Onshore - Adelaide'!E516*2,IF('Onshore - Adelaide'!D516="Trimester",'Onshore - Adelaide'!E516*3,IF('Onshore - Adelaide'!D516="Term",'Onshore - Adelaide'!E516*4,IF('Onshore - Adelaide'!D516="Unit",'Onshore - Adelaide'!E516*8,""))))))</f>
        <v>24870</v>
      </c>
      <c r="L1232" s="0" t="n">
        <f aca="false">IF(AND(ISNUMBER('Onshore - Adelaide'!E516),ISNUMBER(K1232),ISNUMBER('Onshore - Adelaide'!F516),ISNUMBER('Onshore - Adelaide'!G516),OR('Onshore - Adelaide'!F516&lt;&gt;0,ISNUMBER(SEARCH("Material 0 terverifikasi",'Onshore - Adelaide'!M516))),OR('Onshore - Adelaide'!G516&lt;&gt;0,ISNUMBER(SEARCH("Enrolment 0 terverifikasi",'Onshore - Adelaide'!M516)))),1,0)</f>
        <v>0</v>
      </c>
      <c r="M1232" s="0" t="n">
        <f aca="false">IF(OR('Onshore - Adelaide'!E516="",ISNUMBER(SEARCH("BSB80120",'Onshore - Adelaide'!B516&amp;'Onshore - Adelaide'!M516)),ISNUMBER(SEARCH("Management (Learning)",'Onshore - Adelaide'!B516))),2,IF(ISNUMBER(SEARCH("CEK:",'Onshore - Adelaide'!M516)),1,0))</f>
        <v>0</v>
      </c>
    </row>
    <row r="1233" customFormat="false" ht="15" hidden="false" customHeight="false" outlineLevel="0" collapsed="false">
      <c r="A1233" s="63" t="s">
        <v>3659</v>
      </c>
      <c r="B1233" s="64" t="s">
        <v>4297</v>
      </c>
      <c r="C1233" s="63" t="s">
        <v>40</v>
      </c>
      <c r="D1233" s="64" t="str">
        <f aca="false">TRIM(LEFT('Onshore - Adelaide'!A462,FIND(CHAR(10),'Onshore - Adelaide'!A462&amp;CHAR(10))-1))</f>
        <v>Le Cordon Bleu Australia</v>
      </c>
      <c r="E1233" s="63" t="str">
        <f aca="false">'Onshore - Adelaide'!C463&amp;""</f>
        <v>0,5 year</v>
      </c>
      <c r="F1233" s="63" t="str">
        <f aca="false">IF('Onshore - Adelaide'!D463="","Belum tercatat",'Onshore - Adelaide'!D463)</f>
        <v>Term</v>
      </c>
      <c r="G1233" s="65" t="n">
        <f aca="false">IF('Onshore - Adelaide'!E463="","-",'Onshore - Adelaide'!E463)</f>
        <v>6737</v>
      </c>
      <c r="H1233" s="63" t="n">
        <f aca="false">IF(ISNUMBER(K1233),COUNTIFS($J$6:$J$1916,J1233,$K$6:$K$1916,"&lt;"&amp;K1233)+1,"-")</f>
        <v>4</v>
      </c>
      <c r="I1233" s="64" t="str">
        <f aca="false">IF('Onshore - Adelaide'!E463="","Harga belum tersedia - hubungi konsultan TEG",IF(M1233=2,"Saat ini tidak menerima pendaftaran siswa internasional baru",IF(M1233=1,"Harga perlu dikonfirmasi ke sekolah"&amp;IF(""="","","; "&amp;""),"")))</f>
        <v/>
      </c>
      <c r="J1233" s="0" t="s">
        <v>4300</v>
      </c>
      <c r="K1233" s="0" t="n">
        <f aca="false">IF(M1233=2,"",IF(ISNUMBER(SEARCH("rata-rata:",'Onshore - Adelaide'!M463)),VALUE(MID('Onshore - Adelaide'!M463,SEARCH("rata-rata:",'Onshore - Adelaide'!M463)+11,FIND(";",'Onshore - Adelaide'!M463&amp;";",SEARCH("rata-rata:",'Onshore - Adelaide'!M463))-SEARCH("rata-rata:",'Onshore - Adelaide'!M463)-11)),IF('Onshore - Adelaide'!D463="Semester",'Onshore - Adelaide'!E463*2,IF('Onshore - Adelaide'!D463="Trimester",'Onshore - Adelaide'!E463*3,IF('Onshore - Adelaide'!D463="Term",'Onshore - Adelaide'!E463*4,IF('Onshore - Adelaide'!D463="Unit",'Onshore - Adelaide'!E463*8,""))))))</f>
        <v>26948</v>
      </c>
      <c r="L1233" s="0" t="n">
        <f aca="false">IF(AND(ISNUMBER('Onshore - Adelaide'!E463),ISNUMBER(K1233),ISNUMBER('Onshore - Adelaide'!F463),ISNUMBER('Onshore - Adelaide'!G463),OR('Onshore - Adelaide'!F463&lt;&gt;0,ISNUMBER(SEARCH("Material 0 terverifikasi",'Onshore - Adelaide'!M463))),OR('Onshore - Adelaide'!G463&lt;&gt;0,ISNUMBER(SEARCH("Enrolment 0 terverifikasi",'Onshore - Adelaide'!M463)))),1,0)</f>
        <v>0</v>
      </c>
      <c r="M1233" s="0" t="n">
        <f aca="false">IF(OR('Onshore - Adelaide'!E463="",ISNUMBER(SEARCH("BSB80120",'Onshore - Adelaide'!B463&amp;'Onshore - Adelaide'!M463)),ISNUMBER(SEARCH("Management (Learning)",'Onshore - Adelaide'!B463))),2,IF(ISNUMBER(SEARCH("CEK:",'Onshore - Adelaide'!M463)),1,0))</f>
        <v>0</v>
      </c>
    </row>
    <row r="1234" customFormat="false" ht="15" hidden="false" customHeight="false" outlineLevel="0" collapsed="false">
      <c r="A1234" s="61" t="s">
        <v>4301</v>
      </c>
      <c r="B1234" s="62"/>
      <c r="C1234" s="62"/>
      <c r="D1234" s="62"/>
      <c r="E1234" s="62"/>
      <c r="F1234" s="62"/>
      <c r="G1234" s="62"/>
      <c r="H1234" s="62"/>
      <c r="I1234" s="62"/>
    </row>
    <row r="1235" customFormat="false" ht="28.35" hidden="false" customHeight="false" outlineLevel="0" collapsed="false">
      <c r="A1235" s="63" t="s">
        <v>3659</v>
      </c>
      <c r="B1235" s="64" t="s">
        <v>4297</v>
      </c>
      <c r="C1235" s="63" t="s">
        <v>41</v>
      </c>
      <c r="D1235" s="64" t="str">
        <f aca="false">TRIM(LEFT('Onshore - Adelaide'!A376,FIND(CHAR(10),'Onshore - Adelaide'!A376&amp;CHAR(10))-1))</f>
        <v>Albright Institute of Business and Language (AIBL)</v>
      </c>
      <c r="E1235" s="63" t="str">
        <f aca="false">'Onshore - Adelaide'!C379&amp;""</f>
        <v>2 years</v>
      </c>
      <c r="F1235" s="63" t="str">
        <f aca="false">IF('Onshore - Adelaide'!D379="","Belum tercatat",'Onshore - Adelaide'!D379)</f>
        <v>Term</v>
      </c>
      <c r="G1235" s="65" t="n">
        <f aca="false">IF('Onshore - Adelaide'!E379="","-",'Onshore - Adelaide'!E379)</f>
        <v>1875</v>
      </c>
      <c r="H1235" s="63" t="n">
        <f aca="false">IF(ISNUMBER(K1235),COUNTIFS($J$6:$J$1916,J1235,$K$6:$K$1916,"&lt;"&amp;K1235)+1,"-")</f>
        <v>1</v>
      </c>
      <c r="I1235" s="64" t="str">
        <f aca="false">IF('Onshore - Adelaide'!E379="","Harga belum tersedia - hubungi konsultan TEG",IF(M1235=2,"Saat ini tidak menerima pendaftaran siswa internasional baru",IF(M1235=1,"Harga perlu dikonfirmasi ke sekolah"&amp;IF(""="","","; "&amp;""),"")))</f>
        <v/>
      </c>
      <c r="J1235" s="0" t="s">
        <v>4302</v>
      </c>
      <c r="K1235" s="0" t="n">
        <f aca="false">IF(M1235=2,"",IF(ISNUMBER(SEARCH("rata-rata:",'Onshore - Adelaide'!M379)),VALUE(MID('Onshore - Adelaide'!M379,SEARCH("rata-rata:",'Onshore - Adelaide'!M379)+11,FIND(";",'Onshore - Adelaide'!M379&amp;";",SEARCH("rata-rata:",'Onshore - Adelaide'!M379))-SEARCH("rata-rata:",'Onshore - Adelaide'!M379)-11)),IF('Onshore - Adelaide'!D379="Semester",'Onshore - Adelaide'!E379*2,IF('Onshore - Adelaide'!D379="Trimester",'Onshore - Adelaide'!E379*3,IF('Onshore - Adelaide'!D379="Term",'Onshore - Adelaide'!E379*4,IF('Onshore - Adelaide'!D379="Unit",'Onshore - Adelaide'!E379*8,""))))))</f>
        <v>7500</v>
      </c>
      <c r="L1235" s="0" t="n">
        <f aca="false">IF(AND(ISNUMBER('Onshore - Adelaide'!E379),ISNUMBER(K1235),ISNUMBER('Onshore - Adelaide'!F379),ISNUMBER('Onshore - Adelaide'!G379),OR('Onshore - Adelaide'!F379&lt;&gt;0,ISNUMBER(SEARCH("Material 0 terverifikasi",'Onshore - Adelaide'!M379))),OR('Onshore - Adelaide'!G379&lt;&gt;0,ISNUMBER(SEARCH("Enrolment 0 terverifikasi",'Onshore - Adelaide'!M379)))),1,0)</f>
        <v>1</v>
      </c>
      <c r="M1235" s="0" t="n">
        <f aca="false">IF(OR('Onshore - Adelaide'!E379="",ISNUMBER(SEARCH("BSB80120",'Onshore - Adelaide'!B379&amp;'Onshore - Adelaide'!M379)),ISNUMBER(SEARCH("Management (Learning)",'Onshore - Adelaide'!B379))),2,IF(ISNUMBER(SEARCH("CEK:",'Onshore - Adelaide'!M379)),1,0))</f>
        <v>0</v>
      </c>
    </row>
    <row r="1236" customFormat="false" ht="28.35" hidden="false" customHeight="false" outlineLevel="0" collapsed="false">
      <c r="A1236" s="63" t="s">
        <v>3659</v>
      </c>
      <c r="B1236" s="64" t="s">
        <v>4297</v>
      </c>
      <c r="C1236" s="63" t="s">
        <v>41</v>
      </c>
      <c r="D1236" s="64" t="str">
        <f aca="false">TRIM(LEFT('Onshore - Adelaide'!A398,FIND(CHAR(10),'Onshore - Adelaide'!A398&amp;CHAR(10))-1))</f>
        <v>Australian Business &amp; Culinary Institute (ABC Institute)</v>
      </c>
      <c r="E1236" s="63" t="str">
        <f aca="false">'Onshore - Adelaide'!C400&amp;""</f>
        <v>2 years</v>
      </c>
      <c r="F1236" s="63" t="str">
        <f aca="false">IF('Onshore - Adelaide'!D400="","Belum tercatat",'Onshore - Adelaide'!D400)</f>
        <v>Term</v>
      </c>
      <c r="G1236" s="65" t="n">
        <f aca="false">IF('Onshore - Adelaide'!E400="","-",'Onshore - Adelaide'!E400)</f>
        <v>2125</v>
      </c>
      <c r="H1236" s="63" t="n">
        <f aca="false">IF(ISNUMBER(K1236),COUNTIFS($J$6:$J$1916,J1236,$K$6:$K$1916,"&lt;"&amp;K1236)+1,"-")</f>
        <v>2</v>
      </c>
      <c r="I1236" s="64" t="str">
        <f aca="false">IF('Onshore - Adelaide'!E400="","Harga belum tersedia - hubungi konsultan TEG",IF(M1236=2,"Saat ini tidak menerima pendaftaran siswa internasional baru",IF(M1236=1,"Harga perlu dikonfirmasi ke sekolah"&amp;IF(""="","","; "&amp;""),"")))</f>
        <v/>
      </c>
      <c r="J1236" s="0" t="s">
        <v>4302</v>
      </c>
      <c r="K1236" s="0" t="n">
        <f aca="false">IF(M1236=2,"",IF(ISNUMBER(SEARCH("rata-rata:",'Onshore - Adelaide'!M400)),VALUE(MID('Onshore - Adelaide'!M400,SEARCH("rata-rata:",'Onshore - Adelaide'!M400)+11,FIND(";",'Onshore - Adelaide'!M400&amp;";",SEARCH("rata-rata:",'Onshore - Adelaide'!M400))-SEARCH("rata-rata:",'Onshore - Adelaide'!M400)-11)),IF('Onshore - Adelaide'!D400="Semester",'Onshore - Adelaide'!E400*2,IF('Onshore - Adelaide'!D400="Trimester",'Onshore - Adelaide'!E400*3,IF('Onshore - Adelaide'!D400="Term",'Onshore - Adelaide'!E400*4,IF('Onshore - Adelaide'!D400="Unit",'Onshore - Adelaide'!E400*8,""))))))</f>
        <v>8500</v>
      </c>
      <c r="L1236" s="0" t="n">
        <f aca="false">IF(AND(ISNUMBER('Onshore - Adelaide'!E400),ISNUMBER(K1236),ISNUMBER('Onshore - Adelaide'!F400),ISNUMBER('Onshore - Adelaide'!G400),OR('Onshore - Adelaide'!F400&lt;&gt;0,ISNUMBER(SEARCH("Material 0 terverifikasi",'Onshore - Adelaide'!M400))),OR('Onshore - Adelaide'!G400&lt;&gt;0,ISNUMBER(SEARCH("Enrolment 0 terverifikasi",'Onshore - Adelaide'!M400)))),1,0)</f>
        <v>1</v>
      </c>
      <c r="M1236" s="0" t="n">
        <f aca="false">IF(OR('Onshore - Adelaide'!E400="",ISNUMBER(SEARCH("BSB80120",'Onshore - Adelaide'!B400&amp;'Onshore - Adelaide'!M400)),ISNUMBER(SEARCH("Management (Learning)",'Onshore - Adelaide'!B400))),2,IF(ISNUMBER(SEARCH("CEK:",'Onshore - Adelaide'!M400)),1,0))</f>
        <v>0</v>
      </c>
    </row>
    <row r="1237" customFormat="false" ht="15" hidden="false" customHeight="false" outlineLevel="0" collapsed="false">
      <c r="A1237" s="63" t="s">
        <v>3659</v>
      </c>
      <c r="B1237" s="64" t="s">
        <v>4297</v>
      </c>
      <c r="C1237" s="63" t="s">
        <v>41</v>
      </c>
      <c r="D1237" s="64" t="str">
        <f aca="false">TRIM(LEFT('Onshore - Adelaide'!A487,FIND(CHAR(10),'Onshore - Adelaide'!A487&amp;CHAR(10))-1))</f>
        <v>TAFE SA</v>
      </c>
      <c r="E1237" s="63" t="str">
        <f aca="false">'Onshore - Adelaide'!C520&amp;""</f>
        <v>0,5 year</v>
      </c>
      <c r="F1237" s="63" t="str">
        <f aca="false">IF('Onshore - Adelaide'!D520="","Belum tercatat",'Onshore - Adelaide'!D520)</f>
        <v>Semester</v>
      </c>
      <c r="G1237" s="65" t="n">
        <f aca="false">IF('Onshore - Adelaide'!E520="","-",'Onshore - Adelaide'!E520)</f>
        <v>6065</v>
      </c>
      <c r="H1237" s="63" t="n">
        <f aca="false">IF(ISNUMBER(K1237),COUNTIFS($J$6:$J$1916,J1237,$K$6:$K$1916,"&lt;"&amp;K1237)+1,"-")</f>
        <v>3</v>
      </c>
      <c r="I1237" s="64" t="str">
        <f aca="false">IF('Onshore - Adelaide'!E520="","Harga belum tersedia - hubungi konsultan TEG",IF(M1237=2,"Saat ini tidak menerima pendaftaran siswa internasional baru",IF(M1237=1,"Harga perlu dikonfirmasi ke sekolah"&amp;IF(""="","","; "&amp;""),"")))</f>
        <v/>
      </c>
      <c r="J1237" s="0" t="s">
        <v>4302</v>
      </c>
      <c r="K1237" s="0" t="n">
        <f aca="false">IF(M1237=2,"",IF(ISNUMBER(SEARCH("rata-rata:",'Onshore - Adelaide'!M520)),VALUE(MID('Onshore - Adelaide'!M520,SEARCH("rata-rata:",'Onshore - Adelaide'!M520)+11,FIND(";",'Onshore - Adelaide'!M520&amp;";",SEARCH("rata-rata:",'Onshore - Adelaide'!M520))-SEARCH("rata-rata:",'Onshore - Adelaide'!M520)-11)),IF('Onshore - Adelaide'!D520="Semester",'Onshore - Adelaide'!E520*2,IF('Onshore - Adelaide'!D520="Trimester",'Onshore - Adelaide'!E520*3,IF('Onshore - Adelaide'!D520="Term",'Onshore - Adelaide'!E520*4,IF('Onshore - Adelaide'!D520="Unit",'Onshore - Adelaide'!E520*8,""))))))</f>
        <v>12130</v>
      </c>
      <c r="L1237" s="0" t="n">
        <f aca="false">IF(AND(ISNUMBER('Onshore - Adelaide'!E520),ISNUMBER(K1237),ISNUMBER('Onshore - Adelaide'!F520),ISNUMBER('Onshore - Adelaide'!G520),OR('Onshore - Adelaide'!F520&lt;&gt;0,ISNUMBER(SEARCH("Material 0 terverifikasi",'Onshore - Adelaide'!M520))),OR('Onshore - Adelaide'!G520&lt;&gt;0,ISNUMBER(SEARCH("Enrolment 0 terverifikasi",'Onshore - Adelaide'!M520)))),1,0)</f>
        <v>0</v>
      </c>
      <c r="M1237" s="0" t="n">
        <f aca="false">IF(OR('Onshore - Adelaide'!E520="",ISNUMBER(SEARCH("BSB80120",'Onshore - Adelaide'!B520&amp;'Onshore - Adelaide'!M520)),ISNUMBER(SEARCH("Management (Learning)",'Onshore - Adelaide'!B520))),2,IF(ISNUMBER(SEARCH("CEK:",'Onshore - Adelaide'!M520)),1,0))</f>
        <v>0</v>
      </c>
    </row>
    <row r="1238" customFormat="false" ht="15" hidden="false" customHeight="false" outlineLevel="0" collapsed="false">
      <c r="A1238" s="63" t="s">
        <v>3659</v>
      </c>
      <c r="B1238" s="64" t="s">
        <v>4297</v>
      </c>
      <c r="C1238" s="63" t="s">
        <v>41</v>
      </c>
      <c r="D1238" s="64" t="str">
        <f aca="false">TRIM(LEFT('Onshore - Adelaide'!A381,FIND(CHAR(10),'Onshore - Adelaide'!A381&amp;CHAR(10))-1))</f>
        <v>Alliance College</v>
      </c>
      <c r="E1238" s="63" t="str">
        <f aca="false">'Onshore - Adelaide'!C381&amp;""</f>
        <v>2 years</v>
      </c>
      <c r="F1238" s="63" t="str">
        <f aca="false">IF('Onshore - Adelaide'!D381="","Belum tercatat",'Onshore - Adelaide'!D381)</f>
        <v>Term</v>
      </c>
      <c r="G1238" s="65" t="n">
        <f aca="false">IF('Onshore - Adelaide'!E381="","-",'Onshore - Adelaide'!E381)</f>
        <v>3560</v>
      </c>
      <c r="H1238" s="63" t="n">
        <f aca="false">IF(ISNUMBER(K1238),COUNTIFS($J$6:$J$1916,J1238,$K$6:$K$1916,"&lt;"&amp;K1238)+1,"-")</f>
        <v>4</v>
      </c>
      <c r="I1238" s="64" t="str">
        <f aca="false">IF('Onshore - Adelaide'!E381="","Harga belum tersedia - hubungi konsultan TEG",IF(M1238=2,"Saat ini tidak menerima pendaftaran siswa internasional baru",IF(M1238=1,"Harga perlu dikonfirmasi ke sekolah"&amp;IF(""="","","; "&amp;""),"")))</f>
        <v/>
      </c>
      <c r="J1238" s="0" t="s">
        <v>4302</v>
      </c>
      <c r="K1238" s="0" t="n">
        <f aca="false">IF(M1238=2,"",IF(ISNUMBER(SEARCH("rata-rata:",'Onshore - Adelaide'!M381)),VALUE(MID('Onshore - Adelaide'!M381,SEARCH("rata-rata:",'Onshore - Adelaide'!M381)+11,FIND(";",'Onshore - Adelaide'!M381&amp;";",SEARCH("rata-rata:",'Onshore - Adelaide'!M381))-SEARCH("rata-rata:",'Onshore - Adelaide'!M381)-11)),IF('Onshore - Adelaide'!D381="Semester",'Onshore - Adelaide'!E381*2,IF('Onshore - Adelaide'!D381="Trimester",'Onshore - Adelaide'!E381*3,IF('Onshore - Adelaide'!D381="Term",'Onshore - Adelaide'!E381*4,IF('Onshore - Adelaide'!D381="Unit",'Onshore - Adelaide'!E381*8,""))))))</f>
        <v>14240</v>
      </c>
      <c r="L1238" s="0" t="n">
        <f aca="false">IF(AND(ISNUMBER('Onshore - Adelaide'!E381),ISNUMBER(K1238),ISNUMBER('Onshore - Adelaide'!F381),ISNUMBER('Onshore - Adelaide'!G381),OR('Onshore - Adelaide'!F381&lt;&gt;0,ISNUMBER(SEARCH("Material 0 terverifikasi",'Onshore - Adelaide'!M381))),OR('Onshore - Adelaide'!G381&lt;&gt;0,ISNUMBER(SEARCH("Enrolment 0 terverifikasi",'Onshore - Adelaide'!M381)))),1,0)</f>
        <v>1</v>
      </c>
      <c r="M1238" s="0" t="n">
        <f aca="false">IF(OR('Onshore - Adelaide'!E381="",ISNUMBER(SEARCH("BSB80120",'Onshore - Adelaide'!B381&amp;'Onshore - Adelaide'!M381)),ISNUMBER(SEARCH("Management (Learning)",'Onshore - Adelaide'!B381))),2,IF(ISNUMBER(SEARCH("CEK:",'Onshore - Adelaide'!M381)),1,0))</f>
        <v>0</v>
      </c>
    </row>
    <row r="1239" customFormat="false" ht="15" hidden="false" customHeight="false" outlineLevel="0" collapsed="false">
      <c r="A1239" s="63" t="s">
        <v>3659</v>
      </c>
      <c r="B1239" s="64" t="s">
        <v>4297</v>
      </c>
      <c r="C1239" s="63" t="s">
        <v>41</v>
      </c>
      <c r="D1239" s="64" t="str">
        <f aca="false">TRIM(LEFT('Onshore - Adelaide'!A462,FIND(CHAR(10),'Onshore - Adelaide'!A462&amp;CHAR(10))-1))</f>
        <v>Le Cordon Bleu Australia</v>
      </c>
      <c r="E1239" s="63" t="str">
        <f aca="false">'Onshore - Adelaide'!C465&amp;""</f>
        <v>2,5 years</v>
      </c>
      <c r="F1239" s="63" t="str">
        <f aca="false">IF('Onshore - Adelaide'!D465="","Belum tercatat",'Onshore - Adelaide'!D465)</f>
        <v>Term</v>
      </c>
      <c r="G1239" s="65" t="n">
        <f aca="false">IF('Onshore - Adelaide'!E465="","-",'Onshore - Adelaide'!E465)</f>
        <v>7005.6</v>
      </c>
      <c r="H1239" s="63" t="n">
        <f aca="false">IF(ISNUMBER(K1239),COUNTIFS($J$6:$J$1916,J1239,$K$6:$K$1916,"&lt;"&amp;K1239)+1,"-")</f>
        <v>5</v>
      </c>
      <c r="I1239" s="64" t="str">
        <f aca="false">IF('Onshore - Adelaide'!E465="","Harga belum tersedia - hubungi konsultan TEG",IF(M1239=2,"Saat ini tidak menerima pendaftaran siswa internasional baru",IF(M1239=1,"Harga perlu dikonfirmasi ke sekolah"&amp;IF(""="","","; "&amp;""),"")))</f>
        <v>Harga perlu dikonfirmasi ke sekolah</v>
      </c>
      <c r="J1239" s="0" t="s">
        <v>4302</v>
      </c>
      <c r="K1239" s="0" t="n">
        <f aca="false">IF(M1239=2,"",IF(ISNUMBER(SEARCH("rata-rata:",'Onshore - Adelaide'!M465)),VALUE(MID('Onshore - Adelaide'!M465,SEARCH("rata-rata:",'Onshore - Adelaide'!M465)+11,FIND(";",'Onshore - Adelaide'!M465&amp;";",SEARCH("rata-rata:",'Onshore - Adelaide'!M465))-SEARCH("rata-rata:",'Onshore - Adelaide'!M465)-11)),IF('Onshore - Adelaide'!D465="Semester",'Onshore - Adelaide'!E465*2,IF('Onshore - Adelaide'!D465="Trimester",'Onshore - Adelaide'!E465*3,IF('Onshore - Adelaide'!D465="Term",'Onshore - Adelaide'!E465*4,IF('Onshore - Adelaide'!D465="Unit",'Onshore - Adelaide'!E465*8,""))))))</f>
        <v>28022.4</v>
      </c>
      <c r="L1239" s="0" t="n">
        <f aca="false">IF(AND(ISNUMBER('Onshore - Adelaide'!E465),ISNUMBER(K1239),ISNUMBER('Onshore - Adelaide'!F465),ISNUMBER('Onshore - Adelaide'!G465),OR('Onshore - Adelaide'!F465&lt;&gt;0,ISNUMBER(SEARCH("Material 0 terverifikasi",'Onshore - Adelaide'!M465))),OR('Onshore - Adelaide'!G465&lt;&gt;0,ISNUMBER(SEARCH("Enrolment 0 terverifikasi",'Onshore - Adelaide'!M465)))),1,0)</f>
        <v>0</v>
      </c>
      <c r="M1239" s="0" t="n">
        <f aca="false">IF(OR('Onshore - Adelaide'!E465="",ISNUMBER(SEARCH("BSB80120",'Onshore - Adelaide'!B465&amp;'Onshore - Adelaide'!M465)),ISNUMBER(SEARCH("Management (Learning)",'Onshore - Adelaide'!B465))),2,IF(ISNUMBER(SEARCH("CEK:",'Onshore - Adelaide'!M465)),1,0))</f>
        <v>1</v>
      </c>
    </row>
    <row r="1240" customFormat="false" ht="15" hidden="false" customHeight="false" outlineLevel="0" collapsed="false">
      <c r="A1240" s="61" t="s">
        <v>4303</v>
      </c>
      <c r="B1240" s="62"/>
      <c r="C1240" s="62"/>
      <c r="D1240" s="62"/>
      <c r="E1240" s="62"/>
      <c r="F1240" s="62"/>
      <c r="G1240" s="62"/>
      <c r="H1240" s="62"/>
      <c r="I1240" s="62"/>
    </row>
    <row r="1241" customFormat="false" ht="15" hidden="false" customHeight="false" outlineLevel="0" collapsed="false">
      <c r="A1241" s="63" t="s">
        <v>3659</v>
      </c>
      <c r="B1241" s="64" t="s">
        <v>4297</v>
      </c>
      <c r="C1241" s="63" t="s">
        <v>42</v>
      </c>
      <c r="D1241" s="64" t="str">
        <f aca="false">TRIM(LEFT('Onshore - Adelaide'!A402,FIND(CHAR(10),'Onshore - Adelaide'!A402&amp;CHAR(10))-1))</f>
        <v>Australian Ideal College (AIC)</v>
      </c>
      <c r="E1241" s="63" t="str">
        <f aca="false">'Onshore - Adelaide'!C411&amp;""</f>
        <v>3 years</v>
      </c>
      <c r="F1241" s="63" t="str">
        <f aca="false">IF('Onshore - Adelaide'!D411="","Belum tercatat",'Onshore - Adelaide'!D411)</f>
        <v>Term</v>
      </c>
      <c r="G1241" s="65" t="n">
        <f aca="false">IF('Onshore - Adelaide'!E411="","-",'Onshore - Adelaide'!E411)</f>
        <v>1750</v>
      </c>
      <c r="H1241" s="63" t="n">
        <f aca="false">IF(ISNUMBER(K1241),COUNTIFS($J$6:$J$1916,J1241,$K$6:$K$1916,"&lt;"&amp;K1241)+1,"-")</f>
        <v>1</v>
      </c>
      <c r="I1241" s="64" t="str">
        <f aca="false">IF('Onshore - Adelaide'!E411="","Harga belum tersedia - hubungi konsultan TEG",IF(M1241=2,"Saat ini tidak menerima pendaftaran siswa internasional baru",IF(M1241=1,"Harga perlu dikonfirmasi ke sekolah"&amp;IF(""="","","; "&amp;""),"")))</f>
        <v/>
      </c>
      <c r="J1241" s="0" t="s">
        <v>4304</v>
      </c>
      <c r="K1241" s="0" t="n">
        <f aca="false">IF(M1241=2,"",IF(ISNUMBER(SEARCH("rata-rata:",'Onshore - Adelaide'!M411)),VALUE(MID('Onshore - Adelaide'!M411,SEARCH("rata-rata:",'Onshore - Adelaide'!M411)+11,FIND(";",'Onshore - Adelaide'!M411&amp;";",SEARCH("rata-rata:",'Onshore - Adelaide'!M411))-SEARCH("rata-rata:",'Onshore - Adelaide'!M411)-11)),IF('Onshore - Adelaide'!D411="Semester",'Onshore - Adelaide'!E411*2,IF('Onshore - Adelaide'!D411="Trimester",'Onshore - Adelaide'!E411*3,IF('Onshore - Adelaide'!D411="Term",'Onshore - Adelaide'!E411*4,IF('Onshore - Adelaide'!D411="Unit",'Onshore - Adelaide'!E411*8,""))))))</f>
        <v>7000</v>
      </c>
      <c r="L1241" s="0" t="n">
        <f aca="false">IF(AND(ISNUMBER('Onshore - Adelaide'!E411),ISNUMBER(K1241),ISNUMBER('Onshore - Adelaide'!F411),ISNUMBER('Onshore - Adelaide'!G411),OR('Onshore - Adelaide'!F411&lt;&gt;0,ISNUMBER(SEARCH("Material 0 terverifikasi",'Onshore - Adelaide'!M411))),OR('Onshore - Adelaide'!G411&lt;&gt;0,ISNUMBER(SEARCH("Enrolment 0 terverifikasi",'Onshore - Adelaide'!M411)))),1,0)</f>
        <v>1</v>
      </c>
      <c r="M1241" s="0" t="n">
        <f aca="false">IF(OR('Onshore - Adelaide'!E411="",ISNUMBER(SEARCH("BSB80120",'Onshore - Adelaide'!B411&amp;'Onshore - Adelaide'!M411)),ISNUMBER(SEARCH("Management (Learning)",'Onshore - Adelaide'!B411))),2,IF(ISNUMBER(SEARCH("CEK:",'Onshore - Adelaide'!M411)),1,0))</f>
        <v>0</v>
      </c>
    </row>
    <row r="1242" customFormat="false" ht="28.35" hidden="false" customHeight="false" outlineLevel="0" collapsed="false">
      <c r="A1242" s="63" t="s">
        <v>3659</v>
      </c>
      <c r="B1242" s="64" t="s">
        <v>4297</v>
      </c>
      <c r="C1242" s="63" t="s">
        <v>42</v>
      </c>
      <c r="D1242" s="64" t="str">
        <f aca="false">TRIM(LEFT('Onshore - Adelaide'!A398,FIND(CHAR(10),'Onshore - Adelaide'!A398&amp;CHAR(10))-1))</f>
        <v>Australian Business &amp; Culinary Institute (ABC Institute)</v>
      </c>
      <c r="E1242" s="63" t="str">
        <f aca="false">'Onshore - Adelaide'!C401&amp;""</f>
        <v>2,5 years</v>
      </c>
      <c r="F1242" s="63" t="str">
        <f aca="false">IF('Onshore - Adelaide'!D401="","Belum tercatat",'Onshore - Adelaide'!D401)</f>
        <v>Term</v>
      </c>
      <c r="G1242" s="65" t="n">
        <f aca="false">IF('Onshore - Adelaide'!E401="","-",'Onshore - Adelaide'!E401)</f>
        <v>2100</v>
      </c>
      <c r="H1242" s="63" t="n">
        <f aca="false">IF(ISNUMBER(K1242),COUNTIFS($J$6:$J$1916,J1242,$K$6:$K$1916,"&lt;"&amp;K1242)+1,"-")</f>
        <v>2</v>
      </c>
      <c r="I1242" s="64" t="str">
        <f aca="false">IF('Onshore - Adelaide'!E401="","Harga belum tersedia - hubungi konsultan TEG",IF(M1242=2,"Saat ini tidak menerima pendaftaran siswa internasional baru",IF(M1242=1,"Harga perlu dikonfirmasi ke sekolah"&amp;IF(""="","","; "&amp;""),"")))</f>
        <v/>
      </c>
      <c r="J1242" s="0" t="s">
        <v>4304</v>
      </c>
      <c r="K1242" s="0" t="n">
        <f aca="false">IF(M1242=2,"",IF(ISNUMBER(SEARCH("rata-rata:",'Onshore - Adelaide'!M401)),VALUE(MID('Onshore - Adelaide'!M401,SEARCH("rata-rata:",'Onshore - Adelaide'!M401)+11,FIND(";",'Onshore - Adelaide'!M401&amp;";",SEARCH("rata-rata:",'Onshore - Adelaide'!M401))-SEARCH("rata-rata:",'Onshore - Adelaide'!M401)-11)),IF('Onshore - Adelaide'!D401="Semester",'Onshore - Adelaide'!E401*2,IF('Onshore - Adelaide'!D401="Trimester",'Onshore - Adelaide'!E401*3,IF('Onshore - Adelaide'!D401="Term",'Onshore - Adelaide'!E401*4,IF('Onshore - Adelaide'!D401="Unit",'Onshore - Adelaide'!E401*8,""))))))</f>
        <v>8400</v>
      </c>
      <c r="L1242" s="0" t="n">
        <f aca="false">IF(AND(ISNUMBER('Onshore - Adelaide'!E401),ISNUMBER(K1242),ISNUMBER('Onshore - Adelaide'!F401),ISNUMBER('Onshore - Adelaide'!G401),OR('Onshore - Adelaide'!F401&lt;&gt;0,ISNUMBER(SEARCH("Material 0 terverifikasi",'Onshore - Adelaide'!M401))),OR('Onshore - Adelaide'!G401&lt;&gt;0,ISNUMBER(SEARCH("Enrolment 0 terverifikasi",'Onshore - Adelaide'!M401)))),1,0)</f>
        <v>1</v>
      </c>
      <c r="M1242" s="0" t="n">
        <f aca="false">IF(OR('Onshore - Adelaide'!E401="",ISNUMBER(SEARCH("BSB80120",'Onshore - Adelaide'!B401&amp;'Onshore - Adelaide'!M401)),ISNUMBER(SEARCH("Management (Learning)",'Onshore - Adelaide'!B401))),2,IF(ISNUMBER(SEARCH("CEK:",'Onshore - Adelaide'!M401)),1,0))</f>
        <v>0</v>
      </c>
    </row>
    <row r="1243" customFormat="false" ht="15" hidden="false" customHeight="false" outlineLevel="0" collapsed="false">
      <c r="A1243" s="63" t="s">
        <v>3659</v>
      </c>
      <c r="B1243" s="64" t="s">
        <v>4297</v>
      </c>
      <c r="C1243" s="63" t="s">
        <v>42</v>
      </c>
      <c r="D1243" s="64" t="str">
        <f aca="false">TRIM(LEFT('Onshore - Adelaide'!A381,FIND(CHAR(10),'Onshore - Adelaide'!A381&amp;CHAR(10))-1))</f>
        <v>Alliance College</v>
      </c>
      <c r="E1243" s="63" t="str">
        <f aca="false">'Onshore - Adelaide'!C386&amp;""</f>
        <v>2 years</v>
      </c>
      <c r="F1243" s="63" t="str">
        <f aca="false">IF('Onshore - Adelaide'!D386="","Belum tercatat",'Onshore - Adelaide'!D386)</f>
        <v>Term</v>
      </c>
      <c r="G1243" s="65" t="n">
        <f aca="false">IF('Onshore - Adelaide'!E386="","-",'Onshore - Adelaide'!E386)</f>
        <v>2220</v>
      </c>
      <c r="H1243" s="63" t="n">
        <f aca="false">IF(ISNUMBER(K1243),COUNTIFS($J$6:$J$1916,J1243,$K$6:$K$1916,"&lt;"&amp;K1243)+1,"-")</f>
        <v>3</v>
      </c>
      <c r="I1243" s="64" t="str">
        <f aca="false">IF('Onshore - Adelaide'!E386="","Harga belum tersedia - hubungi konsultan TEG",IF(M1243=2,"Saat ini tidak menerima pendaftaran siswa internasional baru",IF(M1243=1,"Harga perlu dikonfirmasi ke sekolah"&amp;IF(""="","","; "&amp;""),"")))</f>
        <v/>
      </c>
      <c r="J1243" s="0" t="s">
        <v>4304</v>
      </c>
      <c r="K1243" s="0" t="n">
        <f aca="false">IF(M1243=2,"",IF(ISNUMBER(SEARCH("rata-rata:",'Onshore - Adelaide'!M386)),VALUE(MID('Onshore - Adelaide'!M386,SEARCH("rata-rata:",'Onshore - Adelaide'!M386)+11,FIND(";",'Onshore - Adelaide'!M386&amp;";",SEARCH("rata-rata:",'Onshore - Adelaide'!M386))-SEARCH("rata-rata:",'Onshore - Adelaide'!M386)-11)),IF('Onshore - Adelaide'!D386="Semester",'Onshore - Adelaide'!E386*2,IF('Onshore - Adelaide'!D386="Trimester",'Onshore - Adelaide'!E386*3,IF('Onshore - Adelaide'!D386="Term",'Onshore - Adelaide'!E386*4,IF('Onshore - Adelaide'!D386="Unit",'Onshore - Adelaide'!E386*8,""))))))</f>
        <v>8880</v>
      </c>
      <c r="L1243" s="0" t="n">
        <f aca="false">IF(AND(ISNUMBER('Onshore - Adelaide'!E386),ISNUMBER(K1243),ISNUMBER('Onshore - Adelaide'!F386),ISNUMBER('Onshore - Adelaide'!G386),OR('Onshore - Adelaide'!F386&lt;&gt;0,ISNUMBER(SEARCH("Material 0 terverifikasi",'Onshore - Adelaide'!M386))),OR('Onshore - Adelaide'!G386&lt;&gt;0,ISNUMBER(SEARCH("Enrolment 0 terverifikasi",'Onshore - Adelaide'!M386)))),1,0)</f>
        <v>1</v>
      </c>
      <c r="M1243" s="0" t="n">
        <f aca="false">IF(OR('Onshore - Adelaide'!E386="",ISNUMBER(SEARCH("BSB80120",'Onshore - Adelaide'!B386&amp;'Onshore - Adelaide'!M386)),ISNUMBER(SEARCH("Management (Learning)",'Onshore - Adelaide'!B386))),2,IF(ISNUMBER(SEARCH("CEK:",'Onshore - Adelaide'!M386)),1,0))</f>
        <v>0</v>
      </c>
    </row>
    <row r="1244" customFormat="false" ht="15" hidden="false" customHeight="false" outlineLevel="0" collapsed="false">
      <c r="A1244" s="63" t="s">
        <v>3659</v>
      </c>
      <c r="B1244" s="64" t="s">
        <v>4297</v>
      </c>
      <c r="C1244" s="63" t="s">
        <v>42</v>
      </c>
      <c r="D1244" s="64" t="str">
        <f aca="false">TRIM(LEFT('Onshore - Adelaide'!A483,FIND(CHAR(10),'Onshore - Adelaide'!A483&amp;CHAR(10))-1))</f>
        <v>Sydney City College of Management</v>
      </c>
      <c r="E1244" s="63" t="str">
        <f aca="false">'Onshore - Adelaide'!C486&amp;""</f>
        <v>2,5 years</v>
      </c>
      <c r="F1244" s="63" t="str">
        <f aca="false">IF('Onshore - Adelaide'!D486="","Belum tercatat",'Onshore - Adelaide'!D486)</f>
        <v>Term</v>
      </c>
      <c r="G1244" s="65" t="n">
        <f aca="false">IF('Onshore - Adelaide'!E486="","-",'Onshore - Adelaide'!E486)</f>
        <v>4300</v>
      </c>
      <c r="H1244" s="63" t="n">
        <f aca="false">IF(ISNUMBER(K1244),COUNTIFS($J$6:$J$1916,J1244,$K$6:$K$1916,"&lt;"&amp;K1244)+1,"-")</f>
        <v>4</v>
      </c>
      <c r="I1244" s="64" t="str">
        <f aca="false">IF('Onshore - Adelaide'!E486="","Harga belum tersedia - hubungi konsultan TEG",IF(M1244=2,"Saat ini tidak menerima pendaftaran siswa internasional baru",IF(M1244=1,"Harga perlu dikonfirmasi ke sekolah"&amp;IF(""="","","; "&amp;""),"")))</f>
        <v/>
      </c>
      <c r="J1244" s="0" t="s">
        <v>4304</v>
      </c>
      <c r="K1244" s="0" t="n">
        <f aca="false">IF(M1244=2,"",IF(ISNUMBER(SEARCH("rata-rata:",'Onshore - Adelaide'!M486)),VALUE(MID('Onshore - Adelaide'!M486,SEARCH("rata-rata:",'Onshore - Adelaide'!M486)+11,FIND(";",'Onshore - Adelaide'!M486&amp;";",SEARCH("rata-rata:",'Onshore - Adelaide'!M486))-SEARCH("rata-rata:",'Onshore - Adelaide'!M486)-11)),IF('Onshore - Adelaide'!D486="Semester",'Onshore - Adelaide'!E486*2,IF('Onshore - Adelaide'!D486="Trimester",'Onshore - Adelaide'!E486*3,IF('Onshore - Adelaide'!D486="Term",'Onshore - Adelaide'!E486*4,IF('Onshore - Adelaide'!D486="Unit",'Onshore - Adelaide'!E486*8,""))))))</f>
        <v>17200</v>
      </c>
      <c r="L1244" s="0" t="n">
        <f aca="false">IF(AND(ISNUMBER('Onshore - Adelaide'!E486),ISNUMBER(K1244),ISNUMBER('Onshore - Adelaide'!F486),ISNUMBER('Onshore - Adelaide'!G486),OR('Onshore - Adelaide'!F486&lt;&gt;0,ISNUMBER(SEARCH("Material 0 terverifikasi",'Onshore - Adelaide'!M486))),OR('Onshore - Adelaide'!G486&lt;&gt;0,ISNUMBER(SEARCH("Enrolment 0 terverifikasi",'Onshore - Adelaide'!M486)))),1,0)</f>
        <v>1</v>
      </c>
      <c r="M1244" s="0" t="n">
        <f aca="false">IF(OR('Onshore - Adelaide'!E486="",ISNUMBER(SEARCH("BSB80120",'Onshore - Adelaide'!B486&amp;'Onshore - Adelaide'!M486)),ISNUMBER(SEARCH("Management (Learning)",'Onshore - Adelaide'!B486))),2,IF(ISNUMBER(SEARCH("CEK:",'Onshore - Adelaide'!M486)),1,0))</f>
        <v>0</v>
      </c>
    </row>
    <row r="1245" customFormat="false" ht="15" hidden="false" customHeight="false" outlineLevel="0" collapsed="false">
      <c r="A1245" s="63" t="s">
        <v>3659</v>
      </c>
      <c r="B1245" s="64" t="s">
        <v>4297</v>
      </c>
      <c r="C1245" s="63" t="s">
        <v>42</v>
      </c>
      <c r="D1245" s="64" t="str">
        <f aca="false">TRIM(LEFT('Onshore - Adelaide'!A462,FIND(CHAR(10),'Onshore - Adelaide'!A462&amp;CHAR(10))-1))</f>
        <v>Le Cordon Bleu Australia</v>
      </c>
      <c r="E1245" s="63" t="str">
        <f aca="false">'Onshore - Adelaide'!C464&amp;""</f>
        <v>0,5 year</v>
      </c>
      <c r="F1245" s="63" t="str">
        <f aca="false">IF('Onshore - Adelaide'!D464="","Belum tercatat",'Onshore - Adelaide'!D464)</f>
        <v>Term</v>
      </c>
      <c r="G1245" s="65" t="n">
        <f aca="false">IF('Onshore - Adelaide'!E464="","-",'Onshore - Adelaide'!E464)</f>
        <v>7298.5</v>
      </c>
      <c r="H1245" s="63" t="n">
        <f aca="false">IF(ISNUMBER(K1245),COUNTIFS($J$6:$J$1916,J1245,$K$6:$K$1916,"&lt;"&amp;K1245)+1,"-")</f>
        <v>5</v>
      </c>
      <c r="I1245" s="64" t="str">
        <f aca="false">IF('Onshore - Adelaide'!E464="","Harga belum tersedia - hubungi konsultan TEG",IF(M1245=2,"Saat ini tidak menerima pendaftaran siswa internasional baru",IF(M1245=1,"Harga perlu dikonfirmasi ke sekolah"&amp;IF(""="","","; "&amp;""),"")))</f>
        <v/>
      </c>
      <c r="J1245" s="0" t="s">
        <v>4304</v>
      </c>
      <c r="K1245" s="0" t="n">
        <f aca="false">IF(M1245=2,"",IF(ISNUMBER(SEARCH("rata-rata:",'Onshore - Adelaide'!M464)),VALUE(MID('Onshore - Adelaide'!M464,SEARCH("rata-rata:",'Onshore - Adelaide'!M464)+11,FIND(";",'Onshore - Adelaide'!M464&amp;";",SEARCH("rata-rata:",'Onshore - Adelaide'!M464))-SEARCH("rata-rata:",'Onshore - Adelaide'!M464)-11)),IF('Onshore - Adelaide'!D464="Semester",'Onshore - Adelaide'!E464*2,IF('Onshore - Adelaide'!D464="Trimester",'Onshore - Adelaide'!E464*3,IF('Onshore - Adelaide'!D464="Term",'Onshore - Adelaide'!E464*4,IF('Onshore - Adelaide'!D464="Unit",'Onshore - Adelaide'!E464*8,""))))))</f>
        <v>29194</v>
      </c>
      <c r="L1245" s="0" t="n">
        <f aca="false">IF(AND(ISNUMBER('Onshore - Adelaide'!E464),ISNUMBER(K1245),ISNUMBER('Onshore - Adelaide'!F464),ISNUMBER('Onshore - Adelaide'!G464),OR('Onshore - Adelaide'!F464&lt;&gt;0,ISNUMBER(SEARCH("Material 0 terverifikasi",'Onshore - Adelaide'!M464))),OR('Onshore - Adelaide'!G464&lt;&gt;0,ISNUMBER(SEARCH("Enrolment 0 terverifikasi",'Onshore - Adelaide'!M464)))),1,0)</f>
        <v>0</v>
      </c>
      <c r="M1245" s="0" t="n">
        <f aca="false">IF(OR('Onshore - Adelaide'!E464="",ISNUMBER(SEARCH("BSB80120",'Onshore - Adelaide'!B464&amp;'Onshore - Adelaide'!M464)),ISNUMBER(SEARCH("Management (Learning)",'Onshore - Adelaide'!B464))),2,IF(ISNUMBER(SEARCH("CEK:",'Onshore - Adelaide'!M464)),1,0))</f>
        <v>0</v>
      </c>
    </row>
    <row r="1246" customFormat="false" ht="15" hidden="false" customHeight="false" outlineLevel="0" collapsed="false">
      <c r="A1246" s="61" t="s">
        <v>4305</v>
      </c>
      <c r="B1246" s="62"/>
      <c r="C1246" s="62"/>
      <c r="D1246" s="62"/>
      <c r="E1246" s="62"/>
      <c r="F1246" s="62"/>
      <c r="G1246" s="62"/>
      <c r="H1246" s="62"/>
      <c r="I1246" s="62"/>
    </row>
    <row r="1247" customFormat="false" ht="15" hidden="false" customHeight="false" outlineLevel="0" collapsed="false">
      <c r="A1247" s="63" t="s">
        <v>3659</v>
      </c>
      <c r="B1247" s="64" t="s">
        <v>4297</v>
      </c>
      <c r="C1247" s="63" t="s">
        <v>43</v>
      </c>
      <c r="D1247" s="64" t="str">
        <f aca="false">TRIM(LEFT('Onshore - Adelaide'!A462,FIND(CHAR(10),'Onshore - Adelaide'!A462&amp;CHAR(10))-1))</f>
        <v>Le Cordon Bleu Australia</v>
      </c>
      <c r="E1247" s="63" t="str">
        <f aca="false">'Onshore - Adelaide'!C470&amp;""</f>
        <v>3 years</v>
      </c>
      <c r="F1247" s="63" t="str">
        <f aca="false">IF('Onshore - Adelaide'!D470="","Belum tercatat",'Onshore - Adelaide'!D470)</f>
        <v>Term</v>
      </c>
      <c r="G1247" s="65" t="n">
        <f aca="false">IF('Onshore - Adelaide'!E470="","-",'Onshore - Adelaide'!E470)</f>
        <v>5688.58</v>
      </c>
      <c r="H1247" s="63" t="n">
        <f aca="false">IF(ISNUMBER(K1247),COUNTIFS($J$6:$J$1916,J1247,$K$6:$K$1916,"&lt;"&amp;K1247)+1,"-")</f>
        <v>1</v>
      </c>
      <c r="I1247" s="64" t="str">
        <f aca="false">IF('Onshore - Adelaide'!E470="","Harga belum tersedia - hubungi konsultan TEG",IF(M1247=2,"Saat ini tidak menerima pendaftaran siswa internasional baru",IF(M1247=1,"Harga perlu dikonfirmasi ke sekolah"&amp;IF(""="","","; "&amp;""),"")))</f>
        <v/>
      </c>
      <c r="J1247" s="0" t="s">
        <v>4306</v>
      </c>
      <c r="K1247" s="0" t="n">
        <f aca="false">IF(M1247=2,"",IF(ISNUMBER(SEARCH("rata-rata:",'Onshore - Adelaide'!M470)),VALUE(MID('Onshore - Adelaide'!M470,SEARCH("rata-rata:",'Onshore - Adelaide'!M470)+11,FIND(";",'Onshore - Adelaide'!M470&amp;";",SEARCH("rata-rata:",'Onshore - Adelaide'!M470))-SEARCH("rata-rata:",'Onshore - Adelaide'!M470)-11)),IF('Onshore - Adelaide'!D470="Semester",'Onshore - Adelaide'!E470*2,IF('Onshore - Adelaide'!D470="Trimester",'Onshore - Adelaide'!E470*3,IF('Onshore - Adelaide'!D470="Term",'Onshore - Adelaide'!E470*4,IF('Onshore - Adelaide'!D470="Unit",'Onshore - Adelaide'!E470*8,""))))))</f>
        <v>22754.32</v>
      </c>
      <c r="L1247" s="0" t="n">
        <f aca="false">IF(AND(ISNUMBER('Onshore - Adelaide'!E470),ISNUMBER(K1247),ISNUMBER('Onshore - Adelaide'!F470),ISNUMBER('Onshore - Adelaide'!G470),OR('Onshore - Adelaide'!F470&lt;&gt;0,ISNUMBER(SEARCH("Material 0 terverifikasi",'Onshore - Adelaide'!M470))),OR('Onshore - Adelaide'!G470&lt;&gt;0,ISNUMBER(SEARCH("Enrolment 0 terverifikasi",'Onshore - Adelaide'!M470)))),1,0)</f>
        <v>0</v>
      </c>
      <c r="M1247" s="0" t="n">
        <f aca="false">IF(OR('Onshore - Adelaide'!E470="",ISNUMBER(SEARCH("BSB80120",'Onshore - Adelaide'!B470&amp;'Onshore - Adelaide'!M470)),ISNUMBER(SEARCH("Management (Learning)",'Onshore - Adelaide'!B470))),2,IF(ISNUMBER(SEARCH("CEK:",'Onshore - Adelaide'!M470)),1,0))</f>
        <v>0</v>
      </c>
    </row>
    <row r="1248" customFormat="false" ht="15" hidden="false" customHeight="false" outlineLevel="0" collapsed="false">
      <c r="A1248" s="63" t="s">
        <v>3659</v>
      </c>
      <c r="B1248" s="64" t="s">
        <v>4297</v>
      </c>
      <c r="C1248" s="63" t="s">
        <v>43</v>
      </c>
      <c r="D1248" s="64" t="str">
        <f aca="false">TRIM(LEFT('Onshore - Adelaide'!A15,FIND(CHAR(10),'Onshore - Adelaide'!A15&amp;CHAR(10))-1))</f>
        <v>Adelaide University</v>
      </c>
      <c r="E1248" s="63" t="str">
        <f aca="false">'Onshore - Adelaide'!C269&amp;""</f>
        <v>3 years</v>
      </c>
      <c r="F1248" s="63" t="str">
        <f aca="false">IF('Onshore - Adelaide'!D269="","Belum tercatat",'Onshore - Adelaide'!D269)</f>
        <v>Term</v>
      </c>
      <c r="G1248" s="65" t="n">
        <f aca="false">IF('Onshore - Adelaide'!E269="","-",'Onshore - Adelaide'!E269)</f>
        <v>12625</v>
      </c>
      <c r="H1248" s="63" t="n">
        <f aca="false">IF(ISNUMBER(K1248),COUNTIFS($J$6:$J$1916,J1248,$K$6:$K$1916,"&lt;"&amp;K1248)+1,"-")</f>
        <v>2</v>
      </c>
      <c r="I1248" s="64" t="str">
        <f aca="false">IF('Onshore - Adelaide'!E269="","Harga belum tersedia - hubungi konsultan TEG",IF(M1248=2,"Saat ini tidak menerima pendaftaran siswa internasional baru",IF(M1248=1,"Harga perlu dikonfirmasi ke sekolah"&amp;IF(""="","","; "&amp;""),"")))</f>
        <v/>
      </c>
      <c r="J1248" s="0" t="s">
        <v>4306</v>
      </c>
      <c r="K1248" s="0" t="n">
        <f aca="false">IF(M1248=2,"",IF(ISNUMBER(SEARCH("rata-rata:",'Onshore - Adelaide'!M269)),VALUE(MID('Onshore - Adelaide'!M269,SEARCH("rata-rata:",'Onshore - Adelaide'!M269)+11,FIND(";",'Onshore - Adelaide'!M269&amp;";",SEARCH("rata-rata:",'Onshore - Adelaide'!M269))-SEARCH("rata-rata:",'Onshore - Adelaide'!M269)-11)),IF('Onshore - Adelaide'!D269="Semester",'Onshore - Adelaide'!E269*2,IF('Onshore - Adelaide'!D269="Trimester",'Onshore - Adelaide'!E269*3,IF('Onshore - Adelaide'!D269="Term",'Onshore - Adelaide'!E269*4,IF('Onshore - Adelaide'!D269="Unit",'Onshore - Adelaide'!E269*8,""))))))</f>
        <v>50500</v>
      </c>
      <c r="L1248" s="0" t="n">
        <f aca="false">IF(AND(ISNUMBER('Onshore - Adelaide'!E269),ISNUMBER(K1248),ISNUMBER('Onshore - Adelaide'!F269),ISNUMBER('Onshore - Adelaide'!G269),OR('Onshore - Adelaide'!F269&lt;&gt;0,ISNUMBER(SEARCH("Material 0 terverifikasi",'Onshore - Adelaide'!M269))),OR('Onshore - Adelaide'!G269&lt;&gt;0,ISNUMBER(SEARCH("Enrolment 0 terverifikasi",'Onshore - Adelaide'!M269)))),1,0)</f>
        <v>0</v>
      </c>
      <c r="M1248" s="0" t="n">
        <f aca="false">IF(OR('Onshore - Adelaide'!E269="",ISNUMBER(SEARCH("BSB80120",'Onshore - Adelaide'!B269&amp;'Onshore - Adelaide'!M269)),ISNUMBER(SEARCH("Management (Learning)",'Onshore - Adelaide'!B269))),2,IF(ISNUMBER(SEARCH("CEK:",'Onshore - Adelaide'!M269)),1,0))</f>
        <v>0</v>
      </c>
    </row>
    <row r="1249" customFormat="false" ht="15" hidden="false" customHeight="false" outlineLevel="0" collapsed="false">
      <c r="A1249" s="63" t="s">
        <v>3659</v>
      </c>
      <c r="B1249" s="64" t="s">
        <v>4297</v>
      </c>
      <c r="C1249" s="63" t="s">
        <v>43</v>
      </c>
      <c r="D1249" s="64" t="str">
        <f aca="false">TRIM(LEFT('Onshore - Adelaide'!A487,FIND(CHAR(10),'Onshore - Adelaide'!A487&amp;CHAR(10))-1))</f>
        <v>TAFE SA</v>
      </c>
      <c r="E1249" s="63" t="str">
        <f aca="false">'Onshore - Adelaide'!C521&amp;""</f>
        <v>3 years</v>
      </c>
      <c r="F1249" s="63" t="str">
        <f aca="false">IF('Onshore - Adelaide'!D521="","Belum tercatat",'Onshore - Adelaide'!D521)</f>
        <v>Term</v>
      </c>
      <c r="G1249" s="65" t="n">
        <f aca="false">IF('Onshore - Adelaide'!E521="","-",'Onshore - Adelaide'!E521)</f>
        <v>13614</v>
      </c>
      <c r="H1249" s="63" t="n">
        <f aca="false">IF(ISNUMBER(K1249),COUNTIFS($J$6:$J$1916,J1249,$K$6:$K$1916,"&lt;"&amp;K1249)+1,"-")</f>
        <v>3</v>
      </c>
      <c r="I1249" s="64" t="str">
        <f aca="false">IF('Onshore - Adelaide'!E521="","Harga belum tersedia - hubungi konsultan TEG",IF(M1249=2,"Saat ini tidak menerima pendaftaran siswa internasional baru",IF(M1249=1,"Harga perlu dikonfirmasi ke sekolah"&amp;IF(""="","","; "&amp;""),"")))</f>
        <v>Harga perlu dikonfirmasi ke sekolah</v>
      </c>
      <c r="J1249" s="0" t="s">
        <v>4306</v>
      </c>
      <c r="K1249" s="0" t="n">
        <f aca="false">IF(M1249=2,"",IF(ISNUMBER(SEARCH("rata-rata:",'Onshore - Adelaide'!M521)),VALUE(MID('Onshore - Adelaide'!M521,SEARCH("rata-rata:",'Onshore - Adelaide'!M521)+11,FIND(";",'Onshore - Adelaide'!M521&amp;";",SEARCH("rata-rata:",'Onshore - Adelaide'!M521))-SEARCH("rata-rata:",'Onshore - Adelaide'!M521)-11)),IF('Onshore - Adelaide'!D521="Semester",'Onshore - Adelaide'!E521*2,IF('Onshore - Adelaide'!D521="Trimester",'Onshore - Adelaide'!E521*3,IF('Onshore - Adelaide'!D521="Term",'Onshore - Adelaide'!E521*4,IF('Onshore - Adelaide'!D521="Unit",'Onshore - Adelaide'!E521*8,""))))))</f>
        <v>54456</v>
      </c>
      <c r="L1249" s="0" t="n">
        <f aca="false">IF(AND(ISNUMBER('Onshore - Adelaide'!E521),ISNUMBER(K1249),ISNUMBER('Onshore - Adelaide'!F521),ISNUMBER('Onshore - Adelaide'!G521),OR('Onshore - Adelaide'!F521&lt;&gt;0,ISNUMBER(SEARCH("Material 0 terverifikasi",'Onshore - Adelaide'!M521))),OR('Onshore - Adelaide'!G521&lt;&gt;0,ISNUMBER(SEARCH("Enrolment 0 terverifikasi",'Onshore - Adelaide'!M521)))),1,0)</f>
        <v>0</v>
      </c>
      <c r="M1249" s="0" t="n">
        <f aca="false">IF(OR('Onshore - Adelaide'!E521="",ISNUMBER(SEARCH("BSB80120",'Onshore - Adelaide'!B521&amp;'Onshore - Adelaide'!M521)),ISNUMBER(SEARCH("Management (Learning)",'Onshore - Adelaide'!B521))),2,IF(ISNUMBER(SEARCH("CEK:",'Onshore - Adelaide'!M521)),1,0))</f>
        <v>1</v>
      </c>
    </row>
    <row r="1250" customFormat="false" ht="15" hidden="false" customHeight="false" outlineLevel="0" collapsed="false">
      <c r="A1250" s="61" t="s">
        <v>4307</v>
      </c>
      <c r="B1250" s="62"/>
      <c r="C1250" s="62"/>
      <c r="D1250" s="62"/>
      <c r="E1250" s="62"/>
      <c r="F1250" s="62"/>
      <c r="G1250" s="62"/>
      <c r="H1250" s="62"/>
      <c r="I1250" s="62"/>
    </row>
    <row r="1251" customFormat="false" ht="15" hidden="false" customHeight="false" outlineLevel="0" collapsed="false">
      <c r="A1251" s="63" t="s">
        <v>3659</v>
      </c>
      <c r="B1251" s="64" t="s">
        <v>4297</v>
      </c>
      <c r="C1251" s="63" t="s">
        <v>3707</v>
      </c>
      <c r="D1251" s="64" t="str">
        <f aca="false">TRIM(LEFT('Onshore - Adelaide'!A545,FIND(CHAR(10),'Onshore - Adelaide'!A545&amp;CHAR(10))-1))</f>
        <v>Torrens University Australia</v>
      </c>
      <c r="E1251" s="63" t="str">
        <f aca="false">'Onshore - Adelaide'!C602&amp;""</f>
        <v>0,5 year</v>
      </c>
      <c r="F1251" s="63" t="str">
        <f aca="false">IF('Onshore - Adelaide'!D602="","Belum tercatat",'Onshore - Adelaide'!D602)</f>
        <v>Term</v>
      </c>
      <c r="G1251" s="65" t="n">
        <f aca="false">IF('Onshore - Adelaide'!E602="","-",'Onshore - Adelaide'!E602)</f>
        <v>5248</v>
      </c>
      <c r="H1251" s="63" t="n">
        <f aca="false">IF(ISNUMBER(K1251),COUNTIFS($J$6:$J$1916,J1251,$K$6:$K$1916,"&lt;"&amp;K1251)+1,"-")</f>
        <v>1</v>
      </c>
      <c r="I1251" s="64" t="str">
        <f aca="false">IF('Onshore - Adelaide'!E602="","Harga belum tersedia - hubungi konsultan TEG",IF(M1251=2,"Saat ini tidak menerima pendaftaran siswa internasional baru",IF(M1251=1,"Harga perlu dikonfirmasi ke sekolah"&amp;IF(""="","","; "&amp;""),"")))</f>
        <v>Harga perlu dikonfirmasi ke sekolah</v>
      </c>
      <c r="J1251" s="0" t="s">
        <v>4308</v>
      </c>
      <c r="K1251" s="0" t="n">
        <f aca="false">IF(M1251=2,"",IF(ISNUMBER(SEARCH("rata-rata:",'Onshore - Adelaide'!M602)),VALUE(MID('Onshore - Adelaide'!M602,SEARCH("rata-rata:",'Onshore - Adelaide'!M602)+11,FIND(";",'Onshore - Adelaide'!M602&amp;";",SEARCH("rata-rata:",'Onshore - Adelaide'!M602))-SEARCH("rata-rata:",'Onshore - Adelaide'!M602)-11)),IF('Onshore - Adelaide'!D602="Semester",'Onshore - Adelaide'!E602*2,IF('Onshore - Adelaide'!D602="Trimester",'Onshore - Adelaide'!E602*3,IF('Onshore - Adelaide'!D602="Term",'Onshore - Adelaide'!E602*4,IF('Onshore - Adelaide'!D602="Unit",'Onshore - Adelaide'!E602*8,""))))))</f>
        <v>20992</v>
      </c>
      <c r="L1251" s="0" t="n">
        <f aca="false">IF(AND(ISNUMBER('Onshore - Adelaide'!E602),ISNUMBER(K1251),ISNUMBER('Onshore - Adelaide'!F602),ISNUMBER('Onshore - Adelaide'!G602),OR('Onshore - Adelaide'!F602&lt;&gt;0,ISNUMBER(SEARCH("Material 0 terverifikasi",'Onshore - Adelaide'!M602))),OR('Onshore - Adelaide'!G602&lt;&gt;0,ISNUMBER(SEARCH("Enrolment 0 terverifikasi",'Onshore - Adelaide'!M602)))),1,0)</f>
        <v>0</v>
      </c>
      <c r="M1251" s="0" t="n">
        <f aca="false">IF(OR('Onshore - Adelaide'!E602="",ISNUMBER(SEARCH("BSB80120",'Onshore - Adelaide'!B602&amp;'Onshore - Adelaide'!M602)),ISNUMBER(SEARCH("Management (Learning)",'Onshore - Adelaide'!B602))),2,IF(ISNUMBER(SEARCH("CEK:",'Onshore - Adelaide'!M602)),1,0))</f>
        <v>1</v>
      </c>
    </row>
    <row r="1252" customFormat="false" ht="15" hidden="false" customHeight="false" outlineLevel="0" collapsed="false">
      <c r="A1252" s="61" t="s">
        <v>4309</v>
      </c>
      <c r="B1252" s="62"/>
      <c r="C1252" s="62"/>
      <c r="D1252" s="62"/>
      <c r="E1252" s="62"/>
      <c r="F1252" s="62"/>
      <c r="G1252" s="62"/>
      <c r="H1252" s="62"/>
      <c r="I1252" s="62"/>
    </row>
    <row r="1253" customFormat="false" ht="15" hidden="false" customHeight="false" outlineLevel="0" collapsed="false">
      <c r="A1253" s="63" t="s">
        <v>3659</v>
      </c>
      <c r="B1253" s="64" t="s">
        <v>4297</v>
      </c>
      <c r="C1253" s="63" t="s">
        <v>46</v>
      </c>
      <c r="D1253" s="64" t="str">
        <f aca="false">TRIM(LEFT('Onshore - Adelaide'!A462,FIND(CHAR(10),'Onshore - Adelaide'!A462&amp;CHAR(10))-1))</f>
        <v>Le Cordon Bleu Australia</v>
      </c>
      <c r="E1253" s="63" t="str">
        <f aca="false">'Onshore - Adelaide'!C472&amp;""</f>
        <v>2 years</v>
      </c>
      <c r="F1253" s="63" t="str">
        <f aca="false">IF('Onshore - Adelaide'!D472="","Belum tercatat",'Onshore - Adelaide'!D472)</f>
        <v>Term</v>
      </c>
      <c r="G1253" s="65" t="n">
        <f aca="false">IF('Onshore - Adelaide'!E472="","-",'Onshore - Adelaide'!E472)</f>
        <v>6818.75</v>
      </c>
      <c r="H1253" s="63" t="n">
        <f aca="false">IF(ISNUMBER(K1253),COUNTIFS($J$6:$J$1916,J1253,$K$6:$K$1916,"&lt;"&amp;K1253)+1,"-")</f>
        <v>1</v>
      </c>
      <c r="I1253" s="64" t="str">
        <f aca="false">IF('Onshore - Adelaide'!E472="","Harga belum tersedia - hubungi konsultan TEG",IF(M1253=2,"Saat ini tidak menerima pendaftaran siswa internasional baru",IF(M1253=1,"Harga perlu dikonfirmasi ke sekolah"&amp;IF(""="","","; "&amp;""),"")))</f>
        <v/>
      </c>
      <c r="J1253" s="0" t="s">
        <v>4310</v>
      </c>
      <c r="K1253" s="0" t="n">
        <f aca="false">IF(M1253=2,"",IF(ISNUMBER(SEARCH("rata-rata:",'Onshore - Adelaide'!M472)),VALUE(MID('Onshore - Adelaide'!M472,SEARCH("rata-rata:",'Onshore - Adelaide'!M472)+11,FIND(";",'Onshore - Adelaide'!M472&amp;";",SEARCH("rata-rata:",'Onshore - Adelaide'!M472))-SEARCH("rata-rata:",'Onshore - Adelaide'!M472)-11)),IF('Onshore - Adelaide'!D472="Semester",'Onshore - Adelaide'!E472*2,IF('Onshore - Adelaide'!D472="Trimester",'Onshore - Adelaide'!E472*3,IF('Onshore - Adelaide'!D472="Term",'Onshore - Adelaide'!E472*4,IF('Onshore - Adelaide'!D472="Unit",'Onshore - Adelaide'!E472*8,""))))))</f>
        <v>27275</v>
      </c>
      <c r="L1253" s="0" t="n">
        <f aca="false">IF(AND(ISNUMBER('Onshore - Adelaide'!E472),ISNUMBER(K1253),ISNUMBER('Onshore - Adelaide'!F472),ISNUMBER('Onshore - Adelaide'!G472),OR('Onshore - Adelaide'!F472&lt;&gt;0,ISNUMBER(SEARCH("Material 0 terverifikasi",'Onshore - Adelaide'!M472))),OR('Onshore - Adelaide'!G472&lt;&gt;0,ISNUMBER(SEARCH("Enrolment 0 terverifikasi",'Onshore - Adelaide'!M472)))),1,0)</f>
        <v>0</v>
      </c>
      <c r="M1253" s="0" t="n">
        <f aca="false">IF(OR('Onshore - Adelaide'!E472="",ISNUMBER(SEARCH("BSB80120",'Onshore - Adelaide'!B472&amp;'Onshore - Adelaide'!M472)),ISNUMBER(SEARCH("Management (Learning)",'Onshore - Adelaide'!B472))),2,IF(ISNUMBER(SEARCH("CEK:",'Onshore - Adelaide'!M472)),1,0))</f>
        <v>0</v>
      </c>
    </row>
    <row r="1254" customFormat="false" ht="15" hidden="false" customHeight="false" outlineLevel="0" collapsed="false">
      <c r="A1254" s="63" t="s">
        <v>3659</v>
      </c>
      <c r="B1254" s="64" t="s">
        <v>4297</v>
      </c>
      <c r="C1254" s="63" t="s">
        <v>46</v>
      </c>
      <c r="D1254" s="64" t="str">
        <f aca="false">TRIM(LEFT('Onshore - Adelaide'!A545,FIND(CHAR(10),'Onshore - Adelaide'!A545&amp;CHAR(10))-1))</f>
        <v>Torrens University Australia</v>
      </c>
      <c r="E1254" s="63" t="str">
        <f aca="false">'Onshore - Adelaide'!C603&amp;""</f>
        <v>2 years</v>
      </c>
      <c r="F1254" s="63" t="str">
        <f aca="false">IF('Onshore - Adelaide'!D603="","Belum tercatat",'Onshore - Adelaide'!D603)</f>
        <v>Term</v>
      </c>
      <c r="G1254" s="65" t="n">
        <f aca="false">IF('Onshore - Adelaide'!E603="","-",'Onshore - Adelaide'!E603)</f>
        <v>10495</v>
      </c>
      <c r="H1254" s="63" t="n">
        <f aca="false">IF(ISNUMBER(K1254),COUNTIFS($J$6:$J$1916,J1254,$K$6:$K$1916,"&lt;"&amp;K1254)+1,"-")</f>
        <v>2</v>
      </c>
      <c r="I1254" s="64" t="str">
        <f aca="false">IF('Onshore - Adelaide'!E603="","Harga belum tersedia - hubungi konsultan TEG",IF(M1254=2,"Saat ini tidak menerima pendaftaran siswa internasional baru",IF(M1254=1,"Harga perlu dikonfirmasi ke sekolah"&amp;IF(""="","","; "&amp;""),"")))</f>
        <v>Harga perlu dikonfirmasi ke sekolah</v>
      </c>
      <c r="J1254" s="0" t="s">
        <v>4310</v>
      </c>
      <c r="K1254" s="0" t="n">
        <f aca="false">IF(M1254=2,"",IF(ISNUMBER(SEARCH("rata-rata:",'Onshore - Adelaide'!M603)),VALUE(MID('Onshore - Adelaide'!M603,SEARCH("rata-rata:",'Onshore - Adelaide'!M603)+11,FIND(";",'Onshore - Adelaide'!M603&amp;";",SEARCH("rata-rata:",'Onshore - Adelaide'!M603))-SEARCH("rata-rata:",'Onshore - Adelaide'!M603)-11)),IF('Onshore - Adelaide'!D603="Semester",'Onshore - Adelaide'!E603*2,IF('Onshore - Adelaide'!D603="Trimester",'Onshore - Adelaide'!E603*3,IF('Onshore - Adelaide'!D603="Term",'Onshore - Adelaide'!E603*4,IF('Onshore - Adelaide'!D603="Unit",'Onshore - Adelaide'!E603*8,""))))))</f>
        <v>41980</v>
      </c>
      <c r="L1254" s="0" t="n">
        <f aca="false">IF(AND(ISNUMBER('Onshore - Adelaide'!E603),ISNUMBER(K1254),ISNUMBER('Onshore - Adelaide'!F603),ISNUMBER('Onshore - Adelaide'!G603),OR('Onshore - Adelaide'!F603&lt;&gt;0,ISNUMBER(SEARCH("Material 0 terverifikasi",'Onshore - Adelaide'!M603))),OR('Onshore - Adelaide'!G603&lt;&gt;0,ISNUMBER(SEARCH("Enrolment 0 terverifikasi",'Onshore - Adelaide'!M603)))),1,0)</f>
        <v>0</v>
      </c>
      <c r="M1254" s="0" t="n">
        <f aca="false">IF(OR('Onshore - Adelaide'!E603="",ISNUMBER(SEARCH("BSB80120",'Onshore - Adelaide'!B603&amp;'Onshore - Adelaide'!M603)),ISNUMBER(SEARCH("Management (Learning)",'Onshore - Adelaide'!B603))),2,IF(ISNUMBER(SEARCH("CEK:",'Onshore - Adelaide'!M603)),1,0))</f>
        <v>1</v>
      </c>
    </row>
    <row r="1255" customFormat="false" ht="15" hidden="false" customHeight="false" outlineLevel="0" collapsed="false">
      <c r="A1255" s="63" t="s">
        <v>3659</v>
      </c>
      <c r="B1255" s="64" t="s">
        <v>4297</v>
      </c>
      <c r="C1255" s="63" t="s">
        <v>46</v>
      </c>
      <c r="D1255" s="64" t="str">
        <f aca="false">TRIM(LEFT('Onshore - Adelaide'!A15,FIND(CHAR(10),'Onshore - Adelaide'!A15&amp;CHAR(10))-1))</f>
        <v>Adelaide University</v>
      </c>
      <c r="E1255" s="63" t="str">
        <f aca="false">'Onshore - Adelaide'!C375&amp;""</f>
        <v>2 years</v>
      </c>
      <c r="F1255" s="63" t="str">
        <f aca="false">IF('Onshore - Adelaide'!D375="","Belum tercatat",'Onshore - Adelaide'!D375)</f>
        <v>Term</v>
      </c>
      <c r="G1255" s="65" t="n">
        <f aca="false">IF('Onshore - Adelaide'!E375="","-",'Onshore - Adelaide'!E375)</f>
        <v>13125</v>
      </c>
      <c r="H1255" s="63" t="n">
        <f aca="false">IF(ISNUMBER(K1255),COUNTIFS($J$6:$J$1916,J1255,$K$6:$K$1916,"&lt;"&amp;K1255)+1,"-")</f>
        <v>3</v>
      </c>
      <c r="I1255" s="64" t="str">
        <f aca="false">IF('Onshore - Adelaide'!E375="","Harga belum tersedia - hubungi konsultan TEG",IF(M1255=2,"Saat ini tidak menerima pendaftaran siswa internasional baru",IF(M1255=1,"Harga perlu dikonfirmasi ke sekolah"&amp;IF(""="","","; "&amp;""),"")))</f>
        <v/>
      </c>
      <c r="J1255" s="0" t="s">
        <v>4310</v>
      </c>
      <c r="K1255" s="0" t="n">
        <f aca="false">IF(M1255=2,"",IF(ISNUMBER(SEARCH("rata-rata:",'Onshore - Adelaide'!M375)),VALUE(MID('Onshore - Adelaide'!M375,SEARCH("rata-rata:",'Onshore - Adelaide'!M375)+11,FIND(";",'Onshore - Adelaide'!M375&amp;";",SEARCH("rata-rata:",'Onshore - Adelaide'!M375))-SEARCH("rata-rata:",'Onshore - Adelaide'!M375)-11)),IF('Onshore - Adelaide'!D375="Semester",'Onshore - Adelaide'!E375*2,IF('Onshore - Adelaide'!D375="Trimester",'Onshore - Adelaide'!E375*3,IF('Onshore - Adelaide'!D375="Term",'Onshore - Adelaide'!E375*4,IF('Onshore - Adelaide'!D375="Unit",'Onshore - Adelaide'!E375*8,""))))))</f>
        <v>52500</v>
      </c>
      <c r="L1255" s="0" t="n">
        <f aca="false">IF(AND(ISNUMBER('Onshore - Adelaide'!E375),ISNUMBER(K1255),ISNUMBER('Onshore - Adelaide'!F375),ISNUMBER('Onshore - Adelaide'!G375),OR('Onshore - Adelaide'!F375&lt;&gt;0,ISNUMBER(SEARCH("Material 0 terverifikasi",'Onshore - Adelaide'!M375))),OR('Onshore - Adelaide'!G375&lt;&gt;0,ISNUMBER(SEARCH("Enrolment 0 terverifikasi",'Onshore - Adelaide'!M375)))),1,0)</f>
        <v>0</v>
      </c>
      <c r="M1255" s="0" t="n">
        <f aca="false">IF(OR('Onshore - Adelaide'!E375="",ISNUMBER(SEARCH("BSB80120",'Onshore - Adelaide'!B375&amp;'Onshore - Adelaide'!M375)),ISNUMBER(SEARCH("Management (Learning)",'Onshore - Adelaide'!B375))),2,IF(ISNUMBER(SEARCH("CEK:",'Onshore - Adelaide'!M375)),1,0))</f>
        <v>0</v>
      </c>
    </row>
    <row r="1256" customFormat="false" ht="15" hidden="false" customHeight="false" outlineLevel="0" collapsed="false">
      <c r="A1256" s="61" t="s">
        <v>4311</v>
      </c>
      <c r="B1256" s="62"/>
      <c r="C1256" s="62"/>
      <c r="D1256" s="62"/>
      <c r="E1256" s="62"/>
      <c r="F1256" s="62"/>
      <c r="G1256" s="62"/>
      <c r="H1256" s="62"/>
      <c r="I1256" s="62"/>
    </row>
    <row r="1257" customFormat="false" ht="15" hidden="false" customHeight="false" outlineLevel="0" collapsed="false">
      <c r="A1257" s="63" t="s">
        <v>3563</v>
      </c>
      <c r="B1257" s="64" t="s">
        <v>4297</v>
      </c>
      <c r="C1257" s="63" t="s">
        <v>39</v>
      </c>
      <c r="D1257" s="64" t="str">
        <f aca="false">TRIM(LEFT('Onshore - Brisbane'!A264,FIND(CHAR(10),'Onshore - Brisbane'!A264&amp;CHAR(10))-1))</f>
        <v>Le Cordon Bleu Australia</v>
      </c>
      <c r="E1257" s="63" t="str">
        <f aca="false">'Onshore - Brisbane'!C264&amp;""</f>
        <v>1,5 years</v>
      </c>
      <c r="F1257" s="63" t="str">
        <f aca="false">IF('Onshore - Brisbane'!D264="","Belum tercatat",'Onshore - Brisbane'!D264)</f>
        <v>Term</v>
      </c>
      <c r="G1257" s="65" t="n">
        <f aca="false">IF('Onshore - Brisbane'!E264="","-",'Onshore - Brisbane'!E264)</f>
        <v>6997.5</v>
      </c>
      <c r="H1257" s="63" t="n">
        <f aca="false">IF(ISNUMBER(K1257),COUNTIFS($J$6:$J$1916,J1257,$K$6:$K$1916,"&lt;"&amp;K1257)+1,"-")</f>
        <v>1</v>
      </c>
      <c r="I1257" s="64" t="str">
        <f aca="false">IF('Onshore - Brisbane'!E264="","Harga belum tersedia - hubungi konsultan TEG",IF(M1257=2,"Saat ini tidak menerima pendaftaran siswa internasional baru",IF(M1257=1,"Program perlu dikonfirmasi ketersediaannya"&amp;IF(""="","","; "&amp;""),"")))</f>
        <v>Program perlu dikonfirmasi ketersediaannya</v>
      </c>
      <c r="J1257" s="0" t="s">
        <v>4312</v>
      </c>
      <c r="K1257" s="0" t="n">
        <f aca="false">IF(M1257=2,"",IF(ISNUMBER(SEARCH("rata-rata:",'Onshore - Brisbane'!M264)),VALUE(MID('Onshore - Brisbane'!M264,SEARCH("rata-rata:",'Onshore - Brisbane'!M264)+11,FIND(";",'Onshore - Brisbane'!M264&amp;";",SEARCH("rata-rata:",'Onshore - Brisbane'!M264))-SEARCH("rata-rata:",'Onshore - Brisbane'!M264)-11)),IF('Onshore - Brisbane'!D264="Semester",'Onshore - Brisbane'!E264*2,IF('Onshore - Brisbane'!D264="Trimester",'Onshore - Brisbane'!E264*3,IF('Onshore - Brisbane'!D264="Term",'Onshore - Brisbane'!E264*4,IF('Onshore - Brisbane'!D264="Unit",'Onshore - Brisbane'!E264*8,""))))))</f>
        <v>27990</v>
      </c>
      <c r="L1257" s="0" t="n">
        <f aca="false">IF(AND(ISNUMBER('Onshore - Brisbane'!E264),ISNUMBER(K1257),ISNUMBER('Onshore - Brisbane'!F264),ISNUMBER('Onshore - Brisbane'!G264),OR('Onshore - Brisbane'!F264&lt;&gt;0,ISNUMBER(SEARCH("Material 0 terverifikasi",'Onshore - Brisbane'!M264))),OR('Onshore - Brisbane'!G264&lt;&gt;0,ISNUMBER(SEARCH("Enrolment 0 terverifikasi",'Onshore - Brisbane'!M264)))),1,0)</f>
        <v>0</v>
      </c>
      <c r="M1257" s="0" t="n">
        <f aca="false">IF(OR('Onshore - Brisbane'!E264="",ISNUMBER(SEARCH("BSB80120",'Onshore - Brisbane'!B264&amp;'Onshore - Brisbane'!M264)),ISNUMBER(SEARCH("Management (Learning)",'Onshore - Brisbane'!B264))),2,IF(ISNUMBER(SEARCH("CEK:",'Onshore - Brisbane'!M264)),1,0))</f>
        <v>1</v>
      </c>
    </row>
    <row r="1258" customFormat="false" ht="15" hidden="false" customHeight="false" outlineLevel="0" collapsed="false">
      <c r="A1258" s="61" t="s">
        <v>4313</v>
      </c>
      <c r="B1258" s="62"/>
      <c r="C1258" s="62"/>
      <c r="D1258" s="62"/>
      <c r="E1258" s="62"/>
      <c r="F1258" s="62"/>
      <c r="G1258" s="62"/>
      <c r="H1258" s="62"/>
      <c r="I1258" s="62"/>
    </row>
    <row r="1259" customFormat="false" ht="15" hidden="false" customHeight="false" outlineLevel="0" collapsed="false">
      <c r="A1259" s="63" t="s">
        <v>3563</v>
      </c>
      <c r="B1259" s="64" t="s">
        <v>4297</v>
      </c>
      <c r="C1259" s="63" t="s">
        <v>40</v>
      </c>
      <c r="D1259" s="64" t="str">
        <f aca="false">TRIM(LEFT('Onshore - Brisbane'!A264,FIND(CHAR(10),'Onshore - Brisbane'!A264&amp;CHAR(10))-1))</f>
        <v>Le Cordon Bleu Australia</v>
      </c>
      <c r="E1259" s="63" t="str">
        <f aca="false">'Onshore - Brisbane'!C265&amp;""</f>
        <v>0,5 year</v>
      </c>
      <c r="F1259" s="63" t="str">
        <f aca="false">IF('Onshore - Brisbane'!D265="","Belum tercatat",'Onshore - Brisbane'!D265)</f>
        <v>Term</v>
      </c>
      <c r="G1259" s="65" t="n">
        <f aca="false">IF('Onshore - Brisbane'!E265="","-",'Onshore - Brisbane'!E265)</f>
        <v>6737</v>
      </c>
      <c r="H1259" s="63" t="n">
        <f aca="false">IF(ISNUMBER(K1259),COUNTIFS($J$6:$J$1916,J1259,$K$6:$K$1916,"&lt;"&amp;K1259)+1,"-")</f>
        <v>1</v>
      </c>
      <c r="I1259" s="64" t="str">
        <f aca="false">IF('Onshore - Brisbane'!E265="","Harga belum tersedia - hubungi konsultan TEG",IF(M1259=2,"Saat ini tidak menerima pendaftaran siswa internasional baru",IF(M1259=1,"Program perlu dikonfirmasi ketersediaannya"&amp;IF(""="","","; "&amp;""),"")))</f>
        <v>Program perlu dikonfirmasi ketersediaannya</v>
      </c>
      <c r="J1259" s="0" t="s">
        <v>4314</v>
      </c>
      <c r="K1259" s="0" t="n">
        <f aca="false">IF(M1259=2,"",IF(ISNUMBER(SEARCH("rata-rata:",'Onshore - Brisbane'!M265)),VALUE(MID('Onshore - Brisbane'!M265,SEARCH("rata-rata:",'Onshore - Brisbane'!M265)+11,FIND(";",'Onshore - Brisbane'!M265&amp;";",SEARCH("rata-rata:",'Onshore - Brisbane'!M265))-SEARCH("rata-rata:",'Onshore - Brisbane'!M265)-11)),IF('Onshore - Brisbane'!D265="Semester",'Onshore - Brisbane'!E265*2,IF('Onshore - Brisbane'!D265="Trimester",'Onshore - Brisbane'!E265*3,IF('Onshore - Brisbane'!D265="Term",'Onshore - Brisbane'!E265*4,IF('Onshore - Brisbane'!D265="Unit",'Onshore - Brisbane'!E265*8,""))))))</f>
        <v>26948</v>
      </c>
      <c r="L1259" s="0" t="n">
        <f aca="false">IF(AND(ISNUMBER('Onshore - Brisbane'!E265),ISNUMBER(K1259),ISNUMBER('Onshore - Brisbane'!F265),ISNUMBER('Onshore - Brisbane'!G265),OR('Onshore - Brisbane'!F265&lt;&gt;0,ISNUMBER(SEARCH("Material 0 terverifikasi",'Onshore - Brisbane'!M265))),OR('Onshore - Brisbane'!G265&lt;&gt;0,ISNUMBER(SEARCH("Enrolment 0 terverifikasi",'Onshore - Brisbane'!M265)))),1,0)</f>
        <v>0</v>
      </c>
      <c r="M1259" s="0" t="n">
        <f aca="false">IF(OR('Onshore - Brisbane'!E265="",ISNUMBER(SEARCH("BSB80120",'Onshore - Brisbane'!B265&amp;'Onshore - Brisbane'!M265)),ISNUMBER(SEARCH("Management (Learning)",'Onshore - Brisbane'!B265))),2,IF(ISNUMBER(SEARCH("CEK:",'Onshore - Brisbane'!M265)),1,0))</f>
        <v>1</v>
      </c>
    </row>
    <row r="1260" customFormat="false" ht="15" hidden="false" customHeight="false" outlineLevel="0" collapsed="false">
      <c r="A1260" s="61" t="s">
        <v>4315</v>
      </c>
      <c r="B1260" s="62"/>
      <c r="C1260" s="62"/>
      <c r="D1260" s="62"/>
      <c r="E1260" s="62"/>
      <c r="F1260" s="62"/>
      <c r="G1260" s="62"/>
      <c r="H1260" s="62"/>
      <c r="I1260" s="62"/>
    </row>
    <row r="1261" customFormat="false" ht="15" hidden="false" customHeight="false" outlineLevel="0" collapsed="false">
      <c r="A1261" s="63" t="s">
        <v>3563</v>
      </c>
      <c r="B1261" s="64" t="s">
        <v>4297</v>
      </c>
      <c r="C1261" s="63" t="s">
        <v>41</v>
      </c>
      <c r="D1261" s="64" t="str">
        <f aca="false">TRIM(LEFT('Onshore - Brisbane'!A238,FIND(CHAR(10),'Onshore - Brisbane'!A238&amp;CHAR(10))-1))</f>
        <v>Hospitality Training Academy (HTA)</v>
      </c>
      <c r="E1261" s="63" t="str">
        <f aca="false">'Onshore - Brisbane'!C238&amp;""</f>
        <v>2 years</v>
      </c>
      <c r="F1261" s="63" t="str">
        <f aca="false">IF('Onshore - Brisbane'!D238="","Belum tercatat",'Onshore - Brisbane'!D238)</f>
        <v>Term</v>
      </c>
      <c r="G1261" s="65" t="n">
        <f aca="false">IF('Onshore - Brisbane'!E238="","-",'Onshore - Brisbane'!E238)</f>
        <v>1535</v>
      </c>
      <c r="H1261" s="63" t="n">
        <f aca="false">IF(ISNUMBER(K1261),COUNTIFS($J$6:$J$1916,J1261,$K$6:$K$1916,"&lt;"&amp;K1261)+1,"-")</f>
        <v>1</v>
      </c>
      <c r="I1261" s="64" t="str">
        <f aca="false">IF('Onshore - Brisbane'!E238="","Harga belum tersedia - hubungi konsultan TEG",IF(M1261=2,"Saat ini tidak menerima pendaftaran siswa internasional baru",IF(M1261=1,"Harga perlu dikonfirmasi ke sekolah"&amp;IF(""="","","; "&amp;""),"")))</f>
        <v/>
      </c>
      <c r="J1261" s="0" t="s">
        <v>4316</v>
      </c>
      <c r="K1261" s="0" t="n">
        <f aca="false">IF(M1261=2,"",IF(ISNUMBER(SEARCH("rata-rata:",'Onshore - Brisbane'!M238)),VALUE(MID('Onshore - Brisbane'!M238,SEARCH("rata-rata:",'Onshore - Brisbane'!M238)+11,FIND(";",'Onshore - Brisbane'!M238&amp;";",SEARCH("rata-rata:",'Onshore - Brisbane'!M238))-SEARCH("rata-rata:",'Onshore - Brisbane'!M238)-11)),IF('Onshore - Brisbane'!D238="Semester",'Onshore - Brisbane'!E238*2,IF('Onshore - Brisbane'!D238="Trimester",'Onshore - Brisbane'!E238*3,IF('Onshore - Brisbane'!D238="Term",'Onshore - Brisbane'!E238*4,IF('Onshore - Brisbane'!D238="Unit",'Onshore - Brisbane'!E238*8,""))))))</f>
        <v>6140</v>
      </c>
      <c r="L1261" s="0" t="n">
        <f aca="false">IF(AND(ISNUMBER('Onshore - Brisbane'!E238),ISNUMBER(K1261),ISNUMBER('Onshore - Brisbane'!F238),ISNUMBER('Onshore - Brisbane'!G238),OR('Onshore - Brisbane'!F238&lt;&gt;0,ISNUMBER(SEARCH("Material 0 terverifikasi",'Onshore - Brisbane'!M238))),OR('Onshore - Brisbane'!G238&lt;&gt;0,ISNUMBER(SEARCH("Enrolment 0 terverifikasi",'Onshore - Brisbane'!M238)))),1,0)</f>
        <v>1</v>
      </c>
      <c r="M1261" s="0" t="n">
        <f aca="false">IF(OR('Onshore - Brisbane'!E238="",ISNUMBER(SEARCH("BSB80120",'Onshore - Brisbane'!B238&amp;'Onshore - Brisbane'!M238)),ISNUMBER(SEARCH("Management (Learning)",'Onshore - Brisbane'!B238))),2,IF(ISNUMBER(SEARCH("CEK:",'Onshore - Brisbane'!M238)),1,0))</f>
        <v>0</v>
      </c>
    </row>
    <row r="1262" customFormat="false" ht="15" hidden="false" customHeight="false" outlineLevel="0" collapsed="false">
      <c r="A1262" s="63" t="s">
        <v>3563</v>
      </c>
      <c r="B1262" s="64" t="s">
        <v>4297</v>
      </c>
      <c r="C1262" s="63" t="s">
        <v>41</v>
      </c>
      <c r="D1262" s="64" t="str">
        <f aca="false">TRIM(LEFT('Onshore - Brisbane'!A206,FIND(CHAR(10),'Onshore - Brisbane'!A206&amp;CHAR(10))-1))</f>
        <v>Greenwich College</v>
      </c>
      <c r="E1262" s="63" t="str">
        <f aca="false">'Onshore - Brisbane'!C216&amp;""</f>
        <v>110 weeks</v>
      </c>
      <c r="F1262" s="63" t="str">
        <f aca="false">IF('Onshore - Brisbane'!D216="","Belum tercatat",'Onshore - Brisbane'!D216)</f>
        <v>Term</v>
      </c>
      <c r="G1262" s="65" t="n">
        <f aca="false">IF('Onshore - Brisbane'!E216="","-",'Onshore - Brisbane'!E216)</f>
        <v>1650</v>
      </c>
      <c r="H1262" s="63" t="n">
        <f aca="false">IF(ISNUMBER(K1262),COUNTIFS($J$6:$J$1916,J1262,$K$6:$K$1916,"&lt;"&amp;K1262)+1,"-")</f>
        <v>2</v>
      </c>
      <c r="I1262" s="64" t="str">
        <f aca="false">IF('Onshore - Brisbane'!E216="","Harga belum tersedia - hubungi konsultan TEG",IF(M1262=2,"Saat ini tidak menerima pendaftaran siswa internasional baru",IF(M1262=1,"Harga perlu dikonfirmasi ke sekolah"&amp;IF(""="","","; "&amp;""),"")))</f>
        <v/>
      </c>
      <c r="J1262" s="0" t="s">
        <v>4316</v>
      </c>
      <c r="K1262" s="0" t="n">
        <f aca="false">IF(M1262=2,"",IF(ISNUMBER(SEARCH("rata-rata:",'Onshore - Brisbane'!M216)),VALUE(MID('Onshore - Brisbane'!M216,SEARCH("rata-rata:",'Onshore - Brisbane'!M216)+11,FIND(";",'Onshore - Brisbane'!M216&amp;";",SEARCH("rata-rata:",'Onshore - Brisbane'!M216))-SEARCH("rata-rata:",'Onshore - Brisbane'!M216)-11)),IF('Onshore - Brisbane'!D216="Semester",'Onshore - Brisbane'!E216*2,IF('Onshore - Brisbane'!D216="Trimester",'Onshore - Brisbane'!E216*3,IF('Onshore - Brisbane'!D216="Term",'Onshore - Brisbane'!E216*4,IF('Onshore - Brisbane'!D216="Unit",'Onshore - Brisbane'!E216*8,""))))))</f>
        <v>6600</v>
      </c>
      <c r="L1262" s="0" t="n">
        <f aca="false">IF(AND(ISNUMBER('Onshore - Brisbane'!E216),ISNUMBER(K1262),ISNUMBER('Onshore - Brisbane'!F216),ISNUMBER('Onshore - Brisbane'!G216),OR('Onshore - Brisbane'!F216&lt;&gt;0,ISNUMBER(SEARCH("Material 0 terverifikasi",'Onshore - Brisbane'!M216))),OR('Onshore - Brisbane'!G216&lt;&gt;0,ISNUMBER(SEARCH("Enrolment 0 terverifikasi",'Onshore - Brisbane'!M216)))),1,0)</f>
        <v>1</v>
      </c>
      <c r="M1262" s="0" t="n">
        <f aca="false">IF(OR('Onshore - Brisbane'!E216="",ISNUMBER(SEARCH("BSB80120",'Onshore - Brisbane'!B216&amp;'Onshore - Brisbane'!M216)),ISNUMBER(SEARCH("Management (Learning)",'Onshore - Brisbane'!B216))),2,IF(ISNUMBER(SEARCH("CEK:",'Onshore - Brisbane'!M216)),1,0))</f>
        <v>0</v>
      </c>
    </row>
    <row r="1263" customFormat="false" ht="15" hidden="false" customHeight="false" outlineLevel="0" collapsed="false">
      <c r="A1263" s="63" t="s">
        <v>3563</v>
      </c>
      <c r="B1263" s="64" t="s">
        <v>4297</v>
      </c>
      <c r="C1263" s="63" t="s">
        <v>41</v>
      </c>
      <c r="D1263" s="64" t="str">
        <f aca="false">TRIM(LEFT('Onshore - Brisbane'!A296,FIND(CHAR(10),'Onshore - Brisbane'!A296&amp;CHAR(10))-1))</f>
        <v>Skills Institute Australia</v>
      </c>
      <c r="E1263" s="63" t="str">
        <f aca="false">'Onshore - Brisbane'!C296&amp;""</f>
        <v>2 years</v>
      </c>
      <c r="F1263" s="63" t="str">
        <f aca="false">IF('Onshore - Brisbane'!D296="","Belum tercatat",'Onshore - Brisbane'!D296)</f>
        <v>Term</v>
      </c>
      <c r="G1263" s="65" t="n">
        <f aca="false">IF('Onshore - Brisbane'!E296="","-",'Onshore - Brisbane'!E296)</f>
        <v>2000</v>
      </c>
      <c r="H1263" s="63" t="n">
        <f aca="false">IF(ISNUMBER(K1263),COUNTIFS($J$6:$J$1916,J1263,$K$6:$K$1916,"&lt;"&amp;K1263)+1,"-")</f>
        <v>3</v>
      </c>
      <c r="I1263" s="64" t="str">
        <f aca="false">IF('Onshore - Brisbane'!E296="","Harga belum tersedia - hubungi konsultan TEG",IF(M1263=2,"Saat ini tidak menerima pendaftaran siswa internasional baru",IF(M1263=1,"Harga perlu dikonfirmasi ke sekolah"&amp;IF(""="","","; "&amp;""),"")))</f>
        <v/>
      </c>
      <c r="J1263" s="0" t="s">
        <v>4316</v>
      </c>
      <c r="K1263" s="0" t="n">
        <f aca="false">IF(M1263=2,"",IF(ISNUMBER(SEARCH("rata-rata:",'Onshore - Brisbane'!M296)),VALUE(MID('Onshore - Brisbane'!M296,SEARCH("rata-rata:",'Onshore - Brisbane'!M296)+11,FIND(";",'Onshore - Brisbane'!M296&amp;";",SEARCH("rata-rata:",'Onshore - Brisbane'!M296))-SEARCH("rata-rata:",'Onshore - Brisbane'!M296)-11)),IF('Onshore - Brisbane'!D296="Semester",'Onshore - Brisbane'!E296*2,IF('Onshore - Brisbane'!D296="Trimester",'Onshore - Brisbane'!E296*3,IF('Onshore - Brisbane'!D296="Term",'Onshore - Brisbane'!E296*4,IF('Onshore - Brisbane'!D296="Unit",'Onshore - Brisbane'!E296*8,""))))))</f>
        <v>8000</v>
      </c>
      <c r="L1263" s="0" t="n">
        <f aca="false">IF(AND(ISNUMBER('Onshore - Brisbane'!E296),ISNUMBER(K1263),ISNUMBER('Onshore - Brisbane'!F296),ISNUMBER('Onshore - Brisbane'!G296),OR('Onshore - Brisbane'!F296&lt;&gt;0,ISNUMBER(SEARCH("Material 0 terverifikasi",'Onshore - Brisbane'!M296))),OR('Onshore - Brisbane'!G296&lt;&gt;0,ISNUMBER(SEARCH("Enrolment 0 terverifikasi",'Onshore - Brisbane'!M296)))),1,0)</f>
        <v>1</v>
      </c>
      <c r="M1263" s="0" t="n">
        <f aca="false">IF(OR('Onshore - Brisbane'!E296="",ISNUMBER(SEARCH("BSB80120",'Onshore - Brisbane'!B296&amp;'Onshore - Brisbane'!M296)),ISNUMBER(SEARCH("Management (Learning)",'Onshore - Brisbane'!B296))),2,IF(ISNUMBER(SEARCH("CEK:",'Onshore - Brisbane'!M296)),1,0))</f>
        <v>0</v>
      </c>
    </row>
    <row r="1264" customFormat="false" ht="15" hidden="false" customHeight="false" outlineLevel="0" collapsed="false">
      <c r="A1264" s="63" t="s">
        <v>3563</v>
      </c>
      <c r="B1264" s="64" t="s">
        <v>4297</v>
      </c>
      <c r="C1264" s="63" t="s">
        <v>41</v>
      </c>
      <c r="D1264" s="64" t="str">
        <f aca="false">TRIM(LEFT('Onshore - Brisbane'!A161,FIND(CHAR(10),'Onshore - Brisbane'!A161&amp;CHAR(10))-1))</f>
        <v>Australian Skills Management Institute (ASMI)</v>
      </c>
      <c r="E1264" s="63" t="str">
        <f aca="false">'Onshore - Brisbane'!C161&amp;""</f>
        <v>2 years</v>
      </c>
      <c r="F1264" s="63" t="str">
        <f aca="false">IF('Onshore - Brisbane'!D161="","Belum tercatat",'Onshore - Brisbane'!D161)</f>
        <v>Term</v>
      </c>
      <c r="G1264" s="65" t="n">
        <f aca="false">IF('Onshore - Brisbane'!E161="","-",'Onshore - Brisbane'!E161)</f>
        <v>2053</v>
      </c>
      <c r="H1264" s="63" t="n">
        <f aca="false">IF(ISNUMBER(K1264),COUNTIFS($J$6:$J$1916,J1264,$K$6:$K$1916,"&lt;"&amp;K1264)+1,"-")</f>
        <v>4</v>
      </c>
      <c r="I1264" s="64" t="str">
        <f aca="false">IF('Onshore - Brisbane'!E161="","Harga belum tersedia - hubungi konsultan TEG",IF(M1264=2,"Saat ini tidak menerima pendaftaran siswa internasional baru",IF(M1264=1,"Harga perlu dikonfirmasi ke sekolah"&amp;IF(""="","","; "&amp;""),"")))</f>
        <v/>
      </c>
      <c r="J1264" s="0" t="s">
        <v>4316</v>
      </c>
      <c r="K1264" s="0" t="n">
        <f aca="false">IF(M1264=2,"",IF(ISNUMBER(SEARCH("rata-rata:",'Onshore - Brisbane'!M161)),VALUE(MID('Onshore - Brisbane'!M161,SEARCH("rata-rata:",'Onshore - Brisbane'!M161)+11,FIND(";",'Onshore - Brisbane'!M161&amp;";",SEARCH("rata-rata:",'Onshore - Brisbane'!M161))-SEARCH("rata-rata:",'Onshore - Brisbane'!M161)-11)),IF('Onshore - Brisbane'!D161="Semester",'Onshore - Brisbane'!E161*2,IF('Onshore - Brisbane'!D161="Trimester",'Onshore - Brisbane'!E161*3,IF('Onshore - Brisbane'!D161="Term",'Onshore - Brisbane'!E161*4,IF('Onshore - Brisbane'!D161="Unit",'Onshore - Brisbane'!E161*8,""))))))</f>
        <v>8212</v>
      </c>
      <c r="L1264" s="0" t="n">
        <f aca="false">IF(AND(ISNUMBER('Onshore - Brisbane'!E161),ISNUMBER(K1264),ISNUMBER('Onshore - Brisbane'!F161),ISNUMBER('Onshore - Brisbane'!G161),OR('Onshore - Brisbane'!F161&lt;&gt;0,ISNUMBER(SEARCH("Material 0 terverifikasi",'Onshore - Brisbane'!M161))),OR('Onshore - Brisbane'!G161&lt;&gt;0,ISNUMBER(SEARCH("Enrolment 0 terverifikasi",'Onshore - Brisbane'!M161)))),1,0)</f>
        <v>1</v>
      </c>
      <c r="M1264" s="0" t="n">
        <f aca="false">IF(OR('Onshore - Brisbane'!E161="",ISNUMBER(SEARCH("BSB80120",'Onshore - Brisbane'!B161&amp;'Onshore - Brisbane'!M161)),ISNUMBER(SEARCH("Management (Learning)",'Onshore - Brisbane'!B161))),2,IF(ISNUMBER(SEARCH("CEK:",'Onshore - Brisbane'!M161)),1,0))</f>
        <v>0</v>
      </c>
    </row>
    <row r="1265" customFormat="false" ht="15" hidden="false" customHeight="false" outlineLevel="0" collapsed="false">
      <c r="A1265" s="63" t="s">
        <v>3563</v>
      </c>
      <c r="B1265" s="64" t="s">
        <v>4297</v>
      </c>
      <c r="C1265" s="63" t="s">
        <v>41</v>
      </c>
      <c r="D1265" s="64" t="str">
        <f aca="false">TRIM(LEFT('Onshore - Brisbane'!A290,FIND(CHAR(10),'Onshore - Brisbane'!A290&amp;CHAR(10))-1))</f>
        <v>Shafston International College</v>
      </c>
      <c r="E1265" s="63" t="str">
        <f aca="false">'Onshore - Brisbane'!C290&amp;""</f>
        <v>2 years</v>
      </c>
      <c r="F1265" s="63" t="str">
        <f aca="false">IF('Onshore - Brisbane'!D290="","Belum tercatat",'Onshore - Brisbane'!D290)</f>
        <v>Term</v>
      </c>
      <c r="G1265" s="65" t="n">
        <f aca="false">IF('Onshore - Brisbane'!E290="","-",'Onshore - Brisbane'!E290)</f>
        <v>2150</v>
      </c>
      <c r="H1265" s="63" t="n">
        <f aca="false">IF(ISNUMBER(K1265),COUNTIFS($J$6:$J$1916,J1265,$K$6:$K$1916,"&lt;"&amp;K1265)+1,"-")</f>
        <v>5</v>
      </c>
      <c r="I1265" s="64" t="str">
        <f aca="false">IF('Onshore - Brisbane'!E290="","Harga belum tersedia - hubungi konsultan TEG",IF(M1265=2,"Saat ini tidak menerima pendaftaran siswa internasional baru",IF(M1265=1,"Harga perlu dikonfirmasi ke sekolah"&amp;IF(""="","","; "&amp;""),"")))</f>
        <v/>
      </c>
      <c r="J1265" s="0" t="s">
        <v>4316</v>
      </c>
      <c r="K1265" s="0" t="n">
        <f aca="false">IF(M1265=2,"",IF(ISNUMBER(SEARCH("rata-rata:",'Onshore - Brisbane'!M290)),VALUE(MID('Onshore - Brisbane'!M290,SEARCH("rata-rata:",'Onshore - Brisbane'!M290)+11,FIND(";",'Onshore - Brisbane'!M290&amp;";",SEARCH("rata-rata:",'Onshore - Brisbane'!M290))-SEARCH("rata-rata:",'Onshore - Brisbane'!M290)-11)),IF('Onshore - Brisbane'!D290="Semester",'Onshore - Brisbane'!E290*2,IF('Onshore - Brisbane'!D290="Trimester",'Onshore - Brisbane'!E290*3,IF('Onshore - Brisbane'!D290="Term",'Onshore - Brisbane'!E290*4,IF('Onshore - Brisbane'!D290="Unit",'Onshore - Brisbane'!E290*8,""))))))</f>
        <v>8600</v>
      </c>
      <c r="L1265" s="0" t="n">
        <f aca="false">IF(AND(ISNUMBER('Onshore - Brisbane'!E290),ISNUMBER(K1265),ISNUMBER('Onshore - Brisbane'!F290),ISNUMBER('Onshore - Brisbane'!G290),OR('Onshore - Brisbane'!F290&lt;&gt;0,ISNUMBER(SEARCH("Material 0 terverifikasi",'Onshore - Brisbane'!M290))),OR('Onshore - Brisbane'!G290&lt;&gt;0,ISNUMBER(SEARCH("Enrolment 0 terverifikasi",'Onshore - Brisbane'!M290)))),1,0)</f>
        <v>0</v>
      </c>
      <c r="M1265" s="0" t="n">
        <f aca="false">IF(OR('Onshore - Brisbane'!E290="",ISNUMBER(SEARCH("BSB80120",'Onshore - Brisbane'!B290&amp;'Onshore - Brisbane'!M290)),ISNUMBER(SEARCH("Management (Learning)",'Onshore - Brisbane'!B290))),2,IF(ISNUMBER(SEARCH("CEK:",'Onshore - Brisbane'!M290)),1,0))</f>
        <v>0</v>
      </c>
    </row>
    <row r="1266" customFormat="false" ht="15" hidden="false" customHeight="false" outlineLevel="0" collapsed="false">
      <c r="A1266" s="63" t="s">
        <v>3563</v>
      </c>
      <c r="B1266" s="64" t="s">
        <v>4297</v>
      </c>
      <c r="C1266" s="63" t="s">
        <v>41</v>
      </c>
      <c r="D1266" s="64" t="str">
        <f aca="false">TRIM(LEFT('Onshore - Brisbane'!A276,FIND(CHAR(10),'Onshore - Brisbane'!A276&amp;CHAR(10))-1))</f>
        <v>Million Brown's College (MBC)</v>
      </c>
      <c r="E1266" s="63" t="str">
        <f aca="false">'Onshore - Brisbane'!C276&amp;""</f>
        <v>2 years</v>
      </c>
      <c r="F1266" s="63" t="str">
        <f aca="false">IF('Onshore - Brisbane'!D276="","Belum tercatat",'Onshore - Brisbane'!D276)</f>
        <v>Term</v>
      </c>
      <c r="G1266" s="65" t="n">
        <f aca="false">IF('Onshore - Brisbane'!E276="","-",'Onshore - Brisbane'!E276)</f>
        <v>2212.5</v>
      </c>
      <c r="H1266" s="63" t="n">
        <f aca="false">IF(ISNUMBER(K1266),COUNTIFS($J$6:$J$1916,J1266,$K$6:$K$1916,"&lt;"&amp;K1266)+1,"-")</f>
        <v>6</v>
      </c>
      <c r="I1266" s="64" t="str">
        <f aca="false">IF('Onshore - Brisbane'!E276="","Harga belum tersedia - hubungi konsultan TEG",IF(M1266=2,"Saat ini tidak menerima pendaftaran siswa internasional baru",IF(M1266=1,"Harga perlu dikonfirmasi ke sekolah"&amp;IF(""="","","; "&amp;""),"")))</f>
        <v>Harga perlu dikonfirmasi ke sekolah</v>
      </c>
      <c r="J1266" s="0" t="s">
        <v>4316</v>
      </c>
      <c r="K1266" s="0" t="n">
        <f aca="false">IF(M1266=2,"",IF(ISNUMBER(SEARCH("rata-rata:",'Onshore - Brisbane'!M276)),VALUE(MID('Onshore - Brisbane'!M276,SEARCH("rata-rata:",'Onshore - Brisbane'!M276)+11,FIND(";",'Onshore - Brisbane'!M276&amp;";",SEARCH("rata-rata:",'Onshore - Brisbane'!M276))-SEARCH("rata-rata:",'Onshore - Brisbane'!M276)-11)),IF('Onshore - Brisbane'!D276="Semester",'Onshore - Brisbane'!E276*2,IF('Onshore - Brisbane'!D276="Trimester",'Onshore - Brisbane'!E276*3,IF('Onshore - Brisbane'!D276="Term",'Onshore - Brisbane'!E276*4,IF('Onshore - Brisbane'!D276="Unit",'Onshore - Brisbane'!E276*8,""))))))</f>
        <v>8850</v>
      </c>
      <c r="L1266" s="0" t="n">
        <f aca="false">IF(AND(ISNUMBER('Onshore - Brisbane'!E276),ISNUMBER(K1266),ISNUMBER('Onshore - Brisbane'!F276),ISNUMBER('Onshore - Brisbane'!G276),OR('Onshore - Brisbane'!F276&lt;&gt;0,ISNUMBER(SEARCH("Material 0 terverifikasi",'Onshore - Brisbane'!M276))),OR('Onshore - Brisbane'!G276&lt;&gt;0,ISNUMBER(SEARCH("Enrolment 0 terverifikasi",'Onshore - Brisbane'!M276)))),1,0)</f>
        <v>1</v>
      </c>
      <c r="M1266" s="0" t="n">
        <f aca="false">IF(OR('Onshore - Brisbane'!E276="",ISNUMBER(SEARCH("BSB80120",'Onshore - Brisbane'!B276&amp;'Onshore - Brisbane'!M276)),ISNUMBER(SEARCH("Management (Learning)",'Onshore - Brisbane'!B276))),2,IF(ISNUMBER(SEARCH("CEK:",'Onshore - Brisbane'!M276)),1,0))</f>
        <v>1</v>
      </c>
    </row>
    <row r="1267" customFormat="false" ht="15" hidden="false" customHeight="false" outlineLevel="0" collapsed="false">
      <c r="A1267" s="63" t="s">
        <v>3563</v>
      </c>
      <c r="B1267" s="64" t="s">
        <v>4297</v>
      </c>
      <c r="C1267" s="63" t="s">
        <v>41</v>
      </c>
      <c r="D1267" s="64" t="str">
        <f aca="false">TRIM(LEFT('Onshore - Brisbane'!A170,FIND(CHAR(10),'Onshore - Brisbane'!A170&amp;CHAR(10))-1))</f>
        <v>Cambridge College</v>
      </c>
      <c r="E1267" s="63" t="str">
        <f aca="false">'Onshore - Brisbane'!C170&amp;""</f>
        <v>2 years</v>
      </c>
      <c r="F1267" s="63" t="str">
        <f aca="false">IF('Onshore - Brisbane'!D170="","Belum tercatat",'Onshore - Brisbane'!D170)</f>
        <v>Term</v>
      </c>
      <c r="G1267" s="65" t="n">
        <f aca="false">IF('Onshore - Brisbane'!E170="","-",'Onshore - Brisbane'!E170)</f>
        <v>2250</v>
      </c>
      <c r="H1267" s="63" t="n">
        <f aca="false">IF(ISNUMBER(K1267),COUNTIFS($J$6:$J$1916,J1267,$K$6:$K$1916,"&lt;"&amp;K1267)+1,"-")</f>
        <v>7</v>
      </c>
      <c r="I1267" s="64" t="str">
        <f aca="false">IF('Onshore - Brisbane'!E170="","Harga belum tersedia - hubungi konsultan TEG",IF(M1267=2,"Saat ini tidak menerima pendaftaran siswa internasional baru",IF(M1267=1,"Program perlu dikonfirmasi ketersediaannya"&amp;IF(""="","","; "&amp;""),"")))</f>
        <v>Program perlu dikonfirmasi ketersediaannya</v>
      </c>
      <c r="J1267" s="0" t="s">
        <v>4316</v>
      </c>
      <c r="K1267" s="0" t="n">
        <f aca="false">IF(M1267=2,"",IF(ISNUMBER(SEARCH("rata-rata:",'Onshore - Brisbane'!M170)),VALUE(MID('Onshore - Brisbane'!M170,SEARCH("rata-rata:",'Onshore - Brisbane'!M170)+11,FIND(";",'Onshore - Brisbane'!M170&amp;";",SEARCH("rata-rata:",'Onshore - Brisbane'!M170))-SEARCH("rata-rata:",'Onshore - Brisbane'!M170)-11)),IF('Onshore - Brisbane'!D170="Semester",'Onshore - Brisbane'!E170*2,IF('Onshore - Brisbane'!D170="Trimester",'Onshore - Brisbane'!E170*3,IF('Onshore - Brisbane'!D170="Term",'Onshore - Brisbane'!E170*4,IF('Onshore - Brisbane'!D170="Unit",'Onshore - Brisbane'!E170*8,""))))))</f>
        <v>9000</v>
      </c>
      <c r="L1267" s="0" t="n">
        <f aca="false">IF(AND(ISNUMBER('Onshore - Brisbane'!E170),ISNUMBER(K1267),ISNUMBER('Onshore - Brisbane'!F170),ISNUMBER('Onshore - Brisbane'!G170),OR('Onshore - Brisbane'!F170&lt;&gt;0,ISNUMBER(SEARCH("Material 0 terverifikasi",'Onshore - Brisbane'!M170))),OR('Onshore - Brisbane'!G170&lt;&gt;0,ISNUMBER(SEARCH("Enrolment 0 terverifikasi",'Onshore - Brisbane'!M170)))),1,0)</f>
        <v>1</v>
      </c>
      <c r="M1267" s="0" t="n">
        <f aca="false">IF(OR('Onshore - Brisbane'!E170="",ISNUMBER(SEARCH("BSB80120",'Onshore - Brisbane'!B170&amp;'Onshore - Brisbane'!M170)),ISNUMBER(SEARCH("Management (Learning)",'Onshore - Brisbane'!B170))),2,IF(ISNUMBER(SEARCH("CEK:",'Onshore - Brisbane'!M170)),1,0))</f>
        <v>1</v>
      </c>
    </row>
    <row r="1268" customFormat="false" ht="15" hidden="false" customHeight="false" outlineLevel="0" collapsed="false">
      <c r="A1268" s="63" t="s">
        <v>3563</v>
      </c>
      <c r="B1268" s="64" t="s">
        <v>4297</v>
      </c>
      <c r="C1268" s="63" t="s">
        <v>41</v>
      </c>
      <c r="D1268" s="64" t="str">
        <f aca="false">TRIM(LEFT('Onshore - Brisbane'!A26,FIND(CHAR(10),'Onshore - Brisbane'!A26&amp;CHAR(10))-1))</f>
        <v>American College</v>
      </c>
      <c r="E1268" s="63" t="str">
        <f aca="false">'Onshore - Brisbane'!C29&amp;""</f>
        <v>2 years</v>
      </c>
      <c r="F1268" s="63" t="str">
        <f aca="false">IF('Onshore - Brisbane'!D29="","Belum tercatat",'Onshore - Brisbane'!D29)</f>
        <v>Term</v>
      </c>
      <c r="G1268" s="65" t="n">
        <f aca="false">IF('Onshore - Brisbane'!E29="","-",'Onshore - Brisbane'!E29)</f>
        <v>2350</v>
      </c>
      <c r="H1268" s="63" t="n">
        <f aca="false">IF(ISNUMBER(K1268),COUNTIFS($J$6:$J$1916,J1268,$K$6:$K$1916,"&lt;"&amp;K1268)+1,"-")</f>
        <v>8</v>
      </c>
      <c r="I1268" s="64" t="str">
        <f aca="false">IF('Onshore - Brisbane'!E29="","Harga belum tersedia - hubungi konsultan TEG",IF(M1268=2,"Saat ini tidak menerima pendaftaran siswa internasional baru",IF(M1268=1,"Harga perlu dikonfirmasi ke sekolah"&amp;IF(""="","","; "&amp;""),"")))</f>
        <v/>
      </c>
      <c r="J1268" s="0" t="s">
        <v>4316</v>
      </c>
      <c r="K1268" s="0" t="n">
        <f aca="false">IF(M1268=2,"",IF(ISNUMBER(SEARCH("rata-rata:",'Onshore - Brisbane'!M29)),VALUE(MID('Onshore - Brisbane'!M29,SEARCH("rata-rata:",'Onshore - Brisbane'!M29)+11,FIND(";",'Onshore - Brisbane'!M29&amp;";",SEARCH("rata-rata:",'Onshore - Brisbane'!M29))-SEARCH("rata-rata:",'Onshore - Brisbane'!M29)-11)),IF('Onshore - Brisbane'!D29="Semester",'Onshore - Brisbane'!E29*2,IF('Onshore - Brisbane'!D29="Trimester",'Onshore - Brisbane'!E29*3,IF('Onshore - Brisbane'!D29="Term",'Onshore - Brisbane'!E29*4,IF('Onshore - Brisbane'!D29="Unit",'Onshore - Brisbane'!E29*8,""))))))</f>
        <v>9400</v>
      </c>
      <c r="L1268" s="0" t="n">
        <f aca="false">IF(AND(ISNUMBER('Onshore - Brisbane'!E29),ISNUMBER(K1268),ISNUMBER('Onshore - Brisbane'!F29),ISNUMBER('Onshore - Brisbane'!G29),OR('Onshore - Brisbane'!F29&lt;&gt;0,ISNUMBER(SEARCH("Material 0 terverifikasi",'Onshore - Brisbane'!M29))),OR('Onshore - Brisbane'!G29&lt;&gt;0,ISNUMBER(SEARCH("Enrolment 0 terverifikasi",'Onshore - Brisbane'!M29)))),1,0)</f>
        <v>1</v>
      </c>
      <c r="M1268" s="0" t="n">
        <f aca="false">IF(OR('Onshore - Brisbane'!E29="",ISNUMBER(SEARCH("BSB80120",'Onshore - Brisbane'!B29&amp;'Onshore - Brisbane'!M29)),ISNUMBER(SEARCH("Management (Learning)",'Onshore - Brisbane'!B29))),2,IF(ISNUMBER(SEARCH("CEK:",'Onshore - Brisbane'!M29)),1,0))</f>
        <v>0</v>
      </c>
    </row>
    <row r="1269" customFormat="false" ht="15" hidden="false" customHeight="false" outlineLevel="0" collapsed="false">
      <c r="A1269" s="63" t="s">
        <v>3563</v>
      </c>
      <c r="B1269" s="64" t="s">
        <v>4297</v>
      </c>
      <c r="C1269" s="63" t="s">
        <v>41</v>
      </c>
      <c r="D1269" s="64" t="str">
        <f aca="false">TRIM(LEFT('Onshore - Brisbane'!A201,FIND(CHAR(10),'Onshore - Brisbane'!A201&amp;CHAR(10))-1))</f>
        <v>Federation Academy</v>
      </c>
      <c r="E1269" s="63" t="str">
        <f aca="false">'Onshore - Brisbane'!C205&amp;""</f>
        <v>2 years</v>
      </c>
      <c r="F1269" s="63" t="str">
        <f aca="false">IF('Onshore - Brisbane'!D205="","Belum tercatat",'Onshore - Brisbane'!D205)</f>
        <v>Term</v>
      </c>
      <c r="G1269" s="65" t="n">
        <f aca="false">IF('Onshore - Brisbane'!E205="","-",'Onshore - Brisbane'!E205)</f>
        <v>2430</v>
      </c>
      <c r="H1269" s="63" t="n">
        <f aca="false">IF(ISNUMBER(K1269),COUNTIFS($J$6:$J$1916,J1269,$K$6:$K$1916,"&lt;"&amp;K1269)+1,"-")</f>
        <v>9</v>
      </c>
      <c r="I1269" s="64" t="str">
        <f aca="false">IF('Onshore - Brisbane'!E205="","Harga belum tersedia - hubungi konsultan TEG",IF(M1269=2,"Saat ini tidak menerima pendaftaran siswa internasional baru",IF(M1269=1,"Harga perlu dikonfirmasi ke sekolah"&amp;IF(""="","","; "&amp;""),"")))</f>
        <v/>
      </c>
      <c r="J1269" s="0" t="s">
        <v>4316</v>
      </c>
      <c r="K1269" s="0" t="n">
        <f aca="false">IF(M1269=2,"",IF(ISNUMBER(SEARCH("rata-rata:",'Onshore - Brisbane'!M205)),VALUE(MID('Onshore - Brisbane'!M205,SEARCH("rata-rata:",'Onshore - Brisbane'!M205)+11,FIND(";",'Onshore - Brisbane'!M205&amp;";",SEARCH("rata-rata:",'Onshore - Brisbane'!M205))-SEARCH("rata-rata:",'Onshore - Brisbane'!M205)-11)),IF('Onshore - Brisbane'!D205="Semester",'Onshore - Brisbane'!E205*2,IF('Onshore - Brisbane'!D205="Trimester",'Onshore - Brisbane'!E205*3,IF('Onshore - Brisbane'!D205="Term",'Onshore - Brisbane'!E205*4,IF('Onshore - Brisbane'!D205="Unit",'Onshore - Brisbane'!E205*8,""))))))</f>
        <v>9720</v>
      </c>
      <c r="L1269" s="0" t="n">
        <f aca="false">IF(AND(ISNUMBER('Onshore - Brisbane'!E205),ISNUMBER(K1269),ISNUMBER('Onshore - Brisbane'!F205),ISNUMBER('Onshore - Brisbane'!G205),OR('Onshore - Brisbane'!F205&lt;&gt;0,ISNUMBER(SEARCH("Material 0 terverifikasi",'Onshore - Brisbane'!M205))),OR('Onshore - Brisbane'!G205&lt;&gt;0,ISNUMBER(SEARCH("Enrolment 0 terverifikasi",'Onshore - Brisbane'!M205)))),1,0)</f>
        <v>1</v>
      </c>
      <c r="M1269" s="0" t="n">
        <f aca="false">IF(OR('Onshore - Brisbane'!E205="",ISNUMBER(SEARCH("BSB80120",'Onshore - Brisbane'!B205&amp;'Onshore - Brisbane'!M205)),ISNUMBER(SEARCH("Management (Learning)",'Onshore - Brisbane'!B205))),2,IF(ISNUMBER(SEARCH("CEK:",'Onshore - Brisbane'!M205)),1,0))</f>
        <v>0</v>
      </c>
    </row>
    <row r="1270" customFormat="false" ht="15" hidden="false" customHeight="false" outlineLevel="0" collapsed="false">
      <c r="A1270" s="63" t="s">
        <v>3563</v>
      </c>
      <c r="B1270" s="64" t="s">
        <v>4297</v>
      </c>
      <c r="C1270" s="63" t="s">
        <v>41</v>
      </c>
      <c r="D1270" s="64" t="str">
        <f aca="false">TRIM(LEFT('Onshore - Brisbane'!A158,FIND(CHAR(10),'Onshore - Brisbane'!A158&amp;CHAR(10))-1))</f>
        <v>Australian Global Institute (AGI)</v>
      </c>
      <c r="E1270" s="63" t="str">
        <f aca="false">'Onshore - Brisbane'!C158&amp;""</f>
        <v>2,5 years</v>
      </c>
      <c r="F1270" s="63" t="str">
        <f aca="false">IF('Onshore - Brisbane'!D158="","Belum tercatat",'Onshore - Brisbane'!D158)</f>
        <v>Term</v>
      </c>
      <c r="G1270" s="65" t="n">
        <f aca="false">IF('Onshore - Brisbane'!E158="","-",'Onshore - Brisbane'!E158)</f>
        <v>2950</v>
      </c>
      <c r="H1270" s="63" t="n">
        <f aca="false">IF(ISNUMBER(K1270),COUNTIFS($J$6:$J$1916,J1270,$K$6:$K$1916,"&lt;"&amp;K1270)+1,"-")</f>
        <v>10</v>
      </c>
      <c r="I1270" s="64" t="str">
        <f aca="false">IF('Onshore - Brisbane'!E158="","Harga belum tersedia - hubungi konsultan TEG",IF(M1270=2,"Saat ini tidak menerima pendaftaran siswa internasional baru",IF(M1270=1,"Harga perlu dikonfirmasi ke sekolah"&amp;IF(""="","","; "&amp;""),"")))</f>
        <v/>
      </c>
      <c r="J1270" s="0" t="s">
        <v>4316</v>
      </c>
      <c r="K1270" s="0" t="n">
        <f aca="false">IF(M1270=2,"",IF(ISNUMBER(SEARCH("rata-rata:",'Onshore - Brisbane'!M158)),VALUE(MID('Onshore - Brisbane'!M158,SEARCH("rata-rata:",'Onshore - Brisbane'!M158)+11,FIND(";",'Onshore - Brisbane'!M158&amp;";",SEARCH("rata-rata:",'Onshore - Brisbane'!M158))-SEARCH("rata-rata:",'Onshore - Brisbane'!M158)-11)),IF('Onshore - Brisbane'!D158="Semester",'Onshore - Brisbane'!E158*2,IF('Onshore - Brisbane'!D158="Trimester",'Onshore - Brisbane'!E158*3,IF('Onshore - Brisbane'!D158="Term",'Onshore - Brisbane'!E158*4,IF('Onshore - Brisbane'!D158="Unit",'Onshore - Brisbane'!E158*8,""))))))</f>
        <v>11800</v>
      </c>
      <c r="L1270" s="0" t="n">
        <f aca="false">IF(AND(ISNUMBER('Onshore - Brisbane'!E158),ISNUMBER(K1270),ISNUMBER('Onshore - Brisbane'!F158),ISNUMBER('Onshore - Brisbane'!G158),OR('Onshore - Brisbane'!F158&lt;&gt;0,ISNUMBER(SEARCH("Material 0 terverifikasi",'Onshore - Brisbane'!M158))),OR('Onshore - Brisbane'!G158&lt;&gt;0,ISNUMBER(SEARCH("Enrolment 0 terverifikasi",'Onshore - Brisbane'!M158)))),1,0)</f>
        <v>1</v>
      </c>
      <c r="M1270" s="0" t="n">
        <f aca="false">IF(OR('Onshore - Brisbane'!E158="",ISNUMBER(SEARCH("BSB80120",'Onshore - Brisbane'!B158&amp;'Onshore - Brisbane'!M158)),ISNUMBER(SEARCH("Management (Learning)",'Onshore - Brisbane'!B158))),2,IF(ISNUMBER(SEARCH("CEK:",'Onshore - Brisbane'!M158)),1,0))</f>
        <v>0</v>
      </c>
    </row>
    <row r="1271" customFormat="false" ht="15" hidden="false" customHeight="false" outlineLevel="0" collapsed="false">
      <c r="A1271" s="63" t="s">
        <v>3563</v>
      </c>
      <c r="B1271" s="64" t="s">
        <v>4297</v>
      </c>
      <c r="C1271" s="63" t="s">
        <v>41</v>
      </c>
      <c r="D1271" s="64" t="str">
        <f aca="false">TRIM(LEFT('Onshore - Brisbane'!A264,FIND(CHAR(10),'Onshore - Brisbane'!A264&amp;CHAR(10))-1))</f>
        <v>Le Cordon Bleu Australia</v>
      </c>
      <c r="E1271" s="63" t="str">
        <f aca="false">'Onshore - Brisbane'!C267&amp;""</f>
        <v>2,5 years</v>
      </c>
      <c r="F1271" s="63" t="str">
        <f aca="false">IF('Onshore - Brisbane'!D267="","Belum tercatat",'Onshore - Brisbane'!D267)</f>
        <v>Term</v>
      </c>
      <c r="G1271" s="65" t="n">
        <f aca="false">IF('Onshore - Brisbane'!E267="","-",'Onshore - Brisbane'!E267)</f>
        <v>7005.6</v>
      </c>
      <c r="H1271" s="63" t="n">
        <f aca="false">IF(ISNUMBER(K1271),COUNTIFS($J$6:$J$1916,J1271,$K$6:$K$1916,"&lt;"&amp;K1271)+1,"-")</f>
        <v>11</v>
      </c>
      <c r="I1271" s="64" t="str">
        <f aca="false">IF('Onshore - Brisbane'!E267="","Harga belum tersedia - hubungi konsultan TEG",IF(M1271=2,"Saat ini tidak menerima pendaftaran siswa internasional baru",IF(M1271=1,"Program perlu dikonfirmasi ketersediaannya"&amp;IF(""="","","; "&amp;""),"")))</f>
        <v>Program perlu dikonfirmasi ketersediaannya</v>
      </c>
      <c r="J1271" s="0" t="s">
        <v>4316</v>
      </c>
      <c r="K1271" s="0" t="n">
        <f aca="false">IF(M1271=2,"",IF(ISNUMBER(SEARCH("rata-rata:",'Onshore - Brisbane'!M267)),VALUE(MID('Onshore - Brisbane'!M267,SEARCH("rata-rata:",'Onshore - Brisbane'!M267)+11,FIND(";",'Onshore - Brisbane'!M267&amp;";",SEARCH("rata-rata:",'Onshore - Brisbane'!M267))-SEARCH("rata-rata:",'Onshore - Brisbane'!M267)-11)),IF('Onshore - Brisbane'!D267="Semester",'Onshore - Brisbane'!E267*2,IF('Onshore - Brisbane'!D267="Trimester",'Onshore - Brisbane'!E267*3,IF('Onshore - Brisbane'!D267="Term",'Onshore - Brisbane'!E267*4,IF('Onshore - Brisbane'!D267="Unit",'Onshore - Brisbane'!E267*8,""))))))</f>
        <v>28022.4</v>
      </c>
      <c r="L1271" s="0" t="n">
        <f aca="false">IF(AND(ISNUMBER('Onshore - Brisbane'!E267),ISNUMBER(K1271),ISNUMBER('Onshore - Brisbane'!F267),ISNUMBER('Onshore - Brisbane'!G267),OR('Onshore - Brisbane'!F267&lt;&gt;0,ISNUMBER(SEARCH("Material 0 terverifikasi",'Onshore - Brisbane'!M267))),OR('Onshore - Brisbane'!G267&lt;&gt;0,ISNUMBER(SEARCH("Enrolment 0 terverifikasi",'Onshore - Brisbane'!M267)))),1,0)</f>
        <v>0</v>
      </c>
      <c r="M1271" s="0" t="n">
        <f aca="false">IF(OR('Onshore - Brisbane'!E267="",ISNUMBER(SEARCH("BSB80120",'Onshore - Brisbane'!B267&amp;'Onshore - Brisbane'!M267)),ISNUMBER(SEARCH("Management (Learning)",'Onshore - Brisbane'!B267))),2,IF(ISNUMBER(SEARCH("CEK:",'Onshore - Brisbane'!M267)),1,0))</f>
        <v>1</v>
      </c>
    </row>
    <row r="1272" customFormat="false" ht="15" hidden="false" customHeight="false" outlineLevel="0" collapsed="false">
      <c r="A1272" s="61" t="s">
        <v>4317</v>
      </c>
      <c r="B1272" s="62"/>
      <c r="C1272" s="62"/>
      <c r="D1272" s="62"/>
      <c r="E1272" s="62"/>
      <c r="F1272" s="62"/>
      <c r="G1272" s="62"/>
      <c r="H1272" s="62"/>
      <c r="I1272" s="62"/>
    </row>
    <row r="1273" customFormat="false" ht="15" hidden="false" customHeight="false" outlineLevel="0" collapsed="false">
      <c r="A1273" s="63" t="s">
        <v>3563</v>
      </c>
      <c r="B1273" s="64" t="s">
        <v>4297</v>
      </c>
      <c r="C1273" s="63" t="s">
        <v>42</v>
      </c>
      <c r="D1273" s="64" t="str">
        <f aca="false">TRIM(LEFT('Onshore - Brisbane'!A238,FIND(CHAR(10),'Onshore - Brisbane'!A238&amp;CHAR(10))-1))</f>
        <v>Hospitality Training Academy (HTA)</v>
      </c>
      <c r="E1273" s="63" t="str">
        <f aca="false">'Onshore - Brisbane'!C239&amp;""</f>
        <v>2,5 years</v>
      </c>
      <c r="F1273" s="63" t="str">
        <f aca="false">IF('Onshore - Brisbane'!D239="","Belum tercatat",'Onshore - Brisbane'!D239)</f>
        <v>Term</v>
      </c>
      <c r="G1273" s="65" t="n">
        <f aca="false">IF('Onshore - Brisbane'!E239="","-",'Onshore - Brisbane'!E239)</f>
        <v>1535</v>
      </c>
      <c r="H1273" s="63" t="n">
        <f aca="false">IF(ISNUMBER(K1273),COUNTIFS($J$6:$J$1916,J1273,$K$6:$K$1916,"&lt;"&amp;K1273)+1,"-")</f>
        <v>1</v>
      </c>
      <c r="I1273" s="64" t="str">
        <f aca="false">IF('Onshore - Brisbane'!E239="","Harga belum tersedia - hubungi konsultan TEG",IF(M1273=2,"Saat ini tidak menerima pendaftaran siswa internasional baru",IF(M1273=1,"Harga perlu dikonfirmasi ke sekolah"&amp;IF(""="","","; "&amp;""),"")))</f>
        <v/>
      </c>
      <c r="J1273" s="0" t="s">
        <v>4318</v>
      </c>
      <c r="K1273" s="0" t="n">
        <f aca="false">IF(M1273=2,"",IF(ISNUMBER(SEARCH("rata-rata:",'Onshore - Brisbane'!M239)),VALUE(MID('Onshore - Brisbane'!M239,SEARCH("rata-rata:",'Onshore - Brisbane'!M239)+11,FIND(";",'Onshore - Brisbane'!M239&amp;";",SEARCH("rata-rata:",'Onshore - Brisbane'!M239))-SEARCH("rata-rata:",'Onshore - Brisbane'!M239)-11)),IF('Onshore - Brisbane'!D239="Semester",'Onshore - Brisbane'!E239*2,IF('Onshore - Brisbane'!D239="Trimester",'Onshore - Brisbane'!E239*3,IF('Onshore - Brisbane'!D239="Term",'Onshore - Brisbane'!E239*4,IF('Onshore - Brisbane'!D239="Unit",'Onshore - Brisbane'!E239*8,""))))))</f>
        <v>6140</v>
      </c>
      <c r="L1273" s="0" t="n">
        <f aca="false">IF(AND(ISNUMBER('Onshore - Brisbane'!E239),ISNUMBER(K1273),ISNUMBER('Onshore - Brisbane'!F239),ISNUMBER('Onshore - Brisbane'!G239),OR('Onshore - Brisbane'!F239&lt;&gt;0,ISNUMBER(SEARCH("Material 0 terverifikasi",'Onshore - Brisbane'!M239))),OR('Onshore - Brisbane'!G239&lt;&gt;0,ISNUMBER(SEARCH("Enrolment 0 terverifikasi",'Onshore - Brisbane'!M239)))),1,0)</f>
        <v>1</v>
      </c>
      <c r="M1273" s="0" t="n">
        <f aca="false">IF(OR('Onshore - Brisbane'!E239="",ISNUMBER(SEARCH("BSB80120",'Onshore - Brisbane'!B239&amp;'Onshore - Brisbane'!M239)),ISNUMBER(SEARCH("Management (Learning)",'Onshore - Brisbane'!B239))),2,IF(ISNUMBER(SEARCH("CEK:",'Onshore - Brisbane'!M239)),1,0))</f>
        <v>0</v>
      </c>
    </row>
    <row r="1274" customFormat="false" ht="15" hidden="false" customHeight="false" outlineLevel="0" collapsed="false">
      <c r="A1274" s="63" t="s">
        <v>3563</v>
      </c>
      <c r="B1274" s="64" t="s">
        <v>4297</v>
      </c>
      <c r="C1274" s="63" t="s">
        <v>42</v>
      </c>
      <c r="D1274" s="64" t="str">
        <f aca="false">TRIM(LEFT('Onshore - Brisbane'!A206,FIND(CHAR(10),'Onshore - Brisbane'!A206&amp;CHAR(10))-1))</f>
        <v>Greenwich College</v>
      </c>
      <c r="E1274" s="63" t="str">
        <f aca="false">'Onshore - Brisbane'!C217&amp;""</f>
        <v>144 weeks</v>
      </c>
      <c r="F1274" s="63" t="str">
        <f aca="false">IF('Onshore - Brisbane'!D217="","Belum tercatat",'Onshore - Brisbane'!D217)</f>
        <v>Term</v>
      </c>
      <c r="G1274" s="65" t="n">
        <f aca="false">IF('Onshore - Brisbane'!E217="","-",'Onshore - Brisbane'!E217)</f>
        <v>1650</v>
      </c>
      <c r="H1274" s="63" t="n">
        <f aca="false">IF(ISNUMBER(K1274),COUNTIFS($J$6:$J$1916,J1274,$K$6:$K$1916,"&lt;"&amp;K1274)+1,"-")</f>
        <v>2</v>
      </c>
      <c r="I1274" s="64" t="str">
        <f aca="false">IF('Onshore - Brisbane'!E217="","Harga belum tersedia - hubungi konsultan TEG",IF(M1274=2,"Saat ini tidak menerima pendaftaran siswa internasional baru",IF(M1274=1,"Harga perlu dikonfirmasi ke sekolah"&amp;IF(""="","","; "&amp;""),"")))</f>
        <v/>
      </c>
      <c r="J1274" s="0" t="s">
        <v>4318</v>
      </c>
      <c r="K1274" s="0" t="n">
        <f aca="false">IF(M1274=2,"",IF(ISNUMBER(SEARCH("rata-rata:",'Onshore - Brisbane'!M217)),VALUE(MID('Onshore - Brisbane'!M217,SEARCH("rata-rata:",'Onshore - Brisbane'!M217)+11,FIND(";",'Onshore - Brisbane'!M217&amp;";",SEARCH("rata-rata:",'Onshore - Brisbane'!M217))-SEARCH("rata-rata:",'Onshore - Brisbane'!M217)-11)),IF('Onshore - Brisbane'!D217="Semester",'Onshore - Brisbane'!E217*2,IF('Onshore - Brisbane'!D217="Trimester",'Onshore - Brisbane'!E217*3,IF('Onshore - Brisbane'!D217="Term",'Onshore - Brisbane'!E217*4,IF('Onshore - Brisbane'!D217="Unit",'Onshore - Brisbane'!E217*8,""))))))</f>
        <v>6600</v>
      </c>
      <c r="L1274" s="0" t="n">
        <f aca="false">IF(AND(ISNUMBER('Onshore - Brisbane'!E217),ISNUMBER(K1274),ISNUMBER('Onshore - Brisbane'!F217),ISNUMBER('Onshore - Brisbane'!G217),OR('Onshore - Brisbane'!F217&lt;&gt;0,ISNUMBER(SEARCH("Material 0 terverifikasi",'Onshore - Brisbane'!M217))),OR('Onshore - Brisbane'!G217&lt;&gt;0,ISNUMBER(SEARCH("Enrolment 0 terverifikasi",'Onshore - Brisbane'!M217)))),1,0)</f>
        <v>1</v>
      </c>
      <c r="M1274" s="0" t="n">
        <f aca="false">IF(OR('Onshore - Brisbane'!E217="",ISNUMBER(SEARCH("BSB80120",'Onshore - Brisbane'!B217&amp;'Onshore - Brisbane'!M217)),ISNUMBER(SEARCH("Management (Learning)",'Onshore - Brisbane'!B217))),2,IF(ISNUMBER(SEARCH("CEK:",'Onshore - Brisbane'!M217)),1,0))</f>
        <v>0</v>
      </c>
    </row>
    <row r="1275" customFormat="false" ht="15" hidden="false" customHeight="false" outlineLevel="0" collapsed="false">
      <c r="A1275" s="63" t="s">
        <v>3563</v>
      </c>
      <c r="B1275" s="64" t="s">
        <v>4297</v>
      </c>
      <c r="C1275" s="63" t="s">
        <v>42</v>
      </c>
      <c r="D1275" s="64" t="str">
        <f aca="false">TRIM(LEFT('Onshore - Brisbane'!A296,FIND(CHAR(10),'Onshore - Brisbane'!A296&amp;CHAR(10))-1))</f>
        <v>Skills Institute Australia</v>
      </c>
      <c r="E1275" s="63" t="str">
        <f aca="false">'Onshore - Brisbane'!C298&amp;""</f>
        <v>2,5 years</v>
      </c>
      <c r="F1275" s="63" t="str">
        <f aca="false">IF('Onshore - Brisbane'!D298="","Belum tercatat",'Onshore - Brisbane'!D298)</f>
        <v>Term</v>
      </c>
      <c r="G1275" s="65" t="n">
        <f aca="false">IF('Onshore - Brisbane'!E298="","-",'Onshore - Brisbane'!E298)</f>
        <v>1980</v>
      </c>
      <c r="H1275" s="63" t="n">
        <f aca="false">IF(ISNUMBER(K1275),COUNTIFS($J$6:$J$1916,J1275,$K$6:$K$1916,"&lt;"&amp;K1275)+1,"-")</f>
        <v>3</v>
      </c>
      <c r="I1275" s="64" t="str">
        <f aca="false">IF('Onshore - Brisbane'!E298="","Harga belum tersedia - hubungi konsultan TEG",IF(M1275=2,"Saat ini tidak menerima pendaftaran siswa internasional baru",IF(M1275=1,"Harga perlu dikonfirmasi ke sekolah"&amp;IF(""="","","; "&amp;""),"")))</f>
        <v/>
      </c>
      <c r="J1275" s="0" t="s">
        <v>4318</v>
      </c>
      <c r="K1275" s="0" t="n">
        <f aca="false">IF(M1275=2,"",IF(ISNUMBER(SEARCH("rata-rata:",'Onshore - Brisbane'!M298)),VALUE(MID('Onshore - Brisbane'!M298,SEARCH("rata-rata:",'Onshore - Brisbane'!M298)+11,FIND(";",'Onshore - Brisbane'!M298&amp;";",SEARCH("rata-rata:",'Onshore - Brisbane'!M298))-SEARCH("rata-rata:",'Onshore - Brisbane'!M298)-11)),IF('Onshore - Brisbane'!D298="Semester",'Onshore - Brisbane'!E298*2,IF('Onshore - Brisbane'!D298="Trimester",'Onshore - Brisbane'!E298*3,IF('Onshore - Brisbane'!D298="Term",'Onshore - Brisbane'!E298*4,IF('Onshore - Brisbane'!D298="Unit",'Onshore - Brisbane'!E298*8,""))))))</f>
        <v>7920</v>
      </c>
      <c r="L1275" s="0" t="n">
        <f aca="false">IF(AND(ISNUMBER('Onshore - Brisbane'!E298),ISNUMBER(K1275),ISNUMBER('Onshore - Brisbane'!F298),ISNUMBER('Onshore - Brisbane'!G298),OR('Onshore - Brisbane'!F298&lt;&gt;0,ISNUMBER(SEARCH("Material 0 terverifikasi",'Onshore - Brisbane'!M298))),OR('Onshore - Brisbane'!G298&lt;&gt;0,ISNUMBER(SEARCH("Enrolment 0 terverifikasi",'Onshore - Brisbane'!M298)))),1,0)</f>
        <v>1</v>
      </c>
      <c r="M1275" s="0" t="n">
        <f aca="false">IF(OR('Onshore - Brisbane'!E298="",ISNUMBER(SEARCH("BSB80120",'Onshore - Brisbane'!B298&amp;'Onshore - Brisbane'!M298)),ISNUMBER(SEARCH("Management (Learning)",'Onshore - Brisbane'!B298))),2,IF(ISNUMBER(SEARCH("CEK:",'Onshore - Brisbane'!M298)),1,0))</f>
        <v>0</v>
      </c>
    </row>
    <row r="1276" customFormat="false" ht="15" hidden="false" customHeight="false" outlineLevel="0" collapsed="false">
      <c r="A1276" s="63" t="s">
        <v>3563</v>
      </c>
      <c r="B1276" s="64" t="s">
        <v>4297</v>
      </c>
      <c r="C1276" s="63" t="s">
        <v>42</v>
      </c>
      <c r="D1276" s="64" t="str">
        <f aca="false">TRIM(LEFT('Onshore - Brisbane'!A161,FIND(CHAR(10),'Onshore - Brisbane'!A161&amp;CHAR(10))-1))</f>
        <v>Australian Skills Management Institute (ASMI)</v>
      </c>
      <c r="E1276" s="63" t="str">
        <f aca="false">'Onshore - Brisbane'!C162&amp;""</f>
        <v>2,5 years</v>
      </c>
      <c r="F1276" s="63" t="str">
        <f aca="false">IF('Onshore - Brisbane'!D162="","Belum tercatat",'Onshore - Brisbane'!D162)</f>
        <v>Term</v>
      </c>
      <c r="G1276" s="65" t="n">
        <f aca="false">IF('Onshore - Brisbane'!E162="","-",'Onshore - Brisbane'!E162)</f>
        <v>2000</v>
      </c>
      <c r="H1276" s="63" t="n">
        <f aca="false">IF(ISNUMBER(K1276),COUNTIFS($J$6:$J$1916,J1276,$K$6:$K$1916,"&lt;"&amp;K1276)+1,"-")</f>
        <v>4</v>
      </c>
      <c r="I1276" s="64" t="str">
        <f aca="false">IF('Onshore - Brisbane'!E162="","Harga belum tersedia - hubungi konsultan TEG",IF(M1276=2,"Saat ini tidak menerima pendaftaran siswa internasional baru",IF(M1276=1,"Harga perlu dikonfirmasi ke sekolah"&amp;IF(""="","","; "&amp;""),"")))</f>
        <v/>
      </c>
      <c r="J1276" s="0" t="s">
        <v>4318</v>
      </c>
      <c r="K1276" s="0" t="n">
        <f aca="false">IF(M1276=2,"",IF(ISNUMBER(SEARCH("rata-rata:",'Onshore - Brisbane'!M162)),VALUE(MID('Onshore - Brisbane'!M162,SEARCH("rata-rata:",'Onshore - Brisbane'!M162)+11,FIND(";",'Onshore - Brisbane'!M162&amp;";",SEARCH("rata-rata:",'Onshore - Brisbane'!M162))-SEARCH("rata-rata:",'Onshore - Brisbane'!M162)-11)),IF('Onshore - Brisbane'!D162="Semester",'Onshore - Brisbane'!E162*2,IF('Onshore - Brisbane'!D162="Trimester",'Onshore - Brisbane'!E162*3,IF('Onshore - Brisbane'!D162="Term",'Onshore - Brisbane'!E162*4,IF('Onshore - Brisbane'!D162="Unit",'Onshore - Brisbane'!E162*8,""))))))</f>
        <v>8000</v>
      </c>
      <c r="L1276" s="0" t="n">
        <f aca="false">IF(AND(ISNUMBER('Onshore - Brisbane'!E162),ISNUMBER(K1276),ISNUMBER('Onshore - Brisbane'!F162),ISNUMBER('Onshore - Brisbane'!G162),OR('Onshore - Brisbane'!F162&lt;&gt;0,ISNUMBER(SEARCH("Material 0 terverifikasi",'Onshore - Brisbane'!M162))),OR('Onshore - Brisbane'!G162&lt;&gt;0,ISNUMBER(SEARCH("Enrolment 0 terverifikasi",'Onshore - Brisbane'!M162)))),1,0)</f>
        <v>1</v>
      </c>
      <c r="M1276" s="0" t="n">
        <f aca="false">IF(OR('Onshore - Brisbane'!E162="",ISNUMBER(SEARCH("BSB80120",'Onshore - Brisbane'!B162&amp;'Onshore - Brisbane'!M162)),ISNUMBER(SEARCH("Management (Learning)",'Onshore - Brisbane'!B162))),2,IF(ISNUMBER(SEARCH("CEK:",'Onshore - Brisbane'!M162)),1,0))</f>
        <v>0</v>
      </c>
    </row>
    <row r="1277" customFormat="false" ht="15" hidden="false" customHeight="false" outlineLevel="0" collapsed="false">
      <c r="A1277" s="63" t="s">
        <v>3563</v>
      </c>
      <c r="B1277" s="64" t="s">
        <v>4297</v>
      </c>
      <c r="C1277" s="63" t="s">
        <v>42</v>
      </c>
      <c r="D1277" s="64" t="str">
        <f aca="false">TRIM(LEFT('Onshore - Brisbane'!A26,FIND(CHAR(10),'Onshore - Brisbane'!A26&amp;CHAR(10))-1))</f>
        <v>American College</v>
      </c>
      <c r="E1277" s="63" t="str">
        <f aca="false">'Onshore - Brisbane'!C30&amp;""</f>
        <v>3 years</v>
      </c>
      <c r="F1277" s="63" t="str">
        <f aca="false">IF('Onshore - Brisbane'!D30="","Belum tercatat",'Onshore - Brisbane'!D30)</f>
        <v>Term</v>
      </c>
      <c r="G1277" s="65" t="n">
        <f aca="false">IF('Onshore - Brisbane'!E30="","-",'Onshore - Brisbane'!E30)</f>
        <v>2350</v>
      </c>
      <c r="H1277" s="63" t="n">
        <f aca="false">IF(ISNUMBER(K1277),COUNTIFS($J$6:$J$1916,J1277,$K$6:$K$1916,"&lt;"&amp;K1277)+1,"-")</f>
        <v>5</v>
      </c>
      <c r="I1277" s="64" t="str">
        <f aca="false">IF('Onshore - Brisbane'!E30="","Harga belum tersedia - hubungi konsultan TEG",IF(M1277=2,"Saat ini tidak menerima pendaftaran siswa internasional baru",IF(M1277=1,"Harga perlu dikonfirmasi ke sekolah"&amp;IF(""="","","; "&amp;""),"")))</f>
        <v/>
      </c>
      <c r="J1277" s="0" t="s">
        <v>4318</v>
      </c>
      <c r="K1277" s="0" t="n">
        <f aca="false">IF(M1277=2,"",IF(ISNUMBER(SEARCH("rata-rata:",'Onshore - Brisbane'!M30)),VALUE(MID('Onshore - Brisbane'!M30,SEARCH("rata-rata:",'Onshore - Brisbane'!M30)+11,FIND(";",'Onshore - Brisbane'!M30&amp;";",SEARCH("rata-rata:",'Onshore - Brisbane'!M30))-SEARCH("rata-rata:",'Onshore - Brisbane'!M30)-11)),IF('Onshore - Brisbane'!D30="Semester",'Onshore - Brisbane'!E30*2,IF('Onshore - Brisbane'!D30="Trimester",'Onshore - Brisbane'!E30*3,IF('Onshore - Brisbane'!D30="Term",'Onshore - Brisbane'!E30*4,IF('Onshore - Brisbane'!D30="Unit",'Onshore - Brisbane'!E30*8,""))))))</f>
        <v>9400</v>
      </c>
      <c r="L1277" s="0" t="n">
        <f aca="false">IF(AND(ISNUMBER('Onshore - Brisbane'!E30),ISNUMBER(K1277),ISNUMBER('Onshore - Brisbane'!F30),ISNUMBER('Onshore - Brisbane'!G30),OR('Onshore - Brisbane'!F30&lt;&gt;0,ISNUMBER(SEARCH("Material 0 terverifikasi",'Onshore - Brisbane'!M30))),OR('Onshore - Brisbane'!G30&lt;&gt;0,ISNUMBER(SEARCH("Enrolment 0 terverifikasi",'Onshore - Brisbane'!M30)))),1,0)</f>
        <v>1</v>
      </c>
      <c r="M1277" s="0" t="n">
        <f aca="false">IF(OR('Onshore - Brisbane'!E30="",ISNUMBER(SEARCH("BSB80120",'Onshore - Brisbane'!B30&amp;'Onshore - Brisbane'!M30)),ISNUMBER(SEARCH("Management (Learning)",'Onshore - Brisbane'!B30))),2,IF(ISNUMBER(SEARCH("CEK:",'Onshore - Brisbane'!M30)),1,0))</f>
        <v>0</v>
      </c>
    </row>
    <row r="1278" customFormat="false" ht="15" hidden="false" customHeight="false" outlineLevel="0" collapsed="false">
      <c r="A1278" s="63" t="s">
        <v>3563</v>
      </c>
      <c r="B1278" s="64" t="s">
        <v>4297</v>
      </c>
      <c r="C1278" s="63" t="s">
        <v>42</v>
      </c>
      <c r="D1278" s="64" t="str">
        <f aca="false">TRIM(LEFT('Onshore - Brisbane'!A264,FIND(CHAR(10),'Onshore - Brisbane'!A264&amp;CHAR(10))-1))</f>
        <v>Le Cordon Bleu Australia</v>
      </c>
      <c r="E1278" s="63" t="str">
        <f aca="false">'Onshore - Brisbane'!C271&amp;""</f>
        <v>2,5 years</v>
      </c>
      <c r="F1278" s="63" t="str">
        <f aca="false">IF('Onshore - Brisbane'!D271="","Belum tercatat",'Onshore - Brisbane'!D271)</f>
        <v>Term</v>
      </c>
      <c r="G1278" s="65" t="n">
        <f aca="false">IF('Onshore - Brisbane'!E271="","-",'Onshore - Brisbane'!E271)</f>
        <v>7005.6</v>
      </c>
      <c r="H1278" s="63" t="n">
        <f aca="false">IF(ISNUMBER(K1278),COUNTIFS($J$6:$J$1916,J1278,$K$6:$K$1916,"&lt;"&amp;K1278)+1,"-")</f>
        <v>6</v>
      </c>
      <c r="I1278" s="64" t="str">
        <f aca="false">IF('Onshore - Brisbane'!E271="","Harga belum tersedia - hubungi konsultan TEG",IF(M1278=2,"Saat ini tidak menerima pendaftaran siswa internasional baru",IF(M1278=1,"Program perlu dikonfirmasi ketersediaannya"&amp;IF(""="","","; "&amp;""),"")))</f>
        <v>Program perlu dikonfirmasi ketersediaannya</v>
      </c>
      <c r="J1278" s="0" t="s">
        <v>4318</v>
      </c>
      <c r="K1278" s="0" t="n">
        <f aca="false">IF(M1278=2,"",IF(ISNUMBER(SEARCH("rata-rata:",'Onshore - Brisbane'!M271)),VALUE(MID('Onshore - Brisbane'!M271,SEARCH("rata-rata:",'Onshore - Brisbane'!M271)+11,FIND(";",'Onshore - Brisbane'!M271&amp;";",SEARCH("rata-rata:",'Onshore - Brisbane'!M271))-SEARCH("rata-rata:",'Onshore - Brisbane'!M271)-11)),IF('Onshore - Brisbane'!D271="Semester",'Onshore - Brisbane'!E271*2,IF('Onshore - Brisbane'!D271="Trimester",'Onshore - Brisbane'!E271*3,IF('Onshore - Brisbane'!D271="Term",'Onshore - Brisbane'!E271*4,IF('Onshore - Brisbane'!D271="Unit",'Onshore - Brisbane'!E271*8,""))))))</f>
        <v>28022.4</v>
      </c>
      <c r="L1278" s="0" t="n">
        <f aca="false">IF(AND(ISNUMBER('Onshore - Brisbane'!E271),ISNUMBER(K1278),ISNUMBER('Onshore - Brisbane'!F271),ISNUMBER('Onshore - Brisbane'!G271),OR('Onshore - Brisbane'!F271&lt;&gt;0,ISNUMBER(SEARCH("Material 0 terverifikasi",'Onshore - Brisbane'!M271))),OR('Onshore - Brisbane'!G271&lt;&gt;0,ISNUMBER(SEARCH("Enrolment 0 terverifikasi",'Onshore - Brisbane'!M271)))),1,0)</f>
        <v>0</v>
      </c>
      <c r="M1278" s="0" t="n">
        <f aca="false">IF(OR('Onshore - Brisbane'!E271="",ISNUMBER(SEARCH("BSB80120",'Onshore - Brisbane'!B271&amp;'Onshore - Brisbane'!M271)),ISNUMBER(SEARCH("Management (Learning)",'Onshore - Brisbane'!B271))),2,IF(ISNUMBER(SEARCH("CEK:",'Onshore - Brisbane'!M271)),1,0))</f>
        <v>1</v>
      </c>
    </row>
    <row r="1279" customFormat="false" ht="15" hidden="false" customHeight="false" outlineLevel="0" collapsed="false">
      <c r="A1279" s="61" t="s">
        <v>4319</v>
      </c>
      <c r="B1279" s="62"/>
      <c r="C1279" s="62"/>
      <c r="D1279" s="62"/>
      <c r="E1279" s="62"/>
      <c r="F1279" s="62"/>
      <c r="G1279" s="62"/>
      <c r="H1279" s="62"/>
      <c r="I1279" s="62"/>
    </row>
    <row r="1280" customFormat="false" ht="15" hidden="false" customHeight="false" outlineLevel="0" collapsed="false">
      <c r="A1280" s="63" t="s">
        <v>3563</v>
      </c>
      <c r="B1280" s="64" t="s">
        <v>4297</v>
      </c>
      <c r="C1280" s="63" t="s">
        <v>43</v>
      </c>
      <c r="D1280" s="64" t="str">
        <f aca="false">TRIM(LEFT('Onshore - Brisbane'!A264,FIND(CHAR(10),'Onshore - Brisbane'!A264&amp;CHAR(10))-1))</f>
        <v>Le Cordon Bleu Australia</v>
      </c>
      <c r="E1280" s="63" t="str">
        <f aca="false">'Onshore - Brisbane'!C272&amp;""</f>
        <v>3 years</v>
      </c>
      <c r="F1280" s="63" t="str">
        <f aca="false">IF('Onshore - Brisbane'!D272="","Belum tercatat",'Onshore - Brisbane'!D272)</f>
        <v>Term</v>
      </c>
      <c r="G1280" s="65" t="n">
        <f aca="false">IF('Onshore - Brisbane'!E272="","-",'Onshore - Brisbane'!E272)</f>
        <v>5688.58</v>
      </c>
      <c r="H1280" s="63" t="n">
        <f aca="false">IF(ISNUMBER(K1280),COUNTIFS($J$6:$J$1916,J1280,$K$6:$K$1916,"&lt;"&amp;K1280)+1,"-")</f>
        <v>1</v>
      </c>
      <c r="I1280" s="64" t="str">
        <f aca="false">IF('Onshore - Brisbane'!E272="","Harga belum tersedia - hubungi konsultan TEG",IF(M1280=2,"Saat ini tidak menerima pendaftaran siswa internasional baru",IF(M1280=1,"Program perlu dikonfirmasi ketersediaannya"&amp;IF(""="","","; "&amp;""),"")))</f>
        <v>Program perlu dikonfirmasi ketersediaannya</v>
      </c>
      <c r="J1280" s="0" t="s">
        <v>4320</v>
      </c>
      <c r="K1280" s="0" t="n">
        <f aca="false">IF(M1280=2,"",IF(ISNUMBER(SEARCH("rata-rata:",'Onshore - Brisbane'!M272)),VALUE(MID('Onshore - Brisbane'!M272,SEARCH("rata-rata:",'Onshore - Brisbane'!M272)+11,FIND(";",'Onshore - Brisbane'!M272&amp;";",SEARCH("rata-rata:",'Onshore - Brisbane'!M272))-SEARCH("rata-rata:",'Onshore - Brisbane'!M272)-11)),IF('Onshore - Brisbane'!D272="Semester",'Onshore - Brisbane'!E272*2,IF('Onshore - Brisbane'!D272="Trimester",'Onshore - Brisbane'!E272*3,IF('Onshore - Brisbane'!D272="Term",'Onshore - Brisbane'!E272*4,IF('Onshore - Brisbane'!D272="Unit",'Onshore - Brisbane'!E272*8,""))))))</f>
        <v>22754.32</v>
      </c>
      <c r="L1280" s="0" t="n">
        <f aca="false">IF(AND(ISNUMBER('Onshore - Brisbane'!E272),ISNUMBER(K1280),ISNUMBER('Onshore - Brisbane'!F272),ISNUMBER('Onshore - Brisbane'!G272),OR('Onshore - Brisbane'!F272&lt;&gt;0,ISNUMBER(SEARCH("Material 0 terverifikasi",'Onshore - Brisbane'!M272))),OR('Onshore - Brisbane'!G272&lt;&gt;0,ISNUMBER(SEARCH("Enrolment 0 terverifikasi",'Onshore - Brisbane'!M272)))),1,0)</f>
        <v>0</v>
      </c>
      <c r="M1280" s="0" t="n">
        <f aca="false">IF(OR('Onshore - Brisbane'!E272="",ISNUMBER(SEARCH("BSB80120",'Onshore - Brisbane'!B272&amp;'Onshore - Brisbane'!M272)),ISNUMBER(SEARCH("Management (Learning)",'Onshore - Brisbane'!B272))),2,IF(ISNUMBER(SEARCH("CEK:",'Onshore - Brisbane'!M272)),1,0))</f>
        <v>1</v>
      </c>
    </row>
    <row r="1281" customFormat="false" ht="15" hidden="false" customHeight="false" outlineLevel="0" collapsed="false">
      <c r="A1281" s="61" t="s">
        <v>4321</v>
      </c>
      <c r="B1281" s="62"/>
      <c r="C1281" s="62"/>
      <c r="D1281" s="62"/>
      <c r="E1281" s="62"/>
      <c r="F1281" s="62"/>
      <c r="G1281" s="62"/>
      <c r="H1281" s="62"/>
      <c r="I1281" s="62"/>
    </row>
    <row r="1282" customFormat="false" ht="15" hidden="false" customHeight="false" outlineLevel="0" collapsed="false">
      <c r="A1282" s="63" t="s">
        <v>3563</v>
      </c>
      <c r="B1282" s="64" t="s">
        <v>4297</v>
      </c>
      <c r="C1282" s="63" t="s">
        <v>46</v>
      </c>
      <c r="D1282" s="64" t="str">
        <f aca="false">TRIM(LEFT('Onshore - Brisbane'!A264,FIND(CHAR(10),'Onshore - Brisbane'!A264&amp;CHAR(10))-1))</f>
        <v>Le Cordon Bleu Australia</v>
      </c>
      <c r="E1282" s="63" t="str">
        <f aca="false">'Onshore - Brisbane'!C274&amp;""</f>
        <v>2 years</v>
      </c>
      <c r="F1282" s="63" t="str">
        <f aca="false">IF('Onshore - Brisbane'!D274="","Belum tercatat",'Onshore - Brisbane'!D274)</f>
        <v>Term</v>
      </c>
      <c r="G1282" s="65" t="n">
        <f aca="false">IF('Onshore - Brisbane'!E274="","-",'Onshore - Brisbane'!E274)</f>
        <v>6818.75</v>
      </c>
      <c r="H1282" s="63" t="n">
        <f aca="false">IF(ISNUMBER(K1282),COUNTIFS($J$6:$J$1916,J1282,$K$6:$K$1916,"&lt;"&amp;K1282)+1,"-")</f>
        <v>1</v>
      </c>
      <c r="I1282" s="64" t="str">
        <f aca="false">IF('Onshore - Brisbane'!E274="","Harga belum tersedia - hubungi konsultan TEG",IF(M1282=2,"Saat ini tidak menerima pendaftaran siswa internasional baru",IF(M1282=1,"Program perlu dikonfirmasi ketersediaannya"&amp;IF(""="","","; "&amp;""),"")))</f>
        <v>Program perlu dikonfirmasi ketersediaannya</v>
      </c>
      <c r="J1282" s="0" t="s">
        <v>4322</v>
      </c>
      <c r="K1282" s="0" t="n">
        <f aca="false">IF(M1282=2,"",IF(ISNUMBER(SEARCH("rata-rata:",'Onshore - Brisbane'!M274)),VALUE(MID('Onshore - Brisbane'!M274,SEARCH("rata-rata:",'Onshore - Brisbane'!M274)+11,FIND(";",'Onshore - Brisbane'!M274&amp;";",SEARCH("rata-rata:",'Onshore - Brisbane'!M274))-SEARCH("rata-rata:",'Onshore - Brisbane'!M274)-11)),IF('Onshore - Brisbane'!D274="Semester",'Onshore - Brisbane'!E274*2,IF('Onshore - Brisbane'!D274="Trimester",'Onshore - Brisbane'!E274*3,IF('Onshore - Brisbane'!D274="Term",'Onshore - Brisbane'!E274*4,IF('Onshore - Brisbane'!D274="Unit",'Onshore - Brisbane'!E274*8,""))))))</f>
        <v>27275</v>
      </c>
      <c r="L1282" s="0" t="n">
        <f aca="false">IF(AND(ISNUMBER('Onshore - Brisbane'!E274),ISNUMBER(K1282),ISNUMBER('Onshore - Brisbane'!F274),ISNUMBER('Onshore - Brisbane'!G274),OR('Onshore - Brisbane'!F274&lt;&gt;0,ISNUMBER(SEARCH("Material 0 terverifikasi",'Onshore - Brisbane'!M274))),OR('Onshore - Brisbane'!G274&lt;&gt;0,ISNUMBER(SEARCH("Enrolment 0 terverifikasi",'Onshore - Brisbane'!M274)))),1,0)</f>
        <v>0</v>
      </c>
      <c r="M1282" s="0" t="n">
        <f aca="false">IF(OR('Onshore - Brisbane'!E274="",ISNUMBER(SEARCH("BSB80120",'Onshore - Brisbane'!B274&amp;'Onshore - Brisbane'!M274)),ISNUMBER(SEARCH("Management (Learning)",'Onshore - Brisbane'!B274))),2,IF(ISNUMBER(SEARCH("CEK:",'Onshore - Brisbane'!M274)),1,0))</f>
        <v>1</v>
      </c>
    </row>
    <row r="1283" customFormat="false" ht="15" hidden="false" customHeight="false" outlineLevel="0" collapsed="false">
      <c r="A1283" s="61" t="s">
        <v>4323</v>
      </c>
      <c r="B1283" s="62"/>
      <c r="C1283" s="62"/>
      <c r="D1283" s="62"/>
      <c r="E1283" s="62"/>
      <c r="F1283" s="62"/>
      <c r="G1283" s="62"/>
      <c r="H1283" s="62"/>
      <c r="I1283" s="62"/>
    </row>
    <row r="1284" customFormat="false" ht="15" hidden="false" customHeight="false" outlineLevel="0" collapsed="false">
      <c r="A1284" s="63" t="s">
        <v>3718</v>
      </c>
      <c r="B1284" s="64" t="s">
        <v>4297</v>
      </c>
      <c r="C1284" s="63" t="s">
        <v>40</v>
      </c>
      <c r="D1284" s="64" t="str">
        <f aca="false">TRIM(LEFT('Onshore - Canberra'!A143,FIND(CHAR(10),'Onshore - Canberra'!A143&amp;CHAR(10))-1))</f>
        <v>Mid City College</v>
      </c>
      <c r="E1284" s="63" t="str">
        <f aca="false">'Onshore - Canberra'!C143&amp;""</f>
        <v>1.5 years</v>
      </c>
      <c r="F1284" s="63" t="str">
        <f aca="false">IF('Onshore - Canberra'!D143="","Belum tercatat",'Onshore - Canberra'!D143)</f>
        <v>Term</v>
      </c>
      <c r="G1284" s="65" t="n">
        <f aca="false">IF('Onshore - Canberra'!E143="","-",'Onshore - Canberra'!E143)</f>
        <v>2750</v>
      </c>
      <c r="H1284" s="63" t="n">
        <f aca="false">IF(ISNUMBER(K1284),COUNTIFS($J$6:$J$1916,J1284,$K$6:$K$1916,"&lt;"&amp;K1284)+1,"-")</f>
        <v>1</v>
      </c>
      <c r="I1284" s="64" t="str">
        <f aca="false">IF('Onshore - Canberra'!E143="","Harga belum tersedia - hubungi konsultan TEG",IF(M1284=2,"Saat ini tidak menerima pendaftaran siswa internasional baru",IF(M1284=1,"Harga perlu dikonfirmasi ke sekolah"&amp;IF(""="","","; "&amp;""),"")))</f>
        <v/>
      </c>
      <c r="J1284" s="0" t="s">
        <v>4324</v>
      </c>
      <c r="K1284" s="0" t="n">
        <f aca="false">IF(M1284=2,"",IF(ISNUMBER(SEARCH("rata-rata:",'Onshore - Canberra'!M143)),VALUE(MID('Onshore - Canberra'!M143,SEARCH("rata-rata:",'Onshore - Canberra'!M143)+11,FIND(";",'Onshore - Canberra'!M143&amp;";",SEARCH("rata-rata:",'Onshore - Canberra'!M143))-SEARCH("rata-rata:",'Onshore - Canberra'!M143)-11)),IF('Onshore - Canberra'!D143="Semester",'Onshore - Canberra'!E143*2,IF('Onshore - Canberra'!D143="Trimester",'Onshore - Canberra'!E143*3,IF('Onshore - Canberra'!D143="Term",'Onshore - Canberra'!E143*4,IF('Onshore - Canberra'!D143="Unit",'Onshore - Canberra'!E143*8,""))))))</f>
        <v>11000</v>
      </c>
      <c r="L1284" s="0" t="n">
        <f aca="false">IF(AND(ISNUMBER('Onshore - Canberra'!E143),ISNUMBER(K1284),ISNUMBER('Onshore - Canberra'!F143),ISNUMBER('Onshore - Canberra'!G143),OR('Onshore - Canberra'!F143&lt;&gt;0,ISNUMBER(SEARCH("Material 0 terverifikasi",'Onshore - Canberra'!M143))),OR('Onshore - Canberra'!G143&lt;&gt;0,ISNUMBER(SEARCH("Enrolment 0 terverifikasi",'Onshore - Canberra'!M143)))),1,0)</f>
        <v>1</v>
      </c>
      <c r="M1284" s="0" t="n">
        <f aca="false">IF(OR('Onshore - Canberra'!E143="",ISNUMBER(SEARCH("BSB80120",'Onshore - Canberra'!B143&amp;'Onshore - Canberra'!M143)),ISNUMBER(SEARCH("Management (Learning)",'Onshore - Canberra'!B143))),2,IF(ISNUMBER(SEARCH("CEK:",'Onshore - Canberra'!M143)),1,0))</f>
        <v>0</v>
      </c>
    </row>
    <row r="1285" customFormat="false" ht="15" hidden="false" customHeight="false" outlineLevel="0" collapsed="false">
      <c r="A1285" s="63" t="s">
        <v>3718</v>
      </c>
      <c r="B1285" s="64" t="s">
        <v>4297</v>
      </c>
      <c r="C1285" s="63" t="s">
        <v>40</v>
      </c>
      <c r="D1285" s="64" t="str">
        <f aca="false">TRIM(LEFT('Onshore - Canberra'!A113,FIND(CHAR(10),'Onshore - Canberra'!A113&amp;CHAR(10))-1))</f>
        <v>Capital College</v>
      </c>
      <c r="E1285" s="63" t="str">
        <f aca="false">'Onshore - Canberra'!C114&amp;""</f>
        <v>1,5 years</v>
      </c>
      <c r="F1285" s="63" t="str">
        <f aca="false">IF('Onshore - Canberra'!D114="","Belum tercatat",'Onshore - Canberra'!D114)</f>
        <v>Term</v>
      </c>
      <c r="G1285" s="65" t="n">
        <f aca="false">IF('Onshore - Canberra'!E114="","-",'Onshore - Canberra'!E114)</f>
        <v>3041</v>
      </c>
      <c r="H1285" s="63" t="n">
        <f aca="false">IF(ISNUMBER(K1285),COUNTIFS($J$6:$J$1916,J1285,$K$6:$K$1916,"&lt;"&amp;K1285)+1,"-")</f>
        <v>2</v>
      </c>
      <c r="I1285" s="64" t="str">
        <f aca="false">IF('Onshore - Canberra'!E114="","Harga belum tersedia - hubungi konsultan TEG",IF(M1285=2,"Saat ini tidak menerima pendaftaran siswa internasional baru",IF(M1285=1,"Harga perlu dikonfirmasi ke sekolah"&amp;IF(""="","","; "&amp;""),"")))</f>
        <v>Harga perlu dikonfirmasi ke sekolah</v>
      </c>
      <c r="J1285" s="0" t="s">
        <v>4324</v>
      </c>
      <c r="K1285" s="0" t="n">
        <f aca="false">IF(M1285=2,"",IF(ISNUMBER(SEARCH("rata-rata:",'Onshore - Canberra'!M114)),VALUE(MID('Onshore - Canberra'!M114,SEARCH("rata-rata:",'Onshore - Canberra'!M114)+11,FIND(";",'Onshore - Canberra'!M114&amp;";",SEARCH("rata-rata:",'Onshore - Canberra'!M114))-SEARCH("rata-rata:",'Onshore - Canberra'!M114)-11)),IF('Onshore - Canberra'!D114="Semester",'Onshore - Canberra'!E114*2,IF('Onshore - Canberra'!D114="Trimester",'Onshore - Canberra'!E114*3,IF('Onshore - Canberra'!D114="Term",'Onshore - Canberra'!E114*4,IF('Onshore - Canberra'!D114="Unit",'Onshore - Canberra'!E114*8,""))))))</f>
        <v>12164</v>
      </c>
      <c r="L1285" s="0" t="n">
        <f aca="false">IF(AND(ISNUMBER('Onshore - Canberra'!E114),ISNUMBER(K1285),ISNUMBER('Onshore - Canberra'!F114),ISNUMBER('Onshore - Canberra'!G114),OR('Onshore - Canberra'!F114&lt;&gt;0,ISNUMBER(SEARCH("Material 0 terverifikasi",'Onshore - Canberra'!M114))),OR('Onshore - Canberra'!G114&lt;&gt;0,ISNUMBER(SEARCH("Enrolment 0 terverifikasi",'Onshore - Canberra'!M114)))),1,0)</f>
        <v>1</v>
      </c>
      <c r="M1285" s="0" t="n">
        <f aca="false">IF(OR('Onshore - Canberra'!E114="",ISNUMBER(SEARCH("BSB80120",'Onshore - Canberra'!B114&amp;'Onshore - Canberra'!M114)),ISNUMBER(SEARCH("Management (Learning)",'Onshore - Canberra'!B114))),2,IF(ISNUMBER(SEARCH("CEK:",'Onshore - Canberra'!M114)),1,0))</f>
        <v>1</v>
      </c>
    </row>
    <row r="1286" customFormat="false" ht="15" hidden="false" customHeight="false" outlineLevel="0" collapsed="false">
      <c r="A1286" s="61" t="s">
        <v>4325</v>
      </c>
      <c r="B1286" s="62"/>
      <c r="C1286" s="62"/>
      <c r="D1286" s="62"/>
      <c r="E1286" s="62"/>
      <c r="F1286" s="62"/>
      <c r="G1286" s="62"/>
      <c r="H1286" s="62"/>
      <c r="I1286" s="62"/>
    </row>
    <row r="1287" customFormat="false" ht="28.35" hidden="false" customHeight="false" outlineLevel="0" collapsed="false">
      <c r="A1287" s="63" t="s">
        <v>3718</v>
      </c>
      <c r="B1287" s="64" t="s">
        <v>4297</v>
      </c>
      <c r="C1287" s="63" t="s">
        <v>41</v>
      </c>
      <c r="D1287" s="64" t="str">
        <f aca="false">TRIM(LEFT('Onshore - Canberra'!A140,FIND(CHAR(10),'Onshore - Canberra'!A140&amp;CHAR(10))-1))</f>
        <v>Institute of Vision and Business &amp; Technology (IVBT)</v>
      </c>
      <c r="E1287" s="63" t="str">
        <f aca="false">'Onshore - Canberra'!C140&amp;""</f>
        <v>2 years</v>
      </c>
      <c r="F1287" s="63" t="str">
        <f aca="false">IF('Onshore - Canberra'!D140="","Belum tercatat",'Onshore - Canberra'!D140)</f>
        <v>Term</v>
      </c>
      <c r="G1287" s="65" t="n">
        <f aca="false">IF('Onshore - Canberra'!E140="","-",'Onshore - Canberra'!E140)</f>
        <v>1950</v>
      </c>
      <c r="H1287" s="63" t="n">
        <f aca="false">IF(ISNUMBER(K1287),COUNTIFS($J$6:$J$1916,J1287,$K$6:$K$1916,"&lt;"&amp;K1287)+1,"-")</f>
        <v>1</v>
      </c>
      <c r="I1287" s="64" t="str">
        <f aca="false">IF('Onshore - Canberra'!E140="","Harga belum tersedia - hubungi konsultan TEG",IF(M1287=2,"Saat ini tidak menerima pendaftaran siswa internasional baru",IF(M1287=1,"Harga perlu dikonfirmasi ke sekolah"&amp;IF(""="","","; "&amp;""),"")))</f>
        <v>Harga perlu dikonfirmasi ke sekolah</v>
      </c>
      <c r="J1287" s="0" t="s">
        <v>4326</v>
      </c>
      <c r="K1287" s="0" t="n">
        <f aca="false">IF(M1287=2,"",IF(ISNUMBER(SEARCH("rata-rata:",'Onshore - Canberra'!M140)),VALUE(MID('Onshore - Canberra'!M140,SEARCH("rata-rata:",'Onshore - Canberra'!M140)+11,FIND(";",'Onshore - Canberra'!M140&amp;";",SEARCH("rata-rata:",'Onshore - Canberra'!M140))-SEARCH("rata-rata:",'Onshore - Canberra'!M140)-11)),IF('Onshore - Canberra'!D140="Semester",'Onshore - Canberra'!E140*2,IF('Onshore - Canberra'!D140="Trimester",'Onshore - Canberra'!E140*3,IF('Onshore - Canberra'!D140="Term",'Onshore - Canberra'!E140*4,IF('Onshore - Canberra'!D140="Unit",'Onshore - Canberra'!E140*8,""))))))</f>
        <v>7800</v>
      </c>
      <c r="L1287" s="0" t="n">
        <f aca="false">IF(AND(ISNUMBER('Onshore - Canberra'!E140),ISNUMBER(K1287),ISNUMBER('Onshore - Canberra'!F140),ISNUMBER('Onshore - Canberra'!G140),OR('Onshore - Canberra'!F140&lt;&gt;0,ISNUMBER(SEARCH("Material 0 terverifikasi",'Onshore - Canberra'!M140))),OR('Onshore - Canberra'!G140&lt;&gt;0,ISNUMBER(SEARCH("Enrolment 0 terverifikasi",'Onshore - Canberra'!M140)))),1,0)</f>
        <v>1</v>
      </c>
      <c r="M1287" s="0" t="n">
        <f aca="false">IF(OR('Onshore - Canberra'!E140="",ISNUMBER(SEARCH("BSB80120",'Onshore - Canberra'!B140&amp;'Onshore - Canberra'!M140)),ISNUMBER(SEARCH("Management (Learning)",'Onshore - Canberra'!B140))),2,IF(ISNUMBER(SEARCH("CEK:",'Onshore - Canberra'!M140)),1,0))</f>
        <v>1</v>
      </c>
    </row>
    <row r="1288" customFormat="false" ht="15" hidden="false" customHeight="false" outlineLevel="0" collapsed="false">
      <c r="A1288" s="63" t="s">
        <v>3718</v>
      </c>
      <c r="B1288" s="64" t="s">
        <v>4297</v>
      </c>
      <c r="C1288" s="63" t="s">
        <v>41</v>
      </c>
      <c r="D1288" s="64" t="str">
        <f aca="false">TRIM(LEFT('Onshore - Canberra'!A143,FIND(CHAR(10),'Onshore - Canberra'!A143&amp;CHAR(10))-1))</f>
        <v>Mid City College</v>
      </c>
      <c r="E1288" s="63" t="str">
        <f aca="false">'Onshore - Canberra'!C144&amp;""</f>
        <v>2 years</v>
      </c>
      <c r="F1288" s="63" t="str">
        <f aca="false">IF('Onshore - Canberra'!D144="","Belum tercatat",'Onshore - Canberra'!D144)</f>
        <v>Term</v>
      </c>
      <c r="G1288" s="65" t="n">
        <f aca="false">IF('Onshore - Canberra'!E144="","-",'Onshore - Canberra'!E144)</f>
        <v>2063</v>
      </c>
      <c r="H1288" s="63" t="n">
        <f aca="false">IF(ISNUMBER(K1288),COUNTIFS($J$6:$J$1916,J1288,$K$6:$K$1916,"&lt;"&amp;K1288)+1,"-")</f>
        <v>2</v>
      </c>
      <c r="I1288" s="64" t="str">
        <f aca="false">IF('Onshore - Canberra'!E144="","Harga belum tersedia - hubungi konsultan TEG",IF(M1288=2,"Saat ini tidak menerima pendaftaran siswa internasional baru",IF(M1288=1,"Harga perlu dikonfirmasi ke sekolah"&amp;IF(""="","","; "&amp;""),"")))</f>
        <v/>
      </c>
      <c r="J1288" s="0" t="s">
        <v>4326</v>
      </c>
      <c r="K1288" s="0" t="n">
        <f aca="false">IF(M1288=2,"",IF(ISNUMBER(SEARCH("rata-rata:",'Onshore - Canberra'!M144)),VALUE(MID('Onshore - Canberra'!M144,SEARCH("rata-rata:",'Onshore - Canberra'!M144)+11,FIND(";",'Onshore - Canberra'!M144&amp;";",SEARCH("rata-rata:",'Onshore - Canberra'!M144))-SEARCH("rata-rata:",'Onshore - Canberra'!M144)-11)),IF('Onshore - Canberra'!D144="Semester",'Onshore - Canberra'!E144*2,IF('Onshore - Canberra'!D144="Trimester",'Onshore - Canberra'!E144*3,IF('Onshore - Canberra'!D144="Term",'Onshore - Canberra'!E144*4,IF('Onshore - Canberra'!D144="Unit",'Onshore - Canberra'!E144*8,""))))))</f>
        <v>8252</v>
      </c>
      <c r="L1288" s="0" t="n">
        <f aca="false">IF(AND(ISNUMBER('Onshore - Canberra'!E144),ISNUMBER(K1288),ISNUMBER('Onshore - Canberra'!F144),ISNUMBER('Onshore - Canberra'!G144),OR('Onshore - Canberra'!F144&lt;&gt;0,ISNUMBER(SEARCH("Material 0 terverifikasi",'Onshore - Canberra'!M144))),OR('Onshore - Canberra'!G144&lt;&gt;0,ISNUMBER(SEARCH("Enrolment 0 terverifikasi",'Onshore - Canberra'!M144)))),1,0)</f>
        <v>1</v>
      </c>
      <c r="M1288" s="0" t="n">
        <f aca="false">IF(OR('Onshore - Canberra'!E144="",ISNUMBER(SEARCH("BSB80120",'Onshore - Canberra'!B144&amp;'Onshore - Canberra'!M144)),ISNUMBER(SEARCH("Management (Learning)",'Onshore - Canberra'!B144))),2,IF(ISNUMBER(SEARCH("CEK:",'Onshore - Canberra'!M144)),1,0))</f>
        <v>0</v>
      </c>
    </row>
    <row r="1289" customFormat="false" ht="15" hidden="false" customHeight="false" outlineLevel="0" collapsed="false">
      <c r="A1289" s="63" t="s">
        <v>3718</v>
      </c>
      <c r="B1289" s="64" t="s">
        <v>4297</v>
      </c>
      <c r="C1289" s="63" t="s">
        <v>41</v>
      </c>
      <c r="D1289" s="64" t="str">
        <f aca="false">TRIM(LEFT('Onshore - Canberra'!A152,FIND(CHAR(10),'Onshore - Canberra'!A152&amp;CHAR(10))-1))</f>
        <v>Opulence College</v>
      </c>
      <c r="E1289" s="63" t="str">
        <f aca="false">'Onshore - Canberra'!C153&amp;""</f>
        <v>2 years</v>
      </c>
      <c r="F1289" s="63" t="str">
        <f aca="false">IF('Onshore - Canberra'!D153="","Belum tercatat",'Onshore - Canberra'!D153)</f>
        <v>Term</v>
      </c>
      <c r="G1289" s="65" t="n">
        <f aca="false">IF('Onshore - Canberra'!E153="","-",'Onshore - Canberra'!E153)</f>
        <v>2315</v>
      </c>
      <c r="H1289" s="63" t="n">
        <f aca="false">IF(ISNUMBER(K1289),COUNTIFS($J$6:$J$1916,J1289,$K$6:$K$1916,"&lt;"&amp;K1289)+1,"-")</f>
        <v>3</v>
      </c>
      <c r="I1289" s="64" t="str">
        <f aca="false">IF('Onshore - Canberra'!E153="","Harga belum tersedia - hubungi konsultan TEG",IF(M1289=2,"Saat ini tidak menerima pendaftaran siswa internasional baru",IF(M1289=1,"Harga perlu dikonfirmasi ke sekolah"&amp;IF(""="","","; "&amp;""),"")))</f>
        <v/>
      </c>
      <c r="J1289" s="0" t="s">
        <v>4326</v>
      </c>
      <c r="K1289" s="0" t="n">
        <f aca="false">IF(M1289=2,"",IF(ISNUMBER(SEARCH("rata-rata:",'Onshore - Canberra'!M153)),VALUE(MID('Onshore - Canberra'!M153,SEARCH("rata-rata:",'Onshore - Canberra'!M153)+11,FIND(";",'Onshore - Canberra'!M153&amp;";",SEARCH("rata-rata:",'Onshore - Canberra'!M153))-SEARCH("rata-rata:",'Onshore - Canberra'!M153)-11)),IF('Onshore - Canberra'!D153="Semester",'Onshore - Canberra'!E153*2,IF('Onshore - Canberra'!D153="Trimester",'Onshore - Canberra'!E153*3,IF('Onshore - Canberra'!D153="Term",'Onshore - Canberra'!E153*4,IF('Onshore - Canberra'!D153="Unit",'Onshore - Canberra'!E153*8,""))))))</f>
        <v>9260</v>
      </c>
      <c r="L1289" s="0" t="n">
        <f aca="false">IF(AND(ISNUMBER('Onshore - Canberra'!E153),ISNUMBER(K1289),ISNUMBER('Onshore - Canberra'!F153),ISNUMBER('Onshore - Canberra'!G153),OR('Onshore - Canberra'!F153&lt;&gt;0,ISNUMBER(SEARCH("Material 0 terverifikasi",'Onshore - Canberra'!M153))),OR('Onshore - Canberra'!G153&lt;&gt;0,ISNUMBER(SEARCH("Enrolment 0 terverifikasi",'Onshore - Canberra'!M153)))),1,0)</f>
        <v>1</v>
      </c>
      <c r="M1289" s="0" t="n">
        <f aca="false">IF(OR('Onshore - Canberra'!E153="",ISNUMBER(SEARCH("BSB80120",'Onshore - Canberra'!B153&amp;'Onshore - Canberra'!M153)),ISNUMBER(SEARCH("Management (Learning)",'Onshore - Canberra'!B153))),2,IF(ISNUMBER(SEARCH("CEK:",'Onshore - Canberra'!M153)),1,0))</f>
        <v>0</v>
      </c>
    </row>
    <row r="1290" customFormat="false" ht="15" hidden="false" customHeight="false" outlineLevel="0" collapsed="false">
      <c r="A1290" s="63" t="s">
        <v>3718</v>
      </c>
      <c r="B1290" s="64" t="s">
        <v>4297</v>
      </c>
      <c r="C1290" s="63" t="s">
        <v>41</v>
      </c>
      <c r="D1290" s="64" t="str">
        <f aca="false">TRIM(LEFT('Onshore - Canberra'!A113,FIND(CHAR(10),'Onshore - Canberra'!A113&amp;CHAR(10))-1))</f>
        <v>Capital College</v>
      </c>
      <c r="E1290" s="63" t="str">
        <f aca="false">'Onshore - Canberra'!C115&amp;""</f>
        <v>2 years</v>
      </c>
      <c r="F1290" s="63" t="str">
        <f aca="false">IF('Onshore - Canberra'!D115="","Belum tercatat",'Onshore - Canberra'!D115)</f>
        <v>Term</v>
      </c>
      <c r="G1290" s="65" t="n">
        <f aca="false">IF('Onshore - Canberra'!E115="","-",'Onshore - Canberra'!E115)</f>
        <v>3032</v>
      </c>
      <c r="H1290" s="63" t="n">
        <f aca="false">IF(ISNUMBER(K1290),COUNTIFS($J$6:$J$1916,J1290,$K$6:$K$1916,"&lt;"&amp;K1290)+1,"-")</f>
        <v>4</v>
      </c>
      <c r="I1290" s="64" t="str">
        <f aca="false">IF('Onshore - Canberra'!E115="","Harga belum tersedia - hubungi konsultan TEG",IF(M1290=2,"Saat ini tidak menerima pendaftaran siswa internasional baru",IF(M1290=1,"Harga perlu dikonfirmasi ke sekolah"&amp;IF(""="","","; "&amp;""),"")))</f>
        <v>Harga perlu dikonfirmasi ke sekolah</v>
      </c>
      <c r="J1290" s="0" t="s">
        <v>4326</v>
      </c>
      <c r="K1290" s="0" t="n">
        <f aca="false">IF(M1290=2,"",IF(ISNUMBER(SEARCH("rata-rata:",'Onshore - Canberra'!M115)),VALUE(MID('Onshore - Canberra'!M115,SEARCH("rata-rata:",'Onshore - Canberra'!M115)+11,FIND(";",'Onshore - Canberra'!M115&amp;";",SEARCH("rata-rata:",'Onshore - Canberra'!M115))-SEARCH("rata-rata:",'Onshore - Canberra'!M115)-11)),IF('Onshore - Canberra'!D115="Semester",'Onshore - Canberra'!E115*2,IF('Onshore - Canberra'!D115="Trimester",'Onshore - Canberra'!E115*3,IF('Onshore - Canberra'!D115="Term",'Onshore - Canberra'!E115*4,IF('Onshore - Canberra'!D115="Unit",'Onshore - Canberra'!E115*8,""))))))</f>
        <v>12128</v>
      </c>
      <c r="L1290" s="0" t="n">
        <f aca="false">IF(AND(ISNUMBER('Onshore - Canberra'!E115),ISNUMBER(K1290),ISNUMBER('Onshore - Canberra'!F115),ISNUMBER('Onshore - Canberra'!G115),OR('Onshore - Canberra'!F115&lt;&gt;0,ISNUMBER(SEARCH("Material 0 terverifikasi",'Onshore - Canberra'!M115))),OR('Onshore - Canberra'!G115&lt;&gt;0,ISNUMBER(SEARCH("Enrolment 0 terverifikasi",'Onshore - Canberra'!M115)))),1,0)</f>
        <v>1</v>
      </c>
      <c r="M1290" s="0" t="n">
        <f aca="false">IF(OR('Onshore - Canberra'!E115="",ISNUMBER(SEARCH("BSB80120",'Onshore - Canberra'!B115&amp;'Onshore - Canberra'!M115)),ISNUMBER(SEARCH("Management (Learning)",'Onshore - Canberra'!B115))),2,IF(ISNUMBER(SEARCH("CEK:",'Onshore - Canberra'!M115)),1,0))</f>
        <v>1</v>
      </c>
    </row>
    <row r="1291" customFormat="false" ht="15" hidden="false" customHeight="false" outlineLevel="0" collapsed="false">
      <c r="A1291" s="61" t="s">
        <v>4327</v>
      </c>
      <c r="B1291" s="62"/>
      <c r="C1291" s="62"/>
      <c r="D1291" s="62"/>
      <c r="E1291" s="62"/>
      <c r="F1291" s="62"/>
      <c r="G1291" s="62"/>
      <c r="H1291" s="62"/>
      <c r="I1291" s="62"/>
    </row>
    <row r="1292" customFormat="false" ht="15" hidden="false" customHeight="false" outlineLevel="0" collapsed="false">
      <c r="A1292" s="63" t="s">
        <v>3718</v>
      </c>
      <c r="B1292" s="64" t="s">
        <v>4297</v>
      </c>
      <c r="C1292" s="63" t="s">
        <v>42</v>
      </c>
      <c r="D1292" s="64" t="str">
        <f aca="false">TRIM(LEFT('Onshore - Canberra'!A113,FIND(CHAR(10),'Onshore - Canberra'!A113&amp;CHAR(10))-1))</f>
        <v>Capital College</v>
      </c>
      <c r="E1292" s="63" t="str">
        <f aca="false">'Onshore - Canberra'!C118&amp;""</f>
        <v>2 years</v>
      </c>
      <c r="F1292" s="63" t="str">
        <f aca="false">IF('Onshore - Canberra'!D118="","Belum tercatat",'Onshore - Canberra'!D118)</f>
        <v>Term</v>
      </c>
      <c r="G1292" s="65" t="n">
        <f aca="false">IF('Onshore - Canberra'!E118="","-",'Onshore - Canberra'!E118)</f>
        <v>2500</v>
      </c>
      <c r="H1292" s="63" t="n">
        <f aca="false">IF(ISNUMBER(K1292),COUNTIFS($J$6:$J$1916,J1292,$K$6:$K$1916,"&lt;"&amp;K1292)+1,"-")</f>
        <v>1</v>
      </c>
      <c r="I1292" s="64" t="str">
        <f aca="false">IF('Onshore - Canberra'!E118="","Harga belum tersedia - hubungi konsultan TEG",IF(M1292=2,"Saat ini tidak menerima pendaftaran siswa internasional baru",IF(M1292=1,"Harga perlu dikonfirmasi ke sekolah"&amp;IF(""="","","; "&amp;""),"")))</f>
        <v>Harga perlu dikonfirmasi ke sekolah</v>
      </c>
      <c r="J1292" s="0" t="s">
        <v>4328</v>
      </c>
      <c r="K1292" s="0" t="n">
        <f aca="false">IF(M1292=2,"",IF(ISNUMBER(SEARCH("rata-rata:",'Onshore - Canberra'!M118)),VALUE(MID('Onshore - Canberra'!M118,SEARCH("rata-rata:",'Onshore - Canberra'!M118)+11,FIND(";",'Onshore - Canberra'!M118&amp;";",SEARCH("rata-rata:",'Onshore - Canberra'!M118))-SEARCH("rata-rata:",'Onshore - Canberra'!M118)-11)),IF('Onshore - Canberra'!D118="Semester",'Onshore - Canberra'!E118*2,IF('Onshore - Canberra'!D118="Trimester",'Onshore - Canberra'!E118*3,IF('Onshore - Canberra'!D118="Term",'Onshore - Canberra'!E118*4,IF('Onshore - Canberra'!D118="Unit",'Onshore - Canberra'!E118*8,""))))))</f>
        <v>10000</v>
      </c>
      <c r="L1292" s="0" t="n">
        <f aca="false">IF(AND(ISNUMBER('Onshore - Canberra'!E118),ISNUMBER(K1292),ISNUMBER('Onshore - Canberra'!F118),ISNUMBER('Onshore - Canberra'!G118),OR('Onshore - Canberra'!F118&lt;&gt;0,ISNUMBER(SEARCH("Material 0 terverifikasi",'Onshore - Canberra'!M118))),OR('Onshore - Canberra'!G118&lt;&gt;0,ISNUMBER(SEARCH("Enrolment 0 terverifikasi",'Onshore - Canberra'!M118)))),1,0)</f>
        <v>1</v>
      </c>
      <c r="M1292" s="0" t="n">
        <f aca="false">IF(OR('Onshore - Canberra'!E118="",ISNUMBER(SEARCH("BSB80120",'Onshore - Canberra'!B118&amp;'Onshore - Canberra'!M118)),ISNUMBER(SEARCH("Management (Learning)",'Onshore - Canberra'!B118))),2,IF(ISNUMBER(SEARCH("CEK:",'Onshore - Canberra'!M118)),1,0))</f>
        <v>1</v>
      </c>
    </row>
    <row r="1293" customFormat="false" ht="15" hidden="false" customHeight="false" outlineLevel="0" collapsed="false">
      <c r="A1293" s="61" t="s">
        <v>4634</v>
      </c>
      <c r="B1293" s="62"/>
      <c r="C1293" s="62"/>
      <c r="D1293" s="62"/>
      <c r="E1293" s="62"/>
      <c r="F1293" s="62"/>
      <c r="G1293" s="62"/>
      <c r="H1293" s="62"/>
      <c r="I1293" s="62"/>
    </row>
    <row r="1294" customFormat="false" ht="15" hidden="false" customHeight="false" outlineLevel="0" collapsed="false">
      <c r="A1294" s="63" t="s">
        <v>3718</v>
      </c>
      <c r="B1294" s="64" t="s">
        <v>4297</v>
      </c>
      <c r="C1294" s="63" t="s">
        <v>3707</v>
      </c>
      <c r="D1294" s="64" t="str">
        <f aca="false">TRIM(LEFT('Onshore - Canberra'!A113,FIND(CHAR(10),'Onshore - Canberra'!A113&amp;CHAR(10))-1))</f>
        <v>Capital College</v>
      </c>
      <c r="E1294" s="63" t="str">
        <f aca="false">'Onshore - Canberra'!C117&amp;""</f>
        <v>4 years</v>
      </c>
      <c r="F1294" s="63" t="str">
        <f aca="false">IF('Onshore - Canberra'!D117="","Belum tercatat",'Onshore - Canberra'!D117)</f>
        <v>Term</v>
      </c>
      <c r="G1294" s="65" t="n">
        <f aca="false">IF('Onshore - Canberra'!E117="","-",'Onshore - Canberra'!E117)</f>
        <v>2704</v>
      </c>
      <c r="H1294" s="63" t="n">
        <f aca="false">IF(ISNUMBER(K1294),COUNTIFS($J$6:$J$1916,J1294,$K$6:$K$1916,"&lt;"&amp;K1294)+1,"-")</f>
        <v>1</v>
      </c>
      <c r="I1294" s="64" t="str">
        <f aca="false">IF('Onshore - Canberra'!E117="","Harga belum tersedia - hubungi konsultan TEG",IF(M1294=2,"Saat ini tidak menerima pendaftaran siswa internasional baru",IF(M1294=1,"Harga perlu dikonfirmasi ke sekolah"&amp;IF(""="","","; "&amp;""),"")))</f>
        <v/>
      </c>
      <c r="J1294" s="0" t="s">
        <v>4635</v>
      </c>
      <c r="K1294" s="0" t="n">
        <f aca="false">IF(M1294=2,"",IF(ISNUMBER(SEARCH("rata-rata:",'Onshore - Canberra'!M117)),VALUE(MID('Onshore - Canberra'!M117,SEARCH("rata-rata:",'Onshore - Canberra'!M117)+11,FIND(";",'Onshore - Canberra'!M117&amp;";",SEARCH("rata-rata:",'Onshore - Canberra'!M117))-SEARCH("rata-rata:",'Onshore - Canberra'!M117)-11)),IF('Onshore - Canberra'!D117="Semester",'Onshore - Canberra'!E117*2,IF('Onshore - Canberra'!D117="Trimester",'Onshore - Canberra'!E117*3,IF('Onshore - Canberra'!D117="Term",'Onshore - Canberra'!E117*4,IF('Onshore - Canberra'!D117="Unit",'Onshore - Canberra'!E117*8,""))))))</f>
        <v>10816</v>
      </c>
      <c r="L1294" s="0" t="n">
        <f aca="false">IF(AND(ISNUMBER('Onshore - Canberra'!E117),ISNUMBER(K1294),ISNUMBER('Onshore - Canberra'!F117),ISNUMBER('Onshore - Canberra'!G117),OR('Onshore - Canberra'!F117&lt;&gt;0,ISNUMBER(SEARCH("Material 0 terverifikasi",'Onshore - Canberra'!M117))),OR('Onshore - Canberra'!G117&lt;&gt;0,ISNUMBER(SEARCH("Enrolment 0 terverifikasi",'Onshore - Canberra'!M117)))),1,0)</f>
        <v>1</v>
      </c>
      <c r="M1294" s="0" t="n">
        <f aca="false">IF(OR('Onshore - Canberra'!E117="",ISNUMBER(SEARCH("BSB80120",'Onshore - Canberra'!B117&amp;'Onshore - Canberra'!M117)),ISNUMBER(SEARCH("Management (Learning)",'Onshore - Canberra'!B117))),2,IF(ISNUMBER(SEARCH("CEK:",'Onshore - Canberra'!M117)),1,0))</f>
        <v>0</v>
      </c>
    </row>
    <row r="1295" customFormat="false" ht="15" hidden="false" customHeight="false" outlineLevel="0" collapsed="false">
      <c r="A1295" s="61" t="s">
        <v>4636</v>
      </c>
      <c r="B1295" s="62"/>
      <c r="C1295" s="62"/>
      <c r="D1295" s="62"/>
      <c r="E1295" s="62"/>
      <c r="F1295" s="62"/>
      <c r="G1295" s="62"/>
      <c r="H1295" s="62"/>
      <c r="I1295" s="62"/>
    </row>
    <row r="1296" customFormat="false" ht="15" hidden="false" customHeight="false" outlineLevel="0" collapsed="false">
      <c r="A1296" s="63" t="s">
        <v>3583</v>
      </c>
      <c r="B1296" s="64" t="s">
        <v>4297</v>
      </c>
      <c r="C1296" s="63" t="s">
        <v>39</v>
      </c>
      <c r="D1296" s="64" t="str">
        <f aca="false">TRIM(LEFT('Onshore - Darwin (NT)'!A20,FIND(CHAR(10),'Onshore - Darwin (NT)'!A20&amp;CHAR(10))-1))</f>
        <v>Charles Darwin University (CDU)</v>
      </c>
      <c r="E1296" s="63" t="str">
        <f aca="false">'Onshore - Darwin (NT)'!C143&amp;""</f>
        <v>1 year</v>
      </c>
      <c r="F1296" s="63" t="str">
        <f aca="false">IF('Onshore - Darwin (NT)'!D143="","Belum tercatat",'Onshore - Darwin (NT)'!D143)</f>
        <v>Term</v>
      </c>
      <c r="G1296" s="65" t="n">
        <f aca="false">IF('Onshore - Darwin (NT)'!E143="","-",'Onshore - Darwin (NT)'!E143)</f>
        <v>4355</v>
      </c>
      <c r="H1296" s="63" t="n">
        <f aca="false">IF(ISNUMBER(K1296),COUNTIFS($J$6:$J$1916,J1296,$K$6:$K$1916,"&lt;"&amp;K1296)+1,"-")</f>
        <v>1</v>
      </c>
      <c r="I1296" s="64" t="str">
        <f aca="false">IF('Onshore - Darwin (NT)'!E143="","Harga belum tersedia - hubungi konsultan TEG",IF(M1296=2,"Saat ini tidak menerima pendaftaran siswa internasional baru",IF(M1296=1,"Harga perlu dikonfirmasi ke sekolah"&amp;IF(""="","","; "&amp;""),"")))</f>
        <v/>
      </c>
      <c r="J1296" s="0" t="s">
        <v>4637</v>
      </c>
      <c r="K1296" s="0" t="n">
        <f aca="false">IF(M1296=2,"",IF(ISNUMBER(SEARCH("rata-rata:",'Onshore - Darwin (NT)'!M143)),VALUE(MID('Onshore - Darwin (NT)'!M143,SEARCH("rata-rata:",'Onshore - Darwin (NT)'!M143)+11,FIND(";",'Onshore - Darwin (NT)'!M143&amp;";",SEARCH("rata-rata:",'Onshore - Darwin (NT)'!M143))-SEARCH("rata-rata:",'Onshore - Darwin (NT)'!M143)-11)),IF('Onshore - Darwin (NT)'!D143="Semester",'Onshore - Darwin (NT)'!E143*2,IF('Onshore - Darwin (NT)'!D143="Trimester",'Onshore - Darwin (NT)'!E143*3,IF('Onshore - Darwin (NT)'!D143="Term",'Onshore - Darwin (NT)'!E143*4,IF('Onshore - Darwin (NT)'!D143="Unit",'Onshore - Darwin (NT)'!E143*8,""))))))</f>
        <v>17420</v>
      </c>
      <c r="L1296" s="0" t="n">
        <f aca="false">IF(AND(ISNUMBER('Onshore - Darwin (NT)'!E143),ISNUMBER(K1296),ISNUMBER('Onshore - Darwin (NT)'!F143),ISNUMBER('Onshore - Darwin (NT)'!G143),OR('Onshore - Darwin (NT)'!F143&lt;&gt;0,ISNUMBER(SEARCH("Material 0 terverifikasi",'Onshore - Darwin (NT)'!M143))),OR('Onshore - Darwin (NT)'!G143&lt;&gt;0,ISNUMBER(SEARCH("Enrolment 0 terverifikasi",'Onshore - Darwin (NT)'!M143)))),1,0)</f>
        <v>0</v>
      </c>
      <c r="M1296" s="0" t="n">
        <f aca="false">IF(OR('Onshore - Darwin (NT)'!E143="",ISNUMBER(SEARCH("BSB80120",'Onshore - Darwin (NT)'!B143&amp;'Onshore - Darwin (NT)'!M143)),ISNUMBER(SEARCH("Management (Learning)",'Onshore - Darwin (NT)'!B143))),2,IF(ISNUMBER(SEARCH("CEK:",'Onshore - Darwin (NT)'!M143)),1,0))</f>
        <v>0</v>
      </c>
    </row>
    <row r="1297" customFormat="false" ht="15" hidden="false" customHeight="false" outlineLevel="0" collapsed="false">
      <c r="A1297" s="61" t="s">
        <v>4329</v>
      </c>
      <c r="B1297" s="62"/>
      <c r="C1297" s="62"/>
      <c r="D1297" s="62"/>
      <c r="E1297" s="62"/>
      <c r="F1297" s="62"/>
      <c r="G1297" s="62"/>
      <c r="H1297" s="62"/>
      <c r="I1297" s="62"/>
    </row>
    <row r="1298" customFormat="false" ht="15" hidden="false" customHeight="false" outlineLevel="0" collapsed="false">
      <c r="A1298" s="63" t="s">
        <v>3583</v>
      </c>
      <c r="B1298" s="64" t="s">
        <v>4297</v>
      </c>
      <c r="C1298" s="63" t="s">
        <v>41</v>
      </c>
      <c r="D1298" s="64" t="str">
        <f aca="false">TRIM(LEFT('Onshore - Darwin (NT)'!A6,FIND(CHAR(10),'Onshore - Darwin (NT)'!A6&amp;CHAR(10))-1))</f>
        <v>Alice Springs College of Australia (ASCA)</v>
      </c>
      <c r="E1298" s="63" t="str">
        <f aca="false">'Onshore - Darwin (NT)'!C6&amp;""</f>
        <v>3,5 years</v>
      </c>
      <c r="F1298" s="63" t="str">
        <f aca="false">IF('Onshore - Darwin (NT)'!D6="","Belum tercatat",'Onshore - Darwin (NT)'!D6)</f>
        <v>Term</v>
      </c>
      <c r="G1298" s="65" t="n">
        <f aca="false">IF('Onshore - Darwin (NT)'!E6="","-",'Onshore - Darwin (NT)'!E6)</f>
        <v>2333</v>
      </c>
      <c r="H1298" s="63" t="n">
        <f aca="false">IF(ISNUMBER(K1298),COUNTIFS($J$6:$J$1916,J1298,$K$6:$K$1916,"&lt;"&amp;K1298)+1,"-")</f>
        <v>1</v>
      </c>
      <c r="I1298" s="64" t="str">
        <f aca="false">IF('Onshore - Darwin (NT)'!E6="","Harga belum tersedia - hubungi konsultan TEG",IF(M1298=2,"Saat ini tidak menerima pendaftaran siswa internasional baru",IF(M1298=1,"Harga perlu dikonfirmasi ke sekolah"&amp;IF(""="","","; "&amp;""),"")))</f>
        <v/>
      </c>
      <c r="J1298" s="0" t="s">
        <v>4330</v>
      </c>
      <c r="K1298" s="0" t="n">
        <f aca="false">IF(M1298=2,"",IF(ISNUMBER(SEARCH("rata-rata:",'Onshore - Darwin (NT)'!M6)),VALUE(MID('Onshore - Darwin (NT)'!M6,SEARCH("rata-rata:",'Onshore - Darwin (NT)'!M6)+11,FIND(";",'Onshore - Darwin (NT)'!M6&amp;";",SEARCH("rata-rata:",'Onshore - Darwin (NT)'!M6))-SEARCH("rata-rata:",'Onshore - Darwin (NT)'!M6)-11)),IF('Onshore - Darwin (NT)'!D6="Semester",'Onshore - Darwin (NT)'!E6*2,IF('Onshore - Darwin (NT)'!D6="Trimester",'Onshore - Darwin (NT)'!E6*3,IF('Onshore - Darwin (NT)'!D6="Term",'Onshore - Darwin (NT)'!E6*4,IF('Onshore - Darwin (NT)'!D6="Unit",'Onshore - Darwin (NT)'!E6*8,""))))))</f>
        <v>9332</v>
      </c>
      <c r="L1298" s="0" t="n">
        <f aca="false">IF(AND(ISNUMBER('Onshore - Darwin (NT)'!E6),ISNUMBER(K1298),ISNUMBER('Onshore - Darwin (NT)'!F6),ISNUMBER('Onshore - Darwin (NT)'!G6),OR('Onshore - Darwin (NT)'!F6&lt;&gt;0,ISNUMBER(SEARCH("Material 0 terverifikasi",'Onshore - Darwin (NT)'!M6))),OR('Onshore - Darwin (NT)'!G6&lt;&gt;0,ISNUMBER(SEARCH("Enrolment 0 terverifikasi",'Onshore - Darwin (NT)'!M6)))),1,0)</f>
        <v>1</v>
      </c>
      <c r="M1298" s="0" t="n">
        <f aca="false">IF(OR('Onshore - Darwin (NT)'!E6="",ISNUMBER(SEARCH("BSB80120",'Onshore - Darwin (NT)'!B6&amp;'Onshore - Darwin (NT)'!M6)),ISNUMBER(SEARCH("Management (Learning)",'Onshore - Darwin (NT)'!B6))),2,IF(ISNUMBER(SEARCH("CEK:",'Onshore - Darwin (NT)'!M6)),1,0))</f>
        <v>0</v>
      </c>
    </row>
    <row r="1299" customFormat="false" ht="15" hidden="false" customHeight="false" outlineLevel="0" collapsed="false">
      <c r="A1299" s="63" t="s">
        <v>3583</v>
      </c>
      <c r="B1299" s="64" t="s">
        <v>4297</v>
      </c>
      <c r="C1299" s="63" t="s">
        <v>41</v>
      </c>
      <c r="D1299" s="64" t="str">
        <f aca="false">TRIM(LEFT('Onshore - Darwin (NT)'!A20,FIND(CHAR(10),'Onshore - Darwin (NT)'!A20&amp;CHAR(10))-1))</f>
        <v>Charles Darwin University (CDU)</v>
      </c>
      <c r="E1299" s="63" t="str">
        <f aca="false">'Onshore - Darwin (NT)'!C145&amp;""</f>
        <v>1 year</v>
      </c>
      <c r="F1299" s="63" t="str">
        <f aca="false">IF('Onshore - Darwin (NT)'!D145="","Belum tercatat",'Onshore - Darwin (NT)'!D145)</f>
        <v>Term</v>
      </c>
      <c r="G1299" s="65" t="n">
        <f aca="false">IF('Onshore - Darwin (NT)'!E145="","-",'Onshore - Darwin (NT)'!E145)</f>
        <v>4355</v>
      </c>
      <c r="H1299" s="63" t="n">
        <f aca="false">IF(ISNUMBER(K1299),COUNTIFS($J$6:$J$1916,J1299,$K$6:$K$1916,"&lt;"&amp;K1299)+1,"-")</f>
        <v>2</v>
      </c>
      <c r="I1299" s="64" t="str">
        <f aca="false">IF('Onshore - Darwin (NT)'!E145="","Harga belum tersedia - hubungi konsultan TEG",IF(M1299=2,"Saat ini tidak menerima pendaftaran siswa internasional baru",IF(M1299=1,"Harga perlu dikonfirmasi ke sekolah"&amp;IF(""="","","; "&amp;""),"")))</f>
        <v/>
      </c>
      <c r="J1299" s="0" t="s">
        <v>4330</v>
      </c>
      <c r="K1299" s="0" t="n">
        <f aca="false">IF(M1299=2,"",IF(ISNUMBER(SEARCH("rata-rata:",'Onshore - Darwin (NT)'!M145)),VALUE(MID('Onshore - Darwin (NT)'!M145,SEARCH("rata-rata:",'Onshore - Darwin (NT)'!M145)+11,FIND(";",'Onshore - Darwin (NT)'!M145&amp;";",SEARCH("rata-rata:",'Onshore - Darwin (NT)'!M145))-SEARCH("rata-rata:",'Onshore - Darwin (NT)'!M145)-11)),IF('Onshore - Darwin (NT)'!D145="Semester",'Onshore - Darwin (NT)'!E145*2,IF('Onshore - Darwin (NT)'!D145="Trimester",'Onshore - Darwin (NT)'!E145*3,IF('Onshore - Darwin (NT)'!D145="Term",'Onshore - Darwin (NT)'!E145*4,IF('Onshore - Darwin (NT)'!D145="Unit",'Onshore - Darwin (NT)'!E145*8,""))))))</f>
        <v>17420</v>
      </c>
      <c r="L1299" s="0" t="n">
        <f aca="false">IF(AND(ISNUMBER('Onshore - Darwin (NT)'!E145),ISNUMBER(K1299),ISNUMBER('Onshore - Darwin (NT)'!F145),ISNUMBER('Onshore - Darwin (NT)'!G145),OR('Onshore - Darwin (NT)'!F145&lt;&gt;0,ISNUMBER(SEARCH("Material 0 terverifikasi",'Onshore - Darwin (NT)'!M145))),OR('Onshore - Darwin (NT)'!G145&lt;&gt;0,ISNUMBER(SEARCH("Enrolment 0 terverifikasi",'Onshore - Darwin (NT)'!M145)))),1,0)</f>
        <v>0</v>
      </c>
      <c r="M1299" s="0" t="n">
        <f aca="false">IF(OR('Onshore - Darwin (NT)'!E145="",ISNUMBER(SEARCH("BSB80120",'Onshore - Darwin (NT)'!B145&amp;'Onshore - Darwin (NT)'!M145)),ISNUMBER(SEARCH("Management (Learning)",'Onshore - Darwin (NT)'!B145))),2,IF(ISNUMBER(SEARCH("CEK:",'Onshore - Darwin (NT)'!M145)),1,0))</f>
        <v>0</v>
      </c>
    </row>
    <row r="1300" customFormat="false" ht="15" hidden="false" customHeight="false" outlineLevel="0" collapsed="false">
      <c r="A1300" s="61" t="s">
        <v>4331</v>
      </c>
      <c r="B1300" s="62"/>
      <c r="C1300" s="62"/>
      <c r="D1300" s="62"/>
      <c r="E1300" s="62"/>
      <c r="F1300" s="62"/>
      <c r="G1300" s="62"/>
      <c r="H1300" s="62"/>
      <c r="I1300" s="62"/>
    </row>
    <row r="1301" customFormat="false" ht="15" hidden="false" customHeight="false" outlineLevel="0" collapsed="false">
      <c r="A1301" s="63" t="s">
        <v>3583</v>
      </c>
      <c r="B1301" s="64" t="s">
        <v>4297</v>
      </c>
      <c r="C1301" s="63" t="s">
        <v>42</v>
      </c>
      <c r="D1301" s="64" t="str">
        <f aca="false">TRIM(LEFT('Onshore - Darwin (NT)'!A6,FIND(CHAR(10),'Onshore - Darwin (NT)'!A6&amp;CHAR(10))-1))</f>
        <v>Alice Springs College of Australia (ASCA)</v>
      </c>
      <c r="E1301" s="63" t="str">
        <f aca="false">'Onshore - Darwin (NT)'!C7&amp;""</f>
        <v>4,5 years</v>
      </c>
      <c r="F1301" s="63" t="str">
        <f aca="false">IF('Onshore - Darwin (NT)'!D7="","Belum tercatat",'Onshore - Darwin (NT)'!D7)</f>
        <v>Term</v>
      </c>
      <c r="G1301" s="65" t="n">
        <f aca="false">IF('Onshore - Darwin (NT)'!E7="","-",'Onshore - Darwin (NT)'!E7)</f>
        <v>2333</v>
      </c>
      <c r="H1301" s="63" t="n">
        <f aca="false">IF(ISNUMBER(K1301),COUNTIFS($J$6:$J$1916,J1301,$K$6:$K$1916,"&lt;"&amp;K1301)+1,"-")</f>
        <v>1</v>
      </c>
      <c r="I1301" s="64" t="str">
        <f aca="false">IF('Onshore - Darwin (NT)'!E7="","Harga belum tersedia - hubungi konsultan TEG",IF(M1301=2,"Saat ini tidak menerima pendaftaran siswa internasional baru",IF(M1301=1,"Harga perlu dikonfirmasi ke sekolah"&amp;IF(""="","","; "&amp;""),"")))</f>
        <v/>
      </c>
      <c r="J1301" s="0" t="s">
        <v>4332</v>
      </c>
      <c r="K1301" s="0" t="n">
        <f aca="false">IF(M1301=2,"",IF(ISNUMBER(SEARCH("rata-rata:",'Onshore - Darwin (NT)'!M7)),VALUE(MID('Onshore - Darwin (NT)'!M7,SEARCH("rata-rata:",'Onshore - Darwin (NT)'!M7)+11,FIND(";",'Onshore - Darwin (NT)'!M7&amp;";",SEARCH("rata-rata:",'Onshore - Darwin (NT)'!M7))-SEARCH("rata-rata:",'Onshore - Darwin (NT)'!M7)-11)),IF('Onshore - Darwin (NT)'!D7="Semester",'Onshore - Darwin (NT)'!E7*2,IF('Onshore - Darwin (NT)'!D7="Trimester",'Onshore - Darwin (NT)'!E7*3,IF('Onshore - Darwin (NT)'!D7="Term",'Onshore - Darwin (NT)'!E7*4,IF('Onshore - Darwin (NT)'!D7="Unit",'Onshore - Darwin (NT)'!E7*8,""))))))</f>
        <v>9332</v>
      </c>
      <c r="L1301" s="0" t="n">
        <f aca="false">IF(AND(ISNUMBER('Onshore - Darwin (NT)'!E7),ISNUMBER(K1301),ISNUMBER('Onshore - Darwin (NT)'!F7),ISNUMBER('Onshore - Darwin (NT)'!G7),OR('Onshore - Darwin (NT)'!F7&lt;&gt;0,ISNUMBER(SEARCH("Material 0 terverifikasi",'Onshore - Darwin (NT)'!M7))),OR('Onshore - Darwin (NT)'!G7&lt;&gt;0,ISNUMBER(SEARCH("Enrolment 0 terverifikasi",'Onshore - Darwin (NT)'!M7)))),1,0)</f>
        <v>1</v>
      </c>
      <c r="M1301" s="0" t="n">
        <f aca="false">IF(OR('Onshore - Darwin (NT)'!E7="",ISNUMBER(SEARCH("BSB80120",'Onshore - Darwin (NT)'!B7&amp;'Onshore - Darwin (NT)'!M7)),ISNUMBER(SEARCH("Management (Learning)",'Onshore - Darwin (NT)'!B7))),2,IF(ISNUMBER(SEARCH("CEK:",'Onshore - Darwin (NT)'!M7)),1,0))</f>
        <v>0</v>
      </c>
    </row>
    <row r="1302" customFormat="false" ht="15" hidden="false" customHeight="false" outlineLevel="0" collapsed="false">
      <c r="A1302" s="63" t="s">
        <v>3583</v>
      </c>
      <c r="B1302" s="64" t="s">
        <v>4297</v>
      </c>
      <c r="C1302" s="63" t="s">
        <v>42</v>
      </c>
      <c r="D1302" s="64" t="str">
        <f aca="false">TRIM(LEFT('Onshore - Darwin (NT)'!A146,FIND(CHAR(10),'Onshore - Darwin (NT)'!A146&amp;CHAR(10))-1))</f>
        <v>Sydney City College of Management</v>
      </c>
      <c r="E1302" s="63" t="str">
        <f aca="false">'Onshore - Darwin (NT)'!C149&amp;""</f>
        <v>2,5 years</v>
      </c>
      <c r="F1302" s="63" t="str">
        <f aca="false">IF('Onshore - Darwin (NT)'!D149="","Belum tercatat",'Onshore - Darwin (NT)'!D149)</f>
        <v>Term</v>
      </c>
      <c r="G1302" s="65" t="n">
        <f aca="false">IF('Onshore - Darwin (NT)'!E149="","-",'Onshore - Darwin (NT)'!E149)</f>
        <v>4300</v>
      </c>
      <c r="H1302" s="63" t="n">
        <f aca="false">IF(ISNUMBER(K1302),COUNTIFS($J$6:$J$1916,J1302,$K$6:$K$1916,"&lt;"&amp;K1302)+1,"-")</f>
        <v>2</v>
      </c>
      <c r="I1302" s="64" t="str">
        <f aca="false">IF('Onshore - Darwin (NT)'!E149="","Harga belum tersedia - hubungi konsultan TEG",IF(M1302=2,"Saat ini tidak menerima pendaftaran siswa internasional baru",IF(M1302=1,"Harga perlu dikonfirmasi ke sekolah"&amp;IF(""="","","; "&amp;""),"")))</f>
        <v/>
      </c>
      <c r="J1302" s="0" t="s">
        <v>4332</v>
      </c>
      <c r="K1302" s="0" t="n">
        <f aca="false">IF(M1302=2,"",IF(ISNUMBER(SEARCH("rata-rata:",'Onshore - Darwin (NT)'!M149)),VALUE(MID('Onshore - Darwin (NT)'!M149,SEARCH("rata-rata:",'Onshore - Darwin (NT)'!M149)+11,FIND(";",'Onshore - Darwin (NT)'!M149&amp;";",SEARCH("rata-rata:",'Onshore - Darwin (NT)'!M149))-SEARCH("rata-rata:",'Onshore - Darwin (NT)'!M149)-11)),IF('Onshore - Darwin (NT)'!D149="Semester",'Onshore - Darwin (NT)'!E149*2,IF('Onshore - Darwin (NT)'!D149="Trimester",'Onshore - Darwin (NT)'!E149*3,IF('Onshore - Darwin (NT)'!D149="Term",'Onshore - Darwin (NT)'!E149*4,IF('Onshore - Darwin (NT)'!D149="Unit",'Onshore - Darwin (NT)'!E149*8,""))))))</f>
        <v>17200</v>
      </c>
      <c r="L1302" s="0" t="n">
        <f aca="false">IF(AND(ISNUMBER('Onshore - Darwin (NT)'!E149),ISNUMBER(K1302),ISNUMBER('Onshore - Darwin (NT)'!F149),ISNUMBER('Onshore - Darwin (NT)'!G149),OR('Onshore - Darwin (NT)'!F149&lt;&gt;0,ISNUMBER(SEARCH("Material 0 terverifikasi",'Onshore - Darwin (NT)'!M149))),OR('Onshore - Darwin (NT)'!G149&lt;&gt;0,ISNUMBER(SEARCH("Enrolment 0 terverifikasi",'Onshore - Darwin (NT)'!M149)))),1,0)</f>
        <v>1</v>
      </c>
      <c r="M1302" s="0" t="n">
        <f aca="false">IF(OR('Onshore - Darwin (NT)'!E149="",ISNUMBER(SEARCH("BSB80120",'Onshore - Darwin (NT)'!B149&amp;'Onshore - Darwin (NT)'!M149)),ISNUMBER(SEARCH("Management (Learning)",'Onshore - Darwin (NT)'!B149))),2,IF(ISNUMBER(SEARCH("CEK:",'Onshore - Darwin (NT)'!M149)),1,0))</f>
        <v>0</v>
      </c>
    </row>
    <row r="1303" customFormat="false" ht="15" hidden="false" customHeight="false" outlineLevel="0" collapsed="false">
      <c r="A1303" s="61" t="s">
        <v>4333</v>
      </c>
      <c r="B1303" s="62"/>
      <c r="C1303" s="62"/>
      <c r="D1303" s="62"/>
      <c r="E1303" s="62"/>
      <c r="F1303" s="62"/>
      <c r="G1303" s="62"/>
      <c r="H1303" s="62"/>
      <c r="I1303" s="62"/>
    </row>
    <row r="1304" customFormat="false" ht="15" hidden="false" customHeight="false" outlineLevel="0" collapsed="false">
      <c r="A1304" s="63" t="s">
        <v>3544</v>
      </c>
      <c r="B1304" s="64" t="s">
        <v>4297</v>
      </c>
      <c r="C1304" s="63" t="s">
        <v>39</v>
      </c>
      <c r="D1304" s="64" t="str">
        <f aca="false">TRIM(LEFT('Onshore- Melbourne'!A576,FIND(CHAR(10),'Onshore- Melbourne'!A576&amp;CHAR(10))-1))</f>
        <v>William Angliss Institute</v>
      </c>
      <c r="E1304" s="63" t="str">
        <f aca="false">'Onshore- Melbourne'!C594&amp;""</f>
        <v>1 year</v>
      </c>
      <c r="F1304" s="63" t="str">
        <f aca="false">IF('Onshore- Melbourne'!D594="","Belum tercatat",'Onshore- Melbourne'!D594)</f>
        <v>Term</v>
      </c>
      <c r="G1304" s="65" t="n">
        <f aca="false">IF('Onshore- Melbourne'!E594="","-",'Onshore- Melbourne'!E594)</f>
        <v>5460</v>
      </c>
      <c r="H1304" s="63" t="n">
        <f aca="false">IF(ISNUMBER(K1304),COUNTIFS($J$6:$J$1916,J1304,$K$6:$K$1916,"&lt;"&amp;K1304)+1,"-")</f>
        <v>1</v>
      </c>
      <c r="I1304" s="64" t="str">
        <f aca="false">IF('Onshore- Melbourne'!E594="","Harga belum tersedia - hubungi konsultan TEG",IF(M1304=2,"Saat ini tidak menerima pendaftaran siswa internasional baru",IF(M1304=1,"Harga perlu dikonfirmasi ke sekolah"&amp;IF(""="","","; "&amp;""),"")))</f>
        <v/>
      </c>
      <c r="J1304" s="0" t="s">
        <v>4334</v>
      </c>
      <c r="K1304" s="0" t="n">
        <f aca="false">IF(M1304=2,"",IF(ISNUMBER(SEARCH("rata-rata:",'Onshore- Melbourne'!M594)),VALUE(MID('Onshore- Melbourne'!M594,SEARCH("rata-rata:",'Onshore- Melbourne'!M594)+11,FIND(";",'Onshore- Melbourne'!M594&amp;";",SEARCH("rata-rata:",'Onshore- Melbourne'!M594))-SEARCH("rata-rata:",'Onshore- Melbourne'!M594)-11)),IF('Onshore- Melbourne'!D594="Semester",'Onshore- Melbourne'!E594*2,IF('Onshore- Melbourne'!D594="Trimester",'Onshore- Melbourne'!E594*3,IF('Onshore- Melbourne'!D594="Term",'Onshore- Melbourne'!E594*4,IF('Onshore- Melbourne'!D594="Unit",'Onshore- Melbourne'!E594*8,""))))))</f>
        <v>21840</v>
      </c>
      <c r="L1304" s="0" t="n">
        <f aca="false">IF(AND(ISNUMBER('Onshore- Melbourne'!E594),ISNUMBER(K1304),ISNUMBER('Onshore- Melbourne'!F594),ISNUMBER('Onshore- Melbourne'!G594),OR('Onshore- Melbourne'!F594&lt;&gt;0,ISNUMBER(SEARCH("Material 0 terverifikasi",'Onshore- Melbourne'!M594))),OR('Onshore- Melbourne'!G594&lt;&gt;0,ISNUMBER(SEARCH("Enrolment 0 terverifikasi",'Onshore- Melbourne'!M594)))),1,0)</f>
        <v>1</v>
      </c>
      <c r="M1304" s="0" t="n">
        <f aca="false">IF(OR('Onshore- Melbourne'!E594="",ISNUMBER(SEARCH("BSB80120",'Onshore- Melbourne'!B594&amp;'Onshore- Melbourne'!M594)),ISNUMBER(SEARCH("Management (Learning)",'Onshore- Melbourne'!B594))),2,IF(ISNUMBER(SEARCH("CEK:",'Onshore- Melbourne'!M594)),1,0))</f>
        <v>0</v>
      </c>
    </row>
    <row r="1305" customFormat="false" ht="15" hidden="false" customHeight="false" outlineLevel="0" collapsed="false">
      <c r="A1305" s="63" t="s">
        <v>3544</v>
      </c>
      <c r="B1305" s="64" t="s">
        <v>4297</v>
      </c>
      <c r="C1305" s="63" t="s">
        <v>39</v>
      </c>
      <c r="D1305" s="64" t="str">
        <f aca="false">TRIM(LEFT('Onshore- Melbourne'!A338,FIND(CHAR(10),'Onshore- Melbourne'!A338&amp;CHAR(10))-1))</f>
        <v>Le Cordon Bleu Australia</v>
      </c>
      <c r="E1305" s="63" t="str">
        <f aca="false">'Onshore- Melbourne'!C338&amp;""</f>
        <v>1,5 years</v>
      </c>
      <c r="F1305" s="63" t="str">
        <f aca="false">IF('Onshore- Melbourne'!D338="","Belum tercatat",'Onshore- Melbourne'!D338)</f>
        <v>Term</v>
      </c>
      <c r="G1305" s="65" t="n">
        <f aca="false">IF('Onshore- Melbourne'!E338="","-",'Onshore- Melbourne'!E338)</f>
        <v>6997.5</v>
      </c>
      <c r="H1305" s="63" t="n">
        <f aca="false">IF(ISNUMBER(K1305),COUNTIFS($J$6:$J$1916,J1305,$K$6:$K$1916,"&lt;"&amp;K1305)+1,"-")</f>
        <v>2</v>
      </c>
      <c r="I1305" s="64" t="str">
        <f aca="false">IF('Onshore- Melbourne'!E338="","Harga belum tersedia - hubungi konsultan TEG",IF(M1305=2,"Saat ini tidak menerima pendaftaran siswa internasional baru",IF(M1305=1,"Harga perlu dikonfirmasi ke sekolah"&amp;IF(""="","","; "&amp;""),"")))</f>
        <v/>
      </c>
      <c r="J1305" s="0" t="s">
        <v>4334</v>
      </c>
      <c r="K1305" s="0" t="n">
        <f aca="false">IF(M1305=2,"",IF(ISNUMBER(SEARCH("rata-rata:",'Onshore- Melbourne'!M338)),VALUE(MID('Onshore- Melbourne'!M338,SEARCH("rata-rata:",'Onshore- Melbourne'!M338)+11,FIND(";",'Onshore- Melbourne'!M338&amp;";",SEARCH("rata-rata:",'Onshore- Melbourne'!M338))-SEARCH("rata-rata:",'Onshore- Melbourne'!M338)-11)),IF('Onshore- Melbourne'!D338="Semester",'Onshore- Melbourne'!E338*2,IF('Onshore- Melbourne'!D338="Trimester",'Onshore- Melbourne'!E338*3,IF('Onshore- Melbourne'!D338="Term",'Onshore- Melbourne'!E338*4,IF('Onshore- Melbourne'!D338="Unit",'Onshore- Melbourne'!E338*8,""))))))</f>
        <v>27990</v>
      </c>
      <c r="L1305" s="0" t="n">
        <f aca="false">IF(AND(ISNUMBER('Onshore- Melbourne'!E338),ISNUMBER(K1305),ISNUMBER('Onshore- Melbourne'!F338),ISNUMBER('Onshore- Melbourne'!G338),OR('Onshore- Melbourne'!F338&lt;&gt;0,ISNUMBER(SEARCH("Material 0 terverifikasi",'Onshore- Melbourne'!M338))),OR('Onshore- Melbourne'!G338&lt;&gt;0,ISNUMBER(SEARCH("Enrolment 0 terverifikasi",'Onshore- Melbourne'!M338)))),1,0)</f>
        <v>0</v>
      </c>
      <c r="M1305" s="0" t="n">
        <f aca="false">IF(OR('Onshore- Melbourne'!E338="",ISNUMBER(SEARCH("BSB80120",'Onshore- Melbourne'!B338&amp;'Onshore- Melbourne'!M338)),ISNUMBER(SEARCH("Management (Learning)",'Onshore- Melbourne'!B338))),2,IF(ISNUMBER(SEARCH("CEK:",'Onshore- Melbourne'!M338)),1,0))</f>
        <v>0</v>
      </c>
    </row>
    <row r="1306" customFormat="false" ht="15" hidden="false" customHeight="false" outlineLevel="0" collapsed="false">
      <c r="A1306" s="61" t="s">
        <v>4335</v>
      </c>
      <c r="B1306" s="62"/>
      <c r="C1306" s="62"/>
      <c r="D1306" s="62"/>
      <c r="E1306" s="62"/>
      <c r="F1306" s="62"/>
      <c r="G1306" s="62"/>
      <c r="H1306" s="62"/>
      <c r="I1306" s="62"/>
    </row>
    <row r="1307" customFormat="false" ht="15" hidden="false" customHeight="false" outlineLevel="0" collapsed="false">
      <c r="A1307" s="63" t="s">
        <v>3544</v>
      </c>
      <c r="B1307" s="64" t="s">
        <v>4297</v>
      </c>
      <c r="C1307" s="63" t="s">
        <v>40</v>
      </c>
      <c r="D1307" s="64" t="str">
        <f aca="false">TRIM(LEFT('Onshore- Melbourne'!A350,FIND(CHAR(10),'Onshore- Melbourne'!A350&amp;CHAR(10))-1))</f>
        <v>Le Suisse Academy</v>
      </c>
      <c r="E1307" s="63" t="str">
        <f aca="false">'Onshore- Melbourne'!C350&amp;""</f>
        <v>1,5 years</v>
      </c>
      <c r="F1307" s="63" t="str">
        <f aca="false">IF('Onshore- Melbourne'!D350="","Belum tercatat",'Onshore- Melbourne'!D350)</f>
        <v>Term</v>
      </c>
      <c r="G1307" s="65" t="n">
        <f aca="false">IF('Onshore- Melbourne'!E350="","-",'Onshore- Melbourne'!E350)</f>
        <v>1587.5</v>
      </c>
      <c r="H1307" s="63" t="n">
        <f aca="false">IF(ISNUMBER(K1307),COUNTIFS($J$6:$J$1916,J1307,$K$6:$K$1916,"&lt;"&amp;K1307)+1,"-")</f>
        <v>1</v>
      </c>
      <c r="I1307" s="64" t="str">
        <f aca="false">IF('Onshore- Melbourne'!E350="","Harga belum tersedia - hubungi konsultan TEG",IF(M1307=2,"Saat ini tidak menerima pendaftaran siswa internasional baru",IF(M1307=1,"Harga perlu dikonfirmasi ke sekolah"&amp;IF(""="","","; "&amp;""),"")))</f>
        <v/>
      </c>
      <c r="J1307" s="0" t="s">
        <v>4336</v>
      </c>
      <c r="K1307" s="0" t="n">
        <f aca="false">IF(M1307=2,"",IF(ISNUMBER(SEARCH("rata-rata:",'Onshore- Melbourne'!M350)),VALUE(MID('Onshore- Melbourne'!M350,SEARCH("rata-rata:",'Onshore- Melbourne'!M350)+11,FIND(";",'Onshore- Melbourne'!M350&amp;";",SEARCH("rata-rata:",'Onshore- Melbourne'!M350))-SEARCH("rata-rata:",'Onshore- Melbourne'!M350)-11)),IF('Onshore- Melbourne'!D350="Semester",'Onshore- Melbourne'!E350*2,IF('Onshore- Melbourne'!D350="Trimester",'Onshore- Melbourne'!E350*3,IF('Onshore- Melbourne'!D350="Term",'Onshore- Melbourne'!E350*4,IF('Onshore- Melbourne'!D350="Unit",'Onshore- Melbourne'!E350*8,""))))))</f>
        <v>6350</v>
      </c>
      <c r="L1307" s="0" t="n">
        <f aca="false">IF(AND(ISNUMBER('Onshore- Melbourne'!E350),ISNUMBER(K1307),ISNUMBER('Onshore- Melbourne'!F350),ISNUMBER('Onshore- Melbourne'!G350),OR('Onshore- Melbourne'!F350&lt;&gt;0,ISNUMBER(SEARCH("Material 0 terverifikasi",'Onshore- Melbourne'!M350))),OR('Onshore- Melbourne'!G350&lt;&gt;0,ISNUMBER(SEARCH("Enrolment 0 terverifikasi",'Onshore- Melbourne'!M350)))),1,0)</f>
        <v>1</v>
      </c>
      <c r="M1307" s="0" t="n">
        <f aca="false">IF(OR('Onshore- Melbourne'!E350="",ISNUMBER(SEARCH("BSB80120",'Onshore- Melbourne'!B350&amp;'Onshore- Melbourne'!M350)),ISNUMBER(SEARCH("Management (Learning)",'Onshore- Melbourne'!B350))),2,IF(ISNUMBER(SEARCH("CEK:",'Onshore- Melbourne'!M350)),1,0))</f>
        <v>0</v>
      </c>
    </row>
    <row r="1308" customFormat="false" ht="15" hidden="false" customHeight="false" outlineLevel="0" collapsed="false">
      <c r="A1308" s="63" t="s">
        <v>3544</v>
      </c>
      <c r="B1308" s="64" t="s">
        <v>4297</v>
      </c>
      <c r="C1308" s="63" t="s">
        <v>40</v>
      </c>
      <c r="D1308" s="64" t="str">
        <f aca="false">TRIM(LEFT('Onshore- Melbourne'!A436,FIND(CHAR(10),'Onshore- Melbourne'!A436&amp;CHAR(10))-1))</f>
        <v>The Centre of Excellence</v>
      </c>
      <c r="E1308" s="63" t="str">
        <f aca="false">'Onshore- Melbourne'!C443&amp;""</f>
        <v>2 years</v>
      </c>
      <c r="F1308" s="63" t="str">
        <f aca="false">IF('Onshore- Melbourne'!D443="","Belum tercatat",'Onshore- Melbourne'!D443)</f>
        <v>Term</v>
      </c>
      <c r="G1308" s="65" t="n">
        <f aca="false">IF('Onshore- Melbourne'!E443="","-",'Onshore- Melbourne'!E443)</f>
        <v>2100</v>
      </c>
      <c r="H1308" s="63" t="n">
        <f aca="false">IF(ISNUMBER(K1308),COUNTIFS($J$6:$J$1916,J1308,$K$6:$K$1916,"&lt;"&amp;K1308)+1,"-")</f>
        <v>2</v>
      </c>
      <c r="I1308" s="64" t="str">
        <f aca="false">IF('Onshore- Melbourne'!E443="","Harga belum tersedia - hubungi konsultan TEG",IF(M1308=2,"Saat ini tidak menerima pendaftaran siswa internasional baru",IF(M1308=1,"Harga perlu dikonfirmasi ke sekolah"&amp;IF(""="","","; "&amp;""),"")))</f>
        <v/>
      </c>
      <c r="J1308" s="0" t="s">
        <v>4336</v>
      </c>
      <c r="K1308" s="0" t="n">
        <f aca="false">IF(M1308=2,"",IF(ISNUMBER(SEARCH("rata-rata:",'Onshore- Melbourne'!M443)),VALUE(MID('Onshore- Melbourne'!M443,SEARCH("rata-rata:",'Onshore- Melbourne'!M443)+11,FIND(";",'Onshore- Melbourne'!M443&amp;";",SEARCH("rata-rata:",'Onshore- Melbourne'!M443))-SEARCH("rata-rata:",'Onshore- Melbourne'!M443)-11)),IF('Onshore- Melbourne'!D443="Semester",'Onshore- Melbourne'!E443*2,IF('Onshore- Melbourne'!D443="Trimester",'Onshore- Melbourne'!E443*3,IF('Onshore- Melbourne'!D443="Term",'Onshore- Melbourne'!E443*4,IF('Onshore- Melbourne'!D443="Unit",'Onshore- Melbourne'!E443*8,""))))))</f>
        <v>8400</v>
      </c>
      <c r="L1308" s="0" t="n">
        <f aca="false">IF(AND(ISNUMBER('Onshore- Melbourne'!E443),ISNUMBER(K1308),ISNUMBER('Onshore- Melbourne'!F443),ISNUMBER('Onshore- Melbourne'!G443),OR('Onshore- Melbourne'!F443&lt;&gt;0,ISNUMBER(SEARCH("Material 0 terverifikasi",'Onshore- Melbourne'!M443))),OR('Onshore- Melbourne'!G443&lt;&gt;0,ISNUMBER(SEARCH("Enrolment 0 terverifikasi",'Onshore- Melbourne'!M443)))),1,0)</f>
        <v>1</v>
      </c>
      <c r="M1308" s="0" t="n">
        <f aca="false">IF(OR('Onshore- Melbourne'!E443="",ISNUMBER(SEARCH("BSB80120",'Onshore- Melbourne'!B443&amp;'Onshore- Melbourne'!M443)),ISNUMBER(SEARCH("Management (Learning)",'Onshore- Melbourne'!B443))),2,IF(ISNUMBER(SEARCH("CEK:",'Onshore- Melbourne'!M443)),1,0))</f>
        <v>0</v>
      </c>
    </row>
    <row r="1309" customFormat="false" ht="15" hidden="false" customHeight="false" outlineLevel="0" collapsed="false">
      <c r="A1309" s="63" t="s">
        <v>3544</v>
      </c>
      <c r="B1309" s="64" t="s">
        <v>4297</v>
      </c>
      <c r="C1309" s="63" t="s">
        <v>40</v>
      </c>
      <c r="D1309" s="64" t="str">
        <f aca="false">TRIM(LEFT('Onshore- Melbourne'!A377,FIND(CHAR(10),'Onshore- Melbourne'!A377&amp;CHAR(10))-1))</f>
        <v>National Training College of Australia (NTCA)</v>
      </c>
      <c r="E1309" s="63" t="str">
        <f aca="false">'Onshore- Melbourne'!C382&amp;""</f>
        <v>2 years</v>
      </c>
      <c r="F1309" s="63" t="str">
        <f aca="false">IF('Onshore- Melbourne'!D382="","Belum tercatat",'Onshore- Melbourne'!D382)</f>
        <v>Term</v>
      </c>
      <c r="G1309" s="65" t="n">
        <f aca="false">IF('Onshore- Melbourne'!E382="","-",'Onshore- Melbourne'!E382)</f>
        <v>2150</v>
      </c>
      <c r="H1309" s="63" t="n">
        <f aca="false">IF(ISNUMBER(K1309),COUNTIFS($J$6:$J$1916,J1309,$K$6:$K$1916,"&lt;"&amp;K1309)+1,"-")</f>
        <v>3</v>
      </c>
      <c r="I1309" s="64" t="str">
        <f aca="false">IF('Onshore- Melbourne'!E382="","Harga belum tersedia - hubungi konsultan TEG",IF(M1309=2,"Saat ini tidak menerima pendaftaran siswa internasional baru",IF(M1309=1,"Harga perlu dikonfirmasi ke sekolah"&amp;IF(""="","","; "&amp;""),"")))</f>
        <v/>
      </c>
      <c r="J1309" s="0" t="s">
        <v>4336</v>
      </c>
      <c r="K1309" s="0" t="n">
        <f aca="false">IF(M1309=2,"",IF(ISNUMBER(SEARCH("rata-rata:",'Onshore- Melbourne'!M382)),VALUE(MID('Onshore- Melbourne'!M382,SEARCH("rata-rata:",'Onshore- Melbourne'!M382)+11,FIND(";",'Onshore- Melbourne'!M382&amp;";",SEARCH("rata-rata:",'Onshore- Melbourne'!M382))-SEARCH("rata-rata:",'Onshore- Melbourne'!M382)-11)),IF('Onshore- Melbourne'!D382="Semester",'Onshore- Melbourne'!E382*2,IF('Onshore- Melbourne'!D382="Trimester",'Onshore- Melbourne'!E382*3,IF('Onshore- Melbourne'!D382="Term",'Onshore- Melbourne'!E382*4,IF('Onshore- Melbourne'!D382="Unit",'Onshore- Melbourne'!E382*8,""))))))</f>
        <v>8600</v>
      </c>
      <c r="L1309" s="0" t="n">
        <f aca="false">IF(AND(ISNUMBER('Onshore- Melbourne'!E382),ISNUMBER(K1309),ISNUMBER('Onshore- Melbourne'!F382),ISNUMBER('Onshore- Melbourne'!G382),OR('Onshore- Melbourne'!F382&lt;&gt;0,ISNUMBER(SEARCH("Material 0 terverifikasi",'Onshore- Melbourne'!M382))),OR('Onshore- Melbourne'!G382&lt;&gt;0,ISNUMBER(SEARCH("Enrolment 0 terverifikasi",'Onshore- Melbourne'!M382)))),1,0)</f>
        <v>1</v>
      </c>
      <c r="M1309" s="0" t="n">
        <f aca="false">IF(OR('Onshore- Melbourne'!E382="",ISNUMBER(SEARCH("BSB80120",'Onshore- Melbourne'!B382&amp;'Onshore- Melbourne'!M382)),ISNUMBER(SEARCH("Management (Learning)",'Onshore- Melbourne'!B382))),2,IF(ISNUMBER(SEARCH("CEK:",'Onshore- Melbourne'!M382)),1,0))</f>
        <v>0</v>
      </c>
    </row>
    <row r="1310" customFormat="false" ht="28.35" hidden="false" customHeight="false" outlineLevel="0" collapsed="false">
      <c r="A1310" s="63" t="s">
        <v>3544</v>
      </c>
      <c r="B1310" s="64" t="s">
        <v>4297</v>
      </c>
      <c r="C1310" s="63" t="s">
        <v>40</v>
      </c>
      <c r="D1310" s="64" t="str">
        <f aca="false">TRIM(LEFT('Onshore- Melbourne'!A90,FIND(CHAR(10),'Onshore- Melbourne'!A90&amp;CHAR(10))-1))</f>
        <v>Australian Business &amp; Culinary Institute (ABC Institute)</v>
      </c>
      <c r="E1310" s="63" t="str">
        <f aca="false">'Onshore- Melbourne'!C91&amp;""</f>
        <v>1,5 years</v>
      </c>
      <c r="F1310" s="63" t="str">
        <f aca="false">IF('Onshore- Melbourne'!D91="","Belum tercatat",'Onshore- Melbourne'!D91)</f>
        <v>Term</v>
      </c>
      <c r="G1310" s="65" t="n">
        <f aca="false">IF('Onshore- Melbourne'!E91="","-",'Onshore- Melbourne'!E91)</f>
        <v>2166.66</v>
      </c>
      <c r="H1310" s="63" t="n">
        <f aca="false">IF(ISNUMBER(K1310),COUNTIFS($J$6:$J$1916,J1310,$K$6:$K$1916,"&lt;"&amp;K1310)+1,"-")</f>
        <v>4</v>
      </c>
      <c r="I1310" s="64" t="str">
        <f aca="false">IF('Onshore- Melbourne'!E91="","Harga belum tersedia - hubungi konsultan TEG",IF(M1310=2,"Saat ini tidak menerima pendaftaran siswa internasional baru",IF(M1310=1,"Harga perlu dikonfirmasi ke sekolah"&amp;IF(""="","","; "&amp;""),"")))</f>
        <v/>
      </c>
      <c r="J1310" s="0" t="s">
        <v>4336</v>
      </c>
      <c r="K1310" s="0" t="n">
        <f aca="false">IF(M1310=2,"",IF(ISNUMBER(SEARCH("rata-rata:",'Onshore- Melbourne'!M91)),VALUE(MID('Onshore- Melbourne'!M91,SEARCH("rata-rata:",'Onshore- Melbourne'!M91)+11,FIND(";",'Onshore- Melbourne'!M91&amp;";",SEARCH("rata-rata:",'Onshore- Melbourne'!M91))-SEARCH("rata-rata:",'Onshore- Melbourne'!M91)-11)),IF('Onshore- Melbourne'!D91="Semester",'Onshore- Melbourne'!E91*2,IF('Onshore- Melbourne'!D91="Trimester",'Onshore- Melbourne'!E91*3,IF('Onshore- Melbourne'!D91="Term",'Onshore- Melbourne'!E91*4,IF('Onshore- Melbourne'!D91="Unit",'Onshore- Melbourne'!E91*8,""))))))</f>
        <v>8666.64</v>
      </c>
      <c r="L1310" s="0" t="n">
        <f aca="false">IF(AND(ISNUMBER('Onshore- Melbourne'!E91),ISNUMBER(K1310),ISNUMBER('Onshore- Melbourne'!F91),ISNUMBER('Onshore- Melbourne'!G91),OR('Onshore- Melbourne'!F91&lt;&gt;0,ISNUMBER(SEARCH("Material 0 terverifikasi",'Onshore- Melbourne'!M91))),OR('Onshore- Melbourne'!G91&lt;&gt;0,ISNUMBER(SEARCH("Enrolment 0 terverifikasi",'Onshore- Melbourne'!M91)))),1,0)</f>
        <v>1</v>
      </c>
      <c r="M1310" s="0" t="n">
        <f aca="false">IF(OR('Onshore- Melbourne'!E91="",ISNUMBER(SEARCH("BSB80120",'Onshore- Melbourne'!B91&amp;'Onshore- Melbourne'!M91)),ISNUMBER(SEARCH("Management (Learning)",'Onshore- Melbourne'!B91))),2,IF(ISNUMBER(SEARCH("CEK:",'Onshore- Melbourne'!M91)),1,0))</f>
        <v>0</v>
      </c>
    </row>
    <row r="1311" customFormat="false" ht="15" hidden="false" customHeight="false" outlineLevel="0" collapsed="false">
      <c r="A1311" s="63" t="s">
        <v>3544</v>
      </c>
      <c r="B1311" s="64" t="s">
        <v>4297</v>
      </c>
      <c r="C1311" s="63" t="s">
        <v>40</v>
      </c>
      <c r="D1311" s="64" t="str">
        <f aca="false">TRIM(LEFT('Onshore- Melbourne'!A6,FIND(CHAR(10),'Onshore- Melbourne'!A6&amp;CHAR(10))-1))</f>
        <v>Academies Australasia</v>
      </c>
      <c r="E1311" s="63" t="str">
        <f aca="false">'Onshore- Melbourne'!C12&amp;""</f>
        <v>1,5 years</v>
      </c>
      <c r="F1311" s="63" t="str">
        <f aca="false">IF('Onshore- Melbourne'!D12="","Belum tercatat",'Onshore- Melbourne'!D12)</f>
        <v>Term</v>
      </c>
      <c r="G1311" s="65" t="n">
        <f aca="false">IF('Onshore- Melbourne'!E12="","-",'Onshore- Melbourne'!E12)</f>
        <v>2250</v>
      </c>
      <c r="H1311" s="63" t="n">
        <f aca="false">IF(ISNUMBER(K1311),COUNTIFS($J$6:$J$1916,J1311,$K$6:$K$1916,"&lt;"&amp;K1311)+1,"-")</f>
        <v>5</v>
      </c>
      <c r="I1311" s="64" t="str">
        <f aca="false">IF('Onshore- Melbourne'!E12="","Harga belum tersedia - hubungi konsultan TEG",IF(M1311=2,"Saat ini tidak menerima pendaftaran siswa internasional baru",IF(M1311=1,"Harga perlu dikonfirmasi ke sekolah"&amp;IF(""="","","; "&amp;""),"")))</f>
        <v/>
      </c>
      <c r="J1311" s="0" t="s">
        <v>4336</v>
      </c>
      <c r="K1311" s="0" t="n">
        <f aca="false">IF(M1311=2,"",IF(ISNUMBER(SEARCH("rata-rata:",'Onshore- Melbourne'!M12)),VALUE(MID('Onshore- Melbourne'!M12,SEARCH("rata-rata:",'Onshore- Melbourne'!M12)+11,FIND(";",'Onshore- Melbourne'!M12&amp;";",SEARCH("rata-rata:",'Onshore- Melbourne'!M12))-SEARCH("rata-rata:",'Onshore- Melbourne'!M12)-11)),IF('Onshore- Melbourne'!D12="Semester",'Onshore- Melbourne'!E12*2,IF('Onshore- Melbourne'!D12="Trimester",'Onshore- Melbourne'!E12*3,IF('Onshore- Melbourne'!D12="Term",'Onshore- Melbourne'!E12*4,IF('Onshore- Melbourne'!D12="Unit",'Onshore- Melbourne'!E12*8,""))))))</f>
        <v>9000</v>
      </c>
      <c r="L1311" s="0" t="n">
        <f aca="false">IF(AND(ISNUMBER('Onshore- Melbourne'!E12),ISNUMBER(K1311),ISNUMBER('Onshore- Melbourne'!F12),ISNUMBER('Onshore- Melbourne'!G12),OR('Onshore- Melbourne'!F12&lt;&gt;0,ISNUMBER(SEARCH("Material 0 terverifikasi",'Onshore- Melbourne'!M12))),OR('Onshore- Melbourne'!G12&lt;&gt;0,ISNUMBER(SEARCH("Enrolment 0 terverifikasi",'Onshore- Melbourne'!M12)))),1,0)</f>
        <v>1</v>
      </c>
      <c r="M1311" s="0" t="n">
        <f aca="false">IF(OR('Onshore- Melbourne'!E12="",ISNUMBER(SEARCH("BSB80120",'Onshore- Melbourne'!B12&amp;'Onshore- Melbourne'!M12)),ISNUMBER(SEARCH("Management (Learning)",'Onshore- Melbourne'!B12))),2,IF(ISNUMBER(SEARCH("CEK:",'Onshore- Melbourne'!M12)),1,0))</f>
        <v>0</v>
      </c>
    </row>
    <row r="1312" customFormat="false" ht="15" hidden="false" customHeight="false" outlineLevel="0" collapsed="false">
      <c r="A1312" s="63" t="s">
        <v>3544</v>
      </c>
      <c r="B1312" s="64" t="s">
        <v>4297</v>
      </c>
      <c r="C1312" s="63" t="s">
        <v>40</v>
      </c>
      <c r="D1312" s="64" t="str">
        <f aca="false">TRIM(LEFT('Onshore- Melbourne'!A65,FIND(CHAR(10),'Onshore- Melbourne'!A65&amp;CHAR(10))-1))</f>
        <v>ALTEC College</v>
      </c>
      <c r="E1312" s="63" t="str">
        <f aca="false">'Onshore- Melbourne'!C71&amp;""</f>
        <v>1,5 years</v>
      </c>
      <c r="F1312" s="63" t="str">
        <f aca="false">IF('Onshore- Melbourne'!D71="","Belum tercatat",'Onshore- Melbourne'!D71)</f>
        <v>Term</v>
      </c>
      <c r="G1312" s="65" t="n">
        <f aca="false">IF('Onshore- Melbourne'!E71="","-",'Onshore- Melbourne'!E71)</f>
        <v>2625</v>
      </c>
      <c r="H1312" s="63" t="n">
        <f aca="false">IF(ISNUMBER(K1312),COUNTIFS($J$6:$J$1916,J1312,$K$6:$K$1916,"&lt;"&amp;K1312)+1,"-")</f>
        <v>6</v>
      </c>
      <c r="I1312" s="64" t="str">
        <f aca="false">IF('Onshore- Melbourne'!E71="","Harga belum tersedia - hubungi konsultan TEG",IF(M1312=2,"Saat ini tidak menerima pendaftaran siswa internasional baru",IF(M1312=1,"Harga perlu dikonfirmasi ke sekolah"&amp;IF(""="","","; "&amp;""),"")))</f>
        <v/>
      </c>
      <c r="J1312" s="0" t="s">
        <v>4336</v>
      </c>
      <c r="K1312" s="0" t="n">
        <f aca="false">IF(M1312=2,"",IF(ISNUMBER(SEARCH("rata-rata:",'Onshore- Melbourne'!M71)),VALUE(MID('Onshore- Melbourne'!M71,SEARCH("rata-rata:",'Onshore- Melbourne'!M71)+11,FIND(";",'Onshore- Melbourne'!M71&amp;";",SEARCH("rata-rata:",'Onshore- Melbourne'!M71))-SEARCH("rata-rata:",'Onshore- Melbourne'!M71)-11)),IF('Onshore- Melbourne'!D71="Semester",'Onshore- Melbourne'!E71*2,IF('Onshore- Melbourne'!D71="Trimester",'Onshore- Melbourne'!E71*3,IF('Onshore- Melbourne'!D71="Term",'Onshore- Melbourne'!E71*4,IF('Onshore- Melbourne'!D71="Unit",'Onshore- Melbourne'!E71*8,""))))))</f>
        <v>10500</v>
      </c>
      <c r="L1312" s="0" t="n">
        <f aca="false">IF(AND(ISNUMBER('Onshore- Melbourne'!E71),ISNUMBER(K1312),ISNUMBER('Onshore- Melbourne'!F71),ISNUMBER('Onshore- Melbourne'!G71),OR('Onshore- Melbourne'!F71&lt;&gt;0,ISNUMBER(SEARCH("Material 0 terverifikasi",'Onshore- Melbourne'!M71))),OR('Onshore- Melbourne'!G71&lt;&gt;0,ISNUMBER(SEARCH("Enrolment 0 terverifikasi",'Onshore- Melbourne'!M71)))),1,0)</f>
        <v>1</v>
      </c>
      <c r="M1312" s="0" t="n">
        <f aca="false">IF(OR('Onshore- Melbourne'!E71="",ISNUMBER(SEARCH("BSB80120",'Onshore- Melbourne'!B71&amp;'Onshore- Melbourne'!M71)),ISNUMBER(SEARCH("Management (Learning)",'Onshore- Melbourne'!B71))),2,IF(ISNUMBER(SEARCH("CEK:",'Onshore- Melbourne'!M71)),1,0))</f>
        <v>0</v>
      </c>
    </row>
    <row r="1313" customFormat="false" ht="15" hidden="false" customHeight="false" outlineLevel="0" collapsed="false">
      <c r="A1313" s="63" t="s">
        <v>3544</v>
      </c>
      <c r="B1313" s="64" t="s">
        <v>4297</v>
      </c>
      <c r="C1313" s="63" t="s">
        <v>40</v>
      </c>
      <c r="D1313" s="64" t="str">
        <f aca="false">TRIM(LEFT('Onshore- Melbourne'!A218,FIND(CHAR(10),'Onshore- Melbourne'!A218&amp;CHAR(10))-1))</f>
        <v>Australian Sovereign College (AuSC)</v>
      </c>
      <c r="E1313" s="63" t="str">
        <f aca="false">'Onshore- Melbourne'!C237&amp;""</f>
        <v>1,5 years</v>
      </c>
      <c r="F1313" s="63" t="str">
        <f aca="false">IF('Onshore- Melbourne'!D237="","Belum tercatat",'Onshore- Melbourne'!D237)</f>
        <v>Term</v>
      </c>
      <c r="G1313" s="65" t="n">
        <f aca="false">IF('Onshore- Melbourne'!E237="","-",'Onshore- Melbourne'!E237)</f>
        <v>2700</v>
      </c>
      <c r="H1313" s="63" t="n">
        <f aca="false">IF(ISNUMBER(K1313),COUNTIFS($J$6:$J$1916,J1313,$K$6:$K$1916,"&lt;"&amp;K1313)+1,"-")</f>
        <v>7</v>
      </c>
      <c r="I1313" s="64" t="str">
        <f aca="false">IF('Onshore- Melbourne'!E237="","Harga belum tersedia - hubungi konsultan TEG",IF(M1313=2,"Saat ini tidak menerima pendaftaran siswa internasional baru",IF(M1313=1,"Harga perlu dikonfirmasi ke sekolah"&amp;IF(""="","","; "&amp;""),"")))</f>
        <v/>
      </c>
      <c r="J1313" s="0" t="s">
        <v>4336</v>
      </c>
      <c r="K1313" s="0" t="n">
        <f aca="false">IF(M1313=2,"",IF(ISNUMBER(SEARCH("rata-rata:",'Onshore- Melbourne'!M237)),VALUE(MID('Onshore- Melbourne'!M237,SEARCH("rata-rata:",'Onshore- Melbourne'!M237)+11,FIND(";",'Onshore- Melbourne'!M237&amp;";",SEARCH("rata-rata:",'Onshore- Melbourne'!M237))-SEARCH("rata-rata:",'Onshore- Melbourne'!M237)-11)),IF('Onshore- Melbourne'!D237="Semester",'Onshore- Melbourne'!E237*2,IF('Onshore- Melbourne'!D237="Trimester",'Onshore- Melbourne'!E237*3,IF('Onshore- Melbourne'!D237="Term",'Onshore- Melbourne'!E237*4,IF('Onshore- Melbourne'!D237="Unit",'Onshore- Melbourne'!E237*8,""))))))</f>
        <v>10800</v>
      </c>
      <c r="L1313" s="0" t="n">
        <f aca="false">IF(AND(ISNUMBER('Onshore- Melbourne'!E237),ISNUMBER(K1313),ISNUMBER('Onshore- Melbourne'!F237),ISNUMBER('Onshore- Melbourne'!G237),OR('Onshore- Melbourne'!F237&lt;&gt;0,ISNUMBER(SEARCH("Material 0 terverifikasi",'Onshore- Melbourne'!M237))),OR('Onshore- Melbourne'!G237&lt;&gt;0,ISNUMBER(SEARCH("Enrolment 0 terverifikasi",'Onshore- Melbourne'!M237)))),1,0)</f>
        <v>1</v>
      </c>
      <c r="M1313" s="0" t="n">
        <f aca="false">IF(OR('Onshore- Melbourne'!E237="",ISNUMBER(SEARCH("BSB80120",'Onshore- Melbourne'!B237&amp;'Onshore- Melbourne'!M237)),ISNUMBER(SEARCH("Management (Learning)",'Onshore- Melbourne'!B237))),2,IF(ISNUMBER(SEARCH("CEK:",'Onshore- Melbourne'!M237)),1,0))</f>
        <v>0</v>
      </c>
    </row>
    <row r="1314" customFormat="false" ht="15" hidden="false" customHeight="false" outlineLevel="0" collapsed="false">
      <c r="A1314" s="63" t="s">
        <v>3544</v>
      </c>
      <c r="B1314" s="64" t="s">
        <v>4297</v>
      </c>
      <c r="C1314" s="63" t="s">
        <v>40</v>
      </c>
      <c r="D1314" s="64" t="str">
        <f aca="false">TRIM(LEFT('Onshore- Melbourne'!A576,FIND(CHAR(10),'Onshore- Melbourne'!A576&amp;CHAR(10))-1))</f>
        <v>William Angliss Institute</v>
      </c>
      <c r="E1314" s="63" t="str">
        <f aca="false">'Onshore- Melbourne'!C585&amp;""</f>
        <v>1,5 years</v>
      </c>
      <c r="F1314" s="63" t="str">
        <f aca="false">IF('Onshore- Melbourne'!D585="","Belum tercatat",'Onshore- Melbourne'!D585)</f>
        <v>Term</v>
      </c>
      <c r="G1314" s="65" t="n">
        <f aca="false">IF('Onshore- Melbourne'!E585="","-",'Onshore- Melbourne'!E585)</f>
        <v>5460</v>
      </c>
      <c r="H1314" s="63" t="n">
        <f aca="false">IF(ISNUMBER(K1314),COUNTIFS($J$6:$J$1916,J1314,$K$6:$K$1916,"&lt;"&amp;K1314)+1,"-")</f>
        <v>8</v>
      </c>
      <c r="I1314" s="64" t="str">
        <f aca="false">IF('Onshore- Melbourne'!E585="","Harga belum tersedia - hubungi konsultan TEG",IF(M1314=2,"Saat ini tidak menerima pendaftaran siswa internasional baru",IF(M1314=1,"Harga perlu dikonfirmasi ke sekolah"&amp;IF(""="","","; "&amp;""),"")))</f>
        <v/>
      </c>
      <c r="J1314" s="0" t="s">
        <v>4336</v>
      </c>
      <c r="K1314" s="0" t="n">
        <f aca="false">IF(M1314=2,"",IF(ISNUMBER(SEARCH("rata-rata:",'Onshore- Melbourne'!M585)),VALUE(MID('Onshore- Melbourne'!M585,SEARCH("rata-rata:",'Onshore- Melbourne'!M585)+11,FIND(";",'Onshore- Melbourne'!M585&amp;";",SEARCH("rata-rata:",'Onshore- Melbourne'!M585))-SEARCH("rata-rata:",'Onshore- Melbourne'!M585)-11)),IF('Onshore- Melbourne'!D585="Semester",'Onshore- Melbourne'!E585*2,IF('Onshore- Melbourne'!D585="Trimester",'Onshore- Melbourne'!E585*3,IF('Onshore- Melbourne'!D585="Term",'Onshore- Melbourne'!E585*4,IF('Onshore- Melbourne'!D585="Unit",'Onshore- Melbourne'!E585*8,""))))))</f>
        <v>21840</v>
      </c>
      <c r="L1314" s="0" t="n">
        <f aca="false">IF(AND(ISNUMBER('Onshore- Melbourne'!E585),ISNUMBER(K1314),ISNUMBER('Onshore- Melbourne'!F585),ISNUMBER('Onshore- Melbourne'!G585),OR('Onshore- Melbourne'!F585&lt;&gt;0,ISNUMBER(SEARCH("Material 0 terverifikasi",'Onshore- Melbourne'!M585))),OR('Onshore- Melbourne'!G585&lt;&gt;0,ISNUMBER(SEARCH("Enrolment 0 terverifikasi",'Onshore- Melbourne'!M585)))),1,0)</f>
        <v>1</v>
      </c>
      <c r="M1314" s="0" t="n">
        <f aca="false">IF(OR('Onshore- Melbourne'!E585="",ISNUMBER(SEARCH("BSB80120",'Onshore- Melbourne'!B585&amp;'Onshore- Melbourne'!M585)),ISNUMBER(SEARCH("Management (Learning)",'Onshore- Melbourne'!B585))),2,IF(ISNUMBER(SEARCH("CEK:",'Onshore- Melbourne'!M585)),1,0))</f>
        <v>0</v>
      </c>
    </row>
    <row r="1315" customFormat="false" ht="15" hidden="false" customHeight="false" outlineLevel="0" collapsed="false">
      <c r="A1315" s="63" t="s">
        <v>3544</v>
      </c>
      <c r="B1315" s="64" t="s">
        <v>4297</v>
      </c>
      <c r="C1315" s="63" t="s">
        <v>40</v>
      </c>
      <c r="D1315" s="64" t="str">
        <f aca="false">TRIM(LEFT('Onshore- Melbourne'!A338,FIND(CHAR(10),'Onshore- Melbourne'!A338&amp;CHAR(10))-1))</f>
        <v>Le Cordon Bleu Australia</v>
      </c>
      <c r="E1315" s="63" t="str">
        <f aca="false">'Onshore- Melbourne'!C339&amp;""</f>
        <v>0,5 year</v>
      </c>
      <c r="F1315" s="63" t="str">
        <f aca="false">IF('Onshore- Melbourne'!D339="","Belum tercatat",'Onshore- Melbourne'!D339)</f>
        <v>Term</v>
      </c>
      <c r="G1315" s="65" t="n">
        <f aca="false">IF('Onshore- Melbourne'!E339="","-",'Onshore- Melbourne'!E339)</f>
        <v>6737</v>
      </c>
      <c r="H1315" s="63" t="n">
        <f aca="false">IF(ISNUMBER(K1315),COUNTIFS($J$6:$J$1916,J1315,$K$6:$K$1916,"&lt;"&amp;K1315)+1,"-")</f>
        <v>9</v>
      </c>
      <c r="I1315" s="64" t="str">
        <f aca="false">IF('Onshore- Melbourne'!E339="","Harga belum tersedia - hubungi konsultan TEG",IF(M1315=2,"Saat ini tidak menerima pendaftaran siswa internasional baru",IF(M1315=1,"Harga perlu dikonfirmasi ke sekolah"&amp;IF(""="","","; "&amp;""),"")))</f>
        <v/>
      </c>
      <c r="J1315" s="0" t="s">
        <v>4336</v>
      </c>
      <c r="K1315" s="0" t="n">
        <f aca="false">IF(M1315=2,"",IF(ISNUMBER(SEARCH("rata-rata:",'Onshore- Melbourne'!M339)),VALUE(MID('Onshore- Melbourne'!M339,SEARCH("rata-rata:",'Onshore- Melbourne'!M339)+11,FIND(";",'Onshore- Melbourne'!M339&amp;";",SEARCH("rata-rata:",'Onshore- Melbourne'!M339))-SEARCH("rata-rata:",'Onshore- Melbourne'!M339)-11)),IF('Onshore- Melbourne'!D339="Semester",'Onshore- Melbourne'!E339*2,IF('Onshore- Melbourne'!D339="Trimester",'Onshore- Melbourne'!E339*3,IF('Onshore- Melbourne'!D339="Term",'Onshore- Melbourne'!E339*4,IF('Onshore- Melbourne'!D339="Unit",'Onshore- Melbourne'!E339*8,""))))))</f>
        <v>26948</v>
      </c>
      <c r="L1315" s="0" t="n">
        <f aca="false">IF(AND(ISNUMBER('Onshore- Melbourne'!E339),ISNUMBER(K1315),ISNUMBER('Onshore- Melbourne'!F339),ISNUMBER('Onshore- Melbourne'!G339),OR('Onshore- Melbourne'!F339&lt;&gt;0,ISNUMBER(SEARCH("Material 0 terverifikasi",'Onshore- Melbourne'!M339))),OR('Onshore- Melbourne'!G339&lt;&gt;0,ISNUMBER(SEARCH("Enrolment 0 terverifikasi",'Onshore- Melbourne'!M339)))),1,0)</f>
        <v>0</v>
      </c>
      <c r="M1315" s="0" t="n">
        <f aca="false">IF(OR('Onshore- Melbourne'!E339="",ISNUMBER(SEARCH("BSB80120",'Onshore- Melbourne'!B339&amp;'Onshore- Melbourne'!M339)),ISNUMBER(SEARCH("Management (Learning)",'Onshore- Melbourne'!B339))),2,IF(ISNUMBER(SEARCH("CEK:",'Onshore- Melbourne'!M339)),1,0))</f>
        <v>0</v>
      </c>
    </row>
    <row r="1316" customFormat="false" ht="15" hidden="false" customHeight="false" outlineLevel="0" collapsed="false">
      <c r="A1316" s="61" t="s">
        <v>4337</v>
      </c>
      <c r="B1316" s="62"/>
      <c r="C1316" s="62"/>
      <c r="D1316" s="62"/>
      <c r="E1316" s="62"/>
      <c r="F1316" s="62"/>
      <c r="G1316" s="62"/>
      <c r="H1316" s="62"/>
      <c r="I1316" s="62"/>
    </row>
    <row r="1317" customFormat="false" ht="15" hidden="false" customHeight="false" outlineLevel="0" collapsed="false">
      <c r="A1317" s="63" t="s">
        <v>3544</v>
      </c>
      <c r="B1317" s="64" t="s">
        <v>4297</v>
      </c>
      <c r="C1317" s="63" t="s">
        <v>41</v>
      </c>
      <c r="D1317" s="64" t="str">
        <f aca="false">TRIM(LEFT('Onshore- Melbourne'!A350,FIND(CHAR(10),'Onshore- Melbourne'!A350&amp;CHAR(10))-1))</f>
        <v>Le Suisse Academy</v>
      </c>
      <c r="E1317" s="63" t="str">
        <f aca="false">'Onshore- Melbourne'!C351&amp;""</f>
        <v>2 years</v>
      </c>
      <c r="F1317" s="63" t="str">
        <f aca="false">IF('Onshore- Melbourne'!D351="","Belum tercatat",'Onshore- Melbourne'!D351)</f>
        <v>Term</v>
      </c>
      <c r="G1317" s="65" t="n">
        <f aca="false">IF('Onshore- Melbourne'!E351="","-",'Onshore- Melbourne'!E351)</f>
        <v>1587.5</v>
      </c>
      <c r="H1317" s="63" t="n">
        <f aca="false">IF(ISNUMBER(K1317),COUNTIFS($J$6:$J$1916,J1317,$K$6:$K$1916,"&lt;"&amp;K1317)+1,"-")</f>
        <v>1</v>
      </c>
      <c r="I1317" s="64" t="str">
        <f aca="false">IF('Onshore- Melbourne'!E351="","Harga belum tersedia - hubungi konsultan TEG",IF(M1317=2,"Saat ini tidak menerima pendaftaran siswa internasional baru",IF(M1317=1,"Harga perlu dikonfirmasi ke sekolah"&amp;IF(""="","","; "&amp;""),"")))</f>
        <v/>
      </c>
      <c r="J1317" s="0" t="s">
        <v>4338</v>
      </c>
      <c r="K1317" s="0" t="n">
        <f aca="false">IF(M1317=2,"",IF(ISNUMBER(SEARCH("rata-rata:",'Onshore- Melbourne'!M351)),VALUE(MID('Onshore- Melbourne'!M351,SEARCH("rata-rata:",'Onshore- Melbourne'!M351)+11,FIND(";",'Onshore- Melbourne'!M351&amp;";",SEARCH("rata-rata:",'Onshore- Melbourne'!M351))-SEARCH("rata-rata:",'Onshore- Melbourne'!M351)-11)),IF('Onshore- Melbourne'!D351="Semester",'Onshore- Melbourne'!E351*2,IF('Onshore- Melbourne'!D351="Trimester",'Onshore- Melbourne'!E351*3,IF('Onshore- Melbourne'!D351="Term",'Onshore- Melbourne'!E351*4,IF('Onshore- Melbourne'!D351="Unit",'Onshore- Melbourne'!E351*8,""))))))</f>
        <v>6350</v>
      </c>
      <c r="L1317" s="0" t="n">
        <f aca="false">IF(AND(ISNUMBER('Onshore- Melbourne'!E351),ISNUMBER(K1317),ISNUMBER('Onshore- Melbourne'!F351),ISNUMBER('Onshore- Melbourne'!G351),OR('Onshore- Melbourne'!F351&lt;&gt;0,ISNUMBER(SEARCH("Material 0 terverifikasi",'Onshore- Melbourne'!M351))),OR('Onshore- Melbourne'!G351&lt;&gt;0,ISNUMBER(SEARCH("Enrolment 0 terverifikasi",'Onshore- Melbourne'!M351)))),1,0)</f>
        <v>1</v>
      </c>
      <c r="M1317" s="0" t="n">
        <f aca="false">IF(OR('Onshore- Melbourne'!E351="",ISNUMBER(SEARCH("BSB80120",'Onshore- Melbourne'!B351&amp;'Onshore- Melbourne'!M351)),ISNUMBER(SEARCH("Management (Learning)",'Onshore- Melbourne'!B351))),2,IF(ISNUMBER(SEARCH("CEK:",'Onshore- Melbourne'!M351)),1,0))</f>
        <v>0</v>
      </c>
    </row>
    <row r="1318" customFormat="false" ht="28.35" hidden="false" customHeight="false" outlineLevel="0" collapsed="false">
      <c r="A1318" s="63" t="s">
        <v>3544</v>
      </c>
      <c r="B1318" s="64" t="s">
        <v>4297</v>
      </c>
      <c r="C1318" s="63" t="s">
        <v>41</v>
      </c>
      <c r="D1318" s="64" t="str">
        <f aca="false">TRIM(LEFT('Onshore- Melbourne'!A53,FIND(CHAR(10),'Onshore- Melbourne'!A53&amp;CHAR(10))-1))</f>
        <v>Albright Institute of Business and Language (AIBL)</v>
      </c>
      <c r="E1318" s="63" t="str">
        <f aca="false">'Onshore- Melbourne'!C58&amp;""</f>
        <v>2 years</v>
      </c>
      <c r="F1318" s="63" t="str">
        <f aca="false">IF('Onshore- Melbourne'!D58="","Belum tercatat",'Onshore- Melbourne'!D58)</f>
        <v>Term</v>
      </c>
      <c r="G1318" s="65" t="n">
        <f aca="false">IF('Onshore- Melbourne'!E58="","-",'Onshore- Melbourne'!E58)</f>
        <v>1875</v>
      </c>
      <c r="H1318" s="63" t="n">
        <f aca="false">IF(ISNUMBER(K1318),COUNTIFS($J$6:$J$1916,J1318,$K$6:$K$1916,"&lt;"&amp;K1318)+1,"-")</f>
        <v>2</v>
      </c>
      <c r="I1318" s="64" t="str">
        <f aca="false">IF('Onshore- Melbourne'!E58="","Harga belum tersedia - hubungi konsultan TEG",IF(M1318=2,"Saat ini tidak menerima pendaftaran siswa internasional baru",IF(M1318=1,"Harga perlu dikonfirmasi ke sekolah"&amp;IF(""="","","; "&amp;""),"")))</f>
        <v/>
      </c>
      <c r="J1318" s="0" t="s">
        <v>4338</v>
      </c>
      <c r="K1318" s="0" t="n">
        <f aca="false">IF(M1318=2,"",IF(ISNUMBER(SEARCH("rata-rata:",'Onshore- Melbourne'!M58)),VALUE(MID('Onshore- Melbourne'!M58,SEARCH("rata-rata:",'Onshore- Melbourne'!M58)+11,FIND(";",'Onshore- Melbourne'!M58&amp;";",SEARCH("rata-rata:",'Onshore- Melbourne'!M58))-SEARCH("rata-rata:",'Onshore- Melbourne'!M58)-11)),IF('Onshore- Melbourne'!D58="Semester",'Onshore- Melbourne'!E58*2,IF('Onshore- Melbourne'!D58="Trimester",'Onshore- Melbourne'!E58*3,IF('Onshore- Melbourne'!D58="Term",'Onshore- Melbourne'!E58*4,IF('Onshore- Melbourne'!D58="Unit",'Onshore- Melbourne'!E58*8,""))))))</f>
        <v>7500</v>
      </c>
      <c r="L1318" s="0" t="n">
        <f aca="false">IF(AND(ISNUMBER('Onshore- Melbourne'!E58),ISNUMBER(K1318),ISNUMBER('Onshore- Melbourne'!F58),ISNUMBER('Onshore- Melbourne'!G58),OR('Onshore- Melbourne'!F58&lt;&gt;0,ISNUMBER(SEARCH("Material 0 terverifikasi",'Onshore- Melbourne'!M58))),OR('Onshore- Melbourne'!G58&lt;&gt;0,ISNUMBER(SEARCH("Enrolment 0 terverifikasi",'Onshore- Melbourne'!M58)))),1,0)</f>
        <v>1</v>
      </c>
      <c r="M1318" s="0" t="n">
        <f aca="false">IF(OR('Onshore- Melbourne'!E58="",ISNUMBER(SEARCH("BSB80120",'Onshore- Melbourne'!B58&amp;'Onshore- Melbourne'!M58)),ISNUMBER(SEARCH("Management (Learning)",'Onshore- Melbourne'!B58))),2,IF(ISNUMBER(SEARCH("CEK:",'Onshore- Melbourne'!M58)),1,0))</f>
        <v>0</v>
      </c>
    </row>
    <row r="1319" customFormat="false" ht="15" hidden="false" customHeight="false" outlineLevel="0" collapsed="false">
      <c r="A1319" s="63" t="s">
        <v>3544</v>
      </c>
      <c r="B1319" s="64" t="s">
        <v>4297</v>
      </c>
      <c r="C1319" s="63" t="s">
        <v>41</v>
      </c>
      <c r="D1319" s="64" t="str">
        <f aca="false">TRIM(LEFT('Onshore- Melbourne'!A277,FIND(CHAR(10),'Onshore- Melbourne'!A277&amp;CHAR(10))-1))</f>
        <v>Greenwich College</v>
      </c>
      <c r="E1319" s="63" t="str">
        <f aca="false">'Onshore- Melbourne'!C288&amp;""</f>
        <v>110 weeks</v>
      </c>
      <c r="F1319" s="63" t="str">
        <f aca="false">IF('Onshore- Melbourne'!D288="","Belum tercatat",'Onshore- Melbourne'!D288)</f>
        <v>Term</v>
      </c>
      <c r="G1319" s="65" t="n">
        <f aca="false">IF('Onshore- Melbourne'!E288="","-",'Onshore- Melbourne'!E288)</f>
        <v>1950</v>
      </c>
      <c r="H1319" s="63" t="n">
        <f aca="false">IF(ISNUMBER(K1319),COUNTIFS($J$6:$J$1916,J1319,$K$6:$K$1916,"&lt;"&amp;K1319)+1,"-")</f>
        <v>3</v>
      </c>
      <c r="I1319" s="64" t="str">
        <f aca="false">IF('Onshore- Melbourne'!E288="","Harga belum tersedia - hubungi konsultan TEG",IF(M1319=2,"Saat ini tidak menerima pendaftaran siswa internasional baru",IF(M1319=1,"Harga perlu dikonfirmasi ke sekolah"&amp;IF(""="","","; "&amp;""),"")))</f>
        <v/>
      </c>
      <c r="J1319" s="0" t="s">
        <v>4338</v>
      </c>
      <c r="K1319" s="0" t="n">
        <f aca="false">IF(M1319=2,"",IF(ISNUMBER(SEARCH("rata-rata:",'Onshore- Melbourne'!M288)),VALUE(MID('Onshore- Melbourne'!M288,SEARCH("rata-rata:",'Onshore- Melbourne'!M288)+11,FIND(";",'Onshore- Melbourne'!M288&amp;";",SEARCH("rata-rata:",'Onshore- Melbourne'!M288))-SEARCH("rata-rata:",'Onshore- Melbourne'!M288)-11)),IF('Onshore- Melbourne'!D288="Semester",'Onshore- Melbourne'!E288*2,IF('Onshore- Melbourne'!D288="Trimester",'Onshore- Melbourne'!E288*3,IF('Onshore- Melbourne'!D288="Term",'Onshore- Melbourne'!E288*4,IF('Onshore- Melbourne'!D288="Unit",'Onshore- Melbourne'!E288*8,""))))))</f>
        <v>7800</v>
      </c>
      <c r="L1319" s="0" t="n">
        <f aca="false">IF(AND(ISNUMBER('Onshore- Melbourne'!E288),ISNUMBER(K1319),ISNUMBER('Onshore- Melbourne'!F288),ISNUMBER('Onshore- Melbourne'!G288),OR('Onshore- Melbourne'!F288&lt;&gt;0,ISNUMBER(SEARCH("Material 0 terverifikasi",'Onshore- Melbourne'!M288))),OR('Onshore- Melbourne'!G288&lt;&gt;0,ISNUMBER(SEARCH("Enrolment 0 terverifikasi",'Onshore- Melbourne'!M288)))),1,0)</f>
        <v>1</v>
      </c>
      <c r="M1319" s="0" t="n">
        <f aca="false">IF(OR('Onshore- Melbourne'!E288="",ISNUMBER(SEARCH("BSB80120",'Onshore- Melbourne'!B288&amp;'Onshore- Melbourne'!M288)),ISNUMBER(SEARCH("Management (Learning)",'Onshore- Melbourne'!B288))),2,IF(ISNUMBER(SEARCH("CEK:",'Onshore- Melbourne'!M288)),1,0))</f>
        <v>0</v>
      </c>
    </row>
    <row r="1320" customFormat="false" ht="15" hidden="false" customHeight="false" outlineLevel="0" collapsed="false">
      <c r="A1320" s="63" t="s">
        <v>3544</v>
      </c>
      <c r="B1320" s="64" t="s">
        <v>4297</v>
      </c>
      <c r="C1320" s="63" t="s">
        <v>41</v>
      </c>
      <c r="D1320" s="64" t="str">
        <f aca="false">TRIM(LEFT('Onshore- Melbourne'!A256,FIND(CHAR(10),'Onshore- Melbourne'!A256&amp;CHAR(10))-1))</f>
        <v>Collins International College</v>
      </c>
      <c r="E1320" s="63" t="str">
        <f aca="false">'Onshore- Melbourne'!C256&amp;""</f>
        <v>2 years</v>
      </c>
      <c r="F1320" s="63" t="str">
        <f aca="false">IF('Onshore- Melbourne'!D256="","Belum tercatat",'Onshore- Melbourne'!D256)</f>
        <v>Term</v>
      </c>
      <c r="G1320" s="65" t="n">
        <f aca="false">IF('Onshore- Melbourne'!E256="","-",'Onshore- Melbourne'!E256)</f>
        <v>2000</v>
      </c>
      <c r="H1320" s="63" t="n">
        <f aca="false">IF(ISNUMBER(K1320),COUNTIFS($J$6:$J$1916,J1320,$K$6:$K$1916,"&lt;"&amp;K1320)+1,"-")</f>
        <v>4</v>
      </c>
      <c r="I1320" s="64" t="str">
        <f aca="false">IF('Onshore- Melbourne'!E256="","Harga belum tersedia - hubungi konsultan TEG",IF(M1320=2,"Saat ini tidak menerima pendaftaran siswa internasional baru",IF(M1320=1,"Harga perlu dikonfirmasi ke sekolah"&amp;IF(""="","","; "&amp;""),"")))</f>
        <v>Harga perlu dikonfirmasi ke sekolah</v>
      </c>
      <c r="J1320" s="0" t="s">
        <v>4338</v>
      </c>
      <c r="K1320" s="0" t="n">
        <f aca="false">IF(M1320=2,"",IF(ISNUMBER(SEARCH("rata-rata:",'Onshore- Melbourne'!M256)),VALUE(MID('Onshore- Melbourne'!M256,SEARCH("rata-rata:",'Onshore- Melbourne'!M256)+11,FIND(";",'Onshore- Melbourne'!M256&amp;";",SEARCH("rata-rata:",'Onshore- Melbourne'!M256))-SEARCH("rata-rata:",'Onshore- Melbourne'!M256)-11)),IF('Onshore- Melbourne'!D256="Semester",'Onshore- Melbourne'!E256*2,IF('Onshore- Melbourne'!D256="Trimester",'Onshore- Melbourne'!E256*3,IF('Onshore- Melbourne'!D256="Term",'Onshore- Melbourne'!E256*4,IF('Onshore- Melbourne'!D256="Unit",'Onshore- Melbourne'!E256*8,""))))))</f>
        <v>8000</v>
      </c>
      <c r="L1320" s="0" t="n">
        <f aca="false">IF(AND(ISNUMBER('Onshore- Melbourne'!E256),ISNUMBER(K1320),ISNUMBER('Onshore- Melbourne'!F256),ISNUMBER('Onshore- Melbourne'!G256),OR('Onshore- Melbourne'!F256&lt;&gt;0,ISNUMBER(SEARCH("Material 0 terverifikasi",'Onshore- Melbourne'!M256))),OR('Onshore- Melbourne'!G256&lt;&gt;0,ISNUMBER(SEARCH("Enrolment 0 terverifikasi",'Onshore- Melbourne'!M256)))),1,0)</f>
        <v>1</v>
      </c>
      <c r="M1320" s="0" t="n">
        <f aca="false">IF(OR('Onshore- Melbourne'!E256="",ISNUMBER(SEARCH("BSB80120",'Onshore- Melbourne'!B256&amp;'Onshore- Melbourne'!M256)),ISNUMBER(SEARCH("Management (Learning)",'Onshore- Melbourne'!B256))),2,IF(ISNUMBER(SEARCH("CEK:",'Onshore- Melbourne'!M256)),1,0))</f>
        <v>1</v>
      </c>
    </row>
    <row r="1321" customFormat="false" ht="15" hidden="false" customHeight="false" outlineLevel="0" collapsed="false">
      <c r="A1321" s="63" t="s">
        <v>3544</v>
      </c>
      <c r="B1321" s="64" t="s">
        <v>4297</v>
      </c>
      <c r="C1321" s="63" t="s">
        <v>41</v>
      </c>
      <c r="D1321" s="64" t="str">
        <f aca="false">TRIM(LEFT('Onshore- Melbourne'!A436,FIND(CHAR(10),'Onshore- Melbourne'!A436&amp;CHAR(10))-1))</f>
        <v>The Centre of Excellence</v>
      </c>
      <c r="E1321" s="63" t="str">
        <f aca="false">'Onshore- Melbourne'!C437&amp;""</f>
        <v>2 years</v>
      </c>
      <c r="F1321" s="63" t="str">
        <f aca="false">IF('Onshore- Melbourne'!D437="","Belum tercatat",'Onshore- Melbourne'!D437)</f>
        <v>Term</v>
      </c>
      <c r="G1321" s="65" t="n">
        <f aca="false">IF('Onshore- Melbourne'!E437="","-",'Onshore- Melbourne'!E437)</f>
        <v>2100</v>
      </c>
      <c r="H1321" s="63" t="n">
        <f aca="false">IF(ISNUMBER(K1321),COUNTIFS($J$6:$J$1916,J1321,$K$6:$K$1916,"&lt;"&amp;K1321)+1,"-")</f>
        <v>5</v>
      </c>
      <c r="I1321" s="64" t="str">
        <f aca="false">IF('Onshore- Melbourne'!E437="","Harga belum tersedia - hubungi konsultan TEG",IF(M1321=2,"Saat ini tidak menerima pendaftaran siswa internasional baru",IF(M1321=1,"Harga perlu dikonfirmasi ke sekolah"&amp;IF(""="","","; "&amp;""),"")))</f>
        <v/>
      </c>
      <c r="J1321" s="0" t="s">
        <v>4338</v>
      </c>
      <c r="K1321" s="0" t="n">
        <f aca="false">IF(M1321=2,"",IF(ISNUMBER(SEARCH("rata-rata:",'Onshore- Melbourne'!M437)),VALUE(MID('Onshore- Melbourne'!M437,SEARCH("rata-rata:",'Onshore- Melbourne'!M437)+11,FIND(";",'Onshore- Melbourne'!M437&amp;";",SEARCH("rata-rata:",'Onshore- Melbourne'!M437))-SEARCH("rata-rata:",'Onshore- Melbourne'!M437)-11)),IF('Onshore- Melbourne'!D437="Semester",'Onshore- Melbourne'!E437*2,IF('Onshore- Melbourne'!D437="Trimester",'Onshore- Melbourne'!E437*3,IF('Onshore- Melbourne'!D437="Term",'Onshore- Melbourne'!E437*4,IF('Onshore- Melbourne'!D437="Unit",'Onshore- Melbourne'!E437*8,""))))))</f>
        <v>8400</v>
      </c>
      <c r="L1321" s="0" t="n">
        <f aca="false">IF(AND(ISNUMBER('Onshore- Melbourne'!E437),ISNUMBER(K1321),ISNUMBER('Onshore- Melbourne'!F437),ISNUMBER('Onshore- Melbourne'!G437),OR('Onshore- Melbourne'!F437&lt;&gt;0,ISNUMBER(SEARCH("Material 0 terverifikasi",'Onshore- Melbourne'!M437))),OR('Onshore- Melbourne'!G437&lt;&gt;0,ISNUMBER(SEARCH("Enrolment 0 terverifikasi",'Onshore- Melbourne'!M437)))),1,0)</f>
        <v>1</v>
      </c>
      <c r="M1321" s="0" t="n">
        <f aca="false">IF(OR('Onshore- Melbourne'!E437="",ISNUMBER(SEARCH("BSB80120",'Onshore- Melbourne'!B437&amp;'Onshore- Melbourne'!M437)),ISNUMBER(SEARCH("Management (Learning)",'Onshore- Melbourne'!B437))),2,IF(ISNUMBER(SEARCH("CEK:",'Onshore- Melbourne'!M437)),1,0))</f>
        <v>0</v>
      </c>
    </row>
    <row r="1322" customFormat="false" ht="28.35" hidden="false" customHeight="false" outlineLevel="0" collapsed="false">
      <c r="A1322" s="63" t="s">
        <v>3544</v>
      </c>
      <c r="B1322" s="64" t="s">
        <v>4297</v>
      </c>
      <c r="C1322" s="63" t="s">
        <v>41</v>
      </c>
      <c r="D1322" s="64" t="str">
        <f aca="false">TRIM(LEFT('Onshore- Melbourne'!A90,FIND(CHAR(10),'Onshore- Melbourne'!A90&amp;CHAR(10))-1))</f>
        <v>Australian Business &amp; Culinary Institute (ABC Institute)</v>
      </c>
      <c r="E1322" s="63" t="str">
        <f aca="false">'Onshore- Melbourne'!C92&amp;""</f>
        <v>2 years</v>
      </c>
      <c r="F1322" s="63" t="str">
        <f aca="false">IF('Onshore- Melbourne'!D92="","Belum tercatat",'Onshore- Melbourne'!D92)</f>
        <v>Term</v>
      </c>
      <c r="G1322" s="65" t="n">
        <f aca="false">IF('Onshore- Melbourne'!E92="","-",'Onshore- Melbourne'!E92)</f>
        <v>2125</v>
      </c>
      <c r="H1322" s="63" t="n">
        <f aca="false">IF(ISNUMBER(K1322),COUNTIFS($J$6:$J$1916,J1322,$K$6:$K$1916,"&lt;"&amp;K1322)+1,"-")</f>
        <v>6</v>
      </c>
      <c r="I1322" s="64" t="str">
        <f aca="false">IF('Onshore- Melbourne'!E92="","Harga belum tersedia - hubungi konsultan TEG",IF(M1322=2,"Saat ini tidak menerima pendaftaran siswa internasional baru",IF(M1322=1,"Harga perlu dikonfirmasi ke sekolah"&amp;IF(""="","","; "&amp;""),"")))</f>
        <v/>
      </c>
      <c r="J1322" s="0" t="s">
        <v>4338</v>
      </c>
      <c r="K1322" s="0" t="n">
        <f aca="false">IF(M1322=2,"",IF(ISNUMBER(SEARCH("rata-rata:",'Onshore- Melbourne'!M92)),VALUE(MID('Onshore- Melbourne'!M92,SEARCH("rata-rata:",'Onshore- Melbourne'!M92)+11,FIND(";",'Onshore- Melbourne'!M92&amp;";",SEARCH("rata-rata:",'Onshore- Melbourne'!M92))-SEARCH("rata-rata:",'Onshore- Melbourne'!M92)-11)),IF('Onshore- Melbourne'!D92="Semester",'Onshore- Melbourne'!E92*2,IF('Onshore- Melbourne'!D92="Trimester",'Onshore- Melbourne'!E92*3,IF('Onshore- Melbourne'!D92="Term",'Onshore- Melbourne'!E92*4,IF('Onshore- Melbourne'!D92="Unit",'Onshore- Melbourne'!E92*8,""))))))</f>
        <v>8500</v>
      </c>
      <c r="L1322" s="0" t="n">
        <f aca="false">IF(AND(ISNUMBER('Onshore- Melbourne'!E92),ISNUMBER(K1322),ISNUMBER('Onshore- Melbourne'!F92),ISNUMBER('Onshore- Melbourne'!G92),OR('Onshore- Melbourne'!F92&lt;&gt;0,ISNUMBER(SEARCH("Material 0 terverifikasi",'Onshore- Melbourne'!M92))),OR('Onshore- Melbourne'!G92&lt;&gt;0,ISNUMBER(SEARCH("Enrolment 0 terverifikasi",'Onshore- Melbourne'!M92)))),1,0)</f>
        <v>1</v>
      </c>
      <c r="M1322" s="0" t="n">
        <f aca="false">IF(OR('Onshore- Melbourne'!E92="",ISNUMBER(SEARCH("BSB80120",'Onshore- Melbourne'!B92&amp;'Onshore- Melbourne'!M92)),ISNUMBER(SEARCH("Management (Learning)",'Onshore- Melbourne'!B92))),2,IF(ISNUMBER(SEARCH("CEK:",'Onshore- Melbourne'!M92)),1,0))</f>
        <v>0</v>
      </c>
    </row>
    <row r="1323" customFormat="false" ht="28.35" hidden="false" customHeight="false" outlineLevel="0" collapsed="false">
      <c r="A1323" s="63" t="s">
        <v>3544</v>
      </c>
      <c r="B1323" s="64" t="s">
        <v>4297</v>
      </c>
      <c r="C1323" s="63" t="s">
        <v>41</v>
      </c>
      <c r="D1323" s="64" t="str">
        <f aca="false">TRIM(LEFT('Onshore- Melbourne'!A208,FIND(CHAR(10),'Onshore- Melbourne'!A208&amp;CHAR(10))-1))</f>
        <v>Australian Institute of Digital Technology (AIDT)</v>
      </c>
      <c r="E1323" s="63" t="str">
        <f aca="false">'Onshore- Melbourne'!C217&amp;""</f>
        <v>2 years</v>
      </c>
      <c r="F1323" s="63" t="str">
        <f aca="false">IF('Onshore- Melbourne'!D217="","Belum tercatat",'Onshore- Melbourne'!D217)</f>
        <v>Term</v>
      </c>
      <c r="G1323" s="65" t="n">
        <f aca="false">IF('Onshore- Melbourne'!E217="","-",'Onshore- Melbourne'!E217)</f>
        <v>2150</v>
      </c>
      <c r="H1323" s="63" t="n">
        <f aca="false">IF(ISNUMBER(K1323),COUNTIFS($J$6:$J$1916,J1323,$K$6:$K$1916,"&lt;"&amp;K1323)+1,"-")</f>
        <v>7</v>
      </c>
      <c r="I1323" s="64" t="str">
        <f aca="false">IF('Onshore- Melbourne'!E217="","Harga belum tersedia - hubungi konsultan TEG",IF(M1323=2,"Saat ini tidak menerima pendaftaran siswa internasional baru",IF(M1323=1,"Harga perlu dikonfirmasi ke sekolah"&amp;IF(""="","","; "&amp;""),"")))</f>
        <v/>
      </c>
      <c r="J1323" s="0" t="s">
        <v>4338</v>
      </c>
      <c r="K1323" s="0" t="n">
        <f aca="false">IF(M1323=2,"",IF(ISNUMBER(SEARCH("rata-rata:",'Onshore- Melbourne'!M217)),VALUE(MID('Onshore- Melbourne'!M217,SEARCH("rata-rata:",'Onshore- Melbourne'!M217)+11,FIND(";",'Onshore- Melbourne'!M217&amp;";",SEARCH("rata-rata:",'Onshore- Melbourne'!M217))-SEARCH("rata-rata:",'Onshore- Melbourne'!M217)-11)),IF('Onshore- Melbourne'!D217="Semester",'Onshore- Melbourne'!E217*2,IF('Onshore- Melbourne'!D217="Trimester",'Onshore- Melbourne'!E217*3,IF('Onshore- Melbourne'!D217="Term",'Onshore- Melbourne'!E217*4,IF('Onshore- Melbourne'!D217="Unit",'Onshore- Melbourne'!E217*8,""))))))</f>
        <v>8600</v>
      </c>
      <c r="L1323" s="0" t="n">
        <f aca="false">IF(AND(ISNUMBER('Onshore- Melbourne'!E217),ISNUMBER(K1323),ISNUMBER('Onshore- Melbourne'!F217),ISNUMBER('Onshore- Melbourne'!G217),OR('Onshore- Melbourne'!F217&lt;&gt;0,ISNUMBER(SEARCH("Material 0 terverifikasi",'Onshore- Melbourne'!M217))),OR('Onshore- Melbourne'!G217&lt;&gt;0,ISNUMBER(SEARCH("Enrolment 0 terverifikasi",'Onshore- Melbourne'!M217)))),1,0)</f>
        <v>1</v>
      </c>
      <c r="M1323" s="0" t="n">
        <f aca="false">IF(OR('Onshore- Melbourne'!E217="",ISNUMBER(SEARCH("BSB80120",'Onshore- Melbourne'!B217&amp;'Onshore- Melbourne'!M217)),ISNUMBER(SEARCH("Management (Learning)",'Onshore- Melbourne'!B217))),2,IF(ISNUMBER(SEARCH("CEK:",'Onshore- Melbourne'!M217)),1,0))</f>
        <v>0</v>
      </c>
    </row>
    <row r="1324" customFormat="false" ht="15" hidden="false" customHeight="false" outlineLevel="0" collapsed="false">
      <c r="A1324" s="63" t="s">
        <v>3544</v>
      </c>
      <c r="B1324" s="64" t="s">
        <v>4297</v>
      </c>
      <c r="C1324" s="63" t="s">
        <v>41</v>
      </c>
      <c r="D1324" s="64" t="str">
        <f aca="false">TRIM(LEFT('Onshore- Melbourne'!A6,FIND(CHAR(10),'Onshore- Melbourne'!A6&amp;CHAR(10))-1))</f>
        <v>Academies Australasia</v>
      </c>
      <c r="E1324" s="63" t="str">
        <f aca="false">'Onshore- Melbourne'!C13&amp;""</f>
        <v>3 years</v>
      </c>
      <c r="F1324" s="63" t="str">
        <f aca="false">IF('Onshore- Melbourne'!D13="","Belum tercatat",'Onshore- Melbourne'!D13)</f>
        <v>Term</v>
      </c>
      <c r="G1324" s="65" t="n">
        <f aca="false">IF('Onshore- Melbourne'!E13="","-",'Onshore- Melbourne'!E13)</f>
        <v>2250</v>
      </c>
      <c r="H1324" s="63" t="n">
        <f aca="false">IF(ISNUMBER(K1324),COUNTIFS($J$6:$J$1916,J1324,$K$6:$K$1916,"&lt;"&amp;K1324)+1,"-")</f>
        <v>8</v>
      </c>
      <c r="I1324" s="64" t="str">
        <f aca="false">IF('Onshore- Melbourne'!E13="","Harga belum tersedia - hubungi konsultan TEG",IF(M1324=2,"Saat ini tidak menerima pendaftaran siswa internasional baru",IF(M1324=1,"Harga perlu dikonfirmasi ke sekolah"&amp;IF(""="","","; "&amp;""),"")))</f>
        <v/>
      </c>
      <c r="J1324" s="0" t="s">
        <v>4338</v>
      </c>
      <c r="K1324" s="0" t="n">
        <f aca="false">IF(M1324=2,"",IF(ISNUMBER(SEARCH("rata-rata:",'Onshore- Melbourne'!M13)),VALUE(MID('Onshore- Melbourne'!M13,SEARCH("rata-rata:",'Onshore- Melbourne'!M13)+11,FIND(";",'Onshore- Melbourne'!M13&amp;";",SEARCH("rata-rata:",'Onshore- Melbourne'!M13))-SEARCH("rata-rata:",'Onshore- Melbourne'!M13)-11)),IF('Onshore- Melbourne'!D13="Semester",'Onshore- Melbourne'!E13*2,IF('Onshore- Melbourne'!D13="Trimester",'Onshore- Melbourne'!E13*3,IF('Onshore- Melbourne'!D13="Term",'Onshore- Melbourne'!E13*4,IF('Onshore- Melbourne'!D13="Unit",'Onshore- Melbourne'!E13*8,""))))))</f>
        <v>9000</v>
      </c>
      <c r="L1324" s="0" t="n">
        <f aca="false">IF(AND(ISNUMBER('Onshore- Melbourne'!E13),ISNUMBER(K1324),ISNUMBER('Onshore- Melbourne'!F13),ISNUMBER('Onshore- Melbourne'!G13),OR('Onshore- Melbourne'!F13&lt;&gt;0,ISNUMBER(SEARCH("Material 0 terverifikasi",'Onshore- Melbourne'!M13))),OR('Onshore- Melbourne'!G13&lt;&gt;0,ISNUMBER(SEARCH("Enrolment 0 terverifikasi",'Onshore- Melbourne'!M13)))),1,0)</f>
        <v>1</v>
      </c>
      <c r="M1324" s="0" t="n">
        <f aca="false">IF(OR('Onshore- Melbourne'!E13="",ISNUMBER(SEARCH("BSB80120",'Onshore- Melbourne'!B13&amp;'Onshore- Melbourne'!M13)),ISNUMBER(SEARCH("Management (Learning)",'Onshore- Melbourne'!B13))),2,IF(ISNUMBER(SEARCH("CEK:",'Onshore- Melbourne'!M13)),1,0))</f>
        <v>0</v>
      </c>
    </row>
    <row r="1325" customFormat="false" ht="15" hidden="false" customHeight="false" outlineLevel="0" collapsed="false">
      <c r="A1325" s="63" t="s">
        <v>3544</v>
      </c>
      <c r="B1325" s="64" t="s">
        <v>4297</v>
      </c>
      <c r="C1325" s="63" t="s">
        <v>41</v>
      </c>
      <c r="D1325" s="64" t="str">
        <f aca="false">TRIM(LEFT('Onshore- Melbourne'!A405,FIND(CHAR(10),'Onshore- Melbourne'!A405&amp;CHAR(10))-1))</f>
        <v>Pax Institute of Education</v>
      </c>
      <c r="E1325" s="63" t="str">
        <f aca="false">'Onshore- Melbourne'!C405&amp;""</f>
        <v>2 years</v>
      </c>
      <c r="F1325" s="63" t="str">
        <f aca="false">IF('Onshore- Melbourne'!D405="","Belum tercatat",'Onshore- Melbourne'!D405)</f>
        <v>Term</v>
      </c>
      <c r="G1325" s="65" t="n">
        <f aca="false">IF('Onshore- Melbourne'!E405="","-",'Onshore- Melbourne'!E405)</f>
        <v>2250</v>
      </c>
      <c r="H1325" s="63" t="n">
        <f aca="false">IF(ISNUMBER(K1325),COUNTIFS($J$6:$J$1916,J1325,$K$6:$K$1916,"&lt;"&amp;K1325)+1,"-")</f>
        <v>8</v>
      </c>
      <c r="I1325" s="64" t="str">
        <f aca="false">IF('Onshore- Melbourne'!E405="","Harga belum tersedia - hubungi konsultan TEG",IF(M1325=2,"Saat ini tidak menerima pendaftaran siswa internasional baru",IF(M1325=1,"Harga perlu dikonfirmasi ke sekolah"&amp;IF(""="","","; "&amp;""),"")))</f>
        <v/>
      </c>
      <c r="J1325" s="0" t="s">
        <v>4338</v>
      </c>
      <c r="K1325" s="0" t="n">
        <f aca="false">IF(M1325=2,"",IF(ISNUMBER(SEARCH("rata-rata:",'Onshore- Melbourne'!M405)),VALUE(MID('Onshore- Melbourne'!M405,SEARCH("rata-rata:",'Onshore- Melbourne'!M405)+11,FIND(";",'Onshore- Melbourne'!M405&amp;";",SEARCH("rata-rata:",'Onshore- Melbourne'!M405))-SEARCH("rata-rata:",'Onshore- Melbourne'!M405)-11)),IF('Onshore- Melbourne'!D405="Semester",'Onshore- Melbourne'!E405*2,IF('Onshore- Melbourne'!D405="Trimester",'Onshore- Melbourne'!E405*3,IF('Onshore- Melbourne'!D405="Term",'Onshore- Melbourne'!E405*4,IF('Onshore- Melbourne'!D405="Unit",'Onshore- Melbourne'!E405*8,""))))))</f>
        <v>9000</v>
      </c>
      <c r="L1325" s="0" t="n">
        <f aca="false">IF(AND(ISNUMBER('Onshore- Melbourne'!E405),ISNUMBER(K1325),ISNUMBER('Onshore- Melbourne'!F405),ISNUMBER('Onshore- Melbourne'!G405),OR('Onshore- Melbourne'!F405&lt;&gt;0,ISNUMBER(SEARCH("Material 0 terverifikasi",'Onshore- Melbourne'!M405))),OR('Onshore- Melbourne'!G405&lt;&gt;0,ISNUMBER(SEARCH("Enrolment 0 terverifikasi",'Onshore- Melbourne'!M405)))),1,0)</f>
        <v>1</v>
      </c>
      <c r="M1325" s="0" t="n">
        <f aca="false">IF(OR('Onshore- Melbourne'!E405="",ISNUMBER(SEARCH("BSB80120",'Onshore- Melbourne'!B405&amp;'Onshore- Melbourne'!M405)),ISNUMBER(SEARCH("Management (Learning)",'Onshore- Melbourne'!B405))),2,IF(ISNUMBER(SEARCH("CEK:",'Onshore- Melbourne'!M405)),1,0))</f>
        <v>0</v>
      </c>
    </row>
    <row r="1326" customFormat="false" ht="28.35" hidden="false" customHeight="false" outlineLevel="0" collapsed="false">
      <c r="A1326" s="63" t="s">
        <v>3544</v>
      </c>
      <c r="B1326" s="64" t="s">
        <v>4297</v>
      </c>
      <c r="C1326" s="63" t="s">
        <v>41</v>
      </c>
      <c r="D1326" s="64" t="str">
        <f aca="false">TRIM(LEFT('Onshore- Melbourne'!A454,FIND(CHAR(10),'Onshore- Melbourne'!A454&amp;CHAR(10))-1))</f>
        <v>TKL College (Training for Knowledge and Livelihood)</v>
      </c>
      <c r="E1326" s="63" t="str">
        <f aca="false">'Onshore- Melbourne'!C458&amp;""</f>
        <v>3 years</v>
      </c>
      <c r="F1326" s="63" t="str">
        <f aca="false">IF('Onshore- Melbourne'!D458="","Belum tercatat",'Onshore- Melbourne'!D458)</f>
        <v>Term</v>
      </c>
      <c r="G1326" s="65" t="n">
        <f aca="false">IF('Onshore- Melbourne'!E458="","-",'Onshore- Melbourne'!E458)</f>
        <v>2250</v>
      </c>
      <c r="H1326" s="63" t="n">
        <f aca="false">IF(ISNUMBER(K1326),COUNTIFS($J$6:$J$1916,J1326,$K$6:$K$1916,"&lt;"&amp;K1326)+1,"-")</f>
        <v>8</v>
      </c>
      <c r="I1326" s="64" t="str">
        <f aca="false">IF('Onshore- Melbourne'!E458="","Harga belum tersedia - hubungi konsultan TEG",IF(M1326=2,"Saat ini tidak menerima pendaftaran siswa internasional baru",IF(M1326=1,"Program perlu dikonfirmasi ketersediaannya"&amp;IF(""="","","; "&amp;""),"")))</f>
        <v>Program perlu dikonfirmasi ketersediaannya</v>
      </c>
      <c r="J1326" s="0" t="s">
        <v>4338</v>
      </c>
      <c r="K1326" s="0" t="n">
        <f aca="false">IF(M1326=2,"",IF(ISNUMBER(SEARCH("rata-rata:",'Onshore- Melbourne'!M458)),VALUE(MID('Onshore- Melbourne'!M458,SEARCH("rata-rata:",'Onshore- Melbourne'!M458)+11,FIND(";",'Onshore- Melbourne'!M458&amp;";",SEARCH("rata-rata:",'Onshore- Melbourne'!M458))-SEARCH("rata-rata:",'Onshore- Melbourne'!M458)-11)),IF('Onshore- Melbourne'!D458="Semester",'Onshore- Melbourne'!E458*2,IF('Onshore- Melbourne'!D458="Trimester",'Onshore- Melbourne'!E458*3,IF('Onshore- Melbourne'!D458="Term",'Onshore- Melbourne'!E458*4,IF('Onshore- Melbourne'!D458="Unit",'Onshore- Melbourne'!E458*8,""))))))</f>
        <v>9000</v>
      </c>
      <c r="L1326" s="0" t="n">
        <f aca="false">IF(AND(ISNUMBER('Onshore- Melbourne'!E458),ISNUMBER(K1326),ISNUMBER('Onshore- Melbourne'!F458),ISNUMBER('Onshore- Melbourne'!G458),OR('Onshore- Melbourne'!F458&lt;&gt;0,ISNUMBER(SEARCH("Material 0 terverifikasi",'Onshore- Melbourne'!M458))),OR('Onshore- Melbourne'!G458&lt;&gt;0,ISNUMBER(SEARCH("Enrolment 0 terverifikasi",'Onshore- Melbourne'!M458)))),1,0)</f>
        <v>1</v>
      </c>
      <c r="M1326" s="0" t="n">
        <f aca="false">IF(OR('Onshore- Melbourne'!E458="",ISNUMBER(SEARCH("BSB80120",'Onshore- Melbourne'!B458&amp;'Onshore- Melbourne'!M458)),ISNUMBER(SEARCH("Management (Learning)",'Onshore- Melbourne'!B458))),2,IF(ISNUMBER(SEARCH("CEK:",'Onshore- Melbourne'!M458)),1,0))</f>
        <v>1</v>
      </c>
    </row>
    <row r="1327" customFormat="false" ht="15" hidden="false" customHeight="false" outlineLevel="0" collapsed="false">
      <c r="A1327" s="63" t="s">
        <v>3544</v>
      </c>
      <c r="B1327" s="64" t="s">
        <v>4297</v>
      </c>
      <c r="C1327" s="63" t="s">
        <v>41</v>
      </c>
      <c r="D1327" s="64" t="str">
        <f aca="false">TRIM(LEFT('Onshore- Melbourne'!A377,FIND(CHAR(10),'Onshore- Melbourne'!A377&amp;CHAR(10))-1))</f>
        <v>National Training College of Australia (NTCA)</v>
      </c>
      <c r="E1327" s="63" t="str">
        <f aca="false">'Onshore- Melbourne'!C381&amp;""</f>
        <v>3 years</v>
      </c>
      <c r="F1327" s="63" t="str">
        <f aca="false">IF('Onshore- Melbourne'!D381="","Belum tercatat",'Onshore- Melbourne'!D381)</f>
        <v>Term</v>
      </c>
      <c r="G1327" s="65" t="n">
        <f aca="false">IF('Onshore- Melbourne'!E381="","-",'Onshore- Melbourne'!E381)</f>
        <v>2300</v>
      </c>
      <c r="H1327" s="63" t="n">
        <f aca="false">IF(ISNUMBER(K1327),COUNTIFS($J$6:$J$1916,J1327,$K$6:$K$1916,"&lt;"&amp;K1327)+1,"-")</f>
        <v>11</v>
      </c>
      <c r="I1327" s="64" t="str">
        <f aca="false">IF('Onshore- Melbourne'!E381="","Harga belum tersedia - hubungi konsultan TEG",IF(M1327=2,"Saat ini tidak menerima pendaftaran siswa internasional baru",IF(M1327=1,"Harga perlu dikonfirmasi ke sekolah"&amp;IF(""="","","; "&amp;""),"")))</f>
        <v/>
      </c>
      <c r="J1327" s="0" t="s">
        <v>4338</v>
      </c>
      <c r="K1327" s="0" t="n">
        <f aca="false">IF(M1327=2,"",IF(ISNUMBER(SEARCH("rata-rata:",'Onshore- Melbourne'!M381)),VALUE(MID('Onshore- Melbourne'!M381,SEARCH("rata-rata:",'Onshore- Melbourne'!M381)+11,FIND(";",'Onshore- Melbourne'!M381&amp;";",SEARCH("rata-rata:",'Onshore- Melbourne'!M381))-SEARCH("rata-rata:",'Onshore- Melbourne'!M381)-11)),IF('Onshore- Melbourne'!D381="Semester",'Onshore- Melbourne'!E381*2,IF('Onshore- Melbourne'!D381="Trimester",'Onshore- Melbourne'!E381*3,IF('Onshore- Melbourne'!D381="Term",'Onshore- Melbourne'!E381*4,IF('Onshore- Melbourne'!D381="Unit",'Onshore- Melbourne'!E381*8,""))))))</f>
        <v>9200</v>
      </c>
      <c r="L1327" s="0" t="n">
        <f aca="false">IF(AND(ISNUMBER('Onshore- Melbourne'!E381),ISNUMBER(K1327),ISNUMBER('Onshore- Melbourne'!F381),ISNUMBER('Onshore- Melbourne'!G381),OR('Onshore- Melbourne'!F381&lt;&gt;0,ISNUMBER(SEARCH("Material 0 terverifikasi",'Onshore- Melbourne'!M381))),OR('Onshore- Melbourne'!G381&lt;&gt;0,ISNUMBER(SEARCH("Enrolment 0 terverifikasi",'Onshore- Melbourne'!M381)))),1,0)</f>
        <v>1</v>
      </c>
      <c r="M1327" s="0" t="n">
        <f aca="false">IF(OR('Onshore- Melbourne'!E381="",ISNUMBER(SEARCH("BSB80120",'Onshore- Melbourne'!B381&amp;'Onshore- Melbourne'!M381)),ISNUMBER(SEARCH("Management (Learning)",'Onshore- Melbourne'!B381))),2,IF(ISNUMBER(SEARCH("CEK:",'Onshore- Melbourne'!M381)),1,0))</f>
        <v>0</v>
      </c>
    </row>
    <row r="1328" customFormat="false" ht="15" hidden="false" customHeight="false" outlineLevel="0" collapsed="false">
      <c r="A1328" s="63" t="s">
        <v>3544</v>
      </c>
      <c r="B1328" s="64" t="s">
        <v>4297</v>
      </c>
      <c r="C1328" s="63" t="s">
        <v>41</v>
      </c>
      <c r="D1328" s="64" t="str">
        <f aca="false">TRIM(LEFT('Onshore- Melbourne'!A388,FIND(CHAR(10),'Onshore- Melbourne'!A388&amp;CHAR(10))-1))</f>
        <v>Opulence College</v>
      </c>
      <c r="E1328" s="63" t="str">
        <f aca="false">'Onshore- Melbourne'!C389&amp;""</f>
        <v>2 years</v>
      </c>
      <c r="F1328" s="63" t="str">
        <f aca="false">IF('Onshore- Melbourne'!D389="","Belum tercatat",'Onshore- Melbourne'!D389)</f>
        <v>Term</v>
      </c>
      <c r="G1328" s="65" t="n">
        <f aca="false">IF('Onshore- Melbourne'!E389="","-",'Onshore- Melbourne'!E389)</f>
        <v>2315</v>
      </c>
      <c r="H1328" s="63" t="n">
        <f aca="false">IF(ISNUMBER(K1328),COUNTIFS($J$6:$J$1916,J1328,$K$6:$K$1916,"&lt;"&amp;K1328)+1,"-")</f>
        <v>12</v>
      </c>
      <c r="I1328" s="64" t="str">
        <f aca="false">IF('Onshore- Melbourne'!E389="","Harga belum tersedia - hubungi konsultan TEG",IF(M1328=2,"Saat ini tidak menerima pendaftaran siswa internasional baru",IF(M1328=1,"Harga perlu dikonfirmasi ke sekolah"&amp;IF(""="","","; "&amp;""),"")))</f>
        <v/>
      </c>
      <c r="J1328" s="0" t="s">
        <v>4338</v>
      </c>
      <c r="K1328" s="0" t="n">
        <f aca="false">IF(M1328=2,"",IF(ISNUMBER(SEARCH("rata-rata:",'Onshore- Melbourne'!M389)),VALUE(MID('Onshore- Melbourne'!M389,SEARCH("rata-rata:",'Onshore- Melbourne'!M389)+11,FIND(";",'Onshore- Melbourne'!M389&amp;";",SEARCH("rata-rata:",'Onshore- Melbourne'!M389))-SEARCH("rata-rata:",'Onshore- Melbourne'!M389)-11)),IF('Onshore- Melbourne'!D389="Semester",'Onshore- Melbourne'!E389*2,IF('Onshore- Melbourne'!D389="Trimester",'Onshore- Melbourne'!E389*3,IF('Onshore- Melbourne'!D389="Term",'Onshore- Melbourne'!E389*4,IF('Onshore- Melbourne'!D389="Unit",'Onshore- Melbourne'!E389*8,""))))))</f>
        <v>9260</v>
      </c>
      <c r="L1328" s="0" t="n">
        <f aca="false">IF(AND(ISNUMBER('Onshore- Melbourne'!E389),ISNUMBER(K1328),ISNUMBER('Onshore- Melbourne'!F389),ISNUMBER('Onshore- Melbourne'!G389),OR('Onshore- Melbourne'!F389&lt;&gt;0,ISNUMBER(SEARCH("Material 0 terverifikasi",'Onshore- Melbourne'!M389))),OR('Onshore- Melbourne'!G389&lt;&gt;0,ISNUMBER(SEARCH("Enrolment 0 terverifikasi",'Onshore- Melbourne'!M389)))),1,0)</f>
        <v>1</v>
      </c>
      <c r="M1328" s="0" t="n">
        <f aca="false">IF(OR('Onshore- Melbourne'!E389="",ISNUMBER(SEARCH("BSB80120",'Onshore- Melbourne'!B389&amp;'Onshore- Melbourne'!M389)),ISNUMBER(SEARCH("Management (Learning)",'Onshore- Melbourne'!B389))),2,IF(ISNUMBER(SEARCH("CEK:",'Onshore- Melbourne'!M389)),1,0))</f>
        <v>0</v>
      </c>
    </row>
    <row r="1329" customFormat="false" ht="15" hidden="false" customHeight="false" outlineLevel="0" collapsed="false">
      <c r="A1329" s="63" t="s">
        <v>3544</v>
      </c>
      <c r="B1329" s="64" t="s">
        <v>4297</v>
      </c>
      <c r="C1329" s="63" t="s">
        <v>41</v>
      </c>
      <c r="D1329" s="64" t="str">
        <f aca="false">TRIM(LEFT('Onshore- Melbourne'!A572,FIND(CHAR(10),'Onshore- Melbourne'!A572&amp;CHAR(10))-1))</f>
        <v>Wattle College</v>
      </c>
      <c r="E1329" s="63" t="str">
        <f aca="false">'Onshore- Melbourne'!C573&amp;""</f>
        <v>2 years</v>
      </c>
      <c r="F1329" s="63" t="str">
        <f aca="false">IF('Onshore- Melbourne'!D573="","Belum tercatat",'Onshore- Melbourne'!D573)</f>
        <v>Term</v>
      </c>
      <c r="G1329" s="65" t="n">
        <f aca="false">IF('Onshore- Melbourne'!E573="","-",'Onshore- Melbourne'!E573)</f>
        <v>2365</v>
      </c>
      <c r="H1329" s="63" t="n">
        <f aca="false">IF(ISNUMBER(K1329),COUNTIFS($J$6:$J$1916,J1329,$K$6:$K$1916,"&lt;"&amp;K1329)+1,"-")</f>
        <v>13</v>
      </c>
      <c r="I1329" s="64" t="str">
        <f aca="false">IF('Onshore- Melbourne'!E573="","Harga belum tersedia - hubungi konsultan TEG",IF(M1329=2,"Saat ini tidak menerima pendaftaran siswa internasional baru",IF(M1329=1,"Harga perlu dikonfirmasi ke sekolah"&amp;IF(""="","","; "&amp;""),"")))</f>
        <v/>
      </c>
      <c r="J1329" s="0" t="s">
        <v>4338</v>
      </c>
      <c r="K1329" s="0" t="n">
        <f aca="false">IF(M1329=2,"",IF(ISNUMBER(SEARCH("rata-rata:",'Onshore- Melbourne'!M573)),VALUE(MID('Onshore- Melbourne'!M573,SEARCH("rata-rata:",'Onshore- Melbourne'!M573)+11,FIND(";",'Onshore- Melbourne'!M573&amp;";",SEARCH("rata-rata:",'Onshore- Melbourne'!M573))-SEARCH("rata-rata:",'Onshore- Melbourne'!M573)-11)),IF('Onshore- Melbourne'!D573="Semester",'Onshore- Melbourne'!E573*2,IF('Onshore- Melbourne'!D573="Trimester",'Onshore- Melbourne'!E573*3,IF('Onshore- Melbourne'!D573="Term",'Onshore- Melbourne'!E573*4,IF('Onshore- Melbourne'!D573="Unit",'Onshore- Melbourne'!E573*8,""))))))</f>
        <v>9460</v>
      </c>
      <c r="L1329" s="0" t="n">
        <f aca="false">IF(AND(ISNUMBER('Onshore- Melbourne'!E573),ISNUMBER(K1329),ISNUMBER('Onshore- Melbourne'!F573),ISNUMBER('Onshore- Melbourne'!G573),OR('Onshore- Melbourne'!F573&lt;&gt;0,ISNUMBER(SEARCH("Material 0 terverifikasi",'Onshore- Melbourne'!M573))),OR('Onshore- Melbourne'!G573&lt;&gt;0,ISNUMBER(SEARCH("Enrolment 0 terverifikasi",'Onshore- Melbourne'!M573)))),1,0)</f>
        <v>1</v>
      </c>
      <c r="M1329" s="0" t="n">
        <f aca="false">IF(OR('Onshore- Melbourne'!E573="",ISNUMBER(SEARCH("BSB80120",'Onshore- Melbourne'!B573&amp;'Onshore- Melbourne'!M573)),ISNUMBER(SEARCH("Management (Learning)",'Onshore- Melbourne'!B573))),2,IF(ISNUMBER(SEARCH("CEK:",'Onshore- Melbourne'!M573)),1,0))</f>
        <v>0</v>
      </c>
    </row>
    <row r="1330" customFormat="false" ht="15" hidden="false" customHeight="false" outlineLevel="0" collapsed="false">
      <c r="A1330" s="63" t="s">
        <v>3544</v>
      </c>
      <c r="B1330" s="64" t="s">
        <v>4297</v>
      </c>
      <c r="C1330" s="63" t="s">
        <v>41</v>
      </c>
      <c r="D1330" s="64" t="str">
        <f aca="false">TRIM(LEFT('Onshore- Melbourne'!A218,FIND(CHAR(10),'Onshore- Melbourne'!A218&amp;CHAR(10))-1))</f>
        <v>Australian Sovereign College (AuSC)</v>
      </c>
      <c r="E1330" s="63" t="str">
        <f aca="false">'Onshore- Melbourne'!C238&amp;""</f>
        <v>2 years</v>
      </c>
      <c r="F1330" s="63" t="str">
        <f aca="false">IF('Onshore- Melbourne'!D238="","Belum tercatat",'Onshore- Melbourne'!D238)</f>
        <v>Term</v>
      </c>
      <c r="G1330" s="65" t="n">
        <f aca="false">IF('Onshore- Melbourne'!E238="","-",'Onshore- Melbourne'!E238)</f>
        <v>2375</v>
      </c>
      <c r="H1330" s="63" t="n">
        <f aca="false">IF(ISNUMBER(K1330),COUNTIFS($J$6:$J$1916,J1330,$K$6:$K$1916,"&lt;"&amp;K1330)+1,"-")</f>
        <v>14</v>
      </c>
      <c r="I1330" s="64" t="str">
        <f aca="false">IF('Onshore- Melbourne'!E238="","Harga belum tersedia - hubungi konsultan TEG",IF(M1330=2,"Saat ini tidak menerima pendaftaran siswa internasional baru",IF(M1330=1,"Harga perlu dikonfirmasi ke sekolah"&amp;IF(""="","","; "&amp;""),"")))</f>
        <v/>
      </c>
      <c r="J1330" s="0" t="s">
        <v>4338</v>
      </c>
      <c r="K1330" s="0" t="n">
        <f aca="false">IF(M1330=2,"",IF(ISNUMBER(SEARCH("rata-rata:",'Onshore- Melbourne'!M238)),VALUE(MID('Onshore- Melbourne'!M238,SEARCH("rata-rata:",'Onshore- Melbourne'!M238)+11,FIND(";",'Onshore- Melbourne'!M238&amp;";",SEARCH("rata-rata:",'Onshore- Melbourne'!M238))-SEARCH("rata-rata:",'Onshore- Melbourne'!M238)-11)),IF('Onshore- Melbourne'!D238="Semester",'Onshore- Melbourne'!E238*2,IF('Onshore- Melbourne'!D238="Trimester",'Onshore- Melbourne'!E238*3,IF('Onshore- Melbourne'!D238="Term",'Onshore- Melbourne'!E238*4,IF('Onshore- Melbourne'!D238="Unit",'Onshore- Melbourne'!E238*8,""))))))</f>
        <v>9500</v>
      </c>
      <c r="L1330" s="0" t="n">
        <f aca="false">IF(AND(ISNUMBER('Onshore- Melbourne'!E238),ISNUMBER(K1330),ISNUMBER('Onshore- Melbourne'!F238),ISNUMBER('Onshore- Melbourne'!G238),OR('Onshore- Melbourne'!F238&lt;&gt;0,ISNUMBER(SEARCH("Material 0 terverifikasi",'Onshore- Melbourne'!M238))),OR('Onshore- Melbourne'!G238&lt;&gt;0,ISNUMBER(SEARCH("Enrolment 0 terverifikasi",'Onshore- Melbourne'!M238)))),1,0)</f>
        <v>1</v>
      </c>
      <c r="M1330" s="0" t="n">
        <f aca="false">IF(OR('Onshore- Melbourne'!E238="",ISNUMBER(SEARCH("BSB80120",'Onshore- Melbourne'!B238&amp;'Onshore- Melbourne'!M238)),ISNUMBER(SEARCH("Management (Learning)",'Onshore- Melbourne'!B238))),2,IF(ISNUMBER(SEARCH("CEK:",'Onshore- Melbourne'!M238)),1,0))</f>
        <v>0</v>
      </c>
    </row>
    <row r="1331" customFormat="false" ht="15" hidden="false" customHeight="false" outlineLevel="0" collapsed="false">
      <c r="A1331" s="63" t="s">
        <v>3544</v>
      </c>
      <c r="B1331" s="64" t="s">
        <v>4297</v>
      </c>
      <c r="C1331" s="63" t="s">
        <v>41</v>
      </c>
      <c r="D1331" s="64" t="str">
        <f aca="false">TRIM(LEFT('Onshore- Melbourne'!A429,FIND(CHAR(10),'Onshore- Melbourne'!A429&amp;CHAR(10))-1))</f>
        <v>States College Australia</v>
      </c>
      <c r="E1331" s="63" t="str">
        <f aca="false">'Onshore- Melbourne'!C430&amp;""</f>
        <v>1,5 years</v>
      </c>
      <c r="F1331" s="63" t="str">
        <f aca="false">IF('Onshore- Melbourne'!D430="","Belum tercatat",'Onshore- Melbourne'!D430)</f>
        <v>Term</v>
      </c>
      <c r="G1331" s="65" t="n">
        <f aca="false">IF('Onshore- Melbourne'!E430="","-",'Onshore- Melbourne'!E430)</f>
        <v>2375</v>
      </c>
      <c r="H1331" s="63" t="n">
        <f aca="false">IF(ISNUMBER(K1331),COUNTIFS($J$6:$J$1916,J1331,$K$6:$K$1916,"&lt;"&amp;K1331)+1,"-")</f>
        <v>14</v>
      </c>
      <c r="I1331" s="64" t="str">
        <f aca="false">IF('Onshore- Melbourne'!E430="","Harga belum tersedia - hubungi konsultan TEG",IF(M1331=2,"Saat ini tidak menerima pendaftaran siswa internasional baru",IF(M1331=1,"Harga perlu dikonfirmasi ke sekolah"&amp;IF(""="","","; "&amp;""),"")))</f>
        <v/>
      </c>
      <c r="J1331" s="0" t="s">
        <v>4338</v>
      </c>
      <c r="K1331" s="0" t="n">
        <f aca="false">IF(M1331=2,"",IF(ISNUMBER(SEARCH("rata-rata:",'Onshore- Melbourne'!M430)),VALUE(MID('Onshore- Melbourne'!M430,SEARCH("rata-rata:",'Onshore- Melbourne'!M430)+11,FIND(";",'Onshore- Melbourne'!M430&amp;";",SEARCH("rata-rata:",'Onshore- Melbourne'!M430))-SEARCH("rata-rata:",'Onshore- Melbourne'!M430)-11)),IF('Onshore- Melbourne'!D430="Semester",'Onshore- Melbourne'!E430*2,IF('Onshore- Melbourne'!D430="Trimester",'Onshore- Melbourne'!E430*3,IF('Onshore- Melbourne'!D430="Term",'Onshore- Melbourne'!E430*4,IF('Onshore- Melbourne'!D430="Unit",'Onshore- Melbourne'!E430*8,""))))))</f>
        <v>9500</v>
      </c>
      <c r="L1331" s="0" t="n">
        <f aca="false">IF(AND(ISNUMBER('Onshore- Melbourne'!E430),ISNUMBER(K1331),ISNUMBER('Onshore- Melbourne'!F430),ISNUMBER('Onshore- Melbourne'!G430),OR('Onshore- Melbourne'!F430&lt;&gt;0,ISNUMBER(SEARCH("Material 0 terverifikasi",'Onshore- Melbourne'!M430))),OR('Onshore- Melbourne'!G430&lt;&gt;0,ISNUMBER(SEARCH("Enrolment 0 terverifikasi",'Onshore- Melbourne'!M430)))),1,0)</f>
        <v>1</v>
      </c>
      <c r="M1331" s="0" t="n">
        <f aca="false">IF(OR('Onshore- Melbourne'!E430="",ISNUMBER(SEARCH("BSB80120",'Onshore- Melbourne'!B430&amp;'Onshore- Melbourne'!M430)),ISNUMBER(SEARCH("Management (Learning)",'Onshore- Melbourne'!B430))),2,IF(ISNUMBER(SEARCH("CEK:",'Onshore- Melbourne'!M430)),1,0))</f>
        <v>0</v>
      </c>
    </row>
    <row r="1332" customFormat="false" ht="15" hidden="false" customHeight="false" outlineLevel="0" collapsed="false">
      <c r="A1332" s="63" t="s">
        <v>3544</v>
      </c>
      <c r="B1332" s="64" t="s">
        <v>4297</v>
      </c>
      <c r="C1332" s="63" t="s">
        <v>41</v>
      </c>
      <c r="D1332" s="64" t="str">
        <f aca="false">TRIM(LEFT('Onshore- Melbourne'!A65,FIND(CHAR(10),'Onshore- Melbourne'!A65&amp;CHAR(10))-1))</f>
        <v>ALTEC College</v>
      </c>
      <c r="E1332" s="63" t="str">
        <f aca="false">'Onshore- Melbourne'!C72&amp;""</f>
        <v>2 years</v>
      </c>
      <c r="F1332" s="63" t="str">
        <f aca="false">IF('Onshore- Melbourne'!D72="","Belum tercatat",'Onshore- Melbourne'!D72)</f>
        <v>Term</v>
      </c>
      <c r="G1332" s="65" t="n">
        <f aca="false">IF('Onshore- Melbourne'!E72="","-",'Onshore- Melbourne'!E72)</f>
        <v>2625</v>
      </c>
      <c r="H1332" s="63" t="n">
        <f aca="false">IF(ISNUMBER(K1332),COUNTIFS($J$6:$J$1916,J1332,$K$6:$K$1916,"&lt;"&amp;K1332)+1,"-")</f>
        <v>16</v>
      </c>
      <c r="I1332" s="64" t="str">
        <f aca="false">IF('Onshore- Melbourne'!E72="","Harga belum tersedia - hubungi konsultan TEG",IF(M1332=2,"Saat ini tidak menerima pendaftaran siswa internasional baru",IF(M1332=1,"Harga perlu dikonfirmasi ke sekolah"&amp;IF(""="","","; "&amp;""),"")))</f>
        <v/>
      </c>
      <c r="J1332" s="0" t="s">
        <v>4338</v>
      </c>
      <c r="K1332" s="0" t="n">
        <f aca="false">IF(M1332=2,"",IF(ISNUMBER(SEARCH("rata-rata:",'Onshore- Melbourne'!M72)),VALUE(MID('Onshore- Melbourne'!M72,SEARCH("rata-rata:",'Onshore- Melbourne'!M72)+11,FIND(";",'Onshore- Melbourne'!M72&amp;";",SEARCH("rata-rata:",'Onshore- Melbourne'!M72))-SEARCH("rata-rata:",'Onshore- Melbourne'!M72)-11)),IF('Onshore- Melbourne'!D72="Semester",'Onshore- Melbourne'!E72*2,IF('Onshore- Melbourne'!D72="Trimester",'Onshore- Melbourne'!E72*3,IF('Onshore- Melbourne'!D72="Term",'Onshore- Melbourne'!E72*4,IF('Onshore- Melbourne'!D72="Unit",'Onshore- Melbourne'!E72*8,""))))))</f>
        <v>10500</v>
      </c>
      <c r="L1332" s="0" t="n">
        <f aca="false">IF(AND(ISNUMBER('Onshore- Melbourne'!E72),ISNUMBER(K1332),ISNUMBER('Onshore- Melbourne'!F72),ISNUMBER('Onshore- Melbourne'!G72),OR('Onshore- Melbourne'!F72&lt;&gt;0,ISNUMBER(SEARCH("Material 0 terverifikasi",'Onshore- Melbourne'!M72))),OR('Onshore- Melbourne'!G72&lt;&gt;0,ISNUMBER(SEARCH("Enrolment 0 terverifikasi",'Onshore- Melbourne'!M72)))),1,0)</f>
        <v>1</v>
      </c>
      <c r="M1332" s="0" t="n">
        <f aca="false">IF(OR('Onshore- Melbourne'!E72="",ISNUMBER(SEARCH("BSB80120",'Onshore- Melbourne'!B72&amp;'Onshore- Melbourne'!M72)),ISNUMBER(SEARCH("Management (Learning)",'Onshore- Melbourne'!B72))),2,IF(ISNUMBER(SEARCH("CEK:",'Onshore- Melbourne'!M72)),1,0))</f>
        <v>0</v>
      </c>
    </row>
    <row r="1333" customFormat="false" ht="15" hidden="false" customHeight="false" outlineLevel="0" collapsed="false">
      <c r="A1333" s="63" t="s">
        <v>3544</v>
      </c>
      <c r="B1333" s="64" t="s">
        <v>4297</v>
      </c>
      <c r="C1333" s="63" t="s">
        <v>41</v>
      </c>
      <c r="D1333" s="64" t="str">
        <f aca="false">TRIM(LEFT('Onshore- Melbourne'!A354,FIND(CHAR(10),'Onshore- Melbourne'!A354&amp;CHAR(10))-1))</f>
        <v>Melbourne Metro College</v>
      </c>
      <c r="E1333" s="63" t="str">
        <f aca="false">'Onshore- Melbourne'!C354&amp;""</f>
        <v>2 years</v>
      </c>
      <c r="F1333" s="63" t="str">
        <f aca="false">IF('Onshore- Melbourne'!D354="","Belum tercatat",'Onshore- Melbourne'!D354)</f>
        <v>Term</v>
      </c>
      <c r="G1333" s="65" t="n">
        <f aca="false">IF('Onshore- Melbourne'!E354="","-",'Onshore- Melbourne'!E354)</f>
        <v>2875</v>
      </c>
      <c r="H1333" s="63" t="n">
        <f aca="false">IF(ISNUMBER(K1333),COUNTIFS($J$6:$J$1916,J1333,$K$6:$K$1916,"&lt;"&amp;K1333)+1,"-")</f>
        <v>17</v>
      </c>
      <c r="I1333" s="64" t="str">
        <f aca="false">IF('Onshore- Melbourne'!E354="","Harga belum tersedia - hubungi konsultan TEG",IF(M1333=2,"Saat ini tidak menerima pendaftaran siswa internasional baru",IF(M1333=1,"Harga perlu dikonfirmasi ke sekolah"&amp;IF(""="","","; "&amp;""),"")))</f>
        <v/>
      </c>
      <c r="J1333" s="0" t="s">
        <v>4338</v>
      </c>
      <c r="K1333" s="0" t="n">
        <f aca="false">IF(M1333=2,"",IF(ISNUMBER(SEARCH("rata-rata:",'Onshore- Melbourne'!M354)),VALUE(MID('Onshore- Melbourne'!M354,SEARCH("rata-rata:",'Onshore- Melbourne'!M354)+11,FIND(";",'Onshore- Melbourne'!M354&amp;";",SEARCH("rata-rata:",'Onshore- Melbourne'!M354))-SEARCH("rata-rata:",'Onshore- Melbourne'!M354)-11)),IF('Onshore- Melbourne'!D354="Semester",'Onshore- Melbourne'!E354*2,IF('Onshore- Melbourne'!D354="Trimester",'Onshore- Melbourne'!E354*3,IF('Onshore- Melbourne'!D354="Term",'Onshore- Melbourne'!E354*4,IF('Onshore- Melbourne'!D354="Unit",'Onshore- Melbourne'!E354*8,""))))))</f>
        <v>11500</v>
      </c>
      <c r="L1333" s="0" t="n">
        <f aca="false">IF(AND(ISNUMBER('Onshore- Melbourne'!E354),ISNUMBER(K1333),ISNUMBER('Onshore- Melbourne'!F354),ISNUMBER('Onshore- Melbourne'!G354),OR('Onshore- Melbourne'!F354&lt;&gt;0,ISNUMBER(SEARCH("Material 0 terverifikasi",'Onshore- Melbourne'!M354))),OR('Onshore- Melbourne'!G354&lt;&gt;0,ISNUMBER(SEARCH("Enrolment 0 terverifikasi",'Onshore- Melbourne'!M354)))),1,0)</f>
        <v>1</v>
      </c>
      <c r="M1333" s="0" t="n">
        <f aca="false">IF(OR('Onshore- Melbourne'!E354="",ISNUMBER(SEARCH("BSB80120",'Onshore- Melbourne'!B354&amp;'Onshore- Melbourne'!M354)),ISNUMBER(SEARCH("Management (Learning)",'Onshore- Melbourne'!B354))),2,IF(ISNUMBER(SEARCH("CEK:",'Onshore- Melbourne'!M354)),1,0))</f>
        <v>0</v>
      </c>
    </row>
    <row r="1334" customFormat="false" ht="15" hidden="false" customHeight="false" outlineLevel="0" collapsed="false">
      <c r="A1334" s="63" t="s">
        <v>3544</v>
      </c>
      <c r="B1334" s="64" t="s">
        <v>4297</v>
      </c>
      <c r="C1334" s="63" t="s">
        <v>41</v>
      </c>
      <c r="D1334" s="64" t="str">
        <f aca="false">TRIM(LEFT('Onshore- Melbourne'!A576,FIND(CHAR(10),'Onshore- Melbourne'!A576&amp;CHAR(10))-1))</f>
        <v>William Angliss Institute</v>
      </c>
      <c r="E1334" s="63" t="str">
        <f aca="false">'Onshore- Melbourne'!C596&amp;""</f>
        <v>1 year</v>
      </c>
      <c r="F1334" s="63" t="str">
        <f aca="false">IF('Onshore- Melbourne'!D596="","Belum tercatat",'Onshore- Melbourne'!D596)</f>
        <v>Term</v>
      </c>
      <c r="G1334" s="65" t="n">
        <f aca="false">IF('Onshore- Melbourne'!E596="","-",'Onshore- Melbourne'!E596)</f>
        <v>4475</v>
      </c>
      <c r="H1334" s="63" t="n">
        <f aca="false">IF(ISNUMBER(K1334),COUNTIFS($J$6:$J$1916,J1334,$K$6:$K$1916,"&lt;"&amp;K1334)+1,"-")</f>
        <v>18</v>
      </c>
      <c r="I1334" s="64" t="str">
        <f aca="false">IF('Onshore- Melbourne'!E596="","Harga belum tersedia - hubungi konsultan TEG",IF(M1334=2,"Saat ini tidak menerima pendaftaran siswa internasional baru",IF(M1334=1,"Harga perlu dikonfirmasi ke sekolah"&amp;IF(""="","","; "&amp;""),"")))</f>
        <v/>
      </c>
      <c r="J1334" s="0" t="s">
        <v>4338</v>
      </c>
      <c r="K1334" s="0" t="n">
        <f aca="false">IF(M1334=2,"",IF(ISNUMBER(SEARCH("rata-rata:",'Onshore- Melbourne'!M596)),VALUE(MID('Onshore- Melbourne'!M596,SEARCH("rata-rata:",'Onshore- Melbourne'!M596)+11,FIND(";",'Onshore- Melbourne'!M596&amp;";",SEARCH("rata-rata:",'Onshore- Melbourne'!M596))-SEARCH("rata-rata:",'Onshore- Melbourne'!M596)-11)),IF('Onshore- Melbourne'!D596="Semester",'Onshore- Melbourne'!E596*2,IF('Onshore- Melbourne'!D596="Trimester",'Onshore- Melbourne'!E596*3,IF('Onshore- Melbourne'!D596="Term",'Onshore- Melbourne'!E596*4,IF('Onshore- Melbourne'!D596="Unit",'Onshore- Melbourne'!E596*8,""))))))</f>
        <v>17900</v>
      </c>
      <c r="L1334" s="0" t="n">
        <f aca="false">IF(AND(ISNUMBER('Onshore- Melbourne'!E596),ISNUMBER(K1334),ISNUMBER('Onshore- Melbourne'!F596),ISNUMBER('Onshore- Melbourne'!G596),OR('Onshore- Melbourne'!F596&lt;&gt;0,ISNUMBER(SEARCH("Material 0 terverifikasi",'Onshore- Melbourne'!M596))),OR('Onshore- Melbourne'!G596&lt;&gt;0,ISNUMBER(SEARCH("Enrolment 0 terverifikasi",'Onshore- Melbourne'!M596)))),1,0)</f>
        <v>1</v>
      </c>
      <c r="M1334" s="0" t="n">
        <f aca="false">IF(OR('Onshore- Melbourne'!E596="",ISNUMBER(SEARCH("BSB80120",'Onshore- Melbourne'!B596&amp;'Onshore- Melbourne'!M596)),ISNUMBER(SEARCH("Management (Learning)",'Onshore- Melbourne'!B596))),2,IF(ISNUMBER(SEARCH("CEK:",'Onshore- Melbourne'!M596)),1,0))</f>
        <v>0</v>
      </c>
    </row>
    <row r="1335" customFormat="false" ht="15" hidden="false" customHeight="false" outlineLevel="0" collapsed="false">
      <c r="A1335" s="63" t="s">
        <v>3544</v>
      </c>
      <c r="B1335" s="64" t="s">
        <v>4297</v>
      </c>
      <c r="C1335" s="63" t="s">
        <v>41</v>
      </c>
      <c r="D1335" s="64" t="str">
        <f aca="false">TRIM(LEFT('Onshore- Melbourne'!A338,FIND(CHAR(10),'Onshore- Melbourne'!A338&amp;CHAR(10))-1))</f>
        <v>Le Cordon Bleu Australia</v>
      </c>
      <c r="E1335" s="63" t="str">
        <f aca="false">'Onshore- Melbourne'!C341&amp;""</f>
        <v>2,5 years</v>
      </c>
      <c r="F1335" s="63" t="str">
        <f aca="false">IF('Onshore- Melbourne'!D341="","Belum tercatat",'Onshore- Melbourne'!D341)</f>
        <v>Term</v>
      </c>
      <c r="G1335" s="65" t="n">
        <f aca="false">IF('Onshore- Melbourne'!E341="","-",'Onshore- Melbourne'!E341)</f>
        <v>7005.6</v>
      </c>
      <c r="H1335" s="63" t="n">
        <f aca="false">IF(ISNUMBER(K1335),COUNTIFS($J$6:$J$1916,J1335,$K$6:$K$1916,"&lt;"&amp;K1335)+1,"-")</f>
        <v>19</v>
      </c>
      <c r="I1335" s="64" t="str">
        <f aca="false">IF('Onshore- Melbourne'!E341="","Harga belum tersedia - hubungi konsultan TEG",IF(M1335=2,"Saat ini tidak menerima pendaftaran siswa internasional baru",IF(M1335=1,"Harga perlu dikonfirmasi ke sekolah"&amp;IF(""="","","; "&amp;""),"")))</f>
        <v>Harga perlu dikonfirmasi ke sekolah</v>
      </c>
      <c r="J1335" s="0" t="s">
        <v>4338</v>
      </c>
      <c r="K1335" s="0" t="n">
        <f aca="false">IF(M1335=2,"",IF(ISNUMBER(SEARCH("rata-rata:",'Onshore- Melbourne'!M341)),VALUE(MID('Onshore- Melbourne'!M341,SEARCH("rata-rata:",'Onshore- Melbourne'!M341)+11,FIND(";",'Onshore- Melbourne'!M341&amp;";",SEARCH("rata-rata:",'Onshore- Melbourne'!M341))-SEARCH("rata-rata:",'Onshore- Melbourne'!M341)-11)),IF('Onshore- Melbourne'!D341="Semester",'Onshore- Melbourne'!E341*2,IF('Onshore- Melbourne'!D341="Trimester",'Onshore- Melbourne'!E341*3,IF('Onshore- Melbourne'!D341="Term",'Onshore- Melbourne'!E341*4,IF('Onshore- Melbourne'!D341="Unit",'Onshore- Melbourne'!E341*8,""))))))</f>
        <v>28022.4</v>
      </c>
      <c r="L1335" s="0" t="n">
        <f aca="false">IF(AND(ISNUMBER('Onshore- Melbourne'!E341),ISNUMBER(K1335),ISNUMBER('Onshore- Melbourne'!F341),ISNUMBER('Onshore- Melbourne'!G341),OR('Onshore- Melbourne'!F341&lt;&gt;0,ISNUMBER(SEARCH("Material 0 terverifikasi",'Onshore- Melbourne'!M341))),OR('Onshore- Melbourne'!G341&lt;&gt;0,ISNUMBER(SEARCH("Enrolment 0 terverifikasi",'Onshore- Melbourne'!M341)))),1,0)</f>
        <v>0</v>
      </c>
      <c r="M1335" s="0" t="n">
        <f aca="false">IF(OR('Onshore- Melbourne'!E341="",ISNUMBER(SEARCH("BSB80120",'Onshore- Melbourne'!B341&amp;'Onshore- Melbourne'!M341)),ISNUMBER(SEARCH("Management (Learning)",'Onshore- Melbourne'!B341))),2,IF(ISNUMBER(SEARCH("CEK:",'Onshore- Melbourne'!M341)),1,0))</f>
        <v>1</v>
      </c>
    </row>
    <row r="1336" customFormat="false" ht="15" hidden="false" customHeight="false" outlineLevel="0" collapsed="false">
      <c r="A1336" s="61" t="s">
        <v>4339</v>
      </c>
      <c r="B1336" s="62"/>
      <c r="C1336" s="62"/>
      <c r="D1336" s="62"/>
      <c r="E1336" s="62"/>
      <c r="F1336" s="62"/>
      <c r="G1336" s="62"/>
      <c r="H1336" s="62"/>
      <c r="I1336" s="62"/>
    </row>
    <row r="1337" customFormat="false" ht="15" hidden="false" customHeight="false" outlineLevel="0" collapsed="false">
      <c r="A1337" s="63" t="s">
        <v>3544</v>
      </c>
      <c r="B1337" s="64" t="s">
        <v>4297</v>
      </c>
      <c r="C1337" s="63" t="s">
        <v>42</v>
      </c>
      <c r="D1337" s="64" t="str">
        <f aca="false">TRIM(LEFT('Onshore- Melbourne'!A350,FIND(CHAR(10),'Onshore- Melbourne'!A350&amp;CHAR(10))-1))</f>
        <v>Le Suisse Academy</v>
      </c>
      <c r="E1337" s="63" t="str">
        <f aca="false">'Onshore- Melbourne'!C352&amp;""</f>
        <v>2,5 years</v>
      </c>
      <c r="F1337" s="63" t="str">
        <f aca="false">IF('Onshore- Melbourne'!D352="","Belum tercatat",'Onshore- Melbourne'!D352)</f>
        <v>Term</v>
      </c>
      <c r="G1337" s="65" t="n">
        <f aca="false">IF('Onshore- Melbourne'!E352="","-",'Onshore- Melbourne'!E352)</f>
        <v>1587.5</v>
      </c>
      <c r="H1337" s="63" t="n">
        <f aca="false">IF(ISNUMBER(K1337),COUNTIFS($J$6:$J$1916,J1337,$K$6:$K$1916,"&lt;"&amp;K1337)+1,"-")</f>
        <v>1</v>
      </c>
      <c r="I1337" s="64" t="str">
        <f aca="false">IF('Onshore- Melbourne'!E352="","Harga belum tersedia - hubungi konsultan TEG",IF(M1337=2,"Saat ini tidak menerima pendaftaran siswa internasional baru",IF(M1337=1,"Harga perlu dikonfirmasi ke sekolah"&amp;IF(""="","","; "&amp;""),"")))</f>
        <v/>
      </c>
      <c r="J1337" s="0" t="s">
        <v>4340</v>
      </c>
      <c r="K1337" s="0" t="n">
        <f aca="false">IF(M1337=2,"",IF(ISNUMBER(SEARCH("rata-rata:",'Onshore- Melbourne'!M352)),VALUE(MID('Onshore- Melbourne'!M352,SEARCH("rata-rata:",'Onshore- Melbourne'!M352)+11,FIND(";",'Onshore- Melbourne'!M352&amp;";",SEARCH("rata-rata:",'Onshore- Melbourne'!M352))-SEARCH("rata-rata:",'Onshore- Melbourne'!M352)-11)),IF('Onshore- Melbourne'!D352="Semester",'Onshore- Melbourne'!E352*2,IF('Onshore- Melbourne'!D352="Trimester",'Onshore- Melbourne'!E352*3,IF('Onshore- Melbourne'!D352="Term",'Onshore- Melbourne'!E352*4,IF('Onshore- Melbourne'!D352="Unit",'Onshore- Melbourne'!E352*8,""))))))</f>
        <v>6350</v>
      </c>
      <c r="L1337" s="0" t="n">
        <f aca="false">IF(AND(ISNUMBER('Onshore- Melbourne'!E352),ISNUMBER(K1337),ISNUMBER('Onshore- Melbourne'!F352),ISNUMBER('Onshore- Melbourne'!G352),OR('Onshore- Melbourne'!F352&lt;&gt;0,ISNUMBER(SEARCH("Material 0 terverifikasi",'Onshore- Melbourne'!M352))),OR('Onshore- Melbourne'!G352&lt;&gt;0,ISNUMBER(SEARCH("Enrolment 0 terverifikasi",'Onshore- Melbourne'!M352)))),1,0)</f>
        <v>1</v>
      </c>
      <c r="M1337" s="0" t="n">
        <f aca="false">IF(OR('Onshore- Melbourne'!E352="",ISNUMBER(SEARCH("BSB80120",'Onshore- Melbourne'!B352&amp;'Onshore- Melbourne'!M352)),ISNUMBER(SEARCH("Management (Learning)",'Onshore- Melbourne'!B352))),2,IF(ISNUMBER(SEARCH("CEK:",'Onshore- Melbourne'!M352)),1,0))</f>
        <v>0</v>
      </c>
    </row>
    <row r="1338" customFormat="false" ht="15" hidden="false" customHeight="false" outlineLevel="0" collapsed="false">
      <c r="A1338" s="63" t="s">
        <v>3544</v>
      </c>
      <c r="B1338" s="64" t="s">
        <v>4297</v>
      </c>
      <c r="C1338" s="63" t="s">
        <v>42</v>
      </c>
      <c r="D1338" s="64" t="str">
        <f aca="false">TRIM(LEFT('Onshore- Melbourne'!A277,FIND(CHAR(10),'Onshore- Melbourne'!A277&amp;CHAR(10))-1))</f>
        <v>Greenwich College</v>
      </c>
      <c r="E1338" s="63" t="str">
        <f aca="false">'Onshore- Melbourne'!C289&amp;""</f>
        <v>144 weeks</v>
      </c>
      <c r="F1338" s="63" t="str">
        <f aca="false">IF('Onshore- Melbourne'!D289="","Belum tercatat",'Onshore- Melbourne'!D289)</f>
        <v>Term</v>
      </c>
      <c r="G1338" s="65" t="n">
        <f aca="false">IF('Onshore- Melbourne'!E289="","-",'Onshore- Melbourne'!E289)</f>
        <v>1950</v>
      </c>
      <c r="H1338" s="63" t="n">
        <f aca="false">IF(ISNUMBER(K1338),COUNTIFS($J$6:$J$1916,J1338,$K$6:$K$1916,"&lt;"&amp;K1338)+1,"-")</f>
        <v>2</v>
      </c>
      <c r="I1338" s="64" t="str">
        <f aca="false">IF('Onshore- Melbourne'!E289="","Harga belum tersedia - hubungi konsultan TEG",IF(M1338=2,"Saat ini tidak menerima pendaftaran siswa internasional baru",IF(M1338=1,"Harga perlu dikonfirmasi ke sekolah"&amp;IF(""="","","; "&amp;""),"")))</f>
        <v/>
      </c>
      <c r="J1338" s="0" t="s">
        <v>4340</v>
      </c>
      <c r="K1338" s="0" t="n">
        <f aca="false">IF(M1338=2,"",IF(ISNUMBER(SEARCH("rata-rata:",'Onshore- Melbourne'!M289)),VALUE(MID('Onshore- Melbourne'!M289,SEARCH("rata-rata:",'Onshore- Melbourne'!M289)+11,FIND(";",'Onshore- Melbourne'!M289&amp;";",SEARCH("rata-rata:",'Onshore- Melbourne'!M289))-SEARCH("rata-rata:",'Onshore- Melbourne'!M289)-11)),IF('Onshore- Melbourne'!D289="Semester",'Onshore- Melbourne'!E289*2,IF('Onshore- Melbourne'!D289="Trimester",'Onshore- Melbourne'!E289*3,IF('Onshore- Melbourne'!D289="Term",'Onshore- Melbourne'!E289*4,IF('Onshore- Melbourne'!D289="Unit",'Onshore- Melbourne'!E289*8,""))))))</f>
        <v>7800</v>
      </c>
      <c r="L1338" s="0" t="n">
        <f aca="false">IF(AND(ISNUMBER('Onshore- Melbourne'!E289),ISNUMBER(K1338),ISNUMBER('Onshore- Melbourne'!F289),ISNUMBER('Onshore- Melbourne'!G289),OR('Onshore- Melbourne'!F289&lt;&gt;0,ISNUMBER(SEARCH("Material 0 terverifikasi",'Onshore- Melbourne'!M289))),OR('Onshore- Melbourne'!G289&lt;&gt;0,ISNUMBER(SEARCH("Enrolment 0 terverifikasi",'Onshore- Melbourne'!M289)))),1,0)</f>
        <v>1</v>
      </c>
      <c r="M1338" s="0" t="n">
        <f aca="false">IF(OR('Onshore- Melbourne'!E289="",ISNUMBER(SEARCH("BSB80120",'Onshore- Melbourne'!B289&amp;'Onshore- Melbourne'!M289)),ISNUMBER(SEARCH("Management (Learning)",'Onshore- Melbourne'!B289))),2,IF(ISNUMBER(SEARCH("CEK:",'Onshore- Melbourne'!M289)),1,0))</f>
        <v>0</v>
      </c>
    </row>
    <row r="1339" customFormat="false" ht="28.35" hidden="false" customHeight="false" outlineLevel="0" collapsed="false">
      <c r="A1339" s="63" t="s">
        <v>3544</v>
      </c>
      <c r="B1339" s="64" t="s">
        <v>4297</v>
      </c>
      <c r="C1339" s="63" t="s">
        <v>42</v>
      </c>
      <c r="D1339" s="64" t="str">
        <f aca="false">TRIM(LEFT('Onshore- Melbourne'!A90,FIND(CHAR(10),'Onshore- Melbourne'!A90&amp;CHAR(10))-1))</f>
        <v>Australian Business &amp; Culinary Institute (ABC Institute)</v>
      </c>
      <c r="E1339" s="63" t="str">
        <f aca="false">'Onshore- Melbourne'!C93&amp;""</f>
        <v>2,5 years</v>
      </c>
      <c r="F1339" s="63" t="str">
        <f aca="false">IF('Onshore- Melbourne'!D93="","Belum tercatat",'Onshore- Melbourne'!D93)</f>
        <v>Term</v>
      </c>
      <c r="G1339" s="65" t="n">
        <f aca="false">IF('Onshore- Melbourne'!E93="","-",'Onshore- Melbourne'!E93)</f>
        <v>2100</v>
      </c>
      <c r="H1339" s="63" t="n">
        <f aca="false">IF(ISNUMBER(K1339),COUNTIFS($J$6:$J$1916,J1339,$K$6:$K$1916,"&lt;"&amp;K1339)+1,"-")</f>
        <v>3</v>
      </c>
      <c r="I1339" s="64" t="str">
        <f aca="false">IF('Onshore- Melbourne'!E93="","Harga belum tersedia - hubungi konsultan TEG",IF(M1339=2,"Saat ini tidak menerima pendaftaran siswa internasional baru",IF(M1339=1,"Harga perlu dikonfirmasi ke sekolah"&amp;IF(""="","","; "&amp;""),"")))</f>
        <v/>
      </c>
      <c r="J1339" s="0" t="s">
        <v>4340</v>
      </c>
      <c r="K1339" s="0" t="n">
        <f aca="false">IF(M1339=2,"",IF(ISNUMBER(SEARCH("rata-rata:",'Onshore- Melbourne'!M93)),VALUE(MID('Onshore- Melbourne'!M93,SEARCH("rata-rata:",'Onshore- Melbourne'!M93)+11,FIND(";",'Onshore- Melbourne'!M93&amp;";",SEARCH("rata-rata:",'Onshore- Melbourne'!M93))-SEARCH("rata-rata:",'Onshore- Melbourne'!M93)-11)),IF('Onshore- Melbourne'!D93="Semester",'Onshore- Melbourne'!E93*2,IF('Onshore- Melbourne'!D93="Trimester",'Onshore- Melbourne'!E93*3,IF('Onshore- Melbourne'!D93="Term",'Onshore- Melbourne'!E93*4,IF('Onshore- Melbourne'!D93="Unit",'Onshore- Melbourne'!E93*8,""))))))</f>
        <v>8400</v>
      </c>
      <c r="L1339" s="0" t="n">
        <f aca="false">IF(AND(ISNUMBER('Onshore- Melbourne'!E93),ISNUMBER(K1339),ISNUMBER('Onshore- Melbourne'!F93),ISNUMBER('Onshore- Melbourne'!G93),OR('Onshore- Melbourne'!F93&lt;&gt;0,ISNUMBER(SEARCH("Material 0 terverifikasi",'Onshore- Melbourne'!M93))),OR('Onshore- Melbourne'!G93&lt;&gt;0,ISNUMBER(SEARCH("Enrolment 0 terverifikasi",'Onshore- Melbourne'!M93)))),1,0)</f>
        <v>1</v>
      </c>
      <c r="M1339" s="0" t="n">
        <f aca="false">IF(OR('Onshore- Melbourne'!E93="",ISNUMBER(SEARCH("BSB80120",'Onshore- Melbourne'!B93&amp;'Onshore- Melbourne'!M93)),ISNUMBER(SEARCH("Management (Learning)",'Onshore- Melbourne'!B93))),2,IF(ISNUMBER(SEARCH("CEK:",'Onshore- Melbourne'!M93)),1,0))</f>
        <v>0</v>
      </c>
    </row>
    <row r="1340" customFormat="false" ht="15" hidden="false" customHeight="false" outlineLevel="0" collapsed="false">
      <c r="A1340" s="63" t="s">
        <v>3544</v>
      </c>
      <c r="B1340" s="64" t="s">
        <v>4297</v>
      </c>
      <c r="C1340" s="63" t="s">
        <v>42</v>
      </c>
      <c r="D1340" s="64" t="str">
        <f aca="false">TRIM(LEFT('Onshore- Melbourne'!A377,FIND(CHAR(10),'Onshore- Melbourne'!A377&amp;CHAR(10))-1))</f>
        <v>National Training College of Australia (NTCA)</v>
      </c>
      <c r="E1340" s="63" t="str">
        <f aca="false">'Onshore- Melbourne'!C384&amp;""</f>
        <v>3 years</v>
      </c>
      <c r="F1340" s="63" t="str">
        <f aca="false">IF('Onshore- Melbourne'!D384="","Belum tercatat",'Onshore- Melbourne'!D384)</f>
        <v>Term</v>
      </c>
      <c r="G1340" s="65" t="n">
        <f aca="false">IF('Onshore- Melbourne'!E384="","-",'Onshore- Melbourne'!E384)</f>
        <v>2150</v>
      </c>
      <c r="H1340" s="63" t="n">
        <f aca="false">IF(ISNUMBER(K1340),COUNTIFS($J$6:$J$1916,J1340,$K$6:$K$1916,"&lt;"&amp;K1340)+1,"-")</f>
        <v>4</v>
      </c>
      <c r="I1340" s="64" t="str">
        <f aca="false">IF('Onshore- Melbourne'!E384="","Harga belum tersedia - hubungi konsultan TEG",IF(M1340=2,"Saat ini tidak menerima pendaftaran siswa internasional baru",IF(M1340=1,"Harga perlu dikonfirmasi ke sekolah"&amp;IF(""="","","; "&amp;""),"")))</f>
        <v/>
      </c>
      <c r="J1340" s="0" t="s">
        <v>4340</v>
      </c>
      <c r="K1340" s="0" t="n">
        <f aca="false">IF(M1340=2,"",IF(ISNUMBER(SEARCH("rata-rata:",'Onshore- Melbourne'!M384)),VALUE(MID('Onshore- Melbourne'!M384,SEARCH("rata-rata:",'Onshore- Melbourne'!M384)+11,FIND(";",'Onshore- Melbourne'!M384&amp;";",SEARCH("rata-rata:",'Onshore- Melbourne'!M384))-SEARCH("rata-rata:",'Onshore- Melbourne'!M384)-11)),IF('Onshore- Melbourne'!D384="Semester",'Onshore- Melbourne'!E384*2,IF('Onshore- Melbourne'!D384="Trimester",'Onshore- Melbourne'!E384*3,IF('Onshore- Melbourne'!D384="Term",'Onshore- Melbourne'!E384*4,IF('Onshore- Melbourne'!D384="Unit",'Onshore- Melbourne'!E384*8,""))))))</f>
        <v>8600</v>
      </c>
      <c r="L1340" s="0" t="n">
        <f aca="false">IF(AND(ISNUMBER('Onshore- Melbourne'!E384),ISNUMBER(K1340),ISNUMBER('Onshore- Melbourne'!F384),ISNUMBER('Onshore- Melbourne'!G384),OR('Onshore- Melbourne'!F384&lt;&gt;0,ISNUMBER(SEARCH("Material 0 terverifikasi",'Onshore- Melbourne'!M384))),OR('Onshore- Melbourne'!G384&lt;&gt;0,ISNUMBER(SEARCH("Enrolment 0 terverifikasi",'Onshore- Melbourne'!M384)))),1,0)</f>
        <v>1</v>
      </c>
      <c r="M1340" s="0" t="n">
        <f aca="false">IF(OR('Onshore- Melbourne'!E384="",ISNUMBER(SEARCH("BSB80120",'Onshore- Melbourne'!B384&amp;'Onshore- Melbourne'!M384)),ISNUMBER(SEARCH("Management (Learning)",'Onshore- Melbourne'!B384))),2,IF(ISNUMBER(SEARCH("CEK:",'Onshore- Melbourne'!M384)),1,0))</f>
        <v>0</v>
      </c>
    </row>
    <row r="1341" customFormat="false" ht="15" hidden="false" customHeight="false" outlineLevel="0" collapsed="false">
      <c r="A1341" s="63" t="s">
        <v>3544</v>
      </c>
      <c r="B1341" s="64" t="s">
        <v>4297</v>
      </c>
      <c r="C1341" s="63" t="s">
        <v>42</v>
      </c>
      <c r="D1341" s="64" t="str">
        <f aca="false">TRIM(LEFT('Onshore- Melbourne'!A6,FIND(CHAR(10),'Onshore- Melbourne'!A6&amp;CHAR(10))-1))</f>
        <v>Academies Australasia</v>
      </c>
      <c r="E1341" s="63" t="str">
        <f aca="false">'Onshore- Melbourne'!C14&amp;""</f>
        <v>3,5 years</v>
      </c>
      <c r="F1341" s="63" t="str">
        <f aca="false">IF('Onshore- Melbourne'!D14="","Belum tercatat",'Onshore- Melbourne'!D14)</f>
        <v>Term</v>
      </c>
      <c r="G1341" s="65" t="n">
        <f aca="false">IF('Onshore- Melbourne'!E14="","-",'Onshore- Melbourne'!E14)</f>
        <v>2250</v>
      </c>
      <c r="H1341" s="63" t="n">
        <f aca="false">IF(ISNUMBER(K1341),COUNTIFS($J$6:$J$1916,J1341,$K$6:$K$1916,"&lt;"&amp;K1341)+1,"-")</f>
        <v>5</v>
      </c>
      <c r="I1341" s="64" t="str">
        <f aca="false">IF('Onshore- Melbourne'!E14="","Harga belum tersedia - hubungi konsultan TEG",IF(M1341=2,"Saat ini tidak menerima pendaftaran siswa internasional baru",IF(M1341=1,"Harga perlu dikonfirmasi ke sekolah"&amp;IF(""="","","; "&amp;""),"")))</f>
        <v/>
      </c>
      <c r="J1341" s="0" t="s">
        <v>4340</v>
      </c>
      <c r="K1341" s="0" t="n">
        <f aca="false">IF(M1341=2,"",IF(ISNUMBER(SEARCH("rata-rata:",'Onshore- Melbourne'!M14)),VALUE(MID('Onshore- Melbourne'!M14,SEARCH("rata-rata:",'Onshore- Melbourne'!M14)+11,FIND(";",'Onshore- Melbourne'!M14&amp;";",SEARCH("rata-rata:",'Onshore- Melbourne'!M14))-SEARCH("rata-rata:",'Onshore- Melbourne'!M14)-11)),IF('Onshore- Melbourne'!D14="Semester",'Onshore- Melbourne'!E14*2,IF('Onshore- Melbourne'!D14="Trimester",'Onshore- Melbourne'!E14*3,IF('Onshore- Melbourne'!D14="Term",'Onshore- Melbourne'!E14*4,IF('Onshore- Melbourne'!D14="Unit",'Onshore- Melbourne'!E14*8,""))))))</f>
        <v>9000</v>
      </c>
      <c r="L1341" s="0" t="n">
        <f aca="false">IF(AND(ISNUMBER('Onshore- Melbourne'!E14),ISNUMBER(K1341),ISNUMBER('Onshore- Melbourne'!F14),ISNUMBER('Onshore- Melbourne'!G14),OR('Onshore- Melbourne'!F14&lt;&gt;0,ISNUMBER(SEARCH("Material 0 terverifikasi",'Onshore- Melbourne'!M14))),OR('Onshore- Melbourne'!G14&lt;&gt;0,ISNUMBER(SEARCH("Enrolment 0 terverifikasi",'Onshore- Melbourne'!M14)))),1,0)</f>
        <v>1</v>
      </c>
      <c r="M1341" s="0" t="n">
        <f aca="false">IF(OR('Onshore- Melbourne'!E14="",ISNUMBER(SEARCH("BSB80120",'Onshore- Melbourne'!B14&amp;'Onshore- Melbourne'!M14)),ISNUMBER(SEARCH("Management (Learning)",'Onshore- Melbourne'!B14))),2,IF(ISNUMBER(SEARCH("CEK:",'Onshore- Melbourne'!M14)),1,0))</f>
        <v>0</v>
      </c>
    </row>
    <row r="1342" customFormat="false" ht="28.35" hidden="false" customHeight="false" outlineLevel="0" collapsed="false">
      <c r="A1342" s="63" t="s">
        <v>3544</v>
      </c>
      <c r="B1342" s="64" t="s">
        <v>4297</v>
      </c>
      <c r="C1342" s="63" t="s">
        <v>42</v>
      </c>
      <c r="D1342" s="64" t="str">
        <f aca="false">TRIM(LEFT('Onshore- Melbourne'!A454,FIND(CHAR(10),'Onshore- Melbourne'!A454&amp;CHAR(10))-1))</f>
        <v>TKL College (Training for Knowledge and Livelihood)</v>
      </c>
      <c r="E1342" s="63" t="str">
        <f aca="false">'Onshore- Melbourne'!C459&amp;""</f>
        <v>5 years</v>
      </c>
      <c r="F1342" s="63" t="str">
        <f aca="false">IF('Onshore- Melbourne'!D459="","Belum tercatat",'Onshore- Melbourne'!D459)</f>
        <v>Term</v>
      </c>
      <c r="G1342" s="65" t="n">
        <f aca="false">IF('Onshore- Melbourne'!E459="","-",'Onshore- Melbourne'!E459)</f>
        <v>2250</v>
      </c>
      <c r="H1342" s="63" t="n">
        <f aca="false">IF(ISNUMBER(K1342),COUNTIFS($J$6:$J$1916,J1342,$K$6:$K$1916,"&lt;"&amp;K1342)+1,"-")</f>
        <v>5</v>
      </c>
      <c r="I1342" s="64" t="str">
        <f aca="false">IF('Onshore- Melbourne'!E459="","Harga belum tersedia - hubungi konsultan TEG",IF(M1342=2,"Saat ini tidak menerima pendaftaran siswa internasional baru",IF(M1342=1,"Program perlu dikonfirmasi ketersediaannya"&amp;IF(""="","","; "&amp;""),"")))</f>
        <v>Program perlu dikonfirmasi ketersediaannya</v>
      </c>
      <c r="J1342" s="0" t="s">
        <v>4340</v>
      </c>
      <c r="K1342" s="0" t="n">
        <f aca="false">IF(M1342=2,"",IF(ISNUMBER(SEARCH("rata-rata:",'Onshore- Melbourne'!M459)),VALUE(MID('Onshore- Melbourne'!M459,SEARCH("rata-rata:",'Onshore- Melbourne'!M459)+11,FIND(";",'Onshore- Melbourne'!M459&amp;";",SEARCH("rata-rata:",'Onshore- Melbourne'!M459))-SEARCH("rata-rata:",'Onshore- Melbourne'!M459)-11)),IF('Onshore- Melbourne'!D459="Semester",'Onshore- Melbourne'!E459*2,IF('Onshore- Melbourne'!D459="Trimester",'Onshore- Melbourne'!E459*3,IF('Onshore- Melbourne'!D459="Term",'Onshore- Melbourne'!E459*4,IF('Onshore- Melbourne'!D459="Unit",'Onshore- Melbourne'!E459*8,""))))))</f>
        <v>9000</v>
      </c>
      <c r="L1342" s="0" t="n">
        <f aca="false">IF(AND(ISNUMBER('Onshore- Melbourne'!E459),ISNUMBER(K1342),ISNUMBER('Onshore- Melbourne'!F459),ISNUMBER('Onshore- Melbourne'!G459),OR('Onshore- Melbourne'!F459&lt;&gt;0,ISNUMBER(SEARCH("Material 0 terverifikasi",'Onshore- Melbourne'!M459))),OR('Onshore- Melbourne'!G459&lt;&gt;0,ISNUMBER(SEARCH("Enrolment 0 terverifikasi",'Onshore- Melbourne'!M459)))),1,0)</f>
        <v>1</v>
      </c>
      <c r="M1342" s="0" t="n">
        <f aca="false">IF(OR('Onshore- Melbourne'!E459="",ISNUMBER(SEARCH("BSB80120",'Onshore- Melbourne'!B459&amp;'Onshore- Melbourne'!M459)),ISNUMBER(SEARCH("Management (Learning)",'Onshore- Melbourne'!B459))),2,IF(ISNUMBER(SEARCH("CEK:",'Onshore- Melbourne'!M459)),1,0))</f>
        <v>1</v>
      </c>
    </row>
    <row r="1343" customFormat="false" ht="15" hidden="false" customHeight="false" outlineLevel="0" collapsed="false">
      <c r="A1343" s="63" t="s">
        <v>3544</v>
      </c>
      <c r="B1343" s="64" t="s">
        <v>4297</v>
      </c>
      <c r="C1343" s="63" t="s">
        <v>42</v>
      </c>
      <c r="D1343" s="64" t="str">
        <f aca="false">TRIM(LEFT('Onshore- Melbourne'!A65,FIND(CHAR(10),'Onshore- Melbourne'!A65&amp;CHAR(10))-1))</f>
        <v>ALTEC College</v>
      </c>
      <c r="E1343" s="63" t="str">
        <f aca="false">'Onshore- Melbourne'!C73&amp;""</f>
        <v>3 years</v>
      </c>
      <c r="F1343" s="63" t="str">
        <f aca="false">IF('Onshore- Melbourne'!D73="","Belum tercatat",'Onshore- Melbourne'!D73)</f>
        <v>Term</v>
      </c>
      <c r="G1343" s="65" t="n">
        <f aca="false">IF('Onshore- Melbourne'!E73="","-",'Onshore- Melbourne'!E73)</f>
        <v>2625</v>
      </c>
      <c r="H1343" s="63" t="n">
        <f aca="false">IF(ISNUMBER(K1343),COUNTIFS($J$6:$J$1916,J1343,$K$6:$K$1916,"&lt;"&amp;K1343)+1,"-")</f>
        <v>7</v>
      </c>
      <c r="I1343" s="64" t="str">
        <f aca="false">IF('Onshore- Melbourne'!E73="","Harga belum tersedia - hubungi konsultan TEG",IF(M1343=2,"Saat ini tidak menerima pendaftaran siswa internasional baru",IF(M1343=1,"Harga perlu dikonfirmasi ke sekolah"&amp;IF(""="","","; "&amp;""),"")))</f>
        <v/>
      </c>
      <c r="J1343" s="0" t="s">
        <v>4340</v>
      </c>
      <c r="K1343" s="0" t="n">
        <f aca="false">IF(M1343=2,"",IF(ISNUMBER(SEARCH("rata-rata:",'Onshore- Melbourne'!M73)),VALUE(MID('Onshore- Melbourne'!M73,SEARCH("rata-rata:",'Onshore- Melbourne'!M73)+11,FIND(";",'Onshore- Melbourne'!M73&amp;";",SEARCH("rata-rata:",'Onshore- Melbourne'!M73))-SEARCH("rata-rata:",'Onshore- Melbourne'!M73)-11)),IF('Onshore- Melbourne'!D73="Semester",'Onshore- Melbourne'!E73*2,IF('Onshore- Melbourne'!D73="Trimester",'Onshore- Melbourne'!E73*3,IF('Onshore- Melbourne'!D73="Term",'Onshore- Melbourne'!E73*4,IF('Onshore- Melbourne'!D73="Unit",'Onshore- Melbourne'!E73*8,""))))))</f>
        <v>10500</v>
      </c>
      <c r="L1343" s="0" t="n">
        <f aca="false">IF(AND(ISNUMBER('Onshore- Melbourne'!E73),ISNUMBER(K1343),ISNUMBER('Onshore- Melbourne'!F73),ISNUMBER('Onshore- Melbourne'!G73),OR('Onshore- Melbourne'!F73&lt;&gt;0,ISNUMBER(SEARCH("Material 0 terverifikasi",'Onshore- Melbourne'!M73))),OR('Onshore- Melbourne'!G73&lt;&gt;0,ISNUMBER(SEARCH("Enrolment 0 terverifikasi",'Onshore- Melbourne'!M73)))),1,0)</f>
        <v>1</v>
      </c>
      <c r="M1343" s="0" t="n">
        <f aca="false">IF(OR('Onshore- Melbourne'!E73="",ISNUMBER(SEARCH("BSB80120",'Onshore- Melbourne'!B73&amp;'Onshore- Melbourne'!M73)),ISNUMBER(SEARCH("Management (Learning)",'Onshore- Melbourne'!B73))),2,IF(ISNUMBER(SEARCH("CEK:",'Onshore- Melbourne'!M73)),1,0))</f>
        <v>0</v>
      </c>
    </row>
    <row r="1344" customFormat="false" ht="15" hidden="false" customHeight="false" outlineLevel="0" collapsed="false">
      <c r="A1344" s="63" t="s">
        <v>3544</v>
      </c>
      <c r="B1344" s="64" t="s">
        <v>4297</v>
      </c>
      <c r="C1344" s="63" t="s">
        <v>42</v>
      </c>
      <c r="D1344" s="64" t="str">
        <f aca="false">TRIM(LEFT('Onshore- Melbourne'!A354,FIND(CHAR(10),'Onshore- Melbourne'!A354&amp;CHAR(10))-1))</f>
        <v>Melbourne Metro College</v>
      </c>
      <c r="E1344" s="63" t="str">
        <f aca="false">'Onshore- Melbourne'!C355&amp;""</f>
        <v>2,5 years</v>
      </c>
      <c r="F1344" s="63" t="str">
        <f aca="false">IF('Onshore- Melbourne'!D355="","Belum tercatat",'Onshore- Melbourne'!D355)</f>
        <v>Term</v>
      </c>
      <c r="G1344" s="65" t="n">
        <f aca="false">IF('Onshore- Melbourne'!E355="","-",'Onshore- Melbourne'!E355)</f>
        <v>3200</v>
      </c>
      <c r="H1344" s="63" t="n">
        <f aca="false">IF(ISNUMBER(K1344),COUNTIFS($J$6:$J$1916,J1344,$K$6:$K$1916,"&lt;"&amp;K1344)+1,"-")</f>
        <v>8</v>
      </c>
      <c r="I1344" s="64" t="str">
        <f aca="false">IF('Onshore- Melbourne'!E355="","Harga belum tersedia - hubungi konsultan TEG",IF(M1344=2,"Saat ini tidak menerima pendaftaran siswa internasional baru",IF(M1344=1,"Harga perlu dikonfirmasi ke sekolah"&amp;IF(""="","","; "&amp;""),"")))</f>
        <v/>
      </c>
      <c r="J1344" s="0" t="s">
        <v>4340</v>
      </c>
      <c r="K1344" s="0" t="n">
        <f aca="false">IF(M1344=2,"",IF(ISNUMBER(SEARCH("rata-rata:",'Onshore- Melbourne'!M355)),VALUE(MID('Onshore- Melbourne'!M355,SEARCH("rata-rata:",'Onshore- Melbourne'!M355)+11,FIND(";",'Onshore- Melbourne'!M355&amp;";",SEARCH("rata-rata:",'Onshore- Melbourne'!M355))-SEARCH("rata-rata:",'Onshore- Melbourne'!M355)-11)),IF('Onshore- Melbourne'!D355="Semester",'Onshore- Melbourne'!E355*2,IF('Onshore- Melbourne'!D355="Trimester",'Onshore- Melbourne'!E355*3,IF('Onshore- Melbourne'!D355="Term",'Onshore- Melbourne'!E355*4,IF('Onshore- Melbourne'!D355="Unit",'Onshore- Melbourne'!E355*8,""))))))</f>
        <v>12800</v>
      </c>
      <c r="L1344" s="0" t="n">
        <f aca="false">IF(AND(ISNUMBER('Onshore- Melbourne'!E355),ISNUMBER(K1344),ISNUMBER('Onshore- Melbourne'!F355),ISNUMBER('Onshore- Melbourne'!G355),OR('Onshore- Melbourne'!F355&lt;&gt;0,ISNUMBER(SEARCH("Material 0 terverifikasi",'Onshore- Melbourne'!M355))),OR('Onshore- Melbourne'!G355&lt;&gt;0,ISNUMBER(SEARCH("Enrolment 0 terverifikasi",'Onshore- Melbourne'!M355)))),1,0)</f>
        <v>1</v>
      </c>
      <c r="M1344" s="0" t="n">
        <f aca="false">IF(OR('Onshore- Melbourne'!E355="",ISNUMBER(SEARCH("BSB80120",'Onshore- Melbourne'!B355&amp;'Onshore- Melbourne'!M355)),ISNUMBER(SEARCH("Management (Learning)",'Onshore- Melbourne'!B355))),2,IF(ISNUMBER(SEARCH("CEK:",'Onshore- Melbourne'!M355)),1,0))</f>
        <v>0</v>
      </c>
    </row>
    <row r="1345" customFormat="false" ht="15" hidden="false" customHeight="false" outlineLevel="0" collapsed="false">
      <c r="A1345" s="63" t="s">
        <v>3544</v>
      </c>
      <c r="B1345" s="64" t="s">
        <v>4297</v>
      </c>
      <c r="C1345" s="63" t="s">
        <v>42</v>
      </c>
      <c r="D1345" s="64" t="str">
        <f aca="false">TRIM(LEFT('Onshore- Melbourne'!A576,FIND(CHAR(10),'Onshore- Melbourne'!A576&amp;CHAR(10))-1))</f>
        <v>William Angliss Institute</v>
      </c>
      <c r="E1345" s="63" t="str">
        <f aca="false">'Onshore- Melbourne'!C603&amp;""</f>
        <v>3 years</v>
      </c>
      <c r="F1345" s="63" t="str">
        <f aca="false">IF('Onshore- Melbourne'!D603="","Belum tercatat",'Onshore- Melbourne'!D603)</f>
        <v>Term</v>
      </c>
      <c r="G1345" s="65" t="n">
        <f aca="false">IF('Onshore- Melbourne'!E603="","-",'Onshore- Melbourne'!E603)</f>
        <v>4610</v>
      </c>
      <c r="H1345" s="63" t="n">
        <f aca="false">IF(ISNUMBER(K1345),COUNTIFS($J$6:$J$1916,J1345,$K$6:$K$1916,"&lt;"&amp;K1345)+1,"-")</f>
        <v>9</v>
      </c>
      <c r="I1345" s="64" t="str">
        <f aca="false">IF('Onshore- Melbourne'!E603="","Harga belum tersedia - hubungi konsultan TEG",IF(M1345=2,"Saat ini tidak menerima pendaftaran siswa internasional baru",IF(M1345=1,"Harga perlu dikonfirmasi ke sekolah"&amp;IF(""="","","; "&amp;""),"")))</f>
        <v/>
      </c>
      <c r="J1345" s="0" t="s">
        <v>4340</v>
      </c>
      <c r="K1345" s="0" t="n">
        <f aca="false">IF(M1345=2,"",IF(ISNUMBER(SEARCH("rata-rata:",'Onshore- Melbourne'!M603)),VALUE(MID('Onshore- Melbourne'!M603,SEARCH("rata-rata:",'Onshore- Melbourne'!M603)+11,FIND(";",'Onshore- Melbourne'!M603&amp;";",SEARCH("rata-rata:",'Onshore- Melbourne'!M603))-SEARCH("rata-rata:",'Onshore- Melbourne'!M603)-11)),IF('Onshore- Melbourne'!D603="Semester",'Onshore- Melbourne'!E603*2,IF('Onshore- Melbourne'!D603="Trimester",'Onshore- Melbourne'!E603*3,IF('Onshore- Melbourne'!D603="Term",'Onshore- Melbourne'!E603*4,IF('Onshore- Melbourne'!D603="Unit",'Onshore- Melbourne'!E603*8,""))))))</f>
        <v>18440</v>
      </c>
      <c r="L1345" s="0" t="n">
        <f aca="false">IF(AND(ISNUMBER('Onshore- Melbourne'!E603),ISNUMBER(K1345),ISNUMBER('Onshore- Melbourne'!F603),ISNUMBER('Onshore- Melbourne'!G603),OR('Onshore- Melbourne'!F603&lt;&gt;0,ISNUMBER(SEARCH("Material 0 terverifikasi",'Onshore- Melbourne'!M603))),OR('Onshore- Melbourne'!G603&lt;&gt;0,ISNUMBER(SEARCH("Enrolment 0 terverifikasi",'Onshore- Melbourne'!M603)))),1,0)</f>
        <v>1</v>
      </c>
      <c r="M1345" s="0" t="n">
        <f aca="false">IF(OR('Onshore- Melbourne'!E603="",ISNUMBER(SEARCH("BSB80120",'Onshore- Melbourne'!B603&amp;'Onshore- Melbourne'!M603)),ISNUMBER(SEARCH("Management (Learning)",'Onshore- Melbourne'!B603))),2,IF(ISNUMBER(SEARCH("CEK:",'Onshore- Melbourne'!M603)),1,0))</f>
        <v>0</v>
      </c>
    </row>
    <row r="1346" customFormat="false" ht="15" hidden="false" customHeight="false" outlineLevel="0" collapsed="false">
      <c r="A1346" s="63" t="s">
        <v>3544</v>
      </c>
      <c r="B1346" s="64" t="s">
        <v>4297</v>
      </c>
      <c r="C1346" s="63" t="s">
        <v>42</v>
      </c>
      <c r="D1346" s="64" t="str">
        <f aca="false">TRIM(LEFT('Onshore- Melbourne'!A338,FIND(CHAR(10),'Onshore- Melbourne'!A338&amp;CHAR(10))-1))</f>
        <v>Le Cordon Bleu Australia</v>
      </c>
      <c r="E1346" s="63" t="str">
        <f aca="false">'Onshore- Melbourne'!C340&amp;""</f>
        <v>0,5 year</v>
      </c>
      <c r="F1346" s="63" t="str">
        <f aca="false">IF('Onshore- Melbourne'!D340="","Belum tercatat",'Onshore- Melbourne'!D340)</f>
        <v>Term</v>
      </c>
      <c r="G1346" s="65" t="n">
        <f aca="false">IF('Onshore- Melbourne'!E340="","-",'Onshore- Melbourne'!E340)</f>
        <v>7298.5</v>
      </c>
      <c r="H1346" s="63" t="n">
        <f aca="false">IF(ISNUMBER(K1346),COUNTIFS($J$6:$J$1916,J1346,$K$6:$K$1916,"&lt;"&amp;K1346)+1,"-")</f>
        <v>10</v>
      </c>
      <c r="I1346" s="64" t="str">
        <f aca="false">IF('Onshore- Melbourne'!E340="","Harga belum tersedia - hubungi konsultan TEG",IF(M1346=2,"Saat ini tidak menerima pendaftaran siswa internasional baru",IF(M1346=1,"Harga perlu dikonfirmasi ke sekolah"&amp;IF(""="","","; "&amp;""),"")))</f>
        <v/>
      </c>
      <c r="J1346" s="0" t="s">
        <v>4340</v>
      </c>
      <c r="K1346" s="0" t="n">
        <f aca="false">IF(M1346=2,"",IF(ISNUMBER(SEARCH("rata-rata:",'Onshore- Melbourne'!M340)),VALUE(MID('Onshore- Melbourne'!M340,SEARCH("rata-rata:",'Onshore- Melbourne'!M340)+11,FIND(";",'Onshore- Melbourne'!M340&amp;";",SEARCH("rata-rata:",'Onshore- Melbourne'!M340))-SEARCH("rata-rata:",'Onshore- Melbourne'!M340)-11)),IF('Onshore- Melbourne'!D340="Semester",'Onshore- Melbourne'!E340*2,IF('Onshore- Melbourne'!D340="Trimester",'Onshore- Melbourne'!E340*3,IF('Onshore- Melbourne'!D340="Term",'Onshore- Melbourne'!E340*4,IF('Onshore- Melbourne'!D340="Unit",'Onshore- Melbourne'!E340*8,""))))))</f>
        <v>29194</v>
      </c>
      <c r="L1346" s="0" t="n">
        <f aca="false">IF(AND(ISNUMBER('Onshore- Melbourne'!E340),ISNUMBER(K1346),ISNUMBER('Onshore- Melbourne'!F340),ISNUMBER('Onshore- Melbourne'!G340),OR('Onshore- Melbourne'!F340&lt;&gt;0,ISNUMBER(SEARCH("Material 0 terverifikasi",'Onshore- Melbourne'!M340))),OR('Onshore- Melbourne'!G340&lt;&gt;0,ISNUMBER(SEARCH("Enrolment 0 terverifikasi",'Onshore- Melbourne'!M340)))),1,0)</f>
        <v>0</v>
      </c>
      <c r="M1346" s="0" t="n">
        <f aca="false">IF(OR('Onshore- Melbourne'!E340="",ISNUMBER(SEARCH("BSB80120",'Onshore- Melbourne'!B340&amp;'Onshore- Melbourne'!M340)),ISNUMBER(SEARCH("Management (Learning)",'Onshore- Melbourne'!B340))),2,IF(ISNUMBER(SEARCH("CEK:",'Onshore- Melbourne'!M340)),1,0))</f>
        <v>0</v>
      </c>
    </row>
    <row r="1347" customFormat="false" ht="15" hidden="false" customHeight="false" outlineLevel="0" collapsed="false">
      <c r="A1347" s="61" t="s">
        <v>4341</v>
      </c>
      <c r="B1347" s="62"/>
      <c r="C1347" s="62"/>
      <c r="D1347" s="62"/>
      <c r="E1347" s="62"/>
      <c r="F1347" s="62"/>
      <c r="G1347" s="62"/>
      <c r="H1347" s="62"/>
      <c r="I1347" s="62"/>
    </row>
    <row r="1348" customFormat="false" ht="15" hidden="false" customHeight="false" outlineLevel="0" collapsed="false">
      <c r="A1348" s="63" t="s">
        <v>3544</v>
      </c>
      <c r="B1348" s="64" t="s">
        <v>4297</v>
      </c>
      <c r="C1348" s="63" t="s">
        <v>43</v>
      </c>
      <c r="D1348" s="64" t="str">
        <f aca="false">TRIM(LEFT('Onshore- Melbourne'!A319,FIND(CHAR(10),'Onshore- Melbourne'!A319&amp;CHAR(10))-1))</f>
        <v>Kent Institute Australia</v>
      </c>
      <c r="E1348" s="63" t="str">
        <f aca="false">'Onshore- Melbourne'!C323&amp;""</f>
        <v>3 years</v>
      </c>
      <c r="F1348" s="63" t="str">
        <f aca="false">IF('Onshore- Melbourne'!D323="","Belum tercatat",'Onshore- Melbourne'!D323)</f>
        <v>Trimester</v>
      </c>
      <c r="G1348" s="65" t="n">
        <f aca="false">IF('Onshore- Melbourne'!E323="","-",'Onshore- Melbourne'!E323)</f>
        <v>5800</v>
      </c>
      <c r="H1348" s="63" t="n">
        <f aca="false">IF(ISNUMBER(K1348),COUNTIFS($J$6:$J$1916,J1348,$K$6:$K$1916,"&lt;"&amp;K1348)+1,"-")</f>
        <v>1</v>
      </c>
      <c r="I1348" s="64" t="str">
        <f aca="false">IF('Onshore- Melbourne'!E323="","Harga belum tersedia - hubungi konsultan TEG",IF(M1348=2,"Saat ini tidak menerima pendaftaran siswa internasional baru",IF(M1348=1,"Harga perlu dikonfirmasi ke sekolah"&amp;IF(""="","","; "&amp;""),"")))</f>
        <v>Harga perlu dikonfirmasi ke sekolah</v>
      </c>
      <c r="J1348" s="0" t="s">
        <v>4342</v>
      </c>
      <c r="K1348" s="0" t="n">
        <f aca="false">IF(M1348=2,"",IF(ISNUMBER(SEARCH("rata-rata:",'Onshore- Melbourne'!M323)),VALUE(MID('Onshore- Melbourne'!M323,SEARCH("rata-rata:",'Onshore- Melbourne'!M323)+11,FIND(";",'Onshore- Melbourne'!M323&amp;";",SEARCH("rata-rata:",'Onshore- Melbourne'!M323))-SEARCH("rata-rata:",'Onshore- Melbourne'!M323)-11)),IF('Onshore- Melbourne'!D323="Semester",'Onshore- Melbourne'!E323*2,IF('Onshore- Melbourne'!D323="Trimester",'Onshore- Melbourne'!E323*3,IF('Onshore- Melbourne'!D323="Term",'Onshore- Melbourne'!E323*4,IF('Onshore- Melbourne'!D323="Unit",'Onshore- Melbourne'!E323*8,""))))))</f>
        <v>17400</v>
      </c>
      <c r="L1348" s="0" t="n">
        <f aca="false">IF(AND(ISNUMBER('Onshore- Melbourne'!E323),ISNUMBER(K1348),ISNUMBER('Onshore- Melbourne'!F323),ISNUMBER('Onshore- Melbourne'!G323),OR('Onshore- Melbourne'!F323&lt;&gt;0,ISNUMBER(SEARCH("Material 0 terverifikasi",'Onshore- Melbourne'!M323))),OR('Onshore- Melbourne'!G323&lt;&gt;0,ISNUMBER(SEARCH("Enrolment 0 terverifikasi",'Onshore- Melbourne'!M323)))),1,0)</f>
        <v>0</v>
      </c>
      <c r="M1348" s="0" t="n">
        <f aca="false">IF(OR('Onshore- Melbourne'!E323="",ISNUMBER(SEARCH("BSB80120",'Onshore- Melbourne'!B323&amp;'Onshore- Melbourne'!M323)),ISNUMBER(SEARCH("Management (Learning)",'Onshore- Melbourne'!B323))),2,IF(ISNUMBER(SEARCH("CEK:",'Onshore- Melbourne'!M323)),1,0))</f>
        <v>1</v>
      </c>
    </row>
    <row r="1349" customFormat="false" ht="15" hidden="false" customHeight="false" outlineLevel="0" collapsed="false">
      <c r="A1349" s="63" t="s">
        <v>3544</v>
      </c>
      <c r="B1349" s="64" t="s">
        <v>4297</v>
      </c>
      <c r="C1349" s="63" t="s">
        <v>43</v>
      </c>
      <c r="D1349" s="64" t="str">
        <f aca="false">TRIM(LEFT('Onshore- Melbourne'!A6,FIND(CHAR(10),'Onshore- Melbourne'!A6&amp;CHAR(10))-1))</f>
        <v>Academies Australasia</v>
      </c>
      <c r="E1349" s="63" t="str">
        <f aca="false">'Onshore- Melbourne'!C16&amp;""</f>
        <v>3 years</v>
      </c>
      <c r="F1349" s="63" t="str">
        <f aca="false">IF('Onshore- Melbourne'!D16="","Belum tercatat",'Onshore- Melbourne'!D16)</f>
        <v>Term</v>
      </c>
      <c r="G1349" s="65" t="n">
        <f aca="false">IF('Onshore- Melbourne'!E16="","-",'Onshore- Melbourne'!E16)</f>
        <v>5000</v>
      </c>
      <c r="H1349" s="63" t="n">
        <f aca="false">IF(ISNUMBER(K1349),COUNTIFS($J$6:$J$1916,J1349,$K$6:$K$1916,"&lt;"&amp;K1349)+1,"-")</f>
        <v>2</v>
      </c>
      <c r="I1349" s="64" t="str">
        <f aca="false">IF('Onshore- Melbourne'!E16="","Harga belum tersedia - hubungi konsultan TEG",IF(M1349=2,"Saat ini tidak menerima pendaftaran siswa internasional baru",IF(M1349=1,"Harga perlu dikonfirmasi ke sekolah"&amp;IF(""="","","; "&amp;""),"")))</f>
        <v/>
      </c>
      <c r="J1349" s="0" t="s">
        <v>4342</v>
      </c>
      <c r="K1349" s="0" t="n">
        <f aca="false">IF(M1349=2,"",IF(ISNUMBER(SEARCH("rata-rata:",'Onshore- Melbourne'!M16)),VALUE(MID('Onshore- Melbourne'!M16,SEARCH("rata-rata:",'Onshore- Melbourne'!M16)+11,FIND(";",'Onshore- Melbourne'!M16&amp;";",SEARCH("rata-rata:",'Onshore- Melbourne'!M16))-SEARCH("rata-rata:",'Onshore- Melbourne'!M16)-11)),IF('Onshore- Melbourne'!D16="Semester",'Onshore- Melbourne'!E16*2,IF('Onshore- Melbourne'!D16="Trimester",'Onshore- Melbourne'!E16*3,IF('Onshore- Melbourne'!D16="Term",'Onshore- Melbourne'!E16*4,IF('Onshore- Melbourne'!D16="Unit",'Onshore- Melbourne'!E16*8,""))))))</f>
        <v>20000</v>
      </c>
      <c r="L1349" s="0" t="n">
        <f aca="false">IF(AND(ISNUMBER('Onshore- Melbourne'!E16),ISNUMBER(K1349),ISNUMBER('Onshore- Melbourne'!F16),ISNUMBER('Onshore- Melbourne'!G16),OR('Onshore- Melbourne'!F16&lt;&gt;0,ISNUMBER(SEARCH("Material 0 terverifikasi",'Onshore- Melbourne'!M16))),OR('Onshore- Melbourne'!G16&lt;&gt;0,ISNUMBER(SEARCH("Enrolment 0 terverifikasi",'Onshore- Melbourne'!M16)))),1,0)</f>
        <v>1</v>
      </c>
      <c r="M1349" s="0" t="n">
        <f aca="false">IF(OR('Onshore- Melbourne'!E16="",ISNUMBER(SEARCH("BSB80120",'Onshore- Melbourne'!B16&amp;'Onshore- Melbourne'!M16)),ISNUMBER(SEARCH("Management (Learning)",'Onshore- Melbourne'!B16))),2,IF(ISNUMBER(SEARCH("CEK:",'Onshore- Melbourne'!M16)),1,0))</f>
        <v>0</v>
      </c>
    </row>
    <row r="1350" customFormat="false" ht="15" hidden="false" customHeight="false" outlineLevel="0" collapsed="false">
      <c r="A1350" s="63" t="s">
        <v>3544</v>
      </c>
      <c r="B1350" s="64" t="s">
        <v>4297</v>
      </c>
      <c r="C1350" s="63" t="s">
        <v>43</v>
      </c>
      <c r="D1350" s="64" t="str">
        <f aca="false">TRIM(LEFT('Onshore- Melbourne'!A576,FIND(CHAR(10),'Onshore- Melbourne'!A576&amp;CHAR(10))-1))</f>
        <v>William Angliss Institute</v>
      </c>
      <c r="E1350" s="63" t="str">
        <f aca="false">'Onshore- Melbourne'!C584&amp;""</f>
        <v>3 years</v>
      </c>
      <c r="F1350" s="63" t="str">
        <f aca="false">IF('Onshore- Melbourne'!D584="","Belum tercatat",'Onshore- Melbourne'!D584)</f>
        <v>Term</v>
      </c>
      <c r="G1350" s="65" t="n">
        <f aca="false">IF('Onshore- Melbourne'!E584="","-",'Onshore- Melbourne'!E584)</f>
        <v>5550</v>
      </c>
      <c r="H1350" s="63" t="n">
        <f aca="false">IF(ISNUMBER(K1350),COUNTIFS($J$6:$J$1916,J1350,$K$6:$K$1916,"&lt;"&amp;K1350)+1,"-")</f>
        <v>3</v>
      </c>
      <c r="I1350" s="64" t="str">
        <f aca="false">IF('Onshore- Melbourne'!E584="","Harga belum tersedia - hubungi konsultan TEG",IF(M1350=2,"Saat ini tidak menerima pendaftaran siswa internasional baru",IF(M1350=1,"Harga perlu dikonfirmasi ke sekolah"&amp;IF(""="","","; "&amp;""),"")))</f>
        <v/>
      </c>
      <c r="J1350" s="0" t="s">
        <v>4342</v>
      </c>
      <c r="K1350" s="0" t="n">
        <f aca="false">IF(M1350=2,"",IF(ISNUMBER(SEARCH("rata-rata:",'Onshore- Melbourne'!M584)),VALUE(MID('Onshore- Melbourne'!M584,SEARCH("rata-rata:",'Onshore- Melbourne'!M584)+11,FIND(";",'Onshore- Melbourne'!M584&amp;";",SEARCH("rata-rata:",'Onshore- Melbourne'!M584))-SEARCH("rata-rata:",'Onshore- Melbourne'!M584)-11)),IF('Onshore- Melbourne'!D584="Semester",'Onshore- Melbourne'!E584*2,IF('Onshore- Melbourne'!D584="Trimester",'Onshore- Melbourne'!E584*3,IF('Onshore- Melbourne'!D584="Term",'Onshore- Melbourne'!E584*4,IF('Onshore- Melbourne'!D584="Unit",'Onshore- Melbourne'!E584*8,""))))))</f>
        <v>22200</v>
      </c>
      <c r="L1350" s="0" t="n">
        <f aca="false">IF(AND(ISNUMBER('Onshore- Melbourne'!E584),ISNUMBER(K1350),ISNUMBER('Onshore- Melbourne'!F584),ISNUMBER('Onshore- Melbourne'!G584),OR('Onshore- Melbourne'!F584&lt;&gt;0,ISNUMBER(SEARCH("Material 0 terverifikasi",'Onshore- Melbourne'!M584))),OR('Onshore- Melbourne'!G584&lt;&gt;0,ISNUMBER(SEARCH("Enrolment 0 terverifikasi",'Onshore- Melbourne'!M584)))),1,0)</f>
        <v>1</v>
      </c>
      <c r="M1350" s="0" t="n">
        <f aca="false">IF(OR('Onshore- Melbourne'!E584="",ISNUMBER(SEARCH("BSB80120",'Onshore- Melbourne'!B584&amp;'Onshore- Melbourne'!M584)),ISNUMBER(SEARCH("Management (Learning)",'Onshore- Melbourne'!B584))),2,IF(ISNUMBER(SEARCH("CEK:",'Onshore- Melbourne'!M584)),1,0))</f>
        <v>0</v>
      </c>
    </row>
    <row r="1351" customFormat="false" ht="15" hidden="false" customHeight="false" outlineLevel="0" collapsed="false">
      <c r="A1351" s="63" t="s">
        <v>3544</v>
      </c>
      <c r="B1351" s="64" t="s">
        <v>4297</v>
      </c>
      <c r="C1351" s="63" t="s">
        <v>43</v>
      </c>
      <c r="D1351" s="64" t="str">
        <f aca="false">TRIM(LEFT('Onshore- Melbourne'!A338,FIND(CHAR(10),'Onshore- Melbourne'!A338&amp;CHAR(10))-1))</f>
        <v>Le Cordon Bleu Australia</v>
      </c>
      <c r="E1351" s="63" t="str">
        <f aca="false">'Onshore- Melbourne'!C346&amp;""</f>
        <v>3 years</v>
      </c>
      <c r="F1351" s="63" t="str">
        <f aca="false">IF('Onshore- Melbourne'!D346="","Belum tercatat",'Onshore- Melbourne'!D346)</f>
        <v>Term</v>
      </c>
      <c r="G1351" s="65" t="n">
        <f aca="false">IF('Onshore- Melbourne'!E346="","-",'Onshore- Melbourne'!E346)</f>
        <v>5688.58</v>
      </c>
      <c r="H1351" s="63" t="n">
        <f aca="false">IF(ISNUMBER(K1351),COUNTIFS($J$6:$J$1916,J1351,$K$6:$K$1916,"&lt;"&amp;K1351)+1,"-")</f>
        <v>4</v>
      </c>
      <c r="I1351" s="64" t="str">
        <f aca="false">IF('Onshore- Melbourne'!E346="","Harga belum tersedia - hubungi konsultan TEG",IF(M1351=2,"Saat ini tidak menerima pendaftaran siswa internasional baru",IF(M1351=1,"Harga perlu dikonfirmasi ke sekolah"&amp;IF(""="","","; "&amp;""),"")))</f>
        <v/>
      </c>
      <c r="J1351" s="0" t="s">
        <v>4342</v>
      </c>
      <c r="K1351" s="0" t="n">
        <f aca="false">IF(M1351=2,"",IF(ISNUMBER(SEARCH("rata-rata:",'Onshore- Melbourne'!M346)),VALUE(MID('Onshore- Melbourne'!M346,SEARCH("rata-rata:",'Onshore- Melbourne'!M346)+11,FIND(";",'Onshore- Melbourne'!M346&amp;";",SEARCH("rata-rata:",'Onshore- Melbourne'!M346))-SEARCH("rata-rata:",'Onshore- Melbourne'!M346)-11)),IF('Onshore- Melbourne'!D346="Semester",'Onshore- Melbourne'!E346*2,IF('Onshore- Melbourne'!D346="Trimester",'Onshore- Melbourne'!E346*3,IF('Onshore- Melbourne'!D346="Term",'Onshore- Melbourne'!E346*4,IF('Onshore- Melbourne'!D346="Unit",'Onshore- Melbourne'!E346*8,""))))))</f>
        <v>22754.32</v>
      </c>
      <c r="L1351" s="0" t="n">
        <f aca="false">IF(AND(ISNUMBER('Onshore- Melbourne'!E346),ISNUMBER(K1351),ISNUMBER('Onshore- Melbourne'!F346),ISNUMBER('Onshore- Melbourne'!G346),OR('Onshore- Melbourne'!F346&lt;&gt;0,ISNUMBER(SEARCH("Material 0 terverifikasi",'Onshore- Melbourne'!M346))),OR('Onshore- Melbourne'!G346&lt;&gt;0,ISNUMBER(SEARCH("Enrolment 0 terverifikasi",'Onshore- Melbourne'!M346)))),1,0)</f>
        <v>0</v>
      </c>
      <c r="M1351" s="0" t="n">
        <f aca="false">IF(OR('Onshore- Melbourne'!E346="",ISNUMBER(SEARCH("BSB80120",'Onshore- Melbourne'!B346&amp;'Onshore- Melbourne'!M346)),ISNUMBER(SEARCH("Management (Learning)",'Onshore- Melbourne'!B346))),2,IF(ISNUMBER(SEARCH("CEK:",'Onshore- Melbourne'!M346)),1,0))</f>
        <v>0</v>
      </c>
    </row>
    <row r="1352" customFormat="false" ht="15" hidden="false" customHeight="false" outlineLevel="0" collapsed="false">
      <c r="A1352" s="61" t="s">
        <v>4343</v>
      </c>
      <c r="B1352" s="62"/>
      <c r="C1352" s="62"/>
      <c r="D1352" s="62"/>
      <c r="E1352" s="62"/>
      <c r="F1352" s="62"/>
      <c r="G1352" s="62"/>
      <c r="H1352" s="62"/>
      <c r="I1352" s="62"/>
    </row>
    <row r="1353" customFormat="false" ht="15" hidden="false" customHeight="false" outlineLevel="0" collapsed="false">
      <c r="A1353" s="63" t="s">
        <v>3544</v>
      </c>
      <c r="B1353" s="64" t="s">
        <v>4297</v>
      </c>
      <c r="C1353" s="63" t="s">
        <v>3707</v>
      </c>
      <c r="D1353" s="64" t="str">
        <f aca="false">TRIM(LEFT('Onshore- Melbourne'!A461,FIND(CHAR(10),'Onshore- Melbourne'!A461&amp;CHAR(10))-1))</f>
        <v>Torrens University Australia</v>
      </c>
      <c r="E1353" s="63" t="str">
        <f aca="false">'Onshore- Melbourne'!C551&amp;""</f>
        <v>0,5 year</v>
      </c>
      <c r="F1353" s="63" t="str">
        <f aca="false">IF('Onshore- Melbourne'!D551="","Belum tercatat",'Onshore- Melbourne'!D551)</f>
        <v>Term</v>
      </c>
      <c r="G1353" s="65" t="n">
        <f aca="false">IF('Onshore- Melbourne'!E551="","-",'Onshore- Melbourne'!E551)</f>
        <v>5700</v>
      </c>
      <c r="H1353" s="63" t="n">
        <f aca="false">IF(ISNUMBER(K1353),COUNTIFS($J$6:$J$1916,J1353,$K$6:$K$1916,"&lt;"&amp;K1353)+1,"-")</f>
        <v>1</v>
      </c>
      <c r="I1353" s="64" t="str">
        <f aca="false">IF('Onshore- Melbourne'!E551="","Harga belum tersedia - hubungi konsultan TEG",IF(M1353=2,"Saat ini tidak menerima pendaftaran siswa internasional baru",IF(M1353=1,"Harga perlu dikonfirmasi ke sekolah"&amp;IF(""="","","; "&amp;""),"")))</f>
        <v/>
      </c>
      <c r="J1353" s="0" t="s">
        <v>4344</v>
      </c>
      <c r="K1353" s="0" t="n">
        <f aca="false">IF(M1353=2,"",IF(ISNUMBER(SEARCH("rata-rata:",'Onshore- Melbourne'!M551)),VALUE(MID('Onshore- Melbourne'!M551,SEARCH("rata-rata:",'Onshore- Melbourne'!M551)+11,FIND(";",'Onshore- Melbourne'!M551&amp;";",SEARCH("rata-rata:",'Onshore- Melbourne'!M551))-SEARCH("rata-rata:",'Onshore- Melbourne'!M551)-11)),IF('Onshore- Melbourne'!D551="Semester",'Onshore- Melbourne'!E551*2,IF('Onshore- Melbourne'!D551="Trimester",'Onshore- Melbourne'!E551*3,IF('Onshore- Melbourne'!D551="Term",'Onshore- Melbourne'!E551*4,IF('Onshore- Melbourne'!D551="Unit",'Onshore- Melbourne'!E551*8,""))))))</f>
        <v>22800</v>
      </c>
      <c r="L1353" s="0" t="n">
        <f aca="false">IF(AND(ISNUMBER('Onshore- Melbourne'!E551),ISNUMBER(K1353),ISNUMBER('Onshore- Melbourne'!F551),ISNUMBER('Onshore- Melbourne'!G551),OR('Onshore- Melbourne'!F551&lt;&gt;0,ISNUMBER(SEARCH("Material 0 terverifikasi",'Onshore- Melbourne'!M551))),OR('Onshore- Melbourne'!G551&lt;&gt;0,ISNUMBER(SEARCH("Enrolment 0 terverifikasi",'Onshore- Melbourne'!M551)))),1,0)</f>
        <v>0</v>
      </c>
      <c r="M1353" s="0" t="n">
        <f aca="false">IF(OR('Onshore- Melbourne'!E551="",ISNUMBER(SEARCH("BSB80120",'Onshore- Melbourne'!B551&amp;'Onshore- Melbourne'!M551)),ISNUMBER(SEARCH("Management (Learning)",'Onshore- Melbourne'!B551))),2,IF(ISNUMBER(SEARCH("CEK:",'Onshore- Melbourne'!M551)),1,0))</f>
        <v>0</v>
      </c>
    </row>
    <row r="1354" customFormat="false" ht="15" hidden="false" customHeight="false" outlineLevel="0" collapsed="false">
      <c r="A1354" s="61" t="s">
        <v>4345</v>
      </c>
      <c r="B1354" s="62"/>
      <c r="C1354" s="62"/>
      <c r="D1354" s="62"/>
      <c r="E1354" s="62"/>
      <c r="F1354" s="62"/>
      <c r="G1354" s="62"/>
      <c r="H1354" s="62"/>
      <c r="I1354" s="62"/>
    </row>
    <row r="1355" customFormat="false" ht="15" hidden="false" customHeight="false" outlineLevel="0" collapsed="false">
      <c r="A1355" s="63" t="s">
        <v>3544</v>
      </c>
      <c r="B1355" s="64" t="s">
        <v>4297</v>
      </c>
      <c r="C1355" s="63" t="s">
        <v>46</v>
      </c>
      <c r="D1355" s="64" t="str">
        <f aca="false">TRIM(LEFT('Onshore- Melbourne'!A338,FIND(CHAR(10),'Onshore- Melbourne'!A338&amp;CHAR(10))-1))</f>
        <v>Le Cordon Bleu Australia</v>
      </c>
      <c r="E1355" s="63" t="str">
        <f aca="false">'Onshore- Melbourne'!C348&amp;""</f>
        <v>2 years</v>
      </c>
      <c r="F1355" s="63" t="str">
        <f aca="false">IF('Onshore- Melbourne'!D348="","Belum tercatat",'Onshore- Melbourne'!D348)</f>
        <v>Term</v>
      </c>
      <c r="G1355" s="65" t="n">
        <f aca="false">IF('Onshore- Melbourne'!E348="","-",'Onshore- Melbourne'!E348)</f>
        <v>6818.75</v>
      </c>
      <c r="H1355" s="63" t="n">
        <f aca="false">IF(ISNUMBER(K1355),COUNTIFS($J$6:$J$1916,J1355,$K$6:$K$1916,"&lt;"&amp;K1355)+1,"-")</f>
        <v>1</v>
      </c>
      <c r="I1355" s="64" t="str">
        <f aca="false">IF('Onshore- Melbourne'!E348="","Harga belum tersedia - hubungi konsultan TEG",IF(M1355=2,"Saat ini tidak menerima pendaftaran siswa internasional baru",IF(M1355=1,"Harga perlu dikonfirmasi ke sekolah"&amp;IF(""="","","; "&amp;""),"")))</f>
        <v/>
      </c>
      <c r="J1355" s="0" t="s">
        <v>4346</v>
      </c>
      <c r="K1355" s="0" t="n">
        <f aca="false">IF(M1355=2,"",IF(ISNUMBER(SEARCH("rata-rata:",'Onshore- Melbourne'!M348)),VALUE(MID('Onshore- Melbourne'!M348,SEARCH("rata-rata:",'Onshore- Melbourne'!M348)+11,FIND(";",'Onshore- Melbourne'!M348&amp;";",SEARCH("rata-rata:",'Onshore- Melbourne'!M348))-SEARCH("rata-rata:",'Onshore- Melbourne'!M348)-11)),IF('Onshore- Melbourne'!D348="Semester",'Onshore- Melbourne'!E348*2,IF('Onshore- Melbourne'!D348="Trimester",'Onshore- Melbourne'!E348*3,IF('Onshore- Melbourne'!D348="Term",'Onshore- Melbourne'!E348*4,IF('Onshore- Melbourne'!D348="Unit",'Onshore- Melbourne'!E348*8,""))))))</f>
        <v>27275</v>
      </c>
      <c r="L1355" s="0" t="n">
        <f aca="false">IF(AND(ISNUMBER('Onshore- Melbourne'!E348),ISNUMBER(K1355),ISNUMBER('Onshore- Melbourne'!F348),ISNUMBER('Onshore- Melbourne'!G348),OR('Onshore- Melbourne'!F348&lt;&gt;0,ISNUMBER(SEARCH("Material 0 terverifikasi",'Onshore- Melbourne'!M348))),OR('Onshore- Melbourne'!G348&lt;&gt;0,ISNUMBER(SEARCH("Enrolment 0 terverifikasi",'Onshore- Melbourne'!M348)))),1,0)</f>
        <v>0</v>
      </c>
      <c r="M1355" s="0" t="n">
        <f aca="false">IF(OR('Onshore- Melbourne'!E348="",ISNUMBER(SEARCH("BSB80120",'Onshore- Melbourne'!B348&amp;'Onshore- Melbourne'!M348)),ISNUMBER(SEARCH("Management (Learning)",'Onshore- Melbourne'!B348))),2,IF(ISNUMBER(SEARCH("CEK:",'Onshore- Melbourne'!M348)),1,0))</f>
        <v>0</v>
      </c>
    </row>
    <row r="1356" customFormat="false" ht="15" hidden="false" customHeight="false" outlineLevel="0" collapsed="false">
      <c r="A1356" s="63" t="s">
        <v>3544</v>
      </c>
      <c r="B1356" s="64" t="s">
        <v>4297</v>
      </c>
      <c r="C1356" s="63" t="s">
        <v>46</v>
      </c>
      <c r="D1356" s="64" t="str">
        <f aca="false">TRIM(LEFT('Onshore- Melbourne'!A576,FIND(CHAR(10),'Onshore- Melbourne'!A576&amp;CHAR(10))-1))</f>
        <v>William Angliss Institute</v>
      </c>
      <c r="E1356" s="63" t="str">
        <f aca="false">'Onshore- Melbourne'!C576&amp;""</f>
        <v>2 years</v>
      </c>
      <c r="F1356" s="63" t="str">
        <f aca="false">IF('Onshore- Melbourne'!D576="","Belum tercatat",'Onshore- Melbourne'!D576)</f>
        <v>Term</v>
      </c>
      <c r="G1356" s="65" t="n">
        <f aca="false">IF('Onshore- Melbourne'!E576="","-",'Onshore- Melbourne'!E576)</f>
        <v>7490</v>
      </c>
      <c r="H1356" s="63" t="n">
        <f aca="false">IF(ISNUMBER(K1356),COUNTIFS($J$6:$J$1916,J1356,$K$6:$K$1916,"&lt;"&amp;K1356)+1,"-")</f>
        <v>2</v>
      </c>
      <c r="I1356" s="64" t="str">
        <f aca="false">IF('Onshore- Melbourne'!E576="","Harga belum tersedia - hubungi konsultan TEG",IF(M1356=2,"Saat ini tidak menerima pendaftaran siswa internasional baru",IF(M1356=1,"Harga perlu dikonfirmasi ke sekolah"&amp;IF(""="","","; "&amp;""),"")))</f>
        <v/>
      </c>
      <c r="J1356" s="0" t="s">
        <v>4346</v>
      </c>
      <c r="K1356" s="0" t="n">
        <f aca="false">IF(M1356=2,"",IF(ISNUMBER(SEARCH("rata-rata:",'Onshore- Melbourne'!M576)),VALUE(MID('Onshore- Melbourne'!M576,SEARCH("rata-rata:",'Onshore- Melbourne'!M576)+11,FIND(";",'Onshore- Melbourne'!M576&amp;";",SEARCH("rata-rata:",'Onshore- Melbourne'!M576))-SEARCH("rata-rata:",'Onshore- Melbourne'!M576)-11)),IF('Onshore- Melbourne'!D576="Semester",'Onshore- Melbourne'!E576*2,IF('Onshore- Melbourne'!D576="Trimester",'Onshore- Melbourne'!E576*3,IF('Onshore- Melbourne'!D576="Term",'Onshore- Melbourne'!E576*4,IF('Onshore- Melbourne'!D576="Unit",'Onshore- Melbourne'!E576*8,""))))))</f>
        <v>29960</v>
      </c>
      <c r="L1356" s="0" t="n">
        <f aca="false">IF(AND(ISNUMBER('Onshore- Melbourne'!E576),ISNUMBER(K1356),ISNUMBER('Onshore- Melbourne'!F576),ISNUMBER('Onshore- Melbourne'!G576),OR('Onshore- Melbourne'!F576&lt;&gt;0,ISNUMBER(SEARCH("Material 0 terverifikasi",'Onshore- Melbourne'!M576))),OR('Onshore- Melbourne'!G576&lt;&gt;0,ISNUMBER(SEARCH("Enrolment 0 terverifikasi",'Onshore- Melbourne'!M576)))),1,0)</f>
        <v>1</v>
      </c>
      <c r="M1356" s="0" t="n">
        <f aca="false">IF(OR('Onshore- Melbourne'!E576="",ISNUMBER(SEARCH("BSB80120",'Onshore- Melbourne'!B576&amp;'Onshore- Melbourne'!M576)),ISNUMBER(SEARCH("Management (Learning)",'Onshore- Melbourne'!B576))),2,IF(ISNUMBER(SEARCH("CEK:",'Onshore- Melbourne'!M576)),1,0))</f>
        <v>0</v>
      </c>
    </row>
    <row r="1357" customFormat="false" ht="15" hidden="false" customHeight="false" outlineLevel="0" collapsed="false">
      <c r="A1357" s="63" t="s">
        <v>3544</v>
      </c>
      <c r="B1357" s="64" t="s">
        <v>4297</v>
      </c>
      <c r="C1357" s="63" t="s">
        <v>46</v>
      </c>
      <c r="D1357" s="64" t="str">
        <f aca="false">TRIM(LEFT('Onshore- Melbourne'!A461,FIND(CHAR(10),'Onshore- Melbourne'!A461&amp;CHAR(10))-1))</f>
        <v>Torrens University Australia</v>
      </c>
      <c r="E1357" s="63" t="str">
        <f aca="false">'Onshore- Melbourne'!C552&amp;""</f>
        <v>2 years</v>
      </c>
      <c r="F1357" s="63" t="str">
        <f aca="false">IF('Onshore- Melbourne'!D552="","Belum tercatat",'Onshore- Melbourne'!D552)</f>
        <v>Term</v>
      </c>
      <c r="G1357" s="65" t="n">
        <f aca="false">IF('Onshore- Melbourne'!E552="","-",'Onshore- Melbourne'!E552)</f>
        <v>10495</v>
      </c>
      <c r="H1357" s="63" t="n">
        <f aca="false">IF(ISNUMBER(K1357),COUNTIFS($J$6:$J$1916,J1357,$K$6:$K$1916,"&lt;"&amp;K1357)+1,"-")</f>
        <v>3</v>
      </c>
      <c r="I1357" s="64" t="str">
        <f aca="false">IF('Onshore- Melbourne'!E552="","Harga belum tersedia - hubungi konsultan TEG",IF(M1357=2,"Saat ini tidak menerima pendaftaran siswa internasional baru",IF(M1357=1,"Harga perlu dikonfirmasi ke sekolah"&amp;IF(""="","","; "&amp;""),"")))</f>
        <v>Harga perlu dikonfirmasi ke sekolah</v>
      </c>
      <c r="J1357" s="0" t="s">
        <v>4346</v>
      </c>
      <c r="K1357" s="0" t="n">
        <f aca="false">IF(M1357=2,"",IF(ISNUMBER(SEARCH("rata-rata:",'Onshore- Melbourne'!M552)),VALUE(MID('Onshore- Melbourne'!M552,SEARCH("rata-rata:",'Onshore- Melbourne'!M552)+11,FIND(";",'Onshore- Melbourne'!M552&amp;";",SEARCH("rata-rata:",'Onshore- Melbourne'!M552))-SEARCH("rata-rata:",'Onshore- Melbourne'!M552)-11)),IF('Onshore- Melbourne'!D552="Semester",'Onshore- Melbourne'!E552*2,IF('Onshore- Melbourne'!D552="Trimester",'Onshore- Melbourne'!E552*3,IF('Onshore- Melbourne'!D552="Term",'Onshore- Melbourne'!E552*4,IF('Onshore- Melbourne'!D552="Unit",'Onshore- Melbourne'!E552*8,""))))))</f>
        <v>41980</v>
      </c>
      <c r="L1357" s="0" t="n">
        <f aca="false">IF(AND(ISNUMBER('Onshore- Melbourne'!E552),ISNUMBER(K1357),ISNUMBER('Onshore- Melbourne'!F552),ISNUMBER('Onshore- Melbourne'!G552),OR('Onshore- Melbourne'!F552&lt;&gt;0,ISNUMBER(SEARCH("Material 0 terverifikasi",'Onshore- Melbourne'!M552))),OR('Onshore- Melbourne'!G552&lt;&gt;0,ISNUMBER(SEARCH("Enrolment 0 terverifikasi",'Onshore- Melbourne'!M552)))),1,0)</f>
        <v>0</v>
      </c>
      <c r="M1357" s="0" t="n">
        <f aca="false">IF(OR('Onshore- Melbourne'!E552="",ISNUMBER(SEARCH("BSB80120",'Onshore- Melbourne'!B552&amp;'Onshore- Melbourne'!M552)),ISNUMBER(SEARCH("Management (Learning)",'Onshore- Melbourne'!B552))),2,IF(ISNUMBER(SEARCH("CEK:",'Onshore- Melbourne'!M552)),1,0))</f>
        <v>1</v>
      </c>
    </row>
    <row r="1358" customFormat="false" ht="15" hidden="false" customHeight="false" outlineLevel="0" collapsed="false">
      <c r="A1358" s="61" t="s">
        <v>4347</v>
      </c>
      <c r="B1358" s="62"/>
      <c r="C1358" s="62"/>
      <c r="D1358" s="62"/>
      <c r="E1358" s="62"/>
      <c r="F1358" s="62"/>
      <c r="G1358" s="62"/>
      <c r="H1358" s="62"/>
      <c r="I1358" s="62"/>
    </row>
    <row r="1359" customFormat="false" ht="15" hidden="false" customHeight="false" outlineLevel="0" collapsed="false">
      <c r="A1359" s="63" t="s">
        <v>3573</v>
      </c>
      <c r="B1359" s="64" t="s">
        <v>4297</v>
      </c>
      <c r="C1359" s="63" t="s">
        <v>41</v>
      </c>
      <c r="D1359" s="64" t="str">
        <f aca="false">TRIM(LEFT('Onshore - Perth'!A77,FIND(CHAR(10),'Onshore - Perth'!A77&amp;CHAR(10))-1))</f>
        <v>Greenwich College</v>
      </c>
      <c r="E1359" s="63" t="str">
        <f aca="false">'Onshore - Perth'!C84&amp;""</f>
        <v>110 weeks</v>
      </c>
      <c r="F1359" s="63" t="str">
        <f aca="false">IF('Onshore - Perth'!D84="","Belum tercatat",'Onshore - Perth'!D84)</f>
        <v>Term</v>
      </c>
      <c r="G1359" s="65" t="n">
        <f aca="false">IF('Onshore - Perth'!E84="","-",'Onshore - Perth'!E84)</f>
        <v>1950</v>
      </c>
      <c r="H1359" s="63" t="n">
        <f aca="false">IF(ISNUMBER(K1359),COUNTIFS($J$6:$J$1916,J1359,$K$6:$K$1916,"&lt;"&amp;K1359)+1,"-")</f>
        <v>1</v>
      </c>
      <c r="I1359" s="64" t="str">
        <f aca="false">IF('Onshore - Perth'!E84="","Harga belum tersedia - hubungi konsultan TEG",IF(M1359=2,"Saat ini tidak menerima pendaftaran siswa internasional baru",IF(M1359=1,"Harga perlu dikonfirmasi ke sekolah"&amp;IF(""="","","; "&amp;""),"")))</f>
        <v/>
      </c>
      <c r="J1359" s="0" t="s">
        <v>4348</v>
      </c>
      <c r="K1359" s="0" t="n">
        <f aca="false">IF(M1359=2,"",IF(ISNUMBER(SEARCH("rata-rata:",'Onshore - Perth'!M84)),VALUE(MID('Onshore - Perth'!M84,SEARCH("rata-rata:",'Onshore - Perth'!M84)+11,FIND(";",'Onshore - Perth'!M84&amp;";",SEARCH("rata-rata:",'Onshore - Perth'!M84))-SEARCH("rata-rata:",'Onshore - Perth'!M84)-11)),IF('Onshore - Perth'!D84="Semester",'Onshore - Perth'!E84*2,IF('Onshore - Perth'!D84="Trimester",'Onshore - Perth'!E84*3,IF('Onshore - Perth'!D84="Term",'Onshore - Perth'!E84*4,IF('Onshore - Perth'!D84="Unit",'Onshore - Perth'!E84*8,""))))))</f>
        <v>7800</v>
      </c>
      <c r="L1359" s="0" t="n">
        <f aca="false">IF(AND(ISNUMBER('Onshore - Perth'!E84),ISNUMBER(K1359),ISNUMBER('Onshore - Perth'!F84),ISNUMBER('Onshore - Perth'!G84),OR('Onshore - Perth'!F84&lt;&gt;0,ISNUMBER(SEARCH("Material 0 terverifikasi",'Onshore - Perth'!M84))),OR('Onshore - Perth'!G84&lt;&gt;0,ISNUMBER(SEARCH("Enrolment 0 terverifikasi",'Onshore - Perth'!M84)))),1,0)</f>
        <v>1</v>
      </c>
      <c r="M1359" s="0" t="n">
        <f aca="false">IF(OR('Onshore - Perth'!E84="",ISNUMBER(SEARCH("BSB80120",'Onshore - Perth'!B84&amp;'Onshore - Perth'!M84)),ISNUMBER(SEARCH("Management (Learning)",'Onshore - Perth'!B84))),2,IF(ISNUMBER(SEARCH("CEK:",'Onshore - Perth'!M84)),1,0))</f>
        <v>0</v>
      </c>
    </row>
    <row r="1360" customFormat="false" ht="15" hidden="false" customHeight="false" outlineLevel="0" collapsed="false">
      <c r="A1360" s="63" t="s">
        <v>3573</v>
      </c>
      <c r="B1360" s="64" t="s">
        <v>4297</v>
      </c>
      <c r="C1360" s="63" t="s">
        <v>41</v>
      </c>
      <c r="D1360" s="64" t="str">
        <f aca="false">TRIM(LEFT('Onshore - Perth'!A139,FIND(CHAR(10),'Onshore - Perth'!A139&amp;CHAR(10))-1))</f>
        <v>Skills Institute Australia</v>
      </c>
      <c r="E1360" s="63" t="str">
        <f aca="false">'Onshore - Perth'!C139&amp;""</f>
        <v>2 years</v>
      </c>
      <c r="F1360" s="63" t="str">
        <f aca="false">IF('Onshore - Perth'!D139="","Belum tercatat",'Onshore - Perth'!D139)</f>
        <v>Term</v>
      </c>
      <c r="G1360" s="65" t="n">
        <f aca="false">IF('Onshore - Perth'!E139="","-",'Onshore - Perth'!E139)</f>
        <v>2350</v>
      </c>
      <c r="H1360" s="63" t="n">
        <f aca="false">IF(ISNUMBER(K1360),COUNTIFS($J$6:$J$1916,J1360,$K$6:$K$1916,"&lt;"&amp;K1360)+1,"-")</f>
        <v>2</v>
      </c>
      <c r="I1360" s="64" t="str">
        <f aca="false">IF('Onshore - Perth'!E139="","Harga belum tersedia - hubungi konsultan TEG",IF(M1360=2,"Saat ini tidak menerima pendaftaran siswa internasional baru",IF(M1360=1,"Harga perlu dikonfirmasi ke sekolah"&amp;IF(""="","","; "&amp;""),"")))</f>
        <v/>
      </c>
      <c r="J1360" s="0" t="s">
        <v>4348</v>
      </c>
      <c r="K1360" s="0" t="n">
        <f aca="false">IF(M1360=2,"",IF(ISNUMBER(SEARCH("rata-rata:",'Onshore - Perth'!M139)),VALUE(MID('Onshore - Perth'!M139,SEARCH("rata-rata:",'Onshore - Perth'!M139)+11,FIND(";",'Onshore - Perth'!M139&amp;";",SEARCH("rata-rata:",'Onshore - Perth'!M139))-SEARCH("rata-rata:",'Onshore - Perth'!M139)-11)),IF('Onshore - Perth'!D139="Semester",'Onshore - Perth'!E139*2,IF('Onshore - Perth'!D139="Trimester",'Onshore - Perth'!E139*3,IF('Onshore - Perth'!D139="Term",'Onshore - Perth'!E139*4,IF('Onshore - Perth'!D139="Unit",'Onshore - Perth'!E139*8,""))))))</f>
        <v>9400</v>
      </c>
      <c r="L1360" s="0" t="n">
        <f aca="false">IF(AND(ISNUMBER('Onshore - Perth'!E139),ISNUMBER(K1360),ISNUMBER('Onshore - Perth'!F139),ISNUMBER('Onshore - Perth'!G139),OR('Onshore - Perth'!F139&lt;&gt;0,ISNUMBER(SEARCH("Material 0 terverifikasi",'Onshore - Perth'!M139))),OR('Onshore - Perth'!G139&lt;&gt;0,ISNUMBER(SEARCH("Enrolment 0 terverifikasi",'Onshore - Perth'!M139)))),1,0)</f>
        <v>1</v>
      </c>
      <c r="M1360" s="0" t="n">
        <f aca="false">IF(OR('Onshore - Perth'!E139="",ISNUMBER(SEARCH("BSB80120",'Onshore - Perth'!B139&amp;'Onshore - Perth'!M139)),ISNUMBER(SEARCH("Management (Learning)",'Onshore - Perth'!B139))),2,IF(ISNUMBER(SEARCH("CEK:",'Onshore - Perth'!M139)),1,0))</f>
        <v>0</v>
      </c>
    </row>
    <row r="1361" customFormat="false" ht="28.35" hidden="false" customHeight="false" outlineLevel="0" collapsed="false">
      <c r="A1361" s="63" t="s">
        <v>3573</v>
      </c>
      <c r="B1361" s="64" t="s">
        <v>4297</v>
      </c>
      <c r="C1361" s="63" t="s">
        <v>41</v>
      </c>
      <c r="D1361" s="64" t="str">
        <f aca="false">TRIM(LEFT('Onshore - Perth'!A110,FIND(CHAR(10),'Onshore - Perth'!A110&amp;CHAR(10))-1))</f>
        <v>Keystone College of Business and Technology (KCBT)</v>
      </c>
      <c r="E1361" s="63" t="str">
        <f aca="false">'Onshore - Perth'!C119&amp;""</f>
        <v>2 years</v>
      </c>
      <c r="F1361" s="63" t="str">
        <f aca="false">IF('Onshore - Perth'!D119="","Belum tercatat",'Onshore - Perth'!D119)</f>
        <v>Term</v>
      </c>
      <c r="G1361" s="65" t="n">
        <f aca="false">IF('Onshore - Perth'!E119="","-",'Onshore - Perth'!E119)</f>
        <v>2500</v>
      </c>
      <c r="H1361" s="63" t="n">
        <f aca="false">IF(ISNUMBER(K1361),COUNTIFS($J$6:$J$1916,J1361,$K$6:$K$1916,"&lt;"&amp;K1361)+1,"-")</f>
        <v>3</v>
      </c>
      <c r="I1361" s="64" t="str">
        <f aca="false">IF('Onshore - Perth'!E119="","Harga belum tersedia - hubungi konsultan TEG",IF(M1361=2,"Saat ini tidak menerima pendaftaran siswa internasional baru",IF(M1361=1,"Harga perlu dikonfirmasi ke sekolah"&amp;IF(""="","","; "&amp;""),"")))</f>
        <v/>
      </c>
      <c r="J1361" s="0" t="s">
        <v>4348</v>
      </c>
      <c r="K1361" s="0" t="n">
        <f aca="false">IF(M1361=2,"",IF(ISNUMBER(SEARCH("rata-rata:",'Onshore - Perth'!M119)),VALUE(MID('Onshore - Perth'!M119,SEARCH("rata-rata:",'Onshore - Perth'!M119)+11,FIND(";",'Onshore - Perth'!M119&amp;";",SEARCH("rata-rata:",'Onshore - Perth'!M119))-SEARCH("rata-rata:",'Onshore - Perth'!M119)-11)),IF('Onshore - Perth'!D119="Semester",'Onshore - Perth'!E119*2,IF('Onshore - Perth'!D119="Trimester",'Onshore - Perth'!E119*3,IF('Onshore - Perth'!D119="Term",'Onshore - Perth'!E119*4,IF('Onshore - Perth'!D119="Unit",'Onshore - Perth'!E119*8,""))))))</f>
        <v>10000</v>
      </c>
      <c r="L1361" s="0" t="n">
        <f aca="false">IF(AND(ISNUMBER('Onshore - Perth'!E119),ISNUMBER(K1361),ISNUMBER('Onshore - Perth'!F119),ISNUMBER('Onshore - Perth'!G119),OR('Onshore - Perth'!F119&lt;&gt;0,ISNUMBER(SEARCH("Material 0 terverifikasi",'Onshore - Perth'!M119))),OR('Onshore - Perth'!G119&lt;&gt;0,ISNUMBER(SEARCH("Enrolment 0 terverifikasi",'Onshore - Perth'!M119)))),1,0)</f>
        <v>1</v>
      </c>
      <c r="M1361" s="0" t="n">
        <f aca="false">IF(OR('Onshore - Perth'!E119="",ISNUMBER(SEARCH("BSB80120",'Onshore - Perth'!B119&amp;'Onshore - Perth'!M119)),ISNUMBER(SEARCH("Management (Learning)",'Onshore - Perth'!B119))),2,IF(ISNUMBER(SEARCH("CEK:",'Onshore - Perth'!M119)),1,0))</f>
        <v>0</v>
      </c>
    </row>
    <row r="1362" customFormat="false" ht="15" hidden="false" customHeight="false" outlineLevel="0" collapsed="false">
      <c r="A1362" s="63" t="s">
        <v>3573</v>
      </c>
      <c r="B1362" s="64" t="s">
        <v>4297</v>
      </c>
      <c r="C1362" s="63" t="s">
        <v>41</v>
      </c>
      <c r="D1362" s="64" t="str">
        <f aca="false">TRIM(LEFT('Onshore - Perth'!A124,FIND(CHAR(10),'Onshore - Perth'!A124&amp;CHAR(10))-1))</f>
        <v>Kingston International College</v>
      </c>
      <c r="E1362" s="63" t="str">
        <f aca="false">'Onshore - Perth'!C124&amp;""</f>
        <v>2 years</v>
      </c>
      <c r="F1362" s="63" t="str">
        <f aca="false">IF('Onshore - Perth'!D124="","Belum tercatat",'Onshore - Perth'!D124)</f>
        <v>Term</v>
      </c>
      <c r="G1362" s="65" t="n">
        <f aca="false">IF('Onshore - Perth'!E124="","-",'Onshore - Perth'!E124)</f>
        <v>2625</v>
      </c>
      <c r="H1362" s="63" t="n">
        <f aca="false">IF(ISNUMBER(K1362),COUNTIFS($J$6:$J$1916,J1362,$K$6:$K$1916,"&lt;"&amp;K1362)+1,"-")</f>
        <v>4</v>
      </c>
      <c r="I1362" s="64" t="str">
        <f aca="false">IF('Onshore - Perth'!E124="","Harga belum tersedia - hubungi konsultan TEG",IF(M1362=2,"Saat ini tidak menerima pendaftaran siswa internasional baru",IF(M1362=1,"Harga perlu dikonfirmasi ke sekolah"&amp;IF(""="","","; "&amp;""),"")))</f>
        <v/>
      </c>
      <c r="J1362" s="0" t="s">
        <v>4348</v>
      </c>
      <c r="K1362" s="0" t="n">
        <f aca="false">IF(M1362=2,"",IF(ISNUMBER(SEARCH("rata-rata:",'Onshore - Perth'!M124)),VALUE(MID('Onshore - Perth'!M124,SEARCH("rata-rata:",'Onshore - Perth'!M124)+11,FIND(";",'Onshore - Perth'!M124&amp;";",SEARCH("rata-rata:",'Onshore - Perth'!M124))-SEARCH("rata-rata:",'Onshore - Perth'!M124)-11)),IF('Onshore - Perth'!D124="Semester",'Onshore - Perth'!E124*2,IF('Onshore - Perth'!D124="Trimester",'Onshore - Perth'!E124*3,IF('Onshore - Perth'!D124="Term",'Onshore - Perth'!E124*4,IF('Onshore - Perth'!D124="Unit",'Onshore - Perth'!E124*8,""))))))</f>
        <v>10500</v>
      </c>
      <c r="L1362" s="0" t="n">
        <f aca="false">IF(AND(ISNUMBER('Onshore - Perth'!E124),ISNUMBER(K1362),ISNUMBER('Onshore - Perth'!F124),ISNUMBER('Onshore - Perth'!G124),OR('Onshore - Perth'!F124&lt;&gt;0,ISNUMBER(SEARCH("Material 0 terverifikasi",'Onshore - Perth'!M124))),OR('Onshore - Perth'!G124&lt;&gt;0,ISNUMBER(SEARCH("Enrolment 0 terverifikasi",'Onshore - Perth'!M124)))),1,0)</f>
        <v>1</v>
      </c>
      <c r="M1362" s="0" t="n">
        <f aca="false">IF(OR('Onshore - Perth'!E124="",ISNUMBER(SEARCH("BSB80120",'Onshore - Perth'!B124&amp;'Onshore - Perth'!M124)),ISNUMBER(SEARCH("Management (Learning)",'Onshore - Perth'!B124))),2,IF(ISNUMBER(SEARCH("CEK:",'Onshore - Perth'!M124)),1,0))</f>
        <v>0</v>
      </c>
    </row>
    <row r="1363" customFormat="false" ht="15" hidden="false" customHeight="false" outlineLevel="0" collapsed="false">
      <c r="A1363" s="63" t="s">
        <v>3573</v>
      </c>
      <c r="B1363" s="64" t="s">
        <v>4297</v>
      </c>
      <c r="C1363" s="63" t="s">
        <v>41</v>
      </c>
      <c r="D1363" s="64" t="str">
        <f aca="false">TRIM(LEFT('Onshore - Perth'!A62,FIND(CHAR(10),'Onshore - Perth'!A62&amp;CHAR(10))-1))</f>
        <v>Global College Australasia</v>
      </c>
      <c r="E1363" s="63" t="str">
        <f aca="false">'Onshore - Perth'!C66&amp;""</f>
        <v>2 years</v>
      </c>
      <c r="F1363" s="63" t="str">
        <f aca="false">IF('Onshore - Perth'!D66="","Belum tercatat",'Onshore - Perth'!D66)</f>
        <v>Term</v>
      </c>
      <c r="G1363" s="65" t="n">
        <f aca="false">IF('Onshore - Perth'!E66="","-",'Onshore - Perth'!E66)</f>
        <v>3120</v>
      </c>
      <c r="H1363" s="63" t="n">
        <f aca="false">IF(ISNUMBER(K1363),COUNTIFS($J$6:$J$1916,J1363,$K$6:$K$1916,"&lt;"&amp;K1363)+1,"-")</f>
        <v>5</v>
      </c>
      <c r="I1363" s="64" t="str">
        <f aca="false">IF('Onshore - Perth'!E66="","Harga belum tersedia - hubungi konsultan TEG",IF(M1363=2,"Saat ini tidak menerima pendaftaran siswa internasional baru",IF(M1363=1,"Harga perlu dikonfirmasi ke sekolah"&amp;IF(""="","","; "&amp;""),"")))</f>
        <v/>
      </c>
      <c r="J1363" s="0" t="s">
        <v>4348</v>
      </c>
      <c r="K1363" s="0" t="n">
        <f aca="false">IF(M1363=2,"",IF(ISNUMBER(SEARCH("rata-rata:",'Onshore - Perth'!M66)),VALUE(MID('Onshore - Perth'!M66,SEARCH("rata-rata:",'Onshore - Perth'!M66)+11,FIND(";",'Onshore - Perth'!M66&amp;";",SEARCH("rata-rata:",'Onshore - Perth'!M66))-SEARCH("rata-rata:",'Onshore - Perth'!M66)-11)),IF('Onshore - Perth'!D66="Semester",'Onshore - Perth'!E66*2,IF('Onshore - Perth'!D66="Trimester",'Onshore - Perth'!E66*3,IF('Onshore - Perth'!D66="Term",'Onshore - Perth'!E66*4,IF('Onshore - Perth'!D66="Unit",'Onshore - Perth'!E66*8,""))))))</f>
        <v>12480</v>
      </c>
      <c r="L1363" s="0" t="n">
        <f aca="false">IF(AND(ISNUMBER('Onshore - Perth'!E66),ISNUMBER(K1363),ISNUMBER('Onshore - Perth'!F66),ISNUMBER('Onshore - Perth'!G66),OR('Onshore - Perth'!F66&lt;&gt;0,ISNUMBER(SEARCH("Material 0 terverifikasi",'Onshore - Perth'!M66))),OR('Onshore - Perth'!G66&lt;&gt;0,ISNUMBER(SEARCH("Enrolment 0 terverifikasi",'Onshore - Perth'!M66)))),1,0)</f>
        <v>1</v>
      </c>
      <c r="M1363" s="0" t="n">
        <f aca="false">IF(OR('Onshore - Perth'!E66="",ISNUMBER(SEARCH("BSB80120",'Onshore - Perth'!B66&amp;'Onshore - Perth'!M66)),ISNUMBER(SEARCH("Management (Learning)",'Onshore - Perth'!B66))),2,IF(ISNUMBER(SEARCH("CEK:",'Onshore - Perth'!M66)),1,0))</f>
        <v>0</v>
      </c>
    </row>
    <row r="1364" customFormat="false" ht="15" hidden="false" customHeight="false" outlineLevel="0" collapsed="false">
      <c r="A1364" s="61" t="s">
        <v>4349</v>
      </c>
      <c r="B1364" s="62"/>
      <c r="C1364" s="62"/>
      <c r="D1364" s="62"/>
      <c r="E1364" s="62"/>
      <c r="F1364" s="62"/>
      <c r="G1364" s="62"/>
      <c r="H1364" s="62"/>
      <c r="I1364" s="62"/>
    </row>
    <row r="1365" customFormat="false" ht="15" hidden="false" customHeight="false" outlineLevel="0" collapsed="false">
      <c r="A1365" s="63" t="s">
        <v>3573</v>
      </c>
      <c r="B1365" s="64" t="s">
        <v>4297</v>
      </c>
      <c r="C1365" s="63" t="s">
        <v>42</v>
      </c>
      <c r="D1365" s="64" t="str">
        <f aca="false">TRIM(LEFT('Onshore - Perth'!A6,FIND(CHAR(10),'Onshore - Perth'!A6&amp;CHAR(10))-1))</f>
        <v>Academies Australasia</v>
      </c>
      <c r="E1365" s="63" t="str">
        <f aca="false">'Onshore - Perth'!C12&amp;""</f>
        <v>1,5 year</v>
      </c>
      <c r="F1365" s="63" t="str">
        <f aca="false">IF('Onshore - Perth'!D12="","Belum tercatat",'Onshore - Perth'!D12)</f>
        <v>Term</v>
      </c>
      <c r="G1365" s="65" t="n">
        <f aca="false">IF('Onshore - Perth'!E12="","-",'Onshore - Perth'!E12)</f>
        <v>1500</v>
      </c>
      <c r="H1365" s="63" t="n">
        <f aca="false">IF(ISNUMBER(K1365),COUNTIFS($J$6:$J$1916,J1365,$K$6:$K$1916,"&lt;"&amp;K1365)+1,"-")</f>
        <v>1</v>
      </c>
      <c r="I1365" s="64" t="str">
        <f aca="false">IF('Onshore - Perth'!E12="","Harga belum tersedia - hubungi konsultan TEG",IF(M1365=2,"Saat ini tidak menerima pendaftaran siswa internasional baru",IF(M1365=1,"Harga perlu dikonfirmasi ke sekolah"&amp;IF(""="","","; "&amp;""),"")))</f>
        <v>Harga perlu dikonfirmasi ke sekolah</v>
      </c>
      <c r="J1365" s="0" t="s">
        <v>4350</v>
      </c>
      <c r="K1365" s="0" t="n">
        <f aca="false">IF(M1365=2,"",IF(ISNUMBER(SEARCH("rata-rata:",'Onshore - Perth'!M12)),VALUE(MID('Onshore - Perth'!M12,SEARCH("rata-rata:",'Onshore - Perth'!M12)+11,FIND(";",'Onshore - Perth'!M12&amp;";",SEARCH("rata-rata:",'Onshore - Perth'!M12))-SEARCH("rata-rata:",'Onshore - Perth'!M12)-11)),IF('Onshore - Perth'!D12="Semester",'Onshore - Perth'!E12*2,IF('Onshore - Perth'!D12="Trimester",'Onshore - Perth'!E12*3,IF('Onshore - Perth'!D12="Term",'Onshore - Perth'!E12*4,IF('Onshore - Perth'!D12="Unit",'Onshore - Perth'!E12*8,""))))))</f>
        <v>6000</v>
      </c>
      <c r="L1365" s="0" t="n">
        <f aca="false">IF(AND(ISNUMBER('Onshore - Perth'!E12),ISNUMBER(K1365),ISNUMBER('Onshore - Perth'!F12),ISNUMBER('Onshore - Perth'!G12),OR('Onshore - Perth'!F12&lt;&gt;0,ISNUMBER(SEARCH("Material 0 terverifikasi",'Onshore - Perth'!M12))),OR('Onshore - Perth'!G12&lt;&gt;0,ISNUMBER(SEARCH("Enrolment 0 terverifikasi",'Onshore - Perth'!M12)))),1,0)</f>
        <v>1</v>
      </c>
      <c r="M1365" s="0" t="n">
        <f aca="false">IF(OR('Onshore - Perth'!E12="",ISNUMBER(SEARCH("BSB80120",'Onshore - Perth'!B12&amp;'Onshore - Perth'!M12)),ISNUMBER(SEARCH("Management (Learning)",'Onshore - Perth'!B12))),2,IF(ISNUMBER(SEARCH("CEK:",'Onshore - Perth'!M12)),1,0))</f>
        <v>1</v>
      </c>
    </row>
    <row r="1366" customFormat="false" ht="15" hidden="false" customHeight="false" outlineLevel="0" collapsed="false">
      <c r="A1366" s="63" t="s">
        <v>3573</v>
      </c>
      <c r="B1366" s="64" t="s">
        <v>4297</v>
      </c>
      <c r="C1366" s="63" t="s">
        <v>42</v>
      </c>
      <c r="D1366" s="64" t="str">
        <f aca="false">TRIM(LEFT('Onshore - Perth'!A77,FIND(CHAR(10),'Onshore - Perth'!A77&amp;CHAR(10))-1))</f>
        <v>Greenwich College</v>
      </c>
      <c r="E1366" s="63" t="str">
        <f aca="false">'Onshore - Perth'!C85&amp;""</f>
        <v>144 weeks</v>
      </c>
      <c r="F1366" s="63" t="str">
        <f aca="false">IF('Onshore - Perth'!D85="","Belum tercatat",'Onshore - Perth'!D85)</f>
        <v>Term</v>
      </c>
      <c r="G1366" s="65" t="n">
        <f aca="false">IF('Onshore - Perth'!E85="","-",'Onshore - Perth'!E85)</f>
        <v>1950</v>
      </c>
      <c r="H1366" s="63" t="n">
        <f aca="false">IF(ISNUMBER(K1366),COUNTIFS($J$6:$J$1916,J1366,$K$6:$K$1916,"&lt;"&amp;K1366)+1,"-")</f>
        <v>2</v>
      </c>
      <c r="I1366" s="64" t="str">
        <f aca="false">IF('Onshore - Perth'!E85="","Harga belum tersedia - hubungi konsultan TEG",IF(M1366=2,"Saat ini tidak menerima pendaftaran siswa internasional baru",IF(M1366=1,"Harga perlu dikonfirmasi ke sekolah"&amp;IF(""="","","; "&amp;""),"")))</f>
        <v/>
      </c>
      <c r="J1366" s="0" t="s">
        <v>4350</v>
      </c>
      <c r="K1366" s="0" t="n">
        <f aca="false">IF(M1366=2,"",IF(ISNUMBER(SEARCH("rata-rata:",'Onshore - Perth'!M85)),VALUE(MID('Onshore - Perth'!M85,SEARCH("rata-rata:",'Onshore - Perth'!M85)+11,FIND(";",'Onshore - Perth'!M85&amp;";",SEARCH("rata-rata:",'Onshore - Perth'!M85))-SEARCH("rata-rata:",'Onshore - Perth'!M85)-11)),IF('Onshore - Perth'!D85="Semester",'Onshore - Perth'!E85*2,IF('Onshore - Perth'!D85="Trimester",'Onshore - Perth'!E85*3,IF('Onshore - Perth'!D85="Term",'Onshore - Perth'!E85*4,IF('Onshore - Perth'!D85="Unit",'Onshore - Perth'!E85*8,""))))))</f>
        <v>7800</v>
      </c>
      <c r="L1366" s="0" t="n">
        <f aca="false">IF(AND(ISNUMBER('Onshore - Perth'!E85),ISNUMBER(K1366),ISNUMBER('Onshore - Perth'!F85),ISNUMBER('Onshore - Perth'!G85),OR('Onshore - Perth'!F85&lt;&gt;0,ISNUMBER(SEARCH("Material 0 terverifikasi",'Onshore - Perth'!M85))),OR('Onshore - Perth'!G85&lt;&gt;0,ISNUMBER(SEARCH("Enrolment 0 terverifikasi",'Onshore - Perth'!M85)))),1,0)</f>
        <v>1</v>
      </c>
      <c r="M1366" s="0" t="n">
        <f aca="false">IF(OR('Onshore - Perth'!E85="",ISNUMBER(SEARCH("BSB80120",'Onshore - Perth'!B85&amp;'Onshore - Perth'!M85)),ISNUMBER(SEARCH("Management (Learning)",'Onshore - Perth'!B85))),2,IF(ISNUMBER(SEARCH("CEK:",'Onshore - Perth'!M85)),1,0))</f>
        <v>0</v>
      </c>
    </row>
    <row r="1367" customFormat="false" ht="15" hidden="false" customHeight="false" outlineLevel="0" collapsed="false">
      <c r="A1367" s="63" t="s">
        <v>3573</v>
      </c>
      <c r="B1367" s="64" t="s">
        <v>4297</v>
      </c>
      <c r="C1367" s="63" t="s">
        <v>42</v>
      </c>
      <c r="D1367" s="64" t="str">
        <f aca="false">TRIM(LEFT('Onshore - Perth'!A139,FIND(CHAR(10),'Onshore - Perth'!A139&amp;CHAR(10))-1))</f>
        <v>Skills Institute Australia</v>
      </c>
      <c r="E1367" s="63" t="str">
        <f aca="false">'Onshore - Perth'!C141&amp;""</f>
        <v>2,5 years</v>
      </c>
      <c r="F1367" s="63" t="str">
        <f aca="false">IF('Onshore - Perth'!D141="","Belum tercatat",'Onshore - Perth'!D141)</f>
        <v>Term</v>
      </c>
      <c r="G1367" s="65" t="n">
        <f aca="false">IF('Onshore - Perth'!E141="","-",'Onshore - Perth'!E141)</f>
        <v>1980</v>
      </c>
      <c r="H1367" s="63" t="n">
        <f aca="false">IF(ISNUMBER(K1367),COUNTIFS($J$6:$J$1916,J1367,$K$6:$K$1916,"&lt;"&amp;K1367)+1,"-")</f>
        <v>3</v>
      </c>
      <c r="I1367" s="64" t="str">
        <f aca="false">IF('Onshore - Perth'!E141="","Harga belum tersedia - hubungi konsultan TEG",IF(M1367=2,"Saat ini tidak menerima pendaftaran siswa internasional baru",IF(M1367=1,"Harga perlu dikonfirmasi ke sekolah"&amp;IF(""="","","; "&amp;""),"")))</f>
        <v/>
      </c>
      <c r="J1367" s="0" t="s">
        <v>4350</v>
      </c>
      <c r="K1367" s="0" t="n">
        <f aca="false">IF(M1367=2,"",IF(ISNUMBER(SEARCH("rata-rata:",'Onshore - Perth'!M141)),VALUE(MID('Onshore - Perth'!M141,SEARCH("rata-rata:",'Onshore - Perth'!M141)+11,FIND(";",'Onshore - Perth'!M141&amp;";",SEARCH("rata-rata:",'Onshore - Perth'!M141))-SEARCH("rata-rata:",'Onshore - Perth'!M141)-11)),IF('Onshore - Perth'!D141="Semester",'Onshore - Perth'!E141*2,IF('Onshore - Perth'!D141="Trimester",'Onshore - Perth'!E141*3,IF('Onshore - Perth'!D141="Term",'Onshore - Perth'!E141*4,IF('Onshore - Perth'!D141="Unit",'Onshore - Perth'!E141*8,""))))))</f>
        <v>7920</v>
      </c>
      <c r="L1367" s="0" t="n">
        <f aca="false">IF(AND(ISNUMBER('Onshore - Perth'!E141),ISNUMBER(K1367),ISNUMBER('Onshore - Perth'!F141),ISNUMBER('Onshore - Perth'!G141),OR('Onshore - Perth'!F141&lt;&gt;0,ISNUMBER(SEARCH("Material 0 terverifikasi",'Onshore - Perth'!M141))),OR('Onshore - Perth'!G141&lt;&gt;0,ISNUMBER(SEARCH("Enrolment 0 terverifikasi",'Onshore - Perth'!M141)))),1,0)</f>
        <v>1</v>
      </c>
      <c r="M1367" s="0" t="n">
        <f aca="false">IF(OR('Onshore - Perth'!E141="",ISNUMBER(SEARCH("BSB80120",'Onshore - Perth'!B141&amp;'Onshore - Perth'!M141)),ISNUMBER(SEARCH("Management (Learning)",'Onshore - Perth'!B141))),2,IF(ISNUMBER(SEARCH("CEK:",'Onshore - Perth'!M141)),1,0))</f>
        <v>0</v>
      </c>
    </row>
    <row r="1368" customFormat="false" ht="28.35" hidden="false" customHeight="false" outlineLevel="0" collapsed="false">
      <c r="A1368" s="63" t="s">
        <v>3573</v>
      </c>
      <c r="B1368" s="64" t="s">
        <v>4297</v>
      </c>
      <c r="C1368" s="63" t="s">
        <v>42</v>
      </c>
      <c r="D1368" s="64" t="str">
        <f aca="false">TRIM(LEFT('Onshore - Perth'!A110,FIND(CHAR(10),'Onshore - Perth'!A110&amp;CHAR(10))-1))</f>
        <v>Keystone College of Business and Technology (KCBT)</v>
      </c>
      <c r="E1368" s="63" t="str">
        <f aca="false">'Onshore - Perth'!C120&amp;""</f>
        <v>2,5 years</v>
      </c>
      <c r="F1368" s="63" t="str">
        <f aca="false">IF('Onshore - Perth'!D120="","Belum tercatat",'Onshore - Perth'!D120)</f>
        <v>Term</v>
      </c>
      <c r="G1368" s="65" t="n">
        <f aca="false">IF('Onshore - Perth'!E120="","-",'Onshore - Perth'!E120)</f>
        <v>2500</v>
      </c>
      <c r="H1368" s="63" t="n">
        <f aca="false">IF(ISNUMBER(K1368),COUNTIFS($J$6:$J$1916,J1368,$K$6:$K$1916,"&lt;"&amp;K1368)+1,"-")</f>
        <v>4</v>
      </c>
      <c r="I1368" s="64" t="str">
        <f aca="false">IF('Onshore - Perth'!E120="","Harga belum tersedia - hubungi konsultan TEG",IF(M1368=2,"Saat ini tidak menerima pendaftaran siswa internasional baru",IF(M1368=1,"Harga perlu dikonfirmasi ke sekolah"&amp;IF(""="","","; "&amp;""),"")))</f>
        <v/>
      </c>
      <c r="J1368" s="0" t="s">
        <v>4350</v>
      </c>
      <c r="K1368" s="0" t="n">
        <f aca="false">IF(M1368=2,"",IF(ISNUMBER(SEARCH("rata-rata:",'Onshore - Perth'!M120)),VALUE(MID('Onshore - Perth'!M120,SEARCH("rata-rata:",'Onshore - Perth'!M120)+11,FIND(";",'Onshore - Perth'!M120&amp;";",SEARCH("rata-rata:",'Onshore - Perth'!M120))-SEARCH("rata-rata:",'Onshore - Perth'!M120)-11)),IF('Onshore - Perth'!D120="Semester",'Onshore - Perth'!E120*2,IF('Onshore - Perth'!D120="Trimester",'Onshore - Perth'!E120*3,IF('Onshore - Perth'!D120="Term",'Onshore - Perth'!E120*4,IF('Onshore - Perth'!D120="Unit",'Onshore - Perth'!E120*8,""))))))</f>
        <v>10000</v>
      </c>
      <c r="L1368" s="0" t="n">
        <f aca="false">IF(AND(ISNUMBER('Onshore - Perth'!E120),ISNUMBER(K1368),ISNUMBER('Onshore - Perth'!F120),ISNUMBER('Onshore - Perth'!G120),OR('Onshore - Perth'!F120&lt;&gt;0,ISNUMBER(SEARCH("Material 0 terverifikasi",'Onshore - Perth'!M120))),OR('Onshore - Perth'!G120&lt;&gt;0,ISNUMBER(SEARCH("Enrolment 0 terverifikasi",'Onshore - Perth'!M120)))),1,0)</f>
        <v>1</v>
      </c>
      <c r="M1368" s="0" t="n">
        <f aca="false">IF(OR('Onshore - Perth'!E120="",ISNUMBER(SEARCH("BSB80120",'Onshore - Perth'!B120&amp;'Onshore - Perth'!M120)),ISNUMBER(SEARCH("Management (Learning)",'Onshore - Perth'!B120))),2,IF(ISNUMBER(SEARCH("CEK:",'Onshore - Perth'!M120)),1,0))</f>
        <v>0</v>
      </c>
    </row>
    <row r="1369" customFormat="false" ht="15" hidden="false" customHeight="false" outlineLevel="0" collapsed="false">
      <c r="A1369" s="63" t="s">
        <v>3573</v>
      </c>
      <c r="B1369" s="64" t="s">
        <v>4297</v>
      </c>
      <c r="C1369" s="63" t="s">
        <v>42</v>
      </c>
      <c r="D1369" s="64" t="str">
        <f aca="false">TRIM(LEFT('Onshore - Perth'!A124,FIND(CHAR(10),'Onshore - Perth'!A124&amp;CHAR(10))-1))</f>
        <v>Kingston International College</v>
      </c>
      <c r="E1369" s="63" t="str">
        <f aca="false">'Onshore - Perth'!C125&amp;""</f>
        <v>2,5 years</v>
      </c>
      <c r="F1369" s="63" t="str">
        <f aca="false">IF('Onshore - Perth'!D125="","Belum tercatat",'Onshore - Perth'!D125)</f>
        <v>Term</v>
      </c>
      <c r="G1369" s="65" t="n">
        <f aca="false">IF('Onshore - Perth'!E125="","-",'Onshore - Perth'!E125)</f>
        <v>2625</v>
      </c>
      <c r="H1369" s="63" t="n">
        <f aca="false">IF(ISNUMBER(K1369),COUNTIFS($J$6:$J$1916,J1369,$K$6:$K$1916,"&lt;"&amp;K1369)+1,"-")</f>
        <v>5</v>
      </c>
      <c r="I1369" s="64" t="str">
        <f aca="false">IF('Onshore - Perth'!E125="","Harga belum tersedia - hubungi konsultan TEG",IF(M1369=2,"Saat ini tidak menerima pendaftaran siswa internasional baru",IF(M1369=1,"Harga perlu dikonfirmasi ke sekolah"&amp;IF(""="","","; "&amp;""),"")))</f>
        <v/>
      </c>
      <c r="J1369" s="0" t="s">
        <v>4350</v>
      </c>
      <c r="K1369" s="0" t="n">
        <f aca="false">IF(M1369=2,"",IF(ISNUMBER(SEARCH("rata-rata:",'Onshore - Perth'!M125)),VALUE(MID('Onshore - Perth'!M125,SEARCH("rata-rata:",'Onshore - Perth'!M125)+11,FIND(";",'Onshore - Perth'!M125&amp;";",SEARCH("rata-rata:",'Onshore - Perth'!M125))-SEARCH("rata-rata:",'Onshore - Perth'!M125)-11)),IF('Onshore - Perth'!D125="Semester",'Onshore - Perth'!E125*2,IF('Onshore - Perth'!D125="Trimester",'Onshore - Perth'!E125*3,IF('Onshore - Perth'!D125="Term",'Onshore - Perth'!E125*4,IF('Onshore - Perth'!D125="Unit",'Onshore - Perth'!E125*8,""))))))</f>
        <v>10500</v>
      </c>
      <c r="L1369" s="0" t="n">
        <f aca="false">IF(AND(ISNUMBER('Onshore - Perth'!E125),ISNUMBER(K1369),ISNUMBER('Onshore - Perth'!F125),ISNUMBER('Onshore - Perth'!G125),OR('Onshore - Perth'!F125&lt;&gt;0,ISNUMBER(SEARCH("Material 0 terverifikasi",'Onshore - Perth'!M125))),OR('Onshore - Perth'!G125&lt;&gt;0,ISNUMBER(SEARCH("Enrolment 0 terverifikasi",'Onshore - Perth'!M125)))),1,0)</f>
        <v>1</v>
      </c>
      <c r="M1369" s="0" t="n">
        <f aca="false">IF(OR('Onshore - Perth'!E125="",ISNUMBER(SEARCH("BSB80120",'Onshore - Perth'!B125&amp;'Onshore - Perth'!M125)),ISNUMBER(SEARCH("Management (Learning)",'Onshore - Perth'!B125))),2,IF(ISNUMBER(SEARCH("CEK:",'Onshore - Perth'!M125)),1,0))</f>
        <v>0</v>
      </c>
    </row>
    <row r="1370" customFormat="false" ht="15" hidden="false" customHeight="false" outlineLevel="0" collapsed="false">
      <c r="A1370" s="63" t="s">
        <v>3573</v>
      </c>
      <c r="B1370" s="64" t="s">
        <v>4297</v>
      </c>
      <c r="C1370" s="63" t="s">
        <v>42</v>
      </c>
      <c r="D1370" s="64" t="str">
        <f aca="false">TRIM(LEFT('Onshore - Perth'!A62,FIND(CHAR(10),'Onshore - Perth'!A62&amp;CHAR(10))-1))</f>
        <v>Global College Australasia</v>
      </c>
      <c r="E1370" s="63" t="str">
        <f aca="false">'Onshore - Perth'!C67&amp;""</f>
        <v>2,5 years</v>
      </c>
      <c r="F1370" s="63" t="str">
        <f aca="false">IF('Onshore - Perth'!D67="","Belum tercatat",'Onshore - Perth'!D67)</f>
        <v>Term</v>
      </c>
      <c r="G1370" s="65" t="n">
        <f aca="false">IF('Onshore - Perth'!E67="","-",'Onshore - Perth'!E67)</f>
        <v>3195</v>
      </c>
      <c r="H1370" s="63" t="n">
        <f aca="false">IF(ISNUMBER(K1370),COUNTIFS($J$6:$J$1916,J1370,$K$6:$K$1916,"&lt;"&amp;K1370)+1,"-")</f>
        <v>6</v>
      </c>
      <c r="I1370" s="64" t="str">
        <f aca="false">IF('Onshore - Perth'!E67="","Harga belum tersedia - hubungi konsultan TEG",IF(M1370=2,"Saat ini tidak menerima pendaftaran siswa internasional baru",IF(M1370=1,"Harga perlu dikonfirmasi ke sekolah"&amp;IF(""="","","; "&amp;""),"")))</f>
        <v/>
      </c>
      <c r="J1370" s="0" t="s">
        <v>4350</v>
      </c>
      <c r="K1370" s="0" t="n">
        <f aca="false">IF(M1370=2,"",IF(ISNUMBER(SEARCH("rata-rata:",'Onshore - Perth'!M67)),VALUE(MID('Onshore - Perth'!M67,SEARCH("rata-rata:",'Onshore - Perth'!M67)+11,FIND(";",'Onshore - Perth'!M67&amp;";",SEARCH("rata-rata:",'Onshore - Perth'!M67))-SEARCH("rata-rata:",'Onshore - Perth'!M67)-11)),IF('Onshore - Perth'!D67="Semester",'Onshore - Perth'!E67*2,IF('Onshore - Perth'!D67="Trimester",'Onshore - Perth'!E67*3,IF('Onshore - Perth'!D67="Term",'Onshore - Perth'!E67*4,IF('Onshore - Perth'!D67="Unit",'Onshore - Perth'!E67*8,""))))))</f>
        <v>12780</v>
      </c>
      <c r="L1370" s="0" t="n">
        <f aca="false">IF(AND(ISNUMBER('Onshore - Perth'!E67),ISNUMBER(K1370),ISNUMBER('Onshore - Perth'!F67),ISNUMBER('Onshore - Perth'!G67),OR('Onshore - Perth'!F67&lt;&gt;0,ISNUMBER(SEARCH("Material 0 terverifikasi",'Onshore - Perth'!M67))),OR('Onshore - Perth'!G67&lt;&gt;0,ISNUMBER(SEARCH("Enrolment 0 terverifikasi",'Onshore - Perth'!M67)))),1,0)</f>
        <v>1</v>
      </c>
      <c r="M1370" s="0" t="n">
        <f aca="false">IF(OR('Onshore - Perth'!E67="",ISNUMBER(SEARCH("BSB80120",'Onshore - Perth'!B67&amp;'Onshore - Perth'!M67)),ISNUMBER(SEARCH("Management (Learning)",'Onshore - Perth'!B67))),2,IF(ISNUMBER(SEARCH("CEK:",'Onshore - Perth'!M67)),1,0))</f>
        <v>0</v>
      </c>
    </row>
    <row r="1371" customFormat="false" ht="15" hidden="false" customHeight="false" outlineLevel="0" collapsed="false">
      <c r="A1371" s="61" t="s">
        <v>4351</v>
      </c>
      <c r="B1371" s="62"/>
      <c r="C1371" s="62"/>
      <c r="D1371" s="62"/>
      <c r="E1371" s="62"/>
      <c r="F1371" s="62"/>
      <c r="G1371" s="62"/>
      <c r="H1371" s="62"/>
      <c r="I1371" s="62"/>
    </row>
    <row r="1372" customFormat="false" ht="15" hidden="false" customHeight="false" outlineLevel="0" collapsed="false">
      <c r="A1372" s="63" t="s">
        <v>3573</v>
      </c>
      <c r="B1372" s="64" t="s">
        <v>4297</v>
      </c>
      <c r="C1372" s="63" t="s">
        <v>43</v>
      </c>
      <c r="D1372" s="64" t="str">
        <f aca="false">TRIM(LEFT('Onshore - Perth'!A6,FIND(CHAR(10),'Onshore - Perth'!A6&amp;CHAR(10))-1))</f>
        <v>Academies Australasia</v>
      </c>
      <c r="E1372" s="63" t="str">
        <f aca="false">'Onshore - Perth'!C7&amp;""</f>
        <v>3 years</v>
      </c>
      <c r="F1372" s="63" t="str">
        <f aca="false">IF('Onshore - Perth'!D7="","Belum tercatat",'Onshore - Perth'!D7)</f>
        <v>Term</v>
      </c>
      <c r="G1372" s="65" t="n">
        <f aca="false">IF('Onshore - Perth'!E7="","-",'Onshore - Perth'!E7)</f>
        <v>3375</v>
      </c>
      <c r="H1372" s="63" t="n">
        <f aca="false">IF(ISNUMBER(K1372),COUNTIFS($J$6:$J$1916,J1372,$K$6:$K$1916,"&lt;"&amp;K1372)+1,"-")</f>
        <v>1</v>
      </c>
      <c r="I1372" s="64" t="str">
        <f aca="false">IF('Onshore - Perth'!E7="","Harga belum tersedia - hubungi konsultan TEG",IF(M1372=2,"Saat ini tidak menerima pendaftaran siswa internasional baru",IF(M1372=1,"Harga perlu dikonfirmasi ke sekolah"&amp;IF(""="","","; "&amp;""),"")))</f>
        <v/>
      </c>
      <c r="J1372" s="0" t="s">
        <v>4352</v>
      </c>
      <c r="K1372" s="0" t="n">
        <f aca="false">IF(M1372=2,"",IF(ISNUMBER(SEARCH("rata-rata:",'Onshore - Perth'!M7)),VALUE(MID('Onshore - Perth'!M7,SEARCH("rata-rata:",'Onshore - Perth'!M7)+11,FIND(";",'Onshore - Perth'!M7&amp;";",SEARCH("rata-rata:",'Onshore - Perth'!M7))-SEARCH("rata-rata:",'Onshore - Perth'!M7)-11)),IF('Onshore - Perth'!D7="Semester",'Onshore - Perth'!E7*2,IF('Onshore - Perth'!D7="Trimester",'Onshore - Perth'!E7*3,IF('Onshore - Perth'!D7="Term",'Onshore - Perth'!E7*4,IF('Onshore - Perth'!D7="Unit",'Onshore - Perth'!E7*8,""))))))</f>
        <v>13500</v>
      </c>
      <c r="L1372" s="0" t="n">
        <f aca="false">IF(AND(ISNUMBER('Onshore - Perth'!E7),ISNUMBER(K1372),ISNUMBER('Onshore - Perth'!F7),ISNUMBER('Onshore - Perth'!G7),OR('Onshore - Perth'!F7&lt;&gt;0,ISNUMBER(SEARCH("Material 0 terverifikasi",'Onshore - Perth'!M7))),OR('Onshore - Perth'!G7&lt;&gt;0,ISNUMBER(SEARCH("Enrolment 0 terverifikasi",'Onshore - Perth'!M7)))),1,0)</f>
        <v>1</v>
      </c>
      <c r="M1372" s="0" t="n">
        <f aca="false">IF(OR('Onshore - Perth'!E7="",ISNUMBER(SEARCH("BSB80120",'Onshore - Perth'!B7&amp;'Onshore - Perth'!M7)),ISNUMBER(SEARCH("Management (Learning)",'Onshore - Perth'!B7))),2,IF(ISNUMBER(SEARCH("CEK:",'Onshore - Perth'!M7)),1,0))</f>
        <v>0</v>
      </c>
    </row>
    <row r="1373" customFormat="false" ht="15" hidden="false" customHeight="false" outlineLevel="0" collapsed="false">
      <c r="A1373" s="61" t="s">
        <v>4353</v>
      </c>
      <c r="B1373" s="62"/>
      <c r="C1373" s="62"/>
      <c r="D1373" s="62"/>
      <c r="E1373" s="62"/>
      <c r="F1373" s="62"/>
      <c r="G1373" s="62"/>
      <c r="H1373" s="62"/>
      <c r="I1373" s="62"/>
    </row>
    <row r="1374" customFormat="false" ht="15" hidden="false" customHeight="false" outlineLevel="0" collapsed="false">
      <c r="A1374" s="63" t="s">
        <v>3533</v>
      </c>
      <c r="B1374" s="64" t="s">
        <v>4297</v>
      </c>
      <c r="C1374" s="63" t="s">
        <v>39</v>
      </c>
      <c r="D1374" s="64" t="str">
        <f aca="false">TRIM(LEFT('Onshore - Sydney'!A597,FIND(CHAR(10),'Onshore - Sydney'!A597&amp;CHAR(10))-1))</f>
        <v>Le Cordon Bleu Australia</v>
      </c>
      <c r="E1374" s="63" t="str">
        <f aca="false">'Onshore - Sydney'!C597&amp;""</f>
        <v>1,5 years</v>
      </c>
      <c r="F1374" s="63" t="str">
        <f aca="false">IF('Onshore - Sydney'!D597="","Belum tercatat",'Onshore - Sydney'!D597)</f>
        <v>Term</v>
      </c>
      <c r="G1374" s="65" t="n">
        <f aca="false">IF('Onshore - Sydney'!E597="","-",'Onshore - Sydney'!E597)</f>
        <v>6997.5</v>
      </c>
      <c r="H1374" s="63" t="n">
        <f aca="false">IF(ISNUMBER(K1374),COUNTIFS($J$6:$J$1916,J1374,$K$6:$K$1916,"&lt;"&amp;K1374)+1,"-")</f>
        <v>1</v>
      </c>
      <c r="I1374" s="64" t="str">
        <f aca="false">IF('Onshore - Sydney'!E597="","Harga belum tersedia - hubungi konsultan TEG",IF(M1374=2,"Saat ini tidak menerima pendaftaran siswa internasional baru",IF(M1374=1,"Harga perlu dikonfirmasi ke sekolah"&amp;IF(""="","","; "&amp;""),"")))</f>
        <v/>
      </c>
      <c r="J1374" s="0" t="s">
        <v>4354</v>
      </c>
      <c r="K1374" s="0" t="n">
        <f aca="false">IF(M1374=2,"",IF(ISNUMBER(SEARCH("rata-rata:",'Onshore - Sydney'!M597)),VALUE(MID('Onshore - Sydney'!M597,SEARCH("rata-rata:",'Onshore - Sydney'!M597)+11,FIND(";",'Onshore - Sydney'!M597&amp;";",SEARCH("rata-rata:",'Onshore - Sydney'!M597))-SEARCH("rata-rata:",'Onshore - Sydney'!M597)-11)),IF('Onshore - Sydney'!D597="Semester",'Onshore - Sydney'!E597*2,IF('Onshore - Sydney'!D597="Trimester",'Onshore - Sydney'!E597*3,IF('Onshore - Sydney'!D597="Term",'Onshore - Sydney'!E597*4,IF('Onshore - Sydney'!D597="Unit",'Onshore - Sydney'!E597*8,""))))))</f>
        <v>27990</v>
      </c>
      <c r="L1374" s="0" t="n">
        <f aca="false">IF(AND(ISNUMBER('Onshore - Sydney'!E597),ISNUMBER(K1374),ISNUMBER('Onshore - Sydney'!F597),ISNUMBER('Onshore - Sydney'!G597),OR('Onshore - Sydney'!F597&lt;&gt;0,ISNUMBER(SEARCH("Material 0 terverifikasi",'Onshore - Sydney'!M597))),OR('Onshore - Sydney'!G597&lt;&gt;0,ISNUMBER(SEARCH("Enrolment 0 terverifikasi",'Onshore - Sydney'!M597)))),1,0)</f>
        <v>0</v>
      </c>
      <c r="M1374" s="0" t="n">
        <f aca="false">IF(OR('Onshore - Sydney'!E597="",ISNUMBER(SEARCH("BSB80120",'Onshore - Sydney'!B597&amp;'Onshore - Sydney'!M597)),ISNUMBER(SEARCH("Management (Learning)",'Onshore - Sydney'!B597))),2,IF(ISNUMBER(SEARCH("CEK:",'Onshore - Sydney'!M597)),1,0))</f>
        <v>0</v>
      </c>
    </row>
    <row r="1375" customFormat="false" ht="15" hidden="false" customHeight="false" outlineLevel="0" collapsed="false">
      <c r="A1375" s="61" t="s">
        <v>4355</v>
      </c>
      <c r="B1375" s="62"/>
      <c r="C1375" s="62"/>
      <c r="D1375" s="62"/>
      <c r="E1375" s="62"/>
      <c r="F1375" s="62"/>
      <c r="G1375" s="62"/>
      <c r="H1375" s="62"/>
      <c r="I1375" s="62"/>
    </row>
    <row r="1376" customFormat="false" ht="15" hidden="false" customHeight="false" outlineLevel="0" collapsed="false">
      <c r="A1376" s="63" t="s">
        <v>3533</v>
      </c>
      <c r="B1376" s="64" t="s">
        <v>4297</v>
      </c>
      <c r="C1376" s="63" t="s">
        <v>40</v>
      </c>
      <c r="D1376" s="64" t="str">
        <f aca="false">TRIM(LEFT('Onshore - Sydney'!A1038,FIND(CHAR(10),'Onshore - Sydney'!A1038&amp;CHAR(10))-1))</f>
        <v>Wells International College (WIC)</v>
      </c>
      <c r="E1376" s="63" t="str">
        <f aca="false">'Onshore - Sydney'!C1040&amp;""</f>
        <v>1.5 years</v>
      </c>
      <c r="F1376" s="63" t="str">
        <f aca="false">IF('Onshore - Sydney'!D1040="","Belum tercatat",'Onshore - Sydney'!D1040)</f>
        <v>Term</v>
      </c>
      <c r="G1376" s="65" t="n">
        <f aca="false">IF('Onshore - Sydney'!E1040="","-",'Onshore - Sydney'!E1040)</f>
        <v>2000</v>
      </c>
      <c r="H1376" s="63" t="n">
        <f aca="false">IF(ISNUMBER(K1376),COUNTIFS($J$6:$J$1916,J1376,$K$6:$K$1916,"&lt;"&amp;K1376)+1,"-")</f>
        <v>1</v>
      </c>
      <c r="I1376" s="64" t="str">
        <f aca="false">IF('Onshore - Sydney'!E1040="","Harga belum tersedia - hubungi konsultan TEG",IF(M1376=2,"Saat ini tidak menerima pendaftaran siswa internasional baru",IF(M1376=1,"Harga perlu dikonfirmasi ke sekolah"&amp;IF(""="","","; "&amp;""),"")))</f>
        <v/>
      </c>
      <c r="J1376" s="0" t="s">
        <v>4356</v>
      </c>
      <c r="K1376" s="0" t="n">
        <f aca="false">IF(M1376=2,"",IF(ISNUMBER(SEARCH("rata-rata:",'Onshore - Sydney'!M1040)),VALUE(MID('Onshore - Sydney'!M1040,SEARCH("rata-rata:",'Onshore - Sydney'!M1040)+11,FIND(";",'Onshore - Sydney'!M1040&amp;";",SEARCH("rata-rata:",'Onshore - Sydney'!M1040))-SEARCH("rata-rata:",'Onshore - Sydney'!M1040)-11)),IF('Onshore - Sydney'!D1040="Semester",'Onshore - Sydney'!E1040*2,IF('Onshore - Sydney'!D1040="Trimester",'Onshore - Sydney'!E1040*3,IF('Onshore - Sydney'!D1040="Term",'Onshore - Sydney'!E1040*4,IF('Onshore - Sydney'!D1040="Unit",'Onshore - Sydney'!E1040*8,""))))))</f>
        <v>8000</v>
      </c>
      <c r="L1376" s="0" t="n">
        <f aca="false">IF(AND(ISNUMBER('Onshore - Sydney'!E1040),ISNUMBER(K1376),ISNUMBER('Onshore - Sydney'!F1040),ISNUMBER('Onshore - Sydney'!G1040),OR('Onshore - Sydney'!F1040&lt;&gt;0,ISNUMBER(SEARCH("Material 0 terverifikasi",'Onshore - Sydney'!M1040))),OR('Onshore - Sydney'!G1040&lt;&gt;0,ISNUMBER(SEARCH("Enrolment 0 terverifikasi",'Onshore - Sydney'!M1040)))),1,0)</f>
        <v>1</v>
      </c>
      <c r="M1376" s="0" t="n">
        <f aca="false">IF(OR('Onshore - Sydney'!E1040="",ISNUMBER(SEARCH("BSB80120",'Onshore - Sydney'!B1040&amp;'Onshore - Sydney'!M1040)),ISNUMBER(SEARCH("Management (Learning)",'Onshore - Sydney'!B1040))),2,IF(ISNUMBER(SEARCH("CEK:",'Onshore - Sydney'!M1040)),1,0))</f>
        <v>0</v>
      </c>
    </row>
    <row r="1377" customFormat="false" ht="15" hidden="false" customHeight="false" outlineLevel="0" collapsed="false">
      <c r="A1377" s="63" t="s">
        <v>3533</v>
      </c>
      <c r="B1377" s="64" t="s">
        <v>4297</v>
      </c>
      <c r="C1377" s="63" t="s">
        <v>40</v>
      </c>
      <c r="D1377" s="64" t="str">
        <f aca="false">TRIM(LEFT('Onshore - Sydney'!A472,FIND(CHAR(10),'Onshore - Sydney'!A472&amp;CHAR(10))-1))</f>
        <v>George Brown College</v>
      </c>
      <c r="E1377" s="63" t="str">
        <f aca="false">'Onshore - Sydney'!C485&amp;""</f>
        <v>2 years</v>
      </c>
      <c r="F1377" s="63" t="str">
        <f aca="false">IF('Onshore - Sydney'!D485="","Belum tercatat",'Onshore - Sydney'!D485)</f>
        <v>Term</v>
      </c>
      <c r="G1377" s="65" t="n">
        <f aca="false">IF('Onshore - Sydney'!E485="","-",'Onshore - Sydney'!E485)</f>
        <v>2200</v>
      </c>
      <c r="H1377" s="63" t="n">
        <f aca="false">IF(ISNUMBER(K1377),COUNTIFS($J$6:$J$1916,J1377,$K$6:$K$1916,"&lt;"&amp;K1377)+1,"-")</f>
        <v>2</v>
      </c>
      <c r="I1377" s="64" t="str">
        <f aca="false">IF('Onshore - Sydney'!E485="","Harga belum tersedia - hubungi konsultan TEG",IF(M1377=2,"Saat ini tidak menerima pendaftaran siswa internasional baru",IF(M1377=1,"Harga perlu dikonfirmasi ke sekolah"&amp;IF(""="","","; "&amp;""),"")))</f>
        <v/>
      </c>
      <c r="J1377" s="0" t="s">
        <v>4356</v>
      </c>
      <c r="K1377" s="0" t="n">
        <f aca="false">IF(M1377=2,"",IF(ISNUMBER(SEARCH("rata-rata:",'Onshore - Sydney'!M485)),VALUE(MID('Onshore - Sydney'!M485,SEARCH("rata-rata:",'Onshore - Sydney'!M485)+11,FIND(";",'Onshore - Sydney'!M485&amp;";",SEARCH("rata-rata:",'Onshore - Sydney'!M485))-SEARCH("rata-rata:",'Onshore - Sydney'!M485)-11)),IF('Onshore - Sydney'!D485="Semester",'Onshore - Sydney'!E485*2,IF('Onshore - Sydney'!D485="Trimester",'Onshore - Sydney'!E485*3,IF('Onshore - Sydney'!D485="Term",'Onshore - Sydney'!E485*4,IF('Onshore - Sydney'!D485="Unit",'Onshore - Sydney'!E485*8,""))))))</f>
        <v>8800</v>
      </c>
      <c r="L1377" s="0" t="n">
        <f aca="false">IF(AND(ISNUMBER('Onshore - Sydney'!E485),ISNUMBER(K1377),ISNUMBER('Onshore - Sydney'!F485),ISNUMBER('Onshore - Sydney'!G485),OR('Onshore - Sydney'!F485&lt;&gt;0,ISNUMBER(SEARCH("Material 0 terverifikasi",'Onshore - Sydney'!M485))),OR('Onshore - Sydney'!G485&lt;&gt;0,ISNUMBER(SEARCH("Enrolment 0 terverifikasi",'Onshore - Sydney'!M485)))),1,0)</f>
        <v>1</v>
      </c>
      <c r="M1377" s="0" t="n">
        <f aca="false">IF(OR('Onshore - Sydney'!E485="",ISNUMBER(SEARCH("BSB80120",'Onshore - Sydney'!B485&amp;'Onshore - Sydney'!M485)),ISNUMBER(SEARCH("Management (Learning)",'Onshore - Sydney'!B485))),2,IF(ISNUMBER(SEARCH("CEK:",'Onshore - Sydney'!M485)),1,0))</f>
        <v>0</v>
      </c>
    </row>
    <row r="1378" customFormat="false" ht="15" hidden="false" customHeight="false" outlineLevel="0" collapsed="false">
      <c r="A1378" s="63" t="s">
        <v>3533</v>
      </c>
      <c r="B1378" s="64" t="s">
        <v>4297</v>
      </c>
      <c r="C1378" s="63" t="s">
        <v>40</v>
      </c>
      <c r="D1378" s="64" t="str">
        <f aca="false">TRIM(LEFT('Onshore - Sydney'!A584,FIND(CHAR(10),'Onshore - Sydney'!A584&amp;CHAR(10))-1))</f>
        <v>King's School of Culinary Arts</v>
      </c>
      <c r="E1378" s="63" t="str">
        <f aca="false">'Onshore - Sydney'!C590&amp;""</f>
        <v>78 weeks</v>
      </c>
      <c r="F1378" s="63" t="str">
        <f aca="false">IF('Onshore - Sydney'!D590="","Belum tercatat",'Onshore - Sydney'!D590)</f>
        <v>Term</v>
      </c>
      <c r="G1378" s="65" t="n">
        <f aca="false">IF('Onshore - Sydney'!E590="","-",'Onshore - Sydney'!E590)</f>
        <v>1500</v>
      </c>
      <c r="H1378" s="63" t="n">
        <f aca="false">IF(ISNUMBER(K1378),COUNTIFS($J$6:$J$1916,J1378,$K$6:$K$1916,"&lt;"&amp;K1378)+1,"-")</f>
        <v>3</v>
      </c>
      <c r="I1378" s="64" t="str">
        <f aca="false">IF('Onshore - Sydney'!E590="","Harga belum tersedia - hubungi konsultan TEG",IF(M1378=2,"Saat ini tidak menerima pendaftaran siswa internasional baru",IF(M1378=1,"Harga perlu dikonfirmasi ke sekolah"&amp;IF("Harga promo s.d. 31/12/2026"="","","; "&amp;"Harga promo s.d. 31/12/2026"),"Harga promo s.d. 31/12/2026")))</f>
        <v>Harga promo s.d. 31/12/2026</v>
      </c>
      <c r="J1378" s="0" t="s">
        <v>4356</v>
      </c>
      <c r="K1378" s="0" t="n">
        <f aca="false">IF(M1378=2,"",IF(ISNUMBER(SEARCH("rata-rata:",'Onshore - Sydney'!M590)),VALUE(MID('Onshore - Sydney'!M590,SEARCH("rata-rata:",'Onshore - Sydney'!M590)+11,FIND(";",'Onshore - Sydney'!M590&amp;";",SEARCH("rata-rata:",'Onshore - Sydney'!M590))-SEARCH("rata-rata:",'Onshore - Sydney'!M590)-11)),IF('Onshore - Sydney'!D590="Semester",'Onshore - Sydney'!E590*2,IF('Onshore - Sydney'!D590="Trimester",'Onshore - Sydney'!E590*3,IF('Onshore - Sydney'!D590="Term",'Onshore - Sydney'!E590*4,IF('Onshore - Sydney'!D590="Unit",'Onshore - Sydney'!E590*8,""))))))</f>
        <v>10000</v>
      </c>
      <c r="L1378" s="0" t="n">
        <f aca="false">IF(AND(ISNUMBER('Onshore - Sydney'!E590),ISNUMBER(K1378),ISNUMBER('Onshore - Sydney'!F590),ISNUMBER('Onshore - Sydney'!G590),OR('Onshore - Sydney'!F590&lt;&gt;0,ISNUMBER(SEARCH("Material 0 terverifikasi",'Onshore - Sydney'!M590))),OR('Onshore - Sydney'!G590&lt;&gt;0,ISNUMBER(SEARCH("Enrolment 0 terverifikasi",'Onshore - Sydney'!M590)))),1,0)</f>
        <v>1</v>
      </c>
      <c r="M1378" s="0" t="n">
        <f aca="false">IF(OR('Onshore - Sydney'!E590="",ISNUMBER(SEARCH("BSB80120",'Onshore - Sydney'!B590&amp;'Onshore - Sydney'!M590)),ISNUMBER(SEARCH("Management (Learning)",'Onshore - Sydney'!B590))),2,IF(ISNUMBER(SEARCH("CEK:",'Onshore - Sydney'!M590)),1,0))</f>
        <v>0</v>
      </c>
    </row>
    <row r="1379" customFormat="false" ht="15" hidden="false" customHeight="false" outlineLevel="0" collapsed="false">
      <c r="A1379" s="63" t="s">
        <v>3533</v>
      </c>
      <c r="B1379" s="64" t="s">
        <v>4297</v>
      </c>
      <c r="C1379" s="63" t="s">
        <v>40</v>
      </c>
      <c r="D1379" s="64" t="str">
        <f aca="false">TRIM(LEFT('Onshore - Sydney'!A454,FIND(CHAR(10),'Onshore - Sydney'!A454&amp;CHAR(10))-1))</f>
        <v>Evolution Hospitality Institute</v>
      </c>
      <c r="E1379" s="63" t="str">
        <f aca="false">'Onshore - Sydney'!C464&amp;""</f>
        <v>1 years</v>
      </c>
      <c r="F1379" s="63" t="str">
        <f aca="false">IF('Onshore - Sydney'!D464="","Belum tercatat",'Onshore - Sydney'!D464)</f>
        <v>Term</v>
      </c>
      <c r="G1379" s="65" t="n">
        <f aca="false">IF('Onshore - Sydney'!E464="","-",'Onshore - Sydney'!E464)</f>
        <v>2550</v>
      </c>
      <c r="H1379" s="63" t="n">
        <f aca="false">IF(ISNUMBER(K1379),COUNTIFS($J$6:$J$1916,J1379,$K$6:$K$1916,"&lt;"&amp;K1379)+1,"-")</f>
        <v>4</v>
      </c>
      <c r="I1379" s="64" t="str">
        <f aca="false">IF('Onshore - Sydney'!E464="","Harga belum tersedia - hubungi konsultan TEG",IF(M1379=2,"Saat ini tidak menerima pendaftaran siswa internasional baru",IF(M1379=1,"Harga perlu dikonfirmasi ke sekolah"&amp;IF(""="","","; "&amp;""),"")))</f>
        <v>Harga perlu dikonfirmasi ke sekolah</v>
      </c>
      <c r="J1379" s="0" t="s">
        <v>4356</v>
      </c>
      <c r="K1379" s="0" t="n">
        <f aca="false">IF(M1379=2,"",IF(ISNUMBER(SEARCH("rata-rata:",'Onshore - Sydney'!M464)),VALUE(MID('Onshore - Sydney'!M464,SEARCH("rata-rata:",'Onshore - Sydney'!M464)+11,FIND(";",'Onshore - Sydney'!M464&amp;";",SEARCH("rata-rata:",'Onshore - Sydney'!M464))-SEARCH("rata-rata:",'Onshore - Sydney'!M464)-11)),IF('Onshore - Sydney'!D464="Semester",'Onshore - Sydney'!E464*2,IF('Onshore - Sydney'!D464="Trimester",'Onshore - Sydney'!E464*3,IF('Onshore - Sydney'!D464="Term",'Onshore - Sydney'!E464*4,IF('Onshore - Sydney'!D464="Unit",'Onshore - Sydney'!E464*8,""))))))</f>
        <v>10200</v>
      </c>
      <c r="L1379" s="0" t="n">
        <f aca="false">IF(AND(ISNUMBER('Onshore - Sydney'!E464),ISNUMBER(K1379),ISNUMBER('Onshore - Sydney'!F464),ISNUMBER('Onshore - Sydney'!G464),OR('Onshore - Sydney'!F464&lt;&gt;0,ISNUMBER(SEARCH("Material 0 terverifikasi",'Onshore - Sydney'!M464))),OR('Onshore - Sydney'!G464&lt;&gt;0,ISNUMBER(SEARCH("Enrolment 0 terverifikasi",'Onshore - Sydney'!M464)))),1,0)</f>
        <v>1</v>
      </c>
      <c r="M1379" s="0" t="n">
        <f aca="false">IF(OR('Onshore - Sydney'!E464="",ISNUMBER(SEARCH("BSB80120",'Onshore - Sydney'!B464&amp;'Onshore - Sydney'!M464)),ISNUMBER(SEARCH("Management (Learning)",'Onshore - Sydney'!B464))),2,IF(ISNUMBER(SEARCH("CEK:",'Onshore - Sydney'!M464)),1,0))</f>
        <v>1</v>
      </c>
    </row>
    <row r="1380" customFormat="false" ht="15" hidden="false" customHeight="false" outlineLevel="0" collapsed="false">
      <c r="A1380" s="63" t="s">
        <v>3533</v>
      </c>
      <c r="B1380" s="64" t="s">
        <v>4297</v>
      </c>
      <c r="C1380" s="63" t="s">
        <v>40</v>
      </c>
      <c r="D1380" s="64" t="str">
        <f aca="false">TRIM(LEFT('Onshore - Sydney'!A15,FIND(CHAR(10),'Onshore - Sydney'!A15&amp;CHAR(10))-1))</f>
        <v>ABM Further Education</v>
      </c>
      <c r="E1380" s="63" t="str">
        <f aca="false">'Onshore - Sydney'!C23&amp;""</f>
        <v>2 years</v>
      </c>
      <c r="F1380" s="63" t="str">
        <f aca="false">IF('Onshore - Sydney'!D23="","Belum tercatat",'Onshore - Sydney'!D23)</f>
        <v>Term</v>
      </c>
      <c r="G1380" s="65" t="n">
        <f aca="false">IF('Onshore - Sydney'!E23="","-",'Onshore - Sydney'!E23)</f>
        <v>2750</v>
      </c>
      <c r="H1380" s="63" t="n">
        <f aca="false">IF(ISNUMBER(K1380),COUNTIFS($J$6:$J$1916,J1380,$K$6:$K$1916,"&lt;"&amp;K1380)+1,"-")</f>
        <v>5</v>
      </c>
      <c r="I1380" s="64" t="str">
        <f aca="false">IF('Onshore - Sydney'!E23="","Harga belum tersedia - hubungi konsultan TEG",IF(M1380=2,"Saat ini tidak menerima pendaftaran siswa internasional baru",IF(M1380=1,"Harga perlu dikonfirmasi ke sekolah"&amp;IF(""="","","; "&amp;""),"")))</f>
        <v/>
      </c>
      <c r="J1380" s="0" t="s">
        <v>4356</v>
      </c>
      <c r="K1380" s="0" t="n">
        <f aca="false">IF(M1380=2,"",IF(ISNUMBER(SEARCH("rata-rata:",'Onshore - Sydney'!M23)),VALUE(MID('Onshore - Sydney'!M23,SEARCH("rata-rata:",'Onshore - Sydney'!M23)+11,FIND(";",'Onshore - Sydney'!M23&amp;";",SEARCH("rata-rata:",'Onshore - Sydney'!M23))-SEARCH("rata-rata:",'Onshore - Sydney'!M23)-11)),IF('Onshore - Sydney'!D23="Semester",'Onshore - Sydney'!E23*2,IF('Onshore - Sydney'!D23="Trimester",'Onshore - Sydney'!E23*3,IF('Onshore - Sydney'!D23="Term",'Onshore - Sydney'!E23*4,IF('Onshore - Sydney'!D23="Unit",'Onshore - Sydney'!E23*8,""))))))</f>
        <v>11000</v>
      </c>
      <c r="L1380" s="0" t="n">
        <f aca="false">IF(AND(ISNUMBER('Onshore - Sydney'!E23),ISNUMBER(K1380),ISNUMBER('Onshore - Sydney'!F23),ISNUMBER('Onshore - Sydney'!G23),OR('Onshore - Sydney'!F23&lt;&gt;0,ISNUMBER(SEARCH("Material 0 terverifikasi",'Onshore - Sydney'!M23))),OR('Onshore - Sydney'!G23&lt;&gt;0,ISNUMBER(SEARCH("Enrolment 0 terverifikasi",'Onshore - Sydney'!M23)))),1,0)</f>
        <v>1</v>
      </c>
      <c r="M1380" s="0" t="n">
        <f aca="false">IF(OR('Onshore - Sydney'!E23="",ISNUMBER(SEARCH("BSB80120",'Onshore - Sydney'!B23&amp;'Onshore - Sydney'!M23)),ISNUMBER(SEARCH("Management (Learning)",'Onshore - Sydney'!B23))),2,IF(ISNUMBER(SEARCH("CEK:",'Onshore - Sydney'!M23)),1,0))</f>
        <v>0</v>
      </c>
    </row>
    <row r="1381" customFormat="false" ht="15" hidden="false" customHeight="false" outlineLevel="0" collapsed="false">
      <c r="A1381" s="63" t="s">
        <v>3533</v>
      </c>
      <c r="B1381" s="64" t="s">
        <v>4297</v>
      </c>
      <c r="C1381" s="63" t="s">
        <v>40</v>
      </c>
      <c r="D1381" s="64" t="str">
        <f aca="false">TRIM(LEFT('Onshore - Sydney'!A609,FIND(CHAR(10),'Onshore - Sydney'!A609&amp;CHAR(10))-1))</f>
        <v>Le Culinaire Hospitality Institute</v>
      </c>
      <c r="E1381" s="63" t="str">
        <f aca="false">'Onshore - Sydney'!C616&amp;""</f>
        <v>1,5 years (6 terms)</v>
      </c>
      <c r="F1381" s="63" t="str">
        <f aca="false">IF('Onshore - Sydney'!D616="","Belum tercatat",'Onshore - Sydney'!D616)</f>
        <v>Term</v>
      </c>
      <c r="G1381" s="65" t="n">
        <f aca="false">IF('Onshore - Sydney'!E616="","-",'Onshore - Sydney'!E616)</f>
        <v>2800</v>
      </c>
      <c r="H1381" s="63" t="n">
        <f aca="false">IF(ISNUMBER(K1381),COUNTIFS($J$6:$J$1916,J1381,$K$6:$K$1916,"&lt;"&amp;K1381)+1,"-")</f>
        <v>6</v>
      </c>
      <c r="I1381" s="64" t="str">
        <f aca="false">IF('Onshore - Sydney'!E616="","Harga belum tersedia - hubungi konsultan TEG",IF(M1381=2,"Saat ini tidak menerima pendaftaran siswa internasional baru",IF(M1381=1,"Harga perlu dikonfirmasi ke sekolah"&amp;IF(""="","","; "&amp;""),"")))</f>
        <v/>
      </c>
      <c r="J1381" s="0" t="s">
        <v>4356</v>
      </c>
      <c r="K1381" s="0" t="n">
        <f aca="false">IF(M1381=2,"",IF(ISNUMBER(SEARCH("rata-rata:",'Onshore - Sydney'!M616)),VALUE(MID('Onshore - Sydney'!M616,SEARCH("rata-rata:",'Onshore - Sydney'!M616)+11,FIND(";",'Onshore - Sydney'!M616&amp;";",SEARCH("rata-rata:",'Onshore - Sydney'!M616))-SEARCH("rata-rata:",'Onshore - Sydney'!M616)-11)),IF('Onshore - Sydney'!D616="Semester",'Onshore - Sydney'!E616*2,IF('Onshore - Sydney'!D616="Trimester",'Onshore - Sydney'!E616*3,IF('Onshore - Sydney'!D616="Term",'Onshore - Sydney'!E616*4,IF('Onshore - Sydney'!D616="Unit",'Onshore - Sydney'!E616*8,""))))))</f>
        <v>11200</v>
      </c>
      <c r="L1381" s="0" t="n">
        <f aca="false">IF(AND(ISNUMBER('Onshore - Sydney'!E616),ISNUMBER(K1381),ISNUMBER('Onshore - Sydney'!F616),ISNUMBER('Onshore - Sydney'!G616),OR('Onshore - Sydney'!F616&lt;&gt;0,ISNUMBER(SEARCH("Material 0 terverifikasi",'Onshore - Sydney'!M616))),OR('Onshore - Sydney'!G616&lt;&gt;0,ISNUMBER(SEARCH("Enrolment 0 terverifikasi",'Onshore - Sydney'!M616)))),1,0)</f>
        <v>1</v>
      </c>
      <c r="M1381" s="0" t="n">
        <f aca="false">IF(OR('Onshore - Sydney'!E616="",ISNUMBER(SEARCH("BSB80120",'Onshore - Sydney'!B616&amp;'Onshore - Sydney'!M616)),ISNUMBER(SEARCH("Management (Learning)",'Onshore - Sydney'!B616))),2,IF(ISNUMBER(SEARCH("CEK:",'Onshore - Sydney'!M616)),1,0))</f>
        <v>0</v>
      </c>
    </row>
    <row r="1382" customFormat="false" ht="15" hidden="false" customHeight="false" outlineLevel="0" collapsed="false">
      <c r="A1382" s="63" t="s">
        <v>3533</v>
      </c>
      <c r="B1382" s="64" t="s">
        <v>4297</v>
      </c>
      <c r="C1382" s="63" t="s">
        <v>40</v>
      </c>
      <c r="D1382" s="64" t="str">
        <f aca="false">TRIM(LEFT('Onshore - Sydney'!A1231,FIND(CHAR(10),'Onshore - Sydney'!A1231&amp;CHAR(10))-1))</f>
        <v>William Angliss Institute</v>
      </c>
      <c r="E1382" s="63" t="str">
        <f aca="false">'Onshore - Sydney'!C1235&amp;""</f>
        <v>2,5 years</v>
      </c>
      <c r="F1382" s="63" t="str">
        <f aca="false">IF('Onshore - Sydney'!D1235="","Belum tercatat",'Onshore - Sydney'!D1235)</f>
        <v>Term</v>
      </c>
      <c r="G1382" s="65" t="n">
        <f aca="false">IF('Onshore - Sydney'!E1235="","-",'Onshore - Sydney'!E1235)</f>
        <v>4500</v>
      </c>
      <c r="H1382" s="63" t="n">
        <f aca="false">IF(ISNUMBER(K1382),COUNTIFS($J$6:$J$1916,J1382,$K$6:$K$1916,"&lt;"&amp;K1382)+1,"-")</f>
        <v>7</v>
      </c>
      <c r="I1382" s="64" t="str">
        <f aca="false">IF('Onshore - Sydney'!E1235="","Harga belum tersedia - hubungi konsultan TEG",IF(M1382=2,"Saat ini tidak menerima pendaftaran siswa internasional baru",IF(M1382=1,"Harga perlu dikonfirmasi ke sekolah"&amp;IF(""="","","; "&amp;""),"")))</f>
        <v>Harga perlu dikonfirmasi ke sekolah</v>
      </c>
      <c r="J1382" s="0" t="s">
        <v>4356</v>
      </c>
      <c r="K1382" s="0" t="n">
        <f aca="false">IF(M1382=2,"",IF(ISNUMBER(SEARCH("rata-rata:",'Onshore - Sydney'!M1235)),VALUE(MID('Onshore - Sydney'!M1235,SEARCH("rata-rata:",'Onshore - Sydney'!M1235)+11,FIND(";",'Onshore - Sydney'!M1235&amp;";",SEARCH("rata-rata:",'Onshore - Sydney'!M1235))-SEARCH("rata-rata:",'Onshore - Sydney'!M1235)-11)),IF('Onshore - Sydney'!D1235="Semester",'Onshore - Sydney'!E1235*2,IF('Onshore - Sydney'!D1235="Trimester",'Onshore - Sydney'!E1235*3,IF('Onshore - Sydney'!D1235="Term",'Onshore - Sydney'!E1235*4,IF('Onshore - Sydney'!D1235="Unit",'Onshore - Sydney'!E1235*8,""))))))</f>
        <v>18000</v>
      </c>
      <c r="L1382" s="0" t="n">
        <f aca="false">IF(AND(ISNUMBER('Onshore - Sydney'!E1235),ISNUMBER(K1382),ISNUMBER('Onshore - Sydney'!F1235),ISNUMBER('Onshore - Sydney'!G1235),OR('Onshore - Sydney'!F1235&lt;&gt;0,ISNUMBER(SEARCH("Material 0 terverifikasi",'Onshore - Sydney'!M1235))),OR('Onshore - Sydney'!G1235&lt;&gt;0,ISNUMBER(SEARCH("Enrolment 0 terverifikasi",'Onshore - Sydney'!M1235)))),1,0)</f>
        <v>1</v>
      </c>
      <c r="M1382" s="0" t="n">
        <f aca="false">IF(OR('Onshore - Sydney'!E1235="",ISNUMBER(SEARCH("BSB80120",'Onshore - Sydney'!B1235&amp;'Onshore - Sydney'!M1235)),ISNUMBER(SEARCH("Management (Learning)",'Onshore - Sydney'!B1235))),2,IF(ISNUMBER(SEARCH("CEK:",'Onshore - Sydney'!M1235)),1,0))</f>
        <v>1</v>
      </c>
    </row>
    <row r="1383" customFormat="false" ht="15" hidden="false" customHeight="false" outlineLevel="0" collapsed="false">
      <c r="A1383" s="63" t="s">
        <v>3533</v>
      </c>
      <c r="B1383" s="64" t="s">
        <v>4297</v>
      </c>
      <c r="C1383" s="63" t="s">
        <v>40</v>
      </c>
      <c r="D1383" s="64" t="str">
        <f aca="false">TRIM(LEFT('Onshore - Sydney'!A597,FIND(CHAR(10),'Onshore - Sydney'!A597&amp;CHAR(10))-1))</f>
        <v>Le Cordon Bleu Australia</v>
      </c>
      <c r="E1383" s="63" t="str">
        <f aca="false">'Onshore - Sydney'!C598&amp;""</f>
        <v>0,5 year</v>
      </c>
      <c r="F1383" s="63" t="str">
        <f aca="false">IF('Onshore - Sydney'!D598="","Belum tercatat",'Onshore - Sydney'!D598)</f>
        <v>Term</v>
      </c>
      <c r="G1383" s="65" t="n">
        <f aca="false">IF('Onshore - Sydney'!E598="","-",'Onshore - Sydney'!E598)</f>
        <v>6737</v>
      </c>
      <c r="H1383" s="63" t="n">
        <f aca="false">IF(ISNUMBER(K1383),COUNTIFS($J$6:$J$1916,J1383,$K$6:$K$1916,"&lt;"&amp;K1383)+1,"-")</f>
        <v>8</v>
      </c>
      <c r="I1383" s="64" t="str">
        <f aca="false">IF('Onshore - Sydney'!E598="","Harga belum tersedia - hubungi konsultan TEG",IF(M1383=2,"Saat ini tidak menerima pendaftaran siswa internasional baru",IF(M1383=1,"Harga perlu dikonfirmasi ke sekolah"&amp;IF(""="","","; "&amp;""),"")))</f>
        <v/>
      </c>
      <c r="J1383" s="0" t="s">
        <v>4356</v>
      </c>
      <c r="K1383" s="0" t="n">
        <f aca="false">IF(M1383=2,"",IF(ISNUMBER(SEARCH("rata-rata:",'Onshore - Sydney'!M598)),VALUE(MID('Onshore - Sydney'!M598,SEARCH("rata-rata:",'Onshore - Sydney'!M598)+11,FIND(";",'Onshore - Sydney'!M598&amp;";",SEARCH("rata-rata:",'Onshore - Sydney'!M598))-SEARCH("rata-rata:",'Onshore - Sydney'!M598)-11)),IF('Onshore - Sydney'!D598="Semester",'Onshore - Sydney'!E598*2,IF('Onshore - Sydney'!D598="Trimester",'Onshore - Sydney'!E598*3,IF('Onshore - Sydney'!D598="Term",'Onshore - Sydney'!E598*4,IF('Onshore - Sydney'!D598="Unit",'Onshore - Sydney'!E598*8,""))))))</f>
        <v>26948</v>
      </c>
      <c r="L1383" s="0" t="n">
        <f aca="false">IF(AND(ISNUMBER('Onshore - Sydney'!E598),ISNUMBER(K1383),ISNUMBER('Onshore - Sydney'!F598),ISNUMBER('Onshore - Sydney'!G598),OR('Onshore - Sydney'!F598&lt;&gt;0,ISNUMBER(SEARCH("Material 0 terverifikasi",'Onshore - Sydney'!M598))),OR('Onshore - Sydney'!G598&lt;&gt;0,ISNUMBER(SEARCH("Enrolment 0 terverifikasi",'Onshore - Sydney'!M598)))),1,0)</f>
        <v>0</v>
      </c>
      <c r="M1383" s="0" t="n">
        <f aca="false">IF(OR('Onshore - Sydney'!E598="",ISNUMBER(SEARCH("BSB80120",'Onshore - Sydney'!B598&amp;'Onshore - Sydney'!M598)),ISNUMBER(SEARCH("Management (Learning)",'Onshore - Sydney'!B598))),2,IF(ISNUMBER(SEARCH("CEK:",'Onshore - Sydney'!M598)),1,0))</f>
        <v>0</v>
      </c>
    </row>
    <row r="1384" customFormat="false" ht="15" hidden="false" customHeight="false" outlineLevel="0" collapsed="false">
      <c r="A1384" s="61" t="s">
        <v>4357</v>
      </c>
      <c r="B1384" s="62"/>
      <c r="C1384" s="62"/>
      <c r="D1384" s="62"/>
      <c r="E1384" s="62"/>
      <c r="F1384" s="62"/>
      <c r="G1384" s="62"/>
      <c r="H1384" s="62"/>
      <c r="I1384" s="62"/>
    </row>
    <row r="1385" customFormat="false" ht="15" hidden="false" customHeight="false" outlineLevel="0" collapsed="false">
      <c r="A1385" s="63" t="s">
        <v>3533</v>
      </c>
      <c r="B1385" s="64" t="s">
        <v>4297</v>
      </c>
      <c r="C1385" s="63" t="s">
        <v>41</v>
      </c>
      <c r="D1385" s="64" t="str">
        <f aca="false">TRIM(LEFT('Onshore - Sydney'!A584,FIND(CHAR(10),'Onshore - Sydney'!A584&amp;CHAR(10))-1))</f>
        <v>King's School of Culinary Arts</v>
      </c>
      <c r="E1385" s="63" t="str">
        <f aca="false">'Onshore - Sydney'!C592&amp;""</f>
        <v>104 weeks</v>
      </c>
      <c r="F1385" s="63" t="str">
        <f aca="false">IF('Onshore - Sydney'!D592="","Belum tercatat",'Onshore - Sydney'!D592)</f>
        <v>Term</v>
      </c>
      <c r="G1385" s="65" t="n">
        <f aca="false">IF('Onshore - Sydney'!E592="","-",'Onshore - Sydney'!E592)</f>
        <v>1500</v>
      </c>
      <c r="H1385" s="63" t="n">
        <f aca="false">IF(ISNUMBER(K1385),COUNTIFS($J$6:$J$1916,J1385,$K$6:$K$1916,"&lt;"&amp;K1385)+1,"-")</f>
        <v>1</v>
      </c>
      <c r="I1385" s="64" t="str">
        <f aca="false">IF('Onshore - Sydney'!E592="","Harga belum tersedia - hubungi konsultan TEG",IF(M1385=2,"Saat ini tidak menerima pendaftaran siswa internasional baru",IF(M1385=1,"Harga perlu dikonfirmasi ke sekolah"&amp;IF("Harga promo s.d. 31/12/2026"="","","; "&amp;"Harga promo s.d. 31/12/2026"),"Harga promo s.d. 31/12/2026")))</f>
        <v>Harga promo s.d. 31/12/2026</v>
      </c>
      <c r="J1385" s="0" t="s">
        <v>4358</v>
      </c>
      <c r="K1385" s="0" t="n">
        <f aca="false">IF(M1385=2,"",IF(ISNUMBER(SEARCH("rata-rata:",'Onshore - Sydney'!M592)),VALUE(MID('Onshore - Sydney'!M592,SEARCH("rata-rata:",'Onshore - Sydney'!M592)+11,FIND(";",'Onshore - Sydney'!M592&amp;";",SEARCH("rata-rata:",'Onshore - Sydney'!M592))-SEARCH("rata-rata:",'Onshore - Sydney'!M592)-11)),IF('Onshore - Sydney'!D592="Semester",'Onshore - Sydney'!E592*2,IF('Onshore - Sydney'!D592="Trimester",'Onshore - Sydney'!E592*3,IF('Onshore - Sydney'!D592="Term",'Onshore - Sydney'!E592*4,IF('Onshore - Sydney'!D592="Unit",'Onshore - Sydney'!E592*8,""))))))</f>
        <v>6000</v>
      </c>
      <c r="L1385" s="0" t="n">
        <f aca="false">IF(AND(ISNUMBER('Onshore - Sydney'!E592),ISNUMBER(K1385),ISNUMBER('Onshore - Sydney'!F592),ISNUMBER('Onshore - Sydney'!G592),OR('Onshore - Sydney'!F592&lt;&gt;0,ISNUMBER(SEARCH("Material 0 terverifikasi",'Onshore - Sydney'!M592))),OR('Onshore - Sydney'!G592&lt;&gt;0,ISNUMBER(SEARCH("Enrolment 0 terverifikasi",'Onshore - Sydney'!M592)))),1,0)</f>
        <v>1</v>
      </c>
      <c r="M1385" s="0" t="n">
        <f aca="false">IF(OR('Onshore - Sydney'!E592="",ISNUMBER(SEARCH("BSB80120",'Onshore - Sydney'!B592&amp;'Onshore - Sydney'!M592)),ISNUMBER(SEARCH("Management (Learning)",'Onshore - Sydney'!B592))),2,IF(ISNUMBER(SEARCH("CEK:",'Onshore - Sydney'!M592)),1,0))</f>
        <v>0</v>
      </c>
    </row>
    <row r="1386" customFormat="false" ht="15" hidden="false" customHeight="false" outlineLevel="0" collapsed="false">
      <c r="A1386" s="63" t="s">
        <v>3533</v>
      </c>
      <c r="B1386" s="64" t="s">
        <v>4297</v>
      </c>
      <c r="C1386" s="63" t="s">
        <v>41</v>
      </c>
      <c r="D1386" s="64" t="str">
        <f aca="false">TRIM(LEFT('Onshore - Sydney'!A1237,FIND(CHAR(10),'Onshore - Sydney'!A1237&amp;CHAR(10))-1))</f>
        <v>York Business Institute</v>
      </c>
      <c r="E1386" s="63" t="str">
        <f aca="false">'Onshore - Sydney'!C1242&amp;""</f>
        <v>2,5 years</v>
      </c>
      <c r="F1386" s="63" t="str">
        <f aca="false">IF('Onshore - Sydney'!D1242="","Belum tercatat",'Onshore - Sydney'!D1242)</f>
        <v>Term</v>
      </c>
      <c r="G1386" s="65" t="n">
        <f aca="false">IF('Onshore - Sydney'!E1242="","-",'Onshore - Sydney'!E1242)</f>
        <v>1500</v>
      </c>
      <c r="H1386" s="63" t="n">
        <f aca="false">IF(ISNUMBER(K1386),COUNTIFS($J$6:$J$1916,J1386,$K$6:$K$1916,"&lt;"&amp;K1386)+1,"-")</f>
        <v>1</v>
      </c>
      <c r="I1386" s="64" t="str">
        <f aca="false">IF('Onshore - Sydney'!E1242="","Harga belum tersedia - hubungi konsultan TEG",IF(M1386=2,"Saat ini tidak menerima pendaftaran siswa internasional baru",IF(M1386=1,"Harga perlu dikonfirmasi ke sekolah"&amp;IF(""="","","; "&amp;""),"")))</f>
        <v>Harga perlu dikonfirmasi ke sekolah</v>
      </c>
      <c r="J1386" s="0" t="s">
        <v>4358</v>
      </c>
      <c r="K1386" s="0" t="n">
        <f aca="false">IF(M1386=2,"",IF(ISNUMBER(SEARCH("rata-rata:",'Onshore - Sydney'!M1242)),VALUE(MID('Onshore - Sydney'!M1242,SEARCH("rata-rata:",'Onshore - Sydney'!M1242)+11,FIND(";",'Onshore - Sydney'!M1242&amp;";",SEARCH("rata-rata:",'Onshore - Sydney'!M1242))-SEARCH("rata-rata:",'Onshore - Sydney'!M1242)-11)),IF('Onshore - Sydney'!D1242="Semester",'Onshore - Sydney'!E1242*2,IF('Onshore - Sydney'!D1242="Trimester",'Onshore - Sydney'!E1242*3,IF('Onshore - Sydney'!D1242="Term",'Onshore - Sydney'!E1242*4,IF('Onshore - Sydney'!D1242="Unit",'Onshore - Sydney'!E1242*8,""))))))</f>
        <v>6000</v>
      </c>
      <c r="L1386" s="0" t="n">
        <f aca="false">IF(AND(ISNUMBER('Onshore - Sydney'!E1242),ISNUMBER(K1386),ISNUMBER('Onshore - Sydney'!F1242),ISNUMBER('Onshore - Sydney'!G1242),OR('Onshore - Sydney'!F1242&lt;&gt;0,ISNUMBER(SEARCH("Material 0 terverifikasi",'Onshore - Sydney'!M1242))),OR('Onshore - Sydney'!G1242&lt;&gt;0,ISNUMBER(SEARCH("Enrolment 0 terverifikasi",'Onshore - Sydney'!M1242)))),1,0)</f>
        <v>1</v>
      </c>
      <c r="M1386" s="0" t="n">
        <f aca="false">IF(OR('Onshore - Sydney'!E1242="",ISNUMBER(SEARCH("BSB80120",'Onshore - Sydney'!B1242&amp;'Onshore - Sydney'!M1242)),ISNUMBER(SEARCH("Management (Learning)",'Onshore - Sydney'!B1242))),2,IF(ISNUMBER(SEARCH("CEK:",'Onshore - Sydney'!M1242)),1,0))</f>
        <v>1</v>
      </c>
    </row>
    <row r="1387" customFormat="false" ht="15" hidden="false" customHeight="false" outlineLevel="0" collapsed="false">
      <c r="A1387" s="63" t="s">
        <v>3533</v>
      </c>
      <c r="B1387" s="64" t="s">
        <v>4297</v>
      </c>
      <c r="C1387" s="63" t="s">
        <v>41</v>
      </c>
      <c r="D1387" s="64" t="str">
        <f aca="false">TRIM(LEFT('Onshore - Sydney'!A527,FIND(CHAR(10),'Onshore - Sydney'!A527&amp;CHAR(10))-1))</f>
        <v>Hospitality Training Academy (HTA)</v>
      </c>
      <c r="E1387" s="63" t="str">
        <f aca="false">'Onshore - Sydney'!C527&amp;""</f>
        <v>2 years</v>
      </c>
      <c r="F1387" s="63" t="str">
        <f aca="false">IF('Onshore - Sydney'!D527="","Belum tercatat",'Onshore - Sydney'!D527)</f>
        <v>Term</v>
      </c>
      <c r="G1387" s="65" t="n">
        <f aca="false">IF('Onshore - Sydney'!E527="","-",'Onshore - Sydney'!E527)</f>
        <v>1535</v>
      </c>
      <c r="H1387" s="63" t="n">
        <f aca="false">IF(ISNUMBER(K1387),COUNTIFS($J$6:$J$1916,J1387,$K$6:$K$1916,"&lt;"&amp;K1387)+1,"-")</f>
        <v>3</v>
      </c>
      <c r="I1387" s="64" t="str">
        <f aca="false">IF('Onshore - Sydney'!E527="","Harga belum tersedia - hubungi konsultan TEG",IF(M1387=2,"Saat ini tidak menerima pendaftaran siswa internasional baru",IF(M1387=1,"Harga perlu dikonfirmasi ke sekolah"&amp;IF(""="","","; "&amp;""),"")))</f>
        <v/>
      </c>
      <c r="J1387" s="0" t="s">
        <v>4358</v>
      </c>
      <c r="K1387" s="0" t="n">
        <f aca="false">IF(M1387=2,"",IF(ISNUMBER(SEARCH("rata-rata:",'Onshore - Sydney'!M527)),VALUE(MID('Onshore - Sydney'!M527,SEARCH("rata-rata:",'Onshore - Sydney'!M527)+11,FIND(";",'Onshore - Sydney'!M527&amp;";",SEARCH("rata-rata:",'Onshore - Sydney'!M527))-SEARCH("rata-rata:",'Onshore - Sydney'!M527)-11)),IF('Onshore - Sydney'!D527="Semester",'Onshore - Sydney'!E527*2,IF('Onshore - Sydney'!D527="Trimester",'Onshore - Sydney'!E527*3,IF('Onshore - Sydney'!D527="Term",'Onshore - Sydney'!E527*4,IF('Onshore - Sydney'!D527="Unit",'Onshore - Sydney'!E527*8,""))))))</f>
        <v>6140</v>
      </c>
      <c r="L1387" s="0" t="n">
        <f aca="false">IF(AND(ISNUMBER('Onshore - Sydney'!E527),ISNUMBER(K1387),ISNUMBER('Onshore - Sydney'!F527),ISNUMBER('Onshore - Sydney'!G527),OR('Onshore - Sydney'!F527&lt;&gt;0,ISNUMBER(SEARCH("Material 0 terverifikasi",'Onshore - Sydney'!M527))),OR('Onshore - Sydney'!G527&lt;&gt;0,ISNUMBER(SEARCH("Enrolment 0 terverifikasi",'Onshore - Sydney'!M527)))),1,0)</f>
        <v>1</v>
      </c>
      <c r="M1387" s="0" t="n">
        <f aca="false">IF(OR('Onshore - Sydney'!E527="",ISNUMBER(SEARCH("BSB80120",'Onshore - Sydney'!B527&amp;'Onshore - Sydney'!M527)),ISNUMBER(SEARCH("Management (Learning)",'Onshore - Sydney'!B527))),2,IF(ISNUMBER(SEARCH("CEK:",'Onshore - Sydney'!M527)),1,0))</f>
        <v>0</v>
      </c>
    </row>
    <row r="1388" customFormat="false" ht="15" hidden="false" customHeight="false" outlineLevel="0" collapsed="false">
      <c r="A1388" s="63" t="s">
        <v>3533</v>
      </c>
      <c r="B1388" s="64" t="s">
        <v>4297</v>
      </c>
      <c r="C1388" s="63" t="s">
        <v>41</v>
      </c>
      <c r="D1388" s="64" t="str">
        <f aca="false">TRIM(LEFT('Onshore - Sydney'!A15,FIND(CHAR(10),'Onshore - Sydney'!A15&amp;CHAR(10))-1))</f>
        <v>ABM Further Education</v>
      </c>
      <c r="E1388" s="63" t="str">
        <f aca="false">'Onshore - Sydney'!C26&amp;""</f>
        <v>1,5 years</v>
      </c>
      <c r="F1388" s="63" t="str">
        <f aca="false">IF('Onshore - Sydney'!D26="","Belum tercatat",'Onshore - Sydney'!D26)</f>
        <v>Term</v>
      </c>
      <c r="G1388" s="65" t="n">
        <f aca="false">IF('Onshore - Sydney'!E26="","-",'Onshore - Sydney'!E26)</f>
        <v>1600</v>
      </c>
      <c r="H1388" s="63" t="n">
        <f aca="false">IF(ISNUMBER(K1388),COUNTIFS($J$6:$J$1916,J1388,$K$6:$K$1916,"&lt;"&amp;K1388)+1,"-")</f>
        <v>4</v>
      </c>
      <c r="I1388" s="64" t="str">
        <f aca="false">IF('Onshore - Sydney'!E26="","Harga belum tersedia - hubungi konsultan TEG",IF(M1388=2,"Saat ini tidak menerima pendaftaran siswa internasional baru",IF(M1388=1,"Harga perlu dikonfirmasi ke sekolah"&amp;IF(""="","","; "&amp;""),"")))</f>
        <v/>
      </c>
      <c r="J1388" s="0" t="s">
        <v>4358</v>
      </c>
      <c r="K1388" s="0" t="n">
        <f aca="false">IF(M1388=2,"",IF(ISNUMBER(SEARCH("rata-rata:",'Onshore - Sydney'!M26)),VALUE(MID('Onshore - Sydney'!M26,SEARCH("rata-rata:",'Onshore - Sydney'!M26)+11,FIND(";",'Onshore - Sydney'!M26&amp;";",SEARCH("rata-rata:",'Onshore - Sydney'!M26))-SEARCH("rata-rata:",'Onshore - Sydney'!M26)-11)),IF('Onshore - Sydney'!D26="Semester",'Onshore - Sydney'!E26*2,IF('Onshore - Sydney'!D26="Trimester",'Onshore - Sydney'!E26*3,IF('Onshore - Sydney'!D26="Term",'Onshore - Sydney'!E26*4,IF('Onshore - Sydney'!D26="Unit",'Onshore - Sydney'!E26*8,""))))))</f>
        <v>6400</v>
      </c>
      <c r="L1388" s="0" t="n">
        <f aca="false">IF(AND(ISNUMBER('Onshore - Sydney'!E26),ISNUMBER(K1388),ISNUMBER('Onshore - Sydney'!F26),ISNUMBER('Onshore - Sydney'!G26),OR('Onshore - Sydney'!F26&lt;&gt;0,ISNUMBER(SEARCH("Material 0 terverifikasi",'Onshore - Sydney'!M26))),OR('Onshore - Sydney'!G26&lt;&gt;0,ISNUMBER(SEARCH("Enrolment 0 terverifikasi",'Onshore - Sydney'!M26)))),1,0)</f>
        <v>1</v>
      </c>
      <c r="M1388" s="0" t="n">
        <f aca="false">IF(OR('Onshore - Sydney'!E26="",ISNUMBER(SEARCH("BSB80120",'Onshore - Sydney'!B26&amp;'Onshore - Sydney'!M26)),ISNUMBER(SEARCH("Management (Learning)",'Onshore - Sydney'!B26))),2,IF(ISNUMBER(SEARCH("CEK:",'Onshore - Sydney'!M26)),1,0))</f>
        <v>0</v>
      </c>
    </row>
    <row r="1389" customFormat="false" ht="15" hidden="false" customHeight="false" outlineLevel="0" collapsed="false">
      <c r="A1389" s="63" t="s">
        <v>3533</v>
      </c>
      <c r="B1389" s="64" t="s">
        <v>4297</v>
      </c>
      <c r="C1389" s="63" t="s">
        <v>41</v>
      </c>
      <c r="D1389" s="64" t="str">
        <f aca="false">TRIM(LEFT('Onshore - Sydney'!A1004,FIND(CHAR(10),'Onshore - Sydney'!A1004&amp;CHAR(10))-1))</f>
        <v>VIA Education</v>
      </c>
      <c r="E1389" s="63" t="str">
        <f aca="false">'Onshore - Sydney'!C1012&amp;""</f>
        <v>4 years</v>
      </c>
      <c r="F1389" s="63" t="str">
        <f aca="false">IF('Onshore - Sydney'!D1012="","Belum tercatat",'Onshore - Sydney'!D1012)</f>
        <v>Term</v>
      </c>
      <c r="G1389" s="65" t="n">
        <f aca="false">IF('Onshore - Sydney'!E1012="","-",'Onshore - Sydney'!E1012)</f>
        <v>1600</v>
      </c>
      <c r="H1389" s="63" t="n">
        <f aca="false">IF(ISNUMBER(K1389),COUNTIFS($J$6:$J$1916,J1389,$K$6:$K$1916,"&lt;"&amp;K1389)+1,"-")</f>
        <v>4</v>
      </c>
      <c r="I1389" s="64" t="str">
        <f aca="false">IF('Onshore - Sydney'!E1012="","Harga belum tersedia - hubungi konsultan TEG",IF(M1389=2,"Saat ini tidak menerima pendaftaran siswa internasional baru",IF(M1389=1,"Harga perlu dikonfirmasi ke sekolah"&amp;IF(""="","","; "&amp;""),"")))</f>
        <v/>
      </c>
      <c r="J1389" s="0" t="s">
        <v>4358</v>
      </c>
      <c r="K1389" s="0" t="n">
        <f aca="false">IF(M1389=2,"",IF(ISNUMBER(SEARCH("rata-rata:",'Onshore - Sydney'!M1012)),VALUE(MID('Onshore - Sydney'!M1012,SEARCH("rata-rata:",'Onshore - Sydney'!M1012)+11,FIND(";",'Onshore - Sydney'!M1012&amp;";",SEARCH("rata-rata:",'Onshore - Sydney'!M1012))-SEARCH("rata-rata:",'Onshore - Sydney'!M1012)-11)),IF('Onshore - Sydney'!D1012="Semester",'Onshore - Sydney'!E1012*2,IF('Onshore - Sydney'!D1012="Trimester",'Onshore - Sydney'!E1012*3,IF('Onshore - Sydney'!D1012="Term",'Onshore - Sydney'!E1012*4,IF('Onshore - Sydney'!D1012="Unit",'Onshore - Sydney'!E1012*8,""))))))</f>
        <v>6400</v>
      </c>
      <c r="L1389" s="0" t="n">
        <f aca="false">IF(AND(ISNUMBER('Onshore - Sydney'!E1012),ISNUMBER(K1389),ISNUMBER('Onshore - Sydney'!F1012),ISNUMBER('Onshore - Sydney'!G1012),OR('Onshore - Sydney'!F1012&lt;&gt;0,ISNUMBER(SEARCH("Material 0 terverifikasi",'Onshore - Sydney'!M1012))),OR('Onshore - Sydney'!G1012&lt;&gt;0,ISNUMBER(SEARCH("Enrolment 0 terverifikasi",'Onshore - Sydney'!M1012)))),1,0)</f>
        <v>1</v>
      </c>
      <c r="M1389" s="0" t="n">
        <f aca="false">IF(OR('Onshore - Sydney'!E1012="",ISNUMBER(SEARCH("BSB80120",'Onshore - Sydney'!B1012&amp;'Onshore - Sydney'!M1012)),ISNUMBER(SEARCH("Management (Learning)",'Onshore - Sydney'!B1012))),2,IF(ISNUMBER(SEARCH("CEK:",'Onshore - Sydney'!M1012)),1,0))</f>
        <v>0</v>
      </c>
    </row>
    <row r="1390" customFormat="false" ht="15" hidden="false" customHeight="false" outlineLevel="0" collapsed="false">
      <c r="A1390" s="63" t="s">
        <v>3533</v>
      </c>
      <c r="B1390" s="64" t="s">
        <v>4297</v>
      </c>
      <c r="C1390" s="63" t="s">
        <v>41</v>
      </c>
      <c r="D1390" s="64" t="str">
        <f aca="false">TRIM(LEFT('Onshore - Sydney'!A609,FIND(CHAR(10),'Onshore - Sydney'!A609&amp;CHAR(10))-1))</f>
        <v>Le Culinaire Hospitality Institute</v>
      </c>
      <c r="E1390" s="63" t="str">
        <f aca="false">'Onshore - Sydney'!C618&amp;""</f>
        <v>2 years (8 terms)</v>
      </c>
      <c r="F1390" s="63" t="str">
        <f aca="false">IF('Onshore - Sydney'!D618="","Belum tercatat",'Onshore - Sydney'!D618)</f>
        <v>Term</v>
      </c>
      <c r="G1390" s="65" t="n">
        <f aca="false">IF('Onshore - Sydney'!E618="","-",'Onshore - Sydney'!E618)</f>
        <v>1800</v>
      </c>
      <c r="H1390" s="63" t="n">
        <f aca="false">IF(ISNUMBER(K1390),COUNTIFS($J$6:$J$1916,J1390,$K$6:$K$1916,"&lt;"&amp;K1390)+1,"-")</f>
        <v>6</v>
      </c>
      <c r="I1390" s="64" t="str">
        <f aca="false">IF('Onshore - Sydney'!E618="","Harga belum tersedia - hubungi konsultan TEG",IF(M1390=2,"Saat ini tidak menerima pendaftaran siswa internasional baru",IF(M1390=1,"Harga perlu dikonfirmasi ke sekolah"&amp;IF(""="","","; "&amp;""),"")))</f>
        <v/>
      </c>
      <c r="J1390" s="0" t="s">
        <v>4358</v>
      </c>
      <c r="K1390" s="0" t="n">
        <f aca="false">IF(M1390=2,"",IF(ISNUMBER(SEARCH("rata-rata:",'Onshore - Sydney'!M618)),VALUE(MID('Onshore - Sydney'!M618,SEARCH("rata-rata:",'Onshore - Sydney'!M618)+11,FIND(";",'Onshore - Sydney'!M618&amp;";",SEARCH("rata-rata:",'Onshore - Sydney'!M618))-SEARCH("rata-rata:",'Onshore - Sydney'!M618)-11)),IF('Onshore - Sydney'!D618="Semester",'Onshore - Sydney'!E618*2,IF('Onshore - Sydney'!D618="Trimester",'Onshore - Sydney'!E618*3,IF('Onshore - Sydney'!D618="Term",'Onshore - Sydney'!E618*4,IF('Onshore - Sydney'!D618="Unit",'Onshore - Sydney'!E618*8,""))))))</f>
        <v>7200</v>
      </c>
      <c r="L1390" s="0" t="n">
        <f aca="false">IF(AND(ISNUMBER('Onshore - Sydney'!E618),ISNUMBER(K1390),ISNUMBER('Onshore - Sydney'!F618),ISNUMBER('Onshore - Sydney'!G618),OR('Onshore - Sydney'!F618&lt;&gt;0,ISNUMBER(SEARCH("Material 0 terverifikasi",'Onshore - Sydney'!M618))),OR('Onshore - Sydney'!G618&lt;&gt;0,ISNUMBER(SEARCH("Enrolment 0 terverifikasi",'Onshore - Sydney'!M618)))),1,0)</f>
        <v>1</v>
      </c>
      <c r="M1390" s="0" t="n">
        <f aca="false">IF(OR('Onshore - Sydney'!E618="",ISNUMBER(SEARCH("BSB80120",'Onshore - Sydney'!B618&amp;'Onshore - Sydney'!M618)),ISNUMBER(SEARCH("Management (Learning)",'Onshore - Sydney'!B618))),2,IF(ISNUMBER(SEARCH("CEK:",'Onshore - Sydney'!M618)),1,0))</f>
        <v>0</v>
      </c>
    </row>
    <row r="1391" customFormat="false" ht="15" hidden="false" customHeight="false" outlineLevel="0" collapsed="false">
      <c r="A1391" s="63" t="s">
        <v>3533</v>
      </c>
      <c r="B1391" s="64" t="s">
        <v>4297</v>
      </c>
      <c r="C1391" s="63" t="s">
        <v>41</v>
      </c>
      <c r="D1391" s="64" t="str">
        <f aca="false">TRIM(LEFT('Onshore - Sydney'!A495,FIND(CHAR(10),'Onshore - Sydney'!A495&amp;CHAR(10))-1))</f>
        <v>Greenwich College</v>
      </c>
      <c r="E1391" s="63" t="str">
        <f aca="false">'Onshore - Sydney'!C507&amp;""</f>
        <v>110 weeks</v>
      </c>
      <c r="F1391" s="63" t="str">
        <f aca="false">IF('Onshore - Sydney'!D507="","Belum tercatat",'Onshore - Sydney'!D507)</f>
        <v>Term</v>
      </c>
      <c r="G1391" s="65" t="n">
        <f aca="false">IF('Onshore - Sydney'!E507="","-",'Onshore - Sydney'!E507)</f>
        <v>1850</v>
      </c>
      <c r="H1391" s="63" t="n">
        <f aca="false">IF(ISNUMBER(K1391),COUNTIFS($J$6:$J$1916,J1391,$K$6:$K$1916,"&lt;"&amp;K1391)+1,"-")</f>
        <v>7</v>
      </c>
      <c r="I1391" s="64" t="str">
        <f aca="false">IF('Onshore - Sydney'!E507="","Harga belum tersedia - hubungi konsultan TEG",IF(M1391=2,"Saat ini tidak menerima pendaftaran siswa internasional baru",IF(M1391=1,"Harga perlu dikonfirmasi ke sekolah"&amp;IF(""="","","; "&amp;""),"")))</f>
        <v/>
      </c>
      <c r="J1391" s="0" t="s">
        <v>4358</v>
      </c>
      <c r="K1391" s="0" t="n">
        <f aca="false">IF(M1391=2,"",IF(ISNUMBER(SEARCH("rata-rata:",'Onshore - Sydney'!M507)),VALUE(MID('Onshore - Sydney'!M507,SEARCH("rata-rata:",'Onshore - Sydney'!M507)+11,FIND(";",'Onshore - Sydney'!M507&amp;";",SEARCH("rata-rata:",'Onshore - Sydney'!M507))-SEARCH("rata-rata:",'Onshore - Sydney'!M507)-11)),IF('Onshore - Sydney'!D507="Semester",'Onshore - Sydney'!E507*2,IF('Onshore - Sydney'!D507="Trimester",'Onshore - Sydney'!E507*3,IF('Onshore - Sydney'!D507="Term",'Onshore - Sydney'!E507*4,IF('Onshore - Sydney'!D507="Unit",'Onshore - Sydney'!E507*8,""))))))</f>
        <v>7400</v>
      </c>
      <c r="L1391" s="0" t="n">
        <f aca="false">IF(AND(ISNUMBER('Onshore - Sydney'!E507),ISNUMBER(K1391),ISNUMBER('Onshore - Sydney'!F507),ISNUMBER('Onshore - Sydney'!G507),OR('Onshore - Sydney'!F507&lt;&gt;0,ISNUMBER(SEARCH("Material 0 terverifikasi",'Onshore - Sydney'!M507))),OR('Onshore - Sydney'!G507&lt;&gt;0,ISNUMBER(SEARCH("Enrolment 0 terverifikasi",'Onshore - Sydney'!M507)))),1,0)</f>
        <v>1</v>
      </c>
      <c r="M1391" s="0" t="n">
        <f aca="false">IF(OR('Onshore - Sydney'!E507="",ISNUMBER(SEARCH("BSB80120",'Onshore - Sydney'!B507&amp;'Onshore - Sydney'!M507)),ISNUMBER(SEARCH("Management (Learning)",'Onshore - Sydney'!B507))),2,IF(ISNUMBER(SEARCH("CEK:",'Onshore - Sydney'!M507)),1,0))</f>
        <v>0</v>
      </c>
    </row>
    <row r="1392" customFormat="false" ht="28.35" hidden="false" customHeight="false" outlineLevel="0" collapsed="false">
      <c r="A1392" s="63" t="s">
        <v>3533</v>
      </c>
      <c r="B1392" s="64" t="s">
        <v>4297</v>
      </c>
      <c r="C1392" s="63" t="s">
        <v>41</v>
      </c>
      <c r="D1392" s="64" t="str">
        <f aca="false">TRIM(LEFT('Onshore - Sydney'!A98,FIND(CHAR(10),'Onshore - Sydney'!A98&amp;CHAR(10))-1))</f>
        <v>Albright Institute of Business and Language (AIBL)</v>
      </c>
      <c r="E1392" s="63" t="str">
        <f aca="false">'Onshore - Sydney'!C101&amp;""</f>
        <v>2 years</v>
      </c>
      <c r="F1392" s="63" t="str">
        <f aca="false">IF('Onshore - Sydney'!D101="","Belum tercatat",'Onshore - Sydney'!D101)</f>
        <v>Term</v>
      </c>
      <c r="G1392" s="65" t="n">
        <f aca="false">IF('Onshore - Sydney'!E101="","-",'Onshore - Sydney'!E101)</f>
        <v>1875</v>
      </c>
      <c r="H1392" s="63" t="n">
        <f aca="false">IF(ISNUMBER(K1392),COUNTIFS($J$6:$J$1916,J1392,$K$6:$K$1916,"&lt;"&amp;K1392)+1,"-")</f>
        <v>8</v>
      </c>
      <c r="I1392" s="64" t="str">
        <f aca="false">IF('Onshore - Sydney'!E101="","Harga belum tersedia - hubungi konsultan TEG",IF(M1392=2,"Saat ini tidak menerima pendaftaran siswa internasional baru",IF(M1392=1,"Harga perlu dikonfirmasi ke sekolah"&amp;IF(""="","","; "&amp;""),"")))</f>
        <v/>
      </c>
      <c r="J1392" s="0" t="s">
        <v>4358</v>
      </c>
      <c r="K1392" s="0" t="n">
        <f aca="false">IF(M1392=2,"",IF(ISNUMBER(SEARCH("rata-rata:",'Onshore - Sydney'!M101)),VALUE(MID('Onshore - Sydney'!M101,SEARCH("rata-rata:",'Onshore - Sydney'!M101)+11,FIND(";",'Onshore - Sydney'!M101&amp;";",SEARCH("rata-rata:",'Onshore - Sydney'!M101))-SEARCH("rata-rata:",'Onshore - Sydney'!M101)-11)),IF('Onshore - Sydney'!D101="Semester",'Onshore - Sydney'!E101*2,IF('Onshore - Sydney'!D101="Trimester",'Onshore - Sydney'!E101*3,IF('Onshore - Sydney'!D101="Term",'Onshore - Sydney'!E101*4,IF('Onshore - Sydney'!D101="Unit",'Onshore - Sydney'!E101*8,""))))))</f>
        <v>7500</v>
      </c>
      <c r="L1392" s="0" t="n">
        <f aca="false">IF(AND(ISNUMBER('Onshore - Sydney'!E101),ISNUMBER(K1392),ISNUMBER('Onshore - Sydney'!F101),ISNUMBER('Onshore - Sydney'!G101),OR('Onshore - Sydney'!F101&lt;&gt;0,ISNUMBER(SEARCH("Material 0 terverifikasi",'Onshore - Sydney'!M101))),OR('Onshore - Sydney'!G101&lt;&gt;0,ISNUMBER(SEARCH("Enrolment 0 terverifikasi",'Onshore - Sydney'!M101)))),1,0)</f>
        <v>1</v>
      </c>
      <c r="M1392" s="0" t="n">
        <f aca="false">IF(OR('Onshore - Sydney'!E101="",ISNUMBER(SEARCH("BSB80120",'Onshore - Sydney'!B101&amp;'Onshore - Sydney'!M101)),ISNUMBER(SEARCH("Management (Learning)",'Onshore - Sydney'!B101))),2,IF(ISNUMBER(SEARCH("CEK:",'Onshore - Sydney'!M101)),1,0))</f>
        <v>0</v>
      </c>
    </row>
    <row r="1393" customFormat="false" ht="15" hidden="false" customHeight="false" outlineLevel="0" collapsed="false">
      <c r="A1393" s="63" t="s">
        <v>3533</v>
      </c>
      <c r="B1393" s="64" t="s">
        <v>4297</v>
      </c>
      <c r="C1393" s="63" t="s">
        <v>41</v>
      </c>
      <c r="D1393" s="64" t="str">
        <f aca="false">TRIM(LEFT('Onshore - Sydney'!A1023,FIND(CHAR(10),'Onshore - Sydney'!A1023&amp;CHAR(10))-1))</f>
        <v>Vigil International College</v>
      </c>
      <c r="E1393" s="63" t="str">
        <f aca="false">'Onshore - Sydney'!C1023&amp;""</f>
        <v>2 years</v>
      </c>
      <c r="F1393" s="63" t="str">
        <f aca="false">IF('Onshore - Sydney'!D1023="","Belum tercatat",'Onshore - Sydney'!D1023)</f>
        <v>Term</v>
      </c>
      <c r="G1393" s="65" t="n">
        <f aca="false">IF('Onshore - Sydney'!E1023="","-",'Onshore - Sydney'!E1023)</f>
        <v>2000</v>
      </c>
      <c r="H1393" s="63" t="n">
        <f aca="false">IF(ISNUMBER(K1393),COUNTIFS($J$6:$J$1916,J1393,$K$6:$K$1916,"&lt;"&amp;K1393)+1,"-")</f>
        <v>9</v>
      </c>
      <c r="I1393" s="64" t="str">
        <f aca="false">IF('Onshore - Sydney'!E1023="","Harga belum tersedia - hubungi konsultan TEG",IF(M1393=2,"Saat ini tidak menerima pendaftaran siswa internasional baru",IF(M1393=1,"Harga perlu dikonfirmasi ke sekolah"&amp;IF(""="","","; "&amp;""),"")))</f>
        <v/>
      </c>
      <c r="J1393" s="0" t="s">
        <v>4358</v>
      </c>
      <c r="K1393" s="0" t="n">
        <f aca="false">IF(M1393=2,"",IF(ISNUMBER(SEARCH("rata-rata:",'Onshore - Sydney'!M1023)),VALUE(MID('Onshore - Sydney'!M1023,SEARCH("rata-rata:",'Onshore - Sydney'!M1023)+11,FIND(";",'Onshore - Sydney'!M1023&amp;";",SEARCH("rata-rata:",'Onshore - Sydney'!M1023))-SEARCH("rata-rata:",'Onshore - Sydney'!M1023)-11)),IF('Onshore - Sydney'!D1023="Semester",'Onshore - Sydney'!E1023*2,IF('Onshore - Sydney'!D1023="Trimester",'Onshore - Sydney'!E1023*3,IF('Onshore - Sydney'!D1023="Term",'Onshore - Sydney'!E1023*4,IF('Onshore - Sydney'!D1023="Unit",'Onshore - Sydney'!E1023*8,""))))))</f>
        <v>8000</v>
      </c>
      <c r="L1393" s="0" t="n">
        <f aca="false">IF(AND(ISNUMBER('Onshore - Sydney'!E1023),ISNUMBER(K1393),ISNUMBER('Onshore - Sydney'!F1023),ISNUMBER('Onshore - Sydney'!G1023),OR('Onshore - Sydney'!F1023&lt;&gt;0,ISNUMBER(SEARCH("Material 0 terverifikasi",'Onshore - Sydney'!M1023))),OR('Onshore - Sydney'!G1023&lt;&gt;0,ISNUMBER(SEARCH("Enrolment 0 terverifikasi",'Onshore - Sydney'!M1023)))),1,0)</f>
        <v>1</v>
      </c>
      <c r="M1393" s="0" t="n">
        <f aca="false">IF(OR('Onshore - Sydney'!E1023="",ISNUMBER(SEARCH("BSB80120",'Onshore - Sydney'!B1023&amp;'Onshore - Sydney'!M1023)),ISNUMBER(SEARCH("Management (Learning)",'Onshore - Sydney'!B1023))),2,IF(ISNUMBER(SEARCH("CEK:",'Onshore - Sydney'!M1023)),1,0))</f>
        <v>0</v>
      </c>
    </row>
    <row r="1394" customFormat="false" ht="15" hidden="false" customHeight="false" outlineLevel="0" collapsed="false">
      <c r="A1394" s="63" t="s">
        <v>3533</v>
      </c>
      <c r="B1394" s="64" t="s">
        <v>4297</v>
      </c>
      <c r="C1394" s="63" t="s">
        <v>41</v>
      </c>
      <c r="D1394" s="64" t="str">
        <f aca="false">TRIM(LEFT('Onshore - Sydney'!A1038,FIND(CHAR(10),'Onshore - Sydney'!A1038&amp;CHAR(10))-1))</f>
        <v>Wells International College (WIC)</v>
      </c>
      <c r="E1394" s="63" t="str">
        <f aca="false">'Onshore - Sydney'!C1038&amp;""</f>
        <v>2,5 years</v>
      </c>
      <c r="F1394" s="63" t="str">
        <f aca="false">IF('Onshore - Sydney'!D1038="","Belum tercatat",'Onshore - Sydney'!D1038)</f>
        <v>Term</v>
      </c>
      <c r="G1394" s="65" t="n">
        <f aca="false">IF('Onshore - Sydney'!E1038="","-",'Onshore - Sydney'!E1038)</f>
        <v>2000</v>
      </c>
      <c r="H1394" s="63" t="n">
        <f aca="false">IF(ISNUMBER(K1394),COUNTIFS($J$6:$J$1916,J1394,$K$6:$K$1916,"&lt;"&amp;K1394)+1,"-")</f>
        <v>9</v>
      </c>
      <c r="I1394" s="64" t="str">
        <f aca="false">IF('Onshore - Sydney'!E1038="","Harga belum tersedia - hubungi konsultan TEG",IF(M1394=2,"Saat ini tidak menerima pendaftaran siswa internasional baru",IF(M1394=1,"Harga perlu dikonfirmasi ke sekolah"&amp;IF(""="","","; "&amp;""),"")))</f>
        <v/>
      </c>
      <c r="J1394" s="0" t="s">
        <v>4358</v>
      </c>
      <c r="K1394" s="0" t="n">
        <f aca="false">IF(M1394=2,"",IF(ISNUMBER(SEARCH("rata-rata:",'Onshore - Sydney'!M1038)),VALUE(MID('Onshore - Sydney'!M1038,SEARCH("rata-rata:",'Onshore - Sydney'!M1038)+11,FIND(";",'Onshore - Sydney'!M1038&amp;";",SEARCH("rata-rata:",'Onshore - Sydney'!M1038))-SEARCH("rata-rata:",'Onshore - Sydney'!M1038)-11)),IF('Onshore - Sydney'!D1038="Semester",'Onshore - Sydney'!E1038*2,IF('Onshore - Sydney'!D1038="Trimester",'Onshore - Sydney'!E1038*3,IF('Onshore - Sydney'!D1038="Term",'Onshore - Sydney'!E1038*4,IF('Onshore - Sydney'!D1038="Unit",'Onshore - Sydney'!E1038*8,""))))))</f>
        <v>8000</v>
      </c>
      <c r="L1394" s="0" t="n">
        <f aca="false">IF(AND(ISNUMBER('Onshore - Sydney'!E1038),ISNUMBER(K1394),ISNUMBER('Onshore - Sydney'!F1038),ISNUMBER('Onshore - Sydney'!G1038),OR('Onshore - Sydney'!F1038&lt;&gt;0,ISNUMBER(SEARCH("Material 0 terverifikasi",'Onshore - Sydney'!M1038))),OR('Onshore - Sydney'!G1038&lt;&gt;0,ISNUMBER(SEARCH("Enrolment 0 terverifikasi",'Onshore - Sydney'!M1038)))),1,0)</f>
        <v>1</v>
      </c>
      <c r="M1394" s="0" t="n">
        <f aca="false">IF(OR('Onshore - Sydney'!E1038="",ISNUMBER(SEARCH("BSB80120",'Onshore - Sydney'!B1038&amp;'Onshore - Sydney'!M1038)),ISNUMBER(SEARCH("Management (Learning)",'Onshore - Sydney'!B1038))),2,IF(ISNUMBER(SEARCH("CEK:",'Onshore - Sydney'!M1038)),1,0))</f>
        <v>0</v>
      </c>
    </row>
    <row r="1395" customFormat="false" ht="15" hidden="false" customHeight="false" outlineLevel="0" collapsed="false">
      <c r="A1395" s="63" t="s">
        <v>3533</v>
      </c>
      <c r="B1395" s="64" t="s">
        <v>4297</v>
      </c>
      <c r="C1395" s="63" t="s">
        <v>41</v>
      </c>
      <c r="D1395" s="64" t="str">
        <f aca="false">TRIM(LEFT('Onshore - Sydney'!A104,FIND(CHAR(10),'Onshore - Sydney'!A104&amp;CHAR(10))-1))</f>
        <v>Albury College</v>
      </c>
      <c r="E1395" s="63" t="str">
        <f aca="false">'Onshore - Sydney'!C107&amp;""</f>
        <v>2 years</v>
      </c>
      <c r="F1395" s="63" t="str">
        <f aca="false">IF('Onshore - Sydney'!D107="","Belum tercatat",'Onshore - Sydney'!D107)</f>
        <v>Term</v>
      </c>
      <c r="G1395" s="65" t="n">
        <f aca="false">IF('Onshore - Sydney'!E107="","-",'Onshore - Sydney'!E107)</f>
        <v>2100</v>
      </c>
      <c r="H1395" s="63" t="n">
        <f aca="false">IF(ISNUMBER(K1395),COUNTIFS($J$6:$J$1916,J1395,$K$6:$K$1916,"&lt;"&amp;K1395)+1,"-")</f>
        <v>11</v>
      </c>
      <c r="I1395" s="64" t="str">
        <f aca="false">IF('Onshore - Sydney'!E107="","Harga belum tersedia - hubungi konsultan TEG",IF(M1395=2,"Saat ini tidak menerima pendaftaran siswa internasional baru",IF(M1395=1,"Harga perlu dikonfirmasi ke sekolah"&amp;IF(""="","","; "&amp;""),"")))</f>
        <v/>
      </c>
      <c r="J1395" s="0" t="s">
        <v>4358</v>
      </c>
      <c r="K1395" s="0" t="n">
        <f aca="false">IF(M1395=2,"",IF(ISNUMBER(SEARCH("rata-rata:",'Onshore - Sydney'!M107)),VALUE(MID('Onshore - Sydney'!M107,SEARCH("rata-rata:",'Onshore - Sydney'!M107)+11,FIND(";",'Onshore - Sydney'!M107&amp;";",SEARCH("rata-rata:",'Onshore - Sydney'!M107))-SEARCH("rata-rata:",'Onshore - Sydney'!M107)-11)),IF('Onshore - Sydney'!D107="Semester",'Onshore - Sydney'!E107*2,IF('Onshore - Sydney'!D107="Trimester",'Onshore - Sydney'!E107*3,IF('Onshore - Sydney'!D107="Term",'Onshore - Sydney'!E107*4,IF('Onshore - Sydney'!D107="Unit",'Onshore - Sydney'!E107*8,""))))))</f>
        <v>8400</v>
      </c>
      <c r="L1395" s="0" t="n">
        <f aca="false">IF(AND(ISNUMBER('Onshore - Sydney'!E107),ISNUMBER(K1395),ISNUMBER('Onshore - Sydney'!F107),ISNUMBER('Onshore - Sydney'!G107),OR('Onshore - Sydney'!F107&lt;&gt;0,ISNUMBER(SEARCH("Material 0 terverifikasi",'Onshore - Sydney'!M107))),OR('Onshore - Sydney'!G107&lt;&gt;0,ISNUMBER(SEARCH("Enrolment 0 terverifikasi",'Onshore - Sydney'!M107)))),1,0)</f>
        <v>1</v>
      </c>
      <c r="M1395" s="0" t="n">
        <f aca="false">IF(OR('Onshore - Sydney'!E107="",ISNUMBER(SEARCH("BSB80120",'Onshore - Sydney'!B107&amp;'Onshore - Sydney'!M107)),ISNUMBER(SEARCH("Management (Learning)",'Onshore - Sydney'!B107))),2,IF(ISNUMBER(SEARCH("CEK:",'Onshore - Sydney'!M107)),1,0))</f>
        <v>0</v>
      </c>
    </row>
    <row r="1396" customFormat="false" ht="15" hidden="false" customHeight="false" outlineLevel="0" collapsed="false">
      <c r="A1396" s="63" t="s">
        <v>3533</v>
      </c>
      <c r="B1396" s="64" t="s">
        <v>4297</v>
      </c>
      <c r="C1396" s="63" t="s">
        <v>41</v>
      </c>
      <c r="D1396" s="64" t="str">
        <f aca="false">TRIM(LEFT('Onshore - Sydney'!A472,FIND(CHAR(10),'Onshore - Sydney'!A472&amp;CHAR(10))-1))</f>
        <v>George Brown College</v>
      </c>
      <c r="E1396" s="63" t="str">
        <f aca="false">'Onshore - Sydney'!C486&amp;""</f>
        <v>2,5 years</v>
      </c>
      <c r="F1396" s="63" t="str">
        <f aca="false">IF('Onshore - Sydney'!D486="","Belum tercatat",'Onshore - Sydney'!D486)</f>
        <v>Term</v>
      </c>
      <c r="G1396" s="65" t="n">
        <f aca="false">IF('Onshore - Sydney'!E486="","-",'Onshore - Sydney'!E486)</f>
        <v>2200</v>
      </c>
      <c r="H1396" s="63" t="n">
        <f aca="false">IF(ISNUMBER(K1396),COUNTIFS($J$6:$J$1916,J1396,$K$6:$K$1916,"&lt;"&amp;K1396)+1,"-")</f>
        <v>12</v>
      </c>
      <c r="I1396" s="64" t="str">
        <f aca="false">IF('Onshore - Sydney'!E486="","Harga belum tersedia - hubungi konsultan TEG",IF(M1396=2,"Saat ini tidak menerima pendaftaran siswa internasional baru",IF(M1396=1,"Harga perlu dikonfirmasi ke sekolah"&amp;IF(""="","","; "&amp;""),"")))</f>
        <v/>
      </c>
      <c r="J1396" s="0" t="s">
        <v>4358</v>
      </c>
      <c r="K1396" s="0" t="n">
        <f aca="false">IF(M1396=2,"",IF(ISNUMBER(SEARCH("rata-rata:",'Onshore - Sydney'!M486)),VALUE(MID('Onshore - Sydney'!M486,SEARCH("rata-rata:",'Onshore - Sydney'!M486)+11,FIND(";",'Onshore - Sydney'!M486&amp;";",SEARCH("rata-rata:",'Onshore - Sydney'!M486))-SEARCH("rata-rata:",'Onshore - Sydney'!M486)-11)),IF('Onshore - Sydney'!D486="Semester",'Onshore - Sydney'!E486*2,IF('Onshore - Sydney'!D486="Trimester",'Onshore - Sydney'!E486*3,IF('Onshore - Sydney'!D486="Term",'Onshore - Sydney'!E486*4,IF('Onshore - Sydney'!D486="Unit",'Onshore - Sydney'!E486*8,""))))))</f>
        <v>8800</v>
      </c>
      <c r="L1396" s="0" t="n">
        <f aca="false">IF(AND(ISNUMBER('Onshore - Sydney'!E486),ISNUMBER(K1396),ISNUMBER('Onshore - Sydney'!F486),ISNUMBER('Onshore - Sydney'!G486),OR('Onshore - Sydney'!F486&lt;&gt;0,ISNUMBER(SEARCH("Material 0 terverifikasi",'Onshore - Sydney'!M486))),OR('Onshore - Sydney'!G486&lt;&gt;0,ISNUMBER(SEARCH("Enrolment 0 terverifikasi",'Onshore - Sydney'!M486)))),1,0)</f>
        <v>1</v>
      </c>
      <c r="M1396" s="0" t="n">
        <f aca="false">IF(OR('Onshore - Sydney'!E486="",ISNUMBER(SEARCH("BSB80120",'Onshore - Sydney'!B486&amp;'Onshore - Sydney'!M486)),ISNUMBER(SEARCH("Management (Learning)",'Onshore - Sydney'!B486))),2,IF(ISNUMBER(SEARCH("CEK:",'Onshore - Sydney'!M486)),1,0))</f>
        <v>0</v>
      </c>
    </row>
    <row r="1397" customFormat="false" ht="15" hidden="false" customHeight="false" outlineLevel="0" collapsed="false">
      <c r="A1397" s="63" t="s">
        <v>3533</v>
      </c>
      <c r="B1397" s="64" t="s">
        <v>4297</v>
      </c>
      <c r="C1397" s="63" t="s">
        <v>41</v>
      </c>
      <c r="D1397" s="64" t="str">
        <f aca="false">TRIM(LEFT('Onshore - Sydney'!A620,FIND(CHAR(10),'Onshore - Sydney'!A620&amp;CHAR(10))-1))</f>
        <v>Le Pont International College</v>
      </c>
      <c r="E1397" s="63" t="str">
        <f aca="false">'Onshore - Sydney'!C620&amp;""</f>
        <v>2,5 years</v>
      </c>
      <c r="F1397" s="63" t="str">
        <f aca="false">IF('Onshore - Sydney'!D620="","Belum tercatat",'Onshore - Sydney'!D620)</f>
        <v>Term</v>
      </c>
      <c r="G1397" s="65" t="n">
        <f aca="false">IF('Onshore - Sydney'!E620="","-",'Onshore - Sydney'!E620)</f>
        <v>2200</v>
      </c>
      <c r="H1397" s="63" t="n">
        <f aca="false">IF(ISNUMBER(K1397),COUNTIFS($J$6:$J$1916,J1397,$K$6:$K$1916,"&lt;"&amp;K1397)+1,"-")</f>
        <v>12</v>
      </c>
      <c r="I1397" s="64" t="str">
        <f aca="false">IF('Onshore - Sydney'!E620="","Harga belum tersedia - hubungi konsultan TEG",IF(M1397=2,"Saat ini tidak menerima pendaftaran siswa internasional baru",IF(M1397=1,"Harga perlu dikonfirmasi ke sekolah"&amp;IF(""="","","; "&amp;""),"")))</f>
        <v/>
      </c>
      <c r="J1397" s="0" t="s">
        <v>4358</v>
      </c>
      <c r="K1397" s="0" t="n">
        <f aca="false">IF(M1397=2,"",IF(ISNUMBER(SEARCH("rata-rata:",'Onshore - Sydney'!M620)),VALUE(MID('Onshore - Sydney'!M620,SEARCH("rata-rata:",'Onshore - Sydney'!M620)+11,FIND(";",'Onshore - Sydney'!M620&amp;";",SEARCH("rata-rata:",'Onshore - Sydney'!M620))-SEARCH("rata-rata:",'Onshore - Sydney'!M620)-11)),IF('Onshore - Sydney'!D620="Semester",'Onshore - Sydney'!E620*2,IF('Onshore - Sydney'!D620="Trimester",'Onshore - Sydney'!E620*3,IF('Onshore - Sydney'!D620="Term",'Onshore - Sydney'!E620*4,IF('Onshore - Sydney'!D620="Unit",'Onshore - Sydney'!E620*8,""))))))</f>
        <v>8800</v>
      </c>
      <c r="L1397" s="0" t="n">
        <f aca="false">IF(AND(ISNUMBER('Onshore - Sydney'!E620),ISNUMBER(K1397),ISNUMBER('Onshore - Sydney'!F620),ISNUMBER('Onshore - Sydney'!G620),OR('Onshore - Sydney'!F620&lt;&gt;0,ISNUMBER(SEARCH("Material 0 terverifikasi",'Onshore - Sydney'!M620))),OR('Onshore - Sydney'!G620&lt;&gt;0,ISNUMBER(SEARCH("Enrolment 0 terverifikasi",'Onshore - Sydney'!M620)))),1,0)</f>
        <v>1</v>
      </c>
      <c r="M1397" s="0" t="n">
        <f aca="false">IF(OR('Onshore - Sydney'!E620="",ISNUMBER(SEARCH("BSB80120",'Onshore - Sydney'!B620&amp;'Onshore - Sydney'!M620)),ISNUMBER(SEARCH("Management (Learning)",'Onshore - Sydney'!B620))),2,IF(ISNUMBER(SEARCH("CEK:",'Onshore - Sydney'!M620)),1,0))</f>
        <v>0</v>
      </c>
    </row>
    <row r="1398" customFormat="false" ht="15" hidden="false" customHeight="false" outlineLevel="0" collapsed="false">
      <c r="A1398" s="63" t="s">
        <v>3533</v>
      </c>
      <c r="B1398" s="64" t="s">
        <v>4297</v>
      </c>
      <c r="C1398" s="63" t="s">
        <v>41</v>
      </c>
      <c r="D1398" s="64" t="str">
        <f aca="false">TRIM(LEFT('Onshore - Sydney'!A778,FIND(CHAR(10),'Onshore - Sydney'!A778&amp;CHAR(10))-1))</f>
        <v>Sydney Metro College (SMC)</v>
      </c>
      <c r="E1398" s="63" t="str">
        <f aca="false">'Onshore - Sydney'!C778&amp;""</f>
        <v>2 years</v>
      </c>
      <c r="F1398" s="63" t="str">
        <f aca="false">IF('Onshore - Sydney'!D778="","Belum tercatat",'Onshore - Sydney'!D778)</f>
        <v>Term</v>
      </c>
      <c r="G1398" s="65" t="n">
        <f aca="false">IF('Onshore - Sydney'!E778="","-",'Onshore - Sydney'!E778)</f>
        <v>2200</v>
      </c>
      <c r="H1398" s="63" t="n">
        <f aca="false">IF(ISNUMBER(K1398),COUNTIFS($J$6:$J$1916,J1398,$K$6:$K$1916,"&lt;"&amp;K1398)+1,"-")</f>
        <v>12</v>
      </c>
      <c r="I1398" s="64" t="str">
        <f aca="false">IF('Onshore - Sydney'!E778="","Harga belum tersedia - hubungi konsultan TEG",IF(M1398=2,"Saat ini tidak menerima pendaftaran siswa internasional baru",IF(M1398=1,"Harga perlu dikonfirmasi ke sekolah"&amp;IF(""="","","; "&amp;""),"")))</f>
        <v/>
      </c>
      <c r="J1398" s="0" t="s">
        <v>4358</v>
      </c>
      <c r="K1398" s="0" t="n">
        <f aca="false">IF(M1398=2,"",IF(ISNUMBER(SEARCH("rata-rata:",'Onshore - Sydney'!M778)),VALUE(MID('Onshore - Sydney'!M778,SEARCH("rata-rata:",'Onshore - Sydney'!M778)+11,FIND(";",'Onshore - Sydney'!M778&amp;";",SEARCH("rata-rata:",'Onshore - Sydney'!M778))-SEARCH("rata-rata:",'Onshore - Sydney'!M778)-11)),IF('Onshore - Sydney'!D778="Semester",'Onshore - Sydney'!E778*2,IF('Onshore - Sydney'!D778="Trimester",'Onshore - Sydney'!E778*3,IF('Onshore - Sydney'!D778="Term",'Onshore - Sydney'!E778*4,IF('Onshore - Sydney'!D778="Unit",'Onshore - Sydney'!E778*8,""))))))</f>
        <v>8800</v>
      </c>
      <c r="L1398" s="0" t="n">
        <f aca="false">IF(AND(ISNUMBER('Onshore - Sydney'!E778),ISNUMBER(K1398),ISNUMBER('Onshore - Sydney'!F778),ISNUMBER('Onshore - Sydney'!G778),OR('Onshore - Sydney'!F778&lt;&gt;0,ISNUMBER(SEARCH("Material 0 terverifikasi",'Onshore - Sydney'!M778))),OR('Onshore - Sydney'!G778&lt;&gt;0,ISNUMBER(SEARCH("Enrolment 0 terverifikasi",'Onshore - Sydney'!M778)))),1,0)</f>
        <v>1</v>
      </c>
      <c r="M1398" s="0" t="n">
        <f aca="false">IF(OR('Onshore - Sydney'!E778="",ISNUMBER(SEARCH("BSB80120",'Onshore - Sydney'!B778&amp;'Onshore - Sydney'!M778)),ISNUMBER(SEARCH("Management (Learning)",'Onshore - Sydney'!B778))),2,IF(ISNUMBER(SEARCH("CEK:",'Onshore - Sydney'!M778)),1,0))</f>
        <v>0</v>
      </c>
    </row>
    <row r="1399" customFormat="false" ht="28.35" hidden="false" customHeight="false" outlineLevel="0" collapsed="false">
      <c r="A1399" s="63" t="s">
        <v>3533</v>
      </c>
      <c r="B1399" s="64" t="s">
        <v>4297</v>
      </c>
      <c r="C1399" s="63" t="s">
        <v>41</v>
      </c>
      <c r="D1399" s="64" t="str">
        <f aca="false">TRIM(LEFT('Onshore - Sydney'!A881,FIND(CHAR(10),'Onshore - Sydney'!A881&amp;CHAR(10))-1))</f>
        <v>TKL College (Training for Knowledge and Livelihood)</v>
      </c>
      <c r="E1399" s="63" t="str">
        <f aca="false">'Onshore - Sydney'!C885&amp;""</f>
        <v>3 years</v>
      </c>
      <c r="F1399" s="63" t="str">
        <f aca="false">IF('Onshore - Sydney'!D885="","Belum tercatat",'Onshore - Sydney'!D885)</f>
        <v>Term</v>
      </c>
      <c r="G1399" s="65" t="n">
        <f aca="false">IF('Onshore - Sydney'!E885="","-",'Onshore - Sydney'!E885)</f>
        <v>2250</v>
      </c>
      <c r="H1399" s="63" t="n">
        <f aca="false">IF(ISNUMBER(K1399),COUNTIFS($J$6:$J$1916,J1399,$K$6:$K$1916,"&lt;"&amp;K1399)+1,"-")</f>
        <v>15</v>
      </c>
      <c r="I1399" s="64" t="str">
        <f aca="false">IF('Onshore - Sydney'!E885="","Harga belum tersedia - hubungi konsultan TEG",IF(M1399=2,"Saat ini tidak menerima pendaftaran siswa internasional baru",IF(M1399=1,"Harga perlu dikonfirmasi ke sekolah"&amp;IF(""="","","; "&amp;""),"")))</f>
        <v/>
      </c>
      <c r="J1399" s="0" t="s">
        <v>4358</v>
      </c>
      <c r="K1399" s="0" t="n">
        <f aca="false">IF(M1399=2,"",IF(ISNUMBER(SEARCH("rata-rata:",'Onshore - Sydney'!M885)),VALUE(MID('Onshore - Sydney'!M885,SEARCH("rata-rata:",'Onshore - Sydney'!M885)+11,FIND(";",'Onshore - Sydney'!M885&amp;";",SEARCH("rata-rata:",'Onshore - Sydney'!M885))-SEARCH("rata-rata:",'Onshore - Sydney'!M885)-11)),IF('Onshore - Sydney'!D885="Semester",'Onshore - Sydney'!E885*2,IF('Onshore - Sydney'!D885="Trimester",'Onshore - Sydney'!E885*3,IF('Onshore - Sydney'!D885="Term",'Onshore - Sydney'!E885*4,IF('Onshore - Sydney'!D885="Unit",'Onshore - Sydney'!E885*8,""))))))</f>
        <v>9000</v>
      </c>
      <c r="L1399" s="0" t="n">
        <f aca="false">IF(AND(ISNUMBER('Onshore - Sydney'!E885),ISNUMBER(K1399),ISNUMBER('Onshore - Sydney'!F885),ISNUMBER('Onshore - Sydney'!G885),OR('Onshore - Sydney'!F885&lt;&gt;0,ISNUMBER(SEARCH("Material 0 terverifikasi",'Onshore - Sydney'!M885))),OR('Onshore - Sydney'!G885&lt;&gt;0,ISNUMBER(SEARCH("Enrolment 0 terverifikasi",'Onshore - Sydney'!M885)))),1,0)</f>
        <v>1</v>
      </c>
      <c r="M1399" s="0" t="n">
        <f aca="false">IF(OR('Onshore - Sydney'!E885="",ISNUMBER(SEARCH("BSB80120",'Onshore - Sydney'!B885&amp;'Onshore - Sydney'!M885)),ISNUMBER(SEARCH("Management (Learning)",'Onshore - Sydney'!B885))),2,IF(ISNUMBER(SEARCH("CEK:",'Onshore - Sydney'!M885)),1,0))</f>
        <v>0</v>
      </c>
    </row>
    <row r="1400" customFormat="false" ht="15" hidden="false" customHeight="false" outlineLevel="0" collapsed="false">
      <c r="A1400" s="63" t="s">
        <v>3533</v>
      </c>
      <c r="B1400" s="64" t="s">
        <v>4297</v>
      </c>
      <c r="C1400" s="63" t="s">
        <v>41</v>
      </c>
      <c r="D1400" s="64" t="str">
        <f aca="false">TRIM(LEFT('Onshore - Sydney'!A112,FIND(CHAR(10),'Onshore - Sydney'!A112&amp;CHAR(10))-1))</f>
        <v>Alice Springs College of Australia (ASCA)</v>
      </c>
      <c r="E1400" s="63" t="str">
        <f aca="false">'Onshore - Sydney'!C112&amp;""</f>
        <v>3,5 years</v>
      </c>
      <c r="F1400" s="63" t="str">
        <f aca="false">IF('Onshore - Sydney'!D112="","Belum tercatat",'Onshore - Sydney'!D112)</f>
        <v>Term</v>
      </c>
      <c r="G1400" s="65" t="n">
        <f aca="false">IF('Onshore - Sydney'!E112="","-",'Onshore - Sydney'!E112)</f>
        <v>2333</v>
      </c>
      <c r="H1400" s="63" t="n">
        <f aca="false">IF(ISNUMBER(K1400),COUNTIFS($J$6:$J$1916,J1400,$K$6:$K$1916,"&lt;"&amp;K1400)+1,"-")</f>
        <v>16</v>
      </c>
      <c r="I1400" s="64" t="str">
        <f aca="false">IF('Onshore - Sydney'!E112="","Harga belum tersedia - hubungi konsultan TEG",IF(M1400=2,"Saat ini tidak menerima pendaftaran siswa internasional baru",IF(M1400=1,"Harga perlu dikonfirmasi ke sekolah"&amp;IF(""="","","; "&amp;""),"")))</f>
        <v/>
      </c>
      <c r="J1400" s="0" t="s">
        <v>4358</v>
      </c>
      <c r="K1400" s="0" t="n">
        <f aca="false">IF(M1400=2,"",IF(ISNUMBER(SEARCH("rata-rata:",'Onshore - Sydney'!M112)),VALUE(MID('Onshore - Sydney'!M112,SEARCH("rata-rata:",'Onshore - Sydney'!M112)+11,FIND(";",'Onshore - Sydney'!M112&amp;";",SEARCH("rata-rata:",'Onshore - Sydney'!M112))-SEARCH("rata-rata:",'Onshore - Sydney'!M112)-11)),IF('Onshore - Sydney'!D112="Semester",'Onshore - Sydney'!E112*2,IF('Onshore - Sydney'!D112="Trimester",'Onshore - Sydney'!E112*3,IF('Onshore - Sydney'!D112="Term",'Onshore - Sydney'!E112*4,IF('Onshore - Sydney'!D112="Unit",'Onshore - Sydney'!E112*8,""))))))</f>
        <v>9332</v>
      </c>
      <c r="L1400" s="0" t="n">
        <f aca="false">IF(AND(ISNUMBER('Onshore - Sydney'!E112),ISNUMBER(K1400),ISNUMBER('Onshore - Sydney'!F112),ISNUMBER('Onshore - Sydney'!G112),OR('Onshore - Sydney'!F112&lt;&gt;0,ISNUMBER(SEARCH("Material 0 terverifikasi",'Onshore - Sydney'!M112))),OR('Onshore - Sydney'!G112&lt;&gt;0,ISNUMBER(SEARCH("Enrolment 0 terverifikasi",'Onshore - Sydney'!M112)))),1,0)</f>
        <v>1</v>
      </c>
      <c r="M1400" s="0" t="n">
        <f aca="false">IF(OR('Onshore - Sydney'!E112="",ISNUMBER(SEARCH("BSB80120",'Onshore - Sydney'!B112&amp;'Onshore - Sydney'!M112)),ISNUMBER(SEARCH("Management (Learning)",'Onshore - Sydney'!B112))),2,IF(ISNUMBER(SEARCH("CEK:",'Onshore - Sydney'!M112)),1,0))</f>
        <v>0</v>
      </c>
    </row>
    <row r="1401" customFormat="false" ht="28.35" hidden="false" customHeight="false" outlineLevel="0" collapsed="false">
      <c r="A1401" s="63" t="s">
        <v>3533</v>
      </c>
      <c r="B1401" s="64" t="s">
        <v>4297</v>
      </c>
      <c r="C1401" s="63" t="s">
        <v>41</v>
      </c>
      <c r="D1401" s="64" t="str">
        <f aca="false">TRIM(LEFT('Onshore - Sydney'!A330,FIND(CHAR(10),'Onshore - Sydney'!A330&amp;CHAR(10))-1))</f>
        <v>Australian International College of Skills &amp; Education (AICSE)</v>
      </c>
      <c r="E1401" s="63" t="str">
        <f aca="false">'Onshore - Sydney'!C343&amp;""</f>
        <v>2,5 years</v>
      </c>
      <c r="F1401" s="63" t="str">
        <f aca="false">IF('Onshore - Sydney'!D343="","Belum tercatat",'Onshore - Sydney'!D343)</f>
        <v>Term</v>
      </c>
      <c r="G1401" s="65" t="n">
        <f aca="false">IF('Onshore - Sydney'!E343="","-",'Onshore - Sydney'!E343)</f>
        <v>2420</v>
      </c>
      <c r="H1401" s="63" t="n">
        <f aca="false">IF(ISNUMBER(K1401),COUNTIFS($J$6:$J$1916,J1401,$K$6:$K$1916,"&lt;"&amp;K1401)+1,"-")</f>
        <v>17</v>
      </c>
      <c r="I1401" s="64" t="str">
        <f aca="false">IF('Onshore - Sydney'!E343="","Harga belum tersedia - hubungi konsultan TEG",IF(M1401=2,"Saat ini tidak menerima pendaftaran siswa internasional baru",IF(M1401=1,"Harga perlu dikonfirmasi ke sekolah"&amp;IF(""="","","; "&amp;""),"")))</f>
        <v/>
      </c>
      <c r="J1401" s="0" t="s">
        <v>4358</v>
      </c>
      <c r="K1401" s="0" t="n">
        <f aca="false">IF(M1401=2,"",IF(ISNUMBER(SEARCH("rata-rata:",'Onshore - Sydney'!M343)),VALUE(MID('Onshore - Sydney'!M343,SEARCH("rata-rata:",'Onshore - Sydney'!M343)+11,FIND(";",'Onshore - Sydney'!M343&amp;";",SEARCH("rata-rata:",'Onshore - Sydney'!M343))-SEARCH("rata-rata:",'Onshore - Sydney'!M343)-11)),IF('Onshore - Sydney'!D343="Semester",'Onshore - Sydney'!E343*2,IF('Onshore - Sydney'!D343="Trimester",'Onshore - Sydney'!E343*3,IF('Onshore - Sydney'!D343="Term",'Onshore - Sydney'!E343*4,IF('Onshore - Sydney'!D343="Unit",'Onshore - Sydney'!E343*8,""))))))</f>
        <v>9680</v>
      </c>
      <c r="L1401" s="0" t="n">
        <f aca="false">IF(AND(ISNUMBER('Onshore - Sydney'!E343),ISNUMBER(K1401),ISNUMBER('Onshore - Sydney'!F343),ISNUMBER('Onshore - Sydney'!G343),OR('Onshore - Sydney'!F343&lt;&gt;0,ISNUMBER(SEARCH("Material 0 terverifikasi",'Onshore - Sydney'!M343))),OR('Onshore - Sydney'!G343&lt;&gt;0,ISNUMBER(SEARCH("Enrolment 0 terverifikasi",'Onshore - Sydney'!M343)))),1,0)</f>
        <v>1</v>
      </c>
      <c r="M1401" s="0" t="n">
        <f aca="false">IF(OR('Onshore - Sydney'!E343="",ISNUMBER(SEARCH("BSB80120",'Onshore - Sydney'!B343&amp;'Onshore - Sydney'!M343)),ISNUMBER(SEARCH("Management (Learning)",'Onshore - Sydney'!B343))),2,IF(ISNUMBER(SEARCH("CEK:",'Onshore - Sydney'!M343)),1,0))</f>
        <v>0</v>
      </c>
    </row>
    <row r="1402" customFormat="false" ht="15" hidden="false" customHeight="false" outlineLevel="0" collapsed="false">
      <c r="A1402" s="63" t="s">
        <v>3533</v>
      </c>
      <c r="B1402" s="64" t="s">
        <v>4297</v>
      </c>
      <c r="C1402" s="63" t="s">
        <v>41</v>
      </c>
      <c r="D1402" s="64" t="str">
        <f aca="false">TRIM(LEFT('Onshore - Sydney'!A490,FIND(CHAR(10),'Onshore - Sydney'!A490&amp;CHAR(10))-1))</f>
        <v>Global College of Management</v>
      </c>
      <c r="E1402" s="63" t="str">
        <f aca="false">'Onshore - Sydney'!C490&amp;""</f>
        <v>2 years</v>
      </c>
      <c r="F1402" s="63" t="str">
        <f aca="false">IF('Onshore - Sydney'!D490="","Belum tercatat",'Onshore - Sydney'!D490)</f>
        <v>Term</v>
      </c>
      <c r="G1402" s="65" t="n">
        <f aca="false">IF('Onshore - Sydney'!E490="","-",'Onshore - Sydney'!E490)</f>
        <v>2500</v>
      </c>
      <c r="H1402" s="63" t="n">
        <f aca="false">IF(ISNUMBER(K1402),COUNTIFS($J$6:$J$1916,J1402,$K$6:$K$1916,"&lt;"&amp;K1402)+1,"-")</f>
        <v>18</v>
      </c>
      <c r="I1402" s="64" t="str">
        <f aca="false">IF('Onshore - Sydney'!E490="","Harga belum tersedia - hubungi konsultan TEG",IF(M1402=2,"Saat ini tidak menerima pendaftaran siswa internasional baru",IF(M1402=1,"Program perlu dikonfirmasi ketersediaannya"&amp;IF(""="","","; "&amp;""),"")))</f>
        <v>Program perlu dikonfirmasi ketersediaannya</v>
      </c>
      <c r="J1402" s="0" t="s">
        <v>4358</v>
      </c>
      <c r="K1402" s="0" t="n">
        <f aca="false">IF(M1402=2,"",IF(ISNUMBER(SEARCH("rata-rata:",'Onshore - Sydney'!M490)),VALUE(MID('Onshore - Sydney'!M490,SEARCH("rata-rata:",'Onshore - Sydney'!M490)+11,FIND(";",'Onshore - Sydney'!M490&amp;";",SEARCH("rata-rata:",'Onshore - Sydney'!M490))-SEARCH("rata-rata:",'Onshore - Sydney'!M490)-11)),IF('Onshore - Sydney'!D490="Semester",'Onshore - Sydney'!E490*2,IF('Onshore - Sydney'!D490="Trimester",'Onshore - Sydney'!E490*3,IF('Onshore - Sydney'!D490="Term",'Onshore - Sydney'!E490*4,IF('Onshore - Sydney'!D490="Unit",'Onshore - Sydney'!E490*8,""))))))</f>
        <v>10000</v>
      </c>
      <c r="L1402" s="0" t="n">
        <f aca="false">IF(AND(ISNUMBER('Onshore - Sydney'!E490),ISNUMBER(K1402),ISNUMBER('Onshore - Sydney'!F490),ISNUMBER('Onshore - Sydney'!G490),OR('Onshore - Sydney'!F490&lt;&gt;0,ISNUMBER(SEARCH("Material 0 terverifikasi",'Onshore - Sydney'!M490))),OR('Onshore - Sydney'!G490&lt;&gt;0,ISNUMBER(SEARCH("Enrolment 0 terverifikasi",'Onshore - Sydney'!M490)))),1,0)</f>
        <v>1</v>
      </c>
      <c r="M1402" s="0" t="n">
        <f aca="false">IF(OR('Onshore - Sydney'!E490="",ISNUMBER(SEARCH("BSB80120",'Onshore - Sydney'!B490&amp;'Onshore - Sydney'!M490)),ISNUMBER(SEARCH("Management (Learning)",'Onshore - Sydney'!B490))),2,IF(ISNUMBER(SEARCH("CEK:",'Onshore - Sydney'!M490)),1,0))</f>
        <v>1</v>
      </c>
    </row>
    <row r="1403" customFormat="false" ht="15" hidden="false" customHeight="false" outlineLevel="0" collapsed="false">
      <c r="A1403" s="63" t="s">
        <v>3533</v>
      </c>
      <c r="B1403" s="64" t="s">
        <v>4297</v>
      </c>
      <c r="C1403" s="63" t="s">
        <v>41</v>
      </c>
      <c r="D1403" s="64" t="str">
        <f aca="false">TRIM(LEFT('Onshore - Sydney'!A741,FIND(CHAR(10),'Onshore - Sydney'!A741&amp;CHAR(10))-1))</f>
        <v>Rosewood International College</v>
      </c>
      <c r="E1403" s="63" t="str">
        <f aca="false">'Onshore - Sydney'!C744&amp;""</f>
        <v>2 years</v>
      </c>
      <c r="F1403" s="63" t="str">
        <f aca="false">IF('Onshore - Sydney'!D744="","Belum tercatat",'Onshore - Sydney'!D744)</f>
        <v>Term</v>
      </c>
      <c r="G1403" s="65" t="n">
        <f aca="false">IF('Onshore - Sydney'!E744="","-",'Onshore - Sydney'!E744)</f>
        <v>2500</v>
      </c>
      <c r="H1403" s="63" t="n">
        <f aca="false">IF(ISNUMBER(K1403),COUNTIFS($J$6:$J$1916,J1403,$K$6:$K$1916,"&lt;"&amp;K1403)+1,"-")</f>
        <v>18</v>
      </c>
      <c r="I1403" s="64" t="str">
        <f aca="false">IF('Onshore - Sydney'!E744="","Harga belum tersedia - hubungi konsultan TEG",IF(M1403=2,"Saat ini tidak menerima pendaftaran siswa internasional baru",IF(M1403=1,"Harga perlu dikonfirmasi ke sekolah"&amp;IF(""="","","; "&amp;""),"")))</f>
        <v/>
      </c>
      <c r="J1403" s="0" t="s">
        <v>4358</v>
      </c>
      <c r="K1403" s="0" t="n">
        <f aca="false">IF(M1403=2,"",IF(ISNUMBER(SEARCH("rata-rata:",'Onshore - Sydney'!M744)),VALUE(MID('Onshore - Sydney'!M744,SEARCH("rata-rata:",'Onshore - Sydney'!M744)+11,FIND(";",'Onshore - Sydney'!M744&amp;";",SEARCH("rata-rata:",'Onshore - Sydney'!M744))-SEARCH("rata-rata:",'Onshore - Sydney'!M744)-11)),IF('Onshore - Sydney'!D744="Semester",'Onshore - Sydney'!E744*2,IF('Onshore - Sydney'!D744="Trimester",'Onshore - Sydney'!E744*3,IF('Onshore - Sydney'!D744="Term",'Onshore - Sydney'!E744*4,IF('Onshore - Sydney'!D744="Unit",'Onshore - Sydney'!E744*8,""))))))</f>
        <v>10000</v>
      </c>
      <c r="L1403" s="0" t="n">
        <f aca="false">IF(AND(ISNUMBER('Onshore - Sydney'!E744),ISNUMBER(K1403),ISNUMBER('Onshore - Sydney'!F744),ISNUMBER('Onshore - Sydney'!G744),OR('Onshore - Sydney'!F744&lt;&gt;0,ISNUMBER(SEARCH("Material 0 terverifikasi",'Onshore - Sydney'!M744))),OR('Onshore - Sydney'!G744&lt;&gt;0,ISNUMBER(SEARCH("Enrolment 0 terverifikasi",'Onshore - Sydney'!M744)))),1,0)</f>
        <v>1</v>
      </c>
      <c r="M1403" s="0" t="n">
        <f aca="false">IF(OR('Onshore - Sydney'!E744="",ISNUMBER(SEARCH("BSB80120",'Onshore - Sydney'!B744&amp;'Onshore - Sydney'!M744)),ISNUMBER(SEARCH("Management (Learning)",'Onshore - Sydney'!B744))),2,IF(ISNUMBER(SEARCH("CEK:",'Onshore - Sydney'!M744)),1,0))</f>
        <v>0</v>
      </c>
    </row>
    <row r="1404" customFormat="false" ht="15" hidden="false" customHeight="false" outlineLevel="0" collapsed="false">
      <c r="A1404" s="63" t="s">
        <v>3533</v>
      </c>
      <c r="B1404" s="64" t="s">
        <v>4297</v>
      </c>
      <c r="C1404" s="63" t="s">
        <v>41</v>
      </c>
      <c r="D1404" s="64" t="str">
        <f aca="false">TRIM(LEFT('Onshore - Sydney'!A454,FIND(CHAR(10),'Onshore - Sydney'!A454&amp;CHAR(10))-1))</f>
        <v>Evolution Hospitality Institute</v>
      </c>
      <c r="E1404" s="63" t="str">
        <f aca="false">'Onshore - Sydney'!C465&amp;""</f>
        <v>1,5 years</v>
      </c>
      <c r="F1404" s="63" t="str">
        <f aca="false">IF('Onshore - Sydney'!D465="","Belum tercatat",'Onshore - Sydney'!D465)</f>
        <v>Term</v>
      </c>
      <c r="G1404" s="65" t="n">
        <f aca="false">IF('Onshore - Sydney'!E465="","-",'Onshore - Sydney'!E465)</f>
        <v>2550</v>
      </c>
      <c r="H1404" s="63" t="n">
        <f aca="false">IF(ISNUMBER(K1404),COUNTIFS($J$6:$J$1916,J1404,$K$6:$K$1916,"&lt;"&amp;K1404)+1,"-")</f>
        <v>20</v>
      </c>
      <c r="I1404" s="64" t="str">
        <f aca="false">IF('Onshore - Sydney'!E465="","Harga belum tersedia - hubungi konsultan TEG",IF(M1404=2,"Saat ini tidak menerima pendaftaran siswa internasional baru",IF(M1404=1,"Harga perlu dikonfirmasi ke sekolah"&amp;IF(""="","","; "&amp;""),"")))</f>
        <v>Harga perlu dikonfirmasi ke sekolah</v>
      </c>
      <c r="J1404" s="0" t="s">
        <v>4358</v>
      </c>
      <c r="K1404" s="0" t="n">
        <f aca="false">IF(M1404=2,"",IF(ISNUMBER(SEARCH("rata-rata:",'Onshore - Sydney'!M465)),VALUE(MID('Onshore - Sydney'!M465,SEARCH("rata-rata:",'Onshore - Sydney'!M465)+11,FIND(";",'Onshore - Sydney'!M465&amp;";",SEARCH("rata-rata:",'Onshore - Sydney'!M465))-SEARCH("rata-rata:",'Onshore - Sydney'!M465)-11)),IF('Onshore - Sydney'!D465="Semester",'Onshore - Sydney'!E465*2,IF('Onshore - Sydney'!D465="Trimester",'Onshore - Sydney'!E465*3,IF('Onshore - Sydney'!D465="Term",'Onshore - Sydney'!E465*4,IF('Onshore - Sydney'!D465="Unit",'Onshore - Sydney'!E465*8,""))))))</f>
        <v>10200</v>
      </c>
      <c r="L1404" s="0" t="n">
        <f aca="false">IF(AND(ISNUMBER('Onshore - Sydney'!E465),ISNUMBER(K1404),ISNUMBER('Onshore - Sydney'!F465),ISNUMBER('Onshore - Sydney'!G465),OR('Onshore - Sydney'!F465&lt;&gt;0,ISNUMBER(SEARCH("Material 0 terverifikasi",'Onshore - Sydney'!M465))),OR('Onshore - Sydney'!G465&lt;&gt;0,ISNUMBER(SEARCH("Enrolment 0 terverifikasi",'Onshore - Sydney'!M465)))),1,0)</f>
        <v>1</v>
      </c>
      <c r="M1404" s="0" t="n">
        <f aca="false">IF(OR('Onshore - Sydney'!E465="",ISNUMBER(SEARCH("BSB80120",'Onshore - Sydney'!B465&amp;'Onshore - Sydney'!M465)),ISNUMBER(SEARCH("Management (Learning)",'Onshore - Sydney'!B465))),2,IF(ISNUMBER(SEARCH("CEK:",'Onshore - Sydney'!M465)),1,0))</f>
        <v>1</v>
      </c>
    </row>
    <row r="1405" customFormat="false" ht="15" hidden="false" customHeight="false" outlineLevel="0" collapsed="false">
      <c r="A1405" s="63" t="s">
        <v>3533</v>
      </c>
      <c r="B1405" s="64" t="s">
        <v>4297</v>
      </c>
      <c r="C1405" s="63" t="s">
        <v>41</v>
      </c>
      <c r="D1405" s="64" t="str">
        <f aca="false">TRIM(LEFT('Onshore - Sydney'!A389,FIND(CHAR(10),'Onshore - Sydney'!A389&amp;CHAR(10))-1))</f>
        <v>Capstone Institute of Australia (CIA)</v>
      </c>
      <c r="E1405" s="63" t="str">
        <f aca="false">'Onshore - Sydney'!C389&amp;""</f>
        <v>2 years</v>
      </c>
      <c r="F1405" s="63" t="str">
        <f aca="false">IF('Onshore - Sydney'!D389="","Belum tercatat",'Onshore - Sydney'!D389)</f>
        <v>Term</v>
      </c>
      <c r="G1405" s="65" t="n">
        <f aca="false">IF('Onshore - Sydney'!E389="","-",'Onshore - Sydney'!E389)</f>
        <v>2600</v>
      </c>
      <c r="H1405" s="63" t="n">
        <f aca="false">IF(ISNUMBER(K1405),COUNTIFS($J$6:$J$1916,J1405,$K$6:$K$1916,"&lt;"&amp;K1405)+1,"-")</f>
        <v>21</v>
      </c>
      <c r="I1405" s="64" t="str">
        <f aca="false">IF('Onshore - Sydney'!E389="","Harga belum tersedia - hubungi konsultan TEG",IF(M1405=2,"Saat ini tidak menerima pendaftaran siswa internasional baru",IF(M1405=1,"Harga perlu dikonfirmasi ke sekolah"&amp;IF(""="","","; "&amp;""),"")))</f>
        <v>Harga perlu dikonfirmasi ke sekolah</v>
      </c>
      <c r="J1405" s="0" t="s">
        <v>4358</v>
      </c>
      <c r="K1405" s="0" t="n">
        <f aca="false">IF(M1405=2,"",IF(ISNUMBER(SEARCH("rata-rata:",'Onshore - Sydney'!M389)),VALUE(MID('Onshore - Sydney'!M389,SEARCH("rata-rata:",'Onshore - Sydney'!M389)+11,FIND(";",'Onshore - Sydney'!M389&amp;";",SEARCH("rata-rata:",'Onshore - Sydney'!M389))-SEARCH("rata-rata:",'Onshore - Sydney'!M389)-11)),IF('Onshore - Sydney'!D389="Semester",'Onshore - Sydney'!E389*2,IF('Onshore - Sydney'!D389="Trimester",'Onshore - Sydney'!E389*3,IF('Onshore - Sydney'!D389="Term",'Onshore - Sydney'!E389*4,IF('Onshore - Sydney'!D389="Unit",'Onshore - Sydney'!E389*8,""))))))</f>
        <v>10400</v>
      </c>
      <c r="L1405" s="0" t="n">
        <f aca="false">IF(AND(ISNUMBER('Onshore - Sydney'!E389),ISNUMBER(K1405),ISNUMBER('Onshore - Sydney'!F389),ISNUMBER('Onshore - Sydney'!G389),OR('Onshore - Sydney'!F389&lt;&gt;0,ISNUMBER(SEARCH("Material 0 terverifikasi",'Onshore - Sydney'!M389))),OR('Onshore - Sydney'!G389&lt;&gt;0,ISNUMBER(SEARCH("Enrolment 0 terverifikasi",'Onshore - Sydney'!M389)))),1,0)</f>
        <v>1</v>
      </c>
      <c r="M1405" s="0" t="n">
        <f aca="false">IF(OR('Onshore - Sydney'!E389="",ISNUMBER(SEARCH("BSB80120",'Onshore - Sydney'!B389&amp;'Onshore - Sydney'!M389)),ISNUMBER(SEARCH("Management (Learning)",'Onshore - Sydney'!B389))),2,IF(ISNUMBER(SEARCH("CEK:",'Onshore - Sydney'!M389)),1,0))</f>
        <v>1</v>
      </c>
    </row>
    <row r="1406" customFormat="false" ht="15" hidden="false" customHeight="false" outlineLevel="0" collapsed="false">
      <c r="A1406" s="63" t="s">
        <v>3533</v>
      </c>
      <c r="B1406" s="64" t="s">
        <v>4297</v>
      </c>
      <c r="C1406" s="63" t="s">
        <v>41</v>
      </c>
      <c r="D1406" s="64" t="str">
        <f aca="false">TRIM(LEFT('Onshore - Sydney'!A35,FIND(CHAR(10),'Onshore - Sydney'!A35&amp;CHAR(10))-1))</f>
        <v>Academia of Trade</v>
      </c>
      <c r="E1406" s="63" t="str">
        <f aca="false">'Onshore - Sydney'!C49&amp;""</f>
        <v>2 years</v>
      </c>
      <c r="F1406" s="63" t="str">
        <f aca="false">IF('Onshore - Sydney'!D49="","Belum tercatat",'Onshore - Sydney'!D49)</f>
        <v>Term</v>
      </c>
      <c r="G1406" s="65" t="n">
        <f aca="false">IF('Onshore - Sydney'!E49="","-",'Onshore - Sydney'!E49)</f>
        <v>2666</v>
      </c>
      <c r="H1406" s="63" t="n">
        <f aca="false">IF(ISNUMBER(K1406),COUNTIFS($J$6:$J$1916,J1406,$K$6:$K$1916,"&lt;"&amp;K1406)+1,"-")</f>
        <v>22</v>
      </c>
      <c r="I1406" s="64" t="str">
        <f aca="false">IF('Onshore - Sydney'!E49="","Harga belum tersedia - hubungi konsultan TEG",IF(M1406=2,"Saat ini tidak menerima pendaftaran siswa internasional baru",IF(M1406=1,"Harga perlu dikonfirmasi ke sekolah"&amp;IF(""="","","; "&amp;""),"")))</f>
        <v/>
      </c>
      <c r="J1406" s="0" t="s">
        <v>4358</v>
      </c>
      <c r="K1406" s="0" t="n">
        <f aca="false">IF(M1406=2,"",IF(ISNUMBER(SEARCH("rata-rata:",'Onshore - Sydney'!M49)),VALUE(MID('Onshore - Sydney'!M49,SEARCH("rata-rata:",'Onshore - Sydney'!M49)+11,FIND(";",'Onshore - Sydney'!M49&amp;";",SEARCH("rata-rata:",'Onshore - Sydney'!M49))-SEARCH("rata-rata:",'Onshore - Sydney'!M49)-11)),IF('Onshore - Sydney'!D49="Semester",'Onshore - Sydney'!E49*2,IF('Onshore - Sydney'!D49="Trimester",'Onshore - Sydney'!E49*3,IF('Onshore - Sydney'!D49="Term",'Onshore - Sydney'!E49*4,IF('Onshore - Sydney'!D49="Unit",'Onshore - Sydney'!E49*8,""))))))</f>
        <v>10664</v>
      </c>
      <c r="L1406" s="0" t="n">
        <f aca="false">IF(AND(ISNUMBER('Onshore - Sydney'!E49),ISNUMBER(K1406),ISNUMBER('Onshore - Sydney'!F49),ISNUMBER('Onshore - Sydney'!G49),OR('Onshore - Sydney'!F49&lt;&gt;0,ISNUMBER(SEARCH("Material 0 terverifikasi",'Onshore - Sydney'!M49))),OR('Onshore - Sydney'!G49&lt;&gt;0,ISNUMBER(SEARCH("Enrolment 0 terverifikasi",'Onshore - Sydney'!M49)))),1,0)</f>
        <v>0</v>
      </c>
      <c r="M1406" s="0" t="n">
        <f aca="false">IF(OR('Onshore - Sydney'!E49="",ISNUMBER(SEARCH("BSB80120",'Onshore - Sydney'!B49&amp;'Onshore - Sydney'!M49)),ISNUMBER(SEARCH("Management (Learning)",'Onshore - Sydney'!B49))),2,IF(ISNUMBER(SEARCH("CEK:",'Onshore - Sydney'!M49)),1,0))</f>
        <v>0</v>
      </c>
    </row>
    <row r="1407" customFormat="false" ht="15" hidden="false" customHeight="false" outlineLevel="0" collapsed="false">
      <c r="A1407" s="63" t="s">
        <v>3533</v>
      </c>
      <c r="B1407" s="64" t="s">
        <v>4297</v>
      </c>
      <c r="C1407" s="63" t="s">
        <v>41</v>
      </c>
      <c r="D1407" s="64" t="str">
        <f aca="false">TRIM(LEFT('Onshore - Sydney'!A672,FIND(CHAR(10),'Onshore - Sydney'!A672&amp;CHAR(10))-1))</f>
        <v>New Era Institute</v>
      </c>
      <c r="E1407" s="63" t="str">
        <f aca="false">'Onshore - Sydney'!C675&amp;""</f>
        <v>2 years</v>
      </c>
      <c r="F1407" s="63" t="str">
        <f aca="false">IF('Onshore - Sydney'!D675="","Belum tercatat",'Onshore - Sydney'!D675)</f>
        <v>Term</v>
      </c>
      <c r="G1407" s="65" t="n">
        <f aca="false">IF('Onshore - Sydney'!E675="","-",'Onshore - Sydney'!E675)</f>
        <v>2670</v>
      </c>
      <c r="H1407" s="63" t="n">
        <f aca="false">IF(ISNUMBER(K1407),COUNTIFS($J$6:$J$1916,J1407,$K$6:$K$1916,"&lt;"&amp;K1407)+1,"-")</f>
        <v>23</v>
      </c>
      <c r="I1407" s="64" t="str">
        <f aca="false">IF('Onshore - Sydney'!E675="","Harga belum tersedia - hubungi konsultan TEG",IF(M1407=2,"Saat ini tidak menerima pendaftaran siswa internasional baru",IF(M1407=1,"Harga perlu dikonfirmasi ke sekolah"&amp;IF(""="","","; "&amp;""),"")))</f>
        <v/>
      </c>
      <c r="J1407" s="0" t="s">
        <v>4358</v>
      </c>
      <c r="K1407" s="0" t="n">
        <f aca="false">IF(M1407=2,"",IF(ISNUMBER(SEARCH("rata-rata:",'Onshore - Sydney'!M675)),VALUE(MID('Onshore - Sydney'!M675,SEARCH("rata-rata:",'Onshore - Sydney'!M675)+11,FIND(";",'Onshore - Sydney'!M675&amp;";",SEARCH("rata-rata:",'Onshore - Sydney'!M675))-SEARCH("rata-rata:",'Onshore - Sydney'!M675)-11)),IF('Onshore - Sydney'!D675="Semester",'Onshore - Sydney'!E675*2,IF('Onshore - Sydney'!D675="Trimester",'Onshore - Sydney'!E675*3,IF('Onshore - Sydney'!D675="Term",'Onshore - Sydney'!E675*4,IF('Onshore - Sydney'!D675="Unit",'Onshore - Sydney'!E675*8,""))))))</f>
        <v>10680</v>
      </c>
      <c r="L1407" s="0" t="n">
        <f aca="false">IF(AND(ISNUMBER('Onshore - Sydney'!E675),ISNUMBER(K1407),ISNUMBER('Onshore - Sydney'!F675),ISNUMBER('Onshore - Sydney'!G675),OR('Onshore - Sydney'!F675&lt;&gt;0,ISNUMBER(SEARCH("Material 0 terverifikasi",'Onshore - Sydney'!M675))),OR('Onshore - Sydney'!G675&lt;&gt;0,ISNUMBER(SEARCH("Enrolment 0 terverifikasi",'Onshore - Sydney'!M675)))),1,0)</f>
        <v>1</v>
      </c>
      <c r="M1407" s="0" t="n">
        <f aca="false">IF(OR('Onshore - Sydney'!E675="",ISNUMBER(SEARCH("BSB80120",'Onshore - Sydney'!B675&amp;'Onshore - Sydney'!M675)),ISNUMBER(SEARCH("Management (Learning)",'Onshore - Sydney'!B675))),2,IF(ISNUMBER(SEARCH("CEK:",'Onshore - Sydney'!M675)),1,0))</f>
        <v>0</v>
      </c>
    </row>
    <row r="1408" customFormat="false" ht="28.35" hidden="false" customHeight="false" outlineLevel="0" collapsed="false">
      <c r="A1408" s="63" t="s">
        <v>3533</v>
      </c>
      <c r="B1408" s="64" t="s">
        <v>4297</v>
      </c>
      <c r="C1408" s="63" t="s">
        <v>41</v>
      </c>
      <c r="D1408" s="64" t="str">
        <f aca="false">TRIM(LEFT('Onshore - Sydney'!A542,FIND(CHAR(10),'Onshore - Sydney'!A542&amp;CHAR(10))-1))</f>
        <v>International Institute of Business and Technology (IIBT)</v>
      </c>
      <c r="E1408" s="63" t="str">
        <f aca="false">'Onshore - Sydney'!C542&amp;""</f>
        <v>2 years</v>
      </c>
      <c r="F1408" s="63" t="str">
        <f aca="false">IF('Onshore - Sydney'!D542="","Belum tercatat",'Onshore - Sydney'!D542)</f>
        <v>Term</v>
      </c>
      <c r="G1408" s="65" t="n">
        <f aca="false">IF('Onshore - Sydney'!E542="","-",'Onshore - Sydney'!E542)</f>
        <v>2800</v>
      </c>
      <c r="H1408" s="63" t="n">
        <f aca="false">IF(ISNUMBER(K1408),COUNTIFS($J$6:$J$1916,J1408,$K$6:$K$1916,"&lt;"&amp;K1408)+1,"-")</f>
        <v>24</v>
      </c>
      <c r="I1408" s="64" t="str">
        <f aca="false">IF('Onshore - Sydney'!E542="","Harga belum tersedia - hubungi konsultan TEG",IF(M1408=2,"Saat ini tidak menerima pendaftaran siswa internasional baru",IF(M1408=1,"Harga perlu dikonfirmasi ke sekolah"&amp;IF(""="","","; "&amp;""),"")))</f>
        <v/>
      </c>
      <c r="J1408" s="0" t="s">
        <v>4358</v>
      </c>
      <c r="K1408" s="0" t="n">
        <f aca="false">IF(M1408=2,"",IF(ISNUMBER(SEARCH("rata-rata:",'Onshore - Sydney'!M542)),VALUE(MID('Onshore - Sydney'!M542,SEARCH("rata-rata:",'Onshore - Sydney'!M542)+11,FIND(";",'Onshore - Sydney'!M542&amp;";",SEARCH("rata-rata:",'Onshore - Sydney'!M542))-SEARCH("rata-rata:",'Onshore - Sydney'!M542)-11)),IF('Onshore - Sydney'!D542="Semester",'Onshore - Sydney'!E542*2,IF('Onshore - Sydney'!D542="Trimester",'Onshore - Sydney'!E542*3,IF('Onshore - Sydney'!D542="Term",'Onshore - Sydney'!E542*4,IF('Onshore - Sydney'!D542="Unit",'Onshore - Sydney'!E542*8,""))))))</f>
        <v>11200</v>
      </c>
      <c r="L1408" s="0" t="n">
        <f aca="false">IF(AND(ISNUMBER('Onshore - Sydney'!E542),ISNUMBER(K1408),ISNUMBER('Onshore - Sydney'!F542),ISNUMBER('Onshore - Sydney'!G542),OR('Onshore - Sydney'!F542&lt;&gt;0,ISNUMBER(SEARCH("Material 0 terverifikasi",'Onshore - Sydney'!M542))),OR('Onshore - Sydney'!G542&lt;&gt;0,ISNUMBER(SEARCH("Enrolment 0 terverifikasi",'Onshore - Sydney'!M542)))),1,0)</f>
        <v>1</v>
      </c>
      <c r="M1408" s="0" t="n">
        <f aca="false">IF(OR('Onshore - Sydney'!E542="",ISNUMBER(SEARCH("BSB80120",'Onshore - Sydney'!B542&amp;'Onshore - Sydney'!M542)),ISNUMBER(SEARCH("Management (Learning)",'Onshore - Sydney'!B542))),2,IF(ISNUMBER(SEARCH("CEK:",'Onshore - Sydney'!M542)),1,0))</f>
        <v>0</v>
      </c>
    </row>
    <row r="1409" customFormat="false" ht="15" hidden="false" customHeight="false" outlineLevel="0" collapsed="false">
      <c r="A1409" s="63" t="s">
        <v>3533</v>
      </c>
      <c r="B1409" s="64" t="s">
        <v>4297</v>
      </c>
      <c r="C1409" s="63" t="s">
        <v>41</v>
      </c>
      <c r="D1409" s="64" t="str">
        <f aca="false">TRIM(LEFT('Onshore - Sydney'!A121,FIND(CHAR(10),'Onshore - Sydney'!A121&amp;CHAR(10))-1))</f>
        <v>Alliance College</v>
      </c>
      <c r="E1409" s="63" t="str">
        <f aca="false">'Onshore - Sydney'!C121&amp;""</f>
        <v>2 years</v>
      </c>
      <c r="F1409" s="63" t="str">
        <f aca="false">IF('Onshore - Sydney'!D121="","Belum tercatat",'Onshore - Sydney'!D121)</f>
        <v>Term</v>
      </c>
      <c r="G1409" s="65" t="n">
        <f aca="false">IF('Onshore - Sydney'!E121="","-",'Onshore - Sydney'!E121)</f>
        <v>2875</v>
      </c>
      <c r="H1409" s="63" t="n">
        <f aca="false">IF(ISNUMBER(K1409),COUNTIFS($J$6:$J$1916,J1409,$K$6:$K$1916,"&lt;"&amp;K1409)+1,"-")</f>
        <v>25</v>
      </c>
      <c r="I1409" s="64" t="str">
        <f aca="false">IF('Onshore - Sydney'!E121="","Harga belum tersedia - hubungi konsultan TEG",IF(M1409=2,"Saat ini tidak menerima pendaftaran siswa internasional baru",IF(M1409=1,"Harga perlu dikonfirmasi ke sekolah"&amp;IF(""="","","; "&amp;""),"")))</f>
        <v/>
      </c>
      <c r="J1409" s="0" t="s">
        <v>4358</v>
      </c>
      <c r="K1409" s="0" t="n">
        <f aca="false">IF(M1409=2,"",IF(ISNUMBER(SEARCH("rata-rata:",'Onshore - Sydney'!M121)),VALUE(MID('Onshore - Sydney'!M121,SEARCH("rata-rata:",'Onshore - Sydney'!M121)+11,FIND(";",'Onshore - Sydney'!M121&amp;";",SEARCH("rata-rata:",'Onshore - Sydney'!M121))-SEARCH("rata-rata:",'Onshore - Sydney'!M121)-11)),IF('Onshore - Sydney'!D121="Semester",'Onshore - Sydney'!E121*2,IF('Onshore - Sydney'!D121="Trimester",'Onshore - Sydney'!E121*3,IF('Onshore - Sydney'!D121="Term",'Onshore - Sydney'!E121*4,IF('Onshore - Sydney'!D121="Unit",'Onshore - Sydney'!E121*8,""))))))</f>
        <v>11500</v>
      </c>
      <c r="L1409" s="0" t="n">
        <f aca="false">IF(AND(ISNUMBER('Onshore - Sydney'!E121),ISNUMBER(K1409),ISNUMBER('Onshore - Sydney'!F121),ISNUMBER('Onshore - Sydney'!G121),OR('Onshore - Sydney'!F121&lt;&gt;0,ISNUMBER(SEARCH("Material 0 terverifikasi",'Onshore - Sydney'!M121))),OR('Onshore - Sydney'!G121&lt;&gt;0,ISNUMBER(SEARCH("Enrolment 0 terverifikasi",'Onshore - Sydney'!M121)))),1,0)</f>
        <v>1</v>
      </c>
      <c r="M1409" s="0" t="n">
        <f aca="false">IF(OR('Onshore - Sydney'!E121="",ISNUMBER(SEARCH("BSB80120",'Onshore - Sydney'!B121&amp;'Onshore - Sydney'!M121)),ISNUMBER(SEARCH("Management (Learning)",'Onshore - Sydney'!B121))),2,IF(ISNUMBER(SEARCH("CEK:",'Onshore - Sydney'!M121)),1,0))</f>
        <v>0</v>
      </c>
    </row>
    <row r="1410" customFormat="false" ht="28.35" hidden="false" customHeight="false" outlineLevel="0" collapsed="false">
      <c r="A1410" s="63" t="s">
        <v>3533</v>
      </c>
      <c r="B1410" s="64" t="s">
        <v>4297</v>
      </c>
      <c r="C1410" s="63" t="s">
        <v>41</v>
      </c>
      <c r="D1410" s="64" t="str">
        <f aca="false">TRIM(LEFT('Onshore - Sydney'!A299,FIND(CHAR(10),'Onshore - Sydney'!A299&amp;CHAR(10))-1))</f>
        <v>Australian Harbour International College (AHIC)</v>
      </c>
      <c r="E1410" s="63" t="str">
        <f aca="false">'Onshore - Sydney'!C308&amp;""</f>
        <v>3 years</v>
      </c>
      <c r="F1410" s="63" t="str">
        <f aca="false">IF('Onshore - Sydney'!D308="","Belum tercatat",'Onshore - Sydney'!D308)</f>
        <v>Term</v>
      </c>
      <c r="G1410" s="65" t="n">
        <f aca="false">IF('Onshore - Sydney'!E308="","-",'Onshore - Sydney'!E308)</f>
        <v>3000</v>
      </c>
      <c r="H1410" s="63" t="n">
        <f aca="false">IF(ISNUMBER(K1410),COUNTIFS($J$6:$J$1916,J1410,$K$6:$K$1916,"&lt;"&amp;K1410)+1,"-")</f>
        <v>26</v>
      </c>
      <c r="I1410" s="64" t="str">
        <f aca="false">IF('Onshore - Sydney'!E308="","Harga belum tersedia - hubungi konsultan TEG",IF(M1410=2,"Saat ini tidak menerima pendaftaran siswa internasional baru",IF(M1410=1,"Harga perlu dikonfirmasi ke sekolah"&amp;IF(""="","","; "&amp;""),"")))</f>
        <v/>
      </c>
      <c r="J1410" s="0" t="s">
        <v>4358</v>
      </c>
      <c r="K1410" s="0" t="n">
        <f aca="false">IF(M1410=2,"",IF(ISNUMBER(SEARCH("rata-rata:",'Onshore - Sydney'!M308)),VALUE(MID('Onshore - Sydney'!M308,SEARCH("rata-rata:",'Onshore - Sydney'!M308)+11,FIND(";",'Onshore - Sydney'!M308&amp;";",SEARCH("rata-rata:",'Onshore - Sydney'!M308))-SEARCH("rata-rata:",'Onshore - Sydney'!M308)-11)),IF('Onshore - Sydney'!D308="Semester",'Onshore - Sydney'!E308*2,IF('Onshore - Sydney'!D308="Trimester",'Onshore - Sydney'!E308*3,IF('Onshore - Sydney'!D308="Term",'Onshore - Sydney'!E308*4,IF('Onshore - Sydney'!D308="Unit",'Onshore - Sydney'!E308*8,""))))))</f>
        <v>12000</v>
      </c>
      <c r="L1410" s="0" t="n">
        <f aca="false">IF(AND(ISNUMBER('Onshore - Sydney'!E308),ISNUMBER(K1410),ISNUMBER('Onshore - Sydney'!F308),ISNUMBER('Onshore - Sydney'!G308),OR('Onshore - Sydney'!F308&lt;&gt;0,ISNUMBER(SEARCH("Material 0 terverifikasi",'Onshore - Sydney'!M308))),OR('Onshore - Sydney'!G308&lt;&gt;0,ISNUMBER(SEARCH("Enrolment 0 terverifikasi",'Onshore - Sydney'!M308)))),1,0)</f>
        <v>1</v>
      </c>
      <c r="M1410" s="0" t="n">
        <f aca="false">IF(OR('Onshore - Sydney'!E308="",ISNUMBER(SEARCH("BSB80120",'Onshore - Sydney'!B308&amp;'Onshore - Sydney'!M308)),ISNUMBER(SEARCH("Management (Learning)",'Onshore - Sydney'!B308))),2,IF(ISNUMBER(SEARCH("CEK:",'Onshore - Sydney'!M308)),1,0))</f>
        <v>0</v>
      </c>
    </row>
    <row r="1411" customFormat="false" ht="15" hidden="false" customHeight="false" outlineLevel="0" collapsed="false">
      <c r="A1411" s="63" t="s">
        <v>3533</v>
      </c>
      <c r="B1411" s="64" t="s">
        <v>4297</v>
      </c>
      <c r="C1411" s="63" t="s">
        <v>41</v>
      </c>
      <c r="D1411" s="64" t="str">
        <f aca="false">TRIM(LEFT('Onshore - Sydney'!A1047,FIND(CHAR(10),'Onshore - Sydney'!A1047&amp;CHAR(10))-1))</f>
        <v>Western Sydney College (WSC)</v>
      </c>
      <c r="E1411" s="63" t="str">
        <f aca="false">'Onshore - Sydney'!C1056&amp;""</f>
        <v>2 years</v>
      </c>
      <c r="F1411" s="63" t="str">
        <f aca="false">IF('Onshore - Sydney'!D1056="","Belum tercatat",'Onshore - Sydney'!D1056)</f>
        <v>Term</v>
      </c>
      <c r="G1411" s="65" t="n">
        <f aca="false">IF('Onshore - Sydney'!E1056="","-",'Onshore - Sydney'!E1056)</f>
        <v>3250</v>
      </c>
      <c r="H1411" s="63" t="n">
        <f aca="false">IF(ISNUMBER(K1411),COUNTIFS($J$6:$J$1916,J1411,$K$6:$K$1916,"&lt;"&amp;K1411)+1,"-")</f>
        <v>27</v>
      </c>
      <c r="I1411" s="64" t="str">
        <f aca="false">IF('Onshore - Sydney'!E1056="","Harga belum tersedia - hubungi konsultan TEG",IF(M1411=2,"Saat ini tidak menerima pendaftaran siswa internasional baru",IF(M1411=1,"Program perlu dikonfirmasi ketersediaannya"&amp;IF(""="","","; "&amp;""),"")))</f>
        <v>Program perlu dikonfirmasi ketersediaannya</v>
      </c>
      <c r="J1411" s="0" t="s">
        <v>4358</v>
      </c>
      <c r="K1411" s="0" t="n">
        <f aca="false">IF(M1411=2,"",IF(ISNUMBER(SEARCH("rata-rata:",'Onshore - Sydney'!M1056)),VALUE(MID('Onshore - Sydney'!M1056,SEARCH("rata-rata:",'Onshore - Sydney'!M1056)+11,FIND(";",'Onshore - Sydney'!M1056&amp;";",SEARCH("rata-rata:",'Onshore - Sydney'!M1056))-SEARCH("rata-rata:",'Onshore - Sydney'!M1056)-11)),IF('Onshore - Sydney'!D1056="Semester",'Onshore - Sydney'!E1056*2,IF('Onshore - Sydney'!D1056="Trimester",'Onshore - Sydney'!E1056*3,IF('Onshore - Sydney'!D1056="Term",'Onshore - Sydney'!E1056*4,IF('Onshore - Sydney'!D1056="Unit",'Onshore - Sydney'!E1056*8,""))))))</f>
        <v>13000</v>
      </c>
      <c r="L1411" s="0" t="n">
        <f aca="false">IF(AND(ISNUMBER('Onshore - Sydney'!E1056),ISNUMBER(K1411),ISNUMBER('Onshore - Sydney'!F1056),ISNUMBER('Onshore - Sydney'!G1056),OR('Onshore - Sydney'!F1056&lt;&gt;0,ISNUMBER(SEARCH("Material 0 terverifikasi",'Onshore - Sydney'!M1056))),OR('Onshore - Sydney'!G1056&lt;&gt;0,ISNUMBER(SEARCH("Enrolment 0 terverifikasi",'Onshore - Sydney'!M1056)))),1,0)</f>
        <v>1</v>
      </c>
      <c r="M1411" s="0" t="n">
        <f aca="false">IF(OR('Onshore - Sydney'!E1056="",ISNUMBER(SEARCH("BSB80120",'Onshore - Sydney'!B1056&amp;'Onshore - Sydney'!M1056)),ISNUMBER(SEARCH("Management (Learning)",'Onshore - Sydney'!B1056))),2,IF(ISNUMBER(SEARCH("CEK:",'Onshore - Sydney'!M1056)),1,0))</f>
        <v>1</v>
      </c>
    </row>
    <row r="1412" customFormat="false" ht="15" hidden="false" customHeight="false" outlineLevel="0" collapsed="false">
      <c r="A1412" s="63" t="s">
        <v>3533</v>
      </c>
      <c r="B1412" s="64" t="s">
        <v>4297</v>
      </c>
      <c r="C1412" s="63" t="s">
        <v>41</v>
      </c>
      <c r="D1412" s="64" t="str">
        <f aca="false">TRIM(LEFT('Onshore - Sydney'!A796,FIND(CHAR(10),'Onshore - Sydney'!A796&amp;CHAR(10))-1))</f>
        <v>TAFE NSW</v>
      </c>
      <c r="E1412" s="63" t="str">
        <f aca="false">'Onshore - Sydney'!C824&amp;""</f>
        <v>1 year</v>
      </c>
      <c r="F1412" s="63" t="str">
        <f aca="false">IF('Onshore - Sydney'!D824="","Belum tercatat",'Onshore - Sydney'!D824)</f>
        <v>Term</v>
      </c>
      <c r="G1412" s="65" t="n">
        <f aca="false">IF('Onshore - Sydney'!E824="","-",'Onshore - Sydney'!E824)</f>
        <v>3732</v>
      </c>
      <c r="H1412" s="63" t="n">
        <f aca="false">IF(ISNUMBER(K1412),COUNTIFS($J$6:$J$1916,J1412,$K$6:$K$1916,"&lt;"&amp;K1412)+1,"-")</f>
        <v>28</v>
      </c>
      <c r="I1412" s="64" t="str">
        <f aca="false">IF('Onshore - Sydney'!E824="","Harga belum tersedia - hubungi konsultan TEG",IF(M1412=2,"Saat ini tidak menerima pendaftaran siswa internasional baru",IF(M1412=1,"Harga perlu dikonfirmasi ke sekolah"&amp;IF(""="","","; "&amp;""),"")))</f>
        <v/>
      </c>
      <c r="J1412" s="0" t="s">
        <v>4358</v>
      </c>
      <c r="K1412" s="0" t="n">
        <f aca="false">IF(M1412=2,"",IF(ISNUMBER(SEARCH("rata-rata:",'Onshore - Sydney'!M824)),VALUE(MID('Onshore - Sydney'!M824,SEARCH("rata-rata:",'Onshore - Sydney'!M824)+11,FIND(";",'Onshore - Sydney'!M824&amp;";",SEARCH("rata-rata:",'Onshore - Sydney'!M824))-SEARCH("rata-rata:",'Onshore - Sydney'!M824)-11)),IF('Onshore - Sydney'!D824="Semester",'Onshore - Sydney'!E824*2,IF('Onshore - Sydney'!D824="Trimester",'Onshore - Sydney'!E824*3,IF('Onshore - Sydney'!D824="Term",'Onshore - Sydney'!E824*4,IF('Onshore - Sydney'!D824="Unit",'Onshore - Sydney'!E824*8,""))))))</f>
        <v>14928</v>
      </c>
      <c r="L1412" s="0" t="n">
        <f aca="false">IF(AND(ISNUMBER('Onshore - Sydney'!E824),ISNUMBER(K1412),ISNUMBER('Onshore - Sydney'!F824),ISNUMBER('Onshore - Sydney'!G824),OR('Onshore - Sydney'!F824&lt;&gt;0,ISNUMBER(SEARCH("Material 0 terverifikasi",'Onshore - Sydney'!M824))),OR('Onshore - Sydney'!G824&lt;&gt;0,ISNUMBER(SEARCH("Enrolment 0 terverifikasi",'Onshore - Sydney'!M824)))),1,0)</f>
        <v>0</v>
      </c>
      <c r="M1412" s="0" t="n">
        <f aca="false">IF(OR('Onshore - Sydney'!E824="",ISNUMBER(SEARCH("BSB80120",'Onshore - Sydney'!B824&amp;'Onshore - Sydney'!M824)),ISNUMBER(SEARCH("Management (Learning)",'Onshore - Sydney'!B824))),2,IF(ISNUMBER(SEARCH("CEK:",'Onshore - Sydney'!M824)),1,0))</f>
        <v>0</v>
      </c>
    </row>
    <row r="1413" customFormat="false" ht="15" hidden="false" customHeight="false" outlineLevel="0" collapsed="false">
      <c r="A1413" s="63" t="s">
        <v>3533</v>
      </c>
      <c r="B1413" s="64" t="s">
        <v>4297</v>
      </c>
      <c r="C1413" s="63" t="s">
        <v>41</v>
      </c>
      <c r="D1413" s="64" t="str">
        <f aca="false">TRIM(LEFT('Onshore - Sydney'!A1231,FIND(CHAR(10),'Onshore - Sydney'!A1231&amp;CHAR(10))-1))</f>
        <v>William Angliss Institute</v>
      </c>
      <c r="E1413" s="63" t="str">
        <f aca="false">'Onshore - Sydney'!C1231&amp;""</f>
        <v>2 years</v>
      </c>
      <c r="F1413" s="63" t="str">
        <f aca="false">IF('Onshore - Sydney'!D1231="","Belum tercatat",'Onshore - Sydney'!D1231)</f>
        <v>Term</v>
      </c>
      <c r="G1413" s="65" t="n">
        <f aca="false">IF('Onshore - Sydney'!E1231="","-",'Onshore - Sydney'!E1231)</f>
        <v>4200</v>
      </c>
      <c r="H1413" s="63" t="n">
        <f aca="false">IF(ISNUMBER(K1413),COUNTIFS($J$6:$J$1916,J1413,$K$6:$K$1916,"&lt;"&amp;K1413)+1,"-")</f>
        <v>29</v>
      </c>
      <c r="I1413" s="64" t="str">
        <f aca="false">IF('Onshore - Sydney'!E1231="","Harga belum tersedia - hubungi konsultan TEG",IF(M1413=2,"Saat ini tidak menerima pendaftaran siswa internasional baru",IF(M1413=1,"Harga perlu dikonfirmasi ke sekolah"&amp;IF(""="","","; "&amp;""),"")))</f>
        <v>Harga perlu dikonfirmasi ke sekolah</v>
      </c>
      <c r="J1413" s="0" t="s">
        <v>4358</v>
      </c>
      <c r="K1413" s="0" t="n">
        <f aca="false">IF(M1413=2,"",IF(ISNUMBER(SEARCH("rata-rata:",'Onshore - Sydney'!M1231)),VALUE(MID('Onshore - Sydney'!M1231,SEARCH("rata-rata:",'Onshore - Sydney'!M1231)+11,FIND(";",'Onshore - Sydney'!M1231&amp;";",SEARCH("rata-rata:",'Onshore - Sydney'!M1231))-SEARCH("rata-rata:",'Onshore - Sydney'!M1231)-11)),IF('Onshore - Sydney'!D1231="Semester",'Onshore - Sydney'!E1231*2,IF('Onshore - Sydney'!D1231="Trimester",'Onshore - Sydney'!E1231*3,IF('Onshore - Sydney'!D1231="Term",'Onshore - Sydney'!E1231*4,IF('Onshore - Sydney'!D1231="Unit",'Onshore - Sydney'!E1231*8,""))))))</f>
        <v>16800</v>
      </c>
      <c r="L1413" s="0" t="n">
        <f aca="false">IF(AND(ISNUMBER('Onshore - Sydney'!E1231),ISNUMBER(K1413),ISNUMBER('Onshore - Sydney'!F1231),ISNUMBER('Onshore - Sydney'!G1231),OR('Onshore - Sydney'!F1231&lt;&gt;0,ISNUMBER(SEARCH("Material 0 terverifikasi",'Onshore - Sydney'!M1231))),OR('Onshore - Sydney'!G1231&lt;&gt;0,ISNUMBER(SEARCH("Enrolment 0 terverifikasi",'Onshore - Sydney'!M1231)))),1,0)</f>
        <v>1</v>
      </c>
      <c r="M1413" s="0" t="n">
        <f aca="false">IF(OR('Onshore - Sydney'!E1231="",ISNUMBER(SEARCH("BSB80120",'Onshore - Sydney'!B1231&amp;'Onshore - Sydney'!M1231)),ISNUMBER(SEARCH("Management (Learning)",'Onshore - Sydney'!B1231))),2,IF(ISNUMBER(SEARCH("CEK:",'Onshore - Sydney'!M1231)),1,0))</f>
        <v>1</v>
      </c>
    </row>
    <row r="1414" customFormat="false" ht="15" hidden="false" customHeight="false" outlineLevel="0" collapsed="false">
      <c r="A1414" s="63" t="s">
        <v>3533</v>
      </c>
      <c r="B1414" s="64" t="s">
        <v>4297</v>
      </c>
      <c r="C1414" s="63" t="s">
        <v>41</v>
      </c>
      <c r="D1414" s="64" t="str">
        <f aca="false">TRIM(LEFT('Onshore - Sydney'!A529,FIND(CHAR(10),'Onshore - Sydney'!A529&amp;CHAR(10))-1))</f>
        <v>Hunter Education Group</v>
      </c>
      <c r="E1414" s="63" t="str">
        <f aca="false">'Onshore - Sydney'!C533&amp;""</f>
        <v>1,5 years</v>
      </c>
      <c r="F1414" s="63" t="str">
        <f aca="false">IF('Onshore - Sydney'!D533="","Belum tercatat",'Onshore - Sydney'!D533)</f>
        <v>Term</v>
      </c>
      <c r="G1414" s="65" t="n">
        <f aca="false">IF('Onshore - Sydney'!E533="","-",'Onshore - Sydney'!E533)</f>
        <v>4500</v>
      </c>
      <c r="H1414" s="63" t="n">
        <f aca="false">IF(ISNUMBER(K1414),COUNTIFS($J$6:$J$1916,J1414,$K$6:$K$1916,"&lt;"&amp;K1414)+1,"-")</f>
        <v>30</v>
      </c>
      <c r="I1414" s="64" t="str">
        <f aca="false">IF('Onshore - Sydney'!E533="","Harga belum tersedia - hubungi konsultan TEG",IF(M1414=2,"Saat ini tidak menerima pendaftaran siswa internasional baru",IF(M1414=1,"Program perlu dikonfirmasi ketersediaannya"&amp;IF(""="","","; "&amp;""),"")))</f>
        <v>Program perlu dikonfirmasi ketersediaannya</v>
      </c>
      <c r="J1414" s="0" t="s">
        <v>4358</v>
      </c>
      <c r="K1414" s="0" t="n">
        <f aca="false">IF(M1414=2,"",IF(ISNUMBER(SEARCH("rata-rata:",'Onshore - Sydney'!M533)),VALUE(MID('Onshore - Sydney'!M533,SEARCH("rata-rata:",'Onshore - Sydney'!M533)+11,FIND(";",'Onshore - Sydney'!M533&amp;";",SEARCH("rata-rata:",'Onshore - Sydney'!M533))-SEARCH("rata-rata:",'Onshore - Sydney'!M533)-11)),IF('Onshore - Sydney'!D533="Semester",'Onshore - Sydney'!E533*2,IF('Onshore - Sydney'!D533="Trimester",'Onshore - Sydney'!E533*3,IF('Onshore - Sydney'!D533="Term",'Onshore - Sydney'!E533*4,IF('Onshore - Sydney'!D533="Unit",'Onshore - Sydney'!E533*8,""))))))</f>
        <v>18000</v>
      </c>
      <c r="L1414" s="0" t="n">
        <f aca="false">IF(AND(ISNUMBER('Onshore - Sydney'!E533),ISNUMBER(K1414),ISNUMBER('Onshore - Sydney'!F533),ISNUMBER('Onshore - Sydney'!G533),OR('Onshore - Sydney'!F533&lt;&gt;0,ISNUMBER(SEARCH("Material 0 terverifikasi",'Onshore - Sydney'!M533))),OR('Onshore - Sydney'!G533&lt;&gt;0,ISNUMBER(SEARCH("Enrolment 0 terverifikasi",'Onshore - Sydney'!M533)))),1,0)</f>
        <v>0</v>
      </c>
      <c r="M1414" s="0" t="n">
        <f aca="false">IF(OR('Onshore - Sydney'!E533="",ISNUMBER(SEARCH("BSB80120",'Onshore - Sydney'!B533&amp;'Onshore - Sydney'!M533)),ISNUMBER(SEARCH("Management (Learning)",'Onshore - Sydney'!B533))),2,IF(ISNUMBER(SEARCH("CEK:",'Onshore - Sydney'!M533)),1,0))</f>
        <v>1</v>
      </c>
    </row>
    <row r="1415" customFormat="false" ht="15" hidden="false" customHeight="false" outlineLevel="0" collapsed="false">
      <c r="A1415" s="63" t="s">
        <v>3533</v>
      </c>
      <c r="B1415" s="64" t="s">
        <v>4297</v>
      </c>
      <c r="C1415" s="63" t="s">
        <v>41</v>
      </c>
      <c r="D1415" s="64" t="str">
        <f aca="false">TRIM(LEFT('Onshore - Sydney'!A597,FIND(CHAR(10),'Onshore - Sydney'!A597&amp;CHAR(10))-1))</f>
        <v>Le Cordon Bleu Australia</v>
      </c>
      <c r="E1415" s="63" t="str">
        <f aca="false">'Onshore - Sydney'!C600&amp;""</f>
        <v>2,5 years</v>
      </c>
      <c r="F1415" s="63" t="str">
        <f aca="false">IF('Onshore - Sydney'!D600="","Belum tercatat",'Onshore - Sydney'!D600)</f>
        <v>Term</v>
      </c>
      <c r="G1415" s="65" t="n">
        <f aca="false">IF('Onshore - Sydney'!E600="","-",'Onshore - Sydney'!E600)</f>
        <v>7005.6</v>
      </c>
      <c r="H1415" s="63" t="n">
        <f aca="false">IF(ISNUMBER(K1415),COUNTIFS($J$6:$J$1916,J1415,$K$6:$K$1916,"&lt;"&amp;K1415)+1,"-")</f>
        <v>31</v>
      </c>
      <c r="I1415" s="64" t="str">
        <f aca="false">IF('Onshore - Sydney'!E600="","Harga belum tersedia - hubungi konsultan TEG",IF(M1415=2,"Saat ini tidak menerima pendaftaran siswa internasional baru",IF(M1415=1,"Harga perlu dikonfirmasi ke sekolah"&amp;IF(""="","","; "&amp;""),"")))</f>
        <v>Harga perlu dikonfirmasi ke sekolah</v>
      </c>
      <c r="J1415" s="0" t="s">
        <v>4358</v>
      </c>
      <c r="K1415" s="0" t="n">
        <f aca="false">IF(M1415=2,"",IF(ISNUMBER(SEARCH("rata-rata:",'Onshore - Sydney'!M600)),VALUE(MID('Onshore - Sydney'!M600,SEARCH("rata-rata:",'Onshore - Sydney'!M600)+11,FIND(";",'Onshore - Sydney'!M600&amp;";",SEARCH("rata-rata:",'Onshore - Sydney'!M600))-SEARCH("rata-rata:",'Onshore - Sydney'!M600)-11)),IF('Onshore - Sydney'!D600="Semester",'Onshore - Sydney'!E600*2,IF('Onshore - Sydney'!D600="Trimester",'Onshore - Sydney'!E600*3,IF('Onshore - Sydney'!D600="Term",'Onshore - Sydney'!E600*4,IF('Onshore - Sydney'!D600="Unit",'Onshore - Sydney'!E600*8,""))))))</f>
        <v>28022.4</v>
      </c>
      <c r="L1415" s="0" t="n">
        <f aca="false">IF(AND(ISNUMBER('Onshore - Sydney'!E600),ISNUMBER(K1415),ISNUMBER('Onshore - Sydney'!F600),ISNUMBER('Onshore - Sydney'!G600),OR('Onshore - Sydney'!F600&lt;&gt;0,ISNUMBER(SEARCH("Material 0 terverifikasi",'Onshore - Sydney'!M600))),OR('Onshore - Sydney'!G600&lt;&gt;0,ISNUMBER(SEARCH("Enrolment 0 terverifikasi",'Onshore - Sydney'!M600)))),1,0)</f>
        <v>0</v>
      </c>
      <c r="M1415" s="0" t="n">
        <f aca="false">IF(OR('Onshore - Sydney'!E600="",ISNUMBER(SEARCH("BSB80120",'Onshore - Sydney'!B600&amp;'Onshore - Sydney'!M600)),ISNUMBER(SEARCH("Management (Learning)",'Onshore - Sydney'!B600))),2,IF(ISNUMBER(SEARCH("CEK:",'Onshore - Sydney'!M600)),1,0))</f>
        <v>1</v>
      </c>
    </row>
    <row r="1416" customFormat="false" ht="15" hidden="false" customHeight="false" outlineLevel="0" collapsed="false">
      <c r="A1416" s="61" t="s">
        <v>4359</v>
      </c>
      <c r="B1416" s="62"/>
      <c r="C1416" s="62"/>
      <c r="D1416" s="62"/>
      <c r="E1416" s="62"/>
      <c r="F1416" s="62"/>
      <c r="G1416" s="62"/>
      <c r="H1416" s="62"/>
      <c r="I1416" s="62"/>
    </row>
    <row r="1417" customFormat="false" ht="15" hidden="false" customHeight="false" outlineLevel="0" collapsed="false">
      <c r="A1417" s="63" t="s">
        <v>3533</v>
      </c>
      <c r="B1417" s="64" t="s">
        <v>4297</v>
      </c>
      <c r="C1417" s="63" t="s">
        <v>42</v>
      </c>
      <c r="D1417" s="64" t="str">
        <f aca="false">TRIM(LEFT('Onshore - Sydney'!A50,FIND(CHAR(10),'Onshore - Sydney'!A50&amp;CHAR(10))-1))</f>
        <v>Academies Australasia</v>
      </c>
      <c r="E1417" s="63" t="str">
        <f aca="false">'Onshore - Sydney'!C58&amp;""</f>
        <v>2 years</v>
      </c>
      <c r="F1417" s="63" t="str">
        <f aca="false">IF('Onshore - Sydney'!D58="","Belum tercatat",'Onshore - Sydney'!D58)</f>
        <v>Term</v>
      </c>
      <c r="G1417" s="65" t="n">
        <f aca="false">IF('Onshore - Sydney'!E58="","-",'Onshore - Sydney'!E58)</f>
        <v>1350</v>
      </c>
      <c r="H1417" s="63" t="n">
        <f aca="false">IF(ISNUMBER(K1417),COUNTIFS($J$6:$J$1916,J1417,$K$6:$K$1916,"&lt;"&amp;K1417)+1,"-")</f>
        <v>1</v>
      </c>
      <c r="I1417" s="64" t="str">
        <f aca="false">IF('Onshore - Sydney'!E58="","Harga belum tersedia - hubungi konsultan TEG",IF(M1417=2,"Saat ini tidak menerima pendaftaran siswa internasional baru",IF(M1417=1,"Harga perlu dikonfirmasi ke sekolah"&amp;IF(""="","","; "&amp;""),"")))</f>
        <v/>
      </c>
      <c r="J1417" s="0" t="s">
        <v>4360</v>
      </c>
      <c r="K1417" s="0" t="n">
        <f aca="false">IF(M1417=2,"",IF(ISNUMBER(SEARCH("rata-rata:",'Onshore - Sydney'!M58)),VALUE(MID('Onshore - Sydney'!M58,SEARCH("rata-rata:",'Onshore - Sydney'!M58)+11,FIND(";",'Onshore - Sydney'!M58&amp;";",SEARCH("rata-rata:",'Onshore - Sydney'!M58))-SEARCH("rata-rata:",'Onshore - Sydney'!M58)-11)),IF('Onshore - Sydney'!D58="Semester",'Onshore - Sydney'!E58*2,IF('Onshore - Sydney'!D58="Trimester",'Onshore - Sydney'!E58*3,IF('Onshore - Sydney'!D58="Term",'Onshore - Sydney'!E58*4,IF('Onshore - Sydney'!D58="Unit",'Onshore - Sydney'!E58*8,""))))))</f>
        <v>5400</v>
      </c>
      <c r="L1417" s="0" t="n">
        <f aca="false">IF(AND(ISNUMBER('Onshore - Sydney'!E58),ISNUMBER(K1417),ISNUMBER('Onshore - Sydney'!F58),ISNUMBER('Onshore - Sydney'!G58),OR('Onshore - Sydney'!F58&lt;&gt;0,ISNUMBER(SEARCH("Material 0 terverifikasi",'Onshore - Sydney'!M58))),OR('Onshore - Sydney'!G58&lt;&gt;0,ISNUMBER(SEARCH("Enrolment 0 terverifikasi",'Onshore - Sydney'!M58)))),1,0)</f>
        <v>1</v>
      </c>
      <c r="M1417" s="0" t="n">
        <f aca="false">IF(OR('Onshore - Sydney'!E58="",ISNUMBER(SEARCH("BSB80120",'Onshore - Sydney'!B58&amp;'Onshore - Sydney'!M58)),ISNUMBER(SEARCH("Management (Learning)",'Onshore - Sydney'!B58))),2,IF(ISNUMBER(SEARCH("CEK:",'Onshore - Sydney'!M58)),1,0))</f>
        <v>0</v>
      </c>
    </row>
    <row r="1418" customFormat="false" ht="15" hidden="false" customHeight="false" outlineLevel="0" collapsed="false">
      <c r="A1418" s="63" t="s">
        <v>3533</v>
      </c>
      <c r="B1418" s="64" t="s">
        <v>4297</v>
      </c>
      <c r="C1418" s="63" t="s">
        <v>42</v>
      </c>
      <c r="D1418" s="64" t="str">
        <f aca="false">TRIM(LEFT('Onshore - Sydney'!A584,FIND(CHAR(10),'Onshore - Sydney'!A584&amp;CHAR(10))-1))</f>
        <v>King's School of Culinary Arts</v>
      </c>
      <c r="E1418" s="63" t="str">
        <f aca="false">'Onshore - Sydney'!C593&amp;""</f>
        <v>156 weeks</v>
      </c>
      <c r="F1418" s="63" t="str">
        <f aca="false">IF('Onshore - Sydney'!D593="","Belum tercatat",'Onshore - Sydney'!D593)</f>
        <v>Term</v>
      </c>
      <c r="G1418" s="65" t="n">
        <f aca="false">IF('Onshore - Sydney'!E593="","-",'Onshore - Sydney'!E593)</f>
        <v>1500</v>
      </c>
      <c r="H1418" s="63" t="n">
        <f aca="false">IF(ISNUMBER(K1418),COUNTIFS($J$6:$J$1916,J1418,$K$6:$K$1916,"&lt;"&amp;K1418)+1,"-")</f>
        <v>2</v>
      </c>
      <c r="I1418" s="64" t="str">
        <f aca="false">IF('Onshore - Sydney'!E593="","Harga belum tersedia - hubungi konsultan TEG",IF(M1418=2,"Saat ini tidak menerima pendaftaran siswa internasional baru",IF(M1418=1,"Harga perlu dikonfirmasi ke sekolah"&amp;IF("Harga promo s.d. 31/12/2026"="","","; "&amp;"Harga promo s.d. 31/12/2026"),"Harga promo s.d. 31/12/2026")))</f>
        <v>Harga promo s.d. 31/12/2026</v>
      </c>
      <c r="J1418" s="0" t="s">
        <v>4360</v>
      </c>
      <c r="K1418" s="0" t="n">
        <f aca="false">IF(M1418=2,"",IF(ISNUMBER(SEARCH("rata-rata:",'Onshore - Sydney'!M593)),VALUE(MID('Onshore - Sydney'!M593,SEARCH("rata-rata:",'Onshore - Sydney'!M593)+11,FIND(";",'Onshore - Sydney'!M593&amp;";",SEARCH("rata-rata:",'Onshore - Sydney'!M593))-SEARCH("rata-rata:",'Onshore - Sydney'!M593)-11)),IF('Onshore - Sydney'!D593="Semester",'Onshore - Sydney'!E593*2,IF('Onshore - Sydney'!D593="Trimester",'Onshore - Sydney'!E593*3,IF('Onshore - Sydney'!D593="Term",'Onshore - Sydney'!E593*4,IF('Onshore - Sydney'!D593="Unit",'Onshore - Sydney'!E593*8,""))))))</f>
        <v>6000</v>
      </c>
      <c r="L1418" s="0" t="n">
        <f aca="false">IF(AND(ISNUMBER('Onshore - Sydney'!E593),ISNUMBER(K1418),ISNUMBER('Onshore - Sydney'!F593),ISNUMBER('Onshore - Sydney'!G593),OR('Onshore - Sydney'!F593&lt;&gt;0,ISNUMBER(SEARCH("Material 0 terverifikasi",'Onshore - Sydney'!M593))),OR('Onshore - Sydney'!G593&lt;&gt;0,ISNUMBER(SEARCH("Enrolment 0 terverifikasi",'Onshore - Sydney'!M593)))),1,0)</f>
        <v>1</v>
      </c>
      <c r="M1418" s="0" t="n">
        <f aca="false">IF(OR('Onshore - Sydney'!E593="",ISNUMBER(SEARCH("BSB80120",'Onshore - Sydney'!B593&amp;'Onshore - Sydney'!M593)),ISNUMBER(SEARCH("Management (Learning)",'Onshore - Sydney'!B593))),2,IF(ISNUMBER(SEARCH("CEK:",'Onshore - Sydney'!M593)),1,0))</f>
        <v>0</v>
      </c>
    </row>
    <row r="1419" customFormat="false" ht="15" hidden="false" customHeight="false" outlineLevel="0" collapsed="false">
      <c r="A1419" s="63" t="s">
        <v>3533</v>
      </c>
      <c r="B1419" s="64" t="s">
        <v>4297</v>
      </c>
      <c r="C1419" s="63" t="s">
        <v>42</v>
      </c>
      <c r="D1419" s="64" t="str">
        <f aca="false">TRIM(LEFT('Onshore - Sydney'!A624,FIND(CHAR(10),'Onshore - Sydney'!A624&amp;CHAR(10))-1))</f>
        <v>Le Rosey Hospitality Institute</v>
      </c>
      <c r="E1419" s="63" t="str">
        <f aca="false">'Onshore - Sydney'!C627&amp;""</f>
        <v>2,5 years</v>
      </c>
      <c r="F1419" s="63" t="str">
        <f aca="false">IF('Onshore - Sydney'!D627="","Belum tercatat",'Onshore - Sydney'!D627)</f>
        <v>Term</v>
      </c>
      <c r="G1419" s="65" t="n">
        <f aca="false">IF('Onshore - Sydney'!E627="","-",'Onshore - Sydney'!E627)</f>
        <v>1500</v>
      </c>
      <c r="H1419" s="63" t="n">
        <f aca="false">IF(ISNUMBER(K1419),COUNTIFS($J$6:$J$1916,J1419,$K$6:$K$1916,"&lt;"&amp;K1419)+1,"-")</f>
        <v>2</v>
      </c>
      <c r="I1419" s="64" t="str">
        <f aca="false">IF('Onshore - Sydney'!E627="","Harga belum tersedia - hubungi konsultan TEG",IF(M1419=2,"Saat ini tidak menerima pendaftaran siswa internasional baru",IF(M1419=1,"Harga perlu dikonfirmasi ke sekolah"&amp;IF(""="","","; "&amp;""),"")))</f>
        <v>Harga perlu dikonfirmasi ke sekolah</v>
      </c>
      <c r="J1419" s="0" t="s">
        <v>4360</v>
      </c>
      <c r="K1419" s="0" t="n">
        <f aca="false">IF(M1419=2,"",IF(ISNUMBER(SEARCH("rata-rata:",'Onshore - Sydney'!M627)),VALUE(MID('Onshore - Sydney'!M627,SEARCH("rata-rata:",'Onshore - Sydney'!M627)+11,FIND(";",'Onshore - Sydney'!M627&amp;";",SEARCH("rata-rata:",'Onshore - Sydney'!M627))-SEARCH("rata-rata:",'Onshore - Sydney'!M627)-11)),IF('Onshore - Sydney'!D627="Semester",'Onshore - Sydney'!E627*2,IF('Onshore - Sydney'!D627="Trimester",'Onshore - Sydney'!E627*3,IF('Onshore - Sydney'!D627="Term",'Onshore - Sydney'!E627*4,IF('Onshore - Sydney'!D627="Unit",'Onshore - Sydney'!E627*8,""))))))</f>
        <v>6000</v>
      </c>
      <c r="L1419" s="0" t="n">
        <f aca="false">IF(AND(ISNUMBER('Onshore - Sydney'!E627),ISNUMBER(K1419),ISNUMBER('Onshore - Sydney'!F627),ISNUMBER('Onshore - Sydney'!G627),OR('Onshore - Sydney'!F627&lt;&gt;0,ISNUMBER(SEARCH("Material 0 terverifikasi",'Onshore - Sydney'!M627))),OR('Onshore - Sydney'!G627&lt;&gt;0,ISNUMBER(SEARCH("Enrolment 0 terverifikasi",'Onshore - Sydney'!M627)))),1,0)</f>
        <v>1</v>
      </c>
      <c r="M1419" s="0" t="n">
        <f aca="false">IF(OR('Onshore - Sydney'!E627="",ISNUMBER(SEARCH("BSB80120",'Onshore - Sydney'!B627&amp;'Onshore - Sydney'!M627)),ISNUMBER(SEARCH("Management (Learning)",'Onshore - Sydney'!B627))),2,IF(ISNUMBER(SEARCH("CEK:",'Onshore - Sydney'!M627)),1,0))</f>
        <v>1</v>
      </c>
    </row>
    <row r="1420" customFormat="false" ht="15" hidden="false" customHeight="false" outlineLevel="0" collapsed="false">
      <c r="A1420" s="63" t="s">
        <v>3533</v>
      </c>
      <c r="B1420" s="64" t="s">
        <v>4297</v>
      </c>
      <c r="C1420" s="63" t="s">
        <v>42</v>
      </c>
      <c r="D1420" s="64" t="str">
        <f aca="false">TRIM(LEFT('Onshore - Sydney'!A1237,FIND(CHAR(10),'Onshore - Sydney'!A1237&amp;CHAR(10))-1))</f>
        <v>York Business Institute</v>
      </c>
      <c r="E1420" s="63" t="str">
        <f aca="false">'Onshore - Sydney'!C1243&amp;""</f>
        <v>4,5 years</v>
      </c>
      <c r="F1420" s="63" t="str">
        <f aca="false">IF('Onshore - Sydney'!D1243="","Belum tercatat",'Onshore - Sydney'!D1243)</f>
        <v>Term</v>
      </c>
      <c r="G1420" s="65" t="n">
        <f aca="false">IF('Onshore - Sydney'!E1243="","-",'Onshore - Sydney'!E1243)</f>
        <v>1500</v>
      </c>
      <c r="H1420" s="63" t="n">
        <f aca="false">IF(ISNUMBER(K1420),COUNTIFS($J$6:$J$1916,J1420,$K$6:$K$1916,"&lt;"&amp;K1420)+1,"-")</f>
        <v>2</v>
      </c>
      <c r="I1420" s="64" t="str">
        <f aca="false">IF('Onshore - Sydney'!E1243="","Harga belum tersedia - hubungi konsultan TEG",IF(M1420=2,"Saat ini tidak menerima pendaftaran siswa internasional baru",IF(M1420=1,"Harga perlu dikonfirmasi ke sekolah"&amp;IF(""="","","; "&amp;""),"")))</f>
        <v>Harga perlu dikonfirmasi ke sekolah</v>
      </c>
      <c r="J1420" s="0" t="s">
        <v>4360</v>
      </c>
      <c r="K1420" s="0" t="n">
        <f aca="false">IF(M1420=2,"",IF(ISNUMBER(SEARCH("rata-rata:",'Onshore - Sydney'!M1243)),VALUE(MID('Onshore - Sydney'!M1243,SEARCH("rata-rata:",'Onshore - Sydney'!M1243)+11,FIND(";",'Onshore - Sydney'!M1243&amp;";",SEARCH("rata-rata:",'Onshore - Sydney'!M1243))-SEARCH("rata-rata:",'Onshore - Sydney'!M1243)-11)),IF('Onshore - Sydney'!D1243="Semester",'Onshore - Sydney'!E1243*2,IF('Onshore - Sydney'!D1243="Trimester",'Onshore - Sydney'!E1243*3,IF('Onshore - Sydney'!D1243="Term",'Onshore - Sydney'!E1243*4,IF('Onshore - Sydney'!D1243="Unit",'Onshore - Sydney'!E1243*8,""))))))</f>
        <v>6000</v>
      </c>
      <c r="L1420" s="0" t="n">
        <f aca="false">IF(AND(ISNUMBER('Onshore - Sydney'!E1243),ISNUMBER(K1420),ISNUMBER('Onshore - Sydney'!F1243),ISNUMBER('Onshore - Sydney'!G1243),OR('Onshore - Sydney'!F1243&lt;&gt;0,ISNUMBER(SEARCH("Material 0 terverifikasi",'Onshore - Sydney'!M1243))),OR('Onshore - Sydney'!G1243&lt;&gt;0,ISNUMBER(SEARCH("Enrolment 0 terverifikasi",'Onshore - Sydney'!M1243)))),1,0)</f>
        <v>1</v>
      </c>
      <c r="M1420" s="0" t="n">
        <f aca="false">IF(OR('Onshore - Sydney'!E1243="",ISNUMBER(SEARCH("BSB80120",'Onshore - Sydney'!B1243&amp;'Onshore - Sydney'!M1243)),ISNUMBER(SEARCH("Management (Learning)",'Onshore - Sydney'!B1243))),2,IF(ISNUMBER(SEARCH("CEK:",'Onshore - Sydney'!M1243)),1,0))</f>
        <v>1</v>
      </c>
    </row>
    <row r="1421" customFormat="false" ht="15" hidden="false" customHeight="false" outlineLevel="0" collapsed="false">
      <c r="A1421" s="63" t="s">
        <v>3533</v>
      </c>
      <c r="B1421" s="64" t="s">
        <v>4297</v>
      </c>
      <c r="C1421" s="63" t="s">
        <v>42</v>
      </c>
      <c r="D1421" s="64" t="str">
        <f aca="false">TRIM(LEFT('Onshore - Sydney'!A527,FIND(CHAR(10),'Onshore - Sydney'!A527&amp;CHAR(10))-1))</f>
        <v>Hospitality Training Academy (HTA)</v>
      </c>
      <c r="E1421" s="63" t="str">
        <f aca="false">'Onshore - Sydney'!C528&amp;""</f>
        <v>2,5 years</v>
      </c>
      <c r="F1421" s="63" t="str">
        <f aca="false">IF('Onshore - Sydney'!D528="","Belum tercatat",'Onshore - Sydney'!D528)</f>
        <v>Term</v>
      </c>
      <c r="G1421" s="65" t="n">
        <f aca="false">IF('Onshore - Sydney'!E528="","-",'Onshore - Sydney'!E528)</f>
        <v>1535</v>
      </c>
      <c r="H1421" s="63" t="n">
        <f aca="false">IF(ISNUMBER(K1421),COUNTIFS($J$6:$J$1916,J1421,$K$6:$K$1916,"&lt;"&amp;K1421)+1,"-")</f>
        <v>5</v>
      </c>
      <c r="I1421" s="64" t="str">
        <f aca="false">IF('Onshore - Sydney'!E528="","Harga belum tersedia - hubungi konsultan TEG",IF(M1421=2,"Saat ini tidak menerima pendaftaran siswa internasional baru",IF(M1421=1,"Harga perlu dikonfirmasi ke sekolah"&amp;IF(""="","","; "&amp;""),"")))</f>
        <v/>
      </c>
      <c r="J1421" s="0" t="s">
        <v>4360</v>
      </c>
      <c r="K1421" s="0" t="n">
        <f aca="false">IF(M1421=2,"",IF(ISNUMBER(SEARCH("rata-rata:",'Onshore - Sydney'!M528)),VALUE(MID('Onshore - Sydney'!M528,SEARCH("rata-rata:",'Onshore - Sydney'!M528)+11,FIND(";",'Onshore - Sydney'!M528&amp;";",SEARCH("rata-rata:",'Onshore - Sydney'!M528))-SEARCH("rata-rata:",'Onshore - Sydney'!M528)-11)),IF('Onshore - Sydney'!D528="Semester",'Onshore - Sydney'!E528*2,IF('Onshore - Sydney'!D528="Trimester",'Onshore - Sydney'!E528*3,IF('Onshore - Sydney'!D528="Term",'Onshore - Sydney'!E528*4,IF('Onshore - Sydney'!D528="Unit",'Onshore - Sydney'!E528*8,""))))))</f>
        <v>6140</v>
      </c>
      <c r="L1421" s="0" t="n">
        <f aca="false">IF(AND(ISNUMBER('Onshore - Sydney'!E528),ISNUMBER(K1421),ISNUMBER('Onshore - Sydney'!F528),ISNUMBER('Onshore - Sydney'!G528),OR('Onshore - Sydney'!F528&lt;&gt;0,ISNUMBER(SEARCH("Material 0 terverifikasi",'Onshore - Sydney'!M528))),OR('Onshore - Sydney'!G528&lt;&gt;0,ISNUMBER(SEARCH("Enrolment 0 terverifikasi",'Onshore - Sydney'!M528)))),1,0)</f>
        <v>1</v>
      </c>
      <c r="M1421" s="0" t="n">
        <f aca="false">IF(OR('Onshore - Sydney'!E528="",ISNUMBER(SEARCH("BSB80120",'Onshore - Sydney'!B528&amp;'Onshore - Sydney'!M528)),ISNUMBER(SEARCH("Management (Learning)",'Onshore - Sydney'!B528))),2,IF(ISNUMBER(SEARCH("CEK:",'Onshore - Sydney'!M528)),1,0))</f>
        <v>0</v>
      </c>
    </row>
    <row r="1422" customFormat="false" ht="15" hidden="false" customHeight="false" outlineLevel="0" collapsed="false">
      <c r="A1422" s="63" t="s">
        <v>3533</v>
      </c>
      <c r="B1422" s="64" t="s">
        <v>4297</v>
      </c>
      <c r="C1422" s="63" t="s">
        <v>42</v>
      </c>
      <c r="D1422" s="64" t="str">
        <f aca="false">TRIM(LEFT('Onshore - Sydney'!A15,FIND(CHAR(10),'Onshore - Sydney'!A15&amp;CHAR(10))-1))</f>
        <v>ABM Further Education</v>
      </c>
      <c r="E1422" s="63" t="str">
        <f aca="false">'Onshore - Sydney'!C27&amp;""</f>
        <v>2 years</v>
      </c>
      <c r="F1422" s="63" t="str">
        <f aca="false">IF('Onshore - Sydney'!D27="","Belum tercatat",'Onshore - Sydney'!D27)</f>
        <v>Term</v>
      </c>
      <c r="G1422" s="65" t="n">
        <f aca="false">IF('Onshore - Sydney'!E27="","-",'Onshore - Sydney'!E27)</f>
        <v>1600</v>
      </c>
      <c r="H1422" s="63" t="n">
        <f aca="false">IF(ISNUMBER(K1422),COUNTIFS($J$6:$J$1916,J1422,$K$6:$K$1916,"&lt;"&amp;K1422)+1,"-")</f>
        <v>6</v>
      </c>
      <c r="I1422" s="64" t="str">
        <f aca="false">IF('Onshore - Sydney'!E27="","Harga belum tersedia - hubungi konsultan TEG",IF(M1422=2,"Saat ini tidak menerima pendaftaran siswa internasional baru",IF(M1422=1,"Harga perlu dikonfirmasi ke sekolah"&amp;IF(""="","","; "&amp;""),"")))</f>
        <v/>
      </c>
      <c r="J1422" s="0" t="s">
        <v>4360</v>
      </c>
      <c r="K1422" s="0" t="n">
        <f aca="false">IF(M1422=2,"",IF(ISNUMBER(SEARCH("rata-rata:",'Onshore - Sydney'!M27)),VALUE(MID('Onshore - Sydney'!M27,SEARCH("rata-rata:",'Onshore - Sydney'!M27)+11,FIND(";",'Onshore - Sydney'!M27&amp;";",SEARCH("rata-rata:",'Onshore - Sydney'!M27))-SEARCH("rata-rata:",'Onshore - Sydney'!M27)-11)),IF('Onshore - Sydney'!D27="Semester",'Onshore - Sydney'!E27*2,IF('Onshore - Sydney'!D27="Trimester",'Onshore - Sydney'!E27*3,IF('Onshore - Sydney'!D27="Term",'Onshore - Sydney'!E27*4,IF('Onshore - Sydney'!D27="Unit",'Onshore - Sydney'!E27*8,""))))))</f>
        <v>6400</v>
      </c>
      <c r="L1422" s="0" t="n">
        <f aca="false">IF(AND(ISNUMBER('Onshore - Sydney'!E27),ISNUMBER(K1422),ISNUMBER('Onshore - Sydney'!F27),ISNUMBER('Onshore - Sydney'!G27),OR('Onshore - Sydney'!F27&lt;&gt;0,ISNUMBER(SEARCH("Material 0 terverifikasi",'Onshore - Sydney'!M27))),OR('Onshore - Sydney'!G27&lt;&gt;0,ISNUMBER(SEARCH("Enrolment 0 terverifikasi",'Onshore - Sydney'!M27)))),1,0)</f>
        <v>1</v>
      </c>
      <c r="M1422" s="0" t="n">
        <f aca="false">IF(OR('Onshore - Sydney'!E27="",ISNUMBER(SEARCH("BSB80120",'Onshore - Sydney'!B27&amp;'Onshore - Sydney'!M27)),ISNUMBER(SEARCH("Management (Learning)",'Onshore - Sydney'!B27))),2,IF(ISNUMBER(SEARCH("CEK:",'Onshore - Sydney'!M27)),1,0))</f>
        <v>0</v>
      </c>
    </row>
    <row r="1423" customFormat="false" ht="15" hidden="false" customHeight="false" outlineLevel="0" collapsed="false">
      <c r="A1423" s="63" t="s">
        <v>3533</v>
      </c>
      <c r="B1423" s="64" t="s">
        <v>4297</v>
      </c>
      <c r="C1423" s="63" t="s">
        <v>42</v>
      </c>
      <c r="D1423" s="64" t="str">
        <f aca="false">TRIM(LEFT('Onshore - Sydney'!A1004,FIND(CHAR(10),'Onshore - Sydney'!A1004&amp;CHAR(10))-1))</f>
        <v>VIA Education</v>
      </c>
      <c r="E1423" s="63" t="str">
        <f aca="false">'Onshore - Sydney'!C1013&amp;""</f>
        <v>4,5 years</v>
      </c>
      <c r="F1423" s="63" t="str">
        <f aca="false">IF('Onshore - Sydney'!D1013="","Belum tercatat",'Onshore - Sydney'!D1013)</f>
        <v>Term</v>
      </c>
      <c r="G1423" s="65" t="n">
        <f aca="false">IF('Onshore - Sydney'!E1013="","-",'Onshore - Sydney'!E1013)</f>
        <v>1600</v>
      </c>
      <c r="H1423" s="63" t="n">
        <f aca="false">IF(ISNUMBER(K1423),COUNTIFS($J$6:$J$1916,J1423,$K$6:$K$1916,"&lt;"&amp;K1423)+1,"-")</f>
        <v>6</v>
      </c>
      <c r="I1423" s="64" t="str">
        <f aca="false">IF('Onshore - Sydney'!E1013="","Harga belum tersedia - hubungi konsultan TEG",IF(M1423=2,"Saat ini tidak menerima pendaftaran siswa internasional baru",IF(M1423=1,"Harga perlu dikonfirmasi ke sekolah"&amp;IF(""="","","; "&amp;""),"")))</f>
        <v/>
      </c>
      <c r="J1423" s="0" t="s">
        <v>4360</v>
      </c>
      <c r="K1423" s="0" t="n">
        <f aca="false">IF(M1423=2,"",IF(ISNUMBER(SEARCH("rata-rata:",'Onshore - Sydney'!M1013)),VALUE(MID('Onshore - Sydney'!M1013,SEARCH("rata-rata:",'Onshore - Sydney'!M1013)+11,FIND(";",'Onshore - Sydney'!M1013&amp;";",SEARCH("rata-rata:",'Onshore - Sydney'!M1013))-SEARCH("rata-rata:",'Onshore - Sydney'!M1013)-11)),IF('Onshore - Sydney'!D1013="Semester",'Onshore - Sydney'!E1013*2,IF('Onshore - Sydney'!D1013="Trimester",'Onshore - Sydney'!E1013*3,IF('Onshore - Sydney'!D1013="Term",'Onshore - Sydney'!E1013*4,IF('Onshore - Sydney'!D1013="Unit",'Onshore - Sydney'!E1013*8,""))))))</f>
        <v>6400</v>
      </c>
      <c r="L1423" s="0" t="n">
        <f aca="false">IF(AND(ISNUMBER('Onshore - Sydney'!E1013),ISNUMBER(K1423),ISNUMBER('Onshore - Sydney'!F1013),ISNUMBER('Onshore - Sydney'!G1013),OR('Onshore - Sydney'!F1013&lt;&gt;0,ISNUMBER(SEARCH("Material 0 terverifikasi",'Onshore - Sydney'!M1013))),OR('Onshore - Sydney'!G1013&lt;&gt;0,ISNUMBER(SEARCH("Enrolment 0 terverifikasi",'Onshore - Sydney'!M1013)))),1,0)</f>
        <v>1</v>
      </c>
      <c r="M1423" s="0" t="n">
        <f aca="false">IF(OR('Onshore - Sydney'!E1013="",ISNUMBER(SEARCH("BSB80120",'Onshore - Sydney'!B1013&amp;'Onshore - Sydney'!M1013)),ISNUMBER(SEARCH("Management (Learning)",'Onshore - Sydney'!B1013))),2,IF(ISNUMBER(SEARCH("CEK:",'Onshore - Sydney'!M1013)),1,0))</f>
        <v>0</v>
      </c>
    </row>
    <row r="1424" customFormat="false" ht="15" hidden="false" customHeight="false" outlineLevel="0" collapsed="false">
      <c r="A1424" s="63" t="s">
        <v>3533</v>
      </c>
      <c r="B1424" s="64" t="s">
        <v>4297</v>
      </c>
      <c r="C1424" s="63" t="s">
        <v>42</v>
      </c>
      <c r="D1424" s="64" t="str">
        <f aca="false">TRIM(LEFT('Onshore - Sydney'!A121,FIND(CHAR(10),'Onshore - Sydney'!A121&amp;CHAR(10))-1))</f>
        <v>Alliance College</v>
      </c>
      <c r="E1424" s="63" t="str">
        <f aca="false">'Onshore - Sydney'!C123&amp;""</f>
        <v>2 years</v>
      </c>
      <c r="F1424" s="63" t="str">
        <f aca="false">IF('Onshore - Sydney'!D123="","Belum tercatat",'Onshore - Sydney'!D123)</f>
        <v>Term</v>
      </c>
      <c r="G1424" s="65" t="n">
        <f aca="false">IF('Onshore - Sydney'!E123="","-",'Onshore - Sydney'!E123)</f>
        <v>1715</v>
      </c>
      <c r="H1424" s="63" t="n">
        <f aca="false">IF(ISNUMBER(K1424),COUNTIFS($J$6:$J$1916,J1424,$K$6:$K$1916,"&lt;"&amp;K1424)+1,"-")</f>
        <v>8</v>
      </c>
      <c r="I1424" s="64" t="str">
        <f aca="false">IF('Onshore - Sydney'!E123="","Harga belum tersedia - hubungi konsultan TEG",IF(M1424=2,"Saat ini tidak menerima pendaftaran siswa internasional baru",IF(M1424=1,"Harga perlu dikonfirmasi ke sekolah"&amp;IF(""="","","; "&amp;""),"")))</f>
        <v/>
      </c>
      <c r="J1424" s="0" t="s">
        <v>4360</v>
      </c>
      <c r="K1424" s="0" t="n">
        <f aca="false">IF(M1424=2,"",IF(ISNUMBER(SEARCH("rata-rata:",'Onshore - Sydney'!M123)),VALUE(MID('Onshore - Sydney'!M123,SEARCH("rata-rata:",'Onshore - Sydney'!M123)+11,FIND(";",'Onshore - Sydney'!M123&amp;";",SEARCH("rata-rata:",'Onshore - Sydney'!M123))-SEARCH("rata-rata:",'Onshore - Sydney'!M123)-11)),IF('Onshore - Sydney'!D123="Semester",'Onshore - Sydney'!E123*2,IF('Onshore - Sydney'!D123="Trimester",'Onshore - Sydney'!E123*3,IF('Onshore - Sydney'!D123="Term",'Onshore - Sydney'!E123*4,IF('Onshore - Sydney'!D123="Unit",'Onshore - Sydney'!E123*8,""))))))</f>
        <v>6860</v>
      </c>
      <c r="L1424" s="0" t="n">
        <f aca="false">IF(AND(ISNUMBER('Onshore - Sydney'!E123),ISNUMBER(K1424),ISNUMBER('Onshore - Sydney'!F123),ISNUMBER('Onshore - Sydney'!G123),OR('Onshore - Sydney'!F123&lt;&gt;0,ISNUMBER(SEARCH("Material 0 terverifikasi",'Onshore - Sydney'!M123))),OR('Onshore - Sydney'!G123&lt;&gt;0,ISNUMBER(SEARCH("Enrolment 0 terverifikasi",'Onshore - Sydney'!M123)))),1,0)</f>
        <v>1</v>
      </c>
      <c r="M1424" s="0" t="n">
        <f aca="false">IF(OR('Onshore - Sydney'!E123="",ISNUMBER(SEARCH("BSB80120",'Onshore - Sydney'!B123&amp;'Onshore - Sydney'!M123)),ISNUMBER(SEARCH("Management (Learning)",'Onshore - Sydney'!B123))),2,IF(ISNUMBER(SEARCH("CEK:",'Onshore - Sydney'!M123)),1,0))</f>
        <v>0</v>
      </c>
    </row>
    <row r="1425" customFormat="false" ht="15" hidden="false" customHeight="false" outlineLevel="0" collapsed="false">
      <c r="A1425" s="63" t="s">
        <v>3533</v>
      </c>
      <c r="B1425" s="64" t="s">
        <v>4297</v>
      </c>
      <c r="C1425" s="63" t="s">
        <v>42</v>
      </c>
      <c r="D1425" s="64" t="str">
        <f aca="false">TRIM(LEFT('Onshore - Sydney'!A313,FIND(CHAR(10),'Onshore - Sydney'!A313&amp;CHAR(10))-1))</f>
        <v>Australian Ideal College (AIC)</v>
      </c>
      <c r="E1425" s="63" t="str">
        <f aca="false">'Onshore - Sydney'!C322&amp;""</f>
        <v>3 years</v>
      </c>
      <c r="F1425" s="63" t="str">
        <f aca="false">IF('Onshore - Sydney'!D322="","Belum tercatat",'Onshore - Sydney'!D322)</f>
        <v>Term</v>
      </c>
      <c r="G1425" s="65" t="n">
        <f aca="false">IF('Onshore - Sydney'!E322="","-",'Onshore - Sydney'!E322)</f>
        <v>1750</v>
      </c>
      <c r="H1425" s="63" t="n">
        <f aca="false">IF(ISNUMBER(K1425),COUNTIFS($J$6:$J$1916,J1425,$K$6:$K$1916,"&lt;"&amp;K1425)+1,"-")</f>
        <v>9</v>
      </c>
      <c r="I1425" s="64" t="str">
        <f aca="false">IF('Onshore - Sydney'!E322="","Harga belum tersedia - hubungi konsultan TEG",IF(M1425=2,"Saat ini tidak menerima pendaftaran siswa internasional baru",IF(M1425=1,"Harga perlu dikonfirmasi ke sekolah"&amp;IF(""="","","; "&amp;""),"")))</f>
        <v/>
      </c>
      <c r="J1425" s="0" t="s">
        <v>4360</v>
      </c>
      <c r="K1425" s="0" t="n">
        <f aca="false">IF(M1425=2,"",IF(ISNUMBER(SEARCH("rata-rata:",'Onshore - Sydney'!M322)),VALUE(MID('Onshore - Sydney'!M322,SEARCH("rata-rata:",'Onshore - Sydney'!M322)+11,FIND(";",'Onshore - Sydney'!M322&amp;";",SEARCH("rata-rata:",'Onshore - Sydney'!M322))-SEARCH("rata-rata:",'Onshore - Sydney'!M322)-11)),IF('Onshore - Sydney'!D322="Semester",'Onshore - Sydney'!E322*2,IF('Onshore - Sydney'!D322="Trimester",'Onshore - Sydney'!E322*3,IF('Onshore - Sydney'!D322="Term",'Onshore - Sydney'!E322*4,IF('Onshore - Sydney'!D322="Unit",'Onshore - Sydney'!E322*8,""))))))</f>
        <v>7000</v>
      </c>
      <c r="L1425" s="0" t="n">
        <f aca="false">IF(AND(ISNUMBER('Onshore - Sydney'!E322),ISNUMBER(K1425),ISNUMBER('Onshore - Sydney'!F322),ISNUMBER('Onshore - Sydney'!G322),OR('Onshore - Sydney'!F322&lt;&gt;0,ISNUMBER(SEARCH("Material 0 terverifikasi",'Onshore - Sydney'!M322))),OR('Onshore - Sydney'!G322&lt;&gt;0,ISNUMBER(SEARCH("Enrolment 0 terverifikasi",'Onshore - Sydney'!M322)))),1,0)</f>
        <v>1</v>
      </c>
      <c r="M1425" s="0" t="n">
        <f aca="false">IF(OR('Onshore - Sydney'!E322="",ISNUMBER(SEARCH("BSB80120",'Onshore - Sydney'!B322&amp;'Onshore - Sydney'!M322)),ISNUMBER(SEARCH("Management (Learning)",'Onshore - Sydney'!B322))),2,IF(ISNUMBER(SEARCH("CEK:",'Onshore - Sydney'!M322)),1,0))</f>
        <v>0</v>
      </c>
    </row>
    <row r="1426" customFormat="false" ht="15" hidden="false" customHeight="false" outlineLevel="0" collapsed="false">
      <c r="A1426" s="63" t="s">
        <v>3533</v>
      </c>
      <c r="B1426" s="64" t="s">
        <v>4297</v>
      </c>
      <c r="C1426" s="63" t="s">
        <v>42</v>
      </c>
      <c r="D1426" s="64" t="str">
        <f aca="false">TRIM(LEFT('Onshore - Sydney'!A609,FIND(CHAR(10),'Onshore - Sydney'!A609&amp;CHAR(10))-1))</f>
        <v>Le Culinaire Hospitality Institute</v>
      </c>
      <c r="E1426" s="63" t="str">
        <f aca="false">'Onshore - Sydney'!C619&amp;""</f>
        <v>2,25 years (9 terms)</v>
      </c>
      <c r="F1426" s="63" t="str">
        <f aca="false">IF('Onshore - Sydney'!D619="","Belum tercatat",'Onshore - Sydney'!D619)</f>
        <v>Term</v>
      </c>
      <c r="G1426" s="65" t="n">
        <f aca="false">IF('Onshore - Sydney'!E619="","-",'Onshore - Sydney'!E619)</f>
        <v>1800</v>
      </c>
      <c r="H1426" s="63" t="n">
        <f aca="false">IF(ISNUMBER(K1426),COUNTIFS($J$6:$J$1916,J1426,$K$6:$K$1916,"&lt;"&amp;K1426)+1,"-")</f>
        <v>10</v>
      </c>
      <c r="I1426" s="64" t="str">
        <f aca="false">IF('Onshore - Sydney'!E619="","Harga belum tersedia - hubungi konsultan TEG",IF(M1426=2,"Saat ini tidak menerima pendaftaran siswa internasional baru",IF(M1426=1,"Harga perlu dikonfirmasi ke sekolah"&amp;IF(""="","","; "&amp;""),"")))</f>
        <v/>
      </c>
      <c r="J1426" s="0" t="s">
        <v>4360</v>
      </c>
      <c r="K1426" s="0" t="n">
        <f aca="false">IF(M1426=2,"",IF(ISNUMBER(SEARCH("rata-rata:",'Onshore - Sydney'!M619)),VALUE(MID('Onshore - Sydney'!M619,SEARCH("rata-rata:",'Onshore - Sydney'!M619)+11,FIND(";",'Onshore - Sydney'!M619&amp;";",SEARCH("rata-rata:",'Onshore - Sydney'!M619))-SEARCH("rata-rata:",'Onshore - Sydney'!M619)-11)),IF('Onshore - Sydney'!D619="Semester",'Onshore - Sydney'!E619*2,IF('Onshore - Sydney'!D619="Trimester",'Onshore - Sydney'!E619*3,IF('Onshore - Sydney'!D619="Term",'Onshore - Sydney'!E619*4,IF('Onshore - Sydney'!D619="Unit",'Onshore - Sydney'!E619*8,""))))))</f>
        <v>7200</v>
      </c>
      <c r="L1426" s="0" t="n">
        <f aca="false">IF(AND(ISNUMBER('Onshore - Sydney'!E619),ISNUMBER(K1426),ISNUMBER('Onshore - Sydney'!F619),ISNUMBER('Onshore - Sydney'!G619),OR('Onshore - Sydney'!F619&lt;&gt;0,ISNUMBER(SEARCH("Material 0 terverifikasi",'Onshore - Sydney'!M619))),OR('Onshore - Sydney'!G619&lt;&gt;0,ISNUMBER(SEARCH("Enrolment 0 terverifikasi",'Onshore - Sydney'!M619)))),1,0)</f>
        <v>1</v>
      </c>
      <c r="M1426" s="0" t="n">
        <f aca="false">IF(OR('Onshore - Sydney'!E619="",ISNUMBER(SEARCH("BSB80120",'Onshore - Sydney'!B619&amp;'Onshore - Sydney'!M619)),ISNUMBER(SEARCH("Management (Learning)",'Onshore - Sydney'!B619))),2,IF(ISNUMBER(SEARCH("CEK:",'Onshore - Sydney'!M619)),1,0))</f>
        <v>0</v>
      </c>
    </row>
    <row r="1427" customFormat="false" ht="15" hidden="false" customHeight="false" outlineLevel="0" collapsed="false">
      <c r="A1427" s="63" t="s">
        <v>3533</v>
      </c>
      <c r="B1427" s="64" t="s">
        <v>4297</v>
      </c>
      <c r="C1427" s="63" t="s">
        <v>42</v>
      </c>
      <c r="D1427" s="64" t="str">
        <f aca="false">TRIM(LEFT('Onshore - Sydney'!A495,FIND(CHAR(10),'Onshore - Sydney'!A495&amp;CHAR(10))-1))</f>
        <v>Greenwich College</v>
      </c>
      <c r="E1427" s="63" t="str">
        <f aca="false">'Onshore - Sydney'!C508&amp;""</f>
        <v>144 weeks</v>
      </c>
      <c r="F1427" s="63" t="str">
        <f aca="false">IF('Onshore - Sydney'!D508="","Belum tercatat",'Onshore - Sydney'!D508)</f>
        <v>Term</v>
      </c>
      <c r="G1427" s="65" t="n">
        <f aca="false">IF('Onshore - Sydney'!E508="","-",'Onshore - Sydney'!E508)</f>
        <v>1850</v>
      </c>
      <c r="H1427" s="63" t="n">
        <f aca="false">IF(ISNUMBER(K1427),COUNTIFS($J$6:$J$1916,J1427,$K$6:$K$1916,"&lt;"&amp;K1427)+1,"-")</f>
        <v>11</v>
      </c>
      <c r="I1427" s="64" t="str">
        <f aca="false">IF('Onshore - Sydney'!E508="","Harga belum tersedia - hubungi konsultan TEG",IF(M1427=2,"Saat ini tidak menerima pendaftaran siswa internasional baru",IF(M1427=1,"Harga perlu dikonfirmasi ke sekolah"&amp;IF(""="","","; "&amp;""),"")))</f>
        <v/>
      </c>
      <c r="J1427" s="0" t="s">
        <v>4360</v>
      </c>
      <c r="K1427" s="0" t="n">
        <f aca="false">IF(M1427=2,"",IF(ISNUMBER(SEARCH("rata-rata:",'Onshore - Sydney'!M508)),VALUE(MID('Onshore - Sydney'!M508,SEARCH("rata-rata:",'Onshore - Sydney'!M508)+11,FIND(";",'Onshore - Sydney'!M508&amp;";",SEARCH("rata-rata:",'Onshore - Sydney'!M508))-SEARCH("rata-rata:",'Onshore - Sydney'!M508)-11)),IF('Onshore - Sydney'!D508="Semester",'Onshore - Sydney'!E508*2,IF('Onshore - Sydney'!D508="Trimester",'Onshore - Sydney'!E508*3,IF('Onshore - Sydney'!D508="Term",'Onshore - Sydney'!E508*4,IF('Onshore - Sydney'!D508="Unit",'Onshore - Sydney'!E508*8,""))))))</f>
        <v>7400</v>
      </c>
      <c r="L1427" s="0" t="n">
        <f aca="false">IF(AND(ISNUMBER('Onshore - Sydney'!E508),ISNUMBER(K1427),ISNUMBER('Onshore - Sydney'!F508),ISNUMBER('Onshore - Sydney'!G508),OR('Onshore - Sydney'!F508&lt;&gt;0,ISNUMBER(SEARCH("Material 0 terverifikasi",'Onshore - Sydney'!M508))),OR('Onshore - Sydney'!G508&lt;&gt;0,ISNUMBER(SEARCH("Enrolment 0 terverifikasi",'Onshore - Sydney'!M508)))),1,0)</f>
        <v>1</v>
      </c>
      <c r="M1427" s="0" t="n">
        <f aca="false">IF(OR('Onshore - Sydney'!E508="",ISNUMBER(SEARCH("BSB80120",'Onshore - Sydney'!B508&amp;'Onshore - Sydney'!M508)),ISNUMBER(SEARCH("Management (Learning)",'Onshore - Sydney'!B508))),2,IF(ISNUMBER(SEARCH("CEK:",'Onshore - Sydney'!M508)),1,0))</f>
        <v>0</v>
      </c>
    </row>
    <row r="1428" customFormat="false" ht="15" hidden="false" customHeight="false" outlineLevel="0" collapsed="false">
      <c r="A1428" s="63" t="s">
        <v>3533</v>
      </c>
      <c r="B1428" s="64" t="s">
        <v>4297</v>
      </c>
      <c r="C1428" s="63" t="s">
        <v>42</v>
      </c>
      <c r="D1428" s="64" t="str">
        <f aca="false">TRIM(LEFT('Onshore - Sydney'!A1038,FIND(CHAR(10),'Onshore - Sydney'!A1038&amp;CHAR(10))-1))</f>
        <v>Wells International College (WIC)</v>
      </c>
      <c r="E1428" s="63" t="str">
        <f aca="false">'Onshore - Sydney'!C1039&amp;""</f>
        <v>3,5 years</v>
      </c>
      <c r="F1428" s="63" t="str">
        <f aca="false">IF('Onshore - Sydney'!D1039="","Belum tercatat",'Onshore - Sydney'!D1039)</f>
        <v>Term</v>
      </c>
      <c r="G1428" s="65" t="n">
        <f aca="false">IF('Onshore - Sydney'!E1039="","-",'Onshore - Sydney'!E1039)</f>
        <v>2000</v>
      </c>
      <c r="H1428" s="63" t="n">
        <f aca="false">IF(ISNUMBER(K1428),COUNTIFS($J$6:$J$1916,J1428,$K$6:$K$1916,"&lt;"&amp;K1428)+1,"-")</f>
        <v>12</v>
      </c>
      <c r="I1428" s="64" t="str">
        <f aca="false">IF('Onshore - Sydney'!E1039="","Harga belum tersedia - hubungi konsultan TEG",IF(M1428=2,"Saat ini tidak menerima pendaftaran siswa internasional baru",IF(M1428=1,"Harga perlu dikonfirmasi ke sekolah"&amp;IF(""="","","; "&amp;""),"")))</f>
        <v/>
      </c>
      <c r="J1428" s="0" t="s">
        <v>4360</v>
      </c>
      <c r="K1428" s="0" t="n">
        <f aca="false">IF(M1428=2,"",IF(ISNUMBER(SEARCH("rata-rata:",'Onshore - Sydney'!M1039)),VALUE(MID('Onshore - Sydney'!M1039,SEARCH("rata-rata:",'Onshore - Sydney'!M1039)+11,FIND(";",'Onshore - Sydney'!M1039&amp;";",SEARCH("rata-rata:",'Onshore - Sydney'!M1039))-SEARCH("rata-rata:",'Onshore - Sydney'!M1039)-11)),IF('Onshore - Sydney'!D1039="Semester",'Onshore - Sydney'!E1039*2,IF('Onshore - Sydney'!D1039="Trimester",'Onshore - Sydney'!E1039*3,IF('Onshore - Sydney'!D1039="Term",'Onshore - Sydney'!E1039*4,IF('Onshore - Sydney'!D1039="Unit",'Onshore - Sydney'!E1039*8,""))))))</f>
        <v>8000</v>
      </c>
      <c r="L1428" s="0" t="n">
        <f aca="false">IF(AND(ISNUMBER('Onshore - Sydney'!E1039),ISNUMBER(K1428),ISNUMBER('Onshore - Sydney'!F1039),ISNUMBER('Onshore - Sydney'!G1039),OR('Onshore - Sydney'!F1039&lt;&gt;0,ISNUMBER(SEARCH("Material 0 terverifikasi",'Onshore - Sydney'!M1039))),OR('Onshore - Sydney'!G1039&lt;&gt;0,ISNUMBER(SEARCH("Enrolment 0 terverifikasi",'Onshore - Sydney'!M1039)))),1,0)</f>
        <v>1</v>
      </c>
      <c r="M1428" s="0" t="n">
        <f aca="false">IF(OR('Onshore - Sydney'!E1039="",ISNUMBER(SEARCH("BSB80120",'Onshore - Sydney'!B1039&amp;'Onshore - Sydney'!M1039)),ISNUMBER(SEARCH("Management (Learning)",'Onshore - Sydney'!B1039))),2,IF(ISNUMBER(SEARCH("CEK:",'Onshore - Sydney'!M1039)),1,0))</f>
        <v>0</v>
      </c>
    </row>
    <row r="1429" customFormat="false" ht="15" hidden="false" customHeight="false" outlineLevel="0" collapsed="false">
      <c r="A1429" s="63" t="s">
        <v>3533</v>
      </c>
      <c r="B1429" s="64" t="s">
        <v>4297</v>
      </c>
      <c r="C1429" s="63" t="s">
        <v>42</v>
      </c>
      <c r="D1429" s="64" t="str">
        <f aca="false">TRIM(LEFT('Onshore - Sydney'!A104,FIND(CHAR(10),'Onshore - Sydney'!A104&amp;CHAR(10))-1))</f>
        <v>Albury College</v>
      </c>
      <c r="E1429" s="63" t="str">
        <f aca="false">'Onshore - Sydney'!C108&amp;""</f>
        <v>3 years</v>
      </c>
      <c r="F1429" s="63" t="str">
        <f aca="false">IF('Onshore - Sydney'!D108="","Belum tercatat",'Onshore - Sydney'!D108)</f>
        <v>Term</v>
      </c>
      <c r="G1429" s="65" t="n">
        <f aca="false">IF('Onshore - Sydney'!E108="","-",'Onshore - Sydney'!E108)</f>
        <v>2100</v>
      </c>
      <c r="H1429" s="63" t="n">
        <f aca="false">IF(ISNUMBER(K1429),COUNTIFS($J$6:$J$1916,J1429,$K$6:$K$1916,"&lt;"&amp;K1429)+1,"-")</f>
        <v>13</v>
      </c>
      <c r="I1429" s="64" t="str">
        <f aca="false">IF('Onshore - Sydney'!E108="","Harga belum tersedia - hubungi konsultan TEG",IF(M1429=2,"Saat ini tidak menerima pendaftaran siswa internasional baru",IF(M1429=1,"Harga perlu dikonfirmasi ke sekolah"&amp;IF(""="","","; "&amp;""),"")))</f>
        <v/>
      </c>
      <c r="J1429" s="0" t="s">
        <v>4360</v>
      </c>
      <c r="K1429" s="0" t="n">
        <f aca="false">IF(M1429=2,"",IF(ISNUMBER(SEARCH("rata-rata:",'Onshore - Sydney'!M108)),VALUE(MID('Onshore - Sydney'!M108,SEARCH("rata-rata:",'Onshore - Sydney'!M108)+11,FIND(";",'Onshore - Sydney'!M108&amp;";",SEARCH("rata-rata:",'Onshore - Sydney'!M108))-SEARCH("rata-rata:",'Onshore - Sydney'!M108)-11)),IF('Onshore - Sydney'!D108="Semester",'Onshore - Sydney'!E108*2,IF('Onshore - Sydney'!D108="Trimester",'Onshore - Sydney'!E108*3,IF('Onshore - Sydney'!D108="Term",'Onshore - Sydney'!E108*4,IF('Onshore - Sydney'!D108="Unit",'Onshore - Sydney'!E108*8,""))))))</f>
        <v>8400</v>
      </c>
      <c r="L1429" s="0" t="n">
        <f aca="false">IF(AND(ISNUMBER('Onshore - Sydney'!E108),ISNUMBER(K1429),ISNUMBER('Onshore - Sydney'!F108),ISNUMBER('Onshore - Sydney'!G108),OR('Onshore - Sydney'!F108&lt;&gt;0,ISNUMBER(SEARCH("Material 0 terverifikasi",'Onshore - Sydney'!M108))),OR('Onshore - Sydney'!G108&lt;&gt;0,ISNUMBER(SEARCH("Enrolment 0 terverifikasi",'Onshore - Sydney'!M108)))),1,0)</f>
        <v>1</v>
      </c>
      <c r="M1429" s="0" t="n">
        <f aca="false">IF(OR('Onshore - Sydney'!E108="",ISNUMBER(SEARCH("BSB80120",'Onshore - Sydney'!B108&amp;'Onshore - Sydney'!M108)),ISNUMBER(SEARCH("Management (Learning)",'Onshore - Sydney'!B108))),2,IF(ISNUMBER(SEARCH("CEK:",'Onshore - Sydney'!M108)),1,0))</f>
        <v>0</v>
      </c>
    </row>
    <row r="1430" customFormat="false" ht="15" hidden="false" customHeight="false" outlineLevel="0" collapsed="false">
      <c r="A1430" s="63" t="s">
        <v>3533</v>
      </c>
      <c r="B1430" s="64" t="s">
        <v>4297</v>
      </c>
      <c r="C1430" s="63" t="s">
        <v>42</v>
      </c>
      <c r="D1430" s="64" t="str">
        <f aca="false">TRIM(LEFT('Onshore - Sydney'!A778,FIND(CHAR(10),'Onshore - Sydney'!A778&amp;CHAR(10))-1))</f>
        <v>Sydney Metro College (SMC)</v>
      </c>
      <c r="E1430" s="63" t="str">
        <f aca="false">'Onshore - Sydney'!C779&amp;""</f>
        <v>2,5 years</v>
      </c>
      <c r="F1430" s="63" t="str">
        <f aca="false">IF('Onshore - Sydney'!D779="","Belum tercatat",'Onshore - Sydney'!D779)</f>
        <v>Term</v>
      </c>
      <c r="G1430" s="65" t="n">
        <f aca="false">IF('Onshore - Sydney'!E779="","-",'Onshore - Sydney'!E779)</f>
        <v>2200</v>
      </c>
      <c r="H1430" s="63" t="n">
        <f aca="false">IF(ISNUMBER(K1430),COUNTIFS($J$6:$J$1916,J1430,$K$6:$K$1916,"&lt;"&amp;K1430)+1,"-")</f>
        <v>14</v>
      </c>
      <c r="I1430" s="64" t="str">
        <f aca="false">IF('Onshore - Sydney'!E779="","Harga belum tersedia - hubungi konsultan TEG",IF(M1430=2,"Saat ini tidak menerima pendaftaran siswa internasional baru",IF(M1430=1,"Harga perlu dikonfirmasi ke sekolah"&amp;IF(""="","","; "&amp;""),"")))</f>
        <v/>
      </c>
      <c r="J1430" s="0" t="s">
        <v>4360</v>
      </c>
      <c r="K1430" s="0" t="n">
        <f aca="false">IF(M1430=2,"",IF(ISNUMBER(SEARCH("rata-rata:",'Onshore - Sydney'!M779)),VALUE(MID('Onshore - Sydney'!M779,SEARCH("rata-rata:",'Onshore - Sydney'!M779)+11,FIND(";",'Onshore - Sydney'!M779&amp;";",SEARCH("rata-rata:",'Onshore - Sydney'!M779))-SEARCH("rata-rata:",'Onshore - Sydney'!M779)-11)),IF('Onshore - Sydney'!D779="Semester",'Onshore - Sydney'!E779*2,IF('Onshore - Sydney'!D779="Trimester",'Onshore - Sydney'!E779*3,IF('Onshore - Sydney'!D779="Term",'Onshore - Sydney'!E779*4,IF('Onshore - Sydney'!D779="Unit",'Onshore - Sydney'!E779*8,""))))))</f>
        <v>8800</v>
      </c>
      <c r="L1430" s="0" t="n">
        <f aca="false">IF(AND(ISNUMBER('Onshore - Sydney'!E779),ISNUMBER(K1430),ISNUMBER('Onshore - Sydney'!F779),ISNUMBER('Onshore - Sydney'!G779),OR('Onshore - Sydney'!F779&lt;&gt;0,ISNUMBER(SEARCH("Material 0 terverifikasi",'Onshore - Sydney'!M779))),OR('Onshore - Sydney'!G779&lt;&gt;0,ISNUMBER(SEARCH("Enrolment 0 terverifikasi",'Onshore - Sydney'!M779)))),1,0)</f>
        <v>1</v>
      </c>
      <c r="M1430" s="0" t="n">
        <f aca="false">IF(OR('Onshore - Sydney'!E779="",ISNUMBER(SEARCH("BSB80120",'Onshore - Sydney'!B779&amp;'Onshore - Sydney'!M779)),ISNUMBER(SEARCH("Management (Learning)",'Onshore - Sydney'!B779))),2,IF(ISNUMBER(SEARCH("CEK:",'Onshore - Sydney'!M779)),1,0))</f>
        <v>0</v>
      </c>
    </row>
    <row r="1431" customFormat="false" ht="28.35" hidden="false" customHeight="false" outlineLevel="0" collapsed="false">
      <c r="A1431" s="63" t="s">
        <v>3533</v>
      </c>
      <c r="B1431" s="64" t="s">
        <v>4297</v>
      </c>
      <c r="C1431" s="63" t="s">
        <v>42</v>
      </c>
      <c r="D1431" s="64" t="str">
        <f aca="false">TRIM(LEFT('Onshore - Sydney'!A881,FIND(CHAR(10),'Onshore - Sydney'!A881&amp;CHAR(10))-1))</f>
        <v>TKL College (Training for Knowledge and Livelihood)</v>
      </c>
      <c r="E1431" s="63" t="str">
        <f aca="false">'Onshore - Sydney'!C886&amp;""</f>
        <v>5 years</v>
      </c>
      <c r="F1431" s="63" t="str">
        <f aca="false">IF('Onshore - Sydney'!D886="","Belum tercatat",'Onshore - Sydney'!D886)</f>
        <v>Term</v>
      </c>
      <c r="G1431" s="65" t="n">
        <f aca="false">IF('Onshore - Sydney'!E886="","-",'Onshore - Sydney'!E886)</f>
        <v>2250</v>
      </c>
      <c r="H1431" s="63" t="n">
        <f aca="false">IF(ISNUMBER(K1431),COUNTIFS($J$6:$J$1916,J1431,$K$6:$K$1916,"&lt;"&amp;K1431)+1,"-")</f>
        <v>15</v>
      </c>
      <c r="I1431" s="64" t="str">
        <f aca="false">IF('Onshore - Sydney'!E886="","Harga belum tersedia - hubungi konsultan TEG",IF(M1431=2,"Saat ini tidak menerima pendaftaran siswa internasional baru",IF(M1431=1,"Harga perlu dikonfirmasi ke sekolah"&amp;IF(""="","","; "&amp;""),"")))</f>
        <v/>
      </c>
      <c r="J1431" s="0" t="s">
        <v>4360</v>
      </c>
      <c r="K1431" s="0" t="n">
        <f aca="false">IF(M1431=2,"",IF(ISNUMBER(SEARCH("rata-rata:",'Onshore - Sydney'!M886)),VALUE(MID('Onshore - Sydney'!M886,SEARCH("rata-rata:",'Onshore - Sydney'!M886)+11,FIND(";",'Onshore - Sydney'!M886&amp;";",SEARCH("rata-rata:",'Onshore - Sydney'!M886))-SEARCH("rata-rata:",'Onshore - Sydney'!M886)-11)),IF('Onshore - Sydney'!D886="Semester",'Onshore - Sydney'!E886*2,IF('Onshore - Sydney'!D886="Trimester",'Onshore - Sydney'!E886*3,IF('Onshore - Sydney'!D886="Term",'Onshore - Sydney'!E886*4,IF('Onshore - Sydney'!D886="Unit",'Onshore - Sydney'!E886*8,""))))))</f>
        <v>9000</v>
      </c>
      <c r="L1431" s="0" t="n">
        <f aca="false">IF(AND(ISNUMBER('Onshore - Sydney'!E886),ISNUMBER(K1431),ISNUMBER('Onshore - Sydney'!F886),ISNUMBER('Onshore - Sydney'!G886),OR('Onshore - Sydney'!F886&lt;&gt;0,ISNUMBER(SEARCH("Material 0 terverifikasi",'Onshore - Sydney'!M886))),OR('Onshore - Sydney'!G886&lt;&gt;0,ISNUMBER(SEARCH("Enrolment 0 terverifikasi",'Onshore - Sydney'!M886)))),1,0)</f>
        <v>1</v>
      </c>
      <c r="M1431" s="0" t="n">
        <f aca="false">IF(OR('Onshore - Sydney'!E886="",ISNUMBER(SEARCH("BSB80120",'Onshore - Sydney'!B886&amp;'Onshore - Sydney'!M886)),ISNUMBER(SEARCH("Management (Learning)",'Onshore - Sydney'!B886))),2,IF(ISNUMBER(SEARCH("CEK:",'Onshore - Sydney'!M886)),1,0))</f>
        <v>0</v>
      </c>
    </row>
    <row r="1432" customFormat="false" ht="15" hidden="false" customHeight="false" outlineLevel="0" collapsed="false">
      <c r="A1432" s="63" t="s">
        <v>3533</v>
      </c>
      <c r="B1432" s="64" t="s">
        <v>4297</v>
      </c>
      <c r="C1432" s="63" t="s">
        <v>42</v>
      </c>
      <c r="D1432" s="64" t="str">
        <f aca="false">TRIM(LEFT('Onshore - Sydney'!A112,FIND(CHAR(10),'Onshore - Sydney'!A112&amp;CHAR(10))-1))</f>
        <v>Alice Springs College of Australia (ASCA)</v>
      </c>
      <c r="E1432" s="63" t="str">
        <f aca="false">'Onshore - Sydney'!C113&amp;""</f>
        <v>4,5 years</v>
      </c>
      <c r="F1432" s="63" t="str">
        <f aca="false">IF('Onshore - Sydney'!D113="","Belum tercatat",'Onshore - Sydney'!D113)</f>
        <v>Term</v>
      </c>
      <c r="G1432" s="65" t="n">
        <f aca="false">IF('Onshore - Sydney'!E113="","-",'Onshore - Sydney'!E113)</f>
        <v>2333</v>
      </c>
      <c r="H1432" s="63" t="n">
        <f aca="false">IF(ISNUMBER(K1432),COUNTIFS($J$6:$J$1916,J1432,$K$6:$K$1916,"&lt;"&amp;K1432)+1,"-")</f>
        <v>16</v>
      </c>
      <c r="I1432" s="64" t="str">
        <f aca="false">IF('Onshore - Sydney'!E113="","Harga belum tersedia - hubungi konsultan TEG",IF(M1432=2,"Saat ini tidak menerima pendaftaran siswa internasional baru",IF(M1432=1,"Harga perlu dikonfirmasi ke sekolah"&amp;IF(""="","","; "&amp;""),"")))</f>
        <v/>
      </c>
      <c r="J1432" s="0" t="s">
        <v>4360</v>
      </c>
      <c r="K1432" s="0" t="n">
        <f aca="false">IF(M1432=2,"",IF(ISNUMBER(SEARCH("rata-rata:",'Onshore - Sydney'!M113)),VALUE(MID('Onshore - Sydney'!M113,SEARCH("rata-rata:",'Onshore - Sydney'!M113)+11,FIND(";",'Onshore - Sydney'!M113&amp;";",SEARCH("rata-rata:",'Onshore - Sydney'!M113))-SEARCH("rata-rata:",'Onshore - Sydney'!M113)-11)),IF('Onshore - Sydney'!D113="Semester",'Onshore - Sydney'!E113*2,IF('Onshore - Sydney'!D113="Trimester",'Onshore - Sydney'!E113*3,IF('Onshore - Sydney'!D113="Term",'Onshore - Sydney'!E113*4,IF('Onshore - Sydney'!D113="Unit",'Onshore - Sydney'!E113*8,""))))))</f>
        <v>9332</v>
      </c>
      <c r="L1432" s="0" t="n">
        <f aca="false">IF(AND(ISNUMBER('Onshore - Sydney'!E113),ISNUMBER(K1432),ISNUMBER('Onshore - Sydney'!F113),ISNUMBER('Onshore - Sydney'!G113),OR('Onshore - Sydney'!F113&lt;&gt;0,ISNUMBER(SEARCH("Material 0 terverifikasi",'Onshore - Sydney'!M113))),OR('Onshore - Sydney'!G113&lt;&gt;0,ISNUMBER(SEARCH("Enrolment 0 terverifikasi",'Onshore - Sydney'!M113)))),1,0)</f>
        <v>1</v>
      </c>
      <c r="M1432" s="0" t="n">
        <f aca="false">IF(OR('Onshore - Sydney'!E113="",ISNUMBER(SEARCH("BSB80120",'Onshore - Sydney'!B113&amp;'Onshore - Sydney'!M113)),ISNUMBER(SEARCH("Management (Learning)",'Onshore - Sydney'!B113))),2,IF(ISNUMBER(SEARCH("CEK:",'Onshore - Sydney'!M113)),1,0))</f>
        <v>0</v>
      </c>
    </row>
    <row r="1433" customFormat="false" ht="15" hidden="false" customHeight="false" outlineLevel="0" collapsed="false">
      <c r="A1433" s="63" t="s">
        <v>3533</v>
      </c>
      <c r="B1433" s="64" t="s">
        <v>4297</v>
      </c>
      <c r="C1433" s="63" t="s">
        <v>42</v>
      </c>
      <c r="D1433" s="64" t="str">
        <f aca="false">TRIM(LEFT('Onshore - Sydney'!A454,FIND(CHAR(10),'Onshore - Sydney'!A454&amp;CHAR(10))-1))</f>
        <v>Evolution Hospitality Institute</v>
      </c>
      <c r="E1433" s="63" t="str">
        <f aca="false">'Onshore - Sydney'!C463&amp;""</f>
        <v>2,5 years</v>
      </c>
      <c r="F1433" s="63" t="str">
        <f aca="false">IF('Onshore - Sydney'!D463="","Belum tercatat",'Onshore - Sydney'!D463)</f>
        <v>Term</v>
      </c>
      <c r="G1433" s="65" t="n">
        <f aca="false">IF('Onshore - Sydney'!E463="","-",'Onshore - Sydney'!E463)</f>
        <v>2550</v>
      </c>
      <c r="H1433" s="63" t="n">
        <f aca="false">IF(ISNUMBER(K1433),COUNTIFS($J$6:$J$1916,J1433,$K$6:$K$1916,"&lt;"&amp;K1433)+1,"-")</f>
        <v>17</v>
      </c>
      <c r="I1433" s="64" t="str">
        <f aca="false">IF('Onshore - Sydney'!E463="","Harga belum tersedia - hubungi konsultan TEG",IF(M1433=2,"Saat ini tidak menerima pendaftaran siswa internasional baru",IF(M1433=1,"Harga perlu dikonfirmasi ke sekolah"&amp;IF(""="","","; "&amp;""),"")))</f>
        <v/>
      </c>
      <c r="J1433" s="0" t="s">
        <v>4360</v>
      </c>
      <c r="K1433" s="0" t="n">
        <f aca="false">IF(M1433=2,"",IF(ISNUMBER(SEARCH("rata-rata:",'Onshore - Sydney'!M463)),VALUE(MID('Onshore - Sydney'!M463,SEARCH("rata-rata:",'Onshore - Sydney'!M463)+11,FIND(";",'Onshore - Sydney'!M463&amp;";",SEARCH("rata-rata:",'Onshore - Sydney'!M463))-SEARCH("rata-rata:",'Onshore - Sydney'!M463)-11)),IF('Onshore - Sydney'!D463="Semester",'Onshore - Sydney'!E463*2,IF('Onshore - Sydney'!D463="Trimester",'Onshore - Sydney'!E463*3,IF('Onshore - Sydney'!D463="Term",'Onshore - Sydney'!E463*4,IF('Onshore - Sydney'!D463="Unit",'Onshore - Sydney'!E463*8,""))))))</f>
        <v>10200</v>
      </c>
      <c r="L1433" s="0" t="n">
        <f aca="false">IF(AND(ISNUMBER('Onshore - Sydney'!E463),ISNUMBER(K1433),ISNUMBER('Onshore - Sydney'!F463),ISNUMBER('Onshore - Sydney'!G463),OR('Onshore - Sydney'!F463&lt;&gt;0,ISNUMBER(SEARCH("Material 0 terverifikasi",'Onshore - Sydney'!M463))),OR('Onshore - Sydney'!G463&lt;&gt;0,ISNUMBER(SEARCH("Enrolment 0 terverifikasi",'Onshore - Sydney'!M463)))),1,0)</f>
        <v>1</v>
      </c>
      <c r="M1433" s="0" t="n">
        <f aca="false">IF(OR('Onshore - Sydney'!E463="",ISNUMBER(SEARCH("BSB80120",'Onshore - Sydney'!B463&amp;'Onshore - Sydney'!M463)),ISNUMBER(SEARCH("Management (Learning)",'Onshore - Sydney'!B463))),2,IF(ISNUMBER(SEARCH("CEK:",'Onshore - Sydney'!M463)),1,0))</f>
        <v>0</v>
      </c>
    </row>
    <row r="1434" customFormat="false" ht="15" hidden="false" customHeight="false" outlineLevel="0" collapsed="false">
      <c r="A1434" s="63" t="s">
        <v>3533</v>
      </c>
      <c r="B1434" s="64" t="s">
        <v>4297</v>
      </c>
      <c r="C1434" s="63" t="s">
        <v>42</v>
      </c>
      <c r="D1434" s="64" t="str">
        <f aca="false">TRIM(LEFT('Onshore - Sydney'!A389,FIND(CHAR(10),'Onshore - Sydney'!A389&amp;CHAR(10))-1))</f>
        <v>Capstone Institute of Australia (CIA)</v>
      </c>
      <c r="E1434" s="63" t="str">
        <f aca="false">'Onshore - Sydney'!C390&amp;""</f>
        <v>3 years</v>
      </c>
      <c r="F1434" s="63" t="str">
        <f aca="false">IF('Onshore - Sydney'!D390="","Belum tercatat",'Onshore - Sydney'!D390)</f>
        <v>Term</v>
      </c>
      <c r="G1434" s="65" t="n">
        <f aca="false">IF('Onshore - Sydney'!E390="","-",'Onshore - Sydney'!E390)</f>
        <v>2600</v>
      </c>
      <c r="H1434" s="63" t="n">
        <f aca="false">IF(ISNUMBER(K1434),COUNTIFS($J$6:$J$1916,J1434,$K$6:$K$1916,"&lt;"&amp;K1434)+1,"-")</f>
        <v>18</v>
      </c>
      <c r="I1434" s="64" t="str">
        <f aca="false">IF('Onshore - Sydney'!E390="","Harga belum tersedia - hubungi konsultan TEG",IF(M1434=2,"Saat ini tidak menerima pendaftaran siswa internasional baru",IF(M1434=1,"Harga perlu dikonfirmasi ke sekolah"&amp;IF(""="","","; "&amp;""),"")))</f>
        <v>Harga perlu dikonfirmasi ke sekolah</v>
      </c>
      <c r="J1434" s="0" t="s">
        <v>4360</v>
      </c>
      <c r="K1434" s="0" t="n">
        <f aca="false">IF(M1434=2,"",IF(ISNUMBER(SEARCH("rata-rata:",'Onshore - Sydney'!M390)),VALUE(MID('Onshore - Sydney'!M390,SEARCH("rata-rata:",'Onshore - Sydney'!M390)+11,FIND(";",'Onshore - Sydney'!M390&amp;";",SEARCH("rata-rata:",'Onshore - Sydney'!M390))-SEARCH("rata-rata:",'Onshore - Sydney'!M390)-11)),IF('Onshore - Sydney'!D390="Semester",'Onshore - Sydney'!E390*2,IF('Onshore - Sydney'!D390="Trimester",'Onshore - Sydney'!E390*3,IF('Onshore - Sydney'!D390="Term",'Onshore - Sydney'!E390*4,IF('Onshore - Sydney'!D390="Unit",'Onshore - Sydney'!E390*8,""))))))</f>
        <v>10400</v>
      </c>
      <c r="L1434" s="0" t="n">
        <f aca="false">IF(AND(ISNUMBER('Onshore - Sydney'!E390),ISNUMBER(K1434),ISNUMBER('Onshore - Sydney'!F390),ISNUMBER('Onshore - Sydney'!G390),OR('Onshore - Sydney'!F390&lt;&gt;0,ISNUMBER(SEARCH("Material 0 terverifikasi",'Onshore - Sydney'!M390))),OR('Onshore - Sydney'!G390&lt;&gt;0,ISNUMBER(SEARCH("Enrolment 0 terverifikasi",'Onshore - Sydney'!M390)))),1,0)</f>
        <v>1</v>
      </c>
      <c r="M1434" s="0" t="n">
        <f aca="false">IF(OR('Onshore - Sydney'!E390="",ISNUMBER(SEARCH("BSB80120",'Onshore - Sydney'!B390&amp;'Onshore - Sydney'!M390)),ISNUMBER(SEARCH("Management (Learning)",'Onshore - Sydney'!B390))),2,IF(ISNUMBER(SEARCH("CEK:",'Onshore - Sydney'!M390)),1,0))</f>
        <v>1</v>
      </c>
    </row>
    <row r="1435" customFormat="false" ht="28.35" hidden="false" customHeight="false" outlineLevel="0" collapsed="false">
      <c r="A1435" s="63" t="s">
        <v>3533</v>
      </c>
      <c r="B1435" s="64" t="s">
        <v>4297</v>
      </c>
      <c r="C1435" s="63" t="s">
        <v>42</v>
      </c>
      <c r="D1435" s="64" t="str">
        <f aca="false">TRIM(LEFT('Onshore - Sydney'!A542,FIND(CHAR(10),'Onshore - Sydney'!A542&amp;CHAR(10))-1))</f>
        <v>International Institute of Business and Technology (IIBT)</v>
      </c>
      <c r="E1435" s="63" t="str">
        <f aca="false">'Onshore - Sydney'!C543&amp;""</f>
        <v>2,5 years</v>
      </c>
      <c r="F1435" s="63" t="str">
        <f aca="false">IF('Onshore - Sydney'!D543="","Belum tercatat",'Onshore - Sydney'!D543)</f>
        <v>Term</v>
      </c>
      <c r="G1435" s="65" t="n">
        <f aca="false">IF('Onshore - Sydney'!E543="","-",'Onshore - Sydney'!E543)</f>
        <v>2800</v>
      </c>
      <c r="H1435" s="63" t="n">
        <f aca="false">IF(ISNUMBER(K1435),COUNTIFS($J$6:$J$1916,J1435,$K$6:$K$1916,"&lt;"&amp;K1435)+1,"-")</f>
        <v>19</v>
      </c>
      <c r="I1435" s="64" t="str">
        <f aca="false">IF('Onshore - Sydney'!E543="","Harga belum tersedia - hubungi konsultan TEG",IF(M1435=2,"Saat ini tidak menerima pendaftaran siswa internasional baru",IF(M1435=1,"Harga perlu dikonfirmasi ke sekolah"&amp;IF(""="","","; "&amp;""),"")))</f>
        <v/>
      </c>
      <c r="J1435" s="0" t="s">
        <v>4360</v>
      </c>
      <c r="K1435" s="0" t="n">
        <f aca="false">IF(M1435=2,"",IF(ISNUMBER(SEARCH("rata-rata:",'Onshore - Sydney'!M543)),VALUE(MID('Onshore - Sydney'!M543,SEARCH("rata-rata:",'Onshore - Sydney'!M543)+11,FIND(";",'Onshore - Sydney'!M543&amp;";",SEARCH("rata-rata:",'Onshore - Sydney'!M543))-SEARCH("rata-rata:",'Onshore - Sydney'!M543)-11)),IF('Onshore - Sydney'!D543="Semester",'Onshore - Sydney'!E543*2,IF('Onshore - Sydney'!D543="Trimester",'Onshore - Sydney'!E543*3,IF('Onshore - Sydney'!D543="Term",'Onshore - Sydney'!E543*4,IF('Onshore - Sydney'!D543="Unit",'Onshore - Sydney'!E543*8,""))))))</f>
        <v>11200</v>
      </c>
      <c r="L1435" s="0" t="n">
        <f aca="false">IF(AND(ISNUMBER('Onshore - Sydney'!E543),ISNUMBER(K1435),ISNUMBER('Onshore - Sydney'!F543),ISNUMBER('Onshore - Sydney'!G543),OR('Onshore - Sydney'!F543&lt;&gt;0,ISNUMBER(SEARCH("Material 0 terverifikasi",'Onshore - Sydney'!M543))),OR('Onshore - Sydney'!G543&lt;&gt;0,ISNUMBER(SEARCH("Enrolment 0 terverifikasi",'Onshore - Sydney'!M543)))),1,0)</f>
        <v>1</v>
      </c>
      <c r="M1435" s="0" t="n">
        <f aca="false">IF(OR('Onshore - Sydney'!E543="",ISNUMBER(SEARCH("BSB80120",'Onshore - Sydney'!B543&amp;'Onshore - Sydney'!M543)),ISNUMBER(SEARCH("Management (Learning)",'Onshore - Sydney'!B543))),2,IF(ISNUMBER(SEARCH("CEK:",'Onshore - Sydney'!M543)),1,0))</f>
        <v>0</v>
      </c>
    </row>
    <row r="1436" customFormat="false" ht="28.35" hidden="false" customHeight="false" outlineLevel="0" collapsed="false">
      <c r="A1436" s="63" t="s">
        <v>3533</v>
      </c>
      <c r="B1436" s="64" t="s">
        <v>4297</v>
      </c>
      <c r="C1436" s="63" t="s">
        <v>42</v>
      </c>
      <c r="D1436" s="64" t="str">
        <f aca="false">TRIM(LEFT('Onshore - Sydney'!A299,FIND(CHAR(10),'Onshore - Sydney'!A299&amp;CHAR(10))-1))</f>
        <v>Australian Harbour International College (AHIC)</v>
      </c>
      <c r="E1436" s="63" t="str">
        <f aca="false">'Onshore - Sydney'!C309&amp;""</f>
        <v>5 years</v>
      </c>
      <c r="F1436" s="63" t="str">
        <f aca="false">IF('Onshore - Sydney'!D309="","Belum tercatat",'Onshore - Sydney'!D309)</f>
        <v>Term</v>
      </c>
      <c r="G1436" s="65" t="n">
        <f aca="false">IF('Onshore - Sydney'!E309="","-",'Onshore - Sydney'!E309)</f>
        <v>3000</v>
      </c>
      <c r="H1436" s="63" t="n">
        <f aca="false">IF(ISNUMBER(K1436),COUNTIFS($J$6:$J$1916,J1436,$K$6:$K$1916,"&lt;"&amp;K1436)+1,"-")</f>
        <v>20</v>
      </c>
      <c r="I1436" s="64" t="str">
        <f aca="false">IF('Onshore - Sydney'!E309="","Harga belum tersedia - hubungi konsultan TEG",IF(M1436=2,"Saat ini tidak menerima pendaftaran siswa internasional baru",IF(M1436=1,"Harga perlu dikonfirmasi ke sekolah"&amp;IF(""="","","; "&amp;""),"")))</f>
        <v/>
      </c>
      <c r="J1436" s="0" t="s">
        <v>4360</v>
      </c>
      <c r="K1436" s="0" t="n">
        <f aca="false">IF(M1436=2,"",IF(ISNUMBER(SEARCH("rata-rata:",'Onshore - Sydney'!M309)),VALUE(MID('Onshore - Sydney'!M309,SEARCH("rata-rata:",'Onshore - Sydney'!M309)+11,FIND(";",'Onshore - Sydney'!M309&amp;";",SEARCH("rata-rata:",'Onshore - Sydney'!M309))-SEARCH("rata-rata:",'Onshore - Sydney'!M309)-11)),IF('Onshore - Sydney'!D309="Semester",'Onshore - Sydney'!E309*2,IF('Onshore - Sydney'!D309="Trimester",'Onshore - Sydney'!E309*3,IF('Onshore - Sydney'!D309="Term",'Onshore - Sydney'!E309*4,IF('Onshore - Sydney'!D309="Unit",'Onshore - Sydney'!E309*8,""))))))</f>
        <v>12000</v>
      </c>
      <c r="L1436" s="0" t="n">
        <f aca="false">IF(AND(ISNUMBER('Onshore - Sydney'!E309),ISNUMBER(K1436),ISNUMBER('Onshore - Sydney'!F309),ISNUMBER('Onshore - Sydney'!G309),OR('Onshore - Sydney'!F309&lt;&gt;0,ISNUMBER(SEARCH("Material 0 terverifikasi",'Onshore - Sydney'!M309))),OR('Onshore - Sydney'!G309&lt;&gt;0,ISNUMBER(SEARCH("Enrolment 0 terverifikasi",'Onshore - Sydney'!M309)))),1,0)</f>
        <v>1</v>
      </c>
      <c r="M1436" s="0" t="n">
        <f aca="false">IF(OR('Onshore - Sydney'!E309="",ISNUMBER(SEARCH("BSB80120",'Onshore - Sydney'!B309&amp;'Onshore - Sydney'!M309)),ISNUMBER(SEARCH("Management (Learning)",'Onshore - Sydney'!B309))),2,IF(ISNUMBER(SEARCH("CEK:",'Onshore - Sydney'!M309)),1,0))</f>
        <v>0</v>
      </c>
    </row>
    <row r="1437" customFormat="false" ht="15" hidden="false" customHeight="false" outlineLevel="0" collapsed="false">
      <c r="A1437" s="63" t="s">
        <v>3533</v>
      </c>
      <c r="B1437" s="64" t="s">
        <v>4297</v>
      </c>
      <c r="C1437" s="63" t="s">
        <v>42</v>
      </c>
      <c r="D1437" s="64" t="str">
        <f aca="false">TRIM(LEFT('Onshore - Sydney'!A1047,FIND(CHAR(10),'Onshore - Sydney'!A1047&amp;CHAR(10))-1))</f>
        <v>Western Sydney College (WSC)</v>
      </c>
      <c r="E1437" s="63" t="str">
        <f aca="false">'Onshore - Sydney'!C1057&amp;""</f>
        <v>3.5 years</v>
      </c>
      <c r="F1437" s="63" t="str">
        <f aca="false">IF('Onshore - Sydney'!D1057="","Belum tercatat",'Onshore - Sydney'!D1057)</f>
        <v>Term</v>
      </c>
      <c r="G1437" s="65" t="n">
        <f aca="false">IF('Onshore - Sydney'!E1057="","-",'Onshore - Sydney'!E1057)</f>
        <v>3250</v>
      </c>
      <c r="H1437" s="63" t="n">
        <f aca="false">IF(ISNUMBER(K1437),COUNTIFS($J$6:$J$1916,J1437,$K$6:$K$1916,"&lt;"&amp;K1437)+1,"-")</f>
        <v>21</v>
      </c>
      <c r="I1437" s="64" t="str">
        <f aca="false">IF('Onshore - Sydney'!E1057="","Harga belum tersedia - hubungi konsultan TEG",IF(M1437=2,"Saat ini tidak menerima pendaftaran siswa internasional baru",IF(M1437=1,"Program perlu dikonfirmasi ketersediaannya"&amp;IF(""="","","; "&amp;""),"")))</f>
        <v>Program perlu dikonfirmasi ketersediaannya</v>
      </c>
      <c r="J1437" s="0" t="s">
        <v>4360</v>
      </c>
      <c r="K1437" s="0" t="n">
        <f aca="false">IF(M1437=2,"",IF(ISNUMBER(SEARCH("rata-rata:",'Onshore - Sydney'!M1057)),VALUE(MID('Onshore - Sydney'!M1057,SEARCH("rata-rata:",'Onshore - Sydney'!M1057)+11,FIND(";",'Onshore - Sydney'!M1057&amp;";",SEARCH("rata-rata:",'Onshore - Sydney'!M1057))-SEARCH("rata-rata:",'Onshore - Sydney'!M1057)-11)),IF('Onshore - Sydney'!D1057="Semester",'Onshore - Sydney'!E1057*2,IF('Onshore - Sydney'!D1057="Trimester",'Onshore - Sydney'!E1057*3,IF('Onshore - Sydney'!D1057="Term",'Onshore - Sydney'!E1057*4,IF('Onshore - Sydney'!D1057="Unit",'Onshore - Sydney'!E1057*8,""))))))</f>
        <v>13000</v>
      </c>
      <c r="L1437" s="0" t="n">
        <f aca="false">IF(AND(ISNUMBER('Onshore - Sydney'!E1057),ISNUMBER(K1437),ISNUMBER('Onshore - Sydney'!F1057),ISNUMBER('Onshore - Sydney'!G1057),OR('Onshore - Sydney'!F1057&lt;&gt;0,ISNUMBER(SEARCH("Material 0 terverifikasi",'Onshore - Sydney'!M1057))),OR('Onshore - Sydney'!G1057&lt;&gt;0,ISNUMBER(SEARCH("Enrolment 0 terverifikasi",'Onshore - Sydney'!M1057)))),1,0)</f>
        <v>1</v>
      </c>
      <c r="M1437" s="0" t="n">
        <f aca="false">IF(OR('Onshore - Sydney'!E1057="",ISNUMBER(SEARCH("BSB80120",'Onshore - Sydney'!B1057&amp;'Onshore - Sydney'!M1057)),ISNUMBER(SEARCH("Management (Learning)",'Onshore - Sydney'!B1057))),2,IF(ISNUMBER(SEARCH("CEK:",'Onshore - Sydney'!M1057)),1,0))</f>
        <v>1</v>
      </c>
    </row>
    <row r="1438" customFormat="false" ht="15" hidden="false" customHeight="false" outlineLevel="0" collapsed="false">
      <c r="A1438" s="63" t="s">
        <v>3533</v>
      </c>
      <c r="B1438" s="64" t="s">
        <v>4297</v>
      </c>
      <c r="C1438" s="63" t="s">
        <v>42</v>
      </c>
      <c r="D1438" s="64" t="str">
        <f aca="false">TRIM(LEFT('Onshore - Sydney'!A1231,FIND(CHAR(10),'Onshore - Sydney'!A1231&amp;CHAR(10))-1))</f>
        <v>William Angliss Institute</v>
      </c>
      <c r="E1438" s="63" t="str">
        <f aca="false">'Onshore - Sydney'!C1232&amp;""</f>
        <v>2,5 years</v>
      </c>
      <c r="F1438" s="63" t="str">
        <f aca="false">IF('Onshore - Sydney'!D1232="","Belum tercatat",'Onshore - Sydney'!D1232)</f>
        <v>Term</v>
      </c>
      <c r="G1438" s="65" t="n">
        <f aca="false">IF('Onshore - Sydney'!E1232="","-",'Onshore - Sydney'!E1232)</f>
        <v>4200</v>
      </c>
      <c r="H1438" s="63" t="n">
        <f aca="false">IF(ISNUMBER(K1438),COUNTIFS($J$6:$J$1916,J1438,$K$6:$K$1916,"&lt;"&amp;K1438)+1,"-")</f>
        <v>22</v>
      </c>
      <c r="I1438" s="64" t="str">
        <f aca="false">IF('Onshore - Sydney'!E1232="","Harga belum tersedia - hubungi konsultan TEG",IF(M1438=2,"Saat ini tidak menerima pendaftaran siswa internasional baru",IF(M1438=1,"Harga perlu dikonfirmasi ke sekolah"&amp;IF(""="","","; "&amp;""),"")))</f>
        <v>Harga perlu dikonfirmasi ke sekolah</v>
      </c>
      <c r="J1438" s="0" t="s">
        <v>4360</v>
      </c>
      <c r="K1438" s="0" t="n">
        <f aca="false">IF(M1438=2,"",IF(ISNUMBER(SEARCH("rata-rata:",'Onshore - Sydney'!M1232)),VALUE(MID('Onshore - Sydney'!M1232,SEARCH("rata-rata:",'Onshore - Sydney'!M1232)+11,FIND(";",'Onshore - Sydney'!M1232&amp;";",SEARCH("rata-rata:",'Onshore - Sydney'!M1232))-SEARCH("rata-rata:",'Onshore - Sydney'!M1232)-11)),IF('Onshore - Sydney'!D1232="Semester",'Onshore - Sydney'!E1232*2,IF('Onshore - Sydney'!D1232="Trimester",'Onshore - Sydney'!E1232*3,IF('Onshore - Sydney'!D1232="Term",'Onshore - Sydney'!E1232*4,IF('Onshore - Sydney'!D1232="Unit",'Onshore - Sydney'!E1232*8,""))))))</f>
        <v>16800</v>
      </c>
      <c r="L1438" s="0" t="n">
        <f aca="false">IF(AND(ISNUMBER('Onshore - Sydney'!E1232),ISNUMBER(K1438),ISNUMBER('Onshore - Sydney'!F1232),ISNUMBER('Onshore - Sydney'!G1232),OR('Onshore - Sydney'!F1232&lt;&gt;0,ISNUMBER(SEARCH("Material 0 terverifikasi",'Onshore - Sydney'!M1232))),OR('Onshore - Sydney'!G1232&lt;&gt;0,ISNUMBER(SEARCH("Enrolment 0 terverifikasi",'Onshore - Sydney'!M1232)))),1,0)</f>
        <v>1</v>
      </c>
      <c r="M1438" s="0" t="n">
        <f aca="false">IF(OR('Onshore - Sydney'!E1232="",ISNUMBER(SEARCH("BSB80120",'Onshore - Sydney'!B1232&amp;'Onshore - Sydney'!M1232)),ISNUMBER(SEARCH("Management (Learning)",'Onshore - Sydney'!B1232))),2,IF(ISNUMBER(SEARCH("CEK:",'Onshore - Sydney'!M1232)),1,0))</f>
        <v>1</v>
      </c>
    </row>
    <row r="1439" customFormat="false" ht="15" hidden="false" customHeight="false" outlineLevel="0" collapsed="false">
      <c r="A1439" s="63" t="s">
        <v>3533</v>
      </c>
      <c r="B1439" s="64" t="s">
        <v>4297</v>
      </c>
      <c r="C1439" s="63" t="s">
        <v>42</v>
      </c>
      <c r="D1439" s="64" t="str">
        <f aca="false">TRIM(LEFT('Onshore - Sydney'!A759,FIND(CHAR(10),'Onshore - Sydney'!A759&amp;CHAR(10))-1))</f>
        <v>Sydney City College of Management</v>
      </c>
      <c r="E1439" s="63" t="str">
        <f aca="false">'Onshore - Sydney'!C762&amp;""</f>
        <v>2,5 years</v>
      </c>
      <c r="F1439" s="63" t="str">
        <f aca="false">IF('Onshore - Sydney'!D762="","Belum tercatat",'Onshore - Sydney'!D762)</f>
        <v>Term</v>
      </c>
      <c r="G1439" s="65" t="n">
        <f aca="false">IF('Onshore - Sydney'!E762="","-",'Onshore - Sydney'!E762)</f>
        <v>4300</v>
      </c>
      <c r="H1439" s="63" t="n">
        <f aca="false">IF(ISNUMBER(K1439),COUNTIFS($J$6:$J$1916,J1439,$K$6:$K$1916,"&lt;"&amp;K1439)+1,"-")</f>
        <v>23</v>
      </c>
      <c r="I1439" s="64" t="str">
        <f aca="false">IF('Onshore - Sydney'!E762="","Harga belum tersedia - hubungi konsultan TEG",IF(M1439=2,"Saat ini tidak menerima pendaftaran siswa internasional baru",IF(M1439=1,"Harga perlu dikonfirmasi ke sekolah"&amp;IF(""="","","; "&amp;""),"")))</f>
        <v/>
      </c>
      <c r="J1439" s="0" t="s">
        <v>4360</v>
      </c>
      <c r="K1439" s="0" t="n">
        <f aca="false">IF(M1439=2,"",IF(ISNUMBER(SEARCH("rata-rata:",'Onshore - Sydney'!M762)),VALUE(MID('Onshore - Sydney'!M762,SEARCH("rata-rata:",'Onshore - Sydney'!M762)+11,FIND(";",'Onshore - Sydney'!M762&amp;";",SEARCH("rata-rata:",'Onshore - Sydney'!M762))-SEARCH("rata-rata:",'Onshore - Sydney'!M762)-11)),IF('Onshore - Sydney'!D762="Semester",'Onshore - Sydney'!E762*2,IF('Onshore - Sydney'!D762="Trimester",'Onshore - Sydney'!E762*3,IF('Onshore - Sydney'!D762="Term",'Onshore - Sydney'!E762*4,IF('Onshore - Sydney'!D762="Unit",'Onshore - Sydney'!E762*8,""))))))</f>
        <v>17200</v>
      </c>
      <c r="L1439" s="0" t="n">
        <f aca="false">IF(AND(ISNUMBER('Onshore - Sydney'!E762),ISNUMBER(K1439),ISNUMBER('Onshore - Sydney'!F762),ISNUMBER('Onshore - Sydney'!G762),OR('Onshore - Sydney'!F762&lt;&gt;0,ISNUMBER(SEARCH("Material 0 terverifikasi",'Onshore - Sydney'!M762))),OR('Onshore - Sydney'!G762&lt;&gt;0,ISNUMBER(SEARCH("Enrolment 0 terverifikasi",'Onshore - Sydney'!M762)))),1,0)</f>
        <v>1</v>
      </c>
      <c r="M1439" s="0" t="n">
        <f aca="false">IF(OR('Onshore - Sydney'!E762="",ISNUMBER(SEARCH("BSB80120",'Onshore - Sydney'!B762&amp;'Onshore - Sydney'!M762)),ISNUMBER(SEARCH("Management (Learning)",'Onshore - Sydney'!B762))),2,IF(ISNUMBER(SEARCH("CEK:",'Onshore - Sydney'!M762)),1,0))</f>
        <v>0</v>
      </c>
    </row>
    <row r="1440" customFormat="false" ht="15" hidden="false" customHeight="false" outlineLevel="0" collapsed="false">
      <c r="A1440" s="63" t="s">
        <v>3533</v>
      </c>
      <c r="B1440" s="64" t="s">
        <v>4297</v>
      </c>
      <c r="C1440" s="63" t="s">
        <v>42</v>
      </c>
      <c r="D1440" s="64" t="str">
        <f aca="false">TRIM(LEFT('Onshore - Sydney'!A529,FIND(CHAR(10),'Onshore - Sydney'!A529&amp;CHAR(10))-1))</f>
        <v>Hunter Education Group</v>
      </c>
      <c r="E1440" s="63" t="str">
        <f aca="false">'Onshore - Sydney'!C534&amp;""</f>
        <v>2,5 years</v>
      </c>
      <c r="F1440" s="63" t="str">
        <f aca="false">IF('Onshore - Sydney'!D534="","Belum tercatat",'Onshore - Sydney'!D534)</f>
        <v>Term</v>
      </c>
      <c r="G1440" s="65" t="n">
        <f aca="false">IF('Onshore - Sydney'!E534="","-",'Onshore - Sydney'!E534)</f>
        <v>4500</v>
      </c>
      <c r="H1440" s="63" t="n">
        <f aca="false">IF(ISNUMBER(K1440),COUNTIFS($J$6:$J$1916,J1440,$K$6:$K$1916,"&lt;"&amp;K1440)+1,"-")</f>
        <v>24</v>
      </c>
      <c r="I1440" s="64" t="str">
        <f aca="false">IF('Onshore - Sydney'!E534="","Harga belum tersedia - hubungi konsultan TEG",IF(M1440=2,"Saat ini tidak menerima pendaftaran siswa internasional baru",IF(M1440=1,"Program perlu dikonfirmasi ketersediaannya"&amp;IF(""="","","; "&amp;""),"")))</f>
        <v>Program perlu dikonfirmasi ketersediaannya</v>
      </c>
      <c r="J1440" s="0" t="s">
        <v>4360</v>
      </c>
      <c r="K1440" s="0" t="n">
        <f aca="false">IF(M1440=2,"",IF(ISNUMBER(SEARCH("rata-rata:",'Onshore - Sydney'!M534)),VALUE(MID('Onshore - Sydney'!M534,SEARCH("rata-rata:",'Onshore - Sydney'!M534)+11,FIND(";",'Onshore - Sydney'!M534&amp;";",SEARCH("rata-rata:",'Onshore - Sydney'!M534))-SEARCH("rata-rata:",'Onshore - Sydney'!M534)-11)),IF('Onshore - Sydney'!D534="Semester",'Onshore - Sydney'!E534*2,IF('Onshore - Sydney'!D534="Trimester",'Onshore - Sydney'!E534*3,IF('Onshore - Sydney'!D534="Term",'Onshore - Sydney'!E534*4,IF('Onshore - Sydney'!D534="Unit",'Onshore - Sydney'!E534*8,""))))))</f>
        <v>18000</v>
      </c>
      <c r="L1440" s="0" t="n">
        <f aca="false">IF(AND(ISNUMBER('Onshore - Sydney'!E534),ISNUMBER(K1440),ISNUMBER('Onshore - Sydney'!F534),ISNUMBER('Onshore - Sydney'!G534),OR('Onshore - Sydney'!F534&lt;&gt;0,ISNUMBER(SEARCH("Material 0 terverifikasi",'Onshore - Sydney'!M534))),OR('Onshore - Sydney'!G534&lt;&gt;0,ISNUMBER(SEARCH("Enrolment 0 terverifikasi",'Onshore - Sydney'!M534)))),1,0)</f>
        <v>0</v>
      </c>
      <c r="M1440" s="0" t="n">
        <f aca="false">IF(OR('Onshore - Sydney'!E534="",ISNUMBER(SEARCH("BSB80120",'Onshore - Sydney'!B534&amp;'Onshore - Sydney'!M534)),ISNUMBER(SEARCH("Management (Learning)",'Onshore - Sydney'!B534))),2,IF(ISNUMBER(SEARCH("CEK:",'Onshore - Sydney'!M534)),1,0))</f>
        <v>1</v>
      </c>
    </row>
    <row r="1441" customFormat="false" ht="15" hidden="false" customHeight="false" outlineLevel="0" collapsed="false">
      <c r="A1441" s="63" t="s">
        <v>3533</v>
      </c>
      <c r="B1441" s="64" t="s">
        <v>4297</v>
      </c>
      <c r="C1441" s="63" t="s">
        <v>42</v>
      </c>
      <c r="D1441" s="64" t="str">
        <f aca="false">TRIM(LEFT('Onshore - Sydney'!A597,FIND(CHAR(10),'Onshore - Sydney'!A597&amp;CHAR(10))-1))</f>
        <v>Le Cordon Bleu Australia</v>
      </c>
      <c r="E1441" s="63" t="str">
        <f aca="false">'Onshore - Sydney'!C599&amp;""</f>
        <v>0,5 year</v>
      </c>
      <c r="F1441" s="63" t="str">
        <f aca="false">IF('Onshore - Sydney'!D599="","Belum tercatat",'Onshore - Sydney'!D599)</f>
        <v>Term</v>
      </c>
      <c r="G1441" s="65" t="n">
        <f aca="false">IF('Onshore - Sydney'!E599="","-",'Onshore - Sydney'!E599)</f>
        <v>7298.5</v>
      </c>
      <c r="H1441" s="63" t="n">
        <f aca="false">IF(ISNUMBER(K1441),COUNTIFS($J$6:$J$1916,J1441,$K$6:$K$1916,"&lt;"&amp;K1441)+1,"-")</f>
        <v>25</v>
      </c>
      <c r="I1441" s="64" t="str">
        <f aca="false">IF('Onshore - Sydney'!E599="","Harga belum tersedia - hubungi konsultan TEG",IF(M1441=2,"Saat ini tidak menerima pendaftaran siswa internasional baru",IF(M1441=1,"Harga perlu dikonfirmasi ke sekolah"&amp;IF(""="","","; "&amp;""),"")))</f>
        <v/>
      </c>
      <c r="J1441" s="0" t="s">
        <v>4360</v>
      </c>
      <c r="K1441" s="0" t="n">
        <f aca="false">IF(M1441=2,"",IF(ISNUMBER(SEARCH("rata-rata:",'Onshore - Sydney'!M599)),VALUE(MID('Onshore - Sydney'!M599,SEARCH("rata-rata:",'Onshore - Sydney'!M599)+11,FIND(";",'Onshore - Sydney'!M599&amp;";",SEARCH("rata-rata:",'Onshore - Sydney'!M599))-SEARCH("rata-rata:",'Onshore - Sydney'!M599)-11)),IF('Onshore - Sydney'!D599="Semester",'Onshore - Sydney'!E599*2,IF('Onshore - Sydney'!D599="Trimester",'Onshore - Sydney'!E599*3,IF('Onshore - Sydney'!D599="Term",'Onshore - Sydney'!E599*4,IF('Onshore - Sydney'!D599="Unit",'Onshore - Sydney'!E599*8,""))))))</f>
        <v>29194</v>
      </c>
      <c r="L1441" s="0" t="n">
        <f aca="false">IF(AND(ISNUMBER('Onshore - Sydney'!E599),ISNUMBER(K1441),ISNUMBER('Onshore - Sydney'!F599),ISNUMBER('Onshore - Sydney'!G599),OR('Onshore - Sydney'!F599&lt;&gt;0,ISNUMBER(SEARCH("Material 0 terverifikasi",'Onshore - Sydney'!M599))),OR('Onshore - Sydney'!G599&lt;&gt;0,ISNUMBER(SEARCH("Enrolment 0 terverifikasi",'Onshore - Sydney'!M599)))),1,0)</f>
        <v>0</v>
      </c>
      <c r="M1441" s="0" t="n">
        <f aca="false">IF(OR('Onshore - Sydney'!E599="",ISNUMBER(SEARCH("BSB80120",'Onshore - Sydney'!B599&amp;'Onshore - Sydney'!M599)),ISNUMBER(SEARCH("Management (Learning)",'Onshore - Sydney'!B599))),2,IF(ISNUMBER(SEARCH("CEK:",'Onshore - Sydney'!M599)),1,0))</f>
        <v>0</v>
      </c>
    </row>
    <row r="1442" customFormat="false" ht="15" hidden="false" customHeight="false" outlineLevel="0" collapsed="false">
      <c r="A1442" s="61" t="s">
        <v>4361</v>
      </c>
      <c r="B1442" s="62"/>
      <c r="C1442" s="62"/>
      <c r="D1442" s="62"/>
      <c r="E1442" s="62"/>
      <c r="F1442" s="62"/>
      <c r="G1442" s="62"/>
      <c r="H1442" s="62"/>
      <c r="I1442" s="62"/>
    </row>
    <row r="1443" customFormat="false" ht="15" hidden="false" customHeight="false" outlineLevel="0" collapsed="false">
      <c r="A1443" s="63" t="s">
        <v>3533</v>
      </c>
      <c r="B1443" s="64" t="s">
        <v>4297</v>
      </c>
      <c r="C1443" s="63" t="s">
        <v>43</v>
      </c>
      <c r="D1443" s="64" t="str">
        <f aca="false">TRIM(LEFT('Onshore - Sydney'!A796,FIND(CHAR(10),'Onshore - Sydney'!A796&amp;CHAR(10))-1))</f>
        <v>TAFE NSW</v>
      </c>
      <c r="E1443" s="63" t="str">
        <f aca="false">'Onshore - Sydney'!C810&amp;""</f>
        <v>2 years</v>
      </c>
      <c r="F1443" s="63" t="str">
        <f aca="false">IF('Onshore - Sydney'!D810="","Belum tercatat",'Onshore - Sydney'!D810)</f>
        <v>Term</v>
      </c>
      <c r="G1443" s="65" t="n">
        <f aca="false">IF('Onshore - Sydney'!E810="","-",'Onshore - Sydney'!E810)</f>
        <v>4340</v>
      </c>
      <c r="H1443" s="63" t="n">
        <f aca="false">IF(ISNUMBER(K1443),COUNTIFS($J$6:$J$1916,J1443,$K$6:$K$1916,"&lt;"&amp;K1443)+1,"-")</f>
        <v>1</v>
      </c>
      <c r="I1443" s="64" t="str">
        <f aca="false">IF('Onshore - Sydney'!E810="","Harga belum tersedia - hubungi konsultan TEG",IF(M1443=2,"Saat ini tidak menerima pendaftaran siswa internasional baru",IF(M1443=1,"Harga perlu dikonfirmasi ke sekolah"&amp;IF(""="","","; "&amp;""),"")))</f>
        <v/>
      </c>
      <c r="J1443" s="0" t="s">
        <v>4362</v>
      </c>
      <c r="K1443" s="0" t="n">
        <f aca="false">IF(M1443=2,"",IF(ISNUMBER(SEARCH("rata-rata:",'Onshore - Sydney'!M810)),VALUE(MID('Onshore - Sydney'!M810,SEARCH("rata-rata:",'Onshore - Sydney'!M810)+11,FIND(";",'Onshore - Sydney'!M810&amp;";",SEARCH("rata-rata:",'Onshore - Sydney'!M810))-SEARCH("rata-rata:",'Onshore - Sydney'!M810)-11)),IF('Onshore - Sydney'!D810="Semester",'Onshore - Sydney'!E810*2,IF('Onshore - Sydney'!D810="Trimester",'Onshore - Sydney'!E810*3,IF('Onshore - Sydney'!D810="Term",'Onshore - Sydney'!E810*4,IF('Onshore - Sydney'!D810="Unit",'Onshore - Sydney'!E810*8,""))))))</f>
        <v>17360</v>
      </c>
      <c r="L1443" s="0" t="n">
        <f aca="false">IF(AND(ISNUMBER('Onshore - Sydney'!E810),ISNUMBER(K1443),ISNUMBER('Onshore - Sydney'!F810),ISNUMBER('Onshore - Sydney'!G810),OR('Onshore - Sydney'!F810&lt;&gt;0,ISNUMBER(SEARCH("Material 0 terverifikasi",'Onshore - Sydney'!M810))),OR('Onshore - Sydney'!G810&lt;&gt;0,ISNUMBER(SEARCH("Enrolment 0 terverifikasi",'Onshore - Sydney'!M810)))),1,0)</f>
        <v>0</v>
      </c>
      <c r="M1443" s="0" t="n">
        <f aca="false">IF(OR('Onshore - Sydney'!E810="",ISNUMBER(SEARCH("BSB80120",'Onshore - Sydney'!B810&amp;'Onshore - Sydney'!M810)),ISNUMBER(SEARCH("Management (Learning)",'Onshore - Sydney'!B810))),2,IF(ISNUMBER(SEARCH("CEK:",'Onshore - Sydney'!M810)),1,0))</f>
        <v>0</v>
      </c>
    </row>
    <row r="1444" customFormat="false" ht="15" hidden="false" customHeight="false" outlineLevel="0" collapsed="false">
      <c r="A1444" s="63" t="s">
        <v>3533</v>
      </c>
      <c r="B1444" s="64" t="s">
        <v>4297</v>
      </c>
      <c r="C1444" s="63" t="s">
        <v>43</v>
      </c>
      <c r="D1444" s="64" t="str">
        <f aca="false">TRIM(LEFT('Onshore - Sydney'!A567,FIND(CHAR(10),'Onshore - Sydney'!A567&amp;CHAR(10))-1))</f>
        <v>Kent Institute Australia</v>
      </c>
      <c r="E1444" s="63" t="str">
        <f aca="false">'Onshore - Sydney'!C571&amp;""</f>
        <v>3 years</v>
      </c>
      <c r="F1444" s="63" t="str">
        <f aca="false">IF('Onshore - Sydney'!D571="","Belum tercatat",'Onshore - Sydney'!D571)</f>
        <v>Trimester</v>
      </c>
      <c r="G1444" s="65" t="n">
        <f aca="false">IF('Onshore - Sydney'!E571="","-",'Onshore - Sydney'!E571)</f>
        <v>5800</v>
      </c>
      <c r="H1444" s="63" t="n">
        <f aca="false">IF(ISNUMBER(K1444),COUNTIFS($J$6:$J$1916,J1444,$K$6:$K$1916,"&lt;"&amp;K1444)+1,"-")</f>
        <v>2</v>
      </c>
      <c r="I1444" s="64" t="str">
        <f aca="false">IF('Onshore - Sydney'!E571="","Harga belum tersedia - hubungi konsultan TEG",IF(M1444=2,"Saat ini tidak menerima pendaftaran siswa internasional baru",IF(M1444=1,"Harga perlu dikonfirmasi ke sekolah"&amp;IF(""="","","; "&amp;""),"")))</f>
        <v>Harga perlu dikonfirmasi ke sekolah</v>
      </c>
      <c r="J1444" s="0" t="s">
        <v>4362</v>
      </c>
      <c r="K1444" s="0" t="n">
        <f aca="false">IF(M1444=2,"",IF(ISNUMBER(SEARCH("rata-rata:",'Onshore - Sydney'!M571)),VALUE(MID('Onshore - Sydney'!M571,SEARCH("rata-rata:",'Onshore - Sydney'!M571)+11,FIND(";",'Onshore - Sydney'!M571&amp;";",SEARCH("rata-rata:",'Onshore - Sydney'!M571))-SEARCH("rata-rata:",'Onshore - Sydney'!M571)-11)),IF('Onshore - Sydney'!D571="Semester",'Onshore - Sydney'!E571*2,IF('Onshore - Sydney'!D571="Trimester",'Onshore - Sydney'!E571*3,IF('Onshore - Sydney'!D571="Term",'Onshore - Sydney'!E571*4,IF('Onshore - Sydney'!D571="Unit",'Onshore - Sydney'!E571*8,""))))))</f>
        <v>17400</v>
      </c>
      <c r="L1444" s="0" t="n">
        <f aca="false">IF(AND(ISNUMBER('Onshore - Sydney'!E571),ISNUMBER(K1444),ISNUMBER('Onshore - Sydney'!F571),ISNUMBER('Onshore - Sydney'!G571),OR('Onshore - Sydney'!F571&lt;&gt;0,ISNUMBER(SEARCH("Material 0 terverifikasi",'Onshore - Sydney'!M571))),OR('Onshore - Sydney'!G571&lt;&gt;0,ISNUMBER(SEARCH("Enrolment 0 terverifikasi",'Onshore - Sydney'!M571)))),1,0)</f>
        <v>0</v>
      </c>
      <c r="M1444" s="0" t="n">
        <f aca="false">IF(OR('Onshore - Sydney'!E571="",ISNUMBER(SEARCH("BSB80120",'Onshore - Sydney'!B571&amp;'Onshore - Sydney'!M571)),ISNUMBER(SEARCH("Management (Learning)",'Onshore - Sydney'!B571))),2,IF(ISNUMBER(SEARCH("CEK:",'Onshore - Sydney'!M571)),1,0))</f>
        <v>1</v>
      </c>
    </row>
    <row r="1445" customFormat="false" ht="15" hidden="false" customHeight="false" outlineLevel="0" collapsed="false">
      <c r="A1445" s="63" t="s">
        <v>3533</v>
      </c>
      <c r="B1445" s="64" t="s">
        <v>4297</v>
      </c>
      <c r="C1445" s="63" t="s">
        <v>43</v>
      </c>
      <c r="D1445" s="64" t="str">
        <f aca="false">TRIM(LEFT('Onshore - Sydney'!A50,FIND(CHAR(10),'Onshore - Sydney'!A50&amp;CHAR(10))-1))</f>
        <v>Academies Australasia</v>
      </c>
      <c r="E1445" s="63" t="str">
        <f aca="false">'Onshore - Sydney'!C59&amp;""</f>
        <v>3 years</v>
      </c>
      <c r="F1445" s="63" t="str">
        <f aca="false">IF('Onshore - Sydney'!D59="","Belum tercatat",'Onshore - Sydney'!D59)</f>
        <v>Term</v>
      </c>
      <c r="G1445" s="65" t="n">
        <f aca="false">IF('Onshore - Sydney'!E59="","-",'Onshore - Sydney'!E59)</f>
        <v>5000</v>
      </c>
      <c r="H1445" s="63" t="n">
        <f aca="false">IF(ISNUMBER(K1445),COUNTIFS($J$6:$J$1916,J1445,$K$6:$K$1916,"&lt;"&amp;K1445)+1,"-")</f>
        <v>3</v>
      </c>
      <c r="I1445" s="64" t="str">
        <f aca="false">IF('Onshore - Sydney'!E59="","Harga belum tersedia - hubungi konsultan TEG",IF(M1445=2,"Saat ini tidak menerima pendaftaran siswa internasional baru",IF(M1445=1,"Harga perlu dikonfirmasi ke sekolah"&amp;IF(""="","","; "&amp;""),"")))</f>
        <v/>
      </c>
      <c r="J1445" s="0" t="s">
        <v>4362</v>
      </c>
      <c r="K1445" s="0" t="n">
        <f aca="false">IF(M1445=2,"",IF(ISNUMBER(SEARCH("rata-rata:",'Onshore - Sydney'!M59)),VALUE(MID('Onshore - Sydney'!M59,SEARCH("rata-rata:",'Onshore - Sydney'!M59)+11,FIND(";",'Onshore - Sydney'!M59&amp;";",SEARCH("rata-rata:",'Onshore - Sydney'!M59))-SEARCH("rata-rata:",'Onshore - Sydney'!M59)-11)),IF('Onshore - Sydney'!D59="Semester",'Onshore - Sydney'!E59*2,IF('Onshore - Sydney'!D59="Trimester",'Onshore - Sydney'!E59*3,IF('Onshore - Sydney'!D59="Term",'Onshore - Sydney'!E59*4,IF('Onshore - Sydney'!D59="Unit",'Onshore - Sydney'!E59*8,""))))))</f>
        <v>20000</v>
      </c>
      <c r="L1445" s="0" t="n">
        <f aca="false">IF(AND(ISNUMBER('Onshore - Sydney'!E59),ISNUMBER(K1445),ISNUMBER('Onshore - Sydney'!F59),ISNUMBER('Onshore - Sydney'!G59),OR('Onshore - Sydney'!F59&lt;&gt;0,ISNUMBER(SEARCH("Material 0 terverifikasi",'Onshore - Sydney'!M59))),OR('Onshore - Sydney'!G59&lt;&gt;0,ISNUMBER(SEARCH("Enrolment 0 terverifikasi",'Onshore - Sydney'!M59)))),1,0)</f>
        <v>1</v>
      </c>
      <c r="M1445" s="0" t="n">
        <f aca="false">IF(OR('Onshore - Sydney'!E59="",ISNUMBER(SEARCH("BSB80120",'Onshore - Sydney'!B59&amp;'Onshore - Sydney'!M59)),ISNUMBER(SEARCH("Management (Learning)",'Onshore - Sydney'!B59))),2,IF(ISNUMBER(SEARCH("CEK:",'Onshore - Sydney'!M59)),1,0))</f>
        <v>0</v>
      </c>
    </row>
    <row r="1446" customFormat="false" ht="15" hidden="false" customHeight="false" outlineLevel="0" collapsed="false">
      <c r="A1446" s="63" t="s">
        <v>3533</v>
      </c>
      <c r="B1446" s="64" t="s">
        <v>4297</v>
      </c>
      <c r="C1446" s="63" t="s">
        <v>43</v>
      </c>
      <c r="D1446" s="64" t="str">
        <f aca="false">TRIM(LEFT('Onshore - Sydney'!A597,FIND(CHAR(10),'Onshore - Sydney'!A597&amp;CHAR(10))-1))</f>
        <v>Le Cordon Bleu Australia</v>
      </c>
      <c r="E1446" s="63" t="str">
        <f aca="false">'Onshore - Sydney'!C605&amp;""</f>
        <v>3 years</v>
      </c>
      <c r="F1446" s="63" t="str">
        <f aca="false">IF('Onshore - Sydney'!D605="","Belum tercatat",'Onshore - Sydney'!D605)</f>
        <v>Term</v>
      </c>
      <c r="G1446" s="65" t="n">
        <f aca="false">IF('Onshore - Sydney'!E605="","-",'Onshore - Sydney'!E605)</f>
        <v>5688.58</v>
      </c>
      <c r="H1446" s="63" t="n">
        <f aca="false">IF(ISNUMBER(K1446),COUNTIFS($J$6:$J$1916,J1446,$K$6:$K$1916,"&lt;"&amp;K1446)+1,"-")</f>
        <v>4</v>
      </c>
      <c r="I1446" s="64" t="str">
        <f aca="false">IF('Onshore - Sydney'!E605="","Harga belum tersedia - hubungi konsultan TEG",IF(M1446=2,"Saat ini tidak menerima pendaftaran siswa internasional baru",IF(M1446=1,"Harga perlu dikonfirmasi ke sekolah"&amp;IF(""="","","; "&amp;""),"")))</f>
        <v/>
      </c>
      <c r="J1446" s="0" t="s">
        <v>4362</v>
      </c>
      <c r="K1446" s="0" t="n">
        <f aca="false">IF(M1446=2,"",IF(ISNUMBER(SEARCH("rata-rata:",'Onshore - Sydney'!M605)),VALUE(MID('Onshore - Sydney'!M605,SEARCH("rata-rata:",'Onshore - Sydney'!M605)+11,FIND(";",'Onshore - Sydney'!M605&amp;";",SEARCH("rata-rata:",'Onshore - Sydney'!M605))-SEARCH("rata-rata:",'Onshore - Sydney'!M605)-11)),IF('Onshore - Sydney'!D605="Semester",'Onshore - Sydney'!E605*2,IF('Onshore - Sydney'!D605="Trimester",'Onshore - Sydney'!E605*3,IF('Onshore - Sydney'!D605="Term",'Onshore - Sydney'!E605*4,IF('Onshore - Sydney'!D605="Unit",'Onshore - Sydney'!E605*8,""))))))</f>
        <v>22754.32</v>
      </c>
      <c r="L1446" s="0" t="n">
        <f aca="false">IF(AND(ISNUMBER('Onshore - Sydney'!E605),ISNUMBER(K1446),ISNUMBER('Onshore - Sydney'!F605),ISNUMBER('Onshore - Sydney'!G605),OR('Onshore - Sydney'!F605&lt;&gt;0,ISNUMBER(SEARCH("Material 0 terverifikasi",'Onshore - Sydney'!M605))),OR('Onshore - Sydney'!G605&lt;&gt;0,ISNUMBER(SEARCH("Enrolment 0 terverifikasi",'Onshore - Sydney'!M605)))),1,0)</f>
        <v>0</v>
      </c>
      <c r="M1446" s="0" t="n">
        <f aca="false">IF(OR('Onshore - Sydney'!E605="",ISNUMBER(SEARCH("BSB80120",'Onshore - Sydney'!B605&amp;'Onshore - Sydney'!M605)),ISNUMBER(SEARCH("Management (Learning)",'Onshore - Sydney'!B605))),2,IF(ISNUMBER(SEARCH("CEK:",'Onshore - Sydney'!M605)),1,0))</f>
        <v>0</v>
      </c>
    </row>
    <row r="1447" customFormat="false" ht="15" hidden="false" customHeight="false" outlineLevel="0" collapsed="false">
      <c r="A1447" s="63" t="s">
        <v>3533</v>
      </c>
      <c r="B1447" s="64" t="s">
        <v>4297</v>
      </c>
      <c r="C1447" s="63" t="s">
        <v>43</v>
      </c>
      <c r="D1447" s="64" t="str">
        <f aca="false">TRIM(LEFT('Onshore - Sydney'!A1062,FIND(CHAR(10),'Onshore - Sydney'!A1062&amp;CHAR(10))-1))</f>
        <v>Western Sydney University</v>
      </c>
      <c r="E1447" s="63" t="str">
        <f aca="false">'Onshore - Sydney'!C1139&amp;""</f>
        <v>3 years</v>
      </c>
      <c r="F1447" s="63" t="str">
        <f aca="false">IF('Onshore - Sydney'!D1139="","Belum tercatat",'Onshore - Sydney'!D1139)</f>
        <v>Term</v>
      </c>
      <c r="G1447" s="65" t="n">
        <f aca="false">IF('Onshore - Sydney'!E1139="","-",'Onshore - Sydney'!E1139)</f>
        <v>8125</v>
      </c>
      <c r="H1447" s="63" t="n">
        <f aca="false">IF(ISNUMBER(K1447),COUNTIFS($J$6:$J$1916,J1447,$K$6:$K$1916,"&lt;"&amp;K1447)+1,"-")</f>
        <v>5</v>
      </c>
      <c r="I1447" s="64" t="str">
        <f aca="false">IF('Onshore - Sydney'!E1139="","Harga belum tersedia - hubungi konsultan TEG",IF(M1447=2,"Saat ini tidak menerima pendaftaran siswa internasional baru",IF(M1447=1,"Harga perlu dikonfirmasi ke sekolah"&amp;IF(""="","","; "&amp;""),"")))</f>
        <v/>
      </c>
      <c r="J1447" s="0" t="s">
        <v>4362</v>
      </c>
      <c r="K1447" s="0" t="n">
        <f aca="false">IF(M1447=2,"",IF(ISNUMBER(SEARCH("rata-rata:",'Onshore - Sydney'!M1139)),VALUE(MID('Onshore - Sydney'!M1139,SEARCH("rata-rata:",'Onshore - Sydney'!M1139)+11,FIND(";",'Onshore - Sydney'!M1139&amp;";",SEARCH("rata-rata:",'Onshore - Sydney'!M1139))-SEARCH("rata-rata:",'Onshore - Sydney'!M1139)-11)),IF('Onshore - Sydney'!D1139="Semester",'Onshore - Sydney'!E1139*2,IF('Onshore - Sydney'!D1139="Trimester",'Onshore - Sydney'!E1139*3,IF('Onshore - Sydney'!D1139="Term",'Onshore - Sydney'!E1139*4,IF('Onshore - Sydney'!D1139="Unit",'Onshore - Sydney'!E1139*8,""))))))</f>
        <v>32500</v>
      </c>
      <c r="L1447" s="0" t="n">
        <f aca="false">IF(AND(ISNUMBER('Onshore - Sydney'!E1139),ISNUMBER(K1447),ISNUMBER('Onshore - Sydney'!F1139),ISNUMBER('Onshore - Sydney'!G1139),OR('Onshore - Sydney'!F1139&lt;&gt;0,ISNUMBER(SEARCH("Material 0 terverifikasi",'Onshore - Sydney'!M1139))),OR('Onshore - Sydney'!G1139&lt;&gt;0,ISNUMBER(SEARCH("Enrolment 0 terverifikasi",'Onshore - Sydney'!M1139)))),1,0)</f>
        <v>0</v>
      </c>
      <c r="M1447" s="0" t="n">
        <f aca="false">IF(OR('Onshore - Sydney'!E1139="",ISNUMBER(SEARCH("BSB80120",'Onshore - Sydney'!B1139&amp;'Onshore - Sydney'!M1139)),ISNUMBER(SEARCH("Management (Learning)",'Onshore - Sydney'!B1139))),2,IF(ISNUMBER(SEARCH("CEK:",'Onshore - Sydney'!M1139)),1,0))</f>
        <v>0</v>
      </c>
    </row>
    <row r="1448" customFormat="false" ht="15" hidden="false" customHeight="false" outlineLevel="0" collapsed="false">
      <c r="A1448" s="63" t="s">
        <v>3533</v>
      </c>
      <c r="B1448" s="64" t="s">
        <v>4297</v>
      </c>
      <c r="C1448" s="63" t="s">
        <v>43</v>
      </c>
      <c r="D1448" s="64" t="str">
        <f aca="false">TRIM(LEFT('Onshore - Sydney'!A529,FIND(CHAR(10),'Onshore - Sydney'!A529&amp;CHAR(10))-1))</f>
        <v>Hunter Education Group</v>
      </c>
      <c r="E1448" s="63" t="str">
        <f aca="false">'Onshore - Sydney'!C529&amp;""</f>
        <v>3 years</v>
      </c>
      <c r="F1448" s="63" t="str">
        <f aca="false">IF('Onshore - Sydney'!D529="","Belum tercatat",'Onshore - Sydney'!D529)</f>
        <v>Term</v>
      </c>
      <c r="G1448" s="65" t="n">
        <f aca="false">IF('Onshore - Sydney'!E529="","-",'Onshore - Sydney'!E529)</f>
        <v>9595</v>
      </c>
      <c r="H1448" s="63" t="n">
        <f aca="false">IF(ISNUMBER(K1448),COUNTIFS($J$6:$J$1916,J1448,$K$6:$K$1916,"&lt;"&amp;K1448)+1,"-")</f>
        <v>6</v>
      </c>
      <c r="I1448" s="64" t="str">
        <f aca="false">IF('Onshore - Sydney'!E529="","Harga belum tersedia - hubungi konsultan TEG",IF(M1448=2,"Saat ini tidak menerima pendaftaran siswa internasional baru",IF(M1448=1,"Program perlu dikonfirmasi ketersediaannya"&amp;IF(""="","","; "&amp;""),"")))</f>
        <v>Program perlu dikonfirmasi ketersediaannya</v>
      </c>
      <c r="J1448" s="0" t="s">
        <v>4362</v>
      </c>
      <c r="K1448" s="0" t="n">
        <f aca="false">IF(M1448=2,"",IF(ISNUMBER(SEARCH("rata-rata:",'Onshore - Sydney'!M529)),VALUE(MID('Onshore - Sydney'!M529,SEARCH("rata-rata:",'Onshore - Sydney'!M529)+11,FIND(";",'Onshore - Sydney'!M529&amp;";",SEARCH("rata-rata:",'Onshore - Sydney'!M529))-SEARCH("rata-rata:",'Onshore - Sydney'!M529)-11)),IF('Onshore - Sydney'!D529="Semester",'Onshore - Sydney'!E529*2,IF('Onshore - Sydney'!D529="Trimester",'Onshore - Sydney'!E529*3,IF('Onshore - Sydney'!D529="Term",'Onshore - Sydney'!E529*4,IF('Onshore - Sydney'!D529="Unit",'Onshore - Sydney'!E529*8,""))))))</f>
        <v>38380</v>
      </c>
      <c r="L1448" s="0" t="n">
        <f aca="false">IF(AND(ISNUMBER('Onshore - Sydney'!E529),ISNUMBER(K1448),ISNUMBER('Onshore - Sydney'!F529),ISNUMBER('Onshore - Sydney'!G529),OR('Onshore - Sydney'!F529&lt;&gt;0,ISNUMBER(SEARCH("Material 0 terverifikasi",'Onshore - Sydney'!M529))),OR('Onshore - Sydney'!G529&lt;&gt;0,ISNUMBER(SEARCH("Enrolment 0 terverifikasi",'Onshore - Sydney'!M529)))),1,0)</f>
        <v>0</v>
      </c>
      <c r="M1448" s="0" t="n">
        <f aca="false">IF(OR('Onshore - Sydney'!E529="",ISNUMBER(SEARCH("BSB80120",'Onshore - Sydney'!B529&amp;'Onshore - Sydney'!M529)),ISNUMBER(SEARCH("Management (Learning)",'Onshore - Sydney'!B529))),2,IF(ISNUMBER(SEARCH("CEK:",'Onshore - Sydney'!M529)),1,0))</f>
        <v>1</v>
      </c>
    </row>
    <row r="1449" customFormat="false" ht="15" hidden="false" customHeight="false" outlineLevel="0" collapsed="false">
      <c r="A1449" s="61" t="s">
        <v>4363</v>
      </c>
      <c r="B1449" s="62"/>
      <c r="C1449" s="62"/>
      <c r="D1449" s="62"/>
      <c r="E1449" s="62"/>
      <c r="F1449" s="62"/>
      <c r="G1449" s="62"/>
      <c r="H1449" s="62"/>
      <c r="I1449" s="62"/>
    </row>
    <row r="1450" customFormat="false" ht="15" hidden="false" customHeight="false" outlineLevel="0" collapsed="false">
      <c r="A1450" s="63" t="s">
        <v>3533</v>
      </c>
      <c r="B1450" s="64" t="s">
        <v>4297</v>
      </c>
      <c r="C1450" s="63" t="s">
        <v>3707</v>
      </c>
      <c r="D1450" s="64" t="str">
        <f aca="false">TRIM(LEFT('Onshore - Sydney'!A1062,FIND(CHAR(10),'Onshore - Sydney'!A1062&amp;CHAR(10))-1))</f>
        <v>Western Sydney University</v>
      </c>
      <c r="E1450" s="63" t="str">
        <f aca="false">'Onshore - Sydney'!C1205&amp;""</f>
        <v>0,5 year</v>
      </c>
      <c r="F1450" s="63" t="str">
        <f aca="false">IF('Onshore - Sydney'!D1205="","Belum tercatat",'Onshore - Sydney'!D1205)</f>
        <v>Term</v>
      </c>
      <c r="G1450" s="65" t="n">
        <f aca="false">IF('Onshore - Sydney'!E1205="","-",'Onshore - Sydney'!E1205)</f>
        <v>4347</v>
      </c>
      <c r="H1450" s="63" t="n">
        <f aca="false">IF(ISNUMBER(K1450),COUNTIFS($J$6:$J$1916,J1450,$K$6:$K$1916,"&lt;"&amp;K1450)+1,"-")</f>
        <v>1</v>
      </c>
      <c r="I1450" s="64" t="str">
        <f aca="false">IF('Onshore - Sydney'!E1205="","Harga belum tersedia - hubungi konsultan TEG",IF(M1450=2,"Saat ini tidak menerima pendaftaran siswa internasional baru",IF(M1450=1,"Harga perlu dikonfirmasi ke sekolah"&amp;IF(""="","","; "&amp;""),"")))</f>
        <v/>
      </c>
      <c r="J1450" s="0" t="s">
        <v>4364</v>
      </c>
      <c r="K1450" s="0" t="n">
        <f aca="false">IF(M1450=2,"",IF(ISNUMBER(SEARCH("rata-rata:",'Onshore - Sydney'!M1205)),VALUE(MID('Onshore - Sydney'!M1205,SEARCH("rata-rata:",'Onshore - Sydney'!M1205)+11,FIND(";",'Onshore - Sydney'!M1205&amp;";",SEARCH("rata-rata:",'Onshore - Sydney'!M1205))-SEARCH("rata-rata:",'Onshore - Sydney'!M1205)-11)),IF('Onshore - Sydney'!D1205="Semester",'Onshore - Sydney'!E1205*2,IF('Onshore - Sydney'!D1205="Trimester",'Onshore - Sydney'!E1205*3,IF('Onshore - Sydney'!D1205="Term",'Onshore - Sydney'!E1205*4,IF('Onshore - Sydney'!D1205="Unit",'Onshore - Sydney'!E1205*8,""))))))</f>
        <v>17388</v>
      </c>
      <c r="L1450" s="0" t="n">
        <f aca="false">IF(AND(ISNUMBER('Onshore - Sydney'!E1205),ISNUMBER(K1450),ISNUMBER('Onshore - Sydney'!F1205),ISNUMBER('Onshore - Sydney'!G1205),OR('Onshore - Sydney'!F1205&lt;&gt;0,ISNUMBER(SEARCH("Material 0 terverifikasi",'Onshore - Sydney'!M1205))),OR('Onshore - Sydney'!G1205&lt;&gt;0,ISNUMBER(SEARCH("Enrolment 0 terverifikasi",'Onshore - Sydney'!M1205)))),1,0)</f>
        <v>0</v>
      </c>
      <c r="M1450" s="0" t="n">
        <f aca="false">IF(OR('Onshore - Sydney'!E1205="",ISNUMBER(SEARCH("BSB80120",'Onshore - Sydney'!B1205&amp;'Onshore - Sydney'!M1205)),ISNUMBER(SEARCH("Management (Learning)",'Onshore - Sydney'!B1205))),2,IF(ISNUMBER(SEARCH("CEK:",'Onshore - Sydney'!M1205)),1,0))</f>
        <v>0</v>
      </c>
    </row>
    <row r="1451" customFormat="false" ht="15" hidden="false" customHeight="false" outlineLevel="0" collapsed="false">
      <c r="A1451" s="63" t="s">
        <v>3533</v>
      </c>
      <c r="B1451" s="64" t="s">
        <v>4297</v>
      </c>
      <c r="C1451" s="63" t="s">
        <v>3707</v>
      </c>
      <c r="D1451" s="64" t="str">
        <f aca="false">TRIM(LEFT('Onshore - Sydney'!A888,FIND(CHAR(10),'Onshore - Sydney'!A888&amp;CHAR(10))-1))</f>
        <v>Torrens University Australia</v>
      </c>
      <c r="E1451" s="63" t="str">
        <f aca="false">'Onshore - Sydney'!C988&amp;""</f>
        <v>0,5 year</v>
      </c>
      <c r="F1451" s="63" t="str">
        <f aca="false">IF('Onshore - Sydney'!D988="","Belum tercatat",'Onshore - Sydney'!D988)</f>
        <v>Term</v>
      </c>
      <c r="G1451" s="65" t="n">
        <f aca="false">IF('Onshore - Sydney'!E988="","-",'Onshore - Sydney'!E988)</f>
        <v>5700</v>
      </c>
      <c r="H1451" s="63" t="n">
        <f aca="false">IF(ISNUMBER(K1451),COUNTIFS($J$6:$J$1916,J1451,$K$6:$K$1916,"&lt;"&amp;K1451)+1,"-")</f>
        <v>2</v>
      </c>
      <c r="I1451" s="64" t="str">
        <f aca="false">IF('Onshore - Sydney'!E988="","Harga belum tersedia - hubungi konsultan TEG",IF(M1451=2,"Saat ini tidak menerima pendaftaran siswa internasional baru",IF(M1451=1,"Harga perlu dikonfirmasi ke sekolah"&amp;IF(""="","","; "&amp;""),"")))</f>
        <v/>
      </c>
      <c r="J1451" s="0" t="s">
        <v>4364</v>
      </c>
      <c r="K1451" s="0" t="n">
        <f aca="false">IF(M1451=2,"",IF(ISNUMBER(SEARCH("rata-rata:",'Onshore - Sydney'!M988)),VALUE(MID('Onshore - Sydney'!M988,SEARCH("rata-rata:",'Onshore - Sydney'!M988)+11,FIND(";",'Onshore - Sydney'!M988&amp;";",SEARCH("rata-rata:",'Onshore - Sydney'!M988))-SEARCH("rata-rata:",'Onshore - Sydney'!M988)-11)),IF('Onshore - Sydney'!D988="Semester",'Onshore - Sydney'!E988*2,IF('Onshore - Sydney'!D988="Trimester",'Onshore - Sydney'!E988*3,IF('Onshore - Sydney'!D988="Term",'Onshore - Sydney'!E988*4,IF('Onshore - Sydney'!D988="Unit",'Onshore - Sydney'!E988*8,""))))))</f>
        <v>22800</v>
      </c>
      <c r="L1451" s="0" t="n">
        <f aca="false">IF(AND(ISNUMBER('Onshore - Sydney'!E988),ISNUMBER(K1451),ISNUMBER('Onshore - Sydney'!F988),ISNUMBER('Onshore - Sydney'!G988),OR('Onshore - Sydney'!F988&lt;&gt;0,ISNUMBER(SEARCH("Material 0 terverifikasi",'Onshore - Sydney'!M988))),OR('Onshore - Sydney'!G988&lt;&gt;0,ISNUMBER(SEARCH("Enrolment 0 terverifikasi",'Onshore - Sydney'!M988)))),1,0)</f>
        <v>0</v>
      </c>
      <c r="M1451" s="0" t="n">
        <f aca="false">IF(OR('Onshore - Sydney'!E988="",ISNUMBER(SEARCH("BSB80120",'Onshore - Sydney'!B988&amp;'Onshore - Sydney'!M988)),ISNUMBER(SEARCH("Management (Learning)",'Onshore - Sydney'!B988))),2,IF(ISNUMBER(SEARCH("CEK:",'Onshore - Sydney'!M988)),1,0))</f>
        <v>0</v>
      </c>
    </row>
    <row r="1452" customFormat="false" ht="15" hidden="false" customHeight="false" outlineLevel="0" collapsed="false">
      <c r="A1452" s="61" t="s">
        <v>4365</v>
      </c>
      <c r="B1452" s="62"/>
      <c r="C1452" s="62"/>
      <c r="D1452" s="62"/>
      <c r="E1452" s="62"/>
      <c r="F1452" s="62"/>
      <c r="G1452" s="62"/>
      <c r="H1452" s="62"/>
      <c r="I1452" s="62"/>
    </row>
    <row r="1453" customFormat="false" ht="15" hidden="false" customHeight="false" outlineLevel="0" collapsed="false">
      <c r="A1453" s="63" t="s">
        <v>3533</v>
      </c>
      <c r="B1453" s="64" t="s">
        <v>4297</v>
      </c>
      <c r="C1453" s="63" t="s">
        <v>46</v>
      </c>
      <c r="D1453" s="64" t="str">
        <f aca="false">TRIM(LEFT('Onshore - Sydney'!A597,FIND(CHAR(10),'Onshore - Sydney'!A597&amp;CHAR(10))-1))</f>
        <v>Le Cordon Bleu Australia</v>
      </c>
      <c r="E1453" s="63" t="str">
        <f aca="false">'Onshore - Sydney'!C607&amp;""</f>
        <v>2 years</v>
      </c>
      <c r="F1453" s="63" t="str">
        <f aca="false">IF('Onshore - Sydney'!D607="","Belum tercatat",'Onshore - Sydney'!D607)</f>
        <v>Term</v>
      </c>
      <c r="G1453" s="65" t="n">
        <f aca="false">IF('Onshore - Sydney'!E607="","-",'Onshore - Sydney'!E607)</f>
        <v>6818.75</v>
      </c>
      <c r="H1453" s="63" t="n">
        <f aca="false">IF(ISNUMBER(K1453),COUNTIFS($J$6:$J$1916,J1453,$K$6:$K$1916,"&lt;"&amp;K1453)+1,"-")</f>
        <v>1</v>
      </c>
      <c r="I1453" s="64" t="str">
        <f aca="false">IF('Onshore - Sydney'!E607="","Harga belum tersedia - hubungi konsultan TEG",IF(M1453=2,"Saat ini tidak menerima pendaftaran siswa internasional baru",IF(M1453=1,"Harga perlu dikonfirmasi ke sekolah"&amp;IF(""="","","; "&amp;""),"")))</f>
        <v/>
      </c>
      <c r="J1453" s="0" t="s">
        <v>4366</v>
      </c>
      <c r="K1453" s="0" t="n">
        <f aca="false">IF(M1453=2,"",IF(ISNUMBER(SEARCH("rata-rata:",'Onshore - Sydney'!M607)),VALUE(MID('Onshore - Sydney'!M607,SEARCH("rata-rata:",'Onshore - Sydney'!M607)+11,FIND(";",'Onshore - Sydney'!M607&amp;";",SEARCH("rata-rata:",'Onshore - Sydney'!M607))-SEARCH("rata-rata:",'Onshore - Sydney'!M607)-11)),IF('Onshore - Sydney'!D607="Semester",'Onshore - Sydney'!E607*2,IF('Onshore - Sydney'!D607="Trimester",'Onshore - Sydney'!E607*3,IF('Onshore - Sydney'!D607="Term",'Onshore - Sydney'!E607*4,IF('Onshore - Sydney'!D607="Unit",'Onshore - Sydney'!E607*8,""))))))</f>
        <v>27275</v>
      </c>
      <c r="L1453" s="0" t="n">
        <f aca="false">IF(AND(ISNUMBER('Onshore - Sydney'!E607),ISNUMBER(K1453),ISNUMBER('Onshore - Sydney'!F607),ISNUMBER('Onshore - Sydney'!G607),OR('Onshore - Sydney'!F607&lt;&gt;0,ISNUMBER(SEARCH("Material 0 terverifikasi",'Onshore - Sydney'!M607))),OR('Onshore - Sydney'!G607&lt;&gt;0,ISNUMBER(SEARCH("Enrolment 0 terverifikasi",'Onshore - Sydney'!M607)))),1,0)</f>
        <v>0</v>
      </c>
      <c r="M1453" s="0" t="n">
        <f aca="false">IF(OR('Onshore - Sydney'!E607="",ISNUMBER(SEARCH("BSB80120",'Onshore - Sydney'!B607&amp;'Onshore - Sydney'!M607)),ISNUMBER(SEARCH("Management (Learning)",'Onshore - Sydney'!B607))),2,IF(ISNUMBER(SEARCH("CEK:",'Onshore - Sydney'!M607)),1,0))</f>
        <v>0</v>
      </c>
    </row>
    <row r="1454" customFormat="false" ht="15" hidden="false" customHeight="false" outlineLevel="0" collapsed="false">
      <c r="A1454" s="63" t="s">
        <v>3533</v>
      </c>
      <c r="B1454" s="64" t="s">
        <v>4297</v>
      </c>
      <c r="C1454" s="63" t="s">
        <v>46</v>
      </c>
      <c r="D1454" s="64" t="str">
        <f aca="false">TRIM(LEFT('Onshore - Sydney'!A1062,FIND(CHAR(10),'Onshore - Sydney'!A1062&amp;CHAR(10))-1))</f>
        <v>Western Sydney University</v>
      </c>
      <c r="E1454" s="63" t="str">
        <f aca="false">'Onshore - Sydney'!C1204&amp;""</f>
        <v>2 years</v>
      </c>
      <c r="F1454" s="63" t="str">
        <f aca="false">IF('Onshore - Sydney'!D1204="","Belum tercatat",'Onshore - Sydney'!D1204)</f>
        <v>Term</v>
      </c>
      <c r="G1454" s="65" t="n">
        <f aca="false">IF('Onshore - Sydney'!E1204="","-",'Onshore - Sydney'!E1204)</f>
        <v>8694</v>
      </c>
      <c r="H1454" s="63" t="n">
        <f aca="false">IF(ISNUMBER(K1454),COUNTIFS($J$6:$J$1916,J1454,$K$6:$K$1916,"&lt;"&amp;K1454)+1,"-")</f>
        <v>2</v>
      </c>
      <c r="I1454" s="64" t="str">
        <f aca="false">IF('Onshore - Sydney'!E1204="","Harga belum tersedia - hubungi konsultan TEG",IF(M1454=2,"Saat ini tidak menerima pendaftaran siswa internasional baru",IF(M1454=1,"Harga perlu dikonfirmasi ke sekolah"&amp;IF(""="","","; "&amp;""),"")))</f>
        <v/>
      </c>
      <c r="J1454" s="0" t="s">
        <v>4366</v>
      </c>
      <c r="K1454" s="0" t="n">
        <f aca="false">IF(M1454=2,"",IF(ISNUMBER(SEARCH("rata-rata:",'Onshore - Sydney'!M1204)),VALUE(MID('Onshore - Sydney'!M1204,SEARCH("rata-rata:",'Onshore - Sydney'!M1204)+11,FIND(";",'Onshore - Sydney'!M1204&amp;";",SEARCH("rata-rata:",'Onshore - Sydney'!M1204))-SEARCH("rata-rata:",'Onshore - Sydney'!M1204)-11)),IF('Onshore - Sydney'!D1204="Semester",'Onshore - Sydney'!E1204*2,IF('Onshore - Sydney'!D1204="Trimester",'Onshore - Sydney'!E1204*3,IF('Onshore - Sydney'!D1204="Term",'Onshore - Sydney'!E1204*4,IF('Onshore - Sydney'!D1204="Unit",'Onshore - Sydney'!E1204*8,""))))))</f>
        <v>34776</v>
      </c>
      <c r="L1454" s="0" t="n">
        <f aca="false">IF(AND(ISNUMBER('Onshore - Sydney'!E1204),ISNUMBER(K1454),ISNUMBER('Onshore - Sydney'!F1204),ISNUMBER('Onshore - Sydney'!G1204),OR('Onshore - Sydney'!F1204&lt;&gt;0,ISNUMBER(SEARCH("Material 0 terverifikasi",'Onshore - Sydney'!M1204))),OR('Onshore - Sydney'!G1204&lt;&gt;0,ISNUMBER(SEARCH("Enrolment 0 terverifikasi",'Onshore - Sydney'!M1204)))),1,0)</f>
        <v>0</v>
      </c>
      <c r="M1454" s="0" t="n">
        <f aca="false">IF(OR('Onshore - Sydney'!E1204="",ISNUMBER(SEARCH("BSB80120",'Onshore - Sydney'!B1204&amp;'Onshore - Sydney'!M1204)),ISNUMBER(SEARCH("Management (Learning)",'Onshore - Sydney'!B1204))),2,IF(ISNUMBER(SEARCH("CEK:",'Onshore - Sydney'!M1204)),1,0))</f>
        <v>0</v>
      </c>
    </row>
    <row r="1455" customFormat="false" ht="15" hidden="false" customHeight="false" outlineLevel="0" collapsed="false">
      <c r="A1455" s="63" t="s">
        <v>3533</v>
      </c>
      <c r="B1455" s="64" t="s">
        <v>4297</v>
      </c>
      <c r="C1455" s="63" t="s">
        <v>46</v>
      </c>
      <c r="D1455" s="64" t="str">
        <f aca="false">TRIM(LEFT('Onshore - Sydney'!A888,FIND(CHAR(10),'Onshore - Sydney'!A888&amp;CHAR(10))-1))</f>
        <v>Torrens University Australia</v>
      </c>
      <c r="E1455" s="63" t="str">
        <f aca="false">'Onshore - Sydney'!C989&amp;""</f>
        <v>2 years</v>
      </c>
      <c r="F1455" s="63" t="str">
        <f aca="false">IF('Onshore - Sydney'!D989="","Belum tercatat",'Onshore - Sydney'!D989)</f>
        <v>Term</v>
      </c>
      <c r="G1455" s="65" t="n">
        <f aca="false">IF('Onshore - Sydney'!E989="","-",'Onshore - Sydney'!E989)</f>
        <v>10495</v>
      </c>
      <c r="H1455" s="63" t="n">
        <f aca="false">IF(ISNUMBER(K1455),COUNTIFS($J$6:$J$1916,J1455,$K$6:$K$1916,"&lt;"&amp;K1455)+1,"-")</f>
        <v>3</v>
      </c>
      <c r="I1455" s="64" t="str">
        <f aca="false">IF('Onshore - Sydney'!E989="","Harga belum tersedia - hubungi konsultan TEG",IF(M1455=2,"Saat ini tidak menerima pendaftaran siswa internasional baru",IF(M1455=1,"Harga perlu dikonfirmasi ke sekolah"&amp;IF(""="","","; "&amp;""),"")))</f>
        <v>Harga perlu dikonfirmasi ke sekolah</v>
      </c>
      <c r="J1455" s="0" t="s">
        <v>4366</v>
      </c>
      <c r="K1455" s="0" t="n">
        <f aca="false">IF(M1455=2,"",IF(ISNUMBER(SEARCH("rata-rata:",'Onshore - Sydney'!M989)),VALUE(MID('Onshore - Sydney'!M989,SEARCH("rata-rata:",'Onshore - Sydney'!M989)+11,FIND(";",'Onshore - Sydney'!M989&amp;";",SEARCH("rata-rata:",'Onshore - Sydney'!M989))-SEARCH("rata-rata:",'Onshore - Sydney'!M989)-11)),IF('Onshore - Sydney'!D989="Semester",'Onshore - Sydney'!E989*2,IF('Onshore - Sydney'!D989="Trimester",'Onshore - Sydney'!E989*3,IF('Onshore - Sydney'!D989="Term",'Onshore - Sydney'!E989*4,IF('Onshore - Sydney'!D989="Unit",'Onshore - Sydney'!E989*8,""))))))</f>
        <v>41980</v>
      </c>
      <c r="L1455" s="0" t="n">
        <f aca="false">IF(AND(ISNUMBER('Onshore - Sydney'!E989),ISNUMBER(K1455),ISNUMBER('Onshore - Sydney'!F989),ISNUMBER('Onshore - Sydney'!G989),OR('Onshore - Sydney'!F989&lt;&gt;0,ISNUMBER(SEARCH("Material 0 terverifikasi",'Onshore - Sydney'!M989))),OR('Onshore - Sydney'!G989&lt;&gt;0,ISNUMBER(SEARCH("Enrolment 0 terverifikasi",'Onshore - Sydney'!M989)))),1,0)</f>
        <v>0</v>
      </c>
      <c r="M1455" s="0" t="n">
        <f aca="false">IF(OR('Onshore - Sydney'!E989="",ISNUMBER(SEARCH("BSB80120",'Onshore - Sydney'!B989&amp;'Onshore - Sydney'!M989)),ISNUMBER(SEARCH("Management (Learning)",'Onshore - Sydney'!B989))),2,IF(ISNUMBER(SEARCH("CEK:",'Onshore - Sydney'!M989)),1,0))</f>
        <v>1</v>
      </c>
    </row>
    <row r="1456" customFormat="false" ht="15" hidden="false" customHeight="false" outlineLevel="0" collapsed="false">
      <c r="A1456" s="61" t="s">
        <v>4367</v>
      </c>
      <c r="B1456" s="62"/>
      <c r="C1456" s="62"/>
      <c r="D1456" s="62"/>
      <c r="E1456" s="62"/>
      <c r="F1456" s="62"/>
      <c r="G1456" s="62"/>
      <c r="H1456" s="62"/>
      <c r="I1456" s="62"/>
    </row>
    <row r="1457" customFormat="false" ht="15" hidden="false" customHeight="false" outlineLevel="0" collapsed="false">
      <c r="A1457" s="63" t="s">
        <v>3753</v>
      </c>
      <c r="B1457" s="64" t="s">
        <v>4297</v>
      </c>
      <c r="C1457" s="63" t="s">
        <v>40</v>
      </c>
      <c r="D1457" s="64" t="str">
        <f aca="false">TRIM(LEFT('Onshore - Tasmania Hobart'!A8,FIND(CHAR(10),'Onshore - Tasmania Hobart'!A8&amp;CHAR(10))-1))</f>
        <v>Australian Sovereign College (AuSC)</v>
      </c>
      <c r="E1457" s="63" t="str">
        <f aca="false">'Onshore - Tasmania Hobart'!C18&amp;""</f>
        <v>1,5 years</v>
      </c>
      <c r="F1457" s="63" t="str">
        <f aca="false">IF('Onshore - Tasmania Hobart'!D18="","Belum tercatat",'Onshore - Tasmania Hobart'!D18)</f>
        <v>Term</v>
      </c>
      <c r="G1457" s="65" t="n">
        <f aca="false">IF('Onshore - Tasmania Hobart'!E18="","-",'Onshore - Tasmania Hobart'!E18)</f>
        <v>2700</v>
      </c>
      <c r="H1457" s="63" t="n">
        <f aca="false">IF(ISNUMBER(K1457),COUNTIFS($J$6:$J$1916,J1457,$K$6:$K$1916,"&lt;"&amp;K1457)+1,"-")</f>
        <v>1</v>
      </c>
      <c r="I1457" s="64" t="str">
        <f aca="false">IF('Onshore - Tasmania Hobart'!E18="","Harga belum tersedia - hubungi konsultan TEG",IF(M1457=2,"Saat ini tidak menerima pendaftaran siswa internasional baru",IF(M1457=1,"Harga perlu dikonfirmasi ke sekolah"&amp;IF(""="","","; "&amp;""),"")))</f>
        <v/>
      </c>
      <c r="J1457" s="0" t="s">
        <v>4368</v>
      </c>
      <c r="K1457" s="0" t="n">
        <f aca="false">IF(M1457=2,"",IF(ISNUMBER(SEARCH("rata-rata:",'Onshore - Tasmania Hobart'!M18)),VALUE(MID('Onshore - Tasmania Hobart'!M18,SEARCH("rata-rata:",'Onshore - Tasmania Hobart'!M18)+11,FIND(";",'Onshore - Tasmania Hobart'!M18&amp;";",SEARCH("rata-rata:",'Onshore - Tasmania Hobart'!M18))-SEARCH("rata-rata:",'Onshore - Tasmania Hobart'!M18)-11)),IF('Onshore - Tasmania Hobart'!D18="Semester",'Onshore - Tasmania Hobart'!E18*2,IF('Onshore - Tasmania Hobart'!D18="Trimester",'Onshore - Tasmania Hobart'!E18*3,IF('Onshore - Tasmania Hobart'!D18="Term",'Onshore - Tasmania Hobart'!E18*4,IF('Onshore - Tasmania Hobart'!D18="Unit",'Onshore - Tasmania Hobart'!E18*8,""))))))</f>
        <v>10800</v>
      </c>
      <c r="L1457" s="0" t="n">
        <f aca="false">IF(AND(ISNUMBER('Onshore - Tasmania Hobart'!E18),ISNUMBER(K1457),ISNUMBER('Onshore - Tasmania Hobart'!F18),ISNUMBER('Onshore - Tasmania Hobart'!G18),OR('Onshore - Tasmania Hobart'!F18&lt;&gt;0,ISNUMBER(SEARCH("Material 0 terverifikasi",'Onshore - Tasmania Hobart'!M18))),OR('Onshore - Tasmania Hobart'!G18&lt;&gt;0,ISNUMBER(SEARCH("Enrolment 0 terverifikasi",'Onshore - Tasmania Hobart'!M18)))),1,0)</f>
        <v>1</v>
      </c>
      <c r="M1457" s="0" t="n">
        <f aca="false">IF(OR('Onshore - Tasmania Hobart'!E18="",ISNUMBER(SEARCH("BSB80120",'Onshore - Tasmania Hobart'!B18&amp;'Onshore - Tasmania Hobart'!M18)),ISNUMBER(SEARCH("Management (Learning)",'Onshore - Tasmania Hobart'!B18))),2,IF(ISNUMBER(SEARCH("CEK:",'Onshore - Tasmania Hobart'!M18)),1,0))</f>
        <v>0</v>
      </c>
    </row>
    <row r="1458" customFormat="false" ht="15" hidden="false" customHeight="false" outlineLevel="0" collapsed="false">
      <c r="A1458" s="61" t="s">
        <v>4369</v>
      </c>
      <c r="B1458" s="62"/>
      <c r="C1458" s="62"/>
      <c r="D1458" s="62"/>
      <c r="E1458" s="62"/>
      <c r="F1458" s="62"/>
      <c r="G1458" s="62"/>
      <c r="H1458" s="62"/>
      <c r="I1458" s="62"/>
    </row>
    <row r="1459" customFormat="false" ht="15" hidden="false" customHeight="false" outlineLevel="0" collapsed="false">
      <c r="A1459" s="63" t="s">
        <v>3753</v>
      </c>
      <c r="B1459" s="64" t="s">
        <v>4297</v>
      </c>
      <c r="C1459" s="63" t="s">
        <v>41</v>
      </c>
      <c r="D1459" s="64" t="str">
        <f aca="false">TRIM(LEFT('Onshore - Tasmania Hobart'!A8,FIND(CHAR(10),'Onshore - Tasmania Hobart'!A8&amp;CHAR(10))-1))</f>
        <v>Australian Sovereign College (AuSC)</v>
      </c>
      <c r="E1459" s="63" t="str">
        <f aca="false">'Onshore - Tasmania Hobart'!C19&amp;""</f>
        <v>2 years</v>
      </c>
      <c r="F1459" s="63" t="str">
        <f aca="false">IF('Onshore - Tasmania Hobart'!D19="","Belum tercatat",'Onshore - Tasmania Hobart'!D19)</f>
        <v>Term</v>
      </c>
      <c r="G1459" s="65" t="n">
        <f aca="false">IF('Onshore - Tasmania Hobart'!E19="","-",'Onshore - Tasmania Hobart'!E19)</f>
        <v>2375</v>
      </c>
      <c r="H1459" s="63" t="n">
        <f aca="false">IF(ISNUMBER(K1459),COUNTIFS($J$6:$J$1916,J1459,$K$6:$K$1916,"&lt;"&amp;K1459)+1,"-")</f>
        <v>1</v>
      </c>
      <c r="I1459" s="64" t="str">
        <f aca="false">IF('Onshore - Tasmania Hobart'!E19="","Harga belum tersedia - hubungi konsultan TEG",IF(M1459=2,"Saat ini tidak menerima pendaftaran siswa internasional baru",IF(M1459=1,"Harga perlu dikonfirmasi ke sekolah"&amp;IF(""="","","; "&amp;""),"")))</f>
        <v/>
      </c>
      <c r="J1459" s="0" t="s">
        <v>4370</v>
      </c>
      <c r="K1459" s="0" t="n">
        <f aca="false">IF(M1459=2,"",IF(ISNUMBER(SEARCH("rata-rata:",'Onshore - Tasmania Hobart'!M19)),VALUE(MID('Onshore - Tasmania Hobart'!M19,SEARCH("rata-rata:",'Onshore - Tasmania Hobart'!M19)+11,FIND(";",'Onshore - Tasmania Hobart'!M19&amp;";",SEARCH("rata-rata:",'Onshore - Tasmania Hobart'!M19))-SEARCH("rata-rata:",'Onshore - Tasmania Hobart'!M19)-11)),IF('Onshore - Tasmania Hobart'!D19="Semester",'Onshore - Tasmania Hobart'!E19*2,IF('Onshore - Tasmania Hobart'!D19="Trimester",'Onshore - Tasmania Hobart'!E19*3,IF('Onshore - Tasmania Hobart'!D19="Term",'Onshore - Tasmania Hobart'!E19*4,IF('Onshore - Tasmania Hobart'!D19="Unit",'Onshore - Tasmania Hobart'!E19*8,""))))))</f>
        <v>9500</v>
      </c>
      <c r="L1459" s="0" t="n">
        <f aca="false">IF(AND(ISNUMBER('Onshore - Tasmania Hobart'!E19),ISNUMBER(K1459),ISNUMBER('Onshore - Tasmania Hobart'!F19),ISNUMBER('Onshore - Tasmania Hobart'!G19),OR('Onshore - Tasmania Hobart'!F19&lt;&gt;0,ISNUMBER(SEARCH("Material 0 terverifikasi",'Onshore - Tasmania Hobart'!M19))),OR('Onshore - Tasmania Hobart'!G19&lt;&gt;0,ISNUMBER(SEARCH("Enrolment 0 terverifikasi",'Onshore - Tasmania Hobart'!M19)))),1,0)</f>
        <v>1</v>
      </c>
      <c r="M1459" s="0" t="n">
        <f aca="false">IF(OR('Onshore - Tasmania Hobart'!E19="",ISNUMBER(SEARCH("BSB80120",'Onshore - Tasmania Hobart'!B19&amp;'Onshore - Tasmania Hobart'!M19)),ISNUMBER(SEARCH("Management (Learning)",'Onshore - Tasmania Hobart'!B19))),2,IF(ISNUMBER(SEARCH("CEK:",'Onshore - Tasmania Hobart'!M19)),1,0))</f>
        <v>0</v>
      </c>
    </row>
    <row r="1460" customFormat="false" ht="15" hidden="false" customHeight="false" outlineLevel="0" collapsed="false">
      <c r="A1460" s="61" t="s">
        <v>4371</v>
      </c>
      <c r="B1460" s="62"/>
      <c r="C1460" s="62"/>
      <c r="D1460" s="62"/>
      <c r="E1460" s="62"/>
      <c r="F1460" s="62"/>
      <c r="G1460" s="62"/>
      <c r="H1460" s="62"/>
      <c r="I1460" s="62"/>
    </row>
    <row r="1461" customFormat="false" ht="15" hidden="false" customHeight="false" outlineLevel="0" collapsed="false">
      <c r="A1461" s="63" t="s">
        <v>3753</v>
      </c>
      <c r="B1461" s="64" t="s">
        <v>4297</v>
      </c>
      <c r="C1461" s="63" t="s">
        <v>42</v>
      </c>
      <c r="D1461" s="64" t="str">
        <f aca="false">TRIM(LEFT('Onshore - Tasmania Hobart'!A6,FIND(CHAR(10),'Onshore - Tasmania Hobart'!A6&amp;CHAR(10))-1))</f>
        <v>Australian Ideal College (AIC)</v>
      </c>
      <c r="E1461" s="63" t="str">
        <f aca="false">'Onshore - Tasmania Hobart'!C6&amp;""</f>
        <v>3 years</v>
      </c>
      <c r="F1461" s="63" t="str">
        <f aca="false">IF('Onshore - Tasmania Hobart'!D6="","Belum tercatat",'Onshore - Tasmania Hobart'!D6)</f>
        <v>Term</v>
      </c>
      <c r="G1461" s="65" t="n">
        <f aca="false">IF('Onshore - Tasmania Hobart'!E6="","-",'Onshore - Tasmania Hobart'!E6)</f>
        <v>1750</v>
      </c>
      <c r="H1461" s="63" t="n">
        <f aca="false">IF(ISNUMBER(K1461),COUNTIFS($J$6:$J$1916,J1461,$K$6:$K$1916,"&lt;"&amp;K1461)+1,"-")</f>
        <v>1</v>
      </c>
      <c r="I1461" s="64" t="str">
        <f aca="false">IF('Onshore - Tasmania Hobart'!E6="","Harga belum tersedia - hubungi konsultan TEG",IF(M1461=2,"Saat ini tidak menerima pendaftaran siswa internasional baru",IF(M1461=1,"Harga perlu dikonfirmasi ke sekolah"&amp;IF(""="","","; "&amp;""),"")))</f>
        <v>Harga perlu dikonfirmasi ke sekolah</v>
      </c>
      <c r="J1461" s="0" t="s">
        <v>4372</v>
      </c>
      <c r="K1461" s="0" t="n">
        <f aca="false">IF(M1461=2,"",IF(ISNUMBER(SEARCH("rata-rata:",'Onshore - Tasmania Hobart'!M6)),VALUE(MID('Onshore - Tasmania Hobart'!M6,SEARCH("rata-rata:",'Onshore - Tasmania Hobart'!M6)+11,FIND(";",'Onshore - Tasmania Hobart'!M6&amp;";",SEARCH("rata-rata:",'Onshore - Tasmania Hobart'!M6))-SEARCH("rata-rata:",'Onshore - Tasmania Hobart'!M6)-11)),IF('Onshore - Tasmania Hobart'!D6="Semester",'Onshore - Tasmania Hobart'!E6*2,IF('Onshore - Tasmania Hobart'!D6="Trimester",'Onshore - Tasmania Hobart'!E6*3,IF('Onshore - Tasmania Hobart'!D6="Term",'Onshore - Tasmania Hobart'!E6*4,IF('Onshore - Tasmania Hobart'!D6="Unit",'Onshore - Tasmania Hobart'!E6*8,""))))))</f>
        <v>7000</v>
      </c>
      <c r="L1461" s="0" t="n">
        <f aca="false">IF(AND(ISNUMBER('Onshore - Tasmania Hobart'!E6),ISNUMBER(K1461),ISNUMBER('Onshore - Tasmania Hobart'!F6),ISNUMBER('Onshore - Tasmania Hobart'!G6),OR('Onshore - Tasmania Hobart'!F6&lt;&gt;0,ISNUMBER(SEARCH("Material 0 terverifikasi",'Onshore - Tasmania Hobart'!M6))),OR('Onshore - Tasmania Hobart'!G6&lt;&gt;0,ISNUMBER(SEARCH("Enrolment 0 terverifikasi",'Onshore - Tasmania Hobart'!M6)))),1,0)</f>
        <v>1</v>
      </c>
      <c r="M1461" s="0" t="n">
        <f aca="false">IF(OR('Onshore - Tasmania Hobart'!E6="",ISNUMBER(SEARCH("BSB80120",'Onshore - Tasmania Hobart'!B6&amp;'Onshore - Tasmania Hobart'!M6)),ISNUMBER(SEARCH("Management (Learning)",'Onshore - Tasmania Hobart'!B6))),2,IF(ISNUMBER(SEARCH("CEK:",'Onshore - Tasmania Hobart'!M6)),1,0))</f>
        <v>1</v>
      </c>
    </row>
    <row r="1462" customFormat="false" ht="15" hidden="false" customHeight="false" outlineLevel="0" collapsed="false">
      <c r="A1462" s="61" t="s">
        <v>4373</v>
      </c>
      <c r="B1462" s="62"/>
      <c r="C1462" s="62"/>
      <c r="D1462" s="62"/>
      <c r="E1462" s="62"/>
      <c r="F1462" s="62"/>
      <c r="G1462" s="62"/>
      <c r="H1462" s="62"/>
      <c r="I1462" s="62"/>
    </row>
    <row r="1463" customFormat="false" ht="15" hidden="false" customHeight="false" outlineLevel="0" collapsed="false">
      <c r="A1463" s="63" t="s">
        <v>3659</v>
      </c>
      <c r="B1463" s="64" t="s">
        <v>4374</v>
      </c>
      <c r="C1463" s="63" t="s">
        <v>39</v>
      </c>
      <c r="D1463" s="64" t="str">
        <f aca="false">TRIM(LEFT('Onshore - Adelaide'!A487,FIND(CHAR(10),'Onshore - Adelaide'!A487&amp;CHAR(10))-1))</f>
        <v>TAFE SA</v>
      </c>
      <c r="E1463" s="63" t="str">
        <f aca="false">'Onshore - Adelaide'!C522&amp;""</f>
        <v>0,5 year</v>
      </c>
      <c r="F1463" s="63" t="str">
        <f aca="false">IF('Onshore - Adelaide'!D522="","Belum tercatat",'Onshore - Adelaide'!D522)</f>
        <v>Semester</v>
      </c>
      <c r="G1463" s="65" t="n">
        <f aca="false">IF('Onshore - Adelaide'!E522="","-",'Onshore - Adelaide'!E522)</f>
        <v>8130</v>
      </c>
      <c r="H1463" s="63" t="n">
        <f aca="false">IF(ISNUMBER(K1463),COUNTIFS($J$6:$J$1916,J1463,$K$6:$K$1916,"&lt;"&amp;K1463)+1,"-")</f>
        <v>1</v>
      </c>
      <c r="I1463" s="64" t="str">
        <f aca="false">IF('Onshore - Adelaide'!E522="","Harga belum tersedia - hubungi konsultan TEG",IF(M1463=2,"Saat ini tidak menerima pendaftaran siswa internasional baru",IF(M1463=1,"Harga perlu dikonfirmasi ke sekolah"&amp;IF(""="","","; "&amp;""),"")))</f>
        <v/>
      </c>
      <c r="J1463" s="0" t="s">
        <v>4375</v>
      </c>
      <c r="K1463" s="0" t="n">
        <f aca="false">IF(M1463=2,"",IF(ISNUMBER(SEARCH("rata-rata:",'Onshore - Adelaide'!M522)),VALUE(MID('Onshore - Adelaide'!M522,SEARCH("rata-rata:",'Onshore - Adelaide'!M522)+11,FIND(";",'Onshore - Adelaide'!M522&amp;";",SEARCH("rata-rata:",'Onshore - Adelaide'!M522))-SEARCH("rata-rata:",'Onshore - Adelaide'!M522)-11)),IF('Onshore - Adelaide'!D522="Semester",'Onshore - Adelaide'!E522*2,IF('Onshore - Adelaide'!D522="Trimester",'Onshore - Adelaide'!E522*3,IF('Onshore - Adelaide'!D522="Term",'Onshore - Adelaide'!E522*4,IF('Onshore - Adelaide'!D522="Unit",'Onshore - Adelaide'!E522*8,""))))))</f>
        <v>16260</v>
      </c>
      <c r="L1463" s="0" t="n">
        <f aca="false">IF(AND(ISNUMBER('Onshore - Adelaide'!E522),ISNUMBER(K1463),ISNUMBER('Onshore - Adelaide'!F522),ISNUMBER('Onshore - Adelaide'!G522),OR('Onshore - Adelaide'!F522&lt;&gt;0,ISNUMBER(SEARCH("Material 0 terverifikasi",'Onshore - Adelaide'!M522))),OR('Onshore - Adelaide'!G522&lt;&gt;0,ISNUMBER(SEARCH("Enrolment 0 terverifikasi",'Onshore - Adelaide'!M522)))),1,0)</f>
        <v>0</v>
      </c>
      <c r="M1463" s="0" t="n">
        <f aca="false">IF(OR('Onshore - Adelaide'!E522="",ISNUMBER(SEARCH("BSB80120",'Onshore - Adelaide'!B522&amp;'Onshore - Adelaide'!M522)),ISNUMBER(SEARCH("Management (Learning)",'Onshore - Adelaide'!B522))),2,IF(ISNUMBER(SEARCH("CEK:",'Onshore - Adelaide'!M522)),1,0))</f>
        <v>0</v>
      </c>
    </row>
    <row r="1464" customFormat="false" ht="15" hidden="false" customHeight="false" outlineLevel="0" collapsed="false">
      <c r="A1464" s="61" t="s">
        <v>4376</v>
      </c>
      <c r="B1464" s="62"/>
      <c r="C1464" s="62"/>
      <c r="D1464" s="62"/>
      <c r="E1464" s="62"/>
      <c r="F1464" s="62"/>
      <c r="G1464" s="62"/>
      <c r="H1464" s="62"/>
      <c r="I1464" s="62"/>
    </row>
    <row r="1465" customFormat="false" ht="15" hidden="false" customHeight="false" outlineLevel="0" collapsed="false">
      <c r="A1465" s="63" t="s">
        <v>3659</v>
      </c>
      <c r="B1465" s="64" t="s">
        <v>4374</v>
      </c>
      <c r="C1465" s="63" t="s">
        <v>40</v>
      </c>
      <c r="D1465" s="64" t="str">
        <f aca="false">TRIM(LEFT('Onshore - Adelaide'!A487,FIND(CHAR(10),'Onshore - Adelaide'!A487&amp;CHAR(10))-1))</f>
        <v>TAFE SA</v>
      </c>
      <c r="E1465" s="63" t="str">
        <f aca="false">'Onshore - Adelaide'!C523&amp;""</f>
        <v>1 year</v>
      </c>
      <c r="F1465" s="63" t="str">
        <f aca="false">IF('Onshore - Adelaide'!D523="","Belum tercatat",'Onshore - Adelaide'!D523)</f>
        <v>Semester</v>
      </c>
      <c r="G1465" s="65" t="n">
        <f aca="false">IF('Onshore - Adelaide'!E523="","-",'Onshore - Adelaide'!E523)</f>
        <v>8135</v>
      </c>
      <c r="H1465" s="63" t="n">
        <f aca="false">IF(ISNUMBER(K1465),COUNTIFS($J$6:$J$1916,J1465,$K$6:$K$1916,"&lt;"&amp;K1465)+1,"-")</f>
        <v>1</v>
      </c>
      <c r="I1465" s="64" t="str">
        <f aca="false">IF('Onshore - Adelaide'!E523="","Harga belum tersedia - hubungi konsultan TEG",IF(M1465=2,"Saat ini tidak menerima pendaftaran siswa internasional baru",IF(M1465=1,"Harga perlu dikonfirmasi ke sekolah"&amp;IF(""="","","; "&amp;""),"")))</f>
        <v/>
      </c>
      <c r="J1465" s="0" t="s">
        <v>4377</v>
      </c>
      <c r="K1465" s="0" t="n">
        <f aca="false">IF(M1465=2,"",IF(ISNUMBER(SEARCH("rata-rata:",'Onshore - Adelaide'!M523)),VALUE(MID('Onshore - Adelaide'!M523,SEARCH("rata-rata:",'Onshore - Adelaide'!M523)+11,FIND(";",'Onshore - Adelaide'!M523&amp;";",SEARCH("rata-rata:",'Onshore - Adelaide'!M523))-SEARCH("rata-rata:",'Onshore - Adelaide'!M523)-11)),IF('Onshore - Adelaide'!D523="Semester",'Onshore - Adelaide'!E523*2,IF('Onshore - Adelaide'!D523="Trimester",'Onshore - Adelaide'!E523*3,IF('Onshore - Adelaide'!D523="Term",'Onshore - Adelaide'!E523*4,IF('Onshore - Adelaide'!D523="Unit",'Onshore - Adelaide'!E523*8,""))))))</f>
        <v>16270</v>
      </c>
      <c r="L1465" s="0" t="n">
        <f aca="false">IF(AND(ISNUMBER('Onshore - Adelaide'!E523),ISNUMBER(K1465),ISNUMBER('Onshore - Adelaide'!F523),ISNUMBER('Onshore - Adelaide'!G523),OR('Onshore - Adelaide'!F523&lt;&gt;0,ISNUMBER(SEARCH("Material 0 terverifikasi",'Onshore - Adelaide'!M523))),OR('Onshore - Adelaide'!G523&lt;&gt;0,ISNUMBER(SEARCH("Enrolment 0 terverifikasi",'Onshore - Adelaide'!M523)))),1,0)</f>
        <v>0</v>
      </c>
      <c r="M1465" s="0" t="n">
        <f aca="false">IF(OR('Onshore - Adelaide'!E523="",ISNUMBER(SEARCH("BSB80120",'Onshore - Adelaide'!B523&amp;'Onshore - Adelaide'!M523)),ISNUMBER(SEARCH("Management (Learning)",'Onshore - Adelaide'!B523))),2,IF(ISNUMBER(SEARCH("CEK:",'Onshore - Adelaide'!M523)),1,0))</f>
        <v>0</v>
      </c>
    </row>
    <row r="1466" customFormat="false" ht="15" hidden="false" customHeight="false" outlineLevel="0" collapsed="false">
      <c r="A1466" s="61" t="s">
        <v>4378</v>
      </c>
      <c r="B1466" s="62"/>
      <c r="C1466" s="62"/>
      <c r="D1466" s="62"/>
      <c r="E1466" s="62"/>
      <c r="F1466" s="62"/>
      <c r="G1466" s="62"/>
      <c r="H1466" s="62"/>
      <c r="I1466" s="62"/>
    </row>
    <row r="1467" customFormat="false" ht="15" hidden="false" customHeight="false" outlineLevel="0" collapsed="false">
      <c r="A1467" s="63" t="s">
        <v>3659</v>
      </c>
      <c r="B1467" s="64" t="s">
        <v>4374</v>
      </c>
      <c r="C1467" s="63" t="s">
        <v>41</v>
      </c>
      <c r="D1467" s="64" t="str">
        <f aca="false">TRIM(LEFT('Onshore - Adelaide'!A487,FIND(CHAR(10),'Onshore - Adelaide'!A487&amp;CHAR(10))-1))</f>
        <v>TAFE SA</v>
      </c>
      <c r="E1467" s="63" t="str">
        <f aca="false">'Onshore - Adelaide'!C528&amp;""</f>
        <v>1 year</v>
      </c>
      <c r="F1467" s="63" t="str">
        <f aca="false">IF('Onshore - Adelaide'!D528="","Belum tercatat",'Onshore - Adelaide'!D528)</f>
        <v>Semester</v>
      </c>
      <c r="G1467" s="65" t="n">
        <f aca="false">IF('Onshore - Adelaide'!E528="","-",'Onshore - Adelaide'!E528)</f>
        <v>8135</v>
      </c>
      <c r="H1467" s="63" t="n">
        <f aca="false">IF(ISNUMBER(K1467),COUNTIFS($J$6:$J$1916,J1467,$K$6:$K$1916,"&lt;"&amp;K1467)+1,"-")</f>
        <v>1</v>
      </c>
      <c r="I1467" s="64" t="str">
        <f aca="false">IF('Onshore - Adelaide'!E528="","Harga belum tersedia - hubungi konsultan TEG",IF(M1467=2,"Saat ini tidak menerima pendaftaran siswa internasional baru",IF(M1467=1,"Harga perlu dikonfirmasi ke sekolah"&amp;IF(""="","","; "&amp;""),"")))</f>
        <v/>
      </c>
      <c r="J1467" s="0" t="s">
        <v>4379</v>
      </c>
      <c r="K1467" s="0" t="n">
        <f aca="false">IF(M1467=2,"",IF(ISNUMBER(SEARCH("rata-rata:",'Onshore - Adelaide'!M528)),VALUE(MID('Onshore - Adelaide'!M528,SEARCH("rata-rata:",'Onshore - Adelaide'!M528)+11,FIND(";",'Onshore - Adelaide'!M528&amp;";",SEARCH("rata-rata:",'Onshore - Adelaide'!M528))-SEARCH("rata-rata:",'Onshore - Adelaide'!M528)-11)),IF('Onshore - Adelaide'!D528="Semester",'Onshore - Adelaide'!E528*2,IF('Onshore - Adelaide'!D528="Trimester",'Onshore - Adelaide'!E528*3,IF('Onshore - Adelaide'!D528="Term",'Onshore - Adelaide'!E528*4,IF('Onshore - Adelaide'!D528="Unit",'Onshore - Adelaide'!E528*8,""))))))</f>
        <v>16270</v>
      </c>
      <c r="L1467" s="0" t="n">
        <f aca="false">IF(AND(ISNUMBER('Onshore - Adelaide'!E528),ISNUMBER(K1467),ISNUMBER('Onshore - Adelaide'!F528),ISNUMBER('Onshore - Adelaide'!G528),OR('Onshore - Adelaide'!F528&lt;&gt;0,ISNUMBER(SEARCH("Material 0 terverifikasi",'Onshore - Adelaide'!M528))),OR('Onshore - Adelaide'!G528&lt;&gt;0,ISNUMBER(SEARCH("Enrolment 0 terverifikasi",'Onshore - Adelaide'!M528)))),1,0)</f>
        <v>0</v>
      </c>
      <c r="M1467" s="0" t="n">
        <f aca="false">IF(OR('Onshore - Adelaide'!E528="",ISNUMBER(SEARCH("BSB80120",'Onshore - Adelaide'!B528&amp;'Onshore - Adelaide'!M528)),ISNUMBER(SEARCH("Management (Learning)",'Onshore - Adelaide'!B528))),2,IF(ISNUMBER(SEARCH("CEK:",'Onshore - Adelaide'!M528)),1,0))</f>
        <v>0</v>
      </c>
    </row>
    <row r="1468" customFormat="false" ht="15" hidden="false" customHeight="false" outlineLevel="0" collapsed="false">
      <c r="A1468" s="63" t="s">
        <v>3659</v>
      </c>
      <c r="B1468" s="64" t="s">
        <v>4374</v>
      </c>
      <c r="C1468" s="63" t="s">
        <v>41</v>
      </c>
      <c r="D1468" s="64" t="str">
        <f aca="false">TRIM(LEFT('Onshore - Adelaide'!A545,FIND(CHAR(10),'Onshore - Adelaide'!A545&amp;CHAR(10))-1))</f>
        <v>Torrens University Australia</v>
      </c>
      <c r="E1468" s="63" t="str">
        <f aca="false">'Onshore - Adelaide'!C579&amp;""</f>
        <v>1 year</v>
      </c>
      <c r="F1468" s="63" t="str">
        <f aca="false">IF('Onshore - Adelaide'!D579="","Belum tercatat",'Onshore - Adelaide'!D579)</f>
        <v>Term</v>
      </c>
      <c r="G1468" s="65" t="n">
        <f aca="false">IF('Onshore - Adelaide'!E579="","-",'Onshore - Adelaide'!E579)</f>
        <v>7900</v>
      </c>
      <c r="H1468" s="63" t="n">
        <f aca="false">IF(ISNUMBER(K1468),COUNTIFS($J$6:$J$1916,J1468,$K$6:$K$1916,"&lt;"&amp;K1468)+1,"-")</f>
        <v>2</v>
      </c>
      <c r="I1468" s="64" t="str">
        <f aca="false">IF('Onshore - Adelaide'!E579="","Harga belum tersedia - hubungi konsultan TEG",IF(M1468=2,"Saat ini tidak menerima pendaftaran siswa internasional baru",IF(M1468=1,"Harga perlu dikonfirmasi ke sekolah"&amp;IF(""="","","; "&amp;""),"")))</f>
        <v/>
      </c>
      <c r="J1468" s="0" t="s">
        <v>4379</v>
      </c>
      <c r="K1468" s="0" t="n">
        <f aca="false">IF(M1468=2,"",IF(ISNUMBER(SEARCH("rata-rata:",'Onshore - Adelaide'!M579)),VALUE(MID('Onshore - Adelaide'!M579,SEARCH("rata-rata:",'Onshore - Adelaide'!M579)+11,FIND(";",'Onshore - Adelaide'!M579&amp;";",SEARCH("rata-rata:",'Onshore - Adelaide'!M579))-SEARCH("rata-rata:",'Onshore - Adelaide'!M579)-11)),IF('Onshore - Adelaide'!D579="Semester",'Onshore - Adelaide'!E579*2,IF('Onshore - Adelaide'!D579="Trimester",'Onshore - Adelaide'!E579*3,IF('Onshore - Adelaide'!D579="Term",'Onshore - Adelaide'!E579*4,IF('Onshore - Adelaide'!D579="Unit",'Onshore - Adelaide'!E579*8,""))))))</f>
        <v>31600</v>
      </c>
      <c r="L1468" s="0" t="n">
        <f aca="false">IF(AND(ISNUMBER('Onshore - Adelaide'!E579),ISNUMBER(K1468),ISNUMBER('Onshore - Adelaide'!F579),ISNUMBER('Onshore - Adelaide'!G579),OR('Onshore - Adelaide'!F579&lt;&gt;0,ISNUMBER(SEARCH("Material 0 terverifikasi",'Onshore - Adelaide'!M579))),OR('Onshore - Adelaide'!G579&lt;&gt;0,ISNUMBER(SEARCH("Enrolment 0 terverifikasi",'Onshore - Adelaide'!M579)))),1,0)</f>
        <v>0</v>
      </c>
      <c r="M1468" s="0" t="n">
        <f aca="false">IF(OR('Onshore - Adelaide'!E579="",ISNUMBER(SEARCH("BSB80120",'Onshore - Adelaide'!B579&amp;'Onshore - Adelaide'!M579)),ISNUMBER(SEARCH("Management (Learning)",'Onshore - Adelaide'!B579))),2,IF(ISNUMBER(SEARCH("CEK:",'Onshore - Adelaide'!M579)),1,0))</f>
        <v>0</v>
      </c>
    </row>
    <row r="1469" customFormat="false" ht="15" hidden="false" customHeight="false" outlineLevel="0" collapsed="false">
      <c r="A1469" s="61" t="s">
        <v>4380</v>
      </c>
      <c r="B1469" s="62"/>
      <c r="C1469" s="62"/>
      <c r="D1469" s="62"/>
      <c r="E1469" s="62"/>
      <c r="F1469" s="62"/>
      <c r="G1469" s="62"/>
      <c r="H1469" s="62"/>
      <c r="I1469" s="62"/>
    </row>
    <row r="1470" customFormat="false" ht="28.35" hidden="false" customHeight="false" outlineLevel="0" collapsed="false">
      <c r="A1470" s="63" t="s">
        <v>3659</v>
      </c>
      <c r="B1470" s="64" t="s">
        <v>4374</v>
      </c>
      <c r="C1470" s="63" t="s">
        <v>42</v>
      </c>
      <c r="D1470" s="64" t="str">
        <f aca="false">TRIM(LEFT('Onshore - Adelaide'!A376,FIND(CHAR(10),'Onshore - Adelaide'!A376&amp;CHAR(10))-1))</f>
        <v>Albright Institute of Business and Language (AIBL)</v>
      </c>
      <c r="E1470" s="63" t="str">
        <f aca="false">'Onshore - Adelaide'!C380&amp;""</f>
        <v>2 years</v>
      </c>
      <c r="F1470" s="63" t="str">
        <f aca="false">IF('Onshore - Adelaide'!D380="","Belum tercatat",'Onshore - Adelaide'!D380)</f>
        <v>Term</v>
      </c>
      <c r="G1470" s="65" t="n">
        <f aca="false">IF('Onshore - Adelaide'!E380="","-",'Onshore - Adelaide'!E380)</f>
        <v>1250</v>
      </c>
      <c r="H1470" s="63" t="n">
        <f aca="false">IF(ISNUMBER(K1470),COUNTIFS($J$6:$J$1916,J1470,$K$6:$K$1916,"&lt;"&amp;K1470)+1,"-")</f>
        <v>1</v>
      </c>
      <c r="I1470" s="64" t="str">
        <f aca="false">IF('Onshore - Adelaide'!E380="","Harga belum tersedia - hubungi konsultan TEG",IF(M1470=2,"Saat ini tidak menerima pendaftaran siswa internasional baru",IF(M1470=1,"Harga perlu dikonfirmasi ke sekolah"&amp;IF(""="","","; "&amp;""),"")))</f>
        <v/>
      </c>
      <c r="J1470" s="0" t="s">
        <v>4381</v>
      </c>
      <c r="K1470" s="0" t="n">
        <f aca="false">IF(M1470=2,"",IF(ISNUMBER(SEARCH("rata-rata:",'Onshore - Adelaide'!M380)),VALUE(MID('Onshore - Adelaide'!M380,SEARCH("rata-rata:",'Onshore - Adelaide'!M380)+11,FIND(";",'Onshore - Adelaide'!M380&amp;";",SEARCH("rata-rata:",'Onshore - Adelaide'!M380))-SEARCH("rata-rata:",'Onshore - Adelaide'!M380)-11)),IF('Onshore - Adelaide'!D380="Semester",'Onshore - Adelaide'!E380*2,IF('Onshore - Adelaide'!D380="Trimester",'Onshore - Adelaide'!E380*3,IF('Onshore - Adelaide'!D380="Term",'Onshore - Adelaide'!E380*4,IF('Onshore - Adelaide'!D380="Unit",'Onshore - Adelaide'!E380*8,""))))))</f>
        <v>5000</v>
      </c>
      <c r="L1470" s="0" t="n">
        <f aca="false">IF(AND(ISNUMBER('Onshore - Adelaide'!E380),ISNUMBER(K1470),ISNUMBER('Onshore - Adelaide'!F380),ISNUMBER('Onshore - Adelaide'!G380),OR('Onshore - Adelaide'!F380&lt;&gt;0,ISNUMBER(SEARCH("Material 0 terverifikasi",'Onshore - Adelaide'!M380))),OR('Onshore - Adelaide'!G380&lt;&gt;0,ISNUMBER(SEARCH("Enrolment 0 terverifikasi",'Onshore - Adelaide'!M380)))),1,0)</f>
        <v>1</v>
      </c>
      <c r="M1470" s="0" t="n">
        <f aca="false">IF(OR('Onshore - Adelaide'!E380="",ISNUMBER(SEARCH("BSB80120",'Onshore - Adelaide'!B380&amp;'Onshore - Adelaide'!M380)),ISNUMBER(SEARCH("Management (Learning)",'Onshore - Adelaide'!B380))),2,IF(ISNUMBER(SEARCH("CEK:",'Onshore - Adelaide'!M380)),1,0))</f>
        <v>0</v>
      </c>
    </row>
    <row r="1471" customFormat="false" ht="15" hidden="false" customHeight="false" outlineLevel="0" collapsed="false">
      <c r="A1471" s="63" t="s">
        <v>3659</v>
      </c>
      <c r="B1471" s="64" t="s">
        <v>4374</v>
      </c>
      <c r="C1471" s="63" t="s">
        <v>42</v>
      </c>
      <c r="D1471" s="64" t="str">
        <f aca="false">TRIM(LEFT('Onshore - Adelaide'!A433,FIND(CHAR(10),'Onshore - Adelaide'!A433&amp;CHAR(10))-1))</f>
        <v>Greenwich College</v>
      </c>
      <c r="E1471" s="63" t="str">
        <f aca="false">'Onshore - Adelaide'!C435&amp;""</f>
        <v>2 years</v>
      </c>
      <c r="F1471" s="63" t="str">
        <f aca="false">IF('Onshore - Adelaide'!D435="","Belum tercatat",'Onshore - Adelaide'!D435)</f>
        <v>Term</v>
      </c>
      <c r="G1471" s="65" t="n">
        <f aca="false">IF('Onshore - Adelaide'!E435="","-",'Onshore - Adelaide'!E435)</f>
        <v>1250</v>
      </c>
      <c r="H1471" s="63" t="n">
        <f aca="false">IF(ISNUMBER(K1471),COUNTIFS($J$6:$J$1916,J1471,$K$6:$K$1916,"&lt;"&amp;K1471)+1,"-")</f>
        <v>1</v>
      </c>
      <c r="I1471" s="64" t="str">
        <f aca="false">IF('Onshore - Adelaide'!E435="","Harga belum tersedia - hubungi konsultan TEG",IF(M1471=2,"Saat ini tidak menerima pendaftaran siswa internasional baru",IF(M1471=1,"Harga perlu dikonfirmasi ke sekolah"&amp;IF(""="","","; "&amp;""),"")))</f>
        <v/>
      </c>
      <c r="J1471" s="0" t="s">
        <v>4381</v>
      </c>
      <c r="K1471" s="0" t="n">
        <f aca="false">IF(M1471=2,"",IF(ISNUMBER(SEARCH("rata-rata:",'Onshore - Adelaide'!M435)),VALUE(MID('Onshore - Adelaide'!M435,SEARCH("rata-rata:",'Onshore - Adelaide'!M435)+11,FIND(";",'Onshore - Adelaide'!M435&amp;";",SEARCH("rata-rata:",'Onshore - Adelaide'!M435))-SEARCH("rata-rata:",'Onshore - Adelaide'!M435)-11)),IF('Onshore - Adelaide'!D435="Semester",'Onshore - Adelaide'!E435*2,IF('Onshore - Adelaide'!D435="Trimester",'Onshore - Adelaide'!E435*3,IF('Onshore - Adelaide'!D435="Term",'Onshore - Adelaide'!E435*4,IF('Onshore - Adelaide'!D435="Unit",'Onshore - Adelaide'!E435*8,""))))))</f>
        <v>5000</v>
      </c>
      <c r="L1471" s="0" t="n">
        <f aca="false">IF(AND(ISNUMBER('Onshore - Adelaide'!E435),ISNUMBER(K1471),ISNUMBER('Onshore - Adelaide'!F435),ISNUMBER('Onshore - Adelaide'!G435),OR('Onshore - Adelaide'!F435&lt;&gt;0,ISNUMBER(SEARCH("Material 0 terverifikasi",'Onshore - Adelaide'!M435))),OR('Onshore - Adelaide'!G435&lt;&gt;0,ISNUMBER(SEARCH("Enrolment 0 terverifikasi",'Onshore - Adelaide'!M435)))),1,0)</f>
        <v>1</v>
      </c>
      <c r="M1471" s="0" t="n">
        <f aca="false">IF(OR('Onshore - Adelaide'!E435="",ISNUMBER(SEARCH("BSB80120",'Onshore - Adelaide'!B435&amp;'Onshore - Adelaide'!M435)),ISNUMBER(SEARCH("Management (Learning)",'Onshore - Adelaide'!B435))),2,IF(ISNUMBER(SEARCH("CEK:",'Onshore - Adelaide'!M435)),1,0))</f>
        <v>0</v>
      </c>
    </row>
    <row r="1472" customFormat="false" ht="15" hidden="false" customHeight="false" outlineLevel="0" collapsed="false">
      <c r="A1472" s="63" t="s">
        <v>3659</v>
      </c>
      <c r="B1472" s="64" t="s">
        <v>4374</v>
      </c>
      <c r="C1472" s="63" t="s">
        <v>42</v>
      </c>
      <c r="D1472" s="64" t="str">
        <f aca="false">TRIM(LEFT('Onshore - Adelaide'!A6,FIND(CHAR(10),'Onshore - Adelaide'!A6&amp;CHAR(10))-1))</f>
        <v>Abbey College Australia</v>
      </c>
      <c r="E1472" s="63" t="str">
        <f aca="false">'Onshore - Adelaide'!C6&amp;""</f>
        <v>4 years</v>
      </c>
      <c r="F1472" s="63" t="str">
        <f aca="false">IF('Onshore - Adelaide'!D6="","Belum tercatat",'Onshore - Adelaide'!D6)</f>
        <v>Term</v>
      </c>
      <c r="G1472" s="65" t="n">
        <f aca="false">IF('Onshore - Adelaide'!E6="","-",'Onshore - Adelaide'!E6)</f>
        <v>1500</v>
      </c>
      <c r="H1472" s="63" t="n">
        <f aca="false">IF(ISNUMBER(K1472),COUNTIFS($J$6:$J$1916,J1472,$K$6:$K$1916,"&lt;"&amp;K1472)+1,"-")</f>
        <v>3</v>
      </c>
      <c r="I1472" s="64" t="str">
        <f aca="false">IF('Onshore - Adelaide'!E6="","Harga belum tersedia - hubungi konsultan TEG",IF(M1472=2,"Saat ini tidak menerima pendaftaran siswa internasional baru",IF(M1472=1,"Harga perlu dikonfirmasi ke sekolah"&amp;IF(""="","","; "&amp;""),"")))</f>
        <v/>
      </c>
      <c r="J1472" s="0" t="s">
        <v>4381</v>
      </c>
      <c r="K1472" s="0" t="n">
        <f aca="false">IF(M1472=2,"",IF(ISNUMBER(SEARCH("rata-rata:",'Onshore - Adelaide'!M6)),VALUE(MID('Onshore - Adelaide'!M6,SEARCH("rata-rata:",'Onshore - Adelaide'!M6)+11,FIND(";",'Onshore - Adelaide'!M6&amp;";",SEARCH("rata-rata:",'Onshore - Adelaide'!M6))-SEARCH("rata-rata:",'Onshore - Adelaide'!M6)-11)),IF('Onshore - Adelaide'!D6="Semester",'Onshore - Adelaide'!E6*2,IF('Onshore - Adelaide'!D6="Trimester",'Onshore - Adelaide'!E6*3,IF('Onshore - Adelaide'!D6="Term",'Onshore - Adelaide'!E6*4,IF('Onshore - Adelaide'!D6="Unit",'Onshore - Adelaide'!E6*8,""))))))</f>
        <v>6000</v>
      </c>
      <c r="L1472" s="0" t="n">
        <f aca="false">IF(AND(ISNUMBER('Onshore - Adelaide'!E6),ISNUMBER(K1472),ISNUMBER('Onshore - Adelaide'!F6),ISNUMBER('Onshore - Adelaide'!G6),OR('Onshore - Adelaide'!F6&lt;&gt;0,ISNUMBER(SEARCH("Material 0 terverifikasi",'Onshore - Adelaide'!M6))),OR('Onshore - Adelaide'!G6&lt;&gt;0,ISNUMBER(SEARCH("Enrolment 0 terverifikasi",'Onshore - Adelaide'!M6)))),1,0)</f>
        <v>1</v>
      </c>
      <c r="M1472" s="0" t="n">
        <f aca="false">IF(OR('Onshore - Adelaide'!E6="",ISNUMBER(SEARCH("BSB80120",'Onshore - Adelaide'!B6&amp;'Onshore - Adelaide'!M6)),ISNUMBER(SEARCH("Management (Learning)",'Onshore - Adelaide'!B6))),2,IF(ISNUMBER(SEARCH("CEK:",'Onshore - Adelaide'!M6)),1,0))</f>
        <v>0</v>
      </c>
    </row>
    <row r="1473" customFormat="false" ht="15" hidden="false" customHeight="false" outlineLevel="0" collapsed="false">
      <c r="A1473" s="63" t="s">
        <v>3659</v>
      </c>
      <c r="B1473" s="64" t="s">
        <v>4374</v>
      </c>
      <c r="C1473" s="63" t="s">
        <v>42</v>
      </c>
      <c r="D1473" s="64" t="str">
        <f aca="false">TRIM(LEFT('Onshore - Adelaide'!A429,FIND(CHAR(10),'Onshore - Adelaide'!A429&amp;CHAR(10))-1))</f>
        <v>Concord Institute</v>
      </c>
      <c r="E1473" s="63" t="str">
        <f aca="false">'Onshore - Adelaide'!C432&amp;""</f>
        <v>2 years</v>
      </c>
      <c r="F1473" s="63" t="str">
        <f aca="false">IF('Onshore - Adelaide'!D432="","Belum tercatat",'Onshore - Adelaide'!D432)</f>
        <v>Term</v>
      </c>
      <c r="G1473" s="65" t="n">
        <f aca="false">IF('Onshore - Adelaide'!E432="","-",'Onshore - Adelaide'!E432)</f>
        <v>2200</v>
      </c>
      <c r="H1473" s="63" t="n">
        <f aca="false">IF(ISNUMBER(K1473),COUNTIFS($J$6:$J$1916,J1473,$K$6:$K$1916,"&lt;"&amp;K1473)+1,"-")</f>
        <v>4</v>
      </c>
      <c r="I1473" s="64" t="str">
        <f aca="false">IF('Onshore - Adelaide'!E432="","Harga belum tersedia - hubungi konsultan TEG",IF(M1473=2,"Saat ini tidak menerima pendaftaran siswa internasional baru",IF(M1473=1,"Program perlu dikonfirmasi ketersediaannya"&amp;IF(""="","","; "&amp;""),"")))</f>
        <v>Program perlu dikonfirmasi ketersediaannya</v>
      </c>
      <c r="J1473" s="0" t="s">
        <v>4381</v>
      </c>
      <c r="K1473" s="0" t="n">
        <f aca="false">IF(M1473=2,"",IF(ISNUMBER(SEARCH("rata-rata:",'Onshore - Adelaide'!M432)),VALUE(MID('Onshore - Adelaide'!M432,SEARCH("rata-rata:",'Onshore - Adelaide'!M432)+11,FIND(";",'Onshore - Adelaide'!M432&amp;";",SEARCH("rata-rata:",'Onshore - Adelaide'!M432))-SEARCH("rata-rata:",'Onshore - Adelaide'!M432)-11)),IF('Onshore - Adelaide'!D432="Semester",'Onshore - Adelaide'!E432*2,IF('Onshore - Adelaide'!D432="Trimester",'Onshore - Adelaide'!E432*3,IF('Onshore - Adelaide'!D432="Term",'Onshore - Adelaide'!E432*4,IF('Onshore - Adelaide'!D432="Unit",'Onshore - Adelaide'!E432*8,""))))))</f>
        <v>8800</v>
      </c>
      <c r="L1473" s="0" t="n">
        <f aca="false">IF(AND(ISNUMBER('Onshore - Adelaide'!E432),ISNUMBER(K1473),ISNUMBER('Onshore - Adelaide'!F432),ISNUMBER('Onshore - Adelaide'!G432),OR('Onshore - Adelaide'!F432&lt;&gt;0,ISNUMBER(SEARCH("Material 0 terverifikasi",'Onshore - Adelaide'!M432))),OR('Onshore - Adelaide'!G432&lt;&gt;0,ISNUMBER(SEARCH("Enrolment 0 terverifikasi",'Onshore - Adelaide'!M432)))),1,0)</f>
        <v>1</v>
      </c>
      <c r="M1473" s="0" t="n">
        <f aca="false">IF(OR('Onshore - Adelaide'!E432="",ISNUMBER(SEARCH("BSB80120",'Onshore - Adelaide'!B432&amp;'Onshore - Adelaide'!M432)),ISNUMBER(SEARCH("Management (Learning)",'Onshore - Adelaide'!B432))),2,IF(ISNUMBER(SEARCH("CEK:",'Onshore - Adelaide'!M432)),1,0))</f>
        <v>1</v>
      </c>
    </row>
    <row r="1474" customFormat="false" ht="15" hidden="false" customHeight="false" outlineLevel="0" collapsed="false">
      <c r="A1474" s="63" t="s">
        <v>3659</v>
      </c>
      <c r="B1474" s="64" t="s">
        <v>4374</v>
      </c>
      <c r="C1474" s="63" t="s">
        <v>42</v>
      </c>
      <c r="D1474" s="64" t="str">
        <f aca="false">TRIM(LEFT('Onshore - Adelaide'!A483,FIND(CHAR(10),'Onshore - Adelaide'!A483&amp;CHAR(10))-1))</f>
        <v>Sydney City College of Management</v>
      </c>
      <c r="E1474" s="63" t="str">
        <f aca="false">'Onshore - Adelaide'!C484&amp;""</f>
        <v>2,5 years</v>
      </c>
      <c r="F1474" s="63" t="str">
        <f aca="false">IF('Onshore - Adelaide'!D484="","Belum tercatat",'Onshore - Adelaide'!D484)</f>
        <v>Term</v>
      </c>
      <c r="G1474" s="65" t="n">
        <f aca="false">IF('Onshore - Adelaide'!E484="","-",'Onshore - Adelaide'!E484)</f>
        <v>3000</v>
      </c>
      <c r="H1474" s="63" t="n">
        <f aca="false">IF(ISNUMBER(K1474),COUNTIFS($J$6:$J$1916,J1474,$K$6:$K$1916,"&lt;"&amp;K1474)+1,"-")</f>
        <v>5</v>
      </c>
      <c r="I1474" s="64" t="str">
        <f aca="false">IF('Onshore - Adelaide'!E484="","Harga belum tersedia - hubungi konsultan TEG",IF(M1474=2,"Saat ini tidak menerima pendaftaran siswa internasional baru",IF(M1474=1,"Harga perlu dikonfirmasi ke sekolah"&amp;IF(""="","","; "&amp;""),"")))</f>
        <v/>
      </c>
      <c r="J1474" s="0" t="s">
        <v>4381</v>
      </c>
      <c r="K1474" s="0" t="n">
        <f aca="false">IF(M1474=2,"",IF(ISNUMBER(SEARCH("rata-rata:",'Onshore - Adelaide'!M484)),VALUE(MID('Onshore - Adelaide'!M484,SEARCH("rata-rata:",'Onshore - Adelaide'!M484)+11,FIND(";",'Onshore - Adelaide'!M484&amp;";",SEARCH("rata-rata:",'Onshore - Adelaide'!M484))-SEARCH("rata-rata:",'Onshore - Adelaide'!M484)-11)),IF('Onshore - Adelaide'!D484="Semester",'Onshore - Adelaide'!E484*2,IF('Onshore - Adelaide'!D484="Trimester",'Onshore - Adelaide'!E484*3,IF('Onshore - Adelaide'!D484="Term",'Onshore - Adelaide'!E484*4,IF('Onshore - Adelaide'!D484="Unit",'Onshore - Adelaide'!E484*8,""))))))</f>
        <v>12000</v>
      </c>
      <c r="L1474" s="0" t="n">
        <f aca="false">IF(AND(ISNUMBER('Onshore - Adelaide'!E484),ISNUMBER(K1474),ISNUMBER('Onshore - Adelaide'!F484),ISNUMBER('Onshore - Adelaide'!G484),OR('Onshore - Adelaide'!F484&lt;&gt;0,ISNUMBER(SEARCH("Material 0 terverifikasi",'Onshore - Adelaide'!M484))),OR('Onshore - Adelaide'!G484&lt;&gt;0,ISNUMBER(SEARCH("Enrolment 0 terverifikasi",'Onshore - Adelaide'!M484)))),1,0)</f>
        <v>1</v>
      </c>
      <c r="M1474" s="0" t="n">
        <f aca="false">IF(OR('Onshore - Adelaide'!E484="",ISNUMBER(SEARCH("BSB80120",'Onshore - Adelaide'!B484&amp;'Onshore - Adelaide'!M484)),ISNUMBER(SEARCH("Management (Learning)",'Onshore - Adelaide'!B484))),2,IF(ISNUMBER(SEARCH("CEK:",'Onshore - Adelaide'!M484)),1,0))</f>
        <v>0</v>
      </c>
    </row>
    <row r="1475" customFormat="false" ht="15" hidden="false" customHeight="false" outlineLevel="0" collapsed="false">
      <c r="A1475" s="61" t="s">
        <v>4382</v>
      </c>
      <c r="B1475" s="62"/>
      <c r="C1475" s="62"/>
      <c r="D1475" s="62"/>
      <c r="E1475" s="62"/>
      <c r="F1475" s="62"/>
      <c r="G1475" s="62"/>
      <c r="H1475" s="62"/>
      <c r="I1475" s="62"/>
    </row>
    <row r="1476" customFormat="false" ht="28.35" hidden="false" customHeight="false" outlineLevel="0" collapsed="false">
      <c r="A1476" s="63" t="s">
        <v>3659</v>
      </c>
      <c r="B1476" s="64" t="s">
        <v>4374</v>
      </c>
      <c r="C1476" s="63" t="s">
        <v>43</v>
      </c>
      <c r="D1476" s="64" t="str">
        <f aca="false">TRIM(LEFT('Onshore - Adelaide'!A419,FIND(CHAR(10),'Onshore - Adelaide'!A419&amp;CHAR(10))-1))</f>
        <v>Australian Institute of Advanced Technologies (AIAT)</v>
      </c>
      <c r="E1476" s="63" t="str">
        <f aca="false">'Onshore - Adelaide'!C423&amp;""</f>
        <v>3 years</v>
      </c>
      <c r="F1476" s="63" t="str">
        <f aca="false">IF('Onshore - Adelaide'!D423="","Belum tercatat",'Onshore - Adelaide'!D423)</f>
        <v>Term</v>
      </c>
      <c r="G1476" s="65" t="n">
        <f aca="false">IF('Onshore - Adelaide'!E423="","-",'Onshore - Adelaide'!E423)</f>
        <v>3000</v>
      </c>
      <c r="H1476" s="63" t="n">
        <f aca="false">IF(ISNUMBER(K1476),COUNTIFS($J$6:$J$1916,J1476,$K$6:$K$1916,"&lt;"&amp;K1476)+1,"-")</f>
        <v>1</v>
      </c>
      <c r="I1476" s="64" t="str">
        <f aca="false">IF('Onshore - Adelaide'!E423="","Harga belum tersedia - hubungi konsultan TEG",IF(M1476=2,"Saat ini tidak menerima pendaftaran siswa internasional baru",IF(M1476=1,"Harga perlu dikonfirmasi ke sekolah"&amp;IF(""="","","; "&amp;""),"")))</f>
        <v/>
      </c>
      <c r="J1476" s="0" t="s">
        <v>4383</v>
      </c>
      <c r="K1476" s="0" t="n">
        <f aca="false">IF(M1476=2,"",IF(ISNUMBER(SEARCH("rata-rata:",'Onshore - Adelaide'!M423)),VALUE(MID('Onshore - Adelaide'!M423,SEARCH("rata-rata:",'Onshore - Adelaide'!M423)+11,FIND(";",'Onshore - Adelaide'!M423&amp;";",SEARCH("rata-rata:",'Onshore - Adelaide'!M423))-SEARCH("rata-rata:",'Onshore - Adelaide'!M423)-11)),IF('Onshore - Adelaide'!D423="Semester",'Onshore - Adelaide'!E423*2,IF('Onshore - Adelaide'!D423="Trimester",'Onshore - Adelaide'!E423*3,IF('Onshore - Adelaide'!D423="Term",'Onshore - Adelaide'!E423*4,IF('Onshore - Adelaide'!D423="Unit",'Onshore - Adelaide'!E423*8,""))))))</f>
        <v>12000</v>
      </c>
      <c r="L1476" s="0" t="n">
        <f aca="false">IF(AND(ISNUMBER('Onshore - Adelaide'!E423),ISNUMBER(K1476),ISNUMBER('Onshore - Adelaide'!F423),ISNUMBER('Onshore - Adelaide'!G423),OR('Onshore - Adelaide'!F423&lt;&gt;0,ISNUMBER(SEARCH("Material 0 terverifikasi",'Onshore - Adelaide'!M423))),OR('Onshore - Adelaide'!G423&lt;&gt;0,ISNUMBER(SEARCH("Enrolment 0 terverifikasi",'Onshore - Adelaide'!M423)))),1,0)</f>
        <v>0</v>
      </c>
      <c r="M1476" s="0" t="n">
        <f aca="false">IF(OR('Onshore - Adelaide'!E423="",ISNUMBER(SEARCH("BSB80120",'Onshore - Adelaide'!B423&amp;'Onshore - Adelaide'!M423)),ISNUMBER(SEARCH("Management (Learning)",'Onshore - Adelaide'!B423))),2,IF(ISNUMBER(SEARCH("CEK:",'Onshore - Adelaide'!M423)),1,0))</f>
        <v>0</v>
      </c>
    </row>
    <row r="1477" customFormat="false" ht="28.35" hidden="false" customHeight="false" outlineLevel="0" collapsed="false">
      <c r="A1477" s="63" t="s">
        <v>3659</v>
      </c>
      <c r="B1477" s="64" t="s">
        <v>4374</v>
      </c>
      <c r="C1477" s="63" t="s">
        <v>43</v>
      </c>
      <c r="D1477" s="64" t="str">
        <f aca="false">TRIM(LEFT('Onshore - Adelaide'!A441,FIND(CHAR(10),'Onshore - Adelaide'!A441&amp;CHAR(10))-1))</f>
        <v>Greenwich Higher Education (Academy of Interactive Technology Pty Ltd)</v>
      </c>
      <c r="E1477" s="63" t="str">
        <f aca="false">'Onshore - Adelaide'!C441&amp;""</f>
        <v>3 years</v>
      </c>
      <c r="F1477" s="63" t="str">
        <f aca="false">IF('Onshore - Adelaide'!D441="","Belum tercatat",'Onshore - Adelaide'!D441)</f>
        <v>Term</v>
      </c>
      <c r="G1477" s="65" t="n">
        <f aca="false">IF('Onshore - Adelaide'!E441="","-",'Onshore - Adelaide'!E441)</f>
        <v>4025</v>
      </c>
      <c r="H1477" s="63" t="n">
        <f aca="false">IF(ISNUMBER(K1477),COUNTIFS($J$6:$J$1916,J1477,$K$6:$K$1916,"&lt;"&amp;K1477)+1,"-")</f>
        <v>2</v>
      </c>
      <c r="I1477" s="64" t="str">
        <f aca="false">IF('Onshore - Adelaide'!E441="","Harga belum tersedia - hubungi konsultan TEG",IF(M1477=2,"Saat ini tidak menerima pendaftaran siswa internasional baru",IF(M1477=1,"Program perlu dikonfirmasi ketersediaannya"&amp;IF(""="","","; "&amp;""),"")))</f>
        <v>Program perlu dikonfirmasi ketersediaannya</v>
      </c>
      <c r="J1477" s="0" t="s">
        <v>4383</v>
      </c>
      <c r="K1477" s="0" t="n">
        <f aca="false">IF(M1477=2,"",IF(ISNUMBER(SEARCH("rata-rata:",'Onshore - Adelaide'!M441)),VALUE(MID('Onshore - Adelaide'!M441,SEARCH("rata-rata:",'Onshore - Adelaide'!M441)+11,FIND(";",'Onshore - Adelaide'!M441&amp;";",SEARCH("rata-rata:",'Onshore - Adelaide'!M441))-SEARCH("rata-rata:",'Onshore - Adelaide'!M441)-11)),IF('Onshore - Adelaide'!D441="Semester",'Onshore - Adelaide'!E441*2,IF('Onshore - Adelaide'!D441="Trimester",'Onshore - Adelaide'!E441*3,IF('Onshore - Adelaide'!D441="Term",'Onshore - Adelaide'!E441*4,IF('Onshore - Adelaide'!D441="Unit",'Onshore - Adelaide'!E441*8,""))))))</f>
        <v>16100</v>
      </c>
      <c r="L1477" s="0" t="n">
        <f aca="false">IF(AND(ISNUMBER('Onshore - Adelaide'!E441),ISNUMBER(K1477),ISNUMBER('Onshore - Adelaide'!F441),ISNUMBER('Onshore - Adelaide'!G441),OR('Onshore - Adelaide'!F441&lt;&gt;0,ISNUMBER(SEARCH("Material 0 terverifikasi",'Onshore - Adelaide'!M441))),OR('Onshore - Adelaide'!G441&lt;&gt;0,ISNUMBER(SEARCH("Enrolment 0 terverifikasi",'Onshore - Adelaide'!M441)))),1,0)</f>
        <v>1</v>
      </c>
      <c r="M1477" s="0" t="n">
        <f aca="false">IF(OR('Onshore - Adelaide'!E441="",ISNUMBER(SEARCH("BSB80120",'Onshore - Adelaide'!B441&amp;'Onshore - Adelaide'!M441)),ISNUMBER(SEARCH("Management (Learning)",'Onshore - Adelaide'!B441))),2,IF(ISNUMBER(SEARCH("CEK:",'Onshore - Adelaide'!M441)),1,0))</f>
        <v>1</v>
      </c>
    </row>
    <row r="1478" customFormat="false" ht="28.35" hidden="false" customHeight="false" outlineLevel="0" collapsed="false">
      <c r="A1478" s="63" t="s">
        <v>3659</v>
      </c>
      <c r="B1478" s="64" t="s">
        <v>4374</v>
      </c>
      <c r="C1478" s="63" t="s">
        <v>43</v>
      </c>
      <c r="D1478" s="64" t="str">
        <f aca="false">TRIM(LEFT('Onshore - Adelaide'!A611,FIND(CHAR(10),'Onshore - Adelaide'!A611&amp;CHAR(10))-1))</f>
        <v>UniSC (University of the Sunshine Coast) - Adelaide</v>
      </c>
      <c r="E1478" s="63" t="str">
        <f aca="false">'Onshore - Adelaide'!C611&amp;""</f>
        <v>3 years</v>
      </c>
      <c r="F1478" s="63" t="str">
        <f aca="false">IF('Onshore - Adelaide'!D611="","Belum tercatat",'Onshore - Adelaide'!D611)</f>
        <v>Term</v>
      </c>
      <c r="G1478" s="65" t="n">
        <f aca="false">IF('Onshore - Adelaide'!E611="","-",'Onshore - Adelaide'!E611)</f>
        <v>5700</v>
      </c>
      <c r="H1478" s="63" t="n">
        <f aca="false">IF(ISNUMBER(K1478),COUNTIFS($J$6:$J$1916,J1478,$K$6:$K$1916,"&lt;"&amp;K1478)+1,"-")</f>
        <v>3</v>
      </c>
      <c r="I1478" s="64" t="str">
        <f aca="false">IF('Onshore - Adelaide'!E611="","Harga belum tersedia - hubungi konsultan TEG",IF(M1478=2,"Saat ini tidak menerima pendaftaran siswa internasional baru",IF(M1478=1,"Harga perlu dikonfirmasi ke sekolah"&amp;IF(""="","","; "&amp;""),"")))</f>
        <v/>
      </c>
      <c r="J1478" s="0" t="s">
        <v>4383</v>
      </c>
      <c r="K1478" s="0" t="n">
        <f aca="false">IF(M1478=2,"",IF(ISNUMBER(SEARCH("rata-rata:",'Onshore - Adelaide'!M611)),VALUE(MID('Onshore - Adelaide'!M611,SEARCH("rata-rata:",'Onshore - Adelaide'!M611)+11,FIND(";",'Onshore - Adelaide'!M611&amp;";",SEARCH("rata-rata:",'Onshore - Adelaide'!M611))-SEARCH("rata-rata:",'Onshore - Adelaide'!M611)-11)),IF('Onshore - Adelaide'!D611="Semester",'Onshore - Adelaide'!E611*2,IF('Onshore - Adelaide'!D611="Trimester",'Onshore - Adelaide'!E611*3,IF('Onshore - Adelaide'!D611="Term",'Onshore - Adelaide'!E611*4,IF('Onshore - Adelaide'!D611="Unit",'Onshore - Adelaide'!E611*8,""))))))</f>
        <v>22800</v>
      </c>
      <c r="L1478" s="0" t="n">
        <f aca="false">IF(AND(ISNUMBER('Onshore - Adelaide'!E611),ISNUMBER(K1478),ISNUMBER('Onshore - Adelaide'!F611),ISNUMBER('Onshore - Adelaide'!G611),OR('Onshore - Adelaide'!F611&lt;&gt;0,ISNUMBER(SEARCH("Material 0 terverifikasi",'Onshore - Adelaide'!M611))),OR('Onshore - Adelaide'!G611&lt;&gt;0,ISNUMBER(SEARCH("Enrolment 0 terverifikasi",'Onshore - Adelaide'!M611)))),1,0)</f>
        <v>0</v>
      </c>
      <c r="M1478" s="0" t="n">
        <f aca="false">IF(OR('Onshore - Adelaide'!E611="",ISNUMBER(SEARCH("BSB80120",'Onshore - Adelaide'!B611&amp;'Onshore - Adelaide'!M611)),ISNUMBER(SEARCH("Management (Learning)",'Onshore - Adelaide'!B611))),2,IF(ISNUMBER(SEARCH("CEK:",'Onshore - Adelaide'!M611)),1,0))</f>
        <v>0</v>
      </c>
    </row>
    <row r="1479" customFormat="false" ht="15" hidden="false" customHeight="false" outlineLevel="0" collapsed="false">
      <c r="A1479" s="63" t="s">
        <v>3659</v>
      </c>
      <c r="B1479" s="64" t="s">
        <v>4374</v>
      </c>
      <c r="C1479" s="63" t="s">
        <v>43</v>
      </c>
      <c r="D1479" s="64" t="str">
        <f aca="false">TRIM(LEFT('Onshore - Adelaide'!A545,FIND(CHAR(10),'Onshore - Adelaide'!A545&amp;CHAR(10))-1))</f>
        <v>Torrens University Australia</v>
      </c>
      <c r="E1479" s="63" t="str">
        <f aca="false">'Onshore - Adelaide'!C580&amp;""</f>
        <v>3 years</v>
      </c>
      <c r="F1479" s="63" t="str">
        <f aca="false">IF('Onshore - Adelaide'!D580="","Belum tercatat",'Onshore - Adelaide'!D580)</f>
        <v>Term</v>
      </c>
      <c r="G1479" s="65" t="n">
        <f aca="false">IF('Onshore - Adelaide'!E580="","-",'Onshore - Adelaide'!E580)</f>
        <v>7900</v>
      </c>
      <c r="H1479" s="63" t="n">
        <f aca="false">IF(ISNUMBER(K1479),COUNTIFS($J$6:$J$1916,J1479,$K$6:$K$1916,"&lt;"&amp;K1479)+1,"-")</f>
        <v>4</v>
      </c>
      <c r="I1479" s="64" t="str">
        <f aca="false">IF('Onshore - Adelaide'!E580="","Harga belum tersedia - hubungi konsultan TEG",IF(M1479=2,"Saat ini tidak menerima pendaftaran siswa internasional baru",IF(M1479=1,"Harga perlu dikonfirmasi ke sekolah"&amp;IF(""="","","; "&amp;""),"")))</f>
        <v/>
      </c>
      <c r="J1479" s="0" t="s">
        <v>4383</v>
      </c>
      <c r="K1479" s="0" t="n">
        <f aca="false">IF(M1479=2,"",IF(ISNUMBER(SEARCH("rata-rata:",'Onshore - Adelaide'!M580)),VALUE(MID('Onshore - Adelaide'!M580,SEARCH("rata-rata:",'Onshore - Adelaide'!M580)+11,FIND(";",'Onshore - Adelaide'!M580&amp;";",SEARCH("rata-rata:",'Onshore - Adelaide'!M580))-SEARCH("rata-rata:",'Onshore - Adelaide'!M580)-11)),IF('Onshore - Adelaide'!D580="Semester",'Onshore - Adelaide'!E580*2,IF('Onshore - Adelaide'!D580="Trimester",'Onshore - Adelaide'!E580*3,IF('Onshore - Adelaide'!D580="Term",'Onshore - Adelaide'!E580*4,IF('Onshore - Adelaide'!D580="Unit",'Onshore - Adelaide'!E580*8,""))))))</f>
        <v>31600</v>
      </c>
      <c r="L1479" s="0" t="n">
        <f aca="false">IF(AND(ISNUMBER('Onshore - Adelaide'!E580),ISNUMBER(K1479),ISNUMBER('Onshore - Adelaide'!F580),ISNUMBER('Onshore - Adelaide'!G580),OR('Onshore - Adelaide'!F580&lt;&gt;0,ISNUMBER(SEARCH("Material 0 terverifikasi",'Onshore - Adelaide'!M580))),OR('Onshore - Adelaide'!G580&lt;&gt;0,ISNUMBER(SEARCH("Enrolment 0 terverifikasi",'Onshore - Adelaide'!M580)))),1,0)</f>
        <v>0</v>
      </c>
      <c r="M1479" s="0" t="n">
        <f aca="false">IF(OR('Onshore - Adelaide'!E580="",ISNUMBER(SEARCH("BSB80120",'Onshore - Adelaide'!B580&amp;'Onshore - Adelaide'!M580)),ISNUMBER(SEARCH("Management (Learning)",'Onshore - Adelaide'!B580))),2,IF(ISNUMBER(SEARCH("CEK:",'Onshore - Adelaide'!M580)),1,0))</f>
        <v>0</v>
      </c>
    </row>
    <row r="1480" customFormat="false" ht="15" hidden="false" customHeight="false" outlineLevel="0" collapsed="false">
      <c r="A1480" s="63" t="s">
        <v>3659</v>
      </c>
      <c r="B1480" s="64" t="s">
        <v>4374</v>
      </c>
      <c r="C1480" s="63" t="s">
        <v>43</v>
      </c>
      <c r="D1480" s="64" t="str">
        <f aca="false">TRIM(LEFT('Onshore - Adelaide'!A15,FIND(CHAR(10),'Onshore - Adelaide'!A15&amp;CHAR(10))-1))</f>
        <v>Adelaide University</v>
      </c>
      <c r="E1480" s="63" t="str">
        <f aca="false">'Onshore - Adelaide'!C125&amp;""</f>
        <v>3 years</v>
      </c>
      <c r="F1480" s="63" t="str">
        <f aca="false">IF('Onshore - Adelaide'!D125="","Belum tercatat",'Onshore - Adelaide'!D125)</f>
        <v>Term</v>
      </c>
      <c r="G1480" s="65" t="n">
        <f aca="false">IF('Onshore - Adelaide'!E125="","-",'Onshore - Adelaide'!E125)</f>
        <v>10850</v>
      </c>
      <c r="H1480" s="63" t="n">
        <f aca="false">IF(ISNUMBER(K1480),COUNTIFS($J$6:$J$1916,J1480,$K$6:$K$1916,"&lt;"&amp;K1480)+1,"-")</f>
        <v>5</v>
      </c>
      <c r="I1480" s="64" t="str">
        <f aca="false">IF('Onshore - Adelaide'!E125="","Harga belum tersedia - hubungi konsultan TEG",IF(M1480=2,"Saat ini tidak menerima pendaftaran siswa internasional baru",IF(M1480=1,"Harga perlu dikonfirmasi ke sekolah"&amp;IF(""="","","; "&amp;""),"")))</f>
        <v/>
      </c>
      <c r="J1480" s="0" t="s">
        <v>4383</v>
      </c>
      <c r="K1480" s="0" t="n">
        <f aca="false">IF(M1480=2,"",IF(ISNUMBER(SEARCH("rata-rata:",'Onshore - Adelaide'!M125)),VALUE(MID('Onshore - Adelaide'!M125,SEARCH("rata-rata:",'Onshore - Adelaide'!M125)+11,FIND(";",'Onshore - Adelaide'!M125&amp;";",SEARCH("rata-rata:",'Onshore - Adelaide'!M125))-SEARCH("rata-rata:",'Onshore - Adelaide'!M125)-11)),IF('Onshore - Adelaide'!D125="Semester",'Onshore - Adelaide'!E125*2,IF('Onshore - Adelaide'!D125="Trimester",'Onshore - Adelaide'!E125*3,IF('Onshore - Adelaide'!D125="Term",'Onshore - Adelaide'!E125*4,IF('Onshore - Adelaide'!D125="Unit",'Onshore - Adelaide'!E125*8,""))))))</f>
        <v>43400</v>
      </c>
      <c r="L1480" s="0" t="n">
        <f aca="false">IF(AND(ISNUMBER('Onshore - Adelaide'!E125),ISNUMBER(K1480),ISNUMBER('Onshore - Adelaide'!F125),ISNUMBER('Onshore - Adelaide'!G125),OR('Onshore - Adelaide'!F125&lt;&gt;0,ISNUMBER(SEARCH("Material 0 terverifikasi",'Onshore - Adelaide'!M125))),OR('Onshore - Adelaide'!G125&lt;&gt;0,ISNUMBER(SEARCH("Enrolment 0 terverifikasi",'Onshore - Adelaide'!M125)))),1,0)</f>
        <v>0</v>
      </c>
      <c r="M1480" s="0" t="n">
        <f aca="false">IF(OR('Onshore - Adelaide'!E125="",ISNUMBER(SEARCH("BSB80120",'Onshore - Adelaide'!B125&amp;'Onshore - Adelaide'!M125)),ISNUMBER(SEARCH("Management (Learning)",'Onshore - Adelaide'!B125))),2,IF(ISNUMBER(SEARCH("CEK:",'Onshore - Adelaide'!M125)),1,0))</f>
        <v>0</v>
      </c>
    </row>
    <row r="1481" customFormat="false" ht="15" hidden="false" customHeight="false" outlineLevel="0" collapsed="false">
      <c r="A1481" s="61" t="s">
        <v>4384</v>
      </c>
      <c r="B1481" s="62"/>
      <c r="C1481" s="62"/>
      <c r="D1481" s="62"/>
      <c r="E1481" s="62"/>
      <c r="F1481" s="62"/>
      <c r="G1481" s="62"/>
      <c r="H1481" s="62"/>
      <c r="I1481" s="62"/>
    </row>
    <row r="1482" customFormat="false" ht="15" hidden="false" customHeight="false" outlineLevel="0" collapsed="false">
      <c r="A1482" s="63" t="s">
        <v>3659</v>
      </c>
      <c r="B1482" s="64" t="s">
        <v>4374</v>
      </c>
      <c r="C1482" s="63" t="s">
        <v>3707</v>
      </c>
      <c r="D1482" s="64" t="str">
        <f aca="false">TRIM(LEFT('Onshore - Adelaide'!A545,FIND(CHAR(10),'Onshore - Adelaide'!A545&amp;CHAR(10))-1))</f>
        <v>Torrens University Australia</v>
      </c>
      <c r="E1482" s="63" t="str">
        <f aca="false">'Onshore - Adelaide'!C562&amp;""</f>
        <v>1 year</v>
      </c>
      <c r="F1482" s="63" t="str">
        <f aca="false">IF('Onshore - Adelaide'!D562="","Belum tercatat",'Onshore - Adelaide'!D562)</f>
        <v>Term</v>
      </c>
      <c r="G1482" s="65" t="n">
        <f aca="false">IF('Onshore - Adelaide'!E562="","-",'Onshore - Adelaide'!E562)</f>
        <v>4500</v>
      </c>
      <c r="H1482" s="63" t="n">
        <f aca="false">IF(ISNUMBER(K1482),COUNTIFS($J$6:$J$1916,J1482,$K$6:$K$1916,"&lt;"&amp;K1482)+1,"-")</f>
        <v>1</v>
      </c>
      <c r="I1482" s="64" t="str">
        <f aca="false">IF('Onshore - Adelaide'!E562="","Harga belum tersedia - hubungi konsultan TEG",IF(M1482=2,"Saat ini tidak menerima pendaftaran siswa internasional baru",IF(M1482=1,"Harga perlu dikonfirmasi ke sekolah"&amp;IF(""="","","; "&amp;""),"")))</f>
        <v/>
      </c>
      <c r="J1482" s="0" t="s">
        <v>4385</v>
      </c>
      <c r="K1482" s="0" t="n">
        <f aca="false">IF(M1482=2,"",IF(ISNUMBER(SEARCH("rata-rata:",'Onshore - Adelaide'!M562)),VALUE(MID('Onshore - Adelaide'!M562,SEARCH("rata-rata:",'Onshore - Adelaide'!M562)+11,FIND(";",'Onshore - Adelaide'!M562&amp;";",SEARCH("rata-rata:",'Onshore - Adelaide'!M562))-SEARCH("rata-rata:",'Onshore - Adelaide'!M562)-11)),IF('Onshore - Adelaide'!D562="Semester",'Onshore - Adelaide'!E562*2,IF('Onshore - Adelaide'!D562="Trimester",'Onshore - Adelaide'!E562*3,IF('Onshore - Adelaide'!D562="Term",'Onshore - Adelaide'!E562*4,IF('Onshore - Adelaide'!D562="Unit",'Onshore - Adelaide'!E562*8,""))))))</f>
        <v>18000</v>
      </c>
      <c r="L1482" s="0" t="n">
        <f aca="false">IF(AND(ISNUMBER('Onshore - Adelaide'!E562),ISNUMBER(K1482),ISNUMBER('Onshore - Adelaide'!F562),ISNUMBER('Onshore - Adelaide'!G562),OR('Onshore - Adelaide'!F562&lt;&gt;0,ISNUMBER(SEARCH("Material 0 terverifikasi",'Onshore - Adelaide'!M562))),OR('Onshore - Adelaide'!G562&lt;&gt;0,ISNUMBER(SEARCH("Enrolment 0 terverifikasi",'Onshore - Adelaide'!M562)))),1,0)</f>
        <v>0</v>
      </c>
      <c r="M1482" s="0" t="n">
        <f aca="false">IF(OR('Onshore - Adelaide'!E562="",ISNUMBER(SEARCH("BSB80120",'Onshore - Adelaide'!B562&amp;'Onshore - Adelaide'!M562)),ISNUMBER(SEARCH("Management (Learning)",'Onshore - Adelaide'!B562))),2,IF(ISNUMBER(SEARCH("CEK:",'Onshore - Adelaide'!M562)),1,0))</f>
        <v>0</v>
      </c>
    </row>
    <row r="1483" customFormat="false" ht="15" hidden="false" customHeight="false" outlineLevel="0" collapsed="false">
      <c r="A1483" s="63" t="s">
        <v>3659</v>
      </c>
      <c r="B1483" s="64" t="s">
        <v>4374</v>
      </c>
      <c r="C1483" s="63" t="s">
        <v>3707</v>
      </c>
      <c r="D1483" s="64" t="str">
        <f aca="false">TRIM(LEFT('Onshore - Adelaide'!A444,FIND(CHAR(10),'Onshore - Adelaide'!A444&amp;CHAR(10))-1))</f>
        <v>Kaplan Business School</v>
      </c>
      <c r="E1483" s="63" t="str">
        <f aca="false">'Onshore - Adelaide'!C455&amp;""</f>
        <v>0,5 year</v>
      </c>
      <c r="F1483" s="63" t="str">
        <f aca="false">IF('Onshore - Adelaide'!D455="","Belum tercatat",'Onshore - Adelaide'!D455)</f>
        <v>Trimester</v>
      </c>
      <c r="G1483" s="65" t="n">
        <f aca="false">IF('Onshore - Adelaide'!E455="","-",'Onshore - Adelaide'!E455)</f>
        <v>14560</v>
      </c>
      <c r="H1483" s="63" t="n">
        <f aca="false">IF(ISNUMBER(K1483),COUNTIFS($J$6:$J$1916,J1483,$K$6:$K$1916,"&lt;"&amp;K1483)+1,"-")</f>
        <v>2</v>
      </c>
      <c r="I1483" s="64" t="str">
        <f aca="false">IF('Onshore - Adelaide'!E455="","Harga belum tersedia - hubungi konsultan TEG",IF(M1483=2,"Saat ini tidak menerima pendaftaran siswa internasional baru",IF(M1483=1,"Harga perlu dikonfirmasi ke sekolah"&amp;IF(""="","","; "&amp;""),"")))</f>
        <v>Harga perlu dikonfirmasi ke sekolah</v>
      </c>
      <c r="J1483" s="0" t="s">
        <v>4385</v>
      </c>
      <c r="K1483" s="0" t="n">
        <f aca="false">IF(M1483=2,"",IF(ISNUMBER(SEARCH("rata-rata:",'Onshore - Adelaide'!M455)),VALUE(MID('Onshore - Adelaide'!M455,SEARCH("rata-rata:",'Onshore - Adelaide'!M455)+11,FIND(";",'Onshore - Adelaide'!M455&amp;";",SEARCH("rata-rata:",'Onshore - Adelaide'!M455))-SEARCH("rata-rata:",'Onshore - Adelaide'!M455)-11)),IF('Onshore - Adelaide'!D455="Semester",'Onshore - Adelaide'!E455*2,IF('Onshore - Adelaide'!D455="Trimester",'Onshore - Adelaide'!E455*3,IF('Onshore - Adelaide'!D455="Term",'Onshore - Adelaide'!E455*4,IF('Onshore - Adelaide'!D455="Unit",'Onshore - Adelaide'!E455*8,""))))))</f>
        <v>43680</v>
      </c>
      <c r="L1483" s="0" t="n">
        <f aca="false">IF(AND(ISNUMBER('Onshore - Adelaide'!E455),ISNUMBER(K1483),ISNUMBER('Onshore - Adelaide'!F455),ISNUMBER('Onshore - Adelaide'!G455),OR('Onshore - Adelaide'!F455&lt;&gt;0,ISNUMBER(SEARCH("Material 0 terverifikasi",'Onshore - Adelaide'!M455))),OR('Onshore - Adelaide'!G455&lt;&gt;0,ISNUMBER(SEARCH("Enrolment 0 terverifikasi",'Onshore - Adelaide'!M455)))),1,0)</f>
        <v>1</v>
      </c>
      <c r="M1483" s="0" t="n">
        <f aca="false">IF(OR('Onshore - Adelaide'!E455="",ISNUMBER(SEARCH("BSB80120",'Onshore - Adelaide'!B455&amp;'Onshore - Adelaide'!M455)),ISNUMBER(SEARCH("Management (Learning)",'Onshore - Adelaide'!B455))),2,IF(ISNUMBER(SEARCH("CEK:",'Onshore - Adelaide'!M455)),1,0))</f>
        <v>1</v>
      </c>
    </row>
    <row r="1484" customFormat="false" ht="15" hidden="false" customHeight="false" outlineLevel="0" collapsed="false">
      <c r="A1484" s="61" t="s">
        <v>4386</v>
      </c>
      <c r="B1484" s="62"/>
      <c r="C1484" s="62"/>
      <c r="D1484" s="62"/>
      <c r="E1484" s="62"/>
      <c r="F1484" s="62"/>
      <c r="G1484" s="62"/>
      <c r="H1484" s="62"/>
      <c r="I1484" s="62"/>
    </row>
    <row r="1485" customFormat="false" ht="28.35" hidden="false" customHeight="false" outlineLevel="0" collapsed="false">
      <c r="A1485" s="63" t="s">
        <v>3659</v>
      </c>
      <c r="B1485" s="64" t="s">
        <v>4374</v>
      </c>
      <c r="C1485" s="63" t="s">
        <v>46</v>
      </c>
      <c r="D1485" s="64" t="str">
        <f aca="false">TRIM(LEFT('Onshore - Adelaide'!A419,FIND(CHAR(10),'Onshore - Adelaide'!A419&amp;CHAR(10))-1))</f>
        <v>Australian Institute of Advanced Technologies (AIAT)</v>
      </c>
      <c r="E1485" s="63" t="str">
        <f aca="false">'Onshore - Adelaide'!C420&amp;""</f>
        <v>2 years</v>
      </c>
      <c r="F1485" s="63" t="str">
        <f aca="false">IF('Onshore - Adelaide'!D420="","Belum tercatat",'Onshore - Adelaide'!D420)</f>
        <v>Term</v>
      </c>
      <c r="G1485" s="65" t="n">
        <f aca="false">IF('Onshore - Adelaide'!E420="","-",'Onshore - Adelaide'!E420)</f>
        <v>3750</v>
      </c>
      <c r="H1485" s="63" t="n">
        <f aca="false">IF(ISNUMBER(K1485),COUNTIFS($J$6:$J$1916,J1485,$K$6:$K$1916,"&lt;"&amp;K1485)+1,"-")</f>
        <v>1</v>
      </c>
      <c r="I1485" s="64" t="str">
        <f aca="false">IF('Onshore - Adelaide'!E420="","Harga belum tersedia - hubungi konsultan TEG",IF(M1485=2,"Saat ini tidak menerima pendaftaran siswa internasional baru",IF(M1485=1,"Harga perlu dikonfirmasi ke sekolah"&amp;IF(""="","","; "&amp;""),"")))</f>
        <v/>
      </c>
      <c r="J1485" s="0" t="s">
        <v>4387</v>
      </c>
      <c r="K1485" s="0" t="n">
        <f aca="false">IF(M1485=2,"",IF(ISNUMBER(SEARCH("rata-rata:",'Onshore - Adelaide'!M420)),VALUE(MID('Onshore - Adelaide'!M420,SEARCH("rata-rata:",'Onshore - Adelaide'!M420)+11,FIND(";",'Onshore - Adelaide'!M420&amp;";",SEARCH("rata-rata:",'Onshore - Adelaide'!M420))-SEARCH("rata-rata:",'Onshore - Adelaide'!M420)-11)),IF('Onshore - Adelaide'!D420="Semester",'Onshore - Adelaide'!E420*2,IF('Onshore - Adelaide'!D420="Trimester",'Onshore - Adelaide'!E420*3,IF('Onshore - Adelaide'!D420="Term",'Onshore - Adelaide'!E420*4,IF('Onshore - Adelaide'!D420="Unit",'Onshore - Adelaide'!E420*8,""))))))</f>
        <v>15000</v>
      </c>
      <c r="L1485" s="0" t="n">
        <f aca="false">IF(AND(ISNUMBER('Onshore - Adelaide'!E420),ISNUMBER(K1485),ISNUMBER('Onshore - Adelaide'!F420),ISNUMBER('Onshore - Adelaide'!G420),OR('Onshore - Adelaide'!F420&lt;&gt;0,ISNUMBER(SEARCH("Material 0 terverifikasi",'Onshore - Adelaide'!M420))),OR('Onshore - Adelaide'!G420&lt;&gt;0,ISNUMBER(SEARCH("Enrolment 0 terverifikasi",'Onshore - Adelaide'!M420)))),1,0)</f>
        <v>0</v>
      </c>
      <c r="M1485" s="0" t="n">
        <f aca="false">IF(OR('Onshore - Adelaide'!E420="",ISNUMBER(SEARCH("BSB80120",'Onshore - Adelaide'!B420&amp;'Onshore - Adelaide'!M420)),ISNUMBER(SEARCH("Management (Learning)",'Onshore - Adelaide'!B420))),2,IF(ISNUMBER(SEARCH("CEK:",'Onshore - Adelaide'!M420)),1,0))</f>
        <v>0</v>
      </c>
    </row>
    <row r="1486" customFormat="false" ht="28.35" hidden="false" customHeight="false" outlineLevel="0" collapsed="false">
      <c r="A1486" s="63" t="s">
        <v>3659</v>
      </c>
      <c r="B1486" s="64" t="s">
        <v>4374</v>
      </c>
      <c r="C1486" s="63" t="s">
        <v>46</v>
      </c>
      <c r="D1486" s="64" t="str">
        <f aca="false">TRIM(LEFT('Onshore - Adelaide'!A611,FIND(CHAR(10),'Onshore - Adelaide'!A611&amp;CHAR(10))-1))</f>
        <v>UniSC (University of the Sunshine Coast) - Adelaide</v>
      </c>
      <c r="E1486" s="63" t="str">
        <f aca="false">'Onshore - Adelaide'!C613&amp;""</f>
        <v>2 years</v>
      </c>
      <c r="F1486" s="63" t="str">
        <f aca="false">IF('Onshore - Adelaide'!D613="","Belum tercatat",'Onshore - Adelaide'!D613)</f>
        <v>Term</v>
      </c>
      <c r="G1486" s="65" t="n">
        <f aca="false">IF('Onshore - Adelaide'!E613="","-",'Onshore - Adelaide'!E613)</f>
        <v>6300</v>
      </c>
      <c r="H1486" s="63" t="n">
        <f aca="false">IF(ISNUMBER(K1486),COUNTIFS($J$6:$J$1916,J1486,$K$6:$K$1916,"&lt;"&amp;K1486)+1,"-")</f>
        <v>2</v>
      </c>
      <c r="I1486" s="64" t="str">
        <f aca="false">IF('Onshore - Adelaide'!E613="","Harga belum tersedia - hubungi konsultan TEG",IF(M1486=2,"Saat ini tidak menerima pendaftaran siswa internasional baru",IF(M1486=1,"Harga perlu dikonfirmasi ke sekolah"&amp;IF(""="","","; "&amp;""),"")))</f>
        <v/>
      </c>
      <c r="J1486" s="0" t="s">
        <v>4387</v>
      </c>
      <c r="K1486" s="0" t="n">
        <f aca="false">IF(M1486=2,"",IF(ISNUMBER(SEARCH("rata-rata:",'Onshore - Adelaide'!M613)),VALUE(MID('Onshore - Adelaide'!M613,SEARCH("rata-rata:",'Onshore - Adelaide'!M613)+11,FIND(";",'Onshore - Adelaide'!M613&amp;";",SEARCH("rata-rata:",'Onshore - Adelaide'!M613))-SEARCH("rata-rata:",'Onshore - Adelaide'!M613)-11)),IF('Onshore - Adelaide'!D613="Semester",'Onshore - Adelaide'!E613*2,IF('Onshore - Adelaide'!D613="Trimester",'Onshore - Adelaide'!E613*3,IF('Onshore - Adelaide'!D613="Term",'Onshore - Adelaide'!E613*4,IF('Onshore - Adelaide'!D613="Unit",'Onshore - Adelaide'!E613*8,""))))))</f>
        <v>25200</v>
      </c>
      <c r="L1486" s="0" t="n">
        <f aca="false">IF(AND(ISNUMBER('Onshore - Adelaide'!E613),ISNUMBER(K1486),ISNUMBER('Onshore - Adelaide'!F613),ISNUMBER('Onshore - Adelaide'!G613),OR('Onshore - Adelaide'!F613&lt;&gt;0,ISNUMBER(SEARCH("Material 0 terverifikasi",'Onshore - Adelaide'!M613))),OR('Onshore - Adelaide'!G613&lt;&gt;0,ISNUMBER(SEARCH("Enrolment 0 terverifikasi",'Onshore - Adelaide'!M613)))),1,0)</f>
        <v>0</v>
      </c>
      <c r="M1486" s="0" t="n">
        <f aca="false">IF(OR('Onshore - Adelaide'!E613="",ISNUMBER(SEARCH("BSB80120",'Onshore - Adelaide'!B613&amp;'Onshore - Adelaide'!M613)),ISNUMBER(SEARCH("Management (Learning)",'Onshore - Adelaide'!B613))),2,IF(ISNUMBER(SEARCH("CEK:",'Onshore - Adelaide'!M613)),1,0))</f>
        <v>0</v>
      </c>
    </row>
    <row r="1487" customFormat="false" ht="15" hidden="false" customHeight="false" outlineLevel="0" collapsed="false">
      <c r="A1487" s="63" t="s">
        <v>3659</v>
      </c>
      <c r="B1487" s="64" t="s">
        <v>4374</v>
      </c>
      <c r="C1487" s="63" t="s">
        <v>46</v>
      </c>
      <c r="D1487" s="64" t="str">
        <f aca="false">TRIM(LEFT('Onshore - Adelaide'!A545,FIND(CHAR(10),'Onshore - Adelaide'!A545&amp;CHAR(10))-1))</f>
        <v>Torrens University Australia</v>
      </c>
      <c r="E1487" s="63" t="str">
        <f aca="false">'Onshore - Adelaide'!C560&amp;""</f>
        <v>1,5 years</v>
      </c>
      <c r="F1487" s="63" t="str">
        <f aca="false">IF('Onshore - Adelaide'!D560="","Belum tercatat",'Onshore - Adelaide'!D560)</f>
        <v>Term</v>
      </c>
      <c r="G1487" s="65" t="n">
        <f aca="false">IF('Onshore - Adelaide'!E560="","-",'Onshore - Adelaide'!E560)</f>
        <v>9000</v>
      </c>
      <c r="H1487" s="63" t="n">
        <f aca="false">IF(ISNUMBER(K1487),COUNTIFS($J$6:$J$1916,J1487,$K$6:$K$1916,"&lt;"&amp;K1487)+1,"-")</f>
        <v>3</v>
      </c>
      <c r="I1487" s="64" t="str">
        <f aca="false">IF('Onshore - Adelaide'!E560="","Harga belum tersedia - hubungi konsultan TEG",IF(M1487=2,"Saat ini tidak menerima pendaftaran siswa internasional baru",IF(M1487=1,"Harga perlu dikonfirmasi ke sekolah"&amp;IF(""="","","; "&amp;""),"")))</f>
        <v/>
      </c>
      <c r="J1487" s="0" t="s">
        <v>4387</v>
      </c>
      <c r="K1487" s="0" t="n">
        <f aca="false">IF(M1487=2,"",IF(ISNUMBER(SEARCH("rata-rata:",'Onshore - Adelaide'!M560)),VALUE(MID('Onshore - Adelaide'!M560,SEARCH("rata-rata:",'Onshore - Adelaide'!M560)+11,FIND(";",'Onshore - Adelaide'!M560&amp;";",SEARCH("rata-rata:",'Onshore - Adelaide'!M560))-SEARCH("rata-rata:",'Onshore - Adelaide'!M560)-11)),IF('Onshore - Adelaide'!D560="Semester",'Onshore - Adelaide'!E560*2,IF('Onshore - Adelaide'!D560="Trimester",'Onshore - Adelaide'!E560*3,IF('Onshore - Adelaide'!D560="Term",'Onshore - Adelaide'!E560*4,IF('Onshore - Adelaide'!D560="Unit",'Onshore - Adelaide'!E560*8,""))))))</f>
        <v>36000</v>
      </c>
      <c r="L1487" s="0" t="n">
        <f aca="false">IF(AND(ISNUMBER('Onshore - Adelaide'!E560),ISNUMBER(K1487),ISNUMBER('Onshore - Adelaide'!F560),ISNUMBER('Onshore - Adelaide'!G560),OR('Onshore - Adelaide'!F560&lt;&gt;0,ISNUMBER(SEARCH("Material 0 terverifikasi",'Onshore - Adelaide'!M560))),OR('Onshore - Adelaide'!G560&lt;&gt;0,ISNUMBER(SEARCH("Enrolment 0 terverifikasi",'Onshore - Adelaide'!M560)))),1,0)</f>
        <v>0</v>
      </c>
      <c r="M1487" s="0" t="n">
        <f aca="false">IF(OR('Onshore - Adelaide'!E560="",ISNUMBER(SEARCH("BSB80120",'Onshore - Adelaide'!B560&amp;'Onshore - Adelaide'!M560)),ISNUMBER(SEARCH("Management (Learning)",'Onshore - Adelaide'!B560))),2,IF(ISNUMBER(SEARCH("CEK:",'Onshore - Adelaide'!M560)),1,0))</f>
        <v>0</v>
      </c>
    </row>
    <row r="1488" customFormat="false" ht="15" hidden="false" customHeight="false" outlineLevel="0" collapsed="false">
      <c r="A1488" s="63" t="s">
        <v>3659</v>
      </c>
      <c r="B1488" s="64" t="s">
        <v>4374</v>
      </c>
      <c r="C1488" s="63" t="s">
        <v>46</v>
      </c>
      <c r="D1488" s="64" t="str">
        <f aca="false">TRIM(LEFT('Onshore - Adelaide'!A444,FIND(CHAR(10),'Onshore - Adelaide'!A444&amp;CHAR(10))-1))</f>
        <v>Kaplan Business School</v>
      </c>
      <c r="E1488" s="63" t="str">
        <f aca="false">'Onshore - Adelaide'!C452&amp;""</f>
        <v>1,5 years</v>
      </c>
      <c r="F1488" s="63" t="str">
        <f aca="false">IF('Onshore - Adelaide'!D452="","Belum tercatat",'Onshore - Adelaide'!D452)</f>
        <v>Trimester</v>
      </c>
      <c r="G1488" s="65" t="n">
        <f aca="false">IF('Onshore - Adelaide'!E452="","-",'Onshore - Adelaide'!E452)</f>
        <v>13600</v>
      </c>
      <c r="H1488" s="63" t="n">
        <f aca="false">IF(ISNUMBER(K1488),COUNTIFS($J$6:$J$1916,J1488,$K$6:$K$1916,"&lt;"&amp;K1488)+1,"-")</f>
        <v>4</v>
      </c>
      <c r="I1488" s="64" t="str">
        <f aca="false">IF('Onshore - Adelaide'!E452="","Harga belum tersedia - hubungi konsultan TEG",IF(M1488=2,"Saat ini tidak menerima pendaftaran siswa internasional baru",IF(M1488=1,"Harga perlu dikonfirmasi ke sekolah"&amp;IF(""="","","; "&amp;""),"")))</f>
        <v>Harga perlu dikonfirmasi ke sekolah</v>
      </c>
      <c r="J1488" s="0" t="s">
        <v>4387</v>
      </c>
      <c r="K1488" s="0" t="n">
        <f aca="false">IF(M1488=2,"",IF(ISNUMBER(SEARCH("rata-rata:",'Onshore - Adelaide'!M452)),VALUE(MID('Onshore - Adelaide'!M452,SEARCH("rata-rata:",'Onshore - Adelaide'!M452)+11,FIND(";",'Onshore - Adelaide'!M452&amp;";",SEARCH("rata-rata:",'Onshore - Adelaide'!M452))-SEARCH("rata-rata:",'Onshore - Adelaide'!M452)-11)),IF('Onshore - Adelaide'!D452="Semester",'Onshore - Adelaide'!E452*2,IF('Onshore - Adelaide'!D452="Trimester",'Onshore - Adelaide'!E452*3,IF('Onshore - Adelaide'!D452="Term",'Onshore - Adelaide'!E452*4,IF('Onshore - Adelaide'!D452="Unit",'Onshore - Adelaide'!E452*8,""))))))</f>
        <v>40800</v>
      </c>
      <c r="L1488" s="0" t="n">
        <f aca="false">IF(AND(ISNUMBER('Onshore - Adelaide'!E452),ISNUMBER(K1488),ISNUMBER('Onshore - Adelaide'!F452),ISNUMBER('Onshore - Adelaide'!G452),OR('Onshore - Adelaide'!F452&lt;&gt;0,ISNUMBER(SEARCH("Material 0 terverifikasi",'Onshore - Adelaide'!M452))),OR('Onshore - Adelaide'!G452&lt;&gt;0,ISNUMBER(SEARCH("Enrolment 0 terverifikasi",'Onshore - Adelaide'!M452)))),1,0)</f>
        <v>1</v>
      </c>
      <c r="M1488" s="0" t="n">
        <f aca="false">IF(OR('Onshore - Adelaide'!E452="",ISNUMBER(SEARCH("BSB80120",'Onshore - Adelaide'!B452&amp;'Onshore - Adelaide'!M452)),ISNUMBER(SEARCH("Management (Learning)",'Onshore - Adelaide'!B452))),2,IF(ISNUMBER(SEARCH("CEK:",'Onshore - Adelaide'!M452)),1,0))</f>
        <v>1</v>
      </c>
    </row>
    <row r="1489" customFormat="false" ht="15" hidden="false" customHeight="false" outlineLevel="0" collapsed="false">
      <c r="A1489" s="63" t="s">
        <v>3659</v>
      </c>
      <c r="B1489" s="64" t="s">
        <v>4374</v>
      </c>
      <c r="C1489" s="63" t="s">
        <v>46</v>
      </c>
      <c r="D1489" s="64" t="str">
        <f aca="false">TRIM(LEFT('Onshore - Adelaide'!A15,FIND(CHAR(10),'Onshore - Adelaide'!A15&amp;CHAR(10))-1))</f>
        <v>Adelaide University</v>
      </c>
      <c r="E1489" s="63" t="str">
        <f aca="false">'Onshore - Adelaide'!C310&amp;""</f>
        <v>2 years</v>
      </c>
      <c r="F1489" s="63" t="str">
        <f aca="false">IF('Onshore - Adelaide'!D310="","Belum tercatat",'Onshore - Adelaide'!D310)</f>
        <v>Term</v>
      </c>
      <c r="G1489" s="65" t="n">
        <f aca="false">IF('Onshore - Adelaide'!E310="","-",'Onshore - Adelaide'!E310)</f>
        <v>12425</v>
      </c>
      <c r="H1489" s="63" t="n">
        <f aca="false">IF(ISNUMBER(K1489),COUNTIFS($J$6:$J$1916,J1489,$K$6:$K$1916,"&lt;"&amp;K1489)+1,"-")</f>
        <v>5</v>
      </c>
      <c r="I1489" s="64" t="str">
        <f aca="false">IF('Onshore - Adelaide'!E310="","Harga belum tersedia - hubungi konsultan TEG",IF(M1489=2,"Saat ini tidak menerima pendaftaran siswa internasional baru",IF(M1489=1,"Harga perlu dikonfirmasi ke sekolah"&amp;IF(""="","","; "&amp;""),"")))</f>
        <v/>
      </c>
      <c r="J1489" s="0" t="s">
        <v>4387</v>
      </c>
      <c r="K1489" s="0" t="n">
        <f aca="false">IF(M1489=2,"",IF(ISNUMBER(SEARCH("rata-rata:",'Onshore - Adelaide'!M310)),VALUE(MID('Onshore - Adelaide'!M310,SEARCH("rata-rata:",'Onshore - Adelaide'!M310)+11,FIND(";",'Onshore - Adelaide'!M310&amp;";",SEARCH("rata-rata:",'Onshore - Adelaide'!M310))-SEARCH("rata-rata:",'Onshore - Adelaide'!M310)-11)),IF('Onshore - Adelaide'!D310="Semester",'Onshore - Adelaide'!E310*2,IF('Onshore - Adelaide'!D310="Trimester",'Onshore - Adelaide'!E310*3,IF('Onshore - Adelaide'!D310="Term",'Onshore - Adelaide'!E310*4,IF('Onshore - Adelaide'!D310="Unit",'Onshore - Adelaide'!E310*8,""))))))</f>
        <v>49700</v>
      </c>
      <c r="L1489" s="0" t="n">
        <f aca="false">IF(AND(ISNUMBER('Onshore - Adelaide'!E310),ISNUMBER(K1489),ISNUMBER('Onshore - Adelaide'!F310),ISNUMBER('Onshore - Adelaide'!G310),OR('Onshore - Adelaide'!F310&lt;&gt;0,ISNUMBER(SEARCH("Material 0 terverifikasi",'Onshore - Adelaide'!M310))),OR('Onshore - Adelaide'!G310&lt;&gt;0,ISNUMBER(SEARCH("Enrolment 0 terverifikasi",'Onshore - Adelaide'!M310)))),1,0)</f>
        <v>0</v>
      </c>
      <c r="M1489" s="0" t="n">
        <f aca="false">IF(OR('Onshore - Adelaide'!E310="",ISNUMBER(SEARCH("BSB80120",'Onshore - Adelaide'!B310&amp;'Onshore - Adelaide'!M310)),ISNUMBER(SEARCH("Management (Learning)",'Onshore - Adelaide'!B310))),2,IF(ISNUMBER(SEARCH("CEK:",'Onshore - Adelaide'!M310)),1,0))</f>
        <v>0</v>
      </c>
    </row>
    <row r="1490" customFormat="false" ht="15" hidden="false" customHeight="false" outlineLevel="0" collapsed="false">
      <c r="A1490" s="61" t="s">
        <v>4388</v>
      </c>
      <c r="B1490" s="62"/>
      <c r="C1490" s="62"/>
      <c r="D1490" s="62"/>
      <c r="E1490" s="62"/>
      <c r="F1490" s="62"/>
      <c r="G1490" s="62"/>
      <c r="H1490" s="62"/>
      <c r="I1490" s="62"/>
    </row>
    <row r="1491" customFormat="false" ht="15" hidden="false" customHeight="false" outlineLevel="0" collapsed="false">
      <c r="A1491" s="63" t="s">
        <v>3563</v>
      </c>
      <c r="B1491" s="64" t="s">
        <v>4374</v>
      </c>
      <c r="C1491" s="63" t="s">
        <v>41</v>
      </c>
      <c r="D1491" s="64" t="str">
        <f aca="false">TRIM(LEFT('Onshore - Brisbane'!A206,FIND(CHAR(10),'Onshore - Brisbane'!A206&amp;CHAR(10))-1))</f>
        <v>Greenwich College</v>
      </c>
      <c r="E1491" s="63" t="str">
        <f aca="false">'Onshore - Brisbane'!C214&amp;""</f>
        <v>1 years</v>
      </c>
      <c r="F1491" s="63" t="str">
        <f aca="false">IF('Onshore - Brisbane'!D214="","Belum tercatat",'Onshore - Brisbane'!D214)</f>
        <v>Term</v>
      </c>
      <c r="G1491" s="65" t="n">
        <f aca="false">IF('Onshore - Brisbane'!E214="","-",'Onshore - Brisbane'!E214)</f>
        <v>1250</v>
      </c>
      <c r="H1491" s="63" t="n">
        <f aca="false">IF(ISNUMBER(K1491),COUNTIFS($J$6:$J$1916,J1491,$K$6:$K$1916,"&lt;"&amp;K1491)+1,"-")</f>
        <v>1</v>
      </c>
      <c r="I1491" s="64" t="str">
        <f aca="false">IF('Onshore - Brisbane'!E214="","Harga belum tersedia - hubungi konsultan TEG",IF(M1491=2,"Saat ini tidak menerima pendaftaran siswa internasional baru",IF(M1491=1,"Harga perlu dikonfirmasi ke sekolah"&amp;IF(""="","","; "&amp;""),"")))</f>
        <v/>
      </c>
      <c r="J1491" s="0" t="s">
        <v>4389</v>
      </c>
      <c r="K1491" s="0" t="n">
        <f aca="false">IF(M1491=2,"",IF(ISNUMBER(SEARCH("rata-rata:",'Onshore - Brisbane'!M214)),VALUE(MID('Onshore - Brisbane'!M214,SEARCH("rata-rata:",'Onshore - Brisbane'!M214)+11,FIND(";",'Onshore - Brisbane'!M214&amp;";",SEARCH("rata-rata:",'Onshore - Brisbane'!M214))-SEARCH("rata-rata:",'Onshore - Brisbane'!M214)-11)),IF('Onshore - Brisbane'!D214="Semester",'Onshore - Brisbane'!E214*2,IF('Onshore - Brisbane'!D214="Trimester",'Onshore - Brisbane'!E214*3,IF('Onshore - Brisbane'!D214="Term",'Onshore - Brisbane'!E214*4,IF('Onshore - Brisbane'!D214="Unit",'Onshore - Brisbane'!E214*8,""))))))</f>
        <v>5000</v>
      </c>
      <c r="L1491" s="0" t="n">
        <f aca="false">IF(AND(ISNUMBER('Onshore - Brisbane'!E214),ISNUMBER(K1491),ISNUMBER('Onshore - Brisbane'!F214),ISNUMBER('Onshore - Brisbane'!G214),OR('Onshore - Brisbane'!F214&lt;&gt;0,ISNUMBER(SEARCH("Material 0 terverifikasi",'Onshore - Brisbane'!M214))),OR('Onshore - Brisbane'!G214&lt;&gt;0,ISNUMBER(SEARCH("Enrolment 0 terverifikasi",'Onshore - Brisbane'!M214)))),1,0)</f>
        <v>1</v>
      </c>
      <c r="M1491" s="0" t="n">
        <f aca="false">IF(OR('Onshore - Brisbane'!E214="",ISNUMBER(SEARCH("BSB80120",'Onshore - Brisbane'!B214&amp;'Onshore - Brisbane'!M214)),ISNUMBER(SEARCH("Management (Learning)",'Onshore - Brisbane'!B214))),2,IF(ISNUMBER(SEARCH("CEK:",'Onshore - Brisbane'!M214)),1,0))</f>
        <v>0</v>
      </c>
    </row>
    <row r="1492" customFormat="false" ht="15" hidden="false" customHeight="false" outlineLevel="0" collapsed="false">
      <c r="A1492" s="63" t="s">
        <v>3563</v>
      </c>
      <c r="B1492" s="64" t="s">
        <v>4374</v>
      </c>
      <c r="C1492" s="63" t="s">
        <v>41</v>
      </c>
      <c r="D1492" s="64" t="str">
        <f aca="false">TRIM(LEFT('Onshore - Brisbane'!A290,FIND(CHAR(10),'Onshore - Brisbane'!A290&amp;CHAR(10))-1))</f>
        <v>Shafston International College</v>
      </c>
      <c r="E1492" s="63" t="str">
        <f aca="false">'Onshore - Brisbane'!C293&amp;""</f>
        <v>2 years</v>
      </c>
      <c r="F1492" s="63" t="str">
        <f aca="false">IF('Onshore - Brisbane'!D293="","Belum tercatat",'Onshore - Brisbane'!D293)</f>
        <v>Term</v>
      </c>
      <c r="G1492" s="65" t="n">
        <f aca="false">IF('Onshore - Brisbane'!E293="","-",'Onshore - Brisbane'!E293)</f>
        <v>1700</v>
      </c>
      <c r="H1492" s="63" t="n">
        <f aca="false">IF(ISNUMBER(K1492),COUNTIFS($J$6:$J$1916,J1492,$K$6:$K$1916,"&lt;"&amp;K1492)+1,"-")</f>
        <v>2</v>
      </c>
      <c r="I1492" s="64" t="str">
        <f aca="false">IF('Onshore - Brisbane'!E293="","Harga belum tersedia - hubungi konsultan TEG",IF(M1492=2,"Saat ini tidak menerima pendaftaran siswa internasional baru",IF(M1492=1,"Harga perlu dikonfirmasi ke sekolah"&amp;IF(""="","","; "&amp;""),"")))</f>
        <v/>
      </c>
      <c r="J1492" s="0" t="s">
        <v>4389</v>
      </c>
      <c r="K1492" s="0" t="n">
        <f aca="false">IF(M1492=2,"",IF(ISNUMBER(SEARCH("rata-rata:",'Onshore - Brisbane'!M293)),VALUE(MID('Onshore - Brisbane'!M293,SEARCH("rata-rata:",'Onshore - Brisbane'!M293)+11,FIND(";",'Onshore - Brisbane'!M293&amp;";",SEARCH("rata-rata:",'Onshore - Brisbane'!M293))-SEARCH("rata-rata:",'Onshore - Brisbane'!M293)-11)),IF('Onshore - Brisbane'!D293="Semester",'Onshore - Brisbane'!E293*2,IF('Onshore - Brisbane'!D293="Trimester",'Onshore - Brisbane'!E293*3,IF('Onshore - Brisbane'!D293="Term",'Onshore - Brisbane'!E293*4,IF('Onshore - Brisbane'!D293="Unit",'Onshore - Brisbane'!E293*8,""))))))</f>
        <v>6800</v>
      </c>
      <c r="L1492" s="0" t="n">
        <f aca="false">IF(AND(ISNUMBER('Onshore - Brisbane'!E293),ISNUMBER(K1492),ISNUMBER('Onshore - Brisbane'!F293),ISNUMBER('Onshore - Brisbane'!G293),OR('Onshore - Brisbane'!F293&lt;&gt;0,ISNUMBER(SEARCH("Material 0 terverifikasi",'Onshore - Brisbane'!M293))),OR('Onshore - Brisbane'!G293&lt;&gt;0,ISNUMBER(SEARCH("Enrolment 0 terverifikasi",'Onshore - Brisbane'!M293)))),1,0)</f>
        <v>0</v>
      </c>
      <c r="M1492" s="0" t="n">
        <f aca="false">IF(OR('Onshore - Brisbane'!E293="",ISNUMBER(SEARCH("BSB80120",'Onshore - Brisbane'!B293&amp;'Onshore - Brisbane'!M293)),ISNUMBER(SEARCH("Management (Learning)",'Onshore - Brisbane'!B293))),2,IF(ISNUMBER(SEARCH("CEK:",'Onshore - Brisbane'!M293)),1,0))</f>
        <v>0</v>
      </c>
    </row>
    <row r="1493" customFormat="false" ht="15" hidden="false" customHeight="false" outlineLevel="0" collapsed="false">
      <c r="A1493" s="63" t="s">
        <v>3563</v>
      </c>
      <c r="B1493" s="64" t="s">
        <v>4374</v>
      </c>
      <c r="C1493" s="63" t="s">
        <v>41</v>
      </c>
      <c r="D1493" s="64" t="str">
        <f aca="false">TRIM(LEFT('Onshore - Brisbane'!A158,FIND(CHAR(10),'Onshore - Brisbane'!A158&amp;CHAR(10))-1))</f>
        <v>Australian Global Institute (AGI)</v>
      </c>
      <c r="E1493" s="63" t="str">
        <f aca="false">'Onshore - Brisbane'!C160&amp;""</f>
        <v>2 years</v>
      </c>
      <c r="F1493" s="63" t="str">
        <f aca="false">IF('Onshore - Brisbane'!D160="","Belum tercatat",'Onshore - Brisbane'!D160)</f>
        <v>Term</v>
      </c>
      <c r="G1493" s="65" t="n">
        <f aca="false">IF('Onshore - Brisbane'!E160="","-",'Onshore - Brisbane'!E160)</f>
        <v>2100</v>
      </c>
      <c r="H1493" s="63" t="n">
        <f aca="false">IF(ISNUMBER(K1493),COUNTIFS($J$6:$J$1916,J1493,$K$6:$K$1916,"&lt;"&amp;K1493)+1,"-")</f>
        <v>3</v>
      </c>
      <c r="I1493" s="64" t="str">
        <f aca="false">IF('Onshore - Brisbane'!E160="","Harga belum tersedia - hubungi konsultan TEG",IF(M1493=2,"Saat ini tidak menerima pendaftaran siswa internasional baru",IF(M1493=1,"Harga perlu dikonfirmasi ke sekolah"&amp;IF(""="","","; "&amp;""),"")))</f>
        <v/>
      </c>
      <c r="J1493" s="0" t="s">
        <v>4389</v>
      </c>
      <c r="K1493" s="0" t="n">
        <f aca="false">IF(M1493=2,"",IF(ISNUMBER(SEARCH("rata-rata:",'Onshore - Brisbane'!M160)),VALUE(MID('Onshore - Brisbane'!M160,SEARCH("rata-rata:",'Onshore - Brisbane'!M160)+11,FIND(";",'Onshore - Brisbane'!M160&amp;";",SEARCH("rata-rata:",'Onshore - Brisbane'!M160))-SEARCH("rata-rata:",'Onshore - Brisbane'!M160)-11)),IF('Onshore - Brisbane'!D160="Semester",'Onshore - Brisbane'!E160*2,IF('Onshore - Brisbane'!D160="Trimester",'Onshore - Brisbane'!E160*3,IF('Onshore - Brisbane'!D160="Term",'Onshore - Brisbane'!E160*4,IF('Onshore - Brisbane'!D160="Unit",'Onshore - Brisbane'!E160*8,""))))))</f>
        <v>8400</v>
      </c>
      <c r="L1493" s="0" t="n">
        <f aca="false">IF(AND(ISNUMBER('Onshore - Brisbane'!E160),ISNUMBER(K1493),ISNUMBER('Onshore - Brisbane'!F160),ISNUMBER('Onshore - Brisbane'!G160),OR('Onshore - Brisbane'!F160&lt;&gt;0,ISNUMBER(SEARCH("Material 0 terverifikasi",'Onshore - Brisbane'!M160))),OR('Onshore - Brisbane'!G160&lt;&gt;0,ISNUMBER(SEARCH("Enrolment 0 terverifikasi",'Onshore - Brisbane'!M160)))),1,0)</f>
        <v>1</v>
      </c>
      <c r="M1493" s="0" t="n">
        <f aca="false">IF(OR('Onshore - Brisbane'!E160="",ISNUMBER(SEARCH("BSB80120",'Onshore - Brisbane'!B160&amp;'Onshore - Brisbane'!M160)),ISNUMBER(SEARCH("Management (Learning)",'Onshore - Brisbane'!B160))),2,IF(ISNUMBER(SEARCH("CEK:",'Onshore - Brisbane'!M160)),1,0))</f>
        <v>0</v>
      </c>
    </row>
    <row r="1494" customFormat="false" ht="15" hidden="false" customHeight="false" outlineLevel="0" collapsed="false">
      <c r="A1494" s="63" t="s">
        <v>3563</v>
      </c>
      <c r="B1494" s="64" t="s">
        <v>4374</v>
      </c>
      <c r="C1494" s="63" t="s">
        <v>41</v>
      </c>
      <c r="D1494" s="64" t="str">
        <f aca="false">TRIM(LEFT('Onshore - Brisbane'!A33,FIND(CHAR(10),'Onshore - Brisbane'!A33&amp;CHAR(10))-1))</f>
        <v>Asia Pacific International College (APIC)</v>
      </c>
      <c r="E1494" s="63" t="str">
        <f aca="false">'Onshore - Brisbane'!C33&amp;""</f>
        <v>1 year</v>
      </c>
      <c r="F1494" s="63" t="str">
        <f aca="false">IF('Onshore - Brisbane'!D33="","Belum tercatat",'Onshore - Brisbane'!D33)</f>
        <v>Trimester</v>
      </c>
      <c r="G1494" s="65" t="n">
        <f aca="false">IF('Onshore - Brisbane'!E33="","-",'Onshore - Brisbane'!E33)</f>
        <v>3000</v>
      </c>
      <c r="H1494" s="63" t="n">
        <f aca="false">IF(ISNUMBER(K1494),COUNTIFS($J$6:$J$1916,J1494,$K$6:$K$1916,"&lt;"&amp;K1494)+1,"-")</f>
        <v>4</v>
      </c>
      <c r="I1494" s="64" t="str">
        <f aca="false">IF('Onshore - Brisbane'!E33="","Harga belum tersedia - hubungi konsultan TEG",IF(M1494=2,"Saat ini tidak menerima pendaftaran siswa internasional baru",IF(M1494=1,"Harga perlu dikonfirmasi ke sekolah"&amp;IF(""="","","; "&amp;""),"")))</f>
        <v/>
      </c>
      <c r="J1494" s="0" t="s">
        <v>4389</v>
      </c>
      <c r="K1494" s="0" t="n">
        <f aca="false">IF(M1494=2,"",IF(ISNUMBER(SEARCH("rata-rata:",'Onshore - Brisbane'!M33)),VALUE(MID('Onshore - Brisbane'!M33,SEARCH("rata-rata:",'Onshore - Brisbane'!M33)+11,FIND(";",'Onshore - Brisbane'!M33&amp;";",SEARCH("rata-rata:",'Onshore - Brisbane'!M33))-SEARCH("rata-rata:",'Onshore - Brisbane'!M33)-11)),IF('Onshore - Brisbane'!D33="Semester",'Onshore - Brisbane'!E33*2,IF('Onshore - Brisbane'!D33="Trimester",'Onshore - Brisbane'!E33*3,IF('Onshore - Brisbane'!D33="Term",'Onshore - Brisbane'!E33*4,IF('Onshore - Brisbane'!D33="Unit",'Onshore - Brisbane'!E33*8,""))))))</f>
        <v>9000</v>
      </c>
      <c r="L1494" s="0" t="n">
        <f aca="false">IF(AND(ISNUMBER('Onshore - Brisbane'!E33),ISNUMBER(K1494),ISNUMBER('Onshore - Brisbane'!F33),ISNUMBER('Onshore - Brisbane'!G33),OR('Onshore - Brisbane'!F33&lt;&gt;0,ISNUMBER(SEARCH("Material 0 terverifikasi",'Onshore - Brisbane'!M33))),OR('Onshore - Brisbane'!G33&lt;&gt;0,ISNUMBER(SEARCH("Enrolment 0 terverifikasi",'Onshore - Brisbane'!M33)))),1,0)</f>
        <v>0</v>
      </c>
      <c r="M1494" s="0" t="n">
        <f aca="false">IF(OR('Onshore - Brisbane'!E33="",ISNUMBER(SEARCH("BSB80120",'Onshore - Brisbane'!B33&amp;'Onshore - Brisbane'!M33)),ISNUMBER(SEARCH("Management (Learning)",'Onshore - Brisbane'!B33))),2,IF(ISNUMBER(SEARCH("CEK:",'Onshore - Brisbane'!M33)),1,0))</f>
        <v>0</v>
      </c>
    </row>
    <row r="1495" customFormat="false" ht="15" hidden="false" customHeight="false" outlineLevel="0" collapsed="false">
      <c r="A1495" s="63" t="s">
        <v>3563</v>
      </c>
      <c r="B1495" s="64" t="s">
        <v>4374</v>
      </c>
      <c r="C1495" s="63" t="s">
        <v>41</v>
      </c>
      <c r="D1495" s="64" t="str">
        <f aca="false">TRIM(LEFT('Onshore - Brisbane'!A307,FIND(CHAR(10),'Onshore - Brisbane'!A307&amp;CHAR(10))-1))</f>
        <v>Torrens University Australia</v>
      </c>
      <c r="E1495" s="63" t="str">
        <f aca="false">'Onshore - Brisbane'!C351&amp;""</f>
        <v>1 year</v>
      </c>
      <c r="F1495" s="63" t="str">
        <f aca="false">IF('Onshore - Brisbane'!D351="","Belum tercatat",'Onshore - Brisbane'!D351)</f>
        <v>Term</v>
      </c>
      <c r="G1495" s="65" t="n">
        <f aca="false">IF('Onshore - Brisbane'!E351="","-",'Onshore - Brisbane'!E351)</f>
        <v>7900</v>
      </c>
      <c r="H1495" s="63" t="n">
        <f aca="false">IF(ISNUMBER(K1495),COUNTIFS($J$6:$J$1916,J1495,$K$6:$K$1916,"&lt;"&amp;K1495)+1,"-")</f>
        <v>5</v>
      </c>
      <c r="I1495" s="64" t="str">
        <f aca="false">IF('Onshore - Brisbane'!E351="","Harga belum tersedia - hubungi konsultan TEG",IF(M1495=2,"Saat ini tidak menerima pendaftaran siswa internasional baru",IF(M1495=1,"Harga perlu dikonfirmasi ke sekolah"&amp;IF(""="","","; "&amp;""),"")))</f>
        <v/>
      </c>
      <c r="J1495" s="0" t="s">
        <v>4389</v>
      </c>
      <c r="K1495" s="0" t="n">
        <f aca="false">IF(M1495=2,"",IF(ISNUMBER(SEARCH("rata-rata:",'Onshore - Brisbane'!M351)),VALUE(MID('Onshore - Brisbane'!M351,SEARCH("rata-rata:",'Onshore - Brisbane'!M351)+11,FIND(";",'Onshore - Brisbane'!M351&amp;";",SEARCH("rata-rata:",'Onshore - Brisbane'!M351))-SEARCH("rata-rata:",'Onshore - Brisbane'!M351)-11)),IF('Onshore - Brisbane'!D351="Semester",'Onshore - Brisbane'!E351*2,IF('Onshore - Brisbane'!D351="Trimester",'Onshore - Brisbane'!E351*3,IF('Onshore - Brisbane'!D351="Term",'Onshore - Brisbane'!E351*4,IF('Onshore - Brisbane'!D351="Unit",'Onshore - Brisbane'!E351*8,""))))))</f>
        <v>31600</v>
      </c>
      <c r="L1495" s="0" t="n">
        <f aca="false">IF(AND(ISNUMBER('Onshore - Brisbane'!E351),ISNUMBER(K1495),ISNUMBER('Onshore - Brisbane'!F351),ISNUMBER('Onshore - Brisbane'!G351),OR('Onshore - Brisbane'!F351&lt;&gt;0,ISNUMBER(SEARCH("Material 0 terverifikasi",'Onshore - Brisbane'!M351))),OR('Onshore - Brisbane'!G351&lt;&gt;0,ISNUMBER(SEARCH("Enrolment 0 terverifikasi",'Onshore - Brisbane'!M351)))),1,0)</f>
        <v>0</v>
      </c>
      <c r="M1495" s="0" t="n">
        <f aca="false">IF(OR('Onshore - Brisbane'!E351="",ISNUMBER(SEARCH("BSB80120",'Onshore - Brisbane'!B351&amp;'Onshore - Brisbane'!M351)),ISNUMBER(SEARCH("Management (Learning)",'Onshore - Brisbane'!B351))),2,IF(ISNUMBER(SEARCH("CEK:",'Onshore - Brisbane'!M351)),1,0))</f>
        <v>0</v>
      </c>
    </row>
    <row r="1496" customFormat="false" ht="15" hidden="false" customHeight="false" outlineLevel="0" collapsed="false">
      <c r="A1496" s="63" t="s">
        <v>3563</v>
      </c>
      <c r="B1496" s="64" t="s">
        <v>4374</v>
      </c>
      <c r="C1496" s="63" t="s">
        <v>41</v>
      </c>
      <c r="D1496" s="64" t="str">
        <f aca="false">TRIM(LEFT('Onshore - Brisbane'!A53,FIND(CHAR(10),'Onshore - Brisbane'!A53&amp;CHAR(10))-1))</f>
        <v>Australian Catholic University (ACU)</v>
      </c>
      <c r="E1496" s="63" t="str">
        <f aca="false">'Onshore - Brisbane'!C151&amp;""</f>
        <v>1 year</v>
      </c>
      <c r="F1496" s="63" t="str">
        <f aca="false">IF('Onshore - Brisbane'!D151="","Belum tercatat",'Onshore - Brisbane'!D151)</f>
        <v>Term</v>
      </c>
      <c r="G1496" s="65" t="n">
        <f aca="false">IF('Onshore - Brisbane'!E151="","-",'Onshore - Brisbane'!E151)</f>
        <v>8058</v>
      </c>
      <c r="H1496" s="63" t="n">
        <f aca="false">IF(ISNUMBER(K1496),COUNTIFS($J$6:$J$1916,J1496,$K$6:$K$1916,"&lt;"&amp;K1496)+1,"-")</f>
        <v>6</v>
      </c>
      <c r="I1496" s="64" t="str">
        <f aca="false">IF('Onshore - Brisbane'!E151="","Harga belum tersedia - hubungi konsultan TEG",IF(M1496=2,"Saat ini tidak menerima pendaftaran siswa internasional baru",IF(M1496=1,"Harga perlu dikonfirmasi ke sekolah"&amp;IF(""="","","; "&amp;""),"")))</f>
        <v/>
      </c>
      <c r="J1496" s="0" t="s">
        <v>4389</v>
      </c>
      <c r="K1496" s="0" t="n">
        <f aca="false">IF(M1496=2,"",IF(ISNUMBER(SEARCH("rata-rata:",'Onshore - Brisbane'!M151)),VALUE(MID('Onshore - Brisbane'!M151,SEARCH("rata-rata:",'Onshore - Brisbane'!M151)+11,FIND(";",'Onshore - Brisbane'!M151&amp;";",SEARCH("rata-rata:",'Onshore - Brisbane'!M151))-SEARCH("rata-rata:",'Onshore - Brisbane'!M151)-11)),IF('Onshore - Brisbane'!D151="Semester",'Onshore - Brisbane'!E151*2,IF('Onshore - Brisbane'!D151="Trimester",'Onshore - Brisbane'!E151*3,IF('Onshore - Brisbane'!D151="Term",'Onshore - Brisbane'!E151*4,IF('Onshore - Brisbane'!D151="Unit",'Onshore - Brisbane'!E151*8,""))))))</f>
        <v>32232</v>
      </c>
      <c r="L1496" s="0" t="n">
        <f aca="false">IF(AND(ISNUMBER('Onshore - Brisbane'!E151),ISNUMBER(K1496),ISNUMBER('Onshore - Brisbane'!F151),ISNUMBER('Onshore - Brisbane'!G151),OR('Onshore - Brisbane'!F151&lt;&gt;0,ISNUMBER(SEARCH("Material 0 terverifikasi",'Onshore - Brisbane'!M151))),OR('Onshore - Brisbane'!G151&lt;&gt;0,ISNUMBER(SEARCH("Enrolment 0 terverifikasi",'Onshore - Brisbane'!M151)))),1,0)</f>
        <v>0</v>
      </c>
      <c r="M1496" s="0" t="n">
        <f aca="false">IF(OR('Onshore - Brisbane'!E151="",ISNUMBER(SEARCH("BSB80120",'Onshore - Brisbane'!B151&amp;'Onshore - Brisbane'!M151)),ISNUMBER(SEARCH("Management (Learning)",'Onshore - Brisbane'!B151))),2,IF(ISNUMBER(SEARCH("CEK:",'Onshore - Brisbane'!M151)),1,0))</f>
        <v>0</v>
      </c>
    </row>
    <row r="1497" customFormat="false" ht="15" hidden="false" customHeight="false" outlineLevel="0" collapsed="false">
      <c r="A1497" s="61" t="s">
        <v>4390</v>
      </c>
      <c r="B1497" s="62"/>
      <c r="C1497" s="62"/>
      <c r="D1497" s="62"/>
      <c r="E1497" s="62"/>
      <c r="F1497" s="62"/>
      <c r="G1497" s="62"/>
      <c r="H1497" s="62"/>
      <c r="I1497" s="62"/>
    </row>
    <row r="1498" customFormat="false" ht="28.35" hidden="false" customHeight="false" outlineLevel="0" collapsed="false">
      <c r="A1498" s="63" t="s">
        <v>3563</v>
      </c>
      <c r="B1498" s="64" t="s">
        <v>4374</v>
      </c>
      <c r="C1498" s="63" t="s">
        <v>42</v>
      </c>
      <c r="D1498" s="64" t="str">
        <f aca="false">TRIM(LEFT('Onshore - Brisbane'!A22,FIND(CHAR(10),'Onshore - Brisbane'!A22&amp;CHAR(10))-1))</f>
        <v>Albright Institute of Business and Language (AIBL)</v>
      </c>
      <c r="E1498" s="63" t="str">
        <f aca="false">'Onshore - Brisbane'!C25&amp;""</f>
        <v>2 years</v>
      </c>
      <c r="F1498" s="63" t="str">
        <f aca="false">IF('Onshore - Brisbane'!D25="","Belum tercatat",'Onshore - Brisbane'!D25)</f>
        <v>Term</v>
      </c>
      <c r="G1498" s="65" t="n">
        <f aca="false">IF('Onshore - Brisbane'!E25="","-",'Onshore - Brisbane'!E25)</f>
        <v>1250</v>
      </c>
      <c r="H1498" s="63" t="n">
        <f aca="false">IF(ISNUMBER(K1498),COUNTIFS($J$6:$J$1916,J1498,$K$6:$K$1916,"&lt;"&amp;K1498)+1,"-")</f>
        <v>1</v>
      </c>
      <c r="I1498" s="64" t="str">
        <f aca="false">IF('Onshore - Brisbane'!E25="","Harga belum tersedia - hubungi konsultan TEG",IF(M1498=2,"Saat ini tidak menerima pendaftaran siswa internasional baru",IF(M1498=1,"Harga perlu dikonfirmasi ke sekolah"&amp;IF(""="","","; "&amp;""),"")))</f>
        <v/>
      </c>
      <c r="J1498" s="0" t="s">
        <v>4391</v>
      </c>
      <c r="K1498" s="0" t="n">
        <f aca="false">IF(M1498=2,"",IF(ISNUMBER(SEARCH("rata-rata:",'Onshore - Brisbane'!M25)),VALUE(MID('Onshore - Brisbane'!M25,SEARCH("rata-rata:",'Onshore - Brisbane'!M25)+11,FIND(";",'Onshore - Brisbane'!M25&amp;";",SEARCH("rata-rata:",'Onshore - Brisbane'!M25))-SEARCH("rata-rata:",'Onshore - Brisbane'!M25)-11)),IF('Onshore - Brisbane'!D25="Semester",'Onshore - Brisbane'!E25*2,IF('Onshore - Brisbane'!D25="Trimester",'Onshore - Brisbane'!E25*3,IF('Onshore - Brisbane'!D25="Term",'Onshore - Brisbane'!E25*4,IF('Onshore - Brisbane'!D25="Unit",'Onshore - Brisbane'!E25*8,""))))))</f>
        <v>5000</v>
      </c>
      <c r="L1498" s="0" t="n">
        <f aca="false">IF(AND(ISNUMBER('Onshore - Brisbane'!E25),ISNUMBER(K1498),ISNUMBER('Onshore - Brisbane'!F25),ISNUMBER('Onshore - Brisbane'!G25),OR('Onshore - Brisbane'!F25&lt;&gt;0,ISNUMBER(SEARCH("Material 0 terverifikasi",'Onshore - Brisbane'!M25))),OR('Onshore - Brisbane'!G25&lt;&gt;0,ISNUMBER(SEARCH("Enrolment 0 terverifikasi",'Onshore - Brisbane'!M25)))),1,0)</f>
        <v>1</v>
      </c>
      <c r="M1498" s="0" t="n">
        <f aca="false">IF(OR('Onshore - Brisbane'!E25="",ISNUMBER(SEARCH("BSB80120",'Onshore - Brisbane'!B25&amp;'Onshore - Brisbane'!M25)),ISNUMBER(SEARCH("Management (Learning)",'Onshore - Brisbane'!B25))),2,IF(ISNUMBER(SEARCH("CEK:",'Onshore - Brisbane'!M25)),1,0))</f>
        <v>0</v>
      </c>
    </row>
    <row r="1499" customFormat="false" ht="15" hidden="false" customHeight="false" outlineLevel="0" collapsed="false">
      <c r="A1499" s="63" t="s">
        <v>3563</v>
      </c>
      <c r="B1499" s="64" t="s">
        <v>4374</v>
      </c>
      <c r="C1499" s="63" t="s">
        <v>42</v>
      </c>
      <c r="D1499" s="64" t="str">
        <f aca="false">TRIM(LEFT('Onshore - Brisbane'!A206,FIND(CHAR(10),'Onshore - Brisbane'!A206&amp;CHAR(10))-1))</f>
        <v>Greenwich College</v>
      </c>
      <c r="E1499" s="63" t="str">
        <f aca="false">'Onshore - Brisbane'!C228&amp;""</f>
        <v>2 years</v>
      </c>
      <c r="F1499" s="63" t="str">
        <f aca="false">IF('Onshore - Brisbane'!D228="","Belum tercatat",'Onshore - Brisbane'!D228)</f>
        <v>Term</v>
      </c>
      <c r="G1499" s="65" t="n">
        <f aca="false">IF('Onshore - Brisbane'!E228="","-",'Onshore - Brisbane'!E228)</f>
        <v>1250</v>
      </c>
      <c r="H1499" s="63" t="n">
        <f aca="false">IF(ISNUMBER(K1499),COUNTIFS($J$6:$J$1916,J1499,$K$6:$K$1916,"&lt;"&amp;K1499)+1,"-")</f>
        <v>1</v>
      </c>
      <c r="I1499" s="64" t="str">
        <f aca="false">IF('Onshore - Brisbane'!E228="","Harga belum tersedia - hubungi konsultan TEG",IF(M1499=2,"Saat ini tidak menerima pendaftaran siswa internasional baru",IF(M1499=1,"Program perlu dikonfirmasi ketersediaannya"&amp;IF(""="","","; "&amp;""),"")))</f>
        <v>Program perlu dikonfirmasi ketersediaannya</v>
      </c>
      <c r="J1499" s="0" t="s">
        <v>4391</v>
      </c>
      <c r="K1499" s="0" t="n">
        <f aca="false">IF(M1499=2,"",IF(ISNUMBER(SEARCH("rata-rata:",'Onshore - Brisbane'!M228)),VALUE(MID('Onshore - Brisbane'!M228,SEARCH("rata-rata:",'Onshore - Brisbane'!M228)+11,FIND(";",'Onshore - Brisbane'!M228&amp;";",SEARCH("rata-rata:",'Onshore - Brisbane'!M228))-SEARCH("rata-rata:",'Onshore - Brisbane'!M228)-11)),IF('Onshore - Brisbane'!D228="Semester",'Onshore - Brisbane'!E228*2,IF('Onshore - Brisbane'!D228="Trimester",'Onshore - Brisbane'!E228*3,IF('Onshore - Brisbane'!D228="Term",'Onshore - Brisbane'!E228*4,IF('Onshore - Brisbane'!D228="Unit",'Onshore - Brisbane'!E228*8,""))))))</f>
        <v>5000</v>
      </c>
      <c r="L1499" s="0" t="n">
        <f aca="false">IF(AND(ISNUMBER('Onshore - Brisbane'!E228),ISNUMBER(K1499),ISNUMBER('Onshore - Brisbane'!F228),ISNUMBER('Onshore - Brisbane'!G228),OR('Onshore - Brisbane'!F228&lt;&gt;0,ISNUMBER(SEARCH("Material 0 terverifikasi",'Onshore - Brisbane'!M228))),OR('Onshore - Brisbane'!G228&lt;&gt;0,ISNUMBER(SEARCH("Enrolment 0 terverifikasi",'Onshore - Brisbane'!M228)))),1,0)</f>
        <v>1</v>
      </c>
      <c r="M1499" s="0" t="n">
        <f aca="false">IF(OR('Onshore - Brisbane'!E228="",ISNUMBER(SEARCH("BSB80120",'Onshore - Brisbane'!B228&amp;'Onshore - Brisbane'!M228)),ISNUMBER(SEARCH("Management (Learning)",'Onshore - Brisbane'!B228))),2,IF(ISNUMBER(SEARCH("CEK:",'Onshore - Brisbane'!M228)),1,0))</f>
        <v>1</v>
      </c>
    </row>
    <row r="1500" customFormat="false" ht="15" hidden="false" customHeight="false" outlineLevel="0" collapsed="false">
      <c r="A1500" s="63" t="s">
        <v>3563</v>
      </c>
      <c r="B1500" s="64" t="s">
        <v>4374</v>
      </c>
      <c r="C1500" s="63" t="s">
        <v>42</v>
      </c>
      <c r="D1500" s="64" t="str">
        <f aca="false">TRIM(LEFT('Onshore - Brisbane'!A183,FIND(CHAR(10),'Onshore - Brisbane'!A183&amp;CHAR(10))-1))</f>
        <v>ECA College</v>
      </c>
      <c r="E1500" s="63" t="str">
        <f aca="false">'Onshore - Brisbane'!C186&amp;""</f>
        <v>3 years</v>
      </c>
      <c r="F1500" s="63" t="str">
        <f aca="false">IF('Onshore - Brisbane'!D186="","Belum tercatat",'Onshore - Brisbane'!D186)</f>
        <v>Term</v>
      </c>
      <c r="G1500" s="65" t="n">
        <f aca="false">IF('Onshore - Brisbane'!E186="","-",'Onshore - Brisbane'!E186)</f>
        <v>1700</v>
      </c>
      <c r="H1500" s="63" t="n">
        <f aca="false">IF(ISNUMBER(K1500),COUNTIFS($J$6:$J$1916,J1500,$K$6:$K$1916,"&lt;"&amp;K1500)+1,"-")</f>
        <v>3</v>
      </c>
      <c r="I1500" s="64" t="str">
        <f aca="false">IF('Onshore - Brisbane'!E186="","Harga belum tersedia - hubungi konsultan TEG",IF(M1500=2,"Saat ini tidak menerima pendaftaran siswa internasional baru",IF(M1500=1,"Harga perlu dikonfirmasi ke sekolah"&amp;IF(""="","","; "&amp;""),"")))</f>
        <v/>
      </c>
      <c r="J1500" s="0" t="s">
        <v>4391</v>
      </c>
      <c r="K1500" s="0" t="n">
        <f aca="false">IF(M1500=2,"",IF(ISNUMBER(SEARCH("rata-rata:",'Onshore - Brisbane'!M186)),VALUE(MID('Onshore - Brisbane'!M186,SEARCH("rata-rata:",'Onshore - Brisbane'!M186)+11,FIND(";",'Onshore - Brisbane'!M186&amp;";",SEARCH("rata-rata:",'Onshore - Brisbane'!M186))-SEARCH("rata-rata:",'Onshore - Brisbane'!M186)-11)),IF('Onshore - Brisbane'!D186="Semester",'Onshore - Brisbane'!E186*2,IF('Onshore - Brisbane'!D186="Trimester",'Onshore - Brisbane'!E186*3,IF('Onshore - Brisbane'!D186="Term",'Onshore - Brisbane'!E186*4,IF('Onshore - Brisbane'!D186="Unit",'Onshore - Brisbane'!E186*8,""))))))</f>
        <v>6800</v>
      </c>
      <c r="L1500" s="0" t="n">
        <f aca="false">IF(AND(ISNUMBER('Onshore - Brisbane'!E186),ISNUMBER(K1500),ISNUMBER('Onshore - Brisbane'!F186),ISNUMBER('Onshore - Brisbane'!G186),OR('Onshore - Brisbane'!F186&lt;&gt;0,ISNUMBER(SEARCH("Material 0 terverifikasi",'Onshore - Brisbane'!M186))),OR('Onshore - Brisbane'!G186&lt;&gt;0,ISNUMBER(SEARCH("Enrolment 0 terverifikasi",'Onshore - Brisbane'!M186)))),1,0)</f>
        <v>0</v>
      </c>
      <c r="M1500" s="0" t="n">
        <f aca="false">IF(OR('Onshore - Brisbane'!E186="",ISNUMBER(SEARCH("BSB80120",'Onshore - Brisbane'!B186&amp;'Onshore - Brisbane'!M186)),ISNUMBER(SEARCH("Management (Learning)",'Onshore - Brisbane'!B186))),2,IF(ISNUMBER(SEARCH("CEK:",'Onshore - Brisbane'!M186)),1,0))</f>
        <v>0</v>
      </c>
    </row>
    <row r="1501" customFormat="false" ht="15" hidden="false" customHeight="false" outlineLevel="0" collapsed="false">
      <c r="A1501" s="63" t="s">
        <v>3563</v>
      </c>
      <c r="B1501" s="64" t="s">
        <v>4374</v>
      </c>
      <c r="C1501" s="63" t="s">
        <v>42</v>
      </c>
      <c r="D1501" s="64" t="str">
        <f aca="false">TRIM(LEFT('Onshore - Brisbane'!A296,FIND(CHAR(10),'Onshore - Brisbane'!A296&amp;CHAR(10))-1))</f>
        <v>Skills Institute Australia</v>
      </c>
      <c r="E1501" s="63" t="str">
        <f aca="false">'Onshore - Brisbane'!C306&amp;""</f>
        <v>2 years</v>
      </c>
      <c r="F1501" s="63" t="str">
        <f aca="false">IF('Onshore - Brisbane'!D306="","Belum tercatat",'Onshore - Brisbane'!D306)</f>
        <v>Term</v>
      </c>
      <c r="G1501" s="65" t="n">
        <f aca="false">IF('Onshore - Brisbane'!E306="","-",'Onshore - Brisbane'!E306)</f>
        <v>2125</v>
      </c>
      <c r="H1501" s="63" t="n">
        <f aca="false">IF(ISNUMBER(K1501),COUNTIFS($J$6:$J$1916,J1501,$K$6:$K$1916,"&lt;"&amp;K1501)+1,"-")</f>
        <v>4</v>
      </c>
      <c r="I1501" s="64" t="str">
        <f aca="false">IF('Onshore - Brisbane'!E306="","Harga belum tersedia - hubungi konsultan TEG",IF(M1501=2,"Saat ini tidak menerima pendaftaran siswa internasional baru",IF(M1501=1,"Harga perlu dikonfirmasi ke sekolah"&amp;IF(""="","","; "&amp;""),"")))</f>
        <v/>
      </c>
      <c r="J1501" s="0" t="s">
        <v>4391</v>
      </c>
      <c r="K1501" s="0" t="n">
        <f aca="false">IF(M1501=2,"",IF(ISNUMBER(SEARCH("rata-rata:",'Onshore - Brisbane'!M306)),VALUE(MID('Onshore - Brisbane'!M306,SEARCH("rata-rata:",'Onshore - Brisbane'!M306)+11,FIND(";",'Onshore - Brisbane'!M306&amp;";",SEARCH("rata-rata:",'Onshore - Brisbane'!M306))-SEARCH("rata-rata:",'Onshore - Brisbane'!M306)-11)),IF('Onshore - Brisbane'!D306="Semester",'Onshore - Brisbane'!E306*2,IF('Onshore - Brisbane'!D306="Trimester",'Onshore - Brisbane'!E306*3,IF('Onshore - Brisbane'!D306="Term",'Onshore - Brisbane'!E306*4,IF('Onshore - Brisbane'!D306="Unit",'Onshore - Brisbane'!E306*8,""))))))</f>
        <v>8500</v>
      </c>
      <c r="L1501" s="0" t="n">
        <f aca="false">IF(AND(ISNUMBER('Onshore - Brisbane'!E306),ISNUMBER(K1501),ISNUMBER('Onshore - Brisbane'!F306),ISNUMBER('Onshore - Brisbane'!G306),OR('Onshore - Brisbane'!F306&lt;&gt;0,ISNUMBER(SEARCH("Material 0 terverifikasi",'Onshore - Brisbane'!M306))),OR('Onshore - Brisbane'!G306&lt;&gt;0,ISNUMBER(SEARCH("Enrolment 0 terverifikasi",'Onshore - Brisbane'!M306)))),1,0)</f>
        <v>1</v>
      </c>
      <c r="M1501" s="0" t="n">
        <f aca="false">IF(OR('Onshore - Brisbane'!E306="",ISNUMBER(SEARCH("BSB80120",'Onshore - Brisbane'!B306&amp;'Onshore - Brisbane'!M306)),ISNUMBER(SEARCH("Management (Learning)",'Onshore - Brisbane'!B306))),2,IF(ISNUMBER(SEARCH("CEK:",'Onshore - Brisbane'!M306)),1,0))</f>
        <v>0</v>
      </c>
    </row>
    <row r="1502" customFormat="false" ht="15" hidden="false" customHeight="false" outlineLevel="0" collapsed="false">
      <c r="A1502" s="63" t="s">
        <v>3563</v>
      </c>
      <c r="B1502" s="64" t="s">
        <v>4374</v>
      </c>
      <c r="C1502" s="63" t="s">
        <v>42</v>
      </c>
      <c r="D1502" s="64" t="str">
        <f aca="false">TRIM(LEFT('Onshore - Brisbane'!A170,FIND(CHAR(10),'Onshore - Brisbane'!A170&amp;CHAR(10))-1))</f>
        <v>Cambridge College</v>
      </c>
      <c r="E1502" s="63" t="str">
        <f aca="false">'Onshore - Brisbane'!C174&amp;""</f>
        <v>2 years</v>
      </c>
      <c r="F1502" s="63" t="str">
        <f aca="false">IF('Onshore - Brisbane'!D174="","Belum tercatat",'Onshore - Brisbane'!D174)</f>
        <v>Term</v>
      </c>
      <c r="G1502" s="65" t="n">
        <f aca="false">IF('Onshore - Brisbane'!E174="","-",'Onshore - Brisbane'!E174)</f>
        <v>2500</v>
      </c>
      <c r="H1502" s="63" t="n">
        <f aca="false">IF(ISNUMBER(K1502),COUNTIFS($J$6:$J$1916,J1502,$K$6:$K$1916,"&lt;"&amp;K1502)+1,"-")</f>
        <v>5</v>
      </c>
      <c r="I1502" s="64" t="str">
        <f aca="false">IF('Onshore - Brisbane'!E174="","Harga belum tersedia - hubungi konsultan TEG",IF(M1502=2,"Saat ini tidak menerima pendaftaran siswa internasional baru",IF(M1502=1,"Program perlu dikonfirmasi ketersediaannya"&amp;IF(""="","","; "&amp;""),"")))</f>
        <v>Program perlu dikonfirmasi ketersediaannya</v>
      </c>
      <c r="J1502" s="0" t="s">
        <v>4391</v>
      </c>
      <c r="K1502" s="0" t="n">
        <f aca="false">IF(M1502=2,"",IF(ISNUMBER(SEARCH("rata-rata:",'Onshore - Brisbane'!M174)),VALUE(MID('Onshore - Brisbane'!M174,SEARCH("rata-rata:",'Onshore - Brisbane'!M174)+11,FIND(";",'Onshore - Brisbane'!M174&amp;";",SEARCH("rata-rata:",'Onshore - Brisbane'!M174))-SEARCH("rata-rata:",'Onshore - Brisbane'!M174)-11)),IF('Onshore - Brisbane'!D174="Semester",'Onshore - Brisbane'!E174*2,IF('Onshore - Brisbane'!D174="Trimester",'Onshore - Brisbane'!E174*3,IF('Onshore - Brisbane'!D174="Term",'Onshore - Brisbane'!E174*4,IF('Onshore - Brisbane'!D174="Unit",'Onshore - Brisbane'!E174*8,""))))))</f>
        <v>10000</v>
      </c>
      <c r="L1502" s="0" t="n">
        <f aca="false">IF(AND(ISNUMBER('Onshore - Brisbane'!E174),ISNUMBER(K1502),ISNUMBER('Onshore - Brisbane'!F174),ISNUMBER('Onshore - Brisbane'!G174),OR('Onshore - Brisbane'!F174&lt;&gt;0,ISNUMBER(SEARCH("Material 0 terverifikasi",'Onshore - Brisbane'!M174))),OR('Onshore - Brisbane'!G174&lt;&gt;0,ISNUMBER(SEARCH("Enrolment 0 terverifikasi",'Onshore - Brisbane'!M174)))),1,0)</f>
        <v>1</v>
      </c>
      <c r="M1502" s="0" t="n">
        <f aca="false">IF(OR('Onshore - Brisbane'!E174="",ISNUMBER(SEARCH("BSB80120",'Onshore - Brisbane'!B174&amp;'Onshore - Brisbane'!M174)),ISNUMBER(SEARCH("Management (Learning)",'Onshore - Brisbane'!B174))),2,IF(ISNUMBER(SEARCH("CEK:",'Onshore - Brisbane'!M174)),1,0))</f>
        <v>1</v>
      </c>
    </row>
    <row r="1503" customFormat="false" ht="15" hidden="false" customHeight="false" outlineLevel="0" collapsed="false">
      <c r="A1503" s="63" t="s">
        <v>3563</v>
      </c>
      <c r="B1503" s="64" t="s">
        <v>4374</v>
      </c>
      <c r="C1503" s="63" t="s">
        <v>42</v>
      </c>
      <c r="D1503" s="64" t="str">
        <f aca="false">TRIM(LEFT('Onshore - Brisbane'!A201,FIND(CHAR(10),'Onshore - Brisbane'!A201&amp;CHAR(10))-1))</f>
        <v>Federation Academy</v>
      </c>
      <c r="E1503" s="63" t="str">
        <f aca="false">'Onshore - Brisbane'!C203&amp;""</f>
        <v>2 years</v>
      </c>
      <c r="F1503" s="63" t="str">
        <f aca="false">IF('Onshore - Brisbane'!D203="","Belum tercatat",'Onshore - Brisbane'!D203)</f>
        <v>Term</v>
      </c>
      <c r="G1503" s="65" t="n">
        <f aca="false">IF('Onshore - Brisbane'!E203="","-",'Onshore - Brisbane'!E203)</f>
        <v>3300</v>
      </c>
      <c r="H1503" s="63" t="n">
        <f aca="false">IF(ISNUMBER(K1503),COUNTIFS($J$6:$J$1916,J1503,$K$6:$K$1916,"&lt;"&amp;K1503)+1,"-")</f>
        <v>6</v>
      </c>
      <c r="I1503" s="64" t="str">
        <f aca="false">IF('Onshore - Brisbane'!E203="","Harga belum tersedia - hubungi konsultan TEG",IF(M1503=2,"Saat ini tidak menerima pendaftaran siswa internasional baru",IF(M1503=1,"Harga perlu dikonfirmasi ke sekolah"&amp;IF(""="","","; "&amp;""),"")))</f>
        <v/>
      </c>
      <c r="J1503" s="0" t="s">
        <v>4391</v>
      </c>
      <c r="K1503" s="0" t="n">
        <f aca="false">IF(M1503=2,"",IF(ISNUMBER(SEARCH("rata-rata:",'Onshore - Brisbane'!M203)),VALUE(MID('Onshore - Brisbane'!M203,SEARCH("rata-rata:",'Onshore - Brisbane'!M203)+11,FIND(";",'Onshore - Brisbane'!M203&amp;";",SEARCH("rata-rata:",'Onshore - Brisbane'!M203))-SEARCH("rata-rata:",'Onshore - Brisbane'!M203)-11)),IF('Onshore - Brisbane'!D203="Semester",'Onshore - Brisbane'!E203*2,IF('Onshore - Brisbane'!D203="Trimester",'Onshore - Brisbane'!E203*3,IF('Onshore - Brisbane'!D203="Term",'Onshore - Brisbane'!E203*4,IF('Onshore - Brisbane'!D203="Unit",'Onshore - Brisbane'!E203*8,""))))))</f>
        <v>13200</v>
      </c>
      <c r="L1503" s="0" t="n">
        <f aca="false">IF(AND(ISNUMBER('Onshore - Brisbane'!E203),ISNUMBER(K1503),ISNUMBER('Onshore - Brisbane'!F203),ISNUMBER('Onshore - Brisbane'!G203),OR('Onshore - Brisbane'!F203&lt;&gt;0,ISNUMBER(SEARCH("Material 0 terverifikasi",'Onshore - Brisbane'!M203))),OR('Onshore - Brisbane'!G203&lt;&gt;0,ISNUMBER(SEARCH("Enrolment 0 terverifikasi",'Onshore - Brisbane'!M203)))),1,0)</f>
        <v>1</v>
      </c>
      <c r="M1503" s="0" t="n">
        <f aca="false">IF(OR('Onshore - Brisbane'!E203="",ISNUMBER(SEARCH("BSB80120",'Onshore - Brisbane'!B203&amp;'Onshore - Brisbane'!M203)),ISNUMBER(SEARCH("Management (Learning)",'Onshore - Brisbane'!B203))),2,IF(ISNUMBER(SEARCH("CEK:",'Onshore - Brisbane'!M203)),1,0))</f>
        <v>0</v>
      </c>
    </row>
    <row r="1504" customFormat="false" ht="15" hidden="false" customHeight="false" outlineLevel="0" collapsed="false">
      <c r="A1504" s="61" t="s">
        <v>4392</v>
      </c>
      <c r="B1504" s="62"/>
      <c r="C1504" s="62"/>
      <c r="D1504" s="62"/>
      <c r="E1504" s="62"/>
      <c r="F1504" s="62"/>
      <c r="G1504" s="62"/>
      <c r="H1504" s="62"/>
      <c r="I1504" s="62"/>
    </row>
    <row r="1505" customFormat="false" ht="15" hidden="false" customHeight="false" outlineLevel="0" collapsed="false">
      <c r="A1505" s="63" t="s">
        <v>3563</v>
      </c>
      <c r="B1505" s="64" t="s">
        <v>4374</v>
      </c>
      <c r="C1505" s="63" t="s">
        <v>43</v>
      </c>
      <c r="D1505" s="64" t="str">
        <f aca="false">TRIM(LEFT('Onshore - Brisbane'!A8,FIND(CHAR(10),'Onshore - Brisbane'!A8&amp;CHAR(10))-1))</f>
        <v>AIBI Higher Education</v>
      </c>
      <c r="E1505" s="63" t="str">
        <f aca="false">'Onshore - Brisbane'!C8&amp;""</f>
        <v>3 years</v>
      </c>
      <c r="F1505" s="63" t="str">
        <f aca="false">IF('Onshore - Brisbane'!D8="","Belum tercatat",'Onshore - Brisbane'!D8)</f>
        <v>Term</v>
      </c>
      <c r="G1505" s="65" t="n">
        <f aca="false">IF('Onshore - Brisbane'!E8="","-",'Onshore - Brisbane'!E8)</f>
        <v>3250</v>
      </c>
      <c r="H1505" s="63" t="n">
        <f aca="false">IF(ISNUMBER(K1505),COUNTIFS($J$6:$J$1916,J1505,$K$6:$K$1916,"&lt;"&amp;K1505)+1,"-")</f>
        <v>1</v>
      </c>
      <c r="I1505" s="64" t="str">
        <f aca="false">IF('Onshore - Brisbane'!E8="","Harga belum tersedia - hubungi konsultan TEG",IF(M1505=2,"Saat ini tidak menerima pendaftaran siswa internasional baru",IF(M1505=1,"Harga perlu dikonfirmasi ke sekolah"&amp;IF(""="","","; "&amp;""),"")))</f>
        <v>Harga perlu dikonfirmasi ke sekolah</v>
      </c>
      <c r="J1505" s="0" t="s">
        <v>4393</v>
      </c>
      <c r="K1505" s="0" t="n">
        <f aca="false">IF(M1505=2,"",IF(ISNUMBER(SEARCH("rata-rata:",'Onshore - Brisbane'!M8)),VALUE(MID('Onshore - Brisbane'!M8,SEARCH("rata-rata:",'Onshore - Brisbane'!M8)+11,FIND(";",'Onshore - Brisbane'!M8&amp;";",SEARCH("rata-rata:",'Onshore - Brisbane'!M8))-SEARCH("rata-rata:",'Onshore - Brisbane'!M8)-11)),IF('Onshore - Brisbane'!D8="Semester",'Onshore - Brisbane'!E8*2,IF('Onshore - Brisbane'!D8="Trimester",'Onshore - Brisbane'!E8*3,IF('Onshore - Brisbane'!D8="Term",'Onshore - Brisbane'!E8*4,IF('Onshore - Brisbane'!D8="Unit",'Onshore - Brisbane'!E8*8,""))))))</f>
        <v>13000</v>
      </c>
      <c r="L1505" s="0" t="n">
        <f aca="false">IF(AND(ISNUMBER('Onshore - Brisbane'!E8),ISNUMBER(K1505),ISNUMBER('Onshore - Brisbane'!F8),ISNUMBER('Onshore - Brisbane'!G8),OR('Onshore - Brisbane'!F8&lt;&gt;0,ISNUMBER(SEARCH("Material 0 terverifikasi",'Onshore - Brisbane'!M8))),OR('Onshore - Brisbane'!G8&lt;&gt;0,ISNUMBER(SEARCH("Enrolment 0 terverifikasi",'Onshore - Brisbane'!M8)))),1,0)</f>
        <v>0</v>
      </c>
      <c r="M1505" s="0" t="n">
        <f aca="false">IF(OR('Onshore - Brisbane'!E8="",ISNUMBER(SEARCH("BSB80120",'Onshore - Brisbane'!B8&amp;'Onshore - Brisbane'!M8)),ISNUMBER(SEARCH("Management (Learning)",'Onshore - Brisbane'!B8))),2,IF(ISNUMBER(SEARCH("CEK:",'Onshore - Brisbane'!M8)),1,0))</f>
        <v>1</v>
      </c>
    </row>
    <row r="1506" customFormat="false" ht="15" hidden="false" customHeight="false" outlineLevel="0" collapsed="false">
      <c r="A1506" s="63" t="s">
        <v>3563</v>
      </c>
      <c r="B1506" s="64" t="s">
        <v>4374</v>
      </c>
      <c r="C1506" s="63" t="s">
        <v>43</v>
      </c>
      <c r="D1506" s="64" t="str">
        <f aca="false">TRIM(LEFT('Onshore - Brisbane'!A33,FIND(CHAR(10),'Onshore - Brisbane'!A33&amp;CHAR(10))-1))</f>
        <v>Asia Pacific International College (APIC)</v>
      </c>
      <c r="E1506" s="63" t="str">
        <f aca="false">'Onshore - Brisbane'!C34&amp;""</f>
        <v>3 years</v>
      </c>
      <c r="F1506" s="63" t="str">
        <f aca="false">IF('Onshore - Brisbane'!D34="","Belum tercatat",'Onshore - Brisbane'!D34)</f>
        <v>Trimester</v>
      </c>
      <c r="G1506" s="65" t="n">
        <f aca="false">IF('Onshore - Brisbane'!E34="","-",'Onshore - Brisbane'!E34)</f>
        <v>4500</v>
      </c>
      <c r="H1506" s="63" t="n">
        <f aca="false">IF(ISNUMBER(K1506),COUNTIFS($J$6:$J$1916,J1506,$K$6:$K$1916,"&lt;"&amp;K1506)+1,"-")</f>
        <v>2</v>
      </c>
      <c r="I1506" s="64" t="str">
        <f aca="false">IF('Onshore - Brisbane'!E34="","Harga belum tersedia - hubungi konsultan TEG",IF(M1506=2,"Saat ini tidak menerima pendaftaran siswa internasional baru",IF(M1506=1,"Harga perlu dikonfirmasi ke sekolah"&amp;IF("Harga promo s.d. 31/12/2026"="","","; "&amp;"Harga promo s.d. 31/12/2026"),"Harga promo s.d. 31/12/2026")))</f>
        <v>Harga promo s.d. 31/12/2026</v>
      </c>
      <c r="J1506" s="0" t="s">
        <v>4393</v>
      </c>
      <c r="K1506" s="0" t="n">
        <f aca="false">IF(M1506=2,"",IF(ISNUMBER(SEARCH("rata-rata:",'Onshore - Brisbane'!M34)),VALUE(MID('Onshore - Brisbane'!M34,SEARCH("rata-rata:",'Onshore - Brisbane'!M34)+11,FIND(";",'Onshore - Brisbane'!M34&amp;";",SEARCH("rata-rata:",'Onshore - Brisbane'!M34))-SEARCH("rata-rata:",'Onshore - Brisbane'!M34)-11)),IF('Onshore - Brisbane'!D34="Semester",'Onshore - Brisbane'!E34*2,IF('Onshore - Brisbane'!D34="Trimester",'Onshore - Brisbane'!E34*3,IF('Onshore - Brisbane'!D34="Term",'Onshore - Brisbane'!E34*4,IF('Onshore - Brisbane'!D34="Unit",'Onshore - Brisbane'!E34*8,""))))))</f>
        <v>13500</v>
      </c>
      <c r="L1506" s="0" t="n">
        <f aca="false">IF(AND(ISNUMBER('Onshore - Brisbane'!E34),ISNUMBER(K1506),ISNUMBER('Onshore - Brisbane'!F34),ISNUMBER('Onshore - Brisbane'!G34),OR('Onshore - Brisbane'!F34&lt;&gt;0,ISNUMBER(SEARCH("Material 0 terverifikasi",'Onshore - Brisbane'!M34))),OR('Onshore - Brisbane'!G34&lt;&gt;0,ISNUMBER(SEARCH("Enrolment 0 terverifikasi",'Onshore - Brisbane'!M34)))),1,0)</f>
        <v>0</v>
      </c>
      <c r="M1506" s="0" t="n">
        <f aca="false">IF(OR('Onshore - Brisbane'!E34="",ISNUMBER(SEARCH("BSB80120",'Onshore - Brisbane'!B34&amp;'Onshore - Brisbane'!M34)),ISNUMBER(SEARCH("Management (Learning)",'Onshore - Brisbane'!B34))),2,IF(ISNUMBER(SEARCH("CEK:",'Onshore - Brisbane'!M34)),1,0))</f>
        <v>0</v>
      </c>
    </row>
    <row r="1507" customFormat="false" ht="28.35" hidden="false" customHeight="false" outlineLevel="0" collapsed="false">
      <c r="A1507" s="63" t="s">
        <v>3563</v>
      </c>
      <c r="B1507" s="64" t="s">
        <v>4374</v>
      </c>
      <c r="C1507" s="63" t="s">
        <v>43</v>
      </c>
      <c r="D1507" s="64" t="str">
        <f aca="false">TRIM(LEFT('Onshore - Brisbane'!A235,FIND(CHAR(10),'Onshore - Brisbane'!A235&amp;CHAR(10))-1))</f>
        <v>Greenwich Higher Education (Academy of Interactive Technology Pty Ltd)</v>
      </c>
      <c r="E1507" s="63" t="str">
        <f aca="false">'Onshore - Brisbane'!C235&amp;""</f>
        <v>3 years</v>
      </c>
      <c r="F1507" s="63" t="str">
        <f aca="false">IF('Onshore - Brisbane'!D235="","Belum tercatat",'Onshore - Brisbane'!D235)</f>
        <v>Term</v>
      </c>
      <c r="G1507" s="65" t="n">
        <f aca="false">IF('Onshore - Brisbane'!E235="","-",'Onshore - Brisbane'!E235)</f>
        <v>4025</v>
      </c>
      <c r="H1507" s="63" t="n">
        <f aca="false">IF(ISNUMBER(K1507),COUNTIFS($J$6:$J$1916,J1507,$K$6:$K$1916,"&lt;"&amp;K1507)+1,"-")</f>
        <v>3</v>
      </c>
      <c r="I1507" s="64" t="str">
        <f aca="false">IF('Onshore - Brisbane'!E235="","Harga belum tersedia - hubungi konsultan TEG",IF(M1507=2,"Saat ini tidak menerima pendaftaran siswa internasional baru",IF(M1507=1,"Program perlu dikonfirmasi ketersediaannya"&amp;IF(""="","","; "&amp;""),"")))</f>
        <v>Program perlu dikonfirmasi ketersediaannya</v>
      </c>
      <c r="J1507" s="0" t="s">
        <v>4393</v>
      </c>
      <c r="K1507" s="0" t="n">
        <f aca="false">IF(M1507=2,"",IF(ISNUMBER(SEARCH("rata-rata:",'Onshore - Brisbane'!M235)),VALUE(MID('Onshore - Brisbane'!M235,SEARCH("rata-rata:",'Onshore - Brisbane'!M235)+11,FIND(";",'Onshore - Brisbane'!M235&amp;";",SEARCH("rata-rata:",'Onshore - Brisbane'!M235))-SEARCH("rata-rata:",'Onshore - Brisbane'!M235)-11)),IF('Onshore - Brisbane'!D235="Semester",'Onshore - Brisbane'!E235*2,IF('Onshore - Brisbane'!D235="Trimester",'Onshore - Brisbane'!E235*3,IF('Onshore - Brisbane'!D235="Term",'Onshore - Brisbane'!E235*4,IF('Onshore - Brisbane'!D235="Unit",'Onshore - Brisbane'!E235*8,""))))))</f>
        <v>16100</v>
      </c>
      <c r="L1507" s="0" t="n">
        <f aca="false">IF(AND(ISNUMBER('Onshore - Brisbane'!E235),ISNUMBER(K1507),ISNUMBER('Onshore - Brisbane'!F235),ISNUMBER('Onshore - Brisbane'!G235),OR('Onshore - Brisbane'!F235&lt;&gt;0,ISNUMBER(SEARCH("Material 0 terverifikasi",'Onshore - Brisbane'!M235))),OR('Onshore - Brisbane'!G235&lt;&gt;0,ISNUMBER(SEARCH("Enrolment 0 terverifikasi",'Onshore - Brisbane'!M235)))),1,0)</f>
        <v>1</v>
      </c>
      <c r="M1507" s="0" t="n">
        <f aca="false">IF(OR('Onshore - Brisbane'!E235="",ISNUMBER(SEARCH("BSB80120",'Onshore - Brisbane'!B235&amp;'Onshore - Brisbane'!M235)),ISNUMBER(SEARCH("Management (Learning)",'Onshore - Brisbane'!B235))),2,IF(ISNUMBER(SEARCH("CEK:",'Onshore - Brisbane'!M235)),1,0))</f>
        <v>1</v>
      </c>
    </row>
    <row r="1508" customFormat="false" ht="15" hidden="false" customHeight="false" outlineLevel="0" collapsed="false">
      <c r="A1508" s="63" t="s">
        <v>3563</v>
      </c>
      <c r="B1508" s="64" t="s">
        <v>4374</v>
      </c>
      <c r="C1508" s="63" t="s">
        <v>43</v>
      </c>
      <c r="D1508" s="64" t="str">
        <f aca="false">TRIM(LEFT('Onshore - Brisbane'!A307,FIND(CHAR(10),'Onshore - Brisbane'!A307&amp;CHAR(10))-1))</f>
        <v>Torrens University Australia</v>
      </c>
      <c r="E1508" s="63" t="str">
        <f aca="false">'Onshore - Brisbane'!C352&amp;""</f>
        <v>3 years</v>
      </c>
      <c r="F1508" s="63" t="str">
        <f aca="false">IF('Onshore - Brisbane'!D352="","Belum tercatat",'Onshore - Brisbane'!D352)</f>
        <v>Term</v>
      </c>
      <c r="G1508" s="65" t="n">
        <f aca="false">IF('Onshore - Brisbane'!E352="","-",'Onshore - Brisbane'!E352)</f>
        <v>7900</v>
      </c>
      <c r="H1508" s="63" t="n">
        <f aca="false">IF(ISNUMBER(K1508),COUNTIFS($J$6:$J$1916,J1508,$K$6:$K$1916,"&lt;"&amp;K1508)+1,"-")</f>
        <v>4</v>
      </c>
      <c r="I1508" s="64" t="str">
        <f aca="false">IF('Onshore - Brisbane'!E352="","Harga belum tersedia - hubungi konsultan TEG",IF(M1508=2,"Saat ini tidak menerima pendaftaran siswa internasional baru",IF(M1508=1,"Harga perlu dikonfirmasi ke sekolah"&amp;IF(""="","","; "&amp;""),"")))</f>
        <v/>
      </c>
      <c r="J1508" s="0" t="s">
        <v>4393</v>
      </c>
      <c r="K1508" s="0" t="n">
        <f aca="false">IF(M1508=2,"",IF(ISNUMBER(SEARCH("rata-rata:",'Onshore - Brisbane'!M352)),VALUE(MID('Onshore - Brisbane'!M352,SEARCH("rata-rata:",'Onshore - Brisbane'!M352)+11,FIND(";",'Onshore - Brisbane'!M352&amp;";",SEARCH("rata-rata:",'Onshore - Brisbane'!M352))-SEARCH("rata-rata:",'Onshore - Brisbane'!M352)-11)),IF('Onshore - Brisbane'!D352="Semester",'Onshore - Brisbane'!E352*2,IF('Onshore - Brisbane'!D352="Trimester",'Onshore - Brisbane'!E352*3,IF('Onshore - Brisbane'!D352="Term",'Onshore - Brisbane'!E352*4,IF('Onshore - Brisbane'!D352="Unit",'Onshore - Brisbane'!E352*8,""))))))</f>
        <v>31600</v>
      </c>
      <c r="L1508" s="0" t="n">
        <f aca="false">IF(AND(ISNUMBER('Onshore - Brisbane'!E352),ISNUMBER(K1508),ISNUMBER('Onshore - Brisbane'!F352),ISNUMBER('Onshore - Brisbane'!G352),OR('Onshore - Brisbane'!F352&lt;&gt;0,ISNUMBER(SEARCH("Material 0 terverifikasi",'Onshore - Brisbane'!M352))),OR('Onshore - Brisbane'!G352&lt;&gt;0,ISNUMBER(SEARCH("Enrolment 0 terverifikasi",'Onshore - Brisbane'!M352)))),1,0)</f>
        <v>0</v>
      </c>
      <c r="M1508" s="0" t="n">
        <f aca="false">IF(OR('Onshore - Brisbane'!E352="",ISNUMBER(SEARCH("BSB80120",'Onshore - Brisbane'!B352&amp;'Onshore - Brisbane'!M352)),ISNUMBER(SEARCH("Management (Learning)",'Onshore - Brisbane'!B352))),2,IF(ISNUMBER(SEARCH("CEK:",'Onshore - Brisbane'!M352)),1,0))</f>
        <v>0</v>
      </c>
    </row>
    <row r="1509" customFormat="false" ht="15" hidden="false" customHeight="false" outlineLevel="0" collapsed="false">
      <c r="A1509" s="63" t="s">
        <v>3563</v>
      </c>
      <c r="B1509" s="64" t="s">
        <v>4374</v>
      </c>
      <c r="C1509" s="63" t="s">
        <v>43</v>
      </c>
      <c r="D1509" s="64" t="str">
        <f aca="false">TRIM(LEFT('Onshore - Brisbane'!A53,FIND(CHAR(10),'Onshore - Brisbane'!A53&amp;CHAR(10))-1))</f>
        <v>Australian Catholic University (ACU)</v>
      </c>
      <c r="E1509" s="63" t="str">
        <f aca="false">'Onshore - Brisbane'!C67&amp;""</f>
        <v>3 years</v>
      </c>
      <c r="F1509" s="63" t="str">
        <f aca="false">IF('Onshore - Brisbane'!D67="","Belum tercatat",'Onshore - Brisbane'!D67)</f>
        <v>Term</v>
      </c>
      <c r="G1509" s="65" t="n">
        <f aca="false">IF('Onshore - Brisbane'!E67="","-",'Onshore - Brisbane'!E67)</f>
        <v>8742</v>
      </c>
      <c r="H1509" s="63" t="n">
        <f aca="false">IF(ISNUMBER(K1509),COUNTIFS($J$6:$J$1916,J1509,$K$6:$K$1916,"&lt;"&amp;K1509)+1,"-")</f>
        <v>5</v>
      </c>
      <c r="I1509" s="64" t="str">
        <f aca="false">IF('Onshore - Brisbane'!E67="","Harga belum tersedia - hubungi konsultan TEG",IF(M1509=2,"Saat ini tidak menerima pendaftaran siswa internasional baru",IF(M1509=1,"Harga perlu dikonfirmasi ke sekolah"&amp;IF(""="","","; "&amp;""),"")))</f>
        <v/>
      </c>
      <c r="J1509" s="0" t="s">
        <v>4393</v>
      </c>
      <c r="K1509" s="0" t="n">
        <f aca="false">IF(M1509=2,"",IF(ISNUMBER(SEARCH("rata-rata:",'Onshore - Brisbane'!M67)),VALUE(MID('Onshore - Brisbane'!M67,SEARCH("rata-rata:",'Onshore - Brisbane'!M67)+11,FIND(";",'Onshore - Brisbane'!M67&amp;";",SEARCH("rata-rata:",'Onshore - Brisbane'!M67))-SEARCH("rata-rata:",'Onshore - Brisbane'!M67)-11)),IF('Onshore - Brisbane'!D67="Semester",'Onshore - Brisbane'!E67*2,IF('Onshore - Brisbane'!D67="Trimester",'Onshore - Brisbane'!E67*3,IF('Onshore - Brisbane'!D67="Term",'Onshore - Brisbane'!E67*4,IF('Onshore - Brisbane'!D67="Unit",'Onshore - Brisbane'!E67*8,""))))))</f>
        <v>34968</v>
      </c>
      <c r="L1509" s="0" t="n">
        <f aca="false">IF(AND(ISNUMBER('Onshore - Brisbane'!E67),ISNUMBER(K1509),ISNUMBER('Onshore - Brisbane'!F67),ISNUMBER('Onshore - Brisbane'!G67),OR('Onshore - Brisbane'!F67&lt;&gt;0,ISNUMBER(SEARCH("Material 0 terverifikasi",'Onshore - Brisbane'!M67))),OR('Onshore - Brisbane'!G67&lt;&gt;0,ISNUMBER(SEARCH("Enrolment 0 terverifikasi",'Onshore - Brisbane'!M67)))),1,0)</f>
        <v>0</v>
      </c>
      <c r="M1509" s="0" t="n">
        <f aca="false">IF(OR('Onshore - Brisbane'!E67="",ISNUMBER(SEARCH("BSB80120",'Onshore - Brisbane'!B67&amp;'Onshore - Brisbane'!M67)),ISNUMBER(SEARCH("Management (Learning)",'Onshore - Brisbane'!B67))),2,IF(ISNUMBER(SEARCH("CEK:",'Onshore - Brisbane'!M67)),1,0))</f>
        <v>0</v>
      </c>
    </row>
    <row r="1510" customFormat="false" ht="15" hidden="false" customHeight="false" outlineLevel="0" collapsed="false">
      <c r="A1510" s="61" t="s">
        <v>4394</v>
      </c>
      <c r="B1510" s="62"/>
      <c r="C1510" s="62"/>
      <c r="D1510" s="62"/>
      <c r="E1510" s="62"/>
      <c r="F1510" s="62"/>
      <c r="G1510" s="62"/>
      <c r="H1510" s="62"/>
      <c r="I1510" s="62"/>
    </row>
    <row r="1511" customFormat="false" ht="15" hidden="false" customHeight="false" outlineLevel="0" collapsed="false">
      <c r="A1511" s="63" t="s">
        <v>3563</v>
      </c>
      <c r="B1511" s="64" t="s">
        <v>4374</v>
      </c>
      <c r="C1511" s="63" t="s">
        <v>3707</v>
      </c>
      <c r="D1511" s="64" t="str">
        <f aca="false">TRIM(LEFT('Onshore - Brisbane'!A8,FIND(CHAR(10),'Onshore - Brisbane'!A8&amp;CHAR(10))-1))</f>
        <v>AIBI Higher Education</v>
      </c>
      <c r="E1511" s="63" t="str">
        <f aca="false">'Onshore - Brisbane'!C21&amp;""</f>
        <v>8 months</v>
      </c>
      <c r="F1511" s="63" t="str">
        <f aca="false">IF('Onshore - Brisbane'!D21="","Belum tercatat",'Onshore - Brisbane'!D21)</f>
        <v>Term</v>
      </c>
      <c r="G1511" s="65" t="n">
        <f aca="false">IF('Onshore - Brisbane'!E21="","-",'Onshore - Brisbane'!E21)</f>
        <v>2700</v>
      </c>
      <c r="H1511" s="63" t="n">
        <f aca="false">IF(ISNUMBER(K1511),COUNTIFS($J$6:$J$1916,J1511,$K$6:$K$1916,"&lt;"&amp;K1511)+1,"-")</f>
        <v>1</v>
      </c>
      <c r="I1511" s="64" t="str">
        <f aca="false">IF('Onshore - Brisbane'!E21="","Harga belum tersedia - hubungi konsultan TEG",IF(M1511=2,"Saat ini tidak menerima pendaftaran siswa internasional baru",IF(M1511=1,"Harga perlu dikonfirmasi ke sekolah"&amp;IF(""="","","; "&amp;""),"")))</f>
        <v>Harga perlu dikonfirmasi ke sekolah</v>
      </c>
      <c r="J1511" s="0" t="s">
        <v>4395</v>
      </c>
      <c r="K1511" s="0" t="n">
        <f aca="false">IF(M1511=2,"",IF(ISNUMBER(SEARCH("rata-rata:",'Onshore - Brisbane'!M21)),VALUE(MID('Onshore - Brisbane'!M21,SEARCH("rata-rata:",'Onshore - Brisbane'!M21)+11,FIND(";",'Onshore - Brisbane'!M21&amp;";",SEARCH("rata-rata:",'Onshore - Brisbane'!M21))-SEARCH("rata-rata:",'Onshore - Brisbane'!M21)-11)),IF('Onshore - Brisbane'!D21="Semester",'Onshore - Brisbane'!E21*2,IF('Onshore - Brisbane'!D21="Trimester",'Onshore - Brisbane'!E21*3,IF('Onshore - Brisbane'!D21="Term",'Onshore - Brisbane'!E21*4,IF('Onshore - Brisbane'!D21="Unit",'Onshore - Brisbane'!E21*8,""))))))</f>
        <v>10800</v>
      </c>
      <c r="L1511" s="0" t="n">
        <f aca="false">IF(AND(ISNUMBER('Onshore - Brisbane'!E21),ISNUMBER(K1511),ISNUMBER('Onshore - Brisbane'!F21),ISNUMBER('Onshore - Brisbane'!G21),OR('Onshore - Brisbane'!F21&lt;&gt;0,ISNUMBER(SEARCH("Material 0 terverifikasi",'Onshore - Brisbane'!M21))),OR('Onshore - Brisbane'!G21&lt;&gt;0,ISNUMBER(SEARCH("Enrolment 0 terverifikasi",'Onshore - Brisbane'!M21)))),1,0)</f>
        <v>0</v>
      </c>
      <c r="M1511" s="0" t="n">
        <f aca="false">IF(OR('Onshore - Brisbane'!E21="",ISNUMBER(SEARCH("BSB80120",'Onshore - Brisbane'!B21&amp;'Onshore - Brisbane'!M21)),ISNUMBER(SEARCH("Management (Learning)",'Onshore - Brisbane'!B21))),2,IF(ISNUMBER(SEARCH("CEK:",'Onshore - Brisbane'!M21)),1,0))</f>
        <v>1</v>
      </c>
    </row>
    <row r="1512" customFormat="false" ht="15" hidden="false" customHeight="false" outlineLevel="0" collapsed="false">
      <c r="A1512" s="63" t="s">
        <v>3563</v>
      </c>
      <c r="B1512" s="64" t="s">
        <v>4374</v>
      </c>
      <c r="C1512" s="63" t="s">
        <v>3707</v>
      </c>
      <c r="D1512" s="64" t="str">
        <f aca="false">TRIM(LEFT('Onshore - Brisbane'!A307,FIND(CHAR(10),'Onshore - Brisbane'!A307&amp;CHAR(10))-1))</f>
        <v>Torrens University Australia</v>
      </c>
      <c r="E1512" s="63" t="str">
        <f aca="false">'Onshore - Brisbane'!C324&amp;""</f>
        <v>1 year</v>
      </c>
      <c r="F1512" s="63" t="str">
        <f aca="false">IF('Onshore - Brisbane'!D324="","Belum tercatat",'Onshore - Brisbane'!D324)</f>
        <v>Term</v>
      </c>
      <c r="G1512" s="65" t="n">
        <f aca="false">IF('Onshore - Brisbane'!E324="","-",'Onshore - Brisbane'!E324)</f>
        <v>4500</v>
      </c>
      <c r="H1512" s="63" t="n">
        <f aca="false">IF(ISNUMBER(K1512),COUNTIFS($J$6:$J$1916,J1512,$K$6:$K$1916,"&lt;"&amp;K1512)+1,"-")</f>
        <v>2</v>
      </c>
      <c r="I1512" s="64" t="str">
        <f aca="false">IF('Onshore - Brisbane'!E324="","Harga belum tersedia - hubungi konsultan TEG",IF(M1512=2,"Saat ini tidak menerima pendaftaran siswa internasional baru",IF(M1512=1,"Harga perlu dikonfirmasi ke sekolah"&amp;IF(""="","","; "&amp;""),"")))</f>
        <v/>
      </c>
      <c r="J1512" s="0" t="s">
        <v>4395</v>
      </c>
      <c r="K1512" s="0" t="n">
        <f aca="false">IF(M1512=2,"",IF(ISNUMBER(SEARCH("rata-rata:",'Onshore - Brisbane'!M324)),VALUE(MID('Onshore - Brisbane'!M324,SEARCH("rata-rata:",'Onshore - Brisbane'!M324)+11,FIND(";",'Onshore - Brisbane'!M324&amp;";",SEARCH("rata-rata:",'Onshore - Brisbane'!M324))-SEARCH("rata-rata:",'Onshore - Brisbane'!M324)-11)),IF('Onshore - Brisbane'!D324="Semester",'Onshore - Brisbane'!E324*2,IF('Onshore - Brisbane'!D324="Trimester",'Onshore - Brisbane'!E324*3,IF('Onshore - Brisbane'!D324="Term",'Onshore - Brisbane'!E324*4,IF('Onshore - Brisbane'!D324="Unit",'Onshore - Brisbane'!E324*8,""))))))</f>
        <v>18000</v>
      </c>
      <c r="L1512" s="0" t="n">
        <f aca="false">IF(AND(ISNUMBER('Onshore - Brisbane'!E324),ISNUMBER(K1512),ISNUMBER('Onshore - Brisbane'!F324),ISNUMBER('Onshore - Brisbane'!G324),OR('Onshore - Brisbane'!F324&lt;&gt;0,ISNUMBER(SEARCH("Material 0 terverifikasi",'Onshore - Brisbane'!M324))),OR('Onshore - Brisbane'!G324&lt;&gt;0,ISNUMBER(SEARCH("Enrolment 0 terverifikasi",'Onshore - Brisbane'!M324)))),1,0)</f>
        <v>0</v>
      </c>
      <c r="M1512" s="0" t="n">
        <f aca="false">IF(OR('Onshore - Brisbane'!E324="",ISNUMBER(SEARCH("BSB80120",'Onshore - Brisbane'!B324&amp;'Onshore - Brisbane'!M324)),ISNUMBER(SEARCH("Management (Learning)",'Onshore - Brisbane'!B324))),2,IF(ISNUMBER(SEARCH("CEK:",'Onshore - Brisbane'!M324)),1,0))</f>
        <v>0</v>
      </c>
    </row>
    <row r="1513" customFormat="false" ht="15" hidden="false" customHeight="false" outlineLevel="0" collapsed="false">
      <c r="A1513" s="63" t="s">
        <v>3563</v>
      </c>
      <c r="B1513" s="64" t="s">
        <v>4374</v>
      </c>
      <c r="C1513" s="63" t="s">
        <v>3707</v>
      </c>
      <c r="D1513" s="64" t="str">
        <f aca="false">TRIM(LEFT('Onshore - Brisbane'!A53,FIND(CHAR(10),'Onshore - Brisbane'!A53&amp;CHAR(10))-1))</f>
        <v>Australian Catholic University (ACU)</v>
      </c>
      <c r="E1513" s="63" t="str">
        <f aca="false">'Onshore - Brisbane'!C77&amp;""</f>
        <v>0,5 year</v>
      </c>
      <c r="F1513" s="63" t="str">
        <f aca="false">IF('Onshore - Brisbane'!D77="","Belum tercatat",'Onshore - Brisbane'!D77)</f>
        <v>Term</v>
      </c>
      <c r="G1513" s="65" t="n">
        <f aca="false">IF('Onshore - Brisbane'!E77="","-",'Onshore - Brisbane'!E77)</f>
        <v>4762</v>
      </c>
      <c r="H1513" s="63" t="n">
        <f aca="false">IF(ISNUMBER(K1513),COUNTIFS($J$6:$J$1916,J1513,$K$6:$K$1916,"&lt;"&amp;K1513)+1,"-")</f>
        <v>3</v>
      </c>
      <c r="I1513" s="64" t="str">
        <f aca="false">IF('Onshore - Brisbane'!E77="","Harga belum tersedia - hubungi konsultan TEG",IF(M1513=2,"Saat ini tidak menerima pendaftaran siswa internasional baru",IF(M1513=1,"Harga perlu dikonfirmasi ke sekolah"&amp;IF(""="","","; "&amp;""),"")))</f>
        <v>Harga perlu dikonfirmasi ke sekolah</v>
      </c>
      <c r="J1513" s="0" t="s">
        <v>4395</v>
      </c>
      <c r="K1513" s="0" t="n">
        <f aca="false">IF(M1513=2,"",IF(ISNUMBER(SEARCH("rata-rata:",'Onshore - Brisbane'!M77)),VALUE(MID('Onshore - Brisbane'!M77,SEARCH("rata-rata:",'Onshore - Brisbane'!M77)+11,FIND(";",'Onshore - Brisbane'!M77&amp;";",SEARCH("rata-rata:",'Onshore - Brisbane'!M77))-SEARCH("rata-rata:",'Onshore - Brisbane'!M77)-11)),IF('Onshore - Brisbane'!D77="Semester",'Onshore - Brisbane'!E77*2,IF('Onshore - Brisbane'!D77="Trimester",'Onshore - Brisbane'!E77*3,IF('Onshore - Brisbane'!D77="Term",'Onshore - Brisbane'!E77*4,IF('Onshore - Brisbane'!D77="Unit",'Onshore - Brisbane'!E77*8,""))))))</f>
        <v>19048</v>
      </c>
      <c r="L1513" s="0" t="n">
        <f aca="false">IF(AND(ISNUMBER('Onshore - Brisbane'!E77),ISNUMBER(K1513),ISNUMBER('Onshore - Brisbane'!F77),ISNUMBER('Onshore - Brisbane'!G77),OR('Onshore - Brisbane'!F77&lt;&gt;0,ISNUMBER(SEARCH("Material 0 terverifikasi",'Onshore - Brisbane'!M77))),OR('Onshore - Brisbane'!G77&lt;&gt;0,ISNUMBER(SEARCH("Enrolment 0 terverifikasi",'Onshore - Brisbane'!M77)))),1,0)</f>
        <v>0</v>
      </c>
      <c r="M1513" s="0" t="n">
        <f aca="false">IF(OR('Onshore - Brisbane'!E77="",ISNUMBER(SEARCH("BSB80120",'Onshore - Brisbane'!B77&amp;'Onshore - Brisbane'!M77)),ISNUMBER(SEARCH("Management (Learning)",'Onshore - Brisbane'!B77))),2,IF(ISNUMBER(SEARCH("CEK:",'Onshore - Brisbane'!M77)),1,0))</f>
        <v>1</v>
      </c>
    </row>
    <row r="1514" customFormat="false" ht="15" hidden="false" customHeight="false" outlineLevel="0" collapsed="false">
      <c r="A1514" s="63" t="s">
        <v>3563</v>
      </c>
      <c r="B1514" s="64" t="s">
        <v>4374</v>
      </c>
      <c r="C1514" s="63" t="s">
        <v>3707</v>
      </c>
      <c r="D1514" s="64" t="str">
        <f aca="false">TRIM(LEFT('Onshore - Brisbane'!A33,FIND(CHAR(10),'Onshore - Brisbane'!A33&amp;CHAR(10))-1))</f>
        <v>Asia Pacific International College (APIC)</v>
      </c>
      <c r="E1514" s="63" t="str">
        <f aca="false">'Onshore - Brisbane'!C41&amp;""</f>
        <v>0,5 year</v>
      </c>
      <c r="F1514" s="63" t="str">
        <f aca="false">IF('Onshore - Brisbane'!D41="","Belum tercatat",'Onshore - Brisbane'!D41)</f>
        <v>Trimester</v>
      </c>
      <c r="G1514" s="65" t="n">
        <f aca="false">IF('Onshore - Brisbane'!E41="","-",'Onshore - Brisbane'!E41)</f>
        <v>7800</v>
      </c>
      <c r="H1514" s="63" t="n">
        <f aca="false">IF(ISNUMBER(K1514),COUNTIFS($J$6:$J$1916,J1514,$K$6:$K$1916,"&lt;"&amp;K1514)+1,"-")</f>
        <v>4</v>
      </c>
      <c r="I1514" s="64" t="str">
        <f aca="false">IF('Onshore - Brisbane'!E41="","Harga belum tersedia - hubungi konsultan TEG",IF(M1514=2,"Saat ini tidak menerima pendaftaran siswa internasional baru",IF(M1514=1,"Harga perlu dikonfirmasi ke sekolah"&amp;IF(""="","","; "&amp;""),"")))</f>
        <v>Harga perlu dikonfirmasi ke sekolah</v>
      </c>
      <c r="J1514" s="0" t="s">
        <v>4395</v>
      </c>
      <c r="K1514" s="0" t="n">
        <f aca="false">IF(M1514=2,"",IF(ISNUMBER(SEARCH("rata-rata:",'Onshore - Brisbane'!M41)),VALUE(MID('Onshore - Brisbane'!M41,SEARCH("rata-rata:",'Onshore - Brisbane'!M41)+11,FIND(";",'Onshore - Brisbane'!M41&amp;";",SEARCH("rata-rata:",'Onshore - Brisbane'!M41))-SEARCH("rata-rata:",'Onshore - Brisbane'!M41)-11)),IF('Onshore - Brisbane'!D41="Semester",'Onshore - Brisbane'!E41*2,IF('Onshore - Brisbane'!D41="Trimester",'Onshore - Brisbane'!E41*3,IF('Onshore - Brisbane'!D41="Term",'Onshore - Brisbane'!E41*4,IF('Onshore - Brisbane'!D41="Unit",'Onshore - Brisbane'!E41*8,""))))))</f>
        <v>23400</v>
      </c>
      <c r="L1514" s="0" t="n">
        <f aca="false">IF(AND(ISNUMBER('Onshore - Brisbane'!E41),ISNUMBER(K1514),ISNUMBER('Onshore - Brisbane'!F41),ISNUMBER('Onshore - Brisbane'!G41),OR('Onshore - Brisbane'!F41&lt;&gt;0,ISNUMBER(SEARCH("Material 0 terverifikasi",'Onshore - Brisbane'!M41))),OR('Onshore - Brisbane'!G41&lt;&gt;0,ISNUMBER(SEARCH("Enrolment 0 terverifikasi",'Onshore - Brisbane'!M41)))),1,0)</f>
        <v>0</v>
      </c>
      <c r="M1514" s="0" t="n">
        <f aca="false">IF(OR('Onshore - Brisbane'!E41="",ISNUMBER(SEARCH("BSB80120",'Onshore - Brisbane'!B41&amp;'Onshore - Brisbane'!M41)),ISNUMBER(SEARCH("Management (Learning)",'Onshore - Brisbane'!B41))),2,IF(ISNUMBER(SEARCH("CEK:",'Onshore - Brisbane'!M41)),1,0))</f>
        <v>1</v>
      </c>
    </row>
    <row r="1515" customFormat="false" ht="15" hidden="false" customHeight="false" outlineLevel="0" collapsed="false">
      <c r="A1515" s="63" t="s">
        <v>3563</v>
      </c>
      <c r="B1515" s="64" t="s">
        <v>4374</v>
      </c>
      <c r="C1515" s="63" t="s">
        <v>3707</v>
      </c>
      <c r="D1515" s="64" t="str">
        <f aca="false">TRIM(LEFT('Onshore - Brisbane'!A249,FIND(CHAR(10),'Onshore - Brisbane'!A249&amp;CHAR(10))-1))</f>
        <v>Kaplan Business School</v>
      </c>
      <c r="E1515" s="63" t="str">
        <f aca="false">'Onshore - Brisbane'!C260&amp;""</f>
        <v>0,5 year</v>
      </c>
      <c r="F1515" s="63" t="str">
        <f aca="false">IF('Onshore - Brisbane'!D260="","Belum tercatat",'Onshore - Brisbane'!D260)</f>
        <v>Trimester</v>
      </c>
      <c r="G1515" s="65" t="n">
        <f aca="false">IF('Onshore - Brisbane'!E260="","-",'Onshore - Brisbane'!E260)</f>
        <v>14560</v>
      </c>
      <c r="H1515" s="63" t="n">
        <f aca="false">IF(ISNUMBER(K1515),COUNTIFS($J$6:$J$1916,J1515,$K$6:$K$1916,"&lt;"&amp;K1515)+1,"-")</f>
        <v>5</v>
      </c>
      <c r="I1515" s="64" t="str">
        <f aca="false">IF('Onshore - Brisbane'!E260="","Harga belum tersedia - hubungi konsultan TEG",IF(M1515=2,"Saat ini tidak menerima pendaftaran siswa internasional baru",IF(M1515=1,"Harga perlu dikonfirmasi ke sekolah"&amp;IF(""="","","; "&amp;""),"")))</f>
        <v>Harga perlu dikonfirmasi ke sekolah</v>
      </c>
      <c r="J1515" s="0" t="s">
        <v>4395</v>
      </c>
      <c r="K1515" s="0" t="n">
        <f aca="false">IF(M1515=2,"",IF(ISNUMBER(SEARCH("rata-rata:",'Onshore - Brisbane'!M260)),VALUE(MID('Onshore - Brisbane'!M260,SEARCH("rata-rata:",'Onshore - Brisbane'!M260)+11,FIND(";",'Onshore - Brisbane'!M260&amp;";",SEARCH("rata-rata:",'Onshore - Brisbane'!M260))-SEARCH("rata-rata:",'Onshore - Brisbane'!M260)-11)),IF('Onshore - Brisbane'!D260="Semester",'Onshore - Brisbane'!E260*2,IF('Onshore - Brisbane'!D260="Trimester",'Onshore - Brisbane'!E260*3,IF('Onshore - Brisbane'!D260="Term",'Onshore - Brisbane'!E260*4,IF('Onshore - Brisbane'!D260="Unit",'Onshore - Brisbane'!E260*8,""))))))</f>
        <v>43680</v>
      </c>
      <c r="L1515" s="0" t="n">
        <f aca="false">IF(AND(ISNUMBER('Onshore - Brisbane'!E260),ISNUMBER(K1515),ISNUMBER('Onshore - Brisbane'!F260),ISNUMBER('Onshore - Brisbane'!G260),OR('Onshore - Brisbane'!F260&lt;&gt;0,ISNUMBER(SEARCH("Material 0 terverifikasi",'Onshore - Brisbane'!M260))),OR('Onshore - Brisbane'!G260&lt;&gt;0,ISNUMBER(SEARCH("Enrolment 0 terverifikasi",'Onshore - Brisbane'!M260)))),1,0)</f>
        <v>1</v>
      </c>
      <c r="M1515" s="0" t="n">
        <f aca="false">IF(OR('Onshore - Brisbane'!E260="",ISNUMBER(SEARCH("BSB80120",'Onshore - Brisbane'!B260&amp;'Onshore - Brisbane'!M260)),ISNUMBER(SEARCH("Management (Learning)",'Onshore - Brisbane'!B260))),2,IF(ISNUMBER(SEARCH("CEK:",'Onshore - Brisbane'!M260)),1,0))</f>
        <v>1</v>
      </c>
    </row>
    <row r="1516" customFormat="false" ht="15" hidden="false" customHeight="false" outlineLevel="0" collapsed="false">
      <c r="A1516" s="61" t="s">
        <v>4396</v>
      </c>
      <c r="B1516" s="62"/>
      <c r="C1516" s="62"/>
      <c r="D1516" s="62"/>
      <c r="E1516" s="62"/>
      <c r="F1516" s="62"/>
      <c r="G1516" s="62"/>
      <c r="H1516" s="62"/>
      <c r="I1516" s="62"/>
    </row>
    <row r="1517" customFormat="false" ht="15" hidden="false" customHeight="false" outlineLevel="0" collapsed="false">
      <c r="A1517" s="63" t="s">
        <v>3563</v>
      </c>
      <c r="B1517" s="64" t="s">
        <v>4374</v>
      </c>
      <c r="C1517" s="63" t="s">
        <v>46</v>
      </c>
      <c r="D1517" s="64" t="str">
        <f aca="false">TRIM(LEFT('Onshore - Brisbane'!A8,FIND(CHAR(10),'Onshore - Brisbane'!A8&amp;CHAR(10))-1))</f>
        <v>AIBI Higher Education</v>
      </c>
      <c r="E1517" s="63" t="str">
        <f aca="false">'Onshore - Brisbane'!C14&amp;""</f>
        <v>2 years</v>
      </c>
      <c r="F1517" s="63" t="str">
        <f aca="false">IF('Onshore - Brisbane'!D14="","Belum tercatat",'Onshore - Brisbane'!D14)</f>
        <v>Term</v>
      </c>
      <c r="G1517" s="65" t="n">
        <f aca="false">IF('Onshore - Brisbane'!E14="","-",'Onshore - Brisbane'!E14)</f>
        <v>4050</v>
      </c>
      <c r="H1517" s="63" t="n">
        <f aca="false">IF(ISNUMBER(K1517),COUNTIFS($J$6:$J$1916,J1517,$K$6:$K$1916,"&lt;"&amp;K1517)+1,"-")</f>
        <v>1</v>
      </c>
      <c r="I1517" s="64" t="str">
        <f aca="false">IF('Onshore - Brisbane'!E14="","Harga belum tersedia - hubungi konsultan TEG",IF(M1517=2,"Saat ini tidak menerima pendaftaran siswa internasional baru",IF(M1517=1,"Harga perlu dikonfirmasi ke sekolah"&amp;IF(""="","","; "&amp;""),"")))</f>
        <v>Harga perlu dikonfirmasi ke sekolah</v>
      </c>
      <c r="J1517" s="0" t="s">
        <v>4397</v>
      </c>
      <c r="K1517" s="0" t="n">
        <f aca="false">IF(M1517=2,"",IF(ISNUMBER(SEARCH("rata-rata:",'Onshore - Brisbane'!M14)),VALUE(MID('Onshore - Brisbane'!M14,SEARCH("rata-rata:",'Onshore - Brisbane'!M14)+11,FIND(";",'Onshore - Brisbane'!M14&amp;";",SEARCH("rata-rata:",'Onshore - Brisbane'!M14))-SEARCH("rata-rata:",'Onshore - Brisbane'!M14)-11)),IF('Onshore - Brisbane'!D14="Semester",'Onshore - Brisbane'!E14*2,IF('Onshore - Brisbane'!D14="Trimester",'Onshore - Brisbane'!E14*3,IF('Onshore - Brisbane'!D14="Term",'Onshore - Brisbane'!E14*4,IF('Onshore - Brisbane'!D14="Unit",'Onshore - Brisbane'!E14*8,""))))))</f>
        <v>16200</v>
      </c>
      <c r="L1517" s="0" t="n">
        <f aca="false">IF(AND(ISNUMBER('Onshore - Brisbane'!E14),ISNUMBER(K1517),ISNUMBER('Onshore - Brisbane'!F14),ISNUMBER('Onshore - Brisbane'!G14),OR('Onshore - Brisbane'!F14&lt;&gt;0,ISNUMBER(SEARCH("Material 0 terverifikasi",'Onshore - Brisbane'!M14))),OR('Onshore - Brisbane'!G14&lt;&gt;0,ISNUMBER(SEARCH("Enrolment 0 terverifikasi",'Onshore - Brisbane'!M14)))),1,0)</f>
        <v>0</v>
      </c>
      <c r="M1517" s="0" t="n">
        <f aca="false">IF(OR('Onshore - Brisbane'!E14="",ISNUMBER(SEARCH("BSB80120",'Onshore - Brisbane'!B14&amp;'Onshore - Brisbane'!M14)),ISNUMBER(SEARCH("Management (Learning)",'Onshore - Brisbane'!B14))),2,IF(ISNUMBER(SEARCH("CEK:",'Onshore - Brisbane'!M14)),1,0))</f>
        <v>1</v>
      </c>
    </row>
    <row r="1518" customFormat="false" ht="15" hidden="false" customHeight="false" outlineLevel="0" collapsed="false">
      <c r="A1518" s="63" t="s">
        <v>3563</v>
      </c>
      <c r="B1518" s="64" t="s">
        <v>4374</v>
      </c>
      <c r="C1518" s="63" t="s">
        <v>46</v>
      </c>
      <c r="D1518" s="64" t="str">
        <f aca="false">TRIM(LEFT('Onshore - Brisbane'!A33,FIND(CHAR(10),'Onshore - Brisbane'!A33&amp;CHAR(10))-1))</f>
        <v>Asia Pacific International College (APIC)</v>
      </c>
      <c r="E1518" s="63" t="str">
        <f aca="false">'Onshore - Brisbane'!C42&amp;""</f>
        <v>2 years</v>
      </c>
      <c r="F1518" s="63" t="str">
        <f aca="false">IF('Onshore - Brisbane'!D42="","Belum tercatat",'Onshore - Brisbane'!D42)</f>
        <v>Trimester</v>
      </c>
      <c r="G1518" s="65" t="n">
        <f aca="false">IF('Onshore - Brisbane'!E42="","-",'Onshore - Brisbane'!E42)</f>
        <v>7800</v>
      </c>
      <c r="H1518" s="63" t="n">
        <f aca="false">IF(ISNUMBER(K1518),COUNTIFS($J$6:$J$1916,J1518,$K$6:$K$1916,"&lt;"&amp;K1518)+1,"-")</f>
        <v>2</v>
      </c>
      <c r="I1518" s="64" t="str">
        <f aca="false">IF('Onshore - Brisbane'!E42="","Harga belum tersedia - hubungi konsultan TEG",IF(M1518=2,"Saat ini tidak menerima pendaftaran siswa internasional baru",IF(M1518=1,"Harga perlu dikonfirmasi ke sekolah"&amp;IF(""="","","; "&amp;""),"")))</f>
        <v>Harga perlu dikonfirmasi ke sekolah</v>
      </c>
      <c r="J1518" s="0" t="s">
        <v>4397</v>
      </c>
      <c r="K1518" s="0" t="n">
        <f aca="false">IF(M1518=2,"",IF(ISNUMBER(SEARCH("rata-rata:",'Onshore - Brisbane'!M42)),VALUE(MID('Onshore - Brisbane'!M42,SEARCH("rata-rata:",'Onshore - Brisbane'!M42)+11,FIND(";",'Onshore - Brisbane'!M42&amp;";",SEARCH("rata-rata:",'Onshore - Brisbane'!M42))-SEARCH("rata-rata:",'Onshore - Brisbane'!M42)-11)),IF('Onshore - Brisbane'!D42="Semester",'Onshore - Brisbane'!E42*2,IF('Onshore - Brisbane'!D42="Trimester",'Onshore - Brisbane'!E42*3,IF('Onshore - Brisbane'!D42="Term",'Onshore - Brisbane'!E42*4,IF('Onshore - Brisbane'!D42="Unit",'Onshore - Brisbane'!E42*8,""))))))</f>
        <v>23400</v>
      </c>
      <c r="L1518" s="0" t="n">
        <f aca="false">IF(AND(ISNUMBER('Onshore - Brisbane'!E42),ISNUMBER(K1518),ISNUMBER('Onshore - Brisbane'!F42),ISNUMBER('Onshore - Brisbane'!G42),OR('Onshore - Brisbane'!F42&lt;&gt;0,ISNUMBER(SEARCH("Material 0 terverifikasi",'Onshore - Brisbane'!M42))),OR('Onshore - Brisbane'!G42&lt;&gt;0,ISNUMBER(SEARCH("Enrolment 0 terverifikasi",'Onshore - Brisbane'!M42)))),1,0)</f>
        <v>0</v>
      </c>
      <c r="M1518" s="0" t="n">
        <f aca="false">IF(OR('Onshore - Brisbane'!E42="",ISNUMBER(SEARCH("BSB80120",'Onshore - Brisbane'!B42&amp;'Onshore - Brisbane'!M42)),ISNUMBER(SEARCH("Management (Learning)",'Onshore - Brisbane'!B42))),2,IF(ISNUMBER(SEARCH("CEK:",'Onshore - Brisbane'!M42)),1,0))</f>
        <v>1</v>
      </c>
    </row>
    <row r="1519" customFormat="false" ht="15" hidden="false" customHeight="false" outlineLevel="0" collapsed="false">
      <c r="A1519" s="63" t="s">
        <v>3563</v>
      </c>
      <c r="B1519" s="64" t="s">
        <v>4374</v>
      </c>
      <c r="C1519" s="63" t="s">
        <v>46</v>
      </c>
      <c r="D1519" s="64" t="str">
        <f aca="false">TRIM(LEFT('Onshore - Brisbane'!A307,FIND(CHAR(10),'Onshore - Brisbane'!A307&amp;CHAR(10))-1))</f>
        <v>Torrens University Australia</v>
      </c>
      <c r="E1519" s="63" t="str">
        <f aca="false">'Onshore - Brisbane'!C322&amp;""</f>
        <v>1,5 years</v>
      </c>
      <c r="F1519" s="63" t="str">
        <f aca="false">IF('Onshore - Brisbane'!D322="","Belum tercatat",'Onshore - Brisbane'!D322)</f>
        <v>Term</v>
      </c>
      <c r="G1519" s="65" t="n">
        <f aca="false">IF('Onshore - Brisbane'!E322="","-",'Onshore - Brisbane'!E322)</f>
        <v>9000</v>
      </c>
      <c r="H1519" s="63" t="n">
        <f aca="false">IF(ISNUMBER(K1519),COUNTIFS($J$6:$J$1916,J1519,$K$6:$K$1916,"&lt;"&amp;K1519)+1,"-")</f>
        <v>3</v>
      </c>
      <c r="I1519" s="64" t="str">
        <f aca="false">IF('Onshore - Brisbane'!E322="","Harga belum tersedia - hubungi konsultan TEG",IF(M1519=2,"Saat ini tidak menerima pendaftaran siswa internasional baru",IF(M1519=1,"Harga perlu dikonfirmasi ke sekolah"&amp;IF(""="","","; "&amp;""),"")))</f>
        <v/>
      </c>
      <c r="J1519" s="0" t="s">
        <v>4397</v>
      </c>
      <c r="K1519" s="0" t="n">
        <f aca="false">IF(M1519=2,"",IF(ISNUMBER(SEARCH("rata-rata:",'Onshore - Brisbane'!M322)),VALUE(MID('Onshore - Brisbane'!M322,SEARCH("rata-rata:",'Onshore - Brisbane'!M322)+11,FIND(";",'Onshore - Brisbane'!M322&amp;";",SEARCH("rata-rata:",'Onshore - Brisbane'!M322))-SEARCH("rata-rata:",'Onshore - Brisbane'!M322)-11)),IF('Onshore - Brisbane'!D322="Semester",'Onshore - Brisbane'!E322*2,IF('Onshore - Brisbane'!D322="Trimester",'Onshore - Brisbane'!E322*3,IF('Onshore - Brisbane'!D322="Term",'Onshore - Brisbane'!E322*4,IF('Onshore - Brisbane'!D322="Unit",'Onshore - Brisbane'!E322*8,""))))))</f>
        <v>36000</v>
      </c>
      <c r="L1519" s="0" t="n">
        <f aca="false">IF(AND(ISNUMBER('Onshore - Brisbane'!E322),ISNUMBER(K1519),ISNUMBER('Onshore - Brisbane'!F322),ISNUMBER('Onshore - Brisbane'!G322),OR('Onshore - Brisbane'!F322&lt;&gt;0,ISNUMBER(SEARCH("Material 0 terverifikasi",'Onshore - Brisbane'!M322))),OR('Onshore - Brisbane'!G322&lt;&gt;0,ISNUMBER(SEARCH("Enrolment 0 terverifikasi",'Onshore - Brisbane'!M322)))),1,0)</f>
        <v>0</v>
      </c>
      <c r="M1519" s="0" t="n">
        <f aca="false">IF(OR('Onshore - Brisbane'!E322="",ISNUMBER(SEARCH("BSB80120",'Onshore - Brisbane'!B322&amp;'Onshore - Brisbane'!M322)),ISNUMBER(SEARCH("Management (Learning)",'Onshore - Brisbane'!B322))),2,IF(ISNUMBER(SEARCH("CEK:",'Onshore - Brisbane'!M322)),1,0))</f>
        <v>0</v>
      </c>
    </row>
    <row r="1520" customFormat="false" ht="15" hidden="false" customHeight="false" outlineLevel="0" collapsed="false">
      <c r="A1520" s="63" t="s">
        <v>3563</v>
      </c>
      <c r="B1520" s="64" t="s">
        <v>4374</v>
      </c>
      <c r="C1520" s="63" t="s">
        <v>46</v>
      </c>
      <c r="D1520" s="64" t="str">
        <f aca="false">TRIM(LEFT('Onshore - Brisbane'!A53,FIND(CHAR(10),'Onshore - Brisbane'!A53&amp;CHAR(10))-1))</f>
        <v>Australian Catholic University (ACU)</v>
      </c>
      <c r="E1520" s="63" t="str">
        <f aca="false">'Onshore - Brisbane'!C80&amp;""</f>
        <v>2 years</v>
      </c>
      <c r="F1520" s="63" t="str">
        <f aca="false">IF('Onshore - Brisbane'!D80="","Belum tercatat",'Onshore - Brisbane'!D80)</f>
        <v>Term</v>
      </c>
      <c r="G1520" s="65" t="n">
        <f aca="false">IF('Onshore - Brisbane'!E80="","-",'Onshore - Brisbane'!E80)</f>
        <v>9524</v>
      </c>
      <c r="H1520" s="63" t="n">
        <f aca="false">IF(ISNUMBER(K1520),COUNTIFS($J$6:$J$1916,J1520,$K$6:$K$1916,"&lt;"&amp;K1520)+1,"-")</f>
        <v>4</v>
      </c>
      <c r="I1520" s="64" t="str">
        <f aca="false">IF('Onshore - Brisbane'!E80="","Harga belum tersedia - hubungi konsultan TEG",IF(M1520=2,"Saat ini tidak menerima pendaftaran siswa internasional baru",IF(M1520=1,"Harga perlu dikonfirmasi ke sekolah"&amp;IF(""="","","; "&amp;""),"")))</f>
        <v/>
      </c>
      <c r="J1520" s="0" t="s">
        <v>4397</v>
      </c>
      <c r="K1520" s="0" t="n">
        <f aca="false">IF(M1520=2,"",IF(ISNUMBER(SEARCH("rata-rata:",'Onshore - Brisbane'!M80)),VALUE(MID('Onshore - Brisbane'!M80,SEARCH("rata-rata:",'Onshore - Brisbane'!M80)+11,FIND(";",'Onshore - Brisbane'!M80&amp;";",SEARCH("rata-rata:",'Onshore - Brisbane'!M80))-SEARCH("rata-rata:",'Onshore - Brisbane'!M80)-11)),IF('Onshore - Brisbane'!D80="Semester",'Onshore - Brisbane'!E80*2,IF('Onshore - Brisbane'!D80="Trimester",'Onshore - Brisbane'!E80*3,IF('Onshore - Brisbane'!D80="Term",'Onshore - Brisbane'!E80*4,IF('Onshore - Brisbane'!D80="Unit",'Onshore - Brisbane'!E80*8,""))))))</f>
        <v>38096</v>
      </c>
      <c r="L1520" s="0" t="n">
        <f aca="false">IF(AND(ISNUMBER('Onshore - Brisbane'!E80),ISNUMBER(K1520),ISNUMBER('Onshore - Brisbane'!F80),ISNUMBER('Onshore - Brisbane'!G80),OR('Onshore - Brisbane'!F80&lt;&gt;0,ISNUMBER(SEARCH("Material 0 terverifikasi",'Onshore - Brisbane'!M80))),OR('Onshore - Brisbane'!G80&lt;&gt;0,ISNUMBER(SEARCH("Enrolment 0 terverifikasi",'Onshore - Brisbane'!M80)))),1,0)</f>
        <v>0</v>
      </c>
      <c r="M1520" s="0" t="n">
        <f aca="false">IF(OR('Onshore - Brisbane'!E80="",ISNUMBER(SEARCH("BSB80120",'Onshore - Brisbane'!B80&amp;'Onshore - Brisbane'!M80)),ISNUMBER(SEARCH("Management (Learning)",'Onshore - Brisbane'!B80))),2,IF(ISNUMBER(SEARCH("CEK:",'Onshore - Brisbane'!M80)),1,0))</f>
        <v>0</v>
      </c>
    </row>
    <row r="1521" customFormat="false" ht="15" hidden="false" customHeight="false" outlineLevel="0" collapsed="false">
      <c r="A1521" s="63" t="s">
        <v>3563</v>
      </c>
      <c r="B1521" s="64" t="s">
        <v>4374</v>
      </c>
      <c r="C1521" s="63" t="s">
        <v>46</v>
      </c>
      <c r="D1521" s="64" t="str">
        <f aca="false">TRIM(LEFT('Onshore - Brisbane'!A249,FIND(CHAR(10),'Onshore - Brisbane'!A249&amp;CHAR(10))-1))</f>
        <v>Kaplan Business School</v>
      </c>
      <c r="E1521" s="63" t="str">
        <f aca="false">'Onshore - Brisbane'!C257&amp;""</f>
        <v>1,5 years</v>
      </c>
      <c r="F1521" s="63" t="str">
        <f aca="false">IF('Onshore - Brisbane'!D257="","Belum tercatat",'Onshore - Brisbane'!D257)</f>
        <v>Trimester</v>
      </c>
      <c r="G1521" s="65" t="n">
        <f aca="false">IF('Onshore - Brisbane'!E257="","-",'Onshore - Brisbane'!E257)</f>
        <v>13600</v>
      </c>
      <c r="H1521" s="63" t="n">
        <f aca="false">IF(ISNUMBER(K1521),COUNTIFS($J$6:$J$1916,J1521,$K$6:$K$1916,"&lt;"&amp;K1521)+1,"-")</f>
        <v>5</v>
      </c>
      <c r="I1521" s="64" t="str">
        <f aca="false">IF('Onshore - Brisbane'!E257="","Harga belum tersedia - hubungi konsultan TEG",IF(M1521=2,"Saat ini tidak menerima pendaftaran siswa internasional baru",IF(M1521=1,"Harga perlu dikonfirmasi ke sekolah"&amp;IF(""="","","; "&amp;""),"")))</f>
        <v>Harga perlu dikonfirmasi ke sekolah</v>
      </c>
      <c r="J1521" s="0" t="s">
        <v>4397</v>
      </c>
      <c r="K1521" s="0" t="n">
        <f aca="false">IF(M1521=2,"",IF(ISNUMBER(SEARCH("rata-rata:",'Onshore - Brisbane'!M257)),VALUE(MID('Onshore - Brisbane'!M257,SEARCH("rata-rata:",'Onshore - Brisbane'!M257)+11,FIND(";",'Onshore - Brisbane'!M257&amp;";",SEARCH("rata-rata:",'Onshore - Brisbane'!M257))-SEARCH("rata-rata:",'Onshore - Brisbane'!M257)-11)),IF('Onshore - Brisbane'!D257="Semester",'Onshore - Brisbane'!E257*2,IF('Onshore - Brisbane'!D257="Trimester",'Onshore - Brisbane'!E257*3,IF('Onshore - Brisbane'!D257="Term",'Onshore - Brisbane'!E257*4,IF('Onshore - Brisbane'!D257="Unit",'Onshore - Brisbane'!E257*8,""))))))</f>
        <v>40800</v>
      </c>
      <c r="L1521" s="0" t="n">
        <f aca="false">IF(AND(ISNUMBER('Onshore - Brisbane'!E257),ISNUMBER(K1521),ISNUMBER('Onshore - Brisbane'!F257),ISNUMBER('Onshore - Brisbane'!G257),OR('Onshore - Brisbane'!F257&lt;&gt;0,ISNUMBER(SEARCH("Material 0 terverifikasi",'Onshore - Brisbane'!M257))),OR('Onshore - Brisbane'!G257&lt;&gt;0,ISNUMBER(SEARCH("Enrolment 0 terverifikasi",'Onshore - Brisbane'!M257)))),1,0)</f>
        <v>1</v>
      </c>
      <c r="M1521" s="0" t="n">
        <f aca="false">IF(OR('Onshore - Brisbane'!E257="",ISNUMBER(SEARCH("BSB80120",'Onshore - Brisbane'!B257&amp;'Onshore - Brisbane'!M257)),ISNUMBER(SEARCH("Management (Learning)",'Onshore - Brisbane'!B257))),2,IF(ISNUMBER(SEARCH("CEK:",'Onshore - Brisbane'!M257)),1,0))</f>
        <v>1</v>
      </c>
    </row>
    <row r="1522" customFormat="false" ht="15" hidden="false" customHeight="false" outlineLevel="0" collapsed="false">
      <c r="A1522" s="61" t="s">
        <v>4398</v>
      </c>
      <c r="B1522" s="62"/>
      <c r="C1522" s="62"/>
      <c r="D1522" s="62"/>
      <c r="E1522" s="62"/>
      <c r="F1522" s="62"/>
      <c r="G1522" s="62"/>
      <c r="H1522" s="62"/>
      <c r="I1522" s="62"/>
    </row>
    <row r="1523" customFormat="false" ht="15" hidden="false" customHeight="false" outlineLevel="0" collapsed="false">
      <c r="A1523" s="63" t="s">
        <v>3718</v>
      </c>
      <c r="B1523" s="64" t="s">
        <v>4374</v>
      </c>
      <c r="C1523" s="63" t="s">
        <v>41</v>
      </c>
      <c r="D1523" s="64" t="str">
        <f aca="false">TRIM(LEFT('Onshore - Canberra'!A6,FIND(CHAR(10),'Onshore - Canberra'!A6&amp;CHAR(10))-1))</f>
        <v>Australian Catholic University (ACU)</v>
      </c>
      <c r="E1523" s="63" t="str">
        <f aca="false">'Onshore - Canberra'!C104&amp;""</f>
        <v>1 year</v>
      </c>
      <c r="F1523" s="63" t="str">
        <f aca="false">IF('Onshore - Canberra'!D104="","Belum tercatat",'Onshore - Canberra'!D104)</f>
        <v>Term</v>
      </c>
      <c r="G1523" s="65" t="n">
        <f aca="false">IF('Onshore - Canberra'!E104="","-",'Onshore - Canberra'!E104)</f>
        <v>8058</v>
      </c>
      <c r="H1523" s="63" t="n">
        <f aca="false">IF(ISNUMBER(K1523),COUNTIFS($J$6:$J$1916,J1523,$K$6:$K$1916,"&lt;"&amp;K1523)+1,"-")</f>
        <v>1</v>
      </c>
      <c r="I1523" s="64" t="str">
        <f aca="false">IF('Onshore - Canberra'!E104="","Harga belum tersedia - hubungi konsultan TEG",IF(M1523=2,"Saat ini tidak menerima pendaftaran siswa internasional baru",IF(M1523=1,"Harga perlu dikonfirmasi ke sekolah"&amp;IF(""="","","; "&amp;""),"")))</f>
        <v/>
      </c>
      <c r="J1523" s="0" t="s">
        <v>4399</v>
      </c>
      <c r="K1523" s="0" t="n">
        <f aca="false">IF(M1523=2,"",IF(ISNUMBER(SEARCH("rata-rata:",'Onshore - Canberra'!M104)),VALUE(MID('Onshore - Canberra'!M104,SEARCH("rata-rata:",'Onshore - Canberra'!M104)+11,FIND(";",'Onshore - Canberra'!M104&amp;";",SEARCH("rata-rata:",'Onshore - Canberra'!M104))-SEARCH("rata-rata:",'Onshore - Canberra'!M104)-11)),IF('Onshore - Canberra'!D104="Semester",'Onshore - Canberra'!E104*2,IF('Onshore - Canberra'!D104="Trimester",'Onshore - Canberra'!E104*3,IF('Onshore - Canberra'!D104="Term",'Onshore - Canberra'!E104*4,IF('Onshore - Canberra'!D104="Unit",'Onshore - Canberra'!E104*8,""))))))</f>
        <v>32232</v>
      </c>
      <c r="L1523" s="0" t="n">
        <f aca="false">IF(AND(ISNUMBER('Onshore - Canberra'!E104),ISNUMBER(K1523),ISNUMBER('Onshore - Canberra'!F104),ISNUMBER('Onshore - Canberra'!G104),OR('Onshore - Canberra'!F104&lt;&gt;0,ISNUMBER(SEARCH("Material 0 terverifikasi",'Onshore - Canberra'!M104))),OR('Onshore - Canberra'!G104&lt;&gt;0,ISNUMBER(SEARCH("Enrolment 0 terverifikasi",'Onshore - Canberra'!M104)))),1,0)</f>
        <v>0</v>
      </c>
      <c r="M1523" s="0" t="n">
        <f aca="false">IF(OR('Onshore - Canberra'!E104="",ISNUMBER(SEARCH("BSB80120",'Onshore - Canberra'!B104&amp;'Onshore - Canberra'!M104)),ISNUMBER(SEARCH("Management (Learning)",'Onshore - Canberra'!B104))),2,IF(ISNUMBER(SEARCH("CEK:",'Onshore - Canberra'!M104)),1,0))</f>
        <v>0</v>
      </c>
    </row>
    <row r="1524" customFormat="false" ht="15" hidden="false" customHeight="false" outlineLevel="0" collapsed="false">
      <c r="A1524" s="61" t="s">
        <v>4400</v>
      </c>
      <c r="B1524" s="62"/>
      <c r="C1524" s="62"/>
      <c r="D1524" s="62"/>
      <c r="E1524" s="62"/>
      <c r="F1524" s="62"/>
      <c r="G1524" s="62"/>
      <c r="H1524" s="62"/>
      <c r="I1524" s="62"/>
    </row>
    <row r="1525" customFormat="false" ht="15" hidden="false" customHeight="false" outlineLevel="0" collapsed="false">
      <c r="A1525" s="63" t="s">
        <v>3718</v>
      </c>
      <c r="B1525" s="64" t="s">
        <v>4374</v>
      </c>
      <c r="C1525" s="63" t="s">
        <v>42</v>
      </c>
      <c r="D1525" s="64" t="str">
        <f aca="false">TRIM(LEFT('Onshore - Canberra'!A111,FIND(CHAR(10),'Onshore - Canberra'!A111&amp;CHAR(10))-1))</f>
        <v>Australian Workplace Skills Institute (AWS)</v>
      </c>
      <c r="E1525" s="63" t="str">
        <f aca="false">'Onshore - Canberra'!C112&amp;""</f>
        <v>3.5 years</v>
      </c>
      <c r="F1525" s="63" t="str">
        <f aca="false">IF('Onshore - Canberra'!D112="","Belum tercatat",'Onshore - Canberra'!D112)</f>
        <v>Term</v>
      </c>
      <c r="G1525" s="65" t="n">
        <f aca="false">IF('Onshore - Canberra'!E112="","-",'Onshore - Canberra'!E112)</f>
        <v>1750</v>
      </c>
      <c r="H1525" s="63" t="n">
        <f aca="false">IF(ISNUMBER(K1525),COUNTIFS($J$6:$J$1916,J1525,$K$6:$K$1916,"&lt;"&amp;K1525)+1,"-")</f>
        <v>1</v>
      </c>
      <c r="I1525" s="64" t="str">
        <f aca="false">IF('Onshore - Canberra'!E112="","Harga belum tersedia - hubungi konsultan TEG",IF(M1525=2,"Saat ini tidak menerima pendaftaran siswa internasional baru",IF(M1525=1,"Program perlu dikonfirmasi ketersediaannya"&amp;IF(""="","","; "&amp;""),"")))</f>
        <v>Program perlu dikonfirmasi ketersediaannya</v>
      </c>
      <c r="J1525" s="0" t="s">
        <v>4401</v>
      </c>
      <c r="K1525" s="0" t="n">
        <f aca="false">IF(M1525=2,"",IF(ISNUMBER(SEARCH("rata-rata:",'Onshore - Canberra'!M112)),VALUE(MID('Onshore - Canberra'!M112,SEARCH("rata-rata:",'Onshore - Canberra'!M112)+11,FIND(";",'Onshore - Canberra'!M112&amp;";",SEARCH("rata-rata:",'Onshore - Canberra'!M112))-SEARCH("rata-rata:",'Onshore - Canberra'!M112)-11)),IF('Onshore - Canberra'!D112="Semester",'Onshore - Canberra'!E112*2,IF('Onshore - Canberra'!D112="Trimester",'Onshore - Canberra'!E112*3,IF('Onshore - Canberra'!D112="Term",'Onshore - Canberra'!E112*4,IF('Onshore - Canberra'!D112="Unit",'Onshore - Canberra'!E112*8,""))))))</f>
        <v>7000</v>
      </c>
      <c r="L1525" s="0" t="n">
        <f aca="false">IF(AND(ISNUMBER('Onshore - Canberra'!E112),ISNUMBER(K1525),ISNUMBER('Onshore - Canberra'!F112),ISNUMBER('Onshore - Canberra'!G112),OR('Onshore - Canberra'!F112&lt;&gt;0,ISNUMBER(SEARCH("Material 0 terverifikasi",'Onshore - Canberra'!M112))),OR('Onshore - Canberra'!G112&lt;&gt;0,ISNUMBER(SEARCH("Enrolment 0 terverifikasi",'Onshore - Canberra'!M112)))),1,0)</f>
        <v>1</v>
      </c>
      <c r="M1525" s="0" t="n">
        <f aca="false">IF(OR('Onshore - Canberra'!E112="",ISNUMBER(SEARCH("BSB80120",'Onshore - Canberra'!B112&amp;'Onshore - Canberra'!M112)),ISNUMBER(SEARCH("Management (Learning)",'Onshore - Canberra'!B112))),2,IF(ISNUMBER(SEARCH("CEK:",'Onshore - Canberra'!M112)),1,0))</f>
        <v>1</v>
      </c>
    </row>
    <row r="1526" customFormat="false" ht="15" hidden="false" customHeight="false" outlineLevel="0" collapsed="false">
      <c r="A1526" s="63" t="s">
        <v>3718</v>
      </c>
      <c r="B1526" s="64" t="s">
        <v>4374</v>
      </c>
      <c r="C1526" s="63" t="s">
        <v>42</v>
      </c>
      <c r="D1526" s="64" t="str">
        <f aca="false">TRIM(LEFT('Onshore - Canberra'!A152,FIND(CHAR(10),'Onshore - Canberra'!A152&amp;CHAR(10))-1))</f>
        <v>Opulence College</v>
      </c>
      <c r="E1526" s="63" t="str">
        <f aca="false">'Onshore - Canberra'!C154&amp;""</f>
        <v>3 years</v>
      </c>
      <c r="F1526" s="63" t="str">
        <f aca="false">IF('Onshore - Canberra'!D154="","Belum tercatat",'Onshore - Canberra'!D154)</f>
        <v>Term</v>
      </c>
      <c r="G1526" s="65" t="n">
        <f aca="false">IF('Onshore - Canberra'!E154="","-",'Onshore - Canberra'!E154)</f>
        <v>2000</v>
      </c>
      <c r="H1526" s="63" t="n">
        <f aca="false">IF(ISNUMBER(K1526),COUNTIFS($J$6:$J$1916,J1526,$K$6:$K$1916,"&lt;"&amp;K1526)+1,"-")</f>
        <v>2</v>
      </c>
      <c r="I1526" s="64" t="str">
        <f aca="false">IF('Onshore - Canberra'!E154="","Harga belum tersedia - hubungi konsultan TEG",IF(M1526=2,"Saat ini tidak menerima pendaftaran siswa internasional baru",IF(M1526=1,"Harga perlu dikonfirmasi ke sekolah"&amp;IF(""="","","; "&amp;""),"")))</f>
        <v/>
      </c>
      <c r="J1526" s="0" t="s">
        <v>4401</v>
      </c>
      <c r="K1526" s="0" t="n">
        <f aca="false">IF(M1526=2,"",IF(ISNUMBER(SEARCH("rata-rata:",'Onshore - Canberra'!M154)),VALUE(MID('Onshore - Canberra'!M154,SEARCH("rata-rata:",'Onshore - Canberra'!M154)+11,FIND(";",'Onshore - Canberra'!M154&amp;";",SEARCH("rata-rata:",'Onshore - Canberra'!M154))-SEARCH("rata-rata:",'Onshore - Canberra'!M154)-11)),IF('Onshore - Canberra'!D154="Semester",'Onshore - Canberra'!E154*2,IF('Onshore - Canberra'!D154="Trimester",'Onshore - Canberra'!E154*3,IF('Onshore - Canberra'!D154="Term",'Onshore - Canberra'!E154*4,IF('Onshore - Canberra'!D154="Unit",'Onshore - Canberra'!E154*8,""))))))</f>
        <v>8000</v>
      </c>
      <c r="L1526" s="0" t="n">
        <f aca="false">IF(AND(ISNUMBER('Onshore - Canberra'!E154),ISNUMBER(K1526),ISNUMBER('Onshore - Canberra'!F154),ISNUMBER('Onshore - Canberra'!G154),OR('Onshore - Canberra'!F154&lt;&gt;0,ISNUMBER(SEARCH("Material 0 terverifikasi",'Onshore - Canberra'!M154))),OR('Onshore - Canberra'!G154&lt;&gt;0,ISNUMBER(SEARCH("Enrolment 0 terverifikasi",'Onshore - Canberra'!M154)))),1,0)</f>
        <v>1</v>
      </c>
      <c r="M1526" s="0" t="n">
        <f aca="false">IF(OR('Onshore - Canberra'!E154="",ISNUMBER(SEARCH("BSB80120",'Onshore - Canberra'!B154&amp;'Onshore - Canberra'!M154)),ISNUMBER(SEARCH("Management (Learning)",'Onshore - Canberra'!B154))),2,IF(ISNUMBER(SEARCH("CEK:",'Onshore - Canberra'!M154)),1,0))</f>
        <v>0</v>
      </c>
    </row>
    <row r="1527" customFormat="false" ht="15" hidden="false" customHeight="false" outlineLevel="0" collapsed="false">
      <c r="A1527" s="63" t="s">
        <v>3718</v>
      </c>
      <c r="B1527" s="64" t="s">
        <v>4374</v>
      </c>
      <c r="C1527" s="63" t="s">
        <v>42</v>
      </c>
      <c r="D1527" s="64" t="str">
        <f aca="false">TRIM(LEFT('Onshore - Canberra'!A113,FIND(CHAR(10),'Onshore - Canberra'!A113&amp;CHAR(10))-1))</f>
        <v>Capital College</v>
      </c>
      <c r="E1527" s="63" t="str">
        <f aca="false">'Onshore - Canberra'!C119&amp;""</f>
        <v>3 years</v>
      </c>
      <c r="F1527" s="63" t="str">
        <f aca="false">IF('Onshore - Canberra'!D119="","Belum tercatat",'Onshore - Canberra'!D119)</f>
        <v>Term</v>
      </c>
      <c r="G1527" s="65" t="n">
        <f aca="false">IF('Onshore - Canberra'!E119="","-",'Onshore - Canberra'!E119)</f>
        <v>2084</v>
      </c>
      <c r="H1527" s="63" t="n">
        <f aca="false">IF(ISNUMBER(K1527),COUNTIFS($J$6:$J$1916,J1527,$K$6:$K$1916,"&lt;"&amp;K1527)+1,"-")</f>
        <v>3</v>
      </c>
      <c r="I1527" s="64" t="str">
        <f aca="false">IF('Onshore - Canberra'!E119="","Harga belum tersedia - hubungi konsultan TEG",IF(M1527=2,"Saat ini tidak menerima pendaftaran siswa internasional baru",IF(M1527=1,"Harga perlu dikonfirmasi ke sekolah"&amp;IF(""="","","; "&amp;""),"")))</f>
        <v>Harga perlu dikonfirmasi ke sekolah</v>
      </c>
      <c r="J1527" s="0" t="s">
        <v>4401</v>
      </c>
      <c r="K1527" s="0" t="n">
        <f aca="false">IF(M1527=2,"",IF(ISNUMBER(SEARCH("rata-rata:",'Onshore - Canberra'!M119)),VALUE(MID('Onshore - Canberra'!M119,SEARCH("rata-rata:",'Onshore - Canberra'!M119)+11,FIND(";",'Onshore - Canberra'!M119&amp;";",SEARCH("rata-rata:",'Onshore - Canberra'!M119))-SEARCH("rata-rata:",'Onshore - Canberra'!M119)-11)),IF('Onshore - Canberra'!D119="Semester",'Onshore - Canberra'!E119*2,IF('Onshore - Canberra'!D119="Trimester",'Onshore - Canberra'!E119*3,IF('Onshore - Canberra'!D119="Term",'Onshore - Canberra'!E119*4,IF('Onshore - Canberra'!D119="Unit",'Onshore - Canberra'!E119*8,""))))))</f>
        <v>8336</v>
      </c>
      <c r="L1527" s="0" t="n">
        <f aca="false">IF(AND(ISNUMBER('Onshore - Canberra'!E119),ISNUMBER(K1527),ISNUMBER('Onshore - Canberra'!F119),ISNUMBER('Onshore - Canberra'!G119),OR('Onshore - Canberra'!F119&lt;&gt;0,ISNUMBER(SEARCH("Material 0 terverifikasi",'Onshore - Canberra'!M119))),OR('Onshore - Canberra'!G119&lt;&gt;0,ISNUMBER(SEARCH("Enrolment 0 terverifikasi",'Onshore - Canberra'!M119)))),1,0)</f>
        <v>1</v>
      </c>
      <c r="M1527" s="0" t="n">
        <f aca="false">IF(OR('Onshore - Canberra'!E119="",ISNUMBER(SEARCH("BSB80120",'Onshore - Canberra'!B119&amp;'Onshore - Canberra'!M119)),ISNUMBER(SEARCH("Management (Learning)",'Onshore - Canberra'!B119))),2,IF(ISNUMBER(SEARCH("CEK:",'Onshore - Canberra'!M119)),1,0))</f>
        <v>1</v>
      </c>
    </row>
    <row r="1528" customFormat="false" ht="15" hidden="false" customHeight="false" outlineLevel="0" collapsed="false">
      <c r="A1528" s="61" t="s">
        <v>4402</v>
      </c>
      <c r="B1528" s="62"/>
      <c r="C1528" s="62"/>
      <c r="D1528" s="62"/>
      <c r="E1528" s="62"/>
      <c r="F1528" s="62"/>
      <c r="G1528" s="62"/>
      <c r="H1528" s="62"/>
      <c r="I1528" s="62"/>
    </row>
    <row r="1529" customFormat="false" ht="15" hidden="false" customHeight="false" outlineLevel="0" collapsed="false">
      <c r="A1529" s="63" t="s">
        <v>3718</v>
      </c>
      <c r="B1529" s="64" t="s">
        <v>4374</v>
      </c>
      <c r="C1529" s="63" t="s">
        <v>43</v>
      </c>
      <c r="D1529" s="64" t="str">
        <f aca="false">TRIM(LEFT('Onshore - Canberra'!A125,FIND(CHAR(10),'Onshore - Canberra'!A125&amp;CHAR(10))-1))</f>
        <v>CIHE Australia</v>
      </c>
      <c r="E1529" s="63" t="str">
        <f aca="false">'Onshore - Canberra'!C135&amp;""</f>
        <v>3 years</v>
      </c>
      <c r="F1529" s="63" t="str">
        <f aca="false">IF('Onshore - Canberra'!D135="","Belum tercatat",'Onshore - Canberra'!D135)</f>
        <v>Term</v>
      </c>
      <c r="G1529" s="65" t="n">
        <f aca="false">IF('Onshore - Canberra'!E135="","-",'Onshore - Canberra'!E135)</f>
        <v>3825</v>
      </c>
      <c r="H1529" s="63" t="n">
        <f aca="false">IF(ISNUMBER(K1529),COUNTIFS($J$6:$J$1916,J1529,$K$6:$K$1916,"&lt;"&amp;K1529)+1,"-")</f>
        <v>1</v>
      </c>
      <c r="I1529" s="64" t="str">
        <f aca="false">IF('Onshore - Canberra'!E135="","Harga belum tersedia - hubungi konsultan TEG",IF(M1529=2,"Saat ini tidak menerima pendaftaran siswa internasional baru",IF(M1529=1,"Harga perlu dikonfirmasi ke sekolah"&amp;IF(""="","","; "&amp;""),"")))</f>
        <v>Harga perlu dikonfirmasi ke sekolah</v>
      </c>
      <c r="J1529" s="0" t="s">
        <v>4403</v>
      </c>
      <c r="K1529" s="0" t="n">
        <f aca="false">IF(M1529=2,"",IF(ISNUMBER(SEARCH("rata-rata:",'Onshore - Canberra'!M135)),VALUE(MID('Onshore - Canberra'!M135,SEARCH("rata-rata:",'Onshore - Canberra'!M135)+11,FIND(";",'Onshore - Canberra'!M135&amp;";",SEARCH("rata-rata:",'Onshore - Canberra'!M135))-SEARCH("rata-rata:",'Onshore - Canberra'!M135)-11)),IF('Onshore - Canberra'!D135="Semester",'Onshore - Canberra'!E135*2,IF('Onshore - Canberra'!D135="Trimester",'Onshore - Canberra'!E135*3,IF('Onshore - Canberra'!D135="Term",'Onshore - Canberra'!E135*4,IF('Onshore - Canberra'!D135="Unit",'Onshore - Canberra'!E135*8,""))))))</f>
        <v>15300</v>
      </c>
      <c r="L1529" s="0" t="n">
        <f aca="false">IF(AND(ISNUMBER('Onshore - Canberra'!E135),ISNUMBER(K1529),ISNUMBER('Onshore - Canberra'!F135),ISNUMBER('Onshore - Canberra'!G135),OR('Onshore - Canberra'!F135&lt;&gt;0,ISNUMBER(SEARCH("Material 0 terverifikasi",'Onshore - Canberra'!M135))),OR('Onshore - Canberra'!G135&lt;&gt;0,ISNUMBER(SEARCH("Enrolment 0 terverifikasi",'Onshore - Canberra'!M135)))),1,0)</f>
        <v>1</v>
      </c>
      <c r="M1529" s="0" t="n">
        <f aca="false">IF(OR('Onshore - Canberra'!E135="",ISNUMBER(SEARCH("BSB80120",'Onshore - Canberra'!B135&amp;'Onshore - Canberra'!M135)),ISNUMBER(SEARCH("Management (Learning)",'Onshore - Canberra'!B135))),2,IF(ISNUMBER(SEARCH("CEK:",'Onshore - Canberra'!M135)),1,0))</f>
        <v>1</v>
      </c>
    </row>
    <row r="1530" customFormat="false" ht="15" hidden="false" customHeight="false" outlineLevel="0" collapsed="false">
      <c r="A1530" s="63" t="s">
        <v>3718</v>
      </c>
      <c r="B1530" s="64" t="s">
        <v>4374</v>
      </c>
      <c r="C1530" s="63" t="s">
        <v>43</v>
      </c>
      <c r="D1530" s="64" t="str">
        <f aca="false">TRIM(LEFT('Onshore - Canberra'!A6,FIND(CHAR(10),'Onshore - Canberra'!A6&amp;CHAR(10))-1))</f>
        <v>Australian Catholic University (ACU)</v>
      </c>
      <c r="E1530" s="63" t="str">
        <f aca="false">'Onshore - Canberra'!C20&amp;""</f>
        <v>3 years</v>
      </c>
      <c r="F1530" s="63" t="str">
        <f aca="false">IF('Onshore - Canberra'!D20="","Belum tercatat",'Onshore - Canberra'!D20)</f>
        <v>Term</v>
      </c>
      <c r="G1530" s="65" t="n">
        <f aca="false">IF('Onshore - Canberra'!E20="","-",'Onshore - Canberra'!E20)</f>
        <v>8742</v>
      </c>
      <c r="H1530" s="63" t="n">
        <f aca="false">IF(ISNUMBER(K1530),COUNTIFS($J$6:$J$1916,J1530,$K$6:$K$1916,"&lt;"&amp;K1530)+1,"-")</f>
        <v>2</v>
      </c>
      <c r="I1530" s="64" t="str">
        <f aca="false">IF('Onshore - Canberra'!E20="","Harga belum tersedia - hubungi konsultan TEG",IF(M1530=2,"Saat ini tidak menerima pendaftaran siswa internasional baru",IF(M1530=1,"Harga perlu dikonfirmasi ke sekolah"&amp;IF(""="","","; "&amp;""),"")))</f>
        <v/>
      </c>
      <c r="J1530" s="0" t="s">
        <v>4403</v>
      </c>
      <c r="K1530" s="0" t="n">
        <f aca="false">IF(M1530=2,"",IF(ISNUMBER(SEARCH("rata-rata:",'Onshore - Canberra'!M20)),VALUE(MID('Onshore - Canberra'!M20,SEARCH("rata-rata:",'Onshore - Canberra'!M20)+11,FIND(";",'Onshore - Canberra'!M20&amp;";",SEARCH("rata-rata:",'Onshore - Canberra'!M20))-SEARCH("rata-rata:",'Onshore - Canberra'!M20)-11)),IF('Onshore - Canberra'!D20="Semester",'Onshore - Canberra'!E20*2,IF('Onshore - Canberra'!D20="Trimester",'Onshore - Canberra'!E20*3,IF('Onshore - Canberra'!D20="Term",'Onshore - Canberra'!E20*4,IF('Onshore - Canberra'!D20="Unit",'Onshore - Canberra'!E20*8,""))))))</f>
        <v>34968</v>
      </c>
      <c r="L1530" s="0" t="n">
        <f aca="false">IF(AND(ISNUMBER('Onshore - Canberra'!E20),ISNUMBER(K1530),ISNUMBER('Onshore - Canberra'!F20),ISNUMBER('Onshore - Canberra'!G20),OR('Onshore - Canberra'!F20&lt;&gt;0,ISNUMBER(SEARCH("Material 0 terverifikasi",'Onshore - Canberra'!M20))),OR('Onshore - Canberra'!G20&lt;&gt;0,ISNUMBER(SEARCH("Enrolment 0 terverifikasi",'Onshore - Canberra'!M20)))),1,0)</f>
        <v>0</v>
      </c>
      <c r="M1530" s="0" t="n">
        <f aca="false">IF(OR('Onshore - Canberra'!E20="",ISNUMBER(SEARCH("BSB80120",'Onshore - Canberra'!B20&amp;'Onshore - Canberra'!M20)),ISNUMBER(SEARCH("Management (Learning)",'Onshore - Canberra'!B20))),2,IF(ISNUMBER(SEARCH("CEK:",'Onshore - Canberra'!M20)),1,0))</f>
        <v>0</v>
      </c>
    </row>
    <row r="1531" customFormat="false" ht="15" hidden="false" customHeight="false" outlineLevel="0" collapsed="false">
      <c r="A1531" s="61" t="s">
        <v>4404</v>
      </c>
      <c r="B1531" s="62"/>
      <c r="C1531" s="62"/>
      <c r="D1531" s="62"/>
      <c r="E1531" s="62"/>
      <c r="F1531" s="62"/>
      <c r="G1531" s="62"/>
      <c r="H1531" s="62"/>
      <c r="I1531" s="62"/>
    </row>
    <row r="1532" customFormat="false" ht="15" hidden="false" customHeight="false" outlineLevel="0" collapsed="false">
      <c r="A1532" s="63" t="s">
        <v>3718</v>
      </c>
      <c r="B1532" s="64" t="s">
        <v>4374</v>
      </c>
      <c r="C1532" s="63" t="s">
        <v>3707</v>
      </c>
      <c r="D1532" s="64" t="str">
        <f aca="false">TRIM(LEFT('Onshore - Canberra'!A6,FIND(CHAR(10),'Onshore - Canberra'!A6&amp;CHAR(10))-1))</f>
        <v>Australian Catholic University (ACU)</v>
      </c>
      <c r="E1532" s="63" t="str">
        <f aca="false">'Onshore - Canberra'!C30&amp;""</f>
        <v>0,5 year</v>
      </c>
      <c r="F1532" s="63" t="str">
        <f aca="false">IF('Onshore - Canberra'!D30="","Belum tercatat",'Onshore - Canberra'!D30)</f>
        <v>Term</v>
      </c>
      <c r="G1532" s="65" t="n">
        <f aca="false">IF('Onshore - Canberra'!E30="","-",'Onshore - Canberra'!E30)</f>
        <v>4762</v>
      </c>
      <c r="H1532" s="63" t="n">
        <f aca="false">IF(ISNUMBER(K1532),COUNTIFS($J$6:$J$1916,J1532,$K$6:$K$1916,"&lt;"&amp;K1532)+1,"-")</f>
        <v>1</v>
      </c>
      <c r="I1532" s="64" t="str">
        <f aca="false">IF('Onshore - Canberra'!E30="","Harga belum tersedia - hubungi konsultan TEG",IF(M1532=2,"Saat ini tidak menerima pendaftaran siswa internasional baru",IF(M1532=1,"Harga perlu dikonfirmasi ke sekolah"&amp;IF(""="","","; "&amp;""),"")))</f>
        <v>Harga perlu dikonfirmasi ke sekolah</v>
      </c>
      <c r="J1532" s="0" t="s">
        <v>4405</v>
      </c>
      <c r="K1532" s="0" t="n">
        <f aca="false">IF(M1532=2,"",IF(ISNUMBER(SEARCH("rata-rata:",'Onshore - Canberra'!M30)),VALUE(MID('Onshore - Canberra'!M30,SEARCH("rata-rata:",'Onshore - Canberra'!M30)+11,FIND(";",'Onshore - Canberra'!M30&amp;";",SEARCH("rata-rata:",'Onshore - Canberra'!M30))-SEARCH("rata-rata:",'Onshore - Canberra'!M30)-11)),IF('Onshore - Canberra'!D30="Semester",'Onshore - Canberra'!E30*2,IF('Onshore - Canberra'!D30="Trimester",'Onshore - Canberra'!E30*3,IF('Onshore - Canberra'!D30="Term",'Onshore - Canberra'!E30*4,IF('Onshore - Canberra'!D30="Unit",'Onshore - Canberra'!E30*8,""))))))</f>
        <v>19048</v>
      </c>
      <c r="L1532" s="0" t="n">
        <f aca="false">IF(AND(ISNUMBER('Onshore - Canberra'!E30),ISNUMBER(K1532),ISNUMBER('Onshore - Canberra'!F30),ISNUMBER('Onshore - Canberra'!G30),OR('Onshore - Canberra'!F30&lt;&gt;0,ISNUMBER(SEARCH("Material 0 terverifikasi",'Onshore - Canberra'!M30))),OR('Onshore - Canberra'!G30&lt;&gt;0,ISNUMBER(SEARCH("Enrolment 0 terverifikasi",'Onshore - Canberra'!M30)))),1,0)</f>
        <v>0</v>
      </c>
      <c r="M1532" s="0" t="n">
        <f aca="false">IF(OR('Onshore - Canberra'!E30="",ISNUMBER(SEARCH("BSB80120",'Onshore - Canberra'!B30&amp;'Onshore - Canberra'!M30)),ISNUMBER(SEARCH("Management (Learning)",'Onshore - Canberra'!B30))),2,IF(ISNUMBER(SEARCH("CEK:",'Onshore - Canberra'!M30)),1,0))</f>
        <v>1</v>
      </c>
    </row>
    <row r="1533" customFormat="false" ht="15" hidden="false" customHeight="false" outlineLevel="0" collapsed="false">
      <c r="A1533" s="61" t="s">
        <v>4406</v>
      </c>
      <c r="B1533" s="62"/>
      <c r="C1533" s="62"/>
      <c r="D1533" s="62"/>
      <c r="E1533" s="62"/>
      <c r="F1533" s="62"/>
      <c r="G1533" s="62"/>
      <c r="H1533" s="62"/>
      <c r="I1533" s="62"/>
    </row>
    <row r="1534" customFormat="false" ht="15" hidden="false" customHeight="false" outlineLevel="0" collapsed="false">
      <c r="A1534" s="63" t="s">
        <v>3718</v>
      </c>
      <c r="B1534" s="64" t="s">
        <v>4374</v>
      </c>
      <c r="C1534" s="63" t="s">
        <v>46</v>
      </c>
      <c r="D1534" s="64" t="str">
        <f aca="false">TRIM(LEFT('Onshore - Canberra'!A125,FIND(CHAR(10),'Onshore - Canberra'!A125&amp;CHAR(10))-1))</f>
        <v>CIHE Australia</v>
      </c>
      <c r="E1534" s="63" t="str">
        <f aca="false">'Onshore - Canberra'!C134&amp;""</f>
        <v>2 years</v>
      </c>
      <c r="F1534" s="63" t="str">
        <f aca="false">IF('Onshore - Canberra'!D134="","Belum tercatat",'Onshore - Canberra'!D134)</f>
        <v>Term</v>
      </c>
      <c r="G1534" s="65" t="n">
        <f aca="false">IF('Onshore - Canberra'!E134="","-",'Onshore - Canberra'!E134)</f>
        <v>5225</v>
      </c>
      <c r="H1534" s="63" t="n">
        <f aca="false">IF(ISNUMBER(K1534),COUNTIFS($J$6:$J$1916,J1534,$K$6:$K$1916,"&lt;"&amp;K1534)+1,"-")</f>
        <v>1</v>
      </c>
      <c r="I1534" s="64" t="str">
        <f aca="false">IF('Onshore - Canberra'!E134="","Harga belum tersedia - hubungi konsultan TEG",IF(M1534=2,"Saat ini tidak menerima pendaftaran siswa internasional baru",IF(M1534=1,"Harga perlu dikonfirmasi ke sekolah"&amp;IF(""="","","; "&amp;""),"")))</f>
        <v>Harga perlu dikonfirmasi ke sekolah</v>
      </c>
      <c r="J1534" s="0" t="s">
        <v>4407</v>
      </c>
      <c r="K1534" s="0" t="n">
        <f aca="false">IF(M1534=2,"",IF(ISNUMBER(SEARCH("rata-rata:",'Onshore - Canberra'!M134)),VALUE(MID('Onshore - Canberra'!M134,SEARCH("rata-rata:",'Onshore - Canberra'!M134)+11,FIND(";",'Onshore - Canberra'!M134&amp;";",SEARCH("rata-rata:",'Onshore - Canberra'!M134))-SEARCH("rata-rata:",'Onshore - Canberra'!M134)-11)),IF('Onshore - Canberra'!D134="Semester",'Onshore - Canberra'!E134*2,IF('Onshore - Canberra'!D134="Trimester",'Onshore - Canberra'!E134*3,IF('Onshore - Canberra'!D134="Term",'Onshore - Canberra'!E134*4,IF('Onshore - Canberra'!D134="Unit",'Onshore - Canberra'!E134*8,""))))))</f>
        <v>20900</v>
      </c>
      <c r="L1534" s="0" t="n">
        <f aca="false">IF(AND(ISNUMBER('Onshore - Canberra'!E134),ISNUMBER(K1534),ISNUMBER('Onshore - Canberra'!F134),ISNUMBER('Onshore - Canberra'!G134),OR('Onshore - Canberra'!F134&lt;&gt;0,ISNUMBER(SEARCH("Material 0 terverifikasi",'Onshore - Canberra'!M134))),OR('Onshore - Canberra'!G134&lt;&gt;0,ISNUMBER(SEARCH("Enrolment 0 terverifikasi",'Onshore - Canberra'!M134)))),1,0)</f>
        <v>1</v>
      </c>
      <c r="M1534" s="0" t="n">
        <f aca="false">IF(OR('Onshore - Canberra'!E134="",ISNUMBER(SEARCH("BSB80120",'Onshore - Canberra'!B134&amp;'Onshore - Canberra'!M134)),ISNUMBER(SEARCH("Management (Learning)",'Onshore - Canberra'!B134))),2,IF(ISNUMBER(SEARCH("CEK:",'Onshore - Canberra'!M134)),1,0))</f>
        <v>1</v>
      </c>
    </row>
    <row r="1535" customFormat="false" ht="15" hidden="false" customHeight="false" outlineLevel="0" collapsed="false">
      <c r="A1535" s="63" t="s">
        <v>3718</v>
      </c>
      <c r="B1535" s="64" t="s">
        <v>4374</v>
      </c>
      <c r="C1535" s="63" t="s">
        <v>46</v>
      </c>
      <c r="D1535" s="64" t="str">
        <f aca="false">TRIM(LEFT('Onshore - Canberra'!A6,FIND(CHAR(10),'Onshore - Canberra'!A6&amp;CHAR(10))-1))</f>
        <v>Australian Catholic University (ACU)</v>
      </c>
      <c r="E1535" s="63" t="str">
        <f aca="false">'Onshore - Canberra'!C33&amp;""</f>
        <v>2 years</v>
      </c>
      <c r="F1535" s="63" t="str">
        <f aca="false">IF('Onshore - Canberra'!D33="","Belum tercatat",'Onshore - Canberra'!D33)</f>
        <v>Term</v>
      </c>
      <c r="G1535" s="65" t="n">
        <f aca="false">IF('Onshore - Canberra'!E33="","-",'Onshore - Canberra'!E33)</f>
        <v>9524</v>
      </c>
      <c r="H1535" s="63" t="n">
        <f aca="false">IF(ISNUMBER(K1535),COUNTIFS($J$6:$J$1916,J1535,$K$6:$K$1916,"&lt;"&amp;K1535)+1,"-")</f>
        <v>2</v>
      </c>
      <c r="I1535" s="64" t="str">
        <f aca="false">IF('Onshore - Canberra'!E33="","Harga belum tersedia - hubungi konsultan TEG",IF(M1535=2,"Saat ini tidak menerima pendaftaran siswa internasional baru",IF(M1535=1,"Harga perlu dikonfirmasi ke sekolah"&amp;IF(""="","","; "&amp;""),"")))</f>
        <v/>
      </c>
      <c r="J1535" s="0" t="s">
        <v>4407</v>
      </c>
      <c r="K1535" s="0" t="n">
        <f aca="false">IF(M1535=2,"",IF(ISNUMBER(SEARCH("rata-rata:",'Onshore - Canberra'!M33)),VALUE(MID('Onshore - Canberra'!M33,SEARCH("rata-rata:",'Onshore - Canberra'!M33)+11,FIND(";",'Onshore - Canberra'!M33&amp;";",SEARCH("rata-rata:",'Onshore - Canberra'!M33))-SEARCH("rata-rata:",'Onshore - Canberra'!M33)-11)),IF('Onshore - Canberra'!D33="Semester",'Onshore - Canberra'!E33*2,IF('Onshore - Canberra'!D33="Trimester",'Onshore - Canberra'!E33*3,IF('Onshore - Canberra'!D33="Term",'Onshore - Canberra'!E33*4,IF('Onshore - Canberra'!D33="Unit",'Onshore - Canberra'!E33*8,""))))))</f>
        <v>38096</v>
      </c>
      <c r="L1535" s="0" t="n">
        <f aca="false">IF(AND(ISNUMBER('Onshore - Canberra'!E33),ISNUMBER(K1535),ISNUMBER('Onshore - Canberra'!F33),ISNUMBER('Onshore - Canberra'!G33),OR('Onshore - Canberra'!F33&lt;&gt;0,ISNUMBER(SEARCH("Material 0 terverifikasi",'Onshore - Canberra'!M33))),OR('Onshore - Canberra'!G33&lt;&gt;0,ISNUMBER(SEARCH("Enrolment 0 terverifikasi",'Onshore - Canberra'!M33)))),1,0)</f>
        <v>0</v>
      </c>
      <c r="M1535" s="0" t="n">
        <f aca="false">IF(OR('Onshore - Canberra'!E33="",ISNUMBER(SEARCH("BSB80120",'Onshore - Canberra'!B33&amp;'Onshore - Canberra'!M33)),ISNUMBER(SEARCH("Management (Learning)",'Onshore - Canberra'!B33))),2,IF(ISNUMBER(SEARCH("CEK:",'Onshore - Canberra'!M33)),1,0))</f>
        <v>0</v>
      </c>
    </row>
    <row r="1536" customFormat="false" ht="15" hidden="false" customHeight="false" outlineLevel="0" collapsed="false">
      <c r="A1536" s="61" t="s">
        <v>4408</v>
      </c>
      <c r="B1536" s="62"/>
      <c r="C1536" s="62"/>
      <c r="D1536" s="62"/>
      <c r="E1536" s="62"/>
      <c r="F1536" s="62"/>
      <c r="G1536" s="62"/>
      <c r="H1536" s="62"/>
      <c r="I1536" s="62"/>
    </row>
    <row r="1537" customFormat="false" ht="15" hidden="false" customHeight="false" outlineLevel="0" collapsed="false">
      <c r="A1537" s="63" t="s">
        <v>3583</v>
      </c>
      <c r="B1537" s="64" t="s">
        <v>4374</v>
      </c>
      <c r="C1537" s="63" t="s">
        <v>41</v>
      </c>
      <c r="D1537" s="64" t="str">
        <f aca="false">TRIM(LEFT('Onshore - Darwin (NT)'!A20,FIND(CHAR(10),'Onshore - Darwin (NT)'!A20&amp;CHAR(10))-1))</f>
        <v>Charles Darwin University (CDU)</v>
      </c>
      <c r="E1537" s="63" t="str">
        <f aca="false">'Onshore - Darwin (NT)'!C118&amp;""</f>
        <v>1 year</v>
      </c>
      <c r="F1537" s="63" t="str">
        <f aca="false">IF('Onshore - Darwin (NT)'!D118="","Belum tercatat",'Onshore - Darwin (NT)'!D118)</f>
        <v>Term</v>
      </c>
      <c r="G1537" s="65" t="n">
        <f aca="false">IF('Onshore - Darwin (NT)'!E118="","-",'Onshore - Darwin (NT)'!E118)</f>
        <v>8568</v>
      </c>
      <c r="H1537" s="63" t="n">
        <f aca="false">IF(ISNUMBER(K1537),COUNTIFS($J$6:$J$1916,J1537,$K$6:$K$1916,"&lt;"&amp;K1537)+1,"-")</f>
        <v>1</v>
      </c>
      <c r="I1537" s="64" t="str">
        <f aca="false">IF('Onshore - Darwin (NT)'!E118="","Harga belum tersedia - hubungi konsultan TEG",IF(M1537=2,"Saat ini tidak menerima pendaftaran siswa internasional baru",IF(M1537=1,"Harga perlu dikonfirmasi ke sekolah"&amp;IF(""="","","; "&amp;""),"")))</f>
        <v/>
      </c>
      <c r="J1537" s="0" t="s">
        <v>4409</v>
      </c>
      <c r="K1537" s="0" t="n">
        <f aca="false">IF(M1537=2,"",IF(ISNUMBER(SEARCH("rata-rata:",'Onshore - Darwin (NT)'!M118)),VALUE(MID('Onshore - Darwin (NT)'!M118,SEARCH("rata-rata:",'Onshore - Darwin (NT)'!M118)+11,FIND(";",'Onshore - Darwin (NT)'!M118&amp;";",SEARCH("rata-rata:",'Onshore - Darwin (NT)'!M118))-SEARCH("rata-rata:",'Onshore - Darwin (NT)'!M118)-11)),IF('Onshore - Darwin (NT)'!D118="Semester",'Onshore - Darwin (NT)'!E118*2,IF('Onshore - Darwin (NT)'!D118="Trimester",'Onshore - Darwin (NT)'!E118*3,IF('Onshore - Darwin (NT)'!D118="Term",'Onshore - Darwin (NT)'!E118*4,IF('Onshore - Darwin (NT)'!D118="Unit",'Onshore - Darwin (NT)'!E118*8,""))))))</f>
        <v>34272</v>
      </c>
      <c r="L1537" s="0" t="n">
        <f aca="false">IF(AND(ISNUMBER('Onshore - Darwin (NT)'!E118),ISNUMBER(K1537),ISNUMBER('Onshore - Darwin (NT)'!F118),ISNUMBER('Onshore - Darwin (NT)'!G118),OR('Onshore - Darwin (NT)'!F118&lt;&gt;0,ISNUMBER(SEARCH("Material 0 terverifikasi",'Onshore - Darwin (NT)'!M118))),OR('Onshore - Darwin (NT)'!G118&lt;&gt;0,ISNUMBER(SEARCH("Enrolment 0 terverifikasi",'Onshore - Darwin (NT)'!M118)))),1,0)</f>
        <v>0</v>
      </c>
      <c r="M1537" s="0" t="n">
        <f aca="false">IF(OR('Onshore - Darwin (NT)'!E118="",ISNUMBER(SEARCH("BSB80120",'Onshore - Darwin (NT)'!B118&amp;'Onshore - Darwin (NT)'!M118)),ISNUMBER(SEARCH("Management (Learning)",'Onshore - Darwin (NT)'!B118))),2,IF(ISNUMBER(SEARCH("CEK:",'Onshore - Darwin (NT)'!M118)),1,0))</f>
        <v>0</v>
      </c>
    </row>
    <row r="1538" customFormat="false" ht="15" hidden="false" customHeight="false" outlineLevel="0" collapsed="false">
      <c r="A1538" s="61" t="s">
        <v>4410</v>
      </c>
      <c r="B1538" s="62"/>
      <c r="C1538" s="62"/>
      <c r="D1538" s="62"/>
      <c r="E1538" s="62"/>
      <c r="F1538" s="62"/>
      <c r="G1538" s="62"/>
      <c r="H1538" s="62"/>
      <c r="I1538" s="62"/>
    </row>
    <row r="1539" customFormat="false" ht="15" hidden="false" customHeight="false" outlineLevel="0" collapsed="false">
      <c r="A1539" s="63" t="s">
        <v>3583</v>
      </c>
      <c r="B1539" s="64" t="s">
        <v>4374</v>
      </c>
      <c r="C1539" s="63" t="s">
        <v>42</v>
      </c>
      <c r="D1539" s="64" t="str">
        <f aca="false">TRIM(LEFT('Onshore - Darwin (NT)'!A146,FIND(CHAR(10),'Onshore - Darwin (NT)'!A146&amp;CHAR(10))-1))</f>
        <v>Sydney City College of Management</v>
      </c>
      <c r="E1539" s="63" t="str">
        <f aca="false">'Onshore - Darwin (NT)'!C147&amp;""</f>
        <v>2,5 years</v>
      </c>
      <c r="F1539" s="63" t="str">
        <f aca="false">IF('Onshore - Darwin (NT)'!D147="","Belum tercatat",'Onshore - Darwin (NT)'!D147)</f>
        <v>Term</v>
      </c>
      <c r="G1539" s="65" t="n">
        <f aca="false">IF('Onshore - Darwin (NT)'!E147="","-",'Onshore - Darwin (NT)'!E147)</f>
        <v>3000</v>
      </c>
      <c r="H1539" s="63" t="n">
        <f aca="false">IF(ISNUMBER(K1539),COUNTIFS($J$6:$J$1916,J1539,$K$6:$K$1916,"&lt;"&amp;K1539)+1,"-")</f>
        <v>1</v>
      </c>
      <c r="I1539" s="64" t="str">
        <f aca="false">IF('Onshore - Darwin (NT)'!E147="","Harga belum tersedia - hubungi konsultan TEG",IF(M1539=2,"Saat ini tidak menerima pendaftaran siswa internasional baru",IF(M1539=1,"Harga perlu dikonfirmasi ke sekolah"&amp;IF(""="","","; "&amp;""),"")))</f>
        <v/>
      </c>
      <c r="J1539" s="0" t="s">
        <v>4411</v>
      </c>
      <c r="K1539" s="0" t="n">
        <f aca="false">IF(M1539=2,"",IF(ISNUMBER(SEARCH("rata-rata:",'Onshore - Darwin (NT)'!M147)),VALUE(MID('Onshore - Darwin (NT)'!M147,SEARCH("rata-rata:",'Onshore - Darwin (NT)'!M147)+11,FIND(";",'Onshore - Darwin (NT)'!M147&amp;";",SEARCH("rata-rata:",'Onshore - Darwin (NT)'!M147))-SEARCH("rata-rata:",'Onshore - Darwin (NT)'!M147)-11)),IF('Onshore - Darwin (NT)'!D147="Semester",'Onshore - Darwin (NT)'!E147*2,IF('Onshore - Darwin (NT)'!D147="Trimester",'Onshore - Darwin (NT)'!E147*3,IF('Onshore - Darwin (NT)'!D147="Term",'Onshore - Darwin (NT)'!E147*4,IF('Onshore - Darwin (NT)'!D147="Unit",'Onshore - Darwin (NT)'!E147*8,""))))))</f>
        <v>12000</v>
      </c>
      <c r="L1539" s="0" t="n">
        <f aca="false">IF(AND(ISNUMBER('Onshore - Darwin (NT)'!E147),ISNUMBER(K1539),ISNUMBER('Onshore - Darwin (NT)'!F147),ISNUMBER('Onshore - Darwin (NT)'!G147),OR('Onshore - Darwin (NT)'!F147&lt;&gt;0,ISNUMBER(SEARCH("Material 0 terverifikasi",'Onshore - Darwin (NT)'!M147))),OR('Onshore - Darwin (NT)'!G147&lt;&gt;0,ISNUMBER(SEARCH("Enrolment 0 terverifikasi",'Onshore - Darwin (NT)'!M147)))),1,0)</f>
        <v>1</v>
      </c>
      <c r="M1539" s="0" t="n">
        <f aca="false">IF(OR('Onshore - Darwin (NT)'!E147="",ISNUMBER(SEARCH("BSB80120",'Onshore - Darwin (NT)'!B147&amp;'Onshore - Darwin (NT)'!M147)),ISNUMBER(SEARCH("Management (Learning)",'Onshore - Darwin (NT)'!B147))),2,IF(ISNUMBER(SEARCH("CEK:",'Onshore - Darwin (NT)'!M147)),1,0))</f>
        <v>0</v>
      </c>
    </row>
    <row r="1540" customFormat="false" ht="15" hidden="false" customHeight="false" outlineLevel="0" collapsed="false">
      <c r="A1540" s="63" t="s">
        <v>3583</v>
      </c>
      <c r="B1540" s="64" t="s">
        <v>4374</v>
      </c>
      <c r="C1540" s="63" t="s">
        <v>42</v>
      </c>
      <c r="D1540" s="64" t="str">
        <f aca="false">TRIM(LEFT('Onshore - Darwin (NT)'!A20,FIND(CHAR(10),'Onshore - Darwin (NT)'!A20&amp;CHAR(10))-1))</f>
        <v>Charles Darwin University (CDU)</v>
      </c>
      <c r="E1540" s="63" t="str">
        <f aca="false">'Onshore - Darwin (NT)'!C72&amp;""</f>
        <v>2 years</v>
      </c>
      <c r="F1540" s="63" t="str">
        <f aca="false">IF('Onshore - Darwin (NT)'!D72="","Belum tercatat",'Onshore - Darwin (NT)'!D72)</f>
        <v>Term</v>
      </c>
      <c r="G1540" s="65" t="n">
        <f aca="false">IF('Onshore - Darwin (NT)'!E72="","-",'Onshore - Darwin (NT)'!E72)</f>
        <v>8714</v>
      </c>
      <c r="H1540" s="63" t="n">
        <f aca="false">IF(ISNUMBER(K1540),COUNTIFS($J$6:$J$1916,J1540,$K$6:$K$1916,"&lt;"&amp;K1540)+1,"-")</f>
        <v>2</v>
      </c>
      <c r="I1540" s="64" t="str">
        <f aca="false">IF('Onshore - Darwin (NT)'!E72="","Harga belum tersedia - hubungi konsultan TEG",IF(M1540=2,"Saat ini tidak menerima pendaftaran siswa internasional baru",IF(M1540=1,"Harga perlu dikonfirmasi ke sekolah"&amp;IF(""="","","; "&amp;""),"")))</f>
        <v/>
      </c>
      <c r="J1540" s="0" t="s">
        <v>4411</v>
      </c>
      <c r="K1540" s="0" t="n">
        <f aca="false">IF(M1540=2,"",IF(ISNUMBER(SEARCH("rata-rata:",'Onshore - Darwin (NT)'!M72)),VALUE(MID('Onshore - Darwin (NT)'!M72,SEARCH("rata-rata:",'Onshore - Darwin (NT)'!M72)+11,FIND(";",'Onshore - Darwin (NT)'!M72&amp;";",SEARCH("rata-rata:",'Onshore - Darwin (NT)'!M72))-SEARCH("rata-rata:",'Onshore - Darwin (NT)'!M72)-11)),IF('Onshore - Darwin (NT)'!D72="Semester",'Onshore - Darwin (NT)'!E72*2,IF('Onshore - Darwin (NT)'!D72="Trimester",'Onshore - Darwin (NT)'!E72*3,IF('Onshore - Darwin (NT)'!D72="Term",'Onshore - Darwin (NT)'!E72*4,IF('Onshore - Darwin (NT)'!D72="Unit",'Onshore - Darwin (NT)'!E72*8,""))))))</f>
        <v>34856</v>
      </c>
      <c r="L1540" s="0" t="n">
        <f aca="false">IF(AND(ISNUMBER('Onshore - Darwin (NT)'!E72),ISNUMBER(K1540),ISNUMBER('Onshore - Darwin (NT)'!F72),ISNUMBER('Onshore - Darwin (NT)'!G72),OR('Onshore - Darwin (NT)'!F72&lt;&gt;0,ISNUMBER(SEARCH("Material 0 terverifikasi",'Onshore - Darwin (NT)'!M72))),OR('Onshore - Darwin (NT)'!G72&lt;&gt;0,ISNUMBER(SEARCH("Enrolment 0 terverifikasi",'Onshore - Darwin (NT)'!M72)))),1,0)</f>
        <v>0</v>
      </c>
      <c r="M1540" s="0" t="n">
        <f aca="false">IF(OR('Onshore - Darwin (NT)'!E72="",ISNUMBER(SEARCH("BSB80120",'Onshore - Darwin (NT)'!B72&amp;'Onshore - Darwin (NT)'!M72)),ISNUMBER(SEARCH("Management (Learning)",'Onshore - Darwin (NT)'!B72))),2,IF(ISNUMBER(SEARCH("CEK:",'Onshore - Darwin (NT)'!M72)),1,0))</f>
        <v>0</v>
      </c>
    </row>
    <row r="1541" customFormat="false" ht="15" hidden="false" customHeight="false" outlineLevel="0" collapsed="false">
      <c r="A1541" s="61" t="s">
        <v>4412</v>
      </c>
      <c r="B1541" s="62"/>
      <c r="C1541" s="62"/>
      <c r="D1541" s="62"/>
      <c r="E1541" s="62"/>
      <c r="F1541" s="62"/>
      <c r="G1541" s="62"/>
      <c r="H1541" s="62"/>
      <c r="I1541" s="62"/>
    </row>
    <row r="1542" customFormat="false" ht="15" hidden="false" customHeight="false" outlineLevel="0" collapsed="false">
      <c r="A1542" s="63" t="s">
        <v>3583</v>
      </c>
      <c r="B1542" s="64" t="s">
        <v>4374</v>
      </c>
      <c r="C1542" s="63" t="s">
        <v>43</v>
      </c>
      <c r="D1542" s="64" t="str">
        <f aca="false">TRIM(LEFT('Onshore - Darwin (NT)'!A20,FIND(CHAR(10),'Onshore - Darwin (NT)'!A20&amp;CHAR(10))-1))</f>
        <v>Charles Darwin University (CDU)</v>
      </c>
      <c r="E1542" s="63" t="str">
        <f aca="false">'Onshore - Darwin (NT)'!C120&amp;""</f>
        <v>3 years</v>
      </c>
      <c r="F1542" s="63" t="str">
        <f aca="false">IF('Onshore - Darwin (NT)'!D120="","Belum tercatat",'Onshore - Darwin (NT)'!D120)</f>
        <v>Term</v>
      </c>
      <c r="G1542" s="65" t="n">
        <f aca="false">IF('Onshore - Darwin (NT)'!E120="","-",'Onshore - Darwin (NT)'!E120)</f>
        <v>8714</v>
      </c>
      <c r="H1542" s="63" t="n">
        <f aca="false">IF(ISNUMBER(K1542),COUNTIFS($J$6:$J$1916,J1542,$K$6:$K$1916,"&lt;"&amp;K1542)+1,"-")</f>
        <v>1</v>
      </c>
      <c r="I1542" s="64" t="str">
        <f aca="false">IF('Onshore - Darwin (NT)'!E120="","Harga belum tersedia - hubungi konsultan TEG",IF(M1542=2,"Saat ini tidak menerima pendaftaran siswa internasional baru",IF(M1542=1,"Harga perlu dikonfirmasi ke sekolah"&amp;IF(""="","","; "&amp;""),"")))</f>
        <v/>
      </c>
      <c r="J1542" s="0" t="s">
        <v>4413</v>
      </c>
      <c r="K1542" s="0" t="n">
        <f aca="false">IF(M1542=2,"",IF(ISNUMBER(SEARCH("rata-rata:",'Onshore - Darwin (NT)'!M120)),VALUE(MID('Onshore - Darwin (NT)'!M120,SEARCH("rata-rata:",'Onshore - Darwin (NT)'!M120)+11,FIND(";",'Onshore - Darwin (NT)'!M120&amp;";",SEARCH("rata-rata:",'Onshore - Darwin (NT)'!M120))-SEARCH("rata-rata:",'Onshore - Darwin (NT)'!M120)-11)),IF('Onshore - Darwin (NT)'!D120="Semester",'Onshore - Darwin (NT)'!E120*2,IF('Onshore - Darwin (NT)'!D120="Trimester",'Onshore - Darwin (NT)'!E120*3,IF('Onshore - Darwin (NT)'!D120="Term",'Onshore - Darwin (NT)'!E120*4,IF('Onshore - Darwin (NT)'!D120="Unit",'Onshore - Darwin (NT)'!E120*8,""))))))</f>
        <v>34856</v>
      </c>
      <c r="L1542" s="0" t="n">
        <f aca="false">IF(AND(ISNUMBER('Onshore - Darwin (NT)'!E120),ISNUMBER(K1542),ISNUMBER('Onshore - Darwin (NT)'!F120),ISNUMBER('Onshore - Darwin (NT)'!G120),OR('Onshore - Darwin (NT)'!F120&lt;&gt;0,ISNUMBER(SEARCH("Material 0 terverifikasi",'Onshore - Darwin (NT)'!M120))),OR('Onshore - Darwin (NT)'!G120&lt;&gt;0,ISNUMBER(SEARCH("Enrolment 0 terverifikasi",'Onshore - Darwin (NT)'!M120)))),1,0)</f>
        <v>0</v>
      </c>
      <c r="M1542" s="0" t="n">
        <f aca="false">IF(OR('Onshore - Darwin (NT)'!E120="",ISNUMBER(SEARCH("BSB80120",'Onshore - Darwin (NT)'!B120&amp;'Onshore - Darwin (NT)'!M120)),ISNUMBER(SEARCH("Management (Learning)",'Onshore - Darwin (NT)'!B120))),2,IF(ISNUMBER(SEARCH("CEK:",'Onshore - Darwin (NT)'!M120)),1,0))</f>
        <v>0</v>
      </c>
    </row>
    <row r="1543" customFormat="false" ht="15" hidden="false" customHeight="false" outlineLevel="0" collapsed="false">
      <c r="A1543" s="61" t="s">
        <v>4414</v>
      </c>
      <c r="B1543" s="62"/>
      <c r="C1543" s="62"/>
      <c r="D1543" s="62"/>
      <c r="E1543" s="62"/>
      <c r="F1543" s="62"/>
      <c r="G1543" s="62"/>
      <c r="H1543" s="62"/>
      <c r="I1543" s="62"/>
    </row>
    <row r="1544" customFormat="false" ht="15" hidden="false" customHeight="false" outlineLevel="0" collapsed="false">
      <c r="A1544" s="63" t="s">
        <v>3583</v>
      </c>
      <c r="B1544" s="64" t="s">
        <v>4374</v>
      </c>
      <c r="C1544" s="63" t="s">
        <v>46</v>
      </c>
      <c r="D1544" s="64" t="str">
        <f aca="false">TRIM(LEFT('Onshore - Darwin (NT)'!A20,FIND(CHAR(10),'Onshore - Darwin (NT)'!A20&amp;CHAR(10))-1))</f>
        <v>Charles Darwin University (CDU)</v>
      </c>
      <c r="E1544" s="63" t="str">
        <f aca="false">'Onshore - Darwin (NT)'!C123&amp;""</f>
        <v>2 years</v>
      </c>
      <c r="F1544" s="63" t="str">
        <f aca="false">IF('Onshore - Darwin (NT)'!D123="","Belum tercatat",'Onshore - Darwin (NT)'!D123)</f>
        <v>Term</v>
      </c>
      <c r="G1544" s="65" t="n">
        <f aca="false">IF('Onshore - Darwin (NT)'!E123="","-",'Onshore - Darwin (NT)'!E123)</f>
        <v>9110</v>
      </c>
      <c r="H1544" s="63" t="n">
        <f aca="false">IF(ISNUMBER(K1544),COUNTIFS($J$6:$J$1916,J1544,$K$6:$K$1916,"&lt;"&amp;K1544)+1,"-")</f>
        <v>1</v>
      </c>
      <c r="I1544" s="64" t="str">
        <f aca="false">IF('Onshore - Darwin (NT)'!E123="","Harga belum tersedia - hubungi konsultan TEG",IF(M1544=2,"Saat ini tidak menerima pendaftaran siswa internasional baru",IF(M1544=1,"Harga perlu dikonfirmasi ke sekolah"&amp;IF(""="","","; "&amp;""),"")))</f>
        <v/>
      </c>
      <c r="J1544" s="0" t="s">
        <v>4415</v>
      </c>
      <c r="K1544" s="0" t="n">
        <f aca="false">IF(M1544=2,"",IF(ISNUMBER(SEARCH("rata-rata:",'Onshore - Darwin (NT)'!M123)),VALUE(MID('Onshore - Darwin (NT)'!M123,SEARCH("rata-rata:",'Onshore - Darwin (NT)'!M123)+11,FIND(";",'Onshore - Darwin (NT)'!M123&amp;";",SEARCH("rata-rata:",'Onshore - Darwin (NT)'!M123))-SEARCH("rata-rata:",'Onshore - Darwin (NT)'!M123)-11)),IF('Onshore - Darwin (NT)'!D123="Semester",'Onshore - Darwin (NT)'!E123*2,IF('Onshore - Darwin (NT)'!D123="Trimester",'Onshore - Darwin (NT)'!E123*3,IF('Onshore - Darwin (NT)'!D123="Term",'Onshore - Darwin (NT)'!E123*4,IF('Onshore - Darwin (NT)'!D123="Unit",'Onshore - Darwin (NT)'!E123*8,""))))))</f>
        <v>36440</v>
      </c>
      <c r="L1544" s="0" t="n">
        <f aca="false">IF(AND(ISNUMBER('Onshore - Darwin (NT)'!E123),ISNUMBER(K1544),ISNUMBER('Onshore - Darwin (NT)'!F123),ISNUMBER('Onshore - Darwin (NT)'!G123),OR('Onshore - Darwin (NT)'!F123&lt;&gt;0,ISNUMBER(SEARCH("Material 0 terverifikasi",'Onshore - Darwin (NT)'!M123))),OR('Onshore - Darwin (NT)'!G123&lt;&gt;0,ISNUMBER(SEARCH("Enrolment 0 terverifikasi",'Onshore - Darwin (NT)'!M123)))),1,0)</f>
        <v>0</v>
      </c>
      <c r="M1544" s="0" t="n">
        <f aca="false">IF(OR('Onshore - Darwin (NT)'!E123="",ISNUMBER(SEARCH("BSB80120",'Onshore - Darwin (NT)'!B123&amp;'Onshore - Darwin (NT)'!M123)),ISNUMBER(SEARCH("Management (Learning)",'Onshore - Darwin (NT)'!B123))),2,IF(ISNUMBER(SEARCH("CEK:",'Onshore - Darwin (NT)'!M123)),1,0))</f>
        <v>0</v>
      </c>
    </row>
    <row r="1545" customFormat="false" ht="15" hidden="false" customHeight="false" outlineLevel="0" collapsed="false">
      <c r="A1545" s="61" t="s">
        <v>4416</v>
      </c>
      <c r="B1545" s="62"/>
      <c r="C1545" s="62"/>
      <c r="D1545" s="62"/>
      <c r="E1545" s="62"/>
      <c r="F1545" s="62"/>
      <c r="G1545" s="62"/>
      <c r="H1545" s="62"/>
      <c r="I1545" s="62"/>
    </row>
    <row r="1546" customFormat="false" ht="28.35" hidden="false" customHeight="false" outlineLevel="0" collapsed="false">
      <c r="A1546" s="63" t="s">
        <v>3544</v>
      </c>
      <c r="B1546" s="64" t="s">
        <v>4374</v>
      </c>
      <c r="C1546" s="63" t="s">
        <v>41</v>
      </c>
      <c r="D1546" s="64" t="str">
        <f aca="false">TRIM(LEFT('Onshore- Melbourne'!A53,FIND(CHAR(10),'Onshore- Melbourne'!A53&amp;CHAR(10))-1))</f>
        <v>Albright Institute of Business and Language (AIBL)</v>
      </c>
      <c r="E1546" s="63" t="str">
        <f aca="false">'Onshore- Melbourne'!C59&amp;""</f>
        <v>2 years</v>
      </c>
      <c r="F1546" s="63" t="str">
        <f aca="false">IF('Onshore- Melbourne'!D59="","Belum tercatat",'Onshore- Melbourne'!D59)</f>
        <v>Term</v>
      </c>
      <c r="G1546" s="65" t="n">
        <f aca="false">IF('Onshore- Melbourne'!E59="","-",'Onshore- Melbourne'!E59)</f>
        <v>1250</v>
      </c>
      <c r="H1546" s="63" t="n">
        <f aca="false">IF(ISNUMBER(K1546),COUNTIFS($J$6:$J$1916,J1546,$K$6:$K$1916,"&lt;"&amp;K1546)+1,"-")</f>
        <v>1</v>
      </c>
      <c r="I1546" s="64" t="str">
        <f aca="false">IF('Onshore- Melbourne'!E59="","Harga belum tersedia - hubungi konsultan TEG",IF(M1546=2,"Saat ini tidak menerima pendaftaran siswa internasional baru",IF(M1546=1,"Harga perlu dikonfirmasi ke sekolah"&amp;IF(""="","","; "&amp;""),"")))</f>
        <v/>
      </c>
      <c r="J1546" s="0" t="s">
        <v>4417</v>
      </c>
      <c r="K1546" s="0" t="n">
        <f aca="false">IF(M1546=2,"",IF(ISNUMBER(SEARCH("rata-rata:",'Onshore- Melbourne'!M59)),VALUE(MID('Onshore- Melbourne'!M59,SEARCH("rata-rata:",'Onshore- Melbourne'!M59)+11,FIND(";",'Onshore- Melbourne'!M59&amp;";",SEARCH("rata-rata:",'Onshore- Melbourne'!M59))-SEARCH("rata-rata:",'Onshore- Melbourne'!M59)-11)),IF('Onshore- Melbourne'!D59="Semester",'Onshore- Melbourne'!E59*2,IF('Onshore- Melbourne'!D59="Trimester",'Onshore- Melbourne'!E59*3,IF('Onshore- Melbourne'!D59="Term",'Onshore- Melbourne'!E59*4,IF('Onshore- Melbourne'!D59="Unit",'Onshore- Melbourne'!E59*8,""))))))</f>
        <v>5000</v>
      </c>
      <c r="L1546" s="0" t="n">
        <f aca="false">IF(AND(ISNUMBER('Onshore- Melbourne'!E59),ISNUMBER(K1546),ISNUMBER('Onshore- Melbourne'!F59),ISNUMBER('Onshore- Melbourne'!G59),OR('Onshore- Melbourne'!F59&lt;&gt;0,ISNUMBER(SEARCH("Material 0 terverifikasi",'Onshore- Melbourne'!M59))),OR('Onshore- Melbourne'!G59&lt;&gt;0,ISNUMBER(SEARCH("Enrolment 0 terverifikasi",'Onshore- Melbourne'!M59)))),1,0)</f>
        <v>1</v>
      </c>
      <c r="M1546" s="0" t="n">
        <f aca="false">IF(OR('Onshore- Melbourne'!E59="",ISNUMBER(SEARCH("BSB80120",'Onshore- Melbourne'!B59&amp;'Onshore- Melbourne'!M59)),ISNUMBER(SEARCH("Management (Learning)",'Onshore- Melbourne'!B59))),2,IF(ISNUMBER(SEARCH("CEK:",'Onshore- Melbourne'!M59)),1,0))</f>
        <v>0</v>
      </c>
    </row>
    <row r="1547" customFormat="false" ht="15" hidden="false" customHeight="false" outlineLevel="0" collapsed="false">
      <c r="A1547" s="63" t="s">
        <v>3544</v>
      </c>
      <c r="B1547" s="64" t="s">
        <v>4374</v>
      </c>
      <c r="C1547" s="63" t="s">
        <v>41</v>
      </c>
      <c r="D1547" s="64" t="str">
        <f aca="false">TRIM(LEFT('Onshore- Melbourne'!A252,FIND(CHAR(10),'Onshore- Melbourne'!A252&amp;CHAR(10))-1))</f>
        <v>Collins Academy</v>
      </c>
      <c r="E1547" s="63" t="str">
        <f aca="false">'Onshore- Melbourne'!C253&amp;""</f>
        <v>1,5 years</v>
      </c>
      <c r="F1547" s="63" t="str">
        <f aca="false">IF('Onshore- Melbourne'!D253="","Belum tercatat",'Onshore- Melbourne'!D253)</f>
        <v>Term</v>
      </c>
      <c r="G1547" s="65" t="n">
        <f aca="false">IF('Onshore- Melbourne'!E253="","-",'Onshore- Melbourne'!E253)</f>
        <v>1700</v>
      </c>
      <c r="H1547" s="63" t="n">
        <f aca="false">IF(ISNUMBER(K1547),COUNTIFS($J$6:$J$1916,J1547,$K$6:$K$1916,"&lt;"&amp;K1547)+1,"-")</f>
        <v>2</v>
      </c>
      <c r="I1547" s="64" t="str">
        <f aca="false">IF('Onshore- Melbourne'!E253="","Harga belum tersedia - hubungi konsultan TEG",IF(M1547=2,"Saat ini tidak menerima pendaftaran siswa internasional baru",IF(M1547=1,"Harga perlu dikonfirmasi ke sekolah"&amp;IF(""="","","; "&amp;""),"")))</f>
        <v>Harga perlu dikonfirmasi ke sekolah</v>
      </c>
      <c r="J1547" s="0" t="s">
        <v>4417</v>
      </c>
      <c r="K1547" s="0" t="n">
        <f aca="false">IF(M1547=2,"",IF(ISNUMBER(SEARCH("rata-rata:",'Onshore- Melbourne'!M253)),VALUE(MID('Onshore- Melbourne'!M253,SEARCH("rata-rata:",'Onshore- Melbourne'!M253)+11,FIND(";",'Onshore- Melbourne'!M253&amp;";",SEARCH("rata-rata:",'Onshore- Melbourne'!M253))-SEARCH("rata-rata:",'Onshore- Melbourne'!M253)-11)),IF('Onshore- Melbourne'!D253="Semester",'Onshore- Melbourne'!E253*2,IF('Onshore- Melbourne'!D253="Trimester",'Onshore- Melbourne'!E253*3,IF('Onshore- Melbourne'!D253="Term",'Onshore- Melbourne'!E253*4,IF('Onshore- Melbourne'!D253="Unit",'Onshore- Melbourne'!E253*8,""))))))</f>
        <v>6800</v>
      </c>
      <c r="L1547" s="0" t="n">
        <f aca="false">IF(AND(ISNUMBER('Onshore- Melbourne'!E253),ISNUMBER(K1547),ISNUMBER('Onshore- Melbourne'!F253),ISNUMBER('Onshore- Melbourne'!G253),OR('Onshore- Melbourne'!F253&lt;&gt;0,ISNUMBER(SEARCH("Material 0 terverifikasi",'Onshore- Melbourne'!M253))),OR('Onshore- Melbourne'!G253&lt;&gt;0,ISNUMBER(SEARCH("Enrolment 0 terverifikasi",'Onshore- Melbourne'!M253)))),1,0)</f>
        <v>1</v>
      </c>
      <c r="M1547" s="0" t="n">
        <f aca="false">IF(OR('Onshore- Melbourne'!E253="",ISNUMBER(SEARCH("BSB80120",'Onshore- Melbourne'!B253&amp;'Onshore- Melbourne'!M253)),ISNUMBER(SEARCH("Management (Learning)",'Onshore- Melbourne'!B253))),2,IF(ISNUMBER(SEARCH("CEK:",'Onshore- Melbourne'!M253)),1,0))</f>
        <v>1</v>
      </c>
    </row>
    <row r="1548" customFormat="false" ht="28.35" hidden="false" customHeight="false" outlineLevel="0" collapsed="false">
      <c r="A1548" s="63" t="s">
        <v>3544</v>
      </c>
      <c r="B1548" s="64" t="s">
        <v>4374</v>
      </c>
      <c r="C1548" s="63" t="s">
        <v>41</v>
      </c>
      <c r="D1548" s="64" t="str">
        <f aca="false">TRIM(LEFT('Onshore- Melbourne'!A208,FIND(CHAR(10),'Onshore- Melbourne'!A208&amp;CHAR(10))-1))</f>
        <v>Australian Institute of Digital Technology (AIDT)</v>
      </c>
      <c r="E1548" s="63" t="str">
        <f aca="false">'Onshore- Melbourne'!C208&amp;""</f>
        <v>1,5 years</v>
      </c>
      <c r="F1548" s="63" t="str">
        <f aca="false">IF('Onshore- Melbourne'!D208="","Belum tercatat",'Onshore- Melbourne'!D208)</f>
        <v>Term</v>
      </c>
      <c r="G1548" s="65" t="n">
        <f aca="false">IF('Onshore- Melbourne'!E208="","-",'Onshore- Melbourne'!E208)</f>
        <v>2200</v>
      </c>
      <c r="H1548" s="63" t="n">
        <f aca="false">IF(ISNUMBER(K1548),COUNTIFS($J$6:$J$1916,J1548,$K$6:$K$1916,"&lt;"&amp;K1548)+1,"-")</f>
        <v>3</v>
      </c>
      <c r="I1548" s="64" t="str">
        <f aca="false">IF('Onshore- Melbourne'!E208="","Harga belum tersedia - hubungi konsultan TEG",IF(M1548=2,"Saat ini tidak menerima pendaftaran siswa internasional baru",IF(M1548=1,"Harga perlu dikonfirmasi ke sekolah"&amp;IF(""="","","; "&amp;""),"")))</f>
        <v/>
      </c>
      <c r="J1548" s="0" t="s">
        <v>4417</v>
      </c>
      <c r="K1548" s="0" t="n">
        <f aca="false">IF(M1548=2,"",IF(ISNUMBER(SEARCH("rata-rata:",'Onshore- Melbourne'!M208)),VALUE(MID('Onshore- Melbourne'!M208,SEARCH("rata-rata:",'Onshore- Melbourne'!M208)+11,FIND(";",'Onshore- Melbourne'!M208&amp;";",SEARCH("rata-rata:",'Onshore- Melbourne'!M208))-SEARCH("rata-rata:",'Onshore- Melbourne'!M208)-11)),IF('Onshore- Melbourne'!D208="Semester",'Onshore- Melbourne'!E208*2,IF('Onshore- Melbourne'!D208="Trimester",'Onshore- Melbourne'!E208*3,IF('Onshore- Melbourne'!D208="Term",'Onshore- Melbourne'!E208*4,IF('Onshore- Melbourne'!D208="Unit",'Onshore- Melbourne'!E208*8,""))))))</f>
        <v>8800</v>
      </c>
      <c r="L1548" s="0" t="n">
        <f aca="false">IF(AND(ISNUMBER('Onshore- Melbourne'!E208),ISNUMBER(K1548),ISNUMBER('Onshore- Melbourne'!F208),ISNUMBER('Onshore- Melbourne'!G208),OR('Onshore- Melbourne'!F208&lt;&gt;0,ISNUMBER(SEARCH("Material 0 terverifikasi",'Onshore- Melbourne'!M208))),OR('Onshore- Melbourne'!G208&lt;&gt;0,ISNUMBER(SEARCH("Enrolment 0 terverifikasi",'Onshore- Melbourne'!M208)))),1,0)</f>
        <v>1</v>
      </c>
      <c r="M1548" s="0" t="n">
        <f aca="false">IF(OR('Onshore- Melbourne'!E208="",ISNUMBER(SEARCH("BSB80120",'Onshore- Melbourne'!B208&amp;'Onshore- Melbourne'!M208)),ISNUMBER(SEARCH("Management (Learning)",'Onshore- Melbourne'!B208))),2,IF(ISNUMBER(SEARCH("CEK:",'Onshore- Melbourne'!M208)),1,0))</f>
        <v>0</v>
      </c>
    </row>
    <row r="1549" customFormat="false" ht="15" hidden="false" customHeight="false" outlineLevel="0" collapsed="false">
      <c r="A1549" s="63" t="s">
        <v>3544</v>
      </c>
      <c r="B1549" s="64" t="s">
        <v>4374</v>
      </c>
      <c r="C1549" s="63" t="s">
        <v>41</v>
      </c>
      <c r="D1549" s="64" t="str">
        <f aca="false">TRIM(LEFT('Onshore- Melbourne'!A77,FIND(CHAR(10),'Onshore- Melbourne'!A77&amp;CHAR(10))-1))</f>
        <v>Asia Pacific International College (APIC)</v>
      </c>
      <c r="E1549" s="63" t="str">
        <f aca="false">'Onshore- Melbourne'!C77&amp;""</f>
        <v>1 year</v>
      </c>
      <c r="F1549" s="63" t="str">
        <f aca="false">IF('Onshore- Melbourne'!D77="","Belum tercatat",'Onshore- Melbourne'!D77)</f>
        <v>Trimester</v>
      </c>
      <c r="G1549" s="65" t="n">
        <f aca="false">IF('Onshore- Melbourne'!E77="","-",'Onshore- Melbourne'!E77)</f>
        <v>3000</v>
      </c>
      <c r="H1549" s="63" t="n">
        <f aca="false">IF(ISNUMBER(K1549),COUNTIFS($J$6:$J$1916,J1549,$K$6:$K$1916,"&lt;"&amp;K1549)+1,"-")</f>
        <v>4</v>
      </c>
      <c r="I1549" s="64" t="str">
        <f aca="false">IF('Onshore- Melbourne'!E77="","Harga belum tersedia - hubungi konsultan TEG",IF(M1549=2,"Saat ini tidak menerima pendaftaran siswa internasional baru",IF(M1549=1,"Harga perlu dikonfirmasi ke sekolah"&amp;IF(""="","","; "&amp;""),"")))</f>
        <v/>
      </c>
      <c r="J1549" s="0" t="s">
        <v>4417</v>
      </c>
      <c r="K1549" s="0" t="n">
        <f aca="false">IF(M1549=2,"",IF(ISNUMBER(SEARCH("rata-rata:",'Onshore- Melbourne'!M77)),VALUE(MID('Onshore- Melbourne'!M77,SEARCH("rata-rata:",'Onshore- Melbourne'!M77)+11,FIND(";",'Onshore- Melbourne'!M77&amp;";",SEARCH("rata-rata:",'Onshore- Melbourne'!M77))-SEARCH("rata-rata:",'Onshore- Melbourne'!M77)-11)),IF('Onshore- Melbourne'!D77="Semester",'Onshore- Melbourne'!E77*2,IF('Onshore- Melbourne'!D77="Trimester",'Onshore- Melbourne'!E77*3,IF('Onshore- Melbourne'!D77="Term",'Onshore- Melbourne'!E77*4,IF('Onshore- Melbourne'!D77="Unit",'Onshore- Melbourne'!E77*8,""))))))</f>
        <v>9000</v>
      </c>
      <c r="L1549" s="0" t="n">
        <f aca="false">IF(AND(ISNUMBER('Onshore- Melbourne'!E77),ISNUMBER(K1549),ISNUMBER('Onshore- Melbourne'!F77),ISNUMBER('Onshore- Melbourne'!G77),OR('Onshore- Melbourne'!F77&lt;&gt;0,ISNUMBER(SEARCH("Material 0 terverifikasi",'Onshore- Melbourne'!M77))),OR('Onshore- Melbourne'!G77&lt;&gt;0,ISNUMBER(SEARCH("Enrolment 0 terverifikasi",'Onshore- Melbourne'!M77)))),1,0)</f>
        <v>0</v>
      </c>
      <c r="M1549" s="0" t="n">
        <f aca="false">IF(OR('Onshore- Melbourne'!E77="",ISNUMBER(SEARCH("BSB80120",'Onshore- Melbourne'!B77&amp;'Onshore- Melbourne'!M77)),ISNUMBER(SEARCH("Management (Learning)",'Onshore- Melbourne'!B77))),2,IF(ISNUMBER(SEARCH("CEK:",'Onshore- Melbourne'!M77)),1,0))</f>
        <v>0</v>
      </c>
    </row>
    <row r="1550" customFormat="false" ht="15" hidden="false" customHeight="false" outlineLevel="0" collapsed="false">
      <c r="A1550" s="63" t="s">
        <v>3544</v>
      </c>
      <c r="B1550" s="64" t="s">
        <v>4374</v>
      </c>
      <c r="C1550" s="63" t="s">
        <v>41</v>
      </c>
      <c r="D1550" s="64" t="str">
        <f aca="false">TRIM(LEFT('Onshore- Melbourne'!A301,FIND(CHAR(10),'Onshore- Melbourne'!A301&amp;CHAR(10))-1))</f>
        <v>INUS / ZOI (Nuture Education Group)</v>
      </c>
      <c r="E1550" s="63" t="str">
        <f aca="false">'Onshore- Melbourne'!C302&amp;""</f>
        <v>2 years</v>
      </c>
      <c r="F1550" s="63" t="str">
        <f aca="false">IF('Onshore- Melbourne'!D302="","Belum tercatat",'Onshore- Melbourne'!D302)</f>
        <v>Term</v>
      </c>
      <c r="G1550" s="65" t="n">
        <f aca="false">IF('Onshore- Melbourne'!E302="","-",'Onshore- Melbourne'!E302)</f>
        <v>2250</v>
      </c>
      <c r="H1550" s="63" t="n">
        <f aca="false">IF(ISNUMBER(K1550),COUNTIFS($J$6:$J$1916,J1550,$K$6:$K$1916,"&lt;"&amp;K1550)+1,"-")</f>
        <v>4</v>
      </c>
      <c r="I1550" s="64" t="str">
        <f aca="false">IF('Onshore- Melbourne'!E302="","Harga belum tersedia - hubungi konsultan TEG",IF(M1550=2,"Saat ini tidak menerima pendaftaran siswa internasional baru",IF(M1550=1,"Harga perlu dikonfirmasi ke sekolah"&amp;IF(""="","","; "&amp;""),"")))</f>
        <v>Harga perlu dikonfirmasi ke sekolah</v>
      </c>
      <c r="J1550" s="0" t="s">
        <v>4417</v>
      </c>
      <c r="K1550" s="0" t="n">
        <f aca="false">IF(M1550=2,"",IF(ISNUMBER(SEARCH("rata-rata:",'Onshore- Melbourne'!M302)),VALUE(MID('Onshore- Melbourne'!M302,SEARCH("rata-rata:",'Onshore- Melbourne'!M302)+11,FIND(";",'Onshore- Melbourne'!M302&amp;";",SEARCH("rata-rata:",'Onshore- Melbourne'!M302))-SEARCH("rata-rata:",'Onshore- Melbourne'!M302)-11)),IF('Onshore- Melbourne'!D302="Semester",'Onshore- Melbourne'!E302*2,IF('Onshore- Melbourne'!D302="Trimester",'Onshore- Melbourne'!E302*3,IF('Onshore- Melbourne'!D302="Term",'Onshore- Melbourne'!E302*4,IF('Onshore- Melbourne'!D302="Unit",'Onshore- Melbourne'!E302*8,""))))))</f>
        <v>9000</v>
      </c>
      <c r="L1550" s="0" t="n">
        <f aca="false">IF(AND(ISNUMBER('Onshore- Melbourne'!E302),ISNUMBER(K1550),ISNUMBER('Onshore- Melbourne'!F302),ISNUMBER('Onshore- Melbourne'!G302),OR('Onshore- Melbourne'!F302&lt;&gt;0,ISNUMBER(SEARCH("Material 0 terverifikasi",'Onshore- Melbourne'!M302))),OR('Onshore- Melbourne'!G302&lt;&gt;0,ISNUMBER(SEARCH("Enrolment 0 terverifikasi",'Onshore- Melbourne'!M302)))),1,0)</f>
        <v>1</v>
      </c>
      <c r="M1550" s="0" t="n">
        <f aca="false">IF(OR('Onshore- Melbourne'!E302="",ISNUMBER(SEARCH("BSB80120",'Onshore- Melbourne'!B302&amp;'Onshore- Melbourne'!M302)),ISNUMBER(SEARCH("Management (Learning)",'Onshore- Melbourne'!B302))),2,IF(ISNUMBER(SEARCH("CEK:",'Onshore- Melbourne'!M302)),1,0))</f>
        <v>1</v>
      </c>
    </row>
    <row r="1551" customFormat="false" ht="15" hidden="false" customHeight="false" outlineLevel="0" collapsed="false">
      <c r="A1551" s="63" t="s">
        <v>3544</v>
      </c>
      <c r="B1551" s="64" t="s">
        <v>4374</v>
      </c>
      <c r="C1551" s="63" t="s">
        <v>41</v>
      </c>
      <c r="D1551" s="64" t="str">
        <f aca="false">TRIM(LEFT('Onshore- Melbourne'!A18,FIND(CHAR(10),'Onshore- Melbourne'!A18&amp;CHAR(10))-1))</f>
        <v>Academy of Interactive Technology (AIT)</v>
      </c>
      <c r="E1551" s="63" t="str">
        <f aca="false">'Onshore- Melbourne'!C27&amp;""</f>
        <v>1 year</v>
      </c>
      <c r="F1551" s="63" t="str">
        <f aca="false">IF('Onshore- Melbourne'!D27="","Belum tercatat",'Onshore- Melbourne'!D27)</f>
        <v>Term</v>
      </c>
      <c r="G1551" s="65" t="n">
        <f aca="false">IF('Onshore- Melbourne'!E27="","-",'Onshore- Melbourne'!E27)</f>
        <v>5750</v>
      </c>
      <c r="H1551" s="63" t="n">
        <f aca="false">IF(ISNUMBER(K1551),COUNTIFS($J$6:$J$1916,J1551,$K$6:$K$1916,"&lt;"&amp;K1551)+1,"-")</f>
        <v>6</v>
      </c>
      <c r="I1551" s="64" t="str">
        <f aca="false">IF('Onshore- Melbourne'!E27="","Harga belum tersedia - hubungi konsultan TEG",IF(M1551=2,"Saat ini tidak menerima pendaftaran siswa internasional baru",IF(M1551=1,"Program perlu dikonfirmasi ketersediaannya"&amp;IF(""="","","; "&amp;""),"")))</f>
        <v>Program perlu dikonfirmasi ketersediaannya</v>
      </c>
      <c r="J1551" s="0" t="s">
        <v>4417</v>
      </c>
      <c r="K1551" s="0" t="n">
        <f aca="false">IF(M1551=2,"",IF(ISNUMBER(SEARCH("rata-rata:",'Onshore- Melbourne'!M27)),VALUE(MID('Onshore- Melbourne'!M27,SEARCH("rata-rata:",'Onshore- Melbourne'!M27)+11,FIND(";",'Onshore- Melbourne'!M27&amp;";",SEARCH("rata-rata:",'Onshore- Melbourne'!M27))-SEARCH("rata-rata:",'Onshore- Melbourne'!M27)-11)),IF('Onshore- Melbourne'!D27="Semester",'Onshore- Melbourne'!E27*2,IF('Onshore- Melbourne'!D27="Trimester",'Onshore- Melbourne'!E27*3,IF('Onshore- Melbourne'!D27="Term",'Onshore- Melbourne'!E27*4,IF('Onshore- Melbourne'!D27="Unit",'Onshore- Melbourne'!E27*8,""))))))</f>
        <v>23000</v>
      </c>
      <c r="L1551" s="0" t="n">
        <f aca="false">IF(AND(ISNUMBER('Onshore- Melbourne'!E27),ISNUMBER(K1551),ISNUMBER('Onshore- Melbourne'!F27),ISNUMBER('Onshore- Melbourne'!G27),OR('Onshore- Melbourne'!F27&lt;&gt;0,ISNUMBER(SEARCH("Material 0 terverifikasi",'Onshore- Melbourne'!M27))),OR('Onshore- Melbourne'!G27&lt;&gt;0,ISNUMBER(SEARCH("Enrolment 0 terverifikasi",'Onshore- Melbourne'!M27)))),1,0)</f>
        <v>0</v>
      </c>
      <c r="M1551" s="0" t="n">
        <f aca="false">IF(OR('Onshore- Melbourne'!E27="",ISNUMBER(SEARCH("BSB80120",'Onshore- Melbourne'!B27&amp;'Onshore- Melbourne'!M27)),ISNUMBER(SEARCH("Management (Learning)",'Onshore- Melbourne'!B27))),2,IF(ISNUMBER(SEARCH("CEK:",'Onshore- Melbourne'!M27)),1,0))</f>
        <v>1</v>
      </c>
    </row>
    <row r="1552" customFormat="false" ht="15" hidden="false" customHeight="false" outlineLevel="0" collapsed="false">
      <c r="A1552" s="63" t="s">
        <v>3544</v>
      </c>
      <c r="B1552" s="64" t="s">
        <v>4374</v>
      </c>
      <c r="C1552" s="63" t="s">
        <v>41</v>
      </c>
      <c r="D1552" s="64" t="str">
        <f aca="false">TRIM(LEFT('Onshore- Melbourne'!A461,FIND(CHAR(10),'Onshore- Melbourne'!A461&amp;CHAR(10))-1))</f>
        <v>Torrens University Australia</v>
      </c>
      <c r="E1552" s="63" t="str">
        <f aca="false">'Onshore- Melbourne'!C510&amp;""</f>
        <v>1 year</v>
      </c>
      <c r="F1552" s="63" t="str">
        <f aca="false">IF('Onshore- Melbourne'!D510="","Belum tercatat",'Onshore- Melbourne'!D510)</f>
        <v>Term</v>
      </c>
      <c r="G1552" s="65" t="n">
        <f aca="false">IF('Onshore- Melbourne'!E510="","-",'Onshore- Melbourne'!E510)</f>
        <v>7900</v>
      </c>
      <c r="H1552" s="63" t="n">
        <f aca="false">IF(ISNUMBER(K1552),COUNTIFS($J$6:$J$1916,J1552,$K$6:$K$1916,"&lt;"&amp;K1552)+1,"-")</f>
        <v>7</v>
      </c>
      <c r="I1552" s="64" t="str">
        <f aca="false">IF('Onshore- Melbourne'!E510="","Harga belum tersedia - hubungi konsultan TEG",IF(M1552=2,"Saat ini tidak menerima pendaftaran siswa internasional baru",IF(M1552=1,"Harga perlu dikonfirmasi ke sekolah"&amp;IF(""="","","; "&amp;""),"")))</f>
        <v/>
      </c>
      <c r="J1552" s="0" t="s">
        <v>4417</v>
      </c>
      <c r="K1552" s="0" t="n">
        <f aca="false">IF(M1552=2,"",IF(ISNUMBER(SEARCH("rata-rata:",'Onshore- Melbourne'!M510)),VALUE(MID('Onshore- Melbourne'!M510,SEARCH("rata-rata:",'Onshore- Melbourne'!M510)+11,FIND(";",'Onshore- Melbourne'!M510&amp;";",SEARCH("rata-rata:",'Onshore- Melbourne'!M510))-SEARCH("rata-rata:",'Onshore- Melbourne'!M510)-11)),IF('Onshore- Melbourne'!D510="Semester",'Onshore- Melbourne'!E510*2,IF('Onshore- Melbourne'!D510="Trimester",'Onshore- Melbourne'!E510*3,IF('Onshore- Melbourne'!D510="Term",'Onshore- Melbourne'!E510*4,IF('Onshore- Melbourne'!D510="Unit",'Onshore- Melbourne'!E510*8,""))))))</f>
        <v>31600</v>
      </c>
      <c r="L1552" s="0" t="n">
        <f aca="false">IF(AND(ISNUMBER('Onshore- Melbourne'!E510),ISNUMBER(K1552),ISNUMBER('Onshore- Melbourne'!F510),ISNUMBER('Onshore- Melbourne'!G510),OR('Onshore- Melbourne'!F510&lt;&gt;0,ISNUMBER(SEARCH("Material 0 terverifikasi",'Onshore- Melbourne'!M510))),OR('Onshore- Melbourne'!G510&lt;&gt;0,ISNUMBER(SEARCH("Enrolment 0 terverifikasi",'Onshore- Melbourne'!M510)))),1,0)</f>
        <v>0</v>
      </c>
      <c r="M1552" s="0" t="n">
        <f aca="false">IF(OR('Onshore- Melbourne'!E510="",ISNUMBER(SEARCH("BSB80120",'Onshore- Melbourne'!B510&amp;'Onshore- Melbourne'!M510)),ISNUMBER(SEARCH("Management (Learning)",'Onshore- Melbourne'!B510))),2,IF(ISNUMBER(SEARCH("CEK:",'Onshore- Melbourne'!M510)),1,0))</f>
        <v>0</v>
      </c>
    </row>
    <row r="1553" customFormat="false" ht="15" hidden="false" customHeight="false" outlineLevel="0" collapsed="false">
      <c r="A1553" s="63" t="s">
        <v>3544</v>
      </c>
      <c r="B1553" s="64" t="s">
        <v>4374</v>
      </c>
      <c r="C1553" s="63" t="s">
        <v>41</v>
      </c>
      <c r="D1553" s="64" t="str">
        <f aca="false">TRIM(LEFT('Onshore- Melbourne'!A94,FIND(CHAR(10),'Onshore- Melbourne'!A94&amp;CHAR(10))-1))</f>
        <v>Australian Catholic University (ACU)</v>
      </c>
      <c r="E1553" s="63" t="str">
        <f aca="false">'Onshore- Melbourne'!C192&amp;""</f>
        <v>1 year</v>
      </c>
      <c r="F1553" s="63" t="str">
        <f aca="false">IF('Onshore- Melbourne'!D192="","Belum tercatat",'Onshore- Melbourne'!D192)</f>
        <v>Term</v>
      </c>
      <c r="G1553" s="65" t="n">
        <f aca="false">IF('Onshore- Melbourne'!E192="","-",'Onshore- Melbourne'!E192)</f>
        <v>8058</v>
      </c>
      <c r="H1553" s="63" t="n">
        <f aca="false">IF(ISNUMBER(K1553),COUNTIFS($J$6:$J$1916,J1553,$K$6:$K$1916,"&lt;"&amp;K1553)+1,"-")</f>
        <v>8</v>
      </c>
      <c r="I1553" s="64" t="str">
        <f aca="false">IF('Onshore- Melbourne'!E192="","Harga belum tersedia - hubungi konsultan TEG",IF(M1553=2,"Saat ini tidak menerima pendaftaran siswa internasional baru",IF(M1553=1,"Harga perlu dikonfirmasi ke sekolah"&amp;IF(""="","","; "&amp;""),"")))</f>
        <v/>
      </c>
      <c r="J1553" s="0" t="s">
        <v>4417</v>
      </c>
      <c r="K1553" s="0" t="n">
        <f aca="false">IF(M1553=2,"",IF(ISNUMBER(SEARCH("rata-rata:",'Onshore- Melbourne'!M192)),VALUE(MID('Onshore- Melbourne'!M192,SEARCH("rata-rata:",'Onshore- Melbourne'!M192)+11,FIND(";",'Onshore- Melbourne'!M192&amp;";",SEARCH("rata-rata:",'Onshore- Melbourne'!M192))-SEARCH("rata-rata:",'Onshore- Melbourne'!M192)-11)),IF('Onshore- Melbourne'!D192="Semester",'Onshore- Melbourne'!E192*2,IF('Onshore- Melbourne'!D192="Trimester",'Onshore- Melbourne'!E192*3,IF('Onshore- Melbourne'!D192="Term",'Onshore- Melbourne'!E192*4,IF('Onshore- Melbourne'!D192="Unit",'Onshore- Melbourne'!E192*8,""))))))</f>
        <v>32232</v>
      </c>
      <c r="L1553" s="0" t="n">
        <f aca="false">IF(AND(ISNUMBER('Onshore- Melbourne'!E192),ISNUMBER(K1553),ISNUMBER('Onshore- Melbourne'!F192),ISNUMBER('Onshore- Melbourne'!G192),OR('Onshore- Melbourne'!F192&lt;&gt;0,ISNUMBER(SEARCH("Material 0 terverifikasi",'Onshore- Melbourne'!M192))),OR('Onshore- Melbourne'!G192&lt;&gt;0,ISNUMBER(SEARCH("Enrolment 0 terverifikasi",'Onshore- Melbourne'!M192)))),1,0)</f>
        <v>0</v>
      </c>
      <c r="M1553" s="0" t="n">
        <f aca="false">IF(OR('Onshore- Melbourne'!E192="",ISNUMBER(SEARCH("BSB80120",'Onshore- Melbourne'!B192&amp;'Onshore- Melbourne'!M192)),ISNUMBER(SEARCH("Management (Learning)",'Onshore- Melbourne'!B192))),2,IF(ISNUMBER(SEARCH("CEK:",'Onshore- Melbourne'!M192)),1,0))</f>
        <v>0</v>
      </c>
    </row>
    <row r="1554" customFormat="false" ht="15" hidden="false" customHeight="false" outlineLevel="0" collapsed="false">
      <c r="A1554" s="61" t="s">
        <v>4418</v>
      </c>
      <c r="B1554" s="62"/>
      <c r="C1554" s="62"/>
      <c r="D1554" s="62"/>
      <c r="E1554" s="62"/>
      <c r="F1554" s="62"/>
      <c r="G1554" s="62"/>
      <c r="H1554" s="62"/>
      <c r="I1554" s="62"/>
    </row>
    <row r="1555" customFormat="false" ht="28.35" hidden="false" customHeight="false" outlineLevel="0" collapsed="false">
      <c r="A1555" s="63" t="s">
        <v>3544</v>
      </c>
      <c r="B1555" s="64" t="s">
        <v>4374</v>
      </c>
      <c r="C1555" s="63" t="s">
        <v>42</v>
      </c>
      <c r="D1555" s="64" t="str">
        <f aca="false">TRIM(LEFT('Onshore- Melbourne'!A53,FIND(CHAR(10),'Onshore- Melbourne'!A53&amp;CHAR(10))-1))</f>
        <v>Albright Institute of Business and Language (AIBL)</v>
      </c>
      <c r="E1555" s="63" t="str">
        <f aca="false">'Onshore- Melbourne'!C60&amp;""</f>
        <v>2 years</v>
      </c>
      <c r="F1555" s="63" t="str">
        <f aca="false">IF('Onshore- Melbourne'!D60="","Belum tercatat",'Onshore- Melbourne'!D60)</f>
        <v>Term</v>
      </c>
      <c r="G1555" s="65" t="n">
        <f aca="false">IF('Onshore- Melbourne'!E60="","-",'Onshore- Melbourne'!E60)</f>
        <v>1250</v>
      </c>
      <c r="H1555" s="63" t="n">
        <f aca="false">IF(ISNUMBER(K1555),COUNTIFS($J$6:$J$1916,J1555,$K$6:$K$1916,"&lt;"&amp;K1555)+1,"-")</f>
        <v>1</v>
      </c>
      <c r="I1555" s="64" t="str">
        <f aca="false">IF('Onshore- Melbourne'!E60="","Harga belum tersedia - hubungi konsultan TEG",IF(M1555=2,"Saat ini tidak menerima pendaftaran siswa internasional baru",IF(M1555=1,"Harga perlu dikonfirmasi ke sekolah"&amp;IF(""="","","; "&amp;""),"")))</f>
        <v/>
      </c>
      <c r="J1555" s="0" t="s">
        <v>4419</v>
      </c>
      <c r="K1555" s="0" t="n">
        <f aca="false">IF(M1555=2,"",IF(ISNUMBER(SEARCH("rata-rata:",'Onshore- Melbourne'!M60)),VALUE(MID('Onshore- Melbourne'!M60,SEARCH("rata-rata:",'Onshore- Melbourne'!M60)+11,FIND(";",'Onshore- Melbourne'!M60&amp;";",SEARCH("rata-rata:",'Onshore- Melbourne'!M60))-SEARCH("rata-rata:",'Onshore- Melbourne'!M60)-11)),IF('Onshore- Melbourne'!D60="Semester",'Onshore- Melbourne'!E60*2,IF('Onshore- Melbourne'!D60="Trimester",'Onshore- Melbourne'!E60*3,IF('Onshore- Melbourne'!D60="Term",'Onshore- Melbourne'!E60*4,IF('Onshore- Melbourne'!D60="Unit",'Onshore- Melbourne'!E60*8,""))))))</f>
        <v>5000</v>
      </c>
      <c r="L1555" s="0" t="n">
        <f aca="false">IF(AND(ISNUMBER('Onshore- Melbourne'!E60),ISNUMBER(K1555),ISNUMBER('Onshore- Melbourne'!F60),ISNUMBER('Onshore- Melbourne'!G60),OR('Onshore- Melbourne'!F60&lt;&gt;0,ISNUMBER(SEARCH("Material 0 terverifikasi",'Onshore- Melbourne'!M60))),OR('Onshore- Melbourne'!G60&lt;&gt;0,ISNUMBER(SEARCH("Enrolment 0 terverifikasi",'Onshore- Melbourne'!M60)))),1,0)</f>
        <v>1</v>
      </c>
      <c r="M1555" s="0" t="n">
        <f aca="false">IF(OR('Onshore- Melbourne'!E60="",ISNUMBER(SEARCH("BSB80120",'Onshore- Melbourne'!B60&amp;'Onshore- Melbourne'!M60)),ISNUMBER(SEARCH("Management (Learning)",'Onshore- Melbourne'!B60))),2,IF(ISNUMBER(SEARCH("CEK:",'Onshore- Melbourne'!M60)),1,0))</f>
        <v>0</v>
      </c>
    </row>
    <row r="1556" customFormat="false" ht="15" hidden="false" customHeight="false" outlineLevel="0" collapsed="false">
      <c r="A1556" s="63" t="s">
        <v>3544</v>
      </c>
      <c r="B1556" s="64" t="s">
        <v>4374</v>
      </c>
      <c r="C1556" s="63" t="s">
        <v>42</v>
      </c>
      <c r="D1556" s="64" t="str">
        <f aca="false">TRIM(LEFT('Onshore- Melbourne'!A277,FIND(CHAR(10),'Onshore- Melbourne'!A277&amp;CHAR(10))-1))</f>
        <v>Greenwich College</v>
      </c>
      <c r="E1556" s="63" t="str">
        <f aca="false">'Onshore- Melbourne'!C285&amp;""</f>
        <v>3 years</v>
      </c>
      <c r="F1556" s="63" t="str">
        <f aca="false">IF('Onshore- Melbourne'!D285="","Belum tercatat",'Onshore- Melbourne'!D285)</f>
        <v>Term</v>
      </c>
      <c r="G1556" s="65" t="n">
        <f aca="false">IF('Onshore- Melbourne'!E285="","-",'Onshore- Melbourne'!E285)</f>
        <v>1250</v>
      </c>
      <c r="H1556" s="63" t="n">
        <f aca="false">IF(ISNUMBER(K1556),COUNTIFS($J$6:$J$1916,J1556,$K$6:$K$1916,"&lt;"&amp;K1556)+1,"-")</f>
        <v>1</v>
      </c>
      <c r="I1556" s="64" t="str">
        <f aca="false">IF('Onshore- Melbourne'!E285="","Harga belum tersedia - hubungi konsultan TEG",IF(M1556=2,"Saat ini tidak menerima pendaftaran siswa internasional baru",IF(M1556=1,"Harga perlu dikonfirmasi ke sekolah"&amp;IF(""="","","; "&amp;""),"")))</f>
        <v/>
      </c>
      <c r="J1556" s="0" t="s">
        <v>4419</v>
      </c>
      <c r="K1556" s="0" t="n">
        <f aca="false">IF(M1556=2,"",IF(ISNUMBER(SEARCH("rata-rata:",'Onshore- Melbourne'!M285)),VALUE(MID('Onshore- Melbourne'!M285,SEARCH("rata-rata:",'Onshore- Melbourne'!M285)+11,FIND(";",'Onshore- Melbourne'!M285&amp;";",SEARCH("rata-rata:",'Onshore- Melbourne'!M285))-SEARCH("rata-rata:",'Onshore- Melbourne'!M285)-11)),IF('Onshore- Melbourne'!D285="Semester",'Onshore- Melbourne'!E285*2,IF('Onshore- Melbourne'!D285="Trimester",'Onshore- Melbourne'!E285*3,IF('Onshore- Melbourne'!D285="Term",'Onshore- Melbourne'!E285*4,IF('Onshore- Melbourne'!D285="Unit",'Onshore- Melbourne'!E285*8,""))))))</f>
        <v>5000</v>
      </c>
      <c r="L1556" s="0" t="n">
        <f aca="false">IF(AND(ISNUMBER('Onshore- Melbourne'!E285),ISNUMBER(K1556),ISNUMBER('Onshore- Melbourne'!F285),ISNUMBER('Onshore- Melbourne'!G285),OR('Onshore- Melbourne'!F285&lt;&gt;0,ISNUMBER(SEARCH("Material 0 terverifikasi",'Onshore- Melbourne'!M285))),OR('Onshore- Melbourne'!G285&lt;&gt;0,ISNUMBER(SEARCH("Enrolment 0 terverifikasi",'Onshore- Melbourne'!M285)))),1,0)</f>
        <v>1</v>
      </c>
      <c r="M1556" s="0" t="n">
        <f aca="false">IF(OR('Onshore- Melbourne'!E285="",ISNUMBER(SEARCH("BSB80120",'Onshore- Melbourne'!B285&amp;'Onshore- Melbourne'!M285)),ISNUMBER(SEARCH("Management (Learning)",'Onshore- Melbourne'!B285))),2,IF(ISNUMBER(SEARCH("CEK:",'Onshore- Melbourne'!M285)),1,0))</f>
        <v>0</v>
      </c>
    </row>
    <row r="1557" customFormat="false" ht="15" hidden="false" customHeight="false" outlineLevel="0" collapsed="false">
      <c r="A1557" s="63" t="s">
        <v>3544</v>
      </c>
      <c r="B1557" s="64" t="s">
        <v>4374</v>
      </c>
      <c r="C1557" s="63" t="s">
        <v>42</v>
      </c>
      <c r="D1557" s="64" t="str">
        <f aca="false">TRIM(LEFT('Onshore- Melbourne'!A6,FIND(CHAR(10),'Onshore- Melbourne'!A6&amp;CHAR(10))-1))</f>
        <v>Academies Australasia</v>
      </c>
      <c r="E1557" s="63" t="str">
        <f aca="false">'Onshore- Melbourne'!C9&amp;""</f>
        <v>1,5 years</v>
      </c>
      <c r="F1557" s="63" t="str">
        <f aca="false">IF('Onshore- Melbourne'!D9="","Belum tercatat",'Onshore- Melbourne'!D9)</f>
        <v>Term</v>
      </c>
      <c r="G1557" s="65" t="n">
        <f aca="false">IF('Onshore- Melbourne'!E9="","-",'Onshore- Melbourne'!E9)</f>
        <v>1350</v>
      </c>
      <c r="H1557" s="63" t="n">
        <f aca="false">IF(ISNUMBER(K1557),COUNTIFS($J$6:$J$1916,J1557,$K$6:$K$1916,"&lt;"&amp;K1557)+1,"-")</f>
        <v>3</v>
      </c>
      <c r="I1557" s="64" t="str">
        <f aca="false">IF('Onshore- Melbourne'!E9="","Harga belum tersedia - hubungi konsultan TEG",IF(M1557=2,"Saat ini tidak menerima pendaftaran siswa internasional baru",IF(M1557=1,"Harga perlu dikonfirmasi ke sekolah"&amp;IF(""="","","; "&amp;""),"")))</f>
        <v>Harga perlu dikonfirmasi ke sekolah</v>
      </c>
      <c r="J1557" s="0" t="s">
        <v>4419</v>
      </c>
      <c r="K1557" s="0" t="n">
        <f aca="false">IF(M1557=2,"",IF(ISNUMBER(SEARCH("rata-rata:",'Onshore- Melbourne'!M9)),VALUE(MID('Onshore- Melbourne'!M9,SEARCH("rata-rata:",'Onshore- Melbourne'!M9)+11,FIND(";",'Onshore- Melbourne'!M9&amp;";",SEARCH("rata-rata:",'Onshore- Melbourne'!M9))-SEARCH("rata-rata:",'Onshore- Melbourne'!M9)-11)),IF('Onshore- Melbourne'!D9="Semester",'Onshore- Melbourne'!E9*2,IF('Onshore- Melbourne'!D9="Trimester",'Onshore- Melbourne'!E9*3,IF('Onshore- Melbourne'!D9="Term",'Onshore- Melbourne'!E9*4,IF('Onshore- Melbourne'!D9="Unit",'Onshore- Melbourne'!E9*8,""))))))</f>
        <v>5400</v>
      </c>
      <c r="L1557" s="0" t="n">
        <f aca="false">IF(AND(ISNUMBER('Onshore- Melbourne'!E9),ISNUMBER(K1557),ISNUMBER('Onshore- Melbourne'!F9),ISNUMBER('Onshore- Melbourne'!G9),OR('Onshore- Melbourne'!F9&lt;&gt;0,ISNUMBER(SEARCH("Material 0 terverifikasi",'Onshore- Melbourne'!M9))),OR('Onshore- Melbourne'!G9&lt;&gt;0,ISNUMBER(SEARCH("Enrolment 0 terverifikasi",'Onshore- Melbourne'!M9)))),1,0)</f>
        <v>1</v>
      </c>
      <c r="M1557" s="0" t="n">
        <f aca="false">IF(OR('Onshore- Melbourne'!E9="",ISNUMBER(SEARCH("BSB80120",'Onshore- Melbourne'!B9&amp;'Onshore- Melbourne'!M9)),ISNUMBER(SEARCH("Management (Learning)",'Onshore- Melbourne'!B9))),2,IF(ISNUMBER(SEARCH("CEK:",'Onshore- Melbourne'!M9)),1,0))</f>
        <v>1</v>
      </c>
    </row>
    <row r="1558" customFormat="false" ht="28.35" hidden="false" customHeight="false" outlineLevel="0" collapsed="false">
      <c r="A1558" s="63" t="s">
        <v>3544</v>
      </c>
      <c r="B1558" s="64" t="s">
        <v>4374</v>
      </c>
      <c r="C1558" s="63" t="s">
        <v>42</v>
      </c>
      <c r="D1558" s="64" t="str">
        <f aca="false">TRIM(LEFT('Onshore- Melbourne'!A454,FIND(CHAR(10),'Onshore- Melbourne'!A454&amp;CHAR(10))-1))</f>
        <v>TKL College (Training for Knowledge and Livelihood)</v>
      </c>
      <c r="E1558" s="63" t="str">
        <f aca="false">'Onshore- Melbourne'!C457&amp;""</f>
        <v>3 years</v>
      </c>
      <c r="F1558" s="63" t="str">
        <f aca="false">IF('Onshore- Melbourne'!D457="","Belum tercatat",'Onshore- Melbourne'!D457)</f>
        <v>Term</v>
      </c>
      <c r="G1558" s="65" t="n">
        <f aca="false">IF('Onshore- Melbourne'!E457="","-",'Onshore- Melbourne'!E457)</f>
        <v>1500</v>
      </c>
      <c r="H1558" s="63" t="n">
        <f aca="false">IF(ISNUMBER(K1558),COUNTIFS($J$6:$J$1916,J1558,$K$6:$K$1916,"&lt;"&amp;K1558)+1,"-")</f>
        <v>4</v>
      </c>
      <c r="I1558" s="64" t="str">
        <f aca="false">IF('Onshore- Melbourne'!E457="","Harga belum tersedia - hubungi konsultan TEG",IF(M1558=2,"Saat ini tidak menerima pendaftaran siswa internasional baru",IF(M1558=1,"Program perlu dikonfirmasi ketersediaannya"&amp;IF(""="","","; "&amp;""),"")))</f>
        <v>Program perlu dikonfirmasi ketersediaannya</v>
      </c>
      <c r="J1558" s="0" t="s">
        <v>4419</v>
      </c>
      <c r="K1558" s="0" t="n">
        <f aca="false">IF(M1558=2,"",IF(ISNUMBER(SEARCH("rata-rata:",'Onshore- Melbourne'!M457)),VALUE(MID('Onshore- Melbourne'!M457,SEARCH("rata-rata:",'Onshore- Melbourne'!M457)+11,FIND(";",'Onshore- Melbourne'!M457&amp;";",SEARCH("rata-rata:",'Onshore- Melbourne'!M457))-SEARCH("rata-rata:",'Onshore- Melbourne'!M457)-11)),IF('Onshore- Melbourne'!D457="Semester",'Onshore- Melbourne'!E457*2,IF('Onshore- Melbourne'!D457="Trimester",'Onshore- Melbourne'!E457*3,IF('Onshore- Melbourne'!D457="Term",'Onshore- Melbourne'!E457*4,IF('Onshore- Melbourne'!D457="Unit",'Onshore- Melbourne'!E457*8,""))))))</f>
        <v>6000</v>
      </c>
      <c r="L1558" s="0" t="n">
        <f aca="false">IF(AND(ISNUMBER('Onshore- Melbourne'!E457),ISNUMBER(K1558),ISNUMBER('Onshore- Melbourne'!F457),ISNUMBER('Onshore- Melbourne'!G457),OR('Onshore- Melbourne'!F457&lt;&gt;0,ISNUMBER(SEARCH("Material 0 terverifikasi",'Onshore- Melbourne'!M457))),OR('Onshore- Melbourne'!G457&lt;&gt;0,ISNUMBER(SEARCH("Enrolment 0 terverifikasi",'Onshore- Melbourne'!M457)))),1,0)</f>
        <v>1</v>
      </c>
      <c r="M1558" s="0" t="n">
        <f aca="false">IF(OR('Onshore- Melbourne'!E457="",ISNUMBER(SEARCH("BSB80120",'Onshore- Melbourne'!B457&amp;'Onshore- Melbourne'!M457)),ISNUMBER(SEARCH("Management (Learning)",'Onshore- Melbourne'!B457))),2,IF(ISNUMBER(SEARCH("CEK:",'Onshore- Melbourne'!M457)),1,0))</f>
        <v>1</v>
      </c>
    </row>
    <row r="1559" customFormat="false" ht="15" hidden="false" customHeight="false" outlineLevel="0" collapsed="false">
      <c r="A1559" s="63" t="s">
        <v>3544</v>
      </c>
      <c r="B1559" s="64" t="s">
        <v>4374</v>
      </c>
      <c r="C1559" s="63" t="s">
        <v>42</v>
      </c>
      <c r="D1559" s="64" t="str">
        <f aca="false">TRIM(LEFT('Onshore- Melbourne'!A266,FIND(CHAR(10),'Onshore- Melbourne'!A266&amp;CHAR(10))-1))</f>
        <v>ECA College</v>
      </c>
      <c r="E1559" s="63" t="str">
        <f aca="false">'Onshore- Melbourne'!C269&amp;""</f>
        <v>3 years</v>
      </c>
      <c r="F1559" s="63" t="str">
        <f aca="false">IF('Onshore- Melbourne'!D269="","Belum tercatat",'Onshore- Melbourne'!D269)</f>
        <v>Term</v>
      </c>
      <c r="G1559" s="65" t="n">
        <f aca="false">IF('Onshore- Melbourne'!E269="","-",'Onshore- Melbourne'!E269)</f>
        <v>1700</v>
      </c>
      <c r="H1559" s="63" t="n">
        <f aca="false">IF(ISNUMBER(K1559),COUNTIFS($J$6:$J$1916,J1559,$K$6:$K$1916,"&lt;"&amp;K1559)+1,"-")</f>
        <v>5</v>
      </c>
      <c r="I1559" s="64" t="str">
        <f aca="false">IF('Onshore- Melbourne'!E269="","Harga belum tersedia - hubungi konsultan TEG",IF(M1559=2,"Saat ini tidak menerima pendaftaran siswa internasional baru",IF(M1559=1,"Harga perlu dikonfirmasi ke sekolah"&amp;IF(""="","","; "&amp;""),"")))</f>
        <v/>
      </c>
      <c r="J1559" s="0" t="s">
        <v>4419</v>
      </c>
      <c r="K1559" s="0" t="n">
        <f aca="false">IF(M1559=2,"",IF(ISNUMBER(SEARCH("rata-rata:",'Onshore- Melbourne'!M269)),VALUE(MID('Onshore- Melbourne'!M269,SEARCH("rata-rata:",'Onshore- Melbourne'!M269)+11,FIND(";",'Onshore- Melbourne'!M269&amp;";",SEARCH("rata-rata:",'Onshore- Melbourne'!M269))-SEARCH("rata-rata:",'Onshore- Melbourne'!M269)-11)),IF('Onshore- Melbourne'!D269="Semester",'Onshore- Melbourne'!E269*2,IF('Onshore- Melbourne'!D269="Trimester",'Onshore- Melbourne'!E269*3,IF('Onshore- Melbourne'!D269="Term",'Onshore- Melbourne'!E269*4,IF('Onshore- Melbourne'!D269="Unit",'Onshore- Melbourne'!E269*8,""))))))</f>
        <v>6800</v>
      </c>
      <c r="L1559" s="0" t="n">
        <f aca="false">IF(AND(ISNUMBER('Onshore- Melbourne'!E269),ISNUMBER(K1559),ISNUMBER('Onshore- Melbourne'!F269),ISNUMBER('Onshore- Melbourne'!G269),OR('Onshore- Melbourne'!F269&lt;&gt;0,ISNUMBER(SEARCH("Material 0 terverifikasi",'Onshore- Melbourne'!M269))),OR('Onshore- Melbourne'!G269&lt;&gt;0,ISNUMBER(SEARCH("Enrolment 0 terverifikasi",'Onshore- Melbourne'!M269)))),1,0)</f>
        <v>0</v>
      </c>
      <c r="M1559" s="0" t="n">
        <f aca="false">IF(OR('Onshore- Melbourne'!E269="",ISNUMBER(SEARCH("BSB80120",'Onshore- Melbourne'!B269&amp;'Onshore- Melbourne'!M269)),ISNUMBER(SEARCH("Management (Learning)",'Onshore- Melbourne'!B269))),2,IF(ISNUMBER(SEARCH("CEK:",'Onshore- Melbourne'!M269)),1,0))</f>
        <v>0</v>
      </c>
    </row>
    <row r="1560" customFormat="false" ht="15" hidden="false" customHeight="false" outlineLevel="0" collapsed="false">
      <c r="A1560" s="63" t="s">
        <v>3544</v>
      </c>
      <c r="B1560" s="64" t="s">
        <v>4374</v>
      </c>
      <c r="C1560" s="63" t="s">
        <v>42</v>
      </c>
      <c r="D1560" s="64" t="str">
        <f aca="false">TRIM(LEFT('Onshore- Melbourne'!A377,FIND(CHAR(10),'Onshore- Melbourne'!A377&amp;CHAR(10))-1))</f>
        <v>National Training College of Australia (NTCA)</v>
      </c>
      <c r="E1560" s="63" t="str">
        <f aca="false">'Onshore- Melbourne'!C386&amp;""</f>
        <v>3 years</v>
      </c>
      <c r="F1560" s="63" t="str">
        <f aca="false">IF('Onshore- Melbourne'!D386="","Belum tercatat",'Onshore- Melbourne'!D386)</f>
        <v>Term</v>
      </c>
      <c r="G1560" s="65" t="n">
        <f aca="false">IF('Onshore- Melbourne'!E386="","-",'Onshore- Melbourne'!E386)</f>
        <v>1800</v>
      </c>
      <c r="H1560" s="63" t="n">
        <f aca="false">IF(ISNUMBER(K1560),COUNTIFS($J$6:$J$1916,J1560,$K$6:$K$1916,"&lt;"&amp;K1560)+1,"-")</f>
        <v>6</v>
      </c>
      <c r="I1560" s="64" t="str">
        <f aca="false">IF('Onshore- Melbourne'!E386="","Harga belum tersedia - hubungi konsultan TEG",IF(M1560=2,"Saat ini tidak menerima pendaftaran siswa internasional baru",IF(M1560=1,"Harga perlu dikonfirmasi ke sekolah"&amp;IF(""="","","; "&amp;""),"")))</f>
        <v/>
      </c>
      <c r="J1560" s="0" t="s">
        <v>4419</v>
      </c>
      <c r="K1560" s="0" t="n">
        <f aca="false">IF(M1560=2,"",IF(ISNUMBER(SEARCH("rata-rata:",'Onshore- Melbourne'!M386)),VALUE(MID('Onshore- Melbourne'!M386,SEARCH("rata-rata:",'Onshore- Melbourne'!M386)+11,FIND(";",'Onshore- Melbourne'!M386&amp;";",SEARCH("rata-rata:",'Onshore- Melbourne'!M386))-SEARCH("rata-rata:",'Onshore- Melbourne'!M386)-11)),IF('Onshore- Melbourne'!D386="Semester",'Onshore- Melbourne'!E386*2,IF('Onshore- Melbourne'!D386="Trimester",'Onshore- Melbourne'!E386*3,IF('Onshore- Melbourne'!D386="Term",'Onshore- Melbourne'!E386*4,IF('Onshore- Melbourne'!D386="Unit",'Onshore- Melbourne'!E386*8,""))))))</f>
        <v>7200</v>
      </c>
      <c r="L1560" s="0" t="n">
        <f aca="false">IF(AND(ISNUMBER('Onshore- Melbourne'!E386),ISNUMBER(K1560),ISNUMBER('Onshore- Melbourne'!F386),ISNUMBER('Onshore- Melbourne'!G386),OR('Onshore- Melbourne'!F386&lt;&gt;0,ISNUMBER(SEARCH("Material 0 terverifikasi",'Onshore- Melbourne'!M386))),OR('Onshore- Melbourne'!G386&lt;&gt;0,ISNUMBER(SEARCH("Enrolment 0 terverifikasi",'Onshore- Melbourne'!M386)))),1,0)</f>
        <v>1</v>
      </c>
      <c r="M1560" s="0" t="n">
        <f aca="false">IF(OR('Onshore- Melbourne'!E386="",ISNUMBER(SEARCH("BSB80120",'Onshore- Melbourne'!B386&amp;'Onshore- Melbourne'!M386)),ISNUMBER(SEARCH("Management (Learning)",'Onshore- Melbourne'!B386))),2,IF(ISNUMBER(SEARCH("CEK:",'Onshore- Melbourne'!M386)),1,0))</f>
        <v>0</v>
      </c>
    </row>
    <row r="1561" customFormat="false" ht="28.35" hidden="false" customHeight="false" outlineLevel="0" collapsed="false">
      <c r="A1561" s="63" t="s">
        <v>3544</v>
      </c>
      <c r="B1561" s="64" t="s">
        <v>4374</v>
      </c>
      <c r="C1561" s="63" t="s">
        <v>42</v>
      </c>
      <c r="D1561" s="64" t="str">
        <f aca="false">TRIM(LEFT('Onshore- Melbourne'!A208,FIND(CHAR(10),'Onshore- Melbourne'!A208&amp;CHAR(10))-1))</f>
        <v>Australian Institute of Digital Technology (AIDT)</v>
      </c>
      <c r="E1561" s="63" t="str">
        <f aca="false">'Onshore- Melbourne'!C209&amp;""</f>
        <v>2 years</v>
      </c>
      <c r="F1561" s="63" t="str">
        <f aca="false">IF('Onshore- Melbourne'!D209="","Belum tercatat",'Onshore- Melbourne'!D209)</f>
        <v>Term</v>
      </c>
      <c r="G1561" s="65" t="n">
        <f aca="false">IF('Onshore- Melbourne'!E209="","-",'Onshore- Melbourne'!E209)</f>
        <v>2000</v>
      </c>
      <c r="H1561" s="63" t="n">
        <f aca="false">IF(ISNUMBER(K1561),COUNTIFS($J$6:$J$1916,J1561,$K$6:$K$1916,"&lt;"&amp;K1561)+1,"-")</f>
        <v>7</v>
      </c>
      <c r="I1561" s="64" t="str">
        <f aca="false">IF('Onshore- Melbourne'!E209="","Harga belum tersedia - hubungi konsultan TEG",IF(M1561=2,"Saat ini tidak menerima pendaftaran siswa internasional baru",IF(M1561=1,"Harga perlu dikonfirmasi ke sekolah"&amp;IF(""="","","; "&amp;""),"")))</f>
        <v/>
      </c>
      <c r="J1561" s="0" t="s">
        <v>4419</v>
      </c>
      <c r="K1561" s="0" t="n">
        <f aca="false">IF(M1561=2,"",IF(ISNUMBER(SEARCH("rata-rata:",'Onshore- Melbourne'!M209)),VALUE(MID('Onshore- Melbourne'!M209,SEARCH("rata-rata:",'Onshore- Melbourne'!M209)+11,FIND(";",'Onshore- Melbourne'!M209&amp;";",SEARCH("rata-rata:",'Onshore- Melbourne'!M209))-SEARCH("rata-rata:",'Onshore- Melbourne'!M209)-11)),IF('Onshore- Melbourne'!D209="Semester",'Onshore- Melbourne'!E209*2,IF('Onshore- Melbourne'!D209="Trimester",'Onshore- Melbourne'!E209*3,IF('Onshore- Melbourne'!D209="Term",'Onshore- Melbourne'!E209*4,IF('Onshore- Melbourne'!D209="Unit",'Onshore- Melbourne'!E209*8,""))))))</f>
        <v>8000</v>
      </c>
      <c r="L1561" s="0" t="n">
        <f aca="false">IF(AND(ISNUMBER('Onshore- Melbourne'!E209),ISNUMBER(K1561),ISNUMBER('Onshore- Melbourne'!F209),ISNUMBER('Onshore- Melbourne'!G209),OR('Onshore- Melbourne'!F209&lt;&gt;0,ISNUMBER(SEARCH("Material 0 terverifikasi",'Onshore- Melbourne'!M209))),OR('Onshore- Melbourne'!G209&lt;&gt;0,ISNUMBER(SEARCH("Enrolment 0 terverifikasi",'Onshore- Melbourne'!M209)))),1,0)</f>
        <v>1</v>
      </c>
      <c r="M1561" s="0" t="n">
        <f aca="false">IF(OR('Onshore- Melbourne'!E209="",ISNUMBER(SEARCH("BSB80120",'Onshore- Melbourne'!B209&amp;'Onshore- Melbourne'!M209)),ISNUMBER(SEARCH("Management (Learning)",'Onshore- Melbourne'!B209))),2,IF(ISNUMBER(SEARCH("CEK:",'Onshore- Melbourne'!M209)),1,0))</f>
        <v>0</v>
      </c>
    </row>
    <row r="1562" customFormat="false" ht="15" hidden="false" customHeight="false" outlineLevel="0" collapsed="false">
      <c r="A1562" s="63" t="s">
        <v>3544</v>
      </c>
      <c r="B1562" s="64" t="s">
        <v>4374</v>
      </c>
      <c r="C1562" s="63" t="s">
        <v>42</v>
      </c>
      <c r="D1562" s="64" t="str">
        <f aca="false">TRIM(LEFT('Onshore- Melbourne'!A388,FIND(CHAR(10),'Onshore- Melbourne'!A388&amp;CHAR(10))-1))</f>
        <v>Opulence College</v>
      </c>
      <c r="E1562" s="63" t="str">
        <f aca="false">'Onshore- Melbourne'!C390&amp;""</f>
        <v>3 years</v>
      </c>
      <c r="F1562" s="63" t="str">
        <f aca="false">IF('Onshore- Melbourne'!D390="","Belum tercatat",'Onshore- Melbourne'!D390)</f>
        <v>Term</v>
      </c>
      <c r="G1562" s="65" t="n">
        <f aca="false">IF('Onshore- Melbourne'!E390="","-",'Onshore- Melbourne'!E390)</f>
        <v>2000</v>
      </c>
      <c r="H1562" s="63" t="n">
        <f aca="false">IF(ISNUMBER(K1562),COUNTIFS($J$6:$J$1916,J1562,$K$6:$K$1916,"&lt;"&amp;K1562)+1,"-")</f>
        <v>7</v>
      </c>
      <c r="I1562" s="64" t="str">
        <f aca="false">IF('Onshore- Melbourne'!E390="","Harga belum tersedia - hubungi konsultan TEG",IF(M1562=2,"Saat ini tidak menerima pendaftaran siswa internasional baru",IF(M1562=1,"Harga perlu dikonfirmasi ke sekolah"&amp;IF(""="","","; "&amp;""),"")))</f>
        <v/>
      </c>
      <c r="J1562" s="0" t="s">
        <v>4419</v>
      </c>
      <c r="K1562" s="0" t="n">
        <f aca="false">IF(M1562=2,"",IF(ISNUMBER(SEARCH("rata-rata:",'Onshore- Melbourne'!M390)),VALUE(MID('Onshore- Melbourne'!M390,SEARCH("rata-rata:",'Onshore- Melbourne'!M390)+11,FIND(";",'Onshore- Melbourne'!M390&amp;";",SEARCH("rata-rata:",'Onshore- Melbourne'!M390))-SEARCH("rata-rata:",'Onshore- Melbourne'!M390)-11)),IF('Onshore- Melbourne'!D390="Semester",'Onshore- Melbourne'!E390*2,IF('Onshore- Melbourne'!D390="Trimester",'Onshore- Melbourne'!E390*3,IF('Onshore- Melbourne'!D390="Term",'Onshore- Melbourne'!E390*4,IF('Onshore- Melbourne'!D390="Unit",'Onshore- Melbourne'!E390*8,""))))))</f>
        <v>8000</v>
      </c>
      <c r="L1562" s="0" t="n">
        <f aca="false">IF(AND(ISNUMBER('Onshore- Melbourne'!E390),ISNUMBER(K1562),ISNUMBER('Onshore- Melbourne'!F390),ISNUMBER('Onshore- Melbourne'!G390),OR('Onshore- Melbourne'!F390&lt;&gt;0,ISNUMBER(SEARCH("Material 0 terverifikasi",'Onshore- Melbourne'!M390))),OR('Onshore- Melbourne'!G390&lt;&gt;0,ISNUMBER(SEARCH("Enrolment 0 terverifikasi",'Onshore- Melbourne'!M390)))),1,0)</f>
        <v>1</v>
      </c>
      <c r="M1562" s="0" t="n">
        <f aca="false">IF(OR('Onshore- Melbourne'!E390="",ISNUMBER(SEARCH("BSB80120",'Onshore- Melbourne'!B390&amp;'Onshore- Melbourne'!M390)),ISNUMBER(SEARCH("Management (Learning)",'Onshore- Melbourne'!B390))),2,IF(ISNUMBER(SEARCH("CEK:",'Onshore- Melbourne'!M390)),1,0))</f>
        <v>0</v>
      </c>
    </row>
    <row r="1563" customFormat="false" ht="15" hidden="false" customHeight="false" outlineLevel="0" collapsed="false">
      <c r="A1563" s="63" t="s">
        <v>3544</v>
      </c>
      <c r="B1563" s="64" t="s">
        <v>4374</v>
      </c>
      <c r="C1563" s="63" t="s">
        <v>42</v>
      </c>
      <c r="D1563" s="64" t="str">
        <f aca="false">TRIM(LEFT('Onshore- Melbourne'!A429,FIND(CHAR(10),'Onshore- Melbourne'!A429&amp;CHAR(10))-1))</f>
        <v>States College Australia</v>
      </c>
      <c r="E1563" s="63" t="str">
        <f aca="false">'Onshore- Melbourne'!C431&amp;""</f>
        <v>2 years</v>
      </c>
      <c r="F1563" s="63" t="str">
        <f aca="false">IF('Onshore- Melbourne'!D431="","Belum tercatat",'Onshore- Melbourne'!D431)</f>
        <v>Term</v>
      </c>
      <c r="G1563" s="65" t="n">
        <f aca="false">IF('Onshore- Melbourne'!E431="","-",'Onshore- Melbourne'!E431)</f>
        <v>2000</v>
      </c>
      <c r="H1563" s="63" t="n">
        <f aca="false">IF(ISNUMBER(K1563),COUNTIFS($J$6:$J$1916,J1563,$K$6:$K$1916,"&lt;"&amp;K1563)+1,"-")</f>
        <v>7</v>
      </c>
      <c r="I1563" s="64" t="str">
        <f aca="false">IF('Onshore- Melbourne'!E431="","Harga belum tersedia - hubungi konsultan TEG",IF(M1563=2,"Saat ini tidak menerima pendaftaran siswa internasional baru",IF(M1563=1,"Harga perlu dikonfirmasi ke sekolah"&amp;IF(""="","","; "&amp;""),"")))</f>
        <v/>
      </c>
      <c r="J1563" s="0" t="s">
        <v>4419</v>
      </c>
      <c r="K1563" s="0" t="n">
        <f aca="false">IF(M1563=2,"",IF(ISNUMBER(SEARCH("rata-rata:",'Onshore- Melbourne'!M431)),VALUE(MID('Onshore- Melbourne'!M431,SEARCH("rata-rata:",'Onshore- Melbourne'!M431)+11,FIND(";",'Onshore- Melbourne'!M431&amp;";",SEARCH("rata-rata:",'Onshore- Melbourne'!M431))-SEARCH("rata-rata:",'Onshore- Melbourne'!M431)-11)),IF('Onshore- Melbourne'!D431="Semester",'Onshore- Melbourne'!E431*2,IF('Onshore- Melbourne'!D431="Trimester",'Onshore- Melbourne'!E431*3,IF('Onshore- Melbourne'!D431="Term",'Onshore- Melbourne'!E431*4,IF('Onshore- Melbourne'!D431="Unit",'Onshore- Melbourne'!E431*8,""))))))</f>
        <v>8000</v>
      </c>
      <c r="L1563" s="0" t="n">
        <f aca="false">IF(AND(ISNUMBER('Onshore- Melbourne'!E431),ISNUMBER(K1563),ISNUMBER('Onshore- Melbourne'!F431),ISNUMBER('Onshore- Melbourne'!G431),OR('Onshore- Melbourne'!F431&lt;&gt;0,ISNUMBER(SEARCH("Material 0 terverifikasi",'Onshore- Melbourne'!M431))),OR('Onshore- Melbourne'!G431&lt;&gt;0,ISNUMBER(SEARCH("Enrolment 0 terverifikasi",'Onshore- Melbourne'!M431)))),1,0)</f>
        <v>1</v>
      </c>
      <c r="M1563" s="0" t="n">
        <f aca="false">IF(OR('Onshore- Melbourne'!E431="",ISNUMBER(SEARCH("BSB80120",'Onshore- Melbourne'!B431&amp;'Onshore- Melbourne'!M431)),ISNUMBER(SEARCH("Management (Learning)",'Onshore- Melbourne'!B431))),2,IF(ISNUMBER(SEARCH("CEK:",'Onshore- Melbourne'!M431)),1,0))</f>
        <v>0</v>
      </c>
    </row>
    <row r="1564" customFormat="false" ht="28.35" hidden="false" customHeight="false" outlineLevel="0" collapsed="false">
      <c r="A1564" s="63" t="s">
        <v>3544</v>
      </c>
      <c r="B1564" s="64" t="s">
        <v>4374</v>
      </c>
      <c r="C1564" s="63" t="s">
        <v>42</v>
      </c>
      <c r="D1564" s="64" t="str">
        <f aca="false">TRIM(LEFT('Onshore- Melbourne'!A407,FIND(CHAR(10),'Onshore- Melbourne'!A407&amp;CHAR(10))-1))</f>
        <v>Sacred Heart International College (SHIC)</v>
      </c>
      <c r="E1564" s="63" t="str">
        <f aca="false">'Onshore- Melbourne'!C410&amp;""</f>
        <v>2 years</v>
      </c>
      <c r="F1564" s="63" t="str">
        <f aca="false">IF('Onshore- Melbourne'!D410="","Belum tercatat",'Onshore- Melbourne'!D410)</f>
        <v>Term</v>
      </c>
      <c r="G1564" s="65" t="n">
        <f aca="false">IF('Onshore- Melbourne'!E410="","-",'Onshore- Melbourne'!E410)</f>
        <v>2062</v>
      </c>
      <c r="H1564" s="63" t="n">
        <f aca="false">IF(ISNUMBER(K1564),COUNTIFS($J$6:$J$1916,J1564,$K$6:$K$1916,"&lt;"&amp;K1564)+1,"-")</f>
        <v>10</v>
      </c>
      <c r="I1564" s="64" t="str">
        <f aca="false">IF('Onshore- Melbourne'!E410="","Harga belum tersedia - hubungi konsultan TEG",IF(M1564=2,"Saat ini tidak menerima pendaftaran siswa internasional baru",IF(M1564=1,"Harga promo sudah berakhir - konfirmasi harga terbaru"&amp;IF(""="","","; "&amp;""),"")))</f>
        <v>Harga promo sudah berakhir - konfirmasi harga terbaru</v>
      </c>
      <c r="J1564" s="0" t="s">
        <v>4419</v>
      </c>
      <c r="K1564" s="0" t="n">
        <f aca="false">IF(M1564=2,"",IF(ISNUMBER(SEARCH("rata-rata:",'Onshore- Melbourne'!M410)),VALUE(MID('Onshore- Melbourne'!M410,SEARCH("rata-rata:",'Onshore- Melbourne'!M410)+11,FIND(";",'Onshore- Melbourne'!M410&amp;";",SEARCH("rata-rata:",'Onshore- Melbourne'!M410))-SEARCH("rata-rata:",'Onshore- Melbourne'!M410)-11)),IF('Onshore- Melbourne'!D410="Semester",'Onshore- Melbourne'!E410*2,IF('Onshore- Melbourne'!D410="Trimester",'Onshore- Melbourne'!E410*3,IF('Onshore- Melbourne'!D410="Term",'Onshore- Melbourne'!E410*4,IF('Onshore- Melbourne'!D410="Unit",'Onshore- Melbourne'!E410*8,""))))))</f>
        <v>8248</v>
      </c>
      <c r="L1564" s="0" t="n">
        <f aca="false">IF(AND(ISNUMBER('Onshore- Melbourne'!E410),ISNUMBER(K1564),ISNUMBER('Onshore- Melbourne'!F410),ISNUMBER('Onshore- Melbourne'!G410),OR('Onshore- Melbourne'!F410&lt;&gt;0,ISNUMBER(SEARCH("Material 0 terverifikasi",'Onshore- Melbourne'!M410))),OR('Onshore- Melbourne'!G410&lt;&gt;0,ISNUMBER(SEARCH("Enrolment 0 terverifikasi",'Onshore- Melbourne'!M410)))),1,0)</f>
        <v>0</v>
      </c>
      <c r="M1564" s="0" t="n">
        <f aca="false">IF(OR('Onshore- Melbourne'!E410="",ISNUMBER(SEARCH("BSB80120",'Onshore- Melbourne'!B410&amp;'Onshore- Melbourne'!M410)),ISNUMBER(SEARCH("Management (Learning)",'Onshore- Melbourne'!B410))),2,IF(ISNUMBER(SEARCH("CEK:",'Onshore- Melbourne'!M410)),1,0))</f>
        <v>1</v>
      </c>
    </row>
    <row r="1565" customFormat="false" ht="15" hidden="false" customHeight="false" outlineLevel="0" collapsed="false">
      <c r="A1565" s="63" t="s">
        <v>3544</v>
      </c>
      <c r="B1565" s="64" t="s">
        <v>4374</v>
      </c>
      <c r="C1565" s="63" t="s">
        <v>42</v>
      </c>
      <c r="D1565" s="64" t="str">
        <f aca="false">TRIM(LEFT('Onshore- Melbourne'!A256,FIND(CHAR(10),'Onshore- Melbourne'!A256&amp;CHAR(10))-1))</f>
        <v>Collins International College</v>
      </c>
      <c r="E1565" s="63" t="str">
        <f aca="false">'Onshore- Melbourne'!C257&amp;""</f>
        <v>2 years</v>
      </c>
      <c r="F1565" s="63" t="str">
        <f aca="false">IF('Onshore- Melbourne'!D257="","Belum tercatat",'Onshore- Melbourne'!D257)</f>
        <v>Term</v>
      </c>
      <c r="G1565" s="65" t="n">
        <f aca="false">IF('Onshore- Melbourne'!E257="","-",'Onshore- Melbourne'!E257)</f>
        <v>2125</v>
      </c>
      <c r="H1565" s="63" t="n">
        <f aca="false">IF(ISNUMBER(K1565),COUNTIFS($J$6:$J$1916,J1565,$K$6:$K$1916,"&lt;"&amp;K1565)+1,"-")</f>
        <v>11</v>
      </c>
      <c r="I1565" s="64" t="str">
        <f aca="false">IF('Onshore- Melbourne'!E257="","Harga belum tersedia - hubungi konsultan TEG",IF(M1565=2,"Saat ini tidak menerima pendaftaran siswa internasional baru",IF(M1565=1,"Harga perlu dikonfirmasi ke sekolah"&amp;IF(""="","","; "&amp;""),"")))</f>
        <v>Harga perlu dikonfirmasi ke sekolah</v>
      </c>
      <c r="J1565" s="0" t="s">
        <v>4419</v>
      </c>
      <c r="K1565" s="0" t="n">
        <f aca="false">IF(M1565=2,"",IF(ISNUMBER(SEARCH("rata-rata:",'Onshore- Melbourne'!M257)),VALUE(MID('Onshore- Melbourne'!M257,SEARCH("rata-rata:",'Onshore- Melbourne'!M257)+11,FIND(";",'Onshore- Melbourne'!M257&amp;";",SEARCH("rata-rata:",'Onshore- Melbourne'!M257))-SEARCH("rata-rata:",'Onshore- Melbourne'!M257)-11)),IF('Onshore- Melbourne'!D257="Semester",'Onshore- Melbourne'!E257*2,IF('Onshore- Melbourne'!D257="Trimester",'Onshore- Melbourne'!E257*3,IF('Onshore- Melbourne'!D257="Term",'Onshore- Melbourne'!E257*4,IF('Onshore- Melbourne'!D257="Unit",'Onshore- Melbourne'!E257*8,""))))))</f>
        <v>8500</v>
      </c>
      <c r="L1565" s="0" t="n">
        <f aca="false">IF(AND(ISNUMBER('Onshore- Melbourne'!E257),ISNUMBER(K1565),ISNUMBER('Onshore- Melbourne'!F257),ISNUMBER('Onshore- Melbourne'!G257),OR('Onshore- Melbourne'!F257&lt;&gt;0,ISNUMBER(SEARCH("Material 0 terverifikasi",'Onshore- Melbourne'!M257))),OR('Onshore- Melbourne'!G257&lt;&gt;0,ISNUMBER(SEARCH("Enrolment 0 terverifikasi",'Onshore- Melbourne'!M257)))),1,0)</f>
        <v>1</v>
      </c>
      <c r="M1565" s="0" t="n">
        <f aca="false">IF(OR('Onshore- Melbourne'!E257="",ISNUMBER(SEARCH("BSB80120",'Onshore- Melbourne'!B257&amp;'Onshore- Melbourne'!M257)),ISNUMBER(SEARCH("Management (Learning)",'Onshore- Melbourne'!B257))),2,IF(ISNUMBER(SEARCH("CEK:",'Onshore- Melbourne'!M257)),1,0))</f>
        <v>1</v>
      </c>
    </row>
    <row r="1566" customFormat="false" ht="15" hidden="false" customHeight="false" outlineLevel="0" collapsed="false">
      <c r="A1566" s="63" t="s">
        <v>3544</v>
      </c>
      <c r="B1566" s="64" t="s">
        <v>4374</v>
      </c>
      <c r="C1566" s="63" t="s">
        <v>42</v>
      </c>
      <c r="D1566" s="64" t="str">
        <f aca="false">TRIM(LEFT('Onshore- Melbourne'!A218,FIND(CHAR(10),'Onshore- Melbourne'!A218&amp;CHAR(10))-1))</f>
        <v>Australian Sovereign College (AuSC)</v>
      </c>
      <c r="E1566" s="63" t="str">
        <f aca="false">'Onshore- Melbourne'!C233&amp;""</f>
        <v>2 years</v>
      </c>
      <c r="F1566" s="63" t="str">
        <f aca="false">IF('Onshore- Melbourne'!D233="","Belum tercatat",'Onshore- Melbourne'!D233)</f>
        <v>Term</v>
      </c>
      <c r="G1566" s="65" t="n">
        <f aca="false">IF('Onshore- Melbourne'!E233="","-",'Onshore- Melbourne'!E233)</f>
        <v>2200</v>
      </c>
      <c r="H1566" s="63" t="n">
        <f aca="false">IF(ISNUMBER(K1566),COUNTIFS($J$6:$J$1916,J1566,$K$6:$K$1916,"&lt;"&amp;K1566)+1,"-")</f>
        <v>12</v>
      </c>
      <c r="I1566" s="64" t="str">
        <f aca="false">IF('Onshore- Melbourne'!E233="","Harga belum tersedia - hubungi konsultan TEG",IF(M1566=2,"Saat ini tidak menerima pendaftaran siswa internasional baru",IF(M1566=1,"Harga perlu dikonfirmasi ke sekolah"&amp;IF(""="","","; "&amp;""),"")))</f>
        <v/>
      </c>
      <c r="J1566" s="0" t="s">
        <v>4419</v>
      </c>
      <c r="K1566" s="0" t="n">
        <f aca="false">IF(M1566=2,"",IF(ISNUMBER(SEARCH("rata-rata:",'Onshore- Melbourne'!M233)),VALUE(MID('Onshore- Melbourne'!M233,SEARCH("rata-rata:",'Onshore- Melbourne'!M233)+11,FIND(";",'Onshore- Melbourne'!M233&amp;";",SEARCH("rata-rata:",'Onshore- Melbourne'!M233))-SEARCH("rata-rata:",'Onshore- Melbourne'!M233)-11)),IF('Onshore- Melbourne'!D233="Semester",'Onshore- Melbourne'!E233*2,IF('Onshore- Melbourne'!D233="Trimester",'Onshore- Melbourne'!E233*3,IF('Onshore- Melbourne'!D233="Term",'Onshore- Melbourne'!E233*4,IF('Onshore- Melbourne'!D233="Unit",'Onshore- Melbourne'!E233*8,""))))))</f>
        <v>8800</v>
      </c>
      <c r="L1566" s="0" t="n">
        <f aca="false">IF(AND(ISNUMBER('Onshore- Melbourne'!E233),ISNUMBER(K1566),ISNUMBER('Onshore- Melbourne'!F233),ISNUMBER('Onshore- Melbourne'!G233),OR('Onshore- Melbourne'!F233&lt;&gt;0,ISNUMBER(SEARCH("Material 0 terverifikasi",'Onshore- Melbourne'!M233))),OR('Onshore- Melbourne'!G233&lt;&gt;0,ISNUMBER(SEARCH("Enrolment 0 terverifikasi",'Onshore- Melbourne'!M233)))),1,0)</f>
        <v>1</v>
      </c>
      <c r="M1566" s="0" t="n">
        <f aca="false">IF(OR('Onshore- Melbourne'!E233="",ISNUMBER(SEARCH("BSB80120",'Onshore- Melbourne'!B233&amp;'Onshore- Melbourne'!M233)),ISNUMBER(SEARCH("Management (Learning)",'Onshore- Melbourne'!B233))),2,IF(ISNUMBER(SEARCH("CEK:",'Onshore- Melbourne'!M233)),1,0))</f>
        <v>0</v>
      </c>
    </row>
    <row r="1567" customFormat="false" ht="15" hidden="false" customHeight="false" outlineLevel="0" collapsed="false">
      <c r="A1567" s="63" t="s">
        <v>3544</v>
      </c>
      <c r="B1567" s="64" t="s">
        <v>4374</v>
      </c>
      <c r="C1567" s="63" t="s">
        <v>42</v>
      </c>
      <c r="D1567" s="64" t="str">
        <f aca="false">TRIM(LEFT('Onshore- Melbourne'!A240,FIND(CHAR(10),'Onshore- Melbourne'!A240&amp;CHAR(10))-1))</f>
        <v>Baxter Institute</v>
      </c>
      <c r="E1567" s="63" t="str">
        <f aca="false">'Onshore- Melbourne'!C243&amp;""</f>
        <v>2 years</v>
      </c>
      <c r="F1567" s="63" t="str">
        <f aca="false">IF('Onshore- Melbourne'!D243="","Belum tercatat",'Onshore- Melbourne'!D243)</f>
        <v>Term</v>
      </c>
      <c r="G1567" s="65" t="n">
        <f aca="false">IF('Onshore- Melbourne'!E243="","-",'Onshore- Melbourne'!E243)</f>
        <v>3250</v>
      </c>
      <c r="H1567" s="63" t="n">
        <f aca="false">IF(ISNUMBER(K1567),COUNTIFS($J$6:$J$1916,J1567,$K$6:$K$1916,"&lt;"&amp;K1567)+1,"-")</f>
        <v>13</v>
      </c>
      <c r="I1567" s="64" t="str">
        <f aca="false">IF('Onshore- Melbourne'!E243="","Harga belum tersedia - hubungi konsultan TEG",IF(M1567=2,"Saat ini tidak menerima pendaftaran siswa internasional baru",IF(M1567=1,"Harga perlu dikonfirmasi ke sekolah"&amp;IF(""="","","; "&amp;""),"")))</f>
        <v/>
      </c>
      <c r="J1567" s="0" t="s">
        <v>4419</v>
      </c>
      <c r="K1567" s="0" t="n">
        <f aca="false">IF(M1567=2,"",IF(ISNUMBER(SEARCH("rata-rata:",'Onshore- Melbourne'!M243)),VALUE(MID('Onshore- Melbourne'!M243,SEARCH("rata-rata:",'Onshore- Melbourne'!M243)+11,FIND(";",'Onshore- Melbourne'!M243&amp;";",SEARCH("rata-rata:",'Onshore- Melbourne'!M243))-SEARCH("rata-rata:",'Onshore- Melbourne'!M243)-11)),IF('Onshore- Melbourne'!D243="Semester",'Onshore- Melbourne'!E243*2,IF('Onshore- Melbourne'!D243="Trimester",'Onshore- Melbourne'!E243*3,IF('Onshore- Melbourne'!D243="Term",'Onshore- Melbourne'!E243*4,IF('Onshore- Melbourne'!D243="Unit",'Onshore- Melbourne'!E243*8,""))))))</f>
        <v>13000</v>
      </c>
      <c r="L1567" s="0" t="n">
        <f aca="false">IF(AND(ISNUMBER('Onshore- Melbourne'!E243),ISNUMBER(K1567),ISNUMBER('Onshore- Melbourne'!F243),ISNUMBER('Onshore- Melbourne'!G243),OR('Onshore- Melbourne'!F243&lt;&gt;0,ISNUMBER(SEARCH("Material 0 terverifikasi",'Onshore- Melbourne'!M243))),OR('Onshore- Melbourne'!G243&lt;&gt;0,ISNUMBER(SEARCH("Enrolment 0 terverifikasi",'Onshore- Melbourne'!M243)))),1,0)</f>
        <v>1</v>
      </c>
      <c r="M1567" s="0" t="n">
        <f aca="false">IF(OR('Onshore- Melbourne'!E243="",ISNUMBER(SEARCH("BSB80120",'Onshore- Melbourne'!B243&amp;'Onshore- Melbourne'!M243)),ISNUMBER(SEARCH("Management (Learning)",'Onshore- Melbourne'!B243))),2,IF(ISNUMBER(SEARCH("CEK:",'Onshore- Melbourne'!M243)),1,0))</f>
        <v>0</v>
      </c>
    </row>
    <row r="1568" customFormat="false" ht="15" hidden="false" customHeight="false" outlineLevel="0" collapsed="false">
      <c r="A1568" s="61" t="s">
        <v>4420</v>
      </c>
      <c r="B1568" s="62"/>
      <c r="C1568" s="62"/>
      <c r="D1568" s="62"/>
      <c r="E1568" s="62"/>
      <c r="F1568" s="62"/>
      <c r="G1568" s="62"/>
      <c r="H1568" s="62"/>
      <c r="I1568" s="62"/>
    </row>
    <row r="1569" customFormat="false" ht="28.35" hidden="false" customHeight="false" outlineLevel="0" collapsed="false">
      <c r="A1569" s="63" t="s">
        <v>3544</v>
      </c>
      <c r="B1569" s="64" t="s">
        <v>4374</v>
      </c>
      <c r="C1569" s="63" t="s">
        <v>43</v>
      </c>
      <c r="D1569" s="64" t="str">
        <f aca="false">TRIM(LEFT('Onshore- Melbourne'!A199,FIND(CHAR(10),'Onshore- Melbourne'!A199&amp;CHAR(10))-1))</f>
        <v>Australian Institute of Advanced Technologies (AIAT)</v>
      </c>
      <c r="E1569" s="63" t="str">
        <f aca="false">'Onshore- Melbourne'!C203&amp;""</f>
        <v>3 years</v>
      </c>
      <c r="F1569" s="63" t="str">
        <f aca="false">IF('Onshore- Melbourne'!D203="","Belum tercatat",'Onshore- Melbourne'!D203)</f>
        <v>Term</v>
      </c>
      <c r="G1569" s="65" t="n">
        <f aca="false">IF('Onshore- Melbourne'!E203="","-",'Onshore- Melbourne'!E203)</f>
        <v>3000</v>
      </c>
      <c r="H1569" s="63" t="n">
        <f aca="false">IF(ISNUMBER(K1569),COUNTIFS($J$6:$J$1916,J1569,$K$6:$K$1916,"&lt;"&amp;K1569)+1,"-")</f>
        <v>1</v>
      </c>
      <c r="I1569" s="64" t="str">
        <f aca="false">IF('Onshore- Melbourne'!E203="","Harga belum tersedia - hubungi konsultan TEG",IF(M1569=2,"Saat ini tidak menerima pendaftaran siswa internasional baru",IF(M1569=1,"Harga perlu dikonfirmasi ke sekolah"&amp;IF(""="","","; "&amp;""),"")))</f>
        <v/>
      </c>
      <c r="J1569" s="0" t="s">
        <v>4421</v>
      </c>
      <c r="K1569" s="0" t="n">
        <f aca="false">IF(M1569=2,"",IF(ISNUMBER(SEARCH("rata-rata:",'Onshore- Melbourne'!M203)),VALUE(MID('Onshore- Melbourne'!M203,SEARCH("rata-rata:",'Onshore- Melbourne'!M203)+11,FIND(";",'Onshore- Melbourne'!M203&amp;";",SEARCH("rata-rata:",'Onshore- Melbourne'!M203))-SEARCH("rata-rata:",'Onshore- Melbourne'!M203)-11)),IF('Onshore- Melbourne'!D203="Semester",'Onshore- Melbourne'!E203*2,IF('Onshore- Melbourne'!D203="Trimester",'Onshore- Melbourne'!E203*3,IF('Onshore- Melbourne'!D203="Term",'Onshore- Melbourne'!E203*4,IF('Onshore- Melbourne'!D203="Unit",'Onshore- Melbourne'!E203*8,""))))))</f>
        <v>12000</v>
      </c>
      <c r="L1569" s="0" t="n">
        <f aca="false">IF(AND(ISNUMBER('Onshore- Melbourne'!E203),ISNUMBER(K1569),ISNUMBER('Onshore- Melbourne'!F203),ISNUMBER('Onshore- Melbourne'!G203),OR('Onshore- Melbourne'!F203&lt;&gt;0,ISNUMBER(SEARCH("Material 0 terverifikasi",'Onshore- Melbourne'!M203))),OR('Onshore- Melbourne'!G203&lt;&gt;0,ISNUMBER(SEARCH("Enrolment 0 terverifikasi",'Onshore- Melbourne'!M203)))),1,0)</f>
        <v>0</v>
      </c>
      <c r="M1569" s="0" t="n">
        <f aca="false">IF(OR('Onshore- Melbourne'!E203="",ISNUMBER(SEARCH("BSB80120",'Onshore- Melbourne'!B203&amp;'Onshore- Melbourne'!M203)),ISNUMBER(SEARCH("Management (Learning)",'Onshore- Melbourne'!B203))),2,IF(ISNUMBER(SEARCH("CEK:",'Onshore- Melbourne'!M203)),1,0))</f>
        <v>0</v>
      </c>
    </row>
    <row r="1570" customFormat="false" ht="15" hidden="false" customHeight="false" outlineLevel="0" collapsed="false">
      <c r="A1570" s="63" t="s">
        <v>3544</v>
      </c>
      <c r="B1570" s="64" t="s">
        <v>4374</v>
      </c>
      <c r="C1570" s="63" t="s">
        <v>43</v>
      </c>
      <c r="D1570" s="64" t="str">
        <f aca="false">TRIM(LEFT('Onshore- Melbourne'!A29,FIND(CHAR(10),'Onshore- Melbourne'!A29&amp;CHAR(10))-1))</f>
        <v>AIBI Higher Education</v>
      </c>
      <c r="E1570" s="63" t="str">
        <f aca="false">'Onshore- Melbourne'!C29&amp;""</f>
        <v>3 years</v>
      </c>
      <c r="F1570" s="63" t="str">
        <f aca="false">IF('Onshore- Melbourne'!D29="","Belum tercatat",'Onshore- Melbourne'!D29)</f>
        <v>Term</v>
      </c>
      <c r="G1570" s="65" t="n">
        <f aca="false">IF('Onshore- Melbourne'!E29="","-",'Onshore- Melbourne'!E29)</f>
        <v>3250</v>
      </c>
      <c r="H1570" s="63" t="n">
        <f aca="false">IF(ISNUMBER(K1570),COUNTIFS($J$6:$J$1916,J1570,$K$6:$K$1916,"&lt;"&amp;K1570)+1,"-")</f>
        <v>2</v>
      </c>
      <c r="I1570" s="64" t="str">
        <f aca="false">IF('Onshore- Melbourne'!E29="","Harga belum tersedia - hubungi konsultan TEG",IF(M1570=2,"Saat ini tidak menerima pendaftaran siswa internasional baru",IF(M1570=1,"Harga perlu dikonfirmasi ke sekolah"&amp;IF(""="","","; "&amp;""),"")))</f>
        <v>Harga perlu dikonfirmasi ke sekolah</v>
      </c>
      <c r="J1570" s="0" t="s">
        <v>4421</v>
      </c>
      <c r="K1570" s="0" t="n">
        <f aca="false">IF(M1570=2,"",IF(ISNUMBER(SEARCH("rata-rata:",'Onshore- Melbourne'!M29)),VALUE(MID('Onshore- Melbourne'!M29,SEARCH("rata-rata:",'Onshore- Melbourne'!M29)+11,FIND(";",'Onshore- Melbourne'!M29&amp;";",SEARCH("rata-rata:",'Onshore- Melbourne'!M29))-SEARCH("rata-rata:",'Onshore- Melbourne'!M29)-11)),IF('Onshore- Melbourne'!D29="Semester",'Onshore- Melbourne'!E29*2,IF('Onshore- Melbourne'!D29="Trimester",'Onshore- Melbourne'!E29*3,IF('Onshore- Melbourne'!D29="Term",'Onshore- Melbourne'!E29*4,IF('Onshore- Melbourne'!D29="Unit",'Onshore- Melbourne'!E29*8,""))))))</f>
        <v>13000</v>
      </c>
      <c r="L1570" s="0" t="n">
        <f aca="false">IF(AND(ISNUMBER('Onshore- Melbourne'!E29),ISNUMBER(K1570),ISNUMBER('Onshore- Melbourne'!F29),ISNUMBER('Onshore- Melbourne'!G29),OR('Onshore- Melbourne'!F29&lt;&gt;0,ISNUMBER(SEARCH("Material 0 terverifikasi",'Onshore- Melbourne'!M29))),OR('Onshore- Melbourne'!G29&lt;&gt;0,ISNUMBER(SEARCH("Enrolment 0 terverifikasi",'Onshore- Melbourne'!M29)))),1,0)</f>
        <v>0</v>
      </c>
      <c r="M1570" s="0" t="n">
        <f aca="false">IF(OR('Onshore- Melbourne'!E29="",ISNUMBER(SEARCH("BSB80120",'Onshore- Melbourne'!B29&amp;'Onshore- Melbourne'!M29)),ISNUMBER(SEARCH("Management (Learning)",'Onshore- Melbourne'!B29))),2,IF(ISNUMBER(SEARCH("CEK:",'Onshore- Melbourne'!M29)),1,0))</f>
        <v>1</v>
      </c>
    </row>
    <row r="1571" customFormat="false" ht="15" hidden="false" customHeight="false" outlineLevel="0" collapsed="false">
      <c r="A1571" s="63" t="s">
        <v>3544</v>
      </c>
      <c r="B1571" s="64" t="s">
        <v>4374</v>
      </c>
      <c r="C1571" s="63" t="s">
        <v>43</v>
      </c>
      <c r="D1571" s="64" t="str">
        <f aca="false">TRIM(LEFT('Onshore- Melbourne'!A77,FIND(CHAR(10),'Onshore- Melbourne'!A77&amp;CHAR(10))-1))</f>
        <v>Asia Pacific International College (APIC)</v>
      </c>
      <c r="E1571" s="63" t="str">
        <f aca="false">'Onshore- Melbourne'!C78&amp;""</f>
        <v>3 years</v>
      </c>
      <c r="F1571" s="63" t="str">
        <f aca="false">IF('Onshore- Melbourne'!D78="","Belum tercatat",'Onshore- Melbourne'!D78)</f>
        <v>Trimester</v>
      </c>
      <c r="G1571" s="65" t="n">
        <f aca="false">IF('Onshore- Melbourne'!E78="","-",'Onshore- Melbourne'!E78)</f>
        <v>4500</v>
      </c>
      <c r="H1571" s="63" t="n">
        <f aca="false">IF(ISNUMBER(K1571),COUNTIFS($J$6:$J$1916,J1571,$K$6:$K$1916,"&lt;"&amp;K1571)+1,"-")</f>
        <v>3</v>
      </c>
      <c r="I1571" s="64" t="str">
        <f aca="false">IF('Onshore- Melbourne'!E78="","Harga belum tersedia - hubungi konsultan TEG",IF(M1571=2,"Saat ini tidak menerima pendaftaran siswa internasional baru",IF(M1571=1,"Harga perlu dikonfirmasi ke sekolah"&amp;IF("Harga promo s.d. 31/12/2026"="","","; "&amp;"Harga promo s.d. 31/12/2026"),"Harga promo s.d. 31/12/2026")))</f>
        <v>Harga promo s.d. 31/12/2026</v>
      </c>
      <c r="J1571" s="0" t="s">
        <v>4421</v>
      </c>
      <c r="K1571" s="0" t="n">
        <f aca="false">IF(M1571=2,"",IF(ISNUMBER(SEARCH("rata-rata:",'Onshore- Melbourne'!M78)),VALUE(MID('Onshore- Melbourne'!M78,SEARCH("rata-rata:",'Onshore- Melbourne'!M78)+11,FIND(";",'Onshore- Melbourne'!M78&amp;";",SEARCH("rata-rata:",'Onshore- Melbourne'!M78))-SEARCH("rata-rata:",'Onshore- Melbourne'!M78)-11)),IF('Onshore- Melbourne'!D78="Semester",'Onshore- Melbourne'!E78*2,IF('Onshore- Melbourne'!D78="Trimester",'Onshore- Melbourne'!E78*3,IF('Onshore- Melbourne'!D78="Term",'Onshore- Melbourne'!E78*4,IF('Onshore- Melbourne'!D78="Unit",'Onshore- Melbourne'!E78*8,""))))))</f>
        <v>13500</v>
      </c>
      <c r="L1571" s="0" t="n">
        <f aca="false">IF(AND(ISNUMBER('Onshore- Melbourne'!E78),ISNUMBER(K1571),ISNUMBER('Onshore- Melbourne'!F78),ISNUMBER('Onshore- Melbourne'!G78),OR('Onshore- Melbourne'!F78&lt;&gt;0,ISNUMBER(SEARCH("Material 0 terverifikasi",'Onshore- Melbourne'!M78))),OR('Onshore- Melbourne'!G78&lt;&gt;0,ISNUMBER(SEARCH("Enrolment 0 terverifikasi",'Onshore- Melbourne'!M78)))),1,0)</f>
        <v>0</v>
      </c>
      <c r="M1571" s="0" t="n">
        <f aca="false">IF(OR('Onshore- Melbourne'!E78="",ISNUMBER(SEARCH("BSB80120",'Onshore- Melbourne'!B78&amp;'Onshore- Melbourne'!M78)),ISNUMBER(SEARCH("Management (Learning)",'Onshore- Melbourne'!B78))),2,IF(ISNUMBER(SEARCH("CEK:",'Onshore- Melbourne'!M78)),1,0))</f>
        <v>0</v>
      </c>
    </row>
    <row r="1572" customFormat="false" ht="15" hidden="false" customHeight="false" outlineLevel="0" collapsed="false">
      <c r="A1572" s="63" t="s">
        <v>3544</v>
      </c>
      <c r="B1572" s="64" t="s">
        <v>4374</v>
      </c>
      <c r="C1572" s="63" t="s">
        <v>43</v>
      </c>
      <c r="D1572" s="64" t="str">
        <f aca="false">TRIM(LEFT('Onshore- Melbourne'!A74,FIND(CHAR(10),'Onshore- Melbourne'!A74&amp;CHAR(10))-1))</f>
        <v>Analytics Institute of Australia (AIA)</v>
      </c>
      <c r="E1572" s="63" t="str">
        <f aca="false">'Onshore- Melbourne'!C74&amp;""</f>
        <v>2 years</v>
      </c>
      <c r="F1572" s="63" t="str">
        <f aca="false">IF('Onshore- Melbourne'!D74="","Belum tercatat",'Onshore- Melbourne'!D74)</f>
        <v>Term</v>
      </c>
      <c r="G1572" s="65" t="n">
        <f aca="false">IF('Onshore- Melbourne'!E74="","-",'Onshore- Melbourne'!E74)</f>
        <v>3475</v>
      </c>
      <c r="H1572" s="63" t="n">
        <f aca="false">IF(ISNUMBER(K1572),COUNTIFS($J$6:$J$1916,J1572,$K$6:$K$1916,"&lt;"&amp;K1572)+1,"-")</f>
        <v>4</v>
      </c>
      <c r="I1572" s="64" t="str">
        <f aca="false">IF('Onshore- Melbourne'!E74="","Harga belum tersedia - hubungi konsultan TEG",IF(M1572=2,"Saat ini tidak menerima pendaftaran siswa internasional baru",IF(M1572=1,"Harga perlu dikonfirmasi ke sekolah"&amp;IF(""="","","; "&amp;""),"")))</f>
        <v>Harga perlu dikonfirmasi ke sekolah</v>
      </c>
      <c r="J1572" s="0" t="s">
        <v>4421</v>
      </c>
      <c r="K1572" s="0" t="n">
        <f aca="false">IF(M1572=2,"",IF(ISNUMBER(SEARCH("rata-rata:",'Onshore- Melbourne'!M74)),VALUE(MID('Onshore- Melbourne'!M74,SEARCH("rata-rata:",'Onshore- Melbourne'!M74)+11,FIND(";",'Onshore- Melbourne'!M74&amp;";",SEARCH("rata-rata:",'Onshore- Melbourne'!M74))-SEARCH("rata-rata:",'Onshore- Melbourne'!M74)-11)),IF('Onshore- Melbourne'!D74="Semester",'Onshore- Melbourne'!E74*2,IF('Onshore- Melbourne'!D74="Trimester",'Onshore- Melbourne'!E74*3,IF('Onshore- Melbourne'!D74="Term",'Onshore- Melbourne'!E74*4,IF('Onshore- Melbourne'!D74="Unit",'Onshore- Melbourne'!E74*8,""))))))</f>
        <v>13900</v>
      </c>
      <c r="L1572" s="0" t="n">
        <f aca="false">IF(AND(ISNUMBER('Onshore- Melbourne'!E74),ISNUMBER(K1572),ISNUMBER('Onshore- Melbourne'!F74),ISNUMBER('Onshore- Melbourne'!G74),OR('Onshore- Melbourne'!F74&lt;&gt;0,ISNUMBER(SEARCH("Material 0 terverifikasi",'Onshore- Melbourne'!M74))),OR('Onshore- Melbourne'!G74&lt;&gt;0,ISNUMBER(SEARCH("Enrolment 0 terverifikasi",'Onshore- Melbourne'!M74)))),1,0)</f>
        <v>0</v>
      </c>
      <c r="M1572" s="0" t="n">
        <f aca="false">IF(OR('Onshore- Melbourne'!E74="",ISNUMBER(SEARCH("BSB80120",'Onshore- Melbourne'!B74&amp;'Onshore- Melbourne'!M74)),ISNUMBER(SEARCH("Management (Learning)",'Onshore- Melbourne'!B74))),2,IF(ISNUMBER(SEARCH("CEK:",'Onshore- Melbourne'!M74)),1,0))</f>
        <v>1</v>
      </c>
    </row>
    <row r="1573" customFormat="false" ht="55.2" hidden="false" customHeight="false" outlineLevel="0" collapsed="false">
      <c r="A1573" s="63" t="s">
        <v>3544</v>
      </c>
      <c r="B1573" s="64" t="s">
        <v>4374</v>
      </c>
      <c r="C1573" s="63" t="s">
        <v>43</v>
      </c>
      <c r="D1573" s="64" t="str">
        <f aca="false">TRIM(LEFT('Onshore- Melbourne'!A43,FIND(CHAR(10),'Onshore- Melbourne'!A43&amp;CHAR(10))-1))</f>
        <v>AIH Higher Education (Australian Institute of Higher Education)</v>
      </c>
      <c r="E1573" s="63" t="str">
        <f aca="false">'Onshore- Melbourne'!C47&amp;""</f>
        <v>3 years</v>
      </c>
      <c r="F1573" s="63" t="str">
        <f aca="false">IF('Onshore- Melbourne'!D47="","Belum tercatat",'Onshore- Melbourne'!D47)</f>
        <v>Unit</v>
      </c>
      <c r="G1573" s="65" t="n">
        <f aca="false">IF('Onshore- Melbourne'!E47="","-",'Onshore- Melbourne'!E47)</f>
        <v>1790</v>
      </c>
      <c r="H1573" s="63" t="n">
        <f aca="false">IF(ISNUMBER(K1573),COUNTIFS($J$6:$J$1916,J1573,$K$6:$K$1916,"&lt;"&amp;K1573)+1,"-")</f>
        <v>5</v>
      </c>
      <c r="I1573" s="64" t="str">
        <f aca="false">IF('Onshore- Melbourne'!E47="","Harga belum tersedia - hubungi konsultan TEG",IF(M1573=2,"Saat ini tidak menerima pendaftaran siswa internasional baru",IF(M1573=1,"Harga perlu dikonfirmasi ke sekolah"&amp;IF("Harga promo s.d. 31/12/2026; Harga dihitung per unit; total tergantung jumlah unit yang diambil; Sudah termasuk beasiswa 20% (syarat berlaku)"="","","; "&amp;"Harga promo s.d. 31/12/2026; Harga dihitung per unit; total tergantung jumlah unit yang diambil; Sudah termasuk beasiswa 20% (syarat berlaku)"),"Harga promo s.d. 31/12/2026; Harga dihitung per unit; total tergantung jumlah unit yang diambil; Sudah termasuk beasiswa 20% (syarat berlaku)")))</f>
        <v>Harga promo s.d. 31/12/2026; Harga dihitung per unit; total tergantung jumlah unit yang diambil; Sudah termasuk beasiswa 20% (syarat berlaku)</v>
      </c>
      <c r="J1573" s="0" t="s">
        <v>4421</v>
      </c>
      <c r="K1573" s="0" t="n">
        <f aca="false">IF(M1573=2,"",IF(ISNUMBER(SEARCH("rata-rata:",'Onshore- Melbourne'!M47)),VALUE(MID('Onshore- Melbourne'!M47,SEARCH("rata-rata:",'Onshore- Melbourne'!M47)+11,FIND(";",'Onshore- Melbourne'!M47&amp;";",SEARCH("rata-rata:",'Onshore- Melbourne'!M47))-SEARCH("rata-rata:",'Onshore- Melbourne'!M47)-11)),IF('Onshore- Melbourne'!D47="Semester",'Onshore- Melbourne'!E47*2,IF('Onshore- Melbourne'!D47="Trimester",'Onshore- Melbourne'!E47*3,IF('Onshore- Melbourne'!D47="Term",'Onshore- Melbourne'!E47*4,IF('Onshore- Melbourne'!D47="Unit",'Onshore- Melbourne'!E47*8,""))))))</f>
        <v>14320</v>
      </c>
      <c r="L1573" s="0" t="n">
        <f aca="false">IF(AND(ISNUMBER('Onshore- Melbourne'!E47),ISNUMBER(K1573),ISNUMBER('Onshore- Melbourne'!F47),ISNUMBER('Onshore- Melbourne'!G47),OR('Onshore- Melbourne'!F47&lt;&gt;0,ISNUMBER(SEARCH("Material 0 terverifikasi",'Onshore- Melbourne'!M47))),OR('Onshore- Melbourne'!G47&lt;&gt;0,ISNUMBER(SEARCH("Enrolment 0 terverifikasi",'Onshore- Melbourne'!M47)))),1,0)</f>
        <v>1</v>
      </c>
      <c r="M1573" s="0" t="n">
        <f aca="false">IF(OR('Onshore- Melbourne'!E47="",ISNUMBER(SEARCH("BSB80120",'Onshore- Melbourne'!B47&amp;'Onshore- Melbourne'!M47)),ISNUMBER(SEARCH("Management (Learning)",'Onshore- Melbourne'!B47))),2,IF(ISNUMBER(SEARCH("CEK:",'Onshore- Melbourne'!M47)),1,0))</f>
        <v>0</v>
      </c>
    </row>
    <row r="1574" customFormat="false" ht="15" hidden="false" customHeight="false" outlineLevel="0" collapsed="false">
      <c r="A1574" s="63" t="s">
        <v>3544</v>
      </c>
      <c r="B1574" s="64" t="s">
        <v>4374</v>
      </c>
      <c r="C1574" s="63" t="s">
        <v>43</v>
      </c>
      <c r="D1574" s="64" t="str">
        <f aca="false">TRIM(LEFT('Onshore- Melbourne'!A445,FIND(CHAR(10),'Onshore- Melbourne'!A445&amp;CHAR(10))-1))</f>
        <v>The Institute of International Studies (TIIS)</v>
      </c>
      <c r="E1574" s="63" t="str">
        <f aca="false">'Onshore- Melbourne'!C452&amp;""</f>
        <v>3 years</v>
      </c>
      <c r="F1574" s="63" t="str">
        <f aca="false">IF('Onshore- Melbourne'!D452="","Belum tercatat",'Onshore- Melbourne'!D452)</f>
        <v>Term</v>
      </c>
      <c r="G1574" s="65" t="n">
        <f aca="false">IF('Onshore- Melbourne'!E452="","-",'Onshore- Melbourne'!E452)</f>
        <v>3700</v>
      </c>
      <c r="H1574" s="63" t="n">
        <f aca="false">IF(ISNUMBER(K1574),COUNTIFS($J$6:$J$1916,J1574,$K$6:$K$1916,"&lt;"&amp;K1574)+1,"-")</f>
        <v>6</v>
      </c>
      <c r="I1574" s="64" t="str">
        <f aca="false">IF('Onshore- Melbourne'!E452="","Harga belum tersedia - hubungi konsultan TEG",IF(M1574=2,"Saat ini tidak menerima pendaftaran siswa internasional baru",IF(M1574=1,"Harga perlu dikonfirmasi ke sekolah"&amp;IF(""="","","; "&amp;""),"")))</f>
        <v/>
      </c>
      <c r="J1574" s="0" t="s">
        <v>4421</v>
      </c>
      <c r="K1574" s="0" t="n">
        <f aca="false">IF(M1574=2,"",IF(ISNUMBER(SEARCH("rata-rata:",'Onshore- Melbourne'!M452)),VALUE(MID('Onshore- Melbourne'!M452,SEARCH("rata-rata:",'Onshore- Melbourne'!M452)+11,FIND(";",'Onshore- Melbourne'!M452&amp;";",SEARCH("rata-rata:",'Onshore- Melbourne'!M452))-SEARCH("rata-rata:",'Onshore- Melbourne'!M452)-11)),IF('Onshore- Melbourne'!D452="Semester",'Onshore- Melbourne'!E452*2,IF('Onshore- Melbourne'!D452="Trimester",'Onshore- Melbourne'!E452*3,IF('Onshore- Melbourne'!D452="Term",'Onshore- Melbourne'!E452*4,IF('Onshore- Melbourne'!D452="Unit",'Onshore- Melbourne'!E452*8,""))))))</f>
        <v>14800</v>
      </c>
      <c r="L1574" s="0" t="n">
        <f aca="false">IF(AND(ISNUMBER('Onshore- Melbourne'!E452),ISNUMBER(K1574),ISNUMBER('Onshore- Melbourne'!F452),ISNUMBER('Onshore- Melbourne'!G452),OR('Onshore- Melbourne'!F452&lt;&gt;0,ISNUMBER(SEARCH("Material 0 terverifikasi",'Onshore- Melbourne'!M452))),OR('Onshore- Melbourne'!G452&lt;&gt;0,ISNUMBER(SEARCH("Enrolment 0 terverifikasi",'Onshore- Melbourne'!M452)))),1,0)</f>
        <v>0</v>
      </c>
      <c r="M1574" s="0" t="n">
        <f aca="false">IF(OR('Onshore- Melbourne'!E452="",ISNUMBER(SEARCH("BSB80120",'Onshore- Melbourne'!B452&amp;'Onshore- Melbourne'!M452)),ISNUMBER(SEARCH("Management (Learning)",'Onshore- Melbourne'!B452))),2,IF(ISNUMBER(SEARCH("CEK:",'Onshore- Melbourne'!M452)),1,0))</f>
        <v>0</v>
      </c>
    </row>
    <row r="1575" customFormat="false" ht="55.2" hidden="false" customHeight="false" outlineLevel="0" collapsed="false">
      <c r="A1575" s="63" t="s">
        <v>3544</v>
      </c>
      <c r="B1575" s="64" t="s">
        <v>4374</v>
      </c>
      <c r="C1575" s="63" t="s">
        <v>43</v>
      </c>
      <c r="D1575" s="64" t="str">
        <f aca="false">TRIM(LEFT('Onshore- Melbourne'!A294,FIND(CHAR(10),'Onshore- Melbourne'!A294&amp;CHAR(10))-1))</f>
        <v>Greenwich Higher Education (Academy of Interactive Technology Pty Ltd)</v>
      </c>
      <c r="E1575" s="63" t="str">
        <f aca="false">'Onshore- Melbourne'!C294&amp;""</f>
        <v>3 years</v>
      </c>
      <c r="F1575" s="63" t="str">
        <f aca="false">IF('Onshore- Melbourne'!D294="","Belum tercatat",'Onshore- Melbourne'!D294)</f>
        <v>Unit</v>
      </c>
      <c r="G1575" s="65" t="n">
        <f aca="false">IF('Onshore- Melbourne'!E294="","-",'Onshore- Melbourne'!E294)</f>
        <v>2012.5</v>
      </c>
      <c r="H1575" s="63" t="n">
        <f aca="false">IF(ISNUMBER(K1575),COUNTIFS($J$6:$J$1916,J1575,$K$6:$K$1916,"&lt;"&amp;K1575)+1,"-")</f>
        <v>7</v>
      </c>
      <c r="I1575" s="64" t="str">
        <f aca="false">IF('Onshore- Melbourne'!E294="","Harga belum tersedia - hubungi konsultan TEG",IF(M1575=2,"Saat ini tidak menerima pendaftaran siswa internasional baru",IF(M1575=1,"Harga perlu dikonfirmasi ke sekolah"&amp;IF("Harga promo s.d. 13/09/2027; Harga dihitung per unit; total tergantung jumlah unit yang diambil; Sudah termasuk beasiswa 30% (syarat berlaku)"="","","; "&amp;"Harga promo s.d. 13/09/2027; Harga dihitung per unit; total tergantung jumlah unit yang diambil; Sudah termasuk beasiswa 30% (syarat berlaku)"),"Harga promo s.d. 13/09/2027; Harga dihitung per unit; total tergantung jumlah unit yang diambil; Sudah termasuk beasiswa 30% (syarat berlaku)")))</f>
        <v>Harga promo s.d. 13/09/2027; Harga dihitung per unit; total tergantung jumlah unit yang diambil; Sudah termasuk beasiswa 30% (syarat berlaku)</v>
      </c>
      <c r="J1575" s="0" t="s">
        <v>4421</v>
      </c>
      <c r="K1575" s="0" t="n">
        <f aca="false">IF(M1575=2,"",IF(ISNUMBER(SEARCH("rata-rata:",'Onshore- Melbourne'!M294)),VALUE(MID('Onshore- Melbourne'!M294,SEARCH("rata-rata:",'Onshore- Melbourne'!M294)+11,FIND(";",'Onshore- Melbourne'!M294&amp;";",SEARCH("rata-rata:",'Onshore- Melbourne'!M294))-SEARCH("rata-rata:",'Onshore- Melbourne'!M294)-11)),IF('Onshore- Melbourne'!D294="Semester",'Onshore- Melbourne'!E294*2,IF('Onshore- Melbourne'!D294="Trimester",'Onshore- Melbourne'!E294*3,IF('Onshore- Melbourne'!D294="Term",'Onshore- Melbourne'!E294*4,IF('Onshore- Melbourne'!D294="Unit",'Onshore- Melbourne'!E294*8,""))))))</f>
        <v>16100</v>
      </c>
      <c r="L1575" s="0" t="n">
        <f aca="false">IF(AND(ISNUMBER('Onshore- Melbourne'!E294),ISNUMBER(K1575),ISNUMBER('Onshore- Melbourne'!F294),ISNUMBER('Onshore- Melbourne'!G294),OR('Onshore- Melbourne'!F294&lt;&gt;0,ISNUMBER(SEARCH("Material 0 terverifikasi",'Onshore- Melbourne'!M294))),OR('Onshore- Melbourne'!G294&lt;&gt;0,ISNUMBER(SEARCH("Enrolment 0 terverifikasi",'Onshore- Melbourne'!M294)))),1,0)</f>
        <v>1</v>
      </c>
      <c r="M1575" s="0" t="n">
        <f aca="false">IF(OR('Onshore- Melbourne'!E294="",ISNUMBER(SEARCH("BSB80120",'Onshore- Melbourne'!B294&amp;'Onshore- Melbourne'!M294)),ISNUMBER(SEARCH("Management (Learning)",'Onshore- Melbourne'!B294))),2,IF(ISNUMBER(SEARCH("CEK:",'Onshore- Melbourne'!M294)),1,0))</f>
        <v>0</v>
      </c>
    </row>
    <row r="1576" customFormat="false" ht="15" hidden="false" customHeight="false" outlineLevel="0" collapsed="false">
      <c r="A1576" s="63" t="s">
        <v>3544</v>
      </c>
      <c r="B1576" s="64" t="s">
        <v>4374</v>
      </c>
      <c r="C1576" s="63" t="s">
        <v>43</v>
      </c>
      <c r="D1576" s="64" t="str">
        <f aca="false">TRIM(LEFT('Onshore- Melbourne'!A319,FIND(CHAR(10),'Onshore- Melbourne'!A319&amp;CHAR(10))-1))</f>
        <v>Kent Institute Australia</v>
      </c>
      <c r="E1576" s="63" t="str">
        <f aca="false">'Onshore- Melbourne'!C324&amp;""</f>
        <v>3 years</v>
      </c>
      <c r="F1576" s="63" t="str">
        <f aca="false">IF('Onshore- Melbourne'!D324="","Belum tercatat",'Onshore- Melbourne'!D324)</f>
        <v>Trimester</v>
      </c>
      <c r="G1576" s="65" t="n">
        <f aca="false">IF('Onshore- Melbourne'!E324="","-",'Onshore- Melbourne'!E324)</f>
        <v>5800</v>
      </c>
      <c r="H1576" s="63" t="n">
        <f aca="false">IF(ISNUMBER(K1576),COUNTIFS($J$6:$J$1916,J1576,$K$6:$K$1916,"&lt;"&amp;K1576)+1,"-")</f>
        <v>8</v>
      </c>
      <c r="I1576" s="64" t="str">
        <f aca="false">IF('Onshore- Melbourne'!E324="","Harga belum tersedia - hubungi konsultan TEG",IF(M1576=2,"Saat ini tidak menerima pendaftaran siswa internasional baru",IF(M1576=1,"Harga perlu dikonfirmasi ke sekolah"&amp;IF(""="","","; "&amp;""),"")))</f>
        <v>Harga perlu dikonfirmasi ke sekolah</v>
      </c>
      <c r="J1576" s="0" t="s">
        <v>4421</v>
      </c>
      <c r="K1576" s="0" t="n">
        <f aca="false">IF(M1576=2,"",IF(ISNUMBER(SEARCH("rata-rata:",'Onshore- Melbourne'!M324)),VALUE(MID('Onshore- Melbourne'!M324,SEARCH("rata-rata:",'Onshore- Melbourne'!M324)+11,FIND(";",'Onshore- Melbourne'!M324&amp;";",SEARCH("rata-rata:",'Onshore- Melbourne'!M324))-SEARCH("rata-rata:",'Onshore- Melbourne'!M324)-11)),IF('Onshore- Melbourne'!D324="Semester",'Onshore- Melbourne'!E324*2,IF('Onshore- Melbourne'!D324="Trimester",'Onshore- Melbourne'!E324*3,IF('Onshore- Melbourne'!D324="Term",'Onshore- Melbourne'!E324*4,IF('Onshore- Melbourne'!D324="Unit",'Onshore- Melbourne'!E324*8,""))))))</f>
        <v>17400</v>
      </c>
      <c r="L1576" s="0" t="n">
        <f aca="false">IF(AND(ISNUMBER('Onshore- Melbourne'!E324),ISNUMBER(K1576),ISNUMBER('Onshore- Melbourne'!F324),ISNUMBER('Onshore- Melbourne'!G324),OR('Onshore- Melbourne'!F324&lt;&gt;0,ISNUMBER(SEARCH("Material 0 terverifikasi",'Onshore- Melbourne'!M324))),OR('Onshore- Melbourne'!G324&lt;&gt;0,ISNUMBER(SEARCH("Enrolment 0 terverifikasi",'Onshore- Melbourne'!M324)))),1,0)</f>
        <v>0</v>
      </c>
      <c r="M1576" s="0" t="n">
        <f aca="false">IF(OR('Onshore- Melbourne'!E324="",ISNUMBER(SEARCH("BSB80120",'Onshore- Melbourne'!B324&amp;'Onshore- Melbourne'!M324)),ISNUMBER(SEARCH("Management (Learning)",'Onshore- Melbourne'!B324))),2,IF(ISNUMBER(SEARCH("CEK:",'Onshore- Melbourne'!M324)),1,0))</f>
        <v>1</v>
      </c>
    </row>
    <row r="1577" customFormat="false" ht="28.35" hidden="false" customHeight="false" outlineLevel="0" collapsed="false">
      <c r="A1577" s="63" t="s">
        <v>3544</v>
      </c>
      <c r="B1577" s="64" t="s">
        <v>4374</v>
      </c>
      <c r="C1577" s="63" t="s">
        <v>43</v>
      </c>
      <c r="D1577" s="64" t="str">
        <f aca="false">TRIM(LEFT('Onshore- Melbourne'!A368,FIND(CHAR(10),'Onshore- Melbourne'!A368&amp;CHAR(10))-1))</f>
        <v>National Academy of Professional Studies (NAPS)</v>
      </c>
      <c r="E1577" s="63" t="str">
        <f aca="false">'Onshore- Melbourne'!C368&amp;""</f>
        <v>3 years</v>
      </c>
      <c r="F1577" s="63" t="str">
        <f aca="false">IF('Onshore- Melbourne'!D368="","Belum tercatat",'Onshore- Melbourne'!D368)</f>
        <v>Term</v>
      </c>
      <c r="G1577" s="65" t="n">
        <f aca="false">IF('Onshore- Melbourne'!E368="","-",'Onshore- Melbourne'!E368)</f>
        <v>4500</v>
      </c>
      <c r="H1577" s="63" t="n">
        <f aca="false">IF(ISNUMBER(K1577),COUNTIFS($J$6:$J$1916,J1577,$K$6:$K$1916,"&lt;"&amp;K1577)+1,"-")</f>
        <v>9</v>
      </c>
      <c r="I1577" s="64" t="str">
        <f aca="false">IF('Onshore- Melbourne'!E368="","Harga belum tersedia - hubungi konsultan TEG",IF(M1577=2,"Saat ini tidak menerima pendaftaran siswa internasional baru",IF(M1577=1,"Harga perlu dikonfirmasi ke sekolah"&amp;IF(""="","","; "&amp;""),"")))</f>
        <v>Harga perlu dikonfirmasi ke sekolah</v>
      </c>
      <c r="J1577" s="0" t="s">
        <v>4421</v>
      </c>
      <c r="K1577" s="0" t="n">
        <f aca="false">IF(M1577=2,"",IF(ISNUMBER(SEARCH("rata-rata:",'Onshore- Melbourne'!M368)),VALUE(MID('Onshore- Melbourne'!M368,SEARCH("rata-rata:",'Onshore- Melbourne'!M368)+11,FIND(";",'Onshore- Melbourne'!M368&amp;";",SEARCH("rata-rata:",'Onshore- Melbourne'!M368))-SEARCH("rata-rata:",'Onshore- Melbourne'!M368)-11)),IF('Onshore- Melbourne'!D368="Semester",'Onshore- Melbourne'!E368*2,IF('Onshore- Melbourne'!D368="Trimester",'Onshore- Melbourne'!E368*3,IF('Onshore- Melbourne'!D368="Term",'Onshore- Melbourne'!E368*4,IF('Onshore- Melbourne'!D368="Unit",'Onshore- Melbourne'!E368*8,""))))))</f>
        <v>18000</v>
      </c>
      <c r="L1577" s="0" t="n">
        <f aca="false">IF(AND(ISNUMBER('Onshore- Melbourne'!E368),ISNUMBER(K1577),ISNUMBER('Onshore- Melbourne'!F368),ISNUMBER('Onshore- Melbourne'!G368),OR('Onshore- Melbourne'!F368&lt;&gt;0,ISNUMBER(SEARCH("Material 0 terverifikasi",'Onshore- Melbourne'!M368))),OR('Onshore- Melbourne'!G368&lt;&gt;0,ISNUMBER(SEARCH("Enrolment 0 terverifikasi",'Onshore- Melbourne'!M368)))),1,0)</f>
        <v>1</v>
      </c>
      <c r="M1577" s="0" t="n">
        <f aca="false">IF(OR('Onshore- Melbourne'!E368="",ISNUMBER(SEARCH("BSB80120",'Onshore- Melbourne'!B368&amp;'Onshore- Melbourne'!M368)),ISNUMBER(SEARCH("Management (Learning)",'Onshore- Melbourne'!B368))),2,IF(ISNUMBER(SEARCH("CEK:",'Onshore- Melbourne'!M368)),1,0))</f>
        <v>1</v>
      </c>
    </row>
    <row r="1578" customFormat="false" ht="15" hidden="false" customHeight="false" outlineLevel="0" collapsed="false">
      <c r="A1578" s="63" t="s">
        <v>3544</v>
      </c>
      <c r="B1578" s="64" t="s">
        <v>4374</v>
      </c>
      <c r="C1578" s="63" t="s">
        <v>43</v>
      </c>
      <c r="D1578" s="64" t="str">
        <f aca="false">TRIM(LEFT('Onshore- Melbourne'!A392,FIND(CHAR(10),'Onshore- Melbourne'!A392&amp;CHAR(10))-1))</f>
        <v>Ozford Institute of Higher Education</v>
      </c>
      <c r="E1578" s="63" t="str">
        <f aca="false">'Onshore- Melbourne'!C396&amp;""</f>
        <v>3 years</v>
      </c>
      <c r="F1578" s="63" t="str">
        <f aca="false">IF('Onshore- Melbourne'!D396="","Belum tercatat",'Onshore- Melbourne'!D396)</f>
        <v>Term</v>
      </c>
      <c r="G1578" s="65" t="n">
        <f aca="false">IF('Onshore- Melbourne'!E396="","-",'Onshore- Melbourne'!E396)</f>
        <v>4950</v>
      </c>
      <c r="H1578" s="63" t="n">
        <f aca="false">IF(ISNUMBER(K1578),COUNTIFS($J$6:$J$1916,J1578,$K$6:$K$1916,"&lt;"&amp;K1578)+1,"-")</f>
        <v>10</v>
      </c>
      <c r="I1578" s="64" t="str">
        <f aca="false">IF('Onshore- Melbourne'!E396="","Harga belum tersedia - hubungi konsultan TEG",IF(M1578=2,"Saat ini tidak menerima pendaftaran siswa internasional baru",IF(M1578=1,"Harga perlu dikonfirmasi ke sekolah"&amp;IF(""="","","; "&amp;""),"")))</f>
        <v>Harga perlu dikonfirmasi ke sekolah</v>
      </c>
      <c r="J1578" s="0" t="s">
        <v>4421</v>
      </c>
      <c r="K1578" s="0" t="n">
        <f aca="false">IF(M1578=2,"",IF(ISNUMBER(SEARCH("rata-rata:",'Onshore- Melbourne'!M396)),VALUE(MID('Onshore- Melbourne'!M396,SEARCH("rata-rata:",'Onshore- Melbourne'!M396)+11,FIND(";",'Onshore- Melbourne'!M396&amp;";",SEARCH("rata-rata:",'Onshore- Melbourne'!M396))-SEARCH("rata-rata:",'Onshore- Melbourne'!M396)-11)),IF('Onshore- Melbourne'!D396="Semester",'Onshore- Melbourne'!E396*2,IF('Onshore- Melbourne'!D396="Trimester",'Onshore- Melbourne'!E396*3,IF('Onshore- Melbourne'!D396="Term",'Onshore- Melbourne'!E396*4,IF('Onshore- Melbourne'!D396="Unit",'Onshore- Melbourne'!E396*8,""))))))</f>
        <v>19800</v>
      </c>
      <c r="L1578" s="0" t="n">
        <f aca="false">IF(AND(ISNUMBER('Onshore- Melbourne'!E396),ISNUMBER(K1578),ISNUMBER('Onshore- Melbourne'!F396),ISNUMBER('Onshore- Melbourne'!G396),OR('Onshore- Melbourne'!F396&lt;&gt;0,ISNUMBER(SEARCH("Material 0 terverifikasi",'Onshore- Melbourne'!M396))),OR('Onshore- Melbourne'!G396&lt;&gt;0,ISNUMBER(SEARCH("Enrolment 0 terverifikasi",'Onshore- Melbourne'!M396)))),1,0)</f>
        <v>1</v>
      </c>
      <c r="M1578" s="0" t="n">
        <f aca="false">IF(OR('Onshore- Melbourne'!E396="",ISNUMBER(SEARCH("BSB80120",'Onshore- Melbourne'!B396&amp;'Onshore- Melbourne'!M396)),ISNUMBER(SEARCH("Management (Learning)",'Onshore- Melbourne'!B396))),2,IF(ISNUMBER(SEARCH("CEK:",'Onshore- Melbourne'!M396)),1,0))</f>
        <v>1</v>
      </c>
    </row>
    <row r="1579" customFormat="false" ht="15" hidden="false" customHeight="false" outlineLevel="0" collapsed="false">
      <c r="A1579" s="63" t="s">
        <v>3544</v>
      </c>
      <c r="B1579" s="64" t="s">
        <v>4374</v>
      </c>
      <c r="C1579" s="63" t="s">
        <v>43</v>
      </c>
      <c r="D1579" s="64" t="str">
        <f aca="false">TRIM(LEFT('Onshore- Melbourne'!A6,FIND(CHAR(10),'Onshore- Melbourne'!A6&amp;CHAR(10))-1))</f>
        <v>Academies Australasia</v>
      </c>
      <c r="E1579" s="63" t="str">
        <f aca="false">'Onshore- Melbourne'!C10&amp;""</f>
        <v>3 years</v>
      </c>
      <c r="F1579" s="63" t="str">
        <f aca="false">IF('Onshore- Melbourne'!D10="","Belum tercatat",'Onshore- Melbourne'!D10)</f>
        <v>Term</v>
      </c>
      <c r="G1579" s="65" t="n">
        <f aca="false">IF('Onshore- Melbourne'!E10="","-",'Onshore- Melbourne'!E10)</f>
        <v>5000</v>
      </c>
      <c r="H1579" s="63" t="n">
        <f aca="false">IF(ISNUMBER(K1579),COUNTIFS($J$6:$J$1916,J1579,$K$6:$K$1916,"&lt;"&amp;K1579)+1,"-")</f>
        <v>11</v>
      </c>
      <c r="I1579" s="64" t="str">
        <f aca="false">IF('Onshore- Melbourne'!E10="","Harga belum tersedia - hubungi konsultan TEG",IF(M1579=2,"Saat ini tidak menerima pendaftaran siswa internasional baru",IF(M1579=1,"Harga perlu dikonfirmasi ke sekolah"&amp;IF(""="","","; "&amp;""),"")))</f>
        <v/>
      </c>
      <c r="J1579" s="0" t="s">
        <v>4421</v>
      </c>
      <c r="K1579" s="0" t="n">
        <f aca="false">IF(M1579=2,"",IF(ISNUMBER(SEARCH("rata-rata:",'Onshore- Melbourne'!M10)),VALUE(MID('Onshore- Melbourne'!M10,SEARCH("rata-rata:",'Onshore- Melbourne'!M10)+11,FIND(";",'Onshore- Melbourne'!M10&amp;";",SEARCH("rata-rata:",'Onshore- Melbourne'!M10))-SEARCH("rata-rata:",'Onshore- Melbourne'!M10)-11)),IF('Onshore- Melbourne'!D10="Semester",'Onshore- Melbourne'!E10*2,IF('Onshore- Melbourne'!D10="Trimester",'Onshore- Melbourne'!E10*3,IF('Onshore- Melbourne'!D10="Term",'Onshore- Melbourne'!E10*4,IF('Onshore- Melbourne'!D10="Unit",'Onshore- Melbourne'!E10*8,""))))))</f>
        <v>20000</v>
      </c>
      <c r="L1579" s="0" t="n">
        <f aca="false">IF(AND(ISNUMBER('Onshore- Melbourne'!E10),ISNUMBER(K1579),ISNUMBER('Onshore- Melbourne'!F10),ISNUMBER('Onshore- Melbourne'!G10),OR('Onshore- Melbourne'!F10&lt;&gt;0,ISNUMBER(SEARCH("Material 0 terverifikasi",'Onshore- Melbourne'!M10))),OR('Onshore- Melbourne'!G10&lt;&gt;0,ISNUMBER(SEARCH("Enrolment 0 terverifikasi",'Onshore- Melbourne'!M10)))),1,0)</f>
        <v>1</v>
      </c>
      <c r="M1579" s="0" t="n">
        <f aca="false">IF(OR('Onshore- Melbourne'!E10="",ISNUMBER(SEARCH("BSB80120",'Onshore- Melbourne'!B10&amp;'Onshore- Melbourne'!M10)),ISNUMBER(SEARCH("Management (Learning)",'Onshore- Melbourne'!B10))),2,IF(ISNUMBER(SEARCH("CEK:",'Onshore- Melbourne'!M10)),1,0))</f>
        <v>0</v>
      </c>
    </row>
    <row r="1580" customFormat="false" ht="15" hidden="false" customHeight="false" outlineLevel="0" collapsed="false">
      <c r="A1580" s="63" t="s">
        <v>3544</v>
      </c>
      <c r="B1580" s="64" t="s">
        <v>4374</v>
      </c>
      <c r="C1580" s="63" t="s">
        <v>43</v>
      </c>
      <c r="D1580" s="64" t="str">
        <f aca="false">TRIM(LEFT('Onshore- Melbourne'!A18,FIND(CHAR(10),'Onshore- Melbourne'!A18&amp;CHAR(10))-1))</f>
        <v>Academy of Interactive Technology (AIT)</v>
      </c>
      <c r="E1580" s="63" t="str">
        <f aca="false">'Onshore- Melbourne'!C22&amp;""</f>
        <v>3 years</v>
      </c>
      <c r="F1580" s="63" t="str">
        <f aca="false">IF('Onshore- Melbourne'!D22="","Belum tercatat",'Onshore- Melbourne'!D22)</f>
        <v>Term</v>
      </c>
      <c r="G1580" s="65" t="n">
        <f aca="false">IF('Onshore- Melbourne'!E22="","-",'Onshore- Melbourne'!E22)</f>
        <v>5750</v>
      </c>
      <c r="H1580" s="63" t="n">
        <f aca="false">IF(ISNUMBER(K1580),COUNTIFS($J$6:$J$1916,J1580,$K$6:$K$1916,"&lt;"&amp;K1580)+1,"-")</f>
        <v>12</v>
      </c>
      <c r="I1580" s="64" t="str">
        <f aca="false">IF('Onshore- Melbourne'!E22="","Harga belum tersedia - hubungi konsultan TEG",IF(M1580=2,"Saat ini tidak menerima pendaftaran siswa internasional baru",IF(M1580=1,"Program perlu dikonfirmasi ketersediaannya"&amp;IF(""="","","; "&amp;""),"")))</f>
        <v>Program perlu dikonfirmasi ketersediaannya</v>
      </c>
      <c r="J1580" s="0" t="s">
        <v>4421</v>
      </c>
      <c r="K1580" s="0" t="n">
        <f aca="false">IF(M1580=2,"",IF(ISNUMBER(SEARCH("rata-rata:",'Onshore- Melbourne'!M22)),VALUE(MID('Onshore- Melbourne'!M22,SEARCH("rata-rata:",'Onshore- Melbourne'!M22)+11,FIND(";",'Onshore- Melbourne'!M22&amp;";",SEARCH("rata-rata:",'Onshore- Melbourne'!M22))-SEARCH("rata-rata:",'Onshore- Melbourne'!M22)-11)),IF('Onshore- Melbourne'!D22="Semester",'Onshore- Melbourne'!E22*2,IF('Onshore- Melbourne'!D22="Trimester",'Onshore- Melbourne'!E22*3,IF('Onshore- Melbourne'!D22="Term",'Onshore- Melbourne'!E22*4,IF('Onshore- Melbourne'!D22="Unit",'Onshore- Melbourne'!E22*8,""))))))</f>
        <v>23000</v>
      </c>
      <c r="L1580" s="0" t="n">
        <f aca="false">IF(AND(ISNUMBER('Onshore- Melbourne'!E22),ISNUMBER(K1580),ISNUMBER('Onshore- Melbourne'!F22),ISNUMBER('Onshore- Melbourne'!G22),OR('Onshore- Melbourne'!F22&lt;&gt;0,ISNUMBER(SEARCH("Material 0 terverifikasi",'Onshore- Melbourne'!M22))),OR('Onshore- Melbourne'!G22&lt;&gt;0,ISNUMBER(SEARCH("Enrolment 0 terverifikasi",'Onshore- Melbourne'!M22)))),1,0)</f>
        <v>0</v>
      </c>
      <c r="M1580" s="0" t="n">
        <f aca="false">IF(OR('Onshore- Melbourne'!E22="",ISNUMBER(SEARCH("BSB80120",'Onshore- Melbourne'!B22&amp;'Onshore- Melbourne'!M22)),ISNUMBER(SEARCH("Management (Learning)",'Onshore- Melbourne'!B22))),2,IF(ISNUMBER(SEARCH("CEK:",'Onshore- Melbourne'!M22)),1,0))</f>
        <v>1</v>
      </c>
    </row>
    <row r="1581" customFormat="false" ht="15" hidden="false" customHeight="false" outlineLevel="0" collapsed="false">
      <c r="A1581" s="63" t="s">
        <v>3544</v>
      </c>
      <c r="B1581" s="64" t="s">
        <v>4374</v>
      </c>
      <c r="C1581" s="63" t="s">
        <v>43</v>
      </c>
      <c r="D1581" s="64" t="str">
        <f aca="false">TRIM(LEFT('Onshore- Melbourne'!A461,FIND(CHAR(10),'Onshore- Melbourne'!A461&amp;CHAR(10))-1))</f>
        <v>Torrens University Australia</v>
      </c>
      <c r="E1581" s="63" t="str">
        <f aca="false">'Onshore- Melbourne'!C511&amp;""</f>
        <v>3 years</v>
      </c>
      <c r="F1581" s="63" t="str">
        <f aca="false">IF('Onshore- Melbourne'!D511="","Belum tercatat",'Onshore- Melbourne'!D511)</f>
        <v>Term</v>
      </c>
      <c r="G1581" s="65" t="n">
        <f aca="false">IF('Onshore- Melbourne'!E511="","-",'Onshore- Melbourne'!E511)</f>
        <v>7900</v>
      </c>
      <c r="H1581" s="63" t="n">
        <f aca="false">IF(ISNUMBER(K1581),COUNTIFS($J$6:$J$1916,J1581,$K$6:$K$1916,"&lt;"&amp;K1581)+1,"-")</f>
        <v>13</v>
      </c>
      <c r="I1581" s="64" t="str">
        <f aca="false">IF('Onshore- Melbourne'!E511="","Harga belum tersedia - hubungi konsultan TEG",IF(M1581=2,"Saat ini tidak menerima pendaftaran siswa internasional baru",IF(M1581=1,"Harga perlu dikonfirmasi ke sekolah"&amp;IF(""="","","; "&amp;""),"")))</f>
        <v/>
      </c>
      <c r="J1581" s="0" t="s">
        <v>4421</v>
      </c>
      <c r="K1581" s="0" t="n">
        <f aca="false">IF(M1581=2,"",IF(ISNUMBER(SEARCH("rata-rata:",'Onshore- Melbourne'!M511)),VALUE(MID('Onshore- Melbourne'!M511,SEARCH("rata-rata:",'Onshore- Melbourne'!M511)+11,FIND(";",'Onshore- Melbourne'!M511&amp;";",SEARCH("rata-rata:",'Onshore- Melbourne'!M511))-SEARCH("rata-rata:",'Onshore- Melbourne'!M511)-11)),IF('Onshore- Melbourne'!D511="Semester",'Onshore- Melbourne'!E511*2,IF('Onshore- Melbourne'!D511="Trimester",'Onshore- Melbourne'!E511*3,IF('Onshore- Melbourne'!D511="Term",'Onshore- Melbourne'!E511*4,IF('Onshore- Melbourne'!D511="Unit",'Onshore- Melbourne'!E511*8,""))))))</f>
        <v>31600</v>
      </c>
      <c r="L1581" s="0" t="n">
        <f aca="false">IF(AND(ISNUMBER('Onshore- Melbourne'!E511),ISNUMBER(K1581),ISNUMBER('Onshore- Melbourne'!F511),ISNUMBER('Onshore- Melbourne'!G511),OR('Onshore- Melbourne'!F511&lt;&gt;0,ISNUMBER(SEARCH("Material 0 terverifikasi",'Onshore- Melbourne'!M511))),OR('Onshore- Melbourne'!G511&lt;&gt;0,ISNUMBER(SEARCH("Enrolment 0 terverifikasi",'Onshore- Melbourne'!M511)))),1,0)</f>
        <v>0</v>
      </c>
      <c r="M1581" s="0" t="n">
        <f aca="false">IF(OR('Onshore- Melbourne'!E511="",ISNUMBER(SEARCH("BSB80120",'Onshore- Melbourne'!B511&amp;'Onshore- Melbourne'!M511)),ISNUMBER(SEARCH("Management (Learning)",'Onshore- Melbourne'!B511))),2,IF(ISNUMBER(SEARCH("CEK:",'Onshore- Melbourne'!M511)),1,0))</f>
        <v>0</v>
      </c>
    </row>
    <row r="1582" customFormat="false" ht="15" hidden="false" customHeight="false" outlineLevel="0" collapsed="false">
      <c r="A1582" s="63" t="s">
        <v>3544</v>
      </c>
      <c r="B1582" s="64" t="s">
        <v>4374</v>
      </c>
      <c r="C1582" s="63" t="s">
        <v>43</v>
      </c>
      <c r="D1582" s="64" t="str">
        <f aca="false">TRIM(LEFT('Onshore- Melbourne'!A94,FIND(CHAR(10),'Onshore- Melbourne'!A94&amp;CHAR(10))-1))</f>
        <v>Australian Catholic University (ACU)</v>
      </c>
      <c r="E1582" s="63" t="str">
        <f aca="false">'Onshore- Melbourne'!C108&amp;""</f>
        <v>3 years</v>
      </c>
      <c r="F1582" s="63" t="str">
        <f aca="false">IF('Onshore- Melbourne'!D108="","Belum tercatat",'Onshore- Melbourne'!D108)</f>
        <v>Term</v>
      </c>
      <c r="G1582" s="65" t="n">
        <f aca="false">IF('Onshore- Melbourne'!E108="","-",'Onshore- Melbourne'!E108)</f>
        <v>8742</v>
      </c>
      <c r="H1582" s="63" t="n">
        <f aca="false">IF(ISNUMBER(K1582),COUNTIFS($J$6:$J$1916,J1582,$K$6:$K$1916,"&lt;"&amp;K1582)+1,"-")</f>
        <v>14</v>
      </c>
      <c r="I1582" s="64" t="str">
        <f aca="false">IF('Onshore- Melbourne'!E108="","Harga belum tersedia - hubungi konsultan TEG",IF(M1582=2,"Saat ini tidak menerima pendaftaran siswa internasional baru",IF(M1582=1,"Harga perlu dikonfirmasi ke sekolah"&amp;IF(""="","","; "&amp;""),"")))</f>
        <v/>
      </c>
      <c r="J1582" s="0" t="s">
        <v>4421</v>
      </c>
      <c r="K1582" s="0" t="n">
        <f aca="false">IF(M1582=2,"",IF(ISNUMBER(SEARCH("rata-rata:",'Onshore- Melbourne'!M108)),VALUE(MID('Onshore- Melbourne'!M108,SEARCH("rata-rata:",'Onshore- Melbourne'!M108)+11,FIND(";",'Onshore- Melbourne'!M108&amp;";",SEARCH("rata-rata:",'Onshore- Melbourne'!M108))-SEARCH("rata-rata:",'Onshore- Melbourne'!M108)-11)),IF('Onshore- Melbourne'!D108="Semester",'Onshore- Melbourne'!E108*2,IF('Onshore- Melbourne'!D108="Trimester",'Onshore- Melbourne'!E108*3,IF('Onshore- Melbourne'!D108="Term",'Onshore- Melbourne'!E108*4,IF('Onshore- Melbourne'!D108="Unit",'Onshore- Melbourne'!E108*8,""))))))</f>
        <v>34968</v>
      </c>
      <c r="L1582" s="0" t="n">
        <f aca="false">IF(AND(ISNUMBER('Onshore- Melbourne'!E108),ISNUMBER(K1582),ISNUMBER('Onshore- Melbourne'!F108),ISNUMBER('Onshore- Melbourne'!G108),OR('Onshore- Melbourne'!F108&lt;&gt;0,ISNUMBER(SEARCH("Material 0 terverifikasi",'Onshore- Melbourne'!M108))),OR('Onshore- Melbourne'!G108&lt;&gt;0,ISNUMBER(SEARCH("Enrolment 0 terverifikasi",'Onshore- Melbourne'!M108)))),1,0)</f>
        <v>0</v>
      </c>
      <c r="M1582" s="0" t="n">
        <f aca="false">IF(OR('Onshore- Melbourne'!E108="",ISNUMBER(SEARCH("BSB80120",'Onshore- Melbourne'!B108&amp;'Onshore- Melbourne'!M108)),ISNUMBER(SEARCH("Management (Learning)",'Onshore- Melbourne'!B108))),2,IF(ISNUMBER(SEARCH("CEK:",'Onshore- Melbourne'!M108)),1,0))</f>
        <v>0</v>
      </c>
    </row>
    <row r="1583" customFormat="false" ht="15" hidden="false" customHeight="false" outlineLevel="0" collapsed="false">
      <c r="A1583" s="63" t="s">
        <v>3544</v>
      </c>
      <c r="B1583" s="64" t="s">
        <v>4374</v>
      </c>
      <c r="C1583" s="63" t="s">
        <v>43</v>
      </c>
      <c r="D1583" s="64" t="str">
        <f aca="false">TRIM(LEFT('Onshore- Melbourne'!A566,FIND(CHAR(10),'Onshore- Melbourne'!A566&amp;CHAR(10))-1))</f>
        <v>University of Tasmania (UTAS)</v>
      </c>
      <c r="E1583" s="63" t="str">
        <f aca="false">'Onshore- Melbourne'!C568&amp;""</f>
        <v>3 years</v>
      </c>
      <c r="F1583" s="63" t="str">
        <f aca="false">IF('Onshore- Melbourne'!D568="","Belum tercatat",'Onshore- Melbourne'!D568)</f>
        <v>Term</v>
      </c>
      <c r="G1583" s="65" t="n">
        <f aca="false">IF('Onshore- Melbourne'!E568="","-",'Onshore- Melbourne'!E568)</f>
        <v>9987.5</v>
      </c>
      <c r="H1583" s="63" t="n">
        <f aca="false">IF(ISNUMBER(K1583),COUNTIFS($J$6:$J$1916,J1583,$K$6:$K$1916,"&lt;"&amp;K1583)+1,"-")</f>
        <v>15</v>
      </c>
      <c r="I1583" s="64" t="str">
        <f aca="false">IF('Onshore- Melbourne'!E568="","Harga belum tersedia - hubungi konsultan TEG",IF(M1583=2,"Saat ini tidak menerima pendaftaran siswa internasional baru",IF(M1583=1,"Harga perlu dikonfirmasi ke sekolah"&amp;IF(""="","","; "&amp;""),"")))</f>
        <v>Harga perlu dikonfirmasi ke sekolah</v>
      </c>
      <c r="J1583" s="0" t="s">
        <v>4421</v>
      </c>
      <c r="K1583" s="0" t="n">
        <f aca="false">IF(M1583=2,"",IF(ISNUMBER(SEARCH("rata-rata:",'Onshore- Melbourne'!M568)),VALUE(MID('Onshore- Melbourne'!M568,SEARCH("rata-rata:",'Onshore- Melbourne'!M568)+11,FIND(";",'Onshore- Melbourne'!M568&amp;";",SEARCH("rata-rata:",'Onshore- Melbourne'!M568))-SEARCH("rata-rata:",'Onshore- Melbourne'!M568)-11)),IF('Onshore- Melbourne'!D568="Semester",'Onshore- Melbourne'!E568*2,IF('Onshore- Melbourne'!D568="Trimester",'Onshore- Melbourne'!E568*3,IF('Onshore- Melbourne'!D568="Term",'Onshore- Melbourne'!E568*4,IF('Onshore- Melbourne'!D568="Unit",'Onshore- Melbourne'!E568*8,""))))))</f>
        <v>39950</v>
      </c>
      <c r="L1583" s="0" t="n">
        <f aca="false">IF(AND(ISNUMBER('Onshore- Melbourne'!E568),ISNUMBER(K1583),ISNUMBER('Onshore- Melbourne'!F568),ISNUMBER('Onshore- Melbourne'!G568),OR('Onshore- Melbourne'!F568&lt;&gt;0,ISNUMBER(SEARCH("Material 0 terverifikasi",'Onshore- Melbourne'!M568))),OR('Onshore- Melbourne'!G568&lt;&gt;0,ISNUMBER(SEARCH("Enrolment 0 terverifikasi",'Onshore- Melbourne'!M568)))),1,0)</f>
        <v>0</v>
      </c>
      <c r="M1583" s="0" t="n">
        <f aca="false">IF(OR('Onshore- Melbourne'!E568="",ISNUMBER(SEARCH("BSB80120",'Onshore- Melbourne'!B568&amp;'Onshore- Melbourne'!M568)),ISNUMBER(SEARCH("Management (Learning)",'Onshore- Melbourne'!B568))),2,IF(ISNUMBER(SEARCH("CEK:",'Onshore- Melbourne'!M568)),1,0))</f>
        <v>1</v>
      </c>
    </row>
    <row r="1584" customFormat="false" ht="15" hidden="false" customHeight="false" outlineLevel="0" collapsed="false">
      <c r="A1584" s="61" t="s">
        <v>4422</v>
      </c>
      <c r="B1584" s="62"/>
      <c r="C1584" s="62"/>
      <c r="D1584" s="62"/>
      <c r="E1584" s="62"/>
      <c r="F1584" s="62"/>
      <c r="G1584" s="62"/>
      <c r="H1584" s="62"/>
      <c r="I1584" s="62"/>
    </row>
    <row r="1585" customFormat="false" ht="15" hidden="false" customHeight="false" outlineLevel="0" collapsed="false">
      <c r="A1585" s="63" t="s">
        <v>3544</v>
      </c>
      <c r="B1585" s="64" t="s">
        <v>4374</v>
      </c>
      <c r="C1585" s="63" t="s">
        <v>3707</v>
      </c>
      <c r="D1585" s="64" t="str">
        <f aca="false">TRIM(LEFT('Onshore- Melbourne'!A29,FIND(CHAR(10),'Onshore- Melbourne'!A29&amp;CHAR(10))-1))</f>
        <v>AIBI Higher Education</v>
      </c>
      <c r="E1585" s="63" t="str">
        <f aca="false">'Onshore- Melbourne'!C42&amp;""</f>
        <v>8 months</v>
      </c>
      <c r="F1585" s="63" t="str">
        <f aca="false">IF('Onshore- Melbourne'!D42="","Belum tercatat",'Onshore- Melbourne'!D42)</f>
        <v>Term</v>
      </c>
      <c r="G1585" s="65" t="n">
        <f aca="false">IF('Onshore- Melbourne'!E42="","-",'Onshore- Melbourne'!E42)</f>
        <v>2700</v>
      </c>
      <c r="H1585" s="63" t="n">
        <f aca="false">IF(ISNUMBER(K1585),COUNTIFS($J$6:$J$1916,J1585,$K$6:$K$1916,"&lt;"&amp;K1585)+1,"-")</f>
        <v>1</v>
      </c>
      <c r="I1585" s="64" t="str">
        <f aca="false">IF('Onshore- Melbourne'!E42="","Harga belum tersedia - hubungi konsultan TEG",IF(M1585=2,"Saat ini tidak menerima pendaftaran siswa internasional baru",IF(M1585=1,"Harga perlu dikonfirmasi ke sekolah"&amp;IF(""="","","; "&amp;""),"")))</f>
        <v>Harga perlu dikonfirmasi ke sekolah</v>
      </c>
      <c r="J1585" s="0" t="s">
        <v>4423</v>
      </c>
      <c r="K1585" s="0" t="n">
        <f aca="false">IF(M1585=2,"",IF(ISNUMBER(SEARCH("rata-rata:",'Onshore- Melbourne'!M42)),VALUE(MID('Onshore- Melbourne'!M42,SEARCH("rata-rata:",'Onshore- Melbourne'!M42)+11,FIND(";",'Onshore- Melbourne'!M42&amp;";",SEARCH("rata-rata:",'Onshore- Melbourne'!M42))-SEARCH("rata-rata:",'Onshore- Melbourne'!M42)-11)),IF('Onshore- Melbourne'!D42="Semester",'Onshore- Melbourne'!E42*2,IF('Onshore- Melbourne'!D42="Trimester",'Onshore- Melbourne'!E42*3,IF('Onshore- Melbourne'!D42="Term",'Onshore- Melbourne'!E42*4,IF('Onshore- Melbourne'!D42="Unit",'Onshore- Melbourne'!E42*8,""))))))</f>
        <v>10800</v>
      </c>
      <c r="L1585" s="0" t="n">
        <f aca="false">IF(AND(ISNUMBER('Onshore- Melbourne'!E42),ISNUMBER(K1585),ISNUMBER('Onshore- Melbourne'!F42),ISNUMBER('Onshore- Melbourne'!G42),OR('Onshore- Melbourne'!F42&lt;&gt;0,ISNUMBER(SEARCH("Material 0 terverifikasi",'Onshore- Melbourne'!M42))),OR('Onshore- Melbourne'!G42&lt;&gt;0,ISNUMBER(SEARCH("Enrolment 0 terverifikasi",'Onshore- Melbourne'!M42)))),1,0)</f>
        <v>0</v>
      </c>
      <c r="M1585" s="0" t="n">
        <f aca="false">IF(OR('Onshore- Melbourne'!E42="",ISNUMBER(SEARCH("BSB80120",'Onshore- Melbourne'!B42&amp;'Onshore- Melbourne'!M42)),ISNUMBER(SEARCH("Management (Learning)",'Onshore- Melbourne'!B42))),2,IF(ISNUMBER(SEARCH("CEK:",'Onshore- Melbourne'!M42)),1,0))</f>
        <v>1</v>
      </c>
    </row>
    <row r="1586" customFormat="false" ht="15" hidden="false" customHeight="false" outlineLevel="0" collapsed="false">
      <c r="A1586" s="63" t="s">
        <v>3544</v>
      </c>
      <c r="B1586" s="64" t="s">
        <v>4374</v>
      </c>
      <c r="C1586" s="63" t="s">
        <v>3707</v>
      </c>
      <c r="D1586" s="64" t="str">
        <f aca="false">TRIM(LEFT('Onshore- Melbourne'!A445,FIND(CHAR(10),'Onshore- Melbourne'!A445&amp;CHAR(10))-1))</f>
        <v>The Institute of International Studies (TIIS)</v>
      </c>
      <c r="E1586" s="63" t="str">
        <f aca="false">'Onshore- Melbourne'!C445&amp;""</f>
        <v>0,5 years</v>
      </c>
      <c r="F1586" s="63" t="str">
        <f aca="false">IF('Onshore- Melbourne'!D445="","Belum tercatat",'Onshore- Melbourne'!D445)</f>
        <v>Term</v>
      </c>
      <c r="G1586" s="65" t="n">
        <f aca="false">IF('Onshore- Melbourne'!E445="","-",'Onshore- Melbourne'!E445)</f>
        <v>4500</v>
      </c>
      <c r="H1586" s="63" t="n">
        <f aca="false">IF(ISNUMBER(K1586),COUNTIFS($J$6:$J$1916,J1586,$K$6:$K$1916,"&lt;"&amp;K1586)+1,"-")</f>
        <v>2</v>
      </c>
      <c r="I1586" s="64" t="str">
        <f aca="false">IF('Onshore- Melbourne'!E445="","Harga belum tersedia - hubungi konsultan TEG",IF(M1586=2,"Saat ini tidak menerima pendaftaran siswa internasional baru",IF(M1586=1,"Harga perlu dikonfirmasi ke sekolah"&amp;IF(""="","","; "&amp;""),"")))</f>
        <v/>
      </c>
      <c r="J1586" s="0" t="s">
        <v>4423</v>
      </c>
      <c r="K1586" s="0" t="n">
        <f aca="false">IF(M1586=2,"",IF(ISNUMBER(SEARCH("rata-rata:",'Onshore- Melbourne'!M445)),VALUE(MID('Onshore- Melbourne'!M445,SEARCH("rata-rata:",'Onshore- Melbourne'!M445)+11,FIND(";",'Onshore- Melbourne'!M445&amp;";",SEARCH("rata-rata:",'Onshore- Melbourne'!M445))-SEARCH("rata-rata:",'Onshore- Melbourne'!M445)-11)),IF('Onshore- Melbourne'!D445="Semester",'Onshore- Melbourne'!E445*2,IF('Onshore- Melbourne'!D445="Trimester",'Onshore- Melbourne'!E445*3,IF('Onshore- Melbourne'!D445="Term",'Onshore- Melbourne'!E445*4,IF('Onshore- Melbourne'!D445="Unit",'Onshore- Melbourne'!E445*8,""))))))</f>
        <v>18000</v>
      </c>
      <c r="L1586" s="0" t="n">
        <f aca="false">IF(AND(ISNUMBER('Onshore- Melbourne'!E445),ISNUMBER(K1586),ISNUMBER('Onshore- Melbourne'!F445),ISNUMBER('Onshore- Melbourne'!G445),OR('Onshore- Melbourne'!F445&lt;&gt;0,ISNUMBER(SEARCH("Material 0 terverifikasi",'Onshore- Melbourne'!M445))),OR('Onshore- Melbourne'!G445&lt;&gt;0,ISNUMBER(SEARCH("Enrolment 0 terverifikasi",'Onshore- Melbourne'!M445)))),1,0)</f>
        <v>0</v>
      </c>
      <c r="M1586" s="0" t="n">
        <f aca="false">IF(OR('Onshore- Melbourne'!E445="",ISNUMBER(SEARCH("BSB80120",'Onshore- Melbourne'!B445&amp;'Onshore- Melbourne'!M445)),ISNUMBER(SEARCH("Management (Learning)",'Onshore- Melbourne'!B445))),2,IF(ISNUMBER(SEARCH("CEK:",'Onshore- Melbourne'!M445)),1,0))</f>
        <v>0</v>
      </c>
    </row>
    <row r="1587" customFormat="false" ht="15" hidden="false" customHeight="false" outlineLevel="0" collapsed="false">
      <c r="A1587" s="63" t="s">
        <v>3544</v>
      </c>
      <c r="B1587" s="64" t="s">
        <v>4374</v>
      </c>
      <c r="C1587" s="63" t="s">
        <v>3707</v>
      </c>
      <c r="D1587" s="64" t="str">
        <f aca="false">TRIM(LEFT('Onshore- Melbourne'!A461,FIND(CHAR(10),'Onshore- Melbourne'!A461&amp;CHAR(10))-1))</f>
        <v>Torrens University Australia</v>
      </c>
      <c r="E1587" s="63" t="str">
        <f aca="false">'Onshore- Melbourne'!C482&amp;""</f>
        <v>1 year</v>
      </c>
      <c r="F1587" s="63" t="str">
        <f aca="false">IF('Onshore- Melbourne'!D482="","Belum tercatat",'Onshore- Melbourne'!D482)</f>
        <v>Term</v>
      </c>
      <c r="G1587" s="65" t="n">
        <f aca="false">IF('Onshore- Melbourne'!E482="","-",'Onshore- Melbourne'!E482)</f>
        <v>4500</v>
      </c>
      <c r="H1587" s="63" t="n">
        <f aca="false">IF(ISNUMBER(K1587),COUNTIFS($J$6:$J$1916,J1587,$K$6:$K$1916,"&lt;"&amp;K1587)+1,"-")</f>
        <v>2</v>
      </c>
      <c r="I1587" s="64" t="str">
        <f aca="false">IF('Onshore- Melbourne'!E482="","Harga belum tersedia - hubungi konsultan TEG",IF(M1587=2,"Saat ini tidak menerima pendaftaran siswa internasional baru",IF(M1587=1,"Harga perlu dikonfirmasi ke sekolah"&amp;IF(""="","","; "&amp;""),"")))</f>
        <v/>
      </c>
      <c r="J1587" s="0" t="s">
        <v>4423</v>
      </c>
      <c r="K1587" s="0" t="n">
        <f aca="false">IF(M1587=2,"",IF(ISNUMBER(SEARCH("rata-rata:",'Onshore- Melbourne'!M482)),VALUE(MID('Onshore- Melbourne'!M482,SEARCH("rata-rata:",'Onshore- Melbourne'!M482)+11,FIND(";",'Onshore- Melbourne'!M482&amp;";",SEARCH("rata-rata:",'Onshore- Melbourne'!M482))-SEARCH("rata-rata:",'Onshore- Melbourne'!M482)-11)),IF('Onshore- Melbourne'!D482="Semester",'Onshore- Melbourne'!E482*2,IF('Onshore- Melbourne'!D482="Trimester",'Onshore- Melbourne'!E482*3,IF('Onshore- Melbourne'!D482="Term",'Onshore- Melbourne'!E482*4,IF('Onshore- Melbourne'!D482="Unit",'Onshore- Melbourne'!E482*8,""))))))</f>
        <v>18000</v>
      </c>
      <c r="L1587" s="0" t="n">
        <f aca="false">IF(AND(ISNUMBER('Onshore- Melbourne'!E482),ISNUMBER(K1587),ISNUMBER('Onshore- Melbourne'!F482),ISNUMBER('Onshore- Melbourne'!G482),OR('Onshore- Melbourne'!F482&lt;&gt;0,ISNUMBER(SEARCH("Material 0 terverifikasi",'Onshore- Melbourne'!M482))),OR('Onshore- Melbourne'!G482&lt;&gt;0,ISNUMBER(SEARCH("Enrolment 0 terverifikasi",'Onshore- Melbourne'!M482)))),1,0)</f>
        <v>0</v>
      </c>
      <c r="M1587" s="0" t="n">
        <f aca="false">IF(OR('Onshore- Melbourne'!E482="",ISNUMBER(SEARCH("BSB80120",'Onshore- Melbourne'!B482&amp;'Onshore- Melbourne'!M482)),ISNUMBER(SEARCH("Management (Learning)",'Onshore- Melbourne'!B482))),2,IF(ISNUMBER(SEARCH("CEK:",'Onshore- Melbourne'!M482)),1,0))</f>
        <v>0</v>
      </c>
    </row>
    <row r="1588" customFormat="false" ht="15" hidden="false" customHeight="false" outlineLevel="0" collapsed="false">
      <c r="A1588" s="63" t="s">
        <v>3544</v>
      </c>
      <c r="B1588" s="64" t="s">
        <v>4374</v>
      </c>
      <c r="C1588" s="63" t="s">
        <v>3707</v>
      </c>
      <c r="D1588" s="64" t="str">
        <f aca="false">TRIM(LEFT('Onshore- Melbourne'!A392,FIND(CHAR(10),'Onshore- Melbourne'!A392&amp;CHAR(10))-1))</f>
        <v>Ozford Institute of Higher Education</v>
      </c>
      <c r="E1588" s="63" t="str">
        <f aca="false">'Onshore- Melbourne'!C398&amp;""</f>
        <v>1 year</v>
      </c>
      <c r="F1588" s="63" t="str">
        <f aca="false">IF('Onshore- Melbourne'!D398="","Belum tercatat",'Onshore- Melbourne'!D398)</f>
        <v>Term</v>
      </c>
      <c r="G1588" s="65" t="n">
        <f aca="false">IF('Onshore- Melbourne'!E398="","-",'Onshore- Melbourne'!E398)</f>
        <v>4740</v>
      </c>
      <c r="H1588" s="63" t="n">
        <f aca="false">IF(ISNUMBER(K1588),COUNTIFS($J$6:$J$1916,J1588,$K$6:$K$1916,"&lt;"&amp;K1588)+1,"-")</f>
        <v>4</v>
      </c>
      <c r="I1588" s="64" t="str">
        <f aca="false">IF('Onshore- Melbourne'!E398="","Harga belum tersedia - hubungi konsultan TEG",IF(M1588=2,"Saat ini tidak menerima pendaftaran siswa internasional baru",IF(M1588=1,"Harga perlu dikonfirmasi ke sekolah"&amp;IF(""="","","; "&amp;""),"")))</f>
        <v>Harga perlu dikonfirmasi ke sekolah</v>
      </c>
      <c r="J1588" s="0" t="s">
        <v>4423</v>
      </c>
      <c r="K1588" s="0" t="n">
        <f aca="false">IF(M1588=2,"",IF(ISNUMBER(SEARCH("rata-rata:",'Onshore- Melbourne'!M398)),VALUE(MID('Onshore- Melbourne'!M398,SEARCH("rata-rata:",'Onshore- Melbourne'!M398)+11,FIND(";",'Onshore- Melbourne'!M398&amp;";",SEARCH("rata-rata:",'Onshore- Melbourne'!M398))-SEARCH("rata-rata:",'Onshore- Melbourne'!M398)-11)),IF('Onshore- Melbourne'!D398="Semester",'Onshore- Melbourne'!E398*2,IF('Onshore- Melbourne'!D398="Trimester",'Onshore- Melbourne'!E398*3,IF('Onshore- Melbourne'!D398="Term",'Onshore- Melbourne'!E398*4,IF('Onshore- Melbourne'!D398="Unit",'Onshore- Melbourne'!E398*8,""))))))</f>
        <v>18960</v>
      </c>
      <c r="L1588" s="0" t="n">
        <f aca="false">IF(AND(ISNUMBER('Onshore- Melbourne'!E398),ISNUMBER(K1588),ISNUMBER('Onshore- Melbourne'!F398),ISNUMBER('Onshore- Melbourne'!G398),OR('Onshore- Melbourne'!F398&lt;&gt;0,ISNUMBER(SEARCH("Material 0 terverifikasi",'Onshore- Melbourne'!M398))),OR('Onshore- Melbourne'!G398&lt;&gt;0,ISNUMBER(SEARCH("Enrolment 0 terverifikasi",'Onshore- Melbourne'!M398)))),1,0)</f>
        <v>1</v>
      </c>
      <c r="M1588" s="0" t="n">
        <f aca="false">IF(OR('Onshore- Melbourne'!E398="",ISNUMBER(SEARCH("BSB80120",'Onshore- Melbourne'!B398&amp;'Onshore- Melbourne'!M398)),ISNUMBER(SEARCH("Management (Learning)",'Onshore- Melbourne'!B398))),2,IF(ISNUMBER(SEARCH("CEK:",'Onshore- Melbourne'!M398)),1,0))</f>
        <v>1</v>
      </c>
    </row>
    <row r="1589" customFormat="false" ht="15" hidden="false" customHeight="false" outlineLevel="0" collapsed="false">
      <c r="A1589" s="63" t="s">
        <v>3544</v>
      </c>
      <c r="B1589" s="64" t="s">
        <v>4374</v>
      </c>
      <c r="C1589" s="63" t="s">
        <v>3707</v>
      </c>
      <c r="D1589" s="64" t="str">
        <f aca="false">TRIM(LEFT('Onshore- Melbourne'!A94,FIND(CHAR(10),'Onshore- Melbourne'!A94&amp;CHAR(10))-1))</f>
        <v>Australian Catholic University (ACU)</v>
      </c>
      <c r="E1589" s="63" t="str">
        <f aca="false">'Onshore- Melbourne'!C118&amp;""</f>
        <v>0,5 year</v>
      </c>
      <c r="F1589" s="63" t="str">
        <f aca="false">IF('Onshore- Melbourne'!D118="","Belum tercatat",'Onshore- Melbourne'!D118)</f>
        <v>Term</v>
      </c>
      <c r="G1589" s="65" t="n">
        <f aca="false">IF('Onshore- Melbourne'!E118="","-",'Onshore- Melbourne'!E118)</f>
        <v>4762</v>
      </c>
      <c r="H1589" s="63" t="n">
        <f aca="false">IF(ISNUMBER(K1589),COUNTIFS($J$6:$J$1916,J1589,$K$6:$K$1916,"&lt;"&amp;K1589)+1,"-")</f>
        <v>5</v>
      </c>
      <c r="I1589" s="64" t="str">
        <f aca="false">IF('Onshore- Melbourne'!E118="","Harga belum tersedia - hubungi konsultan TEG",IF(M1589=2,"Saat ini tidak menerima pendaftaran siswa internasional baru",IF(M1589=1,"Harga perlu dikonfirmasi ke sekolah"&amp;IF(""="","","; "&amp;""),"")))</f>
        <v>Harga perlu dikonfirmasi ke sekolah</v>
      </c>
      <c r="J1589" s="0" t="s">
        <v>4423</v>
      </c>
      <c r="K1589" s="0" t="n">
        <f aca="false">IF(M1589=2,"",IF(ISNUMBER(SEARCH("rata-rata:",'Onshore- Melbourne'!M118)),VALUE(MID('Onshore- Melbourne'!M118,SEARCH("rata-rata:",'Onshore- Melbourne'!M118)+11,FIND(";",'Onshore- Melbourne'!M118&amp;";",SEARCH("rata-rata:",'Onshore- Melbourne'!M118))-SEARCH("rata-rata:",'Onshore- Melbourne'!M118)-11)),IF('Onshore- Melbourne'!D118="Semester",'Onshore- Melbourne'!E118*2,IF('Onshore- Melbourne'!D118="Trimester",'Onshore- Melbourne'!E118*3,IF('Onshore- Melbourne'!D118="Term",'Onshore- Melbourne'!E118*4,IF('Onshore- Melbourne'!D118="Unit",'Onshore- Melbourne'!E118*8,""))))))</f>
        <v>19048</v>
      </c>
      <c r="L1589" s="0" t="n">
        <f aca="false">IF(AND(ISNUMBER('Onshore- Melbourne'!E118),ISNUMBER(K1589),ISNUMBER('Onshore- Melbourne'!F118),ISNUMBER('Onshore- Melbourne'!G118),OR('Onshore- Melbourne'!F118&lt;&gt;0,ISNUMBER(SEARCH("Material 0 terverifikasi",'Onshore- Melbourne'!M118))),OR('Onshore- Melbourne'!G118&lt;&gt;0,ISNUMBER(SEARCH("Enrolment 0 terverifikasi",'Onshore- Melbourne'!M118)))),1,0)</f>
        <v>0</v>
      </c>
      <c r="M1589" s="0" t="n">
        <f aca="false">IF(OR('Onshore- Melbourne'!E118="",ISNUMBER(SEARCH("BSB80120",'Onshore- Melbourne'!B118&amp;'Onshore- Melbourne'!M118)),ISNUMBER(SEARCH("Management (Learning)",'Onshore- Melbourne'!B118))),2,IF(ISNUMBER(SEARCH("CEK:",'Onshore- Melbourne'!M118)),1,0))</f>
        <v>1</v>
      </c>
    </row>
    <row r="1590" customFormat="false" ht="15" hidden="false" customHeight="false" outlineLevel="0" collapsed="false">
      <c r="A1590" s="63" t="s">
        <v>3544</v>
      </c>
      <c r="B1590" s="64" t="s">
        <v>4374</v>
      </c>
      <c r="C1590" s="63" t="s">
        <v>3707</v>
      </c>
      <c r="D1590" s="64" t="str">
        <f aca="false">TRIM(LEFT('Onshore- Melbourne'!A77,FIND(CHAR(10),'Onshore- Melbourne'!A77&amp;CHAR(10))-1))</f>
        <v>Asia Pacific International College (APIC)</v>
      </c>
      <c r="E1590" s="63" t="str">
        <f aca="false">'Onshore- Melbourne'!C85&amp;""</f>
        <v>0,5 year</v>
      </c>
      <c r="F1590" s="63" t="str">
        <f aca="false">IF('Onshore- Melbourne'!D85="","Belum tercatat",'Onshore- Melbourne'!D85)</f>
        <v>Trimester</v>
      </c>
      <c r="G1590" s="65" t="n">
        <f aca="false">IF('Onshore- Melbourne'!E85="","-",'Onshore- Melbourne'!E85)</f>
        <v>7800</v>
      </c>
      <c r="H1590" s="63" t="n">
        <f aca="false">IF(ISNUMBER(K1590),COUNTIFS($J$6:$J$1916,J1590,$K$6:$K$1916,"&lt;"&amp;K1590)+1,"-")</f>
        <v>6</v>
      </c>
      <c r="I1590" s="64" t="str">
        <f aca="false">IF('Onshore- Melbourne'!E85="","Harga belum tersedia - hubungi konsultan TEG",IF(M1590=2,"Saat ini tidak menerima pendaftaran siswa internasional baru",IF(M1590=1,"Harga perlu dikonfirmasi ke sekolah"&amp;IF(""="","","; "&amp;""),"")))</f>
        <v>Harga perlu dikonfirmasi ke sekolah</v>
      </c>
      <c r="J1590" s="0" t="s">
        <v>4423</v>
      </c>
      <c r="K1590" s="0" t="n">
        <f aca="false">IF(M1590=2,"",IF(ISNUMBER(SEARCH("rata-rata:",'Onshore- Melbourne'!M85)),VALUE(MID('Onshore- Melbourne'!M85,SEARCH("rata-rata:",'Onshore- Melbourne'!M85)+11,FIND(";",'Onshore- Melbourne'!M85&amp;";",SEARCH("rata-rata:",'Onshore- Melbourne'!M85))-SEARCH("rata-rata:",'Onshore- Melbourne'!M85)-11)),IF('Onshore- Melbourne'!D85="Semester",'Onshore- Melbourne'!E85*2,IF('Onshore- Melbourne'!D85="Trimester",'Onshore- Melbourne'!E85*3,IF('Onshore- Melbourne'!D85="Term",'Onshore- Melbourne'!E85*4,IF('Onshore- Melbourne'!D85="Unit",'Onshore- Melbourne'!E85*8,""))))))</f>
        <v>23400</v>
      </c>
      <c r="L1590" s="0" t="n">
        <f aca="false">IF(AND(ISNUMBER('Onshore- Melbourne'!E85),ISNUMBER(K1590),ISNUMBER('Onshore- Melbourne'!F85),ISNUMBER('Onshore- Melbourne'!G85),OR('Onshore- Melbourne'!F85&lt;&gt;0,ISNUMBER(SEARCH("Material 0 terverifikasi",'Onshore- Melbourne'!M85))),OR('Onshore- Melbourne'!G85&lt;&gt;0,ISNUMBER(SEARCH("Enrolment 0 terverifikasi",'Onshore- Melbourne'!M85)))),1,0)</f>
        <v>0</v>
      </c>
      <c r="M1590" s="0" t="n">
        <f aca="false">IF(OR('Onshore- Melbourne'!E85="",ISNUMBER(SEARCH("BSB80120",'Onshore- Melbourne'!B85&amp;'Onshore- Melbourne'!M85)),ISNUMBER(SEARCH("Management (Learning)",'Onshore- Melbourne'!B85))),2,IF(ISNUMBER(SEARCH("CEK:",'Onshore- Melbourne'!M85)),1,0))</f>
        <v>1</v>
      </c>
    </row>
    <row r="1591" customFormat="false" ht="15" hidden="false" customHeight="false" outlineLevel="0" collapsed="false">
      <c r="A1591" s="63" t="s">
        <v>3544</v>
      </c>
      <c r="B1591" s="64" t="s">
        <v>4374</v>
      </c>
      <c r="C1591" s="63" t="s">
        <v>3707</v>
      </c>
      <c r="D1591" s="64" t="str">
        <f aca="false">TRIM(LEFT('Onshore- Melbourne'!A304,FIND(CHAR(10),'Onshore- Melbourne'!A304&amp;CHAR(10))-1))</f>
        <v>Kaplan Business School</v>
      </c>
      <c r="E1591" s="63" t="str">
        <f aca="false">'Onshore- Melbourne'!C315&amp;""</f>
        <v>0,5 year</v>
      </c>
      <c r="F1591" s="63" t="str">
        <f aca="false">IF('Onshore- Melbourne'!D315="","Belum tercatat",'Onshore- Melbourne'!D315)</f>
        <v>Trimester</v>
      </c>
      <c r="G1591" s="65" t="n">
        <f aca="false">IF('Onshore- Melbourne'!E315="","-",'Onshore- Melbourne'!E315)</f>
        <v>14560</v>
      </c>
      <c r="H1591" s="63" t="n">
        <f aca="false">IF(ISNUMBER(K1591),COUNTIFS($J$6:$J$1916,J1591,$K$6:$K$1916,"&lt;"&amp;K1591)+1,"-")</f>
        <v>7</v>
      </c>
      <c r="I1591" s="64" t="str">
        <f aca="false">IF('Onshore- Melbourne'!E315="","Harga belum tersedia - hubungi konsultan TEG",IF(M1591=2,"Saat ini tidak menerima pendaftaran siswa internasional baru",IF(M1591=1,"Harga perlu dikonfirmasi ke sekolah"&amp;IF(""="","","; "&amp;""),"")))</f>
        <v>Harga perlu dikonfirmasi ke sekolah</v>
      </c>
      <c r="J1591" s="0" t="s">
        <v>4423</v>
      </c>
      <c r="K1591" s="0" t="n">
        <f aca="false">IF(M1591=2,"",IF(ISNUMBER(SEARCH("rata-rata:",'Onshore- Melbourne'!M315)),VALUE(MID('Onshore- Melbourne'!M315,SEARCH("rata-rata:",'Onshore- Melbourne'!M315)+11,FIND(";",'Onshore- Melbourne'!M315&amp;";",SEARCH("rata-rata:",'Onshore- Melbourne'!M315))-SEARCH("rata-rata:",'Onshore- Melbourne'!M315)-11)),IF('Onshore- Melbourne'!D315="Semester",'Onshore- Melbourne'!E315*2,IF('Onshore- Melbourne'!D315="Trimester",'Onshore- Melbourne'!E315*3,IF('Onshore- Melbourne'!D315="Term",'Onshore- Melbourne'!E315*4,IF('Onshore- Melbourne'!D315="Unit",'Onshore- Melbourne'!E315*8,""))))))</f>
        <v>43680</v>
      </c>
      <c r="L1591" s="0" t="n">
        <f aca="false">IF(AND(ISNUMBER('Onshore- Melbourne'!E315),ISNUMBER(K1591),ISNUMBER('Onshore- Melbourne'!F315),ISNUMBER('Onshore- Melbourne'!G315),OR('Onshore- Melbourne'!F315&lt;&gt;0,ISNUMBER(SEARCH("Material 0 terverifikasi",'Onshore- Melbourne'!M315))),OR('Onshore- Melbourne'!G315&lt;&gt;0,ISNUMBER(SEARCH("Enrolment 0 terverifikasi",'Onshore- Melbourne'!M315)))),1,0)</f>
        <v>1</v>
      </c>
      <c r="M1591" s="0" t="n">
        <f aca="false">IF(OR('Onshore- Melbourne'!E315="",ISNUMBER(SEARCH("BSB80120",'Onshore- Melbourne'!B315&amp;'Onshore- Melbourne'!M315)),ISNUMBER(SEARCH("Management (Learning)",'Onshore- Melbourne'!B315))),2,IF(ISNUMBER(SEARCH("CEK:",'Onshore- Melbourne'!M315)),1,0))</f>
        <v>1</v>
      </c>
    </row>
    <row r="1592" customFormat="false" ht="15" hidden="false" customHeight="false" outlineLevel="0" collapsed="false">
      <c r="A1592" s="61" t="s">
        <v>4424</v>
      </c>
      <c r="B1592" s="62"/>
      <c r="C1592" s="62"/>
      <c r="D1592" s="62"/>
      <c r="E1592" s="62"/>
      <c r="F1592" s="62"/>
      <c r="G1592" s="62"/>
      <c r="H1592" s="62"/>
      <c r="I1592" s="62"/>
    </row>
    <row r="1593" customFormat="false" ht="28.35" hidden="false" customHeight="false" outlineLevel="0" collapsed="false">
      <c r="A1593" s="63" t="s">
        <v>3544</v>
      </c>
      <c r="B1593" s="64" t="s">
        <v>4374</v>
      </c>
      <c r="C1593" s="63" t="s">
        <v>46</v>
      </c>
      <c r="D1593" s="64" t="str">
        <f aca="false">TRIM(LEFT('Onshore- Melbourne'!A199,FIND(CHAR(10),'Onshore- Melbourne'!A199&amp;CHAR(10))-1))</f>
        <v>Australian Institute of Advanced Technologies (AIAT)</v>
      </c>
      <c r="E1593" s="63" t="str">
        <f aca="false">'Onshore- Melbourne'!C200&amp;""</f>
        <v>2 years</v>
      </c>
      <c r="F1593" s="63" t="str">
        <f aca="false">IF('Onshore- Melbourne'!D200="","Belum tercatat",'Onshore- Melbourne'!D200)</f>
        <v>Term</v>
      </c>
      <c r="G1593" s="65" t="n">
        <f aca="false">IF('Onshore- Melbourne'!E200="","-",'Onshore- Melbourne'!E200)</f>
        <v>3750</v>
      </c>
      <c r="H1593" s="63" t="n">
        <f aca="false">IF(ISNUMBER(K1593),COUNTIFS($J$6:$J$1916,J1593,$K$6:$K$1916,"&lt;"&amp;K1593)+1,"-")</f>
        <v>1</v>
      </c>
      <c r="I1593" s="64" t="str">
        <f aca="false">IF('Onshore- Melbourne'!E200="","Harga belum tersedia - hubungi konsultan TEG",IF(M1593=2,"Saat ini tidak menerima pendaftaran siswa internasional baru",IF(M1593=1,"Harga perlu dikonfirmasi ke sekolah"&amp;IF(""="","","; "&amp;""),"")))</f>
        <v/>
      </c>
      <c r="J1593" s="0" t="s">
        <v>4425</v>
      </c>
      <c r="K1593" s="0" t="n">
        <f aca="false">IF(M1593=2,"",IF(ISNUMBER(SEARCH("rata-rata:",'Onshore- Melbourne'!M200)),VALUE(MID('Onshore- Melbourne'!M200,SEARCH("rata-rata:",'Onshore- Melbourne'!M200)+11,FIND(";",'Onshore- Melbourne'!M200&amp;";",SEARCH("rata-rata:",'Onshore- Melbourne'!M200))-SEARCH("rata-rata:",'Onshore- Melbourne'!M200)-11)),IF('Onshore- Melbourne'!D200="Semester",'Onshore- Melbourne'!E200*2,IF('Onshore- Melbourne'!D200="Trimester",'Onshore- Melbourne'!E200*3,IF('Onshore- Melbourne'!D200="Term",'Onshore- Melbourne'!E200*4,IF('Onshore- Melbourne'!D200="Unit",'Onshore- Melbourne'!E200*8,""))))))</f>
        <v>15000</v>
      </c>
      <c r="L1593" s="0" t="n">
        <f aca="false">IF(AND(ISNUMBER('Onshore- Melbourne'!E200),ISNUMBER(K1593),ISNUMBER('Onshore- Melbourne'!F200),ISNUMBER('Onshore- Melbourne'!G200),OR('Onshore- Melbourne'!F200&lt;&gt;0,ISNUMBER(SEARCH("Material 0 terverifikasi",'Onshore- Melbourne'!M200))),OR('Onshore- Melbourne'!G200&lt;&gt;0,ISNUMBER(SEARCH("Enrolment 0 terverifikasi",'Onshore- Melbourne'!M200)))),1,0)</f>
        <v>0</v>
      </c>
      <c r="M1593" s="0" t="n">
        <f aca="false">IF(OR('Onshore- Melbourne'!E200="",ISNUMBER(SEARCH("BSB80120",'Onshore- Melbourne'!B200&amp;'Onshore- Melbourne'!M200)),ISNUMBER(SEARCH("Management (Learning)",'Onshore- Melbourne'!B200))),2,IF(ISNUMBER(SEARCH("CEK:",'Onshore- Melbourne'!M200)),1,0))</f>
        <v>0</v>
      </c>
    </row>
    <row r="1594" customFormat="false" ht="15" hidden="false" customHeight="false" outlineLevel="0" collapsed="false">
      <c r="A1594" s="63" t="s">
        <v>3544</v>
      </c>
      <c r="B1594" s="64" t="s">
        <v>4374</v>
      </c>
      <c r="C1594" s="63" t="s">
        <v>46</v>
      </c>
      <c r="D1594" s="64" t="str">
        <f aca="false">TRIM(LEFT('Onshore- Melbourne'!A29,FIND(CHAR(10),'Onshore- Melbourne'!A29&amp;CHAR(10))-1))</f>
        <v>AIBI Higher Education</v>
      </c>
      <c r="E1594" s="63" t="str">
        <f aca="false">'Onshore- Melbourne'!C35&amp;""</f>
        <v>2 years</v>
      </c>
      <c r="F1594" s="63" t="str">
        <f aca="false">IF('Onshore- Melbourne'!D35="","Belum tercatat",'Onshore- Melbourne'!D35)</f>
        <v>Term</v>
      </c>
      <c r="G1594" s="65" t="n">
        <f aca="false">IF('Onshore- Melbourne'!E35="","-",'Onshore- Melbourne'!E35)</f>
        <v>4050</v>
      </c>
      <c r="H1594" s="63" t="n">
        <f aca="false">IF(ISNUMBER(K1594),COUNTIFS($J$6:$J$1916,J1594,$K$6:$K$1916,"&lt;"&amp;K1594)+1,"-")</f>
        <v>2</v>
      </c>
      <c r="I1594" s="64" t="str">
        <f aca="false">IF('Onshore- Melbourne'!E35="","Harga belum tersedia - hubungi konsultan TEG",IF(M1594=2,"Saat ini tidak menerima pendaftaran siswa internasional baru",IF(M1594=1,"Harga perlu dikonfirmasi ke sekolah"&amp;IF(""="","","; "&amp;""),"")))</f>
        <v>Harga perlu dikonfirmasi ke sekolah</v>
      </c>
      <c r="J1594" s="0" t="s">
        <v>4425</v>
      </c>
      <c r="K1594" s="0" t="n">
        <f aca="false">IF(M1594=2,"",IF(ISNUMBER(SEARCH("rata-rata:",'Onshore- Melbourne'!M35)),VALUE(MID('Onshore- Melbourne'!M35,SEARCH("rata-rata:",'Onshore- Melbourne'!M35)+11,FIND(";",'Onshore- Melbourne'!M35&amp;";",SEARCH("rata-rata:",'Onshore- Melbourne'!M35))-SEARCH("rata-rata:",'Onshore- Melbourne'!M35)-11)),IF('Onshore- Melbourne'!D35="Semester",'Onshore- Melbourne'!E35*2,IF('Onshore- Melbourne'!D35="Trimester",'Onshore- Melbourne'!E35*3,IF('Onshore- Melbourne'!D35="Term",'Onshore- Melbourne'!E35*4,IF('Onshore- Melbourne'!D35="Unit",'Onshore- Melbourne'!E35*8,""))))))</f>
        <v>16200</v>
      </c>
      <c r="L1594" s="0" t="n">
        <f aca="false">IF(AND(ISNUMBER('Onshore- Melbourne'!E35),ISNUMBER(K1594),ISNUMBER('Onshore- Melbourne'!F35),ISNUMBER('Onshore- Melbourne'!G35),OR('Onshore- Melbourne'!F35&lt;&gt;0,ISNUMBER(SEARCH("Material 0 terverifikasi",'Onshore- Melbourne'!M35))),OR('Onshore- Melbourne'!G35&lt;&gt;0,ISNUMBER(SEARCH("Enrolment 0 terverifikasi",'Onshore- Melbourne'!M35)))),1,0)</f>
        <v>0</v>
      </c>
      <c r="M1594" s="0" t="n">
        <f aca="false">IF(OR('Onshore- Melbourne'!E35="",ISNUMBER(SEARCH("BSB80120",'Onshore- Melbourne'!B35&amp;'Onshore- Melbourne'!M35)),ISNUMBER(SEARCH("Management (Learning)",'Onshore- Melbourne'!B35))),2,IF(ISNUMBER(SEARCH("CEK:",'Onshore- Melbourne'!M35)),1,0))</f>
        <v>1</v>
      </c>
    </row>
    <row r="1595" customFormat="false" ht="15" hidden="false" customHeight="false" outlineLevel="0" collapsed="false">
      <c r="A1595" s="63" t="s">
        <v>3544</v>
      </c>
      <c r="B1595" s="64" t="s">
        <v>4374</v>
      </c>
      <c r="C1595" s="63" t="s">
        <v>46</v>
      </c>
      <c r="D1595" s="64" t="str">
        <f aca="false">TRIM(LEFT('Onshore- Melbourne'!A6,FIND(CHAR(10),'Onshore- Melbourne'!A6&amp;CHAR(10))-1))</f>
        <v>Academies Australasia</v>
      </c>
      <c r="E1595" s="63" t="str">
        <f aca="false">'Onshore- Melbourne'!C11&amp;""</f>
        <v>2 years</v>
      </c>
      <c r="F1595" s="63" t="str">
        <f aca="false">IF('Onshore- Melbourne'!D11="","Belum tercatat",'Onshore- Melbourne'!D11)</f>
        <v>Term</v>
      </c>
      <c r="G1595" s="65" t="n">
        <f aca="false">IF('Onshore- Melbourne'!E11="","-",'Onshore- Melbourne'!E11)</f>
        <v>4250</v>
      </c>
      <c r="H1595" s="63" t="n">
        <f aca="false">IF(ISNUMBER(K1595),COUNTIFS($J$6:$J$1916,J1595,$K$6:$K$1916,"&lt;"&amp;K1595)+1,"-")</f>
        <v>3</v>
      </c>
      <c r="I1595" s="64" t="str">
        <f aca="false">IF('Onshore- Melbourne'!E11="","Harga belum tersedia - hubungi konsultan TEG",IF(M1595=2,"Saat ini tidak menerima pendaftaran siswa internasional baru",IF(M1595=1,"Harga perlu dikonfirmasi ke sekolah"&amp;IF(""="","","; "&amp;""),"")))</f>
        <v/>
      </c>
      <c r="J1595" s="0" t="s">
        <v>4425</v>
      </c>
      <c r="K1595" s="0" t="n">
        <f aca="false">IF(M1595=2,"",IF(ISNUMBER(SEARCH("rata-rata:",'Onshore- Melbourne'!M11)),VALUE(MID('Onshore- Melbourne'!M11,SEARCH("rata-rata:",'Onshore- Melbourne'!M11)+11,FIND(";",'Onshore- Melbourne'!M11&amp;";",SEARCH("rata-rata:",'Onshore- Melbourne'!M11))-SEARCH("rata-rata:",'Onshore- Melbourne'!M11)-11)),IF('Onshore- Melbourne'!D11="Semester",'Onshore- Melbourne'!E11*2,IF('Onshore- Melbourne'!D11="Trimester",'Onshore- Melbourne'!E11*3,IF('Onshore- Melbourne'!D11="Term",'Onshore- Melbourne'!E11*4,IF('Onshore- Melbourne'!D11="Unit",'Onshore- Melbourne'!E11*8,""))))))</f>
        <v>17000</v>
      </c>
      <c r="L1595" s="0" t="n">
        <f aca="false">IF(AND(ISNUMBER('Onshore- Melbourne'!E11),ISNUMBER(K1595),ISNUMBER('Onshore- Melbourne'!F11),ISNUMBER('Onshore- Melbourne'!G11),OR('Onshore- Melbourne'!F11&lt;&gt;0,ISNUMBER(SEARCH("Material 0 terverifikasi",'Onshore- Melbourne'!M11))),OR('Onshore- Melbourne'!G11&lt;&gt;0,ISNUMBER(SEARCH("Enrolment 0 terverifikasi",'Onshore- Melbourne'!M11)))),1,0)</f>
        <v>1</v>
      </c>
      <c r="M1595" s="0" t="n">
        <f aca="false">IF(OR('Onshore- Melbourne'!E11="",ISNUMBER(SEARCH("BSB80120",'Onshore- Melbourne'!B11&amp;'Onshore- Melbourne'!M11)),ISNUMBER(SEARCH("Management (Learning)",'Onshore- Melbourne'!B11))),2,IF(ISNUMBER(SEARCH("CEK:",'Onshore- Melbourne'!M11)),1,0))</f>
        <v>0</v>
      </c>
    </row>
    <row r="1596" customFormat="false" ht="55.2" hidden="false" customHeight="false" outlineLevel="0" collapsed="false">
      <c r="A1596" s="63" t="s">
        <v>3544</v>
      </c>
      <c r="B1596" s="64" t="s">
        <v>4374</v>
      </c>
      <c r="C1596" s="63" t="s">
        <v>46</v>
      </c>
      <c r="D1596" s="64" t="str">
        <f aca="false">TRIM(LEFT('Onshore- Melbourne'!A43,FIND(CHAR(10),'Onshore- Melbourne'!A43&amp;CHAR(10))-1))</f>
        <v>AIH Higher Education (Australian Institute of Higher Education)</v>
      </c>
      <c r="E1596" s="63" t="str">
        <f aca="false">'Onshore- Melbourne'!C48&amp;""</f>
        <v>2 years</v>
      </c>
      <c r="F1596" s="63" t="str">
        <f aca="false">IF('Onshore- Melbourne'!D48="","Belum tercatat",'Onshore- Melbourne'!D48)</f>
        <v>Unit</v>
      </c>
      <c r="G1596" s="65" t="n">
        <f aca="false">IF('Onshore- Melbourne'!E48="","-",'Onshore- Melbourne'!E48)</f>
        <v>2150</v>
      </c>
      <c r="H1596" s="63" t="n">
        <f aca="false">IF(ISNUMBER(K1596),COUNTIFS($J$6:$J$1916,J1596,$K$6:$K$1916,"&lt;"&amp;K1596)+1,"-")</f>
        <v>4</v>
      </c>
      <c r="I1596" s="64" t="str">
        <f aca="false">IF('Onshore- Melbourne'!E48="","Harga belum tersedia - hubungi konsultan TEG",IF(M1596=2,"Saat ini tidak menerima pendaftaran siswa internasional baru",IF(M1596=1,"Harga perlu dikonfirmasi ke sekolah"&amp;IF("Harga promo s.d. 31/12/2026; Harga dihitung per unit; total tergantung jumlah unit yang diambil; Sudah termasuk beasiswa 20% (syarat berlaku)"="","","; "&amp;"Harga promo s.d. 31/12/2026; Harga dihitung per unit; total tergantung jumlah unit yang diambil; Sudah termasuk beasiswa 20% (syarat berlaku)"),"Harga promo s.d. 31/12/2026; Harga dihitung per unit; total tergantung jumlah unit yang diambil; Sudah termasuk beasiswa 20% (syarat berlaku)")))</f>
        <v>Harga promo s.d. 31/12/2026; Harga dihitung per unit; total tergantung jumlah unit yang diambil; Sudah termasuk beasiswa 20% (syarat berlaku)</v>
      </c>
      <c r="J1596" s="0" t="s">
        <v>4425</v>
      </c>
      <c r="K1596" s="0" t="n">
        <f aca="false">IF(M1596=2,"",IF(ISNUMBER(SEARCH("rata-rata:",'Onshore- Melbourne'!M48)),VALUE(MID('Onshore- Melbourne'!M48,SEARCH("rata-rata:",'Onshore- Melbourne'!M48)+11,FIND(";",'Onshore- Melbourne'!M48&amp;";",SEARCH("rata-rata:",'Onshore- Melbourne'!M48))-SEARCH("rata-rata:",'Onshore- Melbourne'!M48)-11)),IF('Onshore- Melbourne'!D48="Semester",'Onshore- Melbourne'!E48*2,IF('Onshore- Melbourne'!D48="Trimester",'Onshore- Melbourne'!E48*3,IF('Onshore- Melbourne'!D48="Term",'Onshore- Melbourne'!E48*4,IF('Onshore- Melbourne'!D48="Unit",'Onshore- Melbourne'!E48*8,""))))))</f>
        <v>17200</v>
      </c>
      <c r="L1596" s="0" t="n">
        <f aca="false">IF(AND(ISNUMBER('Onshore- Melbourne'!E48),ISNUMBER(K1596),ISNUMBER('Onshore- Melbourne'!F48),ISNUMBER('Onshore- Melbourne'!G48),OR('Onshore- Melbourne'!F48&lt;&gt;0,ISNUMBER(SEARCH("Material 0 terverifikasi",'Onshore- Melbourne'!M48))),OR('Onshore- Melbourne'!G48&lt;&gt;0,ISNUMBER(SEARCH("Enrolment 0 terverifikasi",'Onshore- Melbourne'!M48)))),1,0)</f>
        <v>1</v>
      </c>
      <c r="M1596" s="0" t="n">
        <f aca="false">IF(OR('Onshore- Melbourne'!E48="",ISNUMBER(SEARCH("BSB80120",'Onshore- Melbourne'!B48&amp;'Onshore- Melbourne'!M48)),ISNUMBER(SEARCH("Management (Learning)",'Onshore- Melbourne'!B48))),2,IF(ISNUMBER(SEARCH("CEK:",'Onshore- Melbourne'!M48)),1,0))</f>
        <v>0</v>
      </c>
    </row>
    <row r="1597" customFormat="false" ht="15" hidden="false" customHeight="false" outlineLevel="0" collapsed="false">
      <c r="A1597" s="63" t="s">
        <v>3544</v>
      </c>
      <c r="B1597" s="64" t="s">
        <v>4374</v>
      </c>
      <c r="C1597" s="63" t="s">
        <v>46</v>
      </c>
      <c r="D1597" s="64" t="str">
        <f aca="false">TRIM(LEFT('Onshore- Melbourne'!A445,FIND(CHAR(10),'Onshore- Melbourne'!A445&amp;CHAR(10))-1))</f>
        <v>The Institute of International Studies (TIIS)</v>
      </c>
      <c r="E1597" s="63" t="str">
        <f aca="false">'Onshore- Melbourne'!C448&amp;""</f>
        <v>2 years</v>
      </c>
      <c r="F1597" s="63" t="str">
        <f aca="false">IF('Onshore- Melbourne'!D448="","Belum tercatat",'Onshore- Melbourne'!D448)</f>
        <v>Term</v>
      </c>
      <c r="G1597" s="65" t="n">
        <f aca="false">IF('Onshore- Melbourne'!E448="","-",'Onshore- Melbourne'!E448)</f>
        <v>4500</v>
      </c>
      <c r="H1597" s="63" t="n">
        <f aca="false">IF(ISNUMBER(K1597),COUNTIFS($J$6:$J$1916,J1597,$K$6:$K$1916,"&lt;"&amp;K1597)+1,"-")</f>
        <v>5</v>
      </c>
      <c r="I1597" s="64" t="str">
        <f aca="false">IF('Onshore- Melbourne'!E448="","Harga belum tersedia - hubungi konsultan TEG",IF(M1597=2,"Saat ini tidak menerima pendaftaran siswa internasional baru",IF(M1597=1,"Harga perlu dikonfirmasi ke sekolah"&amp;IF(""="","","; "&amp;""),"")))</f>
        <v/>
      </c>
      <c r="J1597" s="0" t="s">
        <v>4425</v>
      </c>
      <c r="K1597" s="0" t="n">
        <f aca="false">IF(M1597=2,"",IF(ISNUMBER(SEARCH("rata-rata:",'Onshore- Melbourne'!M448)),VALUE(MID('Onshore- Melbourne'!M448,SEARCH("rata-rata:",'Onshore- Melbourne'!M448)+11,FIND(";",'Onshore- Melbourne'!M448&amp;";",SEARCH("rata-rata:",'Onshore- Melbourne'!M448))-SEARCH("rata-rata:",'Onshore- Melbourne'!M448)-11)),IF('Onshore- Melbourne'!D448="Semester",'Onshore- Melbourne'!E448*2,IF('Onshore- Melbourne'!D448="Trimester",'Onshore- Melbourne'!E448*3,IF('Onshore- Melbourne'!D448="Term",'Onshore- Melbourne'!E448*4,IF('Onshore- Melbourne'!D448="Unit",'Onshore- Melbourne'!E448*8,""))))))</f>
        <v>18000</v>
      </c>
      <c r="L1597" s="0" t="n">
        <f aca="false">IF(AND(ISNUMBER('Onshore- Melbourne'!E448),ISNUMBER(K1597),ISNUMBER('Onshore- Melbourne'!F448),ISNUMBER('Onshore- Melbourne'!G448),OR('Onshore- Melbourne'!F448&lt;&gt;0,ISNUMBER(SEARCH("Material 0 terverifikasi",'Onshore- Melbourne'!M448))),OR('Onshore- Melbourne'!G448&lt;&gt;0,ISNUMBER(SEARCH("Enrolment 0 terverifikasi",'Onshore- Melbourne'!M448)))),1,0)</f>
        <v>0</v>
      </c>
      <c r="M1597" s="0" t="n">
        <f aca="false">IF(OR('Onshore- Melbourne'!E448="",ISNUMBER(SEARCH("BSB80120",'Onshore- Melbourne'!B448&amp;'Onshore- Melbourne'!M448)),ISNUMBER(SEARCH("Management (Learning)",'Onshore- Melbourne'!B448))),2,IF(ISNUMBER(SEARCH("CEK:",'Onshore- Melbourne'!M448)),1,0))</f>
        <v>0</v>
      </c>
    </row>
    <row r="1598" customFormat="false" ht="15" hidden="false" customHeight="false" outlineLevel="0" collapsed="false">
      <c r="A1598" s="63" t="s">
        <v>3544</v>
      </c>
      <c r="B1598" s="64" t="s">
        <v>4374</v>
      </c>
      <c r="C1598" s="63" t="s">
        <v>46</v>
      </c>
      <c r="D1598" s="64" t="str">
        <f aca="false">TRIM(LEFT('Onshore- Melbourne'!A392,FIND(CHAR(10),'Onshore- Melbourne'!A392&amp;CHAR(10))-1))</f>
        <v>Ozford Institute of Higher Education</v>
      </c>
      <c r="E1598" s="63" t="str">
        <f aca="false">'Onshore- Melbourne'!C399&amp;""</f>
        <v>2 years</v>
      </c>
      <c r="F1598" s="63" t="str">
        <f aca="false">IF('Onshore- Melbourne'!D399="","Belum tercatat",'Onshore- Melbourne'!D399)</f>
        <v>Term</v>
      </c>
      <c r="G1598" s="65" t="n">
        <f aca="false">IF('Onshore- Melbourne'!E399="","-",'Onshore- Melbourne'!E399)</f>
        <v>4740</v>
      </c>
      <c r="H1598" s="63" t="n">
        <f aca="false">IF(ISNUMBER(K1598),COUNTIFS($J$6:$J$1916,J1598,$K$6:$K$1916,"&lt;"&amp;K1598)+1,"-")</f>
        <v>6</v>
      </c>
      <c r="I1598" s="64" t="str">
        <f aca="false">IF('Onshore- Melbourne'!E399="","Harga belum tersedia - hubungi konsultan TEG",IF(M1598=2,"Saat ini tidak menerima pendaftaran siswa internasional baru",IF(M1598=1,"Harga perlu dikonfirmasi ke sekolah"&amp;IF(""="","","; "&amp;""),"")))</f>
        <v>Harga perlu dikonfirmasi ke sekolah</v>
      </c>
      <c r="J1598" s="0" t="s">
        <v>4425</v>
      </c>
      <c r="K1598" s="0" t="n">
        <f aca="false">IF(M1598=2,"",IF(ISNUMBER(SEARCH("rata-rata:",'Onshore- Melbourne'!M399)),VALUE(MID('Onshore- Melbourne'!M399,SEARCH("rata-rata:",'Onshore- Melbourne'!M399)+11,FIND(";",'Onshore- Melbourne'!M399&amp;";",SEARCH("rata-rata:",'Onshore- Melbourne'!M399))-SEARCH("rata-rata:",'Onshore- Melbourne'!M399)-11)),IF('Onshore- Melbourne'!D399="Semester",'Onshore- Melbourne'!E399*2,IF('Onshore- Melbourne'!D399="Trimester",'Onshore- Melbourne'!E399*3,IF('Onshore- Melbourne'!D399="Term",'Onshore- Melbourne'!E399*4,IF('Onshore- Melbourne'!D399="Unit",'Onshore- Melbourne'!E399*8,""))))))</f>
        <v>18960</v>
      </c>
      <c r="L1598" s="0" t="n">
        <f aca="false">IF(AND(ISNUMBER('Onshore- Melbourne'!E399),ISNUMBER(K1598),ISNUMBER('Onshore- Melbourne'!F399),ISNUMBER('Onshore- Melbourne'!G399),OR('Onshore- Melbourne'!F399&lt;&gt;0,ISNUMBER(SEARCH("Material 0 terverifikasi",'Onshore- Melbourne'!M399))),OR('Onshore- Melbourne'!G399&lt;&gt;0,ISNUMBER(SEARCH("Enrolment 0 terverifikasi",'Onshore- Melbourne'!M399)))),1,0)</f>
        <v>1</v>
      </c>
      <c r="M1598" s="0" t="n">
        <f aca="false">IF(OR('Onshore- Melbourne'!E399="",ISNUMBER(SEARCH("BSB80120",'Onshore- Melbourne'!B399&amp;'Onshore- Melbourne'!M399)),ISNUMBER(SEARCH("Management (Learning)",'Onshore- Melbourne'!B399))),2,IF(ISNUMBER(SEARCH("CEK:",'Onshore- Melbourne'!M399)),1,0))</f>
        <v>1</v>
      </c>
    </row>
    <row r="1599" customFormat="false" ht="15" hidden="false" customHeight="false" outlineLevel="0" collapsed="false">
      <c r="A1599" s="63" t="s">
        <v>3544</v>
      </c>
      <c r="B1599" s="64" t="s">
        <v>4374</v>
      </c>
      <c r="C1599" s="63" t="s">
        <v>46</v>
      </c>
      <c r="D1599" s="64" t="str">
        <f aca="false">TRIM(LEFT('Onshore- Melbourne'!A319,FIND(CHAR(10),'Onshore- Melbourne'!A319&amp;CHAR(10))-1))</f>
        <v>Kent Institute Australia</v>
      </c>
      <c r="E1599" s="63" t="str">
        <f aca="false">'Onshore- Melbourne'!C334&amp;""</f>
        <v>2 years</v>
      </c>
      <c r="F1599" s="63" t="str">
        <f aca="false">IF('Onshore- Melbourne'!D334="","Belum tercatat",'Onshore- Melbourne'!D334)</f>
        <v>Trimester</v>
      </c>
      <c r="G1599" s="65" t="n">
        <f aca="false">IF('Onshore- Melbourne'!E334="","-",'Onshore- Melbourne'!E334)</f>
        <v>7000</v>
      </c>
      <c r="H1599" s="63" t="n">
        <f aca="false">IF(ISNUMBER(K1599),COUNTIFS($J$6:$J$1916,J1599,$K$6:$K$1916,"&lt;"&amp;K1599)+1,"-")</f>
        <v>7</v>
      </c>
      <c r="I1599" s="64" t="str">
        <f aca="false">IF('Onshore- Melbourne'!E334="","Harga belum tersedia - hubungi konsultan TEG",IF(M1599=2,"Saat ini tidak menerima pendaftaran siswa internasional baru",IF(M1599=1,"Harga perlu dikonfirmasi ke sekolah"&amp;IF(""="","","; "&amp;""),"")))</f>
        <v>Harga perlu dikonfirmasi ke sekolah</v>
      </c>
      <c r="J1599" s="0" t="s">
        <v>4425</v>
      </c>
      <c r="K1599" s="0" t="n">
        <f aca="false">IF(M1599=2,"",IF(ISNUMBER(SEARCH("rata-rata:",'Onshore- Melbourne'!M334)),VALUE(MID('Onshore- Melbourne'!M334,SEARCH("rata-rata:",'Onshore- Melbourne'!M334)+11,FIND(";",'Onshore- Melbourne'!M334&amp;";",SEARCH("rata-rata:",'Onshore- Melbourne'!M334))-SEARCH("rata-rata:",'Onshore- Melbourne'!M334)-11)),IF('Onshore- Melbourne'!D334="Semester",'Onshore- Melbourne'!E334*2,IF('Onshore- Melbourne'!D334="Trimester",'Onshore- Melbourne'!E334*3,IF('Onshore- Melbourne'!D334="Term",'Onshore- Melbourne'!E334*4,IF('Onshore- Melbourne'!D334="Unit",'Onshore- Melbourne'!E334*8,""))))))</f>
        <v>21000</v>
      </c>
      <c r="L1599" s="0" t="n">
        <f aca="false">IF(AND(ISNUMBER('Onshore- Melbourne'!E334),ISNUMBER(K1599),ISNUMBER('Onshore- Melbourne'!F334),ISNUMBER('Onshore- Melbourne'!G334),OR('Onshore- Melbourne'!F334&lt;&gt;0,ISNUMBER(SEARCH("Material 0 terverifikasi",'Onshore- Melbourne'!M334))),OR('Onshore- Melbourne'!G334&lt;&gt;0,ISNUMBER(SEARCH("Enrolment 0 terverifikasi",'Onshore- Melbourne'!M334)))),1,0)</f>
        <v>0</v>
      </c>
      <c r="M1599" s="0" t="n">
        <f aca="false">IF(OR('Onshore- Melbourne'!E334="",ISNUMBER(SEARCH("BSB80120",'Onshore- Melbourne'!B334&amp;'Onshore- Melbourne'!M334)),ISNUMBER(SEARCH("Management (Learning)",'Onshore- Melbourne'!B334))),2,IF(ISNUMBER(SEARCH("CEK:",'Onshore- Melbourne'!M334)),1,0))</f>
        <v>1</v>
      </c>
    </row>
    <row r="1600" customFormat="false" ht="28.35" hidden="false" customHeight="false" outlineLevel="0" collapsed="false">
      <c r="A1600" s="63" t="s">
        <v>3544</v>
      </c>
      <c r="B1600" s="64" t="s">
        <v>4374</v>
      </c>
      <c r="C1600" s="63" t="s">
        <v>46</v>
      </c>
      <c r="D1600" s="64" t="str">
        <f aca="false">TRIM(LEFT('Onshore- Melbourne'!A368,FIND(CHAR(10),'Onshore- Melbourne'!A368&amp;CHAR(10))-1))</f>
        <v>National Academy of Professional Studies (NAPS)</v>
      </c>
      <c r="E1600" s="63" t="str">
        <f aca="false">'Onshore- Melbourne'!C369&amp;""</f>
        <v>2 years</v>
      </c>
      <c r="F1600" s="63" t="str">
        <f aca="false">IF('Onshore- Melbourne'!D369="","Belum tercatat",'Onshore- Melbourne'!D369)</f>
        <v>Term</v>
      </c>
      <c r="G1600" s="65" t="n">
        <f aca="false">IF('Onshore- Melbourne'!E369="","-",'Onshore- Melbourne'!E369)</f>
        <v>5500</v>
      </c>
      <c r="H1600" s="63" t="n">
        <f aca="false">IF(ISNUMBER(K1600),COUNTIFS($J$6:$J$1916,J1600,$K$6:$K$1916,"&lt;"&amp;K1600)+1,"-")</f>
        <v>8</v>
      </c>
      <c r="I1600" s="64" t="str">
        <f aca="false">IF('Onshore- Melbourne'!E369="","Harga belum tersedia - hubungi konsultan TEG",IF(M1600=2,"Saat ini tidak menerima pendaftaran siswa internasional baru",IF(M1600=1,"Harga perlu dikonfirmasi ke sekolah"&amp;IF(""="","","; "&amp;""),"")))</f>
        <v>Harga perlu dikonfirmasi ke sekolah</v>
      </c>
      <c r="J1600" s="0" t="s">
        <v>4425</v>
      </c>
      <c r="K1600" s="0" t="n">
        <f aca="false">IF(M1600=2,"",IF(ISNUMBER(SEARCH("rata-rata:",'Onshore- Melbourne'!M369)),VALUE(MID('Onshore- Melbourne'!M369,SEARCH("rata-rata:",'Onshore- Melbourne'!M369)+11,FIND(";",'Onshore- Melbourne'!M369&amp;";",SEARCH("rata-rata:",'Onshore- Melbourne'!M369))-SEARCH("rata-rata:",'Onshore- Melbourne'!M369)-11)),IF('Onshore- Melbourne'!D369="Semester",'Onshore- Melbourne'!E369*2,IF('Onshore- Melbourne'!D369="Trimester",'Onshore- Melbourne'!E369*3,IF('Onshore- Melbourne'!D369="Term",'Onshore- Melbourne'!E369*4,IF('Onshore- Melbourne'!D369="Unit",'Onshore- Melbourne'!E369*8,""))))))</f>
        <v>22000</v>
      </c>
      <c r="L1600" s="0" t="n">
        <f aca="false">IF(AND(ISNUMBER('Onshore- Melbourne'!E369),ISNUMBER(K1600),ISNUMBER('Onshore- Melbourne'!F369),ISNUMBER('Onshore- Melbourne'!G369),OR('Onshore- Melbourne'!F369&lt;&gt;0,ISNUMBER(SEARCH("Material 0 terverifikasi",'Onshore- Melbourne'!M369))),OR('Onshore- Melbourne'!G369&lt;&gt;0,ISNUMBER(SEARCH("Enrolment 0 terverifikasi",'Onshore- Melbourne'!M369)))),1,0)</f>
        <v>1</v>
      </c>
      <c r="M1600" s="0" t="n">
        <f aca="false">IF(OR('Onshore- Melbourne'!E369="",ISNUMBER(SEARCH("BSB80120",'Onshore- Melbourne'!B369&amp;'Onshore- Melbourne'!M369)),ISNUMBER(SEARCH("Management (Learning)",'Onshore- Melbourne'!B369))),2,IF(ISNUMBER(SEARCH("CEK:",'Onshore- Melbourne'!M369)),1,0))</f>
        <v>1</v>
      </c>
    </row>
    <row r="1601" customFormat="false" ht="15" hidden="false" customHeight="false" outlineLevel="0" collapsed="false">
      <c r="A1601" s="63" t="s">
        <v>3544</v>
      </c>
      <c r="B1601" s="64" t="s">
        <v>4374</v>
      </c>
      <c r="C1601" s="63" t="s">
        <v>46</v>
      </c>
      <c r="D1601" s="64" t="str">
        <f aca="false">TRIM(LEFT('Onshore- Melbourne'!A77,FIND(CHAR(10),'Onshore- Melbourne'!A77&amp;CHAR(10))-1))</f>
        <v>Asia Pacific International College (APIC)</v>
      </c>
      <c r="E1601" s="63" t="str">
        <f aca="false">'Onshore- Melbourne'!C86&amp;""</f>
        <v>2 years</v>
      </c>
      <c r="F1601" s="63" t="str">
        <f aca="false">IF('Onshore- Melbourne'!D86="","Belum tercatat",'Onshore- Melbourne'!D86)</f>
        <v>Trimester</v>
      </c>
      <c r="G1601" s="65" t="n">
        <f aca="false">IF('Onshore- Melbourne'!E86="","-",'Onshore- Melbourne'!E86)</f>
        <v>7800</v>
      </c>
      <c r="H1601" s="63" t="n">
        <f aca="false">IF(ISNUMBER(K1601),COUNTIFS($J$6:$J$1916,J1601,$K$6:$K$1916,"&lt;"&amp;K1601)+1,"-")</f>
        <v>9</v>
      </c>
      <c r="I1601" s="64" t="str">
        <f aca="false">IF('Onshore- Melbourne'!E86="","Harga belum tersedia - hubungi konsultan TEG",IF(M1601=2,"Saat ini tidak menerima pendaftaran siswa internasional baru",IF(M1601=1,"Harga perlu dikonfirmasi ke sekolah"&amp;IF(""="","","; "&amp;""),"")))</f>
        <v>Harga perlu dikonfirmasi ke sekolah</v>
      </c>
      <c r="J1601" s="0" t="s">
        <v>4425</v>
      </c>
      <c r="K1601" s="0" t="n">
        <f aca="false">IF(M1601=2,"",IF(ISNUMBER(SEARCH("rata-rata:",'Onshore- Melbourne'!M86)),VALUE(MID('Onshore- Melbourne'!M86,SEARCH("rata-rata:",'Onshore- Melbourne'!M86)+11,FIND(";",'Onshore- Melbourne'!M86&amp;";",SEARCH("rata-rata:",'Onshore- Melbourne'!M86))-SEARCH("rata-rata:",'Onshore- Melbourne'!M86)-11)),IF('Onshore- Melbourne'!D86="Semester",'Onshore- Melbourne'!E86*2,IF('Onshore- Melbourne'!D86="Trimester",'Onshore- Melbourne'!E86*3,IF('Onshore- Melbourne'!D86="Term",'Onshore- Melbourne'!E86*4,IF('Onshore- Melbourne'!D86="Unit",'Onshore- Melbourne'!E86*8,""))))))</f>
        <v>23400</v>
      </c>
      <c r="L1601" s="0" t="n">
        <f aca="false">IF(AND(ISNUMBER('Onshore- Melbourne'!E86),ISNUMBER(K1601),ISNUMBER('Onshore- Melbourne'!F86),ISNUMBER('Onshore- Melbourne'!G86),OR('Onshore- Melbourne'!F86&lt;&gt;0,ISNUMBER(SEARCH("Material 0 terverifikasi",'Onshore- Melbourne'!M86))),OR('Onshore- Melbourne'!G86&lt;&gt;0,ISNUMBER(SEARCH("Enrolment 0 terverifikasi",'Onshore- Melbourne'!M86)))),1,0)</f>
        <v>0</v>
      </c>
      <c r="M1601" s="0" t="n">
        <f aca="false">IF(OR('Onshore- Melbourne'!E86="",ISNUMBER(SEARCH("BSB80120",'Onshore- Melbourne'!B86&amp;'Onshore- Melbourne'!M86)),ISNUMBER(SEARCH("Management (Learning)",'Onshore- Melbourne'!B86))),2,IF(ISNUMBER(SEARCH("CEK:",'Onshore- Melbourne'!M86)),1,0))</f>
        <v>1</v>
      </c>
    </row>
    <row r="1602" customFormat="false" ht="15" hidden="false" customHeight="false" outlineLevel="0" collapsed="false">
      <c r="A1602" s="63" t="s">
        <v>3544</v>
      </c>
      <c r="B1602" s="64" t="s">
        <v>4374</v>
      </c>
      <c r="C1602" s="63" t="s">
        <v>46</v>
      </c>
      <c r="D1602" s="64" t="str">
        <f aca="false">TRIM(LEFT('Onshore- Melbourne'!A461,FIND(CHAR(10),'Onshore- Melbourne'!A461&amp;CHAR(10))-1))</f>
        <v>Torrens University Australia</v>
      </c>
      <c r="E1602" s="63" t="str">
        <f aca="false">'Onshore- Melbourne'!C480&amp;""</f>
        <v>1,5 years</v>
      </c>
      <c r="F1602" s="63" t="str">
        <f aca="false">IF('Onshore- Melbourne'!D480="","Belum tercatat",'Onshore- Melbourne'!D480)</f>
        <v>Term</v>
      </c>
      <c r="G1602" s="65" t="n">
        <f aca="false">IF('Onshore- Melbourne'!E480="","-",'Onshore- Melbourne'!E480)</f>
        <v>9000</v>
      </c>
      <c r="H1602" s="63" t="n">
        <f aca="false">IF(ISNUMBER(K1602),COUNTIFS($J$6:$J$1916,J1602,$K$6:$K$1916,"&lt;"&amp;K1602)+1,"-")</f>
        <v>10</v>
      </c>
      <c r="I1602" s="64" t="str">
        <f aca="false">IF('Onshore- Melbourne'!E480="","Harga belum tersedia - hubungi konsultan TEG",IF(M1602=2,"Saat ini tidak menerima pendaftaran siswa internasional baru",IF(M1602=1,"Harga perlu dikonfirmasi ke sekolah"&amp;IF(""="","","; "&amp;""),"")))</f>
        <v/>
      </c>
      <c r="J1602" s="0" t="s">
        <v>4425</v>
      </c>
      <c r="K1602" s="0" t="n">
        <f aca="false">IF(M1602=2,"",IF(ISNUMBER(SEARCH("rata-rata:",'Onshore- Melbourne'!M480)),VALUE(MID('Onshore- Melbourne'!M480,SEARCH("rata-rata:",'Onshore- Melbourne'!M480)+11,FIND(";",'Onshore- Melbourne'!M480&amp;";",SEARCH("rata-rata:",'Onshore- Melbourne'!M480))-SEARCH("rata-rata:",'Onshore- Melbourne'!M480)-11)),IF('Onshore- Melbourne'!D480="Semester",'Onshore- Melbourne'!E480*2,IF('Onshore- Melbourne'!D480="Trimester",'Onshore- Melbourne'!E480*3,IF('Onshore- Melbourne'!D480="Term",'Onshore- Melbourne'!E480*4,IF('Onshore- Melbourne'!D480="Unit",'Onshore- Melbourne'!E480*8,""))))))</f>
        <v>36000</v>
      </c>
      <c r="L1602" s="0" t="n">
        <f aca="false">IF(AND(ISNUMBER('Onshore- Melbourne'!E480),ISNUMBER(K1602),ISNUMBER('Onshore- Melbourne'!F480),ISNUMBER('Onshore- Melbourne'!G480),OR('Onshore- Melbourne'!F480&lt;&gt;0,ISNUMBER(SEARCH("Material 0 terverifikasi",'Onshore- Melbourne'!M480))),OR('Onshore- Melbourne'!G480&lt;&gt;0,ISNUMBER(SEARCH("Enrolment 0 terverifikasi",'Onshore- Melbourne'!M480)))),1,0)</f>
        <v>0</v>
      </c>
      <c r="M1602" s="0" t="n">
        <f aca="false">IF(OR('Onshore- Melbourne'!E480="",ISNUMBER(SEARCH("BSB80120",'Onshore- Melbourne'!B480&amp;'Onshore- Melbourne'!M480)),ISNUMBER(SEARCH("Management (Learning)",'Onshore- Melbourne'!B480))),2,IF(ISNUMBER(SEARCH("CEK:",'Onshore- Melbourne'!M480)),1,0))</f>
        <v>0</v>
      </c>
    </row>
    <row r="1603" customFormat="false" ht="15" hidden="false" customHeight="false" outlineLevel="0" collapsed="false">
      <c r="A1603" s="63" t="s">
        <v>3544</v>
      </c>
      <c r="B1603" s="64" t="s">
        <v>4374</v>
      </c>
      <c r="C1603" s="63" t="s">
        <v>46</v>
      </c>
      <c r="D1603" s="64" t="str">
        <f aca="false">TRIM(LEFT('Onshore- Melbourne'!A94,FIND(CHAR(10),'Onshore- Melbourne'!A94&amp;CHAR(10))-1))</f>
        <v>Australian Catholic University (ACU)</v>
      </c>
      <c r="E1603" s="63" t="str">
        <f aca="false">'Onshore- Melbourne'!C121&amp;""</f>
        <v>2 years</v>
      </c>
      <c r="F1603" s="63" t="str">
        <f aca="false">IF('Onshore- Melbourne'!D121="","Belum tercatat",'Onshore- Melbourne'!D121)</f>
        <v>Term</v>
      </c>
      <c r="G1603" s="65" t="n">
        <f aca="false">IF('Onshore- Melbourne'!E121="","-",'Onshore- Melbourne'!E121)</f>
        <v>9524</v>
      </c>
      <c r="H1603" s="63" t="n">
        <f aca="false">IF(ISNUMBER(K1603),COUNTIFS($J$6:$J$1916,J1603,$K$6:$K$1916,"&lt;"&amp;K1603)+1,"-")</f>
        <v>11</v>
      </c>
      <c r="I1603" s="64" t="str">
        <f aca="false">IF('Onshore- Melbourne'!E121="","Harga belum tersedia - hubungi konsultan TEG",IF(M1603=2,"Saat ini tidak menerima pendaftaran siswa internasional baru",IF(M1603=1,"Harga perlu dikonfirmasi ke sekolah"&amp;IF(""="","","; "&amp;""),"")))</f>
        <v/>
      </c>
      <c r="J1603" s="0" t="s">
        <v>4425</v>
      </c>
      <c r="K1603" s="0" t="n">
        <f aca="false">IF(M1603=2,"",IF(ISNUMBER(SEARCH("rata-rata:",'Onshore- Melbourne'!M121)),VALUE(MID('Onshore- Melbourne'!M121,SEARCH("rata-rata:",'Onshore- Melbourne'!M121)+11,FIND(";",'Onshore- Melbourne'!M121&amp;";",SEARCH("rata-rata:",'Onshore- Melbourne'!M121))-SEARCH("rata-rata:",'Onshore- Melbourne'!M121)-11)),IF('Onshore- Melbourne'!D121="Semester",'Onshore- Melbourne'!E121*2,IF('Onshore- Melbourne'!D121="Trimester",'Onshore- Melbourne'!E121*3,IF('Onshore- Melbourne'!D121="Term",'Onshore- Melbourne'!E121*4,IF('Onshore- Melbourne'!D121="Unit",'Onshore- Melbourne'!E121*8,""))))))</f>
        <v>38096</v>
      </c>
      <c r="L1603" s="0" t="n">
        <f aca="false">IF(AND(ISNUMBER('Onshore- Melbourne'!E121),ISNUMBER(K1603),ISNUMBER('Onshore- Melbourne'!F121),ISNUMBER('Onshore- Melbourne'!G121),OR('Onshore- Melbourne'!F121&lt;&gt;0,ISNUMBER(SEARCH("Material 0 terverifikasi",'Onshore- Melbourne'!M121))),OR('Onshore- Melbourne'!G121&lt;&gt;0,ISNUMBER(SEARCH("Enrolment 0 terverifikasi",'Onshore- Melbourne'!M121)))),1,0)</f>
        <v>0</v>
      </c>
      <c r="M1603" s="0" t="n">
        <f aca="false">IF(OR('Onshore- Melbourne'!E121="",ISNUMBER(SEARCH("BSB80120",'Onshore- Melbourne'!B121&amp;'Onshore- Melbourne'!M121)),ISNUMBER(SEARCH("Management (Learning)",'Onshore- Melbourne'!B121))),2,IF(ISNUMBER(SEARCH("CEK:",'Onshore- Melbourne'!M121)),1,0))</f>
        <v>0</v>
      </c>
    </row>
    <row r="1604" customFormat="false" ht="15" hidden="false" customHeight="false" outlineLevel="0" collapsed="false">
      <c r="A1604" s="63" t="s">
        <v>3544</v>
      </c>
      <c r="B1604" s="64" t="s">
        <v>4374</v>
      </c>
      <c r="C1604" s="63" t="s">
        <v>46</v>
      </c>
      <c r="D1604" s="64" t="str">
        <f aca="false">TRIM(LEFT('Onshore- Melbourne'!A566,FIND(CHAR(10),'Onshore- Melbourne'!A566&amp;CHAR(10))-1))</f>
        <v>University of Tasmania (UTAS)</v>
      </c>
      <c r="E1604" s="63" t="str">
        <f aca="false">'Onshore- Melbourne'!C570&amp;""</f>
        <v>2 years</v>
      </c>
      <c r="F1604" s="63" t="str">
        <f aca="false">IF('Onshore- Melbourne'!D570="","Belum tercatat",'Onshore- Melbourne'!D570)</f>
        <v>Term</v>
      </c>
      <c r="G1604" s="65" t="n">
        <f aca="false">IF('Onshore- Melbourne'!E570="","-",'Onshore- Melbourne'!E570)</f>
        <v>9987.5</v>
      </c>
      <c r="H1604" s="63" t="n">
        <f aca="false">IF(ISNUMBER(K1604),COUNTIFS($J$6:$J$1916,J1604,$K$6:$K$1916,"&lt;"&amp;K1604)+1,"-")</f>
        <v>12</v>
      </c>
      <c r="I1604" s="64" t="str">
        <f aca="false">IF('Onshore- Melbourne'!E570="","Harga belum tersedia - hubungi konsultan TEG",IF(M1604=2,"Saat ini tidak menerima pendaftaran siswa internasional baru",IF(M1604=1,"Harga perlu dikonfirmasi ke sekolah"&amp;IF(""="","","; "&amp;""),"")))</f>
        <v/>
      </c>
      <c r="J1604" s="0" t="s">
        <v>4425</v>
      </c>
      <c r="K1604" s="0" t="n">
        <f aca="false">IF(M1604=2,"",IF(ISNUMBER(SEARCH("rata-rata:",'Onshore- Melbourne'!M570)),VALUE(MID('Onshore- Melbourne'!M570,SEARCH("rata-rata:",'Onshore- Melbourne'!M570)+11,FIND(";",'Onshore- Melbourne'!M570&amp;";",SEARCH("rata-rata:",'Onshore- Melbourne'!M570))-SEARCH("rata-rata:",'Onshore- Melbourne'!M570)-11)),IF('Onshore- Melbourne'!D570="Semester",'Onshore- Melbourne'!E570*2,IF('Onshore- Melbourne'!D570="Trimester",'Onshore- Melbourne'!E570*3,IF('Onshore- Melbourne'!D570="Term",'Onshore- Melbourne'!E570*4,IF('Onshore- Melbourne'!D570="Unit",'Onshore- Melbourne'!E570*8,""))))))</f>
        <v>39950</v>
      </c>
      <c r="L1604" s="0" t="n">
        <f aca="false">IF(AND(ISNUMBER('Onshore- Melbourne'!E570),ISNUMBER(K1604),ISNUMBER('Onshore- Melbourne'!F570),ISNUMBER('Onshore- Melbourne'!G570),OR('Onshore- Melbourne'!F570&lt;&gt;0,ISNUMBER(SEARCH("Material 0 terverifikasi",'Onshore- Melbourne'!M570))),OR('Onshore- Melbourne'!G570&lt;&gt;0,ISNUMBER(SEARCH("Enrolment 0 terverifikasi",'Onshore- Melbourne'!M570)))),1,0)</f>
        <v>0</v>
      </c>
      <c r="M1604" s="0" t="n">
        <f aca="false">IF(OR('Onshore- Melbourne'!E570="",ISNUMBER(SEARCH("BSB80120",'Onshore- Melbourne'!B570&amp;'Onshore- Melbourne'!M570)),ISNUMBER(SEARCH("Management (Learning)",'Onshore- Melbourne'!B570))),2,IF(ISNUMBER(SEARCH("CEK:",'Onshore- Melbourne'!M570)),1,0))</f>
        <v>0</v>
      </c>
    </row>
    <row r="1605" customFormat="false" ht="15" hidden="false" customHeight="false" outlineLevel="0" collapsed="false">
      <c r="A1605" s="63" t="s">
        <v>3544</v>
      </c>
      <c r="B1605" s="64" t="s">
        <v>4374</v>
      </c>
      <c r="C1605" s="63" t="s">
        <v>46</v>
      </c>
      <c r="D1605" s="64" t="str">
        <f aca="false">TRIM(LEFT('Onshore- Melbourne'!A304,FIND(CHAR(10),'Onshore- Melbourne'!A304&amp;CHAR(10))-1))</f>
        <v>Kaplan Business School</v>
      </c>
      <c r="E1605" s="63" t="str">
        <f aca="false">'Onshore- Melbourne'!C312&amp;""</f>
        <v>1,5 years</v>
      </c>
      <c r="F1605" s="63" t="str">
        <f aca="false">IF('Onshore- Melbourne'!D312="","Belum tercatat",'Onshore- Melbourne'!D312)</f>
        <v>Trimester</v>
      </c>
      <c r="G1605" s="65" t="n">
        <f aca="false">IF('Onshore- Melbourne'!E312="","-",'Onshore- Melbourne'!E312)</f>
        <v>13600</v>
      </c>
      <c r="H1605" s="63" t="n">
        <f aca="false">IF(ISNUMBER(K1605),COUNTIFS($J$6:$J$1916,J1605,$K$6:$K$1916,"&lt;"&amp;K1605)+1,"-")</f>
        <v>13</v>
      </c>
      <c r="I1605" s="64" t="str">
        <f aca="false">IF('Onshore- Melbourne'!E312="","Harga belum tersedia - hubungi konsultan TEG",IF(M1605=2,"Saat ini tidak menerima pendaftaran siswa internasional baru",IF(M1605=1,"Harga perlu dikonfirmasi ke sekolah"&amp;IF(""="","","; "&amp;""),"")))</f>
        <v>Harga perlu dikonfirmasi ke sekolah</v>
      </c>
      <c r="J1605" s="0" t="s">
        <v>4425</v>
      </c>
      <c r="K1605" s="0" t="n">
        <f aca="false">IF(M1605=2,"",IF(ISNUMBER(SEARCH("rata-rata:",'Onshore- Melbourne'!M312)),VALUE(MID('Onshore- Melbourne'!M312,SEARCH("rata-rata:",'Onshore- Melbourne'!M312)+11,FIND(";",'Onshore- Melbourne'!M312&amp;";",SEARCH("rata-rata:",'Onshore- Melbourne'!M312))-SEARCH("rata-rata:",'Onshore- Melbourne'!M312)-11)),IF('Onshore- Melbourne'!D312="Semester",'Onshore- Melbourne'!E312*2,IF('Onshore- Melbourne'!D312="Trimester",'Onshore- Melbourne'!E312*3,IF('Onshore- Melbourne'!D312="Term",'Onshore- Melbourne'!E312*4,IF('Onshore- Melbourne'!D312="Unit",'Onshore- Melbourne'!E312*8,""))))))</f>
        <v>40800</v>
      </c>
      <c r="L1605" s="0" t="n">
        <f aca="false">IF(AND(ISNUMBER('Onshore- Melbourne'!E312),ISNUMBER(K1605),ISNUMBER('Onshore- Melbourne'!F312),ISNUMBER('Onshore- Melbourne'!G312),OR('Onshore- Melbourne'!F312&lt;&gt;0,ISNUMBER(SEARCH("Material 0 terverifikasi",'Onshore- Melbourne'!M312))),OR('Onshore- Melbourne'!G312&lt;&gt;0,ISNUMBER(SEARCH("Enrolment 0 terverifikasi",'Onshore- Melbourne'!M312)))),1,0)</f>
        <v>1</v>
      </c>
      <c r="M1605" s="0" t="n">
        <f aca="false">IF(OR('Onshore- Melbourne'!E312="",ISNUMBER(SEARCH("BSB80120",'Onshore- Melbourne'!B312&amp;'Onshore- Melbourne'!M312)),ISNUMBER(SEARCH("Management (Learning)",'Onshore- Melbourne'!B312))),2,IF(ISNUMBER(SEARCH("CEK:",'Onshore- Melbourne'!M312)),1,0))</f>
        <v>1</v>
      </c>
    </row>
    <row r="1606" customFormat="false" ht="15" hidden="false" customHeight="false" outlineLevel="0" collapsed="false">
      <c r="A1606" s="61" t="s">
        <v>4426</v>
      </c>
      <c r="B1606" s="62"/>
      <c r="C1606" s="62"/>
      <c r="D1606" s="62"/>
      <c r="E1606" s="62"/>
      <c r="F1606" s="62"/>
      <c r="G1606" s="62"/>
      <c r="H1606" s="62"/>
      <c r="I1606" s="62"/>
    </row>
    <row r="1607" customFormat="false" ht="15" hidden="false" customHeight="false" outlineLevel="0" collapsed="false">
      <c r="A1607" s="63" t="s">
        <v>3573</v>
      </c>
      <c r="B1607" s="64" t="s">
        <v>4374</v>
      </c>
      <c r="C1607" s="63" t="s">
        <v>41</v>
      </c>
      <c r="D1607" s="64" t="str">
        <f aca="false">TRIM(LEFT('Onshore - Perth'!A38,FIND(CHAR(10),'Onshore - Perth'!A38&amp;CHAR(10))-1))</f>
        <v>Baxter Institute</v>
      </c>
      <c r="E1607" s="63" t="str">
        <f aca="false">'Onshore - Perth'!C43&amp;""</f>
        <v>1 year</v>
      </c>
      <c r="F1607" s="63" t="str">
        <f aca="false">IF('Onshore - Perth'!D43="","Belum tercatat",'Onshore - Perth'!D43)</f>
        <v>Term</v>
      </c>
      <c r="G1607" s="65" t="n">
        <f aca="false">IF('Onshore - Perth'!E43="","-",'Onshore - Perth'!E43)</f>
        <v>3500</v>
      </c>
      <c r="H1607" s="63" t="n">
        <f aca="false">IF(ISNUMBER(K1607),COUNTIFS($J$6:$J$1916,J1607,$K$6:$K$1916,"&lt;"&amp;K1607)+1,"-")</f>
        <v>1</v>
      </c>
      <c r="I1607" s="64" t="str">
        <f aca="false">IF('Onshore - Perth'!E43="","Harga belum tersedia - hubungi konsultan TEG",IF(M1607=2,"Saat ini tidak menerima pendaftaran siswa internasional baru",IF(M1607=1,"Harga perlu dikonfirmasi ke sekolah"&amp;IF(""="","","; "&amp;""),"")))</f>
        <v/>
      </c>
      <c r="J1607" s="0" t="s">
        <v>4427</v>
      </c>
      <c r="K1607" s="0" t="n">
        <f aca="false">IF(M1607=2,"",IF(ISNUMBER(SEARCH("rata-rata:",'Onshore - Perth'!M43)),VALUE(MID('Onshore - Perth'!M43,SEARCH("rata-rata:",'Onshore - Perth'!M43)+11,FIND(";",'Onshore - Perth'!M43&amp;";",SEARCH("rata-rata:",'Onshore - Perth'!M43))-SEARCH("rata-rata:",'Onshore - Perth'!M43)-11)),IF('Onshore - Perth'!D43="Semester",'Onshore - Perth'!E43*2,IF('Onshore - Perth'!D43="Trimester",'Onshore - Perth'!E43*3,IF('Onshore - Perth'!D43="Term",'Onshore - Perth'!E43*4,IF('Onshore - Perth'!D43="Unit",'Onshore - Perth'!E43*8,""))))))</f>
        <v>14000</v>
      </c>
      <c r="L1607" s="0" t="n">
        <f aca="false">IF(AND(ISNUMBER('Onshore - Perth'!E43),ISNUMBER(K1607),ISNUMBER('Onshore - Perth'!F43),ISNUMBER('Onshore - Perth'!G43),OR('Onshore - Perth'!F43&lt;&gt;0,ISNUMBER(SEARCH("Material 0 terverifikasi",'Onshore - Perth'!M43))),OR('Onshore - Perth'!G43&lt;&gt;0,ISNUMBER(SEARCH("Enrolment 0 terverifikasi",'Onshore - Perth'!M43)))),1,0)</f>
        <v>1</v>
      </c>
      <c r="M1607" s="0" t="n">
        <f aca="false">IF(OR('Onshore - Perth'!E43="",ISNUMBER(SEARCH("BSB80120",'Onshore - Perth'!B43&amp;'Onshore - Perth'!M43)),ISNUMBER(SEARCH("Management (Learning)",'Onshore - Perth'!B43))),2,IF(ISNUMBER(SEARCH("CEK:",'Onshore - Perth'!M43)),1,0))</f>
        <v>0</v>
      </c>
    </row>
    <row r="1608" customFormat="false" ht="28.35" hidden="false" customHeight="false" outlineLevel="0" collapsed="false">
      <c r="A1608" s="63" t="s">
        <v>3573</v>
      </c>
      <c r="B1608" s="64" t="s">
        <v>4374</v>
      </c>
      <c r="C1608" s="63" t="s">
        <v>41</v>
      </c>
      <c r="D1608" s="64" t="str">
        <f aca="false">TRIM(LEFT('Onshore - Perth'!A92,FIND(CHAR(10),'Onshore - Perth'!A92&amp;CHAR(10))-1))</f>
        <v>International Institute of Business and Technology (IIBT)</v>
      </c>
      <c r="E1608" s="63" t="str">
        <f aca="false">'Onshore - Perth'!C93&amp;""</f>
        <v>1 year</v>
      </c>
      <c r="F1608" s="63" t="str">
        <f aca="false">IF('Onshore - Perth'!D93="","Belum tercatat",'Onshore - Perth'!D93)</f>
        <v>Term</v>
      </c>
      <c r="G1608" s="65" t="n">
        <f aca="false">IF('Onshore - Perth'!E93="","-",'Onshore - Perth'!E93)</f>
        <v>3750</v>
      </c>
      <c r="H1608" s="63" t="n">
        <f aca="false">IF(ISNUMBER(K1608),COUNTIFS($J$6:$J$1916,J1608,$K$6:$K$1916,"&lt;"&amp;K1608)+1,"-")</f>
        <v>2</v>
      </c>
      <c r="I1608" s="64" t="str">
        <f aca="false">IF('Onshore - Perth'!E93="","Harga belum tersedia - hubungi konsultan TEG",IF(M1608=2,"Saat ini tidak menerima pendaftaran siswa internasional baru",IF(M1608=1,"Harga perlu dikonfirmasi ke sekolah"&amp;IF(""="","","; "&amp;""),"")))</f>
        <v/>
      </c>
      <c r="J1608" s="0" t="s">
        <v>4427</v>
      </c>
      <c r="K1608" s="0" t="n">
        <f aca="false">IF(M1608=2,"",IF(ISNUMBER(SEARCH("rata-rata:",'Onshore - Perth'!M93)),VALUE(MID('Onshore - Perth'!M93,SEARCH("rata-rata:",'Onshore - Perth'!M93)+11,FIND(";",'Onshore - Perth'!M93&amp;";",SEARCH("rata-rata:",'Onshore - Perth'!M93))-SEARCH("rata-rata:",'Onshore - Perth'!M93)-11)),IF('Onshore - Perth'!D93="Semester",'Onshore - Perth'!E93*2,IF('Onshore - Perth'!D93="Trimester",'Onshore - Perth'!E93*3,IF('Onshore - Perth'!D93="Term",'Onshore - Perth'!E93*4,IF('Onshore - Perth'!D93="Unit",'Onshore - Perth'!E93*8,""))))))</f>
        <v>15000</v>
      </c>
      <c r="L1608" s="0" t="n">
        <f aca="false">IF(AND(ISNUMBER('Onshore - Perth'!E93),ISNUMBER(K1608),ISNUMBER('Onshore - Perth'!F93),ISNUMBER('Onshore - Perth'!G93),OR('Onshore - Perth'!F93&lt;&gt;0,ISNUMBER(SEARCH("Material 0 terverifikasi",'Onshore - Perth'!M93))),OR('Onshore - Perth'!G93&lt;&gt;0,ISNUMBER(SEARCH("Enrolment 0 terverifikasi",'Onshore - Perth'!M93)))),1,0)</f>
        <v>1</v>
      </c>
      <c r="M1608" s="0" t="n">
        <f aca="false">IF(OR('Onshore - Perth'!E93="",ISNUMBER(SEARCH("BSB80120",'Onshore - Perth'!B93&amp;'Onshore - Perth'!M93)),ISNUMBER(SEARCH("Management (Learning)",'Onshore - Perth'!B93))),2,IF(ISNUMBER(SEARCH("CEK:",'Onshore - Perth'!M93)),1,0))</f>
        <v>0</v>
      </c>
    </row>
    <row r="1609" customFormat="false" ht="15" hidden="false" customHeight="false" outlineLevel="0" collapsed="false">
      <c r="A1609" s="61" t="s">
        <v>4428</v>
      </c>
      <c r="B1609" s="62"/>
      <c r="C1609" s="62"/>
      <c r="D1609" s="62"/>
      <c r="E1609" s="62"/>
      <c r="F1609" s="62"/>
      <c r="G1609" s="62"/>
      <c r="H1609" s="62"/>
      <c r="I1609" s="62"/>
    </row>
    <row r="1610" customFormat="false" ht="15" hidden="false" customHeight="false" outlineLevel="0" collapsed="false">
      <c r="A1610" s="63" t="s">
        <v>3573</v>
      </c>
      <c r="B1610" s="64" t="s">
        <v>4374</v>
      </c>
      <c r="C1610" s="63" t="s">
        <v>42</v>
      </c>
      <c r="D1610" s="64" t="str">
        <f aca="false">TRIM(LEFT('Onshore - Perth'!A139,FIND(CHAR(10),'Onshore - Perth'!A139&amp;CHAR(10))-1))</f>
        <v>Skills Institute Australia</v>
      </c>
      <c r="E1610" s="63" t="str">
        <f aca="false">'Onshore - Perth'!C148&amp;""</f>
        <v>2 years</v>
      </c>
      <c r="F1610" s="63" t="str">
        <f aca="false">IF('Onshore - Perth'!D148="","Belum tercatat",'Onshore - Perth'!D148)</f>
        <v>Term</v>
      </c>
      <c r="G1610" s="65" t="n">
        <f aca="false">IF('Onshore - Perth'!E148="","-",'Onshore - Perth'!E148)</f>
        <v>2125</v>
      </c>
      <c r="H1610" s="63" t="n">
        <f aca="false">IF(ISNUMBER(K1610),COUNTIFS($J$6:$J$1916,J1610,$K$6:$K$1916,"&lt;"&amp;K1610)+1,"-")</f>
        <v>1</v>
      </c>
      <c r="I1610" s="64" t="str">
        <f aca="false">IF('Onshore - Perth'!E148="","Harga belum tersedia - hubungi konsultan TEG",IF(M1610=2,"Saat ini tidak menerima pendaftaran siswa internasional baru",IF(M1610=1,"Harga perlu dikonfirmasi ke sekolah"&amp;IF(""="","","; "&amp;""),"")))</f>
        <v/>
      </c>
      <c r="J1610" s="0" t="s">
        <v>4429</v>
      </c>
      <c r="K1610" s="0" t="n">
        <f aca="false">IF(M1610=2,"",IF(ISNUMBER(SEARCH("rata-rata:",'Onshore - Perth'!M148)),VALUE(MID('Onshore - Perth'!M148,SEARCH("rata-rata:",'Onshore - Perth'!M148)+11,FIND(";",'Onshore - Perth'!M148&amp;";",SEARCH("rata-rata:",'Onshore - Perth'!M148))-SEARCH("rata-rata:",'Onshore - Perth'!M148)-11)),IF('Onshore - Perth'!D148="Semester",'Onshore - Perth'!E148*2,IF('Onshore - Perth'!D148="Trimester",'Onshore - Perth'!E148*3,IF('Onshore - Perth'!D148="Term",'Onshore - Perth'!E148*4,IF('Onshore - Perth'!D148="Unit",'Onshore - Perth'!E148*8,""))))))</f>
        <v>8500</v>
      </c>
      <c r="L1610" s="0" t="n">
        <f aca="false">IF(AND(ISNUMBER('Onshore - Perth'!E148),ISNUMBER(K1610),ISNUMBER('Onshore - Perth'!F148),ISNUMBER('Onshore - Perth'!G148),OR('Onshore - Perth'!F148&lt;&gt;0,ISNUMBER(SEARCH("Material 0 terverifikasi",'Onshore - Perth'!M148))),OR('Onshore - Perth'!G148&lt;&gt;0,ISNUMBER(SEARCH("Enrolment 0 terverifikasi",'Onshore - Perth'!M148)))),1,0)</f>
        <v>1</v>
      </c>
      <c r="M1610" s="0" t="n">
        <f aca="false">IF(OR('Onshore - Perth'!E148="",ISNUMBER(SEARCH("BSB80120",'Onshore - Perth'!B148&amp;'Onshore - Perth'!M148)),ISNUMBER(SEARCH("Management (Learning)",'Onshore - Perth'!B148))),2,IF(ISNUMBER(SEARCH("CEK:",'Onshore - Perth'!M148)),1,0))</f>
        <v>0</v>
      </c>
    </row>
    <row r="1611" customFormat="false" ht="15" hidden="false" customHeight="false" outlineLevel="0" collapsed="false">
      <c r="A1611" s="63" t="s">
        <v>3573</v>
      </c>
      <c r="B1611" s="64" t="s">
        <v>4374</v>
      </c>
      <c r="C1611" s="63" t="s">
        <v>42</v>
      </c>
      <c r="D1611" s="64" t="str">
        <f aca="false">TRIM(LEFT('Onshore - Perth'!A38,FIND(CHAR(10),'Onshore - Perth'!A38&amp;CHAR(10))-1))</f>
        <v>Baxter Institute</v>
      </c>
      <c r="E1611" s="63" t="str">
        <f aca="false">'Onshore - Perth'!C42&amp;""</f>
        <v>2 years</v>
      </c>
      <c r="F1611" s="63" t="str">
        <f aca="false">IF('Onshore - Perth'!D42="","Belum tercatat",'Onshore - Perth'!D42)</f>
        <v>Term</v>
      </c>
      <c r="G1611" s="65" t="n">
        <f aca="false">IF('Onshore - Perth'!E42="","-",'Onshore - Perth'!E42)</f>
        <v>3250</v>
      </c>
      <c r="H1611" s="63" t="n">
        <f aca="false">IF(ISNUMBER(K1611),COUNTIFS($J$6:$J$1916,J1611,$K$6:$K$1916,"&lt;"&amp;K1611)+1,"-")</f>
        <v>2</v>
      </c>
      <c r="I1611" s="64" t="str">
        <f aca="false">IF('Onshore - Perth'!E42="","Harga belum tersedia - hubungi konsultan TEG",IF(M1611=2,"Saat ini tidak menerima pendaftaran siswa internasional baru",IF(M1611=1,"Harga perlu dikonfirmasi ke sekolah"&amp;IF(""="","","; "&amp;""),"")))</f>
        <v/>
      </c>
      <c r="J1611" s="0" t="s">
        <v>4429</v>
      </c>
      <c r="K1611" s="0" t="n">
        <f aca="false">IF(M1611=2,"",IF(ISNUMBER(SEARCH("rata-rata:",'Onshore - Perth'!M42)),VALUE(MID('Onshore - Perth'!M42,SEARCH("rata-rata:",'Onshore - Perth'!M42)+11,FIND(";",'Onshore - Perth'!M42&amp;";",SEARCH("rata-rata:",'Onshore - Perth'!M42))-SEARCH("rata-rata:",'Onshore - Perth'!M42)-11)),IF('Onshore - Perth'!D42="Semester",'Onshore - Perth'!E42*2,IF('Onshore - Perth'!D42="Trimester",'Onshore - Perth'!E42*3,IF('Onshore - Perth'!D42="Term",'Onshore - Perth'!E42*4,IF('Onshore - Perth'!D42="Unit",'Onshore - Perth'!E42*8,""))))))</f>
        <v>13000</v>
      </c>
      <c r="L1611" s="0" t="n">
        <f aca="false">IF(AND(ISNUMBER('Onshore - Perth'!E42),ISNUMBER(K1611),ISNUMBER('Onshore - Perth'!F42),ISNUMBER('Onshore - Perth'!G42),OR('Onshore - Perth'!F42&lt;&gt;0,ISNUMBER(SEARCH("Material 0 terverifikasi",'Onshore - Perth'!M42))),OR('Onshore - Perth'!G42&lt;&gt;0,ISNUMBER(SEARCH("Enrolment 0 terverifikasi",'Onshore - Perth'!M42)))),1,0)</f>
        <v>1</v>
      </c>
      <c r="M1611" s="0" t="n">
        <f aca="false">IF(OR('Onshore - Perth'!E42="",ISNUMBER(SEARCH("BSB80120",'Onshore - Perth'!B42&amp;'Onshore - Perth'!M42)),ISNUMBER(SEARCH("Management (Learning)",'Onshore - Perth'!B42))),2,IF(ISNUMBER(SEARCH("CEK:",'Onshore - Perth'!M42)),1,0))</f>
        <v>0</v>
      </c>
    </row>
    <row r="1612" customFormat="false" ht="15" hidden="false" customHeight="false" outlineLevel="0" collapsed="false">
      <c r="A1612" s="61" t="s">
        <v>4430</v>
      </c>
      <c r="B1612" s="62"/>
      <c r="C1612" s="62"/>
      <c r="D1612" s="62"/>
      <c r="E1612" s="62"/>
      <c r="F1612" s="62"/>
      <c r="G1612" s="62"/>
      <c r="H1612" s="62"/>
      <c r="I1612" s="62"/>
    </row>
    <row r="1613" customFormat="false" ht="15" hidden="false" customHeight="false" outlineLevel="0" collapsed="false">
      <c r="A1613" s="63" t="s">
        <v>3573</v>
      </c>
      <c r="B1613" s="64" t="s">
        <v>4374</v>
      </c>
      <c r="C1613" s="63" t="s">
        <v>43</v>
      </c>
      <c r="D1613" s="64" t="str">
        <f aca="false">TRIM(LEFT('Onshore - Perth'!A14,FIND(CHAR(10),'Onshore - Perth'!A14&amp;CHAR(10))-1))</f>
        <v>AIBI Higher Education</v>
      </c>
      <c r="E1613" s="63" t="str">
        <f aca="false">'Onshore - Perth'!C14&amp;""</f>
        <v>3 years</v>
      </c>
      <c r="F1613" s="63" t="str">
        <f aca="false">IF('Onshore - Perth'!D14="","Belum tercatat",'Onshore - Perth'!D14)</f>
        <v>Term</v>
      </c>
      <c r="G1613" s="65" t="n">
        <f aca="false">IF('Onshore - Perth'!E14="","-",'Onshore - Perth'!E14)</f>
        <v>3250</v>
      </c>
      <c r="H1613" s="63" t="n">
        <f aca="false">IF(ISNUMBER(K1613),COUNTIFS($J$6:$J$1916,J1613,$K$6:$K$1916,"&lt;"&amp;K1613)+1,"-")</f>
        <v>1</v>
      </c>
      <c r="I1613" s="64" t="str">
        <f aca="false">IF('Onshore - Perth'!E14="","Harga belum tersedia - hubungi konsultan TEG",IF(M1613=2,"Saat ini tidak menerima pendaftaran siswa internasional baru",IF(M1613=1,"Harga perlu dikonfirmasi ke sekolah"&amp;IF(""="","","; "&amp;""),"")))</f>
        <v>Harga perlu dikonfirmasi ke sekolah</v>
      </c>
      <c r="J1613" s="0" t="s">
        <v>4431</v>
      </c>
      <c r="K1613" s="0" t="n">
        <f aca="false">IF(M1613=2,"",IF(ISNUMBER(SEARCH("rata-rata:",'Onshore - Perth'!M14)),VALUE(MID('Onshore - Perth'!M14,SEARCH("rata-rata:",'Onshore - Perth'!M14)+11,FIND(";",'Onshore - Perth'!M14&amp;";",SEARCH("rata-rata:",'Onshore - Perth'!M14))-SEARCH("rata-rata:",'Onshore - Perth'!M14)-11)),IF('Onshore - Perth'!D14="Semester",'Onshore - Perth'!E14*2,IF('Onshore - Perth'!D14="Trimester",'Onshore - Perth'!E14*3,IF('Onshore - Perth'!D14="Term",'Onshore - Perth'!E14*4,IF('Onshore - Perth'!D14="Unit",'Onshore - Perth'!E14*8,""))))))</f>
        <v>13000</v>
      </c>
      <c r="L1613" s="0" t="n">
        <f aca="false">IF(AND(ISNUMBER('Onshore - Perth'!E14),ISNUMBER(K1613),ISNUMBER('Onshore - Perth'!F14),ISNUMBER('Onshore - Perth'!G14),OR('Onshore - Perth'!F14&lt;&gt;0,ISNUMBER(SEARCH("Material 0 terverifikasi",'Onshore - Perth'!M14))),OR('Onshore - Perth'!G14&lt;&gt;0,ISNUMBER(SEARCH("Enrolment 0 terverifikasi",'Onshore - Perth'!M14)))),1,0)</f>
        <v>0</v>
      </c>
      <c r="M1613" s="0" t="n">
        <f aca="false">IF(OR('Onshore - Perth'!E14="",ISNUMBER(SEARCH("BSB80120",'Onshore - Perth'!B14&amp;'Onshore - Perth'!M14)),ISNUMBER(SEARCH("Management (Learning)",'Onshore - Perth'!B14))),2,IF(ISNUMBER(SEARCH("CEK:",'Onshore - Perth'!M14)),1,0))</f>
        <v>1</v>
      </c>
    </row>
    <row r="1614" customFormat="false" ht="28.35" hidden="false" customHeight="false" outlineLevel="0" collapsed="false">
      <c r="A1614" s="63" t="s">
        <v>3573</v>
      </c>
      <c r="B1614" s="64" t="s">
        <v>4374</v>
      </c>
      <c r="C1614" s="63" t="s">
        <v>43</v>
      </c>
      <c r="D1614" s="64" t="str">
        <f aca="false">TRIM(LEFT('Onshore - Perth'!A89,FIND(CHAR(10),'Onshore - Perth'!A89&amp;CHAR(10))-1))</f>
        <v>Greenwich Higher Education (Academy of Interactive Technology Pty Ltd)</v>
      </c>
      <c r="E1614" s="63" t="str">
        <f aca="false">'Onshore - Perth'!C89&amp;""</f>
        <v>3 years</v>
      </c>
      <c r="F1614" s="63" t="str">
        <f aca="false">IF('Onshore - Perth'!D89="","Belum tercatat",'Onshore - Perth'!D89)</f>
        <v>Term</v>
      </c>
      <c r="G1614" s="65" t="n">
        <f aca="false">IF('Onshore - Perth'!E89="","-",'Onshore - Perth'!E89)</f>
        <v>4025</v>
      </c>
      <c r="H1614" s="63" t="n">
        <f aca="false">IF(ISNUMBER(K1614),COUNTIFS($J$6:$J$1916,J1614,$K$6:$K$1916,"&lt;"&amp;K1614)+1,"-")</f>
        <v>2</v>
      </c>
      <c r="I1614" s="64" t="str">
        <f aca="false">IF('Onshore - Perth'!E89="","Harga belum tersedia - hubungi konsultan TEG",IF(M1614=2,"Saat ini tidak menerima pendaftaran siswa internasional baru",IF(M1614=1,"Program perlu dikonfirmasi ketersediaannya"&amp;IF(""="","","; "&amp;""),"")))</f>
        <v>Program perlu dikonfirmasi ketersediaannya</v>
      </c>
      <c r="J1614" s="0" t="s">
        <v>4431</v>
      </c>
      <c r="K1614" s="0" t="n">
        <f aca="false">IF(M1614=2,"",IF(ISNUMBER(SEARCH("rata-rata:",'Onshore - Perth'!M89)),VALUE(MID('Onshore - Perth'!M89,SEARCH("rata-rata:",'Onshore - Perth'!M89)+11,FIND(";",'Onshore - Perth'!M89&amp;";",SEARCH("rata-rata:",'Onshore - Perth'!M89))-SEARCH("rata-rata:",'Onshore - Perth'!M89)-11)),IF('Onshore - Perth'!D89="Semester",'Onshore - Perth'!E89*2,IF('Onshore - Perth'!D89="Trimester",'Onshore - Perth'!E89*3,IF('Onshore - Perth'!D89="Term",'Onshore - Perth'!E89*4,IF('Onshore - Perth'!D89="Unit",'Onshore - Perth'!E89*8,""))))))</f>
        <v>16100</v>
      </c>
      <c r="L1614" s="0" t="n">
        <f aca="false">IF(AND(ISNUMBER('Onshore - Perth'!E89),ISNUMBER(K1614),ISNUMBER('Onshore - Perth'!F89),ISNUMBER('Onshore - Perth'!G89),OR('Onshore - Perth'!F89&lt;&gt;0,ISNUMBER(SEARCH("Material 0 terverifikasi",'Onshore - Perth'!M89))),OR('Onshore - Perth'!G89&lt;&gt;0,ISNUMBER(SEARCH("Enrolment 0 terverifikasi",'Onshore - Perth'!M89)))),1,0)</f>
        <v>1</v>
      </c>
      <c r="M1614" s="0" t="n">
        <f aca="false">IF(OR('Onshore - Perth'!E89="",ISNUMBER(SEARCH("BSB80120",'Onshore - Perth'!B89&amp;'Onshore - Perth'!M89)),ISNUMBER(SEARCH("Management (Learning)",'Onshore - Perth'!B89))),2,IF(ISNUMBER(SEARCH("CEK:",'Onshore - Perth'!M89)),1,0))</f>
        <v>1</v>
      </c>
    </row>
    <row r="1615" customFormat="false" ht="15" hidden="false" customHeight="false" outlineLevel="0" collapsed="false">
      <c r="A1615" s="63" t="s">
        <v>3573</v>
      </c>
      <c r="B1615" s="64" t="s">
        <v>4374</v>
      </c>
      <c r="C1615" s="63" t="s">
        <v>43</v>
      </c>
      <c r="D1615" s="64" t="str">
        <f aca="false">TRIM(LEFT('Onshore - Perth'!A152,FIND(CHAR(10),'Onshore - Perth'!A152&amp;CHAR(10))-1))</f>
        <v>The Australian Data and Cyber Institute (ADCI)</v>
      </c>
      <c r="E1615" s="63" t="str">
        <f aca="false">'Onshore - Perth'!C152&amp;""</f>
        <v>3 years</v>
      </c>
      <c r="F1615" s="63" t="str">
        <f aca="false">IF('Onshore - Perth'!D152="","Belum tercatat",'Onshore - Perth'!D152)</f>
        <v>Term</v>
      </c>
      <c r="G1615" s="65" t="n">
        <f aca="false">IF('Onshore - Perth'!E152="","-",'Onshore - Perth'!E152)</f>
        <v>4725</v>
      </c>
      <c r="H1615" s="63" t="n">
        <f aca="false">IF(ISNUMBER(K1615),COUNTIFS($J$6:$J$1916,J1615,$K$6:$K$1916,"&lt;"&amp;K1615)+1,"-")</f>
        <v>3</v>
      </c>
      <c r="I1615" s="64" t="str">
        <f aca="false">IF('Onshore - Perth'!E152="","Harga belum tersedia - hubungi konsultan TEG",IF(M1615=2,"Saat ini tidak menerima pendaftaran siswa internasional baru",IF(M1615=1,"Harga perlu dikonfirmasi ke sekolah"&amp;IF(""="","","; "&amp;""),"")))</f>
        <v>Harga perlu dikonfirmasi ke sekolah</v>
      </c>
      <c r="J1615" s="0" t="s">
        <v>4431</v>
      </c>
      <c r="K1615" s="0" t="n">
        <f aca="false">IF(M1615=2,"",IF(ISNUMBER(SEARCH("rata-rata:",'Onshore - Perth'!M152)),VALUE(MID('Onshore - Perth'!M152,SEARCH("rata-rata:",'Onshore - Perth'!M152)+11,FIND(";",'Onshore - Perth'!M152&amp;";",SEARCH("rata-rata:",'Onshore - Perth'!M152))-SEARCH("rata-rata:",'Onshore - Perth'!M152)-11)),IF('Onshore - Perth'!D152="Semester",'Onshore - Perth'!E152*2,IF('Onshore - Perth'!D152="Trimester",'Onshore - Perth'!E152*3,IF('Onshore - Perth'!D152="Term",'Onshore - Perth'!E152*4,IF('Onshore - Perth'!D152="Unit",'Onshore - Perth'!E152*8,""))))))</f>
        <v>18900</v>
      </c>
      <c r="L1615" s="0" t="n">
        <f aca="false">IF(AND(ISNUMBER('Onshore - Perth'!E152),ISNUMBER(K1615),ISNUMBER('Onshore - Perth'!F152),ISNUMBER('Onshore - Perth'!G152),OR('Onshore - Perth'!F152&lt;&gt;0,ISNUMBER(SEARCH("Material 0 terverifikasi",'Onshore - Perth'!M152))),OR('Onshore - Perth'!G152&lt;&gt;0,ISNUMBER(SEARCH("Enrolment 0 terverifikasi",'Onshore - Perth'!M152)))),1,0)</f>
        <v>0</v>
      </c>
      <c r="M1615" s="0" t="n">
        <f aca="false">IF(OR('Onshore - Perth'!E152="",ISNUMBER(SEARCH("BSB80120",'Onshore - Perth'!B152&amp;'Onshore - Perth'!M152)),ISNUMBER(SEARCH("Management (Learning)",'Onshore - Perth'!B152))),2,IF(ISNUMBER(SEARCH("CEK:",'Onshore - Perth'!M152)),1,0))</f>
        <v>1</v>
      </c>
    </row>
    <row r="1616" customFormat="false" ht="15" hidden="false" customHeight="false" outlineLevel="0" collapsed="false">
      <c r="A1616" s="63" t="s">
        <v>3573</v>
      </c>
      <c r="B1616" s="64" t="s">
        <v>4374</v>
      </c>
      <c r="C1616" s="63" t="s">
        <v>43</v>
      </c>
      <c r="D1616" s="64" t="str">
        <f aca="false">TRIM(LEFT('Onshore - Perth'!A6,FIND(CHAR(10),'Onshore - Perth'!A6&amp;CHAR(10))-1))</f>
        <v>Academies Australasia</v>
      </c>
      <c r="E1616" s="63" t="str">
        <f aca="false">'Onshore - Perth'!C9&amp;""</f>
        <v>3 years</v>
      </c>
      <c r="F1616" s="63" t="str">
        <f aca="false">IF('Onshore - Perth'!D9="","Belum tercatat",'Onshore - Perth'!D9)</f>
        <v>Term</v>
      </c>
      <c r="G1616" s="65" t="n">
        <f aca="false">IF('Onshore - Perth'!E9="","-",'Onshore - Perth'!E9)</f>
        <v>5000</v>
      </c>
      <c r="H1616" s="63" t="n">
        <f aca="false">IF(ISNUMBER(K1616),COUNTIFS($J$6:$J$1916,J1616,$K$6:$K$1916,"&lt;"&amp;K1616)+1,"-")</f>
        <v>4</v>
      </c>
      <c r="I1616" s="64" t="str">
        <f aca="false">IF('Onshore - Perth'!E9="","Harga belum tersedia - hubungi konsultan TEG",IF(M1616=2,"Saat ini tidak menerima pendaftaran siswa internasional baru",IF(M1616=1,"Harga perlu dikonfirmasi ke sekolah"&amp;IF(""="","","; "&amp;""),"")))</f>
        <v/>
      </c>
      <c r="J1616" s="0" t="s">
        <v>4431</v>
      </c>
      <c r="K1616" s="0" t="n">
        <f aca="false">IF(M1616=2,"",IF(ISNUMBER(SEARCH("rata-rata:",'Onshore - Perth'!M9)),VALUE(MID('Onshore - Perth'!M9,SEARCH("rata-rata:",'Onshore - Perth'!M9)+11,FIND(";",'Onshore - Perth'!M9&amp;";",SEARCH("rata-rata:",'Onshore - Perth'!M9))-SEARCH("rata-rata:",'Onshore - Perth'!M9)-11)),IF('Onshore - Perth'!D9="Semester",'Onshore - Perth'!E9*2,IF('Onshore - Perth'!D9="Trimester",'Onshore - Perth'!E9*3,IF('Onshore - Perth'!D9="Term",'Onshore - Perth'!E9*4,IF('Onshore - Perth'!D9="Unit",'Onshore - Perth'!E9*8,""))))))</f>
        <v>20000</v>
      </c>
      <c r="L1616" s="0" t="n">
        <f aca="false">IF(AND(ISNUMBER('Onshore - Perth'!E9),ISNUMBER(K1616),ISNUMBER('Onshore - Perth'!F9),ISNUMBER('Onshore - Perth'!G9),OR('Onshore - Perth'!F9&lt;&gt;0,ISNUMBER(SEARCH("Material 0 terverifikasi",'Onshore - Perth'!M9))),OR('Onshore - Perth'!G9&lt;&gt;0,ISNUMBER(SEARCH("Enrolment 0 terverifikasi",'Onshore - Perth'!M9)))),1,0)</f>
        <v>1</v>
      </c>
      <c r="M1616" s="0" t="n">
        <f aca="false">IF(OR('Onshore - Perth'!E9="",ISNUMBER(SEARCH("BSB80120",'Onshore - Perth'!B9&amp;'Onshore - Perth'!M9)),ISNUMBER(SEARCH("Management (Learning)",'Onshore - Perth'!B9))),2,IF(ISNUMBER(SEARCH("CEK:",'Onshore - Perth'!M9)),1,0))</f>
        <v>0</v>
      </c>
    </row>
    <row r="1617" customFormat="false" ht="15" hidden="false" customHeight="false" outlineLevel="0" collapsed="false">
      <c r="A1617" s="61" t="s">
        <v>4432</v>
      </c>
      <c r="B1617" s="62"/>
      <c r="C1617" s="62"/>
      <c r="D1617" s="62"/>
      <c r="E1617" s="62"/>
      <c r="F1617" s="62"/>
      <c r="G1617" s="62"/>
      <c r="H1617" s="62"/>
      <c r="I1617" s="62"/>
    </row>
    <row r="1618" customFormat="false" ht="15" hidden="false" customHeight="false" outlineLevel="0" collapsed="false">
      <c r="A1618" s="63" t="s">
        <v>3573</v>
      </c>
      <c r="B1618" s="64" t="s">
        <v>4374</v>
      </c>
      <c r="C1618" s="63" t="s">
        <v>3707</v>
      </c>
      <c r="D1618" s="64" t="str">
        <f aca="false">TRIM(LEFT('Onshore - Perth'!A14,FIND(CHAR(10),'Onshore - Perth'!A14&amp;CHAR(10))-1))</f>
        <v>AIBI Higher Education</v>
      </c>
      <c r="E1618" s="63" t="str">
        <f aca="false">'Onshore - Perth'!C27&amp;""</f>
        <v>8 months</v>
      </c>
      <c r="F1618" s="63" t="str">
        <f aca="false">IF('Onshore - Perth'!D27="","Belum tercatat",'Onshore - Perth'!D27)</f>
        <v>Term</v>
      </c>
      <c r="G1618" s="65" t="n">
        <f aca="false">IF('Onshore - Perth'!E27="","-",'Onshore - Perth'!E27)</f>
        <v>2700</v>
      </c>
      <c r="H1618" s="63" t="n">
        <f aca="false">IF(ISNUMBER(K1618),COUNTIFS($J$6:$J$1916,J1618,$K$6:$K$1916,"&lt;"&amp;K1618)+1,"-")</f>
        <v>1</v>
      </c>
      <c r="I1618" s="64" t="str">
        <f aca="false">IF('Onshore - Perth'!E27="","Harga belum tersedia - hubungi konsultan TEG",IF(M1618=2,"Saat ini tidak menerima pendaftaran siswa internasional baru",IF(M1618=1,"Harga perlu dikonfirmasi ke sekolah"&amp;IF(""="","","; "&amp;""),"")))</f>
        <v>Harga perlu dikonfirmasi ke sekolah</v>
      </c>
      <c r="J1618" s="0" t="s">
        <v>4433</v>
      </c>
      <c r="K1618" s="0" t="n">
        <f aca="false">IF(M1618=2,"",IF(ISNUMBER(SEARCH("rata-rata:",'Onshore - Perth'!M27)),VALUE(MID('Onshore - Perth'!M27,SEARCH("rata-rata:",'Onshore - Perth'!M27)+11,FIND(";",'Onshore - Perth'!M27&amp;";",SEARCH("rata-rata:",'Onshore - Perth'!M27))-SEARCH("rata-rata:",'Onshore - Perth'!M27)-11)),IF('Onshore - Perth'!D27="Semester",'Onshore - Perth'!E27*2,IF('Onshore - Perth'!D27="Trimester",'Onshore - Perth'!E27*3,IF('Onshore - Perth'!D27="Term",'Onshore - Perth'!E27*4,IF('Onshore - Perth'!D27="Unit",'Onshore - Perth'!E27*8,""))))))</f>
        <v>10800</v>
      </c>
      <c r="L1618" s="0" t="n">
        <f aca="false">IF(AND(ISNUMBER('Onshore - Perth'!E27),ISNUMBER(K1618),ISNUMBER('Onshore - Perth'!F27),ISNUMBER('Onshore - Perth'!G27),OR('Onshore - Perth'!F27&lt;&gt;0,ISNUMBER(SEARCH("Material 0 terverifikasi",'Onshore - Perth'!M27))),OR('Onshore - Perth'!G27&lt;&gt;0,ISNUMBER(SEARCH("Enrolment 0 terverifikasi",'Onshore - Perth'!M27)))),1,0)</f>
        <v>0</v>
      </c>
      <c r="M1618" s="0" t="n">
        <f aca="false">IF(OR('Onshore - Perth'!E27="",ISNUMBER(SEARCH("BSB80120",'Onshore - Perth'!B27&amp;'Onshore - Perth'!M27)),ISNUMBER(SEARCH("Management (Learning)",'Onshore - Perth'!B27))),2,IF(ISNUMBER(SEARCH("CEK:",'Onshore - Perth'!M27)),1,0))</f>
        <v>1</v>
      </c>
    </row>
    <row r="1619" customFormat="false" ht="15" hidden="false" customHeight="false" outlineLevel="0" collapsed="false">
      <c r="A1619" s="63" t="s">
        <v>3573</v>
      </c>
      <c r="B1619" s="64" t="s">
        <v>4374</v>
      </c>
      <c r="C1619" s="63" t="s">
        <v>3707</v>
      </c>
      <c r="D1619" s="64" t="str">
        <f aca="false">TRIM(LEFT('Onshore - Perth'!A95,FIND(CHAR(10),'Onshore - Perth'!A95&amp;CHAR(10))-1))</f>
        <v>Kaplan Business School</v>
      </c>
      <c r="E1619" s="63" t="str">
        <f aca="false">'Onshore - Perth'!C106&amp;""</f>
        <v>0,5 year</v>
      </c>
      <c r="F1619" s="63" t="str">
        <f aca="false">IF('Onshore - Perth'!D106="","Belum tercatat",'Onshore - Perth'!D106)</f>
        <v>Trimester</v>
      </c>
      <c r="G1619" s="65" t="n">
        <f aca="false">IF('Onshore - Perth'!E106="","-",'Onshore - Perth'!E106)</f>
        <v>14560</v>
      </c>
      <c r="H1619" s="63" t="n">
        <f aca="false">IF(ISNUMBER(K1619),COUNTIFS($J$6:$J$1916,J1619,$K$6:$K$1916,"&lt;"&amp;K1619)+1,"-")</f>
        <v>2</v>
      </c>
      <c r="I1619" s="64" t="str">
        <f aca="false">IF('Onshore - Perth'!E106="","Harga belum tersedia - hubungi konsultan TEG",IF(M1619=2,"Saat ini tidak menerima pendaftaran siswa internasional baru",IF(M1619=1,"Harga perlu dikonfirmasi ke sekolah"&amp;IF(""="","","; "&amp;""),"")))</f>
        <v>Harga perlu dikonfirmasi ke sekolah</v>
      </c>
      <c r="J1619" s="0" t="s">
        <v>4433</v>
      </c>
      <c r="K1619" s="0" t="n">
        <f aca="false">IF(M1619=2,"",IF(ISNUMBER(SEARCH("rata-rata:",'Onshore - Perth'!M106)),VALUE(MID('Onshore - Perth'!M106,SEARCH("rata-rata:",'Onshore - Perth'!M106)+11,FIND(";",'Onshore - Perth'!M106&amp;";",SEARCH("rata-rata:",'Onshore - Perth'!M106))-SEARCH("rata-rata:",'Onshore - Perth'!M106)-11)),IF('Onshore - Perth'!D106="Semester",'Onshore - Perth'!E106*2,IF('Onshore - Perth'!D106="Trimester",'Onshore - Perth'!E106*3,IF('Onshore - Perth'!D106="Term",'Onshore - Perth'!E106*4,IF('Onshore - Perth'!D106="Unit",'Onshore - Perth'!E106*8,""))))))</f>
        <v>43680</v>
      </c>
      <c r="L1619" s="0" t="n">
        <f aca="false">IF(AND(ISNUMBER('Onshore - Perth'!E106),ISNUMBER(K1619),ISNUMBER('Onshore - Perth'!F106),ISNUMBER('Onshore - Perth'!G106),OR('Onshore - Perth'!F106&lt;&gt;0,ISNUMBER(SEARCH("Material 0 terverifikasi",'Onshore - Perth'!M106))),OR('Onshore - Perth'!G106&lt;&gt;0,ISNUMBER(SEARCH("Enrolment 0 terverifikasi",'Onshore - Perth'!M106)))),1,0)</f>
        <v>1</v>
      </c>
      <c r="M1619" s="0" t="n">
        <f aca="false">IF(OR('Onshore - Perth'!E106="",ISNUMBER(SEARCH("BSB80120",'Onshore - Perth'!B106&amp;'Onshore - Perth'!M106)),ISNUMBER(SEARCH("Management (Learning)",'Onshore - Perth'!B106))),2,IF(ISNUMBER(SEARCH("CEK:",'Onshore - Perth'!M106)),1,0))</f>
        <v>1</v>
      </c>
    </row>
    <row r="1620" customFormat="false" ht="15" hidden="false" customHeight="false" outlineLevel="0" collapsed="false">
      <c r="A1620" s="61" t="s">
        <v>4434</v>
      </c>
      <c r="B1620" s="62"/>
      <c r="C1620" s="62"/>
      <c r="D1620" s="62"/>
      <c r="E1620" s="62"/>
      <c r="F1620" s="62"/>
      <c r="G1620" s="62"/>
      <c r="H1620" s="62"/>
      <c r="I1620" s="62"/>
    </row>
    <row r="1621" customFormat="false" ht="15" hidden="false" customHeight="false" outlineLevel="0" collapsed="false">
      <c r="A1621" s="63" t="s">
        <v>3573</v>
      </c>
      <c r="B1621" s="64" t="s">
        <v>4374</v>
      </c>
      <c r="C1621" s="63" t="s">
        <v>46</v>
      </c>
      <c r="D1621" s="64" t="str">
        <f aca="false">TRIM(LEFT('Onshore - Perth'!A14,FIND(CHAR(10),'Onshore - Perth'!A14&amp;CHAR(10))-1))</f>
        <v>AIBI Higher Education</v>
      </c>
      <c r="E1621" s="63" t="str">
        <f aca="false">'Onshore - Perth'!C20&amp;""</f>
        <v>2 years</v>
      </c>
      <c r="F1621" s="63" t="str">
        <f aca="false">IF('Onshore - Perth'!D20="","Belum tercatat",'Onshore - Perth'!D20)</f>
        <v>Term</v>
      </c>
      <c r="G1621" s="65" t="n">
        <f aca="false">IF('Onshore - Perth'!E20="","-",'Onshore - Perth'!E20)</f>
        <v>4050</v>
      </c>
      <c r="H1621" s="63" t="n">
        <f aca="false">IF(ISNUMBER(K1621),COUNTIFS($J$6:$J$1916,J1621,$K$6:$K$1916,"&lt;"&amp;K1621)+1,"-")</f>
        <v>1</v>
      </c>
      <c r="I1621" s="64" t="str">
        <f aca="false">IF('Onshore - Perth'!E20="","Harga belum tersedia - hubungi konsultan TEG",IF(M1621=2,"Saat ini tidak menerima pendaftaran siswa internasional baru",IF(M1621=1,"Harga perlu dikonfirmasi ke sekolah"&amp;IF(""="","","; "&amp;""),"")))</f>
        <v>Harga perlu dikonfirmasi ke sekolah</v>
      </c>
      <c r="J1621" s="0" t="s">
        <v>4435</v>
      </c>
      <c r="K1621" s="0" t="n">
        <f aca="false">IF(M1621=2,"",IF(ISNUMBER(SEARCH("rata-rata:",'Onshore - Perth'!M20)),VALUE(MID('Onshore - Perth'!M20,SEARCH("rata-rata:",'Onshore - Perth'!M20)+11,FIND(";",'Onshore - Perth'!M20&amp;";",SEARCH("rata-rata:",'Onshore - Perth'!M20))-SEARCH("rata-rata:",'Onshore - Perth'!M20)-11)),IF('Onshore - Perth'!D20="Semester",'Onshore - Perth'!E20*2,IF('Onshore - Perth'!D20="Trimester",'Onshore - Perth'!E20*3,IF('Onshore - Perth'!D20="Term",'Onshore - Perth'!E20*4,IF('Onshore - Perth'!D20="Unit",'Onshore - Perth'!E20*8,""))))))</f>
        <v>16200</v>
      </c>
      <c r="L1621" s="0" t="n">
        <f aca="false">IF(AND(ISNUMBER('Onshore - Perth'!E20),ISNUMBER(K1621),ISNUMBER('Onshore - Perth'!F20),ISNUMBER('Onshore - Perth'!G20),OR('Onshore - Perth'!F20&lt;&gt;0,ISNUMBER(SEARCH("Material 0 terverifikasi",'Onshore - Perth'!M20))),OR('Onshore - Perth'!G20&lt;&gt;0,ISNUMBER(SEARCH("Enrolment 0 terverifikasi",'Onshore - Perth'!M20)))),1,0)</f>
        <v>0</v>
      </c>
      <c r="M1621" s="0" t="n">
        <f aca="false">IF(OR('Onshore - Perth'!E20="",ISNUMBER(SEARCH("BSB80120",'Onshore - Perth'!B20&amp;'Onshore - Perth'!M20)),ISNUMBER(SEARCH("Management (Learning)",'Onshore - Perth'!B20))),2,IF(ISNUMBER(SEARCH("CEK:",'Onshore - Perth'!M20)),1,0))</f>
        <v>1</v>
      </c>
    </row>
    <row r="1622" customFormat="false" ht="15" hidden="false" customHeight="false" outlineLevel="0" collapsed="false">
      <c r="A1622" s="63" t="s">
        <v>3573</v>
      </c>
      <c r="B1622" s="64" t="s">
        <v>4374</v>
      </c>
      <c r="C1622" s="63" t="s">
        <v>46</v>
      </c>
      <c r="D1622" s="64" t="str">
        <f aca="false">TRIM(LEFT('Onshore - Perth'!A44,FIND(CHAR(10),'Onshore - Perth'!A44&amp;CHAR(10))-1))</f>
        <v>CIHE Australia</v>
      </c>
      <c r="E1622" s="63" t="str">
        <f aca="false">'Onshore - Perth'!C50&amp;""</f>
        <v>2 years</v>
      </c>
      <c r="F1622" s="63" t="str">
        <f aca="false">IF('Onshore - Perth'!D50="","Belum tercatat",'Onshore - Perth'!D50)</f>
        <v>Term</v>
      </c>
      <c r="G1622" s="65" t="n">
        <f aca="false">IF('Onshore - Perth'!E50="","-",'Onshore - Perth'!E50)</f>
        <v>4400</v>
      </c>
      <c r="H1622" s="63" t="n">
        <f aca="false">IF(ISNUMBER(K1622),COUNTIFS($J$6:$J$1916,J1622,$K$6:$K$1916,"&lt;"&amp;K1622)+1,"-")</f>
        <v>2</v>
      </c>
      <c r="I1622" s="64" t="str">
        <f aca="false">IF('Onshore - Perth'!E50="","Harga belum tersedia - hubungi konsultan TEG",IF(M1622=2,"Saat ini tidak menerima pendaftaran siswa internasional baru",IF(M1622=1,"Harga perlu dikonfirmasi ke sekolah"&amp;IF(""="","","; "&amp;""),"")))</f>
        <v>Harga perlu dikonfirmasi ke sekolah</v>
      </c>
      <c r="J1622" s="0" t="s">
        <v>4435</v>
      </c>
      <c r="K1622" s="0" t="n">
        <f aca="false">IF(M1622=2,"",IF(ISNUMBER(SEARCH("rata-rata:",'Onshore - Perth'!M50)),VALUE(MID('Onshore - Perth'!M50,SEARCH("rata-rata:",'Onshore - Perth'!M50)+11,FIND(";",'Onshore - Perth'!M50&amp;";",SEARCH("rata-rata:",'Onshore - Perth'!M50))-SEARCH("rata-rata:",'Onshore - Perth'!M50)-11)),IF('Onshore - Perth'!D50="Semester",'Onshore - Perth'!E50*2,IF('Onshore - Perth'!D50="Trimester",'Onshore - Perth'!E50*3,IF('Onshore - Perth'!D50="Term",'Onshore - Perth'!E50*4,IF('Onshore - Perth'!D50="Unit",'Onshore - Perth'!E50*8,""))))))</f>
        <v>17600</v>
      </c>
      <c r="L1622" s="0" t="n">
        <f aca="false">IF(AND(ISNUMBER('Onshore - Perth'!E50),ISNUMBER(K1622),ISNUMBER('Onshore - Perth'!F50),ISNUMBER('Onshore - Perth'!G50),OR('Onshore - Perth'!F50&lt;&gt;0,ISNUMBER(SEARCH("Material 0 terverifikasi",'Onshore - Perth'!M50))),OR('Onshore - Perth'!G50&lt;&gt;0,ISNUMBER(SEARCH("Enrolment 0 terverifikasi",'Onshore - Perth'!M50)))),1,0)</f>
        <v>1</v>
      </c>
      <c r="M1622" s="0" t="n">
        <f aca="false">IF(OR('Onshore - Perth'!E50="",ISNUMBER(SEARCH("BSB80120",'Onshore - Perth'!B50&amp;'Onshore - Perth'!M50)),ISNUMBER(SEARCH("Management (Learning)",'Onshore - Perth'!B50))),2,IF(ISNUMBER(SEARCH("CEK:",'Onshore - Perth'!M50)),1,0))</f>
        <v>1</v>
      </c>
    </row>
    <row r="1623" customFormat="false" ht="15" hidden="false" customHeight="false" outlineLevel="0" collapsed="false">
      <c r="A1623" s="63" t="s">
        <v>3573</v>
      </c>
      <c r="B1623" s="64" t="s">
        <v>4374</v>
      </c>
      <c r="C1623" s="63" t="s">
        <v>46</v>
      </c>
      <c r="D1623" s="64" t="str">
        <f aca="false">TRIM(LEFT('Onshore - Perth'!A6,FIND(CHAR(10),'Onshore - Perth'!A6&amp;CHAR(10))-1))</f>
        <v>Academies Australasia</v>
      </c>
      <c r="E1623" s="63" t="str">
        <f aca="false">'Onshore - Perth'!C10&amp;""</f>
        <v>2 years</v>
      </c>
      <c r="F1623" s="63" t="str">
        <f aca="false">IF('Onshore - Perth'!D10="","Belum tercatat",'Onshore - Perth'!D10)</f>
        <v>Term</v>
      </c>
      <c r="G1623" s="65" t="n">
        <f aca="false">IF('Onshore - Perth'!E10="","-",'Onshore - Perth'!E10)</f>
        <v>5000</v>
      </c>
      <c r="H1623" s="63" t="n">
        <f aca="false">IF(ISNUMBER(K1623),COUNTIFS($J$6:$J$1916,J1623,$K$6:$K$1916,"&lt;"&amp;K1623)+1,"-")</f>
        <v>3</v>
      </c>
      <c r="I1623" s="64" t="str">
        <f aca="false">IF('Onshore - Perth'!E10="","Harga belum tersedia - hubungi konsultan TEG",IF(M1623=2,"Saat ini tidak menerima pendaftaran siswa internasional baru",IF(M1623=1,"Harga perlu dikonfirmasi ke sekolah"&amp;IF(""="","","; "&amp;""),"")))</f>
        <v/>
      </c>
      <c r="J1623" s="0" t="s">
        <v>4435</v>
      </c>
      <c r="K1623" s="0" t="n">
        <f aca="false">IF(M1623=2,"",IF(ISNUMBER(SEARCH("rata-rata:",'Onshore - Perth'!M10)),VALUE(MID('Onshore - Perth'!M10,SEARCH("rata-rata:",'Onshore - Perth'!M10)+11,FIND(";",'Onshore - Perth'!M10&amp;";",SEARCH("rata-rata:",'Onshore - Perth'!M10))-SEARCH("rata-rata:",'Onshore - Perth'!M10)-11)),IF('Onshore - Perth'!D10="Semester",'Onshore - Perth'!E10*2,IF('Onshore - Perth'!D10="Trimester",'Onshore - Perth'!E10*3,IF('Onshore - Perth'!D10="Term",'Onshore - Perth'!E10*4,IF('Onshore - Perth'!D10="Unit",'Onshore - Perth'!E10*8,""))))))</f>
        <v>20000</v>
      </c>
      <c r="L1623" s="0" t="n">
        <f aca="false">IF(AND(ISNUMBER('Onshore - Perth'!E10),ISNUMBER(K1623),ISNUMBER('Onshore - Perth'!F10),ISNUMBER('Onshore - Perth'!G10),OR('Onshore - Perth'!F10&lt;&gt;0,ISNUMBER(SEARCH("Material 0 terverifikasi",'Onshore - Perth'!M10))),OR('Onshore - Perth'!G10&lt;&gt;0,ISNUMBER(SEARCH("Enrolment 0 terverifikasi",'Onshore - Perth'!M10)))),1,0)</f>
        <v>1</v>
      </c>
      <c r="M1623" s="0" t="n">
        <f aca="false">IF(OR('Onshore - Perth'!E10="",ISNUMBER(SEARCH("BSB80120",'Onshore - Perth'!B10&amp;'Onshore - Perth'!M10)),ISNUMBER(SEARCH("Management (Learning)",'Onshore - Perth'!B10))),2,IF(ISNUMBER(SEARCH("CEK:",'Onshore - Perth'!M10)),1,0))</f>
        <v>0</v>
      </c>
    </row>
    <row r="1624" customFormat="false" ht="15" hidden="false" customHeight="false" outlineLevel="0" collapsed="false">
      <c r="A1624" s="63" t="s">
        <v>3573</v>
      </c>
      <c r="B1624" s="64" t="s">
        <v>4374</v>
      </c>
      <c r="C1624" s="63" t="s">
        <v>46</v>
      </c>
      <c r="D1624" s="64" t="str">
        <f aca="false">TRIM(LEFT('Onshore - Perth'!A95,FIND(CHAR(10),'Onshore - Perth'!A95&amp;CHAR(10))-1))</f>
        <v>Kaplan Business School</v>
      </c>
      <c r="E1624" s="63" t="str">
        <f aca="false">'Onshore - Perth'!C103&amp;""</f>
        <v>1,5 years</v>
      </c>
      <c r="F1624" s="63" t="str">
        <f aca="false">IF('Onshore - Perth'!D103="","Belum tercatat",'Onshore - Perth'!D103)</f>
        <v>Trimester</v>
      </c>
      <c r="G1624" s="65" t="n">
        <f aca="false">IF('Onshore - Perth'!E103="","-",'Onshore - Perth'!E103)</f>
        <v>13600</v>
      </c>
      <c r="H1624" s="63" t="n">
        <f aca="false">IF(ISNUMBER(K1624),COUNTIFS($J$6:$J$1916,J1624,$K$6:$K$1916,"&lt;"&amp;K1624)+1,"-")</f>
        <v>4</v>
      </c>
      <c r="I1624" s="64" t="str">
        <f aca="false">IF('Onshore - Perth'!E103="","Harga belum tersedia - hubungi konsultan TEG",IF(M1624=2,"Saat ini tidak menerima pendaftaran siswa internasional baru",IF(M1624=1,"Harga perlu dikonfirmasi ke sekolah"&amp;IF(""="","","; "&amp;""),"")))</f>
        <v>Harga perlu dikonfirmasi ke sekolah</v>
      </c>
      <c r="J1624" s="0" t="s">
        <v>4435</v>
      </c>
      <c r="K1624" s="0" t="n">
        <f aca="false">IF(M1624=2,"",IF(ISNUMBER(SEARCH("rata-rata:",'Onshore - Perth'!M103)),VALUE(MID('Onshore - Perth'!M103,SEARCH("rata-rata:",'Onshore - Perth'!M103)+11,FIND(";",'Onshore - Perth'!M103&amp;";",SEARCH("rata-rata:",'Onshore - Perth'!M103))-SEARCH("rata-rata:",'Onshore - Perth'!M103)-11)),IF('Onshore - Perth'!D103="Semester",'Onshore - Perth'!E103*2,IF('Onshore - Perth'!D103="Trimester",'Onshore - Perth'!E103*3,IF('Onshore - Perth'!D103="Term",'Onshore - Perth'!E103*4,IF('Onshore - Perth'!D103="Unit",'Onshore - Perth'!E103*8,""))))))</f>
        <v>40800</v>
      </c>
      <c r="L1624" s="0" t="n">
        <f aca="false">IF(AND(ISNUMBER('Onshore - Perth'!E103),ISNUMBER(K1624),ISNUMBER('Onshore - Perth'!F103),ISNUMBER('Onshore - Perth'!G103),OR('Onshore - Perth'!F103&lt;&gt;0,ISNUMBER(SEARCH("Material 0 terverifikasi",'Onshore - Perth'!M103))),OR('Onshore - Perth'!G103&lt;&gt;0,ISNUMBER(SEARCH("Enrolment 0 terverifikasi",'Onshore - Perth'!M103)))),1,0)</f>
        <v>1</v>
      </c>
      <c r="M1624" s="0" t="n">
        <f aca="false">IF(OR('Onshore - Perth'!E103="",ISNUMBER(SEARCH("BSB80120",'Onshore - Perth'!B103&amp;'Onshore - Perth'!M103)),ISNUMBER(SEARCH("Management (Learning)",'Onshore - Perth'!B103))),2,IF(ISNUMBER(SEARCH("CEK:",'Onshore - Perth'!M103)),1,0))</f>
        <v>1</v>
      </c>
    </row>
    <row r="1625" customFormat="false" ht="15" hidden="false" customHeight="false" outlineLevel="0" collapsed="false">
      <c r="A1625" s="61" t="s">
        <v>4436</v>
      </c>
      <c r="B1625" s="62"/>
      <c r="C1625" s="62"/>
      <c r="D1625" s="62"/>
      <c r="E1625" s="62"/>
      <c r="F1625" s="62"/>
      <c r="G1625" s="62"/>
      <c r="H1625" s="62"/>
      <c r="I1625" s="62"/>
    </row>
    <row r="1626" customFormat="false" ht="28.35" hidden="false" customHeight="false" outlineLevel="0" collapsed="false">
      <c r="A1626" s="63" t="s">
        <v>3533</v>
      </c>
      <c r="B1626" s="64" t="s">
        <v>4374</v>
      </c>
      <c r="C1626" s="63" t="s">
        <v>40</v>
      </c>
      <c r="D1626" s="64" t="str">
        <f aca="false">TRIM(LEFT('Onshore - Sydney'!A268,FIND(CHAR(10),'Onshore - Sydney'!A268&amp;CHAR(10))-1))</f>
        <v>Australian College of Business Intelligence (ACBI)</v>
      </c>
      <c r="E1626" s="63" t="str">
        <f aca="false">'Onshore - Sydney'!C284&amp;""</f>
        <v>52 weeks (4 terms)</v>
      </c>
      <c r="F1626" s="63" t="str">
        <f aca="false">IF('Onshore - Sydney'!D284="","Belum tercatat",'Onshore - Sydney'!D284)</f>
        <v>Term</v>
      </c>
      <c r="G1626" s="65" t="n">
        <f aca="false">IF('Onshore - Sydney'!E284="","-",'Onshore - Sydney'!E284)</f>
        <v>1710</v>
      </c>
      <c r="H1626" s="63" t="n">
        <f aca="false">IF(ISNUMBER(K1626),COUNTIFS($J$6:$J$1916,J1626,$K$6:$K$1916,"&lt;"&amp;K1626)+1,"-")</f>
        <v>1</v>
      </c>
      <c r="I1626" s="64" t="str">
        <f aca="false">IF('Onshore - Sydney'!E284="","Harga belum tersedia - hubungi konsultan TEG",IF(M1626=2,"Saat ini tidak menerima pendaftaran siswa internasional baru",IF(M1626=1,"Harga perlu dikonfirmasi ke sekolah"&amp;IF(""="","","; "&amp;""),"")))</f>
        <v/>
      </c>
      <c r="J1626" s="0" t="s">
        <v>4437</v>
      </c>
      <c r="K1626" s="0" t="n">
        <f aca="false">IF(M1626=2,"",IF(ISNUMBER(SEARCH("rata-rata:",'Onshore - Sydney'!M284)),VALUE(MID('Onshore - Sydney'!M284,SEARCH("rata-rata:",'Onshore - Sydney'!M284)+11,FIND(";",'Onshore - Sydney'!M284&amp;";",SEARCH("rata-rata:",'Onshore - Sydney'!M284))-SEARCH("rata-rata:",'Onshore - Sydney'!M284)-11)),IF('Onshore - Sydney'!D284="Semester",'Onshore - Sydney'!E284*2,IF('Onshore - Sydney'!D284="Trimester",'Onshore - Sydney'!E284*3,IF('Onshore - Sydney'!D284="Term",'Onshore - Sydney'!E284*4,IF('Onshore - Sydney'!D284="Unit",'Onshore - Sydney'!E284*8,""))))))</f>
        <v>6840</v>
      </c>
      <c r="L1626" s="0" t="n">
        <f aca="false">IF(AND(ISNUMBER('Onshore - Sydney'!E284),ISNUMBER(K1626),ISNUMBER('Onshore - Sydney'!F284),ISNUMBER('Onshore - Sydney'!G284),OR('Onshore - Sydney'!F284&lt;&gt;0,ISNUMBER(SEARCH("Material 0 terverifikasi",'Onshore - Sydney'!M284))),OR('Onshore - Sydney'!G284&lt;&gt;0,ISNUMBER(SEARCH("Enrolment 0 terverifikasi",'Onshore - Sydney'!M284)))),1,0)</f>
        <v>1</v>
      </c>
      <c r="M1626" s="0" t="n">
        <f aca="false">IF(OR('Onshore - Sydney'!E284="",ISNUMBER(SEARCH("BSB80120",'Onshore - Sydney'!B284&amp;'Onshore - Sydney'!M284)),ISNUMBER(SEARCH("Management (Learning)",'Onshore - Sydney'!B284))),2,IF(ISNUMBER(SEARCH("CEK:",'Onshore - Sydney'!M284)),1,0))</f>
        <v>0</v>
      </c>
    </row>
    <row r="1627" customFormat="false" ht="15" hidden="false" customHeight="false" outlineLevel="0" collapsed="false">
      <c r="A1627" s="63" t="s">
        <v>3533</v>
      </c>
      <c r="B1627" s="64" t="s">
        <v>4374</v>
      </c>
      <c r="C1627" s="63" t="s">
        <v>40</v>
      </c>
      <c r="D1627" s="64" t="str">
        <f aca="false">TRIM(LEFT('Onshore - Sydney'!A796,FIND(CHAR(10),'Onshore - Sydney'!A796&amp;CHAR(10))-1))</f>
        <v>TAFE NSW</v>
      </c>
      <c r="E1627" s="63" t="str">
        <f aca="false">'Onshore - Sydney'!C840&amp;""</f>
        <v>0,5 year</v>
      </c>
      <c r="F1627" s="63" t="str">
        <f aca="false">IF('Onshore - Sydney'!D840="","Belum tercatat",'Onshore - Sydney'!D840)</f>
        <v>Term</v>
      </c>
      <c r="G1627" s="65" t="n">
        <f aca="false">IF('Onshore - Sydney'!E840="","-",'Onshore - Sydney'!E840)</f>
        <v>6675</v>
      </c>
      <c r="H1627" s="63" t="n">
        <f aca="false">IF(ISNUMBER(K1627),COUNTIFS($J$6:$J$1916,J1627,$K$6:$K$1916,"&lt;"&amp;K1627)+1,"-")</f>
        <v>2</v>
      </c>
      <c r="I1627" s="64" t="str">
        <f aca="false">IF('Onshore - Sydney'!E840="","Harga belum tersedia - hubungi konsultan TEG",IF(M1627=2,"Saat ini tidak menerima pendaftaran siswa internasional baru",IF(M1627=1,"Harga perlu dikonfirmasi ke sekolah"&amp;IF(""="","","; "&amp;""),"")))</f>
        <v/>
      </c>
      <c r="J1627" s="0" t="s">
        <v>4437</v>
      </c>
      <c r="K1627" s="0" t="n">
        <f aca="false">IF(M1627=2,"",IF(ISNUMBER(SEARCH("rata-rata:",'Onshore - Sydney'!M840)),VALUE(MID('Onshore - Sydney'!M840,SEARCH("rata-rata:",'Onshore - Sydney'!M840)+11,FIND(";",'Onshore - Sydney'!M840&amp;";",SEARCH("rata-rata:",'Onshore - Sydney'!M840))-SEARCH("rata-rata:",'Onshore - Sydney'!M840)-11)),IF('Onshore - Sydney'!D840="Semester",'Onshore - Sydney'!E840*2,IF('Onshore - Sydney'!D840="Trimester",'Onshore - Sydney'!E840*3,IF('Onshore - Sydney'!D840="Term",'Onshore - Sydney'!E840*4,IF('Onshore - Sydney'!D840="Unit",'Onshore - Sydney'!E840*8,""))))))</f>
        <v>26700</v>
      </c>
      <c r="L1627" s="0" t="n">
        <f aca="false">IF(AND(ISNUMBER('Onshore - Sydney'!E840),ISNUMBER(K1627),ISNUMBER('Onshore - Sydney'!F840),ISNUMBER('Onshore - Sydney'!G840),OR('Onshore - Sydney'!F840&lt;&gt;0,ISNUMBER(SEARCH("Material 0 terverifikasi",'Onshore - Sydney'!M840))),OR('Onshore - Sydney'!G840&lt;&gt;0,ISNUMBER(SEARCH("Enrolment 0 terverifikasi",'Onshore - Sydney'!M840)))),1,0)</f>
        <v>0</v>
      </c>
      <c r="M1627" s="0" t="n">
        <f aca="false">IF(OR('Onshore - Sydney'!E840="",ISNUMBER(SEARCH("BSB80120",'Onshore - Sydney'!B840&amp;'Onshore - Sydney'!M840)),ISNUMBER(SEARCH("Management (Learning)",'Onshore - Sydney'!B840))),2,IF(ISNUMBER(SEARCH("CEK:",'Onshore - Sydney'!M840)),1,0))</f>
        <v>0</v>
      </c>
    </row>
    <row r="1628" customFormat="false" ht="15" hidden="false" customHeight="false" outlineLevel="0" collapsed="false">
      <c r="A1628" s="61" t="s">
        <v>4438</v>
      </c>
      <c r="B1628" s="62"/>
      <c r="C1628" s="62"/>
      <c r="D1628" s="62"/>
      <c r="E1628" s="62"/>
      <c r="F1628" s="62"/>
      <c r="G1628" s="62"/>
      <c r="H1628" s="62"/>
      <c r="I1628" s="62"/>
    </row>
    <row r="1629" customFormat="false" ht="28.35" hidden="false" customHeight="false" outlineLevel="0" collapsed="false">
      <c r="A1629" s="63" t="s">
        <v>3533</v>
      </c>
      <c r="B1629" s="64" t="s">
        <v>4374</v>
      </c>
      <c r="C1629" s="63" t="s">
        <v>41</v>
      </c>
      <c r="D1629" s="64" t="str">
        <f aca="false">TRIM(LEFT('Onshore - Sydney'!A98,FIND(CHAR(10),'Onshore - Sydney'!A98&amp;CHAR(10))-1))</f>
        <v>Albright Institute of Business and Language (AIBL)</v>
      </c>
      <c r="E1629" s="63" t="str">
        <f aca="false">'Onshore - Sydney'!C102&amp;""</f>
        <v>2 years</v>
      </c>
      <c r="F1629" s="63" t="str">
        <f aca="false">IF('Onshore - Sydney'!D102="","Belum tercatat",'Onshore - Sydney'!D102)</f>
        <v>Term</v>
      </c>
      <c r="G1629" s="65" t="n">
        <f aca="false">IF('Onshore - Sydney'!E102="","-",'Onshore - Sydney'!E102)</f>
        <v>1250</v>
      </c>
      <c r="H1629" s="63" t="n">
        <f aca="false">IF(ISNUMBER(K1629),COUNTIFS($J$6:$J$1916,J1629,$K$6:$K$1916,"&lt;"&amp;K1629)+1,"-")</f>
        <v>1</v>
      </c>
      <c r="I1629" s="64" t="str">
        <f aca="false">IF('Onshore - Sydney'!E102="","Harga belum tersedia - hubungi konsultan TEG",IF(M1629=2,"Saat ini tidak menerima pendaftaran siswa internasional baru",IF(M1629=1,"Harga perlu dikonfirmasi ke sekolah"&amp;IF(""="","","; "&amp;""),"")))</f>
        <v/>
      </c>
      <c r="J1629" s="0" t="s">
        <v>4439</v>
      </c>
      <c r="K1629" s="0" t="n">
        <f aca="false">IF(M1629=2,"",IF(ISNUMBER(SEARCH("rata-rata:",'Onshore - Sydney'!M102)),VALUE(MID('Onshore - Sydney'!M102,SEARCH("rata-rata:",'Onshore - Sydney'!M102)+11,FIND(";",'Onshore - Sydney'!M102&amp;";",SEARCH("rata-rata:",'Onshore - Sydney'!M102))-SEARCH("rata-rata:",'Onshore - Sydney'!M102)-11)),IF('Onshore - Sydney'!D102="Semester",'Onshore - Sydney'!E102*2,IF('Onshore - Sydney'!D102="Trimester",'Onshore - Sydney'!E102*3,IF('Onshore - Sydney'!D102="Term",'Onshore - Sydney'!E102*4,IF('Onshore - Sydney'!D102="Unit",'Onshore - Sydney'!E102*8,""))))))</f>
        <v>5000</v>
      </c>
      <c r="L1629" s="0" t="n">
        <f aca="false">IF(AND(ISNUMBER('Onshore - Sydney'!E102),ISNUMBER(K1629),ISNUMBER('Onshore - Sydney'!F102),ISNUMBER('Onshore - Sydney'!G102),OR('Onshore - Sydney'!F102&lt;&gt;0,ISNUMBER(SEARCH("Material 0 terverifikasi",'Onshore - Sydney'!M102))),OR('Onshore - Sydney'!G102&lt;&gt;0,ISNUMBER(SEARCH("Enrolment 0 terverifikasi",'Onshore - Sydney'!M102)))),1,0)</f>
        <v>1</v>
      </c>
      <c r="M1629" s="0" t="n">
        <f aca="false">IF(OR('Onshore - Sydney'!E102="",ISNUMBER(SEARCH("BSB80120",'Onshore - Sydney'!B102&amp;'Onshore - Sydney'!M102)),ISNUMBER(SEARCH("Management (Learning)",'Onshore - Sydney'!B102))),2,IF(ISNUMBER(SEARCH("CEK:",'Onshore - Sydney'!M102)),1,0))</f>
        <v>0</v>
      </c>
    </row>
    <row r="1630" customFormat="false" ht="15" hidden="false" customHeight="false" outlineLevel="0" collapsed="false">
      <c r="A1630" s="63" t="s">
        <v>3533</v>
      </c>
      <c r="B1630" s="64" t="s">
        <v>4374</v>
      </c>
      <c r="C1630" s="63" t="s">
        <v>41</v>
      </c>
      <c r="D1630" s="64" t="str">
        <f aca="false">TRIM(LEFT('Onshore - Sydney'!A699,FIND(CHAR(10),'Onshore - Sydney'!A699&amp;CHAR(10))-1))</f>
        <v>NVR Education</v>
      </c>
      <c r="E1630" s="63" t="str">
        <f aca="false">'Onshore - Sydney'!C703&amp;""</f>
        <v>1,5 years</v>
      </c>
      <c r="F1630" s="63" t="str">
        <f aca="false">IF('Onshore - Sydney'!D703="","Belum tercatat",'Onshore - Sydney'!D703)</f>
        <v>Term</v>
      </c>
      <c r="G1630" s="65" t="n">
        <f aca="false">IF('Onshore - Sydney'!E703="","-",'Onshore - Sydney'!E703)</f>
        <v>1250</v>
      </c>
      <c r="H1630" s="63" t="n">
        <f aca="false">IF(ISNUMBER(K1630),COUNTIFS($J$6:$J$1916,J1630,$K$6:$K$1916,"&lt;"&amp;K1630)+1,"-")</f>
        <v>1</v>
      </c>
      <c r="I1630" s="64" t="str">
        <f aca="false">IF('Onshore - Sydney'!E703="","Harga belum tersedia - hubungi konsultan TEG",IF(M1630=2,"Saat ini tidak menerima pendaftaran siswa internasional baru",IF(M1630=1,"Harga perlu dikonfirmasi ke sekolah"&amp;IF(""="","","; "&amp;""),"")))</f>
        <v/>
      </c>
      <c r="J1630" s="0" t="s">
        <v>4439</v>
      </c>
      <c r="K1630" s="0" t="n">
        <f aca="false">IF(M1630=2,"",IF(ISNUMBER(SEARCH("rata-rata:",'Onshore - Sydney'!M703)),VALUE(MID('Onshore - Sydney'!M703,SEARCH("rata-rata:",'Onshore - Sydney'!M703)+11,FIND(";",'Onshore - Sydney'!M703&amp;";",SEARCH("rata-rata:",'Onshore - Sydney'!M703))-SEARCH("rata-rata:",'Onshore - Sydney'!M703)-11)),IF('Onshore - Sydney'!D703="Semester",'Onshore - Sydney'!E703*2,IF('Onshore - Sydney'!D703="Trimester",'Onshore - Sydney'!E703*3,IF('Onshore - Sydney'!D703="Term",'Onshore - Sydney'!E703*4,IF('Onshore - Sydney'!D703="Unit",'Onshore - Sydney'!E703*8,""))))))</f>
        <v>5000</v>
      </c>
      <c r="L1630" s="0" t="n">
        <f aca="false">IF(AND(ISNUMBER('Onshore - Sydney'!E703),ISNUMBER(K1630),ISNUMBER('Onshore - Sydney'!F703),ISNUMBER('Onshore - Sydney'!G703),OR('Onshore - Sydney'!F703&lt;&gt;0,ISNUMBER(SEARCH("Material 0 terverifikasi",'Onshore - Sydney'!M703))),OR('Onshore - Sydney'!G703&lt;&gt;0,ISNUMBER(SEARCH("Enrolment 0 terverifikasi",'Onshore - Sydney'!M703)))),1,0)</f>
        <v>1</v>
      </c>
      <c r="M1630" s="0" t="n">
        <f aca="false">IF(OR('Onshore - Sydney'!E703="",ISNUMBER(SEARCH("BSB80120",'Onshore - Sydney'!B703&amp;'Onshore - Sydney'!M703)),ISNUMBER(SEARCH("Management (Learning)",'Onshore - Sydney'!B703))),2,IF(ISNUMBER(SEARCH("CEK:",'Onshore - Sydney'!M703)),1,0))</f>
        <v>0</v>
      </c>
    </row>
    <row r="1631" customFormat="false" ht="15" hidden="false" customHeight="false" outlineLevel="0" collapsed="false">
      <c r="A1631" s="63" t="s">
        <v>3533</v>
      </c>
      <c r="B1631" s="64" t="s">
        <v>4374</v>
      </c>
      <c r="C1631" s="63" t="s">
        <v>41</v>
      </c>
      <c r="D1631" s="64" t="str">
        <f aca="false">TRIM(LEFT('Onshore - Sydney'!A364,FIND(CHAR(10),'Onshore - Sydney'!A364&amp;CHAR(10))-1))</f>
        <v>Be Qualified</v>
      </c>
      <c r="E1631" s="63" t="str">
        <f aca="false">'Onshore - Sydney'!C370&amp;""</f>
        <v>1,5 years</v>
      </c>
      <c r="F1631" s="63" t="str">
        <f aca="false">IF('Onshore - Sydney'!D370="","Belum tercatat",'Onshore - Sydney'!D370)</f>
        <v>Term</v>
      </c>
      <c r="G1631" s="65" t="n">
        <f aca="false">IF('Onshore - Sydney'!E370="","-",'Onshore - Sydney'!E370)</f>
        <v>1500</v>
      </c>
      <c r="H1631" s="63" t="n">
        <f aca="false">IF(ISNUMBER(K1631),COUNTIFS($J$6:$J$1916,J1631,$K$6:$K$1916,"&lt;"&amp;K1631)+1,"-")</f>
        <v>3</v>
      </c>
      <c r="I1631" s="64" t="str">
        <f aca="false">IF('Onshore - Sydney'!E370="","Harga belum tersedia - hubungi konsultan TEG",IF(M1631=2,"Saat ini tidak menerima pendaftaran siswa internasional baru",IF(M1631=1,"Harga perlu dikonfirmasi ke sekolah"&amp;IF(""="","","; "&amp;""),"")))</f>
        <v/>
      </c>
      <c r="J1631" s="0" t="s">
        <v>4439</v>
      </c>
      <c r="K1631" s="0" t="n">
        <f aca="false">IF(M1631=2,"",IF(ISNUMBER(SEARCH("rata-rata:",'Onshore - Sydney'!M370)),VALUE(MID('Onshore - Sydney'!M370,SEARCH("rata-rata:",'Onshore - Sydney'!M370)+11,FIND(";",'Onshore - Sydney'!M370&amp;";",SEARCH("rata-rata:",'Onshore - Sydney'!M370))-SEARCH("rata-rata:",'Onshore - Sydney'!M370)-11)),IF('Onshore - Sydney'!D370="Semester",'Onshore - Sydney'!E370*2,IF('Onshore - Sydney'!D370="Trimester",'Onshore - Sydney'!E370*3,IF('Onshore - Sydney'!D370="Term",'Onshore - Sydney'!E370*4,IF('Onshore - Sydney'!D370="Unit",'Onshore - Sydney'!E370*8,""))))))</f>
        <v>6000</v>
      </c>
      <c r="L1631" s="0" t="n">
        <f aca="false">IF(AND(ISNUMBER('Onshore - Sydney'!E370),ISNUMBER(K1631),ISNUMBER('Onshore - Sydney'!F370),ISNUMBER('Onshore - Sydney'!G370),OR('Onshore - Sydney'!F370&lt;&gt;0,ISNUMBER(SEARCH("Material 0 terverifikasi",'Onshore - Sydney'!M370))),OR('Onshore - Sydney'!G370&lt;&gt;0,ISNUMBER(SEARCH("Enrolment 0 terverifikasi",'Onshore - Sydney'!M370)))),1,0)</f>
        <v>0</v>
      </c>
      <c r="M1631" s="0" t="n">
        <f aca="false">IF(OR('Onshore - Sydney'!E370="",ISNUMBER(SEARCH("BSB80120",'Onshore - Sydney'!B370&amp;'Onshore - Sydney'!M370)),ISNUMBER(SEARCH("Management (Learning)",'Onshore - Sydney'!B370))),2,IF(ISNUMBER(SEARCH("CEK:",'Onshore - Sydney'!M370)),1,0))</f>
        <v>0</v>
      </c>
    </row>
    <row r="1632" customFormat="false" ht="15" hidden="false" customHeight="false" outlineLevel="0" collapsed="false">
      <c r="A1632" s="63" t="s">
        <v>3533</v>
      </c>
      <c r="B1632" s="64" t="s">
        <v>4374</v>
      </c>
      <c r="C1632" s="63" t="s">
        <v>41</v>
      </c>
      <c r="D1632" s="64" t="str">
        <f aca="false">TRIM(LEFT('Onshore - Sydney'!A1028,FIND(CHAR(10),'Onshore - Sydney'!A1028&amp;CHAR(10))-1))</f>
        <v>Warwick Institute of Australia</v>
      </c>
      <c r="E1632" s="63" t="str">
        <f aca="false">'Onshore - Sydney'!C1028&amp;""</f>
        <v>2,5 years</v>
      </c>
      <c r="F1632" s="63" t="str">
        <f aca="false">IF('Onshore - Sydney'!D1028="","Belum tercatat",'Onshore - Sydney'!D1028)</f>
        <v>Term</v>
      </c>
      <c r="G1632" s="65" t="n">
        <f aca="false">IF('Onshore - Sydney'!E1028="","-",'Onshore - Sydney'!E1028)</f>
        <v>1500</v>
      </c>
      <c r="H1632" s="63" t="n">
        <f aca="false">IF(ISNUMBER(K1632),COUNTIFS($J$6:$J$1916,J1632,$K$6:$K$1916,"&lt;"&amp;K1632)+1,"-")</f>
        <v>3</v>
      </c>
      <c r="I1632" s="64" t="str">
        <f aca="false">IF('Onshore - Sydney'!E1028="","Harga belum tersedia - hubungi konsultan TEG",IF(M1632=2,"Saat ini tidak menerima pendaftaran siswa internasional baru",IF(M1632=1,"Harga perlu dikonfirmasi ke sekolah"&amp;IF(""="","","; "&amp;""),"")))</f>
        <v/>
      </c>
      <c r="J1632" s="0" t="s">
        <v>4439</v>
      </c>
      <c r="K1632" s="0" t="n">
        <f aca="false">IF(M1632=2,"",IF(ISNUMBER(SEARCH("rata-rata:",'Onshore - Sydney'!M1028)),VALUE(MID('Onshore - Sydney'!M1028,SEARCH("rata-rata:",'Onshore - Sydney'!M1028)+11,FIND(";",'Onshore - Sydney'!M1028&amp;";",SEARCH("rata-rata:",'Onshore - Sydney'!M1028))-SEARCH("rata-rata:",'Onshore - Sydney'!M1028)-11)),IF('Onshore - Sydney'!D1028="Semester",'Onshore - Sydney'!E1028*2,IF('Onshore - Sydney'!D1028="Trimester",'Onshore - Sydney'!E1028*3,IF('Onshore - Sydney'!D1028="Term",'Onshore - Sydney'!E1028*4,IF('Onshore - Sydney'!D1028="Unit",'Onshore - Sydney'!E1028*8,""))))))</f>
        <v>6000</v>
      </c>
      <c r="L1632" s="0" t="n">
        <f aca="false">IF(AND(ISNUMBER('Onshore - Sydney'!E1028),ISNUMBER(K1632),ISNUMBER('Onshore - Sydney'!F1028),ISNUMBER('Onshore - Sydney'!G1028),OR('Onshore - Sydney'!F1028&lt;&gt;0,ISNUMBER(SEARCH("Material 0 terverifikasi",'Onshore - Sydney'!M1028))),OR('Onshore - Sydney'!G1028&lt;&gt;0,ISNUMBER(SEARCH("Enrolment 0 terverifikasi",'Onshore - Sydney'!M1028)))),1,0)</f>
        <v>1</v>
      </c>
      <c r="M1632" s="0" t="n">
        <f aca="false">IF(OR('Onshore - Sydney'!E1028="",ISNUMBER(SEARCH("BSB80120",'Onshore - Sydney'!B1028&amp;'Onshore - Sydney'!M1028)),ISNUMBER(SEARCH("Management (Learning)",'Onshore - Sydney'!B1028))),2,IF(ISNUMBER(SEARCH("CEK:",'Onshore - Sydney'!M1028)),1,0))</f>
        <v>0</v>
      </c>
    </row>
    <row r="1633" customFormat="false" ht="15" hidden="false" customHeight="false" outlineLevel="0" collapsed="false">
      <c r="A1633" s="63" t="s">
        <v>3533</v>
      </c>
      <c r="B1633" s="64" t="s">
        <v>4374</v>
      </c>
      <c r="C1633" s="63" t="s">
        <v>41</v>
      </c>
      <c r="D1633" s="64" t="str">
        <f aca="false">TRIM(LEFT('Onshore - Sydney'!A1038,FIND(CHAR(10),'Onshore - Sydney'!A1038&amp;CHAR(10))-1))</f>
        <v>Wells International College (WIC)</v>
      </c>
      <c r="E1633" s="63" t="str">
        <f aca="false">'Onshore - Sydney'!C1043&amp;""</f>
        <v>2 years</v>
      </c>
      <c r="F1633" s="63" t="str">
        <f aca="false">IF('Onshore - Sydney'!D1043="","Belum tercatat",'Onshore - Sydney'!D1043)</f>
        <v>Term</v>
      </c>
      <c r="G1633" s="65" t="n">
        <f aca="false">IF('Onshore - Sydney'!E1043="","-",'Onshore - Sydney'!E1043)</f>
        <v>1500</v>
      </c>
      <c r="H1633" s="63" t="n">
        <f aca="false">IF(ISNUMBER(K1633),COUNTIFS($J$6:$J$1916,J1633,$K$6:$K$1916,"&lt;"&amp;K1633)+1,"-")</f>
        <v>3</v>
      </c>
      <c r="I1633" s="64" t="str">
        <f aca="false">IF('Onshore - Sydney'!E1043="","Harga belum tersedia - hubungi konsultan TEG",IF(M1633=2,"Saat ini tidak menerima pendaftaran siswa internasional baru",IF(M1633=1,"Harga perlu dikonfirmasi ke sekolah"&amp;IF(""="","","; "&amp;""),"")))</f>
        <v/>
      </c>
      <c r="J1633" s="0" t="s">
        <v>4439</v>
      </c>
      <c r="K1633" s="0" t="n">
        <f aca="false">IF(M1633=2,"",IF(ISNUMBER(SEARCH("rata-rata:",'Onshore - Sydney'!M1043)),VALUE(MID('Onshore - Sydney'!M1043,SEARCH("rata-rata:",'Onshore - Sydney'!M1043)+11,FIND(";",'Onshore - Sydney'!M1043&amp;";",SEARCH("rata-rata:",'Onshore - Sydney'!M1043))-SEARCH("rata-rata:",'Onshore - Sydney'!M1043)-11)),IF('Onshore - Sydney'!D1043="Semester",'Onshore - Sydney'!E1043*2,IF('Onshore - Sydney'!D1043="Trimester",'Onshore - Sydney'!E1043*3,IF('Onshore - Sydney'!D1043="Term",'Onshore - Sydney'!E1043*4,IF('Onshore - Sydney'!D1043="Unit",'Onshore - Sydney'!E1043*8,""))))))</f>
        <v>6000</v>
      </c>
      <c r="L1633" s="0" t="n">
        <f aca="false">IF(AND(ISNUMBER('Onshore - Sydney'!E1043),ISNUMBER(K1633),ISNUMBER('Onshore - Sydney'!F1043),ISNUMBER('Onshore - Sydney'!G1043),OR('Onshore - Sydney'!F1043&lt;&gt;0,ISNUMBER(SEARCH("Material 0 terverifikasi",'Onshore - Sydney'!M1043))),OR('Onshore - Sydney'!G1043&lt;&gt;0,ISNUMBER(SEARCH("Enrolment 0 terverifikasi",'Onshore - Sydney'!M1043)))),1,0)</f>
        <v>1</v>
      </c>
      <c r="M1633" s="0" t="n">
        <f aca="false">IF(OR('Onshore - Sydney'!E1043="",ISNUMBER(SEARCH("BSB80120",'Onshore - Sydney'!B1043&amp;'Onshore - Sydney'!M1043)),ISNUMBER(SEARCH("Management (Learning)",'Onshore - Sydney'!B1043))),2,IF(ISNUMBER(SEARCH("CEK:",'Onshore - Sydney'!M1043)),1,0))</f>
        <v>0</v>
      </c>
    </row>
    <row r="1634" customFormat="false" ht="15" hidden="false" customHeight="false" outlineLevel="0" collapsed="false">
      <c r="A1634" s="63" t="s">
        <v>3533</v>
      </c>
      <c r="B1634" s="64" t="s">
        <v>4374</v>
      </c>
      <c r="C1634" s="63" t="s">
        <v>41</v>
      </c>
      <c r="D1634" s="64" t="str">
        <f aca="false">TRIM(LEFT('Onshore - Sydney'!A1237,FIND(CHAR(10),'Onshore - Sydney'!A1237&amp;CHAR(10))-1))</f>
        <v>York Business Institute</v>
      </c>
      <c r="E1634" s="63" t="str">
        <f aca="false">'Onshore - Sydney'!C1246&amp;""</f>
        <v>3,5 years</v>
      </c>
      <c r="F1634" s="63" t="str">
        <f aca="false">IF('Onshore - Sydney'!D1246="","Belum tercatat",'Onshore - Sydney'!D1246)</f>
        <v>Term</v>
      </c>
      <c r="G1634" s="65" t="n">
        <f aca="false">IF('Onshore - Sydney'!E1246="","-",'Onshore - Sydney'!E1246)</f>
        <v>1500</v>
      </c>
      <c r="H1634" s="63" t="n">
        <f aca="false">IF(ISNUMBER(K1634),COUNTIFS($J$6:$J$1916,J1634,$K$6:$K$1916,"&lt;"&amp;K1634)+1,"-")</f>
        <v>3</v>
      </c>
      <c r="I1634" s="64" t="str">
        <f aca="false">IF('Onshore - Sydney'!E1246="","Harga belum tersedia - hubungi konsultan TEG",IF(M1634=2,"Saat ini tidak menerima pendaftaran siswa internasional baru",IF(M1634=1,"Harga perlu dikonfirmasi ke sekolah"&amp;IF(""="","","; "&amp;""),"")))</f>
        <v>Harga perlu dikonfirmasi ke sekolah</v>
      </c>
      <c r="J1634" s="0" t="s">
        <v>4439</v>
      </c>
      <c r="K1634" s="0" t="n">
        <f aca="false">IF(M1634=2,"",IF(ISNUMBER(SEARCH("rata-rata:",'Onshore - Sydney'!M1246)),VALUE(MID('Onshore - Sydney'!M1246,SEARCH("rata-rata:",'Onshore - Sydney'!M1246)+11,FIND(";",'Onshore - Sydney'!M1246&amp;";",SEARCH("rata-rata:",'Onshore - Sydney'!M1246))-SEARCH("rata-rata:",'Onshore - Sydney'!M1246)-11)),IF('Onshore - Sydney'!D1246="Semester",'Onshore - Sydney'!E1246*2,IF('Onshore - Sydney'!D1246="Trimester",'Onshore - Sydney'!E1246*3,IF('Onshore - Sydney'!D1246="Term",'Onshore - Sydney'!E1246*4,IF('Onshore - Sydney'!D1246="Unit",'Onshore - Sydney'!E1246*8,""))))))</f>
        <v>6000</v>
      </c>
      <c r="L1634" s="0" t="n">
        <f aca="false">IF(AND(ISNUMBER('Onshore - Sydney'!E1246),ISNUMBER(K1634),ISNUMBER('Onshore - Sydney'!F1246),ISNUMBER('Onshore - Sydney'!G1246),OR('Onshore - Sydney'!F1246&lt;&gt;0,ISNUMBER(SEARCH("Material 0 terverifikasi",'Onshore - Sydney'!M1246))),OR('Onshore - Sydney'!G1246&lt;&gt;0,ISNUMBER(SEARCH("Enrolment 0 terverifikasi",'Onshore - Sydney'!M1246)))),1,0)</f>
        <v>1</v>
      </c>
      <c r="M1634" s="0" t="n">
        <f aca="false">IF(OR('Onshore - Sydney'!E1246="",ISNUMBER(SEARCH("BSB80120",'Onshore - Sydney'!B1246&amp;'Onshore - Sydney'!M1246)),ISNUMBER(SEARCH("Management (Learning)",'Onshore - Sydney'!B1246))),2,IF(ISNUMBER(SEARCH("CEK:",'Onshore - Sydney'!M1246)),1,0))</f>
        <v>1</v>
      </c>
    </row>
    <row r="1635" customFormat="false" ht="15" hidden="false" customHeight="false" outlineLevel="0" collapsed="false">
      <c r="A1635" s="63" t="s">
        <v>3533</v>
      </c>
      <c r="B1635" s="64" t="s">
        <v>4374</v>
      </c>
      <c r="C1635" s="63" t="s">
        <v>41</v>
      </c>
      <c r="D1635" s="64" t="str">
        <f aca="false">TRIM(LEFT('Onshore - Sydney'!A451,FIND(CHAR(10),'Onshore - Sydney'!A451&amp;CHAR(10))-1))</f>
        <v>Eton College</v>
      </c>
      <c r="E1635" s="63" t="str">
        <f aca="false">'Onshore - Sydney'!C451&amp;""</f>
        <v>2 years</v>
      </c>
      <c r="F1635" s="63" t="str">
        <f aca="false">IF('Onshore - Sydney'!D451="","Belum tercatat",'Onshore - Sydney'!D451)</f>
        <v>Term</v>
      </c>
      <c r="G1635" s="65" t="n">
        <f aca="false">IF('Onshore - Sydney'!E451="","-",'Onshore - Sydney'!E451)</f>
        <v>1750</v>
      </c>
      <c r="H1635" s="63" t="n">
        <f aca="false">IF(ISNUMBER(K1635),COUNTIFS($J$6:$J$1916,J1635,$K$6:$K$1916,"&lt;"&amp;K1635)+1,"-")</f>
        <v>7</v>
      </c>
      <c r="I1635" s="64" t="str">
        <f aca="false">IF('Onshore - Sydney'!E451="","Harga belum tersedia - hubungi konsultan TEG",IF(M1635=2,"Saat ini tidak menerima pendaftaran siswa internasional baru",IF(M1635=1,"Harga perlu dikonfirmasi ke sekolah"&amp;IF(""="","","; "&amp;""),"")))</f>
        <v/>
      </c>
      <c r="J1635" s="0" t="s">
        <v>4439</v>
      </c>
      <c r="K1635" s="0" t="n">
        <f aca="false">IF(M1635=2,"",IF(ISNUMBER(SEARCH("rata-rata:",'Onshore - Sydney'!M451)),VALUE(MID('Onshore - Sydney'!M451,SEARCH("rata-rata:",'Onshore - Sydney'!M451)+11,FIND(";",'Onshore - Sydney'!M451&amp;";",SEARCH("rata-rata:",'Onshore - Sydney'!M451))-SEARCH("rata-rata:",'Onshore - Sydney'!M451)-11)),IF('Onshore - Sydney'!D451="Semester",'Onshore - Sydney'!E451*2,IF('Onshore - Sydney'!D451="Trimester",'Onshore - Sydney'!E451*3,IF('Onshore - Sydney'!D451="Term",'Onshore - Sydney'!E451*4,IF('Onshore - Sydney'!D451="Unit",'Onshore - Sydney'!E451*8,""))))))</f>
        <v>7000</v>
      </c>
      <c r="L1635" s="0" t="n">
        <f aca="false">IF(AND(ISNUMBER('Onshore - Sydney'!E451),ISNUMBER(K1635),ISNUMBER('Onshore - Sydney'!F451),ISNUMBER('Onshore - Sydney'!G451),OR('Onshore - Sydney'!F451&lt;&gt;0,ISNUMBER(SEARCH("Material 0 terverifikasi",'Onshore - Sydney'!M451))),OR('Onshore - Sydney'!G451&lt;&gt;0,ISNUMBER(SEARCH("Enrolment 0 terverifikasi",'Onshore - Sydney'!M451)))),1,0)</f>
        <v>1</v>
      </c>
      <c r="M1635" s="0" t="n">
        <f aca="false">IF(OR('Onshore - Sydney'!E451="",ISNUMBER(SEARCH("BSB80120",'Onshore - Sydney'!B451&amp;'Onshore - Sydney'!M451)),ISNUMBER(SEARCH("Management (Learning)",'Onshore - Sydney'!B451))),2,IF(ISNUMBER(SEARCH("CEK:",'Onshore - Sydney'!M451)),1,0))</f>
        <v>0</v>
      </c>
    </row>
    <row r="1636" customFormat="false" ht="15" hidden="false" customHeight="false" outlineLevel="0" collapsed="false">
      <c r="A1636" s="63" t="s">
        <v>3533</v>
      </c>
      <c r="B1636" s="64" t="s">
        <v>4374</v>
      </c>
      <c r="C1636" s="63" t="s">
        <v>41</v>
      </c>
      <c r="D1636" s="64" t="str">
        <f aca="false">TRIM(LEFT('Onshore - Sydney'!A728,FIND(CHAR(10),'Onshore - Sydney'!A728&amp;CHAR(10))-1))</f>
        <v>Rosehill College</v>
      </c>
      <c r="E1636" s="63" t="str">
        <f aca="false">'Onshore - Sydney'!C734&amp;""</f>
        <v>1,5 years</v>
      </c>
      <c r="F1636" s="63" t="str">
        <f aca="false">IF('Onshore - Sydney'!D734="","Belum tercatat",'Onshore - Sydney'!D734)</f>
        <v>Term</v>
      </c>
      <c r="G1636" s="65" t="n">
        <f aca="false">IF('Onshore - Sydney'!E734="","-",'Onshore - Sydney'!E734)</f>
        <v>1750</v>
      </c>
      <c r="H1636" s="63" t="n">
        <f aca="false">IF(ISNUMBER(K1636),COUNTIFS($J$6:$J$1916,J1636,$K$6:$K$1916,"&lt;"&amp;K1636)+1,"-")</f>
        <v>7</v>
      </c>
      <c r="I1636" s="64" t="str">
        <f aca="false">IF('Onshore - Sydney'!E734="","Harga belum tersedia - hubungi konsultan TEG",IF(M1636=2,"Saat ini tidak menerima pendaftaran siswa internasional baru",IF(M1636=1,"Harga perlu dikonfirmasi ke sekolah"&amp;IF(""="","","; "&amp;""),"")))</f>
        <v/>
      </c>
      <c r="J1636" s="0" t="s">
        <v>4439</v>
      </c>
      <c r="K1636" s="0" t="n">
        <f aca="false">IF(M1636=2,"",IF(ISNUMBER(SEARCH("rata-rata:",'Onshore - Sydney'!M734)),VALUE(MID('Onshore - Sydney'!M734,SEARCH("rata-rata:",'Onshore - Sydney'!M734)+11,FIND(";",'Onshore - Sydney'!M734&amp;";",SEARCH("rata-rata:",'Onshore - Sydney'!M734))-SEARCH("rata-rata:",'Onshore - Sydney'!M734)-11)),IF('Onshore - Sydney'!D734="Semester",'Onshore - Sydney'!E734*2,IF('Onshore - Sydney'!D734="Trimester",'Onshore - Sydney'!E734*3,IF('Onshore - Sydney'!D734="Term",'Onshore - Sydney'!E734*4,IF('Onshore - Sydney'!D734="Unit",'Onshore - Sydney'!E734*8,""))))))</f>
        <v>7000</v>
      </c>
      <c r="L1636" s="0" t="n">
        <f aca="false">IF(AND(ISNUMBER('Onshore - Sydney'!E734),ISNUMBER(K1636),ISNUMBER('Onshore - Sydney'!F734),ISNUMBER('Onshore - Sydney'!G734),OR('Onshore - Sydney'!F734&lt;&gt;0,ISNUMBER(SEARCH("Material 0 terverifikasi",'Onshore - Sydney'!M734))),OR('Onshore - Sydney'!G734&lt;&gt;0,ISNUMBER(SEARCH("Enrolment 0 terverifikasi",'Onshore - Sydney'!M734)))),1,0)</f>
        <v>1</v>
      </c>
      <c r="M1636" s="0" t="n">
        <f aca="false">IF(OR('Onshore - Sydney'!E734="",ISNUMBER(SEARCH("BSB80120",'Onshore - Sydney'!B734&amp;'Onshore - Sydney'!M734)),ISNUMBER(SEARCH("Management (Learning)",'Onshore - Sydney'!B734))),2,IF(ISNUMBER(SEARCH("CEK:",'Onshore - Sydney'!M734)),1,0))</f>
        <v>0</v>
      </c>
    </row>
    <row r="1637" customFormat="false" ht="28.35" hidden="false" customHeight="false" outlineLevel="0" collapsed="false">
      <c r="A1637" s="63" t="s">
        <v>3533</v>
      </c>
      <c r="B1637" s="64" t="s">
        <v>4374</v>
      </c>
      <c r="C1637" s="63" t="s">
        <v>41</v>
      </c>
      <c r="D1637" s="64" t="str">
        <f aca="false">TRIM(LEFT('Onshore - Sydney'!A268,FIND(CHAR(10),'Onshore - Sydney'!A268&amp;CHAR(10))-1))</f>
        <v>Australian College of Business Intelligence (ACBI)</v>
      </c>
      <c r="E1637" s="63" t="str">
        <f aca="false">'Onshore - Sydney'!C276&amp;""</f>
        <v>52 weeks (4 terms)</v>
      </c>
      <c r="F1637" s="63" t="str">
        <f aca="false">IF('Onshore - Sydney'!D276="","Belum tercatat",'Onshore - Sydney'!D276)</f>
        <v>Term</v>
      </c>
      <c r="G1637" s="65" t="n">
        <f aca="false">IF('Onshore - Sydney'!E276="","-",'Onshore - Sydney'!E276)</f>
        <v>1800</v>
      </c>
      <c r="H1637" s="63" t="n">
        <f aca="false">IF(ISNUMBER(K1637),COUNTIFS($J$6:$J$1916,J1637,$K$6:$K$1916,"&lt;"&amp;K1637)+1,"-")</f>
        <v>9</v>
      </c>
      <c r="I1637" s="64" t="str">
        <f aca="false">IF('Onshore - Sydney'!E276="","Harga belum tersedia - hubungi konsultan TEG",IF(M1637=2,"Saat ini tidak menerima pendaftaran siswa internasional baru",IF(M1637=1,"Harga perlu dikonfirmasi ke sekolah"&amp;IF(""="","","; "&amp;""),"")))</f>
        <v/>
      </c>
      <c r="J1637" s="0" t="s">
        <v>4439</v>
      </c>
      <c r="K1637" s="0" t="n">
        <f aca="false">IF(M1637=2,"",IF(ISNUMBER(SEARCH("rata-rata:",'Onshore - Sydney'!M276)),VALUE(MID('Onshore - Sydney'!M276,SEARCH("rata-rata:",'Onshore - Sydney'!M276)+11,FIND(";",'Onshore - Sydney'!M276&amp;";",SEARCH("rata-rata:",'Onshore - Sydney'!M276))-SEARCH("rata-rata:",'Onshore - Sydney'!M276)-11)),IF('Onshore - Sydney'!D276="Semester",'Onshore - Sydney'!E276*2,IF('Onshore - Sydney'!D276="Trimester",'Onshore - Sydney'!E276*3,IF('Onshore - Sydney'!D276="Term",'Onshore - Sydney'!E276*4,IF('Onshore - Sydney'!D276="Unit",'Onshore - Sydney'!E276*8,""))))))</f>
        <v>7200</v>
      </c>
      <c r="L1637" s="0" t="n">
        <f aca="false">IF(AND(ISNUMBER('Onshore - Sydney'!E276),ISNUMBER(K1637),ISNUMBER('Onshore - Sydney'!F276),ISNUMBER('Onshore - Sydney'!G276),OR('Onshore - Sydney'!F276&lt;&gt;0,ISNUMBER(SEARCH("Material 0 terverifikasi",'Onshore - Sydney'!M276))),OR('Onshore - Sydney'!G276&lt;&gt;0,ISNUMBER(SEARCH("Enrolment 0 terverifikasi",'Onshore - Sydney'!M276)))),1,0)</f>
        <v>1</v>
      </c>
      <c r="M1637" s="0" t="n">
        <f aca="false">IF(OR('Onshore - Sydney'!E276="",ISNUMBER(SEARCH("BSB80120",'Onshore - Sydney'!B276&amp;'Onshore - Sydney'!M276)),ISNUMBER(SEARCH("Management (Learning)",'Onshore - Sydney'!B276))),2,IF(ISNUMBER(SEARCH("CEK:",'Onshore - Sydney'!M276)),1,0))</f>
        <v>0</v>
      </c>
    </row>
    <row r="1638" customFormat="false" ht="15" hidden="false" customHeight="false" outlineLevel="0" collapsed="false">
      <c r="A1638" s="63" t="s">
        <v>3533</v>
      </c>
      <c r="B1638" s="64" t="s">
        <v>4374</v>
      </c>
      <c r="C1638" s="63" t="s">
        <v>41</v>
      </c>
      <c r="D1638" s="64" t="str">
        <f aca="false">TRIM(LEFT('Onshore - Sydney'!A549,FIND(CHAR(10),'Onshore - Sydney'!A549&amp;CHAR(10))-1))</f>
        <v>INUS / ZOI (Nuture Education Group)</v>
      </c>
      <c r="E1638" s="63" t="str">
        <f aca="false">'Onshore - Sydney'!C550&amp;""</f>
        <v>2 years</v>
      </c>
      <c r="F1638" s="63" t="str">
        <f aca="false">IF('Onshore - Sydney'!D550="","Belum tercatat",'Onshore - Sydney'!D550)</f>
        <v>Term</v>
      </c>
      <c r="G1638" s="65" t="n">
        <f aca="false">IF('Onshore - Sydney'!E550="","-",'Onshore - Sydney'!E550)</f>
        <v>2000</v>
      </c>
      <c r="H1638" s="63" t="n">
        <f aca="false">IF(ISNUMBER(K1638),COUNTIFS($J$6:$J$1916,J1638,$K$6:$K$1916,"&lt;"&amp;K1638)+1,"-")</f>
        <v>10</v>
      </c>
      <c r="I1638" s="64" t="str">
        <f aca="false">IF('Onshore - Sydney'!E550="","Harga belum tersedia - hubungi konsultan TEG",IF(M1638=2,"Saat ini tidak menerima pendaftaran siswa internasional baru",IF(M1638=1,"Harga perlu dikonfirmasi ke sekolah"&amp;IF(""="","","; "&amp;""),"")))</f>
        <v>Harga perlu dikonfirmasi ke sekolah</v>
      </c>
      <c r="J1638" s="0" t="s">
        <v>4439</v>
      </c>
      <c r="K1638" s="0" t="n">
        <f aca="false">IF(M1638=2,"",IF(ISNUMBER(SEARCH("rata-rata:",'Onshore - Sydney'!M550)),VALUE(MID('Onshore - Sydney'!M550,SEARCH("rata-rata:",'Onshore - Sydney'!M550)+11,FIND(";",'Onshore - Sydney'!M550&amp;";",SEARCH("rata-rata:",'Onshore - Sydney'!M550))-SEARCH("rata-rata:",'Onshore - Sydney'!M550)-11)),IF('Onshore - Sydney'!D550="Semester",'Onshore - Sydney'!E550*2,IF('Onshore - Sydney'!D550="Trimester",'Onshore - Sydney'!E550*3,IF('Onshore - Sydney'!D550="Term",'Onshore - Sydney'!E550*4,IF('Onshore - Sydney'!D550="Unit",'Onshore - Sydney'!E550*8,""))))))</f>
        <v>8000</v>
      </c>
      <c r="L1638" s="0" t="n">
        <f aca="false">IF(AND(ISNUMBER('Onshore - Sydney'!E550),ISNUMBER(K1638),ISNUMBER('Onshore - Sydney'!F550),ISNUMBER('Onshore - Sydney'!G550),OR('Onshore - Sydney'!F550&lt;&gt;0,ISNUMBER(SEARCH("Material 0 terverifikasi",'Onshore - Sydney'!M550))),OR('Onshore - Sydney'!G550&lt;&gt;0,ISNUMBER(SEARCH("Enrolment 0 terverifikasi",'Onshore - Sydney'!M550)))),1,0)</f>
        <v>1</v>
      </c>
      <c r="M1638" s="0" t="n">
        <f aca="false">IF(OR('Onshore - Sydney'!E550="",ISNUMBER(SEARCH("BSB80120",'Onshore - Sydney'!B550&amp;'Onshore - Sydney'!M550)),ISNUMBER(SEARCH("Management (Learning)",'Onshore - Sydney'!B550))),2,IF(ISNUMBER(SEARCH("CEK:",'Onshore - Sydney'!M550)),1,0))</f>
        <v>1</v>
      </c>
    </row>
    <row r="1639" customFormat="false" ht="15" hidden="false" customHeight="false" outlineLevel="0" collapsed="false">
      <c r="A1639" s="63" t="s">
        <v>3533</v>
      </c>
      <c r="B1639" s="64" t="s">
        <v>4374</v>
      </c>
      <c r="C1639" s="63" t="s">
        <v>41</v>
      </c>
      <c r="D1639" s="64" t="str">
        <f aca="false">TRIM(LEFT('Onshore - Sydney'!A778,FIND(CHAR(10),'Onshore - Sydney'!A778&amp;CHAR(10))-1))</f>
        <v>Sydney Metro College (SMC)</v>
      </c>
      <c r="E1639" s="63" t="str">
        <f aca="false">'Onshore - Sydney'!C782&amp;""</f>
        <v>2 years</v>
      </c>
      <c r="F1639" s="63" t="str">
        <f aca="false">IF('Onshore - Sydney'!D782="","Belum tercatat",'Onshore - Sydney'!D782)</f>
        <v>Term</v>
      </c>
      <c r="G1639" s="65" t="n">
        <f aca="false">IF('Onshore - Sydney'!E782="","-",'Onshore - Sydney'!E782)</f>
        <v>2200</v>
      </c>
      <c r="H1639" s="63" t="n">
        <f aca="false">IF(ISNUMBER(K1639),COUNTIFS($J$6:$J$1916,J1639,$K$6:$K$1916,"&lt;"&amp;K1639)+1,"-")</f>
        <v>11</v>
      </c>
      <c r="I1639" s="64" t="str">
        <f aca="false">IF('Onshore - Sydney'!E782="","Harga belum tersedia - hubungi konsultan TEG",IF(M1639=2,"Saat ini tidak menerima pendaftaran siswa internasional baru",IF(M1639=1,"Harga perlu dikonfirmasi ke sekolah"&amp;IF(""="","","; "&amp;""),"")))</f>
        <v/>
      </c>
      <c r="J1639" s="0" t="s">
        <v>4439</v>
      </c>
      <c r="K1639" s="0" t="n">
        <f aca="false">IF(M1639=2,"",IF(ISNUMBER(SEARCH("rata-rata:",'Onshore - Sydney'!M782)),VALUE(MID('Onshore - Sydney'!M782,SEARCH("rata-rata:",'Onshore - Sydney'!M782)+11,FIND(";",'Onshore - Sydney'!M782&amp;";",SEARCH("rata-rata:",'Onshore - Sydney'!M782))-SEARCH("rata-rata:",'Onshore - Sydney'!M782)-11)),IF('Onshore - Sydney'!D782="Semester",'Onshore - Sydney'!E782*2,IF('Onshore - Sydney'!D782="Trimester",'Onshore - Sydney'!E782*3,IF('Onshore - Sydney'!D782="Term",'Onshore - Sydney'!E782*4,IF('Onshore - Sydney'!D782="Unit",'Onshore - Sydney'!E782*8,""))))))</f>
        <v>8800</v>
      </c>
      <c r="L1639" s="0" t="n">
        <f aca="false">IF(AND(ISNUMBER('Onshore - Sydney'!E782),ISNUMBER(K1639),ISNUMBER('Onshore - Sydney'!F782),ISNUMBER('Onshore - Sydney'!G782),OR('Onshore - Sydney'!F782&lt;&gt;0,ISNUMBER(SEARCH("Material 0 terverifikasi",'Onshore - Sydney'!M782))),OR('Onshore - Sydney'!G782&lt;&gt;0,ISNUMBER(SEARCH("Enrolment 0 terverifikasi",'Onshore - Sydney'!M782)))),1,0)</f>
        <v>1</v>
      </c>
      <c r="M1639" s="0" t="n">
        <f aca="false">IF(OR('Onshore - Sydney'!E782="",ISNUMBER(SEARCH("BSB80120",'Onshore - Sydney'!B782&amp;'Onshore - Sydney'!M782)),ISNUMBER(SEARCH("Management (Learning)",'Onshore - Sydney'!B782))),2,IF(ISNUMBER(SEARCH("CEK:",'Onshore - Sydney'!M782)),1,0))</f>
        <v>0</v>
      </c>
    </row>
    <row r="1640" customFormat="false" ht="15" hidden="false" customHeight="false" outlineLevel="0" collapsed="false">
      <c r="A1640" s="63" t="s">
        <v>3533</v>
      </c>
      <c r="B1640" s="64" t="s">
        <v>4374</v>
      </c>
      <c r="C1640" s="63" t="s">
        <v>41</v>
      </c>
      <c r="D1640" s="64" t="str">
        <f aca="false">TRIM(LEFT('Onshore - Sydney'!A138,FIND(CHAR(10),'Onshore - Sydney'!A138&amp;CHAR(10))-1))</f>
        <v>Asia Pacific International College (APIC)</v>
      </c>
      <c r="E1640" s="63" t="str">
        <f aca="false">'Onshore - Sydney'!C138&amp;""</f>
        <v>1 year</v>
      </c>
      <c r="F1640" s="63" t="str">
        <f aca="false">IF('Onshore - Sydney'!D138="","Belum tercatat",'Onshore - Sydney'!D138)</f>
        <v>Trimester</v>
      </c>
      <c r="G1640" s="65" t="n">
        <f aca="false">IF('Onshore - Sydney'!E138="","-",'Onshore - Sydney'!E138)</f>
        <v>3000</v>
      </c>
      <c r="H1640" s="63" t="n">
        <f aca="false">IF(ISNUMBER(K1640),COUNTIFS($J$6:$J$1916,J1640,$K$6:$K$1916,"&lt;"&amp;K1640)+1,"-")</f>
        <v>12</v>
      </c>
      <c r="I1640" s="64" t="str">
        <f aca="false">IF('Onshore - Sydney'!E138="","Harga belum tersedia - hubungi konsultan TEG",IF(M1640=2,"Saat ini tidak menerima pendaftaran siswa internasional baru",IF(M1640=1,"Harga perlu dikonfirmasi ke sekolah"&amp;IF(""="","","; "&amp;""),"")))</f>
        <v/>
      </c>
      <c r="J1640" s="0" t="s">
        <v>4439</v>
      </c>
      <c r="K1640" s="0" t="n">
        <f aca="false">IF(M1640=2,"",IF(ISNUMBER(SEARCH("rata-rata:",'Onshore - Sydney'!M138)),VALUE(MID('Onshore - Sydney'!M138,SEARCH("rata-rata:",'Onshore - Sydney'!M138)+11,FIND(";",'Onshore - Sydney'!M138&amp;";",SEARCH("rata-rata:",'Onshore - Sydney'!M138))-SEARCH("rata-rata:",'Onshore - Sydney'!M138)-11)),IF('Onshore - Sydney'!D138="Semester",'Onshore - Sydney'!E138*2,IF('Onshore - Sydney'!D138="Trimester",'Onshore - Sydney'!E138*3,IF('Onshore - Sydney'!D138="Term",'Onshore - Sydney'!E138*4,IF('Onshore - Sydney'!D138="Unit",'Onshore - Sydney'!E138*8,""))))))</f>
        <v>9000</v>
      </c>
      <c r="L1640" s="0" t="n">
        <f aca="false">IF(AND(ISNUMBER('Onshore - Sydney'!E138),ISNUMBER(K1640),ISNUMBER('Onshore - Sydney'!F138),ISNUMBER('Onshore - Sydney'!G138),OR('Onshore - Sydney'!F138&lt;&gt;0,ISNUMBER(SEARCH("Material 0 terverifikasi",'Onshore - Sydney'!M138))),OR('Onshore - Sydney'!G138&lt;&gt;0,ISNUMBER(SEARCH("Enrolment 0 terverifikasi",'Onshore - Sydney'!M138)))),1,0)</f>
        <v>0</v>
      </c>
      <c r="M1640" s="0" t="n">
        <f aca="false">IF(OR('Onshore - Sydney'!E138="",ISNUMBER(SEARCH("BSB80120",'Onshore - Sydney'!B138&amp;'Onshore - Sydney'!M138)),ISNUMBER(SEARCH("Management (Learning)",'Onshore - Sydney'!B138))),2,IF(ISNUMBER(SEARCH("CEK:",'Onshore - Sydney'!M138)),1,0))</f>
        <v>0</v>
      </c>
    </row>
    <row r="1641" customFormat="false" ht="15" hidden="false" customHeight="false" outlineLevel="0" collapsed="false">
      <c r="A1641" s="63" t="s">
        <v>3533</v>
      </c>
      <c r="B1641" s="64" t="s">
        <v>4374</v>
      </c>
      <c r="C1641" s="63" t="s">
        <v>41</v>
      </c>
      <c r="D1641" s="64" t="str">
        <f aca="false">TRIM(LEFT('Onshore - Sydney'!A1047,FIND(CHAR(10),'Onshore - Sydney'!A1047&amp;CHAR(10))-1))</f>
        <v>Western Sydney College (WSC)</v>
      </c>
      <c r="E1641" s="63" t="str">
        <f aca="false">'Onshore - Sydney'!C1051&amp;""</f>
        <v>3 years</v>
      </c>
      <c r="F1641" s="63" t="str">
        <f aca="false">IF('Onshore - Sydney'!D1051="","Belum tercatat",'Onshore - Sydney'!D1051)</f>
        <v>Term</v>
      </c>
      <c r="G1641" s="65" t="n">
        <f aca="false">IF('Onshore - Sydney'!E1051="","-",'Onshore - Sydney'!E1051)</f>
        <v>3250</v>
      </c>
      <c r="H1641" s="63" t="n">
        <f aca="false">IF(ISNUMBER(K1641),COUNTIFS($J$6:$J$1916,J1641,$K$6:$K$1916,"&lt;"&amp;K1641)+1,"-")</f>
        <v>13</v>
      </c>
      <c r="I1641" s="64" t="str">
        <f aca="false">IF('Onshore - Sydney'!E1051="","Harga belum tersedia - hubungi konsultan TEG",IF(M1641=2,"Saat ini tidak menerima pendaftaran siswa internasional baru",IF(M1641=1,"Program perlu dikonfirmasi ketersediaannya"&amp;IF(""="","","; "&amp;""),"")))</f>
        <v>Program perlu dikonfirmasi ketersediaannya</v>
      </c>
      <c r="J1641" s="0" t="s">
        <v>4439</v>
      </c>
      <c r="K1641" s="0" t="n">
        <f aca="false">IF(M1641=2,"",IF(ISNUMBER(SEARCH("rata-rata:",'Onshore - Sydney'!M1051)),VALUE(MID('Onshore - Sydney'!M1051,SEARCH("rata-rata:",'Onshore - Sydney'!M1051)+11,FIND(";",'Onshore - Sydney'!M1051&amp;";",SEARCH("rata-rata:",'Onshore - Sydney'!M1051))-SEARCH("rata-rata:",'Onshore - Sydney'!M1051)-11)),IF('Onshore - Sydney'!D1051="Semester",'Onshore - Sydney'!E1051*2,IF('Onshore - Sydney'!D1051="Trimester",'Onshore - Sydney'!E1051*3,IF('Onshore - Sydney'!D1051="Term",'Onshore - Sydney'!E1051*4,IF('Onshore - Sydney'!D1051="Unit",'Onshore - Sydney'!E1051*8,""))))))</f>
        <v>13000</v>
      </c>
      <c r="L1641" s="0" t="n">
        <f aca="false">IF(AND(ISNUMBER('Onshore - Sydney'!E1051),ISNUMBER(K1641),ISNUMBER('Onshore - Sydney'!F1051),ISNUMBER('Onshore - Sydney'!G1051),OR('Onshore - Sydney'!F1051&lt;&gt;0,ISNUMBER(SEARCH("Material 0 terverifikasi",'Onshore - Sydney'!M1051))),OR('Onshore - Sydney'!G1051&lt;&gt;0,ISNUMBER(SEARCH("Enrolment 0 terverifikasi",'Onshore - Sydney'!M1051)))),1,0)</f>
        <v>1</v>
      </c>
      <c r="M1641" s="0" t="n">
        <f aca="false">IF(OR('Onshore - Sydney'!E1051="",ISNUMBER(SEARCH("BSB80120",'Onshore - Sydney'!B1051&amp;'Onshore - Sydney'!M1051)),ISNUMBER(SEARCH("Management (Learning)",'Onshore - Sydney'!B1051))),2,IF(ISNUMBER(SEARCH("CEK:",'Onshore - Sydney'!M1051)),1,0))</f>
        <v>1</v>
      </c>
    </row>
    <row r="1642" customFormat="false" ht="15" hidden="false" customHeight="false" outlineLevel="0" collapsed="false">
      <c r="A1642" s="63" t="s">
        <v>3533</v>
      </c>
      <c r="B1642" s="64" t="s">
        <v>4374</v>
      </c>
      <c r="C1642" s="63" t="s">
        <v>41</v>
      </c>
      <c r="D1642" s="64" t="str">
        <f aca="false">TRIM(LEFT('Onshore - Sydney'!A529,FIND(CHAR(10),'Onshore - Sydney'!A529&amp;CHAR(10))-1))</f>
        <v>Hunter Education Group</v>
      </c>
      <c r="E1642" s="63" t="str">
        <f aca="false">'Onshore - Sydney'!C532&amp;""</f>
        <v>1 year</v>
      </c>
      <c r="F1642" s="63" t="str">
        <f aca="false">IF('Onshore - Sydney'!D532="","Belum tercatat",'Onshore - Sydney'!D532)</f>
        <v>Term</v>
      </c>
      <c r="G1642" s="65" t="n">
        <f aca="false">IF('Onshore - Sydney'!E532="","-",'Onshore - Sydney'!E532)</f>
        <v>4500</v>
      </c>
      <c r="H1642" s="63" t="n">
        <f aca="false">IF(ISNUMBER(K1642),COUNTIFS($J$6:$J$1916,J1642,$K$6:$K$1916,"&lt;"&amp;K1642)+1,"-")</f>
        <v>14</v>
      </c>
      <c r="I1642" s="64" t="str">
        <f aca="false">IF('Onshore - Sydney'!E532="","Harga belum tersedia - hubungi konsultan TEG",IF(M1642=2,"Saat ini tidak menerima pendaftaran siswa internasional baru",IF(M1642=1,"Program perlu dikonfirmasi ketersediaannya"&amp;IF(""="","","; "&amp;""),"")))</f>
        <v>Program perlu dikonfirmasi ketersediaannya</v>
      </c>
      <c r="J1642" s="0" t="s">
        <v>4439</v>
      </c>
      <c r="K1642" s="0" t="n">
        <f aca="false">IF(M1642=2,"",IF(ISNUMBER(SEARCH("rata-rata:",'Onshore - Sydney'!M532)),VALUE(MID('Onshore - Sydney'!M532,SEARCH("rata-rata:",'Onshore - Sydney'!M532)+11,FIND(";",'Onshore - Sydney'!M532&amp;";",SEARCH("rata-rata:",'Onshore - Sydney'!M532))-SEARCH("rata-rata:",'Onshore - Sydney'!M532)-11)),IF('Onshore - Sydney'!D532="Semester",'Onshore - Sydney'!E532*2,IF('Onshore - Sydney'!D532="Trimester",'Onshore - Sydney'!E532*3,IF('Onshore - Sydney'!D532="Term",'Onshore - Sydney'!E532*4,IF('Onshore - Sydney'!D532="Unit",'Onshore - Sydney'!E532*8,""))))))</f>
        <v>18000</v>
      </c>
      <c r="L1642" s="0" t="n">
        <f aca="false">IF(AND(ISNUMBER('Onshore - Sydney'!E532),ISNUMBER(K1642),ISNUMBER('Onshore - Sydney'!F532),ISNUMBER('Onshore - Sydney'!G532),OR('Onshore - Sydney'!F532&lt;&gt;0,ISNUMBER(SEARCH("Material 0 terverifikasi",'Onshore - Sydney'!M532))),OR('Onshore - Sydney'!G532&lt;&gt;0,ISNUMBER(SEARCH("Enrolment 0 terverifikasi",'Onshore - Sydney'!M532)))),1,0)</f>
        <v>0</v>
      </c>
      <c r="M1642" s="0" t="n">
        <f aca="false">IF(OR('Onshore - Sydney'!E532="",ISNUMBER(SEARCH("BSB80120",'Onshore - Sydney'!B532&amp;'Onshore - Sydney'!M532)),ISNUMBER(SEARCH("Management (Learning)",'Onshore - Sydney'!B532))),2,IF(ISNUMBER(SEARCH("CEK:",'Onshore - Sydney'!M532)),1,0))</f>
        <v>1</v>
      </c>
    </row>
    <row r="1643" customFormat="false" ht="15" hidden="false" customHeight="false" outlineLevel="0" collapsed="false">
      <c r="A1643" s="63" t="s">
        <v>3533</v>
      </c>
      <c r="B1643" s="64" t="s">
        <v>4374</v>
      </c>
      <c r="C1643" s="63" t="s">
        <v>41</v>
      </c>
      <c r="D1643" s="64" t="str">
        <f aca="false">TRIM(LEFT('Onshore - Sydney'!A796,FIND(CHAR(10),'Onshore - Sydney'!A796&amp;CHAR(10))-1))</f>
        <v>TAFE NSW</v>
      </c>
      <c r="E1643" s="63" t="str">
        <f aca="false">'Onshore - Sydney'!C836&amp;""</f>
        <v>1,5 years</v>
      </c>
      <c r="F1643" s="63" t="str">
        <f aca="false">IF('Onshore - Sydney'!D836="","Belum tercatat",'Onshore - Sydney'!D836)</f>
        <v>Term</v>
      </c>
      <c r="G1643" s="65" t="n">
        <f aca="false">IF('Onshore - Sydney'!E836="","-",'Onshore - Sydney'!E836)</f>
        <v>5113</v>
      </c>
      <c r="H1643" s="63" t="n">
        <f aca="false">IF(ISNUMBER(K1643),COUNTIFS($J$6:$J$1916,J1643,$K$6:$K$1916,"&lt;"&amp;K1643)+1,"-")</f>
        <v>15</v>
      </c>
      <c r="I1643" s="64" t="str">
        <f aca="false">IF('Onshore - Sydney'!E836="","Harga belum tersedia - hubungi konsultan TEG",IF(M1643=2,"Saat ini tidak menerima pendaftaran siswa internasional baru",IF(M1643=1,"Harga perlu dikonfirmasi ke sekolah"&amp;IF(""="","","; "&amp;""),"")))</f>
        <v/>
      </c>
      <c r="J1643" s="0" t="s">
        <v>4439</v>
      </c>
      <c r="K1643" s="0" t="n">
        <f aca="false">IF(M1643=2,"",IF(ISNUMBER(SEARCH("rata-rata:",'Onshore - Sydney'!M836)),VALUE(MID('Onshore - Sydney'!M836,SEARCH("rata-rata:",'Onshore - Sydney'!M836)+11,FIND(";",'Onshore - Sydney'!M836&amp;";",SEARCH("rata-rata:",'Onshore - Sydney'!M836))-SEARCH("rata-rata:",'Onshore - Sydney'!M836)-11)),IF('Onshore - Sydney'!D836="Semester",'Onshore - Sydney'!E836*2,IF('Onshore - Sydney'!D836="Trimester",'Onshore - Sydney'!E836*3,IF('Onshore - Sydney'!D836="Term",'Onshore - Sydney'!E836*4,IF('Onshore - Sydney'!D836="Unit",'Onshore - Sydney'!E836*8,""))))))</f>
        <v>20452</v>
      </c>
      <c r="L1643" s="0" t="n">
        <f aca="false">IF(AND(ISNUMBER('Onshore - Sydney'!E836),ISNUMBER(K1643),ISNUMBER('Onshore - Sydney'!F836),ISNUMBER('Onshore - Sydney'!G836),OR('Onshore - Sydney'!F836&lt;&gt;0,ISNUMBER(SEARCH("Material 0 terverifikasi",'Onshore - Sydney'!M836))),OR('Onshore - Sydney'!G836&lt;&gt;0,ISNUMBER(SEARCH("Enrolment 0 terverifikasi",'Onshore - Sydney'!M836)))),1,0)</f>
        <v>0</v>
      </c>
      <c r="M1643" s="0" t="n">
        <f aca="false">IF(OR('Onshore - Sydney'!E836="",ISNUMBER(SEARCH("BSB80120",'Onshore - Sydney'!B836&amp;'Onshore - Sydney'!M836)),ISNUMBER(SEARCH("Management (Learning)",'Onshore - Sydney'!B836))),2,IF(ISNUMBER(SEARCH("CEK:",'Onshore - Sydney'!M836)),1,0))</f>
        <v>0</v>
      </c>
    </row>
    <row r="1644" customFormat="false" ht="15" hidden="false" customHeight="false" outlineLevel="0" collapsed="false">
      <c r="A1644" s="63" t="s">
        <v>3533</v>
      </c>
      <c r="B1644" s="64" t="s">
        <v>4374</v>
      </c>
      <c r="C1644" s="63" t="s">
        <v>41</v>
      </c>
      <c r="D1644" s="64" t="str">
        <f aca="false">TRIM(LEFT('Onshore - Sydney'!A63,FIND(CHAR(10),'Onshore - Sydney'!A63&amp;CHAR(10))-1))</f>
        <v>Academy of Interactive Technology (AIT)</v>
      </c>
      <c r="E1644" s="63" t="str">
        <f aca="false">'Onshore - Sydney'!C72&amp;""</f>
        <v>1 year</v>
      </c>
      <c r="F1644" s="63" t="str">
        <f aca="false">IF('Onshore - Sydney'!D72="","Belum tercatat",'Onshore - Sydney'!D72)</f>
        <v>Term</v>
      </c>
      <c r="G1644" s="65" t="n">
        <f aca="false">IF('Onshore - Sydney'!E72="","-",'Onshore - Sydney'!E72)</f>
        <v>5750</v>
      </c>
      <c r="H1644" s="63" t="n">
        <f aca="false">IF(ISNUMBER(K1644),COUNTIFS($J$6:$J$1916,J1644,$K$6:$K$1916,"&lt;"&amp;K1644)+1,"-")</f>
        <v>16</v>
      </c>
      <c r="I1644" s="64" t="str">
        <f aca="false">IF('Onshore - Sydney'!E72="","Harga belum tersedia - hubungi konsultan TEG",IF(M1644=2,"Saat ini tidak menerima pendaftaran siswa internasional baru",IF(M1644=1,"Program perlu dikonfirmasi ketersediaannya"&amp;IF(""="","","; "&amp;""),"")))</f>
        <v>Program perlu dikonfirmasi ketersediaannya</v>
      </c>
      <c r="J1644" s="0" t="s">
        <v>4439</v>
      </c>
      <c r="K1644" s="0" t="n">
        <f aca="false">IF(M1644=2,"",IF(ISNUMBER(SEARCH("rata-rata:",'Onshore - Sydney'!M72)),VALUE(MID('Onshore - Sydney'!M72,SEARCH("rata-rata:",'Onshore - Sydney'!M72)+11,FIND(";",'Onshore - Sydney'!M72&amp;";",SEARCH("rata-rata:",'Onshore - Sydney'!M72))-SEARCH("rata-rata:",'Onshore - Sydney'!M72)-11)),IF('Onshore - Sydney'!D72="Semester",'Onshore - Sydney'!E72*2,IF('Onshore - Sydney'!D72="Trimester",'Onshore - Sydney'!E72*3,IF('Onshore - Sydney'!D72="Term",'Onshore - Sydney'!E72*4,IF('Onshore - Sydney'!D72="Unit",'Onshore - Sydney'!E72*8,""))))))</f>
        <v>23000</v>
      </c>
      <c r="L1644" s="0" t="n">
        <f aca="false">IF(AND(ISNUMBER('Onshore - Sydney'!E72),ISNUMBER(K1644),ISNUMBER('Onshore - Sydney'!F72),ISNUMBER('Onshore - Sydney'!G72),OR('Onshore - Sydney'!F72&lt;&gt;0,ISNUMBER(SEARCH("Material 0 terverifikasi",'Onshore - Sydney'!M72))),OR('Onshore - Sydney'!G72&lt;&gt;0,ISNUMBER(SEARCH("Enrolment 0 terverifikasi",'Onshore - Sydney'!M72)))),1,0)</f>
        <v>0</v>
      </c>
      <c r="M1644" s="0" t="n">
        <f aca="false">IF(OR('Onshore - Sydney'!E72="",ISNUMBER(SEARCH("BSB80120",'Onshore - Sydney'!B72&amp;'Onshore - Sydney'!M72)),ISNUMBER(SEARCH("Management (Learning)",'Onshore - Sydney'!B72))),2,IF(ISNUMBER(SEARCH("CEK:",'Onshore - Sydney'!M72)),1,0))</f>
        <v>1</v>
      </c>
    </row>
    <row r="1645" customFormat="false" ht="15" hidden="false" customHeight="false" outlineLevel="0" collapsed="false">
      <c r="A1645" s="63" t="s">
        <v>3533</v>
      </c>
      <c r="B1645" s="64" t="s">
        <v>4374</v>
      </c>
      <c r="C1645" s="63" t="s">
        <v>41</v>
      </c>
      <c r="D1645" s="64" t="str">
        <f aca="false">TRIM(LEFT('Onshore - Sydney'!A888,FIND(CHAR(10),'Onshore - Sydney'!A888&amp;CHAR(10))-1))</f>
        <v>Torrens University Australia</v>
      </c>
      <c r="E1645" s="63" t="str">
        <f aca="false">'Onshore - Sydney'!C937&amp;""</f>
        <v>1,5 years</v>
      </c>
      <c r="F1645" s="63" t="str">
        <f aca="false">IF('Onshore - Sydney'!D937="","Belum tercatat",'Onshore - Sydney'!D937)</f>
        <v>Term</v>
      </c>
      <c r="G1645" s="65" t="n">
        <f aca="false">IF('Onshore - Sydney'!E937="","-",'Onshore - Sydney'!E937)</f>
        <v>6250</v>
      </c>
      <c r="H1645" s="63" t="n">
        <f aca="false">IF(ISNUMBER(K1645),COUNTIFS($J$6:$J$1916,J1645,$K$6:$K$1916,"&lt;"&amp;K1645)+1,"-")</f>
        <v>17</v>
      </c>
      <c r="I1645" s="64" t="str">
        <f aca="false">IF('Onshore - Sydney'!E937="","Harga belum tersedia - hubungi konsultan TEG",IF(M1645=2,"Saat ini tidak menerima pendaftaran siswa internasional baru",IF(M1645=1,"Harga perlu dikonfirmasi ke sekolah"&amp;IF(""="","","; "&amp;""),"")))</f>
        <v/>
      </c>
      <c r="J1645" s="0" t="s">
        <v>4439</v>
      </c>
      <c r="K1645" s="0" t="n">
        <f aca="false">IF(M1645=2,"",IF(ISNUMBER(SEARCH("rata-rata:",'Onshore - Sydney'!M937)),VALUE(MID('Onshore - Sydney'!M937,SEARCH("rata-rata:",'Onshore - Sydney'!M937)+11,FIND(";",'Onshore - Sydney'!M937&amp;";",SEARCH("rata-rata:",'Onshore - Sydney'!M937))-SEARCH("rata-rata:",'Onshore - Sydney'!M937)-11)),IF('Onshore - Sydney'!D937="Semester",'Onshore - Sydney'!E937*2,IF('Onshore - Sydney'!D937="Trimester",'Onshore - Sydney'!E937*3,IF('Onshore - Sydney'!D937="Term",'Onshore - Sydney'!E937*4,IF('Onshore - Sydney'!D937="Unit",'Onshore - Sydney'!E937*8,""))))))</f>
        <v>25000</v>
      </c>
      <c r="L1645" s="0" t="n">
        <f aca="false">IF(AND(ISNUMBER('Onshore - Sydney'!E937),ISNUMBER(K1645),ISNUMBER('Onshore - Sydney'!F937),ISNUMBER('Onshore - Sydney'!G937),OR('Onshore - Sydney'!F937&lt;&gt;0,ISNUMBER(SEARCH("Material 0 terverifikasi",'Onshore - Sydney'!M937))),OR('Onshore - Sydney'!G937&lt;&gt;0,ISNUMBER(SEARCH("Enrolment 0 terverifikasi",'Onshore - Sydney'!M937)))),1,0)</f>
        <v>0</v>
      </c>
      <c r="M1645" s="0" t="n">
        <f aca="false">IF(OR('Onshore - Sydney'!E937="",ISNUMBER(SEARCH("BSB80120",'Onshore - Sydney'!B937&amp;'Onshore - Sydney'!M937)),ISNUMBER(SEARCH("Management (Learning)",'Onshore - Sydney'!B937))),2,IF(ISNUMBER(SEARCH("CEK:",'Onshore - Sydney'!M937)),1,0))</f>
        <v>0</v>
      </c>
    </row>
    <row r="1646" customFormat="false" ht="15" hidden="false" customHeight="false" outlineLevel="0" collapsed="false">
      <c r="A1646" s="63" t="s">
        <v>3533</v>
      </c>
      <c r="B1646" s="64" t="s">
        <v>4374</v>
      </c>
      <c r="C1646" s="63" t="s">
        <v>41</v>
      </c>
      <c r="D1646" s="64" t="str">
        <f aca="false">TRIM(LEFT('Onshore - Sydney'!A163,FIND(CHAR(10),'Onshore - Sydney'!A163&amp;CHAR(10))-1))</f>
        <v>Australian Catholic University (ACU)</v>
      </c>
      <c r="E1646" s="63" t="str">
        <f aca="false">'Onshore - Sydney'!C261&amp;""</f>
        <v>1 year</v>
      </c>
      <c r="F1646" s="63" t="str">
        <f aca="false">IF('Onshore - Sydney'!D261="","Belum tercatat",'Onshore - Sydney'!D261)</f>
        <v>Term</v>
      </c>
      <c r="G1646" s="65" t="n">
        <f aca="false">IF('Onshore - Sydney'!E261="","-",'Onshore - Sydney'!E261)</f>
        <v>8058</v>
      </c>
      <c r="H1646" s="63" t="n">
        <f aca="false">IF(ISNUMBER(K1646),COUNTIFS($J$6:$J$1916,J1646,$K$6:$K$1916,"&lt;"&amp;K1646)+1,"-")</f>
        <v>18</v>
      </c>
      <c r="I1646" s="64" t="str">
        <f aca="false">IF('Onshore - Sydney'!E261="","Harga belum tersedia - hubungi konsultan TEG",IF(M1646=2,"Saat ini tidak menerima pendaftaran siswa internasional baru",IF(M1646=1,"Harga perlu dikonfirmasi ke sekolah"&amp;IF(""="","","; "&amp;""),"")))</f>
        <v/>
      </c>
      <c r="J1646" s="0" t="s">
        <v>4439</v>
      </c>
      <c r="K1646" s="0" t="n">
        <f aca="false">IF(M1646=2,"",IF(ISNUMBER(SEARCH("rata-rata:",'Onshore - Sydney'!M261)),VALUE(MID('Onshore - Sydney'!M261,SEARCH("rata-rata:",'Onshore - Sydney'!M261)+11,FIND(";",'Onshore - Sydney'!M261&amp;";",SEARCH("rata-rata:",'Onshore - Sydney'!M261))-SEARCH("rata-rata:",'Onshore - Sydney'!M261)-11)),IF('Onshore - Sydney'!D261="Semester",'Onshore - Sydney'!E261*2,IF('Onshore - Sydney'!D261="Trimester",'Onshore - Sydney'!E261*3,IF('Onshore - Sydney'!D261="Term",'Onshore - Sydney'!E261*4,IF('Onshore - Sydney'!D261="Unit",'Onshore - Sydney'!E261*8,""))))))</f>
        <v>32232</v>
      </c>
      <c r="L1646" s="0" t="n">
        <f aca="false">IF(AND(ISNUMBER('Onshore - Sydney'!E261),ISNUMBER(K1646),ISNUMBER('Onshore - Sydney'!F261),ISNUMBER('Onshore - Sydney'!G261),OR('Onshore - Sydney'!F261&lt;&gt;0,ISNUMBER(SEARCH("Material 0 terverifikasi",'Onshore - Sydney'!M261))),OR('Onshore - Sydney'!G261&lt;&gt;0,ISNUMBER(SEARCH("Enrolment 0 terverifikasi",'Onshore - Sydney'!M261)))),1,0)</f>
        <v>0</v>
      </c>
      <c r="M1646" s="0" t="n">
        <f aca="false">IF(OR('Onshore - Sydney'!E261="",ISNUMBER(SEARCH("BSB80120",'Onshore - Sydney'!B261&amp;'Onshore - Sydney'!M261)),ISNUMBER(SEARCH("Management (Learning)",'Onshore - Sydney'!B261))),2,IF(ISNUMBER(SEARCH("CEK:",'Onshore - Sydney'!M261)),1,0))</f>
        <v>0</v>
      </c>
    </row>
    <row r="1647" customFormat="false" ht="15" hidden="false" customHeight="false" outlineLevel="0" collapsed="false">
      <c r="A1647" s="61" t="s">
        <v>4440</v>
      </c>
      <c r="B1647" s="62"/>
      <c r="C1647" s="62"/>
      <c r="D1647" s="62"/>
      <c r="E1647" s="62"/>
      <c r="F1647" s="62"/>
      <c r="G1647" s="62"/>
      <c r="H1647" s="62"/>
      <c r="I1647" s="62"/>
    </row>
    <row r="1648" customFormat="false" ht="28.35" hidden="false" customHeight="false" outlineLevel="0" collapsed="false">
      <c r="A1648" s="63" t="s">
        <v>3533</v>
      </c>
      <c r="B1648" s="64" t="s">
        <v>4374</v>
      </c>
      <c r="C1648" s="63" t="s">
        <v>42</v>
      </c>
      <c r="D1648" s="64" t="str">
        <f aca="false">TRIM(LEFT('Onshore - Sydney'!A98,FIND(CHAR(10),'Onshore - Sydney'!A98&amp;CHAR(10))-1))</f>
        <v>Albright Institute of Business and Language (AIBL)</v>
      </c>
      <c r="E1648" s="63" t="str">
        <f aca="false">'Onshore - Sydney'!C103&amp;""</f>
        <v>2 years</v>
      </c>
      <c r="F1648" s="63" t="str">
        <f aca="false">IF('Onshore - Sydney'!D103="","Belum tercatat",'Onshore - Sydney'!D103)</f>
        <v>Term</v>
      </c>
      <c r="G1648" s="65" t="n">
        <f aca="false">IF('Onshore - Sydney'!E103="","-",'Onshore - Sydney'!E103)</f>
        <v>1250</v>
      </c>
      <c r="H1648" s="63" t="n">
        <f aca="false">IF(ISNUMBER(K1648),COUNTIFS($J$6:$J$1916,J1648,$K$6:$K$1916,"&lt;"&amp;K1648)+1,"-")</f>
        <v>1</v>
      </c>
      <c r="I1648" s="64" t="str">
        <f aca="false">IF('Onshore - Sydney'!E103="","Harga belum tersedia - hubungi konsultan TEG",IF(M1648=2,"Saat ini tidak menerima pendaftaran siswa internasional baru",IF(M1648=1,"Harga perlu dikonfirmasi ke sekolah"&amp;IF(""="","","; "&amp;""),"")))</f>
        <v/>
      </c>
      <c r="J1648" s="0" t="s">
        <v>4441</v>
      </c>
      <c r="K1648" s="0" t="n">
        <f aca="false">IF(M1648=2,"",IF(ISNUMBER(SEARCH("rata-rata:",'Onshore - Sydney'!M103)),VALUE(MID('Onshore - Sydney'!M103,SEARCH("rata-rata:",'Onshore - Sydney'!M103)+11,FIND(";",'Onshore - Sydney'!M103&amp;";",SEARCH("rata-rata:",'Onshore - Sydney'!M103))-SEARCH("rata-rata:",'Onshore - Sydney'!M103)-11)),IF('Onshore - Sydney'!D103="Semester",'Onshore - Sydney'!E103*2,IF('Onshore - Sydney'!D103="Trimester",'Onshore - Sydney'!E103*3,IF('Onshore - Sydney'!D103="Term",'Onshore - Sydney'!E103*4,IF('Onshore - Sydney'!D103="Unit",'Onshore - Sydney'!E103*8,""))))))</f>
        <v>5000</v>
      </c>
      <c r="L1648" s="0" t="n">
        <f aca="false">IF(AND(ISNUMBER('Onshore - Sydney'!E103),ISNUMBER(K1648),ISNUMBER('Onshore - Sydney'!F103),ISNUMBER('Onshore - Sydney'!G103),OR('Onshore - Sydney'!F103&lt;&gt;0,ISNUMBER(SEARCH("Material 0 terverifikasi",'Onshore - Sydney'!M103))),OR('Onshore - Sydney'!G103&lt;&gt;0,ISNUMBER(SEARCH("Enrolment 0 terverifikasi",'Onshore - Sydney'!M103)))),1,0)</f>
        <v>1</v>
      </c>
      <c r="M1648" s="0" t="n">
        <f aca="false">IF(OR('Onshore - Sydney'!E103="",ISNUMBER(SEARCH("BSB80120",'Onshore - Sydney'!B103&amp;'Onshore - Sydney'!M103)),ISNUMBER(SEARCH("Management (Learning)",'Onshore - Sydney'!B103))),2,IF(ISNUMBER(SEARCH("CEK:",'Onshore - Sydney'!M103)),1,0))</f>
        <v>0</v>
      </c>
    </row>
    <row r="1649" customFormat="false" ht="15" hidden="false" customHeight="false" outlineLevel="0" collapsed="false">
      <c r="A1649" s="63" t="s">
        <v>3533</v>
      </c>
      <c r="B1649" s="64" t="s">
        <v>4374</v>
      </c>
      <c r="C1649" s="63" t="s">
        <v>42</v>
      </c>
      <c r="D1649" s="64" t="str">
        <f aca="false">TRIM(LEFT('Onshore - Sydney'!A495,FIND(CHAR(10),'Onshore - Sydney'!A495&amp;CHAR(10))-1))</f>
        <v>Greenwich College</v>
      </c>
      <c r="E1649" s="63" t="str">
        <f aca="false">'Onshore - Sydney'!C504&amp;""</f>
        <v>3 years</v>
      </c>
      <c r="F1649" s="63" t="str">
        <f aca="false">IF('Onshore - Sydney'!D504="","Belum tercatat",'Onshore - Sydney'!D504)</f>
        <v>Term</v>
      </c>
      <c r="G1649" s="65" t="n">
        <f aca="false">IF('Onshore - Sydney'!E504="","-",'Onshore - Sydney'!E504)</f>
        <v>1250</v>
      </c>
      <c r="H1649" s="63" t="n">
        <f aca="false">IF(ISNUMBER(K1649),COUNTIFS($J$6:$J$1916,J1649,$K$6:$K$1916,"&lt;"&amp;K1649)+1,"-")</f>
        <v>1</v>
      </c>
      <c r="I1649" s="64" t="str">
        <f aca="false">IF('Onshore - Sydney'!E504="","Harga belum tersedia - hubungi konsultan TEG",IF(M1649=2,"Saat ini tidak menerima pendaftaran siswa internasional baru",IF(M1649=1,"Harga perlu dikonfirmasi ke sekolah"&amp;IF(""="","","; "&amp;""),"")))</f>
        <v/>
      </c>
      <c r="J1649" s="0" t="s">
        <v>4441</v>
      </c>
      <c r="K1649" s="0" t="n">
        <f aca="false">IF(M1649=2,"",IF(ISNUMBER(SEARCH("rata-rata:",'Onshore - Sydney'!M504)),VALUE(MID('Onshore - Sydney'!M504,SEARCH("rata-rata:",'Onshore - Sydney'!M504)+11,FIND(";",'Onshore - Sydney'!M504&amp;";",SEARCH("rata-rata:",'Onshore - Sydney'!M504))-SEARCH("rata-rata:",'Onshore - Sydney'!M504)-11)),IF('Onshore - Sydney'!D504="Semester",'Onshore - Sydney'!E504*2,IF('Onshore - Sydney'!D504="Trimester",'Onshore - Sydney'!E504*3,IF('Onshore - Sydney'!D504="Term",'Onshore - Sydney'!E504*4,IF('Onshore - Sydney'!D504="Unit",'Onshore - Sydney'!E504*8,""))))))</f>
        <v>5000</v>
      </c>
      <c r="L1649" s="0" t="n">
        <f aca="false">IF(AND(ISNUMBER('Onshore - Sydney'!E504),ISNUMBER(K1649),ISNUMBER('Onshore - Sydney'!F504),ISNUMBER('Onshore - Sydney'!G504),OR('Onshore - Sydney'!F504&lt;&gt;0,ISNUMBER(SEARCH("Material 0 terverifikasi",'Onshore - Sydney'!M504))),OR('Onshore - Sydney'!G504&lt;&gt;0,ISNUMBER(SEARCH("Enrolment 0 terverifikasi",'Onshore - Sydney'!M504)))),1,0)</f>
        <v>1</v>
      </c>
      <c r="M1649" s="0" t="n">
        <f aca="false">IF(OR('Onshore - Sydney'!E504="",ISNUMBER(SEARCH("BSB80120",'Onshore - Sydney'!B504&amp;'Onshore - Sydney'!M504)),ISNUMBER(SEARCH("Management (Learning)",'Onshore - Sydney'!B504))),2,IF(ISNUMBER(SEARCH("CEK:",'Onshore - Sydney'!M504)),1,0))</f>
        <v>0</v>
      </c>
    </row>
    <row r="1650" customFormat="false" ht="15" hidden="false" customHeight="false" outlineLevel="0" collapsed="false">
      <c r="A1650" s="63" t="s">
        <v>3533</v>
      </c>
      <c r="B1650" s="64" t="s">
        <v>4374</v>
      </c>
      <c r="C1650" s="63" t="s">
        <v>42</v>
      </c>
      <c r="D1650" s="64" t="str">
        <f aca="false">TRIM(LEFT('Onshore - Sydney'!A699,FIND(CHAR(10),'Onshore - Sydney'!A699&amp;CHAR(10))-1))</f>
        <v>NVR Education</v>
      </c>
      <c r="E1650" s="63" t="str">
        <f aca="false">'Onshore - Sydney'!C704&amp;""</f>
        <v>3,5 years</v>
      </c>
      <c r="F1650" s="63" t="str">
        <f aca="false">IF('Onshore - Sydney'!D704="","Belum tercatat",'Onshore - Sydney'!D704)</f>
        <v>Term</v>
      </c>
      <c r="G1650" s="65" t="n">
        <f aca="false">IF('Onshore - Sydney'!E704="","-",'Onshore - Sydney'!E704)</f>
        <v>1250</v>
      </c>
      <c r="H1650" s="63" t="n">
        <f aca="false">IF(ISNUMBER(K1650),COUNTIFS($J$6:$J$1916,J1650,$K$6:$K$1916,"&lt;"&amp;K1650)+1,"-")</f>
        <v>1</v>
      </c>
      <c r="I1650" s="64" t="str">
        <f aca="false">IF('Onshore - Sydney'!E704="","Harga belum tersedia - hubungi konsultan TEG",IF(M1650=2,"Saat ini tidak menerima pendaftaran siswa internasional baru",IF(M1650=1,"Harga perlu dikonfirmasi ke sekolah"&amp;IF(""="","","; "&amp;""),"")))</f>
        <v/>
      </c>
      <c r="J1650" s="0" t="s">
        <v>4441</v>
      </c>
      <c r="K1650" s="0" t="n">
        <f aca="false">IF(M1650=2,"",IF(ISNUMBER(SEARCH("rata-rata:",'Onshore - Sydney'!M704)),VALUE(MID('Onshore - Sydney'!M704,SEARCH("rata-rata:",'Onshore - Sydney'!M704)+11,FIND(";",'Onshore - Sydney'!M704&amp;";",SEARCH("rata-rata:",'Onshore - Sydney'!M704))-SEARCH("rata-rata:",'Onshore - Sydney'!M704)-11)),IF('Onshore - Sydney'!D704="Semester",'Onshore - Sydney'!E704*2,IF('Onshore - Sydney'!D704="Trimester",'Onshore - Sydney'!E704*3,IF('Onshore - Sydney'!D704="Term",'Onshore - Sydney'!E704*4,IF('Onshore - Sydney'!D704="Unit",'Onshore - Sydney'!E704*8,""))))))</f>
        <v>5000</v>
      </c>
      <c r="L1650" s="0" t="n">
        <f aca="false">IF(AND(ISNUMBER('Onshore - Sydney'!E704),ISNUMBER(K1650),ISNUMBER('Onshore - Sydney'!F704),ISNUMBER('Onshore - Sydney'!G704),OR('Onshore - Sydney'!F704&lt;&gt;0,ISNUMBER(SEARCH("Material 0 terverifikasi",'Onshore - Sydney'!M704))),OR('Onshore - Sydney'!G704&lt;&gt;0,ISNUMBER(SEARCH("Enrolment 0 terverifikasi",'Onshore - Sydney'!M704)))),1,0)</f>
        <v>0</v>
      </c>
      <c r="M1650" s="0" t="n">
        <f aca="false">IF(OR('Onshore - Sydney'!E704="",ISNUMBER(SEARCH("BSB80120",'Onshore - Sydney'!B704&amp;'Onshore - Sydney'!M704)),ISNUMBER(SEARCH("Management (Learning)",'Onshore - Sydney'!B704))),2,IF(ISNUMBER(SEARCH("CEK:",'Onshore - Sydney'!M704)),1,0))</f>
        <v>0</v>
      </c>
    </row>
    <row r="1651" customFormat="false" ht="15" hidden="false" customHeight="false" outlineLevel="0" collapsed="false">
      <c r="A1651" s="63" t="s">
        <v>3533</v>
      </c>
      <c r="B1651" s="64" t="s">
        <v>4374</v>
      </c>
      <c r="C1651" s="63" t="s">
        <v>42</v>
      </c>
      <c r="D1651" s="64" t="str">
        <f aca="false">TRIM(LEFT('Onshore - Sydney'!A50,FIND(CHAR(10),'Onshore - Sydney'!A50&amp;CHAR(10))-1))</f>
        <v>Academies Australasia</v>
      </c>
      <c r="E1651" s="63" t="str">
        <f aca="false">'Onshore - Sydney'!C54&amp;""</f>
        <v>2 years</v>
      </c>
      <c r="F1651" s="63" t="str">
        <f aca="false">IF('Onshore - Sydney'!D54="","Belum tercatat",'Onshore - Sydney'!D54)</f>
        <v>Term</v>
      </c>
      <c r="G1651" s="65" t="n">
        <f aca="false">IF('Onshore - Sydney'!E54="","-",'Onshore - Sydney'!E54)</f>
        <v>1350</v>
      </c>
      <c r="H1651" s="63" t="n">
        <f aca="false">IF(ISNUMBER(K1651),COUNTIFS($J$6:$J$1916,J1651,$K$6:$K$1916,"&lt;"&amp;K1651)+1,"-")</f>
        <v>4</v>
      </c>
      <c r="I1651" s="64" t="str">
        <f aca="false">IF('Onshore - Sydney'!E54="","Harga belum tersedia - hubungi konsultan TEG",IF(M1651=2,"Saat ini tidak menerima pendaftaran siswa internasional baru",IF(M1651=1,"Harga perlu dikonfirmasi ke sekolah"&amp;IF(""="","","; "&amp;""),"")))</f>
        <v/>
      </c>
      <c r="J1651" s="0" t="s">
        <v>4441</v>
      </c>
      <c r="K1651" s="0" t="n">
        <f aca="false">IF(M1651=2,"",IF(ISNUMBER(SEARCH("rata-rata:",'Onshore - Sydney'!M54)),VALUE(MID('Onshore - Sydney'!M54,SEARCH("rata-rata:",'Onshore - Sydney'!M54)+11,FIND(";",'Onshore - Sydney'!M54&amp;";",SEARCH("rata-rata:",'Onshore - Sydney'!M54))-SEARCH("rata-rata:",'Onshore - Sydney'!M54)-11)),IF('Onshore - Sydney'!D54="Semester",'Onshore - Sydney'!E54*2,IF('Onshore - Sydney'!D54="Trimester",'Onshore - Sydney'!E54*3,IF('Onshore - Sydney'!D54="Term",'Onshore - Sydney'!E54*4,IF('Onshore - Sydney'!D54="Unit",'Onshore - Sydney'!E54*8,""))))))</f>
        <v>5400</v>
      </c>
      <c r="L1651" s="0" t="n">
        <f aca="false">IF(AND(ISNUMBER('Onshore - Sydney'!E54),ISNUMBER(K1651),ISNUMBER('Onshore - Sydney'!F54),ISNUMBER('Onshore - Sydney'!G54),OR('Onshore - Sydney'!F54&lt;&gt;0,ISNUMBER(SEARCH("Material 0 terverifikasi",'Onshore - Sydney'!M54))),OR('Onshore - Sydney'!G54&lt;&gt;0,ISNUMBER(SEARCH("Enrolment 0 terverifikasi",'Onshore - Sydney'!M54)))),1,0)</f>
        <v>1</v>
      </c>
      <c r="M1651" s="0" t="n">
        <f aca="false">IF(OR('Onshore - Sydney'!E54="",ISNUMBER(SEARCH("BSB80120",'Onshore - Sydney'!B54&amp;'Onshore - Sydney'!M54)),ISNUMBER(SEARCH("Management (Learning)",'Onshore - Sydney'!B54))),2,IF(ISNUMBER(SEARCH("CEK:",'Onshore - Sydney'!M54)),1,0))</f>
        <v>0</v>
      </c>
    </row>
    <row r="1652" customFormat="false" ht="15" hidden="false" customHeight="false" outlineLevel="0" collapsed="false">
      <c r="A1652" s="63" t="s">
        <v>3533</v>
      </c>
      <c r="B1652" s="64" t="s">
        <v>4374</v>
      </c>
      <c r="C1652" s="63" t="s">
        <v>42</v>
      </c>
      <c r="D1652" s="64" t="str">
        <f aca="false">TRIM(LEFT('Onshore - Sydney'!A6,FIND(CHAR(10),'Onshore - Sydney'!A6&amp;CHAR(10))-1))</f>
        <v>Abbey College Australia</v>
      </c>
      <c r="E1652" s="63" t="str">
        <f aca="false">'Onshore - Sydney'!C6&amp;""</f>
        <v>4 years</v>
      </c>
      <c r="F1652" s="63" t="str">
        <f aca="false">IF('Onshore - Sydney'!D6="","Belum tercatat",'Onshore - Sydney'!D6)</f>
        <v>Term</v>
      </c>
      <c r="G1652" s="65" t="n">
        <f aca="false">IF('Onshore - Sydney'!E6="","-",'Onshore - Sydney'!E6)</f>
        <v>1500</v>
      </c>
      <c r="H1652" s="63" t="n">
        <f aca="false">IF(ISNUMBER(K1652),COUNTIFS($J$6:$J$1916,J1652,$K$6:$K$1916,"&lt;"&amp;K1652)+1,"-")</f>
        <v>5</v>
      </c>
      <c r="I1652" s="64" t="str">
        <f aca="false">IF('Onshore - Sydney'!E6="","Harga belum tersedia - hubungi konsultan TEG",IF(M1652=2,"Saat ini tidak menerima pendaftaran siswa internasional baru",IF(M1652=1,"Harga perlu dikonfirmasi ke sekolah"&amp;IF(""="","","; "&amp;""),"")))</f>
        <v/>
      </c>
      <c r="J1652" s="0" t="s">
        <v>4441</v>
      </c>
      <c r="K1652" s="0" t="n">
        <f aca="false">IF(M1652=2,"",IF(ISNUMBER(SEARCH("rata-rata:",'Onshore - Sydney'!M6)),VALUE(MID('Onshore - Sydney'!M6,SEARCH("rata-rata:",'Onshore - Sydney'!M6)+11,FIND(";",'Onshore - Sydney'!M6&amp;";",SEARCH("rata-rata:",'Onshore - Sydney'!M6))-SEARCH("rata-rata:",'Onshore - Sydney'!M6)-11)),IF('Onshore - Sydney'!D6="Semester",'Onshore - Sydney'!E6*2,IF('Onshore - Sydney'!D6="Trimester",'Onshore - Sydney'!E6*3,IF('Onshore - Sydney'!D6="Term",'Onshore - Sydney'!E6*4,IF('Onshore - Sydney'!D6="Unit",'Onshore - Sydney'!E6*8,""))))))</f>
        <v>6000</v>
      </c>
      <c r="L1652" s="0" t="n">
        <f aca="false">IF(AND(ISNUMBER('Onshore - Sydney'!E6),ISNUMBER(K1652),ISNUMBER('Onshore - Sydney'!F6),ISNUMBER('Onshore - Sydney'!G6),OR('Onshore - Sydney'!F6&lt;&gt;0,ISNUMBER(SEARCH("Material 0 terverifikasi",'Onshore - Sydney'!M6))),OR('Onshore - Sydney'!G6&lt;&gt;0,ISNUMBER(SEARCH("Enrolment 0 terverifikasi",'Onshore - Sydney'!M6)))),1,0)</f>
        <v>1</v>
      </c>
      <c r="M1652" s="0" t="n">
        <f aca="false">IF(OR('Onshore - Sydney'!E6="",ISNUMBER(SEARCH("BSB80120",'Onshore - Sydney'!B6&amp;'Onshore - Sydney'!M6)),ISNUMBER(SEARCH("Management (Learning)",'Onshore - Sydney'!B6))),2,IF(ISNUMBER(SEARCH("CEK:",'Onshore - Sydney'!M6)),1,0))</f>
        <v>0</v>
      </c>
    </row>
    <row r="1653" customFormat="false" ht="15" hidden="false" customHeight="false" outlineLevel="0" collapsed="false">
      <c r="A1653" s="63" t="s">
        <v>3533</v>
      </c>
      <c r="B1653" s="64" t="s">
        <v>4374</v>
      </c>
      <c r="C1653" s="63" t="s">
        <v>42</v>
      </c>
      <c r="D1653" s="64" t="str">
        <f aca="false">TRIM(LEFT('Onshore - Sydney'!A741,FIND(CHAR(10),'Onshore - Sydney'!A741&amp;CHAR(10))-1))</f>
        <v>Rosewood International College</v>
      </c>
      <c r="E1653" s="63" t="str">
        <f aca="false">'Onshore - Sydney'!C743&amp;""</f>
        <v>2,5 years</v>
      </c>
      <c r="F1653" s="63" t="str">
        <f aca="false">IF('Onshore - Sydney'!D743="","Belum tercatat",'Onshore - Sydney'!D743)</f>
        <v>Term</v>
      </c>
      <c r="G1653" s="65" t="n">
        <f aca="false">IF('Onshore - Sydney'!E743="","-",'Onshore - Sydney'!E743)</f>
        <v>1500</v>
      </c>
      <c r="H1653" s="63" t="n">
        <f aca="false">IF(ISNUMBER(K1653),COUNTIFS($J$6:$J$1916,J1653,$K$6:$K$1916,"&lt;"&amp;K1653)+1,"-")</f>
        <v>5</v>
      </c>
      <c r="I1653" s="64" t="str">
        <f aca="false">IF('Onshore - Sydney'!E743="","Harga belum tersedia - hubungi konsultan TEG",IF(M1653=2,"Saat ini tidak menerima pendaftaran siswa internasional baru",IF(M1653=1,"Harga perlu dikonfirmasi ke sekolah"&amp;IF(""="","","; "&amp;""),"")))</f>
        <v/>
      </c>
      <c r="J1653" s="0" t="s">
        <v>4441</v>
      </c>
      <c r="K1653" s="0" t="n">
        <f aca="false">IF(M1653=2,"",IF(ISNUMBER(SEARCH("rata-rata:",'Onshore - Sydney'!M743)),VALUE(MID('Onshore - Sydney'!M743,SEARCH("rata-rata:",'Onshore - Sydney'!M743)+11,FIND(";",'Onshore - Sydney'!M743&amp;";",SEARCH("rata-rata:",'Onshore - Sydney'!M743))-SEARCH("rata-rata:",'Onshore - Sydney'!M743)-11)),IF('Onshore - Sydney'!D743="Semester",'Onshore - Sydney'!E743*2,IF('Onshore - Sydney'!D743="Trimester",'Onshore - Sydney'!E743*3,IF('Onshore - Sydney'!D743="Term",'Onshore - Sydney'!E743*4,IF('Onshore - Sydney'!D743="Unit",'Onshore - Sydney'!E743*8,""))))))</f>
        <v>6000</v>
      </c>
      <c r="L1653" s="0" t="n">
        <f aca="false">IF(AND(ISNUMBER('Onshore - Sydney'!E743),ISNUMBER(K1653),ISNUMBER('Onshore - Sydney'!F743),ISNUMBER('Onshore - Sydney'!G743),OR('Onshore - Sydney'!F743&lt;&gt;0,ISNUMBER(SEARCH("Material 0 terverifikasi",'Onshore - Sydney'!M743))),OR('Onshore - Sydney'!G743&lt;&gt;0,ISNUMBER(SEARCH("Enrolment 0 terverifikasi",'Onshore - Sydney'!M743)))),1,0)</f>
        <v>1</v>
      </c>
      <c r="M1653" s="0" t="n">
        <f aca="false">IF(OR('Onshore - Sydney'!E743="",ISNUMBER(SEARCH("BSB80120",'Onshore - Sydney'!B743&amp;'Onshore - Sydney'!M743)),ISNUMBER(SEARCH("Management (Learning)",'Onshore - Sydney'!B743))),2,IF(ISNUMBER(SEARCH("CEK:",'Onshore - Sydney'!M743)),1,0))</f>
        <v>0</v>
      </c>
    </row>
    <row r="1654" customFormat="false" ht="15" hidden="false" customHeight="false" outlineLevel="0" collapsed="false">
      <c r="A1654" s="63" t="s">
        <v>3533</v>
      </c>
      <c r="B1654" s="64" t="s">
        <v>4374</v>
      </c>
      <c r="C1654" s="63" t="s">
        <v>42</v>
      </c>
      <c r="D1654" s="64" t="str">
        <f aca="false">TRIM(LEFT('Onshore - Sydney'!A790,FIND(CHAR(10),'Onshore - Sydney'!A790&amp;CHAR(10))-1))</f>
        <v>Sydney Metropolitan International College</v>
      </c>
      <c r="E1654" s="63" t="str">
        <f aca="false">'Onshore - Sydney'!C790&amp;""</f>
        <v>3 years</v>
      </c>
      <c r="F1654" s="63" t="str">
        <f aca="false">IF('Onshore - Sydney'!D790="","Belum tercatat",'Onshore - Sydney'!D790)</f>
        <v>Term</v>
      </c>
      <c r="G1654" s="65" t="n">
        <f aca="false">IF('Onshore - Sydney'!E790="","-",'Onshore - Sydney'!E790)</f>
        <v>1500</v>
      </c>
      <c r="H1654" s="63" t="n">
        <f aca="false">IF(ISNUMBER(K1654),COUNTIFS($J$6:$J$1916,J1654,$K$6:$K$1916,"&lt;"&amp;K1654)+1,"-")</f>
        <v>5</v>
      </c>
      <c r="I1654" s="64" t="str">
        <f aca="false">IF('Onshore - Sydney'!E790="","Harga belum tersedia - hubungi konsultan TEG",IF(M1654=2,"Saat ini tidak menerima pendaftaran siswa internasional baru",IF(M1654=1,"Harga perlu dikonfirmasi ke sekolah"&amp;IF(""="","","; "&amp;""),"")))</f>
        <v/>
      </c>
      <c r="J1654" s="0" t="s">
        <v>4441</v>
      </c>
      <c r="K1654" s="0" t="n">
        <f aca="false">IF(M1654=2,"",IF(ISNUMBER(SEARCH("rata-rata:",'Onshore - Sydney'!M790)),VALUE(MID('Onshore - Sydney'!M790,SEARCH("rata-rata:",'Onshore - Sydney'!M790)+11,FIND(";",'Onshore - Sydney'!M790&amp;";",SEARCH("rata-rata:",'Onshore - Sydney'!M790))-SEARCH("rata-rata:",'Onshore - Sydney'!M790)-11)),IF('Onshore - Sydney'!D790="Semester",'Onshore - Sydney'!E790*2,IF('Onshore - Sydney'!D790="Trimester",'Onshore - Sydney'!E790*3,IF('Onshore - Sydney'!D790="Term",'Onshore - Sydney'!E790*4,IF('Onshore - Sydney'!D790="Unit",'Onshore - Sydney'!E790*8,""))))))</f>
        <v>6000</v>
      </c>
      <c r="L1654" s="0" t="n">
        <f aca="false">IF(AND(ISNUMBER('Onshore - Sydney'!E790),ISNUMBER(K1654),ISNUMBER('Onshore - Sydney'!F790),ISNUMBER('Onshore - Sydney'!G790),OR('Onshore - Sydney'!F790&lt;&gt;0,ISNUMBER(SEARCH("Material 0 terverifikasi",'Onshore - Sydney'!M790))),OR('Onshore - Sydney'!G790&lt;&gt;0,ISNUMBER(SEARCH("Enrolment 0 terverifikasi",'Onshore - Sydney'!M790)))),1,0)</f>
        <v>1</v>
      </c>
      <c r="M1654" s="0" t="n">
        <f aca="false">IF(OR('Onshore - Sydney'!E790="",ISNUMBER(SEARCH("BSB80120",'Onshore - Sydney'!B790&amp;'Onshore - Sydney'!M790)),ISNUMBER(SEARCH("Management (Learning)",'Onshore - Sydney'!B790))),2,IF(ISNUMBER(SEARCH("CEK:",'Onshore - Sydney'!M790)),1,0))</f>
        <v>0</v>
      </c>
    </row>
    <row r="1655" customFormat="false" ht="28.35" hidden="false" customHeight="false" outlineLevel="0" collapsed="false">
      <c r="A1655" s="63" t="s">
        <v>3533</v>
      </c>
      <c r="B1655" s="64" t="s">
        <v>4374</v>
      </c>
      <c r="C1655" s="63" t="s">
        <v>42</v>
      </c>
      <c r="D1655" s="64" t="str">
        <f aca="false">TRIM(LEFT('Onshore - Sydney'!A881,FIND(CHAR(10),'Onshore - Sydney'!A881&amp;CHAR(10))-1))</f>
        <v>TKL College (Training for Knowledge and Livelihood)</v>
      </c>
      <c r="E1655" s="63" t="str">
        <f aca="false">'Onshore - Sydney'!C884&amp;""</f>
        <v>3 years</v>
      </c>
      <c r="F1655" s="63" t="str">
        <f aca="false">IF('Onshore - Sydney'!D884="","Belum tercatat",'Onshore - Sydney'!D884)</f>
        <v>Term</v>
      </c>
      <c r="G1655" s="65" t="n">
        <f aca="false">IF('Onshore - Sydney'!E884="","-",'Onshore - Sydney'!E884)</f>
        <v>1500</v>
      </c>
      <c r="H1655" s="63" t="n">
        <f aca="false">IF(ISNUMBER(K1655),COUNTIFS($J$6:$J$1916,J1655,$K$6:$K$1916,"&lt;"&amp;K1655)+1,"-")</f>
        <v>5</v>
      </c>
      <c r="I1655" s="64" t="str">
        <f aca="false">IF('Onshore - Sydney'!E884="","Harga belum tersedia - hubungi konsultan TEG",IF(M1655=2,"Saat ini tidak menerima pendaftaran siswa internasional baru",IF(M1655=1,"Harga perlu dikonfirmasi ke sekolah"&amp;IF(""="","","; "&amp;""),"")))</f>
        <v/>
      </c>
      <c r="J1655" s="0" t="s">
        <v>4441</v>
      </c>
      <c r="K1655" s="0" t="n">
        <f aca="false">IF(M1655=2,"",IF(ISNUMBER(SEARCH("rata-rata:",'Onshore - Sydney'!M884)),VALUE(MID('Onshore - Sydney'!M884,SEARCH("rata-rata:",'Onshore - Sydney'!M884)+11,FIND(";",'Onshore - Sydney'!M884&amp;";",SEARCH("rata-rata:",'Onshore - Sydney'!M884))-SEARCH("rata-rata:",'Onshore - Sydney'!M884)-11)),IF('Onshore - Sydney'!D884="Semester",'Onshore - Sydney'!E884*2,IF('Onshore - Sydney'!D884="Trimester",'Onshore - Sydney'!E884*3,IF('Onshore - Sydney'!D884="Term",'Onshore - Sydney'!E884*4,IF('Onshore - Sydney'!D884="Unit",'Onshore - Sydney'!E884*8,""))))))</f>
        <v>6000</v>
      </c>
      <c r="L1655" s="0" t="n">
        <f aca="false">IF(AND(ISNUMBER('Onshore - Sydney'!E884),ISNUMBER(K1655),ISNUMBER('Onshore - Sydney'!F884),ISNUMBER('Onshore - Sydney'!G884),OR('Onshore - Sydney'!F884&lt;&gt;0,ISNUMBER(SEARCH("Material 0 terverifikasi",'Onshore - Sydney'!M884))),OR('Onshore - Sydney'!G884&lt;&gt;0,ISNUMBER(SEARCH("Enrolment 0 terverifikasi",'Onshore - Sydney'!M884)))),1,0)</f>
        <v>1</v>
      </c>
      <c r="M1655" s="0" t="n">
        <f aca="false">IF(OR('Onshore - Sydney'!E884="",ISNUMBER(SEARCH("BSB80120",'Onshore - Sydney'!B884&amp;'Onshore - Sydney'!M884)),ISNUMBER(SEARCH("Management (Learning)",'Onshore - Sydney'!B884))),2,IF(ISNUMBER(SEARCH("CEK:",'Onshore - Sydney'!M884)),1,0))</f>
        <v>0</v>
      </c>
    </row>
    <row r="1656" customFormat="false" ht="15" hidden="false" customHeight="false" outlineLevel="0" collapsed="false">
      <c r="A1656" s="63" t="s">
        <v>3533</v>
      </c>
      <c r="B1656" s="64" t="s">
        <v>4374</v>
      </c>
      <c r="C1656" s="63" t="s">
        <v>42</v>
      </c>
      <c r="D1656" s="64" t="str">
        <f aca="false">TRIM(LEFT('Onshore - Sydney'!A1028,FIND(CHAR(10),'Onshore - Sydney'!A1028&amp;CHAR(10))-1))</f>
        <v>Warwick Institute of Australia</v>
      </c>
      <c r="E1656" s="63" t="str">
        <f aca="false">'Onshore - Sydney'!C1029&amp;""</f>
        <v>3,5 years</v>
      </c>
      <c r="F1656" s="63" t="str">
        <f aca="false">IF('Onshore - Sydney'!D1029="","Belum tercatat",'Onshore - Sydney'!D1029)</f>
        <v>Term</v>
      </c>
      <c r="G1656" s="65" t="n">
        <f aca="false">IF('Onshore - Sydney'!E1029="","-",'Onshore - Sydney'!E1029)</f>
        <v>1500</v>
      </c>
      <c r="H1656" s="63" t="n">
        <f aca="false">IF(ISNUMBER(K1656),COUNTIFS($J$6:$J$1916,J1656,$K$6:$K$1916,"&lt;"&amp;K1656)+1,"-")</f>
        <v>5</v>
      </c>
      <c r="I1656" s="64" t="str">
        <f aca="false">IF('Onshore - Sydney'!E1029="","Harga belum tersedia - hubungi konsultan TEG",IF(M1656=2,"Saat ini tidak menerima pendaftaran siswa internasional baru",IF(M1656=1,"Harga perlu dikonfirmasi ke sekolah"&amp;IF(""="","","; "&amp;""),"")))</f>
        <v/>
      </c>
      <c r="J1656" s="0" t="s">
        <v>4441</v>
      </c>
      <c r="K1656" s="0" t="n">
        <f aca="false">IF(M1656=2,"",IF(ISNUMBER(SEARCH("rata-rata:",'Onshore - Sydney'!M1029)),VALUE(MID('Onshore - Sydney'!M1029,SEARCH("rata-rata:",'Onshore - Sydney'!M1029)+11,FIND(";",'Onshore - Sydney'!M1029&amp;";",SEARCH("rata-rata:",'Onshore - Sydney'!M1029))-SEARCH("rata-rata:",'Onshore - Sydney'!M1029)-11)),IF('Onshore - Sydney'!D1029="Semester",'Onshore - Sydney'!E1029*2,IF('Onshore - Sydney'!D1029="Trimester",'Onshore - Sydney'!E1029*3,IF('Onshore - Sydney'!D1029="Term",'Onshore - Sydney'!E1029*4,IF('Onshore - Sydney'!D1029="Unit",'Onshore - Sydney'!E1029*8,""))))))</f>
        <v>6000</v>
      </c>
      <c r="L1656" s="0" t="n">
        <f aca="false">IF(AND(ISNUMBER('Onshore - Sydney'!E1029),ISNUMBER(K1656),ISNUMBER('Onshore - Sydney'!F1029),ISNUMBER('Onshore - Sydney'!G1029),OR('Onshore - Sydney'!F1029&lt;&gt;0,ISNUMBER(SEARCH("Material 0 terverifikasi",'Onshore - Sydney'!M1029))),OR('Onshore - Sydney'!G1029&lt;&gt;0,ISNUMBER(SEARCH("Enrolment 0 terverifikasi",'Onshore - Sydney'!M1029)))),1,0)</f>
        <v>1</v>
      </c>
      <c r="M1656" s="0" t="n">
        <f aca="false">IF(OR('Onshore - Sydney'!E1029="",ISNUMBER(SEARCH("BSB80120",'Onshore - Sydney'!B1029&amp;'Onshore - Sydney'!M1029)),ISNUMBER(SEARCH("Management (Learning)",'Onshore - Sydney'!B1029))),2,IF(ISNUMBER(SEARCH("CEK:",'Onshore - Sydney'!M1029)),1,0))</f>
        <v>0</v>
      </c>
    </row>
    <row r="1657" customFormat="false" ht="15" hidden="false" customHeight="false" outlineLevel="0" collapsed="false">
      <c r="A1657" s="63" t="s">
        <v>3533</v>
      </c>
      <c r="B1657" s="64" t="s">
        <v>4374</v>
      </c>
      <c r="C1657" s="63" t="s">
        <v>42</v>
      </c>
      <c r="D1657" s="64" t="str">
        <f aca="false">TRIM(LEFT('Onshore - Sydney'!A1038,FIND(CHAR(10),'Onshore - Sydney'!A1038&amp;CHAR(10))-1))</f>
        <v>Wells International College (WIC)</v>
      </c>
      <c r="E1657" s="63" t="str">
        <f aca="false">'Onshore - Sydney'!C1044&amp;""</f>
        <v>3 years</v>
      </c>
      <c r="F1657" s="63" t="str">
        <f aca="false">IF('Onshore - Sydney'!D1044="","Belum tercatat",'Onshore - Sydney'!D1044)</f>
        <v>Term</v>
      </c>
      <c r="G1657" s="65" t="n">
        <f aca="false">IF('Onshore - Sydney'!E1044="","-",'Onshore - Sydney'!E1044)</f>
        <v>1500</v>
      </c>
      <c r="H1657" s="63" t="n">
        <f aca="false">IF(ISNUMBER(K1657),COUNTIFS($J$6:$J$1916,J1657,$K$6:$K$1916,"&lt;"&amp;K1657)+1,"-")</f>
        <v>5</v>
      </c>
      <c r="I1657" s="64" t="str">
        <f aca="false">IF('Onshore - Sydney'!E1044="","Harga belum tersedia - hubungi konsultan TEG",IF(M1657=2,"Saat ini tidak menerima pendaftaran siswa internasional baru",IF(M1657=1,"Harga perlu dikonfirmasi ke sekolah"&amp;IF(""="","","; "&amp;""),"")))</f>
        <v/>
      </c>
      <c r="J1657" s="0" t="s">
        <v>4441</v>
      </c>
      <c r="K1657" s="0" t="n">
        <f aca="false">IF(M1657=2,"",IF(ISNUMBER(SEARCH("rata-rata:",'Onshore - Sydney'!M1044)),VALUE(MID('Onshore - Sydney'!M1044,SEARCH("rata-rata:",'Onshore - Sydney'!M1044)+11,FIND(";",'Onshore - Sydney'!M1044&amp;";",SEARCH("rata-rata:",'Onshore - Sydney'!M1044))-SEARCH("rata-rata:",'Onshore - Sydney'!M1044)-11)),IF('Onshore - Sydney'!D1044="Semester",'Onshore - Sydney'!E1044*2,IF('Onshore - Sydney'!D1044="Trimester",'Onshore - Sydney'!E1044*3,IF('Onshore - Sydney'!D1044="Term",'Onshore - Sydney'!E1044*4,IF('Onshore - Sydney'!D1044="Unit",'Onshore - Sydney'!E1044*8,""))))))</f>
        <v>6000</v>
      </c>
      <c r="L1657" s="0" t="n">
        <f aca="false">IF(AND(ISNUMBER('Onshore - Sydney'!E1044),ISNUMBER(K1657),ISNUMBER('Onshore - Sydney'!F1044),ISNUMBER('Onshore - Sydney'!G1044),OR('Onshore - Sydney'!F1044&lt;&gt;0,ISNUMBER(SEARCH("Material 0 terverifikasi",'Onshore - Sydney'!M1044))),OR('Onshore - Sydney'!G1044&lt;&gt;0,ISNUMBER(SEARCH("Enrolment 0 terverifikasi",'Onshore - Sydney'!M1044)))),1,0)</f>
        <v>1</v>
      </c>
      <c r="M1657" s="0" t="n">
        <f aca="false">IF(OR('Onshore - Sydney'!E1044="",ISNUMBER(SEARCH("BSB80120",'Onshore - Sydney'!B1044&amp;'Onshore - Sydney'!M1044)),ISNUMBER(SEARCH("Management (Learning)",'Onshore - Sydney'!B1044))),2,IF(ISNUMBER(SEARCH("CEK:",'Onshore - Sydney'!M1044)),1,0))</f>
        <v>0</v>
      </c>
    </row>
    <row r="1658" customFormat="false" ht="15" hidden="false" customHeight="false" outlineLevel="0" collapsed="false">
      <c r="A1658" s="63" t="s">
        <v>3533</v>
      </c>
      <c r="B1658" s="64" t="s">
        <v>4374</v>
      </c>
      <c r="C1658" s="63" t="s">
        <v>42</v>
      </c>
      <c r="D1658" s="64" t="str">
        <f aca="false">TRIM(LEFT('Onshore - Sydney'!A1237,FIND(CHAR(10),'Onshore - Sydney'!A1237&amp;CHAR(10))-1))</f>
        <v>York Business Institute</v>
      </c>
      <c r="E1658" s="63" t="str">
        <f aca="false">'Onshore - Sydney'!C1247&amp;""</f>
        <v>5 years</v>
      </c>
      <c r="F1658" s="63" t="str">
        <f aca="false">IF('Onshore - Sydney'!D1247="","Belum tercatat",'Onshore - Sydney'!D1247)</f>
        <v>Term</v>
      </c>
      <c r="G1658" s="65" t="n">
        <f aca="false">IF('Onshore - Sydney'!E1247="","-",'Onshore - Sydney'!E1247)</f>
        <v>1500</v>
      </c>
      <c r="H1658" s="63" t="n">
        <f aca="false">IF(ISNUMBER(K1658),COUNTIFS($J$6:$J$1916,J1658,$K$6:$K$1916,"&lt;"&amp;K1658)+1,"-")</f>
        <v>5</v>
      </c>
      <c r="I1658" s="64" t="str">
        <f aca="false">IF('Onshore - Sydney'!E1247="","Harga belum tersedia - hubungi konsultan TEG",IF(M1658=2,"Saat ini tidak menerima pendaftaran siswa internasional baru",IF(M1658=1,"Harga perlu dikonfirmasi ke sekolah"&amp;IF(""="","","; "&amp;""),"")))</f>
        <v>Harga perlu dikonfirmasi ke sekolah</v>
      </c>
      <c r="J1658" s="0" t="s">
        <v>4441</v>
      </c>
      <c r="K1658" s="0" t="n">
        <f aca="false">IF(M1658=2,"",IF(ISNUMBER(SEARCH("rata-rata:",'Onshore - Sydney'!M1247)),VALUE(MID('Onshore - Sydney'!M1247,SEARCH("rata-rata:",'Onshore - Sydney'!M1247)+11,FIND(";",'Onshore - Sydney'!M1247&amp;";",SEARCH("rata-rata:",'Onshore - Sydney'!M1247))-SEARCH("rata-rata:",'Onshore - Sydney'!M1247)-11)),IF('Onshore - Sydney'!D1247="Semester",'Onshore - Sydney'!E1247*2,IF('Onshore - Sydney'!D1247="Trimester",'Onshore - Sydney'!E1247*3,IF('Onshore - Sydney'!D1247="Term",'Onshore - Sydney'!E1247*4,IF('Onshore - Sydney'!D1247="Unit",'Onshore - Sydney'!E1247*8,""))))))</f>
        <v>6000</v>
      </c>
      <c r="L1658" s="0" t="n">
        <f aca="false">IF(AND(ISNUMBER('Onshore - Sydney'!E1247),ISNUMBER(K1658),ISNUMBER('Onshore - Sydney'!F1247),ISNUMBER('Onshore - Sydney'!G1247),OR('Onshore - Sydney'!F1247&lt;&gt;0,ISNUMBER(SEARCH("Material 0 terverifikasi",'Onshore - Sydney'!M1247))),OR('Onshore - Sydney'!G1247&lt;&gt;0,ISNUMBER(SEARCH("Enrolment 0 terverifikasi",'Onshore - Sydney'!M1247)))),1,0)</f>
        <v>1</v>
      </c>
      <c r="M1658" s="0" t="n">
        <f aca="false">IF(OR('Onshore - Sydney'!E1247="",ISNUMBER(SEARCH("BSB80120",'Onshore - Sydney'!B1247&amp;'Onshore - Sydney'!M1247)),ISNUMBER(SEARCH("Management (Learning)",'Onshore - Sydney'!B1247))),2,IF(ISNUMBER(SEARCH("CEK:",'Onshore - Sydney'!M1247)),1,0))</f>
        <v>1</v>
      </c>
    </row>
    <row r="1659" customFormat="false" ht="15" hidden="false" customHeight="false" outlineLevel="0" collapsed="false">
      <c r="A1659" s="63" t="s">
        <v>3533</v>
      </c>
      <c r="B1659" s="64" t="s">
        <v>4374</v>
      </c>
      <c r="C1659" s="63" t="s">
        <v>42</v>
      </c>
      <c r="D1659" s="64" t="str">
        <f aca="false">TRIM(LEFT('Onshore - Sydney'!A672,FIND(CHAR(10),'Onshore - Sydney'!A672&amp;CHAR(10))-1))</f>
        <v>New Era Institute</v>
      </c>
      <c r="E1659" s="63" t="str">
        <f aca="false">'Onshore - Sydney'!C672&amp;""</f>
        <v>2 years</v>
      </c>
      <c r="F1659" s="63" t="str">
        <f aca="false">IF('Onshore - Sydney'!D672="","Belum tercatat",'Onshore - Sydney'!D672)</f>
        <v>Term</v>
      </c>
      <c r="G1659" s="65" t="n">
        <f aca="false">IF('Onshore - Sydney'!E672="","-",'Onshore - Sydney'!E672)</f>
        <v>1590</v>
      </c>
      <c r="H1659" s="63" t="n">
        <f aca="false">IF(ISNUMBER(K1659),COUNTIFS($J$6:$J$1916,J1659,$K$6:$K$1916,"&lt;"&amp;K1659)+1,"-")</f>
        <v>12</v>
      </c>
      <c r="I1659" s="64" t="str">
        <f aca="false">IF('Onshore - Sydney'!E672="","Harga belum tersedia - hubungi konsultan TEG",IF(M1659=2,"Saat ini tidak menerima pendaftaran siswa internasional baru",IF(M1659=1,"Harga perlu dikonfirmasi ke sekolah"&amp;IF(""="","","; "&amp;""),"")))</f>
        <v/>
      </c>
      <c r="J1659" s="0" t="s">
        <v>4441</v>
      </c>
      <c r="K1659" s="0" t="n">
        <f aca="false">IF(M1659=2,"",IF(ISNUMBER(SEARCH("rata-rata:",'Onshore - Sydney'!M672)),VALUE(MID('Onshore - Sydney'!M672,SEARCH("rata-rata:",'Onshore - Sydney'!M672)+11,FIND(";",'Onshore - Sydney'!M672&amp;";",SEARCH("rata-rata:",'Onshore - Sydney'!M672))-SEARCH("rata-rata:",'Onshore - Sydney'!M672)-11)),IF('Onshore - Sydney'!D672="Semester",'Onshore - Sydney'!E672*2,IF('Onshore - Sydney'!D672="Trimester",'Onshore - Sydney'!E672*3,IF('Onshore - Sydney'!D672="Term",'Onshore - Sydney'!E672*4,IF('Onshore - Sydney'!D672="Unit",'Onshore - Sydney'!E672*8,""))))))</f>
        <v>6360</v>
      </c>
      <c r="L1659" s="0" t="n">
        <f aca="false">IF(AND(ISNUMBER('Onshore - Sydney'!E672),ISNUMBER(K1659),ISNUMBER('Onshore - Sydney'!F672),ISNUMBER('Onshore - Sydney'!G672),OR('Onshore - Sydney'!F672&lt;&gt;0,ISNUMBER(SEARCH("Material 0 terverifikasi",'Onshore - Sydney'!M672))),OR('Onshore - Sydney'!G672&lt;&gt;0,ISNUMBER(SEARCH("Enrolment 0 terverifikasi",'Onshore - Sydney'!M672)))),1,0)</f>
        <v>1</v>
      </c>
      <c r="M1659" s="0" t="n">
        <f aca="false">IF(OR('Onshore - Sydney'!E672="",ISNUMBER(SEARCH("BSB80120",'Onshore - Sydney'!B672&amp;'Onshore - Sydney'!M672)),ISNUMBER(SEARCH("Management (Learning)",'Onshore - Sydney'!B672))),2,IF(ISNUMBER(SEARCH("CEK:",'Onshore - Sydney'!M672)),1,0))</f>
        <v>0</v>
      </c>
    </row>
    <row r="1660" customFormat="false" ht="15" hidden="false" customHeight="false" outlineLevel="0" collapsed="false">
      <c r="A1660" s="63" t="s">
        <v>3533</v>
      </c>
      <c r="B1660" s="64" t="s">
        <v>4374</v>
      </c>
      <c r="C1660" s="63" t="s">
        <v>42</v>
      </c>
      <c r="D1660" s="64" t="str">
        <f aca="false">TRIM(LEFT('Onshore - Sydney'!A443,FIND(CHAR(10),'Onshore - Sydney'!A443&amp;CHAR(10))-1))</f>
        <v>ECA College</v>
      </c>
      <c r="E1660" s="63" t="str">
        <f aca="false">'Onshore - Sydney'!C446&amp;""</f>
        <v>3 years</v>
      </c>
      <c r="F1660" s="63" t="str">
        <f aca="false">IF('Onshore - Sydney'!D446="","Belum tercatat",'Onshore - Sydney'!D446)</f>
        <v>Term</v>
      </c>
      <c r="G1660" s="65" t="n">
        <f aca="false">IF('Onshore - Sydney'!E446="","-",'Onshore - Sydney'!E446)</f>
        <v>1700</v>
      </c>
      <c r="H1660" s="63" t="n">
        <f aca="false">IF(ISNUMBER(K1660),COUNTIFS($J$6:$J$1916,J1660,$K$6:$K$1916,"&lt;"&amp;K1660)+1,"-")</f>
        <v>13</v>
      </c>
      <c r="I1660" s="64" t="str">
        <f aca="false">IF('Onshore - Sydney'!E446="","Harga belum tersedia - hubungi konsultan TEG",IF(M1660=2,"Saat ini tidak menerima pendaftaran siswa internasional baru",IF(M1660=1,"Harga perlu dikonfirmasi ke sekolah"&amp;IF(""="","","; "&amp;""),"")))</f>
        <v/>
      </c>
      <c r="J1660" s="0" t="s">
        <v>4441</v>
      </c>
      <c r="K1660" s="0" t="n">
        <f aca="false">IF(M1660=2,"",IF(ISNUMBER(SEARCH("rata-rata:",'Onshore - Sydney'!M446)),VALUE(MID('Onshore - Sydney'!M446,SEARCH("rata-rata:",'Onshore - Sydney'!M446)+11,FIND(";",'Onshore - Sydney'!M446&amp;";",SEARCH("rata-rata:",'Onshore - Sydney'!M446))-SEARCH("rata-rata:",'Onshore - Sydney'!M446)-11)),IF('Onshore - Sydney'!D446="Semester",'Onshore - Sydney'!E446*2,IF('Onshore - Sydney'!D446="Trimester",'Onshore - Sydney'!E446*3,IF('Onshore - Sydney'!D446="Term",'Onshore - Sydney'!E446*4,IF('Onshore - Sydney'!D446="Unit",'Onshore - Sydney'!E446*8,""))))))</f>
        <v>6800</v>
      </c>
      <c r="L1660" s="0" t="n">
        <f aca="false">IF(AND(ISNUMBER('Onshore - Sydney'!E446),ISNUMBER(K1660),ISNUMBER('Onshore - Sydney'!F446),ISNUMBER('Onshore - Sydney'!G446),OR('Onshore - Sydney'!F446&lt;&gt;0,ISNUMBER(SEARCH("Material 0 terverifikasi",'Onshore - Sydney'!M446))),OR('Onshore - Sydney'!G446&lt;&gt;0,ISNUMBER(SEARCH("Enrolment 0 terverifikasi",'Onshore - Sydney'!M446)))),1,0)</f>
        <v>0</v>
      </c>
      <c r="M1660" s="0" t="n">
        <f aca="false">IF(OR('Onshore - Sydney'!E446="",ISNUMBER(SEARCH("BSB80120",'Onshore - Sydney'!B446&amp;'Onshore - Sydney'!M446)),ISNUMBER(SEARCH("Management (Learning)",'Onshore - Sydney'!B446))),2,IF(ISNUMBER(SEARCH("CEK:",'Onshore - Sydney'!M446)),1,0))</f>
        <v>0</v>
      </c>
    </row>
    <row r="1661" customFormat="false" ht="15" hidden="false" customHeight="false" outlineLevel="0" collapsed="false">
      <c r="A1661" s="63" t="s">
        <v>3533</v>
      </c>
      <c r="B1661" s="64" t="s">
        <v>4374</v>
      </c>
      <c r="C1661" s="63" t="s">
        <v>42</v>
      </c>
      <c r="D1661" s="64" t="str">
        <f aca="false">TRIM(LEFT('Onshore - Sydney'!A362,FIND(CHAR(10),'Onshore - Sydney'!A362&amp;CHAR(10))-1))</f>
        <v>Australian Workplace Skills Institute (AWS)</v>
      </c>
      <c r="E1661" s="63" t="str">
        <f aca="false">'Onshore - Sydney'!C363&amp;""</f>
        <v>3.5 years</v>
      </c>
      <c r="F1661" s="63" t="str">
        <f aca="false">IF('Onshore - Sydney'!D363="","Belum tercatat",'Onshore - Sydney'!D363)</f>
        <v>Term</v>
      </c>
      <c r="G1661" s="65" t="n">
        <f aca="false">IF('Onshore - Sydney'!E363="","-",'Onshore - Sydney'!E363)</f>
        <v>1750</v>
      </c>
      <c r="H1661" s="63" t="n">
        <f aca="false">IF(ISNUMBER(K1661),COUNTIFS($J$6:$J$1916,J1661,$K$6:$K$1916,"&lt;"&amp;K1661)+1,"-")</f>
        <v>14</v>
      </c>
      <c r="I1661" s="64" t="str">
        <f aca="false">IF('Onshore - Sydney'!E363="","Harga belum tersedia - hubungi konsultan TEG",IF(M1661=2,"Saat ini tidak menerima pendaftaran siswa internasional baru",IF(M1661=1,"Program perlu dikonfirmasi ketersediaannya"&amp;IF(""="","","; "&amp;""),"")))</f>
        <v>Program perlu dikonfirmasi ketersediaannya</v>
      </c>
      <c r="J1661" s="0" t="s">
        <v>4441</v>
      </c>
      <c r="K1661" s="0" t="n">
        <f aca="false">IF(M1661=2,"",IF(ISNUMBER(SEARCH("rata-rata:",'Onshore - Sydney'!M363)),VALUE(MID('Onshore - Sydney'!M363,SEARCH("rata-rata:",'Onshore - Sydney'!M363)+11,FIND(";",'Onshore - Sydney'!M363&amp;";",SEARCH("rata-rata:",'Onshore - Sydney'!M363))-SEARCH("rata-rata:",'Onshore - Sydney'!M363)-11)),IF('Onshore - Sydney'!D363="Semester",'Onshore - Sydney'!E363*2,IF('Onshore - Sydney'!D363="Trimester",'Onshore - Sydney'!E363*3,IF('Onshore - Sydney'!D363="Term",'Onshore - Sydney'!E363*4,IF('Onshore - Sydney'!D363="Unit",'Onshore - Sydney'!E363*8,""))))))</f>
        <v>7000</v>
      </c>
      <c r="L1661" s="0" t="n">
        <f aca="false">IF(AND(ISNUMBER('Onshore - Sydney'!E363),ISNUMBER(K1661),ISNUMBER('Onshore - Sydney'!F363),ISNUMBER('Onshore - Sydney'!G363),OR('Onshore - Sydney'!F363&lt;&gt;0,ISNUMBER(SEARCH("Material 0 terverifikasi",'Onshore - Sydney'!M363))),OR('Onshore - Sydney'!G363&lt;&gt;0,ISNUMBER(SEARCH("Enrolment 0 terverifikasi",'Onshore - Sydney'!M363)))),1,0)</f>
        <v>1</v>
      </c>
      <c r="M1661" s="0" t="n">
        <f aca="false">IF(OR('Onshore - Sydney'!E363="",ISNUMBER(SEARCH("BSB80120",'Onshore - Sydney'!B363&amp;'Onshore - Sydney'!M363)),ISNUMBER(SEARCH("Management (Learning)",'Onshore - Sydney'!B363))),2,IF(ISNUMBER(SEARCH("CEK:",'Onshore - Sydney'!M363)),1,0))</f>
        <v>1</v>
      </c>
    </row>
    <row r="1662" customFormat="false" ht="15" hidden="false" customHeight="false" outlineLevel="0" collapsed="false">
      <c r="A1662" s="63" t="s">
        <v>3533</v>
      </c>
      <c r="B1662" s="64" t="s">
        <v>4374</v>
      </c>
      <c r="C1662" s="63" t="s">
        <v>42</v>
      </c>
      <c r="D1662" s="64" t="str">
        <f aca="false">TRIM(LEFT('Onshore - Sydney'!A728,FIND(CHAR(10),'Onshore - Sydney'!A728&amp;CHAR(10))-1))</f>
        <v>Rosehill College</v>
      </c>
      <c r="E1662" s="63" t="str">
        <f aca="false">'Onshore - Sydney'!C735&amp;""</f>
        <v>3 years</v>
      </c>
      <c r="F1662" s="63" t="str">
        <f aca="false">IF('Onshore - Sydney'!D735="","Belum tercatat",'Onshore - Sydney'!D735)</f>
        <v>Term</v>
      </c>
      <c r="G1662" s="65" t="n">
        <f aca="false">IF('Onshore - Sydney'!E735="","-",'Onshore - Sydney'!E735)</f>
        <v>1750</v>
      </c>
      <c r="H1662" s="63" t="n">
        <f aca="false">IF(ISNUMBER(K1662),COUNTIFS($J$6:$J$1916,J1662,$K$6:$K$1916,"&lt;"&amp;K1662)+1,"-")</f>
        <v>14</v>
      </c>
      <c r="I1662" s="64" t="str">
        <f aca="false">IF('Onshore - Sydney'!E735="","Harga belum tersedia - hubungi konsultan TEG",IF(M1662=2,"Saat ini tidak menerima pendaftaran siswa internasional baru",IF(M1662=1,"Harga perlu dikonfirmasi ke sekolah"&amp;IF(""="","","; "&amp;""),"")))</f>
        <v/>
      </c>
      <c r="J1662" s="0" t="s">
        <v>4441</v>
      </c>
      <c r="K1662" s="0" t="n">
        <f aca="false">IF(M1662=2,"",IF(ISNUMBER(SEARCH("rata-rata:",'Onshore - Sydney'!M735)),VALUE(MID('Onshore - Sydney'!M735,SEARCH("rata-rata:",'Onshore - Sydney'!M735)+11,FIND(";",'Onshore - Sydney'!M735&amp;";",SEARCH("rata-rata:",'Onshore - Sydney'!M735))-SEARCH("rata-rata:",'Onshore - Sydney'!M735)-11)),IF('Onshore - Sydney'!D735="Semester",'Onshore - Sydney'!E735*2,IF('Onshore - Sydney'!D735="Trimester",'Onshore - Sydney'!E735*3,IF('Onshore - Sydney'!D735="Term",'Onshore - Sydney'!E735*4,IF('Onshore - Sydney'!D735="Unit",'Onshore - Sydney'!E735*8,""))))))</f>
        <v>7000</v>
      </c>
      <c r="L1662" s="0" t="n">
        <f aca="false">IF(AND(ISNUMBER('Onshore - Sydney'!E735),ISNUMBER(K1662),ISNUMBER('Onshore - Sydney'!F735),ISNUMBER('Onshore - Sydney'!G735),OR('Onshore - Sydney'!F735&lt;&gt;0,ISNUMBER(SEARCH("Material 0 terverifikasi",'Onshore - Sydney'!M735))),OR('Onshore - Sydney'!G735&lt;&gt;0,ISNUMBER(SEARCH("Enrolment 0 terverifikasi",'Onshore - Sydney'!M735)))),1,0)</f>
        <v>1</v>
      </c>
      <c r="M1662" s="0" t="n">
        <f aca="false">IF(OR('Onshore - Sydney'!E735="",ISNUMBER(SEARCH("BSB80120",'Onshore - Sydney'!B735&amp;'Onshore - Sydney'!M735)),ISNUMBER(SEARCH("Management (Learning)",'Onshore - Sydney'!B735))),2,IF(ISNUMBER(SEARCH("CEK:",'Onshore - Sydney'!M735)),1,0))</f>
        <v>0</v>
      </c>
    </row>
    <row r="1663" customFormat="false" ht="28.35" hidden="false" customHeight="false" outlineLevel="0" collapsed="false">
      <c r="A1663" s="63" t="s">
        <v>3533</v>
      </c>
      <c r="B1663" s="64" t="s">
        <v>4374</v>
      </c>
      <c r="C1663" s="63" t="s">
        <v>42</v>
      </c>
      <c r="D1663" s="64" t="str">
        <f aca="false">TRIM(LEFT('Onshore - Sydney'!A268,FIND(CHAR(10),'Onshore - Sydney'!A268&amp;CHAR(10))-1))</f>
        <v>Australian College of Business Intelligence (ACBI)</v>
      </c>
      <c r="E1663" s="63" t="str">
        <f aca="false">'Onshore - Sydney'!C277&amp;""</f>
        <v>104 weeks (8 terms)</v>
      </c>
      <c r="F1663" s="63" t="str">
        <f aca="false">IF('Onshore - Sydney'!D277="","Belum tercatat",'Onshore - Sydney'!D277)</f>
        <v>Term</v>
      </c>
      <c r="G1663" s="65" t="n">
        <f aca="false">IF('Onshore - Sydney'!E277="","-",'Onshore - Sydney'!E277)</f>
        <v>1890</v>
      </c>
      <c r="H1663" s="63" t="n">
        <f aca="false">IF(ISNUMBER(K1663),COUNTIFS($J$6:$J$1916,J1663,$K$6:$K$1916,"&lt;"&amp;K1663)+1,"-")</f>
        <v>16</v>
      </c>
      <c r="I1663" s="64" t="str">
        <f aca="false">IF('Onshore - Sydney'!E277="","Harga belum tersedia - hubungi konsultan TEG",IF(M1663=2,"Saat ini tidak menerima pendaftaran siswa internasional baru",IF(M1663=1,"Harga perlu dikonfirmasi ke sekolah"&amp;IF(""="","","; "&amp;""),"")))</f>
        <v/>
      </c>
      <c r="J1663" s="0" t="s">
        <v>4441</v>
      </c>
      <c r="K1663" s="0" t="n">
        <f aca="false">IF(M1663=2,"",IF(ISNUMBER(SEARCH("rata-rata:",'Onshore - Sydney'!M277)),VALUE(MID('Onshore - Sydney'!M277,SEARCH("rata-rata:",'Onshore - Sydney'!M277)+11,FIND(";",'Onshore - Sydney'!M277&amp;";",SEARCH("rata-rata:",'Onshore - Sydney'!M277))-SEARCH("rata-rata:",'Onshore - Sydney'!M277)-11)),IF('Onshore - Sydney'!D277="Semester",'Onshore - Sydney'!E277*2,IF('Onshore - Sydney'!D277="Trimester",'Onshore - Sydney'!E277*3,IF('Onshore - Sydney'!D277="Term",'Onshore - Sydney'!E277*4,IF('Onshore - Sydney'!D277="Unit",'Onshore - Sydney'!E277*8,""))))))</f>
        <v>7560</v>
      </c>
      <c r="L1663" s="0" t="n">
        <f aca="false">IF(AND(ISNUMBER('Onshore - Sydney'!E277),ISNUMBER(K1663),ISNUMBER('Onshore - Sydney'!F277),ISNUMBER('Onshore - Sydney'!G277),OR('Onshore - Sydney'!F277&lt;&gt;0,ISNUMBER(SEARCH("Material 0 terverifikasi",'Onshore - Sydney'!M277))),OR('Onshore - Sydney'!G277&lt;&gt;0,ISNUMBER(SEARCH("Enrolment 0 terverifikasi",'Onshore - Sydney'!M277)))),1,0)</f>
        <v>1</v>
      </c>
      <c r="M1663" s="0" t="n">
        <f aca="false">IF(OR('Onshore - Sydney'!E277="",ISNUMBER(SEARCH("BSB80120",'Onshore - Sydney'!B277&amp;'Onshore - Sydney'!M277)),ISNUMBER(SEARCH("Management (Learning)",'Onshore - Sydney'!B277))),2,IF(ISNUMBER(SEARCH("CEK:",'Onshore - Sydney'!M277)),1,0))</f>
        <v>0</v>
      </c>
    </row>
    <row r="1664" customFormat="false" ht="15" hidden="false" customHeight="false" outlineLevel="0" collapsed="false">
      <c r="A1664" s="63" t="s">
        <v>3533</v>
      </c>
      <c r="B1664" s="64" t="s">
        <v>4374</v>
      </c>
      <c r="C1664" s="63" t="s">
        <v>42</v>
      </c>
      <c r="D1664" s="64" t="str">
        <f aca="false">TRIM(LEFT('Onshore - Sydney'!A472,FIND(CHAR(10),'Onshore - Sydney'!A472&amp;CHAR(10))-1))</f>
        <v>George Brown College</v>
      </c>
      <c r="E1664" s="63" t="str">
        <f aca="false">'Onshore - Sydney'!C479&amp;""</f>
        <v>2 years</v>
      </c>
      <c r="F1664" s="63" t="str">
        <f aca="false">IF('Onshore - Sydney'!D479="","Belum tercatat",'Onshore - Sydney'!D479)</f>
        <v>Term</v>
      </c>
      <c r="G1664" s="65" t="n">
        <f aca="false">IF('Onshore - Sydney'!E479="","-",'Onshore - Sydney'!E479)</f>
        <v>1900</v>
      </c>
      <c r="H1664" s="63" t="n">
        <f aca="false">IF(ISNUMBER(K1664),COUNTIFS($J$6:$J$1916,J1664,$K$6:$K$1916,"&lt;"&amp;K1664)+1,"-")</f>
        <v>17</v>
      </c>
      <c r="I1664" s="64" t="str">
        <f aca="false">IF('Onshore - Sydney'!E479="","Harga belum tersedia - hubungi konsultan TEG",IF(M1664=2,"Saat ini tidak menerima pendaftaran siswa internasional baru",IF(M1664=1,"Harga perlu dikonfirmasi ke sekolah"&amp;IF(""="","","; "&amp;""),"")))</f>
        <v/>
      </c>
      <c r="J1664" s="0" t="s">
        <v>4441</v>
      </c>
      <c r="K1664" s="0" t="n">
        <f aca="false">IF(M1664=2,"",IF(ISNUMBER(SEARCH("rata-rata:",'Onshore - Sydney'!M479)),VALUE(MID('Onshore - Sydney'!M479,SEARCH("rata-rata:",'Onshore - Sydney'!M479)+11,FIND(";",'Onshore - Sydney'!M479&amp;";",SEARCH("rata-rata:",'Onshore - Sydney'!M479))-SEARCH("rata-rata:",'Onshore - Sydney'!M479)-11)),IF('Onshore - Sydney'!D479="Semester",'Onshore - Sydney'!E479*2,IF('Onshore - Sydney'!D479="Trimester",'Onshore - Sydney'!E479*3,IF('Onshore - Sydney'!D479="Term",'Onshore - Sydney'!E479*4,IF('Onshore - Sydney'!D479="Unit",'Onshore - Sydney'!E479*8,""))))))</f>
        <v>7600</v>
      </c>
      <c r="L1664" s="0" t="n">
        <f aca="false">IF(AND(ISNUMBER('Onshore - Sydney'!E479),ISNUMBER(K1664),ISNUMBER('Onshore - Sydney'!F479),ISNUMBER('Onshore - Sydney'!G479),OR('Onshore - Sydney'!F479&lt;&gt;0,ISNUMBER(SEARCH("Material 0 terverifikasi",'Onshore - Sydney'!M479))),OR('Onshore - Sydney'!G479&lt;&gt;0,ISNUMBER(SEARCH("Enrolment 0 terverifikasi",'Onshore - Sydney'!M479)))),1,0)</f>
        <v>1</v>
      </c>
      <c r="M1664" s="0" t="n">
        <f aca="false">IF(OR('Onshore - Sydney'!E479="",ISNUMBER(SEARCH("BSB80120",'Onshore - Sydney'!B479&amp;'Onshore - Sydney'!M479)),ISNUMBER(SEARCH("Management (Learning)",'Onshore - Sydney'!B479))),2,IF(ISNUMBER(SEARCH("CEK:",'Onshore - Sydney'!M479)),1,0))</f>
        <v>0</v>
      </c>
    </row>
    <row r="1665" customFormat="false" ht="15" hidden="false" customHeight="false" outlineLevel="0" collapsed="false">
      <c r="A1665" s="63" t="s">
        <v>3533</v>
      </c>
      <c r="B1665" s="64" t="s">
        <v>4374</v>
      </c>
      <c r="C1665" s="63" t="s">
        <v>42</v>
      </c>
      <c r="D1665" s="64" t="str">
        <f aca="false">TRIM(LEFT('Onshore - Sydney'!A35,FIND(CHAR(10),'Onshore - Sydney'!A35&amp;CHAR(10))-1))</f>
        <v>Academia of Trade</v>
      </c>
      <c r="E1665" s="63" t="str">
        <f aca="false">'Onshore - Sydney'!C48&amp;""</f>
        <v>3 years</v>
      </c>
      <c r="F1665" s="63" t="str">
        <f aca="false">IF('Onshore - Sydney'!D48="","Belum tercatat",'Onshore - Sydney'!D48)</f>
        <v>Term</v>
      </c>
      <c r="G1665" s="65" t="n">
        <f aca="false">IF('Onshore - Sydney'!E48="","-",'Onshore - Sydney'!E48)</f>
        <v>2000</v>
      </c>
      <c r="H1665" s="63" t="n">
        <f aca="false">IF(ISNUMBER(K1665),COUNTIFS($J$6:$J$1916,J1665,$K$6:$K$1916,"&lt;"&amp;K1665)+1,"-")</f>
        <v>18</v>
      </c>
      <c r="I1665" s="64" t="str">
        <f aca="false">IF('Onshore - Sydney'!E48="","Harga belum tersedia - hubungi konsultan TEG",IF(M1665=2,"Saat ini tidak menerima pendaftaran siswa internasional baru",IF(M1665=1,"Harga perlu dikonfirmasi ke sekolah"&amp;IF(""="","","; "&amp;""),"")))</f>
        <v/>
      </c>
      <c r="J1665" s="0" t="s">
        <v>4441</v>
      </c>
      <c r="K1665" s="0" t="n">
        <f aca="false">IF(M1665=2,"",IF(ISNUMBER(SEARCH("rata-rata:",'Onshore - Sydney'!M48)),VALUE(MID('Onshore - Sydney'!M48,SEARCH("rata-rata:",'Onshore - Sydney'!M48)+11,FIND(";",'Onshore - Sydney'!M48&amp;";",SEARCH("rata-rata:",'Onshore - Sydney'!M48))-SEARCH("rata-rata:",'Onshore - Sydney'!M48)-11)),IF('Onshore - Sydney'!D48="Semester",'Onshore - Sydney'!E48*2,IF('Onshore - Sydney'!D48="Trimester",'Onshore - Sydney'!E48*3,IF('Onshore - Sydney'!D48="Term",'Onshore - Sydney'!E48*4,IF('Onshore - Sydney'!D48="Unit",'Onshore - Sydney'!E48*8,""))))))</f>
        <v>8000</v>
      </c>
      <c r="L1665" s="0" t="n">
        <f aca="false">IF(AND(ISNUMBER('Onshore - Sydney'!E48),ISNUMBER(K1665),ISNUMBER('Onshore - Sydney'!F48),ISNUMBER('Onshore - Sydney'!G48),OR('Onshore - Sydney'!F48&lt;&gt;0,ISNUMBER(SEARCH("Material 0 terverifikasi",'Onshore - Sydney'!M48))),OR('Onshore - Sydney'!G48&lt;&gt;0,ISNUMBER(SEARCH("Enrolment 0 terverifikasi",'Onshore - Sydney'!M48)))),1,0)</f>
        <v>1</v>
      </c>
      <c r="M1665" s="0" t="n">
        <f aca="false">IF(OR('Onshore - Sydney'!E48="",ISNUMBER(SEARCH("BSB80120",'Onshore - Sydney'!B48&amp;'Onshore - Sydney'!M48)),ISNUMBER(SEARCH("Management (Learning)",'Onshore - Sydney'!B48))),2,IF(ISNUMBER(SEARCH("CEK:",'Onshore - Sydney'!M48)),1,0))</f>
        <v>0</v>
      </c>
    </row>
    <row r="1666" customFormat="false" ht="28.35" hidden="false" customHeight="false" outlineLevel="0" collapsed="false">
      <c r="A1666" s="63" t="s">
        <v>3533</v>
      </c>
      <c r="B1666" s="64" t="s">
        <v>4374</v>
      </c>
      <c r="C1666" s="63" t="s">
        <v>42</v>
      </c>
      <c r="D1666" s="64" t="str">
        <f aca="false">TRIM(LEFT('Onshore - Sydney'!A330,FIND(CHAR(10),'Onshore - Sydney'!A330&amp;CHAR(10))-1))</f>
        <v>Australian International College of Skills &amp; Education (AICSE)</v>
      </c>
      <c r="E1666" s="63" t="str">
        <f aca="false">'Onshore - Sydney'!C344&amp;""</f>
        <v>3 years</v>
      </c>
      <c r="F1666" s="63" t="str">
        <f aca="false">IF('Onshore - Sydney'!D344="","Belum tercatat",'Onshore - Sydney'!D344)</f>
        <v>Term</v>
      </c>
      <c r="G1666" s="65" t="n">
        <f aca="false">IF('Onshore - Sydney'!E344="","-",'Onshore - Sydney'!E344)</f>
        <v>2000</v>
      </c>
      <c r="H1666" s="63" t="n">
        <f aca="false">IF(ISNUMBER(K1666),COUNTIFS($J$6:$J$1916,J1666,$K$6:$K$1916,"&lt;"&amp;K1666)+1,"-")</f>
        <v>18</v>
      </c>
      <c r="I1666" s="64" t="str">
        <f aca="false">IF('Onshore - Sydney'!E344="","Harga belum tersedia - hubungi konsultan TEG",IF(M1666=2,"Saat ini tidak menerima pendaftaran siswa internasional baru",IF(M1666=1,"Harga perlu dikonfirmasi ke sekolah"&amp;IF(""="","","; "&amp;""),"")))</f>
        <v/>
      </c>
      <c r="J1666" s="0" t="s">
        <v>4441</v>
      </c>
      <c r="K1666" s="0" t="n">
        <f aca="false">IF(M1666=2,"",IF(ISNUMBER(SEARCH("rata-rata:",'Onshore - Sydney'!M344)),VALUE(MID('Onshore - Sydney'!M344,SEARCH("rata-rata:",'Onshore - Sydney'!M344)+11,FIND(";",'Onshore - Sydney'!M344&amp;";",SEARCH("rata-rata:",'Onshore - Sydney'!M344))-SEARCH("rata-rata:",'Onshore - Sydney'!M344)-11)),IF('Onshore - Sydney'!D344="Semester",'Onshore - Sydney'!E344*2,IF('Onshore - Sydney'!D344="Trimester",'Onshore - Sydney'!E344*3,IF('Onshore - Sydney'!D344="Term",'Onshore - Sydney'!E344*4,IF('Onshore - Sydney'!D344="Unit",'Onshore - Sydney'!E344*8,""))))))</f>
        <v>8000</v>
      </c>
      <c r="L1666" s="0" t="n">
        <f aca="false">IF(AND(ISNUMBER('Onshore - Sydney'!E344),ISNUMBER(K1666),ISNUMBER('Onshore - Sydney'!F344),ISNUMBER('Onshore - Sydney'!G344),OR('Onshore - Sydney'!F344&lt;&gt;0,ISNUMBER(SEARCH("Material 0 terverifikasi",'Onshore - Sydney'!M344))),OR('Onshore - Sydney'!G344&lt;&gt;0,ISNUMBER(SEARCH("Enrolment 0 terverifikasi",'Onshore - Sydney'!M344)))),1,0)</f>
        <v>1</v>
      </c>
      <c r="M1666" s="0" t="n">
        <f aca="false">IF(OR('Onshore - Sydney'!E344="",ISNUMBER(SEARCH("BSB80120",'Onshore - Sydney'!B344&amp;'Onshore - Sydney'!M344)),ISNUMBER(SEARCH("Management (Learning)",'Onshore - Sydney'!B344))),2,IF(ISNUMBER(SEARCH("CEK:",'Onshore - Sydney'!M344)),1,0))</f>
        <v>0</v>
      </c>
    </row>
    <row r="1667" customFormat="false" ht="15" hidden="false" customHeight="false" outlineLevel="0" collapsed="false">
      <c r="A1667" s="63" t="s">
        <v>3533</v>
      </c>
      <c r="B1667" s="64" t="s">
        <v>4374</v>
      </c>
      <c r="C1667" s="63" t="s">
        <v>42</v>
      </c>
      <c r="D1667" s="64" t="str">
        <f aca="false">TRIM(LEFT('Onshore - Sydney'!A364,FIND(CHAR(10),'Onshore - Sydney'!A364&amp;CHAR(10))-1))</f>
        <v>Be Qualified</v>
      </c>
      <c r="E1667" s="63" t="str">
        <f aca="false">'Onshore - Sydney'!C371&amp;""</f>
        <v>2 years</v>
      </c>
      <c r="F1667" s="63" t="str">
        <f aca="false">IF('Onshore - Sydney'!D371="","Belum tercatat",'Onshore - Sydney'!D371)</f>
        <v>Term</v>
      </c>
      <c r="G1667" s="65" t="n">
        <f aca="false">IF('Onshore - Sydney'!E371="","-",'Onshore - Sydney'!E371)</f>
        <v>2000</v>
      </c>
      <c r="H1667" s="63" t="n">
        <f aca="false">IF(ISNUMBER(K1667),COUNTIFS($J$6:$J$1916,J1667,$K$6:$K$1916,"&lt;"&amp;K1667)+1,"-")</f>
        <v>18</v>
      </c>
      <c r="I1667" s="64" t="str">
        <f aca="false">IF('Onshore - Sydney'!E371="","Harga belum tersedia - hubungi konsultan TEG",IF(M1667=2,"Saat ini tidak menerima pendaftaran siswa internasional baru",IF(M1667=1,"Harga perlu dikonfirmasi ke sekolah"&amp;IF(""="","","; "&amp;""),"")))</f>
        <v/>
      </c>
      <c r="J1667" s="0" t="s">
        <v>4441</v>
      </c>
      <c r="K1667" s="0" t="n">
        <f aca="false">IF(M1667=2,"",IF(ISNUMBER(SEARCH("rata-rata:",'Onshore - Sydney'!M371)),VALUE(MID('Onshore - Sydney'!M371,SEARCH("rata-rata:",'Onshore - Sydney'!M371)+11,FIND(";",'Onshore - Sydney'!M371&amp;";",SEARCH("rata-rata:",'Onshore - Sydney'!M371))-SEARCH("rata-rata:",'Onshore - Sydney'!M371)-11)),IF('Onshore - Sydney'!D371="Semester",'Onshore - Sydney'!E371*2,IF('Onshore - Sydney'!D371="Trimester",'Onshore - Sydney'!E371*3,IF('Onshore - Sydney'!D371="Term",'Onshore - Sydney'!E371*4,IF('Onshore - Sydney'!D371="Unit",'Onshore - Sydney'!E371*8,""))))))</f>
        <v>8000</v>
      </c>
      <c r="L1667" s="0" t="n">
        <f aca="false">IF(AND(ISNUMBER('Onshore - Sydney'!E371),ISNUMBER(K1667),ISNUMBER('Onshore - Sydney'!F371),ISNUMBER('Onshore - Sydney'!G371),OR('Onshore - Sydney'!F371&lt;&gt;0,ISNUMBER(SEARCH("Material 0 terverifikasi",'Onshore - Sydney'!M371))),OR('Onshore - Sydney'!G371&lt;&gt;0,ISNUMBER(SEARCH("Enrolment 0 terverifikasi",'Onshore - Sydney'!M371)))),1,0)</f>
        <v>0</v>
      </c>
      <c r="M1667" s="0" t="n">
        <f aca="false">IF(OR('Onshore - Sydney'!E371="",ISNUMBER(SEARCH("BSB80120",'Onshore - Sydney'!B371&amp;'Onshore - Sydney'!M371)),ISNUMBER(SEARCH("Management (Learning)",'Onshore - Sydney'!B371))),2,IF(ISNUMBER(SEARCH("CEK:",'Onshore - Sydney'!M371)),1,0))</f>
        <v>0</v>
      </c>
    </row>
    <row r="1668" customFormat="false" ht="15" hidden="false" customHeight="false" outlineLevel="0" collapsed="false">
      <c r="A1668" s="63" t="s">
        <v>3533</v>
      </c>
      <c r="B1668" s="64" t="s">
        <v>4374</v>
      </c>
      <c r="C1668" s="63" t="s">
        <v>42</v>
      </c>
      <c r="D1668" s="64" t="str">
        <f aca="false">TRIM(LEFT('Onshore - Sydney'!A517,FIND(CHAR(10),'Onshore - Sydney'!A517&amp;CHAR(10))-1))</f>
        <v>Harbourside Institute of Australia (HIA)</v>
      </c>
      <c r="E1668" s="63" t="str">
        <f aca="false">'Onshore - Sydney'!C523&amp;""</f>
        <v>2 years</v>
      </c>
      <c r="F1668" s="63" t="str">
        <f aca="false">IF('Onshore - Sydney'!D523="","Belum tercatat",'Onshore - Sydney'!D523)</f>
        <v>Term</v>
      </c>
      <c r="G1668" s="65" t="n">
        <f aca="false">IF('Onshore - Sydney'!E523="","-",'Onshore - Sydney'!E523)</f>
        <v>2000</v>
      </c>
      <c r="H1668" s="63" t="n">
        <f aca="false">IF(ISNUMBER(K1668),COUNTIFS($J$6:$J$1916,J1668,$K$6:$K$1916,"&lt;"&amp;K1668)+1,"-")</f>
        <v>18</v>
      </c>
      <c r="I1668" s="64" t="str">
        <f aca="false">IF('Onshore - Sydney'!E523="","Harga belum tersedia - hubungi konsultan TEG",IF(M1668=2,"Saat ini tidak menerima pendaftaran siswa internasional baru",IF(M1668=1,"Harga perlu dikonfirmasi ke sekolah"&amp;IF(""="","","; "&amp;""),"")))</f>
        <v>Harga perlu dikonfirmasi ke sekolah</v>
      </c>
      <c r="J1668" s="0" t="s">
        <v>4441</v>
      </c>
      <c r="K1668" s="0" t="n">
        <f aca="false">IF(M1668=2,"",IF(ISNUMBER(SEARCH("rata-rata:",'Onshore - Sydney'!M523)),VALUE(MID('Onshore - Sydney'!M523,SEARCH("rata-rata:",'Onshore - Sydney'!M523)+11,FIND(";",'Onshore - Sydney'!M523&amp;";",SEARCH("rata-rata:",'Onshore - Sydney'!M523))-SEARCH("rata-rata:",'Onshore - Sydney'!M523)-11)),IF('Onshore - Sydney'!D523="Semester",'Onshore - Sydney'!E523*2,IF('Onshore - Sydney'!D523="Trimester",'Onshore - Sydney'!E523*3,IF('Onshore - Sydney'!D523="Term",'Onshore - Sydney'!E523*4,IF('Onshore - Sydney'!D523="Unit",'Onshore - Sydney'!E523*8,""))))))</f>
        <v>8000</v>
      </c>
      <c r="L1668" s="0" t="n">
        <f aca="false">IF(AND(ISNUMBER('Onshore - Sydney'!E523),ISNUMBER(K1668),ISNUMBER('Onshore - Sydney'!F523),ISNUMBER('Onshore - Sydney'!G523),OR('Onshore - Sydney'!F523&lt;&gt;0,ISNUMBER(SEARCH("Material 0 terverifikasi",'Onshore - Sydney'!M523))),OR('Onshore - Sydney'!G523&lt;&gt;0,ISNUMBER(SEARCH("Enrolment 0 terverifikasi",'Onshore - Sydney'!M523)))),1,0)</f>
        <v>1</v>
      </c>
      <c r="M1668" s="0" t="n">
        <f aca="false">IF(OR('Onshore - Sydney'!E523="",ISNUMBER(SEARCH("BSB80120",'Onshore - Sydney'!B523&amp;'Onshore - Sydney'!M523)),ISNUMBER(SEARCH("Management (Learning)",'Onshore - Sydney'!B523))),2,IF(ISNUMBER(SEARCH("CEK:",'Onshore - Sydney'!M523)),1,0))</f>
        <v>1</v>
      </c>
    </row>
    <row r="1669" customFormat="false" ht="15" hidden="false" customHeight="false" outlineLevel="0" collapsed="false">
      <c r="A1669" s="63" t="s">
        <v>3533</v>
      </c>
      <c r="B1669" s="64" t="s">
        <v>4374</v>
      </c>
      <c r="C1669" s="63" t="s">
        <v>42</v>
      </c>
      <c r="D1669" s="64" t="str">
        <f aca="false">TRIM(LEFT('Onshore - Sydney'!A646,FIND(CHAR(10),'Onshore - Sydney'!A646&amp;CHAR(10))-1))</f>
        <v>Magill College Sydney</v>
      </c>
      <c r="E1669" s="63" t="str">
        <f aca="false">'Onshore - Sydney'!C652&amp;""</f>
        <v>2,5 years</v>
      </c>
      <c r="F1669" s="63" t="str">
        <f aca="false">IF('Onshore - Sydney'!D652="","Belum tercatat",'Onshore - Sydney'!D652)</f>
        <v>Term</v>
      </c>
      <c r="G1669" s="65" t="n">
        <f aca="false">IF('Onshore - Sydney'!E652="","-",'Onshore - Sydney'!E652)</f>
        <v>2000</v>
      </c>
      <c r="H1669" s="63" t="n">
        <f aca="false">IF(ISNUMBER(K1669),COUNTIFS($J$6:$J$1916,J1669,$K$6:$K$1916,"&lt;"&amp;K1669)+1,"-")</f>
        <v>18</v>
      </c>
      <c r="I1669" s="64" t="str">
        <f aca="false">IF('Onshore - Sydney'!E652="","Harga belum tersedia - hubungi konsultan TEG",IF(M1669=2,"Saat ini tidak menerima pendaftaran siswa internasional baru",IF(M1669=1,"Harga perlu dikonfirmasi ke sekolah"&amp;IF(""="","","; "&amp;""),"")))</f>
        <v>Harga perlu dikonfirmasi ke sekolah</v>
      </c>
      <c r="J1669" s="0" t="s">
        <v>4441</v>
      </c>
      <c r="K1669" s="0" t="n">
        <f aca="false">IF(M1669=2,"",IF(ISNUMBER(SEARCH("rata-rata:",'Onshore - Sydney'!M652)),VALUE(MID('Onshore - Sydney'!M652,SEARCH("rata-rata:",'Onshore - Sydney'!M652)+11,FIND(";",'Onshore - Sydney'!M652&amp;";",SEARCH("rata-rata:",'Onshore - Sydney'!M652))-SEARCH("rata-rata:",'Onshore - Sydney'!M652)-11)),IF('Onshore - Sydney'!D652="Semester",'Onshore - Sydney'!E652*2,IF('Onshore - Sydney'!D652="Trimester",'Onshore - Sydney'!E652*3,IF('Onshore - Sydney'!D652="Term",'Onshore - Sydney'!E652*4,IF('Onshore - Sydney'!D652="Unit",'Onshore - Sydney'!E652*8,""))))))</f>
        <v>8000</v>
      </c>
      <c r="L1669" s="0" t="n">
        <f aca="false">IF(AND(ISNUMBER('Onshore - Sydney'!E652),ISNUMBER(K1669),ISNUMBER('Onshore - Sydney'!F652),ISNUMBER('Onshore - Sydney'!G652),OR('Onshore - Sydney'!F652&lt;&gt;0,ISNUMBER(SEARCH("Material 0 terverifikasi",'Onshore - Sydney'!M652))),OR('Onshore - Sydney'!G652&lt;&gt;0,ISNUMBER(SEARCH("Enrolment 0 terverifikasi",'Onshore - Sydney'!M652)))),1,0)</f>
        <v>1</v>
      </c>
      <c r="M1669" s="0" t="n">
        <f aca="false">IF(OR('Onshore - Sydney'!E652="",ISNUMBER(SEARCH("BSB80120",'Onshore - Sydney'!B652&amp;'Onshore - Sydney'!M652)),ISNUMBER(SEARCH("Management (Learning)",'Onshore - Sydney'!B652))),2,IF(ISNUMBER(SEARCH("CEK:",'Onshore - Sydney'!M652)),1,0))</f>
        <v>1</v>
      </c>
    </row>
    <row r="1670" customFormat="false" ht="15" hidden="false" customHeight="false" outlineLevel="0" collapsed="false">
      <c r="A1670" s="63" t="s">
        <v>3533</v>
      </c>
      <c r="B1670" s="64" t="s">
        <v>4374</v>
      </c>
      <c r="C1670" s="63" t="s">
        <v>42</v>
      </c>
      <c r="D1670" s="64" t="str">
        <f aca="false">TRIM(LEFT('Onshore - Sydney'!A439,FIND(CHAR(10),'Onshore - Sydney'!A439&amp;CHAR(10))-1))</f>
        <v>Concord Institute</v>
      </c>
      <c r="E1670" s="63" t="str">
        <f aca="false">'Onshore - Sydney'!C442&amp;""</f>
        <v>2 years</v>
      </c>
      <c r="F1670" s="63" t="str">
        <f aca="false">IF('Onshore - Sydney'!D442="","Belum tercatat",'Onshore - Sydney'!D442)</f>
        <v>Term</v>
      </c>
      <c r="G1670" s="65" t="n">
        <f aca="false">IF('Onshore - Sydney'!E442="","-",'Onshore - Sydney'!E442)</f>
        <v>2200</v>
      </c>
      <c r="H1670" s="63" t="n">
        <f aca="false">IF(ISNUMBER(K1670),COUNTIFS($J$6:$J$1916,J1670,$K$6:$K$1916,"&lt;"&amp;K1670)+1,"-")</f>
        <v>23</v>
      </c>
      <c r="I1670" s="64" t="str">
        <f aca="false">IF('Onshore - Sydney'!E442="","Harga belum tersedia - hubungi konsultan TEG",IF(M1670=2,"Saat ini tidak menerima pendaftaran siswa internasional baru",IF(M1670=1,"Program perlu dikonfirmasi ketersediaannya"&amp;IF(""="","","; "&amp;""),"")))</f>
        <v>Program perlu dikonfirmasi ketersediaannya</v>
      </c>
      <c r="J1670" s="0" t="s">
        <v>4441</v>
      </c>
      <c r="K1670" s="0" t="n">
        <f aca="false">IF(M1670=2,"",IF(ISNUMBER(SEARCH("rata-rata:",'Onshore - Sydney'!M442)),VALUE(MID('Onshore - Sydney'!M442,SEARCH("rata-rata:",'Onshore - Sydney'!M442)+11,FIND(";",'Onshore - Sydney'!M442&amp;";",SEARCH("rata-rata:",'Onshore - Sydney'!M442))-SEARCH("rata-rata:",'Onshore - Sydney'!M442)-11)),IF('Onshore - Sydney'!D442="Semester",'Onshore - Sydney'!E442*2,IF('Onshore - Sydney'!D442="Trimester",'Onshore - Sydney'!E442*3,IF('Onshore - Sydney'!D442="Term",'Onshore - Sydney'!E442*4,IF('Onshore - Sydney'!D442="Unit",'Onshore - Sydney'!E442*8,""))))))</f>
        <v>8800</v>
      </c>
      <c r="L1670" s="0" t="n">
        <f aca="false">IF(AND(ISNUMBER('Onshore - Sydney'!E442),ISNUMBER(K1670),ISNUMBER('Onshore - Sydney'!F442),ISNUMBER('Onshore - Sydney'!G442),OR('Onshore - Sydney'!F442&lt;&gt;0,ISNUMBER(SEARCH("Material 0 terverifikasi",'Onshore - Sydney'!M442))),OR('Onshore - Sydney'!G442&lt;&gt;0,ISNUMBER(SEARCH("Enrolment 0 terverifikasi",'Onshore - Sydney'!M442)))),1,0)</f>
        <v>1</v>
      </c>
      <c r="M1670" s="0" t="n">
        <f aca="false">IF(OR('Onshore - Sydney'!E442="",ISNUMBER(SEARCH("BSB80120",'Onshore - Sydney'!B442&amp;'Onshore - Sydney'!M442)),ISNUMBER(SEARCH("Management (Learning)",'Onshore - Sydney'!B442))),2,IF(ISNUMBER(SEARCH("CEK:",'Onshore - Sydney'!M442)),1,0))</f>
        <v>1</v>
      </c>
    </row>
    <row r="1671" customFormat="false" ht="15" hidden="false" customHeight="false" outlineLevel="0" collapsed="false">
      <c r="A1671" s="63" t="s">
        <v>3533</v>
      </c>
      <c r="B1671" s="64" t="s">
        <v>4374</v>
      </c>
      <c r="C1671" s="63" t="s">
        <v>42</v>
      </c>
      <c r="D1671" s="64" t="str">
        <f aca="false">TRIM(LEFT('Onshore - Sydney'!A778,FIND(CHAR(10),'Onshore - Sydney'!A778&amp;CHAR(10))-1))</f>
        <v>Sydney Metro College (SMC)</v>
      </c>
      <c r="E1671" s="63" t="str">
        <f aca="false">'Onshore - Sydney'!C783&amp;""</f>
        <v>2 years</v>
      </c>
      <c r="F1671" s="63" t="str">
        <f aca="false">IF('Onshore - Sydney'!D783="","Belum tercatat",'Onshore - Sydney'!D783)</f>
        <v>Term</v>
      </c>
      <c r="G1671" s="65" t="n">
        <f aca="false">IF('Onshore - Sydney'!E783="","-",'Onshore - Sydney'!E783)</f>
        <v>2200</v>
      </c>
      <c r="H1671" s="63" t="n">
        <f aca="false">IF(ISNUMBER(K1671),COUNTIFS($J$6:$J$1916,J1671,$K$6:$K$1916,"&lt;"&amp;K1671)+1,"-")</f>
        <v>23</v>
      </c>
      <c r="I1671" s="64" t="str">
        <f aca="false">IF('Onshore - Sydney'!E783="","Harga belum tersedia - hubungi konsultan TEG",IF(M1671=2,"Saat ini tidak menerima pendaftaran siswa internasional baru",IF(M1671=1,"Harga perlu dikonfirmasi ke sekolah"&amp;IF(""="","","; "&amp;""),"")))</f>
        <v/>
      </c>
      <c r="J1671" s="0" t="s">
        <v>4441</v>
      </c>
      <c r="K1671" s="0" t="n">
        <f aca="false">IF(M1671=2,"",IF(ISNUMBER(SEARCH("rata-rata:",'Onshore - Sydney'!M783)),VALUE(MID('Onshore - Sydney'!M783,SEARCH("rata-rata:",'Onshore - Sydney'!M783)+11,FIND(";",'Onshore - Sydney'!M783&amp;";",SEARCH("rata-rata:",'Onshore - Sydney'!M783))-SEARCH("rata-rata:",'Onshore - Sydney'!M783)-11)),IF('Onshore - Sydney'!D783="Semester",'Onshore - Sydney'!E783*2,IF('Onshore - Sydney'!D783="Trimester",'Onshore - Sydney'!E783*3,IF('Onshore - Sydney'!D783="Term",'Onshore - Sydney'!E783*4,IF('Onshore - Sydney'!D783="Unit",'Onshore - Sydney'!E783*8,""))))))</f>
        <v>8800</v>
      </c>
      <c r="L1671" s="0" t="n">
        <f aca="false">IF(AND(ISNUMBER('Onshore - Sydney'!E783),ISNUMBER(K1671),ISNUMBER('Onshore - Sydney'!F783),ISNUMBER('Onshore - Sydney'!G783),OR('Onshore - Sydney'!F783&lt;&gt;0,ISNUMBER(SEARCH("Material 0 terverifikasi",'Onshore - Sydney'!M783))),OR('Onshore - Sydney'!G783&lt;&gt;0,ISNUMBER(SEARCH("Enrolment 0 terverifikasi",'Onshore - Sydney'!M783)))),1,0)</f>
        <v>1</v>
      </c>
      <c r="M1671" s="0" t="n">
        <f aca="false">IF(OR('Onshore - Sydney'!E783="",ISNUMBER(SEARCH("BSB80120",'Onshore - Sydney'!B783&amp;'Onshore - Sydney'!M783)),ISNUMBER(SEARCH("Management (Learning)",'Onshore - Sydney'!B783))),2,IF(ISNUMBER(SEARCH("CEK:",'Onshore - Sydney'!M783)),1,0))</f>
        <v>0</v>
      </c>
    </row>
    <row r="1672" customFormat="false" ht="28.35" hidden="false" customHeight="false" outlineLevel="0" collapsed="false">
      <c r="A1672" s="63" t="s">
        <v>3533</v>
      </c>
      <c r="B1672" s="64" t="s">
        <v>4374</v>
      </c>
      <c r="C1672" s="63" t="s">
        <v>42</v>
      </c>
      <c r="D1672" s="64" t="str">
        <f aca="false">TRIM(LEFT('Onshore - Sydney'!A299,FIND(CHAR(10),'Onshore - Sydney'!A299&amp;CHAR(10))-1))</f>
        <v>Australian Harbour International College (AHIC)</v>
      </c>
      <c r="E1672" s="63" t="str">
        <f aca="false">'Onshore - Sydney'!C301&amp;""</f>
        <v>3 years</v>
      </c>
      <c r="F1672" s="63" t="str">
        <f aca="false">IF('Onshore - Sydney'!D301="","Belum tercatat",'Onshore - Sydney'!D301)</f>
        <v>Term</v>
      </c>
      <c r="G1672" s="65" t="n">
        <f aca="false">IF('Onshore - Sydney'!E301="","-",'Onshore - Sydney'!E301)</f>
        <v>2250</v>
      </c>
      <c r="H1672" s="63" t="n">
        <f aca="false">IF(ISNUMBER(K1672),COUNTIFS($J$6:$J$1916,J1672,$K$6:$K$1916,"&lt;"&amp;K1672)+1,"-")</f>
        <v>25</v>
      </c>
      <c r="I1672" s="64" t="str">
        <f aca="false">IF('Onshore - Sydney'!E301="","Harga belum tersedia - hubungi konsultan TEG",IF(M1672=2,"Saat ini tidak menerima pendaftaran siswa internasional baru",IF(M1672=1,"Harga perlu dikonfirmasi ke sekolah"&amp;IF(""="","","; "&amp;""),"")))</f>
        <v/>
      </c>
      <c r="J1672" s="0" t="s">
        <v>4441</v>
      </c>
      <c r="K1672" s="0" t="n">
        <f aca="false">IF(M1672=2,"",IF(ISNUMBER(SEARCH("rata-rata:",'Onshore - Sydney'!M301)),VALUE(MID('Onshore - Sydney'!M301,SEARCH("rata-rata:",'Onshore - Sydney'!M301)+11,FIND(";",'Onshore - Sydney'!M301&amp;";",SEARCH("rata-rata:",'Onshore - Sydney'!M301))-SEARCH("rata-rata:",'Onshore - Sydney'!M301)-11)),IF('Onshore - Sydney'!D301="Semester",'Onshore - Sydney'!E301*2,IF('Onshore - Sydney'!D301="Trimester",'Onshore - Sydney'!E301*3,IF('Onshore - Sydney'!D301="Term",'Onshore - Sydney'!E301*4,IF('Onshore - Sydney'!D301="Unit",'Onshore - Sydney'!E301*8,""))))))</f>
        <v>9000</v>
      </c>
      <c r="L1672" s="0" t="n">
        <f aca="false">IF(AND(ISNUMBER('Onshore - Sydney'!E301),ISNUMBER(K1672),ISNUMBER('Onshore - Sydney'!F301),ISNUMBER('Onshore - Sydney'!G301),OR('Onshore - Sydney'!F301&lt;&gt;0,ISNUMBER(SEARCH("Material 0 terverifikasi",'Onshore - Sydney'!M301))),OR('Onshore - Sydney'!G301&lt;&gt;0,ISNUMBER(SEARCH("Enrolment 0 terverifikasi",'Onshore - Sydney'!M301)))),1,0)</f>
        <v>1</v>
      </c>
      <c r="M1672" s="0" t="n">
        <f aca="false">IF(OR('Onshore - Sydney'!E301="",ISNUMBER(SEARCH("BSB80120",'Onshore - Sydney'!B301&amp;'Onshore - Sydney'!M301)),ISNUMBER(SEARCH("Management (Learning)",'Onshore - Sydney'!B301))),2,IF(ISNUMBER(SEARCH("CEK:",'Onshore - Sydney'!M301)),1,0))</f>
        <v>0</v>
      </c>
    </row>
    <row r="1673" customFormat="false" ht="15" hidden="false" customHeight="false" outlineLevel="0" collapsed="false">
      <c r="A1673" s="63" t="s">
        <v>3533</v>
      </c>
      <c r="B1673" s="64" t="s">
        <v>4374</v>
      </c>
      <c r="C1673" s="63" t="s">
        <v>42</v>
      </c>
      <c r="D1673" s="64" t="str">
        <f aca="false">TRIM(LEFT('Onshore - Sydney'!A759,FIND(CHAR(10),'Onshore - Sydney'!A759&amp;CHAR(10))-1))</f>
        <v>Sydney City College of Management</v>
      </c>
      <c r="E1673" s="63" t="str">
        <f aca="false">'Onshore - Sydney'!C760&amp;""</f>
        <v>2,5 years</v>
      </c>
      <c r="F1673" s="63" t="str">
        <f aca="false">IF('Onshore - Sydney'!D760="","Belum tercatat",'Onshore - Sydney'!D760)</f>
        <v>Term</v>
      </c>
      <c r="G1673" s="65" t="n">
        <f aca="false">IF('Onshore - Sydney'!E760="","-",'Onshore - Sydney'!E760)</f>
        <v>3000</v>
      </c>
      <c r="H1673" s="63" t="n">
        <f aca="false">IF(ISNUMBER(K1673),COUNTIFS($J$6:$J$1916,J1673,$K$6:$K$1916,"&lt;"&amp;K1673)+1,"-")</f>
        <v>26</v>
      </c>
      <c r="I1673" s="64" t="str">
        <f aca="false">IF('Onshore - Sydney'!E760="","Harga belum tersedia - hubungi konsultan TEG",IF(M1673=2,"Saat ini tidak menerima pendaftaran siswa internasional baru",IF(M1673=1,"Harga perlu dikonfirmasi ke sekolah"&amp;IF(""="","","; "&amp;""),"")))</f>
        <v/>
      </c>
      <c r="J1673" s="0" t="s">
        <v>4441</v>
      </c>
      <c r="K1673" s="0" t="n">
        <f aca="false">IF(M1673=2,"",IF(ISNUMBER(SEARCH("rata-rata:",'Onshore - Sydney'!M760)),VALUE(MID('Onshore - Sydney'!M760,SEARCH("rata-rata:",'Onshore - Sydney'!M760)+11,FIND(";",'Onshore - Sydney'!M760&amp;";",SEARCH("rata-rata:",'Onshore - Sydney'!M760))-SEARCH("rata-rata:",'Onshore - Sydney'!M760)-11)),IF('Onshore - Sydney'!D760="Semester",'Onshore - Sydney'!E760*2,IF('Onshore - Sydney'!D760="Trimester",'Onshore - Sydney'!E760*3,IF('Onshore - Sydney'!D760="Term",'Onshore - Sydney'!E760*4,IF('Onshore - Sydney'!D760="Unit",'Onshore - Sydney'!E760*8,""))))))</f>
        <v>12000</v>
      </c>
      <c r="L1673" s="0" t="n">
        <f aca="false">IF(AND(ISNUMBER('Onshore - Sydney'!E760),ISNUMBER(K1673),ISNUMBER('Onshore - Sydney'!F760),ISNUMBER('Onshore - Sydney'!G760),OR('Onshore - Sydney'!F760&lt;&gt;0,ISNUMBER(SEARCH("Material 0 terverifikasi",'Onshore - Sydney'!M760))),OR('Onshore - Sydney'!G760&lt;&gt;0,ISNUMBER(SEARCH("Enrolment 0 terverifikasi",'Onshore - Sydney'!M760)))),1,0)</f>
        <v>1</v>
      </c>
      <c r="M1673" s="0" t="n">
        <f aca="false">IF(OR('Onshore - Sydney'!E760="",ISNUMBER(SEARCH("BSB80120",'Onshore - Sydney'!B760&amp;'Onshore - Sydney'!M760)),ISNUMBER(SEARCH("Management (Learning)",'Onshore - Sydney'!B760))),2,IF(ISNUMBER(SEARCH("CEK:",'Onshore - Sydney'!M760)),1,0))</f>
        <v>0</v>
      </c>
    </row>
    <row r="1674" customFormat="false" ht="15" hidden="false" customHeight="false" outlineLevel="0" collapsed="false">
      <c r="A1674" s="63" t="s">
        <v>3533</v>
      </c>
      <c r="B1674" s="64" t="s">
        <v>4374</v>
      </c>
      <c r="C1674" s="63" t="s">
        <v>42</v>
      </c>
      <c r="D1674" s="64" t="str">
        <f aca="false">TRIM(LEFT('Onshore - Sydney'!A1047,FIND(CHAR(10),'Onshore - Sydney'!A1047&amp;CHAR(10))-1))</f>
        <v>Western Sydney College (WSC)</v>
      </c>
      <c r="E1674" s="63" t="str">
        <f aca="false">'Onshore - Sydney'!C1052&amp;""</f>
        <v>4 years</v>
      </c>
      <c r="F1674" s="63" t="str">
        <f aca="false">IF('Onshore - Sydney'!D1052="","Belum tercatat",'Onshore - Sydney'!D1052)</f>
        <v>Term</v>
      </c>
      <c r="G1674" s="65" t="n">
        <f aca="false">IF('Onshore - Sydney'!E1052="","-",'Onshore - Sydney'!E1052)</f>
        <v>3250</v>
      </c>
      <c r="H1674" s="63" t="n">
        <f aca="false">IF(ISNUMBER(K1674),COUNTIFS($J$6:$J$1916,J1674,$K$6:$K$1916,"&lt;"&amp;K1674)+1,"-")</f>
        <v>27</v>
      </c>
      <c r="I1674" s="64" t="str">
        <f aca="false">IF('Onshore - Sydney'!E1052="","Harga belum tersedia - hubungi konsultan TEG",IF(M1674=2,"Saat ini tidak menerima pendaftaran siswa internasional baru",IF(M1674=1,"Program perlu dikonfirmasi ketersediaannya"&amp;IF(""="","","; "&amp;""),"")))</f>
        <v>Program perlu dikonfirmasi ketersediaannya</v>
      </c>
      <c r="J1674" s="0" t="s">
        <v>4441</v>
      </c>
      <c r="K1674" s="0" t="n">
        <f aca="false">IF(M1674=2,"",IF(ISNUMBER(SEARCH("rata-rata:",'Onshore - Sydney'!M1052)),VALUE(MID('Onshore - Sydney'!M1052,SEARCH("rata-rata:",'Onshore - Sydney'!M1052)+11,FIND(";",'Onshore - Sydney'!M1052&amp;";",SEARCH("rata-rata:",'Onshore - Sydney'!M1052))-SEARCH("rata-rata:",'Onshore - Sydney'!M1052)-11)),IF('Onshore - Sydney'!D1052="Semester",'Onshore - Sydney'!E1052*2,IF('Onshore - Sydney'!D1052="Trimester",'Onshore - Sydney'!E1052*3,IF('Onshore - Sydney'!D1052="Term",'Onshore - Sydney'!E1052*4,IF('Onshore - Sydney'!D1052="Unit",'Onshore - Sydney'!E1052*8,""))))))</f>
        <v>13000</v>
      </c>
      <c r="L1674" s="0" t="n">
        <f aca="false">IF(AND(ISNUMBER('Onshore - Sydney'!E1052),ISNUMBER(K1674),ISNUMBER('Onshore - Sydney'!F1052),ISNUMBER('Onshore - Sydney'!G1052),OR('Onshore - Sydney'!F1052&lt;&gt;0,ISNUMBER(SEARCH("Material 0 terverifikasi",'Onshore - Sydney'!M1052))),OR('Onshore - Sydney'!G1052&lt;&gt;0,ISNUMBER(SEARCH("Enrolment 0 terverifikasi",'Onshore - Sydney'!M1052)))),1,0)</f>
        <v>1</v>
      </c>
      <c r="M1674" s="0" t="n">
        <f aca="false">IF(OR('Onshore - Sydney'!E1052="",ISNUMBER(SEARCH("BSB80120",'Onshore - Sydney'!B1052&amp;'Onshore - Sydney'!M1052)),ISNUMBER(SEARCH("Management (Learning)",'Onshore - Sydney'!B1052))),2,IF(ISNUMBER(SEARCH("CEK:",'Onshore - Sydney'!M1052)),1,0))</f>
        <v>1</v>
      </c>
    </row>
    <row r="1675" customFormat="false" ht="15" hidden="false" customHeight="false" outlineLevel="0" collapsed="false">
      <c r="A1675" s="61" t="s">
        <v>4442</v>
      </c>
      <c r="B1675" s="62"/>
      <c r="C1675" s="62"/>
      <c r="D1675" s="62"/>
      <c r="E1675" s="62"/>
      <c r="F1675" s="62"/>
      <c r="G1675" s="62"/>
      <c r="H1675" s="62"/>
      <c r="I1675" s="62"/>
    </row>
    <row r="1676" customFormat="false" ht="15" hidden="false" customHeight="false" outlineLevel="0" collapsed="false">
      <c r="A1676" s="63" t="s">
        <v>3533</v>
      </c>
      <c r="B1676" s="64" t="s">
        <v>4374</v>
      </c>
      <c r="C1676" s="63" t="s">
        <v>43</v>
      </c>
      <c r="D1676" s="64" t="str">
        <f aca="false">TRIM(LEFT('Onshore - Sydney'!A74,FIND(CHAR(10),'Onshore - Sydney'!A74&amp;CHAR(10))-1))</f>
        <v>AIBI Higher Education</v>
      </c>
      <c r="E1676" s="63" t="str">
        <f aca="false">'Onshore - Sydney'!C74&amp;""</f>
        <v>3 years</v>
      </c>
      <c r="F1676" s="63" t="str">
        <f aca="false">IF('Onshore - Sydney'!D74="","Belum tercatat",'Onshore - Sydney'!D74)</f>
        <v>Term</v>
      </c>
      <c r="G1676" s="65" t="n">
        <f aca="false">IF('Onshore - Sydney'!E74="","-",'Onshore - Sydney'!E74)</f>
        <v>3250</v>
      </c>
      <c r="H1676" s="63" t="n">
        <f aca="false">IF(ISNUMBER(K1676),COUNTIFS($J$6:$J$1916,J1676,$K$6:$K$1916,"&lt;"&amp;K1676)+1,"-")</f>
        <v>1</v>
      </c>
      <c r="I1676" s="64" t="str">
        <f aca="false">IF('Onshore - Sydney'!E74="","Harga belum tersedia - hubungi konsultan TEG",IF(M1676=2,"Saat ini tidak menerima pendaftaran siswa internasional baru",IF(M1676=1,"Harga perlu dikonfirmasi ke sekolah"&amp;IF(""="","","; "&amp;""),"")))</f>
        <v>Harga perlu dikonfirmasi ke sekolah</v>
      </c>
      <c r="J1676" s="0" t="s">
        <v>4443</v>
      </c>
      <c r="K1676" s="0" t="n">
        <f aca="false">IF(M1676=2,"",IF(ISNUMBER(SEARCH("rata-rata:",'Onshore - Sydney'!M74)),VALUE(MID('Onshore - Sydney'!M74,SEARCH("rata-rata:",'Onshore - Sydney'!M74)+11,FIND(";",'Onshore - Sydney'!M74&amp;";",SEARCH("rata-rata:",'Onshore - Sydney'!M74))-SEARCH("rata-rata:",'Onshore - Sydney'!M74)-11)),IF('Onshore - Sydney'!D74="Semester",'Onshore - Sydney'!E74*2,IF('Onshore - Sydney'!D74="Trimester",'Onshore - Sydney'!E74*3,IF('Onshore - Sydney'!D74="Term",'Onshore - Sydney'!E74*4,IF('Onshore - Sydney'!D74="Unit",'Onshore - Sydney'!E74*8,""))))))</f>
        <v>13000</v>
      </c>
      <c r="L1676" s="0" t="n">
        <f aca="false">IF(AND(ISNUMBER('Onshore - Sydney'!E74),ISNUMBER(K1676),ISNUMBER('Onshore - Sydney'!F74),ISNUMBER('Onshore - Sydney'!G74),OR('Onshore - Sydney'!F74&lt;&gt;0,ISNUMBER(SEARCH("Material 0 terverifikasi",'Onshore - Sydney'!M74))),OR('Onshore - Sydney'!G74&lt;&gt;0,ISNUMBER(SEARCH("Enrolment 0 terverifikasi",'Onshore - Sydney'!M74)))),1,0)</f>
        <v>0</v>
      </c>
      <c r="M1676" s="0" t="n">
        <f aca="false">IF(OR('Onshore - Sydney'!E74="",ISNUMBER(SEARCH("BSB80120",'Onshore - Sydney'!B74&amp;'Onshore - Sydney'!M74)),ISNUMBER(SEARCH("Management (Learning)",'Onshore - Sydney'!B74))),2,IF(ISNUMBER(SEARCH("CEK:",'Onshore - Sydney'!M74)),1,0))</f>
        <v>1</v>
      </c>
    </row>
    <row r="1677" customFormat="false" ht="15" hidden="false" customHeight="false" outlineLevel="0" collapsed="false">
      <c r="A1677" s="63" t="s">
        <v>3533</v>
      </c>
      <c r="B1677" s="64" t="s">
        <v>4374</v>
      </c>
      <c r="C1677" s="63" t="s">
        <v>43</v>
      </c>
      <c r="D1677" s="64" t="str">
        <f aca="false">TRIM(LEFT('Onshore - Sydney'!A138,FIND(CHAR(10),'Onshore - Sydney'!A138&amp;CHAR(10))-1))</f>
        <v>Asia Pacific International College (APIC)</v>
      </c>
      <c r="E1677" s="63" t="str">
        <f aca="false">'Onshore - Sydney'!C139&amp;""</f>
        <v>3 years</v>
      </c>
      <c r="F1677" s="63" t="str">
        <f aca="false">IF('Onshore - Sydney'!D139="","Belum tercatat",'Onshore - Sydney'!D139)</f>
        <v>Trimester</v>
      </c>
      <c r="G1677" s="65" t="n">
        <f aca="false">IF('Onshore - Sydney'!E139="","-",'Onshore - Sydney'!E139)</f>
        <v>4500</v>
      </c>
      <c r="H1677" s="63" t="n">
        <f aca="false">IF(ISNUMBER(K1677),COUNTIFS($J$6:$J$1916,J1677,$K$6:$K$1916,"&lt;"&amp;K1677)+1,"-")</f>
        <v>2</v>
      </c>
      <c r="I1677" s="64" t="str">
        <f aca="false">IF('Onshore - Sydney'!E139="","Harga belum tersedia - hubungi konsultan TEG",IF(M1677=2,"Saat ini tidak menerima pendaftaran siswa internasional baru",IF(M1677=1,"Harga perlu dikonfirmasi ke sekolah"&amp;IF("Harga promo s.d. 31/12/2026"="","","; "&amp;"Harga promo s.d. 31/12/2026"),"Harga promo s.d. 31/12/2026")))</f>
        <v>Harga promo s.d. 31/12/2026</v>
      </c>
      <c r="J1677" s="0" t="s">
        <v>4443</v>
      </c>
      <c r="K1677" s="0" t="n">
        <f aca="false">IF(M1677=2,"",IF(ISNUMBER(SEARCH("rata-rata:",'Onshore - Sydney'!M139)),VALUE(MID('Onshore - Sydney'!M139,SEARCH("rata-rata:",'Onshore - Sydney'!M139)+11,FIND(";",'Onshore - Sydney'!M139&amp;";",SEARCH("rata-rata:",'Onshore - Sydney'!M139))-SEARCH("rata-rata:",'Onshore - Sydney'!M139)-11)),IF('Onshore - Sydney'!D139="Semester",'Onshore - Sydney'!E139*2,IF('Onshore - Sydney'!D139="Trimester",'Onshore - Sydney'!E139*3,IF('Onshore - Sydney'!D139="Term",'Onshore - Sydney'!E139*4,IF('Onshore - Sydney'!D139="Unit",'Onshore - Sydney'!E139*8,""))))))</f>
        <v>13500</v>
      </c>
      <c r="L1677" s="0" t="n">
        <f aca="false">IF(AND(ISNUMBER('Onshore - Sydney'!E139),ISNUMBER(K1677),ISNUMBER('Onshore - Sydney'!F139),ISNUMBER('Onshore - Sydney'!G139),OR('Onshore - Sydney'!F139&lt;&gt;0,ISNUMBER(SEARCH("Material 0 terverifikasi",'Onshore - Sydney'!M139))),OR('Onshore - Sydney'!G139&lt;&gt;0,ISNUMBER(SEARCH("Enrolment 0 terverifikasi",'Onshore - Sydney'!M139)))),1,0)</f>
        <v>0</v>
      </c>
      <c r="M1677" s="0" t="n">
        <f aca="false">IF(OR('Onshore - Sydney'!E139="",ISNUMBER(SEARCH("BSB80120",'Onshore - Sydney'!B139&amp;'Onshore - Sydney'!M139)),ISNUMBER(SEARCH("Management (Learning)",'Onshore - Sydney'!B139))),2,IF(ISNUMBER(SEARCH("CEK:",'Onshore - Sydney'!M139)),1,0))</f>
        <v>0</v>
      </c>
    </row>
    <row r="1678" customFormat="false" ht="55.2" hidden="false" customHeight="false" outlineLevel="0" collapsed="false">
      <c r="A1678" s="63" t="s">
        <v>3533</v>
      </c>
      <c r="B1678" s="64" t="s">
        <v>4374</v>
      </c>
      <c r="C1678" s="63" t="s">
        <v>43</v>
      </c>
      <c r="D1678" s="64" t="str">
        <f aca="false">TRIM(LEFT('Onshore - Sydney'!A88,FIND(CHAR(10),'Onshore - Sydney'!A88&amp;CHAR(10))-1))</f>
        <v>AIH Higher Education (Australian Institute of Higher Education)</v>
      </c>
      <c r="E1678" s="63" t="str">
        <f aca="false">'Onshore - Sydney'!C92&amp;""</f>
        <v>3 years</v>
      </c>
      <c r="F1678" s="63" t="str">
        <f aca="false">IF('Onshore - Sydney'!D92="","Belum tercatat",'Onshore - Sydney'!D92)</f>
        <v>Unit</v>
      </c>
      <c r="G1678" s="65" t="n">
        <f aca="false">IF('Onshore - Sydney'!E92="","-",'Onshore - Sydney'!E92)</f>
        <v>1790</v>
      </c>
      <c r="H1678" s="63" t="n">
        <f aca="false">IF(ISNUMBER(K1678),COUNTIFS($J$6:$J$1916,J1678,$K$6:$K$1916,"&lt;"&amp;K1678)+1,"-")</f>
        <v>3</v>
      </c>
      <c r="I1678" s="64" t="str">
        <f aca="false">IF('Onshore - Sydney'!E92="","Harga belum tersedia - hubungi konsultan TEG",IF(M1678=2,"Saat ini tidak menerima pendaftaran siswa internasional baru",IF(M1678=1,"Harga perlu dikonfirmasi ke sekolah"&amp;IF("Harga promo s.d. 31/12/2026; Harga dihitung per unit; total tergantung jumlah unit yang diambil; Sudah termasuk beasiswa 20% (syarat berlaku)"="","","; "&amp;"Harga promo s.d. 31/12/2026; Harga dihitung per unit; total tergantung jumlah unit yang diambil; Sudah termasuk beasiswa 20% (syarat berlaku)"),"Harga promo s.d. 31/12/2026; Harga dihitung per unit; total tergantung jumlah unit yang diambil; Sudah termasuk beasiswa 20% (syarat berlaku)")))</f>
        <v>Harga promo s.d. 31/12/2026; Harga dihitung per unit; total tergantung jumlah unit yang diambil; Sudah termasuk beasiswa 20% (syarat berlaku)</v>
      </c>
      <c r="J1678" s="0" t="s">
        <v>4443</v>
      </c>
      <c r="K1678" s="0" t="n">
        <f aca="false">IF(M1678=2,"",IF(ISNUMBER(SEARCH("rata-rata:",'Onshore - Sydney'!M92)),VALUE(MID('Onshore - Sydney'!M92,SEARCH("rata-rata:",'Onshore - Sydney'!M92)+11,FIND(";",'Onshore - Sydney'!M92&amp;";",SEARCH("rata-rata:",'Onshore - Sydney'!M92))-SEARCH("rata-rata:",'Onshore - Sydney'!M92)-11)),IF('Onshore - Sydney'!D92="Semester",'Onshore - Sydney'!E92*2,IF('Onshore - Sydney'!D92="Trimester",'Onshore - Sydney'!E92*3,IF('Onshore - Sydney'!D92="Term",'Onshore - Sydney'!E92*4,IF('Onshore - Sydney'!D92="Unit",'Onshore - Sydney'!E92*8,""))))))</f>
        <v>14320</v>
      </c>
      <c r="L1678" s="0" t="n">
        <f aca="false">IF(AND(ISNUMBER('Onshore - Sydney'!E92),ISNUMBER(K1678),ISNUMBER('Onshore - Sydney'!F92),ISNUMBER('Onshore - Sydney'!G92),OR('Onshore - Sydney'!F92&lt;&gt;0,ISNUMBER(SEARCH("Material 0 terverifikasi",'Onshore - Sydney'!M92))),OR('Onshore - Sydney'!G92&lt;&gt;0,ISNUMBER(SEARCH("Enrolment 0 terverifikasi",'Onshore - Sydney'!M92)))),1,0)</f>
        <v>1</v>
      </c>
      <c r="M1678" s="0" t="n">
        <f aca="false">IF(OR('Onshore - Sydney'!E92="",ISNUMBER(SEARCH("BSB80120",'Onshore - Sydney'!B92&amp;'Onshore - Sydney'!M92)),ISNUMBER(SEARCH("Management (Learning)",'Onshore - Sydney'!B92))),2,IF(ISNUMBER(SEARCH("CEK:",'Onshore - Sydney'!M92)),1,0))</f>
        <v>0</v>
      </c>
    </row>
    <row r="1679" customFormat="false" ht="15" hidden="false" customHeight="false" outlineLevel="0" collapsed="false">
      <c r="A1679" s="63" t="s">
        <v>3533</v>
      </c>
      <c r="B1679" s="64" t="s">
        <v>4374</v>
      </c>
      <c r="C1679" s="63" t="s">
        <v>43</v>
      </c>
      <c r="D1679" s="64" t="str">
        <f aca="false">TRIM(LEFT('Onshore - Sydney'!A775,FIND(CHAR(10),'Onshore - Sydney'!A775&amp;CHAR(10))-1))</f>
        <v>Sydney Institute of Higher Education (SIHE)</v>
      </c>
      <c r="E1679" s="63" t="str">
        <f aca="false">'Onshore - Sydney'!C775&amp;""</f>
        <v>3 years</v>
      </c>
      <c r="F1679" s="63" t="str">
        <f aca="false">IF('Onshore - Sydney'!D775="","Belum tercatat",'Onshore - Sydney'!D775)</f>
        <v>Trimester</v>
      </c>
      <c r="G1679" s="65" t="n">
        <f aca="false">IF('Onshore - Sydney'!E775="","-",'Onshore - Sydney'!E775)</f>
        <v>4778</v>
      </c>
      <c r="H1679" s="63" t="n">
        <f aca="false">IF(ISNUMBER(K1679),COUNTIFS($J$6:$J$1916,J1679,$K$6:$K$1916,"&lt;"&amp;K1679)+1,"-")</f>
        <v>4</v>
      </c>
      <c r="I1679" s="64" t="str">
        <f aca="false">IF('Onshore - Sydney'!E775="","Harga belum tersedia - hubungi konsultan TEG",IF(M1679=2,"Saat ini tidak menerima pendaftaran siswa internasional baru",IF(M1679=1,"Harga perlu dikonfirmasi ke sekolah"&amp;IF(""="","","; "&amp;""),"")))</f>
        <v>Harga perlu dikonfirmasi ke sekolah</v>
      </c>
      <c r="J1679" s="0" t="s">
        <v>4443</v>
      </c>
      <c r="K1679" s="0" t="n">
        <f aca="false">IF(M1679=2,"",IF(ISNUMBER(SEARCH("rata-rata:",'Onshore - Sydney'!M775)),VALUE(MID('Onshore - Sydney'!M775,SEARCH("rata-rata:",'Onshore - Sydney'!M775)+11,FIND(";",'Onshore - Sydney'!M775&amp;";",SEARCH("rata-rata:",'Onshore - Sydney'!M775))-SEARCH("rata-rata:",'Onshore - Sydney'!M775)-11)),IF('Onshore - Sydney'!D775="Semester",'Onshore - Sydney'!E775*2,IF('Onshore - Sydney'!D775="Trimester",'Onshore - Sydney'!E775*3,IF('Onshore - Sydney'!D775="Term",'Onshore - Sydney'!E775*4,IF('Onshore - Sydney'!D775="Unit",'Onshore - Sydney'!E775*8,""))))))</f>
        <v>14334</v>
      </c>
      <c r="L1679" s="0" t="n">
        <f aca="false">IF(AND(ISNUMBER('Onshore - Sydney'!E775),ISNUMBER(K1679),ISNUMBER('Onshore - Sydney'!F775),ISNUMBER('Onshore - Sydney'!G775),OR('Onshore - Sydney'!F775&lt;&gt;0,ISNUMBER(SEARCH("Material 0 terverifikasi",'Onshore - Sydney'!M775))),OR('Onshore - Sydney'!G775&lt;&gt;0,ISNUMBER(SEARCH("Enrolment 0 terverifikasi",'Onshore - Sydney'!M775)))),1,0)</f>
        <v>0</v>
      </c>
      <c r="M1679" s="0" t="n">
        <f aca="false">IF(OR('Onshore - Sydney'!E775="",ISNUMBER(SEARCH("BSB80120",'Onshore - Sydney'!B775&amp;'Onshore - Sydney'!M775)),ISNUMBER(SEARCH("Management (Learning)",'Onshore - Sydney'!B775))),2,IF(ISNUMBER(SEARCH("CEK:",'Onshore - Sydney'!M775)),1,0))</f>
        <v>1</v>
      </c>
    </row>
    <row r="1680" customFormat="false" ht="15" hidden="false" customHeight="false" outlineLevel="0" collapsed="false">
      <c r="A1680" s="63" t="s">
        <v>3533</v>
      </c>
      <c r="B1680" s="64" t="s">
        <v>4374</v>
      </c>
      <c r="C1680" s="63" t="s">
        <v>43</v>
      </c>
      <c r="D1680" s="64" t="str">
        <f aca="false">TRIM(LEFT('Onshore - Sydney'!A866,FIND(CHAR(10),'Onshore - Sydney'!A866&amp;CHAR(10))-1))</f>
        <v>The Institute of International Studies (TIIS)</v>
      </c>
      <c r="E1680" s="63" t="str">
        <f aca="false">'Onshore - Sydney'!C873&amp;""</f>
        <v>3 years</v>
      </c>
      <c r="F1680" s="63" t="str">
        <f aca="false">IF('Onshore - Sydney'!D873="","Belum tercatat",'Onshore - Sydney'!D873)</f>
        <v>Term</v>
      </c>
      <c r="G1680" s="65" t="n">
        <f aca="false">IF('Onshore - Sydney'!E873="","-",'Onshore - Sydney'!E873)</f>
        <v>3700</v>
      </c>
      <c r="H1680" s="63" t="n">
        <f aca="false">IF(ISNUMBER(K1680),COUNTIFS($J$6:$J$1916,J1680,$K$6:$K$1916,"&lt;"&amp;K1680)+1,"-")</f>
        <v>5</v>
      </c>
      <c r="I1680" s="64" t="str">
        <f aca="false">IF('Onshore - Sydney'!E873="","Harga belum tersedia - hubungi konsultan TEG",IF(M1680=2,"Saat ini tidak menerima pendaftaran siswa internasional baru",IF(M1680=1,"Harga perlu dikonfirmasi ke sekolah"&amp;IF(""="","","; "&amp;""),"")))</f>
        <v/>
      </c>
      <c r="J1680" s="0" t="s">
        <v>4443</v>
      </c>
      <c r="K1680" s="0" t="n">
        <f aca="false">IF(M1680=2,"",IF(ISNUMBER(SEARCH("rata-rata:",'Onshore - Sydney'!M873)),VALUE(MID('Onshore - Sydney'!M873,SEARCH("rata-rata:",'Onshore - Sydney'!M873)+11,FIND(";",'Onshore - Sydney'!M873&amp;";",SEARCH("rata-rata:",'Onshore - Sydney'!M873))-SEARCH("rata-rata:",'Onshore - Sydney'!M873)-11)),IF('Onshore - Sydney'!D873="Semester",'Onshore - Sydney'!E873*2,IF('Onshore - Sydney'!D873="Trimester",'Onshore - Sydney'!E873*3,IF('Onshore - Sydney'!D873="Term",'Onshore - Sydney'!E873*4,IF('Onshore - Sydney'!D873="Unit",'Onshore - Sydney'!E873*8,""))))))</f>
        <v>14800</v>
      </c>
      <c r="L1680" s="0" t="n">
        <f aca="false">IF(AND(ISNUMBER('Onshore - Sydney'!E873),ISNUMBER(K1680),ISNUMBER('Onshore - Sydney'!F873),ISNUMBER('Onshore - Sydney'!G873),OR('Onshore - Sydney'!F873&lt;&gt;0,ISNUMBER(SEARCH("Material 0 terverifikasi",'Onshore - Sydney'!M873))),OR('Onshore - Sydney'!G873&lt;&gt;0,ISNUMBER(SEARCH("Enrolment 0 terverifikasi",'Onshore - Sydney'!M873)))),1,0)</f>
        <v>0</v>
      </c>
      <c r="M1680" s="0" t="n">
        <f aca="false">IF(OR('Onshore - Sydney'!E873="",ISNUMBER(SEARCH("BSB80120",'Onshore - Sydney'!B873&amp;'Onshore - Sydney'!M873)),ISNUMBER(SEARCH("Management (Learning)",'Onshore - Sydney'!B873))),2,IF(ISNUMBER(SEARCH("CEK:",'Onshore - Sydney'!M873)),1,0))</f>
        <v>0</v>
      </c>
    </row>
    <row r="1681" customFormat="false" ht="15" hidden="false" customHeight="false" outlineLevel="0" collapsed="false">
      <c r="A1681" s="63" t="s">
        <v>3533</v>
      </c>
      <c r="B1681" s="64" t="s">
        <v>4374</v>
      </c>
      <c r="C1681" s="63" t="s">
        <v>43</v>
      </c>
      <c r="D1681" s="64" t="str">
        <f aca="false">TRIM(LEFT('Onshore - Sydney'!A422,FIND(CHAR(10),'Onshore - Sydney'!A422&amp;CHAR(10))-1))</f>
        <v>CIHE Australia</v>
      </c>
      <c r="E1681" s="63" t="str">
        <f aca="false">'Onshore - Sydney'!C432&amp;""</f>
        <v>3 years</v>
      </c>
      <c r="F1681" s="63" t="str">
        <f aca="false">IF('Onshore - Sydney'!D432="","Belum tercatat",'Onshore - Sydney'!D432)</f>
        <v>Term</v>
      </c>
      <c r="G1681" s="65" t="n">
        <f aca="false">IF('Onshore - Sydney'!E432="","-",'Onshore - Sydney'!E432)</f>
        <v>3825</v>
      </c>
      <c r="H1681" s="63" t="n">
        <f aca="false">IF(ISNUMBER(K1681),COUNTIFS($J$6:$J$1916,J1681,$K$6:$K$1916,"&lt;"&amp;K1681)+1,"-")</f>
        <v>6</v>
      </c>
      <c r="I1681" s="64" t="str">
        <f aca="false">IF('Onshore - Sydney'!E432="","Harga belum tersedia - hubungi konsultan TEG",IF(M1681=2,"Saat ini tidak menerima pendaftaran siswa internasional baru",IF(M1681=1,"Harga perlu dikonfirmasi ke sekolah"&amp;IF(""="","","; "&amp;""),"")))</f>
        <v>Harga perlu dikonfirmasi ke sekolah</v>
      </c>
      <c r="J1681" s="0" t="s">
        <v>4443</v>
      </c>
      <c r="K1681" s="0" t="n">
        <f aca="false">IF(M1681=2,"",IF(ISNUMBER(SEARCH("rata-rata:",'Onshore - Sydney'!M432)),VALUE(MID('Onshore - Sydney'!M432,SEARCH("rata-rata:",'Onshore - Sydney'!M432)+11,FIND(";",'Onshore - Sydney'!M432&amp;";",SEARCH("rata-rata:",'Onshore - Sydney'!M432))-SEARCH("rata-rata:",'Onshore - Sydney'!M432)-11)),IF('Onshore - Sydney'!D432="Semester",'Onshore - Sydney'!E432*2,IF('Onshore - Sydney'!D432="Trimester",'Onshore - Sydney'!E432*3,IF('Onshore - Sydney'!D432="Term",'Onshore - Sydney'!E432*4,IF('Onshore - Sydney'!D432="Unit",'Onshore - Sydney'!E432*8,""))))))</f>
        <v>15300</v>
      </c>
      <c r="L1681" s="0" t="n">
        <f aca="false">IF(AND(ISNUMBER('Onshore - Sydney'!E432),ISNUMBER(K1681),ISNUMBER('Onshore - Sydney'!F432),ISNUMBER('Onshore - Sydney'!G432),OR('Onshore - Sydney'!F432&lt;&gt;0,ISNUMBER(SEARCH("Material 0 terverifikasi",'Onshore - Sydney'!M432))),OR('Onshore - Sydney'!G432&lt;&gt;0,ISNUMBER(SEARCH("Enrolment 0 terverifikasi",'Onshore - Sydney'!M432)))),1,0)</f>
        <v>1</v>
      </c>
      <c r="M1681" s="0" t="n">
        <f aca="false">IF(OR('Onshore - Sydney'!E432="",ISNUMBER(SEARCH("BSB80120",'Onshore - Sydney'!B432&amp;'Onshore - Sydney'!M432)),ISNUMBER(SEARCH("Management (Learning)",'Onshore - Sydney'!B432))),2,IF(ISNUMBER(SEARCH("CEK:",'Onshore - Sydney'!M432)),1,0))</f>
        <v>1</v>
      </c>
    </row>
    <row r="1682" customFormat="false" ht="55.2" hidden="false" customHeight="false" outlineLevel="0" collapsed="false">
      <c r="A1682" s="63" t="s">
        <v>3533</v>
      </c>
      <c r="B1682" s="64" t="s">
        <v>4374</v>
      </c>
      <c r="C1682" s="63" t="s">
        <v>43</v>
      </c>
      <c r="D1682" s="64" t="str">
        <f aca="false">TRIM(LEFT('Onshore - Sydney'!A513,FIND(CHAR(10),'Onshore - Sydney'!A513&amp;CHAR(10))-1))</f>
        <v>Greenwich Higher Education (Academy of Interactive Technology Pty Ltd)</v>
      </c>
      <c r="E1682" s="63" t="str">
        <f aca="false">'Onshore - Sydney'!C513&amp;""</f>
        <v>3 years</v>
      </c>
      <c r="F1682" s="63" t="str">
        <f aca="false">IF('Onshore - Sydney'!D513="","Belum tercatat",'Onshore - Sydney'!D513)</f>
        <v>Unit</v>
      </c>
      <c r="G1682" s="65" t="n">
        <f aca="false">IF('Onshore - Sydney'!E513="","-",'Onshore - Sydney'!E513)</f>
        <v>2012.5</v>
      </c>
      <c r="H1682" s="63" t="n">
        <f aca="false">IF(ISNUMBER(K1682),COUNTIFS($J$6:$J$1916,J1682,$K$6:$K$1916,"&lt;"&amp;K1682)+1,"-")</f>
        <v>7</v>
      </c>
      <c r="I1682" s="64" t="str">
        <f aca="false">IF('Onshore - Sydney'!E513="","Harga belum tersedia - hubungi konsultan TEG",IF(M1682=2,"Saat ini tidak menerima pendaftaran siswa internasional baru",IF(M1682=1,"Harga perlu dikonfirmasi ke sekolah"&amp;IF("Harga promo s.d. 13/09/2027; Harga dihitung per unit; total tergantung jumlah unit yang diambil; Sudah termasuk beasiswa 30% (syarat berlaku)"="","","; "&amp;"Harga promo s.d. 13/09/2027; Harga dihitung per unit; total tergantung jumlah unit yang diambil; Sudah termasuk beasiswa 30% (syarat berlaku)"),"Harga promo s.d. 13/09/2027; Harga dihitung per unit; total tergantung jumlah unit yang diambil; Sudah termasuk beasiswa 30% (syarat berlaku)")))</f>
        <v>Harga promo s.d. 13/09/2027; Harga dihitung per unit; total tergantung jumlah unit yang diambil; Sudah termasuk beasiswa 30% (syarat berlaku)</v>
      </c>
      <c r="J1682" s="0" t="s">
        <v>4443</v>
      </c>
      <c r="K1682" s="0" t="n">
        <f aca="false">IF(M1682=2,"",IF(ISNUMBER(SEARCH("rata-rata:",'Onshore - Sydney'!M513)),VALUE(MID('Onshore - Sydney'!M513,SEARCH("rata-rata:",'Onshore - Sydney'!M513)+11,FIND(";",'Onshore - Sydney'!M513&amp;";",SEARCH("rata-rata:",'Onshore - Sydney'!M513))-SEARCH("rata-rata:",'Onshore - Sydney'!M513)-11)),IF('Onshore - Sydney'!D513="Semester",'Onshore - Sydney'!E513*2,IF('Onshore - Sydney'!D513="Trimester",'Onshore - Sydney'!E513*3,IF('Onshore - Sydney'!D513="Term",'Onshore - Sydney'!E513*4,IF('Onshore - Sydney'!D513="Unit",'Onshore - Sydney'!E513*8,""))))))</f>
        <v>16100</v>
      </c>
      <c r="L1682" s="0" t="n">
        <f aca="false">IF(AND(ISNUMBER('Onshore - Sydney'!E513),ISNUMBER(K1682),ISNUMBER('Onshore - Sydney'!F513),ISNUMBER('Onshore - Sydney'!G513),OR('Onshore - Sydney'!F513&lt;&gt;0,ISNUMBER(SEARCH("Material 0 terverifikasi",'Onshore - Sydney'!M513))),OR('Onshore - Sydney'!G513&lt;&gt;0,ISNUMBER(SEARCH("Enrolment 0 terverifikasi",'Onshore - Sydney'!M513)))),1,0)</f>
        <v>1</v>
      </c>
      <c r="M1682" s="0" t="n">
        <f aca="false">IF(OR('Onshore - Sydney'!E513="",ISNUMBER(SEARCH("BSB80120",'Onshore - Sydney'!B513&amp;'Onshore - Sydney'!M513)),ISNUMBER(SEARCH("Management (Learning)",'Onshore - Sydney'!B513))),2,IF(ISNUMBER(SEARCH("CEK:",'Onshore - Sydney'!M513)),1,0))</f>
        <v>0</v>
      </c>
    </row>
    <row r="1683" customFormat="false" ht="15" hidden="false" customHeight="false" outlineLevel="0" collapsed="false">
      <c r="A1683" s="63" t="s">
        <v>3533</v>
      </c>
      <c r="B1683" s="64" t="s">
        <v>4374</v>
      </c>
      <c r="C1683" s="63" t="s">
        <v>43</v>
      </c>
      <c r="D1683" s="64" t="str">
        <f aca="false">TRIM(LEFT('Onshore - Sydney'!A567,FIND(CHAR(10),'Onshore - Sydney'!A567&amp;CHAR(10))-1))</f>
        <v>Kent Institute Australia</v>
      </c>
      <c r="E1683" s="63" t="str">
        <f aca="false">'Onshore - Sydney'!C572&amp;""</f>
        <v>3 years</v>
      </c>
      <c r="F1683" s="63" t="str">
        <f aca="false">IF('Onshore - Sydney'!D572="","Belum tercatat",'Onshore - Sydney'!D572)</f>
        <v>Trimester</v>
      </c>
      <c r="G1683" s="65" t="n">
        <f aca="false">IF('Onshore - Sydney'!E572="","-",'Onshore - Sydney'!E572)</f>
        <v>5800</v>
      </c>
      <c r="H1683" s="63" t="n">
        <f aca="false">IF(ISNUMBER(K1683),COUNTIFS($J$6:$J$1916,J1683,$K$6:$K$1916,"&lt;"&amp;K1683)+1,"-")</f>
        <v>8</v>
      </c>
      <c r="I1683" s="64" t="str">
        <f aca="false">IF('Onshore - Sydney'!E572="","Harga belum tersedia - hubungi konsultan TEG",IF(M1683=2,"Saat ini tidak menerima pendaftaran siswa internasional baru",IF(M1683=1,"Harga perlu dikonfirmasi ke sekolah"&amp;IF(""="","","; "&amp;""),"")))</f>
        <v>Harga perlu dikonfirmasi ke sekolah</v>
      </c>
      <c r="J1683" s="0" t="s">
        <v>4443</v>
      </c>
      <c r="K1683" s="0" t="n">
        <f aca="false">IF(M1683=2,"",IF(ISNUMBER(SEARCH("rata-rata:",'Onshore - Sydney'!M572)),VALUE(MID('Onshore - Sydney'!M572,SEARCH("rata-rata:",'Onshore - Sydney'!M572)+11,FIND(";",'Onshore - Sydney'!M572&amp;";",SEARCH("rata-rata:",'Onshore - Sydney'!M572))-SEARCH("rata-rata:",'Onshore - Sydney'!M572)-11)),IF('Onshore - Sydney'!D572="Semester",'Onshore - Sydney'!E572*2,IF('Onshore - Sydney'!D572="Trimester",'Onshore - Sydney'!E572*3,IF('Onshore - Sydney'!D572="Term",'Onshore - Sydney'!E572*4,IF('Onshore - Sydney'!D572="Unit",'Onshore - Sydney'!E572*8,""))))))</f>
        <v>17400</v>
      </c>
      <c r="L1683" s="0" t="n">
        <f aca="false">IF(AND(ISNUMBER('Onshore - Sydney'!E572),ISNUMBER(K1683),ISNUMBER('Onshore - Sydney'!F572),ISNUMBER('Onshore - Sydney'!G572),OR('Onshore - Sydney'!F572&lt;&gt;0,ISNUMBER(SEARCH("Material 0 terverifikasi",'Onshore - Sydney'!M572))),OR('Onshore - Sydney'!G572&lt;&gt;0,ISNUMBER(SEARCH("Enrolment 0 terverifikasi",'Onshore - Sydney'!M572)))),1,0)</f>
        <v>0</v>
      </c>
      <c r="M1683" s="0" t="n">
        <f aca="false">IF(OR('Onshore - Sydney'!E572="",ISNUMBER(SEARCH("BSB80120",'Onshore - Sydney'!B572&amp;'Onshore - Sydney'!M572)),ISNUMBER(SEARCH("Management (Learning)",'Onshore - Sydney'!B572))),2,IF(ISNUMBER(SEARCH("CEK:",'Onshore - Sydney'!M572)),1,0))</f>
        <v>1</v>
      </c>
    </row>
    <row r="1684" customFormat="false" ht="15" hidden="false" customHeight="false" outlineLevel="0" collapsed="false">
      <c r="A1684" s="63" t="s">
        <v>3533</v>
      </c>
      <c r="B1684" s="64" t="s">
        <v>4374</v>
      </c>
      <c r="C1684" s="63" t="s">
        <v>43</v>
      </c>
      <c r="D1684" s="64" t="str">
        <f aca="false">TRIM(LEFT('Onshore - Sydney'!A754,FIND(CHAR(10),'Onshore - Sydney'!A754&amp;CHAR(10))-1))</f>
        <v>Skyline Higher Education Australia (SHEA)</v>
      </c>
      <c r="E1684" s="63" t="str">
        <f aca="false">'Onshore - Sydney'!C754&amp;""</f>
        <v>3 years</v>
      </c>
      <c r="F1684" s="63" t="str">
        <f aca="false">IF('Onshore - Sydney'!D754="","Belum tercatat",'Onshore - Sydney'!D754)</f>
        <v>Term</v>
      </c>
      <c r="G1684" s="65" t="n">
        <f aca="false">IF('Onshore - Sydney'!E754="","-",'Onshore - Sydney'!E754)</f>
        <v>4455</v>
      </c>
      <c r="H1684" s="63" t="n">
        <f aca="false">IF(ISNUMBER(K1684),COUNTIFS($J$6:$J$1916,J1684,$K$6:$K$1916,"&lt;"&amp;K1684)+1,"-")</f>
        <v>9</v>
      </c>
      <c r="I1684" s="64" t="str">
        <f aca="false">IF('Onshore - Sydney'!E754="","Harga belum tersedia - hubungi konsultan TEG",IF(M1684=2,"Saat ini tidak menerima pendaftaran siswa internasional baru",IF(M1684=1,"Harga perlu dikonfirmasi ke sekolah"&amp;IF(""="","","; "&amp;""),"")))</f>
        <v>Harga perlu dikonfirmasi ke sekolah</v>
      </c>
      <c r="J1684" s="0" t="s">
        <v>4443</v>
      </c>
      <c r="K1684" s="0" t="n">
        <f aca="false">IF(M1684=2,"",IF(ISNUMBER(SEARCH("rata-rata:",'Onshore - Sydney'!M754)),VALUE(MID('Onshore - Sydney'!M754,SEARCH("rata-rata:",'Onshore - Sydney'!M754)+11,FIND(";",'Onshore - Sydney'!M754&amp;";",SEARCH("rata-rata:",'Onshore - Sydney'!M754))-SEARCH("rata-rata:",'Onshore - Sydney'!M754)-11)),IF('Onshore - Sydney'!D754="Semester",'Onshore - Sydney'!E754*2,IF('Onshore - Sydney'!D754="Trimester",'Onshore - Sydney'!E754*3,IF('Onshore - Sydney'!D754="Term",'Onshore - Sydney'!E754*4,IF('Onshore - Sydney'!D754="Unit",'Onshore - Sydney'!E754*8,""))))))</f>
        <v>17820</v>
      </c>
      <c r="L1684" s="0" t="n">
        <f aca="false">IF(AND(ISNUMBER('Onshore - Sydney'!E754),ISNUMBER(K1684),ISNUMBER('Onshore - Sydney'!F754),ISNUMBER('Onshore - Sydney'!G754),OR('Onshore - Sydney'!F754&lt;&gt;0,ISNUMBER(SEARCH("Material 0 terverifikasi",'Onshore - Sydney'!M754))),OR('Onshore - Sydney'!G754&lt;&gt;0,ISNUMBER(SEARCH("Enrolment 0 terverifikasi",'Onshore - Sydney'!M754)))),1,0)</f>
        <v>1</v>
      </c>
      <c r="M1684" s="0" t="n">
        <f aca="false">IF(OR('Onshore - Sydney'!E754="",ISNUMBER(SEARCH("BSB80120",'Onshore - Sydney'!B754&amp;'Onshore - Sydney'!M754)),ISNUMBER(SEARCH("Management (Learning)",'Onshore - Sydney'!B754))),2,IF(ISNUMBER(SEARCH("CEK:",'Onshore - Sydney'!M754)),1,0))</f>
        <v>1</v>
      </c>
    </row>
    <row r="1685" customFormat="false" ht="28.35" hidden="false" customHeight="false" outlineLevel="0" collapsed="false">
      <c r="A1685" s="63" t="s">
        <v>3533</v>
      </c>
      <c r="B1685" s="64" t="s">
        <v>4374</v>
      </c>
      <c r="C1685" s="63" t="s">
        <v>43</v>
      </c>
      <c r="D1685" s="64" t="str">
        <f aca="false">TRIM(LEFT('Onshore - Sydney'!A653,FIND(CHAR(10),'Onshore - Sydney'!A653&amp;CHAR(10))-1))</f>
        <v>National Academy of Professional Studies (NAPS)</v>
      </c>
      <c r="E1685" s="63" t="str">
        <f aca="false">'Onshore - Sydney'!C653&amp;""</f>
        <v>3 years</v>
      </c>
      <c r="F1685" s="63" t="str">
        <f aca="false">IF('Onshore - Sydney'!D653="","Belum tercatat",'Onshore - Sydney'!D653)</f>
        <v>Term</v>
      </c>
      <c r="G1685" s="65" t="n">
        <f aca="false">IF('Onshore - Sydney'!E653="","-",'Onshore - Sydney'!E653)</f>
        <v>4500</v>
      </c>
      <c r="H1685" s="63" t="n">
        <f aca="false">IF(ISNUMBER(K1685),COUNTIFS($J$6:$J$1916,J1685,$K$6:$K$1916,"&lt;"&amp;K1685)+1,"-")</f>
        <v>10</v>
      </c>
      <c r="I1685" s="64" t="str">
        <f aca="false">IF('Onshore - Sydney'!E653="","Harga belum tersedia - hubungi konsultan TEG",IF(M1685=2,"Saat ini tidak menerima pendaftaran siswa internasional baru",IF(M1685=1,"Harga perlu dikonfirmasi ke sekolah"&amp;IF(""="","","; "&amp;""),"")))</f>
        <v>Harga perlu dikonfirmasi ke sekolah</v>
      </c>
      <c r="J1685" s="0" t="s">
        <v>4443</v>
      </c>
      <c r="K1685" s="0" t="n">
        <f aca="false">IF(M1685=2,"",IF(ISNUMBER(SEARCH("rata-rata:",'Onshore - Sydney'!M653)),VALUE(MID('Onshore - Sydney'!M653,SEARCH("rata-rata:",'Onshore - Sydney'!M653)+11,FIND(";",'Onshore - Sydney'!M653&amp;";",SEARCH("rata-rata:",'Onshore - Sydney'!M653))-SEARCH("rata-rata:",'Onshore - Sydney'!M653)-11)),IF('Onshore - Sydney'!D653="Semester",'Onshore - Sydney'!E653*2,IF('Onshore - Sydney'!D653="Trimester",'Onshore - Sydney'!E653*3,IF('Onshore - Sydney'!D653="Term",'Onshore - Sydney'!E653*4,IF('Onshore - Sydney'!D653="Unit",'Onshore - Sydney'!E653*8,""))))))</f>
        <v>18000</v>
      </c>
      <c r="L1685" s="0" t="n">
        <f aca="false">IF(AND(ISNUMBER('Onshore - Sydney'!E653),ISNUMBER(K1685),ISNUMBER('Onshore - Sydney'!F653),ISNUMBER('Onshore - Sydney'!G653),OR('Onshore - Sydney'!F653&lt;&gt;0,ISNUMBER(SEARCH("Material 0 terverifikasi",'Onshore - Sydney'!M653))),OR('Onshore - Sydney'!G653&lt;&gt;0,ISNUMBER(SEARCH("Enrolment 0 terverifikasi",'Onshore - Sydney'!M653)))),1,0)</f>
        <v>1</v>
      </c>
      <c r="M1685" s="0" t="n">
        <f aca="false">IF(OR('Onshore - Sydney'!E653="",ISNUMBER(SEARCH("BSB80120",'Onshore - Sydney'!B653&amp;'Onshore - Sydney'!M653)),ISNUMBER(SEARCH("Management (Learning)",'Onshore - Sydney'!B653))),2,IF(ISNUMBER(SEARCH("CEK:",'Onshore - Sydney'!M653)),1,0))</f>
        <v>1</v>
      </c>
    </row>
    <row r="1686" customFormat="false" ht="15" hidden="false" customHeight="false" outlineLevel="0" collapsed="false">
      <c r="A1686" s="63" t="s">
        <v>3533</v>
      </c>
      <c r="B1686" s="64" t="s">
        <v>4374</v>
      </c>
      <c r="C1686" s="63" t="s">
        <v>43</v>
      </c>
      <c r="D1686" s="64" t="str">
        <f aca="false">TRIM(LEFT('Onshore - Sydney'!A50,FIND(CHAR(10),'Onshore - Sydney'!A50&amp;CHAR(10))-1))</f>
        <v>Academies Australasia</v>
      </c>
      <c r="E1686" s="63" t="str">
        <f aca="false">'Onshore - Sydney'!C55&amp;""</f>
        <v>3 years</v>
      </c>
      <c r="F1686" s="63" t="str">
        <f aca="false">IF('Onshore - Sydney'!D55="","Belum tercatat",'Onshore - Sydney'!D55)</f>
        <v>Term</v>
      </c>
      <c r="G1686" s="65" t="n">
        <f aca="false">IF('Onshore - Sydney'!E55="","-",'Onshore - Sydney'!E55)</f>
        <v>5000</v>
      </c>
      <c r="H1686" s="63" t="n">
        <f aca="false">IF(ISNUMBER(K1686),COUNTIFS($J$6:$J$1916,J1686,$K$6:$K$1916,"&lt;"&amp;K1686)+1,"-")</f>
        <v>11</v>
      </c>
      <c r="I1686" s="64" t="str">
        <f aca="false">IF('Onshore - Sydney'!E55="","Harga belum tersedia - hubungi konsultan TEG",IF(M1686=2,"Saat ini tidak menerima pendaftaran siswa internasional baru",IF(M1686=1,"Harga perlu dikonfirmasi ke sekolah"&amp;IF(""="","","; "&amp;""),"")))</f>
        <v/>
      </c>
      <c r="J1686" s="0" t="s">
        <v>4443</v>
      </c>
      <c r="K1686" s="0" t="n">
        <f aca="false">IF(M1686=2,"",IF(ISNUMBER(SEARCH("rata-rata:",'Onshore - Sydney'!M55)),VALUE(MID('Onshore - Sydney'!M55,SEARCH("rata-rata:",'Onshore - Sydney'!M55)+11,FIND(";",'Onshore - Sydney'!M55&amp;";",SEARCH("rata-rata:",'Onshore - Sydney'!M55))-SEARCH("rata-rata:",'Onshore - Sydney'!M55)-11)),IF('Onshore - Sydney'!D55="Semester",'Onshore - Sydney'!E55*2,IF('Onshore - Sydney'!D55="Trimester",'Onshore - Sydney'!E55*3,IF('Onshore - Sydney'!D55="Term",'Onshore - Sydney'!E55*4,IF('Onshore - Sydney'!D55="Unit",'Onshore - Sydney'!E55*8,""))))))</f>
        <v>20000</v>
      </c>
      <c r="L1686" s="0" t="n">
        <f aca="false">IF(AND(ISNUMBER('Onshore - Sydney'!E55),ISNUMBER(K1686),ISNUMBER('Onshore - Sydney'!F55),ISNUMBER('Onshore - Sydney'!G55),OR('Onshore - Sydney'!F55&lt;&gt;0,ISNUMBER(SEARCH("Material 0 terverifikasi",'Onshore - Sydney'!M55))),OR('Onshore - Sydney'!G55&lt;&gt;0,ISNUMBER(SEARCH("Enrolment 0 terverifikasi",'Onshore - Sydney'!M55)))),1,0)</f>
        <v>1</v>
      </c>
      <c r="M1686" s="0" t="n">
        <f aca="false">IF(OR('Onshore - Sydney'!E55="",ISNUMBER(SEARCH("BSB80120",'Onshore - Sydney'!B55&amp;'Onshore - Sydney'!M55)),ISNUMBER(SEARCH("Management (Learning)",'Onshore - Sydney'!B55))),2,IF(ISNUMBER(SEARCH("CEK:",'Onshore - Sydney'!M55)),1,0))</f>
        <v>0</v>
      </c>
    </row>
    <row r="1687" customFormat="false" ht="15" hidden="false" customHeight="false" outlineLevel="0" collapsed="false">
      <c r="A1687" s="63" t="s">
        <v>3533</v>
      </c>
      <c r="B1687" s="64" t="s">
        <v>4374</v>
      </c>
      <c r="C1687" s="63" t="s">
        <v>43</v>
      </c>
      <c r="D1687" s="64" t="str">
        <f aca="false">TRIM(LEFT('Onshore - Sydney'!A63,FIND(CHAR(10),'Onshore - Sydney'!A63&amp;CHAR(10))-1))</f>
        <v>Academy of Interactive Technology (AIT)</v>
      </c>
      <c r="E1687" s="63" t="str">
        <f aca="false">'Onshore - Sydney'!C67&amp;""</f>
        <v>3 years</v>
      </c>
      <c r="F1687" s="63" t="str">
        <f aca="false">IF('Onshore - Sydney'!D67="","Belum tercatat",'Onshore - Sydney'!D67)</f>
        <v>Term</v>
      </c>
      <c r="G1687" s="65" t="n">
        <f aca="false">IF('Onshore - Sydney'!E67="","-",'Onshore - Sydney'!E67)</f>
        <v>5750</v>
      </c>
      <c r="H1687" s="63" t="n">
        <f aca="false">IF(ISNUMBER(K1687),COUNTIFS($J$6:$J$1916,J1687,$K$6:$K$1916,"&lt;"&amp;K1687)+1,"-")</f>
        <v>12</v>
      </c>
      <c r="I1687" s="64" t="str">
        <f aca="false">IF('Onshore - Sydney'!E67="","Harga belum tersedia - hubungi konsultan TEG",IF(M1687=2,"Saat ini tidak menerima pendaftaran siswa internasional baru",IF(M1687=1,"Program perlu dikonfirmasi ketersediaannya"&amp;IF(""="","","; "&amp;""),"")))</f>
        <v>Program perlu dikonfirmasi ketersediaannya</v>
      </c>
      <c r="J1687" s="0" t="s">
        <v>4443</v>
      </c>
      <c r="K1687" s="0" t="n">
        <f aca="false">IF(M1687=2,"",IF(ISNUMBER(SEARCH("rata-rata:",'Onshore - Sydney'!M67)),VALUE(MID('Onshore - Sydney'!M67,SEARCH("rata-rata:",'Onshore - Sydney'!M67)+11,FIND(";",'Onshore - Sydney'!M67&amp;";",SEARCH("rata-rata:",'Onshore - Sydney'!M67))-SEARCH("rata-rata:",'Onshore - Sydney'!M67)-11)),IF('Onshore - Sydney'!D67="Semester",'Onshore - Sydney'!E67*2,IF('Onshore - Sydney'!D67="Trimester",'Onshore - Sydney'!E67*3,IF('Onshore - Sydney'!D67="Term",'Onshore - Sydney'!E67*4,IF('Onshore - Sydney'!D67="Unit",'Onshore - Sydney'!E67*8,""))))))</f>
        <v>23000</v>
      </c>
      <c r="L1687" s="0" t="n">
        <f aca="false">IF(AND(ISNUMBER('Onshore - Sydney'!E67),ISNUMBER(K1687),ISNUMBER('Onshore - Sydney'!F67),ISNUMBER('Onshore - Sydney'!G67),OR('Onshore - Sydney'!F67&lt;&gt;0,ISNUMBER(SEARCH("Material 0 terverifikasi",'Onshore - Sydney'!M67))),OR('Onshore - Sydney'!G67&lt;&gt;0,ISNUMBER(SEARCH("Enrolment 0 terverifikasi",'Onshore - Sydney'!M67)))),1,0)</f>
        <v>0</v>
      </c>
      <c r="M1687" s="0" t="n">
        <f aca="false">IF(OR('Onshore - Sydney'!E67="",ISNUMBER(SEARCH("BSB80120",'Onshore - Sydney'!B67&amp;'Onshore - Sydney'!M67)),ISNUMBER(SEARCH("Management (Learning)",'Onshore - Sydney'!B67))),2,IF(ISNUMBER(SEARCH("CEK:",'Onshore - Sydney'!M67)),1,0))</f>
        <v>1</v>
      </c>
    </row>
    <row r="1688" customFormat="false" ht="15" hidden="false" customHeight="false" outlineLevel="0" collapsed="false">
      <c r="A1688" s="63" t="s">
        <v>3533</v>
      </c>
      <c r="B1688" s="64" t="s">
        <v>4374</v>
      </c>
      <c r="C1688" s="63" t="s">
        <v>43</v>
      </c>
      <c r="D1688" s="64" t="str">
        <f aca="false">TRIM(LEFT('Onshore - Sydney'!A796,FIND(CHAR(10),'Onshore - Sydney'!A796&amp;CHAR(10))-1))</f>
        <v>TAFE NSW</v>
      </c>
      <c r="E1688" s="63" t="str">
        <f aca="false">'Onshore - Sydney'!C841&amp;""</f>
        <v>3 years</v>
      </c>
      <c r="F1688" s="63" t="str">
        <f aca="false">IF('Onshore - Sydney'!D841="","Belum tercatat",'Onshore - Sydney'!D841)</f>
        <v>Term</v>
      </c>
      <c r="G1688" s="65" t="n">
        <f aca="false">IF('Onshore - Sydney'!E841="","-",'Onshore - Sydney'!E841)</f>
        <v>5760</v>
      </c>
      <c r="H1688" s="63" t="n">
        <f aca="false">IF(ISNUMBER(K1688),COUNTIFS($J$6:$J$1916,J1688,$K$6:$K$1916,"&lt;"&amp;K1688)+1,"-")</f>
        <v>13</v>
      </c>
      <c r="I1688" s="64" t="str">
        <f aca="false">IF('Onshore - Sydney'!E841="","Harga belum tersedia - hubungi konsultan TEG",IF(M1688=2,"Saat ini tidak menerima pendaftaran siswa internasional baru",IF(M1688=1,"Harga perlu dikonfirmasi ke sekolah"&amp;IF(""="","","; "&amp;""),"")))</f>
        <v/>
      </c>
      <c r="J1688" s="0" t="s">
        <v>4443</v>
      </c>
      <c r="K1688" s="0" t="n">
        <f aca="false">IF(M1688=2,"",IF(ISNUMBER(SEARCH("rata-rata:",'Onshore - Sydney'!M841)),VALUE(MID('Onshore - Sydney'!M841,SEARCH("rata-rata:",'Onshore - Sydney'!M841)+11,FIND(";",'Onshore - Sydney'!M841&amp;";",SEARCH("rata-rata:",'Onshore - Sydney'!M841))-SEARCH("rata-rata:",'Onshore - Sydney'!M841)-11)),IF('Onshore - Sydney'!D841="Semester",'Onshore - Sydney'!E841*2,IF('Onshore - Sydney'!D841="Trimester",'Onshore - Sydney'!E841*3,IF('Onshore - Sydney'!D841="Term",'Onshore - Sydney'!E841*4,IF('Onshore - Sydney'!D841="Unit",'Onshore - Sydney'!E841*8,""))))))</f>
        <v>23040</v>
      </c>
      <c r="L1688" s="0" t="n">
        <f aca="false">IF(AND(ISNUMBER('Onshore - Sydney'!E841),ISNUMBER(K1688),ISNUMBER('Onshore - Sydney'!F841),ISNUMBER('Onshore - Sydney'!G841),OR('Onshore - Sydney'!F841&lt;&gt;0,ISNUMBER(SEARCH("Material 0 terverifikasi",'Onshore - Sydney'!M841))),OR('Onshore - Sydney'!G841&lt;&gt;0,ISNUMBER(SEARCH("Enrolment 0 terverifikasi",'Onshore - Sydney'!M841)))),1,0)</f>
        <v>0</v>
      </c>
      <c r="M1688" s="0" t="n">
        <f aca="false">IF(OR('Onshore - Sydney'!E841="",ISNUMBER(SEARCH("BSB80120",'Onshore - Sydney'!B841&amp;'Onshore - Sydney'!M841)),ISNUMBER(SEARCH("Management (Learning)",'Onshore - Sydney'!B841))),2,IF(ISNUMBER(SEARCH("CEK:",'Onshore - Sydney'!M841)),1,0))</f>
        <v>0</v>
      </c>
    </row>
    <row r="1689" customFormat="false" ht="15" hidden="false" customHeight="false" outlineLevel="0" collapsed="false">
      <c r="A1689" s="63" t="s">
        <v>3533</v>
      </c>
      <c r="B1689" s="64" t="s">
        <v>4374</v>
      </c>
      <c r="C1689" s="63" t="s">
        <v>43</v>
      </c>
      <c r="D1689" s="64" t="str">
        <f aca="false">TRIM(LEFT('Onshore - Sydney'!A888,FIND(CHAR(10),'Onshore - Sydney'!A888&amp;CHAR(10))-1))</f>
        <v>Torrens University Australia</v>
      </c>
      <c r="E1689" s="63" t="str">
        <f aca="false">'Onshore - Sydney'!C948&amp;""</f>
        <v>3 years</v>
      </c>
      <c r="F1689" s="63" t="str">
        <f aca="false">IF('Onshore - Sydney'!D948="","Belum tercatat",'Onshore - Sydney'!D948)</f>
        <v>Term</v>
      </c>
      <c r="G1689" s="65" t="n">
        <f aca="false">IF('Onshore - Sydney'!E948="","-",'Onshore - Sydney'!E948)</f>
        <v>7900</v>
      </c>
      <c r="H1689" s="63" t="n">
        <f aca="false">IF(ISNUMBER(K1689),COUNTIFS($J$6:$J$1916,J1689,$K$6:$K$1916,"&lt;"&amp;K1689)+1,"-")</f>
        <v>14</v>
      </c>
      <c r="I1689" s="64" t="str">
        <f aca="false">IF('Onshore - Sydney'!E948="","Harga belum tersedia - hubungi konsultan TEG",IF(M1689=2,"Saat ini tidak menerima pendaftaran siswa internasional baru",IF(M1689=1,"Harga perlu dikonfirmasi ke sekolah"&amp;IF(""="","","; "&amp;""),"")))</f>
        <v/>
      </c>
      <c r="J1689" s="0" t="s">
        <v>4443</v>
      </c>
      <c r="K1689" s="0" t="n">
        <f aca="false">IF(M1689=2,"",IF(ISNUMBER(SEARCH("rata-rata:",'Onshore - Sydney'!M948)),VALUE(MID('Onshore - Sydney'!M948,SEARCH("rata-rata:",'Onshore - Sydney'!M948)+11,FIND(";",'Onshore - Sydney'!M948&amp;";",SEARCH("rata-rata:",'Onshore - Sydney'!M948))-SEARCH("rata-rata:",'Onshore - Sydney'!M948)-11)),IF('Onshore - Sydney'!D948="Semester",'Onshore - Sydney'!E948*2,IF('Onshore - Sydney'!D948="Trimester",'Onshore - Sydney'!E948*3,IF('Onshore - Sydney'!D948="Term",'Onshore - Sydney'!E948*4,IF('Onshore - Sydney'!D948="Unit",'Onshore - Sydney'!E948*8,""))))))</f>
        <v>31600</v>
      </c>
      <c r="L1689" s="0" t="n">
        <f aca="false">IF(AND(ISNUMBER('Onshore - Sydney'!E948),ISNUMBER(K1689),ISNUMBER('Onshore - Sydney'!F948),ISNUMBER('Onshore - Sydney'!G948),OR('Onshore - Sydney'!F948&lt;&gt;0,ISNUMBER(SEARCH("Material 0 terverifikasi",'Onshore - Sydney'!M948))),OR('Onshore - Sydney'!G948&lt;&gt;0,ISNUMBER(SEARCH("Enrolment 0 terverifikasi",'Onshore - Sydney'!M948)))),1,0)</f>
        <v>0</v>
      </c>
      <c r="M1689" s="0" t="n">
        <f aca="false">IF(OR('Onshore - Sydney'!E948="",ISNUMBER(SEARCH("BSB80120",'Onshore - Sydney'!B948&amp;'Onshore - Sydney'!M948)),ISNUMBER(SEARCH("Management (Learning)",'Onshore - Sydney'!B948))),2,IF(ISNUMBER(SEARCH("CEK:",'Onshore - Sydney'!M948)),1,0))</f>
        <v>0</v>
      </c>
    </row>
    <row r="1690" customFormat="false" ht="15" hidden="false" customHeight="false" outlineLevel="0" collapsed="false">
      <c r="A1690" s="63" t="s">
        <v>3533</v>
      </c>
      <c r="B1690" s="64" t="s">
        <v>4374</v>
      </c>
      <c r="C1690" s="63" t="s">
        <v>43</v>
      </c>
      <c r="D1690" s="64" t="str">
        <f aca="false">TRIM(LEFT('Onshore - Sydney'!A1062,FIND(CHAR(10),'Onshore - Sydney'!A1062&amp;CHAR(10))-1))</f>
        <v>Western Sydney University</v>
      </c>
      <c r="E1690" s="63" t="str">
        <f aca="false">'Onshore - Sydney'!C1122&amp;""</f>
        <v>3 years</v>
      </c>
      <c r="F1690" s="63" t="str">
        <f aca="false">IF('Onshore - Sydney'!D1122="","Belum tercatat",'Onshore - Sydney'!D1122)</f>
        <v>Term</v>
      </c>
      <c r="G1690" s="65" t="n">
        <f aca="false">IF('Onshore - Sydney'!E1122="","-",'Onshore - Sydney'!E1122)</f>
        <v>8125</v>
      </c>
      <c r="H1690" s="63" t="n">
        <f aca="false">IF(ISNUMBER(K1690),COUNTIFS($J$6:$J$1916,J1690,$K$6:$K$1916,"&lt;"&amp;K1690)+1,"-")</f>
        <v>15</v>
      </c>
      <c r="I1690" s="64" t="str">
        <f aca="false">IF('Onshore - Sydney'!E1122="","Harga belum tersedia - hubungi konsultan TEG",IF(M1690=2,"Saat ini tidak menerima pendaftaran siswa internasional baru",IF(M1690=1,"Harga perlu dikonfirmasi ke sekolah"&amp;IF(""="","","; "&amp;""),"")))</f>
        <v/>
      </c>
      <c r="J1690" s="0" t="s">
        <v>4443</v>
      </c>
      <c r="K1690" s="0" t="n">
        <f aca="false">IF(M1690=2,"",IF(ISNUMBER(SEARCH("rata-rata:",'Onshore - Sydney'!M1122)),VALUE(MID('Onshore - Sydney'!M1122,SEARCH("rata-rata:",'Onshore - Sydney'!M1122)+11,FIND(";",'Onshore - Sydney'!M1122&amp;";",SEARCH("rata-rata:",'Onshore - Sydney'!M1122))-SEARCH("rata-rata:",'Onshore - Sydney'!M1122)-11)),IF('Onshore - Sydney'!D1122="Semester",'Onshore - Sydney'!E1122*2,IF('Onshore - Sydney'!D1122="Trimester",'Onshore - Sydney'!E1122*3,IF('Onshore - Sydney'!D1122="Term",'Onshore - Sydney'!E1122*4,IF('Onshore - Sydney'!D1122="Unit",'Onshore - Sydney'!E1122*8,""))))))</f>
        <v>32500</v>
      </c>
      <c r="L1690" s="0" t="n">
        <f aca="false">IF(AND(ISNUMBER('Onshore - Sydney'!E1122),ISNUMBER(K1690),ISNUMBER('Onshore - Sydney'!F1122),ISNUMBER('Onshore - Sydney'!G1122),OR('Onshore - Sydney'!F1122&lt;&gt;0,ISNUMBER(SEARCH("Material 0 terverifikasi",'Onshore - Sydney'!M1122))),OR('Onshore - Sydney'!G1122&lt;&gt;0,ISNUMBER(SEARCH("Enrolment 0 terverifikasi",'Onshore - Sydney'!M1122)))),1,0)</f>
        <v>0</v>
      </c>
      <c r="M1690" s="0" t="n">
        <f aca="false">IF(OR('Onshore - Sydney'!E1122="",ISNUMBER(SEARCH("BSB80120",'Onshore - Sydney'!B1122&amp;'Onshore - Sydney'!M1122)),ISNUMBER(SEARCH("Management (Learning)",'Onshore - Sydney'!B1122))),2,IF(ISNUMBER(SEARCH("CEK:",'Onshore - Sydney'!M1122)),1,0))</f>
        <v>0</v>
      </c>
    </row>
    <row r="1691" customFormat="false" ht="15" hidden="false" customHeight="false" outlineLevel="0" collapsed="false">
      <c r="A1691" s="63" t="s">
        <v>3533</v>
      </c>
      <c r="B1691" s="64" t="s">
        <v>4374</v>
      </c>
      <c r="C1691" s="63" t="s">
        <v>43</v>
      </c>
      <c r="D1691" s="64" t="str">
        <f aca="false">TRIM(LEFT('Onshore - Sydney'!A394,FIND(CHAR(10),'Onshore - Sydney'!A394&amp;CHAR(10))-1))</f>
        <v>Charles Darwin University (CDU)</v>
      </c>
      <c r="E1691" s="63" t="str">
        <f aca="false">'Onshore - Sydney'!C402&amp;""</f>
        <v>3 years</v>
      </c>
      <c r="F1691" s="63" t="str">
        <f aca="false">IF('Onshore - Sydney'!D402="","Belum tercatat",'Onshore - Sydney'!D402)</f>
        <v>Term</v>
      </c>
      <c r="G1691" s="65" t="n">
        <f aca="false">IF('Onshore - Sydney'!E402="","-",'Onshore - Sydney'!E402)</f>
        <v>8714</v>
      </c>
      <c r="H1691" s="63" t="n">
        <f aca="false">IF(ISNUMBER(K1691),COUNTIFS($J$6:$J$1916,J1691,$K$6:$K$1916,"&lt;"&amp;K1691)+1,"-")</f>
        <v>16</v>
      </c>
      <c r="I1691" s="64" t="str">
        <f aca="false">IF('Onshore - Sydney'!E402="","Harga belum tersedia - hubungi konsultan TEG",IF(M1691=2,"Saat ini tidak menerima pendaftaran siswa internasional baru",IF(M1691=1,"Harga perlu dikonfirmasi ke sekolah"&amp;IF(""="","","; "&amp;""),"")))</f>
        <v/>
      </c>
      <c r="J1691" s="0" t="s">
        <v>4443</v>
      </c>
      <c r="K1691" s="0" t="n">
        <f aca="false">IF(M1691=2,"",IF(ISNUMBER(SEARCH("rata-rata:",'Onshore - Sydney'!M402)),VALUE(MID('Onshore - Sydney'!M402,SEARCH("rata-rata:",'Onshore - Sydney'!M402)+11,FIND(";",'Onshore - Sydney'!M402&amp;";",SEARCH("rata-rata:",'Onshore - Sydney'!M402))-SEARCH("rata-rata:",'Onshore - Sydney'!M402)-11)),IF('Onshore - Sydney'!D402="Semester",'Onshore - Sydney'!E402*2,IF('Onshore - Sydney'!D402="Trimester",'Onshore - Sydney'!E402*3,IF('Onshore - Sydney'!D402="Term",'Onshore - Sydney'!E402*4,IF('Onshore - Sydney'!D402="Unit",'Onshore - Sydney'!E402*8,""))))))</f>
        <v>34856</v>
      </c>
      <c r="L1691" s="0" t="n">
        <f aca="false">IF(AND(ISNUMBER('Onshore - Sydney'!E402),ISNUMBER(K1691),ISNUMBER('Onshore - Sydney'!F402),ISNUMBER('Onshore - Sydney'!G402),OR('Onshore - Sydney'!F402&lt;&gt;0,ISNUMBER(SEARCH("Material 0 terverifikasi",'Onshore - Sydney'!M402))),OR('Onshore - Sydney'!G402&lt;&gt;0,ISNUMBER(SEARCH("Enrolment 0 terverifikasi",'Onshore - Sydney'!M402)))),1,0)</f>
        <v>0</v>
      </c>
      <c r="M1691" s="0" t="n">
        <f aca="false">IF(OR('Onshore - Sydney'!E402="",ISNUMBER(SEARCH("BSB80120",'Onshore - Sydney'!B402&amp;'Onshore - Sydney'!M402)),ISNUMBER(SEARCH("Management (Learning)",'Onshore - Sydney'!B402))),2,IF(ISNUMBER(SEARCH("CEK:",'Onshore - Sydney'!M402)),1,0))</f>
        <v>0</v>
      </c>
    </row>
    <row r="1692" customFormat="false" ht="15" hidden="false" customHeight="false" outlineLevel="0" collapsed="false">
      <c r="A1692" s="63" t="s">
        <v>3533</v>
      </c>
      <c r="B1692" s="64" t="s">
        <v>4374</v>
      </c>
      <c r="C1692" s="63" t="s">
        <v>43</v>
      </c>
      <c r="D1692" s="64" t="str">
        <f aca="false">TRIM(LEFT('Onshore - Sydney'!A163,FIND(CHAR(10),'Onshore - Sydney'!A163&amp;CHAR(10))-1))</f>
        <v>Australian Catholic University (ACU)</v>
      </c>
      <c r="E1692" s="63" t="str">
        <f aca="false">'Onshore - Sydney'!C177&amp;""</f>
        <v>3 years</v>
      </c>
      <c r="F1692" s="63" t="str">
        <f aca="false">IF('Onshore - Sydney'!D177="","Belum tercatat",'Onshore - Sydney'!D177)</f>
        <v>Term</v>
      </c>
      <c r="G1692" s="65" t="n">
        <f aca="false">IF('Onshore - Sydney'!E177="","-",'Onshore - Sydney'!E177)</f>
        <v>8742</v>
      </c>
      <c r="H1692" s="63" t="n">
        <f aca="false">IF(ISNUMBER(K1692),COUNTIFS($J$6:$J$1916,J1692,$K$6:$K$1916,"&lt;"&amp;K1692)+1,"-")</f>
        <v>17</v>
      </c>
      <c r="I1692" s="64" t="str">
        <f aca="false">IF('Onshore - Sydney'!E177="","Harga belum tersedia - hubungi konsultan TEG",IF(M1692=2,"Saat ini tidak menerima pendaftaran siswa internasional baru",IF(M1692=1,"Harga perlu dikonfirmasi ke sekolah"&amp;IF(""="","","; "&amp;""),"")))</f>
        <v/>
      </c>
      <c r="J1692" s="0" t="s">
        <v>4443</v>
      </c>
      <c r="K1692" s="0" t="n">
        <f aca="false">IF(M1692=2,"",IF(ISNUMBER(SEARCH("rata-rata:",'Onshore - Sydney'!M177)),VALUE(MID('Onshore - Sydney'!M177,SEARCH("rata-rata:",'Onshore - Sydney'!M177)+11,FIND(";",'Onshore - Sydney'!M177&amp;";",SEARCH("rata-rata:",'Onshore - Sydney'!M177))-SEARCH("rata-rata:",'Onshore - Sydney'!M177)-11)),IF('Onshore - Sydney'!D177="Semester",'Onshore - Sydney'!E177*2,IF('Onshore - Sydney'!D177="Trimester",'Onshore - Sydney'!E177*3,IF('Onshore - Sydney'!D177="Term",'Onshore - Sydney'!E177*4,IF('Onshore - Sydney'!D177="Unit",'Onshore - Sydney'!E177*8,""))))))</f>
        <v>34968</v>
      </c>
      <c r="L1692" s="0" t="n">
        <f aca="false">IF(AND(ISNUMBER('Onshore - Sydney'!E177),ISNUMBER(K1692),ISNUMBER('Onshore - Sydney'!F177),ISNUMBER('Onshore - Sydney'!G177),OR('Onshore - Sydney'!F177&lt;&gt;0,ISNUMBER(SEARCH("Material 0 terverifikasi",'Onshore - Sydney'!M177))),OR('Onshore - Sydney'!G177&lt;&gt;0,ISNUMBER(SEARCH("Enrolment 0 terverifikasi",'Onshore - Sydney'!M177)))),1,0)</f>
        <v>0</v>
      </c>
      <c r="M1692" s="0" t="n">
        <f aca="false">IF(OR('Onshore - Sydney'!E177="",ISNUMBER(SEARCH("BSB80120",'Onshore - Sydney'!B177&amp;'Onshore - Sydney'!M177)),ISNUMBER(SEARCH("Management (Learning)",'Onshore - Sydney'!B177))),2,IF(ISNUMBER(SEARCH("CEK:",'Onshore - Sydney'!M177)),1,0))</f>
        <v>0</v>
      </c>
    </row>
    <row r="1693" customFormat="false" ht="15" hidden="false" customHeight="false" outlineLevel="0" collapsed="false">
      <c r="A1693" s="63" t="s">
        <v>3533</v>
      </c>
      <c r="B1693" s="64" t="s">
        <v>4374</v>
      </c>
      <c r="C1693" s="63" t="s">
        <v>43</v>
      </c>
      <c r="D1693" s="64" t="str">
        <f aca="false">TRIM(LEFT('Onshore - Sydney'!A998,FIND(CHAR(10),'Onshore - Sydney'!A998&amp;CHAR(10))-1))</f>
        <v>University of Tasmania (UTAS)</v>
      </c>
      <c r="E1693" s="63" t="str">
        <f aca="false">'Onshore - Sydney'!C1000&amp;""</f>
        <v>3 years</v>
      </c>
      <c r="F1693" s="63" t="str">
        <f aca="false">IF('Onshore - Sydney'!D1000="","Belum tercatat",'Onshore - Sydney'!D1000)</f>
        <v>Term</v>
      </c>
      <c r="G1693" s="65" t="n">
        <f aca="false">IF('Onshore - Sydney'!E1000="","-",'Onshore - Sydney'!E1000)</f>
        <v>9987.5</v>
      </c>
      <c r="H1693" s="63" t="n">
        <f aca="false">IF(ISNUMBER(K1693),COUNTIFS($J$6:$J$1916,J1693,$K$6:$K$1916,"&lt;"&amp;K1693)+1,"-")</f>
        <v>18</v>
      </c>
      <c r="I1693" s="64" t="str">
        <f aca="false">IF('Onshore - Sydney'!E1000="","Harga belum tersedia - hubungi konsultan TEG",IF(M1693=2,"Saat ini tidak menerima pendaftaran siswa internasional baru",IF(M1693=1,"Harga perlu dikonfirmasi ke sekolah"&amp;IF(""="","","; "&amp;""),"")))</f>
        <v>Harga perlu dikonfirmasi ke sekolah</v>
      </c>
      <c r="J1693" s="0" t="s">
        <v>4443</v>
      </c>
      <c r="K1693" s="0" t="n">
        <f aca="false">IF(M1693=2,"",IF(ISNUMBER(SEARCH("rata-rata:",'Onshore - Sydney'!M1000)),VALUE(MID('Onshore - Sydney'!M1000,SEARCH("rata-rata:",'Onshore - Sydney'!M1000)+11,FIND(";",'Onshore - Sydney'!M1000&amp;";",SEARCH("rata-rata:",'Onshore - Sydney'!M1000))-SEARCH("rata-rata:",'Onshore - Sydney'!M1000)-11)),IF('Onshore - Sydney'!D1000="Semester",'Onshore - Sydney'!E1000*2,IF('Onshore - Sydney'!D1000="Trimester",'Onshore - Sydney'!E1000*3,IF('Onshore - Sydney'!D1000="Term",'Onshore - Sydney'!E1000*4,IF('Onshore - Sydney'!D1000="Unit",'Onshore - Sydney'!E1000*8,""))))))</f>
        <v>39950</v>
      </c>
      <c r="L1693" s="0" t="n">
        <f aca="false">IF(AND(ISNUMBER('Onshore - Sydney'!E1000),ISNUMBER(K1693),ISNUMBER('Onshore - Sydney'!F1000),ISNUMBER('Onshore - Sydney'!G1000),OR('Onshore - Sydney'!F1000&lt;&gt;0,ISNUMBER(SEARCH("Material 0 terverifikasi",'Onshore - Sydney'!M1000))),OR('Onshore - Sydney'!G1000&lt;&gt;0,ISNUMBER(SEARCH("Enrolment 0 terverifikasi",'Onshore - Sydney'!M1000)))),1,0)</f>
        <v>0</v>
      </c>
      <c r="M1693" s="0" t="n">
        <f aca="false">IF(OR('Onshore - Sydney'!E1000="",ISNUMBER(SEARCH("BSB80120",'Onshore - Sydney'!B1000&amp;'Onshore - Sydney'!M1000)),ISNUMBER(SEARCH("Management (Learning)",'Onshore - Sydney'!B1000))),2,IF(ISNUMBER(SEARCH("CEK:",'Onshore - Sydney'!M1000)),1,0))</f>
        <v>1</v>
      </c>
    </row>
    <row r="1694" customFormat="false" ht="15" hidden="false" customHeight="false" outlineLevel="0" collapsed="false">
      <c r="A1694" s="61" t="s">
        <v>4444</v>
      </c>
      <c r="B1694" s="62"/>
      <c r="C1694" s="62"/>
      <c r="D1694" s="62"/>
      <c r="E1694" s="62"/>
      <c r="F1694" s="62"/>
      <c r="G1694" s="62"/>
      <c r="H1694" s="62"/>
      <c r="I1694" s="62"/>
    </row>
    <row r="1695" customFormat="false" ht="15" hidden="false" customHeight="false" outlineLevel="0" collapsed="false">
      <c r="A1695" s="63" t="s">
        <v>3533</v>
      </c>
      <c r="B1695" s="64" t="s">
        <v>4374</v>
      </c>
      <c r="C1695" s="63" t="s">
        <v>3707</v>
      </c>
      <c r="D1695" s="64" t="str">
        <f aca="false">TRIM(LEFT('Onshore - Sydney'!A74,FIND(CHAR(10),'Onshore - Sydney'!A74&amp;CHAR(10))-1))</f>
        <v>AIBI Higher Education</v>
      </c>
      <c r="E1695" s="63" t="str">
        <f aca="false">'Onshore - Sydney'!C87&amp;""</f>
        <v>8 months</v>
      </c>
      <c r="F1695" s="63" t="str">
        <f aca="false">IF('Onshore - Sydney'!D87="","Belum tercatat",'Onshore - Sydney'!D87)</f>
        <v>Term</v>
      </c>
      <c r="G1695" s="65" t="n">
        <f aca="false">IF('Onshore - Sydney'!E87="","-",'Onshore - Sydney'!E87)</f>
        <v>2700</v>
      </c>
      <c r="H1695" s="63" t="n">
        <f aca="false">IF(ISNUMBER(K1695),COUNTIFS($J$6:$J$1916,J1695,$K$6:$K$1916,"&lt;"&amp;K1695)+1,"-")</f>
        <v>1</v>
      </c>
      <c r="I1695" s="64" t="str">
        <f aca="false">IF('Onshore - Sydney'!E87="","Harga belum tersedia - hubungi konsultan TEG",IF(M1695=2,"Saat ini tidak menerima pendaftaran siswa internasional baru",IF(M1695=1,"Harga perlu dikonfirmasi ke sekolah"&amp;IF(""="","","; "&amp;""),"")))</f>
        <v>Harga perlu dikonfirmasi ke sekolah</v>
      </c>
      <c r="J1695" s="0" t="s">
        <v>4445</v>
      </c>
      <c r="K1695" s="0" t="n">
        <f aca="false">IF(M1695=2,"",IF(ISNUMBER(SEARCH("rata-rata:",'Onshore - Sydney'!M87)),VALUE(MID('Onshore - Sydney'!M87,SEARCH("rata-rata:",'Onshore - Sydney'!M87)+11,FIND(";",'Onshore - Sydney'!M87&amp;";",SEARCH("rata-rata:",'Onshore - Sydney'!M87))-SEARCH("rata-rata:",'Onshore - Sydney'!M87)-11)),IF('Onshore - Sydney'!D87="Semester",'Onshore - Sydney'!E87*2,IF('Onshore - Sydney'!D87="Trimester",'Onshore - Sydney'!E87*3,IF('Onshore - Sydney'!D87="Term",'Onshore - Sydney'!E87*4,IF('Onshore - Sydney'!D87="Unit",'Onshore - Sydney'!E87*8,""))))))</f>
        <v>10800</v>
      </c>
      <c r="L1695" s="0" t="n">
        <f aca="false">IF(AND(ISNUMBER('Onshore - Sydney'!E87),ISNUMBER(K1695),ISNUMBER('Onshore - Sydney'!F87),ISNUMBER('Onshore - Sydney'!G87),OR('Onshore - Sydney'!F87&lt;&gt;0,ISNUMBER(SEARCH("Material 0 terverifikasi",'Onshore - Sydney'!M87))),OR('Onshore - Sydney'!G87&lt;&gt;0,ISNUMBER(SEARCH("Enrolment 0 terverifikasi",'Onshore - Sydney'!M87)))),1,0)</f>
        <v>0</v>
      </c>
      <c r="M1695" s="0" t="n">
        <f aca="false">IF(OR('Onshore - Sydney'!E87="",ISNUMBER(SEARCH("BSB80120",'Onshore - Sydney'!B87&amp;'Onshore - Sydney'!M87)),ISNUMBER(SEARCH("Management (Learning)",'Onshore - Sydney'!B87))),2,IF(ISNUMBER(SEARCH("CEK:",'Onshore - Sydney'!M87)),1,0))</f>
        <v>1</v>
      </c>
    </row>
    <row r="1696" customFormat="false" ht="15" hidden="false" customHeight="false" outlineLevel="0" collapsed="false">
      <c r="A1696" s="63" t="s">
        <v>3533</v>
      </c>
      <c r="B1696" s="64" t="s">
        <v>4374</v>
      </c>
      <c r="C1696" s="63" t="s">
        <v>3707</v>
      </c>
      <c r="D1696" s="64" t="str">
        <f aca="false">TRIM(LEFT('Onshore - Sydney'!A866,FIND(CHAR(10),'Onshore - Sydney'!A866&amp;CHAR(10))-1))</f>
        <v>The Institute of International Studies (TIIS)</v>
      </c>
      <c r="E1696" s="63" t="str">
        <f aca="false">'Onshore - Sydney'!C866&amp;""</f>
        <v>0,5 years</v>
      </c>
      <c r="F1696" s="63" t="str">
        <f aca="false">IF('Onshore - Sydney'!D866="","Belum tercatat",'Onshore - Sydney'!D866)</f>
        <v>Term</v>
      </c>
      <c r="G1696" s="65" t="n">
        <f aca="false">IF('Onshore - Sydney'!E866="","-",'Onshore - Sydney'!E866)</f>
        <v>4500</v>
      </c>
      <c r="H1696" s="63" t="n">
        <f aca="false">IF(ISNUMBER(K1696),COUNTIFS($J$6:$J$1916,J1696,$K$6:$K$1916,"&lt;"&amp;K1696)+1,"-")</f>
        <v>2</v>
      </c>
      <c r="I1696" s="64" t="str">
        <f aca="false">IF('Onshore - Sydney'!E866="","Harga belum tersedia - hubungi konsultan TEG",IF(M1696=2,"Saat ini tidak menerima pendaftaran siswa internasional baru",IF(M1696=1,"Harga perlu dikonfirmasi ke sekolah"&amp;IF(""="","","; "&amp;""),"")))</f>
        <v/>
      </c>
      <c r="J1696" s="0" t="s">
        <v>4445</v>
      </c>
      <c r="K1696" s="0" t="n">
        <f aca="false">IF(M1696=2,"",IF(ISNUMBER(SEARCH("rata-rata:",'Onshore - Sydney'!M866)),VALUE(MID('Onshore - Sydney'!M866,SEARCH("rata-rata:",'Onshore - Sydney'!M866)+11,FIND(";",'Onshore - Sydney'!M866&amp;";",SEARCH("rata-rata:",'Onshore - Sydney'!M866))-SEARCH("rata-rata:",'Onshore - Sydney'!M866)-11)),IF('Onshore - Sydney'!D866="Semester",'Onshore - Sydney'!E866*2,IF('Onshore - Sydney'!D866="Trimester",'Onshore - Sydney'!E866*3,IF('Onshore - Sydney'!D866="Term",'Onshore - Sydney'!E866*4,IF('Onshore - Sydney'!D866="Unit",'Onshore - Sydney'!E866*8,""))))))</f>
        <v>18000</v>
      </c>
      <c r="L1696" s="0" t="n">
        <f aca="false">IF(AND(ISNUMBER('Onshore - Sydney'!E866),ISNUMBER(K1696),ISNUMBER('Onshore - Sydney'!F866),ISNUMBER('Onshore - Sydney'!G866),OR('Onshore - Sydney'!F866&lt;&gt;0,ISNUMBER(SEARCH("Material 0 terverifikasi",'Onshore - Sydney'!M866))),OR('Onshore - Sydney'!G866&lt;&gt;0,ISNUMBER(SEARCH("Enrolment 0 terverifikasi",'Onshore - Sydney'!M866)))),1,0)</f>
        <v>0</v>
      </c>
      <c r="M1696" s="0" t="n">
        <f aca="false">IF(OR('Onshore - Sydney'!E866="",ISNUMBER(SEARCH("BSB80120",'Onshore - Sydney'!B866&amp;'Onshore - Sydney'!M866)),ISNUMBER(SEARCH("Management (Learning)",'Onshore - Sydney'!B866))),2,IF(ISNUMBER(SEARCH("CEK:",'Onshore - Sydney'!M866)),1,0))</f>
        <v>0</v>
      </c>
    </row>
    <row r="1697" customFormat="false" ht="15" hidden="false" customHeight="false" outlineLevel="0" collapsed="false">
      <c r="A1697" s="63" t="s">
        <v>3533</v>
      </c>
      <c r="B1697" s="64" t="s">
        <v>4374</v>
      </c>
      <c r="C1697" s="63" t="s">
        <v>3707</v>
      </c>
      <c r="D1697" s="64" t="str">
        <f aca="false">TRIM(LEFT('Onshore - Sydney'!A888,FIND(CHAR(10),'Onshore - Sydney'!A888&amp;CHAR(10))-1))</f>
        <v>Torrens University Australia</v>
      </c>
      <c r="E1697" s="63" t="str">
        <f aca="false">'Onshore - Sydney'!C909&amp;""</f>
        <v>1 year</v>
      </c>
      <c r="F1697" s="63" t="str">
        <f aca="false">IF('Onshore - Sydney'!D909="","Belum tercatat",'Onshore - Sydney'!D909)</f>
        <v>Term</v>
      </c>
      <c r="G1697" s="65" t="n">
        <f aca="false">IF('Onshore - Sydney'!E909="","-",'Onshore - Sydney'!E909)</f>
        <v>4500</v>
      </c>
      <c r="H1697" s="63" t="n">
        <f aca="false">IF(ISNUMBER(K1697),COUNTIFS($J$6:$J$1916,J1697,$K$6:$K$1916,"&lt;"&amp;K1697)+1,"-")</f>
        <v>2</v>
      </c>
      <c r="I1697" s="64" t="str">
        <f aca="false">IF('Onshore - Sydney'!E909="","Harga belum tersedia - hubungi konsultan TEG",IF(M1697=2,"Saat ini tidak menerima pendaftaran siswa internasional baru",IF(M1697=1,"Harga perlu dikonfirmasi ke sekolah"&amp;IF(""="","","; "&amp;""),"")))</f>
        <v/>
      </c>
      <c r="J1697" s="0" t="s">
        <v>4445</v>
      </c>
      <c r="K1697" s="0" t="n">
        <f aca="false">IF(M1697=2,"",IF(ISNUMBER(SEARCH("rata-rata:",'Onshore - Sydney'!M909)),VALUE(MID('Onshore - Sydney'!M909,SEARCH("rata-rata:",'Onshore - Sydney'!M909)+11,FIND(";",'Onshore - Sydney'!M909&amp;";",SEARCH("rata-rata:",'Onshore - Sydney'!M909))-SEARCH("rata-rata:",'Onshore - Sydney'!M909)-11)),IF('Onshore - Sydney'!D909="Semester",'Onshore - Sydney'!E909*2,IF('Onshore - Sydney'!D909="Trimester",'Onshore - Sydney'!E909*3,IF('Onshore - Sydney'!D909="Term",'Onshore - Sydney'!E909*4,IF('Onshore - Sydney'!D909="Unit",'Onshore - Sydney'!E909*8,""))))))</f>
        <v>18000</v>
      </c>
      <c r="L1697" s="0" t="n">
        <f aca="false">IF(AND(ISNUMBER('Onshore - Sydney'!E909),ISNUMBER(K1697),ISNUMBER('Onshore - Sydney'!F909),ISNUMBER('Onshore - Sydney'!G909),OR('Onshore - Sydney'!F909&lt;&gt;0,ISNUMBER(SEARCH("Material 0 terverifikasi",'Onshore - Sydney'!M909))),OR('Onshore - Sydney'!G909&lt;&gt;0,ISNUMBER(SEARCH("Enrolment 0 terverifikasi",'Onshore - Sydney'!M909)))),1,0)</f>
        <v>0</v>
      </c>
      <c r="M1697" s="0" t="n">
        <f aca="false">IF(OR('Onshore - Sydney'!E909="",ISNUMBER(SEARCH("BSB80120",'Onshore - Sydney'!B909&amp;'Onshore - Sydney'!M909)),ISNUMBER(SEARCH("Management (Learning)",'Onshore - Sydney'!B909))),2,IF(ISNUMBER(SEARCH("CEK:",'Onshore - Sydney'!M909)),1,0))</f>
        <v>0</v>
      </c>
    </row>
    <row r="1698" customFormat="false" ht="15" hidden="false" customHeight="false" outlineLevel="0" collapsed="false">
      <c r="A1698" s="63" t="s">
        <v>3533</v>
      </c>
      <c r="B1698" s="64" t="s">
        <v>4374</v>
      </c>
      <c r="C1698" s="63" t="s">
        <v>3707</v>
      </c>
      <c r="D1698" s="64" t="str">
        <f aca="false">TRIM(LEFT('Onshore - Sydney'!A163,FIND(CHAR(10),'Onshore - Sydney'!A163&amp;CHAR(10))-1))</f>
        <v>Australian Catholic University (ACU)</v>
      </c>
      <c r="E1698" s="63" t="str">
        <f aca="false">'Onshore - Sydney'!C187&amp;""</f>
        <v>0,5 year</v>
      </c>
      <c r="F1698" s="63" t="str">
        <f aca="false">IF('Onshore - Sydney'!D187="","Belum tercatat",'Onshore - Sydney'!D187)</f>
        <v>Term</v>
      </c>
      <c r="G1698" s="65" t="n">
        <f aca="false">IF('Onshore - Sydney'!E187="","-",'Onshore - Sydney'!E187)</f>
        <v>4762</v>
      </c>
      <c r="H1698" s="63" t="n">
        <f aca="false">IF(ISNUMBER(K1698),COUNTIFS($J$6:$J$1916,J1698,$K$6:$K$1916,"&lt;"&amp;K1698)+1,"-")</f>
        <v>4</v>
      </c>
      <c r="I1698" s="64" t="str">
        <f aca="false">IF('Onshore - Sydney'!E187="","Harga belum tersedia - hubungi konsultan TEG",IF(M1698=2,"Saat ini tidak menerima pendaftaran siswa internasional baru",IF(M1698=1,"Harga perlu dikonfirmasi ke sekolah"&amp;IF(""="","","; "&amp;""),"")))</f>
        <v>Harga perlu dikonfirmasi ke sekolah</v>
      </c>
      <c r="J1698" s="0" t="s">
        <v>4445</v>
      </c>
      <c r="K1698" s="0" t="n">
        <f aca="false">IF(M1698=2,"",IF(ISNUMBER(SEARCH("rata-rata:",'Onshore - Sydney'!M187)),VALUE(MID('Onshore - Sydney'!M187,SEARCH("rata-rata:",'Onshore - Sydney'!M187)+11,FIND(";",'Onshore - Sydney'!M187&amp;";",SEARCH("rata-rata:",'Onshore - Sydney'!M187))-SEARCH("rata-rata:",'Onshore - Sydney'!M187)-11)),IF('Onshore - Sydney'!D187="Semester",'Onshore - Sydney'!E187*2,IF('Onshore - Sydney'!D187="Trimester",'Onshore - Sydney'!E187*3,IF('Onshore - Sydney'!D187="Term",'Onshore - Sydney'!E187*4,IF('Onshore - Sydney'!D187="Unit",'Onshore - Sydney'!E187*8,""))))))</f>
        <v>19048</v>
      </c>
      <c r="L1698" s="0" t="n">
        <f aca="false">IF(AND(ISNUMBER('Onshore - Sydney'!E187),ISNUMBER(K1698),ISNUMBER('Onshore - Sydney'!F187),ISNUMBER('Onshore - Sydney'!G187),OR('Onshore - Sydney'!F187&lt;&gt;0,ISNUMBER(SEARCH("Material 0 terverifikasi",'Onshore - Sydney'!M187))),OR('Onshore - Sydney'!G187&lt;&gt;0,ISNUMBER(SEARCH("Enrolment 0 terverifikasi",'Onshore - Sydney'!M187)))),1,0)</f>
        <v>0</v>
      </c>
      <c r="M1698" s="0" t="n">
        <f aca="false">IF(OR('Onshore - Sydney'!E187="",ISNUMBER(SEARCH("BSB80120",'Onshore - Sydney'!B187&amp;'Onshore - Sydney'!M187)),ISNUMBER(SEARCH("Management (Learning)",'Onshore - Sydney'!B187))),2,IF(ISNUMBER(SEARCH("CEK:",'Onshore - Sydney'!M187)),1,0))</f>
        <v>1</v>
      </c>
    </row>
    <row r="1699" customFormat="false" ht="15" hidden="false" customHeight="false" outlineLevel="0" collapsed="false">
      <c r="A1699" s="63" t="s">
        <v>3533</v>
      </c>
      <c r="B1699" s="64" t="s">
        <v>4374</v>
      </c>
      <c r="C1699" s="63" t="s">
        <v>3707</v>
      </c>
      <c r="D1699" s="64" t="str">
        <f aca="false">TRIM(LEFT('Onshore - Sydney'!A1062,FIND(CHAR(10),'Onshore - Sydney'!A1062&amp;CHAR(10))-1))</f>
        <v>Western Sydney University</v>
      </c>
      <c r="E1699" s="63" t="str">
        <f aca="false">'Onshore - Sydney'!C1175&amp;""</f>
        <v>0,5 year</v>
      </c>
      <c r="F1699" s="63" t="str">
        <f aca="false">IF('Onshore - Sydney'!D1175="","Belum tercatat",'Onshore - Sydney'!D1175)</f>
        <v>Term</v>
      </c>
      <c r="G1699" s="65" t="n">
        <f aca="false">IF('Onshore - Sydney'!E1175="","-",'Onshore - Sydney'!E1175)</f>
        <v>5153</v>
      </c>
      <c r="H1699" s="63" t="n">
        <f aca="false">IF(ISNUMBER(K1699),COUNTIFS($J$6:$J$1916,J1699,$K$6:$K$1916,"&lt;"&amp;K1699)+1,"-")</f>
        <v>5</v>
      </c>
      <c r="I1699" s="64" t="str">
        <f aca="false">IF('Onshore - Sydney'!E1175="","Harga belum tersedia - hubungi konsultan TEG",IF(M1699=2,"Saat ini tidak menerima pendaftaran siswa internasional baru",IF(M1699=1,"Harga perlu dikonfirmasi ke sekolah"&amp;IF(""="","","; "&amp;""),"")))</f>
        <v/>
      </c>
      <c r="J1699" s="0" t="s">
        <v>4445</v>
      </c>
      <c r="K1699" s="0" t="n">
        <f aca="false">IF(M1699=2,"",IF(ISNUMBER(SEARCH("rata-rata:",'Onshore - Sydney'!M1175)),VALUE(MID('Onshore - Sydney'!M1175,SEARCH("rata-rata:",'Onshore - Sydney'!M1175)+11,FIND(";",'Onshore - Sydney'!M1175&amp;";",SEARCH("rata-rata:",'Onshore - Sydney'!M1175))-SEARCH("rata-rata:",'Onshore - Sydney'!M1175)-11)),IF('Onshore - Sydney'!D1175="Semester",'Onshore - Sydney'!E1175*2,IF('Onshore - Sydney'!D1175="Trimester",'Onshore - Sydney'!E1175*3,IF('Onshore - Sydney'!D1175="Term",'Onshore - Sydney'!E1175*4,IF('Onshore - Sydney'!D1175="Unit",'Onshore - Sydney'!E1175*8,""))))))</f>
        <v>20612</v>
      </c>
      <c r="L1699" s="0" t="n">
        <f aca="false">IF(AND(ISNUMBER('Onshore - Sydney'!E1175),ISNUMBER(K1699),ISNUMBER('Onshore - Sydney'!F1175),ISNUMBER('Onshore - Sydney'!G1175),OR('Onshore - Sydney'!F1175&lt;&gt;0,ISNUMBER(SEARCH("Material 0 terverifikasi",'Onshore - Sydney'!M1175))),OR('Onshore - Sydney'!G1175&lt;&gt;0,ISNUMBER(SEARCH("Enrolment 0 terverifikasi",'Onshore - Sydney'!M1175)))),1,0)</f>
        <v>0</v>
      </c>
      <c r="M1699" s="0" t="n">
        <f aca="false">IF(OR('Onshore - Sydney'!E1175="",ISNUMBER(SEARCH("BSB80120",'Onshore - Sydney'!B1175&amp;'Onshore - Sydney'!M1175)),ISNUMBER(SEARCH("Management (Learning)",'Onshore - Sydney'!B1175))),2,IF(ISNUMBER(SEARCH("CEK:",'Onshore - Sydney'!M1175)),1,0))</f>
        <v>0</v>
      </c>
    </row>
    <row r="1700" customFormat="false" ht="15" hidden="false" customHeight="false" outlineLevel="0" collapsed="false">
      <c r="A1700" s="63" t="s">
        <v>3533</v>
      </c>
      <c r="B1700" s="64" t="s">
        <v>4374</v>
      </c>
      <c r="C1700" s="63" t="s">
        <v>3707</v>
      </c>
      <c r="D1700" s="64" t="str">
        <f aca="false">TRIM(LEFT('Onshore - Sydney'!A138,FIND(CHAR(10),'Onshore - Sydney'!A138&amp;CHAR(10))-1))</f>
        <v>Asia Pacific International College (APIC)</v>
      </c>
      <c r="E1700" s="63" t="str">
        <f aca="false">'Onshore - Sydney'!C146&amp;""</f>
        <v>0,5 year</v>
      </c>
      <c r="F1700" s="63" t="str">
        <f aca="false">IF('Onshore - Sydney'!D146="","Belum tercatat",'Onshore - Sydney'!D146)</f>
        <v>Trimester</v>
      </c>
      <c r="G1700" s="65" t="n">
        <f aca="false">IF('Onshore - Sydney'!E146="","-",'Onshore - Sydney'!E146)</f>
        <v>7800</v>
      </c>
      <c r="H1700" s="63" t="n">
        <f aca="false">IF(ISNUMBER(K1700),COUNTIFS($J$6:$J$1916,J1700,$K$6:$K$1916,"&lt;"&amp;K1700)+1,"-")</f>
        <v>6</v>
      </c>
      <c r="I1700" s="64" t="str">
        <f aca="false">IF('Onshore - Sydney'!E146="","Harga belum tersedia - hubungi konsultan TEG",IF(M1700=2,"Saat ini tidak menerima pendaftaran siswa internasional baru",IF(M1700=1,"Harga perlu dikonfirmasi ke sekolah"&amp;IF(""="","","; "&amp;""),"")))</f>
        <v>Harga perlu dikonfirmasi ke sekolah</v>
      </c>
      <c r="J1700" s="0" t="s">
        <v>4445</v>
      </c>
      <c r="K1700" s="0" t="n">
        <f aca="false">IF(M1700=2,"",IF(ISNUMBER(SEARCH("rata-rata:",'Onshore - Sydney'!M146)),VALUE(MID('Onshore - Sydney'!M146,SEARCH("rata-rata:",'Onshore - Sydney'!M146)+11,FIND(";",'Onshore - Sydney'!M146&amp;";",SEARCH("rata-rata:",'Onshore - Sydney'!M146))-SEARCH("rata-rata:",'Onshore - Sydney'!M146)-11)),IF('Onshore - Sydney'!D146="Semester",'Onshore - Sydney'!E146*2,IF('Onshore - Sydney'!D146="Trimester",'Onshore - Sydney'!E146*3,IF('Onshore - Sydney'!D146="Term",'Onshore - Sydney'!E146*4,IF('Onshore - Sydney'!D146="Unit",'Onshore - Sydney'!E146*8,""))))))</f>
        <v>23400</v>
      </c>
      <c r="L1700" s="0" t="n">
        <f aca="false">IF(AND(ISNUMBER('Onshore - Sydney'!E146),ISNUMBER(K1700),ISNUMBER('Onshore - Sydney'!F146),ISNUMBER('Onshore - Sydney'!G146),OR('Onshore - Sydney'!F146&lt;&gt;0,ISNUMBER(SEARCH("Material 0 terverifikasi",'Onshore - Sydney'!M146))),OR('Onshore - Sydney'!G146&lt;&gt;0,ISNUMBER(SEARCH("Enrolment 0 terverifikasi",'Onshore - Sydney'!M146)))),1,0)</f>
        <v>0</v>
      </c>
      <c r="M1700" s="0" t="n">
        <f aca="false">IF(OR('Onshore - Sydney'!E146="",ISNUMBER(SEARCH("BSB80120",'Onshore - Sydney'!B146&amp;'Onshore - Sydney'!M146)),ISNUMBER(SEARCH("Management (Learning)",'Onshore - Sydney'!B146))),2,IF(ISNUMBER(SEARCH("CEK:",'Onshore - Sydney'!M146)),1,0))</f>
        <v>1</v>
      </c>
    </row>
    <row r="1701" customFormat="false" ht="15" hidden="false" customHeight="false" outlineLevel="0" collapsed="false">
      <c r="A1701" s="63" t="s">
        <v>3533</v>
      </c>
      <c r="B1701" s="64" t="s">
        <v>4374</v>
      </c>
      <c r="C1701" s="63" t="s">
        <v>3707</v>
      </c>
      <c r="D1701" s="64" t="str">
        <f aca="false">TRIM(LEFT('Onshore - Sydney'!A552,FIND(CHAR(10),'Onshore - Sydney'!A552&amp;CHAR(10))-1))</f>
        <v>Kaplan Business School</v>
      </c>
      <c r="E1701" s="63" t="str">
        <f aca="false">'Onshore - Sydney'!C563&amp;""</f>
        <v>0,5 year</v>
      </c>
      <c r="F1701" s="63" t="str">
        <f aca="false">IF('Onshore - Sydney'!D563="","Belum tercatat",'Onshore - Sydney'!D563)</f>
        <v>Trimester</v>
      </c>
      <c r="G1701" s="65" t="n">
        <f aca="false">IF('Onshore - Sydney'!E563="","-",'Onshore - Sydney'!E563)</f>
        <v>14560</v>
      </c>
      <c r="H1701" s="63" t="n">
        <f aca="false">IF(ISNUMBER(K1701),COUNTIFS($J$6:$J$1916,J1701,$K$6:$K$1916,"&lt;"&amp;K1701)+1,"-")</f>
        <v>7</v>
      </c>
      <c r="I1701" s="64" t="str">
        <f aca="false">IF('Onshore - Sydney'!E563="","Harga belum tersedia - hubungi konsultan TEG",IF(M1701=2,"Saat ini tidak menerima pendaftaran siswa internasional baru",IF(M1701=1,"Harga perlu dikonfirmasi ke sekolah"&amp;IF(""="","","; "&amp;""),"")))</f>
        <v>Harga perlu dikonfirmasi ke sekolah</v>
      </c>
      <c r="J1701" s="0" t="s">
        <v>4445</v>
      </c>
      <c r="K1701" s="0" t="n">
        <f aca="false">IF(M1701=2,"",IF(ISNUMBER(SEARCH("rata-rata:",'Onshore - Sydney'!M563)),VALUE(MID('Onshore - Sydney'!M563,SEARCH("rata-rata:",'Onshore - Sydney'!M563)+11,FIND(";",'Onshore - Sydney'!M563&amp;";",SEARCH("rata-rata:",'Onshore - Sydney'!M563))-SEARCH("rata-rata:",'Onshore - Sydney'!M563)-11)),IF('Onshore - Sydney'!D563="Semester",'Onshore - Sydney'!E563*2,IF('Onshore - Sydney'!D563="Trimester",'Onshore - Sydney'!E563*3,IF('Onshore - Sydney'!D563="Term",'Onshore - Sydney'!E563*4,IF('Onshore - Sydney'!D563="Unit",'Onshore - Sydney'!E563*8,""))))))</f>
        <v>43680</v>
      </c>
      <c r="L1701" s="0" t="n">
        <f aca="false">IF(AND(ISNUMBER('Onshore - Sydney'!E563),ISNUMBER(K1701),ISNUMBER('Onshore - Sydney'!F563),ISNUMBER('Onshore - Sydney'!G563),OR('Onshore - Sydney'!F563&lt;&gt;0,ISNUMBER(SEARCH("Material 0 terverifikasi",'Onshore - Sydney'!M563))),OR('Onshore - Sydney'!G563&lt;&gt;0,ISNUMBER(SEARCH("Enrolment 0 terverifikasi",'Onshore - Sydney'!M563)))),1,0)</f>
        <v>1</v>
      </c>
      <c r="M1701" s="0" t="n">
        <f aca="false">IF(OR('Onshore - Sydney'!E563="",ISNUMBER(SEARCH("BSB80120",'Onshore - Sydney'!B563&amp;'Onshore - Sydney'!M563)),ISNUMBER(SEARCH("Management (Learning)",'Onshore - Sydney'!B563))),2,IF(ISNUMBER(SEARCH("CEK:",'Onshore - Sydney'!M563)),1,0))</f>
        <v>1</v>
      </c>
    </row>
    <row r="1702" customFormat="false" ht="15" hidden="false" customHeight="false" outlineLevel="0" collapsed="false">
      <c r="A1702" s="61" t="s">
        <v>4446</v>
      </c>
      <c r="B1702" s="62"/>
      <c r="C1702" s="62"/>
      <c r="D1702" s="62"/>
      <c r="E1702" s="62"/>
      <c r="F1702" s="62"/>
      <c r="G1702" s="62"/>
      <c r="H1702" s="62"/>
      <c r="I1702" s="62"/>
    </row>
    <row r="1703" customFormat="false" ht="15" hidden="false" customHeight="false" outlineLevel="0" collapsed="false">
      <c r="A1703" s="63" t="s">
        <v>3533</v>
      </c>
      <c r="B1703" s="64" t="s">
        <v>4374</v>
      </c>
      <c r="C1703" s="63" t="s">
        <v>46</v>
      </c>
      <c r="D1703" s="64" t="str">
        <f aca="false">TRIM(LEFT('Onshore - Sydney'!A775,FIND(CHAR(10),'Onshore - Sydney'!A775&amp;CHAR(10))-1))</f>
        <v>Sydney Institute of Higher Education (SIHE)</v>
      </c>
      <c r="E1703" s="63" t="str">
        <f aca="false">'Onshore - Sydney'!C776&amp;""</f>
        <v>2 years</v>
      </c>
      <c r="F1703" s="63" t="str">
        <f aca="false">IF('Onshore - Sydney'!D776="","Belum tercatat",'Onshore - Sydney'!D776)</f>
        <v>Trimester</v>
      </c>
      <c r="G1703" s="65" t="n">
        <f aca="false">IF('Onshore - Sydney'!E776="","-",'Onshore - Sydney'!E776)</f>
        <v>4778</v>
      </c>
      <c r="H1703" s="63" t="n">
        <f aca="false">IF(ISNUMBER(K1703),COUNTIFS($J$6:$J$1916,J1703,$K$6:$K$1916,"&lt;"&amp;K1703)+1,"-")</f>
        <v>1</v>
      </c>
      <c r="I1703" s="64" t="str">
        <f aca="false">IF('Onshore - Sydney'!E776="","Harga belum tersedia - hubungi konsultan TEG",IF(M1703=2,"Saat ini tidak menerima pendaftaran siswa internasional baru",IF(M1703=1,"Harga perlu dikonfirmasi ke sekolah"&amp;IF(""="","","; "&amp;""),"")))</f>
        <v>Harga perlu dikonfirmasi ke sekolah</v>
      </c>
      <c r="J1703" s="0" t="s">
        <v>4447</v>
      </c>
      <c r="K1703" s="0" t="n">
        <f aca="false">IF(M1703=2,"",IF(ISNUMBER(SEARCH("rata-rata:",'Onshore - Sydney'!M776)),VALUE(MID('Onshore - Sydney'!M776,SEARCH("rata-rata:",'Onshore - Sydney'!M776)+11,FIND(";",'Onshore - Sydney'!M776&amp;";",SEARCH("rata-rata:",'Onshore - Sydney'!M776))-SEARCH("rata-rata:",'Onshore - Sydney'!M776)-11)),IF('Onshore - Sydney'!D776="Semester",'Onshore - Sydney'!E776*2,IF('Onshore - Sydney'!D776="Trimester",'Onshore - Sydney'!E776*3,IF('Onshore - Sydney'!D776="Term",'Onshore - Sydney'!E776*4,IF('Onshore - Sydney'!D776="Unit",'Onshore - Sydney'!E776*8,""))))))</f>
        <v>14334</v>
      </c>
      <c r="L1703" s="0" t="n">
        <f aca="false">IF(AND(ISNUMBER('Onshore - Sydney'!E776),ISNUMBER(K1703),ISNUMBER('Onshore - Sydney'!F776),ISNUMBER('Onshore - Sydney'!G776),OR('Onshore - Sydney'!F776&lt;&gt;0,ISNUMBER(SEARCH("Material 0 terverifikasi",'Onshore - Sydney'!M776))),OR('Onshore - Sydney'!G776&lt;&gt;0,ISNUMBER(SEARCH("Enrolment 0 terverifikasi",'Onshore - Sydney'!M776)))),1,0)</f>
        <v>0</v>
      </c>
      <c r="M1703" s="0" t="n">
        <f aca="false">IF(OR('Onshore - Sydney'!E776="",ISNUMBER(SEARCH("BSB80120",'Onshore - Sydney'!B776&amp;'Onshore - Sydney'!M776)),ISNUMBER(SEARCH("Management (Learning)",'Onshore - Sydney'!B776))),2,IF(ISNUMBER(SEARCH("CEK:",'Onshore - Sydney'!M776)),1,0))</f>
        <v>1</v>
      </c>
    </row>
    <row r="1704" customFormat="false" ht="15" hidden="false" customHeight="false" outlineLevel="0" collapsed="false">
      <c r="A1704" s="63" t="s">
        <v>3533</v>
      </c>
      <c r="B1704" s="64" t="s">
        <v>4374</v>
      </c>
      <c r="C1704" s="63" t="s">
        <v>46</v>
      </c>
      <c r="D1704" s="64" t="str">
        <f aca="false">TRIM(LEFT('Onshore - Sydney'!A74,FIND(CHAR(10),'Onshore - Sydney'!A74&amp;CHAR(10))-1))</f>
        <v>AIBI Higher Education</v>
      </c>
      <c r="E1704" s="63" t="str">
        <f aca="false">'Onshore - Sydney'!C80&amp;""</f>
        <v>2 years</v>
      </c>
      <c r="F1704" s="63" t="str">
        <f aca="false">IF('Onshore - Sydney'!D80="","Belum tercatat",'Onshore - Sydney'!D80)</f>
        <v>Term</v>
      </c>
      <c r="G1704" s="65" t="n">
        <f aca="false">IF('Onshore - Sydney'!E80="","-",'Onshore - Sydney'!E80)</f>
        <v>4050</v>
      </c>
      <c r="H1704" s="63" t="n">
        <f aca="false">IF(ISNUMBER(K1704),COUNTIFS($J$6:$J$1916,J1704,$K$6:$K$1916,"&lt;"&amp;K1704)+1,"-")</f>
        <v>2</v>
      </c>
      <c r="I1704" s="64" t="str">
        <f aca="false">IF('Onshore - Sydney'!E80="","Harga belum tersedia - hubungi konsultan TEG",IF(M1704=2,"Saat ini tidak menerima pendaftaran siswa internasional baru",IF(M1704=1,"Harga perlu dikonfirmasi ke sekolah"&amp;IF(""="","","; "&amp;""),"")))</f>
        <v>Harga perlu dikonfirmasi ke sekolah</v>
      </c>
      <c r="J1704" s="0" t="s">
        <v>4447</v>
      </c>
      <c r="K1704" s="0" t="n">
        <f aca="false">IF(M1704=2,"",IF(ISNUMBER(SEARCH("rata-rata:",'Onshore - Sydney'!M80)),VALUE(MID('Onshore - Sydney'!M80,SEARCH("rata-rata:",'Onshore - Sydney'!M80)+11,FIND(";",'Onshore - Sydney'!M80&amp;";",SEARCH("rata-rata:",'Onshore - Sydney'!M80))-SEARCH("rata-rata:",'Onshore - Sydney'!M80)-11)),IF('Onshore - Sydney'!D80="Semester",'Onshore - Sydney'!E80*2,IF('Onshore - Sydney'!D80="Trimester",'Onshore - Sydney'!E80*3,IF('Onshore - Sydney'!D80="Term",'Onshore - Sydney'!E80*4,IF('Onshore - Sydney'!D80="Unit",'Onshore - Sydney'!E80*8,""))))))</f>
        <v>16200</v>
      </c>
      <c r="L1704" s="0" t="n">
        <f aca="false">IF(AND(ISNUMBER('Onshore - Sydney'!E80),ISNUMBER(K1704),ISNUMBER('Onshore - Sydney'!F80),ISNUMBER('Onshore - Sydney'!G80),OR('Onshore - Sydney'!F80&lt;&gt;0,ISNUMBER(SEARCH("Material 0 terverifikasi",'Onshore - Sydney'!M80))),OR('Onshore - Sydney'!G80&lt;&gt;0,ISNUMBER(SEARCH("Enrolment 0 terverifikasi",'Onshore - Sydney'!M80)))),1,0)</f>
        <v>0</v>
      </c>
      <c r="M1704" s="0" t="n">
        <f aca="false">IF(OR('Onshore - Sydney'!E80="",ISNUMBER(SEARCH("BSB80120",'Onshore - Sydney'!B80&amp;'Onshore - Sydney'!M80)),ISNUMBER(SEARCH("Management (Learning)",'Onshore - Sydney'!B80))),2,IF(ISNUMBER(SEARCH("CEK:",'Onshore - Sydney'!M80)),1,0))</f>
        <v>1</v>
      </c>
    </row>
    <row r="1705" customFormat="false" ht="15" hidden="false" customHeight="false" outlineLevel="0" collapsed="false">
      <c r="A1705" s="63" t="s">
        <v>3533</v>
      </c>
      <c r="B1705" s="64" t="s">
        <v>4374</v>
      </c>
      <c r="C1705" s="63" t="s">
        <v>46</v>
      </c>
      <c r="D1705" s="64" t="str">
        <f aca="false">TRIM(LEFT('Onshore - Sydney'!A422,FIND(CHAR(10),'Onshore - Sydney'!A422&amp;CHAR(10))-1))</f>
        <v>CIHE Australia</v>
      </c>
      <c r="E1705" s="63" t="str">
        <f aca="false">'Onshore - Sydney'!C431&amp;""</f>
        <v>2 years</v>
      </c>
      <c r="F1705" s="63" t="str">
        <f aca="false">IF('Onshore - Sydney'!D431="","Belum tercatat",'Onshore - Sydney'!D431)</f>
        <v>Term</v>
      </c>
      <c r="G1705" s="65" t="n">
        <f aca="false">IF('Onshore - Sydney'!E431="","-",'Onshore - Sydney'!E431)</f>
        <v>4125</v>
      </c>
      <c r="H1705" s="63" t="n">
        <f aca="false">IF(ISNUMBER(K1705),COUNTIFS($J$6:$J$1916,J1705,$K$6:$K$1916,"&lt;"&amp;K1705)+1,"-")</f>
        <v>3</v>
      </c>
      <c r="I1705" s="64" t="str">
        <f aca="false">IF('Onshore - Sydney'!E431="","Harga belum tersedia - hubungi konsultan TEG",IF(M1705=2,"Saat ini tidak menerima pendaftaran siswa internasional baru",IF(M1705=1,"Harga perlu dikonfirmasi ke sekolah"&amp;IF(""="","","; "&amp;""),"")))</f>
        <v>Harga perlu dikonfirmasi ke sekolah</v>
      </c>
      <c r="J1705" s="0" t="s">
        <v>4447</v>
      </c>
      <c r="K1705" s="0" t="n">
        <f aca="false">IF(M1705=2,"",IF(ISNUMBER(SEARCH("rata-rata:",'Onshore - Sydney'!M431)),VALUE(MID('Onshore - Sydney'!M431,SEARCH("rata-rata:",'Onshore - Sydney'!M431)+11,FIND(";",'Onshore - Sydney'!M431&amp;";",SEARCH("rata-rata:",'Onshore - Sydney'!M431))-SEARCH("rata-rata:",'Onshore - Sydney'!M431)-11)),IF('Onshore - Sydney'!D431="Semester",'Onshore - Sydney'!E431*2,IF('Onshore - Sydney'!D431="Trimester",'Onshore - Sydney'!E431*3,IF('Onshore - Sydney'!D431="Term",'Onshore - Sydney'!E431*4,IF('Onshore - Sydney'!D431="Unit",'Onshore - Sydney'!E431*8,""))))))</f>
        <v>16500</v>
      </c>
      <c r="L1705" s="0" t="n">
        <f aca="false">IF(AND(ISNUMBER('Onshore - Sydney'!E431),ISNUMBER(K1705),ISNUMBER('Onshore - Sydney'!F431),ISNUMBER('Onshore - Sydney'!G431),OR('Onshore - Sydney'!F431&lt;&gt;0,ISNUMBER(SEARCH("Material 0 terverifikasi",'Onshore - Sydney'!M431))),OR('Onshore - Sydney'!G431&lt;&gt;0,ISNUMBER(SEARCH("Enrolment 0 terverifikasi",'Onshore - Sydney'!M431)))),1,0)</f>
        <v>1</v>
      </c>
      <c r="M1705" s="0" t="n">
        <f aca="false">IF(OR('Onshore - Sydney'!E431="",ISNUMBER(SEARCH("BSB80120",'Onshore - Sydney'!B431&amp;'Onshore - Sydney'!M431)),ISNUMBER(SEARCH("Management (Learning)",'Onshore - Sydney'!B431))),2,IF(ISNUMBER(SEARCH("CEK:",'Onshore - Sydney'!M431)),1,0))</f>
        <v>1</v>
      </c>
    </row>
    <row r="1706" customFormat="false" ht="55.2" hidden="false" customHeight="false" outlineLevel="0" collapsed="false">
      <c r="A1706" s="63" t="s">
        <v>3533</v>
      </c>
      <c r="B1706" s="64" t="s">
        <v>4374</v>
      </c>
      <c r="C1706" s="63" t="s">
        <v>46</v>
      </c>
      <c r="D1706" s="64" t="str">
        <f aca="false">TRIM(LEFT('Onshore - Sydney'!A88,FIND(CHAR(10),'Onshore - Sydney'!A88&amp;CHAR(10))-1))</f>
        <v>AIH Higher Education (Australian Institute of Higher Education)</v>
      </c>
      <c r="E1706" s="63" t="str">
        <f aca="false">'Onshore - Sydney'!C93&amp;""</f>
        <v>2 years</v>
      </c>
      <c r="F1706" s="63" t="str">
        <f aca="false">IF('Onshore - Sydney'!D93="","Belum tercatat",'Onshore - Sydney'!D93)</f>
        <v>Unit</v>
      </c>
      <c r="G1706" s="65" t="n">
        <f aca="false">IF('Onshore - Sydney'!E93="","-",'Onshore - Sydney'!E93)</f>
        <v>2150</v>
      </c>
      <c r="H1706" s="63" t="n">
        <f aca="false">IF(ISNUMBER(K1706),COUNTIFS($J$6:$J$1916,J1706,$K$6:$K$1916,"&lt;"&amp;K1706)+1,"-")</f>
        <v>4</v>
      </c>
      <c r="I1706" s="64" t="str">
        <f aca="false">IF('Onshore - Sydney'!E93="","Harga belum tersedia - hubungi konsultan TEG",IF(M1706=2,"Saat ini tidak menerima pendaftaran siswa internasional baru",IF(M1706=1,"Harga perlu dikonfirmasi ke sekolah"&amp;IF("Harga promo s.d. 31/12/2026; Harga dihitung per unit; total tergantung jumlah unit yang diambil; Sudah termasuk beasiswa 20% (syarat berlaku)"="","","; "&amp;"Harga promo s.d. 31/12/2026; Harga dihitung per unit; total tergantung jumlah unit yang diambil; Sudah termasuk beasiswa 20% (syarat berlaku)"),"Harga promo s.d. 31/12/2026; Harga dihitung per unit; total tergantung jumlah unit yang diambil; Sudah termasuk beasiswa 20% (syarat berlaku)")))</f>
        <v>Harga promo s.d. 31/12/2026; Harga dihitung per unit; total tergantung jumlah unit yang diambil; Sudah termasuk beasiswa 20% (syarat berlaku)</v>
      </c>
      <c r="J1706" s="0" t="s">
        <v>4447</v>
      </c>
      <c r="K1706" s="0" t="n">
        <f aca="false">IF(M1706=2,"",IF(ISNUMBER(SEARCH("rata-rata:",'Onshore - Sydney'!M93)),VALUE(MID('Onshore - Sydney'!M93,SEARCH("rata-rata:",'Onshore - Sydney'!M93)+11,FIND(";",'Onshore - Sydney'!M93&amp;";",SEARCH("rata-rata:",'Onshore - Sydney'!M93))-SEARCH("rata-rata:",'Onshore - Sydney'!M93)-11)),IF('Onshore - Sydney'!D93="Semester",'Onshore - Sydney'!E93*2,IF('Onshore - Sydney'!D93="Trimester",'Onshore - Sydney'!E93*3,IF('Onshore - Sydney'!D93="Term",'Onshore - Sydney'!E93*4,IF('Onshore - Sydney'!D93="Unit",'Onshore - Sydney'!E93*8,""))))))</f>
        <v>17200</v>
      </c>
      <c r="L1706" s="0" t="n">
        <f aca="false">IF(AND(ISNUMBER('Onshore - Sydney'!E93),ISNUMBER(K1706),ISNUMBER('Onshore - Sydney'!F93),ISNUMBER('Onshore - Sydney'!G93),OR('Onshore - Sydney'!F93&lt;&gt;0,ISNUMBER(SEARCH("Material 0 terverifikasi",'Onshore - Sydney'!M93))),OR('Onshore - Sydney'!G93&lt;&gt;0,ISNUMBER(SEARCH("Enrolment 0 terverifikasi",'Onshore - Sydney'!M93)))),1,0)</f>
        <v>1</v>
      </c>
      <c r="M1706" s="0" t="n">
        <f aca="false">IF(OR('Onshore - Sydney'!E93="",ISNUMBER(SEARCH("BSB80120",'Onshore - Sydney'!B93&amp;'Onshore - Sydney'!M93)),ISNUMBER(SEARCH("Management (Learning)",'Onshore - Sydney'!B93))),2,IF(ISNUMBER(SEARCH("CEK:",'Onshore - Sydney'!M93)),1,0))</f>
        <v>0</v>
      </c>
    </row>
    <row r="1707" customFormat="false" ht="15" hidden="false" customHeight="false" outlineLevel="0" collapsed="false">
      <c r="A1707" s="63" t="s">
        <v>3533</v>
      </c>
      <c r="B1707" s="64" t="s">
        <v>4374</v>
      </c>
      <c r="C1707" s="63" t="s">
        <v>46</v>
      </c>
      <c r="D1707" s="64" t="str">
        <f aca="false">TRIM(LEFT('Onshore - Sydney'!A866,FIND(CHAR(10),'Onshore - Sydney'!A866&amp;CHAR(10))-1))</f>
        <v>The Institute of International Studies (TIIS)</v>
      </c>
      <c r="E1707" s="63" t="str">
        <f aca="false">'Onshore - Sydney'!C869&amp;""</f>
        <v>2 years</v>
      </c>
      <c r="F1707" s="63" t="str">
        <f aca="false">IF('Onshore - Sydney'!D869="","Belum tercatat",'Onshore - Sydney'!D869)</f>
        <v>Term</v>
      </c>
      <c r="G1707" s="65" t="n">
        <f aca="false">IF('Onshore - Sydney'!E869="","-",'Onshore - Sydney'!E869)</f>
        <v>4500</v>
      </c>
      <c r="H1707" s="63" t="n">
        <f aca="false">IF(ISNUMBER(K1707),COUNTIFS($J$6:$J$1916,J1707,$K$6:$K$1916,"&lt;"&amp;K1707)+1,"-")</f>
        <v>5</v>
      </c>
      <c r="I1707" s="64" t="str">
        <f aca="false">IF('Onshore - Sydney'!E869="","Harga belum tersedia - hubungi konsultan TEG",IF(M1707=2,"Saat ini tidak menerima pendaftaran siswa internasional baru",IF(M1707=1,"Harga perlu dikonfirmasi ke sekolah"&amp;IF(""="","","; "&amp;""),"")))</f>
        <v/>
      </c>
      <c r="J1707" s="0" t="s">
        <v>4447</v>
      </c>
      <c r="K1707" s="0" t="n">
        <f aca="false">IF(M1707=2,"",IF(ISNUMBER(SEARCH("rata-rata:",'Onshore - Sydney'!M869)),VALUE(MID('Onshore - Sydney'!M869,SEARCH("rata-rata:",'Onshore - Sydney'!M869)+11,FIND(";",'Onshore - Sydney'!M869&amp;";",SEARCH("rata-rata:",'Onshore - Sydney'!M869))-SEARCH("rata-rata:",'Onshore - Sydney'!M869)-11)),IF('Onshore - Sydney'!D869="Semester",'Onshore - Sydney'!E869*2,IF('Onshore - Sydney'!D869="Trimester",'Onshore - Sydney'!E869*3,IF('Onshore - Sydney'!D869="Term",'Onshore - Sydney'!E869*4,IF('Onshore - Sydney'!D869="Unit",'Onshore - Sydney'!E869*8,""))))))</f>
        <v>18000</v>
      </c>
      <c r="L1707" s="0" t="n">
        <f aca="false">IF(AND(ISNUMBER('Onshore - Sydney'!E869),ISNUMBER(K1707),ISNUMBER('Onshore - Sydney'!F869),ISNUMBER('Onshore - Sydney'!G869),OR('Onshore - Sydney'!F869&lt;&gt;0,ISNUMBER(SEARCH("Material 0 terverifikasi",'Onshore - Sydney'!M869))),OR('Onshore - Sydney'!G869&lt;&gt;0,ISNUMBER(SEARCH("Enrolment 0 terverifikasi",'Onshore - Sydney'!M869)))),1,0)</f>
        <v>0</v>
      </c>
      <c r="M1707" s="0" t="n">
        <f aca="false">IF(OR('Onshore - Sydney'!E869="",ISNUMBER(SEARCH("BSB80120",'Onshore - Sydney'!B869&amp;'Onshore - Sydney'!M869)),ISNUMBER(SEARCH("Management (Learning)",'Onshore - Sydney'!B869))),2,IF(ISNUMBER(SEARCH("CEK:",'Onshore - Sydney'!M869)),1,0))</f>
        <v>0</v>
      </c>
    </row>
    <row r="1708" customFormat="false" ht="15" hidden="false" customHeight="false" outlineLevel="0" collapsed="false">
      <c r="A1708" s="63" t="s">
        <v>3533</v>
      </c>
      <c r="B1708" s="64" t="s">
        <v>4374</v>
      </c>
      <c r="C1708" s="63" t="s">
        <v>46</v>
      </c>
      <c r="D1708" s="64" t="str">
        <f aca="false">TRIM(LEFT('Onshore - Sydney'!A50,FIND(CHAR(10),'Onshore - Sydney'!A50&amp;CHAR(10))-1))</f>
        <v>Academies Australasia</v>
      </c>
      <c r="E1708" s="63" t="str">
        <f aca="false">'Onshore - Sydney'!C56&amp;""</f>
        <v>2 years</v>
      </c>
      <c r="F1708" s="63" t="str">
        <f aca="false">IF('Onshore - Sydney'!D56="","Belum tercatat",'Onshore - Sydney'!D56)</f>
        <v>Term</v>
      </c>
      <c r="G1708" s="65" t="n">
        <f aca="false">IF('Onshore - Sydney'!E56="","-",'Onshore - Sydney'!E56)</f>
        <v>5000</v>
      </c>
      <c r="H1708" s="63" t="n">
        <f aca="false">IF(ISNUMBER(K1708),COUNTIFS($J$6:$J$1916,J1708,$K$6:$K$1916,"&lt;"&amp;K1708)+1,"-")</f>
        <v>6</v>
      </c>
      <c r="I1708" s="64" t="str">
        <f aca="false">IF('Onshore - Sydney'!E56="","Harga belum tersedia - hubungi konsultan TEG",IF(M1708=2,"Saat ini tidak menerima pendaftaran siswa internasional baru",IF(M1708=1,"Harga perlu dikonfirmasi ke sekolah"&amp;IF(""="","","; "&amp;""),"")))</f>
        <v/>
      </c>
      <c r="J1708" s="0" t="s">
        <v>4447</v>
      </c>
      <c r="K1708" s="0" t="n">
        <f aca="false">IF(M1708=2,"",IF(ISNUMBER(SEARCH("rata-rata:",'Onshore - Sydney'!M56)),VALUE(MID('Onshore - Sydney'!M56,SEARCH("rata-rata:",'Onshore - Sydney'!M56)+11,FIND(";",'Onshore - Sydney'!M56&amp;";",SEARCH("rata-rata:",'Onshore - Sydney'!M56))-SEARCH("rata-rata:",'Onshore - Sydney'!M56)-11)),IF('Onshore - Sydney'!D56="Semester",'Onshore - Sydney'!E56*2,IF('Onshore - Sydney'!D56="Trimester",'Onshore - Sydney'!E56*3,IF('Onshore - Sydney'!D56="Term",'Onshore - Sydney'!E56*4,IF('Onshore - Sydney'!D56="Unit",'Onshore - Sydney'!E56*8,""))))))</f>
        <v>20000</v>
      </c>
      <c r="L1708" s="0" t="n">
        <f aca="false">IF(AND(ISNUMBER('Onshore - Sydney'!E56),ISNUMBER(K1708),ISNUMBER('Onshore - Sydney'!F56),ISNUMBER('Onshore - Sydney'!G56),OR('Onshore - Sydney'!F56&lt;&gt;0,ISNUMBER(SEARCH("Material 0 terverifikasi",'Onshore - Sydney'!M56))),OR('Onshore - Sydney'!G56&lt;&gt;0,ISNUMBER(SEARCH("Enrolment 0 terverifikasi",'Onshore - Sydney'!M56)))),1,0)</f>
        <v>1</v>
      </c>
      <c r="M1708" s="0" t="n">
        <f aca="false">IF(OR('Onshore - Sydney'!E56="",ISNUMBER(SEARCH("BSB80120",'Onshore - Sydney'!B56&amp;'Onshore - Sydney'!M56)),ISNUMBER(SEARCH("Management (Learning)",'Onshore - Sydney'!B56))),2,IF(ISNUMBER(SEARCH("CEK:",'Onshore - Sydney'!M56)),1,0))</f>
        <v>0</v>
      </c>
    </row>
    <row r="1709" customFormat="false" ht="15" hidden="false" customHeight="false" outlineLevel="0" collapsed="false">
      <c r="A1709" s="63" t="s">
        <v>3533</v>
      </c>
      <c r="B1709" s="64" t="s">
        <v>4374</v>
      </c>
      <c r="C1709" s="63" t="s">
        <v>46</v>
      </c>
      <c r="D1709" s="64" t="str">
        <f aca="false">TRIM(LEFT('Onshore - Sydney'!A567,FIND(CHAR(10),'Onshore - Sydney'!A567&amp;CHAR(10))-1))</f>
        <v>Kent Institute Australia</v>
      </c>
      <c r="E1709" s="63" t="str">
        <f aca="false">'Onshore - Sydney'!C582&amp;""</f>
        <v>2 years</v>
      </c>
      <c r="F1709" s="63" t="str">
        <f aca="false">IF('Onshore - Sydney'!D582="","Belum tercatat",'Onshore - Sydney'!D582)</f>
        <v>Trimester</v>
      </c>
      <c r="G1709" s="65" t="n">
        <f aca="false">IF('Onshore - Sydney'!E582="","-",'Onshore - Sydney'!E582)</f>
        <v>7000</v>
      </c>
      <c r="H1709" s="63" t="n">
        <f aca="false">IF(ISNUMBER(K1709),COUNTIFS($J$6:$J$1916,J1709,$K$6:$K$1916,"&lt;"&amp;K1709)+1,"-")</f>
        <v>7</v>
      </c>
      <c r="I1709" s="64" t="str">
        <f aca="false">IF('Onshore - Sydney'!E582="","Harga belum tersedia - hubungi konsultan TEG",IF(M1709=2,"Saat ini tidak menerima pendaftaran siswa internasional baru",IF(M1709=1,"Harga perlu dikonfirmasi ke sekolah"&amp;IF(""="","","; "&amp;""),"")))</f>
        <v>Harga perlu dikonfirmasi ke sekolah</v>
      </c>
      <c r="J1709" s="0" t="s">
        <v>4447</v>
      </c>
      <c r="K1709" s="0" t="n">
        <f aca="false">IF(M1709=2,"",IF(ISNUMBER(SEARCH("rata-rata:",'Onshore - Sydney'!M582)),VALUE(MID('Onshore - Sydney'!M582,SEARCH("rata-rata:",'Onshore - Sydney'!M582)+11,FIND(";",'Onshore - Sydney'!M582&amp;";",SEARCH("rata-rata:",'Onshore - Sydney'!M582))-SEARCH("rata-rata:",'Onshore - Sydney'!M582)-11)),IF('Onshore - Sydney'!D582="Semester",'Onshore - Sydney'!E582*2,IF('Onshore - Sydney'!D582="Trimester",'Onshore - Sydney'!E582*3,IF('Onshore - Sydney'!D582="Term",'Onshore - Sydney'!E582*4,IF('Onshore - Sydney'!D582="Unit",'Onshore - Sydney'!E582*8,""))))))</f>
        <v>21000</v>
      </c>
      <c r="L1709" s="0" t="n">
        <f aca="false">IF(AND(ISNUMBER('Onshore - Sydney'!E582),ISNUMBER(K1709),ISNUMBER('Onshore - Sydney'!F582),ISNUMBER('Onshore - Sydney'!G582),OR('Onshore - Sydney'!F582&lt;&gt;0,ISNUMBER(SEARCH("Material 0 terverifikasi",'Onshore - Sydney'!M582))),OR('Onshore - Sydney'!G582&lt;&gt;0,ISNUMBER(SEARCH("Enrolment 0 terverifikasi",'Onshore - Sydney'!M582)))),1,0)</f>
        <v>0</v>
      </c>
      <c r="M1709" s="0" t="n">
        <f aca="false">IF(OR('Onshore - Sydney'!E582="",ISNUMBER(SEARCH("BSB80120",'Onshore - Sydney'!B582&amp;'Onshore - Sydney'!M582)),ISNUMBER(SEARCH("Management (Learning)",'Onshore - Sydney'!B582))),2,IF(ISNUMBER(SEARCH("CEK:",'Onshore - Sydney'!M582)),1,0))</f>
        <v>1</v>
      </c>
    </row>
    <row r="1710" customFormat="false" ht="15" hidden="false" customHeight="false" outlineLevel="0" collapsed="false">
      <c r="A1710" s="63" t="s">
        <v>3533</v>
      </c>
      <c r="B1710" s="64" t="s">
        <v>4374</v>
      </c>
      <c r="C1710" s="63" t="s">
        <v>46</v>
      </c>
      <c r="D1710" s="64" t="str">
        <f aca="false">TRIM(LEFT('Onshore - Sydney'!A754,FIND(CHAR(10),'Onshore - Sydney'!A754&amp;CHAR(10))-1))</f>
        <v>Skyline Higher Education Australia (SHEA)</v>
      </c>
      <c r="E1710" s="63" t="str">
        <f aca="false">'Onshore - Sydney'!C757&amp;""</f>
        <v>2 years</v>
      </c>
      <c r="F1710" s="63" t="str">
        <f aca="false">IF('Onshore - Sydney'!D757="","Belum tercatat",'Onshore - Sydney'!D757)</f>
        <v>Term</v>
      </c>
      <c r="G1710" s="65" t="n">
        <f aca="false">IF('Onshore - Sydney'!E757="","-",'Onshore - Sydney'!E757)</f>
        <v>5400</v>
      </c>
      <c r="H1710" s="63" t="n">
        <f aca="false">IF(ISNUMBER(K1710),COUNTIFS($J$6:$J$1916,J1710,$K$6:$K$1916,"&lt;"&amp;K1710)+1,"-")</f>
        <v>8</v>
      </c>
      <c r="I1710" s="64" t="str">
        <f aca="false">IF('Onshore - Sydney'!E757="","Harga belum tersedia - hubungi konsultan TEG",IF(M1710=2,"Saat ini tidak menerima pendaftaran siswa internasional baru",IF(M1710=1,"Harga perlu dikonfirmasi ke sekolah"&amp;IF(""="","","; "&amp;""),"")))</f>
        <v>Harga perlu dikonfirmasi ke sekolah</v>
      </c>
      <c r="J1710" s="0" t="s">
        <v>4447</v>
      </c>
      <c r="K1710" s="0" t="n">
        <f aca="false">IF(M1710=2,"",IF(ISNUMBER(SEARCH("rata-rata:",'Onshore - Sydney'!M757)),VALUE(MID('Onshore - Sydney'!M757,SEARCH("rata-rata:",'Onshore - Sydney'!M757)+11,FIND(";",'Onshore - Sydney'!M757&amp;";",SEARCH("rata-rata:",'Onshore - Sydney'!M757))-SEARCH("rata-rata:",'Onshore - Sydney'!M757)-11)),IF('Onshore - Sydney'!D757="Semester",'Onshore - Sydney'!E757*2,IF('Onshore - Sydney'!D757="Trimester",'Onshore - Sydney'!E757*3,IF('Onshore - Sydney'!D757="Term",'Onshore - Sydney'!E757*4,IF('Onshore - Sydney'!D757="Unit",'Onshore - Sydney'!E757*8,""))))))</f>
        <v>21600</v>
      </c>
      <c r="L1710" s="0" t="n">
        <f aca="false">IF(AND(ISNUMBER('Onshore - Sydney'!E757),ISNUMBER(K1710),ISNUMBER('Onshore - Sydney'!F757),ISNUMBER('Onshore - Sydney'!G757),OR('Onshore - Sydney'!F757&lt;&gt;0,ISNUMBER(SEARCH("Material 0 terverifikasi",'Onshore - Sydney'!M757))),OR('Onshore - Sydney'!G757&lt;&gt;0,ISNUMBER(SEARCH("Enrolment 0 terverifikasi",'Onshore - Sydney'!M757)))),1,0)</f>
        <v>1</v>
      </c>
      <c r="M1710" s="0" t="n">
        <f aca="false">IF(OR('Onshore - Sydney'!E757="",ISNUMBER(SEARCH("BSB80120",'Onshore - Sydney'!B757&amp;'Onshore - Sydney'!M757)),ISNUMBER(SEARCH("Management (Learning)",'Onshore - Sydney'!B757))),2,IF(ISNUMBER(SEARCH("CEK:",'Onshore - Sydney'!M757)),1,0))</f>
        <v>1</v>
      </c>
    </row>
    <row r="1711" customFormat="false" ht="28.35" hidden="false" customHeight="false" outlineLevel="0" collapsed="false">
      <c r="A1711" s="63" t="s">
        <v>3533</v>
      </c>
      <c r="B1711" s="64" t="s">
        <v>4374</v>
      </c>
      <c r="C1711" s="63" t="s">
        <v>46</v>
      </c>
      <c r="D1711" s="64" t="str">
        <f aca="false">TRIM(LEFT('Onshore - Sydney'!A653,FIND(CHAR(10),'Onshore - Sydney'!A653&amp;CHAR(10))-1))</f>
        <v>National Academy of Professional Studies (NAPS)</v>
      </c>
      <c r="E1711" s="63" t="str">
        <f aca="false">'Onshore - Sydney'!C654&amp;""</f>
        <v>2 years</v>
      </c>
      <c r="F1711" s="63" t="str">
        <f aca="false">IF('Onshore - Sydney'!D654="","Belum tercatat",'Onshore - Sydney'!D654)</f>
        <v>Term</v>
      </c>
      <c r="G1711" s="65" t="n">
        <f aca="false">IF('Onshore - Sydney'!E654="","-",'Onshore - Sydney'!E654)</f>
        <v>5500</v>
      </c>
      <c r="H1711" s="63" t="n">
        <f aca="false">IF(ISNUMBER(K1711),COUNTIFS($J$6:$J$1916,J1711,$K$6:$K$1916,"&lt;"&amp;K1711)+1,"-")</f>
        <v>9</v>
      </c>
      <c r="I1711" s="64" t="str">
        <f aca="false">IF('Onshore - Sydney'!E654="","Harga belum tersedia - hubungi konsultan TEG",IF(M1711=2,"Saat ini tidak menerima pendaftaran siswa internasional baru",IF(M1711=1,"Harga perlu dikonfirmasi ke sekolah"&amp;IF(""="","","; "&amp;""),"")))</f>
        <v>Harga perlu dikonfirmasi ke sekolah</v>
      </c>
      <c r="J1711" s="0" t="s">
        <v>4447</v>
      </c>
      <c r="K1711" s="0" t="n">
        <f aca="false">IF(M1711=2,"",IF(ISNUMBER(SEARCH("rata-rata:",'Onshore - Sydney'!M654)),VALUE(MID('Onshore - Sydney'!M654,SEARCH("rata-rata:",'Onshore - Sydney'!M654)+11,FIND(";",'Onshore - Sydney'!M654&amp;";",SEARCH("rata-rata:",'Onshore - Sydney'!M654))-SEARCH("rata-rata:",'Onshore - Sydney'!M654)-11)),IF('Onshore - Sydney'!D654="Semester",'Onshore - Sydney'!E654*2,IF('Onshore - Sydney'!D654="Trimester",'Onshore - Sydney'!E654*3,IF('Onshore - Sydney'!D654="Term",'Onshore - Sydney'!E654*4,IF('Onshore - Sydney'!D654="Unit",'Onshore - Sydney'!E654*8,""))))))</f>
        <v>22000</v>
      </c>
      <c r="L1711" s="0" t="n">
        <f aca="false">IF(AND(ISNUMBER('Onshore - Sydney'!E654),ISNUMBER(K1711),ISNUMBER('Onshore - Sydney'!F654),ISNUMBER('Onshore - Sydney'!G654),OR('Onshore - Sydney'!F654&lt;&gt;0,ISNUMBER(SEARCH("Material 0 terverifikasi",'Onshore - Sydney'!M654))),OR('Onshore - Sydney'!G654&lt;&gt;0,ISNUMBER(SEARCH("Enrolment 0 terverifikasi",'Onshore - Sydney'!M654)))),1,0)</f>
        <v>1</v>
      </c>
      <c r="M1711" s="0" t="n">
        <f aca="false">IF(OR('Onshore - Sydney'!E654="",ISNUMBER(SEARCH("BSB80120",'Onshore - Sydney'!B654&amp;'Onshore - Sydney'!M654)),ISNUMBER(SEARCH("Management (Learning)",'Onshore - Sydney'!B654))),2,IF(ISNUMBER(SEARCH("CEK:",'Onshore - Sydney'!M654)),1,0))</f>
        <v>1</v>
      </c>
    </row>
    <row r="1712" customFormat="false" ht="15" hidden="false" customHeight="false" outlineLevel="0" collapsed="false">
      <c r="A1712" s="63" t="s">
        <v>3533</v>
      </c>
      <c r="B1712" s="64" t="s">
        <v>4374</v>
      </c>
      <c r="C1712" s="63" t="s">
        <v>46</v>
      </c>
      <c r="D1712" s="64" t="str">
        <f aca="false">TRIM(LEFT('Onshore - Sydney'!A138,FIND(CHAR(10),'Onshore - Sydney'!A138&amp;CHAR(10))-1))</f>
        <v>Asia Pacific International College (APIC)</v>
      </c>
      <c r="E1712" s="63" t="str">
        <f aca="false">'Onshore - Sydney'!C147&amp;""</f>
        <v>2 years</v>
      </c>
      <c r="F1712" s="63" t="str">
        <f aca="false">IF('Onshore - Sydney'!D147="","Belum tercatat",'Onshore - Sydney'!D147)</f>
        <v>Trimester</v>
      </c>
      <c r="G1712" s="65" t="n">
        <f aca="false">IF('Onshore - Sydney'!E147="","-",'Onshore - Sydney'!E147)</f>
        <v>7800</v>
      </c>
      <c r="H1712" s="63" t="n">
        <f aca="false">IF(ISNUMBER(K1712),COUNTIFS($J$6:$J$1916,J1712,$K$6:$K$1916,"&lt;"&amp;K1712)+1,"-")</f>
        <v>10</v>
      </c>
      <c r="I1712" s="64" t="str">
        <f aca="false">IF('Onshore - Sydney'!E147="","Harga belum tersedia - hubungi konsultan TEG",IF(M1712=2,"Saat ini tidak menerima pendaftaran siswa internasional baru",IF(M1712=1,"Harga perlu dikonfirmasi ke sekolah"&amp;IF(""="","","; "&amp;""),"")))</f>
        <v>Harga perlu dikonfirmasi ke sekolah</v>
      </c>
      <c r="J1712" s="0" t="s">
        <v>4447</v>
      </c>
      <c r="K1712" s="0" t="n">
        <f aca="false">IF(M1712=2,"",IF(ISNUMBER(SEARCH("rata-rata:",'Onshore - Sydney'!M147)),VALUE(MID('Onshore - Sydney'!M147,SEARCH("rata-rata:",'Onshore - Sydney'!M147)+11,FIND(";",'Onshore - Sydney'!M147&amp;";",SEARCH("rata-rata:",'Onshore - Sydney'!M147))-SEARCH("rata-rata:",'Onshore - Sydney'!M147)-11)),IF('Onshore - Sydney'!D147="Semester",'Onshore - Sydney'!E147*2,IF('Onshore - Sydney'!D147="Trimester",'Onshore - Sydney'!E147*3,IF('Onshore - Sydney'!D147="Term",'Onshore - Sydney'!E147*4,IF('Onshore - Sydney'!D147="Unit",'Onshore - Sydney'!E147*8,""))))))</f>
        <v>23400</v>
      </c>
      <c r="L1712" s="0" t="n">
        <f aca="false">IF(AND(ISNUMBER('Onshore - Sydney'!E147),ISNUMBER(K1712),ISNUMBER('Onshore - Sydney'!F147),ISNUMBER('Onshore - Sydney'!G147),OR('Onshore - Sydney'!F147&lt;&gt;0,ISNUMBER(SEARCH("Material 0 terverifikasi",'Onshore - Sydney'!M147))),OR('Onshore - Sydney'!G147&lt;&gt;0,ISNUMBER(SEARCH("Enrolment 0 terverifikasi",'Onshore - Sydney'!M147)))),1,0)</f>
        <v>0</v>
      </c>
      <c r="M1712" s="0" t="n">
        <f aca="false">IF(OR('Onshore - Sydney'!E147="",ISNUMBER(SEARCH("BSB80120",'Onshore - Sydney'!B147&amp;'Onshore - Sydney'!M147)),ISNUMBER(SEARCH("Management (Learning)",'Onshore - Sydney'!B147))),2,IF(ISNUMBER(SEARCH("CEK:",'Onshore - Sydney'!M147)),1,0))</f>
        <v>1</v>
      </c>
    </row>
    <row r="1713" customFormat="false" ht="15" hidden="false" customHeight="false" outlineLevel="0" collapsed="false">
      <c r="A1713" s="63" t="s">
        <v>3533</v>
      </c>
      <c r="B1713" s="64" t="s">
        <v>4374</v>
      </c>
      <c r="C1713" s="63" t="s">
        <v>46</v>
      </c>
      <c r="D1713" s="64" t="str">
        <f aca="false">TRIM(LEFT('Onshore - Sydney'!A888,FIND(CHAR(10),'Onshore - Sydney'!A888&amp;CHAR(10))-1))</f>
        <v>Torrens University Australia</v>
      </c>
      <c r="E1713" s="63" t="str">
        <f aca="false">'Onshore - Sydney'!C907&amp;""</f>
        <v>1,5 years</v>
      </c>
      <c r="F1713" s="63" t="str">
        <f aca="false">IF('Onshore - Sydney'!D907="","Belum tercatat",'Onshore - Sydney'!D907)</f>
        <v>Term</v>
      </c>
      <c r="G1713" s="65" t="n">
        <f aca="false">IF('Onshore - Sydney'!E907="","-",'Onshore - Sydney'!E907)</f>
        <v>9000</v>
      </c>
      <c r="H1713" s="63" t="n">
        <f aca="false">IF(ISNUMBER(K1713),COUNTIFS($J$6:$J$1916,J1713,$K$6:$K$1916,"&lt;"&amp;K1713)+1,"-")</f>
        <v>11</v>
      </c>
      <c r="I1713" s="64" t="str">
        <f aca="false">IF('Onshore - Sydney'!E907="","Harga belum tersedia - hubungi konsultan TEG",IF(M1713=2,"Saat ini tidak menerima pendaftaran siswa internasional baru",IF(M1713=1,"Harga perlu dikonfirmasi ke sekolah"&amp;IF(""="","","; "&amp;""),"")))</f>
        <v/>
      </c>
      <c r="J1713" s="0" t="s">
        <v>4447</v>
      </c>
      <c r="K1713" s="0" t="n">
        <f aca="false">IF(M1713=2,"",IF(ISNUMBER(SEARCH("rata-rata:",'Onshore - Sydney'!M907)),VALUE(MID('Onshore - Sydney'!M907,SEARCH("rata-rata:",'Onshore - Sydney'!M907)+11,FIND(";",'Onshore - Sydney'!M907&amp;";",SEARCH("rata-rata:",'Onshore - Sydney'!M907))-SEARCH("rata-rata:",'Onshore - Sydney'!M907)-11)),IF('Onshore - Sydney'!D907="Semester",'Onshore - Sydney'!E907*2,IF('Onshore - Sydney'!D907="Trimester",'Onshore - Sydney'!E907*3,IF('Onshore - Sydney'!D907="Term",'Onshore - Sydney'!E907*4,IF('Onshore - Sydney'!D907="Unit",'Onshore - Sydney'!E907*8,""))))))</f>
        <v>36000</v>
      </c>
      <c r="L1713" s="0" t="n">
        <f aca="false">IF(AND(ISNUMBER('Onshore - Sydney'!E907),ISNUMBER(K1713),ISNUMBER('Onshore - Sydney'!F907),ISNUMBER('Onshore - Sydney'!G907),OR('Onshore - Sydney'!F907&lt;&gt;0,ISNUMBER(SEARCH("Material 0 terverifikasi",'Onshore - Sydney'!M907))),OR('Onshore - Sydney'!G907&lt;&gt;0,ISNUMBER(SEARCH("Enrolment 0 terverifikasi",'Onshore - Sydney'!M907)))),1,0)</f>
        <v>0</v>
      </c>
      <c r="M1713" s="0" t="n">
        <f aca="false">IF(OR('Onshore - Sydney'!E907="",ISNUMBER(SEARCH("BSB80120",'Onshore - Sydney'!B907&amp;'Onshore - Sydney'!M907)),ISNUMBER(SEARCH("Management (Learning)",'Onshore - Sydney'!B907))),2,IF(ISNUMBER(SEARCH("CEK:",'Onshore - Sydney'!M907)),1,0))</f>
        <v>0</v>
      </c>
    </row>
    <row r="1714" customFormat="false" ht="15" hidden="false" customHeight="false" outlineLevel="0" collapsed="false">
      <c r="A1714" s="63" t="s">
        <v>3533</v>
      </c>
      <c r="B1714" s="64" t="s">
        <v>4374</v>
      </c>
      <c r="C1714" s="63" t="s">
        <v>46</v>
      </c>
      <c r="D1714" s="64" t="str">
        <f aca="false">TRIM(LEFT('Onshore - Sydney'!A394,FIND(CHAR(10),'Onshore - Sydney'!A394&amp;CHAR(10))-1))</f>
        <v>Charles Darwin University (CDU)</v>
      </c>
      <c r="E1714" s="63" t="str">
        <f aca="false">'Onshore - Sydney'!C404&amp;""</f>
        <v>2 years</v>
      </c>
      <c r="F1714" s="63" t="str">
        <f aca="false">IF('Onshore - Sydney'!D404="","Belum tercatat",'Onshore - Sydney'!D404)</f>
        <v>Term</v>
      </c>
      <c r="G1714" s="65" t="n">
        <f aca="false">IF('Onshore - Sydney'!E404="","-",'Onshore - Sydney'!E404)</f>
        <v>9110</v>
      </c>
      <c r="H1714" s="63" t="n">
        <f aca="false">IF(ISNUMBER(K1714),COUNTIFS($J$6:$J$1916,J1714,$K$6:$K$1916,"&lt;"&amp;K1714)+1,"-")</f>
        <v>12</v>
      </c>
      <c r="I1714" s="64" t="str">
        <f aca="false">IF('Onshore - Sydney'!E404="","Harga belum tersedia - hubungi konsultan TEG",IF(M1714=2,"Saat ini tidak menerima pendaftaran siswa internasional baru",IF(M1714=1,"Harga perlu dikonfirmasi ke sekolah"&amp;IF(""="","","; "&amp;""),"")))</f>
        <v/>
      </c>
      <c r="J1714" s="0" t="s">
        <v>4447</v>
      </c>
      <c r="K1714" s="0" t="n">
        <f aca="false">IF(M1714=2,"",IF(ISNUMBER(SEARCH("rata-rata:",'Onshore - Sydney'!M404)),VALUE(MID('Onshore - Sydney'!M404,SEARCH("rata-rata:",'Onshore - Sydney'!M404)+11,FIND(";",'Onshore - Sydney'!M404&amp;";",SEARCH("rata-rata:",'Onshore - Sydney'!M404))-SEARCH("rata-rata:",'Onshore - Sydney'!M404)-11)),IF('Onshore - Sydney'!D404="Semester",'Onshore - Sydney'!E404*2,IF('Onshore - Sydney'!D404="Trimester",'Onshore - Sydney'!E404*3,IF('Onshore - Sydney'!D404="Term",'Onshore - Sydney'!E404*4,IF('Onshore - Sydney'!D404="Unit",'Onshore - Sydney'!E404*8,""))))))</f>
        <v>36440</v>
      </c>
      <c r="L1714" s="0" t="n">
        <f aca="false">IF(AND(ISNUMBER('Onshore - Sydney'!E404),ISNUMBER(K1714),ISNUMBER('Onshore - Sydney'!F404),ISNUMBER('Onshore - Sydney'!G404),OR('Onshore - Sydney'!F404&lt;&gt;0,ISNUMBER(SEARCH("Material 0 terverifikasi",'Onshore - Sydney'!M404))),OR('Onshore - Sydney'!G404&lt;&gt;0,ISNUMBER(SEARCH("Enrolment 0 terverifikasi",'Onshore - Sydney'!M404)))),1,0)</f>
        <v>0</v>
      </c>
      <c r="M1714" s="0" t="n">
        <f aca="false">IF(OR('Onshore - Sydney'!E404="",ISNUMBER(SEARCH("BSB80120",'Onshore - Sydney'!B404&amp;'Onshore - Sydney'!M404)),ISNUMBER(SEARCH("Management (Learning)",'Onshore - Sydney'!B404))),2,IF(ISNUMBER(SEARCH("CEK:",'Onshore - Sydney'!M404)),1,0))</f>
        <v>0</v>
      </c>
    </row>
    <row r="1715" customFormat="false" ht="15" hidden="false" customHeight="false" outlineLevel="0" collapsed="false">
      <c r="A1715" s="63" t="s">
        <v>3533</v>
      </c>
      <c r="B1715" s="64" t="s">
        <v>4374</v>
      </c>
      <c r="C1715" s="63" t="s">
        <v>46</v>
      </c>
      <c r="D1715" s="64" t="str">
        <f aca="false">TRIM(LEFT('Onshore - Sydney'!A163,FIND(CHAR(10),'Onshore - Sydney'!A163&amp;CHAR(10))-1))</f>
        <v>Australian Catholic University (ACU)</v>
      </c>
      <c r="E1715" s="63" t="str">
        <f aca="false">'Onshore - Sydney'!C190&amp;""</f>
        <v>2 years</v>
      </c>
      <c r="F1715" s="63" t="str">
        <f aca="false">IF('Onshore - Sydney'!D190="","Belum tercatat",'Onshore - Sydney'!D190)</f>
        <v>Term</v>
      </c>
      <c r="G1715" s="65" t="n">
        <f aca="false">IF('Onshore - Sydney'!E190="","-",'Onshore - Sydney'!E190)</f>
        <v>9524</v>
      </c>
      <c r="H1715" s="63" t="n">
        <f aca="false">IF(ISNUMBER(K1715),COUNTIFS($J$6:$J$1916,J1715,$K$6:$K$1916,"&lt;"&amp;K1715)+1,"-")</f>
        <v>13</v>
      </c>
      <c r="I1715" s="64" t="str">
        <f aca="false">IF('Onshore - Sydney'!E190="","Harga belum tersedia - hubungi konsultan TEG",IF(M1715=2,"Saat ini tidak menerima pendaftaran siswa internasional baru",IF(M1715=1,"Harga perlu dikonfirmasi ke sekolah"&amp;IF(""="","","; "&amp;""),"")))</f>
        <v/>
      </c>
      <c r="J1715" s="0" t="s">
        <v>4447</v>
      </c>
      <c r="K1715" s="0" t="n">
        <f aca="false">IF(M1715=2,"",IF(ISNUMBER(SEARCH("rata-rata:",'Onshore - Sydney'!M190)),VALUE(MID('Onshore - Sydney'!M190,SEARCH("rata-rata:",'Onshore - Sydney'!M190)+11,FIND(";",'Onshore - Sydney'!M190&amp;";",SEARCH("rata-rata:",'Onshore - Sydney'!M190))-SEARCH("rata-rata:",'Onshore - Sydney'!M190)-11)),IF('Onshore - Sydney'!D190="Semester",'Onshore - Sydney'!E190*2,IF('Onshore - Sydney'!D190="Trimester",'Onshore - Sydney'!E190*3,IF('Onshore - Sydney'!D190="Term",'Onshore - Sydney'!E190*4,IF('Onshore - Sydney'!D190="Unit",'Onshore - Sydney'!E190*8,""))))))</f>
        <v>38096</v>
      </c>
      <c r="L1715" s="0" t="n">
        <f aca="false">IF(AND(ISNUMBER('Onshore - Sydney'!E190),ISNUMBER(K1715),ISNUMBER('Onshore - Sydney'!F190),ISNUMBER('Onshore - Sydney'!G190),OR('Onshore - Sydney'!F190&lt;&gt;0,ISNUMBER(SEARCH("Material 0 terverifikasi",'Onshore - Sydney'!M190))),OR('Onshore - Sydney'!G190&lt;&gt;0,ISNUMBER(SEARCH("Enrolment 0 terverifikasi",'Onshore - Sydney'!M190)))),1,0)</f>
        <v>0</v>
      </c>
      <c r="M1715" s="0" t="n">
        <f aca="false">IF(OR('Onshore - Sydney'!E190="",ISNUMBER(SEARCH("BSB80120",'Onshore - Sydney'!B190&amp;'Onshore - Sydney'!M190)),ISNUMBER(SEARCH("Management (Learning)",'Onshore - Sydney'!B190))),2,IF(ISNUMBER(SEARCH("CEK:",'Onshore - Sydney'!M190)),1,0))</f>
        <v>0</v>
      </c>
    </row>
    <row r="1716" customFormat="false" ht="15" hidden="false" customHeight="false" outlineLevel="0" collapsed="false">
      <c r="A1716" s="63" t="s">
        <v>3533</v>
      </c>
      <c r="B1716" s="64" t="s">
        <v>4374</v>
      </c>
      <c r="C1716" s="63" t="s">
        <v>46</v>
      </c>
      <c r="D1716" s="64" t="str">
        <f aca="false">TRIM(LEFT('Onshore - Sydney'!A998,FIND(CHAR(10),'Onshore - Sydney'!A998&amp;CHAR(10))-1))</f>
        <v>University of Tasmania (UTAS)</v>
      </c>
      <c r="E1716" s="63" t="str">
        <f aca="false">'Onshore - Sydney'!C1002&amp;""</f>
        <v>2 years</v>
      </c>
      <c r="F1716" s="63" t="str">
        <f aca="false">IF('Onshore - Sydney'!D1002="","Belum tercatat",'Onshore - Sydney'!D1002)</f>
        <v>Term</v>
      </c>
      <c r="G1716" s="65" t="n">
        <f aca="false">IF('Onshore - Sydney'!E1002="","-",'Onshore - Sydney'!E1002)</f>
        <v>9987.5</v>
      </c>
      <c r="H1716" s="63" t="n">
        <f aca="false">IF(ISNUMBER(K1716),COUNTIFS($J$6:$J$1916,J1716,$K$6:$K$1916,"&lt;"&amp;K1716)+1,"-")</f>
        <v>14</v>
      </c>
      <c r="I1716" s="64" t="str">
        <f aca="false">IF('Onshore - Sydney'!E1002="","Harga belum tersedia - hubungi konsultan TEG",IF(M1716=2,"Saat ini tidak menerima pendaftaran siswa internasional baru",IF(M1716=1,"Harga perlu dikonfirmasi ke sekolah"&amp;IF(""="","","; "&amp;""),"")))</f>
        <v/>
      </c>
      <c r="J1716" s="0" t="s">
        <v>4447</v>
      </c>
      <c r="K1716" s="0" t="n">
        <f aca="false">IF(M1716=2,"",IF(ISNUMBER(SEARCH("rata-rata:",'Onshore - Sydney'!M1002)),VALUE(MID('Onshore - Sydney'!M1002,SEARCH("rata-rata:",'Onshore - Sydney'!M1002)+11,FIND(";",'Onshore - Sydney'!M1002&amp;";",SEARCH("rata-rata:",'Onshore - Sydney'!M1002))-SEARCH("rata-rata:",'Onshore - Sydney'!M1002)-11)),IF('Onshore - Sydney'!D1002="Semester",'Onshore - Sydney'!E1002*2,IF('Onshore - Sydney'!D1002="Trimester",'Onshore - Sydney'!E1002*3,IF('Onshore - Sydney'!D1002="Term",'Onshore - Sydney'!E1002*4,IF('Onshore - Sydney'!D1002="Unit",'Onshore - Sydney'!E1002*8,""))))))</f>
        <v>39950</v>
      </c>
      <c r="L1716" s="0" t="n">
        <f aca="false">IF(AND(ISNUMBER('Onshore - Sydney'!E1002),ISNUMBER(K1716),ISNUMBER('Onshore - Sydney'!F1002),ISNUMBER('Onshore - Sydney'!G1002),OR('Onshore - Sydney'!F1002&lt;&gt;0,ISNUMBER(SEARCH("Material 0 terverifikasi",'Onshore - Sydney'!M1002))),OR('Onshore - Sydney'!G1002&lt;&gt;0,ISNUMBER(SEARCH("Enrolment 0 terverifikasi",'Onshore - Sydney'!M1002)))),1,0)</f>
        <v>0</v>
      </c>
      <c r="M1716" s="0" t="n">
        <f aca="false">IF(OR('Onshore - Sydney'!E1002="",ISNUMBER(SEARCH("BSB80120",'Onshore - Sydney'!B1002&amp;'Onshore - Sydney'!M1002)),ISNUMBER(SEARCH("Management (Learning)",'Onshore - Sydney'!B1002))),2,IF(ISNUMBER(SEARCH("CEK:",'Onshore - Sydney'!M1002)),1,0))</f>
        <v>0</v>
      </c>
    </row>
    <row r="1717" customFormat="false" ht="15" hidden="false" customHeight="false" outlineLevel="0" collapsed="false">
      <c r="A1717" s="63" t="s">
        <v>3533</v>
      </c>
      <c r="B1717" s="64" t="s">
        <v>4374</v>
      </c>
      <c r="C1717" s="63" t="s">
        <v>46</v>
      </c>
      <c r="D1717" s="64" t="str">
        <f aca="false">TRIM(LEFT('Onshore - Sydney'!A552,FIND(CHAR(10),'Onshore - Sydney'!A552&amp;CHAR(10))-1))</f>
        <v>Kaplan Business School</v>
      </c>
      <c r="E1717" s="63" t="str">
        <f aca="false">'Onshore - Sydney'!C560&amp;""</f>
        <v>1,5 years</v>
      </c>
      <c r="F1717" s="63" t="str">
        <f aca="false">IF('Onshore - Sydney'!D560="","Belum tercatat",'Onshore - Sydney'!D560)</f>
        <v>Trimester</v>
      </c>
      <c r="G1717" s="65" t="n">
        <f aca="false">IF('Onshore - Sydney'!E560="","-",'Onshore - Sydney'!E560)</f>
        <v>13600</v>
      </c>
      <c r="H1717" s="63" t="n">
        <f aca="false">IF(ISNUMBER(K1717),COUNTIFS($J$6:$J$1916,J1717,$K$6:$K$1916,"&lt;"&amp;K1717)+1,"-")</f>
        <v>15</v>
      </c>
      <c r="I1717" s="64" t="str">
        <f aca="false">IF('Onshore - Sydney'!E560="","Harga belum tersedia - hubungi konsultan TEG",IF(M1717=2,"Saat ini tidak menerima pendaftaran siswa internasional baru",IF(M1717=1,"Harga perlu dikonfirmasi ke sekolah"&amp;IF(""="","","; "&amp;""),"")))</f>
        <v>Harga perlu dikonfirmasi ke sekolah</v>
      </c>
      <c r="J1717" s="0" t="s">
        <v>4447</v>
      </c>
      <c r="K1717" s="0" t="n">
        <f aca="false">IF(M1717=2,"",IF(ISNUMBER(SEARCH("rata-rata:",'Onshore - Sydney'!M560)),VALUE(MID('Onshore - Sydney'!M560,SEARCH("rata-rata:",'Onshore - Sydney'!M560)+11,FIND(";",'Onshore - Sydney'!M560&amp;";",SEARCH("rata-rata:",'Onshore - Sydney'!M560))-SEARCH("rata-rata:",'Onshore - Sydney'!M560)-11)),IF('Onshore - Sydney'!D560="Semester",'Onshore - Sydney'!E560*2,IF('Onshore - Sydney'!D560="Trimester",'Onshore - Sydney'!E560*3,IF('Onshore - Sydney'!D560="Term",'Onshore - Sydney'!E560*4,IF('Onshore - Sydney'!D560="Unit",'Onshore - Sydney'!E560*8,""))))))</f>
        <v>40800</v>
      </c>
      <c r="L1717" s="0" t="n">
        <f aca="false">IF(AND(ISNUMBER('Onshore - Sydney'!E560),ISNUMBER(K1717),ISNUMBER('Onshore - Sydney'!F560),ISNUMBER('Onshore - Sydney'!G560),OR('Onshore - Sydney'!F560&lt;&gt;0,ISNUMBER(SEARCH("Material 0 terverifikasi",'Onshore - Sydney'!M560))),OR('Onshore - Sydney'!G560&lt;&gt;0,ISNUMBER(SEARCH("Enrolment 0 terverifikasi",'Onshore - Sydney'!M560)))),1,0)</f>
        <v>1</v>
      </c>
      <c r="M1717" s="0" t="n">
        <f aca="false">IF(OR('Onshore - Sydney'!E560="",ISNUMBER(SEARCH("BSB80120",'Onshore - Sydney'!B560&amp;'Onshore - Sydney'!M560)),ISNUMBER(SEARCH("Management (Learning)",'Onshore - Sydney'!B560))),2,IF(ISNUMBER(SEARCH("CEK:",'Onshore - Sydney'!M560)),1,0))</f>
        <v>1</v>
      </c>
    </row>
    <row r="1718" customFormat="false" ht="15" hidden="false" customHeight="false" outlineLevel="0" collapsed="false">
      <c r="A1718" s="63" t="s">
        <v>3533</v>
      </c>
      <c r="B1718" s="64" t="s">
        <v>4374</v>
      </c>
      <c r="C1718" s="63" t="s">
        <v>46</v>
      </c>
      <c r="D1718" s="64" t="str">
        <f aca="false">TRIM(LEFT('Onshore - Sydney'!A1062,FIND(CHAR(10),'Onshore - Sydney'!A1062&amp;CHAR(10))-1))</f>
        <v>Western Sydney University</v>
      </c>
      <c r="E1718" s="63" t="str">
        <f aca="false">'Onshore - Sydney'!C1170&amp;""</f>
        <v>2,5 years</v>
      </c>
      <c r="F1718" s="63" t="str">
        <f aca="false">IF('Onshore - Sydney'!D1170="","Belum tercatat",'Onshore - Sydney'!D1170)</f>
        <v>Term</v>
      </c>
      <c r="G1718" s="65" t="n">
        <f aca="false">IF('Onshore - Sydney'!E1170="","-",'Onshore - Sydney'!E1170)</f>
        <v>10305</v>
      </c>
      <c r="H1718" s="63" t="n">
        <f aca="false">IF(ISNUMBER(K1718),COUNTIFS($J$6:$J$1916,J1718,$K$6:$K$1916,"&lt;"&amp;K1718)+1,"-")</f>
        <v>16</v>
      </c>
      <c r="I1718" s="64" t="str">
        <f aca="false">IF('Onshore - Sydney'!E1170="","Harga belum tersedia - hubungi konsultan TEG",IF(M1718=2,"Saat ini tidak menerima pendaftaran siswa internasional baru",IF(M1718=1,"Harga perlu dikonfirmasi ke sekolah"&amp;IF(""="","","; "&amp;""),"")))</f>
        <v/>
      </c>
      <c r="J1718" s="0" t="s">
        <v>4447</v>
      </c>
      <c r="K1718" s="0" t="n">
        <f aca="false">IF(M1718=2,"",IF(ISNUMBER(SEARCH("rata-rata:",'Onshore - Sydney'!M1170)),VALUE(MID('Onshore - Sydney'!M1170,SEARCH("rata-rata:",'Onshore - Sydney'!M1170)+11,FIND(";",'Onshore - Sydney'!M1170&amp;";",SEARCH("rata-rata:",'Onshore - Sydney'!M1170))-SEARCH("rata-rata:",'Onshore - Sydney'!M1170)-11)),IF('Onshore - Sydney'!D1170="Semester",'Onshore - Sydney'!E1170*2,IF('Onshore - Sydney'!D1170="Trimester",'Onshore - Sydney'!E1170*3,IF('Onshore - Sydney'!D1170="Term",'Onshore - Sydney'!E1170*4,IF('Onshore - Sydney'!D1170="Unit",'Onshore - Sydney'!E1170*8,""))))))</f>
        <v>41220</v>
      </c>
      <c r="L1718" s="0" t="n">
        <f aca="false">IF(AND(ISNUMBER('Onshore - Sydney'!E1170),ISNUMBER(K1718),ISNUMBER('Onshore - Sydney'!F1170),ISNUMBER('Onshore - Sydney'!G1170),OR('Onshore - Sydney'!F1170&lt;&gt;0,ISNUMBER(SEARCH("Material 0 terverifikasi",'Onshore - Sydney'!M1170))),OR('Onshore - Sydney'!G1170&lt;&gt;0,ISNUMBER(SEARCH("Enrolment 0 terverifikasi",'Onshore - Sydney'!M1170)))),1,0)</f>
        <v>0</v>
      </c>
      <c r="M1718" s="0" t="n">
        <f aca="false">IF(OR('Onshore - Sydney'!E1170="",ISNUMBER(SEARCH("BSB80120",'Onshore - Sydney'!B1170&amp;'Onshore - Sydney'!M1170)),ISNUMBER(SEARCH("Management (Learning)",'Onshore - Sydney'!B1170))),2,IF(ISNUMBER(SEARCH("CEK:",'Onshore - Sydney'!M1170)),1,0))</f>
        <v>0</v>
      </c>
    </row>
    <row r="1719" customFormat="false" ht="15" hidden="false" customHeight="false" outlineLevel="0" collapsed="false">
      <c r="A1719" s="61" t="s">
        <v>4448</v>
      </c>
      <c r="B1719" s="62"/>
      <c r="C1719" s="62"/>
      <c r="D1719" s="62"/>
      <c r="E1719" s="62"/>
      <c r="F1719" s="62"/>
      <c r="G1719" s="62"/>
      <c r="H1719" s="62"/>
      <c r="I1719" s="62"/>
    </row>
    <row r="1720" customFormat="false" ht="15" hidden="false" customHeight="false" outlineLevel="0" collapsed="false">
      <c r="A1720" s="63" t="s">
        <v>3753</v>
      </c>
      <c r="B1720" s="64" t="s">
        <v>4374</v>
      </c>
      <c r="C1720" s="63" t="s">
        <v>43</v>
      </c>
      <c r="D1720" s="64" t="str">
        <f aca="false">TRIM(LEFT('Onshore - Tasmania Hobart'!A21,FIND(CHAR(10),'Onshore - Tasmania Hobart'!A21&amp;CHAR(10))-1))</f>
        <v>University of Tasmania (UTAS)</v>
      </c>
      <c r="E1720" s="63" t="str">
        <f aca="false">'Onshore - Tasmania Hobart'!C73&amp;""</f>
        <v>3 years</v>
      </c>
      <c r="F1720" s="63" t="str">
        <f aca="false">IF('Onshore - Tasmania Hobart'!D73="","Belum tercatat",'Onshore - Tasmania Hobart'!D73)</f>
        <v>Term</v>
      </c>
      <c r="G1720" s="65" t="n">
        <f aca="false">IF('Onshore - Tasmania Hobart'!E73="","-",'Onshore - Tasmania Hobart'!E73)</f>
        <v>9987.5</v>
      </c>
      <c r="H1720" s="63" t="n">
        <f aca="false">IF(ISNUMBER(K1720),COUNTIFS($J$6:$J$1916,J1720,$K$6:$K$1916,"&lt;"&amp;K1720)+1,"-")</f>
        <v>1</v>
      </c>
      <c r="I1720" s="64" t="str">
        <f aca="false">IF('Onshore - Tasmania Hobart'!E73="","Harga belum tersedia - hubungi konsultan TEG",IF(M1720=2,"Saat ini tidak menerima pendaftaran siswa internasional baru",IF(M1720=1,"Harga perlu dikonfirmasi ke sekolah"&amp;IF(""="","","; "&amp;""),"")))</f>
        <v>Harga perlu dikonfirmasi ke sekolah</v>
      </c>
      <c r="J1720" s="0" t="s">
        <v>4449</v>
      </c>
      <c r="K1720" s="0" t="n">
        <f aca="false">IF(M1720=2,"",IF(ISNUMBER(SEARCH("rata-rata:",'Onshore - Tasmania Hobart'!M73)),VALUE(MID('Onshore - Tasmania Hobart'!M73,SEARCH("rata-rata:",'Onshore - Tasmania Hobart'!M73)+11,FIND(";",'Onshore - Tasmania Hobart'!M73&amp;";",SEARCH("rata-rata:",'Onshore - Tasmania Hobart'!M73))-SEARCH("rata-rata:",'Onshore - Tasmania Hobart'!M73)-11)),IF('Onshore - Tasmania Hobart'!D73="Semester",'Onshore - Tasmania Hobart'!E73*2,IF('Onshore - Tasmania Hobart'!D73="Trimester",'Onshore - Tasmania Hobart'!E73*3,IF('Onshore - Tasmania Hobart'!D73="Term",'Onshore - Tasmania Hobart'!E73*4,IF('Onshore - Tasmania Hobart'!D73="Unit",'Onshore - Tasmania Hobart'!E73*8,""))))))</f>
        <v>39950</v>
      </c>
      <c r="L1720" s="0" t="n">
        <f aca="false">IF(AND(ISNUMBER('Onshore - Tasmania Hobart'!E73),ISNUMBER(K1720),ISNUMBER('Onshore - Tasmania Hobart'!F73),ISNUMBER('Onshore - Tasmania Hobart'!G73),OR('Onshore - Tasmania Hobart'!F73&lt;&gt;0,ISNUMBER(SEARCH("Material 0 terverifikasi",'Onshore - Tasmania Hobart'!M73))),OR('Onshore - Tasmania Hobart'!G73&lt;&gt;0,ISNUMBER(SEARCH("Enrolment 0 terverifikasi",'Onshore - Tasmania Hobart'!M73)))),1,0)</f>
        <v>0</v>
      </c>
      <c r="M1720" s="0" t="n">
        <f aca="false">IF(OR('Onshore - Tasmania Hobart'!E73="",ISNUMBER(SEARCH("BSB80120",'Onshore - Tasmania Hobart'!B73&amp;'Onshore - Tasmania Hobart'!M73)),ISNUMBER(SEARCH("Management (Learning)",'Onshore - Tasmania Hobart'!B73))),2,IF(ISNUMBER(SEARCH("CEK:",'Onshore - Tasmania Hobart'!M73)),1,0))</f>
        <v>1</v>
      </c>
    </row>
    <row r="1721" customFormat="false" ht="15" hidden="false" customHeight="false" outlineLevel="0" collapsed="false">
      <c r="A1721" s="61" t="s">
        <v>4450</v>
      </c>
      <c r="B1721" s="62"/>
      <c r="C1721" s="62"/>
      <c r="D1721" s="62"/>
      <c r="E1721" s="62"/>
      <c r="F1721" s="62"/>
      <c r="G1721" s="62"/>
      <c r="H1721" s="62"/>
      <c r="I1721" s="62"/>
    </row>
    <row r="1722" customFormat="false" ht="15" hidden="false" customHeight="false" outlineLevel="0" collapsed="false">
      <c r="A1722" s="63" t="s">
        <v>3753</v>
      </c>
      <c r="B1722" s="64" t="s">
        <v>4374</v>
      </c>
      <c r="C1722" s="63" t="s">
        <v>46</v>
      </c>
      <c r="D1722" s="64" t="str">
        <f aca="false">TRIM(LEFT('Onshore - Tasmania Hobart'!A21,FIND(CHAR(10),'Onshore - Tasmania Hobart'!A21&amp;CHAR(10))-1))</f>
        <v>University of Tasmania (UTAS)</v>
      </c>
      <c r="E1722" s="63" t="str">
        <f aca="false">'Onshore - Tasmania Hobart'!C80&amp;""</f>
        <v>2 years</v>
      </c>
      <c r="F1722" s="63" t="str">
        <f aca="false">IF('Onshore - Tasmania Hobart'!D80="","Belum tercatat",'Onshore - Tasmania Hobart'!D80)</f>
        <v>Term</v>
      </c>
      <c r="G1722" s="65" t="n">
        <f aca="false">IF('Onshore - Tasmania Hobart'!E80="","-",'Onshore - Tasmania Hobart'!E80)</f>
        <v>10487.5</v>
      </c>
      <c r="H1722" s="63" t="n">
        <f aca="false">IF(ISNUMBER(K1722),COUNTIFS($J$6:$J$1916,J1722,$K$6:$K$1916,"&lt;"&amp;K1722)+1,"-")</f>
        <v>1</v>
      </c>
      <c r="I1722" s="64" t="str">
        <f aca="false">IF('Onshore - Tasmania Hobart'!E80="","Harga belum tersedia - hubungi konsultan TEG",IF(M1722=2,"Saat ini tidak menerima pendaftaran siswa internasional baru",IF(M1722=1,"Harga perlu dikonfirmasi ke sekolah"&amp;IF(""="","","; "&amp;""),"")))</f>
        <v/>
      </c>
      <c r="J1722" s="0" t="s">
        <v>4451</v>
      </c>
      <c r="K1722" s="0" t="n">
        <f aca="false">IF(M1722=2,"",IF(ISNUMBER(SEARCH("rata-rata:",'Onshore - Tasmania Hobart'!M80)),VALUE(MID('Onshore - Tasmania Hobart'!M80,SEARCH("rata-rata:",'Onshore - Tasmania Hobart'!M80)+11,FIND(";",'Onshore - Tasmania Hobart'!M80&amp;";",SEARCH("rata-rata:",'Onshore - Tasmania Hobart'!M80))-SEARCH("rata-rata:",'Onshore - Tasmania Hobart'!M80)-11)),IF('Onshore - Tasmania Hobart'!D80="Semester",'Onshore - Tasmania Hobart'!E80*2,IF('Onshore - Tasmania Hobart'!D80="Trimester",'Onshore - Tasmania Hobart'!E80*3,IF('Onshore - Tasmania Hobart'!D80="Term",'Onshore - Tasmania Hobart'!E80*4,IF('Onshore - Tasmania Hobart'!D80="Unit",'Onshore - Tasmania Hobart'!E80*8,""))))))</f>
        <v>41950</v>
      </c>
      <c r="L1722" s="0" t="n">
        <f aca="false">IF(AND(ISNUMBER('Onshore - Tasmania Hobart'!E80),ISNUMBER(K1722),ISNUMBER('Onshore - Tasmania Hobart'!F80),ISNUMBER('Onshore - Tasmania Hobart'!G80),OR('Onshore - Tasmania Hobart'!F80&lt;&gt;0,ISNUMBER(SEARCH("Material 0 terverifikasi",'Onshore - Tasmania Hobart'!M80))),OR('Onshore - Tasmania Hobart'!G80&lt;&gt;0,ISNUMBER(SEARCH("Enrolment 0 terverifikasi",'Onshore - Tasmania Hobart'!M80)))),1,0)</f>
        <v>0</v>
      </c>
      <c r="M1722" s="0" t="n">
        <f aca="false">IF(OR('Onshore - Tasmania Hobart'!E80="",ISNUMBER(SEARCH("BSB80120",'Onshore - Tasmania Hobart'!B80&amp;'Onshore - Tasmania Hobart'!M80)),ISNUMBER(SEARCH("Management (Learning)",'Onshore - Tasmania Hobart'!B80))),2,IF(ISNUMBER(SEARCH("CEK:",'Onshore - Tasmania Hobart'!M80)),1,0))</f>
        <v>0</v>
      </c>
    </row>
    <row r="1723" customFormat="false" ht="15" hidden="false" customHeight="false" outlineLevel="0" collapsed="false">
      <c r="A1723" s="61" t="s">
        <v>4452</v>
      </c>
      <c r="B1723" s="62"/>
      <c r="C1723" s="62"/>
      <c r="D1723" s="62"/>
      <c r="E1723" s="62"/>
      <c r="F1723" s="62"/>
      <c r="G1723" s="62"/>
      <c r="H1723" s="62"/>
      <c r="I1723" s="62"/>
    </row>
    <row r="1724" customFormat="false" ht="15" hidden="false" customHeight="false" outlineLevel="0" collapsed="false">
      <c r="A1724" s="63" t="s">
        <v>3659</v>
      </c>
      <c r="B1724" s="64" t="s">
        <v>4453</v>
      </c>
      <c r="C1724" s="63" t="s">
        <v>43</v>
      </c>
      <c r="D1724" s="64" t="str">
        <f aca="false">TRIM(LEFT('Onshore - Adelaide'!A15,FIND(CHAR(10),'Onshore - Adelaide'!A15&amp;CHAR(10))-1))</f>
        <v>Adelaide University</v>
      </c>
      <c r="E1724" s="63" t="str">
        <f aca="false">'Onshore - Adelaide'!C165&amp;""</f>
        <v>3 years</v>
      </c>
      <c r="F1724" s="63" t="str">
        <f aca="false">IF('Onshore - Adelaide'!D165="","Belum tercatat",'Onshore - Adelaide'!D165)</f>
        <v>Term</v>
      </c>
      <c r="G1724" s="65" t="n">
        <f aca="false">IF('Onshore - Adelaide'!E165="","-",'Onshore - Adelaide'!E165)</f>
        <v>11275</v>
      </c>
      <c r="H1724" s="63" t="n">
        <f aca="false">IF(ISNUMBER(K1724),COUNTIFS($J$6:$J$1916,J1724,$K$6:$K$1916,"&lt;"&amp;K1724)+1,"-")</f>
        <v>1</v>
      </c>
      <c r="I1724" s="64" t="str">
        <f aca="false">IF('Onshore - Adelaide'!E165="","Harga belum tersedia - hubungi konsultan TEG",IF(M1724=2,"Saat ini tidak menerima pendaftaran siswa internasional baru",IF(M1724=1,"Harga perlu dikonfirmasi ke sekolah"&amp;IF(""="","","; "&amp;""),"")))</f>
        <v/>
      </c>
      <c r="J1724" s="0" t="s">
        <v>4454</v>
      </c>
      <c r="K1724" s="0" t="n">
        <f aca="false">IF(M1724=2,"",IF(ISNUMBER(SEARCH("rata-rata:",'Onshore - Adelaide'!M165)),VALUE(MID('Onshore - Adelaide'!M165,SEARCH("rata-rata:",'Onshore - Adelaide'!M165)+11,FIND(";",'Onshore - Adelaide'!M165&amp;";",SEARCH("rata-rata:",'Onshore - Adelaide'!M165))-SEARCH("rata-rata:",'Onshore - Adelaide'!M165)-11)),IF('Onshore - Adelaide'!D165="Semester",'Onshore - Adelaide'!E165*2,IF('Onshore - Adelaide'!D165="Trimester",'Onshore - Adelaide'!E165*3,IF('Onshore - Adelaide'!D165="Term",'Onshore - Adelaide'!E165*4,IF('Onshore - Adelaide'!D165="Unit",'Onshore - Adelaide'!E165*8,""))))))</f>
        <v>45100</v>
      </c>
      <c r="L1724" s="0" t="n">
        <f aca="false">IF(AND(ISNUMBER('Onshore - Adelaide'!E165),ISNUMBER(K1724),ISNUMBER('Onshore - Adelaide'!F165),ISNUMBER('Onshore - Adelaide'!G165),OR('Onshore - Adelaide'!F165&lt;&gt;0,ISNUMBER(SEARCH("Material 0 terverifikasi",'Onshore - Adelaide'!M165))),OR('Onshore - Adelaide'!G165&lt;&gt;0,ISNUMBER(SEARCH("Enrolment 0 terverifikasi",'Onshore - Adelaide'!M165)))),1,0)</f>
        <v>0</v>
      </c>
      <c r="M1724" s="0" t="n">
        <f aca="false">IF(OR('Onshore - Adelaide'!E165="",ISNUMBER(SEARCH("BSB80120",'Onshore - Adelaide'!B165&amp;'Onshore - Adelaide'!M165)),ISNUMBER(SEARCH("Management (Learning)",'Onshore - Adelaide'!B165))),2,IF(ISNUMBER(SEARCH("CEK:",'Onshore - Adelaide'!M165)),1,0))</f>
        <v>0</v>
      </c>
    </row>
    <row r="1725" customFormat="false" ht="15" hidden="false" customHeight="false" outlineLevel="0" collapsed="false">
      <c r="A1725" s="61" t="s">
        <v>4455</v>
      </c>
      <c r="B1725" s="62"/>
      <c r="C1725" s="62"/>
      <c r="D1725" s="62"/>
      <c r="E1725" s="62"/>
      <c r="F1725" s="62"/>
      <c r="G1725" s="62"/>
      <c r="H1725" s="62"/>
      <c r="I1725" s="62"/>
    </row>
    <row r="1726" customFormat="false" ht="15" hidden="false" customHeight="false" outlineLevel="0" collapsed="false">
      <c r="A1726" s="63" t="s">
        <v>3659</v>
      </c>
      <c r="B1726" s="64" t="s">
        <v>4453</v>
      </c>
      <c r="C1726" s="63" t="s">
        <v>46</v>
      </c>
      <c r="D1726" s="64" t="str">
        <f aca="false">TRIM(LEFT('Onshore - Adelaide'!A15,FIND(CHAR(10),'Onshore - Adelaide'!A15&amp;CHAR(10))-1))</f>
        <v>Adelaide University</v>
      </c>
      <c r="E1726" s="63" t="str">
        <f aca="false">'Onshore - Adelaide'!C348&amp;""</f>
        <v>2 years</v>
      </c>
      <c r="F1726" s="63" t="str">
        <f aca="false">IF('Onshore - Adelaide'!D348="","Belum tercatat",'Onshore - Adelaide'!D348)</f>
        <v>Term</v>
      </c>
      <c r="G1726" s="65" t="n">
        <f aca="false">IF('Onshore - Adelaide'!E348="","-",'Onshore - Adelaide'!E348)</f>
        <v>14275</v>
      </c>
      <c r="H1726" s="63" t="n">
        <f aca="false">IF(ISNUMBER(K1726),COUNTIFS($J$6:$J$1916,J1726,$K$6:$K$1916,"&lt;"&amp;K1726)+1,"-")</f>
        <v>1</v>
      </c>
      <c r="I1726" s="64" t="str">
        <f aca="false">IF('Onshore - Adelaide'!E348="","Harga belum tersedia - hubungi konsultan TEG",IF(M1726=2,"Saat ini tidak menerima pendaftaran siswa internasional baru",IF(M1726=1,"Harga perlu dikonfirmasi ke sekolah"&amp;IF(""="","","; "&amp;""),"")))</f>
        <v/>
      </c>
      <c r="J1726" s="0" t="s">
        <v>4456</v>
      </c>
      <c r="K1726" s="0" t="n">
        <f aca="false">IF(M1726=2,"",IF(ISNUMBER(SEARCH("rata-rata:",'Onshore - Adelaide'!M348)),VALUE(MID('Onshore - Adelaide'!M348,SEARCH("rata-rata:",'Onshore - Adelaide'!M348)+11,FIND(";",'Onshore - Adelaide'!M348&amp;";",SEARCH("rata-rata:",'Onshore - Adelaide'!M348))-SEARCH("rata-rata:",'Onshore - Adelaide'!M348)-11)),IF('Onshore - Adelaide'!D348="Semester",'Onshore - Adelaide'!E348*2,IF('Onshore - Adelaide'!D348="Trimester",'Onshore - Adelaide'!E348*3,IF('Onshore - Adelaide'!D348="Term",'Onshore - Adelaide'!E348*4,IF('Onshore - Adelaide'!D348="Unit",'Onshore - Adelaide'!E348*8,""))))))</f>
        <v>57100</v>
      </c>
      <c r="L1726" s="0" t="n">
        <f aca="false">IF(AND(ISNUMBER('Onshore - Adelaide'!E348),ISNUMBER(K1726),ISNUMBER('Onshore - Adelaide'!F348),ISNUMBER('Onshore - Adelaide'!G348),OR('Onshore - Adelaide'!F348&lt;&gt;0,ISNUMBER(SEARCH("Material 0 terverifikasi",'Onshore - Adelaide'!M348))),OR('Onshore - Adelaide'!G348&lt;&gt;0,ISNUMBER(SEARCH("Enrolment 0 terverifikasi",'Onshore - Adelaide'!M348)))),1,0)</f>
        <v>0</v>
      </c>
      <c r="M1726" s="0" t="n">
        <f aca="false">IF(OR('Onshore - Adelaide'!E348="",ISNUMBER(SEARCH("BSB80120",'Onshore - Adelaide'!B348&amp;'Onshore - Adelaide'!M348)),ISNUMBER(SEARCH("Management (Learning)",'Onshore - Adelaide'!B348))),2,IF(ISNUMBER(SEARCH("CEK:",'Onshore - Adelaide'!M348)),1,0))</f>
        <v>0</v>
      </c>
    </row>
    <row r="1727" customFormat="false" ht="15" hidden="false" customHeight="false" outlineLevel="0" collapsed="false">
      <c r="A1727" s="61" t="s">
        <v>4457</v>
      </c>
      <c r="B1727" s="62"/>
      <c r="C1727" s="62"/>
      <c r="D1727" s="62"/>
      <c r="E1727" s="62"/>
      <c r="F1727" s="62"/>
      <c r="G1727" s="62"/>
      <c r="H1727" s="62"/>
      <c r="I1727" s="62"/>
    </row>
    <row r="1728" customFormat="false" ht="15" hidden="false" customHeight="false" outlineLevel="0" collapsed="false">
      <c r="A1728" s="63" t="s">
        <v>3563</v>
      </c>
      <c r="B1728" s="64" t="s">
        <v>4453</v>
      </c>
      <c r="C1728" s="63" t="s">
        <v>41</v>
      </c>
      <c r="D1728" s="64" t="str">
        <f aca="false">TRIM(LEFT('Onshore - Brisbane'!A53,FIND(CHAR(10),'Onshore - Brisbane'!A53&amp;CHAR(10))-1))</f>
        <v>Australian Catholic University (ACU)</v>
      </c>
      <c r="E1728" s="63" t="str">
        <f aca="false">'Onshore - Brisbane'!C148&amp;""</f>
        <v>1 year</v>
      </c>
      <c r="F1728" s="63" t="str">
        <f aca="false">IF('Onshore - Brisbane'!D148="","Belum tercatat",'Onshore - Brisbane'!D148)</f>
        <v>Term</v>
      </c>
      <c r="G1728" s="65" t="n">
        <f aca="false">IF('Onshore - Brisbane'!E148="","-",'Onshore - Brisbane'!E148)</f>
        <v>8480</v>
      </c>
      <c r="H1728" s="63" t="n">
        <f aca="false">IF(ISNUMBER(K1728),COUNTIFS($J$6:$J$1916,J1728,$K$6:$K$1916,"&lt;"&amp;K1728)+1,"-")</f>
        <v>1</v>
      </c>
      <c r="I1728" s="64" t="str">
        <f aca="false">IF('Onshore - Brisbane'!E148="","Harga belum tersedia - hubungi konsultan TEG",IF(M1728=2,"Saat ini tidak menerima pendaftaran siswa internasional baru",IF(M1728=1,"Harga perlu dikonfirmasi ke sekolah"&amp;IF(""="","","; "&amp;""),"")))</f>
        <v/>
      </c>
      <c r="J1728" s="0" t="s">
        <v>4458</v>
      </c>
      <c r="K1728" s="0" t="n">
        <f aca="false">IF(M1728=2,"",IF(ISNUMBER(SEARCH("rata-rata:",'Onshore - Brisbane'!M148)),VALUE(MID('Onshore - Brisbane'!M148,SEARCH("rata-rata:",'Onshore - Brisbane'!M148)+11,FIND(";",'Onshore - Brisbane'!M148&amp;";",SEARCH("rata-rata:",'Onshore - Brisbane'!M148))-SEARCH("rata-rata:",'Onshore - Brisbane'!M148)-11)),IF('Onshore - Brisbane'!D148="Semester",'Onshore - Brisbane'!E148*2,IF('Onshore - Brisbane'!D148="Trimester",'Onshore - Brisbane'!E148*3,IF('Onshore - Brisbane'!D148="Term",'Onshore - Brisbane'!E148*4,IF('Onshore - Brisbane'!D148="Unit",'Onshore - Brisbane'!E148*8,""))))))</f>
        <v>33920</v>
      </c>
      <c r="L1728" s="0" t="n">
        <f aca="false">IF(AND(ISNUMBER('Onshore - Brisbane'!E148),ISNUMBER(K1728),ISNUMBER('Onshore - Brisbane'!F148),ISNUMBER('Onshore - Brisbane'!G148),OR('Onshore - Brisbane'!F148&lt;&gt;0,ISNUMBER(SEARCH("Material 0 terverifikasi",'Onshore - Brisbane'!M148))),OR('Onshore - Brisbane'!G148&lt;&gt;0,ISNUMBER(SEARCH("Enrolment 0 terverifikasi",'Onshore - Brisbane'!M148)))),1,0)</f>
        <v>0</v>
      </c>
      <c r="M1728" s="0" t="n">
        <f aca="false">IF(OR('Onshore - Brisbane'!E148="",ISNUMBER(SEARCH("BSB80120",'Onshore - Brisbane'!B148&amp;'Onshore - Brisbane'!M148)),ISNUMBER(SEARCH("Management (Learning)",'Onshore - Brisbane'!B148))),2,IF(ISNUMBER(SEARCH("CEK:",'Onshore - Brisbane'!M148)),1,0))</f>
        <v>0</v>
      </c>
    </row>
    <row r="1729" customFormat="false" ht="15" hidden="false" customHeight="false" outlineLevel="0" collapsed="false">
      <c r="A1729" s="61" t="s">
        <v>4459</v>
      </c>
      <c r="B1729" s="62"/>
      <c r="C1729" s="62"/>
      <c r="D1729" s="62"/>
      <c r="E1729" s="62"/>
      <c r="F1729" s="62"/>
      <c r="G1729" s="62"/>
      <c r="H1729" s="62"/>
      <c r="I1729" s="62"/>
    </row>
    <row r="1730" customFormat="false" ht="15" hidden="false" customHeight="false" outlineLevel="0" collapsed="false">
      <c r="A1730" s="63" t="s">
        <v>3563</v>
      </c>
      <c r="B1730" s="64" t="s">
        <v>4453</v>
      </c>
      <c r="C1730" s="63" t="s">
        <v>43</v>
      </c>
      <c r="D1730" s="64" t="str">
        <f aca="false">TRIM(LEFT('Onshore - Brisbane'!A53,FIND(CHAR(10),'Onshore - Brisbane'!A53&amp;CHAR(10))-1))</f>
        <v>Australian Catholic University (ACU)</v>
      </c>
      <c r="E1730" s="63" t="str">
        <f aca="false">'Onshore - Brisbane'!C55&amp;""</f>
        <v>5 years</v>
      </c>
      <c r="F1730" s="63" t="str">
        <f aca="false">IF('Onshore - Brisbane'!D55="","Belum tercatat",'Onshore - Brisbane'!D55)</f>
        <v>Term</v>
      </c>
      <c r="G1730" s="65" t="n">
        <f aca="false">IF('Onshore - Brisbane'!E55="","-",'Onshore - Brisbane'!E55)</f>
        <v>9200</v>
      </c>
      <c r="H1730" s="63" t="n">
        <f aca="false">IF(ISNUMBER(K1730),COUNTIFS($J$6:$J$1916,J1730,$K$6:$K$1916,"&lt;"&amp;K1730)+1,"-")</f>
        <v>1</v>
      </c>
      <c r="I1730" s="64" t="str">
        <f aca="false">IF('Onshore - Brisbane'!E55="","Harga belum tersedia - hubungi konsultan TEG",IF(M1730=2,"Saat ini tidak menerima pendaftaran siswa internasional baru",IF(M1730=1,"Harga perlu dikonfirmasi ke sekolah"&amp;IF(""="","","; "&amp;""),"")))</f>
        <v/>
      </c>
      <c r="J1730" s="0" t="s">
        <v>4460</v>
      </c>
      <c r="K1730" s="0" t="n">
        <f aca="false">IF(M1730=2,"",IF(ISNUMBER(SEARCH("rata-rata:",'Onshore - Brisbane'!M55)),VALUE(MID('Onshore - Brisbane'!M55,SEARCH("rata-rata:",'Onshore - Brisbane'!M55)+11,FIND(";",'Onshore - Brisbane'!M55&amp;";",SEARCH("rata-rata:",'Onshore - Brisbane'!M55))-SEARCH("rata-rata:",'Onshore - Brisbane'!M55)-11)),IF('Onshore - Brisbane'!D55="Semester",'Onshore - Brisbane'!E55*2,IF('Onshore - Brisbane'!D55="Trimester",'Onshore - Brisbane'!E55*3,IF('Onshore - Brisbane'!D55="Term",'Onshore - Brisbane'!E55*4,IF('Onshore - Brisbane'!D55="Unit",'Onshore - Brisbane'!E55*8,""))))))</f>
        <v>36800</v>
      </c>
      <c r="L1730" s="0" t="n">
        <f aca="false">IF(AND(ISNUMBER('Onshore - Brisbane'!E55),ISNUMBER(K1730),ISNUMBER('Onshore - Brisbane'!F55),ISNUMBER('Onshore - Brisbane'!G55),OR('Onshore - Brisbane'!F55&lt;&gt;0,ISNUMBER(SEARCH("Material 0 terverifikasi",'Onshore - Brisbane'!M55))),OR('Onshore - Brisbane'!G55&lt;&gt;0,ISNUMBER(SEARCH("Enrolment 0 terverifikasi",'Onshore - Brisbane'!M55)))),1,0)</f>
        <v>0</v>
      </c>
      <c r="M1730" s="0" t="n">
        <f aca="false">IF(OR('Onshore - Brisbane'!E55="",ISNUMBER(SEARCH("BSB80120",'Onshore - Brisbane'!B55&amp;'Onshore - Brisbane'!M55)),ISNUMBER(SEARCH("Management (Learning)",'Onshore - Brisbane'!B55))),2,IF(ISNUMBER(SEARCH("CEK:",'Onshore - Brisbane'!M55)),1,0))</f>
        <v>0</v>
      </c>
    </row>
    <row r="1731" customFormat="false" ht="15" hidden="false" customHeight="false" outlineLevel="0" collapsed="false">
      <c r="A1731" s="61" t="s">
        <v>4461</v>
      </c>
      <c r="B1731" s="62"/>
      <c r="C1731" s="62"/>
      <c r="D1731" s="62"/>
      <c r="E1731" s="62"/>
      <c r="F1731" s="62"/>
      <c r="G1731" s="62"/>
      <c r="H1731" s="62"/>
      <c r="I1731" s="62"/>
    </row>
    <row r="1732" customFormat="false" ht="15" hidden="false" customHeight="false" outlineLevel="0" collapsed="false">
      <c r="A1732" s="63" t="s">
        <v>3718</v>
      </c>
      <c r="B1732" s="64" t="s">
        <v>4453</v>
      </c>
      <c r="C1732" s="63" t="s">
        <v>41</v>
      </c>
      <c r="D1732" s="64" t="str">
        <f aca="false">TRIM(LEFT('Onshore - Canberra'!A6,FIND(CHAR(10),'Onshore - Canberra'!A6&amp;CHAR(10))-1))</f>
        <v>Australian Catholic University (ACU)</v>
      </c>
      <c r="E1732" s="63" t="str">
        <f aca="false">'Onshore - Canberra'!C101&amp;""</f>
        <v>1 year</v>
      </c>
      <c r="F1732" s="63" t="str">
        <f aca="false">IF('Onshore - Canberra'!D101="","Belum tercatat",'Onshore - Canberra'!D101)</f>
        <v>Term</v>
      </c>
      <c r="G1732" s="65" t="n">
        <f aca="false">IF('Onshore - Canberra'!E101="","-",'Onshore - Canberra'!E101)</f>
        <v>8480</v>
      </c>
      <c r="H1732" s="63" t="n">
        <f aca="false">IF(ISNUMBER(K1732),COUNTIFS($J$6:$J$1916,J1732,$K$6:$K$1916,"&lt;"&amp;K1732)+1,"-")</f>
        <v>1</v>
      </c>
      <c r="I1732" s="64" t="str">
        <f aca="false">IF('Onshore - Canberra'!E101="","Harga belum tersedia - hubungi konsultan TEG",IF(M1732=2,"Saat ini tidak menerima pendaftaran siswa internasional baru",IF(M1732=1,"Harga perlu dikonfirmasi ke sekolah"&amp;IF(""="","","; "&amp;""),"")))</f>
        <v/>
      </c>
      <c r="J1732" s="0" t="s">
        <v>4462</v>
      </c>
      <c r="K1732" s="0" t="n">
        <f aca="false">IF(M1732=2,"",IF(ISNUMBER(SEARCH("rata-rata:",'Onshore - Canberra'!M101)),VALUE(MID('Onshore - Canberra'!M101,SEARCH("rata-rata:",'Onshore - Canberra'!M101)+11,FIND(";",'Onshore - Canberra'!M101&amp;";",SEARCH("rata-rata:",'Onshore - Canberra'!M101))-SEARCH("rata-rata:",'Onshore - Canberra'!M101)-11)),IF('Onshore - Canberra'!D101="Semester",'Onshore - Canberra'!E101*2,IF('Onshore - Canberra'!D101="Trimester",'Onshore - Canberra'!E101*3,IF('Onshore - Canberra'!D101="Term",'Onshore - Canberra'!E101*4,IF('Onshore - Canberra'!D101="Unit",'Onshore - Canberra'!E101*8,""))))))</f>
        <v>33920</v>
      </c>
      <c r="L1732" s="0" t="n">
        <f aca="false">IF(AND(ISNUMBER('Onshore - Canberra'!E101),ISNUMBER(K1732),ISNUMBER('Onshore - Canberra'!F101),ISNUMBER('Onshore - Canberra'!G101),OR('Onshore - Canberra'!F101&lt;&gt;0,ISNUMBER(SEARCH("Material 0 terverifikasi",'Onshore - Canberra'!M101))),OR('Onshore - Canberra'!G101&lt;&gt;0,ISNUMBER(SEARCH("Enrolment 0 terverifikasi",'Onshore - Canberra'!M101)))),1,0)</f>
        <v>0</v>
      </c>
      <c r="M1732" s="0" t="n">
        <f aca="false">IF(OR('Onshore - Canberra'!E101="",ISNUMBER(SEARCH("BSB80120",'Onshore - Canberra'!B101&amp;'Onshore - Canberra'!M101)),ISNUMBER(SEARCH("Management (Learning)",'Onshore - Canberra'!B101))),2,IF(ISNUMBER(SEARCH("CEK:",'Onshore - Canberra'!M101)),1,0))</f>
        <v>0</v>
      </c>
    </row>
    <row r="1733" customFormat="false" ht="15" hidden="false" customHeight="false" outlineLevel="0" collapsed="false">
      <c r="A1733" s="61" t="s">
        <v>4463</v>
      </c>
      <c r="B1733" s="62"/>
      <c r="C1733" s="62"/>
      <c r="D1733" s="62"/>
      <c r="E1733" s="62"/>
      <c r="F1733" s="62"/>
      <c r="G1733" s="62"/>
      <c r="H1733" s="62"/>
      <c r="I1733" s="62"/>
    </row>
    <row r="1734" customFormat="false" ht="15" hidden="false" customHeight="false" outlineLevel="0" collapsed="false">
      <c r="A1734" s="63" t="s">
        <v>3718</v>
      </c>
      <c r="B1734" s="64" t="s">
        <v>4453</v>
      </c>
      <c r="C1734" s="63" t="s">
        <v>43</v>
      </c>
      <c r="D1734" s="64" t="str">
        <f aca="false">TRIM(LEFT('Onshore - Canberra'!A6,FIND(CHAR(10),'Onshore - Canberra'!A6&amp;CHAR(10))-1))</f>
        <v>Australian Catholic University (ACU)</v>
      </c>
      <c r="E1734" s="63" t="str">
        <f aca="false">'Onshore - Canberra'!C8&amp;""</f>
        <v>5 years</v>
      </c>
      <c r="F1734" s="63" t="str">
        <f aca="false">IF('Onshore - Canberra'!D8="","Belum tercatat",'Onshore - Canberra'!D8)</f>
        <v>Term</v>
      </c>
      <c r="G1734" s="65" t="n">
        <f aca="false">IF('Onshore - Canberra'!E8="","-",'Onshore - Canberra'!E8)</f>
        <v>9200</v>
      </c>
      <c r="H1734" s="63" t="n">
        <f aca="false">IF(ISNUMBER(K1734),COUNTIFS($J$6:$J$1916,J1734,$K$6:$K$1916,"&lt;"&amp;K1734)+1,"-")</f>
        <v>1</v>
      </c>
      <c r="I1734" s="64" t="str">
        <f aca="false">IF('Onshore - Canberra'!E8="","Harga belum tersedia - hubungi konsultan TEG",IF(M1734=2,"Saat ini tidak menerima pendaftaran siswa internasional baru",IF(M1734=1,"Harga perlu dikonfirmasi ke sekolah"&amp;IF(""="","","; "&amp;""),"")))</f>
        <v/>
      </c>
      <c r="J1734" s="0" t="s">
        <v>4464</v>
      </c>
      <c r="K1734" s="0" t="n">
        <f aca="false">IF(M1734=2,"",IF(ISNUMBER(SEARCH("rata-rata:",'Onshore - Canberra'!M8)),VALUE(MID('Onshore - Canberra'!M8,SEARCH("rata-rata:",'Onshore - Canberra'!M8)+11,FIND(";",'Onshore - Canberra'!M8&amp;";",SEARCH("rata-rata:",'Onshore - Canberra'!M8))-SEARCH("rata-rata:",'Onshore - Canberra'!M8)-11)),IF('Onshore - Canberra'!D8="Semester",'Onshore - Canberra'!E8*2,IF('Onshore - Canberra'!D8="Trimester",'Onshore - Canberra'!E8*3,IF('Onshore - Canberra'!D8="Term",'Onshore - Canberra'!E8*4,IF('Onshore - Canberra'!D8="Unit",'Onshore - Canberra'!E8*8,""))))))</f>
        <v>36800</v>
      </c>
      <c r="L1734" s="0" t="n">
        <f aca="false">IF(AND(ISNUMBER('Onshore - Canberra'!E8),ISNUMBER(K1734),ISNUMBER('Onshore - Canberra'!F8),ISNUMBER('Onshore - Canberra'!G8),OR('Onshore - Canberra'!F8&lt;&gt;0,ISNUMBER(SEARCH("Material 0 terverifikasi",'Onshore - Canberra'!M8))),OR('Onshore - Canberra'!G8&lt;&gt;0,ISNUMBER(SEARCH("Enrolment 0 terverifikasi",'Onshore - Canberra'!M8)))),1,0)</f>
        <v>0</v>
      </c>
      <c r="M1734" s="0" t="n">
        <f aca="false">IF(OR('Onshore - Canberra'!E8="",ISNUMBER(SEARCH("BSB80120",'Onshore - Canberra'!B8&amp;'Onshore - Canberra'!M8)),ISNUMBER(SEARCH("Management (Learning)",'Onshore - Canberra'!B8))),2,IF(ISNUMBER(SEARCH("CEK:",'Onshore - Canberra'!M8)),1,0))</f>
        <v>0</v>
      </c>
    </row>
    <row r="1735" customFormat="false" ht="15" hidden="false" customHeight="false" outlineLevel="0" collapsed="false">
      <c r="A1735" s="61" t="s">
        <v>4465</v>
      </c>
      <c r="B1735" s="62"/>
      <c r="C1735" s="62"/>
      <c r="D1735" s="62"/>
      <c r="E1735" s="62"/>
      <c r="F1735" s="62"/>
      <c r="G1735" s="62"/>
      <c r="H1735" s="62"/>
      <c r="I1735" s="62"/>
    </row>
    <row r="1736" customFormat="false" ht="15" hidden="false" customHeight="false" outlineLevel="0" collapsed="false">
      <c r="A1736" s="63" t="s">
        <v>3583</v>
      </c>
      <c r="B1736" s="64" t="s">
        <v>4453</v>
      </c>
      <c r="C1736" s="63" t="s">
        <v>41</v>
      </c>
      <c r="D1736" s="64" t="str">
        <f aca="false">TRIM(LEFT('Onshore - Darwin (NT)'!A20,FIND(CHAR(10),'Onshore - Darwin (NT)'!A20&amp;CHAR(10))-1))</f>
        <v>Charles Darwin University (CDU)</v>
      </c>
      <c r="E1736" s="63" t="str">
        <f aca="false">'Onshore - Darwin (NT)'!C34&amp;""</f>
        <v>1 year</v>
      </c>
      <c r="F1736" s="63" t="str">
        <f aca="false">IF('Onshore - Darwin (NT)'!D34="","Belum tercatat",'Onshore - Darwin (NT)'!D34)</f>
        <v>Term</v>
      </c>
      <c r="G1736" s="65" t="n">
        <f aca="false">IF('Onshore - Darwin (NT)'!E34="","-",'Onshore - Darwin (NT)'!E34)</f>
        <v>7932</v>
      </c>
      <c r="H1736" s="63" t="n">
        <f aca="false">IF(ISNUMBER(K1736),COUNTIFS($J$6:$J$1916,J1736,$K$6:$K$1916,"&lt;"&amp;K1736)+1,"-")</f>
        <v>1</v>
      </c>
      <c r="I1736" s="64" t="str">
        <f aca="false">IF('Onshore - Darwin (NT)'!E34="","Harga belum tersedia - hubungi konsultan TEG",IF(M1736=2,"Saat ini tidak menerima pendaftaran siswa internasional baru",IF(M1736=1,"Harga perlu dikonfirmasi ke sekolah"&amp;IF(""="","","; "&amp;""),"")))</f>
        <v/>
      </c>
      <c r="J1736" s="0" t="s">
        <v>4466</v>
      </c>
      <c r="K1736" s="0" t="n">
        <f aca="false">IF(M1736=2,"",IF(ISNUMBER(SEARCH("rata-rata:",'Onshore - Darwin (NT)'!M34)),VALUE(MID('Onshore - Darwin (NT)'!M34,SEARCH("rata-rata:",'Onshore - Darwin (NT)'!M34)+11,FIND(";",'Onshore - Darwin (NT)'!M34&amp;";",SEARCH("rata-rata:",'Onshore - Darwin (NT)'!M34))-SEARCH("rata-rata:",'Onshore - Darwin (NT)'!M34)-11)),IF('Onshore - Darwin (NT)'!D34="Semester",'Onshore - Darwin (NT)'!E34*2,IF('Onshore - Darwin (NT)'!D34="Trimester",'Onshore - Darwin (NT)'!E34*3,IF('Onshore - Darwin (NT)'!D34="Term",'Onshore - Darwin (NT)'!E34*4,IF('Onshore - Darwin (NT)'!D34="Unit",'Onshore - Darwin (NT)'!E34*8,""))))))</f>
        <v>31728</v>
      </c>
      <c r="L1736" s="0" t="n">
        <f aca="false">IF(AND(ISNUMBER('Onshore - Darwin (NT)'!E34),ISNUMBER(K1736),ISNUMBER('Onshore - Darwin (NT)'!F34),ISNUMBER('Onshore - Darwin (NT)'!G34),OR('Onshore - Darwin (NT)'!F34&lt;&gt;0,ISNUMBER(SEARCH("Material 0 terverifikasi",'Onshore - Darwin (NT)'!M34))),OR('Onshore - Darwin (NT)'!G34&lt;&gt;0,ISNUMBER(SEARCH("Enrolment 0 terverifikasi",'Onshore - Darwin (NT)'!M34)))),1,0)</f>
        <v>0</v>
      </c>
      <c r="M1736" s="0" t="n">
        <f aca="false">IF(OR('Onshore - Darwin (NT)'!E34="",ISNUMBER(SEARCH("BSB80120",'Onshore - Darwin (NT)'!B34&amp;'Onshore - Darwin (NT)'!M34)),ISNUMBER(SEARCH("Management (Learning)",'Onshore - Darwin (NT)'!B34))),2,IF(ISNUMBER(SEARCH("CEK:",'Onshore - Darwin (NT)'!M34)),1,0))</f>
        <v>0</v>
      </c>
    </row>
    <row r="1737" customFormat="false" ht="15" hidden="false" customHeight="false" outlineLevel="0" collapsed="false">
      <c r="A1737" s="61" t="s">
        <v>4467</v>
      </c>
      <c r="B1737" s="62"/>
      <c r="C1737" s="62"/>
      <c r="D1737" s="62"/>
      <c r="E1737" s="62"/>
      <c r="F1737" s="62"/>
      <c r="G1737" s="62"/>
      <c r="H1737" s="62"/>
      <c r="I1737" s="62"/>
    </row>
    <row r="1738" customFormat="false" ht="15" hidden="false" customHeight="false" outlineLevel="0" collapsed="false">
      <c r="A1738" s="63" t="s">
        <v>3583</v>
      </c>
      <c r="B1738" s="64" t="s">
        <v>4453</v>
      </c>
      <c r="C1738" s="63" t="s">
        <v>42</v>
      </c>
      <c r="D1738" s="64" t="str">
        <f aca="false">TRIM(LEFT('Onshore - Darwin (NT)'!A20,FIND(CHAR(10),'Onshore - Darwin (NT)'!A20&amp;CHAR(10))-1))</f>
        <v>Charles Darwin University (CDU)</v>
      </c>
      <c r="E1738" s="63" t="str">
        <f aca="false">'Onshore - Darwin (NT)'!C29&amp;""</f>
        <v>2 years</v>
      </c>
      <c r="F1738" s="63" t="str">
        <f aca="false">IF('Onshore - Darwin (NT)'!D29="","Belum tercatat",'Onshore - Darwin (NT)'!D29)</f>
        <v>Term</v>
      </c>
      <c r="G1738" s="65" t="n">
        <f aca="false">IF('Onshore - Darwin (NT)'!E29="","-",'Onshore - Darwin (NT)'!E29)</f>
        <v>7932</v>
      </c>
      <c r="H1738" s="63" t="n">
        <f aca="false">IF(ISNUMBER(K1738),COUNTIFS($J$6:$J$1916,J1738,$K$6:$K$1916,"&lt;"&amp;K1738)+1,"-")</f>
        <v>1</v>
      </c>
      <c r="I1738" s="64" t="str">
        <f aca="false">IF('Onshore - Darwin (NT)'!E29="","Harga belum tersedia - hubungi konsultan TEG",IF(M1738=2,"Saat ini tidak menerima pendaftaran siswa internasional baru",IF(M1738=1,"Harga perlu dikonfirmasi ke sekolah"&amp;IF(""="","","; "&amp;""),"")))</f>
        <v/>
      </c>
      <c r="J1738" s="0" t="s">
        <v>4468</v>
      </c>
      <c r="K1738" s="0" t="n">
        <f aca="false">IF(M1738=2,"",IF(ISNUMBER(SEARCH("rata-rata:",'Onshore - Darwin (NT)'!M29)),VALUE(MID('Onshore - Darwin (NT)'!M29,SEARCH("rata-rata:",'Onshore - Darwin (NT)'!M29)+11,FIND(";",'Onshore - Darwin (NT)'!M29&amp;";",SEARCH("rata-rata:",'Onshore - Darwin (NT)'!M29))-SEARCH("rata-rata:",'Onshore - Darwin (NT)'!M29)-11)),IF('Onshore - Darwin (NT)'!D29="Semester",'Onshore - Darwin (NT)'!E29*2,IF('Onshore - Darwin (NT)'!D29="Trimester",'Onshore - Darwin (NT)'!E29*3,IF('Onshore - Darwin (NT)'!D29="Term",'Onshore - Darwin (NT)'!E29*4,IF('Onshore - Darwin (NT)'!D29="Unit",'Onshore - Darwin (NT)'!E29*8,""))))))</f>
        <v>31728</v>
      </c>
      <c r="L1738" s="0" t="n">
        <f aca="false">IF(AND(ISNUMBER('Onshore - Darwin (NT)'!E29),ISNUMBER(K1738),ISNUMBER('Onshore - Darwin (NT)'!F29),ISNUMBER('Onshore - Darwin (NT)'!G29),OR('Onshore - Darwin (NT)'!F29&lt;&gt;0,ISNUMBER(SEARCH("Material 0 terverifikasi",'Onshore - Darwin (NT)'!M29))),OR('Onshore - Darwin (NT)'!G29&lt;&gt;0,ISNUMBER(SEARCH("Enrolment 0 terverifikasi",'Onshore - Darwin (NT)'!M29)))),1,0)</f>
        <v>0</v>
      </c>
      <c r="M1738" s="0" t="n">
        <f aca="false">IF(OR('Onshore - Darwin (NT)'!E29="",ISNUMBER(SEARCH("BSB80120",'Onshore - Darwin (NT)'!B29&amp;'Onshore - Darwin (NT)'!M29)),ISNUMBER(SEARCH("Management (Learning)",'Onshore - Darwin (NT)'!B29))),2,IF(ISNUMBER(SEARCH("CEK:",'Onshore - Darwin (NT)'!M29)),1,0))</f>
        <v>0</v>
      </c>
    </row>
    <row r="1739" customFormat="false" ht="15" hidden="false" customHeight="false" outlineLevel="0" collapsed="false">
      <c r="A1739" s="61" t="s">
        <v>4469</v>
      </c>
      <c r="B1739" s="62"/>
      <c r="C1739" s="62"/>
      <c r="D1739" s="62"/>
      <c r="E1739" s="62"/>
      <c r="F1739" s="62"/>
      <c r="G1739" s="62"/>
      <c r="H1739" s="62"/>
      <c r="I1739" s="62"/>
    </row>
    <row r="1740" customFormat="false" ht="15" hidden="false" customHeight="false" outlineLevel="0" collapsed="false">
      <c r="A1740" s="63" t="s">
        <v>3583</v>
      </c>
      <c r="B1740" s="64" t="s">
        <v>4453</v>
      </c>
      <c r="C1740" s="63" t="s">
        <v>43</v>
      </c>
      <c r="D1740" s="64" t="str">
        <f aca="false">TRIM(LEFT('Onshore - Darwin (NT)'!A20,FIND(CHAR(10),'Onshore - Darwin (NT)'!A20&amp;CHAR(10))-1))</f>
        <v>Charles Darwin University (CDU)</v>
      </c>
      <c r="E1740" s="63" t="str">
        <f aca="false">'Onshore - Darwin (NT)'!C33&amp;""</f>
        <v>4 years</v>
      </c>
      <c r="F1740" s="63" t="str">
        <f aca="false">IF('Onshore - Darwin (NT)'!D33="","Belum tercatat",'Onshore - Darwin (NT)'!D33)</f>
        <v>Term</v>
      </c>
      <c r="G1740" s="65" t="n">
        <f aca="false">IF('Onshore - Darwin (NT)'!E33="","-",'Onshore - Darwin (NT)'!E33)</f>
        <v>7802</v>
      </c>
      <c r="H1740" s="63" t="n">
        <f aca="false">IF(ISNUMBER(K1740),COUNTIFS($J$6:$J$1916,J1740,$K$6:$K$1916,"&lt;"&amp;K1740)+1,"-")</f>
        <v>1</v>
      </c>
      <c r="I1740" s="64" t="str">
        <f aca="false">IF('Onshore - Darwin (NT)'!E33="","Harga belum tersedia - hubungi konsultan TEG",IF(M1740=2,"Saat ini tidak menerima pendaftaran siswa internasional baru",IF(M1740=1,"Harga perlu dikonfirmasi ke sekolah"&amp;IF(""="","","; "&amp;""),"")))</f>
        <v/>
      </c>
      <c r="J1740" s="0" t="s">
        <v>4470</v>
      </c>
      <c r="K1740" s="0" t="n">
        <f aca="false">IF(M1740=2,"",IF(ISNUMBER(SEARCH("rata-rata:",'Onshore - Darwin (NT)'!M33)),VALUE(MID('Onshore - Darwin (NT)'!M33,SEARCH("rata-rata:",'Onshore - Darwin (NT)'!M33)+11,FIND(";",'Onshore - Darwin (NT)'!M33&amp;";",SEARCH("rata-rata:",'Onshore - Darwin (NT)'!M33))-SEARCH("rata-rata:",'Onshore - Darwin (NT)'!M33)-11)),IF('Onshore - Darwin (NT)'!D33="Semester",'Onshore - Darwin (NT)'!E33*2,IF('Onshore - Darwin (NT)'!D33="Trimester",'Onshore - Darwin (NT)'!E33*3,IF('Onshore - Darwin (NT)'!D33="Term",'Onshore - Darwin (NT)'!E33*4,IF('Onshore - Darwin (NT)'!D33="Unit",'Onshore - Darwin (NT)'!E33*8,""))))))</f>
        <v>31208</v>
      </c>
      <c r="L1740" s="0" t="n">
        <f aca="false">IF(AND(ISNUMBER('Onshore - Darwin (NT)'!E33),ISNUMBER(K1740),ISNUMBER('Onshore - Darwin (NT)'!F33),ISNUMBER('Onshore - Darwin (NT)'!G33),OR('Onshore - Darwin (NT)'!F33&lt;&gt;0,ISNUMBER(SEARCH("Material 0 terverifikasi",'Onshore - Darwin (NT)'!M33))),OR('Onshore - Darwin (NT)'!G33&lt;&gt;0,ISNUMBER(SEARCH("Enrolment 0 terverifikasi",'Onshore - Darwin (NT)'!M33)))),1,0)</f>
        <v>0</v>
      </c>
      <c r="M1740" s="0" t="n">
        <f aca="false">IF(OR('Onshore - Darwin (NT)'!E33="",ISNUMBER(SEARCH("BSB80120",'Onshore - Darwin (NT)'!B33&amp;'Onshore - Darwin (NT)'!M33)),ISNUMBER(SEARCH("Management (Learning)",'Onshore - Darwin (NT)'!B33))),2,IF(ISNUMBER(SEARCH("CEK:",'Onshore - Darwin (NT)'!M33)),1,0))</f>
        <v>0</v>
      </c>
    </row>
    <row r="1741" customFormat="false" ht="15" hidden="false" customHeight="false" outlineLevel="0" collapsed="false">
      <c r="A1741" s="61" t="s">
        <v>4471</v>
      </c>
      <c r="B1741" s="62"/>
      <c r="C1741" s="62"/>
      <c r="D1741" s="62"/>
      <c r="E1741" s="62"/>
      <c r="F1741" s="62"/>
      <c r="G1741" s="62"/>
      <c r="H1741" s="62"/>
      <c r="I1741" s="62"/>
    </row>
    <row r="1742" customFormat="false" ht="15" hidden="false" customHeight="false" outlineLevel="0" collapsed="false">
      <c r="A1742" s="63" t="s">
        <v>3544</v>
      </c>
      <c r="B1742" s="64" t="s">
        <v>4453</v>
      </c>
      <c r="C1742" s="63" t="s">
        <v>41</v>
      </c>
      <c r="D1742" s="64" t="str">
        <f aca="false">TRIM(LEFT('Onshore- Melbourne'!A94,FIND(CHAR(10),'Onshore- Melbourne'!A94&amp;CHAR(10))-1))</f>
        <v>Australian Catholic University (ACU)</v>
      </c>
      <c r="E1742" s="63" t="str">
        <f aca="false">'Onshore- Melbourne'!C189&amp;""</f>
        <v>1 year</v>
      </c>
      <c r="F1742" s="63" t="str">
        <f aca="false">IF('Onshore- Melbourne'!D189="","Belum tercatat",'Onshore- Melbourne'!D189)</f>
        <v>Term</v>
      </c>
      <c r="G1742" s="65" t="n">
        <f aca="false">IF('Onshore- Melbourne'!E189="","-",'Onshore- Melbourne'!E189)</f>
        <v>8480</v>
      </c>
      <c r="H1742" s="63" t="n">
        <f aca="false">IF(ISNUMBER(K1742),COUNTIFS($J$6:$J$1916,J1742,$K$6:$K$1916,"&lt;"&amp;K1742)+1,"-")</f>
        <v>1</v>
      </c>
      <c r="I1742" s="64" t="str">
        <f aca="false">IF('Onshore- Melbourne'!E189="","Harga belum tersedia - hubungi konsultan TEG",IF(M1742=2,"Saat ini tidak menerima pendaftaran siswa internasional baru",IF(M1742=1,"Harga perlu dikonfirmasi ke sekolah"&amp;IF(""="","","; "&amp;""),"")))</f>
        <v/>
      </c>
      <c r="J1742" s="0" t="s">
        <v>4472</v>
      </c>
      <c r="K1742" s="0" t="n">
        <f aca="false">IF(M1742=2,"",IF(ISNUMBER(SEARCH("rata-rata:",'Onshore- Melbourne'!M189)),VALUE(MID('Onshore- Melbourne'!M189,SEARCH("rata-rata:",'Onshore- Melbourne'!M189)+11,FIND(";",'Onshore- Melbourne'!M189&amp;";",SEARCH("rata-rata:",'Onshore- Melbourne'!M189))-SEARCH("rata-rata:",'Onshore- Melbourne'!M189)-11)),IF('Onshore- Melbourne'!D189="Semester",'Onshore- Melbourne'!E189*2,IF('Onshore- Melbourne'!D189="Trimester",'Onshore- Melbourne'!E189*3,IF('Onshore- Melbourne'!D189="Term",'Onshore- Melbourne'!E189*4,IF('Onshore- Melbourne'!D189="Unit",'Onshore- Melbourne'!E189*8,""))))))</f>
        <v>33920</v>
      </c>
      <c r="L1742" s="0" t="n">
        <f aca="false">IF(AND(ISNUMBER('Onshore- Melbourne'!E189),ISNUMBER(K1742),ISNUMBER('Onshore- Melbourne'!F189),ISNUMBER('Onshore- Melbourne'!G189),OR('Onshore- Melbourne'!F189&lt;&gt;0,ISNUMBER(SEARCH("Material 0 terverifikasi",'Onshore- Melbourne'!M189))),OR('Onshore- Melbourne'!G189&lt;&gt;0,ISNUMBER(SEARCH("Enrolment 0 terverifikasi",'Onshore- Melbourne'!M189)))),1,0)</f>
        <v>0</v>
      </c>
      <c r="M1742" s="0" t="n">
        <f aca="false">IF(OR('Onshore- Melbourne'!E189="",ISNUMBER(SEARCH("BSB80120",'Onshore- Melbourne'!B189&amp;'Onshore- Melbourne'!M189)),ISNUMBER(SEARCH("Management (Learning)",'Onshore- Melbourne'!B189))),2,IF(ISNUMBER(SEARCH("CEK:",'Onshore- Melbourne'!M189)),1,0))</f>
        <v>0</v>
      </c>
    </row>
    <row r="1743" customFormat="false" ht="15" hidden="false" customHeight="false" outlineLevel="0" collapsed="false">
      <c r="A1743" s="61" t="s">
        <v>4473</v>
      </c>
      <c r="B1743" s="62"/>
      <c r="C1743" s="62"/>
      <c r="D1743" s="62"/>
      <c r="E1743" s="62"/>
      <c r="F1743" s="62"/>
      <c r="G1743" s="62"/>
      <c r="H1743" s="62"/>
      <c r="I1743" s="62"/>
    </row>
    <row r="1744" customFormat="false" ht="15" hidden="false" customHeight="false" outlineLevel="0" collapsed="false">
      <c r="A1744" s="63" t="s">
        <v>3544</v>
      </c>
      <c r="B1744" s="64" t="s">
        <v>4453</v>
      </c>
      <c r="C1744" s="63" t="s">
        <v>43</v>
      </c>
      <c r="D1744" s="64" t="str">
        <f aca="false">TRIM(LEFT('Onshore- Melbourne'!A94,FIND(CHAR(10),'Onshore- Melbourne'!A94&amp;CHAR(10))-1))</f>
        <v>Australian Catholic University (ACU)</v>
      </c>
      <c r="E1744" s="63" t="str">
        <f aca="false">'Onshore- Melbourne'!C96&amp;""</f>
        <v>5 years</v>
      </c>
      <c r="F1744" s="63" t="str">
        <f aca="false">IF('Onshore- Melbourne'!D96="","Belum tercatat",'Onshore- Melbourne'!D96)</f>
        <v>Term</v>
      </c>
      <c r="G1744" s="65" t="n">
        <f aca="false">IF('Onshore- Melbourne'!E96="","-",'Onshore- Melbourne'!E96)</f>
        <v>9200</v>
      </c>
      <c r="H1744" s="63" t="n">
        <f aca="false">IF(ISNUMBER(K1744),COUNTIFS($J$6:$J$1916,J1744,$K$6:$K$1916,"&lt;"&amp;K1744)+1,"-")</f>
        <v>1</v>
      </c>
      <c r="I1744" s="64" t="str">
        <f aca="false">IF('Onshore- Melbourne'!E96="","Harga belum tersedia - hubungi konsultan TEG",IF(M1744=2,"Saat ini tidak menerima pendaftaran siswa internasional baru",IF(M1744=1,"Harga perlu dikonfirmasi ke sekolah"&amp;IF(""="","","; "&amp;""),"")))</f>
        <v/>
      </c>
      <c r="J1744" s="0" t="s">
        <v>4474</v>
      </c>
      <c r="K1744" s="0" t="n">
        <f aca="false">IF(M1744=2,"",IF(ISNUMBER(SEARCH("rata-rata:",'Onshore- Melbourne'!M96)),VALUE(MID('Onshore- Melbourne'!M96,SEARCH("rata-rata:",'Onshore- Melbourne'!M96)+11,FIND(";",'Onshore- Melbourne'!M96&amp;";",SEARCH("rata-rata:",'Onshore- Melbourne'!M96))-SEARCH("rata-rata:",'Onshore- Melbourne'!M96)-11)),IF('Onshore- Melbourne'!D96="Semester",'Onshore- Melbourne'!E96*2,IF('Onshore- Melbourne'!D96="Trimester",'Onshore- Melbourne'!E96*3,IF('Onshore- Melbourne'!D96="Term",'Onshore- Melbourne'!E96*4,IF('Onshore- Melbourne'!D96="Unit",'Onshore- Melbourne'!E96*8,""))))))</f>
        <v>36800</v>
      </c>
      <c r="L1744" s="0" t="n">
        <f aca="false">IF(AND(ISNUMBER('Onshore- Melbourne'!E96),ISNUMBER(K1744),ISNUMBER('Onshore- Melbourne'!F96),ISNUMBER('Onshore- Melbourne'!G96),OR('Onshore- Melbourne'!F96&lt;&gt;0,ISNUMBER(SEARCH("Material 0 terverifikasi",'Onshore- Melbourne'!M96))),OR('Onshore- Melbourne'!G96&lt;&gt;0,ISNUMBER(SEARCH("Enrolment 0 terverifikasi",'Onshore- Melbourne'!M96)))),1,0)</f>
        <v>0</v>
      </c>
      <c r="M1744" s="0" t="n">
        <f aca="false">IF(OR('Onshore- Melbourne'!E96="",ISNUMBER(SEARCH("BSB80120",'Onshore- Melbourne'!B96&amp;'Onshore- Melbourne'!M96)),ISNUMBER(SEARCH("Management (Learning)",'Onshore- Melbourne'!B96))),2,IF(ISNUMBER(SEARCH("CEK:",'Onshore- Melbourne'!M96)),1,0))</f>
        <v>0</v>
      </c>
    </row>
    <row r="1745" customFormat="false" ht="15" hidden="false" customHeight="false" outlineLevel="0" collapsed="false">
      <c r="A1745" s="61" t="s">
        <v>4475</v>
      </c>
      <c r="B1745" s="62"/>
      <c r="C1745" s="62"/>
      <c r="D1745" s="62"/>
      <c r="E1745" s="62"/>
      <c r="F1745" s="62"/>
      <c r="G1745" s="62"/>
      <c r="H1745" s="62"/>
      <c r="I1745" s="62"/>
    </row>
    <row r="1746" customFormat="false" ht="15" hidden="false" customHeight="false" outlineLevel="0" collapsed="false">
      <c r="A1746" s="63" t="s">
        <v>3533</v>
      </c>
      <c r="B1746" s="64" t="s">
        <v>4453</v>
      </c>
      <c r="C1746" s="63" t="s">
        <v>41</v>
      </c>
      <c r="D1746" s="64" t="str">
        <f aca="false">TRIM(LEFT('Onshore - Sydney'!A163,FIND(CHAR(10),'Onshore - Sydney'!A163&amp;CHAR(10))-1))</f>
        <v>Australian Catholic University (ACU)</v>
      </c>
      <c r="E1746" s="63" t="str">
        <f aca="false">'Onshore - Sydney'!C258&amp;""</f>
        <v>1 year</v>
      </c>
      <c r="F1746" s="63" t="str">
        <f aca="false">IF('Onshore - Sydney'!D258="","Belum tercatat",'Onshore - Sydney'!D258)</f>
        <v>Term</v>
      </c>
      <c r="G1746" s="65" t="n">
        <f aca="false">IF('Onshore - Sydney'!E258="","-",'Onshore - Sydney'!E258)</f>
        <v>8480</v>
      </c>
      <c r="H1746" s="63" t="n">
        <f aca="false">IF(ISNUMBER(K1746),COUNTIFS($J$6:$J$1916,J1746,$K$6:$K$1916,"&lt;"&amp;K1746)+1,"-")</f>
        <v>1</v>
      </c>
      <c r="I1746" s="64" t="str">
        <f aca="false">IF('Onshore - Sydney'!E258="","Harga belum tersedia - hubungi konsultan TEG",IF(M1746=2,"Saat ini tidak menerima pendaftaran siswa internasional baru",IF(M1746=1,"Harga perlu dikonfirmasi ke sekolah"&amp;IF(""="","","; "&amp;""),"")))</f>
        <v/>
      </c>
      <c r="J1746" s="0" t="s">
        <v>4476</v>
      </c>
      <c r="K1746" s="0" t="n">
        <f aca="false">IF(M1746=2,"",IF(ISNUMBER(SEARCH("rata-rata:",'Onshore - Sydney'!M258)),VALUE(MID('Onshore - Sydney'!M258,SEARCH("rata-rata:",'Onshore - Sydney'!M258)+11,FIND(";",'Onshore - Sydney'!M258&amp;";",SEARCH("rata-rata:",'Onshore - Sydney'!M258))-SEARCH("rata-rata:",'Onshore - Sydney'!M258)-11)),IF('Onshore - Sydney'!D258="Semester",'Onshore - Sydney'!E258*2,IF('Onshore - Sydney'!D258="Trimester",'Onshore - Sydney'!E258*3,IF('Onshore - Sydney'!D258="Term",'Onshore - Sydney'!E258*4,IF('Onshore - Sydney'!D258="Unit",'Onshore - Sydney'!E258*8,""))))))</f>
        <v>33920</v>
      </c>
      <c r="L1746" s="0" t="n">
        <f aca="false">IF(AND(ISNUMBER('Onshore - Sydney'!E258),ISNUMBER(K1746),ISNUMBER('Onshore - Sydney'!F258),ISNUMBER('Onshore - Sydney'!G258),OR('Onshore - Sydney'!F258&lt;&gt;0,ISNUMBER(SEARCH("Material 0 terverifikasi",'Onshore - Sydney'!M258))),OR('Onshore - Sydney'!G258&lt;&gt;0,ISNUMBER(SEARCH("Enrolment 0 terverifikasi",'Onshore - Sydney'!M258)))),1,0)</f>
        <v>0</v>
      </c>
      <c r="M1746" s="0" t="n">
        <f aca="false">IF(OR('Onshore - Sydney'!E258="",ISNUMBER(SEARCH("BSB80120",'Onshore - Sydney'!B258&amp;'Onshore - Sydney'!M258)),ISNUMBER(SEARCH("Management (Learning)",'Onshore - Sydney'!B258))),2,IF(ISNUMBER(SEARCH("CEK:",'Onshore - Sydney'!M258)),1,0))</f>
        <v>0</v>
      </c>
    </row>
    <row r="1747" customFormat="false" ht="15" hidden="false" customHeight="false" outlineLevel="0" collapsed="false">
      <c r="A1747" s="61" t="s">
        <v>4477</v>
      </c>
      <c r="B1747" s="62"/>
      <c r="C1747" s="62"/>
      <c r="D1747" s="62"/>
      <c r="E1747" s="62"/>
      <c r="F1747" s="62"/>
      <c r="G1747" s="62"/>
      <c r="H1747" s="62"/>
      <c r="I1747" s="62"/>
    </row>
    <row r="1748" customFormat="false" ht="15" hidden="false" customHeight="false" outlineLevel="0" collapsed="false">
      <c r="A1748" s="63" t="s">
        <v>3533</v>
      </c>
      <c r="B1748" s="64" t="s">
        <v>4453</v>
      </c>
      <c r="C1748" s="63" t="s">
        <v>43</v>
      </c>
      <c r="D1748" s="64" t="str">
        <f aca="false">TRIM(LEFT('Onshore - Sydney'!A1062,FIND(CHAR(10),'Onshore - Sydney'!A1062&amp;CHAR(10))-1))</f>
        <v>Western Sydney University</v>
      </c>
      <c r="E1748" s="63" t="str">
        <f aca="false">'Onshore - Sydney'!C1120&amp;""</f>
        <v>3 years</v>
      </c>
      <c r="F1748" s="63" t="str">
        <f aca="false">IF('Onshore - Sydney'!D1120="","Belum tercatat",'Onshore - Sydney'!D1120)</f>
        <v>Term</v>
      </c>
      <c r="G1748" s="65" t="n">
        <f aca="false">IF('Onshore - Sydney'!E1120="","-",'Onshore - Sydney'!E1120)</f>
        <v>8125</v>
      </c>
      <c r="H1748" s="63" t="n">
        <f aca="false">IF(ISNUMBER(K1748),COUNTIFS($J$6:$J$1916,J1748,$K$6:$K$1916,"&lt;"&amp;K1748)+1,"-")</f>
        <v>1</v>
      </c>
      <c r="I1748" s="64" t="str">
        <f aca="false">IF('Onshore - Sydney'!E1120="","Harga belum tersedia - hubungi konsultan TEG",IF(M1748=2,"Saat ini tidak menerima pendaftaran siswa internasional baru",IF(M1748=1,"Harga perlu dikonfirmasi ke sekolah"&amp;IF(""="","","; "&amp;""),"")))</f>
        <v/>
      </c>
      <c r="J1748" s="0" t="s">
        <v>4478</v>
      </c>
      <c r="K1748" s="0" t="n">
        <f aca="false">IF(M1748=2,"",IF(ISNUMBER(SEARCH("rata-rata:",'Onshore - Sydney'!M1120)),VALUE(MID('Onshore - Sydney'!M1120,SEARCH("rata-rata:",'Onshore - Sydney'!M1120)+11,FIND(";",'Onshore - Sydney'!M1120&amp;";",SEARCH("rata-rata:",'Onshore - Sydney'!M1120))-SEARCH("rata-rata:",'Onshore - Sydney'!M1120)-11)),IF('Onshore - Sydney'!D1120="Semester",'Onshore - Sydney'!E1120*2,IF('Onshore - Sydney'!D1120="Trimester",'Onshore - Sydney'!E1120*3,IF('Onshore - Sydney'!D1120="Term",'Onshore - Sydney'!E1120*4,IF('Onshore - Sydney'!D1120="Unit",'Onshore - Sydney'!E1120*8,""))))))</f>
        <v>32500</v>
      </c>
      <c r="L1748" s="0" t="n">
        <f aca="false">IF(AND(ISNUMBER('Onshore - Sydney'!E1120),ISNUMBER(K1748),ISNUMBER('Onshore - Sydney'!F1120),ISNUMBER('Onshore - Sydney'!G1120),OR('Onshore - Sydney'!F1120&lt;&gt;0,ISNUMBER(SEARCH("Material 0 terverifikasi",'Onshore - Sydney'!M1120))),OR('Onshore - Sydney'!G1120&lt;&gt;0,ISNUMBER(SEARCH("Enrolment 0 terverifikasi",'Onshore - Sydney'!M1120)))),1,0)</f>
        <v>0</v>
      </c>
      <c r="M1748" s="0" t="n">
        <f aca="false">IF(OR('Onshore - Sydney'!E1120="",ISNUMBER(SEARCH("BSB80120",'Onshore - Sydney'!B1120&amp;'Onshore - Sydney'!M1120)),ISNUMBER(SEARCH("Management (Learning)",'Onshore - Sydney'!B1120))),2,IF(ISNUMBER(SEARCH("CEK:",'Onshore - Sydney'!M1120)),1,0))</f>
        <v>0</v>
      </c>
    </row>
    <row r="1749" customFormat="false" ht="15" hidden="false" customHeight="false" outlineLevel="0" collapsed="false">
      <c r="A1749" s="63" t="s">
        <v>3533</v>
      </c>
      <c r="B1749" s="64" t="s">
        <v>4453</v>
      </c>
      <c r="C1749" s="63" t="s">
        <v>43</v>
      </c>
      <c r="D1749" s="64" t="str">
        <f aca="false">TRIM(LEFT('Onshore - Sydney'!A163,FIND(CHAR(10),'Onshore - Sydney'!A163&amp;CHAR(10))-1))</f>
        <v>Australian Catholic University (ACU)</v>
      </c>
      <c r="E1749" s="63" t="str">
        <f aca="false">'Onshore - Sydney'!C165&amp;""</f>
        <v>5 years</v>
      </c>
      <c r="F1749" s="63" t="str">
        <f aca="false">IF('Onshore - Sydney'!D165="","Belum tercatat",'Onshore - Sydney'!D165)</f>
        <v>Term</v>
      </c>
      <c r="G1749" s="65" t="n">
        <f aca="false">IF('Onshore - Sydney'!E165="","-",'Onshore - Sydney'!E165)</f>
        <v>9200</v>
      </c>
      <c r="H1749" s="63" t="n">
        <f aca="false">IF(ISNUMBER(K1749),COUNTIFS($J$6:$J$1916,J1749,$K$6:$K$1916,"&lt;"&amp;K1749)+1,"-")</f>
        <v>2</v>
      </c>
      <c r="I1749" s="64" t="str">
        <f aca="false">IF('Onshore - Sydney'!E165="","Harga belum tersedia - hubungi konsultan TEG",IF(M1749=2,"Saat ini tidak menerima pendaftaran siswa internasional baru",IF(M1749=1,"Harga perlu dikonfirmasi ke sekolah"&amp;IF(""="","","; "&amp;""),"")))</f>
        <v/>
      </c>
      <c r="J1749" s="0" t="s">
        <v>4478</v>
      </c>
      <c r="K1749" s="0" t="n">
        <f aca="false">IF(M1749=2,"",IF(ISNUMBER(SEARCH("rata-rata:",'Onshore - Sydney'!M165)),VALUE(MID('Onshore - Sydney'!M165,SEARCH("rata-rata:",'Onshore - Sydney'!M165)+11,FIND(";",'Onshore - Sydney'!M165&amp;";",SEARCH("rata-rata:",'Onshore - Sydney'!M165))-SEARCH("rata-rata:",'Onshore - Sydney'!M165)-11)),IF('Onshore - Sydney'!D165="Semester",'Onshore - Sydney'!E165*2,IF('Onshore - Sydney'!D165="Trimester",'Onshore - Sydney'!E165*3,IF('Onshore - Sydney'!D165="Term",'Onshore - Sydney'!E165*4,IF('Onshore - Sydney'!D165="Unit",'Onshore - Sydney'!E165*8,""))))))</f>
        <v>36800</v>
      </c>
      <c r="L1749" s="0" t="n">
        <f aca="false">IF(AND(ISNUMBER('Onshore - Sydney'!E165),ISNUMBER(K1749),ISNUMBER('Onshore - Sydney'!F165),ISNUMBER('Onshore - Sydney'!G165),OR('Onshore - Sydney'!F165&lt;&gt;0,ISNUMBER(SEARCH("Material 0 terverifikasi",'Onshore - Sydney'!M165))),OR('Onshore - Sydney'!G165&lt;&gt;0,ISNUMBER(SEARCH("Enrolment 0 terverifikasi",'Onshore - Sydney'!M165)))),1,0)</f>
        <v>0</v>
      </c>
      <c r="M1749" s="0" t="n">
        <f aca="false">IF(OR('Onshore - Sydney'!E165="",ISNUMBER(SEARCH("BSB80120",'Onshore - Sydney'!B165&amp;'Onshore - Sydney'!M165)),ISNUMBER(SEARCH("Management (Learning)",'Onshore - Sydney'!B165))),2,IF(ISNUMBER(SEARCH("CEK:",'Onshore - Sydney'!M165)),1,0))</f>
        <v>0</v>
      </c>
    </row>
    <row r="1750" customFormat="false" ht="15" hidden="false" customHeight="false" outlineLevel="0" collapsed="false">
      <c r="A1750" s="61" t="s">
        <v>4479</v>
      </c>
      <c r="B1750" s="62"/>
      <c r="C1750" s="62"/>
      <c r="D1750" s="62"/>
      <c r="E1750" s="62"/>
      <c r="F1750" s="62"/>
      <c r="G1750" s="62"/>
      <c r="H1750" s="62"/>
      <c r="I1750" s="62"/>
    </row>
    <row r="1751" customFormat="false" ht="15" hidden="false" customHeight="false" outlineLevel="0" collapsed="false">
      <c r="A1751" s="63" t="s">
        <v>3533</v>
      </c>
      <c r="B1751" s="64" t="s">
        <v>4453</v>
      </c>
      <c r="C1751" s="63" t="s">
        <v>46</v>
      </c>
      <c r="D1751" s="64" t="str">
        <f aca="false">TRIM(LEFT('Onshore - Sydney'!A1062,FIND(CHAR(10),'Onshore - Sydney'!A1062&amp;CHAR(10))-1))</f>
        <v>Western Sydney University</v>
      </c>
      <c r="E1751" s="63" t="str">
        <f aca="false">'Onshore - Sydney'!C1209&amp;""</f>
        <v>2 years</v>
      </c>
      <c r="F1751" s="63" t="str">
        <f aca="false">IF('Onshore - Sydney'!D1209="","Belum tercatat",'Onshore - Sydney'!D1209)</f>
        <v>Term</v>
      </c>
      <c r="G1751" s="65" t="n">
        <f aca="false">IF('Onshore - Sydney'!E1209="","-",'Onshore - Sydney'!E1209)</f>
        <v>8694</v>
      </c>
      <c r="H1751" s="63" t="n">
        <f aca="false">IF(ISNUMBER(K1751),COUNTIFS($J$6:$J$1916,J1751,$K$6:$K$1916,"&lt;"&amp;K1751)+1,"-")</f>
        <v>1</v>
      </c>
      <c r="I1751" s="64" t="str">
        <f aca="false">IF('Onshore - Sydney'!E1209="","Harga belum tersedia - hubungi konsultan TEG",IF(M1751=2,"Saat ini tidak menerima pendaftaran siswa internasional baru",IF(M1751=1,"Harga perlu dikonfirmasi ke sekolah"&amp;IF(""="","","; "&amp;""),"")))</f>
        <v/>
      </c>
      <c r="J1751" s="0" t="s">
        <v>4480</v>
      </c>
      <c r="K1751" s="0" t="n">
        <f aca="false">IF(M1751=2,"",IF(ISNUMBER(SEARCH("rata-rata:",'Onshore - Sydney'!M1209)),VALUE(MID('Onshore - Sydney'!M1209,SEARCH("rata-rata:",'Onshore - Sydney'!M1209)+11,FIND(";",'Onshore - Sydney'!M1209&amp;";",SEARCH("rata-rata:",'Onshore - Sydney'!M1209))-SEARCH("rata-rata:",'Onshore - Sydney'!M1209)-11)),IF('Onshore - Sydney'!D1209="Semester",'Onshore - Sydney'!E1209*2,IF('Onshore - Sydney'!D1209="Trimester",'Onshore - Sydney'!E1209*3,IF('Onshore - Sydney'!D1209="Term",'Onshore - Sydney'!E1209*4,IF('Onshore - Sydney'!D1209="Unit",'Onshore - Sydney'!E1209*8,""))))))</f>
        <v>34776</v>
      </c>
      <c r="L1751" s="0" t="n">
        <f aca="false">IF(AND(ISNUMBER('Onshore - Sydney'!E1209),ISNUMBER(K1751),ISNUMBER('Onshore - Sydney'!F1209),ISNUMBER('Onshore - Sydney'!G1209),OR('Onshore - Sydney'!F1209&lt;&gt;0,ISNUMBER(SEARCH("Material 0 terverifikasi",'Onshore - Sydney'!M1209))),OR('Onshore - Sydney'!G1209&lt;&gt;0,ISNUMBER(SEARCH("Enrolment 0 terverifikasi",'Onshore - Sydney'!M1209)))),1,0)</f>
        <v>0</v>
      </c>
      <c r="M1751" s="0" t="n">
        <f aca="false">IF(OR('Onshore - Sydney'!E1209="",ISNUMBER(SEARCH("BSB80120",'Onshore - Sydney'!B1209&amp;'Onshore - Sydney'!M1209)),ISNUMBER(SEARCH("Management (Learning)",'Onshore - Sydney'!B1209))),2,IF(ISNUMBER(SEARCH("CEK:",'Onshore - Sydney'!M1209)),1,0))</f>
        <v>0</v>
      </c>
    </row>
    <row r="1752" customFormat="false" ht="15" hidden="false" customHeight="false" outlineLevel="0" collapsed="false">
      <c r="A1752" s="61" t="s">
        <v>4481</v>
      </c>
      <c r="B1752" s="62"/>
      <c r="C1752" s="62"/>
      <c r="D1752" s="62"/>
      <c r="E1752" s="62"/>
      <c r="F1752" s="62"/>
      <c r="G1752" s="62"/>
      <c r="H1752" s="62"/>
      <c r="I1752" s="62"/>
    </row>
    <row r="1753" customFormat="false" ht="15" hidden="false" customHeight="false" outlineLevel="0" collapsed="false">
      <c r="A1753" s="63" t="s">
        <v>3753</v>
      </c>
      <c r="B1753" s="64" t="s">
        <v>4453</v>
      </c>
      <c r="C1753" s="63" t="s">
        <v>41</v>
      </c>
      <c r="D1753" s="64" t="str">
        <f aca="false">TRIM(LEFT('Onshore - Tasmania Hobart'!A21,FIND(CHAR(10),'Onshore - Tasmania Hobart'!A21&amp;CHAR(10))-1))</f>
        <v>University of Tasmania (UTAS)</v>
      </c>
      <c r="E1753" s="63" t="str">
        <f aca="false">'Onshore - Tasmania Hobart'!C21&amp;""</f>
        <v>1 year</v>
      </c>
      <c r="F1753" s="63" t="str">
        <f aca="false">IF('Onshore - Tasmania Hobart'!D21="","Belum tercatat",'Onshore - Tasmania Hobart'!D21)</f>
        <v>Term</v>
      </c>
      <c r="G1753" s="65" t="n">
        <f aca="false">IF('Onshore - Tasmania Hobart'!E21="","-",'Onshore - Tasmania Hobart'!E21)</f>
        <v>9737.5</v>
      </c>
      <c r="H1753" s="63" t="n">
        <f aca="false">IF(ISNUMBER(K1753),COUNTIFS($J$6:$J$1916,J1753,$K$6:$K$1916,"&lt;"&amp;K1753)+1,"-")</f>
        <v>1</v>
      </c>
      <c r="I1753" s="64" t="str">
        <f aca="false">IF('Onshore - Tasmania Hobart'!E21="","Harga belum tersedia - hubungi konsultan TEG",IF(M1753=2,"Saat ini tidak menerima pendaftaran siswa internasional baru",IF(M1753=1,"Harga perlu dikonfirmasi ke sekolah"&amp;IF(""="","","; "&amp;""),"")))</f>
        <v>Harga perlu dikonfirmasi ke sekolah</v>
      </c>
      <c r="J1753" s="0" t="s">
        <v>4482</v>
      </c>
      <c r="K1753" s="0" t="n">
        <f aca="false">IF(M1753=2,"",IF(ISNUMBER(SEARCH("rata-rata:",'Onshore - Tasmania Hobart'!M21)),VALUE(MID('Onshore - Tasmania Hobart'!M21,SEARCH("rata-rata:",'Onshore - Tasmania Hobart'!M21)+11,FIND(";",'Onshore - Tasmania Hobart'!M21&amp;";",SEARCH("rata-rata:",'Onshore - Tasmania Hobart'!M21))-SEARCH("rata-rata:",'Onshore - Tasmania Hobart'!M21)-11)),IF('Onshore - Tasmania Hobart'!D21="Semester",'Onshore - Tasmania Hobart'!E21*2,IF('Onshore - Tasmania Hobart'!D21="Trimester",'Onshore - Tasmania Hobart'!E21*3,IF('Onshore - Tasmania Hobart'!D21="Term",'Onshore - Tasmania Hobart'!E21*4,IF('Onshore - Tasmania Hobart'!D21="Unit",'Onshore - Tasmania Hobart'!E21*8,""))))))</f>
        <v>38950</v>
      </c>
      <c r="L1753" s="0" t="n">
        <f aca="false">IF(AND(ISNUMBER('Onshore - Tasmania Hobart'!E21),ISNUMBER(K1753),ISNUMBER('Onshore - Tasmania Hobart'!F21),ISNUMBER('Onshore - Tasmania Hobart'!G21),OR('Onshore - Tasmania Hobart'!F21&lt;&gt;0,ISNUMBER(SEARCH("Material 0 terverifikasi",'Onshore - Tasmania Hobart'!M21))),OR('Onshore - Tasmania Hobart'!G21&lt;&gt;0,ISNUMBER(SEARCH("Enrolment 0 terverifikasi",'Onshore - Tasmania Hobart'!M21)))),1,0)</f>
        <v>0</v>
      </c>
      <c r="M1753" s="0" t="n">
        <f aca="false">IF(OR('Onshore - Tasmania Hobart'!E21="",ISNUMBER(SEARCH("BSB80120",'Onshore - Tasmania Hobart'!B21&amp;'Onshore - Tasmania Hobart'!M21)),ISNUMBER(SEARCH("Management (Learning)",'Onshore - Tasmania Hobart'!B21))),2,IF(ISNUMBER(SEARCH("CEK:",'Onshore - Tasmania Hobart'!M21)),1,0))</f>
        <v>1</v>
      </c>
    </row>
    <row r="1754" customFormat="false" ht="15" hidden="false" customHeight="false" outlineLevel="0" collapsed="false">
      <c r="A1754" s="61" t="s">
        <v>4483</v>
      </c>
      <c r="B1754" s="62"/>
      <c r="C1754" s="62"/>
      <c r="D1754" s="62"/>
      <c r="E1754" s="62"/>
      <c r="F1754" s="62"/>
      <c r="G1754" s="62"/>
      <c r="H1754" s="62"/>
      <c r="I1754" s="62"/>
    </row>
    <row r="1755" customFormat="false" ht="15" hidden="false" customHeight="false" outlineLevel="0" collapsed="false">
      <c r="A1755" s="63" t="s">
        <v>3753</v>
      </c>
      <c r="B1755" s="64" t="s">
        <v>4453</v>
      </c>
      <c r="C1755" s="63" t="s">
        <v>43</v>
      </c>
      <c r="D1755" s="64" t="str">
        <f aca="false">TRIM(LEFT('Onshore - Tasmania Hobart'!A21,FIND(CHAR(10),'Onshore - Tasmania Hobart'!A21&amp;CHAR(10))-1))</f>
        <v>University of Tasmania (UTAS)</v>
      </c>
      <c r="E1755" s="63" t="str">
        <f aca="false">'Onshore - Tasmania Hobart'!C22&amp;""</f>
        <v>3 years</v>
      </c>
      <c r="F1755" s="63" t="str">
        <f aca="false">IF('Onshore - Tasmania Hobart'!D22="","Belum tercatat",'Onshore - Tasmania Hobart'!D22)</f>
        <v>Term</v>
      </c>
      <c r="G1755" s="65" t="n">
        <f aca="false">IF('Onshore - Tasmania Hobart'!E22="","-",'Onshore - Tasmania Hobart'!E22)</f>
        <v>9737.5</v>
      </c>
      <c r="H1755" s="63" t="n">
        <f aca="false">IF(ISNUMBER(K1755),COUNTIFS($J$6:$J$1916,J1755,$K$6:$K$1916,"&lt;"&amp;K1755)+1,"-")</f>
        <v>1</v>
      </c>
      <c r="I1755" s="64" t="str">
        <f aca="false">IF('Onshore - Tasmania Hobart'!E22="","Harga belum tersedia - hubungi konsultan TEG",IF(M1755=2,"Saat ini tidak menerima pendaftaran siswa internasional baru",IF(M1755=1,"Harga perlu dikonfirmasi ke sekolah"&amp;IF(""="","","; "&amp;""),"")))</f>
        <v/>
      </c>
      <c r="J1755" s="0" t="s">
        <v>4484</v>
      </c>
      <c r="K1755" s="0" t="n">
        <f aca="false">IF(M1755=2,"",IF(ISNUMBER(SEARCH("rata-rata:",'Onshore - Tasmania Hobart'!M22)),VALUE(MID('Onshore - Tasmania Hobart'!M22,SEARCH("rata-rata:",'Onshore - Tasmania Hobart'!M22)+11,FIND(";",'Onshore - Tasmania Hobart'!M22&amp;";",SEARCH("rata-rata:",'Onshore - Tasmania Hobart'!M22))-SEARCH("rata-rata:",'Onshore - Tasmania Hobart'!M22)-11)),IF('Onshore - Tasmania Hobart'!D22="Semester",'Onshore - Tasmania Hobart'!E22*2,IF('Onshore - Tasmania Hobart'!D22="Trimester",'Onshore - Tasmania Hobart'!E22*3,IF('Onshore - Tasmania Hobart'!D22="Term",'Onshore - Tasmania Hobart'!E22*4,IF('Onshore - Tasmania Hobart'!D22="Unit",'Onshore - Tasmania Hobart'!E22*8,""))))))</f>
        <v>38950</v>
      </c>
      <c r="L1755" s="0" t="n">
        <f aca="false">IF(AND(ISNUMBER('Onshore - Tasmania Hobart'!E22),ISNUMBER(K1755),ISNUMBER('Onshore - Tasmania Hobart'!F22),ISNUMBER('Onshore - Tasmania Hobart'!G22),OR('Onshore - Tasmania Hobart'!F22&lt;&gt;0,ISNUMBER(SEARCH("Material 0 terverifikasi",'Onshore - Tasmania Hobart'!M22))),OR('Onshore - Tasmania Hobart'!G22&lt;&gt;0,ISNUMBER(SEARCH("Enrolment 0 terverifikasi",'Onshore - Tasmania Hobart'!M22)))),1,0)</f>
        <v>0</v>
      </c>
      <c r="M1755" s="0" t="n">
        <f aca="false">IF(OR('Onshore - Tasmania Hobart'!E22="",ISNUMBER(SEARCH("BSB80120",'Onshore - Tasmania Hobart'!B22&amp;'Onshore - Tasmania Hobart'!M22)),ISNUMBER(SEARCH("Management (Learning)",'Onshore - Tasmania Hobart'!B22))),2,IF(ISNUMBER(SEARCH("CEK:",'Onshore - Tasmania Hobart'!M22)),1,0))</f>
        <v>0</v>
      </c>
    </row>
    <row r="1756" customFormat="false" ht="15" hidden="false" customHeight="false" outlineLevel="0" collapsed="false">
      <c r="A1756" s="61" t="s">
        <v>4485</v>
      </c>
      <c r="B1756" s="62"/>
      <c r="C1756" s="62"/>
      <c r="D1756" s="62"/>
      <c r="E1756" s="62"/>
      <c r="F1756" s="62"/>
      <c r="G1756" s="62"/>
      <c r="H1756" s="62"/>
      <c r="I1756" s="62"/>
    </row>
    <row r="1757" customFormat="false" ht="15" hidden="false" customHeight="false" outlineLevel="0" collapsed="false">
      <c r="A1757" s="63" t="s">
        <v>3753</v>
      </c>
      <c r="B1757" s="64" t="s">
        <v>4453</v>
      </c>
      <c r="C1757" s="63" t="s">
        <v>3707</v>
      </c>
      <c r="D1757" s="64" t="str">
        <f aca="false">TRIM(LEFT('Onshore - Tasmania Hobart'!A21,FIND(CHAR(10),'Onshore - Tasmania Hobart'!A21&amp;CHAR(10))-1))</f>
        <v>University of Tasmania (UTAS)</v>
      </c>
      <c r="E1757" s="63" t="str">
        <f aca="false">'Onshore - Tasmania Hobart'!C26&amp;""</f>
        <v>0,5 years</v>
      </c>
      <c r="F1757" s="63" t="str">
        <f aca="false">IF('Onshore - Tasmania Hobart'!D26="","Belum tercatat",'Onshore - Tasmania Hobart'!D26)</f>
        <v>Term</v>
      </c>
      <c r="G1757" s="65" t="n">
        <f aca="false">IF('Onshore - Tasmania Hobart'!E26="","-",'Onshore - Tasmania Hobart'!E26)</f>
        <v>6612.5</v>
      </c>
      <c r="H1757" s="63" t="n">
        <f aca="false">IF(ISNUMBER(K1757),COUNTIFS($J$6:$J$1916,J1757,$K$6:$K$1916,"&lt;"&amp;K1757)+1,"-")</f>
        <v>1</v>
      </c>
      <c r="I1757" s="64" t="str">
        <f aca="false">IF('Onshore - Tasmania Hobart'!E26="","Harga belum tersedia - hubungi konsultan TEG",IF(M1757=2,"Saat ini tidak menerima pendaftaran siswa internasional baru",IF(M1757=1,"Harga perlu dikonfirmasi ke sekolah"&amp;IF(""="","","; "&amp;""),"")))</f>
        <v>Harga perlu dikonfirmasi ke sekolah</v>
      </c>
      <c r="J1757" s="0" t="s">
        <v>4486</v>
      </c>
      <c r="K1757" s="0" t="n">
        <f aca="false">IF(M1757=2,"",IF(ISNUMBER(SEARCH("rata-rata:",'Onshore - Tasmania Hobart'!M26)),VALUE(MID('Onshore - Tasmania Hobart'!M26,SEARCH("rata-rata:",'Onshore - Tasmania Hobart'!M26)+11,FIND(";",'Onshore - Tasmania Hobart'!M26&amp;";",SEARCH("rata-rata:",'Onshore - Tasmania Hobart'!M26))-SEARCH("rata-rata:",'Onshore - Tasmania Hobart'!M26)-11)),IF('Onshore - Tasmania Hobart'!D26="Semester",'Onshore - Tasmania Hobart'!E26*2,IF('Onshore - Tasmania Hobart'!D26="Trimester",'Onshore - Tasmania Hobart'!E26*3,IF('Onshore - Tasmania Hobart'!D26="Term",'Onshore - Tasmania Hobart'!E26*4,IF('Onshore - Tasmania Hobart'!D26="Unit",'Onshore - Tasmania Hobart'!E26*8,""))))))</f>
        <v>26450</v>
      </c>
      <c r="L1757" s="0" t="n">
        <f aca="false">IF(AND(ISNUMBER('Onshore - Tasmania Hobart'!E26),ISNUMBER(K1757),ISNUMBER('Onshore - Tasmania Hobart'!F26),ISNUMBER('Onshore - Tasmania Hobart'!G26),OR('Onshore - Tasmania Hobart'!F26&lt;&gt;0,ISNUMBER(SEARCH("Material 0 terverifikasi",'Onshore - Tasmania Hobart'!M26))),OR('Onshore - Tasmania Hobart'!G26&lt;&gt;0,ISNUMBER(SEARCH("Enrolment 0 terverifikasi",'Onshore - Tasmania Hobart'!M26)))),1,0)</f>
        <v>0</v>
      </c>
      <c r="M1757" s="0" t="n">
        <f aca="false">IF(OR('Onshore - Tasmania Hobart'!E26="",ISNUMBER(SEARCH("BSB80120",'Onshore - Tasmania Hobart'!B26&amp;'Onshore - Tasmania Hobart'!M26)),ISNUMBER(SEARCH("Management (Learning)",'Onshore - Tasmania Hobart'!B26))),2,IF(ISNUMBER(SEARCH("CEK:",'Onshore - Tasmania Hobart'!M26)),1,0))</f>
        <v>1</v>
      </c>
    </row>
    <row r="1758" customFormat="false" ht="15" hidden="false" customHeight="false" outlineLevel="0" collapsed="false">
      <c r="A1758" s="61" t="s">
        <v>4487</v>
      </c>
      <c r="B1758" s="62"/>
      <c r="C1758" s="62"/>
      <c r="D1758" s="62"/>
      <c r="E1758" s="62"/>
      <c r="F1758" s="62"/>
      <c r="G1758" s="62"/>
      <c r="H1758" s="62"/>
      <c r="I1758" s="62"/>
    </row>
    <row r="1759" customFormat="false" ht="15" hidden="false" customHeight="false" outlineLevel="0" collapsed="false">
      <c r="A1759" s="63" t="s">
        <v>3659</v>
      </c>
      <c r="B1759" s="64" t="s">
        <v>4488</v>
      </c>
      <c r="C1759" s="63" t="s">
        <v>43</v>
      </c>
      <c r="D1759" s="64" t="str">
        <f aca="false">TRIM(LEFT('Onshore - Adelaide'!A15,FIND(CHAR(10),'Onshore - Adelaide'!A15&amp;CHAR(10))-1))</f>
        <v>Adelaide University</v>
      </c>
      <c r="E1759" s="63" t="str">
        <f aca="false">'Onshore - Adelaide'!C91&amp;""</f>
        <v>3 years</v>
      </c>
      <c r="F1759" s="63" t="str">
        <f aca="false">IF('Onshore - Adelaide'!D91="","Belum tercatat",'Onshore - Adelaide'!D91)</f>
        <v>Term</v>
      </c>
      <c r="G1759" s="65" t="n">
        <f aca="false">IF('Onshore - Adelaide'!E91="","-",'Onshore - Adelaide'!E91)</f>
        <v>12150</v>
      </c>
      <c r="H1759" s="63" t="n">
        <f aca="false">IF(ISNUMBER(K1759),COUNTIFS($J$6:$J$1916,J1759,$K$6:$K$1916,"&lt;"&amp;K1759)+1,"-")</f>
        <v>1</v>
      </c>
      <c r="I1759" s="64" t="str">
        <f aca="false">IF('Onshore - Adelaide'!E91="","Harga belum tersedia - hubungi konsultan TEG",IF(M1759=2,"Saat ini tidak menerima pendaftaran siswa internasional baru",IF(M1759=1,"Harga perlu dikonfirmasi ke sekolah"&amp;IF(""="","","; "&amp;""),"")))</f>
        <v/>
      </c>
      <c r="J1759" s="0" t="s">
        <v>4489</v>
      </c>
      <c r="K1759" s="0" t="n">
        <f aca="false">IF(M1759=2,"",IF(ISNUMBER(SEARCH("rata-rata:",'Onshore - Adelaide'!M91)),VALUE(MID('Onshore - Adelaide'!M91,SEARCH("rata-rata:",'Onshore - Adelaide'!M91)+11,FIND(";",'Onshore - Adelaide'!M91&amp;";",SEARCH("rata-rata:",'Onshore - Adelaide'!M91))-SEARCH("rata-rata:",'Onshore - Adelaide'!M91)-11)),IF('Onshore - Adelaide'!D91="Semester",'Onshore - Adelaide'!E91*2,IF('Onshore - Adelaide'!D91="Trimester",'Onshore - Adelaide'!E91*3,IF('Onshore - Adelaide'!D91="Term",'Onshore - Adelaide'!E91*4,IF('Onshore - Adelaide'!D91="Unit",'Onshore - Adelaide'!E91*8,""))))))</f>
        <v>48600</v>
      </c>
      <c r="L1759" s="0" t="n">
        <f aca="false">IF(AND(ISNUMBER('Onshore - Adelaide'!E91),ISNUMBER(K1759),ISNUMBER('Onshore - Adelaide'!F91),ISNUMBER('Onshore - Adelaide'!G91),OR('Onshore - Adelaide'!F91&lt;&gt;0,ISNUMBER(SEARCH("Material 0 terverifikasi",'Onshore - Adelaide'!M91))),OR('Onshore - Adelaide'!G91&lt;&gt;0,ISNUMBER(SEARCH("Enrolment 0 terverifikasi",'Onshore - Adelaide'!M91)))),1,0)</f>
        <v>0</v>
      </c>
      <c r="M1759" s="0" t="n">
        <f aca="false">IF(OR('Onshore - Adelaide'!E91="",ISNUMBER(SEARCH("BSB80120",'Onshore - Adelaide'!B91&amp;'Onshore - Adelaide'!M91)),ISNUMBER(SEARCH("Management (Learning)",'Onshore - Adelaide'!B91))),2,IF(ISNUMBER(SEARCH("CEK:",'Onshore - Adelaide'!M91)),1,0))</f>
        <v>0</v>
      </c>
    </row>
    <row r="1760" customFormat="false" ht="15" hidden="false" customHeight="false" outlineLevel="0" collapsed="false">
      <c r="A1760" s="61" t="s">
        <v>4490</v>
      </c>
      <c r="B1760" s="62"/>
      <c r="C1760" s="62"/>
      <c r="D1760" s="62"/>
      <c r="E1760" s="62"/>
      <c r="F1760" s="62"/>
      <c r="G1760" s="62"/>
      <c r="H1760" s="62"/>
      <c r="I1760" s="62"/>
    </row>
    <row r="1761" customFormat="false" ht="15" hidden="false" customHeight="false" outlineLevel="0" collapsed="false">
      <c r="A1761" s="63" t="s">
        <v>3659</v>
      </c>
      <c r="B1761" s="64" t="s">
        <v>4488</v>
      </c>
      <c r="C1761" s="63" t="s">
        <v>3707</v>
      </c>
      <c r="D1761" s="64" t="str">
        <f aca="false">TRIM(LEFT('Onshore - Adelaide'!A15,FIND(CHAR(10),'Onshore - Adelaide'!A15&amp;CHAR(10))-1))</f>
        <v>Adelaide University</v>
      </c>
      <c r="E1761" s="63" t="str">
        <f aca="false">'Onshore - Adelaide'!C296&amp;""</f>
        <v>1 year</v>
      </c>
      <c r="F1761" s="63" t="str">
        <f aca="false">IF('Onshore - Adelaide'!D296="","Belum tercatat",'Onshore - Adelaide'!D296)</f>
        <v>Term</v>
      </c>
      <c r="G1761" s="65" t="n">
        <f aca="false">IF('Onshore - Adelaide'!E296="","-",'Onshore - Adelaide'!E296)</f>
        <v>32425</v>
      </c>
      <c r="H1761" s="63" t="n">
        <f aca="false">IF(ISNUMBER(K1761),COUNTIFS($J$6:$J$1916,J1761,$K$6:$K$1916,"&lt;"&amp;K1761)+1,"-")</f>
        <v>1</v>
      </c>
      <c r="I1761" s="64" t="str">
        <f aca="false">IF('Onshore - Adelaide'!E296="","Harga belum tersedia - hubungi konsultan TEG",IF(M1761=2,"Saat ini tidak menerima pendaftaran siswa internasional baru",IF(M1761=1,"Harga perlu dikonfirmasi ke sekolah"&amp;IF(""="","","; "&amp;""),"")))</f>
        <v/>
      </c>
      <c r="J1761" s="0" t="s">
        <v>4491</v>
      </c>
      <c r="K1761" s="0" t="n">
        <f aca="false">IF(M1761=2,"",IF(ISNUMBER(SEARCH("rata-rata:",'Onshore - Adelaide'!M296)),VALUE(MID('Onshore - Adelaide'!M296,SEARCH("rata-rata:",'Onshore - Adelaide'!M296)+11,FIND(";",'Onshore - Adelaide'!M296&amp;";",SEARCH("rata-rata:",'Onshore - Adelaide'!M296))-SEARCH("rata-rata:",'Onshore - Adelaide'!M296)-11)),IF('Onshore - Adelaide'!D296="Semester",'Onshore - Adelaide'!E296*2,IF('Onshore - Adelaide'!D296="Trimester",'Onshore - Adelaide'!E296*3,IF('Onshore - Adelaide'!D296="Term",'Onshore - Adelaide'!E296*4,IF('Onshore - Adelaide'!D296="Unit",'Onshore - Adelaide'!E296*8,""))))))</f>
        <v>129700</v>
      </c>
      <c r="L1761" s="0" t="n">
        <f aca="false">IF(AND(ISNUMBER('Onshore - Adelaide'!E296),ISNUMBER(K1761),ISNUMBER('Onshore - Adelaide'!F296),ISNUMBER('Onshore - Adelaide'!G296),OR('Onshore - Adelaide'!F296&lt;&gt;0,ISNUMBER(SEARCH("Material 0 terverifikasi",'Onshore - Adelaide'!M296))),OR('Onshore - Adelaide'!G296&lt;&gt;0,ISNUMBER(SEARCH("Enrolment 0 terverifikasi",'Onshore - Adelaide'!M296)))),1,0)</f>
        <v>0</v>
      </c>
      <c r="M1761" s="0" t="n">
        <f aca="false">IF(OR('Onshore - Adelaide'!E296="",ISNUMBER(SEARCH("BSB80120",'Onshore - Adelaide'!B296&amp;'Onshore - Adelaide'!M296)),ISNUMBER(SEARCH("Management (Learning)",'Onshore - Adelaide'!B296))),2,IF(ISNUMBER(SEARCH("CEK:",'Onshore - Adelaide'!M296)),1,0))</f>
        <v>0</v>
      </c>
    </row>
    <row r="1762" customFormat="false" ht="15" hidden="false" customHeight="false" outlineLevel="0" collapsed="false">
      <c r="A1762" s="61" t="s">
        <v>4492</v>
      </c>
      <c r="B1762" s="62"/>
      <c r="C1762" s="62"/>
      <c r="D1762" s="62"/>
      <c r="E1762" s="62"/>
      <c r="F1762" s="62"/>
      <c r="G1762" s="62"/>
      <c r="H1762" s="62"/>
      <c r="I1762" s="62"/>
    </row>
    <row r="1763" customFormat="false" ht="15" hidden="false" customHeight="false" outlineLevel="0" collapsed="false">
      <c r="A1763" s="63" t="s">
        <v>3659</v>
      </c>
      <c r="B1763" s="64" t="s">
        <v>4488</v>
      </c>
      <c r="C1763" s="63" t="s">
        <v>46</v>
      </c>
      <c r="D1763" s="64" t="str">
        <f aca="false">TRIM(LEFT('Onshore - Adelaide'!A462,FIND(CHAR(10),'Onshore - Adelaide'!A462&amp;CHAR(10))-1))</f>
        <v>Le Cordon Bleu Australia</v>
      </c>
      <c r="E1763" s="63" t="str">
        <f aca="false">'Onshore - Adelaide'!C473&amp;""</f>
        <v>2 years</v>
      </c>
      <c r="F1763" s="63" t="str">
        <f aca="false">IF('Onshore - Adelaide'!D473="","Belum tercatat",'Onshore - Adelaide'!D473)</f>
        <v>Term</v>
      </c>
      <c r="G1763" s="65" t="n">
        <f aca="false">IF('Onshore - Adelaide'!E473="","-",'Onshore - Adelaide'!E473)</f>
        <v>6760</v>
      </c>
      <c r="H1763" s="63" t="n">
        <f aca="false">IF(ISNUMBER(K1763),COUNTIFS($J$6:$J$1916,J1763,$K$6:$K$1916,"&lt;"&amp;K1763)+1,"-")</f>
        <v>1</v>
      </c>
      <c r="I1763" s="64" t="str">
        <f aca="false">IF('Onshore - Adelaide'!E473="","Harga belum tersedia - hubungi konsultan TEG",IF(M1763=2,"Saat ini tidak menerima pendaftaran siswa internasional baru",IF(M1763=1,"Harga perlu dikonfirmasi ke sekolah"&amp;IF(""="","","; "&amp;""),"")))</f>
        <v/>
      </c>
      <c r="J1763" s="0" t="s">
        <v>4493</v>
      </c>
      <c r="K1763" s="0" t="n">
        <f aca="false">IF(M1763=2,"",IF(ISNUMBER(SEARCH("rata-rata:",'Onshore - Adelaide'!M473)),VALUE(MID('Onshore - Adelaide'!M473,SEARCH("rata-rata:",'Onshore - Adelaide'!M473)+11,FIND(";",'Onshore - Adelaide'!M473&amp;";",SEARCH("rata-rata:",'Onshore - Adelaide'!M473))-SEARCH("rata-rata:",'Onshore - Adelaide'!M473)-11)),IF('Onshore - Adelaide'!D473="Semester",'Onshore - Adelaide'!E473*2,IF('Onshore - Adelaide'!D473="Trimester",'Onshore - Adelaide'!E473*3,IF('Onshore - Adelaide'!D473="Term",'Onshore - Adelaide'!E473*4,IF('Onshore - Adelaide'!D473="Unit",'Onshore - Adelaide'!E473*8,""))))))</f>
        <v>27040</v>
      </c>
      <c r="L1763" s="0" t="n">
        <f aca="false">IF(AND(ISNUMBER('Onshore - Adelaide'!E473),ISNUMBER(K1763),ISNUMBER('Onshore - Adelaide'!F473),ISNUMBER('Onshore - Adelaide'!G473),OR('Onshore - Adelaide'!F473&lt;&gt;0,ISNUMBER(SEARCH("Material 0 terverifikasi",'Onshore - Adelaide'!M473))),OR('Onshore - Adelaide'!G473&lt;&gt;0,ISNUMBER(SEARCH("Enrolment 0 terverifikasi",'Onshore - Adelaide'!M473)))),1,0)</f>
        <v>0</v>
      </c>
      <c r="M1763" s="0" t="n">
        <f aca="false">IF(OR('Onshore - Adelaide'!E473="",ISNUMBER(SEARCH("BSB80120",'Onshore - Adelaide'!B473&amp;'Onshore - Adelaide'!M473)),ISNUMBER(SEARCH("Management (Learning)",'Onshore - Adelaide'!B473))),2,IF(ISNUMBER(SEARCH("CEK:",'Onshore - Adelaide'!M473)),1,0))</f>
        <v>0</v>
      </c>
    </row>
    <row r="1764" customFormat="false" ht="15" hidden="false" customHeight="false" outlineLevel="0" collapsed="false">
      <c r="A1764" s="63" t="s">
        <v>3659</v>
      </c>
      <c r="B1764" s="64" t="s">
        <v>4488</v>
      </c>
      <c r="C1764" s="63" t="s">
        <v>46</v>
      </c>
      <c r="D1764" s="64" t="str">
        <f aca="false">TRIM(LEFT('Onshore - Adelaide'!A15,FIND(CHAR(10),'Onshore - Adelaide'!A15&amp;CHAR(10))-1))</f>
        <v>Adelaide University</v>
      </c>
      <c r="E1764" s="63" t="str">
        <f aca="false">'Onshore - Adelaide'!C302&amp;""</f>
        <v>2 years</v>
      </c>
      <c r="F1764" s="63" t="str">
        <f aca="false">IF('Onshore - Adelaide'!D302="","Belum tercatat",'Onshore - Adelaide'!D302)</f>
        <v>Term</v>
      </c>
      <c r="G1764" s="65" t="n">
        <f aca="false">IF('Onshore - Adelaide'!E302="","-",'Onshore - Adelaide'!E302)</f>
        <v>13125</v>
      </c>
      <c r="H1764" s="63" t="n">
        <f aca="false">IF(ISNUMBER(K1764),COUNTIFS($J$6:$J$1916,J1764,$K$6:$K$1916,"&lt;"&amp;K1764)+1,"-")</f>
        <v>2</v>
      </c>
      <c r="I1764" s="64" t="str">
        <f aca="false">IF('Onshore - Adelaide'!E302="","Harga belum tersedia - hubungi konsultan TEG",IF(M1764=2,"Saat ini tidak menerima pendaftaran siswa internasional baru",IF(M1764=1,"Harga perlu dikonfirmasi ke sekolah"&amp;IF(""="","","; "&amp;""),"")))</f>
        <v/>
      </c>
      <c r="J1764" s="0" t="s">
        <v>4493</v>
      </c>
      <c r="K1764" s="0" t="n">
        <f aca="false">IF(M1764=2,"",IF(ISNUMBER(SEARCH("rata-rata:",'Onshore - Adelaide'!M302)),VALUE(MID('Onshore - Adelaide'!M302,SEARCH("rata-rata:",'Onshore - Adelaide'!M302)+11,FIND(";",'Onshore - Adelaide'!M302&amp;";",SEARCH("rata-rata:",'Onshore - Adelaide'!M302))-SEARCH("rata-rata:",'Onshore - Adelaide'!M302)-11)),IF('Onshore - Adelaide'!D302="Semester",'Onshore - Adelaide'!E302*2,IF('Onshore - Adelaide'!D302="Trimester",'Onshore - Adelaide'!E302*3,IF('Onshore - Adelaide'!D302="Term",'Onshore - Adelaide'!E302*4,IF('Onshore - Adelaide'!D302="Unit",'Onshore - Adelaide'!E302*8,""))))))</f>
        <v>52500</v>
      </c>
      <c r="L1764" s="0" t="n">
        <f aca="false">IF(AND(ISNUMBER('Onshore - Adelaide'!E302),ISNUMBER(K1764),ISNUMBER('Onshore - Adelaide'!F302),ISNUMBER('Onshore - Adelaide'!G302),OR('Onshore - Adelaide'!F302&lt;&gt;0,ISNUMBER(SEARCH("Material 0 terverifikasi",'Onshore - Adelaide'!M302))),OR('Onshore - Adelaide'!G302&lt;&gt;0,ISNUMBER(SEARCH("Enrolment 0 terverifikasi",'Onshore - Adelaide'!M302)))),1,0)</f>
        <v>0</v>
      </c>
      <c r="M1764" s="0" t="n">
        <f aca="false">IF(OR('Onshore - Adelaide'!E302="",ISNUMBER(SEARCH("BSB80120",'Onshore - Adelaide'!B302&amp;'Onshore - Adelaide'!M302)),ISNUMBER(SEARCH("Management (Learning)",'Onshore - Adelaide'!B302))),2,IF(ISNUMBER(SEARCH("CEK:",'Onshore - Adelaide'!M302)),1,0))</f>
        <v>0</v>
      </c>
    </row>
    <row r="1765" customFormat="false" ht="15" hidden="false" customHeight="false" outlineLevel="0" collapsed="false">
      <c r="A1765" s="61" t="s">
        <v>4494</v>
      </c>
      <c r="B1765" s="62"/>
      <c r="C1765" s="62"/>
      <c r="D1765" s="62"/>
      <c r="E1765" s="62"/>
      <c r="F1765" s="62"/>
      <c r="G1765" s="62"/>
      <c r="H1765" s="62"/>
      <c r="I1765" s="62"/>
    </row>
    <row r="1766" customFormat="false" ht="15" hidden="false" customHeight="false" outlineLevel="0" collapsed="false">
      <c r="A1766" s="63" t="s">
        <v>3563</v>
      </c>
      <c r="B1766" s="64" t="s">
        <v>4488</v>
      </c>
      <c r="C1766" s="63" t="s">
        <v>46</v>
      </c>
      <c r="D1766" s="64" t="str">
        <f aca="false">TRIM(LEFT('Onshore - Brisbane'!A264,FIND(CHAR(10),'Onshore - Brisbane'!A264&amp;CHAR(10))-1))</f>
        <v>Le Cordon Bleu Australia</v>
      </c>
      <c r="E1766" s="63" t="str">
        <f aca="false">'Onshore - Brisbane'!C275&amp;""</f>
        <v>2 years</v>
      </c>
      <c r="F1766" s="63" t="str">
        <f aca="false">IF('Onshore - Brisbane'!D275="","Belum tercatat",'Onshore - Brisbane'!D275)</f>
        <v>Term</v>
      </c>
      <c r="G1766" s="65" t="n">
        <f aca="false">IF('Onshore - Brisbane'!E275="","-",'Onshore - Brisbane'!E275)</f>
        <v>6760</v>
      </c>
      <c r="H1766" s="63" t="n">
        <f aca="false">IF(ISNUMBER(K1766),COUNTIFS($J$6:$J$1916,J1766,$K$6:$K$1916,"&lt;"&amp;K1766)+1,"-")</f>
        <v>1</v>
      </c>
      <c r="I1766" s="64" t="str">
        <f aca="false">IF('Onshore - Brisbane'!E275="","Harga belum tersedia - hubungi konsultan TEG",IF(M1766=2,"Saat ini tidak menerima pendaftaran siswa internasional baru",IF(M1766=1,"Program perlu dikonfirmasi ketersediaannya"&amp;IF(""="","","; "&amp;""),"")))</f>
        <v>Program perlu dikonfirmasi ketersediaannya</v>
      </c>
      <c r="J1766" s="0" t="s">
        <v>4495</v>
      </c>
      <c r="K1766" s="0" t="n">
        <f aca="false">IF(M1766=2,"",IF(ISNUMBER(SEARCH("rata-rata:",'Onshore - Brisbane'!M275)),VALUE(MID('Onshore - Brisbane'!M275,SEARCH("rata-rata:",'Onshore - Brisbane'!M275)+11,FIND(";",'Onshore - Brisbane'!M275&amp;";",SEARCH("rata-rata:",'Onshore - Brisbane'!M275))-SEARCH("rata-rata:",'Onshore - Brisbane'!M275)-11)),IF('Onshore - Brisbane'!D275="Semester",'Onshore - Brisbane'!E275*2,IF('Onshore - Brisbane'!D275="Trimester",'Onshore - Brisbane'!E275*3,IF('Onshore - Brisbane'!D275="Term",'Onshore - Brisbane'!E275*4,IF('Onshore - Brisbane'!D275="Unit",'Onshore - Brisbane'!E275*8,""))))))</f>
        <v>27040</v>
      </c>
      <c r="L1766" s="0" t="n">
        <f aca="false">IF(AND(ISNUMBER('Onshore - Brisbane'!E275),ISNUMBER(K1766),ISNUMBER('Onshore - Brisbane'!F275),ISNUMBER('Onshore - Brisbane'!G275),OR('Onshore - Brisbane'!F275&lt;&gt;0,ISNUMBER(SEARCH("Material 0 terverifikasi",'Onshore - Brisbane'!M275))),OR('Onshore - Brisbane'!G275&lt;&gt;0,ISNUMBER(SEARCH("Enrolment 0 terverifikasi",'Onshore - Brisbane'!M275)))),1,0)</f>
        <v>0</v>
      </c>
      <c r="M1766" s="0" t="n">
        <f aca="false">IF(OR('Onshore - Brisbane'!E275="",ISNUMBER(SEARCH("BSB80120",'Onshore - Brisbane'!B275&amp;'Onshore - Brisbane'!M275)),ISNUMBER(SEARCH("Management (Learning)",'Onshore - Brisbane'!B275))),2,IF(ISNUMBER(SEARCH("CEK:",'Onshore - Brisbane'!M275)),1,0))</f>
        <v>1</v>
      </c>
    </row>
    <row r="1767" customFormat="false" ht="15" hidden="false" customHeight="false" outlineLevel="0" collapsed="false">
      <c r="A1767" s="61" t="s">
        <v>4496</v>
      </c>
      <c r="B1767" s="62"/>
      <c r="C1767" s="62"/>
      <c r="D1767" s="62"/>
      <c r="E1767" s="62"/>
      <c r="F1767" s="62"/>
      <c r="G1767" s="62"/>
      <c r="H1767" s="62"/>
      <c r="I1767" s="62"/>
    </row>
    <row r="1768" customFormat="false" ht="15" hidden="false" customHeight="false" outlineLevel="0" collapsed="false">
      <c r="A1768" s="63" t="s">
        <v>3544</v>
      </c>
      <c r="B1768" s="64" t="s">
        <v>4488</v>
      </c>
      <c r="C1768" s="63" t="s">
        <v>46</v>
      </c>
      <c r="D1768" s="64" t="str">
        <f aca="false">TRIM(LEFT('Onshore- Melbourne'!A338,FIND(CHAR(10),'Onshore- Melbourne'!A338&amp;CHAR(10))-1))</f>
        <v>Le Cordon Bleu Australia</v>
      </c>
      <c r="E1768" s="63" t="str">
        <f aca="false">'Onshore- Melbourne'!C349&amp;""</f>
        <v>2 years</v>
      </c>
      <c r="F1768" s="63" t="str">
        <f aca="false">IF('Onshore- Melbourne'!D349="","Belum tercatat",'Onshore- Melbourne'!D349)</f>
        <v>Term</v>
      </c>
      <c r="G1768" s="65" t="n">
        <f aca="false">IF('Onshore- Melbourne'!E349="","-",'Onshore- Melbourne'!E349)</f>
        <v>6760</v>
      </c>
      <c r="H1768" s="63" t="n">
        <f aca="false">IF(ISNUMBER(K1768),COUNTIFS($J$6:$J$1916,J1768,$K$6:$K$1916,"&lt;"&amp;K1768)+1,"-")</f>
        <v>1</v>
      </c>
      <c r="I1768" s="64" t="str">
        <f aca="false">IF('Onshore- Melbourne'!E349="","Harga belum tersedia - hubungi konsultan TEG",IF(M1768=2,"Saat ini tidak menerima pendaftaran siswa internasional baru",IF(M1768=1,"Harga perlu dikonfirmasi ke sekolah"&amp;IF(""="","","; "&amp;""),"")))</f>
        <v/>
      </c>
      <c r="J1768" s="0" t="s">
        <v>4497</v>
      </c>
      <c r="K1768" s="0" t="n">
        <f aca="false">IF(M1768=2,"",IF(ISNUMBER(SEARCH("rata-rata:",'Onshore- Melbourne'!M349)),VALUE(MID('Onshore- Melbourne'!M349,SEARCH("rata-rata:",'Onshore- Melbourne'!M349)+11,FIND(";",'Onshore- Melbourne'!M349&amp;";",SEARCH("rata-rata:",'Onshore- Melbourne'!M349))-SEARCH("rata-rata:",'Onshore- Melbourne'!M349)-11)),IF('Onshore- Melbourne'!D349="Semester",'Onshore- Melbourne'!E349*2,IF('Onshore- Melbourne'!D349="Trimester",'Onshore- Melbourne'!E349*3,IF('Onshore- Melbourne'!D349="Term",'Onshore- Melbourne'!E349*4,IF('Onshore- Melbourne'!D349="Unit",'Onshore- Melbourne'!E349*8,""))))))</f>
        <v>27040</v>
      </c>
      <c r="L1768" s="0" t="n">
        <f aca="false">IF(AND(ISNUMBER('Onshore- Melbourne'!E349),ISNUMBER(K1768),ISNUMBER('Onshore- Melbourne'!F349),ISNUMBER('Onshore- Melbourne'!G349),OR('Onshore- Melbourne'!F349&lt;&gt;0,ISNUMBER(SEARCH("Material 0 terverifikasi",'Onshore- Melbourne'!M349))),OR('Onshore- Melbourne'!G349&lt;&gt;0,ISNUMBER(SEARCH("Enrolment 0 terverifikasi",'Onshore- Melbourne'!M349)))),1,0)</f>
        <v>0</v>
      </c>
      <c r="M1768" s="0" t="n">
        <f aca="false">IF(OR('Onshore- Melbourne'!E349="",ISNUMBER(SEARCH("BSB80120",'Onshore- Melbourne'!B349&amp;'Onshore- Melbourne'!M349)),ISNUMBER(SEARCH("Management (Learning)",'Onshore- Melbourne'!B349))),2,IF(ISNUMBER(SEARCH("CEK:",'Onshore- Melbourne'!M349)),1,0))</f>
        <v>0</v>
      </c>
    </row>
    <row r="1769" customFormat="false" ht="15" hidden="false" customHeight="false" outlineLevel="0" collapsed="false">
      <c r="A1769" s="61" t="s">
        <v>4498</v>
      </c>
      <c r="B1769" s="62"/>
      <c r="C1769" s="62"/>
      <c r="D1769" s="62"/>
      <c r="E1769" s="62"/>
      <c r="F1769" s="62"/>
      <c r="G1769" s="62"/>
      <c r="H1769" s="62"/>
      <c r="I1769" s="62"/>
    </row>
    <row r="1770" customFormat="false" ht="15" hidden="false" customHeight="false" outlineLevel="0" collapsed="false">
      <c r="A1770" s="63" t="s">
        <v>3533</v>
      </c>
      <c r="B1770" s="64" t="s">
        <v>4488</v>
      </c>
      <c r="C1770" s="63" t="s">
        <v>41</v>
      </c>
      <c r="D1770" s="64" t="str">
        <f aca="false">TRIM(LEFT('Onshore - Sydney'!A796,FIND(CHAR(10),'Onshore - Sydney'!A796&amp;CHAR(10))-1))</f>
        <v>TAFE NSW</v>
      </c>
      <c r="E1770" s="63" t="str">
        <f aca="false">'Onshore - Sydney'!C847&amp;""</f>
        <v>1 year</v>
      </c>
      <c r="F1770" s="63" t="str">
        <f aca="false">IF('Onshore - Sydney'!D847="","Belum tercatat",'Onshore - Sydney'!D847)</f>
        <v>Term</v>
      </c>
      <c r="G1770" s="65" t="n">
        <f aca="false">IF('Onshore - Sydney'!E847="","-",'Onshore - Sydney'!E847)</f>
        <v>4682</v>
      </c>
      <c r="H1770" s="63" t="n">
        <f aca="false">IF(ISNUMBER(K1770),COUNTIFS($J$6:$J$1916,J1770,$K$6:$K$1916,"&lt;"&amp;K1770)+1,"-")</f>
        <v>1</v>
      </c>
      <c r="I1770" s="64" t="str">
        <f aca="false">IF('Onshore - Sydney'!E847="","Harga belum tersedia - hubungi konsultan TEG",IF(M1770=2,"Saat ini tidak menerima pendaftaran siswa internasional baru",IF(M1770=1,"Harga perlu dikonfirmasi ke sekolah"&amp;IF(""="","","; "&amp;""),"")))</f>
        <v/>
      </c>
      <c r="J1770" s="0" t="s">
        <v>4499</v>
      </c>
      <c r="K1770" s="0" t="n">
        <f aca="false">IF(M1770=2,"",IF(ISNUMBER(SEARCH("rata-rata:",'Onshore - Sydney'!M847)),VALUE(MID('Onshore - Sydney'!M847,SEARCH("rata-rata:",'Onshore - Sydney'!M847)+11,FIND(";",'Onshore - Sydney'!M847&amp;";",SEARCH("rata-rata:",'Onshore - Sydney'!M847))-SEARCH("rata-rata:",'Onshore - Sydney'!M847)-11)),IF('Onshore - Sydney'!D847="Semester",'Onshore - Sydney'!E847*2,IF('Onshore - Sydney'!D847="Trimester",'Onshore - Sydney'!E847*3,IF('Onshore - Sydney'!D847="Term",'Onshore - Sydney'!E847*4,IF('Onshore - Sydney'!D847="Unit",'Onshore - Sydney'!E847*8,""))))))</f>
        <v>18728</v>
      </c>
      <c r="L1770" s="0" t="n">
        <f aca="false">IF(AND(ISNUMBER('Onshore - Sydney'!E847),ISNUMBER(K1770),ISNUMBER('Onshore - Sydney'!F847),ISNUMBER('Onshore - Sydney'!G847),OR('Onshore - Sydney'!F847&lt;&gt;0,ISNUMBER(SEARCH("Material 0 terverifikasi",'Onshore - Sydney'!M847))),OR('Onshore - Sydney'!G847&lt;&gt;0,ISNUMBER(SEARCH("Enrolment 0 terverifikasi",'Onshore - Sydney'!M847)))),1,0)</f>
        <v>0</v>
      </c>
      <c r="M1770" s="0" t="n">
        <f aca="false">IF(OR('Onshore - Sydney'!E847="",ISNUMBER(SEARCH("BSB80120",'Onshore - Sydney'!B847&amp;'Onshore - Sydney'!M847)),ISNUMBER(SEARCH("Management (Learning)",'Onshore - Sydney'!B847))),2,IF(ISNUMBER(SEARCH("CEK:",'Onshore - Sydney'!M847)),1,0))</f>
        <v>0</v>
      </c>
    </row>
    <row r="1771" customFormat="false" ht="15" hidden="false" customHeight="false" outlineLevel="0" collapsed="false">
      <c r="A1771" s="61" t="s">
        <v>4500</v>
      </c>
      <c r="B1771" s="62"/>
      <c r="C1771" s="62"/>
      <c r="D1771" s="62"/>
      <c r="E1771" s="62"/>
      <c r="F1771" s="62"/>
      <c r="G1771" s="62"/>
      <c r="H1771" s="62"/>
      <c r="I1771" s="62"/>
    </row>
    <row r="1772" customFormat="false" ht="15" hidden="false" customHeight="false" outlineLevel="0" collapsed="false">
      <c r="A1772" s="63" t="s">
        <v>3533</v>
      </c>
      <c r="B1772" s="64" t="s">
        <v>4488</v>
      </c>
      <c r="C1772" s="63" t="s">
        <v>46</v>
      </c>
      <c r="D1772" s="64" t="str">
        <f aca="false">TRIM(LEFT('Onshore - Sydney'!A597,FIND(CHAR(10),'Onshore - Sydney'!A597&amp;CHAR(10))-1))</f>
        <v>Le Cordon Bleu Australia</v>
      </c>
      <c r="E1772" s="63" t="str">
        <f aca="false">'Onshore - Sydney'!C608&amp;""</f>
        <v>2 years</v>
      </c>
      <c r="F1772" s="63" t="str">
        <f aca="false">IF('Onshore - Sydney'!D608="","Belum tercatat",'Onshore - Sydney'!D608)</f>
        <v>Term</v>
      </c>
      <c r="G1772" s="65" t="n">
        <f aca="false">IF('Onshore - Sydney'!E608="","-",'Onshore - Sydney'!E608)</f>
        <v>6760</v>
      </c>
      <c r="H1772" s="63" t="n">
        <f aca="false">IF(ISNUMBER(K1772),COUNTIFS($J$6:$J$1916,J1772,$K$6:$K$1916,"&lt;"&amp;K1772)+1,"-")</f>
        <v>1</v>
      </c>
      <c r="I1772" s="64" t="str">
        <f aca="false">IF('Onshore - Sydney'!E608="","Harga belum tersedia - hubungi konsultan TEG",IF(M1772=2,"Saat ini tidak menerima pendaftaran siswa internasional baru",IF(M1772=1,"Harga perlu dikonfirmasi ke sekolah"&amp;IF(""="","","; "&amp;""),"")))</f>
        <v/>
      </c>
      <c r="J1772" s="0" t="s">
        <v>4501</v>
      </c>
      <c r="K1772" s="0" t="n">
        <f aca="false">IF(M1772=2,"",IF(ISNUMBER(SEARCH("rata-rata:",'Onshore - Sydney'!M608)),VALUE(MID('Onshore - Sydney'!M608,SEARCH("rata-rata:",'Onshore - Sydney'!M608)+11,FIND(";",'Onshore - Sydney'!M608&amp;";",SEARCH("rata-rata:",'Onshore - Sydney'!M608))-SEARCH("rata-rata:",'Onshore - Sydney'!M608)-11)),IF('Onshore - Sydney'!D608="Semester",'Onshore - Sydney'!E608*2,IF('Onshore - Sydney'!D608="Trimester",'Onshore - Sydney'!E608*3,IF('Onshore - Sydney'!D608="Term",'Onshore - Sydney'!E608*4,IF('Onshore - Sydney'!D608="Unit",'Onshore - Sydney'!E608*8,""))))))</f>
        <v>27040</v>
      </c>
      <c r="L1772" s="0" t="n">
        <f aca="false">IF(AND(ISNUMBER('Onshore - Sydney'!E608),ISNUMBER(K1772),ISNUMBER('Onshore - Sydney'!F608),ISNUMBER('Onshore - Sydney'!G608),OR('Onshore - Sydney'!F608&lt;&gt;0,ISNUMBER(SEARCH("Material 0 terverifikasi",'Onshore - Sydney'!M608))),OR('Onshore - Sydney'!G608&lt;&gt;0,ISNUMBER(SEARCH("Enrolment 0 terverifikasi",'Onshore - Sydney'!M608)))),1,0)</f>
        <v>0</v>
      </c>
      <c r="M1772" s="0" t="n">
        <f aca="false">IF(OR('Onshore - Sydney'!E608="",ISNUMBER(SEARCH("BSB80120",'Onshore - Sydney'!B608&amp;'Onshore - Sydney'!M608)),ISNUMBER(SEARCH("Management (Learning)",'Onshore - Sydney'!B608))),2,IF(ISNUMBER(SEARCH("CEK:",'Onshore - Sydney'!M608)),1,0))</f>
        <v>0</v>
      </c>
    </row>
    <row r="1773" customFormat="false" ht="15" hidden="false" customHeight="false" outlineLevel="0" collapsed="false">
      <c r="A1773" s="61" t="s">
        <v>4502</v>
      </c>
      <c r="B1773" s="62"/>
      <c r="C1773" s="62"/>
      <c r="D1773" s="62"/>
      <c r="E1773" s="62"/>
      <c r="F1773" s="62"/>
      <c r="G1773" s="62"/>
      <c r="H1773" s="62"/>
      <c r="I1773" s="62"/>
    </row>
    <row r="1774" customFormat="false" ht="15" hidden="false" customHeight="false" outlineLevel="0" collapsed="false">
      <c r="A1774" s="63" t="s">
        <v>3753</v>
      </c>
      <c r="B1774" s="64" t="s">
        <v>4488</v>
      </c>
      <c r="C1774" s="63" t="s">
        <v>41</v>
      </c>
      <c r="D1774" s="64" t="str">
        <f aca="false">TRIM(LEFT('Onshore - Tasmania Hobart'!A21,FIND(CHAR(10),'Onshore - Tasmania Hobart'!A21&amp;CHAR(10))-1))</f>
        <v>University of Tasmania (UTAS)</v>
      </c>
      <c r="E1774" s="63" t="str">
        <f aca="false">'Onshore - Tasmania Hobart'!C37&amp;""</f>
        <v>1 year</v>
      </c>
      <c r="F1774" s="63" t="str">
        <f aca="false">IF('Onshore - Tasmania Hobart'!D37="","Belum tercatat",'Onshore - Tasmania Hobart'!D37)</f>
        <v>Term</v>
      </c>
      <c r="G1774" s="65" t="n">
        <f aca="false">IF('Onshore - Tasmania Hobart'!E37="","-",'Onshore - Tasmania Hobart'!E37)</f>
        <v>9487.5</v>
      </c>
      <c r="H1774" s="63" t="n">
        <f aca="false">IF(ISNUMBER(K1774),COUNTIFS($J$6:$J$1916,J1774,$K$6:$K$1916,"&lt;"&amp;K1774)+1,"-")</f>
        <v>1</v>
      </c>
      <c r="I1774" s="64" t="str">
        <f aca="false">IF('Onshore - Tasmania Hobart'!E37="","Harga belum tersedia - hubungi konsultan TEG",IF(M1774=2,"Saat ini tidak menerima pendaftaran siswa internasional baru",IF(M1774=1,"Harga perlu dikonfirmasi ke sekolah"&amp;IF(""="","","; "&amp;""),"")))</f>
        <v>Harga perlu dikonfirmasi ke sekolah</v>
      </c>
      <c r="J1774" s="0" t="s">
        <v>4503</v>
      </c>
      <c r="K1774" s="0" t="n">
        <f aca="false">IF(M1774=2,"",IF(ISNUMBER(SEARCH("rata-rata:",'Onshore - Tasmania Hobart'!M37)),VALUE(MID('Onshore - Tasmania Hobart'!M37,SEARCH("rata-rata:",'Onshore - Tasmania Hobart'!M37)+11,FIND(";",'Onshore - Tasmania Hobart'!M37&amp;";",SEARCH("rata-rata:",'Onshore - Tasmania Hobart'!M37))-SEARCH("rata-rata:",'Onshore - Tasmania Hobart'!M37)-11)),IF('Onshore - Tasmania Hobart'!D37="Semester",'Onshore - Tasmania Hobart'!E37*2,IF('Onshore - Tasmania Hobart'!D37="Trimester",'Onshore - Tasmania Hobart'!E37*3,IF('Onshore - Tasmania Hobart'!D37="Term",'Onshore - Tasmania Hobart'!E37*4,IF('Onshore - Tasmania Hobart'!D37="Unit",'Onshore - Tasmania Hobart'!E37*8,""))))))</f>
        <v>37950</v>
      </c>
      <c r="L1774" s="0" t="n">
        <f aca="false">IF(AND(ISNUMBER('Onshore - Tasmania Hobart'!E37),ISNUMBER(K1774),ISNUMBER('Onshore - Tasmania Hobart'!F37),ISNUMBER('Onshore - Tasmania Hobart'!G37),OR('Onshore - Tasmania Hobart'!F37&lt;&gt;0,ISNUMBER(SEARCH("Material 0 terverifikasi",'Onshore - Tasmania Hobart'!M37))),OR('Onshore - Tasmania Hobart'!G37&lt;&gt;0,ISNUMBER(SEARCH("Enrolment 0 terverifikasi",'Onshore - Tasmania Hobart'!M37)))),1,0)</f>
        <v>0</v>
      </c>
      <c r="M1774" s="0" t="n">
        <f aca="false">IF(OR('Onshore - Tasmania Hobart'!E37="",ISNUMBER(SEARCH("BSB80120",'Onshore - Tasmania Hobart'!B37&amp;'Onshore - Tasmania Hobart'!M37)),ISNUMBER(SEARCH("Management (Learning)",'Onshore - Tasmania Hobart'!B37))),2,IF(ISNUMBER(SEARCH("CEK:",'Onshore - Tasmania Hobart'!M37)),1,0))</f>
        <v>1</v>
      </c>
    </row>
    <row r="1775" customFormat="false" ht="15" hidden="false" customHeight="false" outlineLevel="0" collapsed="false">
      <c r="A1775" s="61" t="s">
        <v>4504</v>
      </c>
      <c r="B1775" s="62"/>
      <c r="C1775" s="62"/>
      <c r="D1775" s="62"/>
      <c r="E1775" s="62"/>
      <c r="F1775" s="62"/>
      <c r="G1775" s="62"/>
      <c r="H1775" s="62"/>
      <c r="I1775" s="62"/>
    </row>
    <row r="1776" customFormat="false" ht="15" hidden="false" customHeight="false" outlineLevel="0" collapsed="false">
      <c r="A1776" s="63" t="s">
        <v>3753</v>
      </c>
      <c r="B1776" s="64" t="s">
        <v>4488</v>
      </c>
      <c r="C1776" s="63" t="s">
        <v>42</v>
      </c>
      <c r="D1776" s="64" t="str">
        <f aca="false">TRIM(LEFT('Onshore - Tasmania Hobart'!A21,FIND(CHAR(10),'Onshore - Tasmania Hobart'!A21&amp;CHAR(10))-1))</f>
        <v>University of Tasmania (UTAS)</v>
      </c>
      <c r="E1776" s="63" t="str">
        <f aca="false">'Onshore - Tasmania Hobart'!C40&amp;""</f>
        <v>2 years</v>
      </c>
      <c r="F1776" s="63" t="str">
        <f aca="false">IF('Onshore - Tasmania Hobart'!D40="","Belum tercatat",'Onshore - Tasmania Hobart'!D40)</f>
        <v>Term</v>
      </c>
      <c r="G1776" s="65" t="n">
        <f aca="false">IF('Onshore - Tasmania Hobart'!E40="","-",'Onshore - Tasmania Hobart'!E40)</f>
        <v>9487.5</v>
      </c>
      <c r="H1776" s="63" t="n">
        <f aca="false">IF(ISNUMBER(K1776),COUNTIFS($J$6:$J$1916,J1776,$K$6:$K$1916,"&lt;"&amp;K1776)+1,"-")</f>
        <v>1</v>
      </c>
      <c r="I1776" s="64" t="str">
        <f aca="false">IF('Onshore - Tasmania Hobart'!E40="","Harga belum tersedia - hubungi konsultan TEG",IF(M1776=2,"Saat ini tidak menerima pendaftaran siswa internasional baru",IF(M1776=1,"Harga perlu dikonfirmasi ke sekolah"&amp;IF(""="","","; "&amp;""),"")))</f>
        <v>Harga perlu dikonfirmasi ke sekolah</v>
      </c>
      <c r="J1776" s="0" t="s">
        <v>4505</v>
      </c>
      <c r="K1776" s="0" t="n">
        <f aca="false">IF(M1776=2,"",IF(ISNUMBER(SEARCH("rata-rata:",'Onshore - Tasmania Hobart'!M40)),VALUE(MID('Onshore - Tasmania Hobart'!M40,SEARCH("rata-rata:",'Onshore - Tasmania Hobart'!M40)+11,FIND(";",'Onshore - Tasmania Hobart'!M40&amp;";",SEARCH("rata-rata:",'Onshore - Tasmania Hobart'!M40))-SEARCH("rata-rata:",'Onshore - Tasmania Hobart'!M40)-11)),IF('Onshore - Tasmania Hobart'!D40="Semester",'Onshore - Tasmania Hobart'!E40*2,IF('Onshore - Tasmania Hobart'!D40="Trimester",'Onshore - Tasmania Hobart'!E40*3,IF('Onshore - Tasmania Hobart'!D40="Term",'Onshore - Tasmania Hobart'!E40*4,IF('Onshore - Tasmania Hobart'!D40="Unit",'Onshore - Tasmania Hobart'!E40*8,""))))))</f>
        <v>37950</v>
      </c>
      <c r="L1776" s="0" t="n">
        <f aca="false">IF(AND(ISNUMBER('Onshore - Tasmania Hobart'!E40),ISNUMBER(K1776),ISNUMBER('Onshore - Tasmania Hobart'!F40),ISNUMBER('Onshore - Tasmania Hobart'!G40),OR('Onshore - Tasmania Hobart'!F40&lt;&gt;0,ISNUMBER(SEARCH("Material 0 terverifikasi",'Onshore - Tasmania Hobart'!M40))),OR('Onshore - Tasmania Hobart'!G40&lt;&gt;0,ISNUMBER(SEARCH("Enrolment 0 terverifikasi",'Onshore - Tasmania Hobart'!M40)))),1,0)</f>
        <v>0</v>
      </c>
      <c r="M1776" s="0" t="n">
        <f aca="false">IF(OR('Onshore - Tasmania Hobart'!E40="",ISNUMBER(SEARCH("BSB80120",'Onshore - Tasmania Hobart'!B40&amp;'Onshore - Tasmania Hobart'!M40)),ISNUMBER(SEARCH("Management (Learning)",'Onshore - Tasmania Hobart'!B40))),2,IF(ISNUMBER(SEARCH("CEK:",'Onshore - Tasmania Hobart'!M40)),1,0))</f>
        <v>1</v>
      </c>
    </row>
    <row r="1777" customFormat="false" ht="15" hidden="false" customHeight="false" outlineLevel="0" collapsed="false">
      <c r="A1777" s="61" t="s">
        <v>4506</v>
      </c>
      <c r="B1777" s="62"/>
      <c r="C1777" s="62"/>
      <c r="D1777" s="62"/>
      <c r="E1777" s="62"/>
      <c r="F1777" s="62"/>
      <c r="G1777" s="62"/>
      <c r="H1777" s="62"/>
      <c r="I1777" s="62"/>
    </row>
    <row r="1778" customFormat="false" ht="15" hidden="false" customHeight="false" outlineLevel="0" collapsed="false">
      <c r="A1778" s="63" t="s">
        <v>3753</v>
      </c>
      <c r="B1778" s="64" t="s">
        <v>4488</v>
      </c>
      <c r="C1778" s="63" t="s">
        <v>43</v>
      </c>
      <c r="D1778" s="64" t="str">
        <f aca="false">TRIM(LEFT('Onshore - Tasmania Hobart'!A21,FIND(CHAR(10),'Onshore - Tasmania Hobart'!A21&amp;CHAR(10))-1))</f>
        <v>University of Tasmania (UTAS)</v>
      </c>
      <c r="E1778" s="63" t="str">
        <f aca="false">'Onshore - Tasmania Hobart'!C45&amp;""</f>
        <v>3 years</v>
      </c>
      <c r="F1778" s="63" t="str">
        <f aca="false">IF('Onshore - Tasmania Hobart'!D45="","Belum tercatat",'Onshore - Tasmania Hobart'!D45)</f>
        <v>Term</v>
      </c>
      <c r="G1778" s="65" t="n">
        <f aca="false">IF('Onshore - Tasmania Hobart'!E45="","-",'Onshore - Tasmania Hobart'!E45)</f>
        <v>9487.5</v>
      </c>
      <c r="H1778" s="63" t="n">
        <f aca="false">IF(ISNUMBER(K1778),COUNTIFS($J$6:$J$1916,J1778,$K$6:$K$1916,"&lt;"&amp;K1778)+1,"-")</f>
        <v>1</v>
      </c>
      <c r="I1778" s="64" t="str">
        <f aca="false">IF('Onshore - Tasmania Hobart'!E45="","Harga belum tersedia - hubungi konsultan TEG",IF(M1778=2,"Saat ini tidak menerima pendaftaran siswa internasional baru",IF(M1778=1,"Harga perlu dikonfirmasi ke sekolah"&amp;IF(""="","","; "&amp;""),"")))</f>
        <v>Harga perlu dikonfirmasi ke sekolah</v>
      </c>
      <c r="J1778" s="0" t="s">
        <v>4507</v>
      </c>
      <c r="K1778" s="0" t="n">
        <f aca="false">IF(M1778=2,"",IF(ISNUMBER(SEARCH("rata-rata:",'Onshore - Tasmania Hobart'!M45)),VALUE(MID('Onshore - Tasmania Hobart'!M45,SEARCH("rata-rata:",'Onshore - Tasmania Hobart'!M45)+11,FIND(";",'Onshore - Tasmania Hobart'!M45&amp;";",SEARCH("rata-rata:",'Onshore - Tasmania Hobart'!M45))-SEARCH("rata-rata:",'Onshore - Tasmania Hobart'!M45)-11)),IF('Onshore - Tasmania Hobart'!D45="Semester",'Onshore - Tasmania Hobart'!E45*2,IF('Onshore - Tasmania Hobart'!D45="Trimester",'Onshore - Tasmania Hobart'!E45*3,IF('Onshore - Tasmania Hobart'!D45="Term",'Onshore - Tasmania Hobart'!E45*4,IF('Onshore - Tasmania Hobart'!D45="Unit",'Onshore - Tasmania Hobart'!E45*8,""))))))</f>
        <v>37950</v>
      </c>
      <c r="L1778" s="0" t="n">
        <f aca="false">IF(AND(ISNUMBER('Onshore - Tasmania Hobart'!E45),ISNUMBER(K1778),ISNUMBER('Onshore - Tasmania Hobart'!F45),ISNUMBER('Onshore - Tasmania Hobart'!G45),OR('Onshore - Tasmania Hobart'!F45&lt;&gt;0,ISNUMBER(SEARCH("Material 0 terverifikasi",'Onshore - Tasmania Hobart'!M45))),OR('Onshore - Tasmania Hobart'!G45&lt;&gt;0,ISNUMBER(SEARCH("Enrolment 0 terverifikasi",'Onshore - Tasmania Hobart'!M45)))),1,0)</f>
        <v>0</v>
      </c>
      <c r="M1778" s="0" t="n">
        <f aca="false">IF(OR('Onshore - Tasmania Hobart'!E45="",ISNUMBER(SEARCH("BSB80120",'Onshore - Tasmania Hobart'!B45&amp;'Onshore - Tasmania Hobart'!M45)),ISNUMBER(SEARCH("Management (Learning)",'Onshore - Tasmania Hobart'!B45))),2,IF(ISNUMBER(SEARCH("CEK:",'Onshore - Tasmania Hobart'!M45)),1,0))</f>
        <v>1</v>
      </c>
    </row>
    <row r="1779" customFormat="false" ht="15" hidden="false" customHeight="false" outlineLevel="0" collapsed="false">
      <c r="A1779" s="61" t="s">
        <v>4508</v>
      </c>
      <c r="B1779" s="62"/>
      <c r="C1779" s="62"/>
      <c r="D1779" s="62"/>
      <c r="E1779" s="62"/>
      <c r="F1779" s="62"/>
      <c r="G1779" s="62"/>
      <c r="H1779" s="62"/>
      <c r="I1779" s="62"/>
    </row>
    <row r="1780" customFormat="false" ht="15" hidden="false" customHeight="false" outlineLevel="0" collapsed="false">
      <c r="A1780" s="63" t="s">
        <v>3753</v>
      </c>
      <c r="B1780" s="64" t="s">
        <v>4488</v>
      </c>
      <c r="C1780" s="63" t="s">
        <v>3707</v>
      </c>
      <c r="D1780" s="64" t="str">
        <f aca="false">TRIM(LEFT('Onshore - Tasmania Hobart'!A21,FIND(CHAR(10),'Onshore - Tasmania Hobart'!A21&amp;CHAR(10))-1))</f>
        <v>University of Tasmania (UTAS)</v>
      </c>
      <c r="E1780" s="63" t="str">
        <f aca="false">'Onshore - Tasmania Hobart'!C50&amp;""</f>
        <v>0,5 years</v>
      </c>
      <c r="F1780" s="63" t="str">
        <f aca="false">IF('Onshore - Tasmania Hobart'!D50="","Belum tercatat",'Onshore - Tasmania Hobart'!D50)</f>
        <v>Term</v>
      </c>
      <c r="G1780" s="65" t="n">
        <f aca="false">IF('Onshore - Tasmania Hobart'!E50="","-",'Onshore - Tasmania Hobart'!E50)</f>
        <v>9987.5</v>
      </c>
      <c r="H1780" s="63" t="n">
        <f aca="false">IF(ISNUMBER(K1780),COUNTIFS($J$6:$J$1916,J1780,$K$6:$K$1916,"&lt;"&amp;K1780)+1,"-")</f>
        <v>1</v>
      </c>
      <c r="I1780" s="64" t="str">
        <f aca="false">IF('Onshore - Tasmania Hobart'!E50="","Harga belum tersedia - hubungi konsultan TEG",IF(M1780=2,"Saat ini tidak menerima pendaftaran siswa internasional baru",IF(M1780=1,"Harga perlu dikonfirmasi ke sekolah"&amp;IF(""="","","; "&amp;""),"")))</f>
        <v>Harga perlu dikonfirmasi ke sekolah</v>
      </c>
      <c r="J1780" s="0" t="s">
        <v>4509</v>
      </c>
      <c r="K1780" s="0" t="n">
        <f aca="false">IF(M1780=2,"",IF(ISNUMBER(SEARCH("rata-rata:",'Onshore - Tasmania Hobart'!M50)),VALUE(MID('Onshore - Tasmania Hobart'!M50,SEARCH("rata-rata:",'Onshore - Tasmania Hobart'!M50)+11,FIND(";",'Onshore - Tasmania Hobart'!M50&amp;";",SEARCH("rata-rata:",'Onshore - Tasmania Hobart'!M50))-SEARCH("rata-rata:",'Onshore - Tasmania Hobart'!M50)-11)),IF('Onshore - Tasmania Hobart'!D50="Semester",'Onshore - Tasmania Hobart'!E50*2,IF('Onshore - Tasmania Hobart'!D50="Trimester",'Onshore - Tasmania Hobart'!E50*3,IF('Onshore - Tasmania Hobart'!D50="Term",'Onshore - Tasmania Hobart'!E50*4,IF('Onshore - Tasmania Hobart'!D50="Unit",'Onshore - Tasmania Hobart'!E50*8,""))))))</f>
        <v>39950</v>
      </c>
      <c r="L1780" s="0" t="n">
        <f aca="false">IF(AND(ISNUMBER('Onshore - Tasmania Hobart'!E50),ISNUMBER(K1780),ISNUMBER('Onshore - Tasmania Hobart'!F50),ISNUMBER('Onshore - Tasmania Hobart'!G50),OR('Onshore - Tasmania Hobart'!F50&lt;&gt;0,ISNUMBER(SEARCH("Material 0 terverifikasi",'Onshore - Tasmania Hobart'!M50))),OR('Onshore - Tasmania Hobart'!G50&lt;&gt;0,ISNUMBER(SEARCH("Enrolment 0 terverifikasi",'Onshore - Tasmania Hobart'!M50)))),1,0)</f>
        <v>0</v>
      </c>
      <c r="M1780" s="0" t="n">
        <f aca="false">IF(OR('Onshore - Tasmania Hobart'!E50="",ISNUMBER(SEARCH("BSB80120",'Onshore - Tasmania Hobart'!B50&amp;'Onshore - Tasmania Hobart'!M50)),ISNUMBER(SEARCH("Management (Learning)",'Onshore - Tasmania Hobart'!B50))),2,IF(ISNUMBER(SEARCH("CEK:",'Onshore - Tasmania Hobart'!M50)),1,0))</f>
        <v>1</v>
      </c>
    </row>
    <row r="1781" customFormat="false" ht="15" hidden="false" customHeight="false" outlineLevel="0" collapsed="false">
      <c r="A1781" s="61" t="s">
        <v>4510</v>
      </c>
      <c r="B1781" s="62"/>
      <c r="C1781" s="62"/>
      <c r="D1781" s="62"/>
      <c r="E1781" s="62"/>
      <c r="F1781" s="62"/>
      <c r="G1781" s="62"/>
      <c r="H1781" s="62"/>
      <c r="I1781" s="62"/>
    </row>
    <row r="1782" customFormat="false" ht="15" hidden="false" customHeight="false" outlineLevel="0" collapsed="false">
      <c r="A1782" s="63" t="s">
        <v>3753</v>
      </c>
      <c r="B1782" s="64" t="s">
        <v>4488</v>
      </c>
      <c r="C1782" s="63" t="s">
        <v>46</v>
      </c>
      <c r="D1782" s="64" t="str">
        <f aca="false">TRIM(LEFT('Onshore - Tasmania Hobart'!A21,FIND(CHAR(10),'Onshore - Tasmania Hobart'!A21&amp;CHAR(10))-1))</f>
        <v>University of Tasmania (UTAS)</v>
      </c>
      <c r="E1782" s="63" t="str">
        <f aca="false">'Onshore - Tasmania Hobart'!C61&amp;""</f>
        <v>2 years</v>
      </c>
      <c r="F1782" s="63" t="str">
        <f aca="false">IF('Onshore - Tasmania Hobart'!D61="","Belum tercatat",'Onshore - Tasmania Hobart'!D61)</f>
        <v>Term</v>
      </c>
      <c r="G1782" s="65" t="n">
        <f aca="false">IF('Onshore - Tasmania Hobart'!E61="","-",'Onshore - Tasmania Hobart'!E61)</f>
        <v>9987.5</v>
      </c>
      <c r="H1782" s="63" t="n">
        <f aca="false">IF(ISNUMBER(K1782),COUNTIFS($J$6:$J$1916,J1782,$K$6:$K$1916,"&lt;"&amp;K1782)+1,"-")</f>
        <v>1</v>
      </c>
      <c r="I1782" s="64" t="str">
        <f aca="false">IF('Onshore - Tasmania Hobart'!E61="","Harga belum tersedia - hubungi konsultan TEG",IF(M1782=2,"Saat ini tidak menerima pendaftaran siswa internasional baru",IF(M1782=1,"Harga perlu dikonfirmasi ke sekolah"&amp;IF(""="","","; "&amp;""),"")))</f>
        <v>Harga perlu dikonfirmasi ke sekolah</v>
      </c>
      <c r="J1782" s="0" t="s">
        <v>4511</v>
      </c>
      <c r="K1782" s="0" t="n">
        <f aca="false">IF(M1782=2,"",IF(ISNUMBER(SEARCH("rata-rata:",'Onshore - Tasmania Hobart'!M61)),VALUE(MID('Onshore - Tasmania Hobart'!M61,SEARCH("rata-rata:",'Onshore - Tasmania Hobart'!M61)+11,FIND(";",'Onshore - Tasmania Hobart'!M61&amp;";",SEARCH("rata-rata:",'Onshore - Tasmania Hobart'!M61))-SEARCH("rata-rata:",'Onshore - Tasmania Hobart'!M61)-11)),IF('Onshore - Tasmania Hobart'!D61="Semester",'Onshore - Tasmania Hobart'!E61*2,IF('Onshore - Tasmania Hobart'!D61="Trimester",'Onshore - Tasmania Hobart'!E61*3,IF('Onshore - Tasmania Hobart'!D61="Term",'Onshore - Tasmania Hobart'!E61*4,IF('Onshore - Tasmania Hobart'!D61="Unit",'Onshore - Tasmania Hobart'!E61*8,""))))))</f>
        <v>39950</v>
      </c>
      <c r="L1782" s="0" t="n">
        <f aca="false">IF(AND(ISNUMBER('Onshore - Tasmania Hobart'!E61),ISNUMBER(K1782),ISNUMBER('Onshore - Tasmania Hobart'!F61),ISNUMBER('Onshore - Tasmania Hobart'!G61),OR('Onshore - Tasmania Hobart'!F61&lt;&gt;0,ISNUMBER(SEARCH("Material 0 terverifikasi",'Onshore - Tasmania Hobart'!M61))),OR('Onshore - Tasmania Hobart'!G61&lt;&gt;0,ISNUMBER(SEARCH("Enrolment 0 terverifikasi",'Onshore - Tasmania Hobart'!M61)))),1,0)</f>
        <v>0</v>
      </c>
      <c r="M1782" s="0" t="n">
        <f aca="false">IF(OR('Onshore - Tasmania Hobart'!E61="",ISNUMBER(SEARCH("BSB80120",'Onshore - Tasmania Hobart'!B61&amp;'Onshore - Tasmania Hobart'!M61)),ISNUMBER(SEARCH("Management (Learning)",'Onshore - Tasmania Hobart'!B61))),2,IF(ISNUMBER(SEARCH("CEK:",'Onshore - Tasmania Hobart'!M61)),1,0))</f>
        <v>1</v>
      </c>
    </row>
    <row r="1783" customFormat="false" ht="15" hidden="false" customHeight="false" outlineLevel="0" collapsed="false">
      <c r="A1783" s="61" t="s">
        <v>4512</v>
      </c>
      <c r="B1783" s="62"/>
      <c r="C1783" s="62"/>
      <c r="D1783" s="62"/>
      <c r="E1783" s="62"/>
      <c r="F1783" s="62"/>
      <c r="G1783" s="62"/>
      <c r="H1783" s="62"/>
      <c r="I1783" s="62"/>
    </row>
    <row r="1784" customFormat="false" ht="15" hidden="false" customHeight="false" outlineLevel="0" collapsed="false">
      <c r="A1784" s="63" t="s">
        <v>3659</v>
      </c>
      <c r="B1784" s="64" t="s">
        <v>3821</v>
      </c>
      <c r="C1784" s="63" t="s">
        <v>42</v>
      </c>
      <c r="D1784" s="64" t="str">
        <f aca="false">TRIM(LEFT('Onshore - Adelaide'!A6,FIND(CHAR(10),'Onshore - Adelaide'!A6&amp;CHAR(10))-1))</f>
        <v>Abbey College Australia</v>
      </c>
      <c r="E1784" s="63" t="str">
        <f aca="false">'Onshore - Adelaide'!C14&amp;""</f>
        <v>2 years</v>
      </c>
      <c r="F1784" s="63" t="str">
        <f aca="false">IF('Onshore - Adelaide'!D14="","Belum tercatat",'Onshore - Adelaide'!D14)</f>
        <v>Term</v>
      </c>
      <c r="G1784" s="65" t="n">
        <f aca="false">IF('Onshore - Adelaide'!E14="","-",'Onshore - Adelaide'!E14)</f>
        <v>2500</v>
      </c>
      <c r="H1784" s="63" t="n">
        <f aca="false">IF(ISNUMBER(K1784),COUNTIFS($J$6:$J$1916,J1784,$K$6:$K$1916,"&lt;"&amp;K1784)+1,"-")</f>
        <v>1</v>
      </c>
      <c r="I1784" s="64" t="str">
        <f aca="false">IF('Onshore - Adelaide'!E14="","Harga belum tersedia - hubungi konsultan TEG",IF(M1784=2,"Saat ini tidak menerima pendaftaran siswa internasional baru",IF(M1784=1,"Harga perlu dikonfirmasi ke sekolah"&amp;IF(""="","","; "&amp;""),"")))</f>
        <v/>
      </c>
      <c r="J1784" s="0" t="s">
        <v>4513</v>
      </c>
      <c r="K1784" s="0" t="n">
        <f aca="false">IF(M1784=2,"",IF(ISNUMBER(SEARCH("rata-rata:",'Onshore - Adelaide'!M14)),VALUE(MID('Onshore - Adelaide'!M14,SEARCH("rata-rata:",'Onshore - Adelaide'!M14)+11,FIND(";",'Onshore - Adelaide'!M14&amp;";",SEARCH("rata-rata:",'Onshore - Adelaide'!M14))-SEARCH("rata-rata:",'Onshore - Adelaide'!M14)-11)),IF('Onshore - Adelaide'!D14="Semester",'Onshore - Adelaide'!E14*2,IF('Onshore - Adelaide'!D14="Trimester",'Onshore - Adelaide'!E14*3,IF('Onshore - Adelaide'!D14="Term",'Onshore - Adelaide'!E14*4,IF('Onshore - Adelaide'!D14="Unit",'Onshore - Adelaide'!E14*8,""))))))</f>
        <v>10000</v>
      </c>
      <c r="L1784" s="0" t="n">
        <f aca="false">IF(AND(ISNUMBER('Onshore - Adelaide'!E14),ISNUMBER(K1784),ISNUMBER('Onshore - Adelaide'!F14),ISNUMBER('Onshore - Adelaide'!G14),OR('Onshore - Adelaide'!F14&lt;&gt;0,ISNUMBER(SEARCH("Material 0 terverifikasi",'Onshore - Adelaide'!M14))),OR('Onshore - Adelaide'!G14&lt;&gt;0,ISNUMBER(SEARCH("Enrolment 0 terverifikasi",'Onshore - Adelaide'!M14)))),1,0)</f>
        <v>1</v>
      </c>
      <c r="M1784" s="0" t="n">
        <f aca="false">IF(OR('Onshore - Adelaide'!E14="",ISNUMBER(SEARCH("BSB80120",'Onshore - Adelaide'!B14&amp;'Onshore - Adelaide'!M14)),ISNUMBER(SEARCH("Management (Learning)",'Onshore - Adelaide'!B14))),2,IF(ISNUMBER(SEARCH("CEK:",'Onshore - Adelaide'!M14)),1,0))</f>
        <v>0</v>
      </c>
    </row>
    <row r="1785" customFormat="false" ht="15" hidden="false" customHeight="false" outlineLevel="0" collapsed="false">
      <c r="A1785" s="63" t="s">
        <v>3659</v>
      </c>
      <c r="B1785" s="64" t="s">
        <v>3821</v>
      </c>
      <c r="C1785" s="63" t="s">
        <v>42</v>
      </c>
      <c r="D1785" s="64" t="str">
        <f aca="false">TRIM(LEFT('Onshore - Adelaide'!A402,FIND(CHAR(10),'Onshore - Adelaide'!A402&amp;CHAR(10))-1))</f>
        <v>Australian Ideal College (AIC)</v>
      </c>
      <c r="E1785" s="63" t="str">
        <f aca="false">'Onshore - Adelaide'!C418&amp;""</f>
        <v>1 year</v>
      </c>
      <c r="F1785" s="63" t="str">
        <f aca="false">IF('Onshore - Adelaide'!D418="","Belum tercatat",'Onshore - Adelaide'!D418)</f>
        <v>Term</v>
      </c>
      <c r="G1785" s="65" t="n">
        <f aca="false">IF('Onshore - Adelaide'!E418="","-",'Onshore - Adelaide'!E418)</f>
        <v>3000</v>
      </c>
      <c r="H1785" s="63" t="n">
        <f aca="false">IF(ISNUMBER(K1785),COUNTIFS($J$6:$J$1916,J1785,$K$6:$K$1916,"&lt;"&amp;K1785)+1,"-")</f>
        <v>2</v>
      </c>
      <c r="I1785" s="64" t="str">
        <f aca="false">IF('Onshore - Adelaide'!E418="","Harga belum tersedia - hubungi konsultan TEG",IF(M1785=2,"Saat ini tidak menerima pendaftaran siswa internasional baru",IF(M1785=1,"Harga perlu dikonfirmasi ke sekolah"&amp;IF(""="","","; "&amp;""),"")))</f>
        <v/>
      </c>
      <c r="J1785" s="0" t="s">
        <v>4513</v>
      </c>
      <c r="K1785" s="0" t="n">
        <f aca="false">IF(M1785=2,"",IF(ISNUMBER(SEARCH("rata-rata:",'Onshore - Adelaide'!M418)),VALUE(MID('Onshore - Adelaide'!M418,SEARCH("rata-rata:",'Onshore - Adelaide'!M418)+11,FIND(";",'Onshore - Adelaide'!M418&amp;";",SEARCH("rata-rata:",'Onshore - Adelaide'!M418))-SEARCH("rata-rata:",'Onshore - Adelaide'!M418)-11)),IF('Onshore - Adelaide'!D418="Semester",'Onshore - Adelaide'!E418*2,IF('Onshore - Adelaide'!D418="Trimester",'Onshore - Adelaide'!E418*3,IF('Onshore - Adelaide'!D418="Term",'Onshore - Adelaide'!E418*4,IF('Onshore - Adelaide'!D418="Unit",'Onshore - Adelaide'!E418*8,""))))))</f>
        <v>12000</v>
      </c>
      <c r="L1785" s="0" t="n">
        <f aca="false">IF(AND(ISNUMBER('Onshore - Adelaide'!E418),ISNUMBER(K1785),ISNUMBER('Onshore - Adelaide'!F418),ISNUMBER('Onshore - Adelaide'!G418),OR('Onshore - Adelaide'!F418&lt;&gt;0,ISNUMBER(SEARCH("Material 0 terverifikasi",'Onshore - Adelaide'!M418))),OR('Onshore - Adelaide'!G418&lt;&gt;0,ISNUMBER(SEARCH("Enrolment 0 terverifikasi",'Onshore - Adelaide'!M418)))),1,0)</f>
        <v>1</v>
      </c>
      <c r="M1785" s="0" t="n">
        <f aca="false">IF(OR('Onshore - Adelaide'!E418="",ISNUMBER(SEARCH("BSB80120",'Onshore - Adelaide'!B418&amp;'Onshore - Adelaide'!M418)),ISNUMBER(SEARCH("Management (Learning)",'Onshore - Adelaide'!B418))),2,IF(ISNUMBER(SEARCH("CEK:",'Onshore - Adelaide'!M418)),1,0))</f>
        <v>0</v>
      </c>
    </row>
    <row r="1786" customFormat="false" ht="15" hidden="false" customHeight="false" outlineLevel="0" collapsed="false">
      <c r="A1786" s="61" t="s">
        <v>4514</v>
      </c>
      <c r="B1786" s="62"/>
      <c r="C1786" s="62"/>
      <c r="D1786" s="62"/>
      <c r="E1786" s="62"/>
      <c r="F1786" s="62"/>
      <c r="G1786" s="62"/>
      <c r="H1786" s="62"/>
      <c r="I1786" s="62"/>
    </row>
    <row r="1787" customFormat="false" ht="15" hidden="false" customHeight="false" outlineLevel="0" collapsed="false">
      <c r="A1787" s="63" t="s">
        <v>3659</v>
      </c>
      <c r="B1787" s="64" t="s">
        <v>3821</v>
      </c>
      <c r="C1787" s="63" t="s">
        <v>43</v>
      </c>
      <c r="D1787" s="64" t="str">
        <f aca="false">TRIM(LEFT('Onshore - Adelaide'!A15,FIND(CHAR(10),'Onshore - Adelaide'!A15&amp;CHAR(10))-1))</f>
        <v>Adelaide University</v>
      </c>
      <c r="E1787" s="63" t="str">
        <f aca="false">'Onshore - Adelaide'!C49&amp;""</f>
        <v>3 years</v>
      </c>
      <c r="F1787" s="63" t="str">
        <f aca="false">IF('Onshore - Adelaide'!D49="","Belum tercatat",'Onshore - Adelaide'!D49)</f>
        <v>Term</v>
      </c>
      <c r="G1787" s="65" t="n">
        <f aca="false">IF('Onshore - Adelaide'!E49="","-",'Onshore - Adelaide'!E49)</f>
        <v>11275</v>
      </c>
      <c r="H1787" s="63" t="n">
        <f aca="false">IF(ISNUMBER(K1787),COUNTIFS($J$6:$J$1916,J1787,$K$6:$K$1916,"&lt;"&amp;K1787)+1,"-")</f>
        <v>1</v>
      </c>
      <c r="I1787" s="64" t="str">
        <f aca="false">IF('Onshore - Adelaide'!E49="","Harga belum tersedia - hubungi konsultan TEG",IF(M1787=2,"Saat ini tidak menerima pendaftaran siswa internasional baru",IF(M1787=1,"Harga perlu dikonfirmasi ke sekolah"&amp;IF(""="","","; "&amp;""),"")))</f>
        <v/>
      </c>
      <c r="J1787" s="0" t="s">
        <v>4515</v>
      </c>
      <c r="K1787" s="0" t="n">
        <f aca="false">IF(M1787=2,"",IF(ISNUMBER(SEARCH("rata-rata:",'Onshore - Adelaide'!M49)),VALUE(MID('Onshore - Adelaide'!M49,SEARCH("rata-rata:",'Onshore - Adelaide'!M49)+11,FIND(";",'Onshore - Adelaide'!M49&amp;";",SEARCH("rata-rata:",'Onshore - Adelaide'!M49))-SEARCH("rata-rata:",'Onshore - Adelaide'!M49)-11)),IF('Onshore - Adelaide'!D49="Semester",'Onshore - Adelaide'!E49*2,IF('Onshore - Adelaide'!D49="Trimester",'Onshore - Adelaide'!E49*3,IF('Onshore - Adelaide'!D49="Term",'Onshore - Adelaide'!E49*4,IF('Onshore - Adelaide'!D49="Unit",'Onshore - Adelaide'!E49*8,""))))))</f>
        <v>45100</v>
      </c>
      <c r="L1787" s="0" t="n">
        <f aca="false">IF(AND(ISNUMBER('Onshore - Adelaide'!E49),ISNUMBER(K1787),ISNUMBER('Onshore - Adelaide'!F49),ISNUMBER('Onshore - Adelaide'!G49),OR('Onshore - Adelaide'!F49&lt;&gt;0,ISNUMBER(SEARCH("Material 0 terverifikasi",'Onshore - Adelaide'!M49))),OR('Onshore - Adelaide'!G49&lt;&gt;0,ISNUMBER(SEARCH("Enrolment 0 terverifikasi",'Onshore - Adelaide'!M49)))),1,0)</f>
        <v>0</v>
      </c>
      <c r="M1787" s="0" t="n">
        <f aca="false">IF(OR('Onshore - Adelaide'!E49="",ISNUMBER(SEARCH("BSB80120",'Onshore - Adelaide'!B49&amp;'Onshore - Adelaide'!M49)),ISNUMBER(SEARCH("Management (Learning)",'Onshore - Adelaide'!B49))),2,IF(ISNUMBER(SEARCH("CEK:",'Onshore - Adelaide'!M49)),1,0))</f>
        <v>0</v>
      </c>
    </row>
    <row r="1788" customFormat="false" ht="15" hidden="false" customHeight="false" outlineLevel="0" collapsed="false">
      <c r="A1788" s="61" t="s">
        <v>4516</v>
      </c>
      <c r="B1788" s="62"/>
      <c r="C1788" s="62"/>
      <c r="D1788" s="62"/>
      <c r="E1788" s="62"/>
      <c r="F1788" s="62"/>
      <c r="G1788" s="62"/>
      <c r="H1788" s="62"/>
      <c r="I1788" s="62"/>
    </row>
    <row r="1789" customFormat="false" ht="15" hidden="false" customHeight="false" outlineLevel="0" collapsed="false">
      <c r="A1789" s="63" t="s">
        <v>3659</v>
      </c>
      <c r="B1789" s="64" t="s">
        <v>3821</v>
      </c>
      <c r="C1789" s="63" t="s">
        <v>3707</v>
      </c>
      <c r="D1789" s="64" t="str">
        <f aca="false">TRIM(LEFT('Onshore - Adelaide'!A545,FIND(CHAR(10),'Onshore - Adelaide'!A545&amp;CHAR(10))-1))</f>
        <v>Torrens University Australia</v>
      </c>
      <c r="E1789" s="63" t="str">
        <f aca="false">'Onshore - Adelaide'!C604&amp;""</f>
        <v>0,5 year</v>
      </c>
      <c r="F1789" s="63" t="str">
        <f aca="false">IF('Onshore - Adelaide'!D604="","Belum tercatat",'Onshore - Adelaide'!D604)</f>
        <v>Term</v>
      </c>
      <c r="G1789" s="65" t="n">
        <f aca="false">IF('Onshore - Adelaide'!E604="","-",'Onshore - Adelaide'!E604)</f>
        <v>3688</v>
      </c>
      <c r="H1789" s="63" t="n">
        <f aca="false">IF(ISNUMBER(K1789),COUNTIFS($J$6:$J$1916,J1789,$K$6:$K$1916,"&lt;"&amp;K1789)+1,"-")</f>
        <v>1</v>
      </c>
      <c r="I1789" s="64" t="str">
        <f aca="false">IF('Onshore - Adelaide'!E604="","Harga belum tersedia - hubungi konsultan TEG",IF(M1789=2,"Saat ini tidak menerima pendaftaran siswa internasional baru",IF(M1789=1,"Harga perlu dikonfirmasi ke sekolah"&amp;IF(""="","","; "&amp;""),"")))</f>
        <v/>
      </c>
      <c r="J1789" s="0" t="s">
        <v>4517</v>
      </c>
      <c r="K1789" s="0" t="n">
        <f aca="false">IF(M1789=2,"",IF(ISNUMBER(SEARCH("rata-rata:",'Onshore - Adelaide'!M604)),VALUE(MID('Onshore - Adelaide'!M604,SEARCH("rata-rata:",'Onshore - Adelaide'!M604)+11,FIND(";",'Onshore - Adelaide'!M604&amp;";",SEARCH("rata-rata:",'Onshore - Adelaide'!M604))-SEARCH("rata-rata:",'Onshore - Adelaide'!M604)-11)),IF('Onshore - Adelaide'!D604="Semester",'Onshore - Adelaide'!E604*2,IF('Onshore - Adelaide'!D604="Trimester",'Onshore - Adelaide'!E604*3,IF('Onshore - Adelaide'!D604="Term",'Onshore - Adelaide'!E604*4,IF('Onshore - Adelaide'!D604="Unit",'Onshore - Adelaide'!E604*8,""))))))</f>
        <v>14752</v>
      </c>
      <c r="L1789" s="0" t="n">
        <f aca="false">IF(AND(ISNUMBER('Onshore - Adelaide'!E604),ISNUMBER(K1789),ISNUMBER('Onshore - Adelaide'!F604),ISNUMBER('Onshore - Adelaide'!G604),OR('Onshore - Adelaide'!F604&lt;&gt;0,ISNUMBER(SEARCH("Material 0 terverifikasi",'Onshore - Adelaide'!M604))),OR('Onshore - Adelaide'!G604&lt;&gt;0,ISNUMBER(SEARCH("Enrolment 0 terverifikasi",'Onshore - Adelaide'!M604)))),1,0)</f>
        <v>0</v>
      </c>
      <c r="M1789" s="0" t="n">
        <f aca="false">IF(OR('Onshore - Adelaide'!E604="",ISNUMBER(SEARCH("BSB80120",'Onshore - Adelaide'!B604&amp;'Onshore - Adelaide'!M604)),ISNUMBER(SEARCH("Management (Learning)",'Onshore - Adelaide'!B604))),2,IF(ISNUMBER(SEARCH("CEK:",'Onshore - Adelaide'!M604)),1,0))</f>
        <v>0</v>
      </c>
    </row>
    <row r="1790" customFormat="false" ht="15" hidden="false" customHeight="false" outlineLevel="0" collapsed="false">
      <c r="A1790" s="61" t="s">
        <v>4518</v>
      </c>
      <c r="B1790" s="62"/>
      <c r="C1790" s="62"/>
      <c r="D1790" s="62"/>
      <c r="E1790" s="62"/>
      <c r="F1790" s="62"/>
      <c r="G1790" s="62"/>
      <c r="H1790" s="62"/>
      <c r="I1790" s="62"/>
    </row>
    <row r="1791" customFormat="false" ht="15" hidden="false" customHeight="false" outlineLevel="0" collapsed="false">
      <c r="A1791" s="63" t="s">
        <v>3659</v>
      </c>
      <c r="B1791" s="64" t="s">
        <v>3821</v>
      </c>
      <c r="C1791" s="63" t="s">
        <v>46</v>
      </c>
      <c r="D1791" s="64" t="str">
        <f aca="false">TRIM(LEFT('Onshore - Adelaide'!A545,FIND(CHAR(10),'Onshore - Adelaide'!A545&amp;CHAR(10))-1))</f>
        <v>Torrens University Australia</v>
      </c>
      <c r="E1791" s="63" t="str">
        <f aca="false">'Onshore - Adelaide'!C606&amp;""</f>
        <v>2 years</v>
      </c>
      <c r="F1791" s="63" t="str">
        <f aca="false">IF('Onshore - Adelaide'!D606="","Belum tercatat",'Onshore - Adelaide'!D606)</f>
        <v>Term</v>
      </c>
      <c r="G1791" s="65" t="n">
        <f aca="false">IF('Onshore - Adelaide'!E606="","-",'Onshore - Adelaide'!E606)</f>
        <v>7375</v>
      </c>
      <c r="H1791" s="63" t="n">
        <f aca="false">IF(ISNUMBER(K1791),COUNTIFS($J$6:$J$1916,J1791,$K$6:$K$1916,"&lt;"&amp;K1791)+1,"-")</f>
        <v>1</v>
      </c>
      <c r="I1791" s="64" t="str">
        <f aca="false">IF('Onshore - Adelaide'!E606="","Harga belum tersedia - hubungi konsultan TEG",IF(M1791=2,"Saat ini tidak menerima pendaftaran siswa internasional baru",IF(M1791=1,"Harga perlu dikonfirmasi ke sekolah"&amp;IF(""="","","; "&amp;""),"")))</f>
        <v/>
      </c>
      <c r="J1791" s="0" t="s">
        <v>4519</v>
      </c>
      <c r="K1791" s="0" t="n">
        <f aca="false">IF(M1791=2,"",IF(ISNUMBER(SEARCH("rata-rata:",'Onshore - Adelaide'!M606)),VALUE(MID('Onshore - Adelaide'!M606,SEARCH("rata-rata:",'Onshore - Adelaide'!M606)+11,FIND(";",'Onshore - Adelaide'!M606&amp;";",SEARCH("rata-rata:",'Onshore - Adelaide'!M606))-SEARCH("rata-rata:",'Onshore - Adelaide'!M606)-11)),IF('Onshore - Adelaide'!D606="Semester",'Onshore - Adelaide'!E606*2,IF('Onshore - Adelaide'!D606="Trimester",'Onshore - Adelaide'!E606*3,IF('Onshore - Adelaide'!D606="Term",'Onshore - Adelaide'!E606*4,IF('Onshore - Adelaide'!D606="Unit",'Onshore - Adelaide'!E606*8,""))))))</f>
        <v>29500</v>
      </c>
      <c r="L1791" s="0" t="n">
        <f aca="false">IF(AND(ISNUMBER('Onshore - Adelaide'!E606),ISNUMBER(K1791),ISNUMBER('Onshore - Adelaide'!F606),ISNUMBER('Onshore - Adelaide'!G606),OR('Onshore - Adelaide'!F606&lt;&gt;0,ISNUMBER(SEARCH("Material 0 terverifikasi",'Onshore - Adelaide'!M606))),OR('Onshore - Adelaide'!G606&lt;&gt;0,ISNUMBER(SEARCH("Enrolment 0 terverifikasi",'Onshore - Adelaide'!M606)))),1,0)</f>
        <v>0</v>
      </c>
      <c r="M1791" s="0" t="n">
        <f aca="false">IF(OR('Onshore - Adelaide'!E606="",ISNUMBER(SEARCH("BSB80120",'Onshore - Adelaide'!B606&amp;'Onshore - Adelaide'!M606)),ISNUMBER(SEARCH("Management (Learning)",'Onshore - Adelaide'!B606))),2,IF(ISNUMBER(SEARCH("CEK:",'Onshore - Adelaide'!M606)),1,0))</f>
        <v>0</v>
      </c>
    </row>
    <row r="1792" customFormat="false" ht="15" hidden="false" customHeight="false" outlineLevel="0" collapsed="false">
      <c r="A1792" s="63" t="s">
        <v>3659</v>
      </c>
      <c r="B1792" s="64" t="s">
        <v>3821</v>
      </c>
      <c r="C1792" s="63" t="s">
        <v>46</v>
      </c>
      <c r="D1792" s="64" t="str">
        <f aca="false">TRIM(LEFT('Onshore - Adelaide'!A15,FIND(CHAR(10),'Onshore - Adelaide'!A15&amp;CHAR(10))-1))</f>
        <v>Adelaide University</v>
      </c>
      <c r="E1792" s="63" t="str">
        <f aca="false">'Onshore - Adelaide'!C294&amp;""</f>
        <v>2 years</v>
      </c>
      <c r="F1792" s="63" t="str">
        <f aca="false">IF('Onshore - Adelaide'!D294="","Belum tercatat",'Onshore - Adelaide'!D294)</f>
        <v>Term</v>
      </c>
      <c r="G1792" s="65" t="n">
        <f aca="false">IF('Onshore - Adelaide'!E294="","-",'Onshore - Adelaide'!E294)</f>
        <v>11275</v>
      </c>
      <c r="H1792" s="63" t="n">
        <f aca="false">IF(ISNUMBER(K1792),COUNTIFS($J$6:$J$1916,J1792,$K$6:$K$1916,"&lt;"&amp;K1792)+1,"-")</f>
        <v>2</v>
      </c>
      <c r="I1792" s="64" t="str">
        <f aca="false">IF('Onshore - Adelaide'!E294="","Harga belum tersedia - hubungi konsultan TEG",IF(M1792=2,"Saat ini tidak menerima pendaftaran siswa internasional baru",IF(M1792=1,"Harga perlu dikonfirmasi ke sekolah"&amp;IF(""="","","; "&amp;""),"")))</f>
        <v/>
      </c>
      <c r="J1792" s="0" t="s">
        <v>4519</v>
      </c>
      <c r="K1792" s="0" t="n">
        <f aca="false">IF(M1792=2,"",IF(ISNUMBER(SEARCH("rata-rata:",'Onshore - Adelaide'!M294)),VALUE(MID('Onshore - Adelaide'!M294,SEARCH("rata-rata:",'Onshore - Adelaide'!M294)+11,FIND(";",'Onshore - Adelaide'!M294&amp;";",SEARCH("rata-rata:",'Onshore - Adelaide'!M294))-SEARCH("rata-rata:",'Onshore - Adelaide'!M294)-11)),IF('Onshore - Adelaide'!D294="Semester",'Onshore - Adelaide'!E294*2,IF('Onshore - Adelaide'!D294="Trimester",'Onshore - Adelaide'!E294*3,IF('Onshore - Adelaide'!D294="Term",'Onshore - Adelaide'!E294*4,IF('Onshore - Adelaide'!D294="Unit",'Onshore - Adelaide'!E294*8,""))))))</f>
        <v>45100</v>
      </c>
      <c r="L1792" s="0" t="n">
        <f aca="false">IF(AND(ISNUMBER('Onshore - Adelaide'!E294),ISNUMBER(K1792),ISNUMBER('Onshore - Adelaide'!F294),ISNUMBER('Onshore - Adelaide'!G294),OR('Onshore - Adelaide'!F294&lt;&gt;0,ISNUMBER(SEARCH("Material 0 terverifikasi",'Onshore - Adelaide'!M294))),OR('Onshore - Adelaide'!G294&lt;&gt;0,ISNUMBER(SEARCH("Enrolment 0 terverifikasi",'Onshore - Adelaide'!M294)))),1,0)</f>
        <v>0</v>
      </c>
      <c r="M1792" s="0" t="n">
        <f aca="false">IF(OR('Onshore - Adelaide'!E294="",ISNUMBER(SEARCH("BSB80120",'Onshore - Adelaide'!B294&amp;'Onshore - Adelaide'!M294)),ISNUMBER(SEARCH("Management (Learning)",'Onshore - Adelaide'!B294))),2,IF(ISNUMBER(SEARCH("CEK:",'Onshore - Adelaide'!M294)),1,0))</f>
        <v>0</v>
      </c>
    </row>
    <row r="1793" customFormat="false" ht="15" hidden="false" customHeight="false" outlineLevel="0" collapsed="false">
      <c r="A1793" s="61" t="s">
        <v>4520</v>
      </c>
      <c r="B1793" s="62"/>
      <c r="C1793" s="62"/>
      <c r="D1793" s="62"/>
      <c r="E1793" s="62"/>
      <c r="F1793" s="62"/>
      <c r="G1793" s="62"/>
      <c r="H1793" s="62"/>
      <c r="I1793" s="62"/>
    </row>
    <row r="1794" customFormat="false" ht="15" hidden="false" customHeight="false" outlineLevel="0" collapsed="false">
      <c r="A1794" s="63" t="s">
        <v>3659</v>
      </c>
      <c r="B1794" s="64" t="s">
        <v>3821</v>
      </c>
      <c r="C1794" s="63" t="s">
        <v>4222</v>
      </c>
      <c r="D1794" s="64" t="str">
        <f aca="false">TRIM(LEFT('Onshore - Adelaide'!A545,FIND(CHAR(10),'Onshore - Adelaide'!A545&amp;CHAR(10))-1))</f>
        <v>Torrens University Australia</v>
      </c>
      <c r="E1794" s="63" t="str">
        <f aca="false">'Onshore - Adelaide'!C608&amp;""</f>
        <v>3 years</v>
      </c>
      <c r="F1794" s="63" t="str">
        <f aca="false">IF('Onshore - Adelaide'!D608="","Belum tercatat",'Onshore - Adelaide'!D608)</f>
        <v>Term</v>
      </c>
      <c r="G1794" s="65" t="n">
        <f aca="false">IF('Onshore - Adelaide'!E608="","-",'Onshore - Adelaide'!E608)</f>
        <v>7375</v>
      </c>
      <c r="H1794" s="63" t="n">
        <f aca="false">IF(ISNUMBER(K1794),COUNTIFS($J$6:$J$1916,J1794,$K$6:$K$1916,"&lt;"&amp;K1794)+1,"-")</f>
        <v>1</v>
      </c>
      <c r="I1794" s="64" t="str">
        <f aca="false">IF('Onshore - Adelaide'!E608="","Harga belum tersedia - hubungi konsultan TEG",IF(M1794=2,"Saat ini tidak menerima pendaftaran siswa internasional baru",IF(M1794=1,"Harga perlu dikonfirmasi ke sekolah"&amp;IF(""="","","; "&amp;""),"")))</f>
        <v/>
      </c>
      <c r="J1794" s="0" t="s">
        <v>4521</v>
      </c>
      <c r="K1794" s="0" t="n">
        <f aca="false">IF(M1794=2,"",IF(ISNUMBER(SEARCH("rata-rata:",'Onshore - Adelaide'!M608)),VALUE(MID('Onshore - Adelaide'!M608,SEARCH("rata-rata:",'Onshore - Adelaide'!M608)+11,FIND(";",'Onshore - Adelaide'!M608&amp;";",SEARCH("rata-rata:",'Onshore - Adelaide'!M608))-SEARCH("rata-rata:",'Onshore - Adelaide'!M608)-11)),IF('Onshore - Adelaide'!D608="Semester",'Onshore - Adelaide'!E608*2,IF('Onshore - Adelaide'!D608="Trimester",'Onshore - Adelaide'!E608*3,IF('Onshore - Adelaide'!D608="Term",'Onshore - Adelaide'!E608*4,IF('Onshore - Adelaide'!D608="Unit",'Onshore - Adelaide'!E608*8,""))))))</f>
        <v>29500</v>
      </c>
      <c r="L1794" s="0" t="n">
        <f aca="false">IF(AND(ISNUMBER('Onshore - Adelaide'!E608),ISNUMBER(K1794),ISNUMBER('Onshore - Adelaide'!F608),ISNUMBER('Onshore - Adelaide'!G608),OR('Onshore - Adelaide'!F608&lt;&gt;0,ISNUMBER(SEARCH("Material 0 terverifikasi",'Onshore - Adelaide'!M608))),OR('Onshore - Adelaide'!G608&lt;&gt;0,ISNUMBER(SEARCH("Enrolment 0 terverifikasi",'Onshore - Adelaide'!M608)))),1,0)</f>
        <v>0</v>
      </c>
      <c r="M1794" s="0" t="n">
        <f aca="false">IF(OR('Onshore - Adelaide'!E608="",ISNUMBER(SEARCH("BSB80120",'Onshore - Adelaide'!B608&amp;'Onshore - Adelaide'!M608)),ISNUMBER(SEARCH("Management (Learning)",'Onshore - Adelaide'!B608))),2,IF(ISNUMBER(SEARCH("CEK:",'Onshore - Adelaide'!M608)),1,0))</f>
        <v>0</v>
      </c>
    </row>
    <row r="1795" customFormat="false" ht="15" hidden="false" customHeight="false" outlineLevel="0" collapsed="false">
      <c r="A1795" s="61" t="s">
        <v>4522</v>
      </c>
      <c r="B1795" s="62"/>
      <c r="C1795" s="62"/>
      <c r="D1795" s="62"/>
      <c r="E1795" s="62"/>
      <c r="F1795" s="62"/>
      <c r="G1795" s="62"/>
      <c r="H1795" s="62"/>
      <c r="I1795" s="62"/>
    </row>
    <row r="1796" customFormat="false" ht="15" hidden="false" customHeight="false" outlineLevel="0" collapsed="false">
      <c r="A1796" s="63" t="s">
        <v>3563</v>
      </c>
      <c r="B1796" s="64" t="s">
        <v>3821</v>
      </c>
      <c r="C1796" s="63" t="s">
        <v>41</v>
      </c>
      <c r="D1796" s="64" t="str">
        <f aca="false">TRIM(LEFT('Onshore - Brisbane'!A53,FIND(CHAR(10),'Onshore - Brisbane'!A53&amp;CHAR(10))-1))</f>
        <v>Australian Catholic University (ACU)</v>
      </c>
      <c r="E1796" s="63" t="str">
        <f aca="false">'Onshore - Brisbane'!C152&amp;""</f>
        <v>1 year</v>
      </c>
      <c r="F1796" s="63" t="str">
        <f aca="false">IF('Onshore - Brisbane'!D152="","Belum tercatat",'Onshore - Brisbane'!D152)</f>
        <v>Term</v>
      </c>
      <c r="G1796" s="65" t="n">
        <f aca="false">IF('Onshore - Brisbane'!E152="","-",'Onshore - Brisbane'!E152)</f>
        <v>8906</v>
      </c>
      <c r="H1796" s="63" t="n">
        <f aca="false">IF(ISNUMBER(K1796),COUNTIFS($J$6:$J$1916,J1796,$K$6:$K$1916,"&lt;"&amp;K1796)+1,"-")</f>
        <v>1</v>
      </c>
      <c r="I1796" s="64" t="str">
        <f aca="false">IF('Onshore - Brisbane'!E152="","Harga belum tersedia - hubungi konsultan TEG",IF(M1796=2,"Saat ini tidak menerima pendaftaran siswa internasional baru",IF(M1796=1,"Harga perlu dikonfirmasi ke sekolah"&amp;IF(""="","","; "&amp;""),"")))</f>
        <v/>
      </c>
      <c r="J1796" s="0" t="s">
        <v>4523</v>
      </c>
      <c r="K1796" s="0" t="n">
        <f aca="false">IF(M1796=2,"",IF(ISNUMBER(SEARCH("rata-rata:",'Onshore - Brisbane'!M152)),VALUE(MID('Onshore - Brisbane'!M152,SEARCH("rata-rata:",'Onshore - Brisbane'!M152)+11,FIND(";",'Onshore - Brisbane'!M152&amp;";",SEARCH("rata-rata:",'Onshore - Brisbane'!M152))-SEARCH("rata-rata:",'Onshore - Brisbane'!M152)-11)),IF('Onshore - Brisbane'!D152="Semester",'Onshore - Brisbane'!E152*2,IF('Onshore - Brisbane'!D152="Trimester",'Onshore - Brisbane'!E152*3,IF('Onshore - Brisbane'!D152="Term",'Onshore - Brisbane'!E152*4,IF('Onshore - Brisbane'!D152="Unit",'Onshore - Brisbane'!E152*8,""))))))</f>
        <v>35624</v>
      </c>
      <c r="L1796" s="0" t="n">
        <f aca="false">IF(AND(ISNUMBER('Onshore - Brisbane'!E152),ISNUMBER(K1796),ISNUMBER('Onshore - Brisbane'!F152),ISNUMBER('Onshore - Brisbane'!G152),OR('Onshore - Brisbane'!F152&lt;&gt;0,ISNUMBER(SEARCH("Material 0 terverifikasi",'Onshore - Brisbane'!M152))),OR('Onshore - Brisbane'!G152&lt;&gt;0,ISNUMBER(SEARCH("Enrolment 0 terverifikasi",'Onshore - Brisbane'!M152)))),1,0)</f>
        <v>0</v>
      </c>
      <c r="M1796" s="0" t="n">
        <f aca="false">IF(OR('Onshore - Brisbane'!E152="",ISNUMBER(SEARCH("BSB80120",'Onshore - Brisbane'!B152&amp;'Onshore - Brisbane'!M152)),ISNUMBER(SEARCH("Management (Learning)",'Onshore - Brisbane'!B152))),2,IF(ISNUMBER(SEARCH("CEK:",'Onshore - Brisbane'!M152)),1,0))</f>
        <v>0</v>
      </c>
    </row>
    <row r="1797" customFormat="false" ht="15" hidden="false" customHeight="false" outlineLevel="0" collapsed="false">
      <c r="A1797" s="61" t="s">
        <v>4524</v>
      </c>
      <c r="B1797" s="62"/>
      <c r="C1797" s="62"/>
      <c r="D1797" s="62"/>
      <c r="E1797" s="62"/>
      <c r="F1797" s="62"/>
      <c r="G1797" s="62"/>
      <c r="H1797" s="62"/>
      <c r="I1797" s="62"/>
    </row>
    <row r="1798" customFormat="false" ht="15" hidden="false" customHeight="false" outlineLevel="0" collapsed="false">
      <c r="A1798" s="63" t="s">
        <v>3563</v>
      </c>
      <c r="B1798" s="64" t="s">
        <v>3821</v>
      </c>
      <c r="C1798" s="63" t="s">
        <v>43</v>
      </c>
      <c r="D1798" s="64" t="str">
        <f aca="false">TRIM(LEFT('Onshore - Brisbane'!A53,FIND(CHAR(10),'Onshore - Brisbane'!A53&amp;CHAR(10))-1))</f>
        <v>Australian Catholic University (ACU)</v>
      </c>
      <c r="E1798" s="63" t="str">
        <f aca="false">'Onshore - Brisbane'!C141&amp;""</f>
        <v>3 years</v>
      </c>
      <c r="F1798" s="63" t="str">
        <f aca="false">IF('Onshore - Brisbane'!D141="","Belum tercatat",'Onshore - Brisbane'!D141)</f>
        <v>Term</v>
      </c>
      <c r="G1798" s="65" t="n">
        <f aca="false">IF('Onshore - Brisbane'!E141="","-",'Onshore - Brisbane'!E141)</f>
        <v>7162</v>
      </c>
      <c r="H1798" s="63" t="n">
        <f aca="false">IF(ISNUMBER(K1798),COUNTIFS($J$6:$J$1916,J1798,$K$6:$K$1916,"&lt;"&amp;K1798)+1,"-")</f>
        <v>1</v>
      </c>
      <c r="I1798" s="64" t="str">
        <f aca="false">IF('Onshore - Brisbane'!E141="","Harga belum tersedia - hubungi konsultan TEG",IF(M1798=2,"Saat ini tidak menerima pendaftaran siswa internasional baru",IF(M1798=1,"Harga perlu dikonfirmasi ke sekolah"&amp;IF(""="","","; "&amp;""),"")))</f>
        <v/>
      </c>
      <c r="J1798" s="0" t="s">
        <v>4525</v>
      </c>
      <c r="K1798" s="0" t="n">
        <f aca="false">IF(M1798=2,"",IF(ISNUMBER(SEARCH("rata-rata:",'Onshore - Brisbane'!M141)),VALUE(MID('Onshore - Brisbane'!M141,SEARCH("rata-rata:",'Onshore - Brisbane'!M141)+11,FIND(";",'Onshore - Brisbane'!M141&amp;";",SEARCH("rata-rata:",'Onshore - Brisbane'!M141))-SEARCH("rata-rata:",'Onshore - Brisbane'!M141)-11)),IF('Onshore - Brisbane'!D141="Semester",'Onshore - Brisbane'!E141*2,IF('Onshore - Brisbane'!D141="Trimester",'Onshore - Brisbane'!E141*3,IF('Onshore - Brisbane'!D141="Term",'Onshore - Brisbane'!E141*4,IF('Onshore - Brisbane'!D141="Unit",'Onshore - Brisbane'!E141*8,""))))))</f>
        <v>28648</v>
      </c>
      <c r="L1798" s="0" t="n">
        <f aca="false">IF(AND(ISNUMBER('Onshore - Brisbane'!E141),ISNUMBER(K1798),ISNUMBER('Onshore - Brisbane'!F141),ISNUMBER('Onshore - Brisbane'!G141),OR('Onshore - Brisbane'!F141&lt;&gt;0,ISNUMBER(SEARCH("Material 0 terverifikasi",'Onshore - Brisbane'!M141))),OR('Onshore - Brisbane'!G141&lt;&gt;0,ISNUMBER(SEARCH("Enrolment 0 terverifikasi",'Onshore - Brisbane'!M141)))),1,0)</f>
        <v>0</v>
      </c>
      <c r="M1798" s="0" t="n">
        <f aca="false">IF(OR('Onshore - Brisbane'!E141="",ISNUMBER(SEARCH("BSB80120",'Onshore - Brisbane'!B141&amp;'Onshore - Brisbane'!M141)),ISNUMBER(SEARCH("Management (Learning)",'Onshore - Brisbane'!B141))),2,IF(ISNUMBER(SEARCH("CEK:",'Onshore - Brisbane'!M141)),1,0))</f>
        <v>0</v>
      </c>
    </row>
    <row r="1799" customFormat="false" ht="15" hidden="false" customHeight="false" outlineLevel="0" collapsed="false">
      <c r="A1799" s="61" t="s">
        <v>4526</v>
      </c>
      <c r="B1799" s="62"/>
      <c r="C1799" s="62"/>
      <c r="D1799" s="62"/>
      <c r="E1799" s="62"/>
      <c r="F1799" s="62"/>
      <c r="G1799" s="62"/>
      <c r="H1799" s="62"/>
      <c r="I1799" s="62"/>
    </row>
    <row r="1800" customFormat="false" ht="15" hidden="false" customHeight="false" outlineLevel="0" collapsed="false">
      <c r="A1800" s="63" t="s">
        <v>3563</v>
      </c>
      <c r="B1800" s="64" t="s">
        <v>3821</v>
      </c>
      <c r="C1800" s="63" t="s">
        <v>3707</v>
      </c>
      <c r="D1800" s="64" t="str">
        <f aca="false">TRIM(LEFT('Onshore - Brisbane'!A307,FIND(CHAR(10),'Onshore - Brisbane'!A307&amp;CHAR(10))-1))</f>
        <v>Torrens University Australia</v>
      </c>
      <c r="E1800" s="63" t="str">
        <f aca="false">'Onshore - Brisbane'!C383&amp;""</f>
        <v>0,5 year</v>
      </c>
      <c r="F1800" s="63" t="str">
        <f aca="false">IF('Onshore - Brisbane'!D383="","Belum tercatat",'Onshore - Brisbane'!D383)</f>
        <v>Term</v>
      </c>
      <c r="G1800" s="65" t="n">
        <f aca="false">IF('Onshore - Brisbane'!E383="","-",'Onshore - Brisbane'!E383)</f>
        <v>3688</v>
      </c>
      <c r="H1800" s="63" t="n">
        <f aca="false">IF(ISNUMBER(K1800),COUNTIFS($J$6:$J$1916,J1800,$K$6:$K$1916,"&lt;"&amp;K1800)+1,"-")</f>
        <v>1</v>
      </c>
      <c r="I1800" s="64" t="str">
        <f aca="false">IF('Onshore - Brisbane'!E383="","Harga belum tersedia - hubungi konsultan TEG",IF(M1800=2,"Saat ini tidak menerima pendaftaran siswa internasional baru",IF(M1800=1,"Harga perlu dikonfirmasi ke sekolah"&amp;IF(""="","","; "&amp;""),"")))</f>
        <v/>
      </c>
      <c r="J1800" s="0" t="s">
        <v>4527</v>
      </c>
      <c r="K1800" s="0" t="n">
        <f aca="false">IF(M1800=2,"",IF(ISNUMBER(SEARCH("rata-rata:",'Onshore - Brisbane'!M383)),VALUE(MID('Onshore - Brisbane'!M383,SEARCH("rata-rata:",'Onshore - Brisbane'!M383)+11,FIND(";",'Onshore - Brisbane'!M383&amp;";",SEARCH("rata-rata:",'Onshore - Brisbane'!M383))-SEARCH("rata-rata:",'Onshore - Brisbane'!M383)-11)),IF('Onshore - Brisbane'!D383="Semester",'Onshore - Brisbane'!E383*2,IF('Onshore - Brisbane'!D383="Trimester",'Onshore - Brisbane'!E383*3,IF('Onshore - Brisbane'!D383="Term",'Onshore - Brisbane'!E383*4,IF('Onshore - Brisbane'!D383="Unit",'Onshore - Brisbane'!E383*8,""))))))</f>
        <v>14752</v>
      </c>
      <c r="L1800" s="0" t="n">
        <f aca="false">IF(AND(ISNUMBER('Onshore - Brisbane'!E383),ISNUMBER(K1800),ISNUMBER('Onshore - Brisbane'!F383),ISNUMBER('Onshore - Brisbane'!G383),OR('Onshore - Brisbane'!F383&lt;&gt;0,ISNUMBER(SEARCH("Material 0 terverifikasi",'Onshore - Brisbane'!M383))),OR('Onshore - Brisbane'!G383&lt;&gt;0,ISNUMBER(SEARCH("Enrolment 0 terverifikasi",'Onshore - Brisbane'!M383)))),1,0)</f>
        <v>0</v>
      </c>
      <c r="M1800" s="0" t="n">
        <f aca="false">IF(OR('Onshore - Brisbane'!E383="",ISNUMBER(SEARCH("BSB80120",'Onshore - Brisbane'!B383&amp;'Onshore - Brisbane'!M383)),ISNUMBER(SEARCH("Management (Learning)",'Onshore - Brisbane'!B383))),2,IF(ISNUMBER(SEARCH("CEK:",'Onshore - Brisbane'!M383)),1,0))</f>
        <v>0</v>
      </c>
    </row>
    <row r="1801" customFormat="false" ht="15" hidden="false" customHeight="false" outlineLevel="0" collapsed="false">
      <c r="A1801" s="61" t="s">
        <v>4528</v>
      </c>
      <c r="B1801" s="62"/>
      <c r="C1801" s="62"/>
      <c r="D1801" s="62"/>
      <c r="E1801" s="62"/>
      <c r="F1801" s="62"/>
      <c r="G1801" s="62"/>
      <c r="H1801" s="62"/>
      <c r="I1801" s="62"/>
    </row>
    <row r="1802" customFormat="false" ht="15" hidden="false" customHeight="false" outlineLevel="0" collapsed="false">
      <c r="A1802" s="63" t="s">
        <v>3563</v>
      </c>
      <c r="B1802" s="64" t="s">
        <v>3821</v>
      </c>
      <c r="C1802" s="63" t="s">
        <v>46</v>
      </c>
      <c r="D1802" s="64" t="str">
        <f aca="false">TRIM(LEFT('Onshore - Brisbane'!A307,FIND(CHAR(10),'Onshore - Brisbane'!A307&amp;CHAR(10))-1))</f>
        <v>Torrens University Australia</v>
      </c>
      <c r="E1802" s="63" t="str">
        <f aca="false">'Onshore - Brisbane'!C385&amp;""</f>
        <v>2 years</v>
      </c>
      <c r="F1802" s="63" t="str">
        <f aca="false">IF('Onshore - Brisbane'!D385="","Belum tercatat",'Onshore - Brisbane'!D385)</f>
        <v>Term</v>
      </c>
      <c r="G1802" s="65" t="n">
        <f aca="false">IF('Onshore - Brisbane'!E385="","-",'Onshore - Brisbane'!E385)</f>
        <v>7375</v>
      </c>
      <c r="H1802" s="63" t="n">
        <f aca="false">IF(ISNUMBER(K1802),COUNTIFS($J$6:$J$1916,J1802,$K$6:$K$1916,"&lt;"&amp;K1802)+1,"-")</f>
        <v>1</v>
      </c>
      <c r="I1802" s="64" t="str">
        <f aca="false">IF('Onshore - Brisbane'!E385="","Harga belum tersedia - hubungi konsultan TEG",IF(M1802=2,"Saat ini tidak menerima pendaftaran siswa internasional baru",IF(M1802=1,"Harga perlu dikonfirmasi ke sekolah"&amp;IF(""="","","; "&amp;""),"")))</f>
        <v/>
      </c>
      <c r="J1802" s="0" t="s">
        <v>4529</v>
      </c>
      <c r="K1802" s="0" t="n">
        <f aca="false">IF(M1802=2,"",IF(ISNUMBER(SEARCH("rata-rata:",'Onshore - Brisbane'!M385)),VALUE(MID('Onshore - Brisbane'!M385,SEARCH("rata-rata:",'Onshore - Brisbane'!M385)+11,FIND(";",'Onshore - Brisbane'!M385&amp;";",SEARCH("rata-rata:",'Onshore - Brisbane'!M385))-SEARCH("rata-rata:",'Onshore - Brisbane'!M385)-11)),IF('Onshore - Brisbane'!D385="Semester",'Onshore - Brisbane'!E385*2,IF('Onshore - Brisbane'!D385="Trimester",'Onshore - Brisbane'!E385*3,IF('Onshore - Brisbane'!D385="Term",'Onshore - Brisbane'!E385*4,IF('Onshore - Brisbane'!D385="Unit",'Onshore - Brisbane'!E385*8,""))))))</f>
        <v>29500</v>
      </c>
      <c r="L1802" s="0" t="n">
        <f aca="false">IF(AND(ISNUMBER('Onshore - Brisbane'!E385),ISNUMBER(K1802),ISNUMBER('Onshore - Brisbane'!F385),ISNUMBER('Onshore - Brisbane'!G385),OR('Onshore - Brisbane'!F385&lt;&gt;0,ISNUMBER(SEARCH("Material 0 terverifikasi",'Onshore - Brisbane'!M385))),OR('Onshore - Brisbane'!G385&lt;&gt;0,ISNUMBER(SEARCH("Enrolment 0 terverifikasi",'Onshore - Brisbane'!M385)))),1,0)</f>
        <v>0</v>
      </c>
      <c r="M1802" s="0" t="n">
        <f aca="false">IF(OR('Onshore - Brisbane'!E385="",ISNUMBER(SEARCH("BSB80120",'Onshore - Brisbane'!B385&amp;'Onshore - Brisbane'!M385)),ISNUMBER(SEARCH("Management (Learning)",'Onshore - Brisbane'!B385))),2,IF(ISNUMBER(SEARCH("CEK:",'Onshore - Brisbane'!M385)),1,0))</f>
        <v>0</v>
      </c>
    </row>
    <row r="1803" customFormat="false" ht="15" hidden="false" customHeight="false" outlineLevel="0" collapsed="false">
      <c r="A1803" s="63" t="s">
        <v>3563</v>
      </c>
      <c r="B1803" s="64" t="s">
        <v>3821</v>
      </c>
      <c r="C1803" s="63" t="s">
        <v>46</v>
      </c>
      <c r="D1803" s="64" t="str">
        <f aca="false">TRIM(LEFT('Onshore - Brisbane'!A175,FIND(CHAR(10),'Onshore - Brisbane'!A175&amp;CHAR(10))-1))</f>
        <v>Charles Darwin University (CDU)</v>
      </c>
      <c r="E1803" s="63" t="str">
        <f aca="false">'Onshore - Brisbane'!C178&amp;""</f>
        <v>2 years</v>
      </c>
      <c r="F1803" s="63" t="str">
        <f aca="false">IF('Onshore - Brisbane'!D178="","Belum tercatat",'Onshore - Brisbane'!D178)</f>
        <v>Term</v>
      </c>
      <c r="G1803" s="65" t="n">
        <f aca="false">IF('Onshore - Brisbane'!E178="","-",'Onshore - Brisbane'!E178)</f>
        <v>7784</v>
      </c>
      <c r="H1803" s="63" t="n">
        <f aca="false">IF(ISNUMBER(K1803),COUNTIFS($J$6:$J$1916,J1803,$K$6:$K$1916,"&lt;"&amp;K1803)+1,"-")</f>
        <v>2</v>
      </c>
      <c r="I1803" s="64" t="str">
        <f aca="false">IF('Onshore - Brisbane'!E178="","Harga belum tersedia - hubungi konsultan TEG",IF(M1803=2,"Saat ini tidak menerima pendaftaran siswa internasional baru",IF(M1803=1,"Harga perlu dikonfirmasi ke sekolah"&amp;IF(""="","","; "&amp;""),"")))</f>
        <v>Harga perlu dikonfirmasi ke sekolah</v>
      </c>
      <c r="J1803" s="0" t="s">
        <v>4529</v>
      </c>
      <c r="K1803" s="0" t="n">
        <f aca="false">IF(M1803=2,"",IF(ISNUMBER(SEARCH("rata-rata:",'Onshore - Brisbane'!M178)),VALUE(MID('Onshore - Brisbane'!M178,SEARCH("rata-rata:",'Onshore - Brisbane'!M178)+11,FIND(";",'Onshore - Brisbane'!M178&amp;";",SEARCH("rata-rata:",'Onshore - Brisbane'!M178))-SEARCH("rata-rata:",'Onshore - Brisbane'!M178)-11)),IF('Onshore - Brisbane'!D178="Semester",'Onshore - Brisbane'!E178*2,IF('Onshore - Brisbane'!D178="Trimester",'Onshore - Brisbane'!E178*3,IF('Onshore - Brisbane'!D178="Term",'Onshore - Brisbane'!E178*4,IF('Onshore - Brisbane'!D178="Unit",'Onshore - Brisbane'!E178*8,""))))))</f>
        <v>31136</v>
      </c>
      <c r="L1803" s="0" t="n">
        <f aca="false">IF(AND(ISNUMBER('Onshore - Brisbane'!E178),ISNUMBER(K1803),ISNUMBER('Onshore - Brisbane'!F178),ISNUMBER('Onshore - Brisbane'!G178),OR('Onshore - Brisbane'!F178&lt;&gt;0,ISNUMBER(SEARCH("Material 0 terverifikasi",'Onshore - Brisbane'!M178))),OR('Onshore - Brisbane'!G178&lt;&gt;0,ISNUMBER(SEARCH("Enrolment 0 terverifikasi",'Onshore - Brisbane'!M178)))),1,0)</f>
        <v>0</v>
      </c>
      <c r="M1803" s="0" t="n">
        <f aca="false">IF(OR('Onshore - Brisbane'!E178="",ISNUMBER(SEARCH("BSB80120",'Onshore - Brisbane'!B178&amp;'Onshore - Brisbane'!M178)),ISNUMBER(SEARCH("Management (Learning)",'Onshore - Brisbane'!B178))),2,IF(ISNUMBER(SEARCH("CEK:",'Onshore - Brisbane'!M178)),1,0))</f>
        <v>1</v>
      </c>
    </row>
    <row r="1804" customFormat="false" ht="15" hidden="false" customHeight="false" outlineLevel="0" collapsed="false">
      <c r="A1804" s="63" t="s">
        <v>3563</v>
      </c>
      <c r="B1804" s="64" t="s">
        <v>3821</v>
      </c>
      <c r="C1804" s="63" t="s">
        <v>46</v>
      </c>
      <c r="D1804" s="64" t="str">
        <f aca="false">TRIM(LEFT('Onshore - Brisbane'!A53,FIND(CHAR(10),'Onshore - Brisbane'!A53&amp;CHAR(10))-1))</f>
        <v>Australian Catholic University (ACU)</v>
      </c>
      <c r="E1804" s="63" t="str">
        <f aca="false">'Onshore - Brisbane'!C145&amp;""</f>
        <v>2 years</v>
      </c>
      <c r="F1804" s="63" t="str">
        <f aca="false">IF('Onshore - Brisbane'!D145="","Belum tercatat",'Onshore - Brisbane'!D145)</f>
        <v>Term</v>
      </c>
      <c r="G1804" s="65" t="n">
        <f aca="false">IF('Onshore - Brisbane'!E145="","-",'Onshore - Brisbane'!E145)</f>
        <v>8682</v>
      </c>
      <c r="H1804" s="63" t="n">
        <f aca="false">IF(ISNUMBER(K1804),COUNTIFS($J$6:$J$1916,J1804,$K$6:$K$1916,"&lt;"&amp;K1804)+1,"-")</f>
        <v>3</v>
      </c>
      <c r="I1804" s="64" t="str">
        <f aca="false">IF('Onshore - Brisbane'!E145="","Harga belum tersedia - hubungi konsultan TEG",IF(M1804=2,"Saat ini tidak menerima pendaftaran siswa internasional baru",IF(M1804=1,"Harga perlu dikonfirmasi ke sekolah"&amp;IF(""="","","; "&amp;""),"")))</f>
        <v/>
      </c>
      <c r="J1804" s="0" t="s">
        <v>4529</v>
      </c>
      <c r="K1804" s="0" t="n">
        <f aca="false">IF(M1804=2,"",IF(ISNUMBER(SEARCH("rata-rata:",'Onshore - Brisbane'!M145)),VALUE(MID('Onshore - Brisbane'!M145,SEARCH("rata-rata:",'Onshore - Brisbane'!M145)+11,FIND(";",'Onshore - Brisbane'!M145&amp;";",SEARCH("rata-rata:",'Onshore - Brisbane'!M145))-SEARCH("rata-rata:",'Onshore - Brisbane'!M145)-11)),IF('Onshore - Brisbane'!D145="Semester",'Onshore - Brisbane'!E145*2,IF('Onshore - Brisbane'!D145="Trimester",'Onshore - Brisbane'!E145*3,IF('Onshore - Brisbane'!D145="Term",'Onshore - Brisbane'!E145*4,IF('Onshore - Brisbane'!D145="Unit",'Onshore - Brisbane'!E145*8,""))))))</f>
        <v>34728</v>
      </c>
      <c r="L1804" s="0" t="n">
        <f aca="false">IF(AND(ISNUMBER('Onshore - Brisbane'!E145),ISNUMBER(K1804),ISNUMBER('Onshore - Brisbane'!F145),ISNUMBER('Onshore - Brisbane'!G145),OR('Onshore - Brisbane'!F145&lt;&gt;0,ISNUMBER(SEARCH("Material 0 terverifikasi",'Onshore - Brisbane'!M145))),OR('Onshore - Brisbane'!G145&lt;&gt;0,ISNUMBER(SEARCH("Enrolment 0 terverifikasi",'Onshore - Brisbane'!M145)))),1,0)</f>
        <v>0</v>
      </c>
      <c r="M1804" s="0" t="n">
        <f aca="false">IF(OR('Onshore - Brisbane'!E145="",ISNUMBER(SEARCH("BSB80120",'Onshore - Brisbane'!B145&amp;'Onshore - Brisbane'!M145)),ISNUMBER(SEARCH("Management (Learning)",'Onshore - Brisbane'!B145))),2,IF(ISNUMBER(SEARCH("CEK:",'Onshore - Brisbane'!M145)),1,0))</f>
        <v>0</v>
      </c>
    </row>
    <row r="1805" customFormat="false" ht="15" hidden="false" customHeight="false" outlineLevel="0" collapsed="false">
      <c r="A1805" s="61" t="s">
        <v>4530</v>
      </c>
      <c r="B1805" s="62"/>
      <c r="C1805" s="62"/>
      <c r="D1805" s="62"/>
      <c r="E1805" s="62"/>
      <c r="F1805" s="62"/>
      <c r="G1805" s="62"/>
      <c r="H1805" s="62"/>
      <c r="I1805" s="62"/>
    </row>
    <row r="1806" customFormat="false" ht="15" hidden="false" customHeight="false" outlineLevel="0" collapsed="false">
      <c r="A1806" s="63" t="s">
        <v>3563</v>
      </c>
      <c r="B1806" s="64" t="s">
        <v>3821</v>
      </c>
      <c r="C1806" s="63" t="s">
        <v>4222</v>
      </c>
      <c r="D1806" s="64" t="str">
        <f aca="false">TRIM(LEFT('Onshore - Brisbane'!A307,FIND(CHAR(10),'Onshore - Brisbane'!A307&amp;CHAR(10))-1))</f>
        <v>Torrens University Australia</v>
      </c>
      <c r="E1806" s="63" t="str">
        <f aca="false">'Onshore - Brisbane'!C387&amp;""</f>
        <v>3 years</v>
      </c>
      <c r="F1806" s="63" t="str">
        <f aca="false">IF('Onshore - Brisbane'!D387="","Belum tercatat",'Onshore - Brisbane'!D387)</f>
        <v>Term</v>
      </c>
      <c r="G1806" s="65" t="n">
        <f aca="false">IF('Onshore - Brisbane'!E387="","-",'Onshore - Brisbane'!E387)</f>
        <v>7375</v>
      </c>
      <c r="H1806" s="63" t="n">
        <f aca="false">IF(ISNUMBER(K1806),COUNTIFS($J$6:$J$1916,J1806,$K$6:$K$1916,"&lt;"&amp;K1806)+1,"-")</f>
        <v>1</v>
      </c>
      <c r="I1806" s="64" t="str">
        <f aca="false">IF('Onshore - Brisbane'!E387="","Harga belum tersedia - hubungi konsultan TEG",IF(M1806=2,"Saat ini tidak menerima pendaftaran siswa internasional baru",IF(M1806=1,"Harga perlu dikonfirmasi ke sekolah"&amp;IF(""="","","; "&amp;""),"")))</f>
        <v/>
      </c>
      <c r="J1806" s="0" t="s">
        <v>4531</v>
      </c>
      <c r="K1806" s="0" t="n">
        <f aca="false">IF(M1806=2,"",IF(ISNUMBER(SEARCH("rata-rata:",'Onshore - Brisbane'!M387)),VALUE(MID('Onshore - Brisbane'!M387,SEARCH("rata-rata:",'Onshore - Brisbane'!M387)+11,FIND(";",'Onshore - Brisbane'!M387&amp;";",SEARCH("rata-rata:",'Onshore - Brisbane'!M387))-SEARCH("rata-rata:",'Onshore - Brisbane'!M387)-11)),IF('Onshore - Brisbane'!D387="Semester",'Onshore - Brisbane'!E387*2,IF('Onshore - Brisbane'!D387="Trimester",'Onshore - Brisbane'!E387*3,IF('Onshore - Brisbane'!D387="Term",'Onshore - Brisbane'!E387*4,IF('Onshore - Brisbane'!D387="Unit",'Onshore - Brisbane'!E387*8,""))))))</f>
        <v>29500</v>
      </c>
      <c r="L1806" s="0" t="n">
        <f aca="false">IF(AND(ISNUMBER('Onshore - Brisbane'!E387),ISNUMBER(K1806),ISNUMBER('Onshore - Brisbane'!F387),ISNUMBER('Onshore - Brisbane'!G387),OR('Onshore - Brisbane'!F387&lt;&gt;0,ISNUMBER(SEARCH("Material 0 terverifikasi",'Onshore - Brisbane'!M387))),OR('Onshore - Brisbane'!G387&lt;&gt;0,ISNUMBER(SEARCH("Enrolment 0 terverifikasi",'Onshore - Brisbane'!M387)))),1,0)</f>
        <v>0</v>
      </c>
      <c r="M1806" s="0" t="n">
        <f aca="false">IF(OR('Onshore - Brisbane'!E387="",ISNUMBER(SEARCH("BSB80120",'Onshore - Brisbane'!B387&amp;'Onshore - Brisbane'!M387)),ISNUMBER(SEARCH("Management (Learning)",'Onshore - Brisbane'!B387))),2,IF(ISNUMBER(SEARCH("CEK:",'Onshore - Brisbane'!M387)),1,0))</f>
        <v>0</v>
      </c>
    </row>
    <row r="1807" customFormat="false" ht="15" hidden="false" customHeight="false" outlineLevel="0" collapsed="false">
      <c r="A1807" s="63" t="s">
        <v>3563</v>
      </c>
      <c r="B1807" s="64" t="s">
        <v>3821</v>
      </c>
      <c r="C1807" s="63" t="s">
        <v>4222</v>
      </c>
      <c r="D1807" s="64" t="str">
        <f aca="false">TRIM(LEFT('Onshore - Brisbane'!A175,FIND(CHAR(10),'Onshore - Brisbane'!A175&amp;CHAR(10))-1))</f>
        <v>Charles Darwin University (CDU)</v>
      </c>
      <c r="E1807" s="63" t="str">
        <f aca="false">'Onshore - Brisbane'!C176&amp;""</f>
        <v>4 years</v>
      </c>
      <c r="F1807" s="63" t="str">
        <f aca="false">IF('Onshore - Brisbane'!D176="","Belum tercatat",'Onshore - Brisbane'!D176)</f>
        <v>Term</v>
      </c>
      <c r="G1807" s="65" t="n">
        <f aca="false">IF('Onshore - Brisbane'!E176="","-",'Onshore - Brisbane'!E176)</f>
        <v>7784</v>
      </c>
      <c r="H1807" s="63" t="n">
        <f aca="false">IF(ISNUMBER(K1807),COUNTIFS($J$6:$J$1916,J1807,$K$6:$K$1916,"&lt;"&amp;K1807)+1,"-")</f>
        <v>2</v>
      </c>
      <c r="I1807" s="64" t="str">
        <f aca="false">IF('Onshore - Brisbane'!E176="","Harga belum tersedia - hubungi konsultan TEG",IF(M1807=2,"Saat ini tidak menerima pendaftaran siswa internasional baru",IF(M1807=1,"Harga perlu dikonfirmasi ke sekolah"&amp;IF(""="","","; "&amp;""),"")))</f>
        <v>Harga perlu dikonfirmasi ke sekolah</v>
      </c>
      <c r="J1807" s="0" t="s">
        <v>4531</v>
      </c>
      <c r="K1807" s="0" t="n">
        <f aca="false">IF(M1807=2,"",IF(ISNUMBER(SEARCH("rata-rata:",'Onshore - Brisbane'!M176)),VALUE(MID('Onshore - Brisbane'!M176,SEARCH("rata-rata:",'Onshore - Brisbane'!M176)+11,FIND(";",'Onshore - Brisbane'!M176&amp;";",SEARCH("rata-rata:",'Onshore - Brisbane'!M176))-SEARCH("rata-rata:",'Onshore - Brisbane'!M176)-11)),IF('Onshore - Brisbane'!D176="Semester",'Onshore - Brisbane'!E176*2,IF('Onshore - Brisbane'!D176="Trimester",'Onshore - Brisbane'!E176*3,IF('Onshore - Brisbane'!D176="Term",'Onshore - Brisbane'!E176*4,IF('Onshore - Brisbane'!D176="Unit",'Onshore - Brisbane'!E176*8,""))))))</f>
        <v>31136</v>
      </c>
      <c r="L1807" s="0" t="n">
        <f aca="false">IF(AND(ISNUMBER('Onshore - Brisbane'!E176),ISNUMBER(K1807),ISNUMBER('Onshore - Brisbane'!F176),ISNUMBER('Onshore - Brisbane'!G176),OR('Onshore - Brisbane'!F176&lt;&gt;0,ISNUMBER(SEARCH("Material 0 terverifikasi",'Onshore - Brisbane'!M176))),OR('Onshore - Brisbane'!G176&lt;&gt;0,ISNUMBER(SEARCH("Enrolment 0 terverifikasi",'Onshore - Brisbane'!M176)))),1,0)</f>
        <v>0</v>
      </c>
      <c r="M1807" s="0" t="n">
        <f aca="false">IF(OR('Onshore - Brisbane'!E176="",ISNUMBER(SEARCH("BSB80120",'Onshore - Brisbane'!B176&amp;'Onshore - Brisbane'!M176)),ISNUMBER(SEARCH("Management (Learning)",'Onshore - Brisbane'!B176))),2,IF(ISNUMBER(SEARCH("CEK:",'Onshore - Brisbane'!M176)),1,0))</f>
        <v>1</v>
      </c>
    </row>
    <row r="1808" customFormat="false" ht="15" hidden="false" customHeight="false" outlineLevel="0" collapsed="false">
      <c r="A1808" s="63" t="s">
        <v>3563</v>
      </c>
      <c r="B1808" s="64" t="s">
        <v>3821</v>
      </c>
      <c r="C1808" s="63" t="s">
        <v>4222</v>
      </c>
      <c r="D1808" s="64" t="str">
        <f aca="false">TRIM(LEFT('Onshore - Brisbane'!A53,FIND(CHAR(10),'Onshore - Brisbane'!A53&amp;CHAR(10))-1))</f>
        <v>Australian Catholic University (ACU)</v>
      </c>
      <c r="E1808" s="63" t="str">
        <f aca="false">'Onshore - Brisbane'!C143&amp;""</f>
        <v>3 years</v>
      </c>
      <c r="F1808" s="63" t="str">
        <f aca="false">IF('Onshore - Brisbane'!D143="","Belum tercatat",'Onshore - Brisbane'!D143)</f>
        <v>Term</v>
      </c>
      <c r="G1808" s="65" t="n">
        <f aca="false">IF('Onshore - Brisbane'!E143="","-",'Onshore - Brisbane'!E143)</f>
        <v>8682</v>
      </c>
      <c r="H1808" s="63" t="n">
        <f aca="false">IF(ISNUMBER(K1808),COUNTIFS($J$6:$J$1916,J1808,$K$6:$K$1916,"&lt;"&amp;K1808)+1,"-")</f>
        <v>3</v>
      </c>
      <c r="I1808" s="64" t="str">
        <f aca="false">IF('Onshore - Brisbane'!E143="","Harga belum tersedia - hubungi konsultan TEG",IF(M1808=2,"Saat ini tidak menerima pendaftaran siswa internasional baru",IF(M1808=1,"Harga perlu dikonfirmasi ke sekolah"&amp;IF(""="","","; "&amp;""),"")))</f>
        <v/>
      </c>
      <c r="J1808" s="0" t="s">
        <v>4531</v>
      </c>
      <c r="K1808" s="0" t="n">
        <f aca="false">IF(M1808=2,"",IF(ISNUMBER(SEARCH("rata-rata:",'Onshore - Brisbane'!M143)),VALUE(MID('Onshore - Brisbane'!M143,SEARCH("rata-rata:",'Onshore - Brisbane'!M143)+11,FIND(";",'Onshore - Brisbane'!M143&amp;";",SEARCH("rata-rata:",'Onshore - Brisbane'!M143))-SEARCH("rata-rata:",'Onshore - Brisbane'!M143)-11)),IF('Onshore - Brisbane'!D143="Semester",'Onshore - Brisbane'!E143*2,IF('Onshore - Brisbane'!D143="Trimester",'Onshore - Brisbane'!E143*3,IF('Onshore - Brisbane'!D143="Term",'Onshore - Brisbane'!E143*4,IF('Onshore - Brisbane'!D143="Unit",'Onshore - Brisbane'!E143*8,""))))))</f>
        <v>34728</v>
      </c>
      <c r="L1808" s="0" t="n">
        <f aca="false">IF(AND(ISNUMBER('Onshore - Brisbane'!E143),ISNUMBER(K1808),ISNUMBER('Onshore - Brisbane'!F143),ISNUMBER('Onshore - Brisbane'!G143),OR('Onshore - Brisbane'!F143&lt;&gt;0,ISNUMBER(SEARCH("Material 0 terverifikasi",'Onshore - Brisbane'!M143))),OR('Onshore - Brisbane'!G143&lt;&gt;0,ISNUMBER(SEARCH("Enrolment 0 terverifikasi",'Onshore - Brisbane'!M143)))),1,0)</f>
        <v>0</v>
      </c>
      <c r="M1808" s="0" t="n">
        <f aca="false">IF(OR('Onshore - Brisbane'!E143="",ISNUMBER(SEARCH("BSB80120",'Onshore - Brisbane'!B143&amp;'Onshore - Brisbane'!M143)),ISNUMBER(SEARCH("Management (Learning)",'Onshore - Brisbane'!B143))),2,IF(ISNUMBER(SEARCH("CEK:",'Onshore - Brisbane'!M143)),1,0))</f>
        <v>0</v>
      </c>
    </row>
    <row r="1809" customFormat="false" ht="15" hidden="false" customHeight="false" outlineLevel="0" collapsed="false">
      <c r="A1809" s="61" t="s">
        <v>4532</v>
      </c>
      <c r="B1809" s="62"/>
      <c r="C1809" s="62"/>
      <c r="D1809" s="62"/>
      <c r="E1809" s="62"/>
      <c r="F1809" s="62"/>
      <c r="G1809" s="62"/>
      <c r="H1809" s="62"/>
      <c r="I1809" s="62"/>
    </row>
    <row r="1810" customFormat="false" ht="15" hidden="false" customHeight="false" outlineLevel="0" collapsed="false">
      <c r="A1810" s="63" t="s">
        <v>3718</v>
      </c>
      <c r="B1810" s="64" t="s">
        <v>3821</v>
      </c>
      <c r="C1810" s="63" t="s">
        <v>41</v>
      </c>
      <c r="D1810" s="64" t="str">
        <f aca="false">TRIM(LEFT('Onshore - Canberra'!A6,FIND(CHAR(10),'Onshore - Canberra'!A6&amp;CHAR(10))-1))</f>
        <v>Australian Catholic University (ACU)</v>
      </c>
      <c r="E1810" s="63" t="str">
        <f aca="false">'Onshore - Canberra'!C105&amp;""</f>
        <v>1 year</v>
      </c>
      <c r="F1810" s="63" t="str">
        <f aca="false">IF('Onshore - Canberra'!D105="","Belum tercatat",'Onshore - Canberra'!D105)</f>
        <v>Term</v>
      </c>
      <c r="G1810" s="65" t="n">
        <f aca="false">IF('Onshore - Canberra'!E105="","-",'Onshore - Canberra'!E105)</f>
        <v>8906</v>
      </c>
      <c r="H1810" s="63" t="n">
        <f aca="false">IF(ISNUMBER(K1810),COUNTIFS($J$6:$J$1916,J1810,$K$6:$K$1916,"&lt;"&amp;K1810)+1,"-")</f>
        <v>1</v>
      </c>
      <c r="I1810" s="64" t="str">
        <f aca="false">IF('Onshore - Canberra'!E105="","Harga belum tersedia - hubungi konsultan TEG",IF(M1810=2,"Saat ini tidak menerima pendaftaran siswa internasional baru",IF(M1810=1,"Harga perlu dikonfirmasi ke sekolah"&amp;IF(""="","","; "&amp;""),"")))</f>
        <v/>
      </c>
      <c r="J1810" s="0" t="s">
        <v>4533</v>
      </c>
      <c r="K1810" s="0" t="n">
        <f aca="false">IF(M1810=2,"",IF(ISNUMBER(SEARCH("rata-rata:",'Onshore - Canberra'!M105)),VALUE(MID('Onshore - Canberra'!M105,SEARCH("rata-rata:",'Onshore - Canberra'!M105)+11,FIND(";",'Onshore - Canberra'!M105&amp;";",SEARCH("rata-rata:",'Onshore - Canberra'!M105))-SEARCH("rata-rata:",'Onshore - Canberra'!M105)-11)),IF('Onshore - Canberra'!D105="Semester",'Onshore - Canberra'!E105*2,IF('Onshore - Canberra'!D105="Trimester",'Onshore - Canberra'!E105*3,IF('Onshore - Canberra'!D105="Term",'Onshore - Canberra'!E105*4,IF('Onshore - Canberra'!D105="Unit",'Onshore - Canberra'!E105*8,""))))))</f>
        <v>35624</v>
      </c>
      <c r="L1810" s="0" t="n">
        <f aca="false">IF(AND(ISNUMBER('Onshore - Canberra'!E105),ISNUMBER(K1810),ISNUMBER('Onshore - Canberra'!F105),ISNUMBER('Onshore - Canberra'!G105),OR('Onshore - Canberra'!F105&lt;&gt;0,ISNUMBER(SEARCH("Material 0 terverifikasi",'Onshore - Canberra'!M105))),OR('Onshore - Canberra'!G105&lt;&gt;0,ISNUMBER(SEARCH("Enrolment 0 terverifikasi",'Onshore - Canberra'!M105)))),1,0)</f>
        <v>0</v>
      </c>
      <c r="M1810" s="0" t="n">
        <f aca="false">IF(OR('Onshore - Canberra'!E105="",ISNUMBER(SEARCH("BSB80120",'Onshore - Canberra'!B105&amp;'Onshore - Canberra'!M105)),ISNUMBER(SEARCH("Management (Learning)",'Onshore - Canberra'!B105))),2,IF(ISNUMBER(SEARCH("CEK:",'Onshore - Canberra'!M105)),1,0))</f>
        <v>0</v>
      </c>
    </row>
    <row r="1811" customFormat="false" ht="15" hidden="false" customHeight="false" outlineLevel="0" collapsed="false">
      <c r="A1811" s="61" t="s">
        <v>4534</v>
      </c>
      <c r="B1811" s="62"/>
      <c r="C1811" s="62"/>
      <c r="D1811" s="62"/>
      <c r="E1811" s="62"/>
      <c r="F1811" s="62"/>
      <c r="G1811" s="62"/>
      <c r="H1811" s="62"/>
      <c r="I1811" s="62"/>
    </row>
    <row r="1812" customFormat="false" ht="15" hidden="false" customHeight="false" outlineLevel="0" collapsed="false">
      <c r="A1812" s="63" t="s">
        <v>3718</v>
      </c>
      <c r="B1812" s="64" t="s">
        <v>3821</v>
      </c>
      <c r="C1812" s="63" t="s">
        <v>43</v>
      </c>
      <c r="D1812" s="64" t="str">
        <f aca="false">TRIM(LEFT('Onshore - Canberra'!A122,FIND(CHAR(10),'Onshore - Canberra'!A122&amp;CHAR(10))-1))</f>
        <v>Charles Sturt University (CSU)</v>
      </c>
      <c r="E1812" s="63" t="str">
        <f aca="false">'Onshore - Canberra'!C122&amp;""</f>
        <v>3 years</v>
      </c>
      <c r="F1812" s="63" t="str">
        <f aca="false">IF('Onshore - Canberra'!D122="","Belum tercatat",'Onshore - Canberra'!D122)</f>
        <v>Semester</v>
      </c>
      <c r="G1812" s="65" t="n">
        <f aca="false">IF('Onshore - Canberra'!E122="","-",'Onshore - Canberra'!E122)</f>
        <v>12760</v>
      </c>
      <c r="H1812" s="63" t="n">
        <f aca="false">IF(ISNUMBER(K1812),COUNTIFS($J$6:$J$1916,J1812,$K$6:$K$1916,"&lt;"&amp;K1812)+1,"-")</f>
        <v>1</v>
      </c>
      <c r="I1812" s="64" t="str">
        <f aca="false">IF('Onshore - Canberra'!E122="","Harga belum tersedia - hubungi konsultan TEG",IF(M1812=2,"Saat ini tidak menerima pendaftaran siswa internasional baru",IF(M1812=1,"Harga perlu dikonfirmasi ke sekolah"&amp;IF(""="","","; "&amp;""),"")))</f>
        <v/>
      </c>
      <c r="J1812" s="0" t="s">
        <v>4535</v>
      </c>
      <c r="K1812" s="0" t="n">
        <f aca="false">IF(M1812=2,"",IF(ISNUMBER(SEARCH("rata-rata:",'Onshore - Canberra'!M122)),VALUE(MID('Onshore - Canberra'!M122,SEARCH("rata-rata:",'Onshore - Canberra'!M122)+11,FIND(";",'Onshore - Canberra'!M122&amp;";",SEARCH("rata-rata:",'Onshore - Canberra'!M122))-SEARCH("rata-rata:",'Onshore - Canberra'!M122)-11)),IF('Onshore - Canberra'!D122="Semester",'Onshore - Canberra'!E122*2,IF('Onshore - Canberra'!D122="Trimester",'Onshore - Canberra'!E122*3,IF('Onshore - Canberra'!D122="Term",'Onshore - Canberra'!E122*4,IF('Onshore - Canberra'!D122="Unit",'Onshore - Canberra'!E122*8,""))))))</f>
        <v>25520</v>
      </c>
      <c r="L1812" s="0" t="n">
        <f aca="false">IF(AND(ISNUMBER('Onshore - Canberra'!E122),ISNUMBER(K1812),ISNUMBER('Onshore - Canberra'!F122),ISNUMBER('Onshore - Canberra'!G122),OR('Onshore - Canberra'!F122&lt;&gt;0,ISNUMBER(SEARCH("Material 0 terverifikasi",'Onshore - Canberra'!M122))),OR('Onshore - Canberra'!G122&lt;&gt;0,ISNUMBER(SEARCH("Enrolment 0 terverifikasi",'Onshore - Canberra'!M122)))),1,0)</f>
        <v>0</v>
      </c>
      <c r="M1812" s="0" t="n">
        <f aca="false">IF(OR('Onshore - Canberra'!E122="",ISNUMBER(SEARCH("BSB80120",'Onshore - Canberra'!B122&amp;'Onshore - Canberra'!M122)),ISNUMBER(SEARCH("Management (Learning)",'Onshore - Canberra'!B122))),2,IF(ISNUMBER(SEARCH("CEK:",'Onshore - Canberra'!M122)),1,0))</f>
        <v>0</v>
      </c>
    </row>
    <row r="1813" customFormat="false" ht="15" hidden="false" customHeight="false" outlineLevel="0" collapsed="false">
      <c r="A1813" s="63" t="s">
        <v>3718</v>
      </c>
      <c r="B1813" s="64" t="s">
        <v>3821</v>
      </c>
      <c r="C1813" s="63" t="s">
        <v>43</v>
      </c>
      <c r="D1813" s="64" t="str">
        <f aca="false">TRIM(LEFT('Onshore - Canberra'!A6,FIND(CHAR(10),'Onshore - Canberra'!A6&amp;CHAR(10))-1))</f>
        <v>Australian Catholic University (ACU)</v>
      </c>
      <c r="E1813" s="63" t="str">
        <f aca="false">'Onshore - Canberra'!C94&amp;""</f>
        <v>3 years</v>
      </c>
      <c r="F1813" s="63" t="str">
        <f aca="false">IF('Onshore - Canberra'!D94="","Belum tercatat",'Onshore - Canberra'!D94)</f>
        <v>Term</v>
      </c>
      <c r="G1813" s="65" t="n">
        <f aca="false">IF('Onshore - Canberra'!E94="","-",'Onshore - Canberra'!E94)</f>
        <v>7162</v>
      </c>
      <c r="H1813" s="63" t="n">
        <f aca="false">IF(ISNUMBER(K1813),COUNTIFS($J$6:$J$1916,J1813,$K$6:$K$1916,"&lt;"&amp;K1813)+1,"-")</f>
        <v>2</v>
      </c>
      <c r="I1813" s="64" t="str">
        <f aca="false">IF('Onshore - Canberra'!E94="","Harga belum tersedia - hubungi konsultan TEG",IF(M1813=2,"Saat ini tidak menerima pendaftaran siswa internasional baru",IF(M1813=1,"Harga perlu dikonfirmasi ke sekolah"&amp;IF(""="","","; "&amp;""),"")))</f>
        <v/>
      </c>
      <c r="J1813" s="0" t="s">
        <v>4535</v>
      </c>
      <c r="K1813" s="0" t="n">
        <f aca="false">IF(M1813=2,"",IF(ISNUMBER(SEARCH("rata-rata:",'Onshore - Canberra'!M94)),VALUE(MID('Onshore - Canberra'!M94,SEARCH("rata-rata:",'Onshore - Canberra'!M94)+11,FIND(";",'Onshore - Canberra'!M94&amp;";",SEARCH("rata-rata:",'Onshore - Canberra'!M94))-SEARCH("rata-rata:",'Onshore - Canberra'!M94)-11)),IF('Onshore - Canberra'!D94="Semester",'Onshore - Canberra'!E94*2,IF('Onshore - Canberra'!D94="Trimester",'Onshore - Canberra'!E94*3,IF('Onshore - Canberra'!D94="Term",'Onshore - Canberra'!E94*4,IF('Onshore - Canberra'!D94="Unit",'Onshore - Canberra'!E94*8,""))))))</f>
        <v>28648</v>
      </c>
      <c r="L1813" s="0" t="n">
        <f aca="false">IF(AND(ISNUMBER('Onshore - Canberra'!E94),ISNUMBER(K1813),ISNUMBER('Onshore - Canberra'!F94),ISNUMBER('Onshore - Canberra'!G94),OR('Onshore - Canberra'!F94&lt;&gt;0,ISNUMBER(SEARCH("Material 0 terverifikasi",'Onshore - Canberra'!M94))),OR('Onshore - Canberra'!G94&lt;&gt;0,ISNUMBER(SEARCH("Enrolment 0 terverifikasi",'Onshore - Canberra'!M94)))),1,0)</f>
        <v>0</v>
      </c>
      <c r="M1813" s="0" t="n">
        <f aca="false">IF(OR('Onshore - Canberra'!E94="",ISNUMBER(SEARCH("BSB80120",'Onshore - Canberra'!B94&amp;'Onshore - Canberra'!M94)),ISNUMBER(SEARCH("Management (Learning)",'Onshore - Canberra'!B94))),2,IF(ISNUMBER(SEARCH("CEK:",'Onshore - Canberra'!M94)),1,0))</f>
        <v>0</v>
      </c>
    </row>
    <row r="1814" customFormat="false" ht="15" hidden="false" customHeight="false" outlineLevel="0" collapsed="false">
      <c r="A1814" s="61" t="s">
        <v>4536</v>
      </c>
      <c r="B1814" s="62"/>
      <c r="C1814" s="62"/>
      <c r="D1814" s="62"/>
      <c r="E1814" s="62"/>
      <c r="F1814" s="62"/>
      <c r="G1814" s="62"/>
      <c r="H1814" s="62"/>
      <c r="I1814" s="62"/>
    </row>
    <row r="1815" customFormat="false" ht="15" hidden="false" customHeight="false" outlineLevel="0" collapsed="false">
      <c r="A1815" s="63" t="s">
        <v>3718</v>
      </c>
      <c r="B1815" s="64" t="s">
        <v>3821</v>
      </c>
      <c r="C1815" s="63" t="s">
        <v>46</v>
      </c>
      <c r="D1815" s="64" t="str">
        <f aca="false">TRIM(LEFT('Onshore - Canberra'!A122,FIND(CHAR(10),'Onshore - Canberra'!A122&amp;CHAR(10))-1))</f>
        <v>Charles Sturt University (CSU)</v>
      </c>
      <c r="E1815" s="63" t="str">
        <f aca="false">'Onshore - Canberra'!C123&amp;""</f>
        <v>1,5 years</v>
      </c>
      <c r="F1815" s="63" t="str">
        <f aca="false">IF('Onshore - Canberra'!D123="","Belum tercatat",'Onshore - Canberra'!D123)</f>
        <v>Semester</v>
      </c>
      <c r="G1815" s="65" t="n">
        <f aca="false">IF('Onshore - Canberra'!E123="","-",'Onshore - Canberra'!E123)</f>
        <v>12760</v>
      </c>
      <c r="H1815" s="63" t="n">
        <f aca="false">IF(ISNUMBER(K1815),COUNTIFS($J$6:$J$1916,J1815,$K$6:$K$1916,"&lt;"&amp;K1815)+1,"-")</f>
        <v>1</v>
      </c>
      <c r="I1815" s="64" t="str">
        <f aca="false">IF('Onshore - Canberra'!E123="","Harga belum tersedia - hubungi konsultan TEG",IF(M1815=2,"Saat ini tidak menerima pendaftaran siswa internasional baru",IF(M1815=1,"Harga perlu dikonfirmasi ke sekolah"&amp;IF(""="","","; "&amp;""),"")))</f>
        <v/>
      </c>
      <c r="J1815" s="0" t="s">
        <v>4537</v>
      </c>
      <c r="K1815" s="0" t="n">
        <f aca="false">IF(M1815=2,"",IF(ISNUMBER(SEARCH("rata-rata:",'Onshore - Canberra'!M123)),VALUE(MID('Onshore - Canberra'!M123,SEARCH("rata-rata:",'Onshore - Canberra'!M123)+11,FIND(";",'Onshore - Canberra'!M123&amp;";",SEARCH("rata-rata:",'Onshore - Canberra'!M123))-SEARCH("rata-rata:",'Onshore - Canberra'!M123)-11)),IF('Onshore - Canberra'!D123="Semester",'Onshore - Canberra'!E123*2,IF('Onshore - Canberra'!D123="Trimester",'Onshore - Canberra'!E123*3,IF('Onshore - Canberra'!D123="Term",'Onshore - Canberra'!E123*4,IF('Onshore - Canberra'!D123="Unit",'Onshore - Canberra'!E123*8,""))))))</f>
        <v>25520</v>
      </c>
      <c r="L1815" s="0" t="n">
        <f aca="false">IF(AND(ISNUMBER('Onshore - Canberra'!E123),ISNUMBER(K1815),ISNUMBER('Onshore - Canberra'!F123),ISNUMBER('Onshore - Canberra'!G123),OR('Onshore - Canberra'!F123&lt;&gt;0,ISNUMBER(SEARCH("Material 0 terverifikasi",'Onshore - Canberra'!M123))),OR('Onshore - Canberra'!G123&lt;&gt;0,ISNUMBER(SEARCH("Enrolment 0 terverifikasi",'Onshore - Canberra'!M123)))),1,0)</f>
        <v>0</v>
      </c>
      <c r="M1815" s="0" t="n">
        <f aca="false">IF(OR('Onshore - Canberra'!E123="",ISNUMBER(SEARCH("BSB80120",'Onshore - Canberra'!B123&amp;'Onshore - Canberra'!M123)),ISNUMBER(SEARCH("Management (Learning)",'Onshore - Canberra'!B123))),2,IF(ISNUMBER(SEARCH("CEK:",'Onshore - Canberra'!M123)),1,0))</f>
        <v>0</v>
      </c>
    </row>
    <row r="1816" customFormat="false" ht="15" hidden="false" customHeight="false" outlineLevel="0" collapsed="false">
      <c r="A1816" s="63" t="s">
        <v>3718</v>
      </c>
      <c r="B1816" s="64" t="s">
        <v>3821</v>
      </c>
      <c r="C1816" s="63" t="s">
        <v>46</v>
      </c>
      <c r="D1816" s="64" t="str">
        <f aca="false">TRIM(LEFT('Onshore - Canberra'!A6,FIND(CHAR(10),'Onshore - Canberra'!A6&amp;CHAR(10))-1))</f>
        <v>Australian Catholic University (ACU)</v>
      </c>
      <c r="E1816" s="63" t="str">
        <f aca="false">'Onshore - Canberra'!C98&amp;""</f>
        <v>2 years</v>
      </c>
      <c r="F1816" s="63" t="str">
        <f aca="false">IF('Onshore - Canberra'!D98="","Belum tercatat",'Onshore - Canberra'!D98)</f>
        <v>Term</v>
      </c>
      <c r="G1816" s="65" t="n">
        <f aca="false">IF('Onshore - Canberra'!E98="","-",'Onshore - Canberra'!E98)</f>
        <v>8682</v>
      </c>
      <c r="H1816" s="63" t="n">
        <f aca="false">IF(ISNUMBER(K1816),COUNTIFS($J$6:$J$1916,J1816,$K$6:$K$1916,"&lt;"&amp;K1816)+1,"-")</f>
        <v>2</v>
      </c>
      <c r="I1816" s="64" t="str">
        <f aca="false">IF('Onshore - Canberra'!E98="","Harga belum tersedia - hubungi konsultan TEG",IF(M1816=2,"Saat ini tidak menerima pendaftaran siswa internasional baru",IF(M1816=1,"Harga perlu dikonfirmasi ke sekolah"&amp;IF(""="","","; "&amp;""),"")))</f>
        <v/>
      </c>
      <c r="J1816" s="0" t="s">
        <v>4537</v>
      </c>
      <c r="K1816" s="0" t="n">
        <f aca="false">IF(M1816=2,"",IF(ISNUMBER(SEARCH("rata-rata:",'Onshore - Canberra'!M98)),VALUE(MID('Onshore - Canberra'!M98,SEARCH("rata-rata:",'Onshore - Canberra'!M98)+11,FIND(";",'Onshore - Canberra'!M98&amp;";",SEARCH("rata-rata:",'Onshore - Canberra'!M98))-SEARCH("rata-rata:",'Onshore - Canberra'!M98)-11)),IF('Onshore - Canberra'!D98="Semester",'Onshore - Canberra'!E98*2,IF('Onshore - Canberra'!D98="Trimester",'Onshore - Canberra'!E98*3,IF('Onshore - Canberra'!D98="Term",'Onshore - Canberra'!E98*4,IF('Onshore - Canberra'!D98="Unit",'Onshore - Canberra'!E98*8,""))))))</f>
        <v>34728</v>
      </c>
      <c r="L1816" s="0" t="n">
        <f aca="false">IF(AND(ISNUMBER('Onshore - Canberra'!E98),ISNUMBER(K1816),ISNUMBER('Onshore - Canberra'!F98),ISNUMBER('Onshore - Canberra'!G98),OR('Onshore - Canberra'!F98&lt;&gt;0,ISNUMBER(SEARCH("Material 0 terverifikasi",'Onshore - Canberra'!M98))),OR('Onshore - Canberra'!G98&lt;&gt;0,ISNUMBER(SEARCH("Enrolment 0 terverifikasi",'Onshore - Canberra'!M98)))),1,0)</f>
        <v>0</v>
      </c>
      <c r="M1816" s="0" t="n">
        <f aca="false">IF(OR('Onshore - Canberra'!E98="",ISNUMBER(SEARCH("BSB80120",'Onshore - Canberra'!B98&amp;'Onshore - Canberra'!M98)),ISNUMBER(SEARCH("Management (Learning)",'Onshore - Canberra'!B98))),2,IF(ISNUMBER(SEARCH("CEK:",'Onshore - Canberra'!M98)),1,0))</f>
        <v>0</v>
      </c>
    </row>
    <row r="1817" customFormat="false" ht="15" hidden="false" customHeight="false" outlineLevel="0" collapsed="false">
      <c r="A1817" s="61" t="s">
        <v>4538</v>
      </c>
      <c r="B1817" s="62"/>
      <c r="C1817" s="62"/>
      <c r="D1817" s="62"/>
      <c r="E1817" s="62"/>
      <c r="F1817" s="62"/>
      <c r="G1817" s="62"/>
      <c r="H1817" s="62"/>
      <c r="I1817" s="62"/>
    </row>
    <row r="1818" customFormat="false" ht="15" hidden="false" customHeight="false" outlineLevel="0" collapsed="false">
      <c r="A1818" s="63" t="s">
        <v>3718</v>
      </c>
      <c r="B1818" s="64" t="s">
        <v>3821</v>
      </c>
      <c r="C1818" s="63" t="s">
        <v>4222</v>
      </c>
      <c r="D1818" s="64" t="str">
        <f aca="false">TRIM(LEFT('Onshore - Canberra'!A6,FIND(CHAR(10),'Onshore - Canberra'!A6&amp;CHAR(10))-1))</f>
        <v>Australian Catholic University (ACU)</v>
      </c>
      <c r="E1818" s="63" t="str">
        <f aca="false">'Onshore - Canberra'!C96&amp;""</f>
        <v>3 years</v>
      </c>
      <c r="F1818" s="63" t="str">
        <f aca="false">IF('Onshore - Canberra'!D96="","Belum tercatat",'Onshore - Canberra'!D96)</f>
        <v>Term</v>
      </c>
      <c r="G1818" s="65" t="n">
        <f aca="false">IF('Onshore - Canberra'!E96="","-",'Onshore - Canberra'!E96)</f>
        <v>8682</v>
      </c>
      <c r="H1818" s="63" t="n">
        <f aca="false">IF(ISNUMBER(K1818),COUNTIFS($J$6:$J$1916,J1818,$K$6:$K$1916,"&lt;"&amp;K1818)+1,"-")</f>
        <v>1</v>
      </c>
      <c r="I1818" s="64" t="str">
        <f aca="false">IF('Onshore - Canberra'!E96="","Harga belum tersedia - hubungi konsultan TEG",IF(M1818=2,"Saat ini tidak menerima pendaftaran siswa internasional baru",IF(M1818=1,"Harga perlu dikonfirmasi ke sekolah"&amp;IF(""="","","; "&amp;""),"")))</f>
        <v/>
      </c>
      <c r="J1818" s="0" t="s">
        <v>4539</v>
      </c>
      <c r="K1818" s="0" t="n">
        <f aca="false">IF(M1818=2,"",IF(ISNUMBER(SEARCH("rata-rata:",'Onshore - Canberra'!M96)),VALUE(MID('Onshore - Canberra'!M96,SEARCH("rata-rata:",'Onshore - Canberra'!M96)+11,FIND(";",'Onshore - Canberra'!M96&amp;";",SEARCH("rata-rata:",'Onshore - Canberra'!M96))-SEARCH("rata-rata:",'Onshore - Canberra'!M96)-11)),IF('Onshore - Canberra'!D96="Semester",'Onshore - Canberra'!E96*2,IF('Onshore - Canberra'!D96="Trimester",'Onshore - Canberra'!E96*3,IF('Onshore - Canberra'!D96="Term",'Onshore - Canberra'!E96*4,IF('Onshore - Canberra'!D96="Unit",'Onshore - Canberra'!E96*8,""))))))</f>
        <v>34728</v>
      </c>
      <c r="L1818" s="0" t="n">
        <f aca="false">IF(AND(ISNUMBER('Onshore - Canberra'!E96),ISNUMBER(K1818),ISNUMBER('Onshore - Canberra'!F96),ISNUMBER('Onshore - Canberra'!G96),OR('Onshore - Canberra'!F96&lt;&gt;0,ISNUMBER(SEARCH("Material 0 terverifikasi",'Onshore - Canberra'!M96))),OR('Onshore - Canberra'!G96&lt;&gt;0,ISNUMBER(SEARCH("Enrolment 0 terverifikasi",'Onshore - Canberra'!M96)))),1,0)</f>
        <v>0</v>
      </c>
      <c r="M1818" s="0" t="n">
        <f aca="false">IF(OR('Onshore - Canberra'!E96="",ISNUMBER(SEARCH("BSB80120",'Onshore - Canberra'!B96&amp;'Onshore - Canberra'!M96)),ISNUMBER(SEARCH("Management (Learning)",'Onshore - Canberra'!B96))),2,IF(ISNUMBER(SEARCH("CEK:",'Onshore - Canberra'!M96)),1,0))</f>
        <v>0</v>
      </c>
    </row>
    <row r="1819" customFormat="false" ht="15" hidden="false" customHeight="false" outlineLevel="0" collapsed="false">
      <c r="A1819" s="61" t="s">
        <v>4540</v>
      </c>
      <c r="B1819" s="62"/>
      <c r="C1819" s="62"/>
      <c r="D1819" s="62"/>
      <c r="E1819" s="62"/>
      <c r="F1819" s="62"/>
      <c r="G1819" s="62"/>
      <c r="H1819" s="62"/>
      <c r="I1819" s="62"/>
    </row>
    <row r="1820" customFormat="false" ht="15" hidden="false" customHeight="false" outlineLevel="0" collapsed="false">
      <c r="A1820" s="63" t="s">
        <v>3583</v>
      </c>
      <c r="B1820" s="64" t="s">
        <v>3821</v>
      </c>
      <c r="C1820" s="63" t="s">
        <v>41</v>
      </c>
      <c r="D1820" s="64" t="str">
        <f aca="false">TRIM(LEFT('Onshore - Darwin (NT)'!A20,FIND(CHAR(10),'Onshore - Darwin (NT)'!A20&amp;CHAR(10))-1))</f>
        <v>Charles Darwin University (CDU)</v>
      </c>
      <c r="E1820" s="63" t="str">
        <f aca="false">'Onshore - Darwin (NT)'!C21&amp;""</f>
        <v>1 year</v>
      </c>
      <c r="F1820" s="63" t="str">
        <f aca="false">IF('Onshore - Darwin (NT)'!D21="","Belum tercatat",'Onshore - Darwin (NT)'!D21)</f>
        <v>Term</v>
      </c>
      <c r="G1820" s="65" t="n">
        <f aca="false">IF('Onshore - Darwin (NT)'!E21="","-",'Onshore - Darwin (NT)'!E21)</f>
        <v>7450</v>
      </c>
      <c r="H1820" s="63" t="n">
        <f aca="false">IF(ISNUMBER(K1820),COUNTIFS($J$6:$J$1916,J1820,$K$6:$K$1916,"&lt;"&amp;K1820)+1,"-")</f>
        <v>1</v>
      </c>
      <c r="I1820" s="64" t="str">
        <f aca="false">IF('Onshore - Darwin (NT)'!E21="","Harga belum tersedia - hubungi konsultan TEG",IF(M1820=2,"Saat ini tidak menerima pendaftaran siswa internasional baru",IF(M1820=1,"Harga perlu dikonfirmasi ke sekolah"&amp;IF(""="","","; "&amp;""),"")))</f>
        <v/>
      </c>
      <c r="J1820" s="0" t="s">
        <v>4541</v>
      </c>
      <c r="K1820" s="0" t="n">
        <f aca="false">IF(M1820=2,"",IF(ISNUMBER(SEARCH("rata-rata:",'Onshore - Darwin (NT)'!M21)),VALUE(MID('Onshore - Darwin (NT)'!M21,SEARCH("rata-rata:",'Onshore - Darwin (NT)'!M21)+11,FIND(";",'Onshore - Darwin (NT)'!M21&amp;";",SEARCH("rata-rata:",'Onshore - Darwin (NT)'!M21))-SEARCH("rata-rata:",'Onshore - Darwin (NT)'!M21)-11)),IF('Onshore - Darwin (NT)'!D21="Semester",'Onshore - Darwin (NT)'!E21*2,IF('Onshore - Darwin (NT)'!D21="Trimester",'Onshore - Darwin (NT)'!E21*3,IF('Onshore - Darwin (NT)'!D21="Term",'Onshore - Darwin (NT)'!E21*4,IF('Onshore - Darwin (NT)'!D21="Unit",'Onshore - Darwin (NT)'!E21*8,""))))))</f>
        <v>29800</v>
      </c>
      <c r="L1820" s="0" t="n">
        <f aca="false">IF(AND(ISNUMBER('Onshore - Darwin (NT)'!E21),ISNUMBER(K1820),ISNUMBER('Onshore - Darwin (NT)'!F21),ISNUMBER('Onshore - Darwin (NT)'!G21),OR('Onshore - Darwin (NT)'!F21&lt;&gt;0,ISNUMBER(SEARCH("Material 0 terverifikasi",'Onshore - Darwin (NT)'!M21))),OR('Onshore - Darwin (NT)'!G21&lt;&gt;0,ISNUMBER(SEARCH("Enrolment 0 terverifikasi",'Onshore - Darwin (NT)'!M21)))),1,0)</f>
        <v>0</v>
      </c>
      <c r="M1820" s="0" t="n">
        <f aca="false">IF(OR('Onshore - Darwin (NT)'!E21="",ISNUMBER(SEARCH("BSB80120",'Onshore - Darwin (NT)'!B21&amp;'Onshore - Darwin (NT)'!M21)),ISNUMBER(SEARCH("Management (Learning)",'Onshore - Darwin (NT)'!B21))),2,IF(ISNUMBER(SEARCH("CEK:",'Onshore - Darwin (NT)'!M21)),1,0))</f>
        <v>0</v>
      </c>
    </row>
    <row r="1821" customFormat="false" ht="15" hidden="false" customHeight="false" outlineLevel="0" collapsed="false">
      <c r="A1821" s="61" t="s">
        <v>4542</v>
      </c>
      <c r="B1821" s="62"/>
      <c r="C1821" s="62"/>
      <c r="D1821" s="62"/>
      <c r="E1821" s="62"/>
      <c r="F1821" s="62"/>
      <c r="G1821" s="62"/>
      <c r="H1821" s="62"/>
      <c r="I1821" s="62"/>
    </row>
    <row r="1822" customFormat="false" ht="15" hidden="false" customHeight="false" outlineLevel="0" collapsed="false">
      <c r="A1822" s="63" t="s">
        <v>3583</v>
      </c>
      <c r="B1822" s="64" t="s">
        <v>3821</v>
      </c>
      <c r="C1822" s="63" t="s">
        <v>43</v>
      </c>
      <c r="D1822" s="64" t="str">
        <f aca="false">TRIM(LEFT('Onshore - Darwin (NT)'!A20,FIND(CHAR(10),'Onshore - Darwin (NT)'!A20&amp;CHAR(10))-1))</f>
        <v>Charles Darwin University (CDU)</v>
      </c>
      <c r="E1822" s="63" t="str">
        <f aca="false">'Onshore - Darwin (NT)'!C20&amp;""</f>
        <v>3 years</v>
      </c>
      <c r="F1822" s="63" t="str">
        <f aca="false">IF('Onshore - Darwin (NT)'!D20="","Belum tercatat",'Onshore - Darwin (NT)'!D20)</f>
        <v>Term</v>
      </c>
      <c r="G1822" s="65" t="n">
        <f aca="false">IF('Onshore - Darwin (NT)'!E20="","-",'Onshore - Darwin (NT)'!E20)</f>
        <v>7450</v>
      </c>
      <c r="H1822" s="63" t="n">
        <f aca="false">IF(ISNUMBER(K1822),COUNTIFS($J$6:$J$1916,J1822,$K$6:$K$1916,"&lt;"&amp;K1822)+1,"-")</f>
        <v>1</v>
      </c>
      <c r="I1822" s="64" t="str">
        <f aca="false">IF('Onshore - Darwin (NT)'!E20="","Harga belum tersedia - hubungi konsultan TEG",IF(M1822=2,"Saat ini tidak menerima pendaftaran siswa internasional baru",IF(M1822=1,"Harga perlu dikonfirmasi ke sekolah"&amp;IF(""="","","; "&amp;""),"")))</f>
        <v/>
      </c>
      <c r="J1822" s="0" t="s">
        <v>4543</v>
      </c>
      <c r="K1822" s="0" t="n">
        <f aca="false">IF(M1822=2,"",IF(ISNUMBER(SEARCH("rata-rata:",'Onshore - Darwin (NT)'!M20)),VALUE(MID('Onshore - Darwin (NT)'!M20,SEARCH("rata-rata:",'Onshore - Darwin (NT)'!M20)+11,FIND(";",'Onshore - Darwin (NT)'!M20&amp;";",SEARCH("rata-rata:",'Onshore - Darwin (NT)'!M20))-SEARCH("rata-rata:",'Onshore - Darwin (NT)'!M20)-11)),IF('Onshore - Darwin (NT)'!D20="Semester",'Onshore - Darwin (NT)'!E20*2,IF('Onshore - Darwin (NT)'!D20="Trimester",'Onshore - Darwin (NT)'!E20*3,IF('Onshore - Darwin (NT)'!D20="Term",'Onshore - Darwin (NT)'!E20*4,IF('Onshore - Darwin (NT)'!D20="Unit",'Onshore - Darwin (NT)'!E20*8,""))))))</f>
        <v>29800</v>
      </c>
      <c r="L1822" s="0" t="n">
        <f aca="false">IF(AND(ISNUMBER('Onshore - Darwin (NT)'!E20),ISNUMBER(K1822),ISNUMBER('Onshore - Darwin (NT)'!F20),ISNUMBER('Onshore - Darwin (NT)'!G20),OR('Onshore - Darwin (NT)'!F20&lt;&gt;0,ISNUMBER(SEARCH("Material 0 terverifikasi",'Onshore - Darwin (NT)'!M20))),OR('Onshore - Darwin (NT)'!G20&lt;&gt;0,ISNUMBER(SEARCH("Enrolment 0 terverifikasi",'Onshore - Darwin (NT)'!M20)))),1,0)</f>
        <v>0</v>
      </c>
      <c r="M1822" s="0" t="n">
        <f aca="false">IF(OR('Onshore - Darwin (NT)'!E20="",ISNUMBER(SEARCH("BSB80120",'Onshore - Darwin (NT)'!B20&amp;'Onshore - Darwin (NT)'!M20)),ISNUMBER(SEARCH("Management (Learning)",'Onshore - Darwin (NT)'!B20))),2,IF(ISNUMBER(SEARCH("CEK:",'Onshore - Darwin (NT)'!M20)),1,0))</f>
        <v>0</v>
      </c>
    </row>
    <row r="1823" customFormat="false" ht="15" hidden="false" customHeight="false" outlineLevel="0" collapsed="false">
      <c r="A1823" s="61" t="s">
        <v>4544</v>
      </c>
      <c r="B1823" s="62"/>
      <c r="C1823" s="62"/>
      <c r="D1823" s="62"/>
      <c r="E1823" s="62"/>
      <c r="F1823" s="62"/>
      <c r="G1823" s="62"/>
      <c r="H1823" s="62"/>
      <c r="I1823" s="62"/>
    </row>
    <row r="1824" customFormat="false" ht="15" hidden="false" customHeight="false" outlineLevel="0" collapsed="false">
      <c r="A1824" s="63" t="s">
        <v>3583</v>
      </c>
      <c r="B1824" s="64" t="s">
        <v>3821</v>
      </c>
      <c r="C1824" s="63" t="s">
        <v>3707</v>
      </c>
      <c r="D1824" s="64" t="str">
        <f aca="false">TRIM(LEFT('Onshore - Darwin (NT)'!A20,FIND(CHAR(10),'Onshore - Darwin (NT)'!A20&amp;CHAR(10))-1))</f>
        <v>Charles Darwin University (CDU)</v>
      </c>
      <c r="E1824" s="63" t="str">
        <f aca="false">'Onshore - Darwin (NT)'!C25&amp;""</f>
        <v>0,5 year</v>
      </c>
      <c r="F1824" s="63" t="str">
        <f aca="false">IF('Onshore - Darwin (NT)'!D25="","Belum tercatat",'Onshore - Darwin (NT)'!D25)</f>
        <v>Term</v>
      </c>
      <c r="G1824" s="65" t="n">
        <f aca="false">IF('Onshore - Darwin (NT)'!E25="","-",'Onshore - Darwin (NT)'!E25)</f>
        <v>9418</v>
      </c>
      <c r="H1824" s="63" t="n">
        <f aca="false">IF(ISNUMBER(K1824),COUNTIFS($J$6:$J$1916,J1824,$K$6:$K$1916,"&lt;"&amp;K1824)+1,"-")</f>
        <v>1</v>
      </c>
      <c r="I1824" s="64" t="str">
        <f aca="false">IF('Onshore - Darwin (NT)'!E25="","Harga belum tersedia - hubungi konsultan TEG",IF(M1824=2,"Saat ini tidak menerima pendaftaran siswa internasional baru",IF(M1824=1,"Harga perlu dikonfirmasi ke sekolah"&amp;IF(""="","","; "&amp;""),"")))</f>
        <v/>
      </c>
      <c r="J1824" s="0" t="s">
        <v>4545</v>
      </c>
      <c r="K1824" s="0" t="n">
        <f aca="false">IF(M1824=2,"",IF(ISNUMBER(SEARCH("rata-rata:",'Onshore - Darwin (NT)'!M25)),VALUE(MID('Onshore - Darwin (NT)'!M25,SEARCH("rata-rata:",'Onshore - Darwin (NT)'!M25)+11,FIND(";",'Onshore - Darwin (NT)'!M25&amp;";",SEARCH("rata-rata:",'Onshore - Darwin (NT)'!M25))-SEARCH("rata-rata:",'Onshore - Darwin (NT)'!M25)-11)),IF('Onshore - Darwin (NT)'!D25="Semester",'Onshore - Darwin (NT)'!E25*2,IF('Onshore - Darwin (NT)'!D25="Trimester",'Onshore - Darwin (NT)'!E25*3,IF('Onshore - Darwin (NT)'!D25="Term",'Onshore - Darwin (NT)'!E25*4,IF('Onshore - Darwin (NT)'!D25="Unit",'Onshore - Darwin (NT)'!E25*8,""))))))</f>
        <v>37672</v>
      </c>
      <c r="L1824" s="0" t="n">
        <f aca="false">IF(AND(ISNUMBER('Onshore - Darwin (NT)'!E25),ISNUMBER(K1824),ISNUMBER('Onshore - Darwin (NT)'!F25),ISNUMBER('Onshore - Darwin (NT)'!G25),OR('Onshore - Darwin (NT)'!F25&lt;&gt;0,ISNUMBER(SEARCH("Material 0 terverifikasi",'Onshore - Darwin (NT)'!M25))),OR('Onshore - Darwin (NT)'!G25&lt;&gt;0,ISNUMBER(SEARCH("Enrolment 0 terverifikasi",'Onshore - Darwin (NT)'!M25)))),1,0)</f>
        <v>0</v>
      </c>
      <c r="M1824" s="0" t="n">
        <f aca="false">IF(OR('Onshore - Darwin (NT)'!E25="",ISNUMBER(SEARCH("BSB80120",'Onshore - Darwin (NT)'!B25&amp;'Onshore - Darwin (NT)'!M25)),ISNUMBER(SEARCH("Management (Learning)",'Onshore - Darwin (NT)'!B25))),2,IF(ISNUMBER(SEARCH("CEK:",'Onshore - Darwin (NT)'!M25)),1,0))</f>
        <v>0</v>
      </c>
    </row>
    <row r="1825" customFormat="false" ht="15" hidden="false" customHeight="false" outlineLevel="0" collapsed="false">
      <c r="A1825" s="61" t="s">
        <v>4546</v>
      </c>
      <c r="B1825" s="62"/>
      <c r="C1825" s="62"/>
      <c r="D1825" s="62"/>
      <c r="E1825" s="62"/>
      <c r="F1825" s="62"/>
      <c r="G1825" s="62"/>
      <c r="H1825" s="62"/>
      <c r="I1825" s="62"/>
    </row>
    <row r="1826" customFormat="false" ht="15" hidden="false" customHeight="false" outlineLevel="0" collapsed="false">
      <c r="A1826" s="63" t="s">
        <v>3583</v>
      </c>
      <c r="B1826" s="64" t="s">
        <v>3821</v>
      </c>
      <c r="C1826" s="63" t="s">
        <v>46</v>
      </c>
      <c r="D1826" s="64" t="str">
        <f aca="false">TRIM(LEFT('Onshore - Darwin (NT)'!A20,FIND(CHAR(10),'Onshore - Darwin (NT)'!A20&amp;CHAR(10))-1))</f>
        <v>Charles Darwin University (CDU)</v>
      </c>
      <c r="E1826" s="63" t="str">
        <f aca="false">'Onshore - Darwin (NT)'!C27&amp;""</f>
        <v>2 years</v>
      </c>
      <c r="F1826" s="63" t="str">
        <f aca="false">IF('Onshore - Darwin (NT)'!D27="","Belum tercatat",'Onshore - Darwin (NT)'!D27)</f>
        <v>Term</v>
      </c>
      <c r="G1826" s="65" t="n">
        <f aca="false">IF('Onshore - Darwin (NT)'!E27="","-",'Onshore - Darwin (NT)'!E27)</f>
        <v>9418</v>
      </c>
      <c r="H1826" s="63" t="n">
        <f aca="false">IF(ISNUMBER(K1826),COUNTIFS($J$6:$J$1916,J1826,$K$6:$K$1916,"&lt;"&amp;K1826)+1,"-")</f>
        <v>1</v>
      </c>
      <c r="I1826" s="64" t="str">
        <f aca="false">IF('Onshore - Darwin (NT)'!E27="","Harga belum tersedia - hubungi konsultan TEG",IF(M1826=2,"Saat ini tidak menerima pendaftaran siswa internasional baru",IF(M1826=1,"Harga perlu dikonfirmasi ke sekolah"&amp;IF(""="","","; "&amp;""),"")))</f>
        <v/>
      </c>
      <c r="J1826" s="0" t="s">
        <v>4547</v>
      </c>
      <c r="K1826" s="0" t="n">
        <f aca="false">IF(M1826=2,"",IF(ISNUMBER(SEARCH("rata-rata:",'Onshore - Darwin (NT)'!M27)),VALUE(MID('Onshore - Darwin (NT)'!M27,SEARCH("rata-rata:",'Onshore - Darwin (NT)'!M27)+11,FIND(";",'Onshore - Darwin (NT)'!M27&amp;";",SEARCH("rata-rata:",'Onshore - Darwin (NT)'!M27))-SEARCH("rata-rata:",'Onshore - Darwin (NT)'!M27)-11)),IF('Onshore - Darwin (NT)'!D27="Semester",'Onshore - Darwin (NT)'!E27*2,IF('Onshore - Darwin (NT)'!D27="Trimester",'Onshore - Darwin (NT)'!E27*3,IF('Onshore - Darwin (NT)'!D27="Term",'Onshore - Darwin (NT)'!E27*4,IF('Onshore - Darwin (NT)'!D27="Unit",'Onshore - Darwin (NT)'!E27*8,""))))))</f>
        <v>37672</v>
      </c>
      <c r="L1826" s="0" t="n">
        <f aca="false">IF(AND(ISNUMBER('Onshore - Darwin (NT)'!E27),ISNUMBER(K1826),ISNUMBER('Onshore - Darwin (NT)'!F27),ISNUMBER('Onshore - Darwin (NT)'!G27),OR('Onshore - Darwin (NT)'!F27&lt;&gt;0,ISNUMBER(SEARCH("Material 0 terverifikasi",'Onshore - Darwin (NT)'!M27))),OR('Onshore - Darwin (NT)'!G27&lt;&gt;0,ISNUMBER(SEARCH("Enrolment 0 terverifikasi",'Onshore - Darwin (NT)'!M27)))),1,0)</f>
        <v>0</v>
      </c>
      <c r="M1826" s="0" t="n">
        <f aca="false">IF(OR('Onshore - Darwin (NT)'!E27="",ISNUMBER(SEARCH("BSB80120",'Onshore - Darwin (NT)'!B27&amp;'Onshore - Darwin (NT)'!M27)),ISNUMBER(SEARCH("Management (Learning)",'Onshore - Darwin (NT)'!B27))),2,IF(ISNUMBER(SEARCH("CEK:",'Onshore - Darwin (NT)'!M27)),1,0))</f>
        <v>0</v>
      </c>
    </row>
    <row r="1827" customFormat="false" ht="15" hidden="false" customHeight="false" outlineLevel="0" collapsed="false">
      <c r="A1827" s="61" t="s">
        <v>4548</v>
      </c>
      <c r="B1827" s="62"/>
      <c r="C1827" s="62"/>
      <c r="D1827" s="62"/>
      <c r="E1827" s="62"/>
      <c r="F1827" s="62"/>
      <c r="G1827" s="62"/>
      <c r="H1827" s="62"/>
      <c r="I1827" s="62"/>
    </row>
    <row r="1828" customFormat="false" ht="15" hidden="false" customHeight="false" outlineLevel="0" collapsed="false">
      <c r="A1828" s="63" t="s">
        <v>3583</v>
      </c>
      <c r="B1828" s="64" t="s">
        <v>3821</v>
      </c>
      <c r="C1828" s="63" t="s">
        <v>4222</v>
      </c>
      <c r="D1828" s="64" t="str">
        <f aca="false">TRIM(LEFT('Onshore - Darwin (NT)'!A20,FIND(CHAR(10),'Onshore - Darwin (NT)'!A20&amp;CHAR(10))-1))</f>
        <v>Charles Darwin University (CDU)</v>
      </c>
      <c r="E1828" s="63" t="str">
        <f aca="false">'Onshore - Darwin (NT)'!C130&amp;""</f>
        <v>4 years</v>
      </c>
      <c r="F1828" s="63" t="str">
        <f aca="false">IF('Onshore - Darwin (NT)'!D130="","Belum tercatat",'Onshore - Darwin (NT)'!D130)</f>
        <v>Term</v>
      </c>
      <c r="G1828" s="65" t="n">
        <f aca="false">IF('Onshore - Darwin (NT)'!E130="","-",'Onshore - Darwin (NT)'!E130)</f>
        <v>7784</v>
      </c>
      <c r="H1828" s="63" t="n">
        <f aca="false">IF(ISNUMBER(K1828),COUNTIFS($J$6:$J$1916,J1828,$K$6:$K$1916,"&lt;"&amp;K1828)+1,"-")</f>
        <v>1</v>
      </c>
      <c r="I1828" s="64" t="str">
        <f aca="false">IF('Onshore - Darwin (NT)'!E130="","Harga belum tersedia - hubungi konsultan TEG",IF(M1828=2,"Saat ini tidak menerima pendaftaran siswa internasional baru",IF(M1828=1,"Harga perlu dikonfirmasi ke sekolah"&amp;IF(""="","","; "&amp;""),"")))</f>
        <v>Harga perlu dikonfirmasi ke sekolah</v>
      </c>
      <c r="J1828" s="0" t="s">
        <v>4549</v>
      </c>
      <c r="K1828" s="0" t="n">
        <f aca="false">IF(M1828=2,"",IF(ISNUMBER(SEARCH("rata-rata:",'Onshore - Darwin (NT)'!M130)),VALUE(MID('Onshore - Darwin (NT)'!M130,SEARCH("rata-rata:",'Onshore - Darwin (NT)'!M130)+11,FIND(";",'Onshore - Darwin (NT)'!M130&amp;";",SEARCH("rata-rata:",'Onshore - Darwin (NT)'!M130))-SEARCH("rata-rata:",'Onshore - Darwin (NT)'!M130)-11)),IF('Onshore - Darwin (NT)'!D130="Semester",'Onshore - Darwin (NT)'!E130*2,IF('Onshore - Darwin (NT)'!D130="Trimester",'Onshore - Darwin (NT)'!E130*3,IF('Onshore - Darwin (NT)'!D130="Term",'Onshore - Darwin (NT)'!E130*4,IF('Onshore - Darwin (NT)'!D130="Unit",'Onshore - Darwin (NT)'!E130*8,""))))))</f>
        <v>31136</v>
      </c>
      <c r="L1828" s="0" t="n">
        <f aca="false">IF(AND(ISNUMBER('Onshore - Darwin (NT)'!E130),ISNUMBER(K1828),ISNUMBER('Onshore - Darwin (NT)'!F130),ISNUMBER('Onshore - Darwin (NT)'!G130),OR('Onshore - Darwin (NT)'!F130&lt;&gt;0,ISNUMBER(SEARCH("Material 0 terverifikasi",'Onshore - Darwin (NT)'!M130))),OR('Onshore - Darwin (NT)'!G130&lt;&gt;0,ISNUMBER(SEARCH("Enrolment 0 terverifikasi",'Onshore - Darwin (NT)'!M130)))),1,0)</f>
        <v>0</v>
      </c>
      <c r="M1828" s="0" t="n">
        <f aca="false">IF(OR('Onshore - Darwin (NT)'!E130="",ISNUMBER(SEARCH("BSB80120",'Onshore - Darwin (NT)'!B130&amp;'Onshore - Darwin (NT)'!M130)),ISNUMBER(SEARCH("Management (Learning)",'Onshore - Darwin (NT)'!B130))),2,IF(ISNUMBER(SEARCH("CEK:",'Onshore - Darwin (NT)'!M130)),1,0))</f>
        <v>1</v>
      </c>
    </row>
    <row r="1829" customFormat="false" ht="15" hidden="false" customHeight="false" outlineLevel="0" collapsed="false">
      <c r="A1829" s="61" t="s">
        <v>4550</v>
      </c>
      <c r="B1829" s="62"/>
      <c r="C1829" s="62"/>
      <c r="D1829" s="62"/>
      <c r="E1829" s="62"/>
      <c r="F1829" s="62"/>
      <c r="G1829" s="62"/>
      <c r="H1829" s="62"/>
      <c r="I1829" s="62"/>
    </row>
    <row r="1830" customFormat="false" ht="15" hidden="false" customHeight="false" outlineLevel="0" collapsed="false">
      <c r="A1830" s="63" t="s">
        <v>3544</v>
      </c>
      <c r="B1830" s="64" t="s">
        <v>3821</v>
      </c>
      <c r="C1830" s="63" t="s">
        <v>41</v>
      </c>
      <c r="D1830" s="64" t="str">
        <f aca="false">TRIM(LEFT('Onshore- Melbourne'!A94,FIND(CHAR(10),'Onshore- Melbourne'!A94&amp;CHAR(10))-1))</f>
        <v>Australian Catholic University (ACU)</v>
      </c>
      <c r="E1830" s="63" t="str">
        <f aca="false">'Onshore- Melbourne'!C193&amp;""</f>
        <v>1 year</v>
      </c>
      <c r="F1830" s="63" t="str">
        <f aca="false">IF('Onshore- Melbourne'!D193="","Belum tercatat",'Onshore- Melbourne'!D193)</f>
        <v>Term</v>
      </c>
      <c r="G1830" s="65" t="n">
        <f aca="false">IF('Onshore- Melbourne'!E193="","-",'Onshore- Melbourne'!E193)</f>
        <v>8906</v>
      </c>
      <c r="H1830" s="63" t="n">
        <f aca="false">IF(ISNUMBER(K1830),COUNTIFS($J$6:$J$1916,J1830,$K$6:$K$1916,"&lt;"&amp;K1830)+1,"-")</f>
        <v>1</v>
      </c>
      <c r="I1830" s="64" t="str">
        <f aca="false">IF('Onshore- Melbourne'!E193="","Harga belum tersedia - hubungi konsultan TEG",IF(M1830=2,"Saat ini tidak menerima pendaftaran siswa internasional baru",IF(M1830=1,"Harga perlu dikonfirmasi ke sekolah"&amp;IF(""="","","; "&amp;""),"")))</f>
        <v/>
      </c>
      <c r="J1830" s="0" t="s">
        <v>4551</v>
      </c>
      <c r="K1830" s="0" t="n">
        <f aca="false">IF(M1830=2,"",IF(ISNUMBER(SEARCH("rata-rata:",'Onshore- Melbourne'!M193)),VALUE(MID('Onshore- Melbourne'!M193,SEARCH("rata-rata:",'Onshore- Melbourne'!M193)+11,FIND(";",'Onshore- Melbourne'!M193&amp;";",SEARCH("rata-rata:",'Onshore- Melbourne'!M193))-SEARCH("rata-rata:",'Onshore- Melbourne'!M193)-11)),IF('Onshore- Melbourne'!D193="Semester",'Onshore- Melbourne'!E193*2,IF('Onshore- Melbourne'!D193="Trimester",'Onshore- Melbourne'!E193*3,IF('Onshore- Melbourne'!D193="Term",'Onshore- Melbourne'!E193*4,IF('Onshore- Melbourne'!D193="Unit",'Onshore- Melbourne'!E193*8,""))))))</f>
        <v>35624</v>
      </c>
      <c r="L1830" s="0" t="n">
        <f aca="false">IF(AND(ISNUMBER('Onshore- Melbourne'!E193),ISNUMBER(K1830),ISNUMBER('Onshore- Melbourne'!F193),ISNUMBER('Onshore- Melbourne'!G193),OR('Onshore- Melbourne'!F193&lt;&gt;0,ISNUMBER(SEARCH("Material 0 terverifikasi",'Onshore- Melbourne'!M193))),OR('Onshore- Melbourne'!G193&lt;&gt;0,ISNUMBER(SEARCH("Enrolment 0 terverifikasi",'Onshore- Melbourne'!M193)))),1,0)</f>
        <v>0</v>
      </c>
      <c r="M1830" s="0" t="n">
        <f aca="false">IF(OR('Onshore- Melbourne'!E193="",ISNUMBER(SEARCH("BSB80120",'Onshore- Melbourne'!B193&amp;'Onshore- Melbourne'!M193)),ISNUMBER(SEARCH("Management (Learning)",'Onshore- Melbourne'!B193))),2,IF(ISNUMBER(SEARCH("CEK:",'Onshore- Melbourne'!M193)),1,0))</f>
        <v>0</v>
      </c>
    </row>
    <row r="1831" customFormat="false" ht="15" hidden="false" customHeight="false" outlineLevel="0" collapsed="false">
      <c r="A1831" s="61" t="s">
        <v>4552</v>
      </c>
      <c r="B1831" s="62"/>
      <c r="C1831" s="62"/>
      <c r="D1831" s="62"/>
      <c r="E1831" s="62"/>
      <c r="F1831" s="62"/>
      <c r="G1831" s="62"/>
      <c r="H1831" s="62"/>
      <c r="I1831" s="62"/>
    </row>
    <row r="1832" customFormat="false" ht="15" hidden="false" customHeight="false" outlineLevel="0" collapsed="false">
      <c r="A1832" s="63" t="s">
        <v>3544</v>
      </c>
      <c r="B1832" s="64" t="s">
        <v>3821</v>
      </c>
      <c r="C1832" s="63" t="s">
        <v>43</v>
      </c>
      <c r="D1832" s="64" t="str">
        <f aca="false">TRIM(LEFT('Onshore- Melbourne'!A94,FIND(CHAR(10),'Onshore- Melbourne'!A94&amp;CHAR(10))-1))</f>
        <v>Australian Catholic University (ACU)</v>
      </c>
      <c r="E1832" s="63" t="str">
        <f aca="false">'Onshore- Melbourne'!C182&amp;""</f>
        <v>3 years</v>
      </c>
      <c r="F1832" s="63" t="str">
        <f aca="false">IF('Onshore- Melbourne'!D182="","Belum tercatat",'Onshore- Melbourne'!D182)</f>
        <v>Term</v>
      </c>
      <c r="G1832" s="65" t="n">
        <f aca="false">IF('Onshore- Melbourne'!E182="","-",'Onshore- Melbourne'!E182)</f>
        <v>7162</v>
      </c>
      <c r="H1832" s="63" t="n">
        <f aca="false">IF(ISNUMBER(K1832),COUNTIFS($J$6:$J$1916,J1832,$K$6:$K$1916,"&lt;"&amp;K1832)+1,"-")</f>
        <v>1</v>
      </c>
      <c r="I1832" s="64" t="str">
        <f aca="false">IF('Onshore- Melbourne'!E182="","Harga belum tersedia - hubungi konsultan TEG",IF(M1832=2,"Saat ini tidak menerima pendaftaran siswa internasional baru",IF(M1832=1,"Harga perlu dikonfirmasi ke sekolah"&amp;IF(""="","","; "&amp;""),"")))</f>
        <v/>
      </c>
      <c r="J1832" s="0" t="s">
        <v>4553</v>
      </c>
      <c r="K1832" s="0" t="n">
        <f aca="false">IF(M1832=2,"",IF(ISNUMBER(SEARCH("rata-rata:",'Onshore- Melbourne'!M182)),VALUE(MID('Onshore- Melbourne'!M182,SEARCH("rata-rata:",'Onshore- Melbourne'!M182)+11,FIND(";",'Onshore- Melbourne'!M182&amp;";",SEARCH("rata-rata:",'Onshore- Melbourne'!M182))-SEARCH("rata-rata:",'Onshore- Melbourne'!M182)-11)),IF('Onshore- Melbourne'!D182="Semester",'Onshore- Melbourne'!E182*2,IF('Onshore- Melbourne'!D182="Trimester",'Onshore- Melbourne'!E182*3,IF('Onshore- Melbourne'!D182="Term",'Onshore- Melbourne'!E182*4,IF('Onshore- Melbourne'!D182="Unit",'Onshore- Melbourne'!E182*8,""))))))</f>
        <v>28648</v>
      </c>
      <c r="L1832" s="0" t="n">
        <f aca="false">IF(AND(ISNUMBER('Onshore- Melbourne'!E182),ISNUMBER(K1832),ISNUMBER('Onshore- Melbourne'!F182),ISNUMBER('Onshore- Melbourne'!G182),OR('Onshore- Melbourne'!F182&lt;&gt;0,ISNUMBER(SEARCH("Material 0 terverifikasi",'Onshore- Melbourne'!M182))),OR('Onshore- Melbourne'!G182&lt;&gt;0,ISNUMBER(SEARCH("Enrolment 0 terverifikasi",'Onshore- Melbourne'!M182)))),1,0)</f>
        <v>0</v>
      </c>
      <c r="M1832" s="0" t="n">
        <f aca="false">IF(OR('Onshore- Melbourne'!E182="",ISNUMBER(SEARCH("BSB80120",'Onshore- Melbourne'!B182&amp;'Onshore- Melbourne'!M182)),ISNUMBER(SEARCH("Management (Learning)",'Onshore- Melbourne'!B182))),2,IF(ISNUMBER(SEARCH("CEK:",'Onshore- Melbourne'!M182)),1,0))</f>
        <v>0</v>
      </c>
    </row>
    <row r="1833" customFormat="false" ht="15" hidden="false" customHeight="false" outlineLevel="0" collapsed="false">
      <c r="A1833" s="61" t="s">
        <v>4554</v>
      </c>
      <c r="B1833" s="62"/>
      <c r="C1833" s="62"/>
      <c r="D1833" s="62"/>
      <c r="E1833" s="62"/>
      <c r="F1833" s="62"/>
      <c r="G1833" s="62"/>
      <c r="H1833" s="62"/>
      <c r="I1833" s="62"/>
    </row>
    <row r="1834" customFormat="false" ht="15" hidden="false" customHeight="false" outlineLevel="0" collapsed="false">
      <c r="A1834" s="63" t="s">
        <v>3544</v>
      </c>
      <c r="B1834" s="64" t="s">
        <v>3821</v>
      </c>
      <c r="C1834" s="63" t="s">
        <v>3707</v>
      </c>
      <c r="D1834" s="64" t="str">
        <f aca="false">TRIM(LEFT('Onshore- Melbourne'!A461,FIND(CHAR(10),'Onshore- Melbourne'!A461&amp;CHAR(10))-1))</f>
        <v>Torrens University Australia</v>
      </c>
      <c r="E1834" s="63" t="str">
        <f aca="false">'Onshore- Melbourne'!C554&amp;""</f>
        <v>0,5 year</v>
      </c>
      <c r="F1834" s="63" t="str">
        <f aca="false">IF('Onshore- Melbourne'!D554="","Belum tercatat",'Onshore- Melbourne'!D554)</f>
        <v>Term</v>
      </c>
      <c r="G1834" s="65" t="n">
        <f aca="false">IF('Onshore- Melbourne'!E554="","-",'Onshore- Melbourne'!E554)</f>
        <v>3688</v>
      </c>
      <c r="H1834" s="63" t="n">
        <f aca="false">IF(ISNUMBER(K1834),COUNTIFS($J$6:$J$1916,J1834,$K$6:$K$1916,"&lt;"&amp;K1834)+1,"-")</f>
        <v>1</v>
      </c>
      <c r="I1834" s="64" t="str">
        <f aca="false">IF('Onshore- Melbourne'!E554="","Harga belum tersedia - hubungi konsultan TEG",IF(M1834=2,"Saat ini tidak menerima pendaftaran siswa internasional baru",IF(M1834=1,"Harga perlu dikonfirmasi ke sekolah"&amp;IF(""="","","; "&amp;""),"")))</f>
        <v/>
      </c>
      <c r="J1834" s="0" t="s">
        <v>4555</v>
      </c>
      <c r="K1834" s="0" t="n">
        <f aca="false">IF(M1834=2,"",IF(ISNUMBER(SEARCH("rata-rata:",'Onshore- Melbourne'!M554)),VALUE(MID('Onshore- Melbourne'!M554,SEARCH("rata-rata:",'Onshore- Melbourne'!M554)+11,FIND(";",'Onshore- Melbourne'!M554&amp;";",SEARCH("rata-rata:",'Onshore- Melbourne'!M554))-SEARCH("rata-rata:",'Onshore- Melbourne'!M554)-11)),IF('Onshore- Melbourne'!D554="Semester",'Onshore- Melbourne'!E554*2,IF('Onshore- Melbourne'!D554="Trimester",'Onshore- Melbourne'!E554*3,IF('Onshore- Melbourne'!D554="Term",'Onshore- Melbourne'!E554*4,IF('Onshore- Melbourne'!D554="Unit",'Onshore- Melbourne'!E554*8,""))))))</f>
        <v>14752</v>
      </c>
      <c r="L1834" s="0" t="n">
        <f aca="false">IF(AND(ISNUMBER('Onshore- Melbourne'!E554),ISNUMBER(K1834),ISNUMBER('Onshore- Melbourne'!F554),ISNUMBER('Onshore- Melbourne'!G554),OR('Onshore- Melbourne'!F554&lt;&gt;0,ISNUMBER(SEARCH("Material 0 terverifikasi",'Onshore- Melbourne'!M554))),OR('Onshore- Melbourne'!G554&lt;&gt;0,ISNUMBER(SEARCH("Enrolment 0 terverifikasi",'Onshore- Melbourne'!M554)))),1,0)</f>
        <v>0</v>
      </c>
      <c r="M1834" s="0" t="n">
        <f aca="false">IF(OR('Onshore- Melbourne'!E554="",ISNUMBER(SEARCH("BSB80120",'Onshore- Melbourne'!B554&amp;'Onshore- Melbourne'!M554)),ISNUMBER(SEARCH("Management (Learning)",'Onshore- Melbourne'!B554))),2,IF(ISNUMBER(SEARCH("CEK:",'Onshore- Melbourne'!M554)),1,0))</f>
        <v>0</v>
      </c>
    </row>
    <row r="1835" customFormat="false" ht="15" hidden="false" customHeight="false" outlineLevel="0" collapsed="false">
      <c r="A1835" s="63" t="s">
        <v>3544</v>
      </c>
      <c r="B1835" s="64" t="s">
        <v>3821</v>
      </c>
      <c r="C1835" s="63" t="s">
        <v>3707</v>
      </c>
      <c r="D1835" s="64" t="str">
        <f aca="false">TRIM(LEFT('Onshore- Melbourne'!A298,FIND(CHAR(10),'Onshore- Melbourne'!A298&amp;CHAR(10))-1))</f>
        <v>Higher Education Leadership Institute (HELI)</v>
      </c>
      <c r="E1835" s="63" t="str">
        <f aca="false">'Onshore- Melbourne'!C298&amp;""</f>
        <v>0,5 year</v>
      </c>
      <c r="F1835" s="63" t="str">
        <f aca="false">IF('Onshore- Melbourne'!D298="","Belum tercatat",'Onshore- Melbourne'!D298)</f>
        <v>Trimester</v>
      </c>
      <c r="G1835" s="65" t="n">
        <f aca="false">IF('Onshore- Melbourne'!E298="","-",'Onshore- Melbourne'!E298)</f>
        <v>14700</v>
      </c>
      <c r="H1835" s="63" t="n">
        <f aca="false">IF(ISNUMBER(K1835),COUNTIFS($J$6:$J$1916,J1835,$K$6:$K$1916,"&lt;"&amp;K1835)+1,"-")</f>
        <v>2</v>
      </c>
      <c r="I1835" s="64" t="str">
        <f aca="false">IF('Onshore- Melbourne'!E298="","Harga belum tersedia - hubungi konsultan TEG",IF(M1835=2,"Saat ini tidak menerima pendaftaran siswa internasional baru",IF(M1835=1,"Harga perlu dikonfirmasi ke sekolah"&amp;IF(""="","","; "&amp;""),"")))</f>
        <v>Harga perlu dikonfirmasi ke sekolah</v>
      </c>
      <c r="J1835" s="0" t="s">
        <v>4555</v>
      </c>
      <c r="K1835" s="0" t="n">
        <f aca="false">IF(M1835=2,"",IF(ISNUMBER(SEARCH("rata-rata:",'Onshore- Melbourne'!M298)),VALUE(MID('Onshore- Melbourne'!M298,SEARCH("rata-rata:",'Onshore- Melbourne'!M298)+11,FIND(";",'Onshore- Melbourne'!M298&amp;";",SEARCH("rata-rata:",'Onshore- Melbourne'!M298))-SEARCH("rata-rata:",'Onshore- Melbourne'!M298)-11)),IF('Onshore- Melbourne'!D298="Semester",'Onshore- Melbourne'!E298*2,IF('Onshore- Melbourne'!D298="Trimester",'Onshore- Melbourne'!E298*3,IF('Onshore- Melbourne'!D298="Term",'Onshore- Melbourne'!E298*4,IF('Onshore- Melbourne'!D298="Unit",'Onshore- Melbourne'!E298*8,""))))))</f>
        <v>44100</v>
      </c>
      <c r="L1835" s="0" t="n">
        <f aca="false">IF(AND(ISNUMBER('Onshore- Melbourne'!E298),ISNUMBER(K1835),ISNUMBER('Onshore- Melbourne'!F298),ISNUMBER('Onshore- Melbourne'!G298),OR('Onshore- Melbourne'!F298&lt;&gt;0,ISNUMBER(SEARCH("Material 0 terverifikasi",'Onshore- Melbourne'!M298))),OR('Onshore- Melbourne'!G298&lt;&gt;0,ISNUMBER(SEARCH("Enrolment 0 terverifikasi",'Onshore- Melbourne'!M298)))),1,0)</f>
        <v>0</v>
      </c>
      <c r="M1835" s="0" t="n">
        <f aca="false">IF(OR('Onshore- Melbourne'!E298="",ISNUMBER(SEARCH("BSB80120",'Onshore- Melbourne'!B298&amp;'Onshore- Melbourne'!M298)),ISNUMBER(SEARCH("Management (Learning)",'Onshore- Melbourne'!B298))),2,IF(ISNUMBER(SEARCH("CEK:",'Onshore- Melbourne'!M298)),1,0))</f>
        <v>1</v>
      </c>
    </row>
    <row r="1836" customFormat="false" ht="15" hidden="false" customHeight="false" outlineLevel="0" collapsed="false">
      <c r="A1836" s="61" t="s">
        <v>4556</v>
      </c>
      <c r="B1836" s="62"/>
      <c r="C1836" s="62"/>
      <c r="D1836" s="62"/>
      <c r="E1836" s="62"/>
      <c r="F1836" s="62"/>
      <c r="G1836" s="62"/>
      <c r="H1836" s="62"/>
      <c r="I1836" s="62"/>
    </row>
    <row r="1837" customFormat="false" ht="15" hidden="false" customHeight="false" outlineLevel="0" collapsed="false">
      <c r="A1837" s="63" t="s">
        <v>3544</v>
      </c>
      <c r="B1837" s="64" t="s">
        <v>3821</v>
      </c>
      <c r="C1837" s="63" t="s">
        <v>46</v>
      </c>
      <c r="D1837" s="64" t="str">
        <f aca="false">TRIM(LEFT('Onshore- Melbourne'!A461,FIND(CHAR(10),'Onshore- Melbourne'!A461&amp;CHAR(10))-1))</f>
        <v>Torrens University Australia</v>
      </c>
      <c r="E1837" s="63" t="str">
        <f aca="false">'Onshore- Melbourne'!C556&amp;""</f>
        <v>2 years</v>
      </c>
      <c r="F1837" s="63" t="str">
        <f aca="false">IF('Onshore- Melbourne'!D556="","Belum tercatat",'Onshore- Melbourne'!D556)</f>
        <v>Term</v>
      </c>
      <c r="G1837" s="65" t="n">
        <f aca="false">IF('Onshore- Melbourne'!E556="","-",'Onshore- Melbourne'!E556)</f>
        <v>7375</v>
      </c>
      <c r="H1837" s="63" t="n">
        <f aca="false">IF(ISNUMBER(K1837),COUNTIFS($J$6:$J$1916,J1837,$K$6:$K$1916,"&lt;"&amp;K1837)+1,"-")</f>
        <v>1</v>
      </c>
      <c r="I1837" s="64" t="str">
        <f aca="false">IF('Onshore- Melbourne'!E556="","Harga belum tersedia - hubungi konsultan TEG",IF(M1837=2,"Saat ini tidak menerima pendaftaran siswa internasional baru",IF(M1837=1,"Harga perlu dikonfirmasi ke sekolah"&amp;IF(""="","","; "&amp;""),"")))</f>
        <v/>
      </c>
      <c r="J1837" s="0" t="s">
        <v>4557</v>
      </c>
      <c r="K1837" s="0" t="n">
        <f aca="false">IF(M1837=2,"",IF(ISNUMBER(SEARCH("rata-rata:",'Onshore- Melbourne'!M556)),VALUE(MID('Onshore- Melbourne'!M556,SEARCH("rata-rata:",'Onshore- Melbourne'!M556)+11,FIND(";",'Onshore- Melbourne'!M556&amp;";",SEARCH("rata-rata:",'Onshore- Melbourne'!M556))-SEARCH("rata-rata:",'Onshore- Melbourne'!M556)-11)),IF('Onshore- Melbourne'!D556="Semester",'Onshore- Melbourne'!E556*2,IF('Onshore- Melbourne'!D556="Trimester",'Onshore- Melbourne'!E556*3,IF('Onshore- Melbourne'!D556="Term",'Onshore- Melbourne'!E556*4,IF('Onshore- Melbourne'!D556="Unit",'Onshore- Melbourne'!E556*8,""))))))</f>
        <v>29500</v>
      </c>
      <c r="L1837" s="0" t="n">
        <f aca="false">IF(AND(ISNUMBER('Onshore- Melbourne'!E556),ISNUMBER(K1837),ISNUMBER('Onshore- Melbourne'!F556),ISNUMBER('Onshore- Melbourne'!G556),OR('Onshore- Melbourne'!F556&lt;&gt;0,ISNUMBER(SEARCH("Material 0 terverifikasi",'Onshore- Melbourne'!M556))),OR('Onshore- Melbourne'!G556&lt;&gt;0,ISNUMBER(SEARCH("Enrolment 0 terverifikasi",'Onshore- Melbourne'!M556)))),1,0)</f>
        <v>0</v>
      </c>
      <c r="M1837" s="0" t="n">
        <f aca="false">IF(OR('Onshore- Melbourne'!E556="",ISNUMBER(SEARCH("BSB80120",'Onshore- Melbourne'!B556&amp;'Onshore- Melbourne'!M556)),ISNUMBER(SEARCH("Management (Learning)",'Onshore- Melbourne'!B556))),2,IF(ISNUMBER(SEARCH("CEK:",'Onshore- Melbourne'!M556)),1,0))</f>
        <v>0</v>
      </c>
    </row>
    <row r="1838" customFormat="false" ht="15" hidden="false" customHeight="false" outlineLevel="0" collapsed="false">
      <c r="A1838" s="63" t="s">
        <v>3544</v>
      </c>
      <c r="B1838" s="64" t="s">
        <v>3821</v>
      </c>
      <c r="C1838" s="63" t="s">
        <v>46</v>
      </c>
      <c r="D1838" s="64" t="str">
        <f aca="false">TRIM(LEFT('Onshore- Melbourne'!A94,FIND(CHAR(10),'Onshore- Melbourne'!A94&amp;CHAR(10))-1))</f>
        <v>Australian Catholic University (ACU)</v>
      </c>
      <c r="E1838" s="63" t="str">
        <f aca="false">'Onshore- Melbourne'!C186&amp;""</f>
        <v>2 years</v>
      </c>
      <c r="F1838" s="63" t="str">
        <f aca="false">IF('Onshore- Melbourne'!D186="","Belum tercatat",'Onshore- Melbourne'!D186)</f>
        <v>Term</v>
      </c>
      <c r="G1838" s="65" t="n">
        <f aca="false">IF('Onshore- Melbourne'!E186="","-",'Onshore- Melbourne'!E186)</f>
        <v>8682</v>
      </c>
      <c r="H1838" s="63" t="n">
        <f aca="false">IF(ISNUMBER(K1838),COUNTIFS($J$6:$J$1916,J1838,$K$6:$K$1916,"&lt;"&amp;K1838)+1,"-")</f>
        <v>2</v>
      </c>
      <c r="I1838" s="64" t="str">
        <f aca="false">IF('Onshore- Melbourne'!E186="","Harga belum tersedia - hubungi konsultan TEG",IF(M1838=2,"Saat ini tidak menerima pendaftaran siswa internasional baru",IF(M1838=1,"Harga perlu dikonfirmasi ke sekolah"&amp;IF(""="","","; "&amp;""),"")))</f>
        <v/>
      </c>
      <c r="J1838" s="0" t="s">
        <v>4557</v>
      </c>
      <c r="K1838" s="0" t="n">
        <f aca="false">IF(M1838=2,"",IF(ISNUMBER(SEARCH("rata-rata:",'Onshore- Melbourne'!M186)),VALUE(MID('Onshore- Melbourne'!M186,SEARCH("rata-rata:",'Onshore- Melbourne'!M186)+11,FIND(";",'Onshore- Melbourne'!M186&amp;";",SEARCH("rata-rata:",'Onshore- Melbourne'!M186))-SEARCH("rata-rata:",'Onshore- Melbourne'!M186)-11)),IF('Onshore- Melbourne'!D186="Semester",'Onshore- Melbourne'!E186*2,IF('Onshore- Melbourne'!D186="Trimester",'Onshore- Melbourne'!E186*3,IF('Onshore- Melbourne'!D186="Term",'Onshore- Melbourne'!E186*4,IF('Onshore- Melbourne'!D186="Unit",'Onshore- Melbourne'!E186*8,""))))))</f>
        <v>34728</v>
      </c>
      <c r="L1838" s="0" t="n">
        <f aca="false">IF(AND(ISNUMBER('Onshore- Melbourne'!E186),ISNUMBER(K1838),ISNUMBER('Onshore- Melbourne'!F186),ISNUMBER('Onshore- Melbourne'!G186),OR('Onshore- Melbourne'!F186&lt;&gt;0,ISNUMBER(SEARCH("Material 0 terverifikasi",'Onshore- Melbourne'!M186))),OR('Onshore- Melbourne'!G186&lt;&gt;0,ISNUMBER(SEARCH("Enrolment 0 terverifikasi",'Onshore- Melbourne'!M186)))),1,0)</f>
        <v>0</v>
      </c>
      <c r="M1838" s="0" t="n">
        <f aca="false">IF(OR('Onshore- Melbourne'!E186="",ISNUMBER(SEARCH("BSB80120",'Onshore- Melbourne'!B186&amp;'Onshore- Melbourne'!M186)),ISNUMBER(SEARCH("Management (Learning)",'Onshore- Melbourne'!B186))),2,IF(ISNUMBER(SEARCH("CEK:",'Onshore- Melbourne'!M186)),1,0))</f>
        <v>0</v>
      </c>
    </row>
    <row r="1839" customFormat="false" ht="15" hidden="false" customHeight="false" outlineLevel="0" collapsed="false">
      <c r="A1839" s="63" t="s">
        <v>3544</v>
      </c>
      <c r="B1839" s="64" t="s">
        <v>3821</v>
      </c>
      <c r="C1839" s="63" t="s">
        <v>46</v>
      </c>
      <c r="D1839" s="64" t="str">
        <f aca="false">TRIM(LEFT('Onshore- Melbourne'!A298,FIND(CHAR(10),'Onshore- Melbourne'!A298&amp;CHAR(10))-1))</f>
        <v>Higher Education Leadership Institute (HELI)</v>
      </c>
      <c r="E1839" s="63" t="str">
        <f aca="false">'Onshore- Melbourne'!C299&amp;""</f>
        <v>2 years</v>
      </c>
      <c r="F1839" s="63" t="str">
        <f aca="false">IF('Onshore- Melbourne'!D299="","Belum tercatat",'Onshore- Melbourne'!D299)</f>
        <v>Trimester</v>
      </c>
      <c r="G1839" s="65" t="n">
        <f aca="false">IF('Onshore- Melbourne'!E299="","-",'Onshore- Melbourne'!E299)</f>
        <v>14700</v>
      </c>
      <c r="H1839" s="63" t="n">
        <f aca="false">IF(ISNUMBER(K1839),COUNTIFS($J$6:$J$1916,J1839,$K$6:$K$1916,"&lt;"&amp;K1839)+1,"-")</f>
        <v>3</v>
      </c>
      <c r="I1839" s="64" t="str">
        <f aca="false">IF('Onshore- Melbourne'!E299="","Harga belum tersedia - hubungi konsultan TEG",IF(M1839=2,"Saat ini tidak menerima pendaftaran siswa internasional baru",IF(M1839=1,"Harga perlu dikonfirmasi ke sekolah"&amp;IF(""="","","; "&amp;""),"")))</f>
        <v>Harga perlu dikonfirmasi ke sekolah</v>
      </c>
      <c r="J1839" s="0" t="s">
        <v>4557</v>
      </c>
      <c r="K1839" s="0" t="n">
        <f aca="false">IF(M1839=2,"",IF(ISNUMBER(SEARCH("rata-rata:",'Onshore- Melbourne'!M299)),VALUE(MID('Onshore- Melbourne'!M299,SEARCH("rata-rata:",'Onshore- Melbourne'!M299)+11,FIND(";",'Onshore- Melbourne'!M299&amp;";",SEARCH("rata-rata:",'Onshore- Melbourne'!M299))-SEARCH("rata-rata:",'Onshore- Melbourne'!M299)-11)),IF('Onshore- Melbourne'!D299="Semester",'Onshore- Melbourne'!E299*2,IF('Onshore- Melbourne'!D299="Trimester",'Onshore- Melbourne'!E299*3,IF('Onshore- Melbourne'!D299="Term",'Onshore- Melbourne'!E299*4,IF('Onshore- Melbourne'!D299="Unit",'Onshore- Melbourne'!E299*8,""))))))</f>
        <v>44100</v>
      </c>
      <c r="L1839" s="0" t="n">
        <f aca="false">IF(AND(ISNUMBER('Onshore- Melbourne'!E299),ISNUMBER(K1839),ISNUMBER('Onshore- Melbourne'!F299),ISNUMBER('Onshore- Melbourne'!G299),OR('Onshore- Melbourne'!F299&lt;&gt;0,ISNUMBER(SEARCH("Material 0 terverifikasi",'Onshore- Melbourne'!M299))),OR('Onshore- Melbourne'!G299&lt;&gt;0,ISNUMBER(SEARCH("Enrolment 0 terverifikasi",'Onshore- Melbourne'!M299)))),1,0)</f>
        <v>0</v>
      </c>
      <c r="M1839" s="0" t="n">
        <f aca="false">IF(OR('Onshore- Melbourne'!E299="",ISNUMBER(SEARCH("BSB80120",'Onshore- Melbourne'!B299&amp;'Onshore- Melbourne'!M299)),ISNUMBER(SEARCH("Management (Learning)",'Onshore- Melbourne'!B299))),2,IF(ISNUMBER(SEARCH("CEK:",'Onshore- Melbourne'!M299)),1,0))</f>
        <v>1</v>
      </c>
    </row>
    <row r="1840" customFormat="false" ht="15" hidden="false" customHeight="false" outlineLevel="0" collapsed="false">
      <c r="A1840" s="61" t="s">
        <v>4558</v>
      </c>
      <c r="B1840" s="62"/>
      <c r="C1840" s="62"/>
      <c r="D1840" s="62"/>
      <c r="E1840" s="62"/>
      <c r="F1840" s="62"/>
      <c r="G1840" s="62"/>
      <c r="H1840" s="62"/>
      <c r="I1840" s="62"/>
    </row>
    <row r="1841" customFormat="false" ht="15" hidden="false" customHeight="false" outlineLevel="0" collapsed="false">
      <c r="A1841" s="63" t="s">
        <v>3544</v>
      </c>
      <c r="B1841" s="64" t="s">
        <v>3821</v>
      </c>
      <c r="C1841" s="63" t="s">
        <v>4222</v>
      </c>
      <c r="D1841" s="64" t="str">
        <f aca="false">TRIM(LEFT('Onshore- Melbourne'!A461,FIND(CHAR(10),'Onshore- Melbourne'!A461&amp;CHAR(10))-1))</f>
        <v>Torrens University Australia</v>
      </c>
      <c r="E1841" s="63" t="str">
        <f aca="false">'Onshore- Melbourne'!C558&amp;""</f>
        <v>3 years</v>
      </c>
      <c r="F1841" s="63" t="str">
        <f aca="false">IF('Onshore- Melbourne'!D558="","Belum tercatat",'Onshore- Melbourne'!D558)</f>
        <v>Term</v>
      </c>
      <c r="G1841" s="65" t="n">
        <f aca="false">IF('Onshore- Melbourne'!E558="","-",'Onshore- Melbourne'!E558)</f>
        <v>7375</v>
      </c>
      <c r="H1841" s="63" t="n">
        <f aca="false">IF(ISNUMBER(K1841),COUNTIFS($J$6:$J$1916,J1841,$K$6:$K$1916,"&lt;"&amp;K1841)+1,"-")</f>
        <v>1</v>
      </c>
      <c r="I1841" s="64" t="str">
        <f aca="false">IF('Onshore- Melbourne'!E558="","Harga belum tersedia - hubungi konsultan TEG",IF(M1841=2,"Saat ini tidak menerima pendaftaran siswa internasional baru",IF(M1841=1,"Harga perlu dikonfirmasi ke sekolah"&amp;IF(""="","","; "&amp;""),"")))</f>
        <v/>
      </c>
      <c r="J1841" s="0" t="s">
        <v>4559</v>
      </c>
      <c r="K1841" s="0" t="n">
        <f aca="false">IF(M1841=2,"",IF(ISNUMBER(SEARCH("rata-rata:",'Onshore- Melbourne'!M558)),VALUE(MID('Onshore- Melbourne'!M558,SEARCH("rata-rata:",'Onshore- Melbourne'!M558)+11,FIND(";",'Onshore- Melbourne'!M558&amp;";",SEARCH("rata-rata:",'Onshore- Melbourne'!M558))-SEARCH("rata-rata:",'Onshore- Melbourne'!M558)-11)),IF('Onshore- Melbourne'!D558="Semester",'Onshore- Melbourne'!E558*2,IF('Onshore- Melbourne'!D558="Trimester",'Onshore- Melbourne'!E558*3,IF('Onshore- Melbourne'!D558="Term",'Onshore- Melbourne'!E558*4,IF('Onshore- Melbourne'!D558="Unit",'Onshore- Melbourne'!E558*8,""))))))</f>
        <v>29500</v>
      </c>
      <c r="L1841" s="0" t="n">
        <f aca="false">IF(AND(ISNUMBER('Onshore- Melbourne'!E558),ISNUMBER(K1841),ISNUMBER('Onshore- Melbourne'!F558),ISNUMBER('Onshore- Melbourne'!G558),OR('Onshore- Melbourne'!F558&lt;&gt;0,ISNUMBER(SEARCH("Material 0 terverifikasi",'Onshore- Melbourne'!M558))),OR('Onshore- Melbourne'!G558&lt;&gt;0,ISNUMBER(SEARCH("Enrolment 0 terverifikasi",'Onshore- Melbourne'!M558)))),1,0)</f>
        <v>0</v>
      </c>
      <c r="M1841" s="0" t="n">
        <f aca="false">IF(OR('Onshore- Melbourne'!E558="",ISNUMBER(SEARCH("BSB80120",'Onshore- Melbourne'!B558&amp;'Onshore- Melbourne'!M558)),ISNUMBER(SEARCH("Management (Learning)",'Onshore- Melbourne'!B558))),2,IF(ISNUMBER(SEARCH("CEK:",'Onshore- Melbourne'!M558)),1,0))</f>
        <v>0</v>
      </c>
    </row>
    <row r="1842" customFormat="false" ht="15" hidden="false" customHeight="false" outlineLevel="0" collapsed="false">
      <c r="A1842" s="63" t="s">
        <v>3544</v>
      </c>
      <c r="B1842" s="64" t="s">
        <v>3821</v>
      </c>
      <c r="C1842" s="63" t="s">
        <v>4222</v>
      </c>
      <c r="D1842" s="64" t="str">
        <f aca="false">TRIM(LEFT('Onshore- Melbourne'!A94,FIND(CHAR(10),'Onshore- Melbourne'!A94&amp;CHAR(10))-1))</f>
        <v>Australian Catholic University (ACU)</v>
      </c>
      <c r="E1842" s="63" t="str">
        <f aca="false">'Onshore- Melbourne'!C184&amp;""</f>
        <v>3 years</v>
      </c>
      <c r="F1842" s="63" t="str">
        <f aca="false">IF('Onshore- Melbourne'!D184="","Belum tercatat",'Onshore- Melbourne'!D184)</f>
        <v>Term</v>
      </c>
      <c r="G1842" s="65" t="n">
        <f aca="false">IF('Onshore- Melbourne'!E184="","-",'Onshore- Melbourne'!E184)</f>
        <v>8682</v>
      </c>
      <c r="H1842" s="63" t="n">
        <f aca="false">IF(ISNUMBER(K1842),COUNTIFS($J$6:$J$1916,J1842,$K$6:$K$1916,"&lt;"&amp;K1842)+1,"-")</f>
        <v>2</v>
      </c>
      <c r="I1842" s="64" t="str">
        <f aca="false">IF('Onshore- Melbourne'!E184="","Harga belum tersedia - hubungi konsultan TEG",IF(M1842=2,"Saat ini tidak menerima pendaftaran siswa internasional baru",IF(M1842=1,"Harga perlu dikonfirmasi ke sekolah"&amp;IF(""="","","; "&amp;""),"")))</f>
        <v/>
      </c>
      <c r="J1842" s="0" t="s">
        <v>4559</v>
      </c>
      <c r="K1842" s="0" t="n">
        <f aca="false">IF(M1842=2,"",IF(ISNUMBER(SEARCH("rata-rata:",'Onshore- Melbourne'!M184)),VALUE(MID('Onshore- Melbourne'!M184,SEARCH("rata-rata:",'Onshore- Melbourne'!M184)+11,FIND(";",'Onshore- Melbourne'!M184&amp;";",SEARCH("rata-rata:",'Onshore- Melbourne'!M184))-SEARCH("rata-rata:",'Onshore- Melbourne'!M184)-11)),IF('Onshore- Melbourne'!D184="Semester",'Onshore- Melbourne'!E184*2,IF('Onshore- Melbourne'!D184="Trimester",'Onshore- Melbourne'!E184*3,IF('Onshore- Melbourne'!D184="Term",'Onshore- Melbourne'!E184*4,IF('Onshore- Melbourne'!D184="Unit",'Onshore- Melbourne'!E184*8,""))))))</f>
        <v>34728</v>
      </c>
      <c r="L1842" s="0" t="n">
        <f aca="false">IF(AND(ISNUMBER('Onshore- Melbourne'!E184),ISNUMBER(K1842),ISNUMBER('Onshore- Melbourne'!F184),ISNUMBER('Onshore- Melbourne'!G184),OR('Onshore- Melbourne'!F184&lt;&gt;0,ISNUMBER(SEARCH("Material 0 terverifikasi",'Onshore- Melbourne'!M184))),OR('Onshore- Melbourne'!G184&lt;&gt;0,ISNUMBER(SEARCH("Enrolment 0 terverifikasi",'Onshore- Melbourne'!M184)))),1,0)</f>
        <v>0</v>
      </c>
      <c r="M1842" s="0" t="n">
        <f aca="false">IF(OR('Onshore- Melbourne'!E184="",ISNUMBER(SEARCH("BSB80120",'Onshore- Melbourne'!B184&amp;'Onshore- Melbourne'!M184)),ISNUMBER(SEARCH("Management (Learning)",'Onshore- Melbourne'!B184))),2,IF(ISNUMBER(SEARCH("CEK:",'Onshore- Melbourne'!M184)),1,0))</f>
        <v>0</v>
      </c>
    </row>
    <row r="1843" customFormat="false" ht="15" hidden="false" customHeight="false" outlineLevel="0" collapsed="false">
      <c r="A1843" s="61" t="s">
        <v>4560</v>
      </c>
      <c r="B1843" s="62"/>
      <c r="C1843" s="62"/>
      <c r="D1843" s="62"/>
      <c r="E1843" s="62"/>
      <c r="F1843" s="62"/>
      <c r="G1843" s="62"/>
      <c r="H1843" s="62"/>
      <c r="I1843" s="62"/>
    </row>
    <row r="1844" customFormat="false" ht="15" hidden="false" customHeight="false" outlineLevel="0" collapsed="false">
      <c r="A1844" s="63" t="s">
        <v>3533</v>
      </c>
      <c r="B1844" s="64" t="s">
        <v>3821</v>
      </c>
      <c r="C1844" s="63" t="s">
        <v>41</v>
      </c>
      <c r="D1844" s="64" t="str">
        <f aca="false">TRIM(LEFT('Onshore - Sydney'!A163,FIND(CHAR(10),'Onshore - Sydney'!A163&amp;CHAR(10))-1))</f>
        <v>Australian Catholic University (ACU)</v>
      </c>
      <c r="E1844" s="63" t="str">
        <f aca="false">'Onshore - Sydney'!C262&amp;""</f>
        <v>1 year</v>
      </c>
      <c r="F1844" s="63" t="str">
        <f aca="false">IF('Onshore - Sydney'!D262="","Belum tercatat",'Onshore - Sydney'!D262)</f>
        <v>Term</v>
      </c>
      <c r="G1844" s="65" t="n">
        <f aca="false">IF('Onshore - Sydney'!E262="","-",'Onshore - Sydney'!E262)</f>
        <v>8906</v>
      </c>
      <c r="H1844" s="63" t="n">
        <f aca="false">IF(ISNUMBER(K1844),COUNTIFS($J$6:$J$1916,J1844,$K$6:$K$1916,"&lt;"&amp;K1844)+1,"-")</f>
        <v>1</v>
      </c>
      <c r="I1844" s="64" t="str">
        <f aca="false">IF('Onshore - Sydney'!E262="","Harga belum tersedia - hubungi konsultan TEG",IF(M1844=2,"Saat ini tidak menerima pendaftaran siswa internasional baru",IF(M1844=1,"Harga perlu dikonfirmasi ke sekolah"&amp;IF(""="","","; "&amp;""),"")))</f>
        <v/>
      </c>
      <c r="J1844" s="0" t="s">
        <v>4561</v>
      </c>
      <c r="K1844" s="0" t="n">
        <f aca="false">IF(M1844=2,"",IF(ISNUMBER(SEARCH("rata-rata:",'Onshore - Sydney'!M262)),VALUE(MID('Onshore - Sydney'!M262,SEARCH("rata-rata:",'Onshore - Sydney'!M262)+11,FIND(";",'Onshore - Sydney'!M262&amp;";",SEARCH("rata-rata:",'Onshore - Sydney'!M262))-SEARCH("rata-rata:",'Onshore - Sydney'!M262)-11)),IF('Onshore - Sydney'!D262="Semester",'Onshore - Sydney'!E262*2,IF('Onshore - Sydney'!D262="Trimester",'Onshore - Sydney'!E262*3,IF('Onshore - Sydney'!D262="Term",'Onshore - Sydney'!E262*4,IF('Onshore - Sydney'!D262="Unit",'Onshore - Sydney'!E262*8,""))))))</f>
        <v>35624</v>
      </c>
      <c r="L1844" s="0" t="n">
        <f aca="false">IF(AND(ISNUMBER('Onshore - Sydney'!E262),ISNUMBER(K1844),ISNUMBER('Onshore - Sydney'!F262),ISNUMBER('Onshore - Sydney'!G262),OR('Onshore - Sydney'!F262&lt;&gt;0,ISNUMBER(SEARCH("Material 0 terverifikasi",'Onshore - Sydney'!M262))),OR('Onshore - Sydney'!G262&lt;&gt;0,ISNUMBER(SEARCH("Enrolment 0 terverifikasi",'Onshore - Sydney'!M262)))),1,0)</f>
        <v>0</v>
      </c>
      <c r="M1844" s="0" t="n">
        <f aca="false">IF(OR('Onshore - Sydney'!E262="",ISNUMBER(SEARCH("BSB80120",'Onshore - Sydney'!B262&amp;'Onshore - Sydney'!M262)),ISNUMBER(SEARCH("Management (Learning)",'Onshore - Sydney'!B262))),2,IF(ISNUMBER(SEARCH("CEK:",'Onshore - Sydney'!M262)),1,0))</f>
        <v>0</v>
      </c>
    </row>
    <row r="1845" customFormat="false" ht="15" hidden="false" customHeight="false" outlineLevel="0" collapsed="false">
      <c r="A1845" s="61" t="s">
        <v>4562</v>
      </c>
      <c r="B1845" s="62"/>
      <c r="C1845" s="62"/>
      <c r="D1845" s="62"/>
      <c r="E1845" s="62"/>
      <c r="F1845" s="62"/>
      <c r="G1845" s="62"/>
      <c r="H1845" s="62"/>
      <c r="I1845" s="62"/>
    </row>
    <row r="1846" customFormat="false" ht="15" hidden="false" customHeight="false" outlineLevel="0" collapsed="false">
      <c r="A1846" s="63" t="s">
        <v>3533</v>
      </c>
      <c r="B1846" s="64" t="s">
        <v>3821</v>
      </c>
      <c r="C1846" s="63" t="s">
        <v>42</v>
      </c>
      <c r="D1846" s="64" t="str">
        <f aca="false">TRIM(LEFT('Onshore - Sydney'!A6,FIND(CHAR(10),'Onshore - Sydney'!A6&amp;CHAR(10))-1))</f>
        <v>Abbey College Australia</v>
      </c>
      <c r="E1846" s="63" t="str">
        <f aca="false">'Onshore - Sydney'!C14&amp;""</f>
        <v>2 years</v>
      </c>
      <c r="F1846" s="63" t="str">
        <f aca="false">IF('Onshore - Sydney'!D14="","Belum tercatat",'Onshore - Sydney'!D14)</f>
        <v>Term</v>
      </c>
      <c r="G1846" s="65" t="n">
        <f aca="false">IF('Onshore - Sydney'!E14="","-",'Onshore - Sydney'!E14)</f>
        <v>2500</v>
      </c>
      <c r="H1846" s="63" t="n">
        <f aca="false">IF(ISNUMBER(K1846),COUNTIFS($J$6:$J$1916,J1846,$K$6:$K$1916,"&lt;"&amp;K1846)+1,"-")</f>
        <v>1</v>
      </c>
      <c r="I1846" s="64" t="str">
        <f aca="false">IF('Onshore - Sydney'!E14="","Harga belum tersedia - hubungi konsultan TEG",IF(M1846=2,"Saat ini tidak menerima pendaftaran siswa internasional baru",IF(M1846=1,"Harga perlu dikonfirmasi ke sekolah"&amp;IF(""="","","; "&amp;""),"")))</f>
        <v/>
      </c>
      <c r="J1846" s="0" t="s">
        <v>4563</v>
      </c>
      <c r="K1846" s="0" t="n">
        <f aca="false">IF(M1846=2,"",IF(ISNUMBER(SEARCH("rata-rata:",'Onshore - Sydney'!M14)),VALUE(MID('Onshore - Sydney'!M14,SEARCH("rata-rata:",'Onshore - Sydney'!M14)+11,FIND(";",'Onshore - Sydney'!M14&amp;";",SEARCH("rata-rata:",'Onshore - Sydney'!M14))-SEARCH("rata-rata:",'Onshore - Sydney'!M14)-11)),IF('Onshore - Sydney'!D14="Semester",'Onshore - Sydney'!E14*2,IF('Onshore - Sydney'!D14="Trimester",'Onshore - Sydney'!E14*3,IF('Onshore - Sydney'!D14="Term",'Onshore - Sydney'!E14*4,IF('Onshore - Sydney'!D14="Unit",'Onshore - Sydney'!E14*8,""))))))</f>
        <v>10000</v>
      </c>
      <c r="L1846" s="0" t="n">
        <f aca="false">IF(AND(ISNUMBER('Onshore - Sydney'!E14),ISNUMBER(K1846),ISNUMBER('Onshore - Sydney'!F14),ISNUMBER('Onshore - Sydney'!G14),OR('Onshore - Sydney'!F14&lt;&gt;0,ISNUMBER(SEARCH("Material 0 terverifikasi",'Onshore - Sydney'!M14))),OR('Onshore - Sydney'!G14&lt;&gt;0,ISNUMBER(SEARCH("Enrolment 0 terverifikasi",'Onshore - Sydney'!M14)))),1,0)</f>
        <v>1</v>
      </c>
      <c r="M1846" s="0" t="n">
        <f aca="false">IF(OR('Onshore - Sydney'!E14="",ISNUMBER(SEARCH("BSB80120",'Onshore - Sydney'!B14&amp;'Onshore - Sydney'!M14)),ISNUMBER(SEARCH("Management (Learning)",'Onshore - Sydney'!B14))),2,IF(ISNUMBER(SEARCH("CEK:",'Onshore - Sydney'!M14)),1,0))</f>
        <v>0</v>
      </c>
    </row>
    <row r="1847" customFormat="false" ht="15" hidden="false" customHeight="false" outlineLevel="0" collapsed="false">
      <c r="A1847" s="63" t="s">
        <v>3533</v>
      </c>
      <c r="B1847" s="64" t="s">
        <v>3821</v>
      </c>
      <c r="C1847" s="63" t="s">
        <v>42</v>
      </c>
      <c r="D1847" s="64" t="str">
        <f aca="false">TRIM(LEFT('Onshore - Sydney'!A313,FIND(CHAR(10),'Onshore - Sydney'!A313&amp;CHAR(10))-1))</f>
        <v>Australian Ideal College (AIC)</v>
      </c>
      <c r="E1847" s="63" t="str">
        <f aca="false">'Onshore - Sydney'!C329&amp;""</f>
        <v>1 year</v>
      </c>
      <c r="F1847" s="63" t="str">
        <f aca="false">IF('Onshore - Sydney'!D329="","Belum tercatat",'Onshore - Sydney'!D329)</f>
        <v>Term</v>
      </c>
      <c r="G1847" s="65" t="n">
        <f aca="false">IF('Onshore - Sydney'!E329="","-",'Onshore - Sydney'!E329)</f>
        <v>3000</v>
      </c>
      <c r="H1847" s="63" t="n">
        <f aca="false">IF(ISNUMBER(K1847),COUNTIFS($J$6:$J$1916,J1847,$K$6:$K$1916,"&lt;"&amp;K1847)+1,"-")</f>
        <v>2</v>
      </c>
      <c r="I1847" s="64" t="str">
        <f aca="false">IF('Onshore - Sydney'!E329="","Harga belum tersedia - hubungi konsultan TEG",IF(M1847=2,"Saat ini tidak menerima pendaftaran siswa internasional baru",IF(M1847=1,"Harga perlu dikonfirmasi ke sekolah"&amp;IF(""="","","; "&amp;""),"")))</f>
        <v/>
      </c>
      <c r="J1847" s="0" t="s">
        <v>4563</v>
      </c>
      <c r="K1847" s="0" t="n">
        <f aca="false">IF(M1847=2,"",IF(ISNUMBER(SEARCH("rata-rata:",'Onshore - Sydney'!M329)),VALUE(MID('Onshore - Sydney'!M329,SEARCH("rata-rata:",'Onshore - Sydney'!M329)+11,FIND(";",'Onshore - Sydney'!M329&amp;";",SEARCH("rata-rata:",'Onshore - Sydney'!M329))-SEARCH("rata-rata:",'Onshore - Sydney'!M329)-11)),IF('Onshore - Sydney'!D329="Semester",'Onshore - Sydney'!E329*2,IF('Onshore - Sydney'!D329="Trimester",'Onshore - Sydney'!E329*3,IF('Onshore - Sydney'!D329="Term",'Onshore - Sydney'!E329*4,IF('Onshore - Sydney'!D329="Unit",'Onshore - Sydney'!E329*8,""))))))</f>
        <v>12000</v>
      </c>
      <c r="L1847" s="0" t="n">
        <f aca="false">IF(AND(ISNUMBER('Onshore - Sydney'!E329),ISNUMBER(K1847),ISNUMBER('Onshore - Sydney'!F329),ISNUMBER('Onshore - Sydney'!G329),OR('Onshore - Sydney'!F329&lt;&gt;0,ISNUMBER(SEARCH("Material 0 terverifikasi",'Onshore - Sydney'!M329))),OR('Onshore - Sydney'!G329&lt;&gt;0,ISNUMBER(SEARCH("Enrolment 0 terverifikasi",'Onshore - Sydney'!M329)))),1,0)</f>
        <v>1</v>
      </c>
      <c r="M1847" s="0" t="n">
        <f aca="false">IF(OR('Onshore - Sydney'!E329="",ISNUMBER(SEARCH("BSB80120",'Onshore - Sydney'!B329&amp;'Onshore - Sydney'!M329)),ISNUMBER(SEARCH("Management (Learning)",'Onshore - Sydney'!B329))),2,IF(ISNUMBER(SEARCH("CEK:",'Onshore - Sydney'!M329)),1,0))</f>
        <v>0</v>
      </c>
    </row>
    <row r="1848" customFormat="false" ht="15" hidden="false" customHeight="false" outlineLevel="0" collapsed="false">
      <c r="A1848" s="61" t="s">
        <v>4564</v>
      </c>
      <c r="B1848" s="62"/>
      <c r="C1848" s="62"/>
      <c r="D1848" s="62"/>
      <c r="E1848" s="62"/>
      <c r="F1848" s="62"/>
      <c r="G1848" s="62"/>
      <c r="H1848" s="62"/>
      <c r="I1848" s="62"/>
    </row>
    <row r="1849" customFormat="false" ht="15" hidden="false" customHeight="false" outlineLevel="0" collapsed="false">
      <c r="A1849" s="63" t="s">
        <v>3533</v>
      </c>
      <c r="B1849" s="64" t="s">
        <v>3821</v>
      </c>
      <c r="C1849" s="63" t="s">
        <v>43</v>
      </c>
      <c r="D1849" s="64" t="str">
        <f aca="false">TRIM(LEFT('Onshore - Sydney'!A419,FIND(CHAR(10),'Onshore - Sydney'!A419&amp;CHAR(10))-1))</f>
        <v>Charles Sturt University (CSU)</v>
      </c>
      <c r="E1849" s="63" t="str">
        <f aca="false">'Onshore - Sydney'!C419&amp;""</f>
        <v>3 years</v>
      </c>
      <c r="F1849" s="63" t="str">
        <f aca="false">IF('Onshore - Sydney'!D419="","Belum tercatat",'Onshore - Sydney'!D419)</f>
        <v>Semester</v>
      </c>
      <c r="G1849" s="65" t="n">
        <f aca="false">IF('Onshore - Sydney'!E419="","-",'Onshore - Sydney'!E419)</f>
        <v>12760</v>
      </c>
      <c r="H1849" s="63" t="n">
        <f aca="false">IF(ISNUMBER(K1849),COUNTIFS($J$6:$J$1916,J1849,$K$6:$K$1916,"&lt;"&amp;K1849)+1,"-")</f>
        <v>1</v>
      </c>
      <c r="I1849" s="64" t="str">
        <f aca="false">IF('Onshore - Sydney'!E419="","Harga belum tersedia - hubungi konsultan TEG",IF(M1849=2,"Saat ini tidak menerima pendaftaran siswa internasional baru",IF(M1849=1,"Harga perlu dikonfirmasi ke sekolah"&amp;IF(""="","","; "&amp;""),"")))</f>
        <v/>
      </c>
      <c r="J1849" s="0" t="s">
        <v>4565</v>
      </c>
      <c r="K1849" s="0" t="n">
        <f aca="false">IF(M1849=2,"",IF(ISNUMBER(SEARCH("rata-rata:",'Onshore - Sydney'!M419)),VALUE(MID('Onshore - Sydney'!M419,SEARCH("rata-rata:",'Onshore - Sydney'!M419)+11,FIND(";",'Onshore - Sydney'!M419&amp;";",SEARCH("rata-rata:",'Onshore - Sydney'!M419))-SEARCH("rata-rata:",'Onshore - Sydney'!M419)-11)),IF('Onshore - Sydney'!D419="Semester",'Onshore - Sydney'!E419*2,IF('Onshore - Sydney'!D419="Trimester",'Onshore - Sydney'!E419*3,IF('Onshore - Sydney'!D419="Term",'Onshore - Sydney'!E419*4,IF('Onshore - Sydney'!D419="Unit",'Onshore - Sydney'!E419*8,""))))))</f>
        <v>25520</v>
      </c>
      <c r="L1849" s="0" t="n">
        <f aca="false">IF(AND(ISNUMBER('Onshore - Sydney'!E419),ISNUMBER(K1849),ISNUMBER('Onshore - Sydney'!F419),ISNUMBER('Onshore - Sydney'!G419),OR('Onshore - Sydney'!F419&lt;&gt;0,ISNUMBER(SEARCH("Material 0 terverifikasi",'Onshore - Sydney'!M419))),OR('Onshore - Sydney'!G419&lt;&gt;0,ISNUMBER(SEARCH("Enrolment 0 terverifikasi",'Onshore - Sydney'!M419)))),1,0)</f>
        <v>0</v>
      </c>
      <c r="M1849" s="0" t="n">
        <f aca="false">IF(OR('Onshore - Sydney'!E419="",ISNUMBER(SEARCH("BSB80120",'Onshore - Sydney'!B419&amp;'Onshore - Sydney'!M419)),ISNUMBER(SEARCH("Management (Learning)",'Onshore - Sydney'!B419))),2,IF(ISNUMBER(SEARCH("CEK:",'Onshore - Sydney'!M419)),1,0))</f>
        <v>0</v>
      </c>
    </row>
    <row r="1850" customFormat="false" ht="15" hidden="false" customHeight="false" outlineLevel="0" collapsed="false">
      <c r="A1850" s="63" t="s">
        <v>3533</v>
      </c>
      <c r="B1850" s="64" t="s">
        <v>3821</v>
      </c>
      <c r="C1850" s="63" t="s">
        <v>43</v>
      </c>
      <c r="D1850" s="64" t="str">
        <f aca="false">TRIM(LEFT('Onshore - Sydney'!A163,FIND(CHAR(10),'Onshore - Sydney'!A163&amp;CHAR(10))-1))</f>
        <v>Australian Catholic University (ACU)</v>
      </c>
      <c r="E1850" s="63" t="str">
        <f aca="false">'Onshore - Sydney'!C251&amp;""</f>
        <v>3 years</v>
      </c>
      <c r="F1850" s="63" t="str">
        <f aca="false">IF('Onshore - Sydney'!D251="","Belum tercatat",'Onshore - Sydney'!D251)</f>
        <v>Term</v>
      </c>
      <c r="G1850" s="65" t="n">
        <f aca="false">IF('Onshore - Sydney'!E251="","-",'Onshore - Sydney'!E251)</f>
        <v>7162</v>
      </c>
      <c r="H1850" s="63" t="n">
        <f aca="false">IF(ISNUMBER(K1850),COUNTIFS($J$6:$J$1916,J1850,$K$6:$K$1916,"&lt;"&amp;K1850)+1,"-")</f>
        <v>2</v>
      </c>
      <c r="I1850" s="64" t="str">
        <f aca="false">IF('Onshore - Sydney'!E251="","Harga belum tersedia - hubungi konsultan TEG",IF(M1850=2,"Saat ini tidak menerima pendaftaran siswa internasional baru",IF(M1850=1,"Harga perlu dikonfirmasi ke sekolah"&amp;IF(""="","","; "&amp;""),"")))</f>
        <v/>
      </c>
      <c r="J1850" s="0" t="s">
        <v>4565</v>
      </c>
      <c r="K1850" s="0" t="n">
        <f aca="false">IF(M1850=2,"",IF(ISNUMBER(SEARCH("rata-rata:",'Onshore - Sydney'!M251)),VALUE(MID('Onshore - Sydney'!M251,SEARCH("rata-rata:",'Onshore - Sydney'!M251)+11,FIND(";",'Onshore - Sydney'!M251&amp;";",SEARCH("rata-rata:",'Onshore - Sydney'!M251))-SEARCH("rata-rata:",'Onshore - Sydney'!M251)-11)),IF('Onshore - Sydney'!D251="Semester",'Onshore - Sydney'!E251*2,IF('Onshore - Sydney'!D251="Trimester",'Onshore - Sydney'!E251*3,IF('Onshore - Sydney'!D251="Term",'Onshore - Sydney'!E251*4,IF('Onshore - Sydney'!D251="Unit",'Onshore - Sydney'!E251*8,""))))))</f>
        <v>28648</v>
      </c>
      <c r="L1850" s="0" t="n">
        <f aca="false">IF(AND(ISNUMBER('Onshore - Sydney'!E251),ISNUMBER(K1850),ISNUMBER('Onshore - Sydney'!F251),ISNUMBER('Onshore - Sydney'!G251),OR('Onshore - Sydney'!F251&lt;&gt;0,ISNUMBER(SEARCH("Material 0 terverifikasi",'Onshore - Sydney'!M251))),OR('Onshore - Sydney'!G251&lt;&gt;0,ISNUMBER(SEARCH("Enrolment 0 terverifikasi",'Onshore - Sydney'!M251)))),1,0)</f>
        <v>0</v>
      </c>
      <c r="M1850" s="0" t="n">
        <f aca="false">IF(OR('Onshore - Sydney'!E251="",ISNUMBER(SEARCH("BSB80120",'Onshore - Sydney'!B251&amp;'Onshore - Sydney'!M251)),ISNUMBER(SEARCH("Management (Learning)",'Onshore - Sydney'!B251))),2,IF(ISNUMBER(SEARCH("CEK:",'Onshore - Sydney'!M251)),1,0))</f>
        <v>0</v>
      </c>
    </row>
    <row r="1851" customFormat="false" ht="15" hidden="false" customHeight="false" outlineLevel="0" collapsed="false">
      <c r="A1851" s="61" t="s">
        <v>4566</v>
      </c>
      <c r="B1851" s="62"/>
      <c r="C1851" s="62"/>
      <c r="D1851" s="62"/>
      <c r="E1851" s="62"/>
      <c r="F1851" s="62"/>
      <c r="G1851" s="62"/>
      <c r="H1851" s="62"/>
      <c r="I1851" s="62"/>
    </row>
    <row r="1852" customFormat="false" ht="15" hidden="false" customHeight="false" outlineLevel="0" collapsed="false">
      <c r="A1852" s="63" t="s">
        <v>3533</v>
      </c>
      <c r="B1852" s="64" t="s">
        <v>3821</v>
      </c>
      <c r="C1852" s="63" t="s">
        <v>3707</v>
      </c>
      <c r="D1852" s="64" t="str">
        <f aca="false">TRIM(LEFT('Onshore - Sydney'!A888,FIND(CHAR(10),'Onshore - Sydney'!A888&amp;CHAR(10))-1))</f>
        <v>Torrens University Australia</v>
      </c>
      <c r="E1852" s="63" t="str">
        <f aca="false">'Onshore - Sydney'!C991&amp;""</f>
        <v>0,5 year</v>
      </c>
      <c r="F1852" s="63" t="str">
        <f aca="false">IF('Onshore - Sydney'!D991="","Belum tercatat",'Onshore - Sydney'!D991)</f>
        <v>Term</v>
      </c>
      <c r="G1852" s="65" t="n">
        <f aca="false">IF('Onshore - Sydney'!E991="","-",'Onshore - Sydney'!E991)</f>
        <v>3688</v>
      </c>
      <c r="H1852" s="63" t="n">
        <f aca="false">IF(ISNUMBER(K1852),COUNTIFS($J$6:$J$1916,J1852,$K$6:$K$1916,"&lt;"&amp;K1852)+1,"-")</f>
        <v>1</v>
      </c>
      <c r="I1852" s="64" t="str">
        <f aca="false">IF('Onshore - Sydney'!E991="","Harga belum tersedia - hubungi konsultan TEG",IF(M1852=2,"Saat ini tidak menerima pendaftaran siswa internasional baru",IF(M1852=1,"Harga perlu dikonfirmasi ke sekolah"&amp;IF(""="","","; "&amp;""),"")))</f>
        <v/>
      </c>
      <c r="J1852" s="0" t="s">
        <v>4567</v>
      </c>
      <c r="K1852" s="0" t="n">
        <f aca="false">IF(M1852=2,"",IF(ISNUMBER(SEARCH("rata-rata:",'Onshore - Sydney'!M991)),VALUE(MID('Onshore - Sydney'!M991,SEARCH("rata-rata:",'Onshore - Sydney'!M991)+11,FIND(";",'Onshore - Sydney'!M991&amp;";",SEARCH("rata-rata:",'Onshore - Sydney'!M991))-SEARCH("rata-rata:",'Onshore - Sydney'!M991)-11)),IF('Onshore - Sydney'!D991="Semester",'Onshore - Sydney'!E991*2,IF('Onshore - Sydney'!D991="Trimester",'Onshore - Sydney'!E991*3,IF('Onshore - Sydney'!D991="Term",'Onshore - Sydney'!E991*4,IF('Onshore - Sydney'!D991="Unit",'Onshore - Sydney'!E991*8,""))))))</f>
        <v>14752</v>
      </c>
      <c r="L1852" s="0" t="n">
        <f aca="false">IF(AND(ISNUMBER('Onshore - Sydney'!E991),ISNUMBER(K1852),ISNUMBER('Onshore - Sydney'!F991),ISNUMBER('Onshore - Sydney'!G991),OR('Onshore - Sydney'!F991&lt;&gt;0,ISNUMBER(SEARCH("Material 0 terverifikasi",'Onshore - Sydney'!M991))),OR('Onshore - Sydney'!G991&lt;&gt;0,ISNUMBER(SEARCH("Enrolment 0 terverifikasi",'Onshore - Sydney'!M991)))),1,0)</f>
        <v>0</v>
      </c>
      <c r="M1852" s="0" t="n">
        <f aca="false">IF(OR('Onshore - Sydney'!E991="",ISNUMBER(SEARCH("BSB80120",'Onshore - Sydney'!B991&amp;'Onshore - Sydney'!M991)),ISNUMBER(SEARCH("Management (Learning)",'Onshore - Sydney'!B991))),2,IF(ISNUMBER(SEARCH("CEK:",'Onshore - Sydney'!M991)),1,0))</f>
        <v>0</v>
      </c>
    </row>
    <row r="1853" customFormat="false" ht="15" hidden="false" customHeight="false" outlineLevel="0" collapsed="false">
      <c r="A1853" s="63" t="s">
        <v>3533</v>
      </c>
      <c r="B1853" s="64" t="s">
        <v>3821</v>
      </c>
      <c r="C1853" s="63" t="s">
        <v>3707</v>
      </c>
      <c r="D1853" s="64" t="str">
        <f aca="false">TRIM(LEFT('Onshore - Sydney'!A1062,FIND(CHAR(10),'Onshore - Sydney'!A1062&amp;CHAR(10))-1))</f>
        <v>Western Sydney University</v>
      </c>
      <c r="E1853" s="63" t="str">
        <f aca="false">'Onshore - Sydney'!C1220&amp;""</f>
        <v>0,5 year</v>
      </c>
      <c r="F1853" s="63" t="str">
        <f aca="false">IF('Onshore - Sydney'!D1220="","Belum tercatat",'Onshore - Sydney'!D1220)</f>
        <v>Term</v>
      </c>
      <c r="G1853" s="65" t="n">
        <f aca="false">IF('Onshore - Sydney'!E1220="","-",'Onshore - Sydney'!E1220)</f>
        <v>4954</v>
      </c>
      <c r="H1853" s="63" t="n">
        <f aca="false">IF(ISNUMBER(K1853),COUNTIFS($J$6:$J$1916,J1853,$K$6:$K$1916,"&lt;"&amp;K1853)+1,"-")</f>
        <v>2</v>
      </c>
      <c r="I1853" s="64" t="str">
        <f aca="false">IF('Onshore - Sydney'!E1220="","Harga belum tersedia - hubungi konsultan TEG",IF(M1853=2,"Saat ini tidak menerima pendaftaran siswa internasional baru",IF(M1853=1,"Harga perlu dikonfirmasi ke sekolah"&amp;IF(""="","","; "&amp;""),"")))</f>
        <v/>
      </c>
      <c r="J1853" s="0" t="s">
        <v>4567</v>
      </c>
      <c r="K1853" s="0" t="n">
        <f aca="false">IF(M1853=2,"",IF(ISNUMBER(SEARCH("rata-rata:",'Onshore - Sydney'!M1220)),VALUE(MID('Onshore - Sydney'!M1220,SEARCH("rata-rata:",'Onshore - Sydney'!M1220)+11,FIND(";",'Onshore - Sydney'!M1220&amp;";",SEARCH("rata-rata:",'Onshore - Sydney'!M1220))-SEARCH("rata-rata:",'Onshore - Sydney'!M1220)-11)),IF('Onshore - Sydney'!D1220="Semester",'Onshore - Sydney'!E1220*2,IF('Onshore - Sydney'!D1220="Trimester",'Onshore - Sydney'!E1220*3,IF('Onshore - Sydney'!D1220="Term",'Onshore - Sydney'!E1220*4,IF('Onshore - Sydney'!D1220="Unit",'Onshore - Sydney'!E1220*8,""))))))</f>
        <v>19816</v>
      </c>
      <c r="L1853" s="0" t="n">
        <f aca="false">IF(AND(ISNUMBER('Onshore - Sydney'!E1220),ISNUMBER(K1853),ISNUMBER('Onshore - Sydney'!F1220),ISNUMBER('Onshore - Sydney'!G1220),OR('Onshore - Sydney'!F1220&lt;&gt;0,ISNUMBER(SEARCH("Material 0 terverifikasi",'Onshore - Sydney'!M1220))),OR('Onshore - Sydney'!G1220&lt;&gt;0,ISNUMBER(SEARCH("Enrolment 0 terverifikasi",'Onshore - Sydney'!M1220)))),1,0)</f>
        <v>0</v>
      </c>
      <c r="M1853" s="0" t="n">
        <f aca="false">IF(OR('Onshore - Sydney'!E1220="",ISNUMBER(SEARCH("BSB80120",'Onshore - Sydney'!B1220&amp;'Onshore - Sydney'!M1220)),ISNUMBER(SEARCH("Management (Learning)",'Onshore - Sydney'!B1220))),2,IF(ISNUMBER(SEARCH("CEK:",'Onshore - Sydney'!M1220)),1,0))</f>
        <v>0</v>
      </c>
    </row>
    <row r="1854" customFormat="false" ht="15" hidden="false" customHeight="false" outlineLevel="0" collapsed="false">
      <c r="A1854" s="61" t="s">
        <v>4568</v>
      </c>
      <c r="B1854" s="62"/>
      <c r="C1854" s="62"/>
      <c r="D1854" s="62"/>
      <c r="E1854" s="62"/>
      <c r="F1854" s="62"/>
      <c r="G1854" s="62"/>
      <c r="H1854" s="62"/>
      <c r="I1854" s="62"/>
    </row>
    <row r="1855" customFormat="false" ht="15" hidden="false" customHeight="false" outlineLevel="0" collapsed="false">
      <c r="A1855" s="63" t="s">
        <v>3533</v>
      </c>
      <c r="B1855" s="64" t="s">
        <v>3821</v>
      </c>
      <c r="C1855" s="63" t="s">
        <v>46</v>
      </c>
      <c r="D1855" s="64" t="str">
        <f aca="false">TRIM(LEFT('Onshore - Sydney'!A419,FIND(CHAR(10),'Onshore - Sydney'!A419&amp;CHAR(10))-1))</f>
        <v>Charles Sturt University (CSU)</v>
      </c>
      <c r="E1855" s="63" t="str">
        <f aca="false">'Onshore - Sydney'!C420&amp;""</f>
        <v>1,5 years</v>
      </c>
      <c r="F1855" s="63" t="str">
        <f aca="false">IF('Onshore - Sydney'!D420="","Belum tercatat",'Onshore - Sydney'!D420)</f>
        <v>Semester</v>
      </c>
      <c r="G1855" s="65" t="n">
        <f aca="false">IF('Onshore - Sydney'!E420="","-",'Onshore - Sydney'!E420)</f>
        <v>12760</v>
      </c>
      <c r="H1855" s="63" t="n">
        <f aca="false">IF(ISNUMBER(K1855),COUNTIFS($J$6:$J$1916,J1855,$K$6:$K$1916,"&lt;"&amp;K1855)+1,"-")</f>
        <v>1</v>
      </c>
      <c r="I1855" s="64" t="str">
        <f aca="false">IF('Onshore - Sydney'!E420="","Harga belum tersedia - hubungi konsultan TEG",IF(M1855=2,"Saat ini tidak menerima pendaftaran siswa internasional baru",IF(M1855=1,"Harga perlu dikonfirmasi ke sekolah"&amp;IF(""="","","; "&amp;""),"")))</f>
        <v/>
      </c>
      <c r="J1855" s="0" t="s">
        <v>4569</v>
      </c>
      <c r="K1855" s="0" t="n">
        <f aca="false">IF(M1855=2,"",IF(ISNUMBER(SEARCH("rata-rata:",'Onshore - Sydney'!M420)),VALUE(MID('Onshore - Sydney'!M420,SEARCH("rata-rata:",'Onshore - Sydney'!M420)+11,FIND(";",'Onshore - Sydney'!M420&amp;";",SEARCH("rata-rata:",'Onshore - Sydney'!M420))-SEARCH("rata-rata:",'Onshore - Sydney'!M420)-11)),IF('Onshore - Sydney'!D420="Semester",'Onshore - Sydney'!E420*2,IF('Onshore - Sydney'!D420="Trimester",'Onshore - Sydney'!E420*3,IF('Onshore - Sydney'!D420="Term",'Onshore - Sydney'!E420*4,IF('Onshore - Sydney'!D420="Unit",'Onshore - Sydney'!E420*8,""))))))</f>
        <v>25520</v>
      </c>
      <c r="L1855" s="0" t="n">
        <f aca="false">IF(AND(ISNUMBER('Onshore - Sydney'!E420),ISNUMBER(K1855),ISNUMBER('Onshore - Sydney'!F420),ISNUMBER('Onshore - Sydney'!G420),OR('Onshore - Sydney'!F420&lt;&gt;0,ISNUMBER(SEARCH("Material 0 terverifikasi",'Onshore - Sydney'!M420))),OR('Onshore - Sydney'!G420&lt;&gt;0,ISNUMBER(SEARCH("Enrolment 0 terverifikasi",'Onshore - Sydney'!M420)))),1,0)</f>
        <v>0</v>
      </c>
      <c r="M1855" s="0" t="n">
        <f aca="false">IF(OR('Onshore - Sydney'!E420="",ISNUMBER(SEARCH("BSB80120",'Onshore - Sydney'!B420&amp;'Onshore - Sydney'!M420)),ISNUMBER(SEARCH("Management (Learning)",'Onshore - Sydney'!B420))),2,IF(ISNUMBER(SEARCH("CEK:",'Onshore - Sydney'!M420)),1,0))</f>
        <v>0</v>
      </c>
    </row>
    <row r="1856" customFormat="false" ht="15" hidden="false" customHeight="false" outlineLevel="0" collapsed="false">
      <c r="A1856" s="63" t="s">
        <v>3533</v>
      </c>
      <c r="B1856" s="64" t="s">
        <v>3821</v>
      </c>
      <c r="C1856" s="63" t="s">
        <v>46</v>
      </c>
      <c r="D1856" s="64" t="str">
        <f aca="false">TRIM(LEFT('Onshore - Sydney'!A888,FIND(CHAR(10),'Onshore - Sydney'!A888&amp;CHAR(10))-1))</f>
        <v>Torrens University Australia</v>
      </c>
      <c r="E1856" s="63" t="str">
        <f aca="false">'Onshore - Sydney'!C993&amp;""</f>
        <v>2 years</v>
      </c>
      <c r="F1856" s="63" t="str">
        <f aca="false">IF('Onshore - Sydney'!D993="","Belum tercatat",'Onshore - Sydney'!D993)</f>
        <v>Term</v>
      </c>
      <c r="G1856" s="65" t="n">
        <f aca="false">IF('Onshore - Sydney'!E993="","-",'Onshore - Sydney'!E993)</f>
        <v>7375</v>
      </c>
      <c r="H1856" s="63" t="n">
        <f aca="false">IF(ISNUMBER(K1856),COUNTIFS($J$6:$J$1916,J1856,$K$6:$K$1916,"&lt;"&amp;K1856)+1,"-")</f>
        <v>2</v>
      </c>
      <c r="I1856" s="64" t="str">
        <f aca="false">IF('Onshore - Sydney'!E993="","Harga belum tersedia - hubungi konsultan TEG",IF(M1856=2,"Saat ini tidak menerima pendaftaran siswa internasional baru",IF(M1856=1,"Harga perlu dikonfirmasi ke sekolah"&amp;IF(""="","","; "&amp;""),"")))</f>
        <v/>
      </c>
      <c r="J1856" s="0" t="s">
        <v>4569</v>
      </c>
      <c r="K1856" s="0" t="n">
        <f aca="false">IF(M1856=2,"",IF(ISNUMBER(SEARCH("rata-rata:",'Onshore - Sydney'!M993)),VALUE(MID('Onshore - Sydney'!M993,SEARCH("rata-rata:",'Onshore - Sydney'!M993)+11,FIND(";",'Onshore - Sydney'!M993&amp;";",SEARCH("rata-rata:",'Onshore - Sydney'!M993))-SEARCH("rata-rata:",'Onshore - Sydney'!M993)-11)),IF('Onshore - Sydney'!D993="Semester",'Onshore - Sydney'!E993*2,IF('Onshore - Sydney'!D993="Trimester",'Onshore - Sydney'!E993*3,IF('Onshore - Sydney'!D993="Term",'Onshore - Sydney'!E993*4,IF('Onshore - Sydney'!D993="Unit",'Onshore - Sydney'!E993*8,""))))))</f>
        <v>29500</v>
      </c>
      <c r="L1856" s="0" t="n">
        <f aca="false">IF(AND(ISNUMBER('Onshore - Sydney'!E993),ISNUMBER(K1856),ISNUMBER('Onshore - Sydney'!F993),ISNUMBER('Onshore - Sydney'!G993),OR('Onshore - Sydney'!F993&lt;&gt;0,ISNUMBER(SEARCH("Material 0 terverifikasi",'Onshore - Sydney'!M993))),OR('Onshore - Sydney'!G993&lt;&gt;0,ISNUMBER(SEARCH("Enrolment 0 terverifikasi",'Onshore - Sydney'!M993)))),1,0)</f>
        <v>0</v>
      </c>
      <c r="M1856" s="0" t="n">
        <f aca="false">IF(OR('Onshore - Sydney'!E993="",ISNUMBER(SEARCH("BSB80120",'Onshore - Sydney'!B993&amp;'Onshore - Sydney'!M993)),ISNUMBER(SEARCH("Management (Learning)",'Onshore - Sydney'!B993))),2,IF(ISNUMBER(SEARCH("CEK:",'Onshore - Sydney'!M993)),1,0))</f>
        <v>0</v>
      </c>
    </row>
    <row r="1857" customFormat="false" ht="15" hidden="false" customHeight="false" outlineLevel="0" collapsed="false">
      <c r="A1857" s="63" t="s">
        <v>3533</v>
      </c>
      <c r="B1857" s="64" t="s">
        <v>3821</v>
      </c>
      <c r="C1857" s="63" t="s">
        <v>46</v>
      </c>
      <c r="D1857" s="64" t="str">
        <f aca="false">TRIM(LEFT('Onshore - Sydney'!A394,FIND(CHAR(10),'Onshore - Sydney'!A394&amp;CHAR(10))-1))</f>
        <v>Charles Darwin University (CDU)</v>
      </c>
      <c r="E1857" s="63" t="str">
        <f aca="false">'Onshore - Sydney'!C412&amp;""</f>
        <v>2 years</v>
      </c>
      <c r="F1857" s="63" t="str">
        <f aca="false">IF('Onshore - Sydney'!D412="","Belum tercatat",'Onshore - Sydney'!D412)</f>
        <v>Term</v>
      </c>
      <c r="G1857" s="65" t="n">
        <f aca="false">IF('Onshore - Sydney'!E412="","-",'Onshore - Sydney'!E412)</f>
        <v>7784</v>
      </c>
      <c r="H1857" s="63" t="n">
        <f aca="false">IF(ISNUMBER(K1857),COUNTIFS($J$6:$J$1916,J1857,$K$6:$K$1916,"&lt;"&amp;K1857)+1,"-")</f>
        <v>3</v>
      </c>
      <c r="I1857" s="64" t="str">
        <f aca="false">IF('Onshore - Sydney'!E412="","Harga belum tersedia - hubungi konsultan TEG",IF(M1857=2,"Saat ini tidak menerima pendaftaran siswa internasional baru",IF(M1857=1,"Harga perlu dikonfirmasi ke sekolah"&amp;IF(""="","","; "&amp;""),"")))</f>
        <v>Harga perlu dikonfirmasi ke sekolah</v>
      </c>
      <c r="J1857" s="0" t="s">
        <v>4569</v>
      </c>
      <c r="K1857" s="0" t="n">
        <f aca="false">IF(M1857=2,"",IF(ISNUMBER(SEARCH("rata-rata:",'Onshore - Sydney'!M412)),VALUE(MID('Onshore - Sydney'!M412,SEARCH("rata-rata:",'Onshore - Sydney'!M412)+11,FIND(";",'Onshore - Sydney'!M412&amp;";",SEARCH("rata-rata:",'Onshore - Sydney'!M412))-SEARCH("rata-rata:",'Onshore - Sydney'!M412)-11)),IF('Onshore - Sydney'!D412="Semester",'Onshore - Sydney'!E412*2,IF('Onshore - Sydney'!D412="Trimester",'Onshore - Sydney'!E412*3,IF('Onshore - Sydney'!D412="Term",'Onshore - Sydney'!E412*4,IF('Onshore - Sydney'!D412="Unit",'Onshore - Sydney'!E412*8,""))))))</f>
        <v>31136</v>
      </c>
      <c r="L1857" s="0" t="n">
        <f aca="false">IF(AND(ISNUMBER('Onshore - Sydney'!E412),ISNUMBER(K1857),ISNUMBER('Onshore - Sydney'!F412),ISNUMBER('Onshore - Sydney'!G412),OR('Onshore - Sydney'!F412&lt;&gt;0,ISNUMBER(SEARCH("Material 0 terverifikasi",'Onshore - Sydney'!M412))),OR('Onshore - Sydney'!G412&lt;&gt;0,ISNUMBER(SEARCH("Enrolment 0 terverifikasi",'Onshore - Sydney'!M412)))),1,0)</f>
        <v>0</v>
      </c>
      <c r="M1857" s="0" t="n">
        <f aca="false">IF(OR('Onshore - Sydney'!E412="",ISNUMBER(SEARCH("BSB80120",'Onshore - Sydney'!B412&amp;'Onshore - Sydney'!M412)),ISNUMBER(SEARCH("Management (Learning)",'Onshore - Sydney'!B412))),2,IF(ISNUMBER(SEARCH("CEK:",'Onshore - Sydney'!M412)),1,0))</f>
        <v>1</v>
      </c>
    </row>
    <row r="1858" customFormat="false" ht="15" hidden="false" customHeight="false" outlineLevel="0" collapsed="false">
      <c r="A1858" s="63" t="s">
        <v>3533</v>
      </c>
      <c r="B1858" s="64" t="s">
        <v>3821</v>
      </c>
      <c r="C1858" s="63" t="s">
        <v>46</v>
      </c>
      <c r="D1858" s="64" t="str">
        <f aca="false">TRIM(LEFT('Onshore - Sydney'!A163,FIND(CHAR(10),'Onshore - Sydney'!A163&amp;CHAR(10))-1))</f>
        <v>Australian Catholic University (ACU)</v>
      </c>
      <c r="E1858" s="63" t="str">
        <f aca="false">'Onshore - Sydney'!C255&amp;""</f>
        <v>2 years</v>
      </c>
      <c r="F1858" s="63" t="str">
        <f aca="false">IF('Onshore - Sydney'!D255="","Belum tercatat",'Onshore - Sydney'!D255)</f>
        <v>Term</v>
      </c>
      <c r="G1858" s="65" t="n">
        <f aca="false">IF('Onshore - Sydney'!E255="","-",'Onshore - Sydney'!E255)</f>
        <v>8682</v>
      </c>
      <c r="H1858" s="63" t="n">
        <f aca="false">IF(ISNUMBER(K1858),COUNTIFS($J$6:$J$1916,J1858,$K$6:$K$1916,"&lt;"&amp;K1858)+1,"-")</f>
        <v>4</v>
      </c>
      <c r="I1858" s="64" t="str">
        <f aca="false">IF('Onshore - Sydney'!E255="","Harga belum tersedia - hubungi konsultan TEG",IF(M1858=2,"Saat ini tidak menerima pendaftaran siswa internasional baru",IF(M1858=1,"Harga perlu dikonfirmasi ke sekolah"&amp;IF(""="","","; "&amp;""),"")))</f>
        <v/>
      </c>
      <c r="J1858" s="0" t="s">
        <v>4569</v>
      </c>
      <c r="K1858" s="0" t="n">
        <f aca="false">IF(M1858=2,"",IF(ISNUMBER(SEARCH("rata-rata:",'Onshore - Sydney'!M255)),VALUE(MID('Onshore - Sydney'!M255,SEARCH("rata-rata:",'Onshore - Sydney'!M255)+11,FIND(";",'Onshore - Sydney'!M255&amp;";",SEARCH("rata-rata:",'Onshore - Sydney'!M255))-SEARCH("rata-rata:",'Onshore - Sydney'!M255)-11)),IF('Onshore - Sydney'!D255="Semester",'Onshore - Sydney'!E255*2,IF('Onshore - Sydney'!D255="Trimester",'Onshore - Sydney'!E255*3,IF('Onshore - Sydney'!D255="Term",'Onshore - Sydney'!E255*4,IF('Onshore - Sydney'!D255="Unit",'Onshore - Sydney'!E255*8,""))))))</f>
        <v>34728</v>
      </c>
      <c r="L1858" s="0" t="n">
        <f aca="false">IF(AND(ISNUMBER('Onshore - Sydney'!E255),ISNUMBER(K1858),ISNUMBER('Onshore - Sydney'!F255),ISNUMBER('Onshore - Sydney'!G255),OR('Onshore - Sydney'!F255&lt;&gt;0,ISNUMBER(SEARCH("Material 0 terverifikasi",'Onshore - Sydney'!M255))),OR('Onshore - Sydney'!G255&lt;&gt;0,ISNUMBER(SEARCH("Enrolment 0 terverifikasi",'Onshore - Sydney'!M255)))),1,0)</f>
        <v>0</v>
      </c>
      <c r="M1858" s="0" t="n">
        <f aca="false">IF(OR('Onshore - Sydney'!E255="",ISNUMBER(SEARCH("BSB80120",'Onshore - Sydney'!B255&amp;'Onshore - Sydney'!M255)),ISNUMBER(SEARCH("Management (Learning)",'Onshore - Sydney'!B255))),2,IF(ISNUMBER(SEARCH("CEK:",'Onshore - Sydney'!M255)),1,0))</f>
        <v>0</v>
      </c>
    </row>
    <row r="1859" customFormat="false" ht="15" hidden="false" customHeight="false" outlineLevel="0" collapsed="false">
      <c r="A1859" s="63" t="s">
        <v>3533</v>
      </c>
      <c r="B1859" s="64" t="s">
        <v>3821</v>
      </c>
      <c r="C1859" s="63" t="s">
        <v>46</v>
      </c>
      <c r="D1859" s="64" t="str">
        <f aca="false">TRIM(LEFT('Onshore - Sydney'!A1062,FIND(CHAR(10),'Onshore - Sydney'!A1062&amp;CHAR(10))-1))</f>
        <v>Western Sydney University</v>
      </c>
      <c r="E1859" s="63" t="str">
        <f aca="false">'Onshore - Sydney'!C1227&amp;""</f>
        <v>2 years</v>
      </c>
      <c r="F1859" s="63" t="str">
        <f aca="false">IF('Onshore - Sydney'!D1227="","Belum tercatat",'Onshore - Sydney'!D1227)</f>
        <v>Term</v>
      </c>
      <c r="G1859" s="65" t="n">
        <f aca="false">IF('Onshore - Sydney'!E1227="","-",'Onshore - Sydney'!E1227)</f>
        <v>8694</v>
      </c>
      <c r="H1859" s="63" t="n">
        <f aca="false">IF(ISNUMBER(K1859),COUNTIFS($J$6:$J$1916,J1859,$K$6:$K$1916,"&lt;"&amp;K1859)+1,"-")</f>
        <v>5</v>
      </c>
      <c r="I1859" s="64" t="str">
        <f aca="false">IF('Onshore - Sydney'!E1227="","Harga belum tersedia - hubungi konsultan TEG",IF(M1859=2,"Saat ini tidak menerima pendaftaran siswa internasional baru",IF(M1859=1,"Harga perlu dikonfirmasi ke sekolah"&amp;IF(""="","","; "&amp;""),"")))</f>
        <v/>
      </c>
      <c r="J1859" s="0" t="s">
        <v>4569</v>
      </c>
      <c r="K1859" s="0" t="n">
        <f aca="false">IF(M1859=2,"",IF(ISNUMBER(SEARCH("rata-rata:",'Onshore - Sydney'!M1227)),VALUE(MID('Onshore - Sydney'!M1227,SEARCH("rata-rata:",'Onshore - Sydney'!M1227)+11,FIND(";",'Onshore - Sydney'!M1227&amp;";",SEARCH("rata-rata:",'Onshore - Sydney'!M1227))-SEARCH("rata-rata:",'Onshore - Sydney'!M1227)-11)),IF('Onshore - Sydney'!D1227="Semester",'Onshore - Sydney'!E1227*2,IF('Onshore - Sydney'!D1227="Trimester",'Onshore - Sydney'!E1227*3,IF('Onshore - Sydney'!D1227="Term",'Onshore - Sydney'!E1227*4,IF('Onshore - Sydney'!D1227="Unit",'Onshore - Sydney'!E1227*8,""))))))</f>
        <v>34776</v>
      </c>
      <c r="L1859" s="0" t="n">
        <f aca="false">IF(AND(ISNUMBER('Onshore - Sydney'!E1227),ISNUMBER(K1859),ISNUMBER('Onshore - Sydney'!F1227),ISNUMBER('Onshore - Sydney'!G1227),OR('Onshore - Sydney'!F1227&lt;&gt;0,ISNUMBER(SEARCH("Material 0 terverifikasi",'Onshore - Sydney'!M1227))),OR('Onshore - Sydney'!G1227&lt;&gt;0,ISNUMBER(SEARCH("Enrolment 0 terverifikasi",'Onshore - Sydney'!M1227)))),1,0)</f>
        <v>0</v>
      </c>
      <c r="M1859" s="0" t="n">
        <f aca="false">IF(OR('Onshore - Sydney'!E1227="",ISNUMBER(SEARCH("BSB80120",'Onshore - Sydney'!B1227&amp;'Onshore - Sydney'!M1227)),ISNUMBER(SEARCH("Management (Learning)",'Onshore - Sydney'!B1227))),2,IF(ISNUMBER(SEARCH("CEK:",'Onshore - Sydney'!M1227)),1,0))</f>
        <v>0</v>
      </c>
    </row>
    <row r="1860" customFormat="false" ht="15" hidden="false" customHeight="false" outlineLevel="0" collapsed="false">
      <c r="A1860" s="61" t="s">
        <v>4570</v>
      </c>
      <c r="B1860" s="62"/>
      <c r="C1860" s="62"/>
      <c r="D1860" s="62"/>
      <c r="E1860" s="62"/>
      <c r="F1860" s="62"/>
      <c r="G1860" s="62"/>
      <c r="H1860" s="62"/>
      <c r="I1860" s="62"/>
    </row>
    <row r="1861" customFormat="false" ht="15" hidden="false" customHeight="false" outlineLevel="0" collapsed="false">
      <c r="A1861" s="63" t="s">
        <v>3533</v>
      </c>
      <c r="B1861" s="64" t="s">
        <v>3821</v>
      </c>
      <c r="C1861" s="63" t="s">
        <v>4222</v>
      </c>
      <c r="D1861" s="64" t="str">
        <f aca="false">TRIM(LEFT('Onshore - Sydney'!A888,FIND(CHAR(10),'Onshore - Sydney'!A888&amp;CHAR(10))-1))</f>
        <v>Torrens University Australia</v>
      </c>
      <c r="E1861" s="63" t="str">
        <f aca="false">'Onshore - Sydney'!C995&amp;""</f>
        <v>3 years</v>
      </c>
      <c r="F1861" s="63" t="str">
        <f aca="false">IF('Onshore - Sydney'!D995="","Belum tercatat",'Onshore - Sydney'!D995)</f>
        <v>Term</v>
      </c>
      <c r="G1861" s="65" t="n">
        <f aca="false">IF('Onshore - Sydney'!E995="","-",'Onshore - Sydney'!E995)</f>
        <v>7375</v>
      </c>
      <c r="H1861" s="63" t="n">
        <f aca="false">IF(ISNUMBER(K1861),COUNTIFS($J$6:$J$1916,J1861,$K$6:$K$1916,"&lt;"&amp;K1861)+1,"-")</f>
        <v>1</v>
      </c>
      <c r="I1861" s="64" t="str">
        <f aca="false">IF('Onshore - Sydney'!E995="","Harga belum tersedia - hubungi konsultan TEG",IF(M1861=2,"Saat ini tidak menerima pendaftaran siswa internasional baru",IF(M1861=1,"Harga perlu dikonfirmasi ke sekolah"&amp;IF(""="","","; "&amp;""),"")))</f>
        <v/>
      </c>
      <c r="J1861" s="0" t="s">
        <v>4571</v>
      </c>
      <c r="K1861" s="0" t="n">
        <f aca="false">IF(M1861=2,"",IF(ISNUMBER(SEARCH("rata-rata:",'Onshore - Sydney'!M995)),VALUE(MID('Onshore - Sydney'!M995,SEARCH("rata-rata:",'Onshore - Sydney'!M995)+11,FIND(";",'Onshore - Sydney'!M995&amp;";",SEARCH("rata-rata:",'Onshore - Sydney'!M995))-SEARCH("rata-rata:",'Onshore - Sydney'!M995)-11)),IF('Onshore - Sydney'!D995="Semester",'Onshore - Sydney'!E995*2,IF('Onshore - Sydney'!D995="Trimester",'Onshore - Sydney'!E995*3,IF('Onshore - Sydney'!D995="Term",'Onshore - Sydney'!E995*4,IF('Onshore - Sydney'!D995="Unit",'Onshore - Sydney'!E995*8,""))))))</f>
        <v>29500</v>
      </c>
      <c r="L1861" s="0" t="n">
        <f aca="false">IF(AND(ISNUMBER('Onshore - Sydney'!E995),ISNUMBER(K1861),ISNUMBER('Onshore - Sydney'!F995),ISNUMBER('Onshore - Sydney'!G995),OR('Onshore - Sydney'!F995&lt;&gt;0,ISNUMBER(SEARCH("Material 0 terverifikasi",'Onshore - Sydney'!M995))),OR('Onshore - Sydney'!G995&lt;&gt;0,ISNUMBER(SEARCH("Enrolment 0 terverifikasi",'Onshore - Sydney'!M995)))),1,0)</f>
        <v>0</v>
      </c>
      <c r="M1861" s="0" t="n">
        <f aca="false">IF(OR('Onshore - Sydney'!E995="",ISNUMBER(SEARCH("BSB80120",'Onshore - Sydney'!B995&amp;'Onshore - Sydney'!M995)),ISNUMBER(SEARCH("Management (Learning)",'Onshore - Sydney'!B995))),2,IF(ISNUMBER(SEARCH("CEK:",'Onshore - Sydney'!M995)),1,0))</f>
        <v>0</v>
      </c>
    </row>
    <row r="1862" customFormat="false" ht="15" hidden="false" customHeight="false" outlineLevel="0" collapsed="false">
      <c r="A1862" s="63" t="s">
        <v>3533</v>
      </c>
      <c r="B1862" s="64" t="s">
        <v>3821</v>
      </c>
      <c r="C1862" s="63" t="s">
        <v>4222</v>
      </c>
      <c r="D1862" s="64" t="str">
        <f aca="false">TRIM(LEFT('Onshore - Sydney'!A394,FIND(CHAR(10),'Onshore - Sydney'!A394&amp;CHAR(10))-1))</f>
        <v>Charles Darwin University (CDU)</v>
      </c>
      <c r="E1862" s="63" t="str">
        <f aca="false">'Onshore - Sydney'!C410&amp;""</f>
        <v>4 years</v>
      </c>
      <c r="F1862" s="63" t="str">
        <f aca="false">IF('Onshore - Sydney'!D410="","Belum tercatat",'Onshore - Sydney'!D410)</f>
        <v>Term</v>
      </c>
      <c r="G1862" s="65" t="n">
        <f aca="false">IF('Onshore - Sydney'!E410="","-",'Onshore - Sydney'!E410)</f>
        <v>7784</v>
      </c>
      <c r="H1862" s="63" t="n">
        <f aca="false">IF(ISNUMBER(K1862),COUNTIFS($J$6:$J$1916,J1862,$K$6:$K$1916,"&lt;"&amp;K1862)+1,"-")</f>
        <v>2</v>
      </c>
      <c r="I1862" s="64" t="str">
        <f aca="false">IF('Onshore - Sydney'!E410="","Harga belum tersedia - hubungi konsultan TEG",IF(M1862=2,"Saat ini tidak menerima pendaftaran siswa internasional baru",IF(M1862=1,"Harga perlu dikonfirmasi ke sekolah"&amp;IF(""="","","; "&amp;""),"")))</f>
        <v>Harga perlu dikonfirmasi ke sekolah</v>
      </c>
      <c r="J1862" s="0" t="s">
        <v>4571</v>
      </c>
      <c r="K1862" s="0" t="n">
        <f aca="false">IF(M1862=2,"",IF(ISNUMBER(SEARCH("rata-rata:",'Onshore - Sydney'!M410)),VALUE(MID('Onshore - Sydney'!M410,SEARCH("rata-rata:",'Onshore - Sydney'!M410)+11,FIND(";",'Onshore - Sydney'!M410&amp;";",SEARCH("rata-rata:",'Onshore - Sydney'!M410))-SEARCH("rata-rata:",'Onshore - Sydney'!M410)-11)),IF('Onshore - Sydney'!D410="Semester",'Onshore - Sydney'!E410*2,IF('Onshore - Sydney'!D410="Trimester",'Onshore - Sydney'!E410*3,IF('Onshore - Sydney'!D410="Term",'Onshore - Sydney'!E410*4,IF('Onshore - Sydney'!D410="Unit",'Onshore - Sydney'!E410*8,""))))))</f>
        <v>31136</v>
      </c>
      <c r="L1862" s="0" t="n">
        <f aca="false">IF(AND(ISNUMBER('Onshore - Sydney'!E410),ISNUMBER(K1862),ISNUMBER('Onshore - Sydney'!F410),ISNUMBER('Onshore - Sydney'!G410),OR('Onshore - Sydney'!F410&lt;&gt;0,ISNUMBER(SEARCH("Material 0 terverifikasi",'Onshore - Sydney'!M410))),OR('Onshore - Sydney'!G410&lt;&gt;0,ISNUMBER(SEARCH("Enrolment 0 terverifikasi",'Onshore - Sydney'!M410)))),1,0)</f>
        <v>0</v>
      </c>
      <c r="M1862" s="0" t="n">
        <f aca="false">IF(OR('Onshore - Sydney'!E410="",ISNUMBER(SEARCH("BSB80120",'Onshore - Sydney'!B410&amp;'Onshore - Sydney'!M410)),ISNUMBER(SEARCH("Management (Learning)",'Onshore - Sydney'!B410))),2,IF(ISNUMBER(SEARCH("CEK:",'Onshore - Sydney'!M410)),1,0))</f>
        <v>1</v>
      </c>
    </row>
    <row r="1863" customFormat="false" ht="15" hidden="false" customHeight="false" outlineLevel="0" collapsed="false">
      <c r="A1863" s="63" t="s">
        <v>3533</v>
      </c>
      <c r="B1863" s="64" t="s">
        <v>3821</v>
      </c>
      <c r="C1863" s="63" t="s">
        <v>4222</v>
      </c>
      <c r="D1863" s="64" t="str">
        <f aca="false">TRIM(LEFT('Onshore - Sydney'!A163,FIND(CHAR(10),'Onshore - Sydney'!A163&amp;CHAR(10))-1))</f>
        <v>Australian Catholic University (ACU)</v>
      </c>
      <c r="E1863" s="63" t="str">
        <f aca="false">'Onshore - Sydney'!C253&amp;""</f>
        <v>3 years</v>
      </c>
      <c r="F1863" s="63" t="str">
        <f aca="false">IF('Onshore - Sydney'!D253="","Belum tercatat",'Onshore - Sydney'!D253)</f>
        <v>Term</v>
      </c>
      <c r="G1863" s="65" t="n">
        <f aca="false">IF('Onshore - Sydney'!E253="","-",'Onshore - Sydney'!E253)</f>
        <v>8682</v>
      </c>
      <c r="H1863" s="63" t="n">
        <f aca="false">IF(ISNUMBER(K1863),COUNTIFS($J$6:$J$1916,J1863,$K$6:$K$1916,"&lt;"&amp;K1863)+1,"-")</f>
        <v>3</v>
      </c>
      <c r="I1863" s="64" t="str">
        <f aca="false">IF('Onshore - Sydney'!E253="","Harga belum tersedia - hubungi konsultan TEG",IF(M1863=2,"Saat ini tidak menerima pendaftaran siswa internasional baru",IF(M1863=1,"Harga perlu dikonfirmasi ke sekolah"&amp;IF(""="","","; "&amp;""),"")))</f>
        <v/>
      </c>
      <c r="J1863" s="0" t="s">
        <v>4571</v>
      </c>
      <c r="K1863" s="0" t="n">
        <f aca="false">IF(M1863=2,"",IF(ISNUMBER(SEARCH("rata-rata:",'Onshore - Sydney'!M253)),VALUE(MID('Onshore - Sydney'!M253,SEARCH("rata-rata:",'Onshore - Sydney'!M253)+11,FIND(";",'Onshore - Sydney'!M253&amp;";",SEARCH("rata-rata:",'Onshore - Sydney'!M253))-SEARCH("rata-rata:",'Onshore - Sydney'!M253)-11)),IF('Onshore - Sydney'!D253="Semester",'Onshore - Sydney'!E253*2,IF('Onshore - Sydney'!D253="Trimester",'Onshore - Sydney'!E253*3,IF('Onshore - Sydney'!D253="Term",'Onshore - Sydney'!E253*4,IF('Onshore - Sydney'!D253="Unit",'Onshore - Sydney'!E253*8,""))))))</f>
        <v>34728</v>
      </c>
      <c r="L1863" s="0" t="n">
        <f aca="false">IF(AND(ISNUMBER('Onshore - Sydney'!E253),ISNUMBER(K1863),ISNUMBER('Onshore - Sydney'!F253),ISNUMBER('Onshore - Sydney'!G253),OR('Onshore - Sydney'!F253&lt;&gt;0,ISNUMBER(SEARCH("Material 0 terverifikasi",'Onshore - Sydney'!M253))),OR('Onshore - Sydney'!G253&lt;&gt;0,ISNUMBER(SEARCH("Enrolment 0 terverifikasi",'Onshore - Sydney'!M253)))),1,0)</f>
        <v>0</v>
      </c>
      <c r="M1863" s="0" t="n">
        <f aca="false">IF(OR('Onshore - Sydney'!E253="",ISNUMBER(SEARCH("BSB80120",'Onshore - Sydney'!B253&amp;'Onshore - Sydney'!M253)),ISNUMBER(SEARCH("Management (Learning)",'Onshore - Sydney'!B253))),2,IF(ISNUMBER(SEARCH("CEK:",'Onshore - Sydney'!M253)),1,0))</f>
        <v>0</v>
      </c>
    </row>
    <row r="1864" customFormat="false" ht="15" hidden="false" customHeight="false" outlineLevel="0" collapsed="false">
      <c r="A1864" s="61" t="s">
        <v>4572</v>
      </c>
      <c r="B1864" s="62"/>
      <c r="C1864" s="62"/>
      <c r="D1864" s="62"/>
      <c r="E1864" s="62"/>
      <c r="F1864" s="62"/>
      <c r="G1864" s="62"/>
      <c r="H1864" s="62"/>
      <c r="I1864" s="62"/>
    </row>
    <row r="1865" customFormat="false" ht="15" hidden="false" customHeight="false" outlineLevel="0" collapsed="false">
      <c r="A1865" s="63" t="s">
        <v>3753</v>
      </c>
      <c r="B1865" s="64" t="s">
        <v>3821</v>
      </c>
      <c r="C1865" s="63" t="s">
        <v>41</v>
      </c>
      <c r="D1865" s="64" t="str">
        <f aca="false">TRIM(LEFT('Onshore - Tasmania Hobart'!A21,FIND(CHAR(10),'Onshore - Tasmania Hobart'!A21&amp;CHAR(10))-1))</f>
        <v>University of Tasmania (UTAS)</v>
      </c>
      <c r="E1865" s="63" t="str">
        <f aca="false">'Onshore - Tasmania Hobart'!C65&amp;""</f>
        <v>1 year</v>
      </c>
      <c r="F1865" s="63" t="str">
        <f aca="false">IF('Onshore - Tasmania Hobart'!D65="","Belum tercatat",'Onshore - Tasmania Hobart'!D65)</f>
        <v>Term</v>
      </c>
      <c r="G1865" s="65" t="n">
        <f aca="false">IF('Onshore - Tasmania Hobart'!E65="","-",'Onshore - Tasmania Hobart'!E65)</f>
        <v>10062.5</v>
      </c>
      <c r="H1865" s="63" t="n">
        <f aca="false">IF(ISNUMBER(K1865),COUNTIFS($J$6:$J$1916,J1865,$K$6:$K$1916,"&lt;"&amp;K1865)+1,"-")</f>
        <v>1</v>
      </c>
      <c r="I1865" s="64" t="str">
        <f aca="false">IF('Onshore - Tasmania Hobart'!E65="","Harga belum tersedia - hubungi konsultan TEG",IF(M1865=2,"Saat ini tidak menerima pendaftaran siswa internasional baru",IF(M1865=1,"Harga perlu dikonfirmasi ke sekolah"&amp;IF(""="","","; "&amp;""),"")))</f>
        <v>Harga perlu dikonfirmasi ke sekolah</v>
      </c>
      <c r="J1865" s="0" t="s">
        <v>4573</v>
      </c>
      <c r="K1865" s="0" t="n">
        <f aca="false">IF(M1865=2,"",IF(ISNUMBER(SEARCH("rata-rata:",'Onshore - Tasmania Hobart'!M65)),VALUE(MID('Onshore - Tasmania Hobart'!M65,SEARCH("rata-rata:",'Onshore - Tasmania Hobart'!M65)+11,FIND(";",'Onshore - Tasmania Hobart'!M65&amp;";",SEARCH("rata-rata:",'Onshore - Tasmania Hobart'!M65))-SEARCH("rata-rata:",'Onshore - Tasmania Hobart'!M65)-11)),IF('Onshore - Tasmania Hobart'!D65="Semester",'Onshore - Tasmania Hobart'!E65*2,IF('Onshore - Tasmania Hobart'!D65="Trimester",'Onshore - Tasmania Hobart'!E65*3,IF('Onshore - Tasmania Hobart'!D65="Term",'Onshore - Tasmania Hobart'!E65*4,IF('Onshore - Tasmania Hobart'!D65="Unit",'Onshore - Tasmania Hobart'!E65*8,""))))))</f>
        <v>40250</v>
      </c>
      <c r="L1865" s="0" t="n">
        <f aca="false">IF(AND(ISNUMBER('Onshore - Tasmania Hobart'!E65),ISNUMBER(K1865),ISNUMBER('Onshore - Tasmania Hobart'!F65),ISNUMBER('Onshore - Tasmania Hobart'!G65),OR('Onshore - Tasmania Hobart'!F65&lt;&gt;0,ISNUMBER(SEARCH("Material 0 terverifikasi",'Onshore - Tasmania Hobart'!M65))),OR('Onshore - Tasmania Hobart'!G65&lt;&gt;0,ISNUMBER(SEARCH("Enrolment 0 terverifikasi",'Onshore - Tasmania Hobart'!M65)))),1,0)</f>
        <v>0</v>
      </c>
      <c r="M1865" s="0" t="n">
        <f aca="false">IF(OR('Onshore - Tasmania Hobart'!E65="",ISNUMBER(SEARCH("BSB80120",'Onshore - Tasmania Hobart'!B65&amp;'Onshore - Tasmania Hobart'!M65)),ISNUMBER(SEARCH("Management (Learning)",'Onshore - Tasmania Hobart'!B65))),2,IF(ISNUMBER(SEARCH("CEK:",'Onshore - Tasmania Hobart'!M65)),1,0))</f>
        <v>1</v>
      </c>
    </row>
    <row r="1866" customFormat="false" ht="15" hidden="false" customHeight="false" outlineLevel="0" collapsed="false">
      <c r="A1866" s="61" t="s">
        <v>4574</v>
      </c>
      <c r="B1866" s="62"/>
      <c r="C1866" s="62"/>
      <c r="D1866" s="62"/>
      <c r="E1866" s="62"/>
      <c r="F1866" s="62"/>
      <c r="G1866" s="62"/>
      <c r="H1866" s="62"/>
      <c r="I1866" s="62"/>
    </row>
    <row r="1867" customFormat="false" ht="15" hidden="false" customHeight="false" outlineLevel="0" collapsed="false">
      <c r="A1867" s="63" t="s">
        <v>3753</v>
      </c>
      <c r="B1867" s="64" t="s">
        <v>3821</v>
      </c>
      <c r="C1867" s="63" t="s">
        <v>42</v>
      </c>
      <c r="D1867" s="64" t="str">
        <f aca="false">TRIM(LEFT('Onshore - Tasmania Hobart'!A6,FIND(CHAR(10),'Onshore - Tasmania Hobart'!A6&amp;CHAR(10))-1))</f>
        <v>Australian Ideal College (AIC)</v>
      </c>
      <c r="E1867" s="63" t="str">
        <f aca="false">'Onshore - Tasmania Hobart'!C7&amp;""</f>
        <v>1 year</v>
      </c>
      <c r="F1867" s="63" t="str">
        <f aca="false">IF('Onshore - Tasmania Hobart'!D7="","Belum tercatat",'Onshore - Tasmania Hobart'!D7)</f>
        <v>Term</v>
      </c>
      <c r="G1867" s="65" t="n">
        <f aca="false">IF('Onshore - Tasmania Hobart'!E7="","-",'Onshore - Tasmania Hobart'!E7)</f>
        <v>3000</v>
      </c>
      <c r="H1867" s="63" t="n">
        <f aca="false">IF(ISNUMBER(K1867),COUNTIFS($J$6:$J$1916,J1867,$K$6:$K$1916,"&lt;"&amp;K1867)+1,"-")</f>
        <v>1</v>
      </c>
      <c r="I1867" s="64" t="str">
        <f aca="false">IF('Onshore - Tasmania Hobart'!E7="","Harga belum tersedia - hubungi konsultan TEG",IF(M1867=2,"Saat ini tidak menerima pendaftaran siswa internasional baru",IF(M1867=1,"Harga perlu dikonfirmasi ke sekolah"&amp;IF(""="","","; "&amp;""),"")))</f>
        <v/>
      </c>
      <c r="J1867" s="0" t="s">
        <v>4575</v>
      </c>
      <c r="K1867" s="0" t="n">
        <f aca="false">IF(M1867=2,"",IF(ISNUMBER(SEARCH("rata-rata:",'Onshore - Tasmania Hobart'!M7)),VALUE(MID('Onshore - Tasmania Hobart'!M7,SEARCH("rata-rata:",'Onshore - Tasmania Hobart'!M7)+11,FIND(";",'Onshore - Tasmania Hobart'!M7&amp;";",SEARCH("rata-rata:",'Onshore - Tasmania Hobart'!M7))-SEARCH("rata-rata:",'Onshore - Tasmania Hobart'!M7)-11)),IF('Onshore - Tasmania Hobart'!D7="Semester",'Onshore - Tasmania Hobart'!E7*2,IF('Onshore - Tasmania Hobart'!D7="Trimester",'Onshore - Tasmania Hobart'!E7*3,IF('Onshore - Tasmania Hobart'!D7="Term",'Onshore - Tasmania Hobart'!E7*4,IF('Onshore - Tasmania Hobart'!D7="Unit",'Onshore - Tasmania Hobart'!E7*8,""))))))</f>
        <v>12000</v>
      </c>
      <c r="L1867" s="0" t="n">
        <f aca="false">IF(AND(ISNUMBER('Onshore - Tasmania Hobart'!E7),ISNUMBER(K1867),ISNUMBER('Onshore - Tasmania Hobart'!F7),ISNUMBER('Onshore - Tasmania Hobart'!G7),OR('Onshore - Tasmania Hobart'!F7&lt;&gt;0,ISNUMBER(SEARCH("Material 0 terverifikasi",'Onshore - Tasmania Hobart'!M7))),OR('Onshore - Tasmania Hobart'!G7&lt;&gt;0,ISNUMBER(SEARCH("Enrolment 0 terverifikasi",'Onshore - Tasmania Hobart'!M7)))),1,0)</f>
        <v>1</v>
      </c>
      <c r="M1867" s="0" t="n">
        <f aca="false">IF(OR('Onshore - Tasmania Hobart'!E7="",ISNUMBER(SEARCH("BSB80120",'Onshore - Tasmania Hobart'!B7&amp;'Onshore - Tasmania Hobart'!M7)),ISNUMBER(SEARCH("Management (Learning)",'Onshore - Tasmania Hobart'!B7))),2,IF(ISNUMBER(SEARCH("CEK:",'Onshore - Tasmania Hobart'!M7)),1,0))</f>
        <v>0</v>
      </c>
    </row>
    <row r="1868" customFormat="false" ht="15" hidden="false" customHeight="false" outlineLevel="0" collapsed="false">
      <c r="A1868" s="63" t="s">
        <v>3753</v>
      </c>
      <c r="B1868" s="64" t="s">
        <v>3821</v>
      </c>
      <c r="C1868" s="63" t="s">
        <v>42</v>
      </c>
      <c r="D1868" s="64" t="str">
        <f aca="false">TRIM(LEFT('Onshore - Tasmania Hobart'!A21,FIND(CHAR(10),'Onshore - Tasmania Hobart'!A21&amp;CHAR(10))-1))</f>
        <v>University of Tasmania (UTAS)</v>
      </c>
      <c r="E1868" s="63" t="str">
        <f aca="false">'Onshore - Tasmania Hobart'!C66&amp;""</f>
        <v>2 years</v>
      </c>
      <c r="F1868" s="63" t="str">
        <f aca="false">IF('Onshore - Tasmania Hobart'!D66="","Belum tercatat",'Onshore - Tasmania Hobart'!D66)</f>
        <v>Term</v>
      </c>
      <c r="G1868" s="65" t="n">
        <f aca="false">IF('Onshore - Tasmania Hobart'!E66="","-",'Onshore - Tasmania Hobart'!E66)</f>
        <v>9312.5</v>
      </c>
      <c r="H1868" s="63" t="n">
        <f aca="false">IF(ISNUMBER(K1868),COUNTIFS($J$6:$J$1916,J1868,$K$6:$K$1916,"&lt;"&amp;K1868)+1,"-")</f>
        <v>2</v>
      </c>
      <c r="I1868" s="64" t="str">
        <f aca="false">IF('Onshore - Tasmania Hobart'!E66="","Harga belum tersedia - hubungi konsultan TEG",IF(M1868=2,"Saat ini tidak menerima pendaftaran siswa internasional baru",IF(M1868=1,"Harga perlu dikonfirmasi ke sekolah"&amp;IF(""="","","; "&amp;""),"")))</f>
        <v>Harga perlu dikonfirmasi ke sekolah</v>
      </c>
      <c r="J1868" s="0" t="s">
        <v>4575</v>
      </c>
      <c r="K1868" s="0" t="n">
        <f aca="false">IF(M1868=2,"",IF(ISNUMBER(SEARCH("rata-rata:",'Onshore - Tasmania Hobart'!M66)),VALUE(MID('Onshore - Tasmania Hobart'!M66,SEARCH("rata-rata:",'Onshore - Tasmania Hobart'!M66)+11,FIND(";",'Onshore - Tasmania Hobart'!M66&amp;";",SEARCH("rata-rata:",'Onshore - Tasmania Hobart'!M66))-SEARCH("rata-rata:",'Onshore - Tasmania Hobart'!M66)-11)),IF('Onshore - Tasmania Hobart'!D66="Semester",'Onshore - Tasmania Hobart'!E66*2,IF('Onshore - Tasmania Hobart'!D66="Trimester",'Onshore - Tasmania Hobart'!E66*3,IF('Onshore - Tasmania Hobart'!D66="Term",'Onshore - Tasmania Hobart'!E66*4,IF('Onshore - Tasmania Hobart'!D66="Unit",'Onshore - Tasmania Hobart'!E66*8,""))))))</f>
        <v>37250</v>
      </c>
      <c r="L1868" s="0" t="n">
        <f aca="false">IF(AND(ISNUMBER('Onshore - Tasmania Hobart'!E66),ISNUMBER(K1868),ISNUMBER('Onshore - Tasmania Hobart'!F66),ISNUMBER('Onshore - Tasmania Hobart'!G66),OR('Onshore - Tasmania Hobart'!F66&lt;&gt;0,ISNUMBER(SEARCH("Material 0 terverifikasi",'Onshore - Tasmania Hobart'!M66))),OR('Onshore - Tasmania Hobart'!G66&lt;&gt;0,ISNUMBER(SEARCH("Enrolment 0 terverifikasi",'Onshore - Tasmania Hobart'!M66)))),1,0)</f>
        <v>0</v>
      </c>
      <c r="M1868" s="0" t="n">
        <f aca="false">IF(OR('Onshore - Tasmania Hobart'!E66="",ISNUMBER(SEARCH("BSB80120",'Onshore - Tasmania Hobart'!B66&amp;'Onshore - Tasmania Hobart'!M66)),ISNUMBER(SEARCH("Management (Learning)",'Onshore - Tasmania Hobart'!B66))),2,IF(ISNUMBER(SEARCH("CEK:",'Onshore - Tasmania Hobart'!M66)),1,0))</f>
        <v>1</v>
      </c>
    </row>
    <row r="1869" customFormat="false" ht="15" hidden="false" customHeight="false" outlineLevel="0" collapsed="false">
      <c r="A1869" s="61" t="s">
        <v>4576</v>
      </c>
      <c r="B1869" s="62"/>
      <c r="C1869" s="62"/>
      <c r="D1869" s="62"/>
      <c r="E1869" s="62"/>
      <c r="F1869" s="62"/>
      <c r="G1869" s="62"/>
      <c r="H1869" s="62"/>
      <c r="I1869" s="62"/>
    </row>
    <row r="1870" customFormat="false" ht="15" hidden="false" customHeight="false" outlineLevel="0" collapsed="false">
      <c r="A1870" s="63" t="s">
        <v>3753</v>
      </c>
      <c r="B1870" s="64" t="s">
        <v>3821</v>
      </c>
      <c r="C1870" s="63" t="s">
        <v>43</v>
      </c>
      <c r="D1870" s="64" t="str">
        <f aca="false">TRIM(LEFT('Onshore - Tasmania Hobart'!A21,FIND(CHAR(10),'Onshore - Tasmania Hobart'!A21&amp;CHAR(10))-1))</f>
        <v>University of Tasmania (UTAS)</v>
      </c>
      <c r="E1870" s="63" t="str">
        <f aca="false">'Onshore - Tasmania Hobart'!C67&amp;""</f>
        <v>3 years</v>
      </c>
      <c r="F1870" s="63" t="str">
        <f aca="false">IF('Onshore - Tasmania Hobart'!D67="","Belum tercatat",'Onshore - Tasmania Hobart'!D67)</f>
        <v>Term</v>
      </c>
      <c r="G1870" s="65" t="n">
        <f aca="false">IF('Onshore - Tasmania Hobart'!E67="","-",'Onshore - Tasmania Hobart'!E67)</f>
        <v>9312.5</v>
      </c>
      <c r="H1870" s="63" t="n">
        <f aca="false">IF(ISNUMBER(K1870),COUNTIFS($J$6:$J$1916,J1870,$K$6:$K$1916,"&lt;"&amp;K1870)+1,"-")</f>
        <v>1</v>
      </c>
      <c r="I1870" s="64" t="str">
        <f aca="false">IF('Onshore - Tasmania Hobart'!E67="","Harga belum tersedia - hubungi konsultan TEG",IF(M1870=2,"Saat ini tidak menerima pendaftaran siswa internasional baru",IF(M1870=1,"Harga perlu dikonfirmasi ke sekolah"&amp;IF(""="","","; "&amp;""),"")))</f>
        <v>Harga perlu dikonfirmasi ke sekolah</v>
      </c>
      <c r="J1870" s="0" t="s">
        <v>4577</v>
      </c>
      <c r="K1870" s="0" t="n">
        <f aca="false">IF(M1870=2,"",IF(ISNUMBER(SEARCH("rata-rata:",'Onshore - Tasmania Hobart'!M67)),VALUE(MID('Onshore - Tasmania Hobart'!M67,SEARCH("rata-rata:",'Onshore - Tasmania Hobart'!M67)+11,FIND(";",'Onshore - Tasmania Hobart'!M67&amp;";",SEARCH("rata-rata:",'Onshore - Tasmania Hobart'!M67))-SEARCH("rata-rata:",'Onshore - Tasmania Hobart'!M67)-11)),IF('Onshore - Tasmania Hobart'!D67="Semester",'Onshore - Tasmania Hobart'!E67*2,IF('Onshore - Tasmania Hobart'!D67="Trimester",'Onshore - Tasmania Hobart'!E67*3,IF('Onshore - Tasmania Hobart'!D67="Term",'Onshore - Tasmania Hobart'!E67*4,IF('Onshore - Tasmania Hobart'!D67="Unit",'Onshore - Tasmania Hobart'!E67*8,""))))))</f>
        <v>37250</v>
      </c>
      <c r="L1870" s="0" t="n">
        <f aca="false">IF(AND(ISNUMBER('Onshore - Tasmania Hobart'!E67),ISNUMBER(K1870),ISNUMBER('Onshore - Tasmania Hobart'!F67),ISNUMBER('Onshore - Tasmania Hobart'!G67),OR('Onshore - Tasmania Hobart'!F67&lt;&gt;0,ISNUMBER(SEARCH("Material 0 terverifikasi",'Onshore - Tasmania Hobart'!M67))),OR('Onshore - Tasmania Hobart'!G67&lt;&gt;0,ISNUMBER(SEARCH("Enrolment 0 terverifikasi",'Onshore - Tasmania Hobart'!M67)))),1,0)</f>
        <v>0</v>
      </c>
      <c r="M1870" s="0" t="n">
        <f aca="false">IF(OR('Onshore - Tasmania Hobart'!E67="",ISNUMBER(SEARCH("BSB80120",'Onshore - Tasmania Hobart'!B67&amp;'Onshore - Tasmania Hobart'!M67)),ISNUMBER(SEARCH("Management (Learning)",'Onshore - Tasmania Hobart'!B67))),2,IF(ISNUMBER(SEARCH("CEK:",'Onshore - Tasmania Hobart'!M67)),1,0))</f>
        <v>1</v>
      </c>
    </row>
    <row r="1871" customFormat="false" ht="15" hidden="false" customHeight="false" outlineLevel="0" collapsed="false">
      <c r="A1871" s="61" t="s">
        <v>4578</v>
      </c>
      <c r="B1871" s="62"/>
      <c r="C1871" s="62"/>
      <c r="D1871" s="62"/>
      <c r="E1871" s="62"/>
      <c r="F1871" s="62"/>
      <c r="G1871" s="62"/>
      <c r="H1871" s="62"/>
      <c r="I1871" s="62"/>
    </row>
    <row r="1872" customFormat="false" ht="15" hidden="false" customHeight="false" outlineLevel="0" collapsed="false">
      <c r="A1872" s="63" t="s">
        <v>3753</v>
      </c>
      <c r="B1872" s="64" t="s">
        <v>3821</v>
      </c>
      <c r="C1872" s="63" t="s">
        <v>3707</v>
      </c>
      <c r="D1872" s="64" t="str">
        <f aca="false">TRIM(LEFT('Onshore - Tasmania Hobart'!A21,FIND(CHAR(10),'Onshore - Tasmania Hobart'!A21&amp;CHAR(10))-1))</f>
        <v>University of Tasmania (UTAS)</v>
      </c>
      <c r="E1872" s="63" t="str">
        <f aca="false">'Onshore - Tasmania Hobart'!C101&amp;""</f>
        <v>1 year</v>
      </c>
      <c r="F1872" s="63" t="str">
        <f aca="false">IF('Onshore - Tasmania Hobart'!D101="","Belum tercatat",'Onshore - Tasmania Hobart'!D101)</f>
        <v>Term</v>
      </c>
      <c r="G1872" s="65" t="n">
        <f aca="false">IF('Onshore - Tasmania Hobart'!E101="","-",'Onshore - Tasmania Hobart'!E101)</f>
        <v>4737.5</v>
      </c>
      <c r="H1872" s="63" t="n">
        <f aca="false">IF(ISNUMBER(K1872),COUNTIFS($J$6:$J$1916,J1872,$K$6:$K$1916,"&lt;"&amp;K1872)+1,"-")</f>
        <v>1</v>
      </c>
      <c r="I1872" s="64" t="str">
        <f aca="false">IF('Onshore - Tasmania Hobart'!E101="","Harga belum tersedia - hubungi konsultan TEG",IF(M1872=2,"Saat ini tidak menerima pendaftaran siswa internasional baru",IF(M1872=1,"Harga perlu dikonfirmasi ke sekolah"&amp;IF(""="","","; "&amp;""),"")))</f>
        <v>Harga perlu dikonfirmasi ke sekolah</v>
      </c>
      <c r="J1872" s="0" t="s">
        <v>4579</v>
      </c>
      <c r="K1872" s="0" t="n">
        <f aca="false">IF(M1872=2,"",IF(ISNUMBER(SEARCH("rata-rata:",'Onshore - Tasmania Hobart'!M101)),VALUE(MID('Onshore - Tasmania Hobart'!M101,SEARCH("rata-rata:",'Onshore - Tasmania Hobart'!M101)+11,FIND(";",'Onshore - Tasmania Hobart'!M101&amp;";",SEARCH("rata-rata:",'Onshore - Tasmania Hobart'!M101))-SEARCH("rata-rata:",'Onshore - Tasmania Hobart'!M101)-11)),IF('Onshore - Tasmania Hobart'!D101="Semester",'Onshore - Tasmania Hobart'!E101*2,IF('Onshore - Tasmania Hobart'!D101="Trimester",'Onshore - Tasmania Hobart'!E101*3,IF('Onshore - Tasmania Hobart'!D101="Term",'Onshore - Tasmania Hobart'!E101*4,IF('Onshore - Tasmania Hobart'!D101="Unit",'Onshore - Tasmania Hobart'!E101*8,""))))))</f>
        <v>18950</v>
      </c>
      <c r="L1872" s="0" t="n">
        <f aca="false">IF(AND(ISNUMBER('Onshore - Tasmania Hobart'!E101),ISNUMBER(K1872),ISNUMBER('Onshore - Tasmania Hobart'!F101),ISNUMBER('Onshore - Tasmania Hobart'!G101),OR('Onshore - Tasmania Hobart'!F101&lt;&gt;0,ISNUMBER(SEARCH("Material 0 terverifikasi",'Onshore - Tasmania Hobart'!M101))),OR('Onshore - Tasmania Hobart'!G101&lt;&gt;0,ISNUMBER(SEARCH("Enrolment 0 terverifikasi",'Onshore - Tasmania Hobart'!M101)))),1,0)</f>
        <v>0</v>
      </c>
      <c r="M1872" s="0" t="n">
        <f aca="false">IF(OR('Onshore - Tasmania Hobart'!E101="",ISNUMBER(SEARCH("BSB80120",'Onshore - Tasmania Hobart'!B101&amp;'Onshore - Tasmania Hobart'!M101)),ISNUMBER(SEARCH("Management (Learning)",'Onshore - Tasmania Hobart'!B101))),2,IF(ISNUMBER(SEARCH("CEK:",'Onshore - Tasmania Hobart'!M101)),1,0))</f>
        <v>1</v>
      </c>
    </row>
    <row r="1873" customFormat="false" ht="15" hidden="false" customHeight="false" outlineLevel="0" collapsed="false">
      <c r="A1873" s="61" t="s">
        <v>4580</v>
      </c>
      <c r="B1873" s="62"/>
      <c r="C1873" s="62"/>
      <c r="D1873" s="62"/>
      <c r="E1873" s="62"/>
      <c r="F1873" s="62"/>
      <c r="G1873" s="62"/>
      <c r="H1873" s="62"/>
      <c r="I1873" s="62"/>
    </row>
    <row r="1874" customFormat="false" ht="15" hidden="false" customHeight="false" outlineLevel="0" collapsed="false">
      <c r="A1874" s="63" t="s">
        <v>3753</v>
      </c>
      <c r="B1874" s="64" t="s">
        <v>3821</v>
      </c>
      <c r="C1874" s="63" t="s">
        <v>46</v>
      </c>
      <c r="D1874" s="64" t="str">
        <f aca="false">TRIM(LEFT('Onshore - Tasmania Hobart'!A21,FIND(CHAR(10),'Onshore - Tasmania Hobart'!A21&amp;CHAR(10))-1))</f>
        <v>University of Tasmania (UTAS)</v>
      </c>
      <c r="E1874" s="63" t="str">
        <f aca="false">'Onshore - Tasmania Hobart'!C98&amp;""</f>
        <v>3 years</v>
      </c>
      <c r="F1874" s="63" t="str">
        <f aca="false">IF('Onshore - Tasmania Hobart'!D98="","Belum tercatat",'Onshore - Tasmania Hobart'!D98)</f>
        <v>Term</v>
      </c>
      <c r="G1874" s="65" t="n">
        <f aca="false">IF('Onshore - Tasmania Hobart'!E98="","-",'Onshore - Tasmania Hobart'!E98)</f>
        <v>4737.5</v>
      </c>
      <c r="H1874" s="63" t="n">
        <f aca="false">IF(ISNUMBER(K1874),COUNTIFS($J$6:$J$1916,J1874,$K$6:$K$1916,"&lt;"&amp;K1874)+1,"-")</f>
        <v>1</v>
      </c>
      <c r="I1874" s="64" t="str">
        <f aca="false">IF('Onshore - Tasmania Hobart'!E98="","Harga belum tersedia - hubungi konsultan TEG",IF(M1874=2,"Saat ini tidak menerima pendaftaran siswa internasional baru",IF(M1874=1,"Harga perlu dikonfirmasi ke sekolah"&amp;IF(""="","","; "&amp;""),"")))</f>
        <v>Harga perlu dikonfirmasi ke sekolah</v>
      </c>
      <c r="J1874" s="0" t="s">
        <v>4581</v>
      </c>
      <c r="K1874" s="0" t="n">
        <f aca="false">IF(M1874=2,"",IF(ISNUMBER(SEARCH("rata-rata:",'Onshore - Tasmania Hobart'!M98)),VALUE(MID('Onshore - Tasmania Hobart'!M98,SEARCH("rata-rata:",'Onshore - Tasmania Hobart'!M98)+11,FIND(";",'Onshore - Tasmania Hobart'!M98&amp;";",SEARCH("rata-rata:",'Onshore - Tasmania Hobart'!M98))-SEARCH("rata-rata:",'Onshore - Tasmania Hobart'!M98)-11)),IF('Onshore - Tasmania Hobart'!D98="Semester",'Onshore - Tasmania Hobart'!E98*2,IF('Onshore - Tasmania Hobart'!D98="Trimester",'Onshore - Tasmania Hobart'!E98*3,IF('Onshore - Tasmania Hobart'!D98="Term",'Onshore - Tasmania Hobart'!E98*4,IF('Onshore - Tasmania Hobart'!D98="Unit",'Onshore - Tasmania Hobart'!E98*8,""))))))</f>
        <v>18950</v>
      </c>
      <c r="L1874" s="0" t="n">
        <f aca="false">IF(AND(ISNUMBER('Onshore - Tasmania Hobart'!E98),ISNUMBER(K1874),ISNUMBER('Onshore - Tasmania Hobart'!F98),ISNUMBER('Onshore - Tasmania Hobart'!G98),OR('Onshore - Tasmania Hobart'!F98&lt;&gt;0,ISNUMBER(SEARCH("Material 0 terverifikasi",'Onshore - Tasmania Hobart'!M98))),OR('Onshore - Tasmania Hobart'!G98&lt;&gt;0,ISNUMBER(SEARCH("Enrolment 0 terverifikasi",'Onshore - Tasmania Hobart'!M98)))),1,0)</f>
        <v>0</v>
      </c>
      <c r="M1874" s="0" t="n">
        <f aca="false">IF(OR('Onshore - Tasmania Hobart'!E98="",ISNUMBER(SEARCH("BSB80120",'Onshore - Tasmania Hobart'!B98&amp;'Onshore - Tasmania Hobart'!M98)),ISNUMBER(SEARCH("Management (Learning)",'Onshore - Tasmania Hobart'!B98))),2,IF(ISNUMBER(SEARCH("CEK:",'Onshore - Tasmania Hobart'!M98)),1,0))</f>
        <v>1</v>
      </c>
    </row>
    <row r="1875" customFormat="false" ht="15" hidden="false" customHeight="false" outlineLevel="0" collapsed="false">
      <c r="A1875" s="61" t="s">
        <v>4582</v>
      </c>
      <c r="B1875" s="62"/>
      <c r="C1875" s="62"/>
      <c r="D1875" s="62"/>
      <c r="E1875" s="62"/>
      <c r="F1875" s="62"/>
      <c r="G1875" s="62"/>
      <c r="H1875" s="62"/>
      <c r="I1875" s="62"/>
    </row>
    <row r="1876" customFormat="false" ht="15" hidden="false" customHeight="false" outlineLevel="0" collapsed="false">
      <c r="A1876" s="63" t="s">
        <v>3659</v>
      </c>
      <c r="B1876" s="64" t="s">
        <v>4583</v>
      </c>
      <c r="C1876" s="63" t="s">
        <v>39</v>
      </c>
      <c r="D1876" s="64" t="str">
        <f aca="false">TRIM(LEFT('Onshore - Adelaide'!A487,FIND(CHAR(10),'Onshore - Adelaide'!A487&amp;CHAR(10))-1))</f>
        <v>TAFE SA</v>
      </c>
      <c r="E1876" s="63" t="str">
        <f aca="false">'Onshore - Adelaide'!C539&amp;""</f>
        <v>1 year</v>
      </c>
      <c r="F1876" s="63" t="str">
        <f aca="false">IF('Onshore - Adelaide'!D539="","Belum tercatat",'Onshore - Adelaide'!D539)</f>
        <v>Semester</v>
      </c>
      <c r="G1876" s="65" t="n">
        <f aca="false">IF('Onshore - Adelaide'!E539="","-",'Onshore - Adelaide'!E539)</f>
        <v>6243</v>
      </c>
      <c r="H1876" s="63" t="n">
        <f aca="false">IF(ISNUMBER(K1876),COUNTIFS($J$6:$J$1916,J1876,$K$6:$K$1916,"&lt;"&amp;K1876)+1,"-")</f>
        <v>1</v>
      </c>
      <c r="I1876" s="64" t="str">
        <f aca="false">IF('Onshore - Adelaide'!E539="","Harga belum tersedia - hubungi konsultan TEG",IF(M1876=2,"Saat ini tidak menerima pendaftaran siswa internasional baru",IF(M1876=1,"Harga perlu dikonfirmasi ke sekolah"&amp;IF(""="","","; "&amp;""),"")))</f>
        <v/>
      </c>
      <c r="J1876" s="0" t="s">
        <v>4584</v>
      </c>
      <c r="K1876" s="0" t="n">
        <f aca="false">IF(M1876=2,"",IF(ISNUMBER(SEARCH("rata-rata:",'Onshore - Adelaide'!M539)),VALUE(MID('Onshore - Adelaide'!M539,SEARCH("rata-rata:",'Onshore - Adelaide'!M539)+11,FIND(";",'Onshore - Adelaide'!M539&amp;";",SEARCH("rata-rata:",'Onshore - Adelaide'!M539))-SEARCH("rata-rata:",'Onshore - Adelaide'!M539)-11)),IF('Onshore - Adelaide'!D539="Semester",'Onshore - Adelaide'!E539*2,IF('Onshore - Adelaide'!D539="Trimester",'Onshore - Adelaide'!E539*3,IF('Onshore - Adelaide'!D539="Term",'Onshore - Adelaide'!E539*4,IF('Onshore - Adelaide'!D539="Unit",'Onshore - Adelaide'!E539*8,""))))))</f>
        <v>12486</v>
      </c>
      <c r="L1876" s="0" t="n">
        <f aca="false">IF(AND(ISNUMBER('Onshore - Adelaide'!E539),ISNUMBER(K1876),ISNUMBER('Onshore - Adelaide'!F539),ISNUMBER('Onshore - Adelaide'!G539),OR('Onshore - Adelaide'!F539&lt;&gt;0,ISNUMBER(SEARCH("Material 0 terverifikasi",'Onshore - Adelaide'!M539))),OR('Onshore - Adelaide'!G539&lt;&gt;0,ISNUMBER(SEARCH("Enrolment 0 terverifikasi",'Onshore - Adelaide'!M539)))),1,0)</f>
        <v>0</v>
      </c>
      <c r="M1876" s="0" t="n">
        <f aca="false">IF(OR('Onshore - Adelaide'!E539="",ISNUMBER(SEARCH("BSB80120",'Onshore - Adelaide'!B539&amp;'Onshore - Adelaide'!M539)),ISNUMBER(SEARCH("Management (Learning)",'Onshore - Adelaide'!B539))),2,IF(ISNUMBER(SEARCH("CEK:",'Onshore - Adelaide'!M539)),1,0))</f>
        <v>0</v>
      </c>
    </row>
    <row r="1877" customFormat="false" ht="15" hidden="false" customHeight="false" outlineLevel="0" collapsed="false">
      <c r="A1877" s="61" t="s">
        <v>4585</v>
      </c>
      <c r="B1877" s="62"/>
      <c r="C1877" s="62"/>
      <c r="D1877" s="62"/>
      <c r="E1877" s="62"/>
      <c r="F1877" s="62"/>
      <c r="G1877" s="62"/>
      <c r="H1877" s="62"/>
      <c r="I1877" s="62"/>
    </row>
    <row r="1878" customFormat="false" ht="15" hidden="false" customHeight="false" outlineLevel="0" collapsed="false">
      <c r="A1878" s="63" t="s">
        <v>3659</v>
      </c>
      <c r="B1878" s="64" t="s">
        <v>4583</v>
      </c>
      <c r="C1878" s="63" t="s">
        <v>41</v>
      </c>
      <c r="D1878" s="64" t="str">
        <f aca="false">TRIM(LEFT('Onshore - Adelaide'!A487,FIND(CHAR(10),'Onshore - Adelaide'!A487&amp;CHAR(10))-1))</f>
        <v>TAFE SA</v>
      </c>
      <c r="E1878" s="63" t="str">
        <f aca="false">'Onshore - Adelaide'!C517&amp;""</f>
        <v>1 year</v>
      </c>
      <c r="F1878" s="63" t="str">
        <f aca="false">IF('Onshore - Adelaide'!D517="","Belum tercatat",'Onshore - Adelaide'!D517)</f>
        <v>Semester</v>
      </c>
      <c r="G1878" s="65" t="n">
        <f aca="false">IF('Onshore - Adelaide'!E517="","-",'Onshore - Adelaide'!E517)</f>
        <v>8127</v>
      </c>
      <c r="H1878" s="63" t="n">
        <f aca="false">IF(ISNUMBER(K1878),COUNTIFS($J$6:$J$1916,J1878,$K$6:$K$1916,"&lt;"&amp;K1878)+1,"-")</f>
        <v>1</v>
      </c>
      <c r="I1878" s="64" t="str">
        <f aca="false">IF('Onshore - Adelaide'!E517="","Harga belum tersedia - hubungi konsultan TEG",IF(M1878=2,"Saat ini tidak menerima pendaftaran siswa internasional baru",IF(M1878=1,"Harga perlu dikonfirmasi ke sekolah"&amp;IF(""="","","; "&amp;""),"")))</f>
        <v/>
      </c>
      <c r="J1878" s="0" t="s">
        <v>4586</v>
      </c>
      <c r="K1878" s="0" t="n">
        <f aca="false">IF(M1878=2,"",IF(ISNUMBER(SEARCH("rata-rata:",'Onshore - Adelaide'!M517)),VALUE(MID('Onshore - Adelaide'!M517,SEARCH("rata-rata:",'Onshore - Adelaide'!M517)+11,FIND(";",'Onshore - Adelaide'!M517&amp;";",SEARCH("rata-rata:",'Onshore - Adelaide'!M517))-SEARCH("rata-rata:",'Onshore - Adelaide'!M517)-11)),IF('Onshore - Adelaide'!D517="Semester",'Onshore - Adelaide'!E517*2,IF('Onshore - Adelaide'!D517="Trimester",'Onshore - Adelaide'!E517*3,IF('Onshore - Adelaide'!D517="Term",'Onshore - Adelaide'!E517*4,IF('Onshore - Adelaide'!D517="Unit",'Onshore - Adelaide'!E517*8,""))))))</f>
        <v>16254</v>
      </c>
      <c r="L1878" s="0" t="n">
        <f aca="false">IF(AND(ISNUMBER('Onshore - Adelaide'!E517),ISNUMBER(K1878),ISNUMBER('Onshore - Adelaide'!F517),ISNUMBER('Onshore - Adelaide'!G517),OR('Onshore - Adelaide'!F517&lt;&gt;0,ISNUMBER(SEARCH("Material 0 terverifikasi",'Onshore - Adelaide'!M517))),OR('Onshore - Adelaide'!G517&lt;&gt;0,ISNUMBER(SEARCH("Enrolment 0 terverifikasi",'Onshore - Adelaide'!M517)))),1,0)</f>
        <v>0</v>
      </c>
      <c r="M1878" s="0" t="n">
        <f aca="false">IF(OR('Onshore - Adelaide'!E517="",ISNUMBER(SEARCH("BSB80120",'Onshore - Adelaide'!B517&amp;'Onshore - Adelaide'!M517)),ISNUMBER(SEARCH("Management (Learning)",'Onshore - Adelaide'!B517))),2,IF(ISNUMBER(SEARCH("CEK:",'Onshore - Adelaide'!M517)),1,0))</f>
        <v>0</v>
      </c>
    </row>
    <row r="1879" customFormat="false" ht="15" hidden="false" customHeight="false" outlineLevel="0" collapsed="false">
      <c r="A1879" s="61" t="s">
        <v>4587</v>
      </c>
      <c r="B1879" s="62"/>
      <c r="C1879" s="62"/>
      <c r="D1879" s="62"/>
      <c r="E1879" s="62"/>
      <c r="F1879" s="62"/>
      <c r="G1879" s="62"/>
      <c r="H1879" s="62"/>
      <c r="I1879" s="62"/>
    </row>
    <row r="1880" customFormat="false" ht="15" hidden="false" customHeight="false" outlineLevel="0" collapsed="false">
      <c r="A1880" s="63" t="s">
        <v>3659</v>
      </c>
      <c r="B1880" s="64" t="s">
        <v>4583</v>
      </c>
      <c r="C1880" s="63" t="s">
        <v>43</v>
      </c>
      <c r="D1880" s="64" t="str">
        <f aca="false">TRIM(LEFT('Onshore - Adelaide'!A15,FIND(CHAR(10),'Onshore - Adelaide'!A15&amp;CHAR(10))-1))</f>
        <v>Adelaide University</v>
      </c>
      <c r="E1880" s="63" t="str">
        <f aca="false">'Onshore - Adelaide'!C186&amp;""</f>
        <v>3 years</v>
      </c>
      <c r="F1880" s="63" t="str">
        <f aca="false">IF('Onshore - Adelaide'!D186="","Belum tercatat",'Onshore - Adelaide'!D186)</f>
        <v>Term</v>
      </c>
      <c r="G1880" s="65" t="n">
        <f aca="false">IF('Onshore - Adelaide'!E186="","-",'Onshore - Adelaide'!E186)</f>
        <v>13725</v>
      </c>
      <c r="H1880" s="63" t="n">
        <f aca="false">IF(ISNUMBER(K1880),COUNTIFS($J$6:$J$1916,J1880,$K$6:$K$1916,"&lt;"&amp;K1880)+1,"-")</f>
        <v>1</v>
      </c>
      <c r="I1880" s="64" t="str">
        <f aca="false">IF('Onshore - Adelaide'!E186="","Harga belum tersedia - hubungi konsultan TEG",IF(M1880=2,"Saat ini tidak menerima pendaftaran siswa internasional baru",IF(M1880=1,"Harga perlu dikonfirmasi ke sekolah"&amp;IF(""="","","; "&amp;""),"")))</f>
        <v/>
      </c>
      <c r="J1880" s="0" t="s">
        <v>4588</v>
      </c>
      <c r="K1880" s="0" t="n">
        <f aca="false">IF(M1880=2,"",IF(ISNUMBER(SEARCH("rata-rata:",'Onshore - Adelaide'!M186)),VALUE(MID('Onshore - Adelaide'!M186,SEARCH("rata-rata:",'Onshore - Adelaide'!M186)+11,FIND(";",'Onshore - Adelaide'!M186&amp;";",SEARCH("rata-rata:",'Onshore - Adelaide'!M186))-SEARCH("rata-rata:",'Onshore - Adelaide'!M186)-11)),IF('Onshore - Adelaide'!D186="Semester",'Onshore - Adelaide'!E186*2,IF('Onshore - Adelaide'!D186="Trimester",'Onshore - Adelaide'!E186*3,IF('Onshore - Adelaide'!D186="Term",'Onshore - Adelaide'!E186*4,IF('Onshore - Adelaide'!D186="Unit",'Onshore - Adelaide'!E186*8,""))))))</f>
        <v>54900</v>
      </c>
      <c r="L1880" s="0" t="n">
        <f aca="false">IF(AND(ISNUMBER('Onshore - Adelaide'!E186),ISNUMBER(K1880),ISNUMBER('Onshore - Adelaide'!F186),ISNUMBER('Onshore - Adelaide'!G186),OR('Onshore - Adelaide'!F186&lt;&gt;0,ISNUMBER(SEARCH("Material 0 terverifikasi",'Onshore - Adelaide'!M186))),OR('Onshore - Adelaide'!G186&lt;&gt;0,ISNUMBER(SEARCH("Enrolment 0 terverifikasi",'Onshore - Adelaide'!M186)))),1,0)</f>
        <v>0</v>
      </c>
      <c r="M1880" s="0" t="n">
        <f aca="false">IF(OR('Onshore - Adelaide'!E186="",ISNUMBER(SEARCH("BSB80120",'Onshore - Adelaide'!B186&amp;'Onshore - Adelaide'!M186)),ISNUMBER(SEARCH("Management (Learning)",'Onshore - Adelaide'!B186))),2,IF(ISNUMBER(SEARCH("CEK:",'Onshore - Adelaide'!M186)),1,0))</f>
        <v>0</v>
      </c>
    </row>
    <row r="1881" customFormat="false" ht="15" hidden="false" customHeight="false" outlineLevel="0" collapsed="false">
      <c r="A1881" s="61" t="s">
        <v>4589</v>
      </c>
      <c r="B1881" s="62"/>
      <c r="C1881" s="62"/>
      <c r="D1881" s="62"/>
      <c r="E1881" s="62"/>
      <c r="F1881" s="62"/>
      <c r="G1881" s="62"/>
      <c r="H1881" s="62"/>
      <c r="I1881" s="62"/>
    </row>
    <row r="1882" customFormat="false" ht="15" hidden="false" customHeight="false" outlineLevel="0" collapsed="false">
      <c r="A1882" s="63" t="s">
        <v>3659</v>
      </c>
      <c r="B1882" s="64" t="s">
        <v>4583</v>
      </c>
      <c r="C1882" s="63" t="s">
        <v>46</v>
      </c>
      <c r="D1882" s="64" t="str">
        <f aca="false">TRIM(LEFT('Onshore - Adelaide'!A15,FIND(CHAR(10),'Onshore - Adelaide'!A15&amp;CHAR(10))-1))</f>
        <v>Adelaide University</v>
      </c>
      <c r="E1882" s="63" t="str">
        <f aca="false">'Onshore - Adelaide'!C366&amp;""</f>
        <v>2 years</v>
      </c>
      <c r="F1882" s="63" t="str">
        <f aca="false">IF('Onshore - Adelaide'!D366="","Belum tercatat",'Onshore - Adelaide'!D366)</f>
        <v>Term</v>
      </c>
      <c r="G1882" s="65" t="n">
        <f aca="false">IF('Onshore - Adelaide'!E366="","-",'Onshore - Adelaide'!E366)</f>
        <v>14150</v>
      </c>
      <c r="H1882" s="63" t="n">
        <f aca="false">IF(ISNUMBER(K1882),COUNTIFS($J$6:$J$1916,J1882,$K$6:$K$1916,"&lt;"&amp;K1882)+1,"-")</f>
        <v>1</v>
      </c>
      <c r="I1882" s="64" t="str">
        <f aca="false">IF('Onshore - Adelaide'!E366="","Harga belum tersedia - hubungi konsultan TEG",IF(M1882=2,"Saat ini tidak menerima pendaftaran siswa internasional baru",IF(M1882=1,"Harga perlu dikonfirmasi ke sekolah"&amp;IF(""="","","; "&amp;""),"")))</f>
        <v/>
      </c>
      <c r="J1882" s="0" t="s">
        <v>4590</v>
      </c>
      <c r="K1882" s="0" t="n">
        <f aca="false">IF(M1882=2,"",IF(ISNUMBER(SEARCH("rata-rata:",'Onshore - Adelaide'!M366)),VALUE(MID('Onshore - Adelaide'!M366,SEARCH("rata-rata:",'Onshore - Adelaide'!M366)+11,FIND(";",'Onshore - Adelaide'!M366&amp;";",SEARCH("rata-rata:",'Onshore - Adelaide'!M366))-SEARCH("rata-rata:",'Onshore - Adelaide'!M366)-11)),IF('Onshore - Adelaide'!D366="Semester",'Onshore - Adelaide'!E366*2,IF('Onshore - Adelaide'!D366="Trimester",'Onshore - Adelaide'!E366*3,IF('Onshore - Adelaide'!D366="Term",'Onshore - Adelaide'!E366*4,IF('Onshore - Adelaide'!D366="Unit",'Onshore - Adelaide'!E366*8,""))))))</f>
        <v>56600</v>
      </c>
      <c r="L1882" s="0" t="n">
        <f aca="false">IF(AND(ISNUMBER('Onshore - Adelaide'!E366),ISNUMBER(K1882),ISNUMBER('Onshore - Adelaide'!F366),ISNUMBER('Onshore - Adelaide'!G366),OR('Onshore - Adelaide'!F366&lt;&gt;0,ISNUMBER(SEARCH("Material 0 terverifikasi",'Onshore - Adelaide'!M366))),OR('Onshore - Adelaide'!G366&lt;&gt;0,ISNUMBER(SEARCH("Enrolment 0 terverifikasi",'Onshore - Adelaide'!M366)))),1,0)</f>
        <v>0</v>
      </c>
      <c r="M1882" s="0" t="n">
        <f aca="false">IF(OR('Onshore - Adelaide'!E366="",ISNUMBER(SEARCH("BSB80120",'Onshore - Adelaide'!B366&amp;'Onshore - Adelaide'!M366)),ISNUMBER(SEARCH("Management (Learning)",'Onshore - Adelaide'!B366))),2,IF(ISNUMBER(SEARCH("CEK:",'Onshore - Adelaide'!M366)),1,0))</f>
        <v>0</v>
      </c>
    </row>
    <row r="1883" customFormat="false" ht="15" hidden="false" customHeight="false" outlineLevel="0" collapsed="false">
      <c r="A1883" s="61" t="s">
        <v>4591</v>
      </c>
      <c r="B1883" s="62"/>
      <c r="C1883" s="62"/>
      <c r="D1883" s="62"/>
      <c r="E1883" s="62"/>
      <c r="F1883" s="62"/>
      <c r="G1883" s="62"/>
      <c r="H1883" s="62"/>
      <c r="I1883" s="62"/>
    </row>
    <row r="1884" customFormat="false" ht="15" hidden="false" customHeight="false" outlineLevel="0" collapsed="false">
      <c r="A1884" s="63" t="s">
        <v>3563</v>
      </c>
      <c r="B1884" s="64" t="s">
        <v>4583</v>
      </c>
      <c r="C1884" s="63" t="s">
        <v>43</v>
      </c>
      <c r="D1884" s="64" t="str">
        <f aca="false">TRIM(LEFT('Onshore - Brisbane'!A53,FIND(CHAR(10),'Onshore - Brisbane'!A53&amp;CHAR(10))-1))</f>
        <v>Australian Catholic University (ACU)</v>
      </c>
      <c r="E1884" s="63" t="str">
        <f aca="false">'Onshore - Brisbane'!C123&amp;""</f>
        <v>4 years</v>
      </c>
      <c r="F1884" s="63" t="str">
        <f aca="false">IF('Onshore - Brisbane'!D123="","Belum tercatat",'Onshore - Brisbane'!D123)</f>
        <v>Term</v>
      </c>
      <c r="G1884" s="65" t="n">
        <f aca="false">IF('Onshore - Brisbane'!E123="","-",'Onshore - Brisbane'!E123)</f>
        <v>8098</v>
      </c>
      <c r="H1884" s="63" t="n">
        <f aca="false">IF(ISNUMBER(K1884),COUNTIFS($J$6:$J$1916,J1884,$K$6:$K$1916,"&lt;"&amp;K1884)+1,"-")</f>
        <v>1</v>
      </c>
      <c r="I1884" s="64" t="str">
        <f aca="false">IF('Onshore - Brisbane'!E123="","Harga belum tersedia - hubungi konsultan TEG",IF(M1884=2,"Saat ini tidak menerima pendaftaran siswa internasional baru",IF(M1884=1,"Harga perlu dikonfirmasi ke sekolah"&amp;IF(""="","","; "&amp;""),"")))</f>
        <v/>
      </c>
      <c r="J1884" s="0" t="s">
        <v>4592</v>
      </c>
      <c r="K1884" s="0" t="n">
        <f aca="false">IF(M1884=2,"",IF(ISNUMBER(SEARCH("rata-rata:",'Onshore - Brisbane'!M123)),VALUE(MID('Onshore - Brisbane'!M123,SEARCH("rata-rata:",'Onshore - Brisbane'!M123)+11,FIND(";",'Onshore - Brisbane'!M123&amp;";",SEARCH("rata-rata:",'Onshore - Brisbane'!M123))-SEARCH("rata-rata:",'Onshore - Brisbane'!M123)-11)),IF('Onshore - Brisbane'!D123="Semester",'Onshore - Brisbane'!E123*2,IF('Onshore - Brisbane'!D123="Trimester",'Onshore - Brisbane'!E123*3,IF('Onshore - Brisbane'!D123="Term",'Onshore - Brisbane'!E123*4,IF('Onshore - Brisbane'!D123="Unit",'Onshore - Brisbane'!E123*8,""))))))</f>
        <v>32392</v>
      </c>
      <c r="L1884" s="0" t="n">
        <f aca="false">IF(AND(ISNUMBER('Onshore - Brisbane'!E123),ISNUMBER(K1884),ISNUMBER('Onshore - Brisbane'!F123),ISNUMBER('Onshore - Brisbane'!G123),OR('Onshore - Brisbane'!F123&lt;&gt;0,ISNUMBER(SEARCH("Material 0 terverifikasi",'Onshore - Brisbane'!M123))),OR('Onshore - Brisbane'!G123&lt;&gt;0,ISNUMBER(SEARCH("Enrolment 0 terverifikasi",'Onshore - Brisbane'!M123)))),1,0)</f>
        <v>0</v>
      </c>
      <c r="M1884" s="0" t="n">
        <f aca="false">IF(OR('Onshore - Brisbane'!E123="",ISNUMBER(SEARCH("BSB80120",'Onshore - Brisbane'!B123&amp;'Onshore - Brisbane'!M123)),ISNUMBER(SEARCH("Management (Learning)",'Onshore - Brisbane'!B123))),2,IF(ISNUMBER(SEARCH("CEK:",'Onshore - Brisbane'!M123)),1,0))</f>
        <v>0</v>
      </c>
    </row>
    <row r="1885" customFormat="false" ht="15" hidden="false" customHeight="false" outlineLevel="0" collapsed="false">
      <c r="A1885" s="61" t="s">
        <v>4593</v>
      </c>
      <c r="B1885" s="62"/>
      <c r="C1885" s="62"/>
      <c r="D1885" s="62"/>
      <c r="E1885" s="62"/>
      <c r="F1885" s="62"/>
      <c r="G1885" s="62"/>
      <c r="H1885" s="62"/>
      <c r="I1885" s="62"/>
    </row>
    <row r="1886" customFormat="false" ht="15" hidden="false" customHeight="false" outlineLevel="0" collapsed="false">
      <c r="A1886" s="63" t="s">
        <v>3718</v>
      </c>
      <c r="B1886" s="64" t="s">
        <v>4583</v>
      </c>
      <c r="C1886" s="63" t="s">
        <v>43</v>
      </c>
      <c r="D1886" s="64" t="str">
        <f aca="false">TRIM(LEFT('Onshore - Canberra'!A6,FIND(CHAR(10),'Onshore - Canberra'!A6&amp;CHAR(10))-1))</f>
        <v>Australian Catholic University (ACU)</v>
      </c>
      <c r="E1886" s="63" t="str">
        <f aca="false">'Onshore - Canberra'!C76&amp;""</f>
        <v>4 years</v>
      </c>
      <c r="F1886" s="63" t="str">
        <f aca="false">IF('Onshore - Canberra'!D76="","Belum tercatat",'Onshore - Canberra'!D76)</f>
        <v>Term</v>
      </c>
      <c r="G1886" s="65" t="n">
        <f aca="false">IF('Onshore - Canberra'!E76="","-",'Onshore - Canberra'!E76)</f>
        <v>8098</v>
      </c>
      <c r="H1886" s="63" t="n">
        <f aca="false">IF(ISNUMBER(K1886),COUNTIFS($J$6:$J$1916,J1886,$K$6:$K$1916,"&lt;"&amp;K1886)+1,"-")</f>
        <v>1</v>
      </c>
      <c r="I1886" s="64" t="str">
        <f aca="false">IF('Onshore - Canberra'!E76="","Harga belum tersedia - hubungi konsultan TEG",IF(M1886=2,"Saat ini tidak menerima pendaftaran siswa internasional baru",IF(M1886=1,"Harga perlu dikonfirmasi ke sekolah"&amp;IF(""="","","; "&amp;""),"")))</f>
        <v/>
      </c>
      <c r="J1886" s="0" t="s">
        <v>4594</v>
      </c>
      <c r="K1886" s="0" t="n">
        <f aca="false">IF(M1886=2,"",IF(ISNUMBER(SEARCH("rata-rata:",'Onshore - Canberra'!M76)),VALUE(MID('Onshore - Canberra'!M76,SEARCH("rata-rata:",'Onshore - Canberra'!M76)+11,FIND(";",'Onshore - Canberra'!M76&amp;";",SEARCH("rata-rata:",'Onshore - Canberra'!M76))-SEARCH("rata-rata:",'Onshore - Canberra'!M76)-11)),IF('Onshore - Canberra'!D76="Semester",'Onshore - Canberra'!E76*2,IF('Onshore - Canberra'!D76="Trimester",'Onshore - Canberra'!E76*3,IF('Onshore - Canberra'!D76="Term",'Onshore - Canberra'!E76*4,IF('Onshore - Canberra'!D76="Unit",'Onshore - Canberra'!E76*8,""))))))</f>
        <v>32392</v>
      </c>
      <c r="L1886" s="0" t="n">
        <f aca="false">IF(AND(ISNUMBER('Onshore - Canberra'!E76),ISNUMBER(K1886),ISNUMBER('Onshore - Canberra'!F76),ISNUMBER('Onshore - Canberra'!G76),OR('Onshore - Canberra'!F76&lt;&gt;0,ISNUMBER(SEARCH("Material 0 terverifikasi",'Onshore - Canberra'!M76))),OR('Onshore - Canberra'!G76&lt;&gt;0,ISNUMBER(SEARCH("Enrolment 0 terverifikasi",'Onshore - Canberra'!M76)))),1,0)</f>
        <v>0</v>
      </c>
      <c r="M1886" s="0" t="n">
        <f aca="false">IF(OR('Onshore - Canberra'!E76="",ISNUMBER(SEARCH("BSB80120",'Onshore - Canberra'!B76&amp;'Onshore - Canberra'!M76)),ISNUMBER(SEARCH("Management (Learning)",'Onshore - Canberra'!B76))),2,IF(ISNUMBER(SEARCH("CEK:",'Onshore - Canberra'!M76)),1,0))</f>
        <v>0</v>
      </c>
    </row>
    <row r="1887" customFormat="false" ht="15" hidden="false" customHeight="false" outlineLevel="0" collapsed="false">
      <c r="A1887" s="61" t="s">
        <v>4595</v>
      </c>
      <c r="B1887" s="62"/>
      <c r="C1887" s="62"/>
      <c r="D1887" s="62"/>
      <c r="E1887" s="62"/>
      <c r="F1887" s="62"/>
      <c r="G1887" s="62"/>
      <c r="H1887" s="62"/>
      <c r="I1887" s="62"/>
    </row>
    <row r="1888" customFormat="false" ht="15" hidden="false" customHeight="false" outlineLevel="0" collapsed="false">
      <c r="A1888" s="63" t="s">
        <v>3583</v>
      </c>
      <c r="B1888" s="64" t="s">
        <v>4583</v>
      </c>
      <c r="C1888" s="63" t="s">
        <v>41</v>
      </c>
      <c r="D1888" s="64" t="str">
        <f aca="false">TRIM(LEFT('Onshore - Darwin (NT)'!A20,FIND(CHAR(10),'Onshore - Darwin (NT)'!A20&amp;CHAR(10))-1))</f>
        <v>Charles Darwin University (CDU)</v>
      </c>
      <c r="E1888" s="63" t="str">
        <f aca="false">'Onshore - Darwin (NT)'!C75&amp;""</f>
        <v>1 year</v>
      </c>
      <c r="F1888" s="63" t="str">
        <f aca="false">IF('Onshore - Darwin (NT)'!D75="","Belum tercatat",'Onshore - Darwin (NT)'!D75)</f>
        <v>Term</v>
      </c>
      <c r="G1888" s="65" t="n">
        <f aca="false">IF('Onshore - Darwin (NT)'!E75="","-",'Onshore - Darwin (NT)'!E75)</f>
        <v>9120</v>
      </c>
      <c r="H1888" s="63" t="n">
        <f aca="false">IF(ISNUMBER(K1888),COUNTIFS($J$6:$J$1916,J1888,$K$6:$K$1916,"&lt;"&amp;K1888)+1,"-")</f>
        <v>1</v>
      </c>
      <c r="I1888" s="64" t="str">
        <f aca="false">IF('Onshore - Darwin (NT)'!E75="","Harga belum tersedia - hubungi konsultan TEG",IF(M1888=2,"Saat ini tidak menerima pendaftaran siswa internasional baru",IF(M1888=1,"Harga perlu dikonfirmasi ke sekolah"&amp;IF(""="","","; "&amp;""),"")))</f>
        <v/>
      </c>
      <c r="J1888" s="0" t="s">
        <v>4596</v>
      </c>
      <c r="K1888" s="0" t="n">
        <f aca="false">IF(M1888=2,"",IF(ISNUMBER(SEARCH("rata-rata:",'Onshore - Darwin (NT)'!M75)),VALUE(MID('Onshore - Darwin (NT)'!M75,SEARCH("rata-rata:",'Onshore - Darwin (NT)'!M75)+11,FIND(";",'Onshore - Darwin (NT)'!M75&amp;";",SEARCH("rata-rata:",'Onshore - Darwin (NT)'!M75))-SEARCH("rata-rata:",'Onshore - Darwin (NT)'!M75)-11)),IF('Onshore - Darwin (NT)'!D75="Semester",'Onshore - Darwin (NT)'!E75*2,IF('Onshore - Darwin (NT)'!D75="Trimester",'Onshore - Darwin (NT)'!E75*3,IF('Onshore - Darwin (NT)'!D75="Term",'Onshore - Darwin (NT)'!E75*4,IF('Onshore - Darwin (NT)'!D75="Unit",'Onshore - Darwin (NT)'!E75*8,""))))))</f>
        <v>36480</v>
      </c>
      <c r="L1888" s="0" t="n">
        <f aca="false">IF(AND(ISNUMBER('Onshore - Darwin (NT)'!E75),ISNUMBER(K1888),ISNUMBER('Onshore - Darwin (NT)'!F75),ISNUMBER('Onshore - Darwin (NT)'!G75),OR('Onshore - Darwin (NT)'!F75&lt;&gt;0,ISNUMBER(SEARCH("Material 0 terverifikasi",'Onshore - Darwin (NT)'!M75))),OR('Onshore - Darwin (NT)'!G75&lt;&gt;0,ISNUMBER(SEARCH("Enrolment 0 terverifikasi",'Onshore - Darwin (NT)'!M75)))),1,0)</f>
        <v>0</v>
      </c>
      <c r="M1888" s="0" t="n">
        <f aca="false">IF(OR('Onshore - Darwin (NT)'!E75="",ISNUMBER(SEARCH("BSB80120",'Onshore - Darwin (NT)'!B75&amp;'Onshore - Darwin (NT)'!M75)),ISNUMBER(SEARCH("Management (Learning)",'Onshore - Darwin (NT)'!B75))),2,IF(ISNUMBER(SEARCH("CEK:",'Onshore - Darwin (NT)'!M75)),1,0))</f>
        <v>0</v>
      </c>
    </row>
    <row r="1889" customFormat="false" ht="15" hidden="false" customHeight="false" outlineLevel="0" collapsed="false">
      <c r="A1889" s="61" t="s">
        <v>4597</v>
      </c>
      <c r="B1889" s="62"/>
      <c r="C1889" s="62"/>
      <c r="D1889" s="62"/>
      <c r="E1889" s="62"/>
      <c r="F1889" s="62"/>
      <c r="G1889" s="62"/>
      <c r="H1889" s="62"/>
      <c r="I1889" s="62"/>
    </row>
    <row r="1890" customFormat="false" ht="15" hidden="false" customHeight="false" outlineLevel="0" collapsed="false">
      <c r="A1890" s="63" t="s">
        <v>3583</v>
      </c>
      <c r="B1890" s="64" t="s">
        <v>4583</v>
      </c>
      <c r="C1890" s="63" t="s">
        <v>43</v>
      </c>
      <c r="D1890" s="64" t="str">
        <f aca="false">TRIM(LEFT('Onshore - Darwin (NT)'!A20,FIND(CHAR(10),'Onshore - Darwin (NT)'!A20&amp;CHAR(10))-1))</f>
        <v>Charles Darwin University (CDU)</v>
      </c>
      <c r="E1890" s="63" t="str">
        <f aca="false">'Onshore - Darwin (NT)'!C80&amp;""</f>
        <v>3 years</v>
      </c>
      <c r="F1890" s="63" t="str">
        <f aca="false">IF('Onshore - Darwin (NT)'!D80="","Belum tercatat",'Onshore - Darwin (NT)'!D80)</f>
        <v>Term</v>
      </c>
      <c r="G1890" s="65" t="n">
        <f aca="false">IF('Onshore - Darwin (NT)'!E80="","-",'Onshore - Darwin (NT)'!E80)</f>
        <v>9512</v>
      </c>
      <c r="H1890" s="63" t="n">
        <f aca="false">IF(ISNUMBER(K1890),COUNTIFS($J$6:$J$1916,J1890,$K$6:$K$1916,"&lt;"&amp;K1890)+1,"-")</f>
        <v>1</v>
      </c>
      <c r="I1890" s="64" t="str">
        <f aca="false">IF('Onshore - Darwin (NT)'!E80="","Harga belum tersedia - hubungi konsultan TEG",IF(M1890=2,"Saat ini tidak menerima pendaftaran siswa internasional baru",IF(M1890=1,"Harga perlu dikonfirmasi ke sekolah"&amp;IF(""="","","; "&amp;""),"")))</f>
        <v/>
      </c>
      <c r="J1890" s="0" t="s">
        <v>4598</v>
      </c>
      <c r="K1890" s="0" t="n">
        <f aca="false">IF(M1890=2,"",IF(ISNUMBER(SEARCH("rata-rata:",'Onshore - Darwin (NT)'!M80)),VALUE(MID('Onshore - Darwin (NT)'!M80,SEARCH("rata-rata:",'Onshore - Darwin (NT)'!M80)+11,FIND(";",'Onshore - Darwin (NT)'!M80&amp;";",SEARCH("rata-rata:",'Onshore - Darwin (NT)'!M80))-SEARCH("rata-rata:",'Onshore - Darwin (NT)'!M80)-11)),IF('Onshore - Darwin (NT)'!D80="Semester",'Onshore - Darwin (NT)'!E80*2,IF('Onshore - Darwin (NT)'!D80="Trimester",'Onshore - Darwin (NT)'!E80*3,IF('Onshore - Darwin (NT)'!D80="Term",'Onshore - Darwin (NT)'!E80*4,IF('Onshore - Darwin (NT)'!D80="Unit",'Onshore - Darwin (NT)'!E80*8,""))))))</f>
        <v>38048</v>
      </c>
      <c r="L1890" s="0" t="n">
        <f aca="false">IF(AND(ISNUMBER('Onshore - Darwin (NT)'!E80),ISNUMBER(K1890),ISNUMBER('Onshore - Darwin (NT)'!F80),ISNUMBER('Onshore - Darwin (NT)'!G80),OR('Onshore - Darwin (NT)'!F80&lt;&gt;0,ISNUMBER(SEARCH("Material 0 terverifikasi",'Onshore - Darwin (NT)'!M80))),OR('Onshore - Darwin (NT)'!G80&lt;&gt;0,ISNUMBER(SEARCH("Enrolment 0 terverifikasi",'Onshore - Darwin (NT)'!M80)))),1,0)</f>
        <v>0</v>
      </c>
      <c r="M1890" s="0" t="n">
        <f aca="false">IF(OR('Onshore - Darwin (NT)'!E80="",ISNUMBER(SEARCH("BSB80120",'Onshore - Darwin (NT)'!B80&amp;'Onshore - Darwin (NT)'!M80)),ISNUMBER(SEARCH("Management (Learning)",'Onshore - Darwin (NT)'!B80))),2,IF(ISNUMBER(SEARCH("CEK:",'Onshore - Darwin (NT)'!M80)),1,0))</f>
        <v>0</v>
      </c>
    </row>
    <row r="1891" customFormat="false" ht="15" hidden="false" customHeight="false" outlineLevel="0" collapsed="false">
      <c r="A1891" s="61" t="s">
        <v>4599</v>
      </c>
      <c r="B1891" s="62"/>
      <c r="C1891" s="62"/>
      <c r="D1891" s="62"/>
      <c r="E1891" s="62"/>
      <c r="F1891" s="62"/>
      <c r="G1891" s="62"/>
      <c r="H1891" s="62"/>
      <c r="I1891" s="62"/>
    </row>
    <row r="1892" customFormat="false" ht="15" hidden="false" customHeight="false" outlineLevel="0" collapsed="false">
      <c r="A1892" s="63" t="s">
        <v>3583</v>
      </c>
      <c r="B1892" s="64" t="s">
        <v>4583</v>
      </c>
      <c r="C1892" s="63" t="s">
        <v>46</v>
      </c>
      <c r="D1892" s="64" t="str">
        <f aca="false">TRIM(LEFT('Onshore - Darwin (NT)'!A20,FIND(CHAR(10),'Onshore - Darwin (NT)'!A20&amp;CHAR(10))-1))</f>
        <v>Charles Darwin University (CDU)</v>
      </c>
      <c r="E1892" s="63" t="str">
        <f aca="false">'Onshore - Darwin (NT)'!C85&amp;""</f>
        <v>2 years</v>
      </c>
      <c r="F1892" s="63" t="str">
        <f aca="false">IF('Onshore - Darwin (NT)'!D85="","Belum tercatat",'Onshore - Darwin (NT)'!D85)</f>
        <v>Term</v>
      </c>
      <c r="G1892" s="65" t="n">
        <f aca="false">IF('Onshore - Darwin (NT)'!E85="","-",'Onshore - Darwin (NT)'!E85)</f>
        <v>9306</v>
      </c>
      <c r="H1892" s="63" t="n">
        <f aca="false">IF(ISNUMBER(K1892),COUNTIFS($J$6:$J$1916,J1892,$K$6:$K$1916,"&lt;"&amp;K1892)+1,"-")</f>
        <v>1</v>
      </c>
      <c r="I1892" s="64" t="str">
        <f aca="false">IF('Onshore - Darwin (NT)'!E85="","Harga belum tersedia - hubungi konsultan TEG",IF(M1892=2,"Saat ini tidak menerima pendaftaran siswa internasional baru",IF(M1892=1,"Harga perlu dikonfirmasi ke sekolah"&amp;IF(""="","","; "&amp;""),"")))</f>
        <v/>
      </c>
      <c r="J1892" s="0" t="s">
        <v>4600</v>
      </c>
      <c r="K1892" s="0" t="n">
        <f aca="false">IF(M1892=2,"",IF(ISNUMBER(SEARCH("rata-rata:",'Onshore - Darwin (NT)'!M85)),VALUE(MID('Onshore - Darwin (NT)'!M85,SEARCH("rata-rata:",'Onshore - Darwin (NT)'!M85)+11,FIND(";",'Onshore - Darwin (NT)'!M85&amp;";",SEARCH("rata-rata:",'Onshore - Darwin (NT)'!M85))-SEARCH("rata-rata:",'Onshore - Darwin (NT)'!M85)-11)),IF('Onshore - Darwin (NT)'!D85="Semester",'Onshore - Darwin (NT)'!E85*2,IF('Onshore - Darwin (NT)'!D85="Trimester",'Onshore - Darwin (NT)'!E85*3,IF('Onshore - Darwin (NT)'!D85="Term",'Onshore - Darwin (NT)'!E85*4,IF('Onshore - Darwin (NT)'!D85="Unit",'Onshore - Darwin (NT)'!E85*8,""))))))</f>
        <v>37224</v>
      </c>
      <c r="L1892" s="0" t="n">
        <f aca="false">IF(AND(ISNUMBER('Onshore - Darwin (NT)'!E85),ISNUMBER(K1892),ISNUMBER('Onshore - Darwin (NT)'!F85),ISNUMBER('Onshore - Darwin (NT)'!G85),OR('Onshore - Darwin (NT)'!F85&lt;&gt;0,ISNUMBER(SEARCH("Material 0 terverifikasi",'Onshore - Darwin (NT)'!M85))),OR('Onshore - Darwin (NT)'!G85&lt;&gt;0,ISNUMBER(SEARCH("Enrolment 0 terverifikasi",'Onshore - Darwin (NT)'!M85)))),1,0)</f>
        <v>0</v>
      </c>
      <c r="M1892" s="0" t="n">
        <f aca="false">IF(OR('Onshore - Darwin (NT)'!E85="",ISNUMBER(SEARCH("BSB80120",'Onshore - Darwin (NT)'!B85&amp;'Onshore - Darwin (NT)'!M85)),ISNUMBER(SEARCH("Management (Learning)",'Onshore - Darwin (NT)'!B85))),2,IF(ISNUMBER(SEARCH("CEK:",'Onshore - Darwin (NT)'!M85)),1,0))</f>
        <v>0</v>
      </c>
    </row>
    <row r="1893" customFormat="false" ht="15" hidden="false" customHeight="false" outlineLevel="0" collapsed="false">
      <c r="A1893" s="61" t="s">
        <v>4601</v>
      </c>
      <c r="B1893" s="62"/>
      <c r="C1893" s="62"/>
      <c r="D1893" s="62"/>
      <c r="E1893" s="62"/>
      <c r="F1893" s="62"/>
      <c r="G1893" s="62"/>
      <c r="H1893" s="62"/>
      <c r="I1893" s="62"/>
    </row>
    <row r="1894" customFormat="false" ht="15" hidden="false" customHeight="false" outlineLevel="0" collapsed="false">
      <c r="A1894" s="63" t="s">
        <v>3544</v>
      </c>
      <c r="B1894" s="64" t="s">
        <v>4583</v>
      </c>
      <c r="C1894" s="63" t="s">
        <v>41</v>
      </c>
      <c r="D1894" s="64" t="str">
        <f aca="false">TRIM(LEFT('Onshore- Melbourne'!A576,FIND(CHAR(10),'Onshore- Melbourne'!A576&amp;CHAR(10))-1))</f>
        <v>William Angliss Institute</v>
      </c>
      <c r="E1894" s="63" t="str">
        <f aca="false">'Onshore- Melbourne'!C595&amp;""</f>
        <v>1 year</v>
      </c>
      <c r="F1894" s="63" t="str">
        <f aca="false">IF('Onshore- Melbourne'!D595="","Belum tercatat",'Onshore- Melbourne'!D595)</f>
        <v>Term</v>
      </c>
      <c r="G1894" s="65" t="n">
        <f aca="false">IF('Onshore- Melbourne'!E595="","-",'Onshore- Melbourne'!E595)</f>
        <v>4610</v>
      </c>
      <c r="H1894" s="63" t="n">
        <f aca="false">IF(ISNUMBER(K1894),COUNTIFS($J$6:$J$1916,J1894,$K$6:$K$1916,"&lt;"&amp;K1894)+1,"-")</f>
        <v>1</v>
      </c>
      <c r="I1894" s="64" t="str">
        <f aca="false">IF('Onshore- Melbourne'!E595="","Harga belum tersedia - hubungi konsultan TEG",IF(M1894=2,"Saat ini tidak menerima pendaftaran siswa internasional baru",IF(M1894=1,"Harga perlu dikonfirmasi ke sekolah"&amp;IF(""="","","; "&amp;""),"")))</f>
        <v/>
      </c>
      <c r="J1894" s="0" t="s">
        <v>4602</v>
      </c>
      <c r="K1894" s="0" t="n">
        <f aca="false">IF(M1894=2,"",IF(ISNUMBER(SEARCH("rata-rata:",'Onshore- Melbourne'!M595)),VALUE(MID('Onshore- Melbourne'!M595,SEARCH("rata-rata:",'Onshore- Melbourne'!M595)+11,FIND(";",'Onshore- Melbourne'!M595&amp;";",SEARCH("rata-rata:",'Onshore- Melbourne'!M595))-SEARCH("rata-rata:",'Onshore- Melbourne'!M595)-11)),IF('Onshore- Melbourne'!D595="Semester",'Onshore- Melbourne'!E595*2,IF('Onshore- Melbourne'!D595="Trimester",'Onshore- Melbourne'!E595*3,IF('Onshore- Melbourne'!D595="Term",'Onshore- Melbourne'!E595*4,IF('Onshore- Melbourne'!D595="Unit",'Onshore- Melbourne'!E595*8,""))))))</f>
        <v>18440</v>
      </c>
      <c r="L1894" s="0" t="n">
        <f aca="false">IF(AND(ISNUMBER('Onshore- Melbourne'!E595),ISNUMBER(K1894),ISNUMBER('Onshore- Melbourne'!F595),ISNUMBER('Onshore- Melbourne'!G595),OR('Onshore- Melbourne'!F595&lt;&gt;0,ISNUMBER(SEARCH("Material 0 terverifikasi",'Onshore- Melbourne'!M595))),OR('Onshore- Melbourne'!G595&lt;&gt;0,ISNUMBER(SEARCH("Enrolment 0 terverifikasi",'Onshore- Melbourne'!M595)))),1,0)</f>
        <v>1</v>
      </c>
      <c r="M1894" s="0" t="n">
        <f aca="false">IF(OR('Onshore- Melbourne'!E595="",ISNUMBER(SEARCH("BSB80120",'Onshore- Melbourne'!B595&amp;'Onshore- Melbourne'!M595)),ISNUMBER(SEARCH("Management (Learning)",'Onshore- Melbourne'!B595))),2,IF(ISNUMBER(SEARCH("CEK:",'Onshore- Melbourne'!M595)),1,0))</f>
        <v>0</v>
      </c>
    </row>
    <row r="1895" customFormat="false" ht="15" hidden="false" customHeight="false" outlineLevel="0" collapsed="false">
      <c r="A1895" s="61" t="s">
        <v>4603</v>
      </c>
      <c r="B1895" s="62"/>
      <c r="C1895" s="62"/>
      <c r="D1895" s="62"/>
      <c r="E1895" s="62"/>
      <c r="F1895" s="62"/>
      <c r="G1895" s="62"/>
      <c r="H1895" s="62"/>
      <c r="I1895" s="62"/>
    </row>
    <row r="1896" customFormat="false" ht="15" hidden="false" customHeight="false" outlineLevel="0" collapsed="false">
      <c r="A1896" s="63" t="s">
        <v>3544</v>
      </c>
      <c r="B1896" s="64" t="s">
        <v>4583</v>
      </c>
      <c r="C1896" s="63" t="s">
        <v>43</v>
      </c>
      <c r="D1896" s="64" t="str">
        <f aca="false">TRIM(LEFT('Onshore- Melbourne'!A94,FIND(CHAR(10),'Onshore- Melbourne'!A94&amp;CHAR(10))-1))</f>
        <v>Australian Catholic University (ACU)</v>
      </c>
      <c r="E1896" s="63" t="str">
        <f aca="false">'Onshore- Melbourne'!C164&amp;""</f>
        <v>4 years</v>
      </c>
      <c r="F1896" s="63" t="str">
        <f aca="false">IF('Onshore- Melbourne'!D164="","Belum tercatat",'Onshore- Melbourne'!D164)</f>
        <v>Term</v>
      </c>
      <c r="G1896" s="65" t="n">
        <f aca="false">IF('Onshore- Melbourne'!E164="","-",'Onshore- Melbourne'!E164)</f>
        <v>8098</v>
      </c>
      <c r="H1896" s="63" t="n">
        <f aca="false">IF(ISNUMBER(K1896),COUNTIFS($J$6:$J$1916,J1896,$K$6:$K$1916,"&lt;"&amp;K1896)+1,"-")</f>
        <v>1</v>
      </c>
      <c r="I1896" s="64" t="str">
        <f aca="false">IF('Onshore- Melbourne'!E164="","Harga belum tersedia - hubungi konsultan TEG",IF(M1896=2,"Saat ini tidak menerima pendaftaran siswa internasional baru",IF(M1896=1,"Harga perlu dikonfirmasi ke sekolah"&amp;IF(""="","","; "&amp;""),"")))</f>
        <v/>
      </c>
      <c r="J1896" s="0" t="s">
        <v>4604</v>
      </c>
      <c r="K1896" s="0" t="n">
        <f aca="false">IF(M1896=2,"",IF(ISNUMBER(SEARCH("rata-rata:",'Onshore- Melbourne'!M164)),VALUE(MID('Onshore- Melbourne'!M164,SEARCH("rata-rata:",'Onshore- Melbourne'!M164)+11,FIND(";",'Onshore- Melbourne'!M164&amp;";",SEARCH("rata-rata:",'Onshore- Melbourne'!M164))-SEARCH("rata-rata:",'Onshore- Melbourne'!M164)-11)),IF('Onshore- Melbourne'!D164="Semester",'Onshore- Melbourne'!E164*2,IF('Onshore- Melbourne'!D164="Trimester",'Onshore- Melbourne'!E164*3,IF('Onshore- Melbourne'!D164="Term",'Onshore- Melbourne'!E164*4,IF('Onshore- Melbourne'!D164="Unit",'Onshore- Melbourne'!E164*8,""))))))</f>
        <v>32392</v>
      </c>
      <c r="L1896" s="0" t="n">
        <f aca="false">IF(AND(ISNUMBER('Onshore- Melbourne'!E164),ISNUMBER(K1896),ISNUMBER('Onshore- Melbourne'!F164),ISNUMBER('Onshore- Melbourne'!G164),OR('Onshore- Melbourne'!F164&lt;&gt;0,ISNUMBER(SEARCH("Material 0 terverifikasi",'Onshore- Melbourne'!M164))),OR('Onshore- Melbourne'!G164&lt;&gt;0,ISNUMBER(SEARCH("Enrolment 0 terverifikasi",'Onshore- Melbourne'!M164)))),1,0)</f>
        <v>0</v>
      </c>
      <c r="M1896" s="0" t="n">
        <f aca="false">IF(OR('Onshore- Melbourne'!E164="",ISNUMBER(SEARCH("BSB80120",'Onshore- Melbourne'!B164&amp;'Onshore- Melbourne'!M164)),ISNUMBER(SEARCH("Management (Learning)",'Onshore- Melbourne'!B164))),2,IF(ISNUMBER(SEARCH("CEK:",'Onshore- Melbourne'!M164)),1,0))</f>
        <v>0</v>
      </c>
    </row>
    <row r="1897" customFormat="false" ht="15" hidden="false" customHeight="false" outlineLevel="0" collapsed="false">
      <c r="A1897" s="61" t="s">
        <v>4605</v>
      </c>
      <c r="B1897" s="62"/>
      <c r="C1897" s="62"/>
      <c r="D1897" s="62"/>
      <c r="E1897" s="62"/>
      <c r="F1897" s="62"/>
      <c r="G1897" s="62"/>
      <c r="H1897" s="62"/>
      <c r="I1897" s="62"/>
    </row>
    <row r="1898" customFormat="false" ht="28.35" hidden="false" customHeight="false" outlineLevel="0" collapsed="false">
      <c r="A1898" s="63" t="s">
        <v>3533</v>
      </c>
      <c r="B1898" s="64" t="s">
        <v>4583</v>
      </c>
      <c r="C1898" s="63" t="s">
        <v>40</v>
      </c>
      <c r="D1898" s="64" t="str">
        <f aca="false">TRIM(LEFT('Onshore - Sydney'!A268,FIND(CHAR(10),'Onshore - Sydney'!A268&amp;CHAR(10))-1))</f>
        <v>Australian College of Business Intelligence (ACBI)</v>
      </c>
      <c r="E1898" s="63" t="str">
        <f aca="false">'Onshore - Sydney'!C273&amp;""</f>
        <v>52 weeks (4 terms)</v>
      </c>
      <c r="F1898" s="63" t="str">
        <f aca="false">IF('Onshore - Sydney'!D273="","Belum tercatat",'Onshore - Sydney'!D273)</f>
        <v>Term</v>
      </c>
      <c r="G1898" s="65" t="n">
        <f aca="false">IF('Onshore - Sydney'!E273="","-",'Onshore - Sydney'!E273)</f>
        <v>1710</v>
      </c>
      <c r="H1898" s="63" t="n">
        <f aca="false">IF(ISNUMBER(K1898),COUNTIFS($J$6:$J$1916,J1898,$K$6:$K$1916,"&lt;"&amp;K1898)+1,"-")</f>
        <v>1</v>
      </c>
      <c r="I1898" s="64" t="str">
        <f aca="false">IF('Onshore - Sydney'!E273="","Harga belum tersedia - hubungi konsultan TEG",IF(M1898=2,"Saat ini tidak menerima pendaftaran siswa internasional baru",IF(M1898=1,"Harga perlu dikonfirmasi ke sekolah"&amp;IF(""="","","; "&amp;""),"")))</f>
        <v/>
      </c>
      <c r="J1898" s="0" t="s">
        <v>4606</v>
      </c>
      <c r="K1898" s="0" t="n">
        <f aca="false">IF(M1898=2,"",IF(ISNUMBER(SEARCH("rata-rata:",'Onshore - Sydney'!M273)),VALUE(MID('Onshore - Sydney'!M273,SEARCH("rata-rata:",'Onshore - Sydney'!M273)+11,FIND(";",'Onshore - Sydney'!M273&amp;";",SEARCH("rata-rata:",'Onshore - Sydney'!M273))-SEARCH("rata-rata:",'Onshore - Sydney'!M273)-11)),IF('Onshore - Sydney'!D273="Semester",'Onshore - Sydney'!E273*2,IF('Onshore - Sydney'!D273="Trimester",'Onshore - Sydney'!E273*3,IF('Onshore - Sydney'!D273="Term",'Onshore - Sydney'!E273*4,IF('Onshore - Sydney'!D273="Unit",'Onshore - Sydney'!E273*8,""))))))</f>
        <v>6840</v>
      </c>
      <c r="L1898" s="0" t="n">
        <f aca="false">IF(AND(ISNUMBER('Onshore - Sydney'!E273),ISNUMBER(K1898),ISNUMBER('Onshore - Sydney'!F273),ISNUMBER('Onshore - Sydney'!G273),OR('Onshore - Sydney'!F273&lt;&gt;0,ISNUMBER(SEARCH("Material 0 terverifikasi",'Onshore - Sydney'!M273))),OR('Onshore - Sydney'!G273&lt;&gt;0,ISNUMBER(SEARCH("Enrolment 0 terverifikasi",'Onshore - Sydney'!M273)))),1,0)</f>
        <v>1</v>
      </c>
      <c r="M1898" s="0" t="n">
        <f aca="false">IF(OR('Onshore - Sydney'!E273="",ISNUMBER(SEARCH("BSB80120",'Onshore - Sydney'!B273&amp;'Onshore - Sydney'!M273)),ISNUMBER(SEARCH("Management (Learning)",'Onshore - Sydney'!B273))),2,IF(ISNUMBER(SEARCH("CEK:",'Onshore - Sydney'!M273)),1,0))</f>
        <v>0</v>
      </c>
    </row>
    <row r="1899" customFormat="false" ht="15" hidden="false" customHeight="false" outlineLevel="0" collapsed="false">
      <c r="A1899" s="61" t="s">
        <v>4607</v>
      </c>
      <c r="B1899" s="62"/>
      <c r="C1899" s="62"/>
      <c r="D1899" s="62"/>
      <c r="E1899" s="62"/>
      <c r="F1899" s="62"/>
      <c r="G1899" s="62"/>
      <c r="H1899" s="62"/>
      <c r="I1899" s="62"/>
    </row>
    <row r="1900" customFormat="false" ht="28.35" hidden="false" customHeight="false" outlineLevel="0" collapsed="false">
      <c r="A1900" s="63" t="s">
        <v>3533</v>
      </c>
      <c r="B1900" s="64" t="s">
        <v>4583</v>
      </c>
      <c r="C1900" s="63" t="s">
        <v>41</v>
      </c>
      <c r="D1900" s="64" t="str">
        <f aca="false">TRIM(LEFT('Onshore - Sydney'!A268,FIND(CHAR(10),'Onshore - Sydney'!A268&amp;CHAR(10))-1))</f>
        <v>Australian College of Business Intelligence (ACBI)</v>
      </c>
      <c r="E1900" s="63" t="str">
        <f aca="false">'Onshore - Sydney'!C274&amp;""</f>
        <v>78 weeks (6 terms)</v>
      </c>
      <c r="F1900" s="63" t="str">
        <f aca="false">IF('Onshore - Sydney'!D274="","Belum tercatat",'Onshore - Sydney'!D274)</f>
        <v>Term</v>
      </c>
      <c r="G1900" s="65" t="n">
        <f aca="false">IF('Onshore - Sydney'!E274="","-",'Onshore - Sydney'!E274)</f>
        <v>1800</v>
      </c>
      <c r="H1900" s="63" t="n">
        <f aca="false">IF(ISNUMBER(K1900),COUNTIFS($J$6:$J$1916,J1900,$K$6:$K$1916,"&lt;"&amp;K1900)+1,"-")</f>
        <v>1</v>
      </c>
      <c r="I1900" s="64" t="str">
        <f aca="false">IF('Onshore - Sydney'!E274="","Harga belum tersedia - hubungi konsultan TEG",IF(M1900=2,"Saat ini tidak menerima pendaftaran siswa internasional baru",IF(M1900=1,"Harga perlu dikonfirmasi ke sekolah"&amp;IF(""="","","; "&amp;""),"")))</f>
        <v/>
      </c>
      <c r="J1900" s="0" t="s">
        <v>4608</v>
      </c>
      <c r="K1900" s="0" t="n">
        <f aca="false">IF(M1900=2,"",IF(ISNUMBER(SEARCH("rata-rata:",'Onshore - Sydney'!M274)),VALUE(MID('Onshore - Sydney'!M274,SEARCH("rata-rata:",'Onshore - Sydney'!M274)+11,FIND(";",'Onshore - Sydney'!M274&amp;";",SEARCH("rata-rata:",'Onshore - Sydney'!M274))-SEARCH("rata-rata:",'Onshore - Sydney'!M274)-11)),IF('Onshore - Sydney'!D274="Semester",'Onshore - Sydney'!E274*2,IF('Onshore - Sydney'!D274="Trimester",'Onshore - Sydney'!E274*3,IF('Onshore - Sydney'!D274="Term",'Onshore - Sydney'!E274*4,IF('Onshore - Sydney'!D274="Unit",'Onshore - Sydney'!E274*8,""))))))</f>
        <v>7200</v>
      </c>
      <c r="L1900" s="0" t="n">
        <f aca="false">IF(AND(ISNUMBER('Onshore - Sydney'!E274),ISNUMBER(K1900),ISNUMBER('Onshore - Sydney'!F274),ISNUMBER('Onshore - Sydney'!G274),OR('Onshore - Sydney'!F274&lt;&gt;0,ISNUMBER(SEARCH("Material 0 terverifikasi",'Onshore - Sydney'!M274))),OR('Onshore - Sydney'!G274&lt;&gt;0,ISNUMBER(SEARCH("Enrolment 0 terverifikasi",'Onshore - Sydney'!M274)))),1,0)</f>
        <v>1</v>
      </c>
      <c r="M1900" s="0" t="n">
        <f aca="false">IF(OR('Onshore - Sydney'!E274="",ISNUMBER(SEARCH("BSB80120",'Onshore - Sydney'!B274&amp;'Onshore - Sydney'!M274)),ISNUMBER(SEARCH("Management (Learning)",'Onshore - Sydney'!B274))),2,IF(ISNUMBER(SEARCH("CEK:",'Onshore - Sydney'!M274)),1,0))</f>
        <v>0</v>
      </c>
    </row>
    <row r="1901" customFormat="false" ht="15" hidden="false" customHeight="false" outlineLevel="0" collapsed="false">
      <c r="A1901" s="63" t="s">
        <v>3533</v>
      </c>
      <c r="B1901" s="64" t="s">
        <v>4583</v>
      </c>
      <c r="C1901" s="63" t="s">
        <v>41</v>
      </c>
      <c r="D1901" s="64" t="str">
        <f aca="false">TRIM(LEFT('Onshore - Sydney'!A796,FIND(CHAR(10),'Onshore - Sydney'!A796&amp;CHAR(10))-1))</f>
        <v>TAFE NSW</v>
      </c>
      <c r="E1901" s="63" t="str">
        <f aca="false">'Onshore - Sydney'!C835&amp;""</f>
        <v>1 year</v>
      </c>
      <c r="F1901" s="63" t="str">
        <f aca="false">IF('Onshore - Sydney'!D835="","Belum tercatat",'Onshore - Sydney'!D835)</f>
        <v>Term</v>
      </c>
      <c r="G1901" s="65" t="n">
        <f aca="false">IF('Onshore - Sydney'!E835="","-",'Onshore - Sydney'!E835)</f>
        <v>4788</v>
      </c>
      <c r="H1901" s="63" t="n">
        <f aca="false">IF(ISNUMBER(K1901),COUNTIFS($J$6:$J$1916,J1901,$K$6:$K$1916,"&lt;"&amp;K1901)+1,"-")</f>
        <v>2</v>
      </c>
      <c r="I1901" s="64" t="str">
        <f aca="false">IF('Onshore - Sydney'!E835="","Harga belum tersedia - hubungi konsultan TEG",IF(M1901=2,"Saat ini tidak menerima pendaftaran siswa internasional baru",IF(M1901=1,"Harga perlu dikonfirmasi ke sekolah"&amp;IF(""="","","; "&amp;""),"")))</f>
        <v/>
      </c>
      <c r="J1901" s="0" t="s">
        <v>4608</v>
      </c>
      <c r="K1901" s="0" t="n">
        <f aca="false">IF(M1901=2,"",IF(ISNUMBER(SEARCH("rata-rata:",'Onshore - Sydney'!M835)),VALUE(MID('Onshore - Sydney'!M835,SEARCH("rata-rata:",'Onshore - Sydney'!M835)+11,FIND(";",'Onshore - Sydney'!M835&amp;";",SEARCH("rata-rata:",'Onshore - Sydney'!M835))-SEARCH("rata-rata:",'Onshore - Sydney'!M835)-11)),IF('Onshore - Sydney'!D835="Semester",'Onshore - Sydney'!E835*2,IF('Onshore - Sydney'!D835="Trimester",'Onshore - Sydney'!E835*3,IF('Onshore - Sydney'!D835="Term",'Onshore - Sydney'!E835*4,IF('Onshore - Sydney'!D835="Unit",'Onshore - Sydney'!E835*8,""))))))</f>
        <v>19152</v>
      </c>
      <c r="L1901" s="0" t="n">
        <f aca="false">IF(AND(ISNUMBER('Onshore - Sydney'!E835),ISNUMBER(K1901),ISNUMBER('Onshore - Sydney'!F835),ISNUMBER('Onshore - Sydney'!G835),OR('Onshore - Sydney'!F835&lt;&gt;0,ISNUMBER(SEARCH("Material 0 terverifikasi",'Onshore - Sydney'!M835))),OR('Onshore - Sydney'!G835&lt;&gt;0,ISNUMBER(SEARCH("Enrolment 0 terverifikasi",'Onshore - Sydney'!M835)))),1,0)</f>
        <v>0</v>
      </c>
      <c r="M1901" s="0" t="n">
        <f aca="false">IF(OR('Onshore - Sydney'!E835="",ISNUMBER(SEARCH("BSB80120",'Onshore - Sydney'!B835&amp;'Onshore - Sydney'!M835)),ISNUMBER(SEARCH("Management (Learning)",'Onshore - Sydney'!B835))),2,IF(ISNUMBER(SEARCH("CEK:",'Onshore - Sydney'!M835)),1,0))</f>
        <v>0</v>
      </c>
    </row>
    <row r="1902" customFormat="false" ht="15" hidden="false" customHeight="false" outlineLevel="0" collapsed="false">
      <c r="A1902" s="61" t="s">
        <v>4609</v>
      </c>
      <c r="B1902" s="62"/>
      <c r="C1902" s="62"/>
      <c r="D1902" s="62"/>
      <c r="E1902" s="62"/>
      <c r="F1902" s="62"/>
      <c r="G1902" s="62"/>
      <c r="H1902" s="62"/>
      <c r="I1902" s="62"/>
    </row>
    <row r="1903" customFormat="false" ht="28.35" hidden="false" customHeight="false" outlineLevel="0" collapsed="false">
      <c r="A1903" s="63" t="s">
        <v>3533</v>
      </c>
      <c r="B1903" s="64" t="s">
        <v>4583</v>
      </c>
      <c r="C1903" s="63" t="s">
        <v>42</v>
      </c>
      <c r="D1903" s="64" t="str">
        <f aca="false">TRIM(LEFT('Onshore - Sydney'!A268,FIND(CHAR(10),'Onshore - Sydney'!A268&amp;CHAR(10))-1))</f>
        <v>Australian College of Business Intelligence (ACBI)</v>
      </c>
      <c r="E1903" s="63" t="str">
        <f aca="false">'Onshore - Sydney'!C275&amp;""</f>
        <v>52 weeks (4 terms)</v>
      </c>
      <c r="F1903" s="63" t="str">
        <f aca="false">IF('Onshore - Sydney'!D275="","Belum tercatat",'Onshore - Sydney'!D275)</f>
        <v>Term</v>
      </c>
      <c r="G1903" s="65" t="n">
        <f aca="false">IF('Onshore - Sydney'!E275="","-",'Onshore - Sydney'!E275)</f>
        <v>1890</v>
      </c>
      <c r="H1903" s="63" t="n">
        <f aca="false">IF(ISNUMBER(K1903),COUNTIFS($J$6:$J$1916,J1903,$K$6:$K$1916,"&lt;"&amp;K1903)+1,"-")</f>
        <v>1</v>
      </c>
      <c r="I1903" s="64" t="str">
        <f aca="false">IF('Onshore - Sydney'!E275="","Harga belum tersedia - hubungi konsultan TEG",IF(M1903=2,"Saat ini tidak menerima pendaftaran siswa internasional baru",IF(M1903=1,"Harga perlu dikonfirmasi ke sekolah"&amp;IF(""="","","; "&amp;""),"")))</f>
        <v/>
      </c>
      <c r="J1903" s="0" t="s">
        <v>4610</v>
      </c>
      <c r="K1903" s="0" t="n">
        <f aca="false">IF(M1903=2,"",IF(ISNUMBER(SEARCH("rata-rata:",'Onshore - Sydney'!M275)),VALUE(MID('Onshore - Sydney'!M275,SEARCH("rata-rata:",'Onshore - Sydney'!M275)+11,FIND(";",'Onshore - Sydney'!M275&amp;";",SEARCH("rata-rata:",'Onshore - Sydney'!M275))-SEARCH("rata-rata:",'Onshore - Sydney'!M275)-11)),IF('Onshore - Sydney'!D275="Semester",'Onshore - Sydney'!E275*2,IF('Onshore - Sydney'!D275="Trimester",'Onshore - Sydney'!E275*3,IF('Onshore - Sydney'!D275="Term",'Onshore - Sydney'!E275*4,IF('Onshore - Sydney'!D275="Unit",'Onshore - Sydney'!E275*8,""))))))</f>
        <v>7560</v>
      </c>
      <c r="L1903" s="0" t="n">
        <f aca="false">IF(AND(ISNUMBER('Onshore - Sydney'!E275),ISNUMBER(K1903),ISNUMBER('Onshore - Sydney'!F275),ISNUMBER('Onshore - Sydney'!G275),OR('Onshore - Sydney'!F275&lt;&gt;0,ISNUMBER(SEARCH("Material 0 terverifikasi",'Onshore - Sydney'!M275))),OR('Onshore - Sydney'!G275&lt;&gt;0,ISNUMBER(SEARCH("Enrolment 0 terverifikasi",'Onshore - Sydney'!M275)))),1,0)</f>
        <v>1</v>
      </c>
      <c r="M1903" s="0" t="n">
        <f aca="false">IF(OR('Onshore - Sydney'!E275="",ISNUMBER(SEARCH("BSB80120",'Onshore - Sydney'!B275&amp;'Onshore - Sydney'!M275)),ISNUMBER(SEARCH("Management (Learning)",'Onshore - Sydney'!B275))),2,IF(ISNUMBER(SEARCH("CEK:",'Onshore - Sydney'!M275)),1,0))</f>
        <v>0</v>
      </c>
    </row>
    <row r="1904" customFormat="false" ht="15" hidden="false" customHeight="false" outlineLevel="0" collapsed="false">
      <c r="A1904" s="61" t="s">
        <v>4611</v>
      </c>
      <c r="B1904" s="62"/>
      <c r="C1904" s="62"/>
      <c r="D1904" s="62"/>
      <c r="E1904" s="62"/>
      <c r="F1904" s="62"/>
      <c r="G1904" s="62"/>
      <c r="H1904" s="62"/>
      <c r="I1904" s="62"/>
    </row>
    <row r="1905" customFormat="false" ht="15" hidden="false" customHeight="false" outlineLevel="0" collapsed="false">
      <c r="A1905" s="63" t="s">
        <v>3533</v>
      </c>
      <c r="B1905" s="64" t="s">
        <v>4583</v>
      </c>
      <c r="C1905" s="63" t="s">
        <v>43</v>
      </c>
      <c r="D1905" s="64" t="str">
        <f aca="false">TRIM(LEFT('Onshore - Sydney'!A163,FIND(CHAR(10),'Onshore - Sydney'!A163&amp;CHAR(10))-1))</f>
        <v>Australian Catholic University (ACU)</v>
      </c>
      <c r="E1905" s="63" t="str">
        <f aca="false">'Onshore - Sydney'!C233&amp;""</f>
        <v>4 years</v>
      </c>
      <c r="F1905" s="63" t="str">
        <f aca="false">IF('Onshore - Sydney'!D233="","Belum tercatat",'Onshore - Sydney'!D233)</f>
        <v>Term</v>
      </c>
      <c r="G1905" s="65" t="n">
        <f aca="false">IF('Onshore - Sydney'!E233="","-",'Onshore - Sydney'!E233)</f>
        <v>8098</v>
      </c>
      <c r="H1905" s="63" t="n">
        <f aca="false">IF(ISNUMBER(K1905),COUNTIFS($J$6:$J$1916,J1905,$K$6:$K$1916,"&lt;"&amp;K1905)+1,"-")</f>
        <v>1</v>
      </c>
      <c r="I1905" s="64" t="str">
        <f aca="false">IF('Onshore - Sydney'!E233="","Harga belum tersedia - hubungi konsultan TEG",IF(M1905=2,"Saat ini tidak menerima pendaftaran siswa internasional baru",IF(M1905=1,"Harga perlu dikonfirmasi ke sekolah"&amp;IF(""="","","; "&amp;""),"")))</f>
        <v/>
      </c>
      <c r="J1905" s="0" t="s">
        <v>4612</v>
      </c>
      <c r="K1905" s="0" t="n">
        <f aca="false">IF(M1905=2,"",IF(ISNUMBER(SEARCH("rata-rata:",'Onshore - Sydney'!M233)),VALUE(MID('Onshore - Sydney'!M233,SEARCH("rata-rata:",'Onshore - Sydney'!M233)+11,FIND(";",'Onshore - Sydney'!M233&amp;";",SEARCH("rata-rata:",'Onshore - Sydney'!M233))-SEARCH("rata-rata:",'Onshore - Sydney'!M233)-11)),IF('Onshore - Sydney'!D233="Semester",'Onshore - Sydney'!E233*2,IF('Onshore - Sydney'!D233="Trimester",'Onshore - Sydney'!E233*3,IF('Onshore - Sydney'!D233="Term",'Onshore - Sydney'!E233*4,IF('Onshore - Sydney'!D233="Unit",'Onshore - Sydney'!E233*8,""))))))</f>
        <v>32392</v>
      </c>
      <c r="L1905" s="0" t="n">
        <f aca="false">IF(AND(ISNUMBER('Onshore - Sydney'!E233),ISNUMBER(K1905),ISNUMBER('Onshore - Sydney'!F233),ISNUMBER('Onshore - Sydney'!G233),OR('Onshore - Sydney'!F233&lt;&gt;0,ISNUMBER(SEARCH("Material 0 terverifikasi",'Onshore - Sydney'!M233))),OR('Onshore - Sydney'!G233&lt;&gt;0,ISNUMBER(SEARCH("Enrolment 0 terverifikasi",'Onshore - Sydney'!M233)))),1,0)</f>
        <v>0</v>
      </c>
      <c r="M1905" s="0" t="n">
        <f aca="false">IF(OR('Onshore - Sydney'!E233="",ISNUMBER(SEARCH("BSB80120",'Onshore - Sydney'!B233&amp;'Onshore - Sydney'!M233)),ISNUMBER(SEARCH("Management (Learning)",'Onshore - Sydney'!B233))),2,IF(ISNUMBER(SEARCH("CEK:",'Onshore - Sydney'!M233)),1,0))</f>
        <v>0</v>
      </c>
    </row>
    <row r="1906" customFormat="false" ht="15" hidden="false" customHeight="false" outlineLevel="0" collapsed="false">
      <c r="A1906" s="63" t="s">
        <v>3533</v>
      </c>
      <c r="B1906" s="64" t="s">
        <v>4583</v>
      </c>
      <c r="C1906" s="63" t="s">
        <v>43</v>
      </c>
      <c r="D1906" s="64" t="str">
        <f aca="false">TRIM(LEFT('Onshore - Sydney'!A1062,FIND(CHAR(10),'Onshore - Sydney'!A1062&amp;CHAR(10))-1))</f>
        <v>Western Sydney University</v>
      </c>
      <c r="E1906" s="63" t="str">
        <f aca="false">'Onshore - Sydney'!C1084&amp;""</f>
        <v>3 years</v>
      </c>
      <c r="F1906" s="63" t="str">
        <f aca="false">IF('Onshore - Sydney'!D1084="","Belum tercatat",'Onshore - Sydney'!D1084)</f>
        <v>Term</v>
      </c>
      <c r="G1906" s="65" t="n">
        <f aca="false">IF('Onshore - Sydney'!E1084="","-",'Onshore - Sydney'!E1084)</f>
        <v>9560</v>
      </c>
      <c r="H1906" s="63" t="n">
        <f aca="false">IF(ISNUMBER(K1906),COUNTIFS($J$6:$J$1916,J1906,$K$6:$K$1916,"&lt;"&amp;K1906)+1,"-")</f>
        <v>2</v>
      </c>
      <c r="I1906" s="64" t="str">
        <f aca="false">IF('Onshore - Sydney'!E1084="","Harga belum tersedia - hubungi konsultan TEG",IF(M1906=2,"Saat ini tidak menerima pendaftaran siswa internasional baru",IF(M1906=1,"Harga perlu dikonfirmasi ke sekolah"&amp;IF(""="","","; "&amp;""),"")))</f>
        <v/>
      </c>
      <c r="J1906" s="0" t="s">
        <v>4612</v>
      </c>
      <c r="K1906" s="0" t="n">
        <f aca="false">IF(M1906=2,"",IF(ISNUMBER(SEARCH("rata-rata:",'Onshore - Sydney'!M1084)),VALUE(MID('Onshore - Sydney'!M1084,SEARCH("rata-rata:",'Onshore - Sydney'!M1084)+11,FIND(";",'Onshore - Sydney'!M1084&amp;";",SEARCH("rata-rata:",'Onshore - Sydney'!M1084))-SEARCH("rata-rata:",'Onshore - Sydney'!M1084)-11)),IF('Onshore - Sydney'!D1084="Semester",'Onshore - Sydney'!E1084*2,IF('Onshore - Sydney'!D1084="Trimester",'Onshore - Sydney'!E1084*3,IF('Onshore - Sydney'!D1084="Term",'Onshore - Sydney'!E1084*4,IF('Onshore - Sydney'!D1084="Unit",'Onshore - Sydney'!E1084*8,""))))))</f>
        <v>38240</v>
      </c>
      <c r="L1906" s="0" t="n">
        <f aca="false">IF(AND(ISNUMBER('Onshore - Sydney'!E1084),ISNUMBER(K1906),ISNUMBER('Onshore - Sydney'!F1084),ISNUMBER('Onshore - Sydney'!G1084),OR('Onshore - Sydney'!F1084&lt;&gt;0,ISNUMBER(SEARCH("Material 0 terverifikasi",'Onshore - Sydney'!M1084))),OR('Onshore - Sydney'!G1084&lt;&gt;0,ISNUMBER(SEARCH("Enrolment 0 terverifikasi",'Onshore - Sydney'!M1084)))),1,0)</f>
        <v>0</v>
      </c>
      <c r="M1906" s="0" t="n">
        <f aca="false">IF(OR('Onshore - Sydney'!E1084="",ISNUMBER(SEARCH("BSB80120",'Onshore - Sydney'!B1084&amp;'Onshore - Sydney'!M1084)),ISNUMBER(SEARCH("Management (Learning)",'Onshore - Sydney'!B1084))),2,IF(ISNUMBER(SEARCH("CEK:",'Onshore - Sydney'!M1084)),1,0))</f>
        <v>0</v>
      </c>
    </row>
    <row r="1907" customFormat="false" ht="15" hidden="false" customHeight="false" outlineLevel="0" collapsed="false">
      <c r="A1907" s="61" t="s">
        <v>4613</v>
      </c>
      <c r="B1907" s="62"/>
      <c r="C1907" s="62"/>
      <c r="D1907" s="62"/>
      <c r="E1907" s="62"/>
      <c r="F1907" s="62"/>
      <c r="G1907" s="62"/>
      <c r="H1907" s="62"/>
      <c r="I1907" s="62"/>
    </row>
    <row r="1908" customFormat="false" ht="15" hidden="false" customHeight="false" outlineLevel="0" collapsed="false">
      <c r="A1908" s="63" t="s">
        <v>3533</v>
      </c>
      <c r="B1908" s="64" t="s">
        <v>4583</v>
      </c>
      <c r="C1908" s="63" t="s">
        <v>46</v>
      </c>
      <c r="D1908" s="64" t="str">
        <f aca="false">TRIM(LEFT('Onshore - Sydney'!A1062,FIND(CHAR(10),'Onshore - Sydney'!A1062&amp;CHAR(10))-1))</f>
        <v>Western Sydney University</v>
      </c>
      <c r="E1908" s="63" t="str">
        <f aca="false">'Onshore - Sydney'!C1203&amp;""</f>
        <v>2 years</v>
      </c>
      <c r="F1908" s="63" t="str">
        <f aca="false">IF('Onshore - Sydney'!D1203="","Belum tercatat",'Onshore - Sydney'!D1203)</f>
        <v>Term</v>
      </c>
      <c r="G1908" s="65" t="n">
        <f aca="false">IF('Onshore - Sydney'!E1203="","-",'Onshore - Sydney'!E1203)</f>
        <v>10305</v>
      </c>
      <c r="H1908" s="63" t="n">
        <f aca="false">IF(ISNUMBER(K1908),COUNTIFS($J$6:$J$1916,J1908,$K$6:$K$1916,"&lt;"&amp;K1908)+1,"-")</f>
        <v>1</v>
      </c>
      <c r="I1908" s="64" t="str">
        <f aca="false">IF('Onshore - Sydney'!E1203="","Harga belum tersedia - hubungi konsultan TEG",IF(M1908=2,"Saat ini tidak menerima pendaftaran siswa internasional baru",IF(M1908=1,"Harga perlu dikonfirmasi ke sekolah"&amp;IF(""="","","; "&amp;""),"")))</f>
        <v/>
      </c>
      <c r="J1908" s="0" t="s">
        <v>4614</v>
      </c>
      <c r="K1908" s="0" t="n">
        <f aca="false">IF(M1908=2,"",IF(ISNUMBER(SEARCH("rata-rata:",'Onshore - Sydney'!M1203)),VALUE(MID('Onshore - Sydney'!M1203,SEARCH("rata-rata:",'Onshore - Sydney'!M1203)+11,FIND(";",'Onshore - Sydney'!M1203&amp;";",SEARCH("rata-rata:",'Onshore - Sydney'!M1203))-SEARCH("rata-rata:",'Onshore - Sydney'!M1203)-11)),IF('Onshore - Sydney'!D1203="Semester",'Onshore - Sydney'!E1203*2,IF('Onshore - Sydney'!D1203="Trimester",'Onshore - Sydney'!E1203*3,IF('Onshore - Sydney'!D1203="Term",'Onshore - Sydney'!E1203*4,IF('Onshore - Sydney'!D1203="Unit",'Onshore - Sydney'!E1203*8,""))))))</f>
        <v>41220</v>
      </c>
      <c r="L1908" s="0" t="n">
        <f aca="false">IF(AND(ISNUMBER('Onshore - Sydney'!E1203),ISNUMBER(K1908),ISNUMBER('Onshore - Sydney'!F1203),ISNUMBER('Onshore - Sydney'!G1203),OR('Onshore - Sydney'!F1203&lt;&gt;0,ISNUMBER(SEARCH("Material 0 terverifikasi",'Onshore - Sydney'!M1203))),OR('Onshore - Sydney'!G1203&lt;&gt;0,ISNUMBER(SEARCH("Enrolment 0 terverifikasi",'Onshore - Sydney'!M1203)))),1,0)</f>
        <v>0</v>
      </c>
      <c r="M1908" s="0" t="n">
        <f aca="false">IF(OR('Onshore - Sydney'!E1203="",ISNUMBER(SEARCH("BSB80120",'Onshore - Sydney'!B1203&amp;'Onshore - Sydney'!M1203)),ISNUMBER(SEARCH("Management (Learning)",'Onshore - Sydney'!B1203))),2,IF(ISNUMBER(SEARCH("CEK:",'Onshore - Sydney'!M1203)),1,0))</f>
        <v>0</v>
      </c>
    </row>
    <row r="1909" customFormat="false" ht="15" hidden="false" customHeight="false" outlineLevel="0" collapsed="false">
      <c r="A1909" s="61" t="s">
        <v>4615</v>
      </c>
      <c r="B1909" s="62"/>
      <c r="C1909" s="62"/>
      <c r="D1909" s="62"/>
      <c r="E1909" s="62"/>
      <c r="F1909" s="62"/>
      <c r="G1909" s="62"/>
      <c r="H1909" s="62"/>
      <c r="I1909" s="62"/>
    </row>
    <row r="1910" customFormat="false" ht="15" hidden="false" customHeight="false" outlineLevel="0" collapsed="false">
      <c r="A1910" s="63" t="s">
        <v>3753</v>
      </c>
      <c r="B1910" s="64" t="s">
        <v>4583</v>
      </c>
      <c r="C1910" s="63" t="s">
        <v>42</v>
      </c>
      <c r="D1910" s="64" t="str">
        <f aca="false">TRIM(LEFT('Onshore - Tasmania Hobart'!A21,FIND(CHAR(10),'Onshore - Tasmania Hobart'!A21&amp;CHAR(10))-1))</f>
        <v>University of Tasmania (UTAS)</v>
      </c>
      <c r="E1910" s="63" t="str">
        <f aca="false">'Onshore - Tasmania Hobart'!C38&amp;""</f>
        <v>3 years</v>
      </c>
      <c r="F1910" s="63" t="str">
        <f aca="false">IF('Onshore - Tasmania Hobart'!D38="","Belum tercatat",'Onshore - Tasmania Hobart'!D38)</f>
        <v>Term</v>
      </c>
      <c r="G1910" s="65" t="n">
        <f aca="false">IF('Onshore - Tasmania Hobart'!E38="","-",'Onshore - Tasmania Hobart'!E38)</f>
        <v>6812.5</v>
      </c>
      <c r="H1910" s="63" t="n">
        <f aca="false">IF(ISNUMBER(K1910),COUNTIFS($J$6:$J$1916,J1910,$K$6:$K$1916,"&lt;"&amp;K1910)+1,"-")</f>
        <v>1</v>
      </c>
      <c r="I1910" s="64" t="str">
        <f aca="false">IF('Onshore - Tasmania Hobart'!E38="","Harga belum tersedia - hubungi konsultan TEG",IF(M1910=2,"Saat ini tidak menerima pendaftaran siswa internasional baru",IF(M1910=1,"Harga perlu dikonfirmasi ke sekolah"&amp;IF(""="","","; "&amp;""),"")))</f>
        <v>Harga perlu dikonfirmasi ke sekolah</v>
      </c>
      <c r="J1910" s="0" t="s">
        <v>4616</v>
      </c>
      <c r="K1910" s="0" t="n">
        <f aca="false">IF(M1910=2,"",IF(ISNUMBER(SEARCH("rata-rata:",'Onshore - Tasmania Hobart'!M38)),VALUE(MID('Onshore - Tasmania Hobart'!M38,SEARCH("rata-rata:",'Onshore - Tasmania Hobart'!M38)+11,FIND(";",'Onshore - Tasmania Hobart'!M38&amp;";",SEARCH("rata-rata:",'Onshore - Tasmania Hobart'!M38))-SEARCH("rata-rata:",'Onshore - Tasmania Hobart'!M38)-11)),IF('Onshore - Tasmania Hobart'!D38="Semester",'Onshore - Tasmania Hobart'!E38*2,IF('Onshore - Tasmania Hobart'!D38="Trimester",'Onshore - Tasmania Hobart'!E38*3,IF('Onshore - Tasmania Hobart'!D38="Term",'Onshore - Tasmania Hobart'!E38*4,IF('Onshore - Tasmania Hobart'!D38="Unit",'Onshore - Tasmania Hobart'!E38*8,""))))))</f>
        <v>27250</v>
      </c>
      <c r="L1910" s="0" t="n">
        <f aca="false">IF(AND(ISNUMBER('Onshore - Tasmania Hobart'!E38),ISNUMBER(K1910),ISNUMBER('Onshore - Tasmania Hobart'!F38),ISNUMBER('Onshore - Tasmania Hobart'!G38),OR('Onshore - Tasmania Hobart'!F38&lt;&gt;0,ISNUMBER(SEARCH("Material 0 terverifikasi",'Onshore - Tasmania Hobart'!M38))),OR('Onshore - Tasmania Hobart'!G38&lt;&gt;0,ISNUMBER(SEARCH("Enrolment 0 terverifikasi",'Onshore - Tasmania Hobart'!M38)))),1,0)</f>
        <v>0</v>
      </c>
      <c r="M1910" s="0" t="n">
        <f aca="false">IF(OR('Onshore - Tasmania Hobart'!E38="",ISNUMBER(SEARCH("BSB80120",'Onshore - Tasmania Hobart'!B38&amp;'Onshore - Tasmania Hobart'!M38)),ISNUMBER(SEARCH("Management (Learning)",'Onshore - Tasmania Hobart'!B38))),2,IF(ISNUMBER(SEARCH("CEK:",'Onshore - Tasmania Hobart'!M38)),1,0))</f>
        <v>1</v>
      </c>
    </row>
    <row r="1911" customFormat="false" ht="15" hidden="false" customHeight="false" outlineLevel="0" collapsed="false">
      <c r="A1911" s="61" t="s">
        <v>4617</v>
      </c>
      <c r="B1911" s="62"/>
      <c r="C1911" s="62"/>
      <c r="D1911" s="62"/>
      <c r="E1911" s="62"/>
      <c r="F1911" s="62"/>
      <c r="G1911" s="62"/>
      <c r="H1911" s="62"/>
      <c r="I1911" s="62"/>
    </row>
    <row r="1912" customFormat="false" ht="15" hidden="false" customHeight="false" outlineLevel="0" collapsed="false">
      <c r="A1912" s="63" t="s">
        <v>3753</v>
      </c>
      <c r="B1912" s="64" t="s">
        <v>4583</v>
      </c>
      <c r="C1912" s="63" t="s">
        <v>43</v>
      </c>
      <c r="D1912" s="64" t="str">
        <f aca="false">TRIM(LEFT('Onshore - Tasmania Hobart'!A21,FIND(CHAR(10),'Onshore - Tasmania Hobart'!A21&amp;CHAR(10))-1))</f>
        <v>University of Tasmania (UTAS)</v>
      </c>
      <c r="E1912" s="63" t="str">
        <f aca="false">'Onshore - Tasmania Hobart'!C46&amp;""</f>
        <v>3 years</v>
      </c>
      <c r="F1912" s="63" t="str">
        <f aca="false">IF('Onshore - Tasmania Hobart'!D46="","Belum tercatat",'Onshore - Tasmania Hobart'!D46)</f>
        <v>Term</v>
      </c>
      <c r="G1912" s="65" t="n">
        <f aca="false">IF('Onshore - Tasmania Hobart'!E46="","-",'Onshore - Tasmania Hobart'!E46)</f>
        <v>12487.5</v>
      </c>
      <c r="H1912" s="63" t="n">
        <f aca="false">IF(ISNUMBER(K1912),COUNTIFS($J$6:$J$1916,J1912,$K$6:$K$1916,"&lt;"&amp;K1912)+1,"-")</f>
        <v>1</v>
      </c>
      <c r="I1912" s="64" t="str">
        <f aca="false">IF('Onshore - Tasmania Hobart'!E46="","Harga belum tersedia - hubungi konsultan TEG",IF(M1912=2,"Saat ini tidak menerima pendaftaran siswa internasional baru",IF(M1912=1,"Harga perlu dikonfirmasi ke sekolah"&amp;IF(""="","","; "&amp;""),"")))</f>
        <v/>
      </c>
      <c r="J1912" s="0" t="s">
        <v>4618</v>
      </c>
      <c r="K1912" s="0" t="n">
        <f aca="false">IF(M1912=2,"",IF(ISNUMBER(SEARCH("rata-rata:",'Onshore - Tasmania Hobart'!M46)),VALUE(MID('Onshore - Tasmania Hobart'!M46,SEARCH("rata-rata:",'Onshore - Tasmania Hobart'!M46)+11,FIND(";",'Onshore - Tasmania Hobart'!M46&amp;";",SEARCH("rata-rata:",'Onshore - Tasmania Hobart'!M46))-SEARCH("rata-rata:",'Onshore - Tasmania Hobart'!M46)-11)),IF('Onshore - Tasmania Hobart'!D46="Semester",'Onshore - Tasmania Hobart'!E46*2,IF('Onshore - Tasmania Hobart'!D46="Trimester",'Onshore - Tasmania Hobart'!E46*3,IF('Onshore - Tasmania Hobart'!D46="Term",'Onshore - Tasmania Hobart'!E46*4,IF('Onshore - Tasmania Hobart'!D46="Unit",'Onshore - Tasmania Hobart'!E46*8,""))))))</f>
        <v>49950</v>
      </c>
      <c r="L1912" s="0" t="n">
        <f aca="false">IF(AND(ISNUMBER('Onshore - Tasmania Hobart'!E46),ISNUMBER(K1912),ISNUMBER('Onshore - Tasmania Hobart'!F46),ISNUMBER('Onshore - Tasmania Hobart'!G46),OR('Onshore - Tasmania Hobart'!F46&lt;&gt;0,ISNUMBER(SEARCH("Material 0 terverifikasi",'Onshore - Tasmania Hobart'!M46))),OR('Onshore - Tasmania Hobart'!G46&lt;&gt;0,ISNUMBER(SEARCH("Enrolment 0 terverifikasi",'Onshore - Tasmania Hobart'!M46)))),1,0)</f>
        <v>0</v>
      </c>
      <c r="M1912" s="0" t="n">
        <f aca="false">IF(OR('Onshore - Tasmania Hobart'!E46="",ISNUMBER(SEARCH("BSB80120",'Onshore - Tasmania Hobart'!B46&amp;'Onshore - Tasmania Hobart'!M46)),ISNUMBER(SEARCH("Management (Learning)",'Onshore - Tasmania Hobart'!B46))),2,IF(ISNUMBER(SEARCH("CEK:",'Onshore - Tasmania Hobart'!M46)),1,0))</f>
        <v>0</v>
      </c>
    </row>
    <row r="1913" customFormat="false" ht="15" hidden="false" customHeight="false" outlineLevel="0" collapsed="false">
      <c r="A1913" s="61" t="s">
        <v>4619</v>
      </c>
      <c r="B1913" s="62"/>
      <c r="C1913" s="62"/>
      <c r="D1913" s="62"/>
      <c r="E1913" s="62"/>
      <c r="F1913" s="62"/>
      <c r="G1913" s="62"/>
      <c r="H1913" s="62"/>
      <c r="I1913" s="62"/>
    </row>
    <row r="1914" customFormat="false" ht="15" hidden="false" customHeight="false" outlineLevel="0" collapsed="false">
      <c r="A1914" s="63" t="s">
        <v>3753</v>
      </c>
      <c r="B1914" s="64" t="s">
        <v>4583</v>
      </c>
      <c r="C1914" s="63" t="s">
        <v>3707</v>
      </c>
      <c r="D1914" s="64" t="str">
        <f aca="false">TRIM(LEFT('Onshore - Tasmania Hobart'!A21,FIND(CHAR(10),'Onshore - Tasmania Hobart'!A21&amp;CHAR(10))-1))</f>
        <v>University of Tasmania (UTAS)</v>
      </c>
      <c r="E1914" s="63" t="str">
        <f aca="false">'Onshore - Tasmania Hobart'!C48&amp;""</f>
        <v>1 year</v>
      </c>
      <c r="F1914" s="63" t="str">
        <f aca="false">IF('Onshore - Tasmania Hobart'!D48="","Belum tercatat",'Onshore - Tasmania Hobart'!D48)</f>
        <v>Term</v>
      </c>
      <c r="G1914" s="65" t="n">
        <f aca="false">IF('Onshore - Tasmania Hobart'!E48="","-",'Onshore - Tasmania Hobart'!E48)</f>
        <v>9312.5</v>
      </c>
      <c r="H1914" s="63" t="n">
        <f aca="false">IF(ISNUMBER(K1914),COUNTIFS($J$6:$J$1916,J1914,$K$6:$K$1916,"&lt;"&amp;K1914)+1,"-")</f>
        <v>1</v>
      </c>
      <c r="I1914" s="64" t="str">
        <f aca="false">IF('Onshore - Tasmania Hobart'!E48="","Harga belum tersedia - hubungi konsultan TEG",IF(M1914=2,"Saat ini tidak menerima pendaftaran siswa internasional baru",IF(M1914=1,"Harga perlu dikonfirmasi ke sekolah"&amp;IF(""="","","; "&amp;""),"")))</f>
        <v/>
      </c>
      <c r="J1914" s="0" t="s">
        <v>4620</v>
      </c>
      <c r="K1914" s="0" t="n">
        <f aca="false">IF(M1914=2,"",IF(ISNUMBER(SEARCH("rata-rata:",'Onshore - Tasmania Hobart'!M48)),VALUE(MID('Onshore - Tasmania Hobart'!M48,SEARCH("rata-rata:",'Onshore - Tasmania Hobart'!M48)+11,FIND(";",'Onshore - Tasmania Hobart'!M48&amp;";",SEARCH("rata-rata:",'Onshore - Tasmania Hobart'!M48))-SEARCH("rata-rata:",'Onshore - Tasmania Hobart'!M48)-11)),IF('Onshore - Tasmania Hobart'!D48="Semester",'Onshore - Tasmania Hobart'!E48*2,IF('Onshore - Tasmania Hobart'!D48="Trimester",'Onshore - Tasmania Hobart'!E48*3,IF('Onshore - Tasmania Hobart'!D48="Term",'Onshore - Tasmania Hobart'!E48*4,IF('Onshore - Tasmania Hobart'!D48="Unit",'Onshore - Tasmania Hobart'!E48*8,""))))))</f>
        <v>37250</v>
      </c>
      <c r="L1914" s="0" t="n">
        <f aca="false">IF(AND(ISNUMBER('Onshore - Tasmania Hobart'!E48),ISNUMBER(K1914),ISNUMBER('Onshore - Tasmania Hobart'!F48),ISNUMBER('Onshore - Tasmania Hobart'!G48),OR('Onshore - Tasmania Hobart'!F48&lt;&gt;0,ISNUMBER(SEARCH("Material 0 terverifikasi",'Onshore - Tasmania Hobart'!M48))),OR('Onshore - Tasmania Hobart'!G48&lt;&gt;0,ISNUMBER(SEARCH("Enrolment 0 terverifikasi",'Onshore - Tasmania Hobart'!M48)))),1,0)</f>
        <v>0</v>
      </c>
      <c r="M1914" s="0" t="n">
        <f aca="false">IF(OR('Onshore - Tasmania Hobart'!E48="",ISNUMBER(SEARCH("BSB80120",'Onshore - Tasmania Hobart'!B48&amp;'Onshore - Tasmania Hobart'!M48)),ISNUMBER(SEARCH("Management (Learning)",'Onshore - Tasmania Hobart'!B48))),2,IF(ISNUMBER(SEARCH("CEK:",'Onshore - Tasmania Hobart'!M48)),1,0))</f>
        <v>0</v>
      </c>
    </row>
    <row r="1915" customFormat="false" ht="15" hidden="false" customHeight="false" outlineLevel="0" collapsed="false">
      <c r="A1915" s="61" t="s">
        <v>4621</v>
      </c>
      <c r="B1915" s="62"/>
      <c r="C1915" s="62"/>
      <c r="D1915" s="62"/>
      <c r="E1915" s="62"/>
      <c r="F1915" s="62"/>
      <c r="G1915" s="62"/>
      <c r="H1915" s="62"/>
      <c r="I1915" s="62"/>
    </row>
    <row r="1916" customFormat="false" ht="15" hidden="false" customHeight="false" outlineLevel="0" collapsed="false">
      <c r="A1916" s="63" t="s">
        <v>3753</v>
      </c>
      <c r="B1916" s="64" t="s">
        <v>4583</v>
      </c>
      <c r="C1916" s="63" t="s">
        <v>46</v>
      </c>
      <c r="D1916" s="64" t="str">
        <f aca="false">TRIM(LEFT('Onshore - Tasmania Hobart'!A21,FIND(CHAR(10),'Onshore - Tasmania Hobart'!A21&amp;CHAR(10))-1))</f>
        <v>University of Tasmania (UTAS)</v>
      </c>
      <c r="E1916" s="63" t="str">
        <f aca="false">'Onshore - Tasmania Hobart'!C64&amp;""</f>
        <v>2 years</v>
      </c>
      <c r="F1916" s="63" t="str">
        <f aca="false">IF('Onshore - Tasmania Hobart'!D64="","Belum tercatat",'Onshore - Tasmania Hobart'!D64)</f>
        <v>Term</v>
      </c>
      <c r="G1916" s="65" t="n">
        <f aca="false">IF('Onshore - Tasmania Hobart'!E64="","-",'Onshore - Tasmania Hobart'!E64)</f>
        <v>10362.5</v>
      </c>
      <c r="H1916" s="63" t="n">
        <f aca="false">IF(ISNUMBER(K1916),COUNTIFS($J$6:$J$1916,J1916,$K$6:$K$1916,"&lt;"&amp;K1916)+1,"-")</f>
        <v>1</v>
      </c>
      <c r="I1916" s="64" t="str">
        <f aca="false">IF('Onshore - Tasmania Hobart'!E64="","Harga belum tersedia - hubungi konsultan TEG",IF(M1916=2,"Saat ini tidak menerima pendaftaran siswa internasional baru",IF(M1916=1,"Harga perlu dikonfirmasi ke sekolah"&amp;IF(""="","","; "&amp;""),"")))</f>
        <v>Harga perlu dikonfirmasi ke sekolah</v>
      </c>
      <c r="J1916" s="0" t="s">
        <v>4622</v>
      </c>
      <c r="K1916" s="0" t="n">
        <f aca="false">IF(M1916=2,"",IF(ISNUMBER(SEARCH("rata-rata:",'Onshore - Tasmania Hobart'!M64)),VALUE(MID('Onshore - Tasmania Hobart'!M64,SEARCH("rata-rata:",'Onshore - Tasmania Hobart'!M64)+11,FIND(";",'Onshore - Tasmania Hobart'!M64&amp;";",SEARCH("rata-rata:",'Onshore - Tasmania Hobart'!M64))-SEARCH("rata-rata:",'Onshore - Tasmania Hobart'!M64)-11)),IF('Onshore - Tasmania Hobart'!D64="Semester",'Onshore - Tasmania Hobart'!E64*2,IF('Onshore - Tasmania Hobart'!D64="Trimester",'Onshore - Tasmania Hobart'!E64*3,IF('Onshore - Tasmania Hobart'!D64="Term",'Onshore - Tasmania Hobart'!E64*4,IF('Onshore - Tasmania Hobart'!D64="Unit",'Onshore - Tasmania Hobart'!E64*8,""))))))</f>
        <v>41450</v>
      </c>
      <c r="L1916" s="0" t="n">
        <f aca="false">IF(AND(ISNUMBER('Onshore - Tasmania Hobart'!E64),ISNUMBER(K1916),ISNUMBER('Onshore - Tasmania Hobart'!F64),ISNUMBER('Onshore - Tasmania Hobart'!G64),OR('Onshore - Tasmania Hobart'!F64&lt;&gt;0,ISNUMBER(SEARCH("Material 0 terverifikasi",'Onshore - Tasmania Hobart'!M64))),OR('Onshore - Tasmania Hobart'!G64&lt;&gt;0,ISNUMBER(SEARCH("Enrolment 0 terverifikasi",'Onshore - Tasmania Hobart'!M64)))),1,0)</f>
        <v>0</v>
      </c>
      <c r="M1916" s="0" t="n">
        <f aca="false">IF(OR('Onshore - Tasmania Hobart'!E64="",ISNUMBER(SEARCH("BSB80120",'Onshore - Tasmania Hobart'!B64&amp;'Onshore - Tasmania Hobart'!M64)),ISNUMBER(SEARCH("Management (Learning)",'Onshore - Tasmania Hobart'!B64))),2,IF(ISNUMBER(SEARCH("CEK:",'Onshore - Tasmania Hobart'!M64)),1,0))</f>
        <v>1</v>
      </c>
    </row>
  </sheetData>
  <autoFilter ref="A5:I1916"/>
  <mergeCells count="3">
    <mergeCell ref="A2:I2"/>
    <mergeCell ref="A3:I3"/>
    <mergeCell ref="A4:I4"/>
  </mergeCells>
  <conditionalFormatting sqref="A6:I1916">
    <cfRule type="expression" priority="2" aboveAverage="0" equalAverage="0" bottom="0" percent="0" rank="0" text="" dxfId="11">
      <formula>$H6=1</formula>
    </cfRule>
  </conditionalFormatting>
  <conditionalFormatting sqref="G6:G1916">
    <cfRule type="expression" priority="3" aboveAverage="0" equalAverage="0" bottom="0" percent="0" rank="0" text="" dxfId="12">
      <formula>AND(ISNUMBER($G6),$L6=0)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22"/>
    <col collapsed="false" customWidth="true" hidden="false" outlineLevel="0" max="3" min="3" style="0" width="26"/>
    <col collapsed="false" customWidth="true" hidden="false" outlineLevel="0" max="4" min="4" style="0" width="34"/>
    <col collapsed="false" customWidth="true" hidden="false" outlineLevel="0" max="5" min="5" style="0" width="10"/>
    <col collapsed="false" customWidth="true" hidden="false" outlineLevel="0" max="6" min="6" style="0" width="26"/>
    <col collapsed="false" customWidth="true" hidden="false" outlineLevel="0" max="7" min="7" style="0" width="34"/>
    <col collapsed="false" customWidth="true" hidden="false" outlineLevel="0" max="8" min="8" style="0" width="14"/>
    <col collapsed="false" customWidth="true" hidden="false" outlineLevel="0" max="9" min="9" style="0" width="22"/>
    <col collapsed="false" customWidth="true" hidden="false" outlineLevel="0" max="10" min="10" style="0" width="12"/>
    <col collapsed="false" customWidth="true" hidden="false" outlineLevel="0" max="11" min="11" style="0" width="16"/>
    <col collapsed="false" customWidth="true" hidden="false" outlineLevel="0" max="12" min="12" style="0" width="22"/>
    <col collapsed="false" customWidth="true" hidden="false" outlineLevel="0" max="14" min="13" style="0" width="16"/>
    <col collapsed="false" customWidth="true" hidden="false" outlineLevel="0" max="15" min="15" style="0" width="40"/>
    <col collapsed="false" customWidth="true" hidden="false" outlineLevel="0" max="16" min="16" style="0" width="48"/>
  </cols>
  <sheetData>
    <row r="1" customFormat="false" ht="17.35" hidden="false" customHeight="false" outlineLevel="0" collapsed="false">
      <c r="A1" s="58" t="s">
        <v>4638</v>
      </c>
    </row>
    <row r="2" customFormat="false" ht="30" hidden="false" customHeight="true" outlineLevel="0" collapsed="false">
      <c r="A2" s="59" t="s">
        <v>3687</v>
      </c>
      <c r="B2" s="59"/>
      <c r="C2" s="59"/>
      <c r="D2" s="59"/>
      <c r="E2" s="59"/>
      <c r="F2" s="59"/>
      <c r="G2" s="59"/>
      <c r="H2" s="59"/>
      <c r="I2" s="59"/>
      <c r="J2" s="59"/>
      <c r="K2" s="59"/>
      <c r="L2" s="59"/>
      <c r="M2" s="59"/>
      <c r="N2" s="59"/>
      <c r="O2" s="59"/>
      <c r="P2" s="59"/>
    </row>
    <row r="3" customFormat="false" ht="15" hidden="false" customHeight="false" outlineLevel="0" collapsed="false">
      <c r="A3" s="67" t="s">
        <v>4639</v>
      </c>
      <c r="B3" s="67"/>
      <c r="C3" s="67"/>
      <c r="D3" s="67"/>
      <c r="E3" s="67"/>
      <c r="F3" s="67"/>
      <c r="G3" s="67"/>
      <c r="H3" s="67"/>
      <c r="I3" s="67"/>
      <c r="J3" s="67"/>
      <c r="K3" s="67"/>
      <c r="L3" s="67"/>
      <c r="M3" s="67"/>
      <c r="N3" s="67"/>
      <c r="O3" s="67"/>
      <c r="P3" s="67"/>
    </row>
    <row r="5" customFormat="false" ht="45" hidden="false" customHeight="true" outlineLevel="0" collapsed="false">
      <c r="A5" s="60" t="s">
        <v>3520</v>
      </c>
      <c r="B5" s="60" t="s">
        <v>3689</v>
      </c>
      <c r="C5" s="60" t="s">
        <v>4640</v>
      </c>
      <c r="D5" s="60" t="s">
        <v>4641</v>
      </c>
      <c r="E5" s="60" t="s">
        <v>4642</v>
      </c>
      <c r="F5" s="60" t="s">
        <v>4643</v>
      </c>
      <c r="G5" s="60" t="s">
        <v>4644</v>
      </c>
      <c r="H5" s="60" t="s">
        <v>4645</v>
      </c>
      <c r="I5" s="60" t="s">
        <v>4646</v>
      </c>
      <c r="J5" s="60" t="s">
        <v>4647</v>
      </c>
      <c r="K5" s="60" t="s">
        <v>4648</v>
      </c>
      <c r="L5" s="60" t="s">
        <v>4649</v>
      </c>
      <c r="M5" s="60" t="s">
        <v>4650</v>
      </c>
      <c r="N5" s="60" t="s">
        <v>4651</v>
      </c>
      <c r="O5" s="60" t="s">
        <v>4652</v>
      </c>
      <c r="P5" s="60" t="s">
        <v>3526</v>
      </c>
    </row>
    <row r="6" customFormat="false" ht="15" hidden="false" customHeight="false" outlineLevel="0" collapsed="false">
      <c r="A6" s="68" t="s">
        <v>4653</v>
      </c>
      <c r="B6" s="69"/>
      <c r="C6" s="69"/>
      <c r="D6" s="69"/>
      <c r="E6" s="69"/>
      <c r="F6" s="69"/>
      <c r="G6" s="69"/>
      <c r="H6" s="69"/>
      <c r="I6" s="69"/>
      <c r="J6" s="69"/>
      <c r="K6" s="69"/>
      <c r="L6" s="69"/>
      <c r="M6" s="69"/>
      <c r="N6" s="69"/>
      <c r="O6" s="69"/>
      <c r="P6" s="69"/>
    </row>
    <row r="7" customFormat="false" ht="15" hidden="false" customHeight="false" outlineLevel="0" collapsed="false">
      <c r="A7" s="61" t="s">
        <v>4654</v>
      </c>
      <c r="B7" s="62"/>
      <c r="C7" s="62"/>
      <c r="D7" s="62"/>
      <c r="E7" s="62"/>
      <c r="F7" s="62"/>
      <c r="G7" s="62"/>
      <c r="H7" s="62"/>
      <c r="I7" s="62"/>
      <c r="J7" s="62"/>
      <c r="K7" s="62"/>
      <c r="L7" s="62"/>
      <c r="M7" s="62"/>
      <c r="N7" s="62"/>
      <c r="O7" s="62"/>
      <c r="P7" s="62"/>
    </row>
    <row r="8" customFormat="false" ht="122.35" hidden="false" customHeight="false" outlineLevel="0" collapsed="false">
      <c r="A8" s="3" t="s">
        <v>3544</v>
      </c>
      <c r="B8" s="3" t="s">
        <v>4374</v>
      </c>
      <c r="C8" s="3" t="s">
        <v>3614</v>
      </c>
      <c r="D8" s="3" t="s">
        <v>1962</v>
      </c>
      <c r="E8" s="3" t="s">
        <v>107</v>
      </c>
      <c r="F8" s="3" t="s">
        <v>4655</v>
      </c>
      <c r="G8" s="3" t="s">
        <v>2087</v>
      </c>
      <c r="H8" s="3" t="s">
        <v>4656</v>
      </c>
      <c r="I8" s="3" t="s">
        <v>4657</v>
      </c>
      <c r="J8" s="3" t="s">
        <v>4658</v>
      </c>
      <c r="K8" s="3" t="str">
        <f aca="false">IF('Offshore - Melbourne'!E272="","Belum tercatat",TEXT('Offshore - Melbourne'!E272,"$#,##0")&amp;" / "&amp;'Offshore - Melbourne'!D272)</f>
        <v>$1,250 / Term</v>
      </c>
      <c r="L8" s="3" t="str">
        <f aca="false">IF('Offshore - Melbourne'!E280="","Belum tercatat",TEXT('Offshore - Melbourne'!E280,"$#,##0")&amp;" / "&amp;'Offshore - Melbourne'!D280)</f>
        <v>$2,013 / Unit</v>
      </c>
      <c r="M8" s="70" t="n">
        <f aca="false">'Offshore - Melbourne'!I272</f>
        <v>3000</v>
      </c>
      <c r="N8" s="70" t="n">
        <f aca="false">'Offshore - Melbourne'!I272+ROUND(48*'Aturan &amp; Tarif'!$B$4,2)+'Aturan &amp; Tarif'!$B$5+'Aturan &amp; Tarif'!$B$6</f>
        <v>8125.44</v>
      </c>
      <c r="O8" s="3" t="s">
        <v>4659</v>
      </c>
      <c r="P8" s="3" t="s">
        <v>4660</v>
      </c>
    </row>
    <row r="9" customFormat="false" ht="15" hidden="false" customHeight="false" outlineLevel="0" collapsed="false">
      <c r="A9" s="61" t="s">
        <v>4661</v>
      </c>
      <c r="B9" s="62"/>
      <c r="C9" s="62"/>
      <c r="D9" s="62"/>
      <c r="E9" s="62"/>
      <c r="F9" s="62"/>
      <c r="G9" s="62"/>
      <c r="H9" s="62"/>
      <c r="I9" s="62"/>
      <c r="J9" s="62"/>
      <c r="K9" s="62"/>
      <c r="L9" s="62"/>
      <c r="M9" s="62"/>
      <c r="N9" s="62"/>
      <c r="O9" s="62"/>
      <c r="P9" s="62"/>
    </row>
    <row r="10" customFormat="false" ht="108.95" hidden="false" customHeight="false" outlineLevel="0" collapsed="false">
      <c r="A10" s="3" t="s">
        <v>3573</v>
      </c>
      <c r="B10" s="3" t="s">
        <v>3698</v>
      </c>
      <c r="C10" s="3" t="s">
        <v>4662</v>
      </c>
      <c r="D10" s="3" t="s">
        <v>4663</v>
      </c>
      <c r="E10" s="3" t="s">
        <v>130</v>
      </c>
      <c r="F10" s="3" t="s">
        <v>4664</v>
      </c>
      <c r="G10" s="3" t="s">
        <v>2460</v>
      </c>
      <c r="H10" s="3" t="str">
        <f aca="false">"Belum dikonfirmasi - durasi penuh "&amp;'Offshore - Perth'!C134</f>
        <v>Belum dikonfirmasi - durasi penuh 3 years</v>
      </c>
      <c r="I10" s="3" t="s">
        <v>4665</v>
      </c>
      <c r="J10" s="3" t="s">
        <v>4666</v>
      </c>
      <c r="K10" s="3" t="str">
        <f aca="false">IF('Offshore - Perth'!E146="","Belum tercatat",TEXT('Offshore - Perth'!E146,"$#,##0")&amp;" / "&amp;'Offshore - Perth'!D146)</f>
        <v>$3,230 / Term</v>
      </c>
      <c r="L10" s="3" t="str">
        <f aca="false">IF('Offshore - Perth'!E134="","Belum tercatat",TEXT('Offshore - Perth'!E134,"$#,##0")&amp;" / "&amp;'Offshore - Perth'!D134)</f>
        <v>$7,520 / Semester</v>
      </c>
      <c r="M10" s="70" t="n">
        <f aca="false">'Offshore - Perth'!I146</f>
        <v>6460</v>
      </c>
      <c r="N10" s="70" t="n">
        <f aca="false">'Offshore - Perth'!I146+ROUND(48*'Aturan &amp; Tarif'!$B$4,2)+'Aturan &amp; Tarif'!$B$5+'Aturan &amp; Tarif'!$B$6</f>
        <v>11585.44</v>
      </c>
      <c r="O10" s="3" t="s">
        <v>4667</v>
      </c>
      <c r="P10" s="3" t="s">
        <v>4668</v>
      </c>
    </row>
    <row r="11" customFormat="false" ht="15" hidden="false" customHeight="false" outlineLevel="0" collapsed="false">
      <c r="A11" s="61" t="s">
        <v>4669</v>
      </c>
      <c r="B11" s="62"/>
      <c r="C11" s="62"/>
      <c r="D11" s="62"/>
      <c r="E11" s="62"/>
      <c r="F11" s="62"/>
      <c r="G11" s="62"/>
      <c r="H11" s="62"/>
      <c r="I11" s="62"/>
      <c r="J11" s="62"/>
      <c r="K11" s="62"/>
      <c r="L11" s="62"/>
      <c r="M11" s="62"/>
      <c r="N11" s="62"/>
      <c r="O11" s="62"/>
      <c r="P11" s="62"/>
    </row>
    <row r="12" customFormat="false" ht="108.95" hidden="false" customHeight="false" outlineLevel="0" collapsed="false">
      <c r="A12" s="3" t="s">
        <v>3573</v>
      </c>
      <c r="B12" s="3" t="s">
        <v>3833</v>
      </c>
      <c r="C12" s="3" t="s">
        <v>4662</v>
      </c>
      <c r="D12" s="3" t="s">
        <v>4670</v>
      </c>
      <c r="E12" s="3" t="s">
        <v>2557</v>
      </c>
      <c r="F12" s="3" t="s">
        <v>4664</v>
      </c>
      <c r="G12" s="3" t="s">
        <v>4671</v>
      </c>
      <c r="H12" s="3" t="str">
        <f aca="false">"Belum dikonfirmasi - durasi penuh "&amp;'Offshore - Perth'!C133</f>
        <v>Belum dikonfirmasi - durasi penuh 3 years</v>
      </c>
      <c r="I12" s="3" t="s">
        <v>4665</v>
      </c>
      <c r="J12" s="3" t="s">
        <v>4672</v>
      </c>
      <c r="K12" s="3" t="str">
        <f aca="false">IF('Offshore - Perth'!E145="","Belum tercatat",TEXT('Offshore - Perth'!E145,"$#,##0")&amp;" / "&amp;'Offshore - Perth'!D145)</f>
        <v>$3,000 / Term</v>
      </c>
      <c r="L12" s="3" t="str">
        <f aca="false">IF('Offshore - Perth'!E133="","Belum tercatat",TEXT('Offshore - Perth'!E133,"$#,##0")&amp;" / "&amp;'Offshore - Perth'!D133)</f>
        <v>$7,520 / Semester</v>
      </c>
      <c r="M12" s="70" t="n">
        <f aca="false">'Offshore - Perth'!I145</f>
        <v>6000</v>
      </c>
      <c r="N12" s="70" t="n">
        <f aca="false">'Offshore - Perth'!I145+ROUND(54*'Aturan &amp; Tarif'!$B$4,2)+'Aturan &amp; Tarif'!$B$5+'Aturan &amp; Tarif'!$B$6</f>
        <v>11466.12</v>
      </c>
      <c r="O12" s="3" t="s">
        <v>4667</v>
      </c>
      <c r="P12" s="3" t="s">
        <v>4660</v>
      </c>
    </row>
    <row r="13" customFormat="false" ht="15" hidden="false" customHeight="false" outlineLevel="0" collapsed="false">
      <c r="A13" s="61" t="s">
        <v>4673</v>
      </c>
      <c r="B13" s="62"/>
      <c r="C13" s="62"/>
      <c r="D13" s="62"/>
      <c r="E13" s="62"/>
      <c r="F13" s="62"/>
      <c r="G13" s="62"/>
      <c r="H13" s="62"/>
      <c r="I13" s="62"/>
      <c r="J13" s="62"/>
      <c r="K13" s="62"/>
      <c r="L13" s="62"/>
      <c r="M13" s="62"/>
      <c r="N13" s="62"/>
      <c r="O13" s="62"/>
      <c r="P13" s="62"/>
    </row>
    <row r="14" customFormat="false" ht="122.35" hidden="false" customHeight="false" outlineLevel="0" collapsed="false">
      <c r="A14" s="3" t="s">
        <v>3533</v>
      </c>
      <c r="B14" s="3" t="s">
        <v>4374</v>
      </c>
      <c r="C14" s="3" t="s">
        <v>3614</v>
      </c>
      <c r="D14" s="3" t="s">
        <v>1962</v>
      </c>
      <c r="E14" s="3" t="s">
        <v>107</v>
      </c>
      <c r="F14" s="3" t="s">
        <v>4655</v>
      </c>
      <c r="G14" s="3" t="s">
        <v>2087</v>
      </c>
      <c r="H14" s="3" t="s">
        <v>4656</v>
      </c>
      <c r="I14" s="3" t="s">
        <v>4657</v>
      </c>
      <c r="J14" s="3" t="s">
        <v>4658</v>
      </c>
      <c r="K14" s="3" t="str">
        <f aca="false">IF('Offshore - Sydney'!E457="","Belum tercatat",TEXT('Offshore - Sydney'!E457,"$#,##0")&amp;" / "&amp;'Offshore - Sydney'!D457)</f>
        <v>$1,250 / Term</v>
      </c>
      <c r="L14" s="3" t="str">
        <f aca="false">IF('Offshore - Sydney'!E465="","Belum tercatat",TEXT('Offshore - Sydney'!E465,"$#,##0")&amp;" / "&amp;'Offshore - Sydney'!D465)</f>
        <v>$2,013 / Unit</v>
      </c>
      <c r="M14" s="70" t="n">
        <f aca="false">'Offshore - Sydney'!I457</f>
        <v>3000</v>
      </c>
      <c r="N14" s="70" t="n">
        <f aca="false">'Offshore - Sydney'!I457+ROUND(48*'Aturan &amp; Tarif'!$B$4,2)+'Aturan &amp; Tarif'!$B$5+'Aturan &amp; Tarif'!$B$6</f>
        <v>8125.44</v>
      </c>
      <c r="O14" s="3" t="s">
        <v>4659</v>
      </c>
      <c r="P14" s="3" t="s">
        <v>4660</v>
      </c>
    </row>
    <row r="15" customFormat="false" ht="15" hidden="false" customHeight="false" outlineLevel="0" collapsed="false">
      <c r="A15" s="68" t="s">
        <v>4674</v>
      </c>
      <c r="B15" s="69"/>
      <c r="C15" s="69"/>
      <c r="D15" s="69"/>
      <c r="E15" s="69"/>
      <c r="F15" s="69"/>
      <c r="G15" s="69"/>
      <c r="H15" s="69"/>
      <c r="I15" s="69"/>
      <c r="J15" s="69"/>
      <c r="K15" s="69"/>
      <c r="L15" s="69"/>
      <c r="M15" s="69"/>
      <c r="N15" s="69"/>
      <c r="O15" s="69"/>
      <c r="P15" s="69"/>
    </row>
    <row r="16" customFormat="false" ht="15" hidden="false" customHeight="false" outlineLevel="0" collapsed="false">
      <c r="A16" s="61" t="s">
        <v>4654</v>
      </c>
      <c r="B16" s="62"/>
      <c r="C16" s="62"/>
      <c r="D16" s="62"/>
      <c r="E16" s="62"/>
      <c r="F16" s="62"/>
      <c r="G16" s="62"/>
      <c r="H16" s="62"/>
      <c r="I16" s="62"/>
      <c r="J16" s="62"/>
      <c r="K16" s="62"/>
      <c r="L16" s="62"/>
      <c r="M16" s="62"/>
      <c r="N16" s="62"/>
      <c r="O16" s="62"/>
      <c r="P16" s="62"/>
    </row>
    <row r="17" customFormat="false" ht="122.35" hidden="false" customHeight="false" outlineLevel="0" collapsed="false">
      <c r="A17" s="3" t="s">
        <v>3544</v>
      </c>
      <c r="B17" s="3" t="s">
        <v>4374</v>
      </c>
      <c r="C17" s="3" t="s">
        <v>3614</v>
      </c>
      <c r="D17" s="3" t="s">
        <v>1962</v>
      </c>
      <c r="E17" s="3" t="s">
        <v>107</v>
      </c>
      <c r="F17" s="3" t="s">
        <v>4655</v>
      </c>
      <c r="G17" s="3" t="s">
        <v>2087</v>
      </c>
      <c r="H17" s="3" t="s">
        <v>4656</v>
      </c>
      <c r="I17" s="3" t="s">
        <v>4657</v>
      </c>
      <c r="J17" s="3" t="s">
        <v>4658</v>
      </c>
      <c r="K17" s="3" t="str">
        <f aca="false">IF('Onshore- Melbourne'!E286="","Belum tercatat",TEXT('Onshore- Melbourne'!E286,"$#,##0")&amp;" / "&amp;'Onshore- Melbourne'!D286)</f>
        <v>$1,250 / Term</v>
      </c>
      <c r="L17" s="3" t="str">
        <f aca="false">IF('Onshore- Melbourne'!E294="","Belum tercatat",TEXT('Onshore- Melbourne'!E294,"$#,##0")&amp;" / "&amp;'Onshore- Melbourne'!D294)</f>
        <v>$2,013 / Unit</v>
      </c>
      <c r="M17" s="70" t="n">
        <f aca="false">'Onshore- Melbourne'!I286</f>
        <v>1750</v>
      </c>
      <c r="N17" s="70" t="n">
        <f aca="false">'Onshore- Melbourne'!I286+ROUND(48*'Aturan &amp; Tarif'!$B$4,2)+'Aturan &amp; Tarif'!$B$5</f>
        <v>6525.44</v>
      </c>
      <c r="O17" s="3" t="s">
        <v>4659</v>
      </c>
      <c r="P17" s="3" t="s">
        <v>4660</v>
      </c>
    </row>
    <row r="18" customFormat="false" ht="15" hidden="false" customHeight="false" outlineLevel="0" collapsed="false">
      <c r="A18" s="61" t="s">
        <v>4661</v>
      </c>
      <c r="B18" s="62"/>
      <c r="C18" s="62"/>
      <c r="D18" s="62"/>
      <c r="E18" s="62"/>
      <c r="F18" s="62"/>
      <c r="G18" s="62"/>
      <c r="H18" s="62"/>
      <c r="I18" s="62"/>
      <c r="J18" s="62"/>
      <c r="K18" s="62"/>
      <c r="L18" s="62"/>
      <c r="M18" s="62"/>
      <c r="N18" s="62"/>
      <c r="O18" s="62"/>
      <c r="P18" s="62"/>
    </row>
    <row r="19" customFormat="false" ht="108.95" hidden="false" customHeight="false" outlineLevel="0" collapsed="false">
      <c r="A19" s="3" t="s">
        <v>3573</v>
      </c>
      <c r="B19" s="3" t="s">
        <v>3698</v>
      </c>
      <c r="C19" s="3" t="s">
        <v>4662</v>
      </c>
      <c r="D19" s="3" t="s">
        <v>4663</v>
      </c>
      <c r="E19" s="3" t="s">
        <v>130</v>
      </c>
      <c r="F19" s="3" t="s">
        <v>4664</v>
      </c>
      <c r="G19" s="3" t="s">
        <v>2460</v>
      </c>
      <c r="H19" s="3" t="str">
        <f aca="false">"Belum dikonfirmasi - durasi penuh "&amp;'Onshore - Perth'!C138</f>
        <v>Belum dikonfirmasi - durasi penuh 3 years</v>
      </c>
      <c r="I19" s="3" t="s">
        <v>4665</v>
      </c>
      <c r="J19" s="3" t="s">
        <v>4666</v>
      </c>
      <c r="K19" s="3" t="str">
        <f aca="false">IF('Onshore - Perth'!E150="","Belum tercatat",TEXT('Onshore - Perth'!E150,"$#,##0")&amp;" / "&amp;'Onshore - Perth'!D150)</f>
        <v>$3,230 / Term</v>
      </c>
      <c r="L19" s="3" t="str">
        <f aca="false">IF('Onshore - Perth'!E138="","Belum tercatat",TEXT('Onshore - Perth'!E138,"$#,##0")&amp;" / "&amp;'Onshore - Perth'!D138)</f>
        <v>$7,520 / Semester</v>
      </c>
      <c r="M19" s="70" t="n">
        <f aca="false">'Onshore - Perth'!I150</f>
        <v>6460</v>
      </c>
      <c r="N19" s="70" t="n">
        <f aca="false">'Onshore - Perth'!I150+ROUND(48*'Aturan &amp; Tarif'!$B$4,2)+'Aturan &amp; Tarif'!$B$5</f>
        <v>11235.44</v>
      </c>
      <c r="O19" s="3" t="s">
        <v>4667</v>
      </c>
      <c r="P19" s="3" t="s">
        <v>4668</v>
      </c>
    </row>
    <row r="20" customFormat="false" ht="15" hidden="false" customHeight="false" outlineLevel="0" collapsed="false">
      <c r="A20" s="61" t="s">
        <v>4669</v>
      </c>
      <c r="B20" s="62"/>
      <c r="C20" s="62"/>
      <c r="D20" s="62"/>
      <c r="E20" s="62"/>
      <c r="F20" s="62"/>
      <c r="G20" s="62"/>
      <c r="H20" s="62"/>
      <c r="I20" s="62"/>
      <c r="J20" s="62"/>
      <c r="K20" s="62"/>
      <c r="L20" s="62"/>
      <c r="M20" s="62"/>
      <c r="N20" s="62"/>
      <c r="O20" s="62"/>
      <c r="P20" s="62"/>
    </row>
    <row r="21" customFormat="false" ht="108.95" hidden="false" customHeight="false" outlineLevel="0" collapsed="false">
      <c r="A21" s="3" t="s">
        <v>3573</v>
      </c>
      <c r="B21" s="3" t="s">
        <v>3833</v>
      </c>
      <c r="C21" s="3" t="s">
        <v>4662</v>
      </c>
      <c r="D21" s="3" t="s">
        <v>4670</v>
      </c>
      <c r="E21" s="3" t="s">
        <v>2557</v>
      </c>
      <c r="F21" s="3" t="s">
        <v>4664</v>
      </c>
      <c r="G21" s="3" t="s">
        <v>4671</v>
      </c>
      <c r="H21" s="3" t="str">
        <f aca="false">"Belum dikonfirmasi - durasi penuh "&amp;'Onshore - Perth'!C137</f>
        <v>Belum dikonfirmasi - durasi penuh 3 years</v>
      </c>
      <c r="I21" s="3" t="s">
        <v>4665</v>
      </c>
      <c r="J21" s="3" t="s">
        <v>4672</v>
      </c>
      <c r="K21" s="3" t="str">
        <f aca="false">IF('Onshore - Perth'!E149="","Belum tercatat",TEXT('Onshore - Perth'!E149,"$#,##0")&amp;" / "&amp;'Onshore - Perth'!D149)</f>
        <v>$3,000 / Term</v>
      </c>
      <c r="L21" s="3" t="str">
        <f aca="false">IF('Onshore - Perth'!E137="","Belum tercatat",TEXT('Onshore - Perth'!E137,"$#,##0")&amp;" / "&amp;'Onshore - Perth'!D137)</f>
        <v>$7,520 / Semester</v>
      </c>
      <c r="M21" s="70" t="n">
        <f aca="false">'Onshore - Perth'!I149</f>
        <v>6000</v>
      </c>
      <c r="N21" s="70" t="n">
        <f aca="false">'Onshore - Perth'!I149+ROUND(54*'Aturan &amp; Tarif'!$B$4,2)+'Aturan &amp; Tarif'!$B$5</f>
        <v>11116.12</v>
      </c>
      <c r="O21" s="3" t="s">
        <v>4667</v>
      </c>
      <c r="P21" s="3" t="s">
        <v>4660</v>
      </c>
    </row>
    <row r="22" customFormat="false" ht="15" hidden="false" customHeight="false" outlineLevel="0" collapsed="false">
      <c r="A22" s="61" t="s">
        <v>4673</v>
      </c>
      <c r="B22" s="62"/>
      <c r="C22" s="62"/>
      <c r="D22" s="62"/>
      <c r="E22" s="62"/>
      <c r="F22" s="62"/>
      <c r="G22" s="62"/>
      <c r="H22" s="62"/>
      <c r="I22" s="62"/>
      <c r="J22" s="62"/>
      <c r="K22" s="62"/>
      <c r="L22" s="62"/>
      <c r="M22" s="62"/>
      <c r="N22" s="62"/>
      <c r="O22" s="62"/>
      <c r="P22" s="62"/>
    </row>
    <row r="23" customFormat="false" ht="122.35" hidden="false" customHeight="false" outlineLevel="0" collapsed="false">
      <c r="A23" s="3" t="s">
        <v>3533</v>
      </c>
      <c r="B23" s="3" t="s">
        <v>4374</v>
      </c>
      <c r="C23" s="3" t="s">
        <v>3614</v>
      </c>
      <c r="D23" s="3" t="s">
        <v>1962</v>
      </c>
      <c r="E23" s="3" t="s">
        <v>107</v>
      </c>
      <c r="F23" s="3" t="s">
        <v>4655</v>
      </c>
      <c r="G23" s="3" t="s">
        <v>2087</v>
      </c>
      <c r="H23" s="3" t="s">
        <v>4656</v>
      </c>
      <c r="I23" s="3" t="s">
        <v>4657</v>
      </c>
      <c r="J23" s="3" t="s">
        <v>4658</v>
      </c>
      <c r="K23" s="3" t="str">
        <f aca="false">IF('Onshore - Sydney'!E505="","Belum tercatat",TEXT('Onshore - Sydney'!E505,"$#,##0")&amp;" / "&amp;'Onshore - Sydney'!D505)</f>
        <v>$1,250 / Term</v>
      </c>
      <c r="L23" s="3" t="str">
        <f aca="false">IF('Onshore - Sydney'!E513="","Belum tercatat",TEXT('Onshore - Sydney'!E513,"$#,##0")&amp;" / "&amp;'Onshore - Sydney'!D513)</f>
        <v>$2,013 / Unit</v>
      </c>
      <c r="M23" s="70" t="n">
        <f aca="false">'Onshore - Sydney'!I505</f>
        <v>1750</v>
      </c>
      <c r="N23" s="70" t="n">
        <f aca="false">'Onshore - Sydney'!I505+ROUND(48*'Aturan &amp; Tarif'!$B$4,2)+'Aturan &amp; Tarif'!$B$5</f>
        <v>6525.44</v>
      </c>
      <c r="O23" s="3" t="s">
        <v>4659</v>
      </c>
      <c r="P23" s="3" t="s">
        <v>4660</v>
      </c>
    </row>
  </sheetData>
  <autoFilter ref="A5:P23"/>
  <mergeCells count="2">
    <mergeCell ref="A2:P2"/>
    <mergeCell ref="A3:P3"/>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2026-10-28T17:05:42Z</dcterms:created>
  <dc:creator>openpyxl</dc:creator>
  <dc:description/>
  <dc:language>en-US</dc:language>
  <cp:lastModifiedBy/>
  <dcterms:modified xsi:type="dcterms:W3CDTF">2026-11-07T06:21:30Z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